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tdasgupta\Documents\HBE project\PBM\Sample PTNP Templates\"/>
    </mc:Choice>
  </mc:AlternateContent>
  <xr:revisionPtr revIDLastSave="0" documentId="8_{A18219BC-3AC1-47BA-B029-30C23FA6A2F6}" xr6:coauthVersionLast="47" xr6:coauthVersionMax="47" xr10:uidLastSave="{00000000-0000-0000-0000-000000000000}"/>
  <bookViews>
    <workbookView xWindow="30720" yWindow="1320" windowWidth="21600" windowHeight="11295" activeTab="2" xr2:uid="{00000000-000D-0000-FFFF-FFFF00000000}"/>
  </bookViews>
  <sheets>
    <sheet name="Overview" sheetId="4" r:id="rId1"/>
    <sheet name="Removals" sheetId="5" state="hidden" r:id="rId2"/>
    <sheet name="Provider Classifications" sheetId="10" r:id="rId3"/>
    <sheet name="Provider Types" sheetId="11" r:id="rId4"/>
    <sheet name="Prior Round Dispositions" sheetId="9" r:id="rId5"/>
  </sheets>
  <definedNames>
    <definedName name="_xlnm._FilterDatabase" localSheetId="4" hidden="1">'Prior Round Dispositions'!$A$2:$I$8234</definedName>
    <definedName name="_xlnm._FilterDatabase" localSheetId="2" hidden="1">'Provider Classifications'!$A$22:$I$36135</definedName>
    <definedName name="_xlnm._FilterDatabase" localSheetId="3" hidden="1">'Provider Types'!$A$6:$G$255</definedName>
    <definedName name="CostSharing">#REF!</definedName>
    <definedName name="_xlnm.Criteria" localSheetId="4">#REF!</definedName>
    <definedName name="_xlnm.Criteria">#REF!</definedName>
    <definedName name="Frequency">#REF!</definedName>
    <definedName name="PY2017_Provider_GroupTaxonomies" localSheetId="3">'Provider Types'!$A$6:$F$136</definedName>
    <definedName name="PY2017_Provider_GroupTaxonomies">#REF!</definedName>
    <definedName name="Recruitment">#REF!</definedName>
    <definedName name="Requiremen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135" i="10" l="1"/>
  <c r="D36134" i="10"/>
  <c r="D36133" i="10"/>
  <c r="D36132" i="10"/>
  <c r="D36131" i="10"/>
  <c r="D36130" i="10"/>
  <c r="D36129" i="10"/>
  <c r="D36128" i="10"/>
  <c r="D36127" i="10"/>
  <c r="D36126" i="10"/>
  <c r="D36125" i="10"/>
  <c r="D36124" i="10"/>
  <c r="D36123" i="10"/>
  <c r="D36122" i="10"/>
  <c r="D36121" i="10"/>
  <c r="D36120" i="10"/>
  <c r="D36119" i="10"/>
  <c r="D36118" i="10"/>
  <c r="D36117" i="10"/>
  <c r="D36116" i="10"/>
  <c r="D36115" i="10"/>
  <c r="D36114" i="10"/>
  <c r="D36113" i="10"/>
  <c r="D36112" i="10"/>
  <c r="D36111" i="10"/>
  <c r="D36110" i="10"/>
  <c r="D36109" i="10"/>
  <c r="D36108" i="10"/>
  <c r="D36107" i="10"/>
  <c r="D36106" i="10"/>
  <c r="D36105" i="10"/>
  <c r="D36104" i="10"/>
  <c r="D36103" i="10"/>
  <c r="D36102" i="10"/>
  <c r="D36101" i="10"/>
  <c r="D36100" i="10"/>
  <c r="D36099" i="10"/>
  <c r="D36098" i="10"/>
  <c r="D36097" i="10"/>
  <c r="D36096" i="10"/>
  <c r="D36095" i="10"/>
  <c r="D36094" i="10"/>
  <c r="D36093" i="10"/>
  <c r="D36092" i="10"/>
  <c r="D36091" i="10"/>
  <c r="D36090" i="10"/>
  <c r="D36089" i="10"/>
  <c r="D36088" i="10"/>
  <c r="D36087" i="10"/>
  <c r="D36086" i="10"/>
  <c r="D36085" i="10"/>
  <c r="D36084" i="10"/>
  <c r="D36083" i="10"/>
  <c r="D36082" i="10"/>
  <c r="D36081" i="10"/>
  <c r="D36080" i="10"/>
  <c r="D36079" i="10"/>
  <c r="D36078" i="10"/>
  <c r="D36077" i="10"/>
  <c r="D36076" i="10"/>
  <c r="D36075" i="10"/>
  <c r="D36074" i="10"/>
  <c r="D36073" i="10"/>
  <c r="D36072" i="10"/>
  <c r="D36071" i="10"/>
  <c r="D36070" i="10"/>
  <c r="D36069" i="10"/>
  <c r="D36068" i="10"/>
  <c r="D36067" i="10"/>
  <c r="D36066" i="10"/>
  <c r="D36065" i="10"/>
  <c r="D36064" i="10"/>
  <c r="D36063" i="10"/>
  <c r="D36062" i="10"/>
  <c r="D36061" i="10"/>
  <c r="D36060" i="10"/>
  <c r="D36059" i="10"/>
  <c r="D36058" i="10"/>
  <c r="D36057" i="10"/>
  <c r="D36056" i="10"/>
  <c r="D36055" i="10"/>
  <c r="D36054" i="10"/>
  <c r="D36053" i="10"/>
  <c r="D36052" i="10"/>
  <c r="D36051" i="10"/>
  <c r="D36050" i="10"/>
  <c r="D36049" i="10"/>
  <c r="D36048" i="10"/>
  <c r="D36047" i="10"/>
  <c r="D36046" i="10"/>
  <c r="D36045" i="10"/>
  <c r="D36044" i="10"/>
  <c r="D36043" i="10"/>
  <c r="D36042" i="10"/>
  <c r="D36041" i="10"/>
  <c r="D36040" i="10"/>
  <c r="D36039" i="10"/>
  <c r="D36038" i="10"/>
  <c r="D36037" i="10"/>
  <c r="D36036" i="10"/>
  <c r="D36035" i="10"/>
  <c r="D36034" i="10"/>
  <c r="D36033" i="10"/>
  <c r="D36032" i="10"/>
  <c r="D36031" i="10"/>
  <c r="D36030" i="10"/>
  <c r="D36029" i="10"/>
  <c r="D36028" i="10"/>
  <c r="D36027" i="10"/>
  <c r="D36026" i="10"/>
  <c r="D36025" i="10"/>
  <c r="D36024" i="10"/>
  <c r="D36023" i="10"/>
  <c r="D36022" i="10"/>
  <c r="D36021" i="10"/>
  <c r="D36020" i="10"/>
  <c r="D36019" i="10"/>
  <c r="D36018" i="10"/>
  <c r="D36017" i="10"/>
  <c r="D36016" i="10"/>
  <c r="D36015" i="10"/>
  <c r="D36014" i="10"/>
  <c r="D36013" i="10"/>
  <c r="D36012" i="10"/>
  <c r="D36011" i="10"/>
  <c r="D36010" i="10"/>
  <c r="D36009" i="10"/>
  <c r="D36008" i="10"/>
  <c r="D36007" i="10"/>
  <c r="D36006" i="10"/>
  <c r="D36005" i="10"/>
  <c r="D36004" i="10"/>
  <c r="D36003" i="10"/>
  <c r="D36002" i="10"/>
  <c r="D36001" i="10"/>
  <c r="D36000" i="10"/>
  <c r="D35999" i="10"/>
  <c r="D35998" i="10"/>
  <c r="D35997" i="10"/>
  <c r="D35996" i="10"/>
  <c r="D35995" i="10"/>
  <c r="D35994" i="10"/>
  <c r="D35993" i="10"/>
  <c r="D35992" i="10"/>
  <c r="D35991" i="10"/>
  <c r="D35990" i="10"/>
  <c r="D35989" i="10"/>
  <c r="D35988" i="10"/>
  <c r="D35987" i="10"/>
  <c r="D35986" i="10"/>
  <c r="D35985" i="10"/>
  <c r="D35984" i="10"/>
  <c r="D35983" i="10"/>
  <c r="D35982" i="10"/>
  <c r="D35981" i="10"/>
  <c r="D35980" i="10"/>
  <c r="D35979" i="10"/>
  <c r="D35978" i="10"/>
  <c r="D35977" i="10"/>
  <c r="D35976" i="10"/>
  <c r="D35975" i="10"/>
  <c r="D35974" i="10"/>
  <c r="D35973" i="10"/>
  <c r="D35972" i="10"/>
  <c r="D35971" i="10"/>
  <c r="D35970" i="10"/>
  <c r="D35969" i="10"/>
  <c r="D35968" i="10"/>
  <c r="D35967" i="10"/>
  <c r="D35966" i="10"/>
  <c r="D35965" i="10"/>
  <c r="D35964" i="10"/>
  <c r="D35963" i="10"/>
  <c r="D35962" i="10"/>
  <c r="D35961" i="10"/>
  <c r="D35960" i="10"/>
  <c r="D35959" i="10"/>
  <c r="D35958" i="10"/>
  <c r="D35957" i="10"/>
  <c r="D35956" i="10"/>
  <c r="D35955" i="10"/>
  <c r="D35954" i="10"/>
  <c r="D35953" i="10"/>
  <c r="D35952" i="10"/>
  <c r="D35951" i="10"/>
  <c r="D35950" i="10"/>
  <c r="D35949" i="10"/>
  <c r="D35948" i="10"/>
  <c r="D35947" i="10"/>
  <c r="D35946" i="10"/>
  <c r="D35945" i="10"/>
  <c r="D35944" i="10"/>
  <c r="D35943" i="10"/>
  <c r="D35942" i="10"/>
  <c r="D35941" i="10"/>
  <c r="D35940" i="10"/>
  <c r="D35939" i="10"/>
  <c r="D35938" i="10"/>
  <c r="D35937" i="10"/>
  <c r="D35936" i="10"/>
  <c r="D35935" i="10"/>
  <c r="D35934" i="10"/>
  <c r="D35933" i="10"/>
  <c r="D35932" i="10"/>
  <c r="D35931" i="10"/>
  <c r="D35930" i="10"/>
  <c r="D35929" i="10"/>
  <c r="D35928" i="10"/>
  <c r="D35927" i="10"/>
  <c r="D35926" i="10"/>
  <c r="D35925" i="10"/>
  <c r="D35924" i="10"/>
  <c r="D35923" i="10"/>
  <c r="D35922" i="10"/>
  <c r="D35921" i="10"/>
  <c r="D35920" i="10"/>
  <c r="D35919" i="10"/>
  <c r="D35918" i="10"/>
  <c r="D35917" i="10"/>
  <c r="D35916" i="10"/>
  <c r="D35915" i="10"/>
  <c r="D35914" i="10"/>
  <c r="D35913" i="10"/>
  <c r="D35912" i="10"/>
  <c r="D35911" i="10"/>
  <c r="D35910" i="10"/>
  <c r="D35909" i="10"/>
  <c r="D35908" i="10"/>
  <c r="D35907" i="10"/>
  <c r="D35906" i="10"/>
  <c r="D35905" i="10"/>
  <c r="D35904" i="10"/>
  <c r="D35903" i="10"/>
  <c r="D35902" i="10"/>
  <c r="D35901" i="10"/>
  <c r="D35900" i="10"/>
  <c r="D35899" i="10"/>
  <c r="D35898" i="10"/>
  <c r="D35897" i="10"/>
  <c r="D35896" i="10"/>
  <c r="D35895" i="10"/>
  <c r="D35894" i="10"/>
  <c r="D35893" i="10"/>
  <c r="D35892" i="10"/>
  <c r="D35891" i="10"/>
  <c r="D35890" i="10"/>
  <c r="D35889" i="10"/>
  <c r="D35888" i="10"/>
  <c r="D35887" i="10"/>
  <c r="D35886" i="10"/>
  <c r="D35885" i="10"/>
  <c r="D35884" i="10"/>
  <c r="D35883" i="10"/>
  <c r="D35882" i="10"/>
  <c r="D35881" i="10"/>
  <c r="D35880" i="10"/>
  <c r="D35879" i="10"/>
  <c r="D35878" i="10"/>
  <c r="D35877" i="10"/>
  <c r="D35876" i="10"/>
  <c r="D35875" i="10"/>
  <c r="D35874" i="10"/>
  <c r="D35873" i="10"/>
  <c r="D35872" i="10"/>
  <c r="D35871" i="10"/>
  <c r="D35870" i="10"/>
  <c r="D35869" i="10"/>
  <c r="D35868" i="10"/>
  <c r="D35867" i="10"/>
  <c r="D35866" i="10"/>
  <c r="D35865" i="10"/>
  <c r="D35864" i="10"/>
  <c r="D35863" i="10"/>
  <c r="D35862" i="10"/>
  <c r="D35861" i="10"/>
  <c r="D35860" i="10"/>
  <c r="D35859" i="10"/>
  <c r="D35858" i="10"/>
  <c r="D35857" i="10"/>
  <c r="D35856" i="10"/>
  <c r="D35855" i="10"/>
  <c r="D35854" i="10"/>
  <c r="D35853" i="10"/>
  <c r="D35852" i="10"/>
  <c r="D35851" i="10"/>
  <c r="D35850" i="10"/>
  <c r="D35849" i="10"/>
  <c r="D35848" i="10"/>
  <c r="D35847" i="10"/>
  <c r="D35846" i="10"/>
  <c r="D35845" i="10"/>
  <c r="D35844" i="10"/>
  <c r="D35843" i="10"/>
  <c r="D35842" i="10"/>
  <c r="D35841" i="10"/>
  <c r="D35840" i="10"/>
  <c r="D35839" i="10"/>
  <c r="D35838" i="10"/>
  <c r="D35837" i="10"/>
  <c r="D35836" i="10"/>
  <c r="D35835" i="10"/>
  <c r="D35834" i="10"/>
  <c r="D35833" i="10"/>
  <c r="D35832" i="10"/>
  <c r="D35831" i="10"/>
  <c r="D35830" i="10"/>
  <c r="D35829" i="10"/>
  <c r="D35828" i="10"/>
  <c r="D35827" i="10"/>
  <c r="D35826" i="10"/>
  <c r="D35825" i="10"/>
  <c r="D35824" i="10"/>
  <c r="D35823" i="10"/>
  <c r="D35822" i="10"/>
  <c r="D35821" i="10"/>
  <c r="D35820" i="10"/>
  <c r="D35819" i="10"/>
  <c r="D35818" i="10"/>
  <c r="D35817" i="10"/>
  <c r="D35816" i="10"/>
  <c r="D35815" i="10"/>
  <c r="D35814" i="10"/>
  <c r="D35813" i="10"/>
  <c r="D35812" i="10"/>
  <c r="D35811" i="10"/>
  <c r="D35810" i="10"/>
  <c r="D35809" i="10"/>
  <c r="D35808" i="10"/>
  <c r="D35807" i="10"/>
  <c r="D35806" i="10"/>
  <c r="D35805" i="10"/>
  <c r="D35804" i="10"/>
  <c r="D35803" i="10"/>
  <c r="D35802" i="10"/>
  <c r="D35801" i="10"/>
  <c r="D35800" i="10"/>
  <c r="D35799" i="10"/>
  <c r="D35798" i="10"/>
  <c r="D35797" i="10"/>
  <c r="D35796" i="10"/>
  <c r="D35795" i="10"/>
  <c r="D35794" i="10"/>
  <c r="D35793" i="10"/>
  <c r="D35792" i="10"/>
  <c r="D35791" i="10"/>
  <c r="D35790" i="10"/>
  <c r="D35789" i="10"/>
  <c r="D35788" i="10"/>
  <c r="D35787" i="10"/>
  <c r="D35786" i="10"/>
  <c r="D35785" i="10"/>
  <c r="D35784" i="10"/>
  <c r="D35783" i="10"/>
  <c r="D35782" i="10"/>
  <c r="D35781" i="10"/>
  <c r="D35780" i="10"/>
  <c r="D35779" i="10"/>
  <c r="D35778" i="10"/>
  <c r="D35777" i="10"/>
  <c r="D35776" i="10"/>
  <c r="D35775" i="10"/>
  <c r="D35774" i="10"/>
  <c r="D35773" i="10"/>
  <c r="D35772" i="10"/>
  <c r="D35771" i="10"/>
  <c r="D35770" i="10"/>
  <c r="D35769" i="10"/>
  <c r="D35768" i="10"/>
  <c r="D35767" i="10"/>
  <c r="D35766" i="10"/>
  <c r="D35765" i="10"/>
  <c r="D35764" i="10"/>
  <c r="D35763" i="10"/>
  <c r="D35762" i="10"/>
  <c r="D35761" i="10"/>
  <c r="D35760" i="10"/>
  <c r="D35759" i="10"/>
  <c r="D35758" i="10"/>
  <c r="D35757" i="10"/>
  <c r="D35756" i="10"/>
  <c r="D35755" i="10"/>
  <c r="D35754" i="10"/>
  <c r="D35753" i="10"/>
  <c r="D35752" i="10"/>
  <c r="D35751" i="10"/>
  <c r="D35750" i="10"/>
  <c r="D35749" i="10"/>
  <c r="D35748" i="10"/>
  <c r="D35747" i="10"/>
  <c r="D35746" i="10"/>
  <c r="D35745" i="10"/>
  <c r="D35744" i="10"/>
  <c r="D35743" i="10"/>
  <c r="D35742" i="10"/>
  <c r="D35741" i="10"/>
  <c r="D35740" i="10"/>
  <c r="D35739" i="10"/>
  <c r="D35738" i="10"/>
  <c r="D35737" i="10"/>
  <c r="D35736" i="10"/>
  <c r="D35735" i="10"/>
  <c r="D35734" i="10"/>
  <c r="D35733" i="10"/>
  <c r="D35732" i="10"/>
  <c r="D35731" i="10"/>
  <c r="D35730" i="10"/>
  <c r="D35729" i="10"/>
  <c r="D35728" i="10"/>
  <c r="D35727" i="10"/>
  <c r="D35726" i="10"/>
  <c r="D35725" i="10"/>
  <c r="D35724" i="10"/>
  <c r="D35723" i="10"/>
  <c r="D35722" i="10"/>
  <c r="D35721" i="10"/>
  <c r="D35720" i="10"/>
  <c r="D35719" i="10"/>
  <c r="D35718" i="10"/>
  <c r="D35717" i="10"/>
  <c r="D35716" i="10"/>
  <c r="D35715" i="10"/>
  <c r="D35714" i="10"/>
  <c r="D35713" i="10"/>
  <c r="D35712" i="10"/>
  <c r="D35711" i="10"/>
  <c r="D35710" i="10"/>
  <c r="D35709" i="10"/>
  <c r="D35708" i="10"/>
  <c r="D35707" i="10"/>
  <c r="D35706" i="10"/>
  <c r="D35705" i="10"/>
  <c r="D35704" i="10"/>
  <c r="D35703" i="10"/>
  <c r="D35702" i="10"/>
  <c r="D35701" i="10"/>
  <c r="D35700" i="10"/>
  <c r="D35699" i="10"/>
  <c r="D35698" i="10"/>
  <c r="D35697" i="10"/>
  <c r="D35696" i="10"/>
  <c r="D35695" i="10"/>
  <c r="D35694" i="10"/>
  <c r="D35693" i="10"/>
  <c r="D35692" i="10"/>
  <c r="D35691" i="10"/>
  <c r="D35690" i="10"/>
  <c r="D35689" i="10"/>
  <c r="D35688" i="10"/>
  <c r="D35687" i="10"/>
  <c r="D35686" i="10"/>
  <c r="D35685" i="10"/>
  <c r="D35684" i="10"/>
  <c r="D35683" i="10"/>
  <c r="D35682" i="10"/>
  <c r="D35681" i="10"/>
  <c r="D35680" i="10"/>
  <c r="D35679" i="10"/>
  <c r="D35678" i="10"/>
  <c r="D35677" i="10"/>
  <c r="D35676" i="10"/>
  <c r="D35675" i="10"/>
  <c r="D35674" i="10"/>
  <c r="D35673" i="10"/>
  <c r="D35672" i="10"/>
  <c r="D35671" i="10"/>
  <c r="D35670" i="10"/>
  <c r="D35669" i="10"/>
  <c r="D35668" i="10"/>
  <c r="D35667" i="10"/>
  <c r="D35666" i="10"/>
  <c r="D35665" i="10"/>
  <c r="D35664" i="10"/>
  <c r="D35663" i="10"/>
  <c r="D35662" i="10"/>
  <c r="D35661" i="10"/>
  <c r="D35660" i="10"/>
  <c r="D35659" i="10"/>
  <c r="D35658" i="10"/>
  <c r="D35657" i="10"/>
  <c r="D35656" i="10"/>
  <c r="D35655" i="10"/>
  <c r="D35654" i="10"/>
  <c r="D35653" i="10"/>
  <c r="D35652" i="10"/>
  <c r="D35651" i="10"/>
  <c r="D35650" i="10"/>
  <c r="D35649" i="10"/>
  <c r="D35648" i="10"/>
  <c r="D35647" i="10"/>
  <c r="D35646" i="10"/>
  <c r="D35645" i="10"/>
  <c r="D35644" i="10"/>
  <c r="D35643" i="10"/>
  <c r="D35642" i="10"/>
  <c r="D35641" i="10"/>
  <c r="D35640" i="10"/>
  <c r="D35639" i="10"/>
  <c r="D35638" i="10"/>
  <c r="D35637" i="10"/>
  <c r="D35636" i="10"/>
  <c r="D35635" i="10"/>
  <c r="D35634" i="10"/>
  <c r="D35633" i="10"/>
  <c r="D35632" i="10"/>
  <c r="D35631" i="10"/>
  <c r="D35630" i="10"/>
  <c r="D35629" i="10"/>
  <c r="D35628" i="10"/>
  <c r="D35627" i="10"/>
  <c r="D35626" i="10"/>
  <c r="D35625" i="10"/>
  <c r="D35624" i="10"/>
  <c r="D35623" i="10"/>
  <c r="D35622" i="10"/>
  <c r="D35621" i="10"/>
  <c r="D35620" i="10"/>
  <c r="D35619" i="10"/>
  <c r="D35618" i="10"/>
  <c r="D35617" i="10"/>
  <c r="D35616" i="10"/>
  <c r="D35615" i="10"/>
  <c r="D35614" i="10"/>
  <c r="D35613" i="10"/>
  <c r="D35612" i="10"/>
  <c r="D35611" i="10"/>
  <c r="D35610" i="10"/>
  <c r="D35609" i="10"/>
  <c r="D35608" i="10"/>
  <c r="D35607" i="10"/>
  <c r="D35606" i="10"/>
  <c r="D35605" i="10"/>
  <c r="D35604" i="10"/>
  <c r="D35603" i="10"/>
  <c r="D35602" i="10"/>
  <c r="D35601" i="10"/>
  <c r="D35600" i="10"/>
  <c r="D35599" i="10"/>
  <c r="D35598" i="10"/>
  <c r="D35597" i="10"/>
  <c r="D35596" i="10"/>
  <c r="D35595" i="10"/>
  <c r="D35594" i="10"/>
  <c r="D35593" i="10"/>
  <c r="D35592" i="10"/>
  <c r="D35591" i="10"/>
  <c r="D35590" i="10"/>
  <c r="D35589" i="10"/>
  <c r="D35588" i="10"/>
  <c r="D35587" i="10"/>
  <c r="D35586" i="10"/>
  <c r="D35585" i="10"/>
  <c r="D35584" i="10"/>
  <c r="D35583" i="10"/>
  <c r="D35582" i="10"/>
  <c r="D35581" i="10"/>
  <c r="D35580" i="10"/>
  <c r="D35579" i="10"/>
  <c r="D35578" i="10"/>
  <c r="D35577" i="10"/>
  <c r="D35576" i="10"/>
  <c r="D35575" i="10"/>
  <c r="D35574" i="10"/>
  <c r="D35573" i="10"/>
  <c r="D35572" i="10"/>
  <c r="D35571" i="10"/>
  <c r="D35570" i="10"/>
  <c r="D35569" i="10"/>
  <c r="D35568" i="10"/>
  <c r="D35567" i="10"/>
  <c r="D35566" i="10"/>
  <c r="D35565" i="10"/>
  <c r="D35564" i="10"/>
  <c r="D35563" i="10"/>
  <c r="D35562" i="10"/>
  <c r="D35561" i="10"/>
  <c r="D35560" i="10"/>
  <c r="D35559" i="10"/>
  <c r="D35558" i="10"/>
  <c r="D35557" i="10"/>
  <c r="D35556" i="10"/>
  <c r="D35555" i="10"/>
  <c r="D35554" i="10"/>
  <c r="D35553" i="10"/>
  <c r="D35552" i="10"/>
  <c r="D35551" i="10"/>
  <c r="D35550" i="10"/>
  <c r="D35549" i="10"/>
  <c r="D35548" i="10"/>
  <c r="D35547" i="10"/>
  <c r="D35546" i="10"/>
  <c r="D35545" i="10"/>
  <c r="D35544" i="10"/>
  <c r="D35543" i="10"/>
  <c r="D35542" i="10"/>
  <c r="D35541" i="10"/>
  <c r="D35540" i="10"/>
  <c r="D35539" i="10"/>
  <c r="D35538" i="10"/>
  <c r="D35537" i="10"/>
  <c r="D35536" i="10"/>
  <c r="D35535" i="10"/>
  <c r="D35534" i="10"/>
  <c r="D35533" i="10"/>
  <c r="D35532" i="10"/>
  <c r="D35531" i="10"/>
  <c r="D35530" i="10"/>
  <c r="D35529" i="10"/>
  <c r="D35528" i="10"/>
  <c r="D35527" i="10"/>
  <c r="D35526" i="10"/>
  <c r="D35525" i="10"/>
  <c r="D35524" i="10"/>
  <c r="D35523" i="10"/>
  <c r="D35522" i="10"/>
  <c r="D35521" i="10"/>
  <c r="D35520" i="10"/>
  <c r="D35519" i="10"/>
  <c r="D35518" i="10"/>
  <c r="D35517" i="10"/>
  <c r="D35516" i="10"/>
  <c r="D35515" i="10"/>
  <c r="D35514" i="10"/>
  <c r="D35513" i="10"/>
  <c r="D35512" i="10"/>
  <c r="D35511" i="10"/>
  <c r="D35510" i="10"/>
  <c r="D35509" i="10"/>
  <c r="D35508" i="10"/>
  <c r="D35507" i="10"/>
  <c r="D35506" i="10"/>
  <c r="D35505" i="10"/>
  <c r="D35504" i="10"/>
  <c r="D35503" i="10"/>
  <c r="D35502" i="10"/>
  <c r="D35501" i="10"/>
  <c r="D35500" i="10"/>
  <c r="D35499" i="10"/>
  <c r="D35498" i="10"/>
  <c r="D35497" i="10"/>
  <c r="D35496" i="10"/>
  <c r="D35495" i="10"/>
  <c r="D35494" i="10"/>
  <c r="D35493" i="10"/>
  <c r="D35492" i="10"/>
  <c r="D35491" i="10"/>
  <c r="D35490" i="10"/>
  <c r="D35489" i="10"/>
  <c r="D35488" i="10"/>
  <c r="D35487" i="10"/>
  <c r="D35486" i="10"/>
  <c r="D35485" i="10"/>
  <c r="D35484" i="10"/>
  <c r="D35483" i="10"/>
  <c r="D35482" i="10"/>
  <c r="D35481" i="10"/>
  <c r="D35480" i="10"/>
  <c r="D35479" i="10"/>
  <c r="D35478" i="10"/>
  <c r="D35477" i="10"/>
  <c r="D35476" i="10"/>
  <c r="D35475" i="10"/>
  <c r="D35474" i="10"/>
  <c r="D35473" i="10"/>
  <c r="D35472" i="10"/>
  <c r="D35471" i="10"/>
  <c r="D35470" i="10"/>
  <c r="D35469" i="10"/>
  <c r="D35468" i="10"/>
  <c r="D35467" i="10"/>
  <c r="D35466" i="10"/>
  <c r="D35465" i="10"/>
  <c r="D35464" i="10"/>
  <c r="D35463" i="10"/>
  <c r="D35462" i="10"/>
  <c r="D35461" i="10"/>
  <c r="D35460" i="10"/>
  <c r="D35459" i="10"/>
  <c r="D35458" i="10"/>
  <c r="D35457" i="10"/>
  <c r="D35456" i="10"/>
  <c r="D35455" i="10"/>
  <c r="D35454" i="10"/>
  <c r="D35453" i="10"/>
  <c r="D35452" i="10"/>
  <c r="D35451" i="10"/>
  <c r="D35450" i="10"/>
  <c r="D35449" i="10"/>
  <c r="D35448" i="10"/>
  <c r="D35447" i="10"/>
  <c r="D35446" i="10"/>
  <c r="D35445" i="10"/>
  <c r="D35444" i="10"/>
  <c r="D35443" i="10"/>
  <c r="D35442" i="10"/>
  <c r="D35441" i="10"/>
  <c r="D35440" i="10"/>
  <c r="D35439" i="10"/>
  <c r="D35438" i="10"/>
  <c r="D35437" i="10"/>
  <c r="D35436" i="10"/>
  <c r="D35435" i="10"/>
  <c r="D35434" i="10"/>
  <c r="D35433" i="10"/>
  <c r="D35432" i="10"/>
  <c r="D35431" i="10"/>
  <c r="D35430" i="10"/>
  <c r="D35429" i="10"/>
  <c r="D35428" i="10"/>
  <c r="D35427" i="10"/>
  <c r="D35426" i="10"/>
  <c r="D35425" i="10"/>
  <c r="D35424" i="10"/>
  <c r="D35423" i="10"/>
  <c r="D35422" i="10"/>
  <c r="D35421" i="10"/>
  <c r="D35420" i="10"/>
  <c r="D35419" i="10"/>
  <c r="D35418" i="10"/>
  <c r="D35417" i="10"/>
  <c r="D35416" i="10"/>
  <c r="D35415" i="10"/>
  <c r="D35414" i="10"/>
  <c r="D35413" i="10"/>
  <c r="D35412" i="10"/>
  <c r="D35411" i="10"/>
  <c r="D35410" i="10"/>
  <c r="D35409" i="10"/>
  <c r="D35408" i="10"/>
  <c r="D35407" i="10"/>
  <c r="D35406" i="10"/>
  <c r="D35405" i="10"/>
  <c r="D35404" i="10"/>
  <c r="D35403" i="10"/>
  <c r="D35402" i="10"/>
  <c r="D35401" i="10"/>
  <c r="D35400" i="10"/>
  <c r="D35399" i="10"/>
  <c r="D35398" i="10"/>
  <c r="D35397" i="10"/>
  <c r="D35396" i="10"/>
  <c r="D35395" i="10"/>
  <c r="D35394" i="10"/>
  <c r="D35393" i="10"/>
  <c r="D35392" i="10"/>
  <c r="D35391" i="10"/>
  <c r="D35390" i="10"/>
  <c r="D35389" i="10"/>
  <c r="D35388" i="10"/>
  <c r="D35387" i="10"/>
  <c r="D35386" i="10"/>
  <c r="D35385" i="10"/>
  <c r="D35384" i="10"/>
  <c r="D35383" i="10"/>
  <c r="D35382" i="10"/>
  <c r="D35381" i="10"/>
  <c r="D35380" i="10"/>
  <c r="D35379" i="10"/>
  <c r="D35378" i="10"/>
  <c r="D35377" i="10"/>
  <c r="D35376" i="10"/>
  <c r="D35375" i="10"/>
  <c r="D35374" i="10"/>
  <c r="D35373" i="10"/>
  <c r="D35372" i="10"/>
  <c r="D35371" i="10"/>
  <c r="D35370" i="10"/>
  <c r="D35369" i="10"/>
  <c r="D35368" i="10"/>
  <c r="D35367" i="10"/>
  <c r="D35366" i="10"/>
  <c r="D35365" i="10"/>
  <c r="D35364" i="10"/>
  <c r="D35363" i="10"/>
  <c r="D35362" i="10"/>
  <c r="D35361" i="10"/>
  <c r="D35360" i="10"/>
  <c r="D35359" i="10"/>
  <c r="D35358" i="10"/>
  <c r="D35357" i="10"/>
  <c r="D35356" i="10"/>
  <c r="D35355" i="10"/>
  <c r="D35354" i="10"/>
  <c r="D35353" i="10"/>
  <c r="D35352" i="10"/>
  <c r="D35351" i="10"/>
  <c r="D35350" i="10"/>
  <c r="D35349" i="10"/>
  <c r="D35348" i="10"/>
  <c r="D35347" i="10"/>
  <c r="D35346" i="10"/>
  <c r="D35345" i="10"/>
  <c r="D35344" i="10"/>
  <c r="D35343" i="10"/>
  <c r="D35342" i="10"/>
  <c r="D35341" i="10"/>
  <c r="D35340" i="10"/>
  <c r="D35339" i="10"/>
  <c r="D35338" i="10"/>
  <c r="D35337" i="10"/>
  <c r="D35336" i="10"/>
  <c r="D35335" i="10"/>
  <c r="D35334" i="10"/>
  <c r="D35333" i="10"/>
  <c r="D35332" i="10"/>
  <c r="D35331" i="10"/>
  <c r="D35330" i="10"/>
  <c r="D35329" i="10"/>
  <c r="D35328" i="10"/>
  <c r="D35327" i="10"/>
  <c r="D35326" i="10"/>
  <c r="D35325" i="10"/>
  <c r="D35324" i="10"/>
  <c r="D35323" i="10"/>
  <c r="D35322" i="10"/>
  <c r="D35321" i="10"/>
  <c r="D35320" i="10"/>
  <c r="D35319" i="10"/>
  <c r="D35318" i="10"/>
  <c r="D35317" i="10"/>
  <c r="D35316" i="10"/>
  <c r="D35315" i="10"/>
  <c r="D35314" i="10"/>
  <c r="D35313" i="10"/>
  <c r="D35312" i="10"/>
  <c r="D35311" i="10"/>
  <c r="D35310" i="10"/>
  <c r="D35309" i="10"/>
  <c r="D35308" i="10"/>
  <c r="D35307" i="10"/>
  <c r="D35306" i="10"/>
  <c r="D35305" i="10"/>
  <c r="D35304" i="10"/>
  <c r="D35303" i="10"/>
  <c r="D35302" i="10"/>
  <c r="D35301" i="10"/>
  <c r="D35300" i="10"/>
  <c r="D35299" i="10"/>
  <c r="D35298" i="10"/>
  <c r="D35297" i="10"/>
  <c r="D35296" i="10"/>
  <c r="D35295" i="10"/>
  <c r="D35294" i="10"/>
  <c r="D35293" i="10"/>
  <c r="D35292" i="10"/>
  <c r="D35291" i="10"/>
  <c r="D35290" i="10"/>
  <c r="D35289" i="10"/>
  <c r="D35288" i="10"/>
  <c r="D35287" i="10"/>
  <c r="D35286" i="10"/>
  <c r="D35285" i="10"/>
  <c r="D35284" i="10"/>
  <c r="D35283" i="10"/>
  <c r="D35282" i="10"/>
  <c r="D35281" i="10"/>
  <c r="D35280" i="10"/>
  <c r="D35279" i="10"/>
  <c r="D35278" i="10"/>
  <c r="D35277" i="10"/>
  <c r="D35276" i="10"/>
  <c r="D35275" i="10"/>
  <c r="D35274" i="10"/>
  <c r="D35273" i="10"/>
  <c r="D35272" i="10"/>
  <c r="D35271" i="10"/>
  <c r="D35270" i="10"/>
  <c r="D35269" i="10"/>
  <c r="D35268" i="10"/>
  <c r="D35267" i="10"/>
  <c r="D35266" i="10"/>
  <c r="D35265" i="10"/>
  <c r="D35264" i="10"/>
  <c r="D35263" i="10"/>
  <c r="D35262" i="10"/>
  <c r="D35261" i="10"/>
  <c r="D35260" i="10"/>
  <c r="D35259" i="10"/>
  <c r="D35258" i="10"/>
  <c r="D35257" i="10"/>
  <c r="D35256" i="10"/>
  <c r="D35255" i="10"/>
  <c r="D35254" i="10"/>
  <c r="D35253" i="10"/>
  <c r="D35252" i="10"/>
  <c r="D35251" i="10"/>
  <c r="D35250" i="10"/>
  <c r="D35249" i="10"/>
  <c r="D35248" i="10"/>
  <c r="D35247" i="10"/>
  <c r="D35246" i="10"/>
  <c r="D35245" i="10"/>
  <c r="D35244" i="10"/>
  <c r="D35243" i="10"/>
  <c r="D35242" i="10"/>
  <c r="D35241" i="10"/>
  <c r="D35240" i="10"/>
  <c r="D35239" i="10"/>
  <c r="D35238" i="10"/>
  <c r="D35237" i="10"/>
  <c r="D35236" i="10"/>
  <c r="D35235" i="10"/>
  <c r="D35234" i="10"/>
  <c r="D35233" i="10"/>
  <c r="D35232" i="10"/>
  <c r="D35231" i="10"/>
  <c r="D35230" i="10"/>
  <c r="D35229" i="10"/>
  <c r="D35228" i="10"/>
  <c r="D35227" i="10"/>
  <c r="D35226" i="10"/>
  <c r="D35225" i="10"/>
  <c r="D35224" i="10"/>
  <c r="D35223" i="10"/>
  <c r="D35222" i="10"/>
  <c r="D35221" i="10"/>
  <c r="D35220" i="10"/>
  <c r="D35219" i="10"/>
  <c r="D35218" i="10"/>
  <c r="D35217" i="10"/>
  <c r="D35216" i="10"/>
  <c r="D35215" i="10"/>
  <c r="D35214" i="10"/>
  <c r="D35213" i="10"/>
  <c r="D35212" i="10"/>
  <c r="D35211" i="10"/>
  <c r="D35210" i="10"/>
  <c r="D35209" i="10"/>
  <c r="D35208" i="10"/>
  <c r="D35207" i="10"/>
  <c r="D35206" i="10"/>
  <c r="D35205" i="10"/>
  <c r="D35204" i="10"/>
  <c r="D35203" i="10"/>
  <c r="D35202" i="10"/>
  <c r="D35201" i="10"/>
  <c r="D35200" i="10"/>
  <c r="D35199" i="10"/>
  <c r="D35198" i="10"/>
  <c r="D35197" i="10"/>
  <c r="D35196" i="10"/>
  <c r="D35195" i="10"/>
  <c r="D35194" i="10"/>
  <c r="D35193" i="10"/>
  <c r="D35192" i="10"/>
  <c r="D35191" i="10"/>
  <c r="D35190" i="10"/>
  <c r="D35189" i="10"/>
  <c r="D35188" i="10"/>
  <c r="D35187" i="10"/>
  <c r="D35186" i="10"/>
  <c r="D35185" i="10"/>
  <c r="D35184" i="10"/>
  <c r="D35183" i="10"/>
  <c r="D35182" i="10"/>
  <c r="D35181" i="10"/>
  <c r="D35180" i="10"/>
  <c r="D35179" i="10"/>
  <c r="D35178" i="10"/>
  <c r="D35177" i="10"/>
  <c r="D35176" i="10"/>
  <c r="D35175" i="10"/>
  <c r="D35174" i="10"/>
  <c r="D35173" i="10"/>
  <c r="D35172" i="10"/>
  <c r="D35171" i="10"/>
  <c r="D35170" i="10"/>
  <c r="D35169" i="10"/>
  <c r="D35168" i="10"/>
  <c r="D35167" i="10"/>
  <c r="D35166" i="10"/>
  <c r="D35165" i="10"/>
  <c r="D35164" i="10"/>
  <c r="D35163" i="10"/>
  <c r="D35162" i="10"/>
  <c r="D35161" i="10"/>
  <c r="D35160" i="10"/>
  <c r="D35159" i="10"/>
  <c r="D35158" i="10"/>
  <c r="D35157" i="10"/>
  <c r="D35156" i="10"/>
  <c r="D35155" i="10"/>
  <c r="D35154" i="10"/>
  <c r="D35153" i="10"/>
  <c r="D35152" i="10"/>
  <c r="D35151" i="10"/>
  <c r="D35150" i="10"/>
  <c r="D35149" i="10"/>
  <c r="D35148" i="10"/>
  <c r="D35147" i="10"/>
  <c r="D35146" i="10"/>
  <c r="D35145" i="10"/>
  <c r="D35144" i="10"/>
  <c r="D35143" i="10"/>
  <c r="D35142" i="10"/>
  <c r="D35141" i="10"/>
  <c r="D35140" i="10"/>
  <c r="D35139" i="10"/>
  <c r="D35138" i="10"/>
  <c r="D35137" i="10"/>
  <c r="D35136" i="10"/>
  <c r="D35135" i="10"/>
  <c r="D35134" i="10"/>
  <c r="D35133" i="10"/>
  <c r="D35132" i="10"/>
  <c r="D35131" i="10"/>
  <c r="D35130" i="10"/>
  <c r="D35129" i="10"/>
  <c r="D35128" i="10"/>
  <c r="D35127" i="10"/>
  <c r="D35126" i="10"/>
  <c r="D35125" i="10"/>
  <c r="D35124" i="10"/>
  <c r="D35123" i="10"/>
  <c r="D35122" i="10"/>
  <c r="D35121" i="10"/>
  <c r="D35120" i="10"/>
  <c r="D35119" i="10"/>
  <c r="D35118" i="10"/>
  <c r="D35117" i="10"/>
  <c r="D35116" i="10"/>
  <c r="D35115" i="10"/>
  <c r="D35114" i="10"/>
  <c r="D35113" i="10"/>
  <c r="D35112" i="10"/>
  <c r="D35111" i="10"/>
  <c r="D35110" i="10"/>
  <c r="D35109" i="10"/>
  <c r="D35108" i="10"/>
  <c r="D35107" i="10"/>
  <c r="D35106" i="10"/>
  <c r="D35105" i="10"/>
  <c r="D35104" i="10"/>
  <c r="D35103" i="10"/>
  <c r="D35102" i="10"/>
  <c r="D35101" i="10"/>
  <c r="D35100" i="10"/>
  <c r="D35099" i="10"/>
  <c r="D35098" i="10"/>
  <c r="D35097" i="10"/>
  <c r="D35096" i="10"/>
  <c r="D35095" i="10"/>
  <c r="D35094" i="10"/>
  <c r="D35093" i="10"/>
  <c r="D35092" i="10"/>
  <c r="D35091" i="10"/>
  <c r="D35090" i="10"/>
  <c r="D35089" i="10"/>
  <c r="D35088" i="10"/>
  <c r="D35087" i="10"/>
  <c r="D35086" i="10"/>
  <c r="D35085" i="10"/>
  <c r="D35084" i="10"/>
  <c r="D35083" i="10"/>
  <c r="D35082" i="10"/>
  <c r="D35081" i="10"/>
  <c r="D35080" i="10"/>
  <c r="D35079" i="10"/>
  <c r="D35078" i="10"/>
  <c r="D35077" i="10"/>
  <c r="D35076" i="10"/>
  <c r="D35075" i="10"/>
  <c r="D35074" i="10"/>
  <c r="D35073" i="10"/>
  <c r="D35072" i="10"/>
  <c r="D35071" i="10"/>
  <c r="D35070" i="10"/>
  <c r="D35069" i="10"/>
  <c r="D35068" i="10"/>
  <c r="D35067" i="10"/>
  <c r="D35066" i="10"/>
  <c r="D35065" i="10"/>
  <c r="D35064" i="10"/>
  <c r="D35063" i="10"/>
  <c r="D35062" i="10"/>
  <c r="D35061" i="10"/>
  <c r="D35060" i="10"/>
  <c r="D35059" i="10"/>
  <c r="D35058" i="10"/>
  <c r="D35057" i="10"/>
  <c r="D35056" i="10"/>
  <c r="D35055" i="10"/>
  <c r="D35054" i="10"/>
  <c r="D35053" i="10"/>
  <c r="D35052" i="10"/>
  <c r="D35051" i="10"/>
  <c r="D35050" i="10"/>
  <c r="D35049" i="10"/>
  <c r="D35048" i="10"/>
  <c r="D35047" i="10"/>
  <c r="D35046" i="10"/>
  <c r="D35045" i="10"/>
  <c r="D35044" i="10"/>
  <c r="D35043" i="10"/>
  <c r="D35042" i="10"/>
  <c r="D35041" i="10"/>
  <c r="D35040" i="10"/>
  <c r="D35039" i="10"/>
  <c r="D35038" i="10"/>
  <c r="D35037" i="10"/>
  <c r="D35036" i="10"/>
  <c r="D35035" i="10"/>
  <c r="D35034" i="10"/>
  <c r="D35033" i="10"/>
  <c r="D35032" i="10"/>
  <c r="D35031" i="10"/>
  <c r="D35030" i="10"/>
  <c r="D35029" i="10"/>
  <c r="D35028" i="10"/>
  <c r="D35027" i="10"/>
  <c r="D35026" i="10"/>
  <c r="D35025" i="10"/>
  <c r="D35024" i="10"/>
  <c r="D35023" i="10"/>
  <c r="D35022" i="10"/>
  <c r="D35021" i="10"/>
  <c r="D35020" i="10"/>
  <c r="D35019" i="10"/>
  <c r="D35018" i="10"/>
  <c r="D35017" i="10"/>
  <c r="D35016" i="10"/>
  <c r="D35015" i="10"/>
  <c r="D35014" i="10"/>
  <c r="D35013" i="10"/>
  <c r="D35012" i="10"/>
  <c r="D35011" i="10"/>
  <c r="D35010" i="10"/>
  <c r="D35009" i="10"/>
  <c r="D35008" i="10"/>
  <c r="D35007" i="10"/>
  <c r="D35006" i="10"/>
  <c r="D35005" i="10"/>
  <c r="D35004" i="10"/>
  <c r="D35003" i="10"/>
  <c r="D35002" i="10"/>
  <c r="D35001" i="10"/>
  <c r="D35000" i="10"/>
  <c r="D34999" i="10"/>
  <c r="D34998" i="10"/>
  <c r="D34997" i="10"/>
  <c r="D34996" i="10"/>
  <c r="D34995" i="10"/>
  <c r="D34994" i="10"/>
  <c r="D34993" i="10"/>
  <c r="D35" i="10"/>
  <c r="D36" i="10"/>
  <c r="D37" i="10"/>
  <c r="D38" i="10"/>
  <c r="D39" i="10"/>
  <c r="D40" i="10"/>
  <c r="D41" i="10"/>
  <c r="D42" i="10"/>
  <c r="D43" i="10"/>
  <c r="D44" i="10"/>
  <c r="D45" i="10"/>
  <c r="D46" i="10"/>
  <c r="D47" i="10"/>
  <c r="C5201" i="9"/>
  <c r="C5200" i="9"/>
  <c r="C5199" i="9"/>
  <c r="C5198" i="9"/>
  <c r="C5197" i="9"/>
  <c r="C5196" i="9"/>
  <c r="C5195" i="9"/>
  <c r="C5194" i="9"/>
  <c r="C5193" i="9"/>
  <c r="C5192" i="9"/>
  <c r="C5191" i="9"/>
  <c r="C5190" i="9"/>
  <c r="C5189" i="9"/>
  <c r="C5188" i="9"/>
  <c r="C5187" i="9"/>
  <c r="C5186" i="9"/>
  <c r="C5185" i="9"/>
  <c r="C5184" i="9"/>
  <c r="C5183" i="9"/>
  <c r="C5182" i="9"/>
  <c r="C5181" i="9"/>
  <c r="C5180" i="9"/>
  <c r="C5179" i="9"/>
  <c r="C5178" i="9"/>
  <c r="C5177" i="9"/>
  <c r="C5176" i="9"/>
  <c r="C5175" i="9"/>
  <c r="C5174" i="9"/>
  <c r="C5173" i="9"/>
  <c r="C5172" i="9"/>
  <c r="C5171" i="9"/>
  <c r="C5170" i="9"/>
  <c r="C5169" i="9"/>
  <c r="C5168" i="9"/>
  <c r="C5167" i="9"/>
  <c r="C5166" i="9"/>
  <c r="C5165" i="9"/>
  <c r="C5164" i="9"/>
  <c r="C5163" i="9"/>
  <c r="C5162" i="9"/>
  <c r="C5161" i="9"/>
  <c r="C5160" i="9"/>
  <c r="C5159" i="9"/>
  <c r="C5158" i="9"/>
  <c r="C5157" i="9"/>
  <c r="C5156" i="9"/>
  <c r="C5155" i="9"/>
  <c r="C5154" i="9"/>
  <c r="C5153" i="9"/>
  <c r="C5152" i="9"/>
  <c r="C5151" i="9"/>
  <c r="C5150" i="9"/>
  <c r="C5149" i="9"/>
  <c r="C5148" i="9"/>
  <c r="C5147" i="9"/>
  <c r="C5146" i="9"/>
  <c r="C5145" i="9"/>
  <c r="C5144" i="9"/>
  <c r="C5143" i="9"/>
  <c r="C5142" i="9"/>
  <c r="C5141" i="9"/>
  <c r="C5140" i="9"/>
  <c r="C5139" i="9"/>
  <c r="C5138" i="9"/>
  <c r="C5137" i="9"/>
  <c r="C5136" i="9"/>
  <c r="C5135" i="9"/>
  <c r="C5134" i="9"/>
  <c r="C5133" i="9"/>
  <c r="C5132" i="9"/>
  <c r="C5131" i="9"/>
  <c r="C5130" i="9"/>
  <c r="C5129" i="9"/>
  <c r="C5128" i="9"/>
  <c r="C5127" i="9"/>
  <c r="C5126" i="9"/>
  <c r="C5125" i="9"/>
  <c r="C5124" i="9"/>
  <c r="C5123" i="9"/>
  <c r="C5122" i="9"/>
  <c r="C5121" i="9"/>
  <c r="C5120" i="9"/>
  <c r="C5119" i="9"/>
  <c r="C5118" i="9"/>
  <c r="C5117" i="9"/>
  <c r="C5116" i="9"/>
  <c r="C5115" i="9"/>
  <c r="C5114" i="9"/>
  <c r="C5113" i="9"/>
  <c r="C5112" i="9"/>
  <c r="C5111" i="9"/>
  <c r="C5110" i="9"/>
  <c r="C5109" i="9"/>
  <c r="C5108" i="9"/>
  <c r="C5107" i="9"/>
  <c r="C5106" i="9"/>
  <c r="C5105" i="9"/>
  <c r="C5104" i="9"/>
  <c r="C5103" i="9"/>
  <c r="C5102" i="9"/>
  <c r="C5101" i="9"/>
  <c r="C5100" i="9"/>
  <c r="C5099" i="9"/>
  <c r="C5098" i="9"/>
  <c r="C5097" i="9"/>
  <c r="C5096" i="9"/>
  <c r="C5095" i="9"/>
  <c r="C5094" i="9"/>
  <c r="C5093" i="9"/>
  <c r="C5092" i="9"/>
  <c r="C5091" i="9"/>
  <c r="C5090" i="9"/>
  <c r="C5089" i="9"/>
  <c r="C5088" i="9"/>
  <c r="C5087" i="9"/>
  <c r="C5086" i="9"/>
  <c r="C5085" i="9"/>
  <c r="C5084" i="9"/>
  <c r="C5083" i="9"/>
  <c r="C5082" i="9"/>
  <c r="C5081" i="9"/>
  <c r="C5080" i="9"/>
  <c r="C5079" i="9"/>
  <c r="C5078" i="9"/>
  <c r="C5077" i="9"/>
  <c r="C5076" i="9"/>
  <c r="C5075" i="9"/>
  <c r="C5074" i="9"/>
  <c r="C5073" i="9"/>
  <c r="C5072" i="9"/>
  <c r="C5071" i="9"/>
  <c r="C5070" i="9"/>
  <c r="C5069" i="9"/>
  <c r="C5068" i="9"/>
  <c r="C5067" i="9"/>
  <c r="C5066" i="9"/>
  <c r="C5065" i="9"/>
  <c r="C5064" i="9"/>
  <c r="C5063" i="9"/>
  <c r="C5062" i="9"/>
  <c r="C5061" i="9"/>
  <c r="C5060" i="9"/>
  <c r="C5059" i="9"/>
  <c r="C5058" i="9"/>
  <c r="C5057" i="9"/>
  <c r="C5056" i="9"/>
  <c r="C5055" i="9"/>
  <c r="C5054" i="9"/>
  <c r="C5053" i="9"/>
  <c r="C5052" i="9"/>
  <c r="C5051" i="9"/>
  <c r="C5050" i="9"/>
  <c r="C5049" i="9"/>
  <c r="C5048" i="9"/>
  <c r="C5047" i="9"/>
  <c r="C5046" i="9"/>
  <c r="C5045" i="9"/>
  <c r="C5044" i="9"/>
  <c r="C5043" i="9"/>
  <c r="C5042" i="9"/>
  <c r="C5041" i="9"/>
  <c r="C5040" i="9"/>
  <c r="C5039" i="9"/>
  <c r="C5038" i="9"/>
  <c r="C5037" i="9"/>
  <c r="C5036" i="9"/>
  <c r="C5035" i="9"/>
  <c r="C5034" i="9"/>
  <c r="C5033" i="9"/>
  <c r="C5032" i="9"/>
  <c r="C5031" i="9"/>
  <c r="C5030" i="9"/>
  <c r="C5029" i="9"/>
  <c r="C5028" i="9"/>
  <c r="C5027" i="9"/>
  <c r="C5026" i="9"/>
  <c r="C5025" i="9"/>
  <c r="C5024" i="9"/>
  <c r="C5023" i="9"/>
  <c r="C5022" i="9"/>
  <c r="C5021" i="9"/>
  <c r="C5020" i="9"/>
  <c r="C5019" i="9"/>
  <c r="C5018" i="9"/>
  <c r="C5017" i="9"/>
  <c r="C5016" i="9"/>
  <c r="C5015" i="9"/>
  <c r="C5014" i="9"/>
  <c r="C5013" i="9"/>
  <c r="C5012" i="9"/>
  <c r="C5011" i="9"/>
  <c r="C5010" i="9"/>
  <c r="C5009" i="9"/>
  <c r="C5008" i="9"/>
  <c r="C5007" i="9"/>
  <c r="C5006" i="9"/>
  <c r="C5005" i="9"/>
  <c r="C5004" i="9"/>
  <c r="C5003" i="9"/>
  <c r="C5002" i="9"/>
  <c r="C5001" i="9"/>
  <c r="C5000" i="9"/>
  <c r="C4999" i="9"/>
  <c r="C4998" i="9"/>
  <c r="C4997" i="9"/>
  <c r="C4996" i="9"/>
  <c r="C4995" i="9"/>
  <c r="C4994" i="9"/>
  <c r="C4993" i="9"/>
  <c r="C4992" i="9"/>
  <c r="C4991" i="9"/>
  <c r="C4990" i="9"/>
  <c r="C4989" i="9"/>
  <c r="C4988" i="9"/>
  <c r="C4987" i="9"/>
  <c r="C4986" i="9"/>
  <c r="C4985" i="9"/>
  <c r="C4984" i="9"/>
  <c r="C4983" i="9"/>
  <c r="C4982" i="9"/>
  <c r="C4981" i="9"/>
  <c r="C4980" i="9"/>
  <c r="C4979" i="9"/>
  <c r="C4978" i="9"/>
  <c r="C4977" i="9"/>
  <c r="C4976" i="9"/>
  <c r="C4975" i="9"/>
  <c r="C4974" i="9"/>
  <c r="C4973" i="9"/>
  <c r="C4972" i="9"/>
  <c r="C4971" i="9"/>
  <c r="C4970" i="9"/>
  <c r="C4969" i="9"/>
  <c r="C4968" i="9"/>
  <c r="C4967" i="9"/>
  <c r="C4966" i="9"/>
  <c r="C4965" i="9"/>
  <c r="C4964" i="9"/>
  <c r="C4963" i="9"/>
  <c r="C4962" i="9"/>
  <c r="C4961" i="9"/>
  <c r="C4960" i="9"/>
  <c r="C4959" i="9"/>
  <c r="C4958" i="9"/>
  <c r="C4957" i="9"/>
  <c r="C4956" i="9"/>
  <c r="C4955" i="9"/>
  <c r="C4954" i="9"/>
  <c r="C4953" i="9"/>
  <c r="C4952" i="9"/>
  <c r="C4951" i="9"/>
  <c r="C4950" i="9"/>
  <c r="C4949" i="9"/>
  <c r="C4948" i="9"/>
  <c r="C4947" i="9"/>
  <c r="C4946" i="9"/>
  <c r="C4945" i="9"/>
  <c r="C4944" i="9"/>
  <c r="C4943" i="9"/>
  <c r="C4942" i="9"/>
  <c r="C4941" i="9"/>
  <c r="C4940" i="9"/>
  <c r="C4939" i="9"/>
  <c r="C4938" i="9"/>
  <c r="C4937" i="9"/>
  <c r="C4936" i="9"/>
  <c r="C4935" i="9"/>
  <c r="C4934" i="9"/>
  <c r="C4933" i="9"/>
  <c r="C4932" i="9"/>
  <c r="C4931" i="9"/>
  <c r="C4930" i="9"/>
  <c r="C4929" i="9"/>
  <c r="C4928" i="9"/>
  <c r="C4927" i="9"/>
  <c r="C4926" i="9"/>
  <c r="C4925" i="9"/>
  <c r="C4924" i="9"/>
  <c r="C4923" i="9"/>
  <c r="C4922" i="9"/>
  <c r="C4921" i="9"/>
  <c r="C4920" i="9"/>
  <c r="C4919" i="9"/>
  <c r="C4918" i="9"/>
  <c r="C4917" i="9"/>
  <c r="C4916" i="9"/>
  <c r="C4915" i="9"/>
  <c r="C4914" i="9"/>
  <c r="C4913" i="9"/>
  <c r="C4912" i="9"/>
  <c r="C4911" i="9"/>
  <c r="C4910" i="9"/>
  <c r="C4909" i="9"/>
  <c r="C4908" i="9"/>
  <c r="C4907" i="9"/>
  <c r="C4906" i="9"/>
  <c r="C4905" i="9"/>
  <c r="C4904" i="9"/>
  <c r="C4903" i="9"/>
  <c r="C4902" i="9"/>
  <c r="C4901" i="9"/>
  <c r="C4900" i="9"/>
  <c r="C4899" i="9"/>
  <c r="C4898" i="9"/>
  <c r="C4897" i="9"/>
  <c r="C4896" i="9"/>
  <c r="C4895" i="9"/>
  <c r="C4894" i="9"/>
  <c r="C4893" i="9"/>
  <c r="C4892" i="9"/>
  <c r="C4891" i="9"/>
  <c r="C4890" i="9"/>
  <c r="C4889" i="9"/>
  <c r="C4888" i="9"/>
  <c r="C4887" i="9"/>
  <c r="C4886" i="9"/>
  <c r="C4885" i="9"/>
  <c r="C4884" i="9"/>
  <c r="C4883" i="9"/>
  <c r="C4882" i="9"/>
  <c r="C4881" i="9"/>
  <c r="C4880" i="9"/>
  <c r="C4879" i="9"/>
  <c r="C4878" i="9"/>
  <c r="C4877" i="9"/>
  <c r="C4876" i="9"/>
  <c r="C4875" i="9"/>
  <c r="C4874" i="9"/>
  <c r="C4873" i="9"/>
  <c r="C4872" i="9"/>
  <c r="C4871" i="9"/>
  <c r="C4870" i="9"/>
  <c r="C4869" i="9"/>
  <c r="C4868" i="9"/>
  <c r="C4867" i="9"/>
  <c r="C4866" i="9"/>
  <c r="C4865" i="9"/>
  <c r="C4864" i="9"/>
  <c r="C4863" i="9"/>
  <c r="C4862" i="9"/>
  <c r="C4861" i="9"/>
  <c r="C4860" i="9"/>
  <c r="C4859" i="9"/>
  <c r="C4858" i="9"/>
  <c r="C4857" i="9"/>
  <c r="C4856" i="9"/>
  <c r="C4855" i="9"/>
  <c r="C4854" i="9"/>
  <c r="C4853" i="9"/>
  <c r="C4852" i="9"/>
  <c r="C4851" i="9"/>
  <c r="C4850" i="9"/>
  <c r="C4849" i="9"/>
  <c r="C4848" i="9"/>
  <c r="C4847" i="9"/>
  <c r="C4846" i="9"/>
  <c r="C4845" i="9"/>
  <c r="C4844" i="9"/>
  <c r="C4843" i="9"/>
  <c r="C4842" i="9"/>
  <c r="C4841" i="9"/>
  <c r="C4840" i="9"/>
  <c r="C4839" i="9"/>
  <c r="C4838" i="9"/>
  <c r="C4837" i="9"/>
  <c r="C4836" i="9"/>
  <c r="C4835" i="9"/>
  <c r="C4834" i="9"/>
  <c r="C4833" i="9"/>
  <c r="C4832" i="9"/>
  <c r="C4831" i="9"/>
  <c r="C4830" i="9"/>
  <c r="C4829" i="9"/>
  <c r="C4828" i="9"/>
  <c r="C4827" i="9"/>
  <c r="C4826" i="9"/>
  <c r="C4825" i="9"/>
  <c r="C4824" i="9"/>
  <c r="C4823" i="9"/>
  <c r="C4822" i="9"/>
  <c r="C4821" i="9"/>
  <c r="C4820" i="9"/>
  <c r="C4819" i="9"/>
  <c r="C4818" i="9"/>
  <c r="C4817" i="9"/>
  <c r="C4816" i="9"/>
  <c r="C4815" i="9"/>
  <c r="C4814" i="9"/>
  <c r="C4813" i="9"/>
  <c r="C4812" i="9"/>
  <c r="C4811" i="9"/>
  <c r="C4810" i="9"/>
  <c r="C4809" i="9"/>
  <c r="C4808" i="9"/>
  <c r="C4807" i="9"/>
  <c r="C4806" i="9"/>
  <c r="C4805" i="9"/>
  <c r="C4804" i="9"/>
  <c r="C4803" i="9"/>
  <c r="C4802" i="9"/>
  <c r="C4801" i="9"/>
  <c r="C4800" i="9"/>
  <c r="C4799" i="9"/>
  <c r="C4798" i="9"/>
  <c r="C4797" i="9"/>
  <c r="C4796" i="9"/>
  <c r="C4795" i="9"/>
  <c r="C4794" i="9"/>
  <c r="C4793" i="9"/>
  <c r="C4792" i="9"/>
  <c r="C4791" i="9"/>
  <c r="C4790" i="9"/>
  <c r="C4789" i="9"/>
  <c r="C4788" i="9"/>
  <c r="C4787" i="9"/>
  <c r="C4786" i="9"/>
  <c r="C4785" i="9"/>
  <c r="C4784" i="9"/>
  <c r="C4783" i="9"/>
  <c r="C4782" i="9"/>
  <c r="C4781" i="9"/>
  <c r="C4780" i="9"/>
  <c r="C4779" i="9"/>
  <c r="C4778" i="9"/>
  <c r="C4777" i="9"/>
  <c r="C4776" i="9"/>
  <c r="C4775" i="9"/>
  <c r="C4774" i="9"/>
  <c r="C4773" i="9"/>
  <c r="C4772" i="9"/>
  <c r="C4771" i="9"/>
  <c r="C4770" i="9"/>
  <c r="C4769" i="9"/>
  <c r="C4768" i="9"/>
  <c r="C4767" i="9"/>
  <c r="C4766" i="9"/>
  <c r="C4765" i="9"/>
  <c r="C4764" i="9"/>
  <c r="C4763" i="9"/>
  <c r="C4762" i="9"/>
  <c r="C4761" i="9"/>
  <c r="C4760" i="9"/>
  <c r="C4759" i="9"/>
  <c r="C4758" i="9"/>
  <c r="C4757" i="9"/>
  <c r="C4756" i="9"/>
  <c r="C4755" i="9"/>
  <c r="C4754" i="9"/>
  <c r="C4753" i="9"/>
  <c r="C4752" i="9"/>
  <c r="C4751" i="9"/>
  <c r="C4750" i="9"/>
  <c r="C4749" i="9"/>
  <c r="C4748" i="9"/>
  <c r="C4747" i="9"/>
  <c r="C4746" i="9"/>
  <c r="C4745" i="9"/>
  <c r="C4744" i="9"/>
  <c r="C4743" i="9"/>
  <c r="C4742" i="9"/>
  <c r="C4741" i="9"/>
  <c r="C4740" i="9"/>
  <c r="C4739" i="9"/>
  <c r="C4738" i="9"/>
  <c r="C4737" i="9"/>
  <c r="C4736" i="9"/>
  <c r="C4735" i="9"/>
  <c r="C4734" i="9"/>
  <c r="C4733" i="9"/>
  <c r="C4732" i="9"/>
  <c r="C4731" i="9"/>
  <c r="C4730" i="9"/>
  <c r="C4729" i="9"/>
  <c r="C4728" i="9"/>
  <c r="C4727" i="9"/>
  <c r="C4726" i="9"/>
  <c r="C4725" i="9"/>
  <c r="C4724" i="9"/>
  <c r="C4723" i="9"/>
  <c r="C4722" i="9"/>
  <c r="C4721" i="9"/>
  <c r="C4720" i="9"/>
  <c r="C4719" i="9"/>
  <c r="C4718" i="9"/>
  <c r="C4717" i="9"/>
  <c r="C4716" i="9"/>
  <c r="C4715" i="9"/>
  <c r="C4714" i="9"/>
  <c r="C4713" i="9"/>
  <c r="C4712" i="9"/>
  <c r="C4711" i="9"/>
  <c r="C4710" i="9"/>
  <c r="C4709" i="9"/>
  <c r="C4708" i="9"/>
  <c r="C4707" i="9"/>
  <c r="C4706" i="9"/>
  <c r="C4705" i="9"/>
  <c r="C4704" i="9"/>
  <c r="C4703" i="9"/>
  <c r="C4702" i="9"/>
  <c r="C4701" i="9"/>
  <c r="C4700" i="9"/>
  <c r="C4699" i="9"/>
  <c r="C4698" i="9"/>
  <c r="C4697" i="9"/>
  <c r="C4696" i="9"/>
  <c r="C4695" i="9"/>
  <c r="C4694" i="9"/>
  <c r="C4693" i="9"/>
  <c r="C4692" i="9"/>
  <c r="C4691" i="9"/>
  <c r="C4690" i="9"/>
  <c r="C4689" i="9"/>
  <c r="C4688" i="9"/>
  <c r="C4687" i="9"/>
  <c r="C4686" i="9"/>
  <c r="C4685" i="9"/>
  <c r="C4684" i="9"/>
  <c r="C4683" i="9"/>
  <c r="C4682" i="9"/>
  <c r="C4681" i="9"/>
  <c r="C4680" i="9"/>
  <c r="C4679" i="9"/>
  <c r="C4678" i="9"/>
  <c r="C4677" i="9"/>
  <c r="C4676" i="9"/>
  <c r="C4675" i="9"/>
  <c r="C4674" i="9"/>
  <c r="C4673" i="9"/>
  <c r="C4672" i="9"/>
  <c r="C4671" i="9"/>
  <c r="C4670" i="9"/>
  <c r="C4669" i="9"/>
  <c r="C4668" i="9"/>
  <c r="C4667" i="9"/>
  <c r="C4666" i="9"/>
  <c r="C4665" i="9"/>
  <c r="C4664" i="9"/>
  <c r="C4663" i="9"/>
  <c r="C4662" i="9"/>
  <c r="C4661" i="9"/>
  <c r="C4660" i="9"/>
  <c r="C4659" i="9"/>
  <c r="C4658" i="9"/>
  <c r="C4657" i="9"/>
  <c r="C4656" i="9"/>
  <c r="C4655" i="9"/>
  <c r="C4654" i="9"/>
  <c r="C4653" i="9"/>
  <c r="C4652" i="9"/>
  <c r="C4651" i="9"/>
  <c r="C4650" i="9"/>
  <c r="C4649" i="9"/>
  <c r="C4648" i="9"/>
  <c r="C4647" i="9"/>
  <c r="C4646" i="9"/>
  <c r="C4645" i="9"/>
  <c r="C4644" i="9"/>
  <c r="C4643" i="9"/>
  <c r="C4642" i="9"/>
  <c r="C4641" i="9"/>
  <c r="C4640" i="9"/>
  <c r="C4639" i="9"/>
  <c r="C4638" i="9"/>
  <c r="C4637" i="9"/>
  <c r="C4636" i="9"/>
  <c r="C4635" i="9"/>
  <c r="C4634" i="9"/>
  <c r="C4633" i="9"/>
  <c r="C4632" i="9"/>
  <c r="C4631" i="9"/>
  <c r="C4630" i="9"/>
  <c r="C4629" i="9"/>
  <c r="C4628" i="9"/>
  <c r="C4627" i="9"/>
  <c r="C4626" i="9"/>
  <c r="C4625" i="9"/>
  <c r="C4624" i="9"/>
  <c r="C4623" i="9"/>
  <c r="C4622" i="9"/>
  <c r="C4621" i="9"/>
  <c r="C4620" i="9"/>
  <c r="C4619" i="9"/>
  <c r="C4618" i="9"/>
  <c r="C4617" i="9"/>
  <c r="C4616" i="9"/>
  <c r="C4615" i="9"/>
  <c r="C4614" i="9"/>
  <c r="C4613" i="9"/>
  <c r="C4612" i="9"/>
  <c r="C4611" i="9"/>
  <c r="C4610" i="9"/>
  <c r="C4609" i="9"/>
  <c r="C4608" i="9"/>
  <c r="C4607" i="9"/>
  <c r="C4606" i="9"/>
  <c r="C4605" i="9"/>
  <c r="C4604" i="9"/>
  <c r="C4603" i="9"/>
  <c r="C4602" i="9"/>
  <c r="C4601" i="9"/>
  <c r="C4600" i="9"/>
  <c r="C4599" i="9"/>
  <c r="C4598" i="9"/>
  <c r="C4597" i="9"/>
  <c r="C4596" i="9"/>
  <c r="C4595" i="9"/>
  <c r="C4594" i="9"/>
  <c r="C4593" i="9"/>
  <c r="C4592" i="9"/>
  <c r="C4591" i="9"/>
  <c r="C4590" i="9"/>
  <c r="C4589" i="9"/>
  <c r="C4588" i="9"/>
  <c r="C4587" i="9"/>
  <c r="C4586" i="9"/>
  <c r="C4585" i="9"/>
  <c r="C4584" i="9"/>
  <c r="C4583" i="9"/>
  <c r="C4582" i="9"/>
  <c r="C4581" i="9"/>
  <c r="C4580" i="9"/>
  <c r="C4579" i="9"/>
  <c r="C4578" i="9"/>
  <c r="C4577" i="9"/>
  <c r="C4576" i="9"/>
  <c r="C4575" i="9"/>
  <c r="C4574" i="9"/>
  <c r="C4573" i="9"/>
  <c r="C4572" i="9"/>
  <c r="C4571" i="9"/>
  <c r="C4570" i="9"/>
  <c r="C4569" i="9"/>
  <c r="C4568" i="9"/>
  <c r="C4567" i="9"/>
  <c r="C4566" i="9"/>
  <c r="C4565" i="9"/>
  <c r="C4564" i="9"/>
  <c r="C4563" i="9"/>
  <c r="C4562" i="9"/>
  <c r="C4561" i="9"/>
  <c r="C4560" i="9"/>
  <c r="C4559" i="9"/>
  <c r="C4558" i="9"/>
  <c r="C4557" i="9"/>
  <c r="C4556" i="9"/>
  <c r="C4555" i="9"/>
  <c r="C4554" i="9"/>
  <c r="C4553" i="9"/>
  <c r="C4552" i="9"/>
  <c r="C4551" i="9"/>
  <c r="C4550" i="9"/>
  <c r="C4549" i="9"/>
  <c r="C4548" i="9"/>
  <c r="C4547" i="9"/>
  <c r="C4546" i="9"/>
  <c r="C4545" i="9"/>
  <c r="C4544" i="9"/>
  <c r="C4543" i="9"/>
  <c r="C4542" i="9"/>
  <c r="C4541" i="9"/>
  <c r="C4540" i="9"/>
  <c r="C4539" i="9"/>
  <c r="C4538" i="9"/>
  <c r="C4537" i="9"/>
  <c r="C4536" i="9"/>
  <c r="C4535" i="9"/>
  <c r="C4534" i="9"/>
  <c r="C4533" i="9"/>
  <c r="C4532" i="9"/>
  <c r="C4531" i="9"/>
  <c r="C4530" i="9"/>
  <c r="C4529" i="9"/>
  <c r="C4528" i="9"/>
  <c r="C4527" i="9"/>
  <c r="C4526" i="9"/>
  <c r="C4525" i="9"/>
  <c r="C4524" i="9"/>
  <c r="C4523" i="9"/>
  <c r="C4522" i="9"/>
  <c r="C4521" i="9"/>
  <c r="C4520" i="9"/>
  <c r="C4519" i="9"/>
  <c r="C4518" i="9"/>
  <c r="C4517" i="9"/>
  <c r="C4516" i="9"/>
  <c r="C4515" i="9"/>
  <c r="C4514" i="9"/>
  <c r="C4513" i="9"/>
  <c r="C4512" i="9"/>
  <c r="C4511" i="9"/>
  <c r="C4510" i="9"/>
  <c r="C4509" i="9"/>
  <c r="C4508" i="9"/>
  <c r="C4507" i="9"/>
  <c r="C4506" i="9"/>
  <c r="C4505" i="9"/>
  <c r="C4504" i="9"/>
  <c r="C4503" i="9"/>
  <c r="C4502" i="9"/>
  <c r="C4501" i="9"/>
  <c r="C4500" i="9"/>
  <c r="C4499" i="9"/>
  <c r="C4498" i="9"/>
  <c r="C4497" i="9"/>
  <c r="C4496" i="9"/>
  <c r="C4495" i="9"/>
  <c r="C4494" i="9"/>
  <c r="C4493" i="9"/>
  <c r="C4492" i="9"/>
  <c r="C4491" i="9"/>
  <c r="C4490" i="9"/>
  <c r="C4489" i="9"/>
  <c r="C4488" i="9"/>
  <c r="C4487" i="9"/>
  <c r="C4486" i="9"/>
  <c r="C4485" i="9"/>
  <c r="C4484" i="9"/>
  <c r="C4483" i="9"/>
  <c r="C4482" i="9"/>
  <c r="C4481" i="9"/>
  <c r="C4480" i="9"/>
  <c r="C4479" i="9"/>
  <c r="C4478" i="9"/>
  <c r="C4477" i="9"/>
  <c r="C4476" i="9"/>
  <c r="C4475" i="9"/>
  <c r="C4474" i="9"/>
  <c r="C4473" i="9"/>
  <c r="C4472" i="9"/>
  <c r="C4471" i="9"/>
  <c r="C4470" i="9"/>
  <c r="C4469" i="9"/>
  <c r="C4468" i="9"/>
  <c r="C4467" i="9"/>
  <c r="C4466" i="9"/>
  <c r="C4465" i="9"/>
  <c r="C4464" i="9"/>
  <c r="C4463" i="9"/>
  <c r="C4462" i="9"/>
  <c r="C4461" i="9"/>
  <c r="C4460" i="9"/>
  <c r="C4459" i="9"/>
  <c r="C4458" i="9"/>
  <c r="C4457" i="9"/>
  <c r="C4456" i="9"/>
  <c r="C4455" i="9"/>
  <c r="C4454" i="9"/>
  <c r="C4453" i="9"/>
  <c r="C4452" i="9"/>
  <c r="C4451" i="9"/>
  <c r="C4450" i="9"/>
  <c r="C4449" i="9"/>
  <c r="C4448" i="9"/>
  <c r="C4447" i="9"/>
  <c r="C4446" i="9"/>
  <c r="C4445" i="9"/>
  <c r="C4444" i="9"/>
  <c r="C4443" i="9"/>
  <c r="C4442" i="9"/>
  <c r="C4441" i="9"/>
  <c r="C4440" i="9"/>
  <c r="C4439" i="9"/>
  <c r="C4438" i="9"/>
  <c r="C4437" i="9"/>
  <c r="C4436" i="9"/>
  <c r="C4435" i="9"/>
  <c r="C4434" i="9"/>
  <c r="C4433" i="9"/>
  <c r="C4432" i="9"/>
  <c r="C4431" i="9"/>
  <c r="C4430" i="9"/>
  <c r="C4429" i="9"/>
  <c r="C4428" i="9"/>
  <c r="C4427" i="9"/>
  <c r="C4426" i="9"/>
  <c r="C4425" i="9"/>
  <c r="C4424" i="9"/>
  <c r="C4423" i="9"/>
  <c r="C4422" i="9"/>
  <c r="C4421" i="9"/>
  <c r="C4420" i="9"/>
  <c r="C4419" i="9"/>
  <c r="C4418" i="9"/>
  <c r="C4417" i="9"/>
  <c r="C4416" i="9"/>
  <c r="C4415" i="9"/>
  <c r="C4414" i="9"/>
  <c r="C4413" i="9"/>
  <c r="C4412" i="9"/>
  <c r="C4411" i="9"/>
  <c r="C4410" i="9"/>
  <c r="C4409" i="9"/>
  <c r="C4408" i="9"/>
  <c r="C4407" i="9"/>
  <c r="C4406" i="9"/>
  <c r="C4405" i="9"/>
  <c r="C4404" i="9"/>
  <c r="C4403" i="9"/>
  <c r="C4402" i="9"/>
  <c r="C4401" i="9"/>
  <c r="C4400" i="9"/>
  <c r="C4399" i="9"/>
  <c r="C4398" i="9"/>
  <c r="C4397" i="9"/>
  <c r="C4396" i="9"/>
  <c r="C4395" i="9"/>
  <c r="C4394" i="9"/>
  <c r="C4393" i="9"/>
  <c r="C4392" i="9"/>
  <c r="C4391" i="9"/>
  <c r="C4390" i="9"/>
  <c r="C4389" i="9"/>
  <c r="C4388" i="9"/>
  <c r="C4387" i="9"/>
  <c r="C4386" i="9"/>
  <c r="C4385" i="9"/>
  <c r="C4384" i="9"/>
  <c r="C4383" i="9"/>
  <c r="C4382" i="9"/>
  <c r="C4381" i="9"/>
  <c r="C4380" i="9"/>
  <c r="C4379" i="9"/>
  <c r="C4378" i="9"/>
  <c r="C4377" i="9"/>
  <c r="C4376" i="9"/>
  <c r="C4375" i="9"/>
  <c r="C4374" i="9"/>
  <c r="C4373" i="9"/>
  <c r="C4372" i="9"/>
  <c r="C4371" i="9"/>
  <c r="C4370" i="9"/>
  <c r="C4369" i="9"/>
  <c r="C4368" i="9"/>
  <c r="C4367" i="9"/>
  <c r="C4366" i="9"/>
  <c r="C4365" i="9"/>
  <c r="C4364" i="9"/>
  <c r="C4363" i="9"/>
  <c r="C4362" i="9"/>
  <c r="C4361" i="9"/>
  <c r="C4360" i="9"/>
  <c r="C4359" i="9"/>
  <c r="C4358" i="9"/>
  <c r="C4357" i="9"/>
  <c r="C4356" i="9"/>
  <c r="C4355" i="9"/>
  <c r="C4354" i="9"/>
  <c r="C4353" i="9"/>
  <c r="C4352" i="9"/>
  <c r="C4351" i="9"/>
  <c r="C4350" i="9"/>
  <c r="C4349" i="9"/>
  <c r="C4348" i="9"/>
  <c r="C4347" i="9"/>
  <c r="C4346" i="9"/>
  <c r="C4345" i="9"/>
  <c r="C4344" i="9"/>
  <c r="C4343" i="9"/>
  <c r="C4342" i="9"/>
  <c r="C4341" i="9"/>
  <c r="C4340" i="9"/>
  <c r="C4339" i="9"/>
  <c r="C4338" i="9"/>
  <c r="C4337" i="9"/>
  <c r="C4336" i="9"/>
  <c r="C4335" i="9"/>
  <c r="C4334" i="9"/>
  <c r="C4333" i="9"/>
  <c r="C4332" i="9"/>
  <c r="C4331" i="9"/>
  <c r="C4330" i="9"/>
  <c r="C4329" i="9"/>
  <c r="C4328" i="9"/>
  <c r="C4327" i="9"/>
  <c r="C4326" i="9"/>
  <c r="C4325" i="9"/>
  <c r="C4324" i="9"/>
  <c r="C4323" i="9"/>
  <c r="C4322" i="9"/>
  <c r="C4321" i="9"/>
  <c r="C4320" i="9"/>
  <c r="C4319" i="9"/>
  <c r="C4318" i="9"/>
  <c r="C4317" i="9"/>
  <c r="C4316" i="9"/>
  <c r="C4315" i="9"/>
  <c r="C4314" i="9"/>
  <c r="C4313" i="9"/>
  <c r="C4312" i="9"/>
  <c r="C4311" i="9"/>
  <c r="C4310" i="9"/>
  <c r="C4309" i="9"/>
  <c r="C4308" i="9"/>
  <c r="C4307" i="9"/>
  <c r="C4306" i="9"/>
  <c r="C4305" i="9"/>
  <c r="C4304" i="9"/>
  <c r="C4303" i="9"/>
  <c r="C4302" i="9"/>
  <c r="C4301" i="9"/>
  <c r="C4300" i="9"/>
  <c r="C4299" i="9"/>
  <c r="C4298" i="9"/>
  <c r="C4297" i="9"/>
  <c r="C4296" i="9"/>
  <c r="C4295" i="9"/>
  <c r="C4294" i="9"/>
  <c r="C4293" i="9"/>
  <c r="C4292" i="9"/>
  <c r="C4291" i="9"/>
  <c r="C4290" i="9"/>
  <c r="C4289" i="9"/>
  <c r="C4288" i="9"/>
  <c r="C4287" i="9"/>
  <c r="C4286" i="9"/>
  <c r="C4285" i="9"/>
  <c r="C4284" i="9"/>
  <c r="C4283" i="9"/>
  <c r="C4282" i="9"/>
  <c r="C4281" i="9"/>
  <c r="C4280" i="9"/>
  <c r="C4279" i="9"/>
  <c r="C4278" i="9"/>
  <c r="C4277" i="9"/>
  <c r="C4276" i="9"/>
  <c r="C4275" i="9"/>
  <c r="C4274" i="9"/>
  <c r="C4273" i="9"/>
  <c r="C4272" i="9"/>
  <c r="C4271" i="9"/>
  <c r="C4270" i="9"/>
  <c r="C4269" i="9"/>
  <c r="C4268" i="9"/>
  <c r="C4267" i="9"/>
  <c r="C4266" i="9"/>
  <c r="C4265" i="9"/>
  <c r="C4264" i="9"/>
  <c r="C4263" i="9"/>
  <c r="C4262" i="9"/>
  <c r="C4261" i="9"/>
  <c r="C4260" i="9"/>
  <c r="C4259" i="9"/>
  <c r="C4258" i="9"/>
  <c r="C4257" i="9"/>
  <c r="C4256" i="9"/>
  <c r="C4255" i="9"/>
  <c r="C4254" i="9"/>
  <c r="C4253" i="9"/>
  <c r="C4252" i="9"/>
  <c r="C4251" i="9"/>
  <c r="C4250" i="9"/>
  <c r="C4249" i="9"/>
  <c r="C4248" i="9"/>
  <c r="C4247" i="9"/>
  <c r="C4246" i="9"/>
  <c r="C4245" i="9"/>
  <c r="C4244" i="9"/>
  <c r="C4243" i="9"/>
  <c r="C4242" i="9"/>
  <c r="C4241" i="9"/>
  <c r="C4240" i="9"/>
  <c r="C4239" i="9"/>
  <c r="C4238" i="9"/>
  <c r="C4237" i="9"/>
  <c r="C4236" i="9"/>
  <c r="C4235" i="9"/>
  <c r="C4234" i="9"/>
  <c r="C4233" i="9"/>
  <c r="C4232" i="9"/>
  <c r="C4231" i="9"/>
  <c r="C4230" i="9"/>
  <c r="C4229" i="9"/>
  <c r="C4228" i="9"/>
  <c r="C4227" i="9"/>
  <c r="C4226" i="9"/>
  <c r="C4225" i="9"/>
  <c r="C4224" i="9"/>
  <c r="C4223" i="9"/>
  <c r="C4222" i="9"/>
  <c r="C4221" i="9"/>
  <c r="C4220" i="9"/>
  <c r="C4219" i="9"/>
  <c r="C4218" i="9"/>
  <c r="C4217" i="9"/>
  <c r="C4216" i="9"/>
  <c r="C4215" i="9"/>
  <c r="C4214" i="9"/>
  <c r="C4213" i="9"/>
  <c r="C4212" i="9"/>
  <c r="C4211" i="9"/>
  <c r="C4210" i="9"/>
  <c r="C4209" i="9"/>
  <c r="C4208" i="9"/>
  <c r="C4207" i="9"/>
  <c r="C4206" i="9"/>
  <c r="C4205" i="9"/>
  <c r="C4204" i="9"/>
  <c r="C4203" i="9"/>
  <c r="C4202" i="9"/>
  <c r="C4201" i="9"/>
  <c r="C4200" i="9"/>
  <c r="C4199" i="9"/>
  <c r="C4198" i="9"/>
  <c r="C4197" i="9"/>
  <c r="C4196" i="9"/>
  <c r="C4195" i="9"/>
  <c r="C4194" i="9"/>
  <c r="C4193" i="9"/>
  <c r="C4192" i="9"/>
  <c r="C4191" i="9"/>
  <c r="C4190" i="9"/>
  <c r="C4189" i="9"/>
  <c r="C4188" i="9"/>
  <c r="C4187" i="9"/>
  <c r="C4186" i="9"/>
  <c r="C4185" i="9"/>
  <c r="C4184" i="9"/>
  <c r="C4183" i="9"/>
  <c r="C4182" i="9"/>
  <c r="C4181" i="9"/>
  <c r="C4180" i="9"/>
  <c r="C4179" i="9"/>
  <c r="C4178" i="9"/>
  <c r="C4177" i="9"/>
  <c r="C4176" i="9"/>
  <c r="C4175" i="9"/>
  <c r="C4174" i="9"/>
  <c r="C4173" i="9"/>
  <c r="C4172" i="9"/>
  <c r="C4171" i="9"/>
  <c r="C4170" i="9"/>
  <c r="C4169" i="9"/>
  <c r="C4168" i="9"/>
  <c r="C4167" i="9"/>
  <c r="C4166" i="9"/>
  <c r="C4165" i="9"/>
  <c r="C4164" i="9"/>
  <c r="C4163" i="9"/>
  <c r="C4162" i="9"/>
  <c r="C4161" i="9"/>
  <c r="C4160" i="9"/>
  <c r="C4159" i="9"/>
  <c r="C4158" i="9"/>
  <c r="C4157" i="9"/>
  <c r="C4156" i="9"/>
  <c r="C4155" i="9"/>
  <c r="C4154" i="9"/>
  <c r="C4153" i="9"/>
  <c r="C4152" i="9"/>
  <c r="C4151" i="9"/>
  <c r="C4150" i="9"/>
  <c r="C4149" i="9"/>
  <c r="C4148" i="9"/>
  <c r="C4147" i="9"/>
  <c r="C4146" i="9"/>
  <c r="C4145" i="9"/>
  <c r="C4144" i="9"/>
  <c r="C4143" i="9"/>
  <c r="C4142" i="9"/>
  <c r="C4141" i="9"/>
  <c r="C4140" i="9"/>
  <c r="C4139" i="9"/>
  <c r="C4138" i="9"/>
  <c r="C4137" i="9"/>
  <c r="C4136" i="9"/>
  <c r="C4135" i="9"/>
  <c r="C4134" i="9"/>
  <c r="C4133" i="9"/>
  <c r="C4132" i="9"/>
  <c r="C4131" i="9"/>
  <c r="C4130" i="9"/>
  <c r="C4129" i="9"/>
  <c r="C4128" i="9"/>
  <c r="C4127" i="9"/>
  <c r="C4126" i="9"/>
  <c r="C4125" i="9"/>
  <c r="C4124" i="9"/>
  <c r="C4123" i="9"/>
  <c r="C4122" i="9"/>
  <c r="C4121" i="9"/>
  <c r="C4120" i="9"/>
  <c r="C4119" i="9"/>
  <c r="C4118" i="9"/>
  <c r="C4117" i="9"/>
  <c r="C4116" i="9"/>
  <c r="C4115" i="9"/>
  <c r="C4114" i="9"/>
  <c r="C4113" i="9"/>
  <c r="C4112" i="9"/>
  <c r="C4111" i="9"/>
  <c r="C4110" i="9"/>
  <c r="C4109" i="9"/>
  <c r="C4108" i="9"/>
  <c r="C4107" i="9"/>
  <c r="C4106" i="9"/>
  <c r="C4105" i="9"/>
  <c r="C4104" i="9"/>
  <c r="C4103" i="9"/>
  <c r="C4102" i="9"/>
  <c r="C4101" i="9"/>
  <c r="C4100" i="9"/>
  <c r="C4099" i="9"/>
  <c r="C4098" i="9"/>
  <c r="C4097" i="9"/>
  <c r="C4096" i="9"/>
  <c r="C4095" i="9"/>
  <c r="C4094" i="9"/>
  <c r="C4093" i="9"/>
  <c r="C4092" i="9"/>
  <c r="C4091" i="9"/>
  <c r="C4090" i="9"/>
  <c r="C4089" i="9"/>
  <c r="C4088" i="9"/>
  <c r="C4087" i="9"/>
  <c r="C4086" i="9"/>
  <c r="C4085" i="9"/>
  <c r="C4084" i="9"/>
  <c r="C4083" i="9"/>
  <c r="C4082" i="9"/>
  <c r="C4081" i="9"/>
  <c r="C4080" i="9"/>
  <c r="C4079" i="9"/>
  <c r="C4078" i="9"/>
  <c r="C4077" i="9"/>
  <c r="C4076" i="9"/>
  <c r="C4075" i="9"/>
  <c r="C4074" i="9"/>
  <c r="C4073" i="9"/>
  <c r="C4072" i="9"/>
  <c r="C4071" i="9"/>
  <c r="C4070" i="9"/>
  <c r="C4069" i="9"/>
  <c r="C4068" i="9"/>
  <c r="C4067" i="9"/>
  <c r="C4066" i="9"/>
  <c r="C4065" i="9"/>
  <c r="C4064" i="9"/>
  <c r="C4063" i="9"/>
  <c r="C4062" i="9"/>
  <c r="C4061" i="9"/>
  <c r="C4060" i="9"/>
  <c r="C4059" i="9"/>
  <c r="C4058" i="9"/>
  <c r="C4057" i="9"/>
  <c r="C4056" i="9"/>
  <c r="C4055" i="9"/>
  <c r="C4054" i="9"/>
  <c r="C4053" i="9"/>
  <c r="C4052" i="9"/>
  <c r="C4051" i="9"/>
  <c r="C4050" i="9"/>
  <c r="C4049" i="9"/>
  <c r="C4048" i="9"/>
  <c r="C4047" i="9"/>
  <c r="C4046" i="9"/>
  <c r="C4045" i="9"/>
  <c r="C4044" i="9"/>
  <c r="C4043" i="9"/>
  <c r="C4042" i="9"/>
  <c r="C4041" i="9"/>
  <c r="C4040" i="9"/>
  <c r="C4039" i="9"/>
  <c r="C4038" i="9"/>
  <c r="C4037" i="9"/>
  <c r="C4036" i="9"/>
  <c r="C4035" i="9"/>
  <c r="C4034" i="9"/>
  <c r="C4033" i="9"/>
  <c r="C4032" i="9"/>
  <c r="C4031" i="9"/>
  <c r="C4030" i="9"/>
  <c r="C4029" i="9"/>
  <c r="C4028" i="9"/>
  <c r="C4027" i="9"/>
  <c r="C4026" i="9"/>
  <c r="C4025" i="9"/>
  <c r="C4024" i="9"/>
  <c r="C4023" i="9"/>
  <c r="C4022" i="9"/>
  <c r="C4021" i="9"/>
  <c r="C4020" i="9"/>
  <c r="C4019" i="9"/>
  <c r="C4018" i="9"/>
  <c r="C4017" i="9"/>
  <c r="C4016" i="9"/>
  <c r="C4015" i="9"/>
  <c r="C4014" i="9"/>
  <c r="C4013" i="9"/>
  <c r="C4012" i="9"/>
  <c r="C4011" i="9"/>
  <c r="C4010" i="9"/>
  <c r="C4009" i="9"/>
  <c r="C4008" i="9"/>
  <c r="C4007" i="9"/>
  <c r="C4006" i="9"/>
  <c r="C4005" i="9"/>
  <c r="C4004" i="9"/>
  <c r="C4003" i="9"/>
  <c r="C4002" i="9"/>
  <c r="C4001" i="9"/>
  <c r="C4000" i="9"/>
  <c r="C3999" i="9"/>
  <c r="C3998" i="9"/>
  <c r="C3997" i="9"/>
  <c r="C3996" i="9"/>
  <c r="C3995" i="9"/>
  <c r="C3994" i="9"/>
  <c r="C3993" i="9"/>
  <c r="C3992" i="9"/>
  <c r="C3991" i="9"/>
  <c r="C3990" i="9"/>
  <c r="C3989" i="9"/>
  <c r="C3988" i="9"/>
  <c r="C3987" i="9"/>
  <c r="C3986" i="9"/>
  <c r="C3985" i="9"/>
  <c r="C3984" i="9"/>
  <c r="C3983" i="9"/>
  <c r="C3982" i="9"/>
  <c r="C3981" i="9"/>
  <c r="C3980" i="9"/>
  <c r="C3979" i="9"/>
  <c r="C3978" i="9"/>
  <c r="C3977" i="9"/>
  <c r="C3976" i="9"/>
  <c r="C3975" i="9"/>
  <c r="C3974" i="9"/>
  <c r="C3973" i="9"/>
  <c r="C3972" i="9"/>
  <c r="C3971" i="9"/>
  <c r="C3970" i="9"/>
  <c r="C3969" i="9"/>
  <c r="C3968" i="9"/>
  <c r="C3967" i="9"/>
  <c r="C3966" i="9"/>
  <c r="C3965" i="9"/>
  <c r="C3964" i="9"/>
  <c r="C3963" i="9"/>
  <c r="C3962" i="9"/>
  <c r="C3961" i="9"/>
  <c r="C3960" i="9"/>
  <c r="C3959" i="9"/>
  <c r="C3958" i="9"/>
  <c r="C3957" i="9"/>
  <c r="C3956" i="9"/>
  <c r="C3955" i="9"/>
  <c r="C3954" i="9"/>
  <c r="C3953" i="9"/>
  <c r="C3952" i="9"/>
  <c r="C3951" i="9"/>
  <c r="C3950" i="9"/>
  <c r="C3949" i="9"/>
  <c r="C3948" i="9"/>
  <c r="C3947" i="9"/>
  <c r="C3946" i="9"/>
  <c r="C3945" i="9"/>
  <c r="C3944" i="9"/>
  <c r="C3943" i="9"/>
  <c r="C3942" i="9"/>
  <c r="C3941" i="9"/>
  <c r="C3940" i="9"/>
  <c r="C3939" i="9"/>
  <c r="C3938" i="9"/>
  <c r="C3937" i="9"/>
  <c r="C3936" i="9"/>
  <c r="C3935" i="9"/>
  <c r="C3934" i="9"/>
  <c r="C3933" i="9"/>
  <c r="C3932" i="9"/>
  <c r="C3931" i="9"/>
  <c r="C3930" i="9"/>
  <c r="C3929" i="9"/>
  <c r="C3928" i="9"/>
  <c r="C3927" i="9"/>
  <c r="C3926" i="9"/>
  <c r="C3925" i="9"/>
  <c r="C3924" i="9"/>
  <c r="C3923" i="9"/>
  <c r="C3922" i="9"/>
  <c r="C3921" i="9"/>
  <c r="C3920" i="9"/>
  <c r="C3919" i="9"/>
  <c r="C3918" i="9"/>
  <c r="C3917" i="9"/>
  <c r="C3916" i="9"/>
  <c r="C3915" i="9"/>
  <c r="C3914" i="9"/>
  <c r="C3913" i="9"/>
  <c r="C3912" i="9"/>
  <c r="C3911" i="9"/>
  <c r="C3910" i="9"/>
  <c r="C3909" i="9"/>
  <c r="C3908" i="9"/>
  <c r="C3907" i="9"/>
  <c r="C3906" i="9"/>
  <c r="C3905" i="9"/>
  <c r="C3904" i="9"/>
  <c r="C3903" i="9"/>
  <c r="C3902" i="9"/>
  <c r="C3901" i="9"/>
  <c r="C3900" i="9"/>
  <c r="C3899" i="9"/>
  <c r="C3898" i="9"/>
  <c r="C3897" i="9"/>
  <c r="C3896" i="9"/>
  <c r="C3895" i="9"/>
  <c r="C3894" i="9"/>
  <c r="C3893" i="9"/>
  <c r="C3892" i="9"/>
  <c r="C3891" i="9"/>
  <c r="C3890" i="9"/>
  <c r="C3889" i="9"/>
  <c r="C3888" i="9"/>
  <c r="C3887" i="9"/>
  <c r="C3886" i="9"/>
  <c r="C3885" i="9"/>
  <c r="C3884" i="9"/>
  <c r="C3883" i="9"/>
  <c r="C3882" i="9"/>
  <c r="C3881" i="9"/>
  <c r="C3880" i="9"/>
  <c r="C3879" i="9"/>
  <c r="C3878" i="9"/>
  <c r="C3877" i="9"/>
  <c r="C3876" i="9"/>
  <c r="C3875" i="9"/>
  <c r="C3874" i="9"/>
  <c r="C3873" i="9"/>
  <c r="C3872" i="9"/>
  <c r="C3871" i="9"/>
  <c r="C3870" i="9"/>
  <c r="C3869" i="9"/>
  <c r="C3868" i="9"/>
  <c r="C3867" i="9"/>
  <c r="C3866" i="9"/>
  <c r="C3865" i="9"/>
  <c r="C3864" i="9"/>
  <c r="C3863" i="9"/>
  <c r="C3862" i="9"/>
  <c r="C3861" i="9"/>
  <c r="C3860" i="9"/>
  <c r="C3859" i="9"/>
  <c r="C3858" i="9"/>
  <c r="C3857" i="9"/>
  <c r="C3856" i="9"/>
  <c r="C3855" i="9"/>
  <c r="C3854" i="9"/>
  <c r="C3853" i="9"/>
  <c r="C3852" i="9"/>
  <c r="C3851" i="9"/>
  <c r="C3850" i="9"/>
  <c r="C3849" i="9"/>
  <c r="C3848" i="9"/>
  <c r="C3847" i="9"/>
  <c r="C3846" i="9"/>
  <c r="C3845" i="9"/>
  <c r="C3844" i="9"/>
  <c r="C3843" i="9"/>
  <c r="C3842" i="9"/>
  <c r="C3841" i="9"/>
  <c r="C3840" i="9"/>
  <c r="C3839" i="9"/>
  <c r="C3838" i="9"/>
  <c r="C3837" i="9"/>
  <c r="C3836" i="9"/>
  <c r="C3835" i="9"/>
  <c r="C3834" i="9"/>
  <c r="C3833" i="9"/>
  <c r="C3832" i="9"/>
  <c r="C3831" i="9"/>
  <c r="C3830" i="9"/>
  <c r="C3829" i="9"/>
  <c r="C3828" i="9"/>
  <c r="C3827" i="9"/>
  <c r="C3826" i="9"/>
  <c r="C3825" i="9"/>
  <c r="C3824" i="9"/>
  <c r="C3823" i="9"/>
  <c r="C3822" i="9"/>
  <c r="C3821" i="9"/>
  <c r="C3820" i="9"/>
  <c r="C3819" i="9"/>
  <c r="C3818" i="9"/>
  <c r="C3817" i="9"/>
  <c r="C3816" i="9"/>
  <c r="C3815" i="9"/>
  <c r="C3814" i="9"/>
  <c r="C3813" i="9"/>
  <c r="C3812" i="9"/>
  <c r="C3811" i="9"/>
  <c r="C3810" i="9"/>
  <c r="C3809" i="9"/>
  <c r="C3808" i="9"/>
  <c r="C3807" i="9"/>
  <c r="C3806" i="9"/>
  <c r="C3805" i="9"/>
  <c r="C3804" i="9"/>
  <c r="C3803" i="9"/>
  <c r="C3802" i="9"/>
  <c r="C3801" i="9"/>
  <c r="C3800" i="9"/>
  <c r="C3799" i="9"/>
  <c r="C3798" i="9"/>
  <c r="C3797" i="9"/>
  <c r="C3796" i="9"/>
  <c r="C3795" i="9"/>
  <c r="C3794" i="9"/>
  <c r="C3793" i="9"/>
  <c r="C3792" i="9"/>
  <c r="C3791" i="9"/>
  <c r="C3790" i="9"/>
  <c r="C3789" i="9"/>
  <c r="C3788" i="9"/>
  <c r="C3787" i="9"/>
  <c r="C3786" i="9"/>
  <c r="C3785" i="9"/>
  <c r="C3784" i="9"/>
  <c r="C3783" i="9"/>
  <c r="C3782" i="9"/>
  <c r="C3781" i="9"/>
  <c r="C3780" i="9"/>
  <c r="C3779" i="9"/>
  <c r="C3778" i="9"/>
  <c r="C3777" i="9"/>
  <c r="C3776" i="9"/>
  <c r="C3775" i="9"/>
  <c r="C3774" i="9"/>
  <c r="C3773" i="9"/>
  <c r="C3772" i="9"/>
  <c r="C3771" i="9"/>
  <c r="C3770" i="9"/>
  <c r="C3769" i="9"/>
  <c r="C3768" i="9"/>
  <c r="C3767" i="9"/>
  <c r="C3766" i="9"/>
  <c r="C3765" i="9"/>
  <c r="C3764" i="9"/>
  <c r="C3763" i="9"/>
  <c r="C3762" i="9"/>
  <c r="C3761" i="9"/>
  <c r="C3760" i="9"/>
  <c r="C3759" i="9"/>
  <c r="C3758" i="9"/>
  <c r="C3757" i="9"/>
  <c r="C3756" i="9"/>
  <c r="C3755" i="9"/>
  <c r="C3754" i="9"/>
  <c r="C3753" i="9"/>
  <c r="C3752" i="9"/>
  <c r="C3751" i="9"/>
  <c r="C3750" i="9"/>
  <c r="C3749" i="9"/>
  <c r="C3748" i="9"/>
  <c r="C3747" i="9"/>
  <c r="C3746" i="9"/>
  <c r="C3745" i="9"/>
  <c r="C3744" i="9"/>
  <c r="C3743" i="9"/>
  <c r="C3742" i="9"/>
  <c r="C3741" i="9"/>
  <c r="C3740" i="9"/>
  <c r="C3739" i="9"/>
  <c r="C3738" i="9"/>
  <c r="C3737" i="9"/>
  <c r="C3736" i="9"/>
  <c r="C3735" i="9"/>
  <c r="C3734" i="9"/>
  <c r="C3733" i="9"/>
  <c r="C3732" i="9"/>
  <c r="C3731" i="9"/>
  <c r="C3730" i="9"/>
  <c r="C3729" i="9"/>
  <c r="C3728" i="9"/>
  <c r="C3727" i="9"/>
  <c r="C3726" i="9"/>
  <c r="C3725" i="9"/>
  <c r="C3724" i="9"/>
  <c r="C3723" i="9"/>
  <c r="C3722" i="9"/>
  <c r="C3721" i="9"/>
  <c r="C3720" i="9"/>
  <c r="C3719" i="9"/>
  <c r="C3718" i="9"/>
  <c r="C3717" i="9"/>
  <c r="C3716" i="9"/>
  <c r="C3715" i="9"/>
  <c r="C3714" i="9"/>
  <c r="C3713" i="9"/>
  <c r="C3712" i="9"/>
  <c r="C3711" i="9"/>
  <c r="C3710" i="9"/>
  <c r="C3709" i="9"/>
  <c r="C3708" i="9"/>
  <c r="C3707" i="9"/>
  <c r="C3706" i="9"/>
  <c r="C3705" i="9"/>
  <c r="C3704" i="9"/>
  <c r="C3703" i="9"/>
  <c r="C3702" i="9"/>
  <c r="C3701" i="9"/>
  <c r="C3700" i="9"/>
  <c r="C3699" i="9"/>
  <c r="C3698" i="9"/>
  <c r="C3697" i="9"/>
  <c r="C3696" i="9"/>
  <c r="C3695" i="9"/>
  <c r="C3694" i="9"/>
  <c r="C3693" i="9"/>
  <c r="C3692" i="9"/>
  <c r="C3691" i="9"/>
  <c r="C3690" i="9"/>
  <c r="C3689" i="9"/>
  <c r="C3688" i="9"/>
  <c r="C3687" i="9"/>
  <c r="C3686" i="9"/>
  <c r="C3685" i="9"/>
  <c r="C3684" i="9"/>
  <c r="C3683" i="9"/>
  <c r="C3682" i="9"/>
  <c r="C3681" i="9"/>
  <c r="C3680" i="9"/>
  <c r="C3679" i="9"/>
  <c r="C3678" i="9"/>
  <c r="C3677" i="9"/>
  <c r="C3676" i="9"/>
  <c r="C3675" i="9"/>
  <c r="C3674" i="9"/>
  <c r="C3673" i="9"/>
  <c r="C3672" i="9"/>
  <c r="C3671" i="9"/>
  <c r="C3670" i="9"/>
  <c r="C3669" i="9"/>
  <c r="C3668" i="9"/>
  <c r="C3667" i="9"/>
  <c r="C3666" i="9"/>
  <c r="C3665" i="9"/>
  <c r="C3664" i="9"/>
  <c r="C3663" i="9"/>
  <c r="C3662" i="9"/>
  <c r="C3661" i="9"/>
  <c r="C3660" i="9"/>
  <c r="C3659" i="9"/>
  <c r="C3658" i="9"/>
  <c r="C3657" i="9"/>
  <c r="C3656" i="9"/>
  <c r="C3655" i="9"/>
  <c r="C3654" i="9"/>
  <c r="C3653" i="9"/>
  <c r="C3652" i="9"/>
  <c r="C3651" i="9"/>
  <c r="C3650" i="9"/>
  <c r="C3649" i="9"/>
  <c r="C3648" i="9"/>
  <c r="C3647" i="9"/>
  <c r="C3646" i="9"/>
  <c r="C3645" i="9"/>
  <c r="C3644" i="9"/>
  <c r="C3643" i="9"/>
  <c r="C3642" i="9"/>
  <c r="C3641" i="9"/>
  <c r="C3640" i="9"/>
  <c r="C3639" i="9"/>
  <c r="C3638" i="9"/>
  <c r="C3637" i="9"/>
  <c r="C3636" i="9"/>
  <c r="C3635" i="9"/>
  <c r="C3634" i="9"/>
  <c r="C3633" i="9"/>
  <c r="C3632" i="9"/>
  <c r="C3631" i="9"/>
  <c r="C3630" i="9"/>
  <c r="C3629" i="9"/>
  <c r="C3628" i="9"/>
  <c r="C3627" i="9"/>
  <c r="C3626" i="9"/>
  <c r="C3625" i="9"/>
  <c r="C3624" i="9"/>
  <c r="C3623" i="9"/>
  <c r="C3622" i="9"/>
  <c r="C3621" i="9"/>
  <c r="C3620" i="9"/>
  <c r="C3619" i="9"/>
  <c r="C3618" i="9"/>
  <c r="C3617" i="9"/>
  <c r="C3616" i="9"/>
  <c r="C3615" i="9"/>
  <c r="C3614" i="9"/>
  <c r="C3613" i="9"/>
  <c r="C3612" i="9"/>
  <c r="C3611" i="9"/>
  <c r="C3610" i="9"/>
  <c r="C3609" i="9"/>
  <c r="C3608" i="9"/>
  <c r="C3607" i="9"/>
  <c r="C3606" i="9"/>
  <c r="C3605" i="9"/>
  <c r="C3604" i="9"/>
  <c r="C3603" i="9"/>
  <c r="C3602" i="9"/>
  <c r="C3601" i="9"/>
  <c r="C3600" i="9"/>
  <c r="C3599" i="9"/>
  <c r="C3598" i="9"/>
  <c r="C3597" i="9"/>
  <c r="C3596" i="9"/>
  <c r="C3595" i="9"/>
  <c r="C3594" i="9"/>
  <c r="C3593" i="9"/>
  <c r="C3592" i="9"/>
  <c r="C3591" i="9"/>
  <c r="C3590" i="9"/>
  <c r="C3589" i="9"/>
  <c r="C3588" i="9"/>
  <c r="C3587" i="9"/>
  <c r="C3586" i="9"/>
  <c r="C3585" i="9"/>
  <c r="C3584" i="9"/>
  <c r="C3583" i="9"/>
  <c r="C3582" i="9"/>
  <c r="C3581" i="9"/>
  <c r="C3580" i="9"/>
  <c r="C3579" i="9"/>
  <c r="C3578" i="9"/>
  <c r="C3577" i="9"/>
  <c r="C3576" i="9"/>
  <c r="C3575" i="9"/>
  <c r="C3574" i="9"/>
  <c r="C3573" i="9"/>
  <c r="C3572" i="9"/>
  <c r="C3571" i="9"/>
  <c r="C3570" i="9"/>
  <c r="C3569" i="9"/>
  <c r="C3568" i="9"/>
  <c r="C3567" i="9"/>
  <c r="C3566" i="9"/>
  <c r="C3565" i="9"/>
  <c r="C3564" i="9"/>
  <c r="C3563" i="9"/>
  <c r="C3562" i="9"/>
  <c r="C3561" i="9"/>
  <c r="C3560" i="9"/>
  <c r="C3559" i="9"/>
  <c r="C3558" i="9"/>
  <c r="C3557" i="9"/>
  <c r="C3556" i="9"/>
  <c r="C3555" i="9"/>
  <c r="C3554" i="9"/>
  <c r="C3553" i="9"/>
  <c r="C3552" i="9"/>
  <c r="C3551" i="9"/>
  <c r="C3550" i="9"/>
  <c r="C3549" i="9"/>
  <c r="C3548" i="9"/>
  <c r="C3547" i="9"/>
  <c r="C3546" i="9"/>
  <c r="C3545" i="9"/>
  <c r="C3544" i="9"/>
  <c r="C3543" i="9"/>
  <c r="C3542" i="9"/>
  <c r="C3541" i="9"/>
  <c r="C3540" i="9"/>
  <c r="C3539" i="9"/>
  <c r="C3538" i="9"/>
  <c r="C3537" i="9"/>
  <c r="C3536" i="9"/>
  <c r="C3535" i="9"/>
  <c r="C3534" i="9"/>
  <c r="C3533" i="9"/>
  <c r="C3532" i="9"/>
  <c r="C3531" i="9"/>
  <c r="C3530" i="9"/>
  <c r="C3529" i="9"/>
  <c r="C3528" i="9"/>
  <c r="C3527" i="9"/>
  <c r="C3526" i="9"/>
  <c r="C3525" i="9"/>
  <c r="C3524" i="9"/>
  <c r="C3523" i="9"/>
  <c r="C3522" i="9"/>
  <c r="C3521" i="9"/>
  <c r="C3520" i="9"/>
  <c r="C3519" i="9"/>
  <c r="C3518" i="9"/>
  <c r="C3517" i="9"/>
  <c r="C3516" i="9"/>
  <c r="C3515" i="9"/>
  <c r="C3514" i="9"/>
  <c r="C3513" i="9"/>
  <c r="C3512" i="9"/>
  <c r="C3511" i="9"/>
  <c r="C3510" i="9"/>
  <c r="C3509" i="9"/>
  <c r="C3508" i="9"/>
  <c r="C3507" i="9"/>
  <c r="C3506" i="9"/>
  <c r="C3505" i="9"/>
  <c r="C3504" i="9"/>
  <c r="C3503" i="9"/>
  <c r="C3502" i="9"/>
  <c r="C3501" i="9"/>
  <c r="C3500" i="9"/>
  <c r="C3499" i="9"/>
  <c r="C3498" i="9"/>
  <c r="C3497" i="9"/>
  <c r="C3496" i="9"/>
  <c r="C3495" i="9"/>
  <c r="C3494" i="9"/>
  <c r="C3493" i="9"/>
  <c r="C3492" i="9"/>
  <c r="C3491" i="9"/>
  <c r="C3490" i="9"/>
  <c r="C3489" i="9"/>
  <c r="C3488" i="9"/>
  <c r="C3487" i="9"/>
  <c r="C3486" i="9"/>
  <c r="C3485" i="9"/>
  <c r="C3484" i="9"/>
  <c r="C3483" i="9"/>
  <c r="C3482" i="9"/>
  <c r="C3481" i="9"/>
  <c r="C3480" i="9"/>
  <c r="C3479" i="9"/>
  <c r="C3478" i="9"/>
  <c r="C3477" i="9"/>
  <c r="C3476" i="9"/>
  <c r="C3475" i="9"/>
  <c r="C3474" i="9"/>
  <c r="C3473" i="9"/>
  <c r="C3472" i="9"/>
  <c r="C3471" i="9"/>
  <c r="C3470" i="9"/>
  <c r="C3469" i="9"/>
  <c r="C3468" i="9"/>
  <c r="C3467" i="9"/>
  <c r="C3466" i="9"/>
  <c r="C3465" i="9"/>
  <c r="C3464" i="9"/>
  <c r="C3463" i="9"/>
  <c r="C3462" i="9"/>
  <c r="C3461" i="9"/>
  <c r="C3460" i="9"/>
  <c r="C3459" i="9"/>
  <c r="C3458" i="9"/>
  <c r="C3457" i="9"/>
  <c r="C3456" i="9"/>
  <c r="C3455" i="9"/>
  <c r="C3454" i="9"/>
  <c r="C3453" i="9"/>
  <c r="C3452" i="9"/>
  <c r="C3451" i="9"/>
  <c r="C3450" i="9"/>
  <c r="C3449" i="9"/>
  <c r="C3448" i="9"/>
  <c r="C3447" i="9"/>
  <c r="C3446" i="9"/>
  <c r="C3445" i="9"/>
  <c r="C3444" i="9"/>
  <c r="C3443" i="9"/>
  <c r="C3442" i="9"/>
  <c r="C3441" i="9"/>
  <c r="C3440" i="9"/>
  <c r="C3439" i="9"/>
  <c r="C3438" i="9"/>
  <c r="C3437" i="9"/>
  <c r="C3436" i="9"/>
  <c r="C3435" i="9"/>
  <c r="C3434" i="9"/>
  <c r="C3433" i="9"/>
  <c r="C3432" i="9"/>
  <c r="C3431" i="9"/>
  <c r="C3430" i="9"/>
  <c r="C3429" i="9"/>
  <c r="C3428" i="9"/>
  <c r="C3427" i="9"/>
  <c r="C3426" i="9"/>
  <c r="C3425" i="9"/>
  <c r="C3424" i="9"/>
  <c r="C3423" i="9"/>
  <c r="C3422" i="9"/>
  <c r="C3421" i="9"/>
  <c r="C3420" i="9"/>
  <c r="C3419" i="9"/>
  <c r="C3418" i="9"/>
  <c r="C3417" i="9"/>
  <c r="C3416" i="9"/>
  <c r="C3415" i="9"/>
  <c r="C3414" i="9"/>
  <c r="C3413" i="9"/>
  <c r="C3412" i="9"/>
  <c r="C3411" i="9"/>
  <c r="C3410" i="9"/>
  <c r="C3409" i="9"/>
  <c r="C3408" i="9"/>
  <c r="C3407" i="9"/>
  <c r="C3406" i="9"/>
  <c r="C3405" i="9"/>
  <c r="C3404" i="9"/>
  <c r="C3403" i="9"/>
  <c r="C3402" i="9"/>
  <c r="C3401" i="9"/>
  <c r="C3400" i="9"/>
  <c r="C3399" i="9"/>
  <c r="C3398" i="9"/>
  <c r="C3397" i="9"/>
  <c r="C3396" i="9"/>
  <c r="C3395" i="9"/>
  <c r="C3394" i="9"/>
  <c r="C3393" i="9"/>
  <c r="C3392" i="9"/>
  <c r="C3391" i="9"/>
  <c r="C3390" i="9"/>
  <c r="C3389" i="9"/>
  <c r="C3388" i="9"/>
  <c r="C3387" i="9"/>
  <c r="C3386" i="9"/>
  <c r="C3385" i="9"/>
  <c r="C3384" i="9"/>
  <c r="C3383" i="9"/>
  <c r="C3382" i="9"/>
  <c r="C3381" i="9"/>
  <c r="C3380" i="9"/>
  <c r="C3379" i="9"/>
  <c r="C3378" i="9"/>
  <c r="C3377" i="9"/>
  <c r="C3376" i="9"/>
  <c r="C3375" i="9"/>
  <c r="C3374" i="9"/>
  <c r="C3373" i="9"/>
  <c r="C3372" i="9"/>
  <c r="C3371" i="9"/>
  <c r="C3370" i="9"/>
  <c r="C3369" i="9"/>
  <c r="C3368" i="9"/>
  <c r="C3367" i="9"/>
  <c r="C3366" i="9"/>
  <c r="C3365" i="9"/>
  <c r="C3364" i="9"/>
  <c r="C3363" i="9"/>
  <c r="C3362" i="9"/>
  <c r="C3361" i="9"/>
  <c r="C3360" i="9"/>
  <c r="C3359" i="9"/>
  <c r="C3358" i="9"/>
  <c r="C3357" i="9"/>
  <c r="C3356" i="9"/>
  <c r="C3355" i="9"/>
  <c r="C3354" i="9"/>
  <c r="C3353" i="9"/>
  <c r="C3352" i="9"/>
  <c r="C3351" i="9"/>
  <c r="C3350" i="9"/>
  <c r="C3349" i="9"/>
  <c r="C3348" i="9"/>
  <c r="C3347" i="9"/>
  <c r="C3346" i="9"/>
  <c r="C3345" i="9"/>
  <c r="C3344" i="9"/>
  <c r="C3343" i="9"/>
  <c r="C3342" i="9"/>
  <c r="C3341" i="9"/>
  <c r="C3340" i="9"/>
  <c r="C3339" i="9"/>
  <c r="C3338" i="9"/>
  <c r="C3337" i="9"/>
  <c r="C3336" i="9"/>
  <c r="C3335" i="9"/>
  <c r="C3334" i="9"/>
  <c r="C3333" i="9"/>
  <c r="C3332" i="9"/>
  <c r="C3331" i="9"/>
  <c r="C3330" i="9"/>
  <c r="C3329" i="9"/>
  <c r="C3328" i="9"/>
  <c r="C3327" i="9"/>
  <c r="C3326" i="9"/>
  <c r="C3325" i="9"/>
  <c r="C3324" i="9"/>
  <c r="C3323" i="9"/>
  <c r="C3322" i="9"/>
  <c r="C3321" i="9"/>
  <c r="C3320" i="9"/>
  <c r="C3319" i="9"/>
  <c r="C3318" i="9"/>
  <c r="C3317" i="9"/>
  <c r="C3316" i="9"/>
  <c r="C3315" i="9"/>
  <c r="C3314" i="9"/>
  <c r="C3313" i="9"/>
  <c r="C3312" i="9"/>
  <c r="C3311" i="9"/>
  <c r="C3310" i="9"/>
  <c r="C3309" i="9"/>
  <c r="C3308" i="9"/>
  <c r="C3307" i="9"/>
  <c r="C3306" i="9"/>
  <c r="C3305" i="9"/>
  <c r="C3304" i="9"/>
  <c r="C3303" i="9"/>
  <c r="C3302" i="9"/>
  <c r="C3301" i="9"/>
  <c r="C3300" i="9"/>
  <c r="C3299" i="9"/>
  <c r="C3298" i="9"/>
  <c r="C3297" i="9"/>
  <c r="C3296" i="9"/>
  <c r="C3295" i="9"/>
  <c r="C3294" i="9"/>
  <c r="C3293" i="9"/>
  <c r="C3292" i="9"/>
  <c r="C3291" i="9"/>
  <c r="C3290" i="9"/>
  <c r="C3289" i="9"/>
  <c r="C3288" i="9"/>
  <c r="C3287" i="9"/>
  <c r="C3286" i="9"/>
  <c r="C3285" i="9"/>
  <c r="C3284" i="9"/>
  <c r="C3283" i="9"/>
  <c r="C3282" i="9"/>
  <c r="C3281" i="9"/>
  <c r="C3280" i="9"/>
  <c r="C3279" i="9"/>
  <c r="C3278" i="9"/>
  <c r="C3277" i="9"/>
  <c r="C3276" i="9"/>
  <c r="C3275" i="9"/>
  <c r="C3274" i="9"/>
  <c r="C3273" i="9"/>
  <c r="C3272" i="9"/>
  <c r="C3271" i="9"/>
  <c r="C3270" i="9"/>
  <c r="C3269" i="9"/>
  <c r="C3268" i="9"/>
  <c r="C3267" i="9"/>
  <c r="C3266" i="9"/>
  <c r="C3265" i="9"/>
  <c r="C3264" i="9"/>
  <c r="C3263" i="9"/>
  <c r="C3262" i="9"/>
  <c r="C3261" i="9"/>
  <c r="C3260" i="9"/>
  <c r="C3259" i="9"/>
  <c r="C3258" i="9"/>
  <c r="C3257" i="9"/>
  <c r="C3256" i="9"/>
  <c r="C3255" i="9"/>
  <c r="C3254" i="9"/>
  <c r="C3253" i="9"/>
  <c r="C3252" i="9"/>
  <c r="C3251" i="9"/>
  <c r="C3250" i="9"/>
  <c r="C3249" i="9"/>
  <c r="C3248" i="9"/>
  <c r="C3247" i="9"/>
  <c r="C3246" i="9"/>
  <c r="C3245" i="9"/>
  <c r="C3244" i="9"/>
  <c r="C3243" i="9"/>
  <c r="C3242" i="9"/>
  <c r="C3241" i="9"/>
  <c r="C3240" i="9"/>
  <c r="C3239" i="9"/>
  <c r="C3238" i="9"/>
  <c r="C3237" i="9"/>
  <c r="C3236" i="9"/>
  <c r="C3235" i="9"/>
  <c r="C3234" i="9"/>
  <c r="C3233" i="9"/>
  <c r="C3232" i="9"/>
  <c r="C3231" i="9"/>
  <c r="C3230" i="9"/>
  <c r="C3229" i="9"/>
  <c r="C3228" i="9"/>
  <c r="C3227" i="9"/>
  <c r="C3226" i="9"/>
  <c r="C3225" i="9"/>
  <c r="C3224" i="9"/>
  <c r="C3223" i="9"/>
  <c r="C3222" i="9"/>
  <c r="C3221" i="9"/>
  <c r="C3220" i="9"/>
  <c r="C3219" i="9"/>
  <c r="C3218" i="9"/>
  <c r="C3217" i="9"/>
  <c r="C3216" i="9"/>
  <c r="C3215" i="9"/>
  <c r="C3214" i="9"/>
  <c r="C3213" i="9"/>
  <c r="C3212" i="9"/>
  <c r="C3211" i="9"/>
  <c r="C3210" i="9"/>
  <c r="C3209" i="9"/>
  <c r="C3208" i="9"/>
  <c r="C3207" i="9"/>
  <c r="C3206" i="9"/>
  <c r="C3205" i="9"/>
  <c r="C3204" i="9"/>
  <c r="C3203" i="9"/>
  <c r="C3202" i="9"/>
  <c r="C3201" i="9"/>
  <c r="C3200" i="9"/>
  <c r="C3199" i="9"/>
  <c r="C3198" i="9"/>
  <c r="C3197" i="9"/>
  <c r="C3196" i="9"/>
  <c r="C3195" i="9"/>
  <c r="C3194" i="9"/>
  <c r="C3193" i="9"/>
  <c r="C3192" i="9"/>
  <c r="C3191" i="9"/>
  <c r="C3190" i="9"/>
  <c r="C3189" i="9"/>
  <c r="C3188" i="9"/>
  <c r="C3187" i="9"/>
  <c r="C3186" i="9"/>
  <c r="C3185" i="9"/>
  <c r="C3184" i="9"/>
  <c r="C3183" i="9"/>
  <c r="C3182" i="9"/>
  <c r="C3181" i="9"/>
  <c r="C3180" i="9"/>
  <c r="C3179" i="9"/>
  <c r="C3178" i="9"/>
  <c r="C3177" i="9"/>
  <c r="C3176" i="9"/>
  <c r="C3175" i="9"/>
  <c r="C3174" i="9"/>
  <c r="C3173" i="9"/>
  <c r="C3172" i="9"/>
  <c r="C3171" i="9"/>
  <c r="C3170" i="9"/>
  <c r="C3169" i="9"/>
  <c r="C3168" i="9"/>
  <c r="C3167" i="9"/>
  <c r="C3166" i="9"/>
  <c r="C3165" i="9"/>
  <c r="C3164" i="9"/>
  <c r="C3163" i="9"/>
  <c r="C3162" i="9"/>
  <c r="C3161" i="9"/>
  <c r="C3160" i="9"/>
  <c r="C3159" i="9"/>
  <c r="C3158" i="9"/>
  <c r="C3157" i="9"/>
  <c r="C3156" i="9"/>
  <c r="C3155" i="9"/>
  <c r="C3154" i="9"/>
  <c r="C3153" i="9"/>
  <c r="C3152" i="9"/>
  <c r="C3151" i="9"/>
  <c r="C3150" i="9"/>
  <c r="C3149" i="9"/>
  <c r="C3148" i="9"/>
  <c r="C3147" i="9"/>
  <c r="C3146" i="9"/>
  <c r="C3145" i="9"/>
  <c r="C3144" i="9"/>
  <c r="C3143" i="9"/>
  <c r="C3142" i="9"/>
  <c r="C3141" i="9"/>
  <c r="C3140" i="9"/>
  <c r="C3139" i="9"/>
  <c r="C3138" i="9"/>
  <c r="C3137" i="9"/>
  <c r="C3136" i="9"/>
  <c r="C3135" i="9"/>
  <c r="C3134" i="9"/>
  <c r="C3133" i="9"/>
  <c r="C3132" i="9"/>
  <c r="C3131" i="9"/>
  <c r="C3130" i="9"/>
  <c r="C3129" i="9"/>
  <c r="C3128" i="9"/>
  <c r="C3127" i="9"/>
  <c r="C3126" i="9"/>
  <c r="C3125" i="9"/>
  <c r="C3124" i="9"/>
  <c r="C3123" i="9"/>
  <c r="C3122" i="9"/>
  <c r="C3121" i="9"/>
  <c r="C3120" i="9"/>
  <c r="C3119" i="9"/>
  <c r="C3118" i="9"/>
  <c r="C3117" i="9"/>
  <c r="C3116" i="9"/>
  <c r="C3115" i="9"/>
  <c r="C3114" i="9"/>
  <c r="C3113" i="9"/>
  <c r="C3112" i="9"/>
  <c r="C3111" i="9"/>
  <c r="C3110" i="9"/>
  <c r="C3109" i="9"/>
  <c r="C3108" i="9"/>
  <c r="C3107" i="9"/>
  <c r="C3106" i="9"/>
  <c r="C3105" i="9"/>
  <c r="C3104" i="9"/>
  <c r="C3103" i="9"/>
  <c r="C3102" i="9"/>
  <c r="C3101" i="9"/>
  <c r="C3100" i="9"/>
  <c r="C3099" i="9"/>
  <c r="C3098" i="9"/>
  <c r="C3097" i="9"/>
  <c r="C3096" i="9"/>
  <c r="C3095" i="9"/>
  <c r="C3094" i="9"/>
  <c r="C3093" i="9"/>
  <c r="C3092" i="9"/>
  <c r="C3091" i="9"/>
  <c r="C3090" i="9"/>
  <c r="C3089" i="9"/>
  <c r="C3088" i="9"/>
  <c r="C3087" i="9"/>
  <c r="C3086" i="9"/>
  <c r="C3085" i="9"/>
  <c r="C3084" i="9"/>
  <c r="C3083" i="9"/>
  <c r="C3082" i="9"/>
  <c r="C3081" i="9"/>
  <c r="C3080" i="9"/>
  <c r="C3079" i="9"/>
  <c r="C3078" i="9"/>
  <c r="C3077" i="9"/>
  <c r="C3076" i="9"/>
  <c r="C3075" i="9"/>
  <c r="C3074" i="9"/>
  <c r="C3073" i="9"/>
  <c r="C3072" i="9"/>
  <c r="C3071" i="9"/>
  <c r="C3070" i="9"/>
  <c r="C3069" i="9"/>
  <c r="C3068" i="9"/>
  <c r="C3067" i="9"/>
  <c r="C3066" i="9"/>
  <c r="C3065" i="9"/>
  <c r="C3064" i="9"/>
  <c r="C3063" i="9"/>
  <c r="C3062" i="9"/>
  <c r="C3061" i="9"/>
  <c r="C3060" i="9"/>
  <c r="C3059" i="9"/>
  <c r="C3058" i="9"/>
  <c r="C3057" i="9"/>
  <c r="C3056" i="9"/>
  <c r="C3055" i="9"/>
  <c r="C3054" i="9"/>
  <c r="C3053" i="9"/>
  <c r="C3052" i="9"/>
  <c r="C3051" i="9"/>
  <c r="C3050" i="9"/>
  <c r="C3049" i="9"/>
  <c r="C3048" i="9"/>
  <c r="C3047" i="9"/>
  <c r="C3046" i="9"/>
  <c r="C3045" i="9"/>
  <c r="C3044" i="9"/>
  <c r="C3043" i="9"/>
  <c r="C3042" i="9"/>
  <c r="C3041" i="9"/>
  <c r="C3040" i="9"/>
  <c r="C3039" i="9"/>
  <c r="C3038" i="9"/>
  <c r="C3037" i="9"/>
  <c r="C3036" i="9"/>
  <c r="C3035" i="9"/>
  <c r="C3034" i="9"/>
  <c r="C3033" i="9"/>
  <c r="C3032" i="9"/>
  <c r="C3031" i="9"/>
  <c r="C3030" i="9"/>
  <c r="C3029" i="9"/>
  <c r="C3028" i="9"/>
  <c r="C3027" i="9"/>
  <c r="C3026" i="9"/>
  <c r="C3025" i="9"/>
  <c r="C3024" i="9"/>
  <c r="C3023" i="9"/>
  <c r="C3022" i="9"/>
  <c r="C3021" i="9"/>
  <c r="C3020" i="9"/>
  <c r="C3019" i="9"/>
  <c r="C3018" i="9"/>
  <c r="C3017" i="9"/>
  <c r="C3016" i="9"/>
  <c r="C3015" i="9"/>
  <c r="C3014" i="9"/>
  <c r="C3013" i="9"/>
  <c r="C3012" i="9"/>
  <c r="C3011" i="9"/>
  <c r="C3010" i="9"/>
  <c r="C3009" i="9"/>
  <c r="C3008" i="9"/>
  <c r="C3007" i="9"/>
  <c r="C3006" i="9"/>
  <c r="C3005" i="9"/>
  <c r="C3004" i="9"/>
  <c r="C3003" i="9"/>
  <c r="C3002" i="9"/>
  <c r="C3001" i="9"/>
  <c r="C3000" i="9"/>
  <c r="C2999" i="9"/>
  <c r="C2998" i="9"/>
  <c r="C2997" i="9"/>
  <c r="C2996" i="9"/>
  <c r="C2995" i="9"/>
  <c r="C2994" i="9"/>
  <c r="C2993" i="9"/>
  <c r="C2992" i="9"/>
  <c r="C2991" i="9"/>
  <c r="C2990" i="9"/>
  <c r="C2989" i="9"/>
  <c r="C2988" i="9"/>
  <c r="C2987" i="9"/>
  <c r="C2986" i="9"/>
  <c r="C2985" i="9"/>
  <c r="C2984" i="9"/>
  <c r="C2983" i="9"/>
  <c r="C2982" i="9"/>
  <c r="C2981" i="9"/>
  <c r="C2980" i="9"/>
  <c r="C2979" i="9"/>
  <c r="C2978" i="9"/>
  <c r="C2977" i="9"/>
  <c r="C2976" i="9"/>
  <c r="C2975" i="9"/>
  <c r="C2974" i="9"/>
  <c r="C2973" i="9"/>
  <c r="C2972" i="9"/>
  <c r="C2971" i="9"/>
  <c r="C2970" i="9"/>
  <c r="C2969" i="9"/>
  <c r="C2968" i="9"/>
  <c r="C2967" i="9"/>
  <c r="C2966" i="9"/>
  <c r="C2965" i="9"/>
  <c r="C2964" i="9"/>
  <c r="C2963" i="9"/>
  <c r="C2962" i="9"/>
  <c r="C2961" i="9"/>
  <c r="C2960" i="9"/>
  <c r="C2959" i="9"/>
  <c r="C2958" i="9"/>
  <c r="C2957" i="9"/>
  <c r="C2956" i="9"/>
  <c r="C2955" i="9"/>
  <c r="C2954" i="9"/>
  <c r="C2953" i="9"/>
  <c r="C2952" i="9"/>
  <c r="C2951" i="9"/>
  <c r="C2950" i="9"/>
  <c r="C2949" i="9"/>
  <c r="C2948" i="9"/>
  <c r="C2947" i="9"/>
  <c r="C2946" i="9"/>
  <c r="C2945" i="9"/>
  <c r="C2944" i="9"/>
  <c r="C2943" i="9"/>
  <c r="C2942" i="9"/>
  <c r="C2941" i="9"/>
  <c r="C2940" i="9"/>
  <c r="C2939" i="9"/>
  <c r="C2938" i="9"/>
  <c r="C2937" i="9"/>
  <c r="C2936" i="9"/>
  <c r="C2935" i="9"/>
  <c r="C2934" i="9"/>
  <c r="C2933" i="9"/>
  <c r="C2932" i="9"/>
  <c r="C2931" i="9"/>
  <c r="C2930" i="9"/>
  <c r="C2929" i="9"/>
  <c r="C2928" i="9"/>
  <c r="C2927" i="9"/>
  <c r="C2926" i="9"/>
  <c r="C2925" i="9"/>
  <c r="C2924" i="9"/>
  <c r="C2923" i="9"/>
  <c r="C2922" i="9"/>
  <c r="C2921" i="9"/>
  <c r="C2920" i="9"/>
  <c r="C2919" i="9"/>
  <c r="C2918" i="9"/>
  <c r="C2917" i="9"/>
  <c r="C2916" i="9"/>
  <c r="C2915" i="9"/>
  <c r="C2914" i="9"/>
  <c r="C2913" i="9"/>
  <c r="C2912" i="9"/>
  <c r="C2911" i="9"/>
  <c r="C2910" i="9"/>
  <c r="C2909" i="9"/>
  <c r="C2908" i="9"/>
  <c r="C2907" i="9"/>
  <c r="C2906" i="9"/>
  <c r="C2905" i="9"/>
  <c r="C2904" i="9"/>
  <c r="C2903" i="9"/>
  <c r="C2902" i="9"/>
  <c r="C2901" i="9"/>
  <c r="C2900" i="9"/>
  <c r="C2899" i="9"/>
  <c r="C2898" i="9"/>
  <c r="C2897" i="9"/>
  <c r="C2896" i="9"/>
  <c r="C2895" i="9"/>
  <c r="C2894" i="9"/>
  <c r="C2893" i="9"/>
  <c r="C2892" i="9"/>
  <c r="C2891" i="9"/>
  <c r="C2890" i="9"/>
  <c r="C2889" i="9"/>
  <c r="C2888" i="9"/>
  <c r="C2887" i="9"/>
  <c r="C2886" i="9"/>
  <c r="C2885" i="9"/>
  <c r="C2884" i="9"/>
  <c r="C2883" i="9"/>
  <c r="C2882" i="9"/>
  <c r="C2881" i="9"/>
  <c r="C2880" i="9"/>
  <c r="C2879" i="9"/>
  <c r="C2878" i="9"/>
  <c r="C2877" i="9"/>
  <c r="C2876" i="9"/>
  <c r="C2875" i="9"/>
  <c r="C2874" i="9"/>
  <c r="C2873" i="9"/>
  <c r="C2872" i="9"/>
  <c r="C2871" i="9"/>
  <c r="C2870" i="9"/>
  <c r="C2869" i="9"/>
  <c r="C2868" i="9"/>
  <c r="C2867" i="9"/>
  <c r="C2866" i="9"/>
  <c r="C2865" i="9"/>
  <c r="C2864" i="9"/>
  <c r="C2863" i="9"/>
  <c r="C2862" i="9"/>
  <c r="C2861" i="9"/>
  <c r="C2860" i="9"/>
  <c r="C2859" i="9"/>
  <c r="C2858" i="9"/>
  <c r="C2857" i="9"/>
  <c r="C2856" i="9"/>
  <c r="C2855" i="9"/>
  <c r="C2854" i="9"/>
  <c r="C2853" i="9"/>
  <c r="C2852" i="9"/>
  <c r="C2851" i="9"/>
  <c r="C2850" i="9"/>
  <c r="C2849" i="9"/>
  <c r="C2848" i="9"/>
  <c r="C2847" i="9"/>
  <c r="C2846" i="9"/>
  <c r="C2845" i="9"/>
  <c r="C2844" i="9"/>
  <c r="C2843" i="9"/>
  <c r="C2842" i="9"/>
  <c r="C2841" i="9"/>
  <c r="C2840" i="9"/>
  <c r="C2839" i="9"/>
  <c r="C2838" i="9"/>
  <c r="C2837" i="9"/>
  <c r="C2836" i="9"/>
  <c r="C2835" i="9"/>
  <c r="C2834" i="9"/>
  <c r="C2833" i="9"/>
  <c r="C2832" i="9"/>
  <c r="C2831" i="9"/>
  <c r="C2830" i="9"/>
  <c r="C2829" i="9"/>
  <c r="C2828" i="9"/>
  <c r="C2827" i="9"/>
  <c r="C2826" i="9"/>
  <c r="C2825" i="9"/>
  <c r="C2824" i="9"/>
  <c r="C2823" i="9"/>
  <c r="C2822" i="9"/>
  <c r="C2821" i="9"/>
  <c r="C2820" i="9"/>
  <c r="C2819" i="9"/>
  <c r="C2818" i="9"/>
  <c r="C2817" i="9"/>
  <c r="C2816" i="9"/>
  <c r="C2815" i="9"/>
  <c r="C2814" i="9"/>
  <c r="C2813" i="9"/>
  <c r="C2812" i="9"/>
  <c r="C2811" i="9"/>
  <c r="C2810" i="9"/>
  <c r="C2809" i="9"/>
  <c r="C2808" i="9"/>
  <c r="C2807" i="9"/>
  <c r="C2806" i="9"/>
  <c r="C2805" i="9"/>
  <c r="C2804" i="9"/>
  <c r="C2803" i="9"/>
  <c r="C2802" i="9"/>
  <c r="C2801" i="9"/>
  <c r="C2800" i="9"/>
  <c r="C2799" i="9"/>
  <c r="C2798" i="9"/>
  <c r="C2797" i="9"/>
  <c r="C2796" i="9"/>
  <c r="C2795" i="9"/>
  <c r="C2794" i="9"/>
  <c r="C2793" i="9"/>
  <c r="C2792" i="9"/>
  <c r="C2791" i="9"/>
  <c r="C2790" i="9"/>
  <c r="C2789" i="9"/>
  <c r="C2788" i="9"/>
  <c r="C2787" i="9"/>
  <c r="C2786" i="9"/>
  <c r="C2785" i="9"/>
  <c r="C2784" i="9"/>
  <c r="C2783" i="9"/>
  <c r="C2782" i="9"/>
  <c r="C2781" i="9"/>
  <c r="C2780" i="9"/>
  <c r="C2779" i="9"/>
  <c r="C2778" i="9"/>
  <c r="C2777" i="9"/>
  <c r="C2776" i="9"/>
  <c r="C2775" i="9"/>
  <c r="C2774" i="9"/>
  <c r="C2773" i="9"/>
  <c r="C2772" i="9"/>
  <c r="C2771" i="9"/>
  <c r="C2770" i="9"/>
  <c r="C2769" i="9"/>
  <c r="C2768" i="9"/>
  <c r="C2767" i="9"/>
  <c r="C2766" i="9"/>
  <c r="C2765" i="9"/>
  <c r="C2764" i="9"/>
  <c r="C2763" i="9"/>
  <c r="C2762" i="9"/>
  <c r="C2761" i="9"/>
  <c r="C2760" i="9"/>
  <c r="C2759" i="9"/>
  <c r="C2758" i="9"/>
  <c r="C2757" i="9"/>
  <c r="C2756" i="9"/>
  <c r="C2755" i="9"/>
  <c r="C2754" i="9"/>
  <c r="C2753" i="9"/>
  <c r="C2752" i="9"/>
  <c r="C2751" i="9"/>
  <c r="C2750" i="9"/>
  <c r="C2749" i="9"/>
  <c r="C2748" i="9"/>
  <c r="C2747" i="9"/>
  <c r="C2746" i="9"/>
  <c r="C2745" i="9"/>
  <c r="C2744" i="9"/>
  <c r="C2743" i="9"/>
  <c r="C2742" i="9"/>
  <c r="C2741" i="9"/>
  <c r="C2740" i="9"/>
  <c r="C2739" i="9"/>
  <c r="C2738" i="9"/>
  <c r="C2737" i="9"/>
  <c r="C2736" i="9"/>
  <c r="C2735" i="9"/>
  <c r="C2734" i="9"/>
  <c r="C2733" i="9"/>
  <c r="C2732" i="9"/>
  <c r="C2731" i="9"/>
  <c r="C2730" i="9"/>
  <c r="C2729" i="9"/>
  <c r="C2728" i="9"/>
  <c r="C2727" i="9"/>
  <c r="C2726" i="9"/>
  <c r="C2725" i="9"/>
  <c r="C2724" i="9"/>
  <c r="C2723" i="9"/>
  <c r="C2722" i="9"/>
  <c r="C2721" i="9"/>
  <c r="C2720" i="9"/>
  <c r="C2719" i="9"/>
  <c r="C2718" i="9"/>
  <c r="C2717" i="9"/>
  <c r="C2716" i="9"/>
  <c r="C2715" i="9"/>
  <c r="C2714" i="9"/>
  <c r="C2713" i="9"/>
  <c r="C2712" i="9"/>
  <c r="C2711" i="9"/>
  <c r="C2710" i="9"/>
  <c r="C2709" i="9"/>
  <c r="C2708" i="9"/>
  <c r="C2707" i="9"/>
  <c r="C2706" i="9"/>
  <c r="C2705" i="9"/>
  <c r="C2704" i="9"/>
  <c r="C2703" i="9"/>
  <c r="C2702" i="9"/>
  <c r="C2701" i="9"/>
  <c r="C2700" i="9"/>
  <c r="C2699" i="9"/>
  <c r="C2698" i="9"/>
  <c r="C2697" i="9"/>
  <c r="C2696" i="9"/>
  <c r="C2695" i="9"/>
  <c r="C2694" i="9"/>
  <c r="C2693" i="9"/>
  <c r="C2692" i="9"/>
  <c r="C2691" i="9"/>
  <c r="C2690" i="9"/>
  <c r="C2689" i="9"/>
  <c r="C2688" i="9"/>
  <c r="C2687" i="9"/>
  <c r="C2686" i="9"/>
  <c r="C2685" i="9"/>
  <c r="C2684" i="9"/>
  <c r="C2683" i="9"/>
  <c r="C2682" i="9"/>
  <c r="C2681" i="9"/>
  <c r="C2680" i="9"/>
  <c r="C2679" i="9"/>
  <c r="C2678" i="9"/>
  <c r="C2677" i="9"/>
  <c r="C2676" i="9"/>
  <c r="C2675" i="9"/>
  <c r="C2674" i="9"/>
  <c r="C2673" i="9"/>
  <c r="C2672" i="9"/>
  <c r="C2671" i="9"/>
  <c r="C2670" i="9"/>
  <c r="C2669" i="9"/>
  <c r="C2668" i="9"/>
  <c r="C2667" i="9"/>
  <c r="C2666" i="9"/>
  <c r="C2665" i="9"/>
  <c r="C2664" i="9"/>
  <c r="C2663" i="9"/>
  <c r="C2662" i="9"/>
  <c r="C2661" i="9"/>
  <c r="C2660" i="9"/>
  <c r="C2659" i="9"/>
  <c r="C2658" i="9"/>
  <c r="C2657" i="9"/>
  <c r="C2656" i="9"/>
  <c r="C2655" i="9"/>
  <c r="C2654" i="9"/>
  <c r="C2653" i="9"/>
  <c r="C2652" i="9"/>
  <c r="C2651" i="9"/>
  <c r="C2650" i="9"/>
  <c r="C2649" i="9"/>
  <c r="C2648" i="9"/>
  <c r="C2647" i="9"/>
  <c r="C2646" i="9"/>
  <c r="C2645" i="9"/>
  <c r="C2644" i="9"/>
  <c r="C2643" i="9"/>
  <c r="C2642" i="9"/>
  <c r="C2641" i="9"/>
  <c r="C2640" i="9"/>
  <c r="C2639" i="9"/>
  <c r="C2638" i="9"/>
  <c r="C2637" i="9"/>
  <c r="C2636" i="9"/>
  <c r="C2635" i="9"/>
  <c r="C2634" i="9"/>
  <c r="C2633" i="9"/>
  <c r="C2632" i="9"/>
  <c r="C2631" i="9"/>
  <c r="C2630" i="9"/>
  <c r="C2629" i="9"/>
  <c r="C2628" i="9"/>
  <c r="C2627" i="9"/>
  <c r="C2626" i="9"/>
  <c r="C2625" i="9"/>
  <c r="C2624" i="9"/>
  <c r="C2623" i="9"/>
  <c r="C2622" i="9"/>
  <c r="C2621" i="9"/>
  <c r="C2620" i="9"/>
  <c r="C2619" i="9"/>
  <c r="C2618" i="9"/>
  <c r="C2617" i="9"/>
  <c r="C2616" i="9"/>
  <c r="C2615" i="9"/>
  <c r="C2614" i="9"/>
  <c r="C2613" i="9"/>
  <c r="C2612" i="9"/>
  <c r="C2611" i="9"/>
  <c r="C2610" i="9"/>
  <c r="C2609" i="9"/>
  <c r="C2608" i="9"/>
  <c r="C2607" i="9"/>
  <c r="C2606" i="9"/>
  <c r="C2605" i="9"/>
  <c r="C2604" i="9"/>
  <c r="C2603" i="9"/>
  <c r="C2602" i="9"/>
  <c r="C2601" i="9"/>
  <c r="C2600" i="9"/>
  <c r="C2599" i="9"/>
  <c r="C2598" i="9"/>
  <c r="C2597" i="9"/>
  <c r="C2596" i="9"/>
  <c r="C2595" i="9"/>
  <c r="C2594" i="9"/>
  <c r="C2593" i="9"/>
  <c r="C2592" i="9"/>
  <c r="C2591" i="9"/>
  <c r="C2590" i="9"/>
  <c r="C2589" i="9"/>
  <c r="C2588" i="9"/>
  <c r="C2587" i="9"/>
  <c r="C2586" i="9"/>
  <c r="C2585" i="9"/>
  <c r="C2584" i="9"/>
  <c r="C2583" i="9"/>
  <c r="C2582" i="9"/>
  <c r="C2581" i="9"/>
  <c r="C2580" i="9"/>
  <c r="C2579" i="9"/>
  <c r="C2578" i="9"/>
  <c r="C2577" i="9"/>
  <c r="C2576" i="9"/>
  <c r="C2575" i="9"/>
  <c r="C2574" i="9"/>
  <c r="C2573" i="9"/>
  <c r="C2572" i="9"/>
  <c r="C2571" i="9"/>
  <c r="C2570" i="9"/>
  <c r="C2569" i="9"/>
  <c r="C2568" i="9"/>
  <c r="C2567" i="9"/>
  <c r="C2566" i="9"/>
  <c r="C2565" i="9"/>
  <c r="C2564" i="9"/>
  <c r="C2563" i="9"/>
  <c r="C2562" i="9"/>
  <c r="C2561" i="9"/>
  <c r="C2560" i="9"/>
  <c r="C2559" i="9"/>
  <c r="C2558" i="9"/>
  <c r="C2557" i="9"/>
  <c r="C2556" i="9"/>
  <c r="C2555" i="9"/>
  <c r="C2554" i="9"/>
  <c r="C2553" i="9"/>
  <c r="C2552" i="9"/>
  <c r="C2551" i="9"/>
  <c r="C2550" i="9"/>
  <c r="C2549" i="9"/>
  <c r="C2548" i="9"/>
  <c r="C2547" i="9"/>
  <c r="C2546" i="9"/>
  <c r="C2545" i="9"/>
  <c r="C2544" i="9"/>
  <c r="C2543" i="9"/>
  <c r="C2542" i="9"/>
  <c r="C2541" i="9"/>
  <c r="C2540" i="9"/>
  <c r="C2539" i="9"/>
  <c r="C2538" i="9"/>
  <c r="C2537" i="9"/>
  <c r="C2536" i="9"/>
  <c r="C2535" i="9"/>
  <c r="C2534" i="9"/>
  <c r="C2533" i="9"/>
  <c r="C2532" i="9"/>
  <c r="C2531" i="9"/>
  <c r="C2530" i="9"/>
  <c r="C2529" i="9"/>
  <c r="C2528" i="9"/>
  <c r="C2527" i="9"/>
  <c r="C2526" i="9"/>
  <c r="C2525" i="9"/>
  <c r="C2524" i="9"/>
  <c r="C2523" i="9"/>
  <c r="C2522" i="9"/>
  <c r="C2521" i="9"/>
  <c r="C2520" i="9"/>
  <c r="C2519" i="9"/>
  <c r="C2518" i="9"/>
  <c r="C2517" i="9"/>
  <c r="C2516" i="9"/>
  <c r="C2515" i="9"/>
  <c r="C2514" i="9"/>
  <c r="C2513" i="9"/>
  <c r="C2512" i="9"/>
  <c r="C2511" i="9"/>
  <c r="C2510" i="9"/>
  <c r="C2509" i="9"/>
  <c r="C2508" i="9"/>
  <c r="C2507" i="9"/>
  <c r="C2506" i="9"/>
  <c r="C2505" i="9"/>
  <c r="C2504" i="9"/>
  <c r="C2503" i="9"/>
  <c r="C2502" i="9"/>
  <c r="C2501" i="9"/>
  <c r="C2500" i="9"/>
  <c r="C2499" i="9"/>
  <c r="C2498" i="9"/>
  <c r="C2497" i="9"/>
  <c r="C2496" i="9"/>
  <c r="C2495" i="9"/>
  <c r="C2494" i="9"/>
  <c r="C2493" i="9"/>
  <c r="C2492" i="9"/>
  <c r="C2491" i="9"/>
  <c r="C2490" i="9"/>
  <c r="C2489" i="9"/>
  <c r="C2488" i="9"/>
  <c r="C2487" i="9"/>
  <c r="C2486" i="9"/>
  <c r="C2485" i="9"/>
  <c r="C2484" i="9"/>
  <c r="C2483" i="9"/>
  <c r="C2482" i="9"/>
  <c r="C2481" i="9"/>
  <c r="C2480" i="9"/>
  <c r="C2479" i="9"/>
  <c r="C2478" i="9"/>
  <c r="C2477" i="9"/>
  <c r="C2476" i="9"/>
  <c r="C2475" i="9"/>
  <c r="C2474" i="9"/>
  <c r="C2473" i="9"/>
  <c r="C2472" i="9"/>
  <c r="C2471" i="9"/>
  <c r="C2470" i="9"/>
  <c r="C2469" i="9"/>
  <c r="C2468" i="9"/>
  <c r="C2467" i="9"/>
  <c r="C2466" i="9"/>
  <c r="C2465" i="9"/>
  <c r="C2464" i="9"/>
  <c r="C2463" i="9"/>
  <c r="C2462" i="9"/>
  <c r="C2461" i="9"/>
  <c r="C2460" i="9"/>
  <c r="C2459" i="9"/>
  <c r="C2458" i="9"/>
  <c r="C2457" i="9"/>
  <c r="C2456" i="9"/>
  <c r="C2455" i="9"/>
  <c r="C2454" i="9"/>
  <c r="C2453" i="9"/>
  <c r="C2452" i="9"/>
  <c r="C2451" i="9"/>
  <c r="C2450" i="9"/>
  <c r="C2449" i="9"/>
  <c r="C2448" i="9"/>
  <c r="C2447" i="9"/>
  <c r="C2446" i="9"/>
  <c r="C2445" i="9"/>
  <c r="C2444" i="9"/>
  <c r="C2443" i="9"/>
  <c r="C2442" i="9"/>
  <c r="C2441" i="9"/>
  <c r="C2440" i="9"/>
  <c r="C2439" i="9"/>
  <c r="C2438" i="9"/>
  <c r="C2437" i="9"/>
  <c r="C2436" i="9"/>
  <c r="C2435" i="9"/>
  <c r="C2434" i="9"/>
  <c r="C2433" i="9"/>
  <c r="C2432" i="9"/>
  <c r="C2431" i="9"/>
  <c r="C2430" i="9"/>
  <c r="C2429" i="9"/>
  <c r="C2428" i="9"/>
  <c r="C2427" i="9"/>
  <c r="C2426" i="9"/>
  <c r="C2425" i="9"/>
  <c r="C2424" i="9"/>
  <c r="C2423" i="9"/>
  <c r="C2422" i="9"/>
  <c r="C2421" i="9"/>
  <c r="C2420" i="9"/>
  <c r="C2419" i="9"/>
  <c r="C2418" i="9"/>
  <c r="C2417" i="9"/>
  <c r="C2416" i="9"/>
  <c r="C2415" i="9"/>
  <c r="C2414" i="9"/>
  <c r="C2413" i="9"/>
  <c r="C2412" i="9"/>
  <c r="C2411" i="9"/>
  <c r="C2410" i="9"/>
  <c r="C2409" i="9"/>
  <c r="C2408" i="9"/>
  <c r="C2407" i="9"/>
  <c r="C2406" i="9"/>
  <c r="C2405" i="9"/>
  <c r="C2404" i="9"/>
  <c r="C2403" i="9"/>
  <c r="C2402" i="9"/>
  <c r="C2401" i="9"/>
  <c r="C2400" i="9"/>
  <c r="C2399" i="9"/>
  <c r="C2398" i="9"/>
  <c r="C2397" i="9"/>
  <c r="C2396" i="9"/>
  <c r="C2395" i="9"/>
  <c r="C2394" i="9"/>
  <c r="C2393" i="9"/>
  <c r="C2392" i="9"/>
  <c r="C2391" i="9"/>
  <c r="C2390" i="9"/>
  <c r="C2389" i="9"/>
  <c r="C2388" i="9"/>
  <c r="C2387" i="9"/>
  <c r="C2386" i="9"/>
  <c r="C2385" i="9"/>
  <c r="C2384" i="9"/>
  <c r="C2383" i="9"/>
  <c r="C2382" i="9"/>
  <c r="C2381" i="9"/>
  <c r="C2380" i="9"/>
  <c r="C2379" i="9"/>
  <c r="C2378" i="9"/>
  <c r="C2377" i="9"/>
  <c r="C2376" i="9"/>
  <c r="C2375" i="9"/>
  <c r="C2374" i="9"/>
  <c r="C2373" i="9"/>
  <c r="C2372" i="9"/>
  <c r="C2371" i="9"/>
  <c r="C2370" i="9"/>
  <c r="C2369" i="9"/>
  <c r="C2368" i="9"/>
  <c r="C2367" i="9"/>
  <c r="C2366" i="9"/>
  <c r="C2365" i="9"/>
  <c r="C2364" i="9"/>
  <c r="C2363" i="9"/>
  <c r="C2362" i="9"/>
  <c r="C2361" i="9"/>
  <c r="C2360" i="9"/>
  <c r="C2359" i="9"/>
  <c r="C2358" i="9"/>
  <c r="C2357" i="9"/>
  <c r="C2356" i="9"/>
  <c r="C2355" i="9"/>
  <c r="C2354" i="9"/>
  <c r="C2353" i="9"/>
  <c r="C2352" i="9"/>
  <c r="C2351" i="9"/>
  <c r="C2350" i="9"/>
  <c r="C2349" i="9"/>
  <c r="C2348" i="9"/>
  <c r="C2347" i="9"/>
  <c r="C2346" i="9"/>
  <c r="C2345" i="9"/>
  <c r="C2344" i="9"/>
  <c r="C2343" i="9"/>
  <c r="C2342" i="9"/>
  <c r="C2341" i="9"/>
  <c r="C2340" i="9"/>
  <c r="C2339" i="9"/>
  <c r="C2338" i="9"/>
  <c r="C2337" i="9"/>
  <c r="C2336" i="9"/>
  <c r="C2335" i="9"/>
  <c r="C2334" i="9"/>
  <c r="C2333" i="9"/>
  <c r="C2332" i="9"/>
  <c r="C2331" i="9"/>
  <c r="C2330" i="9"/>
  <c r="C2329" i="9"/>
  <c r="C2328" i="9"/>
  <c r="C2327" i="9"/>
  <c r="C2326" i="9"/>
  <c r="C2325" i="9"/>
  <c r="C2324" i="9"/>
  <c r="C2323" i="9"/>
  <c r="C2322" i="9"/>
  <c r="C2321" i="9"/>
  <c r="C2320" i="9"/>
  <c r="C2319" i="9"/>
  <c r="C2318" i="9"/>
  <c r="C2317" i="9"/>
  <c r="C2316" i="9"/>
  <c r="C2315" i="9"/>
  <c r="C2314" i="9"/>
  <c r="C2313" i="9"/>
  <c r="C2312" i="9"/>
  <c r="C2311" i="9"/>
  <c r="C2310" i="9"/>
  <c r="C2309" i="9"/>
  <c r="C2308" i="9"/>
  <c r="C2307" i="9"/>
  <c r="C2306" i="9"/>
  <c r="C2305" i="9"/>
  <c r="C2304" i="9"/>
  <c r="C2303" i="9"/>
  <c r="C2302" i="9"/>
  <c r="C2301" i="9"/>
  <c r="C2300" i="9"/>
  <c r="C2299" i="9"/>
  <c r="C2298" i="9"/>
  <c r="C2297" i="9"/>
  <c r="C2296" i="9"/>
  <c r="C2295" i="9"/>
  <c r="C2294" i="9"/>
  <c r="C2293" i="9"/>
  <c r="C2292" i="9"/>
  <c r="C2291" i="9"/>
  <c r="C2290" i="9"/>
  <c r="C2289" i="9"/>
  <c r="C2288" i="9"/>
  <c r="C2287" i="9"/>
  <c r="C2286" i="9"/>
  <c r="C2285" i="9"/>
  <c r="C2284" i="9"/>
  <c r="C2283" i="9"/>
  <c r="C2282" i="9"/>
  <c r="C2281" i="9"/>
  <c r="C2280" i="9"/>
  <c r="C2279" i="9"/>
  <c r="C2278" i="9"/>
  <c r="C2277" i="9"/>
  <c r="C2276" i="9"/>
  <c r="C2275" i="9"/>
  <c r="C2274" i="9"/>
  <c r="C2273" i="9"/>
  <c r="C2272" i="9"/>
  <c r="C2271" i="9"/>
  <c r="C2270" i="9"/>
  <c r="C2269" i="9"/>
  <c r="C2268" i="9"/>
  <c r="C2267" i="9"/>
  <c r="C2266" i="9"/>
  <c r="C2265" i="9"/>
  <c r="C2264" i="9"/>
  <c r="C2263" i="9"/>
  <c r="C2262" i="9"/>
  <c r="C2261" i="9"/>
  <c r="C2260" i="9"/>
  <c r="C2259" i="9"/>
  <c r="C2258" i="9"/>
  <c r="C2257" i="9"/>
  <c r="C2256" i="9"/>
  <c r="C2255" i="9"/>
  <c r="C2254" i="9"/>
  <c r="C2253" i="9"/>
  <c r="C2252" i="9"/>
  <c r="C2251" i="9"/>
  <c r="C2250" i="9"/>
  <c r="C2249" i="9"/>
  <c r="C2248" i="9"/>
  <c r="C2247" i="9"/>
  <c r="C2246" i="9"/>
  <c r="C2245" i="9"/>
  <c r="C2244" i="9"/>
  <c r="C2243" i="9"/>
  <c r="C2242" i="9"/>
  <c r="C2241" i="9"/>
  <c r="C2240" i="9"/>
  <c r="C2239" i="9"/>
  <c r="C2238" i="9"/>
  <c r="C2237" i="9"/>
  <c r="C2236" i="9"/>
  <c r="C2235" i="9"/>
  <c r="C2234" i="9"/>
  <c r="C2233" i="9"/>
  <c r="C2232" i="9"/>
  <c r="C2231" i="9"/>
  <c r="C2230" i="9"/>
  <c r="C2229" i="9"/>
  <c r="C2228" i="9"/>
  <c r="C2227" i="9"/>
  <c r="C2226" i="9"/>
  <c r="C2225" i="9"/>
  <c r="C2224" i="9"/>
  <c r="C2223" i="9"/>
  <c r="C2222" i="9"/>
  <c r="C2221" i="9"/>
  <c r="C2220" i="9"/>
  <c r="C2219" i="9"/>
  <c r="C2218" i="9"/>
  <c r="C2217" i="9"/>
  <c r="C2216" i="9"/>
  <c r="C2215" i="9"/>
  <c r="C2214" i="9"/>
  <c r="C2213" i="9"/>
  <c r="C2212" i="9"/>
  <c r="C2211" i="9"/>
  <c r="C2210" i="9"/>
  <c r="C2209" i="9"/>
  <c r="C2208" i="9"/>
  <c r="C2207" i="9"/>
  <c r="C2206" i="9"/>
  <c r="C2205" i="9"/>
  <c r="C2204" i="9"/>
  <c r="C2203" i="9"/>
  <c r="C2202" i="9"/>
  <c r="C2201" i="9"/>
  <c r="C2200" i="9"/>
  <c r="C2199" i="9"/>
  <c r="C2198" i="9"/>
  <c r="C2197" i="9"/>
  <c r="C2196" i="9"/>
  <c r="C2195" i="9"/>
  <c r="C2194" i="9"/>
  <c r="C2193" i="9"/>
  <c r="C2192" i="9"/>
  <c r="C2191" i="9"/>
  <c r="C2190" i="9"/>
  <c r="C2189" i="9"/>
  <c r="C2188" i="9"/>
  <c r="C2187" i="9"/>
  <c r="C2186" i="9"/>
  <c r="C2185" i="9"/>
  <c r="C2184" i="9"/>
  <c r="C2183" i="9"/>
  <c r="C2182" i="9"/>
  <c r="C2181" i="9"/>
  <c r="C2180" i="9"/>
  <c r="C2179" i="9"/>
  <c r="C2178" i="9"/>
  <c r="C2177" i="9"/>
  <c r="C2176" i="9"/>
  <c r="C2175" i="9"/>
  <c r="C2174" i="9"/>
  <c r="C2173" i="9"/>
  <c r="C2172" i="9"/>
  <c r="C2171" i="9"/>
  <c r="C2170" i="9"/>
  <c r="C2169" i="9"/>
  <c r="C2168" i="9"/>
  <c r="C2167" i="9"/>
  <c r="C2166" i="9"/>
  <c r="C2165" i="9"/>
  <c r="C2164" i="9"/>
  <c r="C2163" i="9"/>
  <c r="C2162" i="9"/>
  <c r="C2161" i="9"/>
  <c r="C2160" i="9"/>
  <c r="C2159" i="9"/>
  <c r="C2158" i="9"/>
  <c r="C2157" i="9"/>
  <c r="C2156" i="9"/>
  <c r="C2155" i="9"/>
  <c r="C2154" i="9"/>
  <c r="C2153" i="9"/>
  <c r="C2152" i="9"/>
  <c r="C2151" i="9"/>
  <c r="C2150" i="9"/>
  <c r="C2149" i="9"/>
  <c r="C2148" i="9"/>
  <c r="C2147" i="9"/>
  <c r="C2146" i="9"/>
  <c r="C2145" i="9"/>
  <c r="C2144" i="9"/>
  <c r="C2143" i="9"/>
  <c r="C2142" i="9"/>
  <c r="C2141" i="9"/>
  <c r="C2140" i="9"/>
  <c r="C2139" i="9"/>
  <c r="C2138" i="9"/>
  <c r="C2137" i="9"/>
  <c r="C2136" i="9"/>
  <c r="C2135" i="9"/>
  <c r="C2134" i="9"/>
  <c r="C2133" i="9"/>
  <c r="C2132" i="9"/>
  <c r="C2131" i="9"/>
  <c r="C2130" i="9"/>
  <c r="C2129" i="9"/>
  <c r="C2128" i="9"/>
  <c r="C2127" i="9"/>
  <c r="C2126" i="9"/>
  <c r="C2125" i="9"/>
  <c r="C2124" i="9"/>
  <c r="C2123" i="9"/>
  <c r="C2122" i="9"/>
  <c r="C2121" i="9"/>
  <c r="C2120" i="9"/>
  <c r="C2119" i="9"/>
  <c r="C2118" i="9"/>
  <c r="C2117" i="9"/>
  <c r="C2116" i="9"/>
  <c r="C2115" i="9"/>
  <c r="C2114" i="9"/>
  <c r="C2113" i="9"/>
  <c r="C2112" i="9"/>
  <c r="C2111" i="9"/>
  <c r="C2110" i="9"/>
  <c r="C2109" i="9"/>
  <c r="C2108" i="9"/>
  <c r="C2107" i="9"/>
  <c r="C2106" i="9"/>
  <c r="C2105" i="9"/>
  <c r="C2104" i="9"/>
  <c r="C2103" i="9"/>
  <c r="C2102" i="9"/>
  <c r="C2101" i="9"/>
  <c r="C2100" i="9"/>
  <c r="C2099" i="9"/>
  <c r="C2098" i="9"/>
  <c r="C2097" i="9"/>
  <c r="C2096" i="9"/>
  <c r="C2095" i="9"/>
  <c r="C2094" i="9"/>
  <c r="C2093" i="9"/>
  <c r="C2092" i="9"/>
  <c r="C2091" i="9"/>
  <c r="C2090" i="9"/>
  <c r="C2089" i="9"/>
  <c r="C2088" i="9"/>
  <c r="C2087" i="9"/>
  <c r="C2086" i="9"/>
  <c r="C2085" i="9"/>
  <c r="C2084" i="9"/>
  <c r="C2083" i="9"/>
  <c r="C2082" i="9"/>
  <c r="C2081" i="9"/>
  <c r="C2080" i="9"/>
  <c r="C2079" i="9"/>
  <c r="C2078" i="9"/>
  <c r="C2077" i="9"/>
  <c r="C2076" i="9"/>
  <c r="C2075" i="9"/>
  <c r="C2074" i="9"/>
  <c r="C2073" i="9"/>
  <c r="C2072" i="9"/>
  <c r="C2071" i="9"/>
  <c r="C2070" i="9"/>
  <c r="C2069" i="9"/>
  <c r="C2068" i="9"/>
  <c r="C2067" i="9"/>
  <c r="C2066" i="9"/>
  <c r="C2065" i="9"/>
  <c r="C2064" i="9"/>
  <c r="C2063" i="9"/>
  <c r="C2062" i="9"/>
  <c r="C2061" i="9"/>
  <c r="C2060" i="9"/>
  <c r="C2059" i="9"/>
  <c r="C2058" i="9"/>
  <c r="C2057" i="9"/>
  <c r="C2056" i="9"/>
  <c r="C2055" i="9"/>
  <c r="C2054" i="9"/>
  <c r="C2053" i="9"/>
  <c r="C2052" i="9"/>
  <c r="C2051" i="9"/>
  <c r="C2050" i="9"/>
  <c r="C2049" i="9"/>
  <c r="C2048" i="9"/>
  <c r="C2047" i="9"/>
  <c r="C2046" i="9"/>
  <c r="C2045" i="9"/>
  <c r="C2044" i="9"/>
  <c r="C2043" i="9"/>
  <c r="C2042" i="9"/>
  <c r="C2041" i="9"/>
  <c r="C2040" i="9"/>
  <c r="C2039" i="9"/>
  <c r="C2038" i="9"/>
  <c r="C2037" i="9"/>
  <c r="C2036" i="9"/>
  <c r="C2035" i="9"/>
  <c r="C2034" i="9"/>
  <c r="C2033" i="9"/>
  <c r="C2032" i="9"/>
  <c r="C2031" i="9"/>
  <c r="C2030" i="9"/>
  <c r="C2029" i="9"/>
  <c r="C2028" i="9"/>
  <c r="C2027" i="9"/>
  <c r="C2026" i="9"/>
  <c r="C2025" i="9"/>
  <c r="C2024" i="9"/>
  <c r="C2023" i="9"/>
  <c r="C2022" i="9"/>
  <c r="C2021" i="9"/>
  <c r="C2020" i="9"/>
  <c r="C2019" i="9"/>
  <c r="C2018" i="9"/>
  <c r="C2017" i="9"/>
  <c r="C2016" i="9"/>
  <c r="C2015" i="9"/>
  <c r="C2014" i="9"/>
  <c r="C2013" i="9"/>
  <c r="C2012" i="9"/>
  <c r="C2011" i="9"/>
  <c r="C2010" i="9"/>
  <c r="C2009" i="9"/>
  <c r="C2008" i="9"/>
  <c r="C2007" i="9"/>
  <c r="C2006" i="9"/>
  <c r="C2005" i="9"/>
  <c r="C2004" i="9"/>
  <c r="C2003" i="9"/>
  <c r="C2002" i="9"/>
  <c r="C2001" i="9"/>
  <c r="C2000" i="9"/>
  <c r="C1999" i="9"/>
  <c r="C1998" i="9"/>
  <c r="C1997" i="9"/>
  <c r="C1996" i="9"/>
  <c r="C1995" i="9"/>
  <c r="C1994" i="9"/>
  <c r="C1993" i="9"/>
  <c r="C1992" i="9"/>
  <c r="C1991" i="9"/>
  <c r="C1990" i="9"/>
  <c r="C1989" i="9"/>
  <c r="C1988" i="9"/>
  <c r="C1987" i="9"/>
  <c r="C1986" i="9"/>
  <c r="C1985" i="9"/>
  <c r="C1984" i="9"/>
  <c r="C1983" i="9"/>
  <c r="C1982" i="9"/>
  <c r="C1981" i="9"/>
  <c r="C1980" i="9"/>
  <c r="C1979" i="9"/>
  <c r="C1978" i="9"/>
  <c r="C1977" i="9"/>
  <c r="C1976" i="9"/>
  <c r="C1975" i="9"/>
  <c r="C1974" i="9"/>
  <c r="C1973" i="9"/>
  <c r="C1972" i="9"/>
  <c r="C1971" i="9"/>
  <c r="C1970" i="9"/>
  <c r="C1969" i="9"/>
  <c r="C1968" i="9"/>
  <c r="C1967" i="9"/>
  <c r="C1966" i="9"/>
  <c r="C1965" i="9"/>
  <c r="C1964" i="9"/>
  <c r="C1963" i="9"/>
  <c r="C1962" i="9"/>
  <c r="C1961" i="9"/>
  <c r="C1960" i="9"/>
  <c r="C1959" i="9"/>
  <c r="C1958" i="9"/>
  <c r="C1957" i="9"/>
  <c r="C1956" i="9"/>
  <c r="C1955" i="9"/>
  <c r="C1954" i="9"/>
  <c r="C1953" i="9"/>
  <c r="C1952" i="9"/>
  <c r="C1951" i="9"/>
  <c r="C1950" i="9"/>
  <c r="C1949" i="9"/>
  <c r="C1948" i="9"/>
  <c r="C1947" i="9"/>
  <c r="C1946" i="9"/>
  <c r="C1945" i="9"/>
  <c r="C1944" i="9"/>
  <c r="C1943" i="9"/>
  <c r="C1942" i="9"/>
  <c r="C1941" i="9"/>
  <c r="C1940" i="9"/>
  <c r="C1939" i="9"/>
  <c r="C1938" i="9"/>
  <c r="C1937" i="9"/>
  <c r="C1936" i="9"/>
  <c r="C1935" i="9"/>
  <c r="C1934" i="9"/>
  <c r="C1933" i="9"/>
  <c r="C1932" i="9"/>
  <c r="C1931" i="9"/>
  <c r="C1930" i="9"/>
  <c r="C1929" i="9"/>
  <c r="C1928" i="9"/>
  <c r="C1927" i="9"/>
  <c r="C1926" i="9"/>
  <c r="C1925" i="9"/>
  <c r="C1924" i="9"/>
  <c r="C1923" i="9"/>
  <c r="C1922" i="9"/>
  <c r="C1921" i="9"/>
  <c r="C1920" i="9"/>
  <c r="C1919" i="9"/>
  <c r="C1918" i="9"/>
  <c r="C1917" i="9"/>
  <c r="C1916" i="9"/>
  <c r="C1915" i="9"/>
  <c r="C1914" i="9"/>
  <c r="C1913" i="9"/>
  <c r="C1912" i="9"/>
  <c r="C1911" i="9"/>
  <c r="C1910" i="9"/>
  <c r="C1909" i="9"/>
  <c r="C1908" i="9"/>
  <c r="C1907" i="9"/>
  <c r="C1906" i="9"/>
  <c r="C1905" i="9"/>
  <c r="C1904" i="9"/>
  <c r="C1903" i="9"/>
  <c r="C1902" i="9"/>
  <c r="C1901" i="9"/>
  <c r="C1900" i="9"/>
  <c r="C1899" i="9"/>
  <c r="C1898" i="9"/>
  <c r="C1897" i="9"/>
  <c r="C1896" i="9"/>
  <c r="C1895" i="9"/>
  <c r="C1894" i="9"/>
  <c r="C1893" i="9"/>
  <c r="C1892" i="9"/>
  <c r="C1891" i="9"/>
  <c r="C1890" i="9"/>
  <c r="C1889" i="9"/>
  <c r="C1888" i="9"/>
  <c r="C1887" i="9"/>
  <c r="C1886" i="9"/>
  <c r="C1885" i="9"/>
  <c r="C1884" i="9"/>
  <c r="C1883" i="9"/>
  <c r="C1882" i="9"/>
  <c r="C1881" i="9"/>
  <c r="C1880" i="9"/>
  <c r="C1879" i="9"/>
  <c r="C1878" i="9"/>
  <c r="C1877" i="9"/>
  <c r="C1876" i="9"/>
  <c r="C1875" i="9"/>
  <c r="C1874" i="9"/>
  <c r="C1873" i="9"/>
  <c r="C1872" i="9"/>
  <c r="C1871" i="9"/>
  <c r="C1870" i="9"/>
  <c r="C1869" i="9"/>
  <c r="C1868" i="9"/>
  <c r="C1867" i="9"/>
  <c r="C1866" i="9"/>
  <c r="C1865" i="9"/>
  <c r="C1864" i="9"/>
  <c r="C1863" i="9"/>
  <c r="C1862" i="9"/>
  <c r="C1861" i="9"/>
  <c r="C1860" i="9"/>
  <c r="C1859" i="9"/>
  <c r="C1858" i="9"/>
  <c r="C1857" i="9"/>
  <c r="C1856" i="9"/>
  <c r="C1855" i="9"/>
  <c r="C1854" i="9"/>
  <c r="C1853" i="9"/>
  <c r="C1852" i="9"/>
  <c r="C1851" i="9"/>
  <c r="C1850" i="9"/>
  <c r="C1849" i="9"/>
  <c r="C1848" i="9"/>
  <c r="C1847" i="9"/>
  <c r="C1846" i="9"/>
  <c r="C1845" i="9"/>
  <c r="C1844" i="9"/>
  <c r="C1843" i="9"/>
  <c r="C1842" i="9"/>
  <c r="C1841" i="9"/>
  <c r="C1840" i="9"/>
  <c r="C1839" i="9"/>
  <c r="C1838" i="9"/>
  <c r="C1837" i="9"/>
  <c r="C1836" i="9"/>
  <c r="C1835" i="9"/>
  <c r="C1834" i="9"/>
  <c r="C1833" i="9"/>
  <c r="C1832" i="9"/>
  <c r="C1831" i="9"/>
  <c r="C1830" i="9"/>
  <c r="C1829" i="9"/>
  <c r="C1828" i="9"/>
  <c r="C1827" i="9"/>
  <c r="C1826" i="9"/>
  <c r="C1825" i="9"/>
  <c r="C1824" i="9"/>
  <c r="C1823" i="9"/>
  <c r="C1822" i="9"/>
  <c r="C1821" i="9"/>
  <c r="C1820" i="9"/>
  <c r="C1819" i="9"/>
  <c r="C1818" i="9"/>
  <c r="C1817" i="9"/>
  <c r="C1816" i="9"/>
  <c r="C1815" i="9"/>
  <c r="C1814" i="9"/>
  <c r="C1813" i="9"/>
  <c r="C1812" i="9"/>
  <c r="C1811" i="9"/>
  <c r="C1810" i="9"/>
  <c r="C1809" i="9"/>
  <c r="C1808" i="9"/>
  <c r="C1807" i="9"/>
  <c r="C1806" i="9"/>
  <c r="C1805" i="9"/>
  <c r="C1804" i="9"/>
  <c r="C1803" i="9"/>
  <c r="C1802" i="9"/>
  <c r="C1801" i="9"/>
  <c r="C1800" i="9"/>
  <c r="C1799" i="9"/>
  <c r="C1798" i="9"/>
  <c r="C1797" i="9"/>
  <c r="C1796" i="9"/>
  <c r="C1795" i="9"/>
  <c r="C1794" i="9"/>
  <c r="C1793" i="9"/>
  <c r="C1792" i="9"/>
  <c r="C1791" i="9"/>
  <c r="C1790" i="9"/>
  <c r="C1789" i="9"/>
  <c r="C1788" i="9"/>
  <c r="C1787" i="9"/>
  <c r="C1786" i="9"/>
  <c r="C1785" i="9"/>
  <c r="C1784" i="9"/>
  <c r="C1783" i="9"/>
  <c r="C1782" i="9"/>
  <c r="C1781" i="9"/>
  <c r="C1780" i="9"/>
  <c r="C1779" i="9"/>
  <c r="C1778" i="9"/>
  <c r="C1777" i="9"/>
  <c r="C1776" i="9"/>
  <c r="C1775" i="9"/>
  <c r="C1774" i="9"/>
  <c r="C1773" i="9"/>
  <c r="C1772" i="9"/>
  <c r="C1771" i="9"/>
  <c r="C1770" i="9"/>
  <c r="C1769" i="9"/>
  <c r="C1768" i="9"/>
  <c r="C1767" i="9"/>
  <c r="C1766" i="9"/>
  <c r="C1765" i="9"/>
  <c r="C1764" i="9"/>
  <c r="C1763" i="9"/>
  <c r="C1762" i="9"/>
  <c r="C1761" i="9"/>
  <c r="C1760" i="9"/>
  <c r="C1759" i="9"/>
  <c r="C1758" i="9"/>
  <c r="C1757" i="9"/>
  <c r="C1756" i="9"/>
  <c r="C1755" i="9"/>
  <c r="C1754" i="9"/>
  <c r="C1753" i="9"/>
  <c r="C1752" i="9"/>
  <c r="C1751" i="9"/>
  <c r="C1750" i="9"/>
  <c r="C1749" i="9"/>
  <c r="C1748" i="9"/>
  <c r="C1747" i="9"/>
  <c r="C1746" i="9"/>
  <c r="C1745" i="9"/>
  <c r="C1744" i="9"/>
  <c r="C1743" i="9"/>
  <c r="C1742" i="9"/>
  <c r="C1741" i="9"/>
  <c r="C1740" i="9"/>
  <c r="C1739" i="9"/>
  <c r="C1738" i="9"/>
  <c r="C1737" i="9"/>
  <c r="C1736" i="9"/>
  <c r="C1735" i="9"/>
  <c r="C1734" i="9"/>
  <c r="C1733" i="9"/>
  <c r="C1732" i="9"/>
  <c r="C1731" i="9"/>
  <c r="C1730" i="9"/>
  <c r="C1729" i="9"/>
  <c r="C1728" i="9"/>
  <c r="C1727" i="9"/>
  <c r="C1726" i="9"/>
  <c r="C1725" i="9"/>
  <c r="C1724" i="9"/>
  <c r="C1723" i="9"/>
  <c r="C1722" i="9"/>
  <c r="C1721" i="9"/>
  <c r="C1720" i="9"/>
  <c r="C1719" i="9"/>
  <c r="C1718" i="9"/>
  <c r="C1717" i="9"/>
  <c r="C1716" i="9"/>
  <c r="C1715" i="9"/>
  <c r="C1714" i="9"/>
  <c r="C1713" i="9"/>
  <c r="C1712" i="9"/>
  <c r="C1711" i="9"/>
  <c r="C1710" i="9"/>
  <c r="C1709" i="9"/>
  <c r="C1708" i="9"/>
  <c r="C1707" i="9"/>
  <c r="C1706" i="9"/>
  <c r="C1705" i="9"/>
  <c r="C1704" i="9"/>
  <c r="C1703" i="9"/>
  <c r="C1702" i="9"/>
  <c r="C1701" i="9"/>
  <c r="C1700" i="9"/>
  <c r="C1699" i="9"/>
  <c r="C1698" i="9"/>
  <c r="C1697" i="9"/>
  <c r="C1696" i="9"/>
  <c r="C1695" i="9"/>
  <c r="C1694" i="9"/>
  <c r="C1693" i="9"/>
  <c r="C1692" i="9"/>
  <c r="C1691" i="9"/>
  <c r="C1690" i="9"/>
  <c r="C1689" i="9"/>
  <c r="C1688" i="9"/>
  <c r="C1687" i="9"/>
  <c r="C1686" i="9"/>
  <c r="C1685" i="9"/>
  <c r="C1684" i="9"/>
  <c r="C1683" i="9"/>
  <c r="C1682" i="9"/>
  <c r="C1681" i="9"/>
  <c r="C1680" i="9"/>
  <c r="C1679" i="9"/>
  <c r="C1678" i="9"/>
  <c r="C1677" i="9"/>
  <c r="C1676" i="9"/>
  <c r="C1675" i="9"/>
  <c r="C1674" i="9"/>
  <c r="C1673" i="9"/>
  <c r="C1672" i="9"/>
  <c r="C1671" i="9"/>
  <c r="C1670" i="9"/>
  <c r="C1669" i="9"/>
  <c r="C1668" i="9"/>
  <c r="C1667" i="9"/>
  <c r="C1666" i="9"/>
  <c r="C1665" i="9"/>
  <c r="C1664" i="9"/>
  <c r="C1663" i="9"/>
  <c r="C1662" i="9"/>
  <c r="C1661" i="9"/>
  <c r="C1660" i="9"/>
  <c r="C1659" i="9"/>
  <c r="C1658" i="9"/>
  <c r="C1657" i="9"/>
  <c r="C1656" i="9"/>
  <c r="C1655" i="9"/>
  <c r="C1654" i="9"/>
  <c r="C1653" i="9"/>
  <c r="C1652" i="9"/>
  <c r="C1651" i="9"/>
  <c r="C1650" i="9"/>
  <c r="C1649" i="9"/>
  <c r="C1648" i="9"/>
  <c r="C1647" i="9"/>
  <c r="C1646" i="9"/>
  <c r="C1645" i="9"/>
  <c r="C1644" i="9"/>
  <c r="C1643" i="9"/>
  <c r="C1642" i="9"/>
  <c r="C1641" i="9"/>
  <c r="C1640" i="9"/>
  <c r="C1639" i="9"/>
  <c r="C1638" i="9"/>
  <c r="C1637" i="9"/>
  <c r="C1636" i="9"/>
  <c r="C1635" i="9"/>
  <c r="C1634" i="9"/>
  <c r="C1633" i="9"/>
  <c r="C1632" i="9"/>
  <c r="C1631" i="9"/>
  <c r="C1630" i="9"/>
  <c r="C1629" i="9"/>
  <c r="C1628" i="9"/>
  <c r="C1627" i="9"/>
  <c r="C1626" i="9"/>
  <c r="C1625" i="9"/>
  <c r="C1624" i="9"/>
  <c r="C1623" i="9"/>
  <c r="C1622" i="9"/>
  <c r="C1621" i="9"/>
  <c r="C1620" i="9"/>
  <c r="C1619" i="9"/>
  <c r="C1618" i="9"/>
  <c r="C1617" i="9"/>
  <c r="C1616" i="9"/>
  <c r="C1615" i="9"/>
  <c r="C1614" i="9"/>
  <c r="C1613" i="9"/>
  <c r="C1612" i="9"/>
  <c r="C1611" i="9"/>
  <c r="C1610" i="9"/>
  <c r="C1609" i="9"/>
  <c r="C1608" i="9"/>
  <c r="C1607" i="9"/>
  <c r="C1606" i="9"/>
  <c r="C1605" i="9"/>
  <c r="C1604" i="9"/>
  <c r="C1603" i="9"/>
  <c r="C1602" i="9"/>
  <c r="C1601" i="9"/>
  <c r="C1600" i="9"/>
  <c r="C1599" i="9"/>
  <c r="C1598" i="9"/>
  <c r="C1597" i="9"/>
  <c r="C1596" i="9"/>
  <c r="C1595" i="9"/>
  <c r="C1594" i="9"/>
  <c r="C1593" i="9"/>
  <c r="C1592" i="9"/>
  <c r="C1591" i="9"/>
  <c r="C1590" i="9"/>
  <c r="C1589" i="9"/>
  <c r="C1588" i="9"/>
  <c r="C1587" i="9"/>
  <c r="C1586" i="9"/>
  <c r="C1585" i="9"/>
  <c r="C1584" i="9"/>
  <c r="C1583" i="9"/>
  <c r="C1582" i="9"/>
  <c r="C1581" i="9"/>
  <c r="C1580" i="9"/>
  <c r="C1579" i="9"/>
  <c r="C1578" i="9"/>
  <c r="C1577" i="9"/>
  <c r="C1576" i="9"/>
  <c r="C1575" i="9"/>
  <c r="C1574" i="9"/>
  <c r="C1573" i="9"/>
  <c r="C1572" i="9"/>
  <c r="C1571" i="9"/>
  <c r="C1570" i="9"/>
  <c r="C1569" i="9"/>
  <c r="C1568" i="9"/>
  <c r="C1567" i="9"/>
  <c r="C1566" i="9"/>
  <c r="C1565" i="9"/>
  <c r="C1564" i="9"/>
  <c r="C1563" i="9"/>
  <c r="C1562" i="9"/>
  <c r="C1561" i="9"/>
  <c r="C1560" i="9"/>
  <c r="C1559" i="9"/>
  <c r="C1558" i="9"/>
  <c r="C1557" i="9"/>
  <c r="C1556" i="9"/>
  <c r="C1555" i="9"/>
  <c r="C1554" i="9"/>
  <c r="C1553" i="9"/>
  <c r="C1552" i="9"/>
  <c r="C1551" i="9"/>
  <c r="C1550" i="9"/>
  <c r="C1549" i="9"/>
  <c r="C1548" i="9"/>
  <c r="C1547" i="9"/>
  <c r="C1546" i="9"/>
  <c r="C1545" i="9"/>
  <c r="C1544" i="9"/>
  <c r="C1543" i="9"/>
  <c r="C1542" i="9"/>
  <c r="C1541" i="9"/>
  <c r="C1540" i="9"/>
  <c r="C1539" i="9"/>
  <c r="C1538" i="9"/>
  <c r="C1537" i="9"/>
  <c r="C1536" i="9"/>
  <c r="C1535" i="9"/>
  <c r="C1534" i="9"/>
  <c r="C1533" i="9"/>
  <c r="C1532" i="9"/>
  <c r="C1531" i="9"/>
  <c r="C1530" i="9"/>
  <c r="C1529" i="9"/>
  <c r="C1528" i="9"/>
  <c r="C1527" i="9"/>
  <c r="C1526" i="9"/>
  <c r="C1525" i="9"/>
  <c r="C1524" i="9"/>
  <c r="C1523" i="9"/>
  <c r="C1522" i="9"/>
  <c r="C1521" i="9"/>
  <c r="C1520" i="9"/>
  <c r="C1519" i="9"/>
  <c r="C1518" i="9"/>
  <c r="C1517" i="9"/>
  <c r="C1516" i="9"/>
  <c r="C1515" i="9"/>
  <c r="C1514" i="9"/>
  <c r="C1513" i="9"/>
  <c r="C1512" i="9"/>
  <c r="C1511" i="9"/>
  <c r="C1510" i="9"/>
  <c r="C1509" i="9"/>
  <c r="C1508" i="9"/>
  <c r="C1507" i="9"/>
  <c r="C1506" i="9"/>
  <c r="C1505" i="9"/>
  <c r="C1504" i="9"/>
  <c r="C1503" i="9"/>
  <c r="C1502" i="9"/>
  <c r="C1501" i="9"/>
  <c r="C1500" i="9"/>
  <c r="C1499" i="9"/>
  <c r="C1498" i="9"/>
  <c r="C1497" i="9"/>
  <c r="C1496" i="9"/>
  <c r="C1495" i="9"/>
  <c r="C1494" i="9"/>
  <c r="C1493" i="9"/>
  <c r="C1492" i="9"/>
  <c r="C1491" i="9"/>
  <c r="C1490" i="9"/>
  <c r="C1489" i="9"/>
  <c r="C1488" i="9"/>
  <c r="C1487" i="9"/>
  <c r="C1486" i="9"/>
  <c r="C1485" i="9"/>
  <c r="C1484" i="9"/>
  <c r="C1483" i="9"/>
  <c r="C1482" i="9"/>
  <c r="C1481" i="9"/>
  <c r="C1480" i="9"/>
  <c r="C1479" i="9"/>
  <c r="C1478" i="9"/>
  <c r="C1477" i="9"/>
  <c r="C1476" i="9"/>
  <c r="C1475" i="9"/>
  <c r="C1474" i="9"/>
  <c r="C1473" i="9"/>
  <c r="C1472" i="9"/>
  <c r="C1471" i="9"/>
  <c r="C1470" i="9"/>
  <c r="C1469" i="9"/>
  <c r="C1468" i="9"/>
  <c r="C1467" i="9"/>
  <c r="C1466" i="9"/>
  <c r="C1465" i="9"/>
  <c r="C1464" i="9"/>
  <c r="C1463" i="9"/>
  <c r="C1462" i="9"/>
  <c r="C1461" i="9"/>
  <c r="C1460" i="9"/>
  <c r="C1459" i="9"/>
  <c r="C1458" i="9"/>
  <c r="C1457" i="9"/>
  <c r="C1456" i="9"/>
  <c r="C1455" i="9"/>
  <c r="C1454" i="9"/>
  <c r="C1453" i="9"/>
  <c r="C1452" i="9"/>
  <c r="C1451" i="9"/>
  <c r="C1450" i="9"/>
  <c r="C1449" i="9"/>
  <c r="C1448" i="9"/>
  <c r="C1447" i="9"/>
  <c r="C1446" i="9"/>
  <c r="C1445" i="9"/>
  <c r="C1444" i="9"/>
  <c r="C1443" i="9"/>
  <c r="C1442" i="9"/>
  <c r="C1441" i="9"/>
  <c r="C1440" i="9"/>
  <c r="C1439" i="9"/>
  <c r="C1438" i="9"/>
  <c r="C1437" i="9"/>
  <c r="C1436" i="9"/>
  <c r="C1435" i="9"/>
  <c r="C1434" i="9"/>
  <c r="C1433" i="9"/>
  <c r="C1432" i="9"/>
  <c r="C1431" i="9"/>
  <c r="C1430" i="9"/>
  <c r="C1429" i="9"/>
  <c r="C1428" i="9"/>
  <c r="C1427" i="9"/>
  <c r="C1426" i="9"/>
  <c r="C1425" i="9"/>
  <c r="C1424" i="9"/>
  <c r="C1423" i="9"/>
  <c r="C1422" i="9"/>
  <c r="C1421" i="9"/>
  <c r="C1420" i="9"/>
  <c r="C1419" i="9"/>
  <c r="C1418" i="9"/>
  <c r="C1417" i="9"/>
  <c r="C1416" i="9"/>
  <c r="C1415" i="9"/>
  <c r="C1414" i="9"/>
  <c r="C1413" i="9"/>
  <c r="C1412" i="9"/>
  <c r="C1411" i="9"/>
  <c r="C1410" i="9"/>
  <c r="C1409" i="9"/>
  <c r="C1408" i="9"/>
  <c r="C1407" i="9"/>
  <c r="C1406" i="9"/>
  <c r="C1405" i="9"/>
  <c r="C1404" i="9"/>
  <c r="C1403" i="9"/>
  <c r="C1402" i="9"/>
  <c r="C1401" i="9"/>
  <c r="C1400" i="9"/>
  <c r="C1399" i="9"/>
  <c r="C1398" i="9"/>
  <c r="C1397" i="9"/>
  <c r="C1396" i="9"/>
  <c r="C1395" i="9"/>
  <c r="C1394" i="9"/>
  <c r="C1393" i="9"/>
  <c r="C1392" i="9"/>
  <c r="C1391" i="9"/>
  <c r="C1390" i="9"/>
  <c r="C1389" i="9"/>
  <c r="C1388" i="9"/>
  <c r="C1387" i="9"/>
  <c r="C1386" i="9"/>
  <c r="C1385" i="9"/>
  <c r="C1384" i="9"/>
  <c r="C1383" i="9"/>
  <c r="C1382" i="9"/>
  <c r="C1381" i="9"/>
  <c r="C1380" i="9"/>
  <c r="C1379" i="9"/>
  <c r="C1378" i="9"/>
  <c r="C1377" i="9"/>
  <c r="C1376" i="9"/>
  <c r="C1375" i="9"/>
  <c r="C1374" i="9"/>
  <c r="C1373" i="9"/>
  <c r="C1372" i="9"/>
  <c r="C1371" i="9"/>
  <c r="C1370" i="9"/>
  <c r="C1369" i="9"/>
  <c r="C1368" i="9"/>
  <c r="C1367" i="9"/>
  <c r="C1366" i="9"/>
  <c r="C1365" i="9"/>
  <c r="C1364" i="9"/>
  <c r="C1363" i="9"/>
  <c r="C1362" i="9"/>
  <c r="C1361" i="9"/>
  <c r="C1360" i="9"/>
  <c r="C1359" i="9"/>
  <c r="C1358" i="9"/>
  <c r="C1357" i="9"/>
  <c r="C1356" i="9"/>
  <c r="C1355" i="9"/>
  <c r="C1354" i="9"/>
  <c r="C1353" i="9"/>
  <c r="C1352" i="9"/>
  <c r="C1351" i="9"/>
  <c r="C1350" i="9"/>
  <c r="C1349" i="9"/>
  <c r="C1348" i="9"/>
  <c r="C1347" i="9"/>
  <c r="C1346" i="9"/>
  <c r="C1345" i="9"/>
  <c r="C1344" i="9"/>
  <c r="C1343" i="9"/>
  <c r="C1342" i="9"/>
  <c r="C1341" i="9"/>
  <c r="C1340" i="9"/>
  <c r="C1339" i="9"/>
  <c r="C1338" i="9"/>
  <c r="C1337" i="9"/>
  <c r="C1336" i="9"/>
  <c r="C1335" i="9"/>
  <c r="C1334" i="9"/>
  <c r="C1333" i="9"/>
  <c r="C1332" i="9"/>
  <c r="C1331" i="9"/>
  <c r="C1330" i="9"/>
  <c r="C1329" i="9"/>
  <c r="C1328" i="9"/>
  <c r="C1327" i="9"/>
  <c r="C1326" i="9"/>
  <c r="C1325" i="9"/>
  <c r="C1324" i="9"/>
  <c r="C1323" i="9"/>
  <c r="C1322" i="9"/>
  <c r="C1321" i="9"/>
  <c r="C1320" i="9"/>
  <c r="C1319" i="9"/>
  <c r="C1318" i="9"/>
  <c r="C1317" i="9"/>
  <c r="C1316" i="9"/>
  <c r="C1315" i="9"/>
  <c r="C1314" i="9"/>
  <c r="C1313" i="9"/>
  <c r="C1312" i="9"/>
  <c r="C1311" i="9"/>
  <c r="C1310" i="9"/>
  <c r="C1309" i="9"/>
  <c r="C1308" i="9"/>
  <c r="C1307" i="9"/>
  <c r="C1306" i="9"/>
  <c r="C1305" i="9"/>
  <c r="C1304" i="9"/>
  <c r="C1303" i="9"/>
  <c r="C1302" i="9"/>
  <c r="C1301" i="9"/>
  <c r="C1300" i="9"/>
  <c r="C1299" i="9"/>
  <c r="C1298" i="9"/>
  <c r="C1297" i="9"/>
  <c r="C1296" i="9"/>
  <c r="C1295" i="9"/>
  <c r="C1294" i="9"/>
  <c r="C1293" i="9"/>
  <c r="C1292" i="9"/>
  <c r="C1291" i="9"/>
  <c r="C1290" i="9"/>
  <c r="C1289" i="9"/>
  <c r="C1288" i="9"/>
  <c r="C1287" i="9"/>
  <c r="C1286" i="9"/>
  <c r="C1285" i="9"/>
  <c r="C1284" i="9"/>
  <c r="C1283" i="9"/>
  <c r="C1282" i="9"/>
  <c r="C1281" i="9"/>
  <c r="C1280" i="9"/>
  <c r="C1279" i="9"/>
  <c r="C1278" i="9"/>
  <c r="C1277" i="9"/>
  <c r="C1276" i="9"/>
  <c r="C1275" i="9"/>
  <c r="C1274" i="9"/>
  <c r="C1273" i="9"/>
  <c r="C1272" i="9"/>
  <c r="C1271" i="9"/>
  <c r="C1270" i="9"/>
  <c r="C1269" i="9"/>
  <c r="C1268" i="9"/>
  <c r="C1267" i="9"/>
  <c r="C1266" i="9"/>
  <c r="C1265" i="9"/>
  <c r="C1264" i="9"/>
  <c r="C1263" i="9"/>
  <c r="C1262" i="9"/>
  <c r="C1261" i="9"/>
  <c r="C1260" i="9"/>
  <c r="C1259" i="9"/>
  <c r="C1258" i="9"/>
  <c r="C1257" i="9"/>
  <c r="C1256" i="9"/>
  <c r="C1255" i="9"/>
  <c r="C1254" i="9"/>
  <c r="C1253" i="9"/>
  <c r="C1252" i="9"/>
  <c r="C1251" i="9"/>
  <c r="C1250" i="9"/>
  <c r="C1249" i="9"/>
  <c r="C1248" i="9"/>
  <c r="C1247" i="9"/>
  <c r="C1246" i="9"/>
  <c r="C1245" i="9"/>
  <c r="C1244" i="9"/>
  <c r="C1243" i="9"/>
  <c r="C1242" i="9"/>
  <c r="C1241" i="9"/>
  <c r="C1240" i="9"/>
  <c r="C1239" i="9"/>
  <c r="C1238" i="9"/>
  <c r="C1237" i="9"/>
  <c r="C1236" i="9"/>
  <c r="C1235" i="9"/>
  <c r="C1234" i="9"/>
  <c r="C1233" i="9"/>
  <c r="C1232" i="9"/>
  <c r="C1231" i="9"/>
  <c r="C1230" i="9"/>
  <c r="C1229" i="9"/>
  <c r="C1228" i="9"/>
  <c r="C1227" i="9"/>
  <c r="C1226" i="9"/>
  <c r="C1225" i="9"/>
  <c r="C1224" i="9"/>
  <c r="C1223" i="9"/>
  <c r="C1222" i="9"/>
  <c r="C1221" i="9"/>
  <c r="C1220" i="9"/>
  <c r="C1219" i="9"/>
  <c r="C1218" i="9"/>
  <c r="C1217" i="9"/>
  <c r="C1216" i="9"/>
  <c r="C1215" i="9"/>
  <c r="C1214" i="9"/>
  <c r="C1213" i="9"/>
  <c r="C1212" i="9"/>
  <c r="C1211" i="9"/>
  <c r="C1210" i="9"/>
  <c r="C1209" i="9"/>
  <c r="C1208" i="9"/>
  <c r="C1207" i="9"/>
  <c r="C1206" i="9"/>
  <c r="C1205" i="9"/>
  <c r="C1204" i="9"/>
  <c r="C1203" i="9"/>
  <c r="C1202" i="9"/>
  <c r="C1201" i="9"/>
  <c r="C1200" i="9"/>
  <c r="C1199" i="9"/>
  <c r="C1198" i="9"/>
  <c r="C1197" i="9"/>
  <c r="C1196" i="9"/>
  <c r="C1195" i="9"/>
  <c r="C1194" i="9"/>
  <c r="C1193" i="9"/>
  <c r="C1192" i="9"/>
  <c r="C1191" i="9"/>
  <c r="C1190" i="9"/>
  <c r="C1189" i="9"/>
  <c r="C1188" i="9"/>
  <c r="C1187" i="9"/>
  <c r="C1186" i="9"/>
  <c r="C1185" i="9"/>
  <c r="C1184" i="9"/>
  <c r="C1183" i="9"/>
  <c r="C1182" i="9"/>
  <c r="C1181" i="9"/>
  <c r="C1180" i="9"/>
  <c r="C1179" i="9"/>
  <c r="C1178" i="9"/>
  <c r="C1177" i="9"/>
  <c r="C1176" i="9"/>
  <c r="C1175" i="9"/>
  <c r="C1174" i="9"/>
  <c r="C1173" i="9"/>
  <c r="C1172" i="9"/>
  <c r="C1171" i="9"/>
  <c r="C1170" i="9"/>
  <c r="C1169" i="9"/>
  <c r="C1168" i="9"/>
  <c r="C1167" i="9"/>
  <c r="C1166" i="9"/>
  <c r="C1165" i="9"/>
  <c r="C1164" i="9"/>
  <c r="C1163" i="9"/>
  <c r="C1162" i="9"/>
  <c r="C1161" i="9"/>
  <c r="C1160" i="9"/>
  <c r="C1159" i="9"/>
  <c r="C1158" i="9"/>
  <c r="C1157" i="9"/>
  <c r="C1156" i="9"/>
  <c r="C1155" i="9"/>
  <c r="C1154" i="9"/>
  <c r="C1153" i="9"/>
  <c r="C1152" i="9"/>
  <c r="C1151" i="9"/>
  <c r="C1150" i="9"/>
  <c r="C1149" i="9"/>
  <c r="C1148" i="9"/>
  <c r="C1147" i="9"/>
  <c r="C1146" i="9"/>
  <c r="C1145" i="9"/>
  <c r="C1144" i="9"/>
  <c r="C1143" i="9"/>
  <c r="C1142" i="9"/>
  <c r="C1141" i="9"/>
  <c r="C1140" i="9"/>
  <c r="C1139" i="9"/>
  <c r="C1138" i="9"/>
  <c r="C1137" i="9"/>
  <c r="C1136" i="9"/>
  <c r="C1135" i="9"/>
  <c r="C1134" i="9"/>
  <c r="C1133" i="9"/>
  <c r="C1132" i="9"/>
  <c r="C1131" i="9"/>
  <c r="C1130" i="9"/>
  <c r="C1129" i="9"/>
  <c r="C1128" i="9"/>
  <c r="C1127" i="9"/>
  <c r="C1126" i="9"/>
  <c r="C1125" i="9"/>
  <c r="C1124" i="9"/>
  <c r="C1123" i="9"/>
  <c r="C1122" i="9"/>
  <c r="C1121" i="9"/>
  <c r="C1120" i="9"/>
  <c r="C1119" i="9"/>
  <c r="C1118" i="9"/>
  <c r="C1117" i="9"/>
  <c r="C1116" i="9"/>
  <c r="C1115" i="9"/>
  <c r="C1114" i="9"/>
  <c r="C1113" i="9"/>
  <c r="C1112" i="9"/>
  <c r="C1111" i="9"/>
  <c r="C1110" i="9"/>
  <c r="C1109" i="9"/>
  <c r="C1108" i="9"/>
  <c r="C1107" i="9"/>
  <c r="C1106" i="9"/>
  <c r="C1105" i="9"/>
  <c r="C1104" i="9"/>
  <c r="C1103" i="9"/>
  <c r="C1102" i="9"/>
  <c r="C1101" i="9"/>
  <c r="C1100" i="9"/>
  <c r="C1099" i="9"/>
  <c r="C1098" i="9"/>
  <c r="C1097" i="9"/>
  <c r="C1096" i="9"/>
  <c r="C1095" i="9"/>
  <c r="C1094" i="9"/>
  <c r="C1093" i="9"/>
  <c r="C1092" i="9"/>
  <c r="C1091" i="9"/>
  <c r="C1090" i="9"/>
  <c r="C1089" i="9"/>
  <c r="C1088" i="9"/>
  <c r="C1087" i="9"/>
  <c r="C1086" i="9"/>
  <c r="C1085" i="9"/>
  <c r="C1084" i="9"/>
  <c r="C1083" i="9"/>
  <c r="C1082" i="9"/>
  <c r="C1081" i="9"/>
  <c r="C1080" i="9"/>
  <c r="C1079" i="9"/>
  <c r="C1078" i="9"/>
  <c r="C1077" i="9"/>
  <c r="C1076" i="9"/>
  <c r="C1075" i="9"/>
  <c r="C1074" i="9"/>
  <c r="C1073" i="9"/>
  <c r="C1072" i="9"/>
  <c r="C1071" i="9"/>
  <c r="C1070" i="9"/>
  <c r="C1069" i="9"/>
  <c r="C1068" i="9"/>
  <c r="C1067" i="9"/>
  <c r="C1066" i="9"/>
  <c r="C1065" i="9"/>
  <c r="C1064" i="9"/>
  <c r="C1063" i="9"/>
  <c r="C1062" i="9"/>
  <c r="C1061" i="9"/>
  <c r="C1060" i="9"/>
  <c r="C1059" i="9"/>
  <c r="C1058" i="9"/>
  <c r="C1057" i="9"/>
  <c r="C1056" i="9"/>
  <c r="C1055" i="9"/>
  <c r="C1054" i="9"/>
  <c r="C1053" i="9"/>
  <c r="C1052" i="9"/>
  <c r="C1051" i="9"/>
  <c r="C1050" i="9"/>
  <c r="C1049" i="9"/>
  <c r="C1048" i="9"/>
  <c r="C1047" i="9"/>
  <c r="C1046" i="9"/>
  <c r="C1045" i="9"/>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D34992" i="10"/>
  <c r="D34991" i="10"/>
  <c r="D34990" i="10"/>
  <c r="D34989" i="10"/>
  <c r="D34988" i="10"/>
  <c r="D34987" i="10"/>
  <c r="D34986" i="10"/>
  <c r="D34985" i="10"/>
  <c r="D34984" i="10"/>
  <c r="D34983" i="10"/>
  <c r="D34982" i="10"/>
  <c r="D34981" i="10"/>
  <c r="D34980" i="10"/>
  <c r="D34979" i="10"/>
  <c r="D34978" i="10"/>
  <c r="D34977" i="10"/>
  <c r="D34976" i="10"/>
  <c r="D34975" i="10"/>
  <c r="D34974" i="10"/>
  <c r="D34973" i="10"/>
  <c r="D34972" i="10"/>
  <c r="D34971" i="10"/>
  <c r="D34970" i="10"/>
  <c r="D34969" i="10"/>
  <c r="D34968" i="10"/>
  <c r="D34967" i="10"/>
  <c r="D34966" i="10"/>
  <c r="D34965" i="10"/>
  <c r="D34964" i="10"/>
  <c r="D34963" i="10"/>
  <c r="D34962" i="10"/>
  <c r="D34961" i="10"/>
  <c r="D34960" i="10"/>
  <c r="D34959" i="10"/>
  <c r="D34958" i="10"/>
  <c r="D34957" i="10"/>
  <c r="D34956" i="10"/>
  <c r="D34955" i="10"/>
  <c r="D34954" i="10"/>
  <c r="D34953" i="10"/>
  <c r="D34952" i="10"/>
  <c r="D34951" i="10"/>
  <c r="D34950" i="10"/>
  <c r="D34949" i="10"/>
  <c r="D34948" i="10"/>
  <c r="D34947" i="10"/>
  <c r="D34946" i="10"/>
  <c r="D34945" i="10"/>
  <c r="D34944" i="10"/>
  <c r="D34943" i="10"/>
  <c r="D34942" i="10"/>
  <c r="D34941" i="10"/>
  <c r="D34940" i="10"/>
  <c r="D34939" i="10"/>
  <c r="D34938" i="10"/>
  <c r="D34937" i="10"/>
  <c r="D34936" i="10"/>
  <c r="D34935" i="10"/>
  <c r="D34934" i="10"/>
  <c r="D34933" i="10"/>
  <c r="D34932" i="10"/>
  <c r="D34931" i="10"/>
  <c r="D34930" i="10"/>
  <c r="D34929" i="10"/>
  <c r="D34928" i="10"/>
  <c r="D34927" i="10"/>
  <c r="D34926" i="10"/>
  <c r="D34925" i="10"/>
  <c r="D34924" i="10"/>
  <c r="D34923" i="10"/>
  <c r="D34922" i="10"/>
  <c r="D34921" i="10"/>
  <c r="D34920" i="10"/>
  <c r="D34919" i="10"/>
  <c r="D34918" i="10"/>
  <c r="D34917" i="10"/>
  <c r="D34916" i="10"/>
  <c r="D34915" i="10"/>
  <c r="D34914" i="10"/>
  <c r="D34913" i="10"/>
  <c r="D34912" i="10"/>
  <c r="D34911" i="10"/>
  <c r="D34910" i="10"/>
  <c r="D34909" i="10"/>
  <c r="D34908" i="10"/>
  <c r="D34907" i="10"/>
  <c r="D34906" i="10"/>
  <c r="D34905" i="10"/>
  <c r="D34904" i="10"/>
  <c r="D34903" i="10"/>
  <c r="D34902" i="10"/>
  <c r="D34901" i="10"/>
  <c r="D34900" i="10"/>
  <c r="D34899" i="10"/>
  <c r="D34898" i="10"/>
  <c r="D34897" i="10"/>
  <c r="D34896" i="10"/>
  <c r="D34895" i="10"/>
  <c r="D34894" i="10"/>
  <c r="D34893" i="10"/>
  <c r="D34892" i="10"/>
  <c r="D34891" i="10"/>
  <c r="D34890" i="10"/>
  <c r="D34889" i="10"/>
  <c r="D34888" i="10"/>
  <c r="D34887" i="10"/>
  <c r="D34886" i="10"/>
  <c r="D34885" i="10"/>
  <c r="D34884" i="10"/>
  <c r="D34883" i="10"/>
  <c r="D34882" i="10"/>
  <c r="D34881" i="10"/>
  <c r="D34880" i="10"/>
  <c r="D34879" i="10"/>
  <c r="D34878" i="10"/>
  <c r="D34877" i="10"/>
  <c r="D34876" i="10"/>
  <c r="D34875" i="10"/>
  <c r="D34874" i="10"/>
  <c r="D34873" i="10"/>
  <c r="D34872" i="10"/>
  <c r="D34871" i="10"/>
  <c r="D34870" i="10"/>
  <c r="D34869" i="10"/>
  <c r="D34868" i="10"/>
  <c r="D34867" i="10"/>
  <c r="D34866" i="10"/>
  <c r="D34865" i="10"/>
  <c r="D34864" i="10"/>
  <c r="D34863" i="10"/>
  <c r="D34862" i="10"/>
  <c r="D34861" i="10"/>
  <c r="D34860" i="10"/>
  <c r="D34859" i="10"/>
  <c r="D34858" i="10"/>
  <c r="D34857" i="10"/>
  <c r="D34856" i="10"/>
  <c r="D34855" i="10"/>
  <c r="D34854" i="10"/>
  <c r="D34853" i="10"/>
  <c r="D34852" i="10"/>
  <c r="D34851" i="10"/>
  <c r="D34850" i="10"/>
  <c r="D34849" i="10"/>
  <c r="D34848" i="10"/>
  <c r="D34847" i="10"/>
  <c r="D34846" i="10"/>
  <c r="D34845" i="10"/>
  <c r="D34844" i="10"/>
  <c r="D34843" i="10"/>
  <c r="D34842" i="10"/>
  <c r="D34841" i="10"/>
  <c r="D34840" i="10"/>
  <c r="D34839" i="10"/>
  <c r="D34838" i="10"/>
  <c r="D34837" i="10"/>
  <c r="D34836" i="10"/>
  <c r="D34835" i="10"/>
  <c r="D34834" i="10"/>
  <c r="D34833" i="10"/>
  <c r="D34832" i="10"/>
  <c r="D34831" i="10"/>
  <c r="D34830" i="10"/>
  <c r="D34829" i="10"/>
  <c r="D34828" i="10"/>
  <c r="D34827" i="10"/>
  <c r="D34826" i="10"/>
  <c r="D34825" i="10"/>
  <c r="D34824" i="10"/>
  <c r="D34823" i="10"/>
  <c r="D34822" i="10"/>
  <c r="D34821" i="10"/>
  <c r="D34820" i="10"/>
  <c r="D34819" i="10"/>
  <c r="D34818" i="10"/>
  <c r="D34817" i="10"/>
  <c r="D34816" i="10"/>
  <c r="D34815" i="10"/>
  <c r="D34814" i="10"/>
  <c r="D34813" i="10"/>
  <c r="D34812" i="10"/>
  <c r="D34811" i="10"/>
  <c r="D34810" i="10"/>
  <c r="D34809" i="10"/>
  <c r="D34808" i="10"/>
  <c r="D34807" i="10"/>
  <c r="D34806" i="10"/>
  <c r="D34805" i="10"/>
  <c r="D34804" i="10"/>
  <c r="D34803" i="10"/>
  <c r="D34802" i="10"/>
  <c r="D34801" i="10"/>
  <c r="D34800" i="10"/>
  <c r="D34799" i="10"/>
  <c r="D34798" i="10"/>
  <c r="D34797" i="10"/>
  <c r="D34796" i="10"/>
  <c r="D34795" i="10"/>
  <c r="D34794" i="10"/>
  <c r="D34793" i="10"/>
  <c r="D34792" i="10"/>
  <c r="D34791" i="10"/>
  <c r="D34790" i="10"/>
  <c r="D34789" i="10"/>
  <c r="D34788" i="10"/>
  <c r="D34787" i="10"/>
  <c r="D34786" i="10"/>
  <c r="D34785" i="10"/>
  <c r="D34784" i="10"/>
  <c r="D34783" i="10"/>
  <c r="D34782" i="10"/>
  <c r="D34781" i="10"/>
  <c r="D34780" i="10"/>
  <c r="D34779" i="10"/>
  <c r="D34778" i="10"/>
  <c r="D34777" i="10"/>
  <c r="D34776" i="10"/>
  <c r="D34775" i="10"/>
  <c r="D34774" i="10"/>
  <c r="D34773" i="10"/>
  <c r="D34772" i="10"/>
  <c r="D34771" i="10"/>
  <c r="D34770" i="10"/>
  <c r="D34769" i="10"/>
  <c r="D34768" i="10"/>
  <c r="D34767" i="10"/>
  <c r="D34766" i="10"/>
  <c r="D34765" i="10"/>
  <c r="D34764" i="10"/>
  <c r="D34763" i="10"/>
  <c r="D34762" i="10"/>
  <c r="D34761" i="10"/>
  <c r="D34760" i="10"/>
  <c r="D34759" i="10"/>
  <c r="D34758" i="10"/>
  <c r="D34757" i="10"/>
  <c r="D34756" i="10"/>
  <c r="D34755" i="10"/>
  <c r="D34754" i="10"/>
  <c r="D34753" i="10"/>
  <c r="D34752" i="10"/>
  <c r="D34751" i="10"/>
  <c r="D34750" i="10"/>
  <c r="D34749" i="10"/>
  <c r="D34748" i="10"/>
  <c r="D34747" i="10"/>
  <c r="D34746" i="10"/>
  <c r="D34745" i="10"/>
  <c r="D34744" i="10"/>
  <c r="D34743" i="10"/>
  <c r="D34742" i="10"/>
  <c r="D34741" i="10"/>
  <c r="D34740" i="10"/>
  <c r="D34739" i="10"/>
  <c r="D34738" i="10"/>
  <c r="D34737" i="10"/>
  <c r="D34736" i="10"/>
  <c r="D34735" i="10"/>
  <c r="D34734" i="10"/>
  <c r="D34733" i="10"/>
  <c r="D34732" i="10"/>
  <c r="D34731" i="10"/>
  <c r="D34730" i="10"/>
  <c r="D34729" i="10"/>
  <c r="D34728" i="10"/>
  <c r="D34727" i="10"/>
  <c r="D34726" i="10"/>
  <c r="D34725" i="10"/>
  <c r="D34724" i="10"/>
  <c r="D34723" i="10"/>
  <c r="D34722" i="10"/>
  <c r="D34721" i="10"/>
  <c r="D34720" i="10"/>
  <c r="D34719" i="10"/>
  <c r="D34718" i="10"/>
  <c r="D34717" i="10"/>
  <c r="D34716" i="10"/>
  <c r="D34715" i="10"/>
  <c r="D34714" i="10"/>
  <c r="D34713" i="10"/>
  <c r="D34712" i="10"/>
  <c r="D34711" i="10"/>
  <c r="D34710" i="10"/>
  <c r="D34709" i="10"/>
  <c r="D34708" i="10"/>
  <c r="D34707" i="10"/>
  <c r="D34706" i="10"/>
  <c r="D34705" i="10"/>
  <c r="D34704" i="10"/>
  <c r="D34703" i="10"/>
  <c r="D34702" i="10"/>
  <c r="D34701" i="10"/>
  <c r="D34700" i="10"/>
  <c r="D34699" i="10"/>
  <c r="D34698" i="10"/>
  <c r="D34697" i="10"/>
  <c r="D34696" i="10"/>
  <c r="D34695" i="10"/>
  <c r="D34694" i="10"/>
  <c r="D34693" i="10"/>
  <c r="D34692" i="10"/>
  <c r="D34691" i="10"/>
  <c r="D34690" i="10"/>
  <c r="D34689" i="10"/>
  <c r="D34688" i="10"/>
  <c r="D34687" i="10"/>
  <c r="D34686" i="10"/>
  <c r="D34685" i="10"/>
  <c r="D34684" i="10"/>
  <c r="D34683" i="10"/>
  <c r="D34682" i="10"/>
  <c r="D34681" i="10"/>
  <c r="D34680" i="10"/>
  <c r="D34679" i="10"/>
  <c r="D34678" i="10"/>
  <c r="D34677" i="10"/>
  <c r="D34676" i="10"/>
  <c r="D34675" i="10"/>
  <c r="D34674" i="10"/>
  <c r="D34673" i="10"/>
  <c r="D34672" i="10"/>
  <c r="D34671" i="10"/>
  <c r="D34670" i="10"/>
  <c r="D34669" i="10"/>
  <c r="D34668" i="10"/>
  <c r="D34667" i="10"/>
  <c r="D34666" i="10"/>
  <c r="D34665" i="10"/>
  <c r="D34664" i="10"/>
  <c r="D34663" i="10"/>
  <c r="D34662" i="10"/>
  <c r="D34661" i="10"/>
  <c r="D34660" i="10"/>
  <c r="D34659" i="10"/>
  <c r="D34658" i="10"/>
  <c r="D34657" i="10"/>
  <c r="D34656" i="10"/>
  <c r="D34655" i="10"/>
  <c r="D34654" i="10"/>
  <c r="D34653" i="10"/>
  <c r="D34652" i="10"/>
  <c r="D34651" i="10"/>
  <c r="D34650" i="10"/>
  <c r="D34649" i="10"/>
  <c r="D34648" i="10"/>
  <c r="D34647" i="10"/>
  <c r="D34646" i="10"/>
  <c r="D34645" i="10"/>
  <c r="D34644" i="10"/>
  <c r="D34643" i="10"/>
  <c r="D34642" i="10"/>
  <c r="D34641" i="10"/>
  <c r="D34640" i="10"/>
  <c r="D34639" i="10"/>
  <c r="D34638" i="10"/>
  <c r="D34637" i="10"/>
  <c r="D34636" i="10"/>
  <c r="D34635" i="10"/>
  <c r="D34634" i="10"/>
  <c r="D34633" i="10"/>
  <c r="D34632" i="10"/>
  <c r="D34631" i="10"/>
  <c r="D34630" i="10"/>
  <c r="D34629" i="10"/>
  <c r="D34628" i="10"/>
  <c r="D34627" i="10"/>
  <c r="D34626" i="10"/>
  <c r="D34625" i="10"/>
  <c r="D34624" i="10"/>
  <c r="D34623" i="10"/>
  <c r="D34622" i="10"/>
  <c r="D34621" i="10"/>
  <c r="D34620" i="10"/>
  <c r="D34619" i="10"/>
  <c r="D34618" i="10"/>
  <c r="D34617" i="10"/>
  <c r="D34616" i="10"/>
  <c r="D34615" i="10"/>
  <c r="D34614" i="10"/>
  <c r="D34613" i="10"/>
  <c r="D34612" i="10"/>
  <c r="D34611" i="10"/>
  <c r="D34610" i="10"/>
  <c r="D34609" i="10"/>
  <c r="D34608" i="10"/>
  <c r="D34607" i="10"/>
  <c r="D34606" i="10"/>
  <c r="D34605" i="10"/>
  <c r="D34604" i="10"/>
  <c r="D34603" i="10"/>
  <c r="D34602" i="10"/>
  <c r="D34601" i="10"/>
  <c r="D34600" i="10"/>
  <c r="D34599" i="10"/>
  <c r="D34598" i="10"/>
  <c r="D34597" i="10"/>
  <c r="D34596" i="10"/>
  <c r="D34595" i="10"/>
  <c r="D34594" i="10"/>
  <c r="D34593" i="10"/>
  <c r="D34592" i="10"/>
  <c r="D34591" i="10"/>
  <c r="D34590" i="10"/>
  <c r="D34589" i="10"/>
  <c r="D34588" i="10"/>
  <c r="D34587" i="10"/>
  <c r="D34586" i="10"/>
  <c r="D34585" i="10"/>
  <c r="D34584" i="10"/>
  <c r="D34583" i="10"/>
  <c r="D34582" i="10"/>
  <c r="D34581" i="10"/>
  <c r="D34580" i="10"/>
  <c r="D34579" i="10"/>
  <c r="D34578" i="10"/>
  <c r="D34577" i="10"/>
  <c r="D34576" i="10"/>
  <c r="D34575" i="10"/>
  <c r="D34574" i="10"/>
  <c r="D34573" i="10"/>
  <c r="D34572" i="10"/>
  <c r="D34571" i="10"/>
  <c r="D34570" i="10"/>
  <c r="D34569" i="10"/>
  <c r="D34568" i="10"/>
  <c r="D34567" i="10"/>
  <c r="D34566" i="10"/>
  <c r="D34565" i="10"/>
  <c r="D34564" i="10"/>
  <c r="D34563" i="10"/>
  <c r="D34562" i="10"/>
  <c r="D34561" i="10"/>
  <c r="D34560" i="10"/>
  <c r="D34559" i="10"/>
  <c r="D34558" i="10"/>
  <c r="D34557" i="10"/>
  <c r="D34556" i="10"/>
  <c r="D34555" i="10"/>
  <c r="D34554" i="10"/>
  <c r="D34553" i="10"/>
  <c r="D34552" i="10"/>
  <c r="D34551" i="10"/>
  <c r="D34550" i="10"/>
  <c r="D34549" i="10"/>
  <c r="D34548" i="10"/>
  <c r="D34547" i="10"/>
  <c r="D34546" i="10"/>
  <c r="D34545" i="10"/>
  <c r="D34544" i="10"/>
  <c r="D34543" i="10"/>
  <c r="D34542" i="10"/>
  <c r="D34541" i="10"/>
  <c r="D34540" i="10"/>
  <c r="D34539" i="10"/>
  <c r="D34538" i="10"/>
  <c r="D34537" i="10"/>
  <c r="D34536" i="10"/>
  <c r="D34535" i="10"/>
  <c r="D34534" i="10"/>
  <c r="D34533" i="10"/>
  <c r="D34532" i="10"/>
  <c r="D34531" i="10"/>
  <c r="D34530" i="10"/>
  <c r="D34529" i="10"/>
  <c r="D34528" i="10"/>
  <c r="D34527" i="10"/>
  <c r="D34526" i="10"/>
  <c r="D34525" i="10"/>
  <c r="D34524" i="10"/>
  <c r="D34523" i="10"/>
  <c r="D34522" i="10"/>
  <c r="D34521" i="10"/>
  <c r="D34520" i="10"/>
  <c r="D34519" i="10"/>
  <c r="D34518" i="10"/>
  <c r="D34517" i="10"/>
  <c r="D34516" i="10"/>
  <c r="D34515" i="10"/>
  <c r="D34514" i="10"/>
  <c r="D34513" i="10"/>
  <c r="D34512" i="10"/>
  <c r="D34511" i="10"/>
  <c r="D34510" i="10"/>
  <c r="D34509" i="10"/>
  <c r="D34508" i="10"/>
  <c r="D34507" i="10"/>
  <c r="D34506" i="10"/>
  <c r="D34505" i="10"/>
  <c r="D34504" i="10"/>
  <c r="D34503" i="10"/>
  <c r="D34502" i="10"/>
  <c r="D34501" i="10"/>
  <c r="D34500" i="10"/>
  <c r="D34499" i="10"/>
  <c r="D34498" i="10"/>
  <c r="D34497" i="10"/>
  <c r="D34496" i="10"/>
  <c r="D34495" i="10"/>
  <c r="D34494" i="10"/>
  <c r="D34493" i="10"/>
  <c r="D34492" i="10"/>
  <c r="D34491" i="10"/>
  <c r="D34490" i="10"/>
  <c r="D34489" i="10"/>
  <c r="D34488" i="10"/>
  <c r="D34487" i="10"/>
  <c r="D34486" i="10"/>
  <c r="D34485" i="10"/>
  <c r="D34484" i="10"/>
  <c r="D34483" i="10"/>
  <c r="D34482" i="10"/>
  <c r="D34481" i="10"/>
  <c r="D34480" i="10"/>
  <c r="D34479" i="10"/>
  <c r="D34478" i="10"/>
  <c r="D34477" i="10"/>
  <c r="D34476" i="10"/>
  <c r="D34475" i="10"/>
  <c r="D34474" i="10"/>
  <c r="D34473" i="10"/>
  <c r="D34472" i="10"/>
  <c r="D34471" i="10"/>
  <c r="D34470" i="10"/>
  <c r="D34469" i="10"/>
  <c r="D34468" i="10"/>
  <c r="D34467" i="10"/>
  <c r="D34466" i="10"/>
  <c r="D34465" i="10"/>
  <c r="D34464" i="10"/>
  <c r="D34463" i="10"/>
  <c r="D34462" i="10"/>
  <c r="D34461" i="10"/>
  <c r="D34460" i="10"/>
  <c r="D34459" i="10"/>
  <c r="D34458" i="10"/>
  <c r="D34457" i="10"/>
  <c r="D34456" i="10"/>
  <c r="D34455" i="10"/>
  <c r="D34454" i="10"/>
  <c r="D34453" i="10"/>
  <c r="D34452" i="10"/>
  <c r="D34451" i="10"/>
  <c r="D34450" i="10"/>
  <c r="D34449" i="10"/>
  <c r="D34448" i="10"/>
  <c r="D34447" i="10"/>
  <c r="D34446" i="10"/>
  <c r="D34445" i="10"/>
  <c r="D34444" i="10"/>
  <c r="D34443" i="10"/>
  <c r="D34442" i="10"/>
  <c r="D34441" i="10"/>
  <c r="D34440" i="10"/>
  <c r="D34439" i="10"/>
  <c r="D34438" i="10"/>
  <c r="D34437" i="10"/>
  <c r="D34436" i="10"/>
  <c r="D34435" i="10"/>
  <c r="D34434" i="10"/>
  <c r="D34433" i="10"/>
  <c r="D34432" i="10"/>
  <c r="D34431" i="10"/>
  <c r="D34430" i="10"/>
  <c r="D34429" i="10"/>
  <c r="D34428" i="10"/>
  <c r="D34427" i="10"/>
  <c r="D34426" i="10"/>
  <c r="D34425" i="10"/>
  <c r="D34424" i="10"/>
  <c r="D34423" i="10"/>
  <c r="D34422" i="10"/>
  <c r="D34421" i="10"/>
  <c r="D34420" i="10"/>
  <c r="D34419" i="10"/>
  <c r="D34418" i="10"/>
  <c r="D34417" i="10"/>
  <c r="D34416" i="10"/>
  <c r="D34415" i="10"/>
  <c r="D34414" i="10"/>
  <c r="D34413" i="10"/>
  <c r="D34412" i="10"/>
  <c r="D34411" i="10"/>
  <c r="D34410" i="10"/>
  <c r="D34409" i="10"/>
  <c r="D34408" i="10"/>
  <c r="D34407" i="10"/>
  <c r="D34406" i="10"/>
  <c r="D34405" i="10"/>
  <c r="D34404" i="10"/>
  <c r="D34403" i="10"/>
  <c r="D34402" i="10"/>
  <c r="D34401" i="10"/>
  <c r="D34400" i="10"/>
  <c r="D34399" i="10"/>
  <c r="D34398" i="10"/>
  <c r="D34397" i="10"/>
  <c r="D34396" i="10"/>
  <c r="D34395" i="10"/>
  <c r="D34394" i="10"/>
  <c r="D34393" i="10"/>
  <c r="D34392" i="10"/>
  <c r="D34391" i="10"/>
  <c r="D34390" i="10"/>
  <c r="D34389" i="10"/>
  <c r="D34388" i="10"/>
  <c r="D34387" i="10"/>
  <c r="D34386" i="10"/>
  <c r="D34385" i="10"/>
  <c r="D34384" i="10"/>
  <c r="D34383" i="10"/>
  <c r="D34382" i="10"/>
  <c r="D34381" i="10"/>
  <c r="D34380" i="10"/>
  <c r="D34379" i="10"/>
  <c r="D34378" i="10"/>
  <c r="D34377" i="10"/>
  <c r="D34376" i="10"/>
  <c r="D34375" i="10"/>
  <c r="D34374" i="10"/>
  <c r="D34373" i="10"/>
  <c r="D34372" i="10"/>
  <c r="D34371" i="10"/>
  <c r="D34370" i="10"/>
  <c r="D34369" i="10"/>
  <c r="D34368" i="10"/>
  <c r="D34367" i="10"/>
  <c r="D34366" i="10"/>
  <c r="D34365" i="10"/>
  <c r="D34364" i="10"/>
  <c r="D34363" i="10"/>
  <c r="D34362" i="10"/>
  <c r="D34361" i="10"/>
  <c r="D34360" i="10"/>
  <c r="D34359" i="10"/>
  <c r="D34358" i="10"/>
  <c r="D34357" i="10"/>
  <c r="D34356" i="10"/>
  <c r="D34355" i="10"/>
  <c r="D34354" i="10"/>
  <c r="D34353" i="10"/>
  <c r="D34352" i="10"/>
  <c r="D34351" i="10"/>
  <c r="D34350" i="10"/>
  <c r="D34349" i="10"/>
  <c r="D34348" i="10"/>
  <c r="D34347" i="10"/>
  <c r="D34346" i="10"/>
  <c r="D34345" i="10"/>
  <c r="D34344" i="10"/>
  <c r="D34343" i="10"/>
  <c r="D34342" i="10"/>
  <c r="D34341" i="10"/>
  <c r="D34340" i="10"/>
  <c r="D34339" i="10"/>
  <c r="D34338" i="10"/>
  <c r="D34337" i="10"/>
  <c r="D34336" i="10"/>
  <c r="D34335" i="10"/>
  <c r="D34334" i="10"/>
  <c r="D34333" i="10"/>
  <c r="D34332" i="10"/>
  <c r="D34331" i="10"/>
  <c r="D34330" i="10"/>
  <c r="D34329" i="10"/>
  <c r="D34328" i="10"/>
  <c r="D34327" i="10"/>
  <c r="D34326" i="10"/>
  <c r="D34325" i="10"/>
  <c r="D34324" i="10"/>
  <c r="D34323" i="10"/>
  <c r="D34322" i="10"/>
  <c r="D34321" i="10"/>
  <c r="D34320" i="10"/>
  <c r="D34319" i="10"/>
  <c r="D34318" i="10"/>
  <c r="D34317" i="10"/>
  <c r="D34316" i="10"/>
  <c r="D34315" i="10"/>
  <c r="D34314" i="10"/>
  <c r="D34313" i="10"/>
  <c r="D34312" i="10"/>
  <c r="D34311" i="10"/>
  <c r="D34310" i="10"/>
  <c r="D34309" i="10"/>
  <c r="D34308" i="10"/>
  <c r="D34307" i="10"/>
  <c r="D34306" i="10"/>
  <c r="D34305" i="10"/>
  <c r="D34304" i="10"/>
  <c r="D34303" i="10"/>
  <c r="D34302" i="10"/>
  <c r="D34301" i="10"/>
  <c r="D34300" i="10"/>
  <c r="D34299" i="10"/>
  <c r="D34298" i="10"/>
  <c r="D34297" i="10"/>
  <c r="D34296" i="10"/>
  <c r="D34295" i="10"/>
  <c r="D34294" i="10"/>
  <c r="D34293" i="10"/>
  <c r="D34292" i="10"/>
  <c r="D34291" i="10"/>
  <c r="D34290" i="10"/>
  <c r="D34289" i="10"/>
  <c r="D34288" i="10"/>
  <c r="D34287" i="10"/>
  <c r="D34286" i="10"/>
  <c r="D34285" i="10"/>
  <c r="D34284" i="10"/>
  <c r="D34283" i="10"/>
  <c r="D34282" i="10"/>
  <c r="D34281" i="10"/>
  <c r="D34280" i="10"/>
  <c r="D34279" i="10"/>
  <c r="D34278" i="10"/>
  <c r="D34277" i="10"/>
  <c r="D34276" i="10"/>
  <c r="D34275" i="10"/>
  <c r="D34274" i="10"/>
  <c r="D34273" i="10"/>
  <c r="D34272" i="10"/>
  <c r="D34271" i="10"/>
  <c r="D34270" i="10"/>
  <c r="D34269" i="10"/>
  <c r="D34268" i="10"/>
  <c r="D34267" i="10"/>
  <c r="D34266" i="10"/>
  <c r="D34265" i="10"/>
  <c r="D34264" i="10"/>
  <c r="D34263" i="10"/>
  <c r="D34262" i="10"/>
  <c r="D34261" i="10"/>
  <c r="D34260" i="10"/>
  <c r="D34259" i="10"/>
  <c r="D34258" i="10"/>
  <c r="D34257" i="10"/>
  <c r="D34256" i="10"/>
  <c r="D34255" i="10"/>
  <c r="D34254" i="10"/>
  <c r="D34253" i="10"/>
  <c r="D34252" i="10"/>
  <c r="D34251" i="10"/>
  <c r="D34250" i="10"/>
  <c r="D34249" i="10"/>
  <c r="D34248" i="10"/>
  <c r="D34247" i="10"/>
  <c r="D34246" i="10"/>
  <c r="D34245" i="10"/>
  <c r="D34244" i="10"/>
  <c r="D34243" i="10"/>
  <c r="D34242" i="10"/>
  <c r="D34241" i="10"/>
  <c r="D34240" i="10"/>
  <c r="D34239" i="10"/>
  <c r="D34238" i="10"/>
  <c r="D34237" i="10"/>
  <c r="D34236" i="10"/>
  <c r="D34235" i="10"/>
  <c r="D34234" i="10"/>
  <c r="D34233" i="10"/>
  <c r="D34232" i="10"/>
  <c r="D34231" i="10"/>
  <c r="D34230" i="10"/>
  <c r="D34229" i="10"/>
  <c r="D34228" i="10"/>
  <c r="D34227" i="10"/>
  <c r="D34226" i="10"/>
  <c r="D34225" i="10"/>
  <c r="D34224" i="10"/>
  <c r="D34223" i="10"/>
  <c r="D34222" i="10"/>
  <c r="D34221" i="10"/>
  <c r="D34220" i="10"/>
  <c r="D34219" i="10"/>
  <c r="D34218" i="10"/>
  <c r="D34217" i="10"/>
  <c r="D34216" i="10"/>
  <c r="D34215" i="10"/>
  <c r="D34214" i="10"/>
  <c r="D34213" i="10"/>
  <c r="D34212" i="10"/>
  <c r="D34211" i="10"/>
  <c r="D34210" i="10"/>
  <c r="D34209" i="10"/>
  <c r="D34208" i="10"/>
  <c r="D34207" i="10"/>
  <c r="D34206" i="10"/>
  <c r="D34205" i="10"/>
  <c r="D34204" i="10"/>
  <c r="D34203" i="10"/>
  <c r="D34202" i="10"/>
  <c r="D34201" i="10"/>
  <c r="D34200" i="10"/>
  <c r="D34199" i="10"/>
  <c r="D34198" i="10"/>
  <c r="D34197" i="10"/>
  <c r="D34196" i="10"/>
  <c r="D34195" i="10"/>
  <c r="D34194" i="10"/>
  <c r="D34193" i="10"/>
  <c r="D34192" i="10"/>
  <c r="D34191" i="10"/>
  <c r="D34190" i="10"/>
  <c r="D34189" i="10"/>
  <c r="D34188" i="10"/>
  <c r="D34187" i="10"/>
  <c r="D34186" i="10"/>
  <c r="D34185" i="10"/>
  <c r="D34184" i="10"/>
  <c r="D34183" i="10"/>
  <c r="D34182" i="10"/>
  <c r="D34181" i="10"/>
  <c r="D34180" i="10"/>
  <c r="D34179" i="10"/>
  <c r="D34178" i="10"/>
  <c r="D34177" i="10"/>
  <c r="D34176" i="10"/>
  <c r="D34175" i="10"/>
  <c r="D34174" i="10"/>
  <c r="D34173" i="10"/>
  <c r="D34172" i="10"/>
  <c r="D34171" i="10"/>
  <c r="D34170" i="10"/>
  <c r="D34169" i="10"/>
  <c r="D34168" i="10"/>
  <c r="D34167" i="10"/>
  <c r="D34166" i="10"/>
  <c r="D34165" i="10"/>
  <c r="D34164" i="10"/>
  <c r="D34163" i="10"/>
  <c r="D34162" i="10"/>
  <c r="D34161" i="10"/>
  <c r="D34160" i="10"/>
  <c r="D34159" i="10"/>
  <c r="D34158" i="10"/>
  <c r="D34157" i="10"/>
  <c r="D34156" i="10"/>
  <c r="D34155" i="10"/>
  <c r="D34154" i="10"/>
  <c r="D34153" i="10"/>
  <c r="D34152" i="10"/>
  <c r="D34151" i="10"/>
  <c r="D34150" i="10"/>
  <c r="D34149" i="10"/>
  <c r="D34148" i="10"/>
  <c r="D34147" i="10"/>
  <c r="D34146" i="10"/>
  <c r="D34145" i="10"/>
  <c r="D34144" i="10"/>
  <c r="D34143" i="10"/>
  <c r="D34142" i="10"/>
  <c r="D34141" i="10"/>
  <c r="D34140" i="10"/>
  <c r="D34139" i="10"/>
  <c r="D34138" i="10"/>
  <c r="D34137" i="10"/>
  <c r="D34136" i="10"/>
  <c r="D34135" i="10"/>
  <c r="D34134" i="10"/>
  <c r="D34133" i="10"/>
  <c r="D34132" i="10"/>
  <c r="D34131" i="10"/>
  <c r="D34130" i="10"/>
  <c r="D34129" i="10"/>
  <c r="D34128" i="10"/>
  <c r="D34127" i="10"/>
  <c r="D34126" i="10"/>
  <c r="D34125" i="10"/>
  <c r="D34124" i="10"/>
  <c r="D34123" i="10"/>
  <c r="D34122" i="10"/>
  <c r="D34121" i="10"/>
  <c r="D34120" i="10"/>
  <c r="D34119" i="10"/>
  <c r="D34118" i="10"/>
  <c r="D34117" i="10"/>
  <c r="D34116" i="10"/>
  <c r="D34115" i="10"/>
  <c r="D34114" i="10"/>
  <c r="D34113" i="10"/>
  <c r="D34112" i="10"/>
  <c r="D34111" i="10"/>
  <c r="D34110" i="10"/>
  <c r="D34109" i="10"/>
  <c r="D34108" i="10"/>
  <c r="D34107" i="10"/>
  <c r="D34106" i="10"/>
  <c r="D34105" i="10"/>
  <c r="D34104" i="10"/>
  <c r="D34103" i="10"/>
  <c r="D34102" i="10"/>
  <c r="D34101" i="10"/>
  <c r="D34100" i="10"/>
  <c r="D34099" i="10"/>
  <c r="D34098" i="10"/>
  <c r="D34097" i="10"/>
  <c r="D34096" i="10"/>
  <c r="D34095" i="10"/>
  <c r="D34094" i="10"/>
  <c r="D34093" i="10"/>
  <c r="D34092" i="10"/>
  <c r="D34091" i="10"/>
  <c r="D34090" i="10"/>
  <c r="D34089" i="10"/>
  <c r="D34088" i="10"/>
  <c r="D34087" i="10"/>
  <c r="D34086" i="10"/>
  <c r="D34085" i="10"/>
  <c r="D34084" i="10"/>
  <c r="D34083" i="10"/>
  <c r="D34082" i="10"/>
  <c r="D34081" i="10"/>
  <c r="D34080" i="10"/>
  <c r="D34079" i="10"/>
  <c r="D34078" i="10"/>
  <c r="D34077" i="10"/>
  <c r="D34076" i="10"/>
  <c r="D34075" i="10"/>
  <c r="D34074" i="10"/>
  <c r="D34073" i="10"/>
  <c r="D34072" i="10"/>
  <c r="D34071" i="10"/>
  <c r="D34070" i="10"/>
  <c r="D34069" i="10"/>
  <c r="D34068" i="10"/>
  <c r="D34067" i="10"/>
  <c r="D34066" i="10"/>
  <c r="D34065" i="10"/>
  <c r="D34064" i="10"/>
  <c r="D34063" i="10"/>
  <c r="D34062" i="10"/>
  <c r="D34061" i="10"/>
  <c r="D34060" i="10"/>
  <c r="D34059" i="10"/>
  <c r="D34058" i="10"/>
  <c r="D34057" i="10"/>
  <c r="D34056" i="10"/>
  <c r="D34055" i="10"/>
  <c r="D34054" i="10"/>
  <c r="D34053" i="10"/>
  <c r="D34052" i="10"/>
  <c r="D34051" i="10"/>
  <c r="D34050" i="10"/>
  <c r="D34049" i="10"/>
  <c r="D34048" i="10"/>
  <c r="D34047" i="10"/>
  <c r="D34046" i="10"/>
  <c r="D34045" i="10"/>
  <c r="D34044" i="10"/>
  <c r="D34043" i="10"/>
  <c r="D34042" i="10"/>
  <c r="D34041" i="10"/>
  <c r="D34040" i="10"/>
  <c r="D34039" i="10"/>
  <c r="D34038" i="10"/>
  <c r="D34037" i="10"/>
  <c r="D34036" i="10"/>
  <c r="D34035" i="10"/>
  <c r="D34034" i="10"/>
  <c r="D34033" i="10"/>
  <c r="D34032" i="10"/>
  <c r="D34031" i="10"/>
  <c r="D34030" i="10"/>
  <c r="D34029" i="10"/>
  <c r="D34028" i="10"/>
  <c r="D34027" i="10"/>
  <c r="D34026" i="10"/>
  <c r="D34025" i="10"/>
  <c r="D34024" i="10"/>
  <c r="D34023" i="10"/>
  <c r="D34022" i="10"/>
  <c r="D34021" i="10"/>
  <c r="D34020" i="10"/>
  <c r="D34019" i="10"/>
  <c r="D34018" i="10"/>
  <c r="D34017" i="10"/>
  <c r="D34016" i="10"/>
  <c r="D34015" i="10"/>
  <c r="D34014" i="10"/>
  <c r="D34013" i="10"/>
  <c r="D34012" i="10"/>
  <c r="D34011" i="10"/>
  <c r="D34010" i="10"/>
  <c r="D34009" i="10"/>
  <c r="D34008" i="10"/>
  <c r="D34007" i="10"/>
  <c r="D34006" i="10"/>
  <c r="D34005" i="10"/>
  <c r="D34004" i="10"/>
  <c r="D34003" i="10"/>
  <c r="D34002" i="10"/>
  <c r="D34001" i="10"/>
  <c r="D34000" i="10"/>
  <c r="D33999" i="10"/>
  <c r="D33998" i="10"/>
  <c r="D33997" i="10"/>
  <c r="D33996" i="10"/>
  <c r="D33995" i="10"/>
  <c r="D33994" i="10"/>
  <c r="D33993" i="10"/>
  <c r="D33992" i="10"/>
  <c r="D33991" i="10"/>
  <c r="D33990" i="10"/>
  <c r="D33989" i="10"/>
  <c r="D33988" i="10"/>
  <c r="D33987" i="10"/>
  <c r="D33986" i="10"/>
  <c r="D33985" i="10"/>
  <c r="D33984" i="10"/>
  <c r="D33983" i="10"/>
  <c r="D33982" i="10"/>
  <c r="D33981" i="10"/>
  <c r="D33980" i="10"/>
  <c r="D33979" i="10"/>
  <c r="D33978" i="10"/>
  <c r="D33977" i="10"/>
  <c r="D33976" i="10"/>
  <c r="D33975" i="10"/>
  <c r="D33974" i="10"/>
  <c r="D33973" i="10"/>
  <c r="D33972" i="10"/>
  <c r="D33971" i="10"/>
  <c r="D33970" i="10"/>
  <c r="D33969" i="10"/>
  <c r="D33968" i="10"/>
  <c r="D33967" i="10"/>
  <c r="D33966" i="10"/>
  <c r="D33965" i="10"/>
  <c r="D33964" i="10"/>
  <c r="D33963" i="10"/>
  <c r="D33962" i="10"/>
  <c r="D33961" i="10"/>
  <c r="D33960" i="10"/>
  <c r="D33959" i="10"/>
  <c r="D33958" i="10"/>
  <c r="D33957" i="10"/>
  <c r="D33956" i="10"/>
  <c r="D33955" i="10"/>
  <c r="D33954" i="10"/>
  <c r="D33953" i="10"/>
  <c r="D33952" i="10"/>
  <c r="D33951" i="10"/>
  <c r="D33950" i="10"/>
  <c r="D33949" i="10"/>
  <c r="D33948" i="10"/>
  <c r="D33947" i="10"/>
  <c r="D33946" i="10"/>
  <c r="D33945" i="10"/>
  <c r="D33944" i="10"/>
  <c r="D33943" i="10"/>
  <c r="D33942" i="10"/>
  <c r="D33941" i="10"/>
  <c r="D33940" i="10"/>
  <c r="D33939" i="10"/>
  <c r="D33938" i="10"/>
  <c r="D33937" i="10"/>
  <c r="D33936" i="10"/>
  <c r="D33935" i="10"/>
  <c r="D33934" i="10"/>
  <c r="D33933" i="10"/>
  <c r="D33932" i="10"/>
  <c r="D33931" i="10"/>
  <c r="D33930" i="10"/>
  <c r="D33929" i="10"/>
  <c r="D33928" i="10"/>
  <c r="D33927" i="10"/>
  <c r="D33926" i="10"/>
  <c r="D33925" i="10"/>
  <c r="D33924" i="10"/>
  <c r="D33923" i="10"/>
  <c r="D33922" i="10"/>
  <c r="D33921" i="10"/>
  <c r="D33920" i="10"/>
  <c r="D33919" i="10"/>
  <c r="D33918" i="10"/>
  <c r="D33917" i="10"/>
  <c r="D33916" i="10"/>
  <c r="D33915" i="10"/>
  <c r="D33914" i="10"/>
  <c r="D33913" i="10"/>
  <c r="D33912" i="10"/>
  <c r="D33911" i="10"/>
  <c r="D33910" i="10"/>
  <c r="D33909" i="10"/>
  <c r="D33908" i="10"/>
  <c r="D33907" i="10"/>
  <c r="D33906" i="10"/>
  <c r="D33905" i="10"/>
  <c r="D33904" i="10"/>
  <c r="D33903" i="10"/>
  <c r="D33902" i="10"/>
  <c r="D33901" i="10"/>
  <c r="D33900" i="10"/>
  <c r="D33899" i="10"/>
  <c r="D33898" i="10"/>
  <c r="D33897" i="10"/>
  <c r="D33896" i="10"/>
  <c r="D33895" i="10"/>
  <c r="D33894" i="10"/>
  <c r="D33893" i="10"/>
  <c r="D33892" i="10"/>
  <c r="D33891" i="10"/>
  <c r="D33890" i="10"/>
  <c r="D33889" i="10"/>
  <c r="D33888" i="10"/>
  <c r="D33887" i="10"/>
  <c r="D33886" i="10"/>
  <c r="D33885" i="10"/>
  <c r="D33884" i="10"/>
  <c r="D33883" i="10"/>
  <c r="D33882" i="10"/>
  <c r="D33881" i="10"/>
  <c r="D33880" i="10"/>
  <c r="D33879" i="10"/>
  <c r="D33878" i="10"/>
  <c r="D33877" i="10"/>
  <c r="D33876" i="10"/>
  <c r="D33875" i="10"/>
  <c r="D33874" i="10"/>
  <c r="D33873" i="10"/>
  <c r="D33872" i="10"/>
  <c r="D33871" i="10"/>
  <c r="D33870" i="10"/>
  <c r="D33869" i="10"/>
  <c r="D33868" i="10"/>
  <c r="D33867" i="10"/>
  <c r="D33866" i="10"/>
  <c r="D33865" i="10"/>
  <c r="D33864" i="10"/>
  <c r="D33863" i="10"/>
  <c r="D33862" i="10"/>
  <c r="D33861" i="10"/>
  <c r="D33860" i="10"/>
  <c r="D33859" i="10"/>
  <c r="D33858" i="10"/>
  <c r="D33857" i="10"/>
  <c r="D33856" i="10"/>
  <c r="D33855" i="10"/>
  <c r="D33854" i="10"/>
  <c r="D33853" i="10"/>
  <c r="D33852" i="10"/>
  <c r="D33851" i="10"/>
  <c r="D33850" i="10"/>
  <c r="D33849" i="10"/>
  <c r="D33848" i="10"/>
  <c r="D33847" i="10"/>
  <c r="D33846" i="10"/>
  <c r="D33845" i="10"/>
  <c r="D33844" i="10"/>
  <c r="D33843" i="10"/>
  <c r="D33842" i="10"/>
  <c r="D33841" i="10"/>
  <c r="D33840" i="10"/>
  <c r="D33839" i="10"/>
  <c r="D33838" i="10"/>
  <c r="D33837" i="10"/>
  <c r="D33836" i="10"/>
  <c r="D33835" i="10"/>
  <c r="D33834" i="10"/>
  <c r="D33833" i="10"/>
  <c r="D33832" i="10"/>
  <c r="D33831" i="10"/>
  <c r="D33830" i="10"/>
  <c r="D33829" i="10"/>
  <c r="D33828" i="10"/>
  <c r="D33827" i="10"/>
  <c r="D33826" i="10"/>
  <c r="D33825" i="10"/>
  <c r="D33824" i="10"/>
  <c r="D33823" i="10"/>
  <c r="D33822" i="10"/>
  <c r="D33821" i="10"/>
  <c r="D33820" i="10"/>
  <c r="D33819" i="10"/>
  <c r="D33818" i="10"/>
  <c r="D33817" i="10"/>
  <c r="D33816" i="10"/>
  <c r="D33815" i="10"/>
  <c r="D33814" i="10"/>
  <c r="D33813" i="10"/>
  <c r="D33812" i="10"/>
  <c r="D33811" i="10"/>
  <c r="D33810" i="10"/>
  <c r="D33809" i="10"/>
  <c r="D33808" i="10"/>
  <c r="D33807" i="10"/>
  <c r="D33806" i="10"/>
  <c r="D33805" i="10"/>
  <c r="D33804" i="10"/>
  <c r="D33803" i="10"/>
  <c r="D33802" i="10"/>
  <c r="D33801" i="10"/>
  <c r="D33800" i="10"/>
  <c r="D33799" i="10"/>
  <c r="D33798" i="10"/>
  <c r="D33797" i="10"/>
  <c r="D33796" i="10"/>
  <c r="D33795" i="10"/>
  <c r="D33794" i="10"/>
  <c r="D33793" i="10"/>
  <c r="D33792" i="10"/>
  <c r="D33791" i="10"/>
  <c r="D33790" i="10"/>
  <c r="D33789" i="10"/>
  <c r="D33788" i="10"/>
  <c r="D33787" i="10"/>
  <c r="D33786" i="10"/>
  <c r="D33785" i="10"/>
  <c r="D33784" i="10"/>
  <c r="D33783" i="10"/>
  <c r="D33782" i="10"/>
  <c r="D33781" i="10"/>
  <c r="D33780" i="10"/>
  <c r="D33779" i="10"/>
  <c r="D33778" i="10"/>
  <c r="D33777" i="10"/>
  <c r="D33776" i="10"/>
  <c r="D33775" i="10"/>
  <c r="D33774" i="10"/>
  <c r="D33773" i="10"/>
  <c r="D33772" i="10"/>
  <c r="D33771" i="10"/>
  <c r="D33770" i="10"/>
  <c r="D33769" i="10"/>
  <c r="D33768" i="10"/>
  <c r="D33767" i="10"/>
  <c r="D33766" i="10"/>
  <c r="D33765" i="10"/>
  <c r="D33764" i="10"/>
  <c r="D33763" i="10"/>
  <c r="D33762" i="10"/>
  <c r="D33761" i="10"/>
  <c r="D33760" i="10"/>
  <c r="D33759" i="10"/>
  <c r="D33758" i="10"/>
  <c r="D33757" i="10"/>
  <c r="D33756" i="10"/>
  <c r="D33755" i="10"/>
  <c r="D33754" i="10"/>
  <c r="D33753" i="10"/>
  <c r="D33752" i="10"/>
  <c r="D33751" i="10"/>
  <c r="D33750" i="10"/>
  <c r="D33749" i="10"/>
  <c r="D33748" i="10"/>
  <c r="D33747" i="10"/>
  <c r="D33746" i="10"/>
  <c r="D33745" i="10"/>
  <c r="D33744" i="10"/>
  <c r="D33743" i="10"/>
  <c r="D33742" i="10"/>
  <c r="D33741" i="10"/>
  <c r="D33740" i="10"/>
  <c r="D33739" i="10"/>
  <c r="D33738" i="10"/>
  <c r="D33737" i="10"/>
  <c r="D33736" i="10"/>
  <c r="D33735" i="10"/>
  <c r="D33734" i="10"/>
  <c r="D33733" i="10"/>
  <c r="D33732" i="10"/>
  <c r="D33731" i="10"/>
  <c r="D33730" i="10"/>
  <c r="D33729" i="10"/>
  <c r="D33728" i="10"/>
  <c r="D33727" i="10"/>
  <c r="D33726" i="10"/>
  <c r="D33725" i="10"/>
  <c r="D33724" i="10"/>
  <c r="D33723" i="10"/>
  <c r="D33722" i="10"/>
  <c r="D33721" i="10"/>
  <c r="D33720" i="10"/>
  <c r="D33719" i="10"/>
  <c r="D33718" i="10"/>
  <c r="D33717" i="10"/>
  <c r="D33716" i="10"/>
  <c r="D33715" i="10"/>
  <c r="D33714" i="10"/>
  <c r="D33713" i="10"/>
  <c r="D33712" i="10"/>
  <c r="D33711" i="10"/>
  <c r="D33710" i="10"/>
  <c r="D33709" i="10"/>
  <c r="D33708" i="10"/>
  <c r="D33707" i="10"/>
  <c r="D33706" i="10"/>
  <c r="D33705" i="10"/>
  <c r="D33704" i="10"/>
  <c r="D33703" i="10"/>
  <c r="D33702" i="10"/>
  <c r="D33701" i="10"/>
  <c r="D33700" i="10"/>
  <c r="D33699" i="10"/>
  <c r="D33698" i="10"/>
  <c r="D33697" i="10"/>
  <c r="D33696" i="10"/>
  <c r="D33695" i="10"/>
  <c r="D33694" i="10"/>
  <c r="D33693" i="10"/>
  <c r="D33692" i="10"/>
  <c r="D33691" i="10"/>
  <c r="D33690" i="10"/>
  <c r="D33689" i="10"/>
  <c r="D33688" i="10"/>
  <c r="D33687" i="10"/>
  <c r="D33686" i="10"/>
  <c r="D33685" i="10"/>
  <c r="D33684" i="10"/>
  <c r="D33683" i="10"/>
  <c r="D33682" i="10"/>
  <c r="D33681" i="10"/>
  <c r="D33680" i="10"/>
  <c r="D33679" i="10"/>
  <c r="D33678" i="10"/>
  <c r="D33677" i="10"/>
  <c r="D33676" i="10"/>
  <c r="D33675" i="10"/>
  <c r="D33674" i="10"/>
  <c r="D33673" i="10"/>
  <c r="D33672" i="10"/>
  <c r="D33671" i="10"/>
  <c r="D33670" i="10"/>
  <c r="D33669" i="10"/>
  <c r="D33668" i="10"/>
  <c r="D33667" i="10"/>
  <c r="D33666" i="10"/>
  <c r="D33665" i="10"/>
  <c r="D33664" i="10"/>
  <c r="D33663" i="10"/>
  <c r="D33662" i="10"/>
  <c r="D33661" i="10"/>
  <c r="D33660" i="10"/>
  <c r="D33659" i="10"/>
  <c r="D33658" i="10"/>
  <c r="D33657" i="10"/>
  <c r="D33656" i="10"/>
  <c r="D33655" i="10"/>
  <c r="D33654" i="10"/>
  <c r="D33653" i="10"/>
  <c r="D33652" i="10"/>
  <c r="D33651" i="10"/>
  <c r="D33650" i="10"/>
  <c r="D33649" i="10"/>
  <c r="D33648" i="10"/>
  <c r="D33647" i="10"/>
  <c r="D33646" i="10"/>
  <c r="D33645" i="10"/>
  <c r="D33644" i="10"/>
  <c r="D33643" i="10"/>
  <c r="D33642" i="10"/>
  <c r="D33641" i="10"/>
  <c r="D33640" i="10"/>
  <c r="D33639" i="10"/>
  <c r="D33638" i="10"/>
  <c r="D33637" i="10"/>
  <c r="D33636" i="10"/>
  <c r="D33635" i="10"/>
  <c r="D33634" i="10"/>
  <c r="D33633" i="10"/>
  <c r="D33632" i="10"/>
  <c r="D33631" i="10"/>
  <c r="D33630" i="10"/>
  <c r="D33629" i="10"/>
  <c r="D33628" i="10"/>
  <c r="D33627" i="10"/>
  <c r="D33626" i="10"/>
  <c r="D33625" i="10"/>
  <c r="D33624" i="10"/>
  <c r="D33623" i="10"/>
  <c r="D33622" i="10"/>
  <c r="D33621" i="10"/>
  <c r="D33620" i="10"/>
  <c r="D33619" i="10"/>
  <c r="D33618" i="10"/>
  <c r="D33617" i="10"/>
  <c r="D33616" i="10"/>
  <c r="D33615" i="10"/>
  <c r="D33614" i="10"/>
  <c r="D33613" i="10"/>
  <c r="D33612" i="10"/>
  <c r="D33611" i="10"/>
  <c r="D33610" i="10"/>
  <c r="D33609" i="10"/>
  <c r="D33608" i="10"/>
  <c r="D33607" i="10"/>
  <c r="D33606" i="10"/>
  <c r="D33605" i="10"/>
  <c r="D33604" i="10"/>
  <c r="D33603" i="10"/>
  <c r="D33602" i="10"/>
  <c r="D33601" i="10"/>
  <c r="D33600" i="10"/>
  <c r="D33599" i="10"/>
  <c r="D33598" i="10"/>
  <c r="D33597" i="10"/>
  <c r="D33596" i="10"/>
  <c r="D33595" i="10"/>
  <c r="D33594" i="10"/>
  <c r="D33593" i="10"/>
  <c r="D33592" i="10"/>
  <c r="D33591" i="10"/>
  <c r="D33590" i="10"/>
  <c r="D33589" i="10"/>
  <c r="D33588" i="10"/>
  <c r="D33587" i="10"/>
  <c r="D33586" i="10"/>
  <c r="D33585" i="10"/>
  <c r="D33584" i="10"/>
  <c r="D33583" i="10"/>
  <c r="D33582" i="10"/>
  <c r="D33581" i="10"/>
  <c r="D33580" i="10"/>
  <c r="D33579" i="10"/>
  <c r="D33578" i="10"/>
  <c r="D33577" i="10"/>
  <c r="D33576" i="10"/>
  <c r="D33575" i="10"/>
  <c r="D33574" i="10"/>
  <c r="D33573" i="10"/>
  <c r="D33572" i="10"/>
  <c r="D33571" i="10"/>
  <c r="D33570" i="10"/>
  <c r="D33569" i="10"/>
  <c r="D33568" i="10"/>
  <c r="D33567" i="10"/>
  <c r="D33566" i="10"/>
  <c r="D33565" i="10"/>
  <c r="D33564" i="10"/>
  <c r="D33563" i="10"/>
  <c r="D33562" i="10"/>
  <c r="D33561" i="10"/>
  <c r="D33560" i="10"/>
  <c r="D33559" i="10"/>
  <c r="D33558" i="10"/>
  <c r="D33557" i="10"/>
  <c r="D33556" i="10"/>
  <c r="D33555" i="10"/>
  <c r="D33554" i="10"/>
  <c r="D33553" i="10"/>
  <c r="D33552" i="10"/>
  <c r="D33551" i="10"/>
  <c r="D33550" i="10"/>
  <c r="D33549" i="10"/>
  <c r="D33548" i="10"/>
  <c r="D33547" i="10"/>
  <c r="D33546" i="10"/>
  <c r="D33545" i="10"/>
  <c r="D33544" i="10"/>
  <c r="D33543" i="10"/>
  <c r="D33542" i="10"/>
  <c r="D33541" i="10"/>
  <c r="D33540" i="10"/>
  <c r="D33539" i="10"/>
  <c r="D33538" i="10"/>
  <c r="D33537" i="10"/>
  <c r="D33536" i="10"/>
  <c r="D33535" i="10"/>
  <c r="D33534" i="10"/>
  <c r="D33533" i="10"/>
  <c r="D33532" i="10"/>
  <c r="D33531" i="10"/>
  <c r="D33530" i="10"/>
  <c r="D33529" i="10"/>
  <c r="D33528" i="10"/>
  <c r="D33527" i="10"/>
  <c r="D33526" i="10"/>
  <c r="D33525" i="10"/>
  <c r="D33524" i="10"/>
  <c r="D33523" i="10"/>
  <c r="D33522" i="10"/>
  <c r="D33521" i="10"/>
  <c r="D33520" i="10"/>
  <c r="D33519" i="10"/>
  <c r="D33518" i="10"/>
  <c r="D33517" i="10"/>
  <c r="D33516" i="10"/>
  <c r="D33515" i="10"/>
  <c r="D33514" i="10"/>
  <c r="D33513" i="10"/>
  <c r="D33512" i="10"/>
  <c r="D33511" i="10"/>
  <c r="D33510" i="10"/>
  <c r="D33509" i="10"/>
  <c r="D33508" i="10"/>
  <c r="D33507" i="10"/>
  <c r="D33506" i="10"/>
  <c r="D33505" i="10"/>
  <c r="D33504" i="10"/>
  <c r="D33503" i="10"/>
  <c r="D33502" i="10"/>
  <c r="D33501" i="10"/>
  <c r="D33500" i="10"/>
  <c r="D33499" i="10"/>
  <c r="D33498" i="10"/>
  <c r="D33497" i="10"/>
  <c r="D33496" i="10"/>
  <c r="D33495" i="10"/>
  <c r="D33494" i="10"/>
  <c r="D33493" i="10"/>
  <c r="D33492" i="10"/>
  <c r="D33491" i="10"/>
  <c r="D33490" i="10"/>
  <c r="D33489" i="10"/>
  <c r="D33488" i="10"/>
  <c r="D33487" i="10"/>
  <c r="D33486" i="10"/>
  <c r="D33485" i="10"/>
  <c r="D33484" i="10"/>
  <c r="D33483" i="10"/>
  <c r="D33482" i="10"/>
  <c r="D33481" i="10"/>
  <c r="D33480" i="10"/>
  <c r="D33479" i="10"/>
  <c r="D33478" i="10"/>
  <c r="D33477" i="10"/>
  <c r="D33476" i="10"/>
  <c r="D33475" i="10"/>
  <c r="D33474" i="10"/>
  <c r="D33473" i="10"/>
  <c r="D33472" i="10"/>
  <c r="D33471" i="10"/>
  <c r="D33470" i="10"/>
  <c r="D33469" i="10"/>
  <c r="D33468" i="10"/>
  <c r="D33467" i="10"/>
  <c r="D33466" i="10"/>
  <c r="D33465" i="10"/>
  <c r="D33464" i="10"/>
  <c r="D33463" i="10"/>
  <c r="D33462" i="10"/>
  <c r="D33461" i="10"/>
  <c r="D33460" i="10"/>
  <c r="D33459" i="10"/>
  <c r="D33458" i="10"/>
  <c r="D33457" i="10"/>
  <c r="D33456" i="10"/>
  <c r="D33455" i="10"/>
  <c r="D33454" i="10"/>
  <c r="D33453" i="10"/>
  <c r="D33452" i="10"/>
  <c r="D33451" i="10"/>
  <c r="D33450" i="10"/>
  <c r="D33449" i="10"/>
  <c r="D33448" i="10"/>
  <c r="D33447" i="10"/>
  <c r="D33446" i="10"/>
  <c r="D33445" i="10"/>
  <c r="D33444" i="10"/>
  <c r="D33443" i="10"/>
  <c r="D33442" i="10"/>
  <c r="D33441" i="10"/>
  <c r="D33440" i="10"/>
  <c r="D33439" i="10"/>
  <c r="D33438" i="10"/>
  <c r="D33437" i="10"/>
  <c r="D33436" i="10"/>
  <c r="D33435" i="10"/>
  <c r="D33434" i="10"/>
  <c r="D33433" i="10"/>
  <c r="D33432" i="10"/>
  <c r="D33431" i="10"/>
  <c r="D33430" i="10"/>
  <c r="D33429" i="10"/>
  <c r="D33428" i="10"/>
  <c r="D33427" i="10"/>
  <c r="D33426" i="10"/>
  <c r="D33425" i="10"/>
  <c r="D33424" i="10"/>
  <c r="D33423" i="10"/>
  <c r="D33422" i="10"/>
  <c r="D33421" i="10"/>
  <c r="D33420" i="10"/>
  <c r="D33419" i="10"/>
  <c r="D33418" i="10"/>
  <c r="D33417" i="10"/>
  <c r="D33416" i="10"/>
  <c r="D33415" i="10"/>
  <c r="D33414" i="10"/>
  <c r="D33413" i="10"/>
  <c r="D33412" i="10"/>
  <c r="D33411" i="10"/>
  <c r="D33410" i="10"/>
  <c r="D33409" i="10"/>
  <c r="D33408" i="10"/>
  <c r="D33407" i="10"/>
  <c r="D33406" i="10"/>
  <c r="D33405" i="10"/>
  <c r="D33404" i="10"/>
  <c r="D33403" i="10"/>
  <c r="D33402" i="10"/>
  <c r="D33401" i="10"/>
  <c r="D33400" i="10"/>
  <c r="D33399" i="10"/>
  <c r="D33398" i="10"/>
  <c r="D33397" i="10"/>
  <c r="D33396" i="10"/>
  <c r="D33395" i="10"/>
  <c r="D33394" i="10"/>
  <c r="D33393" i="10"/>
  <c r="D33392" i="10"/>
  <c r="D33391" i="10"/>
  <c r="D33390" i="10"/>
  <c r="D33389" i="10"/>
  <c r="D33388" i="10"/>
  <c r="D33387" i="10"/>
  <c r="D33386" i="10"/>
  <c r="D33385" i="10"/>
  <c r="D33384" i="10"/>
  <c r="D33383" i="10"/>
  <c r="D33382" i="10"/>
  <c r="D33381" i="10"/>
  <c r="D33380" i="10"/>
  <c r="D33379" i="10"/>
  <c r="D33378" i="10"/>
  <c r="D33377" i="10"/>
  <c r="D33376" i="10"/>
  <c r="D33375" i="10"/>
  <c r="D33374" i="10"/>
  <c r="D33373" i="10"/>
  <c r="D33372" i="10"/>
  <c r="D33371" i="10"/>
  <c r="D33370" i="10"/>
  <c r="D33369" i="10"/>
  <c r="D33368" i="10"/>
  <c r="D33367" i="10"/>
  <c r="D33366" i="10"/>
  <c r="D33365" i="10"/>
  <c r="D33364" i="10"/>
  <c r="D33363" i="10"/>
  <c r="D33362" i="10"/>
  <c r="D33361" i="10"/>
  <c r="D33360" i="10"/>
  <c r="D33359" i="10"/>
  <c r="D33358" i="10"/>
  <c r="D33357" i="10"/>
  <c r="D33356" i="10"/>
  <c r="D33355" i="10"/>
  <c r="D33354" i="10"/>
  <c r="D33353" i="10"/>
  <c r="D33352" i="10"/>
  <c r="D33351" i="10"/>
  <c r="D33350" i="10"/>
  <c r="D33349" i="10"/>
  <c r="D33348" i="10"/>
  <c r="D33347" i="10"/>
  <c r="D33346" i="10"/>
  <c r="D33345" i="10"/>
  <c r="D33344" i="10"/>
  <c r="D33343" i="10"/>
  <c r="D33342" i="10"/>
  <c r="D33341" i="10"/>
  <c r="D33340" i="10"/>
  <c r="D33339" i="10"/>
  <c r="D33338" i="10"/>
  <c r="D33337" i="10"/>
  <c r="D33336" i="10"/>
  <c r="D33335" i="10"/>
  <c r="D33334" i="10"/>
  <c r="D33333" i="10"/>
  <c r="D33332" i="10"/>
  <c r="D33331" i="10"/>
  <c r="D33330" i="10"/>
  <c r="D33329" i="10"/>
  <c r="D33328" i="10"/>
  <c r="D33327" i="10"/>
  <c r="D33326" i="10"/>
  <c r="D33325" i="10"/>
  <c r="D33324" i="10"/>
  <c r="D33323" i="10"/>
  <c r="D33322" i="10"/>
  <c r="D33321" i="10"/>
  <c r="D33320" i="10"/>
  <c r="D33319" i="10"/>
  <c r="D33318" i="10"/>
  <c r="D33317" i="10"/>
  <c r="D33316" i="10"/>
  <c r="D33315" i="10"/>
  <c r="D33314" i="10"/>
  <c r="D33313" i="10"/>
  <c r="D33312" i="10"/>
  <c r="D33311" i="10"/>
  <c r="D33310" i="10"/>
  <c r="D33309" i="10"/>
  <c r="D33308" i="10"/>
  <c r="D33307" i="10"/>
  <c r="D33306" i="10"/>
  <c r="D33305" i="10"/>
  <c r="D33304" i="10"/>
  <c r="D33303" i="10"/>
  <c r="D33302" i="10"/>
  <c r="D33301" i="10"/>
  <c r="D33300" i="10"/>
  <c r="D33299" i="10"/>
  <c r="D33298" i="10"/>
  <c r="D33297" i="10"/>
  <c r="D33296" i="10"/>
  <c r="D33295" i="10"/>
  <c r="D33294" i="10"/>
  <c r="D33293" i="10"/>
  <c r="D33292" i="10"/>
  <c r="D33291" i="10"/>
  <c r="D33290" i="10"/>
  <c r="D33289" i="10"/>
  <c r="D33288" i="10"/>
  <c r="D33287" i="10"/>
  <c r="D33286" i="10"/>
  <c r="D33285" i="10"/>
  <c r="D33284" i="10"/>
  <c r="D33283" i="10"/>
  <c r="D33282" i="10"/>
  <c r="D33281" i="10"/>
  <c r="D33280" i="10"/>
  <c r="D33279" i="10"/>
  <c r="D33278" i="10"/>
  <c r="D33277" i="10"/>
  <c r="D33276" i="10"/>
  <c r="D33275" i="10"/>
  <c r="D33274" i="10"/>
  <c r="D33273" i="10"/>
  <c r="D33272" i="10"/>
  <c r="D33271" i="10"/>
  <c r="D33270" i="10"/>
  <c r="D33269" i="10"/>
  <c r="D33268" i="10"/>
  <c r="D33267" i="10"/>
  <c r="D33266" i="10"/>
  <c r="D33265" i="10"/>
  <c r="D33264" i="10"/>
  <c r="D33263" i="10"/>
  <c r="D33262" i="10"/>
  <c r="D33261" i="10"/>
  <c r="D33260" i="10"/>
  <c r="D33259" i="10"/>
  <c r="D33258" i="10"/>
  <c r="D33257" i="10"/>
  <c r="D33256" i="10"/>
  <c r="D33255" i="10"/>
  <c r="D33254" i="10"/>
  <c r="D33253" i="10"/>
  <c r="D33252" i="10"/>
  <c r="D33251" i="10"/>
  <c r="D33250" i="10"/>
  <c r="D33249" i="10"/>
  <c r="D33248" i="10"/>
  <c r="D33247" i="10"/>
  <c r="D33246" i="10"/>
  <c r="D33245" i="10"/>
  <c r="D33244" i="10"/>
  <c r="D33243" i="10"/>
  <c r="D33242" i="10"/>
  <c r="D33241" i="10"/>
  <c r="D33240" i="10"/>
  <c r="D33239" i="10"/>
  <c r="D33238" i="10"/>
  <c r="D33237" i="10"/>
  <c r="D33236" i="10"/>
  <c r="D33235" i="10"/>
  <c r="D33234" i="10"/>
  <c r="D33233" i="10"/>
  <c r="D33232" i="10"/>
  <c r="D33231" i="10"/>
  <c r="D33230" i="10"/>
  <c r="D33229" i="10"/>
  <c r="D33228" i="10"/>
  <c r="D33227" i="10"/>
  <c r="D33226" i="10"/>
  <c r="D33225" i="10"/>
  <c r="D33224" i="10"/>
  <c r="D33223" i="10"/>
  <c r="D33222" i="10"/>
  <c r="D33221" i="10"/>
  <c r="D33220" i="10"/>
  <c r="D33219" i="10"/>
  <c r="D33218" i="10"/>
  <c r="D33217" i="10"/>
  <c r="D33216" i="10"/>
  <c r="D33215" i="10"/>
  <c r="D33214" i="10"/>
  <c r="D33213" i="10"/>
  <c r="D33212" i="10"/>
  <c r="D33211" i="10"/>
  <c r="D33210" i="10"/>
  <c r="D33209" i="10"/>
  <c r="D33208" i="10"/>
  <c r="D33207" i="10"/>
  <c r="D33206" i="10"/>
  <c r="D33205" i="10"/>
  <c r="D33204" i="10"/>
  <c r="D33203" i="10"/>
  <c r="D33202" i="10"/>
  <c r="D33201" i="10"/>
  <c r="D33200" i="10"/>
  <c r="D33199" i="10"/>
  <c r="D33198" i="10"/>
  <c r="D33197" i="10"/>
  <c r="D33196" i="10"/>
  <c r="D33195" i="10"/>
  <c r="D33194" i="10"/>
  <c r="D33193" i="10"/>
  <c r="D33192" i="10"/>
  <c r="D33191" i="10"/>
  <c r="D33190" i="10"/>
  <c r="D33189" i="10"/>
  <c r="D33188" i="10"/>
  <c r="D33187" i="10"/>
  <c r="D33186" i="10"/>
  <c r="D33185" i="10"/>
  <c r="D33184" i="10"/>
  <c r="D33183" i="10"/>
  <c r="D33182" i="10"/>
  <c r="D33181" i="10"/>
  <c r="D33180" i="10"/>
  <c r="D33179" i="10"/>
  <c r="D33178" i="10"/>
  <c r="D33177" i="10"/>
  <c r="D33176" i="10"/>
  <c r="D33175" i="10"/>
  <c r="D33174" i="10"/>
  <c r="D33173" i="10"/>
  <c r="D33172" i="10"/>
  <c r="D33171" i="10"/>
  <c r="D33170" i="10"/>
  <c r="D33169" i="10"/>
  <c r="D33168" i="10"/>
  <c r="D33167" i="10"/>
  <c r="D33166" i="10"/>
  <c r="D33165" i="10"/>
  <c r="D33164" i="10"/>
  <c r="D33163" i="10"/>
  <c r="D33162" i="10"/>
  <c r="D33161" i="10"/>
  <c r="D33160" i="10"/>
  <c r="D33159" i="10"/>
  <c r="D33158" i="10"/>
  <c r="D33157" i="10"/>
  <c r="D33156" i="10"/>
  <c r="D33155" i="10"/>
  <c r="D33154" i="10"/>
  <c r="D33153" i="10"/>
  <c r="D33152" i="10"/>
  <c r="D33151" i="10"/>
  <c r="D33150" i="10"/>
  <c r="D33149" i="10"/>
  <c r="D33148" i="10"/>
  <c r="D33147" i="10"/>
  <c r="D33146" i="10"/>
  <c r="D33145" i="10"/>
  <c r="D33144" i="10"/>
  <c r="D33143" i="10"/>
  <c r="D33142" i="10"/>
  <c r="D33141" i="10"/>
  <c r="D33140" i="10"/>
  <c r="D33139" i="10"/>
  <c r="D33138" i="10"/>
  <c r="D33137" i="10"/>
  <c r="D33136" i="10"/>
  <c r="D33135" i="10"/>
  <c r="D33134" i="10"/>
  <c r="D33133" i="10"/>
  <c r="D33132" i="10"/>
  <c r="D33131" i="10"/>
  <c r="D33130" i="10"/>
  <c r="D33129" i="10"/>
  <c r="D33128" i="10"/>
  <c r="D33127" i="10"/>
  <c r="D33126" i="10"/>
  <c r="D33125" i="10"/>
  <c r="D33124" i="10"/>
  <c r="D33123" i="10"/>
  <c r="D33122" i="10"/>
  <c r="D33121" i="10"/>
  <c r="D33120" i="10"/>
  <c r="D33119" i="10"/>
  <c r="D33118" i="10"/>
  <c r="D33117" i="10"/>
  <c r="D33116" i="10"/>
  <c r="D33115" i="10"/>
  <c r="D33114" i="10"/>
  <c r="D33113" i="10"/>
  <c r="D33112" i="10"/>
  <c r="D33111" i="10"/>
  <c r="D33110" i="10"/>
  <c r="D33109" i="10"/>
  <c r="D33108" i="10"/>
  <c r="D33107" i="10"/>
  <c r="D33106" i="10"/>
  <c r="D33105" i="10"/>
  <c r="D33104" i="10"/>
  <c r="D33103" i="10"/>
  <c r="D33102" i="10"/>
  <c r="D33101" i="10"/>
  <c r="D33100" i="10"/>
  <c r="D33099" i="10"/>
  <c r="D33098" i="10"/>
  <c r="D33097" i="10"/>
  <c r="D33096" i="10"/>
  <c r="D33095" i="10"/>
  <c r="D33094" i="10"/>
  <c r="D33093" i="10"/>
  <c r="D33092" i="10"/>
  <c r="D33091" i="10"/>
  <c r="D33090" i="10"/>
  <c r="D33089" i="10"/>
  <c r="D33088" i="10"/>
  <c r="D33087" i="10"/>
  <c r="D33086" i="10"/>
  <c r="D33085" i="10"/>
  <c r="D33084" i="10"/>
  <c r="D33083" i="10"/>
  <c r="D33082" i="10"/>
  <c r="D33081" i="10"/>
  <c r="D33080" i="10"/>
  <c r="D33079" i="10"/>
  <c r="D33078" i="10"/>
  <c r="D33077" i="10"/>
  <c r="D33076" i="10"/>
  <c r="D33075" i="10"/>
  <c r="D33074" i="10"/>
  <c r="D33073" i="10"/>
  <c r="D33072" i="10"/>
  <c r="D33071" i="10"/>
  <c r="D33070" i="10"/>
  <c r="D33069" i="10"/>
  <c r="D33068" i="10"/>
  <c r="D33067" i="10"/>
  <c r="D33066" i="10"/>
  <c r="D33065" i="10"/>
  <c r="D33064" i="10"/>
  <c r="D33063" i="10"/>
  <c r="D33062" i="10"/>
  <c r="D33061" i="10"/>
  <c r="D33060" i="10"/>
  <c r="D33059" i="10"/>
  <c r="D33058" i="10"/>
  <c r="D33057" i="10"/>
  <c r="D33056" i="10"/>
  <c r="D33055" i="10"/>
  <c r="D33054" i="10"/>
  <c r="D33053" i="10"/>
  <c r="D33052" i="10"/>
  <c r="D33051" i="10"/>
  <c r="D33050" i="10"/>
  <c r="D33049" i="10"/>
  <c r="D33048" i="10"/>
  <c r="D33047" i="10"/>
  <c r="D33046" i="10"/>
  <c r="D33045" i="10"/>
  <c r="D33044" i="10"/>
  <c r="D33043" i="10"/>
  <c r="D33042" i="10"/>
  <c r="D33041" i="10"/>
  <c r="D33040" i="10"/>
  <c r="D33039" i="10"/>
  <c r="D33038" i="10"/>
  <c r="D33037" i="10"/>
  <c r="D33036" i="10"/>
  <c r="D33035" i="10"/>
  <c r="D33034" i="10"/>
  <c r="D33033" i="10"/>
  <c r="D33032" i="10"/>
  <c r="D33031" i="10"/>
  <c r="D33030" i="10"/>
  <c r="D33029" i="10"/>
  <c r="D33028" i="10"/>
  <c r="D33027" i="10"/>
  <c r="D33026" i="10"/>
  <c r="D33025" i="10"/>
  <c r="D33024" i="10"/>
  <c r="D33023" i="10"/>
  <c r="D33022" i="10"/>
  <c r="D33021" i="10"/>
  <c r="D33020" i="10"/>
  <c r="D33019" i="10"/>
  <c r="D33018" i="10"/>
  <c r="D33017" i="10"/>
  <c r="D33016" i="10"/>
  <c r="D33015" i="10"/>
  <c r="D33014" i="10"/>
  <c r="D33013" i="10"/>
  <c r="D33012" i="10"/>
  <c r="D33011" i="10"/>
  <c r="D33010" i="10"/>
  <c r="D33009" i="10"/>
  <c r="D33008" i="10"/>
  <c r="D33007" i="10"/>
  <c r="D33006" i="10"/>
  <c r="D33005" i="10"/>
  <c r="D33004" i="10"/>
  <c r="D33003" i="10"/>
  <c r="D33002" i="10"/>
  <c r="D33001" i="10"/>
  <c r="D33000" i="10"/>
  <c r="D32999" i="10"/>
  <c r="D32998" i="10"/>
  <c r="D32997" i="10"/>
  <c r="D32996" i="10"/>
  <c r="D32995" i="10"/>
  <c r="D32994" i="10"/>
  <c r="D32993" i="10"/>
  <c r="D32992" i="10"/>
  <c r="D32991" i="10"/>
  <c r="D32990" i="10"/>
  <c r="D32989" i="10"/>
  <c r="D32988" i="10"/>
  <c r="D32987" i="10"/>
  <c r="D32986" i="10"/>
  <c r="D32985" i="10"/>
  <c r="D32984" i="10"/>
  <c r="D32983" i="10"/>
  <c r="D32982" i="10"/>
  <c r="D32981" i="10"/>
  <c r="D32980" i="10"/>
  <c r="D32979" i="10"/>
  <c r="D32978" i="10"/>
  <c r="D32977" i="10"/>
  <c r="D32976" i="10"/>
  <c r="D32975" i="10"/>
  <c r="D32974" i="10"/>
  <c r="D32973" i="10"/>
  <c r="D32972" i="10"/>
  <c r="D32971" i="10"/>
  <c r="D32970" i="10"/>
  <c r="D32969" i="10"/>
  <c r="D32968" i="10"/>
  <c r="D32967" i="10"/>
  <c r="D32966" i="10"/>
  <c r="D32965" i="10"/>
  <c r="D32964" i="10"/>
  <c r="D32963" i="10"/>
  <c r="D32962" i="10"/>
  <c r="D32961" i="10"/>
  <c r="D32960" i="10"/>
  <c r="D32959" i="10"/>
  <c r="D32958" i="10"/>
  <c r="D32957" i="10"/>
  <c r="D32956" i="10"/>
  <c r="D32955" i="10"/>
  <c r="D32954" i="10"/>
  <c r="D32953" i="10"/>
  <c r="D32952" i="10"/>
  <c r="D32951" i="10"/>
  <c r="D32950" i="10"/>
  <c r="D32949" i="10"/>
  <c r="D32948" i="10"/>
  <c r="D32947" i="10"/>
  <c r="D32946" i="10"/>
  <c r="D32945" i="10"/>
  <c r="D32944" i="10"/>
  <c r="D32943" i="10"/>
  <c r="D32942" i="10"/>
  <c r="D32941" i="10"/>
  <c r="D32940" i="10"/>
  <c r="D32939" i="10"/>
  <c r="D32938" i="10"/>
  <c r="D32937" i="10"/>
  <c r="D32936" i="10"/>
  <c r="D32935" i="10"/>
  <c r="D32934" i="10"/>
  <c r="D32933" i="10"/>
  <c r="D32932" i="10"/>
  <c r="D32931" i="10"/>
  <c r="D32930" i="10"/>
  <c r="D32929" i="10"/>
  <c r="D32928" i="10"/>
  <c r="D32927" i="10"/>
  <c r="D32926" i="10"/>
  <c r="D32925" i="10"/>
  <c r="D32924" i="10"/>
  <c r="D32923" i="10"/>
  <c r="D32922" i="10"/>
  <c r="D32921" i="10"/>
  <c r="D32920" i="10"/>
  <c r="D32919" i="10"/>
  <c r="D32918" i="10"/>
  <c r="D32917" i="10"/>
  <c r="D32916" i="10"/>
  <c r="D32915" i="10"/>
  <c r="D32914" i="10"/>
  <c r="D32913" i="10"/>
  <c r="D32912" i="10"/>
  <c r="D32911" i="10"/>
  <c r="D32910" i="10"/>
  <c r="D32909" i="10"/>
  <c r="D32908" i="10"/>
  <c r="D32907" i="10"/>
  <c r="D32906" i="10"/>
  <c r="D32905" i="10"/>
  <c r="D32904" i="10"/>
  <c r="D32903" i="10"/>
  <c r="D32902" i="10"/>
  <c r="D32901" i="10"/>
  <c r="D32900" i="10"/>
  <c r="D32899" i="10"/>
  <c r="D32898" i="10"/>
  <c r="D32897" i="10"/>
  <c r="D32896" i="10"/>
  <c r="D32895" i="10"/>
  <c r="D32894" i="10"/>
  <c r="D32893" i="10"/>
  <c r="D32892" i="10"/>
  <c r="D32891" i="10"/>
  <c r="D32890" i="10"/>
  <c r="D32889" i="10"/>
  <c r="D32888" i="10"/>
  <c r="D32887" i="10"/>
  <c r="D32886" i="10"/>
  <c r="D32885" i="10"/>
  <c r="D32884" i="10"/>
  <c r="D32883" i="10"/>
  <c r="D32882" i="10"/>
  <c r="D32881" i="10"/>
  <c r="D32880" i="10"/>
  <c r="D32879" i="10"/>
  <c r="D32878" i="10"/>
  <c r="D32877" i="10"/>
  <c r="D32876" i="10"/>
  <c r="D32875" i="10"/>
  <c r="D32874" i="10"/>
  <c r="D32873" i="10"/>
  <c r="D32872" i="10"/>
  <c r="D32871" i="10"/>
  <c r="D32870" i="10"/>
  <c r="D32869" i="10"/>
  <c r="D32868" i="10"/>
  <c r="D32867" i="10"/>
  <c r="D32866" i="10"/>
  <c r="D32865" i="10"/>
  <c r="D32864" i="10"/>
  <c r="D32863" i="10"/>
  <c r="D32862" i="10"/>
  <c r="D32861" i="10"/>
  <c r="D32860" i="10"/>
  <c r="D32859" i="10"/>
  <c r="D32858" i="10"/>
  <c r="D32857" i="10"/>
  <c r="D32856" i="10"/>
  <c r="D32855" i="10"/>
  <c r="D32854" i="10"/>
  <c r="D32853" i="10"/>
  <c r="D32852" i="10"/>
  <c r="D32851" i="10"/>
  <c r="D32850" i="10"/>
  <c r="D32849" i="10"/>
  <c r="D32848" i="10"/>
  <c r="D32847" i="10"/>
  <c r="D32846" i="10"/>
  <c r="D32845" i="10"/>
  <c r="D32844" i="10"/>
  <c r="D32843" i="10"/>
  <c r="D32842" i="10"/>
  <c r="D32841" i="10"/>
  <c r="D32840" i="10"/>
  <c r="D32839" i="10"/>
  <c r="D32838" i="10"/>
  <c r="D32837" i="10"/>
  <c r="D32836" i="10"/>
  <c r="D32835" i="10"/>
  <c r="D32834" i="10"/>
  <c r="D32833" i="10"/>
  <c r="D32832" i="10"/>
  <c r="D32831" i="10"/>
  <c r="D32830" i="10"/>
  <c r="D32829" i="10"/>
  <c r="D32828" i="10"/>
  <c r="D32827" i="10"/>
  <c r="D32826" i="10"/>
  <c r="D32825" i="10"/>
  <c r="D32824" i="10"/>
  <c r="D32823" i="10"/>
  <c r="D32822" i="10"/>
  <c r="D32821" i="10"/>
  <c r="D32820" i="10"/>
  <c r="D32819" i="10"/>
  <c r="D32818" i="10"/>
  <c r="D32817" i="10"/>
  <c r="D32816" i="10"/>
  <c r="D32815" i="10"/>
  <c r="D32814" i="10"/>
  <c r="D32813" i="10"/>
  <c r="D32812" i="10"/>
  <c r="D32811" i="10"/>
  <c r="D32810" i="10"/>
  <c r="D32809" i="10"/>
  <c r="D32808" i="10"/>
  <c r="D32807" i="10"/>
  <c r="D32806" i="10"/>
  <c r="D32805" i="10"/>
  <c r="D32804" i="10"/>
  <c r="D32803" i="10"/>
  <c r="D32802" i="10"/>
  <c r="D32801" i="10"/>
  <c r="D32800" i="10"/>
  <c r="D32799" i="10"/>
  <c r="D32798" i="10"/>
  <c r="D32797" i="10"/>
  <c r="D32796" i="10"/>
  <c r="D32795" i="10"/>
  <c r="D32794" i="10"/>
  <c r="D32793" i="10"/>
  <c r="D32792" i="10"/>
  <c r="D32791" i="10"/>
  <c r="D32790" i="10"/>
  <c r="D32789" i="10"/>
  <c r="D32788" i="10"/>
  <c r="D32787" i="10"/>
  <c r="D32786" i="10"/>
  <c r="D32785" i="10"/>
  <c r="D32784" i="10"/>
  <c r="D32783" i="10"/>
  <c r="D32782" i="10"/>
  <c r="D32781" i="10"/>
  <c r="D32780" i="10"/>
  <c r="D32779" i="10"/>
  <c r="D32778" i="10"/>
  <c r="D32777" i="10"/>
  <c r="D32776" i="10"/>
  <c r="D32775" i="10"/>
  <c r="D32774" i="10"/>
  <c r="D32773" i="10"/>
  <c r="D32772" i="10"/>
  <c r="D32771" i="10"/>
  <c r="D32770" i="10"/>
  <c r="D32769" i="10"/>
  <c r="D32768" i="10"/>
  <c r="D32767" i="10"/>
  <c r="D32766" i="10"/>
  <c r="D32765" i="10"/>
  <c r="D32764" i="10"/>
  <c r="D32763" i="10"/>
  <c r="D32762" i="10"/>
  <c r="D32761" i="10"/>
  <c r="D32760" i="10"/>
  <c r="D32759" i="10"/>
  <c r="D32758" i="10"/>
  <c r="D32757" i="10"/>
  <c r="D32756" i="10"/>
  <c r="D32755" i="10"/>
  <c r="D32754" i="10"/>
  <c r="D32753" i="10"/>
  <c r="D32752" i="10"/>
  <c r="D32751" i="10"/>
  <c r="D32750" i="10"/>
  <c r="D32749" i="10"/>
  <c r="D32748" i="10"/>
  <c r="D32747" i="10"/>
  <c r="D32746" i="10"/>
  <c r="D32745" i="10"/>
  <c r="D32744" i="10"/>
  <c r="D32743" i="10"/>
  <c r="D32742" i="10"/>
  <c r="D32741" i="10"/>
  <c r="D32740" i="10"/>
  <c r="D32739" i="10"/>
  <c r="D32738" i="10"/>
  <c r="D32737" i="10"/>
  <c r="D32736" i="10"/>
  <c r="D32735" i="10"/>
  <c r="D32734" i="10"/>
  <c r="D32733" i="10"/>
  <c r="D32732" i="10"/>
  <c r="D32731" i="10"/>
  <c r="D32730" i="10"/>
  <c r="D32729" i="10"/>
  <c r="D32728" i="10"/>
  <c r="D32727" i="10"/>
  <c r="D32726" i="10"/>
  <c r="D32725" i="10"/>
  <c r="D32724" i="10"/>
  <c r="D32723" i="10"/>
  <c r="D32722" i="10"/>
  <c r="D32721" i="10"/>
  <c r="D32720" i="10"/>
  <c r="D32719" i="10"/>
  <c r="D32718" i="10"/>
  <c r="D32717" i="10"/>
  <c r="D32716" i="10"/>
  <c r="D32715" i="10"/>
  <c r="D32714" i="10"/>
  <c r="D32713" i="10"/>
  <c r="D32712" i="10"/>
  <c r="D32711" i="10"/>
  <c r="D32710" i="10"/>
  <c r="D32709" i="10"/>
  <c r="D32708" i="10"/>
  <c r="D32707" i="10"/>
  <c r="D32706" i="10"/>
  <c r="D32705" i="10"/>
  <c r="D32704" i="10"/>
  <c r="D32703" i="10"/>
  <c r="D32702" i="10"/>
  <c r="D32701" i="10"/>
  <c r="D32700" i="10"/>
  <c r="D32699" i="10"/>
  <c r="D32698" i="10"/>
  <c r="D32697" i="10"/>
  <c r="D32696" i="10"/>
  <c r="D32695" i="10"/>
  <c r="D32694" i="10"/>
  <c r="D32693" i="10"/>
  <c r="D32692" i="10"/>
  <c r="D32691" i="10"/>
  <c r="D32690" i="10"/>
  <c r="D32689" i="10"/>
  <c r="D32688" i="10"/>
  <c r="D32687" i="10"/>
  <c r="D32686" i="10"/>
  <c r="D32685" i="10"/>
  <c r="D32684" i="10"/>
  <c r="D32683" i="10"/>
  <c r="D32682" i="10"/>
  <c r="D32681" i="10"/>
  <c r="D32680" i="10"/>
  <c r="D32679" i="10"/>
  <c r="D32678" i="10"/>
  <c r="D32677" i="10"/>
  <c r="D32676" i="10"/>
  <c r="D32675" i="10"/>
  <c r="D32674" i="10"/>
  <c r="D32673" i="10"/>
  <c r="D32672" i="10"/>
  <c r="D32671" i="10"/>
  <c r="D32670" i="10"/>
  <c r="D32669" i="10"/>
  <c r="D32668" i="10"/>
  <c r="D32667" i="10"/>
  <c r="D32666" i="10"/>
  <c r="D32665" i="10"/>
  <c r="D32664" i="10"/>
  <c r="D32663" i="10"/>
  <c r="D32662" i="10"/>
  <c r="D32661" i="10"/>
  <c r="D32660" i="10"/>
  <c r="D32659" i="10"/>
  <c r="D32658" i="10"/>
  <c r="D32657" i="10"/>
  <c r="D32656" i="10"/>
  <c r="D32655" i="10"/>
  <c r="D32654" i="10"/>
  <c r="D32653" i="10"/>
  <c r="D32652" i="10"/>
  <c r="D32651" i="10"/>
  <c r="D32650" i="10"/>
  <c r="D32649" i="10"/>
  <c r="D32648" i="10"/>
  <c r="D32647" i="10"/>
  <c r="D32646" i="10"/>
  <c r="D32645" i="10"/>
  <c r="D32644" i="10"/>
  <c r="D32643" i="10"/>
  <c r="D32642" i="10"/>
  <c r="D32641" i="10"/>
  <c r="D32640" i="10"/>
  <c r="D32639" i="10"/>
  <c r="D32638" i="10"/>
  <c r="D32637" i="10"/>
  <c r="D32636" i="10"/>
  <c r="D32635" i="10"/>
  <c r="D32634" i="10"/>
  <c r="D32633" i="10"/>
  <c r="D32632" i="10"/>
  <c r="D32631" i="10"/>
  <c r="D32630" i="10"/>
  <c r="D32629" i="10"/>
  <c r="D32628" i="10"/>
  <c r="D32627" i="10"/>
  <c r="D32626" i="10"/>
  <c r="D32625" i="10"/>
  <c r="D32624" i="10"/>
  <c r="D32623" i="10"/>
  <c r="D32622" i="10"/>
  <c r="D32621" i="10"/>
  <c r="D32620" i="10"/>
  <c r="D32619" i="10"/>
  <c r="D32618" i="10"/>
  <c r="D32617" i="10"/>
  <c r="D32616" i="10"/>
  <c r="D32615" i="10"/>
  <c r="D32614" i="10"/>
  <c r="D32613" i="10"/>
  <c r="D32612" i="10"/>
  <c r="D32611" i="10"/>
  <c r="D32610" i="10"/>
  <c r="D32609" i="10"/>
  <c r="D32608" i="10"/>
  <c r="D32607" i="10"/>
  <c r="D32606" i="10"/>
  <c r="D32605" i="10"/>
  <c r="D32604" i="10"/>
  <c r="D32603" i="10"/>
  <c r="D32602" i="10"/>
  <c r="D32601" i="10"/>
  <c r="D32600" i="10"/>
  <c r="D32599" i="10"/>
  <c r="D32598" i="10"/>
  <c r="D32597" i="10"/>
  <c r="D32596" i="10"/>
  <c r="D32595" i="10"/>
  <c r="D32594" i="10"/>
  <c r="D32593" i="10"/>
  <c r="D32592" i="10"/>
  <c r="D32591" i="10"/>
  <c r="D32590" i="10"/>
  <c r="D32589" i="10"/>
  <c r="D32588" i="10"/>
  <c r="D32587" i="10"/>
  <c r="D32586" i="10"/>
  <c r="D32585" i="10"/>
  <c r="D32584" i="10"/>
  <c r="D32583" i="10"/>
  <c r="D32582" i="10"/>
  <c r="D32581" i="10"/>
  <c r="D32580" i="10"/>
  <c r="D32579" i="10"/>
  <c r="D32578" i="10"/>
  <c r="D32577" i="10"/>
  <c r="D32576" i="10"/>
  <c r="D32575" i="10"/>
  <c r="D32574" i="10"/>
  <c r="D32573" i="10"/>
  <c r="D32572" i="10"/>
  <c r="D32571" i="10"/>
  <c r="D32570" i="10"/>
  <c r="D32569" i="10"/>
  <c r="D32568" i="10"/>
  <c r="D32567" i="10"/>
  <c r="D32566" i="10"/>
  <c r="D32565" i="10"/>
  <c r="D32564" i="10"/>
  <c r="D32563" i="10"/>
  <c r="D32562" i="10"/>
  <c r="D32561" i="10"/>
  <c r="D32560" i="10"/>
  <c r="D32559" i="10"/>
  <c r="D32558" i="10"/>
  <c r="D32557" i="10"/>
  <c r="D32556" i="10"/>
  <c r="D32555" i="10"/>
  <c r="D32554" i="10"/>
  <c r="D32553" i="10"/>
  <c r="D32552" i="10"/>
  <c r="D32551" i="10"/>
  <c r="D32550" i="10"/>
  <c r="D32549" i="10"/>
  <c r="D32548" i="10"/>
  <c r="D32547" i="10"/>
  <c r="D32546" i="10"/>
  <c r="D32545" i="10"/>
  <c r="D32544" i="10"/>
  <c r="D32543" i="10"/>
  <c r="D32542" i="10"/>
  <c r="D32541" i="10"/>
  <c r="D32540" i="10"/>
  <c r="D32539" i="10"/>
  <c r="D32538" i="10"/>
  <c r="D32537" i="10"/>
  <c r="D32536" i="10"/>
  <c r="D32535" i="10"/>
  <c r="D32534" i="10"/>
  <c r="D32533" i="10"/>
  <c r="D32532" i="10"/>
  <c r="D32531" i="10"/>
  <c r="D32530" i="10"/>
  <c r="D32529" i="10"/>
  <c r="D32528" i="10"/>
  <c r="D32527" i="10"/>
  <c r="D32526" i="10"/>
  <c r="D32525" i="10"/>
  <c r="D32524" i="10"/>
  <c r="D32523" i="10"/>
  <c r="D32522" i="10"/>
  <c r="D32521" i="10"/>
  <c r="D32520" i="10"/>
  <c r="D32519" i="10"/>
  <c r="D32518" i="10"/>
  <c r="D32517" i="10"/>
  <c r="D32516" i="10"/>
  <c r="D32515" i="10"/>
  <c r="D32514" i="10"/>
  <c r="D32513" i="10"/>
  <c r="D32512" i="10"/>
  <c r="D32511" i="10"/>
  <c r="D32510" i="10"/>
  <c r="D32509" i="10"/>
  <c r="D32508" i="10"/>
  <c r="D32507" i="10"/>
  <c r="D32506" i="10"/>
  <c r="D32505" i="10"/>
  <c r="D32504" i="10"/>
  <c r="D32503" i="10"/>
  <c r="D32502" i="10"/>
  <c r="D32501" i="10"/>
  <c r="D32500" i="10"/>
  <c r="D32499" i="10"/>
  <c r="D32498" i="10"/>
  <c r="D32497" i="10"/>
  <c r="D32496" i="10"/>
  <c r="D32495" i="10"/>
  <c r="D32494" i="10"/>
  <c r="D32493" i="10"/>
  <c r="D32492" i="10"/>
  <c r="D32491" i="10"/>
  <c r="D32490" i="10"/>
  <c r="D32489" i="10"/>
  <c r="D32488" i="10"/>
  <c r="D32487" i="10"/>
  <c r="D32486" i="10"/>
  <c r="D32485" i="10"/>
  <c r="D32484" i="10"/>
  <c r="D32483" i="10"/>
  <c r="D32482" i="10"/>
  <c r="D32481" i="10"/>
  <c r="D32480" i="10"/>
  <c r="D32479" i="10"/>
  <c r="D32478" i="10"/>
  <c r="D32477" i="10"/>
  <c r="D32476" i="10"/>
  <c r="D32475" i="10"/>
  <c r="D32474" i="10"/>
  <c r="D32473" i="10"/>
  <c r="D32472" i="10"/>
  <c r="D32471" i="10"/>
  <c r="D32470" i="10"/>
  <c r="D32469" i="10"/>
  <c r="D32468" i="10"/>
  <c r="D32467" i="10"/>
  <c r="D32466" i="10"/>
  <c r="D32465" i="10"/>
  <c r="D32464" i="10"/>
  <c r="D32463" i="10"/>
  <c r="D32462" i="10"/>
  <c r="D32461" i="10"/>
  <c r="D32460" i="10"/>
  <c r="D32459" i="10"/>
  <c r="D32458" i="10"/>
  <c r="D32457" i="10"/>
  <c r="D32456" i="10"/>
  <c r="D32455" i="10"/>
  <c r="D32454" i="10"/>
  <c r="D32453" i="10"/>
  <c r="D32452" i="10"/>
  <c r="D32451" i="10"/>
  <c r="D32450" i="10"/>
  <c r="D32449" i="10"/>
  <c r="D32448" i="10"/>
  <c r="D32447" i="10"/>
  <c r="D32446" i="10"/>
  <c r="D32445" i="10"/>
  <c r="D32444" i="10"/>
  <c r="D32443" i="10"/>
  <c r="D32442" i="10"/>
  <c r="D32441" i="10"/>
  <c r="D32440" i="10"/>
  <c r="D32439" i="10"/>
  <c r="D32438" i="10"/>
  <c r="D32437" i="10"/>
  <c r="D32436" i="10"/>
  <c r="D32435" i="10"/>
  <c r="D32434" i="10"/>
  <c r="D32433" i="10"/>
  <c r="D32432" i="10"/>
  <c r="D32431" i="10"/>
  <c r="D32430" i="10"/>
  <c r="D32429" i="10"/>
  <c r="D32428" i="10"/>
  <c r="D32427" i="10"/>
  <c r="D32426" i="10"/>
  <c r="D32425" i="10"/>
  <c r="D32424" i="10"/>
  <c r="D32423" i="10"/>
  <c r="D32422" i="10"/>
  <c r="D32421" i="10"/>
  <c r="D32420" i="10"/>
  <c r="D32419" i="10"/>
  <c r="D32418" i="10"/>
  <c r="D32417" i="10"/>
  <c r="D32416" i="10"/>
  <c r="D32415" i="10"/>
  <c r="D32414" i="10"/>
  <c r="D32413" i="10"/>
  <c r="D32412" i="10"/>
  <c r="D32411" i="10"/>
  <c r="D32410" i="10"/>
  <c r="D32409" i="10"/>
  <c r="D32408" i="10"/>
  <c r="D32407" i="10"/>
  <c r="D32406" i="10"/>
  <c r="D32405" i="10"/>
  <c r="D32404" i="10"/>
  <c r="D32403" i="10"/>
  <c r="D32402" i="10"/>
  <c r="D32401" i="10"/>
  <c r="D32400" i="10"/>
  <c r="D32399" i="10"/>
  <c r="D32398" i="10"/>
  <c r="D32397" i="10"/>
  <c r="D32396" i="10"/>
  <c r="D32395" i="10"/>
  <c r="D32394" i="10"/>
  <c r="D32393" i="10"/>
  <c r="D32392" i="10"/>
  <c r="D32391" i="10"/>
  <c r="D32390" i="10"/>
  <c r="D32389" i="10"/>
  <c r="D32388" i="10"/>
  <c r="D32387" i="10"/>
  <c r="D32386" i="10"/>
  <c r="D32385" i="10"/>
  <c r="D32384" i="10"/>
  <c r="D32383" i="10"/>
  <c r="D32382" i="10"/>
  <c r="D32381" i="10"/>
  <c r="D32380" i="10"/>
  <c r="D32379" i="10"/>
  <c r="D32378" i="10"/>
  <c r="D32377" i="10"/>
  <c r="D32376" i="10"/>
  <c r="D32375" i="10"/>
  <c r="D32374" i="10"/>
  <c r="D32373" i="10"/>
  <c r="D32372" i="10"/>
  <c r="D32371" i="10"/>
  <c r="D32370" i="10"/>
  <c r="D32369" i="10"/>
  <c r="D32368" i="10"/>
  <c r="D32367" i="10"/>
  <c r="D32366" i="10"/>
  <c r="D32365" i="10"/>
  <c r="D32364" i="10"/>
  <c r="D32363" i="10"/>
  <c r="D32362" i="10"/>
  <c r="D32361" i="10"/>
  <c r="D32360" i="10"/>
  <c r="D32359" i="10"/>
  <c r="D32358" i="10"/>
  <c r="D32357" i="10"/>
  <c r="D32356" i="10"/>
  <c r="D32355" i="10"/>
  <c r="D32354" i="10"/>
  <c r="D32353" i="10"/>
  <c r="D32352" i="10"/>
  <c r="D32351" i="10"/>
  <c r="D32350" i="10"/>
  <c r="D32349" i="10"/>
  <c r="D32348" i="10"/>
  <c r="D32347" i="10"/>
  <c r="D32346" i="10"/>
  <c r="D32345" i="10"/>
  <c r="D32344" i="10"/>
  <c r="D32343" i="10"/>
  <c r="D32342" i="10"/>
  <c r="D32341" i="10"/>
  <c r="D32340" i="10"/>
  <c r="D32339" i="10"/>
  <c r="D32338" i="10"/>
  <c r="D32337" i="10"/>
  <c r="D32336" i="10"/>
  <c r="D32335" i="10"/>
  <c r="D32334" i="10"/>
  <c r="D32333" i="10"/>
  <c r="D32332" i="10"/>
  <c r="D32331" i="10"/>
  <c r="D32330" i="10"/>
  <c r="D32329" i="10"/>
  <c r="D32328" i="10"/>
  <c r="D32327" i="10"/>
  <c r="D32326" i="10"/>
  <c r="D32325" i="10"/>
  <c r="D32324" i="10"/>
  <c r="D32323" i="10"/>
  <c r="D32322" i="10"/>
  <c r="D32321" i="10"/>
  <c r="D32320" i="10"/>
  <c r="D32319" i="10"/>
  <c r="D32318" i="10"/>
  <c r="D32317" i="10"/>
  <c r="D32316" i="10"/>
  <c r="D32315" i="10"/>
  <c r="D32314" i="10"/>
  <c r="D32313" i="10"/>
  <c r="D32312" i="10"/>
  <c r="D32311" i="10"/>
  <c r="D32310" i="10"/>
  <c r="D32309" i="10"/>
  <c r="D32308" i="10"/>
  <c r="D32307" i="10"/>
  <c r="D32306" i="10"/>
  <c r="D32305" i="10"/>
  <c r="D32304" i="10"/>
  <c r="D32303" i="10"/>
  <c r="D32302" i="10"/>
  <c r="D32301" i="10"/>
  <c r="D32300" i="10"/>
  <c r="D32299" i="10"/>
  <c r="D32298" i="10"/>
  <c r="D32297" i="10"/>
  <c r="D32296" i="10"/>
  <c r="D32295" i="10"/>
  <c r="D32294" i="10"/>
  <c r="D32293" i="10"/>
  <c r="D32292" i="10"/>
  <c r="D32291" i="10"/>
  <c r="D32290" i="10"/>
  <c r="D32289" i="10"/>
  <c r="D32288" i="10"/>
  <c r="D32287" i="10"/>
  <c r="D32286" i="10"/>
  <c r="D32285" i="10"/>
  <c r="D32284" i="10"/>
  <c r="D32283" i="10"/>
  <c r="D32282" i="10"/>
  <c r="D32281" i="10"/>
  <c r="D32280" i="10"/>
  <c r="D32279" i="10"/>
  <c r="D32278" i="10"/>
  <c r="D32277" i="10"/>
  <c r="D32276" i="10"/>
  <c r="D32275" i="10"/>
  <c r="D32274" i="10"/>
  <c r="D32273" i="10"/>
  <c r="D32272" i="10"/>
  <c r="D32271" i="10"/>
  <c r="D32270" i="10"/>
  <c r="D32269" i="10"/>
  <c r="D32268" i="10"/>
  <c r="D32267" i="10"/>
  <c r="D32266" i="10"/>
  <c r="D32265" i="10"/>
  <c r="D32264" i="10"/>
  <c r="D32263" i="10"/>
  <c r="D32262" i="10"/>
  <c r="D32261" i="10"/>
  <c r="D32260" i="10"/>
  <c r="D32259" i="10"/>
  <c r="D32258" i="10"/>
  <c r="D32257" i="10"/>
  <c r="D32256" i="10"/>
  <c r="D32255" i="10"/>
  <c r="D32254" i="10"/>
  <c r="D32253" i="10"/>
  <c r="D32252" i="10"/>
  <c r="D32251" i="10"/>
  <c r="D32250" i="10"/>
  <c r="D32249" i="10"/>
  <c r="D32248" i="10"/>
  <c r="D32247" i="10"/>
  <c r="D32246" i="10"/>
  <c r="D32245" i="10"/>
  <c r="D32244" i="10"/>
  <c r="D32243" i="10"/>
  <c r="D32242" i="10"/>
  <c r="D32241" i="10"/>
  <c r="D32240" i="10"/>
  <c r="D32239" i="10"/>
  <c r="D32238" i="10"/>
  <c r="D32237" i="10"/>
  <c r="D32236" i="10"/>
  <c r="D32235" i="10"/>
  <c r="D32234" i="10"/>
  <c r="D32233" i="10"/>
  <c r="D32232" i="10"/>
  <c r="D32231" i="10"/>
  <c r="D32230" i="10"/>
  <c r="D32229" i="10"/>
  <c r="D32228" i="10"/>
  <c r="D32227" i="10"/>
  <c r="D32226" i="10"/>
  <c r="D32225" i="10"/>
  <c r="D32224" i="10"/>
  <c r="D32223" i="10"/>
  <c r="D32222" i="10"/>
  <c r="D32221" i="10"/>
  <c r="D32220" i="10"/>
  <c r="D32219" i="10"/>
  <c r="D32218" i="10"/>
  <c r="D32217" i="10"/>
  <c r="D32216" i="10"/>
  <c r="D32215" i="10"/>
  <c r="D32214" i="10"/>
  <c r="D32213" i="10"/>
  <c r="D32212" i="10"/>
  <c r="D32211" i="10"/>
  <c r="D32210" i="10"/>
  <c r="D32209" i="10"/>
  <c r="D32208" i="10"/>
  <c r="D32207" i="10"/>
  <c r="D32206" i="10"/>
  <c r="D32205" i="10"/>
  <c r="D32204" i="10"/>
  <c r="D32203" i="10"/>
  <c r="D32202" i="10"/>
  <c r="D32201" i="10"/>
  <c r="D32200" i="10"/>
  <c r="D32199" i="10"/>
  <c r="D32198" i="10"/>
  <c r="D32197" i="10"/>
  <c r="D32196" i="10"/>
  <c r="D32195" i="10"/>
  <c r="D32194" i="10"/>
  <c r="D32193" i="10"/>
  <c r="D32192" i="10"/>
  <c r="D32191" i="10"/>
  <c r="D32190" i="10"/>
  <c r="D32189" i="10"/>
  <c r="D32188" i="10"/>
  <c r="D32187" i="10"/>
  <c r="D32186" i="10"/>
  <c r="D32185" i="10"/>
  <c r="D32184" i="10"/>
  <c r="D32183" i="10"/>
  <c r="D32182" i="10"/>
  <c r="D32181" i="10"/>
  <c r="D32180" i="10"/>
  <c r="D32179" i="10"/>
  <c r="D32178" i="10"/>
  <c r="D32177" i="10"/>
  <c r="D32176" i="10"/>
  <c r="D32175" i="10"/>
  <c r="D32174" i="10"/>
  <c r="D32173" i="10"/>
  <c r="D32172" i="10"/>
  <c r="D32171" i="10"/>
  <c r="D32170" i="10"/>
  <c r="D32169" i="10"/>
  <c r="D32168" i="10"/>
  <c r="D32167" i="10"/>
  <c r="D32166" i="10"/>
  <c r="D32165" i="10"/>
  <c r="D32164" i="10"/>
  <c r="D32163" i="10"/>
  <c r="D32162" i="10"/>
  <c r="D32161" i="10"/>
  <c r="D32160" i="10"/>
  <c r="D32159" i="10"/>
  <c r="D32158" i="10"/>
  <c r="D32157" i="10"/>
  <c r="D32156" i="10"/>
  <c r="D32155" i="10"/>
  <c r="D32154" i="10"/>
  <c r="D32153" i="10"/>
  <c r="D32152" i="10"/>
  <c r="D32151" i="10"/>
  <c r="D32150" i="10"/>
  <c r="D32149" i="10"/>
  <c r="D32148" i="10"/>
  <c r="D32147" i="10"/>
  <c r="D32146" i="10"/>
  <c r="D32145" i="10"/>
  <c r="D32144" i="10"/>
  <c r="D32143" i="10"/>
  <c r="D32142" i="10"/>
  <c r="D32141" i="10"/>
  <c r="D32140" i="10"/>
  <c r="D32139" i="10"/>
  <c r="D32138" i="10"/>
  <c r="D32137" i="10"/>
  <c r="D32136" i="10"/>
  <c r="D32135" i="10"/>
  <c r="D32134" i="10"/>
  <c r="D32133" i="10"/>
  <c r="D32132" i="10"/>
  <c r="D32131" i="10"/>
  <c r="D32130" i="10"/>
  <c r="D32129" i="10"/>
  <c r="D32128" i="10"/>
  <c r="D32127" i="10"/>
  <c r="D32126" i="10"/>
  <c r="D32125" i="10"/>
  <c r="D32124" i="10"/>
  <c r="D32123" i="10"/>
  <c r="D32122" i="10"/>
  <c r="D32121" i="10"/>
  <c r="D32120" i="10"/>
  <c r="D32119" i="10"/>
  <c r="D32118" i="10"/>
  <c r="D32117" i="10"/>
  <c r="D32116" i="10"/>
  <c r="D32115" i="10"/>
  <c r="D32114" i="10"/>
  <c r="D32113" i="10"/>
  <c r="D32112" i="10"/>
  <c r="D32111" i="10"/>
  <c r="D32110" i="10"/>
  <c r="D32109" i="10"/>
  <c r="D32108" i="10"/>
  <c r="D32107" i="10"/>
  <c r="D32106" i="10"/>
  <c r="D32105" i="10"/>
  <c r="D32104" i="10"/>
  <c r="D32103" i="10"/>
  <c r="D32102" i="10"/>
  <c r="D32101" i="10"/>
  <c r="D32100" i="10"/>
  <c r="D32099" i="10"/>
  <c r="D32098" i="10"/>
  <c r="D32097" i="10"/>
  <c r="D32096" i="10"/>
  <c r="D32095" i="10"/>
  <c r="D32094" i="10"/>
  <c r="D32093" i="10"/>
  <c r="D32092" i="10"/>
  <c r="D32091" i="10"/>
  <c r="D32090" i="10"/>
  <c r="D32089" i="10"/>
  <c r="D32088" i="10"/>
  <c r="D32087" i="10"/>
  <c r="D32086" i="10"/>
  <c r="D32085" i="10"/>
  <c r="D32084" i="10"/>
  <c r="D32083" i="10"/>
  <c r="D32082" i="10"/>
  <c r="D32081" i="10"/>
  <c r="D32080" i="10"/>
  <c r="D32079" i="10"/>
  <c r="D32078" i="10"/>
  <c r="D32077" i="10"/>
  <c r="D32076" i="10"/>
  <c r="D32075" i="10"/>
  <c r="D32074" i="10"/>
  <c r="D32073" i="10"/>
  <c r="D32072" i="10"/>
  <c r="D32071" i="10"/>
  <c r="D32070" i="10"/>
  <c r="D32069" i="10"/>
  <c r="D32068" i="10"/>
  <c r="D32067" i="10"/>
  <c r="D32066" i="10"/>
  <c r="D32065" i="10"/>
  <c r="D32064" i="10"/>
  <c r="D32063" i="10"/>
  <c r="D32062" i="10"/>
  <c r="D32061" i="10"/>
  <c r="D32060" i="10"/>
  <c r="D32059" i="10"/>
  <c r="D32058" i="10"/>
  <c r="D32057" i="10"/>
  <c r="D32056" i="10"/>
  <c r="D32055" i="10"/>
  <c r="D32054" i="10"/>
  <c r="D32053" i="10"/>
  <c r="D32052" i="10"/>
  <c r="D32051" i="10"/>
  <c r="D32050" i="10"/>
  <c r="D32049" i="10"/>
  <c r="D32048" i="10"/>
  <c r="D32047" i="10"/>
  <c r="D32046" i="10"/>
  <c r="D32045" i="10"/>
  <c r="D32044" i="10"/>
  <c r="D32043" i="10"/>
  <c r="D32042" i="10"/>
  <c r="D32041" i="10"/>
  <c r="D32040" i="10"/>
  <c r="D32039" i="10"/>
  <c r="D32038" i="10"/>
  <c r="D32037" i="10"/>
  <c r="D32036" i="10"/>
  <c r="D32035" i="10"/>
  <c r="D32034" i="10"/>
  <c r="D32033" i="10"/>
  <c r="D32032" i="10"/>
  <c r="D32031" i="10"/>
  <c r="D32030" i="10"/>
  <c r="D32029" i="10"/>
  <c r="D32028" i="10"/>
  <c r="D32027" i="10"/>
  <c r="D32026" i="10"/>
  <c r="D32025" i="10"/>
  <c r="D32024" i="10"/>
  <c r="D32023" i="10"/>
  <c r="D32022" i="10"/>
  <c r="D32021" i="10"/>
  <c r="D32020" i="10"/>
  <c r="D32019" i="10"/>
  <c r="D32018" i="10"/>
  <c r="D32017" i="10"/>
  <c r="D32016" i="10"/>
  <c r="D32015" i="10"/>
  <c r="D32014" i="10"/>
  <c r="D32013" i="10"/>
  <c r="D32012" i="10"/>
  <c r="D32011" i="10"/>
  <c r="D32010" i="10"/>
  <c r="D32009" i="10"/>
  <c r="D32008" i="10"/>
  <c r="D32007" i="10"/>
  <c r="D32006" i="10"/>
  <c r="D32005" i="10"/>
  <c r="D32004" i="10"/>
  <c r="D32003" i="10"/>
  <c r="D32002" i="10"/>
  <c r="D32001" i="10"/>
  <c r="D32000" i="10"/>
  <c r="D31999" i="10"/>
  <c r="D31998" i="10"/>
  <c r="D31997" i="10"/>
  <c r="D31996" i="10"/>
  <c r="D31995" i="10"/>
  <c r="D31994" i="10"/>
  <c r="D31993" i="10"/>
  <c r="D31992" i="10"/>
  <c r="D31991" i="10"/>
  <c r="D31990" i="10"/>
  <c r="D31989" i="10"/>
  <c r="D31988" i="10"/>
  <c r="D31987" i="10"/>
  <c r="D31986" i="10"/>
  <c r="D31985" i="10"/>
  <c r="D31984" i="10"/>
  <c r="D31983" i="10"/>
  <c r="D31982" i="10"/>
  <c r="D31981" i="10"/>
  <c r="D31980" i="10"/>
  <c r="D31979" i="10"/>
  <c r="D31978" i="10"/>
  <c r="D31977" i="10"/>
  <c r="D31976" i="10"/>
  <c r="D31975" i="10"/>
  <c r="D31974" i="10"/>
  <c r="D31973" i="10"/>
  <c r="D31972" i="10"/>
  <c r="D31971" i="10"/>
  <c r="D31970" i="10"/>
  <c r="D31969" i="10"/>
  <c r="D31968" i="10"/>
  <c r="D31967" i="10"/>
  <c r="D31966" i="10"/>
  <c r="D31965" i="10"/>
  <c r="D31964" i="10"/>
  <c r="D31963" i="10"/>
  <c r="D31962" i="10"/>
  <c r="D31961" i="10"/>
  <c r="D31960" i="10"/>
  <c r="D31959" i="10"/>
  <c r="D31958" i="10"/>
  <c r="D31957" i="10"/>
  <c r="D31956" i="10"/>
  <c r="D31955" i="10"/>
  <c r="D31954" i="10"/>
  <c r="D31953" i="10"/>
  <c r="D31952" i="10"/>
  <c r="D31951" i="10"/>
  <c r="D31950" i="10"/>
  <c r="D31949" i="10"/>
  <c r="D31948" i="10"/>
  <c r="D31947" i="10"/>
  <c r="D31946" i="10"/>
  <c r="D31945" i="10"/>
  <c r="D31944" i="10"/>
  <c r="D31943" i="10"/>
  <c r="D31942" i="10"/>
  <c r="D31941" i="10"/>
  <c r="D31940" i="10"/>
  <c r="D31939" i="10"/>
  <c r="D31938" i="10"/>
  <c r="D31937" i="10"/>
  <c r="D31936" i="10"/>
  <c r="D31935" i="10"/>
  <c r="D31934" i="10"/>
  <c r="D31933" i="10"/>
  <c r="D31932" i="10"/>
  <c r="D31931" i="10"/>
  <c r="D31930" i="10"/>
  <c r="D31929" i="10"/>
  <c r="D31928" i="10"/>
  <c r="D31927" i="10"/>
  <c r="D31926" i="10"/>
  <c r="D31925" i="10"/>
  <c r="D31924" i="10"/>
  <c r="D31923" i="10"/>
  <c r="D31922" i="10"/>
  <c r="D31921" i="10"/>
  <c r="D31920" i="10"/>
  <c r="D31919" i="10"/>
  <c r="D31918" i="10"/>
  <c r="D31917" i="10"/>
  <c r="D31916" i="10"/>
  <c r="D31915" i="10"/>
  <c r="D31914" i="10"/>
  <c r="D31913" i="10"/>
  <c r="D31912" i="10"/>
  <c r="D31911" i="10"/>
  <c r="D31910" i="10"/>
  <c r="D31909" i="10"/>
  <c r="D31908" i="10"/>
  <c r="D31907" i="10"/>
  <c r="D31906" i="10"/>
  <c r="D31905" i="10"/>
  <c r="D31904" i="10"/>
  <c r="D31903" i="10"/>
  <c r="D31902" i="10"/>
  <c r="D31901" i="10"/>
  <c r="D31900" i="10"/>
  <c r="D31899" i="10"/>
  <c r="D31898" i="10"/>
  <c r="D31897" i="10"/>
  <c r="D31896" i="10"/>
  <c r="D31895" i="10"/>
  <c r="D31894" i="10"/>
  <c r="D31893" i="10"/>
  <c r="D31892" i="10"/>
  <c r="D31891" i="10"/>
  <c r="D31890" i="10"/>
  <c r="D31889" i="10"/>
  <c r="D31888" i="10"/>
  <c r="D31887" i="10"/>
  <c r="D31886" i="10"/>
  <c r="D31885" i="10"/>
  <c r="D31884" i="10"/>
  <c r="D31883" i="10"/>
  <c r="D31882" i="10"/>
  <c r="D31881" i="10"/>
  <c r="D31880" i="10"/>
  <c r="D31879" i="10"/>
  <c r="D31878" i="10"/>
  <c r="D31877" i="10"/>
  <c r="D31876" i="10"/>
  <c r="D31875" i="10"/>
  <c r="D31874" i="10"/>
  <c r="D31873" i="10"/>
  <c r="D31872" i="10"/>
  <c r="D31871" i="10"/>
  <c r="D31870" i="10"/>
  <c r="D31869" i="10"/>
  <c r="D31868" i="10"/>
  <c r="D31867" i="10"/>
  <c r="D31866" i="10"/>
  <c r="D31865" i="10"/>
  <c r="D31864" i="10"/>
  <c r="D31863" i="10"/>
  <c r="D31862" i="10"/>
  <c r="D31861" i="10"/>
  <c r="D31860" i="10"/>
  <c r="D31859" i="10"/>
  <c r="D31858" i="10"/>
  <c r="D31857" i="10"/>
  <c r="D31856" i="10"/>
  <c r="D31855" i="10"/>
  <c r="D31854" i="10"/>
  <c r="D31853" i="10"/>
  <c r="D31852" i="10"/>
  <c r="D31851" i="10"/>
  <c r="D31850" i="10"/>
  <c r="D31849" i="10"/>
  <c r="D31848" i="10"/>
  <c r="D31847" i="10"/>
  <c r="D31846" i="10"/>
  <c r="D31845" i="10"/>
  <c r="D31844" i="10"/>
  <c r="D31843" i="10"/>
  <c r="D31842" i="10"/>
  <c r="D31841" i="10"/>
  <c r="D31840" i="10"/>
  <c r="D31839" i="10"/>
  <c r="D31838" i="10"/>
  <c r="D31837" i="10"/>
  <c r="D31836" i="10"/>
  <c r="D31835" i="10"/>
  <c r="D31834" i="10"/>
  <c r="D31833" i="10"/>
  <c r="D31832" i="10"/>
  <c r="D31831" i="10"/>
  <c r="D31830" i="10"/>
  <c r="D31829" i="10"/>
  <c r="D31828" i="10"/>
  <c r="D31827" i="10"/>
  <c r="D31826" i="10"/>
  <c r="D31825" i="10"/>
  <c r="D31824" i="10"/>
  <c r="D31823" i="10"/>
  <c r="D31822" i="10"/>
  <c r="D31821" i="10"/>
  <c r="D31820" i="10"/>
  <c r="D31819" i="10"/>
  <c r="D31818" i="10"/>
  <c r="D31817" i="10"/>
  <c r="D31816" i="10"/>
  <c r="D31815" i="10"/>
  <c r="D31814" i="10"/>
  <c r="D31813" i="10"/>
  <c r="D31812" i="10"/>
  <c r="D31811" i="10"/>
  <c r="D31810" i="10"/>
  <c r="D31809" i="10"/>
  <c r="D31808" i="10"/>
  <c r="D31807" i="10"/>
  <c r="D31806" i="10"/>
  <c r="D31805" i="10"/>
  <c r="D31804" i="10"/>
  <c r="D31803" i="10"/>
  <c r="D31802" i="10"/>
  <c r="D31801" i="10"/>
  <c r="D31800" i="10"/>
  <c r="D31799" i="10"/>
  <c r="D31798" i="10"/>
  <c r="D31797" i="10"/>
  <c r="D31796" i="10"/>
  <c r="D31795" i="10"/>
  <c r="D31794" i="10"/>
  <c r="D31793" i="10"/>
  <c r="D31792" i="10"/>
  <c r="D31791" i="10"/>
  <c r="D31790" i="10"/>
  <c r="D31789" i="10"/>
  <c r="D31788" i="10"/>
  <c r="D31787" i="10"/>
  <c r="D31786" i="10"/>
  <c r="D31785" i="10"/>
  <c r="D31784" i="10"/>
  <c r="D31783" i="10"/>
  <c r="D31782" i="10"/>
  <c r="D31781" i="10"/>
  <c r="D31780" i="10"/>
  <c r="D31779" i="10"/>
  <c r="D31778" i="10"/>
  <c r="D31777" i="10"/>
  <c r="D31776" i="10"/>
  <c r="D31775" i="10"/>
  <c r="D31774" i="10"/>
  <c r="D31773" i="10"/>
  <c r="D31772" i="10"/>
  <c r="D31771" i="10"/>
  <c r="D31770" i="10"/>
  <c r="D31769" i="10"/>
  <c r="D31768" i="10"/>
  <c r="D31767" i="10"/>
  <c r="D31766" i="10"/>
  <c r="D31765" i="10"/>
  <c r="D31764" i="10"/>
  <c r="D31763" i="10"/>
  <c r="D31762" i="10"/>
  <c r="D31761" i="10"/>
  <c r="D31760" i="10"/>
  <c r="D31759" i="10"/>
  <c r="D31758" i="10"/>
  <c r="D31757" i="10"/>
  <c r="D31756" i="10"/>
  <c r="D31755" i="10"/>
  <c r="D31754" i="10"/>
  <c r="D31753" i="10"/>
  <c r="D31752" i="10"/>
  <c r="D31751" i="10"/>
  <c r="D31750" i="10"/>
  <c r="D31749" i="10"/>
  <c r="D31748" i="10"/>
  <c r="D31747" i="10"/>
  <c r="D31746" i="10"/>
  <c r="D31745" i="10"/>
  <c r="D31744" i="10"/>
  <c r="D31743" i="10"/>
  <c r="D31742" i="10"/>
  <c r="D31741" i="10"/>
  <c r="D31740" i="10"/>
  <c r="D31739" i="10"/>
  <c r="D31738" i="10"/>
  <c r="D31737" i="10"/>
  <c r="D31736" i="10"/>
  <c r="D31735" i="10"/>
  <c r="D31734" i="10"/>
  <c r="D31733" i="10"/>
  <c r="D31732" i="10"/>
  <c r="D31731" i="10"/>
  <c r="D31730" i="10"/>
  <c r="D31729" i="10"/>
  <c r="D31728" i="10"/>
  <c r="D31727" i="10"/>
  <c r="D31726" i="10"/>
  <c r="D31725" i="10"/>
  <c r="D31724" i="10"/>
  <c r="D31723" i="10"/>
  <c r="D31722" i="10"/>
  <c r="D31721" i="10"/>
  <c r="D31720" i="10"/>
  <c r="D31719" i="10"/>
  <c r="D31718" i="10"/>
  <c r="D31717" i="10"/>
  <c r="D31716" i="10"/>
  <c r="D31715" i="10"/>
  <c r="D31714" i="10"/>
  <c r="D31713" i="10"/>
  <c r="D31712" i="10"/>
  <c r="D31711" i="10"/>
  <c r="D31710" i="10"/>
  <c r="D31709" i="10"/>
  <c r="D31708" i="10"/>
  <c r="D31707" i="10"/>
  <c r="D31706" i="10"/>
  <c r="D31705" i="10"/>
  <c r="D31704" i="10"/>
  <c r="D31703" i="10"/>
  <c r="D31702" i="10"/>
  <c r="D31701" i="10"/>
  <c r="D31700" i="10"/>
  <c r="D31699" i="10"/>
  <c r="D31698" i="10"/>
  <c r="D31697" i="10"/>
  <c r="D31696" i="10"/>
  <c r="D31695" i="10"/>
  <c r="D31694" i="10"/>
  <c r="D31693" i="10"/>
  <c r="D31692" i="10"/>
  <c r="D31691" i="10"/>
  <c r="D31690" i="10"/>
  <c r="D31689" i="10"/>
  <c r="D31688" i="10"/>
  <c r="D31687" i="10"/>
  <c r="D31686" i="10"/>
  <c r="D31685" i="10"/>
  <c r="D31684" i="10"/>
  <c r="D31683" i="10"/>
  <c r="D31682" i="10"/>
  <c r="D31681" i="10"/>
  <c r="D31680" i="10"/>
  <c r="D31679" i="10"/>
  <c r="D31678" i="10"/>
  <c r="D31677" i="10"/>
  <c r="D31676" i="10"/>
  <c r="D31675" i="10"/>
  <c r="D31674" i="10"/>
  <c r="D31673" i="10"/>
  <c r="D31672" i="10"/>
  <c r="D31671" i="10"/>
  <c r="D31670" i="10"/>
  <c r="D31669" i="10"/>
  <c r="D31668" i="10"/>
  <c r="D31667" i="10"/>
  <c r="D31666" i="10"/>
  <c r="D31665" i="10"/>
  <c r="D31664" i="10"/>
  <c r="D31663" i="10"/>
  <c r="D31662" i="10"/>
  <c r="D31661" i="10"/>
  <c r="D31660" i="10"/>
  <c r="D31659" i="10"/>
  <c r="D31658" i="10"/>
  <c r="D31657" i="10"/>
  <c r="D31656" i="10"/>
  <c r="D31655" i="10"/>
  <c r="D31654" i="10"/>
  <c r="D31653" i="10"/>
  <c r="D31652" i="10"/>
  <c r="D31651" i="10"/>
  <c r="D31650" i="10"/>
  <c r="D31649" i="10"/>
  <c r="D31648" i="10"/>
  <c r="D31647" i="10"/>
  <c r="D31646" i="10"/>
  <c r="D31645" i="10"/>
  <c r="D31644" i="10"/>
  <c r="D31643" i="10"/>
  <c r="D31642" i="10"/>
  <c r="D31641" i="10"/>
  <c r="D31640" i="10"/>
  <c r="D31639" i="10"/>
  <c r="D31638" i="10"/>
  <c r="D31637" i="10"/>
  <c r="D31636" i="10"/>
  <c r="D31635" i="10"/>
  <c r="D31634" i="10"/>
  <c r="D31633" i="10"/>
  <c r="D31632" i="10"/>
  <c r="D31631" i="10"/>
  <c r="D31630" i="10"/>
  <c r="D31629" i="10"/>
  <c r="D31628" i="10"/>
  <c r="D31627" i="10"/>
  <c r="D31626" i="10"/>
  <c r="D31625" i="10"/>
  <c r="D31624" i="10"/>
  <c r="D31623" i="10"/>
  <c r="D31622" i="10"/>
  <c r="D31621" i="10"/>
  <c r="D31620" i="10"/>
  <c r="D31619" i="10"/>
  <c r="D31618" i="10"/>
  <c r="D31617" i="10"/>
  <c r="D31616" i="10"/>
  <c r="D31615" i="10"/>
  <c r="D31614" i="10"/>
  <c r="D31613" i="10"/>
  <c r="D31612" i="10"/>
  <c r="D31611" i="10"/>
  <c r="D31610" i="10"/>
  <c r="D31609" i="10"/>
  <c r="D31608" i="10"/>
  <c r="D31607" i="10"/>
  <c r="D31606" i="10"/>
  <c r="D31605" i="10"/>
  <c r="D31604" i="10"/>
  <c r="D31603" i="10"/>
  <c r="D31602" i="10"/>
  <c r="D31601" i="10"/>
  <c r="D31600" i="10"/>
  <c r="D31599" i="10"/>
  <c r="D31598" i="10"/>
  <c r="D31597" i="10"/>
  <c r="D31596" i="10"/>
  <c r="D31595" i="10"/>
  <c r="D31594" i="10"/>
  <c r="D31593" i="10"/>
  <c r="D31592" i="10"/>
  <c r="D31591" i="10"/>
  <c r="D31590" i="10"/>
  <c r="D31589" i="10"/>
  <c r="D31588" i="10"/>
  <c r="D31587" i="10"/>
  <c r="D31586" i="10"/>
  <c r="D31585" i="10"/>
  <c r="D31584" i="10"/>
  <c r="D31583" i="10"/>
  <c r="D31582" i="10"/>
  <c r="D31581" i="10"/>
  <c r="D31580" i="10"/>
  <c r="D31579" i="10"/>
  <c r="D31578" i="10"/>
  <c r="D31577" i="10"/>
  <c r="D31576" i="10"/>
  <c r="D31575" i="10"/>
  <c r="D31574" i="10"/>
  <c r="D31573" i="10"/>
  <c r="D31572" i="10"/>
  <c r="D31571" i="10"/>
  <c r="D31570" i="10"/>
  <c r="D31569" i="10"/>
  <c r="D31568" i="10"/>
  <c r="D31567" i="10"/>
  <c r="D31566" i="10"/>
  <c r="D31565" i="10"/>
  <c r="D31564" i="10"/>
  <c r="D31563" i="10"/>
  <c r="D31562" i="10"/>
  <c r="D31561" i="10"/>
  <c r="D31560" i="10"/>
  <c r="D31559" i="10"/>
  <c r="D31558" i="10"/>
  <c r="D31557" i="10"/>
  <c r="D31556" i="10"/>
  <c r="D31555" i="10"/>
  <c r="D31554" i="10"/>
  <c r="D31553" i="10"/>
  <c r="D31552" i="10"/>
  <c r="D31551" i="10"/>
  <c r="D31550" i="10"/>
  <c r="D31549" i="10"/>
  <c r="D31548" i="10"/>
  <c r="D31547" i="10"/>
  <c r="D31546" i="10"/>
  <c r="D31545" i="10"/>
  <c r="D31544" i="10"/>
  <c r="D31543" i="10"/>
  <c r="D31542" i="10"/>
  <c r="D31541" i="10"/>
  <c r="D31540" i="10"/>
  <c r="D31539" i="10"/>
  <c r="D31538" i="10"/>
  <c r="D31537" i="10"/>
  <c r="D31536" i="10"/>
  <c r="D31535" i="10"/>
  <c r="D31534" i="10"/>
  <c r="D31533" i="10"/>
  <c r="D31532" i="10"/>
  <c r="D31531" i="10"/>
  <c r="D31530" i="10"/>
  <c r="D31529" i="10"/>
  <c r="D31528" i="10"/>
  <c r="D31527" i="10"/>
  <c r="D31526" i="10"/>
  <c r="D31525" i="10"/>
  <c r="D31524" i="10"/>
  <c r="D31523" i="10"/>
  <c r="D31522" i="10"/>
  <c r="D31521" i="10"/>
  <c r="D31520" i="10"/>
  <c r="D31519" i="10"/>
  <c r="D31518" i="10"/>
  <c r="D31517" i="10"/>
  <c r="D31516" i="10"/>
  <c r="D31515" i="10"/>
  <c r="D31514" i="10"/>
  <c r="D31513" i="10"/>
  <c r="D31512" i="10"/>
  <c r="D31511" i="10"/>
  <c r="D31510" i="10"/>
  <c r="D31509" i="10"/>
  <c r="D31508" i="10"/>
  <c r="D31507" i="10"/>
  <c r="D31506" i="10"/>
  <c r="D31505" i="10"/>
  <c r="D31504" i="10"/>
  <c r="D31503" i="10"/>
  <c r="D31502" i="10"/>
  <c r="D31501" i="10"/>
  <c r="D31500" i="10"/>
  <c r="D31499" i="10"/>
  <c r="D31498" i="10"/>
  <c r="D31497" i="10"/>
  <c r="D31496" i="10"/>
  <c r="D31495" i="10"/>
  <c r="D31494" i="10"/>
  <c r="D31493" i="10"/>
  <c r="D31492" i="10"/>
  <c r="D31491" i="10"/>
  <c r="D31490" i="10"/>
  <c r="D31489" i="10"/>
  <c r="D31488" i="10"/>
  <c r="D31487" i="10"/>
  <c r="D31486" i="10"/>
  <c r="D31485" i="10"/>
  <c r="D31484" i="10"/>
  <c r="D31483" i="10"/>
  <c r="D31482" i="10"/>
  <c r="D31481" i="10"/>
  <c r="D31480" i="10"/>
  <c r="D31479" i="10"/>
  <c r="D31478" i="10"/>
  <c r="D31477" i="10"/>
  <c r="D31476" i="10"/>
  <c r="D31475" i="10"/>
  <c r="D31474" i="10"/>
  <c r="D31473" i="10"/>
  <c r="D31472" i="10"/>
  <c r="D31471" i="10"/>
  <c r="D31470" i="10"/>
  <c r="D31469" i="10"/>
  <c r="D31468" i="10"/>
  <c r="D31467" i="10"/>
  <c r="D31466" i="10"/>
  <c r="D31465" i="10"/>
  <c r="D31464" i="10"/>
  <c r="D31463" i="10"/>
  <c r="D31462" i="10"/>
  <c r="D31461" i="10"/>
  <c r="D31460" i="10"/>
  <c r="D31459" i="10"/>
  <c r="D31458" i="10"/>
  <c r="D31457" i="10"/>
  <c r="D31456" i="10"/>
  <c r="D31455" i="10"/>
  <c r="D31454" i="10"/>
  <c r="D31453" i="10"/>
  <c r="D31452" i="10"/>
  <c r="D31451" i="10"/>
  <c r="D31450" i="10"/>
  <c r="D31449" i="10"/>
  <c r="D31448" i="10"/>
  <c r="D31447" i="10"/>
  <c r="D31446" i="10"/>
  <c r="D31445" i="10"/>
  <c r="D31444" i="10"/>
  <c r="D31443" i="10"/>
  <c r="D31442" i="10"/>
  <c r="D31441" i="10"/>
  <c r="D31440" i="10"/>
  <c r="D31439" i="10"/>
  <c r="D31438" i="10"/>
  <c r="D31437" i="10"/>
  <c r="D31436" i="10"/>
  <c r="D31435" i="10"/>
  <c r="D31434" i="10"/>
  <c r="D31433" i="10"/>
  <c r="D31432" i="10"/>
  <c r="D31431" i="10"/>
  <c r="D31430" i="10"/>
  <c r="D31429" i="10"/>
  <c r="D31428" i="10"/>
  <c r="D31427" i="10"/>
  <c r="D31426" i="10"/>
  <c r="D31425" i="10"/>
  <c r="D31424" i="10"/>
  <c r="D31423" i="10"/>
  <c r="D31422" i="10"/>
  <c r="D31421" i="10"/>
  <c r="D31420" i="10"/>
  <c r="D31419" i="10"/>
  <c r="D31418" i="10"/>
  <c r="D31417" i="10"/>
  <c r="D31416" i="10"/>
  <c r="D31415" i="10"/>
  <c r="D31414" i="10"/>
  <c r="D31413" i="10"/>
  <c r="D31412" i="10"/>
  <c r="D31411" i="10"/>
  <c r="D31410" i="10"/>
  <c r="D31409" i="10"/>
  <c r="D31408" i="10"/>
  <c r="D31407" i="10"/>
  <c r="D31406" i="10"/>
  <c r="D31405" i="10"/>
  <c r="D31404" i="10"/>
  <c r="D31403" i="10"/>
  <c r="D31402" i="10"/>
  <c r="D31401" i="10"/>
  <c r="D31400" i="10"/>
  <c r="D31399" i="10"/>
  <c r="D31398" i="10"/>
  <c r="D31397" i="10"/>
  <c r="D31396" i="10"/>
  <c r="D31395" i="10"/>
  <c r="D31394" i="10"/>
  <c r="D31393" i="10"/>
  <c r="D31392" i="10"/>
  <c r="D31391" i="10"/>
  <c r="D31390" i="10"/>
  <c r="D31389" i="10"/>
  <c r="D31388" i="10"/>
  <c r="D31387" i="10"/>
  <c r="D31386" i="10"/>
  <c r="D31385" i="10"/>
  <c r="D31384" i="10"/>
  <c r="D31383" i="10"/>
  <c r="D31382" i="10"/>
  <c r="D31381" i="10"/>
  <c r="D31380" i="10"/>
  <c r="D31379" i="10"/>
  <c r="D31378" i="10"/>
  <c r="D31377" i="10"/>
  <c r="D31376" i="10"/>
  <c r="D31375" i="10"/>
  <c r="D31374" i="10"/>
  <c r="D31373" i="10"/>
  <c r="D31372" i="10"/>
  <c r="D31371" i="10"/>
  <c r="D31370" i="10"/>
  <c r="D31369" i="10"/>
  <c r="D31368" i="10"/>
  <c r="D31367" i="10"/>
  <c r="D31366" i="10"/>
  <c r="D31365" i="10"/>
  <c r="D31364" i="10"/>
  <c r="D31363" i="10"/>
  <c r="D31362" i="10"/>
  <c r="D31361" i="10"/>
  <c r="D31360" i="10"/>
  <c r="D31359" i="10"/>
  <c r="D31358" i="10"/>
  <c r="D31357" i="10"/>
  <c r="D31356" i="10"/>
  <c r="D31355" i="10"/>
  <c r="D31354" i="10"/>
  <c r="D31353" i="10"/>
  <c r="D31352" i="10"/>
  <c r="D31351" i="10"/>
  <c r="D31350" i="10"/>
  <c r="D31349" i="10"/>
  <c r="D31348" i="10"/>
  <c r="D31347" i="10"/>
  <c r="D31346" i="10"/>
  <c r="D31345" i="10"/>
  <c r="D31344" i="10"/>
  <c r="D31343" i="10"/>
  <c r="D31342" i="10"/>
  <c r="D31341" i="10"/>
  <c r="D31340" i="10"/>
  <c r="D31339" i="10"/>
  <c r="D31338" i="10"/>
  <c r="D31337" i="10"/>
  <c r="D31336" i="10"/>
  <c r="D31335" i="10"/>
  <c r="D31334" i="10"/>
  <c r="D31333" i="10"/>
  <c r="D31332" i="10"/>
  <c r="D31331" i="10"/>
  <c r="D31330" i="10"/>
  <c r="D31329" i="10"/>
  <c r="D31328" i="10"/>
  <c r="D31327" i="10"/>
  <c r="D31326" i="10"/>
  <c r="D31325" i="10"/>
  <c r="D31324" i="10"/>
  <c r="D31323" i="10"/>
  <c r="D31322" i="10"/>
  <c r="D31321" i="10"/>
  <c r="D31320" i="10"/>
  <c r="D31319" i="10"/>
  <c r="D31318" i="10"/>
  <c r="D31317" i="10"/>
  <c r="D31316" i="10"/>
  <c r="D31315" i="10"/>
  <c r="D31314" i="10"/>
  <c r="D31313" i="10"/>
  <c r="D31312" i="10"/>
  <c r="D31311" i="10"/>
  <c r="D31310" i="10"/>
  <c r="D31309" i="10"/>
  <c r="D31308" i="10"/>
  <c r="D31307" i="10"/>
  <c r="D31306" i="10"/>
  <c r="D31305" i="10"/>
  <c r="D31304" i="10"/>
  <c r="D31303" i="10"/>
  <c r="D31302" i="10"/>
  <c r="D31301" i="10"/>
  <c r="D31300" i="10"/>
  <c r="D31299" i="10"/>
  <c r="D31298" i="10"/>
  <c r="D31297" i="10"/>
  <c r="D31296" i="10"/>
  <c r="D31295" i="10"/>
  <c r="D31294" i="10"/>
  <c r="D31293" i="10"/>
  <c r="D31292" i="10"/>
  <c r="D31291" i="10"/>
  <c r="D31290" i="10"/>
  <c r="D31289" i="10"/>
  <c r="D31288" i="10"/>
  <c r="D31287" i="10"/>
  <c r="D31286" i="10"/>
  <c r="D31285" i="10"/>
  <c r="D31284" i="10"/>
  <c r="D31283" i="10"/>
  <c r="D31282" i="10"/>
  <c r="D31281" i="10"/>
  <c r="D31280" i="10"/>
  <c r="D31279" i="10"/>
  <c r="D31278" i="10"/>
  <c r="D31277" i="10"/>
  <c r="D31276" i="10"/>
  <c r="D31275" i="10"/>
  <c r="D31274" i="10"/>
  <c r="D31273" i="10"/>
  <c r="D31272" i="10"/>
  <c r="D31271" i="10"/>
  <c r="D31270" i="10"/>
  <c r="D31269" i="10"/>
  <c r="D31268" i="10"/>
  <c r="D31267" i="10"/>
  <c r="D31266" i="10"/>
  <c r="D31265" i="10"/>
  <c r="D31264" i="10"/>
  <c r="D31263" i="10"/>
  <c r="D31262" i="10"/>
  <c r="D31261" i="10"/>
  <c r="D31260" i="10"/>
  <c r="D31259" i="10"/>
  <c r="D31258" i="10"/>
  <c r="D31257" i="10"/>
  <c r="D31256" i="10"/>
  <c r="D31255" i="10"/>
  <c r="D31254" i="10"/>
  <c r="D31253" i="10"/>
  <c r="D31252" i="10"/>
  <c r="D31251" i="10"/>
  <c r="D31250" i="10"/>
  <c r="D31249" i="10"/>
  <c r="D31248" i="10"/>
  <c r="D31247" i="10"/>
  <c r="D31246" i="10"/>
  <c r="D31245" i="10"/>
  <c r="D31244" i="10"/>
  <c r="D31243" i="10"/>
  <c r="D31242" i="10"/>
  <c r="D31241" i="10"/>
  <c r="D31240" i="10"/>
  <c r="D31239" i="10"/>
  <c r="D31238" i="10"/>
  <c r="D31237" i="10"/>
  <c r="D31236" i="10"/>
  <c r="D31235" i="10"/>
  <c r="D31234" i="10"/>
  <c r="D31233" i="10"/>
  <c r="D31232" i="10"/>
  <c r="D31231" i="10"/>
  <c r="D31230" i="10"/>
  <c r="D31229" i="10"/>
  <c r="D31228" i="10"/>
  <c r="D31227" i="10"/>
  <c r="D31226" i="10"/>
  <c r="D31225" i="10"/>
  <c r="D31224" i="10"/>
  <c r="D31223" i="10"/>
  <c r="D31222" i="10"/>
  <c r="D31221" i="10"/>
  <c r="D31220" i="10"/>
  <c r="D31219" i="10"/>
  <c r="D31218" i="10"/>
  <c r="D31217" i="10"/>
  <c r="D31216" i="10"/>
  <c r="D31215" i="10"/>
  <c r="D31214" i="10"/>
  <c r="D31213" i="10"/>
  <c r="D31212" i="10"/>
  <c r="D31211" i="10"/>
  <c r="D31210" i="10"/>
  <c r="D31209" i="10"/>
  <c r="D31208" i="10"/>
  <c r="D31207" i="10"/>
  <c r="D31206" i="10"/>
  <c r="D31205" i="10"/>
  <c r="D31204" i="10"/>
  <c r="D31203" i="10"/>
  <c r="D31202" i="10"/>
  <c r="D31201" i="10"/>
  <c r="D31200" i="10"/>
  <c r="D31199" i="10"/>
  <c r="D31198" i="10"/>
  <c r="D31197" i="10"/>
  <c r="D31196" i="10"/>
  <c r="D31195" i="10"/>
  <c r="D31194" i="10"/>
  <c r="D31193" i="10"/>
  <c r="D31192" i="10"/>
  <c r="D31191" i="10"/>
  <c r="D31190" i="10"/>
  <c r="D31189" i="10"/>
  <c r="D31188" i="10"/>
  <c r="D31187" i="10"/>
  <c r="D31186" i="10"/>
  <c r="D31185" i="10"/>
  <c r="D31184" i="10"/>
  <c r="D31183" i="10"/>
  <c r="D31182" i="10"/>
  <c r="D31181" i="10"/>
  <c r="D31180" i="10"/>
  <c r="D31179" i="10"/>
  <c r="D31178" i="10"/>
  <c r="D31177" i="10"/>
  <c r="D31176" i="10"/>
  <c r="D31175" i="10"/>
  <c r="D31174" i="10"/>
  <c r="D31173" i="10"/>
  <c r="D31172" i="10"/>
  <c r="D31171" i="10"/>
  <c r="D31170" i="10"/>
  <c r="D31169" i="10"/>
  <c r="D31168" i="10"/>
  <c r="D31167" i="10"/>
  <c r="D31166" i="10"/>
  <c r="D31165" i="10"/>
  <c r="D31164" i="10"/>
  <c r="D31163" i="10"/>
  <c r="D31162" i="10"/>
  <c r="D31161" i="10"/>
  <c r="D31160" i="10"/>
  <c r="D31159" i="10"/>
  <c r="D31158" i="10"/>
  <c r="D31157" i="10"/>
  <c r="D31156" i="10"/>
  <c r="D31155" i="10"/>
  <c r="D31154" i="10"/>
  <c r="D31153" i="10"/>
  <c r="D31152" i="10"/>
  <c r="D31151" i="10"/>
  <c r="D31150" i="10"/>
  <c r="D31149" i="10"/>
  <c r="D31148" i="10"/>
  <c r="D31147" i="10"/>
  <c r="D31146" i="10"/>
  <c r="D31145" i="10"/>
  <c r="D31144" i="10"/>
  <c r="D31143" i="10"/>
  <c r="D31142" i="10"/>
  <c r="D31141" i="10"/>
  <c r="D31140" i="10"/>
  <c r="D31139" i="10"/>
  <c r="D31138" i="10"/>
  <c r="D31137" i="10"/>
  <c r="D31136" i="10"/>
  <c r="D31135" i="10"/>
  <c r="D31134" i="10"/>
  <c r="D31133" i="10"/>
  <c r="D31132" i="10"/>
  <c r="D31131" i="10"/>
  <c r="D31130" i="10"/>
  <c r="D31129" i="10"/>
  <c r="D31128" i="10"/>
  <c r="D31127" i="10"/>
  <c r="D31126" i="10"/>
  <c r="D31125" i="10"/>
  <c r="D31124" i="10"/>
  <c r="D31123" i="10"/>
  <c r="D31122" i="10"/>
  <c r="D31121" i="10"/>
  <c r="D31120" i="10"/>
  <c r="D31119" i="10"/>
  <c r="D31118" i="10"/>
  <c r="D31117" i="10"/>
  <c r="D31116" i="10"/>
  <c r="D31115" i="10"/>
  <c r="D31114" i="10"/>
  <c r="D31113" i="10"/>
  <c r="D31112" i="10"/>
  <c r="D31111" i="10"/>
  <c r="D31110" i="10"/>
  <c r="D31109" i="10"/>
  <c r="D31108" i="10"/>
  <c r="D31107" i="10"/>
  <c r="D31106" i="10"/>
  <c r="D31105" i="10"/>
  <c r="D31104" i="10"/>
  <c r="D31103" i="10"/>
  <c r="D31102" i="10"/>
  <c r="D31101" i="10"/>
  <c r="D31100" i="10"/>
  <c r="D31099" i="10"/>
  <c r="D31098" i="10"/>
  <c r="D31097" i="10"/>
  <c r="D31096" i="10"/>
  <c r="D31095" i="10"/>
  <c r="D31094" i="10"/>
  <c r="D31093" i="10"/>
  <c r="D31092" i="10"/>
  <c r="D31091" i="10"/>
  <c r="D31090" i="10"/>
  <c r="D31089" i="10"/>
  <c r="D31088" i="10"/>
  <c r="D31087" i="10"/>
  <c r="D31086" i="10"/>
  <c r="D31085" i="10"/>
  <c r="D31084" i="10"/>
  <c r="D31083" i="10"/>
  <c r="D31082" i="10"/>
  <c r="D31081" i="10"/>
  <c r="D31080" i="10"/>
  <c r="D31079" i="10"/>
  <c r="D31078" i="10"/>
  <c r="D31077" i="10"/>
  <c r="D31076" i="10"/>
  <c r="D31075" i="10"/>
  <c r="D31074" i="10"/>
  <c r="D31073" i="10"/>
  <c r="D31072" i="10"/>
  <c r="D31071" i="10"/>
  <c r="D31070" i="10"/>
  <c r="D31069" i="10"/>
  <c r="D31068" i="10"/>
  <c r="D31067" i="10"/>
  <c r="D31066" i="10"/>
  <c r="D31065" i="10"/>
  <c r="D31064" i="10"/>
  <c r="D31063" i="10"/>
  <c r="D31062" i="10"/>
  <c r="D31061" i="10"/>
  <c r="D31060" i="10"/>
  <c r="D31059" i="10"/>
  <c r="D31058" i="10"/>
  <c r="D31057" i="10"/>
  <c r="D31056" i="10"/>
  <c r="D31055" i="10"/>
  <c r="D31054" i="10"/>
  <c r="D31053" i="10"/>
  <c r="D31052" i="10"/>
  <c r="D31051" i="10"/>
  <c r="D31050" i="10"/>
  <c r="D31049" i="10"/>
  <c r="D31048" i="10"/>
  <c r="D31047" i="10"/>
  <c r="D31046" i="10"/>
  <c r="D31045" i="10"/>
  <c r="D31044" i="10"/>
  <c r="D31043" i="10"/>
  <c r="D31042" i="10"/>
  <c r="D31041" i="10"/>
  <c r="D31040" i="10"/>
  <c r="D31039" i="10"/>
  <c r="D31038" i="10"/>
  <c r="D31037" i="10"/>
  <c r="D31036" i="10"/>
  <c r="D31035" i="10"/>
  <c r="D31034" i="10"/>
  <c r="D31033" i="10"/>
  <c r="D31032" i="10"/>
  <c r="D31031" i="10"/>
  <c r="D31030" i="10"/>
  <c r="D31029" i="10"/>
  <c r="D31028" i="10"/>
  <c r="D31027" i="10"/>
  <c r="D31026" i="10"/>
  <c r="D31025" i="10"/>
  <c r="D31024" i="10"/>
  <c r="D31023" i="10"/>
  <c r="D31022" i="10"/>
  <c r="D31021" i="10"/>
  <c r="D31020" i="10"/>
  <c r="D31019" i="10"/>
  <c r="D31018" i="10"/>
  <c r="D31017" i="10"/>
  <c r="D31016" i="10"/>
  <c r="D31015" i="10"/>
  <c r="D31014" i="10"/>
  <c r="D31013" i="10"/>
  <c r="D31012" i="10"/>
  <c r="D31011" i="10"/>
  <c r="D31010" i="10"/>
  <c r="D31009" i="10"/>
  <c r="D31008" i="10"/>
  <c r="D31007" i="10"/>
  <c r="D31006" i="10"/>
  <c r="D31005" i="10"/>
  <c r="D31004" i="10"/>
  <c r="D31003" i="10"/>
  <c r="D31002" i="10"/>
  <c r="D31001" i="10"/>
  <c r="D31000" i="10"/>
  <c r="D30999" i="10"/>
  <c r="D30998" i="10"/>
  <c r="D30997" i="10"/>
  <c r="D30996" i="10"/>
  <c r="D30995" i="10"/>
  <c r="D30994" i="10"/>
  <c r="D30993" i="10"/>
  <c r="D30992" i="10"/>
  <c r="D30991" i="10"/>
  <c r="D30990" i="10"/>
  <c r="D30989" i="10"/>
  <c r="D30988" i="10"/>
  <c r="D30987" i="10"/>
  <c r="D30986" i="10"/>
  <c r="D30985" i="10"/>
  <c r="D30984" i="10"/>
  <c r="D30983" i="10"/>
  <c r="D30982" i="10"/>
  <c r="D30981" i="10"/>
  <c r="D30980" i="10"/>
  <c r="D30979" i="10"/>
  <c r="D30978" i="10"/>
  <c r="D30977" i="10"/>
  <c r="D30976" i="10"/>
  <c r="D30975" i="10"/>
  <c r="D30974" i="10"/>
  <c r="D30973" i="10"/>
  <c r="D30972" i="10"/>
  <c r="D30971" i="10"/>
  <c r="D30970" i="10"/>
  <c r="D30969" i="10"/>
  <c r="D30968" i="10"/>
  <c r="D30967" i="10"/>
  <c r="D30966" i="10"/>
  <c r="D30965" i="10"/>
  <c r="D30964" i="10"/>
  <c r="D30963" i="10"/>
  <c r="D30962" i="10"/>
  <c r="D30961" i="10"/>
  <c r="D30960" i="10"/>
  <c r="D30959" i="10"/>
  <c r="D30958" i="10"/>
  <c r="D30957" i="10"/>
  <c r="D30956" i="10"/>
  <c r="D30955" i="10"/>
  <c r="D30954" i="10"/>
  <c r="D30953" i="10"/>
  <c r="D30952" i="10"/>
  <c r="D30951" i="10"/>
  <c r="D30950" i="10"/>
  <c r="D30949" i="10"/>
  <c r="D30948" i="10"/>
  <c r="D30947" i="10"/>
  <c r="D30946" i="10"/>
  <c r="D30945" i="10"/>
  <c r="D30944" i="10"/>
  <c r="D30943" i="10"/>
  <c r="D30942" i="10"/>
  <c r="D30941" i="10"/>
  <c r="D30940" i="10"/>
  <c r="D30939" i="10"/>
  <c r="D30938" i="10"/>
  <c r="D30937" i="10"/>
  <c r="D30936" i="10"/>
  <c r="D30935" i="10"/>
  <c r="D30934" i="10"/>
  <c r="D30933" i="10"/>
  <c r="D30932" i="10"/>
  <c r="D30931" i="10"/>
  <c r="D30930" i="10"/>
  <c r="D30929" i="10"/>
  <c r="D30928" i="10"/>
  <c r="D30927" i="10"/>
  <c r="D30926" i="10"/>
  <c r="D30925" i="10"/>
  <c r="D30924" i="10"/>
  <c r="D30923" i="10"/>
  <c r="D30922" i="10"/>
  <c r="D30921" i="10"/>
  <c r="D30920" i="10"/>
  <c r="D30919" i="10"/>
  <c r="D30918" i="10"/>
  <c r="D30917" i="10"/>
  <c r="D30916" i="10"/>
  <c r="D30915" i="10"/>
  <c r="D30914" i="10"/>
  <c r="D30913" i="10"/>
  <c r="D30912" i="10"/>
  <c r="D30911" i="10"/>
  <c r="D30910" i="10"/>
  <c r="D30909" i="10"/>
  <c r="D30908" i="10"/>
  <c r="D30907" i="10"/>
  <c r="D30906" i="10"/>
  <c r="D30905" i="10"/>
  <c r="D30904" i="10"/>
  <c r="D30903" i="10"/>
  <c r="D30902" i="10"/>
  <c r="D30901" i="10"/>
  <c r="D30900" i="10"/>
  <c r="D30899" i="10"/>
  <c r="D30898" i="10"/>
  <c r="D30897" i="10"/>
  <c r="D30896" i="10"/>
  <c r="D30895" i="10"/>
  <c r="D30894" i="10"/>
  <c r="D30893" i="10"/>
  <c r="D30892" i="10"/>
  <c r="D30891" i="10"/>
  <c r="D30890" i="10"/>
  <c r="D30889" i="10"/>
  <c r="D30888" i="10"/>
  <c r="D30887" i="10"/>
  <c r="D30886" i="10"/>
  <c r="D30885" i="10"/>
  <c r="D30884" i="10"/>
  <c r="D30883" i="10"/>
  <c r="D30882" i="10"/>
  <c r="D30881" i="10"/>
  <c r="D30880" i="10"/>
  <c r="D30879" i="10"/>
  <c r="D30878" i="10"/>
  <c r="D30877" i="10"/>
  <c r="D30876" i="10"/>
  <c r="D30875" i="10"/>
  <c r="D30874" i="10"/>
  <c r="D30873" i="10"/>
  <c r="D30872" i="10"/>
  <c r="D30871" i="10"/>
  <c r="D30870" i="10"/>
  <c r="D30869" i="10"/>
  <c r="D30868" i="10"/>
  <c r="D30867" i="10"/>
  <c r="D30866" i="10"/>
  <c r="D30865" i="10"/>
  <c r="D30864" i="10"/>
  <c r="D30863" i="10"/>
  <c r="D30862" i="10"/>
  <c r="D30861" i="10"/>
  <c r="D30860" i="10"/>
  <c r="D30859" i="10"/>
  <c r="D30858" i="10"/>
  <c r="D30857" i="10"/>
  <c r="D30856" i="10"/>
  <c r="D30855" i="10"/>
  <c r="D30854" i="10"/>
  <c r="D30853" i="10"/>
  <c r="D30852" i="10"/>
  <c r="D30851" i="10"/>
  <c r="D30850" i="10"/>
  <c r="D30849" i="10"/>
  <c r="D30848" i="10"/>
  <c r="D30847" i="10"/>
  <c r="D30846" i="10"/>
  <c r="D30845" i="10"/>
  <c r="D30844" i="10"/>
  <c r="D30843" i="10"/>
  <c r="D30842" i="10"/>
  <c r="D30841" i="10"/>
  <c r="D30840" i="10"/>
  <c r="D30839" i="10"/>
  <c r="D30838" i="10"/>
  <c r="D30837" i="10"/>
  <c r="D30836" i="10"/>
  <c r="D30835" i="10"/>
  <c r="D30834" i="10"/>
  <c r="D30833" i="10"/>
  <c r="D30832" i="10"/>
  <c r="D30831" i="10"/>
  <c r="D30830" i="10"/>
  <c r="D30829" i="10"/>
  <c r="D30828" i="10"/>
  <c r="D30827" i="10"/>
  <c r="D30826" i="10"/>
  <c r="D30825" i="10"/>
  <c r="D30824" i="10"/>
  <c r="D30823" i="10"/>
  <c r="D30822" i="10"/>
  <c r="D30821" i="10"/>
  <c r="D30820" i="10"/>
  <c r="D30819" i="10"/>
  <c r="D30818" i="10"/>
  <c r="D30817" i="10"/>
  <c r="D30816" i="10"/>
  <c r="D30815" i="10"/>
  <c r="D30814" i="10"/>
  <c r="D30813" i="10"/>
  <c r="D30812" i="10"/>
  <c r="D30811" i="10"/>
  <c r="D30810" i="10"/>
  <c r="D30809" i="10"/>
  <c r="D30808" i="10"/>
  <c r="D30807" i="10"/>
  <c r="D30806" i="10"/>
  <c r="D30805" i="10"/>
  <c r="D30804" i="10"/>
  <c r="D30803" i="10"/>
  <c r="D30802" i="10"/>
  <c r="D30801" i="10"/>
  <c r="D30800" i="10"/>
  <c r="D30799" i="10"/>
  <c r="D30798" i="10"/>
  <c r="D30797" i="10"/>
  <c r="D30796" i="10"/>
  <c r="D30795" i="10"/>
  <c r="D30794" i="10"/>
  <c r="D30793" i="10"/>
  <c r="D30792" i="10"/>
  <c r="D30791" i="10"/>
  <c r="D30790" i="10"/>
  <c r="D30789" i="10"/>
  <c r="D30788" i="10"/>
  <c r="D30787" i="10"/>
  <c r="D30786" i="10"/>
  <c r="D30785" i="10"/>
  <c r="D30784" i="10"/>
  <c r="D30783" i="10"/>
  <c r="D30782" i="10"/>
  <c r="D30781" i="10"/>
  <c r="D30780" i="10"/>
  <c r="D30779" i="10"/>
  <c r="D30778" i="10"/>
  <c r="D30777" i="10"/>
  <c r="D30776" i="10"/>
  <c r="D30775" i="10"/>
  <c r="D30774" i="10"/>
  <c r="D30773" i="10"/>
  <c r="D30772" i="10"/>
  <c r="D30771" i="10"/>
  <c r="D30770" i="10"/>
  <c r="D30769" i="10"/>
  <c r="D30768" i="10"/>
  <c r="D30767" i="10"/>
  <c r="D30766" i="10"/>
  <c r="D30765" i="10"/>
  <c r="D30764" i="10"/>
  <c r="D30763" i="10"/>
  <c r="D30762" i="10"/>
  <c r="D30761" i="10"/>
  <c r="D30760" i="10"/>
  <c r="D30759" i="10"/>
  <c r="D30758" i="10"/>
  <c r="D30757" i="10"/>
  <c r="D30756" i="10"/>
  <c r="D30755" i="10"/>
  <c r="D30754" i="10"/>
  <c r="D30753" i="10"/>
  <c r="D30752" i="10"/>
  <c r="D30751" i="10"/>
  <c r="D30750" i="10"/>
  <c r="D30749" i="10"/>
  <c r="D30748" i="10"/>
  <c r="D30747" i="10"/>
  <c r="D30746" i="10"/>
  <c r="D30745" i="10"/>
  <c r="D30744" i="10"/>
  <c r="D30743" i="10"/>
  <c r="D30742" i="10"/>
  <c r="D30741" i="10"/>
  <c r="D30740" i="10"/>
  <c r="D30739" i="10"/>
  <c r="D30738" i="10"/>
  <c r="D30737" i="10"/>
  <c r="D30736" i="10"/>
  <c r="D30735" i="10"/>
  <c r="D30734" i="10"/>
  <c r="D30733" i="10"/>
  <c r="D30732" i="10"/>
  <c r="D30731" i="10"/>
  <c r="D30730" i="10"/>
  <c r="D30729" i="10"/>
  <c r="D30728" i="10"/>
  <c r="D30727" i="10"/>
  <c r="D30726" i="10"/>
  <c r="D30725" i="10"/>
  <c r="D30724" i="10"/>
  <c r="D30723" i="10"/>
  <c r="D30722" i="10"/>
  <c r="D30721" i="10"/>
  <c r="D30720" i="10"/>
  <c r="D30719" i="10"/>
  <c r="D30718" i="10"/>
  <c r="D30717" i="10"/>
  <c r="D30716" i="10"/>
  <c r="D30715" i="10"/>
  <c r="D30714" i="10"/>
  <c r="D30713" i="10"/>
  <c r="D30712" i="10"/>
  <c r="D30711" i="10"/>
  <c r="D30710" i="10"/>
  <c r="D30709" i="10"/>
  <c r="D30708" i="10"/>
  <c r="D30707" i="10"/>
  <c r="D30706" i="10"/>
  <c r="D30705" i="10"/>
  <c r="D30704" i="10"/>
  <c r="D30703" i="10"/>
  <c r="D30702" i="10"/>
  <c r="D30701" i="10"/>
  <c r="D30700" i="10"/>
  <c r="D30699" i="10"/>
  <c r="D30698" i="10"/>
  <c r="D30697" i="10"/>
  <c r="D30696" i="10"/>
  <c r="D30695" i="10"/>
  <c r="D30694" i="10"/>
  <c r="D30693" i="10"/>
  <c r="D30692" i="10"/>
  <c r="D30691" i="10"/>
  <c r="D30690" i="10"/>
  <c r="D30689" i="10"/>
  <c r="D30688" i="10"/>
  <c r="D30687" i="10"/>
  <c r="D30686" i="10"/>
  <c r="D30685" i="10"/>
  <c r="D30684" i="10"/>
  <c r="D30683" i="10"/>
  <c r="D30682" i="10"/>
  <c r="D30681" i="10"/>
  <c r="D30680" i="10"/>
  <c r="D30679" i="10"/>
  <c r="D30678" i="10"/>
  <c r="D30677" i="10"/>
  <c r="D30676" i="10"/>
  <c r="D30675" i="10"/>
  <c r="D30674" i="10"/>
  <c r="D30673" i="10"/>
  <c r="D30672" i="10"/>
  <c r="D30671" i="10"/>
  <c r="D30670" i="10"/>
  <c r="D30669" i="10"/>
  <c r="D30668" i="10"/>
  <c r="D30667" i="10"/>
  <c r="D30666" i="10"/>
  <c r="D30665" i="10"/>
  <c r="D30664" i="10"/>
  <c r="D30663" i="10"/>
  <c r="D30662" i="10"/>
  <c r="D30661" i="10"/>
  <c r="D30660" i="10"/>
  <c r="D30659" i="10"/>
  <c r="D30658" i="10"/>
  <c r="D30657" i="10"/>
  <c r="D30656" i="10"/>
  <c r="D30655" i="10"/>
  <c r="D30654" i="10"/>
  <c r="D30653" i="10"/>
  <c r="D30652" i="10"/>
  <c r="D30651" i="10"/>
  <c r="D30650" i="10"/>
  <c r="D30649" i="10"/>
  <c r="D30648" i="10"/>
  <c r="D30647" i="10"/>
  <c r="D30646" i="10"/>
  <c r="D30645" i="10"/>
  <c r="D30644" i="10"/>
  <c r="D30643" i="10"/>
  <c r="D30642" i="10"/>
  <c r="D30641" i="10"/>
  <c r="D30640" i="10"/>
  <c r="D30639" i="10"/>
  <c r="D30638" i="10"/>
  <c r="D30637" i="10"/>
  <c r="D30636" i="10"/>
  <c r="D30635" i="10"/>
  <c r="D30634" i="10"/>
  <c r="D30633" i="10"/>
  <c r="D30632" i="10"/>
  <c r="D30631" i="10"/>
  <c r="D30630" i="10"/>
  <c r="D30629" i="10"/>
  <c r="D30628" i="10"/>
  <c r="D30627" i="10"/>
  <c r="D30626" i="10"/>
  <c r="D30625" i="10"/>
  <c r="D30624" i="10"/>
  <c r="D30623" i="10"/>
  <c r="D30622" i="10"/>
  <c r="D30621" i="10"/>
  <c r="D30620" i="10"/>
  <c r="D30619" i="10"/>
  <c r="D30618" i="10"/>
  <c r="D30617" i="10"/>
  <c r="D30616" i="10"/>
  <c r="D30615" i="10"/>
  <c r="D30614" i="10"/>
  <c r="D30613" i="10"/>
  <c r="D30612" i="10"/>
  <c r="D30611" i="10"/>
  <c r="D30610" i="10"/>
  <c r="D30609" i="10"/>
  <c r="D30608" i="10"/>
  <c r="D30607" i="10"/>
  <c r="D30606" i="10"/>
  <c r="D30605" i="10"/>
  <c r="D30604" i="10"/>
  <c r="D30603" i="10"/>
  <c r="D30602" i="10"/>
  <c r="D30601" i="10"/>
  <c r="D30600" i="10"/>
  <c r="D30599" i="10"/>
  <c r="D30598" i="10"/>
  <c r="D30597" i="10"/>
  <c r="D30596" i="10"/>
  <c r="D30595" i="10"/>
  <c r="D30594" i="10"/>
  <c r="D30593" i="10"/>
  <c r="D30592" i="10"/>
  <c r="D30591" i="10"/>
  <c r="D30590" i="10"/>
  <c r="D30589" i="10"/>
  <c r="D30588" i="10"/>
  <c r="D30587" i="10"/>
  <c r="D30586" i="10"/>
  <c r="D30585" i="10"/>
  <c r="D30584" i="10"/>
  <c r="D30583" i="10"/>
  <c r="D30582" i="10"/>
  <c r="D30581" i="10"/>
  <c r="D30580" i="10"/>
  <c r="D30579" i="10"/>
  <c r="D30578" i="10"/>
  <c r="D30577" i="10"/>
  <c r="D30576" i="10"/>
  <c r="D30575" i="10"/>
  <c r="D30574" i="10"/>
  <c r="D30573" i="10"/>
  <c r="D30572" i="10"/>
  <c r="D30571" i="10"/>
  <c r="D30570" i="10"/>
  <c r="D30569" i="10"/>
  <c r="D30568" i="10"/>
  <c r="D30567" i="10"/>
  <c r="D30566" i="10"/>
  <c r="D30565" i="10"/>
  <c r="D30564" i="10"/>
  <c r="D30563" i="10"/>
  <c r="D30562" i="10"/>
  <c r="D30561" i="10"/>
  <c r="D30560" i="10"/>
  <c r="D30559" i="10"/>
  <c r="D30558" i="10"/>
  <c r="D30557" i="10"/>
  <c r="D30556" i="10"/>
  <c r="D30555" i="10"/>
  <c r="D30554" i="10"/>
  <c r="D30553" i="10"/>
  <c r="D30552" i="10"/>
  <c r="D30551" i="10"/>
  <c r="D30550" i="10"/>
  <c r="D30549" i="10"/>
  <c r="D30548" i="10"/>
  <c r="D30547" i="10"/>
  <c r="D30546" i="10"/>
  <c r="D30545" i="10"/>
  <c r="D30544" i="10"/>
  <c r="D30543" i="10"/>
  <c r="D30542" i="10"/>
  <c r="D30541" i="10"/>
  <c r="D30540" i="10"/>
  <c r="D30539" i="10"/>
  <c r="D30538" i="10"/>
  <c r="D30537" i="10"/>
  <c r="D30536" i="10"/>
  <c r="D30535" i="10"/>
  <c r="D30534" i="10"/>
  <c r="D30533" i="10"/>
  <c r="D30532" i="10"/>
  <c r="D30531" i="10"/>
  <c r="D30530" i="10"/>
  <c r="D30529" i="10"/>
  <c r="D30528" i="10"/>
  <c r="D30527" i="10"/>
  <c r="D30526" i="10"/>
  <c r="D30525" i="10"/>
  <c r="D30524" i="10"/>
  <c r="D30523" i="10"/>
  <c r="D30522" i="10"/>
  <c r="D30521" i="10"/>
  <c r="D30520" i="10"/>
  <c r="D30519" i="10"/>
  <c r="D30518" i="10"/>
  <c r="D30517" i="10"/>
  <c r="D30516" i="10"/>
  <c r="D30515" i="10"/>
  <c r="D30514" i="10"/>
  <c r="D30513" i="10"/>
  <c r="D30512" i="10"/>
  <c r="D30511" i="10"/>
  <c r="D30510" i="10"/>
  <c r="D30509" i="10"/>
  <c r="D30508" i="10"/>
  <c r="D30507" i="10"/>
  <c r="D30506" i="10"/>
  <c r="D30505" i="10"/>
  <c r="D30504" i="10"/>
  <c r="D30503" i="10"/>
  <c r="D30502" i="10"/>
  <c r="D30501" i="10"/>
  <c r="D30500" i="10"/>
  <c r="D30499" i="10"/>
  <c r="D30498" i="10"/>
  <c r="D30497" i="10"/>
  <c r="D30496" i="10"/>
  <c r="D30495" i="10"/>
  <c r="D30494" i="10"/>
  <c r="D30493" i="10"/>
  <c r="D30492" i="10"/>
  <c r="D30491" i="10"/>
  <c r="D30490" i="10"/>
  <c r="D30489" i="10"/>
  <c r="D30488" i="10"/>
  <c r="D30487" i="10"/>
  <c r="D30486" i="10"/>
  <c r="D30485" i="10"/>
  <c r="D30484" i="10"/>
  <c r="D30483" i="10"/>
  <c r="D30482" i="10"/>
  <c r="D30481" i="10"/>
  <c r="D30480" i="10"/>
  <c r="D30479" i="10"/>
  <c r="D30478" i="10"/>
  <c r="D30477" i="10"/>
  <c r="D30476" i="10"/>
  <c r="D30475" i="10"/>
  <c r="D30474" i="10"/>
  <c r="D30473" i="10"/>
  <c r="D30472" i="10"/>
  <c r="D30471" i="10"/>
  <c r="D30470" i="10"/>
  <c r="D30469" i="10"/>
  <c r="D30468" i="10"/>
  <c r="D30467" i="10"/>
  <c r="D30466" i="10"/>
  <c r="D30465" i="10"/>
  <c r="D30464" i="10"/>
  <c r="D30463" i="10"/>
  <c r="D30462" i="10"/>
  <c r="D30461" i="10"/>
  <c r="D30460" i="10"/>
  <c r="D30459" i="10"/>
  <c r="D30458" i="10"/>
  <c r="D30457" i="10"/>
  <c r="D30456" i="10"/>
  <c r="D30455" i="10"/>
  <c r="D30454" i="10"/>
  <c r="D30453" i="10"/>
  <c r="D30452" i="10"/>
  <c r="D30451" i="10"/>
  <c r="D30450" i="10"/>
  <c r="D30449" i="10"/>
  <c r="D30448" i="10"/>
  <c r="D30447" i="10"/>
  <c r="D30446" i="10"/>
  <c r="D30445" i="10"/>
  <c r="D30444" i="10"/>
  <c r="D30443" i="10"/>
  <c r="D30442" i="10"/>
  <c r="D30441" i="10"/>
  <c r="D30440" i="10"/>
  <c r="D30439" i="10"/>
  <c r="D30438" i="10"/>
  <c r="D30437" i="10"/>
  <c r="D30436" i="10"/>
  <c r="D30435" i="10"/>
  <c r="D30434" i="10"/>
  <c r="D30433" i="10"/>
  <c r="D30432" i="10"/>
  <c r="D30431" i="10"/>
  <c r="D30430" i="10"/>
  <c r="D30429" i="10"/>
  <c r="D30428" i="10"/>
  <c r="D30427" i="10"/>
  <c r="D30426" i="10"/>
  <c r="D30425" i="10"/>
  <c r="D30424" i="10"/>
  <c r="D30423" i="10"/>
  <c r="D30422" i="10"/>
  <c r="D30421" i="10"/>
  <c r="D30420" i="10"/>
  <c r="D30419" i="10"/>
  <c r="D30418" i="10"/>
  <c r="D30417" i="10"/>
  <c r="D30416" i="10"/>
  <c r="D30415" i="10"/>
  <c r="D30414" i="10"/>
  <c r="D30413" i="10"/>
  <c r="D30412" i="10"/>
  <c r="D30411" i="10"/>
  <c r="D30410" i="10"/>
  <c r="D30409" i="10"/>
  <c r="D30408" i="10"/>
  <c r="D30407" i="10"/>
  <c r="D30406" i="10"/>
  <c r="D30405" i="10"/>
  <c r="D30404" i="10"/>
  <c r="D30403" i="10"/>
  <c r="D30402" i="10"/>
  <c r="D30401" i="10"/>
  <c r="D30400" i="10"/>
  <c r="D30399" i="10"/>
  <c r="D30398" i="10"/>
  <c r="D30397" i="10"/>
  <c r="D30396" i="10"/>
  <c r="D30395" i="10"/>
  <c r="D30394" i="10"/>
  <c r="D30393" i="10"/>
  <c r="D30392" i="10"/>
  <c r="D30391" i="10"/>
  <c r="D30390" i="10"/>
  <c r="D30389" i="10"/>
  <c r="D30388" i="10"/>
  <c r="D30387" i="10"/>
  <c r="D30386" i="10"/>
  <c r="D30385" i="10"/>
  <c r="D30384" i="10"/>
  <c r="D30383" i="10"/>
  <c r="D30382" i="10"/>
  <c r="D30381" i="10"/>
  <c r="D30380" i="10"/>
  <c r="D30379" i="10"/>
  <c r="D30378" i="10"/>
  <c r="D30377" i="10"/>
  <c r="D30376" i="10"/>
  <c r="D30375" i="10"/>
  <c r="D30374" i="10"/>
  <c r="D30373" i="10"/>
  <c r="D30372" i="10"/>
  <c r="D30371" i="10"/>
  <c r="D30370" i="10"/>
  <c r="D30369" i="10"/>
  <c r="D30368" i="10"/>
  <c r="D30367" i="10"/>
  <c r="D30366" i="10"/>
  <c r="D30365" i="10"/>
  <c r="D30364" i="10"/>
  <c r="D30363" i="10"/>
  <c r="D30362" i="10"/>
  <c r="D30361" i="10"/>
  <c r="D30360" i="10"/>
  <c r="D30359" i="10"/>
  <c r="D30358" i="10"/>
  <c r="D30357" i="10"/>
  <c r="D30356" i="10"/>
  <c r="D30355" i="10"/>
  <c r="D30354" i="10"/>
  <c r="D30353" i="10"/>
  <c r="D30352" i="10"/>
  <c r="D30351" i="10"/>
  <c r="D30350" i="10"/>
  <c r="D30349" i="10"/>
  <c r="D30348" i="10"/>
  <c r="D30347" i="10"/>
  <c r="D30346" i="10"/>
  <c r="D30345" i="10"/>
  <c r="D30344" i="10"/>
  <c r="D30343" i="10"/>
  <c r="D30342" i="10"/>
  <c r="D30341" i="10"/>
  <c r="D30340" i="10"/>
  <c r="D30339" i="10"/>
  <c r="D30338" i="10"/>
  <c r="D30337" i="10"/>
  <c r="D30336" i="10"/>
  <c r="D30335" i="10"/>
  <c r="D30334" i="10"/>
  <c r="D30333" i="10"/>
  <c r="D30332" i="10"/>
  <c r="D30331" i="10"/>
  <c r="D30330" i="10"/>
  <c r="D30329" i="10"/>
  <c r="D30328" i="10"/>
  <c r="D30327" i="10"/>
  <c r="D30326" i="10"/>
  <c r="D30325" i="10"/>
  <c r="D30324" i="10"/>
  <c r="D30323" i="10"/>
  <c r="D30322" i="10"/>
  <c r="D30321" i="10"/>
  <c r="D30320" i="10"/>
  <c r="D30319" i="10"/>
  <c r="D30318" i="10"/>
  <c r="D30317" i="10"/>
  <c r="D30316" i="10"/>
  <c r="D30315" i="10"/>
  <c r="D30314" i="10"/>
  <c r="D30313" i="10"/>
  <c r="D30312" i="10"/>
  <c r="D30311" i="10"/>
  <c r="D30310" i="10"/>
  <c r="D30309" i="10"/>
  <c r="D30308" i="10"/>
  <c r="D30307" i="10"/>
  <c r="D30306" i="10"/>
  <c r="D30305" i="10"/>
  <c r="D30304" i="10"/>
  <c r="D30303" i="10"/>
  <c r="D30302" i="10"/>
  <c r="D30301" i="10"/>
  <c r="D30300" i="10"/>
  <c r="D30299" i="10"/>
  <c r="D30298" i="10"/>
  <c r="D30297" i="10"/>
  <c r="D30296" i="10"/>
  <c r="D30295" i="10"/>
  <c r="D30294" i="10"/>
  <c r="D30293" i="10"/>
  <c r="D30292" i="10"/>
  <c r="D30291" i="10"/>
  <c r="D30290" i="10"/>
  <c r="D30289" i="10"/>
  <c r="D30288" i="10"/>
  <c r="D30287" i="10"/>
  <c r="D30286" i="10"/>
  <c r="D30285" i="10"/>
  <c r="D30284" i="10"/>
  <c r="D30283" i="10"/>
  <c r="D30282" i="10"/>
  <c r="D30281" i="10"/>
  <c r="D30280" i="10"/>
  <c r="D30279" i="10"/>
  <c r="D30278" i="10"/>
  <c r="D30277" i="10"/>
  <c r="D30276" i="10"/>
  <c r="D30275" i="10"/>
  <c r="D30274" i="10"/>
  <c r="D30273" i="10"/>
  <c r="D30272" i="10"/>
  <c r="D30271" i="10"/>
  <c r="D30270" i="10"/>
  <c r="D30269" i="10"/>
  <c r="D30268" i="10"/>
  <c r="D30267" i="10"/>
  <c r="D30266" i="10"/>
  <c r="D30265" i="10"/>
  <c r="D30264" i="10"/>
  <c r="D30263" i="10"/>
  <c r="D30262" i="10"/>
  <c r="D30261" i="10"/>
  <c r="D30260" i="10"/>
  <c r="D30259" i="10"/>
  <c r="D30258" i="10"/>
  <c r="D30257" i="10"/>
  <c r="D30256" i="10"/>
  <c r="D30255" i="10"/>
  <c r="D30254" i="10"/>
  <c r="D30253" i="10"/>
  <c r="D30252" i="10"/>
  <c r="D30251" i="10"/>
  <c r="D30250" i="10"/>
  <c r="D30249" i="10"/>
  <c r="D30248" i="10"/>
  <c r="D30247" i="10"/>
  <c r="D30246" i="10"/>
  <c r="D30245" i="10"/>
  <c r="D30244" i="10"/>
  <c r="D30243" i="10"/>
  <c r="D30242" i="10"/>
  <c r="D30241" i="10"/>
  <c r="D30240" i="10"/>
  <c r="D30239" i="10"/>
  <c r="D30238" i="10"/>
  <c r="D30237" i="10"/>
  <c r="D30236" i="10"/>
  <c r="D30235" i="10"/>
  <c r="D30234" i="10"/>
  <c r="D30233" i="10"/>
  <c r="D30232" i="10"/>
  <c r="D30231" i="10"/>
  <c r="D30230" i="10"/>
  <c r="D30229" i="10"/>
  <c r="D30228" i="10"/>
  <c r="D30227" i="10"/>
  <c r="D30226" i="10"/>
  <c r="D30225" i="10"/>
  <c r="D30224" i="10"/>
  <c r="D30223" i="10"/>
  <c r="D30222" i="10"/>
  <c r="D30221" i="10"/>
  <c r="D30220" i="10"/>
  <c r="D30219" i="10"/>
  <c r="D30218" i="10"/>
  <c r="D30217" i="10"/>
  <c r="D30216" i="10"/>
  <c r="D30215" i="10"/>
  <c r="D30214" i="10"/>
  <c r="D30213" i="10"/>
  <c r="D30212" i="10"/>
  <c r="D30211" i="10"/>
  <c r="D30210" i="10"/>
  <c r="D30209" i="10"/>
  <c r="D30208" i="10"/>
  <c r="D30207" i="10"/>
  <c r="D30206" i="10"/>
  <c r="D30205" i="10"/>
  <c r="D30204" i="10"/>
  <c r="D30203" i="10"/>
  <c r="D30202" i="10"/>
  <c r="D30201" i="10"/>
  <c r="D30200" i="10"/>
  <c r="D30199" i="10"/>
  <c r="D30198" i="10"/>
  <c r="D30197" i="10"/>
  <c r="D30196" i="10"/>
  <c r="D30195" i="10"/>
  <c r="D30194" i="10"/>
  <c r="D30193" i="10"/>
  <c r="D30192" i="10"/>
  <c r="D30191" i="10"/>
  <c r="D30190" i="10"/>
  <c r="D30189" i="10"/>
  <c r="D30188" i="10"/>
  <c r="D30187" i="10"/>
  <c r="D30186" i="10"/>
  <c r="D30185" i="10"/>
  <c r="D30184" i="10"/>
  <c r="D30183" i="10"/>
  <c r="D30182" i="10"/>
  <c r="D30181" i="10"/>
  <c r="D30180" i="10"/>
  <c r="D30179" i="10"/>
  <c r="D30178" i="10"/>
  <c r="D30177" i="10"/>
  <c r="D30176" i="10"/>
  <c r="D30175" i="10"/>
  <c r="D30174" i="10"/>
  <c r="D30173" i="10"/>
  <c r="D30172" i="10"/>
  <c r="D30171" i="10"/>
  <c r="D30170" i="10"/>
  <c r="D30169" i="10"/>
  <c r="D30168" i="10"/>
  <c r="D30167" i="10"/>
  <c r="D30166" i="10"/>
  <c r="D30165" i="10"/>
  <c r="D30164" i="10"/>
  <c r="D30163" i="10"/>
  <c r="D30162" i="10"/>
  <c r="D30161" i="10"/>
  <c r="D30160" i="10"/>
  <c r="D30159" i="10"/>
  <c r="D30158" i="10"/>
  <c r="D30157" i="10"/>
  <c r="D30156" i="10"/>
  <c r="D30155" i="10"/>
  <c r="D30154" i="10"/>
  <c r="D30153" i="10"/>
  <c r="D30152" i="10"/>
  <c r="D30151" i="10"/>
  <c r="D30150" i="10"/>
  <c r="D30149" i="10"/>
  <c r="D30148" i="10"/>
  <c r="D30147" i="10"/>
  <c r="D30146" i="10"/>
  <c r="D30145" i="10"/>
  <c r="D30144" i="10"/>
  <c r="D30143" i="10"/>
  <c r="D30142" i="10"/>
  <c r="D30141" i="10"/>
  <c r="D30140" i="10"/>
  <c r="D30139" i="10"/>
  <c r="D30138" i="10"/>
  <c r="D30137" i="10"/>
  <c r="D30136" i="10"/>
  <c r="D30135" i="10"/>
  <c r="D30134" i="10"/>
  <c r="D30133" i="10"/>
  <c r="D30132" i="10"/>
  <c r="D30131" i="10"/>
  <c r="D30130" i="10"/>
  <c r="D30129" i="10"/>
  <c r="D30128" i="10"/>
  <c r="D30127" i="10"/>
  <c r="D30126" i="10"/>
  <c r="D30125" i="10"/>
  <c r="D30124" i="10"/>
  <c r="D30123" i="10"/>
  <c r="D30122" i="10"/>
  <c r="D30121" i="10"/>
  <c r="D30120" i="10"/>
  <c r="D30119" i="10"/>
  <c r="D30118" i="10"/>
  <c r="D30117" i="10"/>
  <c r="D30116" i="10"/>
  <c r="D30115" i="10"/>
  <c r="D30114" i="10"/>
  <c r="D30113" i="10"/>
  <c r="D30112" i="10"/>
  <c r="D30111" i="10"/>
  <c r="D30110" i="10"/>
  <c r="D30109" i="10"/>
  <c r="D30108" i="10"/>
  <c r="D30107" i="10"/>
  <c r="D30106" i="10"/>
  <c r="D30105" i="10"/>
  <c r="D30104" i="10"/>
  <c r="D30103" i="10"/>
  <c r="D30102" i="10"/>
  <c r="D30101" i="10"/>
  <c r="D30100" i="10"/>
  <c r="D30099" i="10"/>
  <c r="D30098" i="10"/>
  <c r="D30097" i="10"/>
  <c r="D30096" i="10"/>
  <c r="D30095" i="10"/>
  <c r="D30094" i="10"/>
  <c r="D30093" i="10"/>
  <c r="D30092" i="10"/>
  <c r="D30091" i="10"/>
  <c r="D30090" i="10"/>
  <c r="D30089" i="10"/>
  <c r="D30088" i="10"/>
  <c r="D30087" i="10"/>
  <c r="D30086" i="10"/>
  <c r="D30085" i="10"/>
  <c r="D30084" i="10"/>
  <c r="D30083" i="10"/>
  <c r="D30082" i="10"/>
  <c r="D30081" i="10"/>
  <c r="D30080" i="10"/>
  <c r="D30079" i="10"/>
  <c r="D30078" i="10"/>
  <c r="D30077" i="10"/>
  <c r="D30076" i="10"/>
  <c r="D30075" i="10"/>
  <c r="D30074" i="10"/>
  <c r="D30073" i="10"/>
  <c r="D30072" i="10"/>
  <c r="D30071" i="10"/>
  <c r="D30070" i="10"/>
  <c r="D30069" i="10"/>
  <c r="D30068" i="10"/>
  <c r="D30067" i="10"/>
  <c r="D30066" i="10"/>
  <c r="D30065" i="10"/>
  <c r="D30064" i="10"/>
  <c r="D30063" i="10"/>
  <c r="D30062" i="10"/>
  <c r="D30061" i="10"/>
  <c r="D30060" i="10"/>
  <c r="D30059" i="10"/>
  <c r="D30058" i="10"/>
  <c r="D30057" i="10"/>
  <c r="D30056" i="10"/>
  <c r="D30055" i="10"/>
  <c r="D30054" i="10"/>
  <c r="D30053" i="10"/>
  <c r="D30052" i="10"/>
  <c r="D30051" i="10"/>
  <c r="D30050" i="10"/>
  <c r="D30049" i="10"/>
  <c r="D30048" i="10"/>
  <c r="D30047" i="10"/>
  <c r="D30046" i="10"/>
  <c r="D30045" i="10"/>
  <c r="D30044" i="10"/>
  <c r="D30043" i="10"/>
  <c r="D30042" i="10"/>
  <c r="D30041" i="10"/>
  <c r="D30040" i="10"/>
  <c r="D30039" i="10"/>
  <c r="D30038" i="10"/>
  <c r="D30037" i="10"/>
  <c r="D30036" i="10"/>
  <c r="D30035" i="10"/>
  <c r="D30034" i="10"/>
  <c r="D30033" i="10"/>
  <c r="D30032" i="10"/>
  <c r="D30031" i="10"/>
  <c r="D30030" i="10"/>
  <c r="D30029" i="10"/>
  <c r="D30028" i="10"/>
  <c r="D30027" i="10"/>
  <c r="D30026" i="10"/>
  <c r="D30025" i="10"/>
  <c r="D30024" i="10"/>
  <c r="D30023" i="10"/>
  <c r="D30022" i="10"/>
  <c r="D30021" i="10"/>
  <c r="D30020" i="10"/>
  <c r="D30019" i="10"/>
  <c r="D30018" i="10"/>
  <c r="D30017" i="10"/>
  <c r="D30016" i="10"/>
  <c r="D30015" i="10"/>
  <c r="D30014" i="10"/>
  <c r="D30013" i="10"/>
  <c r="D30012" i="10"/>
  <c r="D30011" i="10"/>
  <c r="D30010" i="10"/>
  <c r="D30009" i="10"/>
  <c r="D30008" i="10"/>
  <c r="D30007" i="10"/>
  <c r="D30006" i="10"/>
  <c r="D30005" i="10"/>
  <c r="D30004" i="10"/>
  <c r="D30003" i="10"/>
  <c r="D30002" i="10"/>
  <c r="D30001" i="10"/>
  <c r="D30000" i="10"/>
  <c r="D29999" i="10"/>
  <c r="D29998" i="10"/>
  <c r="D29997" i="10"/>
  <c r="D29996" i="10"/>
  <c r="D29995" i="10"/>
  <c r="D29994" i="10"/>
  <c r="D29993" i="10"/>
  <c r="D29992" i="10"/>
  <c r="D29991" i="10"/>
  <c r="D29990" i="10"/>
  <c r="D29989" i="10"/>
  <c r="D29988" i="10"/>
  <c r="D29987" i="10"/>
  <c r="D29986" i="10"/>
  <c r="D29985" i="10"/>
  <c r="D29984" i="10"/>
  <c r="D29983" i="10"/>
  <c r="D29982" i="10"/>
  <c r="D29981" i="10"/>
  <c r="D29980" i="10"/>
  <c r="D29979" i="10"/>
  <c r="D29978" i="10"/>
  <c r="D29977" i="10"/>
  <c r="D29976" i="10"/>
  <c r="D29975" i="10"/>
  <c r="D29974" i="10"/>
  <c r="D29973" i="10"/>
  <c r="D29972" i="10"/>
  <c r="D29971" i="10"/>
  <c r="D29970" i="10"/>
  <c r="D29969" i="10"/>
  <c r="D29968" i="10"/>
  <c r="D29967" i="10"/>
  <c r="D29966" i="10"/>
  <c r="D29965" i="10"/>
  <c r="D29964" i="10"/>
  <c r="D29963" i="10"/>
  <c r="D29962" i="10"/>
  <c r="D29961" i="10"/>
  <c r="D29960" i="10"/>
  <c r="D29959" i="10"/>
  <c r="D29958" i="10"/>
  <c r="D29957" i="10"/>
  <c r="D29956" i="10"/>
  <c r="D29955" i="10"/>
  <c r="D29954" i="10"/>
  <c r="D29953" i="10"/>
  <c r="D29952" i="10"/>
  <c r="D29951" i="10"/>
  <c r="D29950" i="10"/>
  <c r="D29949" i="10"/>
  <c r="D29948" i="10"/>
  <c r="D29947" i="10"/>
  <c r="D29946" i="10"/>
  <c r="D29945" i="10"/>
  <c r="D29944" i="10"/>
  <c r="D29943" i="10"/>
  <c r="D29942" i="10"/>
  <c r="D29941" i="10"/>
  <c r="D29940" i="10"/>
  <c r="D29939" i="10"/>
  <c r="D29938" i="10"/>
  <c r="D29937" i="10"/>
  <c r="D29936" i="10"/>
  <c r="D29935" i="10"/>
  <c r="D29934" i="10"/>
  <c r="D29933" i="10"/>
  <c r="D29932" i="10"/>
  <c r="D29931" i="10"/>
  <c r="D29930" i="10"/>
  <c r="D29929" i="10"/>
  <c r="D29928" i="10"/>
  <c r="D29927" i="10"/>
  <c r="D29926" i="10"/>
  <c r="D29925" i="10"/>
  <c r="D29924" i="10"/>
  <c r="D29923" i="10"/>
  <c r="D29922" i="10"/>
  <c r="D29921" i="10"/>
  <c r="D29920" i="10"/>
  <c r="D29919" i="10"/>
  <c r="D29918" i="10"/>
  <c r="D29917" i="10"/>
  <c r="D29916" i="10"/>
  <c r="D29915" i="10"/>
  <c r="D29914" i="10"/>
  <c r="D29913" i="10"/>
  <c r="D29912" i="10"/>
  <c r="D29911" i="10"/>
  <c r="D29910" i="10"/>
  <c r="D29909" i="10"/>
  <c r="D29908" i="10"/>
  <c r="D29907" i="10"/>
  <c r="D29906" i="10"/>
  <c r="D29905" i="10"/>
  <c r="D29904" i="10"/>
  <c r="D29903" i="10"/>
  <c r="D29902" i="10"/>
  <c r="D29901" i="10"/>
  <c r="D29900" i="10"/>
  <c r="D29899" i="10"/>
  <c r="D29898" i="10"/>
  <c r="D29897" i="10"/>
  <c r="D29896" i="10"/>
  <c r="D29895" i="10"/>
  <c r="D29894" i="10"/>
  <c r="D29893" i="10"/>
  <c r="D29892" i="10"/>
  <c r="D29891" i="10"/>
  <c r="D29890" i="10"/>
  <c r="D29889" i="10"/>
  <c r="D29888" i="10"/>
  <c r="D29887" i="10"/>
  <c r="D29886" i="10"/>
  <c r="D29885" i="10"/>
  <c r="D29884" i="10"/>
  <c r="D29883" i="10"/>
  <c r="D29882" i="10"/>
  <c r="D29881" i="10"/>
  <c r="D29880" i="10"/>
  <c r="D29879" i="10"/>
  <c r="D29878" i="10"/>
  <c r="D29877" i="10"/>
  <c r="D29876" i="10"/>
  <c r="D29875" i="10"/>
  <c r="D29874" i="10"/>
  <c r="D29873" i="10"/>
  <c r="D29872" i="10"/>
  <c r="D29871" i="10"/>
  <c r="D29870" i="10"/>
  <c r="D29869" i="10"/>
  <c r="D29868" i="10"/>
  <c r="D29867" i="10"/>
  <c r="D29866" i="10"/>
  <c r="D29865" i="10"/>
  <c r="D29864" i="10"/>
  <c r="D29863" i="10"/>
  <c r="D29862" i="10"/>
  <c r="D29861" i="10"/>
  <c r="D29860" i="10"/>
  <c r="D29859" i="10"/>
  <c r="D29858" i="10"/>
  <c r="D29857" i="10"/>
  <c r="D29856" i="10"/>
  <c r="D29855" i="10"/>
  <c r="D29854" i="10"/>
  <c r="D29853" i="10"/>
  <c r="D29852" i="10"/>
  <c r="D29851" i="10"/>
  <c r="D29850" i="10"/>
  <c r="D29849" i="10"/>
  <c r="D29848" i="10"/>
  <c r="D29847" i="10"/>
  <c r="D29846" i="10"/>
  <c r="D29845" i="10"/>
  <c r="D29844" i="10"/>
  <c r="D29843" i="10"/>
  <c r="D29842" i="10"/>
  <c r="D29841" i="10"/>
  <c r="D29840" i="10"/>
  <c r="D29839" i="10"/>
  <c r="D29838" i="10"/>
  <c r="D29837" i="10"/>
  <c r="D29836" i="10"/>
  <c r="D29835" i="10"/>
  <c r="D29834" i="10"/>
  <c r="D29833" i="10"/>
  <c r="D29832" i="10"/>
  <c r="D29831" i="10"/>
  <c r="D29830" i="10"/>
  <c r="D29829" i="10"/>
  <c r="D29828" i="10"/>
  <c r="D29827" i="10"/>
  <c r="D29826" i="10"/>
  <c r="D29825" i="10"/>
  <c r="D29824" i="10"/>
  <c r="D29823" i="10"/>
  <c r="D29822" i="10"/>
  <c r="D29821" i="10"/>
  <c r="D29820" i="10"/>
  <c r="D29819" i="10"/>
  <c r="D29818" i="10"/>
  <c r="D29817" i="10"/>
  <c r="D29816" i="10"/>
  <c r="D29815" i="10"/>
  <c r="D29814" i="10"/>
  <c r="D29813" i="10"/>
  <c r="D29812" i="10"/>
  <c r="D29811" i="10"/>
  <c r="D29810" i="10"/>
  <c r="D29809" i="10"/>
  <c r="D29808" i="10"/>
  <c r="D29807" i="10"/>
  <c r="D29806" i="10"/>
  <c r="D29805" i="10"/>
  <c r="D29804" i="10"/>
  <c r="D29803" i="10"/>
  <c r="D29802" i="10"/>
  <c r="D29801" i="10"/>
  <c r="D29800" i="10"/>
  <c r="D29799" i="10"/>
  <c r="D29798" i="10"/>
  <c r="D29797" i="10"/>
  <c r="D29796" i="10"/>
  <c r="D29795" i="10"/>
  <c r="D29794" i="10"/>
  <c r="D29793" i="10"/>
  <c r="D29792" i="10"/>
  <c r="D29791" i="10"/>
  <c r="D29790" i="10"/>
  <c r="D29789" i="10"/>
  <c r="D29788" i="10"/>
  <c r="D29787" i="10"/>
  <c r="D29786" i="10"/>
  <c r="D29785" i="10"/>
  <c r="D29784" i="10"/>
  <c r="D29783" i="10"/>
  <c r="D29782" i="10"/>
  <c r="D29781" i="10"/>
  <c r="D29780" i="10"/>
  <c r="D29779" i="10"/>
  <c r="D29778" i="10"/>
  <c r="D29777" i="10"/>
  <c r="D29776" i="10"/>
  <c r="D29775" i="10"/>
  <c r="D29774" i="10"/>
  <c r="D29773" i="10"/>
  <c r="D29772" i="10"/>
  <c r="D29771" i="10"/>
  <c r="D29770" i="10"/>
  <c r="D29769" i="10"/>
  <c r="D29768" i="10"/>
  <c r="D29767" i="10"/>
  <c r="D29766" i="10"/>
  <c r="D29765" i="10"/>
  <c r="D29764" i="10"/>
  <c r="D29763" i="10"/>
  <c r="D29762" i="10"/>
  <c r="D29761" i="10"/>
  <c r="D29760" i="10"/>
  <c r="D29759" i="10"/>
  <c r="D29758" i="10"/>
  <c r="D29757" i="10"/>
  <c r="D29756" i="10"/>
  <c r="D29755" i="10"/>
  <c r="D29754" i="10"/>
  <c r="D29753" i="10"/>
  <c r="D29752" i="10"/>
  <c r="D29751" i="10"/>
  <c r="D29750" i="10"/>
  <c r="D29749" i="10"/>
  <c r="D29748" i="10"/>
  <c r="D29747" i="10"/>
  <c r="D29746" i="10"/>
  <c r="D29745" i="10"/>
  <c r="D29744" i="10"/>
  <c r="D29743" i="10"/>
  <c r="D29742" i="10"/>
  <c r="D29741" i="10"/>
  <c r="D29740" i="10"/>
  <c r="D29739" i="10"/>
  <c r="D29738" i="10"/>
  <c r="D29737" i="10"/>
  <c r="D29736" i="10"/>
  <c r="D29735" i="10"/>
  <c r="D29734" i="10"/>
  <c r="D29733" i="10"/>
  <c r="D29732" i="10"/>
  <c r="D29731" i="10"/>
  <c r="D29730" i="10"/>
  <c r="D29729" i="10"/>
  <c r="D29728" i="10"/>
  <c r="D29727" i="10"/>
  <c r="D29726" i="10"/>
  <c r="D29725" i="10"/>
  <c r="D29724" i="10"/>
  <c r="D29723" i="10"/>
  <c r="D29722" i="10"/>
  <c r="D29721" i="10"/>
  <c r="D29720" i="10"/>
  <c r="D29719" i="10"/>
  <c r="D29718" i="10"/>
  <c r="D29717" i="10"/>
  <c r="D29716" i="10"/>
  <c r="D29715" i="10"/>
  <c r="D29714" i="10"/>
  <c r="D29713" i="10"/>
  <c r="D29712" i="10"/>
  <c r="D29711" i="10"/>
  <c r="D29710" i="10"/>
  <c r="D29709" i="10"/>
  <c r="D29708" i="10"/>
  <c r="D29707" i="10"/>
  <c r="D29706" i="10"/>
  <c r="D29705" i="10"/>
  <c r="D29704" i="10"/>
  <c r="D29703" i="10"/>
  <c r="D29702" i="10"/>
  <c r="D29701" i="10"/>
  <c r="D29700" i="10"/>
  <c r="D29699" i="10"/>
  <c r="D29698" i="10"/>
  <c r="D29697" i="10"/>
  <c r="D29696" i="10"/>
  <c r="D29695" i="10"/>
  <c r="D29694" i="10"/>
  <c r="D29693" i="10"/>
  <c r="D29692" i="10"/>
  <c r="D29691" i="10"/>
  <c r="D29690" i="10"/>
  <c r="D29689" i="10"/>
  <c r="D29688" i="10"/>
  <c r="D29687" i="10"/>
  <c r="D29686" i="10"/>
  <c r="D29685" i="10"/>
  <c r="D29684" i="10"/>
  <c r="D29683" i="10"/>
  <c r="D29682" i="10"/>
  <c r="D29681" i="10"/>
  <c r="D29680" i="10"/>
  <c r="D29679" i="10"/>
  <c r="D29678" i="10"/>
  <c r="D29677" i="10"/>
  <c r="D29676" i="10"/>
  <c r="D29675" i="10"/>
  <c r="D29674" i="10"/>
  <c r="D29673" i="10"/>
  <c r="D29672" i="10"/>
  <c r="D29671" i="10"/>
  <c r="D29670" i="10"/>
  <c r="D29669" i="10"/>
  <c r="D29668" i="10"/>
  <c r="D29667" i="10"/>
  <c r="D29666" i="10"/>
  <c r="D29665" i="10"/>
  <c r="D29664" i="10"/>
  <c r="D29663" i="10"/>
  <c r="D29662" i="10"/>
  <c r="D29661" i="10"/>
  <c r="D29660" i="10"/>
  <c r="D29659" i="10"/>
  <c r="D29658" i="10"/>
  <c r="D29657" i="10"/>
  <c r="D29656" i="10"/>
  <c r="D29655" i="10"/>
  <c r="D29654" i="10"/>
  <c r="D29653" i="10"/>
  <c r="D29652" i="10"/>
  <c r="D29651" i="10"/>
  <c r="D29650" i="10"/>
  <c r="D29649" i="10"/>
  <c r="D29648" i="10"/>
  <c r="D29647" i="10"/>
  <c r="D29646" i="10"/>
  <c r="D29645" i="10"/>
  <c r="D29644" i="10"/>
  <c r="D29643" i="10"/>
  <c r="D29642" i="10"/>
  <c r="D29641" i="10"/>
  <c r="D29640" i="10"/>
  <c r="D29639" i="10"/>
  <c r="D29638" i="10"/>
  <c r="D29637" i="10"/>
  <c r="D29636" i="10"/>
  <c r="D29635" i="10"/>
  <c r="D29634" i="10"/>
  <c r="D29633" i="10"/>
  <c r="D29632" i="10"/>
  <c r="D29631" i="10"/>
  <c r="D29630" i="10"/>
  <c r="D29629" i="10"/>
  <c r="D29628" i="10"/>
  <c r="D29627" i="10"/>
  <c r="D29626" i="10"/>
  <c r="D29625" i="10"/>
  <c r="D29624" i="10"/>
  <c r="D29623" i="10"/>
  <c r="D29622" i="10"/>
  <c r="D29621" i="10"/>
  <c r="D29620" i="10"/>
  <c r="D29619" i="10"/>
  <c r="D29618" i="10"/>
  <c r="D29617" i="10"/>
  <c r="D29616" i="10"/>
  <c r="D29615" i="10"/>
  <c r="D29614" i="10"/>
  <c r="D29613" i="10"/>
  <c r="D29612" i="10"/>
  <c r="D29611" i="10"/>
  <c r="D29610" i="10"/>
  <c r="D29609" i="10"/>
  <c r="D29608" i="10"/>
  <c r="D29607" i="10"/>
  <c r="D29606" i="10"/>
  <c r="D29605" i="10"/>
  <c r="D29604" i="10"/>
  <c r="D29603" i="10"/>
  <c r="D29602" i="10"/>
  <c r="D29601" i="10"/>
  <c r="D29600" i="10"/>
  <c r="D29599" i="10"/>
  <c r="D29598" i="10"/>
  <c r="D29597" i="10"/>
  <c r="D29596" i="10"/>
  <c r="D29595" i="10"/>
  <c r="D29594" i="10"/>
  <c r="D29593" i="10"/>
  <c r="D29592" i="10"/>
  <c r="D29591" i="10"/>
  <c r="D29590" i="10"/>
  <c r="D29589" i="10"/>
  <c r="D29588" i="10"/>
  <c r="D29587" i="10"/>
  <c r="D29586" i="10"/>
  <c r="D29585" i="10"/>
  <c r="D29584" i="10"/>
  <c r="D29583" i="10"/>
  <c r="D29582" i="10"/>
  <c r="D29581" i="10"/>
  <c r="D29580" i="10"/>
  <c r="D29579" i="10"/>
  <c r="D29578" i="10"/>
  <c r="D29577" i="10"/>
  <c r="D29576" i="10"/>
  <c r="D29575" i="10"/>
  <c r="D29574" i="10"/>
  <c r="D29573" i="10"/>
  <c r="D29572" i="10"/>
  <c r="D29571" i="10"/>
  <c r="D29570" i="10"/>
  <c r="D29569" i="10"/>
  <c r="D29568" i="10"/>
  <c r="D29567" i="10"/>
  <c r="D29566" i="10"/>
  <c r="D29565" i="10"/>
  <c r="D29564" i="10"/>
  <c r="D29563" i="10"/>
  <c r="D29562" i="10"/>
  <c r="D29561" i="10"/>
  <c r="D29560" i="10"/>
  <c r="D29559" i="10"/>
  <c r="D29558" i="10"/>
  <c r="D29557" i="10"/>
  <c r="D29556" i="10"/>
  <c r="D29555" i="10"/>
  <c r="D29554" i="10"/>
  <c r="D29553" i="10"/>
  <c r="D29552" i="10"/>
  <c r="D29551" i="10"/>
  <c r="D29550" i="10"/>
  <c r="D29549" i="10"/>
  <c r="D29548" i="10"/>
  <c r="D29547" i="10"/>
  <c r="D29546" i="10"/>
  <c r="D29545" i="10"/>
  <c r="D29544" i="10"/>
  <c r="D29543" i="10"/>
  <c r="D29542" i="10"/>
  <c r="D29541" i="10"/>
  <c r="D29540" i="10"/>
  <c r="D29539" i="10"/>
  <c r="D29538" i="10"/>
  <c r="D29537" i="10"/>
  <c r="D29536" i="10"/>
  <c r="D29535" i="10"/>
  <c r="D29534" i="10"/>
  <c r="D29533" i="10"/>
  <c r="D29532" i="10"/>
  <c r="D29531" i="10"/>
  <c r="D29530" i="10"/>
  <c r="D29529" i="10"/>
  <c r="D29528" i="10"/>
  <c r="D29527" i="10"/>
  <c r="D29526" i="10"/>
  <c r="D29525" i="10"/>
  <c r="D29524" i="10"/>
  <c r="D29523" i="10"/>
  <c r="D29522" i="10"/>
  <c r="D29521" i="10"/>
  <c r="D29520" i="10"/>
  <c r="D29519" i="10"/>
  <c r="D29518" i="10"/>
  <c r="D29517" i="10"/>
  <c r="D29516" i="10"/>
  <c r="D29515" i="10"/>
  <c r="D29514" i="10"/>
  <c r="D29513" i="10"/>
  <c r="D29512" i="10"/>
  <c r="D29511" i="10"/>
  <c r="D29510" i="10"/>
  <c r="D29509" i="10"/>
  <c r="D29508" i="10"/>
  <c r="D29507" i="10"/>
  <c r="D29506" i="10"/>
  <c r="D29505" i="10"/>
  <c r="D29504" i="10"/>
  <c r="D29503" i="10"/>
  <c r="D29502" i="10"/>
  <c r="D29501" i="10"/>
  <c r="D29500" i="10"/>
  <c r="D29499" i="10"/>
  <c r="D29498" i="10"/>
  <c r="D29497" i="10"/>
  <c r="D29496" i="10"/>
  <c r="D29495" i="10"/>
  <c r="D29494" i="10"/>
  <c r="D29493" i="10"/>
  <c r="D29492" i="10"/>
  <c r="D29491" i="10"/>
  <c r="D29490" i="10"/>
  <c r="D29489" i="10"/>
  <c r="D29488" i="10"/>
  <c r="D29487" i="10"/>
  <c r="D29486" i="10"/>
  <c r="D29485" i="10"/>
  <c r="D29484" i="10"/>
  <c r="D29483" i="10"/>
  <c r="D29482" i="10"/>
  <c r="D29481" i="10"/>
  <c r="D29480" i="10"/>
  <c r="D29479" i="10"/>
  <c r="D29478" i="10"/>
  <c r="D29477" i="10"/>
  <c r="D29476" i="10"/>
  <c r="D29475" i="10"/>
  <c r="D29474" i="10"/>
  <c r="D29473" i="10"/>
  <c r="D29472" i="10"/>
  <c r="D29471" i="10"/>
  <c r="D29470" i="10"/>
  <c r="D29469" i="10"/>
  <c r="D29468" i="10"/>
  <c r="D29467" i="10"/>
  <c r="D29466" i="10"/>
  <c r="D29465" i="10"/>
  <c r="D29464" i="10"/>
  <c r="D29463" i="10"/>
  <c r="D29462" i="10"/>
  <c r="D29461" i="10"/>
  <c r="D29460" i="10"/>
  <c r="D29459" i="10"/>
  <c r="D29458" i="10"/>
  <c r="D29457" i="10"/>
  <c r="D29456" i="10"/>
  <c r="D29455" i="10"/>
  <c r="D29454" i="10"/>
  <c r="D29453" i="10"/>
  <c r="D29452" i="10"/>
  <c r="D29451" i="10"/>
  <c r="D29450" i="10"/>
  <c r="D29449" i="10"/>
  <c r="D29448" i="10"/>
  <c r="D29447" i="10"/>
  <c r="D29446" i="10"/>
  <c r="D29445" i="10"/>
  <c r="D29444" i="10"/>
  <c r="D29443" i="10"/>
  <c r="D29442" i="10"/>
  <c r="D29441" i="10"/>
  <c r="D29440" i="10"/>
  <c r="D29439" i="10"/>
  <c r="D29438" i="10"/>
  <c r="D29437" i="10"/>
  <c r="D29436" i="10"/>
  <c r="D29435" i="10"/>
  <c r="D29434" i="10"/>
  <c r="D29433" i="10"/>
  <c r="D29432" i="10"/>
  <c r="D29431" i="10"/>
  <c r="D29430" i="10"/>
  <c r="D29429" i="10"/>
  <c r="D29428" i="10"/>
  <c r="D29427" i="10"/>
  <c r="D29426" i="10"/>
  <c r="D29425" i="10"/>
  <c r="D29424" i="10"/>
  <c r="D29423" i="10"/>
  <c r="D29422" i="10"/>
  <c r="D29421" i="10"/>
  <c r="D29420" i="10"/>
  <c r="D29419" i="10"/>
  <c r="D29418" i="10"/>
  <c r="D29417" i="10"/>
  <c r="D29416" i="10"/>
  <c r="D29415" i="10"/>
  <c r="D29414" i="10"/>
  <c r="D29413" i="10"/>
  <c r="D29412" i="10"/>
  <c r="D29411" i="10"/>
  <c r="D29410" i="10"/>
  <c r="D29409" i="10"/>
  <c r="D29408" i="10"/>
  <c r="D29407" i="10"/>
  <c r="D29406" i="10"/>
  <c r="D29405" i="10"/>
  <c r="D29404" i="10"/>
  <c r="D29403" i="10"/>
  <c r="D29402" i="10"/>
  <c r="D29401" i="10"/>
  <c r="D29400" i="10"/>
  <c r="D29399" i="10"/>
  <c r="D29398" i="10"/>
  <c r="D29397" i="10"/>
  <c r="D29396" i="10"/>
  <c r="D29395" i="10"/>
  <c r="D29394" i="10"/>
  <c r="D29393" i="10"/>
  <c r="D29392" i="10"/>
  <c r="D29391" i="10"/>
  <c r="D29390" i="10"/>
  <c r="D29389" i="10"/>
  <c r="D29388" i="10"/>
  <c r="D29387" i="10"/>
  <c r="D29386" i="10"/>
  <c r="D29385" i="10"/>
  <c r="D29384" i="10"/>
  <c r="D29383" i="10"/>
  <c r="D29382" i="10"/>
  <c r="D29381" i="10"/>
  <c r="D29380" i="10"/>
  <c r="D29379" i="10"/>
  <c r="D29378" i="10"/>
  <c r="D29377" i="10"/>
  <c r="D29376" i="10"/>
  <c r="D29375" i="10"/>
  <c r="D29374" i="10"/>
  <c r="D29373" i="10"/>
  <c r="D29372" i="10"/>
  <c r="D29371" i="10"/>
  <c r="D29370" i="10"/>
  <c r="D29369" i="10"/>
  <c r="D29368" i="10"/>
  <c r="D29367" i="10"/>
  <c r="D29366" i="10"/>
  <c r="D29365" i="10"/>
  <c r="D29364" i="10"/>
  <c r="D29363" i="10"/>
  <c r="D29362" i="10"/>
  <c r="D29361" i="10"/>
  <c r="D29360" i="10"/>
  <c r="D29359" i="10"/>
  <c r="D29358" i="10"/>
  <c r="D29357" i="10"/>
  <c r="D29356" i="10"/>
  <c r="D29355" i="10"/>
  <c r="D29354" i="10"/>
  <c r="D29353" i="10"/>
  <c r="D29352" i="10"/>
  <c r="D29351" i="10"/>
  <c r="D29350" i="10"/>
  <c r="D29349" i="10"/>
  <c r="D29348" i="10"/>
  <c r="D29347" i="10"/>
  <c r="D29346" i="10"/>
  <c r="D29345" i="10"/>
  <c r="D29344" i="10"/>
  <c r="D29343" i="10"/>
  <c r="D29342" i="10"/>
  <c r="D29341" i="10"/>
  <c r="D29340" i="10"/>
  <c r="D29339" i="10"/>
  <c r="D29338" i="10"/>
  <c r="D29337" i="10"/>
  <c r="D29336" i="10"/>
  <c r="D29335" i="10"/>
  <c r="D29334" i="10"/>
  <c r="D29333" i="10"/>
  <c r="D29332" i="10"/>
  <c r="D29331" i="10"/>
  <c r="D29330" i="10"/>
  <c r="D29329" i="10"/>
  <c r="D29328" i="10"/>
  <c r="D29327" i="10"/>
  <c r="D29326" i="10"/>
  <c r="D29325" i="10"/>
  <c r="D29324" i="10"/>
  <c r="D29323" i="10"/>
  <c r="D29322" i="10"/>
  <c r="D29321" i="10"/>
  <c r="D29320" i="10"/>
  <c r="D29319" i="10"/>
  <c r="D29318" i="10"/>
  <c r="D29317" i="10"/>
  <c r="D29316" i="10"/>
  <c r="D29315" i="10"/>
  <c r="D29314" i="10"/>
  <c r="D29313" i="10"/>
  <c r="D29312" i="10"/>
  <c r="D29311" i="10"/>
  <c r="D29310" i="10"/>
  <c r="D29309" i="10"/>
  <c r="D29308" i="10"/>
  <c r="D29307" i="10"/>
  <c r="D29306" i="10"/>
  <c r="D29305" i="10"/>
  <c r="D29304" i="10"/>
  <c r="D29303" i="10"/>
  <c r="D29302" i="10"/>
  <c r="D29301" i="10"/>
  <c r="D29300" i="10"/>
  <c r="D29299" i="10"/>
  <c r="D29298" i="10"/>
  <c r="D29297" i="10"/>
  <c r="D29296" i="10"/>
  <c r="D29295" i="10"/>
  <c r="D29294" i="10"/>
  <c r="D29293" i="10"/>
  <c r="D29292" i="10"/>
  <c r="D29291" i="10"/>
  <c r="D29290" i="10"/>
  <c r="D29289" i="10"/>
  <c r="D29288" i="10"/>
  <c r="D29287" i="10"/>
  <c r="D29286" i="10"/>
  <c r="D29285" i="10"/>
  <c r="D29284" i="10"/>
  <c r="D29283" i="10"/>
  <c r="D29282" i="10"/>
  <c r="D29281" i="10"/>
  <c r="D29280" i="10"/>
  <c r="D29279" i="10"/>
  <c r="D29278" i="10"/>
  <c r="D29277" i="10"/>
  <c r="D29276" i="10"/>
  <c r="D29275" i="10"/>
  <c r="D29274" i="10"/>
  <c r="D29273" i="10"/>
  <c r="D29272" i="10"/>
  <c r="D29271" i="10"/>
  <c r="D29270" i="10"/>
  <c r="D29269" i="10"/>
  <c r="D29268" i="10"/>
  <c r="D29267" i="10"/>
  <c r="D29266" i="10"/>
  <c r="D29265" i="10"/>
  <c r="D29264" i="10"/>
  <c r="D29263" i="10"/>
  <c r="D29262" i="10"/>
  <c r="D29261" i="10"/>
  <c r="D29260" i="10"/>
  <c r="D29259" i="10"/>
  <c r="D29258" i="10"/>
  <c r="D29257" i="10"/>
  <c r="D29256" i="10"/>
  <c r="D29255" i="10"/>
  <c r="D29254" i="10"/>
  <c r="D29253" i="10"/>
  <c r="D29252" i="10"/>
  <c r="D29251" i="10"/>
  <c r="D29250" i="10"/>
  <c r="D29249" i="10"/>
  <c r="D29248" i="10"/>
  <c r="D29247" i="10"/>
  <c r="D29246" i="10"/>
  <c r="D29245" i="10"/>
  <c r="D29244" i="10"/>
  <c r="D29243" i="10"/>
  <c r="D29242" i="10"/>
  <c r="D29241" i="10"/>
  <c r="D29240" i="10"/>
  <c r="D29239" i="10"/>
  <c r="D29238" i="10"/>
  <c r="D29237" i="10"/>
  <c r="D29236" i="10"/>
  <c r="D29235" i="10"/>
  <c r="D29234" i="10"/>
  <c r="D29233" i="10"/>
  <c r="D29232" i="10"/>
  <c r="D29231" i="10"/>
  <c r="D29230" i="10"/>
  <c r="D29229" i="10"/>
  <c r="D29228" i="10"/>
  <c r="D29227" i="10"/>
  <c r="D29226" i="10"/>
  <c r="D29225" i="10"/>
  <c r="D29224" i="10"/>
  <c r="D29223" i="10"/>
  <c r="D29222" i="10"/>
  <c r="D29221" i="10"/>
  <c r="D29220" i="10"/>
  <c r="D29219" i="10"/>
  <c r="D29218" i="10"/>
  <c r="D29217" i="10"/>
  <c r="D29216" i="10"/>
  <c r="D29215" i="10"/>
  <c r="D29214" i="10"/>
  <c r="D29213" i="10"/>
  <c r="D29212" i="10"/>
  <c r="D29211" i="10"/>
  <c r="D29210" i="10"/>
  <c r="D29209" i="10"/>
  <c r="D29208" i="10"/>
  <c r="D29207" i="10"/>
  <c r="D29206" i="10"/>
  <c r="D29205" i="10"/>
  <c r="D29204" i="10"/>
  <c r="D29203" i="10"/>
  <c r="D29202" i="10"/>
  <c r="D29201" i="10"/>
  <c r="D29200" i="10"/>
  <c r="D29199" i="10"/>
  <c r="D29198" i="10"/>
  <c r="D29197" i="10"/>
  <c r="D29196" i="10"/>
  <c r="D29195" i="10"/>
  <c r="D29194" i="10"/>
  <c r="D29193" i="10"/>
  <c r="D29192" i="10"/>
  <c r="D29191" i="10"/>
  <c r="D29190" i="10"/>
  <c r="D29189" i="10"/>
  <c r="D29188" i="10"/>
  <c r="D29187" i="10"/>
  <c r="D29186" i="10"/>
  <c r="D29185" i="10"/>
  <c r="D29184" i="10"/>
  <c r="D29183" i="10"/>
  <c r="D29182" i="10"/>
  <c r="D29181" i="10"/>
  <c r="D29180" i="10"/>
  <c r="D29179" i="10"/>
  <c r="D29178" i="10"/>
  <c r="D29177" i="10"/>
  <c r="D29176" i="10"/>
  <c r="D29175" i="10"/>
  <c r="D29174" i="10"/>
  <c r="D29173" i="10"/>
  <c r="D29172" i="10"/>
  <c r="D29171" i="10"/>
  <c r="D29170" i="10"/>
  <c r="D29169" i="10"/>
  <c r="D29168" i="10"/>
  <c r="D29167" i="10"/>
  <c r="D29166" i="10"/>
  <c r="D29165" i="10"/>
  <c r="D29164" i="10"/>
  <c r="D29163" i="10"/>
  <c r="D29162" i="10"/>
  <c r="D29161" i="10"/>
  <c r="D29160" i="10"/>
  <c r="D29159" i="10"/>
  <c r="D29158" i="10"/>
  <c r="D29157" i="10"/>
  <c r="D29156" i="10"/>
  <c r="D29155" i="10"/>
  <c r="D29154" i="10"/>
  <c r="D29153" i="10"/>
  <c r="D29152" i="10"/>
  <c r="D29151" i="10"/>
  <c r="D29150" i="10"/>
  <c r="D29149" i="10"/>
  <c r="D29148" i="10"/>
  <c r="D29147" i="10"/>
  <c r="D29146" i="10"/>
  <c r="D29145" i="10"/>
  <c r="D29144" i="10"/>
  <c r="D29143" i="10"/>
  <c r="D29142" i="10"/>
  <c r="D29141" i="10"/>
  <c r="D29140" i="10"/>
  <c r="D29139" i="10"/>
  <c r="D29138" i="10"/>
  <c r="D29137" i="10"/>
  <c r="D29136" i="10"/>
  <c r="D29135" i="10"/>
  <c r="D29134" i="10"/>
  <c r="D29133" i="10"/>
  <c r="D29132" i="10"/>
  <c r="D29131" i="10"/>
  <c r="D29130" i="10"/>
  <c r="D29129" i="10"/>
  <c r="D29128" i="10"/>
  <c r="D29127" i="10"/>
  <c r="D29126" i="10"/>
  <c r="D29125" i="10"/>
  <c r="D29124" i="10"/>
  <c r="D29123" i="10"/>
  <c r="D29122" i="10"/>
  <c r="D29121" i="10"/>
  <c r="D29120" i="10"/>
  <c r="D29119" i="10"/>
  <c r="D29118" i="10"/>
  <c r="D29117" i="10"/>
  <c r="D29116" i="10"/>
  <c r="D29115" i="10"/>
  <c r="D29114" i="10"/>
  <c r="D29113" i="10"/>
  <c r="D29112" i="10"/>
  <c r="D29111" i="10"/>
  <c r="D29110" i="10"/>
  <c r="D29109" i="10"/>
  <c r="D29108" i="10"/>
  <c r="D29107" i="10"/>
  <c r="D29106" i="10"/>
  <c r="D29105" i="10"/>
  <c r="D29104" i="10"/>
  <c r="D29103" i="10"/>
  <c r="D29102" i="10"/>
  <c r="D29101" i="10"/>
  <c r="D29100" i="10"/>
  <c r="D29099" i="10"/>
  <c r="D29098" i="10"/>
  <c r="D29097" i="10"/>
  <c r="D29096" i="10"/>
  <c r="D29095" i="10"/>
  <c r="D29094" i="10"/>
  <c r="D29093" i="10"/>
  <c r="D29092" i="10"/>
  <c r="D29091" i="10"/>
  <c r="D29090" i="10"/>
  <c r="D29089" i="10"/>
  <c r="D29088" i="10"/>
  <c r="D29087" i="10"/>
  <c r="D29086" i="10"/>
  <c r="D29085" i="10"/>
  <c r="D29084" i="10"/>
  <c r="D29083" i="10"/>
  <c r="D29082" i="10"/>
  <c r="D29081" i="10"/>
  <c r="D29080" i="10"/>
  <c r="D29079" i="10"/>
  <c r="D29078" i="10"/>
  <c r="D29077" i="10"/>
  <c r="D29076" i="10"/>
  <c r="D29075" i="10"/>
  <c r="D29074" i="10"/>
  <c r="D29073" i="10"/>
  <c r="D29072" i="10"/>
  <c r="D29071" i="10"/>
  <c r="D29070" i="10"/>
  <c r="D29069" i="10"/>
  <c r="D29068" i="10"/>
  <c r="D29067" i="10"/>
  <c r="D29066" i="10"/>
  <c r="D29065" i="10"/>
  <c r="D29064" i="10"/>
  <c r="D29063" i="10"/>
  <c r="D29062" i="10"/>
  <c r="D29061" i="10"/>
  <c r="D29060" i="10"/>
  <c r="D29059" i="10"/>
  <c r="D29058" i="10"/>
  <c r="D29057" i="10"/>
  <c r="D29056" i="10"/>
  <c r="D29055" i="10"/>
  <c r="D29054" i="10"/>
  <c r="D29053" i="10"/>
  <c r="D29052" i="10"/>
  <c r="D29051" i="10"/>
  <c r="D29050" i="10"/>
  <c r="D29049" i="10"/>
  <c r="D29048" i="10"/>
  <c r="D29047" i="10"/>
  <c r="D29046" i="10"/>
  <c r="D29045" i="10"/>
  <c r="D29044" i="10"/>
  <c r="D29043" i="10"/>
  <c r="D29042" i="10"/>
  <c r="D29041" i="10"/>
  <c r="D29040" i="10"/>
  <c r="D29039" i="10"/>
  <c r="D29038" i="10"/>
  <c r="D29037" i="10"/>
  <c r="D29036" i="10"/>
  <c r="D29035" i="10"/>
  <c r="D29034" i="10"/>
  <c r="D29033" i="10"/>
  <c r="D29032" i="10"/>
  <c r="D29031" i="10"/>
  <c r="D29030" i="10"/>
  <c r="D29029" i="10"/>
  <c r="D29028" i="10"/>
  <c r="D29027" i="10"/>
  <c r="D29026" i="10"/>
  <c r="D29025" i="10"/>
  <c r="D29024" i="10"/>
  <c r="D29023" i="10"/>
  <c r="D29022" i="10"/>
  <c r="D29021" i="10"/>
  <c r="D29020" i="10"/>
  <c r="D29019" i="10"/>
  <c r="D29018" i="10"/>
  <c r="D29017" i="10"/>
  <c r="D29016" i="10"/>
  <c r="D29015" i="10"/>
  <c r="D29014" i="10"/>
  <c r="D29013" i="10"/>
  <c r="D29012" i="10"/>
  <c r="D29011" i="10"/>
  <c r="D29010" i="10"/>
  <c r="D29009" i="10"/>
  <c r="D29008" i="10"/>
  <c r="D29007" i="10"/>
  <c r="D29006" i="10"/>
  <c r="D29005" i="10"/>
  <c r="D29004" i="10"/>
  <c r="D29003" i="10"/>
  <c r="D29002" i="10"/>
  <c r="D29001" i="10"/>
  <c r="D29000" i="10"/>
  <c r="D28999" i="10"/>
  <c r="D28998" i="10"/>
  <c r="D28997" i="10"/>
  <c r="D28996" i="10"/>
  <c r="D28995" i="10"/>
  <c r="D28994" i="10"/>
  <c r="D28993" i="10"/>
  <c r="D28992" i="10"/>
  <c r="D28991" i="10"/>
  <c r="D28990" i="10"/>
  <c r="D28989" i="10"/>
  <c r="D28988" i="10"/>
  <c r="D28987" i="10"/>
  <c r="D28986" i="10"/>
  <c r="D28985" i="10"/>
  <c r="D28984" i="10"/>
  <c r="D28983" i="10"/>
  <c r="D28982" i="10"/>
  <c r="D28981" i="10"/>
  <c r="D28980" i="10"/>
  <c r="D28979" i="10"/>
  <c r="D28978" i="10"/>
  <c r="D28977" i="10"/>
  <c r="D28976" i="10"/>
  <c r="D28975" i="10"/>
  <c r="D28974" i="10"/>
  <c r="D28973" i="10"/>
  <c r="D28972" i="10"/>
  <c r="D28971" i="10"/>
  <c r="D28970" i="10"/>
  <c r="D28969" i="10"/>
  <c r="D28968" i="10"/>
  <c r="D28967" i="10"/>
  <c r="D28966" i="10"/>
  <c r="D28965" i="10"/>
  <c r="D28964" i="10"/>
  <c r="D28963" i="10"/>
  <c r="D28962" i="10"/>
  <c r="D28961" i="10"/>
  <c r="D28960" i="10"/>
  <c r="D28959" i="10"/>
  <c r="D28958" i="10"/>
  <c r="D28957" i="10"/>
  <c r="D28956" i="10"/>
  <c r="D28955" i="10"/>
  <c r="D28954" i="10"/>
  <c r="D28953" i="10"/>
  <c r="D28952" i="10"/>
  <c r="D28951" i="10"/>
  <c r="D28950" i="10"/>
  <c r="D28949" i="10"/>
  <c r="D28948" i="10"/>
  <c r="D28947" i="10"/>
  <c r="D28946" i="10"/>
  <c r="D28945" i="10"/>
  <c r="D28944" i="10"/>
  <c r="D28943" i="10"/>
  <c r="D28942" i="10"/>
  <c r="D28941" i="10"/>
  <c r="D28940" i="10"/>
  <c r="D28939" i="10"/>
  <c r="D28938" i="10"/>
  <c r="D28937" i="10"/>
  <c r="D28936" i="10"/>
  <c r="D28935" i="10"/>
  <c r="D28934" i="10"/>
  <c r="D28933" i="10"/>
  <c r="D28932" i="10"/>
  <c r="D28931" i="10"/>
  <c r="D28930" i="10"/>
  <c r="D28929" i="10"/>
  <c r="D28928" i="10"/>
  <c r="D28927" i="10"/>
  <c r="D28926" i="10"/>
  <c r="D28925" i="10"/>
  <c r="D28924" i="10"/>
  <c r="D28923" i="10"/>
  <c r="D28922" i="10"/>
  <c r="D28921" i="10"/>
  <c r="D28920" i="10"/>
  <c r="D28919" i="10"/>
  <c r="D28918" i="10"/>
  <c r="D28917" i="10"/>
  <c r="D28916" i="10"/>
  <c r="D28915" i="10"/>
  <c r="D28914" i="10"/>
  <c r="D28913" i="10"/>
  <c r="D28912" i="10"/>
  <c r="D28911" i="10"/>
  <c r="D28910" i="10"/>
  <c r="D28909" i="10"/>
  <c r="D28908" i="10"/>
  <c r="D28907" i="10"/>
  <c r="D28906" i="10"/>
  <c r="D28905" i="10"/>
  <c r="D28904" i="10"/>
  <c r="D28903" i="10"/>
  <c r="D28902" i="10"/>
  <c r="D28901" i="10"/>
  <c r="D28900" i="10"/>
  <c r="D28899" i="10"/>
  <c r="D28898" i="10"/>
  <c r="D28897" i="10"/>
  <c r="D28896" i="10"/>
  <c r="D28895" i="10"/>
  <c r="D28894" i="10"/>
  <c r="D28893" i="10"/>
  <c r="D28892" i="10"/>
  <c r="D28891" i="10"/>
  <c r="D28890" i="10"/>
  <c r="D28889" i="10"/>
  <c r="D28888" i="10"/>
  <c r="D28887" i="10"/>
  <c r="D28886" i="10"/>
  <c r="D28885" i="10"/>
  <c r="D28884" i="10"/>
  <c r="D28883" i="10"/>
  <c r="D28882" i="10"/>
  <c r="D28881" i="10"/>
  <c r="D28880" i="10"/>
  <c r="D28879" i="10"/>
  <c r="D28878" i="10"/>
  <c r="D28877" i="10"/>
  <c r="D28876" i="10"/>
  <c r="D28875" i="10"/>
  <c r="D28874" i="10"/>
  <c r="D28873" i="10"/>
  <c r="D28872" i="10"/>
  <c r="D28871" i="10"/>
  <c r="D28870" i="10"/>
  <c r="D28869" i="10"/>
  <c r="D28868" i="10"/>
  <c r="D28867" i="10"/>
  <c r="D28866" i="10"/>
  <c r="D28865" i="10"/>
  <c r="D28864" i="10"/>
  <c r="D28863" i="10"/>
  <c r="D28862" i="10"/>
  <c r="D28861" i="10"/>
  <c r="D28860" i="10"/>
  <c r="D28859" i="10"/>
  <c r="D28858" i="10"/>
  <c r="D28857" i="10"/>
  <c r="D28856" i="10"/>
  <c r="D28855" i="10"/>
  <c r="D28854" i="10"/>
  <c r="D28853" i="10"/>
  <c r="D28852" i="10"/>
  <c r="D28851" i="10"/>
  <c r="D28850" i="10"/>
  <c r="D28849" i="10"/>
  <c r="D28848" i="10"/>
  <c r="D28847" i="10"/>
  <c r="D28846" i="10"/>
  <c r="D28845" i="10"/>
  <c r="D28844" i="10"/>
  <c r="D28843" i="10"/>
  <c r="D28842" i="10"/>
  <c r="D28841" i="10"/>
  <c r="D28840" i="10"/>
  <c r="D28839" i="10"/>
  <c r="D28838" i="10"/>
  <c r="D28837" i="10"/>
  <c r="D28836" i="10"/>
  <c r="D28835" i="10"/>
  <c r="D28834" i="10"/>
  <c r="D28833" i="10"/>
  <c r="D28832" i="10"/>
  <c r="D28831" i="10"/>
  <c r="D28830" i="10"/>
  <c r="D28829" i="10"/>
  <c r="D28828" i="10"/>
  <c r="D28827" i="10"/>
  <c r="D28826" i="10"/>
  <c r="D28825" i="10"/>
  <c r="D28824" i="10"/>
  <c r="D28823" i="10"/>
  <c r="D28822" i="10"/>
  <c r="D28821" i="10"/>
  <c r="D28820" i="10"/>
  <c r="D28819" i="10"/>
  <c r="D28818" i="10"/>
  <c r="D28817" i="10"/>
  <c r="D28816" i="10"/>
  <c r="D28815" i="10"/>
  <c r="D28814" i="10"/>
  <c r="D28813" i="10"/>
  <c r="D28812" i="10"/>
  <c r="D28811" i="10"/>
  <c r="D28810" i="10"/>
  <c r="D28809" i="10"/>
  <c r="D28808" i="10"/>
  <c r="D28807" i="10"/>
  <c r="D28806" i="10"/>
  <c r="D28805" i="10"/>
  <c r="D28804" i="10"/>
  <c r="D28803" i="10"/>
  <c r="D28802" i="10"/>
  <c r="D28801" i="10"/>
  <c r="D28800" i="10"/>
  <c r="D28799" i="10"/>
  <c r="D28798" i="10"/>
  <c r="D28797" i="10"/>
  <c r="D28796" i="10"/>
  <c r="D28795" i="10"/>
  <c r="D28794" i="10"/>
  <c r="D28793" i="10"/>
  <c r="D28792" i="10"/>
  <c r="D28791" i="10"/>
  <c r="D28790" i="10"/>
  <c r="D28789" i="10"/>
  <c r="D28788" i="10"/>
  <c r="D28787" i="10"/>
  <c r="D28786" i="10"/>
  <c r="D28785" i="10"/>
  <c r="D28784" i="10"/>
  <c r="D28783" i="10"/>
  <c r="D28782" i="10"/>
  <c r="D28781" i="10"/>
  <c r="D28780" i="10"/>
  <c r="D28779" i="10"/>
  <c r="D28778" i="10"/>
  <c r="D28777" i="10"/>
  <c r="D28776" i="10"/>
  <c r="D28775" i="10"/>
  <c r="D28774" i="10"/>
  <c r="D28773" i="10"/>
  <c r="D28772" i="10"/>
  <c r="D28771" i="10"/>
  <c r="D28770" i="10"/>
  <c r="D28769" i="10"/>
  <c r="D28768" i="10"/>
  <c r="D28767" i="10"/>
  <c r="D28766" i="10"/>
  <c r="D28765" i="10"/>
  <c r="D28764" i="10"/>
  <c r="D28763" i="10"/>
  <c r="D28762" i="10"/>
  <c r="D28761" i="10"/>
  <c r="D28760" i="10"/>
  <c r="D28759" i="10"/>
  <c r="D28758" i="10"/>
  <c r="D28757" i="10"/>
  <c r="D28756" i="10"/>
  <c r="D28755" i="10"/>
  <c r="D28754" i="10"/>
  <c r="D28753" i="10"/>
  <c r="D28752" i="10"/>
  <c r="D28751" i="10"/>
  <c r="D28750" i="10"/>
  <c r="D28749" i="10"/>
  <c r="D28748" i="10"/>
  <c r="D28747" i="10"/>
  <c r="D28746" i="10"/>
  <c r="D28745" i="10"/>
  <c r="D28744" i="10"/>
  <c r="D28743" i="10"/>
  <c r="D28742" i="10"/>
  <c r="D28741" i="10"/>
  <c r="D28740" i="10"/>
  <c r="D28739" i="10"/>
  <c r="D28738" i="10"/>
  <c r="D28737" i="10"/>
  <c r="D28736" i="10"/>
  <c r="D28735" i="10"/>
  <c r="D28734" i="10"/>
  <c r="D28733" i="10"/>
  <c r="D28732" i="10"/>
  <c r="D28731" i="10"/>
  <c r="D28730" i="10"/>
  <c r="D28729" i="10"/>
  <c r="D28728" i="10"/>
  <c r="D28727" i="10"/>
  <c r="D28726" i="10"/>
  <c r="D28725" i="10"/>
  <c r="D28724" i="10"/>
  <c r="D28723" i="10"/>
  <c r="D28722" i="10"/>
  <c r="D28721" i="10"/>
  <c r="D28720" i="10"/>
  <c r="D28719" i="10"/>
  <c r="D28718" i="10"/>
  <c r="D28717" i="10"/>
  <c r="D28716" i="10"/>
  <c r="D28715" i="10"/>
  <c r="D28714" i="10"/>
  <c r="D28713" i="10"/>
  <c r="D28712" i="10"/>
  <c r="D28711" i="10"/>
  <c r="D28710" i="10"/>
  <c r="D28709" i="10"/>
  <c r="D28708" i="10"/>
  <c r="D28707" i="10"/>
  <c r="D28706" i="10"/>
  <c r="D28705" i="10"/>
  <c r="D28704" i="10"/>
  <c r="D28703" i="10"/>
  <c r="D28702" i="10"/>
  <c r="D28701" i="10"/>
  <c r="D28700" i="10"/>
  <c r="D28699" i="10"/>
  <c r="D28698" i="10"/>
  <c r="D28697" i="10"/>
  <c r="D28696" i="10"/>
  <c r="D28695" i="10"/>
  <c r="D28694" i="10"/>
  <c r="D28693" i="10"/>
  <c r="D28692" i="10"/>
  <c r="D28691" i="10"/>
  <c r="D28690" i="10"/>
  <c r="D28689" i="10"/>
  <c r="D28688" i="10"/>
  <c r="D28687" i="10"/>
  <c r="D28686" i="10"/>
  <c r="D28685" i="10"/>
  <c r="D28684" i="10"/>
  <c r="D28683" i="10"/>
  <c r="D28682" i="10"/>
  <c r="D28681" i="10"/>
  <c r="D28680" i="10"/>
  <c r="D28679" i="10"/>
  <c r="D28678" i="10"/>
  <c r="D28677" i="10"/>
  <c r="D28676" i="10"/>
  <c r="D28675" i="10"/>
  <c r="D28674" i="10"/>
  <c r="D28673" i="10"/>
  <c r="D28672" i="10"/>
  <c r="D28671" i="10"/>
  <c r="D28670" i="10"/>
  <c r="D28669" i="10"/>
  <c r="D28668" i="10"/>
  <c r="D28667" i="10"/>
  <c r="D28666" i="10"/>
  <c r="D28665" i="10"/>
  <c r="D28664" i="10"/>
  <c r="D28663" i="10"/>
  <c r="D28662" i="10"/>
  <c r="D28661" i="10"/>
  <c r="D28660" i="10"/>
  <c r="D28659" i="10"/>
  <c r="D28658" i="10"/>
  <c r="D28657" i="10"/>
  <c r="D28656" i="10"/>
  <c r="D28655" i="10"/>
  <c r="D28654" i="10"/>
  <c r="D28653" i="10"/>
  <c r="D28652" i="10"/>
  <c r="D28651" i="10"/>
  <c r="D28650" i="10"/>
  <c r="D28649" i="10"/>
  <c r="D28648" i="10"/>
  <c r="D28647" i="10"/>
  <c r="D28646" i="10"/>
  <c r="D28645" i="10"/>
  <c r="D28644" i="10"/>
  <c r="D28643" i="10"/>
  <c r="D28642" i="10"/>
  <c r="D28641" i="10"/>
  <c r="D28640" i="10"/>
  <c r="D28639" i="10"/>
  <c r="D28638" i="10"/>
  <c r="D28637" i="10"/>
  <c r="D28636" i="10"/>
  <c r="D28635" i="10"/>
  <c r="D28634" i="10"/>
  <c r="D28633" i="10"/>
  <c r="D28632" i="10"/>
  <c r="D28631" i="10"/>
  <c r="D28630" i="10"/>
  <c r="D28629" i="10"/>
  <c r="D28628" i="10"/>
  <c r="D28627" i="10"/>
  <c r="D28626" i="10"/>
  <c r="D28625" i="10"/>
  <c r="D28624" i="10"/>
  <c r="D28623" i="10"/>
  <c r="D28622" i="10"/>
  <c r="D28621" i="10"/>
  <c r="D28620" i="10"/>
  <c r="D28619" i="10"/>
  <c r="D28618" i="10"/>
  <c r="D28617" i="10"/>
  <c r="D28616" i="10"/>
  <c r="D28615" i="10"/>
  <c r="D28614" i="10"/>
  <c r="D28613" i="10"/>
  <c r="D28612" i="10"/>
  <c r="D28611" i="10"/>
  <c r="D28610" i="10"/>
  <c r="D28609" i="10"/>
  <c r="D28608" i="10"/>
  <c r="D28607" i="10"/>
  <c r="D28606" i="10"/>
  <c r="D28605" i="10"/>
  <c r="D28604" i="10"/>
  <c r="D28603" i="10"/>
  <c r="D28602" i="10"/>
  <c r="D28601" i="10"/>
  <c r="D28600" i="10"/>
  <c r="D28599" i="10"/>
  <c r="D28598" i="10"/>
  <c r="D28597" i="10"/>
  <c r="D28596" i="10"/>
  <c r="D28595" i="10"/>
  <c r="D28594" i="10"/>
  <c r="D28593" i="10"/>
  <c r="D28592" i="10"/>
  <c r="D28591" i="10"/>
  <c r="D28590" i="10"/>
  <c r="D28589" i="10"/>
  <c r="D28588" i="10"/>
  <c r="D28587" i="10"/>
  <c r="D28586" i="10"/>
  <c r="D28585" i="10"/>
  <c r="D28584" i="10"/>
  <c r="D28583" i="10"/>
  <c r="D28582" i="10"/>
  <c r="D28581" i="10"/>
  <c r="D28580" i="10"/>
  <c r="D28579" i="10"/>
  <c r="D28578" i="10"/>
  <c r="D28577" i="10"/>
  <c r="D28576" i="10"/>
  <c r="D28575" i="10"/>
  <c r="D28574" i="10"/>
  <c r="D28573" i="10"/>
  <c r="D28572" i="10"/>
  <c r="D28571" i="10"/>
  <c r="D28570" i="10"/>
  <c r="D28569" i="10"/>
  <c r="D28568" i="10"/>
  <c r="D28567" i="10"/>
  <c r="D28566" i="10"/>
  <c r="D28565" i="10"/>
  <c r="D28564" i="10"/>
  <c r="D28563" i="10"/>
  <c r="D28562" i="10"/>
  <c r="D28561" i="10"/>
  <c r="D28560" i="10"/>
  <c r="D28559" i="10"/>
  <c r="D28558" i="10"/>
  <c r="D28557" i="10"/>
  <c r="D28556" i="10"/>
  <c r="D28555" i="10"/>
  <c r="D28554" i="10"/>
  <c r="D28553" i="10"/>
  <c r="D28552" i="10"/>
  <c r="D28551" i="10"/>
  <c r="D28550" i="10"/>
  <c r="D28549" i="10"/>
  <c r="D28548" i="10"/>
  <c r="D28547" i="10"/>
  <c r="D28546" i="10"/>
  <c r="D28545" i="10"/>
  <c r="D28544" i="10"/>
  <c r="D28543" i="10"/>
  <c r="D28542" i="10"/>
  <c r="D28541" i="10"/>
  <c r="D28540" i="10"/>
  <c r="D28539" i="10"/>
  <c r="D28538" i="10"/>
  <c r="D28537" i="10"/>
  <c r="D28536" i="10"/>
  <c r="D28535" i="10"/>
  <c r="D28534" i="10"/>
  <c r="D28533" i="10"/>
  <c r="D28532" i="10"/>
  <c r="D28531" i="10"/>
  <c r="D28530" i="10"/>
  <c r="D28529" i="10"/>
  <c r="D28528" i="10"/>
  <c r="D28527" i="10"/>
  <c r="D28526" i="10"/>
  <c r="D28525" i="10"/>
  <c r="D28524" i="10"/>
  <c r="D28523" i="10"/>
  <c r="D28522" i="10"/>
  <c r="D28521" i="10"/>
  <c r="D28520" i="10"/>
  <c r="D28519" i="10"/>
  <c r="D28518" i="10"/>
  <c r="D28517" i="10"/>
  <c r="D28516" i="10"/>
  <c r="D28515" i="10"/>
  <c r="D28514" i="10"/>
  <c r="D28513" i="10"/>
  <c r="D28512" i="10"/>
  <c r="D28511" i="10"/>
  <c r="D28510" i="10"/>
  <c r="D28509" i="10"/>
  <c r="D28508" i="10"/>
  <c r="D28507" i="10"/>
  <c r="D28506" i="10"/>
  <c r="D28505" i="10"/>
  <c r="D28504" i="10"/>
  <c r="D28503" i="10"/>
  <c r="D28502" i="10"/>
  <c r="D28501" i="10"/>
  <c r="D28500" i="10"/>
  <c r="D28499" i="10"/>
  <c r="D28498" i="10"/>
  <c r="D28497" i="10"/>
  <c r="D28496" i="10"/>
  <c r="D28495" i="10"/>
  <c r="D28494" i="10"/>
  <c r="D28493" i="10"/>
  <c r="D28492" i="10"/>
  <c r="D28491" i="10"/>
  <c r="D28490" i="10"/>
  <c r="D28489" i="10"/>
  <c r="D28488" i="10"/>
  <c r="D28487" i="10"/>
  <c r="D28486" i="10"/>
  <c r="D28485" i="10"/>
  <c r="D28484" i="10"/>
  <c r="D28483" i="10"/>
  <c r="D28482" i="10"/>
  <c r="D28481" i="10"/>
  <c r="D28480" i="10"/>
  <c r="D28479" i="10"/>
  <c r="D28478" i="10"/>
  <c r="D28477" i="10"/>
  <c r="D28476" i="10"/>
  <c r="D28475" i="10"/>
  <c r="D28474" i="10"/>
  <c r="D28473" i="10"/>
  <c r="D28472" i="10"/>
  <c r="D28471" i="10"/>
  <c r="D28470" i="10"/>
  <c r="D28469" i="10"/>
  <c r="D28468" i="10"/>
  <c r="D28467" i="10"/>
  <c r="D28466" i="10"/>
  <c r="D28465" i="10"/>
  <c r="D28464" i="10"/>
  <c r="D28463" i="10"/>
  <c r="D28462" i="10"/>
  <c r="D28461" i="10"/>
  <c r="D28460" i="10"/>
  <c r="D28459" i="10"/>
  <c r="D28458" i="10"/>
  <c r="D28457" i="10"/>
  <c r="D28456" i="10"/>
  <c r="D28455" i="10"/>
  <c r="D28454" i="10"/>
  <c r="D28453" i="10"/>
  <c r="D28452" i="10"/>
  <c r="D28451" i="10"/>
  <c r="D28450" i="10"/>
  <c r="D28449" i="10"/>
  <c r="D28448" i="10"/>
  <c r="D28447" i="10"/>
  <c r="D28446" i="10"/>
  <c r="D28445" i="10"/>
  <c r="D28444" i="10"/>
  <c r="D28443" i="10"/>
  <c r="D28442" i="10"/>
  <c r="D28441" i="10"/>
  <c r="D28440" i="10"/>
  <c r="D28439" i="10"/>
  <c r="D28438" i="10"/>
  <c r="D28437" i="10"/>
  <c r="D28436" i="10"/>
  <c r="D28435" i="10"/>
  <c r="D28434" i="10"/>
  <c r="D28433" i="10"/>
  <c r="D28432" i="10"/>
  <c r="D28431" i="10"/>
  <c r="D28430" i="10"/>
  <c r="D28429" i="10"/>
  <c r="D28428" i="10"/>
  <c r="D28427" i="10"/>
  <c r="D28426" i="10"/>
  <c r="D28425" i="10"/>
  <c r="D28424" i="10"/>
  <c r="D28423" i="10"/>
  <c r="D28422" i="10"/>
  <c r="D28421" i="10"/>
  <c r="D28420" i="10"/>
  <c r="D28419" i="10"/>
  <c r="D28418" i="10"/>
  <c r="D28417" i="10"/>
  <c r="D28416" i="10"/>
  <c r="D28415" i="10"/>
  <c r="D28414" i="10"/>
  <c r="D28413" i="10"/>
  <c r="D28412" i="10"/>
  <c r="D28411" i="10"/>
  <c r="D28410" i="10"/>
  <c r="D28409" i="10"/>
  <c r="D28408" i="10"/>
  <c r="D28407" i="10"/>
  <c r="D28406" i="10"/>
  <c r="D28405" i="10"/>
  <c r="D28404" i="10"/>
  <c r="D28403" i="10"/>
  <c r="D28402" i="10"/>
  <c r="D28401" i="10"/>
  <c r="D28400" i="10"/>
  <c r="D28399" i="10"/>
  <c r="D28398" i="10"/>
  <c r="D28397" i="10"/>
  <c r="D28396" i="10"/>
  <c r="D28395" i="10"/>
  <c r="D28394" i="10"/>
  <c r="D28393" i="10"/>
  <c r="D28392" i="10"/>
  <c r="D28391" i="10"/>
  <c r="D28390" i="10"/>
  <c r="D28389" i="10"/>
  <c r="D28388" i="10"/>
  <c r="D28387" i="10"/>
  <c r="D28386" i="10"/>
  <c r="D28385" i="10"/>
  <c r="D28384" i="10"/>
  <c r="D28383" i="10"/>
  <c r="D28382" i="10"/>
  <c r="D28381" i="10"/>
  <c r="D28380" i="10"/>
  <c r="D28379" i="10"/>
  <c r="D28378" i="10"/>
  <c r="D28377" i="10"/>
  <c r="D28376" i="10"/>
  <c r="D28375" i="10"/>
  <c r="D28374" i="10"/>
  <c r="D28373" i="10"/>
  <c r="D28372" i="10"/>
  <c r="D28371" i="10"/>
  <c r="D28370" i="10"/>
  <c r="D28369" i="10"/>
  <c r="D28368" i="10"/>
  <c r="D28367" i="10"/>
  <c r="D28366" i="10"/>
  <c r="D28365" i="10"/>
  <c r="D28364" i="10"/>
  <c r="D28363" i="10"/>
  <c r="D28362" i="10"/>
  <c r="D28361" i="10"/>
  <c r="D28360" i="10"/>
  <c r="D28359" i="10"/>
  <c r="D28358" i="10"/>
  <c r="D28357" i="10"/>
  <c r="D28356" i="10"/>
  <c r="D28355" i="10"/>
  <c r="D28354" i="10"/>
  <c r="D28353" i="10"/>
  <c r="D28352" i="10"/>
  <c r="D28351" i="10"/>
  <c r="D28350" i="10"/>
  <c r="D28349" i="10"/>
  <c r="D28348" i="10"/>
  <c r="D28347" i="10"/>
  <c r="D28346" i="10"/>
  <c r="D28345" i="10"/>
  <c r="D28344" i="10"/>
  <c r="D28343" i="10"/>
  <c r="D28342" i="10"/>
  <c r="D28341" i="10"/>
  <c r="D28340" i="10"/>
  <c r="D28339" i="10"/>
  <c r="D28338" i="10"/>
  <c r="D28337" i="10"/>
  <c r="D28336" i="10"/>
  <c r="D28335" i="10"/>
  <c r="D28334" i="10"/>
  <c r="D28333" i="10"/>
  <c r="D28332" i="10"/>
  <c r="D28331" i="10"/>
  <c r="D28330" i="10"/>
  <c r="D28329" i="10"/>
  <c r="D28328" i="10"/>
  <c r="D28327" i="10"/>
  <c r="D28326" i="10"/>
  <c r="D28325" i="10"/>
  <c r="D28324" i="10"/>
  <c r="D28323" i="10"/>
  <c r="D28322" i="10"/>
  <c r="D28321" i="10"/>
  <c r="D28320" i="10"/>
  <c r="D28319" i="10"/>
  <c r="D28318" i="10"/>
  <c r="D28317" i="10"/>
  <c r="D28316" i="10"/>
  <c r="D28315" i="10"/>
  <c r="D28314" i="10"/>
  <c r="D28313" i="10"/>
  <c r="D28312" i="10"/>
  <c r="D28311" i="10"/>
  <c r="D28310" i="10"/>
  <c r="D28309" i="10"/>
  <c r="D28308" i="10"/>
  <c r="D28307" i="10"/>
  <c r="D28306" i="10"/>
  <c r="D28305" i="10"/>
  <c r="D28304" i="10"/>
  <c r="D28303" i="10"/>
  <c r="D28302" i="10"/>
  <c r="D28301" i="10"/>
  <c r="D28300" i="10"/>
  <c r="D28299" i="10"/>
  <c r="D28298" i="10"/>
  <c r="D28297" i="10"/>
  <c r="D28296" i="10"/>
  <c r="D28295" i="10"/>
  <c r="D28294" i="10"/>
  <c r="D28293" i="10"/>
  <c r="D28292" i="10"/>
  <c r="D28291" i="10"/>
  <c r="D28290" i="10"/>
  <c r="D28289" i="10"/>
  <c r="D28288" i="10"/>
  <c r="D28287" i="10"/>
  <c r="D28286" i="10"/>
  <c r="D28285" i="10"/>
  <c r="D28284" i="10"/>
  <c r="D28283" i="10"/>
  <c r="D28282" i="10"/>
  <c r="D28281" i="10"/>
  <c r="D28280" i="10"/>
  <c r="D28279" i="10"/>
  <c r="D28278" i="10"/>
  <c r="D28277" i="10"/>
  <c r="D28276" i="10"/>
  <c r="D28275" i="10"/>
  <c r="D28274" i="10"/>
  <c r="D28273" i="10"/>
  <c r="D28272" i="10"/>
  <c r="D28271" i="10"/>
  <c r="D28270" i="10"/>
  <c r="D28269" i="10"/>
  <c r="D28268" i="10"/>
  <c r="D28267" i="10"/>
  <c r="D28266" i="10"/>
  <c r="D28265" i="10"/>
  <c r="D28264" i="10"/>
  <c r="D28263" i="10"/>
  <c r="D28262" i="10"/>
  <c r="D28261" i="10"/>
  <c r="D28260" i="10"/>
  <c r="D28259" i="10"/>
  <c r="D28258" i="10"/>
  <c r="D28257" i="10"/>
  <c r="D28256" i="10"/>
  <c r="D28255" i="10"/>
  <c r="D28254" i="10"/>
  <c r="D28253" i="10"/>
  <c r="D28252" i="10"/>
  <c r="D28251" i="10"/>
  <c r="D28250" i="10"/>
  <c r="D28249" i="10"/>
  <c r="D28248" i="10"/>
  <c r="D28247" i="10"/>
  <c r="D28246" i="10"/>
  <c r="D28245" i="10"/>
  <c r="D28244" i="10"/>
  <c r="D28243" i="10"/>
  <c r="D28242" i="10"/>
  <c r="D28241" i="10"/>
  <c r="D28240" i="10"/>
  <c r="D28239" i="10"/>
  <c r="D28238" i="10"/>
  <c r="D28237" i="10"/>
  <c r="D28236" i="10"/>
  <c r="D28235" i="10"/>
  <c r="D28234" i="10"/>
  <c r="D28233" i="10"/>
  <c r="D28232" i="10"/>
  <c r="D28231" i="10"/>
  <c r="D28230" i="10"/>
  <c r="D28229" i="10"/>
  <c r="D28228" i="10"/>
  <c r="D28227" i="10"/>
  <c r="D28226" i="10"/>
  <c r="D28225" i="10"/>
  <c r="D28224" i="10"/>
  <c r="D28223" i="10"/>
  <c r="D28222" i="10"/>
  <c r="D28221" i="10"/>
  <c r="D28220" i="10"/>
  <c r="D28219" i="10"/>
  <c r="D28218" i="10"/>
  <c r="D28217" i="10"/>
  <c r="D28216" i="10"/>
  <c r="D28215" i="10"/>
  <c r="D28214" i="10"/>
  <c r="D28213" i="10"/>
  <c r="D28212" i="10"/>
  <c r="D28211" i="10"/>
  <c r="D28210" i="10"/>
  <c r="D28209" i="10"/>
  <c r="D28208" i="10"/>
  <c r="D28207" i="10"/>
  <c r="D28206" i="10"/>
  <c r="D28205" i="10"/>
  <c r="D28204" i="10"/>
  <c r="D28203" i="10"/>
  <c r="D28202" i="10"/>
  <c r="D28201" i="10"/>
  <c r="D28200" i="10"/>
  <c r="D28199" i="10"/>
  <c r="D28198" i="10"/>
  <c r="D28197" i="10"/>
  <c r="D28196" i="10"/>
  <c r="D28195" i="10"/>
  <c r="D28194" i="10"/>
  <c r="D28193" i="10"/>
  <c r="D28192" i="10"/>
  <c r="D28191" i="10"/>
  <c r="D28190" i="10"/>
  <c r="D28189" i="10"/>
  <c r="D28188" i="10"/>
  <c r="D28187" i="10"/>
  <c r="D28186" i="10"/>
  <c r="D28185" i="10"/>
  <c r="D28184" i="10"/>
  <c r="D28183" i="10"/>
  <c r="D28182" i="10"/>
  <c r="D28181" i="10"/>
  <c r="D28180" i="10"/>
  <c r="D28179" i="10"/>
  <c r="D28178" i="10"/>
  <c r="D28177" i="10"/>
  <c r="D28176" i="10"/>
  <c r="D28175" i="10"/>
  <c r="D28174" i="10"/>
  <c r="D28173" i="10"/>
  <c r="D28172" i="10"/>
  <c r="D28171" i="10"/>
  <c r="D28170" i="10"/>
  <c r="D28169" i="10"/>
  <c r="D28168" i="10"/>
  <c r="D28167" i="10"/>
  <c r="D28166" i="10"/>
  <c r="D28165" i="10"/>
  <c r="D28164" i="10"/>
  <c r="D28163" i="10"/>
  <c r="D28162" i="10"/>
  <c r="D28161" i="10"/>
  <c r="D28160" i="10"/>
  <c r="D28159" i="10"/>
  <c r="D28158" i="10"/>
  <c r="D28157" i="10"/>
  <c r="D28156" i="10"/>
  <c r="D28155" i="10"/>
  <c r="D28154" i="10"/>
  <c r="D28153" i="10"/>
  <c r="D28152" i="10"/>
  <c r="D28151" i="10"/>
  <c r="D28150" i="10"/>
  <c r="D28149" i="10"/>
  <c r="D28148" i="10"/>
  <c r="D28147" i="10"/>
  <c r="D28146" i="10"/>
  <c r="D28145" i="10"/>
  <c r="D28144" i="10"/>
  <c r="D28143" i="10"/>
  <c r="D28142" i="10"/>
  <c r="D28141" i="10"/>
  <c r="D28140" i="10"/>
  <c r="D28139" i="10"/>
  <c r="D28138" i="10"/>
  <c r="D28137" i="10"/>
  <c r="D28136" i="10"/>
  <c r="D28135" i="10"/>
  <c r="D28134" i="10"/>
  <c r="D28133" i="10"/>
  <c r="D28132" i="10"/>
  <c r="D28131" i="10"/>
  <c r="D28130" i="10"/>
  <c r="D28129" i="10"/>
  <c r="D28128" i="10"/>
  <c r="D28127" i="10"/>
  <c r="D28126" i="10"/>
  <c r="D28125" i="10"/>
  <c r="D28124" i="10"/>
  <c r="D28123" i="10"/>
  <c r="D28122" i="10"/>
  <c r="D28121" i="10"/>
  <c r="D28120" i="10"/>
  <c r="D28119" i="10"/>
  <c r="D28118" i="10"/>
  <c r="D28117" i="10"/>
  <c r="D28116" i="10"/>
  <c r="D28115" i="10"/>
  <c r="D28114" i="10"/>
  <c r="D28113" i="10"/>
  <c r="D28112" i="10"/>
  <c r="D28111" i="10"/>
  <c r="D28110" i="10"/>
  <c r="D28109" i="10"/>
  <c r="D28108" i="10"/>
  <c r="D28107" i="10"/>
  <c r="D28106" i="10"/>
  <c r="D28105" i="10"/>
  <c r="D28104" i="10"/>
  <c r="D28103" i="10"/>
  <c r="D28102" i="10"/>
  <c r="D28101" i="10"/>
  <c r="D28100" i="10"/>
  <c r="D28099" i="10"/>
  <c r="D28098" i="10"/>
  <c r="D28097" i="10"/>
  <c r="D28096" i="10"/>
  <c r="D28095" i="10"/>
  <c r="D28094" i="10"/>
  <c r="D28093" i="10"/>
  <c r="D28092" i="10"/>
  <c r="D28091" i="10"/>
  <c r="D28090" i="10"/>
  <c r="D28089" i="10"/>
  <c r="D28088" i="10"/>
  <c r="D28087" i="10"/>
  <c r="D28086" i="10"/>
  <c r="D28085" i="10"/>
  <c r="D28084" i="10"/>
  <c r="D28083" i="10"/>
  <c r="D28082" i="10"/>
  <c r="D28081" i="10"/>
  <c r="D28080" i="10"/>
  <c r="D28079" i="10"/>
  <c r="D28078" i="10"/>
  <c r="D28077" i="10"/>
  <c r="D28076" i="10"/>
  <c r="D28075" i="10"/>
  <c r="D28074" i="10"/>
  <c r="D28073" i="10"/>
  <c r="D28072" i="10"/>
  <c r="D28071" i="10"/>
  <c r="D28070" i="10"/>
  <c r="D28069" i="10"/>
  <c r="D28068" i="10"/>
  <c r="D28067" i="10"/>
  <c r="D28066" i="10"/>
  <c r="D28065" i="10"/>
  <c r="D28064" i="10"/>
  <c r="D28063" i="10"/>
  <c r="D28062" i="10"/>
  <c r="D28061" i="10"/>
  <c r="D28060" i="10"/>
  <c r="D28059" i="10"/>
  <c r="D28058" i="10"/>
  <c r="D28057" i="10"/>
  <c r="D28056" i="10"/>
  <c r="D28055" i="10"/>
  <c r="D28054" i="10"/>
  <c r="D28053" i="10"/>
  <c r="D28052" i="10"/>
  <c r="D28051" i="10"/>
  <c r="D28050" i="10"/>
  <c r="D28049" i="10"/>
  <c r="D28048" i="10"/>
  <c r="D28047" i="10"/>
  <c r="D28046" i="10"/>
  <c r="D28045" i="10"/>
  <c r="D28044" i="10"/>
  <c r="D28043" i="10"/>
  <c r="D28042" i="10"/>
  <c r="D28041" i="10"/>
  <c r="D28040" i="10"/>
  <c r="D28039" i="10"/>
  <c r="D28038" i="10"/>
  <c r="D28037" i="10"/>
  <c r="D28036" i="10"/>
  <c r="D28035" i="10"/>
  <c r="D28034" i="10"/>
  <c r="D28033" i="10"/>
  <c r="D28032" i="10"/>
  <c r="D28031" i="10"/>
  <c r="D28030" i="10"/>
  <c r="D28029" i="10"/>
  <c r="D28028" i="10"/>
  <c r="D28027" i="10"/>
  <c r="D28026" i="10"/>
  <c r="D28025" i="10"/>
  <c r="D28024" i="10"/>
  <c r="D28023" i="10"/>
  <c r="D28022" i="10"/>
  <c r="D28021" i="10"/>
  <c r="D28020" i="10"/>
  <c r="D28019" i="10"/>
  <c r="D28018" i="10"/>
  <c r="D28017" i="10"/>
  <c r="D28016" i="10"/>
  <c r="D28015" i="10"/>
  <c r="D28014" i="10"/>
  <c r="D28013" i="10"/>
  <c r="D28012" i="10"/>
  <c r="D28011" i="10"/>
  <c r="D28010" i="10"/>
  <c r="D28009" i="10"/>
  <c r="D28008" i="10"/>
  <c r="D28007" i="10"/>
  <c r="D28006" i="10"/>
  <c r="D28005" i="10"/>
  <c r="D28004" i="10"/>
  <c r="D28003" i="10"/>
  <c r="D28002" i="10"/>
  <c r="D28001" i="10"/>
  <c r="D28000" i="10"/>
  <c r="D27999" i="10"/>
  <c r="D27998" i="10"/>
  <c r="D27997" i="10"/>
  <c r="D27996" i="10"/>
  <c r="D27995" i="10"/>
  <c r="D27994" i="10"/>
  <c r="D27993" i="10"/>
  <c r="D27992" i="10"/>
  <c r="D27991" i="10"/>
  <c r="D27990" i="10"/>
  <c r="D27989" i="10"/>
  <c r="D27988" i="10"/>
  <c r="D27987" i="10"/>
  <c r="D27986" i="10"/>
  <c r="D27985" i="10"/>
  <c r="D27984" i="10"/>
  <c r="D27983" i="10"/>
  <c r="D27982" i="10"/>
  <c r="D27981" i="10"/>
  <c r="D27980" i="10"/>
  <c r="D27979" i="10"/>
  <c r="D27978" i="10"/>
  <c r="D27977" i="10"/>
  <c r="D27976" i="10"/>
  <c r="D27975" i="10"/>
  <c r="D27974" i="10"/>
  <c r="D27973" i="10"/>
  <c r="D27972" i="10"/>
  <c r="D27971" i="10"/>
  <c r="D27970" i="10"/>
  <c r="D27969" i="10"/>
  <c r="D27968" i="10"/>
  <c r="D27967" i="10"/>
  <c r="D27966" i="10"/>
  <c r="D27965" i="10"/>
  <c r="D27964" i="10"/>
  <c r="D27963" i="10"/>
  <c r="D27962" i="10"/>
  <c r="D27961" i="10"/>
  <c r="D27960" i="10"/>
  <c r="D27959" i="10"/>
  <c r="D27958" i="10"/>
  <c r="D27957" i="10"/>
  <c r="D27956" i="10"/>
  <c r="D27955" i="10"/>
  <c r="D27954" i="10"/>
  <c r="D27953" i="10"/>
  <c r="D27952" i="10"/>
  <c r="D27951" i="10"/>
  <c r="D27950" i="10"/>
  <c r="D27949" i="10"/>
  <c r="D27948" i="10"/>
  <c r="D27947" i="10"/>
  <c r="D27946" i="10"/>
  <c r="D27945" i="10"/>
  <c r="D27944" i="10"/>
  <c r="D27943" i="10"/>
  <c r="D27942" i="10"/>
  <c r="D27941" i="10"/>
  <c r="D27940" i="10"/>
  <c r="D27939" i="10"/>
  <c r="D27938" i="10"/>
  <c r="D27937" i="10"/>
  <c r="D27936" i="10"/>
  <c r="D27935" i="10"/>
  <c r="D27934" i="10"/>
  <c r="D27933" i="10"/>
  <c r="D27932" i="10"/>
  <c r="D27931" i="10"/>
  <c r="D27930" i="10"/>
  <c r="D27929" i="10"/>
  <c r="D27928" i="10"/>
  <c r="D27927" i="10"/>
  <c r="D27926" i="10"/>
  <c r="D27925" i="10"/>
  <c r="D27924" i="10"/>
  <c r="D27923" i="10"/>
  <c r="D27922" i="10"/>
  <c r="D27921" i="10"/>
  <c r="D27920" i="10"/>
  <c r="D27919" i="10"/>
  <c r="D27918" i="10"/>
  <c r="D27917" i="10"/>
  <c r="D27916" i="10"/>
  <c r="D27915" i="10"/>
  <c r="D27914" i="10"/>
  <c r="D27913" i="10"/>
  <c r="D27912" i="10"/>
  <c r="D27911" i="10"/>
  <c r="D27910" i="10"/>
  <c r="D27909" i="10"/>
  <c r="D27908" i="10"/>
  <c r="D27907" i="10"/>
  <c r="D27906" i="10"/>
  <c r="D27905" i="10"/>
  <c r="D27904" i="10"/>
  <c r="D27903" i="10"/>
  <c r="D27902" i="10"/>
  <c r="D27901" i="10"/>
  <c r="D27900" i="10"/>
  <c r="D27899" i="10"/>
  <c r="D27898" i="10"/>
  <c r="D27897" i="10"/>
  <c r="D27896" i="10"/>
  <c r="D27895" i="10"/>
  <c r="D27894" i="10"/>
  <c r="D27893" i="10"/>
  <c r="D27892" i="10"/>
  <c r="D27891" i="10"/>
  <c r="D27890" i="10"/>
  <c r="D27889" i="10"/>
  <c r="D27888" i="10"/>
  <c r="D27887" i="10"/>
  <c r="D27886" i="10"/>
  <c r="D27885" i="10"/>
  <c r="D27884" i="10"/>
  <c r="D27883" i="10"/>
  <c r="D27882" i="10"/>
  <c r="D27881" i="10"/>
  <c r="D27880" i="10"/>
  <c r="D27879" i="10"/>
  <c r="D27878" i="10"/>
  <c r="D27877" i="10"/>
  <c r="D27876" i="10"/>
  <c r="D27875" i="10"/>
  <c r="D27874" i="10"/>
  <c r="D27873" i="10"/>
  <c r="D27872" i="10"/>
  <c r="D27871" i="10"/>
  <c r="D27870" i="10"/>
  <c r="D27869" i="10"/>
  <c r="D27868" i="10"/>
  <c r="D27867" i="10"/>
  <c r="D27866" i="10"/>
  <c r="D27865" i="10"/>
  <c r="D27864" i="10"/>
  <c r="D27863" i="10"/>
  <c r="D27862" i="10"/>
  <c r="D27861" i="10"/>
  <c r="D27860" i="10"/>
  <c r="D27859" i="10"/>
  <c r="D27858" i="10"/>
  <c r="D27857" i="10"/>
  <c r="D27856" i="10"/>
  <c r="D27855" i="10"/>
  <c r="D27854" i="10"/>
  <c r="D27853" i="10"/>
  <c r="D27852" i="10"/>
  <c r="D27851" i="10"/>
  <c r="D27850" i="10"/>
  <c r="D27849" i="10"/>
  <c r="D27848" i="10"/>
  <c r="D27847" i="10"/>
  <c r="D27846" i="10"/>
  <c r="D27845" i="10"/>
  <c r="D27844" i="10"/>
  <c r="D27843" i="10"/>
  <c r="D27842" i="10"/>
  <c r="D27841" i="10"/>
  <c r="D27840" i="10"/>
  <c r="D27839" i="10"/>
  <c r="D27838" i="10"/>
  <c r="D27837" i="10"/>
  <c r="D27836" i="10"/>
  <c r="D27835" i="10"/>
  <c r="D27834" i="10"/>
  <c r="D27833" i="10"/>
  <c r="D27832" i="10"/>
  <c r="D27831" i="10"/>
  <c r="D27830" i="10"/>
  <c r="D27829" i="10"/>
  <c r="D27828" i="10"/>
  <c r="D27827" i="10"/>
  <c r="D27826" i="10"/>
  <c r="D27825" i="10"/>
  <c r="D27824" i="10"/>
  <c r="D27823" i="10"/>
  <c r="D27822" i="10"/>
  <c r="D27821" i="10"/>
  <c r="D27820" i="10"/>
  <c r="D27819" i="10"/>
  <c r="D27818" i="10"/>
  <c r="D27817" i="10"/>
  <c r="D27816" i="10"/>
  <c r="D27815" i="10"/>
  <c r="D27814" i="10"/>
  <c r="D27813" i="10"/>
  <c r="D27812" i="10"/>
  <c r="D27811" i="10"/>
  <c r="D27810" i="10"/>
  <c r="D27809" i="10"/>
  <c r="D27808" i="10"/>
  <c r="D27807" i="10"/>
  <c r="D27806" i="10"/>
  <c r="D27805" i="10"/>
  <c r="D27804" i="10"/>
  <c r="D27803" i="10"/>
  <c r="D27802" i="10"/>
  <c r="D27801" i="10"/>
  <c r="D27800" i="10"/>
  <c r="D27799" i="10"/>
  <c r="D27798" i="10"/>
  <c r="D27797" i="10"/>
  <c r="D27796" i="10"/>
  <c r="D27795" i="10"/>
  <c r="D27794" i="10"/>
  <c r="D27793" i="10"/>
  <c r="D27792" i="10"/>
  <c r="D27791" i="10"/>
  <c r="D27790" i="10"/>
  <c r="D27789" i="10"/>
  <c r="D27788" i="10"/>
  <c r="D27787" i="10"/>
  <c r="D27786" i="10"/>
  <c r="D27785" i="10"/>
  <c r="D27784" i="10"/>
  <c r="D27783" i="10"/>
  <c r="D27782" i="10"/>
  <c r="D27781" i="10"/>
  <c r="D27780" i="10"/>
  <c r="D27779" i="10"/>
  <c r="D27778" i="10"/>
  <c r="D27777" i="10"/>
  <c r="D27776" i="10"/>
  <c r="D27775" i="10"/>
  <c r="D27774" i="10"/>
  <c r="D27773" i="10"/>
  <c r="D27772" i="10"/>
  <c r="D27771" i="10"/>
  <c r="D27770" i="10"/>
  <c r="D27769" i="10"/>
  <c r="D27768" i="10"/>
  <c r="D27767" i="10"/>
  <c r="D27766" i="10"/>
  <c r="D27765" i="10"/>
  <c r="D27764" i="10"/>
  <c r="D27763" i="10"/>
  <c r="D27762" i="10"/>
  <c r="D27761" i="10"/>
  <c r="D27760" i="10"/>
  <c r="D27759" i="10"/>
  <c r="D27758" i="10"/>
  <c r="D27757" i="10"/>
  <c r="D27756" i="10"/>
  <c r="D27755" i="10"/>
  <c r="D27754" i="10"/>
  <c r="D27753" i="10"/>
  <c r="D27752" i="10"/>
  <c r="D27751" i="10"/>
  <c r="D27750" i="10"/>
  <c r="D27749" i="10"/>
  <c r="D27748" i="10"/>
  <c r="D27747" i="10"/>
  <c r="D27746" i="10"/>
  <c r="D27745" i="10"/>
  <c r="D27744" i="10"/>
  <c r="D27743" i="10"/>
  <c r="D27742" i="10"/>
  <c r="D27741" i="10"/>
  <c r="D27740" i="10"/>
  <c r="D27739" i="10"/>
  <c r="D27738" i="10"/>
  <c r="D27737" i="10"/>
  <c r="D27736" i="10"/>
  <c r="D27735" i="10"/>
  <c r="D27734" i="10"/>
  <c r="D27733" i="10"/>
  <c r="D27732" i="10"/>
  <c r="D27731" i="10"/>
  <c r="D27730" i="10"/>
  <c r="D27729" i="10"/>
  <c r="D27728" i="10"/>
  <c r="D27727" i="10"/>
  <c r="D27726" i="10"/>
  <c r="D27725" i="10"/>
  <c r="D27724" i="10"/>
  <c r="D27723" i="10"/>
  <c r="D27722" i="10"/>
  <c r="D27721" i="10"/>
  <c r="D27720" i="10"/>
  <c r="D27719" i="10"/>
  <c r="D27718" i="10"/>
  <c r="D27717" i="10"/>
  <c r="D27716" i="10"/>
  <c r="D27715" i="10"/>
  <c r="D27714" i="10"/>
  <c r="D27713" i="10"/>
  <c r="D27712" i="10"/>
  <c r="D27711" i="10"/>
  <c r="D27710" i="10"/>
  <c r="D27709" i="10"/>
  <c r="D27708" i="10"/>
  <c r="D27707" i="10"/>
  <c r="D27706" i="10"/>
  <c r="D27705" i="10"/>
  <c r="D27704" i="10"/>
  <c r="D27703" i="10"/>
  <c r="D27702" i="10"/>
  <c r="D27701" i="10"/>
  <c r="D27700" i="10"/>
  <c r="D27699" i="10"/>
  <c r="D27698" i="10"/>
  <c r="D27697" i="10"/>
  <c r="D27696" i="10"/>
  <c r="D27695" i="10"/>
  <c r="D27694" i="10"/>
  <c r="D27693" i="10"/>
  <c r="D27692" i="10"/>
  <c r="D27691" i="10"/>
  <c r="D27690" i="10"/>
  <c r="D27689" i="10"/>
  <c r="D27688" i="10"/>
  <c r="D27687" i="10"/>
  <c r="D27686" i="10"/>
  <c r="D27685" i="10"/>
  <c r="D27684" i="10"/>
  <c r="D27683" i="10"/>
  <c r="D27682" i="10"/>
  <c r="D27681" i="10"/>
  <c r="D27680" i="10"/>
  <c r="D27679" i="10"/>
  <c r="D27678" i="10"/>
  <c r="D27677" i="10"/>
  <c r="D27676" i="10"/>
  <c r="D27675" i="10"/>
  <c r="D27674" i="10"/>
  <c r="D27673" i="10"/>
  <c r="D27672" i="10"/>
  <c r="D27671" i="10"/>
  <c r="D27670" i="10"/>
  <c r="D27669" i="10"/>
  <c r="D27668" i="10"/>
  <c r="D27667" i="10"/>
  <c r="D27666" i="10"/>
  <c r="D27665" i="10"/>
  <c r="D27664" i="10"/>
  <c r="D27663" i="10"/>
  <c r="D27662" i="10"/>
  <c r="D27661" i="10"/>
  <c r="D27660" i="10"/>
  <c r="D27659" i="10"/>
  <c r="D27658" i="10"/>
  <c r="D27657" i="10"/>
  <c r="D27656" i="10"/>
  <c r="D27655" i="10"/>
  <c r="D27654" i="10"/>
  <c r="D27653" i="10"/>
  <c r="D27652" i="10"/>
  <c r="D27651" i="10"/>
  <c r="D27650" i="10"/>
  <c r="D27649" i="10"/>
  <c r="D27648" i="10"/>
  <c r="D27647" i="10"/>
  <c r="D27646" i="10"/>
  <c r="D27645" i="10"/>
  <c r="D27644" i="10"/>
  <c r="D27643" i="10"/>
  <c r="D27642" i="10"/>
  <c r="D27641" i="10"/>
  <c r="D27640" i="10"/>
  <c r="D27639" i="10"/>
  <c r="D27638" i="10"/>
  <c r="D27637" i="10"/>
  <c r="D27636" i="10"/>
  <c r="D27635" i="10"/>
  <c r="D27634" i="10"/>
  <c r="D27633" i="10"/>
  <c r="D27632" i="10"/>
  <c r="D27631" i="10"/>
  <c r="D27630" i="10"/>
  <c r="D27629" i="10"/>
  <c r="D27628" i="10"/>
  <c r="D27627" i="10"/>
  <c r="D27626" i="10"/>
  <c r="D27625" i="10"/>
  <c r="D27624" i="10"/>
  <c r="D27623" i="10"/>
  <c r="D27622" i="10"/>
  <c r="D27621" i="10"/>
  <c r="D27620" i="10"/>
  <c r="D27619" i="10"/>
  <c r="D27618" i="10"/>
  <c r="D27617" i="10"/>
  <c r="D27616" i="10"/>
  <c r="D27615" i="10"/>
  <c r="D27614" i="10"/>
  <c r="D27613" i="10"/>
  <c r="D27612" i="10"/>
  <c r="D27611" i="10"/>
  <c r="D27610" i="10"/>
  <c r="D27609" i="10"/>
  <c r="D27608" i="10"/>
  <c r="D27607" i="10"/>
  <c r="D27606" i="10"/>
  <c r="D27605" i="10"/>
  <c r="D27604" i="10"/>
  <c r="D27603" i="10"/>
  <c r="D27602" i="10"/>
  <c r="D27601" i="10"/>
  <c r="D27600" i="10"/>
  <c r="D27599" i="10"/>
  <c r="D27598" i="10"/>
  <c r="D27597" i="10"/>
  <c r="D27596" i="10"/>
  <c r="D27595" i="10"/>
  <c r="D27594" i="10"/>
  <c r="D27593" i="10"/>
  <c r="D27592" i="10"/>
  <c r="D27591" i="10"/>
  <c r="D27590" i="10"/>
  <c r="D27589" i="10"/>
  <c r="D27588" i="10"/>
  <c r="D27587" i="10"/>
  <c r="D27586" i="10"/>
  <c r="D27585" i="10"/>
  <c r="D27584" i="10"/>
  <c r="D27583" i="10"/>
  <c r="D27582" i="10"/>
  <c r="D27581" i="10"/>
  <c r="D27580" i="10"/>
  <c r="D27579" i="10"/>
  <c r="D27578" i="10"/>
  <c r="D27577" i="10"/>
  <c r="D27576" i="10"/>
  <c r="D27575" i="10"/>
  <c r="D27574" i="10"/>
  <c r="D27573" i="10"/>
  <c r="D27572" i="10"/>
  <c r="D27571" i="10"/>
  <c r="D27570" i="10"/>
  <c r="D27569" i="10"/>
  <c r="D27568" i="10"/>
  <c r="D27567" i="10"/>
  <c r="D27566" i="10"/>
  <c r="D27565" i="10"/>
  <c r="D27564" i="10"/>
  <c r="D27563" i="10"/>
  <c r="D27562" i="10"/>
  <c r="D27561" i="10"/>
  <c r="D27560" i="10"/>
  <c r="D27559" i="10"/>
  <c r="D27558" i="10"/>
  <c r="D27557" i="10"/>
  <c r="D27556" i="10"/>
  <c r="D27555" i="10"/>
  <c r="D27554" i="10"/>
  <c r="D27553" i="10"/>
  <c r="D27552" i="10"/>
  <c r="D27551" i="10"/>
  <c r="D27550" i="10"/>
  <c r="D27549" i="10"/>
  <c r="D27548" i="10"/>
  <c r="D27547" i="10"/>
  <c r="D27546" i="10"/>
  <c r="D27545" i="10"/>
  <c r="D27544" i="10"/>
  <c r="D27543" i="10"/>
  <c r="D27542" i="10"/>
  <c r="D27541" i="10"/>
  <c r="D27540" i="10"/>
  <c r="D27539" i="10"/>
  <c r="D27538" i="10"/>
  <c r="D27537" i="10"/>
  <c r="D27536" i="10"/>
  <c r="D27535" i="10"/>
  <c r="D27534" i="10"/>
  <c r="D27533" i="10"/>
  <c r="D27532" i="10"/>
  <c r="D27531" i="10"/>
  <c r="D27530" i="10"/>
  <c r="D27529" i="10"/>
  <c r="D27528" i="10"/>
  <c r="D27527" i="10"/>
  <c r="D27526" i="10"/>
  <c r="D27525" i="10"/>
  <c r="D27524" i="10"/>
  <c r="D27523" i="10"/>
  <c r="D27522" i="10"/>
  <c r="D27521" i="10"/>
  <c r="D27520" i="10"/>
  <c r="D27519" i="10"/>
  <c r="D27518" i="10"/>
  <c r="D27517" i="10"/>
  <c r="D27516" i="10"/>
  <c r="D27515" i="10"/>
  <c r="D27514" i="10"/>
  <c r="D27513" i="10"/>
  <c r="D27512" i="10"/>
  <c r="D27511" i="10"/>
  <c r="D27510" i="10"/>
  <c r="D27509" i="10"/>
  <c r="D27508" i="10"/>
  <c r="D27507" i="10"/>
  <c r="D27506" i="10"/>
  <c r="D27505" i="10"/>
  <c r="D27504" i="10"/>
  <c r="D27503" i="10"/>
  <c r="D27502" i="10"/>
  <c r="D27501" i="10"/>
  <c r="D27500" i="10"/>
  <c r="D27499" i="10"/>
  <c r="D27498" i="10"/>
  <c r="D27497" i="10"/>
  <c r="D27496" i="10"/>
  <c r="D27495" i="10"/>
  <c r="D27494" i="10"/>
  <c r="D27493" i="10"/>
  <c r="D27492" i="10"/>
  <c r="D27491" i="10"/>
  <c r="D27490" i="10"/>
  <c r="D27489" i="10"/>
  <c r="D27488" i="10"/>
  <c r="D27487" i="10"/>
  <c r="D27486" i="10"/>
  <c r="D27485" i="10"/>
  <c r="D27484" i="10"/>
  <c r="D27483" i="10"/>
  <c r="D27482" i="10"/>
  <c r="D27481" i="10"/>
  <c r="D27480" i="10"/>
  <c r="D27479" i="10"/>
  <c r="D27478" i="10"/>
  <c r="D27477" i="10"/>
  <c r="D27476" i="10"/>
  <c r="D27475" i="10"/>
  <c r="D27474" i="10"/>
  <c r="D27473" i="10"/>
  <c r="D27472" i="10"/>
  <c r="D27471" i="10"/>
  <c r="D27470" i="10"/>
  <c r="D27469" i="10"/>
  <c r="D27468" i="10"/>
  <c r="D27467" i="10"/>
  <c r="D27466" i="10"/>
  <c r="D27465" i="10"/>
  <c r="D27464" i="10"/>
  <c r="D27463" i="10"/>
  <c r="D27462" i="10"/>
  <c r="D27461" i="10"/>
  <c r="D27460" i="10"/>
  <c r="D27459" i="10"/>
  <c r="D27458" i="10"/>
  <c r="D27457" i="10"/>
  <c r="D27456" i="10"/>
  <c r="D27455" i="10"/>
  <c r="D27454" i="10"/>
  <c r="D27453" i="10"/>
  <c r="D27452" i="10"/>
  <c r="D27451" i="10"/>
  <c r="D27450" i="10"/>
  <c r="D27449" i="10"/>
  <c r="D27448" i="10"/>
  <c r="D27447" i="10"/>
  <c r="D27446" i="10"/>
  <c r="D27445" i="10"/>
  <c r="D27444" i="10"/>
  <c r="D27443" i="10"/>
  <c r="D27442" i="10"/>
  <c r="D27441" i="10"/>
  <c r="D27440" i="10"/>
  <c r="D27439" i="10"/>
  <c r="D27438" i="10"/>
  <c r="D27437" i="10"/>
  <c r="D27436" i="10"/>
  <c r="D27435" i="10"/>
  <c r="D27434" i="10"/>
  <c r="D27433" i="10"/>
  <c r="D27432" i="10"/>
  <c r="D27431" i="10"/>
  <c r="D27430" i="10"/>
  <c r="D27429" i="10"/>
  <c r="D27428" i="10"/>
  <c r="D27427" i="10"/>
  <c r="D27426" i="10"/>
  <c r="D27425" i="10"/>
  <c r="D27424" i="10"/>
  <c r="D27423" i="10"/>
  <c r="D27422" i="10"/>
  <c r="D27421" i="10"/>
  <c r="D27420" i="10"/>
  <c r="D27419" i="10"/>
  <c r="D27418" i="10"/>
  <c r="D27417" i="10"/>
  <c r="D27416" i="10"/>
  <c r="D27415" i="10"/>
  <c r="D27414" i="10"/>
  <c r="D27413" i="10"/>
  <c r="D27412" i="10"/>
  <c r="D27411" i="10"/>
  <c r="D27410" i="10"/>
  <c r="D27409" i="10"/>
  <c r="D27408" i="10"/>
  <c r="D27407" i="10"/>
  <c r="D27406" i="10"/>
  <c r="D27405" i="10"/>
  <c r="D27404" i="10"/>
  <c r="D27403" i="10"/>
  <c r="D27402" i="10"/>
  <c r="D27401" i="10"/>
  <c r="D27400" i="10"/>
  <c r="D27399" i="10"/>
  <c r="D27398" i="10"/>
  <c r="D27397" i="10"/>
  <c r="D27396" i="10"/>
  <c r="D27395" i="10"/>
  <c r="D27394" i="10"/>
  <c r="D27393" i="10"/>
  <c r="D27392" i="10"/>
  <c r="D27391" i="10"/>
  <c r="D27390" i="10"/>
  <c r="D27389" i="10"/>
  <c r="D27388" i="10"/>
  <c r="D27387" i="10"/>
  <c r="D27386" i="10"/>
  <c r="D27385" i="10"/>
  <c r="D27384" i="10"/>
  <c r="D27383" i="10"/>
  <c r="D27382" i="10"/>
  <c r="D27381" i="10"/>
  <c r="D27380" i="10"/>
  <c r="D27379" i="10"/>
  <c r="D27378" i="10"/>
  <c r="D27377" i="10"/>
  <c r="D27376" i="10"/>
  <c r="D27375" i="10"/>
  <c r="D27374" i="10"/>
  <c r="D27373" i="10"/>
  <c r="D27372" i="10"/>
  <c r="D27371" i="10"/>
  <c r="D27370" i="10"/>
  <c r="D27369" i="10"/>
  <c r="D27368" i="10"/>
  <c r="D27367" i="10"/>
  <c r="D27366" i="10"/>
  <c r="D27365" i="10"/>
  <c r="D27364" i="10"/>
  <c r="D27363" i="10"/>
  <c r="D27362" i="10"/>
  <c r="D27361" i="10"/>
  <c r="D27360" i="10"/>
  <c r="D27359" i="10"/>
  <c r="D27358" i="10"/>
  <c r="D27357" i="10"/>
  <c r="D27356" i="10"/>
  <c r="D27355" i="10"/>
  <c r="D27354" i="10"/>
  <c r="D27353" i="10"/>
  <c r="D27352" i="10"/>
  <c r="D27351" i="10"/>
  <c r="D27350" i="10"/>
  <c r="D27349" i="10"/>
  <c r="D27348" i="10"/>
  <c r="D27347" i="10"/>
  <c r="D27346" i="10"/>
  <c r="D27345" i="10"/>
  <c r="D27344" i="10"/>
  <c r="D27343" i="10"/>
  <c r="D27342" i="10"/>
  <c r="D27341" i="10"/>
  <c r="D27340" i="10"/>
  <c r="D27339" i="10"/>
  <c r="D27338" i="10"/>
  <c r="D27337" i="10"/>
  <c r="D27336" i="10"/>
  <c r="D27335" i="10"/>
  <c r="D27334" i="10"/>
  <c r="D27333" i="10"/>
  <c r="D27332" i="10"/>
  <c r="D27331" i="10"/>
  <c r="D27330" i="10"/>
  <c r="D27329" i="10"/>
  <c r="D27328" i="10"/>
  <c r="D27327" i="10"/>
  <c r="D27326" i="10"/>
  <c r="D27325" i="10"/>
  <c r="D27324" i="10"/>
  <c r="D27323" i="10"/>
  <c r="D27322" i="10"/>
  <c r="D27321" i="10"/>
  <c r="D27320" i="10"/>
  <c r="D27319" i="10"/>
  <c r="D27318" i="10"/>
  <c r="D27317" i="10"/>
  <c r="D27316" i="10"/>
  <c r="D27315" i="10"/>
  <c r="D27314" i="10"/>
  <c r="D27313" i="10"/>
  <c r="D27312" i="10"/>
  <c r="D27311" i="10"/>
  <c r="D27310" i="10"/>
  <c r="D27309" i="10"/>
  <c r="D27308" i="10"/>
  <c r="D27307" i="10"/>
  <c r="D27306" i="10"/>
  <c r="D27305" i="10"/>
  <c r="D27304" i="10"/>
  <c r="D27303" i="10"/>
  <c r="D27302" i="10"/>
  <c r="D27301" i="10"/>
  <c r="D27300" i="10"/>
  <c r="D27299" i="10"/>
  <c r="D27298" i="10"/>
  <c r="D27297" i="10"/>
  <c r="D27296" i="10"/>
  <c r="D27295" i="10"/>
  <c r="D27294" i="10"/>
  <c r="D27293" i="10"/>
  <c r="D27292" i="10"/>
  <c r="D27291" i="10"/>
  <c r="D27290" i="10"/>
  <c r="D27289" i="10"/>
  <c r="D27288" i="10"/>
  <c r="D27287" i="10"/>
  <c r="D27286" i="10"/>
  <c r="D27285" i="10"/>
  <c r="D27284" i="10"/>
  <c r="D27283" i="10"/>
  <c r="D27282" i="10"/>
  <c r="D27281" i="10"/>
  <c r="D27280" i="10"/>
  <c r="D27279" i="10"/>
  <c r="D27278" i="10"/>
  <c r="D27277" i="10"/>
  <c r="D27276" i="10"/>
  <c r="D27275" i="10"/>
  <c r="D27274" i="10"/>
  <c r="D27273" i="10"/>
  <c r="D27272" i="10"/>
  <c r="D27271" i="10"/>
  <c r="D27270" i="10"/>
  <c r="D27269" i="10"/>
  <c r="D27268" i="10"/>
  <c r="D27267" i="10"/>
  <c r="D27266" i="10"/>
  <c r="D27265" i="10"/>
  <c r="D27264" i="10"/>
  <c r="D27263" i="10"/>
  <c r="D27262" i="10"/>
  <c r="D27261" i="10"/>
  <c r="D27260" i="10"/>
  <c r="D27259" i="10"/>
  <c r="D27258" i="10"/>
  <c r="D27257" i="10"/>
  <c r="D27256" i="10"/>
  <c r="D27255" i="10"/>
  <c r="D27254" i="10"/>
  <c r="D27253" i="10"/>
  <c r="D27252" i="10"/>
  <c r="D27251" i="10"/>
  <c r="D27250" i="10"/>
  <c r="D27249" i="10"/>
  <c r="D27248" i="10"/>
  <c r="D27247" i="10"/>
  <c r="D27246" i="10"/>
  <c r="D27245" i="10"/>
  <c r="D27244" i="10"/>
  <c r="D27243" i="10"/>
  <c r="D27242" i="10"/>
  <c r="D27241" i="10"/>
  <c r="D27240" i="10"/>
  <c r="D27239" i="10"/>
  <c r="D27238" i="10"/>
  <c r="D27237" i="10"/>
  <c r="D27236" i="10"/>
  <c r="D27235" i="10"/>
  <c r="D27234" i="10"/>
  <c r="D27233" i="10"/>
  <c r="D27232" i="10"/>
  <c r="D27231" i="10"/>
  <c r="D27230" i="10"/>
  <c r="D27229" i="10"/>
  <c r="D27228" i="10"/>
  <c r="D27227" i="10"/>
  <c r="D27226" i="10"/>
  <c r="D27225" i="10"/>
  <c r="D27224" i="10"/>
  <c r="D27223" i="10"/>
  <c r="D27222" i="10"/>
  <c r="D27221" i="10"/>
  <c r="D27220" i="10"/>
  <c r="D27219" i="10"/>
  <c r="D27218" i="10"/>
  <c r="D27217" i="10"/>
  <c r="D27216" i="10"/>
  <c r="D27215" i="10"/>
  <c r="D27214" i="10"/>
  <c r="D27213" i="10"/>
  <c r="D27212" i="10"/>
  <c r="D27211" i="10"/>
  <c r="D27210" i="10"/>
  <c r="D27209" i="10"/>
  <c r="D27208" i="10"/>
  <c r="D27207" i="10"/>
  <c r="D27206" i="10"/>
  <c r="D27205" i="10"/>
  <c r="D27204" i="10"/>
  <c r="D27203" i="10"/>
  <c r="D27202" i="10"/>
  <c r="D27201" i="10"/>
  <c r="D27200" i="10"/>
  <c r="D27199" i="10"/>
  <c r="D27198" i="10"/>
  <c r="D27197" i="10"/>
  <c r="D27196" i="10"/>
  <c r="D27195" i="10"/>
  <c r="D27194" i="10"/>
  <c r="D27193" i="10"/>
  <c r="D27192" i="10"/>
  <c r="D27191" i="10"/>
  <c r="D27190" i="10"/>
  <c r="D27189" i="10"/>
  <c r="D27188" i="10"/>
  <c r="D27187" i="10"/>
  <c r="D27186" i="10"/>
  <c r="D27185" i="10"/>
  <c r="D27184" i="10"/>
  <c r="D27183" i="10"/>
  <c r="D27182" i="10"/>
  <c r="D27181" i="10"/>
  <c r="D27180" i="10"/>
  <c r="D27179" i="10"/>
  <c r="D27178" i="10"/>
  <c r="D27177" i="10"/>
  <c r="D27176" i="10"/>
  <c r="D27175" i="10"/>
  <c r="D27174" i="10"/>
  <c r="D27173" i="10"/>
  <c r="D27172" i="10"/>
  <c r="D27171" i="10"/>
  <c r="D27170" i="10"/>
  <c r="D27169" i="10"/>
  <c r="D27168" i="10"/>
  <c r="D27167" i="10"/>
  <c r="D27166" i="10"/>
  <c r="D27165" i="10"/>
  <c r="D27164" i="10"/>
  <c r="D27163" i="10"/>
  <c r="D27162" i="10"/>
  <c r="D27161" i="10"/>
  <c r="D27160" i="10"/>
  <c r="D27159" i="10"/>
  <c r="D27158" i="10"/>
  <c r="D27157" i="10"/>
  <c r="D27156" i="10"/>
  <c r="D27155" i="10"/>
  <c r="D27154" i="10"/>
  <c r="D27153" i="10"/>
  <c r="D27152" i="10"/>
  <c r="D27151" i="10"/>
  <c r="D27150" i="10"/>
  <c r="D27149" i="10"/>
  <c r="D27148" i="10"/>
  <c r="D27147" i="10"/>
  <c r="D27146" i="10"/>
  <c r="D27145" i="10"/>
  <c r="D27144" i="10"/>
  <c r="D27143" i="10"/>
  <c r="D27142" i="10"/>
  <c r="D27141" i="10"/>
  <c r="D27140" i="10"/>
  <c r="D27139" i="10"/>
  <c r="D27138" i="10"/>
  <c r="D27137" i="10"/>
  <c r="D27136" i="10"/>
  <c r="D27135" i="10"/>
  <c r="D27134" i="10"/>
  <c r="D27133" i="10"/>
  <c r="D27132" i="10"/>
  <c r="D27131" i="10"/>
  <c r="D27130" i="10"/>
  <c r="D27129" i="10"/>
  <c r="D27128" i="10"/>
  <c r="D27127" i="10"/>
  <c r="D27126" i="10"/>
  <c r="D27125" i="10"/>
  <c r="D27124" i="10"/>
  <c r="D27123" i="10"/>
  <c r="D27122" i="10"/>
  <c r="D27121" i="10"/>
  <c r="D27120" i="10"/>
  <c r="D27119" i="10"/>
  <c r="D27118" i="10"/>
  <c r="D27117" i="10"/>
  <c r="D27116" i="10"/>
  <c r="D27115" i="10"/>
  <c r="D27114" i="10"/>
  <c r="D27113" i="10"/>
  <c r="D27112" i="10"/>
  <c r="D27111" i="10"/>
  <c r="D27110" i="10"/>
  <c r="D27109" i="10"/>
  <c r="D27108" i="10"/>
  <c r="D27107" i="10"/>
  <c r="D27106" i="10"/>
  <c r="D27105" i="10"/>
  <c r="D27104" i="10"/>
  <c r="D27103" i="10"/>
  <c r="D27102" i="10"/>
  <c r="D27101" i="10"/>
  <c r="D27100" i="10"/>
  <c r="D27099" i="10"/>
  <c r="D27098" i="10"/>
  <c r="D27097" i="10"/>
  <c r="D27096" i="10"/>
  <c r="D27095" i="10"/>
  <c r="D27094" i="10"/>
  <c r="D27093" i="10"/>
  <c r="D27092" i="10"/>
  <c r="D27091" i="10"/>
  <c r="D27090" i="10"/>
  <c r="D27089" i="10"/>
  <c r="D27088" i="10"/>
  <c r="D27087" i="10"/>
  <c r="D27086" i="10"/>
  <c r="D27085" i="10"/>
  <c r="D27084" i="10"/>
  <c r="D27083" i="10"/>
  <c r="D27082" i="10"/>
  <c r="D27081" i="10"/>
  <c r="D27080" i="10"/>
  <c r="D27079" i="10"/>
  <c r="D27078" i="10"/>
  <c r="D27077" i="10"/>
  <c r="D27076" i="10"/>
  <c r="D27075" i="10"/>
  <c r="D27074" i="10"/>
  <c r="D27073" i="10"/>
  <c r="D27072" i="10"/>
  <c r="D27071" i="10"/>
  <c r="D27070" i="10"/>
  <c r="D27069" i="10"/>
  <c r="D27068" i="10"/>
  <c r="D27067" i="10"/>
  <c r="D27066" i="10"/>
  <c r="D27065" i="10"/>
  <c r="D27064" i="10"/>
  <c r="D27063" i="10"/>
  <c r="D27062" i="10"/>
  <c r="D27061" i="10"/>
  <c r="D27060" i="10"/>
  <c r="D27059" i="10"/>
  <c r="D27058" i="10"/>
  <c r="D27057" i="10"/>
  <c r="D27056" i="10"/>
  <c r="D27055" i="10"/>
  <c r="D27054" i="10"/>
  <c r="D27053" i="10"/>
  <c r="D27052" i="10"/>
  <c r="D27051" i="10"/>
  <c r="D27050" i="10"/>
  <c r="D27049" i="10"/>
  <c r="D27048" i="10"/>
  <c r="D27047" i="10"/>
  <c r="D27046" i="10"/>
  <c r="D27045" i="10"/>
  <c r="D27044" i="10"/>
  <c r="D27043" i="10"/>
  <c r="D27042" i="10"/>
  <c r="D27041" i="10"/>
  <c r="D27040" i="10"/>
  <c r="D27039" i="10"/>
  <c r="D27038" i="10"/>
  <c r="D27037" i="10"/>
  <c r="D27036" i="10"/>
  <c r="D27035" i="10"/>
  <c r="D27034" i="10"/>
  <c r="D27033" i="10"/>
  <c r="D27032" i="10"/>
  <c r="D27031" i="10"/>
  <c r="D27030" i="10"/>
  <c r="D27029" i="10"/>
  <c r="D27028" i="10"/>
  <c r="D27027" i="10"/>
  <c r="D27026" i="10"/>
  <c r="D27025" i="10"/>
  <c r="D27024" i="10"/>
  <c r="D27023" i="10"/>
  <c r="D27022" i="10"/>
  <c r="D27021" i="10"/>
  <c r="D27020" i="10"/>
  <c r="D27019" i="10"/>
  <c r="D27018" i="10"/>
  <c r="D27017" i="10"/>
  <c r="D27016" i="10"/>
  <c r="D27015" i="10"/>
  <c r="D27014" i="10"/>
  <c r="D27013" i="10"/>
  <c r="D27012" i="10"/>
  <c r="D27011" i="10"/>
  <c r="D27010" i="10"/>
  <c r="D27009" i="10"/>
  <c r="D27008" i="10"/>
  <c r="D27007" i="10"/>
  <c r="D27006" i="10"/>
  <c r="D27005" i="10"/>
  <c r="D27004" i="10"/>
  <c r="D27003" i="10"/>
  <c r="D27002" i="10"/>
  <c r="D27001" i="10"/>
  <c r="D27000" i="10"/>
  <c r="D26999" i="10"/>
  <c r="D26998" i="10"/>
  <c r="D26997" i="10"/>
  <c r="D26996" i="10"/>
  <c r="D26995" i="10"/>
  <c r="D26994" i="10"/>
  <c r="D26993" i="10"/>
  <c r="D26992" i="10"/>
  <c r="D26991" i="10"/>
  <c r="D26990" i="10"/>
  <c r="D26989" i="10"/>
  <c r="D26988" i="10"/>
  <c r="D26987" i="10"/>
  <c r="D26986" i="10"/>
  <c r="D26985" i="10"/>
  <c r="D26984" i="10"/>
  <c r="D26983" i="10"/>
  <c r="D26982" i="10"/>
  <c r="D26981" i="10"/>
  <c r="D26980" i="10"/>
  <c r="D26979" i="10"/>
  <c r="D26978" i="10"/>
  <c r="D26977" i="10"/>
  <c r="D26976" i="10"/>
  <c r="D26975" i="10"/>
  <c r="D26974" i="10"/>
  <c r="D26973" i="10"/>
  <c r="D26972" i="10"/>
  <c r="D26971" i="10"/>
  <c r="D26970" i="10"/>
  <c r="D26969" i="10"/>
  <c r="D26968" i="10"/>
  <c r="D26967" i="10"/>
  <c r="D26966" i="10"/>
  <c r="D26965" i="10"/>
  <c r="D26964" i="10"/>
  <c r="D26963" i="10"/>
  <c r="D26962" i="10"/>
  <c r="D26961" i="10"/>
  <c r="D26960" i="10"/>
  <c r="D26959" i="10"/>
  <c r="D26958" i="10"/>
  <c r="D26957" i="10"/>
  <c r="D26956" i="10"/>
  <c r="D26955" i="10"/>
  <c r="D26954" i="10"/>
  <c r="D26953" i="10"/>
  <c r="D26952" i="10"/>
  <c r="D26951" i="10"/>
  <c r="D26950" i="10"/>
  <c r="D26949" i="10"/>
  <c r="D26948" i="10"/>
  <c r="D26947" i="10"/>
  <c r="D26946" i="10"/>
  <c r="D26945" i="10"/>
  <c r="D26944" i="10"/>
  <c r="D26943" i="10"/>
  <c r="D26942" i="10"/>
  <c r="D26941" i="10"/>
  <c r="D26940" i="10"/>
  <c r="D26939" i="10"/>
  <c r="D26938" i="10"/>
  <c r="D26937" i="10"/>
  <c r="D26936" i="10"/>
  <c r="D26935" i="10"/>
  <c r="D26934" i="10"/>
  <c r="D26933" i="10"/>
  <c r="D26932" i="10"/>
  <c r="D26931" i="10"/>
  <c r="D26930" i="10"/>
  <c r="D26929" i="10"/>
  <c r="D26928" i="10"/>
  <c r="D26927" i="10"/>
  <c r="D26926" i="10"/>
  <c r="D26925" i="10"/>
  <c r="D26924" i="10"/>
  <c r="D26923" i="10"/>
  <c r="D26922" i="10"/>
  <c r="D26921" i="10"/>
  <c r="D26920" i="10"/>
  <c r="D26919" i="10"/>
  <c r="D26918" i="10"/>
  <c r="D26917" i="10"/>
  <c r="D26916" i="10"/>
  <c r="D26915" i="10"/>
  <c r="D26914" i="10"/>
  <c r="D26913" i="10"/>
  <c r="D26912" i="10"/>
  <c r="D26911" i="10"/>
  <c r="D26910" i="10"/>
  <c r="D26909" i="10"/>
  <c r="D26908" i="10"/>
  <c r="D26907" i="10"/>
  <c r="D26906" i="10"/>
  <c r="D26905" i="10"/>
  <c r="D26904" i="10"/>
  <c r="D26903" i="10"/>
  <c r="D26902" i="10"/>
  <c r="D26901" i="10"/>
  <c r="D26900" i="10"/>
  <c r="D26899" i="10"/>
  <c r="D26898" i="10"/>
  <c r="D26897" i="10"/>
  <c r="D26896" i="10"/>
  <c r="D26895" i="10"/>
  <c r="D26894" i="10"/>
  <c r="D26893" i="10"/>
  <c r="D26892" i="10"/>
  <c r="D26891" i="10"/>
  <c r="D26890" i="10"/>
  <c r="D26889" i="10"/>
  <c r="D26888" i="10"/>
  <c r="D26887" i="10"/>
  <c r="D26886" i="10"/>
  <c r="D26885" i="10"/>
  <c r="D26884" i="10"/>
  <c r="D26883" i="10"/>
  <c r="D26882" i="10"/>
  <c r="D26881" i="10"/>
  <c r="D26880" i="10"/>
  <c r="D26879" i="10"/>
  <c r="D26878" i="10"/>
  <c r="D26877" i="10"/>
  <c r="D26876" i="10"/>
  <c r="D26875" i="10"/>
  <c r="D26874" i="10"/>
  <c r="D26873" i="10"/>
  <c r="D26872" i="10"/>
  <c r="D26871" i="10"/>
  <c r="D26870" i="10"/>
  <c r="D26869" i="10"/>
  <c r="D26868" i="10"/>
  <c r="D26867" i="10"/>
  <c r="D26866" i="10"/>
  <c r="D26865" i="10"/>
  <c r="D26864" i="10"/>
  <c r="D26863" i="10"/>
  <c r="D26862" i="10"/>
  <c r="D26861" i="10"/>
  <c r="D26860" i="10"/>
  <c r="D26859" i="10"/>
  <c r="D26858" i="10"/>
  <c r="D26857" i="10"/>
  <c r="D26856" i="10"/>
  <c r="D26855" i="10"/>
  <c r="D26854" i="10"/>
  <c r="D26853" i="10"/>
  <c r="D26852" i="10"/>
  <c r="D26851" i="10"/>
  <c r="D26850" i="10"/>
  <c r="D26849" i="10"/>
  <c r="D26848" i="10"/>
  <c r="D26847" i="10"/>
  <c r="D26846" i="10"/>
  <c r="D26845" i="10"/>
  <c r="D26844" i="10"/>
  <c r="D26843" i="10"/>
  <c r="D26842" i="10"/>
  <c r="D26841" i="10"/>
  <c r="D26840" i="10"/>
  <c r="D26839" i="10"/>
  <c r="D26838" i="10"/>
  <c r="D26837" i="10"/>
  <c r="D26836" i="10"/>
  <c r="D26835" i="10"/>
  <c r="D26834" i="10"/>
  <c r="D26833" i="10"/>
  <c r="D26832" i="10"/>
  <c r="D26831" i="10"/>
  <c r="D26830" i="10"/>
  <c r="D26829" i="10"/>
  <c r="D26828" i="10"/>
  <c r="D26827" i="10"/>
  <c r="D26826" i="10"/>
  <c r="D26825" i="10"/>
  <c r="D26824" i="10"/>
  <c r="D26823" i="10"/>
  <c r="D26822" i="10"/>
  <c r="D26821" i="10"/>
  <c r="D26820" i="10"/>
  <c r="D26819" i="10"/>
  <c r="D26818" i="10"/>
  <c r="D26817" i="10"/>
  <c r="D26816" i="10"/>
  <c r="D26815" i="10"/>
  <c r="D26814" i="10"/>
  <c r="D26813" i="10"/>
  <c r="D26812" i="10"/>
  <c r="D26811" i="10"/>
  <c r="D26810" i="10"/>
  <c r="D26809" i="10"/>
  <c r="D26808" i="10"/>
  <c r="D26807" i="10"/>
  <c r="D26806" i="10"/>
  <c r="D26805" i="10"/>
  <c r="D26804" i="10"/>
  <c r="D26803" i="10"/>
  <c r="D26802" i="10"/>
  <c r="D26801" i="10"/>
  <c r="D26800" i="10"/>
  <c r="D26799" i="10"/>
  <c r="D26798" i="10"/>
  <c r="D26797" i="10"/>
  <c r="D26796" i="10"/>
  <c r="D26795" i="10"/>
  <c r="D26794" i="10"/>
  <c r="D26793" i="10"/>
  <c r="D26792" i="10"/>
  <c r="D26791" i="10"/>
  <c r="D26790" i="10"/>
  <c r="D26789" i="10"/>
  <c r="D26788" i="10"/>
  <c r="D26787" i="10"/>
  <c r="D26786" i="10"/>
  <c r="D26785" i="10"/>
  <c r="D26784" i="10"/>
  <c r="D26783" i="10"/>
  <c r="D26782" i="10"/>
  <c r="D26781" i="10"/>
  <c r="D26780" i="10"/>
  <c r="D26779" i="10"/>
  <c r="D26778" i="10"/>
  <c r="D26777" i="10"/>
  <c r="D26776" i="10"/>
  <c r="D26775" i="10"/>
  <c r="D26774" i="10"/>
  <c r="D26773" i="10"/>
  <c r="D26772" i="10"/>
  <c r="D26771" i="10"/>
  <c r="D26770" i="10"/>
  <c r="D26769" i="10"/>
  <c r="D26768" i="10"/>
  <c r="D26767" i="10"/>
  <c r="D26766" i="10"/>
  <c r="D26765" i="10"/>
  <c r="D26764" i="10"/>
  <c r="D26763" i="10"/>
  <c r="D26762" i="10"/>
  <c r="D26761" i="10"/>
  <c r="D26760" i="10"/>
  <c r="D26759" i="10"/>
  <c r="D26758" i="10"/>
  <c r="D26757" i="10"/>
  <c r="D26756" i="10"/>
  <c r="D26755" i="10"/>
  <c r="D26754" i="10"/>
  <c r="D26753" i="10"/>
  <c r="D26752" i="10"/>
  <c r="D26751" i="10"/>
  <c r="D26750" i="10"/>
  <c r="D26749" i="10"/>
  <c r="D26748" i="10"/>
  <c r="D26747" i="10"/>
  <c r="D26746" i="10"/>
  <c r="D26745" i="10"/>
  <c r="D26744" i="10"/>
  <c r="D26743" i="10"/>
  <c r="D26742" i="10"/>
  <c r="D26741" i="10"/>
  <c r="D26740" i="10"/>
  <c r="D26739" i="10"/>
  <c r="D26738" i="10"/>
  <c r="D26737" i="10"/>
  <c r="D26736" i="10"/>
  <c r="D26735" i="10"/>
  <c r="D26734" i="10"/>
  <c r="D26733" i="10"/>
  <c r="D26732" i="10"/>
  <c r="D26731" i="10"/>
  <c r="D26730" i="10"/>
  <c r="D26729" i="10"/>
  <c r="D26728" i="10"/>
  <c r="D26727" i="10"/>
  <c r="D26726" i="10"/>
  <c r="D26725" i="10"/>
  <c r="D26724" i="10"/>
  <c r="D26723" i="10"/>
  <c r="D26722" i="10"/>
  <c r="D26721" i="10"/>
  <c r="D26720" i="10"/>
  <c r="D26719" i="10"/>
  <c r="D26718" i="10"/>
  <c r="D26717" i="10"/>
  <c r="D26716" i="10"/>
  <c r="D26715" i="10"/>
  <c r="D26714" i="10"/>
  <c r="D26713" i="10"/>
  <c r="D26712" i="10"/>
  <c r="D26711" i="10"/>
  <c r="D26710" i="10"/>
  <c r="D26709" i="10"/>
  <c r="D26708" i="10"/>
  <c r="D26707" i="10"/>
  <c r="D26706" i="10"/>
  <c r="D26705" i="10"/>
  <c r="D26704" i="10"/>
  <c r="D26703" i="10"/>
  <c r="D26702" i="10"/>
  <c r="D26701" i="10"/>
  <c r="D26700" i="10"/>
  <c r="D26699" i="10"/>
  <c r="D26698" i="10"/>
  <c r="D26697" i="10"/>
  <c r="D26696" i="10"/>
  <c r="D26695" i="10"/>
  <c r="D26694" i="10"/>
  <c r="D26693" i="10"/>
  <c r="D26692" i="10"/>
  <c r="D26691" i="10"/>
  <c r="D26690" i="10"/>
  <c r="D26689" i="10"/>
  <c r="D26688" i="10"/>
  <c r="D26687" i="10"/>
  <c r="D26686" i="10"/>
  <c r="D26685" i="10"/>
  <c r="D26684" i="10"/>
  <c r="D26683" i="10"/>
  <c r="D26682" i="10"/>
  <c r="D26681" i="10"/>
  <c r="D26680" i="10"/>
  <c r="D26679" i="10"/>
  <c r="D26678" i="10"/>
  <c r="D26677" i="10"/>
  <c r="D26676" i="10"/>
  <c r="D26675" i="10"/>
  <c r="D26674" i="10"/>
  <c r="D26673" i="10"/>
  <c r="D26672" i="10"/>
  <c r="D26671" i="10"/>
  <c r="D26670" i="10"/>
  <c r="D26669" i="10"/>
  <c r="D26668" i="10"/>
  <c r="D26667" i="10"/>
  <c r="D26666" i="10"/>
  <c r="D26665" i="10"/>
  <c r="D26664" i="10"/>
  <c r="D26663" i="10"/>
  <c r="D26662" i="10"/>
  <c r="D26661" i="10"/>
  <c r="D26660" i="10"/>
  <c r="D26659" i="10"/>
  <c r="D26658" i="10"/>
  <c r="D26657" i="10"/>
  <c r="D26656" i="10"/>
  <c r="D26655" i="10"/>
  <c r="D26654" i="10"/>
  <c r="D26653" i="10"/>
  <c r="D26652" i="10"/>
  <c r="D26651" i="10"/>
  <c r="D26650" i="10"/>
  <c r="D26649" i="10"/>
  <c r="D26648" i="10"/>
  <c r="D26647" i="10"/>
  <c r="D26646" i="10"/>
  <c r="D26645" i="10"/>
  <c r="D26644" i="10"/>
  <c r="D26643" i="10"/>
  <c r="D26642" i="10"/>
  <c r="D26641" i="10"/>
  <c r="D26640" i="10"/>
  <c r="D26639" i="10"/>
  <c r="D26638" i="10"/>
  <c r="D26637" i="10"/>
  <c r="D26636" i="10"/>
  <c r="D26635" i="10"/>
  <c r="D26634" i="10"/>
  <c r="D26633" i="10"/>
  <c r="D26632" i="10"/>
  <c r="D26631" i="10"/>
  <c r="D26630" i="10"/>
  <c r="D26629" i="10"/>
  <c r="D26628" i="10"/>
  <c r="D26627" i="10"/>
  <c r="D26626" i="10"/>
  <c r="D26625" i="10"/>
  <c r="D26624" i="10"/>
  <c r="D26623" i="10"/>
  <c r="D26622" i="10"/>
  <c r="D26621" i="10"/>
  <c r="D26620" i="10"/>
  <c r="D26619" i="10"/>
  <c r="D26618" i="10"/>
  <c r="D26617" i="10"/>
  <c r="D26616" i="10"/>
  <c r="D26615" i="10"/>
  <c r="D26614" i="10"/>
  <c r="D26613" i="10"/>
  <c r="D26612" i="10"/>
  <c r="D26611" i="10"/>
  <c r="D26610" i="10"/>
  <c r="D26609" i="10"/>
  <c r="D26608" i="10"/>
  <c r="D26607" i="10"/>
  <c r="D26606" i="10"/>
  <c r="D26605" i="10"/>
  <c r="D26604" i="10"/>
  <c r="D26603" i="10"/>
  <c r="D26602" i="10"/>
  <c r="D26601" i="10"/>
  <c r="D26600" i="10"/>
  <c r="D26599" i="10"/>
  <c r="D26598" i="10"/>
  <c r="D26597" i="10"/>
  <c r="D26596" i="10"/>
  <c r="D26595" i="10"/>
  <c r="D26594" i="10"/>
  <c r="D26593" i="10"/>
  <c r="D26592" i="10"/>
  <c r="D26591" i="10"/>
  <c r="D26590" i="10"/>
  <c r="D26589" i="10"/>
  <c r="D26588" i="10"/>
  <c r="D26587" i="10"/>
  <c r="D26586" i="10"/>
  <c r="D26585" i="10"/>
  <c r="D26584" i="10"/>
  <c r="D26583" i="10"/>
  <c r="D26582" i="10"/>
  <c r="D26581" i="10"/>
  <c r="D26580" i="10"/>
  <c r="D26579" i="10"/>
  <c r="D26578" i="10"/>
  <c r="D26577" i="10"/>
  <c r="D26576" i="10"/>
  <c r="D26575" i="10"/>
  <c r="D26574" i="10"/>
  <c r="D26573" i="10"/>
  <c r="D26572" i="10"/>
  <c r="D26571" i="10"/>
  <c r="D26570" i="10"/>
  <c r="D26569" i="10"/>
  <c r="D26568" i="10"/>
  <c r="D26567" i="10"/>
  <c r="D26566" i="10"/>
  <c r="D26565" i="10"/>
  <c r="D26564" i="10"/>
  <c r="D26563" i="10"/>
  <c r="D26562" i="10"/>
  <c r="D26561" i="10"/>
  <c r="D26560" i="10"/>
  <c r="D26559" i="10"/>
  <c r="D26558" i="10"/>
  <c r="D26557" i="10"/>
  <c r="D26556" i="10"/>
  <c r="D26555" i="10"/>
  <c r="D26554" i="10"/>
  <c r="D26553" i="10"/>
  <c r="D26552" i="10"/>
  <c r="D26551" i="10"/>
  <c r="D26550" i="10"/>
  <c r="D26549" i="10"/>
  <c r="D26548" i="10"/>
  <c r="D26547" i="10"/>
  <c r="D26546" i="10"/>
  <c r="D26545" i="10"/>
  <c r="D26544" i="10"/>
  <c r="D26543" i="10"/>
  <c r="D26542" i="10"/>
  <c r="D26541" i="10"/>
  <c r="D26540" i="10"/>
  <c r="D26539" i="10"/>
  <c r="D26538" i="10"/>
  <c r="D26537" i="10"/>
  <c r="D26536" i="10"/>
  <c r="D26535" i="10"/>
  <c r="D26534" i="10"/>
  <c r="D26533" i="10"/>
  <c r="D26532" i="10"/>
  <c r="D26531" i="10"/>
  <c r="D26530" i="10"/>
  <c r="D26529" i="10"/>
  <c r="D26528" i="10"/>
  <c r="D26527" i="10"/>
  <c r="D26526" i="10"/>
  <c r="D26525" i="10"/>
  <c r="D26524" i="10"/>
  <c r="D26523" i="10"/>
  <c r="D26522" i="10"/>
  <c r="D26521" i="10"/>
  <c r="D26520" i="10"/>
  <c r="D26519" i="10"/>
  <c r="D26518" i="10"/>
  <c r="D26517" i="10"/>
  <c r="D26516" i="10"/>
  <c r="D26515" i="10"/>
  <c r="D26514" i="10"/>
  <c r="D26513" i="10"/>
  <c r="D26512" i="10"/>
  <c r="D26511" i="10"/>
  <c r="D26510" i="10"/>
  <c r="D26509" i="10"/>
  <c r="D26508" i="10"/>
  <c r="D26507" i="10"/>
  <c r="D26506" i="10"/>
  <c r="D26505" i="10"/>
  <c r="D26504" i="10"/>
  <c r="D26503" i="10"/>
  <c r="D26502" i="10"/>
  <c r="D26501" i="10"/>
  <c r="D26500" i="10"/>
  <c r="D26499" i="10"/>
  <c r="D26498" i="10"/>
  <c r="D26497" i="10"/>
  <c r="D26496" i="10"/>
  <c r="D26495" i="10"/>
  <c r="D26494" i="10"/>
  <c r="D26493" i="10"/>
  <c r="D26492" i="10"/>
  <c r="D26491" i="10"/>
  <c r="D26490" i="10"/>
  <c r="D26489" i="10"/>
  <c r="D26488" i="10"/>
  <c r="D26487" i="10"/>
  <c r="D26486" i="10"/>
  <c r="D26485" i="10"/>
  <c r="D26484" i="10"/>
  <c r="D26483" i="10"/>
  <c r="D26482" i="10"/>
  <c r="D26481" i="10"/>
  <c r="D26480" i="10"/>
  <c r="D26479" i="10"/>
  <c r="D26478" i="10"/>
  <c r="D26477" i="10"/>
  <c r="D26476" i="10"/>
  <c r="D26475" i="10"/>
  <c r="D26474" i="10"/>
  <c r="D26473" i="10"/>
  <c r="D26472" i="10"/>
  <c r="D26471" i="10"/>
  <c r="D26470" i="10"/>
  <c r="D26469" i="10"/>
  <c r="D26468" i="10"/>
  <c r="D26467" i="10"/>
  <c r="D26466" i="10"/>
  <c r="D26465" i="10"/>
  <c r="D26464" i="10"/>
  <c r="D26463" i="10"/>
  <c r="D26462" i="10"/>
  <c r="D26461" i="10"/>
  <c r="D26460" i="10"/>
  <c r="D26459" i="10"/>
  <c r="D26458" i="10"/>
  <c r="D26457" i="10"/>
  <c r="D26456" i="10"/>
  <c r="D26455" i="10"/>
  <c r="D26454" i="10"/>
  <c r="D26453" i="10"/>
  <c r="D26452" i="10"/>
  <c r="D26451" i="10"/>
  <c r="D26450" i="10"/>
  <c r="D26449" i="10"/>
  <c r="D26448" i="10"/>
  <c r="D26447" i="10"/>
  <c r="D26446" i="10"/>
  <c r="D26445" i="10"/>
  <c r="D26444" i="10"/>
  <c r="D26443" i="10"/>
  <c r="D26442" i="10"/>
  <c r="D26441" i="10"/>
  <c r="D26440" i="10"/>
  <c r="D26439" i="10"/>
  <c r="D26438" i="10"/>
  <c r="D26437" i="10"/>
  <c r="D26436" i="10"/>
  <c r="D26435" i="10"/>
  <c r="D26434" i="10"/>
  <c r="D26433" i="10"/>
  <c r="D26432" i="10"/>
  <c r="D26431" i="10"/>
  <c r="D26430" i="10"/>
  <c r="D26429" i="10"/>
  <c r="D26428" i="10"/>
  <c r="D26427" i="10"/>
  <c r="D26426" i="10"/>
  <c r="D26425" i="10"/>
  <c r="D26424" i="10"/>
  <c r="D26423" i="10"/>
  <c r="D26422" i="10"/>
  <c r="D26421" i="10"/>
  <c r="D26420" i="10"/>
  <c r="D26419" i="10"/>
  <c r="D26418" i="10"/>
  <c r="D26417" i="10"/>
  <c r="D26416" i="10"/>
  <c r="D26415" i="10"/>
  <c r="D26414" i="10"/>
  <c r="D26413" i="10"/>
  <c r="D26412" i="10"/>
  <c r="D26411" i="10"/>
  <c r="D26410" i="10"/>
  <c r="D26409" i="10"/>
  <c r="D26408" i="10"/>
  <c r="D26407" i="10"/>
  <c r="D26406" i="10"/>
  <c r="D26405" i="10"/>
  <c r="D26404" i="10"/>
  <c r="D26403" i="10"/>
  <c r="D26402" i="10"/>
  <c r="D26401" i="10"/>
  <c r="D26400" i="10"/>
  <c r="D26399" i="10"/>
  <c r="D26398" i="10"/>
  <c r="D26397" i="10"/>
  <c r="D26396" i="10"/>
  <c r="D26395" i="10"/>
  <c r="D26394" i="10"/>
  <c r="D26393" i="10"/>
  <c r="D26392" i="10"/>
  <c r="D26391" i="10"/>
  <c r="D26390" i="10"/>
  <c r="D26389" i="10"/>
  <c r="D26388" i="10"/>
  <c r="D26387" i="10"/>
  <c r="D26386" i="10"/>
  <c r="D26385" i="10"/>
  <c r="D26384" i="10"/>
  <c r="D26383" i="10"/>
  <c r="D26382" i="10"/>
  <c r="D26381" i="10"/>
  <c r="D26380" i="10"/>
  <c r="D26379" i="10"/>
  <c r="D26378" i="10"/>
  <c r="D26377" i="10"/>
  <c r="D26376" i="10"/>
  <c r="D26375" i="10"/>
  <c r="D26374" i="10"/>
  <c r="D26373" i="10"/>
  <c r="D26372" i="10"/>
  <c r="D26371" i="10"/>
  <c r="D26370" i="10"/>
  <c r="D26369" i="10"/>
  <c r="D26368" i="10"/>
  <c r="D26367" i="10"/>
  <c r="D26366" i="10"/>
  <c r="D26365" i="10"/>
  <c r="D26364" i="10"/>
  <c r="D26363" i="10"/>
  <c r="D26362" i="10"/>
  <c r="D26361" i="10"/>
  <c r="D26360" i="10"/>
  <c r="D26359" i="10"/>
  <c r="D26358" i="10"/>
  <c r="D26357" i="10"/>
  <c r="D26356" i="10"/>
  <c r="D26355" i="10"/>
  <c r="D26354" i="10"/>
  <c r="D26353" i="10"/>
  <c r="D26352" i="10"/>
  <c r="D26351" i="10"/>
  <c r="D26350" i="10"/>
  <c r="D26349" i="10"/>
  <c r="D26348" i="10"/>
  <c r="D26347" i="10"/>
  <c r="D26346" i="10"/>
  <c r="D26345" i="10"/>
  <c r="D26344" i="10"/>
  <c r="D26343" i="10"/>
  <c r="D26342" i="10"/>
  <c r="D26341" i="10"/>
  <c r="D26340" i="10"/>
  <c r="D26339" i="10"/>
  <c r="D26338" i="10"/>
  <c r="D26337" i="10"/>
  <c r="D26336" i="10"/>
  <c r="D26335" i="10"/>
  <c r="D26334" i="10"/>
  <c r="D26333" i="10"/>
  <c r="D26332" i="10"/>
  <c r="D26331" i="10"/>
  <c r="D26330" i="10"/>
  <c r="D26329" i="10"/>
  <c r="D26328" i="10"/>
  <c r="D26327" i="10"/>
  <c r="D26326" i="10"/>
  <c r="D26325" i="10"/>
  <c r="D26324" i="10"/>
  <c r="D26323" i="10"/>
  <c r="D26322" i="10"/>
  <c r="D26321" i="10"/>
  <c r="D26320" i="10"/>
  <c r="D26319" i="10"/>
  <c r="D26318" i="10"/>
  <c r="D26317" i="10"/>
  <c r="D26316" i="10"/>
  <c r="D26315" i="10"/>
  <c r="D26314" i="10"/>
  <c r="D26313" i="10"/>
  <c r="D26312" i="10"/>
  <c r="D26311" i="10"/>
  <c r="D26310" i="10"/>
  <c r="D26309" i="10"/>
  <c r="D26308" i="10"/>
  <c r="D26307" i="10"/>
  <c r="D26306" i="10"/>
  <c r="D26305" i="10"/>
  <c r="D26304" i="10"/>
  <c r="D26303" i="10"/>
  <c r="D26302" i="10"/>
  <c r="D26301" i="10"/>
  <c r="D26300" i="10"/>
  <c r="D26299" i="10"/>
  <c r="D26298" i="10"/>
  <c r="D26297" i="10"/>
  <c r="D26296" i="10"/>
  <c r="D26295" i="10"/>
  <c r="D26294" i="10"/>
  <c r="D26293" i="10"/>
  <c r="D26292" i="10"/>
  <c r="D26291" i="10"/>
  <c r="D26290" i="10"/>
  <c r="D26289" i="10"/>
  <c r="D26288" i="10"/>
  <c r="D26287" i="10"/>
  <c r="D26286" i="10"/>
  <c r="D26285" i="10"/>
  <c r="D26284" i="10"/>
  <c r="D26283" i="10"/>
  <c r="D26282" i="10"/>
  <c r="D26281" i="10"/>
  <c r="D26280" i="10"/>
  <c r="D26279" i="10"/>
  <c r="D26278" i="10"/>
  <c r="D26277" i="10"/>
  <c r="D26276" i="10"/>
  <c r="D26275" i="10"/>
  <c r="D26274" i="10"/>
  <c r="D26273" i="10"/>
  <c r="D26272" i="10"/>
  <c r="D26271" i="10"/>
  <c r="D26270" i="10"/>
  <c r="D26269" i="10"/>
  <c r="D26268" i="10"/>
  <c r="D26267" i="10"/>
  <c r="D26266" i="10"/>
  <c r="D26265" i="10"/>
  <c r="D26264" i="10"/>
  <c r="D26263" i="10"/>
  <c r="D26262" i="10"/>
  <c r="D26261" i="10"/>
  <c r="D26260" i="10"/>
  <c r="D26259" i="10"/>
  <c r="D26258" i="10"/>
  <c r="D26257" i="10"/>
  <c r="D26256" i="10"/>
  <c r="D26255" i="10"/>
  <c r="D26254" i="10"/>
  <c r="D26253" i="10"/>
  <c r="D26252" i="10"/>
  <c r="D26251" i="10"/>
  <c r="D26250" i="10"/>
  <c r="D26249" i="10"/>
  <c r="D26248" i="10"/>
  <c r="D26247" i="10"/>
  <c r="D26246" i="10"/>
  <c r="D26245" i="10"/>
  <c r="D26244" i="10"/>
  <c r="D26243" i="10"/>
  <c r="D26242" i="10"/>
  <c r="D26241" i="10"/>
  <c r="D26240" i="10"/>
  <c r="D26239" i="10"/>
  <c r="D26238" i="10"/>
  <c r="D26237" i="10"/>
  <c r="D26236" i="10"/>
  <c r="D26235" i="10"/>
  <c r="D26234" i="10"/>
  <c r="D26233" i="10"/>
  <c r="D26232" i="10"/>
  <c r="D26231" i="10"/>
  <c r="D26230" i="10"/>
  <c r="D26229" i="10"/>
  <c r="D26228" i="10"/>
  <c r="D26227" i="10"/>
  <c r="D26226" i="10"/>
  <c r="D26225" i="10"/>
  <c r="D26224" i="10"/>
  <c r="D26223" i="10"/>
  <c r="D26222" i="10"/>
  <c r="D26221" i="10"/>
  <c r="D26220" i="10"/>
  <c r="D26219" i="10"/>
  <c r="D26218" i="10"/>
  <c r="D26217" i="10"/>
  <c r="D26216" i="10"/>
  <c r="D26215" i="10"/>
  <c r="D26214" i="10"/>
  <c r="D26213" i="10"/>
  <c r="D26212" i="10"/>
  <c r="D26211" i="10"/>
  <c r="D26210" i="10"/>
  <c r="D26209" i="10"/>
  <c r="D26208" i="10"/>
  <c r="D26207" i="10"/>
  <c r="D26206" i="10"/>
  <c r="D26205" i="10"/>
  <c r="D26204" i="10"/>
  <c r="D26203" i="10"/>
  <c r="D26202" i="10"/>
  <c r="D26201" i="10"/>
  <c r="D26200" i="10"/>
  <c r="D26199" i="10"/>
  <c r="D26198" i="10"/>
  <c r="D26197" i="10"/>
  <c r="D26196" i="10"/>
  <c r="D26195" i="10"/>
  <c r="D26194" i="10"/>
  <c r="D26193" i="10"/>
  <c r="D26192" i="10"/>
  <c r="D26191" i="10"/>
  <c r="D26190" i="10"/>
  <c r="D26189" i="10"/>
  <c r="D26188" i="10"/>
  <c r="D26187" i="10"/>
  <c r="D26186" i="10"/>
  <c r="D26185" i="10"/>
  <c r="D26184" i="10"/>
  <c r="D26183" i="10"/>
  <c r="D26182" i="10"/>
  <c r="D26181" i="10"/>
  <c r="D26180" i="10"/>
  <c r="D26179" i="10"/>
  <c r="D26178" i="10"/>
  <c r="D26177" i="10"/>
  <c r="D26176" i="10"/>
  <c r="D26175" i="10"/>
  <c r="D26174" i="10"/>
  <c r="D26173" i="10"/>
  <c r="D26172" i="10"/>
  <c r="D26171" i="10"/>
  <c r="D26170" i="10"/>
  <c r="D26169" i="10"/>
  <c r="D26168" i="10"/>
  <c r="D26167" i="10"/>
  <c r="D26166" i="10"/>
  <c r="D26165" i="10"/>
  <c r="D26164" i="10"/>
  <c r="D26163" i="10"/>
  <c r="D26162" i="10"/>
  <c r="D26161" i="10"/>
  <c r="D26160" i="10"/>
  <c r="D26159" i="10"/>
  <c r="D26158" i="10"/>
  <c r="D26157" i="10"/>
  <c r="D26156" i="10"/>
  <c r="D26155" i="10"/>
  <c r="D26154" i="10"/>
  <c r="D26153" i="10"/>
  <c r="D26152" i="10"/>
  <c r="D26151" i="10"/>
  <c r="D26150" i="10"/>
  <c r="D26149" i="10"/>
  <c r="D26148" i="10"/>
  <c r="D26147" i="10"/>
  <c r="D26146" i="10"/>
  <c r="D26145" i="10"/>
  <c r="D26144" i="10"/>
  <c r="D26143" i="10"/>
  <c r="D26142" i="10"/>
  <c r="D26141" i="10"/>
  <c r="D26140" i="10"/>
  <c r="D26139" i="10"/>
  <c r="D26138" i="10"/>
  <c r="D26137" i="10"/>
  <c r="D26136" i="10"/>
  <c r="D26135" i="10"/>
  <c r="D26134" i="10"/>
  <c r="D26133" i="10"/>
  <c r="D26132" i="10"/>
  <c r="D26131" i="10"/>
  <c r="D26130" i="10"/>
  <c r="D26129" i="10"/>
  <c r="D26128" i="10"/>
  <c r="D26127" i="10"/>
  <c r="D26126" i="10"/>
  <c r="D26125" i="10"/>
  <c r="D26124" i="10"/>
  <c r="D26123" i="10"/>
  <c r="D26122" i="10"/>
  <c r="D26121" i="10"/>
  <c r="D26120" i="10"/>
  <c r="D26119" i="10"/>
  <c r="D26118" i="10"/>
  <c r="D26117" i="10"/>
  <c r="D26116" i="10"/>
  <c r="D26115" i="10"/>
  <c r="D26114" i="10"/>
  <c r="D26113" i="10"/>
  <c r="D26112" i="10"/>
  <c r="D26111" i="10"/>
  <c r="D26110" i="10"/>
  <c r="D26109" i="10"/>
  <c r="D26108" i="10"/>
  <c r="D26107" i="10"/>
  <c r="D26106" i="10"/>
  <c r="D26105" i="10"/>
  <c r="D26104" i="10"/>
  <c r="D26103" i="10"/>
  <c r="D26102" i="10"/>
  <c r="D26101" i="10"/>
  <c r="D26100" i="10"/>
  <c r="D26099" i="10"/>
  <c r="D26098" i="10"/>
  <c r="D26097" i="10"/>
  <c r="D26096" i="10"/>
  <c r="D26095" i="10"/>
  <c r="D26094" i="10"/>
  <c r="D26093" i="10"/>
  <c r="D26092" i="10"/>
  <c r="D26091" i="10"/>
  <c r="D26090" i="10"/>
  <c r="D26089" i="10"/>
  <c r="D26088" i="10"/>
  <c r="D26087" i="10"/>
  <c r="D26086" i="10"/>
  <c r="D26085" i="10"/>
  <c r="D26084" i="10"/>
  <c r="D26083" i="10"/>
  <c r="D26082" i="10"/>
  <c r="D26081" i="10"/>
  <c r="D26080" i="10"/>
  <c r="D26079" i="10"/>
  <c r="D26078" i="10"/>
  <c r="D26077" i="10"/>
  <c r="D26076" i="10"/>
  <c r="D26075" i="10"/>
  <c r="D26074" i="10"/>
  <c r="D26073" i="10"/>
  <c r="D26072" i="10"/>
  <c r="D26071" i="10"/>
  <c r="D26070" i="10"/>
  <c r="D26069" i="10"/>
  <c r="D26068" i="10"/>
  <c r="D26067" i="10"/>
  <c r="D26066" i="10"/>
  <c r="D26065" i="10"/>
  <c r="D26064" i="10"/>
  <c r="D26063" i="10"/>
  <c r="D26062" i="10"/>
  <c r="D26061" i="10"/>
  <c r="D26060" i="10"/>
  <c r="D26059" i="10"/>
  <c r="D26058" i="10"/>
  <c r="D26057" i="10"/>
  <c r="D26056" i="10"/>
  <c r="D26055" i="10"/>
  <c r="D26054" i="10"/>
  <c r="D26053" i="10"/>
  <c r="D26052" i="10"/>
  <c r="D26051" i="10"/>
  <c r="D26050" i="10"/>
  <c r="D26049" i="10"/>
  <c r="D26048" i="10"/>
  <c r="D26047" i="10"/>
  <c r="D26046" i="10"/>
  <c r="D26045" i="10"/>
  <c r="D26044" i="10"/>
  <c r="D26043" i="10"/>
  <c r="D26042" i="10"/>
  <c r="D26041" i="10"/>
  <c r="D26040" i="10"/>
  <c r="D26039" i="10"/>
  <c r="D26038" i="10"/>
  <c r="D26037" i="10"/>
  <c r="D26036" i="10"/>
  <c r="D26035" i="10"/>
  <c r="D26034" i="10"/>
  <c r="D26033" i="10"/>
  <c r="D26032" i="10"/>
  <c r="D26031" i="10"/>
  <c r="D26030" i="10"/>
  <c r="D26029" i="10"/>
  <c r="D26028" i="10"/>
  <c r="D26027" i="10"/>
  <c r="D26026" i="10"/>
  <c r="D26025" i="10"/>
  <c r="D26024" i="10"/>
  <c r="D26023" i="10"/>
  <c r="D26022" i="10"/>
  <c r="D26021" i="10"/>
  <c r="D26020" i="10"/>
  <c r="D26019" i="10"/>
  <c r="D26018" i="10"/>
  <c r="D26017" i="10"/>
  <c r="D26016" i="10"/>
  <c r="D26015" i="10"/>
  <c r="D26014" i="10"/>
  <c r="D26013" i="10"/>
  <c r="D26012" i="10"/>
  <c r="D26011" i="10"/>
  <c r="D26010" i="10"/>
  <c r="D26009" i="10"/>
  <c r="D26008" i="10"/>
  <c r="D26007" i="10"/>
  <c r="D26006" i="10"/>
  <c r="D26005" i="10"/>
  <c r="D26004" i="10"/>
  <c r="D26003" i="10"/>
  <c r="D26002" i="10"/>
  <c r="D26001" i="10"/>
  <c r="D26000" i="10"/>
  <c r="D25999" i="10"/>
  <c r="D25998" i="10"/>
  <c r="D25997" i="10"/>
  <c r="D25996" i="10"/>
  <c r="D25995" i="10"/>
  <c r="D25994" i="10"/>
  <c r="D25993" i="10"/>
  <c r="D25992" i="10"/>
  <c r="D25991" i="10"/>
  <c r="D25990" i="10"/>
  <c r="D25989" i="10"/>
  <c r="D25988" i="10"/>
  <c r="D25987" i="10"/>
  <c r="D25986" i="10"/>
  <c r="D25985" i="10"/>
  <c r="D25984" i="10"/>
  <c r="D25983" i="10"/>
  <c r="D25982" i="10"/>
  <c r="D25981" i="10"/>
  <c r="D25980" i="10"/>
  <c r="D25979" i="10"/>
  <c r="D25978" i="10"/>
  <c r="D25977" i="10"/>
  <c r="D25976" i="10"/>
  <c r="D25975" i="10"/>
  <c r="D25974" i="10"/>
  <c r="D25973" i="10"/>
  <c r="D25972" i="10"/>
  <c r="D25971" i="10"/>
  <c r="D25970" i="10"/>
  <c r="D25969" i="10"/>
  <c r="D25968" i="10"/>
  <c r="D25967" i="10"/>
  <c r="D25966" i="10"/>
  <c r="D25965" i="10"/>
  <c r="D25964" i="10"/>
  <c r="D25963" i="10"/>
  <c r="D25962" i="10"/>
  <c r="D25961" i="10"/>
  <c r="D25960" i="10"/>
  <c r="D25959" i="10"/>
  <c r="D25958" i="10"/>
  <c r="D25957" i="10"/>
  <c r="D25956" i="10"/>
  <c r="D25955" i="10"/>
  <c r="D25954" i="10"/>
  <c r="D25953" i="10"/>
  <c r="D25952" i="10"/>
  <c r="D25951" i="10"/>
  <c r="D25950" i="10"/>
  <c r="D25949" i="10"/>
  <c r="D25948" i="10"/>
  <c r="D25947" i="10"/>
  <c r="D25946" i="10"/>
  <c r="D25945" i="10"/>
  <c r="D25944" i="10"/>
  <c r="D25943" i="10"/>
  <c r="D25942" i="10"/>
  <c r="D25941" i="10"/>
  <c r="D25940" i="10"/>
  <c r="D25939" i="10"/>
  <c r="D25938" i="10"/>
  <c r="D25937" i="10"/>
  <c r="D25936" i="10"/>
  <c r="D25935" i="10"/>
  <c r="D25934" i="10"/>
  <c r="D25933" i="10"/>
  <c r="D25932" i="10"/>
  <c r="D25931" i="10"/>
  <c r="D25930" i="10"/>
  <c r="D25929" i="10"/>
  <c r="D25928" i="10"/>
  <c r="D25927" i="10"/>
  <c r="D25926" i="10"/>
  <c r="D25925" i="10"/>
  <c r="D25924" i="10"/>
  <c r="D25923" i="10"/>
  <c r="D25922" i="10"/>
  <c r="D25921" i="10"/>
  <c r="D25920" i="10"/>
  <c r="D25919" i="10"/>
  <c r="D25918" i="10"/>
  <c r="D25917" i="10"/>
  <c r="D25916" i="10"/>
  <c r="D25915" i="10"/>
  <c r="D25914" i="10"/>
  <c r="D25913" i="10"/>
  <c r="D25912" i="10"/>
  <c r="D25911" i="10"/>
  <c r="D25910" i="10"/>
  <c r="D25909" i="10"/>
  <c r="D25908" i="10"/>
  <c r="D25907" i="10"/>
  <c r="D25906" i="10"/>
  <c r="D25905" i="10"/>
  <c r="D25904" i="10"/>
  <c r="D25903" i="10"/>
  <c r="D25902" i="10"/>
  <c r="D25901" i="10"/>
  <c r="D25900" i="10"/>
  <c r="D25899" i="10"/>
  <c r="D25898" i="10"/>
  <c r="D25897" i="10"/>
  <c r="D25896" i="10"/>
  <c r="D25895" i="10"/>
  <c r="D25894" i="10"/>
  <c r="D25893" i="10"/>
  <c r="D25892" i="10"/>
  <c r="D25891" i="10"/>
  <c r="D25890" i="10"/>
  <c r="D25889" i="10"/>
  <c r="D25888" i="10"/>
  <c r="D25887" i="10"/>
  <c r="D25886" i="10"/>
  <c r="D25885" i="10"/>
  <c r="D25884" i="10"/>
  <c r="D25883" i="10"/>
  <c r="D25882" i="10"/>
  <c r="D25881" i="10"/>
  <c r="D25880" i="10"/>
  <c r="D25879" i="10"/>
  <c r="D25878" i="10"/>
  <c r="D25877" i="10"/>
  <c r="D25876" i="10"/>
  <c r="D25875" i="10"/>
  <c r="D25874" i="10"/>
  <c r="D25873" i="10"/>
  <c r="D25872" i="10"/>
  <c r="D25871" i="10"/>
  <c r="D25870" i="10"/>
  <c r="D25869" i="10"/>
  <c r="D25868" i="10"/>
  <c r="D25867" i="10"/>
  <c r="D25866" i="10"/>
  <c r="D25865" i="10"/>
  <c r="D25864" i="10"/>
  <c r="D25863" i="10"/>
  <c r="D25862" i="10"/>
  <c r="D25861" i="10"/>
  <c r="D25860" i="10"/>
  <c r="D25859" i="10"/>
  <c r="D25858" i="10"/>
  <c r="D25857" i="10"/>
  <c r="D25856" i="10"/>
  <c r="D25855" i="10"/>
  <c r="D25854" i="10"/>
  <c r="D25853" i="10"/>
  <c r="D25852" i="10"/>
  <c r="D25851" i="10"/>
  <c r="D25850" i="10"/>
  <c r="D25849" i="10"/>
  <c r="D25848" i="10"/>
  <c r="D25847" i="10"/>
  <c r="D25846" i="10"/>
  <c r="D25845" i="10"/>
  <c r="D25844" i="10"/>
  <c r="D25843" i="10"/>
  <c r="D25842" i="10"/>
  <c r="D25841" i="10"/>
  <c r="D25840" i="10"/>
  <c r="D25839" i="10"/>
  <c r="D25838" i="10"/>
  <c r="D25837" i="10"/>
  <c r="D25836" i="10"/>
  <c r="D25835" i="10"/>
  <c r="D25834" i="10"/>
  <c r="D25833" i="10"/>
  <c r="D25832" i="10"/>
  <c r="D25831" i="10"/>
  <c r="D25830" i="10"/>
  <c r="D25829" i="10"/>
  <c r="D25828" i="10"/>
  <c r="D25827" i="10"/>
  <c r="D25826" i="10"/>
  <c r="D25825" i="10"/>
  <c r="D25824" i="10"/>
  <c r="D25823" i="10"/>
  <c r="D25822" i="10"/>
  <c r="D25821" i="10"/>
  <c r="D25820" i="10"/>
  <c r="D25819" i="10"/>
  <c r="D25818" i="10"/>
  <c r="D25817" i="10"/>
  <c r="D25816" i="10"/>
  <c r="D25815" i="10"/>
  <c r="D25814" i="10"/>
  <c r="D25813" i="10"/>
  <c r="D25812" i="10"/>
  <c r="D25811" i="10"/>
  <c r="D25810" i="10"/>
  <c r="D25809" i="10"/>
  <c r="D25808" i="10"/>
  <c r="D25807" i="10"/>
  <c r="D25806" i="10"/>
  <c r="D25805" i="10"/>
  <c r="D25804" i="10"/>
  <c r="D25803" i="10"/>
  <c r="D25802" i="10"/>
  <c r="D25801" i="10"/>
  <c r="D25800" i="10"/>
  <c r="D25799" i="10"/>
  <c r="D25798" i="10"/>
  <c r="D25797" i="10"/>
  <c r="D25796" i="10"/>
  <c r="D25795" i="10"/>
  <c r="D25794" i="10"/>
  <c r="D25793" i="10"/>
  <c r="D25792" i="10"/>
  <c r="D25791" i="10"/>
  <c r="D25790" i="10"/>
  <c r="D25789" i="10"/>
  <c r="D25788" i="10"/>
  <c r="D25787" i="10"/>
  <c r="D25786" i="10"/>
  <c r="D25785" i="10"/>
  <c r="D25784" i="10"/>
  <c r="D25783" i="10"/>
  <c r="D25782" i="10"/>
  <c r="D25781" i="10"/>
  <c r="D25780" i="10"/>
  <c r="D25779" i="10"/>
  <c r="D25778" i="10"/>
  <c r="D25777" i="10"/>
  <c r="D25776" i="10"/>
  <c r="D25775" i="10"/>
  <c r="D25774" i="10"/>
  <c r="D25773" i="10"/>
  <c r="D25772" i="10"/>
  <c r="D25771" i="10"/>
  <c r="D25770" i="10"/>
  <c r="D25769" i="10"/>
  <c r="D25768" i="10"/>
  <c r="D25767" i="10"/>
  <c r="D25766" i="10"/>
  <c r="D25765" i="10"/>
  <c r="D25764" i="10"/>
  <c r="D25763" i="10"/>
  <c r="D25762" i="10"/>
  <c r="D25761" i="10"/>
  <c r="D25760" i="10"/>
  <c r="D25759" i="10"/>
  <c r="D25758" i="10"/>
  <c r="D25757" i="10"/>
  <c r="D25756" i="10"/>
  <c r="D25755" i="10"/>
  <c r="D25754" i="10"/>
  <c r="D25753" i="10"/>
  <c r="D25752" i="10"/>
  <c r="D25751" i="10"/>
  <c r="D25750" i="10"/>
  <c r="D25749" i="10"/>
  <c r="D25748" i="10"/>
  <c r="D25747" i="10"/>
  <c r="D25746" i="10"/>
  <c r="D25745" i="10"/>
  <c r="D25744" i="10"/>
  <c r="D25743" i="10"/>
  <c r="D25742" i="10"/>
  <c r="D25741" i="10"/>
  <c r="D25740" i="10"/>
  <c r="D25739" i="10"/>
  <c r="D25738" i="10"/>
  <c r="D25737" i="10"/>
  <c r="D25736" i="10"/>
  <c r="D25735" i="10"/>
  <c r="D25734" i="10"/>
  <c r="D25733" i="10"/>
  <c r="D25732" i="10"/>
  <c r="D25731" i="10"/>
  <c r="D25730" i="10"/>
  <c r="D25729" i="10"/>
  <c r="D25728" i="10"/>
  <c r="D25727" i="10"/>
  <c r="D25726" i="10"/>
  <c r="D25725" i="10"/>
  <c r="D25724" i="10"/>
  <c r="D25723" i="10"/>
  <c r="D25722" i="10"/>
  <c r="D25721" i="10"/>
  <c r="D25720" i="10"/>
  <c r="D25719" i="10"/>
  <c r="D25718" i="10"/>
  <c r="D25717" i="10"/>
  <c r="D25716" i="10"/>
  <c r="D25715" i="10"/>
  <c r="D25714" i="10"/>
  <c r="D25713" i="10"/>
  <c r="D25712" i="10"/>
  <c r="D25711" i="10"/>
  <c r="D25710" i="10"/>
  <c r="D25709" i="10"/>
  <c r="D25708" i="10"/>
  <c r="D25707" i="10"/>
  <c r="D25706" i="10"/>
  <c r="D25705" i="10"/>
  <c r="D25704" i="10"/>
  <c r="D25703" i="10"/>
  <c r="D25702" i="10"/>
  <c r="D25701" i="10"/>
  <c r="D25700" i="10"/>
  <c r="D25699" i="10"/>
  <c r="D25698" i="10"/>
  <c r="D25697" i="10"/>
  <c r="D25696" i="10"/>
  <c r="D25695" i="10"/>
  <c r="D25694" i="10"/>
  <c r="D25693" i="10"/>
  <c r="D25692" i="10"/>
  <c r="D25691" i="10"/>
  <c r="D25690" i="10"/>
  <c r="D25689" i="10"/>
  <c r="D25688" i="10"/>
  <c r="D25687" i="10"/>
  <c r="D25686" i="10"/>
  <c r="D25685" i="10"/>
  <c r="D25684" i="10"/>
  <c r="D25683" i="10"/>
  <c r="D25682" i="10"/>
  <c r="D25681" i="10"/>
  <c r="D25680" i="10"/>
  <c r="D25679" i="10"/>
  <c r="D25678" i="10"/>
  <c r="D25677" i="10"/>
  <c r="D25676" i="10"/>
  <c r="D25675" i="10"/>
  <c r="D25674" i="10"/>
  <c r="D25673" i="10"/>
  <c r="D25672" i="10"/>
  <c r="D25671" i="10"/>
  <c r="D25670" i="10"/>
  <c r="D25669" i="10"/>
  <c r="D25668" i="10"/>
  <c r="D25667" i="10"/>
  <c r="D25666" i="10"/>
  <c r="D25665" i="10"/>
  <c r="D25664" i="10"/>
  <c r="D25663" i="10"/>
  <c r="D25662" i="10"/>
  <c r="D25661" i="10"/>
  <c r="D25660" i="10"/>
  <c r="D25659" i="10"/>
  <c r="D25658" i="10"/>
  <c r="D25657" i="10"/>
  <c r="D25656" i="10"/>
  <c r="D25655" i="10"/>
  <c r="D25654" i="10"/>
  <c r="D25653" i="10"/>
  <c r="D25652" i="10"/>
  <c r="D25651" i="10"/>
  <c r="D25650" i="10"/>
  <c r="D25649" i="10"/>
  <c r="D25648" i="10"/>
  <c r="D25647" i="10"/>
  <c r="D25646" i="10"/>
  <c r="D25645" i="10"/>
  <c r="D25644" i="10"/>
  <c r="D25643" i="10"/>
  <c r="D25642" i="10"/>
  <c r="D25641" i="10"/>
  <c r="D25640" i="10"/>
  <c r="D25639" i="10"/>
  <c r="D25638" i="10"/>
  <c r="D25637" i="10"/>
  <c r="D25636" i="10"/>
  <c r="D25635" i="10"/>
  <c r="D25634" i="10"/>
  <c r="D25633" i="10"/>
  <c r="D25632" i="10"/>
  <c r="D25631" i="10"/>
  <c r="D25630" i="10"/>
  <c r="D25629" i="10"/>
  <c r="D25628" i="10"/>
  <c r="D25627" i="10"/>
  <c r="D25626" i="10"/>
  <c r="D25625" i="10"/>
  <c r="D25624" i="10"/>
  <c r="D25623" i="10"/>
  <c r="D25622" i="10"/>
  <c r="D25621" i="10"/>
  <c r="D25620" i="10"/>
  <c r="D25619" i="10"/>
  <c r="D25618" i="10"/>
  <c r="D25617" i="10"/>
  <c r="D25616" i="10"/>
  <c r="D25615" i="10"/>
  <c r="D25614" i="10"/>
  <c r="D25613" i="10"/>
  <c r="D25612" i="10"/>
  <c r="D25611" i="10"/>
  <c r="D25610" i="10"/>
  <c r="D25609" i="10"/>
  <c r="D25608" i="10"/>
  <c r="D25607" i="10"/>
  <c r="D25606" i="10"/>
  <c r="D25605" i="10"/>
  <c r="D25604" i="10"/>
  <c r="D25603" i="10"/>
  <c r="D25602" i="10"/>
  <c r="D25601" i="10"/>
  <c r="D25600" i="10"/>
  <c r="D25599" i="10"/>
  <c r="D25598" i="10"/>
  <c r="D25597" i="10"/>
  <c r="D25596" i="10"/>
  <c r="D25595" i="10"/>
  <c r="D25594" i="10"/>
  <c r="D25593" i="10"/>
  <c r="D25592" i="10"/>
  <c r="D25591" i="10"/>
  <c r="D25590" i="10"/>
  <c r="D25589" i="10"/>
  <c r="D25588" i="10"/>
  <c r="D25587" i="10"/>
  <c r="D25586" i="10"/>
  <c r="D25585" i="10"/>
  <c r="D25584" i="10"/>
  <c r="D25583" i="10"/>
  <c r="D25582" i="10"/>
  <c r="D25581" i="10"/>
  <c r="D25580" i="10"/>
  <c r="D25579" i="10"/>
  <c r="D25578" i="10"/>
  <c r="D25577" i="10"/>
  <c r="D25576" i="10"/>
  <c r="D25575" i="10"/>
  <c r="D25574" i="10"/>
  <c r="D25573" i="10"/>
  <c r="D25572" i="10"/>
  <c r="D25571" i="10"/>
  <c r="D25570" i="10"/>
  <c r="D25569" i="10"/>
  <c r="D25568" i="10"/>
  <c r="D25567" i="10"/>
  <c r="D25566" i="10"/>
  <c r="D25565" i="10"/>
  <c r="D25564" i="10"/>
  <c r="D25563" i="10"/>
  <c r="D25562" i="10"/>
  <c r="D25561" i="10"/>
  <c r="D25560" i="10"/>
  <c r="D25559" i="10"/>
  <c r="D25558" i="10"/>
  <c r="D25557" i="10"/>
  <c r="D25556" i="10"/>
  <c r="D25555" i="10"/>
  <c r="D25554" i="10"/>
  <c r="D25553" i="10"/>
  <c r="D25552" i="10"/>
  <c r="D25551" i="10"/>
  <c r="D25550" i="10"/>
  <c r="D25549" i="10"/>
  <c r="D25548" i="10"/>
  <c r="D25547" i="10"/>
  <c r="D25546" i="10"/>
  <c r="D25545" i="10"/>
  <c r="D25544" i="10"/>
  <c r="D25543" i="10"/>
  <c r="D25542" i="10"/>
  <c r="D25541" i="10"/>
  <c r="D25540" i="10"/>
  <c r="D25539" i="10"/>
  <c r="D25538" i="10"/>
  <c r="D25537" i="10"/>
  <c r="D25536" i="10"/>
  <c r="D25535" i="10"/>
  <c r="D25534" i="10"/>
  <c r="D25533" i="10"/>
  <c r="D25532" i="10"/>
  <c r="D25531" i="10"/>
  <c r="D25530" i="10"/>
  <c r="D25529" i="10"/>
  <c r="D25528" i="10"/>
  <c r="D25527" i="10"/>
  <c r="D25526" i="10"/>
  <c r="D25525" i="10"/>
  <c r="D25524" i="10"/>
  <c r="D25523" i="10"/>
  <c r="D25522" i="10"/>
  <c r="D25521" i="10"/>
  <c r="D25520" i="10"/>
  <c r="D25519" i="10"/>
  <c r="D25518" i="10"/>
  <c r="D25517" i="10"/>
  <c r="D25516" i="10"/>
  <c r="D25515" i="10"/>
  <c r="D25514" i="10"/>
  <c r="D25513" i="10"/>
  <c r="D25512" i="10"/>
  <c r="D25511" i="10"/>
  <c r="D25510" i="10"/>
  <c r="D25509" i="10"/>
  <c r="D25508" i="10"/>
  <c r="D25507" i="10"/>
  <c r="D25506" i="10"/>
  <c r="D25505" i="10"/>
  <c r="D25504" i="10"/>
  <c r="D25503" i="10"/>
  <c r="D25502" i="10"/>
  <c r="D25501" i="10"/>
  <c r="D25500" i="10"/>
  <c r="D25499" i="10"/>
  <c r="D25498" i="10"/>
  <c r="D25497" i="10"/>
  <c r="D25496" i="10"/>
  <c r="D25495" i="10"/>
  <c r="D25494" i="10"/>
  <c r="D25493" i="10"/>
  <c r="D25492" i="10"/>
  <c r="D25491" i="10"/>
  <c r="D25490" i="10"/>
  <c r="D25489" i="10"/>
  <c r="D25488" i="10"/>
  <c r="D25487" i="10"/>
  <c r="D25486" i="10"/>
  <c r="D25485" i="10"/>
  <c r="D25484" i="10"/>
  <c r="D25483" i="10"/>
  <c r="D25482" i="10"/>
  <c r="D25481" i="10"/>
  <c r="D25480" i="10"/>
  <c r="D25479" i="10"/>
  <c r="D25478" i="10"/>
  <c r="D25477" i="10"/>
  <c r="D25476" i="10"/>
  <c r="D25475" i="10"/>
  <c r="D25474" i="10"/>
  <c r="D25473" i="10"/>
  <c r="D25472" i="10"/>
  <c r="D25471" i="10"/>
  <c r="D25470" i="10"/>
  <c r="D25469" i="10"/>
  <c r="D25468" i="10"/>
  <c r="D25467" i="10"/>
  <c r="D25466" i="10"/>
  <c r="D25465" i="10"/>
  <c r="D25464" i="10"/>
  <c r="D25463" i="10"/>
  <c r="D25462" i="10"/>
  <c r="D25461" i="10"/>
  <c r="D25460" i="10"/>
  <c r="D25459" i="10"/>
  <c r="D25458" i="10"/>
  <c r="D25457" i="10"/>
  <c r="D25456" i="10"/>
  <c r="D25455" i="10"/>
  <c r="D25454" i="10"/>
  <c r="D25453" i="10"/>
  <c r="D25452" i="10"/>
  <c r="D25451" i="10"/>
  <c r="D25450" i="10"/>
  <c r="D25449" i="10"/>
  <c r="D25448" i="10"/>
  <c r="D25447" i="10"/>
  <c r="D25446" i="10"/>
  <c r="D25445" i="10"/>
  <c r="D25444" i="10"/>
  <c r="D25443" i="10"/>
  <c r="D25442" i="10"/>
  <c r="D25441" i="10"/>
  <c r="D25440" i="10"/>
  <c r="D25439" i="10"/>
  <c r="D25438" i="10"/>
  <c r="D25437" i="10"/>
  <c r="D25436" i="10"/>
  <c r="D25435" i="10"/>
  <c r="D25434" i="10"/>
  <c r="D25433" i="10"/>
  <c r="D25432" i="10"/>
  <c r="D25431" i="10"/>
  <c r="D25430" i="10"/>
  <c r="D25429" i="10"/>
  <c r="D25428" i="10"/>
  <c r="D25427" i="10"/>
  <c r="D25426" i="10"/>
  <c r="D25425" i="10"/>
  <c r="D25424" i="10"/>
  <c r="D25423" i="10"/>
  <c r="D25422" i="10"/>
  <c r="D25421" i="10"/>
  <c r="D25420" i="10"/>
  <c r="D25419" i="10"/>
  <c r="D25418" i="10"/>
  <c r="D25417" i="10"/>
  <c r="D25416" i="10"/>
  <c r="D25415" i="10"/>
  <c r="D25414" i="10"/>
  <c r="D25413" i="10"/>
  <c r="D25412" i="10"/>
  <c r="D25411" i="10"/>
  <c r="D25410" i="10"/>
  <c r="D25409" i="10"/>
  <c r="D25408" i="10"/>
  <c r="D25407" i="10"/>
  <c r="D25406" i="10"/>
  <c r="D25405" i="10"/>
  <c r="D25404" i="10"/>
  <c r="D25403" i="10"/>
  <c r="D25402" i="10"/>
  <c r="D25401" i="10"/>
  <c r="D25400" i="10"/>
  <c r="D25399" i="10"/>
  <c r="D25398" i="10"/>
  <c r="D25397" i="10"/>
  <c r="D25396" i="10"/>
  <c r="D25395" i="10"/>
  <c r="D25394" i="10"/>
  <c r="D25393" i="10"/>
  <c r="D25392" i="10"/>
  <c r="D25391" i="10"/>
  <c r="D25390" i="10"/>
  <c r="D25389" i="10"/>
  <c r="D25388" i="10"/>
  <c r="D25387" i="10"/>
  <c r="D25386" i="10"/>
  <c r="D25385" i="10"/>
  <c r="D25384" i="10"/>
  <c r="D25383" i="10"/>
  <c r="D25382" i="10"/>
  <c r="D25381" i="10"/>
  <c r="D25380" i="10"/>
  <c r="D25379" i="10"/>
  <c r="D25378" i="10"/>
  <c r="D25377" i="10"/>
  <c r="D25376" i="10"/>
  <c r="D25375" i="10"/>
  <c r="D25374" i="10"/>
  <c r="D25373" i="10"/>
  <c r="D25372" i="10"/>
  <c r="D25371" i="10"/>
  <c r="D25370" i="10"/>
  <c r="D25369" i="10"/>
  <c r="D25368" i="10"/>
  <c r="D25367" i="10"/>
  <c r="D25366" i="10"/>
  <c r="D25365" i="10"/>
  <c r="D25364" i="10"/>
  <c r="D25363" i="10"/>
  <c r="D25362" i="10"/>
  <c r="D25361" i="10"/>
  <c r="D25360" i="10"/>
  <c r="D25359" i="10"/>
  <c r="D25358" i="10"/>
  <c r="D25357" i="10"/>
  <c r="D25356" i="10"/>
  <c r="D25355" i="10"/>
  <c r="D25354" i="10"/>
  <c r="D25353" i="10"/>
  <c r="D25352" i="10"/>
  <c r="D25351" i="10"/>
  <c r="D25350" i="10"/>
  <c r="D25349" i="10"/>
  <c r="D25348" i="10"/>
  <c r="D25347" i="10"/>
  <c r="D25346" i="10"/>
  <c r="D25345" i="10"/>
  <c r="D25344" i="10"/>
  <c r="D25343" i="10"/>
  <c r="D25342" i="10"/>
  <c r="D25341" i="10"/>
  <c r="D25340" i="10"/>
  <c r="D25339" i="10"/>
  <c r="D25338" i="10"/>
  <c r="D25337" i="10"/>
  <c r="D25336" i="10"/>
  <c r="D25335" i="10"/>
  <c r="D25334" i="10"/>
  <c r="D25333" i="10"/>
  <c r="D25332" i="10"/>
  <c r="D25331" i="10"/>
  <c r="D25330" i="10"/>
  <c r="D25329" i="10"/>
  <c r="D25328" i="10"/>
  <c r="D25327" i="10"/>
  <c r="D25326" i="10"/>
  <c r="D25325" i="10"/>
  <c r="D25324" i="10"/>
  <c r="D25323" i="10"/>
  <c r="D25322" i="10"/>
  <c r="D25321" i="10"/>
  <c r="D25320" i="10"/>
  <c r="D25319" i="10"/>
  <c r="D25318" i="10"/>
  <c r="D25317" i="10"/>
  <c r="D25316" i="10"/>
  <c r="D25315" i="10"/>
  <c r="D25314" i="10"/>
  <c r="D25313" i="10"/>
  <c r="D25312" i="10"/>
  <c r="D25311" i="10"/>
  <c r="D25310" i="10"/>
  <c r="D25309" i="10"/>
  <c r="D25308" i="10"/>
  <c r="D25307" i="10"/>
  <c r="D25306" i="10"/>
  <c r="D25305" i="10"/>
  <c r="D25304" i="10"/>
  <c r="D25303" i="10"/>
  <c r="D25302" i="10"/>
  <c r="D25301" i="10"/>
  <c r="D25300" i="10"/>
  <c r="D25299" i="10"/>
  <c r="D25298" i="10"/>
  <c r="D25297" i="10"/>
  <c r="D25296" i="10"/>
  <c r="D25295" i="10"/>
  <c r="D25294" i="10"/>
  <c r="D25293" i="10"/>
  <c r="D25292" i="10"/>
  <c r="D25291" i="10"/>
  <c r="D25290" i="10"/>
  <c r="D25289" i="10"/>
  <c r="D25288" i="10"/>
  <c r="D25287" i="10"/>
  <c r="D25286" i="10"/>
  <c r="D25285" i="10"/>
  <c r="D25284" i="10"/>
  <c r="D25283" i="10"/>
  <c r="D25282" i="10"/>
  <c r="D25281" i="10"/>
  <c r="D25280" i="10"/>
  <c r="D25279" i="10"/>
  <c r="D25278" i="10"/>
  <c r="D25277" i="10"/>
  <c r="D25276" i="10"/>
  <c r="D25275" i="10"/>
  <c r="D25274" i="10"/>
  <c r="D25273" i="10"/>
  <c r="D25272" i="10"/>
  <c r="D25271" i="10"/>
  <c r="D25270" i="10"/>
  <c r="D25269" i="10"/>
  <c r="D25268" i="10"/>
  <c r="D25267" i="10"/>
  <c r="D25266" i="10"/>
  <c r="D25265" i="10"/>
  <c r="D25264" i="10"/>
  <c r="D25263" i="10"/>
  <c r="D25262" i="10"/>
  <c r="D25261" i="10"/>
  <c r="D25260" i="10"/>
  <c r="D25259" i="10"/>
  <c r="D25258" i="10"/>
  <c r="D25257" i="10"/>
  <c r="D25256" i="10"/>
  <c r="D25255" i="10"/>
  <c r="D25254" i="10"/>
  <c r="D25253" i="10"/>
  <c r="D25252" i="10"/>
  <c r="D25251" i="10"/>
  <c r="D25250" i="10"/>
  <c r="D25249" i="10"/>
  <c r="D25248" i="10"/>
  <c r="D25247" i="10"/>
  <c r="D25246" i="10"/>
  <c r="D25245" i="10"/>
  <c r="D25244" i="10"/>
  <c r="D25243" i="10"/>
  <c r="D25242" i="10"/>
  <c r="D25241" i="10"/>
  <c r="D25240" i="10"/>
  <c r="D25239" i="10"/>
  <c r="D25238" i="10"/>
  <c r="D25237" i="10"/>
  <c r="D25236" i="10"/>
  <c r="D25235" i="10"/>
  <c r="D25234" i="10"/>
  <c r="D25233" i="10"/>
  <c r="D25232" i="10"/>
  <c r="D25231" i="10"/>
  <c r="D25230" i="10"/>
  <c r="D25229" i="10"/>
  <c r="D25228" i="10"/>
  <c r="D25227" i="10"/>
  <c r="D25226" i="10"/>
  <c r="D25225" i="10"/>
  <c r="D25224" i="10"/>
  <c r="D25223" i="10"/>
  <c r="D25222" i="10"/>
  <c r="D25221" i="10"/>
  <c r="D25220" i="10"/>
  <c r="D25219" i="10"/>
  <c r="D25218" i="10"/>
  <c r="D25217" i="10"/>
  <c r="D25216" i="10"/>
  <c r="D25215" i="10"/>
  <c r="D25214" i="10"/>
  <c r="D25213" i="10"/>
  <c r="D25212" i="10"/>
  <c r="D25211" i="10"/>
  <c r="D25210" i="10"/>
  <c r="D25209" i="10"/>
  <c r="D25208" i="10"/>
  <c r="D25207" i="10"/>
  <c r="D25206" i="10"/>
  <c r="D25205" i="10"/>
  <c r="D25204" i="10"/>
  <c r="D25203" i="10"/>
  <c r="D25202" i="10"/>
  <c r="D25201" i="10"/>
  <c r="D25200" i="10"/>
  <c r="D25199" i="10"/>
  <c r="D25198" i="10"/>
  <c r="D25197" i="10"/>
  <c r="D25196" i="10"/>
  <c r="D25195" i="10"/>
  <c r="D25194" i="10"/>
  <c r="D25193" i="10"/>
  <c r="D25192" i="10"/>
  <c r="D25191" i="10"/>
  <c r="D25190" i="10"/>
  <c r="D25189" i="10"/>
  <c r="D25188" i="10"/>
  <c r="D25187" i="10"/>
  <c r="D25186" i="10"/>
  <c r="D25185" i="10"/>
  <c r="D25184" i="10"/>
  <c r="D25183" i="10"/>
  <c r="D25182" i="10"/>
  <c r="D25181" i="10"/>
  <c r="D25180" i="10"/>
  <c r="D25179" i="10"/>
  <c r="D25178" i="10"/>
  <c r="D25177" i="10"/>
  <c r="D25176" i="10"/>
  <c r="D25175" i="10"/>
  <c r="D25174" i="10"/>
  <c r="D25173" i="10"/>
  <c r="D25172" i="10"/>
  <c r="D25171" i="10"/>
  <c r="D25170" i="10"/>
  <c r="D25169" i="10"/>
  <c r="D25168" i="10"/>
  <c r="D25167" i="10"/>
  <c r="D25166" i="10"/>
  <c r="D25165" i="10"/>
  <c r="D25164" i="10"/>
  <c r="D25163" i="10"/>
  <c r="D25162" i="10"/>
  <c r="D25161" i="10"/>
  <c r="D25160" i="10"/>
  <c r="D25159" i="10"/>
  <c r="D25158" i="10"/>
  <c r="D25157" i="10"/>
  <c r="D25156" i="10"/>
  <c r="D25155" i="10"/>
  <c r="D25154" i="10"/>
  <c r="D25153" i="10"/>
  <c r="D25152" i="10"/>
  <c r="D25151" i="10"/>
  <c r="D25150" i="10"/>
  <c r="D25149" i="10"/>
  <c r="D25148" i="10"/>
  <c r="D25147" i="10"/>
  <c r="D25146" i="10"/>
  <c r="D25145" i="10"/>
  <c r="D25144" i="10"/>
  <c r="D25143" i="10"/>
  <c r="D25142" i="10"/>
  <c r="D25141" i="10"/>
  <c r="D25140" i="10"/>
  <c r="D25139" i="10"/>
  <c r="D25138" i="10"/>
  <c r="D25137" i="10"/>
  <c r="D25136" i="10"/>
  <c r="D25135" i="10"/>
  <c r="D25134" i="10"/>
  <c r="D25133" i="10"/>
  <c r="D25132" i="10"/>
  <c r="D25131" i="10"/>
  <c r="D25130" i="10"/>
  <c r="D25129" i="10"/>
  <c r="D25128" i="10"/>
  <c r="D25127" i="10"/>
  <c r="D25126" i="10"/>
  <c r="D25125" i="10"/>
  <c r="D25124" i="10"/>
  <c r="D25123" i="10"/>
  <c r="D25122" i="10"/>
  <c r="D25121" i="10"/>
  <c r="D25120" i="10"/>
  <c r="D25119" i="10"/>
  <c r="D25118" i="10"/>
  <c r="D25117" i="10"/>
  <c r="D25116" i="10"/>
  <c r="D25115" i="10"/>
  <c r="D25114" i="10"/>
  <c r="D25113" i="10"/>
  <c r="D25112" i="10"/>
  <c r="D25111" i="10"/>
  <c r="D25110" i="10"/>
  <c r="D25109" i="10"/>
  <c r="D25108" i="10"/>
  <c r="D25107" i="10"/>
  <c r="D25106" i="10"/>
  <c r="D25105" i="10"/>
  <c r="D25104" i="10"/>
  <c r="D25103" i="10"/>
  <c r="D25102" i="10"/>
  <c r="D25101" i="10"/>
  <c r="D25100" i="10"/>
  <c r="D25099" i="10"/>
  <c r="D25098" i="10"/>
  <c r="D25097" i="10"/>
  <c r="D25096" i="10"/>
  <c r="D25095" i="10"/>
  <c r="D25094" i="10"/>
  <c r="D25093" i="10"/>
  <c r="D25092" i="10"/>
  <c r="D25091" i="10"/>
  <c r="D25090" i="10"/>
  <c r="D25089" i="10"/>
  <c r="D25088" i="10"/>
  <c r="D25087" i="10"/>
  <c r="D25086" i="10"/>
  <c r="D25085" i="10"/>
  <c r="D25084" i="10"/>
  <c r="D25083" i="10"/>
  <c r="D25082" i="10"/>
  <c r="D25081" i="10"/>
  <c r="D25080" i="10"/>
  <c r="D25079" i="10"/>
  <c r="D25078" i="10"/>
  <c r="D25077" i="10"/>
  <c r="D25076" i="10"/>
  <c r="D25075" i="10"/>
  <c r="D25074" i="10"/>
  <c r="D25073" i="10"/>
  <c r="D25072" i="10"/>
  <c r="D25071" i="10"/>
  <c r="D25070" i="10"/>
  <c r="D25069" i="10"/>
  <c r="D25068" i="10"/>
  <c r="D25067" i="10"/>
  <c r="D25066" i="10"/>
  <c r="D25065" i="10"/>
  <c r="D25064" i="10"/>
  <c r="D25063" i="10"/>
  <c r="D25062" i="10"/>
  <c r="D25061" i="10"/>
  <c r="D25060" i="10"/>
  <c r="D25059" i="10"/>
  <c r="D25058" i="10"/>
  <c r="D25057" i="10"/>
  <c r="D25056" i="10"/>
  <c r="D25055" i="10"/>
  <c r="D25054" i="10"/>
  <c r="D25053" i="10"/>
  <c r="D25052" i="10"/>
  <c r="D25051" i="10"/>
  <c r="D25050" i="10"/>
  <c r="D25049" i="10"/>
  <c r="D25048" i="10"/>
  <c r="D25047" i="10"/>
  <c r="D25046" i="10"/>
  <c r="D25045" i="10"/>
  <c r="D25044" i="10"/>
  <c r="D25043" i="10"/>
  <c r="D25042" i="10"/>
  <c r="D25041" i="10"/>
  <c r="D25040" i="10"/>
  <c r="D25039" i="10"/>
  <c r="D25038" i="10"/>
  <c r="D25037" i="10"/>
  <c r="D25036" i="10"/>
  <c r="D25035" i="10"/>
  <c r="D25034" i="10"/>
  <c r="D25033" i="10"/>
  <c r="D25032" i="10"/>
  <c r="D25031" i="10"/>
  <c r="D25030" i="10"/>
  <c r="D25029" i="10"/>
  <c r="D25028" i="10"/>
  <c r="D25027" i="10"/>
  <c r="D25026" i="10"/>
  <c r="D25025" i="10"/>
  <c r="D25024" i="10"/>
  <c r="D25023" i="10"/>
  <c r="D25022" i="10"/>
  <c r="D25021" i="10"/>
  <c r="D25020" i="10"/>
  <c r="D25019" i="10"/>
  <c r="D25018" i="10"/>
  <c r="D25017" i="10"/>
  <c r="D25016" i="10"/>
  <c r="D25015" i="10"/>
  <c r="D25014" i="10"/>
  <c r="D25013" i="10"/>
  <c r="D25012" i="10"/>
  <c r="D25011" i="10"/>
  <c r="D25010" i="10"/>
  <c r="D25009" i="10"/>
  <c r="D25008" i="10"/>
  <c r="D25007" i="10"/>
  <c r="D25006" i="10"/>
  <c r="D25005" i="10"/>
  <c r="D25004" i="10"/>
  <c r="D25003" i="10"/>
  <c r="D25002" i="10"/>
  <c r="D25001" i="10"/>
  <c r="D25000" i="10"/>
  <c r="D24999" i="10"/>
  <c r="D24998" i="10"/>
  <c r="D24997" i="10"/>
  <c r="D24996" i="10"/>
  <c r="D24995" i="10"/>
  <c r="D24994" i="10"/>
  <c r="D24993" i="10"/>
  <c r="D24992" i="10"/>
  <c r="D24991" i="10"/>
  <c r="D24990" i="10"/>
  <c r="D24989" i="10"/>
  <c r="D24988" i="10"/>
  <c r="D24987" i="10"/>
  <c r="D24986" i="10"/>
  <c r="D24985" i="10"/>
  <c r="D24984" i="10"/>
  <c r="D24983" i="10"/>
  <c r="D24982" i="10"/>
  <c r="D24981" i="10"/>
  <c r="D24980" i="10"/>
  <c r="D24979" i="10"/>
  <c r="D24978" i="10"/>
  <c r="D24977" i="10"/>
  <c r="D24976" i="10"/>
  <c r="D24975" i="10"/>
  <c r="D24974" i="10"/>
  <c r="D24973" i="10"/>
  <c r="D24972" i="10"/>
  <c r="D24971" i="10"/>
  <c r="D24970" i="10"/>
  <c r="D24969" i="10"/>
  <c r="D24968" i="10"/>
  <c r="D24967" i="10"/>
  <c r="D24966" i="10"/>
  <c r="D24965" i="10"/>
  <c r="D24964" i="10"/>
  <c r="D24963" i="10"/>
  <c r="D24962" i="10"/>
  <c r="D24961" i="10"/>
  <c r="D24960" i="10"/>
  <c r="D24959" i="10"/>
  <c r="D24958" i="10"/>
  <c r="D24957" i="10"/>
  <c r="D24956" i="10"/>
  <c r="D24955" i="10"/>
  <c r="D24954" i="10"/>
  <c r="D24953" i="10"/>
  <c r="D24952" i="10"/>
  <c r="D24951" i="10"/>
  <c r="D24950" i="10"/>
  <c r="D24949" i="10"/>
  <c r="D24948" i="10"/>
  <c r="D24947" i="10"/>
  <c r="D24946" i="10"/>
  <c r="D24945" i="10"/>
  <c r="D24944" i="10"/>
  <c r="D24943" i="10"/>
  <c r="D24942" i="10"/>
  <c r="D24941" i="10"/>
  <c r="D24940" i="10"/>
  <c r="D24939" i="10"/>
  <c r="D24938" i="10"/>
  <c r="D24937" i="10"/>
  <c r="D24936" i="10"/>
  <c r="D24935" i="10"/>
  <c r="D24934" i="10"/>
  <c r="D24933" i="10"/>
  <c r="D24932" i="10"/>
  <c r="D24931" i="10"/>
  <c r="D24930" i="10"/>
  <c r="D24929" i="10"/>
  <c r="D24928" i="10"/>
  <c r="D24927" i="10"/>
  <c r="D24926" i="10"/>
  <c r="D24925" i="10"/>
  <c r="D24924" i="10"/>
  <c r="D24923" i="10"/>
  <c r="D24922" i="10"/>
  <c r="D24921" i="10"/>
  <c r="D24920" i="10"/>
  <c r="D24919" i="10"/>
  <c r="D24918" i="10"/>
  <c r="D24917" i="10"/>
  <c r="D24916" i="10"/>
  <c r="D24915" i="10"/>
  <c r="D24914" i="10"/>
  <c r="D24913" i="10"/>
  <c r="D24912" i="10"/>
  <c r="D24911" i="10"/>
  <c r="D24910" i="10"/>
  <c r="D24909" i="10"/>
  <c r="D24908" i="10"/>
  <c r="D24907" i="10"/>
  <c r="D24906" i="10"/>
  <c r="D24905" i="10"/>
  <c r="D24904" i="10"/>
  <c r="D24903" i="10"/>
  <c r="D24902" i="10"/>
  <c r="D24901" i="10"/>
  <c r="D24900" i="10"/>
  <c r="D24899" i="10"/>
  <c r="D24898" i="10"/>
  <c r="D24897" i="10"/>
  <c r="D24896" i="10"/>
  <c r="D24895" i="10"/>
  <c r="D24894" i="10"/>
  <c r="D24893" i="10"/>
  <c r="D24892" i="10"/>
  <c r="D24891" i="10"/>
  <c r="D24890" i="10"/>
  <c r="D24889" i="10"/>
  <c r="D24888" i="10"/>
  <c r="D24887" i="10"/>
  <c r="D24886" i="10"/>
  <c r="D24885" i="10"/>
  <c r="D24884" i="10"/>
  <c r="D24883" i="10"/>
  <c r="D24882" i="10"/>
  <c r="D24881" i="10"/>
  <c r="D24880" i="10"/>
  <c r="D24879" i="10"/>
  <c r="D24878" i="10"/>
  <c r="D24877" i="10"/>
  <c r="D24876" i="10"/>
  <c r="D24875" i="10"/>
  <c r="D24874" i="10"/>
  <c r="D24873" i="10"/>
  <c r="D24872" i="10"/>
  <c r="D24871" i="10"/>
  <c r="D24870" i="10"/>
  <c r="D24869" i="10"/>
  <c r="D24868" i="10"/>
  <c r="D24867" i="10"/>
  <c r="D24866" i="10"/>
  <c r="D24865" i="10"/>
  <c r="D24864" i="10"/>
  <c r="D24863" i="10"/>
  <c r="D24862" i="10"/>
  <c r="D24861" i="10"/>
  <c r="D24860" i="10"/>
  <c r="D24859" i="10"/>
  <c r="D24858" i="10"/>
  <c r="D24857" i="10"/>
  <c r="D24856" i="10"/>
  <c r="D24855" i="10"/>
  <c r="D24854" i="10"/>
  <c r="D24853" i="10"/>
  <c r="D24852" i="10"/>
  <c r="D24851" i="10"/>
  <c r="D24850" i="10"/>
  <c r="D24849" i="10"/>
  <c r="D24848" i="10"/>
  <c r="D24847" i="10"/>
  <c r="D24846" i="10"/>
  <c r="D24845" i="10"/>
  <c r="D24844" i="10"/>
  <c r="D24843" i="10"/>
  <c r="D24842" i="10"/>
  <c r="D24841" i="10"/>
  <c r="D24840" i="10"/>
  <c r="D24839" i="10"/>
  <c r="D24838" i="10"/>
  <c r="D24837" i="10"/>
  <c r="D24836" i="10"/>
  <c r="D24835" i="10"/>
  <c r="D24834" i="10"/>
  <c r="D24833" i="10"/>
  <c r="D24832" i="10"/>
  <c r="D24831" i="10"/>
  <c r="D24830" i="10"/>
  <c r="D24829" i="10"/>
  <c r="D24828" i="10"/>
  <c r="D24827" i="10"/>
  <c r="D24826" i="10"/>
  <c r="D24825" i="10"/>
  <c r="D24824" i="10"/>
  <c r="D24823" i="10"/>
  <c r="D24822" i="10"/>
  <c r="D24821" i="10"/>
  <c r="D24820" i="10"/>
  <c r="D24819" i="10"/>
  <c r="D24818" i="10"/>
  <c r="D24817" i="10"/>
  <c r="D24816" i="10"/>
  <c r="D24815" i="10"/>
  <c r="D24814" i="10"/>
  <c r="D24813" i="10"/>
  <c r="D24812" i="10"/>
  <c r="D24811" i="10"/>
  <c r="D24810" i="10"/>
  <c r="D24809" i="10"/>
  <c r="D24808" i="10"/>
  <c r="D24807" i="10"/>
  <c r="D24806" i="10"/>
  <c r="D24805" i="10"/>
  <c r="D24804" i="10"/>
  <c r="D24803" i="10"/>
  <c r="D24802" i="10"/>
  <c r="D24801" i="10"/>
  <c r="D24800" i="10"/>
  <c r="D24799" i="10"/>
  <c r="D24798" i="10"/>
  <c r="D24797" i="10"/>
  <c r="D24796" i="10"/>
  <c r="D24795" i="10"/>
  <c r="D24794" i="10"/>
  <c r="D24793" i="10"/>
  <c r="D24792" i="10"/>
  <c r="D24791" i="10"/>
  <c r="D24790" i="10"/>
  <c r="D24789" i="10"/>
  <c r="D24788" i="10"/>
  <c r="D24787" i="10"/>
  <c r="D24786" i="10"/>
  <c r="D24785" i="10"/>
  <c r="D24784" i="10"/>
  <c r="D24783" i="10"/>
  <c r="D24782" i="10"/>
  <c r="D24781" i="10"/>
  <c r="D24780" i="10"/>
  <c r="D24779" i="10"/>
  <c r="D24778" i="10"/>
  <c r="D24777" i="10"/>
  <c r="D24776" i="10"/>
  <c r="D24775" i="10"/>
  <c r="D24774" i="10"/>
  <c r="D24773" i="10"/>
  <c r="D24772" i="10"/>
  <c r="D24771" i="10"/>
  <c r="D24770" i="10"/>
  <c r="D24769" i="10"/>
  <c r="D24768" i="10"/>
  <c r="D24767" i="10"/>
  <c r="D24766" i="10"/>
  <c r="D24765" i="10"/>
  <c r="D24764" i="10"/>
  <c r="D24763" i="10"/>
  <c r="D24762" i="10"/>
  <c r="D24761" i="10"/>
  <c r="D24760" i="10"/>
  <c r="D24759" i="10"/>
  <c r="D24758" i="10"/>
  <c r="D24757" i="10"/>
  <c r="D24756" i="10"/>
  <c r="D24755" i="10"/>
  <c r="D24754" i="10"/>
  <c r="D24753" i="10"/>
  <c r="D24752" i="10"/>
  <c r="D24751" i="10"/>
  <c r="D24750" i="10"/>
  <c r="D24749" i="10"/>
  <c r="D24748" i="10"/>
  <c r="D24747" i="10"/>
  <c r="D24746" i="10"/>
  <c r="D24745" i="10"/>
  <c r="D24744" i="10"/>
  <c r="D24743" i="10"/>
  <c r="D24742" i="10"/>
  <c r="D24741" i="10"/>
  <c r="D24740" i="10"/>
  <c r="D24739" i="10"/>
  <c r="D24738" i="10"/>
  <c r="D24737" i="10"/>
  <c r="D24736" i="10"/>
  <c r="D24735" i="10"/>
  <c r="D24734" i="10"/>
  <c r="D24733" i="10"/>
  <c r="D24732" i="10"/>
  <c r="D24731" i="10"/>
  <c r="D24730" i="10"/>
  <c r="D24729" i="10"/>
  <c r="D24728" i="10"/>
  <c r="D24727" i="10"/>
  <c r="D24726" i="10"/>
  <c r="D24725" i="10"/>
  <c r="D24724" i="10"/>
  <c r="D24723" i="10"/>
  <c r="D24722" i="10"/>
  <c r="D24721" i="10"/>
  <c r="D24720" i="10"/>
  <c r="D24719" i="10"/>
  <c r="D24718" i="10"/>
  <c r="D24717" i="10"/>
  <c r="D24716" i="10"/>
  <c r="D24715" i="10"/>
  <c r="D24714" i="10"/>
  <c r="D24713" i="10"/>
  <c r="D24712" i="10"/>
  <c r="D24711" i="10"/>
  <c r="D24710" i="10"/>
  <c r="D24709" i="10"/>
  <c r="D24708" i="10"/>
  <c r="D24707" i="10"/>
  <c r="D24706" i="10"/>
  <c r="D24705" i="10"/>
  <c r="D24704" i="10"/>
  <c r="D24703" i="10"/>
  <c r="D24702" i="10"/>
  <c r="D24701" i="10"/>
  <c r="D24700" i="10"/>
  <c r="D24699" i="10"/>
  <c r="D24698" i="10"/>
  <c r="D24697" i="10"/>
  <c r="D24696" i="10"/>
  <c r="D24695" i="10"/>
  <c r="D24694" i="10"/>
  <c r="D24693" i="10"/>
  <c r="D24692" i="10"/>
  <c r="D24691" i="10"/>
  <c r="D24690" i="10"/>
  <c r="D24689" i="10"/>
  <c r="D24688" i="10"/>
  <c r="D24687" i="10"/>
  <c r="D24686" i="10"/>
  <c r="D24685" i="10"/>
  <c r="D24684" i="10"/>
  <c r="D24683" i="10"/>
  <c r="D24682" i="10"/>
  <c r="D24681" i="10"/>
  <c r="D24680" i="10"/>
  <c r="D24679" i="10"/>
  <c r="D24678" i="10"/>
  <c r="D24677" i="10"/>
  <c r="D24676" i="10"/>
  <c r="D24675" i="10"/>
  <c r="D24674" i="10"/>
  <c r="D24673" i="10"/>
  <c r="D24672" i="10"/>
  <c r="D24671" i="10"/>
  <c r="D24670" i="10"/>
  <c r="D24669" i="10"/>
  <c r="D24668" i="10"/>
  <c r="D24667" i="10"/>
  <c r="D24666" i="10"/>
  <c r="D24665" i="10"/>
  <c r="D24664" i="10"/>
  <c r="D24663" i="10"/>
  <c r="D24662" i="10"/>
  <c r="D24661" i="10"/>
  <c r="D24660" i="10"/>
  <c r="D24659" i="10"/>
  <c r="D24658" i="10"/>
  <c r="D24657" i="10"/>
  <c r="D24656" i="10"/>
  <c r="D24655" i="10"/>
  <c r="D24654" i="10"/>
  <c r="D24653" i="10"/>
  <c r="D24652" i="10"/>
  <c r="D24651" i="10"/>
  <c r="D24650" i="10"/>
  <c r="D24649" i="10"/>
  <c r="D24648" i="10"/>
  <c r="D24647" i="10"/>
  <c r="D24646" i="10"/>
  <c r="D24645" i="10"/>
  <c r="D24644" i="10"/>
  <c r="D24643" i="10"/>
  <c r="D24642" i="10"/>
  <c r="D24641" i="10"/>
  <c r="D24640" i="10"/>
  <c r="D24639" i="10"/>
  <c r="D24638" i="10"/>
  <c r="D24637" i="10"/>
  <c r="D24636" i="10"/>
  <c r="D24635" i="10"/>
  <c r="D24634" i="10"/>
  <c r="D24633" i="10"/>
  <c r="D24632" i="10"/>
  <c r="D24631" i="10"/>
  <c r="D24630" i="10"/>
  <c r="D24629" i="10"/>
  <c r="D24628" i="10"/>
  <c r="D24627" i="10"/>
  <c r="D24626" i="10"/>
  <c r="D24625" i="10"/>
  <c r="D24624" i="10"/>
  <c r="D24623" i="10"/>
  <c r="D24622" i="10"/>
  <c r="D24621" i="10"/>
  <c r="D24620" i="10"/>
  <c r="D24619" i="10"/>
  <c r="D24618" i="10"/>
  <c r="D24617" i="10"/>
  <c r="D24616" i="10"/>
  <c r="D24615" i="10"/>
  <c r="D24614" i="10"/>
  <c r="D24613" i="10"/>
  <c r="D24612" i="10"/>
  <c r="D24611" i="10"/>
  <c r="D24610" i="10"/>
  <c r="D24609" i="10"/>
  <c r="D24608" i="10"/>
  <c r="D24607" i="10"/>
  <c r="D24606" i="10"/>
  <c r="D24605" i="10"/>
  <c r="D24604" i="10"/>
  <c r="D24603" i="10"/>
  <c r="D24602" i="10"/>
  <c r="D24601" i="10"/>
  <c r="D24600" i="10"/>
  <c r="D24599" i="10"/>
  <c r="D24598" i="10"/>
  <c r="D24597" i="10"/>
  <c r="D24596" i="10"/>
  <c r="D24595" i="10"/>
  <c r="D24594" i="10"/>
  <c r="D24593" i="10"/>
  <c r="D24592" i="10"/>
  <c r="D24591" i="10"/>
  <c r="D24590" i="10"/>
  <c r="D24589" i="10"/>
  <c r="D24588" i="10"/>
  <c r="D24587" i="10"/>
  <c r="D24586" i="10"/>
  <c r="D24585" i="10"/>
  <c r="D24584" i="10"/>
  <c r="D24583" i="10"/>
  <c r="D24582" i="10"/>
  <c r="D24581" i="10"/>
  <c r="D24580" i="10"/>
  <c r="D24579" i="10"/>
  <c r="D24578" i="10"/>
  <c r="D24577" i="10"/>
  <c r="D24576" i="10"/>
  <c r="D24575" i="10"/>
  <c r="D24574" i="10"/>
  <c r="D24573" i="10"/>
  <c r="D24572" i="10"/>
  <c r="D24571" i="10"/>
  <c r="D24570" i="10"/>
  <c r="D24569" i="10"/>
  <c r="D24568" i="10"/>
  <c r="D24567" i="10"/>
  <c r="D24566" i="10"/>
  <c r="D24565" i="10"/>
  <c r="D24564" i="10"/>
  <c r="D24563" i="10"/>
  <c r="D24562" i="10"/>
  <c r="D24561" i="10"/>
  <c r="D24560" i="10"/>
  <c r="D24559" i="10"/>
  <c r="D24558" i="10"/>
  <c r="D24557" i="10"/>
  <c r="D24556" i="10"/>
  <c r="D24555" i="10"/>
  <c r="D24554" i="10"/>
  <c r="D24553" i="10"/>
  <c r="D24552" i="10"/>
  <c r="D24551" i="10"/>
  <c r="D24550" i="10"/>
  <c r="D24549" i="10"/>
  <c r="D24548" i="10"/>
  <c r="D24547" i="10"/>
  <c r="D24546" i="10"/>
  <c r="D24545" i="10"/>
  <c r="D24544" i="10"/>
  <c r="D24543" i="10"/>
  <c r="D24542" i="10"/>
  <c r="D24541" i="10"/>
  <c r="D24540" i="10"/>
  <c r="D24539" i="10"/>
  <c r="D24538" i="10"/>
  <c r="D24537" i="10"/>
  <c r="D24536" i="10"/>
  <c r="D24535" i="10"/>
  <c r="D24534" i="10"/>
  <c r="D24533" i="10"/>
  <c r="D24532" i="10"/>
  <c r="D24531" i="10"/>
  <c r="D24530" i="10"/>
  <c r="D24529" i="10"/>
  <c r="D24528" i="10"/>
  <c r="D24527" i="10"/>
  <c r="D24526" i="10"/>
  <c r="D24525" i="10"/>
  <c r="D24524" i="10"/>
  <c r="D24523" i="10"/>
  <c r="D24522" i="10"/>
  <c r="D24521" i="10"/>
  <c r="D24520" i="10"/>
  <c r="D24519" i="10"/>
  <c r="D24518" i="10"/>
  <c r="D24517" i="10"/>
  <c r="D24516" i="10"/>
  <c r="D24515" i="10"/>
  <c r="D24514" i="10"/>
  <c r="D24513" i="10"/>
  <c r="D24512" i="10"/>
  <c r="D24511" i="10"/>
  <c r="D24510" i="10"/>
  <c r="D24509" i="10"/>
  <c r="D24508" i="10"/>
  <c r="D24507" i="10"/>
  <c r="D24506" i="10"/>
  <c r="D24505" i="10"/>
  <c r="D24504" i="10"/>
  <c r="D24503" i="10"/>
  <c r="D24502" i="10"/>
  <c r="D24501" i="10"/>
  <c r="D24500" i="10"/>
  <c r="D24499" i="10"/>
  <c r="D24498" i="10"/>
  <c r="D24497" i="10"/>
  <c r="D24496" i="10"/>
  <c r="D24495" i="10"/>
  <c r="D24494" i="10"/>
  <c r="D24493" i="10"/>
  <c r="D24492" i="10"/>
  <c r="D24491" i="10"/>
  <c r="D24490" i="10"/>
  <c r="D24489" i="10"/>
  <c r="D24488" i="10"/>
  <c r="D24487" i="10"/>
  <c r="D24486" i="10"/>
  <c r="D24485" i="10"/>
  <c r="D24484" i="10"/>
  <c r="D24483" i="10"/>
  <c r="D24482" i="10"/>
  <c r="D24481" i="10"/>
  <c r="D24480" i="10"/>
  <c r="D24479" i="10"/>
  <c r="D24478" i="10"/>
  <c r="D24477" i="10"/>
  <c r="D24476" i="10"/>
  <c r="D24475" i="10"/>
  <c r="D24474" i="10"/>
  <c r="D24473" i="10"/>
  <c r="D24472" i="10"/>
  <c r="D24471" i="10"/>
  <c r="D24470" i="10"/>
  <c r="D24469" i="10"/>
  <c r="D24468" i="10"/>
  <c r="D24467" i="10"/>
  <c r="D24466" i="10"/>
  <c r="D24465" i="10"/>
  <c r="D24464" i="10"/>
  <c r="D24463" i="10"/>
  <c r="D24462" i="10"/>
  <c r="D24461" i="10"/>
  <c r="D24460" i="10"/>
  <c r="D24459" i="10"/>
  <c r="D24458" i="10"/>
  <c r="D24457" i="10"/>
  <c r="D24456" i="10"/>
  <c r="D24455" i="10"/>
  <c r="D24454" i="10"/>
  <c r="D24453" i="10"/>
  <c r="D24452" i="10"/>
  <c r="D24451" i="10"/>
  <c r="D24450" i="10"/>
  <c r="D24449" i="10"/>
  <c r="D24448" i="10"/>
  <c r="D24447" i="10"/>
  <c r="D24446" i="10"/>
  <c r="D24445" i="10"/>
  <c r="D24444" i="10"/>
  <c r="D24443" i="10"/>
  <c r="D24442" i="10"/>
  <c r="D24441" i="10"/>
  <c r="D24440" i="10"/>
  <c r="D24439" i="10"/>
  <c r="D24438" i="10"/>
  <c r="D24437" i="10"/>
  <c r="D24436" i="10"/>
  <c r="D24435" i="10"/>
  <c r="D24434" i="10"/>
  <c r="D24433" i="10"/>
  <c r="D24432" i="10"/>
  <c r="D24431" i="10"/>
  <c r="D24430" i="10"/>
  <c r="D24429" i="10"/>
  <c r="D24428" i="10"/>
  <c r="D24427" i="10"/>
  <c r="D24426" i="10"/>
  <c r="D24425" i="10"/>
  <c r="D24424" i="10"/>
  <c r="D24423" i="10"/>
  <c r="D24422" i="10"/>
  <c r="D24421" i="10"/>
  <c r="D24420" i="10"/>
  <c r="D24419" i="10"/>
  <c r="D24418" i="10"/>
  <c r="D24417" i="10"/>
  <c r="D24416" i="10"/>
  <c r="D24415" i="10"/>
  <c r="D24414" i="10"/>
  <c r="D24413" i="10"/>
  <c r="D24412" i="10"/>
  <c r="D24411" i="10"/>
  <c r="D24410" i="10"/>
  <c r="D24409" i="10"/>
  <c r="D24408" i="10"/>
  <c r="D24407" i="10"/>
  <c r="D24406" i="10"/>
  <c r="D24405" i="10"/>
  <c r="D24404" i="10"/>
  <c r="D24403" i="10"/>
  <c r="D24402" i="10"/>
  <c r="D24401" i="10"/>
  <c r="D24400" i="10"/>
  <c r="D24399" i="10"/>
  <c r="D24398" i="10"/>
  <c r="D24397" i="10"/>
  <c r="D24396" i="10"/>
  <c r="D24395" i="10"/>
  <c r="D24394" i="10"/>
  <c r="D24393" i="10"/>
  <c r="D24392" i="10"/>
  <c r="D24391" i="10"/>
  <c r="D24390" i="10"/>
  <c r="D24389" i="10"/>
  <c r="D24388" i="10"/>
  <c r="D24387" i="10"/>
  <c r="D24386" i="10"/>
  <c r="D24385" i="10"/>
  <c r="D24384" i="10"/>
  <c r="D24383" i="10"/>
  <c r="D24382" i="10"/>
  <c r="D24381" i="10"/>
  <c r="D24380" i="10"/>
  <c r="D24379" i="10"/>
  <c r="D24378" i="10"/>
  <c r="D24377" i="10"/>
  <c r="D24376" i="10"/>
  <c r="D24375" i="10"/>
  <c r="D24374" i="10"/>
  <c r="D24373" i="10"/>
  <c r="D24372" i="10"/>
  <c r="D24371" i="10"/>
  <c r="D24370" i="10"/>
  <c r="D24369" i="10"/>
  <c r="D24368" i="10"/>
  <c r="D24367" i="10"/>
  <c r="D24366" i="10"/>
  <c r="D24365" i="10"/>
  <c r="D24364" i="10"/>
  <c r="D24363" i="10"/>
  <c r="D24362" i="10"/>
  <c r="D24361" i="10"/>
  <c r="D24360" i="10"/>
  <c r="D24359" i="10"/>
  <c r="D24358" i="10"/>
  <c r="D24357" i="10"/>
  <c r="D24356" i="10"/>
  <c r="D24355" i="10"/>
  <c r="D24354" i="10"/>
  <c r="D24353" i="10"/>
  <c r="D24352" i="10"/>
  <c r="D24351" i="10"/>
  <c r="D24350" i="10"/>
  <c r="D24349" i="10"/>
  <c r="D24348" i="10"/>
  <c r="D24347" i="10"/>
  <c r="D24346" i="10"/>
  <c r="D24345" i="10"/>
  <c r="D24344" i="10"/>
  <c r="D24343" i="10"/>
  <c r="D24342" i="10"/>
  <c r="D24341" i="10"/>
  <c r="D24340" i="10"/>
  <c r="D24339" i="10"/>
  <c r="D24338" i="10"/>
  <c r="D24337" i="10"/>
  <c r="D24336" i="10"/>
  <c r="D24335" i="10"/>
  <c r="D24334" i="10"/>
  <c r="D24333" i="10"/>
  <c r="D24332" i="10"/>
  <c r="D24331" i="10"/>
  <c r="D24330" i="10"/>
  <c r="D24329" i="10"/>
  <c r="D24328" i="10"/>
  <c r="D24327" i="10"/>
  <c r="D24326" i="10"/>
  <c r="D24325" i="10"/>
  <c r="D24324" i="10"/>
  <c r="D24323" i="10"/>
  <c r="D24322" i="10"/>
  <c r="D24321" i="10"/>
  <c r="D24320" i="10"/>
  <c r="D24319" i="10"/>
  <c r="D24318" i="10"/>
  <c r="D24317" i="10"/>
  <c r="D24316" i="10"/>
  <c r="D24315" i="10"/>
  <c r="D24314" i="10"/>
  <c r="D24313" i="10"/>
  <c r="D24312" i="10"/>
  <c r="D24311" i="10"/>
  <c r="D24310" i="10"/>
  <c r="D24309" i="10"/>
  <c r="D24308" i="10"/>
  <c r="D24307" i="10"/>
  <c r="D24306" i="10"/>
  <c r="D24305" i="10"/>
  <c r="D24304" i="10"/>
  <c r="D24303" i="10"/>
  <c r="D24302" i="10"/>
  <c r="D24301" i="10"/>
  <c r="D24300" i="10"/>
  <c r="D24299" i="10"/>
  <c r="D24298" i="10"/>
  <c r="D24297" i="10"/>
  <c r="D24296" i="10"/>
  <c r="D24295" i="10"/>
  <c r="D24294" i="10"/>
  <c r="D24293" i="10"/>
  <c r="D24292" i="10"/>
  <c r="D24291" i="10"/>
  <c r="D24290" i="10"/>
  <c r="D24289" i="10"/>
  <c r="D24288" i="10"/>
  <c r="D24287" i="10"/>
  <c r="D24286" i="10"/>
  <c r="D24285" i="10"/>
  <c r="D24284" i="10"/>
  <c r="D24283" i="10"/>
  <c r="D24282" i="10"/>
  <c r="D24281" i="10"/>
  <c r="D24280" i="10"/>
  <c r="D24279" i="10"/>
  <c r="D24278" i="10"/>
  <c r="D24277" i="10"/>
  <c r="D24276" i="10"/>
  <c r="D24275" i="10"/>
  <c r="D24274" i="10"/>
  <c r="D24273" i="10"/>
  <c r="D24272" i="10"/>
  <c r="D24271" i="10"/>
  <c r="D24270" i="10"/>
  <c r="D24269" i="10"/>
  <c r="D24268" i="10"/>
  <c r="D24267" i="10"/>
  <c r="D24266" i="10"/>
  <c r="D24265" i="10"/>
  <c r="D24264" i="10"/>
  <c r="D24263" i="10"/>
  <c r="D24262" i="10"/>
  <c r="D24261" i="10"/>
  <c r="D24260" i="10"/>
  <c r="D24259" i="10"/>
  <c r="D24258" i="10"/>
  <c r="D24257" i="10"/>
  <c r="D24256" i="10"/>
  <c r="D24255" i="10"/>
  <c r="D24254" i="10"/>
  <c r="D24253" i="10"/>
  <c r="D24252" i="10"/>
  <c r="D24251" i="10"/>
  <c r="D24250" i="10"/>
  <c r="D24249" i="10"/>
  <c r="D24248" i="10"/>
  <c r="D24247" i="10"/>
  <c r="D24246" i="10"/>
  <c r="D24245" i="10"/>
  <c r="D24244" i="10"/>
  <c r="D24243" i="10"/>
  <c r="D24242" i="10"/>
  <c r="D24241" i="10"/>
  <c r="D24240" i="10"/>
  <c r="D24239" i="10"/>
  <c r="D24238" i="10"/>
  <c r="D24237" i="10"/>
  <c r="D24236" i="10"/>
  <c r="D24235" i="10"/>
  <c r="D24234" i="10"/>
  <c r="D24233" i="10"/>
  <c r="D24232" i="10"/>
  <c r="D24231" i="10"/>
  <c r="D24230" i="10"/>
  <c r="D24229" i="10"/>
  <c r="D24228" i="10"/>
  <c r="D24227" i="10"/>
  <c r="D24226" i="10"/>
  <c r="D24225" i="10"/>
  <c r="D24224" i="10"/>
  <c r="D24223" i="10"/>
  <c r="D24222" i="10"/>
  <c r="D24221" i="10"/>
  <c r="D24220" i="10"/>
  <c r="D24219" i="10"/>
  <c r="D24218" i="10"/>
  <c r="D24217" i="10"/>
  <c r="D24216" i="10"/>
  <c r="D24215" i="10"/>
  <c r="D24214" i="10"/>
  <c r="D24213" i="10"/>
  <c r="D24212" i="10"/>
  <c r="D24211" i="10"/>
  <c r="D24210" i="10"/>
  <c r="D24209" i="10"/>
  <c r="D24208" i="10"/>
  <c r="D24207" i="10"/>
  <c r="D24206" i="10"/>
  <c r="D24205" i="10"/>
  <c r="D24204" i="10"/>
  <c r="D24203" i="10"/>
  <c r="D24202" i="10"/>
  <c r="D24201" i="10"/>
  <c r="D24200" i="10"/>
  <c r="D24199" i="10"/>
  <c r="D24198" i="10"/>
  <c r="D24197" i="10"/>
  <c r="D24196" i="10"/>
  <c r="D24195" i="10"/>
  <c r="D24194" i="10"/>
  <c r="D24193" i="10"/>
  <c r="D24192" i="10"/>
  <c r="D24191" i="10"/>
  <c r="D24190" i="10"/>
  <c r="D24189" i="10"/>
  <c r="D24188" i="10"/>
  <c r="D24187" i="10"/>
  <c r="D24186" i="10"/>
  <c r="D24185" i="10"/>
  <c r="D24184" i="10"/>
  <c r="D24183" i="10"/>
  <c r="D24182" i="10"/>
  <c r="D24181" i="10"/>
  <c r="D24180" i="10"/>
  <c r="D24179" i="10"/>
  <c r="D24178" i="10"/>
  <c r="D24177" i="10"/>
  <c r="D24176" i="10"/>
  <c r="D24175" i="10"/>
  <c r="D24174" i="10"/>
  <c r="D24173" i="10"/>
  <c r="D24172" i="10"/>
  <c r="D24171" i="10"/>
  <c r="D24170" i="10"/>
  <c r="D24169" i="10"/>
  <c r="D24168" i="10"/>
  <c r="D24167" i="10"/>
  <c r="D24166" i="10"/>
  <c r="D24165" i="10"/>
  <c r="D24164" i="10"/>
  <c r="D24163" i="10"/>
  <c r="D24162" i="10"/>
  <c r="D24161" i="10"/>
  <c r="D24160" i="10"/>
  <c r="D24159" i="10"/>
  <c r="D24158" i="10"/>
  <c r="D24157" i="10"/>
  <c r="D24156" i="10"/>
  <c r="D24155" i="10"/>
  <c r="D24154" i="10"/>
  <c r="D24153" i="10"/>
  <c r="D24152" i="10"/>
  <c r="D24151" i="10"/>
  <c r="D24150" i="10"/>
  <c r="D24149" i="10"/>
  <c r="D24148" i="10"/>
  <c r="D24147" i="10"/>
  <c r="D24146" i="10"/>
  <c r="D24145" i="10"/>
  <c r="D24144" i="10"/>
  <c r="D24143" i="10"/>
  <c r="D24142" i="10"/>
  <c r="D24141" i="10"/>
  <c r="D24140" i="10"/>
  <c r="D24139" i="10"/>
  <c r="D24138" i="10"/>
  <c r="D24137" i="10"/>
  <c r="D24136" i="10"/>
  <c r="D24135" i="10"/>
  <c r="D24134" i="10"/>
  <c r="D24133" i="10"/>
  <c r="D24132" i="10"/>
  <c r="D24131" i="10"/>
  <c r="D24130" i="10"/>
  <c r="D24129" i="10"/>
  <c r="D24128" i="10"/>
  <c r="D24127" i="10"/>
  <c r="D24126" i="10"/>
  <c r="D24125" i="10"/>
  <c r="D24124" i="10"/>
  <c r="D24123" i="10"/>
  <c r="D24122" i="10"/>
  <c r="D24121" i="10"/>
  <c r="D24120" i="10"/>
  <c r="D24119" i="10"/>
  <c r="D24118" i="10"/>
  <c r="D24117" i="10"/>
  <c r="D24116" i="10"/>
  <c r="D24115" i="10"/>
  <c r="D24114" i="10"/>
  <c r="D24113" i="10"/>
  <c r="D24112" i="10"/>
  <c r="D24111" i="10"/>
  <c r="D24110" i="10"/>
  <c r="D24109" i="10"/>
  <c r="D24108" i="10"/>
  <c r="D24107" i="10"/>
  <c r="D24106" i="10"/>
  <c r="D24105" i="10"/>
  <c r="D24104" i="10"/>
  <c r="D24103" i="10"/>
  <c r="D24102" i="10"/>
  <c r="D24101" i="10"/>
  <c r="D24100" i="10"/>
  <c r="D24099" i="10"/>
  <c r="D24098" i="10"/>
  <c r="D24097" i="10"/>
  <c r="D24096" i="10"/>
  <c r="D24095" i="10"/>
  <c r="D24094" i="10"/>
  <c r="D24093" i="10"/>
  <c r="D24092" i="10"/>
  <c r="D24091" i="10"/>
  <c r="D24090" i="10"/>
  <c r="D24089" i="10"/>
  <c r="D24088" i="10"/>
  <c r="D24087" i="10"/>
  <c r="D24086" i="10"/>
  <c r="D24085" i="10"/>
  <c r="D24084" i="10"/>
  <c r="D24083" i="10"/>
  <c r="D24082" i="10"/>
  <c r="D24081" i="10"/>
  <c r="D24080" i="10"/>
  <c r="D24079" i="10"/>
  <c r="D24078" i="10"/>
  <c r="D24077" i="10"/>
  <c r="D24076" i="10"/>
  <c r="D24075" i="10"/>
  <c r="D24074" i="10"/>
  <c r="D24073" i="10"/>
  <c r="D24072" i="10"/>
  <c r="D24071" i="10"/>
  <c r="D24070" i="10"/>
  <c r="D24069" i="10"/>
  <c r="D24068" i="10"/>
  <c r="D24067" i="10"/>
  <c r="D24066" i="10"/>
  <c r="D24065" i="10"/>
  <c r="D24064" i="10"/>
  <c r="D24063" i="10"/>
  <c r="D24062" i="10"/>
  <c r="D24061" i="10"/>
  <c r="D24060" i="10"/>
  <c r="D24059" i="10"/>
  <c r="D24058" i="10"/>
  <c r="D24057" i="10"/>
  <c r="D24056" i="10"/>
  <c r="D24055" i="10"/>
  <c r="D24054" i="10"/>
  <c r="D24053" i="10"/>
  <c r="D24052" i="10"/>
  <c r="D24051" i="10"/>
  <c r="D24050" i="10"/>
  <c r="D24049" i="10"/>
  <c r="D24048" i="10"/>
  <c r="D24047" i="10"/>
  <c r="D24046" i="10"/>
  <c r="D24045" i="10"/>
  <c r="D24044" i="10"/>
  <c r="D24043" i="10"/>
  <c r="D24042" i="10"/>
  <c r="D24041" i="10"/>
  <c r="D24040" i="10"/>
  <c r="D24039" i="10"/>
  <c r="D24038" i="10"/>
  <c r="D24037" i="10"/>
  <c r="D24036" i="10"/>
  <c r="D24035" i="10"/>
  <c r="D24034" i="10"/>
  <c r="D24033" i="10"/>
  <c r="D24032" i="10"/>
  <c r="D24031" i="10"/>
  <c r="D24030" i="10"/>
  <c r="D24029" i="10"/>
  <c r="D24028" i="10"/>
  <c r="D24027" i="10"/>
  <c r="D24026" i="10"/>
  <c r="D24025" i="10"/>
  <c r="D24024" i="10"/>
  <c r="D24023" i="10"/>
  <c r="D24022" i="10"/>
  <c r="D24021" i="10"/>
  <c r="D24020" i="10"/>
  <c r="D24019" i="10"/>
  <c r="D24018" i="10"/>
  <c r="D24017" i="10"/>
  <c r="D24016" i="10"/>
  <c r="D24015" i="10"/>
  <c r="D24014" i="10"/>
  <c r="D24013" i="10"/>
  <c r="D24012" i="10"/>
  <c r="D24011" i="10"/>
  <c r="D24010" i="10"/>
  <c r="D24009" i="10"/>
  <c r="D24008" i="10"/>
  <c r="D24007" i="10"/>
  <c r="D24006" i="10"/>
  <c r="D24005" i="10"/>
  <c r="D24004" i="10"/>
  <c r="D24003" i="10"/>
  <c r="D24002" i="10"/>
  <c r="D24001" i="10"/>
  <c r="D24000" i="10"/>
  <c r="D23999" i="10"/>
  <c r="D23998" i="10"/>
  <c r="D23997" i="10"/>
  <c r="D23996" i="10"/>
  <c r="D23995" i="10"/>
  <c r="D23994" i="10"/>
  <c r="D23993" i="10"/>
  <c r="D23992" i="10"/>
  <c r="D23991" i="10"/>
  <c r="D23990" i="10"/>
  <c r="D23989" i="10"/>
  <c r="D23988" i="10"/>
  <c r="D23987" i="10"/>
  <c r="D23986" i="10"/>
  <c r="D23985" i="10"/>
  <c r="D23984" i="10"/>
  <c r="D23983" i="10"/>
  <c r="D23982" i="10"/>
  <c r="D23981" i="10"/>
  <c r="D23980" i="10"/>
  <c r="D23979" i="10"/>
  <c r="D23978" i="10"/>
  <c r="D23977" i="10"/>
  <c r="D23976" i="10"/>
  <c r="D23975" i="10"/>
  <c r="D23974" i="10"/>
  <c r="D23973" i="10"/>
  <c r="D23972" i="10"/>
  <c r="D23971" i="10"/>
  <c r="D23970" i="10"/>
  <c r="D23969" i="10"/>
  <c r="D23968" i="10"/>
  <c r="D23967" i="10"/>
  <c r="D23966" i="10"/>
  <c r="D23965" i="10"/>
  <c r="D23964" i="10"/>
  <c r="D23963" i="10"/>
  <c r="D23962" i="10"/>
  <c r="D23961" i="10"/>
  <c r="D23960" i="10"/>
  <c r="D23959" i="10"/>
  <c r="D23958" i="10"/>
  <c r="D23957" i="10"/>
  <c r="D23956" i="10"/>
  <c r="D23955" i="10"/>
  <c r="D23954" i="10"/>
  <c r="D23953" i="10"/>
  <c r="D23952" i="10"/>
  <c r="D23951" i="10"/>
  <c r="D23950" i="10"/>
  <c r="D23949" i="10"/>
  <c r="D23948" i="10"/>
  <c r="D23947" i="10"/>
  <c r="D23946" i="10"/>
  <c r="D23945" i="10"/>
  <c r="D23944" i="10"/>
  <c r="D23943" i="10"/>
  <c r="D23942" i="10"/>
  <c r="D23941" i="10"/>
  <c r="D23940" i="10"/>
  <c r="D23939" i="10"/>
  <c r="D23938" i="10"/>
  <c r="D23937" i="10"/>
  <c r="D23936" i="10"/>
  <c r="D23935" i="10"/>
  <c r="D23934" i="10"/>
  <c r="D23933" i="10"/>
  <c r="D23932" i="10"/>
  <c r="D23931" i="10"/>
  <c r="D23930" i="10"/>
  <c r="D23929" i="10"/>
  <c r="D23928" i="10"/>
  <c r="D23927" i="10"/>
  <c r="D23926" i="10"/>
  <c r="D23925" i="10"/>
  <c r="D23924" i="10"/>
  <c r="D23923" i="10"/>
  <c r="D23922" i="10"/>
  <c r="D23921" i="10"/>
  <c r="D23920" i="10"/>
  <c r="D23919" i="10"/>
  <c r="D23918" i="10"/>
  <c r="D23917" i="10"/>
  <c r="D23916" i="10"/>
  <c r="D23915" i="10"/>
  <c r="D23914" i="10"/>
  <c r="D23913" i="10"/>
  <c r="D23912" i="10"/>
  <c r="D23911" i="10"/>
  <c r="D23910" i="10"/>
  <c r="D23909" i="10"/>
  <c r="D23908" i="10"/>
  <c r="D23907" i="10"/>
  <c r="D23906" i="10"/>
  <c r="D23905" i="10"/>
  <c r="D23904" i="10"/>
  <c r="D23903" i="10"/>
  <c r="D23902" i="10"/>
  <c r="D23901" i="10"/>
  <c r="D23900" i="10"/>
  <c r="D23899" i="10"/>
  <c r="D23898" i="10"/>
  <c r="D23897" i="10"/>
  <c r="D23896" i="10"/>
  <c r="D23895" i="10"/>
  <c r="D23894" i="10"/>
  <c r="D23893" i="10"/>
  <c r="D23892" i="10"/>
  <c r="D23891" i="10"/>
  <c r="D23890" i="10"/>
  <c r="D23889" i="10"/>
  <c r="D23888" i="10"/>
  <c r="D23887" i="10"/>
  <c r="D23886" i="10"/>
  <c r="D23885" i="10"/>
  <c r="D23884" i="10"/>
  <c r="D23883" i="10"/>
  <c r="D23882" i="10"/>
  <c r="D23881" i="10"/>
  <c r="D23880" i="10"/>
  <c r="D23879" i="10"/>
  <c r="D23878" i="10"/>
  <c r="D23877" i="10"/>
  <c r="D23876" i="10"/>
  <c r="D23875" i="10"/>
  <c r="D23874" i="10"/>
  <c r="D23873" i="10"/>
  <c r="D23872" i="10"/>
  <c r="D23871" i="10"/>
  <c r="D23870" i="10"/>
  <c r="D23869" i="10"/>
  <c r="D23868" i="10"/>
  <c r="D23867" i="10"/>
  <c r="D23866" i="10"/>
  <c r="D23865" i="10"/>
  <c r="D23864" i="10"/>
  <c r="D23863" i="10"/>
  <c r="D23862" i="10"/>
  <c r="D23861" i="10"/>
  <c r="D23860" i="10"/>
  <c r="D23859" i="10"/>
  <c r="D23858" i="10"/>
  <c r="D23857" i="10"/>
  <c r="D23856" i="10"/>
  <c r="D23855" i="10"/>
  <c r="D23854" i="10"/>
  <c r="D23853" i="10"/>
  <c r="D23852" i="10"/>
  <c r="D23851" i="10"/>
  <c r="D23850" i="10"/>
  <c r="D23849" i="10"/>
  <c r="D23848" i="10"/>
  <c r="D23847" i="10"/>
  <c r="D23846" i="10"/>
  <c r="D23845" i="10"/>
  <c r="D23844" i="10"/>
  <c r="D23843" i="10"/>
  <c r="D23842" i="10"/>
  <c r="D23841" i="10"/>
  <c r="D23840" i="10"/>
  <c r="D23839" i="10"/>
  <c r="D23838" i="10"/>
  <c r="D23837" i="10"/>
  <c r="D23836" i="10"/>
  <c r="D23835" i="10"/>
  <c r="D23834" i="10"/>
  <c r="D23833" i="10"/>
  <c r="D23832" i="10"/>
  <c r="D23831" i="10"/>
  <c r="D23830" i="10"/>
  <c r="D23829" i="10"/>
  <c r="D23828" i="10"/>
  <c r="D23827" i="10"/>
  <c r="D23826" i="10"/>
  <c r="D23825" i="10"/>
  <c r="D23824" i="10"/>
  <c r="D23823" i="10"/>
  <c r="D23822" i="10"/>
  <c r="D23821" i="10"/>
  <c r="D23820" i="10"/>
  <c r="D23819" i="10"/>
  <c r="D23818" i="10"/>
  <c r="D23817" i="10"/>
  <c r="D23816" i="10"/>
  <c r="D23815" i="10"/>
  <c r="D23814" i="10"/>
  <c r="D23813" i="10"/>
  <c r="D23812" i="10"/>
  <c r="D23811" i="10"/>
  <c r="D23810" i="10"/>
  <c r="D23809" i="10"/>
  <c r="D23808" i="10"/>
  <c r="D23807" i="10"/>
  <c r="D23806" i="10"/>
  <c r="D23805" i="10"/>
  <c r="D23804" i="10"/>
  <c r="D23803" i="10"/>
  <c r="D23802" i="10"/>
  <c r="D23801" i="10"/>
  <c r="D23800" i="10"/>
  <c r="D23799" i="10"/>
  <c r="D23798" i="10"/>
  <c r="D23797" i="10"/>
  <c r="D23796" i="10"/>
  <c r="D23795" i="10"/>
  <c r="D23794" i="10"/>
  <c r="D23793" i="10"/>
  <c r="D23792" i="10"/>
  <c r="D23791" i="10"/>
  <c r="D23790" i="10"/>
  <c r="D23789" i="10"/>
  <c r="D23788" i="10"/>
  <c r="D23787" i="10"/>
  <c r="D23786" i="10"/>
  <c r="D23785" i="10"/>
  <c r="D23784" i="10"/>
  <c r="D23783" i="10"/>
  <c r="D23782" i="10"/>
  <c r="D23781" i="10"/>
  <c r="D23780" i="10"/>
  <c r="D23779" i="10"/>
  <c r="D23778" i="10"/>
  <c r="D23777" i="10"/>
  <c r="D23776" i="10"/>
  <c r="D23775" i="10"/>
  <c r="D23774" i="10"/>
  <c r="D23773" i="10"/>
  <c r="D23772" i="10"/>
  <c r="D23771" i="10"/>
  <c r="D23770" i="10"/>
  <c r="D23769" i="10"/>
  <c r="D23768" i="10"/>
  <c r="D23767" i="10"/>
  <c r="D23766" i="10"/>
  <c r="D23765" i="10"/>
  <c r="D23764" i="10"/>
  <c r="D23763" i="10"/>
  <c r="D23762" i="10"/>
  <c r="D23761" i="10"/>
  <c r="D23760" i="10"/>
  <c r="D23759" i="10"/>
  <c r="D23758" i="10"/>
  <c r="D23757" i="10"/>
  <c r="D23756" i="10"/>
  <c r="D23755" i="10"/>
  <c r="D23754" i="10"/>
  <c r="D23753" i="10"/>
  <c r="D23752" i="10"/>
  <c r="D23751" i="10"/>
  <c r="D23750" i="10"/>
  <c r="D23749" i="10"/>
  <c r="D23748" i="10"/>
  <c r="D23747" i="10"/>
  <c r="D23746" i="10"/>
  <c r="D23745" i="10"/>
  <c r="D23744" i="10"/>
  <c r="D23743" i="10"/>
  <c r="D23742" i="10"/>
  <c r="D23741" i="10"/>
  <c r="D23740" i="10"/>
  <c r="D23739" i="10"/>
  <c r="D23738" i="10"/>
  <c r="D23737" i="10"/>
  <c r="D23736" i="10"/>
  <c r="D23735" i="10"/>
  <c r="D23734" i="10"/>
  <c r="D23733" i="10"/>
  <c r="D23732" i="10"/>
  <c r="D23731" i="10"/>
  <c r="D23730" i="10"/>
  <c r="D23729" i="10"/>
  <c r="D23728" i="10"/>
  <c r="D23727" i="10"/>
  <c r="D23726" i="10"/>
  <c r="D23725" i="10"/>
  <c r="D23724" i="10"/>
  <c r="D23723" i="10"/>
  <c r="D23722" i="10"/>
  <c r="D23721" i="10"/>
  <c r="D23720" i="10"/>
  <c r="D23719" i="10"/>
  <c r="D23718" i="10"/>
  <c r="D23717" i="10"/>
  <c r="D23716" i="10"/>
  <c r="D23715" i="10"/>
  <c r="D23714" i="10"/>
  <c r="D23713" i="10"/>
  <c r="D23712" i="10"/>
  <c r="D23711" i="10"/>
  <c r="D23710" i="10"/>
  <c r="D23709" i="10"/>
  <c r="D23708" i="10"/>
  <c r="D23707" i="10"/>
  <c r="D23706" i="10"/>
  <c r="D23705" i="10"/>
  <c r="D23704" i="10"/>
  <c r="D23703" i="10"/>
  <c r="D23702" i="10"/>
  <c r="D23701" i="10"/>
  <c r="D23700" i="10"/>
  <c r="D23699" i="10"/>
  <c r="D23698" i="10"/>
  <c r="D23697" i="10"/>
  <c r="D23696" i="10"/>
  <c r="D23695" i="10"/>
  <c r="D23694" i="10"/>
  <c r="D23693" i="10"/>
  <c r="D23692" i="10"/>
  <c r="D23691" i="10"/>
  <c r="D23690" i="10"/>
  <c r="D23689" i="10"/>
  <c r="D23688" i="10"/>
  <c r="D23687" i="10"/>
  <c r="D23686" i="10"/>
  <c r="D23685" i="10"/>
  <c r="D23684" i="10"/>
  <c r="D23683" i="10"/>
  <c r="D23682" i="10"/>
  <c r="D23681" i="10"/>
  <c r="D23680" i="10"/>
  <c r="D23679" i="10"/>
  <c r="D23678" i="10"/>
  <c r="D23677" i="10"/>
  <c r="D23676" i="10"/>
  <c r="D23675" i="10"/>
  <c r="D23674" i="10"/>
  <c r="D23673" i="10"/>
  <c r="D23672" i="10"/>
  <c r="D23671" i="10"/>
  <c r="D23670" i="10"/>
  <c r="D23669" i="10"/>
  <c r="D23668" i="10"/>
  <c r="D23667" i="10"/>
  <c r="D23666" i="10"/>
  <c r="D23665" i="10"/>
  <c r="D23664" i="10"/>
  <c r="D23663" i="10"/>
  <c r="D23662" i="10"/>
  <c r="D23661" i="10"/>
  <c r="D23660" i="10"/>
  <c r="D23659" i="10"/>
  <c r="D23658" i="10"/>
  <c r="D23657" i="10"/>
  <c r="D23656" i="10"/>
  <c r="D23655" i="10"/>
  <c r="D23654" i="10"/>
  <c r="D23653" i="10"/>
  <c r="D23652" i="10"/>
  <c r="D23651" i="10"/>
  <c r="D23650" i="10"/>
  <c r="D23649" i="10"/>
  <c r="D23648" i="10"/>
  <c r="D23647" i="10"/>
  <c r="D23646" i="10"/>
  <c r="D23645" i="10"/>
  <c r="D23644" i="10"/>
  <c r="D23643" i="10"/>
  <c r="D23642" i="10"/>
  <c r="D23641" i="10"/>
  <c r="D23640" i="10"/>
  <c r="D23639" i="10"/>
  <c r="D23638" i="10"/>
  <c r="D23637" i="10"/>
  <c r="D23636" i="10"/>
  <c r="D23635" i="10"/>
  <c r="D23634" i="10"/>
  <c r="D23633" i="10"/>
  <c r="D23632" i="10"/>
  <c r="D23631" i="10"/>
  <c r="D23630" i="10"/>
  <c r="D23629" i="10"/>
  <c r="D23628" i="10"/>
  <c r="D23627" i="10"/>
  <c r="D23626" i="10"/>
  <c r="D23625" i="10"/>
  <c r="D23624" i="10"/>
  <c r="D23623" i="10"/>
  <c r="D23622" i="10"/>
  <c r="D23621" i="10"/>
  <c r="D23620" i="10"/>
  <c r="D23619" i="10"/>
  <c r="D23618" i="10"/>
  <c r="D23617" i="10"/>
  <c r="D23616" i="10"/>
  <c r="D23615" i="10"/>
  <c r="D23614" i="10"/>
  <c r="D23613" i="10"/>
  <c r="D23612" i="10"/>
  <c r="D23611" i="10"/>
  <c r="D23610" i="10"/>
  <c r="D23609" i="10"/>
  <c r="D23608" i="10"/>
  <c r="D23607" i="10"/>
  <c r="D23606" i="10"/>
  <c r="D23605" i="10"/>
  <c r="D23604" i="10"/>
  <c r="D23603" i="10"/>
  <c r="D23602" i="10"/>
  <c r="D23601" i="10"/>
  <c r="D23600" i="10"/>
  <c r="D23599" i="10"/>
  <c r="D23598" i="10"/>
  <c r="D23597" i="10"/>
  <c r="D23596" i="10"/>
  <c r="D23595" i="10"/>
  <c r="D23594" i="10"/>
  <c r="D23593" i="10"/>
  <c r="D23592" i="10"/>
  <c r="D23591" i="10"/>
  <c r="D23590" i="10"/>
  <c r="D23589" i="10"/>
  <c r="D23588" i="10"/>
  <c r="D23587" i="10"/>
  <c r="D23586" i="10"/>
  <c r="D23585" i="10"/>
  <c r="D23584" i="10"/>
  <c r="D23583" i="10"/>
  <c r="D23582" i="10"/>
  <c r="D23581" i="10"/>
  <c r="D23580" i="10"/>
  <c r="D23579" i="10"/>
  <c r="D23578" i="10"/>
  <c r="D23577" i="10"/>
  <c r="D23576" i="10"/>
  <c r="D23575" i="10"/>
  <c r="D23574" i="10"/>
  <c r="D23573" i="10"/>
  <c r="D23572" i="10"/>
  <c r="D23571" i="10"/>
  <c r="D23570" i="10"/>
  <c r="D23569" i="10"/>
  <c r="D23568" i="10"/>
  <c r="D23567" i="10"/>
  <c r="D23566" i="10"/>
  <c r="D23565" i="10"/>
  <c r="D23564" i="10"/>
  <c r="D23563" i="10"/>
  <c r="D23562" i="10"/>
  <c r="D23561" i="10"/>
  <c r="D23560" i="10"/>
  <c r="D23559" i="10"/>
  <c r="D23558" i="10"/>
  <c r="D23557" i="10"/>
  <c r="D23556" i="10"/>
  <c r="D23555" i="10"/>
  <c r="D23554" i="10"/>
  <c r="D23553" i="10"/>
  <c r="D23552" i="10"/>
  <c r="D23551" i="10"/>
  <c r="D23550" i="10"/>
  <c r="D23549" i="10"/>
  <c r="D23548" i="10"/>
  <c r="D23547" i="10"/>
  <c r="D23546" i="10"/>
  <c r="D23545" i="10"/>
  <c r="D23544" i="10"/>
  <c r="D23543" i="10"/>
  <c r="D23542" i="10"/>
  <c r="D23541" i="10"/>
  <c r="D23540" i="10"/>
  <c r="D23539" i="10"/>
  <c r="D23538" i="10"/>
  <c r="D23537" i="10"/>
  <c r="D23536" i="10"/>
  <c r="D23535" i="10"/>
  <c r="D23534" i="10"/>
  <c r="D23533" i="10"/>
  <c r="D23532" i="10"/>
  <c r="D23531" i="10"/>
  <c r="D23530" i="10"/>
  <c r="D23529" i="10"/>
  <c r="D23528" i="10"/>
  <c r="D23527" i="10"/>
  <c r="D23526" i="10"/>
  <c r="D23525" i="10"/>
  <c r="D23524" i="10"/>
  <c r="D23523" i="10"/>
  <c r="D23522" i="10"/>
  <c r="D23521" i="10"/>
  <c r="D23520" i="10"/>
  <c r="D23519" i="10"/>
  <c r="D23518" i="10"/>
  <c r="D23517" i="10"/>
  <c r="D23516" i="10"/>
  <c r="D23515" i="10"/>
  <c r="D23514" i="10"/>
  <c r="D23513" i="10"/>
  <c r="D23512" i="10"/>
  <c r="D23511" i="10"/>
  <c r="D23510" i="10"/>
  <c r="D23509" i="10"/>
  <c r="D23508" i="10"/>
  <c r="D23507" i="10"/>
  <c r="D23506" i="10"/>
  <c r="D23505" i="10"/>
  <c r="D23504" i="10"/>
  <c r="D23503" i="10"/>
  <c r="D23502" i="10"/>
  <c r="D23501" i="10"/>
  <c r="D23500" i="10"/>
  <c r="D23499" i="10"/>
  <c r="D23498" i="10"/>
  <c r="D23497" i="10"/>
  <c r="D23496" i="10"/>
  <c r="D23495" i="10"/>
  <c r="D23494" i="10"/>
  <c r="D23493" i="10"/>
  <c r="D23492" i="10"/>
  <c r="D23491" i="10"/>
  <c r="D23490" i="10"/>
  <c r="D23489" i="10"/>
  <c r="D23488" i="10"/>
  <c r="D23487" i="10"/>
  <c r="D23486" i="10"/>
  <c r="D23485" i="10"/>
  <c r="D23484" i="10"/>
  <c r="D23483" i="10"/>
  <c r="D23482" i="10"/>
  <c r="D23481" i="10"/>
  <c r="D23480" i="10"/>
  <c r="D23479" i="10"/>
  <c r="D23478" i="10"/>
  <c r="D23477" i="10"/>
  <c r="D23476" i="10"/>
  <c r="D23475" i="10"/>
  <c r="D23474" i="10"/>
  <c r="D23473" i="10"/>
  <c r="D23472" i="10"/>
  <c r="D23471" i="10"/>
  <c r="D23470" i="10"/>
  <c r="D23469" i="10"/>
  <c r="D23468" i="10"/>
  <c r="D23467" i="10"/>
  <c r="D23466" i="10"/>
  <c r="D23465" i="10"/>
  <c r="D23464" i="10"/>
  <c r="D23463" i="10"/>
  <c r="D23462" i="10"/>
  <c r="D23461" i="10"/>
  <c r="D23460" i="10"/>
  <c r="D23459" i="10"/>
  <c r="D23458" i="10"/>
  <c r="D23457" i="10"/>
  <c r="D23456" i="10"/>
  <c r="D23455" i="10"/>
  <c r="D23454" i="10"/>
  <c r="D23453" i="10"/>
  <c r="D23452" i="10"/>
  <c r="D23451" i="10"/>
  <c r="D23450" i="10"/>
  <c r="D23449" i="10"/>
  <c r="D23448" i="10"/>
  <c r="D23447" i="10"/>
  <c r="D23446" i="10"/>
  <c r="D23445" i="10"/>
  <c r="D23444" i="10"/>
  <c r="D23443" i="10"/>
  <c r="D23442" i="10"/>
  <c r="D23441" i="10"/>
  <c r="D23440" i="10"/>
  <c r="D23439" i="10"/>
  <c r="D23438" i="10"/>
  <c r="D23437" i="10"/>
  <c r="D23436" i="10"/>
  <c r="D23435" i="10"/>
  <c r="D23434" i="10"/>
  <c r="D23433" i="10"/>
  <c r="D23432" i="10"/>
  <c r="D23431" i="10"/>
  <c r="D23430" i="10"/>
  <c r="D23429" i="10"/>
  <c r="D23428" i="10"/>
  <c r="D23427" i="10"/>
  <c r="D23426" i="10"/>
  <c r="D23425" i="10"/>
  <c r="D23424" i="10"/>
  <c r="D23423" i="10"/>
  <c r="D23422" i="10"/>
  <c r="D23421" i="10"/>
  <c r="D23420" i="10"/>
  <c r="D23419" i="10"/>
  <c r="D23418" i="10"/>
  <c r="D23417" i="10"/>
  <c r="D23416" i="10"/>
  <c r="D23415" i="10"/>
  <c r="D23414" i="10"/>
  <c r="D23413" i="10"/>
  <c r="D23412" i="10"/>
  <c r="D23411" i="10"/>
  <c r="D23410" i="10"/>
  <c r="D23409" i="10"/>
  <c r="D23408" i="10"/>
  <c r="D23407" i="10"/>
  <c r="D23406" i="10"/>
  <c r="D23405" i="10"/>
  <c r="D23404" i="10"/>
  <c r="D23403" i="10"/>
  <c r="D23402" i="10"/>
  <c r="D23401" i="10"/>
  <c r="D23400" i="10"/>
  <c r="D23399" i="10"/>
  <c r="D23398" i="10"/>
  <c r="D23397" i="10"/>
  <c r="D23396" i="10"/>
  <c r="D23395" i="10"/>
  <c r="D23394" i="10"/>
  <c r="D23393" i="10"/>
  <c r="D23392" i="10"/>
  <c r="D23391" i="10"/>
  <c r="D23390" i="10"/>
  <c r="D23389" i="10"/>
  <c r="D23388" i="10"/>
  <c r="D23387" i="10"/>
  <c r="D23386" i="10"/>
  <c r="D23385" i="10"/>
  <c r="D23384" i="10"/>
  <c r="D23383" i="10"/>
  <c r="D23382" i="10"/>
  <c r="D23381" i="10"/>
  <c r="D23380" i="10"/>
  <c r="D23379" i="10"/>
  <c r="D23378" i="10"/>
  <c r="D23377" i="10"/>
  <c r="D23376" i="10"/>
  <c r="D23375" i="10"/>
  <c r="D23374" i="10"/>
  <c r="D23373" i="10"/>
  <c r="D23372" i="10"/>
  <c r="D23371" i="10"/>
  <c r="D23370" i="10"/>
  <c r="D23369" i="10"/>
  <c r="D23368" i="10"/>
  <c r="D23367" i="10"/>
  <c r="D23366" i="10"/>
  <c r="D23365" i="10"/>
  <c r="D23364" i="10"/>
  <c r="D23363" i="10"/>
  <c r="D23362" i="10"/>
  <c r="D23361" i="10"/>
  <c r="D23360" i="10"/>
  <c r="D23359" i="10"/>
  <c r="D23358" i="10"/>
  <c r="D23357" i="10"/>
  <c r="D23356" i="10"/>
  <c r="D23355" i="10"/>
  <c r="D23354" i="10"/>
  <c r="D23353" i="10"/>
  <c r="D23352" i="10"/>
  <c r="D23351" i="10"/>
  <c r="D23350" i="10"/>
  <c r="D23349" i="10"/>
  <c r="D23348" i="10"/>
  <c r="D23347" i="10"/>
  <c r="D23346" i="10"/>
  <c r="D23345" i="10"/>
  <c r="D23344" i="10"/>
  <c r="D23343" i="10"/>
  <c r="D23342" i="10"/>
  <c r="D23341" i="10"/>
  <c r="D23340" i="10"/>
  <c r="D23339" i="10"/>
  <c r="D23338" i="10"/>
  <c r="D23337" i="10"/>
  <c r="D23336" i="10"/>
  <c r="D23335" i="10"/>
  <c r="D23334" i="10"/>
  <c r="D23333" i="10"/>
  <c r="D23332" i="10"/>
  <c r="D23331" i="10"/>
  <c r="D23330" i="10"/>
  <c r="D23329" i="10"/>
  <c r="D23328" i="10"/>
  <c r="D23327" i="10"/>
  <c r="D23326" i="10"/>
  <c r="D23325" i="10"/>
  <c r="D23324" i="10"/>
  <c r="D23323" i="10"/>
  <c r="D23322" i="10"/>
  <c r="D23321" i="10"/>
  <c r="D23320" i="10"/>
  <c r="D23319" i="10"/>
  <c r="D23318" i="10"/>
  <c r="D23317" i="10"/>
  <c r="D23316" i="10"/>
  <c r="D23315" i="10"/>
  <c r="D23314" i="10"/>
  <c r="D23313" i="10"/>
  <c r="D23312" i="10"/>
  <c r="D23311" i="10"/>
  <c r="D23310" i="10"/>
  <c r="D23309" i="10"/>
  <c r="D23308" i="10"/>
  <c r="D23307" i="10"/>
  <c r="D23306" i="10"/>
  <c r="D23305" i="10"/>
  <c r="D23304" i="10"/>
  <c r="D23303" i="10"/>
  <c r="D23302" i="10"/>
  <c r="D23301" i="10"/>
  <c r="D23300" i="10"/>
  <c r="D23299" i="10"/>
  <c r="D23298" i="10"/>
  <c r="D23297" i="10"/>
  <c r="D23296" i="10"/>
  <c r="D23295" i="10"/>
  <c r="D23294" i="10"/>
  <c r="D23293" i="10"/>
  <c r="D23292" i="10"/>
  <c r="D23291" i="10"/>
  <c r="D23290" i="10"/>
  <c r="D23289" i="10"/>
  <c r="D23288" i="10"/>
  <c r="D23287" i="10"/>
  <c r="D23286" i="10"/>
  <c r="D23285" i="10"/>
  <c r="D23284" i="10"/>
  <c r="D23283" i="10"/>
  <c r="D23282" i="10"/>
  <c r="D23281" i="10"/>
  <c r="D23280" i="10"/>
  <c r="D23279" i="10"/>
  <c r="D23278" i="10"/>
  <c r="D23277" i="10"/>
  <c r="D23276" i="10"/>
  <c r="D23275" i="10"/>
  <c r="D23274" i="10"/>
  <c r="D23273" i="10"/>
  <c r="D23272" i="10"/>
  <c r="D23271" i="10"/>
  <c r="D23270" i="10"/>
  <c r="D23269" i="10"/>
  <c r="D23268" i="10"/>
  <c r="D23267" i="10"/>
  <c r="D23266" i="10"/>
  <c r="D23265" i="10"/>
  <c r="D23264" i="10"/>
  <c r="D23263" i="10"/>
  <c r="D23262" i="10"/>
  <c r="D23261" i="10"/>
  <c r="D23260" i="10"/>
  <c r="D23259" i="10"/>
  <c r="D23258" i="10"/>
  <c r="D23257" i="10"/>
  <c r="D23256" i="10"/>
  <c r="D23255" i="10"/>
  <c r="D23254" i="10"/>
  <c r="D23253" i="10"/>
  <c r="D23252" i="10"/>
  <c r="D23251" i="10"/>
  <c r="D23250" i="10"/>
  <c r="D23249" i="10"/>
  <c r="D23248" i="10"/>
  <c r="D23247" i="10"/>
  <c r="D23246" i="10"/>
  <c r="D23245" i="10"/>
  <c r="D23244" i="10"/>
  <c r="D23243" i="10"/>
  <c r="D23242" i="10"/>
  <c r="D23241" i="10"/>
  <c r="D23240" i="10"/>
  <c r="D23239" i="10"/>
  <c r="D23238" i="10"/>
  <c r="D23237" i="10"/>
  <c r="D23236" i="10"/>
  <c r="D23235" i="10"/>
  <c r="D23234" i="10"/>
  <c r="D23233" i="10"/>
  <c r="D23232" i="10"/>
  <c r="D23231" i="10"/>
  <c r="D23230" i="10"/>
  <c r="D23229" i="10"/>
  <c r="D23228" i="10"/>
  <c r="D23227" i="10"/>
  <c r="D23226" i="10"/>
  <c r="D23225" i="10"/>
  <c r="D23224" i="10"/>
  <c r="D23223" i="10"/>
  <c r="D23222" i="10"/>
  <c r="D23221" i="10"/>
  <c r="D23220" i="10"/>
  <c r="D23219" i="10"/>
  <c r="D23218" i="10"/>
  <c r="D23217" i="10"/>
  <c r="D23216" i="10"/>
  <c r="D23215" i="10"/>
  <c r="D23214" i="10"/>
  <c r="D23213" i="10"/>
  <c r="D23212" i="10"/>
  <c r="D23211" i="10"/>
  <c r="D23210" i="10"/>
  <c r="D23209" i="10"/>
  <c r="D23208" i="10"/>
  <c r="D23207" i="10"/>
  <c r="D23206" i="10"/>
  <c r="D23205" i="10"/>
  <c r="D23204" i="10"/>
  <c r="D23203" i="10"/>
  <c r="D23202" i="10"/>
  <c r="D23201" i="10"/>
  <c r="D23200" i="10"/>
  <c r="D23199" i="10"/>
  <c r="D23198" i="10"/>
  <c r="D23197" i="10"/>
  <c r="D23196" i="10"/>
  <c r="D23195" i="10"/>
  <c r="D23194" i="10"/>
  <c r="D23193" i="10"/>
  <c r="D23192" i="10"/>
  <c r="D23191" i="10"/>
  <c r="D23190" i="10"/>
  <c r="D23189" i="10"/>
  <c r="D23188" i="10"/>
  <c r="D23187" i="10"/>
  <c r="D23186" i="10"/>
  <c r="D23185" i="10"/>
  <c r="D23184" i="10"/>
  <c r="D23183" i="10"/>
  <c r="D23182" i="10"/>
  <c r="D23181" i="10"/>
  <c r="D23180" i="10"/>
  <c r="D23179" i="10"/>
  <c r="D23178" i="10"/>
  <c r="D23177" i="10"/>
  <c r="D23176" i="10"/>
  <c r="D23175" i="10"/>
  <c r="D23174" i="10"/>
  <c r="D23173" i="10"/>
  <c r="D23172" i="10"/>
  <c r="D23171" i="10"/>
  <c r="D23170" i="10"/>
  <c r="D23169" i="10"/>
  <c r="D23168" i="10"/>
  <c r="D23167" i="10"/>
  <c r="D23166" i="10"/>
  <c r="D23165" i="10"/>
  <c r="D23164" i="10"/>
  <c r="D23163" i="10"/>
  <c r="D23162" i="10"/>
  <c r="D23161" i="10"/>
  <c r="D23160" i="10"/>
  <c r="D23159" i="10"/>
  <c r="D23158" i="10"/>
  <c r="D23157" i="10"/>
  <c r="D23156" i="10"/>
  <c r="D23155" i="10"/>
  <c r="D23154" i="10"/>
  <c r="D23153" i="10"/>
  <c r="D23152" i="10"/>
  <c r="D23151" i="10"/>
  <c r="D23150" i="10"/>
  <c r="D23149" i="10"/>
  <c r="D23148" i="10"/>
  <c r="D23147" i="10"/>
  <c r="D23146" i="10"/>
  <c r="D23145" i="10"/>
  <c r="D23144" i="10"/>
  <c r="D23143" i="10"/>
  <c r="D23142" i="10"/>
  <c r="D23141" i="10"/>
  <c r="D23140" i="10"/>
  <c r="D23139" i="10"/>
  <c r="D23138" i="10"/>
  <c r="D23137" i="10"/>
  <c r="D23136" i="10"/>
  <c r="D23135" i="10"/>
  <c r="D23134" i="10"/>
  <c r="D23133" i="10"/>
  <c r="D23132" i="10"/>
  <c r="D23131" i="10"/>
  <c r="D23130" i="10"/>
  <c r="D23129" i="10"/>
  <c r="D23128" i="10"/>
  <c r="D23127" i="10"/>
  <c r="D23126" i="10"/>
  <c r="D23125" i="10"/>
  <c r="D23124" i="10"/>
  <c r="D23123" i="10"/>
  <c r="D23122" i="10"/>
  <c r="D23121" i="10"/>
  <c r="D23120" i="10"/>
  <c r="D23119" i="10"/>
  <c r="D23118" i="10"/>
  <c r="D23117" i="10"/>
  <c r="D23116" i="10"/>
  <c r="D23115" i="10"/>
  <c r="D23114" i="10"/>
  <c r="D23113" i="10"/>
  <c r="D23112" i="10"/>
  <c r="D23111" i="10"/>
  <c r="D23110" i="10"/>
  <c r="D23109" i="10"/>
  <c r="D23108" i="10"/>
  <c r="D23107" i="10"/>
  <c r="D23106" i="10"/>
  <c r="D23105" i="10"/>
  <c r="D23104" i="10"/>
  <c r="D23103" i="10"/>
  <c r="D23102" i="10"/>
  <c r="D23101" i="10"/>
  <c r="D23100" i="10"/>
  <c r="D23099" i="10"/>
  <c r="D23098" i="10"/>
  <c r="D23097" i="10"/>
  <c r="D23096" i="10"/>
  <c r="D23095" i="10"/>
  <c r="D23094" i="10"/>
  <c r="D23093" i="10"/>
  <c r="D23092" i="10"/>
  <c r="D23091" i="10"/>
  <c r="D23090" i="10"/>
  <c r="D23089" i="10"/>
  <c r="D23088" i="10"/>
  <c r="D23087" i="10"/>
  <c r="D23086" i="10"/>
  <c r="D23085" i="10"/>
  <c r="D23084" i="10"/>
  <c r="D23083" i="10"/>
  <c r="D23082" i="10"/>
  <c r="D23081" i="10"/>
  <c r="D23080" i="10"/>
  <c r="D23079" i="10"/>
  <c r="D23078" i="10"/>
  <c r="D23077" i="10"/>
  <c r="D23076" i="10"/>
  <c r="D23075" i="10"/>
  <c r="D23074" i="10"/>
  <c r="D23073" i="10"/>
  <c r="D23072" i="10"/>
  <c r="D23071" i="10"/>
  <c r="D23070" i="10"/>
  <c r="D23069" i="10"/>
  <c r="D23068" i="10"/>
  <c r="D23067" i="10"/>
  <c r="D23066" i="10"/>
  <c r="D23065" i="10"/>
  <c r="D23064" i="10"/>
  <c r="D23063" i="10"/>
  <c r="D23062" i="10"/>
  <c r="D23061" i="10"/>
  <c r="D23060" i="10"/>
  <c r="D23059" i="10"/>
  <c r="D23058" i="10"/>
  <c r="D23057" i="10"/>
  <c r="D23056" i="10"/>
  <c r="D23055" i="10"/>
  <c r="D23054" i="10"/>
  <c r="D23053" i="10"/>
  <c r="D23052" i="10"/>
  <c r="D23051" i="10"/>
  <c r="D23050" i="10"/>
  <c r="D23049" i="10"/>
  <c r="D23048" i="10"/>
  <c r="D23047" i="10"/>
  <c r="D23046" i="10"/>
  <c r="D23045" i="10"/>
  <c r="D23044" i="10"/>
  <c r="D23043" i="10"/>
  <c r="D23042" i="10"/>
  <c r="D23041" i="10"/>
  <c r="D23040" i="10"/>
  <c r="D23039" i="10"/>
  <c r="D23038" i="10"/>
  <c r="D23037" i="10"/>
  <c r="D23036" i="10"/>
  <c r="D23035" i="10"/>
  <c r="D23034" i="10"/>
  <c r="D23033" i="10"/>
  <c r="D23032" i="10"/>
  <c r="D23031" i="10"/>
  <c r="D23030" i="10"/>
  <c r="D23029" i="10"/>
  <c r="D23028" i="10"/>
  <c r="D23027" i="10"/>
  <c r="D23026" i="10"/>
  <c r="D23025" i="10"/>
  <c r="D23024" i="10"/>
  <c r="D23023" i="10"/>
  <c r="D23022" i="10"/>
  <c r="D23021" i="10"/>
  <c r="D23020" i="10"/>
  <c r="D23019" i="10"/>
  <c r="D23018" i="10"/>
  <c r="D23017" i="10"/>
  <c r="D23016" i="10"/>
  <c r="D23015" i="10"/>
  <c r="D23014" i="10"/>
  <c r="D23013" i="10"/>
  <c r="D23012" i="10"/>
  <c r="D23011" i="10"/>
  <c r="D23010" i="10"/>
  <c r="D23009" i="10"/>
  <c r="D23008" i="10"/>
  <c r="D23007" i="10"/>
  <c r="D23006" i="10"/>
  <c r="D23005" i="10"/>
  <c r="D23004" i="10"/>
  <c r="D23003" i="10"/>
  <c r="D23002" i="10"/>
  <c r="D23001" i="10"/>
  <c r="D23000" i="10"/>
  <c r="D22999" i="10"/>
  <c r="D22998" i="10"/>
  <c r="D22997" i="10"/>
  <c r="D22996" i="10"/>
  <c r="D22995" i="10"/>
  <c r="D22994" i="10"/>
  <c r="D22993" i="10"/>
  <c r="D22992" i="10"/>
  <c r="D22991" i="10"/>
  <c r="D22990" i="10"/>
  <c r="D22989" i="10"/>
  <c r="D22988" i="10"/>
  <c r="D22987" i="10"/>
  <c r="D22986" i="10"/>
  <c r="D22985" i="10"/>
  <c r="D22984" i="10"/>
  <c r="D22983" i="10"/>
  <c r="D22982" i="10"/>
  <c r="D22981" i="10"/>
  <c r="D22980" i="10"/>
  <c r="D22979" i="10"/>
  <c r="D22978" i="10"/>
  <c r="D22977" i="10"/>
  <c r="D22976" i="10"/>
  <c r="D22975" i="10"/>
  <c r="D22974" i="10"/>
  <c r="D22973" i="10"/>
  <c r="D22972" i="10"/>
  <c r="D22971" i="10"/>
  <c r="D22970" i="10"/>
  <c r="D22969" i="10"/>
  <c r="D22968" i="10"/>
  <c r="D22967" i="10"/>
  <c r="D22966" i="10"/>
  <c r="D22965" i="10"/>
  <c r="D22964" i="10"/>
  <c r="D22963" i="10"/>
  <c r="D22962" i="10"/>
  <c r="D22961" i="10"/>
  <c r="D22960" i="10"/>
  <c r="D22959" i="10"/>
  <c r="D22958" i="10"/>
  <c r="D22957" i="10"/>
  <c r="D22956" i="10"/>
  <c r="D22955" i="10"/>
  <c r="D22954" i="10"/>
  <c r="D22953" i="10"/>
  <c r="D22952" i="10"/>
  <c r="D22951" i="10"/>
  <c r="D22950" i="10"/>
  <c r="D22949" i="10"/>
  <c r="D22948" i="10"/>
  <c r="D22947" i="10"/>
  <c r="D22946" i="10"/>
  <c r="D22945" i="10"/>
  <c r="D22944" i="10"/>
  <c r="D22943" i="10"/>
  <c r="D22942" i="10"/>
  <c r="D22941" i="10"/>
  <c r="D22940" i="10"/>
  <c r="D22939" i="10"/>
  <c r="D22938" i="10"/>
  <c r="D22937" i="10"/>
  <c r="D22936" i="10"/>
  <c r="D22935" i="10"/>
  <c r="D22934" i="10"/>
  <c r="D22933" i="10"/>
  <c r="D22932" i="10"/>
  <c r="D22931" i="10"/>
  <c r="D22930" i="10"/>
  <c r="D22929" i="10"/>
  <c r="D22928" i="10"/>
  <c r="D22927" i="10"/>
  <c r="D22926" i="10"/>
  <c r="D22925" i="10"/>
  <c r="D22924" i="10"/>
  <c r="D22923" i="10"/>
  <c r="D22922" i="10"/>
  <c r="D22921" i="10"/>
  <c r="D22920" i="10"/>
  <c r="D22919" i="10"/>
  <c r="D22918" i="10"/>
  <c r="D22917" i="10"/>
  <c r="D22916" i="10"/>
  <c r="D22915" i="10"/>
  <c r="D22914" i="10"/>
  <c r="D22913" i="10"/>
  <c r="D22912" i="10"/>
  <c r="D22911" i="10"/>
  <c r="D22910" i="10"/>
  <c r="D22909" i="10"/>
  <c r="D22908" i="10"/>
  <c r="D22907" i="10"/>
  <c r="D22906" i="10"/>
  <c r="D22905" i="10"/>
  <c r="D22904" i="10"/>
  <c r="D22903" i="10"/>
  <c r="D22902" i="10"/>
  <c r="D22901" i="10"/>
  <c r="D22900" i="10"/>
  <c r="D22899" i="10"/>
  <c r="D22898" i="10"/>
  <c r="D22897" i="10"/>
  <c r="D22896" i="10"/>
  <c r="D22895" i="10"/>
  <c r="D22894" i="10"/>
  <c r="D22893" i="10"/>
  <c r="D22892" i="10"/>
  <c r="D22891" i="10"/>
  <c r="D22890" i="10"/>
  <c r="D22889" i="10"/>
  <c r="D22888" i="10"/>
  <c r="D22887" i="10"/>
  <c r="D22886" i="10"/>
  <c r="D22885" i="10"/>
  <c r="D22884" i="10"/>
  <c r="D22883" i="10"/>
  <c r="D22882" i="10"/>
  <c r="D22881" i="10"/>
  <c r="D22880" i="10"/>
  <c r="D22879" i="10"/>
  <c r="D22878" i="10"/>
  <c r="D22877" i="10"/>
  <c r="D22876" i="10"/>
  <c r="D22875" i="10"/>
  <c r="D22874" i="10"/>
  <c r="D22873" i="10"/>
  <c r="D22872" i="10"/>
  <c r="D22871" i="10"/>
  <c r="D22870" i="10"/>
  <c r="D22869" i="10"/>
  <c r="D22868" i="10"/>
  <c r="D22867" i="10"/>
  <c r="D22866" i="10"/>
  <c r="D22865" i="10"/>
  <c r="D22864" i="10"/>
  <c r="D22863" i="10"/>
  <c r="D22862" i="10"/>
  <c r="D22861" i="10"/>
  <c r="D22860" i="10"/>
  <c r="D22859" i="10"/>
  <c r="D22858" i="10"/>
  <c r="D22857" i="10"/>
  <c r="D22856" i="10"/>
  <c r="D22855" i="10"/>
  <c r="D22854" i="10"/>
  <c r="D22853" i="10"/>
  <c r="D22852" i="10"/>
  <c r="D22851" i="10"/>
  <c r="D22850" i="10"/>
  <c r="D22849" i="10"/>
  <c r="D22848" i="10"/>
  <c r="D22847" i="10"/>
  <c r="D22846" i="10"/>
  <c r="D22845" i="10"/>
  <c r="D22844" i="10"/>
  <c r="D22843" i="10"/>
  <c r="D22842" i="10"/>
  <c r="D22841" i="10"/>
  <c r="D22840" i="10"/>
  <c r="D22839" i="10"/>
  <c r="D22838" i="10"/>
  <c r="D22837" i="10"/>
  <c r="D22836" i="10"/>
  <c r="D22835" i="10"/>
  <c r="D22834" i="10"/>
  <c r="D22833" i="10"/>
  <c r="D22832" i="10"/>
  <c r="D22831" i="10"/>
  <c r="D22830" i="10"/>
  <c r="D22829" i="10"/>
  <c r="D22828" i="10"/>
  <c r="D22827" i="10"/>
  <c r="D22826" i="10"/>
  <c r="D22825" i="10"/>
  <c r="D22824" i="10"/>
  <c r="D22823" i="10"/>
  <c r="D22822" i="10"/>
  <c r="D22821" i="10"/>
  <c r="D22820" i="10"/>
  <c r="D22819" i="10"/>
  <c r="D22818" i="10"/>
  <c r="D22817" i="10"/>
  <c r="D22816" i="10"/>
  <c r="D22815" i="10"/>
  <c r="D22814" i="10"/>
  <c r="D22813" i="10"/>
  <c r="D22812" i="10"/>
  <c r="D22811" i="10"/>
  <c r="D22810" i="10"/>
  <c r="D22809" i="10"/>
  <c r="D22808" i="10"/>
  <c r="D22807" i="10"/>
  <c r="D22806" i="10"/>
  <c r="D22805" i="10"/>
  <c r="D22804" i="10"/>
  <c r="D22803" i="10"/>
  <c r="D22802" i="10"/>
  <c r="D22801" i="10"/>
  <c r="D22800" i="10"/>
  <c r="D22799" i="10"/>
  <c r="D22798" i="10"/>
  <c r="D22797" i="10"/>
  <c r="D22796" i="10"/>
  <c r="D22795" i="10"/>
  <c r="D22794" i="10"/>
  <c r="D22793" i="10"/>
  <c r="D22792" i="10"/>
  <c r="D22791" i="10"/>
  <c r="D22790" i="10"/>
  <c r="D22789" i="10"/>
  <c r="D22788" i="10"/>
  <c r="D22787" i="10"/>
  <c r="D22786" i="10"/>
  <c r="D22785" i="10"/>
  <c r="D22784" i="10"/>
  <c r="D22783" i="10"/>
  <c r="D22782" i="10"/>
  <c r="D22781" i="10"/>
  <c r="D22780" i="10"/>
  <c r="D22779" i="10"/>
  <c r="D22778" i="10"/>
  <c r="D22777" i="10"/>
  <c r="D22776" i="10"/>
  <c r="D22775" i="10"/>
  <c r="D22774" i="10"/>
  <c r="D22773" i="10"/>
  <c r="D22772" i="10"/>
  <c r="D22771" i="10"/>
  <c r="D22770" i="10"/>
  <c r="D22769" i="10"/>
  <c r="D22768" i="10"/>
  <c r="D22767" i="10"/>
  <c r="D22766" i="10"/>
  <c r="D22765" i="10"/>
  <c r="D22764" i="10"/>
  <c r="D22763" i="10"/>
  <c r="D22762" i="10"/>
  <c r="D22761" i="10"/>
  <c r="D22760" i="10"/>
  <c r="D22759" i="10"/>
  <c r="D22758" i="10"/>
  <c r="D22757" i="10"/>
  <c r="D22756" i="10"/>
  <c r="D22755" i="10"/>
  <c r="D22754" i="10"/>
  <c r="D22753" i="10"/>
  <c r="D22752" i="10"/>
  <c r="D22751" i="10"/>
  <c r="D22750" i="10"/>
  <c r="D22749" i="10"/>
  <c r="D22748" i="10"/>
  <c r="D22747" i="10"/>
  <c r="D22746" i="10"/>
  <c r="D22745" i="10"/>
  <c r="D22744" i="10"/>
  <c r="D22743" i="10"/>
  <c r="D22742" i="10"/>
  <c r="D22741" i="10"/>
  <c r="D22740" i="10"/>
  <c r="D22739" i="10"/>
  <c r="D22738" i="10"/>
  <c r="D22737" i="10"/>
  <c r="D22736" i="10"/>
  <c r="D22735" i="10"/>
  <c r="D22734" i="10"/>
  <c r="D22733" i="10"/>
  <c r="D22732" i="10"/>
  <c r="D22731" i="10"/>
  <c r="D22730" i="10"/>
  <c r="D22729" i="10"/>
  <c r="D22728" i="10"/>
  <c r="D22727" i="10"/>
  <c r="D22726" i="10"/>
  <c r="D22725" i="10"/>
  <c r="D22724" i="10"/>
  <c r="D22723" i="10"/>
  <c r="D22722" i="10"/>
  <c r="D22721" i="10"/>
  <c r="D22720" i="10"/>
  <c r="D22719" i="10"/>
  <c r="D22718" i="10"/>
  <c r="D22717" i="10"/>
  <c r="D22716" i="10"/>
  <c r="D22715" i="10"/>
  <c r="D22714" i="10"/>
  <c r="D22713" i="10"/>
  <c r="D22712" i="10"/>
  <c r="D22711" i="10"/>
  <c r="D22710" i="10"/>
  <c r="D22709" i="10"/>
  <c r="D22708" i="10"/>
  <c r="D22707" i="10"/>
  <c r="D22706" i="10"/>
  <c r="D22705" i="10"/>
  <c r="D22704" i="10"/>
  <c r="D22703" i="10"/>
  <c r="D22702" i="10"/>
  <c r="D22701" i="10"/>
  <c r="D22700" i="10"/>
  <c r="D22699" i="10"/>
  <c r="D22698" i="10"/>
  <c r="D22697" i="10"/>
  <c r="D22696" i="10"/>
  <c r="D22695" i="10"/>
  <c r="D22694" i="10"/>
  <c r="D22693" i="10"/>
  <c r="D22692" i="10"/>
  <c r="D22691" i="10"/>
  <c r="D22690" i="10"/>
  <c r="D22689" i="10"/>
  <c r="D22688" i="10"/>
  <c r="D22687" i="10"/>
  <c r="D22686" i="10"/>
  <c r="D22685" i="10"/>
  <c r="D22684" i="10"/>
  <c r="D22683" i="10"/>
  <c r="D22682" i="10"/>
  <c r="D22681" i="10"/>
  <c r="D22680" i="10"/>
  <c r="D22679" i="10"/>
  <c r="D22678" i="10"/>
  <c r="D22677" i="10"/>
  <c r="D22676" i="10"/>
  <c r="D22675" i="10"/>
  <c r="D22674" i="10"/>
  <c r="D22673" i="10"/>
  <c r="D22672" i="10"/>
  <c r="D22671" i="10"/>
  <c r="D22670" i="10"/>
  <c r="D22669" i="10"/>
  <c r="D22668" i="10"/>
  <c r="D22667" i="10"/>
  <c r="D22666" i="10"/>
  <c r="D22665" i="10"/>
  <c r="D22664" i="10"/>
  <c r="D22663" i="10"/>
  <c r="D22662" i="10"/>
  <c r="D22661" i="10"/>
  <c r="D22660" i="10"/>
  <c r="D22659" i="10"/>
  <c r="D22658" i="10"/>
  <c r="D22657" i="10"/>
  <c r="D22656" i="10"/>
  <c r="D22655" i="10"/>
  <c r="D22654" i="10"/>
  <c r="D22653" i="10"/>
  <c r="D22652" i="10"/>
  <c r="D22651" i="10"/>
  <c r="D22650" i="10"/>
  <c r="D22649" i="10"/>
  <c r="D22648" i="10"/>
  <c r="D22647" i="10"/>
  <c r="D22646" i="10"/>
  <c r="D22645" i="10"/>
  <c r="D22644" i="10"/>
  <c r="D22643" i="10"/>
  <c r="D22642" i="10"/>
  <c r="D22641" i="10"/>
  <c r="D22640" i="10"/>
  <c r="D22639" i="10"/>
  <c r="D22638" i="10"/>
  <c r="D22637" i="10"/>
  <c r="D22636" i="10"/>
  <c r="D22635" i="10"/>
  <c r="D22634" i="10"/>
  <c r="D22633" i="10"/>
  <c r="D22632" i="10"/>
  <c r="D22631" i="10"/>
  <c r="D22630" i="10"/>
  <c r="D22629" i="10"/>
  <c r="D22628" i="10"/>
  <c r="D22627" i="10"/>
  <c r="D22626" i="10"/>
  <c r="D22625" i="10"/>
  <c r="D22624" i="10"/>
  <c r="D22623" i="10"/>
  <c r="D22622" i="10"/>
  <c r="D22621" i="10"/>
  <c r="D22620" i="10"/>
  <c r="D22619" i="10"/>
  <c r="D22618" i="10"/>
  <c r="D22617" i="10"/>
  <c r="D22616" i="10"/>
  <c r="D22615" i="10"/>
  <c r="D22614" i="10"/>
  <c r="D22613" i="10"/>
  <c r="D22612" i="10"/>
  <c r="D22611" i="10"/>
  <c r="D22610" i="10"/>
  <c r="D22609" i="10"/>
  <c r="D22608" i="10"/>
  <c r="D22607" i="10"/>
  <c r="D22606" i="10"/>
  <c r="D22605" i="10"/>
  <c r="D22604" i="10"/>
  <c r="D22603" i="10"/>
  <c r="D22602" i="10"/>
  <c r="D22601" i="10"/>
  <c r="D22600" i="10"/>
  <c r="D22599" i="10"/>
  <c r="D22598" i="10"/>
  <c r="D22597" i="10"/>
  <c r="D22596" i="10"/>
  <c r="D22595" i="10"/>
  <c r="D22594" i="10"/>
  <c r="D22593" i="10"/>
  <c r="D22592" i="10"/>
  <c r="D22591" i="10"/>
  <c r="D22590" i="10"/>
  <c r="D22589" i="10"/>
  <c r="D22588" i="10"/>
  <c r="D22587" i="10"/>
  <c r="D22586" i="10"/>
  <c r="D22585" i="10"/>
  <c r="D22584" i="10"/>
  <c r="D22583" i="10"/>
  <c r="D22582" i="10"/>
  <c r="D22581" i="10"/>
  <c r="D22580" i="10"/>
  <c r="D22579" i="10"/>
  <c r="D22578" i="10"/>
  <c r="D22577" i="10"/>
  <c r="D22576" i="10"/>
  <c r="D22575" i="10"/>
  <c r="D22574" i="10"/>
  <c r="D22573" i="10"/>
  <c r="D22572" i="10"/>
  <c r="D22571" i="10"/>
  <c r="D22570" i="10"/>
  <c r="D22569" i="10"/>
  <c r="D22568" i="10"/>
  <c r="D22567" i="10"/>
  <c r="D22566" i="10"/>
  <c r="D22565" i="10"/>
  <c r="D22564" i="10"/>
  <c r="D22563" i="10"/>
  <c r="D22562" i="10"/>
  <c r="D22561" i="10"/>
  <c r="D22560" i="10"/>
  <c r="D22559" i="10"/>
  <c r="D22558" i="10"/>
  <c r="D22557" i="10"/>
  <c r="D22556" i="10"/>
  <c r="D22555" i="10"/>
  <c r="D22554" i="10"/>
  <c r="D22553" i="10"/>
  <c r="D22552" i="10"/>
  <c r="D22551" i="10"/>
  <c r="D22550" i="10"/>
  <c r="D22549" i="10"/>
  <c r="D22548" i="10"/>
  <c r="D22547" i="10"/>
  <c r="D22546" i="10"/>
  <c r="D22545" i="10"/>
  <c r="D22544" i="10"/>
  <c r="D22543" i="10"/>
  <c r="D22542" i="10"/>
  <c r="D22541" i="10"/>
  <c r="D22540" i="10"/>
  <c r="D22539" i="10"/>
  <c r="D22538" i="10"/>
  <c r="D22537" i="10"/>
  <c r="D22536" i="10"/>
  <c r="D22535" i="10"/>
  <c r="D22534" i="10"/>
  <c r="D22533" i="10"/>
  <c r="D22532" i="10"/>
  <c r="D22531" i="10"/>
  <c r="D22530" i="10"/>
  <c r="D22529" i="10"/>
  <c r="D22528" i="10"/>
  <c r="D22527" i="10"/>
  <c r="D22526" i="10"/>
  <c r="D22525" i="10"/>
  <c r="D22524" i="10"/>
  <c r="D22523" i="10"/>
  <c r="D22522" i="10"/>
  <c r="D22521" i="10"/>
  <c r="D22520" i="10"/>
  <c r="D22519" i="10"/>
  <c r="D22518" i="10"/>
  <c r="D22517" i="10"/>
  <c r="D22516" i="10"/>
  <c r="D22515" i="10"/>
  <c r="D22514" i="10"/>
  <c r="D22513" i="10"/>
  <c r="D22512" i="10"/>
  <c r="D22511" i="10"/>
  <c r="D22510" i="10"/>
  <c r="D22509" i="10"/>
  <c r="D22508" i="10"/>
  <c r="D22507" i="10"/>
  <c r="D22506" i="10"/>
  <c r="D22505" i="10"/>
  <c r="D22504" i="10"/>
  <c r="D22503" i="10"/>
  <c r="D22502" i="10"/>
  <c r="D22501" i="10"/>
  <c r="D22500" i="10"/>
  <c r="D22499" i="10"/>
  <c r="D22498" i="10"/>
  <c r="D22497" i="10"/>
  <c r="D22496" i="10"/>
  <c r="D22495" i="10"/>
  <c r="D22494" i="10"/>
  <c r="D22493" i="10"/>
  <c r="D22492" i="10"/>
  <c r="D22491" i="10"/>
  <c r="D22490" i="10"/>
  <c r="D22489" i="10"/>
  <c r="D22488" i="10"/>
  <c r="D22487" i="10"/>
  <c r="D22486" i="10"/>
  <c r="D22485" i="10"/>
  <c r="D22484" i="10"/>
  <c r="D22483" i="10"/>
  <c r="D22482" i="10"/>
  <c r="D22481" i="10"/>
  <c r="D22480" i="10"/>
  <c r="D22479" i="10"/>
  <c r="D22478" i="10"/>
  <c r="D22477" i="10"/>
  <c r="D22476" i="10"/>
  <c r="D22475" i="10"/>
  <c r="D22474" i="10"/>
  <c r="D22473" i="10"/>
  <c r="D22472" i="10"/>
  <c r="D22471" i="10"/>
  <c r="D22470" i="10"/>
  <c r="D22469" i="10"/>
  <c r="D22468" i="10"/>
  <c r="D22467" i="10"/>
  <c r="D22466" i="10"/>
  <c r="D22465" i="10"/>
  <c r="D22464" i="10"/>
  <c r="D22463" i="10"/>
  <c r="D22462" i="10"/>
  <c r="D22461" i="10"/>
  <c r="D22460" i="10"/>
  <c r="D22459" i="10"/>
  <c r="D22458" i="10"/>
  <c r="D22457" i="10"/>
  <c r="D22456" i="10"/>
  <c r="D22455" i="10"/>
  <c r="D22454" i="10"/>
  <c r="D22453" i="10"/>
  <c r="D22452" i="10"/>
  <c r="D22451" i="10"/>
  <c r="D22450" i="10"/>
  <c r="D22449" i="10"/>
  <c r="D22448" i="10"/>
  <c r="D22447" i="10"/>
  <c r="D22446" i="10"/>
  <c r="D22445" i="10"/>
  <c r="D22444" i="10"/>
  <c r="D22443" i="10"/>
  <c r="D22442" i="10"/>
  <c r="D22441" i="10"/>
  <c r="D22440" i="10"/>
  <c r="D22439" i="10"/>
  <c r="D22438" i="10"/>
  <c r="D22437" i="10"/>
  <c r="D22436" i="10"/>
  <c r="D22435" i="10"/>
  <c r="D22434" i="10"/>
  <c r="D22433" i="10"/>
  <c r="D22432" i="10"/>
  <c r="D22431" i="10"/>
  <c r="D22430" i="10"/>
  <c r="D22429" i="10"/>
  <c r="D22428" i="10"/>
  <c r="D22427" i="10"/>
  <c r="D22426" i="10"/>
  <c r="D22425" i="10"/>
  <c r="D22424" i="10"/>
  <c r="D22423" i="10"/>
  <c r="D22422" i="10"/>
  <c r="D22421" i="10"/>
  <c r="D22420" i="10"/>
  <c r="D22419" i="10"/>
  <c r="D22418" i="10"/>
  <c r="D22417" i="10"/>
  <c r="D22416" i="10"/>
  <c r="D22415" i="10"/>
  <c r="D22414" i="10"/>
  <c r="D22413" i="10"/>
  <c r="D22412" i="10"/>
  <c r="D22411" i="10"/>
  <c r="D22410" i="10"/>
  <c r="D22409" i="10"/>
  <c r="D22408" i="10"/>
  <c r="D22407" i="10"/>
  <c r="D22406" i="10"/>
  <c r="D22405" i="10"/>
  <c r="D22404" i="10"/>
  <c r="D22403" i="10"/>
  <c r="D22402" i="10"/>
  <c r="D22401" i="10"/>
  <c r="D22400" i="10"/>
  <c r="D22399" i="10"/>
  <c r="D22398" i="10"/>
  <c r="D22397" i="10"/>
  <c r="D22396" i="10"/>
  <c r="D22395" i="10"/>
  <c r="D22394" i="10"/>
  <c r="D22393" i="10"/>
  <c r="D22392" i="10"/>
  <c r="D22391" i="10"/>
  <c r="D22390" i="10"/>
  <c r="D22389" i="10"/>
  <c r="D22388" i="10"/>
  <c r="D22387" i="10"/>
  <c r="D22386" i="10"/>
  <c r="D22385" i="10"/>
  <c r="D22384" i="10"/>
  <c r="D22383" i="10"/>
  <c r="D22382" i="10"/>
  <c r="D22381" i="10"/>
  <c r="D22380" i="10"/>
  <c r="D22379" i="10"/>
  <c r="D22378" i="10"/>
  <c r="D22377" i="10"/>
  <c r="D22376" i="10"/>
  <c r="D22375" i="10"/>
  <c r="D22374" i="10"/>
  <c r="D22373" i="10"/>
  <c r="D22372" i="10"/>
  <c r="D22371" i="10"/>
  <c r="D22370" i="10"/>
  <c r="D22369" i="10"/>
  <c r="D22368" i="10"/>
  <c r="D22367" i="10"/>
  <c r="D22366" i="10"/>
  <c r="D22365" i="10"/>
  <c r="D22364" i="10"/>
  <c r="D22363" i="10"/>
  <c r="D22362" i="10"/>
  <c r="D22361" i="10"/>
  <c r="D22360" i="10"/>
  <c r="D22359" i="10"/>
  <c r="D22358" i="10"/>
  <c r="D22357" i="10"/>
  <c r="D22356" i="10"/>
  <c r="D22355" i="10"/>
  <c r="D22354" i="10"/>
  <c r="D22353" i="10"/>
  <c r="D22352" i="10"/>
  <c r="D22351" i="10"/>
  <c r="D22350" i="10"/>
  <c r="D22349" i="10"/>
  <c r="D22348" i="10"/>
  <c r="D22347" i="10"/>
  <c r="D22346" i="10"/>
  <c r="D22345" i="10"/>
  <c r="D22344" i="10"/>
  <c r="D22343" i="10"/>
  <c r="D22342" i="10"/>
  <c r="D22341" i="10"/>
  <c r="D22340" i="10"/>
  <c r="D22339" i="10"/>
  <c r="D22338" i="10"/>
  <c r="D22337" i="10"/>
  <c r="D22336" i="10"/>
  <c r="D22335" i="10"/>
  <c r="D22334" i="10"/>
  <c r="D22333" i="10"/>
  <c r="D22332" i="10"/>
  <c r="D22331" i="10"/>
  <c r="D22330" i="10"/>
  <c r="D22329" i="10"/>
  <c r="D22328" i="10"/>
  <c r="D22327" i="10"/>
  <c r="D22326" i="10"/>
  <c r="D22325" i="10"/>
  <c r="D22324" i="10"/>
  <c r="D22323" i="10"/>
  <c r="D22322" i="10"/>
  <c r="D22321" i="10"/>
  <c r="D22320" i="10"/>
  <c r="D22319" i="10"/>
  <c r="D22318" i="10"/>
  <c r="D22317" i="10"/>
  <c r="D22316" i="10"/>
  <c r="D22315" i="10"/>
  <c r="D22314" i="10"/>
  <c r="D22313" i="10"/>
  <c r="D22312" i="10"/>
  <c r="D22311" i="10"/>
  <c r="D22310" i="10"/>
  <c r="D22309" i="10"/>
  <c r="D22308" i="10"/>
  <c r="D22307" i="10"/>
  <c r="D22306" i="10"/>
  <c r="D22305" i="10"/>
  <c r="D22304" i="10"/>
  <c r="D22303" i="10"/>
  <c r="D22302" i="10"/>
  <c r="D22301" i="10"/>
  <c r="D22300" i="10"/>
  <c r="D22299" i="10"/>
  <c r="D22298" i="10"/>
  <c r="D22297" i="10"/>
  <c r="D22296" i="10"/>
  <c r="D22295" i="10"/>
  <c r="D22294" i="10"/>
  <c r="D22293" i="10"/>
  <c r="D22292" i="10"/>
  <c r="D22291" i="10"/>
  <c r="D22290" i="10"/>
  <c r="D22289" i="10"/>
  <c r="D22288" i="10"/>
  <c r="D22287" i="10"/>
  <c r="D22286" i="10"/>
  <c r="D22285" i="10"/>
  <c r="D22284" i="10"/>
  <c r="D22283" i="10"/>
  <c r="D22282" i="10"/>
  <c r="D22281" i="10"/>
  <c r="D22280" i="10"/>
  <c r="D22279" i="10"/>
  <c r="D22278" i="10"/>
  <c r="D22277" i="10"/>
  <c r="D22276" i="10"/>
  <c r="D22275" i="10"/>
  <c r="D22274" i="10"/>
  <c r="D22273" i="10"/>
  <c r="D22272" i="10"/>
  <c r="D22271" i="10"/>
  <c r="D22270" i="10"/>
  <c r="D22269" i="10"/>
  <c r="D22268" i="10"/>
  <c r="D22267" i="10"/>
  <c r="D22266" i="10"/>
  <c r="D22265" i="10"/>
  <c r="D22264" i="10"/>
  <c r="D22263" i="10"/>
  <c r="D22262" i="10"/>
  <c r="D22261" i="10"/>
  <c r="D22260" i="10"/>
  <c r="D22259" i="10"/>
  <c r="D22258" i="10"/>
  <c r="D22257" i="10"/>
  <c r="D22256" i="10"/>
  <c r="D22255" i="10"/>
  <c r="D22254" i="10"/>
  <c r="D22253" i="10"/>
  <c r="D22252" i="10"/>
  <c r="D22251" i="10"/>
  <c r="D22250" i="10"/>
  <c r="D22249" i="10"/>
  <c r="D22248" i="10"/>
  <c r="D22247" i="10"/>
  <c r="D22246" i="10"/>
  <c r="D22245" i="10"/>
  <c r="D22244" i="10"/>
  <c r="D22243" i="10"/>
  <c r="D22242" i="10"/>
  <c r="D22241" i="10"/>
  <c r="D22240" i="10"/>
  <c r="D22239" i="10"/>
  <c r="D22238" i="10"/>
  <c r="D22237" i="10"/>
  <c r="D22236" i="10"/>
  <c r="D22235" i="10"/>
  <c r="D22234" i="10"/>
  <c r="D22233" i="10"/>
  <c r="D22232" i="10"/>
  <c r="D22231" i="10"/>
  <c r="D22230" i="10"/>
  <c r="D22229" i="10"/>
  <c r="D22228" i="10"/>
  <c r="D22227" i="10"/>
  <c r="D22226" i="10"/>
  <c r="D22225" i="10"/>
  <c r="D22224" i="10"/>
  <c r="D22223" i="10"/>
  <c r="D22222" i="10"/>
  <c r="D22221" i="10"/>
  <c r="D22220" i="10"/>
  <c r="D22219" i="10"/>
  <c r="D22218" i="10"/>
  <c r="D22217" i="10"/>
  <c r="D22216" i="10"/>
  <c r="D22215" i="10"/>
  <c r="D22214" i="10"/>
  <c r="D22213" i="10"/>
  <c r="D22212" i="10"/>
  <c r="D22211" i="10"/>
  <c r="D22210" i="10"/>
  <c r="D22209" i="10"/>
  <c r="D22208" i="10"/>
  <c r="D22207" i="10"/>
  <c r="D22206" i="10"/>
  <c r="D22205" i="10"/>
  <c r="D22204" i="10"/>
  <c r="D22203" i="10"/>
  <c r="D22202" i="10"/>
  <c r="D22201" i="10"/>
  <c r="D22200" i="10"/>
  <c r="D22199" i="10"/>
  <c r="D22198" i="10"/>
  <c r="D22197" i="10"/>
  <c r="D22196" i="10"/>
  <c r="D22195" i="10"/>
  <c r="D22194" i="10"/>
  <c r="D22193" i="10"/>
  <c r="D22192" i="10"/>
  <c r="D22191" i="10"/>
  <c r="D22190" i="10"/>
  <c r="D22189" i="10"/>
  <c r="D22188" i="10"/>
  <c r="D22187" i="10"/>
  <c r="D22186" i="10"/>
  <c r="D22185" i="10"/>
  <c r="D22184" i="10"/>
  <c r="D22183" i="10"/>
  <c r="D22182" i="10"/>
  <c r="D22181" i="10"/>
  <c r="D22180" i="10"/>
  <c r="D22179" i="10"/>
  <c r="D22178" i="10"/>
  <c r="D22177" i="10"/>
  <c r="D22176" i="10"/>
  <c r="D22175" i="10"/>
  <c r="D22174" i="10"/>
  <c r="D22173" i="10"/>
  <c r="D22172" i="10"/>
  <c r="D22171" i="10"/>
  <c r="D22170" i="10"/>
  <c r="D22169" i="10"/>
  <c r="D22168" i="10"/>
  <c r="D22167" i="10"/>
  <c r="D22166" i="10"/>
  <c r="D22165" i="10"/>
  <c r="D22164" i="10"/>
  <c r="D22163" i="10"/>
  <c r="D22162" i="10"/>
  <c r="D22161" i="10"/>
  <c r="D22160" i="10"/>
  <c r="D22159" i="10"/>
  <c r="D22158" i="10"/>
  <c r="D22157" i="10"/>
  <c r="D22156" i="10"/>
  <c r="D22155" i="10"/>
  <c r="D22154" i="10"/>
  <c r="D22153" i="10"/>
  <c r="D22152" i="10"/>
  <c r="D22151" i="10"/>
  <c r="D22150" i="10"/>
  <c r="D22149" i="10"/>
  <c r="D22148" i="10"/>
  <c r="D22147" i="10"/>
  <c r="D22146" i="10"/>
  <c r="D22145" i="10"/>
  <c r="D22144" i="10"/>
  <c r="D22143" i="10"/>
  <c r="D22142" i="10"/>
  <c r="D22141" i="10"/>
  <c r="D22140" i="10"/>
  <c r="D22139" i="10"/>
  <c r="D22138" i="10"/>
  <c r="D22137" i="10"/>
  <c r="D22136" i="10"/>
  <c r="D22135" i="10"/>
  <c r="D22134" i="10"/>
  <c r="D22133" i="10"/>
  <c r="D22132" i="10"/>
  <c r="D22131" i="10"/>
  <c r="D22130" i="10"/>
  <c r="D22129" i="10"/>
  <c r="D22128" i="10"/>
  <c r="D22127" i="10"/>
  <c r="D22126" i="10"/>
  <c r="D22125" i="10"/>
  <c r="D22124" i="10"/>
  <c r="D22123" i="10"/>
  <c r="D22122" i="10"/>
  <c r="D22121" i="10"/>
  <c r="D22120" i="10"/>
  <c r="D22119" i="10"/>
  <c r="D22118" i="10"/>
  <c r="D22117" i="10"/>
  <c r="D22116" i="10"/>
  <c r="D22115" i="10"/>
  <c r="D22114" i="10"/>
  <c r="D22113" i="10"/>
  <c r="D22112" i="10"/>
  <c r="D22111" i="10"/>
  <c r="D22110" i="10"/>
  <c r="D22109" i="10"/>
  <c r="D22108" i="10"/>
  <c r="D22107" i="10"/>
  <c r="D22106" i="10"/>
  <c r="D22105" i="10"/>
  <c r="D22104" i="10"/>
  <c r="D22103" i="10"/>
  <c r="D22102" i="10"/>
  <c r="D22101" i="10"/>
  <c r="D22100" i="10"/>
  <c r="D22099" i="10"/>
  <c r="D22098" i="10"/>
  <c r="D22097" i="10"/>
  <c r="D22096" i="10"/>
  <c r="D22095" i="10"/>
  <c r="D22094" i="10"/>
  <c r="D22093" i="10"/>
  <c r="D22092" i="10"/>
  <c r="D22091" i="10"/>
  <c r="D22090" i="10"/>
  <c r="D22089" i="10"/>
  <c r="D22088" i="10"/>
  <c r="D22087" i="10"/>
  <c r="D22086" i="10"/>
  <c r="D22085" i="10"/>
  <c r="D22084" i="10"/>
  <c r="D22083" i="10"/>
  <c r="D22082" i="10"/>
  <c r="D22081" i="10"/>
  <c r="D22080" i="10"/>
  <c r="D22079" i="10"/>
  <c r="D22078" i="10"/>
  <c r="D22077" i="10"/>
  <c r="D22076" i="10"/>
  <c r="D22075" i="10"/>
  <c r="D22074" i="10"/>
  <c r="D22073" i="10"/>
  <c r="D22072" i="10"/>
  <c r="D22071" i="10"/>
  <c r="D22070" i="10"/>
  <c r="D22069" i="10"/>
  <c r="D22068" i="10"/>
  <c r="D22067" i="10"/>
  <c r="D22066" i="10"/>
  <c r="D22065" i="10"/>
  <c r="D22064" i="10"/>
  <c r="D22063" i="10"/>
  <c r="D22062" i="10"/>
  <c r="D22061" i="10"/>
  <c r="D22060" i="10"/>
  <c r="D22059" i="10"/>
  <c r="D22058" i="10"/>
  <c r="D22057" i="10"/>
  <c r="D22056" i="10"/>
  <c r="D22055" i="10"/>
  <c r="D22054" i="10"/>
  <c r="D22053" i="10"/>
  <c r="D22052" i="10"/>
  <c r="D22051" i="10"/>
  <c r="D22050" i="10"/>
  <c r="D22049" i="10"/>
  <c r="D22048" i="10"/>
  <c r="D22047" i="10"/>
  <c r="D22046" i="10"/>
  <c r="D22045" i="10"/>
  <c r="D22044" i="10"/>
  <c r="D22043" i="10"/>
  <c r="D22042" i="10"/>
  <c r="D22041" i="10"/>
  <c r="D22040" i="10"/>
  <c r="D22039" i="10"/>
  <c r="D22038" i="10"/>
  <c r="D22037" i="10"/>
  <c r="D22036" i="10"/>
  <c r="D22035" i="10"/>
  <c r="D22034" i="10"/>
  <c r="D22033" i="10"/>
  <c r="D22032" i="10"/>
  <c r="D22031" i="10"/>
  <c r="D22030" i="10"/>
  <c r="D22029" i="10"/>
  <c r="D22028" i="10"/>
  <c r="D22027" i="10"/>
  <c r="D22026" i="10"/>
  <c r="D22025" i="10"/>
  <c r="D22024" i="10"/>
  <c r="D22023" i="10"/>
  <c r="D22022" i="10"/>
  <c r="D22021" i="10"/>
  <c r="D22020" i="10"/>
  <c r="D22019" i="10"/>
  <c r="D22018" i="10"/>
  <c r="D22017" i="10"/>
  <c r="D22016" i="10"/>
  <c r="D22015" i="10"/>
  <c r="D22014" i="10"/>
  <c r="D22013" i="10"/>
  <c r="D22012" i="10"/>
  <c r="D22011" i="10"/>
  <c r="D22010" i="10"/>
  <c r="D22009" i="10"/>
  <c r="D22008" i="10"/>
  <c r="D22007" i="10"/>
  <c r="D22006" i="10"/>
  <c r="D22005" i="10"/>
  <c r="D22004" i="10"/>
  <c r="D22003" i="10"/>
  <c r="D22002" i="10"/>
  <c r="D22001" i="10"/>
  <c r="D22000" i="10"/>
  <c r="D21999" i="10"/>
  <c r="D21998" i="10"/>
  <c r="D21997" i="10"/>
  <c r="D21996" i="10"/>
  <c r="D21995" i="10"/>
  <c r="D21994" i="10"/>
  <c r="D21993" i="10"/>
  <c r="D21992" i="10"/>
  <c r="D21991" i="10"/>
  <c r="D21990" i="10"/>
  <c r="D21989" i="10"/>
  <c r="D21988" i="10"/>
  <c r="D21987" i="10"/>
  <c r="D21986" i="10"/>
  <c r="D21985" i="10"/>
  <c r="D21984" i="10"/>
  <c r="D21983" i="10"/>
  <c r="D21982" i="10"/>
  <c r="D21981" i="10"/>
  <c r="D21980" i="10"/>
  <c r="D21979" i="10"/>
  <c r="D21978" i="10"/>
  <c r="D21977" i="10"/>
  <c r="D21976" i="10"/>
  <c r="D21975" i="10"/>
  <c r="D21974" i="10"/>
  <c r="D21973" i="10"/>
  <c r="D21972" i="10"/>
  <c r="D21971" i="10"/>
  <c r="D21970" i="10"/>
  <c r="D21969" i="10"/>
  <c r="D21968" i="10"/>
  <c r="D21967" i="10"/>
  <c r="D21966" i="10"/>
  <c r="D21965" i="10"/>
  <c r="D21964" i="10"/>
  <c r="D21963" i="10"/>
  <c r="D21962" i="10"/>
  <c r="D21961" i="10"/>
  <c r="D21960" i="10"/>
  <c r="D21959" i="10"/>
  <c r="D21958" i="10"/>
  <c r="D21957" i="10"/>
  <c r="D21956" i="10"/>
  <c r="D21955" i="10"/>
  <c r="D21954" i="10"/>
  <c r="D21953" i="10"/>
  <c r="D21952" i="10"/>
  <c r="D21951" i="10"/>
  <c r="D21950" i="10"/>
  <c r="D21949" i="10"/>
  <c r="D21948" i="10"/>
  <c r="D21947" i="10"/>
  <c r="D21946" i="10"/>
  <c r="D21945" i="10"/>
  <c r="D21944" i="10"/>
  <c r="D21943" i="10"/>
  <c r="D21942" i="10"/>
  <c r="D21941" i="10"/>
  <c r="D21940" i="10"/>
  <c r="D21939" i="10"/>
  <c r="D21938" i="10"/>
  <c r="D21937" i="10"/>
  <c r="D21936" i="10"/>
  <c r="D21935" i="10"/>
  <c r="D21934" i="10"/>
  <c r="D21933" i="10"/>
  <c r="D21932" i="10"/>
  <c r="D21931" i="10"/>
  <c r="D21930" i="10"/>
  <c r="D21929" i="10"/>
  <c r="D21928" i="10"/>
  <c r="D21927" i="10"/>
  <c r="D21926" i="10"/>
  <c r="D21925" i="10"/>
  <c r="D21924" i="10"/>
  <c r="D21923" i="10"/>
  <c r="D21922" i="10"/>
  <c r="D21921" i="10"/>
  <c r="D21920" i="10"/>
  <c r="D21919" i="10"/>
  <c r="D21918" i="10"/>
  <c r="D21917" i="10"/>
  <c r="D21916" i="10"/>
  <c r="D21915" i="10"/>
  <c r="D21914" i="10"/>
  <c r="D21913" i="10"/>
  <c r="D21912" i="10"/>
  <c r="D21911" i="10"/>
  <c r="D21910" i="10"/>
  <c r="D21909" i="10"/>
  <c r="D21908" i="10"/>
  <c r="D21907" i="10"/>
  <c r="D21906" i="10"/>
  <c r="D21905" i="10"/>
  <c r="D21904" i="10"/>
  <c r="D21903" i="10"/>
  <c r="D21902" i="10"/>
  <c r="D21901" i="10"/>
  <c r="D21900" i="10"/>
  <c r="D21899" i="10"/>
  <c r="D21898" i="10"/>
  <c r="D21897" i="10"/>
  <c r="D21896" i="10"/>
  <c r="D21895" i="10"/>
  <c r="D21894" i="10"/>
  <c r="D21893" i="10"/>
  <c r="D21892" i="10"/>
  <c r="D21891" i="10"/>
  <c r="D21890" i="10"/>
  <c r="D21889" i="10"/>
  <c r="D21888" i="10"/>
  <c r="D21887" i="10"/>
  <c r="D21886" i="10"/>
  <c r="D21885" i="10"/>
  <c r="D21884" i="10"/>
  <c r="D21883" i="10"/>
  <c r="D21882" i="10"/>
  <c r="D21881" i="10"/>
  <c r="D21880" i="10"/>
  <c r="D21879" i="10"/>
  <c r="D21878" i="10"/>
  <c r="D21877" i="10"/>
  <c r="D21876" i="10"/>
  <c r="D21875" i="10"/>
  <c r="D21874" i="10"/>
  <c r="D21873" i="10"/>
  <c r="D21872" i="10"/>
  <c r="D21871" i="10"/>
  <c r="D21870" i="10"/>
  <c r="D21869" i="10"/>
  <c r="D21868" i="10"/>
  <c r="D21867" i="10"/>
  <c r="D21866" i="10"/>
  <c r="D21865" i="10"/>
  <c r="D21864" i="10"/>
  <c r="D21863" i="10"/>
  <c r="D21862" i="10"/>
  <c r="D21861" i="10"/>
  <c r="D21860" i="10"/>
  <c r="D21859" i="10"/>
  <c r="D21858" i="10"/>
  <c r="D21857" i="10"/>
  <c r="D21856" i="10"/>
  <c r="D21855" i="10"/>
  <c r="D21854" i="10"/>
  <c r="D21853" i="10"/>
  <c r="D21852" i="10"/>
  <c r="D21851" i="10"/>
  <c r="D21850" i="10"/>
  <c r="D21849" i="10"/>
  <c r="D21848" i="10"/>
  <c r="D21847" i="10"/>
  <c r="D21846" i="10"/>
  <c r="D21845" i="10"/>
  <c r="D21844" i="10"/>
  <c r="D21843" i="10"/>
  <c r="D21842" i="10"/>
  <c r="D21841" i="10"/>
  <c r="D21840" i="10"/>
  <c r="D21839" i="10"/>
  <c r="D21838" i="10"/>
  <c r="D21837" i="10"/>
  <c r="D21836" i="10"/>
  <c r="D21835" i="10"/>
  <c r="D21834" i="10"/>
  <c r="D21833" i="10"/>
  <c r="D21832" i="10"/>
  <c r="D21831" i="10"/>
  <c r="D21830" i="10"/>
  <c r="D21829" i="10"/>
  <c r="D21828" i="10"/>
  <c r="D21827" i="10"/>
  <c r="D21826" i="10"/>
  <c r="D21825" i="10"/>
  <c r="D21824" i="10"/>
  <c r="D21823" i="10"/>
  <c r="D21822" i="10"/>
  <c r="D21821" i="10"/>
  <c r="D21820" i="10"/>
  <c r="D21819" i="10"/>
  <c r="D21818" i="10"/>
  <c r="D21817" i="10"/>
  <c r="D21816" i="10"/>
  <c r="D21815" i="10"/>
  <c r="D21814" i="10"/>
  <c r="D21813" i="10"/>
  <c r="D21812" i="10"/>
  <c r="D21811" i="10"/>
  <c r="D21810" i="10"/>
  <c r="D21809" i="10"/>
  <c r="D21808" i="10"/>
  <c r="D21807" i="10"/>
  <c r="D21806" i="10"/>
  <c r="D21805" i="10"/>
  <c r="D21804" i="10"/>
  <c r="D21803" i="10"/>
  <c r="D21802" i="10"/>
  <c r="D21801" i="10"/>
  <c r="D21800" i="10"/>
  <c r="D21799" i="10"/>
  <c r="D21798" i="10"/>
  <c r="D21797" i="10"/>
  <c r="D21796" i="10"/>
  <c r="D21795" i="10"/>
  <c r="D21794" i="10"/>
  <c r="D21793" i="10"/>
  <c r="D21792" i="10"/>
  <c r="D21791" i="10"/>
  <c r="D21790" i="10"/>
  <c r="D21789" i="10"/>
  <c r="D21788" i="10"/>
  <c r="D21787" i="10"/>
  <c r="D21786" i="10"/>
  <c r="D21785" i="10"/>
  <c r="D21784" i="10"/>
  <c r="D21783" i="10"/>
  <c r="D21782" i="10"/>
  <c r="D21781" i="10"/>
  <c r="D21780" i="10"/>
  <c r="D21779" i="10"/>
  <c r="D21778" i="10"/>
  <c r="D21777" i="10"/>
  <c r="D21776" i="10"/>
  <c r="D21775" i="10"/>
  <c r="D21774" i="10"/>
  <c r="D21773" i="10"/>
  <c r="D21772" i="10"/>
  <c r="D21771" i="10"/>
  <c r="D21770" i="10"/>
  <c r="D21769" i="10"/>
  <c r="D21768" i="10"/>
  <c r="D21767" i="10"/>
  <c r="D21766" i="10"/>
  <c r="D21765" i="10"/>
  <c r="D21764" i="10"/>
  <c r="D21763" i="10"/>
  <c r="D21762" i="10"/>
  <c r="D21761" i="10"/>
  <c r="D21760" i="10"/>
  <c r="D21759" i="10"/>
  <c r="D21758" i="10"/>
  <c r="D21757" i="10"/>
  <c r="D21756" i="10"/>
  <c r="D21755" i="10"/>
  <c r="D21754" i="10"/>
  <c r="D21753" i="10"/>
  <c r="D21752" i="10"/>
  <c r="D21751" i="10"/>
  <c r="D21750" i="10"/>
  <c r="D21749" i="10"/>
  <c r="D21748" i="10"/>
  <c r="D21747" i="10"/>
  <c r="D21746" i="10"/>
  <c r="D21745" i="10"/>
  <c r="D21744" i="10"/>
  <c r="D21743" i="10"/>
  <c r="D21742" i="10"/>
  <c r="D21741" i="10"/>
  <c r="D21740" i="10"/>
  <c r="D21739" i="10"/>
  <c r="D21738" i="10"/>
  <c r="D21737" i="10"/>
  <c r="D21736" i="10"/>
  <c r="D21735" i="10"/>
  <c r="D21734" i="10"/>
  <c r="D21733" i="10"/>
  <c r="D21732" i="10"/>
  <c r="D21731" i="10"/>
  <c r="D21730" i="10"/>
  <c r="D21729" i="10"/>
  <c r="D21728" i="10"/>
  <c r="D21727" i="10"/>
  <c r="D21726" i="10"/>
  <c r="D21725" i="10"/>
  <c r="D21724" i="10"/>
  <c r="D21723" i="10"/>
  <c r="D21722" i="10"/>
  <c r="D21721" i="10"/>
  <c r="D21720" i="10"/>
  <c r="D21719" i="10"/>
  <c r="D21718" i="10"/>
  <c r="D21717" i="10"/>
  <c r="D21716" i="10"/>
  <c r="D21715" i="10"/>
  <c r="D21714" i="10"/>
  <c r="D21713" i="10"/>
  <c r="D21712" i="10"/>
  <c r="D21711" i="10"/>
  <c r="D21710" i="10"/>
  <c r="D21709" i="10"/>
  <c r="D21708" i="10"/>
  <c r="D21707" i="10"/>
  <c r="D21706" i="10"/>
  <c r="D21705" i="10"/>
  <c r="D21704" i="10"/>
  <c r="D21703" i="10"/>
  <c r="D21702" i="10"/>
  <c r="D21701" i="10"/>
  <c r="D21700" i="10"/>
  <c r="D21699" i="10"/>
  <c r="D21698" i="10"/>
  <c r="D21697" i="10"/>
  <c r="D21696" i="10"/>
  <c r="D21695" i="10"/>
  <c r="D21694" i="10"/>
  <c r="D21693" i="10"/>
  <c r="D21692" i="10"/>
  <c r="D21691" i="10"/>
  <c r="D21690" i="10"/>
  <c r="D21689" i="10"/>
  <c r="D21688" i="10"/>
  <c r="D21687" i="10"/>
  <c r="D21686" i="10"/>
  <c r="D21685" i="10"/>
  <c r="D21684" i="10"/>
  <c r="D21683" i="10"/>
  <c r="D21682" i="10"/>
  <c r="D21681" i="10"/>
  <c r="D21680" i="10"/>
  <c r="D21679" i="10"/>
  <c r="D21678" i="10"/>
  <c r="D21677" i="10"/>
  <c r="D21676" i="10"/>
  <c r="D21675" i="10"/>
  <c r="D21674" i="10"/>
  <c r="D21673" i="10"/>
  <c r="D21672" i="10"/>
  <c r="D21671" i="10"/>
  <c r="D21670" i="10"/>
  <c r="D21669" i="10"/>
  <c r="D21668" i="10"/>
  <c r="D21667" i="10"/>
  <c r="D21666" i="10"/>
  <c r="D21665" i="10"/>
  <c r="D21664" i="10"/>
  <c r="D21663" i="10"/>
  <c r="D21662" i="10"/>
  <c r="D21661" i="10"/>
  <c r="D21660" i="10"/>
  <c r="D21659" i="10"/>
  <c r="D21658" i="10"/>
  <c r="D21657" i="10"/>
  <c r="D21656" i="10"/>
  <c r="D21655" i="10"/>
  <c r="D21654" i="10"/>
  <c r="D21653" i="10"/>
  <c r="D21652" i="10"/>
  <c r="D21651" i="10"/>
  <c r="D21650" i="10"/>
  <c r="D21649" i="10"/>
  <c r="D21648" i="10"/>
  <c r="D21647" i="10"/>
  <c r="D21646" i="10"/>
  <c r="D21645" i="10"/>
  <c r="D21644" i="10"/>
  <c r="D21643" i="10"/>
  <c r="D21642" i="10"/>
  <c r="D21641" i="10"/>
  <c r="D21640" i="10"/>
  <c r="D21639" i="10"/>
  <c r="D21638" i="10"/>
  <c r="D21637" i="10"/>
  <c r="D21636" i="10"/>
  <c r="D21635" i="10"/>
  <c r="D21634" i="10"/>
  <c r="D21633" i="10"/>
  <c r="D21632" i="10"/>
  <c r="D21631" i="10"/>
  <c r="D21630" i="10"/>
  <c r="D21629" i="10"/>
  <c r="D21628" i="10"/>
  <c r="D21627" i="10"/>
  <c r="D21626" i="10"/>
  <c r="D21625" i="10"/>
  <c r="D21624" i="10"/>
  <c r="D21623" i="10"/>
  <c r="D21622" i="10"/>
  <c r="D21621" i="10"/>
  <c r="D21620" i="10"/>
  <c r="D21619" i="10"/>
  <c r="D21618" i="10"/>
  <c r="D21617" i="10"/>
  <c r="D21616" i="10"/>
  <c r="D21615" i="10"/>
  <c r="D21614" i="10"/>
  <c r="D21613" i="10"/>
  <c r="D21612" i="10"/>
  <c r="D21611" i="10"/>
  <c r="D21610" i="10"/>
  <c r="D21609" i="10"/>
  <c r="D21608" i="10"/>
  <c r="D21607" i="10"/>
  <c r="D21606" i="10"/>
  <c r="D21605" i="10"/>
  <c r="D21604" i="10"/>
  <c r="D21603" i="10"/>
  <c r="D21602" i="10"/>
  <c r="D21601" i="10"/>
  <c r="D21600" i="10"/>
  <c r="D21599" i="10"/>
  <c r="D21598" i="10"/>
  <c r="D21597" i="10"/>
  <c r="D21596" i="10"/>
  <c r="D21595" i="10"/>
  <c r="D21594" i="10"/>
  <c r="D21593" i="10"/>
  <c r="D21592" i="10"/>
  <c r="D21591" i="10"/>
  <c r="D21590" i="10"/>
  <c r="D21589" i="10"/>
  <c r="D21588" i="10"/>
  <c r="D21587" i="10"/>
  <c r="D21586" i="10"/>
  <c r="D21585" i="10"/>
  <c r="D21584" i="10"/>
  <c r="D21583" i="10"/>
  <c r="D21582" i="10"/>
  <c r="D21581" i="10"/>
  <c r="D21580" i="10"/>
  <c r="D21579" i="10"/>
  <c r="D21578" i="10"/>
  <c r="D21577" i="10"/>
  <c r="D21576" i="10"/>
  <c r="D21575" i="10"/>
  <c r="D21574" i="10"/>
  <c r="D21573" i="10"/>
  <c r="D21572" i="10"/>
  <c r="D21571" i="10"/>
  <c r="D21570" i="10"/>
  <c r="D21569" i="10"/>
  <c r="D21568" i="10"/>
  <c r="D21567" i="10"/>
  <c r="D21566" i="10"/>
  <c r="D21565" i="10"/>
  <c r="D21564" i="10"/>
  <c r="D21563" i="10"/>
  <c r="D21562" i="10"/>
  <c r="D21561" i="10"/>
  <c r="D21560" i="10"/>
  <c r="D21559" i="10"/>
  <c r="D21558" i="10"/>
  <c r="D21557" i="10"/>
  <c r="D21556" i="10"/>
  <c r="D21555" i="10"/>
  <c r="D21554" i="10"/>
  <c r="D21553" i="10"/>
  <c r="D21552" i="10"/>
  <c r="D21551" i="10"/>
  <c r="D21550" i="10"/>
  <c r="D21549" i="10"/>
  <c r="D21548" i="10"/>
  <c r="D21547" i="10"/>
  <c r="D21546" i="10"/>
  <c r="D21545" i="10"/>
  <c r="D21544" i="10"/>
  <c r="D21543" i="10"/>
  <c r="D21542" i="10"/>
  <c r="D21541" i="10"/>
  <c r="D21540" i="10"/>
  <c r="D21539" i="10"/>
  <c r="D21538" i="10"/>
  <c r="D21537" i="10"/>
  <c r="D21536" i="10"/>
  <c r="D21535" i="10"/>
  <c r="D21534" i="10"/>
  <c r="D21533" i="10"/>
  <c r="D21532" i="10"/>
  <c r="D21531" i="10"/>
  <c r="D21530" i="10"/>
  <c r="D21529" i="10"/>
  <c r="D21528" i="10"/>
  <c r="D21527" i="10"/>
  <c r="D21526" i="10"/>
  <c r="D21525" i="10"/>
  <c r="D21524" i="10"/>
  <c r="D21523" i="10"/>
  <c r="D21522" i="10"/>
  <c r="D21521" i="10"/>
  <c r="D21520" i="10"/>
  <c r="D21519" i="10"/>
  <c r="D21518" i="10"/>
  <c r="D21517" i="10"/>
  <c r="D21516" i="10"/>
  <c r="D21515" i="10"/>
  <c r="D21514" i="10"/>
  <c r="D21513" i="10"/>
  <c r="D21512" i="10"/>
  <c r="D21511" i="10"/>
  <c r="D21510" i="10"/>
  <c r="D21509" i="10"/>
  <c r="D21508" i="10"/>
  <c r="D21507" i="10"/>
  <c r="D21506" i="10"/>
  <c r="D21505" i="10"/>
  <c r="D21504" i="10"/>
  <c r="D21503" i="10"/>
  <c r="D21502" i="10"/>
  <c r="D21501" i="10"/>
  <c r="D21500" i="10"/>
  <c r="D21499" i="10"/>
  <c r="D21498" i="10"/>
  <c r="D21497" i="10"/>
  <c r="D21496" i="10"/>
  <c r="D21495" i="10"/>
  <c r="D21494" i="10"/>
  <c r="D21493" i="10"/>
  <c r="D21492" i="10"/>
  <c r="D21491" i="10"/>
  <c r="D21490" i="10"/>
  <c r="D21489" i="10"/>
  <c r="D21488" i="10"/>
  <c r="D21487" i="10"/>
  <c r="D21486" i="10"/>
  <c r="D21485" i="10"/>
  <c r="D21484" i="10"/>
  <c r="D21483" i="10"/>
  <c r="D21482" i="10"/>
  <c r="D21481" i="10"/>
  <c r="D21480" i="10"/>
  <c r="D21479" i="10"/>
  <c r="D21478" i="10"/>
  <c r="D21477" i="10"/>
  <c r="D21476" i="10"/>
  <c r="D21475" i="10"/>
  <c r="D21474" i="10"/>
  <c r="D21473" i="10"/>
  <c r="D21472" i="10"/>
  <c r="D21471" i="10"/>
  <c r="D21470" i="10"/>
  <c r="D21469" i="10"/>
  <c r="D21468" i="10"/>
  <c r="D21467" i="10"/>
  <c r="D21466" i="10"/>
  <c r="D21465" i="10"/>
  <c r="D21464" i="10"/>
  <c r="D21463" i="10"/>
  <c r="D21462" i="10"/>
  <c r="D21461" i="10"/>
  <c r="D21460" i="10"/>
  <c r="D21459" i="10"/>
  <c r="D21458" i="10"/>
  <c r="D21457" i="10"/>
  <c r="D21456" i="10"/>
  <c r="D21455" i="10"/>
  <c r="D21454" i="10"/>
  <c r="D21453" i="10"/>
  <c r="D21452" i="10"/>
  <c r="D21451" i="10"/>
  <c r="D21450" i="10"/>
  <c r="D21449" i="10"/>
  <c r="D21448" i="10"/>
  <c r="D21447" i="10"/>
  <c r="D21446" i="10"/>
  <c r="D21445" i="10"/>
  <c r="D21444" i="10"/>
  <c r="D21443" i="10"/>
  <c r="D21442" i="10"/>
  <c r="D21441" i="10"/>
  <c r="D21440" i="10"/>
  <c r="D21439" i="10"/>
  <c r="D21438" i="10"/>
  <c r="D21437" i="10"/>
  <c r="D21436" i="10"/>
  <c r="D21435" i="10"/>
  <c r="D21434" i="10"/>
  <c r="D21433" i="10"/>
  <c r="D21432" i="10"/>
  <c r="D21431" i="10"/>
  <c r="D21430" i="10"/>
  <c r="D21429" i="10"/>
  <c r="D21428" i="10"/>
  <c r="D21427" i="10"/>
  <c r="D21426" i="10"/>
  <c r="D21425" i="10"/>
  <c r="D21424" i="10"/>
  <c r="D21423" i="10"/>
  <c r="D21422" i="10"/>
  <c r="D21421" i="10"/>
  <c r="D21420" i="10"/>
  <c r="D21419" i="10"/>
  <c r="D21418" i="10"/>
  <c r="D21417" i="10"/>
  <c r="D21416" i="10"/>
  <c r="D21415" i="10"/>
  <c r="D21414" i="10"/>
  <c r="D21413" i="10"/>
  <c r="D21412" i="10"/>
  <c r="D21411" i="10"/>
  <c r="D21410" i="10"/>
  <c r="D21409" i="10"/>
  <c r="D21408" i="10"/>
  <c r="D21407" i="10"/>
  <c r="D21406" i="10"/>
  <c r="D21405" i="10"/>
  <c r="D21404" i="10"/>
  <c r="D21403" i="10"/>
  <c r="D21402" i="10"/>
  <c r="D21401" i="10"/>
  <c r="D21400" i="10"/>
  <c r="D21399" i="10"/>
  <c r="D21398" i="10"/>
  <c r="D21397" i="10"/>
  <c r="D21396" i="10"/>
  <c r="D21395" i="10"/>
  <c r="D21394" i="10"/>
  <c r="D21393" i="10"/>
  <c r="D21392" i="10"/>
  <c r="D21391" i="10"/>
  <c r="D21390" i="10"/>
  <c r="D21389" i="10"/>
  <c r="D21388" i="10"/>
  <c r="D21387" i="10"/>
  <c r="D21386" i="10"/>
  <c r="D21385" i="10"/>
  <c r="D21384" i="10"/>
  <c r="D21383" i="10"/>
  <c r="D21382" i="10"/>
  <c r="D21381" i="10"/>
  <c r="D21380" i="10"/>
  <c r="D21379" i="10"/>
  <c r="D21378" i="10"/>
  <c r="D21377" i="10"/>
  <c r="D21376" i="10"/>
  <c r="D21375" i="10"/>
  <c r="D21374" i="10"/>
  <c r="D21373" i="10"/>
  <c r="D21372" i="10"/>
  <c r="D21371" i="10"/>
  <c r="D21370" i="10"/>
  <c r="D21369" i="10"/>
  <c r="D21368" i="10"/>
  <c r="D21367" i="10"/>
  <c r="D21366" i="10"/>
  <c r="D21365" i="10"/>
  <c r="D21364" i="10"/>
  <c r="D21363" i="10"/>
  <c r="D21362" i="10"/>
  <c r="D21361" i="10"/>
  <c r="D21360" i="10"/>
  <c r="D21359" i="10"/>
  <c r="D21358" i="10"/>
  <c r="D21357" i="10"/>
  <c r="D21356" i="10"/>
  <c r="D21355" i="10"/>
  <c r="D21354" i="10"/>
  <c r="D21353" i="10"/>
  <c r="D21352" i="10"/>
  <c r="D21351" i="10"/>
  <c r="D21350" i="10"/>
  <c r="D21349" i="10"/>
  <c r="D21348" i="10"/>
  <c r="D21347" i="10"/>
  <c r="D21346" i="10"/>
  <c r="D21345" i="10"/>
  <c r="D21344" i="10"/>
  <c r="D21343" i="10"/>
  <c r="D21342" i="10"/>
  <c r="D21341" i="10"/>
  <c r="D21340" i="10"/>
  <c r="D21339" i="10"/>
  <c r="D21338" i="10"/>
  <c r="D21337" i="10"/>
  <c r="D21336" i="10"/>
  <c r="D21335" i="10"/>
  <c r="D21334" i="10"/>
  <c r="D21333" i="10"/>
  <c r="D21332" i="10"/>
  <c r="D21331" i="10"/>
  <c r="D21330" i="10"/>
  <c r="D21329" i="10"/>
  <c r="D21328" i="10"/>
  <c r="D21327" i="10"/>
  <c r="D21326" i="10"/>
  <c r="D21325" i="10"/>
  <c r="D21324" i="10"/>
  <c r="D21323" i="10"/>
  <c r="D21322" i="10"/>
  <c r="D21321" i="10"/>
  <c r="D21320" i="10"/>
  <c r="D21319" i="10"/>
  <c r="D21318" i="10"/>
  <c r="D21317" i="10"/>
  <c r="D21316" i="10"/>
  <c r="D21315" i="10"/>
  <c r="D21314" i="10"/>
  <c r="D21313" i="10"/>
  <c r="D21312" i="10"/>
  <c r="D21311" i="10"/>
  <c r="D21310" i="10"/>
  <c r="D21309" i="10"/>
  <c r="D21308" i="10"/>
  <c r="D21307" i="10"/>
  <c r="D21306" i="10"/>
  <c r="D21305" i="10"/>
  <c r="D21304" i="10"/>
  <c r="D21303" i="10"/>
  <c r="D21302" i="10"/>
  <c r="D21301" i="10"/>
  <c r="D21300" i="10"/>
  <c r="D21299" i="10"/>
  <c r="D21298" i="10"/>
  <c r="D21297" i="10"/>
  <c r="D21296" i="10"/>
  <c r="D21295" i="10"/>
  <c r="D21294" i="10"/>
  <c r="D21293" i="10"/>
  <c r="D21292" i="10"/>
  <c r="D21291" i="10"/>
  <c r="D21290" i="10"/>
  <c r="D21289" i="10"/>
  <c r="D21288" i="10"/>
  <c r="D21287" i="10"/>
  <c r="D21286" i="10"/>
  <c r="D21285" i="10"/>
  <c r="D21284" i="10"/>
  <c r="D21283" i="10"/>
  <c r="D21282" i="10"/>
  <c r="D21281" i="10"/>
  <c r="D21280" i="10"/>
  <c r="D21279" i="10"/>
  <c r="D21278" i="10"/>
  <c r="D21277" i="10"/>
  <c r="D21276" i="10"/>
  <c r="D21275" i="10"/>
  <c r="D21274" i="10"/>
  <c r="D21273" i="10"/>
  <c r="D21272" i="10"/>
  <c r="D21271" i="10"/>
  <c r="D21270" i="10"/>
  <c r="D21269" i="10"/>
  <c r="D21268" i="10"/>
  <c r="D21267" i="10"/>
  <c r="D21266" i="10"/>
  <c r="D21265" i="10"/>
  <c r="D21264" i="10"/>
  <c r="D21263" i="10"/>
  <c r="D21262" i="10"/>
  <c r="D21261" i="10"/>
  <c r="D21260" i="10"/>
  <c r="D21259" i="10"/>
  <c r="D21258" i="10"/>
  <c r="D21257" i="10"/>
  <c r="D21256" i="10"/>
  <c r="D21255" i="10"/>
  <c r="D21254" i="10"/>
  <c r="D21253" i="10"/>
  <c r="D21252" i="10"/>
  <c r="D21251" i="10"/>
  <c r="D21250" i="10"/>
  <c r="D21249" i="10"/>
  <c r="D21248" i="10"/>
  <c r="D21247" i="10"/>
  <c r="D21246" i="10"/>
  <c r="D21245" i="10"/>
  <c r="D21244" i="10"/>
  <c r="D21243" i="10"/>
  <c r="D21242" i="10"/>
  <c r="D21241" i="10"/>
  <c r="D21240" i="10"/>
  <c r="D21239" i="10"/>
  <c r="D21238" i="10"/>
  <c r="D21237" i="10"/>
  <c r="D21236" i="10"/>
  <c r="D21235" i="10"/>
  <c r="D21234" i="10"/>
  <c r="D21233" i="10"/>
  <c r="D21232" i="10"/>
  <c r="D21231" i="10"/>
  <c r="D21230" i="10"/>
  <c r="D21229" i="10"/>
  <c r="D21228" i="10"/>
  <c r="D21227" i="10"/>
  <c r="D21226" i="10"/>
  <c r="D21225" i="10"/>
  <c r="D21224" i="10"/>
  <c r="D21223" i="10"/>
  <c r="D21222" i="10"/>
  <c r="D21221" i="10"/>
  <c r="D21220" i="10"/>
  <c r="D21219" i="10"/>
  <c r="D21218" i="10"/>
  <c r="D21217" i="10"/>
  <c r="D21216" i="10"/>
  <c r="D21215" i="10"/>
  <c r="D21214" i="10"/>
  <c r="D21213" i="10"/>
  <c r="D21212" i="10"/>
  <c r="D21211" i="10"/>
  <c r="D21210" i="10"/>
  <c r="D21209" i="10"/>
  <c r="D21208" i="10"/>
  <c r="D21207" i="10"/>
  <c r="D21206" i="10"/>
  <c r="D21205" i="10"/>
  <c r="D21204" i="10"/>
  <c r="D21203" i="10"/>
  <c r="D21202" i="10"/>
  <c r="D21201" i="10"/>
  <c r="D21200" i="10"/>
  <c r="D21199" i="10"/>
  <c r="D21198" i="10"/>
  <c r="D21197" i="10"/>
  <c r="D21196" i="10"/>
  <c r="D21195" i="10"/>
  <c r="D21194" i="10"/>
  <c r="D21193" i="10"/>
  <c r="D21192" i="10"/>
  <c r="D21191" i="10"/>
  <c r="D21190" i="10"/>
  <c r="D21189" i="10"/>
  <c r="D21188" i="10"/>
  <c r="D21187" i="10"/>
  <c r="D21186" i="10"/>
  <c r="D21185" i="10"/>
  <c r="D21184" i="10"/>
  <c r="D21183" i="10"/>
  <c r="D21182" i="10"/>
  <c r="D21181" i="10"/>
  <c r="D21180" i="10"/>
  <c r="D21179" i="10"/>
  <c r="D21178" i="10"/>
  <c r="D21177" i="10"/>
  <c r="D21176" i="10"/>
  <c r="D21175" i="10"/>
  <c r="D21174" i="10"/>
  <c r="D21173" i="10"/>
  <c r="D21172" i="10"/>
  <c r="D21171" i="10"/>
  <c r="D21170" i="10"/>
  <c r="D21169" i="10"/>
  <c r="D21168" i="10"/>
  <c r="D21167" i="10"/>
  <c r="D21166" i="10"/>
  <c r="D21165" i="10"/>
  <c r="D21164" i="10"/>
  <c r="D21163" i="10"/>
  <c r="D21162" i="10"/>
  <c r="D21161" i="10"/>
  <c r="D21160" i="10"/>
  <c r="D21159" i="10"/>
  <c r="D21158" i="10"/>
  <c r="D21157" i="10"/>
  <c r="D21156" i="10"/>
  <c r="D21155" i="10"/>
  <c r="D21154" i="10"/>
  <c r="D21153" i="10"/>
  <c r="D21152" i="10"/>
  <c r="D21151" i="10"/>
  <c r="D21150" i="10"/>
  <c r="D21149" i="10"/>
  <c r="D21148" i="10"/>
  <c r="D21147" i="10"/>
  <c r="D21146" i="10"/>
  <c r="D21145" i="10"/>
  <c r="D21144" i="10"/>
  <c r="D21143" i="10"/>
  <c r="D21142" i="10"/>
  <c r="D21141" i="10"/>
  <c r="D21140" i="10"/>
  <c r="D21139" i="10"/>
  <c r="D21138" i="10"/>
  <c r="D21137" i="10"/>
  <c r="D21136" i="10"/>
  <c r="D21135" i="10"/>
  <c r="D21134" i="10"/>
  <c r="D21133" i="10"/>
  <c r="D21132" i="10"/>
  <c r="D21131" i="10"/>
  <c r="D21130" i="10"/>
  <c r="D21129" i="10"/>
  <c r="D21128" i="10"/>
  <c r="D21127" i="10"/>
  <c r="D21126" i="10"/>
  <c r="D21125" i="10"/>
  <c r="D21124" i="10"/>
  <c r="D21123" i="10"/>
  <c r="D21122" i="10"/>
  <c r="D21121" i="10"/>
  <c r="D21120" i="10"/>
  <c r="D21119" i="10"/>
  <c r="D21118" i="10"/>
  <c r="D21117" i="10"/>
  <c r="D21116" i="10"/>
  <c r="D21115" i="10"/>
  <c r="D21114" i="10"/>
  <c r="D21113" i="10"/>
  <c r="D21112" i="10"/>
  <c r="D21111" i="10"/>
  <c r="D21110" i="10"/>
  <c r="D21109" i="10"/>
  <c r="D21108" i="10"/>
  <c r="D21107" i="10"/>
  <c r="D21106" i="10"/>
  <c r="D21105" i="10"/>
  <c r="D21104" i="10"/>
  <c r="D21103" i="10"/>
  <c r="D21102" i="10"/>
  <c r="D21101" i="10"/>
  <c r="D21100" i="10"/>
  <c r="D21099" i="10"/>
  <c r="D21098" i="10"/>
  <c r="D21097" i="10"/>
  <c r="D21096" i="10"/>
  <c r="D21095" i="10"/>
  <c r="D21094" i="10"/>
  <c r="D21093" i="10"/>
  <c r="D21092" i="10"/>
  <c r="D21091" i="10"/>
  <c r="D21090" i="10"/>
  <c r="D21089" i="10"/>
  <c r="D21088" i="10"/>
  <c r="D21087" i="10"/>
  <c r="D21086" i="10"/>
  <c r="D21085" i="10"/>
  <c r="D21084" i="10"/>
  <c r="D21083" i="10"/>
  <c r="D21082" i="10"/>
  <c r="D21081" i="10"/>
  <c r="D21080" i="10"/>
  <c r="D21079" i="10"/>
  <c r="D21078" i="10"/>
  <c r="D21077" i="10"/>
  <c r="D21076" i="10"/>
  <c r="D21075" i="10"/>
  <c r="D21074" i="10"/>
  <c r="D21073" i="10"/>
  <c r="D21072" i="10"/>
  <c r="D21071" i="10"/>
  <c r="D21070" i="10"/>
  <c r="D21069" i="10"/>
  <c r="D21068" i="10"/>
  <c r="D21067" i="10"/>
  <c r="D21066" i="10"/>
  <c r="D21065" i="10"/>
  <c r="D21064" i="10"/>
  <c r="D21063" i="10"/>
  <c r="D21062" i="10"/>
  <c r="D21061" i="10"/>
  <c r="D21060" i="10"/>
  <c r="D21059" i="10"/>
  <c r="D21058" i="10"/>
  <c r="D21057" i="10"/>
  <c r="D21056" i="10"/>
  <c r="D21055" i="10"/>
  <c r="D21054" i="10"/>
  <c r="D21053" i="10"/>
  <c r="D21052" i="10"/>
  <c r="D21051" i="10"/>
  <c r="D21050" i="10"/>
  <c r="D21049" i="10"/>
  <c r="D21048" i="10"/>
  <c r="D21047" i="10"/>
  <c r="D21046" i="10"/>
  <c r="D21045" i="10"/>
  <c r="D21044" i="10"/>
  <c r="D21043" i="10"/>
  <c r="D21042" i="10"/>
  <c r="D21041" i="10"/>
  <c r="D21040" i="10"/>
  <c r="D21039" i="10"/>
  <c r="D21038" i="10"/>
  <c r="D21037" i="10"/>
  <c r="D21036" i="10"/>
  <c r="D21035" i="10"/>
  <c r="D21034" i="10"/>
  <c r="D21033" i="10"/>
  <c r="D21032" i="10"/>
  <c r="D21031" i="10"/>
  <c r="D21030" i="10"/>
  <c r="D21029" i="10"/>
  <c r="D21028" i="10"/>
  <c r="D21027" i="10"/>
  <c r="D21026" i="10"/>
  <c r="D21025" i="10"/>
  <c r="D21024" i="10"/>
  <c r="D21023" i="10"/>
  <c r="D21022" i="10"/>
  <c r="D21021" i="10"/>
  <c r="D21020" i="10"/>
  <c r="D21019" i="10"/>
  <c r="D21018" i="10"/>
  <c r="D21017" i="10"/>
  <c r="D21016" i="10"/>
  <c r="D21015" i="10"/>
  <c r="D21014" i="10"/>
  <c r="D21013" i="10"/>
  <c r="D21012" i="10"/>
  <c r="D21011" i="10"/>
  <c r="D21010" i="10"/>
  <c r="D21009" i="10"/>
  <c r="D21008" i="10"/>
  <c r="D21007" i="10"/>
  <c r="D21006" i="10"/>
  <c r="D21005" i="10"/>
  <c r="D21004" i="10"/>
  <c r="D21003" i="10"/>
  <c r="D21002" i="10"/>
  <c r="D21001" i="10"/>
  <c r="D21000" i="10"/>
  <c r="D20999" i="10"/>
  <c r="D20998" i="10"/>
  <c r="D20997" i="10"/>
  <c r="D20996" i="10"/>
  <c r="D20995" i="10"/>
  <c r="D20994" i="10"/>
  <c r="D20993" i="10"/>
  <c r="D20992" i="10"/>
  <c r="D20991" i="10"/>
  <c r="D20990" i="10"/>
  <c r="D20989" i="10"/>
  <c r="D20988" i="10"/>
  <c r="D20987" i="10"/>
  <c r="D20986" i="10"/>
  <c r="D20985" i="10"/>
  <c r="D20984" i="10"/>
  <c r="D20983" i="10"/>
  <c r="D20982" i="10"/>
  <c r="D20981" i="10"/>
  <c r="D20980" i="10"/>
  <c r="D20979" i="10"/>
  <c r="D20978" i="10"/>
  <c r="D20977" i="10"/>
  <c r="D20976" i="10"/>
  <c r="D20975" i="10"/>
  <c r="D20974" i="10"/>
  <c r="D20973" i="10"/>
  <c r="D20972" i="10"/>
  <c r="D20971" i="10"/>
  <c r="D20970" i="10"/>
  <c r="D20969" i="10"/>
  <c r="D20968" i="10"/>
  <c r="D20967" i="10"/>
  <c r="D20966" i="10"/>
  <c r="D20965" i="10"/>
  <c r="D20964" i="10"/>
  <c r="D20963" i="10"/>
  <c r="D20962" i="10"/>
  <c r="D20961" i="10"/>
  <c r="D20960" i="10"/>
  <c r="D20959" i="10"/>
  <c r="D20958" i="10"/>
  <c r="D20957" i="10"/>
  <c r="D20956" i="10"/>
  <c r="D20955" i="10"/>
  <c r="D20954" i="10"/>
  <c r="D20953" i="10"/>
  <c r="D20952" i="10"/>
  <c r="D20951" i="10"/>
  <c r="D20950" i="10"/>
  <c r="D20949" i="10"/>
  <c r="D20948" i="10"/>
  <c r="D20947" i="10"/>
  <c r="D20946" i="10"/>
  <c r="D20945" i="10"/>
  <c r="D20944" i="10"/>
  <c r="D20943" i="10"/>
  <c r="D20942" i="10"/>
  <c r="D20941" i="10"/>
  <c r="D20940" i="10"/>
  <c r="D20939" i="10"/>
  <c r="D20938" i="10"/>
  <c r="D20937" i="10"/>
  <c r="D20936" i="10"/>
  <c r="D20935" i="10"/>
  <c r="D20934" i="10"/>
  <c r="D20933" i="10"/>
  <c r="D20932" i="10"/>
  <c r="D20931" i="10"/>
  <c r="D20930" i="10"/>
  <c r="D20929" i="10"/>
  <c r="D20928" i="10"/>
  <c r="D20927" i="10"/>
  <c r="D20926" i="10"/>
  <c r="D20925" i="10"/>
  <c r="D20924" i="10"/>
  <c r="D20923" i="10"/>
  <c r="D20922" i="10"/>
  <c r="D20921" i="10"/>
  <c r="D20920" i="10"/>
  <c r="D20919" i="10"/>
  <c r="D20918" i="10"/>
  <c r="D20917" i="10"/>
  <c r="D20916" i="10"/>
  <c r="D20915" i="10"/>
  <c r="D20914" i="10"/>
  <c r="D20913" i="10"/>
  <c r="D20912" i="10"/>
  <c r="D20911" i="10"/>
  <c r="D20910" i="10"/>
  <c r="D20909" i="10"/>
  <c r="D20908" i="10"/>
  <c r="D20907" i="10"/>
  <c r="D20906" i="10"/>
  <c r="D20905" i="10"/>
  <c r="D20904" i="10"/>
  <c r="D20903" i="10"/>
  <c r="D20902" i="10"/>
  <c r="D20901" i="10"/>
  <c r="D20900" i="10"/>
  <c r="D20899" i="10"/>
  <c r="D20898" i="10"/>
  <c r="D20897" i="10"/>
  <c r="D20896" i="10"/>
  <c r="D20895" i="10"/>
  <c r="D20894" i="10"/>
  <c r="D20893" i="10"/>
  <c r="D20892" i="10"/>
  <c r="D20891" i="10"/>
  <c r="D20890" i="10"/>
  <c r="D20889" i="10"/>
  <c r="D20888" i="10"/>
  <c r="D20887" i="10"/>
  <c r="D20886" i="10"/>
  <c r="D20885" i="10"/>
  <c r="D20884" i="10"/>
  <c r="D20883" i="10"/>
  <c r="D20882" i="10"/>
  <c r="D20881" i="10"/>
  <c r="D20880" i="10"/>
  <c r="D20879" i="10"/>
  <c r="D20878" i="10"/>
  <c r="D20877" i="10"/>
  <c r="D20876" i="10"/>
  <c r="D20875" i="10"/>
  <c r="D20874" i="10"/>
  <c r="D20873" i="10"/>
  <c r="D20872" i="10"/>
  <c r="D20871" i="10"/>
  <c r="D20870" i="10"/>
  <c r="D20869" i="10"/>
  <c r="D20868" i="10"/>
  <c r="D20867" i="10"/>
  <c r="D20866" i="10"/>
  <c r="D20865" i="10"/>
  <c r="D20864" i="10"/>
  <c r="D20863" i="10"/>
  <c r="D20862" i="10"/>
  <c r="D20861" i="10"/>
  <c r="D20860" i="10"/>
  <c r="D20859" i="10"/>
  <c r="D20858" i="10"/>
  <c r="D20857" i="10"/>
  <c r="D20856" i="10"/>
  <c r="D20855" i="10"/>
  <c r="D20854" i="10"/>
  <c r="D20853" i="10"/>
  <c r="D20852" i="10"/>
  <c r="D20851" i="10"/>
  <c r="D20850" i="10"/>
  <c r="D20849" i="10"/>
  <c r="D20848" i="10"/>
  <c r="D20847" i="10"/>
  <c r="D20846" i="10"/>
  <c r="D20845" i="10"/>
  <c r="D20844" i="10"/>
  <c r="D20843" i="10"/>
  <c r="D20842" i="10"/>
  <c r="D20841" i="10"/>
  <c r="D20840" i="10"/>
  <c r="D20839" i="10"/>
  <c r="D20838" i="10"/>
  <c r="D20837" i="10"/>
  <c r="D20836" i="10"/>
  <c r="D20835" i="10"/>
  <c r="D20834" i="10"/>
  <c r="D20833" i="10"/>
  <c r="D20832" i="10"/>
  <c r="D20831" i="10"/>
  <c r="D20830" i="10"/>
  <c r="D20829" i="10"/>
  <c r="D20828" i="10"/>
  <c r="D20827" i="10"/>
  <c r="D20826" i="10"/>
  <c r="D20825" i="10"/>
  <c r="D20824" i="10"/>
  <c r="D20823" i="10"/>
  <c r="D20822" i="10"/>
  <c r="D20821" i="10"/>
  <c r="D20820" i="10"/>
  <c r="D20819" i="10"/>
  <c r="D20818" i="10"/>
  <c r="D20817" i="10"/>
  <c r="D20816" i="10"/>
  <c r="D20815" i="10"/>
  <c r="D20814" i="10"/>
  <c r="D20813" i="10"/>
  <c r="D20812" i="10"/>
  <c r="D20811" i="10"/>
  <c r="D20810" i="10"/>
  <c r="D20809" i="10"/>
  <c r="D20808" i="10"/>
  <c r="D20807" i="10"/>
  <c r="D20806" i="10"/>
  <c r="D20805" i="10"/>
  <c r="D20804" i="10"/>
  <c r="D20803" i="10"/>
  <c r="D20802" i="10"/>
  <c r="D20801" i="10"/>
  <c r="D20800" i="10"/>
  <c r="D20799" i="10"/>
  <c r="D20798" i="10"/>
  <c r="D20797" i="10"/>
  <c r="D20796" i="10"/>
  <c r="D20795" i="10"/>
  <c r="D20794" i="10"/>
  <c r="D20793" i="10"/>
  <c r="D20792" i="10"/>
  <c r="D20791" i="10"/>
  <c r="D20790" i="10"/>
  <c r="D20789" i="10"/>
  <c r="D20788" i="10"/>
  <c r="D20787" i="10"/>
  <c r="D20786" i="10"/>
  <c r="D20785" i="10"/>
  <c r="D20784" i="10"/>
  <c r="D20783" i="10"/>
  <c r="D20782" i="10"/>
  <c r="D20781" i="10"/>
  <c r="D20780" i="10"/>
  <c r="D20779" i="10"/>
  <c r="D20778" i="10"/>
  <c r="D20777" i="10"/>
  <c r="D20776" i="10"/>
  <c r="D20775" i="10"/>
  <c r="D20774" i="10"/>
  <c r="D20773" i="10"/>
  <c r="D20772" i="10"/>
  <c r="D20771" i="10"/>
  <c r="D20770" i="10"/>
  <c r="D20769" i="10"/>
  <c r="D20768" i="10"/>
  <c r="D20767" i="10"/>
  <c r="D20766" i="10"/>
  <c r="D20765" i="10"/>
  <c r="D20764" i="10"/>
  <c r="D20763" i="10"/>
  <c r="D20762" i="10"/>
  <c r="D20761" i="10"/>
  <c r="D20760" i="10"/>
  <c r="D20759" i="10"/>
  <c r="D20758" i="10"/>
  <c r="D20757" i="10"/>
  <c r="D20756" i="10"/>
  <c r="D20755" i="10"/>
  <c r="D20754" i="10"/>
  <c r="D20753" i="10"/>
  <c r="D20752" i="10"/>
  <c r="D20751" i="10"/>
  <c r="D20750" i="10"/>
  <c r="D20749" i="10"/>
  <c r="D20748" i="10"/>
  <c r="D20747" i="10"/>
  <c r="D20746" i="10"/>
  <c r="D20745" i="10"/>
  <c r="D20744" i="10"/>
  <c r="D20743" i="10"/>
  <c r="D20742" i="10"/>
  <c r="D20741" i="10"/>
  <c r="D20740" i="10"/>
  <c r="D20739" i="10"/>
  <c r="D20738" i="10"/>
  <c r="D20737" i="10"/>
  <c r="D20736" i="10"/>
  <c r="D20735" i="10"/>
  <c r="D20734" i="10"/>
  <c r="D20733" i="10"/>
  <c r="D20732" i="10"/>
  <c r="D20731" i="10"/>
  <c r="D20730" i="10"/>
  <c r="D20729" i="10"/>
  <c r="D20728" i="10"/>
  <c r="D20727" i="10"/>
  <c r="D20726" i="10"/>
  <c r="D20725" i="10"/>
  <c r="D20724" i="10"/>
  <c r="D20723" i="10"/>
  <c r="D20722" i="10"/>
  <c r="D20721" i="10"/>
  <c r="D20720" i="10"/>
  <c r="D20719" i="10"/>
  <c r="D20718" i="10"/>
  <c r="D20717" i="10"/>
  <c r="D20716" i="10"/>
  <c r="D20715" i="10"/>
  <c r="D20714" i="10"/>
  <c r="D20713" i="10"/>
  <c r="D20712" i="10"/>
  <c r="D20711" i="10"/>
  <c r="D20710" i="10"/>
  <c r="D20709" i="10"/>
  <c r="D20708" i="10"/>
  <c r="D20707" i="10"/>
  <c r="D20706" i="10"/>
  <c r="D20705" i="10"/>
  <c r="D20704" i="10"/>
  <c r="D20703" i="10"/>
  <c r="D20702" i="10"/>
  <c r="D20701" i="10"/>
  <c r="D20700" i="10"/>
  <c r="D20699" i="10"/>
  <c r="D20698" i="10"/>
  <c r="D20697" i="10"/>
  <c r="D20696" i="10"/>
  <c r="D20695" i="10"/>
  <c r="D20694" i="10"/>
  <c r="D20693" i="10"/>
  <c r="D20692" i="10"/>
  <c r="D20691" i="10"/>
  <c r="D20690" i="10"/>
  <c r="D20689" i="10"/>
  <c r="D20688" i="10"/>
  <c r="D20687" i="10"/>
  <c r="D20686" i="10"/>
  <c r="D20685" i="10"/>
  <c r="D20684" i="10"/>
  <c r="D20683" i="10"/>
  <c r="D20682" i="10"/>
  <c r="D20681" i="10"/>
  <c r="D20680" i="10"/>
  <c r="D20679" i="10"/>
  <c r="D20678" i="10"/>
  <c r="D20677" i="10"/>
  <c r="D20676" i="10"/>
  <c r="D20675" i="10"/>
  <c r="D20674" i="10"/>
  <c r="D20673" i="10"/>
  <c r="D20672" i="10"/>
  <c r="D20671" i="10"/>
  <c r="D20670" i="10"/>
  <c r="D20669" i="10"/>
  <c r="D20668" i="10"/>
  <c r="D20667" i="10"/>
  <c r="D20666" i="10"/>
  <c r="D20665" i="10"/>
  <c r="D20664" i="10"/>
  <c r="D20663" i="10"/>
  <c r="D20662" i="10"/>
  <c r="D20661" i="10"/>
  <c r="D20660" i="10"/>
  <c r="D20659" i="10"/>
  <c r="D20658" i="10"/>
  <c r="D20657" i="10"/>
  <c r="D20656" i="10"/>
  <c r="D20655" i="10"/>
  <c r="D20654" i="10"/>
  <c r="D20653" i="10"/>
  <c r="D20652" i="10"/>
  <c r="D20651" i="10"/>
  <c r="D20650" i="10"/>
  <c r="D20649" i="10"/>
  <c r="D20648" i="10"/>
  <c r="D20647" i="10"/>
  <c r="D20646" i="10"/>
  <c r="D20645" i="10"/>
  <c r="D20644" i="10"/>
  <c r="D20643" i="10"/>
  <c r="D20642" i="10"/>
  <c r="D20641" i="10"/>
  <c r="D20640" i="10"/>
  <c r="D20639" i="10"/>
  <c r="D20638" i="10"/>
  <c r="D20637" i="10"/>
  <c r="D20636" i="10"/>
  <c r="D20635" i="10"/>
  <c r="D20634" i="10"/>
  <c r="D20633" i="10"/>
  <c r="D20632" i="10"/>
  <c r="D20631" i="10"/>
  <c r="D20630" i="10"/>
  <c r="D20629" i="10"/>
  <c r="D20628" i="10"/>
  <c r="D20627" i="10"/>
  <c r="D20626" i="10"/>
  <c r="D20625" i="10"/>
  <c r="D20624" i="10"/>
  <c r="D20623" i="10"/>
  <c r="D20622" i="10"/>
  <c r="D20621" i="10"/>
  <c r="D20620" i="10"/>
  <c r="D20619" i="10"/>
  <c r="D20618" i="10"/>
  <c r="D20617" i="10"/>
  <c r="D20616" i="10"/>
  <c r="D20615" i="10"/>
  <c r="D20614" i="10"/>
  <c r="D20613" i="10"/>
  <c r="D20612" i="10"/>
  <c r="D20611" i="10"/>
  <c r="D20610" i="10"/>
  <c r="D20609" i="10"/>
  <c r="D20608" i="10"/>
  <c r="D20607" i="10"/>
  <c r="D20606" i="10"/>
  <c r="D20605" i="10"/>
  <c r="D20604" i="10"/>
  <c r="D20603" i="10"/>
  <c r="D20602" i="10"/>
  <c r="D20601" i="10"/>
  <c r="D20600" i="10"/>
  <c r="D20599" i="10"/>
  <c r="D20598" i="10"/>
  <c r="D20597" i="10"/>
  <c r="D20596" i="10"/>
  <c r="D20595" i="10"/>
  <c r="D20594" i="10"/>
  <c r="D20593" i="10"/>
  <c r="D20592" i="10"/>
  <c r="D20591" i="10"/>
  <c r="D20590" i="10"/>
  <c r="D20589" i="10"/>
  <c r="D20588" i="10"/>
  <c r="D20587" i="10"/>
  <c r="D20586" i="10"/>
  <c r="D20585" i="10"/>
  <c r="D20584" i="10"/>
  <c r="D20583" i="10"/>
  <c r="D20582" i="10"/>
  <c r="D20581" i="10"/>
  <c r="D20580" i="10"/>
  <c r="D20579" i="10"/>
  <c r="D20578" i="10"/>
  <c r="D20577" i="10"/>
  <c r="D20576" i="10"/>
  <c r="D20575" i="10"/>
  <c r="D20574" i="10"/>
  <c r="D20573" i="10"/>
  <c r="D20572" i="10"/>
  <c r="D20571" i="10"/>
  <c r="D20570" i="10"/>
  <c r="D20569" i="10"/>
  <c r="D20568" i="10"/>
  <c r="D20567" i="10"/>
  <c r="D20566" i="10"/>
  <c r="D20565" i="10"/>
  <c r="D20564" i="10"/>
  <c r="D20563" i="10"/>
  <c r="D20562" i="10"/>
  <c r="D20561" i="10"/>
  <c r="D20560" i="10"/>
  <c r="D20559" i="10"/>
  <c r="D20558" i="10"/>
  <c r="D20557" i="10"/>
  <c r="D20556" i="10"/>
  <c r="D20555" i="10"/>
  <c r="D20554" i="10"/>
  <c r="D20553" i="10"/>
  <c r="D20552" i="10"/>
  <c r="D20551" i="10"/>
  <c r="D20550" i="10"/>
  <c r="D20549" i="10"/>
  <c r="D20548" i="10"/>
  <c r="D20547" i="10"/>
  <c r="D20546" i="10"/>
  <c r="D20545" i="10"/>
  <c r="D20544" i="10"/>
  <c r="D20543" i="10"/>
  <c r="D20542" i="10"/>
  <c r="D20541" i="10"/>
  <c r="D20540" i="10"/>
  <c r="D20539" i="10"/>
  <c r="D20538" i="10"/>
  <c r="D20537" i="10"/>
  <c r="D20536" i="10"/>
  <c r="D20535" i="10"/>
  <c r="D20534" i="10"/>
  <c r="D20533" i="10"/>
  <c r="D20532" i="10"/>
  <c r="D20531" i="10"/>
  <c r="D20530" i="10"/>
  <c r="D20529" i="10"/>
  <c r="D20528" i="10"/>
  <c r="D20527" i="10"/>
  <c r="D20526" i="10"/>
  <c r="D20525" i="10"/>
  <c r="D20524" i="10"/>
  <c r="D20523" i="10"/>
  <c r="D20522" i="10"/>
  <c r="D20521" i="10"/>
  <c r="D20520" i="10"/>
  <c r="D20519" i="10"/>
  <c r="D20518" i="10"/>
  <c r="D20517" i="10"/>
  <c r="D20516" i="10"/>
  <c r="D20515" i="10"/>
  <c r="D20514" i="10"/>
  <c r="D20513" i="10"/>
  <c r="D20512" i="10"/>
  <c r="D20511" i="10"/>
  <c r="D20510" i="10"/>
  <c r="D20509" i="10"/>
  <c r="D20508" i="10"/>
  <c r="D20507" i="10"/>
  <c r="D20506" i="10"/>
  <c r="D20505" i="10"/>
  <c r="D20504" i="10"/>
  <c r="D20503" i="10"/>
  <c r="D20502" i="10"/>
  <c r="D20501" i="10"/>
  <c r="D20500" i="10"/>
  <c r="D20499" i="10"/>
  <c r="D20498" i="10"/>
  <c r="D20497" i="10"/>
  <c r="D20496" i="10"/>
  <c r="D20495" i="10"/>
  <c r="D20494" i="10"/>
  <c r="D20493" i="10"/>
  <c r="D20492" i="10"/>
  <c r="D20491" i="10"/>
  <c r="D20490" i="10"/>
  <c r="D20489" i="10"/>
  <c r="D20488" i="10"/>
  <c r="D20487" i="10"/>
  <c r="D20486" i="10"/>
  <c r="D20485" i="10"/>
  <c r="D20484" i="10"/>
  <c r="D20483" i="10"/>
  <c r="D20482" i="10"/>
  <c r="D20481" i="10"/>
  <c r="D20480" i="10"/>
  <c r="D20479" i="10"/>
  <c r="D20478" i="10"/>
  <c r="D20477" i="10"/>
  <c r="D20476" i="10"/>
  <c r="D20475" i="10"/>
  <c r="D20474" i="10"/>
  <c r="D20473" i="10"/>
  <c r="D20472" i="10"/>
  <c r="D20471" i="10"/>
  <c r="D20470" i="10"/>
  <c r="D20469" i="10"/>
  <c r="D20468" i="10"/>
  <c r="D20467" i="10"/>
  <c r="D20466" i="10"/>
  <c r="D20465" i="10"/>
  <c r="D20464" i="10"/>
  <c r="D20463" i="10"/>
  <c r="D20462" i="10"/>
  <c r="D20461" i="10"/>
  <c r="D20460" i="10"/>
  <c r="D20459" i="10"/>
  <c r="D20458" i="10"/>
  <c r="D20457" i="10"/>
  <c r="D20456" i="10"/>
  <c r="D20455" i="10"/>
  <c r="D20454" i="10"/>
  <c r="D20453" i="10"/>
  <c r="D20452" i="10"/>
  <c r="D20451" i="10"/>
  <c r="D20450" i="10"/>
  <c r="D20449" i="10"/>
  <c r="D20448" i="10"/>
  <c r="D20447" i="10"/>
  <c r="D20446" i="10"/>
  <c r="D20445" i="10"/>
  <c r="D20444" i="10"/>
  <c r="D20443" i="10"/>
  <c r="D20442" i="10"/>
  <c r="D20441" i="10"/>
  <c r="D20440" i="10"/>
  <c r="D20439" i="10"/>
  <c r="D20438" i="10"/>
  <c r="D20437" i="10"/>
  <c r="D20436" i="10"/>
  <c r="D20435" i="10"/>
  <c r="D20434" i="10"/>
  <c r="D20433" i="10"/>
  <c r="D20432" i="10"/>
  <c r="D20431" i="10"/>
  <c r="D20430" i="10"/>
  <c r="D20429" i="10"/>
  <c r="D20428" i="10"/>
  <c r="D20427" i="10"/>
  <c r="D20426" i="10"/>
  <c r="D20425" i="10"/>
  <c r="D20424" i="10"/>
  <c r="D20423" i="10"/>
  <c r="D20422" i="10"/>
  <c r="D20421" i="10"/>
  <c r="D20420" i="10"/>
  <c r="D20419" i="10"/>
  <c r="D20418" i="10"/>
  <c r="D20417" i="10"/>
  <c r="D20416" i="10"/>
  <c r="D20415" i="10"/>
  <c r="D20414" i="10"/>
  <c r="D20413" i="10"/>
  <c r="D20412" i="10"/>
  <c r="D20411" i="10"/>
  <c r="D20410" i="10"/>
  <c r="D20409" i="10"/>
  <c r="D20408" i="10"/>
  <c r="D20407" i="10"/>
  <c r="D20406" i="10"/>
  <c r="D20405" i="10"/>
  <c r="D20404" i="10"/>
  <c r="D20403" i="10"/>
  <c r="D20402" i="10"/>
  <c r="D20401" i="10"/>
  <c r="D20400" i="10"/>
  <c r="D20399" i="10"/>
  <c r="D20398" i="10"/>
  <c r="D20397" i="10"/>
  <c r="D20396" i="10"/>
  <c r="D20395" i="10"/>
  <c r="D20394" i="10"/>
  <c r="D20393" i="10"/>
  <c r="D20392" i="10"/>
  <c r="D20391" i="10"/>
  <c r="D20390" i="10"/>
  <c r="D20389" i="10"/>
  <c r="D20388" i="10"/>
  <c r="D20387" i="10"/>
  <c r="D20386" i="10"/>
  <c r="D20385" i="10"/>
  <c r="D20384" i="10"/>
  <c r="D20383" i="10"/>
  <c r="D20382" i="10"/>
  <c r="D20381" i="10"/>
  <c r="D20380" i="10"/>
  <c r="D20379" i="10"/>
  <c r="D20378" i="10"/>
  <c r="D20377" i="10"/>
  <c r="D20376" i="10"/>
  <c r="D20375" i="10"/>
  <c r="D20374" i="10"/>
  <c r="D20373" i="10"/>
  <c r="D20372" i="10"/>
  <c r="D20371" i="10"/>
  <c r="D20370" i="10"/>
  <c r="D20369" i="10"/>
  <c r="D20368" i="10"/>
  <c r="D20367" i="10"/>
  <c r="D20366" i="10"/>
  <c r="D20365" i="10"/>
  <c r="D20364" i="10"/>
  <c r="D20363" i="10"/>
  <c r="D20362" i="10"/>
  <c r="D20361" i="10"/>
  <c r="D20360" i="10"/>
  <c r="D20359" i="10"/>
  <c r="D20358" i="10"/>
  <c r="D20357" i="10"/>
  <c r="D20356" i="10"/>
  <c r="D20355" i="10"/>
  <c r="D20354" i="10"/>
  <c r="D20353" i="10"/>
  <c r="D20352" i="10"/>
  <c r="D20351" i="10"/>
  <c r="D20350" i="10"/>
  <c r="D20349" i="10"/>
  <c r="D20348" i="10"/>
  <c r="D20347" i="10"/>
  <c r="D20346" i="10"/>
  <c r="D20345" i="10"/>
  <c r="D20344" i="10"/>
  <c r="D20343" i="10"/>
  <c r="D20342" i="10"/>
  <c r="D20341" i="10"/>
  <c r="D20340" i="10"/>
  <c r="D20339" i="10"/>
  <c r="D20338" i="10"/>
  <c r="D20337" i="10"/>
  <c r="D20336" i="10"/>
  <c r="D20335" i="10"/>
  <c r="D20334" i="10"/>
  <c r="D20333" i="10"/>
  <c r="D20332" i="10"/>
  <c r="D20331" i="10"/>
  <c r="D20330" i="10"/>
  <c r="D20329" i="10"/>
  <c r="D20328" i="10"/>
  <c r="D20327" i="10"/>
  <c r="D20326" i="10"/>
  <c r="D20325" i="10"/>
  <c r="D20324" i="10"/>
  <c r="D20323" i="10"/>
  <c r="D20322" i="10"/>
  <c r="D20321" i="10"/>
  <c r="D20320" i="10"/>
  <c r="D20319" i="10"/>
  <c r="D20318" i="10"/>
  <c r="D20317" i="10"/>
  <c r="D20316" i="10"/>
  <c r="D20315" i="10"/>
  <c r="D20314" i="10"/>
  <c r="D20313" i="10"/>
  <c r="D20312" i="10"/>
  <c r="D20311" i="10"/>
  <c r="D20310" i="10"/>
  <c r="D20309" i="10"/>
  <c r="D20308" i="10"/>
  <c r="D20307" i="10"/>
  <c r="D20306" i="10"/>
  <c r="D20305" i="10"/>
  <c r="D20304" i="10"/>
  <c r="D20303" i="10"/>
  <c r="D20302" i="10"/>
  <c r="D20301" i="10"/>
  <c r="D20300" i="10"/>
  <c r="D20299" i="10"/>
  <c r="D20298" i="10"/>
  <c r="D20297" i="10"/>
  <c r="D20296" i="10"/>
  <c r="D20295" i="10"/>
  <c r="D20294" i="10"/>
  <c r="D20293" i="10"/>
  <c r="D20292" i="10"/>
  <c r="D20291" i="10"/>
  <c r="D20290" i="10"/>
  <c r="D20289" i="10"/>
  <c r="D20288" i="10"/>
  <c r="D20287" i="10"/>
  <c r="D20286" i="10"/>
  <c r="D20285" i="10"/>
  <c r="D20284" i="10"/>
  <c r="D20283" i="10"/>
  <c r="D20282" i="10"/>
  <c r="D20281" i="10"/>
  <c r="D20280" i="10"/>
  <c r="D20279" i="10"/>
  <c r="D20278" i="10"/>
  <c r="D20277" i="10"/>
  <c r="D20276" i="10"/>
  <c r="D20275" i="10"/>
  <c r="D20274" i="10"/>
  <c r="D20273" i="10"/>
  <c r="D20272" i="10"/>
  <c r="D20271" i="10"/>
  <c r="D20270" i="10"/>
  <c r="D20269" i="10"/>
  <c r="D20268" i="10"/>
  <c r="D20267" i="10"/>
  <c r="D20266" i="10"/>
  <c r="D20265" i="10"/>
  <c r="D20264" i="10"/>
  <c r="D20263" i="10"/>
  <c r="D20262" i="10"/>
  <c r="D20261" i="10"/>
  <c r="D20260" i="10"/>
  <c r="D20259" i="10"/>
  <c r="D20258" i="10"/>
  <c r="D20257" i="10"/>
  <c r="D20256" i="10"/>
  <c r="D20255" i="10"/>
  <c r="D20254" i="10"/>
  <c r="D20253" i="10"/>
  <c r="D20252" i="10"/>
  <c r="D20251" i="10"/>
  <c r="D20250" i="10"/>
  <c r="D20249" i="10"/>
  <c r="D20248" i="10"/>
  <c r="D20247" i="10"/>
  <c r="D20246" i="10"/>
  <c r="D20245" i="10"/>
  <c r="D20244" i="10"/>
  <c r="D20243" i="10"/>
  <c r="D20242" i="10"/>
  <c r="D20241" i="10"/>
  <c r="D20240" i="10"/>
  <c r="D20239" i="10"/>
  <c r="D20238" i="10"/>
  <c r="D20237" i="10"/>
  <c r="D20236" i="10"/>
  <c r="D20235" i="10"/>
  <c r="D20234" i="10"/>
  <c r="D20233" i="10"/>
  <c r="D20232" i="10"/>
  <c r="D20231" i="10"/>
  <c r="D20230" i="10"/>
  <c r="D20229" i="10"/>
  <c r="D20228" i="10"/>
  <c r="D20227" i="10"/>
  <c r="D20226" i="10"/>
  <c r="D20225" i="10"/>
  <c r="D20224" i="10"/>
  <c r="D20223" i="10"/>
  <c r="D20222" i="10"/>
  <c r="D20221" i="10"/>
  <c r="D20220" i="10"/>
  <c r="D20219" i="10"/>
  <c r="D20218" i="10"/>
  <c r="D20217" i="10"/>
  <c r="D20216" i="10"/>
  <c r="D20215" i="10"/>
  <c r="D20214" i="10"/>
  <c r="D20213" i="10"/>
  <c r="D20212" i="10"/>
  <c r="D20211" i="10"/>
  <c r="D20210" i="10"/>
  <c r="D20209" i="10"/>
  <c r="D20208" i="10"/>
  <c r="D20207" i="10"/>
  <c r="D20206" i="10"/>
  <c r="D20205" i="10"/>
  <c r="D20204" i="10"/>
  <c r="D20203" i="10"/>
  <c r="D20202" i="10"/>
  <c r="D20201" i="10"/>
  <c r="D20200" i="10"/>
  <c r="D20199" i="10"/>
  <c r="D20198" i="10"/>
  <c r="D20197" i="10"/>
  <c r="D20196" i="10"/>
  <c r="D20195" i="10"/>
  <c r="D20194" i="10"/>
  <c r="D20193" i="10"/>
  <c r="D20192" i="10"/>
  <c r="D20191" i="10"/>
  <c r="D20190" i="10"/>
  <c r="D20189" i="10"/>
  <c r="D20188" i="10"/>
  <c r="D20187" i="10"/>
  <c r="D20186" i="10"/>
  <c r="D20185" i="10"/>
  <c r="D20184" i="10"/>
  <c r="D20183" i="10"/>
  <c r="D20182" i="10"/>
  <c r="D20181" i="10"/>
  <c r="D20180" i="10"/>
  <c r="D20179" i="10"/>
  <c r="D20178" i="10"/>
  <c r="D20177" i="10"/>
  <c r="D20176" i="10"/>
  <c r="D20175" i="10"/>
  <c r="D20174" i="10"/>
  <c r="D20173" i="10"/>
  <c r="D20172" i="10"/>
  <c r="D20171" i="10"/>
  <c r="D20170" i="10"/>
  <c r="D20169" i="10"/>
  <c r="D20168" i="10"/>
  <c r="D20167" i="10"/>
  <c r="D20166" i="10"/>
  <c r="D20165" i="10"/>
  <c r="D20164" i="10"/>
  <c r="D20163" i="10"/>
  <c r="D20162" i="10"/>
  <c r="D20161" i="10"/>
  <c r="D20160" i="10"/>
  <c r="D20159" i="10"/>
  <c r="D20158" i="10"/>
  <c r="D20157" i="10"/>
  <c r="D20156" i="10"/>
  <c r="D20155" i="10"/>
  <c r="D20154" i="10"/>
  <c r="D20153" i="10"/>
  <c r="D20152" i="10"/>
  <c r="D20151" i="10"/>
  <c r="D20150" i="10"/>
  <c r="D20149" i="10"/>
  <c r="D20148" i="10"/>
  <c r="D20147" i="10"/>
  <c r="D20146" i="10"/>
  <c r="D20145" i="10"/>
  <c r="D20144" i="10"/>
  <c r="D20143" i="10"/>
  <c r="D20142" i="10"/>
  <c r="D20141" i="10"/>
  <c r="D20140" i="10"/>
  <c r="D20139" i="10"/>
  <c r="D20138" i="10"/>
  <c r="D20137" i="10"/>
  <c r="D20136" i="10"/>
  <c r="D20135" i="10"/>
  <c r="D20134" i="10"/>
  <c r="D20133" i="10"/>
  <c r="D20132" i="10"/>
  <c r="D20131" i="10"/>
  <c r="D20130" i="10"/>
  <c r="D20129" i="10"/>
  <c r="D20128" i="10"/>
  <c r="D20127" i="10"/>
  <c r="D20126" i="10"/>
  <c r="D20125" i="10"/>
  <c r="D20124" i="10"/>
  <c r="D20123" i="10"/>
  <c r="D20122" i="10"/>
  <c r="D20121" i="10"/>
  <c r="D20120" i="10"/>
  <c r="D20119" i="10"/>
  <c r="D20118" i="10"/>
  <c r="D20117" i="10"/>
  <c r="D20116" i="10"/>
  <c r="D20115" i="10"/>
  <c r="D20114" i="10"/>
  <c r="D20113" i="10"/>
  <c r="D20112" i="10"/>
  <c r="D20111" i="10"/>
  <c r="D20110" i="10"/>
  <c r="D20109" i="10"/>
  <c r="D20108" i="10"/>
  <c r="D20107" i="10"/>
  <c r="D20106" i="10"/>
  <c r="D20105" i="10"/>
  <c r="D20104" i="10"/>
  <c r="D20103" i="10"/>
  <c r="D20102" i="10"/>
  <c r="D20101" i="10"/>
  <c r="D20100" i="10"/>
  <c r="D20099" i="10"/>
  <c r="D20098" i="10"/>
  <c r="D20097" i="10"/>
  <c r="D20096" i="10"/>
  <c r="D20095" i="10"/>
  <c r="D20094" i="10"/>
  <c r="D20093" i="10"/>
  <c r="D20092" i="10"/>
  <c r="D20091" i="10"/>
  <c r="D20090" i="10"/>
  <c r="D20089" i="10"/>
  <c r="D20088" i="10"/>
  <c r="D20087" i="10"/>
  <c r="D20086" i="10"/>
  <c r="D20085" i="10"/>
  <c r="D20084" i="10"/>
  <c r="D20083" i="10"/>
  <c r="D20082" i="10"/>
  <c r="D20081" i="10"/>
  <c r="D20080" i="10"/>
  <c r="D20079" i="10"/>
  <c r="D20078" i="10"/>
  <c r="D20077" i="10"/>
  <c r="D20076" i="10"/>
  <c r="D20075" i="10"/>
  <c r="D20074" i="10"/>
  <c r="D20073" i="10"/>
  <c r="D20072" i="10"/>
  <c r="D20071" i="10"/>
  <c r="D20070" i="10"/>
  <c r="D20069" i="10"/>
  <c r="D20068" i="10"/>
  <c r="D20067" i="10"/>
  <c r="D20066" i="10"/>
  <c r="D20065" i="10"/>
  <c r="D20064" i="10"/>
  <c r="D20063" i="10"/>
  <c r="D20062" i="10"/>
  <c r="D20061" i="10"/>
  <c r="D20060" i="10"/>
  <c r="D20059" i="10"/>
  <c r="D20058" i="10"/>
  <c r="D20057" i="10"/>
  <c r="D20056" i="10"/>
  <c r="D20055" i="10"/>
  <c r="D20054" i="10"/>
  <c r="D20053" i="10"/>
  <c r="D20052" i="10"/>
  <c r="D20051" i="10"/>
  <c r="D20050" i="10"/>
  <c r="D20049" i="10"/>
  <c r="D20048" i="10"/>
  <c r="D20047" i="10"/>
  <c r="D20046" i="10"/>
  <c r="D20045" i="10"/>
  <c r="D20044" i="10"/>
  <c r="D20043" i="10"/>
  <c r="D20042" i="10"/>
  <c r="D20041" i="10"/>
  <c r="D20040" i="10"/>
  <c r="D20039" i="10"/>
  <c r="D20038" i="10"/>
  <c r="D20037" i="10"/>
  <c r="D20036" i="10"/>
  <c r="D20035" i="10"/>
  <c r="D20034" i="10"/>
  <c r="D20033" i="10"/>
  <c r="D20032" i="10"/>
  <c r="D20031" i="10"/>
  <c r="D20030" i="10"/>
  <c r="D20029" i="10"/>
  <c r="D20028" i="10"/>
  <c r="D20027" i="10"/>
  <c r="D20026" i="10"/>
  <c r="D20025" i="10"/>
  <c r="D20024" i="10"/>
  <c r="D20023" i="10"/>
  <c r="D20022" i="10"/>
  <c r="D20021" i="10"/>
  <c r="D20020" i="10"/>
  <c r="D20019" i="10"/>
  <c r="D20018" i="10"/>
  <c r="D20017" i="10"/>
  <c r="D20016" i="10"/>
  <c r="D20015" i="10"/>
  <c r="D20014" i="10"/>
  <c r="D20013" i="10"/>
  <c r="D20012" i="10"/>
  <c r="D20011" i="10"/>
  <c r="D20010" i="10"/>
  <c r="D20009" i="10"/>
  <c r="D20008" i="10"/>
  <c r="D20007" i="10"/>
  <c r="D20006" i="10"/>
  <c r="D20005" i="10"/>
  <c r="D20004" i="10"/>
  <c r="D20003" i="10"/>
  <c r="D20002" i="10"/>
  <c r="D20001" i="10"/>
  <c r="D20000" i="10"/>
  <c r="D19999" i="10"/>
  <c r="D19998" i="10"/>
  <c r="D19997" i="10"/>
  <c r="D19996" i="10"/>
  <c r="D19995" i="10"/>
  <c r="D19994" i="10"/>
  <c r="D19993" i="10"/>
  <c r="D19992" i="10"/>
  <c r="D19991" i="10"/>
  <c r="D19990" i="10"/>
  <c r="D19989" i="10"/>
  <c r="D19988" i="10"/>
  <c r="D19987" i="10"/>
  <c r="D19986" i="10"/>
  <c r="D19985" i="10"/>
  <c r="D19984" i="10"/>
  <c r="D19983" i="10"/>
  <c r="D19982" i="10"/>
  <c r="D19981" i="10"/>
  <c r="D19980" i="10"/>
  <c r="D19979" i="10"/>
  <c r="D19978" i="10"/>
  <c r="D19977" i="10"/>
  <c r="D19976" i="10"/>
  <c r="D19975" i="10"/>
  <c r="D19974" i="10"/>
  <c r="D19973" i="10"/>
  <c r="D19972" i="10"/>
  <c r="D19971" i="10"/>
  <c r="D19970" i="10"/>
  <c r="D19969" i="10"/>
  <c r="D19968" i="10"/>
  <c r="D19967" i="10"/>
  <c r="D19966" i="10"/>
  <c r="D19965" i="10"/>
  <c r="D19964" i="10"/>
  <c r="D19963" i="10"/>
  <c r="D19962" i="10"/>
  <c r="D19961" i="10"/>
  <c r="D19960" i="10"/>
  <c r="D19959" i="10"/>
  <c r="D19958" i="10"/>
  <c r="D19957" i="10"/>
  <c r="D19956" i="10"/>
  <c r="D19955" i="10"/>
  <c r="D19954" i="10"/>
  <c r="D19953" i="10"/>
  <c r="D19952" i="10"/>
  <c r="D19951" i="10"/>
  <c r="D19950" i="10"/>
  <c r="D19949" i="10"/>
  <c r="D19948" i="10"/>
  <c r="D19947" i="10"/>
  <c r="D19946" i="10"/>
  <c r="D19945" i="10"/>
  <c r="D19944" i="10"/>
  <c r="D19943" i="10"/>
  <c r="D19942" i="10"/>
  <c r="D19941" i="10"/>
  <c r="D19940" i="10"/>
  <c r="D19939" i="10"/>
  <c r="D19938" i="10"/>
  <c r="D19937" i="10"/>
  <c r="D19936" i="10"/>
  <c r="D19935" i="10"/>
  <c r="D19934" i="10"/>
  <c r="D19933" i="10"/>
  <c r="D19932" i="10"/>
  <c r="D19931" i="10"/>
  <c r="D19930" i="10"/>
  <c r="D19929" i="10"/>
  <c r="D19928" i="10"/>
  <c r="D19927" i="10"/>
  <c r="D19926" i="10"/>
  <c r="D19925" i="10"/>
  <c r="D19924" i="10"/>
  <c r="D19923" i="10"/>
  <c r="D19922" i="10"/>
  <c r="D19921" i="10"/>
  <c r="D19920" i="10"/>
  <c r="D19919" i="10"/>
  <c r="D19918" i="10"/>
  <c r="D19917" i="10"/>
  <c r="D19916" i="10"/>
  <c r="D19915" i="10"/>
  <c r="D19914" i="10"/>
  <c r="D19913" i="10"/>
  <c r="D19912" i="10"/>
  <c r="D19911" i="10"/>
  <c r="D19910" i="10"/>
  <c r="D19909" i="10"/>
  <c r="D19908" i="10"/>
  <c r="D19907" i="10"/>
  <c r="D19906" i="10"/>
  <c r="D19905" i="10"/>
  <c r="D19904" i="10"/>
  <c r="D19903" i="10"/>
  <c r="D19902" i="10"/>
  <c r="D19901" i="10"/>
  <c r="D19900" i="10"/>
  <c r="D19899" i="10"/>
  <c r="D19898" i="10"/>
  <c r="D19897" i="10"/>
  <c r="D19896" i="10"/>
  <c r="D19895" i="10"/>
  <c r="D19894" i="10"/>
  <c r="D19893" i="10"/>
  <c r="D19892" i="10"/>
  <c r="D19891" i="10"/>
  <c r="D19890" i="10"/>
  <c r="D19889" i="10"/>
  <c r="D19888" i="10"/>
  <c r="D19887" i="10"/>
  <c r="D19886" i="10"/>
  <c r="D19885" i="10"/>
  <c r="D19884" i="10"/>
  <c r="D19883" i="10"/>
  <c r="D19882" i="10"/>
  <c r="D19881" i="10"/>
  <c r="D19880" i="10"/>
  <c r="D19879" i="10"/>
  <c r="D19878" i="10"/>
  <c r="D19877" i="10"/>
  <c r="D19876" i="10"/>
  <c r="D19875" i="10"/>
  <c r="D19874" i="10"/>
  <c r="D19873" i="10"/>
  <c r="D19872" i="10"/>
  <c r="D19871" i="10"/>
  <c r="D19870" i="10"/>
  <c r="D19869" i="10"/>
  <c r="D19868" i="10"/>
  <c r="D19867" i="10"/>
  <c r="D19866" i="10"/>
  <c r="D19865" i="10"/>
  <c r="D19864" i="10"/>
  <c r="D19863" i="10"/>
  <c r="D19862" i="10"/>
  <c r="D19861" i="10"/>
  <c r="D19860" i="10"/>
  <c r="D19859" i="10"/>
  <c r="D19858" i="10"/>
  <c r="D19857" i="10"/>
  <c r="D19856" i="10"/>
  <c r="D19855" i="10"/>
  <c r="D19854" i="10"/>
  <c r="D19853" i="10"/>
  <c r="D19852" i="10"/>
  <c r="D19851" i="10"/>
  <c r="D19850" i="10"/>
  <c r="D19849" i="10"/>
  <c r="D19848" i="10"/>
  <c r="D19847" i="10"/>
  <c r="D19846" i="10"/>
  <c r="D19845" i="10"/>
  <c r="D19844" i="10"/>
  <c r="D19843" i="10"/>
  <c r="D19842" i="10"/>
  <c r="D19841" i="10"/>
  <c r="D19840" i="10"/>
  <c r="D19839" i="10"/>
  <c r="D19838" i="10"/>
  <c r="D19837" i="10"/>
  <c r="D19836" i="10"/>
  <c r="D19835" i="10"/>
  <c r="D19834" i="10"/>
  <c r="D19833" i="10"/>
  <c r="D19832" i="10"/>
  <c r="D19831" i="10"/>
  <c r="D19830" i="10"/>
  <c r="D19829" i="10"/>
  <c r="D19828" i="10"/>
  <c r="D19827" i="10"/>
  <c r="D19826" i="10"/>
  <c r="D19825" i="10"/>
  <c r="D19824" i="10"/>
  <c r="D19823" i="10"/>
  <c r="D19822" i="10"/>
  <c r="D19821" i="10"/>
  <c r="D19820" i="10"/>
  <c r="D19819" i="10"/>
  <c r="D19818" i="10"/>
  <c r="D19817" i="10"/>
  <c r="D19816" i="10"/>
  <c r="D19815" i="10"/>
  <c r="D19814" i="10"/>
  <c r="D19813" i="10"/>
  <c r="D19812" i="10"/>
  <c r="D19811" i="10"/>
  <c r="D19810" i="10"/>
  <c r="D19809" i="10"/>
  <c r="D19808" i="10"/>
  <c r="D19807" i="10"/>
  <c r="D19806" i="10"/>
  <c r="D19805" i="10"/>
  <c r="D19804" i="10"/>
  <c r="D19803" i="10"/>
  <c r="D19802" i="10"/>
  <c r="D19801" i="10"/>
  <c r="D19800" i="10"/>
  <c r="D19799" i="10"/>
  <c r="D19798" i="10"/>
  <c r="D19797" i="10"/>
  <c r="D19796" i="10"/>
  <c r="D19795" i="10"/>
  <c r="D19794" i="10"/>
  <c r="D19793" i="10"/>
  <c r="D19792" i="10"/>
  <c r="D19791" i="10"/>
  <c r="D19790" i="10"/>
  <c r="D19789" i="10"/>
  <c r="D19788" i="10"/>
  <c r="D19787" i="10"/>
  <c r="D19786" i="10"/>
  <c r="D19785" i="10"/>
  <c r="D19784" i="10"/>
  <c r="D19783" i="10"/>
  <c r="D19782" i="10"/>
  <c r="D19781" i="10"/>
  <c r="D19780" i="10"/>
  <c r="D19779" i="10"/>
  <c r="D19778" i="10"/>
  <c r="D19777" i="10"/>
  <c r="D19776" i="10"/>
  <c r="D19775" i="10"/>
  <c r="D19774" i="10"/>
  <c r="D19773" i="10"/>
  <c r="D19772" i="10"/>
  <c r="D19771" i="10"/>
  <c r="D19770" i="10"/>
  <c r="D19769" i="10"/>
  <c r="D19768" i="10"/>
  <c r="D19767" i="10"/>
  <c r="D19766" i="10"/>
  <c r="D19765" i="10"/>
  <c r="D19764" i="10"/>
  <c r="D19763" i="10"/>
  <c r="D19762" i="10"/>
  <c r="D19761" i="10"/>
  <c r="D19760" i="10"/>
  <c r="D19759" i="10"/>
  <c r="D19758" i="10"/>
  <c r="D19757" i="10"/>
  <c r="D19756" i="10"/>
  <c r="D19755" i="10"/>
  <c r="D19754" i="10"/>
  <c r="D19753" i="10"/>
  <c r="D19752" i="10"/>
  <c r="D19751" i="10"/>
  <c r="D19750" i="10"/>
  <c r="D19749" i="10"/>
  <c r="D19748" i="10"/>
  <c r="D19747" i="10"/>
  <c r="D19746" i="10"/>
  <c r="D19745" i="10"/>
  <c r="D19744" i="10"/>
  <c r="D19743" i="10"/>
  <c r="D19742" i="10"/>
  <c r="D19741" i="10"/>
  <c r="D19740" i="10"/>
  <c r="D19739" i="10"/>
  <c r="D19738" i="10"/>
  <c r="D19737" i="10"/>
  <c r="D19736" i="10"/>
  <c r="D19735" i="10"/>
  <c r="D19734" i="10"/>
  <c r="D19733" i="10"/>
  <c r="D19732" i="10"/>
  <c r="D19731" i="10"/>
  <c r="D19730" i="10"/>
  <c r="D19729" i="10"/>
  <c r="D19728" i="10"/>
  <c r="D19727" i="10"/>
  <c r="D19726" i="10"/>
  <c r="D19725" i="10"/>
  <c r="D19724" i="10"/>
  <c r="D19723" i="10"/>
  <c r="D19722" i="10"/>
  <c r="D19721" i="10"/>
  <c r="D19720" i="10"/>
  <c r="D19719" i="10"/>
  <c r="D19718" i="10"/>
  <c r="D19717" i="10"/>
  <c r="D19716" i="10"/>
  <c r="D19715" i="10"/>
  <c r="D19714" i="10"/>
  <c r="D19713" i="10"/>
  <c r="D19712" i="10"/>
  <c r="D19711" i="10"/>
  <c r="D19710" i="10"/>
  <c r="D19709" i="10"/>
  <c r="D19708" i="10"/>
  <c r="D19707" i="10"/>
  <c r="D19706" i="10"/>
  <c r="D19705" i="10"/>
  <c r="D19704" i="10"/>
  <c r="D19703" i="10"/>
  <c r="D19702" i="10"/>
  <c r="D19701" i="10"/>
  <c r="D19700" i="10"/>
  <c r="D19699" i="10"/>
  <c r="D19698" i="10"/>
  <c r="D19697" i="10"/>
  <c r="D19696" i="10"/>
  <c r="D19695" i="10"/>
  <c r="D19694" i="10"/>
  <c r="D19693" i="10"/>
  <c r="D19692" i="10"/>
  <c r="D19691" i="10"/>
  <c r="D19690" i="10"/>
  <c r="D19689" i="10"/>
  <c r="D19688" i="10"/>
  <c r="D19687" i="10"/>
  <c r="D19686" i="10"/>
  <c r="D19685" i="10"/>
  <c r="D19684" i="10"/>
  <c r="D19683" i="10"/>
  <c r="D19682" i="10"/>
  <c r="D19681" i="10"/>
  <c r="D19680" i="10"/>
  <c r="D19679" i="10"/>
  <c r="D19678" i="10"/>
  <c r="D19677" i="10"/>
  <c r="D19676" i="10"/>
  <c r="D19675" i="10"/>
  <c r="D19674" i="10"/>
  <c r="D19673" i="10"/>
  <c r="D19672" i="10"/>
  <c r="D19671" i="10"/>
  <c r="D19670" i="10"/>
  <c r="D19669" i="10"/>
  <c r="D19668" i="10"/>
  <c r="D19667" i="10"/>
  <c r="D19666" i="10"/>
  <c r="D19665" i="10"/>
  <c r="D19664" i="10"/>
  <c r="D19663" i="10"/>
  <c r="D19662" i="10"/>
  <c r="D19661" i="10"/>
  <c r="D19660" i="10"/>
  <c r="D19659" i="10"/>
  <c r="D19658" i="10"/>
  <c r="D19657" i="10"/>
  <c r="D19656" i="10"/>
  <c r="D19655" i="10"/>
  <c r="D19654" i="10"/>
  <c r="D19653" i="10"/>
  <c r="D19652" i="10"/>
  <c r="D19651" i="10"/>
  <c r="D19650" i="10"/>
  <c r="D19649" i="10"/>
  <c r="D19648" i="10"/>
  <c r="D19647" i="10"/>
  <c r="D19646" i="10"/>
  <c r="D19645" i="10"/>
  <c r="D19644" i="10"/>
  <c r="D19643" i="10"/>
  <c r="D19642" i="10"/>
  <c r="D19641" i="10"/>
  <c r="D19640" i="10"/>
  <c r="D19639" i="10"/>
  <c r="D19638" i="10"/>
  <c r="D19637" i="10"/>
  <c r="D19636" i="10"/>
  <c r="D19635" i="10"/>
  <c r="D19634" i="10"/>
  <c r="D19633" i="10"/>
  <c r="D19632" i="10"/>
  <c r="D19631" i="10"/>
  <c r="D19630" i="10"/>
  <c r="D19629" i="10"/>
  <c r="D19628" i="10"/>
  <c r="D19627" i="10"/>
  <c r="D19626" i="10"/>
  <c r="D19625" i="10"/>
  <c r="D19624" i="10"/>
  <c r="D19623" i="10"/>
  <c r="D19622" i="10"/>
  <c r="D19621" i="10"/>
  <c r="D19620" i="10"/>
  <c r="D19619" i="10"/>
  <c r="D19618" i="10"/>
  <c r="D19617" i="10"/>
  <c r="D19616" i="10"/>
  <c r="D19615" i="10"/>
  <c r="D19614" i="10"/>
  <c r="D19613" i="10"/>
  <c r="D19612" i="10"/>
  <c r="D19611" i="10"/>
  <c r="D19610" i="10"/>
  <c r="D19609" i="10"/>
  <c r="D19608" i="10"/>
  <c r="D19607" i="10"/>
  <c r="D19606" i="10"/>
  <c r="D19605" i="10"/>
  <c r="D19604" i="10"/>
  <c r="D19603" i="10"/>
  <c r="D19602" i="10"/>
  <c r="D19601" i="10"/>
  <c r="D19600" i="10"/>
  <c r="D19599" i="10"/>
  <c r="D19598" i="10"/>
  <c r="D19597" i="10"/>
  <c r="D19596" i="10"/>
  <c r="D19595" i="10"/>
  <c r="D19594" i="10"/>
  <c r="D19593" i="10"/>
  <c r="D19592" i="10"/>
  <c r="D19591" i="10"/>
  <c r="D19590" i="10"/>
  <c r="D19589" i="10"/>
  <c r="D19588" i="10"/>
  <c r="D19587" i="10"/>
  <c r="D19586" i="10"/>
  <c r="D19585" i="10"/>
  <c r="D19584" i="10"/>
  <c r="D19583" i="10"/>
  <c r="D19582" i="10"/>
  <c r="D19581" i="10"/>
  <c r="D19580" i="10"/>
  <c r="D19579" i="10"/>
  <c r="D19578" i="10"/>
  <c r="D19577" i="10"/>
  <c r="D19576" i="10"/>
  <c r="D19575" i="10"/>
  <c r="D19574" i="10"/>
  <c r="D19573" i="10"/>
  <c r="D19572" i="10"/>
  <c r="D19571" i="10"/>
  <c r="D19570" i="10"/>
  <c r="D19569" i="10"/>
  <c r="D19568" i="10"/>
  <c r="D19567" i="10"/>
  <c r="D19566" i="10"/>
  <c r="D19565" i="10"/>
  <c r="D19564" i="10"/>
  <c r="D19563" i="10"/>
  <c r="D19562" i="10"/>
  <c r="D19561" i="10"/>
  <c r="D19560" i="10"/>
  <c r="D19559" i="10"/>
  <c r="D19558" i="10"/>
  <c r="D19557" i="10"/>
  <c r="D19556" i="10"/>
  <c r="D19555" i="10"/>
  <c r="D19554" i="10"/>
  <c r="D19553" i="10"/>
  <c r="D19552" i="10"/>
  <c r="D19551" i="10"/>
  <c r="D19550" i="10"/>
  <c r="D19549" i="10"/>
  <c r="D19548" i="10"/>
  <c r="D19547" i="10"/>
  <c r="D19546" i="10"/>
  <c r="D19545" i="10"/>
  <c r="D19544" i="10"/>
  <c r="D19543" i="10"/>
  <c r="D19542" i="10"/>
  <c r="D19541" i="10"/>
  <c r="D19540" i="10"/>
  <c r="D19539" i="10"/>
  <c r="D19538" i="10"/>
  <c r="D19537" i="10"/>
  <c r="D19536" i="10"/>
  <c r="D19535" i="10"/>
  <c r="D19534" i="10"/>
  <c r="D19533" i="10"/>
  <c r="D19532" i="10"/>
  <c r="D19531" i="10"/>
  <c r="D19530" i="10"/>
  <c r="D19529" i="10"/>
  <c r="D19528" i="10"/>
  <c r="D19527" i="10"/>
  <c r="D19526" i="10"/>
  <c r="D19525" i="10"/>
  <c r="D19524" i="10"/>
  <c r="D19523" i="10"/>
  <c r="D19522" i="10"/>
  <c r="D19521" i="10"/>
  <c r="D19520" i="10"/>
  <c r="D19519" i="10"/>
  <c r="D19518" i="10"/>
  <c r="D19517" i="10"/>
  <c r="D19516" i="10"/>
  <c r="D19515" i="10"/>
  <c r="D19514" i="10"/>
  <c r="D19513" i="10"/>
  <c r="D19512" i="10"/>
  <c r="D19511" i="10"/>
  <c r="D19510" i="10"/>
  <c r="D19509" i="10"/>
  <c r="D19508" i="10"/>
  <c r="D19507" i="10"/>
  <c r="D19506" i="10"/>
  <c r="D19505" i="10"/>
  <c r="D19504" i="10"/>
  <c r="D19503" i="10"/>
  <c r="D19502" i="10"/>
  <c r="D19501" i="10"/>
  <c r="D19500" i="10"/>
  <c r="D19499" i="10"/>
  <c r="D19498" i="10"/>
  <c r="D19497" i="10"/>
  <c r="D19496" i="10"/>
  <c r="D19495" i="10"/>
  <c r="D19494" i="10"/>
  <c r="D19493" i="10"/>
  <c r="D19492" i="10"/>
  <c r="D19491" i="10"/>
  <c r="D19490" i="10"/>
  <c r="D19489" i="10"/>
  <c r="D19488" i="10"/>
  <c r="D19487" i="10"/>
  <c r="D19486" i="10"/>
  <c r="D19485" i="10"/>
  <c r="D19484" i="10"/>
  <c r="D19483" i="10"/>
  <c r="D19482" i="10"/>
  <c r="D19481" i="10"/>
  <c r="D19480" i="10"/>
  <c r="D19479" i="10"/>
  <c r="D19478" i="10"/>
  <c r="D19477" i="10"/>
  <c r="D19476" i="10"/>
  <c r="D19475" i="10"/>
  <c r="D19474" i="10"/>
  <c r="D19473" i="10"/>
  <c r="D19472" i="10"/>
  <c r="D19471" i="10"/>
  <c r="D19470" i="10"/>
  <c r="D19469" i="10"/>
  <c r="D19468" i="10"/>
  <c r="D19467" i="10"/>
  <c r="D19466" i="10"/>
  <c r="D19465" i="10"/>
  <c r="D19464" i="10"/>
  <c r="D19463" i="10"/>
  <c r="D19462" i="10"/>
  <c r="D19461" i="10"/>
  <c r="D19460" i="10"/>
  <c r="D19459" i="10"/>
  <c r="D19458" i="10"/>
  <c r="D19457" i="10"/>
  <c r="D19456" i="10"/>
  <c r="D19455" i="10"/>
  <c r="D19454" i="10"/>
  <c r="D19453" i="10"/>
  <c r="D19452" i="10"/>
  <c r="D19451" i="10"/>
  <c r="D19450" i="10"/>
  <c r="D19449" i="10"/>
  <c r="D19448" i="10"/>
  <c r="D19447" i="10"/>
  <c r="D19446" i="10"/>
  <c r="D19445" i="10"/>
  <c r="D19444" i="10"/>
  <c r="D19443" i="10"/>
  <c r="D19442" i="10"/>
  <c r="D19441" i="10"/>
  <c r="D19440" i="10"/>
  <c r="D19439" i="10"/>
  <c r="D19438" i="10"/>
  <c r="D19437" i="10"/>
  <c r="D19436" i="10"/>
  <c r="D19435" i="10"/>
  <c r="D19434" i="10"/>
  <c r="D19433" i="10"/>
  <c r="D19432" i="10"/>
  <c r="D19431" i="10"/>
  <c r="D19430" i="10"/>
  <c r="D19429" i="10"/>
  <c r="D19428" i="10"/>
  <c r="D19427" i="10"/>
  <c r="D19426" i="10"/>
  <c r="D19425" i="10"/>
  <c r="D19424" i="10"/>
  <c r="D19423" i="10"/>
  <c r="D19422" i="10"/>
  <c r="D19421" i="10"/>
  <c r="D19420" i="10"/>
  <c r="D19419" i="10"/>
  <c r="D19418" i="10"/>
  <c r="D19417" i="10"/>
  <c r="D19416" i="10"/>
  <c r="D19415" i="10"/>
  <c r="D19414" i="10"/>
  <c r="D19413" i="10"/>
  <c r="D19412" i="10"/>
  <c r="D19411" i="10"/>
  <c r="D19410" i="10"/>
  <c r="D19409" i="10"/>
  <c r="D19408" i="10"/>
  <c r="D19407" i="10"/>
  <c r="D19406" i="10"/>
  <c r="D19405" i="10"/>
  <c r="D19404" i="10"/>
  <c r="D19403" i="10"/>
  <c r="D19402" i="10"/>
  <c r="D19401" i="10"/>
  <c r="D19400" i="10"/>
  <c r="D19399" i="10"/>
  <c r="D19398" i="10"/>
  <c r="D19397" i="10"/>
  <c r="D19396" i="10"/>
  <c r="D19395" i="10"/>
  <c r="D19394" i="10"/>
  <c r="D19393" i="10"/>
  <c r="D19392" i="10"/>
  <c r="D19391" i="10"/>
  <c r="D19390" i="10"/>
  <c r="D19389" i="10"/>
  <c r="D19388" i="10"/>
  <c r="D19387" i="10"/>
  <c r="D19386" i="10"/>
  <c r="D19385" i="10"/>
  <c r="D19384" i="10"/>
  <c r="D19383" i="10"/>
  <c r="D19382" i="10"/>
  <c r="D19381" i="10"/>
  <c r="D19380" i="10"/>
  <c r="D19379" i="10"/>
  <c r="D19378" i="10"/>
  <c r="D19377" i="10"/>
  <c r="D19376" i="10"/>
  <c r="D19375" i="10"/>
  <c r="D19374" i="10"/>
  <c r="D19373" i="10"/>
  <c r="D19372" i="10"/>
  <c r="D19371" i="10"/>
  <c r="D19370" i="10"/>
  <c r="D19369" i="10"/>
  <c r="D19368" i="10"/>
  <c r="D19367" i="10"/>
  <c r="D19366" i="10"/>
  <c r="D19365" i="10"/>
  <c r="D19364" i="10"/>
  <c r="D19363" i="10"/>
  <c r="D19362" i="10"/>
  <c r="D19361" i="10"/>
  <c r="D19360" i="10"/>
  <c r="D19359" i="10"/>
  <c r="D19358" i="10"/>
  <c r="D19357" i="10"/>
  <c r="D19356" i="10"/>
  <c r="D19355" i="10"/>
  <c r="D19354" i="10"/>
  <c r="D19353" i="10"/>
  <c r="D19352" i="10"/>
  <c r="D19351" i="10"/>
  <c r="D19350" i="10"/>
  <c r="D19349" i="10"/>
  <c r="D19348" i="10"/>
  <c r="D19347" i="10"/>
  <c r="D19346" i="10"/>
  <c r="D19345" i="10"/>
  <c r="D19344" i="10"/>
  <c r="D19343" i="10"/>
  <c r="D19342" i="10"/>
  <c r="D19341" i="10"/>
  <c r="D19340" i="10"/>
  <c r="D19339" i="10"/>
  <c r="D19338" i="10"/>
  <c r="D19337" i="10"/>
  <c r="D19336" i="10"/>
  <c r="D19335" i="10"/>
  <c r="D19334" i="10"/>
  <c r="D19333" i="10"/>
  <c r="D19332" i="10"/>
  <c r="D19331" i="10"/>
  <c r="D19330" i="10"/>
  <c r="D19329" i="10"/>
  <c r="D19328" i="10"/>
  <c r="D19327" i="10"/>
  <c r="D19326" i="10"/>
  <c r="D19325" i="10"/>
  <c r="D19324" i="10"/>
  <c r="D19323" i="10"/>
  <c r="D19322" i="10"/>
  <c r="D19321" i="10"/>
  <c r="D19320" i="10"/>
  <c r="D19319" i="10"/>
  <c r="D19318" i="10"/>
  <c r="D19317" i="10"/>
  <c r="D19316" i="10"/>
  <c r="D19315" i="10"/>
  <c r="D19314" i="10"/>
  <c r="D19313" i="10"/>
  <c r="D19312" i="10"/>
  <c r="D19311" i="10"/>
  <c r="D19310" i="10"/>
  <c r="D19309" i="10"/>
  <c r="D19308" i="10"/>
  <c r="D19307" i="10"/>
  <c r="D19306" i="10"/>
  <c r="D19305" i="10"/>
  <c r="D19304" i="10"/>
  <c r="D19303" i="10"/>
  <c r="D19302" i="10"/>
  <c r="D19301" i="10"/>
  <c r="D19300" i="10"/>
  <c r="D19299" i="10"/>
  <c r="D19298" i="10"/>
  <c r="D19297" i="10"/>
  <c r="D19296" i="10"/>
  <c r="D19295" i="10"/>
  <c r="D19294" i="10"/>
  <c r="D19293" i="10"/>
  <c r="D19292" i="10"/>
  <c r="D19291" i="10"/>
  <c r="D19290" i="10"/>
  <c r="D19289" i="10"/>
  <c r="D19288" i="10"/>
  <c r="D19287" i="10"/>
  <c r="D19286" i="10"/>
  <c r="D19285" i="10"/>
  <c r="D19284" i="10"/>
  <c r="D19283" i="10"/>
  <c r="D19282" i="10"/>
  <c r="D19281" i="10"/>
  <c r="D19280" i="10"/>
  <c r="D19279" i="10"/>
  <c r="D19278" i="10"/>
  <c r="D19277" i="10"/>
  <c r="D19276" i="10"/>
  <c r="D19275" i="10"/>
  <c r="D19274" i="10"/>
  <c r="D19273" i="10"/>
  <c r="D19272" i="10"/>
  <c r="D19271" i="10"/>
  <c r="D19270" i="10"/>
  <c r="D19269" i="10"/>
  <c r="D19268" i="10"/>
  <c r="D19267" i="10"/>
  <c r="D19266" i="10"/>
  <c r="D19265" i="10"/>
  <c r="D19264" i="10"/>
  <c r="D19263" i="10"/>
  <c r="D19262" i="10"/>
  <c r="D19261" i="10"/>
  <c r="D19260" i="10"/>
  <c r="D19259" i="10"/>
  <c r="D19258" i="10"/>
  <c r="D19257" i="10"/>
  <c r="D19256" i="10"/>
  <c r="D19255" i="10"/>
  <c r="D19254" i="10"/>
  <c r="D19253" i="10"/>
  <c r="D19252" i="10"/>
  <c r="D19251" i="10"/>
  <c r="D19250" i="10"/>
  <c r="D19249" i="10"/>
  <c r="D19248" i="10"/>
  <c r="D19247" i="10"/>
  <c r="D19246" i="10"/>
  <c r="D19245" i="10"/>
  <c r="D19244" i="10"/>
  <c r="D19243" i="10"/>
  <c r="D19242" i="10"/>
  <c r="D19241" i="10"/>
  <c r="D19240" i="10"/>
  <c r="D19239" i="10"/>
  <c r="D19238" i="10"/>
  <c r="D19237" i="10"/>
  <c r="D19236" i="10"/>
  <c r="D19235" i="10"/>
  <c r="D19234" i="10"/>
  <c r="D19233" i="10"/>
  <c r="D19232" i="10"/>
  <c r="D19231" i="10"/>
  <c r="D19230" i="10"/>
  <c r="D19229" i="10"/>
  <c r="D19228" i="10"/>
  <c r="D19227" i="10"/>
  <c r="D19226" i="10"/>
  <c r="D19225" i="10"/>
  <c r="D19224" i="10"/>
  <c r="D19223" i="10"/>
  <c r="D19222" i="10"/>
  <c r="D19221" i="10"/>
  <c r="D19220" i="10"/>
  <c r="D19219" i="10"/>
  <c r="D19218" i="10"/>
  <c r="D19217" i="10"/>
  <c r="D19216" i="10"/>
  <c r="D19215" i="10"/>
  <c r="D19214" i="10"/>
  <c r="D19213" i="10"/>
  <c r="D19212" i="10"/>
  <c r="D19211" i="10"/>
  <c r="D19210" i="10"/>
  <c r="D19209" i="10"/>
  <c r="D19208" i="10"/>
  <c r="D19207" i="10"/>
  <c r="D19206" i="10"/>
  <c r="D19205" i="10"/>
  <c r="D19204" i="10"/>
  <c r="D19203" i="10"/>
  <c r="D19202" i="10"/>
  <c r="D19201" i="10"/>
  <c r="D19200" i="10"/>
  <c r="D19199" i="10"/>
  <c r="D19198" i="10"/>
  <c r="D19197" i="10"/>
  <c r="D19196" i="10"/>
  <c r="D19195" i="10"/>
  <c r="D19194" i="10"/>
  <c r="D19193" i="10"/>
  <c r="D19192" i="10"/>
  <c r="D19191" i="10"/>
  <c r="D19190" i="10"/>
  <c r="D19189" i="10"/>
  <c r="D19188" i="10"/>
  <c r="D19187" i="10"/>
  <c r="D19186" i="10"/>
  <c r="D19185" i="10"/>
  <c r="D19184" i="10"/>
  <c r="D19183" i="10"/>
  <c r="D19182" i="10"/>
  <c r="D19181" i="10"/>
  <c r="D19180" i="10"/>
  <c r="D19179" i="10"/>
  <c r="D19178" i="10"/>
  <c r="D19177" i="10"/>
  <c r="D19176" i="10"/>
  <c r="D19175" i="10"/>
  <c r="D19174" i="10"/>
  <c r="D19173" i="10"/>
  <c r="D19172" i="10"/>
  <c r="D19171" i="10"/>
  <c r="D19170" i="10"/>
  <c r="D19169" i="10"/>
  <c r="D19168" i="10"/>
  <c r="D19167" i="10"/>
  <c r="D19166" i="10"/>
  <c r="D19165" i="10"/>
  <c r="D19164" i="10"/>
  <c r="D19163" i="10"/>
  <c r="D19162" i="10"/>
  <c r="D19161" i="10"/>
  <c r="D19160" i="10"/>
  <c r="D19159" i="10"/>
  <c r="D19158" i="10"/>
  <c r="D19157" i="10"/>
  <c r="D19156" i="10"/>
  <c r="D19155" i="10"/>
  <c r="D19154" i="10"/>
  <c r="D19153" i="10"/>
  <c r="D19152" i="10"/>
  <c r="D19151" i="10"/>
  <c r="D19150" i="10"/>
  <c r="D19149" i="10"/>
  <c r="D19148" i="10"/>
  <c r="D19147" i="10"/>
  <c r="D19146" i="10"/>
  <c r="D19145" i="10"/>
  <c r="D19144" i="10"/>
  <c r="D19143" i="10"/>
  <c r="D19142" i="10"/>
  <c r="D19141" i="10"/>
  <c r="D19140" i="10"/>
  <c r="D19139" i="10"/>
  <c r="D19138" i="10"/>
  <c r="D19137" i="10"/>
  <c r="D19136" i="10"/>
  <c r="D19135" i="10"/>
  <c r="D19134" i="10"/>
  <c r="D19133" i="10"/>
  <c r="D19132" i="10"/>
  <c r="D19131" i="10"/>
  <c r="D19130" i="10"/>
  <c r="D19129" i="10"/>
  <c r="D19128" i="10"/>
  <c r="D19127" i="10"/>
  <c r="D19126" i="10"/>
  <c r="D19125" i="10"/>
  <c r="D19124" i="10"/>
  <c r="D19123" i="10"/>
  <c r="D19122" i="10"/>
  <c r="D19121" i="10"/>
  <c r="D19120" i="10"/>
  <c r="D19119" i="10"/>
  <c r="D19118" i="10"/>
  <c r="D19117" i="10"/>
  <c r="D19116" i="10"/>
  <c r="D19115" i="10"/>
  <c r="D19114" i="10"/>
  <c r="D19113" i="10"/>
  <c r="D19112" i="10"/>
  <c r="D19111" i="10"/>
  <c r="D19110" i="10"/>
  <c r="D19109" i="10"/>
  <c r="D19108" i="10"/>
  <c r="D19107" i="10"/>
  <c r="D19106" i="10"/>
  <c r="D19105" i="10"/>
  <c r="D19104" i="10"/>
  <c r="D19103" i="10"/>
  <c r="D19102" i="10"/>
  <c r="D19101" i="10"/>
  <c r="D19100" i="10"/>
  <c r="D19099" i="10"/>
  <c r="D19098" i="10"/>
  <c r="D19097" i="10"/>
  <c r="D19096" i="10"/>
  <c r="D19095" i="10"/>
  <c r="D19094" i="10"/>
  <c r="D19093" i="10"/>
  <c r="D19092" i="10"/>
  <c r="D19091" i="10"/>
  <c r="D19090" i="10"/>
  <c r="D19089" i="10"/>
  <c r="D19088" i="10"/>
  <c r="D19087" i="10"/>
  <c r="D19086" i="10"/>
  <c r="D19085" i="10"/>
  <c r="D19084" i="10"/>
  <c r="D19083" i="10"/>
  <c r="D19082" i="10"/>
  <c r="D19081" i="10"/>
  <c r="D19080" i="10"/>
  <c r="D19079" i="10"/>
  <c r="D19078" i="10"/>
  <c r="D19077" i="10"/>
  <c r="D19076" i="10"/>
  <c r="D19075" i="10"/>
  <c r="D19074" i="10"/>
  <c r="D19073" i="10"/>
  <c r="D19072" i="10"/>
  <c r="D19071" i="10"/>
  <c r="D19070" i="10"/>
  <c r="D19069" i="10"/>
  <c r="D19068" i="10"/>
  <c r="D19067" i="10"/>
  <c r="D19066" i="10"/>
  <c r="D19065" i="10"/>
  <c r="D19064" i="10"/>
  <c r="D19063" i="10"/>
  <c r="D19062" i="10"/>
  <c r="D19061" i="10"/>
  <c r="D19060" i="10"/>
  <c r="D19059" i="10"/>
  <c r="D19058" i="10"/>
  <c r="D19057" i="10"/>
  <c r="D19056" i="10"/>
  <c r="D19055" i="10"/>
  <c r="D19054" i="10"/>
  <c r="D19053" i="10"/>
  <c r="D19052" i="10"/>
  <c r="D19051" i="10"/>
  <c r="D19050" i="10"/>
  <c r="D19049" i="10"/>
  <c r="D19048" i="10"/>
  <c r="D19047" i="10"/>
  <c r="D19046" i="10"/>
  <c r="D19045" i="10"/>
  <c r="D19044" i="10"/>
  <c r="D19043" i="10"/>
  <c r="D19042" i="10"/>
  <c r="D19041" i="10"/>
  <c r="D19040" i="10"/>
  <c r="D19039" i="10"/>
  <c r="D19038" i="10"/>
  <c r="D19037" i="10"/>
  <c r="D19036" i="10"/>
  <c r="D19035" i="10"/>
  <c r="D19034" i="10"/>
  <c r="D19033" i="10"/>
  <c r="D19032" i="10"/>
  <c r="D19031" i="10"/>
  <c r="D19030" i="10"/>
  <c r="D19029" i="10"/>
  <c r="D19028" i="10"/>
  <c r="D19027" i="10"/>
  <c r="D19026" i="10"/>
  <c r="D19025" i="10"/>
  <c r="D19024" i="10"/>
  <c r="D19023" i="10"/>
  <c r="D19022" i="10"/>
  <c r="D19021" i="10"/>
  <c r="D19020" i="10"/>
  <c r="D19019" i="10"/>
  <c r="D19018" i="10"/>
  <c r="D19017" i="10"/>
  <c r="D19016" i="10"/>
  <c r="D19015" i="10"/>
  <c r="D19014" i="10"/>
  <c r="D19013" i="10"/>
  <c r="D19012" i="10"/>
  <c r="D19011" i="10"/>
  <c r="D19010" i="10"/>
  <c r="D19009" i="10"/>
  <c r="D19008" i="10"/>
  <c r="D19007" i="10"/>
  <c r="D19006" i="10"/>
  <c r="D19005" i="10"/>
  <c r="D19004" i="10"/>
  <c r="D19003" i="10"/>
  <c r="D19002" i="10"/>
  <c r="D19001" i="10"/>
  <c r="D19000" i="10"/>
  <c r="D18999" i="10"/>
  <c r="D18998" i="10"/>
  <c r="D18997" i="10"/>
  <c r="D18996" i="10"/>
  <c r="D18995" i="10"/>
  <c r="D18994" i="10"/>
  <c r="D18993" i="10"/>
  <c r="D18992" i="10"/>
  <c r="D18991" i="10"/>
  <c r="D18990" i="10"/>
  <c r="D18989" i="10"/>
  <c r="D18988" i="10"/>
  <c r="D18987" i="10"/>
  <c r="D18986" i="10"/>
  <c r="D18985" i="10"/>
  <c r="D18984" i="10"/>
  <c r="D18983" i="10"/>
  <c r="D18982" i="10"/>
  <c r="D18981" i="10"/>
  <c r="D18980" i="10"/>
  <c r="D18979" i="10"/>
  <c r="D18978" i="10"/>
  <c r="D18977" i="10"/>
  <c r="D18976" i="10"/>
  <c r="D18975" i="10"/>
  <c r="D18974" i="10"/>
  <c r="D18973" i="10"/>
  <c r="D18972" i="10"/>
  <c r="D18971" i="10"/>
  <c r="D18970" i="10"/>
  <c r="D18969" i="10"/>
  <c r="D18968" i="10"/>
  <c r="D18967" i="10"/>
  <c r="D18966" i="10"/>
  <c r="D18965" i="10"/>
  <c r="D18964" i="10"/>
  <c r="D18963" i="10"/>
  <c r="D18962" i="10"/>
  <c r="D18961" i="10"/>
  <c r="D18960" i="10"/>
  <c r="D18959" i="10"/>
  <c r="D18958" i="10"/>
  <c r="D18957" i="10"/>
  <c r="D18956" i="10"/>
  <c r="D18955" i="10"/>
  <c r="D18954" i="10"/>
  <c r="D18953" i="10"/>
  <c r="D18952" i="10"/>
  <c r="D18951" i="10"/>
  <c r="D18950" i="10"/>
  <c r="D18949" i="10"/>
  <c r="D18948" i="10"/>
  <c r="D18947" i="10"/>
  <c r="D18946" i="10"/>
  <c r="D18945" i="10"/>
  <c r="D18944" i="10"/>
  <c r="D18943" i="10"/>
  <c r="D18942" i="10"/>
  <c r="D18941" i="10"/>
  <c r="D18940" i="10"/>
  <c r="D18939" i="10"/>
  <c r="D18938" i="10"/>
  <c r="D18937" i="10"/>
  <c r="D18936" i="10"/>
  <c r="D18935" i="10"/>
  <c r="D18934" i="10"/>
  <c r="D18933" i="10"/>
  <c r="D18932" i="10"/>
  <c r="D18931" i="10"/>
  <c r="D18930" i="10"/>
  <c r="D18929" i="10"/>
  <c r="D18928" i="10"/>
  <c r="D18927" i="10"/>
  <c r="D18926" i="10"/>
  <c r="D18925" i="10"/>
  <c r="D18924" i="10"/>
  <c r="D18923" i="10"/>
  <c r="D18922" i="10"/>
  <c r="D18921" i="10"/>
  <c r="D18920" i="10"/>
  <c r="D18919" i="10"/>
  <c r="D18918" i="10"/>
  <c r="D18917" i="10"/>
  <c r="D18916" i="10"/>
  <c r="D18915" i="10"/>
  <c r="D18914" i="10"/>
  <c r="D18913" i="10"/>
  <c r="D18912" i="10"/>
  <c r="D18911" i="10"/>
  <c r="D18910" i="10"/>
  <c r="D18909" i="10"/>
  <c r="D18908" i="10"/>
  <c r="D18907" i="10"/>
  <c r="D18906" i="10"/>
  <c r="D18905" i="10"/>
  <c r="D18904" i="10"/>
  <c r="D18903" i="10"/>
  <c r="D18902" i="10"/>
  <c r="D18901" i="10"/>
  <c r="D18900" i="10"/>
  <c r="D18899" i="10"/>
  <c r="D18898" i="10"/>
  <c r="D18897" i="10"/>
  <c r="D18896" i="10"/>
  <c r="D18895" i="10"/>
  <c r="D18894" i="10"/>
  <c r="D18893" i="10"/>
  <c r="D18892" i="10"/>
  <c r="D18891" i="10"/>
  <c r="D18890" i="10"/>
  <c r="D18889" i="10"/>
  <c r="D18888" i="10"/>
  <c r="D18887" i="10"/>
  <c r="D18886" i="10"/>
  <c r="D18885" i="10"/>
  <c r="D18884" i="10"/>
  <c r="D18883" i="10"/>
  <c r="D18882" i="10"/>
  <c r="D18881" i="10"/>
  <c r="D18880" i="10"/>
  <c r="D18879" i="10"/>
  <c r="D18878" i="10"/>
  <c r="D18877" i="10"/>
  <c r="D18876" i="10"/>
  <c r="D18875" i="10"/>
  <c r="D18874" i="10"/>
  <c r="D18873" i="10"/>
  <c r="D18872" i="10"/>
  <c r="D18871" i="10"/>
  <c r="D18870" i="10"/>
  <c r="D18869" i="10"/>
  <c r="D18868" i="10"/>
  <c r="D18867" i="10"/>
  <c r="D18866" i="10"/>
  <c r="D18865" i="10"/>
  <c r="D18864" i="10"/>
  <c r="D18863" i="10"/>
  <c r="D18862" i="10"/>
  <c r="D18861" i="10"/>
  <c r="D18860" i="10"/>
  <c r="D18859" i="10"/>
  <c r="D18858" i="10"/>
  <c r="D18857" i="10"/>
  <c r="D18856" i="10"/>
  <c r="D18855" i="10"/>
  <c r="D18854" i="10"/>
  <c r="D18853" i="10"/>
  <c r="D18852" i="10"/>
  <c r="D18851" i="10"/>
  <c r="D18850" i="10"/>
  <c r="D18849" i="10"/>
  <c r="D18848" i="10"/>
  <c r="D18847" i="10"/>
  <c r="D18846" i="10"/>
  <c r="D18845" i="10"/>
  <c r="D18844" i="10"/>
  <c r="D18843" i="10"/>
  <c r="D18842" i="10"/>
  <c r="D18841" i="10"/>
  <c r="D18840" i="10"/>
  <c r="D18839" i="10"/>
  <c r="D18838" i="10"/>
  <c r="D18837" i="10"/>
  <c r="D18836" i="10"/>
  <c r="D18835" i="10"/>
  <c r="D18834" i="10"/>
  <c r="D18833" i="10"/>
  <c r="D18832" i="10"/>
  <c r="D18831" i="10"/>
  <c r="D18830" i="10"/>
  <c r="D18829" i="10"/>
  <c r="D18828" i="10"/>
  <c r="D18827" i="10"/>
  <c r="D18826" i="10"/>
  <c r="D18825" i="10"/>
  <c r="D18824" i="10"/>
  <c r="D18823" i="10"/>
  <c r="D18822" i="10"/>
  <c r="D18821" i="10"/>
  <c r="D18820" i="10"/>
  <c r="D18819" i="10"/>
  <c r="D18818" i="10"/>
  <c r="D18817" i="10"/>
  <c r="D18816" i="10"/>
  <c r="D18815" i="10"/>
  <c r="D18814" i="10"/>
  <c r="D18813" i="10"/>
  <c r="D18812" i="10"/>
  <c r="D18811" i="10"/>
  <c r="D18810" i="10"/>
  <c r="D18809" i="10"/>
  <c r="D18808" i="10"/>
  <c r="D18807" i="10"/>
  <c r="D18806" i="10"/>
  <c r="D18805" i="10"/>
  <c r="D18804" i="10"/>
  <c r="D18803" i="10"/>
  <c r="D18802" i="10"/>
  <c r="D18801" i="10"/>
  <c r="D18800" i="10"/>
  <c r="D18799" i="10"/>
  <c r="D18798" i="10"/>
  <c r="D18797" i="10"/>
  <c r="D18796" i="10"/>
  <c r="D18795" i="10"/>
  <c r="D18794" i="10"/>
  <c r="D18793" i="10"/>
  <c r="D18792" i="10"/>
  <c r="D18791" i="10"/>
  <c r="D18790" i="10"/>
  <c r="D18789" i="10"/>
  <c r="D18788" i="10"/>
  <c r="D18787" i="10"/>
  <c r="D18786" i="10"/>
  <c r="D18785" i="10"/>
  <c r="D18784" i="10"/>
  <c r="D18783" i="10"/>
  <c r="D18782" i="10"/>
  <c r="D18781" i="10"/>
  <c r="D18780" i="10"/>
  <c r="D18779" i="10"/>
  <c r="D18778" i="10"/>
  <c r="D18777" i="10"/>
  <c r="D18776" i="10"/>
  <c r="D18775" i="10"/>
  <c r="D18774" i="10"/>
  <c r="D18773" i="10"/>
  <c r="D18772" i="10"/>
  <c r="D18771" i="10"/>
  <c r="D18770" i="10"/>
  <c r="D18769" i="10"/>
  <c r="D18768" i="10"/>
  <c r="D18767" i="10"/>
  <c r="D18766" i="10"/>
  <c r="D18765" i="10"/>
  <c r="D18764" i="10"/>
  <c r="D18763" i="10"/>
  <c r="D18762" i="10"/>
  <c r="D18761" i="10"/>
  <c r="D18760" i="10"/>
  <c r="D18759" i="10"/>
  <c r="D18758" i="10"/>
  <c r="D18757" i="10"/>
  <c r="D18756" i="10"/>
  <c r="D18755" i="10"/>
  <c r="D18754" i="10"/>
  <c r="D18753" i="10"/>
  <c r="D18752" i="10"/>
  <c r="D18751" i="10"/>
  <c r="D18750" i="10"/>
  <c r="D18749" i="10"/>
  <c r="D18748" i="10"/>
  <c r="D18747" i="10"/>
  <c r="D18746" i="10"/>
  <c r="D18745" i="10"/>
  <c r="D18744" i="10"/>
  <c r="D18743" i="10"/>
  <c r="D18742" i="10"/>
  <c r="D18741" i="10"/>
  <c r="D18740" i="10"/>
  <c r="D18739" i="10"/>
  <c r="D18738" i="10"/>
  <c r="D18737" i="10"/>
  <c r="D18736" i="10"/>
  <c r="D18735" i="10"/>
  <c r="D18734" i="10"/>
  <c r="D18733" i="10"/>
  <c r="D18732" i="10"/>
  <c r="D18731" i="10"/>
  <c r="D18730" i="10"/>
  <c r="D18729" i="10"/>
  <c r="D18728" i="10"/>
  <c r="D18727" i="10"/>
  <c r="D18726" i="10"/>
  <c r="D18725" i="10"/>
  <c r="D18724" i="10"/>
  <c r="D18723" i="10"/>
  <c r="D18722" i="10"/>
  <c r="D18721" i="10"/>
  <c r="D18720" i="10"/>
  <c r="D18719" i="10"/>
  <c r="D18718" i="10"/>
  <c r="D18717" i="10"/>
  <c r="D18716" i="10"/>
  <c r="D18715" i="10"/>
  <c r="D18714" i="10"/>
  <c r="D18713" i="10"/>
  <c r="D18712" i="10"/>
  <c r="D18711" i="10"/>
  <c r="D18710" i="10"/>
  <c r="D18709" i="10"/>
  <c r="D18708" i="10"/>
  <c r="D18707" i="10"/>
  <c r="D18706" i="10"/>
  <c r="D18705" i="10"/>
  <c r="D18704" i="10"/>
  <c r="D18703" i="10"/>
  <c r="D18702" i="10"/>
  <c r="D18701" i="10"/>
  <c r="D18700" i="10"/>
  <c r="D18699" i="10"/>
  <c r="D18698" i="10"/>
  <c r="D18697" i="10"/>
  <c r="D18696" i="10"/>
  <c r="D18695" i="10"/>
  <c r="D18694" i="10"/>
  <c r="D18693" i="10"/>
  <c r="D18692" i="10"/>
  <c r="D18691" i="10"/>
  <c r="D18690" i="10"/>
  <c r="D18689" i="10"/>
  <c r="D18688" i="10"/>
  <c r="D18687" i="10"/>
  <c r="D18686" i="10"/>
  <c r="D18685" i="10"/>
  <c r="D18684" i="10"/>
  <c r="D18683" i="10"/>
  <c r="D18682" i="10"/>
  <c r="D18681" i="10"/>
  <c r="D18680" i="10"/>
  <c r="D18679" i="10"/>
  <c r="D18678" i="10"/>
  <c r="D18677" i="10"/>
  <c r="D18676" i="10"/>
  <c r="D18675" i="10"/>
  <c r="D18674" i="10"/>
  <c r="D18673" i="10"/>
  <c r="D18672" i="10"/>
  <c r="D18671" i="10"/>
  <c r="D18670" i="10"/>
  <c r="D18669" i="10"/>
  <c r="D18668" i="10"/>
  <c r="D18667" i="10"/>
  <c r="D18666" i="10"/>
  <c r="D18665" i="10"/>
  <c r="D18664" i="10"/>
  <c r="D18663" i="10"/>
  <c r="D18662" i="10"/>
  <c r="D18661" i="10"/>
  <c r="D18660" i="10"/>
  <c r="D18659" i="10"/>
  <c r="D18658" i="10"/>
  <c r="D18657" i="10"/>
  <c r="D18656" i="10"/>
  <c r="D18655" i="10"/>
  <c r="D18654" i="10"/>
  <c r="D18653" i="10"/>
  <c r="D18652" i="10"/>
  <c r="D18651" i="10"/>
  <c r="D18650" i="10"/>
  <c r="D18649" i="10"/>
  <c r="D18648" i="10"/>
  <c r="D18647" i="10"/>
  <c r="D18646" i="10"/>
  <c r="D18645" i="10"/>
  <c r="D18644" i="10"/>
  <c r="D18643" i="10"/>
  <c r="D18642" i="10"/>
  <c r="D18641" i="10"/>
  <c r="D18640" i="10"/>
  <c r="D18639" i="10"/>
  <c r="D18638" i="10"/>
  <c r="D18637" i="10"/>
  <c r="D18636" i="10"/>
  <c r="D18635" i="10"/>
  <c r="D18634" i="10"/>
  <c r="D18633" i="10"/>
  <c r="D18632" i="10"/>
  <c r="D18631" i="10"/>
  <c r="D18630" i="10"/>
  <c r="D18629" i="10"/>
  <c r="D18628" i="10"/>
  <c r="D18627" i="10"/>
  <c r="D18626" i="10"/>
  <c r="D18625" i="10"/>
  <c r="D18624" i="10"/>
  <c r="D18623" i="10"/>
  <c r="D18622" i="10"/>
  <c r="D18621" i="10"/>
  <c r="D18620" i="10"/>
  <c r="D18619" i="10"/>
  <c r="D18618" i="10"/>
  <c r="D18617" i="10"/>
  <c r="D18616" i="10"/>
  <c r="D18615" i="10"/>
  <c r="D18614" i="10"/>
  <c r="D18613" i="10"/>
  <c r="D18612" i="10"/>
  <c r="D18611" i="10"/>
  <c r="D18610" i="10"/>
  <c r="D18609" i="10"/>
  <c r="D18608" i="10"/>
  <c r="D18607" i="10"/>
  <c r="D18606" i="10"/>
  <c r="D18605" i="10"/>
  <c r="D18604" i="10"/>
  <c r="D18603" i="10"/>
  <c r="D18602" i="10"/>
  <c r="D18601" i="10"/>
  <c r="D18600" i="10"/>
  <c r="D18599" i="10"/>
  <c r="D18598" i="10"/>
  <c r="D18597" i="10"/>
  <c r="D18596" i="10"/>
  <c r="D18595" i="10"/>
  <c r="D18594" i="10"/>
  <c r="D18593" i="10"/>
  <c r="D18592" i="10"/>
  <c r="D18591" i="10"/>
  <c r="D18590" i="10"/>
  <c r="D18589" i="10"/>
  <c r="D18588" i="10"/>
  <c r="D18587" i="10"/>
  <c r="D18586" i="10"/>
  <c r="D18585" i="10"/>
  <c r="D18584" i="10"/>
  <c r="D18583" i="10"/>
  <c r="D18582" i="10"/>
  <c r="D18581" i="10"/>
  <c r="D18580" i="10"/>
  <c r="D18579" i="10"/>
  <c r="D18578" i="10"/>
  <c r="D18577" i="10"/>
  <c r="D18576" i="10"/>
  <c r="D18575" i="10"/>
  <c r="D18574" i="10"/>
  <c r="D18573" i="10"/>
  <c r="D18572" i="10"/>
  <c r="D18571" i="10"/>
  <c r="D18570" i="10"/>
  <c r="D18569" i="10"/>
  <c r="D18568" i="10"/>
  <c r="D18567" i="10"/>
  <c r="D18566" i="10"/>
  <c r="D18565" i="10"/>
  <c r="D18564" i="10"/>
  <c r="D18563" i="10"/>
  <c r="D18562" i="10"/>
  <c r="D18561" i="10"/>
  <c r="D18560" i="10"/>
  <c r="D18559" i="10"/>
  <c r="D18558" i="10"/>
  <c r="D18557" i="10"/>
  <c r="D18556" i="10"/>
  <c r="D18555" i="10"/>
  <c r="D18554" i="10"/>
  <c r="D18553" i="10"/>
  <c r="D18552" i="10"/>
  <c r="D18551" i="10"/>
  <c r="D18550" i="10"/>
  <c r="D18549" i="10"/>
  <c r="D18548" i="10"/>
  <c r="D18547" i="10"/>
  <c r="D18546" i="10"/>
  <c r="D18545" i="10"/>
  <c r="D18544" i="10"/>
  <c r="D18543" i="10"/>
  <c r="D18542" i="10"/>
  <c r="D18541" i="10"/>
  <c r="D18540" i="10"/>
  <c r="D18539" i="10"/>
  <c r="D18538" i="10"/>
  <c r="D18537" i="10"/>
  <c r="D18536" i="10"/>
  <c r="D18535" i="10"/>
  <c r="D18534" i="10"/>
  <c r="D18533" i="10"/>
  <c r="D18532" i="10"/>
  <c r="D18531" i="10"/>
  <c r="D18530" i="10"/>
  <c r="D18529" i="10"/>
  <c r="D18528" i="10"/>
  <c r="D18527" i="10"/>
  <c r="D18526" i="10"/>
  <c r="D18525" i="10"/>
  <c r="D18524" i="10"/>
  <c r="D18523" i="10"/>
  <c r="D18522" i="10"/>
  <c r="D18521" i="10"/>
  <c r="D18520" i="10"/>
  <c r="D18519" i="10"/>
  <c r="D18518" i="10"/>
  <c r="D18517" i="10"/>
  <c r="D18516" i="10"/>
  <c r="D18515" i="10"/>
  <c r="D18514" i="10"/>
  <c r="D18513" i="10"/>
  <c r="D18512" i="10"/>
  <c r="D18511" i="10"/>
  <c r="D18510" i="10"/>
  <c r="D18509" i="10"/>
  <c r="D18508" i="10"/>
  <c r="D18507" i="10"/>
  <c r="D18506" i="10"/>
  <c r="D18505" i="10"/>
  <c r="D18504" i="10"/>
  <c r="D18503" i="10"/>
  <c r="D18502" i="10"/>
  <c r="D18501" i="10"/>
  <c r="D18500" i="10"/>
  <c r="D18499" i="10"/>
  <c r="D18498" i="10"/>
  <c r="D18497" i="10"/>
  <c r="D18496" i="10"/>
  <c r="D18495" i="10"/>
  <c r="D18494" i="10"/>
  <c r="D18493" i="10"/>
  <c r="D18492" i="10"/>
  <c r="D18491" i="10"/>
  <c r="D18490" i="10"/>
  <c r="D18489" i="10"/>
  <c r="D18488" i="10"/>
  <c r="D18487" i="10"/>
  <c r="D18486" i="10"/>
  <c r="D18485" i="10"/>
  <c r="D18484" i="10"/>
  <c r="D18483" i="10"/>
  <c r="D18482" i="10"/>
  <c r="D18481" i="10"/>
  <c r="D18480" i="10"/>
  <c r="D18479" i="10"/>
  <c r="D18478" i="10"/>
  <c r="D18477" i="10"/>
  <c r="D18476" i="10"/>
  <c r="D18475" i="10"/>
  <c r="D18474" i="10"/>
  <c r="D18473" i="10"/>
  <c r="D18472" i="10"/>
  <c r="D18471" i="10"/>
  <c r="D18470" i="10"/>
  <c r="D18469" i="10"/>
  <c r="D18468" i="10"/>
  <c r="D18467" i="10"/>
  <c r="D18466" i="10"/>
  <c r="D18465" i="10"/>
  <c r="D18464" i="10"/>
  <c r="D18463" i="10"/>
  <c r="D18462" i="10"/>
  <c r="D18461" i="10"/>
  <c r="D18460" i="10"/>
  <c r="D18459" i="10"/>
  <c r="D18458" i="10"/>
  <c r="D18457" i="10"/>
  <c r="D18456" i="10"/>
  <c r="D18455" i="10"/>
  <c r="D18454" i="10"/>
  <c r="D18453" i="10"/>
  <c r="D18452" i="10"/>
  <c r="D18451" i="10"/>
  <c r="D18450" i="10"/>
  <c r="D18449" i="10"/>
  <c r="D18448" i="10"/>
  <c r="D18447" i="10"/>
  <c r="D18446" i="10"/>
  <c r="D18445" i="10"/>
  <c r="D18444" i="10"/>
  <c r="D18443" i="10"/>
  <c r="D18442" i="10"/>
  <c r="D18441" i="10"/>
  <c r="D18440" i="10"/>
  <c r="D18439" i="10"/>
  <c r="D18438" i="10"/>
  <c r="D18437" i="10"/>
  <c r="D18436" i="10"/>
  <c r="D18435" i="10"/>
  <c r="D18434" i="10"/>
  <c r="D18433" i="10"/>
  <c r="D18432" i="10"/>
  <c r="D18431" i="10"/>
  <c r="D18430" i="10"/>
  <c r="D18429" i="10"/>
  <c r="D18428" i="10"/>
  <c r="D18427" i="10"/>
  <c r="D18426" i="10"/>
  <c r="D18425" i="10"/>
  <c r="D18424" i="10"/>
  <c r="D18423" i="10"/>
  <c r="D18422" i="10"/>
  <c r="D18421" i="10"/>
  <c r="D18420" i="10"/>
  <c r="D18419" i="10"/>
  <c r="D18418" i="10"/>
  <c r="D18417" i="10"/>
  <c r="D18416" i="10"/>
  <c r="D18415" i="10"/>
  <c r="D18414" i="10"/>
  <c r="D18413" i="10"/>
  <c r="D18412" i="10"/>
  <c r="D18411" i="10"/>
  <c r="D18410" i="10"/>
  <c r="D18409" i="10"/>
  <c r="D18408" i="10"/>
  <c r="D18407" i="10"/>
  <c r="D18406" i="10"/>
  <c r="D18405" i="10"/>
  <c r="D18404" i="10"/>
  <c r="D18403" i="10"/>
  <c r="D18402" i="10"/>
  <c r="D18401" i="10"/>
  <c r="D18400" i="10"/>
  <c r="D18399" i="10"/>
  <c r="D18398" i="10"/>
  <c r="D18397" i="10"/>
  <c r="D18396" i="10"/>
  <c r="D18395" i="10"/>
  <c r="D18394" i="10"/>
  <c r="D18393" i="10"/>
  <c r="D18392" i="10"/>
  <c r="D18391" i="10"/>
  <c r="D18390" i="10"/>
  <c r="D18389" i="10"/>
  <c r="D18388" i="10"/>
  <c r="D18387" i="10"/>
  <c r="D18386" i="10"/>
  <c r="D18385" i="10"/>
  <c r="D18384" i="10"/>
  <c r="D18383" i="10"/>
  <c r="D18382" i="10"/>
  <c r="D18381" i="10"/>
  <c r="D18380" i="10"/>
  <c r="D18379" i="10"/>
  <c r="D18378" i="10"/>
  <c r="D18377" i="10"/>
  <c r="D18376" i="10"/>
  <c r="D18375" i="10"/>
  <c r="D18374" i="10"/>
  <c r="D18373" i="10"/>
  <c r="D18372" i="10"/>
  <c r="D18371" i="10"/>
  <c r="D18370" i="10"/>
  <c r="D18369" i="10"/>
  <c r="D18368" i="10"/>
  <c r="D18367" i="10"/>
  <c r="D18366" i="10"/>
  <c r="D18365" i="10"/>
  <c r="D18364" i="10"/>
  <c r="D18363" i="10"/>
  <c r="D18362" i="10"/>
  <c r="D18361" i="10"/>
  <c r="D18360" i="10"/>
  <c r="D18359" i="10"/>
  <c r="D18358" i="10"/>
  <c r="D18357" i="10"/>
  <c r="D18356" i="10"/>
  <c r="D18355" i="10"/>
  <c r="D18354" i="10"/>
  <c r="D18353" i="10"/>
  <c r="D18352" i="10"/>
  <c r="D18351" i="10"/>
  <c r="D18350" i="10"/>
  <c r="D18349" i="10"/>
  <c r="D18348" i="10"/>
  <c r="D18347" i="10"/>
  <c r="D18346" i="10"/>
  <c r="D18345" i="10"/>
  <c r="D18344" i="10"/>
  <c r="D18343" i="10"/>
  <c r="D18342" i="10"/>
  <c r="D18341" i="10"/>
  <c r="D18340" i="10"/>
  <c r="D18339" i="10"/>
  <c r="D18338" i="10"/>
  <c r="D18337" i="10"/>
  <c r="D18336" i="10"/>
  <c r="D18335" i="10"/>
  <c r="D18334" i="10"/>
  <c r="D18333" i="10"/>
  <c r="D18332" i="10"/>
  <c r="D18331" i="10"/>
  <c r="D18330" i="10"/>
  <c r="D18329" i="10"/>
  <c r="D18328" i="10"/>
  <c r="D18327" i="10"/>
  <c r="D18326" i="10"/>
  <c r="D18325" i="10"/>
  <c r="D18324" i="10"/>
  <c r="D18323" i="10"/>
  <c r="D18322" i="10"/>
  <c r="D18321" i="10"/>
  <c r="D18320" i="10"/>
  <c r="D18319" i="10"/>
  <c r="D18318" i="10"/>
  <c r="D18317" i="10"/>
  <c r="D18316" i="10"/>
  <c r="D18315" i="10"/>
  <c r="D18314" i="10"/>
  <c r="D18313" i="10"/>
  <c r="D18312" i="10"/>
  <c r="D18311" i="10"/>
  <c r="D18310" i="10"/>
  <c r="D18309" i="10"/>
  <c r="D18308" i="10"/>
  <c r="D18307" i="10"/>
  <c r="D18306" i="10"/>
  <c r="D18305" i="10"/>
  <c r="D18304" i="10"/>
  <c r="D18303" i="10"/>
  <c r="D18302" i="10"/>
  <c r="D18301" i="10"/>
  <c r="D18300" i="10"/>
  <c r="D18299" i="10"/>
  <c r="D18298" i="10"/>
  <c r="D18297" i="10"/>
  <c r="D18296" i="10"/>
  <c r="D18295" i="10"/>
  <c r="D18294" i="10"/>
  <c r="D18293" i="10"/>
  <c r="D18292" i="10"/>
  <c r="D18291" i="10"/>
  <c r="D18290" i="10"/>
  <c r="D18289" i="10"/>
  <c r="D18288" i="10"/>
  <c r="D18287" i="10"/>
  <c r="D18286" i="10"/>
  <c r="D18285" i="10"/>
  <c r="D18284" i="10"/>
  <c r="D18283" i="10"/>
  <c r="D18282" i="10"/>
  <c r="D18281" i="10"/>
  <c r="D18280" i="10"/>
  <c r="D18279" i="10"/>
  <c r="D18278" i="10"/>
  <c r="D18277" i="10"/>
  <c r="D18276" i="10"/>
  <c r="D18275" i="10"/>
  <c r="D18274" i="10"/>
  <c r="D18273" i="10"/>
  <c r="D18272" i="10"/>
  <c r="D18271" i="10"/>
  <c r="D18270" i="10"/>
  <c r="D18269" i="10"/>
  <c r="D18268" i="10"/>
  <c r="D18267" i="10"/>
  <c r="D18266" i="10"/>
  <c r="D18265" i="10"/>
  <c r="D18264" i="10"/>
  <c r="D18263" i="10"/>
  <c r="D18262" i="10"/>
  <c r="D18261" i="10"/>
  <c r="D18260" i="10"/>
  <c r="D18259" i="10"/>
  <c r="D18258" i="10"/>
  <c r="D18257" i="10"/>
  <c r="D18256" i="10"/>
  <c r="D18255" i="10"/>
  <c r="D18254" i="10"/>
  <c r="D18253" i="10"/>
  <c r="D18252" i="10"/>
  <c r="D18251" i="10"/>
  <c r="D18250" i="10"/>
  <c r="D18249" i="10"/>
  <c r="D18248" i="10"/>
  <c r="D18247" i="10"/>
  <c r="D18246" i="10"/>
  <c r="D18245" i="10"/>
  <c r="D18244" i="10"/>
  <c r="D18243" i="10"/>
  <c r="D18242" i="10"/>
  <c r="D18241" i="10"/>
  <c r="D18240" i="10"/>
  <c r="D18239" i="10"/>
  <c r="D18238" i="10"/>
  <c r="D18237" i="10"/>
  <c r="D18236" i="10"/>
  <c r="D18235" i="10"/>
  <c r="D18234" i="10"/>
  <c r="D18233" i="10"/>
  <c r="D18232" i="10"/>
  <c r="D18231" i="10"/>
  <c r="D18230" i="10"/>
  <c r="D18229" i="10"/>
  <c r="D18228" i="10"/>
  <c r="D18227" i="10"/>
  <c r="D18226" i="10"/>
  <c r="D18225" i="10"/>
  <c r="D18224" i="10"/>
  <c r="D18223" i="10"/>
  <c r="D18222" i="10"/>
  <c r="D18221" i="10"/>
  <c r="D18220" i="10"/>
  <c r="D18219" i="10"/>
  <c r="D18218" i="10"/>
  <c r="D18217" i="10"/>
  <c r="D18216" i="10"/>
  <c r="D18215" i="10"/>
  <c r="D18214" i="10"/>
  <c r="D18213" i="10"/>
  <c r="D18212" i="10"/>
  <c r="D18211" i="10"/>
  <c r="D18210" i="10"/>
  <c r="D18209" i="10"/>
  <c r="D18208" i="10"/>
  <c r="D18207" i="10"/>
  <c r="D18206" i="10"/>
  <c r="D18205" i="10"/>
  <c r="D18204" i="10"/>
  <c r="D18203" i="10"/>
  <c r="D18202" i="10"/>
  <c r="D18201" i="10"/>
  <c r="D18200" i="10"/>
  <c r="D18199" i="10"/>
  <c r="D18198" i="10"/>
  <c r="D18197" i="10"/>
  <c r="D18196" i="10"/>
  <c r="D18195" i="10"/>
  <c r="D18194" i="10"/>
  <c r="D18193" i="10"/>
  <c r="D18192" i="10"/>
  <c r="D18191" i="10"/>
  <c r="D18190" i="10"/>
  <c r="D18189" i="10"/>
  <c r="D18188" i="10"/>
  <c r="D18187" i="10"/>
  <c r="D18186" i="10"/>
  <c r="D18185" i="10"/>
  <c r="D18184" i="10"/>
  <c r="D18183" i="10"/>
  <c r="D18182" i="10"/>
  <c r="D18181" i="10"/>
  <c r="D18180" i="10"/>
  <c r="D18179" i="10"/>
  <c r="D18178" i="10"/>
  <c r="D18177" i="10"/>
  <c r="D18176" i="10"/>
  <c r="D18175" i="10"/>
  <c r="D18174" i="10"/>
  <c r="D18173" i="10"/>
  <c r="D18172" i="10"/>
  <c r="D18171" i="10"/>
  <c r="D18170" i="10"/>
  <c r="D18169" i="10"/>
  <c r="D18168" i="10"/>
  <c r="D18167" i="10"/>
  <c r="D18166" i="10"/>
  <c r="D18165" i="10"/>
  <c r="D18164" i="10"/>
  <c r="D18163" i="10"/>
  <c r="D18162" i="10"/>
  <c r="D18161" i="10"/>
  <c r="D18160" i="10"/>
  <c r="D18159" i="10"/>
  <c r="D18158" i="10"/>
  <c r="D18157" i="10"/>
  <c r="D18156" i="10"/>
  <c r="D18155" i="10"/>
  <c r="D18154" i="10"/>
  <c r="D18153" i="10"/>
  <c r="D18152" i="10"/>
  <c r="D18151" i="10"/>
  <c r="D18150" i="10"/>
  <c r="D18149" i="10"/>
  <c r="D18148" i="10"/>
  <c r="D18147" i="10"/>
  <c r="D18146" i="10"/>
  <c r="D18145" i="10"/>
  <c r="D18144" i="10"/>
  <c r="D18143" i="10"/>
  <c r="D18142" i="10"/>
  <c r="D18141" i="10"/>
  <c r="D18140" i="10"/>
  <c r="D18139" i="10"/>
  <c r="D18138" i="10"/>
  <c r="D18137" i="10"/>
  <c r="D18136" i="10"/>
  <c r="D18135" i="10"/>
  <c r="D18134" i="10"/>
  <c r="D18133" i="10"/>
  <c r="D18132" i="10"/>
  <c r="D18131" i="10"/>
  <c r="D18130" i="10"/>
  <c r="D18129" i="10"/>
  <c r="D18128" i="10"/>
  <c r="D18127" i="10"/>
  <c r="D18126" i="10"/>
  <c r="D18125" i="10"/>
  <c r="D18124" i="10"/>
  <c r="D18123" i="10"/>
  <c r="D18122" i="10"/>
  <c r="D18121" i="10"/>
  <c r="D18120" i="10"/>
  <c r="D18119" i="10"/>
  <c r="D18118" i="10"/>
  <c r="D18117" i="10"/>
  <c r="D18116" i="10"/>
  <c r="D18115" i="10"/>
  <c r="D18114" i="10"/>
  <c r="D18113" i="10"/>
  <c r="D18112" i="10"/>
  <c r="D18111" i="10"/>
  <c r="D18110" i="10"/>
  <c r="D18109" i="10"/>
  <c r="D18108" i="10"/>
  <c r="D18107" i="10"/>
  <c r="D18106" i="10"/>
  <c r="D18105" i="10"/>
  <c r="D18104" i="10"/>
  <c r="D18103" i="10"/>
  <c r="D18102" i="10"/>
  <c r="D18101" i="10"/>
  <c r="D18100" i="10"/>
  <c r="D18099" i="10"/>
  <c r="D18098" i="10"/>
  <c r="D18097" i="10"/>
  <c r="D18096" i="10"/>
  <c r="D18095" i="10"/>
  <c r="D18094" i="10"/>
  <c r="D18093" i="10"/>
  <c r="D18092" i="10"/>
  <c r="D18091" i="10"/>
  <c r="D18090" i="10"/>
  <c r="D18089" i="10"/>
  <c r="D18088" i="10"/>
  <c r="D18087" i="10"/>
  <c r="D18086" i="10"/>
  <c r="D18085" i="10"/>
  <c r="D18084" i="10"/>
  <c r="D18083" i="10"/>
  <c r="D18082" i="10"/>
  <c r="D18081" i="10"/>
  <c r="D18080" i="10"/>
  <c r="D18079" i="10"/>
  <c r="D18078" i="10"/>
  <c r="D18077" i="10"/>
  <c r="D18076" i="10"/>
  <c r="D18075" i="10"/>
  <c r="D18074" i="10"/>
  <c r="D18073" i="10"/>
  <c r="D18072" i="10"/>
  <c r="D18071" i="10"/>
  <c r="D18070" i="10"/>
  <c r="D18069" i="10"/>
  <c r="D18068" i="10"/>
  <c r="D18067" i="10"/>
  <c r="D18066" i="10"/>
  <c r="D18065" i="10"/>
  <c r="D18064" i="10"/>
  <c r="D18063" i="10"/>
  <c r="D18062" i="10"/>
  <c r="D18061" i="10"/>
  <c r="D18060" i="10"/>
  <c r="D18059" i="10"/>
  <c r="D18058" i="10"/>
  <c r="D18057" i="10"/>
  <c r="D18056" i="10"/>
  <c r="D18055" i="10"/>
  <c r="D18054" i="10"/>
  <c r="D18053" i="10"/>
  <c r="D18052" i="10"/>
  <c r="D18051" i="10"/>
  <c r="D18050" i="10"/>
  <c r="D18049" i="10"/>
  <c r="D18048" i="10"/>
  <c r="D18047" i="10"/>
  <c r="D18046" i="10"/>
  <c r="D18045" i="10"/>
  <c r="D18044" i="10"/>
  <c r="D18043" i="10"/>
  <c r="D18042" i="10"/>
  <c r="D18041" i="10"/>
  <c r="D18040" i="10"/>
  <c r="D18039" i="10"/>
  <c r="D18038" i="10"/>
  <c r="D18037" i="10"/>
  <c r="D18036" i="10"/>
  <c r="D18035" i="10"/>
  <c r="D18034" i="10"/>
  <c r="D18033" i="10"/>
  <c r="D18032" i="10"/>
  <c r="D18031" i="10"/>
  <c r="D18030" i="10"/>
  <c r="D18029" i="10"/>
  <c r="D18028" i="10"/>
  <c r="D18027" i="10"/>
  <c r="D18026" i="10"/>
  <c r="D18025" i="10"/>
  <c r="D18024" i="10"/>
  <c r="D18023" i="10"/>
  <c r="D18022" i="10"/>
  <c r="D18021" i="10"/>
  <c r="D18020" i="10"/>
  <c r="D18019" i="10"/>
  <c r="D18018" i="10"/>
  <c r="D18017" i="10"/>
  <c r="D18016" i="10"/>
  <c r="D18015" i="10"/>
  <c r="D18014" i="10"/>
  <c r="D18013" i="10"/>
  <c r="D18012" i="10"/>
  <c r="D18011" i="10"/>
  <c r="D18010" i="10"/>
  <c r="D18009" i="10"/>
  <c r="D18008" i="10"/>
  <c r="D18007" i="10"/>
  <c r="D18006" i="10"/>
  <c r="D18005" i="10"/>
  <c r="D18004" i="10"/>
  <c r="D18003" i="10"/>
  <c r="D18002" i="10"/>
  <c r="D18001" i="10"/>
  <c r="D18000" i="10"/>
  <c r="D17999" i="10"/>
  <c r="D17998" i="10"/>
  <c r="D17997" i="10"/>
  <c r="D17996" i="10"/>
  <c r="D17995" i="10"/>
  <c r="D17994" i="10"/>
  <c r="D17993" i="10"/>
  <c r="D17992" i="10"/>
  <c r="D17991" i="10"/>
  <c r="D17990" i="10"/>
  <c r="D17989" i="10"/>
  <c r="D17988" i="10"/>
  <c r="D17987" i="10"/>
  <c r="D17986" i="10"/>
  <c r="D17985" i="10"/>
  <c r="D17984" i="10"/>
  <c r="D17983" i="10"/>
  <c r="D17982" i="10"/>
  <c r="D17981" i="10"/>
  <c r="D17980" i="10"/>
  <c r="D17979" i="10"/>
  <c r="D17978" i="10"/>
  <c r="D17977" i="10"/>
  <c r="D17976" i="10"/>
  <c r="D17975" i="10"/>
  <c r="D17974" i="10"/>
  <c r="D17973" i="10"/>
  <c r="D17972" i="10"/>
  <c r="D17971" i="10"/>
  <c r="D17970" i="10"/>
  <c r="D17969" i="10"/>
  <c r="D17968" i="10"/>
  <c r="D17967" i="10"/>
  <c r="D17966" i="10"/>
  <c r="D17965" i="10"/>
  <c r="D17964" i="10"/>
  <c r="D17963" i="10"/>
  <c r="D17962" i="10"/>
  <c r="D17961" i="10"/>
  <c r="D17960" i="10"/>
  <c r="D17959" i="10"/>
  <c r="D17958" i="10"/>
  <c r="D17957" i="10"/>
  <c r="D17956" i="10"/>
  <c r="D17955" i="10"/>
  <c r="D17954" i="10"/>
  <c r="D17953" i="10"/>
  <c r="D17952" i="10"/>
  <c r="D17951" i="10"/>
  <c r="D17950" i="10"/>
  <c r="D17949" i="10"/>
  <c r="D17948" i="10"/>
  <c r="D17947" i="10"/>
  <c r="D17946" i="10"/>
  <c r="D17945" i="10"/>
  <c r="D17944" i="10"/>
  <c r="D17943" i="10"/>
  <c r="D17942" i="10"/>
  <c r="D17941" i="10"/>
  <c r="D17940" i="10"/>
  <c r="D17939" i="10"/>
  <c r="D17938" i="10"/>
  <c r="D17937" i="10"/>
  <c r="D17936" i="10"/>
  <c r="D17935" i="10"/>
  <c r="D17934" i="10"/>
  <c r="D17933" i="10"/>
  <c r="D17932" i="10"/>
  <c r="D17931" i="10"/>
  <c r="D17930" i="10"/>
  <c r="D17929" i="10"/>
  <c r="D17928" i="10"/>
  <c r="D17927" i="10"/>
  <c r="D17926" i="10"/>
  <c r="D17925" i="10"/>
  <c r="D17924" i="10"/>
  <c r="D17923" i="10"/>
  <c r="D17922" i="10"/>
  <c r="D17921" i="10"/>
  <c r="D17920" i="10"/>
  <c r="D17919" i="10"/>
  <c r="D17918" i="10"/>
  <c r="D17917" i="10"/>
  <c r="D17916" i="10"/>
  <c r="D17915" i="10"/>
  <c r="D17914" i="10"/>
  <c r="D17913" i="10"/>
  <c r="D17912" i="10"/>
  <c r="D17911" i="10"/>
  <c r="D17910" i="10"/>
  <c r="D17909" i="10"/>
  <c r="D17908" i="10"/>
  <c r="D17907" i="10"/>
  <c r="D17906" i="10"/>
  <c r="D17905" i="10"/>
  <c r="D17904" i="10"/>
  <c r="D17903" i="10"/>
  <c r="D17902" i="10"/>
  <c r="D17901" i="10"/>
  <c r="D17900" i="10"/>
  <c r="D17899" i="10"/>
  <c r="D17898" i="10"/>
  <c r="D17897" i="10"/>
  <c r="D17896" i="10"/>
  <c r="D17895" i="10"/>
  <c r="D17894" i="10"/>
  <c r="D17893" i="10"/>
  <c r="D17892" i="10"/>
  <c r="D17891" i="10"/>
  <c r="D17890" i="10"/>
  <c r="D17889" i="10"/>
  <c r="D17888" i="10"/>
  <c r="D17887" i="10"/>
  <c r="D17886" i="10"/>
  <c r="D17885" i="10"/>
  <c r="D17884" i="10"/>
  <c r="D17883" i="10"/>
  <c r="D17882" i="10"/>
  <c r="D17881" i="10"/>
  <c r="D17880" i="10"/>
  <c r="D17879" i="10"/>
  <c r="D17878" i="10"/>
  <c r="D17877" i="10"/>
  <c r="D17876" i="10"/>
  <c r="D17875" i="10"/>
  <c r="D17874" i="10"/>
  <c r="D17873" i="10"/>
  <c r="D17872" i="10"/>
  <c r="D17871" i="10"/>
  <c r="D17870" i="10"/>
  <c r="D17869" i="10"/>
  <c r="D17868" i="10"/>
  <c r="D17867" i="10"/>
  <c r="D17866" i="10"/>
  <c r="D17865" i="10"/>
  <c r="D17864" i="10"/>
  <c r="D17863" i="10"/>
  <c r="D17862" i="10"/>
  <c r="D17861" i="10"/>
  <c r="D17860" i="10"/>
  <c r="D17859" i="10"/>
  <c r="D17858" i="10"/>
  <c r="D17857" i="10"/>
  <c r="D17856" i="10"/>
  <c r="D17855" i="10"/>
  <c r="D17854" i="10"/>
  <c r="D17853" i="10"/>
  <c r="D17852" i="10"/>
  <c r="D17851" i="10"/>
  <c r="D17850" i="10"/>
  <c r="D17849" i="10"/>
  <c r="D17848" i="10"/>
  <c r="D17847" i="10"/>
  <c r="D17846" i="10"/>
  <c r="D17845" i="10"/>
  <c r="D17844" i="10"/>
  <c r="D17843" i="10"/>
  <c r="D17842" i="10"/>
  <c r="D17841" i="10"/>
  <c r="D17840" i="10"/>
  <c r="D17839" i="10"/>
  <c r="D17838" i="10"/>
  <c r="D17837" i="10"/>
  <c r="D17836" i="10"/>
  <c r="D17835" i="10"/>
  <c r="D17834" i="10"/>
  <c r="D17833" i="10"/>
  <c r="D17832" i="10"/>
  <c r="D17831" i="10"/>
  <c r="D17830" i="10"/>
  <c r="D17829" i="10"/>
  <c r="D17828" i="10"/>
  <c r="D17827" i="10"/>
  <c r="D17826" i="10"/>
  <c r="D17825" i="10"/>
  <c r="D17824" i="10"/>
  <c r="D17823" i="10"/>
  <c r="D17822" i="10"/>
  <c r="D17821" i="10"/>
  <c r="D17820" i="10"/>
  <c r="D17819" i="10"/>
  <c r="D17818" i="10"/>
  <c r="D17817" i="10"/>
  <c r="D17816" i="10"/>
  <c r="D17815" i="10"/>
  <c r="D17814" i="10"/>
  <c r="D17813" i="10"/>
  <c r="D17812" i="10"/>
  <c r="D17811" i="10"/>
  <c r="D17810" i="10"/>
  <c r="D17809" i="10"/>
  <c r="D17808" i="10"/>
  <c r="D17807" i="10"/>
  <c r="D17806" i="10"/>
  <c r="D17805" i="10"/>
  <c r="D17804" i="10"/>
  <c r="D17803" i="10"/>
  <c r="D17802" i="10"/>
  <c r="D17801" i="10"/>
  <c r="D17800" i="10"/>
  <c r="D17799" i="10"/>
  <c r="D17798" i="10"/>
  <c r="D17797" i="10"/>
  <c r="D17796" i="10"/>
  <c r="D17795" i="10"/>
  <c r="D17794" i="10"/>
  <c r="D17793" i="10"/>
  <c r="D17792" i="10"/>
  <c r="D17791" i="10"/>
  <c r="D17790" i="10"/>
  <c r="D17789" i="10"/>
  <c r="D17788" i="10"/>
  <c r="D17787" i="10"/>
  <c r="D17786" i="10"/>
  <c r="D17785" i="10"/>
  <c r="D17784" i="10"/>
  <c r="D17783" i="10"/>
  <c r="D17782" i="10"/>
  <c r="D17781" i="10"/>
  <c r="D17780" i="10"/>
  <c r="D17779" i="10"/>
  <c r="D17778" i="10"/>
  <c r="D17777" i="10"/>
  <c r="D17776" i="10"/>
  <c r="D17775" i="10"/>
  <c r="D17774" i="10"/>
  <c r="D17773" i="10"/>
  <c r="D17772" i="10"/>
  <c r="D17771" i="10"/>
  <c r="D17770" i="10"/>
  <c r="D17769" i="10"/>
  <c r="D17768" i="10"/>
  <c r="D17767" i="10"/>
  <c r="D17766" i="10"/>
  <c r="D17765" i="10"/>
  <c r="D17764" i="10"/>
  <c r="D17763" i="10"/>
  <c r="D17762" i="10"/>
  <c r="D17761" i="10"/>
  <c r="D17760" i="10"/>
  <c r="D17759" i="10"/>
  <c r="D17758" i="10"/>
  <c r="D17757" i="10"/>
  <c r="D17756" i="10"/>
  <c r="D17755" i="10"/>
  <c r="D17754" i="10"/>
  <c r="D17753" i="10"/>
  <c r="D17752" i="10"/>
  <c r="D17751" i="10"/>
  <c r="D17750" i="10"/>
  <c r="D17749" i="10"/>
  <c r="D17748" i="10"/>
  <c r="D17747" i="10"/>
  <c r="D17746" i="10"/>
  <c r="D17745" i="10"/>
  <c r="D17744" i="10"/>
  <c r="D17743" i="10"/>
  <c r="D17742" i="10"/>
  <c r="D17741" i="10"/>
  <c r="D17740" i="10"/>
  <c r="D17739" i="10"/>
  <c r="D17738" i="10"/>
  <c r="D17737" i="10"/>
  <c r="D17736" i="10"/>
  <c r="D17735" i="10"/>
  <c r="D17734" i="10"/>
  <c r="D17733" i="10"/>
  <c r="D17732" i="10"/>
  <c r="D17731" i="10"/>
  <c r="D17730" i="10"/>
  <c r="D17729" i="10"/>
  <c r="D17728" i="10"/>
  <c r="D17727" i="10"/>
  <c r="D17726" i="10"/>
  <c r="D17725" i="10"/>
  <c r="D17724" i="10"/>
  <c r="D17723" i="10"/>
  <c r="D17722" i="10"/>
  <c r="D17721" i="10"/>
  <c r="D17720" i="10"/>
  <c r="D17719" i="10"/>
  <c r="D17718" i="10"/>
  <c r="D17717" i="10"/>
  <c r="D17716" i="10"/>
  <c r="D17715" i="10"/>
  <c r="D17714" i="10"/>
  <c r="D17713" i="10"/>
  <c r="D17712" i="10"/>
  <c r="D17711" i="10"/>
  <c r="D17710" i="10"/>
  <c r="D17709" i="10"/>
  <c r="D17708" i="10"/>
  <c r="D17707" i="10"/>
  <c r="D17706" i="10"/>
  <c r="D17705" i="10"/>
  <c r="D17704" i="10"/>
  <c r="D17703" i="10"/>
  <c r="D17702" i="10"/>
  <c r="D17701" i="10"/>
  <c r="D17700" i="10"/>
  <c r="D17699" i="10"/>
  <c r="D17698" i="10"/>
  <c r="D17697" i="10"/>
  <c r="D17696" i="10"/>
  <c r="D17695" i="10"/>
  <c r="D17694" i="10"/>
  <c r="D17693" i="10"/>
  <c r="D17692" i="10"/>
  <c r="D17691" i="10"/>
  <c r="D17690" i="10"/>
  <c r="D17689" i="10"/>
  <c r="D17688" i="10"/>
  <c r="D17687" i="10"/>
  <c r="D17686" i="10"/>
  <c r="D17685" i="10"/>
  <c r="D17684" i="10"/>
  <c r="D17683" i="10"/>
  <c r="D17682" i="10"/>
  <c r="D17681" i="10"/>
  <c r="D17680" i="10"/>
  <c r="D17679" i="10"/>
  <c r="D17678" i="10"/>
  <c r="D17677" i="10"/>
  <c r="D17676" i="10"/>
  <c r="D17675" i="10"/>
  <c r="D17674" i="10"/>
  <c r="D17673" i="10"/>
  <c r="D17672" i="10"/>
  <c r="D17671" i="10"/>
  <c r="D17670" i="10"/>
  <c r="D17669" i="10"/>
  <c r="D17668" i="10"/>
  <c r="D17667" i="10"/>
  <c r="D17666" i="10"/>
  <c r="D17665" i="10"/>
  <c r="D17664" i="10"/>
  <c r="D17663" i="10"/>
  <c r="D17662" i="10"/>
  <c r="D17661" i="10"/>
  <c r="D17660" i="10"/>
  <c r="D17659" i="10"/>
  <c r="D17658" i="10"/>
  <c r="D17657" i="10"/>
  <c r="D17656" i="10"/>
  <c r="D17655" i="10"/>
  <c r="D17654" i="10"/>
  <c r="D17653" i="10"/>
  <c r="D17652" i="10"/>
  <c r="D17651" i="10"/>
  <c r="D17650" i="10"/>
  <c r="D17649" i="10"/>
  <c r="D17648" i="10"/>
  <c r="D17647" i="10"/>
  <c r="D17646" i="10"/>
  <c r="D17645" i="10"/>
  <c r="D17644" i="10"/>
  <c r="D17643" i="10"/>
  <c r="D17642" i="10"/>
  <c r="D17641" i="10"/>
  <c r="D17640" i="10"/>
  <c r="D17639" i="10"/>
  <c r="D17638" i="10"/>
  <c r="D17637" i="10"/>
  <c r="D17636" i="10"/>
  <c r="D17635" i="10"/>
  <c r="D17634" i="10"/>
  <c r="D17633" i="10"/>
  <c r="D17632" i="10"/>
  <c r="D17631" i="10"/>
  <c r="D17630" i="10"/>
  <c r="D17629" i="10"/>
  <c r="D17628" i="10"/>
  <c r="D17627" i="10"/>
  <c r="D17626" i="10"/>
  <c r="D17625" i="10"/>
  <c r="D17624" i="10"/>
  <c r="D17623" i="10"/>
  <c r="D17622" i="10"/>
  <c r="D17621" i="10"/>
  <c r="D17620" i="10"/>
  <c r="D17619" i="10"/>
  <c r="D17618" i="10"/>
  <c r="D17617" i="10"/>
  <c r="D17616" i="10"/>
  <c r="D17615" i="10"/>
  <c r="D17614" i="10"/>
  <c r="D17613" i="10"/>
  <c r="D17612" i="10"/>
  <c r="D17611" i="10"/>
  <c r="D17610" i="10"/>
  <c r="D17609" i="10"/>
  <c r="D17608" i="10"/>
  <c r="D17607" i="10"/>
  <c r="D17606" i="10"/>
  <c r="D17605" i="10"/>
  <c r="D17604" i="10"/>
  <c r="D17603" i="10"/>
  <c r="D17602" i="10"/>
  <c r="D17601" i="10"/>
  <c r="D17600" i="10"/>
  <c r="D17599" i="10"/>
  <c r="D17598" i="10"/>
  <c r="D17597" i="10"/>
  <c r="D17596" i="10"/>
  <c r="D17595" i="10"/>
  <c r="D17594" i="10"/>
  <c r="D17593" i="10"/>
  <c r="D17592" i="10"/>
  <c r="D17591" i="10"/>
  <c r="D17590" i="10"/>
  <c r="D17589" i="10"/>
  <c r="D17588" i="10"/>
  <c r="D17587" i="10"/>
  <c r="D17586" i="10"/>
  <c r="D17585" i="10"/>
  <c r="D17584" i="10"/>
  <c r="D17583" i="10"/>
  <c r="D17582" i="10"/>
  <c r="D17581" i="10"/>
  <c r="D17580" i="10"/>
  <c r="D17579" i="10"/>
  <c r="D17578" i="10"/>
  <c r="D17577" i="10"/>
  <c r="D17576" i="10"/>
  <c r="D17575" i="10"/>
  <c r="D17574" i="10"/>
  <c r="D17573" i="10"/>
  <c r="D17572" i="10"/>
  <c r="D17571" i="10"/>
  <c r="D17570" i="10"/>
  <c r="D17569" i="10"/>
  <c r="D17568" i="10"/>
  <c r="D17567" i="10"/>
  <c r="D17566" i="10"/>
  <c r="D17565" i="10"/>
  <c r="D17564" i="10"/>
  <c r="D17563" i="10"/>
  <c r="D17562" i="10"/>
  <c r="D17561" i="10"/>
  <c r="D17560" i="10"/>
  <c r="D17559" i="10"/>
  <c r="D17558" i="10"/>
  <c r="D17557" i="10"/>
  <c r="D17556" i="10"/>
  <c r="D17555" i="10"/>
  <c r="D17554" i="10"/>
  <c r="D17553" i="10"/>
  <c r="D17552" i="10"/>
  <c r="D17551" i="10"/>
  <c r="D17550" i="10"/>
  <c r="D17549" i="10"/>
  <c r="D17548" i="10"/>
  <c r="D17547" i="10"/>
  <c r="D17546" i="10"/>
  <c r="D17545" i="10"/>
  <c r="D17544" i="10"/>
  <c r="D17543" i="10"/>
  <c r="D17542" i="10"/>
  <c r="D17541" i="10"/>
  <c r="D17540" i="10"/>
  <c r="D17539" i="10"/>
  <c r="D17538" i="10"/>
  <c r="D17537" i="10"/>
  <c r="D17536" i="10"/>
  <c r="D17535" i="10"/>
  <c r="D17534" i="10"/>
  <c r="D17533" i="10"/>
  <c r="D17532" i="10"/>
  <c r="D17531" i="10"/>
  <c r="D17530" i="10"/>
  <c r="D17529" i="10"/>
  <c r="D17528" i="10"/>
  <c r="D17527" i="10"/>
  <c r="D17526" i="10"/>
  <c r="D17525" i="10"/>
  <c r="D17524" i="10"/>
  <c r="D17523" i="10"/>
  <c r="D17522" i="10"/>
  <c r="D17521" i="10"/>
  <c r="D17520" i="10"/>
  <c r="D17519" i="10"/>
  <c r="D17518" i="10"/>
  <c r="D17517" i="10"/>
  <c r="D17516" i="10"/>
  <c r="D17515" i="10"/>
  <c r="D17514" i="10"/>
  <c r="D17513" i="10"/>
  <c r="D17512" i="10"/>
  <c r="D17511" i="10"/>
  <c r="D17510" i="10"/>
  <c r="D17509" i="10"/>
  <c r="D17508" i="10"/>
  <c r="D17507" i="10"/>
  <c r="D17506" i="10"/>
  <c r="D17505" i="10"/>
  <c r="D17504" i="10"/>
  <c r="D17503" i="10"/>
  <c r="D17502" i="10"/>
  <c r="D17501" i="10"/>
  <c r="D17500" i="10"/>
  <c r="D17499" i="10"/>
  <c r="D17498" i="10"/>
  <c r="D17497" i="10"/>
  <c r="D17496" i="10"/>
  <c r="D17495" i="10"/>
  <c r="D17494" i="10"/>
  <c r="D17493" i="10"/>
  <c r="D17492" i="10"/>
  <c r="D17491" i="10"/>
  <c r="D17490" i="10"/>
  <c r="D17489" i="10"/>
  <c r="D17488" i="10"/>
  <c r="D17487" i="10"/>
  <c r="D17486" i="10"/>
  <c r="D17485" i="10"/>
  <c r="D17484" i="10"/>
  <c r="D17483" i="10"/>
  <c r="D17482" i="10"/>
  <c r="D17481" i="10"/>
  <c r="D17480" i="10"/>
  <c r="D17479" i="10"/>
  <c r="D17478" i="10"/>
  <c r="D17477" i="10"/>
  <c r="D17476" i="10"/>
  <c r="D17475" i="10"/>
  <c r="D17474" i="10"/>
  <c r="D17473" i="10"/>
  <c r="D17472" i="10"/>
  <c r="D17471" i="10"/>
  <c r="D17470" i="10"/>
  <c r="D17469" i="10"/>
  <c r="D17468" i="10"/>
  <c r="D17467" i="10"/>
  <c r="D17466" i="10"/>
  <c r="D17465" i="10"/>
  <c r="D17464" i="10"/>
  <c r="D17463" i="10"/>
  <c r="D17462" i="10"/>
  <c r="D17461" i="10"/>
  <c r="D17460" i="10"/>
  <c r="D17459" i="10"/>
  <c r="D17458" i="10"/>
  <c r="D17457" i="10"/>
  <c r="D17456" i="10"/>
  <c r="D17455" i="10"/>
  <c r="D17454" i="10"/>
  <c r="D17453" i="10"/>
  <c r="D17452" i="10"/>
  <c r="D17451" i="10"/>
  <c r="D17450" i="10"/>
  <c r="D17449" i="10"/>
  <c r="D17448" i="10"/>
  <c r="D17447" i="10"/>
  <c r="D17446" i="10"/>
  <c r="D17445" i="10"/>
  <c r="D17444" i="10"/>
  <c r="D17443" i="10"/>
  <c r="D17442" i="10"/>
  <c r="D17441" i="10"/>
  <c r="D17440" i="10"/>
  <c r="D17439" i="10"/>
  <c r="D17438" i="10"/>
  <c r="D17437" i="10"/>
  <c r="D17436" i="10"/>
  <c r="D17435" i="10"/>
  <c r="D17434" i="10"/>
  <c r="D17433" i="10"/>
  <c r="D17432" i="10"/>
  <c r="D17431" i="10"/>
  <c r="D17430" i="10"/>
  <c r="D17429" i="10"/>
  <c r="D17428" i="10"/>
  <c r="D17427" i="10"/>
  <c r="D17426" i="10"/>
  <c r="D17425" i="10"/>
  <c r="D17424" i="10"/>
  <c r="D17423" i="10"/>
  <c r="D17422" i="10"/>
  <c r="D17421" i="10"/>
  <c r="D17420" i="10"/>
  <c r="D17419" i="10"/>
  <c r="D17418" i="10"/>
  <c r="D17417" i="10"/>
  <c r="D17416" i="10"/>
  <c r="D17415" i="10"/>
  <c r="D17414" i="10"/>
  <c r="D17413" i="10"/>
  <c r="D17412" i="10"/>
  <c r="D17411" i="10"/>
  <c r="D17410" i="10"/>
  <c r="D17409" i="10"/>
  <c r="D17408" i="10"/>
  <c r="D17407" i="10"/>
  <c r="D17406" i="10"/>
  <c r="D17405" i="10"/>
  <c r="D17404" i="10"/>
  <c r="D17403" i="10"/>
  <c r="D17402" i="10"/>
  <c r="D17401" i="10"/>
  <c r="D17400" i="10"/>
  <c r="D17399" i="10"/>
  <c r="D17398" i="10"/>
  <c r="D17397" i="10"/>
  <c r="D17396" i="10"/>
  <c r="D17395" i="10"/>
  <c r="D17394" i="10"/>
  <c r="D17393" i="10"/>
  <c r="D17392" i="10"/>
  <c r="D17391" i="10"/>
  <c r="D17390" i="10"/>
  <c r="D17389" i="10"/>
  <c r="D17388" i="10"/>
  <c r="D17387" i="10"/>
  <c r="D17386" i="10"/>
  <c r="D17385" i="10"/>
  <c r="D17384" i="10"/>
  <c r="D17383" i="10"/>
  <c r="D17382" i="10"/>
  <c r="D17381" i="10"/>
  <c r="D17380" i="10"/>
  <c r="D17379" i="10"/>
  <c r="D17378" i="10"/>
  <c r="D17377" i="10"/>
  <c r="D17376" i="10"/>
  <c r="D17375" i="10"/>
  <c r="D17374" i="10"/>
  <c r="D17373" i="10"/>
  <c r="D17372" i="10"/>
  <c r="D17371" i="10"/>
  <c r="D17370" i="10"/>
  <c r="D17369" i="10"/>
  <c r="D17368" i="10"/>
  <c r="D17367" i="10"/>
  <c r="D17366" i="10"/>
  <c r="D17365" i="10"/>
  <c r="D17364" i="10"/>
  <c r="D17363" i="10"/>
  <c r="D17362" i="10"/>
  <c r="D17361" i="10"/>
  <c r="D17360" i="10"/>
  <c r="D17359" i="10"/>
  <c r="D17358" i="10"/>
  <c r="D17357" i="10"/>
  <c r="D17356" i="10"/>
  <c r="D17355" i="10"/>
  <c r="D17354" i="10"/>
  <c r="D17353" i="10"/>
  <c r="D17352" i="10"/>
  <c r="D17351" i="10"/>
  <c r="D17350" i="10"/>
  <c r="D17349" i="10"/>
  <c r="D17348" i="10"/>
  <c r="D17347" i="10"/>
  <c r="D17346" i="10"/>
  <c r="D17345" i="10"/>
  <c r="D17344" i="10"/>
  <c r="D17343" i="10"/>
  <c r="D17342" i="10"/>
  <c r="D17341" i="10"/>
  <c r="D17340" i="10"/>
  <c r="D17339" i="10"/>
  <c r="D17338" i="10"/>
  <c r="D17337" i="10"/>
  <c r="D17336" i="10"/>
  <c r="D17335" i="10"/>
  <c r="D17334" i="10"/>
  <c r="D17333" i="10"/>
  <c r="D17332" i="10"/>
  <c r="D17331" i="10"/>
  <c r="D17330" i="10"/>
  <c r="D17329" i="10"/>
  <c r="D17328" i="10"/>
  <c r="D17327" i="10"/>
  <c r="D17326" i="10"/>
  <c r="D17325" i="10"/>
  <c r="D17324" i="10"/>
  <c r="D17323" i="10"/>
  <c r="D17322" i="10"/>
  <c r="D17321" i="10"/>
  <c r="D17320" i="10"/>
  <c r="D17319" i="10"/>
  <c r="D17318" i="10"/>
  <c r="D17317" i="10"/>
  <c r="D17316" i="10"/>
  <c r="D17315" i="10"/>
  <c r="D17314" i="10"/>
  <c r="D17313" i="10"/>
  <c r="D17312" i="10"/>
  <c r="D17311" i="10"/>
  <c r="D17310" i="10"/>
  <c r="D17309" i="10"/>
  <c r="D17308" i="10"/>
  <c r="D17307" i="10"/>
  <c r="D17306" i="10"/>
  <c r="D17305" i="10"/>
  <c r="D17304" i="10"/>
  <c r="D17303" i="10"/>
  <c r="D17302" i="10"/>
  <c r="D17301" i="10"/>
  <c r="D17300" i="10"/>
  <c r="D17299" i="10"/>
  <c r="D17298" i="10"/>
  <c r="D17297" i="10"/>
  <c r="D17296" i="10"/>
  <c r="D17295" i="10"/>
  <c r="D17294" i="10"/>
  <c r="D17293" i="10"/>
  <c r="D17292" i="10"/>
  <c r="D17291" i="10"/>
  <c r="D17290" i="10"/>
  <c r="D17289" i="10"/>
  <c r="D17288" i="10"/>
  <c r="D17287" i="10"/>
  <c r="D17286" i="10"/>
  <c r="D17285" i="10"/>
  <c r="D17284" i="10"/>
  <c r="D17283" i="10"/>
  <c r="D17282" i="10"/>
  <c r="D17281" i="10"/>
  <c r="D17280" i="10"/>
  <c r="D17279" i="10"/>
  <c r="D17278" i="10"/>
  <c r="D17277" i="10"/>
  <c r="D17276" i="10"/>
  <c r="D17275" i="10"/>
  <c r="D17274" i="10"/>
  <c r="D17273" i="10"/>
  <c r="D17272" i="10"/>
  <c r="D17271" i="10"/>
  <c r="D17270" i="10"/>
  <c r="D17269" i="10"/>
  <c r="D17268" i="10"/>
  <c r="D17267" i="10"/>
  <c r="D17266" i="10"/>
  <c r="D17265" i="10"/>
  <c r="D17264" i="10"/>
  <c r="D17263" i="10"/>
  <c r="D17262" i="10"/>
  <c r="D17261" i="10"/>
  <c r="D17260" i="10"/>
  <c r="D17259" i="10"/>
  <c r="D17258" i="10"/>
  <c r="D17257" i="10"/>
  <c r="D17256" i="10"/>
  <c r="D17255" i="10"/>
  <c r="D17254" i="10"/>
  <c r="D17253" i="10"/>
  <c r="D17252" i="10"/>
  <c r="D17251" i="10"/>
  <c r="D17250" i="10"/>
  <c r="D17249" i="10"/>
  <c r="D17248" i="10"/>
  <c r="D17247" i="10"/>
  <c r="D17246" i="10"/>
  <c r="D17245" i="10"/>
  <c r="D17244" i="10"/>
  <c r="D17243" i="10"/>
  <c r="D17242" i="10"/>
  <c r="D17241" i="10"/>
  <c r="D17240" i="10"/>
  <c r="D17239" i="10"/>
  <c r="D17238" i="10"/>
  <c r="D17237" i="10"/>
  <c r="D17236" i="10"/>
  <c r="D17235" i="10"/>
  <c r="D17234" i="10"/>
  <c r="D17233" i="10"/>
  <c r="D17232" i="10"/>
  <c r="D17231" i="10"/>
  <c r="D17230" i="10"/>
  <c r="D17229" i="10"/>
  <c r="D17228" i="10"/>
  <c r="D17227" i="10"/>
  <c r="D17226" i="10"/>
  <c r="D17225" i="10"/>
  <c r="D17224" i="10"/>
  <c r="D17223" i="10"/>
  <c r="D17222" i="10"/>
  <c r="D17221" i="10"/>
  <c r="D17220" i="10"/>
  <c r="D17219" i="10"/>
  <c r="D17218" i="10"/>
  <c r="D17217" i="10"/>
  <c r="D17216" i="10"/>
  <c r="D17215" i="10"/>
  <c r="D17214" i="10"/>
  <c r="D17213" i="10"/>
  <c r="D17212" i="10"/>
  <c r="D17211" i="10"/>
  <c r="D17210" i="10"/>
  <c r="D17209" i="10"/>
  <c r="D17208" i="10"/>
  <c r="D17207" i="10"/>
  <c r="D17206" i="10"/>
  <c r="D17205" i="10"/>
  <c r="D17204" i="10"/>
  <c r="D17203" i="10"/>
  <c r="D17202" i="10"/>
  <c r="D17201" i="10"/>
  <c r="D17200" i="10"/>
  <c r="D17199" i="10"/>
  <c r="D17198" i="10"/>
  <c r="D17197" i="10"/>
  <c r="D17196" i="10"/>
  <c r="D17195" i="10"/>
  <c r="D17194" i="10"/>
  <c r="D17193" i="10"/>
  <c r="D17192" i="10"/>
  <c r="D17191" i="10"/>
  <c r="D17190" i="10"/>
  <c r="D17189" i="10"/>
  <c r="D17188" i="10"/>
  <c r="D17187" i="10"/>
  <c r="D17186" i="10"/>
  <c r="D17185" i="10"/>
  <c r="D17184" i="10"/>
  <c r="D17183" i="10"/>
  <c r="D17182" i="10"/>
  <c r="D17181" i="10"/>
  <c r="D17180" i="10"/>
  <c r="D17179" i="10"/>
  <c r="D17178" i="10"/>
  <c r="D17177" i="10"/>
  <c r="D17176" i="10"/>
  <c r="D17175" i="10"/>
  <c r="D17174" i="10"/>
  <c r="D17173" i="10"/>
  <c r="D17172" i="10"/>
  <c r="D17171" i="10"/>
  <c r="D17170" i="10"/>
  <c r="D17169" i="10"/>
  <c r="D17168" i="10"/>
  <c r="D17167" i="10"/>
  <c r="D17166" i="10"/>
  <c r="D17165" i="10"/>
  <c r="D17164" i="10"/>
  <c r="D17163" i="10"/>
  <c r="D17162" i="10"/>
  <c r="D17161" i="10"/>
  <c r="D17160" i="10"/>
  <c r="D17159" i="10"/>
  <c r="D17158" i="10"/>
  <c r="D17157" i="10"/>
  <c r="D17156" i="10"/>
  <c r="D17155" i="10"/>
  <c r="D17154" i="10"/>
  <c r="D17153" i="10"/>
  <c r="D17152" i="10"/>
  <c r="D17151" i="10"/>
  <c r="D17150" i="10"/>
  <c r="D17149" i="10"/>
  <c r="D17148" i="10"/>
  <c r="D17147" i="10"/>
  <c r="D17146" i="10"/>
  <c r="D17145" i="10"/>
  <c r="D17144" i="10"/>
  <c r="D17143" i="10"/>
  <c r="D17142" i="10"/>
  <c r="D17141" i="10"/>
  <c r="D17140" i="10"/>
  <c r="D17139" i="10"/>
  <c r="D17138" i="10"/>
  <c r="D17137" i="10"/>
  <c r="D17136" i="10"/>
  <c r="D17135" i="10"/>
  <c r="D17134" i="10"/>
  <c r="D17133" i="10"/>
  <c r="D17132" i="10"/>
  <c r="D17131" i="10"/>
  <c r="D17130" i="10"/>
  <c r="D17129" i="10"/>
  <c r="D17128" i="10"/>
  <c r="D17127" i="10"/>
  <c r="D17126" i="10"/>
  <c r="D17125" i="10"/>
  <c r="D17124" i="10"/>
  <c r="D17123" i="10"/>
  <c r="D17122" i="10"/>
  <c r="D17121" i="10"/>
  <c r="D17120" i="10"/>
  <c r="D17119" i="10"/>
  <c r="D17118" i="10"/>
  <c r="D17117" i="10"/>
  <c r="D17116" i="10"/>
  <c r="D17115" i="10"/>
  <c r="D17114" i="10"/>
  <c r="D17113" i="10"/>
  <c r="D17112" i="10"/>
  <c r="D17111" i="10"/>
  <c r="D17110" i="10"/>
  <c r="D17109" i="10"/>
  <c r="D17108" i="10"/>
  <c r="D17107" i="10"/>
  <c r="D17106" i="10"/>
  <c r="D17105" i="10"/>
  <c r="D17104" i="10"/>
  <c r="D17103" i="10"/>
  <c r="D17102" i="10"/>
  <c r="D17101" i="10"/>
  <c r="D17100" i="10"/>
  <c r="D17099" i="10"/>
  <c r="D17098" i="10"/>
  <c r="D17097" i="10"/>
  <c r="D17096" i="10"/>
  <c r="D17095" i="10"/>
  <c r="D17094" i="10"/>
  <c r="D17093" i="10"/>
  <c r="D17092" i="10"/>
  <c r="D17091" i="10"/>
  <c r="D17090" i="10"/>
  <c r="D17089" i="10"/>
  <c r="D17088" i="10"/>
  <c r="D17087" i="10"/>
  <c r="D17086" i="10"/>
  <c r="D17085" i="10"/>
  <c r="D17084" i="10"/>
  <c r="D17083" i="10"/>
  <c r="D17082" i="10"/>
  <c r="D17081" i="10"/>
  <c r="D17080" i="10"/>
  <c r="D17079" i="10"/>
  <c r="D17078" i="10"/>
  <c r="D17077" i="10"/>
  <c r="D17076" i="10"/>
  <c r="D17075" i="10"/>
  <c r="D17074" i="10"/>
  <c r="D17073" i="10"/>
  <c r="D17072" i="10"/>
  <c r="D17071" i="10"/>
  <c r="D17070" i="10"/>
  <c r="D17069" i="10"/>
  <c r="D17068" i="10"/>
  <c r="D17067" i="10"/>
  <c r="D17066" i="10"/>
  <c r="D17065" i="10"/>
  <c r="D17064" i="10"/>
  <c r="D17063" i="10"/>
  <c r="D17062" i="10"/>
  <c r="D17061" i="10"/>
  <c r="D17060" i="10"/>
  <c r="D17059" i="10"/>
  <c r="D17058" i="10"/>
  <c r="D17057" i="10"/>
  <c r="D17056" i="10"/>
  <c r="D17055" i="10"/>
  <c r="D17054" i="10"/>
  <c r="D17053" i="10"/>
  <c r="D17052" i="10"/>
  <c r="D17051" i="10"/>
  <c r="D17050" i="10"/>
  <c r="D17049" i="10"/>
  <c r="D17048" i="10"/>
  <c r="D17047" i="10"/>
  <c r="D17046" i="10"/>
  <c r="D17045" i="10"/>
  <c r="D17044" i="10"/>
  <c r="D17043" i="10"/>
  <c r="D17042" i="10"/>
  <c r="D17041" i="10"/>
  <c r="D17040" i="10"/>
  <c r="D17039" i="10"/>
  <c r="D17038" i="10"/>
  <c r="D17037" i="10"/>
  <c r="D17036" i="10"/>
  <c r="D17035" i="10"/>
  <c r="D17034" i="10"/>
  <c r="D17033" i="10"/>
  <c r="D17032" i="10"/>
  <c r="D17031" i="10"/>
  <c r="D17030" i="10"/>
  <c r="D17029" i="10"/>
  <c r="D17028" i="10"/>
  <c r="D17027" i="10"/>
  <c r="D17026" i="10"/>
  <c r="D17025" i="10"/>
  <c r="D17024" i="10"/>
  <c r="D17023" i="10"/>
  <c r="D17022" i="10"/>
  <c r="D17021" i="10"/>
  <c r="D17020" i="10"/>
  <c r="D17019" i="10"/>
  <c r="D17018" i="10"/>
  <c r="D17017" i="10"/>
  <c r="D17016" i="10"/>
  <c r="D17015" i="10"/>
  <c r="D17014" i="10"/>
  <c r="D17013" i="10"/>
  <c r="D17012" i="10"/>
  <c r="D17011" i="10"/>
  <c r="D17010" i="10"/>
  <c r="D17009" i="10"/>
  <c r="D17008" i="10"/>
  <c r="D17007" i="10"/>
  <c r="D17006" i="10"/>
  <c r="D17005" i="10"/>
  <c r="D17004" i="10"/>
  <c r="D17003" i="10"/>
  <c r="D17002" i="10"/>
  <c r="D17001" i="10"/>
  <c r="D17000" i="10"/>
  <c r="D16999" i="10"/>
  <c r="D16998" i="10"/>
  <c r="D16997" i="10"/>
  <c r="D16996" i="10"/>
  <c r="D16995" i="10"/>
  <c r="D16994" i="10"/>
  <c r="D16993" i="10"/>
  <c r="D16992" i="10"/>
  <c r="D16991" i="10"/>
  <c r="D16990" i="10"/>
  <c r="D16989" i="10"/>
  <c r="D16988" i="10"/>
  <c r="D16987" i="10"/>
  <c r="D16986" i="10"/>
  <c r="D16985" i="10"/>
  <c r="D16984" i="10"/>
  <c r="D16983" i="10"/>
  <c r="D16982" i="10"/>
  <c r="D16981" i="10"/>
  <c r="D16980" i="10"/>
  <c r="D16979" i="10"/>
  <c r="D16978" i="10"/>
  <c r="D16977" i="10"/>
  <c r="D16976" i="10"/>
  <c r="D16975" i="10"/>
  <c r="D16974" i="10"/>
  <c r="D16973" i="10"/>
  <c r="D16972" i="10"/>
  <c r="D16971" i="10"/>
  <c r="D16970" i="10"/>
  <c r="D16969" i="10"/>
  <c r="D16968" i="10"/>
  <c r="D16967" i="10"/>
  <c r="D16966" i="10"/>
  <c r="D16965" i="10"/>
  <c r="D16964" i="10"/>
  <c r="D16963" i="10"/>
  <c r="D16962" i="10"/>
  <c r="D16961" i="10"/>
  <c r="D16960" i="10"/>
  <c r="D16959" i="10"/>
  <c r="D16958" i="10"/>
  <c r="D16957" i="10"/>
  <c r="D16956" i="10"/>
  <c r="D16955" i="10"/>
  <c r="D16954" i="10"/>
  <c r="D16953" i="10"/>
  <c r="D16952" i="10"/>
  <c r="D16951" i="10"/>
  <c r="D16950" i="10"/>
  <c r="D16949" i="10"/>
  <c r="D16948" i="10"/>
  <c r="D16947" i="10"/>
  <c r="D16946" i="10"/>
  <c r="D16945" i="10"/>
  <c r="D16944" i="10"/>
  <c r="D16943" i="10"/>
  <c r="D16942" i="10"/>
  <c r="D16941" i="10"/>
  <c r="D16940" i="10"/>
  <c r="D16939" i="10"/>
  <c r="D16938" i="10"/>
  <c r="D16937" i="10"/>
  <c r="D16936" i="10"/>
  <c r="D16935" i="10"/>
  <c r="D16934" i="10"/>
  <c r="D16933" i="10"/>
  <c r="D16932" i="10"/>
  <c r="D16931" i="10"/>
  <c r="D16930" i="10"/>
  <c r="D16929" i="10"/>
  <c r="D16928" i="10"/>
  <c r="D16927" i="10"/>
  <c r="D16926" i="10"/>
  <c r="D16925" i="10"/>
  <c r="D16924" i="10"/>
  <c r="D16923" i="10"/>
  <c r="D16922" i="10"/>
  <c r="D16921" i="10"/>
  <c r="D16920" i="10"/>
  <c r="D16919" i="10"/>
  <c r="D16918" i="10"/>
  <c r="D16917" i="10"/>
  <c r="D16916" i="10"/>
  <c r="D16915" i="10"/>
  <c r="D16914" i="10"/>
  <c r="D16913" i="10"/>
  <c r="D16912" i="10"/>
  <c r="D16911" i="10"/>
  <c r="D16910" i="10"/>
  <c r="D16909" i="10"/>
  <c r="D16908" i="10"/>
  <c r="D16907" i="10"/>
  <c r="D16906" i="10"/>
  <c r="D16905" i="10"/>
  <c r="D16904" i="10"/>
  <c r="D16903" i="10"/>
  <c r="D16902" i="10"/>
  <c r="D16901" i="10"/>
  <c r="D16900" i="10"/>
  <c r="D16899" i="10"/>
  <c r="D16898" i="10"/>
  <c r="D16897" i="10"/>
  <c r="D16896" i="10"/>
  <c r="D16895" i="10"/>
  <c r="D16894" i="10"/>
  <c r="D16893" i="10"/>
  <c r="D16892" i="10"/>
  <c r="D16891" i="10"/>
  <c r="D16890" i="10"/>
  <c r="D16889" i="10"/>
  <c r="D16888" i="10"/>
  <c r="D16887" i="10"/>
  <c r="D16886" i="10"/>
  <c r="D16885" i="10"/>
  <c r="D16884" i="10"/>
  <c r="D16883" i="10"/>
  <c r="D16882" i="10"/>
  <c r="D16881" i="10"/>
  <c r="D16880" i="10"/>
  <c r="D16879" i="10"/>
  <c r="D16878" i="10"/>
  <c r="D16877" i="10"/>
  <c r="D16876" i="10"/>
  <c r="D16875" i="10"/>
  <c r="D16874" i="10"/>
  <c r="D16873" i="10"/>
  <c r="D16872" i="10"/>
  <c r="D16871" i="10"/>
  <c r="D16870" i="10"/>
  <c r="D16869" i="10"/>
  <c r="D16868" i="10"/>
  <c r="D16867" i="10"/>
  <c r="D16866" i="10"/>
  <c r="D16865" i="10"/>
  <c r="D16864" i="10"/>
  <c r="D16863" i="10"/>
  <c r="D16862" i="10"/>
  <c r="D16861" i="10"/>
  <c r="D16860" i="10"/>
  <c r="D16859" i="10"/>
  <c r="D16858" i="10"/>
  <c r="D16857" i="10"/>
  <c r="D16856" i="10"/>
  <c r="D16855" i="10"/>
  <c r="D16854" i="10"/>
  <c r="D16853" i="10"/>
  <c r="D16852" i="10"/>
  <c r="D16851" i="10"/>
  <c r="D16850" i="10"/>
  <c r="D16849" i="10"/>
  <c r="D16848" i="10"/>
  <c r="D16847" i="10"/>
  <c r="D16846" i="10"/>
  <c r="D16845" i="10"/>
  <c r="D16844" i="10"/>
  <c r="D16843" i="10"/>
  <c r="D16842" i="10"/>
  <c r="D16841" i="10"/>
  <c r="D16840" i="10"/>
  <c r="D16839" i="10"/>
  <c r="D16838" i="10"/>
  <c r="D16837" i="10"/>
  <c r="D16836" i="10"/>
  <c r="D16835" i="10"/>
  <c r="D16834" i="10"/>
  <c r="D16833" i="10"/>
  <c r="D16832" i="10"/>
  <c r="D16831" i="10"/>
  <c r="D16830" i="10"/>
  <c r="D16829" i="10"/>
  <c r="D16828" i="10"/>
  <c r="D16827" i="10"/>
  <c r="D16826" i="10"/>
  <c r="D16825" i="10"/>
  <c r="D16824" i="10"/>
  <c r="D16823" i="10"/>
  <c r="D16822" i="10"/>
  <c r="D16821" i="10"/>
  <c r="D16820" i="10"/>
  <c r="D16819" i="10"/>
  <c r="D16818" i="10"/>
  <c r="D16817" i="10"/>
  <c r="D16816" i="10"/>
  <c r="D16815" i="10"/>
  <c r="D16814" i="10"/>
  <c r="D16813" i="10"/>
  <c r="D16812" i="10"/>
  <c r="D16811" i="10"/>
  <c r="D16810" i="10"/>
  <c r="D16809" i="10"/>
  <c r="D16808" i="10"/>
  <c r="D16807" i="10"/>
  <c r="D16806" i="10"/>
  <c r="D16805" i="10"/>
  <c r="D16804" i="10"/>
  <c r="D16803" i="10"/>
  <c r="D16802" i="10"/>
  <c r="D16801" i="10"/>
  <c r="D16800" i="10"/>
  <c r="D16799" i="10"/>
  <c r="D16798" i="10"/>
  <c r="D16797" i="10"/>
  <c r="D16796" i="10"/>
  <c r="D16795" i="10"/>
  <c r="D16794" i="10"/>
  <c r="D16793" i="10"/>
  <c r="D16792" i="10"/>
  <c r="D16791" i="10"/>
  <c r="D16790" i="10"/>
  <c r="D16789" i="10"/>
  <c r="D16788" i="10"/>
  <c r="D16787" i="10"/>
  <c r="D16786" i="10"/>
  <c r="D16785" i="10"/>
  <c r="D16784" i="10"/>
  <c r="D16783" i="10"/>
  <c r="D16782" i="10"/>
  <c r="D16781" i="10"/>
  <c r="D16780" i="10"/>
  <c r="D16779" i="10"/>
  <c r="D16778" i="10"/>
  <c r="D16777" i="10"/>
  <c r="D16776" i="10"/>
  <c r="D16775" i="10"/>
  <c r="D16774" i="10"/>
  <c r="D16773" i="10"/>
  <c r="D16772" i="10"/>
  <c r="D16771" i="10"/>
  <c r="D16770" i="10"/>
  <c r="D16769" i="10"/>
  <c r="D16768" i="10"/>
  <c r="D16767" i="10"/>
  <c r="D16766" i="10"/>
  <c r="D16765" i="10"/>
  <c r="D16764" i="10"/>
  <c r="D16763" i="10"/>
  <c r="D16762" i="10"/>
  <c r="D16761" i="10"/>
  <c r="D16760" i="10"/>
  <c r="D16759" i="10"/>
  <c r="D16758" i="10"/>
  <c r="D16757" i="10"/>
  <c r="D16756" i="10"/>
  <c r="D16755" i="10"/>
  <c r="D16754" i="10"/>
  <c r="D16753" i="10"/>
  <c r="D16752" i="10"/>
  <c r="D16751" i="10"/>
  <c r="D16750" i="10"/>
  <c r="D16749" i="10"/>
  <c r="D16748" i="10"/>
  <c r="D16747" i="10"/>
  <c r="D16746" i="10"/>
  <c r="D16745" i="10"/>
  <c r="D16744" i="10"/>
  <c r="D16743" i="10"/>
  <c r="D16742" i="10"/>
  <c r="D16741" i="10"/>
  <c r="D16740" i="10"/>
  <c r="D16739" i="10"/>
  <c r="D16738" i="10"/>
  <c r="D16737" i="10"/>
  <c r="D16736" i="10"/>
  <c r="D16735" i="10"/>
  <c r="D16734" i="10"/>
  <c r="D16733" i="10"/>
  <c r="D16732" i="10"/>
  <c r="D16731" i="10"/>
  <c r="D16730" i="10"/>
  <c r="D16729" i="10"/>
  <c r="D16728" i="10"/>
  <c r="D16727" i="10"/>
  <c r="D16726" i="10"/>
  <c r="D16725" i="10"/>
  <c r="D16724" i="10"/>
  <c r="D16723" i="10"/>
  <c r="D16722" i="10"/>
  <c r="D16721" i="10"/>
  <c r="D16720" i="10"/>
  <c r="D16719" i="10"/>
  <c r="D16718" i="10"/>
  <c r="D16717" i="10"/>
  <c r="D16716" i="10"/>
  <c r="D16715" i="10"/>
  <c r="D16714" i="10"/>
  <c r="D16713" i="10"/>
  <c r="D16712" i="10"/>
  <c r="D16711" i="10"/>
  <c r="D16710" i="10"/>
  <c r="D16709" i="10"/>
  <c r="D16708" i="10"/>
  <c r="D16707" i="10"/>
  <c r="D16706" i="10"/>
  <c r="D16705" i="10"/>
  <c r="D16704" i="10"/>
  <c r="D16703" i="10"/>
  <c r="D16702" i="10"/>
  <c r="D16701" i="10"/>
  <c r="D16700" i="10"/>
  <c r="D16699" i="10"/>
  <c r="D16698" i="10"/>
  <c r="D16697" i="10"/>
  <c r="D16696" i="10"/>
  <c r="D16695" i="10"/>
  <c r="D16694" i="10"/>
  <c r="D16693" i="10"/>
  <c r="D16692" i="10"/>
  <c r="D16691" i="10"/>
  <c r="D16690" i="10"/>
  <c r="D16689" i="10"/>
  <c r="D16688" i="10"/>
  <c r="D16687" i="10"/>
  <c r="D16686" i="10"/>
  <c r="D16685" i="10"/>
  <c r="D16684" i="10"/>
  <c r="D16683" i="10"/>
  <c r="D16682" i="10"/>
  <c r="D16681" i="10"/>
  <c r="D16680" i="10"/>
  <c r="D16679" i="10"/>
  <c r="D16678" i="10"/>
  <c r="D16677" i="10"/>
  <c r="D16676" i="10"/>
  <c r="D16675" i="10"/>
  <c r="D16674" i="10"/>
  <c r="D16673" i="10"/>
  <c r="D16672" i="10"/>
  <c r="D16671" i="10"/>
  <c r="D16670" i="10"/>
  <c r="D16669" i="10"/>
  <c r="D16668" i="10"/>
  <c r="D16667" i="10"/>
  <c r="D16666" i="10"/>
  <c r="D16665" i="10"/>
  <c r="D16664" i="10"/>
  <c r="D16663" i="10"/>
  <c r="D16662" i="10"/>
  <c r="D16661" i="10"/>
  <c r="D16660" i="10"/>
  <c r="D16659" i="10"/>
  <c r="D16658" i="10"/>
  <c r="D16657" i="10"/>
  <c r="D16656" i="10"/>
  <c r="D16655" i="10"/>
  <c r="D16654" i="10"/>
  <c r="D16653" i="10"/>
  <c r="D16652" i="10"/>
  <c r="D16651" i="10"/>
  <c r="D16650" i="10"/>
  <c r="D16649" i="10"/>
  <c r="D16648" i="10"/>
  <c r="D16647" i="10"/>
  <c r="D16646" i="10"/>
  <c r="D16645" i="10"/>
  <c r="D16644" i="10"/>
  <c r="D16643" i="10"/>
  <c r="D16642" i="10"/>
  <c r="D16641" i="10"/>
  <c r="D16640" i="10"/>
  <c r="D16639" i="10"/>
  <c r="D16638" i="10"/>
  <c r="D16637" i="10"/>
  <c r="D16636" i="10"/>
  <c r="D16635" i="10"/>
  <c r="D16634" i="10"/>
  <c r="D16633" i="10"/>
  <c r="D16632" i="10"/>
  <c r="D16631" i="10"/>
  <c r="D16630" i="10"/>
  <c r="D16629" i="10"/>
  <c r="D16628" i="10"/>
  <c r="D16627" i="10"/>
  <c r="D16626" i="10"/>
  <c r="D16625" i="10"/>
  <c r="D16624" i="10"/>
  <c r="D16623" i="10"/>
  <c r="D16622" i="10"/>
  <c r="D16621" i="10"/>
  <c r="D16620" i="10"/>
  <c r="D16619" i="10"/>
  <c r="D16618" i="10"/>
  <c r="D16617" i="10"/>
  <c r="D16616" i="10"/>
  <c r="D16615" i="10"/>
  <c r="D16614" i="10"/>
  <c r="D16613" i="10"/>
  <c r="D16612" i="10"/>
  <c r="D16611" i="10"/>
  <c r="D16610" i="10"/>
  <c r="D16609" i="10"/>
  <c r="D16608" i="10"/>
  <c r="D16607" i="10"/>
  <c r="D16606" i="10"/>
  <c r="D16605" i="10"/>
  <c r="D16604" i="10"/>
  <c r="D16603" i="10"/>
  <c r="D16602" i="10"/>
  <c r="D16601" i="10"/>
  <c r="D16600" i="10"/>
  <c r="D16599" i="10"/>
  <c r="D16598" i="10"/>
  <c r="D16597" i="10"/>
  <c r="D16596" i="10"/>
  <c r="D16595" i="10"/>
  <c r="D16594" i="10"/>
  <c r="D16593" i="10"/>
  <c r="D16592" i="10"/>
  <c r="D16591" i="10"/>
  <c r="D16590" i="10"/>
  <c r="D16589" i="10"/>
  <c r="D16588" i="10"/>
  <c r="D16587" i="10"/>
  <c r="D16586" i="10"/>
  <c r="D16585" i="10"/>
  <c r="D16584" i="10"/>
  <c r="D16583" i="10"/>
  <c r="D16582" i="10"/>
  <c r="D16581" i="10"/>
  <c r="D16580" i="10"/>
  <c r="D16579" i="10"/>
  <c r="D16578" i="10"/>
  <c r="D16577" i="10"/>
  <c r="D16576" i="10"/>
  <c r="D16575" i="10"/>
  <c r="D16574" i="10"/>
  <c r="D16573" i="10"/>
  <c r="D16572" i="10"/>
  <c r="D16571" i="10"/>
  <c r="D16570" i="10"/>
  <c r="D16569" i="10"/>
  <c r="D16568" i="10"/>
  <c r="D16567" i="10"/>
  <c r="D16566" i="10"/>
  <c r="D16565" i="10"/>
  <c r="D16564" i="10"/>
  <c r="D16563" i="10"/>
  <c r="D16562" i="10"/>
  <c r="D16561" i="10"/>
  <c r="D16560" i="10"/>
  <c r="D16559" i="10"/>
  <c r="D16558" i="10"/>
  <c r="D16557" i="10"/>
  <c r="D16556" i="10"/>
  <c r="D16555" i="10"/>
  <c r="D16554" i="10"/>
  <c r="D16553" i="10"/>
  <c r="D16552" i="10"/>
  <c r="D16551" i="10"/>
  <c r="D16550" i="10"/>
  <c r="D16549" i="10"/>
  <c r="D16548" i="10"/>
  <c r="D16547" i="10"/>
  <c r="D16546" i="10"/>
  <c r="D16545" i="10"/>
  <c r="D16544" i="10"/>
  <c r="D16543" i="10"/>
  <c r="D16542" i="10"/>
  <c r="D16541" i="10"/>
  <c r="D16540" i="10"/>
  <c r="D16539" i="10"/>
  <c r="D16538" i="10"/>
  <c r="D16537" i="10"/>
  <c r="D16536" i="10"/>
  <c r="D16535" i="10"/>
  <c r="D16534" i="10"/>
  <c r="D16533" i="10"/>
  <c r="D16532" i="10"/>
  <c r="D16531" i="10"/>
  <c r="D16530" i="10"/>
  <c r="D16529" i="10"/>
  <c r="D16528" i="10"/>
  <c r="D16527" i="10"/>
  <c r="D16526" i="10"/>
  <c r="D16525" i="10"/>
  <c r="D16524" i="10"/>
  <c r="D16523" i="10"/>
  <c r="D16522" i="10"/>
  <c r="D16521" i="10"/>
  <c r="D16520" i="10"/>
  <c r="D16519" i="10"/>
  <c r="D16518" i="10"/>
  <c r="D16517" i="10"/>
  <c r="D16516" i="10"/>
  <c r="D16515" i="10"/>
  <c r="D16514" i="10"/>
  <c r="D16513" i="10"/>
  <c r="D16512" i="10"/>
  <c r="D16511" i="10"/>
  <c r="D16510" i="10"/>
  <c r="D16509" i="10"/>
  <c r="D16508" i="10"/>
  <c r="D16507" i="10"/>
  <c r="D16506" i="10"/>
  <c r="D16505" i="10"/>
  <c r="D16504" i="10"/>
  <c r="D16503" i="10"/>
  <c r="D16502" i="10"/>
  <c r="D16501" i="10"/>
  <c r="D16500" i="10"/>
  <c r="D16499" i="10"/>
  <c r="D16498" i="10"/>
  <c r="D16497" i="10"/>
  <c r="D16496" i="10"/>
  <c r="D16495" i="10"/>
  <c r="D16494" i="10"/>
  <c r="D16493" i="10"/>
  <c r="D16492" i="10"/>
  <c r="D16491" i="10"/>
  <c r="D16490" i="10"/>
  <c r="D16489" i="10"/>
  <c r="D16488" i="10"/>
  <c r="D16487" i="10"/>
  <c r="D16486" i="10"/>
  <c r="D16485" i="10"/>
  <c r="D16484" i="10"/>
  <c r="D16483" i="10"/>
  <c r="D16482" i="10"/>
  <c r="D16481" i="10"/>
  <c r="D16480" i="10"/>
  <c r="D16479" i="10"/>
  <c r="D16478" i="10"/>
  <c r="D16477" i="10"/>
  <c r="D16476" i="10"/>
  <c r="D16475" i="10"/>
  <c r="D16474" i="10"/>
  <c r="D16473" i="10"/>
  <c r="D16472" i="10"/>
  <c r="D16471" i="10"/>
  <c r="D16470" i="10"/>
  <c r="D16469" i="10"/>
  <c r="D16468" i="10"/>
  <c r="D16467" i="10"/>
  <c r="D16466" i="10"/>
  <c r="D16465" i="10"/>
  <c r="D16464" i="10"/>
  <c r="D16463" i="10"/>
  <c r="D16462" i="10"/>
  <c r="D16461" i="10"/>
  <c r="D16460" i="10"/>
  <c r="D16459" i="10"/>
  <c r="D16458" i="10"/>
  <c r="D16457" i="10"/>
  <c r="D16456" i="10"/>
  <c r="D16455" i="10"/>
  <c r="D16454" i="10"/>
  <c r="D16453" i="10"/>
  <c r="D16452" i="10"/>
  <c r="D16451" i="10"/>
  <c r="D16450" i="10"/>
  <c r="D16449" i="10"/>
  <c r="D16448" i="10"/>
  <c r="D16447" i="10"/>
  <c r="D16446" i="10"/>
  <c r="D16445" i="10"/>
  <c r="D16444" i="10"/>
  <c r="D16443" i="10"/>
  <c r="D16442" i="10"/>
  <c r="D16441" i="10"/>
  <c r="D16440" i="10"/>
  <c r="D16439" i="10"/>
  <c r="D16438" i="10"/>
  <c r="D16437" i="10"/>
  <c r="D16436" i="10"/>
  <c r="D16435" i="10"/>
  <c r="D16434" i="10"/>
  <c r="D16433" i="10"/>
  <c r="D16432" i="10"/>
  <c r="D16431" i="10"/>
  <c r="D16430" i="10"/>
  <c r="D16429" i="10"/>
  <c r="D16428" i="10"/>
  <c r="D16427" i="10"/>
  <c r="D16426" i="10"/>
  <c r="D16425" i="10"/>
  <c r="D16424" i="10"/>
  <c r="D16423" i="10"/>
  <c r="D16422" i="10"/>
  <c r="D16421" i="10"/>
  <c r="D16420" i="10"/>
  <c r="D16419" i="10"/>
  <c r="D16418" i="10"/>
  <c r="D16417" i="10"/>
  <c r="D16416" i="10"/>
  <c r="D16415" i="10"/>
  <c r="D16414" i="10"/>
  <c r="D16413" i="10"/>
  <c r="D16412" i="10"/>
  <c r="D16411" i="10"/>
  <c r="D16410" i="10"/>
  <c r="D16409" i="10"/>
  <c r="D16408" i="10"/>
  <c r="D16407" i="10"/>
  <c r="D16406" i="10"/>
  <c r="D16405" i="10"/>
  <c r="D16404" i="10"/>
  <c r="D16403" i="10"/>
  <c r="D16402" i="10"/>
  <c r="D16401" i="10"/>
  <c r="D16400" i="10"/>
  <c r="D16399" i="10"/>
  <c r="D16398" i="10"/>
  <c r="D16397" i="10"/>
  <c r="D16396" i="10"/>
  <c r="D16395" i="10"/>
  <c r="D16394" i="10"/>
  <c r="D16393" i="10"/>
  <c r="D16392" i="10"/>
  <c r="D16391" i="10"/>
  <c r="D16390" i="10"/>
  <c r="D16389" i="10"/>
  <c r="D16388" i="10"/>
  <c r="D16387" i="10"/>
  <c r="D16386" i="10"/>
  <c r="D16385" i="10"/>
  <c r="D16384" i="10"/>
  <c r="D16383" i="10"/>
  <c r="D16382" i="10"/>
  <c r="D16381" i="10"/>
  <c r="D16380" i="10"/>
  <c r="D16379" i="10"/>
  <c r="D16378" i="10"/>
  <c r="D16377" i="10"/>
  <c r="D16376" i="10"/>
  <c r="D16375" i="10"/>
  <c r="D16374" i="10"/>
  <c r="D16373" i="10"/>
  <c r="D16372" i="10"/>
  <c r="D16371" i="10"/>
  <c r="D16370" i="10"/>
  <c r="D16369" i="10"/>
  <c r="D16368" i="10"/>
  <c r="D16367" i="10"/>
  <c r="D16366" i="10"/>
  <c r="D16365" i="10"/>
  <c r="D16364" i="10"/>
  <c r="D16363" i="10"/>
  <c r="D16362" i="10"/>
  <c r="D16361" i="10"/>
  <c r="D16360" i="10"/>
  <c r="D16359" i="10"/>
  <c r="D16358" i="10"/>
  <c r="D16357" i="10"/>
  <c r="D16356" i="10"/>
  <c r="D16355" i="10"/>
  <c r="D16354" i="10"/>
  <c r="D16353" i="10"/>
  <c r="D16352" i="10"/>
  <c r="D16351" i="10"/>
  <c r="D16350" i="10"/>
  <c r="D16349" i="10"/>
  <c r="D16348" i="10"/>
  <c r="D16347" i="10"/>
  <c r="D16346" i="10"/>
  <c r="D16345" i="10"/>
  <c r="D16344" i="10"/>
  <c r="D16343" i="10"/>
  <c r="D16342" i="10"/>
  <c r="D16341" i="10"/>
  <c r="D16340" i="10"/>
  <c r="D16339" i="10"/>
  <c r="D16338" i="10"/>
  <c r="D16337" i="10"/>
  <c r="D16336" i="10"/>
  <c r="D16335" i="10"/>
  <c r="D16334" i="10"/>
  <c r="D16333" i="10"/>
  <c r="D16332" i="10"/>
  <c r="D16331" i="10"/>
  <c r="D16330" i="10"/>
  <c r="D16329" i="10"/>
  <c r="D16328" i="10"/>
  <c r="D16327" i="10"/>
  <c r="D16326" i="10"/>
  <c r="D16325" i="10"/>
  <c r="D16324" i="10"/>
  <c r="D16323" i="10"/>
  <c r="D16322" i="10"/>
  <c r="D16321" i="10"/>
  <c r="D16320" i="10"/>
  <c r="D16319" i="10"/>
  <c r="D16318" i="10"/>
  <c r="D16317" i="10"/>
  <c r="D16316" i="10"/>
  <c r="D16315" i="10"/>
  <c r="D16314" i="10"/>
  <c r="D16313" i="10"/>
  <c r="D16312" i="10"/>
  <c r="D16311" i="10"/>
  <c r="D16310" i="10"/>
  <c r="D16309" i="10"/>
  <c r="D16308" i="10"/>
  <c r="D16307" i="10"/>
  <c r="D16306" i="10"/>
  <c r="D16305" i="10"/>
  <c r="D16304" i="10"/>
  <c r="D16303" i="10"/>
  <c r="D16302" i="10"/>
  <c r="D16301" i="10"/>
  <c r="D16300" i="10"/>
  <c r="D16299" i="10"/>
  <c r="D16298" i="10"/>
  <c r="D16297" i="10"/>
  <c r="D16296" i="10"/>
  <c r="D16295" i="10"/>
  <c r="D16294" i="10"/>
  <c r="D16293" i="10"/>
  <c r="D16292" i="10"/>
  <c r="D16291" i="10"/>
  <c r="D16290" i="10"/>
  <c r="D16289" i="10"/>
  <c r="D16288" i="10"/>
  <c r="D16287" i="10"/>
  <c r="D16286" i="10"/>
  <c r="D16285" i="10"/>
  <c r="D16284" i="10"/>
  <c r="D16283" i="10"/>
  <c r="D16282" i="10"/>
  <c r="D16281" i="10"/>
  <c r="D16280" i="10"/>
  <c r="D16279" i="10"/>
  <c r="D16278" i="10"/>
  <c r="D16277" i="10"/>
  <c r="D16276" i="10"/>
  <c r="D16275" i="10"/>
  <c r="D16274" i="10"/>
  <c r="D16273" i="10"/>
  <c r="D16272" i="10"/>
  <c r="D16271" i="10"/>
  <c r="D16270" i="10"/>
  <c r="D16269" i="10"/>
  <c r="D16268" i="10"/>
  <c r="D16267" i="10"/>
  <c r="D16266" i="10"/>
  <c r="D16265" i="10"/>
  <c r="D16264" i="10"/>
  <c r="D16263" i="10"/>
  <c r="D16262" i="10"/>
  <c r="D16261" i="10"/>
  <c r="D16260" i="10"/>
  <c r="D16259" i="10"/>
  <c r="D16258" i="10"/>
  <c r="D16257" i="10"/>
  <c r="D16256" i="10"/>
  <c r="D16255" i="10"/>
  <c r="D16254" i="10"/>
  <c r="D16253" i="10"/>
  <c r="D16252" i="10"/>
  <c r="D16251" i="10"/>
  <c r="D16250" i="10"/>
  <c r="D16249" i="10"/>
  <c r="D16248" i="10"/>
  <c r="D16247" i="10"/>
  <c r="D16246" i="10"/>
  <c r="D16245" i="10"/>
  <c r="D16244" i="10"/>
  <c r="D16243" i="10"/>
  <c r="D16242" i="10"/>
  <c r="D16241" i="10"/>
  <c r="D16240" i="10"/>
  <c r="D16239" i="10"/>
  <c r="D16238" i="10"/>
  <c r="D16237" i="10"/>
  <c r="D16236" i="10"/>
  <c r="D16235" i="10"/>
  <c r="D16234" i="10"/>
  <c r="D16233" i="10"/>
  <c r="D16232" i="10"/>
  <c r="D16231" i="10"/>
  <c r="D16230" i="10"/>
  <c r="D16229" i="10"/>
  <c r="D16228" i="10"/>
  <c r="D16227" i="10"/>
  <c r="D16226" i="10"/>
  <c r="D16225" i="10"/>
  <c r="D16224" i="10"/>
  <c r="D16223" i="10"/>
  <c r="D16222" i="10"/>
  <c r="D16221" i="10"/>
  <c r="D16220" i="10"/>
  <c r="D16219" i="10"/>
  <c r="D16218" i="10"/>
  <c r="D16217" i="10"/>
  <c r="D16216" i="10"/>
  <c r="D16215" i="10"/>
  <c r="D16214" i="10"/>
  <c r="D16213" i="10"/>
  <c r="D16212" i="10"/>
  <c r="D16211" i="10"/>
  <c r="D16210" i="10"/>
  <c r="D16209" i="10"/>
  <c r="D16208" i="10"/>
  <c r="D16207" i="10"/>
  <c r="D16206" i="10"/>
  <c r="D16205" i="10"/>
  <c r="D16204" i="10"/>
  <c r="D16203" i="10"/>
  <c r="D16202" i="10"/>
  <c r="D16201" i="10"/>
  <c r="D16200" i="10"/>
  <c r="D16199" i="10"/>
  <c r="D16198" i="10"/>
  <c r="D16197" i="10"/>
  <c r="D16196" i="10"/>
  <c r="D16195" i="10"/>
  <c r="D16194" i="10"/>
  <c r="D16193" i="10"/>
  <c r="D16192" i="10"/>
  <c r="D16191" i="10"/>
  <c r="D16190" i="10"/>
  <c r="D16189" i="10"/>
  <c r="D16188" i="10"/>
  <c r="D16187" i="10"/>
  <c r="D16186" i="10"/>
  <c r="D16185" i="10"/>
  <c r="D16184" i="10"/>
  <c r="D16183" i="10"/>
  <c r="D16182" i="10"/>
  <c r="D16181" i="10"/>
  <c r="D16180" i="10"/>
  <c r="D16179" i="10"/>
  <c r="D16178" i="10"/>
  <c r="D16177" i="10"/>
  <c r="D16176" i="10"/>
  <c r="D16175" i="10"/>
  <c r="D16174" i="10"/>
  <c r="D16173" i="10"/>
  <c r="D16172" i="10"/>
  <c r="D16171" i="10"/>
  <c r="D16170" i="10"/>
  <c r="D16169" i="10"/>
  <c r="D16168" i="10"/>
  <c r="D16167" i="10"/>
  <c r="D16166" i="10"/>
  <c r="D16165" i="10"/>
  <c r="D16164" i="10"/>
  <c r="D16163" i="10"/>
  <c r="D16162" i="10"/>
  <c r="D16161" i="10"/>
  <c r="D16160" i="10"/>
  <c r="D16159" i="10"/>
  <c r="D16158" i="10"/>
  <c r="D16157" i="10"/>
  <c r="D16156" i="10"/>
  <c r="D16155" i="10"/>
  <c r="D16154" i="10"/>
  <c r="D16153" i="10"/>
  <c r="D16152" i="10"/>
  <c r="D16151" i="10"/>
  <c r="D16150" i="10"/>
  <c r="D16149" i="10"/>
  <c r="D16148" i="10"/>
  <c r="D16147" i="10"/>
  <c r="D16146" i="10"/>
  <c r="D16145" i="10"/>
  <c r="D16144" i="10"/>
  <c r="D16143" i="10"/>
  <c r="D16142" i="10"/>
  <c r="D16141" i="10"/>
  <c r="D16140" i="10"/>
  <c r="D16139" i="10"/>
  <c r="D16138" i="10"/>
  <c r="D16137" i="10"/>
  <c r="D16136" i="10"/>
  <c r="D16135" i="10"/>
  <c r="D16134" i="10"/>
  <c r="D16133" i="10"/>
  <c r="D16132" i="10"/>
  <c r="D16131" i="10"/>
  <c r="D16130" i="10"/>
  <c r="D16129" i="10"/>
  <c r="D16128" i="10"/>
  <c r="D16127" i="10"/>
  <c r="D16126" i="10"/>
  <c r="D16125" i="10"/>
  <c r="D16124" i="10"/>
  <c r="D16123" i="10"/>
  <c r="D16122" i="10"/>
  <c r="D16121" i="10"/>
  <c r="D16120" i="10"/>
  <c r="D16119" i="10"/>
  <c r="D16118" i="10"/>
  <c r="D16117" i="10"/>
  <c r="D16116" i="10"/>
  <c r="D16115" i="10"/>
  <c r="D16114" i="10"/>
  <c r="D16113" i="10"/>
  <c r="D16112" i="10"/>
  <c r="D16111" i="10"/>
  <c r="D16110" i="10"/>
  <c r="D16109" i="10"/>
  <c r="D16108" i="10"/>
  <c r="D16107" i="10"/>
  <c r="D16106" i="10"/>
  <c r="D16105" i="10"/>
  <c r="D16104" i="10"/>
  <c r="D16103" i="10"/>
  <c r="D16102" i="10"/>
  <c r="D16101" i="10"/>
  <c r="D16100" i="10"/>
  <c r="D16099" i="10"/>
  <c r="D16098" i="10"/>
  <c r="D16097" i="10"/>
  <c r="D16096" i="10"/>
  <c r="D16095" i="10"/>
  <c r="D16094" i="10"/>
  <c r="D16093" i="10"/>
  <c r="D16092" i="10"/>
  <c r="D16091" i="10"/>
  <c r="D16090" i="10"/>
  <c r="D16089" i="10"/>
  <c r="D16088" i="10"/>
  <c r="D16087" i="10"/>
  <c r="D16086" i="10"/>
  <c r="D16085" i="10"/>
  <c r="D16084" i="10"/>
  <c r="D16083" i="10"/>
  <c r="D16082" i="10"/>
  <c r="D16081" i="10"/>
  <c r="D16080" i="10"/>
  <c r="D16079" i="10"/>
  <c r="D16078" i="10"/>
  <c r="D16077" i="10"/>
  <c r="D16076" i="10"/>
  <c r="D16075" i="10"/>
  <c r="D16074" i="10"/>
  <c r="D16073" i="10"/>
  <c r="D16072" i="10"/>
  <c r="D16071" i="10"/>
  <c r="D16070" i="10"/>
  <c r="D16069" i="10"/>
  <c r="D16068" i="10"/>
  <c r="D16067" i="10"/>
  <c r="D16066" i="10"/>
  <c r="D16065" i="10"/>
  <c r="D16064" i="10"/>
  <c r="D16063" i="10"/>
  <c r="D16062" i="10"/>
  <c r="D16061" i="10"/>
  <c r="D16060" i="10"/>
  <c r="D16059" i="10"/>
  <c r="D16058" i="10"/>
  <c r="D16057" i="10"/>
  <c r="D16056" i="10"/>
  <c r="D16055" i="10"/>
  <c r="D16054" i="10"/>
  <c r="D16053" i="10"/>
  <c r="D16052" i="10"/>
  <c r="D16051" i="10"/>
  <c r="D16050" i="10"/>
  <c r="D16049" i="10"/>
  <c r="D16048" i="10"/>
  <c r="D16047" i="10"/>
  <c r="D16046" i="10"/>
  <c r="D16045" i="10"/>
  <c r="D16044" i="10"/>
  <c r="D16043" i="10"/>
  <c r="D16042" i="10"/>
  <c r="D16041" i="10"/>
  <c r="D16040" i="10"/>
  <c r="D16039" i="10"/>
  <c r="D16038" i="10"/>
  <c r="D16037" i="10"/>
  <c r="D16036" i="10"/>
  <c r="D16035" i="10"/>
  <c r="D16034" i="10"/>
  <c r="D16033" i="10"/>
  <c r="D16032" i="10"/>
  <c r="D16031" i="10"/>
  <c r="D16030" i="10"/>
  <c r="D16029" i="10"/>
  <c r="D16028" i="10"/>
  <c r="D16027" i="10"/>
  <c r="D16026" i="10"/>
  <c r="D16025" i="10"/>
  <c r="D16024" i="10"/>
  <c r="D16023" i="10"/>
  <c r="D16022" i="10"/>
  <c r="D16021" i="10"/>
  <c r="D16020" i="10"/>
  <c r="D16019" i="10"/>
  <c r="D16018" i="10"/>
  <c r="D16017" i="10"/>
  <c r="D16016" i="10"/>
  <c r="D16015" i="10"/>
  <c r="D16014" i="10"/>
  <c r="D16013" i="10"/>
  <c r="D16012" i="10"/>
  <c r="D16011" i="10"/>
  <c r="D16010" i="10"/>
  <c r="D16009" i="10"/>
  <c r="D16008" i="10"/>
  <c r="D16007" i="10"/>
  <c r="D16006" i="10"/>
  <c r="D16005" i="10"/>
  <c r="D16004" i="10"/>
  <c r="D16003" i="10"/>
  <c r="D16002" i="10"/>
  <c r="D16001" i="10"/>
  <c r="D16000" i="10"/>
  <c r="D15999" i="10"/>
  <c r="D15998" i="10"/>
  <c r="D15997" i="10"/>
  <c r="D15996" i="10"/>
  <c r="D15995" i="10"/>
  <c r="D15994" i="10"/>
  <c r="D15993" i="10"/>
  <c r="D15992" i="10"/>
  <c r="D15991" i="10"/>
  <c r="D15990" i="10"/>
  <c r="D15989" i="10"/>
  <c r="D15988" i="10"/>
  <c r="D15987" i="10"/>
  <c r="D15986" i="10"/>
  <c r="D15985" i="10"/>
  <c r="D15984" i="10"/>
  <c r="D15983" i="10"/>
  <c r="D15982" i="10"/>
  <c r="D15981" i="10"/>
  <c r="D15980" i="10"/>
  <c r="D15979" i="10"/>
  <c r="D15978" i="10"/>
  <c r="D15977" i="10"/>
  <c r="D15976" i="10"/>
  <c r="D15975" i="10"/>
  <c r="D15974" i="10"/>
  <c r="D15973" i="10"/>
  <c r="D15972" i="10"/>
  <c r="D15971" i="10"/>
  <c r="D15970" i="10"/>
  <c r="D15969" i="10"/>
  <c r="D15968" i="10"/>
  <c r="D15967" i="10"/>
  <c r="D15966" i="10"/>
  <c r="D15965" i="10"/>
  <c r="D15964" i="10"/>
  <c r="D15963" i="10"/>
  <c r="D15962" i="10"/>
  <c r="D15961" i="10"/>
  <c r="D15960" i="10"/>
  <c r="D15959" i="10"/>
  <c r="D15958" i="10"/>
  <c r="D15957" i="10"/>
  <c r="D15956" i="10"/>
  <c r="D15955" i="10"/>
  <c r="D15954" i="10"/>
  <c r="D15953" i="10"/>
  <c r="D15952" i="10"/>
  <c r="D15951" i="10"/>
  <c r="D15950" i="10"/>
  <c r="D15949" i="10"/>
  <c r="D15948" i="10"/>
  <c r="D15947" i="10"/>
  <c r="D15946" i="10"/>
  <c r="D15945" i="10"/>
  <c r="D15944" i="10"/>
  <c r="D15943" i="10"/>
  <c r="D15942" i="10"/>
  <c r="D15941" i="10"/>
  <c r="D15940" i="10"/>
  <c r="D15939" i="10"/>
  <c r="D15938" i="10"/>
  <c r="D15937" i="10"/>
  <c r="D15936" i="10"/>
  <c r="D15935" i="10"/>
  <c r="D15934" i="10"/>
  <c r="D15933" i="10"/>
  <c r="D15932" i="10"/>
  <c r="D15931" i="10"/>
  <c r="D15930" i="10"/>
  <c r="D15929" i="10"/>
  <c r="D15928" i="10"/>
  <c r="D15927" i="10"/>
  <c r="D15926" i="10"/>
  <c r="D15925" i="10"/>
  <c r="D15924" i="10"/>
  <c r="D15923" i="10"/>
  <c r="D15922" i="10"/>
  <c r="D15921" i="10"/>
  <c r="D15920" i="10"/>
  <c r="D15919" i="10"/>
  <c r="D15918" i="10"/>
  <c r="D15917" i="10"/>
  <c r="D15916" i="10"/>
  <c r="D15915" i="10"/>
  <c r="D15914" i="10"/>
  <c r="D15913" i="10"/>
  <c r="D15912" i="10"/>
  <c r="D15911" i="10"/>
  <c r="D15910" i="10"/>
  <c r="D15909" i="10"/>
  <c r="D15908" i="10"/>
  <c r="D15907" i="10"/>
  <c r="D15906" i="10"/>
  <c r="D15905" i="10"/>
  <c r="D15904" i="10"/>
  <c r="D15903" i="10"/>
  <c r="D15902" i="10"/>
  <c r="D15901" i="10"/>
  <c r="D15900" i="10"/>
  <c r="D15899" i="10"/>
  <c r="D15898" i="10"/>
  <c r="D15897" i="10"/>
  <c r="D15896" i="10"/>
  <c r="D15895" i="10"/>
  <c r="D15894" i="10"/>
  <c r="D15893" i="10"/>
  <c r="D15892" i="10"/>
  <c r="D15891" i="10"/>
  <c r="D15890" i="10"/>
  <c r="D15889" i="10"/>
  <c r="D15888" i="10"/>
  <c r="D15887" i="10"/>
  <c r="D15886" i="10"/>
  <c r="D15885" i="10"/>
  <c r="D15884" i="10"/>
  <c r="D15883" i="10"/>
  <c r="D15882" i="10"/>
  <c r="D15881" i="10"/>
  <c r="D15880" i="10"/>
  <c r="D15879" i="10"/>
  <c r="D15878" i="10"/>
  <c r="D15877" i="10"/>
  <c r="D15876" i="10"/>
  <c r="D15875" i="10"/>
  <c r="D15874" i="10"/>
  <c r="D15873" i="10"/>
  <c r="D15872" i="10"/>
  <c r="D15871" i="10"/>
  <c r="D15870" i="10"/>
  <c r="D15869" i="10"/>
  <c r="D15868" i="10"/>
  <c r="D15867" i="10"/>
  <c r="D15866" i="10"/>
  <c r="D15865" i="10"/>
  <c r="D15864" i="10"/>
  <c r="D15863" i="10"/>
  <c r="D15862" i="10"/>
  <c r="D15861" i="10"/>
  <c r="D15860" i="10"/>
  <c r="D15859" i="10"/>
  <c r="D15858" i="10"/>
  <c r="D15857" i="10"/>
  <c r="D15856" i="10"/>
  <c r="D15855" i="10"/>
  <c r="D15854" i="10"/>
  <c r="D15853" i="10"/>
  <c r="D15852" i="10"/>
  <c r="D15851" i="10"/>
  <c r="D15850" i="10"/>
  <c r="D15849" i="10"/>
  <c r="D15848" i="10"/>
  <c r="D15847" i="10"/>
  <c r="D15846" i="10"/>
  <c r="D15845" i="10"/>
  <c r="D15844" i="10"/>
  <c r="D15843" i="10"/>
  <c r="D15842" i="10"/>
  <c r="D15841" i="10"/>
  <c r="D15840" i="10"/>
  <c r="D15839" i="10"/>
  <c r="D15838" i="10"/>
  <c r="D15837" i="10"/>
  <c r="D15836" i="10"/>
  <c r="D15835" i="10"/>
  <c r="D15834" i="10"/>
  <c r="D15833" i="10"/>
  <c r="D15832" i="10"/>
  <c r="D15831" i="10"/>
  <c r="D15830" i="10"/>
  <c r="D15829" i="10"/>
  <c r="D15828" i="10"/>
  <c r="D15827" i="10"/>
  <c r="D15826" i="10"/>
  <c r="D15825" i="10"/>
  <c r="D15824" i="10"/>
  <c r="D15823" i="10"/>
  <c r="D15822" i="10"/>
  <c r="D15821" i="10"/>
  <c r="D15820" i="10"/>
  <c r="D15819" i="10"/>
  <c r="D15818" i="10"/>
  <c r="D15817" i="10"/>
  <c r="D15816" i="10"/>
  <c r="D15815" i="10"/>
  <c r="D15814" i="10"/>
  <c r="D15813" i="10"/>
  <c r="D15812" i="10"/>
  <c r="D15811" i="10"/>
  <c r="D15810" i="10"/>
  <c r="D15809" i="10"/>
  <c r="D15808" i="10"/>
  <c r="D15807" i="10"/>
  <c r="D15806" i="10"/>
  <c r="D15805" i="10"/>
  <c r="D15804" i="10"/>
  <c r="D15803" i="10"/>
  <c r="D15802" i="10"/>
  <c r="D15801" i="10"/>
  <c r="D15800" i="10"/>
  <c r="D15799" i="10"/>
  <c r="D15798" i="10"/>
  <c r="D15797" i="10"/>
  <c r="D15796" i="10"/>
  <c r="D15795" i="10"/>
  <c r="D15794" i="10"/>
  <c r="D15793" i="10"/>
  <c r="D15792" i="10"/>
  <c r="D15791" i="10"/>
  <c r="D15790" i="10"/>
  <c r="D15789" i="10"/>
  <c r="D15788" i="10"/>
  <c r="D15787" i="10"/>
  <c r="D15786" i="10"/>
  <c r="D15785" i="10"/>
  <c r="D15784" i="10"/>
  <c r="D15783" i="10"/>
  <c r="D15782" i="10"/>
  <c r="D15781" i="10"/>
  <c r="D15780" i="10"/>
  <c r="D15779" i="10"/>
  <c r="D15778" i="10"/>
  <c r="D15777" i="10"/>
  <c r="D15776" i="10"/>
  <c r="D15775" i="10"/>
  <c r="D15774" i="10"/>
  <c r="D15773" i="10"/>
  <c r="D15772" i="10"/>
  <c r="D15771" i="10"/>
  <c r="D15770" i="10"/>
  <c r="D15769" i="10"/>
  <c r="D15768" i="10"/>
  <c r="D15767" i="10"/>
  <c r="D15766" i="10"/>
  <c r="D15765" i="10"/>
  <c r="D15764" i="10"/>
  <c r="D15763" i="10"/>
  <c r="D15762" i="10"/>
  <c r="D15761" i="10"/>
  <c r="D15760" i="10"/>
  <c r="D15759" i="10"/>
  <c r="D15758" i="10"/>
  <c r="D15757" i="10"/>
  <c r="D15756" i="10"/>
  <c r="D15755" i="10"/>
  <c r="D15754" i="10"/>
  <c r="D15753" i="10"/>
  <c r="D15752" i="10"/>
  <c r="D15751" i="10"/>
  <c r="D15750" i="10"/>
  <c r="D15749" i="10"/>
  <c r="D15748" i="10"/>
  <c r="D15747" i="10"/>
  <c r="D15746" i="10"/>
  <c r="D15745" i="10"/>
  <c r="D15744" i="10"/>
  <c r="D15743" i="10"/>
  <c r="D15742" i="10"/>
  <c r="D15741" i="10"/>
  <c r="D15740" i="10"/>
  <c r="D15739" i="10"/>
  <c r="D15738" i="10"/>
  <c r="D15737" i="10"/>
  <c r="D15736" i="10"/>
  <c r="D15735" i="10"/>
  <c r="D15734" i="10"/>
  <c r="D15733" i="10"/>
  <c r="D15732" i="10"/>
  <c r="D15731" i="10"/>
  <c r="D15730" i="10"/>
  <c r="D15729" i="10"/>
  <c r="D15728" i="10"/>
  <c r="D15727" i="10"/>
  <c r="D15726" i="10"/>
  <c r="D15725" i="10"/>
  <c r="D15724" i="10"/>
  <c r="D15723" i="10"/>
  <c r="D15722" i="10"/>
  <c r="D15721" i="10"/>
  <c r="D15720" i="10"/>
  <c r="D15719" i="10"/>
  <c r="D15718" i="10"/>
  <c r="D15717" i="10"/>
  <c r="D15716" i="10"/>
  <c r="D15715" i="10"/>
  <c r="D15714" i="10"/>
  <c r="D15713" i="10"/>
  <c r="D15712" i="10"/>
  <c r="D15711" i="10"/>
  <c r="D15710" i="10"/>
  <c r="D15709" i="10"/>
  <c r="D15708" i="10"/>
  <c r="D15707" i="10"/>
  <c r="D15706" i="10"/>
  <c r="D15705" i="10"/>
  <c r="D15704" i="10"/>
  <c r="D15703" i="10"/>
  <c r="D15702" i="10"/>
  <c r="D15701" i="10"/>
  <c r="D15700" i="10"/>
  <c r="D15699" i="10"/>
  <c r="D15698" i="10"/>
  <c r="D15697" i="10"/>
  <c r="D15696" i="10"/>
  <c r="D15695" i="10"/>
  <c r="D15694" i="10"/>
  <c r="D15693" i="10"/>
  <c r="D15692" i="10"/>
  <c r="D15691" i="10"/>
  <c r="D15690" i="10"/>
  <c r="D15689" i="10"/>
  <c r="D15688" i="10"/>
  <c r="D15687" i="10"/>
  <c r="D15686" i="10"/>
  <c r="D15685" i="10"/>
  <c r="D15684" i="10"/>
  <c r="D15683" i="10"/>
  <c r="D15682" i="10"/>
  <c r="D15681" i="10"/>
  <c r="D15680" i="10"/>
  <c r="D15679" i="10"/>
  <c r="D15678" i="10"/>
  <c r="D15677" i="10"/>
  <c r="D15676" i="10"/>
  <c r="D15675" i="10"/>
  <c r="D15674" i="10"/>
  <c r="D15673" i="10"/>
  <c r="D15672" i="10"/>
  <c r="D15671" i="10"/>
  <c r="D15670" i="10"/>
  <c r="D15669" i="10"/>
  <c r="D15668" i="10"/>
  <c r="D15667" i="10"/>
  <c r="D15666" i="10"/>
  <c r="D15665" i="10"/>
  <c r="D15664" i="10"/>
  <c r="D15663" i="10"/>
  <c r="D15662" i="10"/>
  <c r="D15661" i="10"/>
  <c r="D15660" i="10"/>
  <c r="D15659" i="10"/>
  <c r="D15658" i="10"/>
  <c r="D15657" i="10"/>
  <c r="D15656" i="10"/>
  <c r="D15655" i="10"/>
  <c r="D15654" i="10"/>
  <c r="D15653" i="10"/>
  <c r="D15652" i="10"/>
  <c r="D15651" i="10"/>
  <c r="D15650" i="10"/>
  <c r="D15649" i="10"/>
  <c r="D15648" i="10"/>
  <c r="D15647" i="10"/>
  <c r="D15646" i="10"/>
  <c r="D15645" i="10"/>
  <c r="D15644" i="10"/>
  <c r="D15643" i="10"/>
  <c r="D15642" i="10"/>
  <c r="D15641" i="10"/>
  <c r="D15640" i="10"/>
  <c r="D15639" i="10"/>
  <c r="D15638" i="10"/>
  <c r="D15637" i="10"/>
  <c r="D15636" i="10"/>
  <c r="D15635" i="10"/>
  <c r="D15634" i="10"/>
  <c r="D15633" i="10"/>
  <c r="D15632" i="10"/>
  <c r="D15631" i="10"/>
  <c r="D15630" i="10"/>
  <c r="D15629" i="10"/>
  <c r="D15628" i="10"/>
  <c r="D15627" i="10"/>
  <c r="D15626" i="10"/>
  <c r="D15625" i="10"/>
  <c r="D15624" i="10"/>
  <c r="D15623" i="10"/>
  <c r="D15622" i="10"/>
  <c r="D15621" i="10"/>
  <c r="D15620" i="10"/>
  <c r="D15619" i="10"/>
  <c r="D15618" i="10"/>
  <c r="D15617" i="10"/>
  <c r="D15616" i="10"/>
  <c r="D15615" i="10"/>
  <c r="D15614" i="10"/>
  <c r="D15613" i="10"/>
  <c r="D15612" i="10"/>
  <c r="D15611" i="10"/>
  <c r="D15610" i="10"/>
  <c r="D15609" i="10"/>
  <c r="D15608" i="10"/>
  <c r="D15607" i="10"/>
  <c r="D15606" i="10"/>
  <c r="D15605" i="10"/>
  <c r="D15604" i="10"/>
  <c r="D15603" i="10"/>
  <c r="D15602" i="10"/>
  <c r="D15601" i="10"/>
  <c r="D15600" i="10"/>
  <c r="D15599" i="10"/>
  <c r="D15598" i="10"/>
  <c r="D15597" i="10"/>
  <c r="D15596" i="10"/>
  <c r="D15595" i="10"/>
  <c r="D15594" i="10"/>
  <c r="D15593" i="10"/>
  <c r="D15592" i="10"/>
  <c r="D15591" i="10"/>
  <c r="D15590" i="10"/>
  <c r="D15589" i="10"/>
  <c r="D15588" i="10"/>
  <c r="D15587" i="10"/>
  <c r="D15586" i="10"/>
  <c r="D15585" i="10"/>
  <c r="D15584" i="10"/>
  <c r="D15583" i="10"/>
  <c r="D15582" i="10"/>
  <c r="D15581" i="10"/>
  <c r="D15580" i="10"/>
  <c r="D15579" i="10"/>
  <c r="D15578" i="10"/>
  <c r="D15577" i="10"/>
  <c r="D15576" i="10"/>
  <c r="D15575" i="10"/>
  <c r="D15574" i="10"/>
  <c r="D15573" i="10"/>
  <c r="D15572" i="10"/>
  <c r="D15571" i="10"/>
  <c r="D15570" i="10"/>
  <c r="D15569" i="10"/>
  <c r="D15568" i="10"/>
  <c r="D15567" i="10"/>
  <c r="D15566" i="10"/>
  <c r="D15565" i="10"/>
  <c r="D15564" i="10"/>
  <c r="D15563" i="10"/>
  <c r="D15562" i="10"/>
  <c r="D15561" i="10"/>
  <c r="D15560" i="10"/>
  <c r="D15559" i="10"/>
  <c r="D15558" i="10"/>
  <c r="D15557" i="10"/>
  <c r="D15556" i="10"/>
  <c r="D15555" i="10"/>
  <c r="D15554" i="10"/>
  <c r="D15553" i="10"/>
  <c r="D15552" i="10"/>
  <c r="D15551" i="10"/>
  <c r="D15550" i="10"/>
  <c r="D15549" i="10"/>
  <c r="D15548" i="10"/>
  <c r="D15547" i="10"/>
  <c r="D15546" i="10"/>
  <c r="D15545" i="10"/>
  <c r="D15544" i="10"/>
  <c r="D15543" i="10"/>
  <c r="D15542" i="10"/>
  <c r="D15541" i="10"/>
  <c r="D15540" i="10"/>
  <c r="D15539" i="10"/>
  <c r="D15538" i="10"/>
  <c r="D15537" i="10"/>
  <c r="D15536" i="10"/>
  <c r="D15535" i="10"/>
  <c r="D15534" i="10"/>
  <c r="D15533" i="10"/>
  <c r="D15532" i="10"/>
  <c r="D15531" i="10"/>
  <c r="D15530" i="10"/>
  <c r="D15529" i="10"/>
  <c r="D15528" i="10"/>
  <c r="D15527" i="10"/>
  <c r="D15526" i="10"/>
  <c r="D15525" i="10"/>
  <c r="D15524" i="10"/>
  <c r="D15523" i="10"/>
  <c r="D15522" i="10"/>
  <c r="D15521" i="10"/>
  <c r="D15520" i="10"/>
  <c r="D15519" i="10"/>
  <c r="D15518" i="10"/>
  <c r="D15517" i="10"/>
  <c r="D15516" i="10"/>
  <c r="D15515" i="10"/>
  <c r="D15514" i="10"/>
  <c r="D15513" i="10"/>
  <c r="D15512" i="10"/>
  <c r="D15511" i="10"/>
  <c r="D15510" i="10"/>
  <c r="D15509" i="10"/>
  <c r="D15508" i="10"/>
  <c r="D15507" i="10"/>
  <c r="D15506" i="10"/>
  <c r="D15505" i="10"/>
  <c r="D15504" i="10"/>
  <c r="D15503" i="10"/>
  <c r="D15502" i="10"/>
  <c r="D15501" i="10"/>
  <c r="D15500" i="10"/>
  <c r="D15499" i="10"/>
  <c r="D15498" i="10"/>
  <c r="D15497" i="10"/>
  <c r="D15496" i="10"/>
  <c r="D15495" i="10"/>
  <c r="D15494" i="10"/>
  <c r="D15493" i="10"/>
  <c r="D15492" i="10"/>
  <c r="D15491" i="10"/>
  <c r="D15490" i="10"/>
  <c r="D15489" i="10"/>
  <c r="D15488" i="10"/>
  <c r="D15487" i="10"/>
  <c r="D15486" i="10"/>
  <c r="D15485" i="10"/>
  <c r="D15484" i="10"/>
  <c r="D15483" i="10"/>
  <c r="D15482" i="10"/>
  <c r="D15481" i="10"/>
  <c r="D15480" i="10"/>
  <c r="D15479" i="10"/>
  <c r="D15478" i="10"/>
  <c r="D15477" i="10"/>
  <c r="D15476" i="10"/>
  <c r="D15475" i="10"/>
  <c r="D15474" i="10"/>
  <c r="D15473" i="10"/>
  <c r="D15472" i="10"/>
  <c r="D15471" i="10"/>
  <c r="D15470" i="10"/>
  <c r="D15469" i="10"/>
  <c r="D15468" i="10"/>
  <c r="D15467" i="10"/>
  <c r="D15466" i="10"/>
  <c r="D15465" i="10"/>
  <c r="D15464" i="10"/>
  <c r="D15463" i="10"/>
  <c r="D15462" i="10"/>
  <c r="D15461" i="10"/>
  <c r="D15460" i="10"/>
  <c r="D15459" i="10"/>
  <c r="D15458" i="10"/>
  <c r="D15457" i="10"/>
  <c r="D15456" i="10"/>
  <c r="D15455" i="10"/>
  <c r="D15454" i="10"/>
  <c r="D15453" i="10"/>
  <c r="D15452" i="10"/>
  <c r="D15451" i="10"/>
  <c r="D15450" i="10"/>
  <c r="D15449" i="10"/>
  <c r="D15448" i="10"/>
  <c r="D15447" i="10"/>
  <c r="D15446" i="10"/>
  <c r="D15445" i="10"/>
  <c r="D15444" i="10"/>
  <c r="D15443" i="10"/>
  <c r="D15442" i="10"/>
  <c r="D15441" i="10"/>
  <c r="D15440" i="10"/>
  <c r="D15439" i="10"/>
  <c r="D15438" i="10"/>
  <c r="D15437" i="10"/>
  <c r="D15436" i="10"/>
  <c r="D15435" i="10"/>
  <c r="D15434" i="10"/>
  <c r="D15433" i="10"/>
  <c r="D15432" i="10"/>
  <c r="D15431" i="10"/>
  <c r="D15430" i="10"/>
  <c r="D15429" i="10"/>
  <c r="D15428" i="10"/>
  <c r="D15427" i="10"/>
  <c r="D15426" i="10"/>
  <c r="D15425" i="10"/>
  <c r="D15424" i="10"/>
  <c r="D15423" i="10"/>
  <c r="D15422" i="10"/>
  <c r="D15421" i="10"/>
  <c r="D15420" i="10"/>
  <c r="D15419" i="10"/>
  <c r="D15418" i="10"/>
  <c r="D15417" i="10"/>
  <c r="D15416" i="10"/>
  <c r="D15415" i="10"/>
  <c r="D15414" i="10"/>
  <c r="D15413" i="10"/>
  <c r="D15412" i="10"/>
  <c r="D15411" i="10"/>
  <c r="D15410" i="10"/>
  <c r="D15409" i="10"/>
  <c r="D15408" i="10"/>
  <c r="D15407" i="10"/>
  <c r="D15406" i="10"/>
  <c r="D15405" i="10"/>
  <c r="D15404" i="10"/>
  <c r="D15403" i="10"/>
  <c r="D15402" i="10"/>
  <c r="D15401" i="10"/>
  <c r="D15400" i="10"/>
  <c r="D15399" i="10"/>
  <c r="D15398" i="10"/>
  <c r="D15397" i="10"/>
  <c r="D15396" i="10"/>
  <c r="D15395" i="10"/>
  <c r="D15394" i="10"/>
  <c r="D15393" i="10"/>
  <c r="D15392" i="10"/>
  <c r="D15391" i="10"/>
  <c r="D15390" i="10"/>
  <c r="D15389" i="10"/>
  <c r="D15388" i="10"/>
  <c r="D15387" i="10"/>
  <c r="D15386" i="10"/>
  <c r="D15385" i="10"/>
  <c r="D15384" i="10"/>
  <c r="D15383" i="10"/>
  <c r="D15382" i="10"/>
  <c r="D15381" i="10"/>
  <c r="D15380" i="10"/>
  <c r="D15379" i="10"/>
  <c r="D15378" i="10"/>
  <c r="D15377" i="10"/>
  <c r="D15376" i="10"/>
  <c r="D15375" i="10"/>
  <c r="D15374" i="10"/>
  <c r="D15373" i="10"/>
  <c r="D15372" i="10"/>
  <c r="D15371" i="10"/>
  <c r="D15370" i="10"/>
  <c r="D15369" i="10"/>
  <c r="D15368" i="10"/>
  <c r="D15367" i="10"/>
  <c r="D15366" i="10"/>
  <c r="D15365" i="10"/>
  <c r="D15364" i="10"/>
  <c r="D15363" i="10"/>
  <c r="D15362" i="10"/>
  <c r="D15361" i="10"/>
  <c r="D15360" i="10"/>
  <c r="D15359" i="10"/>
  <c r="D15358" i="10"/>
  <c r="D15357" i="10"/>
  <c r="D15356" i="10"/>
  <c r="D15355" i="10"/>
  <c r="D15354" i="10"/>
  <c r="D15353" i="10"/>
  <c r="D15352" i="10"/>
  <c r="D15351" i="10"/>
  <c r="D15350" i="10"/>
  <c r="D15349" i="10"/>
  <c r="D15348" i="10"/>
  <c r="D15347" i="10"/>
  <c r="D15346" i="10"/>
  <c r="D15345" i="10"/>
  <c r="D15344" i="10"/>
  <c r="D15343" i="10"/>
  <c r="D15342" i="10"/>
  <c r="D15341" i="10"/>
  <c r="D15340" i="10"/>
  <c r="D15339" i="10"/>
  <c r="D15338" i="10"/>
  <c r="D15337" i="10"/>
  <c r="D15336" i="10"/>
  <c r="D15335" i="10"/>
  <c r="D15334" i="10"/>
  <c r="D15333" i="10"/>
  <c r="D15332" i="10"/>
  <c r="D15331" i="10"/>
  <c r="D15330" i="10"/>
  <c r="D15329" i="10"/>
  <c r="D15328" i="10"/>
  <c r="D15327" i="10"/>
  <c r="D15326" i="10"/>
  <c r="D15325" i="10"/>
  <c r="D15324" i="10"/>
  <c r="D15323" i="10"/>
  <c r="D15322" i="10"/>
  <c r="D15321" i="10"/>
  <c r="D15320" i="10"/>
  <c r="D15319" i="10"/>
  <c r="D15318" i="10"/>
  <c r="D15317" i="10"/>
  <c r="D15316" i="10"/>
  <c r="D15315" i="10"/>
  <c r="D15314" i="10"/>
  <c r="D15313" i="10"/>
  <c r="D15312" i="10"/>
  <c r="D15311" i="10"/>
  <c r="D15310" i="10"/>
  <c r="D15309" i="10"/>
  <c r="D15308" i="10"/>
  <c r="D15307" i="10"/>
  <c r="D15306" i="10"/>
  <c r="D15305" i="10"/>
  <c r="D15304" i="10"/>
  <c r="D15303" i="10"/>
  <c r="D15302" i="10"/>
  <c r="D15301" i="10"/>
  <c r="D15300" i="10"/>
  <c r="D15299" i="10"/>
  <c r="D15298" i="10"/>
  <c r="D15297" i="10"/>
  <c r="D15296" i="10"/>
  <c r="D15295" i="10"/>
  <c r="D15294" i="10"/>
  <c r="D15293" i="10"/>
  <c r="D15292" i="10"/>
  <c r="D15291" i="10"/>
  <c r="D15290" i="10"/>
  <c r="D15289" i="10"/>
  <c r="D15288" i="10"/>
  <c r="D15287" i="10"/>
  <c r="D15286" i="10"/>
  <c r="D15285" i="10"/>
  <c r="D15284" i="10"/>
  <c r="D15283" i="10"/>
  <c r="D15282" i="10"/>
  <c r="D15281" i="10"/>
  <c r="D15280" i="10"/>
  <c r="D15279" i="10"/>
  <c r="D15278" i="10"/>
  <c r="D15277" i="10"/>
  <c r="D15276" i="10"/>
  <c r="D15275" i="10"/>
  <c r="D15274" i="10"/>
  <c r="D15273" i="10"/>
  <c r="D15272" i="10"/>
  <c r="D15271" i="10"/>
  <c r="D15270" i="10"/>
  <c r="D15269" i="10"/>
  <c r="D15268" i="10"/>
  <c r="D15267" i="10"/>
  <c r="D15266" i="10"/>
  <c r="D15265" i="10"/>
  <c r="D15264" i="10"/>
  <c r="D15263" i="10"/>
  <c r="D15262" i="10"/>
  <c r="D15261" i="10"/>
  <c r="D15260" i="10"/>
  <c r="D15259" i="10"/>
  <c r="D15258" i="10"/>
  <c r="D15257" i="10"/>
  <c r="D15256" i="10"/>
  <c r="D15255" i="10"/>
  <c r="D15254" i="10"/>
  <c r="D15253" i="10"/>
  <c r="D15252" i="10"/>
  <c r="D15251" i="10"/>
  <c r="D15250" i="10"/>
  <c r="D15249" i="10"/>
  <c r="D15248" i="10"/>
  <c r="D15247" i="10"/>
  <c r="D15246" i="10"/>
  <c r="D15245" i="10"/>
  <c r="D15244" i="10"/>
  <c r="D15243" i="10"/>
  <c r="D15242" i="10"/>
  <c r="D15241" i="10"/>
  <c r="D15240" i="10"/>
  <c r="D15239" i="10"/>
  <c r="D15238" i="10"/>
  <c r="D15237" i="10"/>
  <c r="D15236" i="10"/>
  <c r="D15235" i="10"/>
  <c r="D15234" i="10"/>
  <c r="D15233" i="10"/>
  <c r="D15232" i="10"/>
  <c r="D15231" i="10"/>
  <c r="D15230" i="10"/>
  <c r="D15229" i="10"/>
  <c r="D15228" i="10"/>
  <c r="D15227" i="10"/>
  <c r="D15226" i="10"/>
  <c r="D15225" i="10"/>
  <c r="D15224" i="10"/>
  <c r="D15223" i="10"/>
  <c r="D15222" i="10"/>
  <c r="D15221" i="10"/>
  <c r="D15220" i="10"/>
  <c r="D15219" i="10"/>
  <c r="D15218" i="10"/>
  <c r="D15217" i="10"/>
  <c r="D15216" i="10"/>
  <c r="D15215" i="10"/>
  <c r="D15214" i="10"/>
  <c r="D15213" i="10"/>
  <c r="D15212" i="10"/>
  <c r="D15211" i="10"/>
  <c r="D15210" i="10"/>
  <c r="D15209" i="10"/>
  <c r="D15208" i="10"/>
  <c r="D15207" i="10"/>
  <c r="D15206" i="10"/>
  <c r="D15205" i="10"/>
  <c r="D15204" i="10"/>
  <c r="D15203" i="10"/>
  <c r="D15202" i="10"/>
  <c r="D15201" i="10"/>
  <c r="D15200" i="10"/>
  <c r="D15199" i="10"/>
  <c r="D15198" i="10"/>
  <c r="D15197" i="10"/>
  <c r="D15196" i="10"/>
  <c r="D15195" i="10"/>
  <c r="D15194" i="10"/>
  <c r="D15193" i="10"/>
  <c r="D15192" i="10"/>
  <c r="D15191" i="10"/>
  <c r="D15190" i="10"/>
  <c r="D15189" i="10"/>
  <c r="D15188" i="10"/>
  <c r="D15187" i="10"/>
  <c r="D15186" i="10"/>
  <c r="D15185" i="10"/>
  <c r="D15184" i="10"/>
  <c r="D15183" i="10"/>
  <c r="D15182" i="10"/>
  <c r="D15181" i="10"/>
  <c r="D15180" i="10"/>
  <c r="D15179" i="10"/>
  <c r="D15178" i="10"/>
  <c r="D15177" i="10"/>
  <c r="D15176" i="10"/>
  <c r="D15175" i="10"/>
  <c r="D15174" i="10"/>
  <c r="D15173" i="10"/>
  <c r="D15172" i="10"/>
  <c r="D15171" i="10"/>
  <c r="D15170" i="10"/>
  <c r="D15169" i="10"/>
  <c r="D15168" i="10"/>
  <c r="D15167" i="10"/>
  <c r="D15166" i="10"/>
  <c r="D15165" i="10"/>
  <c r="D15164" i="10"/>
  <c r="D15163" i="10"/>
  <c r="D15162" i="10"/>
  <c r="D15161" i="10"/>
  <c r="D15160" i="10"/>
  <c r="D15159" i="10"/>
  <c r="D15158" i="10"/>
  <c r="D15157" i="10"/>
  <c r="D15156" i="10"/>
  <c r="D15155" i="10"/>
  <c r="D15154" i="10"/>
  <c r="D15153" i="10"/>
  <c r="D15152" i="10"/>
  <c r="D15151" i="10"/>
  <c r="D15150" i="10"/>
  <c r="D15149" i="10"/>
  <c r="D15148" i="10"/>
  <c r="D15147" i="10"/>
  <c r="D15146" i="10"/>
  <c r="D15145" i="10"/>
  <c r="D15144" i="10"/>
  <c r="D15143" i="10"/>
  <c r="D15142" i="10"/>
  <c r="D15141" i="10"/>
  <c r="D15140" i="10"/>
  <c r="D15139" i="10"/>
  <c r="D15138" i="10"/>
  <c r="D15137" i="10"/>
  <c r="D15136" i="10"/>
  <c r="D15135" i="10"/>
  <c r="D15134" i="10"/>
  <c r="D15133" i="10"/>
  <c r="D15132" i="10"/>
  <c r="D15131" i="10"/>
  <c r="D15130" i="10"/>
  <c r="D15129" i="10"/>
  <c r="D15128" i="10"/>
  <c r="D15127" i="10"/>
  <c r="D15126" i="10"/>
  <c r="D15125" i="10"/>
  <c r="D15124" i="10"/>
  <c r="D15123" i="10"/>
  <c r="D15122" i="10"/>
  <c r="D15121" i="10"/>
  <c r="D15120" i="10"/>
  <c r="D15119" i="10"/>
  <c r="D15118" i="10"/>
  <c r="D15117" i="10"/>
  <c r="D15116" i="10"/>
  <c r="D15115" i="10"/>
  <c r="D15114" i="10"/>
  <c r="D15113" i="10"/>
  <c r="D15112" i="10"/>
  <c r="D15111" i="10"/>
  <c r="D15110" i="10"/>
  <c r="D15109" i="10"/>
  <c r="D15108" i="10"/>
  <c r="D15107" i="10"/>
  <c r="D15106" i="10"/>
  <c r="D15105" i="10"/>
  <c r="D15104" i="10"/>
  <c r="D15103" i="10"/>
  <c r="D15102" i="10"/>
  <c r="D15101" i="10"/>
  <c r="D15100" i="10"/>
  <c r="D15099" i="10"/>
  <c r="D15098" i="10"/>
  <c r="D15097" i="10"/>
  <c r="D15096" i="10"/>
  <c r="D15095" i="10"/>
  <c r="D15094" i="10"/>
  <c r="D15093" i="10"/>
  <c r="D15092" i="10"/>
  <c r="D15091" i="10"/>
  <c r="D15090" i="10"/>
  <c r="D15089" i="10"/>
  <c r="D15088" i="10"/>
  <c r="D15087" i="10"/>
  <c r="D15086" i="10"/>
  <c r="D15085" i="10"/>
  <c r="D15084" i="10"/>
  <c r="D15083" i="10"/>
  <c r="D15082" i="10"/>
  <c r="D15081" i="10"/>
  <c r="D15080" i="10"/>
  <c r="D15079" i="10"/>
  <c r="D15078" i="10"/>
  <c r="D15077" i="10"/>
  <c r="D15076" i="10"/>
  <c r="D15075" i="10"/>
  <c r="D15074" i="10"/>
  <c r="D15073" i="10"/>
  <c r="D15072" i="10"/>
  <c r="D15071" i="10"/>
  <c r="D15070" i="10"/>
  <c r="D15069" i="10"/>
  <c r="D15068" i="10"/>
  <c r="D15067" i="10"/>
  <c r="D15066" i="10"/>
  <c r="D15065" i="10"/>
  <c r="D15064" i="10"/>
  <c r="D15063" i="10"/>
  <c r="D15062" i="10"/>
  <c r="D15061" i="10"/>
  <c r="D15060" i="10"/>
  <c r="D15059" i="10"/>
  <c r="D15058" i="10"/>
  <c r="D15057" i="10"/>
  <c r="D15056" i="10"/>
  <c r="D15055" i="10"/>
  <c r="D15054" i="10"/>
  <c r="D15053" i="10"/>
  <c r="D15052" i="10"/>
  <c r="D15051" i="10"/>
  <c r="D15050" i="10"/>
  <c r="D15049" i="10"/>
  <c r="D15048" i="10"/>
  <c r="D15047" i="10"/>
  <c r="D15046" i="10"/>
  <c r="D15045" i="10"/>
  <c r="D15044" i="10"/>
  <c r="D15043" i="10"/>
  <c r="D15042" i="10"/>
  <c r="D15041" i="10"/>
  <c r="D15040" i="10"/>
  <c r="D15039" i="10"/>
  <c r="D15038" i="10"/>
  <c r="D15037" i="10"/>
  <c r="D15036" i="10"/>
  <c r="D15035" i="10"/>
  <c r="D15034" i="10"/>
  <c r="D15033" i="10"/>
  <c r="D15032" i="10"/>
  <c r="D15031" i="10"/>
  <c r="D15030" i="10"/>
  <c r="D15029" i="10"/>
  <c r="D15028" i="10"/>
  <c r="D15027" i="10"/>
  <c r="D15026" i="10"/>
  <c r="D15025" i="10"/>
  <c r="D15024" i="10"/>
  <c r="D15023" i="10"/>
  <c r="D15022" i="10"/>
  <c r="D15021" i="10"/>
  <c r="D15020" i="10"/>
  <c r="D15019" i="10"/>
  <c r="D15018" i="10"/>
  <c r="D15017" i="10"/>
  <c r="D15016" i="10"/>
  <c r="D15015" i="10"/>
  <c r="D15014" i="10"/>
  <c r="D15013" i="10"/>
  <c r="D15012" i="10"/>
  <c r="D15011" i="10"/>
  <c r="D15010" i="10"/>
  <c r="D15009" i="10"/>
  <c r="D15008" i="10"/>
  <c r="D15007" i="10"/>
  <c r="D15006" i="10"/>
  <c r="D15005" i="10"/>
  <c r="D15004" i="10"/>
  <c r="D15003" i="10"/>
  <c r="D15002" i="10"/>
  <c r="D15001" i="10"/>
  <c r="D15000" i="10"/>
  <c r="D14999" i="10"/>
  <c r="D14998" i="10"/>
  <c r="D14997" i="10"/>
  <c r="D14996" i="10"/>
  <c r="D14995" i="10"/>
  <c r="D14994" i="10"/>
  <c r="D14993" i="10"/>
  <c r="D14992" i="10"/>
  <c r="D14991" i="10"/>
  <c r="D14990" i="10"/>
  <c r="D14989" i="10"/>
  <c r="D14988" i="10"/>
  <c r="D14987" i="10"/>
  <c r="D14986" i="10"/>
  <c r="D14985" i="10"/>
  <c r="D14984" i="10"/>
  <c r="D14983" i="10"/>
  <c r="D14982" i="10"/>
  <c r="D14981" i="10"/>
  <c r="D14980" i="10"/>
  <c r="D14979" i="10"/>
  <c r="D14978" i="10"/>
  <c r="D14977" i="10"/>
  <c r="D14976" i="10"/>
  <c r="D14975" i="10"/>
  <c r="D14974" i="10"/>
  <c r="D14973" i="10"/>
  <c r="D14972" i="10"/>
  <c r="D14971" i="10"/>
  <c r="D14970" i="10"/>
  <c r="D14969" i="10"/>
  <c r="D14968" i="10"/>
  <c r="D14967" i="10"/>
  <c r="D14966" i="10"/>
  <c r="D14965" i="10"/>
  <c r="D14964" i="10"/>
  <c r="D14963" i="10"/>
  <c r="D14962" i="10"/>
  <c r="D14961" i="10"/>
  <c r="D14960" i="10"/>
  <c r="D14959" i="10"/>
  <c r="D14958" i="10"/>
  <c r="D14957" i="10"/>
  <c r="D14956" i="10"/>
  <c r="D14955" i="10"/>
  <c r="D14954" i="10"/>
  <c r="D14953" i="10"/>
  <c r="D14952" i="10"/>
  <c r="D14951" i="10"/>
  <c r="D14950" i="10"/>
  <c r="D14949" i="10"/>
  <c r="D14948" i="10"/>
  <c r="D14947" i="10"/>
  <c r="D14946" i="10"/>
  <c r="D14945" i="10"/>
  <c r="D14944" i="10"/>
  <c r="D14943" i="10"/>
  <c r="D14942" i="10"/>
  <c r="D14941" i="10"/>
  <c r="D14940" i="10"/>
  <c r="D14939" i="10"/>
  <c r="D14938" i="10"/>
  <c r="D14937" i="10"/>
  <c r="D14936" i="10"/>
  <c r="D14935" i="10"/>
  <c r="D14934" i="10"/>
  <c r="D14933" i="10"/>
  <c r="D14932" i="10"/>
  <c r="D14931" i="10"/>
  <c r="D14930" i="10"/>
  <c r="D14929" i="10"/>
  <c r="D14928" i="10"/>
  <c r="D14927" i="10"/>
  <c r="D14926" i="10"/>
  <c r="D14925" i="10"/>
  <c r="D14924" i="10"/>
  <c r="D14923" i="10"/>
  <c r="D14922" i="10"/>
  <c r="D14921" i="10"/>
  <c r="D14920" i="10"/>
  <c r="D14919" i="10"/>
  <c r="D14918" i="10"/>
  <c r="D14917" i="10"/>
  <c r="D14916" i="10"/>
  <c r="D14915" i="10"/>
  <c r="D14914" i="10"/>
  <c r="D14913" i="10"/>
  <c r="D14912" i="10"/>
  <c r="D14911" i="10"/>
  <c r="D14910" i="10"/>
  <c r="D14909" i="10"/>
  <c r="D14908" i="10"/>
  <c r="D14907" i="10"/>
  <c r="D14906" i="10"/>
  <c r="D14905" i="10"/>
  <c r="D14904" i="10"/>
  <c r="D14903" i="10"/>
  <c r="D14902" i="10"/>
  <c r="D14901" i="10"/>
  <c r="D14900" i="10"/>
  <c r="D14899" i="10"/>
  <c r="D14898" i="10"/>
  <c r="D14897" i="10"/>
  <c r="D14896" i="10"/>
  <c r="D14895" i="10"/>
  <c r="D14894" i="10"/>
  <c r="D14893" i="10"/>
  <c r="D14892" i="10"/>
  <c r="D14891" i="10"/>
  <c r="D14890" i="10"/>
  <c r="D14889" i="10"/>
  <c r="D14888" i="10"/>
  <c r="D14887" i="10"/>
  <c r="D14886" i="10"/>
  <c r="D14885" i="10"/>
  <c r="D14884" i="10"/>
  <c r="D14883" i="10"/>
  <c r="D14882" i="10"/>
  <c r="D14881" i="10"/>
  <c r="D14880" i="10"/>
  <c r="D14879" i="10"/>
  <c r="D14878" i="10"/>
  <c r="D14877" i="10"/>
  <c r="D14876" i="10"/>
  <c r="D14875" i="10"/>
  <c r="D14874" i="10"/>
  <c r="D14873" i="10"/>
  <c r="D14872" i="10"/>
  <c r="D14871" i="10"/>
  <c r="D14870" i="10"/>
  <c r="D14869" i="10"/>
  <c r="D14868" i="10"/>
  <c r="D14867" i="10"/>
  <c r="D14866" i="10"/>
  <c r="D14865" i="10"/>
  <c r="D14864" i="10"/>
  <c r="D14863" i="10"/>
  <c r="D14862" i="10"/>
  <c r="D14861" i="10"/>
  <c r="D14860" i="10"/>
  <c r="D14859" i="10"/>
  <c r="D14858" i="10"/>
  <c r="D14857" i="10"/>
  <c r="D14856" i="10"/>
  <c r="D14855" i="10"/>
  <c r="D14854" i="10"/>
  <c r="D14853" i="10"/>
  <c r="D14852" i="10"/>
  <c r="D14851" i="10"/>
  <c r="D14850" i="10"/>
  <c r="D14849" i="10"/>
  <c r="D14848" i="10"/>
  <c r="D14847" i="10"/>
  <c r="D14846" i="10"/>
  <c r="D14845" i="10"/>
  <c r="D14844" i="10"/>
  <c r="D14843" i="10"/>
  <c r="D14842" i="10"/>
  <c r="D14841" i="10"/>
  <c r="D14840" i="10"/>
  <c r="D14839" i="10"/>
  <c r="D14838" i="10"/>
  <c r="D14837" i="10"/>
  <c r="D14836" i="10"/>
  <c r="D14835" i="10"/>
  <c r="D14834" i="10"/>
  <c r="D14833" i="10"/>
  <c r="D14832" i="10"/>
  <c r="D14831" i="10"/>
  <c r="D14830" i="10"/>
  <c r="D14829" i="10"/>
  <c r="D14828" i="10"/>
  <c r="D14827" i="10"/>
  <c r="D14826" i="10"/>
  <c r="D14825" i="10"/>
  <c r="D14824" i="10"/>
  <c r="D14823" i="10"/>
  <c r="D14822" i="10"/>
  <c r="D14821" i="10"/>
  <c r="D14820" i="10"/>
  <c r="D14819" i="10"/>
  <c r="D14818" i="10"/>
  <c r="D14817" i="10"/>
  <c r="D14816" i="10"/>
  <c r="D14815" i="10"/>
  <c r="D14814" i="10"/>
  <c r="D14813" i="10"/>
  <c r="D14812" i="10"/>
  <c r="D14811" i="10"/>
  <c r="D14810" i="10"/>
  <c r="D14809" i="10"/>
  <c r="D14808" i="10"/>
  <c r="D14807" i="10"/>
  <c r="D14806" i="10"/>
  <c r="D14805" i="10"/>
  <c r="D14804" i="10"/>
  <c r="D14803" i="10"/>
  <c r="D14802" i="10"/>
  <c r="D14801" i="10"/>
  <c r="D14800" i="10"/>
  <c r="D14799" i="10"/>
  <c r="D14798" i="10"/>
  <c r="D14797" i="10"/>
  <c r="D14796" i="10"/>
  <c r="D14795" i="10"/>
  <c r="D14794" i="10"/>
  <c r="D14793" i="10"/>
  <c r="D14792" i="10"/>
  <c r="D14791" i="10"/>
  <c r="D14790" i="10"/>
  <c r="D14789" i="10"/>
  <c r="D14788" i="10"/>
  <c r="D14787" i="10"/>
  <c r="D14786" i="10"/>
  <c r="D14785" i="10"/>
  <c r="D14784" i="10"/>
  <c r="D14783" i="10"/>
  <c r="D14782" i="10"/>
  <c r="D14781" i="10"/>
  <c r="D14780" i="10"/>
  <c r="D14779" i="10"/>
  <c r="D14778" i="10"/>
  <c r="D14777" i="10"/>
  <c r="D14776" i="10"/>
  <c r="D14775" i="10"/>
  <c r="D14774" i="10"/>
  <c r="D14773" i="10"/>
  <c r="D14772" i="10"/>
  <c r="D14771" i="10"/>
  <c r="D14770" i="10"/>
  <c r="D14769" i="10"/>
  <c r="D14768" i="10"/>
  <c r="D14767" i="10"/>
  <c r="D14766" i="10"/>
  <c r="D14765" i="10"/>
  <c r="D14764" i="10"/>
  <c r="D14763" i="10"/>
  <c r="D14762" i="10"/>
  <c r="D14761" i="10"/>
  <c r="D14760" i="10"/>
  <c r="D14759" i="10"/>
  <c r="D14758" i="10"/>
  <c r="D14757" i="10"/>
  <c r="D14756" i="10"/>
  <c r="D14755" i="10"/>
  <c r="D14754" i="10"/>
  <c r="D14753" i="10"/>
  <c r="D14752" i="10"/>
  <c r="D14751" i="10"/>
  <c r="D14750" i="10"/>
  <c r="D14749" i="10"/>
  <c r="D14748" i="10"/>
  <c r="D14747" i="10"/>
  <c r="D14746" i="10"/>
  <c r="D14745" i="10"/>
  <c r="D14744" i="10"/>
  <c r="D14743" i="10"/>
  <c r="D14742" i="10"/>
  <c r="D14741" i="10"/>
  <c r="D14740" i="10"/>
  <c r="D14739" i="10"/>
  <c r="D14738" i="10"/>
  <c r="D14737" i="10"/>
  <c r="D14736" i="10"/>
  <c r="D14735" i="10"/>
  <c r="D14734" i="10"/>
  <c r="D14733" i="10"/>
  <c r="D14732" i="10"/>
  <c r="D14731" i="10"/>
  <c r="D14730" i="10"/>
  <c r="D14729" i="10"/>
  <c r="D14728" i="10"/>
  <c r="D14727" i="10"/>
  <c r="D14726" i="10"/>
  <c r="D14725" i="10"/>
  <c r="D14724" i="10"/>
  <c r="D14723" i="10"/>
  <c r="D14722" i="10"/>
  <c r="D14721" i="10"/>
  <c r="D14720" i="10"/>
  <c r="D14719" i="10"/>
  <c r="D14718" i="10"/>
  <c r="D14717" i="10"/>
  <c r="D14716" i="10"/>
  <c r="D14715" i="10"/>
  <c r="D14714" i="10"/>
  <c r="D14713" i="10"/>
  <c r="D14712" i="10"/>
  <c r="D14711" i="10"/>
  <c r="D14710" i="10"/>
  <c r="D14709" i="10"/>
  <c r="D14708" i="10"/>
  <c r="D14707" i="10"/>
  <c r="D14706" i="10"/>
  <c r="D14705" i="10"/>
  <c r="D14704" i="10"/>
  <c r="D14703" i="10"/>
  <c r="D14702" i="10"/>
  <c r="D14701" i="10"/>
  <c r="D14700" i="10"/>
  <c r="D14699" i="10"/>
  <c r="D14698" i="10"/>
  <c r="D14697" i="10"/>
  <c r="D14696" i="10"/>
  <c r="D14695" i="10"/>
  <c r="D14694" i="10"/>
  <c r="D14693" i="10"/>
  <c r="D14692" i="10"/>
  <c r="D14691" i="10"/>
  <c r="D14690" i="10"/>
  <c r="D14689" i="10"/>
  <c r="D14688" i="10"/>
  <c r="D14687" i="10"/>
  <c r="D14686" i="10"/>
  <c r="D14685" i="10"/>
  <c r="D14684" i="10"/>
  <c r="D14683" i="10"/>
  <c r="D14682" i="10"/>
  <c r="D14681" i="10"/>
  <c r="D14680" i="10"/>
  <c r="D14679" i="10"/>
  <c r="D14678" i="10"/>
  <c r="D14677" i="10"/>
  <c r="D14676" i="10"/>
  <c r="D14675" i="10"/>
  <c r="D14674" i="10"/>
  <c r="D14673" i="10"/>
  <c r="D14672" i="10"/>
  <c r="D14671" i="10"/>
  <c r="D14670" i="10"/>
  <c r="D14669" i="10"/>
  <c r="D14668" i="10"/>
  <c r="D14667" i="10"/>
  <c r="D14666" i="10"/>
  <c r="D14665" i="10"/>
  <c r="D14664" i="10"/>
  <c r="D14663" i="10"/>
  <c r="D14662" i="10"/>
  <c r="D14661" i="10"/>
  <c r="D14660" i="10"/>
  <c r="D14659" i="10"/>
  <c r="D14658" i="10"/>
  <c r="D14657" i="10"/>
  <c r="D14656" i="10"/>
  <c r="D14655" i="10"/>
  <c r="D14654" i="10"/>
  <c r="D14653" i="10"/>
  <c r="D14652" i="10"/>
  <c r="D14651" i="10"/>
  <c r="D14650" i="10"/>
  <c r="D14649" i="10"/>
  <c r="D14648" i="10"/>
  <c r="D14647" i="10"/>
  <c r="D14646" i="10"/>
  <c r="D14645" i="10"/>
  <c r="D14644" i="10"/>
  <c r="D14643" i="10"/>
  <c r="D14642" i="10"/>
  <c r="D14641" i="10"/>
  <c r="D14640" i="10"/>
  <c r="D14639" i="10"/>
  <c r="D14638" i="10"/>
  <c r="D14637" i="10"/>
  <c r="D14636" i="10"/>
  <c r="D14635" i="10"/>
  <c r="D14634" i="10"/>
  <c r="D14633" i="10"/>
  <c r="D14632" i="10"/>
  <c r="D14631" i="10"/>
  <c r="D14630" i="10"/>
  <c r="D14629" i="10"/>
  <c r="D14628" i="10"/>
  <c r="D14627" i="10"/>
  <c r="D14626" i="10"/>
  <c r="D14625" i="10"/>
  <c r="D14624" i="10"/>
  <c r="D14623" i="10"/>
  <c r="D14622" i="10"/>
  <c r="D14621" i="10"/>
  <c r="D14620" i="10"/>
  <c r="D14619" i="10"/>
  <c r="D14618" i="10"/>
  <c r="D14617" i="10"/>
  <c r="D14616" i="10"/>
  <c r="D14615" i="10"/>
  <c r="D14614" i="10"/>
  <c r="D14613" i="10"/>
  <c r="D14612" i="10"/>
  <c r="D14611" i="10"/>
  <c r="D14610" i="10"/>
  <c r="D14609" i="10"/>
  <c r="D14608" i="10"/>
  <c r="D14607" i="10"/>
  <c r="D14606" i="10"/>
  <c r="D14605" i="10"/>
  <c r="D14604" i="10"/>
  <c r="D14603" i="10"/>
  <c r="D14602" i="10"/>
  <c r="D14601" i="10"/>
  <c r="D14600" i="10"/>
  <c r="D14599" i="10"/>
  <c r="D14598" i="10"/>
  <c r="D14597" i="10"/>
  <c r="D14596" i="10"/>
  <c r="D14595" i="10"/>
  <c r="D14594" i="10"/>
  <c r="D14593" i="10"/>
  <c r="D14592" i="10"/>
  <c r="D14591" i="10"/>
  <c r="D14590" i="10"/>
  <c r="D14589" i="10"/>
  <c r="D14588" i="10"/>
  <c r="D14587" i="10"/>
  <c r="D14586" i="10"/>
  <c r="D14585" i="10"/>
  <c r="D14584" i="10"/>
  <c r="D14583" i="10"/>
  <c r="D14582" i="10"/>
  <c r="D14581" i="10"/>
  <c r="D14580" i="10"/>
  <c r="D14579" i="10"/>
  <c r="D14578" i="10"/>
  <c r="D14577" i="10"/>
  <c r="D14576" i="10"/>
  <c r="D14575" i="10"/>
  <c r="D14574" i="10"/>
  <c r="D14573" i="10"/>
  <c r="D14572" i="10"/>
  <c r="D14571" i="10"/>
  <c r="D14570" i="10"/>
  <c r="D14569" i="10"/>
  <c r="D14568" i="10"/>
  <c r="D14567" i="10"/>
  <c r="D14566" i="10"/>
  <c r="D14565" i="10"/>
  <c r="D14564" i="10"/>
  <c r="D14563" i="10"/>
  <c r="D14562" i="10"/>
  <c r="D14561" i="10"/>
  <c r="D14560" i="10"/>
  <c r="D14559" i="10"/>
  <c r="D14558" i="10"/>
  <c r="D14557" i="10"/>
  <c r="D14556" i="10"/>
  <c r="D14555" i="10"/>
  <c r="D14554" i="10"/>
  <c r="D14553" i="10"/>
  <c r="D14552" i="10"/>
  <c r="D14551" i="10"/>
  <c r="D14550" i="10"/>
  <c r="D14549" i="10"/>
  <c r="D14548" i="10"/>
  <c r="D14547" i="10"/>
  <c r="D14546" i="10"/>
  <c r="D14545" i="10"/>
  <c r="D14544" i="10"/>
  <c r="D14543" i="10"/>
  <c r="D14542" i="10"/>
  <c r="D14541" i="10"/>
  <c r="D14540" i="10"/>
  <c r="D14539" i="10"/>
  <c r="D14538" i="10"/>
  <c r="D14537" i="10"/>
  <c r="D14536" i="10"/>
  <c r="D14535" i="10"/>
  <c r="D14534" i="10"/>
  <c r="D14533" i="10"/>
  <c r="D14532" i="10"/>
  <c r="D14531" i="10"/>
  <c r="D14530" i="10"/>
  <c r="D14529" i="10"/>
  <c r="D14528" i="10"/>
  <c r="D14527" i="10"/>
  <c r="D14526" i="10"/>
  <c r="D14525" i="10"/>
  <c r="D14524" i="10"/>
  <c r="D14523" i="10"/>
  <c r="D14522" i="10"/>
  <c r="D14521" i="10"/>
  <c r="D14520" i="10"/>
  <c r="D14519" i="10"/>
  <c r="D14518" i="10"/>
  <c r="D14517" i="10"/>
  <c r="D14516" i="10"/>
  <c r="D14515" i="10"/>
  <c r="D14514" i="10"/>
  <c r="D14513" i="10"/>
  <c r="D14512" i="10"/>
  <c r="D14511" i="10"/>
  <c r="D14510" i="10"/>
  <c r="D14509" i="10"/>
  <c r="D14508" i="10"/>
  <c r="D14507" i="10"/>
  <c r="D14506" i="10"/>
  <c r="D14505" i="10"/>
  <c r="D14504" i="10"/>
  <c r="D14503" i="10"/>
  <c r="D14502" i="10"/>
  <c r="D14501" i="10"/>
  <c r="D14500" i="10"/>
  <c r="D14499" i="10"/>
  <c r="D14498" i="10"/>
  <c r="D14497" i="10"/>
  <c r="D14496" i="10"/>
  <c r="D14495" i="10"/>
  <c r="D14494" i="10"/>
  <c r="D14493" i="10"/>
  <c r="D14492" i="10"/>
  <c r="D14491" i="10"/>
  <c r="D14490" i="10"/>
  <c r="D14489" i="10"/>
  <c r="D14488" i="10"/>
  <c r="D14487" i="10"/>
  <c r="D14486" i="10"/>
  <c r="D14485" i="10"/>
  <c r="D14484" i="10"/>
  <c r="D14483" i="10"/>
  <c r="D14482" i="10"/>
  <c r="D14481" i="10"/>
  <c r="D14480" i="10"/>
  <c r="D14479" i="10"/>
  <c r="D14478" i="10"/>
  <c r="D14477" i="10"/>
  <c r="D14476" i="10"/>
  <c r="D14475" i="10"/>
  <c r="D14474" i="10"/>
  <c r="D14473" i="10"/>
  <c r="D14472" i="10"/>
  <c r="D14471" i="10"/>
  <c r="D14470" i="10"/>
  <c r="D14469" i="10"/>
  <c r="D14468" i="10"/>
  <c r="D14467" i="10"/>
  <c r="D14466" i="10"/>
  <c r="D14465" i="10"/>
  <c r="D14464" i="10"/>
  <c r="D14463" i="10"/>
  <c r="D14462" i="10"/>
  <c r="D14461" i="10"/>
  <c r="D14460" i="10"/>
  <c r="D14459" i="10"/>
  <c r="D14458" i="10"/>
  <c r="D14457" i="10"/>
  <c r="D14456" i="10"/>
  <c r="D14455" i="10"/>
  <c r="D14454" i="10"/>
  <c r="D14453" i="10"/>
  <c r="D14452" i="10"/>
  <c r="D14451" i="10"/>
  <c r="D14450" i="10"/>
  <c r="D14449" i="10"/>
  <c r="D14448" i="10"/>
  <c r="D14447" i="10"/>
  <c r="D14446" i="10"/>
  <c r="D14445" i="10"/>
  <c r="D14444" i="10"/>
  <c r="D14443" i="10"/>
  <c r="D14442" i="10"/>
  <c r="D14441" i="10"/>
  <c r="D14440" i="10"/>
  <c r="D14439" i="10"/>
  <c r="D14438" i="10"/>
  <c r="D14437" i="10"/>
  <c r="D14436" i="10"/>
  <c r="D14435" i="10"/>
  <c r="D14434" i="10"/>
  <c r="D14433" i="10"/>
  <c r="D14432" i="10"/>
  <c r="D14431" i="10"/>
  <c r="D14430" i="10"/>
  <c r="D14429" i="10"/>
  <c r="D14428" i="10"/>
  <c r="D14427" i="10"/>
  <c r="D14426" i="10"/>
  <c r="D14425" i="10"/>
  <c r="D14424" i="10"/>
  <c r="D14423" i="10"/>
  <c r="D14422" i="10"/>
  <c r="D14421" i="10"/>
  <c r="D14420" i="10"/>
  <c r="D14419" i="10"/>
  <c r="D14418" i="10"/>
  <c r="D14417" i="10"/>
  <c r="D14416" i="10"/>
  <c r="D14415" i="10"/>
  <c r="D14414" i="10"/>
  <c r="D14413" i="10"/>
  <c r="D14412" i="10"/>
  <c r="D14411" i="10"/>
  <c r="D14410" i="10"/>
  <c r="D14409" i="10"/>
  <c r="D14408" i="10"/>
  <c r="D14407" i="10"/>
  <c r="D14406" i="10"/>
  <c r="D14405" i="10"/>
  <c r="D14404" i="10"/>
  <c r="D14403" i="10"/>
  <c r="D14402" i="10"/>
  <c r="D14401" i="10"/>
  <c r="D14400" i="10"/>
  <c r="D14399" i="10"/>
  <c r="D14398" i="10"/>
  <c r="D14397" i="10"/>
  <c r="D14396" i="10"/>
  <c r="D14395" i="10"/>
  <c r="D14394" i="10"/>
  <c r="D14393" i="10"/>
  <c r="D14392" i="10"/>
  <c r="D14391" i="10"/>
  <c r="D14390" i="10"/>
  <c r="D14389" i="10"/>
  <c r="D14388" i="10"/>
  <c r="D14387" i="10"/>
  <c r="D14386" i="10"/>
  <c r="D14385" i="10"/>
  <c r="D14384" i="10"/>
  <c r="D14383" i="10"/>
  <c r="D14382" i="10"/>
  <c r="D14381" i="10"/>
  <c r="D14380" i="10"/>
  <c r="D14379" i="10"/>
  <c r="D14378" i="10"/>
  <c r="D14377" i="10"/>
  <c r="D14376" i="10"/>
  <c r="D14375" i="10"/>
  <c r="D14374" i="10"/>
  <c r="D14373" i="10"/>
  <c r="D14372" i="10"/>
  <c r="D14371" i="10"/>
  <c r="D14370" i="10"/>
  <c r="D14369" i="10"/>
  <c r="D14368" i="10"/>
  <c r="D14367" i="10"/>
  <c r="D14366" i="10"/>
  <c r="D14365" i="10"/>
  <c r="D14364" i="10"/>
  <c r="D14363" i="10"/>
  <c r="D14362" i="10"/>
  <c r="D14361" i="10"/>
  <c r="D14360" i="10"/>
  <c r="D14359" i="10"/>
  <c r="D14358" i="10"/>
  <c r="D14357" i="10"/>
  <c r="D14356" i="10"/>
  <c r="D14355" i="10"/>
  <c r="D14354" i="10"/>
  <c r="D14353" i="10"/>
  <c r="D14352" i="10"/>
  <c r="D14351" i="10"/>
  <c r="D14350" i="10"/>
  <c r="D14349" i="10"/>
  <c r="D14348" i="10"/>
  <c r="D14347" i="10"/>
  <c r="D14346" i="10"/>
  <c r="D14345" i="10"/>
  <c r="D14344" i="10"/>
  <c r="D14343" i="10"/>
  <c r="D14342" i="10"/>
  <c r="D14341" i="10"/>
  <c r="D14340" i="10"/>
  <c r="D14339" i="10"/>
  <c r="D14338" i="10"/>
  <c r="D14337" i="10"/>
  <c r="D14336" i="10"/>
  <c r="D14335" i="10"/>
  <c r="D14334" i="10"/>
  <c r="D14333" i="10"/>
  <c r="D14332" i="10"/>
  <c r="D14331" i="10"/>
  <c r="D14330" i="10"/>
  <c r="D14329" i="10"/>
  <c r="D14328" i="10"/>
  <c r="D14327" i="10"/>
  <c r="D14326" i="10"/>
  <c r="D14325" i="10"/>
  <c r="D14324" i="10"/>
  <c r="D14323" i="10"/>
  <c r="D14322" i="10"/>
  <c r="D14321" i="10"/>
  <c r="D14320" i="10"/>
  <c r="D14319" i="10"/>
  <c r="D14318" i="10"/>
  <c r="D14317" i="10"/>
  <c r="D14316" i="10"/>
  <c r="D14315" i="10"/>
  <c r="D14314" i="10"/>
  <c r="D14313" i="10"/>
  <c r="D14312" i="10"/>
  <c r="D14311" i="10"/>
  <c r="D14310" i="10"/>
  <c r="D14309" i="10"/>
  <c r="D14308" i="10"/>
  <c r="D14307" i="10"/>
  <c r="D14306" i="10"/>
  <c r="D14305" i="10"/>
  <c r="D14304" i="10"/>
  <c r="D14303" i="10"/>
  <c r="D14302" i="10"/>
  <c r="D14301" i="10"/>
  <c r="D14300" i="10"/>
  <c r="D14299" i="10"/>
  <c r="D14298" i="10"/>
  <c r="D14297" i="10"/>
  <c r="D14296" i="10"/>
  <c r="D14295" i="10"/>
  <c r="D14294" i="10"/>
  <c r="D14293" i="10"/>
  <c r="D14292" i="10"/>
  <c r="D14291" i="10"/>
  <c r="D14290" i="10"/>
  <c r="D14289" i="10"/>
  <c r="D14288" i="10"/>
  <c r="D14287" i="10"/>
  <c r="D14286" i="10"/>
  <c r="D14285" i="10"/>
  <c r="D14284" i="10"/>
  <c r="D14283" i="10"/>
  <c r="D14282" i="10"/>
  <c r="D14281" i="10"/>
  <c r="D14280" i="10"/>
  <c r="D14279" i="10"/>
  <c r="D14278" i="10"/>
  <c r="D14277" i="10"/>
  <c r="D14276" i="10"/>
  <c r="D14275" i="10"/>
  <c r="D14274" i="10"/>
  <c r="D14273" i="10"/>
  <c r="D14272" i="10"/>
  <c r="D14271" i="10"/>
  <c r="D14270" i="10"/>
  <c r="D14269" i="10"/>
  <c r="D14268" i="10"/>
  <c r="D14267" i="10"/>
  <c r="D14266" i="10"/>
  <c r="D14265" i="10"/>
  <c r="D14264" i="10"/>
  <c r="D14263" i="10"/>
  <c r="D14262" i="10"/>
  <c r="D14261" i="10"/>
  <c r="D14260" i="10"/>
  <c r="D14259" i="10"/>
  <c r="D14258" i="10"/>
  <c r="D14257" i="10"/>
  <c r="D14256" i="10"/>
  <c r="D14255" i="10"/>
  <c r="D14254" i="10"/>
  <c r="D14253" i="10"/>
  <c r="D14252" i="10"/>
  <c r="D14251" i="10"/>
  <c r="D14250" i="10"/>
  <c r="D14249" i="10"/>
  <c r="D14248" i="10"/>
  <c r="D14247" i="10"/>
  <c r="D14246" i="10"/>
  <c r="D14245" i="10"/>
  <c r="D14244" i="10"/>
  <c r="D14243" i="10"/>
  <c r="D14242" i="10"/>
  <c r="D14241" i="10"/>
  <c r="D14240" i="10"/>
  <c r="D14239" i="10"/>
  <c r="D14238" i="10"/>
  <c r="D14237" i="10"/>
  <c r="D14236" i="10"/>
  <c r="D14235" i="10"/>
  <c r="D14234" i="10"/>
  <c r="D14233" i="10"/>
  <c r="D14232" i="10"/>
  <c r="D14231" i="10"/>
  <c r="D14230" i="10"/>
  <c r="D14229" i="10"/>
  <c r="D14228" i="10"/>
  <c r="D14227" i="10"/>
  <c r="D14226" i="10"/>
  <c r="D14225" i="10"/>
  <c r="D14224" i="10"/>
  <c r="D14223" i="10"/>
  <c r="D14222" i="10"/>
  <c r="D14221" i="10"/>
  <c r="D14220" i="10"/>
  <c r="D14219" i="10"/>
  <c r="D14218" i="10"/>
  <c r="D14217" i="10"/>
  <c r="D14216" i="10"/>
  <c r="D14215" i="10"/>
  <c r="D14214" i="10"/>
  <c r="D14213" i="10"/>
  <c r="D14212" i="10"/>
  <c r="D14211" i="10"/>
  <c r="D14210" i="10"/>
  <c r="D14209" i="10"/>
  <c r="D14208" i="10"/>
  <c r="D14207" i="10"/>
  <c r="D14206" i="10"/>
  <c r="D14205" i="10"/>
  <c r="D14204" i="10"/>
  <c r="D14203" i="10"/>
  <c r="D14202" i="10"/>
  <c r="D14201" i="10"/>
  <c r="D14200" i="10"/>
  <c r="D14199" i="10"/>
  <c r="D14198" i="10"/>
  <c r="D14197" i="10"/>
  <c r="D14196" i="10"/>
  <c r="D14195" i="10"/>
  <c r="D14194" i="10"/>
  <c r="D14193" i="10"/>
  <c r="D14192" i="10"/>
  <c r="D14191" i="10"/>
  <c r="D14190" i="10"/>
  <c r="D14189" i="10"/>
  <c r="D14188" i="10"/>
  <c r="D14187" i="10"/>
  <c r="D14186" i="10"/>
  <c r="D14185" i="10"/>
  <c r="D14184" i="10"/>
  <c r="D14183" i="10"/>
  <c r="D14182" i="10"/>
  <c r="D14181" i="10"/>
  <c r="D14180" i="10"/>
  <c r="D14179" i="10"/>
  <c r="D14178" i="10"/>
  <c r="D14177" i="10"/>
  <c r="D14176" i="10"/>
  <c r="D14175" i="10"/>
  <c r="D14174" i="10"/>
  <c r="D14173" i="10"/>
  <c r="D14172" i="10"/>
  <c r="D14171" i="10"/>
  <c r="D14170" i="10"/>
  <c r="D14169" i="10"/>
  <c r="D14168" i="10"/>
  <c r="D14167" i="10"/>
  <c r="D14166" i="10"/>
  <c r="D14165" i="10"/>
  <c r="D14164" i="10"/>
  <c r="D14163" i="10"/>
  <c r="D14162" i="10"/>
  <c r="D14161" i="10"/>
  <c r="D14160" i="10"/>
  <c r="D14159" i="10"/>
  <c r="D14158" i="10"/>
  <c r="D14157" i="10"/>
  <c r="D14156" i="10"/>
  <c r="D14155" i="10"/>
  <c r="D14154" i="10"/>
  <c r="D14153" i="10"/>
  <c r="D14152" i="10"/>
  <c r="D14151" i="10"/>
  <c r="D14150" i="10"/>
  <c r="D14149" i="10"/>
  <c r="D14148" i="10"/>
  <c r="D14147" i="10"/>
  <c r="D14146" i="10"/>
  <c r="D14145" i="10"/>
  <c r="D14144" i="10"/>
  <c r="D14143" i="10"/>
  <c r="D14142" i="10"/>
  <c r="D14141" i="10"/>
  <c r="D14140" i="10"/>
  <c r="D14139" i="10"/>
  <c r="D14138" i="10"/>
  <c r="D14137" i="10"/>
  <c r="D14136" i="10"/>
  <c r="D14135" i="10"/>
  <c r="D14134" i="10"/>
  <c r="D14133" i="10"/>
  <c r="D14132" i="10"/>
  <c r="D14131" i="10"/>
  <c r="D14130" i="10"/>
  <c r="D14129" i="10"/>
  <c r="D14128" i="10"/>
  <c r="D14127" i="10"/>
  <c r="D14126" i="10"/>
  <c r="D14125" i="10"/>
  <c r="D14124" i="10"/>
  <c r="D14123" i="10"/>
  <c r="D14122" i="10"/>
  <c r="D14121" i="10"/>
  <c r="D14120" i="10"/>
  <c r="D14119" i="10"/>
  <c r="D14118" i="10"/>
  <c r="D14117" i="10"/>
  <c r="D14116" i="10"/>
  <c r="D14115" i="10"/>
  <c r="D14114" i="10"/>
  <c r="D14113" i="10"/>
  <c r="D14112" i="10"/>
  <c r="D14111" i="10"/>
  <c r="D14110" i="10"/>
  <c r="D14109" i="10"/>
  <c r="D14108" i="10"/>
  <c r="D14107" i="10"/>
  <c r="D14106" i="10"/>
  <c r="D14105" i="10"/>
  <c r="D14104" i="10"/>
  <c r="D14103" i="10"/>
  <c r="D14102" i="10"/>
  <c r="D14101" i="10"/>
  <c r="D14100" i="10"/>
  <c r="D14099" i="10"/>
  <c r="D14098" i="10"/>
  <c r="D14097" i="10"/>
  <c r="D14096" i="10"/>
  <c r="D14095" i="10"/>
  <c r="D14094" i="10"/>
  <c r="D14093" i="10"/>
  <c r="D14092" i="10"/>
  <c r="D14091" i="10"/>
  <c r="D14090" i="10"/>
  <c r="D14089" i="10"/>
  <c r="D14088" i="10"/>
  <c r="D14087" i="10"/>
  <c r="D14086" i="10"/>
  <c r="D14085" i="10"/>
  <c r="D14084" i="10"/>
  <c r="D14083" i="10"/>
  <c r="D14082" i="10"/>
  <c r="D14081" i="10"/>
  <c r="D14080" i="10"/>
  <c r="D14079" i="10"/>
  <c r="D14078" i="10"/>
  <c r="D14077" i="10"/>
  <c r="D14076" i="10"/>
  <c r="D14075" i="10"/>
  <c r="D14074" i="10"/>
  <c r="D14073" i="10"/>
  <c r="D14072" i="10"/>
  <c r="D14071" i="10"/>
  <c r="D14070" i="10"/>
  <c r="D14069" i="10"/>
  <c r="D14068" i="10"/>
  <c r="D14067" i="10"/>
  <c r="D14066" i="10"/>
  <c r="D14065" i="10"/>
  <c r="D14064" i="10"/>
  <c r="D14063" i="10"/>
  <c r="D14062" i="10"/>
  <c r="D14061" i="10"/>
  <c r="D14060" i="10"/>
  <c r="D14059" i="10"/>
  <c r="D14058" i="10"/>
  <c r="D14057" i="10"/>
  <c r="D14056" i="10"/>
  <c r="D14055" i="10"/>
  <c r="D14054" i="10"/>
  <c r="D14053" i="10"/>
  <c r="D14052" i="10"/>
  <c r="D14051" i="10"/>
  <c r="D14050" i="10"/>
  <c r="D14049" i="10"/>
  <c r="D14048" i="10"/>
  <c r="D14047" i="10"/>
  <c r="D14046" i="10"/>
  <c r="D14045" i="10"/>
  <c r="D14044" i="10"/>
  <c r="D14043" i="10"/>
  <c r="D14042" i="10"/>
  <c r="D14041" i="10"/>
  <c r="D14040" i="10"/>
  <c r="D14039" i="10"/>
  <c r="D14038" i="10"/>
  <c r="D14037" i="10"/>
  <c r="D14036" i="10"/>
  <c r="D14035" i="10"/>
  <c r="D14034" i="10"/>
  <c r="D14033" i="10"/>
  <c r="D14032" i="10"/>
  <c r="D14031" i="10"/>
  <c r="D14030" i="10"/>
  <c r="D14029" i="10"/>
  <c r="D14028" i="10"/>
  <c r="D14027" i="10"/>
  <c r="D14026" i="10"/>
  <c r="D14025" i="10"/>
  <c r="D14024" i="10"/>
  <c r="D14023" i="10"/>
  <c r="D14022" i="10"/>
  <c r="D14021" i="10"/>
  <c r="D14020" i="10"/>
  <c r="D14019" i="10"/>
  <c r="D14018" i="10"/>
  <c r="D14017" i="10"/>
  <c r="D14016" i="10"/>
  <c r="D14015" i="10"/>
  <c r="D14014" i="10"/>
  <c r="D14013" i="10"/>
  <c r="D14012" i="10"/>
  <c r="D14011" i="10"/>
  <c r="D14010" i="10"/>
  <c r="D14009" i="10"/>
  <c r="D14008" i="10"/>
  <c r="D14007" i="10"/>
  <c r="D14006" i="10"/>
  <c r="D14005" i="10"/>
  <c r="D14004" i="10"/>
  <c r="D14003" i="10"/>
  <c r="D14002" i="10"/>
  <c r="D14001" i="10"/>
  <c r="D14000" i="10"/>
  <c r="D13999" i="10"/>
  <c r="D13998" i="10"/>
  <c r="D13997" i="10"/>
  <c r="D13996" i="10"/>
  <c r="D13995" i="10"/>
  <c r="D13994" i="10"/>
  <c r="D13993" i="10"/>
  <c r="D13992" i="10"/>
  <c r="D13991" i="10"/>
  <c r="D13990" i="10"/>
  <c r="D13989" i="10"/>
  <c r="D13988" i="10"/>
  <c r="D13987" i="10"/>
  <c r="D13986" i="10"/>
  <c r="D13985" i="10"/>
  <c r="D13984" i="10"/>
  <c r="D13983" i="10"/>
  <c r="D13982" i="10"/>
  <c r="D13981" i="10"/>
  <c r="D13980" i="10"/>
  <c r="D13979" i="10"/>
  <c r="D13978" i="10"/>
  <c r="D13977" i="10"/>
  <c r="D13976" i="10"/>
  <c r="D13975" i="10"/>
  <c r="D13974" i="10"/>
  <c r="D13973" i="10"/>
  <c r="D13972" i="10"/>
  <c r="D13971" i="10"/>
  <c r="D13970" i="10"/>
  <c r="D13969" i="10"/>
  <c r="D13968" i="10"/>
  <c r="D13967" i="10"/>
  <c r="D13966" i="10"/>
  <c r="D13965" i="10"/>
  <c r="D13964" i="10"/>
  <c r="D13963" i="10"/>
  <c r="D13962" i="10"/>
  <c r="D13961" i="10"/>
  <c r="D13960" i="10"/>
  <c r="D13959" i="10"/>
  <c r="D13958" i="10"/>
  <c r="D13957" i="10"/>
  <c r="D13956" i="10"/>
  <c r="D13955" i="10"/>
  <c r="D13954" i="10"/>
  <c r="D13953" i="10"/>
  <c r="D13952" i="10"/>
  <c r="D13951" i="10"/>
  <c r="D13950" i="10"/>
  <c r="D13949" i="10"/>
  <c r="D13948" i="10"/>
  <c r="D13947" i="10"/>
  <c r="D13946" i="10"/>
  <c r="D13945" i="10"/>
  <c r="D13944" i="10"/>
  <c r="D13943" i="10"/>
  <c r="D13942" i="10"/>
  <c r="D13941" i="10"/>
  <c r="D13940" i="10"/>
  <c r="D13939" i="10"/>
  <c r="D13938" i="10"/>
  <c r="D13937" i="10"/>
  <c r="D13936" i="10"/>
  <c r="D13935" i="10"/>
  <c r="D13934" i="10"/>
  <c r="D13933" i="10"/>
  <c r="D13932" i="10"/>
  <c r="D13931" i="10"/>
  <c r="D13930" i="10"/>
  <c r="D13929" i="10"/>
  <c r="D13928" i="10"/>
  <c r="D13927" i="10"/>
  <c r="D13926" i="10"/>
  <c r="D13925" i="10"/>
  <c r="D13924" i="10"/>
  <c r="D13923" i="10"/>
  <c r="D13922" i="10"/>
  <c r="D13921" i="10"/>
  <c r="D13920" i="10"/>
  <c r="D13919" i="10"/>
  <c r="D13918" i="10"/>
  <c r="D13917" i="10"/>
  <c r="D13916" i="10"/>
  <c r="D13915" i="10"/>
  <c r="D13914" i="10"/>
  <c r="D13913" i="10"/>
  <c r="D13912" i="10"/>
  <c r="D13911" i="10"/>
  <c r="D13910" i="10"/>
  <c r="D13909" i="10"/>
  <c r="D13908" i="10"/>
  <c r="D13907" i="10"/>
  <c r="D13906" i="10"/>
  <c r="D13905" i="10"/>
  <c r="D13904" i="10"/>
  <c r="D13903" i="10"/>
  <c r="D13902" i="10"/>
  <c r="D13901" i="10"/>
  <c r="D13900" i="10"/>
  <c r="D13899" i="10"/>
  <c r="D13898" i="10"/>
  <c r="D13897" i="10"/>
  <c r="D13896" i="10"/>
  <c r="D13895" i="10"/>
  <c r="D13894" i="10"/>
  <c r="D13893" i="10"/>
  <c r="D13892" i="10"/>
  <c r="D13891" i="10"/>
  <c r="D13890" i="10"/>
  <c r="D13889" i="10"/>
  <c r="D13888" i="10"/>
  <c r="D13887" i="10"/>
  <c r="D13886" i="10"/>
  <c r="D13885" i="10"/>
  <c r="D13884" i="10"/>
  <c r="D13883" i="10"/>
  <c r="D13882" i="10"/>
  <c r="D13881" i="10"/>
  <c r="D13880" i="10"/>
  <c r="D13879" i="10"/>
  <c r="D13878" i="10"/>
  <c r="D13877" i="10"/>
  <c r="D13876" i="10"/>
  <c r="D13875" i="10"/>
  <c r="D13874" i="10"/>
  <c r="D13873" i="10"/>
  <c r="D13872" i="10"/>
  <c r="D13871" i="10"/>
  <c r="D13870" i="10"/>
  <c r="D13869" i="10"/>
  <c r="D13868" i="10"/>
  <c r="D13867" i="10"/>
  <c r="D13866" i="10"/>
  <c r="D13865" i="10"/>
  <c r="D13864" i="10"/>
  <c r="D13863" i="10"/>
  <c r="D13862" i="10"/>
  <c r="D13861" i="10"/>
  <c r="D13860" i="10"/>
  <c r="D13859" i="10"/>
  <c r="D13858" i="10"/>
  <c r="D13857" i="10"/>
  <c r="D13856" i="10"/>
  <c r="D13855" i="10"/>
  <c r="D13854" i="10"/>
  <c r="D13853" i="10"/>
  <c r="D13852" i="10"/>
  <c r="D13851" i="10"/>
  <c r="D13850" i="10"/>
  <c r="D13849" i="10"/>
  <c r="D13848" i="10"/>
  <c r="D13847" i="10"/>
  <c r="D13846" i="10"/>
  <c r="D13845" i="10"/>
  <c r="D13844" i="10"/>
  <c r="D13843" i="10"/>
  <c r="D13842" i="10"/>
  <c r="D13841" i="10"/>
  <c r="D13840" i="10"/>
  <c r="D13839" i="10"/>
  <c r="D13838" i="10"/>
  <c r="D13837" i="10"/>
  <c r="D13836" i="10"/>
  <c r="D13835" i="10"/>
  <c r="D13834" i="10"/>
  <c r="D13833" i="10"/>
  <c r="D13832" i="10"/>
  <c r="D13831" i="10"/>
  <c r="D13830" i="10"/>
  <c r="D13829" i="10"/>
  <c r="D13828" i="10"/>
  <c r="D13827" i="10"/>
  <c r="D13826" i="10"/>
  <c r="D13825" i="10"/>
  <c r="D13824" i="10"/>
  <c r="D13823" i="10"/>
  <c r="D13822" i="10"/>
  <c r="D13821" i="10"/>
  <c r="D13820" i="10"/>
  <c r="D13819" i="10"/>
  <c r="D13818" i="10"/>
  <c r="D13817" i="10"/>
  <c r="D13816" i="10"/>
  <c r="D13815" i="10"/>
  <c r="D13814" i="10"/>
  <c r="D13813" i="10"/>
  <c r="D13812" i="10"/>
  <c r="D13811" i="10"/>
  <c r="D13810" i="10"/>
  <c r="D13809" i="10"/>
  <c r="D13808" i="10"/>
  <c r="D13807" i="10"/>
  <c r="D13806" i="10"/>
  <c r="D13805" i="10"/>
  <c r="D13804" i="10"/>
  <c r="D13803" i="10"/>
  <c r="D13802" i="10"/>
  <c r="D13801" i="10"/>
  <c r="D13800" i="10"/>
  <c r="D13799" i="10"/>
  <c r="D13798" i="10"/>
  <c r="D13797" i="10"/>
  <c r="D13796" i="10"/>
  <c r="D13795" i="10"/>
  <c r="D13794" i="10"/>
  <c r="D13793" i="10"/>
  <c r="D13792" i="10"/>
  <c r="D13791" i="10"/>
  <c r="D13790" i="10"/>
  <c r="D13789" i="10"/>
  <c r="D13788" i="10"/>
  <c r="D13787" i="10"/>
  <c r="D13786" i="10"/>
  <c r="D13785" i="10"/>
  <c r="D13784" i="10"/>
  <c r="D13783" i="10"/>
  <c r="D13782" i="10"/>
  <c r="D13781" i="10"/>
  <c r="D13780" i="10"/>
  <c r="D13779" i="10"/>
  <c r="D13778" i="10"/>
  <c r="D13777" i="10"/>
  <c r="D13776" i="10"/>
  <c r="D13775" i="10"/>
  <c r="D13774" i="10"/>
  <c r="D13773" i="10"/>
  <c r="D13772" i="10"/>
  <c r="D13771" i="10"/>
  <c r="D13770" i="10"/>
  <c r="D13769" i="10"/>
  <c r="D13768" i="10"/>
  <c r="D13767" i="10"/>
  <c r="D13766" i="10"/>
  <c r="D13765" i="10"/>
  <c r="D13764" i="10"/>
  <c r="D13763" i="10"/>
  <c r="D13762" i="10"/>
  <c r="D13761" i="10"/>
  <c r="D13760" i="10"/>
  <c r="D13759" i="10"/>
  <c r="D13758" i="10"/>
  <c r="D13757" i="10"/>
  <c r="D13756" i="10"/>
  <c r="D13755" i="10"/>
  <c r="D13754" i="10"/>
  <c r="D13753" i="10"/>
  <c r="D13752" i="10"/>
  <c r="D13751" i="10"/>
  <c r="D13750" i="10"/>
  <c r="D13749" i="10"/>
  <c r="D13748" i="10"/>
  <c r="D13747" i="10"/>
  <c r="D13746" i="10"/>
  <c r="D13745" i="10"/>
  <c r="D13744" i="10"/>
  <c r="D13743" i="10"/>
  <c r="D13742" i="10"/>
  <c r="D13741" i="10"/>
  <c r="D13740" i="10"/>
  <c r="D13739" i="10"/>
  <c r="D13738" i="10"/>
  <c r="D13737" i="10"/>
  <c r="D13736" i="10"/>
  <c r="D13735" i="10"/>
  <c r="D13734" i="10"/>
  <c r="D13733" i="10"/>
  <c r="D13732" i="10"/>
  <c r="D13731" i="10"/>
  <c r="D13730" i="10"/>
  <c r="D13729" i="10"/>
  <c r="D13728" i="10"/>
  <c r="D13727" i="10"/>
  <c r="D13726" i="10"/>
  <c r="D13725" i="10"/>
  <c r="D13724" i="10"/>
  <c r="D13723" i="10"/>
  <c r="D13722" i="10"/>
  <c r="D13721" i="10"/>
  <c r="D13720" i="10"/>
  <c r="D13719" i="10"/>
  <c r="D13718" i="10"/>
  <c r="D13717" i="10"/>
  <c r="D13716" i="10"/>
  <c r="D13715" i="10"/>
  <c r="D13714" i="10"/>
  <c r="D13713" i="10"/>
  <c r="D13712" i="10"/>
  <c r="D13711" i="10"/>
  <c r="D13710" i="10"/>
  <c r="D13709" i="10"/>
  <c r="D13708" i="10"/>
  <c r="D13707" i="10"/>
  <c r="D13706" i="10"/>
  <c r="D13705" i="10"/>
  <c r="D13704" i="10"/>
  <c r="D13703" i="10"/>
  <c r="D13702" i="10"/>
  <c r="D13701" i="10"/>
  <c r="D13700" i="10"/>
  <c r="D13699" i="10"/>
  <c r="D13698" i="10"/>
  <c r="D13697" i="10"/>
  <c r="D13696" i="10"/>
  <c r="D13695" i="10"/>
  <c r="D13694" i="10"/>
  <c r="D13693" i="10"/>
  <c r="D13692" i="10"/>
  <c r="D13691" i="10"/>
  <c r="D13690" i="10"/>
  <c r="D13689" i="10"/>
  <c r="D13688" i="10"/>
  <c r="D13687" i="10"/>
  <c r="D13686" i="10"/>
  <c r="D13685" i="10"/>
  <c r="D13684" i="10"/>
  <c r="D13683" i="10"/>
  <c r="D13682" i="10"/>
  <c r="D13681" i="10"/>
  <c r="D13680" i="10"/>
  <c r="D13679" i="10"/>
  <c r="D13678" i="10"/>
  <c r="D13677" i="10"/>
  <c r="D13676" i="10"/>
  <c r="D13675" i="10"/>
  <c r="D13674" i="10"/>
  <c r="D13673" i="10"/>
  <c r="D13672" i="10"/>
  <c r="D13671" i="10"/>
  <c r="D13670" i="10"/>
  <c r="D13669" i="10"/>
  <c r="D13668" i="10"/>
  <c r="D13667" i="10"/>
  <c r="D13666" i="10"/>
  <c r="D13665" i="10"/>
  <c r="D13664" i="10"/>
  <c r="D13663" i="10"/>
  <c r="D13662" i="10"/>
  <c r="D13661" i="10"/>
  <c r="D13660" i="10"/>
  <c r="D13659" i="10"/>
  <c r="D13658" i="10"/>
  <c r="D13657" i="10"/>
  <c r="D13656" i="10"/>
  <c r="D13655" i="10"/>
  <c r="D13654" i="10"/>
  <c r="D13653" i="10"/>
  <c r="D13652" i="10"/>
  <c r="D13651" i="10"/>
  <c r="D13650" i="10"/>
  <c r="D13649" i="10"/>
  <c r="D13648" i="10"/>
  <c r="D13647" i="10"/>
  <c r="D13646" i="10"/>
  <c r="D13645" i="10"/>
  <c r="D13644" i="10"/>
  <c r="D13643" i="10"/>
  <c r="D13642" i="10"/>
  <c r="D13641" i="10"/>
  <c r="D13640" i="10"/>
  <c r="D13639" i="10"/>
  <c r="D13638" i="10"/>
  <c r="D13637" i="10"/>
  <c r="D13636" i="10"/>
  <c r="D13635" i="10"/>
  <c r="D13634" i="10"/>
  <c r="D13633" i="10"/>
  <c r="D13632" i="10"/>
  <c r="D13631" i="10"/>
  <c r="D13630" i="10"/>
  <c r="D13629" i="10"/>
  <c r="D13628" i="10"/>
  <c r="D13627" i="10"/>
  <c r="D13626" i="10"/>
  <c r="D13625" i="10"/>
  <c r="D13624" i="10"/>
  <c r="D13623" i="10"/>
  <c r="D13622" i="10"/>
  <c r="D13621" i="10"/>
  <c r="D13620" i="10"/>
  <c r="D13619" i="10"/>
  <c r="D13618" i="10"/>
  <c r="D13617" i="10"/>
  <c r="D13616" i="10"/>
  <c r="D13615" i="10"/>
  <c r="D13614" i="10"/>
  <c r="D13613" i="10"/>
  <c r="D13612" i="10"/>
  <c r="D13611" i="10"/>
  <c r="D13610" i="10"/>
  <c r="D13609" i="10"/>
  <c r="D13608" i="10"/>
  <c r="D13607" i="10"/>
  <c r="D13606" i="10"/>
  <c r="D13605" i="10"/>
  <c r="D13604" i="10"/>
  <c r="D13603" i="10"/>
  <c r="D13602" i="10"/>
  <c r="D13601" i="10"/>
  <c r="D13600" i="10"/>
  <c r="D13599" i="10"/>
  <c r="D13598" i="10"/>
  <c r="D13597" i="10"/>
  <c r="D13596" i="10"/>
  <c r="D13595" i="10"/>
  <c r="D13594" i="10"/>
  <c r="D13593" i="10"/>
  <c r="D13592" i="10"/>
  <c r="D13591" i="10"/>
  <c r="D13590" i="10"/>
  <c r="D13589" i="10"/>
  <c r="D13588" i="10"/>
  <c r="D13587" i="10"/>
  <c r="D13586" i="10"/>
  <c r="D13585" i="10"/>
  <c r="D13584" i="10"/>
  <c r="D13583" i="10"/>
  <c r="D13582" i="10"/>
  <c r="D13581" i="10"/>
  <c r="D13580" i="10"/>
  <c r="D13579" i="10"/>
  <c r="D13578" i="10"/>
  <c r="D13577" i="10"/>
  <c r="D13576" i="10"/>
  <c r="D13575" i="10"/>
  <c r="D13574" i="10"/>
  <c r="D13573" i="10"/>
  <c r="D13572" i="10"/>
  <c r="D13571" i="10"/>
  <c r="D13570" i="10"/>
  <c r="D13569" i="10"/>
  <c r="D13568" i="10"/>
  <c r="D13567" i="10"/>
  <c r="D13566" i="10"/>
  <c r="D13565" i="10"/>
  <c r="D13564" i="10"/>
  <c r="D13563" i="10"/>
  <c r="D13562" i="10"/>
  <c r="D13561" i="10"/>
  <c r="D13560" i="10"/>
  <c r="D13559" i="10"/>
  <c r="D13558" i="10"/>
  <c r="D13557" i="10"/>
  <c r="D13556" i="10"/>
  <c r="D13555" i="10"/>
  <c r="D13554" i="10"/>
  <c r="D13553" i="10"/>
  <c r="D13552" i="10"/>
  <c r="D13551" i="10"/>
  <c r="D13550" i="10"/>
  <c r="D13549" i="10"/>
  <c r="D13548" i="10"/>
  <c r="D13547" i="10"/>
  <c r="D13546" i="10"/>
  <c r="D13545" i="10"/>
  <c r="D13544" i="10"/>
  <c r="D13543" i="10"/>
  <c r="D13542" i="10"/>
  <c r="D13541" i="10"/>
  <c r="D13540" i="10"/>
  <c r="D13539" i="10"/>
  <c r="D13538" i="10"/>
  <c r="D13537" i="10"/>
  <c r="D13536" i="10"/>
  <c r="D13535" i="10"/>
  <c r="D13534" i="10"/>
  <c r="D13533" i="10"/>
  <c r="D13532" i="10"/>
  <c r="D13531" i="10"/>
  <c r="D13530" i="10"/>
  <c r="D13529" i="10"/>
  <c r="D13528" i="10"/>
  <c r="D13527" i="10"/>
  <c r="D13526" i="10"/>
  <c r="D13525" i="10"/>
  <c r="D13524" i="10"/>
  <c r="D13523" i="10"/>
  <c r="D13522" i="10"/>
  <c r="D13521" i="10"/>
  <c r="D13520" i="10"/>
  <c r="D13519" i="10"/>
  <c r="D13518" i="10"/>
  <c r="D13517" i="10"/>
  <c r="D13516" i="10"/>
  <c r="D13515" i="10"/>
  <c r="D13514" i="10"/>
  <c r="D13513" i="10"/>
  <c r="D13512" i="10"/>
  <c r="D13511" i="10"/>
  <c r="D13510" i="10"/>
  <c r="D13509" i="10"/>
  <c r="D13508" i="10"/>
  <c r="D13507" i="10"/>
  <c r="D13506" i="10"/>
  <c r="D13505" i="10"/>
  <c r="D13504" i="10"/>
  <c r="D13503" i="10"/>
  <c r="D13502" i="10"/>
  <c r="D13501" i="10"/>
  <c r="D13500" i="10"/>
  <c r="D13499" i="10"/>
  <c r="D13498" i="10"/>
  <c r="D13497" i="10"/>
  <c r="D13496" i="10"/>
  <c r="D13495" i="10"/>
  <c r="D13494" i="10"/>
  <c r="D13493" i="10"/>
  <c r="D13492" i="10"/>
  <c r="D13491" i="10"/>
  <c r="D13490" i="10"/>
  <c r="D13489" i="10"/>
  <c r="D13488" i="10"/>
  <c r="D13487" i="10"/>
  <c r="D13486" i="10"/>
  <c r="D13485" i="10"/>
  <c r="D13484" i="10"/>
  <c r="D13483" i="10"/>
  <c r="D13482" i="10"/>
  <c r="D13481" i="10"/>
  <c r="D13480" i="10"/>
  <c r="D13479" i="10"/>
  <c r="D13478" i="10"/>
  <c r="D13477" i="10"/>
  <c r="D13476" i="10"/>
  <c r="D13475" i="10"/>
  <c r="D13474" i="10"/>
  <c r="D13473" i="10"/>
  <c r="D13472" i="10"/>
  <c r="D13471" i="10"/>
  <c r="D13470" i="10"/>
  <c r="D13469" i="10"/>
  <c r="D13468" i="10"/>
  <c r="D13467" i="10"/>
  <c r="D13466" i="10"/>
  <c r="D13465" i="10"/>
  <c r="D13464" i="10"/>
  <c r="D13463" i="10"/>
  <c r="D13462" i="10"/>
  <c r="D13461" i="10"/>
  <c r="D13460" i="10"/>
  <c r="D13459" i="10"/>
  <c r="D13458" i="10"/>
  <c r="D13457" i="10"/>
  <c r="D13456" i="10"/>
  <c r="D13455" i="10"/>
  <c r="D13454" i="10"/>
  <c r="D13453" i="10"/>
  <c r="D13452" i="10"/>
  <c r="D13451" i="10"/>
  <c r="D13450" i="10"/>
  <c r="D13449" i="10"/>
  <c r="D13448" i="10"/>
  <c r="D13447" i="10"/>
  <c r="D13446" i="10"/>
  <c r="D13445" i="10"/>
  <c r="D13444" i="10"/>
  <c r="D13443" i="10"/>
  <c r="D13442" i="10"/>
  <c r="D13441" i="10"/>
  <c r="D13440" i="10"/>
  <c r="D13439" i="10"/>
  <c r="D13438" i="10"/>
  <c r="D13437" i="10"/>
  <c r="D13436" i="10"/>
  <c r="D13435" i="10"/>
  <c r="D13434" i="10"/>
  <c r="D13433" i="10"/>
  <c r="D13432" i="10"/>
  <c r="D13431" i="10"/>
  <c r="D13430" i="10"/>
  <c r="D13429" i="10"/>
  <c r="D13428" i="10"/>
  <c r="D13427" i="10"/>
  <c r="D13426" i="10"/>
  <c r="D13425" i="10"/>
  <c r="D13424" i="10"/>
  <c r="D13423" i="10"/>
  <c r="D13422" i="10"/>
  <c r="D13421" i="10"/>
  <c r="D13420" i="10"/>
  <c r="D13419" i="10"/>
  <c r="D13418" i="10"/>
  <c r="D13417" i="10"/>
  <c r="D13416" i="10"/>
  <c r="D13415" i="10"/>
  <c r="D13414" i="10"/>
  <c r="D13413" i="10"/>
  <c r="D13412" i="10"/>
  <c r="D13411" i="10"/>
  <c r="D13410" i="10"/>
  <c r="D13409" i="10"/>
  <c r="D13408" i="10"/>
  <c r="D13407" i="10"/>
  <c r="D13406" i="10"/>
  <c r="D13405" i="10"/>
  <c r="D13404" i="10"/>
  <c r="D13403" i="10"/>
  <c r="D13402" i="10"/>
  <c r="D13401" i="10"/>
  <c r="D13400" i="10"/>
  <c r="D13399" i="10"/>
  <c r="D13398" i="10"/>
  <c r="D13397" i="10"/>
  <c r="D13396" i="10"/>
  <c r="D13395" i="10"/>
  <c r="D13394" i="10"/>
  <c r="D13393" i="10"/>
  <c r="D13392" i="10"/>
  <c r="D13391" i="10"/>
  <c r="D13390" i="10"/>
  <c r="D13389" i="10"/>
  <c r="D13388" i="10"/>
  <c r="D13387" i="10"/>
  <c r="D13386" i="10"/>
  <c r="D13385" i="10"/>
  <c r="D13384" i="10"/>
  <c r="D13383" i="10"/>
  <c r="D13382" i="10"/>
  <c r="D13381" i="10"/>
  <c r="D13380" i="10"/>
  <c r="D13379" i="10"/>
  <c r="D13378" i="10"/>
  <c r="D13377" i="10"/>
  <c r="D13376" i="10"/>
  <c r="D13375" i="10"/>
  <c r="D13374" i="10"/>
  <c r="D13373" i="10"/>
  <c r="D13372" i="10"/>
  <c r="D13371" i="10"/>
  <c r="D13370" i="10"/>
  <c r="D13369" i="10"/>
  <c r="D13368" i="10"/>
  <c r="D13367" i="10"/>
  <c r="D13366" i="10"/>
  <c r="D13365" i="10"/>
  <c r="D13364" i="10"/>
  <c r="D13363" i="10"/>
  <c r="D13362" i="10"/>
  <c r="D13361" i="10"/>
  <c r="D13360" i="10"/>
  <c r="D13359" i="10"/>
  <c r="D13358" i="10"/>
  <c r="D13357" i="10"/>
  <c r="D13356" i="10"/>
  <c r="D13355" i="10"/>
  <c r="D13354" i="10"/>
  <c r="D13353" i="10"/>
  <c r="D13352" i="10"/>
  <c r="D13351" i="10"/>
  <c r="D13350" i="10"/>
  <c r="D13349" i="10"/>
  <c r="D13348" i="10"/>
  <c r="D13347" i="10"/>
  <c r="D13346" i="10"/>
  <c r="D13345" i="10"/>
  <c r="D13344" i="10"/>
  <c r="D13343" i="10"/>
  <c r="D13342" i="10"/>
  <c r="D13341" i="10"/>
  <c r="D13340" i="10"/>
  <c r="D13339" i="10"/>
  <c r="D13338" i="10"/>
  <c r="D13337" i="10"/>
  <c r="D13336" i="10"/>
  <c r="D13335" i="10"/>
  <c r="D13334" i="10"/>
  <c r="D13333" i="10"/>
  <c r="D13332" i="10"/>
  <c r="D13331" i="10"/>
  <c r="D13330" i="10"/>
  <c r="D13329" i="10"/>
  <c r="D13328" i="10"/>
  <c r="D13327" i="10"/>
  <c r="D13326" i="10"/>
  <c r="D13325" i="10"/>
  <c r="D13324" i="10"/>
  <c r="D13323" i="10"/>
  <c r="D13322" i="10"/>
  <c r="D13321" i="10"/>
  <c r="D13320" i="10"/>
  <c r="D13319" i="10"/>
  <c r="D13318" i="10"/>
  <c r="D13317" i="10"/>
  <c r="D13316" i="10"/>
  <c r="D13315" i="10"/>
  <c r="D13314" i="10"/>
  <c r="D13313" i="10"/>
  <c r="D13312" i="10"/>
  <c r="D13311" i="10"/>
  <c r="D13310" i="10"/>
  <c r="D13309" i="10"/>
  <c r="D13308" i="10"/>
  <c r="D13307" i="10"/>
  <c r="D13306" i="10"/>
  <c r="D13305" i="10"/>
  <c r="D13304" i="10"/>
  <c r="D13303" i="10"/>
  <c r="D13302" i="10"/>
  <c r="D13301" i="10"/>
  <c r="D13300" i="10"/>
  <c r="D13299" i="10"/>
  <c r="D13298" i="10"/>
  <c r="D13297" i="10"/>
  <c r="D13296" i="10"/>
  <c r="D13295" i="10"/>
  <c r="D13294" i="10"/>
  <c r="D13293" i="10"/>
  <c r="D13292" i="10"/>
  <c r="D13291" i="10"/>
  <c r="D13290" i="10"/>
  <c r="D13289" i="10"/>
  <c r="D13288" i="10"/>
  <c r="D13287" i="10"/>
  <c r="D13286" i="10"/>
  <c r="D13285" i="10"/>
  <c r="D13284" i="10"/>
  <c r="D13283" i="10"/>
  <c r="D13282" i="10"/>
  <c r="D13281" i="10"/>
  <c r="D13280" i="10"/>
  <c r="D13279" i="10"/>
  <c r="D13278" i="10"/>
  <c r="D13277" i="10"/>
  <c r="D13276" i="10"/>
  <c r="D13275" i="10"/>
  <c r="D13274" i="10"/>
  <c r="D13273" i="10"/>
  <c r="D13272" i="10"/>
  <c r="D13271" i="10"/>
  <c r="D13270" i="10"/>
  <c r="D13269" i="10"/>
  <c r="D13268" i="10"/>
  <c r="D13267" i="10"/>
  <c r="D13266" i="10"/>
  <c r="D13265" i="10"/>
  <c r="D13264" i="10"/>
  <c r="D13263" i="10"/>
  <c r="D13262" i="10"/>
  <c r="D13261" i="10"/>
  <c r="D13260" i="10"/>
  <c r="D13259" i="10"/>
  <c r="D13258" i="10"/>
  <c r="D13257" i="10"/>
  <c r="D13256" i="10"/>
  <c r="D13255" i="10"/>
  <c r="D13254" i="10"/>
  <c r="D13253" i="10"/>
  <c r="D13252" i="10"/>
  <c r="D13251" i="10"/>
  <c r="D13250" i="10"/>
  <c r="D13249" i="10"/>
  <c r="D13248" i="10"/>
  <c r="D13247" i="10"/>
  <c r="D13246" i="10"/>
  <c r="D13245" i="10"/>
  <c r="D13244" i="10"/>
  <c r="D13243" i="10"/>
  <c r="D13242" i="10"/>
  <c r="D13241" i="10"/>
  <c r="D13240" i="10"/>
  <c r="D13239" i="10"/>
  <c r="D13238" i="10"/>
  <c r="D13237" i="10"/>
  <c r="D13236" i="10"/>
  <c r="D13235" i="10"/>
  <c r="D13234" i="10"/>
  <c r="D13233" i="10"/>
  <c r="D13232" i="10"/>
  <c r="D13231" i="10"/>
  <c r="D13230" i="10"/>
  <c r="D13229" i="10"/>
  <c r="D13228" i="10"/>
  <c r="D13227" i="10"/>
  <c r="D13226" i="10"/>
  <c r="D13225" i="10"/>
  <c r="D13224" i="10"/>
  <c r="D13223" i="10"/>
  <c r="D13222" i="10"/>
  <c r="D13221" i="10"/>
  <c r="D13220" i="10"/>
  <c r="D13219" i="10"/>
  <c r="D13218" i="10"/>
  <c r="D13217" i="10"/>
  <c r="D13216" i="10"/>
  <c r="D13215" i="10"/>
  <c r="D13214" i="10"/>
  <c r="D13213" i="10"/>
  <c r="D13212" i="10"/>
  <c r="D13211" i="10"/>
  <c r="D13210" i="10"/>
  <c r="D13209" i="10"/>
  <c r="D13208" i="10"/>
  <c r="D13207" i="10"/>
  <c r="D13206" i="10"/>
  <c r="D13205" i="10"/>
  <c r="D13204" i="10"/>
  <c r="D13203" i="10"/>
  <c r="D13202" i="10"/>
  <c r="D13201" i="10"/>
  <c r="D13200" i="10"/>
  <c r="D13199" i="10"/>
  <c r="D13198" i="10"/>
  <c r="D13197" i="10"/>
  <c r="D13196" i="10"/>
  <c r="D13195" i="10"/>
  <c r="D13194" i="10"/>
  <c r="D13193" i="10"/>
  <c r="D13192" i="10"/>
  <c r="D13191" i="10"/>
  <c r="D13190" i="10"/>
  <c r="D13189" i="10"/>
  <c r="D13188" i="10"/>
  <c r="D13187" i="10"/>
  <c r="D13186" i="10"/>
  <c r="D13185" i="10"/>
  <c r="D13184" i="10"/>
  <c r="D13183" i="10"/>
  <c r="D13182" i="10"/>
  <c r="D13181" i="10"/>
  <c r="D13180" i="10"/>
  <c r="D13179" i="10"/>
  <c r="D13178" i="10"/>
  <c r="D13177" i="10"/>
  <c r="D13176" i="10"/>
  <c r="D13175" i="10"/>
  <c r="D13174" i="10"/>
  <c r="D13173" i="10"/>
  <c r="D13172" i="10"/>
  <c r="D13171" i="10"/>
  <c r="D13170" i="10"/>
  <c r="D13169" i="10"/>
  <c r="D13168" i="10"/>
  <c r="D13167" i="10"/>
  <c r="D13166" i="10"/>
  <c r="D13165" i="10"/>
  <c r="D13164" i="10"/>
  <c r="D13163" i="10"/>
  <c r="D13162" i="10"/>
  <c r="D13161" i="10"/>
  <c r="D13160" i="10"/>
  <c r="D13159" i="10"/>
  <c r="D13158" i="10"/>
  <c r="D13157" i="10"/>
  <c r="D13156" i="10"/>
  <c r="D13155" i="10"/>
  <c r="D13154" i="10"/>
  <c r="D13153" i="10"/>
  <c r="D13152" i="10"/>
  <c r="D13151" i="10"/>
  <c r="D13150" i="10"/>
  <c r="D13149" i="10"/>
  <c r="D13148" i="10"/>
  <c r="D13147" i="10"/>
  <c r="D13146" i="10"/>
  <c r="D13145" i="10"/>
  <c r="D13144" i="10"/>
  <c r="D13143" i="10"/>
  <c r="D13142" i="10"/>
  <c r="D13141" i="10"/>
  <c r="D13140" i="10"/>
  <c r="D13139" i="10"/>
  <c r="D13138" i="10"/>
  <c r="D13137" i="10"/>
  <c r="D13136" i="10"/>
  <c r="D13135" i="10"/>
  <c r="D13134" i="10"/>
  <c r="D13133" i="10"/>
  <c r="D13132" i="10"/>
  <c r="D13131" i="10"/>
  <c r="D13130" i="10"/>
  <c r="D13129" i="10"/>
  <c r="D13128" i="10"/>
  <c r="D13127" i="10"/>
  <c r="D13126" i="10"/>
  <c r="D13125" i="10"/>
  <c r="D13124" i="10"/>
  <c r="D13123" i="10"/>
  <c r="D13122" i="10"/>
  <c r="D13121" i="10"/>
  <c r="D13120" i="10"/>
  <c r="D13119" i="10"/>
  <c r="D13118" i="10"/>
  <c r="D13117" i="10"/>
  <c r="D13116" i="10"/>
  <c r="D13115" i="10"/>
  <c r="D13114" i="10"/>
  <c r="D13113" i="10"/>
  <c r="D13112" i="10"/>
  <c r="D13111" i="10"/>
  <c r="D13110" i="10"/>
  <c r="D13109" i="10"/>
  <c r="D13108" i="10"/>
  <c r="D13107" i="10"/>
  <c r="D13106" i="10"/>
  <c r="D13105" i="10"/>
  <c r="D13104" i="10"/>
  <c r="D13103" i="10"/>
  <c r="D13102" i="10"/>
  <c r="D13101" i="10"/>
  <c r="D13100" i="10"/>
  <c r="D13099" i="10"/>
  <c r="D13098" i="10"/>
  <c r="D13097" i="10"/>
  <c r="D13096" i="10"/>
  <c r="D13095" i="10"/>
  <c r="D13094" i="10"/>
  <c r="D13093" i="10"/>
  <c r="D13092" i="10"/>
  <c r="D13091" i="10"/>
  <c r="D13090" i="10"/>
  <c r="D13089" i="10"/>
  <c r="D13088" i="10"/>
  <c r="D13087" i="10"/>
  <c r="D13086" i="10"/>
  <c r="D13085" i="10"/>
  <c r="D13084" i="10"/>
  <c r="D13083" i="10"/>
  <c r="D13082" i="10"/>
  <c r="D13081" i="10"/>
  <c r="D13080" i="10"/>
  <c r="D13079" i="10"/>
  <c r="D13078" i="10"/>
  <c r="D13077" i="10"/>
  <c r="D13076" i="10"/>
  <c r="D13075" i="10"/>
  <c r="D13074" i="10"/>
  <c r="D13073" i="10"/>
  <c r="D13072" i="10"/>
  <c r="D13071" i="10"/>
  <c r="D13070" i="10"/>
  <c r="D13069" i="10"/>
  <c r="D13068" i="10"/>
  <c r="D13067" i="10"/>
  <c r="D13066" i="10"/>
  <c r="D13065" i="10"/>
  <c r="D13064" i="10"/>
  <c r="D13063" i="10"/>
  <c r="D13062" i="10"/>
  <c r="D13061" i="10"/>
  <c r="D13060" i="10"/>
  <c r="D13059" i="10"/>
  <c r="D13058" i="10"/>
  <c r="D13057" i="10"/>
  <c r="D13056" i="10"/>
  <c r="D13055" i="10"/>
  <c r="D13054" i="10"/>
  <c r="D13053" i="10"/>
  <c r="D13052" i="10"/>
  <c r="D13051" i="10"/>
  <c r="D13050" i="10"/>
  <c r="D13049" i="10"/>
  <c r="D13048" i="10"/>
  <c r="D13047" i="10"/>
  <c r="D13046" i="10"/>
  <c r="D13045" i="10"/>
  <c r="D13044" i="10"/>
  <c r="D13043" i="10"/>
  <c r="D13042" i="10"/>
  <c r="D13041" i="10"/>
  <c r="D13040" i="10"/>
  <c r="D13039" i="10"/>
  <c r="D13038" i="10"/>
  <c r="D13037" i="10"/>
  <c r="D13036" i="10"/>
  <c r="D13035" i="10"/>
  <c r="D13034" i="10"/>
  <c r="D13033" i="10"/>
  <c r="D13032" i="10"/>
  <c r="D13031" i="10"/>
  <c r="D13030" i="10"/>
  <c r="D13029" i="10"/>
  <c r="D13028" i="10"/>
  <c r="D13027" i="10"/>
  <c r="D13026" i="10"/>
  <c r="D13025" i="10"/>
  <c r="D13024" i="10"/>
  <c r="D13023" i="10"/>
  <c r="D13022" i="10"/>
  <c r="D13021" i="10"/>
  <c r="D13020" i="10"/>
  <c r="D13019" i="10"/>
  <c r="D13018" i="10"/>
  <c r="D13017" i="10"/>
  <c r="D13016" i="10"/>
  <c r="D13015" i="10"/>
  <c r="D13014" i="10"/>
  <c r="D13013" i="10"/>
  <c r="D13012" i="10"/>
  <c r="D13011" i="10"/>
  <c r="D13010" i="10"/>
  <c r="D13009" i="10"/>
  <c r="D13008" i="10"/>
  <c r="D13007" i="10"/>
  <c r="D13006" i="10"/>
  <c r="D13005" i="10"/>
  <c r="D13004" i="10"/>
  <c r="D13003" i="10"/>
  <c r="D13002" i="10"/>
  <c r="D13001" i="10"/>
  <c r="D13000" i="10"/>
  <c r="D12999" i="10"/>
  <c r="D12998" i="10"/>
  <c r="D12997" i="10"/>
  <c r="D12996" i="10"/>
  <c r="D12995" i="10"/>
  <c r="D12994" i="10"/>
  <c r="D12993" i="10"/>
  <c r="D12992" i="10"/>
  <c r="D12991" i="10"/>
  <c r="D12990" i="10"/>
  <c r="D12989" i="10"/>
  <c r="D12988" i="10"/>
  <c r="D12987" i="10"/>
  <c r="D12986" i="10"/>
  <c r="D12985" i="10"/>
  <c r="D12984" i="10"/>
  <c r="D12983" i="10"/>
  <c r="D12982" i="10"/>
  <c r="D12981" i="10"/>
  <c r="D12980" i="10"/>
  <c r="D12979" i="10"/>
  <c r="D12978" i="10"/>
  <c r="D12977" i="10"/>
  <c r="D12976" i="10"/>
  <c r="D12975" i="10"/>
  <c r="D12974" i="10"/>
  <c r="D12973" i="10"/>
  <c r="D12972" i="10"/>
  <c r="D12971" i="10"/>
  <c r="D12970" i="10"/>
  <c r="D12969" i="10"/>
  <c r="D12968" i="10"/>
  <c r="D12967" i="10"/>
  <c r="D12966" i="10"/>
  <c r="D12965" i="10"/>
  <c r="D12964" i="10"/>
  <c r="D12963" i="10"/>
  <c r="D12962" i="10"/>
  <c r="D12961" i="10"/>
  <c r="D12960" i="10"/>
  <c r="D12959" i="10"/>
  <c r="D12958" i="10"/>
  <c r="D12957" i="10"/>
  <c r="D12956" i="10"/>
  <c r="D12955" i="10"/>
  <c r="D12954" i="10"/>
  <c r="D12953" i="10"/>
  <c r="D12952" i="10"/>
  <c r="D12951" i="10"/>
  <c r="D12950" i="10"/>
  <c r="D12949" i="10"/>
  <c r="D12948" i="10"/>
  <c r="D12947" i="10"/>
  <c r="D12946" i="10"/>
  <c r="D12945" i="10"/>
  <c r="D12944" i="10"/>
  <c r="D12943" i="10"/>
  <c r="D12942" i="10"/>
  <c r="D12941" i="10"/>
  <c r="D12940" i="10"/>
  <c r="D12939" i="10"/>
  <c r="D12938" i="10"/>
  <c r="D12937" i="10"/>
  <c r="D12936" i="10"/>
  <c r="D12935" i="10"/>
  <c r="D12934" i="10"/>
  <c r="D12933" i="10"/>
  <c r="D12932" i="10"/>
  <c r="D12931" i="10"/>
  <c r="D12930" i="10"/>
  <c r="D12929" i="10"/>
  <c r="D12928" i="10"/>
  <c r="D12927" i="10"/>
  <c r="D12926" i="10"/>
  <c r="D12925" i="10"/>
  <c r="D12924" i="10"/>
  <c r="D12923" i="10"/>
  <c r="D12922" i="10"/>
  <c r="D12921" i="10"/>
  <c r="D12920" i="10"/>
  <c r="D12919" i="10"/>
  <c r="D12918" i="10"/>
  <c r="D12917" i="10"/>
  <c r="D12916" i="10"/>
  <c r="D12915" i="10"/>
  <c r="D12914" i="10"/>
  <c r="D12913" i="10"/>
  <c r="D12912" i="10"/>
  <c r="D12911" i="10"/>
  <c r="D12910" i="10"/>
  <c r="D12909" i="10"/>
  <c r="D12908" i="10"/>
  <c r="D12907" i="10"/>
  <c r="D12906" i="10"/>
  <c r="D12905" i="10"/>
  <c r="D12904" i="10"/>
  <c r="D12903" i="10"/>
  <c r="D12902" i="10"/>
  <c r="D12901" i="10"/>
  <c r="D12900" i="10"/>
  <c r="D12899" i="10"/>
  <c r="D12898" i="10"/>
  <c r="D12897" i="10"/>
  <c r="D12896" i="10"/>
  <c r="D12895" i="10"/>
  <c r="D12894" i="10"/>
  <c r="D12893" i="10"/>
  <c r="D12892" i="10"/>
  <c r="D12891" i="10"/>
  <c r="D12890" i="10"/>
  <c r="D12889" i="10"/>
  <c r="D12888" i="10"/>
  <c r="D12887" i="10"/>
  <c r="D12886" i="10"/>
  <c r="D12885" i="10"/>
  <c r="D12884" i="10"/>
  <c r="D12883" i="10"/>
  <c r="D12882" i="10"/>
  <c r="D12881" i="10"/>
  <c r="D12880" i="10"/>
  <c r="D12879" i="10"/>
  <c r="D12878" i="10"/>
  <c r="D12877" i="10"/>
  <c r="D12876" i="10"/>
  <c r="D12875" i="10"/>
  <c r="D12874" i="10"/>
  <c r="D12873" i="10"/>
  <c r="D12872" i="10"/>
  <c r="D12871" i="10"/>
  <c r="D12870" i="10"/>
  <c r="D12869" i="10"/>
  <c r="D12868" i="10"/>
  <c r="D12867" i="10"/>
  <c r="D12866" i="10"/>
  <c r="D12865" i="10"/>
  <c r="D12864" i="10"/>
  <c r="D12863" i="10"/>
  <c r="D12862" i="10"/>
  <c r="D12861" i="10"/>
  <c r="D12860" i="10"/>
  <c r="D12859" i="10"/>
  <c r="D12858" i="10"/>
  <c r="D12857" i="10"/>
  <c r="D12856" i="10"/>
  <c r="D12855" i="10"/>
  <c r="D12854" i="10"/>
  <c r="D12853" i="10"/>
  <c r="D12852" i="10"/>
  <c r="D12851" i="10"/>
  <c r="D12850" i="10"/>
  <c r="D12849" i="10"/>
  <c r="D12848" i="10"/>
  <c r="D12847" i="10"/>
  <c r="D12846" i="10"/>
  <c r="D12845" i="10"/>
  <c r="D12844" i="10"/>
  <c r="D12843" i="10"/>
  <c r="D12842" i="10"/>
  <c r="D12841" i="10"/>
  <c r="D12840" i="10"/>
  <c r="D12839" i="10"/>
  <c r="D12838" i="10"/>
  <c r="D12837" i="10"/>
  <c r="D12836" i="10"/>
  <c r="D12835" i="10"/>
  <c r="D12834" i="10"/>
  <c r="D12833" i="10"/>
  <c r="D12832" i="10"/>
  <c r="D12831" i="10"/>
  <c r="D12830" i="10"/>
  <c r="D12829" i="10"/>
  <c r="D12828" i="10"/>
  <c r="D12827" i="10"/>
  <c r="D12826" i="10"/>
  <c r="D12825" i="10"/>
  <c r="D12824" i="10"/>
  <c r="D12823" i="10"/>
  <c r="D12822" i="10"/>
  <c r="D12821" i="10"/>
  <c r="D12820" i="10"/>
  <c r="D12819" i="10"/>
  <c r="D12818" i="10"/>
  <c r="D12817" i="10"/>
  <c r="D12816" i="10"/>
  <c r="D12815" i="10"/>
  <c r="D12814" i="10"/>
  <c r="D12813" i="10"/>
  <c r="D12812" i="10"/>
  <c r="D12811" i="10"/>
  <c r="D12810" i="10"/>
  <c r="D12809" i="10"/>
  <c r="D12808" i="10"/>
  <c r="D12807" i="10"/>
  <c r="D12806" i="10"/>
  <c r="D12805" i="10"/>
  <c r="D12804" i="10"/>
  <c r="D12803" i="10"/>
  <c r="D12802" i="10"/>
  <c r="D12801" i="10"/>
  <c r="D12800" i="10"/>
  <c r="D12799" i="10"/>
  <c r="D12798" i="10"/>
  <c r="D12797" i="10"/>
  <c r="D12796" i="10"/>
  <c r="D12795" i="10"/>
  <c r="D12794" i="10"/>
  <c r="D12793" i="10"/>
  <c r="D12792" i="10"/>
  <c r="D12791" i="10"/>
  <c r="D12790" i="10"/>
  <c r="D12789" i="10"/>
  <c r="D12788" i="10"/>
  <c r="D12787" i="10"/>
  <c r="D12786" i="10"/>
  <c r="D12785" i="10"/>
  <c r="D12784" i="10"/>
  <c r="D12783" i="10"/>
  <c r="D12782" i="10"/>
  <c r="D12781" i="10"/>
  <c r="D12780" i="10"/>
  <c r="D12779" i="10"/>
  <c r="D12778" i="10"/>
  <c r="D12777" i="10"/>
  <c r="D12776" i="10"/>
  <c r="D12775" i="10"/>
  <c r="D12774" i="10"/>
  <c r="D12773" i="10"/>
  <c r="D12772" i="10"/>
  <c r="D12771" i="10"/>
  <c r="D12770" i="10"/>
  <c r="D12769" i="10"/>
  <c r="D12768" i="10"/>
  <c r="D12767" i="10"/>
  <c r="D12766" i="10"/>
  <c r="D12765" i="10"/>
  <c r="D12764" i="10"/>
  <c r="D12763" i="10"/>
  <c r="D12762" i="10"/>
  <c r="D12761" i="10"/>
  <c r="D12760" i="10"/>
  <c r="D12759" i="10"/>
  <c r="D12758" i="10"/>
  <c r="D12757" i="10"/>
  <c r="D12756" i="10"/>
  <c r="D12755" i="10"/>
  <c r="D12754" i="10"/>
  <c r="D12753" i="10"/>
  <c r="D12752" i="10"/>
  <c r="D12751" i="10"/>
  <c r="D12750" i="10"/>
  <c r="D12749" i="10"/>
  <c r="D12748" i="10"/>
  <c r="D12747" i="10"/>
  <c r="D12746" i="10"/>
  <c r="D12745" i="10"/>
  <c r="D12744" i="10"/>
  <c r="D12743" i="10"/>
  <c r="D12742" i="10"/>
  <c r="D12741" i="10"/>
  <c r="D12740" i="10"/>
  <c r="D12739" i="10"/>
  <c r="D12738" i="10"/>
  <c r="D12737" i="10"/>
  <c r="D12736" i="10"/>
  <c r="D12735" i="10"/>
  <c r="D12734" i="10"/>
  <c r="D12733" i="10"/>
  <c r="D12732" i="10"/>
  <c r="D12731" i="10"/>
  <c r="D12730" i="10"/>
  <c r="D12729" i="10"/>
  <c r="D12728" i="10"/>
  <c r="D12727" i="10"/>
  <c r="D12726" i="10"/>
  <c r="D12725" i="10"/>
  <c r="D12724" i="10"/>
  <c r="D12723" i="10"/>
  <c r="D12722" i="10"/>
  <c r="D12721" i="10"/>
  <c r="D12720" i="10"/>
  <c r="D12719" i="10"/>
  <c r="D12718" i="10"/>
  <c r="D12717" i="10"/>
  <c r="D12716" i="10"/>
  <c r="D12715" i="10"/>
  <c r="D12714" i="10"/>
  <c r="D12713" i="10"/>
  <c r="D12712" i="10"/>
  <c r="D12711" i="10"/>
  <c r="D12710" i="10"/>
  <c r="D12709" i="10"/>
  <c r="D12708" i="10"/>
  <c r="D12707" i="10"/>
  <c r="D12706" i="10"/>
  <c r="D12705" i="10"/>
  <c r="D12704" i="10"/>
  <c r="D12703" i="10"/>
  <c r="D12702" i="10"/>
  <c r="D12701" i="10"/>
  <c r="D12700" i="10"/>
  <c r="D12699" i="10"/>
  <c r="D12698" i="10"/>
  <c r="D12697" i="10"/>
  <c r="D12696" i="10"/>
  <c r="D12695" i="10"/>
  <c r="D12694" i="10"/>
  <c r="D12693" i="10"/>
  <c r="D12692" i="10"/>
  <c r="D12691" i="10"/>
  <c r="D12690" i="10"/>
  <c r="D12689" i="10"/>
  <c r="D12688" i="10"/>
  <c r="D12687" i="10"/>
  <c r="D12686" i="10"/>
  <c r="D12685" i="10"/>
  <c r="D12684" i="10"/>
  <c r="D12683" i="10"/>
  <c r="D12682" i="10"/>
  <c r="D12681" i="10"/>
  <c r="D12680" i="10"/>
  <c r="D12679" i="10"/>
  <c r="D12678" i="10"/>
  <c r="D12677" i="10"/>
  <c r="D12676" i="10"/>
  <c r="D12675" i="10"/>
  <c r="D12674" i="10"/>
  <c r="D12673" i="10"/>
  <c r="D12672" i="10"/>
  <c r="D12671" i="10"/>
  <c r="D12670" i="10"/>
  <c r="D12669" i="10"/>
  <c r="D12668" i="10"/>
  <c r="D12667" i="10"/>
  <c r="D12666" i="10"/>
  <c r="D12665" i="10"/>
  <c r="D12664" i="10"/>
  <c r="D12663" i="10"/>
  <c r="D12662" i="10"/>
  <c r="D12661" i="10"/>
  <c r="D12660" i="10"/>
  <c r="D12659" i="10"/>
  <c r="D12658" i="10"/>
  <c r="D12657" i="10"/>
  <c r="D12656" i="10"/>
  <c r="D12655" i="10"/>
  <c r="D12654" i="10"/>
  <c r="D12653" i="10"/>
  <c r="D12652" i="10"/>
  <c r="D12651" i="10"/>
  <c r="D12650" i="10"/>
  <c r="D12649" i="10"/>
  <c r="D12648" i="10"/>
  <c r="D12647" i="10"/>
  <c r="D12646" i="10"/>
  <c r="D12645" i="10"/>
  <c r="D12644" i="10"/>
  <c r="D12643" i="10"/>
  <c r="D12642" i="10"/>
  <c r="D12641" i="10"/>
  <c r="D12640" i="10"/>
  <c r="D12639" i="10"/>
  <c r="D12638" i="10"/>
  <c r="D12637" i="10"/>
  <c r="D12636" i="10"/>
  <c r="D12635" i="10"/>
  <c r="D12634" i="10"/>
  <c r="D12633" i="10"/>
  <c r="D12632" i="10"/>
  <c r="D12631" i="10"/>
  <c r="D12630" i="10"/>
  <c r="D12629" i="10"/>
  <c r="D12628" i="10"/>
  <c r="D12627" i="10"/>
  <c r="D12626" i="10"/>
  <c r="D12625" i="10"/>
  <c r="D12624" i="10"/>
  <c r="D12623" i="10"/>
  <c r="D12622" i="10"/>
  <c r="D12621" i="10"/>
  <c r="D12620" i="10"/>
  <c r="D12619" i="10"/>
  <c r="D12618" i="10"/>
  <c r="D12617" i="10"/>
  <c r="D12616" i="10"/>
  <c r="D12615" i="10"/>
  <c r="D12614" i="10"/>
  <c r="D12613" i="10"/>
  <c r="D12612" i="10"/>
  <c r="D12611" i="10"/>
  <c r="D12610" i="10"/>
  <c r="D12609" i="10"/>
  <c r="D12608" i="10"/>
  <c r="D12607" i="10"/>
  <c r="D12606" i="10"/>
  <c r="D12605" i="10"/>
  <c r="D12604" i="10"/>
  <c r="D12603" i="10"/>
  <c r="D12602" i="10"/>
  <c r="D12601" i="10"/>
  <c r="D12600" i="10"/>
  <c r="D12599" i="10"/>
  <c r="D12598" i="10"/>
  <c r="D12597" i="10"/>
  <c r="D12596" i="10"/>
  <c r="D12595" i="10"/>
  <c r="D12594" i="10"/>
  <c r="D12593" i="10"/>
  <c r="D12592" i="10"/>
  <c r="D12591" i="10"/>
  <c r="D12590" i="10"/>
  <c r="D12589" i="10"/>
  <c r="D12588" i="10"/>
  <c r="D12587" i="10"/>
  <c r="D12586" i="10"/>
  <c r="D12585" i="10"/>
  <c r="D12584" i="10"/>
  <c r="D12583" i="10"/>
  <c r="D12582" i="10"/>
  <c r="D12581" i="10"/>
  <c r="D12580" i="10"/>
  <c r="D12579" i="10"/>
  <c r="D12578" i="10"/>
  <c r="D12577" i="10"/>
  <c r="D12576" i="10"/>
  <c r="D12575" i="10"/>
  <c r="D12574" i="10"/>
  <c r="D12573" i="10"/>
  <c r="D12572" i="10"/>
  <c r="D12571" i="10"/>
  <c r="D12570" i="10"/>
  <c r="D12569" i="10"/>
  <c r="D12568" i="10"/>
  <c r="D12567" i="10"/>
  <c r="D12566" i="10"/>
  <c r="D12565" i="10"/>
  <c r="D12564" i="10"/>
  <c r="D12563" i="10"/>
  <c r="D12562" i="10"/>
  <c r="D12561" i="10"/>
  <c r="D12560" i="10"/>
  <c r="D12559" i="10"/>
  <c r="D12558" i="10"/>
  <c r="D12557" i="10"/>
  <c r="D12556" i="10"/>
  <c r="D12555" i="10"/>
  <c r="D12554" i="10"/>
  <c r="D12553" i="10"/>
  <c r="D12552" i="10"/>
  <c r="D12551" i="10"/>
  <c r="D12550" i="10"/>
  <c r="D12549" i="10"/>
  <c r="D12548" i="10"/>
  <c r="D12547" i="10"/>
  <c r="D12546" i="10"/>
  <c r="D12545" i="10"/>
  <c r="D12544" i="10"/>
  <c r="D12543" i="10"/>
  <c r="D12542" i="10"/>
  <c r="D12541" i="10"/>
  <c r="D12540" i="10"/>
  <c r="D12539" i="10"/>
  <c r="D12538" i="10"/>
  <c r="D12537" i="10"/>
  <c r="D12536" i="10"/>
  <c r="D12535" i="10"/>
  <c r="D12534" i="10"/>
  <c r="D12533" i="10"/>
  <c r="D12532" i="10"/>
  <c r="D12531" i="10"/>
  <c r="D12530" i="10"/>
  <c r="D12529" i="10"/>
  <c r="D12528" i="10"/>
  <c r="D12527" i="10"/>
  <c r="D12526" i="10"/>
  <c r="D12525" i="10"/>
  <c r="D12524" i="10"/>
  <c r="D12523" i="10"/>
  <c r="D12522" i="10"/>
  <c r="D12521" i="10"/>
  <c r="D12520" i="10"/>
  <c r="D12519" i="10"/>
  <c r="D12518" i="10"/>
  <c r="D12517" i="10"/>
  <c r="D12516" i="10"/>
  <c r="D12515" i="10"/>
  <c r="D12514" i="10"/>
  <c r="D12513" i="10"/>
  <c r="D12512" i="10"/>
  <c r="D12511" i="10"/>
  <c r="D12510" i="10"/>
  <c r="D12509" i="10"/>
  <c r="D12508" i="10"/>
  <c r="D12507" i="10"/>
  <c r="D12506" i="10"/>
  <c r="D12505" i="10"/>
  <c r="D12504" i="10"/>
  <c r="D12503" i="10"/>
  <c r="D12502" i="10"/>
  <c r="D12501" i="10"/>
  <c r="D12500" i="10"/>
  <c r="D12499" i="10"/>
  <c r="D12498" i="10"/>
  <c r="D12497" i="10"/>
  <c r="D12496" i="10"/>
  <c r="D12495" i="10"/>
  <c r="D12494" i="10"/>
  <c r="D12493" i="10"/>
  <c r="D12492" i="10"/>
  <c r="D12491" i="10"/>
  <c r="D12490" i="10"/>
  <c r="D12489" i="10"/>
  <c r="D12488" i="10"/>
  <c r="D12487" i="10"/>
  <c r="D12486" i="10"/>
  <c r="D12485" i="10"/>
  <c r="D12484" i="10"/>
  <c r="D12483" i="10"/>
  <c r="D12482" i="10"/>
  <c r="D12481" i="10"/>
  <c r="D12480" i="10"/>
  <c r="D12479" i="10"/>
  <c r="D12478" i="10"/>
  <c r="D12477" i="10"/>
  <c r="D12476" i="10"/>
  <c r="D12475" i="10"/>
  <c r="D12474" i="10"/>
  <c r="D12473" i="10"/>
  <c r="D12472" i="10"/>
  <c r="D12471" i="10"/>
  <c r="D12470" i="10"/>
  <c r="D12469" i="10"/>
  <c r="D12468" i="10"/>
  <c r="D12467" i="10"/>
  <c r="D12466" i="10"/>
  <c r="D12465" i="10"/>
  <c r="D12464" i="10"/>
  <c r="D12463" i="10"/>
  <c r="D12462" i="10"/>
  <c r="D12461" i="10"/>
  <c r="D12460" i="10"/>
  <c r="D12459" i="10"/>
  <c r="D12458" i="10"/>
  <c r="D12457" i="10"/>
  <c r="D12456" i="10"/>
  <c r="D12455" i="10"/>
  <c r="D12454" i="10"/>
  <c r="D12453" i="10"/>
  <c r="D12452" i="10"/>
  <c r="D12451" i="10"/>
  <c r="D12450" i="10"/>
  <c r="D12449" i="10"/>
  <c r="D12448" i="10"/>
  <c r="D12447" i="10"/>
  <c r="D12446" i="10"/>
  <c r="D12445" i="10"/>
  <c r="D12444" i="10"/>
  <c r="D12443" i="10"/>
  <c r="D12442" i="10"/>
  <c r="D12441" i="10"/>
  <c r="D12440" i="10"/>
  <c r="D12439" i="10"/>
  <c r="D12438" i="10"/>
  <c r="D12437" i="10"/>
  <c r="D12436" i="10"/>
  <c r="D12435" i="10"/>
  <c r="D12434" i="10"/>
  <c r="D12433" i="10"/>
  <c r="D12432" i="10"/>
  <c r="D12431" i="10"/>
  <c r="D12430" i="10"/>
  <c r="D12429" i="10"/>
  <c r="D12428" i="10"/>
  <c r="D12427" i="10"/>
  <c r="D12426" i="10"/>
  <c r="D12425" i="10"/>
  <c r="D12424" i="10"/>
  <c r="D12423" i="10"/>
  <c r="D12422" i="10"/>
  <c r="D12421" i="10"/>
  <c r="D12420" i="10"/>
  <c r="D12419" i="10"/>
  <c r="D12418" i="10"/>
  <c r="D12417" i="10"/>
  <c r="D12416" i="10"/>
  <c r="D12415" i="10"/>
  <c r="D12414" i="10"/>
  <c r="D12413" i="10"/>
  <c r="D12412" i="10"/>
  <c r="D12411" i="10"/>
  <c r="D12410" i="10"/>
  <c r="D12409" i="10"/>
  <c r="D12408" i="10"/>
  <c r="D12407" i="10"/>
  <c r="D12406" i="10"/>
  <c r="D12405" i="10"/>
  <c r="D12404" i="10"/>
  <c r="D12403" i="10"/>
  <c r="D12402" i="10"/>
  <c r="D12401" i="10"/>
  <c r="D12400" i="10"/>
  <c r="D12399" i="10"/>
  <c r="D12398" i="10"/>
  <c r="D12397" i="10"/>
  <c r="D12396" i="10"/>
  <c r="D12395" i="10"/>
  <c r="D12394" i="10"/>
  <c r="D12393" i="10"/>
  <c r="D12392" i="10"/>
  <c r="D12391" i="10"/>
  <c r="D12390" i="10"/>
  <c r="D12389" i="10"/>
  <c r="D12388" i="10"/>
  <c r="D12387" i="10"/>
  <c r="D12386" i="10"/>
  <c r="D12385" i="10"/>
  <c r="D12384" i="10"/>
  <c r="D12383" i="10"/>
  <c r="D12382" i="10"/>
  <c r="D12381" i="10"/>
  <c r="D12380" i="10"/>
  <c r="D12379" i="10"/>
  <c r="D12378" i="10"/>
  <c r="D12377" i="10"/>
  <c r="D12376" i="10"/>
  <c r="D12375" i="10"/>
  <c r="D12374" i="10"/>
  <c r="D12373" i="10"/>
  <c r="D12372" i="10"/>
  <c r="D12371" i="10"/>
  <c r="D12370" i="10"/>
  <c r="D12369" i="10"/>
  <c r="D12368" i="10"/>
  <c r="D12367" i="10"/>
  <c r="D12366" i="10"/>
  <c r="D12365" i="10"/>
  <c r="D12364" i="10"/>
  <c r="D12363" i="10"/>
  <c r="D12362" i="10"/>
  <c r="D12361" i="10"/>
  <c r="D12360" i="10"/>
  <c r="D12359" i="10"/>
  <c r="D12358" i="10"/>
  <c r="D12357" i="10"/>
  <c r="D12356" i="10"/>
  <c r="D12355" i="10"/>
  <c r="D12354" i="10"/>
  <c r="D12353" i="10"/>
  <c r="D12352" i="10"/>
  <c r="D12351" i="10"/>
  <c r="D12350" i="10"/>
  <c r="D12349" i="10"/>
  <c r="D12348" i="10"/>
  <c r="D12347" i="10"/>
  <c r="D12346" i="10"/>
  <c r="D12345" i="10"/>
  <c r="D12344" i="10"/>
  <c r="D12343" i="10"/>
  <c r="D12342" i="10"/>
  <c r="D12341" i="10"/>
  <c r="D12340" i="10"/>
  <c r="D12339" i="10"/>
  <c r="D12338" i="10"/>
  <c r="D12337" i="10"/>
  <c r="D12336" i="10"/>
  <c r="D12335" i="10"/>
  <c r="D12334" i="10"/>
  <c r="D12333" i="10"/>
  <c r="D12332" i="10"/>
  <c r="D12331" i="10"/>
  <c r="D12330" i="10"/>
  <c r="D12329" i="10"/>
  <c r="D12328" i="10"/>
  <c r="D12327" i="10"/>
  <c r="D12326" i="10"/>
  <c r="D12325" i="10"/>
  <c r="D12324" i="10"/>
  <c r="D12323" i="10"/>
  <c r="D12322" i="10"/>
  <c r="D12321" i="10"/>
  <c r="D12320" i="10"/>
  <c r="D12319" i="10"/>
  <c r="D12318" i="10"/>
  <c r="D12317" i="10"/>
  <c r="D12316" i="10"/>
  <c r="D12315" i="10"/>
  <c r="D12314" i="10"/>
  <c r="D12313" i="10"/>
  <c r="D12312" i="10"/>
  <c r="D12311" i="10"/>
  <c r="D12310" i="10"/>
  <c r="D12309" i="10"/>
  <c r="D12308" i="10"/>
  <c r="D12307" i="10"/>
  <c r="D12306" i="10"/>
  <c r="D12305" i="10"/>
  <c r="D12304" i="10"/>
  <c r="D12303" i="10"/>
  <c r="D12302" i="10"/>
  <c r="D12301" i="10"/>
  <c r="D12300" i="10"/>
  <c r="D12299" i="10"/>
  <c r="D12298" i="10"/>
  <c r="D12297" i="10"/>
  <c r="D12296" i="10"/>
  <c r="D12295" i="10"/>
  <c r="D12294" i="10"/>
  <c r="D12293" i="10"/>
  <c r="D12292" i="10"/>
  <c r="D12291" i="10"/>
  <c r="D12290" i="10"/>
  <c r="D12289" i="10"/>
  <c r="D12288" i="10"/>
  <c r="D12287" i="10"/>
  <c r="D12286" i="10"/>
  <c r="D12285" i="10"/>
  <c r="D12284" i="10"/>
  <c r="D12283" i="10"/>
  <c r="D12282" i="10"/>
  <c r="D12281" i="10"/>
  <c r="D12280" i="10"/>
  <c r="D12279" i="10"/>
  <c r="D12278" i="10"/>
  <c r="D12277" i="10"/>
  <c r="D12276" i="10"/>
  <c r="D12275" i="10"/>
  <c r="D12274" i="10"/>
  <c r="D12273" i="10"/>
  <c r="D12272" i="10"/>
  <c r="D12271" i="10"/>
  <c r="D12270" i="10"/>
  <c r="D12269" i="10"/>
  <c r="D12268" i="10"/>
  <c r="D12267" i="10"/>
  <c r="D12266" i="10"/>
  <c r="D12265" i="10"/>
  <c r="D12264" i="10"/>
  <c r="D12263" i="10"/>
  <c r="D12262" i="10"/>
  <c r="D12261" i="10"/>
  <c r="D12260" i="10"/>
  <c r="D12259" i="10"/>
  <c r="D12258" i="10"/>
  <c r="D12257" i="10"/>
  <c r="D12256" i="10"/>
  <c r="D12255" i="10"/>
  <c r="D12254" i="10"/>
  <c r="D12253" i="10"/>
  <c r="D12252" i="10"/>
  <c r="D12251" i="10"/>
  <c r="D12250" i="10"/>
  <c r="D12249" i="10"/>
  <c r="D12248" i="10"/>
  <c r="D12247" i="10"/>
  <c r="D12246" i="10"/>
  <c r="D12245" i="10"/>
  <c r="D12244" i="10"/>
  <c r="D12243" i="10"/>
  <c r="D12242" i="10"/>
  <c r="D12241" i="10"/>
  <c r="D12240" i="10"/>
  <c r="D12239" i="10"/>
  <c r="D12238" i="10"/>
  <c r="D12237" i="10"/>
  <c r="D12236" i="10"/>
  <c r="D12235" i="10"/>
  <c r="D12234" i="10"/>
  <c r="D12233" i="10"/>
  <c r="D12232" i="10"/>
  <c r="D12231" i="10"/>
  <c r="D12230" i="10"/>
  <c r="D12229" i="10"/>
  <c r="D12228" i="10"/>
  <c r="D12227" i="10"/>
  <c r="D12226" i="10"/>
  <c r="D12225" i="10"/>
  <c r="D12224" i="10"/>
  <c r="D12223" i="10"/>
  <c r="D12222" i="10"/>
  <c r="D12221" i="10"/>
  <c r="D12220" i="10"/>
  <c r="D12219" i="10"/>
  <c r="D12218" i="10"/>
  <c r="D12217" i="10"/>
  <c r="D12216" i="10"/>
  <c r="D12215" i="10"/>
  <c r="D12214" i="10"/>
  <c r="D12213" i="10"/>
  <c r="D12212" i="10"/>
  <c r="D12211" i="10"/>
  <c r="D12210" i="10"/>
  <c r="D12209" i="10"/>
  <c r="D12208" i="10"/>
  <c r="D12207" i="10"/>
  <c r="D12206" i="10"/>
  <c r="D12205" i="10"/>
  <c r="D12204" i="10"/>
  <c r="D12203" i="10"/>
  <c r="D12202" i="10"/>
  <c r="D12201" i="10"/>
  <c r="D12200" i="10"/>
  <c r="D12199" i="10"/>
  <c r="D12198" i="10"/>
  <c r="D12197" i="10"/>
  <c r="D12196" i="10"/>
  <c r="D12195" i="10"/>
  <c r="D12194" i="10"/>
  <c r="D12193" i="10"/>
  <c r="D12192" i="10"/>
  <c r="D12191" i="10"/>
  <c r="D12190" i="10"/>
  <c r="D12189" i="10"/>
  <c r="D12188" i="10"/>
  <c r="D12187" i="10"/>
  <c r="D12186" i="10"/>
  <c r="D12185" i="10"/>
  <c r="D12184" i="10"/>
  <c r="D12183" i="10"/>
  <c r="D12182" i="10"/>
  <c r="D12181" i="10"/>
  <c r="D12180" i="10"/>
  <c r="D12179" i="10"/>
  <c r="D12178" i="10"/>
  <c r="D12177" i="10"/>
  <c r="D12176" i="10"/>
  <c r="D12175" i="10"/>
  <c r="D12174" i="10"/>
  <c r="D12173" i="10"/>
  <c r="D12172" i="10"/>
  <c r="D12171" i="10"/>
  <c r="D12170" i="10"/>
  <c r="D12169" i="10"/>
  <c r="D12168" i="10"/>
  <c r="D12167" i="10"/>
  <c r="D12166" i="10"/>
  <c r="D12165" i="10"/>
  <c r="D12164" i="10"/>
  <c r="D12163" i="10"/>
  <c r="D12162" i="10"/>
  <c r="D12161" i="10"/>
  <c r="D12160" i="10"/>
  <c r="D12159" i="10"/>
  <c r="D12158" i="10"/>
  <c r="D12157" i="10"/>
  <c r="D12156" i="10"/>
  <c r="D12155" i="10"/>
  <c r="D12154" i="10"/>
  <c r="D12153" i="10"/>
  <c r="D12152" i="10"/>
  <c r="D12151" i="10"/>
  <c r="D12150" i="10"/>
  <c r="D12149" i="10"/>
  <c r="D12148" i="10"/>
  <c r="D12147" i="10"/>
  <c r="D12146" i="10"/>
  <c r="D12145" i="10"/>
  <c r="D12144" i="10"/>
  <c r="D12143" i="10"/>
  <c r="D12142" i="10"/>
  <c r="D12141" i="10"/>
  <c r="D12140" i="10"/>
  <c r="D12139" i="10"/>
  <c r="D12138" i="10"/>
  <c r="D12137" i="10"/>
  <c r="D12136" i="10"/>
  <c r="D12135" i="10"/>
  <c r="D12134" i="10"/>
  <c r="D12133" i="10"/>
  <c r="D12132" i="10"/>
  <c r="D12131" i="10"/>
  <c r="D12130" i="10"/>
  <c r="D12129" i="10"/>
  <c r="D12128" i="10"/>
  <c r="D12127" i="10"/>
  <c r="D12126" i="10"/>
  <c r="D12125" i="10"/>
  <c r="D12124" i="10"/>
  <c r="D12123" i="10"/>
  <c r="D12122" i="10"/>
  <c r="D12121" i="10"/>
  <c r="D12120" i="10"/>
  <c r="D12119" i="10"/>
  <c r="D12118" i="10"/>
  <c r="D12117" i="10"/>
  <c r="D12116" i="10"/>
  <c r="D12115" i="10"/>
  <c r="D12114" i="10"/>
  <c r="D12113" i="10"/>
  <c r="D12112" i="10"/>
  <c r="D12111" i="10"/>
  <c r="D12110" i="10"/>
  <c r="D12109" i="10"/>
  <c r="D12108" i="10"/>
  <c r="D12107" i="10"/>
  <c r="D12106" i="10"/>
  <c r="D12105" i="10"/>
  <c r="D12104" i="10"/>
  <c r="D12103" i="10"/>
  <c r="D12102" i="10"/>
  <c r="D12101" i="10"/>
  <c r="D12100" i="10"/>
  <c r="D12099" i="10"/>
  <c r="D12098" i="10"/>
  <c r="D12097" i="10"/>
  <c r="D12096" i="10"/>
  <c r="D12095" i="10"/>
  <c r="D12094" i="10"/>
  <c r="D12093" i="10"/>
  <c r="D12092" i="10"/>
  <c r="D12091" i="10"/>
  <c r="D12090" i="10"/>
  <c r="D12089" i="10"/>
  <c r="D12088" i="10"/>
  <c r="D12087" i="10"/>
  <c r="D12086" i="10"/>
  <c r="D12085" i="10"/>
  <c r="D12084" i="10"/>
  <c r="D12083" i="10"/>
  <c r="D12082" i="10"/>
  <c r="D12081" i="10"/>
  <c r="D12080" i="10"/>
  <c r="D12079" i="10"/>
  <c r="D12078" i="10"/>
  <c r="D12077" i="10"/>
  <c r="D12076" i="10"/>
  <c r="D12075" i="10"/>
  <c r="D12074" i="10"/>
  <c r="D12073" i="10"/>
  <c r="D12072" i="10"/>
  <c r="D12071" i="10"/>
  <c r="D12070" i="10"/>
  <c r="D12069" i="10"/>
  <c r="D12068" i="10"/>
  <c r="D12067" i="10"/>
  <c r="D12066" i="10"/>
  <c r="D12065" i="10"/>
  <c r="D12064" i="10"/>
  <c r="D12063" i="10"/>
  <c r="D12062" i="10"/>
  <c r="D12061" i="10"/>
  <c r="D12060" i="10"/>
  <c r="D12059" i="10"/>
  <c r="D12058" i="10"/>
  <c r="D12057" i="10"/>
  <c r="D12056" i="10"/>
  <c r="D12055" i="10"/>
  <c r="D12054" i="10"/>
  <c r="D12053" i="10"/>
  <c r="D12052" i="10"/>
  <c r="D12051" i="10"/>
  <c r="D12050" i="10"/>
  <c r="D12049" i="10"/>
  <c r="D12048" i="10"/>
  <c r="D12047" i="10"/>
  <c r="D12046" i="10"/>
  <c r="D12045" i="10"/>
  <c r="D12044" i="10"/>
  <c r="D12043" i="10"/>
  <c r="D12042" i="10"/>
  <c r="D12041" i="10"/>
  <c r="D12040" i="10"/>
  <c r="D12039" i="10"/>
  <c r="D12038" i="10"/>
  <c r="D12037" i="10"/>
  <c r="D12036" i="10"/>
  <c r="D12035" i="10"/>
  <c r="D12034" i="10"/>
  <c r="D12033" i="10"/>
  <c r="D12032" i="10"/>
  <c r="D12031" i="10"/>
  <c r="D12030" i="10"/>
  <c r="D12029" i="10"/>
  <c r="D12028" i="10"/>
  <c r="D12027" i="10"/>
  <c r="D12026" i="10"/>
  <c r="D12025" i="10"/>
  <c r="D12024" i="10"/>
  <c r="D12023" i="10"/>
  <c r="D12022" i="10"/>
  <c r="D12021" i="10"/>
  <c r="D12020" i="10"/>
  <c r="D12019" i="10"/>
  <c r="D12018" i="10"/>
  <c r="D12017" i="10"/>
  <c r="D12016" i="10"/>
  <c r="D12015" i="10"/>
  <c r="D12014" i="10"/>
  <c r="D12013" i="10"/>
  <c r="D12012" i="10"/>
  <c r="D12011" i="10"/>
  <c r="D12010" i="10"/>
  <c r="D12009" i="10"/>
  <c r="D12008" i="10"/>
  <c r="D12007" i="10"/>
  <c r="D12006" i="10"/>
  <c r="D12005" i="10"/>
  <c r="D12004" i="10"/>
  <c r="D12003" i="10"/>
  <c r="D12002" i="10"/>
  <c r="D12001" i="10"/>
  <c r="D12000" i="10"/>
  <c r="D11999" i="10"/>
  <c r="D11998" i="10"/>
  <c r="D11997" i="10"/>
  <c r="D11996" i="10"/>
  <c r="D11995" i="10"/>
  <c r="D11994" i="10"/>
  <c r="D11993" i="10"/>
  <c r="D11992" i="10"/>
  <c r="D11991" i="10"/>
  <c r="D11990" i="10"/>
  <c r="D11989" i="10"/>
  <c r="D11988" i="10"/>
  <c r="D11987" i="10"/>
  <c r="D11986" i="10"/>
  <c r="D11985" i="10"/>
  <c r="D11984" i="10"/>
  <c r="D11983" i="10"/>
  <c r="D11982" i="10"/>
  <c r="D11981" i="10"/>
  <c r="D11980" i="10"/>
  <c r="D11979" i="10"/>
  <c r="D11978" i="10"/>
  <c r="D11977" i="10"/>
  <c r="D11976" i="10"/>
  <c r="D11975" i="10"/>
  <c r="D11974" i="10"/>
  <c r="D11973" i="10"/>
  <c r="D11972" i="10"/>
  <c r="D11971" i="10"/>
  <c r="D11970" i="10"/>
  <c r="D11969" i="10"/>
  <c r="D11968" i="10"/>
  <c r="D11967" i="10"/>
  <c r="D11966" i="10"/>
  <c r="D11965" i="10"/>
  <c r="D11964" i="10"/>
  <c r="D11963" i="10"/>
  <c r="D11962" i="10"/>
  <c r="D11961" i="10"/>
  <c r="D11960" i="10"/>
  <c r="D11959" i="10"/>
  <c r="D11958" i="10"/>
  <c r="D11957" i="10"/>
  <c r="D11956" i="10"/>
  <c r="D11955" i="10"/>
  <c r="D11954" i="10"/>
  <c r="D11953" i="10"/>
  <c r="D11952" i="10"/>
  <c r="D11951" i="10"/>
  <c r="D11950" i="10"/>
  <c r="D11949" i="10"/>
  <c r="D11948" i="10"/>
  <c r="D11947" i="10"/>
  <c r="D11946" i="10"/>
  <c r="D11945" i="10"/>
  <c r="D11944" i="10"/>
  <c r="D11943" i="10"/>
  <c r="D11942" i="10"/>
  <c r="D11941" i="10"/>
  <c r="D11940" i="10"/>
  <c r="D11939" i="10"/>
  <c r="D11938" i="10"/>
  <c r="D11937" i="10"/>
  <c r="D11936" i="10"/>
  <c r="D11935" i="10"/>
  <c r="D11934" i="10"/>
  <c r="D11933" i="10"/>
  <c r="D11932" i="10"/>
  <c r="D11931" i="10"/>
  <c r="D11930" i="10"/>
  <c r="D11929" i="10"/>
  <c r="D11928" i="10"/>
  <c r="D11927" i="10"/>
  <c r="D11926" i="10"/>
  <c r="D11925" i="10"/>
  <c r="D11924" i="10"/>
  <c r="D11923" i="10"/>
  <c r="D11922" i="10"/>
  <c r="D11921" i="10"/>
  <c r="D11920" i="10"/>
  <c r="D11919" i="10"/>
  <c r="D11918" i="10"/>
  <c r="D11917" i="10"/>
  <c r="D11916" i="10"/>
  <c r="D11915" i="10"/>
  <c r="D11914" i="10"/>
  <c r="D11913" i="10"/>
  <c r="D11912" i="10"/>
  <c r="D11911" i="10"/>
  <c r="D11910" i="10"/>
  <c r="D11909" i="10"/>
  <c r="D11908" i="10"/>
  <c r="D11907" i="10"/>
  <c r="D11906" i="10"/>
  <c r="D11905" i="10"/>
  <c r="D11904" i="10"/>
  <c r="D11903" i="10"/>
  <c r="D11902" i="10"/>
  <c r="D11901" i="10"/>
  <c r="D11900" i="10"/>
  <c r="D11899" i="10"/>
  <c r="D11898" i="10"/>
  <c r="D11897" i="10"/>
  <c r="D11896" i="10"/>
  <c r="D11895" i="10"/>
  <c r="D11894" i="10"/>
  <c r="D11893" i="10"/>
  <c r="D11892" i="10"/>
  <c r="D11891" i="10"/>
  <c r="D11890" i="10"/>
  <c r="D11889" i="10"/>
  <c r="D11888" i="10"/>
  <c r="D11887" i="10"/>
  <c r="D11886" i="10"/>
  <c r="D11885" i="10"/>
  <c r="D11884" i="10"/>
  <c r="D11883" i="10"/>
  <c r="D11882" i="10"/>
  <c r="D11881" i="10"/>
  <c r="D11880" i="10"/>
  <c r="D11879" i="10"/>
  <c r="D11878" i="10"/>
  <c r="D11877" i="10"/>
  <c r="D11876" i="10"/>
  <c r="D11875" i="10"/>
  <c r="D11874" i="10"/>
  <c r="D11873" i="10"/>
  <c r="D11872" i="10"/>
  <c r="D11871" i="10"/>
  <c r="D11870" i="10"/>
  <c r="D11869" i="10"/>
  <c r="D11868" i="10"/>
  <c r="D11867" i="10"/>
  <c r="D11866" i="10"/>
  <c r="D11865" i="10"/>
  <c r="D11864" i="10"/>
  <c r="D11863" i="10"/>
  <c r="D11862" i="10"/>
  <c r="D11861" i="10"/>
  <c r="D11860" i="10"/>
  <c r="D11859" i="10"/>
  <c r="D11858" i="10"/>
  <c r="D11857" i="10"/>
  <c r="D11856" i="10"/>
  <c r="D11855" i="10"/>
  <c r="D11854" i="10"/>
  <c r="D11853" i="10"/>
  <c r="D11852" i="10"/>
  <c r="D11851" i="10"/>
  <c r="D11850" i="10"/>
  <c r="D11849" i="10"/>
  <c r="D11848" i="10"/>
  <c r="D11847" i="10"/>
  <c r="D11846" i="10"/>
  <c r="D11845" i="10"/>
  <c r="D11844" i="10"/>
  <c r="D11843" i="10"/>
  <c r="D11842" i="10"/>
  <c r="D11841" i="10"/>
  <c r="D11840" i="10"/>
  <c r="D11839" i="10"/>
  <c r="D11838" i="10"/>
  <c r="D11837" i="10"/>
  <c r="D11836" i="10"/>
  <c r="D11835" i="10"/>
  <c r="D11834" i="10"/>
  <c r="D11833" i="10"/>
  <c r="D11832" i="10"/>
  <c r="D11831" i="10"/>
  <c r="D11830" i="10"/>
  <c r="D11829" i="10"/>
  <c r="D11828" i="10"/>
  <c r="D11827" i="10"/>
  <c r="D11826" i="10"/>
  <c r="D11825" i="10"/>
  <c r="D11824" i="10"/>
  <c r="D11823" i="10"/>
  <c r="D11822" i="10"/>
  <c r="D11821" i="10"/>
  <c r="D11820" i="10"/>
  <c r="D11819" i="10"/>
  <c r="D11818" i="10"/>
  <c r="D11817" i="10"/>
  <c r="D11816" i="10"/>
  <c r="D11815" i="10"/>
  <c r="D11814" i="10"/>
  <c r="D11813" i="10"/>
  <c r="D11812" i="10"/>
  <c r="D11811" i="10"/>
  <c r="D11810" i="10"/>
  <c r="D11809" i="10"/>
  <c r="D11808" i="10"/>
  <c r="D11807" i="10"/>
  <c r="D11806" i="10"/>
  <c r="D11805" i="10"/>
  <c r="D11804" i="10"/>
  <c r="D11803" i="10"/>
  <c r="D11802" i="10"/>
  <c r="D11801" i="10"/>
  <c r="D11800" i="10"/>
  <c r="D11799" i="10"/>
  <c r="D11798" i="10"/>
  <c r="D11797" i="10"/>
  <c r="D11796" i="10"/>
  <c r="D11795" i="10"/>
  <c r="D11794" i="10"/>
  <c r="D11793" i="10"/>
  <c r="D11792" i="10"/>
  <c r="D11791" i="10"/>
  <c r="D11790" i="10"/>
  <c r="D11789" i="10"/>
  <c r="D11788" i="10"/>
  <c r="D11787" i="10"/>
  <c r="D11786" i="10"/>
  <c r="D11785" i="10"/>
  <c r="D11784" i="10"/>
  <c r="D11783" i="10"/>
  <c r="D11782" i="10"/>
  <c r="D11781" i="10"/>
  <c r="D11780" i="10"/>
  <c r="D11779" i="10"/>
  <c r="D11778" i="10"/>
  <c r="D11777" i="10"/>
  <c r="D11776" i="10"/>
  <c r="D11775" i="10"/>
  <c r="D11774" i="10"/>
  <c r="D11773" i="10"/>
  <c r="D11772" i="10"/>
  <c r="D11771" i="10"/>
  <c r="D11770" i="10"/>
  <c r="D11769" i="10"/>
  <c r="D11768" i="10"/>
  <c r="D11767" i="10"/>
  <c r="D11766" i="10"/>
  <c r="D11765" i="10"/>
  <c r="D11764" i="10"/>
  <c r="D11763" i="10"/>
  <c r="D11762" i="10"/>
  <c r="D11761" i="10"/>
  <c r="D11760" i="10"/>
  <c r="D11759" i="10"/>
  <c r="D11758" i="10"/>
  <c r="D11757" i="10"/>
  <c r="D11756" i="10"/>
  <c r="D11755" i="10"/>
  <c r="D11754" i="10"/>
  <c r="D11753" i="10"/>
  <c r="D11752" i="10"/>
  <c r="D11751" i="10"/>
  <c r="D11750" i="10"/>
  <c r="D11749" i="10"/>
  <c r="D11748" i="10"/>
  <c r="D11747" i="10"/>
  <c r="D11746" i="10"/>
  <c r="D11745" i="10"/>
  <c r="D11744" i="10"/>
  <c r="D11743" i="10"/>
  <c r="D11742" i="10"/>
  <c r="D11741" i="10"/>
  <c r="D11740" i="10"/>
  <c r="D11739" i="10"/>
  <c r="D11738" i="10"/>
  <c r="D11737" i="10"/>
  <c r="D11736" i="10"/>
  <c r="D11735" i="10"/>
  <c r="D11734" i="10"/>
  <c r="D11733" i="10"/>
  <c r="D11732" i="10"/>
  <c r="D11731" i="10"/>
  <c r="D11730" i="10"/>
  <c r="D11729" i="10"/>
  <c r="D11728" i="10"/>
  <c r="D11727" i="10"/>
  <c r="D11726" i="10"/>
  <c r="D11725" i="10"/>
  <c r="D11724" i="10"/>
  <c r="D11723" i="10"/>
  <c r="D11722" i="10"/>
  <c r="D11721" i="10"/>
  <c r="D11720" i="10"/>
  <c r="D11719" i="10"/>
  <c r="D11718" i="10"/>
  <c r="D11717" i="10"/>
  <c r="D11716" i="10"/>
  <c r="D11715" i="10"/>
  <c r="D11714" i="10"/>
  <c r="D11713" i="10"/>
  <c r="D11712" i="10"/>
  <c r="D11711" i="10"/>
  <c r="D11710" i="10"/>
  <c r="D11709" i="10"/>
  <c r="D11708" i="10"/>
  <c r="D11707" i="10"/>
  <c r="D11706" i="10"/>
  <c r="D11705" i="10"/>
  <c r="D11704" i="10"/>
  <c r="D11703" i="10"/>
  <c r="D11702" i="10"/>
  <c r="D11701" i="10"/>
  <c r="D11700" i="10"/>
  <c r="D11699" i="10"/>
  <c r="D11698" i="10"/>
  <c r="D11697" i="10"/>
  <c r="D11696" i="10"/>
  <c r="D11695" i="10"/>
  <c r="D11694" i="10"/>
  <c r="D11693" i="10"/>
  <c r="D11692" i="10"/>
  <c r="D11691" i="10"/>
  <c r="D11690" i="10"/>
  <c r="D11689" i="10"/>
  <c r="D11688" i="10"/>
  <c r="D11687" i="10"/>
  <c r="D11686" i="10"/>
  <c r="D11685" i="10"/>
  <c r="D11684" i="10"/>
  <c r="D11683" i="10"/>
  <c r="D11682" i="10"/>
  <c r="D11681" i="10"/>
  <c r="D11680" i="10"/>
  <c r="D11679" i="10"/>
  <c r="D11678" i="10"/>
  <c r="D11677" i="10"/>
  <c r="D11676" i="10"/>
  <c r="D11675" i="10"/>
  <c r="D11674" i="10"/>
  <c r="D11673" i="10"/>
  <c r="D11672" i="10"/>
  <c r="D11671" i="10"/>
  <c r="D11670" i="10"/>
  <c r="D11669" i="10"/>
  <c r="D11668" i="10"/>
  <c r="D11667" i="10"/>
  <c r="D11666" i="10"/>
  <c r="D11665" i="10"/>
  <c r="D11664" i="10"/>
  <c r="D11663" i="10"/>
  <c r="D11662" i="10"/>
  <c r="D11661" i="10"/>
  <c r="D11660" i="10"/>
  <c r="D11659" i="10"/>
  <c r="D11658" i="10"/>
  <c r="D11657" i="10"/>
  <c r="D11656" i="10"/>
  <c r="D11655" i="10"/>
  <c r="D11654" i="10"/>
  <c r="D11653" i="10"/>
  <c r="D11652" i="10"/>
  <c r="D11651" i="10"/>
  <c r="D11650" i="10"/>
  <c r="D11649" i="10"/>
  <c r="D11648" i="10"/>
  <c r="D11647" i="10"/>
  <c r="D11646" i="10"/>
  <c r="D11645" i="10"/>
  <c r="D11644" i="10"/>
  <c r="D11643" i="10"/>
  <c r="D11642" i="10"/>
  <c r="D11641" i="10"/>
  <c r="D11640" i="10"/>
  <c r="D11639" i="10"/>
  <c r="D11638" i="10"/>
  <c r="D11637" i="10"/>
  <c r="D11636" i="10"/>
  <c r="D11635" i="10"/>
  <c r="D11634" i="10"/>
  <c r="D11633" i="10"/>
  <c r="D11632" i="10"/>
  <c r="D11631" i="10"/>
  <c r="D11630" i="10"/>
  <c r="D11629" i="10"/>
  <c r="D11628" i="10"/>
  <c r="D11627" i="10"/>
  <c r="D11626" i="10"/>
  <c r="D11625" i="10"/>
  <c r="D11624" i="10"/>
  <c r="D11623" i="10"/>
  <c r="D11622" i="10"/>
  <c r="D11621" i="10"/>
  <c r="D11620" i="10"/>
  <c r="D11619" i="10"/>
  <c r="D11618" i="10"/>
  <c r="D11617" i="10"/>
  <c r="D11616" i="10"/>
  <c r="D11615" i="10"/>
  <c r="D11614" i="10"/>
  <c r="D11613" i="10"/>
  <c r="D11612" i="10"/>
  <c r="D11611" i="10"/>
  <c r="D11610" i="10"/>
  <c r="D11609" i="10"/>
  <c r="D11608" i="10"/>
  <c r="D11607" i="10"/>
  <c r="D11606" i="10"/>
  <c r="D11605" i="10"/>
  <c r="D11604" i="10"/>
  <c r="D11603" i="10"/>
  <c r="D11602" i="10"/>
  <c r="D11601" i="10"/>
  <c r="D11600" i="10"/>
  <c r="D11599" i="10"/>
  <c r="D11598" i="10"/>
  <c r="D11597" i="10"/>
  <c r="D11596" i="10"/>
  <c r="D11595" i="10"/>
  <c r="D11594" i="10"/>
  <c r="D11593" i="10"/>
  <c r="D11592" i="10"/>
  <c r="D11591" i="10"/>
  <c r="D11590" i="10"/>
  <c r="D11589" i="10"/>
  <c r="D11588" i="10"/>
  <c r="D11587" i="10"/>
  <c r="D11586" i="10"/>
  <c r="D11585" i="10"/>
  <c r="D11584" i="10"/>
  <c r="D11583" i="10"/>
  <c r="D11582" i="10"/>
  <c r="D11581" i="10"/>
  <c r="D11580" i="10"/>
  <c r="D11579" i="10"/>
  <c r="D11578" i="10"/>
  <c r="D11577" i="10"/>
  <c r="D11576" i="10"/>
  <c r="D11575" i="10"/>
  <c r="D11574" i="10"/>
  <c r="D11573" i="10"/>
  <c r="D11572" i="10"/>
  <c r="D11571" i="10"/>
  <c r="D11570" i="10"/>
  <c r="D11569" i="10"/>
  <c r="D11568" i="10"/>
  <c r="D11567" i="10"/>
  <c r="D11566" i="10"/>
  <c r="D11565" i="10"/>
  <c r="D11564" i="10"/>
  <c r="D11563" i="10"/>
  <c r="D11562" i="10"/>
  <c r="D11561" i="10"/>
  <c r="D11560" i="10"/>
  <c r="D11559" i="10"/>
  <c r="D11558" i="10"/>
  <c r="D11557" i="10"/>
  <c r="D11556" i="10"/>
  <c r="D11555" i="10"/>
  <c r="D11554" i="10"/>
  <c r="D11553" i="10"/>
  <c r="D11552" i="10"/>
  <c r="D11551" i="10"/>
  <c r="D11550" i="10"/>
  <c r="D11549" i="10"/>
  <c r="D11548" i="10"/>
  <c r="D11547" i="10"/>
  <c r="D11546" i="10"/>
  <c r="D11545" i="10"/>
  <c r="D11544" i="10"/>
  <c r="D11543" i="10"/>
  <c r="D11542" i="10"/>
  <c r="D11541" i="10"/>
  <c r="D11540" i="10"/>
  <c r="D11539" i="10"/>
  <c r="D11538" i="10"/>
  <c r="D11537" i="10"/>
  <c r="D11536" i="10"/>
  <c r="D11535" i="10"/>
  <c r="D11534" i="10"/>
  <c r="D11533" i="10"/>
  <c r="D11532" i="10"/>
  <c r="D11531" i="10"/>
  <c r="D11530" i="10"/>
  <c r="D11529" i="10"/>
  <c r="D11528" i="10"/>
  <c r="D11527" i="10"/>
  <c r="D11526" i="10"/>
  <c r="D11525" i="10"/>
  <c r="D11524" i="10"/>
  <c r="D11523" i="10"/>
  <c r="D11522" i="10"/>
  <c r="D11521" i="10"/>
  <c r="D11520" i="10"/>
  <c r="D11519" i="10"/>
  <c r="D11518" i="10"/>
  <c r="D11517" i="10"/>
  <c r="D11516" i="10"/>
  <c r="D11515" i="10"/>
  <c r="D11514" i="10"/>
  <c r="D11513" i="10"/>
  <c r="D11512" i="10"/>
  <c r="D11511" i="10"/>
  <c r="D11510" i="10"/>
  <c r="D11509" i="10"/>
  <c r="D11508" i="10"/>
  <c r="D11507" i="10"/>
  <c r="D11506" i="10"/>
  <c r="D11505" i="10"/>
  <c r="D11504" i="10"/>
  <c r="D11503" i="10"/>
  <c r="D11502" i="10"/>
  <c r="D11501" i="10"/>
  <c r="D11500" i="10"/>
  <c r="D11499" i="10"/>
  <c r="D11498" i="10"/>
  <c r="D11497" i="10"/>
  <c r="D11496" i="10"/>
  <c r="D11495" i="10"/>
  <c r="D11494" i="10"/>
  <c r="D11493" i="10"/>
  <c r="D11492" i="10"/>
  <c r="D11491" i="10"/>
  <c r="D11490" i="10"/>
  <c r="D11489" i="10"/>
  <c r="D11488" i="10"/>
  <c r="D11487" i="10"/>
  <c r="D11486" i="10"/>
  <c r="D11485" i="10"/>
  <c r="D11484" i="10"/>
  <c r="D11483" i="10"/>
  <c r="D11482" i="10"/>
  <c r="D11481" i="10"/>
  <c r="D11480" i="10"/>
  <c r="D11479" i="10"/>
  <c r="D11478" i="10"/>
  <c r="D11477" i="10"/>
  <c r="D11476" i="10"/>
  <c r="D11475" i="10"/>
  <c r="D11474" i="10"/>
  <c r="D11473" i="10"/>
  <c r="D11472" i="10"/>
  <c r="D11471" i="10"/>
  <c r="D11470" i="10"/>
  <c r="D11469" i="10"/>
  <c r="D11468" i="10"/>
  <c r="D11467" i="10"/>
  <c r="D11466" i="10"/>
  <c r="D11465" i="10"/>
  <c r="D11464" i="10"/>
  <c r="D11463" i="10"/>
  <c r="D11462" i="10"/>
  <c r="D11461" i="10"/>
  <c r="D11460" i="10"/>
  <c r="D11459" i="10"/>
  <c r="D11458" i="10"/>
  <c r="D11457" i="10"/>
  <c r="D11456" i="10"/>
  <c r="D11455" i="10"/>
  <c r="D11454" i="10"/>
  <c r="D11453" i="10"/>
  <c r="D11452" i="10"/>
  <c r="D11451" i="10"/>
  <c r="D11450" i="10"/>
  <c r="D11449" i="10"/>
  <c r="D11448" i="10"/>
  <c r="D11447" i="10"/>
  <c r="D11446" i="10"/>
  <c r="D11445" i="10"/>
  <c r="D11444" i="10"/>
  <c r="D11443" i="10"/>
  <c r="D11442" i="10"/>
  <c r="D11441" i="10"/>
  <c r="D11440" i="10"/>
  <c r="D11439" i="10"/>
  <c r="D11438" i="10"/>
  <c r="D11437" i="10"/>
  <c r="D11436" i="10"/>
  <c r="D11435" i="10"/>
  <c r="D11434" i="10"/>
  <c r="D11433" i="10"/>
  <c r="D11432" i="10"/>
  <c r="D11431" i="10"/>
  <c r="D11430" i="10"/>
  <c r="D11429" i="10"/>
  <c r="D11428" i="10"/>
  <c r="D11427" i="10"/>
  <c r="D11426" i="10"/>
  <c r="D11425" i="10"/>
  <c r="D11424" i="10"/>
  <c r="D11423" i="10"/>
  <c r="D11422" i="10"/>
  <c r="D11421" i="10"/>
  <c r="D11420" i="10"/>
  <c r="D11419" i="10"/>
  <c r="D11418" i="10"/>
  <c r="D11417" i="10"/>
  <c r="D11416" i="10"/>
  <c r="D11415" i="10"/>
  <c r="D11414" i="10"/>
  <c r="D11413" i="10"/>
  <c r="D11412" i="10"/>
  <c r="D11411" i="10"/>
  <c r="D11410" i="10"/>
  <c r="D11409" i="10"/>
  <c r="D11408" i="10"/>
  <c r="D11407" i="10"/>
  <c r="D11406" i="10"/>
  <c r="D11405" i="10"/>
  <c r="D11404" i="10"/>
  <c r="D11403" i="10"/>
  <c r="D11402" i="10"/>
  <c r="D11401" i="10"/>
  <c r="D11400" i="10"/>
  <c r="D11399" i="10"/>
  <c r="D11398" i="10"/>
  <c r="D11397" i="10"/>
  <c r="D11396" i="10"/>
  <c r="D11395" i="10"/>
  <c r="D11394" i="10"/>
  <c r="D11393" i="10"/>
  <c r="D11392" i="10"/>
  <c r="D11391" i="10"/>
  <c r="D11390" i="10"/>
  <c r="D11389" i="10"/>
  <c r="D11388" i="10"/>
  <c r="D11387" i="10"/>
  <c r="D11386" i="10"/>
  <c r="D11385" i="10"/>
  <c r="D11384" i="10"/>
  <c r="D11383" i="10"/>
  <c r="D11382" i="10"/>
  <c r="D11381" i="10"/>
  <c r="D11380" i="10"/>
  <c r="D11379" i="10"/>
  <c r="D11378" i="10"/>
  <c r="D11377" i="10"/>
  <c r="D11376" i="10"/>
  <c r="D11375" i="10"/>
  <c r="D11374" i="10"/>
  <c r="D11373" i="10"/>
  <c r="D11372" i="10"/>
  <c r="D11371" i="10"/>
  <c r="D11370" i="10"/>
  <c r="D11369" i="10"/>
  <c r="D11368" i="10"/>
  <c r="D11367" i="10"/>
  <c r="D11366" i="10"/>
  <c r="D11365" i="10"/>
  <c r="D11364" i="10"/>
  <c r="D11363" i="10"/>
  <c r="D11362" i="10"/>
  <c r="D11361" i="10"/>
  <c r="D11360" i="10"/>
  <c r="D11359" i="10"/>
  <c r="D11358" i="10"/>
  <c r="D11357" i="10"/>
  <c r="D11356" i="10"/>
  <c r="D11355" i="10"/>
  <c r="D11354" i="10"/>
  <c r="D11353" i="10"/>
  <c r="D11352" i="10"/>
  <c r="D11351" i="10"/>
  <c r="D11350" i="10"/>
  <c r="D11349" i="10"/>
  <c r="D11348" i="10"/>
  <c r="D11347" i="10"/>
  <c r="D11346" i="10"/>
  <c r="D11345" i="10"/>
  <c r="D11344" i="10"/>
  <c r="D11343" i="10"/>
  <c r="D11342" i="10"/>
  <c r="D11341" i="10"/>
  <c r="D11340" i="10"/>
  <c r="D11339" i="10"/>
  <c r="D11338" i="10"/>
  <c r="D11337" i="10"/>
  <c r="D11336" i="10"/>
  <c r="D11335" i="10"/>
  <c r="D11334" i="10"/>
  <c r="D11333" i="10"/>
  <c r="D11332" i="10"/>
  <c r="D11331" i="10"/>
  <c r="D11330" i="10"/>
  <c r="D11329" i="10"/>
  <c r="D11328" i="10"/>
  <c r="D11327" i="10"/>
  <c r="D11326" i="10"/>
  <c r="D11325" i="10"/>
  <c r="D11324" i="10"/>
  <c r="D11323" i="10"/>
  <c r="D11322" i="10"/>
  <c r="D11321" i="10"/>
  <c r="D11320" i="10"/>
  <c r="D11319" i="10"/>
  <c r="D11318" i="10"/>
  <c r="D11317" i="10"/>
  <c r="D11316" i="10"/>
  <c r="D11315" i="10"/>
  <c r="D11314" i="10"/>
  <c r="D11313" i="10"/>
  <c r="D11312" i="10"/>
  <c r="D11311" i="10"/>
  <c r="D11310" i="10"/>
  <c r="D11309" i="10"/>
  <c r="D11308" i="10"/>
  <c r="D11307" i="10"/>
  <c r="D11306" i="10"/>
  <c r="D11305" i="10"/>
  <c r="D11304" i="10"/>
  <c r="D11303" i="10"/>
  <c r="D11302" i="10"/>
  <c r="D11301" i="10"/>
  <c r="D11300" i="10"/>
  <c r="D11299" i="10"/>
  <c r="D11298" i="10"/>
  <c r="D11297" i="10"/>
  <c r="D11296" i="10"/>
  <c r="D11295" i="10"/>
  <c r="D11294" i="10"/>
  <c r="D11293" i="10"/>
  <c r="D11292" i="10"/>
  <c r="D11291" i="10"/>
  <c r="D11290" i="10"/>
  <c r="D11289" i="10"/>
  <c r="D11288" i="10"/>
  <c r="D11287" i="10"/>
  <c r="D11286" i="10"/>
  <c r="D11285" i="10"/>
  <c r="D11284" i="10"/>
  <c r="D11283" i="10"/>
  <c r="D11282" i="10"/>
  <c r="D11281" i="10"/>
  <c r="D11280" i="10"/>
  <c r="D11279" i="10"/>
  <c r="D11278" i="10"/>
  <c r="D11277" i="10"/>
  <c r="D11276" i="10"/>
  <c r="D11275" i="10"/>
  <c r="D11274" i="10"/>
  <c r="D11273" i="10"/>
  <c r="D11272" i="10"/>
  <c r="D11271" i="10"/>
  <c r="D11270" i="10"/>
  <c r="D11269" i="10"/>
  <c r="D11268" i="10"/>
  <c r="D11267" i="10"/>
  <c r="D11266" i="10"/>
  <c r="D11265" i="10"/>
  <c r="D11264" i="10"/>
  <c r="D11263" i="10"/>
  <c r="D11262" i="10"/>
  <c r="D11261" i="10"/>
  <c r="D11260" i="10"/>
  <c r="D11259" i="10"/>
  <c r="D11258" i="10"/>
  <c r="D11257" i="10"/>
  <c r="D11256" i="10"/>
  <c r="D11255" i="10"/>
  <c r="D11254" i="10"/>
  <c r="D11253" i="10"/>
  <c r="D11252" i="10"/>
  <c r="D11251" i="10"/>
  <c r="D11250" i="10"/>
  <c r="D11249" i="10"/>
  <c r="D11248" i="10"/>
  <c r="D11247" i="10"/>
  <c r="D11246" i="10"/>
  <c r="D11245" i="10"/>
  <c r="D11244" i="10"/>
  <c r="D11243" i="10"/>
  <c r="D11242" i="10"/>
  <c r="D11241" i="10"/>
  <c r="D11240" i="10"/>
  <c r="D11239" i="10"/>
  <c r="D11238" i="10"/>
  <c r="D11237" i="10"/>
  <c r="D11236" i="10"/>
  <c r="D11235" i="10"/>
  <c r="D11234" i="10"/>
  <c r="D11233" i="10"/>
  <c r="D11232" i="10"/>
  <c r="D11231" i="10"/>
  <c r="D11230" i="10"/>
  <c r="D11229" i="10"/>
  <c r="D11228" i="10"/>
  <c r="D11227" i="10"/>
  <c r="D11226" i="10"/>
  <c r="D11225" i="10"/>
  <c r="D11224" i="10"/>
  <c r="D11223" i="10"/>
  <c r="D11222" i="10"/>
  <c r="D11221" i="10"/>
  <c r="D11220" i="10"/>
  <c r="D11219" i="10"/>
  <c r="D11218" i="10"/>
  <c r="D11217" i="10"/>
  <c r="D11216" i="10"/>
  <c r="D11215" i="10"/>
  <c r="D11214" i="10"/>
  <c r="D11213" i="10"/>
  <c r="D11212" i="10"/>
  <c r="D11211" i="10"/>
  <c r="D11210" i="10"/>
  <c r="D11209" i="10"/>
  <c r="D11208" i="10"/>
  <c r="D11207" i="10"/>
  <c r="D11206" i="10"/>
  <c r="D11205" i="10"/>
  <c r="D11204" i="10"/>
  <c r="D11203" i="10"/>
  <c r="D11202" i="10"/>
  <c r="D11201" i="10"/>
  <c r="D11200" i="10"/>
  <c r="D11199" i="10"/>
  <c r="D11198" i="10"/>
  <c r="D11197" i="10"/>
  <c r="D11196" i="10"/>
  <c r="D11195" i="10"/>
  <c r="D11194" i="10"/>
  <c r="D11193" i="10"/>
  <c r="D11192" i="10"/>
  <c r="D11191" i="10"/>
  <c r="D11190" i="10"/>
  <c r="D11189" i="10"/>
  <c r="D11188" i="10"/>
  <c r="D11187" i="10"/>
  <c r="D11186" i="10"/>
  <c r="D11185" i="10"/>
  <c r="D11184" i="10"/>
  <c r="D11183" i="10"/>
  <c r="D11182" i="10"/>
  <c r="D11181" i="10"/>
  <c r="D11180" i="10"/>
  <c r="D11179" i="10"/>
  <c r="D11178" i="10"/>
  <c r="D11177" i="10"/>
  <c r="D11176" i="10"/>
  <c r="D11175" i="10"/>
  <c r="D11174" i="10"/>
  <c r="D11173" i="10"/>
  <c r="D11172" i="10"/>
  <c r="D11171" i="10"/>
  <c r="D11170" i="10"/>
  <c r="D11169" i="10"/>
  <c r="D11168" i="10"/>
  <c r="D11167" i="10"/>
  <c r="D11166" i="10"/>
  <c r="D11165" i="10"/>
  <c r="D11164" i="10"/>
  <c r="D11163" i="10"/>
  <c r="D11162" i="10"/>
  <c r="D11161" i="10"/>
  <c r="D11160" i="10"/>
  <c r="D11159" i="10"/>
  <c r="D11158" i="10"/>
  <c r="D11157" i="10"/>
  <c r="D11156" i="10"/>
  <c r="D11155" i="10"/>
  <c r="D11154" i="10"/>
  <c r="D11153" i="10"/>
  <c r="D11152" i="10"/>
  <c r="D11151" i="10"/>
  <c r="D11150" i="10"/>
  <c r="D11149" i="10"/>
  <c r="D11148" i="10"/>
  <c r="D11147" i="10"/>
  <c r="D11146" i="10"/>
  <c r="D11145" i="10"/>
  <c r="D11144" i="10"/>
  <c r="D11143" i="10"/>
  <c r="D11142" i="10"/>
  <c r="D11141" i="10"/>
  <c r="D11140" i="10"/>
  <c r="D11139" i="10"/>
  <c r="D11138" i="10"/>
  <c r="D11137" i="10"/>
  <c r="D11136" i="10"/>
  <c r="D11135" i="10"/>
  <c r="D11134" i="10"/>
  <c r="D11133" i="10"/>
  <c r="D11132" i="10"/>
  <c r="D11131" i="10"/>
  <c r="D11130" i="10"/>
  <c r="D11129" i="10"/>
  <c r="D11128" i="10"/>
  <c r="D11127" i="10"/>
  <c r="D11126" i="10"/>
  <c r="D11125" i="10"/>
  <c r="D11124" i="10"/>
  <c r="D11123" i="10"/>
  <c r="D11122" i="10"/>
  <c r="D11121" i="10"/>
  <c r="D11120" i="10"/>
  <c r="D11119" i="10"/>
  <c r="D11118" i="10"/>
  <c r="D11117" i="10"/>
  <c r="D11116" i="10"/>
  <c r="D11115" i="10"/>
  <c r="D11114" i="10"/>
  <c r="D11113" i="10"/>
  <c r="D11112" i="10"/>
  <c r="D11111" i="10"/>
  <c r="D11110" i="10"/>
  <c r="D11109" i="10"/>
  <c r="D11108" i="10"/>
  <c r="D11107" i="10"/>
  <c r="D11106" i="10"/>
  <c r="D11105" i="10"/>
  <c r="D11104" i="10"/>
  <c r="D11103" i="10"/>
  <c r="D11102" i="10"/>
  <c r="D11101" i="10"/>
  <c r="D11100" i="10"/>
  <c r="D11099" i="10"/>
  <c r="D11098" i="10"/>
  <c r="D11097" i="10"/>
  <c r="D11096" i="10"/>
  <c r="D11095" i="10"/>
  <c r="D11094" i="10"/>
  <c r="D11093" i="10"/>
  <c r="D11092" i="10"/>
  <c r="D11091" i="10"/>
  <c r="D11090" i="10"/>
  <c r="D11089" i="10"/>
  <c r="D11088" i="10"/>
  <c r="D11087" i="10"/>
  <c r="D11086" i="10"/>
  <c r="D11085" i="10"/>
  <c r="D11084" i="10"/>
  <c r="D11083" i="10"/>
  <c r="D11082" i="10"/>
  <c r="D11081" i="10"/>
  <c r="D11080" i="10"/>
  <c r="D11079" i="10"/>
  <c r="D11078" i="10"/>
  <c r="D11077" i="10"/>
  <c r="D11076" i="10"/>
  <c r="D11075" i="10"/>
  <c r="D11074" i="10"/>
  <c r="D11073" i="10"/>
  <c r="D11072" i="10"/>
  <c r="D11071" i="10"/>
  <c r="D11070" i="10"/>
  <c r="D11069" i="10"/>
  <c r="D11068" i="10"/>
  <c r="D11067" i="10"/>
  <c r="D11066" i="10"/>
  <c r="D11065" i="10"/>
  <c r="D11064" i="10"/>
  <c r="D11063" i="10"/>
  <c r="D11062" i="10"/>
  <c r="D11061" i="10"/>
  <c r="D11060" i="10"/>
  <c r="D11059" i="10"/>
  <c r="D11058" i="10"/>
  <c r="D11057" i="10"/>
  <c r="D11056" i="10"/>
  <c r="D11055" i="10"/>
  <c r="D11054" i="10"/>
  <c r="D11053" i="10"/>
  <c r="D11052" i="10"/>
  <c r="D11051" i="10"/>
  <c r="D11050" i="10"/>
  <c r="D11049" i="10"/>
  <c r="D11048" i="10"/>
  <c r="D11047" i="10"/>
  <c r="D11046" i="10"/>
  <c r="D11045" i="10"/>
  <c r="D11044" i="10"/>
  <c r="D11043" i="10"/>
  <c r="D11042" i="10"/>
  <c r="D11041" i="10"/>
  <c r="D11040" i="10"/>
  <c r="D11039" i="10"/>
  <c r="D11038" i="10"/>
  <c r="D11037" i="10"/>
  <c r="D11036" i="10"/>
  <c r="D11035" i="10"/>
  <c r="D11034" i="10"/>
  <c r="D11033" i="10"/>
  <c r="D11032" i="10"/>
  <c r="D11031" i="10"/>
  <c r="D11030" i="10"/>
  <c r="D11029" i="10"/>
  <c r="D11028" i="10"/>
  <c r="D11027" i="10"/>
  <c r="D11026" i="10"/>
  <c r="D11025" i="10"/>
  <c r="D11024" i="10"/>
  <c r="D11023" i="10"/>
  <c r="D11022" i="10"/>
  <c r="D11021" i="10"/>
  <c r="D11020" i="10"/>
  <c r="D11019" i="10"/>
  <c r="D11018" i="10"/>
  <c r="D11017" i="10"/>
  <c r="D11016" i="10"/>
  <c r="D11015" i="10"/>
  <c r="D11014" i="10"/>
  <c r="D11013" i="10"/>
  <c r="D11012" i="10"/>
  <c r="D11011" i="10"/>
  <c r="D11010" i="10"/>
  <c r="D11009" i="10"/>
  <c r="D11008" i="10"/>
  <c r="D11007" i="10"/>
  <c r="D11006" i="10"/>
  <c r="D11005" i="10"/>
  <c r="D11004" i="10"/>
  <c r="D11003" i="10"/>
  <c r="D11002" i="10"/>
  <c r="D11001" i="10"/>
  <c r="D11000" i="10"/>
  <c r="D10999" i="10"/>
  <c r="D10998" i="10"/>
  <c r="D10997" i="10"/>
  <c r="D10996" i="10"/>
  <c r="D10995" i="10"/>
  <c r="D10994" i="10"/>
  <c r="D10993" i="10"/>
  <c r="D10992" i="10"/>
  <c r="D10991" i="10"/>
  <c r="D10990" i="10"/>
  <c r="D10989" i="10"/>
  <c r="D10988" i="10"/>
  <c r="D10987" i="10"/>
  <c r="D10986" i="10"/>
  <c r="D10985" i="10"/>
  <c r="D10984" i="10"/>
  <c r="D10983" i="10"/>
  <c r="D10982" i="10"/>
  <c r="D10981" i="10"/>
  <c r="D10980" i="10"/>
  <c r="D10979" i="10"/>
  <c r="D10978" i="10"/>
  <c r="D10977" i="10"/>
  <c r="D10976" i="10"/>
  <c r="D10975" i="10"/>
  <c r="D10974" i="10"/>
  <c r="D10973" i="10"/>
  <c r="D10972" i="10"/>
  <c r="D10971" i="10"/>
  <c r="D10970" i="10"/>
  <c r="D10969" i="10"/>
  <c r="D10968" i="10"/>
  <c r="D10967" i="10"/>
  <c r="D10966" i="10"/>
  <c r="D10965" i="10"/>
  <c r="D10964" i="10"/>
  <c r="D10963" i="10"/>
  <c r="D10962" i="10"/>
  <c r="D10961" i="10"/>
  <c r="D10960" i="10"/>
  <c r="D10959" i="10"/>
  <c r="D10958" i="10"/>
  <c r="D10957" i="10"/>
  <c r="D10956" i="10"/>
  <c r="D10955" i="10"/>
  <c r="D10954" i="10"/>
  <c r="D10953" i="10"/>
  <c r="D10952" i="10"/>
  <c r="D10951" i="10"/>
  <c r="D10950" i="10"/>
  <c r="D10949" i="10"/>
  <c r="D10948" i="10"/>
  <c r="D10947" i="10"/>
  <c r="D10946" i="10"/>
  <c r="D10945" i="10"/>
  <c r="D10944" i="10"/>
  <c r="D10943" i="10"/>
  <c r="D10942" i="10"/>
  <c r="D10941" i="10"/>
  <c r="D10940" i="10"/>
  <c r="D10939" i="10"/>
  <c r="D10938" i="10"/>
  <c r="D10937" i="10"/>
  <c r="D10936" i="10"/>
  <c r="D10935" i="10"/>
  <c r="D10934" i="10"/>
  <c r="D10933" i="10"/>
  <c r="D10932" i="10"/>
  <c r="D10931" i="10"/>
  <c r="D10930" i="10"/>
  <c r="D10929" i="10"/>
  <c r="D10928" i="10"/>
  <c r="D10927" i="10"/>
  <c r="D10926" i="10"/>
  <c r="D10925" i="10"/>
  <c r="D10924" i="10"/>
  <c r="D10923" i="10"/>
  <c r="D10922" i="10"/>
  <c r="D10921" i="10"/>
  <c r="D10920" i="10"/>
  <c r="D10919" i="10"/>
  <c r="D10918" i="10"/>
  <c r="D10917" i="10"/>
  <c r="D10916" i="10"/>
  <c r="D10915" i="10"/>
  <c r="D10914" i="10"/>
  <c r="D10913" i="10"/>
  <c r="D10912" i="10"/>
  <c r="D10911" i="10"/>
  <c r="D10910" i="10"/>
  <c r="D10909" i="10"/>
  <c r="D10908" i="10"/>
  <c r="D10907" i="10"/>
  <c r="D10906" i="10"/>
  <c r="D10905" i="10"/>
  <c r="D10904" i="10"/>
  <c r="D10903" i="10"/>
  <c r="D10902" i="10"/>
  <c r="D10901" i="10"/>
  <c r="D10900" i="10"/>
  <c r="D10899" i="10"/>
  <c r="D10898" i="10"/>
  <c r="D10897" i="10"/>
  <c r="D10896" i="10"/>
  <c r="D10895" i="10"/>
  <c r="D10894" i="10"/>
  <c r="D10893" i="10"/>
  <c r="D10892" i="10"/>
  <c r="D10891" i="10"/>
  <c r="D10890" i="10"/>
  <c r="D10889" i="10"/>
  <c r="D10888" i="10"/>
  <c r="D10887" i="10"/>
  <c r="D10886" i="10"/>
  <c r="D10885" i="10"/>
  <c r="D10884" i="10"/>
  <c r="D10883" i="10"/>
  <c r="D10882" i="10"/>
  <c r="D10881" i="10"/>
  <c r="D10880" i="10"/>
  <c r="D10879" i="10"/>
  <c r="D10878" i="10"/>
  <c r="D10877" i="10"/>
  <c r="D10876" i="10"/>
  <c r="D10875" i="10"/>
  <c r="D10874" i="10"/>
  <c r="D10873" i="10"/>
  <c r="D10872" i="10"/>
  <c r="D10871" i="10"/>
  <c r="D10870" i="10"/>
  <c r="D10869" i="10"/>
  <c r="D10868" i="10"/>
  <c r="D10867" i="10"/>
  <c r="D10866" i="10"/>
  <c r="D10865" i="10"/>
  <c r="D10864" i="10"/>
  <c r="D10863" i="10"/>
  <c r="D10862" i="10"/>
  <c r="D10861" i="10"/>
  <c r="D10860" i="10"/>
  <c r="D10859" i="10"/>
  <c r="D10858" i="10"/>
  <c r="D10857" i="10"/>
  <c r="D10856" i="10"/>
  <c r="D10855" i="10"/>
  <c r="D10854" i="10"/>
  <c r="D10853" i="10"/>
  <c r="D10852" i="10"/>
  <c r="D10851" i="10"/>
  <c r="D10850" i="10"/>
  <c r="D10849" i="10"/>
  <c r="D10848" i="10"/>
  <c r="D10847" i="10"/>
  <c r="D10846" i="10"/>
  <c r="D10845" i="10"/>
  <c r="D10844" i="10"/>
  <c r="D10843" i="10"/>
  <c r="D10842" i="10"/>
  <c r="D10841" i="10"/>
  <c r="D10840" i="10"/>
  <c r="D10839" i="10"/>
  <c r="D10838" i="10"/>
  <c r="D10837" i="10"/>
  <c r="D10836" i="10"/>
  <c r="D10835" i="10"/>
  <c r="D10834" i="10"/>
  <c r="D10833" i="10"/>
  <c r="D10832" i="10"/>
  <c r="D10831" i="10"/>
  <c r="D10830" i="10"/>
  <c r="D10829" i="10"/>
  <c r="D10828" i="10"/>
  <c r="D10827" i="10"/>
  <c r="D10826" i="10"/>
  <c r="D10825" i="10"/>
  <c r="D10824" i="10"/>
  <c r="D10823" i="10"/>
  <c r="D10822" i="10"/>
  <c r="D10821" i="10"/>
  <c r="D10820" i="10"/>
  <c r="D10819" i="10"/>
  <c r="D10818" i="10"/>
  <c r="D10817" i="10"/>
  <c r="D10816" i="10"/>
  <c r="D10815" i="10"/>
  <c r="D10814" i="10"/>
  <c r="D10813" i="10"/>
  <c r="D10812" i="10"/>
  <c r="D10811" i="10"/>
  <c r="D10810" i="10"/>
  <c r="D10809" i="10"/>
  <c r="D10808" i="10"/>
  <c r="D10807" i="10"/>
  <c r="D10806" i="10"/>
  <c r="D10805" i="10"/>
  <c r="D10804" i="10"/>
  <c r="D10803" i="10"/>
  <c r="D10802" i="10"/>
  <c r="D10801" i="10"/>
  <c r="D10800" i="10"/>
  <c r="D10799" i="10"/>
  <c r="D10798" i="10"/>
  <c r="D10797" i="10"/>
  <c r="D10796" i="10"/>
  <c r="D10795" i="10"/>
  <c r="D10794" i="10"/>
  <c r="D10793" i="10"/>
  <c r="D10792" i="10"/>
  <c r="D10791" i="10"/>
  <c r="D10790" i="10"/>
  <c r="D10789" i="10"/>
  <c r="D10788" i="10"/>
  <c r="D10787" i="10"/>
  <c r="D10786" i="10"/>
  <c r="D10785" i="10"/>
  <c r="D10784" i="10"/>
  <c r="D10783" i="10"/>
  <c r="D10782" i="10"/>
  <c r="D10781" i="10"/>
  <c r="D10780" i="10"/>
  <c r="D10779" i="10"/>
  <c r="D10778" i="10"/>
  <c r="D10777" i="10"/>
  <c r="D10776" i="10"/>
  <c r="D10775" i="10"/>
  <c r="D10774" i="10"/>
  <c r="D10773" i="10"/>
  <c r="D10772" i="10"/>
  <c r="D10771" i="10"/>
  <c r="D10770" i="10"/>
  <c r="D10769" i="10"/>
  <c r="D10768" i="10"/>
  <c r="D10767" i="10"/>
  <c r="D10766" i="10"/>
  <c r="D10765" i="10"/>
  <c r="D10764" i="10"/>
  <c r="D10763" i="10"/>
  <c r="D10762" i="10"/>
  <c r="D10761" i="10"/>
  <c r="D10760" i="10"/>
  <c r="D10759" i="10"/>
  <c r="D10758" i="10"/>
  <c r="D10757" i="10"/>
  <c r="D10756" i="10"/>
  <c r="D10755" i="10"/>
  <c r="D10754" i="10"/>
  <c r="D10753" i="10"/>
  <c r="D10752" i="10"/>
  <c r="D10751" i="10"/>
  <c r="D10750" i="10"/>
  <c r="D10749" i="10"/>
  <c r="D10748" i="10"/>
  <c r="D10747" i="10"/>
  <c r="D10746" i="10"/>
  <c r="D10745" i="10"/>
  <c r="D10744" i="10"/>
  <c r="D10743" i="10"/>
  <c r="D10742" i="10"/>
  <c r="D10741" i="10"/>
  <c r="D10740" i="10"/>
  <c r="D10739" i="10"/>
  <c r="D10738" i="10"/>
  <c r="D10737" i="10"/>
  <c r="D10736" i="10"/>
  <c r="D10735" i="10"/>
  <c r="D10734" i="10"/>
  <c r="D10733" i="10"/>
  <c r="D10732" i="10"/>
  <c r="D10731" i="10"/>
  <c r="D10730" i="10"/>
  <c r="D10729" i="10"/>
  <c r="D10728" i="10"/>
  <c r="D10727" i="10"/>
  <c r="D10726" i="10"/>
  <c r="D10725" i="10"/>
  <c r="D10724" i="10"/>
  <c r="D10723" i="10"/>
  <c r="D10722" i="10"/>
  <c r="D10721" i="10"/>
  <c r="D10720" i="10"/>
  <c r="D10719" i="10"/>
  <c r="D10718" i="10"/>
  <c r="D10717" i="10"/>
  <c r="D10716" i="10"/>
  <c r="D10715" i="10"/>
  <c r="D10714" i="10"/>
  <c r="D10713" i="10"/>
  <c r="D10712" i="10"/>
  <c r="D10711" i="10"/>
  <c r="D10710" i="10"/>
  <c r="D10709" i="10"/>
  <c r="D10708" i="10"/>
  <c r="D10707" i="10"/>
  <c r="D10706" i="10"/>
  <c r="D10705" i="10"/>
  <c r="D10704" i="10"/>
  <c r="D10703" i="10"/>
  <c r="D10702" i="10"/>
  <c r="D10701" i="10"/>
  <c r="D10700" i="10"/>
  <c r="D10699" i="10"/>
  <c r="D10698" i="10"/>
  <c r="D10697" i="10"/>
  <c r="D10696" i="10"/>
  <c r="D10695" i="10"/>
  <c r="D10694" i="10"/>
  <c r="D10693" i="10"/>
  <c r="D10692" i="10"/>
  <c r="D10691" i="10"/>
  <c r="D10690" i="10"/>
  <c r="D10689" i="10"/>
  <c r="D10688" i="10"/>
  <c r="D10687" i="10"/>
  <c r="D10686" i="10"/>
  <c r="D10685" i="10"/>
  <c r="D10684" i="10"/>
  <c r="D10683" i="10"/>
  <c r="D10682" i="10"/>
  <c r="D10681" i="10"/>
  <c r="D10680" i="10"/>
  <c r="D10679" i="10"/>
  <c r="D10678" i="10"/>
  <c r="D10677" i="10"/>
  <c r="D10676" i="10"/>
  <c r="D10675" i="10"/>
  <c r="D10674" i="10"/>
  <c r="D10673" i="10"/>
  <c r="D10672" i="10"/>
  <c r="D10671" i="10"/>
  <c r="D10670" i="10"/>
  <c r="D10669" i="10"/>
  <c r="D10668" i="10"/>
  <c r="D10667" i="10"/>
  <c r="D10666" i="10"/>
  <c r="D10665" i="10"/>
  <c r="D10664" i="10"/>
  <c r="D10663" i="10"/>
  <c r="D10662" i="10"/>
  <c r="D10661" i="10"/>
  <c r="D10660" i="10"/>
  <c r="D10659" i="10"/>
  <c r="D10658" i="10"/>
  <c r="D10657" i="10"/>
  <c r="D10656" i="10"/>
  <c r="D10655" i="10"/>
  <c r="D10654" i="10"/>
  <c r="D10653" i="10"/>
  <c r="D10652" i="10"/>
  <c r="D10651" i="10"/>
  <c r="D10650" i="10"/>
  <c r="D10649" i="10"/>
  <c r="D10648" i="10"/>
  <c r="D10647" i="10"/>
  <c r="D10646" i="10"/>
  <c r="D10645" i="10"/>
  <c r="D10644" i="10"/>
  <c r="D10643" i="10"/>
  <c r="D10642" i="10"/>
  <c r="D10641" i="10"/>
  <c r="D10640" i="10"/>
  <c r="D10639" i="10"/>
  <c r="D10638" i="10"/>
  <c r="D10637" i="10"/>
  <c r="D10636" i="10"/>
  <c r="D10635" i="10"/>
  <c r="D10634" i="10"/>
  <c r="D10633" i="10"/>
  <c r="D10632" i="10"/>
  <c r="D10631" i="10"/>
  <c r="D10630" i="10"/>
  <c r="D10629" i="10"/>
  <c r="D10628" i="10"/>
  <c r="D10627" i="10"/>
  <c r="D10626" i="10"/>
  <c r="D10625" i="10"/>
  <c r="D10624" i="10"/>
  <c r="D10623" i="10"/>
  <c r="D10622" i="10"/>
  <c r="D10621" i="10"/>
  <c r="D10620" i="10"/>
  <c r="D10619" i="10"/>
  <c r="D10618" i="10"/>
  <c r="D10617" i="10"/>
  <c r="D10616" i="10"/>
  <c r="D10615" i="10"/>
  <c r="D10614" i="10"/>
  <c r="D10613" i="10"/>
  <c r="D10612" i="10"/>
  <c r="D10611" i="10"/>
  <c r="D10610" i="10"/>
  <c r="D10609" i="10"/>
  <c r="D10608" i="10"/>
  <c r="D10607" i="10"/>
  <c r="D10606" i="10"/>
  <c r="D10605" i="10"/>
  <c r="D10604" i="10"/>
  <c r="D10603" i="10"/>
  <c r="D10602" i="10"/>
  <c r="D10601" i="10"/>
  <c r="D10600" i="10"/>
  <c r="D10599" i="10"/>
  <c r="D10598" i="10"/>
  <c r="D10597" i="10"/>
  <c r="D10596" i="10"/>
  <c r="D10595" i="10"/>
  <c r="D10594" i="10"/>
  <c r="D10593" i="10"/>
  <c r="D10592" i="10"/>
  <c r="D10591" i="10"/>
  <c r="D10590" i="10"/>
  <c r="D10589" i="10"/>
  <c r="D10588" i="10"/>
  <c r="D10587" i="10"/>
  <c r="D10586" i="10"/>
  <c r="D10585" i="10"/>
  <c r="D10584" i="10"/>
  <c r="D10583" i="10"/>
  <c r="D10582" i="10"/>
  <c r="D10581" i="10"/>
  <c r="D10580" i="10"/>
  <c r="D10579" i="10"/>
  <c r="D10578" i="10"/>
  <c r="D10577" i="10"/>
  <c r="D10576" i="10"/>
  <c r="D10575" i="10"/>
  <c r="D10574" i="10"/>
  <c r="D10573" i="10"/>
  <c r="D10572" i="10"/>
  <c r="D10571" i="10"/>
  <c r="D10570" i="10"/>
  <c r="D10569" i="10"/>
  <c r="D10568" i="10"/>
  <c r="D10567" i="10"/>
  <c r="D10566" i="10"/>
  <c r="D10565" i="10"/>
  <c r="D10564" i="10"/>
  <c r="D10563" i="10"/>
  <c r="D10562" i="10"/>
  <c r="D10561" i="10"/>
  <c r="D10560" i="10"/>
  <c r="D10559" i="10"/>
  <c r="D10558" i="10"/>
  <c r="D10557" i="10"/>
  <c r="D10556" i="10"/>
  <c r="D10555" i="10"/>
  <c r="D10554" i="10"/>
  <c r="D10553" i="10"/>
  <c r="D10552" i="10"/>
  <c r="D10551" i="10"/>
  <c r="D10550" i="10"/>
  <c r="D10549" i="10"/>
  <c r="D10548" i="10"/>
  <c r="D10547" i="10"/>
  <c r="D10546" i="10"/>
  <c r="D10545" i="10"/>
  <c r="D10544" i="10"/>
  <c r="D10543" i="10"/>
  <c r="D10542" i="10"/>
  <c r="D10541" i="10"/>
  <c r="D10540" i="10"/>
  <c r="D10539" i="10"/>
  <c r="D10538" i="10"/>
  <c r="D10537" i="10"/>
  <c r="D10536" i="10"/>
  <c r="D10535" i="10"/>
  <c r="D10534" i="10"/>
  <c r="D10533" i="10"/>
  <c r="D10532" i="10"/>
  <c r="D10531" i="10"/>
  <c r="D10530" i="10"/>
  <c r="D10529" i="10"/>
  <c r="D10528" i="10"/>
  <c r="D10527" i="10"/>
  <c r="D10526" i="10"/>
  <c r="D10525" i="10"/>
  <c r="D10524" i="10"/>
  <c r="D10523" i="10"/>
  <c r="D10522" i="10"/>
  <c r="D10521" i="10"/>
  <c r="D10520" i="10"/>
  <c r="D10519" i="10"/>
  <c r="D10518" i="10"/>
  <c r="D10517" i="10"/>
  <c r="D10516" i="10"/>
  <c r="D10515" i="10"/>
  <c r="D10514" i="10"/>
  <c r="D10513" i="10"/>
  <c r="D10512" i="10"/>
  <c r="D10511" i="10"/>
  <c r="D10510" i="10"/>
  <c r="D10509" i="10"/>
  <c r="D10508" i="10"/>
  <c r="D10507" i="10"/>
  <c r="D10506" i="10"/>
  <c r="D10505" i="10"/>
  <c r="D10504" i="10"/>
  <c r="D10503" i="10"/>
  <c r="D10502" i="10"/>
  <c r="D10501" i="10"/>
  <c r="D10500" i="10"/>
  <c r="D10499" i="10"/>
  <c r="D10498" i="10"/>
  <c r="D10497" i="10"/>
  <c r="D10496" i="10"/>
  <c r="D10495" i="10"/>
  <c r="D10494" i="10"/>
  <c r="D10493" i="10"/>
  <c r="D10492" i="10"/>
  <c r="D10491" i="10"/>
  <c r="D10490" i="10"/>
  <c r="D10489" i="10"/>
  <c r="D10488" i="10"/>
  <c r="D10487" i="10"/>
  <c r="D10486" i="10"/>
  <c r="D10485" i="10"/>
  <c r="D10484" i="10"/>
  <c r="D10483" i="10"/>
  <c r="D10482" i="10"/>
  <c r="D10481" i="10"/>
  <c r="D10480" i="10"/>
  <c r="D10479" i="10"/>
  <c r="D10478" i="10"/>
  <c r="D10477" i="10"/>
  <c r="D10476" i="10"/>
  <c r="D10475" i="10"/>
  <c r="D10474" i="10"/>
  <c r="D10473" i="10"/>
  <c r="D10472" i="10"/>
  <c r="D10471" i="10"/>
  <c r="D10470" i="10"/>
  <c r="D10469" i="10"/>
  <c r="D10468" i="10"/>
  <c r="D10467" i="10"/>
  <c r="D10466" i="10"/>
  <c r="D10465" i="10"/>
  <c r="D10464" i="10"/>
  <c r="D10463" i="10"/>
  <c r="D10462" i="10"/>
  <c r="D10461" i="10"/>
  <c r="D10460" i="10"/>
  <c r="D10459" i="10"/>
  <c r="D10458" i="10"/>
  <c r="D10457" i="10"/>
  <c r="D10456" i="10"/>
  <c r="D10455" i="10"/>
  <c r="D10454" i="10"/>
  <c r="D10453" i="10"/>
  <c r="D10452" i="10"/>
  <c r="D10451" i="10"/>
  <c r="D10450" i="10"/>
  <c r="D10449" i="10"/>
  <c r="D10448" i="10"/>
  <c r="D10447" i="10"/>
  <c r="D10446" i="10"/>
  <c r="D10445" i="10"/>
  <c r="D10444" i="10"/>
  <c r="D10443" i="10"/>
  <c r="D10442" i="10"/>
  <c r="D10441" i="10"/>
  <c r="D10440" i="10"/>
  <c r="D10439" i="10"/>
  <c r="D10438" i="10"/>
  <c r="D10437" i="10"/>
  <c r="D10436" i="10"/>
  <c r="D10435" i="10"/>
  <c r="D10434" i="10"/>
  <c r="D10433" i="10"/>
  <c r="D10432" i="10"/>
  <c r="D10431" i="10"/>
  <c r="D10430" i="10"/>
  <c r="D10429" i="10"/>
  <c r="D10428" i="10"/>
  <c r="D10427" i="10"/>
  <c r="D10426" i="10"/>
  <c r="D10425" i="10"/>
  <c r="D10424" i="10"/>
  <c r="D10423" i="10"/>
  <c r="D10422" i="10"/>
  <c r="D10421" i="10"/>
  <c r="D10420" i="10"/>
  <c r="D10419" i="10"/>
  <c r="D10418" i="10"/>
  <c r="D10417" i="10"/>
  <c r="D10416" i="10"/>
  <c r="D10415" i="10"/>
  <c r="D10414" i="10"/>
  <c r="D10413" i="10"/>
  <c r="D10412" i="10"/>
  <c r="D10411" i="10"/>
  <c r="D10410" i="10"/>
  <c r="D10409" i="10"/>
  <c r="D10408" i="10"/>
  <c r="D10407" i="10"/>
  <c r="D10406" i="10"/>
  <c r="D10405" i="10"/>
  <c r="D10404" i="10"/>
  <c r="D10403" i="10"/>
  <c r="D10402" i="10"/>
  <c r="D10401" i="10"/>
  <c r="D10400" i="10"/>
  <c r="D10399" i="10"/>
  <c r="D10398" i="10"/>
  <c r="D10397" i="10"/>
  <c r="D10396" i="10"/>
  <c r="D10395" i="10"/>
  <c r="D10394" i="10"/>
  <c r="D10393" i="10"/>
  <c r="D10392" i="10"/>
  <c r="D10391" i="10"/>
  <c r="D10390" i="10"/>
  <c r="D10389" i="10"/>
  <c r="D10388" i="10"/>
  <c r="D10387" i="10"/>
  <c r="D10386" i="10"/>
  <c r="D10385" i="10"/>
  <c r="D10384" i="10"/>
  <c r="D10383" i="10"/>
  <c r="D10382" i="10"/>
  <c r="D10381" i="10"/>
  <c r="D10380" i="10"/>
  <c r="D10379" i="10"/>
  <c r="D10378" i="10"/>
  <c r="D10377" i="10"/>
  <c r="D10376" i="10"/>
  <c r="D10375" i="10"/>
  <c r="D10374" i="10"/>
  <c r="D10373" i="10"/>
  <c r="D10372" i="10"/>
  <c r="D10371" i="10"/>
  <c r="D10370" i="10"/>
  <c r="D10369" i="10"/>
  <c r="D10368" i="10"/>
  <c r="D10367" i="10"/>
  <c r="D10366" i="10"/>
  <c r="D10365" i="10"/>
  <c r="D10364" i="10"/>
  <c r="D10363" i="10"/>
  <c r="D10362" i="10"/>
  <c r="D10361" i="10"/>
  <c r="D10360" i="10"/>
  <c r="D10359" i="10"/>
  <c r="D10358" i="10"/>
  <c r="D10357" i="10"/>
  <c r="D10356" i="10"/>
  <c r="D10355" i="10"/>
  <c r="D10354" i="10"/>
  <c r="D10353" i="10"/>
  <c r="D10352" i="10"/>
  <c r="D10351" i="10"/>
  <c r="D10350" i="10"/>
  <c r="D10349" i="10"/>
  <c r="D10348" i="10"/>
  <c r="D10347" i="10"/>
  <c r="D10346" i="10"/>
  <c r="D10345" i="10"/>
  <c r="D10344" i="10"/>
  <c r="D10343" i="10"/>
  <c r="D10342" i="10"/>
  <c r="D10341" i="10"/>
  <c r="D10340" i="10"/>
  <c r="D10339" i="10"/>
  <c r="D10338" i="10"/>
  <c r="D10337" i="10"/>
  <c r="D10336" i="10"/>
  <c r="D10335" i="10"/>
  <c r="D10334" i="10"/>
  <c r="D10333" i="10"/>
  <c r="D10332" i="10"/>
  <c r="D10331" i="10"/>
  <c r="D10330" i="10"/>
  <c r="D10329" i="10"/>
  <c r="D10328" i="10"/>
  <c r="D10327" i="10"/>
  <c r="D10326" i="10"/>
  <c r="D10325" i="10"/>
  <c r="D10324" i="10"/>
  <c r="D10323" i="10"/>
  <c r="D10322" i="10"/>
  <c r="D10321" i="10"/>
  <c r="D10320" i="10"/>
  <c r="D10319" i="10"/>
  <c r="D10318" i="10"/>
  <c r="D10317" i="10"/>
  <c r="D10316" i="10"/>
  <c r="D10315" i="10"/>
  <c r="D10314" i="10"/>
  <c r="D10313" i="10"/>
  <c r="D10312" i="10"/>
  <c r="D10311" i="10"/>
  <c r="D10310" i="10"/>
  <c r="D10309" i="10"/>
  <c r="D10308" i="10"/>
  <c r="D10307" i="10"/>
  <c r="D10306" i="10"/>
  <c r="D10305" i="10"/>
  <c r="D10304" i="10"/>
  <c r="D10303" i="10"/>
  <c r="D10302" i="10"/>
  <c r="D10301" i="10"/>
  <c r="D10300" i="10"/>
  <c r="D10299" i="10"/>
  <c r="D10298" i="10"/>
  <c r="D10297" i="10"/>
  <c r="D10296" i="10"/>
  <c r="D10295" i="10"/>
  <c r="D10294" i="10"/>
  <c r="D10293" i="10"/>
  <c r="D10292" i="10"/>
  <c r="D10291" i="10"/>
  <c r="D10290" i="10"/>
  <c r="D10289" i="10"/>
  <c r="D10288" i="10"/>
  <c r="D10287" i="10"/>
  <c r="D10286" i="10"/>
  <c r="D10285" i="10"/>
  <c r="D10284" i="10"/>
  <c r="D10283" i="10"/>
  <c r="D10282" i="10"/>
  <c r="D10281" i="10"/>
  <c r="D10280" i="10"/>
  <c r="D10279" i="10"/>
  <c r="D10278" i="10"/>
  <c r="D10277" i="10"/>
  <c r="D10276" i="10"/>
  <c r="D10275" i="10"/>
  <c r="D10274" i="10"/>
  <c r="D10273" i="10"/>
  <c r="D10272" i="10"/>
  <c r="D10271" i="10"/>
  <c r="D10270" i="10"/>
  <c r="D10269" i="10"/>
  <c r="D10268" i="10"/>
  <c r="D10267" i="10"/>
  <c r="D10266" i="10"/>
  <c r="D10265" i="10"/>
  <c r="D10264" i="10"/>
  <c r="D10263" i="10"/>
  <c r="D10262" i="10"/>
  <c r="D10261" i="10"/>
  <c r="D10260" i="10"/>
  <c r="D10259" i="10"/>
  <c r="D10258" i="10"/>
  <c r="D10257" i="10"/>
  <c r="D10256" i="10"/>
  <c r="D10255" i="10"/>
  <c r="D10254" i="10"/>
  <c r="D10253" i="10"/>
  <c r="D10252" i="10"/>
  <c r="D10251" i="10"/>
  <c r="D10250" i="10"/>
  <c r="D10249" i="10"/>
  <c r="D10248" i="10"/>
  <c r="D10247" i="10"/>
  <c r="D10246" i="10"/>
  <c r="D10245" i="10"/>
  <c r="D10244" i="10"/>
  <c r="D10243" i="10"/>
  <c r="D10242" i="10"/>
  <c r="D10241" i="10"/>
  <c r="D10240" i="10"/>
  <c r="D10239" i="10"/>
  <c r="D10238" i="10"/>
  <c r="D10237" i="10"/>
  <c r="D10236" i="10"/>
  <c r="D10235" i="10"/>
  <c r="D10234" i="10"/>
  <c r="D10233" i="10"/>
  <c r="D10232" i="10"/>
  <c r="D10231" i="10"/>
  <c r="D10230" i="10"/>
  <c r="D10229" i="10"/>
  <c r="D10228" i="10"/>
  <c r="D10227" i="10"/>
  <c r="D10226" i="10"/>
  <c r="D10225" i="10"/>
  <c r="D10224" i="10"/>
  <c r="D10223" i="10"/>
  <c r="D10222" i="10"/>
  <c r="D10221" i="10"/>
  <c r="D10220" i="10"/>
  <c r="D10219" i="10"/>
  <c r="D10218" i="10"/>
  <c r="D10217" i="10"/>
  <c r="D10216" i="10"/>
  <c r="D10215" i="10"/>
  <c r="D10214" i="10"/>
  <c r="D10213" i="10"/>
  <c r="D10212" i="10"/>
  <c r="D10211" i="10"/>
  <c r="D10210" i="10"/>
  <c r="D10209" i="10"/>
  <c r="D10208" i="10"/>
  <c r="D10207" i="10"/>
  <c r="D10206" i="10"/>
  <c r="D10205" i="10"/>
  <c r="D10204" i="10"/>
  <c r="D10203" i="10"/>
  <c r="D10202" i="10"/>
  <c r="D10201" i="10"/>
  <c r="D10200" i="10"/>
  <c r="D10199" i="10"/>
  <c r="D10198" i="10"/>
  <c r="D10197" i="10"/>
  <c r="D10196" i="10"/>
  <c r="D10195" i="10"/>
  <c r="D10194" i="10"/>
  <c r="D10193" i="10"/>
  <c r="D10192" i="10"/>
  <c r="D10191" i="10"/>
  <c r="D10190" i="10"/>
  <c r="D10189" i="10"/>
  <c r="D10188" i="10"/>
  <c r="D10187" i="10"/>
  <c r="D10186" i="10"/>
  <c r="D10185" i="10"/>
  <c r="D10184" i="10"/>
  <c r="D10183" i="10"/>
  <c r="D10182" i="10"/>
  <c r="D10181" i="10"/>
  <c r="D10180" i="10"/>
  <c r="D10179" i="10"/>
  <c r="D10178" i="10"/>
  <c r="D10177" i="10"/>
  <c r="D10176" i="10"/>
  <c r="D10175" i="10"/>
  <c r="D10174" i="10"/>
  <c r="D10173" i="10"/>
  <c r="D10172" i="10"/>
  <c r="D10171" i="10"/>
  <c r="D10170" i="10"/>
  <c r="D10169" i="10"/>
  <c r="D10168" i="10"/>
  <c r="D10167" i="10"/>
  <c r="D10166" i="10"/>
  <c r="D10165" i="10"/>
  <c r="D10164" i="10"/>
  <c r="D10163" i="10"/>
  <c r="D10162" i="10"/>
  <c r="D10161" i="10"/>
  <c r="D10160" i="10"/>
  <c r="D10159" i="10"/>
  <c r="D10158" i="10"/>
  <c r="D10157" i="10"/>
  <c r="D10156" i="10"/>
  <c r="D10155" i="10"/>
  <c r="D10154" i="10"/>
  <c r="D10153" i="10"/>
  <c r="D10152" i="10"/>
  <c r="D10151" i="10"/>
  <c r="D10150" i="10"/>
  <c r="D10149" i="10"/>
  <c r="D10148" i="10"/>
  <c r="D10147" i="10"/>
  <c r="D10146" i="10"/>
  <c r="D10145" i="10"/>
  <c r="D10144" i="10"/>
  <c r="D10143" i="10"/>
  <c r="D10142" i="10"/>
  <c r="D10141" i="10"/>
  <c r="D10140" i="10"/>
  <c r="D10139" i="10"/>
  <c r="D10138" i="10"/>
  <c r="D10137" i="10"/>
  <c r="D10136" i="10"/>
  <c r="D10135" i="10"/>
  <c r="D10134" i="10"/>
  <c r="D10133" i="10"/>
  <c r="D10132" i="10"/>
  <c r="D10131" i="10"/>
  <c r="D10130" i="10"/>
  <c r="D10129" i="10"/>
  <c r="D10128" i="10"/>
  <c r="D10127" i="10"/>
  <c r="D10126" i="10"/>
  <c r="D10125" i="10"/>
  <c r="D10124" i="10"/>
  <c r="D10123" i="10"/>
  <c r="D10122" i="10"/>
  <c r="D10121" i="10"/>
  <c r="D10120" i="10"/>
  <c r="D10119" i="10"/>
  <c r="D10118" i="10"/>
  <c r="D10117" i="10"/>
  <c r="D10116" i="10"/>
  <c r="D10115" i="10"/>
  <c r="D10114" i="10"/>
  <c r="D10113" i="10"/>
  <c r="D10112" i="10"/>
  <c r="D10111" i="10"/>
  <c r="D10110" i="10"/>
  <c r="D10109" i="10"/>
  <c r="D10108" i="10"/>
  <c r="D10107" i="10"/>
  <c r="D10106" i="10"/>
  <c r="D10105" i="10"/>
  <c r="D10104" i="10"/>
  <c r="D10103" i="10"/>
  <c r="D10102" i="10"/>
  <c r="D10101" i="10"/>
  <c r="D10100" i="10"/>
  <c r="D10099" i="10"/>
  <c r="D10098" i="10"/>
  <c r="D10097" i="10"/>
  <c r="D10096" i="10"/>
  <c r="D10095" i="10"/>
  <c r="D10094" i="10"/>
  <c r="D10093" i="10"/>
  <c r="D10092" i="10"/>
  <c r="D10091" i="10"/>
  <c r="D10090" i="10"/>
  <c r="D10089" i="10"/>
  <c r="D10088" i="10"/>
  <c r="D10087" i="10"/>
  <c r="D10086" i="10"/>
  <c r="D10085" i="10"/>
  <c r="D10084" i="10"/>
  <c r="D10083" i="10"/>
  <c r="D10082" i="10"/>
  <c r="D10081" i="10"/>
  <c r="D10080" i="10"/>
  <c r="D10079" i="10"/>
  <c r="D10078" i="10"/>
  <c r="D10077" i="10"/>
  <c r="D10076" i="10"/>
  <c r="D10075" i="10"/>
  <c r="D10074" i="10"/>
  <c r="D10073" i="10"/>
  <c r="D10072" i="10"/>
  <c r="D10071" i="10"/>
  <c r="D10070" i="10"/>
  <c r="D10069" i="10"/>
  <c r="D10068" i="10"/>
  <c r="D10067" i="10"/>
  <c r="D10066" i="10"/>
  <c r="D10065" i="10"/>
  <c r="D10064" i="10"/>
  <c r="D10063" i="10"/>
  <c r="D10062" i="10"/>
  <c r="D10061" i="10"/>
  <c r="D10060" i="10"/>
  <c r="D10059" i="10"/>
  <c r="D10058" i="10"/>
  <c r="D10057" i="10"/>
  <c r="D10056" i="10"/>
  <c r="D10055" i="10"/>
  <c r="D10054" i="10"/>
  <c r="D10053" i="10"/>
  <c r="D10052" i="10"/>
  <c r="D10051" i="10"/>
  <c r="D10050" i="10"/>
  <c r="D10049" i="10"/>
  <c r="D10048" i="10"/>
  <c r="D10047" i="10"/>
  <c r="D10046" i="10"/>
  <c r="D10045" i="10"/>
  <c r="D10044" i="10"/>
  <c r="D10043" i="10"/>
  <c r="D10042" i="10"/>
  <c r="D10041" i="10"/>
  <c r="D10040" i="10"/>
  <c r="D10039" i="10"/>
  <c r="D10038" i="10"/>
  <c r="D10037" i="10"/>
  <c r="D10036" i="10"/>
  <c r="D10035" i="10"/>
  <c r="D10034" i="10"/>
  <c r="D10033" i="10"/>
  <c r="D10032" i="10"/>
  <c r="D10031" i="10"/>
  <c r="D10030" i="10"/>
  <c r="D10029" i="10"/>
  <c r="D10028" i="10"/>
  <c r="D10027" i="10"/>
  <c r="D10026" i="10"/>
  <c r="D10025" i="10"/>
  <c r="D10024" i="10"/>
  <c r="D10023" i="10"/>
  <c r="D10022" i="10"/>
  <c r="D10021" i="10"/>
  <c r="D10020" i="10"/>
  <c r="D10019" i="10"/>
  <c r="D10018" i="10"/>
  <c r="D10017" i="10"/>
  <c r="D10016" i="10"/>
  <c r="D10015" i="10"/>
  <c r="D10014" i="10"/>
  <c r="D10013" i="10"/>
  <c r="D10012" i="10"/>
  <c r="D10011" i="10"/>
  <c r="D10010" i="10"/>
  <c r="D10009" i="10"/>
  <c r="D10008" i="10"/>
  <c r="D10007" i="10"/>
  <c r="D10006" i="10"/>
  <c r="D10005" i="10"/>
  <c r="D10004" i="10"/>
  <c r="D10003" i="10"/>
  <c r="D10002" i="10"/>
  <c r="D10001" i="10"/>
  <c r="D10000" i="10"/>
  <c r="D9999" i="10"/>
  <c r="D9998" i="10"/>
  <c r="D9997" i="10"/>
  <c r="D9996" i="10"/>
  <c r="D9995" i="10"/>
  <c r="D9994" i="10"/>
  <c r="D9993" i="10"/>
  <c r="D9992" i="10"/>
  <c r="D9991" i="10"/>
  <c r="D9990" i="10"/>
  <c r="D9989" i="10"/>
  <c r="D9988" i="10"/>
  <c r="D9987" i="10"/>
  <c r="D9986" i="10"/>
  <c r="D9985" i="10"/>
  <c r="D9984" i="10"/>
  <c r="D9983" i="10"/>
  <c r="D9982" i="10"/>
  <c r="D9981" i="10"/>
  <c r="D9980" i="10"/>
  <c r="D9979" i="10"/>
  <c r="D9978" i="10"/>
  <c r="D9977" i="10"/>
  <c r="D9976" i="10"/>
  <c r="D9975" i="10"/>
  <c r="D9974" i="10"/>
  <c r="D9973" i="10"/>
  <c r="D9972" i="10"/>
  <c r="D9971" i="10"/>
  <c r="D9970" i="10"/>
  <c r="D9969" i="10"/>
  <c r="D9968" i="10"/>
  <c r="D9967" i="10"/>
  <c r="D9966" i="10"/>
  <c r="D9965" i="10"/>
  <c r="D9964" i="10"/>
  <c r="D9963" i="10"/>
  <c r="D9962" i="10"/>
  <c r="D9961" i="10"/>
  <c r="D9960" i="10"/>
  <c r="D9959" i="10"/>
  <c r="D9958" i="10"/>
  <c r="D9957" i="10"/>
  <c r="D9956" i="10"/>
  <c r="D9955" i="10"/>
  <c r="D9954" i="10"/>
  <c r="D9953" i="10"/>
  <c r="D9952" i="10"/>
  <c r="D9951" i="10"/>
  <c r="D9950" i="10"/>
  <c r="D9949" i="10"/>
  <c r="D9948" i="10"/>
  <c r="D9947" i="10"/>
  <c r="D9946" i="10"/>
  <c r="D9945" i="10"/>
  <c r="D9944" i="10"/>
  <c r="D9943" i="10"/>
  <c r="D9942" i="10"/>
  <c r="D9941" i="10"/>
  <c r="D9940" i="10"/>
  <c r="D9939" i="10"/>
  <c r="D9938" i="10"/>
  <c r="D9937" i="10"/>
  <c r="D9936" i="10"/>
  <c r="D9935" i="10"/>
  <c r="D9934" i="10"/>
  <c r="D9933" i="10"/>
  <c r="D9932" i="10"/>
  <c r="D9931" i="10"/>
  <c r="D9930" i="10"/>
  <c r="D9929" i="10"/>
  <c r="D9928" i="10"/>
  <c r="D9927" i="10"/>
  <c r="D9926" i="10"/>
  <c r="D9925" i="10"/>
  <c r="D9924" i="10"/>
  <c r="D9923" i="10"/>
  <c r="D9922" i="10"/>
  <c r="D9921" i="10"/>
  <c r="D9920" i="10"/>
  <c r="D9919" i="10"/>
  <c r="D9918" i="10"/>
  <c r="D9917" i="10"/>
  <c r="D9916" i="10"/>
  <c r="D9915" i="10"/>
  <c r="D9914" i="10"/>
  <c r="D9913" i="10"/>
  <c r="D9912" i="10"/>
  <c r="D9911" i="10"/>
  <c r="D9910" i="10"/>
  <c r="D9909" i="10"/>
  <c r="D9908" i="10"/>
  <c r="D9907" i="10"/>
  <c r="D9906" i="10"/>
  <c r="D9905" i="10"/>
  <c r="D9904" i="10"/>
  <c r="D9903" i="10"/>
  <c r="D9902" i="10"/>
  <c r="D9901" i="10"/>
  <c r="D9900" i="10"/>
  <c r="D9899" i="10"/>
  <c r="D9898" i="10"/>
  <c r="D9897" i="10"/>
  <c r="D9896" i="10"/>
  <c r="D9895" i="10"/>
  <c r="D9894" i="10"/>
  <c r="D9893" i="10"/>
  <c r="D9892" i="10"/>
  <c r="D9891" i="10"/>
  <c r="D9890" i="10"/>
  <c r="D9889" i="10"/>
  <c r="D9888" i="10"/>
  <c r="D9887" i="10"/>
  <c r="D9886" i="10"/>
  <c r="D9885" i="10"/>
  <c r="D9884" i="10"/>
  <c r="D9883" i="10"/>
  <c r="D9882" i="10"/>
  <c r="D9881" i="10"/>
  <c r="D9880" i="10"/>
  <c r="D9879" i="10"/>
  <c r="D9878" i="10"/>
  <c r="D9877" i="10"/>
  <c r="D9876" i="10"/>
  <c r="D9875" i="10"/>
  <c r="D9874" i="10"/>
  <c r="D9873" i="10"/>
  <c r="D9872" i="10"/>
  <c r="D9871" i="10"/>
  <c r="D9870" i="10"/>
  <c r="D9869" i="10"/>
  <c r="D9868" i="10"/>
  <c r="D9867" i="10"/>
  <c r="D9866" i="10"/>
  <c r="D9865" i="10"/>
  <c r="D9864" i="10"/>
  <c r="D9863" i="10"/>
  <c r="D9862" i="10"/>
  <c r="D9861" i="10"/>
  <c r="D9860" i="10"/>
  <c r="D9859" i="10"/>
  <c r="D9858" i="10"/>
  <c r="D9857" i="10"/>
  <c r="D9856" i="10"/>
  <c r="D9855" i="10"/>
  <c r="D9854" i="10"/>
  <c r="D9853" i="10"/>
  <c r="D9852" i="10"/>
  <c r="D9851" i="10"/>
  <c r="D9850" i="10"/>
  <c r="D9849" i="10"/>
  <c r="D9848" i="10"/>
  <c r="D9847" i="10"/>
  <c r="D9846" i="10"/>
  <c r="D9845" i="10"/>
  <c r="D9844" i="10"/>
  <c r="D9843" i="10"/>
  <c r="D9842" i="10"/>
  <c r="D9841" i="10"/>
  <c r="D9840" i="10"/>
  <c r="D9839" i="10"/>
  <c r="D9838" i="10"/>
  <c r="D9837" i="10"/>
  <c r="D9836" i="10"/>
  <c r="D9835" i="10"/>
  <c r="D9834" i="10"/>
  <c r="D9833" i="10"/>
  <c r="D9832" i="10"/>
  <c r="D9831" i="10"/>
  <c r="D9830" i="10"/>
  <c r="D9829" i="10"/>
  <c r="D9828" i="10"/>
  <c r="D9827" i="10"/>
  <c r="D9826" i="10"/>
  <c r="D9825" i="10"/>
  <c r="D9824" i="10"/>
  <c r="D9823" i="10"/>
  <c r="D9822" i="10"/>
  <c r="D9821" i="10"/>
  <c r="D9820" i="10"/>
  <c r="D9819" i="10"/>
  <c r="D9818" i="10"/>
  <c r="D9817" i="10"/>
  <c r="D9816" i="10"/>
  <c r="D9815" i="10"/>
  <c r="D9814" i="10"/>
  <c r="D9813" i="10"/>
  <c r="D9812" i="10"/>
  <c r="D9811" i="10"/>
  <c r="D9810" i="10"/>
  <c r="D9809" i="10"/>
  <c r="D9808" i="10"/>
  <c r="D9807" i="10"/>
  <c r="D9806" i="10"/>
  <c r="D9805" i="10"/>
  <c r="D9804" i="10"/>
  <c r="D9803" i="10"/>
  <c r="D9802" i="10"/>
  <c r="D9801" i="10"/>
  <c r="D9800" i="10"/>
  <c r="D9799" i="10"/>
  <c r="D9798" i="10"/>
  <c r="D9797" i="10"/>
  <c r="D9796" i="10"/>
  <c r="D9795" i="10"/>
  <c r="D9794" i="10"/>
  <c r="D9793" i="10"/>
  <c r="D9792" i="10"/>
  <c r="D9791" i="10"/>
  <c r="D9790" i="10"/>
  <c r="D9789" i="10"/>
  <c r="D9788" i="10"/>
  <c r="D9787" i="10"/>
  <c r="D9786" i="10"/>
  <c r="D9785" i="10"/>
  <c r="D9784" i="10"/>
  <c r="D9783" i="10"/>
  <c r="D9782" i="10"/>
  <c r="D9781" i="10"/>
  <c r="D9780" i="10"/>
  <c r="D9779" i="10"/>
  <c r="D9778" i="10"/>
  <c r="D9777" i="10"/>
  <c r="D9776" i="10"/>
  <c r="D9775" i="10"/>
  <c r="D9774" i="10"/>
  <c r="D9773" i="10"/>
  <c r="D9772" i="10"/>
  <c r="D9771" i="10"/>
  <c r="D9770" i="10"/>
  <c r="D9769" i="10"/>
  <c r="D9768" i="10"/>
  <c r="D9767" i="10"/>
  <c r="D9766" i="10"/>
  <c r="D9765" i="10"/>
  <c r="D9764" i="10"/>
  <c r="D9763" i="10"/>
  <c r="D9762" i="10"/>
  <c r="D9761" i="10"/>
  <c r="D9760" i="10"/>
  <c r="D9759" i="10"/>
  <c r="D9758" i="10"/>
  <c r="D9757" i="10"/>
  <c r="D9756" i="10"/>
  <c r="D9755" i="10"/>
  <c r="D9754" i="10"/>
  <c r="D9753" i="10"/>
  <c r="D9752" i="10"/>
  <c r="D9751" i="10"/>
  <c r="D9750" i="10"/>
  <c r="D9749" i="10"/>
  <c r="D9748" i="10"/>
  <c r="D9747" i="10"/>
  <c r="D9746" i="10"/>
  <c r="D9745" i="10"/>
  <c r="D9744" i="10"/>
  <c r="D9743" i="10"/>
  <c r="D9742" i="10"/>
  <c r="D9741" i="10"/>
  <c r="D9740" i="10"/>
  <c r="D9739" i="10"/>
  <c r="D9738" i="10"/>
  <c r="D9737" i="10"/>
  <c r="D9736" i="10"/>
  <c r="D9735" i="10"/>
  <c r="D9734" i="10"/>
  <c r="D9733" i="10"/>
  <c r="D9732" i="10"/>
  <c r="D9731" i="10"/>
  <c r="D9730" i="10"/>
  <c r="D9729" i="10"/>
  <c r="D9728" i="10"/>
  <c r="D9727" i="10"/>
  <c r="D9726" i="10"/>
  <c r="D9725" i="10"/>
  <c r="D9724" i="10"/>
  <c r="D9723" i="10"/>
  <c r="D9722" i="10"/>
  <c r="D9721" i="10"/>
  <c r="D9720" i="10"/>
  <c r="D9719" i="10"/>
  <c r="D9718" i="10"/>
  <c r="D9717" i="10"/>
  <c r="D9716" i="10"/>
  <c r="D9715" i="10"/>
  <c r="D9714" i="10"/>
  <c r="D9713" i="10"/>
  <c r="D9712" i="10"/>
  <c r="D9711" i="10"/>
  <c r="D9710" i="10"/>
  <c r="D9709" i="10"/>
  <c r="D9708" i="10"/>
  <c r="D9707" i="10"/>
  <c r="D9706" i="10"/>
  <c r="D9705" i="10"/>
  <c r="D9704" i="10"/>
  <c r="D9703" i="10"/>
  <c r="D9702" i="10"/>
  <c r="D9701" i="10"/>
  <c r="D9700" i="10"/>
  <c r="D9699" i="10"/>
  <c r="D9698" i="10"/>
  <c r="D9697" i="10"/>
  <c r="D9696" i="10"/>
  <c r="D9695" i="10"/>
  <c r="D9694" i="10"/>
  <c r="D9693" i="10"/>
  <c r="D9692" i="10"/>
  <c r="D9691" i="10"/>
  <c r="D9690" i="10"/>
  <c r="D9689" i="10"/>
  <c r="D9688" i="10"/>
  <c r="D9687" i="10"/>
  <c r="D9686" i="10"/>
  <c r="D9685" i="10"/>
  <c r="D9684" i="10"/>
  <c r="D9683" i="10"/>
  <c r="D9682" i="10"/>
  <c r="D9681" i="10"/>
  <c r="D9680" i="10"/>
  <c r="D9679" i="10"/>
  <c r="D9678" i="10"/>
  <c r="D9677" i="10"/>
  <c r="D9676" i="10"/>
  <c r="D9675" i="10"/>
  <c r="D9674" i="10"/>
  <c r="D9673" i="10"/>
  <c r="D9672" i="10"/>
  <c r="D9671" i="10"/>
  <c r="D9670" i="10"/>
  <c r="D9669" i="10"/>
  <c r="D9668" i="10"/>
  <c r="D9667" i="10"/>
  <c r="D9666" i="10"/>
  <c r="D9665" i="10"/>
  <c r="D9664" i="10"/>
  <c r="D9663" i="10"/>
  <c r="D9662" i="10"/>
  <c r="D9661" i="10"/>
  <c r="D9660" i="10"/>
  <c r="D9659" i="10"/>
  <c r="D9658" i="10"/>
  <c r="D9657" i="10"/>
  <c r="D9656" i="10"/>
  <c r="D9655" i="10"/>
  <c r="D9654" i="10"/>
  <c r="D9653" i="10"/>
  <c r="D9652" i="10"/>
  <c r="D9651" i="10"/>
  <c r="D9650" i="10"/>
  <c r="D9649" i="10"/>
  <c r="D9648" i="10"/>
  <c r="D9647" i="10"/>
  <c r="D9646" i="10"/>
  <c r="D9645" i="10"/>
  <c r="D9644" i="10"/>
  <c r="D9643" i="10"/>
  <c r="D9642" i="10"/>
  <c r="D9641" i="10"/>
  <c r="D9640" i="10"/>
  <c r="D9639" i="10"/>
  <c r="D9638" i="10"/>
  <c r="D9637" i="10"/>
  <c r="D9636" i="10"/>
  <c r="D9635" i="10"/>
  <c r="D9634" i="10"/>
  <c r="D9633" i="10"/>
  <c r="D9632" i="10"/>
  <c r="D9631" i="10"/>
  <c r="D9630" i="10"/>
  <c r="D9629" i="10"/>
  <c r="D9628" i="10"/>
  <c r="D9627" i="10"/>
  <c r="D9626" i="10"/>
  <c r="D9625" i="10"/>
  <c r="D9624" i="10"/>
  <c r="D9623" i="10"/>
  <c r="D9622" i="10"/>
  <c r="D9621" i="10"/>
  <c r="D9620" i="10"/>
  <c r="D9619" i="10"/>
  <c r="D9618" i="10"/>
  <c r="D9617" i="10"/>
  <c r="D9616" i="10"/>
  <c r="D9615" i="10"/>
  <c r="D9614" i="10"/>
  <c r="D9613" i="10"/>
  <c r="D9612" i="10"/>
  <c r="D9611" i="10"/>
  <c r="D9610" i="10"/>
  <c r="D9609" i="10"/>
  <c r="D9608" i="10"/>
  <c r="D9607" i="10"/>
  <c r="D9606" i="10"/>
  <c r="D9605" i="10"/>
  <c r="D9604" i="10"/>
  <c r="D9603" i="10"/>
  <c r="D9602" i="10"/>
  <c r="D9601" i="10"/>
  <c r="D9600" i="10"/>
  <c r="D9599" i="10"/>
  <c r="D9598" i="10"/>
  <c r="D9597" i="10"/>
  <c r="D9596" i="10"/>
  <c r="D9595" i="10"/>
  <c r="D9594" i="10"/>
  <c r="D9593" i="10"/>
  <c r="D9592" i="10"/>
  <c r="D9591" i="10"/>
  <c r="D9590" i="10"/>
  <c r="D9589" i="10"/>
  <c r="D9588" i="10"/>
  <c r="D9587" i="10"/>
  <c r="D9586" i="10"/>
  <c r="D9585" i="10"/>
  <c r="D9584" i="10"/>
  <c r="D9583" i="10"/>
  <c r="D9582" i="10"/>
  <c r="D9581" i="10"/>
  <c r="D9580" i="10"/>
  <c r="D9579" i="10"/>
  <c r="D9578" i="10"/>
  <c r="D9577" i="10"/>
  <c r="D9576" i="10"/>
  <c r="D9575" i="10"/>
  <c r="D9574" i="10"/>
  <c r="D9573" i="10"/>
  <c r="D9572" i="10"/>
  <c r="D9571" i="10"/>
  <c r="D9570" i="10"/>
  <c r="D9569" i="10"/>
  <c r="D9568" i="10"/>
  <c r="D9567" i="10"/>
  <c r="D9566" i="10"/>
  <c r="D9565" i="10"/>
  <c r="D9564" i="10"/>
  <c r="D9563" i="10"/>
  <c r="D9562" i="10"/>
  <c r="D9561" i="10"/>
  <c r="D9560" i="10"/>
  <c r="D9559" i="10"/>
  <c r="D9558" i="10"/>
  <c r="D9557" i="10"/>
  <c r="D9556" i="10"/>
  <c r="D9555" i="10"/>
  <c r="D9554" i="10"/>
  <c r="D9553" i="10"/>
  <c r="D9552" i="10"/>
  <c r="D9551" i="10"/>
  <c r="D9550" i="10"/>
  <c r="D9549" i="10"/>
  <c r="D9548" i="10"/>
  <c r="D9547" i="10"/>
  <c r="D9546" i="10"/>
  <c r="D9545" i="10"/>
  <c r="D9544" i="10"/>
  <c r="D9543" i="10"/>
  <c r="D9542" i="10"/>
  <c r="D9541" i="10"/>
  <c r="D9540" i="10"/>
  <c r="D9539" i="10"/>
  <c r="D9538" i="10"/>
  <c r="D9537" i="10"/>
  <c r="D9536" i="10"/>
  <c r="D9535" i="10"/>
  <c r="D9534" i="10"/>
  <c r="D9533" i="10"/>
  <c r="D9532" i="10"/>
  <c r="D9531" i="10"/>
  <c r="D9530" i="10"/>
  <c r="D9529" i="10"/>
  <c r="D9528" i="10"/>
  <c r="D9527" i="10"/>
  <c r="D9526" i="10"/>
  <c r="D9525" i="10"/>
  <c r="D9524" i="10"/>
  <c r="D9523" i="10"/>
  <c r="D9522" i="10"/>
  <c r="D9521" i="10"/>
  <c r="D9520" i="10"/>
  <c r="D9519" i="10"/>
  <c r="D9518" i="10"/>
  <c r="D9517" i="10"/>
  <c r="D9516" i="10"/>
  <c r="D9515" i="10"/>
  <c r="D9514" i="10"/>
  <c r="D9513" i="10"/>
  <c r="D9512" i="10"/>
  <c r="D9511" i="10"/>
  <c r="D9510" i="10"/>
  <c r="D9509" i="10"/>
  <c r="D9508" i="10"/>
  <c r="D9507" i="10"/>
  <c r="D9506" i="10"/>
  <c r="D9505" i="10"/>
  <c r="D9504" i="10"/>
  <c r="D9503" i="10"/>
  <c r="D9502" i="10"/>
  <c r="D9501" i="10"/>
  <c r="D9500" i="10"/>
  <c r="D9499" i="10"/>
  <c r="D9498" i="10"/>
  <c r="D9497" i="10"/>
  <c r="D9496" i="10"/>
  <c r="D9495" i="10"/>
  <c r="D9494" i="10"/>
  <c r="D9493" i="10"/>
  <c r="D9492" i="10"/>
  <c r="D9491" i="10"/>
  <c r="D9490" i="10"/>
  <c r="D9489" i="10"/>
  <c r="D9488" i="10"/>
  <c r="D9487" i="10"/>
  <c r="D9486" i="10"/>
  <c r="D9485" i="10"/>
  <c r="D9484" i="10"/>
  <c r="D9483" i="10"/>
  <c r="D9482" i="10"/>
  <c r="D9481" i="10"/>
  <c r="D9480" i="10"/>
  <c r="D9479" i="10"/>
  <c r="D9478" i="10"/>
  <c r="D9477" i="10"/>
  <c r="D9476" i="10"/>
  <c r="D9475" i="10"/>
  <c r="D9474" i="10"/>
  <c r="D9473" i="10"/>
  <c r="D9472" i="10"/>
  <c r="D9471" i="10"/>
  <c r="D9470" i="10"/>
  <c r="D9469" i="10"/>
  <c r="D9468" i="10"/>
  <c r="D9467" i="10"/>
  <c r="D9466" i="10"/>
  <c r="D9465" i="10"/>
  <c r="D9464" i="10"/>
  <c r="D9463" i="10"/>
  <c r="D9462" i="10"/>
  <c r="D9461" i="10"/>
  <c r="D9460" i="10"/>
  <c r="D9459" i="10"/>
  <c r="D9458" i="10"/>
  <c r="D9457" i="10"/>
  <c r="D9456" i="10"/>
  <c r="D9455" i="10"/>
  <c r="D9454" i="10"/>
  <c r="D9453" i="10"/>
  <c r="D9452" i="10"/>
  <c r="D9451" i="10"/>
  <c r="D9450" i="10"/>
  <c r="D9449" i="10"/>
  <c r="D9448" i="10"/>
  <c r="D9447" i="10"/>
  <c r="D9446" i="10"/>
  <c r="D9445" i="10"/>
  <c r="D9444" i="10"/>
  <c r="D9443" i="10"/>
  <c r="D9442" i="10"/>
  <c r="D9441" i="10"/>
  <c r="D9440" i="10"/>
  <c r="D9439" i="10"/>
  <c r="D9438" i="10"/>
  <c r="D9437" i="10"/>
  <c r="D9436" i="10"/>
  <c r="D9435" i="10"/>
  <c r="D9434" i="10"/>
  <c r="D9433" i="10"/>
  <c r="D9432" i="10"/>
  <c r="D9431" i="10"/>
  <c r="D9430" i="10"/>
  <c r="D9429" i="10"/>
  <c r="D9428" i="10"/>
  <c r="D9427" i="10"/>
  <c r="D9426" i="10"/>
  <c r="D9425" i="10"/>
  <c r="D9424" i="10"/>
  <c r="D9423" i="10"/>
  <c r="D9422" i="10"/>
  <c r="D9421" i="10"/>
  <c r="D9420" i="10"/>
  <c r="D9419" i="10"/>
  <c r="D9418" i="10"/>
  <c r="D9417" i="10"/>
  <c r="D9416" i="10"/>
  <c r="D9415" i="10"/>
  <c r="D9414" i="10"/>
  <c r="D9413" i="10"/>
  <c r="D9412" i="10"/>
  <c r="D9411" i="10"/>
  <c r="D9410" i="10"/>
  <c r="D9409" i="10"/>
  <c r="D9408" i="10"/>
  <c r="D9407" i="10"/>
  <c r="D9406" i="10"/>
  <c r="D9405" i="10"/>
  <c r="D9404" i="10"/>
  <c r="D9403" i="10"/>
  <c r="D9402" i="10"/>
  <c r="D9401" i="10"/>
  <c r="D9400" i="10"/>
  <c r="D9399" i="10"/>
  <c r="D9398" i="10"/>
  <c r="D9397" i="10"/>
  <c r="D9396" i="10"/>
  <c r="D9395" i="10"/>
  <c r="D9394" i="10"/>
  <c r="D9393" i="10"/>
  <c r="D9392" i="10"/>
  <c r="D9391" i="10"/>
  <c r="D9390" i="10"/>
  <c r="D9389" i="10"/>
  <c r="D9388" i="10"/>
  <c r="D9387" i="10"/>
  <c r="D9386" i="10"/>
  <c r="D9385" i="10"/>
  <c r="D9384" i="10"/>
  <c r="D9383" i="10"/>
  <c r="D9382" i="10"/>
  <c r="D9381" i="10"/>
  <c r="D9380" i="10"/>
  <c r="D9379" i="10"/>
  <c r="D9378" i="10"/>
  <c r="D9377" i="10"/>
  <c r="D9376" i="10"/>
  <c r="D9375" i="10"/>
  <c r="D9374" i="10"/>
  <c r="D9373" i="10"/>
  <c r="D9372" i="10"/>
  <c r="D9371" i="10"/>
  <c r="D9370" i="10"/>
  <c r="D9369" i="10"/>
  <c r="D9368" i="10"/>
  <c r="D9367" i="10"/>
  <c r="D9366" i="10"/>
  <c r="D9365" i="10"/>
  <c r="D9364" i="10"/>
  <c r="D9363" i="10"/>
  <c r="D9362" i="10"/>
  <c r="D9361" i="10"/>
  <c r="D9360" i="10"/>
  <c r="D9359" i="10"/>
  <c r="D9358" i="10"/>
  <c r="D9357" i="10"/>
  <c r="D9356" i="10"/>
  <c r="D9355" i="10"/>
  <c r="D9354" i="10"/>
  <c r="D9353" i="10"/>
  <c r="D9352" i="10"/>
  <c r="D9351" i="10"/>
  <c r="D9350" i="10"/>
  <c r="D9349" i="10"/>
  <c r="D9348" i="10"/>
  <c r="D9347" i="10"/>
  <c r="D9346" i="10"/>
  <c r="D9345" i="10"/>
  <c r="D9344" i="10"/>
  <c r="D9343" i="10"/>
  <c r="D9342" i="10"/>
  <c r="D9341" i="10"/>
  <c r="D9340" i="10"/>
  <c r="D9339" i="10"/>
  <c r="D9338" i="10"/>
  <c r="D9337" i="10"/>
  <c r="D9336" i="10"/>
  <c r="D9335" i="10"/>
  <c r="D9334" i="10"/>
  <c r="D9333" i="10"/>
  <c r="D9332" i="10"/>
  <c r="D9331" i="10"/>
  <c r="D9330" i="10"/>
  <c r="D9329" i="10"/>
  <c r="D9328" i="10"/>
  <c r="D9327" i="10"/>
  <c r="D9326" i="10"/>
  <c r="D9325" i="10"/>
  <c r="D9324" i="10"/>
  <c r="D9323" i="10"/>
  <c r="D9322" i="10"/>
  <c r="D9321" i="10"/>
  <c r="D9320" i="10"/>
  <c r="D9319" i="10"/>
  <c r="D9318" i="10"/>
  <c r="D9317" i="10"/>
  <c r="D9316" i="10"/>
  <c r="D9315" i="10"/>
  <c r="D9314" i="10"/>
  <c r="D9313" i="10"/>
  <c r="D9312" i="10"/>
  <c r="D9311" i="10"/>
  <c r="D9310" i="10"/>
  <c r="D9309" i="10"/>
  <c r="D9308" i="10"/>
  <c r="D9307" i="10"/>
  <c r="D9306" i="10"/>
  <c r="D9305" i="10"/>
  <c r="D9304" i="10"/>
  <c r="D9303" i="10"/>
  <c r="D9302" i="10"/>
  <c r="D9301" i="10"/>
  <c r="D9300" i="10"/>
  <c r="D9299" i="10"/>
  <c r="D9298" i="10"/>
  <c r="D9297" i="10"/>
  <c r="D9296" i="10"/>
  <c r="D9295" i="10"/>
  <c r="D9294" i="10"/>
  <c r="D9293" i="10"/>
  <c r="D9292" i="10"/>
  <c r="D9291" i="10"/>
  <c r="D9290" i="10"/>
  <c r="D9289" i="10"/>
  <c r="D9288" i="10"/>
  <c r="D9287" i="10"/>
  <c r="D9286" i="10"/>
  <c r="D9285" i="10"/>
  <c r="D9284" i="10"/>
  <c r="D9283" i="10"/>
  <c r="D9282" i="10"/>
  <c r="D9281" i="10"/>
  <c r="D9280" i="10"/>
  <c r="D9279" i="10"/>
  <c r="D9278" i="10"/>
  <c r="D9277" i="10"/>
  <c r="D9276" i="10"/>
  <c r="D9275" i="10"/>
  <c r="D9274" i="10"/>
  <c r="D9273" i="10"/>
  <c r="D9272" i="10"/>
  <c r="D9271" i="10"/>
  <c r="D9270" i="10"/>
  <c r="D9269" i="10"/>
  <c r="D9268" i="10"/>
  <c r="D9267" i="10"/>
  <c r="D9266" i="10"/>
  <c r="D9265" i="10"/>
  <c r="D9264" i="10"/>
  <c r="D9263" i="10"/>
  <c r="D9262" i="10"/>
  <c r="D9261" i="10"/>
  <c r="D9260" i="10"/>
  <c r="D9259" i="10"/>
  <c r="D9258" i="10"/>
  <c r="D9257" i="10"/>
  <c r="D9256" i="10"/>
  <c r="D9255" i="10"/>
  <c r="D9254" i="10"/>
  <c r="D9253" i="10"/>
  <c r="D9252" i="10"/>
  <c r="D9251" i="10"/>
  <c r="D9250" i="10"/>
  <c r="D9249" i="10"/>
  <c r="D9248" i="10"/>
  <c r="D9247" i="10"/>
  <c r="D9246" i="10"/>
  <c r="D9245" i="10"/>
  <c r="D9244" i="10"/>
  <c r="D9243" i="10"/>
  <c r="D9242" i="10"/>
  <c r="D9241" i="10"/>
  <c r="D9240" i="10"/>
  <c r="D9239" i="10"/>
  <c r="D9238" i="10"/>
  <c r="D9237" i="10"/>
  <c r="D9236" i="10"/>
  <c r="D9235" i="10"/>
  <c r="D9234" i="10"/>
  <c r="D9233" i="10"/>
  <c r="D9232" i="10"/>
  <c r="D9231" i="10"/>
  <c r="D9230" i="10"/>
  <c r="D9229" i="10"/>
  <c r="D9228" i="10"/>
  <c r="D9227" i="10"/>
  <c r="D9226" i="10"/>
  <c r="D9225" i="10"/>
  <c r="D9224" i="10"/>
  <c r="D9223" i="10"/>
  <c r="D9222" i="10"/>
  <c r="D9221" i="10"/>
  <c r="D9220" i="10"/>
  <c r="D9219" i="10"/>
  <c r="D9218" i="10"/>
  <c r="D9217" i="10"/>
  <c r="D9216" i="10"/>
  <c r="D9215" i="10"/>
  <c r="D9214" i="10"/>
  <c r="D9213" i="10"/>
  <c r="D9212" i="10"/>
  <c r="D9211" i="10"/>
  <c r="D9210" i="10"/>
  <c r="D9209" i="10"/>
  <c r="D9208" i="10"/>
  <c r="D9207" i="10"/>
  <c r="D9206" i="10"/>
  <c r="D9205" i="10"/>
  <c r="D9204" i="10"/>
  <c r="D9203" i="10"/>
  <c r="D9202" i="10"/>
  <c r="D9201" i="10"/>
  <c r="D9200" i="10"/>
  <c r="D9199" i="10"/>
  <c r="D9198" i="10"/>
  <c r="D9197" i="10"/>
  <c r="D9196" i="10"/>
  <c r="D9195" i="10"/>
  <c r="D9194" i="10"/>
  <c r="D9193" i="10"/>
  <c r="D9192" i="10"/>
  <c r="D9191" i="10"/>
  <c r="D9190" i="10"/>
  <c r="D9189" i="10"/>
  <c r="D9188" i="10"/>
  <c r="D9187" i="10"/>
  <c r="D9186" i="10"/>
  <c r="D9185" i="10"/>
  <c r="D9184" i="10"/>
  <c r="D9183" i="10"/>
  <c r="D9182" i="10"/>
  <c r="D9181" i="10"/>
  <c r="D9180" i="10"/>
  <c r="D9179" i="10"/>
  <c r="D9178" i="10"/>
  <c r="D9177" i="10"/>
  <c r="D9176" i="10"/>
  <c r="D9175" i="10"/>
  <c r="D9174" i="10"/>
  <c r="D9173" i="10"/>
  <c r="D9172" i="10"/>
  <c r="D9171" i="10"/>
  <c r="D9170" i="10"/>
  <c r="D9169" i="10"/>
  <c r="D9168" i="10"/>
  <c r="D9167" i="10"/>
  <c r="D9166" i="10"/>
  <c r="D9165" i="10"/>
  <c r="D9164" i="10"/>
  <c r="D9163" i="10"/>
  <c r="D9162" i="10"/>
  <c r="D9161" i="10"/>
  <c r="D9160" i="10"/>
  <c r="D9159" i="10"/>
  <c r="D9158" i="10"/>
  <c r="D9157" i="10"/>
  <c r="D9156" i="10"/>
  <c r="D9155" i="10"/>
  <c r="D9154" i="10"/>
  <c r="D9153" i="10"/>
  <c r="D9152" i="10"/>
  <c r="D9151" i="10"/>
  <c r="D9150" i="10"/>
  <c r="D9149" i="10"/>
  <c r="D9148" i="10"/>
  <c r="D9147" i="10"/>
  <c r="D9146" i="10"/>
  <c r="D9145" i="10"/>
  <c r="D9144" i="10"/>
  <c r="D9143" i="10"/>
  <c r="D9142" i="10"/>
  <c r="D9141" i="10"/>
  <c r="D9140" i="10"/>
  <c r="D9139" i="10"/>
  <c r="D9138" i="10"/>
  <c r="D9137" i="10"/>
  <c r="D9136" i="10"/>
  <c r="D9135" i="10"/>
  <c r="D9134" i="10"/>
  <c r="D9133" i="10"/>
  <c r="D9132" i="10"/>
  <c r="D9131" i="10"/>
  <c r="D9130" i="10"/>
  <c r="D9129" i="10"/>
  <c r="D9128" i="10"/>
  <c r="D9127" i="10"/>
  <c r="D9126" i="10"/>
  <c r="D9125" i="10"/>
  <c r="D9124" i="10"/>
  <c r="D9123" i="10"/>
  <c r="D9122" i="10"/>
  <c r="D9121" i="10"/>
  <c r="D9120" i="10"/>
  <c r="D9119" i="10"/>
  <c r="D9118" i="10"/>
  <c r="D9117" i="10"/>
  <c r="D9116" i="10"/>
  <c r="D9115" i="10"/>
  <c r="D9114" i="10"/>
  <c r="D9113" i="10"/>
  <c r="D9112" i="10"/>
  <c r="D9111" i="10"/>
  <c r="D9110" i="10"/>
  <c r="D9109" i="10"/>
  <c r="D9108" i="10"/>
  <c r="D9107" i="10"/>
  <c r="D9106" i="10"/>
  <c r="D9105" i="10"/>
  <c r="D9104" i="10"/>
  <c r="D9103" i="10"/>
  <c r="D9102" i="10"/>
  <c r="D9101" i="10"/>
  <c r="D9100" i="10"/>
  <c r="D9099" i="10"/>
  <c r="D9098" i="10"/>
  <c r="D9097" i="10"/>
  <c r="D9096" i="10"/>
  <c r="D9095" i="10"/>
  <c r="D9094" i="10"/>
  <c r="D9093" i="10"/>
  <c r="D9092" i="10"/>
  <c r="D9091" i="10"/>
  <c r="D9090" i="10"/>
  <c r="D9089" i="10"/>
  <c r="D9088" i="10"/>
  <c r="D9087" i="10"/>
  <c r="D9086" i="10"/>
  <c r="D9085" i="10"/>
  <c r="D9084" i="10"/>
  <c r="D9083" i="10"/>
  <c r="D9082" i="10"/>
  <c r="D9081" i="10"/>
  <c r="D9080" i="10"/>
  <c r="D9079" i="10"/>
  <c r="D9078" i="10"/>
  <c r="D9077" i="10"/>
  <c r="D9076" i="10"/>
  <c r="D9075" i="10"/>
  <c r="D9074" i="10"/>
  <c r="D9073" i="10"/>
  <c r="D9072" i="10"/>
  <c r="D9071" i="10"/>
  <c r="D9070" i="10"/>
  <c r="D9069" i="10"/>
  <c r="D9068" i="10"/>
  <c r="D9067" i="10"/>
  <c r="D9066" i="10"/>
  <c r="D9065" i="10"/>
  <c r="D9064" i="10"/>
  <c r="D9063" i="10"/>
  <c r="D9062" i="10"/>
  <c r="D9061" i="10"/>
  <c r="D9060" i="10"/>
  <c r="D9059" i="10"/>
  <c r="D9058" i="10"/>
  <c r="D9057" i="10"/>
  <c r="D9056" i="10"/>
  <c r="D9055" i="10"/>
  <c r="D9054" i="10"/>
  <c r="D9053" i="10"/>
  <c r="D9052" i="10"/>
  <c r="D9051" i="10"/>
  <c r="D9050" i="10"/>
  <c r="D9049" i="10"/>
  <c r="D9048" i="10"/>
  <c r="D9047" i="10"/>
  <c r="D9046" i="10"/>
  <c r="D9045" i="10"/>
  <c r="D9044" i="10"/>
  <c r="D9043" i="10"/>
  <c r="D9042" i="10"/>
  <c r="D9041" i="10"/>
  <c r="D9040" i="10"/>
  <c r="D9039" i="10"/>
  <c r="D9038" i="10"/>
  <c r="D9037" i="10"/>
  <c r="D9036" i="10"/>
  <c r="D9035" i="10"/>
  <c r="D9034" i="10"/>
  <c r="D9033" i="10"/>
  <c r="D9032" i="10"/>
  <c r="D9031" i="10"/>
  <c r="D9030" i="10"/>
  <c r="D9029" i="10"/>
  <c r="D9028" i="10"/>
  <c r="D9027" i="10"/>
  <c r="D9026" i="10"/>
  <c r="D9025" i="10"/>
  <c r="D9024" i="10"/>
  <c r="D9023" i="10"/>
  <c r="D9022" i="10"/>
  <c r="D9021" i="10"/>
  <c r="D9020" i="10"/>
  <c r="D9019" i="10"/>
  <c r="D9018" i="10"/>
  <c r="D9017" i="10"/>
  <c r="D9016" i="10"/>
  <c r="D9015" i="10"/>
  <c r="D9014" i="10"/>
  <c r="D9013" i="10"/>
  <c r="D9012" i="10"/>
  <c r="D9011" i="10"/>
  <c r="D9010" i="10"/>
  <c r="D9009" i="10"/>
  <c r="D9008" i="10"/>
  <c r="D9007" i="10"/>
  <c r="D9006" i="10"/>
  <c r="D9005" i="10"/>
  <c r="D9004" i="10"/>
  <c r="D9003" i="10"/>
  <c r="D9002" i="10"/>
  <c r="D9001" i="10"/>
  <c r="D9000" i="10"/>
  <c r="D8999" i="10"/>
  <c r="D8998" i="10"/>
  <c r="D8997" i="10"/>
  <c r="D8996" i="10"/>
  <c r="D8995" i="10"/>
  <c r="D8994" i="10"/>
  <c r="D8993" i="10"/>
  <c r="D8992" i="10"/>
  <c r="D8991" i="10"/>
  <c r="D8990" i="10"/>
  <c r="D8989" i="10"/>
  <c r="D8988" i="10"/>
  <c r="D8987" i="10"/>
  <c r="D8986" i="10"/>
  <c r="D8985" i="10"/>
  <c r="D8984" i="10"/>
  <c r="D8983" i="10"/>
  <c r="D8982" i="10"/>
  <c r="D8981" i="10"/>
  <c r="D8980" i="10"/>
  <c r="D8979" i="10"/>
  <c r="D8978" i="10"/>
  <c r="D8977" i="10"/>
  <c r="D8976" i="10"/>
  <c r="D8975" i="10"/>
  <c r="D8974" i="10"/>
  <c r="D8973" i="10"/>
  <c r="D8972" i="10"/>
  <c r="D8971" i="10"/>
  <c r="D8970" i="10"/>
  <c r="D8969" i="10"/>
  <c r="D8968" i="10"/>
  <c r="D8967" i="10"/>
  <c r="D8966" i="10"/>
  <c r="D8965" i="10"/>
  <c r="D8964" i="10"/>
  <c r="D8963" i="10"/>
  <c r="D8962" i="10"/>
  <c r="D8961" i="10"/>
  <c r="D8960" i="10"/>
  <c r="D8959" i="10"/>
  <c r="D8958" i="10"/>
  <c r="D8957" i="10"/>
  <c r="D8956" i="10"/>
  <c r="D8955" i="10"/>
  <c r="D8954" i="10"/>
  <c r="D8953" i="10"/>
  <c r="D8952" i="10"/>
  <c r="D8951" i="10"/>
  <c r="D8950" i="10"/>
  <c r="D8949" i="10"/>
  <c r="D8948" i="10"/>
  <c r="D8947" i="10"/>
  <c r="D8946" i="10"/>
  <c r="D8945" i="10"/>
  <c r="D8944" i="10"/>
  <c r="D8943" i="10"/>
  <c r="D8942" i="10"/>
  <c r="D8941" i="10"/>
  <c r="D8940" i="10"/>
  <c r="D8939" i="10"/>
  <c r="D8938" i="10"/>
  <c r="D8937" i="10"/>
  <c r="D8936" i="10"/>
  <c r="D8935" i="10"/>
  <c r="D8934" i="10"/>
  <c r="D8933" i="10"/>
  <c r="D8932" i="10"/>
  <c r="D8931" i="10"/>
  <c r="D8930" i="10"/>
  <c r="D8929" i="10"/>
  <c r="D8928" i="10"/>
  <c r="D8927" i="10"/>
  <c r="D8926" i="10"/>
  <c r="D8925" i="10"/>
  <c r="D8924" i="10"/>
  <c r="D8923" i="10"/>
  <c r="D8922" i="10"/>
  <c r="D8921" i="10"/>
  <c r="D8920" i="10"/>
  <c r="D8919" i="10"/>
  <c r="D8918" i="10"/>
  <c r="D8917" i="10"/>
  <c r="D8916" i="10"/>
  <c r="D8915" i="10"/>
  <c r="D8914" i="10"/>
  <c r="D8913" i="10"/>
  <c r="D8912" i="10"/>
  <c r="D8911" i="10"/>
  <c r="D8910" i="10"/>
  <c r="D8909" i="10"/>
  <c r="D8908" i="10"/>
  <c r="D8907" i="10"/>
  <c r="D8906" i="10"/>
  <c r="D8905" i="10"/>
  <c r="D8904" i="10"/>
  <c r="D8903" i="10"/>
  <c r="D8902" i="10"/>
  <c r="D8901" i="10"/>
  <c r="D8900" i="10"/>
  <c r="D8899" i="10"/>
  <c r="D8898" i="10"/>
  <c r="D8897" i="10"/>
  <c r="D8896" i="10"/>
  <c r="D8895" i="10"/>
  <c r="D8894" i="10"/>
  <c r="D8893" i="10"/>
  <c r="D8892" i="10"/>
  <c r="D8891" i="10"/>
  <c r="D8890" i="10"/>
  <c r="D8889" i="10"/>
  <c r="D8888" i="10"/>
  <c r="D8887" i="10"/>
  <c r="D8886" i="10"/>
  <c r="D8885" i="10"/>
  <c r="D8884" i="10"/>
  <c r="D8883" i="10"/>
  <c r="D8882" i="10"/>
  <c r="D8881" i="10"/>
  <c r="D8880" i="10"/>
  <c r="D8879" i="10"/>
  <c r="D8878" i="10"/>
  <c r="D8877" i="10"/>
  <c r="D8876" i="10"/>
  <c r="D8875" i="10"/>
  <c r="D8874" i="10"/>
  <c r="D8873" i="10"/>
  <c r="D8872" i="10"/>
  <c r="D8871" i="10"/>
  <c r="D8870" i="10"/>
  <c r="D8869" i="10"/>
  <c r="D8868" i="10"/>
  <c r="D8867" i="10"/>
  <c r="D8866" i="10"/>
  <c r="D8865" i="10"/>
  <c r="D8864" i="10"/>
  <c r="D8863" i="10"/>
  <c r="D8862" i="10"/>
  <c r="D8861" i="10"/>
  <c r="D8860" i="10"/>
  <c r="D8859" i="10"/>
  <c r="D8858" i="10"/>
  <c r="D8857" i="10"/>
  <c r="D8856" i="10"/>
  <c r="D8855" i="10"/>
  <c r="D8854" i="10"/>
  <c r="D8853" i="10"/>
  <c r="D8852" i="10"/>
  <c r="D8851" i="10"/>
  <c r="D8850" i="10"/>
  <c r="D8849" i="10"/>
  <c r="D8848" i="10"/>
  <c r="D8847" i="10"/>
  <c r="D8846" i="10"/>
  <c r="D8845" i="10"/>
  <c r="D8844" i="10"/>
  <c r="D8843" i="10"/>
  <c r="D8842" i="10"/>
  <c r="D8841" i="10"/>
  <c r="D8840" i="10"/>
  <c r="D8839" i="10"/>
  <c r="D8838" i="10"/>
  <c r="D8837" i="10"/>
  <c r="D8836" i="10"/>
  <c r="D8835" i="10"/>
  <c r="D8834" i="10"/>
  <c r="D8833" i="10"/>
  <c r="D8832" i="10"/>
  <c r="D8831" i="10"/>
  <c r="D8830" i="10"/>
  <c r="D8829" i="10"/>
  <c r="D8828" i="10"/>
  <c r="D8827" i="10"/>
  <c r="D8826" i="10"/>
  <c r="D8825" i="10"/>
  <c r="D8824" i="10"/>
  <c r="D8823" i="10"/>
  <c r="D8822" i="10"/>
  <c r="D8821" i="10"/>
  <c r="D8820" i="10"/>
  <c r="D8819" i="10"/>
  <c r="D8818" i="10"/>
  <c r="D8817" i="10"/>
  <c r="D8816" i="10"/>
  <c r="D8815" i="10"/>
  <c r="D8814" i="10"/>
  <c r="D8813" i="10"/>
  <c r="D8812" i="10"/>
  <c r="D8811" i="10"/>
  <c r="D8810" i="10"/>
  <c r="D8809" i="10"/>
  <c r="D8808" i="10"/>
  <c r="D8807" i="10"/>
  <c r="D8806" i="10"/>
  <c r="D8805" i="10"/>
  <c r="D8804" i="10"/>
  <c r="D8803" i="10"/>
  <c r="D8802" i="10"/>
  <c r="D8801" i="10"/>
  <c r="D8800" i="10"/>
  <c r="D8799" i="10"/>
  <c r="D8798" i="10"/>
  <c r="D8797" i="10"/>
  <c r="D8796" i="10"/>
  <c r="D8795" i="10"/>
  <c r="D8794" i="10"/>
  <c r="D8793" i="10"/>
  <c r="D8792" i="10"/>
  <c r="D8791" i="10"/>
  <c r="D8790" i="10"/>
  <c r="D8789" i="10"/>
  <c r="D8788" i="10"/>
  <c r="D8787" i="10"/>
  <c r="D8786" i="10"/>
  <c r="D8785" i="10"/>
  <c r="D8784" i="10"/>
  <c r="D8783" i="10"/>
  <c r="D8782" i="10"/>
  <c r="D8781" i="10"/>
  <c r="D8780" i="10"/>
  <c r="D8779" i="10"/>
  <c r="D8778" i="10"/>
  <c r="D8777" i="10"/>
  <c r="D8776" i="10"/>
  <c r="D8775" i="10"/>
  <c r="D8774" i="10"/>
  <c r="D8773" i="10"/>
  <c r="D8772" i="10"/>
  <c r="D8771" i="10"/>
  <c r="D8770" i="10"/>
  <c r="D8769" i="10"/>
  <c r="D8768" i="10"/>
  <c r="D8767" i="10"/>
  <c r="D8766" i="10"/>
  <c r="D8765" i="10"/>
  <c r="D8764" i="10"/>
  <c r="D8763" i="10"/>
  <c r="D8762" i="10"/>
  <c r="D8761" i="10"/>
  <c r="D8760" i="10"/>
  <c r="D8759" i="10"/>
  <c r="D8758" i="10"/>
  <c r="D8757" i="10"/>
  <c r="D8756" i="10"/>
  <c r="D8755" i="10"/>
  <c r="D8754" i="10"/>
  <c r="D8753" i="10"/>
  <c r="D8752" i="10"/>
  <c r="D8751" i="10"/>
  <c r="D8750" i="10"/>
  <c r="D8749" i="10"/>
  <c r="D8748" i="10"/>
  <c r="D8747" i="10"/>
  <c r="D8746" i="10"/>
  <c r="D8745" i="10"/>
  <c r="D8744" i="10"/>
  <c r="D8743" i="10"/>
  <c r="D8742" i="10"/>
  <c r="D8741" i="10"/>
  <c r="D8740" i="10"/>
  <c r="D8739" i="10"/>
  <c r="D8738" i="10"/>
  <c r="D8737" i="10"/>
  <c r="D8736" i="10"/>
  <c r="D8735" i="10"/>
  <c r="D8734" i="10"/>
  <c r="D8733" i="10"/>
  <c r="D8732" i="10"/>
  <c r="D8731" i="10"/>
  <c r="D8730" i="10"/>
  <c r="D8729" i="10"/>
  <c r="D8728" i="10"/>
  <c r="D8727" i="10"/>
  <c r="D8726" i="10"/>
  <c r="D8725" i="10"/>
  <c r="D8724" i="10"/>
  <c r="D8723" i="10"/>
  <c r="D8722" i="10"/>
  <c r="D8721" i="10"/>
  <c r="D8720" i="10"/>
  <c r="D8719" i="10"/>
  <c r="D8718" i="10"/>
  <c r="D8717" i="10"/>
  <c r="D8716" i="10"/>
  <c r="D8715" i="10"/>
  <c r="D8714" i="10"/>
  <c r="D8713" i="10"/>
  <c r="D8712" i="10"/>
  <c r="D8711" i="10"/>
  <c r="D8710" i="10"/>
  <c r="D8709" i="10"/>
  <c r="D8708" i="10"/>
  <c r="D8707" i="10"/>
  <c r="D8706" i="10"/>
  <c r="D8705" i="10"/>
  <c r="D8704" i="10"/>
  <c r="D8703" i="10"/>
  <c r="D8702" i="10"/>
  <c r="D8701" i="10"/>
  <c r="D8700" i="10"/>
  <c r="D8699" i="10"/>
  <c r="D8698" i="10"/>
  <c r="D8697" i="10"/>
  <c r="D8696" i="10"/>
  <c r="D8695" i="10"/>
  <c r="D8694" i="10"/>
  <c r="D8693" i="10"/>
  <c r="D8692" i="10"/>
  <c r="D8691" i="10"/>
  <c r="D8690" i="10"/>
  <c r="D8689" i="10"/>
  <c r="D8688" i="10"/>
  <c r="D8687" i="10"/>
  <c r="D8686" i="10"/>
  <c r="D8685" i="10"/>
  <c r="D8684" i="10"/>
  <c r="D8683" i="10"/>
  <c r="D8682" i="10"/>
  <c r="D8681" i="10"/>
  <c r="D8680" i="10"/>
  <c r="D8679" i="10"/>
  <c r="D8678" i="10"/>
  <c r="D8677" i="10"/>
  <c r="D8676" i="10"/>
  <c r="D8675" i="10"/>
  <c r="D8674" i="10"/>
  <c r="D8673" i="10"/>
  <c r="D8672" i="10"/>
  <c r="D8671" i="10"/>
  <c r="D8670" i="10"/>
  <c r="D8669" i="10"/>
  <c r="D8668" i="10"/>
  <c r="D8667" i="10"/>
  <c r="D8666" i="10"/>
  <c r="D8665" i="10"/>
  <c r="D8664" i="10"/>
  <c r="D8663" i="10"/>
  <c r="D8662" i="10"/>
  <c r="D8661" i="10"/>
  <c r="D8660" i="10"/>
  <c r="D8659" i="10"/>
  <c r="D8658" i="10"/>
  <c r="D8657" i="10"/>
  <c r="D8656" i="10"/>
  <c r="D8655" i="10"/>
  <c r="D8654" i="10"/>
  <c r="D8653" i="10"/>
  <c r="D8652" i="10"/>
  <c r="D8651" i="10"/>
  <c r="D8650" i="10"/>
  <c r="D8649" i="10"/>
  <c r="D8648" i="10"/>
  <c r="D8647" i="10"/>
  <c r="D8646" i="10"/>
  <c r="D8645" i="10"/>
  <c r="D8644" i="10"/>
  <c r="D8643" i="10"/>
  <c r="D8642" i="10"/>
  <c r="D8641" i="10"/>
  <c r="D8640" i="10"/>
  <c r="D8639" i="10"/>
  <c r="D8638" i="10"/>
  <c r="D8637" i="10"/>
  <c r="D8636" i="10"/>
  <c r="D8635" i="10"/>
  <c r="D8634" i="10"/>
  <c r="D8633" i="10"/>
  <c r="D8632" i="10"/>
  <c r="D8631" i="10"/>
  <c r="D8630" i="10"/>
  <c r="D8629" i="10"/>
  <c r="D8628" i="10"/>
  <c r="D8627" i="10"/>
  <c r="D8626" i="10"/>
  <c r="D8625" i="10"/>
  <c r="D8624" i="10"/>
  <c r="D8623" i="10"/>
  <c r="D8622" i="10"/>
  <c r="D8621" i="10"/>
  <c r="D8620" i="10"/>
  <c r="D8619" i="10"/>
  <c r="D8618" i="10"/>
  <c r="D8617" i="10"/>
  <c r="D8616" i="10"/>
  <c r="D8615" i="10"/>
  <c r="D8614" i="10"/>
  <c r="D8613" i="10"/>
  <c r="D8612" i="10"/>
  <c r="D8611" i="10"/>
  <c r="D8610" i="10"/>
  <c r="D8609" i="10"/>
  <c r="D8608" i="10"/>
  <c r="D8607" i="10"/>
  <c r="D8606" i="10"/>
  <c r="D8605" i="10"/>
  <c r="D8604" i="10"/>
  <c r="D8603" i="10"/>
  <c r="D8602" i="10"/>
  <c r="D8601" i="10"/>
  <c r="D8600" i="10"/>
  <c r="D8599" i="10"/>
  <c r="D8598" i="10"/>
  <c r="D8597" i="10"/>
  <c r="D8596" i="10"/>
  <c r="D8595" i="10"/>
  <c r="D8594" i="10"/>
  <c r="D8593" i="10"/>
  <c r="D8592" i="10"/>
  <c r="D8591" i="10"/>
  <c r="D8590" i="10"/>
  <c r="D8589" i="10"/>
  <c r="D8588" i="10"/>
  <c r="D8587" i="10"/>
  <c r="D8586" i="10"/>
  <c r="D8585" i="10"/>
  <c r="D8584" i="10"/>
  <c r="D8583" i="10"/>
  <c r="D8582" i="10"/>
  <c r="D8581" i="10"/>
  <c r="D8580" i="10"/>
  <c r="D8579" i="10"/>
  <c r="D8578" i="10"/>
  <c r="D8577" i="10"/>
  <c r="D8576" i="10"/>
  <c r="D8575" i="10"/>
  <c r="D8574" i="10"/>
  <c r="D8573" i="10"/>
  <c r="D8572" i="10"/>
  <c r="D8571" i="10"/>
  <c r="D8570" i="10"/>
  <c r="D8569" i="10"/>
  <c r="D8568" i="10"/>
  <c r="D8567" i="10"/>
  <c r="D8566" i="10"/>
  <c r="D8565" i="10"/>
  <c r="D8564" i="10"/>
  <c r="D8563" i="10"/>
  <c r="D8562" i="10"/>
  <c r="D8561" i="10"/>
  <c r="D8560" i="10"/>
  <c r="D8559" i="10"/>
  <c r="D8558" i="10"/>
  <c r="D8557" i="10"/>
  <c r="D8556" i="10"/>
  <c r="D8555" i="10"/>
  <c r="D8554" i="10"/>
  <c r="D8553" i="10"/>
  <c r="D8552" i="10"/>
  <c r="D8551" i="10"/>
  <c r="D8550" i="10"/>
  <c r="D8549" i="10"/>
  <c r="D8548" i="10"/>
  <c r="D8547" i="10"/>
  <c r="D8546" i="10"/>
  <c r="D8545" i="10"/>
  <c r="D8544" i="10"/>
  <c r="D8543" i="10"/>
  <c r="D8542" i="10"/>
  <c r="D8541" i="10"/>
  <c r="D8540" i="10"/>
  <c r="D8539" i="10"/>
  <c r="D8538" i="10"/>
  <c r="D8537" i="10"/>
  <c r="D8536" i="10"/>
  <c r="D8535" i="10"/>
  <c r="D8534" i="10"/>
  <c r="D8533" i="10"/>
  <c r="D8532" i="10"/>
  <c r="D8531" i="10"/>
  <c r="D8530" i="10"/>
  <c r="D8529" i="10"/>
  <c r="D8528" i="10"/>
  <c r="D8527" i="10"/>
  <c r="D8526" i="10"/>
  <c r="D8525" i="10"/>
  <c r="D8524" i="10"/>
  <c r="D8523" i="10"/>
  <c r="D8522" i="10"/>
  <c r="D8521" i="10"/>
  <c r="D8520" i="10"/>
  <c r="D8519" i="10"/>
  <c r="D8518" i="10"/>
  <c r="D8517" i="10"/>
  <c r="D8516" i="10"/>
  <c r="D8515" i="10"/>
  <c r="D8514" i="10"/>
  <c r="D8513" i="10"/>
  <c r="D8512" i="10"/>
  <c r="D8511" i="10"/>
  <c r="D8510" i="10"/>
  <c r="D8509" i="10"/>
  <c r="D8508" i="10"/>
  <c r="D8507" i="10"/>
  <c r="D8506" i="10"/>
  <c r="D8505" i="10"/>
  <c r="D8504" i="10"/>
  <c r="D8503" i="10"/>
  <c r="D8502" i="10"/>
  <c r="D8501" i="10"/>
  <c r="D8500" i="10"/>
  <c r="D8499" i="10"/>
  <c r="D8498" i="10"/>
  <c r="D8497" i="10"/>
  <c r="D8496" i="10"/>
  <c r="D8495" i="10"/>
  <c r="D8494" i="10"/>
  <c r="D8493" i="10"/>
  <c r="D8492" i="10"/>
  <c r="D8491" i="10"/>
  <c r="D8490" i="10"/>
  <c r="D8489" i="10"/>
  <c r="D8488" i="10"/>
  <c r="D8487" i="10"/>
  <c r="D8486" i="10"/>
  <c r="D8485" i="10"/>
  <c r="D8484" i="10"/>
  <c r="D8483" i="10"/>
  <c r="D8482" i="10"/>
  <c r="D8481" i="10"/>
  <c r="D8480" i="10"/>
  <c r="D8479" i="10"/>
  <c r="D8478" i="10"/>
  <c r="D8477" i="10"/>
  <c r="D8476" i="10"/>
  <c r="D8475" i="10"/>
  <c r="D8474" i="10"/>
  <c r="D8473" i="10"/>
  <c r="D8472" i="10"/>
  <c r="D8471" i="10"/>
  <c r="D8470" i="10"/>
  <c r="D8469" i="10"/>
  <c r="D8468" i="10"/>
  <c r="D8467" i="10"/>
  <c r="D8466" i="10"/>
  <c r="D8465" i="10"/>
  <c r="D8464" i="10"/>
  <c r="D8463" i="10"/>
  <c r="D8462" i="10"/>
  <c r="D8461" i="10"/>
  <c r="D8460" i="10"/>
  <c r="D8459" i="10"/>
  <c r="D8458" i="10"/>
  <c r="D8457" i="10"/>
  <c r="D8456" i="10"/>
  <c r="D8455" i="10"/>
  <c r="D8454" i="10"/>
  <c r="D8453" i="10"/>
  <c r="D8452" i="10"/>
  <c r="D8451" i="10"/>
  <c r="D8450" i="10"/>
  <c r="D8449" i="10"/>
  <c r="D8448" i="10"/>
  <c r="D8447" i="10"/>
  <c r="D8446" i="10"/>
  <c r="D8445" i="10"/>
  <c r="D8444" i="10"/>
  <c r="D8443" i="10"/>
  <c r="D8442" i="10"/>
  <c r="D8441" i="10"/>
  <c r="D8440" i="10"/>
  <c r="D8439" i="10"/>
  <c r="D8438" i="10"/>
  <c r="D8437" i="10"/>
  <c r="D8436" i="10"/>
  <c r="D8435" i="10"/>
  <c r="D8434" i="10"/>
  <c r="D8433" i="10"/>
  <c r="D8432" i="10"/>
  <c r="D8431" i="10"/>
  <c r="D8430" i="10"/>
  <c r="D8429" i="10"/>
  <c r="D8428" i="10"/>
  <c r="D8427" i="10"/>
  <c r="D8426" i="10"/>
  <c r="D8425" i="10"/>
  <c r="D8424" i="10"/>
  <c r="D8423" i="10"/>
  <c r="D8422" i="10"/>
  <c r="D8421" i="10"/>
  <c r="D8420" i="10"/>
  <c r="D8419" i="10"/>
  <c r="D8418" i="10"/>
  <c r="D8417" i="10"/>
  <c r="D8416" i="10"/>
  <c r="D8415" i="10"/>
  <c r="D8414" i="10"/>
  <c r="D8413" i="10"/>
  <c r="D8412" i="10"/>
  <c r="D8411" i="10"/>
  <c r="D8410" i="10"/>
  <c r="D8409" i="10"/>
  <c r="D8408" i="10"/>
  <c r="D8407" i="10"/>
  <c r="D8406" i="10"/>
  <c r="D8405" i="10"/>
  <c r="D8404" i="10"/>
  <c r="D8403" i="10"/>
  <c r="D8402" i="10"/>
  <c r="D8401" i="10"/>
  <c r="D8400" i="10"/>
  <c r="D8399" i="10"/>
  <c r="D8398" i="10"/>
  <c r="D8397" i="10"/>
  <c r="D8396" i="10"/>
  <c r="D8395" i="10"/>
  <c r="D8394" i="10"/>
  <c r="D8393" i="10"/>
  <c r="D8392" i="10"/>
  <c r="D8391" i="10"/>
  <c r="D8390" i="10"/>
  <c r="D8389" i="10"/>
  <c r="D8388" i="10"/>
  <c r="D8387" i="10"/>
  <c r="D8386" i="10"/>
  <c r="D8385" i="10"/>
  <c r="D8384" i="10"/>
  <c r="D8383" i="10"/>
  <c r="D8382" i="10"/>
  <c r="D8381" i="10"/>
  <c r="D8380" i="10"/>
  <c r="D8379" i="10"/>
  <c r="D8378" i="10"/>
  <c r="D8377" i="10"/>
  <c r="D8376" i="10"/>
  <c r="D8375" i="10"/>
  <c r="D8374" i="10"/>
  <c r="D8373" i="10"/>
  <c r="D8372" i="10"/>
  <c r="D8371" i="10"/>
  <c r="D8370" i="10"/>
  <c r="D8369" i="10"/>
  <c r="D8368" i="10"/>
  <c r="D8367" i="10"/>
  <c r="D8366" i="10"/>
  <c r="D8365" i="10"/>
  <c r="D8364" i="10"/>
  <c r="D8363" i="10"/>
  <c r="D8362" i="10"/>
  <c r="D8361" i="10"/>
  <c r="D8360" i="10"/>
  <c r="D8359" i="10"/>
  <c r="D8358" i="10"/>
  <c r="D8357" i="10"/>
  <c r="D8356" i="10"/>
  <c r="D8355" i="10"/>
  <c r="D8354" i="10"/>
  <c r="D8353" i="10"/>
  <c r="D8352" i="10"/>
  <c r="D8351" i="10"/>
  <c r="D8350" i="10"/>
  <c r="D8349" i="10"/>
  <c r="D8348" i="10"/>
  <c r="D8347" i="10"/>
  <c r="D8346" i="10"/>
  <c r="D8345" i="10"/>
  <c r="D8344" i="10"/>
  <c r="D8343" i="10"/>
  <c r="D8342" i="10"/>
  <c r="D8341" i="10"/>
  <c r="D8340" i="10"/>
  <c r="D8339" i="10"/>
  <c r="D8338" i="10"/>
  <c r="D8337" i="10"/>
  <c r="D8336" i="10"/>
  <c r="D8335" i="10"/>
  <c r="D8334" i="10"/>
  <c r="D8333" i="10"/>
  <c r="D8332" i="10"/>
  <c r="D8331" i="10"/>
  <c r="D8330" i="10"/>
  <c r="D8329" i="10"/>
  <c r="D8328" i="10"/>
  <c r="D8327" i="10"/>
  <c r="D8326" i="10"/>
  <c r="D8325" i="10"/>
  <c r="D8324" i="10"/>
  <c r="D8323" i="10"/>
  <c r="D8322" i="10"/>
  <c r="D8321" i="10"/>
  <c r="D8320" i="10"/>
  <c r="D8319" i="10"/>
  <c r="D8318" i="10"/>
  <c r="D8317" i="10"/>
  <c r="D8316" i="10"/>
  <c r="D8315" i="10"/>
  <c r="D8314" i="10"/>
  <c r="D8313" i="10"/>
  <c r="D8312" i="10"/>
  <c r="D8311" i="10"/>
  <c r="D8310" i="10"/>
  <c r="D8309" i="10"/>
  <c r="D8308" i="10"/>
  <c r="D8307" i="10"/>
  <c r="D8306" i="10"/>
  <c r="D8305" i="10"/>
  <c r="D8304" i="10"/>
  <c r="D8303" i="10"/>
  <c r="D8302" i="10"/>
  <c r="D8301" i="10"/>
  <c r="D8300" i="10"/>
  <c r="D8299" i="10"/>
  <c r="D8298" i="10"/>
  <c r="D8297" i="10"/>
  <c r="D8296" i="10"/>
  <c r="D8295" i="10"/>
  <c r="D8294" i="10"/>
  <c r="D8293" i="10"/>
  <c r="D8292" i="10"/>
  <c r="D8291" i="10"/>
  <c r="D8290" i="10"/>
  <c r="D8289" i="10"/>
  <c r="D8288" i="10"/>
  <c r="D8287" i="10"/>
  <c r="D8286" i="10"/>
  <c r="D8285" i="10"/>
  <c r="D8284" i="10"/>
  <c r="D8283" i="10"/>
  <c r="D8282" i="10"/>
  <c r="D8281" i="10"/>
  <c r="D8280" i="10"/>
  <c r="D8279" i="10"/>
  <c r="D8278" i="10"/>
  <c r="D8277" i="10"/>
  <c r="D8276" i="10"/>
  <c r="D8275" i="10"/>
  <c r="D8274" i="10"/>
  <c r="D8273" i="10"/>
  <c r="D8272" i="10"/>
  <c r="D8271" i="10"/>
  <c r="D8270" i="10"/>
  <c r="D8269" i="10"/>
  <c r="D8268" i="10"/>
  <c r="D8267" i="10"/>
  <c r="D8266" i="10"/>
  <c r="D8265" i="10"/>
  <c r="D8264" i="10"/>
  <c r="D8263" i="10"/>
  <c r="D8262" i="10"/>
  <c r="D8261" i="10"/>
  <c r="D8260" i="10"/>
  <c r="D8259" i="10"/>
  <c r="D8258" i="10"/>
  <c r="D8257" i="10"/>
  <c r="D8256" i="10"/>
  <c r="D8255" i="10"/>
  <c r="D8254" i="10"/>
  <c r="D8253" i="10"/>
  <c r="D8252" i="10"/>
  <c r="D8251" i="10"/>
  <c r="D8250" i="10"/>
  <c r="D8249" i="10"/>
  <c r="D8248" i="10"/>
  <c r="D8247" i="10"/>
  <c r="D8246" i="10"/>
  <c r="D8245" i="10"/>
  <c r="D8244" i="10"/>
  <c r="D8243" i="10"/>
  <c r="D8242" i="10"/>
  <c r="D8241" i="10"/>
  <c r="D8240" i="10"/>
  <c r="D8239" i="10"/>
  <c r="D8238" i="10"/>
  <c r="D8237" i="10"/>
  <c r="D8236" i="10"/>
  <c r="D8235" i="10"/>
  <c r="D8234" i="10"/>
  <c r="D8233" i="10"/>
  <c r="D8232" i="10"/>
  <c r="D8231" i="10"/>
  <c r="D8230" i="10"/>
  <c r="D8229" i="10"/>
  <c r="D8228" i="10"/>
  <c r="D8227" i="10"/>
  <c r="D8226" i="10"/>
  <c r="D8225" i="10"/>
  <c r="D8224" i="10"/>
  <c r="D8223" i="10"/>
  <c r="D8222" i="10"/>
  <c r="D8221" i="10"/>
  <c r="D8220" i="10"/>
  <c r="D8219" i="10"/>
  <c r="D8218" i="10"/>
  <c r="D8217" i="10"/>
  <c r="D8216" i="10"/>
  <c r="D8215" i="10"/>
  <c r="D8214" i="10"/>
  <c r="D8213" i="10"/>
  <c r="D8212" i="10"/>
  <c r="D8211" i="10"/>
  <c r="D8210" i="10"/>
  <c r="D8209" i="10"/>
  <c r="D8208" i="10"/>
  <c r="D8207" i="10"/>
  <c r="D8206" i="10"/>
  <c r="D8205" i="10"/>
  <c r="D8204" i="10"/>
  <c r="D8203" i="10"/>
  <c r="D8202" i="10"/>
  <c r="D8201" i="10"/>
  <c r="D8200" i="10"/>
  <c r="D8199" i="10"/>
  <c r="D8198" i="10"/>
  <c r="D8197" i="10"/>
  <c r="D8196" i="10"/>
  <c r="D8195" i="10"/>
  <c r="D8194" i="10"/>
  <c r="D8193" i="10"/>
  <c r="D8192" i="10"/>
  <c r="D8191" i="10"/>
  <c r="D8190" i="10"/>
  <c r="D8189" i="10"/>
  <c r="D8188" i="10"/>
  <c r="D8187" i="10"/>
  <c r="D8186" i="10"/>
  <c r="D8185" i="10"/>
  <c r="D8184" i="10"/>
  <c r="D8183" i="10"/>
  <c r="D8182" i="10"/>
  <c r="D8181" i="10"/>
  <c r="D8180" i="10"/>
  <c r="D8179" i="10"/>
  <c r="D8178" i="10"/>
  <c r="D8177" i="10"/>
  <c r="D8176" i="10"/>
  <c r="D8175" i="10"/>
  <c r="D8174" i="10"/>
  <c r="D8173" i="10"/>
  <c r="D8172" i="10"/>
  <c r="D8171" i="10"/>
  <c r="D8170" i="10"/>
  <c r="D8169" i="10"/>
  <c r="D8168" i="10"/>
  <c r="D8167" i="10"/>
  <c r="D8166" i="10"/>
  <c r="D8165" i="10"/>
  <c r="D8164" i="10"/>
  <c r="D8163" i="10"/>
  <c r="D8162" i="10"/>
  <c r="D8161" i="10"/>
  <c r="D8160" i="10"/>
  <c r="D8159" i="10"/>
  <c r="D8158" i="10"/>
  <c r="D8157" i="10"/>
  <c r="D8156" i="10"/>
  <c r="D8155" i="10"/>
  <c r="D8154" i="10"/>
  <c r="D8153" i="10"/>
  <c r="D8152" i="10"/>
  <c r="D8151" i="10"/>
  <c r="D8150" i="10"/>
  <c r="D8149" i="10"/>
  <c r="D8148" i="10"/>
  <c r="D8147" i="10"/>
  <c r="D8146" i="10"/>
  <c r="D8145" i="10"/>
  <c r="D8144" i="10"/>
  <c r="D8143" i="10"/>
  <c r="D8142" i="10"/>
  <c r="D8141" i="10"/>
  <c r="D8140" i="10"/>
  <c r="D8139" i="10"/>
  <c r="D8138" i="10"/>
  <c r="D8137" i="10"/>
  <c r="D8136" i="10"/>
  <c r="D8135" i="10"/>
  <c r="D8134" i="10"/>
  <c r="D8133" i="10"/>
  <c r="D8132" i="10"/>
  <c r="D8131" i="10"/>
  <c r="D8130" i="10"/>
  <c r="D8129" i="10"/>
  <c r="D8128" i="10"/>
  <c r="D8127" i="10"/>
  <c r="D8126" i="10"/>
  <c r="D8125" i="10"/>
  <c r="D8124" i="10"/>
  <c r="D8123" i="10"/>
  <c r="D8122" i="10"/>
  <c r="D8121" i="10"/>
  <c r="D8120" i="10"/>
  <c r="D8119" i="10"/>
  <c r="D8118" i="10"/>
  <c r="D8117" i="10"/>
  <c r="D8116" i="10"/>
  <c r="D8115" i="10"/>
  <c r="D8114" i="10"/>
  <c r="D8113" i="10"/>
  <c r="D8112" i="10"/>
  <c r="D8111" i="10"/>
  <c r="D8110" i="10"/>
  <c r="D8109" i="10"/>
  <c r="D8108" i="10"/>
  <c r="D8107" i="10"/>
  <c r="D8106" i="10"/>
  <c r="D8105" i="10"/>
  <c r="D8104" i="10"/>
  <c r="D8103" i="10"/>
  <c r="D8102" i="10"/>
  <c r="D8101" i="10"/>
  <c r="D8100" i="10"/>
  <c r="D8099" i="10"/>
  <c r="D8098" i="10"/>
  <c r="D8097" i="10"/>
  <c r="D8096" i="10"/>
  <c r="D8095" i="10"/>
  <c r="D8094" i="10"/>
  <c r="D8093" i="10"/>
  <c r="D8092" i="10"/>
  <c r="D8091" i="10"/>
  <c r="D8090" i="10"/>
  <c r="D8089" i="10"/>
  <c r="D8088" i="10"/>
  <c r="D8087" i="10"/>
  <c r="D8086" i="10"/>
  <c r="D8085" i="10"/>
  <c r="D8084" i="10"/>
  <c r="D8083" i="10"/>
  <c r="D8082" i="10"/>
  <c r="D8081" i="10"/>
  <c r="D8080" i="10"/>
  <c r="D8079" i="10"/>
  <c r="D8078" i="10"/>
  <c r="D8077" i="10"/>
  <c r="D8076" i="10"/>
  <c r="D8075" i="10"/>
  <c r="D8074" i="10"/>
  <c r="D8073" i="10"/>
  <c r="D8072" i="10"/>
  <c r="D8071" i="10"/>
  <c r="D8070" i="10"/>
  <c r="D8069" i="10"/>
  <c r="D8068" i="10"/>
  <c r="D8067" i="10"/>
  <c r="D8066" i="10"/>
  <c r="D8065" i="10"/>
  <c r="D8064" i="10"/>
  <c r="D8063" i="10"/>
  <c r="D8062" i="10"/>
  <c r="D8061" i="10"/>
  <c r="D8060" i="10"/>
  <c r="D8059" i="10"/>
  <c r="D8058" i="10"/>
  <c r="D8057" i="10"/>
  <c r="D8056" i="10"/>
  <c r="D8055" i="10"/>
  <c r="D8054" i="10"/>
  <c r="D8053" i="10"/>
  <c r="D8052" i="10"/>
  <c r="D8051" i="10"/>
  <c r="D8050" i="10"/>
  <c r="D8049" i="10"/>
  <c r="D8048" i="10"/>
  <c r="D8047" i="10"/>
  <c r="D8046" i="10"/>
  <c r="D8045" i="10"/>
  <c r="D8044" i="10"/>
  <c r="D8043" i="10"/>
  <c r="D8042" i="10"/>
  <c r="D8041" i="10"/>
  <c r="D8040" i="10"/>
  <c r="D8039" i="10"/>
  <c r="D8038" i="10"/>
  <c r="D8037" i="10"/>
  <c r="D8036" i="10"/>
  <c r="D8035" i="10"/>
  <c r="D8034" i="10"/>
  <c r="D8033" i="10"/>
  <c r="D8032" i="10"/>
  <c r="D8031" i="10"/>
  <c r="D8030" i="10"/>
  <c r="D8029" i="10"/>
  <c r="D8028" i="10"/>
  <c r="D8027" i="10"/>
  <c r="D8026" i="10"/>
  <c r="D8025" i="10"/>
  <c r="D8024" i="10"/>
  <c r="D8023" i="10"/>
  <c r="D8022" i="10"/>
  <c r="D8021" i="10"/>
  <c r="D8020" i="10"/>
  <c r="D8019" i="10"/>
  <c r="D8018" i="10"/>
  <c r="D8017" i="10"/>
  <c r="D8016" i="10"/>
  <c r="D8015" i="10"/>
  <c r="D8014" i="10"/>
  <c r="D8013" i="10"/>
  <c r="D8012" i="10"/>
  <c r="D8011" i="10"/>
  <c r="D8010" i="10"/>
  <c r="D8009" i="10"/>
  <c r="D8008" i="10"/>
  <c r="D8007" i="10"/>
  <c r="D8006" i="10"/>
  <c r="D8005" i="10"/>
  <c r="D8004" i="10"/>
  <c r="D8003" i="10"/>
  <c r="D8002" i="10"/>
  <c r="D8001" i="10"/>
  <c r="D8000" i="10"/>
  <c r="D7999" i="10"/>
  <c r="D7998" i="10"/>
  <c r="D7997" i="10"/>
  <c r="D7996" i="10"/>
  <c r="D7995" i="10"/>
  <c r="D7994" i="10"/>
  <c r="D7993" i="10"/>
  <c r="D7992" i="10"/>
  <c r="D7991" i="10"/>
  <c r="D7990" i="10"/>
  <c r="D7989" i="10"/>
  <c r="D7988" i="10"/>
  <c r="D7987" i="10"/>
  <c r="D7986" i="10"/>
  <c r="D7985" i="10"/>
  <c r="D7984" i="10"/>
  <c r="D7983" i="10"/>
  <c r="D7982" i="10"/>
  <c r="D7981" i="10"/>
  <c r="D7980" i="10"/>
  <c r="D7979" i="10"/>
  <c r="D7978" i="10"/>
  <c r="D7977" i="10"/>
  <c r="D7976" i="10"/>
  <c r="D7975" i="10"/>
  <c r="D7974" i="10"/>
  <c r="D7973" i="10"/>
  <c r="D7972" i="10"/>
  <c r="D7971" i="10"/>
  <c r="D7970" i="10"/>
  <c r="D7969" i="10"/>
  <c r="D7968" i="10"/>
  <c r="D7967" i="10"/>
  <c r="D7966" i="10"/>
  <c r="D7965" i="10"/>
  <c r="D7964" i="10"/>
  <c r="D7963" i="10"/>
  <c r="D7962" i="10"/>
  <c r="D7961" i="10"/>
  <c r="D7960" i="10"/>
  <c r="D7959" i="10"/>
  <c r="D7958" i="10"/>
  <c r="D7957" i="10"/>
  <c r="D7956" i="10"/>
  <c r="D7955" i="10"/>
  <c r="D7954" i="10"/>
  <c r="D7953" i="10"/>
  <c r="D7952" i="10"/>
  <c r="D7951" i="10"/>
  <c r="D7950" i="10"/>
  <c r="D7949" i="10"/>
  <c r="D7948" i="10"/>
  <c r="D7947" i="10"/>
  <c r="D7946" i="10"/>
  <c r="D7945" i="10"/>
  <c r="D7944" i="10"/>
  <c r="D7943" i="10"/>
  <c r="D7942" i="10"/>
  <c r="D7941" i="10"/>
  <c r="D7940" i="10"/>
  <c r="D7939" i="10"/>
  <c r="D7938" i="10"/>
  <c r="D7937" i="10"/>
  <c r="D7936" i="10"/>
  <c r="D7935" i="10"/>
  <c r="D7934" i="10"/>
  <c r="D7933" i="10"/>
  <c r="D7932" i="10"/>
  <c r="D7931" i="10"/>
  <c r="D7930" i="10"/>
  <c r="D7929" i="10"/>
  <c r="D7928" i="10"/>
  <c r="D7927" i="10"/>
  <c r="D7926" i="10"/>
  <c r="D7925" i="10"/>
  <c r="D7924" i="10"/>
  <c r="D7923" i="10"/>
  <c r="D7922" i="10"/>
  <c r="D7921" i="10"/>
  <c r="D7920" i="10"/>
  <c r="D7919" i="10"/>
  <c r="D7918" i="10"/>
  <c r="D7917" i="10"/>
  <c r="D7916" i="10"/>
  <c r="D7915" i="10"/>
  <c r="D7914" i="10"/>
  <c r="D7913" i="10"/>
  <c r="D7912" i="10"/>
  <c r="D7911" i="10"/>
  <c r="D7910" i="10"/>
  <c r="D7909" i="10"/>
  <c r="D7908" i="10"/>
  <c r="D7907" i="10"/>
  <c r="D7906" i="10"/>
  <c r="D7905" i="10"/>
  <c r="D7904" i="10"/>
  <c r="D7903" i="10"/>
  <c r="D7902" i="10"/>
  <c r="D7901" i="10"/>
  <c r="D7900" i="10"/>
  <c r="D7899" i="10"/>
  <c r="D7898" i="10"/>
  <c r="D7897" i="10"/>
  <c r="D7896" i="10"/>
  <c r="D7895" i="10"/>
  <c r="D7894" i="10"/>
  <c r="D7893" i="10"/>
  <c r="D7892" i="10"/>
  <c r="D7891" i="10"/>
  <c r="D7890" i="10"/>
  <c r="D7889" i="10"/>
  <c r="D7888" i="10"/>
  <c r="D7887" i="10"/>
  <c r="D7886" i="10"/>
  <c r="D7885" i="10"/>
  <c r="D7884" i="10"/>
  <c r="D7883" i="10"/>
  <c r="D7882" i="10"/>
  <c r="D7881" i="10"/>
  <c r="D7880" i="10"/>
  <c r="D7879" i="10"/>
  <c r="D7878" i="10"/>
  <c r="D7877" i="10"/>
  <c r="D7876" i="10"/>
  <c r="D7875" i="10"/>
  <c r="D7874" i="10"/>
  <c r="D7873" i="10"/>
  <c r="D7872" i="10"/>
  <c r="D7871" i="10"/>
  <c r="D7870" i="10"/>
  <c r="D7869" i="10"/>
  <c r="D7868" i="10"/>
  <c r="D7867" i="10"/>
  <c r="D7866" i="10"/>
  <c r="D7865" i="10"/>
  <c r="D7864" i="10"/>
  <c r="D7863" i="10"/>
  <c r="D7862" i="10"/>
  <c r="D7861" i="10"/>
  <c r="D7860" i="10"/>
  <c r="D7859" i="10"/>
  <c r="D7858" i="10"/>
  <c r="D7857" i="10"/>
  <c r="D7856" i="10"/>
  <c r="D7855" i="10"/>
  <c r="D7854" i="10"/>
  <c r="D7853" i="10"/>
  <c r="D7852" i="10"/>
  <c r="D7851" i="10"/>
  <c r="D7850" i="10"/>
  <c r="D7849" i="10"/>
  <c r="D7848" i="10"/>
  <c r="D7847" i="10"/>
  <c r="D7846" i="10"/>
  <c r="D7845" i="10"/>
  <c r="D7844" i="10"/>
  <c r="D7843" i="10"/>
  <c r="D7842" i="10"/>
  <c r="D7841" i="10"/>
  <c r="D7840" i="10"/>
  <c r="D7839" i="10"/>
  <c r="D7838" i="10"/>
  <c r="D7837" i="10"/>
  <c r="D7836" i="10"/>
  <c r="D7835" i="10"/>
  <c r="D7834" i="10"/>
  <c r="D7833" i="10"/>
  <c r="D7832" i="10"/>
  <c r="D7831" i="10"/>
  <c r="D7830" i="10"/>
  <c r="D7829" i="10"/>
  <c r="D7828" i="10"/>
  <c r="D7827" i="10"/>
  <c r="D7826" i="10"/>
  <c r="D7825" i="10"/>
  <c r="D7824" i="10"/>
  <c r="D7823" i="10"/>
  <c r="D7822" i="10"/>
  <c r="D7821" i="10"/>
  <c r="D7820" i="10"/>
  <c r="D7819" i="10"/>
  <c r="D7818" i="10"/>
  <c r="D7817" i="10"/>
  <c r="D7816" i="10"/>
  <c r="D7815" i="10"/>
  <c r="D7814" i="10"/>
  <c r="D7813" i="10"/>
  <c r="D7812" i="10"/>
  <c r="D7811" i="10"/>
  <c r="D7810" i="10"/>
  <c r="D7809" i="10"/>
  <c r="D7808" i="10"/>
  <c r="D7807" i="10"/>
  <c r="D7806" i="10"/>
  <c r="D7805" i="10"/>
  <c r="D7804" i="10"/>
  <c r="D7803" i="10"/>
  <c r="D7802" i="10"/>
  <c r="D7801" i="10"/>
  <c r="D7800" i="10"/>
  <c r="D7799" i="10"/>
  <c r="D7798" i="10"/>
  <c r="D7797" i="10"/>
  <c r="D7796" i="10"/>
  <c r="D7795" i="10"/>
  <c r="D7794" i="10"/>
  <c r="D7793" i="10"/>
  <c r="D7792" i="10"/>
  <c r="D7791" i="10"/>
  <c r="D7790" i="10"/>
  <c r="D7789" i="10"/>
  <c r="D7788" i="10"/>
  <c r="D7787" i="10"/>
  <c r="D7786" i="10"/>
  <c r="D7785" i="10"/>
  <c r="D7784" i="10"/>
  <c r="D7783" i="10"/>
  <c r="D7782" i="10"/>
  <c r="D7781" i="10"/>
  <c r="D7780" i="10"/>
  <c r="D7779" i="10"/>
  <c r="D7778" i="10"/>
  <c r="D7777" i="10"/>
  <c r="D7776" i="10"/>
  <c r="D7775" i="10"/>
  <c r="D7774" i="10"/>
  <c r="D7773" i="10"/>
  <c r="D7772" i="10"/>
  <c r="D7771" i="10"/>
  <c r="D7770" i="10"/>
  <c r="D7769" i="10"/>
  <c r="D7768" i="10"/>
  <c r="D7767" i="10"/>
  <c r="D7766" i="10"/>
  <c r="D7765" i="10"/>
  <c r="D7764" i="10"/>
  <c r="D7763" i="10"/>
  <c r="D7762" i="10"/>
  <c r="D7761" i="10"/>
  <c r="D7760" i="10"/>
  <c r="D7759" i="10"/>
  <c r="D7758" i="10"/>
  <c r="D7757" i="10"/>
  <c r="D7756" i="10"/>
  <c r="D7755" i="10"/>
  <c r="D7754" i="10"/>
  <c r="D7753" i="10"/>
  <c r="D7752" i="10"/>
  <c r="D7751" i="10"/>
  <c r="D7750" i="10"/>
  <c r="D7749" i="10"/>
  <c r="D7748" i="10"/>
  <c r="D7747" i="10"/>
  <c r="D7746" i="10"/>
  <c r="D7745" i="10"/>
  <c r="D7744" i="10"/>
  <c r="D7743" i="10"/>
  <c r="D7742" i="10"/>
  <c r="D7741" i="10"/>
  <c r="D7740" i="10"/>
  <c r="D7739" i="10"/>
  <c r="D7738" i="10"/>
  <c r="D7737" i="10"/>
  <c r="D7736" i="10"/>
  <c r="D7735" i="10"/>
  <c r="D7734" i="10"/>
  <c r="D7733" i="10"/>
  <c r="D7732" i="10"/>
  <c r="D7731" i="10"/>
  <c r="D7730" i="10"/>
  <c r="D7729" i="10"/>
  <c r="D7728" i="10"/>
  <c r="D7727" i="10"/>
  <c r="D7726" i="10"/>
  <c r="D7725" i="10"/>
  <c r="D7724" i="10"/>
  <c r="D7723" i="10"/>
  <c r="D7722" i="10"/>
  <c r="D7721" i="10"/>
  <c r="D7720" i="10"/>
  <c r="D7719" i="10"/>
  <c r="D7718" i="10"/>
  <c r="D7717" i="10"/>
  <c r="D7716" i="10"/>
  <c r="D7715" i="10"/>
  <c r="D7714" i="10"/>
  <c r="D7713" i="10"/>
  <c r="D7712" i="10"/>
  <c r="D7711" i="10"/>
  <c r="D7710" i="10"/>
  <c r="D7709" i="10"/>
  <c r="D7708" i="10"/>
  <c r="D7707" i="10"/>
  <c r="D7706" i="10"/>
  <c r="D7705" i="10"/>
  <c r="D7704" i="10"/>
  <c r="D7703" i="10"/>
  <c r="D7702" i="10"/>
  <c r="D7701" i="10"/>
  <c r="D7700" i="10"/>
  <c r="D7699" i="10"/>
  <c r="D7698" i="10"/>
  <c r="D7697" i="10"/>
  <c r="D7696" i="10"/>
  <c r="D7695" i="10"/>
  <c r="D7694" i="10"/>
  <c r="D7693" i="10"/>
  <c r="D7692" i="10"/>
  <c r="D7691" i="10"/>
  <c r="D7690" i="10"/>
  <c r="D7689" i="10"/>
  <c r="D7688" i="10"/>
  <c r="D7687" i="10"/>
  <c r="D7686" i="10"/>
  <c r="D7685" i="10"/>
  <c r="D7684" i="10"/>
  <c r="D7683" i="10"/>
  <c r="D7682" i="10"/>
  <c r="D7681" i="10"/>
  <c r="D7680" i="10"/>
  <c r="D7679" i="10"/>
  <c r="D7678" i="10"/>
  <c r="D7677" i="10"/>
  <c r="D7676" i="10"/>
  <c r="D7675" i="10"/>
  <c r="D7674" i="10"/>
  <c r="D7673" i="10"/>
  <c r="D7672" i="10"/>
  <c r="D7671" i="10"/>
  <c r="D7670" i="10"/>
  <c r="D7669" i="10"/>
  <c r="D7668" i="10"/>
  <c r="D7667" i="10"/>
  <c r="D7666" i="10"/>
  <c r="D7665" i="10"/>
  <c r="D7664" i="10"/>
  <c r="D7663" i="10"/>
  <c r="D7662" i="10"/>
  <c r="D7661" i="10"/>
  <c r="D7660" i="10"/>
  <c r="D7659" i="10"/>
  <c r="D7658" i="10"/>
  <c r="D7657" i="10"/>
  <c r="D7656" i="10"/>
  <c r="D7655" i="10"/>
  <c r="D7654" i="10"/>
  <c r="D7653" i="10"/>
  <c r="D7652" i="10"/>
  <c r="D7651" i="10"/>
  <c r="D7650" i="10"/>
  <c r="D7649" i="10"/>
  <c r="D7648" i="10"/>
  <c r="D7647" i="10"/>
  <c r="D7646" i="10"/>
  <c r="D7645" i="10"/>
  <c r="D7644" i="10"/>
  <c r="D7643" i="10"/>
  <c r="D7642" i="10"/>
  <c r="D7641" i="10"/>
  <c r="D7640" i="10"/>
  <c r="D7639" i="10"/>
  <c r="D7638" i="10"/>
  <c r="D7637" i="10"/>
  <c r="D7636" i="10"/>
  <c r="D7635" i="10"/>
  <c r="D7634" i="10"/>
  <c r="D7633" i="10"/>
  <c r="D7632" i="10"/>
  <c r="D7631" i="10"/>
  <c r="D7630" i="10"/>
  <c r="D7629" i="10"/>
  <c r="D7628" i="10"/>
  <c r="D7627" i="10"/>
  <c r="D7626" i="10"/>
  <c r="D7625" i="10"/>
  <c r="D7624" i="10"/>
  <c r="D7623" i="10"/>
  <c r="D7622" i="10"/>
  <c r="D7621" i="10"/>
  <c r="D7620" i="10"/>
  <c r="D7619" i="10"/>
  <c r="D7618" i="10"/>
  <c r="D7617" i="10"/>
  <c r="D7616" i="10"/>
  <c r="D7615" i="10"/>
  <c r="D7614" i="10"/>
  <c r="D7613" i="10"/>
  <c r="D7612" i="10"/>
  <c r="D7611" i="10"/>
  <c r="D7610" i="10"/>
  <c r="D7609" i="10"/>
  <c r="D7608" i="10"/>
  <c r="D7607" i="10"/>
  <c r="D7606" i="10"/>
  <c r="D7605" i="10"/>
  <c r="D7604" i="10"/>
  <c r="D7603" i="10"/>
  <c r="D7602" i="10"/>
  <c r="D7601" i="10"/>
  <c r="D7600" i="10"/>
  <c r="D7599" i="10"/>
  <c r="D7598" i="10"/>
  <c r="D7597" i="10"/>
  <c r="D7596" i="10"/>
  <c r="D7595" i="10"/>
  <c r="D7594" i="10"/>
  <c r="D7593" i="10"/>
  <c r="D7592" i="10"/>
  <c r="D7591" i="10"/>
  <c r="D7590" i="10"/>
  <c r="D7589" i="10"/>
  <c r="D7588" i="10"/>
  <c r="D7587" i="10"/>
  <c r="D7586" i="10"/>
  <c r="D7585" i="10"/>
  <c r="D7584" i="10"/>
  <c r="D7583" i="10"/>
  <c r="D7582" i="10"/>
  <c r="D7581" i="10"/>
  <c r="D7580" i="10"/>
  <c r="D7579" i="10"/>
  <c r="D7578" i="10"/>
  <c r="D7577" i="10"/>
  <c r="D7576" i="10"/>
  <c r="D7575" i="10"/>
  <c r="D7574" i="10"/>
  <c r="D7573" i="10"/>
  <c r="D7572" i="10"/>
  <c r="D7571" i="10"/>
  <c r="D7570" i="10"/>
  <c r="D7569" i="10"/>
  <c r="D7568" i="10"/>
  <c r="D7567" i="10"/>
  <c r="D7566" i="10"/>
  <c r="D7565" i="10"/>
  <c r="D7564" i="10"/>
  <c r="D7563" i="10"/>
  <c r="D7562" i="10"/>
  <c r="D7561" i="10"/>
  <c r="D7560" i="10"/>
  <c r="D7559" i="10"/>
  <c r="D7558" i="10"/>
  <c r="D7557" i="10"/>
  <c r="D7556" i="10"/>
  <c r="D7555" i="10"/>
  <c r="D7554" i="10"/>
  <c r="D7553" i="10"/>
  <c r="D7552" i="10"/>
  <c r="D7551" i="10"/>
  <c r="D7550" i="10"/>
  <c r="D7549" i="10"/>
  <c r="D7548" i="10"/>
  <c r="D7547" i="10"/>
  <c r="D7546" i="10"/>
  <c r="D7545" i="10"/>
  <c r="D7544" i="10"/>
  <c r="D7543" i="10"/>
  <c r="D7542" i="10"/>
  <c r="D7541" i="10"/>
  <c r="D7540" i="10"/>
  <c r="D7539" i="10"/>
  <c r="D7538" i="10"/>
  <c r="D7537" i="10"/>
  <c r="D7536" i="10"/>
  <c r="D7535" i="10"/>
  <c r="D7534" i="10"/>
  <c r="D7533" i="10"/>
  <c r="D7532" i="10"/>
  <c r="D7531" i="10"/>
  <c r="D7530" i="10"/>
  <c r="D7529" i="10"/>
  <c r="D7528" i="10"/>
  <c r="D7527" i="10"/>
  <c r="D7526" i="10"/>
  <c r="D7525" i="10"/>
  <c r="D7524" i="10"/>
  <c r="D7523" i="10"/>
  <c r="D7522" i="10"/>
  <c r="D7521" i="10"/>
  <c r="D7520" i="10"/>
  <c r="D7519" i="10"/>
  <c r="D7518" i="10"/>
  <c r="D7517" i="10"/>
  <c r="D7516" i="10"/>
  <c r="D7515" i="10"/>
  <c r="D7514" i="10"/>
  <c r="D7513" i="10"/>
  <c r="D7512" i="10"/>
  <c r="D7511" i="10"/>
  <c r="D7510" i="10"/>
  <c r="D7509" i="10"/>
  <c r="D7508" i="10"/>
  <c r="D7507" i="10"/>
  <c r="D7506" i="10"/>
  <c r="D7505" i="10"/>
  <c r="D7504" i="10"/>
  <c r="D7503" i="10"/>
  <c r="D7502" i="10"/>
  <c r="D7501" i="10"/>
  <c r="D7500" i="10"/>
  <c r="D7499" i="10"/>
  <c r="D7498" i="10"/>
  <c r="D7497" i="10"/>
  <c r="D7496" i="10"/>
  <c r="D7495" i="10"/>
  <c r="D7494" i="10"/>
  <c r="D7493" i="10"/>
  <c r="D7492" i="10"/>
  <c r="D7491" i="10"/>
  <c r="D7490" i="10"/>
  <c r="D7489" i="10"/>
  <c r="D7488" i="10"/>
  <c r="D7487" i="10"/>
  <c r="D7486" i="10"/>
  <c r="D7485" i="10"/>
  <c r="D7484" i="10"/>
  <c r="D7483" i="10"/>
  <c r="D7482" i="10"/>
  <c r="D7481" i="10"/>
  <c r="D7480" i="10"/>
  <c r="D7479" i="10"/>
  <c r="D7478" i="10"/>
  <c r="D7477" i="10"/>
  <c r="D7476" i="10"/>
  <c r="D7475" i="10"/>
  <c r="D7474" i="10"/>
  <c r="D7473" i="10"/>
  <c r="D7472" i="10"/>
  <c r="D7471" i="10"/>
  <c r="D7470" i="10"/>
  <c r="D7469" i="10"/>
  <c r="D7468" i="10"/>
  <c r="D7467" i="10"/>
  <c r="D7466" i="10"/>
  <c r="D7465" i="10"/>
  <c r="D7464" i="10"/>
  <c r="D7463" i="10"/>
  <c r="D7462" i="10"/>
  <c r="D7461" i="10"/>
  <c r="D7460" i="10"/>
  <c r="D7459" i="10"/>
  <c r="D7458" i="10"/>
  <c r="D7457" i="10"/>
  <c r="D7456" i="10"/>
  <c r="D7455" i="10"/>
  <c r="D7454" i="10"/>
  <c r="D7453" i="10"/>
  <c r="D7452" i="10"/>
  <c r="D7451" i="10"/>
  <c r="D7450" i="10"/>
  <c r="D7449" i="10"/>
  <c r="D7448" i="10"/>
  <c r="D7447" i="10"/>
  <c r="D7446" i="10"/>
  <c r="D7445" i="10"/>
  <c r="D7444" i="10"/>
  <c r="D7443" i="10"/>
  <c r="D7442" i="10"/>
  <c r="D7441" i="10"/>
  <c r="D7440" i="10"/>
  <c r="D7439" i="10"/>
  <c r="D7438" i="10"/>
  <c r="D7437" i="10"/>
  <c r="D7436" i="10"/>
  <c r="D7435" i="10"/>
  <c r="D7434" i="10"/>
  <c r="D7433" i="10"/>
  <c r="D7432" i="10"/>
  <c r="D7431" i="10"/>
  <c r="D7430" i="10"/>
  <c r="D7429" i="10"/>
  <c r="D7428" i="10"/>
  <c r="D7427" i="10"/>
  <c r="D7426" i="10"/>
  <c r="D7425" i="10"/>
  <c r="D7424" i="10"/>
  <c r="D7423" i="10"/>
  <c r="D7422" i="10"/>
  <c r="D7421" i="10"/>
  <c r="D7420" i="10"/>
  <c r="D7419" i="10"/>
  <c r="D7418" i="10"/>
  <c r="D7417" i="10"/>
  <c r="D7416" i="10"/>
  <c r="D7415" i="10"/>
  <c r="D7414" i="10"/>
  <c r="D7413" i="10"/>
  <c r="D7412" i="10"/>
  <c r="D7411" i="10"/>
  <c r="D7410" i="10"/>
  <c r="D7409" i="10"/>
  <c r="D7408" i="10"/>
  <c r="D7407" i="10"/>
  <c r="D7406" i="10"/>
  <c r="D7405" i="10"/>
  <c r="D7404" i="10"/>
  <c r="D7403" i="10"/>
  <c r="D7402" i="10"/>
  <c r="D7401" i="10"/>
  <c r="D7400" i="10"/>
  <c r="D7399" i="10"/>
  <c r="D7398" i="10"/>
  <c r="D7397" i="10"/>
  <c r="D7396" i="10"/>
  <c r="D7395" i="10"/>
  <c r="D7394" i="10"/>
  <c r="D7393" i="10"/>
  <c r="D7392" i="10"/>
  <c r="D7391" i="10"/>
  <c r="D7390" i="10"/>
  <c r="D7389" i="10"/>
  <c r="D7388" i="10"/>
  <c r="D7387" i="10"/>
  <c r="D7386" i="10"/>
  <c r="D7385" i="10"/>
  <c r="D7384" i="10"/>
  <c r="D7383" i="10"/>
  <c r="D7382" i="10"/>
  <c r="D7381" i="10"/>
  <c r="D7380" i="10"/>
  <c r="D7379" i="10"/>
  <c r="D7378" i="10"/>
  <c r="D7377" i="10"/>
  <c r="D7376" i="10"/>
  <c r="D7375" i="10"/>
  <c r="D7374" i="10"/>
  <c r="D7373" i="10"/>
  <c r="D7372" i="10"/>
  <c r="D7371" i="10"/>
  <c r="D7370" i="10"/>
  <c r="D7369" i="10"/>
  <c r="D7368" i="10"/>
  <c r="D7367" i="10"/>
  <c r="D7366" i="10"/>
  <c r="D7365" i="10"/>
  <c r="D7364" i="10"/>
  <c r="D7363" i="10"/>
  <c r="D7362" i="10"/>
  <c r="D7361" i="10"/>
  <c r="D7360" i="10"/>
  <c r="D7359" i="10"/>
  <c r="D7358" i="10"/>
  <c r="D7357" i="10"/>
  <c r="D7356" i="10"/>
  <c r="D7355" i="10"/>
  <c r="D7354" i="10"/>
  <c r="D7353" i="10"/>
  <c r="D7352" i="10"/>
  <c r="D7351" i="10"/>
  <c r="D7350" i="10"/>
  <c r="D7349" i="10"/>
  <c r="D7348" i="10"/>
  <c r="D7347" i="10"/>
  <c r="D7346" i="10"/>
  <c r="D7345" i="10"/>
  <c r="D7344" i="10"/>
  <c r="D7343" i="10"/>
  <c r="D7342" i="10"/>
  <c r="D7341" i="10"/>
  <c r="D7340" i="10"/>
  <c r="D7339" i="10"/>
  <c r="D7338" i="10"/>
  <c r="D7337" i="10"/>
  <c r="D7336" i="10"/>
  <c r="D7335" i="10"/>
  <c r="D7334" i="10"/>
  <c r="D7333" i="10"/>
  <c r="D7332" i="10"/>
  <c r="D7331" i="10"/>
  <c r="D7330" i="10"/>
  <c r="D7329" i="10"/>
  <c r="D7328" i="10"/>
  <c r="D7327" i="10"/>
  <c r="D7326" i="10"/>
  <c r="D7325" i="10"/>
  <c r="D7324" i="10"/>
  <c r="D7323" i="10"/>
  <c r="D7322" i="10"/>
  <c r="D7321" i="10"/>
  <c r="D7320" i="10"/>
  <c r="D7319" i="10"/>
  <c r="D7318" i="10"/>
  <c r="D7317" i="10"/>
  <c r="D7316" i="10"/>
  <c r="D7315" i="10"/>
  <c r="D7314" i="10"/>
  <c r="D7313" i="10"/>
  <c r="D7312" i="10"/>
  <c r="D7311" i="10"/>
  <c r="D7310" i="10"/>
  <c r="D7309" i="10"/>
  <c r="D7308" i="10"/>
  <c r="D7307" i="10"/>
  <c r="D7306" i="10"/>
  <c r="D7305" i="10"/>
  <c r="D7304" i="10"/>
  <c r="D7303" i="10"/>
  <c r="D7302" i="10"/>
  <c r="D7301" i="10"/>
  <c r="D7300" i="10"/>
  <c r="D7299" i="10"/>
  <c r="D7298" i="10"/>
  <c r="D7297" i="10"/>
  <c r="D7296" i="10"/>
  <c r="D7295" i="10"/>
  <c r="D7294" i="10"/>
  <c r="D7293" i="10"/>
  <c r="D7292" i="10"/>
  <c r="D7291" i="10"/>
  <c r="D7290" i="10"/>
  <c r="D7289" i="10"/>
  <c r="D7288" i="10"/>
  <c r="D7287" i="10"/>
  <c r="D7286" i="10"/>
  <c r="D7285" i="10"/>
  <c r="D7284" i="10"/>
  <c r="D7283" i="10"/>
  <c r="D7282" i="10"/>
  <c r="D7281" i="10"/>
  <c r="D7280" i="10"/>
  <c r="D7279" i="10"/>
  <c r="D7278" i="10"/>
  <c r="D7277" i="10"/>
  <c r="D7276" i="10"/>
  <c r="D7275" i="10"/>
  <c r="D7274" i="10"/>
  <c r="D7273" i="10"/>
  <c r="D7272" i="10"/>
  <c r="D7271" i="10"/>
  <c r="D7270" i="10"/>
  <c r="D7269" i="10"/>
  <c r="D7268" i="10"/>
  <c r="D7267" i="10"/>
  <c r="D7266" i="10"/>
  <c r="D7265" i="10"/>
  <c r="D7264" i="10"/>
  <c r="D7263" i="10"/>
  <c r="D7262" i="10"/>
  <c r="D7261" i="10"/>
  <c r="D7260" i="10"/>
  <c r="D7259" i="10"/>
  <c r="D7258" i="10"/>
  <c r="D7257" i="10"/>
  <c r="D7256" i="10"/>
  <c r="D7255" i="10"/>
  <c r="D7254" i="10"/>
  <c r="D7253" i="10"/>
  <c r="D7252" i="10"/>
  <c r="D7251" i="10"/>
  <c r="D7250" i="10"/>
  <c r="D7249" i="10"/>
  <c r="D7248" i="10"/>
  <c r="D7247" i="10"/>
  <c r="D7246" i="10"/>
  <c r="D7245" i="10"/>
  <c r="D7244" i="10"/>
  <c r="D7243" i="10"/>
  <c r="D7242" i="10"/>
  <c r="D7241" i="10"/>
  <c r="D7240" i="10"/>
  <c r="D7239" i="10"/>
  <c r="D7238" i="10"/>
  <c r="D7237" i="10"/>
  <c r="D7236" i="10"/>
  <c r="D7235" i="10"/>
  <c r="D7234" i="10"/>
  <c r="D7233" i="10"/>
  <c r="D7232" i="10"/>
  <c r="D7231" i="10"/>
  <c r="D7230" i="10"/>
  <c r="D7229" i="10"/>
  <c r="D7228" i="10"/>
  <c r="D7227" i="10"/>
  <c r="D7226" i="10"/>
  <c r="D7225" i="10"/>
  <c r="D7224" i="10"/>
  <c r="D7223" i="10"/>
  <c r="D7222" i="10"/>
  <c r="D7221" i="10"/>
  <c r="D7220" i="10"/>
  <c r="D7219" i="10"/>
  <c r="D7218" i="10"/>
  <c r="D7217" i="10"/>
  <c r="D7216" i="10"/>
  <c r="D7215" i="10"/>
  <c r="D7214" i="10"/>
  <c r="D7213" i="10"/>
  <c r="D7212" i="10"/>
  <c r="D7211" i="10"/>
  <c r="D7210" i="10"/>
  <c r="D7209" i="10"/>
  <c r="D7208" i="10"/>
  <c r="D7207" i="10"/>
  <c r="D7206" i="10"/>
  <c r="D7205" i="10"/>
  <c r="D7204" i="10"/>
  <c r="D7203" i="10"/>
  <c r="D7202" i="10"/>
  <c r="D7201" i="10"/>
  <c r="D7200" i="10"/>
  <c r="D7199" i="10"/>
  <c r="D7198" i="10"/>
  <c r="D7197" i="10"/>
  <c r="D7196" i="10"/>
  <c r="D7195" i="10"/>
  <c r="D7194" i="10"/>
  <c r="D7193" i="10"/>
  <c r="D7192" i="10"/>
  <c r="D7191" i="10"/>
  <c r="D7190" i="10"/>
  <c r="D7189" i="10"/>
  <c r="D7188" i="10"/>
  <c r="D7187" i="10"/>
  <c r="D7186" i="10"/>
  <c r="D7185" i="10"/>
  <c r="D7184" i="10"/>
  <c r="D7183" i="10"/>
  <c r="D7182" i="10"/>
  <c r="D7181" i="10"/>
  <c r="D7180" i="10"/>
  <c r="D7179" i="10"/>
  <c r="D7178" i="10"/>
  <c r="D7177" i="10"/>
  <c r="D7176" i="10"/>
  <c r="D7175" i="10"/>
  <c r="D7174" i="10"/>
  <c r="D7173" i="10"/>
  <c r="D7172" i="10"/>
  <c r="D7171" i="10"/>
  <c r="D7170" i="10"/>
  <c r="D7169" i="10"/>
  <c r="D7168" i="10"/>
  <c r="D7167" i="10"/>
  <c r="D7166" i="10"/>
  <c r="D7165" i="10"/>
  <c r="D7164" i="10"/>
  <c r="D7163" i="10"/>
  <c r="D7162" i="10"/>
  <c r="D7161" i="10"/>
  <c r="D7160" i="10"/>
  <c r="D7159" i="10"/>
  <c r="D7158" i="10"/>
  <c r="D7157" i="10"/>
  <c r="D7156" i="10"/>
  <c r="D7155" i="10"/>
  <c r="D7154" i="10"/>
  <c r="D7153" i="10"/>
  <c r="D7152" i="10"/>
  <c r="D7151" i="10"/>
  <c r="D7150" i="10"/>
  <c r="D7149" i="10"/>
  <c r="D7148" i="10"/>
  <c r="D7147" i="10"/>
  <c r="D7146" i="10"/>
  <c r="D7145" i="10"/>
  <c r="D7144" i="10"/>
  <c r="D7143" i="10"/>
  <c r="D7142" i="10"/>
  <c r="D7141" i="10"/>
  <c r="D7140" i="10"/>
  <c r="D7139" i="10"/>
  <c r="D7138" i="10"/>
  <c r="D7137" i="10"/>
  <c r="D7136" i="10"/>
  <c r="D7135" i="10"/>
  <c r="D7134" i="10"/>
  <c r="D7133" i="10"/>
  <c r="D7132" i="10"/>
  <c r="D7131" i="10"/>
  <c r="D7130" i="10"/>
  <c r="D7129" i="10"/>
  <c r="D7128" i="10"/>
  <c r="D7127" i="10"/>
  <c r="D7126" i="10"/>
  <c r="D7125" i="10"/>
  <c r="D7124" i="10"/>
  <c r="D7123" i="10"/>
  <c r="D7122" i="10"/>
  <c r="D7121" i="10"/>
  <c r="D7120" i="10"/>
  <c r="D7119" i="10"/>
  <c r="D7118" i="10"/>
  <c r="D7117" i="10"/>
  <c r="D7116" i="10"/>
  <c r="D7115" i="10"/>
  <c r="D7114" i="10"/>
  <c r="D7113" i="10"/>
  <c r="D7112" i="10"/>
  <c r="D7111" i="10"/>
  <c r="D7110" i="10"/>
  <c r="D7109" i="10"/>
  <c r="D7108" i="10"/>
  <c r="D7107" i="10"/>
  <c r="D7106" i="10"/>
  <c r="D7105" i="10"/>
  <c r="D7104" i="10"/>
  <c r="D7103" i="10"/>
  <c r="D7102" i="10"/>
  <c r="D7101" i="10"/>
  <c r="D7100" i="10"/>
  <c r="D7099" i="10"/>
  <c r="D7098" i="10"/>
  <c r="D7097" i="10"/>
  <c r="D7096" i="10"/>
  <c r="D7095" i="10"/>
  <c r="D7094" i="10"/>
  <c r="D7093" i="10"/>
  <c r="D7092" i="10"/>
  <c r="D7091" i="10"/>
  <c r="D7090" i="10"/>
  <c r="D7089" i="10"/>
  <c r="D7088" i="10"/>
  <c r="D7087" i="10"/>
  <c r="D7086" i="10"/>
  <c r="D7085" i="10"/>
  <c r="D7084" i="10"/>
  <c r="D7083" i="10"/>
  <c r="D7082" i="10"/>
  <c r="D7081" i="10"/>
  <c r="D7080" i="10"/>
  <c r="D7079" i="10"/>
  <c r="D7078" i="10"/>
  <c r="D7077" i="10"/>
  <c r="D7076" i="10"/>
  <c r="D7075" i="10"/>
  <c r="D7074" i="10"/>
  <c r="D7073" i="10"/>
  <c r="D7072" i="10"/>
  <c r="D7071" i="10"/>
  <c r="D7070" i="10"/>
  <c r="D7069" i="10"/>
  <c r="D7068" i="10"/>
  <c r="D7067" i="10"/>
  <c r="D7066" i="10"/>
  <c r="D7065" i="10"/>
  <c r="D7064" i="10"/>
  <c r="D7063" i="10"/>
  <c r="D7062" i="10"/>
  <c r="D7061" i="10"/>
  <c r="D7060" i="10"/>
  <c r="D7059" i="10"/>
  <c r="D7058" i="10"/>
  <c r="D7057" i="10"/>
  <c r="D7056" i="10"/>
  <c r="D7055" i="10"/>
  <c r="D7054" i="10"/>
  <c r="D7053" i="10"/>
  <c r="D7052" i="10"/>
  <c r="D7051" i="10"/>
  <c r="D7050" i="10"/>
  <c r="D7049" i="10"/>
  <c r="D7048" i="10"/>
  <c r="D7047" i="10"/>
  <c r="D7046" i="10"/>
  <c r="D7045" i="10"/>
  <c r="D7044" i="10"/>
  <c r="D7043" i="10"/>
  <c r="D7042" i="10"/>
  <c r="D7041" i="10"/>
  <c r="D7040" i="10"/>
  <c r="D7039" i="10"/>
  <c r="D7038" i="10"/>
  <c r="D7037" i="10"/>
  <c r="D7036" i="10"/>
  <c r="D7035" i="10"/>
  <c r="D7034" i="10"/>
  <c r="D7033" i="10"/>
  <c r="D7032" i="10"/>
  <c r="D7031" i="10"/>
  <c r="D7030" i="10"/>
  <c r="D7029" i="10"/>
  <c r="D7028" i="10"/>
  <c r="D7027" i="10"/>
  <c r="D7026" i="10"/>
  <c r="D7025" i="10"/>
  <c r="D7024" i="10"/>
  <c r="D7023" i="10"/>
  <c r="D7022" i="10"/>
  <c r="D7021" i="10"/>
  <c r="D7020" i="10"/>
  <c r="D7019" i="10"/>
  <c r="D7018" i="10"/>
  <c r="D7017" i="10"/>
  <c r="D7016" i="10"/>
  <c r="D7015" i="10"/>
  <c r="D7014" i="10"/>
  <c r="D7013" i="10"/>
  <c r="D7012" i="10"/>
  <c r="D7011" i="10"/>
  <c r="D7010" i="10"/>
  <c r="D7009" i="10"/>
  <c r="D7008" i="10"/>
  <c r="D7007" i="10"/>
  <c r="D7006" i="10"/>
  <c r="D7005" i="10"/>
  <c r="D7004" i="10"/>
  <c r="D7003" i="10"/>
  <c r="D7002" i="10"/>
  <c r="D7001" i="10"/>
  <c r="D7000" i="10"/>
  <c r="D6999" i="10"/>
  <c r="D6998" i="10"/>
  <c r="D6997" i="10"/>
  <c r="D6996" i="10"/>
  <c r="D6995" i="10"/>
  <c r="D6994" i="10"/>
  <c r="D6993" i="10"/>
  <c r="D6992" i="10"/>
  <c r="D6991" i="10"/>
  <c r="D6990" i="10"/>
  <c r="D6989" i="10"/>
  <c r="D6988" i="10"/>
  <c r="D6987" i="10"/>
  <c r="D6986" i="10"/>
  <c r="D6985" i="10"/>
  <c r="D6984" i="10"/>
  <c r="D6983" i="10"/>
  <c r="D6982" i="10"/>
  <c r="D6981" i="10"/>
  <c r="D6980" i="10"/>
  <c r="D6979" i="10"/>
  <c r="D6978" i="10"/>
  <c r="D6977" i="10"/>
  <c r="D6976" i="10"/>
  <c r="D6975" i="10"/>
  <c r="D6974" i="10"/>
  <c r="D6973" i="10"/>
  <c r="D6972" i="10"/>
  <c r="D6971" i="10"/>
  <c r="D6970" i="10"/>
  <c r="D6969" i="10"/>
  <c r="D6968" i="10"/>
  <c r="D6967" i="10"/>
  <c r="D6966" i="10"/>
  <c r="D6965" i="10"/>
  <c r="D6964" i="10"/>
  <c r="D6963" i="10"/>
  <c r="D6962" i="10"/>
  <c r="D6961" i="10"/>
  <c r="D6960" i="10"/>
  <c r="D6959" i="10"/>
  <c r="D6958" i="10"/>
  <c r="D6957" i="10"/>
  <c r="D6956" i="10"/>
  <c r="D6955" i="10"/>
  <c r="D6954" i="10"/>
  <c r="D6953" i="10"/>
  <c r="D6952" i="10"/>
  <c r="D6951" i="10"/>
  <c r="D6950" i="10"/>
  <c r="D6949" i="10"/>
  <c r="D6948" i="10"/>
  <c r="D6947" i="10"/>
  <c r="D6946" i="10"/>
  <c r="D6945" i="10"/>
  <c r="D6944" i="10"/>
  <c r="D6943" i="10"/>
  <c r="D6942" i="10"/>
  <c r="D6941" i="10"/>
  <c r="D6940" i="10"/>
  <c r="D6939" i="10"/>
  <c r="D6938" i="10"/>
  <c r="D6937" i="10"/>
  <c r="D6936" i="10"/>
  <c r="D6935" i="10"/>
  <c r="D6934" i="10"/>
  <c r="D6933" i="10"/>
  <c r="D6932" i="10"/>
  <c r="D6931" i="10"/>
  <c r="D6930" i="10"/>
  <c r="D6929" i="10"/>
  <c r="D6928" i="10"/>
  <c r="D6927" i="10"/>
  <c r="D6926" i="10"/>
  <c r="D6925" i="10"/>
  <c r="D6924" i="10"/>
  <c r="D6923" i="10"/>
  <c r="D6922" i="10"/>
  <c r="D6921" i="10"/>
  <c r="D6920" i="10"/>
  <c r="D6919" i="10"/>
  <c r="D6918" i="10"/>
  <c r="D6917" i="10"/>
  <c r="D6916" i="10"/>
  <c r="D6915" i="10"/>
  <c r="D6914" i="10"/>
  <c r="D6913" i="10"/>
  <c r="D6912" i="10"/>
  <c r="D6911" i="10"/>
  <c r="D6910" i="10"/>
  <c r="D6909" i="10"/>
  <c r="D6908" i="10"/>
  <c r="D6907" i="10"/>
  <c r="D6906" i="10"/>
  <c r="D6905" i="10"/>
  <c r="D6904" i="10"/>
  <c r="D6903" i="10"/>
  <c r="D6902" i="10"/>
  <c r="D6901" i="10"/>
  <c r="D6900" i="10"/>
  <c r="D6899" i="10"/>
  <c r="D6898" i="10"/>
  <c r="D6897" i="10"/>
  <c r="D6896" i="10"/>
  <c r="D6895" i="10"/>
  <c r="D6894" i="10"/>
  <c r="D6893" i="10"/>
  <c r="D6892" i="10"/>
  <c r="D6891" i="10"/>
  <c r="D6890" i="10"/>
  <c r="D6889" i="10"/>
  <c r="D6888" i="10"/>
  <c r="D6887" i="10"/>
  <c r="D6886" i="10"/>
  <c r="D6885" i="10"/>
  <c r="D6884" i="10"/>
  <c r="D6883" i="10"/>
  <c r="D6882" i="10"/>
  <c r="D6881" i="10"/>
  <c r="D6880" i="10"/>
  <c r="D6879" i="10"/>
  <c r="D6878" i="10"/>
  <c r="D6877" i="10"/>
  <c r="D6876" i="10"/>
  <c r="D6875" i="10"/>
  <c r="D6874" i="10"/>
  <c r="D6873" i="10"/>
  <c r="D6872" i="10"/>
  <c r="D6871" i="10"/>
  <c r="D6870" i="10"/>
  <c r="D6869" i="10"/>
  <c r="D6868" i="10"/>
  <c r="D6867" i="10"/>
  <c r="D6866" i="10"/>
  <c r="D6865" i="10"/>
  <c r="D6864" i="10"/>
  <c r="D6863" i="10"/>
  <c r="D6862" i="10"/>
  <c r="D6861" i="10"/>
  <c r="D6860" i="10"/>
  <c r="D6859" i="10"/>
  <c r="D6858" i="10"/>
  <c r="D6857" i="10"/>
  <c r="D6856" i="10"/>
  <c r="D6855" i="10"/>
  <c r="D6854" i="10"/>
  <c r="D6853" i="10"/>
  <c r="D6852" i="10"/>
  <c r="D6851" i="10"/>
  <c r="D6850" i="10"/>
  <c r="D6849" i="10"/>
  <c r="D6848" i="10"/>
  <c r="D6847" i="10"/>
  <c r="D6846" i="10"/>
  <c r="D6845" i="10"/>
  <c r="D6844" i="10"/>
  <c r="D6843" i="10"/>
  <c r="D6842" i="10"/>
  <c r="D6841" i="10"/>
  <c r="D6840" i="10"/>
  <c r="D6839" i="10"/>
  <c r="D6838" i="10"/>
  <c r="D6837" i="10"/>
  <c r="D6836" i="10"/>
  <c r="D6835" i="10"/>
  <c r="D6834" i="10"/>
  <c r="D6833" i="10"/>
  <c r="D6832" i="10"/>
  <c r="D6831" i="10"/>
  <c r="D6830" i="10"/>
  <c r="D6829" i="10"/>
  <c r="D6828" i="10"/>
  <c r="D6827" i="10"/>
  <c r="D6826" i="10"/>
  <c r="D6825" i="10"/>
  <c r="D6824" i="10"/>
  <c r="D6823" i="10"/>
  <c r="D6822" i="10"/>
  <c r="D6821" i="10"/>
  <c r="D6820" i="10"/>
  <c r="D6819" i="10"/>
  <c r="D6818" i="10"/>
  <c r="D6817" i="10"/>
  <c r="D6816" i="10"/>
  <c r="D6815" i="10"/>
  <c r="D6814" i="10"/>
  <c r="D6813" i="10"/>
  <c r="D6812" i="10"/>
  <c r="D6811" i="10"/>
  <c r="D6810" i="10"/>
  <c r="D6809" i="10"/>
  <c r="D6808" i="10"/>
  <c r="D6807" i="10"/>
  <c r="D6806" i="10"/>
  <c r="D6805" i="10"/>
  <c r="D6804" i="10"/>
  <c r="D6803" i="10"/>
  <c r="D6802" i="10"/>
  <c r="D6801" i="10"/>
  <c r="D6800" i="10"/>
  <c r="D6799" i="10"/>
  <c r="D6798" i="10"/>
  <c r="D6797" i="10"/>
  <c r="D6796" i="10"/>
  <c r="D6795" i="10"/>
  <c r="D6794" i="10"/>
  <c r="D6793" i="10"/>
  <c r="D6792" i="10"/>
  <c r="D6791" i="10"/>
  <c r="D6790" i="10"/>
  <c r="D6789" i="10"/>
  <c r="D6788" i="10"/>
  <c r="D6787" i="10"/>
  <c r="D6786" i="10"/>
  <c r="D6785" i="10"/>
  <c r="D6784" i="10"/>
  <c r="D6783" i="10"/>
  <c r="D6782" i="10"/>
  <c r="D6781" i="10"/>
  <c r="D6780" i="10"/>
  <c r="D6779" i="10"/>
  <c r="D6778" i="10"/>
  <c r="D6777" i="10"/>
  <c r="D6776" i="10"/>
  <c r="D6775" i="10"/>
  <c r="D6774" i="10"/>
  <c r="D6773" i="10"/>
  <c r="D6772" i="10"/>
  <c r="D6771" i="10"/>
  <c r="D6770" i="10"/>
  <c r="D6769" i="10"/>
  <c r="D6768" i="10"/>
  <c r="D6767" i="10"/>
  <c r="D6766" i="10"/>
  <c r="D6765" i="10"/>
  <c r="D6764" i="10"/>
  <c r="D6763" i="10"/>
  <c r="D6762" i="10"/>
  <c r="D6761" i="10"/>
  <c r="D6760" i="10"/>
  <c r="D6759" i="10"/>
  <c r="D6758" i="10"/>
  <c r="D6757" i="10"/>
  <c r="D6756" i="10"/>
  <c r="D6755" i="10"/>
  <c r="D6754" i="10"/>
  <c r="D6753" i="10"/>
  <c r="D6752" i="10"/>
  <c r="D6751" i="10"/>
  <c r="D6750" i="10"/>
  <c r="D6749" i="10"/>
  <c r="D6748" i="10"/>
  <c r="D6747" i="10"/>
  <c r="D6746" i="10"/>
  <c r="D6745" i="10"/>
  <c r="D6744" i="10"/>
  <c r="D6743" i="10"/>
  <c r="D6742" i="10"/>
  <c r="D6741" i="10"/>
  <c r="D6740" i="10"/>
  <c r="D6739" i="10"/>
  <c r="D6738" i="10"/>
  <c r="D6737" i="10"/>
  <c r="D6736" i="10"/>
  <c r="D6735" i="10"/>
  <c r="D6734" i="10"/>
  <c r="D6733" i="10"/>
  <c r="D6732" i="10"/>
  <c r="D6731" i="10"/>
  <c r="D6730" i="10"/>
  <c r="D6729" i="10"/>
  <c r="D6728" i="10"/>
  <c r="D6727" i="10"/>
  <c r="D6726" i="10"/>
  <c r="D6725" i="10"/>
  <c r="D6724" i="10"/>
  <c r="D6723" i="10"/>
  <c r="D6722" i="10"/>
  <c r="D6721" i="10"/>
  <c r="D6720" i="10"/>
  <c r="D6719" i="10"/>
  <c r="D6718" i="10"/>
  <c r="D6717" i="10"/>
  <c r="D6716" i="10"/>
  <c r="D6715" i="10"/>
  <c r="D6714" i="10"/>
  <c r="D6713" i="10"/>
  <c r="D6712" i="10"/>
  <c r="D6711" i="10"/>
  <c r="D6710" i="10"/>
  <c r="D6709" i="10"/>
  <c r="D6708" i="10"/>
  <c r="D6707" i="10"/>
  <c r="D6706" i="10"/>
  <c r="D6705" i="10"/>
  <c r="D6704" i="10"/>
  <c r="D6703" i="10"/>
  <c r="D6702" i="10"/>
  <c r="D6701" i="10"/>
  <c r="D6700" i="10"/>
  <c r="D6699" i="10"/>
  <c r="D6698" i="10"/>
  <c r="D6697" i="10"/>
  <c r="D6696" i="10"/>
  <c r="D6695" i="10"/>
  <c r="D6694" i="10"/>
  <c r="D6693" i="10"/>
  <c r="D6692" i="10"/>
  <c r="D6691" i="10"/>
  <c r="D6690" i="10"/>
  <c r="D6689" i="10"/>
  <c r="D6688" i="10"/>
  <c r="D6687" i="10"/>
  <c r="D6686" i="10"/>
  <c r="D6685" i="10"/>
  <c r="D6684" i="10"/>
  <c r="D6683" i="10"/>
  <c r="D6682" i="10"/>
  <c r="D6681" i="10"/>
  <c r="D6680" i="10"/>
  <c r="D6679" i="10"/>
  <c r="D6678" i="10"/>
  <c r="D6677" i="10"/>
  <c r="D6676" i="10"/>
  <c r="D6675" i="10"/>
  <c r="D6674" i="10"/>
  <c r="D6673" i="10"/>
  <c r="D6672" i="10"/>
  <c r="D6671" i="10"/>
  <c r="D6670" i="10"/>
  <c r="D6669" i="10"/>
  <c r="D6668" i="10"/>
  <c r="D6667" i="10"/>
  <c r="D6666" i="10"/>
  <c r="D6665" i="10"/>
  <c r="D6664" i="10"/>
  <c r="D6663" i="10"/>
  <c r="D6662" i="10"/>
  <c r="D6661" i="10"/>
  <c r="D6660" i="10"/>
  <c r="D6659" i="10"/>
  <c r="D6658" i="10"/>
  <c r="D6657" i="10"/>
  <c r="D6656" i="10"/>
  <c r="D6655" i="10"/>
  <c r="D6654" i="10"/>
  <c r="D6653" i="10"/>
  <c r="D6652" i="10"/>
  <c r="D6651" i="10"/>
  <c r="D6650" i="10"/>
  <c r="D6649" i="10"/>
  <c r="D6648" i="10"/>
  <c r="D6647" i="10"/>
  <c r="D6646" i="10"/>
  <c r="D6645" i="10"/>
  <c r="D6644" i="10"/>
  <c r="D6643" i="10"/>
  <c r="D6642" i="10"/>
  <c r="D6641" i="10"/>
  <c r="D6640" i="10"/>
  <c r="D6639" i="10"/>
  <c r="D6638" i="10"/>
  <c r="D6637" i="10"/>
  <c r="D6636" i="10"/>
  <c r="D6635" i="10"/>
  <c r="D6634" i="10"/>
  <c r="D6633" i="10"/>
  <c r="D6632" i="10"/>
  <c r="D6631" i="10"/>
  <c r="D6630" i="10"/>
  <c r="D6629" i="10"/>
  <c r="D6628" i="10"/>
  <c r="D6627" i="10"/>
  <c r="D6626" i="10"/>
  <c r="D6625" i="10"/>
  <c r="D6624" i="10"/>
  <c r="D6623" i="10"/>
  <c r="D6622" i="10"/>
  <c r="D6621" i="10"/>
  <c r="D6620" i="10"/>
  <c r="D6619" i="10"/>
  <c r="D6618" i="10"/>
  <c r="D6617" i="10"/>
  <c r="D6616" i="10"/>
  <c r="D6615" i="10"/>
  <c r="D6614" i="10"/>
  <c r="D6613" i="10"/>
  <c r="D6612" i="10"/>
  <c r="D6611" i="10"/>
  <c r="D6610" i="10"/>
  <c r="D6609" i="10"/>
  <c r="D6608" i="10"/>
  <c r="D6607" i="10"/>
  <c r="D6606" i="10"/>
  <c r="D6605" i="10"/>
  <c r="D6604" i="10"/>
  <c r="D6603" i="10"/>
  <c r="D6602" i="10"/>
  <c r="D6601" i="10"/>
  <c r="D6600" i="10"/>
  <c r="D6599" i="10"/>
  <c r="D6598" i="10"/>
  <c r="D6597" i="10"/>
  <c r="D6596" i="10"/>
  <c r="D6595" i="10"/>
  <c r="D6594" i="10"/>
  <c r="D6593" i="10"/>
  <c r="D6592" i="10"/>
  <c r="D6591" i="10"/>
  <c r="D6590" i="10"/>
  <c r="D6589" i="10"/>
  <c r="D6588" i="10"/>
  <c r="D6587" i="10"/>
  <c r="D6586" i="10"/>
  <c r="D6585" i="10"/>
  <c r="D6584" i="10"/>
  <c r="D6583" i="10"/>
  <c r="D6582" i="10"/>
  <c r="D6581" i="10"/>
  <c r="D6580" i="10"/>
  <c r="D6579" i="10"/>
  <c r="D6578" i="10"/>
  <c r="D6577" i="10"/>
  <c r="D6576" i="10"/>
  <c r="D6575" i="10"/>
  <c r="D6574" i="10"/>
  <c r="D6573" i="10"/>
  <c r="D6572" i="10"/>
  <c r="D6571" i="10"/>
  <c r="D6570" i="10"/>
  <c r="D6569" i="10"/>
  <c r="D6568" i="10"/>
  <c r="D6567" i="10"/>
  <c r="D6566" i="10"/>
  <c r="D6565" i="10"/>
  <c r="D6564" i="10"/>
  <c r="D6563" i="10"/>
  <c r="D6562" i="10"/>
  <c r="D6561" i="10"/>
  <c r="D6560" i="10"/>
  <c r="D6559" i="10"/>
  <c r="D6558" i="10"/>
  <c r="D6557" i="10"/>
  <c r="D6556" i="10"/>
  <c r="D6555" i="10"/>
  <c r="D6554" i="10"/>
  <c r="D6553" i="10"/>
  <c r="D6552" i="10"/>
  <c r="D6551" i="10"/>
  <c r="D6550" i="10"/>
  <c r="D6549" i="10"/>
  <c r="D6548" i="10"/>
  <c r="D6547" i="10"/>
  <c r="D6546" i="10"/>
  <c r="D6545" i="10"/>
  <c r="D6544" i="10"/>
  <c r="D6543" i="10"/>
  <c r="D6542" i="10"/>
  <c r="D6541" i="10"/>
  <c r="D6540" i="10"/>
  <c r="D6539" i="10"/>
  <c r="D6538" i="10"/>
  <c r="D6537" i="10"/>
  <c r="D6536" i="10"/>
  <c r="D6535" i="10"/>
  <c r="D6534" i="10"/>
  <c r="D6533" i="10"/>
  <c r="D6532" i="10"/>
  <c r="D6531" i="10"/>
  <c r="D6530" i="10"/>
  <c r="D6529" i="10"/>
  <c r="D6528" i="10"/>
  <c r="D6527" i="10"/>
  <c r="D6526" i="10"/>
  <c r="D6525" i="10"/>
  <c r="D6524" i="10"/>
  <c r="D6523" i="10"/>
  <c r="D6522" i="10"/>
  <c r="D6521" i="10"/>
  <c r="D6520" i="10"/>
  <c r="D6519" i="10"/>
  <c r="D6518" i="10"/>
  <c r="D6517" i="10"/>
  <c r="D6516" i="10"/>
  <c r="D6515" i="10"/>
  <c r="D6514" i="10"/>
  <c r="D6513" i="10"/>
  <c r="D6512" i="10"/>
  <c r="D6511" i="10"/>
  <c r="D6510" i="10"/>
  <c r="D6509" i="10"/>
  <c r="D6508" i="10"/>
  <c r="D6507" i="10"/>
  <c r="D6506" i="10"/>
  <c r="D6505" i="10"/>
  <c r="D6504" i="10"/>
  <c r="D6503" i="10"/>
  <c r="D6502" i="10"/>
  <c r="D6501" i="10"/>
  <c r="D6500" i="10"/>
  <c r="D6499" i="10"/>
  <c r="D6498" i="10"/>
  <c r="D6497" i="10"/>
  <c r="D6496" i="10"/>
  <c r="D6495" i="10"/>
  <c r="D6494" i="10"/>
  <c r="D6493" i="10"/>
  <c r="D6492" i="10"/>
  <c r="D6491" i="10"/>
  <c r="D6490" i="10"/>
  <c r="D6489" i="10"/>
  <c r="D6488" i="10"/>
  <c r="D6487" i="10"/>
  <c r="D6486" i="10"/>
  <c r="D6485" i="10"/>
  <c r="D6484" i="10"/>
  <c r="D6483" i="10"/>
  <c r="D6482" i="10"/>
  <c r="D6481" i="10"/>
  <c r="D6480" i="10"/>
  <c r="D6479" i="10"/>
  <c r="D6478" i="10"/>
  <c r="D6477" i="10"/>
  <c r="D6476" i="10"/>
  <c r="D6475" i="10"/>
  <c r="D6474" i="10"/>
  <c r="D6473" i="10"/>
  <c r="D6472" i="10"/>
  <c r="D6471" i="10"/>
  <c r="D6470" i="10"/>
  <c r="D6469" i="10"/>
  <c r="D6468" i="10"/>
  <c r="D6467" i="10"/>
  <c r="D6466" i="10"/>
  <c r="D6465" i="10"/>
  <c r="D6464" i="10"/>
  <c r="D6463" i="10"/>
  <c r="D6462" i="10"/>
  <c r="D6461" i="10"/>
  <c r="D6460" i="10"/>
  <c r="D6459" i="10"/>
  <c r="D6458" i="10"/>
  <c r="D6457" i="10"/>
  <c r="D6456" i="10"/>
  <c r="D6455" i="10"/>
  <c r="D6454" i="10"/>
  <c r="D6453" i="10"/>
  <c r="D6452" i="10"/>
  <c r="D6451" i="10"/>
  <c r="D6450" i="10"/>
  <c r="D6449" i="10"/>
  <c r="D6448" i="10"/>
  <c r="D6447" i="10"/>
  <c r="D6446" i="10"/>
  <c r="D6445" i="10"/>
  <c r="D6444" i="10"/>
  <c r="D6443" i="10"/>
  <c r="D6442" i="10"/>
  <c r="D6441" i="10"/>
  <c r="D6440" i="10"/>
  <c r="D6439" i="10"/>
  <c r="D6438" i="10"/>
  <c r="D6437" i="10"/>
  <c r="D6436" i="10"/>
  <c r="D6435" i="10"/>
  <c r="D6434" i="10"/>
  <c r="D6433" i="10"/>
  <c r="D6432" i="10"/>
  <c r="D6431" i="10"/>
  <c r="D6430" i="10"/>
  <c r="D6429" i="10"/>
  <c r="D6428" i="10"/>
  <c r="D6427" i="10"/>
  <c r="D6426" i="10"/>
  <c r="D6425" i="10"/>
  <c r="D6424" i="10"/>
  <c r="D6423" i="10"/>
  <c r="D6422" i="10"/>
  <c r="D6421" i="10"/>
  <c r="D6420" i="10"/>
  <c r="D6419" i="10"/>
  <c r="D6418" i="10"/>
  <c r="D6417" i="10"/>
  <c r="D6416" i="10"/>
  <c r="D6415" i="10"/>
  <c r="D6414" i="10"/>
  <c r="D6413" i="10"/>
  <c r="D6412" i="10"/>
  <c r="D6411" i="10"/>
  <c r="D6410" i="10"/>
  <c r="D6409" i="10"/>
  <c r="D6408" i="10"/>
  <c r="D6407" i="10"/>
  <c r="D6406" i="10"/>
  <c r="D6405" i="10"/>
  <c r="D6404" i="10"/>
  <c r="D6403" i="10"/>
  <c r="D6402" i="10"/>
  <c r="D6401" i="10"/>
  <c r="D6400" i="10"/>
  <c r="D6399" i="10"/>
  <c r="D6398" i="10"/>
  <c r="D6397" i="10"/>
  <c r="D6396" i="10"/>
  <c r="D6395" i="10"/>
  <c r="D6394" i="10"/>
  <c r="D6393" i="10"/>
  <c r="D6392" i="10"/>
  <c r="D6391" i="10"/>
  <c r="D6390" i="10"/>
  <c r="D6389" i="10"/>
  <c r="D6388" i="10"/>
  <c r="D6387" i="10"/>
  <c r="D6386" i="10"/>
  <c r="D6385" i="10"/>
  <c r="D6384" i="10"/>
  <c r="D6383" i="10"/>
  <c r="D6382" i="10"/>
  <c r="D6381" i="10"/>
  <c r="D6380" i="10"/>
  <c r="D6379" i="10"/>
  <c r="D6378" i="10"/>
  <c r="D6377" i="10"/>
  <c r="D6376" i="10"/>
  <c r="D6375" i="10"/>
  <c r="D6374" i="10"/>
  <c r="D6373" i="10"/>
  <c r="D6372" i="10"/>
  <c r="D6371" i="10"/>
  <c r="D6370" i="10"/>
  <c r="D6369" i="10"/>
  <c r="D6368" i="10"/>
  <c r="D6367" i="10"/>
  <c r="D6366" i="10"/>
  <c r="D6365" i="10"/>
  <c r="D6364" i="10"/>
  <c r="D6363" i="10"/>
  <c r="D6362" i="10"/>
  <c r="D6361" i="10"/>
  <c r="D6360" i="10"/>
  <c r="D6359" i="10"/>
  <c r="D6358" i="10"/>
  <c r="D6357" i="10"/>
  <c r="D6356" i="10"/>
  <c r="D6355" i="10"/>
  <c r="D6354" i="10"/>
  <c r="D6353" i="10"/>
  <c r="D6352" i="10"/>
  <c r="D6351" i="10"/>
  <c r="D6350" i="10"/>
  <c r="D6349" i="10"/>
  <c r="D6348" i="10"/>
  <c r="D6347" i="10"/>
  <c r="D6346" i="10"/>
  <c r="D6345" i="10"/>
  <c r="D6344" i="10"/>
  <c r="D6343" i="10"/>
  <c r="D6342" i="10"/>
  <c r="D6341" i="10"/>
  <c r="D6340" i="10"/>
  <c r="D6339" i="10"/>
  <c r="D6338" i="10"/>
  <c r="D6337" i="10"/>
  <c r="D6336" i="10"/>
  <c r="D6335" i="10"/>
  <c r="D6334" i="10"/>
  <c r="D6333" i="10"/>
  <c r="D6332" i="10"/>
  <c r="D6331" i="10"/>
  <c r="D6330" i="10"/>
  <c r="D6329" i="10"/>
  <c r="D6328" i="10"/>
  <c r="D6327" i="10"/>
  <c r="D6326" i="10"/>
  <c r="D6325" i="10"/>
  <c r="D6324" i="10"/>
  <c r="D6323" i="10"/>
  <c r="D6322" i="10"/>
  <c r="D6321" i="10"/>
  <c r="D6320" i="10"/>
  <c r="D6319" i="10"/>
  <c r="D6318" i="10"/>
  <c r="D6317" i="10"/>
  <c r="D6316" i="10"/>
  <c r="D6315" i="10"/>
  <c r="D6314" i="10"/>
  <c r="D6313" i="10"/>
  <c r="D6312" i="10"/>
  <c r="D6311" i="10"/>
  <c r="D6310" i="10"/>
  <c r="D6309" i="10"/>
  <c r="D6308" i="10"/>
  <c r="D6307" i="10"/>
  <c r="D6306" i="10"/>
  <c r="D6305" i="10"/>
  <c r="D6304" i="10"/>
  <c r="D6303" i="10"/>
  <c r="D6302" i="10"/>
  <c r="D6301" i="10"/>
  <c r="D6300" i="10"/>
  <c r="D6299" i="10"/>
  <c r="D6298" i="10"/>
  <c r="D6297" i="10"/>
  <c r="D6296" i="10"/>
  <c r="D6295" i="10"/>
  <c r="D6294" i="10"/>
  <c r="D6293" i="10"/>
  <c r="D6292" i="10"/>
  <c r="D6291" i="10"/>
  <c r="D6290" i="10"/>
  <c r="D6289" i="10"/>
  <c r="D6288" i="10"/>
  <c r="D6287" i="10"/>
  <c r="D6286" i="10"/>
  <c r="D6285" i="10"/>
  <c r="D6284" i="10"/>
  <c r="D6283" i="10"/>
  <c r="D6282" i="10"/>
  <c r="D6281" i="10"/>
  <c r="D6280" i="10"/>
  <c r="D6279" i="10"/>
  <c r="D6278" i="10"/>
  <c r="D6277" i="10"/>
  <c r="D6276" i="10"/>
  <c r="D6275" i="10"/>
  <c r="D6274" i="10"/>
  <c r="D6273" i="10"/>
  <c r="D6272" i="10"/>
  <c r="D6271" i="10"/>
  <c r="D6270" i="10"/>
  <c r="D6269" i="10"/>
  <c r="D6268" i="10"/>
  <c r="D6267" i="10"/>
  <c r="D6266" i="10"/>
  <c r="D6265" i="10"/>
  <c r="D6264" i="10"/>
  <c r="D6263" i="10"/>
  <c r="D6262" i="10"/>
  <c r="D6261" i="10"/>
  <c r="D6260" i="10"/>
  <c r="D6259" i="10"/>
  <c r="D6258" i="10"/>
  <c r="D6257" i="10"/>
  <c r="D6256" i="10"/>
  <c r="D6255" i="10"/>
  <c r="D6254" i="10"/>
  <c r="D6253" i="10"/>
  <c r="D6252" i="10"/>
  <c r="D6251" i="10"/>
  <c r="D6250" i="10"/>
  <c r="D6249" i="10"/>
  <c r="D6248" i="10"/>
  <c r="D6247" i="10"/>
  <c r="D6246" i="10"/>
  <c r="D6245" i="10"/>
  <c r="D6244" i="10"/>
  <c r="D6243" i="10"/>
  <c r="D6242" i="10"/>
  <c r="D6241" i="10"/>
  <c r="D6240" i="10"/>
  <c r="D6239" i="10"/>
  <c r="D6238" i="10"/>
  <c r="D6237" i="10"/>
  <c r="D6236" i="10"/>
  <c r="D6235" i="10"/>
  <c r="D6234" i="10"/>
  <c r="D6233" i="10"/>
  <c r="D6232" i="10"/>
  <c r="D6231" i="10"/>
  <c r="D6230" i="10"/>
  <c r="D6229" i="10"/>
  <c r="D6228" i="10"/>
  <c r="D6227" i="10"/>
  <c r="D6226" i="10"/>
  <c r="D6225" i="10"/>
  <c r="D6224" i="10"/>
  <c r="D6223" i="10"/>
  <c r="D6222" i="10"/>
  <c r="D6221" i="10"/>
  <c r="D6220" i="10"/>
  <c r="D6219" i="10"/>
  <c r="D6218" i="10"/>
  <c r="D6217" i="10"/>
  <c r="D6216" i="10"/>
  <c r="D6215" i="10"/>
  <c r="D6214" i="10"/>
  <c r="D6213" i="10"/>
  <c r="D6212" i="10"/>
  <c r="D6211" i="10"/>
  <c r="D6210" i="10"/>
  <c r="D6209" i="10"/>
  <c r="D6208" i="10"/>
  <c r="D6207" i="10"/>
  <c r="D6206" i="10"/>
  <c r="D6205" i="10"/>
  <c r="D6204" i="10"/>
  <c r="D6203" i="10"/>
  <c r="D6202" i="10"/>
  <c r="D6201" i="10"/>
  <c r="D6200" i="10"/>
  <c r="D6199" i="10"/>
  <c r="D6198" i="10"/>
  <c r="D6197" i="10"/>
  <c r="D6196" i="10"/>
  <c r="D6195" i="10"/>
  <c r="D6194" i="10"/>
  <c r="D6193" i="10"/>
  <c r="D6192" i="10"/>
  <c r="D6191" i="10"/>
  <c r="D6190" i="10"/>
  <c r="D6189" i="10"/>
  <c r="D6188" i="10"/>
  <c r="D6187" i="10"/>
  <c r="D6186" i="10"/>
  <c r="D6185" i="10"/>
  <c r="D6184" i="10"/>
  <c r="D6183" i="10"/>
  <c r="D6182" i="10"/>
  <c r="D6181" i="10"/>
  <c r="D6180" i="10"/>
  <c r="D6179" i="10"/>
  <c r="D6178" i="10"/>
  <c r="D6177" i="10"/>
  <c r="D6176" i="10"/>
  <c r="D6175" i="10"/>
  <c r="D6174" i="10"/>
  <c r="D6173" i="10"/>
  <c r="D6172" i="10"/>
  <c r="D6171" i="10"/>
  <c r="D6170" i="10"/>
  <c r="D6169" i="10"/>
  <c r="D6168" i="10"/>
  <c r="D6167" i="10"/>
  <c r="D6166" i="10"/>
  <c r="D6165" i="10"/>
  <c r="D6164" i="10"/>
  <c r="D6163" i="10"/>
  <c r="D6162" i="10"/>
  <c r="D6161" i="10"/>
  <c r="D6160" i="10"/>
  <c r="D6159" i="10"/>
  <c r="D6158" i="10"/>
  <c r="D6157" i="10"/>
  <c r="D6156" i="10"/>
  <c r="D6155" i="10"/>
  <c r="D6154" i="10"/>
  <c r="D6153" i="10"/>
  <c r="D6152" i="10"/>
  <c r="D6151" i="10"/>
  <c r="D6150" i="10"/>
  <c r="D6149" i="10"/>
  <c r="D6148" i="10"/>
  <c r="D6147" i="10"/>
  <c r="D6146" i="10"/>
  <c r="D6145" i="10"/>
  <c r="D6144" i="10"/>
  <c r="D6143" i="10"/>
  <c r="D6142" i="10"/>
  <c r="D6141" i="10"/>
  <c r="D6140" i="10"/>
  <c r="D6139" i="10"/>
  <c r="D6138" i="10"/>
  <c r="D6137" i="10"/>
  <c r="D6136" i="10"/>
  <c r="D6135" i="10"/>
  <c r="D6134" i="10"/>
  <c r="D6133" i="10"/>
  <c r="D6132" i="10"/>
  <c r="D6131" i="10"/>
  <c r="D6130" i="10"/>
  <c r="D6129" i="10"/>
  <c r="D6128" i="10"/>
  <c r="D6127" i="10"/>
  <c r="D6126" i="10"/>
  <c r="D6125" i="10"/>
  <c r="D6124" i="10"/>
  <c r="D6123" i="10"/>
  <c r="D6122" i="10"/>
  <c r="D6121" i="10"/>
  <c r="D6120" i="10"/>
  <c r="D6119" i="10"/>
  <c r="D6118" i="10"/>
  <c r="D6117" i="10"/>
  <c r="D6116" i="10"/>
  <c r="D6115" i="10"/>
  <c r="D6114" i="10"/>
  <c r="D6113" i="10"/>
  <c r="D6112" i="10"/>
  <c r="D6111" i="10"/>
  <c r="D6110" i="10"/>
  <c r="D6109" i="10"/>
  <c r="D6108" i="10"/>
  <c r="D6107" i="10"/>
  <c r="D6106" i="10"/>
  <c r="D6105" i="10"/>
  <c r="D6104" i="10"/>
  <c r="D6103" i="10"/>
  <c r="D6102" i="10"/>
  <c r="D6101" i="10"/>
  <c r="D6100" i="10"/>
  <c r="D6099" i="10"/>
  <c r="D6098" i="10"/>
  <c r="D6097" i="10"/>
  <c r="D6096" i="10"/>
  <c r="D6095" i="10"/>
  <c r="D6094" i="10"/>
  <c r="D6093" i="10"/>
  <c r="D6092" i="10"/>
  <c r="D6091" i="10"/>
  <c r="D6090" i="10"/>
  <c r="D6089" i="10"/>
  <c r="D6088" i="10"/>
  <c r="D6087" i="10"/>
  <c r="D6086" i="10"/>
  <c r="D6085" i="10"/>
  <c r="D6084" i="10"/>
  <c r="D6083" i="10"/>
  <c r="D6082" i="10"/>
  <c r="D6081" i="10"/>
  <c r="D6080" i="10"/>
  <c r="D6079" i="10"/>
  <c r="D6078" i="10"/>
  <c r="D6077" i="10"/>
  <c r="D6076" i="10"/>
  <c r="D6075" i="10"/>
  <c r="D6074" i="10"/>
  <c r="D6073" i="10"/>
  <c r="D6072" i="10"/>
  <c r="D6071" i="10"/>
  <c r="D6070" i="10"/>
  <c r="D6069" i="10"/>
  <c r="D6068" i="10"/>
  <c r="D6067" i="10"/>
  <c r="D6066" i="10"/>
  <c r="D6065" i="10"/>
  <c r="D6064" i="10"/>
  <c r="D6063" i="10"/>
  <c r="D6062" i="10"/>
  <c r="D6061" i="10"/>
  <c r="D6060" i="10"/>
  <c r="D6059" i="10"/>
  <c r="D6058" i="10"/>
  <c r="D6057" i="10"/>
  <c r="D6056" i="10"/>
  <c r="D6055" i="10"/>
  <c r="D6054" i="10"/>
  <c r="D6053" i="10"/>
  <c r="D6052" i="10"/>
  <c r="D6051" i="10"/>
  <c r="D6050" i="10"/>
  <c r="D6049" i="10"/>
  <c r="D6048" i="10"/>
  <c r="D6047" i="10"/>
  <c r="D6046" i="10"/>
  <c r="D6045" i="10"/>
  <c r="D6044" i="10"/>
  <c r="D6043" i="10"/>
  <c r="D6042" i="10"/>
  <c r="D6041" i="10"/>
  <c r="D6040" i="10"/>
  <c r="D6039" i="10"/>
  <c r="D6038" i="10"/>
  <c r="D6037" i="10"/>
  <c r="D6036" i="10"/>
  <c r="D6035" i="10"/>
  <c r="D6034" i="10"/>
  <c r="D6033" i="10"/>
  <c r="D6032" i="10"/>
  <c r="D6031" i="10"/>
  <c r="D6030" i="10"/>
  <c r="D6029" i="10"/>
  <c r="D6028" i="10"/>
  <c r="D6027" i="10"/>
  <c r="D6026" i="10"/>
  <c r="D6025" i="10"/>
  <c r="D6024" i="10"/>
  <c r="D6023" i="10"/>
  <c r="D6022" i="10"/>
  <c r="D6021" i="10"/>
  <c r="D6020" i="10"/>
  <c r="D6019" i="10"/>
  <c r="D6018" i="10"/>
  <c r="D6017" i="10"/>
  <c r="D6016" i="10"/>
  <c r="D6015" i="10"/>
  <c r="D6014" i="10"/>
  <c r="D6013" i="10"/>
  <c r="D6012" i="10"/>
  <c r="D6011" i="10"/>
  <c r="D6010" i="10"/>
  <c r="D6009" i="10"/>
  <c r="D6008" i="10"/>
  <c r="D6007" i="10"/>
  <c r="D6006" i="10"/>
  <c r="D6005" i="10"/>
  <c r="D6004" i="10"/>
  <c r="D6003" i="10"/>
  <c r="D6002" i="10"/>
  <c r="D6001" i="10"/>
  <c r="D6000" i="10"/>
  <c r="D5999" i="10"/>
  <c r="D5998" i="10"/>
  <c r="D5997" i="10"/>
  <c r="D5996" i="10"/>
  <c r="D5995" i="10"/>
  <c r="D5994" i="10"/>
  <c r="D5993" i="10"/>
  <c r="D5992" i="10"/>
  <c r="D5991" i="10"/>
  <c r="D5990" i="10"/>
  <c r="D5989" i="10"/>
  <c r="D5988" i="10"/>
  <c r="D5987" i="10"/>
  <c r="D5986" i="10"/>
  <c r="D5985" i="10"/>
  <c r="D5984" i="10"/>
  <c r="D5983" i="10"/>
  <c r="D5982" i="10"/>
  <c r="D5981" i="10"/>
  <c r="D5980" i="10"/>
  <c r="D5979" i="10"/>
  <c r="D5978" i="10"/>
  <c r="D5977" i="10"/>
  <c r="D5976" i="10"/>
  <c r="D5975" i="10"/>
  <c r="D5974" i="10"/>
  <c r="D5973" i="10"/>
  <c r="D5972" i="10"/>
  <c r="D5971" i="10"/>
  <c r="D5970" i="10"/>
  <c r="D5969" i="10"/>
  <c r="D5968" i="10"/>
  <c r="D5967" i="10"/>
  <c r="D5966" i="10"/>
  <c r="D5965" i="10"/>
  <c r="D5964" i="10"/>
  <c r="D5963" i="10"/>
  <c r="D5962" i="10"/>
  <c r="D5961" i="10"/>
  <c r="D5960" i="10"/>
  <c r="D5959" i="10"/>
  <c r="D5958" i="10"/>
  <c r="D5957" i="10"/>
  <c r="D5956" i="10"/>
  <c r="D5955" i="10"/>
  <c r="D5954" i="10"/>
  <c r="D5953" i="10"/>
  <c r="D5952" i="10"/>
  <c r="D5951" i="10"/>
  <c r="D5950" i="10"/>
  <c r="D5949" i="10"/>
  <c r="D5948" i="10"/>
  <c r="D5947" i="10"/>
  <c r="D5946" i="10"/>
  <c r="D5945" i="10"/>
  <c r="D5944" i="10"/>
  <c r="D5943" i="10"/>
  <c r="D5942" i="10"/>
  <c r="D5941" i="10"/>
  <c r="D5940" i="10"/>
  <c r="D5939" i="10"/>
  <c r="D5938" i="10"/>
  <c r="D5937" i="10"/>
  <c r="D5936" i="10"/>
  <c r="D5935" i="10"/>
  <c r="D5934" i="10"/>
  <c r="D5933" i="10"/>
  <c r="D5932" i="10"/>
  <c r="D5931" i="10"/>
  <c r="D5930" i="10"/>
  <c r="D5929" i="10"/>
  <c r="D5928" i="10"/>
  <c r="D5927" i="10"/>
  <c r="D5926" i="10"/>
  <c r="D5925" i="10"/>
  <c r="D5924" i="10"/>
  <c r="D5923" i="10"/>
  <c r="D5922" i="10"/>
  <c r="D5921" i="10"/>
  <c r="D5920" i="10"/>
  <c r="D5919" i="10"/>
  <c r="D5918" i="10"/>
  <c r="D5917" i="10"/>
  <c r="D5916" i="10"/>
  <c r="D5915" i="10"/>
  <c r="D5914" i="10"/>
  <c r="D5913" i="10"/>
  <c r="D5912" i="10"/>
  <c r="D5911" i="10"/>
  <c r="D5910" i="10"/>
  <c r="D5909" i="10"/>
  <c r="D5908" i="10"/>
  <c r="D5907" i="10"/>
  <c r="D5906" i="10"/>
  <c r="D5905" i="10"/>
  <c r="D5904" i="10"/>
  <c r="D5903" i="10"/>
  <c r="D5902" i="10"/>
  <c r="D5901" i="10"/>
  <c r="D5900" i="10"/>
  <c r="D5899" i="10"/>
  <c r="D5898" i="10"/>
  <c r="D5897" i="10"/>
  <c r="D5896" i="10"/>
  <c r="D5895" i="10"/>
  <c r="D5894" i="10"/>
  <c r="D5893" i="10"/>
  <c r="D5892" i="10"/>
  <c r="D5891" i="10"/>
  <c r="D5890" i="10"/>
  <c r="D5889" i="10"/>
  <c r="D5888" i="10"/>
  <c r="D5887" i="10"/>
  <c r="D5886" i="10"/>
  <c r="D5885" i="10"/>
  <c r="D5884" i="10"/>
  <c r="D5883" i="10"/>
  <c r="D5882" i="10"/>
  <c r="D5881" i="10"/>
  <c r="D5880" i="10"/>
  <c r="D5879" i="10"/>
  <c r="D5878" i="10"/>
  <c r="D5877" i="10"/>
  <c r="D5876" i="10"/>
  <c r="D5875" i="10"/>
  <c r="D5874" i="10"/>
  <c r="D5873" i="10"/>
  <c r="D5872" i="10"/>
  <c r="D5871" i="10"/>
  <c r="D5870" i="10"/>
  <c r="D5869" i="10"/>
  <c r="D5868" i="10"/>
  <c r="D5867" i="10"/>
  <c r="D5866" i="10"/>
  <c r="D5865" i="10"/>
  <c r="D5864" i="10"/>
  <c r="D5863" i="10"/>
  <c r="D5862" i="10"/>
  <c r="D5861" i="10"/>
  <c r="D5860" i="10"/>
  <c r="D5859" i="10"/>
  <c r="D5858" i="10"/>
  <c r="D5857" i="10"/>
  <c r="D5856" i="10"/>
  <c r="D5855" i="10"/>
  <c r="D5854" i="10"/>
  <c r="D5853" i="10"/>
  <c r="D5852" i="10"/>
  <c r="D5851" i="10"/>
  <c r="D5850" i="10"/>
  <c r="D5849" i="10"/>
  <c r="D5848" i="10"/>
  <c r="D5847" i="10"/>
  <c r="D5846" i="10"/>
  <c r="D5845" i="10"/>
  <c r="D5844" i="10"/>
  <c r="D5843" i="10"/>
  <c r="D5842" i="10"/>
  <c r="D5841" i="10"/>
  <c r="D5840" i="10"/>
  <c r="D5839" i="10"/>
  <c r="D5838" i="10"/>
  <c r="D5837" i="10"/>
  <c r="D5836" i="10"/>
  <c r="D5835" i="10"/>
  <c r="D5834" i="10"/>
  <c r="D5833" i="10"/>
  <c r="D5832" i="10"/>
  <c r="D5831" i="10"/>
  <c r="D5830" i="10"/>
  <c r="D5829" i="10"/>
  <c r="D5828" i="10"/>
  <c r="D5827" i="10"/>
  <c r="D5826" i="10"/>
  <c r="D5825" i="10"/>
  <c r="D5824" i="10"/>
  <c r="D5823" i="10"/>
  <c r="D5822" i="10"/>
  <c r="D5821" i="10"/>
  <c r="D5820" i="10"/>
  <c r="D5819" i="10"/>
  <c r="D5818" i="10"/>
  <c r="D5817" i="10"/>
  <c r="D5816" i="10"/>
  <c r="D5815" i="10"/>
  <c r="D5814" i="10"/>
  <c r="D5813" i="10"/>
  <c r="D5812" i="10"/>
  <c r="D5811" i="10"/>
  <c r="D5810" i="10"/>
  <c r="D5809" i="10"/>
  <c r="D5808" i="10"/>
  <c r="D5807" i="10"/>
  <c r="D5806" i="10"/>
  <c r="D5805" i="10"/>
  <c r="D5804" i="10"/>
  <c r="D5803" i="10"/>
  <c r="D5802" i="10"/>
  <c r="D5801" i="10"/>
  <c r="D5800" i="10"/>
  <c r="D5799" i="10"/>
  <c r="D5798" i="10"/>
  <c r="D5797" i="10"/>
  <c r="D5796" i="10"/>
  <c r="D5795" i="10"/>
  <c r="D5794" i="10"/>
  <c r="D5793" i="10"/>
  <c r="D5792" i="10"/>
  <c r="D5791" i="10"/>
  <c r="D5790" i="10"/>
  <c r="D5789" i="10"/>
  <c r="D5788" i="10"/>
  <c r="D5787" i="10"/>
  <c r="D5786" i="10"/>
  <c r="D5785" i="10"/>
  <c r="D5784" i="10"/>
  <c r="D5783" i="10"/>
  <c r="D5782" i="10"/>
  <c r="D5781" i="10"/>
  <c r="D5780" i="10"/>
  <c r="D5779" i="10"/>
  <c r="D5778" i="10"/>
  <c r="D5777" i="10"/>
  <c r="D5776" i="10"/>
  <c r="D5775" i="10"/>
  <c r="D5774" i="10"/>
  <c r="D5773" i="10"/>
  <c r="D5772" i="10"/>
  <c r="D5771" i="10"/>
  <c r="D5770" i="10"/>
  <c r="D5769" i="10"/>
  <c r="D5768" i="10"/>
  <c r="D5767" i="10"/>
  <c r="D5766" i="10"/>
  <c r="D5765" i="10"/>
  <c r="D5764" i="10"/>
  <c r="D5763" i="10"/>
  <c r="D5762" i="10"/>
  <c r="D5761" i="10"/>
  <c r="D5760" i="10"/>
  <c r="D5759" i="10"/>
  <c r="D5758" i="10"/>
  <c r="D5757" i="10"/>
  <c r="D5756" i="10"/>
  <c r="D5755" i="10"/>
  <c r="D5754" i="10"/>
  <c r="D5753" i="10"/>
  <c r="D5752" i="10"/>
  <c r="D5751" i="10"/>
  <c r="D5750" i="10"/>
  <c r="D5749" i="10"/>
  <c r="D5748" i="10"/>
  <c r="D5747" i="10"/>
  <c r="D5746" i="10"/>
  <c r="D5745" i="10"/>
  <c r="D5744" i="10"/>
  <c r="D5743" i="10"/>
  <c r="D5742" i="10"/>
  <c r="D5741" i="10"/>
  <c r="D5740" i="10"/>
  <c r="D5739" i="10"/>
  <c r="D5738" i="10"/>
  <c r="D5737" i="10"/>
  <c r="D5736" i="10"/>
  <c r="D5735" i="10"/>
  <c r="D5734" i="10"/>
  <c r="D5733" i="10"/>
  <c r="D5732" i="10"/>
  <c r="D5731" i="10"/>
  <c r="D5730" i="10"/>
  <c r="D5729" i="10"/>
  <c r="D5728" i="10"/>
  <c r="D5727" i="10"/>
  <c r="D5726" i="10"/>
  <c r="D5725" i="10"/>
  <c r="D5724" i="10"/>
  <c r="D5723" i="10"/>
  <c r="D5722" i="10"/>
  <c r="D5721" i="10"/>
  <c r="D5720" i="10"/>
  <c r="D5719" i="10"/>
  <c r="D5718" i="10"/>
  <c r="D5717" i="10"/>
  <c r="D5716" i="10"/>
  <c r="D5715" i="10"/>
  <c r="D5714" i="10"/>
  <c r="D5713" i="10"/>
  <c r="D5712" i="10"/>
  <c r="D5711" i="10"/>
  <c r="D5710" i="10"/>
  <c r="D5709" i="10"/>
  <c r="D5708" i="10"/>
  <c r="D5707" i="10"/>
  <c r="D5706" i="10"/>
  <c r="D5705" i="10"/>
  <c r="D5704" i="10"/>
  <c r="D5703" i="10"/>
  <c r="D5702" i="10"/>
  <c r="D5701" i="10"/>
  <c r="D5700" i="10"/>
  <c r="D5699" i="10"/>
  <c r="D5698" i="10"/>
  <c r="D5697" i="10"/>
  <c r="D5696" i="10"/>
  <c r="D5695" i="10"/>
  <c r="D5694" i="10"/>
  <c r="D5693" i="10"/>
  <c r="D5692" i="10"/>
  <c r="D5691" i="10"/>
  <c r="D5690" i="10"/>
  <c r="D5689" i="10"/>
  <c r="D5688" i="10"/>
  <c r="D5687" i="10"/>
  <c r="D5686" i="10"/>
  <c r="D5685" i="10"/>
  <c r="D5684" i="10"/>
  <c r="D5683" i="10"/>
  <c r="D5682" i="10"/>
  <c r="D5681" i="10"/>
  <c r="D5680" i="10"/>
  <c r="D5679" i="10"/>
  <c r="D5678" i="10"/>
  <c r="D5677" i="10"/>
  <c r="D5676" i="10"/>
  <c r="D5675" i="10"/>
  <c r="D5674" i="10"/>
  <c r="D5673" i="10"/>
  <c r="D5672" i="10"/>
  <c r="D5671" i="10"/>
  <c r="D5670" i="10"/>
  <c r="D5669" i="10"/>
  <c r="D5668" i="10"/>
  <c r="D5667" i="10"/>
  <c r="D5666" i="10"/>
  <c r="D5665" i="10"/>
  <c r="D5664" i="10"/>
  <c r="D5663" i="10"/>
  <c r="D5662" i="10"/>
  <c r="D5661" i="10"/>
  <c r="D5660" i="10"/>
  <c r="D5659" i="10"/>
  <c r="D5658" i="10"/>
  <c r="D5657" i="10"/>
  <c r="D5656" i="10"/>
  <c r="D5655" i="10"/>
  <c r="D5654" i="10"/>
  <c r="D5653" i="10"/>
  <c r="D5652" i="10"/>
  <c r="D5651" i="10"/>
  <c r="D5650" i="10"/>
  <c r="D5649" i="10"/>
  <c r="D5648" i="10"/>
  <c r="D5647" i="10"/>
  <c r="D5646" i="10"/>
  <c r="D5645" i="10"/>
  <c r="D5644" i="10"/>
  <c r="D5643" i="10"/>
  <c r="D5642" i="10"/>
  <c r="D5641" i="10"/>
  <c r="D5640" i="10"/>
  <c r="D5639" i="10"/>
  <c r="D5638" i="10"/>
  <c r="D5637" i="10"/>
  <c r="D5636" i="10"/>
  <c r="D5635" i="10"/>
  <c r="D5634" i="10"/>
  <c r="D5633" i="10"/>
  <c r="D5632" i="10"/>
  <c r="D5631" i="10"/>
  <c r="D5630" i="10"/>
  <c r="D5629" i="10"/>
  <c r="D5628" i="10"/>
  <c r="D5627" i="10"/>
  <c r="D5626" i="10"/>
  <c r="D5625" i="10"/>
  <c r="D5624" i="10"/>
  <c r="D5623" i="10"/>
  <c r="D5622" i="10"/>
  <c r="D5621" i="10"/>
  <c r="D5620" i="10"/>
  <c r="D5619" i="10"/>
  <c r="D5618" i="10"/>
  <c r="D5617" i="10"/>
  <c r="D5616" i="10"/>
  <c r="D5615" i="10"/>
  <c r="D5614" i="10"/>
  <c r="D5613" i="10"/>
  <c r="D5612" i="10"/>
  <c r="D5611" i="10"/>
  <c r="D5610" i="10"/>
  <c r="D5609" i="10"/>
  <c r="D5608" i="10"/>
  <c r="D5607" i="10"/>
  <c r="D5606" i="10"/>
  <c r="D5605" i="10"/>
  <c r="D5604" i="10"/>
  <c r="D5603" i="10"/>
  <c r="D5602" i="10"/>
  <c r="D5601" i="10"/>
  <c r="D5600" i="10"/>
  <c r="D5599" i="10"/>
  <c r="D5598" i="10"/>
  <c r="D5597" i="10"/>
  <c r="D5596" i="10"/>
  <c r="D5595" i="10"/>
  <c r="D5594" i="10"/>
  <c r="D5593" i="10"/>
  <c r="D5592" i="10"/>
  <c r="D5591" i="10"/>
  <c r="D5590" i="10"/>
  <c r="D5589" i="10"/>
  <c r="D5588" i="10"/>
  <c r="D5587" i="10"/>
  <c r="D5586" i="10"/>
  <c r="D5585" i="10"/>
  <c r="D5584" i="10"/>
  <c r="D5583" i="10"/>
  <c r="D5582" i="10"/>
  <c r="D5581" i="10"/>
  <c r="D5580" i="10"/>
  <c r="D5579" i="10"/>
  <c r="D5578" i="10"/>
  <c r="D5577" i="10"/>
  <c r="D5576" i="10"/>
  <c r="D5575" i="10"/>
  <c r="D5574" i="10"/>
  <c r="D5573" i="10"/>
  <c r="D5572" i="10"/>
  <c r="D5571" i="10"/>
  <c r="D5570" i="10"/>
  <c r="D5569" i="10"/>
  <c r="D5568" i="10"/>
  <c r="D5567" i="10"/>
  <c r="D5566" i="10"/>
  <c r="D5565" i="10"/>
  <c r="D5564" i="10"/>
  <c r="D5563" i="10"/>
  <c r="D5562" i="10"/>
  <c r="D5561" i="10"/>
  <c r="D5560" i="10"/>
  <c r="D5559" i="10"/>
  <c r="D5558" i="10"/>
  <c r="D5557" i="10"/>
  <c r="D5556" i="10"/>
  <c r="D5555" i="10"/>
  <c r="D5554" i="10"/>
  <c r="D5553" i="10"/>
  <c r="D5552" i="10"/>
  <c r="D5551" i="10"/>
  <c r="D5550" i="10"/>
  <c r="D5549" i="10"/>
  <c r="D5548" i="10"/>
  <c r="D5547" i="10"/>
  <c r="D5546" i="10"/>
  <c r="D5545" i="10"/>
  <c r="D5544" i="10"/>
  <c r="D5543" i="10"/>
  <c r="D5542" i="10"/>
  <c r="D5541" i="10"/>
  <c r="D5540" i="10"/>
  <c r="D5539" i="10"/>
  <c r="D5538" i="10"/>
  <c r="D5537" i="10"/>
  <c r="D5536" i="10"/>
  <c r="D5535" i="10"/>
  <c r="D5534" i="10"/>
  <c r="D5533" i="10"/>
  <c r="D5532" i="10"/>
  <c r="D5531" i="10"/>
  <c r="D5530" i="10"/>
  <c r="D5529" i="10"/>
  <c r="D5528" i="10"/>
  <c r="D5527" i="10"/>
  <c r="D5526" i="10"/>
  <c r="D5525" i="10"/>
  <c r="D5524" i="10"/>
  <c r="D5523" i="10"/>
  <c r="D5522" i="10"/>
  <c r="D5521" i="10"/>
  <c r="D5520" i="10"/>
  <c r="D5519" i="10"/>
  <c r="D5518" i="10"/>
  <c r="D5517" i="10"/>
  <c r="D5516" i="10"/>
  <c r="D5515" i="10"/>
  <c r="D5514" i="10"/>
  <c r="D5513" i="10"/>
  <c r="D5512" i="10"/>
  <c r="D5511" i="10"/>
  <c r="D5510" i="10"/>
  <c r="D5509" i="10"/>
  <c r="D5508" i="10"/>
  <c r="D5507" i="10"/>
  <c r="D5506" i="10"/>
  <c r="D5505" i="10"/>
  <c r="D5504" i="10"/>
  <c r="D5503" i="10"/>
  <c r="D5502" i="10"/>
  <c r="D5501" i="10"/>
  <c r="D5500" i="10"/>
  <c r="D5499" i="10"/>
  <c r="D5498" i="10"/>
  <c r="D5497" i="10"/>
  <c r="D5496" i="10"/>
  <c r="D5495" i="10"/>
  <c r="D5494" i="10"/>
  <c r="D5493" i="10"/>
  <c r="D5492" i="10"/>
  <c r="D5491" i="10"/>
  <c r="D5490" i="10"/>
  <c r="D5489" i="10"/>
  <c r="D5488" i="10"/>
  <c r="D5487" i="10"/>
  <c r="D5486" i="10"/>
  <c r="D5485" i="10"/>
  <c r="D5484" i="10"/>
  <c r="D5483" i="10"/>
  <c r="D5482" i="10"/>
  <c r="D5481" i="10"/>
  <c r="D5480" i="10"/>
  <c r="D5479" i="10"/>
  <c r="D5478" i="10"/>
  <c r="D5477" i="10"/>
  <c r="D5476" i="10"/>
  <c r="D5475" i="10"/>
  <c r="D5474" i="10"/>
  <c r="D5473" i="10"/>
  <c r="D5472" i="10"/>
  <c r="D5471" i="10"/>
  <c r="D5470" i="10"/>
  <c r="D5469" i="10"/>
  <c r="D5468" i="10"/>
  <c r="D5467" i="10"/>
  <c r="D5466" i="10"/>
  <c r="D5465" i="10"/>
  <c r="D5464" i="10"/>
  <c r="D5463" i="10"/>
  <c r="D5462" i="10"/>
  <c r="D5461" i="10"/>
  <c r="D5460" i="10"/>
  <c r="D5459" i="10"/>
  <c r="D5458" i="10"/>
  <c r="D5457" i="10"/>
  <c r="D5456" i="10"/>
  <c r="D5455" i="10"/>
  <c r="D5454" i="10"/>
  <c r="D5453" i="10"/>
  <c r="D5452" i="10"/>
  <c r="D5451" i="10"/>
  <c r="D5450" i="10"/>
  <c r="D5449" i="10"/>
  <c r="D5448" i="10"/>
  <c r="D5447" i="10"/>
  <c r="D5446" i="10"/>
  <c r="D5445" i="10"/>
  <c r="D5444" i="10"/>
  <c r="D5443" i="10"/>
  <c r="D5442" i="10"/>
  <c r="D5441" i="10"/>
  <c r="D5440" i="10"/>
  <c r="D5439" i="10"/>
  <c r="D5438" i="10"/>
  <c r="D5437" i="10"/>
  <c r="D5436" i="10"/>
  <c r="D5435" i="10"/>
  <c r="D5434" i="10"/>
  <c r="D5433" i="10"/>
  <c r="D5432" i="10"/>
  <c r="D5431" i="10"/>
  <c r="D5430" i="10"/>
  <c r="D5429" i="10"/>
  <c r="D5428" i="10"/>
  <c r="D5427" i="10"/>
  <c r="D5426" i="10"/>
  <c r="D5425" i="10"/>
  <c r="D5424" i="10"/>
  <c r="D5423" i="10"/>
  <c r="D5422" i="10"/>
  <c r="D5421" i="10"/>
  <c r="D5420" i="10"/>
  <c r="D5419" i="10"/>
  <c r="D5418" i="10"/>
  <c r="D5417" i="10"/>
  <c r="D5416" i="10"/>
  <c r="D5415" i="10"/>
  <c r="D5414" i="10"/>
  <c r="D5413" i="10"/>
  <c r="D5412" i="10"/>
  <c r="D5411" i="10"/>
  <c r="D5410" i="10"/>
  <c r="D5409" i="10"/>
  <c r="D5408" i="10"/>
  <c r="D5407" i="10"/>
  <c r="D5406" i="10"/>
  <c r="D5405" i="10"/>
  <c r="D5404" i="10"/>
  <c r="D5403" i="10"/>
  <c r="D5402" i="10"/>
  <c r="D5401" i="10"/>
  <c r="D5400" i="10"/>
  <c r="D5399" i="10"/>
  <c r="D5398" i="10"/>
  <c r="D5397" i="10"/>
  <c r="D5396" i="10"/>
  <c r="D5395" i="10"/>
  <c r="D5394" i="10"/>
  <c r="D5393" i="10"/>
  <c r="D5392" i="10"/>
  <c r="D5391" i="10"/>
  <c r="D5390" i="10"/>
  <c r="D5389" i="10"/>
  <c r="D5388" i="10"/>
  <c r="D5387" i="10"/>
  <c r="D5386" i="10"/>
  <c r="D5385" i="10"/>
  <c r="D5384" i="10"/>
  <c r="D5383" i="10"/>
  <c r="D5382" i="10"/>
  <c r="D5381" i="10"/>
  <c r="D5380" i="10"/>
  <c r="D5379" i="10"/>
  <c r="D5378" i="10"/>
  <c r="D5377" i="10"/>
  <c r="D5376" i="10"/>
  <c r="D5375" i="10"/>
  <c r="D5374" i="10"/>
  <c r="D5373" i="10"/>
  <c r="D5372" i="10"/>
  <c r="D5371" i="10"/>
  <c r="D5370" i="10"/>
  <c r="D5369" i="10"/>
  <c r="D5368" i="10"/>
  <c r="D5367" i="10"/>
  <c r="D5366" i="10"/>
  <c r="D5365" i="10"/>
  <c r="D5364" i="10"/>
  <c r="D5363" i="10"/>
  <c r="D5362" i="10"/>
  <c r="D5361" i="10"/>
  <c r="D5360" i="10"/>
  <c r="D5359" i="10"/>
  <c r="D5358" i="10"/>
  <c r="D5357" i="10"/>
  <c r="D5356" i="10"/>
  <c r="D5355" i="10"/>
  <c r="D5354" i="10"/>
  <c r="D5353" i="10"/>
  <c r="D5352" i="10"/>
  <c r="D5351" i="10"/>
  <c r="D5350" i="10"/>
  <c r="D5349" i="10"/>
  <c r="D5348" i="10"/>
  <c r="D5347" i="10"/>
  <c r="D5346" i="10"/>
  <c r="D5345" i="10"/>
  <c r="D5344" i="10"/>
  <c r="D5343" i="10"/>
  <c r="D5342" i="10"/>
  <c r="D5341" i="10"/>
  <c r="D5340" i="10"/>
  <c r="D5339" i="10"/>
  <c r="D5338" i="10"/>
  <c r="D5337" i="10"/>
  <c r="D5336" i="10"/>
  <c r="D5335" i="10"/>
  <c r="D5334" i="10"/>
  <c r="D5333" i="10"/>
  <c r="D5332" i="10"/>
  <c r="D5331" i="10"/>
  <c r="D5330" i="10"/>
  <c r="D5329" i="10"/>
  <c r="D5328" i="10"/>
  <c r="D5327" i="10"/>
  <c r="D5326" i="10"/>
  <c r="D5325" i="10"/>
  <c r="D5324" i="10"/>
  <c r="D5323" i="10"/>
  <c r="D5322" i="10"/>
  <c r="D5321" i="10"/>
  <c r="D5320" i="10"/>
  <c r="D5319" i="10"/>
  <c r="D5318" i="10"/>
  <c r="D5317" i="10"/>
  <c r="D5316" i="10"/>
  <c r="D5315" i="10"/>
  <c r="D5314" i="10"/>
  <c r="D5313" i="10"/>
  <c r="D5312" i="10"/>
  <c r="D5311" i="10"/>
  <c r="D5310" i="10"/>
  <c r="D5309" i="10"/>
  <c r="D5308" i="10"/>
  <c r="D5307" i="10"/>
  <c r="D5306" i="10"/>
  <c r="D5305" i="10"/>
  <c r="D5304" i="10"/>
  <c r="D5303" i="10"/>
  <c r="D5302" i="10"/>
  <c r="D5301" i="10"/>
  <c r="D5300" i="10"/>
  <c r="D5299" i="10"/>
  <c r="D5298" i="10"/>
  <c r="D5297" i="10"/>
  <c r="D5296" i="10"/>
  <c r="D5295" i="10"/>
  <c r="D5294" i="10"/>
  <c r="D5293" i="10"/>
  <c r="D5292" i="10"/>
  <c r="D5291" i="10"/>
  <c r="D5290" i="10"/>
  <c r="D5289" i="10"/>
  <c r="D5288" i="10"/>
  <c r="D5287" i="10"/>
  <c r="D5286" i="10"/>
  <c r="D5285" i="10"/>
  <c r="D5284" i="10"/>
  <c r="D5283" i="10"/>
  <c r="D5282" i="10"/>
  <c r="D5281" i="10"/>
  <c r="D5280" i="10"/>
  <c r="D5279" i="10"/>
  <c r="D5278" i="10"/>
  <c r="D5277" i="10"/>
  <c r="D5276" i="10"/>
  <c r="D5275" i="10"/>
  <c r="D5274" i="10"/>
  <c r="D5273" i="10"/>
  <c r="D5272" i="10"/>
  <c r="D5271" i="10"/>
  <c r="D5270" i="10"/>
  <c r="D5269" i="10"/>
  <c r="D5268" i="10"/>
  <c r="D5267" i="10"/>
  <c r="D5266" i="10"/>
  <c r="D5265" i="10"/>
  <c r="D5264" i="10"/>
  <c r="D5263" i="10"/>
  <c r="D5262" i="10"/>
  <c r="D5261" i="10"/>
  <c r="D5260" i="10"/>
  <c r="D5259" i="10"/>
  <c r="D5258" i="10"/>
  <c r="D5257" i="10"/>
  <c r="D5256" i="10"/>
  <c r="D5255" i="10"/>
  <c r="D5254" i="10"/>
  <c r="D5253" i="10"/>
  <c r="D5252" i="10"/>
  <c r="D5251" i="10"/>
  <c r="D5250" i="10"/>
  <c r="D5249" i="10"/>
  <c r="D5248" i="10"/>
  <c r="D5247" i="10"/>
  <c r="D5246" i="10"/>
  <c r="D5245" i="10"/>
  <c r="D5244" i="10"/>
  <c r="D5243" i="10"/>
  <c r="D5242" i="10"/>
  <c r="D5241" i="10"/>
  <c r="D5240" i="10"/>
  <c r="D5239" i="10"/>
  <c r="D5238" i="10"/>
  <c r="D5237" i="10"/>
  <c r="D5236" i="10"/>
  <c r="D5235" i="10"/>
  <c r="D5234" i="10"/>
  <c r="D5233" i="10"/>
  <c r="D5232" i="10"/>
  <c r="D5231" i="10"/>
  <c r="D5230" i="10"/>
  <c r="D5229" i="10"/>
  <c r="D5228" i="10"/>
  <c r="D5227" i="10"/>
  <c r="D5226" i="10"/>
  <c r="D5225" i="10"/>
  <c r="D5224" i="10"/>
  <c r="D5223" i="10"/>
  <c r="D5222" i="10"/>
  <c r="D5221" i="10"/>
  <c r="D5220" i="10"/>
  <c r="D5219" i="10"/>
  <c r="D5218" i="10"/>
  <c r="D5217" i="10"/>
  <c r="D5216" i="10"/>
  <c r="D5215" i="10"/>
  <c r="D5214" i="10"/>
  <c r="D5213" i="10"/>
  <c r="D5212" i="10"/>
  <c r="D5211" i="10"/>
  <c r="D5210" i="10"/>
  <c r="D5209" i="10"/>
  <c r="D5208" i="10"/>
  <c r="D5207" i="10"/>
  <c r="D5206" i="10"/>
  <c r="D5205" i="10"/>
  <c r="D5204" i="10"/>
  <c r="D5203" i="10"/>
  <c r="D5202" i="10"/>
  <c r="D5201" i="10"/>
  <c r="D5200" i="10"/>
  <c r="D5199" i="10"/>
  <c r="D5198" i="10"/>
  <c r="D5197" i="10"/>
  <c r="D5196" i="10"/>
  <c r="D5195" i="10"/>
  <c r="D5194" i="10"/>
  <c r="D5193" i="10"/>
  <c r="D5192" i="10"/>
  <c r="D5191" i="10"/>
  <c r="D5190" i="10"/>
  <c r="D5189" i="10"/>
  <c r="D5188" i="10"/>
  <c r="D5187" i="10"/>
  <c r="D5186" i="10"/>
  <c r="D5185" i="10"/>
  <c r="D5184" i="10"/>
  <c r="D5183" i="10"/>
  <c r="D5182" i="10"/>
  <c r="D5181" i="10"/>
  <c r="D5180" i="10"/>
  <c r="D5179" i="10"/>
  <c r="D5178" i="10"/>
  <c r="D5177" i="10"/>
  <c r="D5176" i="10"/>
  <c r="D5175" i="10"/>
  <c r="D5174" i="10"/>
  <c r="D5173" i="10"/>
  <c r="D5172" i="10"/>
  <c r="D5171" i="10"/>
  <c r="D5170" i="10"/>
  <c r="D5169" i="10"/>
  <c r="D5168" i="10"/>
  <c r="D5167" i="10"/>
  <c r="D5166" i="10"/>
  <c r="D5165" i="10"/>
  <c r="D5164" i="10"/>
  <c r="D5163" i="10"/>
  <c r="D5162" i="10"/>
  <c r="D5161" i="10"/>
  <c r="D5160" i="10"/>
  <c r="D5159" i="10"/>
  <c r="D5158" i="10"/>
  <c r="D5157" i="10"/>
  <c r="D5156" i="10"/>
  <c r="D5155" i="10"/>
  <c r="D5154" i="10"/>
  <c r="D5153" i="10"/>
  <c r="D5152" i="10"/>
  <c r="D5151" i="10"/>
  <c r="D5150" i="10"/>
  <c r="D5149" i="10"/>
  <c r="D5148" i="10"/>
  <c r="D5147" i="10"/>
  <c r="D5146" i="10"/>
  <c r="D5145" i="10"/>
  <c r="D5144" i="10"/>
  <c r="D5143" i="10"/>
  <c r="D5142" i="10"/>
  <c r="D5141" i="10"/>
  <c r="D5140" i="10"/>
  <c r="D5139" i="10"/>
  <c r="D5138" i="10"/>
  <c r="D5137" i="10"/>
  <c r="D5136" i="10"/>
  <c r="D5135" i="10"/>
  <c r="D5134" i="10"/>
  <c r="D5133" i="10"/>
  <c r="D5132" i="10"/>
  <c r="D5131" i="10"/>
  <c r="D5130" i="10"/>
  <c r="D5129" i="10"/>
  <c r="D5128" i="10"/>
  <c r="D5127" i="10"/>
  <c r="D5126" i="10"/>
  <c r="D5125" i="10"/>
  <c r="D5124" i="10"/>
  <c r="D5123" i="10"/>
  <c r="D5122" i="10"/>
  <c r="D5121" i="10"/>
  <c r="D5120" i="10"/>
  <c r="D5119" i="10"/>
  <c r="D5118" i="10"/>
  <c r="D5117" i="10"/>
  <c r="D5116" i="10"/>
  <c r="D5115" i="10"/>
  <c r="D5114" i="10"/>
  <c r="D5113" i="10"/>
  <c r="D5112" i="10"/>
  <c r="D5111" i="10"/>
  <c r="D5110" i="10"/>
  <c r="D5109" i="10"/>
  <c r="D5108" i="10"/>
  <c r="D5107" i="10"/>
  <c r="D5106" i="10"/>
  <c r="D5105" i="10"/>
  <c r="D5104" i="10"/>
  <c r="D5103" i="10"/>
  <c r="D5102" i="10"/>
  <c r="D5101" i="10"/>
  <c r="D5100" i="10"/>
  <c r="D5099" i="10"/>
  <c r="D5098" i="10"/>
  <c r="D5097" i="10"/>
  <c r="D5096" i="10"/>
  <c r="D5095" i="10"/>
  <c r="D5094" i="10"/>
  <c r="D5093" i="10"/>
  <c r="D5092" i="10"/>
  <c r="D5091" i="10"/>
  <c r="D5090" i="10"/>
  <c r="D5089" i="10"/>
  <c r="D5088" i="10"/>
  <c r="D5087" i="10"/>
  <c r="D5086" i="10"/>
  <c r="D5085" i="10"/>
  <c r="D5084" i="10"/>
  <c r="D5083" i="10"/>
  <c r="D5082" i="10"/>
  <c r="D5081" i="10"/>
  <c r="D5080" i="10"/>
  <c r="D5079" i="10"/>
  <c r="D5078" i="10"/>
  <c r="D5077" i="10"/>
  <c r="D5076" i="10"/>
  <c r="D5075" i="10"/>
  <c r="D5074" i="10"/>
  <c r="D5073" i="10"/>
  <c r="D5072" i="10"/>
  <c r="D5071" i="10"/>
  <c r="D5070" i="10"/>
  <c r="D5069" i="10"/>
  <c r="D5068" i="10"/>
  <c r="D5067" i="10"/>
  <c r="D5066" i="10"/>
  <c r="D5065" i="10"/>
  <c r="D5064" i="10"/>
  <c r="D5063" i="10"/>
  <c r="D5062" i="10"/>
  <c r="D5061" i="10"/>
  <c r="D5060" i="10"/>
  <c r="D5059" i="10"/>
  <c r="D5058" i="10"/>
  <c r="D5057" i="10"/>
  <c r="D5056" i="10"/>
  <c r="D5055" i="10"/>
  <c r="D5054" i="10"/>
  <c r="D5053" i="10"/>
  <c r="D5052" i="10"/>
  <c r="D5051" i="10"/>
  <c r="D5050" i="10"/>
  <c r="D5049" i="10"/>
  <c r="D5048" i="10"/>
  <c r="D5047" i="10"/>
  <c r="D5046" i="10"/>
  <c r="D5045" i="10"/>
  <c r="D5044" i="10"/>
  <c r="D5043" i="10"/>
  <c r="D5042" i="10"/>
  <c r="D5041" i="10"/>
  <c r="D5040" i="10"/>
  <c r="D5039" i="10"/>
  <c r="D5038" i="10"/>
  <c r="D5037" i="10"/>
  <c r="D5036" i="10"/>
  <c r="D5035" i="10"/>
  <c r="D5034" i="10"/>
  <c r="D5033" i="10"/>
  <c r="D5032" i="10"/>
  <c r="D5031" i="10"/>
  <c r="D5030" i="10"/>
  <c r="D5029" i="10"/>
  <c r="D5028" i="10"/>
  <c r="D5027" i="10"/>
  <c r="D5026" i="10"/>
  <c r="D5025" i="10"/>
  <c r="D5024" i="10"/>
  <c r="D5023" i="10"/>
  <c r="D5022" i="10"/>
  <c r="D5021" i="10"/>
  <c r="D5020" i="10"/>
  <c r="D5019" i="10"/>
  <c r="D5018" i="10"/>
  <c r="D5017" i="10"/>
  <c r="D5016" i="10"/>
  <c r="D5015" i="10"/>
  <c r="D5014" i="10"/>
  <c r="D5013" i="10"/>
  <c r="D5012" i="10"/>
  <c r="D5011" i="10"/>
  <c r="D5010" i="10"/>
  <c r="D5009" i="10"/>
  <c r="D5008" i="10"/>
  <c r="D5007" i="10"/>
  <c r="D5006" i="10"/>
  <c r="D5005" i="10"/>
  <c r="D5004" i="10"/>
  <c r="D5003" i="10"/>
  <c r="D5002" i="10"/>
  <c r="D5001" i="10"/>
  <c r="D5000" i="10"/>
  <c r="D4999" i="10"/>
  <c r="D4998" i="10"/>
  <c r="D4997" i="10"/>
  <c r="D4996" i="10"/>
  <c r="D4995" i="10"/>
  <c r="D4994" i="10"/>
  <c r="D4993" i="10"/>
  <c r="D4992" i="10"/>
  <c r="D4991" i="10"/>
  <c r="D4990" i="10"/>
  <c r="D4989" i="10"/>
  <c r="D4988" i="10"/>
  <c r="D4987" i="10"/>
  <c r="D4986" i="10"/>
  <c r="D4985" i="10"/>
  <c r="D4984" i="10"/>
  <c r="D4983" i="10"/>
  <c r="D4982" i="10"/>
  <c r="D4981" i="10"/>
  <c r="D4980" i="10"/>
  <c r="D4979" i="10"/>
  <c r="D4978" i="10"/>
  <c r="D4977" i="10"/>
  <c r="D4976" i="10"/>
  <c r="D4975" i="10"/>
  <c r="D4974" i="10"/>
  <c r="D4973" i="10"/>
  <c r="D4972" i="10"/>
  <c r="D4971" i="10"/>
  <c r="D4970" i="10"/>
  <c r="D4969" i="10"/>
  <c r="D4968" i="10"/>
  <c r="D4967" i="10"/>
  <c r="D4966" i="10"/>
  <c r="D4965" i="10"/>
  <c r="D4964" i="10"/>
  <c r="D4963" i="10"/>
  <c r="D4962" i="10"/>
  <c r="D4961" i="10"/>
  <c r="D4960" i="10"/>
  <c r="D4959" i="10"/>
  <c r="D4958" i="10"/>
  <c r="D4957" i="10"/>
  <c r="D4956" i="10"/>
  <c r="D4955" i="10"/>
  <c r="D4954" i="10"/>
  <c r="D4953" i="10"/>
  <c r="D4952" i="10"/>
  <c r="D4951" i="10"/>
  <c r="D4950" i="10"/>
  <c r="D4949" i="10"/>
  <c r="D4948" i="10"/>
  <c r="D4947" i="10"/>
  <c r="D4946" i="10"/>
  <c r="D4945" i="10"/>
  <c r="D4944" i="10"/>
  <c r="D4943" i="10"/>
  <c r="D4942" i="10"/>
  <c r="D4941" i="10"/>
  <c r="D4940" i="10"/>
  <c r="D4939" i="10"/>
  <c r="D4938" i="10"/>
  <c r="D4937" i="10"/>
  <c r="D4936" i="10"/>
  <c r="D4935" i="10"/>
  <c r="D4934" i="10"/>
  <c r="D4933" i="10"/>
  <c r="D4932" i="10"/>
  <c r="D4931" i="10"/>
  <c r="D4930" i="10"/>
  <c r="D4929" i="10"/>
  <c r="D4928" i="10"/>
  <c r="D4927" i="10"/>
  <c r="D4926" i="10"/>
  <c r="D4925" i="10"/>
  <c r="D4924" i="10"/>
  <c r="D4923" i="10"/>
  <c r="D4922" i="10"/>
  <c r="D4921" i="10"/>
  <c r="D4920" i="10"/>
  <c r="D4919" i="10"/>
  <c r="D4918" i="10"/>
  <c r="D4917" i="10"/>
  <c r="D4916" i="10"/>
  <c r="D4915" i="10"/>
  <c r="D4914" i="10"/>
  <c r="D4913" i="10"/>
  <c r="D4912" i="10"/>
  <c r="D4911" i="10"/>
  <c r="D4910" i="10"/>
  <c r="D4909" i="10"/>
  <c r="D4908" i="10"/>
  <c r="D4907" i="10"/>
  <c r="D4906" i="10"/>
  <c r="D4905" i="10"/>
  <c r="D4904" i="10"/>
  <c r="D4903" i="10"/>
  <c r="D4902" i="10"/>
  <c r="D4901" i="10"/>
  <c r="D4900" i="10"/>
  <c r="D4899" i="10"/>
  <c r="D4898" i="10"/>
  <c r="D4897" i="10"/>
  <c r="D4896" i="10"/>
  <c r="D4895" i="10"/>
  <c r="D4894" i="10"/>
  <c r="D4893" i="10"/>
  <c r="D4892" i="10"/>
  <c r="D4891" i="10"/>
  <c r="D4890" i="10"/>
  <c r="D4889" i="10"/>
  <c r="D4888" i="10"/>
  <c r="D4887" i="10"/>
  <c r="D4886" i="10"/>
  <c r="D4885" i="10"/>
  <c r="D4884" i="10"/>
  <c r="D4883" i="10"/>
  <c r="D4882" i="10"/>
  <c r="D4881" i="10"/>
  <c r="D4880" i="10"/>
  <c r="D4879" i="10"/>
  <c r="D4878" i="10"/>
  <c r="D4877" i="10"/>
  <c r="D4876" i="10"/>
  <c r="D4875" i="10"/>
  <c r="D4874" i="10"/>
  <c r="D4873" i="10"/>
  <c r="D4872" i="10"/>
  <c r="D4871" i="10"/>
  <c r="D4870" i="10"/>
  <c r="D4869" i="10"/>
  <c r="D4868" i="10"/>
  <c r="D4867" i="10"/>
  <c r="D4866" i="10"/>
  <c r="D4865" i="10"/>
  <c r="D4864" i="10"/>
  <c r="D4863" i="10"/>
  <c r="D4862" i="10"/>
  <c r="D4861" i="10"/>
  <c r="D4860" i="10"/>
  <c r="D4859" i="10"/>
  <c r="D4858" i="10"/>
  <c r="D4857" i="10"/>
  <c r="D4856" i="10"/>
  <c r="D4855" i="10"/>
  <c r="D4854" i="10"/>
  <c r="D4853" i="10"/>
  <c r="D4852" i="10"/>
  <c r="D4851" i="10"/>
  <c r="D4850" i="10"/>
  <c r="D4849" i="10"/>
  <c r="D4848" i="10"/>
  <c r="D4847" i="10"/>
  <c r="D4846" i="10"/>
  <c r="D4845" i="10"/>
  <c r="D4844" i="10"/>
  <c r="D4843" i="10"/>
  <c r="D4842" i="10"/>
  <c r="D4841" i="10"/>
  <c r="D4840" i="10"/>
  <c r="D4839" i="10"/>
  <c r="D4838" i="10"/>
  <c r="D4837" i="10"/>
  <c r="D4836" i="10"/>
  <c r="D4835" i="10"/>
  <c r="D4834" i="10"/>
  <c r="D4833" i="10"/>
  <c r="D4832" i="10"/>
  <c r="D4831" i="10"/>
  <c r="D4830" i="10"/>
  <c r="D4829" i="10"/>
  <c r="D4828" i="10"/>
  <c r="D4827" i="10"/>
  <c r="D4826" i="10"/>
  <c r="D4825" i="10"/>
  <c r="D4824" i="10"/>
  <c r="D4823" i="10"/>
  <c r="D4822" i="10"/>
  <c r="D4821" i="10"/>
  <c r="D4820" i="10"/>
  <c r="D4819" i="10"/>
  <c r="D4818" i="10"/>
  <c r="D4817" i="10"/>
  <c r="D4816" i="10"/>
  <c r="D4815" i="10"/>
  <c r="D4814" i="10"/>
  <c r="D4813" i="10"/>
  <c r="D4812" i="10"/>
  <c r="D4811" i="10"/>
  <c r="D4810" i="10"/>
  <c r="D4809" i="10"/>
  <c r="D4808" i="10"/>
  <c r="D4807" i="10"/>
  <c r="D4806" i="10"/>
  <c r="D4805" i="10"/>
  <c r="D4804" i="10"/>
  <c r="D4803" i="10"/>
  <c r="D4802" i="10"/>
  <c r="D4801" i="10"/>
  <c r="D4800" i="10"/>
  <c r="D4799" i="10"/>
  <c r="D4798" i="10"/>
  <c r="D4797" i="10"/>
  <c r="D4796" i="10"/>
  <c r="D4795" i="10"/>
  <c r="D4794" i="10"/>
  <c r="D4793" i="10"/>
  <c r="D4792" i="10"/>
  <c r="D4791" i="10"/>
  <c r="D4790" i="10"/>
  <c r="D4789" i="10"/>
  <c r="D4788" i="10"/>
  <c r="D4787" i="10"/>
  <c r="D4786" i="10"/>
  <c r="D4785" i="10"/>
  <c r="D4784" i="10"/>
  <c r="D4783" i="10"/>
  <c r="D4782" i="10"/>
  <c r="D4781" i="10"/>
  <c r="D4780" i="10"/>
  <c r="D4779" i="10"/>
  <c r="D4778" i="10"/>
  <c r="D4777" i="10"/>
  <c r="D4776" i="10"/>
  <c r="D4775" i="10"/>
  <c r="D4774" i="10"/>
  <c r="D4773" i="10"/>
  <c r="D4772" i="10"/>
  <c r="D4771" i="10"/>
  <c r="D4770" i="10"/>
  <c r="D4769" i="10"/>
  <c r="D4768" i="10"/>
  <c r="D4767" i="10"/>
  <c r="D4766" i="10"/>
  <c r="D4765" i="10"/>
  <c r="D4764" i="10"/>
  <c r="D4763" i="10"/>
  <c r="D4762" i="10"/>
  <c r="D4761" i="10"/>
  <c r="D4760" i="10"/>
  <c r="D4759" i="10"/>
  <c r="D4758" i="10"/>
  <c r="D4757" i="10"/>
  <c r="D4756" i="10"/>
  <c r="D4755" i="10"/>
  <c r="D4754" i="10"/>
  <c r="D4753" i="10"/>
  <c r="D4752" i="10"/>
  <c r="D4751" i="10"/>
  <c r="D4750" i="10"/>
  <c r="D4749" i="10"/>
  <c r="D4748" i="10"/>
  <c r="D4747" i="10"/>
  <c r="D4746" i="10"/>
  <c r="D4745" i="10"/>
  <c r="D4744" i="10"/>
  <c r="D4743" i="10"/>
  <c r="D4742" i="10"/>
  <c r="D4741" i="10"/>
  <c r="D4740" i="10"/>
  <c r="D4739" i="10"/>
  <c r="D4738" i="10"/>
  <c r="D4737" i="10"/>
  <c r="D4736" i="10"/>
  <c r="D4735" i="10"/>
  <c r="D4734" i="10"/>
  <c r="D4733" i="10"/>
  <c r="D4732" i="10"/>
  <c r="D4731" i="10"/>
  <c r="D4730" i="10"/>
  <c r="D4729" i="10"/>
  <c r="D4728" i="10"/>
  <c r="D4727" i="10"/>
  <c r="D4726" i="10"/>
  <c r="D4725" i="10"/>
  <c r="D4724" i="10"/>
  <c r="D4723" i="10"/>
  <c r="D4722" i="10"/>
  <c r="D4721" i="10"/>
  <c r="D4720" i="10"/>
  <c r="D4719" i="10"/>
  <c r="D4718" i="10"/>
  <c r="D4717" i="10"/>
  <c r="D4716" i="10"/>
  <c r="D4715" i="10"/>
  <c r="D4714" i="10"/>
  <c r="D4713" i="10"/>
  <c r="D4712" i="10"/>
  <c r="D4711" i="10"/>
  <c r="D4710" i="10"/>
  <c r="D4709" i="10"/>
  <c r="D4708" i="10"/>
  <c r="D4707" i="10"/>
  <c r="D4706" i="10"/>
  <c r="D4705" i="10"/>
  <c r="D4704" i="10"/>
  <c r="D4703" i="10"/>
  <c r="D4702" i="10"/>
  <c r="D4701" i="10"/>
  <c r="D4700" i="10"/>
  <c r="D4699" i="10"/>
  <c r="D4698" i="10"/>
  <c r="D4697" i="10"/>
  <c r="D4696" i="10"/>
  <c r="D4695" i="10"/>
  <c r="D4694" i="10"/>
  <c r="D4693" i="10"/>
  <c r="D4692" i="10"/>
  <c r="D4691" i="10"/>
  <c r="D4690" i="10"/>
  <c r="D4689" i="10"/>
  <c r="D4688" i="10"/>
  <c r="D4687" i="10"/>
  <c r="D4686" i="10"/>
  <c r="D4685" i="10"/>
  <c r="D4684" i="10"/>
  <c r="D4683" i="10"/>
  <c r="D4682" i="10"/>
  <c r="D4681" i="10"/>
  <c r="D4680" i="10"/>
  <c r="D4679" i="10"/>
  <c r="D4678" i="10"/>
  <c r="D4677" i="10"/>
  <c r="D4676" i="10"/>
  <c r="D4675" i="10"/>
  <c r="D4674" i="10"/>
  <c r="D4673" i="10"/>
  <c r="D4672" i="10"/>
  <c r="D4671" i="10"/>
  <c r="D4670" i="10"/>
  <c r="D4669" i="10"/>
  <c r="D4668" i="10"/>
  <c r="D4667" i="10"/>
  <c r="D4666" i="10"/>
  <c r="D4665" i="10"/>
  <c r="D4664" i="10"/>
  <c r="D4663" i="10"/>
  <c r="D4662" i="10"/>
  <c r="D4661" i="10"/>
  <c r="D4660" i="10"/>
  <c r="D4659" i="10"/>
  <c r="D4658" i="10"/>
  <c r="D4657" i="10"/>
  <c r="D4656" i="10"/>
  <c r="D4655" i="10"/>
  <c r="D4654" i="10"/>
  <c r="D4653" i="10"/>
  <c r="D4652" i="10"/>
  <c r="D4651" i="10"/>
  <c r="D4650" i="10"/>
  <c r="D4649" i="10"/>
  <c r="D4648" i="10"/>
  <c r="D4647" i="10"/>
  <c r="D4646" i="10"/>
  <c r="D4645" i="10"/>
  <c r="D4644" i="10"/>
  <c r="D4643" i="10"/>
  <c r="D4642" i="10"/>
  <c r="D4641" i="10"/>
  <c r="D4640" i="10"/>
  <c r="D4639" i="10"/>
  <c r="D4638" i="10"/>
  <c r="D4637" i="10"/>
  <c r="D4636" i="10"/>
  <c r="D4635" i="10"/>
  <c r="D4634" i="10"/>
  <c r="D4633" i="10"/>
  <c r="D4632" i="10"/>
  <c r="D4631" i="10"/>
  <c r="D4630" i="10"/>
  <c r="D4629" i="10"/>
  <c r="D4628" i="10"/>
  <c r="D4627" i="10"/>
  <c r="D4626" i="10"/>
  <c r="D4625" i="10"/>
  <c r="D4624" i="10"/>
  <c r="D4623" i="10"/>
  <c r="D4622" i="10"/>
  <c r="D4621" i="10"/>
  <c r="D4620" i="10"/>
  <c r="D4619" i="10"/>
  <c r="D4618" i="10"/>
  <c r="D4617" i="10"/>
  <c r="D4616" i="10"/>
  <c r="D4615" i="10"/>
  <c r="D4614" i="10"/>
  <c r="D4613" i="10"/>
  <c r="D4612" i="10"/>
  <c r="D4611" i="10"/>
  <c r="D4610" i="10"/>
  <c r="D4609" i="10"/>
  <c r="D4608" i="10"/>
  <c r="D4607" i="10"/>
  <c r="D4606" i="10"/>
  <c r="D4605" i="10"/>
  <c r="D4604" i="10"/>
  <c r="D4603" i="10"/>
  <c r="D4602" i="10"/>
  <c r="D4601" i="10"/>
  <c r="D4600" i="10"/>
  <c r="D4599" i="10"/>
  <c r="D4598" i="10"/>
  <c r="D4597" i="10"/>
  <c r="D4596" i="10"/>
  <c r="D4595" i="10"/>
  <c r="D4594" i="10"/>
  <c r="D4593" i="10"/>
  <c r="D4592" i="10"/>
  <c r="D4591" i="10"/>
  <c r="D4590" i="10"/>
  <c r="D4589" i="10"/>
  <c r="D4588" i="10"/>
  <c r="D4587" i="10"/>
  <c r="D4586" i="10"/>
  <c r="D4585" i="10"/>
  <c r="D4584" i="10"/>
  <c r="D4583" i="10"/>
  <c r="D4582" i="10"/>
  <c r="D4581" i="10"/>
  <c r="D4580" i="10"/>
  <c r="D4579" i="10"/>
  <c r="D4578" i="10"/>
  <c r="D4577" i="10"/>
  <c r="D4576" i="10"/>
  <c r="D4575" i="10"/>
  <c r="D4574" i="10"/>
  <c r="D4573" i="10"/>
  <c r="D4572" i="10"/>
  <c r="D4571" i="10"/>
  <c r="D4570" i="10"/>
  <c r="D4569" i="10"/>
  <c r="D4568" i="10"/>
  <c r="D4567" i="10"/>
  <c r="D4566" i="10"/>
  <c r="D4565" i="10"/>
  <c r="D4564" i="10"/>
  <c r="D4563" i="10"/>
  <c r="D4562" i="10"/>
  <c r="D4561" i="10"/>
  <c r="D4560" i="10"/>
  <c r="D4559" i="10"/>
  <c r="D4558" i="10"/>
  <c r="D4557" i="10"/>
  <c r="D4556" i="10"/>
  <c r="D4555" i="10"/>
  <c r="D4554" i="10"/>
  <c r="D4553" i="10"/>
  <c r="D4552" i="10"/>
  <c r="D4551" i="10"/>
  <c r="D4550" i="10"/>
  <c r="D4549" i="10"/>
  <c r="D4548" i="10"/>
  <c r="D4547" i="10"/>
  <c r="D4546" i="10"/>
  <c r="D4545" i="10"/>
  <c r="D4544" i="10"/>
  <c r="D4543" i="10"/>
  <c r="D4542" i="10"/>
  <c r="D4541" i="10"/>
  <c r="D4540" i="10"/>
  <c r="D4539" i="10"/>
  <c r="D4538" i="10"/>
  <c r="D4537" i="10"/>
  <c r="D4536" i="10"/>
  <c r="D4535" i="10"/>
  <c r="D4534" i="10"/>
  <c r="D4533" i="10"/>
  <c r="D4532" i="10"/>
  <c r="D4531" i="10"/>
  <c r="D4530" i="10"/>
  <c r="D4529" i="10"/>
  <c r="D4528" i="10"/>
  <c r="D4527" i="10"/>
  <c r="D4526" i="10"/>
  <c r="D4525" i="10"/>
  <c r="D4524" i="10"/>
  <c r="D4523" i="10"/>
  <c r="D4522" i="10"/>
  <c r="D4521" i="10"/>
  <c r="D4520" i="10"/>
  <c r="D4519" i="10"/>
  <c r="D4518" i="10"/>
  <c r="D4517" i="10"/>
  <c r="D4516" i="10"/>
  <c r="D4515" i="10"/>
  <c r="D4514" i="10"/>
  <c r="D4513" i="10"/>
  <c r="D4512" i="10"/>
  <c r="D4511" i="10"/>
  <c r="D4510" i="10"/>
  <c r="D4509" i="10"/>
  <c r="D4508" i="10"/>
  <c r="D4507" i="10"/>
  <c r="D4506" i="10"/>
  <c r="D4505" i="10"/>
  <c r="D4504" i="10"/>
  <c r="D4503" i="10"/>
  <c r="D4502" i="10"/>
  <c r="D4501" i="10"/>
  <c r="D4500" i="10"/>
  <c r="D4499" i="10"/>
  <c r="D4498" i="10"/>
  <c r="D4497" i="10"/>
  <c r="D4496" i="10"/>
  <c r="D4495" i="10"/>
  <c r="D4494" i="10"/>
  <c r="D4493" i="10"/>
  <c r="D4492" i="10"/>
  <c r="D4491" i="10"/>
  <c r="D4490" i="10"/>
  <c r="D4489" i="10"/>
  <c r="D4488" i="10"/>
  <c r="D4487" i="10"/>
  <c r="D4486" i="10"/>
  <c r="D4485" i="10"/>
  <c r="D4484" i="10"/>
  <c r="D4483" i="10"/>
  <c r="D4482" i="10"/>
  <c r="D4481" i="10"/>
  <c r="D4480" i="10"/>
  <c r="D4479" i="10"/>
  <c r="D4478" i="10"/>
  <c r="D4477" i="10"/>
  <c r="D4476" i="10"/>
  <c r="D4475" i="10"/>
  <c r="D4474" i="10"/>
  <c r="D4473" i="10"/>
  <c r="D4472" i="10"/>
  <c r="D4471" i="10"/>
  <c r="D4470" i="10"/>
  <c r="D4469" i="10"/>
  <c r="D4468" i="10"/>
  <c r="D4467" i="10"/>
  <c r="D4466" i="10"/>
  <c r="D4465" i="10"/>
  <c r="D4464" i="10"/>
  <c r="D4463" i="10"/>
  <c r="D4462" i="10"/>
  <c r="D4461" i="10"/>
  <c r="D4460" i="10"/>
  <c r="D4459" i="10"/>
  <c r="D4458" i="10"/>
  <c r="D4457" i="10"/>
  <c r="D4456" i="10"/>
  <c r="D4455" i="10"/>
  <c r="D4454" i="10"/>
  <c r="D4453" i="10"/>
  <c r="D4452" i="10"/>
  <c r="D4451" i="10"/>
  <c r="D4450" i="10"/>
  <c r="D4449" i="10"/>
  <c r="D4448" i="10"/>
  <c r="D4447" i="10"/>
  <c r="D4446" i="10"/>
  <c r="D4445" i="10"/>
  <c r="D4444" i="10"/>
  <c r="D4443" i="10"/>
  <c r="D4442" i="10"/>
  <c r="D4441" i="10"/>
  <c r="D4440" i="10"/>
  <c r="D4439" i="10"/>
  <c r="D4438" i="10"/>
  <c r="D4437" i="10"/>
  <c r="D4436" i="10"/>
  <c r="D4435" i="10"/>
  <c r="D4434" i="10"/>
  <c r="D4433" i="10"/>
  <c r="D4432" i="10"/>
  <c r="D4431" i="10"/>
  <c r="D4430" i="10"/>
  <c r="D4429" i="10"/>
  <c r="D4428" i="10"/>
  <c r="D4427" i="10"/>
  <c r="D4426" i="10"/>
  <c r="D4425" i="10"/>
  <c r="D4424" i="10"/>
  <c r="D4423" i="10"/>
  <c r="D4422" i="10"/>
  <c r="D4421" i="10"/>
  <c r="D4420" i="10"/>
  <c r="D4419" i="10"/>
  <c r="D4418" i="10"/>
  <c r="D4417" i="10"/>
  <c r="D4416" i="10"/>
  <c r="D4415" i="10"/>
  <c r="D4414" i="10"/>
  <c r="D4413" i="10"/>
  <c r="D4412" i="10"/>
  <c r="D4411" i="10"/>
  <c r="D4410" i="10"/>
  <c r="D4409" i="10"/>
  <c r="D4408" i="10"/>
  <c r="D4407" i="10"/>
  <c r="D4406" i="10"/>
  <c r="D4405" i="10"/>
  <c r="D4404" i="10"/>
  <c r="D4403" i="10"/>
  <c r="D4402" i="10"/>
  <c r="D4401" i="10"/>
  <c r="D4400" i="10"/>
  <c r="D4399" i="10"/>
  <c r="D4398" i="10"/>
  <c r="D4397" i="10"/>
  <c r="D4396" i="10"/>
  <c r="D4395" i="10"/>
  <c r="D4394" i="10"/>
  <c r="D4393" i="10"/>
  <c r="D4392" i="10"/>
  <c r="D4391" i="10"/>
  <c r="D4390" i="10"/>
  <c r="D4389" i="10"/>
  <c r="D4388" i="10"/>
  <c r="D4387" i="10"/>
  <c r="D4386" i="10"/>
  <c r="D4385" i="10"/>
  <c r="D4384" i="10"/>
  <c r="D4383" i="10"/>
  <c r="D4382" i="10"/>
  <c r="D4381" i="10"/>
  <c r="D4380" i="10"/>
  <c r="D4379" i="10"/>
  <c r="D4378" i="10"/>
  <c r="D4377" i="10"/>
  <c r="D4376" i="10"/>
  <c r="D4375" i="10"/>
  <c r="D4374" i="10"/>
  <c r="D4373" i="10"/>
  <c r="D4372" i="10"/>
  <c r="D4371" i="10"/>
  <c r="D4370" i="10"/>
  <c r="D4369" i="10"/>
  <c r="D4368" i="10"/>
  <c r="D4367" i="10"/>
  <c r="D4366" i="10"/>
  <c r="D4365" i="10"/>
  <c r="D4364" i="10"/>
  <c r="D4363" i="10"/>
  <c r="D4362" i="10"/>
  <c r="D4361" i="10"/>
  <c r="D4360" i="10"/>
  <c r="D4359" i="10"/>
  <c r="D4358" i="10"/>
  <c r="D4357" i="10"/>
  <c r="D4356" i="10"/>
  <c r="D4355" i="10"/>
  <c r="D4354" i="10"/>
  <c r="D4353" i="10"/>
  <c r="D4352" i="10"/>
  <c r="D4351" i="10"/>
  <c r="D4350" i="10"/>
  <c r="D4349" i="10"/>
  <c r="D4348" i="10"/>
  <c r="D4347" i="10"/>
  <c r="D4346" i="10"/>
  <c r="D4345" i="10"/>
  <c r="D4344" i="10"/>
  <c r="D4343" i="10"/>
  <c r="D4342" i="10"/>
  <c r="D4341" i="10"/>
  <c r="D4340" i="10"/>
  <c r="D4339" i="10"/>
  <c r="D4338" i="10"/>
  <c r="D4337" i="10"/>
  <c r="D4336" i="10"/>
  <c r="D4335" i="10"/>
  <c r="D4334" i="10"/>
  <c r="D4333" i="10"/>
  <c r="D4332" i="10"/>
  <c r="D4331" i="10"/>
  <c r="D4330" i="10"/>
  <c r="D4329" i="10"/>
  <c r="D4328" i="10"/>
  <c r="D4327" i="10"/>
  <c r="D4326" i="10"/>
  <c r="D4325" i="10"/>
  <c r="D4324" i="10"/>
  <c r="D4323" i="10"/>
  <c r="D4322" i="10"/>
  <c r="D4321" i="10"/>
  <c r="D4320" i="10"/>
  <c r="D4319" i="10"/>
  <c r="D4318" i="10"/>
  <c r="D4317" i="10"/>
  <c r="D4316" i="10"/>
  <c r="D4315" i="10"/>
  <c r="D4314" i="10"/>
  <c r="D4313" i="10"/>
  <c r="D4312" i="10"/>
  <c r="D4311" i="10"/>
  <c r="D4310" i="10"/>
  <c r="D4309" i="10"/>
  <c r="D4308" i="10"/>
  <c r="D4307" i="10"/>
  <c r="D4306" i="10"/>
  <c r="D4305" i="10"/>
  <c r="D4304" i="10"/>
  <c r="D4303" i="10"/>
  <c r="D4302" i="10"/>
  <c r="D4301" i="10"/>
  <c r="D4300" i="10"/>
  <c r="D4299" i="10"/>
  <c r="D4298" i="10"/>
  <c r="D4297" i="10"/>
  <c r="D4296" i="10"/>
  <c r="D4295" i="10"/>
  <c r="D4294" i="10"/>
  <c r="D4293" i="10"/>
  <c r="D4292" i="10"/>
  <c r="D4291" i="10"/>
  <c r="D4290" i="10"/>
  <c r="D4289" i="10"/>
  <c r="D4288" i="10"/>
  <c r="D4287" i="10"/>
  <c r="D4286" i="10"/>
  <c r="D4285" i="10"/>
  <c r="D4284" i="10"/>
  <c r="D4283" i="10"/>
  <c r="D4282" i="10"/>
  <c r="D4281" i="10"/>
  <c r="D4280" i="10"/>
  <c r="D4279" i="10"/>
  <c r="D4278" i="10"/>
  <c r="D4277" i="10"/>
  <c r="D4276" i="10"/>
  <c r="D4275" i="10"/>
  <c r="D4274" i="10"/>
  <c r="D4273" i="10"/>
  <c r="D4272" i="10"/>
  <c r="D4271" i="10"/>
  <c r="D4270" i="10"/>
  <c r="D4269" i="10"/>
  <c r="D4268" i="10"/>
  <c r="D4267" i="10"/>
  <c r="D4266" i="10"/>
  <c r="D4265" i="10"/>
  <c r="D4264" i="10"/>
  <c r="D4263" i="10"/>
  <c r="D4262" i="10"/>
  <c r="D4261" i="10"/>
  <c r="D4260" i="10"/>
  <c r="D4259" i="10"/>
  <c r="D4258" i="10"/>
  <c r="D4257" i="10"/>
  <c r="D4256" i="10"/>
  <c r="D4255" i="10"/>
  <c r="D4254" i="10"/>
  <c r="D4253" i="10"/>
  <c r="D4252" i="10"/>
  <c r="D4251" i="10"/>
  <c r="D4250" i="10"/>
  <c r="D4249" i="10"/>
  <c r="D4248" i="10"/>
  <c r="D4247" i="10"/>
  <c r="D4246" i="10"/>
  <c r="D4245" i="10"/>
  <c r="D4244" i="10"/>
  <c r="D4243" i="10"/>
  <c r="D4242" i="10"/>
  <c r="D4241" i="10"/>
  <c r="D4240" i="10"/>
  <c r="D4239" i="10"/>
  <c r="D4238" i="10"/>
  <c r="D4237" i="10"/>
  <c r="D4236" i="10"/>
  <c r="D4235" i="10"/>
  <c r="D4234" i="10"/>
  <c r="D4233" i="10"/>
  <c r="D4232" i="10"/>
  <c r="D4231" i="10"/>
  <c r="D4230" i="10"/>
  <c r="D4229" i="10"/>
  <c r="D4228" i="10"/>
  <c r="D4227" i="10"/>
  <c r="D4226" i="10"/>
  <c r="D4225" i="10"/>
  <c r="D4224" i="10"/>
  <c r="D4223" i="10"/>
  <c r="D4222" i="10"/>
  <c r="D4221" i="10"/>
  <c r="D4220" i="10"/>
  <c r="D4219" i="10"/>
  <c r="D4218" i="10"/>
  <c r="D4217" i="10"/>
  <c r="D4216" i="10"/>
  <c r="D4215" i="10"/>
  <c r="D4214" i="10"/>
  <c r="D4213" i="10"/>
  <c r="D4212" i="10"/>
  <c r="D4211" i="10"/>
  <c r="D4210" i="10"/>
  <c r="D4209" i="10"/>
  <c r="D4208" i="10"/>
  <c r="D4207" i="10"/>
  <c r="D4206" i="10"/>
  <c r="D4205" i="10"/>
  <c r="D4204" i="10"/>
  <c r="D4203" i="10"/>
  <c r="D4202" i="10"/>
  <c r="D4201" i="10"/>
  <c r="D4200" i="10"/>
  <c r="D4199" i="10"/>
  <c r="D4198" i="10"/>
  <c r="D4197" i="10"/>
  <c r="D4196" i="10"/>
  <c r="D4195" i="10"/>
  <c r="D4194" i="10"/>
  <c r="D4193" i="10"/>
  <c r="D4192" i="10"/>
  <c r="D4191" i="10"/>
  <c r="D4190" i="10"/>
  <c r="D4189" i="10"/>
  <c r="D4188" i="10"/>
  <c r="D4187" i="10"/>
  <c r="D4186" i="10"/>
  <c r="D4185" i="10"/>
  <c r="D4184" i="10"/>
  <c r="D4183" i="10"/>
  <c r="D4182" i="10"/>
  <c r="D4181" i="10"/>
  <c r="D4180" i="10"/>
  <c r="D4179" i="10"/>
  <c r="D4178" i="10"/>
  <c r="D4177" i="10"/>
  <c r="D4176" i="10"/>
  <c r="D4175" i="10"/>
  <c r="D4174" i="10"/>
  <c r="D4173" i="10"/>
  <c r="D4172" i="10"/>
  <c r="D4171" i="10"/>
  <c r="D4170" i="10"/>
  <c r="D4169" i="10"/>
  <c r="D4168" i="10"/>
  <c r="D4167" i="10"/>
  <c r="D4166" i="10"/>
  <c r="D4165" i="10"/>
  <c r="D4164" i="10"/>
  <c r="D4163" i="10"/>
  <c r="D4162" i="10"/>
  <c r="D4161" i="10"/>
  <c r="D4160" i="10"/>
  <c r="D4159" i="10"/>
  <c r="D4158" i="10"/>
  <c r="D4157" i="10"/>
  <c r="D4156" i="10"/>
  <c r="D4155" i="10"/>
  <c r="D4154" i="10"/>
  <c r="D4153" i="10"/>
  <c r="D4152" i="10"/>
  <c r="D4151" i="10"/>
  <c r="D4150" i="10"/>
  <c r="D4149" i="10"/>
  <c r="D4148" i="10"/>
  <c r="D4147" i="10"/>
  <c r="D4146" i="10"/>
  <c r="D4145" i="10"/>
  <c r="D4144" i="10"/>
  <c r="D4143" i="10"/>
  <c r="D4142" i="10"/>
  <c r="D4141" i="10"/>
  <c r="D4140" i="10"/>
  <c r="D4139" i="10"/>
  <c r="D4138" i="10"/>
  <c r="D4137" i="10"/>
  <c r="D4136" i="10"/>
  <c r="D4135" i="10"/>
  <c r="D4134" i="10"/>
  <c r="D4133" i="10"/>
  <c r="D4132" i="10"/>
  <c r="D4131" i="10"/>
  <c r="D4130" i="10"/>
  <c r="D4129" i="10"/>
  <c r="D4128" i="10"/>
  <c r="D4127" i="10"/>
  <c r="D4126" i="10"/>
  <c r="D4125" i="10"/>
  <c r="D4124" i="10"/>
  <c r="D4123" i="10"/>
  <c r="D4122" i="10"/>
  <c r="D4121" i="10"/>
  <c r="D4120" i="10"/>
  <c r="D4119" i="10"/>
  <c r="D4118" i="10"/>
  <c r="D4117" i="10"/>
  <c r="D4116" i="10"/>
  <c r="D4115" i="10"/>
  <c r="D4114" i="10"/>
  <c r="D4113" i="10"/>
  <c r="D4112" i="10"/>
  <c r="D4111" i="10"/>
  <c r="D4110" i="10"/>
  <c r="D4109" i="10"/>
  <c r="D4108" i="10"/>
  <c r="D4107" i="10"/>
  <c r="D4106" i="10"/>
  <c r="D4105" i="10"/>
  <c r="D4104" i="10"/>
  <c r="D4103" i="10"/>
  <c r="D4102" i="10"/>
  <c r="D4101" i="10"/>
  <c r="D4100" i="10"/>
  <c r="D4099" i="10"/>
  <c r="D4098" i="10"/>
  <c r="D4097" i="10"/>
  <c r="D4096" i="10"/>
  <c r="D4095" i="10"/>
  <c r="D4094" i="10"/>
  <c r="D4093" i="10"/>
  <c r="D4092" i="10"/>
  <c r="D4091" i="10"/>
  <c r="D4090" i="10"/>
  <c r="D4089" i="10"/>
  <c r="D4088" i="10"/>
  <c r="D4087" i="10"/>
  <c r="D4086" i="10"/>
  <c r="D4085" i="10"/>
  <c r="D4084" i="10"/>
  <c r="D4083" i="10"/>
  <c r="D4082" i="10"/>
  <c r="D4081" i="10"/>
  <c r="D4080" i="10"/>
  <c r="D4079" i="10"/>
  <c r="D4078" i="10"/>
  <c r="D4077" i="10"/>
  <c r="D4076" i="10"/>
  <c r="D4075" i="10"/>
  <c r="D4074" i="10"/>
  <c r="D4073" i="10"/>
  <c r="D4072" i="10"/>
  <c r="D4071" i="10"/>
  <c r="D4070" i="10"/>
  <c r="D4069" i="10"/>
  <c r="D4068" i="10"/>
  <c r="D4067" i="10"/>
  <c r="D4066" i="10"/>
  <c r="D4065" i="10"/>
  <c r="D4064" i="10"/>
  <c r="D4063" i="10"/>
  <c r="D4062" i="10"/>
  <c r="D4061" i="10"/>
  <c r="D4060" i="10"/>
  <c r="D4059" i="10"/>
  <c r="D4058" i="10"/>
  <c r="D4057" i="10"/>
  <c r="D4056" i="10"/>
  <c r="D4055" i="10"/>
  <c r="D4054" i="10"/>
  <c r="D4053" i="10"/>
  <c r="D4052" i="10"/>
  <c r="D4051" i="10"/>
  <c r="D4050" i="10"/>
  <c r="D4049" i="10"/>
  <c r="D4048" i="10"/>
  <c r="D4047" i="10"/>
  <c r="D4046" i="10"/>
  <c r="D4045" i="10"/>
  <c r="D4044" i="10"/>
  <c r="D4043" i="10"/>
  <c r="D4042" i="10"/>
  <c r="D4041" i="10"/>
  <c r="D4040" i="10"/>
  <c r="D4039" i="10"/>
  <c r="D4038" i="10"/>
  <c r="D4037" i="10"/>
  <c r="D4036" i="10"/>
  <c r="D4035" i="10"/>
  <c r="D4034" i="10"/>
  <c r="D4033" i="10"/>
  <c r="D4032" i="10"/>
  <c r="D4031" i="10"/>
  <c r="D4030" i="10"/>
  <c r="D4029" i="10"/>
  <c r="D4028" i="10"/>
  <c r="D4027" i="10"/>
  <c r="D4026" i="10"/>
  <c r="D4025" i="10"/>
  <c r="D4024" i="10"/>
  <c r="D4023" i="10"/>
  <c r="D4022" i="10"/>
  <c r="D4021" i="10"/>
  <c r="D4020" i="10"/>
  <c r="D4019" i="10"/>
  <c r="D4018" i="10"/>
  <c r="D4017" i="10"/>
  <c r="D4016" i="10"/>
  <c r="D4015" i="10"/>
  <c r="D4014" i="10"/>
  <c r="D4013" i="10"/>
  <c r="D4012" i="10"/>
  <c r="D4011" i="10"/>
  <c r="D4010" i="10"/>
  <c r="D4009" i="10"/>
  <c r="D4008" i="10"/>
  <c r="D4007" i="10"/>
  <c r="D4006" i="10"/>
  <c r="D4005" i="10"/>
  <c r="D4004" i="10"/>
  <c r="D4003" i="10"/>
  <c r="D4002" i="10"/>
  <c r="D4001" i="10"/>
  <c r="D4000" i="10"/>
  <c r="D3999" i="10"/>
  <c r="D3998" i="10"/>
  <c r="D3997" i="10"/>
  <c r="D3996" i="10"/>
  <c r="D3995" i="10"/>
  <c r="D3994" i="10"/>
  <c r="D3993" i="10"/>
  <c r="D3992" i="10"/>
  <c r="D3991" i="10"/>
  <c r="D3990" i="10"/>
  <c r="D3989" i="10"/>
  <c r="D3988" i="10"/>
  <c r="D3987" i="10"/>
  <c r="D3986" i="10"/>
  <c r="D3985" i="10"/>
  <c r="D3984" i="10"/>
  <c r="D3983" i="10"/>
  <c r="D3982" i="10"/>
  <c r="D3981" i="10"/>
  <c r="D3980" i="10"/>
  <c r="D3979" i="10"/>
  <c r="D3978" i="10"/>
  <c r="D3977" i="10"/>
  <c r="D3976" i="10"/>
  <c r="D3975" i="10"/>
  <c r="D3974" i="10"/>
  <c r="D3973" i="10"/>
  <c r="D3972" i="10"/>
  <c r="D3971" i="10"/>
  <c r="D3970" i="10"/>
  <c r="D3969" i="10"/>
  <c r="D3968" i="10"/>
  <c r="D3967" i="10"/>
  <c r="D3966" i="10"/>
  <c r="D3965" i="10"/>
  <c r="D3964" i="10"/>
  <c r="D3963" i="10"/>
  <c r="D3962" i="10"/>
  <c r="D3961" i="10"/>
  <c r="D3960" i="10"/>
  <c r="D3959" i="10"/>
  <c r="D3958" i="10"/>
  <c r="D3957" i="10"/>
  <c r="D3956" i="10"/>
  <c r="D3955" i="10"/>
  <c r="D3954" i="10"/>
  <c r="D3953" i="10"/>
  <c r="D3952" i="10"/>
  <c r="D3951" i="10"/>
  <c r="D3950" i="10"/>
  <c r="D3949" i="10"/>
  <c r="D3948" i="10"/>
  <c r="D3947" i="10"/>
  <c r="D3946" i="10"/>
  <c r="D3945" i="10"/>
  <c r="D3944" i="10"/>
  <c r="D3943" i="10"/>
  <c r="D3942" i="10"/>
  <c r="D3941" i="10"/>
  <c r="D3940" i="10"/>
  <c r="D3939" i="10"/>
  <c r="D3938" i="10"/>
  <c r="D3937" i="10"/>
  <c r="D3936" i="10"/>
  <c r="D3935" i="10"/>
  <c r="D3934" i="10"/>
  <c r="D3933" i="10"/>
  <c r="D3932" i="10"/>
  <c r="D3931" i="10"/>
  <c r="D3930" i="10"/>
  <c r="D3929" i="10"/>
  <c r="D3928" i="10"/>
  <c r="D3927" i="10"/>
  <c r="D3926" i="10"/>
  <c r="D3925" i="10"/>
  <c r="D3924" i="10"/>
  <c r="D3923" i="10"/>
  <c r="D3922" i="10"/>
  <c r="D3921" i="10"/>
  <c r="D3920" i="10"/>
  <c r="D3919" i="10"/>
  <c r="D3918" i="10"/>
  <c r="D3917" i="10"/>
  <c r="D3916" i="10"/>
  <c r="D3915" i="10"/>
  <c r="D3914" i="10"/>
  <c r="D3913" i="10"/>
  <c r="D3912" i="10"/>
  <c r="D3911" i="10"/>
  <c r="D3910" i="10"/>
  <c r="D3909" i="10"/>
  <c r="D3908" i="10"/>
  <c r="D3907" i="10"/>
  <c r="D3906" i="10"/>
  <c r="D3905" i="10"/>
  <c r="D3904" i="10"/>
  <c r="D3903" i="10"/>
  <c r="D3902" i="10"/>
  <c r="D3901" i="10"/>
  <c r="D3900" i="10"/>
  <c r="D3899" i="10"/>
  <c r="D3898" i="10"/>
  <c r="D3897" i="10"/>
  <c r="D3896" i="10"/>
  <c r="D3895" i="10"/>
  <c r="D3894" i="10"/>
  <c r="D3893" i="10"/>
  <c r="D3892" i="10"/>
  <c r="D3891" i="10"/>
  <c r="D3890" i="10"/>
  <c r="D3889" i="10"/>
  <c r="D3888" i="10"/>
  <c r="D3887" i="10"/>
  <c r="D3886" i="10"/>
  <c r="D3885" i="10"/>
  <c r="D3884" i="10"/>
  <c r="D3883" i="10"/>
  <c r="D3882" i="10"/>
  <c r="D3881" i="10"/>
  <c r="D3880" i="10"/>
  <c r="D3879" i="10"/>
  <c r="D3878" i="10"/>
  <c r="D3877" i="10"/>
  <c r="D3876" i="10"/>
  <c r="D3875" i="10"/>
  <c r="D3874" i="10"/>
  <c r="D3873" i="10"/>
  <c r="D3872" i="10"/>
  <c r="D3871" i="10"/>
  <c r="D3870" i="10"/>
  <c r="D3869" i="10"/>
  <c r="D3868" i="10"/>
  <c r="D3867" i="10"/>
  <c r="D3866" i="10"/>
  <c r="D3865" i="10"/>
  <c r="D3864" i="10"/>
  <c r="D3863" i="10"/>
  <c r="D3862" i="10"/>
  <c r="D3861" i="10"/>
  <c r="D3860" i="10"/>
  <c r="D3859" i="10"/>
  <c r="D3858" i="10"/>
  <c r="D3857" i="10"/>
  <c r="D3856" i="10"/>
  <c r="D3855" i="10"/>
  <c r="D3854" i="10"/>
  <c r="D3853" i="10"/>
  <c r="D3852" i="10"/>
  <c r="D3851" i="10"/>
  <c r="D3850" i="10"/>
  <c r="D3849" i="10"/>
  <c r="D3848" i="10"/>
  <c r="D3847" i="10"/>
  <c r="D3846" i="10"/>
  <c r="D3845" i="10"/>
  <c r="D3844" i="10"/>
  <c r="D3843" i="10"/>
  <c r="D3842" i="10"/>
  <c r="D3841" i="10"/>
  <c r="D3840" i="10"/>
  <c r="D3839" i="10"/>
  <c r="D3838" i="10"/>
  <c r="D3837" i="10"/>
  <c r="D3836" i="10"/>
  <c r="D3835" i="10"/>
  <c r="D3834" i="10"/>
  <c r="D3833" i="10"/>
  <c r="D3832" i="10"/>
  <c r="D3831" i="10"/>
  <c r="D3830" i="10"/>
  <c r="D3829" i="10"/>
  <c r="D3828" i="10"/>
  <c r="D3827" i="10"/>
  <c r="D3826" i="10"/>
  <c r="D3825" i="10"/>
  <c r="D3824" i="10"/>
  <c r="D3823" i="10"/>
  <c r="D3822" i="10"/>
  <c r="D3821" i="10"/>
  <c r="D3820" i="10"/>
  <c r="D3819" i="10"/>
  <c r="D3818" i="10"/>
  <c r="D3817" i="10"/>
  <c r="D3816" i="10"/>
  <c r="D3815" i="10"/>
  <c r="D3814" i="10"/>
  <c r="D3813" i="10"/>
  <c r="D3812" i="10"/>
  <c r="D3811" i="10"/>
  <c r="D3810" i="10"/>
  <c r="D3809" i="10"/>
  <c r="D3808" i="10"/>
  <c r="D3807" i="10"/>
  <c r="D3806" i="10"/>
  <c r="D3805" i="10"/>
  <c r="D3804" i="10"/>
  <c r="D3803" i="10"/>
  <c r="D3802" i="10"/>
  <c r="D3801" i="10"/>
  <c r="D3800" i="10"/>
  <c r="D3799" i="10"/>
  <c r="D3798" i="10"/>
  <c r="D3797" i="10"/>
  <c r="D3796" i="10"/>
  <c r="D3795" i="10"/>
  <c r="D3794" i="10"/>
  <c r="D3793" i="10"/>
  <c r="D3792" i="10"/>
  <c r="D3791" i="10"/>
  <c r="D3790" i="10"/>
  <c r="D3789" i="10"/>
  <c r="D3788" i="10"/>
  <c r="D3787" i="10"/>
  <c r="D3786" i="10"/>
  <c r="D3785" i="10"/>
  <c r="D3784" i="10"/>
  <c r="D3783" i="10"/>
  <c r="D3782" i="10"/>
  <c r="D3781" i="10"/>
  <c r="D3780" i="10"/>
  <c r="D3779" i="10"/>
  <c r="D3778" i="10"/>
  <c r="D3777" i="10"/>
  <c r="D3776" i="10"/>
  <c r="D3775" i="10"/>
  <c r="D3774" i="10"/>
  <c r="D3773" i="10"/>
  <c r="D3772" i="10"/>
  <c r="D3771" i="10"/>
  <c r="D3770" i="10"/>
  <c r="D3769" i="10"/>
  <c r="D3768" i="10"/>
  <c r="D3767" i="10"/>
  <c r="D3766" i="10"/>
  <c r="D3765" i="10"/>
  <c r="D3764" i="10"/>
  <c r="D3763" i="10"/>
  <c r="D3762" i="10"/>
  <c r="D3761" i="10"/>
  <c r="D3760" i="10"/>
  <c r="D3759" i="10"/>
  <c r="D3758" i="10"/>
  <c r="D3757" i="10"/>
  <c r="D3756" i="10"/>
  <c r="D3755" i="10"/>
  <c r="D3754" i="10"/>
  <c r="D3753" i="10"/>
  <c r="D3752" i="10"/>
  <c r="D3751" i="10"/>
  <c r="D3750" i="10"/>
  <c r="D3749" i="10"/>
  <c r="D3748" i="10"/>
  <c r="D3747" i="10"/>
  <c r="D3746" i="10"/>
  <c r="D3745" i="10"/>
  <c r="D3744" i="10"/>
  <c r="D3743" i="10"/>
  <c r="D3742" i="10"/>
  <c r="D3741" i="10"/>
  <c r="D3740" i="10"/>
  <c r="D3739" i="10"/>
  <c r="D3738" i="10"/>
  <c r="D3737" i="10"/>
  <c r="D3736" i="10"/>
  <c r="D3735" i="10"/>
  <c r="D3734" i="10"/>
  <c r="D3733" i="10"/>
  <c r="D3732" i="10"/>
  <c r="D3731" i="10"/>
  <c r="D3730" i="10"/>
  <c r="D3729" i="10"/>
  <c r="D3728" i="10"/>
  <c r="D3727" i="10"/>
  <c r="D3726" i="10"/>
  <c r="D3725" i="10"/>
  <c r="D3724" i="10"/>
  <c r="D3723" i="10"/>
  <c r="D3722" i="10"/>
  <c r="D3721" i="10"/>
  <c r="D3720" i="10"/>
  <c r="D3719" i="10"/>
  <c r="D3718" i="10"/>
  <c r="D3717" i="10"/>
  <c r="D3716" i="10"/>
  <c r="D3715" i="10"/>
  <c r="D3714" i="10"/>
  <c r="D3713" i="10"/>
  <c r="D3712" i="10"/>
  <c r="D3711" i="10"/>
  <c r="D3710" i="10"/>
  <c r="D3709" i="10"/>
  <c r="D3708" i="10"/>
  <c r="D3707" i="10"/>
  <c r="D3706" i="10"/>
  <c r="D3705" i="10"/>
  <c r="D3704" i="10"/>
  <c r="D3703" i="10"/>
  <c r="D3702" i="10"/>
  <c r="D3701" i="10"/>
  <c r="D3700" i="10"/>
  <c r="D3699" i="10"/>
  <c r="D3698" i="10"/>
  <c r="D3697" i="10"/>
  <c r="D3696" i="10"/>
  <c r="D3695" i="10"/>
  <c r="D3694" i="10"/>
  <c r="D3693" i="10"/>
  <c r="D3692" i="10"/>
  <c r="D3691" i="10"/>
  <c r="D3690" i="10"/>
  <c r="D3689" i="10"/>
  <c r="D3688" i="10"/>
  <c r="D3687" i="10"/>
  <c r="D3686" i="10"/>
  <c r="D3685" i="10"/>
  <c r="D3684" i="10"/>
  <c r="D3683" i="10"/>
  <c r="D3682" i="10"/>
  <c r="D3681" i="10"/>
  <c r="D3680" i="10"/>
  <c r="D3679" i="10"/>
  <c r="D3678" i="10"/>
  <c r="D3677" i="10"/>
  <c r="D3676" i="10"/>
  <c r="D3675" i="10"/>
  <c r="D3674" i="10"/>
  <c r="D3673" i="10"/>
  <c r="D3672" i="10"/>
  <c r="D3671" i="10"/>
  <c r="D3670" i="10"/>
  <c r="D3669" i="10"/>
  <c r="D3668" i="10"/>
  <c r="D3667" i="10"/>
  <c r="D3666" i="10"/>
  <c r="D3665" i="10"/>
  <c r="D3664" i="10"/>
  <c r="D3663" i="10"/>
  <c r="D3662" i="10"/>
  <c r="D3661" i="10"/>
  <c r="D3660" i="10"/>
  <c r="D3659" i="10"/>
  <c r="D3658" i="10"/>
  <c r="D3657" i="10"/>
  <c r="D3656" i="10"/>
  <c r="D3655" i="10"/>
  <c r="D3654" i="10"/>
  <c r="D3653" i="10"/>
  <c r="D3652" i="10"/>
  <c r="D3651" i="10"/>
  <c r="D3650" i="10"/>
  <c r="D3649" i="10"/>
  <c r="D3648" i="10"/>
  <c r="D3647" i="10"/>
  <c r="D3646" i="10"/>
  <c r="D3645" i="10"/>
  <c r="D3644" i="10"/>
  <c r="D3643" i="10"/>
  <c r="D3642" i="10"/>
  <c r="D3641" i="10"/>
  <c r="D3640" i="10"/>
  <c r="D3639" i="10"/>
  <c r="D3638" i="10"/>
  <c r="D3637" i="10"/>
  <c r="D3636" i="10"/>
  <c r="D3635" i="10"/>
  <c r="D3634" i="10"/>
  <c r="D3633" i="10"/>
  <c r="D3632" i="10"/>
  <c r="D3631" i="10"/>
  <c r="D3630" i="10"/>
  <c r="D3629" i="10"/>
  <c r="D3628" i="10"/>
  <c r="D3627" i="10"/>
  <c r="D3626" i="10"/>
  <c r="D3625" i="10"/>
  <c r="D3624" i="10"/>
  <c r="D3623" i="10"/>
  <c r="D3622" i="10"/>
  <c r="D3621" i="10"/>
  <c r="D3620" i="10"/>
  <c r="D3619" i="10"/>
  <c r="D3618" i="10"/>
  <c r="D3617" i="10"/>
  <c r="D3616" i="10"/>
  <c r="D3615" i="10"/>
  <c r="D3614" i="10"/>
  <c r="D3613" i="10"/>
  <c r="D3612" i="10"/>
  <c r="D3611" i="10"/>
  <c r="D3610" i="10"/>
  <c r="D3609" i="10"/>
  <c r="D3608" i="10"/>
  <c r="D3607" i="10"/>
  <c r="D3606" i="10"/>
  <c r="D3605" i="10"/>
  <c r="D3604" i="10"/>
  <c r="D3603" i="10"/>
  <c r="D3602" i="10"/>
  <c r="D3601" i="10"/>
  <c r="D3600" i="10"/>
  <c r="D3599" i="10"/>
  <c r="D3598" i="10"/>
  <c r="D3597" i="10"/>
  <c r="D3596" i="10"/>
  <c r="D3595" i="10"/>
  <c r="D3594" i="10"/>
  <c r="D3593" i="10"/>
  <c r="D3592" i="10"/>
  <c r="D3591" i="10"/>
  <c r="D3590" i="10"/>
  <c r="D3589" i="10"/>
  <c r="D3588" i="10"/>
  <c r="D3587" i="10"/>
  <c r="D3586" i="10"/>
  <c r="D3585" i="10"/>
  <c r="D3584" i="10"/>
  <c r="D3583" i="10"/>
  <c r="D3582" i="10"/>
  <c r="D3581" i="10"/>
  <c r="D3580" i="10"/>
  <c r="D3579" i="10"/>
  <c r="D3578" i="10"/>
  <c r="D3577" i="10"/>
  <c r="D3576" i="10"/>
  <c r="D3575" i="10"/>
  <c r="D3574" i="10"/>
  <c r="D3573" i="10"/>
  <c r="D3572" i="10"/>
  <c r="D3571" i="10"/>
  <c r="D3570" i="10"/>
  <c r="D3569" i="10"/>
  <c r="D3568" i="10"/>
  <c r="D3567" i="10"/>
  <c r="D3566" i="10"/>
  <c r="D3565" i="10"/>
  <c r="D3564" i="10"/>
  <c r="D3563" i="10"/>
  <c r="D3562" i="10"/>
  <c r="D3561" i="10"/>
  <c r="D3560" i="10"/>
  <c r="D3559" i="10"/>
  <c r="D3558" i="10"/>
  <c r="D3557" i="10"/>
  <c r="D3556" i="10"/>
  <c r="D3555" i="10"/>
  <c r="D3554" i="10"/>
  <c r="D3553" i="10"/>
  <c r="D3552" i="10"/>
  <c r="D3551" i="10"/>
  <c r="D3550" i="10"/>
  <c r="D3549" i="10"/>
  <c r="D3548" i="10"/>
  <c r="D3547" i="10"/>
  <c r="D3546" i="10"/>
  <c r="D3545" i="10"/>
  <c r="D3544" i="10"/>
  <c r="D3543" i="10"/>
  <c r="D3542" i="10"/>
  <c r="D3541" i="10"/>
  <c r="D3540" i="10"/>
  <c r="D3539" i="10"/>
  <c r="D3538" i="10"/>
  <c r="D3537" i="10"/>
  <c r="D3536" i="10"/>
  <c r="D3535" i="10"/>
  <c r="D3534" i="10"/>
  <c r="D3533" i="10"/>
  <c r="D3532" i="10"/>
  <c r="D3531" i="10"/>
  <c r="D3530" i="10"/>
  <c r="D3529" i="10"/>
  <c r="D3528" i="10"/>
  <c r="D3527" i="10"/>
  <c r="D3526" i="10"/>
  <c r="D3525" i="10"/>
  <c r="D3524" i="10"/>
  <c r="D3523" i="10"/>
  <c r="D3522" i="10"/>
  <c r="D3521" i="10"/>
  <c r="D3520" i="10"/>
  <c r="D3519" i="10"/>
  <c r="D3518" i="10"/>
  <c r="D3517" i="10"/>
  <c r="D3516" i="10"/>
  <c r="D3515" i="10"/>
  <c r="D3514" i="10"/>
  <c r="D3513" i="10"/>
  <c r="D3512" i="10"/>
  <c r="D3511" i="10"/>
  <c r="D3510" i="10"/>
  <c r="D3509" i="10"/>
  <c r="D3508" i="10"/>
  <c r="D3507" i="10"/>
  <c r="D3506" i="10"/>
  <c r="D3505" i="10"/>
  <c r="D3504" i="10"/>
  <c r="D3503" i="10"/>
  <c r="D3502" i="10"/>
  <c r="D3501" i="10"/>
  <c r="D3500" i="10"/>
  <c r="D3499" i="10"/>
  <c r="D3498" i="10"/>
  <c r="D3497" i="10"/>
  <c r="D3496" i="10"/>
  <c r="D3495" i="10"/>
  <c r="D3494" i="10"/>
  <c r="D3493" i="10"/>
  <c r="D3492" i="10"/>
  <c r="D3491" i="10"/>
  <c r="D3490" i="10"/>
  <c r="D3489" i="10"/>
  <c r="D3488" i="10"/>
  <c r="D3487" i="10"/>
  <c r="D3486" i="10"/>
  <c r="D3485" i="10"/>
  <c r="D3484" i="10"/>
  <c r="D3483" i="10"/>
  <c r="D3482" i="10"/>
  <c r="D3481" i="10"/>
  <c r="D3480" i="10"/>
  <c r="D3479" i="10"/>
  <c r="D3478" i="10"/>
  <c r="D3477" i="10"/>
  <c r="D3476" i="10"/>
  <c r="D3475" i="10"/>
  <c r="D3474" i="10"/>
  <c r="D3473" i="10"/>
  <c r="D3472" i="10"/>
  <c r="D3471" i="10"/>
  <c r="D3470" i="10"/>
  <c r="D3469" i="10"/>
  <c r="D3468" i="10"/>
  <c r="D3467" i="10"/>
  <c r="D3466" i="10"/>
  <c r="D3465" i="10"/>
  <c r="D3464" i="10"/>
  <c r="D3463" i="10"/>
  <c r="D3462" i="10"/>
  <c r="D3461" i="10"/>
  <c r="D3460" i="10"/>
  <c r="D3459" i="10"/>
  <c r="D3458" i="10"/>
  <c r="D3457" i="10"/>
  <c r="D3456" i="10"/>
  <c r="D3455" i="10"/>
  <c r="D3454" i="10"/>
  <c r="D3453" i="10"/>
  <c r="D3452" i="10"/>
  <c r="D3451" i="10"/>
  <c r="D3450" i="10"/>
  <c r="D3449" i="10"/>
  <c r="D3448" i="10"/>
  <c r="D3447" i="10"/>
  <c r="D3446" i="10"/>
  <c r="D3445" i="10"/>
  <c r="D3444" i="10"/>
  <c r="D3443" i="10"/>
  <c r="D3442" i="10"/>
  <c r="D3441" i="10"/>
  <c r="D3440" i="10"/>
  <c r="D3439" i="10"/>
  <c r="D3438" i="10"/>
  <c r="D3437" i="10"/>
  <c r="D3436" i="10"/>
  <c r="D3435" i="10"/>
  <c r="D3434" i="10"/>
  <c r="D3433" i="10"/>
  <c r="D3432" i="10"/>
  <c r="D3431" i="10"/>
  <c r="D3430" i="10"/>
  <c r="D3429" i="10"/>
  <c r="D3428" i="10"/>
  <c r="D3427" i="10"/>
  <c r="D3426" i="10"/>
  <c r="D3425" i="10"/>
  <c r="D3424" i="10"/>
  <c r="D3423" i="10"/>
  <c r="D3422" i="10"/>
  <c r="D3421" i="10"/>
  <c r="D3420" i="10"/>
  <c r="D3419" i="10"/>
  <c r="D3418" i="10"/>
  <c r="D3417" i="10"/>
  <c r="D3416" i="10"/>
  <c r="D3415" i="10"/>
  <c r="D3414" i="10"/>
  <c r="D3413" i="10"/>
  <c r="D3412" i="10"/>
  <c r="D3411" i="10"/>
  <c r="D3410" i="10"/>
  <c r="D3409" i="10"/>
  <c r="D3408" i="10"/>
  <c r="D3407" i="10"/>
  <c r="D3406" i="10"/>
  <c r="D3405" i="10"/>
  <c r="D3404" i="10"/>
  <c r="D3403" i="10"/>
  <c r="D3402" i="10"/>
  <c r="D3401" i="10"/>
  <c r="D3400" i="10"/>
  <c r="D3399" i="10"/>
  <c r="D3398" i="10"/>
  <c r="D3397" i="10"/>
  <c r="D3396" i="10"/>
  <c r="D3395" i="10"/>
  <c r="D3394" i="10"/>
  <c r="D3393" i="10"/>
  <c r="D3392" i="10"/>
  <c r="D3391" i="10"/>
  <c r="D3390" i="10"/>
  <c r="D3389" i="10"/>
  <c r="D3388" i="10"/>
  <c r="D3387" i="10"/>
  <c r="D3386" i="10"/>
  <c r="D3385" i="10"/>
  <c r="D3384" i="10"/>
  <c r="D3383" i="10"/>
  <c r="D3382" i="10"/>
  <c r="D3381" i="10"/>
  <c r="D3380" i="10"/>
  <c r="D3379" i="10"/>
  <c r="D3378" i="10"/>
  <c r="D3377" i="10"/>
  <c r="D3376" i="10"/>
  <c r="D3375" i="10"/>
  <c r="D3374" i="10"/>
  <c r="D3373" i="10"/>
  <c r="D3372" i="10"/>
  <c r="D3371" i="10"/>
  <c r="D3370" i="10"/>
  <c r="D3369" i="10"/>
  <c r="D3368" i="10"/>
  <c r="D3367" i="10"/>
  <c r="D3366" i="10"/>
  <c r="D3365" i="10"/>
  <c r="D3364" i="10"/>
  <c r="D3363" i="10"/>
  <c r="D3362" i="10"/>
  <c r="D3361" i="10"/>
  <c r="D3360" i="10"/>
  <c r="D3359" i="10"/>
  <c r="D3358" i="10"/>
  <c r="D3357" i="10"/>
  <c r="D3356" i="10"/>
  <c r="D3355" i="10"/>
  <c r="D3354" i="10"/>
  <c r="D3353" i="10"/>
  <c r="D3352" i="10"/>
  <c r="D3351" i="10"/>
  <c r="D3350" i="10"/>
  <c r="D3349" i="10"/>
  <c r="D3348" i="10"/>
  <c r="D3347" i="10"/>
  <c r="D3346" i="10"/>
  <c r="D3345" i="10"/>
  <c r="D3344" i="10"/>
  <c r="D3343" i="10"/>
  <c r="D3342" i="10"/>
  <c r="D3341" i="10"/>
  <c r="D3340" i="10"/>
  <c r="D3339" i="10"/>
  <c r="D3338" i="10"/>
  <c r="D3337" i="10"/>
  <c r="D3336" i="10"/>
  <c r="D3335" i="10"/>
  <c r="D3334" i="10"/>
  <c r="D3333" i="10"/>
  <c r="D3332" i="10"/>
  <c r="D3331" i="10"/>
  <c r="D3330" i="10"/>
  <c r="D3329" i="10"/>
  <c r="D3328" i="10"/>
  <c r="D3327" i="10"/>
  <c r="D3326" i="10"/>
  <c r="D3325" i="10"/>
  <c r="D3324" i="10"/>
  <c r="D3323" i="10"/>
  <c r="D3322" i="10"/>
  <c r="D3321" i="10"/>
  <c r="D3320" i="10"/>
  <c r="D3319" i="10"/>
  <c r="D3318" i="10"/>
  <c r="D3317" i="10"/>
  <c r="D3316" i="10"/>
  <c r="D3315" i="10"/>
  <c r="D3314" i="10"/>
  <c r="D3313" i="10"/>
  <c r="D3312" i="10"/>
  <c r="D3311" i="10"/>
  <c r="D3310" i="10"/>
  <c r="D3309" i="10"/>
  <c r="D3308" i="10"/>
  <c r="D3307" i="10"/>
  <c r="D3306" i="10"/>
  <c r="D3305" i="10"/>
  <c r="D3304" i="10"/>
  <c r="D3303" i="10"/>
  <c r="D3302" i="10"/>
  <c r="D3301" i="10"/>
  <c r="D3300" i="10"/>
  <c r="D3299" i="10"/>
  <c r="D3298" i="10"/>
  <c r="D3297" i="10"/>
  <c r="D3296" i="10"/>
  <c r="D3295" i="10"/>
  <c r="D3294" i="10"/>
  <c r="D3293" i="10"/>
  <c r="D3292" i="10"/>
  <c r="D3291" i="10"/>
  <c r="D3290" i="10"/>
  <c r="D3289" i="10"/>
  <c r="D3288" i="10"/>
  <c r="D3287" i="10"/>
  <c r="D3286" i="10"/>
  <c r="D3285" i="10"/>
  <c r="D3284" i="10"/>
  <c r="D3283" i="10"/>
  <c r="D3282" i="10"/>
  <c r="D3281" i="10"/>
  <c r="D3280" i="10"/>
  <c r="D3279" i="10"/>
  <c r="D3278" i="10"/>
  <c r="D3277" i="10"/>
  <c r="D3276" i="10"/>
  <c r="D3275" i="10"/>
  <c r="D3274" i="10"/>
  <c r="D3273" i="10"/>
  <c r="D3272" i="10"/>
  <c r="D3271" i="10"/>
  <c r="D3270" i="10"/>
  <c r="D3269" i="10"/>
  <c r="D3268" i="10"/>
  <c r="D3267" i="10"/>
  <c r="D3266" i="10"/>
  <c r="D3265" i="10"/>
  <c r="D3264" i="10"/>
  <c r="D3263" i="10"/>
  <c r="D3262" i="10"/>
  <c r="D3261" i="10"/>
  <c r="D3260" i="10"/>
  <c r="D3259" i="10"/>
  <c r="D3258" i="10"/>
  <c r="D3257" i="10"/>
  <c r="D3256" i="10"/>
  <c r="D3255" i="10"/>
  <c r="D3254" i="10"/>
  <c r="D3253" i="10"/>
  <c r="D3252" i="10"/>
  <c r="D3251" i="10"/>
  <c r="D3250" i="10"/>
  <c r="D3249" i="10"/>
  <c r="D3248" i="10"/>
  <c r="D3247" i="10"/>
  <c r="D3246" i="10"/>
  <c r="D3245" i="10"/>
  <c r="D3244" i="10"/>
  <c r="D3243" i="10"/>
  <c r="D3242" i="10"/>
  <c r="D3241" i="10"/>
  <c r="D3240" i="10"/>
  <c r="D3239" i="10"/>
  <c r="D3238" i="10"/>
  <c r="D3237" i="10"/>
  <c r="D3236" i="10"/>
  <c r="D3235" i="10"/>
  <c r="D3234" i="10"/>
  <c r="D3233" i="10"/>
  <c r="D3232" i="10"/>
  <c r="D3231" i="10"/>
  <c r="D3230" i="10"/>
  <c r="D3229" i="10"/>
  <c r="D3228" i="10"/>
  <c r="D3227" i="10"/>
  <c r="D3226" i="10"/>
  <c r="D3225" i="10"/>
  <c r="D3224" i="10"/>
  <c r="D3223" i="10"/>
  <c r="D3222" i="10"/>
  <c r="D3221" i="10"/>
  <c r="D3220" i="10"/>
  <c r="D3219" i="10"/>
  <c r="D3218" i="10"/>
  <c r="D3217" i="10"/>
  <c r="D3216" i="10"/>
  <c r="D3215" i="10"/>
  <c r="D3214" i="10"/>
  <c r="D3213" i="10"/>
  <c r="D3212" i="10"/>
  <c r="D3211" i="10"/>
  <c r="D3210" i="10"/>
  <c r="D3209" i="10"/>
  <c r="D3208" i="10"/>
  <c r="D3207" i="10"/>
  <c r="D3206" i="10"/>
  <c r="D3205" i="10"/>
  <c r="D3204" i="10"/>
  <c r="D3203" i="10"/>
  <c r="D3202" i="10"/>
  <c r="D3201" i="10"/>
  <c r="D3200" i="10"/>
  <c r="D3199" i="10"/>
  <c r="D3198" i="10"/>
  <c r="D3197" i="10"/>
  <c r="D3196" i="10"/>
  <c r="D3195" i="10"/>
  <c r="D3194" i="10"/>
  <c r="D3193" i="10"/>
  <c r="D3192" i="10"/>
  <c r="D3191" i="10"/>
  <c r="D3190" i="10"/>
  <c r="D3189" i="10"/>
  <c r="D3188" i="10"/>
  <c r="D3187" i="10"/>
  <c r="D3186" i="10"/>
  <c r="D3185" i="10"/>
  <c r="D3184" i="10"/>
  <c r="D3183" i="10"/>
  <c r="D3182" i="10"/>
  <c r="D3181" i="10"/>
  <c r="D3180" i="10"/>
  <c r="D3179" i="10"/>
  <c r="D3178" i="10"/>
  <c r="D3177" i="10"/>
  <c r="D3176" i="10"/>
  <c r="D3175" i="10"/>
  <c r="D3174" i="10"/>
  <c r="D3173" i="10"/>
  <c r="D3172" i="10"/>
  <c r="D3171" i="10"/>
  <c r="D3170" i="10"/>
  <c r="D3169" i="10"/>
  <c r="D3168" i="10"/>
  <c r="D3167" i="10"/>
  <c r="D3166" i="10"/>
  <c r="D3165" i="10"/>
  <c r="D3164" i="10"/>
  <c r="D3163" i="10"/>
  <c r="D3162" i="10"/>
  <c r="D3161" i="10"/>
  <c r="D3160" i="10"/>
  <c r="D3159" i="10"/>
  <c r="D3158" i="10"/>
  <c r="D3157" i="10"/>
  <c r="D3156" i="10"/>
  <c r="D3155" i="10"/>
  <c r="D3154" i="10"/>
  <c r="D3153" i="10"/>
  <c r="D3152" i="10"/>
  <c r="D3151" i="10"/>
  <c r="D3150" i="10"/>
  <c r="D3149" i="10"/>
  <c r="D3148" i="10"/>
  <c r="D3147" i="10"/>
  <c r="D3146" i="10"/>
  <c r="D3145" i="10"/>
  <c r="D3144" i="10"/>
  <c r="D3143" i="10"/>
  <c r="D3142" i="10"/>
  <c r="D3141" i="10"/>
  <c r="D3140" i="10"/>
  <c r="D3139" i="10"/>
  <c r="D3138" i="10"/>
  <c r="D3137" i="10"/>
  <c r="D3136" i="10"/>
  <c r="D3135" i="10"/>
  <c r="D3134" i="10"/>
  <c r="D3133" i="10"/>
  <c r="D3132" i="10"/>
  <c r="D3131" i="10"/>
  <c r="D3130" i="10"/>
  <c r="D3129" i="10"/>
  <c r="D3128" i="10"/>
  <c r="D3127" i="10"/>
  <c r="D3126" i="10"/>
  <c r="D3125" i="10"/>
  <c r="D3124" i="10"/>
  <c r="D3123" i="10"/>
  <c r="D3122" i="10"/>
  <c r="D3121" i="10"/>
  <c r="D3120" i="10"/>
  <c r="D3119" i="10"/>
  <c r="D3118" i="10"/>
  <c r="D3117" i="10"/>
  <c r="D3116" i="10"/>
  <c r="D3115" i="10"/>
  <c r="D3114" i="10"/>
  <c r="D3113" i="10"/>
  <c r="D3112" i="10"/>
  <c r="D3111" i="10"/>
  <c r="D3110" i="10"/>
  <c r="D3109" i="10"/>
  <c r="D3108" i="10"/>
  <c r="D3107" i="10"/>
  <c r="D3106" i="10"/>
  <c r="D3105" i="10"/>
  <c r="D3104" i="10"/>
  <c r="D3103" i="10"/>
  <c r="D3102" i="10"/>
  <c r="D3101" i="10"/>
  <c r="D3100" i="10"/>
  <c r="D3099" i="10"/>
  <c r="D3098" i="10"/>
  <c r="D3097" i="10"/>
  <c r="D3096" i="10"/>
  <c r="D3095" i="10"/>
  <c r="D3094" i="10"/>
  <c r="D3093" i="10"/>
  <c r="D3092" i="10"/>
  <c r="D3091" i="10"/>
  <c r="D3090" i="10"/>
  <c r="D3089" i="10"/>
  <c r="D3088" i="10"/>
  <c r="D3087" i="10"/>
  <c r="D3086" i="10"/>
  <c r="D3085" i="10"/>
  <c r="D3084" i="10"/>
  <c r="D3083" i="10"/>
  <c r="D3082" i="10"/>
  <c r="D3081" i="10"/>
  <c r="D3080" i="10"/>
  <c r="D3079" i="10"/>
  <c r="D3078" i="10"/>
  <c r="D3077" i="10"/>
  <c r="D3076" i="10"/>
  <c r="D3075" i="10"/>
  <c r="D3074" i="10"/>
  <c r="D3073" i="10"/>
  <c r="D3072" i="10"/>
  <c r="D3071" i="10"/>
  <c r="D3070" i="10"/>
  <c r="D3069" i="10"/>
  <c r="D3068" i="10"/>
  <c r="D3067" i="10"/>
  <c r="D3066" i="10"/>
  <c r="D3065" i="10"/>
  <c r="D3064" i="10"/>
  <c r="D3063" i="10"/>
  <c r="D3062" i="10"/>
  <c r="D3061" i="10"/>
  <c r="D3060" i="10"/>
  <c r="D3059" i="10"/>
  <c r="D3058" i="10"/>
  <c r="D3057" i="10"/>
  <c r="D3056" i="10"/>
  <c r="D3055" i="10"/>
  <c r="D3054" i="10"/>
  <c r="D3053" i="10"/>
  <c r="D3052" i="10"/>
  <c r="D3051" i="10"/>
  <c r="D3050" i="10"/>
  <c r="D3049" i="10"/>
  <c r="D3048" i="10"/>
  <c r="D3047" i="10"/>
  <c r="D3046" i="10"/>
  <c r="D3045" i="10"/>
  <c r="D3044" i="10"/>
  <c r="D3043" i="10"/>
  <c r="D3042" i="10"/>
  <c r="D3041" i="10"/>
  <c r="D3040" i="10"/>
  <c r="D3039" i="10"/>
  <c r="D3038" i="10"/>
  <c r="D3037" i="10"/>
  <c r="D3036" i="10"/>
  <c r="D3035" i="10"/>
  <c r="D3034" i="10"/>
  <c r="D3033" i="10"/>
  <c r="D3032" i="10"/>
  <c r="D3031" i="10"/>
  <c r="D3030" i="10"/>
  <c r="D3029" i="10"/>
  <c r="D3028" i="10"/>
  <c r="D3027" i="10"/>
  <c r="D3026" i="10"/>
  <c r="D3025" i="10"/>
  <c r="D3024" i="10"/>
  <c r="D3023" i="10"/>
  <c r="D3022" i="10"/>
  <c r="D3021" i="10"/>
  <c r="D3020" i="10"/>
  <c r="D3019" i="10"/>
  <c r="D3018" i="10"/>
  <c r="D3017" i="10"/>
  <c r="D3016" i="10"/>
  <c r="D3015" i="10"/>
  <c r="D3014" i="10"/>
  <c r="D3013" i="10"/>
  <c r="D3012" i="10"/>
  <c r="D3011" i="10"/>
  <c r="D3010" i="10"/>
  <c r="D3009" i="10"/>
  <c r="D3008" i="10"/>
  <c r="D3007" i="10"/>
  <c r="D3006" i="10"/>
  <c r="D3005" i="10"/>
  <c r="D3004" i="10"/>
  <c r="D3003" i="10"/>
  <c r="D3002" i="10"/>
  <c r="D3001" i="10"/>
  <c r="D3000" i="10"/>
  <c r="D2999" i="10"/>
  <c r="D2998" i="10"/>
  <c r="D2997" i="10"/>
  <c r="D2996" i="10"/>
  <c r="D2995" i="10"/>
  <c r="D2994" i="10"/>
  <c r="D2993" i="10"/>
  <c r="D2992" i="10"/>
  <c r="D2991" i="10"/>
  <c r="D2990" i="10"/>
  <c r="D2989" i="10"/>
  <c r="D2988" i="10"/>
  <c r="D2987" i="10"/>
  <c r="D2986" i="10"/>
  <c r="D2985" i="10"/>
  <c r="D2984" i="10"/>
  <c r="D2983" i="10"/>
  <c r="D2982" i="10"/>
  <c r="D2981" i="10"/>
  <c r="D2980" i="10"/>
  <c r="D2979" i="10"/>
  <c r="D2978" i="10"/>
  <c r="D2977" i="10"/>
  <c r="D2976" i="10"/>
  <c r="D2975" i="10"/>
  <c r="D2974" i="10"/>
  <c r="D2973" i="10"/>
  <c r="D2972" i="10"/>
  <c r="D2971" i="10"/>
  <c r="D2970" i="10"/>
  <c r="D2969" i="10"/>
  <c r="D2968" i="10"/>
  <c r="D2967" i="10"/>
  <c r="D2966" i="10"/>
  <c r="D2965" i="10"/>
  <c r="D2964" i="10"/>
  <c r="D2963" i="10"/>
  <c r="D2962" i="10"/>
  <c r="D2961" i="10"/>
  <c r="D2960" i="10"/>
  <c r="D2959" i="10"/>
  <c r="D2958" i="10"/>
  <c r="D2957" i="10"/>
  <c r="D2956" i="10"/>
  <c r="D2955" i="10"/>
  <c r="D2954" i="10"/>
  <c r="D2953" i="10"/>
  <c r="D2952" i="10"/>
  <c r="D2951" i="10"/>
  <c r="D2950" i="10"/>
  <c r="D2949" i="10"/>
  <c r="D2948" i="10"/>
  <c r="D2947" i="10"/>
  <c r="D2946" i="10"/>
  <c r="D2945" i="10"/>
  <c r="D2944" i="10"/>
  <c r="D2943" i="10"/>
  <c r="D2942" i="10"/>
  <c r="D2941" i="10"/>
  <c r="D2940" i="10"/>
  <c r="D2939" i="10"/>
  <c r="D2938" i="10"/>
  <c r="D2937" i="10"/>
  <c r="D2936" i="10"/>
  <c r="D2935" i="10"/>
  <c r="D2934" i="10"/>
  <c r="D2933" i="10"/>
  <c r="D2932" i="10"/>
  <c r="D2931" i="10"/>
  <c r="D2930" i="10"/>
  <c r="D2929" i="10"/>
  <c r="D2928" i="10"/>
  <c r="D2927" i="10"/>
  <c r="D2926" i="10"/>
  <c r="D2925" i="10"/>
  <c r="D2924" i="10"/>
  <c r="D2923" i="10"/>
  <c r="D2922" i="10"/>
  <c r="D2921" i="10"/>
  <c r="D2920" i="10"/>
  <c r="D2919" i="10"/>
  <c r="D2918" i="10"/>
  <c r="D2917" i="10"/>
  <c r="D2916" i="10"/>
  <c r="D2915" i="10"/>
  <c r="D2914" i="10"/>
  <c r="D2913" i="10"/>
  <c r="D2912" i="10"/>
  <c r="D2911" i="10"/>
  <c r="D2910" i="10"/>
  <c r="D2909" i="10"/>
  <c r="D2908" i="10"/>
  <c r="D2907" i="10"/>
  <c r="D2906" i="10"/>
  <c r="D2905" i="10"/>
  <c r="D2904" i="10"/>
  <c r="D2903" i="10"/>
  <c r="D2902" i="10"/>
  <c r="D2901" i="10"/>
  <c r="D2900" i="10"/>
  <c r="D2899" i="10"/>
  <c r="D2898" i="10"/>
  <c r="D2897" i="10"/>
  <c r="D2896" i="10"/>
  <c r="D2895" i="10"/>
  <c r="D2894" i="10"/>
  <c r="D2893" i="10"/>
  <c r="D2892" i="10"/>
  <c r="D2891" i="10"/>
  <c r="D2890" i="10"/>
  <c r="D2889" i="10"/>
  <c r="D2888" i="10"/>
  <c r="D2887" i="10"/>
  <c r="D2886" i="10"/>
  <c r="D2885" i="10"/>
  <c r="D2884" i="10"/>
  <c r="D2883" i="10"/>
  <c r="D2882" i="10"/>
  <c r="D2881" i="10"/>
  <c r="D2880" i="10"/>
  <c r="D2879" i="10"/>
  <c r="D2878" i="10"/>
  <c r="D2877" i="10"/>
  <c r="D2876" i="10"/>
  <c r="D2875" i="10"/>
  <c r="D2874" i="10"/>
  <c r="D2873" i="10"/>
  <c r="D2872" i="10"/>
  <c r="D2871" i="10"/>
  <c r="D2870" i="10"/>
  <c r="D2869" i="10"/>
  <c r="D2868" i="10"/>
  <c r="D2867" i="10"/>
  <c r="D2866" i="10"/>
  <c r="D2865" i="10"/>
  <c r="D2864" i="10"/>
  <c r="D2863" i="10"/>
  <c r="D2862" i="10"/>
  <c r="D2861" i="10"/>
  <c r="D2860" i="10"/>
  <c r="D2859" i="10"/>
  <c r="D2858" i="10"/>
  <c r="D2857" i="10"/>
  <c r="D2856" i="10"/>
  <c r="D2855" i="10"/>
  <c r="D2854" i="10"/>
  <c r="D2853" i="10"/>
  <c r="D2852" i="10"/>
  <c r="D2851" i="10"/>
  <c r="D2850" i="10"/>
  <c r="D2849" i="10"/>
  <c r="D2848" i="10"/>
  <c r="D2847" i="10"/>
  <c r="D2846" i="10"/>
  <c r="D2845" i="10"/>
  <c r="D2844" i="10"/>
  <c r="D2843" i="10"/>
  <c r="D2842" i="10"/>
  <c r="D2841" i="10"/>
  <c r="D2840" i="10"/>
  <c r="D2839" i="10"/>
  <c r="D2838" i="10"/>
  <c r="D2837" i="10"/>
  <c r="D2836" i="10"/>
  <c r="D2835" i="10"/>
  <c r="D2834" i="10"/>
  <c r="D2833" i="10"/>
  <c r="D2832" i="10"/>
  <c r="D2831" i="10"/>
  <c r="D2830" i="10"/>
  <c r="D2829" i="10"/>
  <c r="D2828" i="10"/>
  <c r="D2827" i="10"/>
  <c r="D2826" i="10"/>
  <c r="D2825" i="10"/>
  <c r="D2824" i="10"/>
  <c r="D2823" i="10"/>
  <c r="D2822" i="10"/>
  <c r="D2821" i="10"/>
  <c r="D2820" i="10"/>
  <c r="D2819" i="10"/>
  <c r="D2818" i="10"/>
  <c r="D2817" i="10"/>
  <c r="D2816" i="10"/>
  <c r="D2815" i="10"/>
  <c r="D2814" i="10"/>
  <c r="D2813" i="10"/>
  <c r="D2812" i="10"/>
  <c r="D2811" i="10"/>
  <c r="D2810" i="10"/>
  <c r="D2809" i="10"/>
  <c r="D2808" i="10"/>
  <c r="D2807" i="10"/>
  <c r="D2806" i="10"/>
  <c r="D2805" i="10"/>
  <c r="D2804" i="10"/>
  <c r="D2803" i="10"/>
  <c r="D2802" i="10"/>
  <c r="D2801" i="10"/>
  <c r="D2800" i="10"/>
  <c r="D2799" i="10"/>
  <c r="D2798" i="10"/>
  <c r="D2797" i="10"/>
  <c r="D2796" i="10"/>
  <c r="D2795" i="10"/>
  <c r="D2794" i="10"/>
  <c r="D2793" i="10"/>
  <c r="D2792" i="10"/>
  <c r="D2791" i="10"/>
  <c r="D2790" i="10"/>
  <c r="D2789" i="10"/>
  <c r="D2788" i="10"/>
  <c r="D2787" i="10"/>
  <c r="D2786" i="10"/>
  <c r="D2785" i="10"/>
  <c r="D2784" i="10"/>
  <c r="D2783" i="10"/>
  <c r="D2782" i="10"/>
  <c r="D2781" i="10"/>
  <c r="D2780" i="10"/>
  <c r="D2779" i="10"/>
  <c r="D2778" i="10"/>
  <c r="D2777" i="10"/>
  <c r="D2776" i="10"/>
  <c r="D2775" i="10"/>
  <c r="D2774" i="10"/>
  <c r="D2773" i="10"/>
  <c r="D2772" i="10"/>
  <c r="D2771" i="10"/>
  <c r="D2770" i="10"/>
  <c r="D2769" i="10"/>
  <c r="D2768" i="10"/>
  <c r="D2767" i="10"/>
  <c r="D2766" i="10"/>
  <c r="D2765" i="10"/>
  <c r="D2764" i="10"/>
  <c r="D2763" i="10"/>
  <c r="D2762" i="10"/>
  <c r="D2761" i="10"/>
  <c r="D2760" i="10"/>
  <c r="D2759" i="10"/>
  <c r="D2758" i="10"/>
  <c r="D2757" i="10"/>
  <c r="D2756" i="10"/>
  <c r="D2755" i="10"/>
  <c r="D2754" i="10"/>
  <c r="D2753" i="10"/>
  <c r="D2752" i="10"/>
  <c r="D2751" i="10"/>
  <c r="D2750" i="10"/>
  <c r="D2749" i="10"/>
  <c r="D2748" i="10"/>
  <c r="D2747" i="10"/>
  <c r="D2746" i="10"/>
  <c r="D2745" i="10"/>
  <c r="D2744" i="10"/>
  <c r="D2743" i="10"/>
  <c r="D2742" i="10"/>
  <c r="D2741" i="10"/>
  <c r="D2740" i="10"/>
  <c r="D2739" i="10"/>
  <c r="D2738" i="10"/>
  <c r="D2737" i="10"/>
  <c r="D2736" i="10"/>
  <c r="D2735" i="10"/>
  <c r="D2734" i="10"/>
  <c r="D2733" i="10"/>
  <c r="D2732" i="10"/>
  <c r="D2731" i="10"/>
  <c r="D2730" i="10"/>
  <c r="D2729" i="10"/>
  <c r="D2728" i="10"/>
  <c r="D2727" i="10"/>
  <c r="D2726" i="10"/>
  <c r="D2725" i="10"/>
  <c r="D2724" i="10"/>
  <c r="D2723" i="10"/>
  <c r="D2722" i="10"/>
  <c r="D2721" i="10"/>
  <c r="D2720" i="10"/>
  <c r="D2719" i="10"/>
  <c r="D2718" i="10"/>
  <c r="D2717" i="10"/>
  <c r="D2716" i="10"/>
  <c r="D2715" i="10"/>
  <c r="D2714" i="10"/>
  <c r="D2713" i="10"/>
  <c r="D2712" i="10"/>
  <c r="D2711" i="10"/>
  <c r="D2710" i="10"/>
  <c r="D2709" i="10"/>
  <c r="D2708" i="10"/>
  <c r="D2707" i="10"/>
  <c r="D2706" i="10"/>
  <c r="D2705" i="10"/>
  <c r="D2704" i="10"/>
  <c r="D2703" i="10"/>
  <c r="D2702" i="10"/>
  <c r="D2701" i="10"/>
  <c r="D2700" i="10"/>
  <c r="D2699" i="10"/>
  <c r="D2698" i="10"/>
  <c r="D2697" i="10"/>
  <c r="D2696" i="10"/>
  <c r="D2695" i="10"/>
  <c r="D2694" i="10"/>
  <c r="D2693" i="10"/>
  <c r="D2692" i="10"/>
  <c r="D2691" i="10"/>
  <c r="D2690" i="10"/>
  <c r="D2689" i="10"/>
  <c r="D2688" i="10"/>
  <c r="D2687" i="10"/>
  <c r="D2686" i="10"/>
  <c r="D2685" i="10"/>
  <c r="D2684" i="10"/>
  <c r="D2683" i="10"/>
  <c r="D2682" i="10"/>
  <c r="D2681" i="10"/>
  <c r="D2680" i="10"/>
  <c r="D2679" i="10"/>
  <c r="D2678" i="10"/>
  <c r="D2677" i="10"/>
  <c r="D2676" i="10"/>
  <c r="D2675" i="10"/>
  <c r="D2674" i="10"/>
  <c r="D2673" i="10"/>
  <c r="D2672" i="10"/>
  <c r="D2671" i="10"/>
  <c r="D2670" i="10"/>
  <c r="D2669" i="10"/>
  <c r="D2668" i="10"/>
  <c r="D2667" i="10"/>
  <c r="D2666" i="10"/>
  <c r="D2665" i="10"/>
  <c r="D2664" i="10"/>
  <c r="D2663" i="10"/>
  <c r="D2662" i="10"/>
  <c r="D2661" i="10"/>
  <c r="D2660" i="10"/>
  <c r="D2659" i="10"/>
  <c r="D2658" i="10"/>
  <c r="D2657" i="10"/>
  <c r="D2656" i="10"/>
  <c r="D2655" i="10"/>
  <c r="D2654" i="10"/>
  <c r="D2653" i="10"/>
  <c r="D2652" i="10"/>
  <c r="D2651" i="10"/>
  <c r="D2650" i="10"/>
  <c r="D2649" i="10"/>
  <c r="D2648" i="10"/>
  <c r="D2647" i="10"/>
  <c r="D2646" i="10"/>
  <c r="D2645" i="10"/>
  <c r="D2644" i="10"/>
  <c r="D2643" i="10"/>
  <c r="D2642" i="10"/>
  <c r="D2641" i="10"/>
  <c r="D2640" i="10"/>
  <c r="D2639" i="10"/>
  <c r="D2638" i="10"/>
  <c r="D2637" i="10"/>
  <c r="D2636" i="10"/>
  <c r="D2635" i="10"/>
  <c r="D2634" i="10"/>
  <c r="D2633" i="10"/>
  <c r="D2632" i="10"/>
  <c r="D2631" i="10"/>
  <c r="D2630" i="10"/>
  <c r="D2629" i="10"/>
  <c r="D2628" i="10"/>
  <c r="D2627" i="10"/>
  <c r="D2626" i="10"/>
  <c r="D2625" i="10"/>
  <c r="D2624" i="10"/>
  <c r="D2623" i="10"/>
  <c r="D2622" i="10"/>
  <c r="D2621" i="10"/>
  <c r="D2620" i="10"/>
  <c r="D2619" i="10"/>
  <c r="D2618" i="10"/>
  <c r="D2617" i="10"/>
  <c r="D2616" i="10"/>
  <c r="D2615" i="10"/>
  <c r="D2614" i="10"/>
  <c r="D2613" i="10"/>
  <c r="D2612" i="10"/>
  <c r="D2611" i="10"/>
  <c r="D2610" i="10"/>
  <c r="D2609" i="10"/>
  <c r="D2608" i="10"/>
  <c r="D2607" i="10"/>
  <c r="D2606" i="10"/>
  <c r="D2605" i="10"/>
  <c r="D2604" i="10"/>
  <c r="D2603" i="10"/>
  <c r="D2602" i="10"/>
  <c r="D2601" i="10"/>
  <c r="D2600" i="10"/>
  <c r="D2599" i="10"/>
  <c r="D2598" i="10"/>
  <c r="D2597" i="10"/>
  <c r="D2596" i="10"/>
  <c r="D2595" i="10"/>
  <c r="D2594" i="10"/>
  <c r="D2593" i="10"/>
  <c r="D2592" i="10"/>
  <c r="D2591" i="10"/>
  <c r="D2590" i="10"/>
  <c r="D2589" i="10"/>
  <c r="D2588" i="10"/>
  <c r="D2587" i="10"/>
  <c r="D2586" i="10"/>
  <c r="D2585" i="10"/>
  <c r="D2584" i="10"/>
  <c r="D2583" i="10"/>
  <c r="D2582" i="10"/>
  <c r="D2581" i="10"/>
  <c r="D2580" i="10"/>
  <c r="D2579" i="10"/>
  <c r="D2578" i="10"/>
  <c r="D2577" i="10"/>
  <c r="D2576" i="10"/>
  <c r="D2575" i="10"/>
  <c r="D2574" i="10"/>
  <c r="D2573" i="10"/>
  <c r="D2572" i="10"/>
  <c r="D2571" i="10"/>
  <c r="D2570" i="10"/>
  <c r="D2569" i="10"/>
  <c r="D2568" i="10"/>
  <c r="D2567" i="10"/>
  <c r="D2566" i="10"/>
  <c r="D2565" i="10"/>
  <c r="D2564" i="10"/>
  <c r="D2563" i="10"/>
  <c r="D2562" i="10"/>
  <c r="D2561" i="10"/>
  <c r="D2560" i="10"/>
  <c r="D2559" i="10"/>
  <c r="D2558" i="10"/>
  <c r="D2557" i="10"/>
  <c r="D2556" i="10"/>
  <c r="D2555" i="10"/>
  <c r="D2554" i="10"/>
  <c r="D2553" i="10"/>
  <c r="D2552" i="10"/>
  <c r="D2551" i="10"/>
  <c r="D2550" i="10"/>
  <c r="D2549" i="10"/>
  <c r="D2548" i="10"/>
  <c r="D2547" i="10"/>
  <c r="D2546" i="10"/>
  <c r="D2545" i="10"/>
  <c r="D2544" i="10"/>
  <c r="D2543" i="10"/>
  <c r="D2542" i="10"/>
  <c r="D2541" i="10"/>
  <c r="D2540" i="10"/>
  <c r="D2539" i="10"/>
  <c r="D2538" i="10"/>
  <c r="D2537" i="10"/>
  <c r="D2536" i="10"/>
  <c r="D2535" i="10"/>
  <c r="D2534" i="10"/>
  <c r="D2533" i="10"/>
  <c r="D2532" i="10"/>
  <c r="D2531" i="10"/>
  <c r="D2530" i="10"/>
  <c r="D2529" i="10"/>
  <c r="D2528" i="10"/>
  <c r="D2527" i="10"/>
  <c r="D2526" i="10"/>
  <c r="D2525" i="10"/>
  <c r="D2524" i="10"/>
  <c r="D2523" i="10"/>
  <c r="D2522" i="10"/>
  <c r="D2521" i="10"/>
  <c r="D2520" i="10"/>
  <c r="D2519" i="10"/>
  <c r="D2518" i="10"/>
  <c r="D2517" i="10"/>
  <c r="D2516" i="10"/>
  <c r="D2515" i="10"/>
  <c r="D2514" i="10"/>
  <c r="D2513" i="10"/>
  <c r="D2512" i="10"/>
  <c r="D2511" i="10"/>
  <c r="D2510" i="10"/>
  <c r="D2509" i="10"/>
  <c r="D2508" i="10"/>
  <c r="D2507" i="10"/>
  <c r="D2506" i="10"/>
  <c r="D2505" i="10"/>
  <c r="D2504" i="10"/>
  <c r="D2503" i="10"/>
  <c r="D2502" i="10"/>
  <c r="D2501" i="10"/>
  <c r="D2500" i="10"/>
  <c r="D2499" i="10"/>
  <c r="D2498" i="10"/>
  <c r="D2497" i="10"/>
  <c r="D2496" i="10"/>
  <c r="D2495" i="10"/>
  <c r="D2494" i="10"/>
  <c r="D2493" i="10"/>
  <c r="D2492" i="10"/>
  <c r="D2491" i="10"/>
  <c r="D2490" i="10"/>
  <c r="D2489" i="10"/>
  <c r="D2488" i="10"/>
  <c r="D2487" i="10"/>
  <c r="D2486" i="10"/>
  <c r="D2485" i="10"/>
  <c r="D2484" i="10"/>
  <c r="D2483" i="10"/>
  <c r="D2482" i="10"/>
  <c r="D2481" i="10"/>
  <c r="D2480" i="10"/>
  <c r="D2479" i="10"/>
  <c r="D2478" i="10"/>
  <c r="D2477" i="10"/>
  <c r="D2476" i="10"/>
  <c r="D2475" i="10"/>
  <c r="D2474" i="10"/>
  <c r="D2473" i="10"/>
  <c r="D2472" i="10"/>
  <c r="D2471" i="10"/>
  <c r="D2470" i="10"/>
  <c r="D2469" i="10"/>
  <c r="D2468" i="10"/>
  <c r="D2467" i="10"/>
  <c r="D2466" i="10"/>
  <c r="D2465" i="10"/>
  <c r="D2464" i="10"/>
  <c r="D2463" i="10"/>
  <c r="D2462" i="10"/>
  <c r="D2461" i="10"/>
  <c r="D2460" i="10"/>
  <c r="D2459" i="10"/>
  <c r="D2458" i="10"/>
  <c r="D2457" i="10"/>
  <c r="D2456" i="10"/>
  <c r="D2455" i="10"/>
  <c r="D2454" i="10"/>
  <c r="D2453" i="10"/>
  <c r="D2452" i="10"/>
  <c r="D2451" i="10"/>
  <c r="D2450" i="10"/>
  <c r="D2449" i="10"/>
  <c r="D2448" i="10"/>
  <c r="D2447" i="10"/>
  <c r="D2446" i="10"/>
  <c r="D2445" i="10"/>
  <c r="D2444" i="10"/>
  <c r="D2443" i="10"/>
  <c r="D2442" i="10"/>
  <c r="D2441" i="10"/>
  <c r="D2440" i="10"/>
  <c r="D2439" i="10"/>
  <c r="D2438" i="10"/>
  <c r="D2437" i="10"/>
  <c r="D2436" i="10"/>
  <c r="D2435" i="10"/>
  <c r="D2434" i="10"/>
  <c r="D2433" i="10"/>
  <c r="D2432" i="10"/>
  <c r="D2431" i="10"/>
  <c r="D2430" i="10"/>
  <c r="D2429" i="10"/>
  <c r="D2428" i="10"/>
  <c r="D2427" i="10"/>
  <c r="D2426" i="10"/>
  <c r="D2425" i="10"/>
  <c r="D2424" i="10"/>
  <c r="D2423" i="10"/>
  <c r="D2422" i="10"/>
  <c r="D2421" i="10"/>
  <c r="D2420" i="10"/>
  <c r="D2419" i="10"/>
  <c r="D2418" i="10"/>
  <c r="D2417" i="10"/>
  <c r="D2416" i="10"/>
  <c r="D2415" i="10"/>
  <c r="D2414" i="10"/>
  <c r="D2413" i="10"/>
  <c r="D2412" i="10"/>
  <c r="D2411" i="10"/>
  <c r="D2410" i="10"/>
  <c r="D2409" i="10"/>
  <c r="D2408" i="10"/>
  <c r="D2407" i="10"/>
  <c r="D2406" i="10"/>
  <c r="D2405" i="10"/>
  <c r="D2404" i="10"/>
  <c r="D2403" i="10"/>
  <c r="D2402" i="10"/>
  <c r="D2401" i="10"/>
  <c r="D2400" i="10"/>
  <c r="D2399" i="10"/>
  <c r="D2398" i="10"/>
  <c r="D2397" i="10"/>
  <c r="D2396" i="10"/>
  <c r="D2395" i="10"/>
  <c r="D2394" i="10"/>
  <c r="D2393" i="10"/>
  <c r="D2392" i="10"/>
  <c r="D2391" i="10"/>
  <c r="D2390" i="10"/>
  <c r="D2389" i="10"/>
  <c r="D2388" i="10"/>
  <c r="D2387" i="10"/>
  <c r="D2386" i="10"/>
  <c r="D2385" i="10"/>
  <c r="D2384" i="10"/>
  <c r="D2383" i="10"/>
  <c r="D2382" i="10"/>
  <c r="D2381" i="10"/>
  <c r="D2380" i="10"/>
  <c r="D2379" i="10"/>
  <c r="D2378" i="10"/>
  <c r="D2377" i="10"/>
  <c r="D2376" i="10"/>
  <c r="D2375" i="10"/>
  <c r="D2374" i="10"/>
  <c r="D2373" i="10"/>
  <c r="D2372" i="10"/>
  <c r="D2371" i="10"/>
  <c r="D2370" i="10"/>
  <c r="D2369" i="10"/>
  <c r="D2368" i="10"/>
  <c r="D2367" i="10"/>
  <c r="D2366" i="10"/>
  <c r="D2365" i="10"/>
  <c r="D2364" i="10"/>
  <c r="D2363" i="10"/>
  <c r="D2362" i="10"/>
  <c r="D2361" i="10"/>
  <c r="D2360" i="10"/>
  <c r="D2359" i="10"/>
  <c r="D2358" i="10"/>
  <c r="D2357" i="10"/>
  <c r="D2356" i="10"/>
  <c r="D2355" i="10"/>
  <c r="D2354" i="10"/>
  <c r="D2353" i="10"/>
  <c r="D2352" i="10"/>
  <c r="D2351" i="10"/>
  <c r="D2350" i="10"/>
  <c r="D2349" i="10"/>
  <c r="D2348" i="10"/>
  <c r="D2347" i="10"/>
  <c r="D2346" i="10"/>
  <c r="D2345" i="10"/>
  <c r="D2344" i="10"/>
  <c r="D2343" i="10"/>
  <c r="D2342" i="10"/>
  <c r="D2341" i="10"/>
  <c r="D2340" i="10"/>
  <c r="D2339" i="10"/>
  <c r="D2338" i="10"/>
  <c r="D2337" i="10"/>
  <c r="D2336" i="10"/>
  <c r="D2335" i="10"/>
  <c r="D2334" i="10"/>
  <c r="D2333" i="10"/>
  <c r="D2332" i="10"/>
  <c r="D2331" i="10"/>
  <c r="D2330" i="10"/>
  <c r="D2329" i="10"/>
  <c r="D2328" i="10"/>
  <c r="D2327" i="10"/>
  <c r="D2326" i="10"/>
  <c r="D2325" i="10"/>
  <c r="D2324" i="10"/>
  <c r="D2323" i="10"/>
  <c r="D2322" i="10"/>
  <c r="D2321" i="10"/>
  <c r="D2320" i="10"/>
  <c r="D2319" i="10"/>
  <c r="D2318" i="10"/>
  <c r="D2317" i="10"/>
  <c r="D2316" i="10"/>
  <c r="D2315" i="10"/>
  <c r="D2314" i="10"/>
  <c r="D2313" i="10"/>
  <c r="D2312" i="10"/>
  <c r="D2311" i="10"/>
  <c r="D2310" i="10"/>
  <c r="D2309" i="10"/>
  <c r="D2308" i="10"/>
  <c r="D2307" i="10"/>
  <c r="D2306" i="10"/>
  <c r="D2305" i="10"/>
  <c r="D2304" i="10"/>
  <c r="D2303" i="10"/>
  <c r="D2302" i="10"/>
  <c r="D2301" i="10"/>
  <c r="D2300" i="10"/>
  <c r="D2299" i="10"/>
  <c r="D2298" i="10"/>
  <c r="D2297" i="10"/>
  <c r="D2296" i="10"/>
  <c r="D2295" i="10"/>
  <c r="D2294" i="10"/>
  <c r="D2293" i="10"/>
  <c r="D2292" i="10"/>
  <c r="D2291" i="10"/>
  <c r="D2290" i="10"/>
  <c r="D2289" i="10"/>
  <c r="D2288" i="10"/>
  <c r="D2287" i="10"/>
  <c r="D2286" i="10"/>
  <c r="D2285" i="10"/>
  <c r="D2284" i="10"/>
  <c r="D2283" i="10"/>
  <c r="D2282" i="10"/>
  <c r="D2281" i="10"/>
  <c r="D2280" i="10"/>
  <c r="D2279" i="10"/>
  <c r="D2278" i="10"/>
  <c r="D2277" i="10"/>
  <c r="D2276" i="10"/>
  <c r="D2275" i="10"/>
  <c r="D2274" i="10"/>
  <c r="D2273" i="10"/>
  <c r="D2272" i="10"/>
  <c r="D2271" i="10"/>
  <c r="D2270" i="10"/>
  <c r="D2269" i="10"/>
  <c r="D2268" i="10"/>
  <c r="D2267" i="10"/>
  <c r="D2266" i="10"/>
  <c r="D2265" i="10"/>
  <c r="D2264" i="10"/>
  <c r="D2263" i="10"/>
  <c r="D2262" i="10"/>
  <c r="D2261" i="10"/>
  <c r="D2260" i="10"/>
  <c r="D2259" i="10"/>
  <c r="D2258" i="10"/>
  <c r="D2257" i="10"/>
  <c r="D2256" i="10"/>
  <c r="D2255" i="10"/>
  <c r="D2254" i="10"/>
  <c r="D2253" i="10"/>
  <c r="D2252" i="10"/>
  <c r="D2251" i="10"/>
  <c r="D2250" i="10"/>
  <c r="D2249" i="10"/>
  <c r="D2248" i="10"/>
  <c r="D2247" i="10"/>
  <c r="D2246" i="10"/>
  <c r="D2245" i="10"/>
  <c r="D2244" i="10"/>
  <c r="D2243" i="10"/>
  <c r="D2242" i="10"/>
  <c r="D2241" i="10"/>
  <c r="D2240" i="10"/>
  <c r="D2239" i="10"/>
  <c r="D2238" i="10"/>
  <c r="D2237" i="10"/>
  <c r="D2236" i="10"/>
  <c r="D2235" i="10"/>
  <c r="D2234" i="10"/>
  <c r="D2233" i="10"/>
  <c r="D2232" i="10"/>
  <c r="D2231" i="10"/>
  <c r="D2230" i="10"/>
  <c r="D2229" i="10"/>
  <c r="D2228" i="10"/>
  <c r="D2227" i="10"/>
  <c r="D2226" i="10"/>
  <c r="D2225" i="10"/>
  <c r="D2224" i="10"/>
  <c r="D2223" i="10"/>
  <c r="D2222" i="10"/>
  <c r="D2221" i="10"/>
  <c r="D2220" i="10"/>
  <c r="D2219" i="10"/>
  <c r="D2218" i="10"/>
  <c r="D2217" i="10"/>
  <c r="D2216" i="10"/>
  <c r="D2215" i="10"/>
  <c r="D2214" i="10"/>
  <c r="D2213" i="10"/>
  <c r="D2212" i="10"/>
  <c r="D2211" i="10"/>
  <c r="D2210" i="10"/>
  <c r="D2209" i="10"/>
  <c r="D2208" i="10"/>
  <c r="D2207" i="10"/>
  <c r="D2206" i="10"/>
  <c r="D2205" i="10"/>
  <c r="D2204" i="10"/>
  <c r="D2203" i="10"/>
  <c r="D2202" i="10"/>
  <c r="D2201" i="10"/>
  <c r="D2200" i="10"/>
  <c r="D2199" i="10"/>
  <c r="D2198" i="10"/>
  <c r="D2197" i="10"/>
  <c r="D2196" i="10"/>
  <c r="D2195" i="10"/>
  <c r="D2194" i="10"/>
  <c r="D2193" i="10"/>
  <c r="D2192" i="10"/>
  <c r="D2191" i="10"/>
  <c r="D2190" i="10"/>
  <c r="D2189" i="10"/>
  <c r="D2188" i="10"/>
  <c r="D2187" i="10"/>
  <c r="D2186" i="10"/>
  <c r="D2185" i="10"/>
  <c r="D2184" i="10"/>
  <c r="D2183" i="10"/>
  <c r="D2182" i="10"/>
  <c r="D2181" i="10"/>
  <c r="D2180" i="10"/>
  <c r="D2179" i="10"/>
  <c r="D2178" i="10"/>
  <c r="D2177" i="10"/>
  <c r="D2176" i="10"/>
  <c r="D2175" i="10"/>
  <c r="D2174" i="10"/>
  <c r="D2173" i="10"/>
  <c r="D2172" i="10"/>
  <c r="D2171" i="10"/>
  <c r="D2170" i="10"/>
  <c r="D2169" i="10"/>
  <c r="D2168" i="10"/>
  <c r="D2167" i="10"/>
  <c r="D2166" i="10"/>
  <c r="D2165" i="10"/>
  <c r="D2164" i="10"/>
  <c r="D2163" i="10"/>
  <c r="D2162" i="10"/>
  <c r="D2161" i="10"/>
  <c r="D2160" i="10"/>
  <c r="D2159" i="10"/>
  <c r="D2158" i="10"/>
  <c r="D2157" i="10"/>
  <c r="D2156" i="10"/>
  <c r="D2155" i="10"/>
  <c r="D2154" i="10"/>
  <c r="D2153" i="10"/>
  <c r="D2152" i="10"/>
  <c r="D2151" i="10"/>
  <c r="D2150" i="10"/>
  <c r="D2149" i="10"/>
  <c r="D2148" i="10"/>
  <c r="D2147" i="10"/>
  <c r="D2146" i="10"/>
  <c r="D2145" i="10"/>
  <c r="D2144" i="10"/>
  <c r="D2143" i="10"/>
  <c r="D2142" i="10"/>
  <c r="D2141" i="10"/>
  <c r="D2140" i="10"/>
  <c r="D2139" i="10"/>
  <c r="D2138" i="10"/>
  <c r="D2137" i="10"/>
  <c r="D2136" i="10"/>
  <c r="D2135" i="10"/>
  <c r="D2134" i="10"/>
  <c r="D2133" i="10"/>
  <c r="D2132" i="10"/>
  <c r="D2131" i="10"/>
  <c r="D2130" i="10"/>
  <c r="D2129" i="10"/>
  <c r="D2128" i="10"/>
  <c r="D2127" i="10"/>
  <c r="D2126" i="10"/>
  <c r="D2125" i="10"/>
  <c r="D2124" i="10"/>
  <c r="D2123" i="10"/>
  <c r="D2122" i="10"/>
  <c r="D2121" i="10"/>
  <c r="D2120" i="10"/>
  <c r="D2119" i="10"/>
  <c r="D2118" i="10"/>
  <c r="D2117" i="10"/>
  <c r="D2116" i="10"/>
  <c r="D2115" i="10"/>
  <c r="D2114" i="10"/>
  <c r="D2113" i="10"/>
  <c r="D2112" i="10"/>
  <c r="D2111" i="10"/>
  <c r="D2110" i="10"/>
  <c r="D2109" i="10"/>
  <c r="D2108" i="10"/>
  <c r="D2107" i="10"/>
  <c r="D2106" i="10"/>
  <c r="D2105" i="10"/>
  <c r="D2104" i="10"/>
  <c r="D2103" i="10"/>
  <c r="D2102" i="10"/>
  <c r="D2101" i="10"/>
  <c r="D2100" i="10"/>
  <c r="D2099" i="10"/>
  <c r="D2098" i="10"/>
  <c r="D2097" i="10"/>
  <c r="D2096" i="10"/>
  <c r="D2095" i="10"/>
  <c r="D2094" i="10"/>
  <c r="D2093" i="10"/>
  <c r="D2092" i="10"/>
  <c r="D2091" i="10"/>
  <c r="D2090" i="10"/>
  <c r="D2089" i="10"/>
  <c r="D2088" i="10"/>
  <c r="D2087" i="10"/>
  <c r="D2086" i="10"/>
  <c r="D2085" i="10"/>
  <c r="D2084" i="10"/>
  <c r="D2083" i="10"/>
  <c r="D2082" i="10"/>
  <c r="D2081" i="10"/>
  <c r="D2080" i="10"/>
  <c r="D2079" i="10"/>
  <c r="D2078" i="10"/>
  <c r="D2077" i="10"/>
  <c r="D2076" i="10"/>
  <c r="D2075" i="10"/>
  <c r="D2074" i="10"/>
  <c r="D2073" i="10"/>
  <c r="D2072" i="10"/>
  <c r="D2071" i="10"/>
  <c r="D2070" i="10"/>
  <c r="D2069" i="10"/>
  <c r="D2068" i="10"/>
  <c r="D2067" i="10"/>
  <c r="D2066" i="10"/>
  <c r="D2065" i="10"/>
  <c r="D2064" i="10"/>
  <c r="D2063" i="10"/>
  <c r="D2062" i="10"/>
  <c r="D2061" i="10"/>
  <c r="D2060" i="10"/>
  <c r="D2059" i="10"/>
  <c r="D2058" i="10"/>
  <c r="D2057" i="10"/>
  <c r="D2056" i="10"/>
  <c r="D2055" i="10"/>
  <c r="D2054" i="10"/>
  <c r="D2053" i="10"/>
  <c r="D2052" i="10"/>
  <c r="D2051" i="10"/>
  <c r="D2050" i="10"/>
  <c r="D2049" i="10"/>
  <c r="D2048" i="10"/>
  <c r="D2047" i="10"/>
  <c r="D2046" i="10"/>
  <c r="D2045" i="10"/>
  <c r="D2044" i="10"/>
  <c r="D2043" i="10"/>
  <c r="D2042" i="10"/>
  <c r="D2041" i="10"/>
  <c r="D2040" i="10"/>
  <c r="D2039" i="10"/>
  <c r="D2038" i="10"/>
  <c r="D2037" i="10"/>
  <c r="D2036" i="10"/>
  <c r="D2035" i="10"/>
  <c r="D2034" i="10"/>
  <c r="D2033" i="10"/>
  <c r="D2032" i="10"/>
  <c r="D2031" i="10"/>
  <c r="D2030" i="10"/>
  <c r="D2029" i="10"/>
  <c r="D2028" i="10"/>
  <c r="D2027" i="10"/>
  <c r="D2026" i="10"/>
  <c r="D2025" i="10"/>
  <c r="D2024" i="10"/>
  <c r="D2023" i="10"/>
  <c r="D2022" i="10"/>
  <c r="D2021" i="10"/>
  <c r="D2020" i="10"/>
  <c r="D2019" i="10"/>
  <c r="D2018" i="10"/>
  <c r="D2017" i="10"/>
  <c r="D2016" i="10"/>
  <c r="D2015" i="10"/>
  <c r="D2014" i="10"/>
  <c r="D2013" i="10"/>
  <c r="D2012" i="10"/>
  <c r="D2011" i="10"/>
  <c r="D2010" i="10"/>
  <c r="D2009" i="10"/>
  <c r="D2008" i="10"/>
  <c r="D2007" i="10"/>
  <c r="D2006" i="10"/>
  <c r="D2005" i="10"/>
  <c r="D2004" i="10"/>
  <c r="D2003" i="10"/>
  <c r="D2002" i="10"/>
  <c r="D2001" i="10"/>
  <c r="D2000" i="10"/>
  <c r="D1999" i="10"/>
  <c r="D1998" i="10"/>
  <c r="D1997" i="10"/>
  <c r="D1996" i="10"/>
  <c r="D1995" i="10"/>
  <c r="D1994" i="10"/>
  <c r="D1993" i="10"/>
  <c r="D1992" i="10"/>
  <c r="D1991" i="10"/>
  <c r="D1990" i="10"/>
  <c r="D1989" i="10"/>
  <c r="D1988" i="10"/>
  <c r="D1987" i="10"/>
  <c r="D1986" i="10"/>
  <c r="D1985" i="10"/>
  <c r="D1984" i="10"/>
  <c r="D1983" i="10"/>
  <c r="D1982" i="10"/>
  <c r="D1981" i="10"/>
  <c r="D1980" i="10"/>
  <c r="D1979" i="10"/>
  <c r="D1978" i="10"/>
  <c r="D1977" i="10"/>
  <c r="D1976" i="10"/>
  <c r="D1975" i="10"/>
  <c r="D1974" i="10"/>
  <c r="D1973" i="10"/>
  <c r="D1972" i="10"/>
  <c r="D1971" i="10"/>
  <c r="D1970" i="10"/>
  <c r="D1969" i="10"/>
  <c r="D1968" i="10"/>
  <c r="D1967" i="10"/>
  <c r="D1966" i="10"/>
  <c r="D1965" i="10"/>
  <c r="D1964" i="10"/>
  <c r="D1963" i="10"/>
  <c r="D1962" i="10"/>
  <c r="D1961" i="10"/>
  <c r="D1960" i="10"/>
  <c r="D1959" i="10"/>
  <c r="D1958" i="10"/>
  <c r="D1957" i="10"/>
  <c r="D1956" i="10"/>
  <c r="D1955" i="10"/>
  <c r="D1954" i="10"/>
  <c r="D1953" i="10"/>
  <c r="D1952" i="10"/>
  <c r="D1951" i="10"/>
  <c r="D1950" i="10"/>
  <c r="D1949" i="10"/>
  <c r="D1948" i="10"/>
  <c r="D1947" i="10"/>
  <c r="D1946" i="10"/>
  <c r="D1945" i="10"/>
  <c r="D1944" i="10"/>
  <c r="D1943" i="10"/>
  <c r="D1942" i="10"/>
  <c r="D1941" i="10"/>
  <c r="D1940" i="10"/>
  <c r="D1939" i="10"/>
  <c r="D1938" i="10"/>
  <c r="D1937" i="10"/>
  <c r="D1936" i="10"/>
  <c r="D1935" i="10"/>
  <c r="D1934" i="10"/>
  <c r="D1933" i="10"/>
  <c r="D1932" i="10"/>
  <c r="D1931" i="10"/>
  <c r="D1930" i="10"/>
  <c r="D1929" i="10"/>
  <c r="D1928" i="10"/>
  <c r="D1927" i="10"/>
  <c r="D1926" i="10"/>
  <c r="D1925" i="10"/>
  <c r="D1924" i="10"/>
  <c r="D1923" i="10"/>
  <c r="D1922" i="10"/>
  <c r="D1921" i="10"/>
  <c r="D1920" i="10"/>
  <c r="D1919" i="10"/>
  <c r="D1918" i="10"/>
  <c r="D1917" i="10"/>
  <c r="D1916" i="10"/>
  <c r="D1915" i="10"/>
  <c r="D1914" i="10"/>
  <c r="D1913" i="10"/>
  <c r="D1912" i="10"/>
  <c r="D1911" i="10"/>
  <c r="D1910" i="10"/>
  <c r="D1909" i="10"/>
  <c r="D1908" i="10"/>
  <c r="D1907" i="10"/>
  <c r="D1906" i="10"/>
  <c r="D1905" i="10"/>
  <c r="D1904" i="10"/>
  <c r="D1903" i="10"/>
  <c r="D1902" i="10"/>
  <c r="D1901" i="10"/>
  <c r="D1900" i="10"/>
  <c r="D1899" i="10"/>
  <c r="D1898" i="10"/>
  <c r="D1897" i="10"/>
  <c r="D1896" i="10"/>
  <c r="D1895" i="10"/>
  <c r="D1894" i="10"/>
  <c r="D1893" i="10"/>
  <c r="D1892" i="10"/>
  <c r="D1891" i="10"/>
  <c r="D1890" i="10"/>
  <c r="D1889" i="10"/>
  <c r="D1888" i="10"/>
  <c r="D1887" i="10"/>
  <c r="D1886" i="10"/>
  <c r="D1885" i="10"/>
  <c r="D1884" i="10"/>
  <c r="D1883" i="10"/>
  <c r="D1882" i="10"/>
  <c r="D1881" i="10"/>
  <c r="D1880" i="10"/>
  <c r="D1879" i="10"/>
  <c r="D1878" i="10"/>
  <c r="D1877" i="10"/>
  <c r="D1876" i="10"/>
  <c r="D1875" i="10"/>
  <c r="D1874" i="10"/>
  <c r="D1873" i="10"/>
  <c r="D1872" i="10"/>
  <c r="D1871" i="10"/>
  <c r="D1870" i="10"/>
  <c r="D1869" i="10"/>
  <c r="D1868" i="10"/>
  <c r="D1867" i="10"/>
  <c r="D1866" i="10"/>
  <c r="D1865" i="10"/>
  <c r="D1864" i="10"/>
  <c r="D1863" i="10"/>
  <c r="D1862" i="10"/>
  <c r="D1861" i="10"/>
  <c r="D1860" i="10"/>
  <c r="D1859" i="10"/>
  <c r="D1858" i="10"/>
  <c r="D1857" i="10"/>
  <c r="D1856" i="10"/>
  <c r="D1855" i="10"/>
  <c r="D1854" i="10"/>
  <c r="D1853" i="10"/>
  <c r="D1852" i="10"/>
  <c r="D1851" i="10"/>
  <c r="D1850" i="10"/>
  <c r="D1849" i="10"/>
  <c r="D1848" i="10"/>
  <c r="D1847" i="10"/>
  <c r="D1846" i="10"/>
  <c r="D1845" i="10"/>
  <c r="D1844" i="10"/>
  <c r="D1843" i="10"/>
  <c r="D1842" i="10"/>
  <c r="D1841" i="10"/>
  <c r="D1840" i="10"/>
  <c r="D1839" i="10"/>
  <c r="D1838" i="10"/>
  <c r="D1837" i="10"/>
  <c r="D1836" i="10"/>
  <c r="D1835" i="10"/>
  <c r="D1834" i="10"/>
  <c r="D1833" i="10"/>
  <c r="D1832" i="10"/>
  <c r="D1831" i="10"/>
  <c r="D1830" i="10"/>
  <c r="D1829" i="10"/>
  <c r="D1828" i="10"/>
  <c r="D1827" i="10"/>
  <c r="D1826" i="10"/>
  <c r="D1825" i="10"/>
  <c r="D1824" i="10"/>
  <c r="D1823" i="10"/>
  <c r="D1822" i="10"/>
  <c r="D1821" i="10"/>
  <c r="D1820" i="10"/>
  <c r="D1819" i="10"/>
  <c r="D1818" i="10"/>
  <c r="D1817" i="10"/>
  <c r="D1816" i="10"/>
  <c r="D1815" i="10"/>
  <c r="D1814" i="10"/>
  <c r="D1813" i="10"/>
  <c r="D1812" i="10"/>
  <c r="D1811" i="10"/>
  <c r="D1810" i="10"/>
  <c r="D1809" i="10"/>
  <c r="D1808" i="10"/>
  <c r="D1807" i="10"/>
  <c r="D1806" i="10"/>
  <c r="D1805" i="10"/>
  <c r="D1804" i="10"/>
  <c r="D1803" i="10"/>
  <c r="D1802" i="10"/>
  <c r="D1801" i="10"/>
  <c r="D1800" i="10"/>
  <c r="D1799" i="10"/>
  <c r="D1798" i="10"/>
  <c r="D1797" i="10"/>
  <c r="D1796" i="10"/>
  <c r="D1795" i="10"/>
  <c r="D1794" i="10"/>
  <c r="D1793" i="10"/>
  <c r="D1792" i="10"/>
  <c r="D1791" i="10"/>
  <c r="D1790" i="10"/>
  <c r="D1789" i="10"/>
  <c r="D1788" i="10"/>
  <c r="D1787" i="10"/>
  <c r="D1786" i="10"/>
  <c r="D1785" i="10"/>
  <c r="D1784" i="10"/>
  <c r="D1783" i="10"/>
  <c r="D1782" i="10"/>
  <c r="D1781" i="10"/>
  <c r="D1780" i="10"/>
  <c r="D1779" i="10"/>
  <c r="D1778" i="10"/>
  <c r="D1777" i="10"/>
  <c r="D1776" i="10"/>
  <c r="D1775" i="10"/>
  <c r="D1774" i="10"/>
  <c r="D1773" i="10"/>
  <c r="D1772" i="10"/>
  <c r="D1771" i="10"/>
  <c r="D1770" i="10"/>
  <c r="D1769" i="10"/>
  <c r="D1768" i="10"/>
  <c r="D1767" i="10"/>
  <c r="D1766" i="10"/>
  <c r="D1765" i="10"/>
  <c r="D1764" i="10"/>
  <c r="D1763" i="10"/>
  <c r="D1762" i="10"/>
  <c r="D1761" i="10"/>
  <c r="D1760" i="10"/>
  <c r="D1759" i="10"/>
  <c r="D1758" i="10"/>
  <c r="D1757" i="10"/>
  <c r="D1756" i="10"/>
  <c r="D1755" i="10"/>
  <c r="D1754" i="10"/>
  <c r="D1753" i="10"/>
  <c r="D1752" i="10"/>
  <c r="D1751" i="10"/>
  <c r="D1750" i="10"/>
  <c r="D1749" i="10"/>
  <c r="D1748" i="10"/>
  <c r="D1747" i="10"/>
  <c r="D1746" i="10"/>
  <c r="D1745" i="10"/>
  <c r="D1744" i="10"/>
  <c r="D1743" i="10"/>
  <c r="D1742" i="10"/>
  <c r="D1741" i="10"/>
  <c r="D1740" i="10"/>
  <c r="D1739" i="10"/>
  <c r="D1738" i="10"/>
  <c r="D1737" i="10"/>
  <c r="D1736" i="10"/>
  <c r="D1735" i="10"/>
  <c r="D1734" i="10"/>
  <c r="D1733" i="10"/>
  <c r="D1732" i="10"/>
  <c r="D1731" i="10"/>
  <c r="D1730" i="10"/>
  <c r="D1729" i="10"/>
  <c r="D1728" i="10"/>
  <c r="D1727" i="10"/>
  <c r="D1726" i="10"/>
  <c r="D1725" i="10"/>
  <c r="D1724" i="10"/>
  <c r="D1723" i="10"/>
  <c r="D1722" i="10"/>
  <c r="D1721" i="10"/>
  <c r="D1720" i="10"/>
  <c r="D1719" i="10"/>
  <c r="D1718" i="10"/>
  <c r="D1717" i="10"/>
  <c r="D1716" i="10"/>
  <c r="D1715" i="10"/>
  <c r="D1714" i="10"/>
  <c r="D1713" i="10"/>
  <c r="D1712" i="10"/>
  <c r="D1711" i="10"/>
  <c r="D1710" i="10"/>
  <c r="D1709" i="10"/>
  <c r="D1708" i="10"/>
  <c r="D1707" i="10"/>
  <c r="D1706" i="10"/>
  <c r="D1705" i="10"/>
  <c r="D1704" i="10"/>
  <c r="D1703" i="10"/>
  <c r="D1702" i="10"/>
  <c r="D1701" i="10"/>
  <c r="D1700" i="10"/>
  <c r="D1699" i="10"/>
  <c r="D1698" i="10"/>
  <c r="D1697" i="10"/>
  <c r="D1696" i="10"/>
  <c r="D1695" i="10"/>
  <c r="D1694" i="10"/>
  <c r="D1693" i="10"/>
  <c r="D1692" i="10"/>
  <c r="D1691" i="10"/>
  <c r="D1690" i="10"/>
  <c r="D1689" i="10"/>
  <c r="D1688" i="10"/>
  <c r="D1687" i="10"/>
  <c r="D1686" i="10"/>
  <c r="D1685" i="10"/>
  <c r="D1684" i="10"/>
  <c r="D1683" i="10"/>
  <c r="D1682" i="10"/>
  <c r="D1681" i="10"/>
  <c r="D1680" i="10"/>
  <c r="D1679" i="10"/>
  <c r="D1678" i="10"/>
  <c r="D1677" i="10"/>
  <c r="D1676" i="10"/>
  <c r="D1675" i="10"/>
  <c r="D1674" i="10"/>
  <c r="D1673" i="10"/>
  <c r="D1672" i="10"/>
  <c r="D1671" i="10"/>
  <c r="D1670" i="10"/>
  <c r="D1669" i="10"/>
  <c r="D1668" i="10"/>
  <c r="D1667" i="10"/>
  <c r="D1666" i="10"/>
  <c r="D1665" i="10"/>
  <c r="D1664" i="10"/>
  <c r="D1663" i="10"/>
  <c r="D1662" i="10"/>
  <c r="D1661" i="10"/>
  <c r="D1660" i="10"/>
  <c r="D1659" i="10"/>
  <c r="D1658" i="10"/>
  <c r="D1657" i="10"/>
  <c r="D1656" i="10"/>
  <c r="D1655" i="10"/>
  <c r="D1654" i="10"/>
  <c r="D1653" i="10"/>
  <c r="D1652" i="10"/>
  <c r="D1651" i="10"/>
  <c r="D1650" i="10"/>
  <c r="D1649" i="10"/>
  <c r="D1648" i="10"/>
  <c r="D1647" i="10"/>
  <c r="D1646" i="10"/>
  <c r="D1645" i="10"/>
  <c r="D1644" i="10"/>
  <c r="D1643" i="10"/>
  <c r="D1642" i="10"/>
  <c r="D1641" i="10"/>
  <c r="D1640" i="10"/>
  <c r="D1639" i="10"/>
  <c r="D1638" i="10"/>
  <c r="D1637" i="10"/>
  <c r="D1636" i="10"/>
  <c r="D1635" i="10"/>
  <c r="D1634" i="10"/>
  <c r="D1633" i="10"/>
  <c r="D1632" i="10"/>
  <c r="D1631" i="10"/>
  <c r="D1630" i="10"/>
  <c r="D1629" i="10"/>
  <c r="D1628" i="10"/>
  <c r="D1627" i="10"/>
  <c r="D1626" i="10"/>
  <c r="D1625" i="10"/>
  <c r="D1624" i="10"/>
  <c r="D1623" i="10"/>
  <c r="D1622" i="10"/>
  <c r="D1621" i="10"/>
  <c r="D1620" i="10"/>
  <c r="D1619" i="10"/>
  <c r="D1618" i="10"/>
  <c r="D1617" i="10"/>
  <c r="D1616" i="10"/>
  <c r="D1615" i="10"/>
  <c r="D1614" i="10"/>
  <c r="D1613" i="10"/>
  <c r="D1612" i="10"/>
  <c r="D1611" i="10"/>
  <c r="D1610" i="10"/>
  <c r="D1609" i="10"/>
  <c r="D1608" i="10"/>
  <c r="D1607" i="10"/>
  <c r="D1606" i="10"/>
  <c r="D1605" i="10"/>
  <c r="D1604" i="10"/>
  <c r="D1603" i="10"/>
  <c r="D1602" i="10"/>
  <c r="D1601" i="10"/>
  <c r="D1600" i="10"/>
  <c r="D1599" i="10"/>
  <c r="D1598" i="10"/>
  <c r="D1597" i="10"/>
  <c r="D1596" i="10"/>
  <c r="D1595" i="10"/>
  <c r="D1594" i="10"/>
  <c r="D1593" i="10"/>
  <c r="D1592" i="10"/>
  <c r="D1591" i="10"/>
  <c r="D1590" i="10"/>
  <c r="D1589" i="10"/>
  <c r="D1588" i="10"/>
  <c r="D1587" i="10"/>
  <c r="D1586" i="10"/>
  <c r="D1585" i="10"/>
  <c r="D1584" i="10"/>
  <c r="D1583" i="10"/>
  <c r="D1582" i="10"/>
  <c r="D1581" i="10"/>
  <c r="D1580" i="10"/>
  <c r="D1579" i="10"/>
  <c r="D1578" i="10"/>
  <c r="D1577" i="10"/>
  <c r="D1576" i="10"/>
  <c r="D1575" i="10"/>
  <c r="D1574" i="10"/>
  <c r="D1573" i="10"/>
  <c r="D1572" i="10"/>
  <c r="D1571" i="10"/>
  <c r="D1570" i="10"/>
  <c r="D1569" i="10"/>
  <c r="D1568" i="10"/>
  <c r="D1567" i="10"/>
  <c r="D1566" i="10"/>
  <c r="D1565" i="10"/>
  <c r="D1564" i="10"/>
  <c r="D1563" i="10"/>
  <c r="D1562" i="10"/>
  <c r="D1561" i="10"/>
  <c r="D1560" i="10"/>
  <c r="D1559" i="10"/>
  <c r="D1558" i="10"/>
  <c r="D1557" i="10"/>
  <c r="D1556" i="10"/>
  <c r="D1555" i="10"/>
  <c r="D1554" i="10"/>
  <c r="D1553" i="10"/>
  <c r="D1552" i="10"/>
  <c r="D1551" i="10"/>
  <c r="D1550" i="10"/>
  <c r="D1549" i="10"/>
  <c r="D1548" i="10"/>
  <c r="D1547" i="10"/>
  <c r="D1546" i="10"/>
  <c r="D1545" i="10"/>
  <c r="D1544" i="10"/>
  <c r="D1543" i="10"/>
  <c r="D1542" i="10"/>
  <c r="D1541" i="10"/>
  <c r="D1540" i="10"/>
  <c r="D1539" i="10"/>
  <c r="D1538" i="10"/>
  <c r="D1537" i="10"/>
  <c r="D1536" i="10"/>
  <c r="D1535" i="10"/>
  <c r="D1534" i="10"/>
  <c r="D1533" i="10"/>
  <c r="D1532" i="10"/>
  <c r="D1531" i="10"/>
  <c r="D1530" i="10"/>
  <c r="D1529" i="10"/>
  <c r="D1528" i="10"/>
  <c r="D1527" i="10"/>
  <c r="D1526" i="10"/>
  <c r="D1525" i="10"/>
  <c r="D1524" i="10"/>
  <c r="D1523" i="10"/>
  <c r="D1522" i="10"/>
  <c r="D1521" i="10"/>
  <c r="D1520" i="10"/>
  <c r="D1519" i="10"/>
  <c r="D1518" i="10"/>
  <c r="D1517" i="10"/>
  <c r="D1516" i="10"/>
  <c r="D1515" i="10"/>
  <c r="D1514" i="10"/>
  <c r="D1513" i="10"/>
  <c r="D1512" i="10"/>
  <c r="D1511" i="10"/>
  <c r="D1510" i="10"/>
  <c r="D1509" i="10"/>
  <c r="D1508" i="10"/>
  <c r="D1507" i="10"/>
  <c r="D1506" i="10"/>
  <c r="D1505" i="10"/>
  <c r="D1504" i="10"/>
  <c r="D1503" i="10"/>
  <c r="D1502" i="10"/>
  <c r="D1501" i="10"/>
  <c r="D1500" i="10"/>
  <c r="D1499" i="10"/>
  <c r="D1498" i="10"/>
  <c r="D1497" i="10"/>
  <c r="D1496" i="10"/>
  <c r="D1495" i="10"/>
  <c r="D1494" i="10"/>
  <c r="D1493" i="10"/>
  <c r="D1492" i="10"/>
  <c r="D1491" i="10"/>
  <c r="D1490" i="10"/>
  <c r="D1489" i="10"/>
  <c r="D1488" i="10"/>
  <c r="D1487" i="10"/>
  <c r="D1486" i="10"/>
  <c r="D1485" i="10"/>
  <c r="D1484" i="10"/>
  <c r="D1483" i="10"/>
  <c r="D1482" i="10"/>
  <c r="D1481" i="10"/>
  <c r="D1480" i="10"/>
  <c r="D1479" i="10"/>
  <c r="D1478" i="10"/>
  <c r="D1477" i="10"/>
  <c r="D1476" i="10"/>
  <c r="D1475" i="10"/>
  <c r="D1474" i="10"/>
  <c r="D1473" i="10"/>
  <c r="D1472" i="10"/>
  <c r="D1471" i="10"/>
  <c r="D1470" i="10"/>
  <c r="D1469" i="10"/>
  <c r="D1468" i="10"/>
  <c r="D1467" i="10"/>
  <c r="D1466" i="10"/>
  <c r="D1465" i="10"/>
  <c r="D1464" i="10"/>
  <c r="D1463" i="10"/>
  <c r="D1462" i="10"/>
  <c r="D1461" i="10"/>
  <c r="D1460" i="10"/>
  <c r="D1459" i="10"/>
  <c r="D1458" i="10"/>
  <c r="D1457" i="10"/>
  <c r="D1456" i="10"/>
  <c r="D1455" i="10"/>
  <c r="D1454" i="10"/>
  <c r="D1453" i="10"/>
  <c r="D1452" i="10"/>
  <c r="D1451" i="10"/>
  <c r="D1450" i="10"/>
  <c r="D1449" i="10"/>
  <c r="D1448" i="10"/>
  <c r="D1447" i="10"/>
  <c r="D1446" i="10"/>
  <c r="D1445" i="10"/>
  <c r="D1444" i="10"/>
  <c r="D1443" i="10"/>
  <c r="D1442" i="10"/>
  <c r="D1441" i="10"/>
  <c r="D1440" i="10"/>
  <c r="D1439" i="10"/>
  <c r="D1438" i="10"/>
  <c r="D1437" i="10"/>
  <c r="D1436" i="10"/>
  <c r="D1435" i="10"/>
  <c r="D1434" i="10"/>
  <c r="D1433" i="10"/>
  <c r="D1432" i="10"/>
  <c r="D1431" i="10"/>
  <c r="D1430" i="10"/>
  <c r="D1429" i="10"/>
  <c r="D1428" i="10"/>
  <c r="D1427" i="10"/>
  <c r="D1426" i="10"/>
  <c r="D1425" i="10"/>
  <c r="D1424" i="10"/>
  <c r="D1423" i="10"/>
  <c r="D1422" i="10"/>
  <c r="D1421" i="10"/>
  <c r="D1420" i="10"/>
  <c r="D1419" i="10"/>
  <c r="D1418" i="10"/>
  <c r="D1417" i="10"/>
  <c r="D1416" i="10"/>
  <c r="D1415" i="10"/>
  <c r="D1414" i="10"/>
  <c r="D1413" i="10"/>
  <c r="D1412" i="10"/>
  <c r="D1411" i="10"/>
  <c r="D1410" i="10"/>
  <c r="D1409" i="10"/>
  <c r="D1408" i="10"/>
  <c r="D1407" i="10"/>
  <c r="D1406" i="10"/>
  <c r="D1405" i="10"/>
  <c r="D1404" i="10"/>
  <c r="D1403" i="10"/>
  <c r="D1402" i="10"/>
  <c r="D1401" i="10"/>
  <c r="D1400" i="10"/>
  <c r="D1399" i="10"/>
  <c r="D1398" i="10"/>
  <c r="D1397" i="10"/>
  <c r="D1396" i="10"/>
  <c r="D1395" i="10"/>
  <c r="D1394" i="10"/>
  <c r="D1393" i="10"/>
  <c r="D1392" i="10"/>
  <c r="D1391" i="10"/>
  <c r="D1390" i="10"/>
  <c r="D1389" i="10"/>
  <c r="D1388" i="10"/>
  <c r="D1387" i="10"/>
  <c r="D1386" i="10"/>
  <c r="D1385" i="10"/>
  <c r="D1384" i="10"/>
  <c r="D1383" i="10"/>
  <c r="D1382" i="10"/>
  <c r="D1381" i="10"/>
  <c r="D1380" i="10"/>
  <c r="D1379" i="10"/>
  <c r="D1378" i="10"/>
  <c r="D1377" i="10"/>
  <c r="D1376" i="10"/>
  <c r="D1375" i="10"/>
  <c r="D1374" i="10"/>
  <c r="D1373" i="10"/>
  <c r="D1372" i="10"/>
  <c r="D1371" i="10"/>
  <c r="D1370" i="10"/>
  <c r="D1369" i="10"/>
  <c r="D1368" i="10"/>
  <c r="D1367" i="10"/>
  <c r="D1366" i="10"/>
  <c r="D1365" i="10"/>
  <c r="D1364" i="10"/>
  <c r="D1363" i="10"/>
  <c r="D1362" i="10"/>
  <c r="D1361" i="10"/>
  <c r="D1360" i="10"/>
  <c r="D1359" i="10"/>
  <c r="D1358" i="10"/>
  <c r="D1357" i="10"/>
  <c r="D1356" i="10"/>
  <c r="D1355" i="10"/>
  <c r="D1354" i="10"/>
  <c r="D1353" i="10"/>
  <c r="D1352" i="10"/>
  <c r="D1351" i="10"/>
  <c r="D1350" i="10"/>
  <c r="D1349" i="10"/>
  <c r="D1348" i="10"/>
  <c r="D1347" i="10"/>
  <c r="D1346" i="10"/>
  <c r="D1345" i="10"/>
  <c r="D1344" i="10"/>
  <c r="D1343" i="10"/>
  <c r="D1342" i="10"/>
  <c r="D1341" i="10"/>
  <c r="D1340" i="10"/>
  <c r="D1339" i="10"/>
  <c r="D1338" i="10"/>
  <c r="D1337" i="10"/>
  <c r="D1336" i="10"/>
  <c r="D1335" i="10"/>
  <c r="D1334" i="10"/>
  <c r="D1333" i="10"/>
  <c r="D1332" i="10"/>
  <c r="D1331" i="10"/>
  <c r="D1330" i="10"/>
  <c r="D1329" i="10"/>
  <c r="D1328" i="10"/>
  <c r="D1327" i="10"/>
  <c r="D1326" i="10"/>
  <c r="D1325" i="10"/>
  <c r="D1324" i="10"/>
  <c r="D1323" i="10"/>
  <c r="D1322" i="10"/>
  <c r="D1321" i="10"/>
  <c r="D1320" i="10"/>
  <c r="D1319" i="10"/>
  <c r="D1318" i="10"/>
  <c r="D1317" i="10"/>
  <c r="D1316" i="10"/>
  <c r="D1315" i="10"/>
  <c r="D1314" i="10"/>
  <c r="D1313" i="10"/>
  <c r="D1312" i="10"/>
  <c r="D1311" i="10"/>
  <c r="D1310" i="10"/>
  <c r="D1309" i="10"/>
  <c r="D1308" i="10"/>
  <c r="D1307" i="10"/>
  <c r="D1306" i="10"/>
  <c r="D1305" i="10"/>
  <c r="D1304" i="10"/>
  <c r="D1303" i="10"/>
  <c r="D1302" i="10"/>
  <c r="D1301" i="10"/>
  <c r="D1300" i="10"/>
  <c r="D1299" i="10"/>
  <c r="D1298" i="10"/>
  <c r="D1297" i="10"/>
  <c r="D1296" i="10"/>
  <c r="D1295" i="10"/>
  <c r="D1294" i="10"/>
  <c r="D1293" i="10"/>
  <c r="D1292" i="10"/>
  <c r="D1291" i="10"/>
  <c r="D1290" i="10"/>
  <c r="D1289" i="10"/>
  <c r="D1288" i="10"/>
  <c r="D1287" i="10"/>
  <c r="D1286" i="10"/>
  <c r="D1285" i="10"/>
  <c r="D1284" i="10"/>
  <c r="D1283" i="10"/>
  <c r="D1282" i="10"/>
  <c r="D1281" i="10"/>
  <c r="D1280" i="10"/>
  <c r="D1279" i="10"/>
  <c r="D1278" i="10"/>
  <c r="D1277" i="10"/>
  <c r="D1276" i="10"/>
  <c r="D1275" i="10"/>
  <c r="D1274" i="10"/>
  <c r="D1273" i="10"/>
  <c r="D1272" i="10"/>
  <c r="D1271" i="10"/>
  <c r="D1270" i="10"/>
  <c r="D1269" i="10"/>
  <c r="D1268" i="10"/>
  <c r="D1267" i="10"/>
  <c r="D1266" i="10"/>
  <c r="D1265" i="10"/>
  <c r="D1264" i="10"/>
  <c r="D1263" i="10"/>
  <c r="D1262" i="10"/>
  <c r="D1261" i="10"/>
  <c r="D1260" i="10"/>
  <c r="D1259" i="10"/>
  <c r="D1258" i="10"/>
  <c r="D1257" i="10"/>
  <c r="D1256" i="10"/>
  <c r="D1255" i="10"/>
  <c r="D1254" i="10"/>
  <c r="D1253" i="10"/>
  <c r="D1252" i="10"/>
  <c r="D1251" i="10"/>
  <c r="D1250" i="10"/>
  <c r="D1249" i="10"/>
  <c r="D1248" i="10"/>
  <c r="D1247" i="10"/>
  <c r="D1246" i="10"/>
  <c r="D1245" i="10"/>
  <c r="D1244" i="10"/>
  <c r="D1243" i="10"/>
  <c r="D1242" i="10"/>
  <c r="D1241" i="10"/>
  <c r="D1240" i="10"/>
  <c r="D1239" i="10"/>
  <c r="D1238" i="10"/>
  <c r="D1237" i="10"/>
  <c r="D1236" i="10"/>
  <c r="D1235" i="10"/>
  <c r="D1234" i="10"/>
  <c r="D1233" i="10"/>
  <c r="D1232" i="10"/>
  <c r="D1231" i="10"/>
  <c r="D1230" i="10"/>
  <c r="D1229" i="10"/>
  <c r="D1228" i="10"/>
  <c r="D1227" i="10"/>
  <c r="D1226" i="10"/>
  <c r="D1225" i="10"/>
  <c r="D1224" i="10"/>
  <c r="D1223" i="10"/>
  <c r="D1222" i="10"/>
  <c r="D1221" i="10"/>
  <c r="D1220" i="10"/>
  <c r="D1219" i="10"/>
  <c r="D1218" i="10"/>
  <c r="D1217" i="10"/>
  <c r="D1216" i="10"/>
  <c r="D1215" i="10"/>
  <c r="D1214" i="10"/>
  <c r="D1213" i="10"/>
  <c r="D1212" i="10"/>
  <c r="D1211" i="10"/>
  <c r="D1210" i="10"/>
  <c r="D1209" i="10"/>
  <c r="D1208" i="10"/>
  <c r="D1207" i="10"/>
  <c r="D1206" i="10"/>
  <c r="D1205" i="10"/>
  <c r="D1204" i="10"/>
  <c r="D1203" i="10"/>
  <c r="D1202" i="10"/>
  <c r="D1201" i="10"/>
  <c r="D1200" i="10"/>
  <c r="D1199" i="10"/>
  <c r="D1198" i="10"/>
  <c r="D1197" i="10"/>
  <c r="D1196" i="10"/>
  <c r="D1195" i="10"/>
  <c r="D1194" i="10"/>
  <c r="D1193" i="10"/>
  <c r="D1192" i="10"/>
  <c r="D1191" i="10"/>
  <c r="D1190" i="10"/>
  <c r="D1189" i="10"/>
  <c r="D1188" i="10"/>
  <c r="D1187" i="10"/>
  <c r="D1186" i="10"/>
  <c r="D1185" i="10"/>
  <c r="D1184" i="10"/>
  <c r="D1183" i="10"/>
  <c r="D1182" i="10"/>
  <c r="D1181" i="10"/>
  <c r="D1180" i="10"/>
  <c r="D1179" i="10"/>
  <c r="D1178" i="10"/>
  <c r="D1177" i="10"/>
  <c r="D1176" i="10"/>
  <c r="D1175" i="10"/>
  <c r="D1174" i="10"/>
  <c r="D1173" i="10"/>
  <c r="D1172" i="10"/>
  <c r="D1171" i="10"/>
  <c r="D1170" i="10"/>
  <c r="D1169" i="10"/>
  <c r="D1168" i="10"/>
  <c r="D1167" i="10"/>
  <c r="D1166" i="10"/>
  <c r="D1165" i="10"/>
  <c r="D1164" i="10"/>
  <c r="D1163" i="10"/>
  <c r="D1162" i="10"/>
  <c r="D1161" i="10"/>
  <c r="D1160" i="10"/>
  <c r="D1159" i="10"/>
  <c r="D1158" i="10"/>
  <c r="D1157" i="10"/>
  <c r="D1156" i="10"/>
  <c r="D1155" i="10"/>
  <c r="D1154" i="10"/>
  <c r="D1153" i="10"/>
  <c r="D1152" i="10"/>
  <c r="D1151" i="10"/>
  <c r="D1150" i="10"/>
  <c r="D1149" i="10"/>
  <c r="D1148" i="10"/>
  <c r="D1147" i="10"/>
  <c r="D1146" i="10"/>
  <c r="D1145" i="10"/>
  <c r="D1144" i="10"/>
  <c r="D1143" i="10"/>
  <c r="D1142" i="10"/>
  <c r="D1141" i="10"/>
  <c r="D1140" i="10"/>
  <c r="D1139" i="10"/>
  <c r="D1138" i="10"/>
  <c r="D1137" i="10"/>
  <c r="D1136" i="10"/>
  <c r="D1135" i="10"/>
  <c r="D1134" i="10"/>
  <c r="D1133" i="10"/>
  <c r="D1132" i="10"/>
  <c r="D1131" i="10"/>
  <c r="D1130" i="10"/>
  <c r="D1129" i="10"/>
  <c r="D1128" i="10"/>
  <c r="D1127" i="10"/>
  <c r="D1126" i="10"/>
  <c r="D1125" i="10"/>
  <c r="D1124" i="10"/>
  <c r="D1123" i="10"/>
  <c r="D1122" i="10"/>
  <c r="D1121" i="10"/>
  <c r="D1120" i="10"/>
  <c r="D1119" i="10"/>
  <c r="D1118" i="10"/>
  <c r="D1117" i="10"/>
  <c r="D1116" i="10"/>
  <c r="D1115" i="10"/>
  <c r="D1114" i="10"/>
  <c r="D1113" i="10"/>
  <c r="D1112" i="10"/>
  <c r="D1111" i="10"/>
  <c r="D1110" i="10"/>
  <c r="D1109" i="10"/>
  <c r="D1108" i="10"/>
  <c r="D1107" i="10"/>
  <c r="D1106" i="10"/>
  <c r="D1105" i="10"/>
  <c r="D1104" i="10"/>
  <c r="D1103" i="10"/>
  <c r="D1102" i="10"/>
  <c r="D1101" i="10"/>
  <c r="D1100" i="10"/>
  <c r="D1099" i="10"/>
  <c r="D1098" i="10"/>
  <c r="D1097" i="10"/>
  <c r="D1096" i="10"/>
  <c r="D1095" i="10"/>
  <c r="D1094" i="10"/>
  <c r="D1093" i="10"/>
  <c r="D1092" i="10"/>
  <c r="D1091" i="10"/>
  <c r="D1090" i="10"/>
  <c r="D1089" i="10"/>
  <c r="D1088" i="10"/>
  <c r="D1087" i="10"/>
  <c r="D1086" i="10"/>
  <c r="D1085" i="10"/>
  <c r="D1084" i="10"/>
  <c r="D1083" i="10"/>
  <c r="D1082" i="10"/>
  <c r="D1081" i="10"/>
  <c r="D1080" i="10"/>
  <c r="D1079" i="10"/>
  <c r="D1078" i="10"/>
  <c r="D1077" i="10"/>
  <c r="D1076" i="10"/>
  <c r="D1075" i="10"/>
  <c r="D1074" i="10"/>
  <c r="D1073" i="10"/>
  <c r="D1072" i="10"/>
  <c r="D1071" i="10"/>
  <c r="D1070" i="10"/>
  <c r="D1069" i="10"/>
  <c r="D1068" i="10"/>
  <c r="D1067" i="10"/>
  <c r="D1066" i="10"/>
  <c r="D1065" i="10"/>
  <c r="D1064" i="10"/>
  <c r="D1063" i="10"/>
  <c r="D1062" i="10"/>
  <c r="D1061" i="10"/>
  <c r="D1060" i="10"/>
  <c r="D1059" i="10"/>
  <c r="D1058" i="10"/>
  <c r="D1057" i="10"/>
  <c r="D1056" i="10"/>
  <c r="D1055" i="10"/>
  <c r="D1054" i="10"/>
  <c r="D1053" i="10"/>
  <c r="D1052" i="10"/>
  <c r="D1051" i="10"/>
  <c r="D1050" i="10"/>
  <c r="D1049" i="10"/>
  <c r="D1048" i="10"/>
  <c r="D1047" i="10"/>
  <c r="D1046" i="10"/>
  <c r="D1045" i="10"/>
  <c r="D1044" i="10"/>
  <c r="D1043" i="10"/>
  <c r="D1042" i="10"/>
  <c r="D1041" i="10"/>
  <c r="D1040" i="10"/>
  <c r="D1039" i="10"/>
  <c r="D1038" i="10"/>
  <c r="D1037" i="10"/>
  <c r="D1036" i="10"/>
  <c r="D1035" i="10"/>
  <c r="D1034" i="10"/>
  <c r="D1033" i="10"/>
  <c r="D1032" i="10"/>
  <c r="D1031" i="10"/>
  <c r="D1030" i="10"/>
  <c r="D1029" i="10"/>
  <c r="D1028" i="10"/>
  <c r="D1027" i="10"/>
  <c r="D1026" i="10"/>
  <c r="D1025" i="10"/>
  <c r="D1024" i="10"/>
  <c r="D1023" i="10"/>
  <c r="D1022" i="10"/>
  <c r="D1021" i="10"/>
  <c r="D1020" i="10"/>
  <c r="D1019" i="10"/>
  <c r="D1018" i="10"/>
  <c r="D1017" i="10"/>
  <c r="D1016" i="10"/>
  <c r="D1015" i="10"/>
  <c r="D1014" i="10"/>
  <c r="D1013" i="10"/>
  <c r="D1012" i="10"/>
  <c r="D1011" i="10"/>
  <c r="D1010" i="10"/>
  <c r="D1009" i="10"/>
  <c r="D1008" i="10"/>
  <c r="D1007" i="10"/>
  <c r="D1006" i="10"/>
  <c r="D1005" i="10"/>
  <c r="D1004" i="10"/>
  <c r="D1003" i="10"/>
  <c r="D1002" i="10"/>
  <c r="D1001" i="10"/>
  <c r="D1000" i="10"/>
  <c r="D999" i="10"/>
  <c r="D998" i="10"/>
  <c r="D997" i="10"/>
  <c r="D996" i="10"/>
  <c r="D995" i="10"/>
  <c r="D994" i="10"/>
  <c r="D993" i="10"/>
  <c r="D992" i="10"/>
  <c r="D991" i="10"/>
  <c r="D990" i="10"/>
  <c r="D989" i="10"/>
  <c r="D988" i="10"/>
  <c r="D987" i="10"/>
  <c r="D986" i="10"/>
  <c r="D985" i="10"/>
  <c r="D984" i="10"/>
  <c r="D983" i="10"/>
  <c r="D982" i="10"/>
  <c r="D981" i="10"/>
  <c r="D980" i="10"/>
  <c r="D979" i="10"/>
  <c r="D978" i="10"/>
  <c r="D977" i="10"/>
  <c r="D976" i="10"/>
  <c r="D975" i="10"/>
  <c r="D974" i="10"/>
  <c r="D973" i="10"/>
  <c r="D972" i="10"/>
  <c r="D971" i="10"/>
  <c r="D970" i="10"/>
  <c r="D969" i="10"/>
  <c r="D968" i="10"/>
  <c r="D967" i="10"/>
  <c r="D966" i="10"/>
  <c r="D965" i="10"/>
  <c r="D964" i="10"/>
  <c r="D963" i="10"/>
  <c r="D962" i="10"/>
  <c r="D961" i="10"/>
  <c r="D960" i="10"/>
  <c r="D959" i="10"/>
  <c r="D958" i="10"/>
  <c r="D957" i="10"/>
  <c r="D956" i="10"/>
  <c r="D955" i="10"/>
  <c r="D954" i="10"/>
  <c r="D953" i="10"/>
  <c r="D952" i="10"/>
  <c r="D951" i="10"/>
  <c r="D950" i="10"/>
  <c r="D949" i="10"/>
  <c r="D948" i="10"/>
  <c r="D947" i="10"/>
  <c r="D946" i="10"/>
  <c r="D945" i="10"/>
  <c r="D944" i="10"/>
  <c r="D943" i="10"/>
  <c r="D942" i="10"/>
  <c r="D941" i="10"/>
  <c r="D940" i="10"/>
  <c r="D939" i="10"/>
  <c r="D938" i="10"/>
  <c r="D937" i="10"/>
  <c r="D936" i="10"/>
  <c r="D935" i="10"/>
  <c r="D934" i="10"/>
  <c r="D933" i="10"/>
  <c r="D932" i="10"/>
  <c r="D931" i="10"/>
  <c r="D930" i="10"/>
  <c r="D929" i="10"/>
  <c r="D928" i="10"/>
  <c r="D927" i="10"/>
  <c r="D926" i="10"/>
  <c r="D925" i="10"/>
  <c r="D924" i="10"/>
  <c r="D923" i="10"/>
  <c r="D922" i="10"/>
  <c r="D921" i="10"/>
  <c r="D920" i="10"/>
  <c r="D919" i="10"/>
  <c r="D918" i="10"/>
  <c r="D917" i="10"/>
  <c r="D916" i="10"/>
  <c r="D915" i="10"/>
  <c r="D914" i="10"/>
  <c r="D913" i="10"/>
  <c r="D912" i="10"/>
  <c r="D911" i="10"/>
  <c r="D910" i="10"/>
  <c r="D909" i="10"/>
  <c r="D908" i="10"/>
  <c r="D907" i="10"/>
  <c r="D906" i="10"/>
  <c r="D905" i="10"/>
  <c r="D904" i="10"/>
  <c r="D903" i="10"/>
  <c r="D902" i="10"/>
  <c r="D901" i="10"/>
  <c r="D900" i="10"/>
  <c r="D899" i="10"/>
  <c r="D898" i="10"/>
  <c r="D897" i="10"/>
  <c r="D896" i="10"/>
  <c r="D895" i="10"/>
  <c r="D894" i="10"/>
  <c r="D893" i="10"/>
  <c r="D892" i="10"/>
  <c r="D891" i="10"/>
  <c r="D890" i="10"/>
  <c r="D889" i="10"/>
  <c r="D888" i="10"/>
  <c r="D887" i="10"/>
  <c r="D886" i="10"/>
  <c r="D885" i="10"/>
  <c r="D884" i="10"/>
  <c r="D883" i="10"/>
  <c r="D882" i="10"/>
  <c r="D881" i="10"/>
  <c r="D880" i="10"/>
  <c r="D879" i="10"/>
  <c r="D878" i="10"/>
  <c r="D877" i="10"/>
  <c r="D876" i="10"/>
  <c r="D875" i="10"/>
  <c r="D874" i="10"/>
  <c r="D873" i="10"/>
  <c r="D872" i="10"/>
  <c r="D871" i="10"/>
  <c r="D870" i="10"/>
  <c r="D869" i="10"/>
  <c r="D868" i="10"/>
  <c r="D867" i="10"/>
  <c r="D866" i="10"/>
  <c r="D865" i="10"/>
  <c r="D864" i="10"/>
  <c r="D863" i="10"/>
  <c r="D862" i="10"/>
  <c r="D861" i="10"/>
  <c r="D860" i="10"/>
  <c r="D859" i="10"/>
  <c r="D858" i="10"/>
  <c r="D857" i="10"/>
  <c r="D856" i="10"/>
  <c r="D855" i="10"/>
  <c r="D854" i="10"/>
  <c r="D853" i="10"/>
  <c r="D852" i="10"/>
  <c r="D851" i="10"/>
  <c r="D850" i="10"/>
  <c r="D849" i="10"/>
  <c r="D848" i="10"/>
  <c r="D847" i="10"/>
  <c r="D846" i="10"/>
  <c r="D845" i="10"/>
  <c r="D844" i="10"/>
  <c r="D843" i="10"/>
  <c r="D842" i="10"/>
  <c r="D841" i="10"/>
  <c r="D840" i="10"/>
  <c r="D839" i="10"/>
  <c r="D838" i="10"/>
  <c r="D837" i="10"/>
  <c r="D836" i="10"/>
  <c r="D835" i="10"/>
  <c r="D834" i="10"/>
  <c r="D833" i="10"/>
  <c r="D832" i="10"/>
  <c r="D831" i="10"/>
  <c r="D830" i="10"/>
  <c r="D829" i="10"/>
  <c r="D828" i="10"/>
  <c r="D827" i="10"/>
  <c r="D826" i="10"/>
  <c r="D825" i="10"/>
  <c r="D824" i="10"/>
  <c r="D823" i="10"/>
  <c r="D822" i="10"/>
  <c r="D821" i="10"/>
  <c r="D820" i="10"/>
  <c r="D819" i="10"/>
  <c r="D818" i="10"/>
  <c r="D817" i="10"/>
  <c r="D816" i="10"/>
  <c r="D815" i="10"/>
  <c r="D814" i="10"/>
  <c r="D813" i="10"/>
  <c r="D812" i="10"/>
  <c r="D811" i="10"/>
  <c r="D810" i="10"/>
  <c r="D809" i="10"/>
  <c r="D808" i="10"/>
  <c r="D807" i="10"/>
  <c r="D806" i="10"/>
  <c r="D805" i="10"/>
  <c r="D804" i="10"/>
  <c r="D803" i="10"/>
  <c r="D802" i="10"/>
  <c r="D801" i="10"/>
  <c r="D800" i="10"/>
  <c r="D799" i="10"/>
  <c r="D798" i="10"/>
  <c r="D797" i="10"/>
  <c r="D796" i="10"/>
  <c r="D795" i="10"/>
  <c r="D794" i="10"/>
  <c r="D793" i="10"/>
  <c r="D792" i="10"/>
  <c r="D791" i="10"/>
  <c r="D790" i="10"/>
  <c r="D789" i="10"/>
  <c r="D788" i="10"/>
  <c r="D787" i="10"/>
  <c r="D786" i="10"/>
  <c r="D785" i="10"/>
  <c r="D784" i="10"/>
  <c r="D783" i="10"/>
  <c r="D782" i="10"/>
  <c r="D781" i="10"/>
  <c r="D780" i="10"/>
  <c r="D779" i="10"/>
  <c r="D778" i="10"/>
  <c r="D777" i="10"/>
  <c r="D776" i="10"/>
  <c r="D775" i="10"/>
  <c r="D774" i="10"/>
  <c r="D773" i="10"/>
  <c r="D772" i="10"/>
  <c r="D771" i="10"/>
  <c r="D770" i="10"/>
  <c r="D769" i="10"/>
  <c r="D768" i="10"/>
  <c r="D767" i="10"/>
  <c r="D766" i="10"/>
  <c r="D765" i="10"/>
  <c r="D764" i="10"/>
  <c r="D763" i="10"/>
  <c r="D762" i="10"/>
  <c r="D761" i="10"/>
  <c r="D760" i="10"/>
  <c r="D759" i="10"/>
  <c r="D758" i="10"/>
  <c r="D757" i="10"/>
  <c r="D756" i="10"/>
  <c r="D755" i="10"/>
  <c r="D754" i="10"/>
  <c r="D753" i="10"/>
  <c r="D752" i="10"/>
  <c r="D751" i="10"/>
  <c r="D750" i="10"/>
  <c r="D749" i="10"/>
  <c r="D748" i="10"/>
  <c r="D747" i="10"/>
  <c r="D746" i="10"/>
  <c r="D745" i="10"/>
  <c r="D744" i="10"/>
  <c r="D743" i="10"/>
  <c r="D742" i="10"/>
  <c r="D741" i="10"/>
  <c r="D740" i="10"/>
  <c r="D739" i="10"/>
  <c r="D738" i="10"/>
  <c r="D737" i="10"/>
  <c r="D736" i="10"/>
  <c r="D735" i="10"/>
  <c r="D734" i="10"/>
  <c r="D733" i="10"/>
  <c r="D732" i="10"/>
  <c r="D731" i="10"/>
  <c r="D730" i="10"/>
  <c r="D729" i="10"/>
  <c r="D728" i="10"/>
  <c r="D727" i="10"/>
  <c r="D726" i="10"/>
  <c r="D725" i="10"/>
  <c r="D724" i="10"/>
  <c r="D723" i="10"/>
  <c r="D722" i="10"/>
  <c r="D721" i="10"/>
  <c r="D720" i="10"/>
  <c r="D719" i="10"/>
  <c r="D718" i="10"/>
  <c r="D717" i="10"/>
  <c r="D716" i="10"/>
  <c r="D715" i="10"/>
  <c r="D714" i="10"/>
  <c r="D713" i="10"/>
  <c r="D712" i="10"/>
  <c r="D711" i="10"/>
  <c r="D710" i="10"/>
  <c r="D709" i="10"/>
  <c r="D708" i="10"/>
  <c r="D707" i="10"/>
  <c r="D706" i="10"/>
  <c r="D705" i="10"/>
  <c r="D704" i="10"/>
  <c r="D703" i="10"/>
  <c r="D702" i="10"/>
  <c r="D701" i="10"/>
  <c r="D700" i="10"/>
  <c r="D699" i="10"/>
  <c r="D698" i="10"/>
  <c r="D697" i="10"/>
  <c r="D696" i="10"/>
  <c r="D695" i="10"/>
  <c r="D694" i="10"/>
  <c r="D693" i="10"/>
  <c r="D692" i="10"/>
  <c r="D691" i="10"/>
  <c r="D690" i="10"/>
  <c r="D689" i="10"/>
  <c r="D688" i="10"/>
  <c r="D687" i="10"/>
  <c r="D686" i="10"/>
  <c r="D685" i="10"/>
  <c r="D684" i="10"/>
  <c r="D683" i="10"/>
  <c r="D682" i="10"/>
  <c r="D681" i="10"/>
  <c r="D680" i="10"/>
  <c r="D679" i="10"/>
  <c r="D678" i="10"/>
  <c r="D677" i="10"/>
  <c r="D676" i="10"/>
  <c r="D675" i="10"/>
  <c r="D674" i="10"/>
  <c r="D673" i="10"/>
  <c r="D672" i="10"/>
  <c r="D671" i="10"/>
  <c r="D670" i="10"/>
  <c r="D669" i="10"/>
  <c r="D668" i="10"/>
  <c r="D667" i="10"/>
  <c r="D666" i="10"/>
  <c r="D665" i="10"/>
  <c r="D664" i="10"/>
  <c r="D663" i="10"/>
  <c r="D662" i="10"/>
  <c r="D661" i="10"/>
  <c r="D660" i="10"/>
  <c r="D659" i="10"/>
  <c r="D658" i="10"/>
  <c r="D657" i="10"/>
  <c r="D656" i="10"/>
  <c r="D655" i="10"/>
  <c r="D654" i="10"/>
  <c r="D653" i="10"/>
  <c r="D652" i="10"/>
  <c r="D651" i="10"/>
  <c r="D650" i="10"/>
  <c r="D649" i="10"/>
  <c r="D648" i="10"/>
  <c r="D647" i="10"/>
  <c r="D646" i="10"/>
  <c r="D645" i="10"/>
  <c r="D644" i="10"/>
  <c r="D643" i="10"/>
  <c r="D642" i="10"/>
  <c r="D641" i="10"/>
  <c r="D640" i="10"/>
  <c r="D639" i="10"/>
  <c r="D638" i="10"/>
  <c r="D637" i="10"/>
  <c r="D636" i="10"/>
  <c r="D635" i="10"/>
  <c r="D634" i="10"/>
  <c r="D633" i="10"/>
  <c r="D632" i="10"/>
  <c r="D631" i="10"/>
  <c r="D630" i="10"/>
  <c r="D629" i="10"/>
  <c r="D628" i="10"/>
  <c r="D627" i="10"/>
  <c r="D626" i="10"/>
  <c r="D625" i="10"/>
  <c r="D624" i="10"/>
  <c r="D623" i="10"/>
  <c r="D622" i="10"/>
  <c r="D621" i="10"/>
  <c r="D620" i="10"/>
  <c r="D619" i="10"/>
  <c r="D618" i="10"/>
  <c r="D617" i="10"/>
  <c r="D616" i="10"/>
  <c r="D615" i="10"/>
  <c r="D614" i="10"/>
  <c r="D613" i="10"/>
  <c r="D612" i="10"/>
  <c r="D611" i="10"/>
  <c r="D610" i="10"/>
  <c r="D609" i="10"/>
  <c r="D608" i="10"/>
  <c r="D607" i="10"/>
  <c r="D606" i="10"/>
  <c r="D605" i="10"/>
  <c r="D604" i="10"/>
  <c r="D603" i="10"/>
  <c r="D602" i="10"/>
  <c r="D601" i="10"/>
  <c r="D600" i="10"/>
  <c r="D599" i="10"/>
  <c r="D598" i="10"/>
  <c r="D597" i="10"/>
  <c r="D596" i="10"/>
  <c r="D595" i="10"/>
  <c r="D594" i="10"/>
  <c r="D593" i="10"/>
  <c r="D592" i="10"/>
  <c r="D591" i="10"/>
  <c r="D590" i="10"/>
  <c r="D589" i="10"/>
  <c r="D588" i="10"/>
  <c r="D587" i="10"/>
  <c r="D586" i="10"/>
  <c r="D585" i="10"/>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7" i="10"/>
  <c r="D556" i="10"/>
  <c r="D555"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20"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7" i="10"/>
  <c r="D276" i="10"/>
  <c r="D275"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20" i="10"/>
  <c r="D219" i="10"/>
  <c r="D218" i="10"/>
  <c r="D217" i="10"/>
  <c r="D216" i="10"/>
  <c r="D215" i="10"/>
  <c r="D214" i="10"/>
  <c r="D213" i="10"/>
  <c r="D212" i="10"/>
  <c r="D211" i="10"/>
  <c r="D210" i="10"/>
  <c r="D209" i="10"/>
  <c r="D208" i="10"/>
  <c r="D207" i="10"/>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D182" i="10"/>
  <c r="D181" i="10"/>
  <c r="D180" i="10"/>
  <c r="D179" i="10"/>
  <c r="D178" i="10"/>
  <c r="D177" i="10"/>
  <c r="D176" i="10"/>
  <c r="D175" i="10"/>
  <c r="D174" i="10"/>
  <c r="D173" i="10"/>
  <c r="D172" i="10"/>
  <c r="D171" i="10"/>
  <c r="D170" i="10"/>
  <c r="D169" i="10"/>
  <c r="D168" i="10"/>
  <c r="D167" i="10"/>
  <c r="D166" i="10"/>
  <c r="D165" i="10"/>
  <c r="D164" i="10"/>
  <c r="D163" i="10"/>
  <c r="D162" i="10"/>
  <c r="D161" i="10"/>
  <c r="D160" i="10"/>
  <c r="D159" i="10"/>
  <c r="D158" i="10"/>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34" i="10"/>
  <c r="D33" i="10"/>
  <c r="D32" i="10"/>
  <c r="D31" i="10"/>
  <c r="D30" i="10"/>
  <c r="D29" i="10"/>
  <c r="D28" i="10"/>
  <c r="D27" i="10"/>
  <c r="D26" i="10"/>
  <c r="D25" i="10"/>
  <c r="D24" i="10"/>
  <c r="D23" i="10"/>
</calcChain>
</file>

<file path=xl/sharedStrings.xml><?xml version="1.0" encoding="utf-8"?>
<sst xmlns="http://schemas.openxmlformats.org/spreadsheetml/2006/main" count="156043" uniqueCount="37388">
  <si>
    <t>207QA0000X</t>
  </si>
  <si>
    <t>Remove</t>
  </si>
  <si>
    <t>Add</t>
  </si>
  <si>
    <t>Description:</t>
  </si>
  <si>
    <t>Description of the provider type</t>
  </si>
  <si>
    <t>Name</t>
  </si>
  <si>
    <t>Name of provider</t>
  </si>
  <si>
    <t>Smith, John</t>
  </si>
  <si>
    <r>
      <t xml:space="preserve">NPI of provider
</t>
    </r>
    <r>
      <rPr>
        <b/>
        <sz val="10"/>
        <color theme="1"/>
        <rFont val="Aptos Narrow"/>
        <family val="2"/>
        <scheme val="minor"/>
      </rPr>
      <t>* Required for proposed addition</t>
    </r>
  </si>
  <si>
    <r>
      <t xml:space="preserve">Provider type (criteria code) of the provider
</t>
    </r>
    <r>
      <rPr>
        <b/>
        <sz val="10"/>
        <color theme="1"/>
        <rFont val="Aptos Narrow"/>
        <family val="2"/>
        <scheme val="minor"/>
      </rPr>
      <t>* Required for proposed addition</t>
    </r>
  </si>
  <si>
    <t>Additions Here ==&gt;</t>
  </si>
  <si>
    <t>Data  Starts Here ==&gt;</t>
  </si>
  <si>
    <t>add new rows if needed</t>
  </si>
  <si>
    <t>mark "Delete" if needed</t>
  </si>
  <si>
    <t>improperly listed in NPPES data</t>
  </si>
  <si>
    <t>Proposed action:
Blank - no action
Add - add this provider to the type
Remove - remove this provider</t>
  </si>
  <si>
    <t>207Q00000X</t>
  </si>
  <si>
    <t>207R00000X</t>
  </si>
  <si>
    <t>363LF0000X</t>
  </si>
  <si>
    <t>363A00000X</t>
  </si>
  <si>
    <t>363LA2200X</t>
  </si>
  <si>
    <t>207RG0300X</t>
  </si>
  <si>
    <t>207QA0505X</t>
  </si>
  <si>
    <t>208D00000X</t>
  </si>
  <si>
    <t>363AM0700X</t>
  </si>
  <si>
    <t>207QG0300X</t>
  </si>
  <si>
    <t>363LP2300X</t>
  </si>
  <si>
    <t>208000000X</t>
  </si>
  <si>
    <t>2080A0000X</t>
  </si>
  <si>
    <t>207RA0000X</t>
  </si>
  <si>
    <t>273R00000X</t>
  </si>
  <si>
    <t>283Q00000X</t>
  </si>
  <si>
    <t>324500000X</t>
  </si>
  <si>
    <t>323P00000X</t>
  </si>
  <si>
    <t>322D00000X</t>
  </si>
  <si>
    <t>2084P0804X</t>
  </si>
  <si>
    <t>104100000X</t>
  </si>
  <si>
    <t>1041C0700X</t>
  </si>
  <si>
    <t>2084P0800X</t>
  </si>
  <si>
    <t>101Y00000X</t>
  </si>
  <si>
    <t>101YM0800X</t>
  </si>
  <si>
    <t>101YP2500X</t>
  </si>
  <si>
    <t>103T00000X</t>
  </si>
  <si>
    <t>103TC2200X</t>
  </si>
  <si>
    <t>103TC0700X</t>
  </si>
  <si>
    <t>363LP0808X</t>
  </si>
  <si>
    <t>103TS0200X</t>
  </si>
  <si>
    <t>2084P0015X</t>
  </si>
  <si>
    <t>2084P0802X</t>
  </si>
  <si>
    <t>103TC1900X</t>
  </si>
  <si>
    <t>103K00000X</t>
  </si>
  <si>
    <t>103TA0700X</t>
  </si>
  <si>
    <t>364SP0808X</t>
  </si>
  <si>
    <t>103TH0004X</t>
  </si>
  <si>
    <t>103TB0200X</t>
  </si>
  <si>
    <t>103TH0100X</t>
  </si>
  <si>
    <t>1041S0200X</t>
  </si>
  <si>
    <t>103TM1800X</t>
  </si>
  <si>
    <t>103TF0000X</t>
  </si>
  <si>
    <t>103TP2701X</t>
  </si>
  <si>
    <t>103TP0016X</t>
  </si>
  <si>
    <t>103TP0814X</t>
  </si>
  <si>
    <t>101YA0400X</t>
  </si>
  <si>
    <t>207RA0401X</t>
  </si>
  <si>
    <t>2084A0401X</t>
  </si>
  <si>
    <t>103TR0400X</t>
  </si>
  <si>
    <t>103TA0400X</t>
  </si>
  <si>
    <t>207QA0401X</t>
  </si>
  <si>
    <t>207RX0202X</t>
  </si>
  <si>
    <t>2085R0001X</t>
  </si>
  <si>
    <t>207RH0003X</t>
  </si>
  <si>
    <t>207VX0201X</t>
  </si>
  <si>
    <t>2080P0207X</t>
  </si>
  <si>
    <t>2086X0206X</t>
  </si>
  <si>
    <t>314000000X</t>
  </si>
  <si>
    <t>207RC0000X</t>
  </si>
  <si>
    <t>2080P0202X</t>
  </si>
  <si>
    <t>207RI0011X</t>
  </si>
  <si>
    <t>207VX0000X</t>
  </si>
  <si>
    <t>207V00000X</t>
  </si>
  <si>
    <t>207VG0400X</t>
  </si>
  <si>
    <t>207VM0101X</t>
  </si>
  <si>
    <t>207VE0102X</t>
  </si>
  <si>
    <t>207VF0040X</t>
  </si>
  <si>
    <t>207RP1001X</t>
  </si>
  <si>
    <t>2080P0214X</t>
  </si>
  <si>
    <t>207RE0101X</t>
  </si>
  <si>
    <t>2080P0205X</t>
  </si>
  <si>
    <t>207RR0500X</t>
  </si>
  <si>
    <t>2080P0216X</t>
  </si>
  <si>
    <t>207W00000X</t>
  </si>
  <si>
    <t>208800000X</t>
  </si>
  <si>
    <t>2088P0231X</t>
  </si>
  <si>
    <t>Stamp, Jeffrey</t>
  </si>
  <si>
    <t>Wilkerson, James</t>
  </si>
  <si>
    <t>Jones, Charles</t>
  </si>
  <si>
    <t>Ritchie, Robert</t>
  </si>
  <si>
    <t>Palmer, William</t>
  </si>
  <si>
    <t>Suneela, Gottumukkala</t>
  </si>
  <si>
    <t>Bell, David</t>
  </si>
  <si>
    <t>Hardin, Thad</t>
  </si>
  <si>
    <t>Pierre, Rosemay</t>
  </si>
  <si>
    <t>Anderson, Scott</t>
  </si>
  <si>
    <t>Lee, Ronnie</t>
  </si>
  <si>
    <t>Davis, Paul</t>
  </si>
  <si>
    <t>Freeman, William</t>
  </si>
  <si>
    <t>Hernandez, Julian</t>
  </si>
  <si>
    <t>Shotts, Culber</t>
  </si>
  <si>
    <t>Keng, Jeremiah</t>
  </si>
  <si>
    <t>Jain, Angeli</t>
  </si>
  <si>
    <t>Callaway, Michael</t>
  </si>
  <si>
    <t>Carter, James</t>
  </si>
  <si>
    <t>Kaddoura, Salahuddin</t>
  </si>
  <si>
    <t>King, William</t>
  </si>
  <si>
    <t>Skinner, Robert</t>
  </si>
  <si>
    <t>Leslie, Thomas</t>
  </si>
  <si>
    <t>Williams, Dwight</t>
  </si>
  <si>
    <t>Thakor, Pratapji</t>
  </si>
  <si>
    <t>Caldwell, Charles</t>
  </si>
  <si>
    <t>Jackson, Charles</t>
  </si>
  <si>
    <t>Jennings, Matthew</t>
  </si>
  <si>
    <t>Wilson, Robert</t>
  </si>
  <si>
    <t>Dill, Kenneth</t>
  </si>
  <si>
    <t>Yawn, Timothy</t>
  </si>
  <si>
    <t>Suarez, Viviana</t>
  </si>
  <si>
    <t>Connelly, Stephanie</t>
  </si>
  <si>
    <t>Rajagopal, Manikandan</t>
  </si>
  <si>
    <t>Kannout, Fareed</t>
  </si>
  <si>
    <t>Weeden, Daniel</t>
  </si>
  <si>
    <t>Ganga, Vyjayanthi</t>
  </si>
  <si>
    <t>Smith, Mark</t>
  </si>
  <si>
    <t>Shiffman, Stephen</t>
  </si>
  <si>
    <t>Hazin, Hesham</t>
  </si>
  <si>
    <t>Abuabdou, Ahmed</t>
  </si>
  <si>
    <t>Edala, Arpana</t>
  </si>
  <si>
    <t>Kumar, Sudhir</t>
  </si>
  <si>
    <t>Brewer, Jim</t>
  </si>
  <si>
    <t>Naqvi, Haider</t>
  </si>
  <si>
    <t>Kamo, Alka</t>
  </si>
  <si>
    <t>Edwards, Jemeca</t>
  </si>
  <si>
    <t>Taylor, Robert</t>
  </si>
  <si>
    <t>Cerrato, Deborah</t>
  </si>
  <si>
    <t>Hughes, Juan</t>
  </si>
  <si>
    <t>Chu, George</t>
  </si>
  <si>
    <t>Azhar, Gohar</t>
  </si>
  <si>
    <t>Clark, John</t>
  </si>
  <si>
    <t>Williams, Matthew</t>
  </si>
  <si>
    <t>Walker, James</t>
  </si>
  <si>
    <t>Patchen, Jay</t>
  </si>
  <si>
    <t>Tancinco, Emmanuel</t>
  </si>
  <si>
    <t>Ellis, Margaret</t>
  </si>
  <si>
    <t>Efeovbokhan, Nephertiti</t>
  </si>
  <si>
    <t>Varma, Prem</t>
  </si>
  <si>
    <t>Htike, Naing</t>
  </si>
  <si>
    <t>Sanders, Robert</t>
  </si>
  <si>
    <t>Goss, Stephen</t>
  </si>
  <si>
    <t>Parnell, Kathy</t>
  </si>
  <si>
    <t>Ozdemir, Burcu</t>
  </si>
  <si>
    <t>Costello, Timothy</t>
  </si>
  <si>
    <t>Cotton, Kyle</t>
  </si>
  <si>
    <t>Bakunas, Katelyn</t>
  </si>
  <si>
    <t>Spahn, Amanda</t>
  </si>
  <si>
    <t>Smith, Lauren</t>
  </si>
  <si>
    <t>Jones, Maurice</t>
  </si>
  <si>
    <t>Whitehead, Jaime</t>
  </si>
  <si>
    <t>Taylor, Nikki</t>
  </si>
  <si>
    <t>Martindale, Christal</t>
  </si>
  <si>
    <t>Friedly, Adrienne</t>
  </si>
  <si>
    <t>Lacy, Brittany</t>
  </si>
  <si>
    <t>Allen, Laura</t>
  </si>
  <si>
    <t>Meredith, Nicole</t>
  </si>
  <si>
    <t>Young, Rebecca</t>
  </si>
  <si>
    <t>Auler, Candy</t>
  </si>
  <si>
    <t>Wilson, Amanda</t>
  </si>
  <si>
    <t>Swearengen, Kori</t>
  </si>
  <si>
    <t>Strode, Mandi</t>
  </si>
  <si>
    <t>Robinson, Dixie</t>
  </si>
  <si>
    <t>Doss, Allison</t>
  </si>
  <si>
    <t>Horton, Karen</t>
  </si>
  <si>
    <t>Wilson, Jennifer</t>
  </si>
  <si>
    <t>Dean, Janice</t>
  </si>
  <si>
    <t>White, Elizabeth</t>
  </si>
  <si>
    <t>Grantham, Myra</t>
  </si>
  <si>
    <t>Williams, Mary</t>
  </si>
  <si>
    <t>Wilkowsky, Sabrina</t>
  </si>
  <si>
    <t>Mewborn, Emily</t>
  </si>
  <si>
    <t>Hernandez, Samnieng</t>
  </si>
  <si>
    <t>Kachowski, Larisa</t>
  </si>
  <si>
    <t>Merritt, Edward</t>
  </si>
  <si>
    <t>Diaz, Kyle</t>
  </si>
  <si>
    <t>Humbard, Stephen</t>
  </si>
  <si>
    <t>Armstrong, Stacy</t>
  </si>
  <si>
    <t>Smith, David</t>
  </si>
  <si>
    <t>Smith, Charles</t>
  </si>
  <si>
    <t>Hueter, Ryan</t>
  </si>
  <si>
    <t>Rahal, Nidal</t>
  </si>
  <si>
    <t>Judkins, Hunter</t>
  </si>
  <si>
    <t>Herring, John</t>
  </si>
  <si>
    <t>Smith, Jay</t>
  </si>
  <si>
    <t>Beard, Michael</t>
  </si>
  <si>
    <t>Martin, Robert</t>
  </si>
  <si>
    <t>Williams, Robert</t>
  </si>
  <si>
    <t>Roberts, Neal</t>
  </si>
  <si>
    <t>Williams, William</t>
  </si>
  <si>
    <t>Westwood, John</t>
  </si>
  <si>
    <t>Deere, Deborah</t>
  </si>
  <si>
    <t>Walton, Robert</t>
  </si>
  <si>
    <t>Pickett, Karen</t>
  </si>
  <si>
    <t>Ferguson, Susan</t>
  </si>
  <si>
    <t>Simon, Sylvia</t>
  </si>
  <si>
    <t>Khan, Muneeza</t>
  </si>
  <si>
    <t>Ball, Charles</t>
  </si>
  <si>
    <t>Dawson, Justin</t>
  </si>
  <si>
    <t>Beam, David</t>
  </si>
  <si>
    <t>Walsh, Bradley</t>
  </si>
  <si>
    <t>Fu, Qiuyu</t>
  </si>
  <si>
    <t>Konis, George</t>
  </si>
  <si>
    <t>Williams, James</t>
  </si>
  <si>
    <t>Oxner, Troy</t>
  </si>
  <si>
    <t>Athota, Prasad</t>
  </si>
  <si>
    <t>Hearne, Archie</t>
  </si>
  <si>
    <t>Landers, Hubert</t>
  </si>
  <si>
    <t>Siddiqui, Navid</t>
  </si>
  <si>
    <t>Clay, David</t>
  </si>
  <si>
    <t>Akin, Gordon</t>
  </si>
  <si>
    <t>Vallurupalli, Srikanth</t>
  </si>
  <si>
    <t>Meacham, Robert</t>
  </si>
  <si>
    <t>Motwani, Pooja</t>
  </si>
  <si>
    <t>Adebanjo, Olugbenga</t>
  </si>
  <si>
    <t>Vancil, Tobias</t>
  </si>
  <si>
    <t>Campbell, Patrick</t>
  </si>
  <si>
    <t>Khan, Muhammad</t>
  </si>
  <si>
    <t>Smith, Rachael</t>
  </si>
  <si>
    <t>Ramachandran, Poongodhai</t>
  </si>
  <si>
    <t>Syed, Beena</t>
  </si>
  <si>
    <t>Webb, Dan</t>
  </si>
  <si>
    <t>Kraus, Gordon</t>
  </si>
  <si>
    <t>Henderson, David</t>
  </si>
  <si>
    <t>Hester, Richard</t>
  </si>
  <si>
    <t>Taylor, Ralph</t>
  </si>
  <si>
    <t>Ezell, Gerry</t>
  </si>
  <si>
    <t>Madasu, Ravi</t>
  </si>
  <si>
    <t>Martin, Kathleen</t>
  </si>
  <si>
    <t>Jones, David</t>
  </si>
  <si>
    <t>Buggs, Vernois</t>
  </si>
  <si>
    <t>Saez, Roberto</t>
  </si>
  <si>
    <t>Wilber, Stephen</t>
  </si>
  <si>
    <t>Hamid, Zulekha</t>
  </si>
  <si>
    <t>Richardson, Kara</t>
  </si>
  <si>
    <t>Litster, Patrick</t>
  </si>
  <si>
    <t>Griffin, Bradley</t>
  </si>
  <si>
    <t>Hardin, Kelly</t>
  </si>
  <si>
    <t>Maples, Kathleen</t>
  </si>
  <si>
    <t>Hoffmann, Emily</t>
  </si>
  <si>
    <t>Pickford, Kisha</t>
  </si>
  <si>
    <t>Conatser, Lauren</t>
  </si>
  <si>
    <t>Wilhite, Debra</t>
  </si>
  <si>
    <t>Smith, Jennifer</t>
  </si>
  <si>
    <t>Phillips, Dana</t>
  </si>
  <si>
    <t>Cunningham, Jessica</t>
  </si>
  <si>
    <t>Glendinning, Diane</t>
  </si>
  <si>
    <t>Morse, Jamie</t>
  </si>
  <si>
    <t>Camp, Kelsey</t>
  </si>
  <si>
    <t>Booker, Lisa</t>
  </si>
  <si>
    <t>Thurman, Amy</t>
  </si>
  <si>
    <t>Anderson, Sarah</t>
  </si>
  <si>
    <t>Bohlen, Mandi</t>
  </si>
  <si>
    <t>Nash, Vunkisha</t>
  </si>
  <si>
    <t>Puckett, Melissa</t>
  </si>
  <si>
    <t>Davis, Darel</t>
  </si>
  <si>
    <t>Cheek, Elizabeth</t>
  </si>
  <si>
    <t>Orendorff, Danna</t>
  </si>
  <si>
    <t>Smallmon, Amanda</t>
  </si>
  <si>
    <t>Moore, Mary</t>
  </si>
  <si>
    <t>Jones, Kristi</t>
  </si>
  <si>
    <t>Duch, Amanda</t>
  </si>
  <si>
    <t>Thompson, Tera</t>
  </si>
  <si>
    <t>Hughes, Rosalind</t>
  </si>
  <si>
    <t>Crafton, Julie</t>
  </si>
  <si>
    <t>Danko, Raquel</t>
  </si>
  <si>
    <t>Garner, Seth</t>
  </si>
  <si>
    <t>Tipton, Christy</t>
  </si>
  <si>
    <t>Stephens, Kimberly</t>
  </si>
  <si>
    <t>Geiger, Janet</t>
  </si>
  <si>
    <t>Smith, Emily</t>
  </si>
  <si>
    <t>Palmer, Kristine</t>
  </si>
  <si>
    <t>Buhrman, Christy</t>
  </si>
  <si>
    <t>Shrum, Dixie</t>
  </si>
  <si>
    <t>Motaghian, Faranak</t>
  </si>
  <si>
    <t>Nofal, Ashraf</t>
  </si>
  <si>
    <t>Margreiter, Martha</t>
  </si>
  <si>
    <t>Weed, David</t>
  </si>
  <si>
    <t>Huggins, Marybeth</t>
  </si>
  <si>
    <t>Ashodian, Stephen</t>
  </si>
  <si>
    <t>Hornbeck, Robert</t>
  </si>
  <si>
    <t>Wright, Monica</t>
  </si>
  <si>
    <t>Griffiths, Richard</t>
  </si>
  <si>
    <t>Nesmith, Clare</t>
  </si>
  <si>
    <t>Shahbaz, Fatima</t>
  </si>
  <si>
    <t>Harwood, Jeremy</t>
  </si>
  <si>
    <t>Sisterhen, Laura</t>
  </si>
  <si>
    <t>Pomtree, Mindy</t>
  </si>
  <si>
    <t>Yukon, Charles</t>
  </si>
  <si>
    <t>Johnson, Rhonda</t>
  </si>
  <si>
    <t>Kumpe, Megan</t>
  </si>
  <si>
    <t>Trusty, Destini</t>
  </si>
  <si>
    <t>Rowland, Micah</t>
  </si>
  <si>
    <t>Marinus, Gene</t>
  </si>
  <si>
    <t>Featherston, Charlotte</t>
  </si>
  <si>
    <t>Brownlee, Kathy</t>
  </si>
  <si>
    <t>Pearson, Marion</t>
  </si>
  <si>
    <t>Woods, Gillian</t>
  </si>
  <si>
    <t>Almond, Penny</t>
  </si>
  <si>
    <t>Dillon, Barbara</t>
  </si>
  <si>
    <t>Frangenberg, Samuel</t>
  </si>
  <si>
    <t>Youngblood, Diane</t>
  </si>
  <si>
    <t>Long, Shirley</t>
  </si>
  <si>
    <t>Garringer, Traci</t>
  </si>
  <si>
    <t>Pearce, Shannon</t>
  </si>
  <si>
    <t>Racheotes, Carol</t>
  </si>
  <si>
    <t>Cartwright, Angela</t>
  </si>
  <si>
    <t>Jones, Michael</t>
  </si>
  <si>
    <t>Grebert, Holly</t>
  </si>
  <si>
    <t>Kendrick, Carol</t>
  </si>
  <si>
    <t>Ekdahl, Michael</t>
  </si>
  <si>
    <t>Kelley, Shirley</t>
  </si>
  <si>
    <t>Phillips, John</t>
  </si>
  <si>
    <t>Kellim, Andrea</t>
  </si>
  <si>
    <t>Craig, Phyllis</t>
  </si>
  <si>
    <t>Smart, Amanda</t>
  </si>
  <si>
    <t>Channing, Robert</t>
  </si>
  <si>
    <t>Falls, Sabine</t>
  </si>
  <si>
    <t>Davis, James</t>
  </si>
  <si>
    <t>Griffin, Narissa</t>
  </si>
  <si>
    <t>Phipps, Sean</t>
  </si>
  <si>
    <t>Palmer, Kimberly</t>
  </si>
  <si>
    <t>Kornblum, Sheila</t>
  </si>
  <si>
    <t>Armstrong, Bobby</t>
  </si>
  <si>
    <t>Walker, Karen</t>
  </si>
  <si>
    <t>Eidson, Jennifer</t>
  </si>
  <si>
    <t>Walker, Katie</t>
  </si>
  <si>
    <t>Stell, Sandra</t>
  </si>
  <si>
    <t>Riffell, Tessa</t>
  </si>
  <si>
    <t>Parrish, Courtney</t>
  </si>
  <si>
    <t>Reese, Sandra</t>
  </si>
  <si>
    <t>Poe, Allison</t>
  </si>
  <si>
    <t>Swopes, Heather</t>
  </si>
  <si>
    <t>Owens, Amanda</t>
  </si>
  <si>
    <t>Miller, Richard</t>
  </si>
  <si>
    <t>Hollis, Jennifer</t>
  </si>
  <si>
    <t>Hedges, Janet</t>
  </si>
  <si>
    <t>Butler, Beth</t>
  </si>
  <si>
    <t>Stapleton, Paula</t>
  </si>
  <si>
    <t>Baker, Brenda</t>
  </si>
  <si>
    <t>Duran, Heather</t>
  </si>
  <si>
    <t>Baltz, Mark</t>
  </si>
  <si>
    <t>Kindrick, Kristi</t>
  </si>
  <si>
    <t>Adkisson, Jarrod</t>
  </si>
  <si>
    <t>Rains, Jeffrey</t>
  </si>
  <si>
    <t>Belue, Kara</t>
  </si>
  <si>
    <t>King, Paul</t>
  </si>
  <si>
    <t>Jones, Sara</t>
  </si>
  <si>
    <t>Levart, Jennifer</t>
  </si>
  <si>
    <t>Ward, Nicholas</t>
  </si>
  <si>
    <t>Flaherty, Amy</t>
  </si>
  <si>
    <t>Stanley, Tosha</t>
  </si>
  <si>
    <t>Reed, Carrie</t>
  </si>
  <si>
    <t>Bibbs, Michael</t>
  </si>
  <si>
    <t>Loving, Myra</t>
  </si>
  <si>
    <t>Dorey, Anita</t>
  </si>
  <si>
    <t>King, Michael</t>
  </si>
  <si>
    <t>Bowen, Angela</t>
  </si>
  <si>
    <t>Tharp, Mary</t>
  </si>
  <si>
    <t>Bethea, Chancy</t>
  </si>
  <si>
    <t>Morgan, Yasmin</t>
  </si>
  <si>
    <t>Wihebrink, Stacy</t>
  </si>
  <si>
    <t>Wood, Joshua</t>
  </si>
  <si>
    <t>Juola, Michael</t>
  </si>
  <si>
    <t>Williams, Andrea</t>
  </si>
  <si>
    <t>Truelove, Scott</t>
  </si>
  <si>
    <t>Garrett, Christina</t>
  </si>
  <si>
    <t>Sullivan, David</t>
  </si>
  <si>
    <t>Martin, Ryan</t>
  </si>
  <si>
    <t>Murphy, Ryan</t>
  </si>
  <si>
    <t>Barger, Boyce</t>
  </si>
  <si>
    <t>Marcy, Dorothy</t>
  </si>
  <si>
    <t>Larry, Barbara</t>
  </si>
  <si>
    <t>Scarborough, Jackie</t>
  </si>
  <si>
    <t>Rainwater, Sherry</t>
  </si>
  <si>
    <t>Stein, Gerald</t>
  </si>
  <si>
    <t>Haas, David</t>
  </si>
  <si>
    <t>Clark, Stephen</t>
  </si>
  <si>
    <t>Wright, Patricia</t>
  </si>
  <si>
    <t>Worley, Karen</t>
  </si>
  <si>
    <t>Gilchrist, Daniel</t>
  </si>
  <si>
    <t>Dielmann, Kim</t>
  </si>
  <si>
    <t>Blanchard, Leslie</t>
  </si>
  <si>
    <t>Pack, Peggy</t>
  </si>
  <si>
    <t>Harness, Pamela</t>
  </si>
  <si>
    <t>West, Nicole</t>
  </si>
  <si>
    <t>Paulson, Tracee</t>
  </si>
  <si>
    <t>Lockwood, Rickie</t>
  </si>
  <si>
    <t>Orsi, Aelica</t>
  </si>
  <si>
    <t>Smith, William</t>
  </si>
  <si>
    <t>Schlesinger, Sarah</t>
  </si>
  <si>
    <t>Glover, Erin</t>
  </si>
  <si>
    <t>Dalton, Martha</t>
  </si>
  <si>
    <t>Winslow, Christopher</t>
  </si>
  <si>
    <t>Lyle, Carlene</t>
  </si>
  <si>
    <t>Smith, Eric</t>
  </si>
  <si>
    <t>Stewart, Mark</t>
  </si>
  <si>
    <t>Bell, Danielle</t>
  </si>
  <si>
    <t>Alexander, Jan</t>
  </si>
  <si>
    <t>Crawford, Stanley</t>
  </si>
  <si>
    <t>Shields, Willa</t>
  </si>
  <si>
    <t>Nugent, Kaitlyn</t>
  </si>
  <si>
    <t>Burke, Rebecca</t>
  </si>
  <si>
    <t>Nixon, David</t>
  </si>
  <si>
    <t>Beck, James</t>
  </si>
  <si>
    <t>Howard, Scott</t>
  </si>
  <si>
    <t>Hijiya, Nobuko</t>
  </si>
  <si>
    <t>Roberge, David</t>
  </si>
  <si>
    <t>Mackey, Daniel</t>
  </si>
  <si>
    <t>Khalil, Mazen</t>
  </si>
  <si>
    <t>Richey, Sylvia</t>
  </si>
  <si>
    <t>Robertson, William</t>
  </si>
  <si>
    <t>Jeha, Sima</t>
  </si>
  <si>
    <t>Garner, Hershel</t>
  </si>
  <si>
    <t>Shibata, David</t>
  </si>
  <si>
    <t>Shirwany, Arsalan</t>
  </si>
  <si>
    <t>Siddiqui, Sayyadul</t>
  </si>
  <si>
    <t>Glover, Forrest</t>
  </si>
  <si>
    <t>Willis, Nicholas</t>
  </si>
  <si>
    <t>Black, Douglas</t>
  </si>
  <si>
    <t>Stoyioglou, Athanasios</t>
  </si>
  <si>
    <t>Best, Thomas</t>
  </si>
  <si>
    <t>Zakaria, Dala</t>
  </si>
  <si>
    <t>Mahmood, Sadeem</t>
  </si>
  <si>
    <t>Das, Pranab</t>
  </si>
  <si>
    <t>Weathers, Larry</t>
  </si>
  <si>
    <t>Dave, Raj</t>
  </si>
  <si>
    <t>Daily, Joshua</t>
  </si>
  <si>
    <t>Bornemeier, Renee</t>
  </si>
  <si>
    <t>Podraza, Michael</t>
  </si>
  <si>
    <t>Laws, Casey</t>
  </si>
  <si>
    <t>Seale, Lindsey</t>
  </si>
  <si>
    <t>Chandler, Kay</t>
  </si>
  <si>
    <t>Phillips, Amy</t>
  </si>
  <si>
    <t>Wendel, Paul</t>
  </si>
  <si>
    <t>Bennett, Autumn</t>
  </si>
  <si>
    <t>Elkins, John</t>
  </si>
  <si>
    <t>Bearden, Lisa</t>
  </si>
  <si>
    <t>Miller, Michael</t>
  </si>
  <si>
    <t>Kutteh, William</t>
  </si>
  <si>
    <t>Hicks, Margaret</t>
  </si>
  <si>
    <t>Mabie, Matthew</t>
  </si>
  <si>
    <t>Bartter, Thaddeus</t>
  </si>
  <si>
    <t>Kaul, Anupama</t>
  </si>
  <si>
    <t>Bhaskar, Nutan</t>
  </si>
  <si>
    <t>Menendez, Astryd</t>
  </si>
  <si>
    <t>Zaidi, Syed</t>
  </si>
  <si>
    <t>Ghawji, Maher</t>
  </si>
  <si>
    <t>Oden, Jon</t>
  </si>
  <si>
    <t>Adams, William</t>
  </si>
  <si>
    <t>Keating, Bill</t>
  </si>
  <si>
    <t>Coffee, William</t>
  </si>
  <si>
    <t>Langston, Andy</t>
  </si>
  <si>
    <t>Skinner, Holley</t>
  </si>
  <si>
    <t>Foster, Terry</t>
  </si>
  <si>
    <t>Holt, Jeffrey</t>
  </si>
  <si>
    <t>Jeffries, Robert</t>
  </si>
  <si>
    <t>Smith, Daniel</t>
  </si>
  <si>
    <t>Horne, Mark</t>
  </si>
  <si>
    <t>Chung, Hon</t>
  </si>
  <si>
    <t>Herndon, Kamri</t>
  </si>
  <si>
    <t>Myers, James</t>
  </si>
  <si>
    <t>Stafford, Jennifer</t>
  </si>
  <si>
    <t>Kindy, Erin</t>
  </si>
  <si>
    <t>Seng, Sophear</t>
  </si>
  <si>
    <t>Smith, Melanie</t>
  </si>
  <si>
    <t>Baker, David</t>
  </si>
  <si>
    <t>Friedman, Ryan</t>
  </si>
  <si>
    <t>Coussens, David</t>
  </si>
  <si>
    <t>Allen, John</t>
  </si>
  <si>
    <t>Knobloch, Ronald</t>
  </si>
  <si>
    <t>Payne, Christopher</t>
  </si>
  <si>
    <t>122300000X</t>
  </si>
  <si>
    <t>Winberry, Larry</t>
  </si>
  <si>
    <t>Voss, William</t>
  </si>
  <si>
    <t>Bryant, Donnie</t>
  </si>
  <si>
    <t>Gore, Sean</t>
  </si>
  <si>
    <t>Gaines, Karla</t>
  </si>
  <si>
    <t>Taylor, Stephen</t>
  </si>
  <si>
    <t>Mounts, Jason</t>
  </si>
  <si>
    <t>Cotham, Brett</t>
  </si>
  <si>
    <t>Barfield, Amy</t>
  </si>
  <si>
    <t>Matthews, Douglas</t>
  </si>
  <si>
    <t>Ward, Kevin</t>
  </si>
  <si>
    <t>Orr, Andrew</t>
  </si>
  <si>
    <t>Mann, Kevin</t>
  </si>
  <si>
    <t>Wiggins, Angela</t>
  </si>
  <si>
    <t>Behrents, Nathaniel</t>
  </si>
  <si>
    <t>Jones, Kevin</t>
  </si>
  <si>
    <t>Cook, James</t>
  </si>
  <si>
    <t>Houk, Christopher</t>
  </si>
  <si>
    <t>1223G0001X</t>
  </si>
  <si>
    <t>Dunavin, Brent</t>
  </si>
  <si>
    <t>Cook, Jonathan</t>
  </si>
  <si>
    <t>Green, Brad</t>
  </si>
  <si>
    <t>Cauldwell, John</t>
  </si>
  <si>
    <t>Palmer, James</t>
  </si>
  <si>
    <t>Beller, Christopher</t>
  </si>
  <si>
    <t>Dolan, Lindsey</t>
  </si>
  <si>
    <t>Fleischner, Stuart</t>
  </si>
  <si>
    <t>Raines, James</t>
  </si>
  <si>
    <t>Stringfellow, Loren</t>
  </si>
  <si>
    <t>Hawkins, Drake</t>
  </si>
  <si>
    <t>Beavers, Daniel</t>
  </si>
  <si>
    <t>Ouellette, David</t>
  </si>
  <si>
    <t>Dugan, Kevin</t>
  </si>
  <si>
    <t>Fields, Patrick</t>
  </si>
  <si>
    <t>Flanagin, Francis</t>
  </si>
  <si>
    <t>Shearer, Ryan</t>
  </si>
  <si>
    <t>Cox, Jared</t>
  </si>
  <si>
    <t>Allmon, Brady</t>
  </si>
  <si>
    <t>Duff, Kenny</t>
  </si>
  <si>
    <t>Cooper, Jordan</t>
  </si>
  <si>
    <t>Dean, John</t>
  </si>
  <si>
    <t>Koen, Clint</t>
  </si>
  <si>
    <t>Hunt, Tim</t>
  </si>
  <si>
    <t>Marracino, Torin</t>
  </si>
  <si>
    <t>Kaloghirou, Robert</t>
  </si>
  <si>
    <t>Johnson, Cole</t>
  </si>
  <si>
    <t>Hestir, Randall</t>
  </si>
  <si>
    <t>Shuffield, John</t>
  </si>
  <si>
    <t>Gibson, William</t>
  </si>
  <si>
    <t>Phillips, David</t>
  </si>
  <si>
    <t>Hagerty, Curtis</t>
  </si>
  <si>
    <t>Duckworth, Dwight</t>
  </si>
  <si>
    <t>1223P0221X</t>
  </si>
  <si>
    <t>Angel, Bryan</t>
  </si>
  <si>
    <t>Burrows, John</t>
  </si>
  <si>
    <t>Landry, Cynthia</t>
  </si>
  <si>
    <t>Hence, Marquinet</t>
  </si>
  <si>
    <t>Hestir, John</t>
  </si>
  <si>
    <t>Stroope, Brandon</t>
  </si>
  <si>
    <t>Rose, Michelle</t>
  </si>
  <si>
    <t>Seiter, Jacob</t>
  </si>
  <si>
    <t>Bauer, Caleb</t>
  </si>
  <si>
    <t>Barton, David</t>
  </si>
  <si>
    <t>Kitchens, Michael</t>
  </si>
  <si>
    <t>Tanner, Shauna</t>
  </si>
  <si>
    <t>Bryant, Julie</t>
  </si>
  <si>
    <t>Little, William</t>
  </si>
  <si>
    <t>Falkoff, Jerome</t>
  </si>
  <si>
    <t>Routon, Julie</t>
  </si>
  <si>
    <t>Buso, Hannah</t>
  </si>
  <si>
    <t>Patterson, Chad</t>
  </si>
  <si>
    <t>Barker, Joseph</t>
  </si>
  <si>
    <t>Mansfield, Josh</t>
  </si>
  <si>
    <t>Fox, Michael</t>
  </si>
  <si>
    <t>Armstrong, Erica</t>
  </si>
  <si>
    <t>Krupka, Michael</t>
  </si>
  <si>
    <t>Thompson, Kelley</t>
  </si>
  <si>
    <t>Holman, Thomas</t>
  </si>
  <si>
    <t>Lucke, Rebecca</t>
  </si>
  <si>
    <t>Ribeiro, Rita</t>
  </si>
  <si>
    <t>Fisher, Darren</t>
  </si>
  <si>
    <t>Austin, Bryan</t>
  </si>
  <si>
    <t>Hance, Paul</t>
  </si>
  <si>
    <t>Payne, Gregory</t>
  </si>
  <si>
    <t>Nichols, Tina</t>
  </si>
  <si>
    <t>Toney, Joshua</t>
  </si>
  <si>
    <t>Spades, William</t>
  </si>
  <si>
    <t>Mascagni, Samaria</t>
  </si>
  <si>
    <t>Brown, Eddie</t>
  </si>
  <si>
    <t>Pinney, Ted</t>
  </si>
  <si>
    <t>Kilcrease, John</t>
  </si>
  <si>
    <t>Alford, Gregg</t>
  </si>
  <si>
    <t>Dallison, Noble</t>
  </si>
  <si>
    <t>Wright, Damon</t>
  </si>
  <si>
    <t>Zarruk, Patricia</t>
  </si>
  <si>
    <t>Bartels, Troy</t>
  </si>
  <si>
    <t>Eichhorn, Scott</t>
  </si>
  <si>
    <t>Richardson, Robert</t>
  </si>
  <si>
    <t>Ellis, Randall</t>
  </si>
  <si>
    <t>Deems, Donald</t>
  </si>
  <si>
    <t>Ligon, William</t>
  </si>
  <si>
    <t>Nugent, Carmen</t>
  </si>
  <si>
    <t>Simon, Greg</t>
  </si>
  <si>
    <t>Gairhan, Emily</t>
  </si>
  <si>
    <t>Warren, Darryl</t>
  </si>
  <si>
    <t>Crafton, Leo</t>
  </si>
  <si>
    <t>Grote, Nicholas</t>
  </si>
  <si>
    <t>Bolding, Jason</t>
  </si>
  <si>
    <t>Socia, Adam</t>
  </si>
  <si>
    <t>Tompkins, William</t>
  </si>
  <si>
    <t>Williams, Lowell</t>
  </si>
  <si>
    <t>Sanders, Garrett</t>
  </si>
  <si>
    <t>Mazurek, Joseph</t>
  </si>
  <si>
    <t>Farmer, Sarah</t>
  </si>
  <si>
    <t>Tipton, Blayne</t>
  </si>
  <si>
    <t>1223E0200X</t>
  </si>
  <si>
    <t>Kauffman, Luke</t>
  </si>
  <si>
    <t>Olson, Christopher</t>
  </si>
  <si>
    <t>1223P0300X</t>
  </si>
  <si>
    <t>1223X0400X</t>
  </si>
  <si>
    <t>Hiller, Bryan</t>
  </si>
  <si>
    <t>Suri, Ajay</t>
  </si>
  <si>
    <t>Smith, Jeremy</t>
  </si>
  <si>
    <t>Sundell, Tacy</t>
  </si>
  <si>
    <t>Hall, James</t>
  </si>
  <si>
    <t>Kita, Alexander</t>
  </si>
  <si>
    <t>Landers, Jason</t>
  </si>
  <si>
    <t>276400000X</t>
  </si>
  <si>
    <t>320800000X</t>
  </si>
  <si>
    <t>3245S0500X</t>
  </si>
  <si>
    <t>103TE1100X</t>
  </si>
  <si>
    <r>
      <t xml:space="preserve">Issuer's NAIC making requested action
</t>
    </r>
    <r>
      <rPr>
        <b/>
        <sz val="10"/>
        <color theme="1"/>
        <rFont val="Aptos Narrow"/>
        <family val="2"/>
        <scheme val="minor"/>
      </rPr>
      <t>* Required for all actions</t>
    </r>
  </si>
  <si>
    <r>
      <t xml:space="preserve">Reason for proposed action
</t>
    </r>
    <r>
      <rPr>
        <b/>
        <sz val="10"/>
        <color theme="1"/>
        <rFont val="Aptos Narrow"/>
        <family val="2"/>
        <scheme val="minor"/>
      </rPr>
      <t>* Required for all actions</t>
    </r>
  </si>
  <si>
    <t>3140N1450X</t>
  </si>
  <si>
    <t>207RA0001X</t>
  </si>
  <si>
    <t>207VH0002X</t>
  </si>
  <si>
    <r>
      <rPr>
        <b/>
        <sz val="11"/>
        <color rgb="FFFF0000"/>
        <rFont val="Aptos Narrow"/>
        <family val="2"/>
        <scheme val="minor"/>
      </rPr>
      <t>*</t>
    </r>
    <r>
      <rPr>
        <b/>
        <sz val="11"/>
        <color theme="0"/>
        <rFont val="Aptos Narrow"/>
        <family val="2"/>
        <scheme val="minor"/>
      </rPr>
      <t xml:space="preserve"> NPI</t>
    </r>
  </si>
  <si>
    <r>
      <rPr>
        <b/>
        <sz val="11"/>
        <color rgb="FFFF0000"/>
        <rFont val="Aptos Narrow"/>
        <family val="2"/>
        <scheme val="minor"/>
      </rPr>
      <t>*</t>
    </r>
    <r>
      <rPr>
        <b/>
        <sz val="11"/>
        <color theme="0"/>
        <rFont val="Aptos Narrow"/>
        <family val="2"/>
        <scheme val="minor"/>
      </rPr>
      <t xml:space="preserve"> Reason</t>
    </r>
  </si>
  <si>
    <r>
      <rPr>
        <b/>
        <sz val="11"/>
        <color rgb="FFFF0000"/>
        <rFont val="Aptos Narrow"/>
        <family val="2"/>
        <scheme val="minor"/>
      </rPr>
      <t>*</t>
    </r>
    <r>
      <rPr>
        <b/>
        <sz val="11"/>
        <color theme="0"/>
        <rFont val="Aptos Narrow"/>
        <family val="2"/>
        <scheme val="minor"/>
      </rPr>
      <t xml:space="preserve"> Action</t>
    </r>
  </si>
  <si>
    <t>Walt, David</t>
  </si>
  <si>
    <t>Mclellan, Matthew</t>
  </si>
  <si>
    <t>Piggott Community Hospital</t>
  </si>
  <si>
    <t>Nehring, Sara</t>
  </si>
  <si>
    <t>Brown, Billy</t>
  </si>
  <si>
    <t>Davis, Megan</t>
  </si>
  <si>
    <t>Stroud, Russell</t>
  </si>
  <si>
    <t>Mcguire, Melody</t>
  </si>
  <si>
    <t>Baldridge, Alison</t>
  </si>
  <si>
    <t>Forrest City Medical Center</t>
  </si>
  <si>
    <t>Bradley County Medical Center</t>
  </si>
  <si>
    <t>Delta Memorial Hospital</t>
  </si>
  <si>
    <t>Ashley County Medical Center</t>
  </si>
  <si>
    <t>Vantage Point Of Northwest Arkansas</t>
  </si>
  <si>
    <t>Compass Intervention Center</t>
  </si>
  <si>
    <t>Mcdowell Center For Children</t>
  </si>
  <si>
    <t>Smith, Tameshia</t>
  </si>
  <si>
    <t>Johnson, Leslie</t>
  </si>
  <si>
    <t>Mcmahan, Betsy</t>
  </si>
  <si>
    <t>Dickerson, Julie</t>
  </si>
  <si>
    <t>Southerland, Lisa</t>
  </si>
  <si>
    <t>Mehta, Paulette</t>
  </si>
  <si>
    <t>Smc Regional Medical Center</t>
  </si>
  <si>
    <t>Harris Hospital Skilled Nursing Unit</t>
  </si>
  <si>
    <t>Medical Center Of South Arkansas Skilled Nursing Unit</t>
  </si>
  <si>
    <t>Stone County Medical Center</t>
  </si>
  <si>
    <t>Mercy Hospital Waldron</t>
  </si>
  <si>
    <t>Lonoke Health And Rehab</t>
  </si>
  <si>
    <t>White River Medical Center</t>
  </si>
  <si>
    <t>National Park Medical Center</t>
  </si>
  <si>
    <t>Lake Hamilton Health And Rehab</t>
  </si>
  <si>
    <t>Arkansas Heart Hospital</t>
  </si>
  <si>
    <t>Christus Dubuis Hospital Of Hot Springs</t>
  </si>
  <si>
    <t>Cornerstone Hospital Little Rock</t>
  </si>
  <si>
    <t>Drew Memorial Hospital Skilled Nursing Unit</t>
  </si>
  <si>
    <t>Great River Medical Center</t>
  </si>
  <si>
    <t>Poplar Bluff Regional Medical Center</t>
  </si>
  <si>
    <t>Mercy Hospital Booneville</t>
  </si>
  <si>
    <t>Chicot Memorial Medical Center</t>
  </si>
  <si>
    <t>Crossridge Community Hospital</t>
  </si>
  <si>
    <t>Mercy Hospital Cassville</t>
  </si>
  <si>
    <t>Mcgehee Hospital</t>
  </si>
  <si>
    <t>Mcquirter, Henry</t>
  </si>
  <si>
    <t>Mcgarity, Justin</t>
  </si>
  <si>
    <t>Davidson, Grant</t>
  </si>
  <si>
    <t>Nichols, Corey</t>
  </si>
  <si>
    <t>Harris, Robert</t>
  </si>
  <si>
    <t>Mckinney, Kelly</t>
  </si>
  <si>
    <t>Bishop, Bryan</t>
  </si>
  <si>
    <t>Lais, Randolph</t>
  </si>
  <si>
    <t>Kimbrough, Donathan</t>
  </si>
  <si>
    <t>Bell, Scott</t>
  </si>
  <si>
    <t>Lamaster, Aaron</t>
  </si>
  <si>
    <t>Caple, Brent</t>
  </si>
  <si>
    <t>Suffridge, Joseph</t>
  </si>
  <si>
    <t>Church Jr, Lloyd</t>
  </si>
  <si>
    <t>Thompson, Michael</t>
  </si>
  <si>
    <t>Arkansas Childrens Hospital</t>
  </si>
  <si>
    <t>Orman, Lauren</t>
  </si>
  <si>
    <t>Ducker, Jeremy</t>
  </si>
  <si>
    <t>Cordova, Fredy</t>
  </si>
  <si>
    <t>Kabra, Rajesh</t>
  </si>
  <si>
    <t>Osborne, Rebecca</t>
  </si>
  <si>
    <t>Ray, Mario</t>
  </si>
  <si>
    <t>Dare, Jason</t>
  </si>
  <si>
    <t>Foster, Rebecca</t>
  </si>
  <si>
    <t>Ashley, Theresa</t>
  </si>
  <si>
    <t>Presbury, Gerald</t>
  </si>
  <si>
    <t>Cooper, Andrea</t>
  </si>
  <si>
    <t>Winborn, Lisa</t>
  </si>
  <si>
    <t>Morrow, Heather</t>
  </si>
  <si>
    <t>Desai, Nita</t>
  </si>
  <si>
    <t>Ivy, Joseph</t>
  </si>
  <si>
    <t>Yohannan, Thomas</t>
  </si>
  <si>
    <t>Baptist Health Medical Center</t>
  </si>
  <si>
    <t>Kim, Seunghyun</t>
  </si>
  <si>
    <t>1. Overview and Purpose</t>
  </si>
  <si>
    <t>Mcdaniel, Lakisha</t>
  </si>
  <si>
    <t>Spades, Sebastian</t>
  </si>
  <si>
    <t>Lewis, Herbert</t>
  </si>
  <si>
    <t>Ward, Rebecca</t>
  </si>
  <si>
    <t>Flaherty, Patrick</t>
  </si>
  <si>
    <t>Chang, Jimmy</t>
  </si>
  <si>
    <t>Baptist Health Medical Center Hot Spring County</t>
  </si>
  <si>
    <t>Tatum, Annakate</t>
  </si>
  <si>
    <t>Passini, Edward</t>
  </si>
  <si>
    <t>Teed, Ralph</t>
  </si>
  <si>
    <r>
      <rPr>
        <b/>
        <sz val="11"/>
        <color rgb="FFFF0000"/>
        <rFont val="Aptos Narrow"/>
        <family val="2"/>
        <scheme val="minor"/>
      </rPr>
      <t>*</t>
    </r>
    <r>
      <rPr>
        <b/>
        <sz val="11"/>
        <color theme="0"/>
        <rFont val="Aptos Narrow"/>
        <family val="2"/>
        <scheme val="minor"/>
      </rPr>
      <t xml:space="preserve"> NAIC Company Code</t>
    </r>
  </si>
  <si>
    <t>Mahan, Joann</t>
  </si>
  <si>
    <t>Wilson, Kristy</t>
  </si>
  <si>
    <t>Overlock, Timothy</t>
  </si>
  <si>
    <t>Low, Gordon</t>
  </si>
  <si>
    <t>Sundaram, Balasasikumar</t>
  </si>
  <si>
    <t>Simpson, Carletta</t>
  </si>
  <si>
    <t>Imran, Adil</t>
  </si>
  <si>
    <t>Szwedo, Dominika</t>
  </si>
  <si>
    <t>Flores, Ana</t>
  </si>
  <si>
    <t>The providers below were removed from the pool due to deactivation in the NPI Registry</t>
  </si>
  <si>
    <t>Hall, Jeffrey</t>
  </si>
  <si>
    <t>Rickford, Rachael</t>
  </si>
  <si>
    <t>Estes, Alexa</t>
  </si>
  <si>
    <t>Becton, Trey</t>
  </si>
  <si>
    <t>Simpson, Todd</t>
  </si>
  <si>
    <t>Ur Rehman, Mohammed</t>
  </si>
  <si>
    <t>Allphin, Justin</t>
  </si>
  <si>
    <t>Fields-Wilburn, Kelly</t>
  </si>
  <si>
    <t>Turner, Clinton</t>
  </si>
  <si>
    <t>Byler, Christina</t>
  </si>
  <si>
    <t>Hornsby, Nancy</t>
  </si>
  <si>
    <t>Gatlin, Rebecca</t>
  </si>
  <si>
    <t>Gonelli, Becky</t>
  </si>
  <si>
    <t>Kumar, Nihit</t>
  </si>
  <si>
    <t>Newton, Stephanie</t>
  </si>
  <si>
    <t>Bryant, Bonnie</t>
  </si>
  <si>
    <t>Raney, Veronica</t>
  </si>
  <si>
    <t>Elnaggar, Adam</t>
  </si>
  <si>
    <t>Furniss, Jan</t>
  </si>
  <si>
    <t>Burnett, Hugh</t>
  </si>
  <si>
    <t>Duke, Jacob</t>
  </si>
  <si>
    <t>Seelinger, Chelsea</t>
  </si>
  <si>
    <t>Quick, Donny</t>
  </si>
  <si>
    <t>Modelevsky, Stephen</t>
  </si>
  <si>
    <t>Mobbs, Spencer</t>
  </si>
  <si>
    <t>Skoch, Steven</t>
  </si>
  <si>
    <t>Pollard, Kimberly</t>
  </si>
  <si>
    <t>Hawthorne, Gary</t>
  </si>
  <si>
    <t>Mccullar, Bruce</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</si>
  <si>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</si>
  <si>
    <t>Watson, Brandi</t>
  </si>
  <si>
    <t>Riddle, Courtney</t>
  </si>
  <si>
    <t>Niemeyer, Krista</t>
  </si>
  <si>
    <t>Lindsey, Kari</t>
  </si>
  <si>
    <t>Gomez, Alberto</t>
  </si>
  <si>
    <t>Cook, Kerry</t>
  </si>
  <si>
    <t>Montiel, Patricio</t>
  </si>
  <si>
    <t>Huggins, Kimberly</t>
  </si>
  <si>
    <t>Williamson, Nathan</t>
  </si>
  <si>
    <t>Shanker, Sreenath</t>
  </si>
  <si>
    <t>Ford, Mary</t>
  </si>
  <si>
    <t>Reagan, Jessica</t>
  </si>
  <si>
    <t>Escue, Joy</t>
  </si>
  <si>
    <t>Bagwell, Michael</t>
  </si>
  <si>
    <t>Erlewine, Stephen</t>
  </si>
  <si>
    <t>West, Sarah</t>
  </si>
  <si>
    <t>Austin, Tanya</t>
  </si>
  <si>
    <t>Saba, Hamida</t>
  </si>
  <si>
    <t>Mccorkle, Cody</t>
  </si>
  <si>
    <t>Maghidman, Samuel</t>
  </si>
  <si>
    <t>Russell, Elana</t>
  </si>
  <si>
    <t>Barbe, David</t>
  </si>
  <si>
    <t>Quality Living Center</t>
  </si>
  <si>
    <t>Levy, Aaron</t>
  </si>
  <si>
    <t>Stephens, Brenden</t>
  </si>
  <si>
    <t>Reed, Claire</t>
  </si>
  <si>
    <t>Mosher, Kenyon</t>
  </si>
  <si>
    <t>Dickeson, Karrah</t>
  </si>
  <si>
    <t>Cassingham, Catherine</t>
  </si>
  <si>
    <t>Burns, Jenna</t>
  </si>
  <si>
    <t>James, Maggie</t>
  </si>
  <si>
    <t>Imler, Mystique</t>
  </si>
  <si>
    <t>Moore, Caren</t>
  </si>
  <si>
    <t>Larue, Lynda</t>
  </si>
  <si>
    <t>Poole, Wendy</t>
  </si>
  <si>
    <t>Banks, Laeartha</t>
  </si>
  <si>
    <t>Gomance, Lauren</t>
  </si>
  <si>
    <t>Crownover, Brenda</t>
  </si>
  <si>
    <t>Henry, Kanaka</t>
  </si>
  <si>
    <t>Ward, Chloe</t>
  </si>
  <si>
    <t>Butler, Sara</t>
  </si>
  <si>
    <t>Baker, Candace</t>
  </si>
  <si>
    <t>Maraboyina, Sanjay</t>
  </si>
  <si>
    <t>Searcy Health And Rehab</t>
  </si>
  <si>
    <t>Covington Court Health &amp; Rehab Center</t>
  </si>
  <si>
    <t>Fayetteville Health &amp; Rehab Center</t>
  </si>
  <si>
    <t>Bansal, Sharad</t>
  </si>
  <si>
    <t>Swaminathan, Nithya</t>
  </si>
  <si>
    <t>Juarez, Dianna</t>
  </si>
  <si>
    <t>Brinkley, Desirae</t>
  </si>
  <si>
    <t>Curtis, John</t>
  </si>
  <si>
    <t>Siegfried, Leslie</t>
  </si>
  <si>
    <t>Adams, Heather</t>
  </si>
  <si>
    <t>Becker, Bradley</t>
  </si>
  <si>
    <t>Phipps, Andrew</t>
  </si>
  <si>
    <t>Simon, Jeremy</t>
  </si>
  <si>
    <t>Patel, Samir</t>
  </si>
  <si>
    <t>French, Michael</t>
  </si>
  <si>
    <t>Ludford, Joshua</t>
  </si>
  <si>
    <t>Nelson, Bradley</t>
  </si>
  <si>
    <t>Haughey, Corey</t>
  </si>
  <si>
    <t>Daniel, Jennifer</t>
  </si>
  <si>
    <t>Dietz, Kaitlin</t>
  </si>
  <si>
    <t>Harris, Clemmisa</t>
  </si>
  <si>
    <t>Copeland, Vincent</t>
  </si>
  <si>
    <t>Kinard, Michael</t>
  </si>
  <si>
    <t>Driver, Patrick</t>
  </si>
  <si>
    <t>Smith, Shane</t>
  </si>
  <si>
    <t>Cook, William</t>
  </si>
  <si>
    <t>Vaughn, Renata</t>
  </si>
  <si>
    <t>Machavarapu, Haritha</t>
  </si>
  <si>
    <t>Jones, Angela</t>
  </si>
  <si>
    <t>Cope, Amanda</t>
  </si>
  <si>
    <t>Bagby, Michelle</t>
  </si>
  <si>
    <t>Kwyzla, Erin</t>
  </si>
  <si>
    <t>Clark, Steven</t>
  </si>
  <si>
    <t>Hobbs, Mary</t>
  </si>
  <si>
    <t>Loyd, Sherry</t>
  </si>
  <si>
    <t>Nash, Clayton</t>
  </si>
  <si>
    <t>Burleson, Anita</t>
  </si>
  <si>
    <t>Cooke, Samuel</t>
  </si>
  <si>
    <t>Allen, Kristi</t>
  </si>
  <si>
    <t>Peyton, Shawn</t>
  </si>
  <si>
    <t>Murdaugh, Stephanie</t>
  </si>
  <si>
    <t>Patton, Matthew</t>
  </si>
  <si>
    <t>Allen, Emily</t>
  </si>
  <si>
    <t>Rader, Janet</t>
  </si>
  <si>
    <t>Declerk, George</t>
  </si>
  <si>
    <t>Partridge, Paul</t>
  </si>
  <si>
    <t>Winningham, Elizabeth</t>
  </si>
  <si>
    <t>Claborn, Jamie</t>
  </si>
  <si>
    <t>Trinkle, Joshua</t>
  </si>
  <si>
    <t>Wren, Peggy</t>
  </si>
  <si>
    <t>Kirk, Elizabeth</t>
  </si>
  <si>
    <t>Dumboski, Mary</t>
  </si>
  <si>
    <t>Kelly, Peggy</t>
  </si>
  <si>
    <t>Garner, Ty</t>
  </si>
  <si>
    <t>Flaherty, Kellie</t>
  </si>
  <si>
    <t>Anderson, Lesli</t>
  </si>
  <si>
    <t>Johnson, Kayla</t>
  </si>
  <si>
    <t>Traphagan, Carol</t>
  </si>
  <si>
    <t>Turbeville, Richard</t>
  </si>
  <si>
    <t>Distin, Dahlia</t>
  </si>
  <si>
    <t>Simpson, John</t>
  </si>
  <si>
    <t>West, Sheila</t>
  </si>
  <si>
    <t>Rolston, Candace</t>
  </si>
  <si>
    <t>Montgomery, Byron</t>
  </si>
  <si>
    <t>Moore, Lauren</t>
  </si>
  <si>
    <t>Witherington, Brent</t>
  </si>
  <si>
    <t>Williams, Sarah</t>
  </si>
  <si>
    <t>Berg, John</t>
  </si>
  <si>
    <t>Mack, Kristen</t>
  </si>
  <si>
    <t>Holt, Jonathan</t>
  </si>
  <si>
    <t>Fountain, Leah</t>
  </si>
  <si>
    <t>Probst, Nathan</t>
  </si>
  <si>
    <t>Johnson, Paulette</t>
  </si>
  <si>
    <t>Jennings, Charles</t>
  </si>
  <si>
    <t>Wrinkles, Brock</t>
  </si>
  <si>
    <t>Fendley, Herbert</t>
  </si>
  <si>
    <t>Thomas, Sarah</t>
  </si>
  <si>
    <t>Watson, Dia</t>
  </si>
  <si>
    <t>Davis, Monzelle</t>
  </si>
  <si>
    <t>Bozzay, Tom</t>
  </si>
  <si>
    <t>Porter, Christina</t>
  </si>
  <si>
    <t>Upchurch, Jessica</t>
  </si>
  <si>
    <t>Reynolds, Stacy</t>
  </si>
  <si>
    <t>Blake, Kimberly</t>
  </si>
  <si>
    <t>Samuel, Angel</t>
  </si>
  <si>
    <t>Neoh, Liberty</t>
  </si>
  <si>
    <t>Roberds, Aaron</t>
  </si>
  <si>
    <t>Hawks, Amanda</t>
  </si>
  <si>
    <t>Moore, Emily</t>
  </si>
  <si>
    <t>Armstrong, Michelle</t>
  </si>
  <si>
    <t>Butler, Casey</t>
  </si>
  <si>
    <t>Sanson, Jodi</t>
  </si>
  <si>
    <t>Qazi, Omar</t>
  </si>
  <si>
    <t>Hastey, Doris</t>
  </si>
  <si>
    <t>James, Ashley</t>
  </si>
  <si>
    <t>Poppy, Michael</t>
  </si>
  <si>
    <t>Wright, Charles</t>
  </si>
  <si>
    <t>Northcross, Phillip</t>
  </si>
  <si>
    <t>Douglas, Donald</t>
  </si>
  <si>
    <t>Mitchell, Hannah</t>
  </si>
  <si>
    <t>Griffin, Kaitlyn</t>
  </si>
  <si>
    <t>Hearnsberger, Tiffany</t>
  </si>
  <si>
    <t>Mccrary, Dana</t>
  </si>
  <si>
    <t>Brunt, Amy</t>
  </si>
  <si>
    <t>Kadali, Swetha</t>
  </si>
  <si>
    <t>Darnell, Kellie</t>
  </si>
  <si>
    <t>Harris, John</t>
  </si>
  <si>
    <t>Trauth, Kyle</t>
  </si>
  <si>
    <t>Arbuckle, Sujen</t>
  </si>
  <si>
    <t>Robertson, Danya</t>
  </si>
  <si>
    <t>Garvin, Janet</t>
  </si>
  <si>
    <t>Russell, John</t>
  </si>
  <si>
    <t>Mccord, Kimyon</t>
  </si>
  <si>
    <t>Jacobs, James</t>
  </si>
  <si>
    <t>Lucas, Maxine</t>
  </si>
  <si>
    <t>Brown, Crystal</t>
  </si>
  <si>
    <t>Livingston, Sean</t>
  </si>
  <si>
    <t>Robinson, Donna</t>
  </si>
  <si>
    <t>Gunasekaran, Induja</t>
  </si>
  <si>
    <t>Orsburn, Howard</t>
  </si>
  <si>
    <t>Davis, Michelle</t>
  </si>
  <si>
    <t>Montgomery, Holly</t>
  </si>
  <si>
    <t>Hurst, Adam</t>
  </si>
  <si>
    <t>Gleditsch, Dorothy</t>
  </si>
  <si>
    <t>Graves, Nancy</t>
  </si>
  <si>
    <t>Ray, David</t>
  </si>
  <si>
    <t>Hodnett, Michael</t>
  </si>
  <si>
    <t>Ramser, George</t>
  </si>
  <si>
    <t>Pass, Michelle</t>
  </si>
  <si>
    <t>Myers, Lindsey</t>
  </si>
  <si>
    <t>Harris, Tammi</t>
  </si>
  <si>
    <t>Richardson, Jessica</t>
  </si>
  <si>
    <t>Mrla, Tiffany</t>
  </si>
  <si>
    <t>Hall, Casey</t>
  </si>
  <si>
    <t>Smith, Judy</t>
  </si>
  <si>
    <t>Laughlin, Marilyn</t>
  </si>
  <si>
    <t>Skrivanos, Christopher</t>
  </si>
  <si>
    <t>Randle, Monique</t>
  </si>
  <si>
    <t>Johnson, Noel</t>
  </si>
  <si>
    <t>Parks, Sherri</t>
  </si>
  <si>
    <t>Hennis, Alicyn</t>
  </si>
  <si>
    <t>Hopkins, Jaymie</t>
  </si>
  <si>
    <t>Nelson, Inger</t>
  </si>
  <si>
    <t>Argo, Christina</t>
  </si>
  <si>
    <t>Burton, Kristy</t>
  </si>
  <si>
    <t>Smith, Amanda</t>
  </si>
  <si>
    <t>Phillips, Jessica</t>
  </si>
  <si>
    <t>Muse, Amy</t>
  </si>
  <si>
    <t>Steele, Bethany</t>
  </si>
  <si>
    <t>Conner, Savannah</t>
  </si>
  <si>
    <t>Wade, Leigh</t>
  </si>
  <si>
    <t>Nimmo, Benjamin</t>
  </si>
  <si>
    <t>Bowen, Carlissa</t>
  </si>
  <si>
    <t>Duvall, Jennifer</t>
  </si>
  <si>
    <t>Smith, Amy</t>
  </si>
  <si>
    <t>Green, Marian</t>
  </si>
  <si>
    <t>Thompson, Heidi</t>
  </si>
  <si>
    <t>Gregory, Valarie</t>
  </si>
  <si>
    <t>Jones, Lockie</t>
  </si>
  <si>
    <t>Vora, Shailesh</t>
  </si>
  <si>
    <t>Kinley, Nicki</t>
  </si>
  <si>
    <t>Carter, Candace</t>
  </si>
  <si>
    <t>Hickey, Elizabeth</t>
  </si>
  <si>
    <t>Booe, Meagan</t>
  </si>
  <si>
    <t>Hartman, Jared</t>
  </si>
  <si>
    <t>Armstrong, Gregory</t>
  </si>
  <si>
    <t>Reed, Mark</t>
  </si>
  <si>
    <t>Snider, Jessica</t>
  </si>
  <si>
    <t>Verrier, Carmel</t>
  </si>
  <si>
    <t>Ishaq, Omar</t>
  </si>
  <si>
    <t>Gardner Nursing And Rehabilitation</t>
  </si>
  <si>
    <t>Chapel Ridge Nursing Center Llc</t>
  </si>
  <si>
    <t>Chapel Woods Health And Rehabilitation</t>
  </si>
  <si>
    <t>Lakeside Nursing Center</t>
  </si>
  <si>
    <t>Gassville Therapy And Living</t>
  </si>
  <si>
    <t>St Marys Regional Medical Center</t>
  </si>
  <si>
    <t>St Elizabeths Place</t>
  </si>
  <si>
    <t>Brighton Ridge</t>
  </si>
  <si>
    <t>Pioneer Therapy And Living</t>
  </si>
  <si>
    <t>Scott, Lensey</t>
  </si>
  <si>
    <t>Cozart, Matthew</t>
  </si>
  <si>
    <t>Dhanjal, Ashu</t>
  </si>
  <si>
    <t>Shroff, Rajesh</t>
  </si>
  <si>
    <t>White, Alexis</t>
  </si>
  <si>
    <t>Oliphant, Sallie</t>
  </si>
  <si>
    <t>Browning, Joseph</t>
  </si>
  <si>
    <t>Colgrove, Michael</t>
  </si>
  <si>
    <t>Gorman, James</t>
  </si>
  <si>
    <t>Goraya, Harmeen</t>
  </si>
  <si>
    <t>Sexton, Jon</t>
  </si>
  <si>
    <t>Walker, Meredith</t>
  </si>
  <si>
    <t>Burrows, Daryl</t>
  </si>
  <si>
    <t>Glenn, David</t>
  </si>
  <si>
    <t>Horne, Andrea</t>
  </si>
  <si>
    <t>Wilson, Matthew</t>
  </si>
  <si>
    <t>Hertzog, James</t>
  </si>
  <si>
    <t>Hutchins, Malcolm</t>
  </si>
  <si>
    <t>Willett, Stephanie</t>
  </si>
  <si>
    <t>Mengarelli, Eddie</t>
  </si>
  <si>
    <t>Kinslow, Ivory</t>
  </si>
  <si>
    <t>Basham, Kyle</t>
  </si>
  <si>
    <t>Wilson, Michael</t>
  </si>
  <si>
    <t>Kuhn, Ronald</t>
  </si>
  <si>
    <t>Downing, Bryan</t>
  </si>
  <si>
    <t>Lawrence, Lance</t>
  </si>
  <si>
    <t>Ritchie, Peter</t>
  </si>
  <si>
    <t>Hodge, Gray</t>
  </si>
  <si>
    <t>Glover, David</t>
  </si>
  <si>
    <t>Bulmanski, Zachary</t>
  </si>
  <si>
    <t>Gildon, Julia</t>
  </si>
  <si>
    <t>Johnson, Megan</t>
  </si>
  <si>
    <t>Allred, M Louie</t>
  </si>
  <si>
    <t>Dickinson, Scott</t>
  </si>
  <si>
    <t>Acosta, Jared</t>
  </si>
  <si>
    <t>Batson, John</t>
  </si>
  <si>
    <t>Cox, Adam</t>
  </si>
  <si>
    <t>Dyer, Walker</t>
  </si>
  <si>
    <t>Aylett, Wesley</t>
  </si>
  <si>
    <t>Miller, Amy</t>
  </si>
  <si>
    <t>Vice, Mark</t>
  </si>
  <si>
    <t>Ehrhart, Mildred</t>
  </si>
  <si>
    <t>Cox, Tamra</t>
  </si>
  <si>
    <t>West, Sharon</t>
  </si>
  <si>
    <t>Nunn, Shayna</t>
  </si>
  <si>
    <t>Simpson, Toronsa</t>
  </si>
  <si>
    <t>Fenner, Paige</t>
  </si>
  <si>
    <t>Manatt, Kayla</t>
  </si>
  <si>
    <t>Stewart, Ginger</t>
  </si>
  <si>
    <t>Dutton, Donna</t>
  </si>
  <si>
    <t>Ewing, Travis</t>
  </si>
  <si>
    <t>White, Amy</t>
  </si>
  <si>
    <t>Charlemagne, Mistie</t>
  </si>
  <si>
    <t>Marshall, Charissa</t>
  </si>
  <si>
    <t>Lawrence, Miriam</t>
  </si>
  <si>
    <t>Smith, Sarah</t>
  </si>
  <si>
    <t>Rohrer, Stephen</t>
  </si>
  <si>
    <t>Cooper, Kara</t>
  </si>
  <si>
    <t>Messina, Joseph</t>
  </si>
  <si>
    <t>Terry, Heather</t>
  </si>
  <si>
    <t>Ring, Daniel</t>
  </si>
  <si>
    <t>Armstrong, Victor</t>
  </si>
  <si>
    <t>Testa, Michael</t>
  </si>
  <si>
    <t>Turner, Barbara</t>
  </si>
  <si>
    <t>Herzing, Lisa</t>
  </si>
  <si>
    <t>Mcdaniel, Craig</t>
  </si>
  <si>
    <t>Robinson, Thomas</t>
  </si>
  <si>
    <t>Mullinax, Lyndi</t>
  </si>
  <si>
    <t>Lambert, Sharonte</t>
  </si>
  <si>
    <t>Sepulveda, Vanessa</t>
  </si>
  <si>
    <t>Zebley, Caitlin</t>
  </si>
  <si>
    <t>Moody, Terri</t>
  </si>
  <si>
    <t>Reed, Jessica</t>
  </si>
  <si>
    <t>Odom, Sharon</t>
  </si>
  <si>
    <t>Corjay, Tiffany</t>
  </si>
  <si>
    <t>Bearden, Jacquelyn</t>
  </si>
  <si>
    <t>Bradford, Anitra</t>
  </si>
  <si>
    <t>Denton, Kelli</t>
  </si>
  <si>
    <t>Caldwell-Galvan, Leslie</t>
  </si>
  <si>
    <t>Matthews, Stephanie</t>
  </si>
  <si>
    <t>Popejoy, Erin</t>
  </si>
  <si>
    <t>Johnson, Kimberly</t>
  </si>
  <si>
    <t>Watson, Janine</t>
  </si>
  <si>
    <t>Porter, Courtney</t>
  </si>
  <si>
    <t>Kubacak, Brian</t>
  </si>
  <si>
    <t>Evert, Scarlett</t>
  </si>
  <si>
    <t>Alberts, Debra</t>
  </si>
  <si>
    <t>Whitten, Raymond</t>
  </si>
  <si>
    <t>Hamilton, Cindy</t>
  </si>
  <si>
    <t>Hudson, Sarah</t>
  </si>
  <si>
    <t>Benn, Sonia</t>
  </si>
  <si>
    <t>Scow, Roger</t>
  </si>
  <si>
    <t>Armstrong, Jessica</t>
  </si>
  <si>
    <t>Flinn, Carl</t>
  </si>
  <si>
    <t>Byers, Alicia</t>
  </si>
  <si>
    <t>Teague, Audie</t>
  </si>
  <si>
    <t>Williams, Allen</t>
  </si>
  <si>
    <t>Firman, Julian</t>
  </si>
  <si>
    <t>Sauser, Rachel</t>
  </si>
  <si>
    <t>Covington, Kenneth</t>
  </si>
  <si>
    <t>Wadley Regional Medical Center At Hope</t>
  </si>
  <si>
    <t>May, Walker</t>
  </si>
  <si>
    <t>Barr, Leslie</t>
  </si>
  <si>
    <t>Ballard, Elizabeth</t>
  </si>
  <si>
    <t>Kale, Deepali</t>
  </si>
  <si>
    <t>Mabe, Jeremy</t>
  </si>
  <si>
    <t>Stricklin, Jeffrey</t>
  </si>
  <si>
    <t>Sessions, Jerry</t>
  </si>
  <si>
    <t>Haynes, William</t>
  </si>
  <si>
    <t>Oakes, Luther</t>
  </si>
  <si>
    <t>Scher, Brett</t>
  </si>
  <si>
    <t>Mills, Aaron</t>
  </si>
  <si>
    <t>Jones, Joseph</t>
  </si>
  <si>
    <t>Carson, Rickey</t>
  </si>
  <si>
    <t>Acklin, Jimmy</t>
  </si>
  <si>
    <t>Cobb, Vicki</t>
  </si>
  <si>
    <t>Schisler, Kimberly</t>
  </si>
  <si>
    <t>Morris, James</t>
  </si>
  <si>
    <t>Jackson, Treena</t>
  </si>
  <si>
    <t>Jenkins, Jeffery</t>
  </si>
  <si>
    <t>Lee, Jennifer</t>
  </si>
  <si>
    <t>Phillips, Gregory</t>
  </si>
  <si>
    <t>Allison, Lynn</t>
  </si>
  <si>
    <t>Hunt, John</t>
  </si>
  <si>
    <t>Dieterle, Brian</t>
  </si>
  <si>
    <t>Abdehou, David</t>
  </si>
  <si>
    <t>Washburn, John</t>
  </si>
  <si>
    <t>Swift, Charles</t>
  </si>
  <si>
    <t>Bailey, James</t>
  </si>
  <si>
    <t>Earnhardt, Christopher</t>
  </si>
  <si>
    <t>Wilson, Amy</t>
  </si>
  <si>
    <t>Sutherland, Jackie</t>
  </si>
  <si>
    <t>Neal, Rachel</t>
  </si>
  <si>
    <t>Knox, Beth</t>
  </si>
  <si>
    <t>Tripp, Dustin</t>
  </si>
  <si>
    <t>Hughes, Lynda</t>
  </si>
  <si>
    <t>Hopper, Jarad</t>
  </si>
  <si>
    <t>Baker, Ashley</t>
  </si>
  <si>
    <t>Alex, Sheny</t>
  </si>
  <si>
    <t>Sublette, Nina</t>
  </si>
  <si>
    <t>Desalu, Olabode</t>
  </si>
  <si>
    <t>Simmons, Andrea</t>
  </si>
  <si>
    <t>Okoth, Martin</t>
  </si>
  <si>
    <t>Bumpus, Maggie</t>
  </si>
  <si>
    <t>Ellsworth, Carolyn</t>
  </si>
  <si>
    <t>Dickson, John</t>
  </si>
  <si>
    <t>Robinson, Giles</t>
  </si>
  <si>
    <t>Wise, Merrill</t>
  </si>
  <si>
    <t>Morgan, Stacey</t>
  </si>
  <si>
    <t>Freeman, Charlotte</t>
  </si>
  <si>
    <t>Robinson, Michelle</t>
  </si>
  <si>
    <t>Hesselrode, Mark</t>
  </si>
  <si>
    <t>Conerly, Kerleska</t>
  </si>
  <si>
    <t>Insaf, Shahid</t>
  </si>
  <si>
    <t>Rhoads, Jesse</t>
  </si>
  <si>
    <t>Edwards, Thomas</t>
  </si>
  <si>
    <t>Sun, Zhiqiang</t>
  </si>
  <si>
    <t>Hargis, Brittany</t>
  </si>
  <si>
    <t>Seidel, Marianne</t>
  </si>
  <si>
    <t>Hutchinson, Carlye</t>
  </si>
  <si>
    <t>Ornduff, Sidney</t>
  </si>
  <si>
    <t>Lanzillotti, David</t>
  </si>
  <si>
    <t>Freiden, Jeffrey</t>
  </si>
  <si>
    <t>Khuri, Radwan</t>
  </si>
  <si>
    <t>Rack, Sarah</t>
  </si>
  <si>
    <t>Duckworth, Samara</t>
  </si>
  <si>
    <t>Davenport, Michael</t>
  </si>
  <si>
    <t>Haiderzad, Talia</t>
  </si>
  <si>
    <t>Struble, David</t>
  </si>
  <si>
    <t>Mahan, Elizabeth</t>
  </si>
  <si>
    <t>Khanuja, Ravdeep</t>
  </si>
  <si>
    <t>Varma, Anita</t>
  </si>
  <si>
    <t>Davis, Anna</t>
  </si>
  <si>
    <t>Hatfield, Tiffany</t>
  </si>
  <si>
    <t>Flowers, James</t>
  </si>
  <si>
    <t>Parker, Julia</t>
  </si>
  <si>
    <t>Wilkins, Megan</t>
  </si>
  <si>
    <t>Lam, Catherine</t>
  </si>
  <si>
    <t>Srinivasan, Ashok</t>
  </si>
  <si>
    <t>Qaddoumi, Ibrahim</t>
  </si>
  <si>
    <t>Chapman, James</t>
  </si>
  <si>
    <t>Crowe, Kevin</t>
  </si>
  <si>
    <t>Cole, Paul</t>
  </si>
  <si>
    <t>George, Achenkunju</t>
  </si>
  <si>
    <t>Jones, Kimberly</t>
  </si>
  <si>
    <t>Morehouse General Hospital</t>
  </si>
  <si>
    <t>Magnolia Regional Medical Center</t>
  </si>
  <si>
    <t>East Carroll Parish Hospital</t>
  </si>
  <si>
    <t>Dhawan, Richa</t>
  </si>
  <si>
    <t>Reed, Melinda</t>
  </si>
  <si>
    <t>May, Lara</t>
  </si>
  <si>
    <t>Jones, Robert</t>
  </si>
  <si>
    <t>Givens, Jerry</t>
  </si>
  <si>
    <t>Walls, Ragonva</t>
  </si>
  <si>
    <t>Beach, Katie</t>
  </si>
  <si>
    <t>Hastings, Anna</t>
  </si>
  <si>
    <t>Adams, Lale</t>
  </si>
  <si>
    <t>Vescovo, Barry</t>
  </si>
  <si>
    <t>Phillips, Crystal</t>
  </si>
  <si>
    <t>Coffee, Logan</t>
  </si>
  <si>
    <t>Brown, Cynthia</t>
  </si>
  <si>
    <t>Williams, Stephen</t>
  </si>
  <si>
    <t>Morris, Keith</t>
  </si>
  <si>
    <t>Fong, Nicky</t>
  </si>
  <si>
    <t>Shleweet, Joseph</t>
  </si>
  <si>
    <t>Turner, John</t>
  </si>
  <si>
    <t>Hill, Tristan</t>
  </si>
  <si>
    <t>Mcgee, Patrick</t>
  </si>
  <si>
    <t>Williams, Ashley</t>
  </si>
  <si>
    <t>Dardano, Mauricio</t>
  </si>
  <si>
    <t>Lee, Elizabeth</t>
  </si>
  <si>
    <t>Zaki, Mina</t>
  </si>
  <si>
    <t>Fitzhugh, Adam</t>
  </si>
  <si>
    <t>Norton, Jariel</t>
  </si>
  <si>
    <t>Daniel, Robert</t>
  </si>
  <si>
    <t>Murphy, Trista</t>
  </si>
  <si>
    <t>Kutas, Patrick</t>
  </si>
  <si>
    <t>Lane, Matthew</t>
  </si>
  <si>
    <t>Stetzel, Robert</t>
  </si>
  <si>
    <t>Alexander, Carlos</t>
  </si>
  <si>
    <t>Carter, Philip</t>
  </si>
  <si>
    <t>Arbor, Stacie</t>
  </si>
  <si>
    <t>Johnston, Daniel</t>
  </si>
  <si>
    <t>Fordjour, Isaac</t>
  </si>
  <si>
    <t>Rowland, Chris</t>
  </si>
  <si>
    <t>Williams, Charles</t>
  </si>
  <si>
    <t>Troutt, Thomas</t>
  </si>
  <si>
    <t>Newmon, Domecia</t>
  </si>
  <si>
    <t>Leibovici, Samuel</t>
  </si>
  <si>
    <t>Hensley, Laura</t>
  </si>
  <si>
    <t>Winningham, Morgan</t>
  </si>
  <si>
    <t>Oxford, Jennifer</t>
  </si>
  <si>
    <t>Harris, April</t>
  </si>
  <si>
    <t>Collier, Shaela</t>
  </si>
  <si>
    <t>Chandler, Phoebe</t>
  </si>
  <si>
    <t>Coward, Latoya</t>
  </si>
  <si>
    <t>Karr, Ashley</t>
  </si>
  <si>
    <t>Keel, Holly</t>
  </si>
  <si>
    <t>Bradford, Whitney</t>
  </si>
  <si>
    <t>Hamilton, Heather</t>
  </si>
  <si>
    <t>Jacobs, Cassidy</t>
  </si>
  <si>
    <t>Abel, Tracie</t>
  </si>
  <si>
    <t>Hampton, Sallie</t>
  </si>
  <si>
    <t>Wantulok, Natasha</t>
  </si>
  <si>
    <t>Roddy, Kimberly</t>
  </si>
  <si>
    <t>Nazir, Muhammad</t>
  </si>
  <si>
    <t>Eruemulor, Aleobe</t>
  </si>
  <si>
    <t>Rayaz, Mustafa</t>
  </si>
  <si>
    <t>Pendergraft, Ashley</t>
  </si>
  <si>
    <t>Chukwuanu, Angela</t>
  </si>
  <si>
    <t>Oakes, Janet</t>
  </si>
  <si>
    <t>Arnold, Jennifer</t>
  </si>
  <si>
    <t>Card, Peyton</t>
  </si>
  <si>
    <t>Hartman, Joshua</t>
  </si>
  <si>
    <t>Sidarous, Peter</t>
  </si>
  <si>
    <t>Tester, Karen</t>
  </si>
  <si>
    <t>Ghneim, Ziad</t>
  </si>
  <si>
    <t>Martin, Jennifer</t>
  </si>
  <si>
    <t>Castleman, Sarah</t>
  </si>
  <si>
    <t>Weston, Sarah</t>
  </si>
  <si>
    <t>Swindle, James</t>
  </si>
  <si>
    <t>Phillips, Michelle</t>
  </si>
  <si>
    <t>Strelsin, Jenny</t>
  </si>
  <si>
    <t>Fryar, Ciara</t>
  </si>
  <si>
    <t>White County Medical Center Psychiatric Unit</t>
  </si>
  <si>
    <t>Saint Francis Hospital</t>
  </si>
  <si>
    <t>Woodridge Of The Ozarks</t>
  </si>
  <si>
    <t>Chu, Huong</t>
  </si>
  <si>
    <t>Cannon, Holly</t>
  </si>
  <si>
    <t>Howard, Angela</t>
  </si>
  <si>
    <t>Nardi, Caroline</t>
  </si>
  <si>
    <t>Anderson, Jarrod</t>
  </si>
  <si>
    <t>Paul, Lisa</t>
  </si>
  <si>
    <t>Raza, Asim</t>
  </si>
  <si>
    <t>Carter, Cary</t>
  </si>
  <si>
    <t>Mccoy, Kellee</t>
  </si>
  <si>
    <t>Hardee, Raelyn</t>
  </si>
  <si>
    <t>Armstrong, Sherry</t>
  </si>
  <si>
    <t>Strange, Amanda</t>
  </si>
  <si>
    <t>Lopez, Shawn</t>
  </si>
  <si>
    <t>Wood, Erika</t>
  </si>
  <si>
    <t>Allison, Patricia</t>
  </si>
  <si>
    <t>Trull, Jeremy</t>
  </si>
  <si>
    <t>Baker, Micah</t>
  </si>
  <si>
    <t>Fortson, Sharon</t>
  </si>
  <si>
    <t>Jackson, Robin</t>
  </si>
  <si>
    <t>Robinett, Craig</t>
  </si>
  <si>
    <t>Wilson, Woodrow</t>
  </si>
  <si>
    <t>Zaidi, Alia</t>
  </si>
  <si>
    <t>Garrett, Guy</t>
  </si>
  <si>
    <t>Green House Cottages Of Wentworth Place</t>
  </si>
  <si>
    <t>Crestpark Forrest City</t>
  </si>
  <si>
    <t>Crestpark Stuttgart</t>
  </si>
  <si>
    <t>Point Lookout Nursing And Rehab</t>
  </si>
  <si>
    <t>Signature Healthcare Of Primacy</t>
  </si>
  <si>
    <t>Signature Healthcare Of Memphis</t>
  </si>
  <si>
    <t>Evergreen Living Center At Stagecoach</t>
  </si>
  <si>
    <t>Merlocco, Anthony</t>
  </si>
  <si>
    <t>Mesko, John</t>
  </si>
  <si>
    <t>Williams, Emily</t>
  </si>
  <si>
    <t>Awan, Obaid</t>
  </si>
  <si>
    <t>Springhill Medical Center</t>
  </si>
  <si>
    <t>Advanced Care Hospital Of White County</t>
  </si>
  <si>
    <t>Little River Memorial Hospital</t>
  </si>
  <si>
    <t>Minden Medical Center</t>
  </si>
  <si>
    <t>Pulusani, Vaishnavi</t>
  </si>
  <si>
    <t>Grigorian, Adriana</t>
  </si>
  <si>
    <t>Oserowsky, Grant</t>
  </si>
  <si>
    <t>Leding, Cassandra</t>
  </si>
  <si>
    <t>Moran, Patrick</t>
  </si>
  <si>
    <t>Dominguez, Casey</t>
  </si>
  <si>
    <t>Roberts, Bradley</t>
  </si>
  <si>
    <t>Leding, Carlton</t>
  </si>
  <si>
    <t>Minkin, Patton</t>
  </si>
  <si>
    <t>Ankireddypalli, Arvind</t>
  </si>
  <si>
    <t>Grimsley, Roslyn</t>
  </si>
  <si>
    <t>Helton, Michelle</t>
  </si>
  <si>
    <t>Martin, Natalie</t>
  </si>
  <si>
    <t>Carlton, Laurie</t>
  </si>
  <si>
    <t>Marek, Tabitha</t>
  </si>
  <si>
    <t>Anderson, Maria</t>
  </si>
  <si>
    <t>Janssen, Melanie</t>
  </si>
  <si>
    <t>Tackett, Jonathan</t>
  </si>
  <si>
    <t>Stevenson, William</t>
  </si>
  <si>
    <t>Lourens, Andrew</t>
  </si>
  <si>
    <t>Heath, Kathleen</t>
  </si>
  <si>
    <t>Orisakwe, Chiricka</t>
  </si>
  <si>
    <t>Jackson, Regina</t>
  </si>
  <si>
    <t>Cannon, Veronica</t>
  </si>
  <si>
    <t>Mcknight, Sarah</t>
  </si>
  <si>
    <t>Malik, Mohammed</t>
  </si>
  <si>
    <t>Weaver, Jeremy</t>
  </si>
  <si>
    <t>Stephens, Toni</t>
  </si>
  <si>
    <t>Harrington, Brittani</t>
  </si>
  <si>
    <t>Horton, Katryna</t>
  </si>
  <si>
    <t>River Ridge Treatment Center</t>
  </si>
  <si>
    <t>Shook, Katherine</t>
  </si>
  <si>
    <t>Steinfeld, David</t>
  </si>
  <si>
    <t>Lewallen, Jason</t>
  </si>
  <si>
    <t>Rhames, Kate</t>
  </si>
  <si>
    <t>Steward, Ashley</t>
  </si>
  <si>
    <t>Matthews, Cara</t>
  </si>
  <si>
    <t>Mix, Whitney</t>
  </si>
  <si>
    <t>Stark, Jeremy</t>
  </si>
  <si>
    <t>Le, Ivy</t>
  </si>
  <si>
    <t>Stell, Emily</t>
  </si>
  <si>
    <t>Morris, Tia</t>
  </si>
  <si>
    <t>Patterson, Jennifer</t>
  </si>
  <si>
    <t>Hunt, Hillary</t>
  </si>
  <si>
    <t>Grimwood, Maryam</t>
  </si>
  <si>
    <t>Porter, Ginah</t>
  </si>
  <si>
    <t>Wells, Anna</t>
  </si>
  <si>
    <t>Lafayette, Lashonda</t>
  </si>
  <si>
    <t>Schneider, David</t>
  </si>
  <si>
    <t>Hostetler, Alisa</t>
  </si>
  <si>
    <t>Wright, Karen</t>
  </si>
  <si>
    <t>Pate, Riley</t>
  </si>
  <si>
    <t>Butler, Debra</t>
  </si>
  <si>
    <t>Gould, Amanda</t>
  </si>
  <si>
    <t>Mccleary, Christopher</t>
  </si>
  <si>
    <t>Head, Ashley</t>
  </si>
  <si>
    <t>Merritt, Benjamin</t>
  </si>
  <si>
    <t>Roby, Warren</t>
  </si>
  <si>
    <t>Simpson, Johnathan</t>
  </si>
  <si>
    <t>Wellman, Christine</t>
  </si>
  <si>
    <t>Umphries, Sarah</t>
  </si>
  <si>
    <t>York, Megan</t>
  </si>
  <si>
    <t>Drury, Angela</t>
  </si>
  <si>
    <t>Obeng, Esther</t>
  </si>
  <si>
    <t>Sharma, Akshay</t>
  </si>
  <si>
    <t>Porter, Jason</t>
  </si>
  <si>
    <t>Amberwood Health And Rehabilitation</t>
  </si>
  <si>
    <t>Willowbend Nursing And Rehabilitation</t>
  </si>
  <si>
    <t>Dallas County Medical Center</t>
  </si>
  <si>
    <t>Mercy Hospital Paris</t>
  </si>
  <si>
    <t>Maple Healthcare</t>
  </si>
  <si>
    <t>Woodruff County Health Center</t>
  </si>
  <si>
    <t>Hudson Memorial Nursing Home</t>
  </si>
  <si>
    <t>Randolph County Nursing Home</t>
  </si>
  <si>
    <t>Greene Acres Nursing Home</t>
  </si>
  <si>
    <t>Barnes Healthcare</t>
  </si>
  <si>
    <t>Rogers Health And Rehabilitation Center</t>
  </si>
  <si>
    <t>Parris, Robert</t>
  </si>
  <si>
    <t>Flatt, David</t>
  </si>
  <si>
    <t>Racher, Mary</t>
  </si>
  <si>
    <t>Patel, Nayneshkumar</t>
  </si>
  <si>
    <t>Powell, Daniel</t>
  </si>
  <si>
    <t>Carlson, Kerry</t>
  </si>
  <si>
    <t>Weatherford, Mary</t>
  </si>
  <si>
    <t>Sinada, Erin</t>
  </si>
  <si>
    <t>Bridges, Amy</t>
  </si>
  <si>
    <t>Prather, Kenneth</t>
  </si>
  <si>
    <t>Fultz, Alyssa</t>
  </si>
  <si>
    <t>Crosskno, Kimberly</t>
  </si>
  <si>
    <t>Smith, Kelsey</t>
  </si>
  <si>
    <t>Houser, Jessica</t>
  </si>
  <si>
    <t>Davis, Sonja</t>
  </si>
  <si>
    <t>Carmical, Jim</t>
  </si>
  <si>
    <t>Haltom, Jodi</t>
  </si>
  <si>
    <t>Brackin, Stefanie</t>
  </si>
  <si>
    <t>Davidson, Karen</t>
  </si>
  <si>
    <t>Hickey, Maranda</t>
  </si>
  <si>
    <t>Johnson, Sara</t>
  </si>
  <si>
    <t>Crutchfield, Cameron</t>
  </si>
  <si>
    <t>Jordan, Charles</t>
  </si>
  <si>
    <t>Cottingham, Mandilyn</t>
  </si>
  <si>
    <t>Folkard, Camille</t>
  </si>
  <si>
    <t>Russell, Heather</t>
  </si>
  <si>
    <t>Darty, Peggy</t>
  </si>
  <si>
    <t>Kumar, Rajesh</t>
  </si>
  <si>
    <t>Moore, Nikki</t>
  </si>
  <si>
    <t>Crouch, James</t>
  </si>
  <si>
    <t>Shelby, Eugene</t>
  </si>
  <si>
    <t>Slusser, Kimberly</t>
  </si>
  <si>
    <t>Yates, Natale</t>
  </si>
  <si>
    <t>Ford, Stephanie</t>
  </si>
  <si>
    <t>Roberts, Leslie</t>
  </si>
  <si>
    <t>Smith, Frieda-Anne</t>
  </si>
  <si>
    <t>Bradley, Thomas</t>
  </si>
  <si>
    <t>Nicolas, Chantal</t>
  </si>
  <si>
    <t>Goolsby, Leslie</t>
  </si>
  <si>
    <t>Grady, Chad</t>
  </si>
  <si>
    <t>Partovi, Kiandokht</t>
  </si>
  <si>
    <t>Roberts, Clark</t>
  </si>
  <si>
    <t>Petty, Jared</t>
  </si>
  <si>
    <t>Randall, Teqienna</t>
  </si>
  <si>
    <t>Westerman, Sandra</t>
  </si>
  <si>
    <t>Pandey, Tulika</t>
  </si>
  <si>
    <t>Myers, Shannon</t>
  </si>
  <si>
    <t>Missak, Mary</t>
  </si>
  <si>
    <t>Barnes, Larry</t>
  </si>
  <si>
    <t>Grant, Alissa</t>
  </si>
  <si>
    <t>Yadav, Priya</t>
  </si>
  <si>
    <t>Travis, Scarlet</t>
  </si>
  <si>
    <t>Wilson, Ashley</t>
  </si>
  <si>
    <t>Lakeside Behavioral Health System</t>
  </si>
  <si>
    <t>Behavioral Health Programs</t>
  </si>
  <si>
    <t>Johnson, Melrita</t>
  </si>
  <si>
    <t>Harman, Jennifer</t>
  </si>
  <si>
    <t>Chandler, Reginald</t>
  </si>
  <si>
    <t>Lee, Sooin</t>
  </si>
  <si>
    <t>Griffie, Jordan</t>
  </si>
  <si>
    <t>Mehalic, Chance</t>
  </si>
  <si>
    <t>Williams, Vanessa</t>
  </si>
  <si>
    <t>Kang, Jane</t>
  </si>
  <si>
    <t>Jordan, Cathy</t>
  </si>
  <si>
    <t>Snow, Elizabeth</t>
  </si>
  <si>
    <t>Clay, Deborah</t>
  </si>
  <si>
    <t>Mcclure, Matthew</t>
  </si>
  <si>
    <t>Beller, Karen</t>
  </si>
  <si>
    <t>Vaught, Sherryl</t>
  </si>
  <si>
    <t>Lehman, Anne</t>
  </si>
  <si>
    <t>Laser, Laura</t>
  </si>
  <si>
    <t>Rana, Anne</t>
  </si>
  <si>
    <t>Eady, Marvin</t>
  </si>
  <si>
    <t>Murdock, Arielle</t>
  </si>
  <si>
    <t>Pollock, Tayler</t>
  </si>
  <si>
    <t>Robberson, Kathy</t>
  </si>
  <si>
    <t>Jiles, Chasity</t>
  </si>
  <si>
    <t>Hinkle, Nathan</t>
  </si>
  <si>
    <t>Miller, Matthew</t>
  </si>
  <si>
    <t>Wang, Yuefeng</t>
  </si>
  <si>
    <t>Edgewood Manor</t>
  </si>
  <si>
    <t>Crestpark Helena</t>
  </si>
  <si>
    <t>Brooke Haven Healthcare</t>
  </si>
  <si>
    <t>Lawrence Memorial Hospital Skilled Nursing Unit</t>
  </si>
  <si>
    <t>Dierks Health And Rehab</t>
  </si>
  <si>
    <t>Woodbriar Nursing Home</t>
  </si>
  <si>
    <t>Greenhurst Nursing Center</t>
  </si>
  <si>
    <t>River Oaks Care Center</t>
  </si>
  <si>
    <t>Patel, Rakesh</t>
  </si>
  <si>
    <t>Hahn, Kenneth</t>
  </si>
  <si>
    <t>Cole, Audra</t>
  </si>
  <si>
    <t>Mason, Christopher</t>
  </si>
  <si>
    <t>Camejo, Manuel</t>
  </si>
  <si>
    <t>Farrell, Rachel</t>
  </si>
  <si>
    <t>Ochoa, Jose</t>
  </si>
  <si>
    <t>Zhang, Donghong</t>
  </si>
  <si>
    <t>Henske, Joseph</t>
  </si>
  <si>
    <t>Delta Medical Center</t>
  </si>
  <si>
    <t>Laster, Seth</t>
  </si>
  <si>
    <t>Walker, Andrea</t>
  </si>
  <si>
    <t>Markle, Emily</t>
  </si>
  <si>
    <t>Adams Browne, Kaye</t>
  </si>
  <si>
    <t>Offutt, Lorna</t>
  </si>
  <si>
    <t>Leboeuf, Alyssa</t>
  </si>
  <si>
    <t>Maravich, John</t>
  </si>
  <si>
    <t>Byrd, Hayden</t>
  </si>
  <si>
    <t>Bittle, Matthew</t>
  </si>
  <si>
    <t>Brashears, Chelsea</t>
  </si>
  <si>
    <t>Medical Alternatives</t>
  </si>
  <si>
    <t>Criteria</t>
  </si>
  <si>
    <t>Description</t>
  </si>
  <si>
    <t>NPI</t>
  </si>
  <si>
    <t>Allen, Brittany</t>
  </si>
  <si>
    <t>Hill, Julie</t>
  </si>
  <si>
    <t>Sutherland, Caroline</t>
  </si>
  <si>
    <t>Patel, Neal</t>
  </si>
  <si>
    <t>Barton, Emily</t>
  </si>
  <si>
    <t>Mehr, Sonal</t>
  </si>
  <si>
    <t>Frix, Carey</t>
  </si>
  <si>
    <t>Barham, Tania</t>
  </si>
  <si>
    <t>Taylor, Arthur</t>
  </si>
  <si>
    <t>Schmidt, Richard</t>
  </si>
  <si>
    <t>Mannan, Hina</t>
  </si>
  <si>
    <t>Ware, Judith</t>
  </si>
  <si>
    <t>Downes, Christina</t>
  </si>
  <si>
    <t>Jampala, Vemana</t>
  </si>
  <si>
    <t>Lyle, Rachel</t>
  </si>
  <si>
    <t>Calvillo, Ashley</t>
  </si>
  <si>
    <t>Miller, Tirsa</t>
  </si>
  <si>
    <t>Blakney, Eric</t>
  </si>
  <si>
    <t>Riggins, Phyllis</t>
  </si>
  <si>
    <t>Young, Jennifer</t>
  </si>
  <si>
    <t>Saino, James</t>
  </si>
  <si>
    <t>Perez, Sarah</t>
  </si>
  <si>
    <t>Cazano Barreiro, Juan</t>
  </si>
  <si>
    <t>Daybreak Treatment Center</t>
  </si>
  <si>
    <t>Pinnacle Pointe Hospital</t>
  </si>
  <si>
    <t>Sorensen, Seth</t>
  </si>
  <si>
    <t>Oslica, Austin</t>
  </si>
  <si>
    <t>Douglas, Amanda</t>
  </si>
  <si>
    <t>Deville, Charles</t>
  </si>
  <si>
    <t>Mann, Leslie</t>
  </si>
  <si>
    <t>James, Kimberly</t>
  </si>
  <si>
    <t>Dawson, Latasha</t>
  </si>
  <si>
    <t>Sterling, Melanie</t>
  </si>
  <si>
    <t>Anderson, Kalayah</t>
  </si>
  <si>
    <t>Brown, Tanner</t>
  </si>
  <si>
    <t>Wakefield, Allie</t>
  </si>
  <si>
    <t>Howell, Matthew</t>
  </si>
  <si>
    <t>West, Cathleen</t>
  </si>
  <si>
    <t>Cotton, Crystal</t>
  </si>
  <si>
    <t>Phillips, Bonnie</t>
  </si>
  <si>
    <t>Smith, Brittany</t>
  </si>
  <si>
    <t>Thurman, Robyn</t>
  </si>
  <si>
    <t>Rose, Sheena</t>
  </si>
  <si>
    <t>Boling, Susan</t>
  </si>
  <si>
    <t>Fleming, Elizabeth</t>
  </si>
  <si>
    <t>Kory, Steven</t>
  </si>
  <si>
    <t>Elmgren, Jordan</t>
  </si>
  <si>
    <t>Trautman, Lucas</t>
  </si>
  <si>
    <t>Leach, Ann</t>
  </si>
  <si>
    <t>Webb, Paula</t>
  </si>
  <si>
    <t>Cooper, Lyndsee</t>
  </si>
  <si>
    <t>Skinner, James</t>
  </si>
  <si>
    <t>Walker, Kayley</t>
  </si>
  <si>
    <t>Dunlap, Angel</t>
  </si>
  <si>
    <t>Reynolds, Michele</t>
  </si>
  <si>
    <t>Alexander, Priscilla</t>
  </si>
  <si>
    <t>Akinwumiju, Olayinka</t>
  </si>
  <si>
    <t>Petrishen, Cristy</t>
  </si>
  <si>
    <t>Merrill, Hope</t>
  </si>
  <si>
    <t>Velasquez, Stephen</t>
  </si>
  <si>
    <t>Jonesboro Wellness Llc</t>
  </si>
  <si>
    <t>Batesville Healthcare Llc</t>
  </si>
  <si>
    <t>Autumn Hill</t>
  </si>
  <si>
    <t>Reddy, Hanumanth</t>
  </si>
  <si>
    <t>Birchem, Jessica</t>
  </si>
  <si>
    <t>Rehman, Faiz</t>
  </si>
  <si>
    <t>Edwards, Todd</t>
  </si>
  <si>
    <t>Cox, Sam</t>
  </si>
  <si>
    <t>Cisneros, Rebecca</t>
  </si>
  <si>
    <t>Li, Sherri</t>
  </si>
  <si>
    <t>Hardy, Kyle</t>
  </si>
  <si>
    <t>Abdeen, Yazan</t>
  </si>
  <si>
    <t>Nyenwe, Ebenezer</t>
  </si>
  <si>
    <t>St Bernards Medical Center</t>
  </si>
  <si>
    <t>Strossner, Jeffrey</t>
  </si>
  <si>
    <t>Clark, Sarah</t>
  </si>
  <si>
    <t>Mccormick, Alice</t>
  </si>
  <si>
    <t>Stafford, Gregory</t>
  </si>
  <si>
    <t>Noh, Paula</t>
  </si>
  <si>
    <t>King, Deborah</t>
  </si>
  <si>
    <t>Hastings, Mary</t>
  </si>
  <si>
    <t>Roudachevski, Evgueni</t>
  </si>
  <si>
    <t>Pintado, Amy</t>
  </si>
  <si>
    <t>Oasis Renewal Center</t>
  </si>
  <si>
    <t>Strayhan, Robert</t>
  </si>
  <si>
    <t>Lawson, Thomas</t>
  </si>
  <si>
    <t>Davis, Glenda</t>
  </si>
  <si>
    <t>Aaron, Deon</t>
  </si>
  <si>
    <t>Krauft, Virginia</t>
  </si>
  <si>
    <t>Back, Richard</t>
  </si>
  <si>
    <t>Williams, Cheryl</t>
  </si>
  <si>
    <t>Haley, Melissa</t>
  </si>
  <si>
    <t>Lawrence Memorial Hospital</t>
  </si>
  <si>
    <t>Saline Memorial Hospital</t>
  </si>
  <si>
    <t>Hayes, Timothy</t>
  </si>
  <si>
    <t>Love, Frank</t>
  </si>
  <si>
    <t>Hughes, Alan</t>
  </si>
  <si>
    <t>Adams, Jeremy</t>
  </si>
  <si>
    <t>Bowman, Robert</t>
  </si>
  <si>
    <t>Dixon, William</t>
  </si>
  <si>
    <t>Wallace, Dustin</t>
  </si>
  <si>
    <t>Click here for usage instructions</t>
  </si>
  <si>
    <t>Durham, Lauren</t>
  </si>
  <si>
    <t>Williams, Victoria</t>
  </si>
  <si>
    <t>Paladino, Robert</t>
  </si>
  <si>
    <t>Bell, Joy</t>
  </si>
  <si>
    <t>Dixon, Blake</t>
  </si>
  <si>
    <t>Jones, Clara</t>
  </si>
  <si>
    <t>Morris, Ginger</t>
  </si>
  <si>
    <t>Davis, Kelly</t>
  </si>
  <si>
    <t>Penister, Rayna</t>
  </si>
  <si>
    <t>Stringer, Lauren</t>
  </si>
  <si>
    <t>Wust, Christy</t>
  </si>
  <si>
    <t>Nouansavane, Chansamorn</t>
  </si>
  <si>
    <t>Horton-Bertrand, Julia</t>
  </si>
  <si>
    <t>Primm, Samantha</t>
  </si>
  <si>
    <t>Roark, Carly</t>
  </si>
  <si>
    <t>Riverview Behavioral Health</t>
  </si>
  <si>
    <t>Lawlis, Christopher</t>
  </si>
  <si>
    <t>Brickell, Tayler</t>
  </si>
  <si>
    <t>Graham, Beverly</t>
  </si>
  <si>
    <t>Graham, Cassidy</t>
  </si>
  <si>
    <t>Shuler, John</t>
  </si>
  <si>
    <t>Patterson, Jessie</t>
  </si>
  <si>
    <t>Dorsey, Brandi</t>
  </si>
  <si>
    <t>Boles, Katelyn</t>
  </si>
  <si>
    <t>Rownak, Twyla</t>
  </si>
  <si>
    <t>Gossett, Richard</t>
  </si>
  <si>
    <t>Steele, James</t>
  </si>
  <si>
    <t>Passen, Julianne</t>
  </si>
  <si>
    <t>Stumbaugh, Rachel</t>
  </si>
  <si>
    <t>Wiles, Sarah</t>
  </si>
  <si>
    <t>Bilson, Sharita</t>
  </si>
  <si>
    <t>Tullos, Leslie</t>
  </si>
  <si>
    <t>Phillips, Justin</t>
  </si>
  <si>
    <t>Baker, Tara</t>
  </si>
  <si>
    <t>Phillips, Heather</t>
  </si>
  <si>
    <t>Edgewood Health And Rehab</t>
  </si>
  <si>
    <t>Courtyard Gardens Health And Rehabilitation Center</t>
  </si>
  <si>
    <t>Pocahontas Healthcare And Rehabilitation Center</t>
  </si>
  <si>
    <t>Somerset Senior Living At Crossett</t>
  </si>
  <si>
    <t>Ahmadian, Homayoun</t>
  </si>
  <si>
    <t>Robinson, Brent</t>
  </si>
  <si>
    <t>Hassan, Yusuf</t>
  </si>
  <si>
    <t>Goodwin, Julia</t>
  </si>
  <si>
    <t>Sinclair, Rose</t>
  </si>
  <si>
    <t>Albritton, Charles</t>
  </si>
  <si>
    <t>Savajiyani, Sarika</t>
  </si>
  <si>
    <t>Lilley, Jessica</t>
  </si>
  <si>
    <t>Galloway, Allison</t>
  </si>
  <si>
    <t>Ouachita County Medical Center</t>
  </si>
  <si>
    <t>Brodowska, Katarzyna</t>
  </si>
  <si>
    <t>Tollett, Christopher</t>
  </si>
  <si>
    <t>Erwin, Ethan</t>
  </si>
  <si>
    <t>Kingston, Mark</t>
  </si>
  <si>
    <t>Sulieman, Samir</t>
  </si>
  <si>
    <t>Sliger, Jessica</t>
  </si>
  <si>
    <t>Montgomery, Ryan</t>
  </si>
  <si>
    <t>Jackson, Thomas</t>
  </si>
  <si>
    <t>Steele, Lori</t>
  </si>
  <si>
    <t>Karki, Niraj</t>
  </si>
  <si>
    <t>Bennett, Cynara</t>
  </si>
  <si>
    <t>Bashir, Maaman</t>
  </si>
  <si>
    <t>Alam, Dauood</t>
  </si>
  <si>
    <t>Tandon, Rudhir</t>
  </si>
  <si>
    <t>Skinner, Brooke</t>
  </si>
  <si>
    <t>Bonds, Abigail</t>
  </si>
  <si>
    <t>Patel, Poonam</t>
  </si>
  <si>
    <t>Wallis, Jenelle</t>
  </si>
  <si>
    <t>Langston, Carla</t>
  </si>
  <si>
    <t>Winston, Pamela</t>
  </si>
  <si>
    <t>Phillips, Presley</t>
  </si>
  <si>
    <t>Akhtar, Saeem</t>
  </si>
  <si>
    <t>Cooper, Gretchin</t>
  </si>
  <si>
    <t>Dwyer, Jessica</t>
  </si>
  <si>
    <t>Wells, Claude</t>
  </si>
  <si>
    <t>Rosenbaum, Rachel</t>
  </si>
  <si>
    <t>Oechsle, Fabian</t>
  </si>
  <si>
    <t>Stewart, Courtney</t>
  </si>
  <si>
    <t>Chan, Camille</t>
  </si>
  <si>
    <t>Nsrc Oak Grove Llc</t>
  </si>
  <si>
    <t>Bosley, Trebor</t>
  </si>
  <si>
    <t>Jerry, Tammy</t>
  </si>
  <si>
    <t>Kennedy, Keisha</t>
  </si>
  <si>
    <t>Crift, Reshanae</t>
  </si>
  <si>
    <t>Ruble, David</t>
  </si>
  <si>
    <t>Reeves, Janice</t>
  </si>
  <si>
    <t>Ramsey, Tyler</t>
  </si>
  <si>
    <t>Forrester, Gregory</t>
  </si>
  <si>
    <t>Hughes, Timothy</t>
  </si>
  <si>
    <t>Scott, Mollie</t>
  </si>
  <si>
    <t>Speers, Valerie</t>
  </si>
  <si>
    <t>Casados, Jobeth</t>
  </si>
  <si>
    <t>Testa, Sarah</t>
  </si>
  <si>
    <t>Jackson, Antimoore</t>
  </si>
  <si>
    <t>Sanders, Alexis</t>
  </si>
  <si>
    <t>Howerton, Seth</t>
  </si>
  <si>
    <t>Lorenzen, Erin</t>
  </si>
  <si>
    <t>Williams, Laura</t>
  </si>
  <si>
    <t>Strawn, Sharon</t>
  </si>
  <si>
    <t>Eisele, Andrew</t>
  </si>
  <si>
    <t>Homratsamy, Christie</t>
  </si>
  <si>
    <t>Osburn, Anne</t>
  </si>
  <si>
    <t>Bennett, Deavila</t>
  </si>
  <si>
    <t>Samuels, Tina</t>
  </si>
  <si>
    <t>Rogers, Allison</t>
  </si>
  <si>
    <t>Flores, Martha</t>
  </si>
  <si>
    <t>Langs, Shea</t>
  </si>
  <si>
    <t>Coleman, Catherine</t>
  </si>
  <si>
    <t>Counts, Beverly</t>
  </si>
  <si>
    <t>Davis, Ashlee</t>
  </si>
  <si>
    <t>Stidum, Lakesha</t>
  </si>
  <si>
    <t>Davis, Melinda</t>
  </si>
  <si>
    <t>Coles, Lauren</t>
  </si>
  <si>
    <t>Crestpark Marianna Llc</t>
  </si>
  <si>
    <t>Samaha, Joseph</t>
  </si>
  <si>
    <t>Perkins, Rosalyn</t>
  </si>
  <si>
    <t>Ingraham Lynn, Carol</t>
  </si>
  <si>
    <t>Regional Medical Center At Memphis</t>
  </si>
  <si>
    <t>Hart, Jonathan</t>
  </si>
  <si>
    <t>Shaw, Stephanie</t>
  </si>
  <si>
    <t>Bell, Austin</t>
  </si>
  <si>
    <t>Vanhook, Susan</t>
  </si>
  <si>
    <t>Kingston, Meaghan</t>
  </si>
  <si>
    <t>Shepherd, Jessica</t>
  </si>
  <si>
    <t>Spencer, Haley</t>
  </si>
  <si>
    <t>Hayward, Lindsay</t>
  </si>
  <si>
    <t>Dymna, Lauren</t>
  </si>
  <si>
    <t>Ramage, Matthew</t>
  </si>
  <si>
    <t>Savell, Angela</t>
  </si>
  <si>
    <t>Higgins, Suzanne</t>
  </si>
  <si>
    <t>Perry, Nichole</t>
  </si>
  <si>
    <t>Bone, Yolanda</t>
  </si>
  <si>
    <t>Boelens, Tiffany</t>
  </si>
  <si>
    <t>Stallings, Katherine</t>
  </si>
  <si>
    <t>Harris, Kadi</t>
  </si>
  <si>
    <t>Hurst, Crystal</t>
  </si>
  <si>
    <t>Enloe, Kacy</t>
  </si>
  <si>
    <t>Robert, Jon</t>
  </si>
  <si>
    <t>Bolden, Branson</t>
  </si>
  <si>
    <t>Sandell, Amy</t>
  </si>
  <si>
    <t>Mceuen, Matthew</t>
  </si>
  <si>
    <t>Ibbetson, Sara</t>
  </si>
  <si>
    <t>Wilson-Cotton, Sarah</t>
  </si>
  <si>
    <t>Neal, Paul</t>
  </si>
  <si>
    <t>Spurlock, Elizabeth</t>
  </si>
  <si>
    <t>Wright, Ashley</t>
  </si>
  <si>
    <t>Riggs, Cherese</t>
  </si>
  <si>
    <t>Mckenzie, Damon</t>
  </si>
  <si>
    <t>Negusse, Selamawit</t>
  </si>
  <si>
    <t>Mcspadden, Farrah</t>
  </si>
  <si>
    <t>Unity Health Harris Medical Center</t>
  </si>
  <si>
    <t>Mcdonald, Eric</t>
  </si>
  <si>
    <t>Jones, Heather</t>
  </si>
  <si>
    <t>Olson, Frances</t>
  </si>
  <si>
    <t>Xiao, Lukang</t>
  </si>
  <si>
    <t>Frantz, Angela</t>
  </si>
  <si>
    <t>Mitchell, Geoffrey</t>
  </si>
  <si>
    <t>Dalby, Robert</t>
  </si>
  <si>
    <t>Hine, Craig</t>
  </si>
  <si>
    <t>Atkins, Sarah</t>
  </si>
  <si>
    <t>Carter, Hannah</t>
  </si>
  <si>
    <t>Bishara, Suzy</t>
  </si>
  <si>
    <t>Alawadi, Rushdi</t>
  </si>
  <si>
    <t>Van Zyl, Ettienne</t>
  </si>
  <si>
    <t>Lee, Benjamin</t>
  </si>
  <si>
    <t>Powell, Jordan</t>
  </si>
  <si>
    <t>Initial Provider Type-NPI Pool Template</t>
  </si>
  <si>
    <t>Nambusi, Rachael</t>
  </si>
  <si>
    <t>Cossey, Leah</t>
  </si>
  <si>
    <t>Smith, Starla</t>
  </si>
  <si>
    <t>Smith, Aaron</t>
  </si>
  <si>
    <t>Henry, Dawn</t>
  </si>
  <si>
    <t>Cooper, Natalie</t>
  </si>
  <si>
    <t>Neighbors, Jennifer</t>
  </si>
  <si>
    <t>Bennett, Ashley</t>
  </si>
  <si>
    <t>Phillips, Richard</t>
  </si>
  <si>
    <t>Miller, Marissa</t>
  </si>
  <si>
    <t>Connerly, Abigail</t>
  </si>
  <si>
    <t>Johnson, Felicia</t>
  </si>
  <si>
    <t>Jowers, Allison</t>
  </si>
  <si>
    <t>Baltz, Brian</t>
  </si>
  <si>
    <t>Davenport, Jennifer</t>
  </si>
  <si>
    <t>Boone, Michelle</t>
  </si>
  <si>
    <t>Hill, Rhonda</t>
  </si>
  <si>
    <t>Stricklin, Amy</t>
  </si>
  <si>
    <t>Bond, Kayla</t>
  </si>
  <si>
    <t>Hester, Holly</t>
  </si>
  <si>
    <t>Parker, Kathryn</t>
  </si>
  <si>
    <t>Raghuveer, Kura</t>
  </si>
  <si>
    <t>Henry, Karson</t>
  </si>
  <si>
    <t>Chinta, Viswanatha</t>
  </si>
  <si>
    <t>Burrow, James</t>
  </si>
  <si>
    <t>Aguirre, Brittany</t>
  </si>
  <si>
    <t>Washam, Gary</t>
  </si>
  <si>
    <t>Ritz, Ralph</t>
  </si>
  <si>
    <t>Merryman, Daron</t>
  </si>
  <si>
    <t>Calvert, Brittany</t>
  </si>
  <si>
    <t>Holifield, Angie</t>
  </si>
  <si>
    <t>Hopper, Dawn</t>
  </si>
  <si>
    <t>Hall, Cindy</t>
  </si>
  <si>
    <t>Forbes, Brittany</t>
  </si>
  <si>
    <t>Hayes, Sheila</t>
  </si>
  <si>
    <t>Ertolacci, Dominique</t>
  </si>
  <si>
    <t>Gutierrez, Omar</t>
  </si>
  <si>
    <t>Pederson, Sarah</t>
  </si>
  <si>
    <t>Beallis, Randall</t>
  </si>
  <si>
    <t>Bennett, Regina</t>
  </si>
  <si>
    <t>Bray, Sunny</t>
  </si>
  <si>
    <t>Hitt, Allison</t>
  </si>
  <si>
    <t>Nelson, Stephen</t>
  </si>
  <si>
    <t>Loar, Jenifer</t>
  </si>
  <si>
    <t>Dehart, Haley</t>
  </si>
  <si>
    <t>Ray, Zachary</t>
  </si>
  <si>
    <t>Murach, Kyndal</t>
  </si>
  <si>
    <t>Dobos, Simona</t>
  </si>
  <si>
    <t>Nalley, Lucas</t>
  </si>
  <si>
    <t>Green, Alison</t>
  </si>
  <si>
    <t>Savage, Richard</t>
  </si>
  <si>
    <t>Thihalolipavan, Sudarone</t>
  </si>
  <si>
    <t>Lewis, Deaunna</t>
  </si>
  <si>
    <t>Crawley, Cheree</t>
  </si>
  <si>
    <t>Madaka, Brandi</t>
  </si>
  <si>
    <t>Garrett, Jennifer</t>
  </si>
  <si>
    <t>Wagoner, Stephanie</t>
  </si>
  <si>
    <t>Steen, Amanda</t>
  </si>
  <si>
    <t>Chapman, Michelle</t>
  </si>
  <si>
    <t>Crump, Jessica</t>
  </si>
  <si>
    <t>Vaske, Rachel</t>
  </si>
  <si>
    <t>Butler, David</t>
  </si>
  <si>
    <t>Adams, Tanya</t>
  </si>
  <si>
    <t>Hayes, Danielle</t>
  </si>
  <si>
    <t>Long, Douglas</t>
  </si>
  <si>
    <t>Smith, Marquitta</t>
  </si>
  <si>
    <t>Arnold, James</t>
  </si>
  <si>
    <t>Mckinney, Emily</t>
  </si>
  <si>
    <t>Stephens, Kathryn</t>
  </si>
  <si>
    <t>Taher, Ramez</t>
  </si>
  <si>
    <t>Humiston, Leslie</t>
  </si>
  <si>
    <t>Hays, Nola</t>
  </si>
  <si>
    <t>Wynn, Carol</t>
  </si>
  <si>
    <t>Oliver, Margaret</t>
  </si>
  <si>
    <t>Humphrey, David</t>
  </si>
  <si>
    <t>Tilley, Amber</t>
  </si>
  <si>
    <t>Rodriguez, Miguel</t>
  </si>
  <si>
    <t>Guyer, Michael</t>
  </si>
  <si>
    <t>Neal, Tyler</t>
  </si>
  <si>
    <t>Eoff, Elizabeth</t>
  </si>
  <si>
    <t>Ross, Katherine</t>
  </si>
  <si>
    <t>Mcclain, Kasey</t>
  </si>
  <si>
    <t>Whitfield, Sabrina</t>
  </si>
  <si>
    <t>Robinson, Jyrissa</t>
  </si>
  <si>
    <t>Newton, Hailey</t>
  </si>
  <si>
    <t>Fuller, Marshal</t>
  </si>
  <si>
    <t>Boral, Benjamin</t>
  </si>
  <si>
    <t>Metcalf, Angela</t>
  </si>
  <si>
    <t>Anower, Mohammad</t>
  </si>
  <si>
    <t>Alberty, Bernadette</t>
  </si>
  <si>
    <t>Burton, Bruce</t>
  </si>
  <si>
    <t>Scherer, Alissa</t>
  </si>
  <si>
    <t>Cox, Jennifer</t>
  </si>
  <si>
    <t>Krasin, Audrey</t>
  </si>
  <si>
    <t>Hughes, James</t>
  </si>
  <si>
    <t>Ruppert, Emily</t>
  </si>
  <si>
    <t>Jones, Katie</t>
  </si>
  <si>
    <t>Ingle, Julie</t>
  </si>
  <si>
    <t>Pulaski County Regional Crisis Stabilization Unit</t>
  </si>
  <si>
    <t>Hair, Kelly</t>
  </si>
  <si>
    <t>Nash, Ralph</t>
  </si>
  <si>
    <t>Banerjee, Priya</t>
  </si>
  <si>
    <t>Roberts, Lindsey</t>
  </si>
  <si>
    <t>Runyan, Phillip</t>
  </si>
  <si>
    <t>Mcdaniel, Von</t>
  </si>
  <si>
    <t>Merriott, Michelle</t>
  </si>
  <si>
    <t>Hansen, Shontrice</t>
  </si>
  <si>
    <t>Stuckey, Jessie</t>
  </si>
  <si>
    <t>Hinton, Patricia</t>
  </si>
  <si>
    <t>Karnes, Alison</t>
  </si>
  <si>
    <t>Medley, Meagan</t>
  </si>
  <si>
    <t>Reid, Alisyn</t>
  </si>
  <si>
    <t>Odonovan, Mary</t>
  </si>
  <si>
    <t>Montgomery, William</t>
  </si>
  <si>
    <t>England, Sally</t>
  </si>
  <si>
    <t>Feingold, Sara</t>
  </si>
  <si>
    <t>Statler, Madolyn</t>
  </si>
  <si>
    <t>Tellez, Beth</t>
  </si>
  <si>
    <t>Bradley, Heath</t>
  </si>
  <si>
    <t>Fontenoy, Serena</t>
  </si>
  <si>
    <t>Brewer, Shae</t>
  </si>
  <si>
    <t>Will, Danell</t>
  </si>
  <si>
    <t>Jones, Jack</t>
  </si>
  <si>
    <t>Henderson, Mitzi</t>
  </si>
  <si>
    <t>Psencik, Eva</t>
  </si>
  <si>
    <t>Glass, Summer</t>
  </si>
  <si>
    <t>Anderson, Lauren</t>
  </si>
  <si>
    <t>Storm, Beth</t>
  </si>
  <si>
    <t>Jenkins, Travis</t>
  </si>
  <si>
    <t>Mitchell, Courtney</t>
  </si>
  <si>
    <t>Aday, Laura</t>
  </si>
  <si>
    <t>Martin, Adam</t>
  </si>
  <si>
    <t>Powell, Justin</t>
  </si>
  <si>
    <t>Theobald, Monica</t>
  </si>
  <si>
    <t>Adams, Kristy</t>
  </si>
  <si>
    <t>Parker, Donna</t>
  </si>
  <si>
    <t>Thomas, Lynn</t>
  </si>
  <si>
    <t>Tanaka, Kirstie</t>
  </si>
  <si>
    <t>Wardwell, Cherryl</t>
  </si>
  <si>
    <t>Kuehn, Heidi</t>
  </si>
  <si>
    <t>Cahoon, Jenna</t>
  </si>
  <si>
    <t>Cunningham, Brandy</t>
  </si>
  <si>
    <t>Jackson, Grace</t>
  </si>
  <si>
    <t>Leeker, Tiffany</t>
  </si>
  <si>
    <t>Wilkins, Ashley</t>
  </si>
  <si>
    <t>Mills, Lindsey</t>
  </si>
  <si>
    <t>Freeman, Melissa</t>
  </si>
  <si>
    <t>Brians, Sara</t>
  </si>
  <si>
    <t>Gilmer, Carlisa</t>
  </si>
  <si>
    <t>Counts, Ashley</t>
  </si>
  <si>
    <t>Smith, Awanna</t>
  </si>
  <si>
    <t>Rawls, Jennifer</t>
  </si>
  <si>
    <t>Bourne, Shelby</t>
  </si>
  <si>
    <t>Timmons, Dustin</t>
  </si>
  <si>
    <t>Bodenner, Kaitlyn</t>
  </si>
  <si>
    <t>Cox, Aaron</t>
  </si>
  <si>
    <t>Meier, Brooke</t>
  </si>
  <si>
    <t>Ozanich, Christina</t>
  </si>
  <si>
    <t>Deyo, Michael</t>
  </si>
  <si>
    <t>Simon, Nicole</t>
  </si>
  <si>
    <t>Caves, Leslie</t>
  </si>
  <si>
    <t>Clemmons, Nicholas</t>
  </si>
  <si>
    <t>Miller, Charis</t>
  </si>
  <si>
    <t>Rodgers, Glenna</t>
  </si>
  <si>
    <t>Minhas, Sohail</t>
  </si>
  <si>
    <t>Schwartz, David</t>
  </si>
  <si>
    <t>South Dixieland Road Operating Llc</t>
  </si>
  <si>
    <t>Oak Grove Street Operating Llc</t>
  </si>
  <si>
    <t>East Point Health And Rehab</t>
  </si>
  <si>
    <t>Cottage Lane Health And Rehab</t>
  </si>
  <si>
    <t>West Dixon Road Operating Llc</t>
  </si>
  <si>
    <t>Lindley Lane Operating Llc</t>
  </si>
  <si>
    <t>St Michaels Healthcare</t>
  </si>
  <si>
    <t>Encore Nursing And Rehabilitation</t>
  </si>
  <si>
    <t>Belle View Estates Rehab And Care Center</t>
  </si>
  <si>
    <t>Stauffer, Robert</t>
  </si>
  <si>
    <t>Gunter, Marcus</t>
  </si>
  <si>
    <t>Yarnell, Joni</t>
  </si>
  <si>
    <t>Helmich, Melissa</t>
  </si>
  <si>
    <t>Salman, Zafirah</t>
  </si>
  <si>
    <t>Dietzen, Richard</t>
  </si>
  <si>
    <t>Mak, Daniel</t>
  </si>
  <si>
    <t>Fulton County Hospital</t>
  </si>
  <si>
    <t>Hudson, Eva</t>
  </si>
  <si>
    <t>Rafieetary, Salar</t>
  </si>
  <si>
    <t>Smith, Jeffrey</t>
  </si>
  <si>
    <t>Larson, Jessica</t>
  </si>
  <si>
    <t>Shaver, Jonathan</t>
  </si>
  <si>
    <t>Sowers, Hayden</t>
  </si>
  <si>
    <t>Meacham, Kenneth</t>
  </si>
  <si>
    <t>Killian, Mary</t>
  </si>
  <si>
    <t>Williford, Zaquiary</t>
  </si>
  <si>
    <t>Bui, Jennifer</t>
  </si>
  <si>
    <t>Crawford, Caroline</t>
  </si>
  <si>
    <t>Carter, Robert</t>
  </si>
  <si>
    <t>Harris, Mark</t>
  </si>
  <si>
    <t>Girlinghouse, Ronald</t>
  </si>
  <si>
    <t>Aven, William</t>
  </si>
  <si>
    <t>Hall, Logan</t>
  </si>
  <si>
    <t>Jolly, Bradley</t>
  </si>
  <si>
    <t>Carroccio, Isaac</t>
  </si>
  <si>
    <t>Jones, Daniel</t>
  </si>
  <si>
    <t>Smith, Nicolet</t>
  </si>
  <si>
    <t>Jones, Casey</t>
  </si>
  <si>
    <t>Hanry, Ryan</t>
  </si>
  <si>
    <t>Option Care</t>
  </si>
  <si>
    <t>Degraff, Thomas</t>
  </si>
  <si>
    <t>Golden, Kimberly</t>
  </si>
  <si>
    <t>Parker, Virginia</t>
  </si>
  <si>
    <t>Allen, Tonya</t>
  </si>
  <si>
    <t>Davis, Paige</t>
  </si>
  <si>
    <t>Hodges, Veryl</t>
  </si>
  <si>
    <t>Gathright, Staci</t>
  </si>
  <si>
    <t>Brown, Talea</t>
  </si>
  <si>
    <t>Rigsby, Elizabeth</t>
  </si>
  <si>
    <t>Groll, Delia</t>
  </si>
  <si>
    <t>Sessions, Atalie</t>
  </si>
  <si>
    <t>Williams, Penney</t>
  </si>
  <si>
    <t>Riley, Krystal</t>
  </si>
  <si>
    <t>Sharp, Jan</t>
  </si>
  <si>
    <t>Daniel, Mary</t>
  </si>
  <si>
    <t>Stucker, Katie</t>
  </si>
  <si>
    <t>Jennings, Holly</t>
  </si>
  <si>
    <t>Bowden, Marcia</t>
  </si>
  <si>
    <t>Qayyum, Muhammad</t>
  </si>
  <si>
    <t>Johnson, Steven</t>
  </si>
  <si>
    <t>Roberts, Jessiela</t>
  </si>
  <si>
    <t>Knight, Venester</t>
  </si>
  <si>
    <t>Ray, Amelia</t>
  </si>
  <si>
    <t>Corbett, Janet</t>
  </si>
  <si>
    <t>Norwood, John</t>
  </si>
  <si>
    <t>Alford, Terri</t>
  </si>
  <si>
    <t>Henderson, Jennifer</t>
  </si>
  <si>
    <t>Draggs, Rita</t>
  </si>
  <si>
    <t>Fowler, Mark</t>
  </si>
  <si>
    <t>Dodd, Angela</t>
  </si>
  <si>
    <t>Le, Thanh</t>
  </si>
  <si>
    <t>Bundrick, Courtney</t>
  </si>
  <si>
    <t>Kinsey, Nettie</t>
  </si>
  <si>
    <t>Williams, Tina</t>
  </si>
  <si>
    <t>Garner, Bradford</t>
  </si>
  <si>
    <t>Walker, Kristy</t>
  </si>
  <si>
    <t>Combs, Matthew</t>
  </si>
  <si>
    <t>Wade, Debbie</t>
  </si>
  <si>
    <t>Davis, Cynthia</t>
  </si>
  <si>
    <t>Horton, Lindsay</t>
  </si>
  <si>
    <t>Rogerson, Susan</t>
  </si>
  <si>
    <t>Vaka, Srinivasa</t>
  </si>
  <si>
    <t>Manthe, Michelle</t>
  </si>
  <si>
    <t>Snyder, Daniel T.</t>
  </si>
  <si>
    <t>Fulton, Cheryl</t>
  </si>
  <si>
    <t>Wilson, Brandye</t>
  </si>
  <si>
    <t>Cooper, Shannon</t>
  </si>
  <si>
    <t>Khan, Mohammed</t>
  </si>
  <si>
    <t>Sifford, Cammie</t>
  </si>
  <si>
    <t>Goodwin, Daniel</t>
  </si>
  <si>
    <t>Kemp, Justin</t>
  </si>
  <si>
    <t>Wissler, Deonna</t>
  </si>
  <si>
    <t>Griffin, Leanne</t>
  </si>
  <si>
    <t>Broniste, Jonathan</t>
  </si>
  <si>
    <t>Kopp, Sara</t>
  </si>
  <si>
    <t>Carpenter, Laura</t>
  </si>
  <si>
    <t>Hall, Jason</t>
  </si>
  <si>
    <t>Payne, Shelley</t>
  </si>
  <si>
    <t>Harris, Melodee</t>
  </si>
  <si>
    <t>Henkel, Stephanie</t>
  </si>
  <si>
    <t>Fluitt, Gregory</t>
  </si>
  <si>
    <t>Hall, Robert</t>
  </si>
  <si>
    <t>Brady, Bridget</t>
  </si>
  <si>
    <t>Dunn, Jennifer</t>
  </si>
  <si>
    <t>Menard, John</t>
  </si>
  <si>
    <t>Vlasak, Mark</t>
  </si>
  <si>
    <t>Miller, Jonathan</t>
  </si>
  <si>
    <t>Muse, Katosha</t>
  </si>
  <si>
    <t>Simon, Timothy</t>
  </si>
  <si>
    <t>Tetirick, Joseph</t>
  </si>
  <si>
    <t>Bull, Amanda</t>
  </si>
  <si>
    <t>Owens, James</t>
  </si>
  <si>
    <t>Kamel, Hosam</t>
  </si>
  <si>
    <t>Slate, Kimberly</t>
  </si>
  <si>
    <t>Bonner, Mark</t>
  </si>
  <si>
    <t>Johnson, Carl</t>
  </si>
  <si>
    <t>Harrington, Kayla</t>
  </si>
  <si>
    <t>Lucas, Christy</t>
  </si>
  <si>
    <t>Knight, Jessica</t>
  </si>
  <si>
    <t>Norton, Morgan</t>
  </si>
  <si>
    <t>Hathcock, Aaron</t>
  </si>
  <si>
    <t>Nouansavane, Khem</t>
  </si>
  <si>
    <t>Huslig, Ryan</t>
  </si>
  <si>
    <t>Tousant, Romonda</t>
  </si>
  <si>
    <t>Bucy, William</t>
  </si>
  <si>
    <t>Dar, Madiha</t>
  </si>
  <si>
    <t>Landaverde, Richard</t>
  </si>
  <si>
    <t>Crowder, Beth</t>
  </si>
  <si>
    <t>Whelchel, Vicky</t>
  </si>
  <si>
    <t>Wipf, Shannon</t>
  </si>
  <si>
    <t>Rice, John</t>
  </si>
  <si>
    <t>Stinnett, Scott</t>
  </si>
  <si>
    <t>Price, Virginia</t>
  </si>
  <si>
    <t>Bowlin, Brian</t>
  </si>
  <si>
    <t>Pilkington, Krysten</t>
  </si>
  <si>
    <t>Doering, Thomas</t>
  </si>
  <si>
    <t>Dorman, Robert</t>
  </si>
  <si>
    <t>Jernigan, Megan</t>
  </si>
  <si>
    <t>Baker, Sarah</t>
  </si>
  <si>
    <t>Lane, Robert</t>
  </si>
  <si>
    <t>Perser, Elwyn</t>
  </si>
  <si>
    <t>Harper, Annaleigh</t>
  </si>
  <si>
    <t>Carrington, Leah</t>
  </si>
  <si>
    <t>White, Dedrea</t>
  </si>
  <si>
    <t>Shipp, Alexa</t>
  </si>
  <si>
    <t>Stipanuk, Gerald</t>
  </si>
  <si>
    <t>Davis, Jonathan</t>
  </si>
  <si>
    <t>Hilburn, Kara</t>
  </si>
  <si>
    <t>Bauer, Kathleen</t>
  </si>
  <si>
    <t>Stevens, Robert</t>
  </si>
  <si>
    <t>Pearrow, Charles</t>
  </si>
  <si>
    <t>Joseph, Eric</t>
  </si>
  <si>
    <t>Kulinski, Robert</t>
  </si>
  <si>
    <t>Gwin, Amanda</t>
  </si>
  <si>
    <t>Clements, Herman</t>
  </si>
  <si>
    <t>Sheets, Kim</t>
  </si>
  <si>
    <t>Watkins, Cameo</t>
  </si>
  <si>
    <t>Greer, Stacey</t>
  </si>
  <si>
    <t>Henry, Tameka</t>
  </si>
  <si>
    <t>Freeman, Kimberly</t>
  </si>
  <si>
    <t>Walker, Carla</t>
  </si>
  <si>
    <t>Smith, Teresa</t>
  </si>
  <si>
    <t>Brecheisen, James</t>
  </si>
  <si>
    <t>Shanahan, Tiffany</t>
  </si>
  <si>
    <t>Wood, Mark</t>
  </si>
  <si>
    <t>Thompson, Ginger</t>
  </si>
  <si>
    <t>Groeschell, Charles</t>
  </si>
  <si>
    <t>Casey, Jamie</t>
  </si>
  <si>
    <t>Sasser, Louis</t>
  </si>
  <si>
    <t>Groover, Troy</t>
  </si>
  <si>
    <t>Byers, Lauren</t>
  </si>
  <si>
    <t>Bayird, Sara</t>
  </si>
  <si>
    <t>Peery, Terry</t>
  </si>
  <si>
    <t>Carter, Melissa</t>
  </si>
  <si>
    <t>Hartman, Raymond</t>
  </si>
  <si>
    <t>Rampey, Bryan</t>
  </si>
  <si>
    <t>Brashears, Larry</t>
  </si>
  <si>
    <t>Johnson, David</t>
  </si>
  <si>
    <t>Schlabach, Ronald</t>
  </si>
  <si>
    <t>Tarr, Russell</t>
  </si>
  <si>
    <t>Dabney, Robin</t>
  </si>
  <si>
    <t>Ramsey, Koree</t>
  </si>
  <si>
    <t>Funderburg, Kelley</t>
  </si>
  <si>
    <t>Beavers, Valerie</t>
  </si>
  <si>
    <t>Womble, Jessica</t>
  </si>
  <si>
    <t>Ozoigbo, Valentine</t>
  </si>
  <si>
    <t>Bolding, Michael</t>
  </si>
  <si>
    <t>Savage, Amanda</t>
  </si>
  <si>
    <t>Self, Megan</t>
  </si>
  <si>
    <t>Rana, Irfan</t>
  </si>
  <si>
    <t>Mills, Peyton</t>
  </si>
  <si>
    <t>Bain, William</t>
  </si>
  <si>
    <t>Tesfau, Simon</t>
  </si>
  <si>
    <t>Rushing, Courtney</t>
  </si>
  <si>
    <t>Kuehl, Melissa</t>
  </si>
  <si>
    <t>Bruce, Nancy</t>
  </si>
  <si>
    <t>Kiihnl, Clayton</t>
  </si>
  <si>
    <t>Browning, Kimberly</t>
  </si>
  <si>
    <t>Meziere, Crystal</t>
  </si>
  <si>
    <t>Peck, Cole</t>
  </si>
  <si>
    <t>Gatlin, Carmen</t>
  </si>
  <si>
    <t>Gist, Gavin</t>
  </si>
  <si>
    <t>Walker, Jennifer</t>
  </si>
  <si>
    <t>Hogan, Matthew</t>
  </si>
  <si>
    <t>Hart, Hamilton</t>
  </si>
  <si>
    <t>Richardson, Amy</t>
  </si>
  <si>
    <t>Hays, Laura</t>
  </si>
  <si>
    <t>Skaug, Joy</t>
  </si>
  <si>
    <t>Ford, Barry</t>
  </si>
  <si>
    <t>Ellis, Elizabeth</t>
  </si>
  <si>
    <t>Hulvey, Tonya</t>
  </si>
  <si>
    <t>Johnson, Shelly</t>
  </si>
  <si>
    <t>Grose, Andrew</t>
  </si>
  <si>
    <t>Stiles, Allison</t>
  </si>
  <si>
    <t>Kronenberg, Joel</t>
  </si>
  <si>
    <t>Floyd, Janelle</t>
  </si>
  <si>
    <t>Durham, Anna</t>
  </si>
  <si>
    <t>Baber, Megan</t>
  </si>
  <si>
    <t>Coleman, Stephanie</t>
  </si>
  <si>
    <t>Kravitz, Kirsten</t>
  </si>
  <si>
    <t>Jordan, Constance</t>
  </si>
  <si>
    <t>Morton, Sonya</t>
  </si>
  <si>
    <t>Childers, Philip</t>
  </si>
  <si>
    <t>Hill, Joy</t>
  </si>
  <si>
    <t>Esquivel, Maria</t>
  </si>
  <si>
    <t>Cockerell, Kaitlin</t>
  </si>
  <si>
    <t>Brown, Beth</t>
  </si>
  <si>
    <t>Crary, Kyler</t>
  </si>
  <si>
    <t>Bowling, Rebekah</t>
  </si>
  <si>
    <t>Wright, Mark</t>
  </si>
  <si>
    <t>Macconaugha, Kimberly</t>
  </si>
  <si>
    <t>Miller, Ashley</t>
  </si>
  <si>
    <t>Robben, Catherine</t>
  </si>
  <si>
    <t>Sobik, Sarah</t>
  </si>
  <si>
    <t>Brooks, Gary</t>
  </si>
  <si>
    <t>Wadley Regional Medical Center</t>
  </si>
  <si>
    <t>Western Ark Counseling Guidanc</t>
  </si>
  <si>
    <t>Baxter Regional Medical Center</t>
  </si>
  <si>
    <t>Mccuin, John</t>
  </si>
  <si>
    <t>Williams, Dana</t>
  </si>
  <si>
    <t>John, Kyle</t>
  </si>
  <si>
    <t>Crow, Trudy</t>
  </si>
  <si>
    <t>Scott, Christina</t>
  </si>
  <si>
    <t>Finstrom, Laurie</t>
  </si>
  <si>
    <t>Washington, Tomika</t>
  </si>
  <si>
    <t>Parent, Sarah</t>
  </si>
  <si>
    <t>White, Vicki</t>
  </si>
  <si>
    <t>Caffee, Jennifer</t>
  </si>
  <si>
    <t>Cook, Kimra</t>
  </si>
  <si>
    <t>Turner, Angie</t>
  </si>
  <si>
    <t>Taber, Rex</t>
  </si>
  <si>
    <t>Mattox, Rhonda</t>
  </si>
  <si>
    <t>Gibson, Angela</t>
  </si>
  <si>
    <t>Neighbors, Reianna</t>
  </si>
  <si>
    <t>Fowler, Leslie</t>
  </si>
  <si>
    <t>West, Vickie</t>
  </si>
  <si>
    <t>Woodson, Rebecca</t>
  </si>
  <si>
    <t>Ingram, Dana</t>
  </si>
  <si>
    <t>Meadows, Daniel</t>
  </si>
  <si>
    <t>York, Candace</t>
  </si>
  <si>
    <t>Morgan, Jack</t>
  </si>
  <si>
    <t>Bagley, David</t>
  </si>
  <si>
    <t>Swamy, Usha</t>
  </si>
  <si>
    <t>Jones, Kim</t>
  </si>
  <si>
    <t>Musser, Mary</t>
  </si>
  <si>
    <t>Brewer, Vickie</t>
  </si>
  <si>
    <t>Bridges, Christin</t>
  </si>
  <si>
    <t>Knox, Holly</t>
  </si>
  <si>
    <t>Eddins, James</t>
  </si>
  <si>
    <t>Mcknight, Serena</t>
  </si>
  <si>
    <t>Hawkins, Sara</t>
  </si>
  <si>
    <t>Ikerd, Healey</t>
  </si>
  <si>
    <t>Mcmillian, Kathryn</t>
  </si>
  <si>
    <t>Mendenhall, Anna</t>
  </si>
  <si>
    <t>Litchford, Danielle</t>
  </si>
  <si>
    <t>Edgar, Carissa</t>
  </si>
  <si>
    <t>Carvalhaes, Maria</t>
  </si>
  <si>
    <t>Davis, Mackenzi</t>
  </si>
  <si>
    <t>Matthews, Coleman</t>
  </si>
  <si>
    <t>Stokes, Penny</t>
  </si>
  <si>
    <t>Floyd, Amy</t>
  </si>
  <si>
    <t>Freeze, Elizabeth</t>
  </si>
  <si>
    <t>Owens, Suzanna</t>
  </si>
  <si>
    <t>Young, Joe</t>
  </si>
  <si>
    <t>Bennett, Robert</t>
  </si>
  <si>
    <t>Knosp, Michelle</t>
  </si>
  <si>
    <t>Molden, Raymond</t>
  </si>
  <si>
    <t>Richardson, Terry</t>
  </si>
  <si>
    <t>Mukatira, Shubi R.</t>
  </si>
  <si>
    <t>Richardson, Letha</t>
  </si>
  <si>
    <t>Kyles Jackson, Tia</t>
  </si>
  <si>
    <t>Zielinski, Melissa</t>
  </si>
  <si>
    <t>Pazar, Janice</t>
  </si>
  <si>
    <t>Beasley, Phillip</t>
  </si>
  <si>
    <t>Rhodes, Kathryn</t>
  </si>
  <si>
    <t>Allen, Bruce</t>
  </si>
  <si>
    <t>Cunningham, Thomas</t>
  </si>
  <si>
    <t>Eberle, Andrea</t>
  </si>
  <si>
    <t>Holladay Coffman, Rachel</t>
  </si>
  <si>
    <t>Elliott, Darrell</t>
  </si>
  <si>
    <t>Beare, David</t>
  </si>
  <si>
    <t>Siegenthaler, Kathleen</t>
  </si>
  <si>
    <t>Hardage, Kate</t>
  </si>
  <si>
    <t>Stillwell, Andrea</t>
  </si>
  <si>
    <t>Kreymer, John</t>
  </si>
  <si>
    <t>Huynh, Nga</t>
  </si>
  <si>
    <t>Hamilton, Amanda</t>
  </si>
  <si>
    <t>Gentry, Karla</t>
  </si>
  <si>
    <t>Dennis, Shawn</t>
  </si>
  <si>
    <t>Kuff, Kate</t>
  </si>
  <si>
    <t>Deen, Tisha</t>
  </si>
  <si>
    <t>Stipp, Addie</t>
  </si>
  <si>
    <t>Cole, Jannie</t>
  </si>
  <si>
    <t>Parker, Keesha</t>
  </si>
  <si>
    <t>Williams, Cicely</t>
  </si>
  <si>
    <t>Lau, Sarah</t>
  </si>
  <si>
    <t>Parker, Michael</t>
  </si>
  <si>
    <t>Towell, April</t>
  </si>
  <si>
    <t>Gentry, Teresa</t>
  </si>
  <si>
    <t>Holden, Donnie</t>
  </si>
  <si>
    <t>Andersen, Mark</t>
  </si>
  <si>
    <t>Jackson, Amber</t>
  </si>
  <si>
    <t>Dawson, Kasie</t>
  </si>
  <si>
    <t>Snipe, Holly</t>
  </si>
  <si>
    <t>Hudefi, Fayz</t>
  </si>
  <si>
    <t>Berner, Keith</t>
  </si>
  <si>
    <t>Tabron, Patrena</t>
  </si>
  <si>
    <t>Tauer, Kurt</t>
  </si>
  <si>
    <t>Kuperman, David</t>
  </si>
  <si>
    <t>Hunter, Aaron</t>
  </si>
  <si>
    <t>Martin, Michael</t>
  </si>
  <si>
    <t>Russo, Carolyn</t>
  </si>
  <si>
    <t>Woodland Hills Healthcare And Rehabilitation</t>
  </si>
  <si>
    <t>Perry County Care Center</t>
  </si>
  <si>
    <t>Bradford House Nursing And Rehab Llc</t>
  </si>
  <si>
    <t>Oak Ridge Health And Rehabilitation</t>
  </si>
  <si>
    <t>West Markham Street Operating Llc</t>
  </si>
  <si>
    <t>Oakdale Nursing Facility</t>
  </si>
  <si>
    <t>Cabot Health And Rehab</t>
  </si>
  <si>
    <t>Wheeler Avenue Operating Llc</t>
  </si>
  <si>
    <t>Patel, Mehul</t>
  </si>
  <si>
    <t>Dobratz, Stephen</t>
  </si>
  <si>
    <t>Sneed, Jimmy</t>
  </si>
  <si>
    <t>Rudorfer, Bennett</t>
  </si>
  <si>
    <t>Fiser, Wesley</t>
  </si>
  <si>
    <t>Haustein, Matthew</t>
  </si>
  <si>
    <t>Gardner, John</t>
  </si>
  <si>
    <t>Angtuaco, Michael</t>
  </si>
  <si>
    <t>Allen, Ray</t>
  </si>
  <si>
    <t>Alshami, Ayman</t>
  </si>
  <si>
    <t>Stuppy, Robert</t>
  </si>
  <si>
    <t>Rollefson, William</t>
  </si>
  <si>
    <t>Bhella, Paul</t>
  </si>
  <si>
    <t>Sotomora, Ricardo</t>
  </si>
  <si>
    <t>Espina, Dario</t>
  </si>
  <si>
    <t>Camp, Michael</t>
  </si>
  <si>
    <t>Alemparte, Jose</t>
  </si>
  <si>
    <t>Jordan, Randy</t>
  </si>
  <si>
    <t>Skinner, Kristina</t>
  </si>
  <si>
    <t>Duplantis, Allen</t>
  </si>
  <si>
    <t>Riley, Philip</t>
  </si>
  <si>
    <t>Johnson, Jason</t>
  </si>
  <si>
    <t>Weinstein, Norman</t>
  </si>
  <si>
    <t>Miller, Kristin</t>
  </si>
  <si>
    <t>Oraedu, Kingsley</t>
  </si>
  <si>
    <t>Johnson, William</t>
  </si>
  <si>
    <t>Cesare, Charles</t>
  </si>
  <si>
    <t>Smith, Michael</t>
  </si>
  <si>
    <t>Verucchi, Deborah</t>
  </si>
  <si>
    <t>Payne, Amanda</t>
  </si>
  <si>
    <t>Lee, Helen</t>
  </si>
  <si>
    <t>Sandlin, Adam</t>
  </si>
  <si>
    <t>Shannon, Helena</t>
  </si>
  <si>
    <t>West, Kenneth</t>
  </si>
  <si>
    <t>Yeager, Renee</t>
  </si>
  <si>
    <t>Summitt, Margaret</t>
  </si>
  <si>
    <t>Hall, Eric</t>
  </si>
  <si>
    <t>Bailey, Amelia</t>
  </si>
  <si>
    <t>Walthall, Edwina</t>
  </si>
  <si>
    <t>Thompson, Elaine</t>
  </si>
  <si>
    <t>Carlton, Caroline</t>
  </si>
  <si>
    <t>Meena, Nikhil</t>
  </si>
  <si>
    <t>Kalyan, Madhu</t>
  </si>
  <si>
    <t>Eckles, Michael</t>
  </si>
  <si>
    <t>Thompson, John</t>
  </si>
  <si>
    <t>Cohen, Alan</t>
  </si>
  <si>
    <t>Bali, Castro</t>
  </si>
  <si>
    <t>Latif, Kashif</t>
  </si>
  <si>
    <t>Delta Regional Medical Center</t>
  </si>
  <si>
    <t>Everest Rehabilitation Hospital Nwa</t>
  </si>
  <si>
    <t>Southeast Rehabilitation Hospital</t>
  </si>
  <si>
    <t>Voinea, Alina</t>
  </si>
  <si>
    <t>Baszis, Kevin</t>
  </si>
  <si>
    <t>Lowery, Robert</t>
  </si>
  <si>
    <t>Haynes, Jessica</t>
  </si>
  <si>
    <t>Meredith, Alexandra</t>
  </si>
  <si>
    <t>Dunnam, William</t>
  </si>
  <si>
    <t>Hruby, Paul</t>
  </si>
  <si>
    <t>Priborsky, Kari</t>
  </si>
  <si>
    <t>Berry, Robert</t>
  </si>
  <si>
    <t>Yoos, William</t>
  </si>
  <si>
    <t>Boydstun, Jacob</t>
  </si>
  <si>
    <t>Laster, Shane</t>
  </si>
  <si>
    <t>Robertson, Melia</t>
  </si>
  <si>
    <t>Misischia, Paul</t>
  </si>
  <si>
    <t>Fowler, Phillip</t>
  </si>
  <si>
    <t>Cape, Richard</t>
  </si>
  <si>
    <t>Wall, Vanessa</t>
  </si>
  <si>
    <t>Zierlein, Jennifer</t>
  </si>
  <si>
    <t>Schroeder, George</t>
  </si>
  <si>
    <t>Freeman, John</t>
  </si>
  <si>
    <t>Booth, Allison</t>
  </si>
  <si>
    <t>Cate, Stanley</t>
  </si>
  <si>
    <t>Hertzog, Charity</t>
  </si>
  <si>
    <t>Chaney, Joe</t>
  </si>
  <si>
    <t>Penick, Edward</t>
  </si>
  <si>
    <t>Davis, John</t>
  </si>
  <si>
    <t>Mcgeady, James</t>
  </si>
  <si>
    <t>Lopes Cancado Machado, Bruno</t>
  </si>
  <si>
    <t>Shappley, William</t>
  </si>
  <si>
    <t>Corr, Zachary</t>
  </si>
  <si>
    <t>Mclaughlin, Brittany</t>
  </si>
  <si>
    <t>Lunsford, William</t>
  </si>
  <si>
    <t>Smith, Jacob</t>
  </si>
  <si>
    <t>Eggenberger, Matthew</t>
  </si>
  <si>
    <t>Fisher, Stephen</t>
  </si>
  <si>
    <t>Smith, Keith</t>
  </si>
  <si>
    <t>Garner, Skylar</t>
  </si>
  <si>
    <t>Sharma, Swati</t>
  </si>
  <si>
    <t>Le, Isaac</t>
  </si>
  <si>
    <t>Donato Quintana, Brenda</t>
  </si>
  <si>
    <t>Collazo, Austin</t>
  </si>
  <si>
    <t>Mcfarland, Penny</t>
  </si>
  <si>
    <t>Flannigan, Robert</t>
  </si>
  <si>
    <t>Smith, Jason</t>
  </si>
  <si>
    <t>Morgan, Richard</t>
  </si>
  <si>
    <t>Crowder, Michael</t>
  </si>
  <si>
    <t>Bassham, Robert</t>
  </si>
  <si>
    <t>Amini, Arianna</t>
  </si>
  <si>
    <t>Hildesheim, Yin</t>
  </si>
  <si>
    <t>Milton, Robert</t>
  </si>
  <si>
    <t>Fish, James</t>
  </si>
  <si>
    <t>England, Daniel</t>
  </si>
  <si>
    <t>Kimes, Emily</t>
  </si>
  <si>
    <t>Meeder, Colby</t>
  </si>
  <si>
    <t>Platt, Brian</t>
  </si>
  <si>
    <t>Pearson, Kenneth</t>
  </si>
  <si>
    <t>Regional One Health</t>
  </si>
  <si>
    <t>Ahmad, Hamad</t>
  </si>
  <si>
    <t>Knott, Sheryl</t>
  </si>
  <si>
    <t>Burns, Elizabeth</t>
  </si>
  <si>
    <t>Finn, Cary</t>
  </si>
  <si>
    <t>Swanson, Donielle</t>
  </si>
  <si>
    <t>Cyrece, Engelberger</t>
  </si>
  <si>
    <t>Martin, Bonita</t>
  </si>
  <si>
    <t>Hiser, Corinne</t>
  </si>
  <si>
    <t>Clay, Simon</t>
  </si>
  <si>
    <t>Rochelin, David</t>
  </si>
  <si>
    <t>Emily, Holthoff</t>
  </si>
  <si>
    <t>Albers, Megan</t>
  </si>
  <si>
    <t>Bearden, Shannon</t>
  </si>
  <si>
    <t>Aksiniya, Stevasarova</t>
  </si>
  <si>
    <t>Khaled, Hassan</t>
  </si>
  <si>
    <t>Scroggins, Maggi L.</t>
  </si>
  <si>
    <t>Perryman, Dennis</t>
  </si>
  <si>
    <t>Devin, Daniel</t>
  </si>
  <si>
    <t>Oxford, Shea</t>
  </si>
  <si>
    <t>Matthew, Barnett</t>
  </si>
  <si>
    <t>Calendar, Amber D</t>
  </si>
  <si>
    <t>Clark, Kristyn</t>
  </si>
  <si>
    <t>John, Bridgforth</t>
  </si>
  <si>
    <t>Sujit, Kotapati</t>
  </si>
  <si>
    <t>Taryn, King</t>
  </si>
  <si>
    <t>Kelley, David</t>
  </si>
  <si>
    <t>Emily, Vaughan</t>
  </si>
  <si>
    <t>Wood, Lavon</t>
  </si>
  <si>
    <t>Caldwell, Erin</t>
  </si>
  <si>
    <t>Peterson, Kirsten</t>
  </si>
  <si>
    <t>Amy, Regnas</t>
  </si>
  <si>
    <t>Jasmine, Riddle</t>
  </si>
  <si>
    <t>Turner, Julia</t>
  </si>
  <si>
    <t>Benjamin, Martin</t>
  </si>
  <si>
    <t>Diehl, Polly</t>
  </si>
  <si>
    <t>Cathcart, Evelyn</t>
  </si>
  <si>
    <t>Brown, Emily</t>
  </si>
  <si>
    <t>Dana, Moss</t>
  </si>
  <si>
    <t>Hiddle, Kaitlin</t>
  </si>
  <si>
    <t>Victoria, Deal</t>
  </si>
  <si>
    <t>Zachary, Beggs</t>
  </si>
  <si>
    <t>Kloske, Shana</t>
  </si>
  <si>
    <t>Meredith, James</t>
  </si>
  <si>
    <t>Raveena, Manem</t>
  </si>
  <si>
    <t>Patel, Priya</t>
  </si>
  <si>
    <t>Mcbay, Billy</t>
  </si>
  <si>
    <t>Hopper, Staci</t>
  </si>
  <si>
    <t>Maria Rosal, Sanchez</t>
  </si>
  <si>
    <t>Chizoba, Usuwa</t>
  </si>
  <si>
    <t>Johnson, Carmen</t>
  </si>
  <si>
    <t>Julie, Brooks</t>
  </si>
  <si>
    <t>Brock, Charles</t>
  </si>
  <si>
    <t>Aaron, Strobel</t>
  </si>
  <si>
    <t>Guinn, Nicholas</t>
  </si>
  <si>
    <t>Leslie, Malone</t>
  </si>
  <si>
    <t>Ward, Amanda</t>
  </si>
  <si>
    <t>Lori, George</t>
  </si>
  <si>
    <t>Whitson, Valerie</t>
  </si>
  <si>
    <t>Valorie, Jones</t>
  </si>
  <si>
    <t>Elangwe, Philip</t>
  </si>
  <si>
    <t>Sharpe, Justin</t>
  </si>
  <si>
    <t>Hope, Jessaca</t>
  </si>
  <si>
    <t>Spohnholtz, Caitlin</t>
  </si>
  <si>
    <t>Murphy, Andrea</t>
  </si>
  <si>
    <t>Kelly, Mccarty</t>
  </si>
  <si>
    <t>Smith, George</t>
  </si>
  <si>
    <t>Terrell, Kaitlyn</t>
  </si>
  <si>
    <t>Zachary, Geiling</t>
  </si>
  <si>
    <t>Jaimie, Neal</t>
  </si>
  <si>
    <t>Mcpeak, Allison</t>
  </si>
  <si>
    <t>Michelle, Hartshorn</t>
  </si>
  <si>
    <t>Farst, Karen</t>
  </si>
  <si>
    <t>Evans, Kali</t>
  </si>
  <si>
    <t>Daigle, Leigh</t>
  </si>
  <si>
    <t>Brittany, Fair</t>
  </si>
  <si>
    <t>Jain, Alisha</t>
  </si>
  <si>
    <t>Creech, Hillary</t>
  </si>
  <si>
    <t>Ellington, Barbara</t>
  </si>
  <si>
    <t>Roberts, Jon</t>
  </si>
  <si>
    <t>Phillips, Colin</t>
  </si>
  <si>
    <t>Chellie Hamilton</t>
  </si>
  <si>
    <t>Myers, Susan</t>
  </si>
  <si>
    <t>Williams, Chrysti</t>
  </si>
  <si>
    <t>Merritt, Nancy</t>
  </si>
  <si>
    <t>Sarah, Barnes</t>
  </si>
  <si>
    <t>Scarbrough, Sydney</t>
  </si>
  <si>
    <t>Clark, Mandy</t>
  </si>
  <si>
    <t>Alhaddad, Zina</t>
  </si>
  <si>
    <t>Oluwatosin, Bewaji</t>
  </si>
  <si>
    <t>Folz, Tamara</t>
  </si>
  <si>
    <t>Wooley, Katrin</t>
  </si>
  <si>
    <t>Northwest Arkansas Crisis Stabilization Unit</t>
  </si>
  <si>
    <t>Lumina Behavioral Health</t>
  </si>
  <si>
    <t>Eaglecrest Recovery Llc</t>
  </si>
  <si>
    <t>Hollow Creek Treatment Center Llc</t>
  </si>
  <si>
    <t>Revival Counseling Center</t>
  </si>
  <si>
    <t>Conway Regional Medical Center</t>
  </si>
  <si>
    <t>Covenant Recovery, Inc.</t>
  </si>
  <si>
    <t>Baptist Health Ft Smith</t>
  </si>
  <si>
    <t>The Pines</t>
  </si>
  <si>
    <t>Alana, Linn</t>
  </si>
  <si>
    <t>Juan, Valenzuela</t>
  </si>
  <si>
    <t>Ajahi, Davis</t>
  </si>
  <si>
    <t>Reep, Savannah</t>
  </si>
  <si>
    <t>James, Nichole</t>
  </si>
  <si>
    <t>Chinchilla, Kayla</t>
  </si>
  <si>
    <t>Moog, Jamie</t>
  </si>
  <si>
    <t>Shelly, Long</t>
  </si>
  <si>
    <t>Perry, Tammy</t>
  </si>
  <si>
    <t>Maurer, Gail</t>
  </si>
  <si>
    <t>Bylak, Sonja</t>
  </si>
  <si>
    <t>Tucker, Justine</t>
  </si>
  <si>
    <t>Mackayla, King</t>
  </si>
  <si>
    <t>Lindsey, Sarah</t>
  </si>
  <si>
    <t>Galloway, Leslie</t>
  </si>
  <si>
    <t>Welcher, David</t>
  </si>
  <si>
    <t>Karla, Dotson</t>
  </si>
  <si>
    <t>Martinez, John</t>
  </si>
  <si>
    <t>Baker, Kayla</t>
  </si>
  <si>
    <t>Garrison, Kami</t>
  </si>
  <si>
    <t>Ridgell, Lakenya</t>
  </si>
  <si>
    <t>Javana, Williams</t>
  </si>
  <si>
    <t>Calli, Martin</t>
  </si>
  <si>
    <t>Okai, Olivia</t>
  </si>
  <si>
    <t>Osment, Kaitlyn</t>
  </si>
  <si>
    <t>Girouard, Elizabeth</t>
  </si>
  <si>
    <t>Timothy, Freeman</t>
  </si>
  <si>
    <t>Nicole, Plummer</t>
  </si>
  <si>
    <t>Cicely, Brave</t>
  </si>
  <si>
    <t>Mary, Farley</t>
  </si>
  <si>
    <t>Shelby, Morain</t>
  </si>
  <si>
    <t>Fabiola, Obregon</t>
  </si>
  <si>
    <t>Danielle, Griffin</t>
  </si>
  <si>
    <t>Brock, Bradley</t>
  </si>
  <si>
    <t>Elizabeth, Cournoyer</t>
  </si>
  <si>
    <t>Amy, Neighbors</t>
  </si>
  <si>
    <t>Witucki, Marty</t>
  </si>
  <si>
    <t>Dickson, Amy</t>
  </si>
  <si>
    <t>Lawson, Stefanie</t>
  </si>
  <si>
    <t>Mayo, Robert</t>
  </si>
  <si>
    <t>Hennington, Jannas</t>
  </si>
  <si>
    <t>William, Barton</t>
  </si>
  <si>
    <t>Tusant, Tabetha</t>
  </si>
  <si>
    <t>Owens, Paul</t>
  </si>
  <si>
    <t>Katherine Thomas</t>
  </si>
  <si>
    <t>Hailey, Levin</t>
  </si>
  <si>
    <t>Laser, Amy</t>
  </si>
  <si>
    <t>Sarah, Gore</t>
  </si>
  <si>
    <t>St Pierre, Angela</t>
  </si>
  <si>
    <t>Snyder, Norman</t>
  </si>
  <si>
    <t>Bryan, Heather</t>
  </si>
  <si>
    <t>Kristen, Cox</t>
  </si>
  <si>
    <t>Chantal, Doucet Brice</t>
  </si>
  <si>
    <t>Catherine, Rievert</t>
  </si>
  <si>
    <t>Taylor, Thomas</t>
  </si>
  <si>
    <t>Prince, Brody</t>
  </si>
  <si>
    <t>Janice, Newton</t>
  </si>
  <si>
    <t>Carley, Knight</t>
  </si>
  <si>
    <t>Qualls, Justin</t>
  </si>
  <si>
    <t>Tullos, Kimberly</t>
  </si>
  <si>
    <t>Diana Beltran</t>
  </si>
  <si>
    <t>Etchison, Angela</t>
  </si>
  <si>
    <t>Hackney, Lauren</t>
  </si>
  <si>
    <t>Stevenson, Amanda</t>
  </si>
  <si>
    <t>Delapp, Kathryn</t>
  </si>
  <si>
    <t>Emily, Alexander</t>
  </si>
  <si>
    <t>Jill, Sorrows</t>
  </si>
  <si>
    <t>Provaznik, Douglas</t>
  </si>
  <si>
    <t>Kimberley, Pegg</t>
  </si>
  <si>
    <t>Worthen, Laura</t>
  </si>
  <si>
    <t>Jacquelyn, Fowler</t>
  </si>
  <si>
    <t>Alena, Evans</t>
  </si>
  <si>
    <t>Shy, Heather</t>
  </si>
  <si>
    <t>Christopher, Heverling</t>
  </si>
  <si>
    <t>Jennifer Jones</t>
  </si>
  <si>
    <t>Myracle, Murrell</t>
  </si>
  <si>
    <t>Mckenzie, Davenport</t>
  </si>
  <si>
    <t>Dina, Welsh</t>
  </si>
  <si>
    <t>Kelly, Drye</t>
  </si>
  <si>
    <t>Maekellie, Smith</t>
  </si>
  <si>
    <t>Carissa, Stalnaker</t>
  </si>
  <si>
    <t>Sally, Gibson</t>
  </si>
  <si>
    <t>Charolette, Duncan</t>
  </si>
  <si>
    <t>Spillman, Monique</t>
  </si>
  <si>
    <t>Cesar, Gentille Sanchez</t>
  </si>
  <si>
    <t>Menendez, Christopher</t>
  </si>
  <si>
    <t>Nightingale At Crossett</t>
  </si>
  <si>
    <t>Creekside At The Springs</t>
  </si>
  <si>
    <t>Waldron Nursing And Rehab</t>
  </si>
  <si>
    <t>Premier At The Springs</t>
  </si>
  <si>
    <t>Southern Pines Health And Rehab</t>
  </si>
  <si>
    <t>Nightingale At Glenwood</t>
  </si>
  <si>
    <t>Nashville Wellness Llc</t>
  </si>
  <si>
    <t>Village Springs Health And Rehabilitation</t>
  </si>
  <si>
    <t>Ashley County Medical Center Skilled Nursing Unit</t>
  </si>
  <si>
    <t>The Green House Cottages Of Poplar Grove</t>
  </si>
  <si>
    <t>Nightingale At Arkadelphia</t>
  </si>
  <si>
    <t>Lakewood Health And Rehab</t>
  </si>
  <si>
    <t>Meadowview Healthcare And Rehab</t>
  </si>
  <si>
    <t>Nightingale At Stonegate</t>
  </si>
  <si>
    <t>Collins, Gary</t>
  </si>
  <si>
    <t>Rafique, Muhammad</t>
  </si>
  <si>
    <t>Sania, Khan</t>
  </si>
  <si>
    <t>Mcdonald, Michael</t>
  </si>
  <si>
    <t>Sheikh-Khalil, Mahmoud</t>
  </si>
  <si>
    <t>Wilters, John</t>
  </si>
  <si>
    <t>Bradley, Rebecca</t>
  </si>
  <si>
    <t>Joshua, Blaylock</t>
  </si>
  <si>
    <t>Lowery, Curtis</t>
  </si>
  <si>
    <t>Makhoul, Hanan</t>
  </si>
  <si>
    <t>Siddharthan, Vaithilingam</t>
  </si>
  <si>
    <t>Campbell, James</t>
  </si>
  <si>
    <t>St. Bernard's Regional Medical Center</t>
  </si>
  <si>
    <t>Roger, Roberts</t>
  </si>
  <si>
    <t>Priscilla, Lao</t>
  </si>
  <si>
    <t>Webb-Haines, Martina</t>
  </si>
  <si>
    <t>Ryann, Roles</t>
  </si>
  <si>
    <t>Brown, Tiffany</t>
  </si>
  <si>
    <t>Upton, James T</t>
  </si>
  <si>
    <t>Joseph, Fong</t>
  </si>
  <si>
    <t>Burroughs, Zachary</t>
  </si>
  <si>
    <t>Barber, Laurie</t>
  </si>
  <si>
    <t>Grover, Alan</t>
  </si>
  <si>
    <t>Henderson, Ralph</t>
  </si>
  <si>
    <t>Zamzow, Brent</t>
  </si>
  <si>
    <t>Bulmanski, Thomas</t>
  </si>
  <si>
    <t>Nagrampa, Janette</t>
  </si>
  <si>
    <t>May, George</t>
  </si>
  <si>
    <t>Lyons Anderson, Tonya</t>
  </si>
  <si>
    <t>Mitchell, Louis</t>
  </si>
  <si>
    <t>Daley Harvey Grinnis</t>
  </si>
  <si>
    <t>Siria, Rebecca</t>
  </si>
  <si>
    <t>Powell, Creighton</t>
  </si>
  <si>
    <t>Bean, Brian</t>
  </si>
  <si>
    <t>Swift, Shannon</t>
  </si>
  <si>
    <t>Gonzalez, Misty</t>
  </si>
  <si>
    <t>Fite, Jessica</t>
  </si>
  <si>
    <t>Howell, Sarah</t>
  </si>
  <si>
    <t>Odle, Laura</t>
  </si>
  <si>
    <t>Edgar, Miranda</t>
  </si>
  <si>
    <t>Craft, Charles</t>
  </si>
  <si>
    <t>Kendrick, Gregory</t>
  </si>
  <si>
    <t>Robbins, Melissa</t>
  </si>
  <si>
    <t>Simpson, Mary</t>
  </si>
  <si>
    <t>Taylor, Floye</t>
  </si>
  <si>
    <t>Mcclinton, Ernest</t>
  </si>
  <si>
    <t>Lemdja, Mimo</t>
  </si>
  <si>
    <t>Scott, Robert</t>
  </si>
  <si>
    <t>Yousaf, Ahmad</t>
  </si>
  <si>
    <t>Smith, Tiffany</t>
  </si>
  <si>
    <t>Chapman, Kari</t>
  </si>
  <si>
    <t>Johnston, Priscilla</t>
  </si>
  <si>
    <t>Contois, Susan</t>
  </si>
  <si>
    <t>Harrison, Dianne</t>
  </si>
  <si>
    <t>Mehal, Waqar</t>
  </si>
  <si>
    <t>Valentine, Michael</t>
  </si>
  <si>
    <t>Jones, Marcella</t>
  </si>
  <si>
    <t>Touchton, Jason</t>
  </si>
  <si>
    <t>Rodgers, Matthew</t>
  </si>
  <si>
    <t>Hamilton, Lance</t>
  </si>
  <si>
    <t>Arant, Audra</t>
  </si>
  <si>
    <t>Sullivan, Amy</t>
  </si>
  <si>
    <t>Pope, Dustin</t>
  </si>
  <si>
    <t>Thomas, Joseph</t>
  </si>
  <si>
    <t>Reynolds, Karen</t>
  </si>
  <si>
    <t>Thompson, Kristy</t>
  </si>
  <si>
    <t>Thomas, Allen</t>
  </si>
  <si>
    <t>Morrill, Zachary</t>
  </si>
  <si>
    <t>Vanderbilt, Steven</t>
  </si>
  <si>
    <t>Smart, Gregory</t>
  </si>
  <si>
    <t>Arnold, Griffin</t>
  </si>
  <si>
    <t>Mohan, Kamal</t>
  </si>
  <si>
    <t>Ogle, Jennifer</t>
  </si>
  <si>
    <t>Luce, Kristen</t>
  </si>
  <si>
    <t>Wilcox, Sara</t>
  </si>
  <si>
    <t>Parker, Robert</t>
  </si>
  <si>
    <t>Ajoku, Erica</t>
  </si>
  <si>
    <t>Hull, Honey</t>
  </si>
  <si>
    <t>Howard, Ashley</t>
  </si>
  <si>
    <t>Miller, Shawn</t>
  </si>
  <si>
    <t>White, Jonathan</t>
  </si>
  <si>
    <t>Floyd, Jerry</t>
  </si>
  <si>
    <t>Williams, Leah</t>
  </si>
  <si>
    <t>Smith, Hannah</t>
  </si>
  <si>
    <t>Flynn, Brittany</t>
  </si>
  <si>
    <t>Pierce, Andrew</t>
  </si>
  <si>
    <t>Sharma, Achin</t>
  </si>
  <si>
    <t>Shipman, Deborah</t>
  </si>
  <si>
    <t>Vaughan, Michael</t>
  </si>
  <si>
    <t>Simon, Kindle</t>
  </si>
  <si>
    <t>Hatfield, Mary</t>
  </si>
  <si>
    <t>Allen, Damian</t>
  </si>
  <si>
    <t>Jared, Burks</t>
  </si>
  <si>
    <t>Smith, Johnny</t>
  </si>
  <si>
    <t>Whiting, Tom</t>
  </si>
  <si>
    <t>Wood, Amanda</t>
  </si>
  <si>
    <t>Patel, Pravin</t>
  </si>
  <si>
    <t>Hilton, Mary</t>
  </si>
  <si>
    <t>Roberts, Marketta</t>
  </si>
  <si>
    <t>Morgan, Wyrick</t>
  </si>
  <si>
    <t>Lamb, Trent</t>
  </si>
  <si>
    <t>Scarbrough, Tad</t>
  </si>
  <si>
    <t>Sakariya, Geetabahen</t>
  </si>
  <si>
    <t>Guragain, Nirmal</t>
  </si>
  <si>
    <t>Love, Cassandra</t>
  </si>
  <si>
    <t>Owen, Jeremy</t>
  </si>
  <si>
    <t>Spencer, Steven</t>
  </si>
  <si>
    <t>Kulpeksa, Joseph</t>
  </si>
  <si>
    <t>Rhodes, Michele</t>
  </si>
  <si>
    <t>Xu, Yang</t>
  </si>
  <si>
    <t>Garton, Danny</t>
  </si>
  <si>
    <t>Stodghill, Linda</t>
  </si>
  <si>
    <t>Shami, Nandy</t>
  </si>
  <si>
    <t>Mueller, Craig</t>
  </si>
  <si>
    <t>Schuett, Kressa</t>
  </si>
  <si>
    <t>Reinhard, Elizabeth</t>
  </si>
  <si>
    <t>Robinson, Jamie</t>
  </si>
  <si>
    <t>Nance, Kimberly</t>
  </si>
  <si>
    <t>Sandefur, Erin</t>
  </si>
  <si>
    <t>Rush, Brent</t>
  </si>
  <si>
    <t>Clay, Angela</t>
  </si>
  <si>
    <t>Singh, Balbir</t>
  </si>
  <si>
    <t>Allen, Deloris</t>
  </si>
  <si>
    <t>Bridges, Janiece</t>
  </si>
  <si>
    <t>Patel, Madhvi</t>
  </si>
  <si>
    <t>Pace, Phillip</t>
  </si>
  <si>
    <t>Scott, Mark</t>
  </si>
  <si>
    <t>Kerley, Lesa</t>
  </si>
  <si>
    <t>Freeman, Joseph</t>
  </si>
  <si>
    <t>Payne, Ryan</t>
  </si>
  <si>
    <t>Nelson, David</t>
  </si>
  <si>
    <t>Wadsworth, William</t>
  </si>
  <si>
    <t>Haws, Karl</t>
  </si>
  <si>
    <t>Forrest, Steven</t>
  </si>
  <si>
    <t>Panyik, Rhagen</t>
  </si>
  <si>
    <t>Cooper, Dana</t>
  </si>
  <si>
    <t>Siddamreddy, Suman</t>
  </si>
  <si>
    <t>Miller, Susan</t>
  </si>
  <si>
    <t>Raju, Sailaja</t>
  </si>
  <si>
    <t>Russette, Odia</t>
  </si>
  <si>
    <t>Reeder, Blakely</t>
  </si>
  <si>
    <t>Hicks, Cristi</t>
  </si>
  <si>
    <t>Jones, Celena</t>
  </si>
  <si>
    <t>Tucker, Robert</t>
  </si>
  <si>
    <t>Smith, Katherine</t>
  </si>
  <si>
    <t>Brown, Christopher</t>
  </si>
  <si>
    <t>Siddiqi, Humza</t>
  </si>
  <si>
    <t>Irving, Rhonda</t>
  </si>
  <si>
    <t>Walker, William</t>
  </si>
  <si>
    <t>Lee, Sherita</t>
  </si>
  <si>
    <t>Oleary, Bridget</t>
  </si>
  <si>
    <t>Cheatham, Daniel</t>
  </si>
  <si>
    <t>Missildine, Sherry</t>
  </si>
  <si>
    <t>Stubblefield, Sandra</t>
  </si>
  <si>
    <t>Slade, Whitney</t>
  </si>
  <si>
    <t>Cartaya, Daniel</t>
  </si>
  <si>
    <t>Dunlap, Alexander</t>
  </si>
  <si>
    <t>Shah, Jainil</t>
  </si>
  <si>
    <t>Brown, Ashley</t>
  </si>
  <si>
    <t>Van Pelt, Dustin</t>
  </si>
  <si>
    <t>Looper, Desiree</t>
  </si>
  <si>
    <t>Fulks, Ashley</t>
  </si>
  <si>
    <t>Dubois, Justin</t>
  </si>
  <si>
    <t>Cardosi, Farah</t>
  </si>
  <si>
    <t>Graves, Kim</t>
  </si>
  <si>
    <t>Lawrence, George</t>
  </si>
  <si>
    <t>Ha, Quyen</t>
  </si>
  <si>
    <t>Elegbe, Olugbemi</t>
  </si>
  <si>
    <t>Cato, Ginny</t>
  </si>
  <si>
    <t>Todd, Brandon</t>
  </si>
  <si>
    <t>Allison, John</t>
  </si>
  <si>
    <t>Spargo, Donna</t>
  </si>
  <si>
    <t>Owens, Joel</t>
  </si>
  <si>
    <t>Morgan, Christopher</t>
  </si>
  <si>
    <t>Payne, Michael</t>
  </si>
  <si>
    <t>Whitwell, Bruce</t>
  </si>
  <si>
    <t>Ashbrooks, Darrin</t>
  </si>
  <si>
    <t>Crouthamel, Mylene</t>
  </si>
  <si>
    <t>Rabb, Alesha</t>
  </si>
  <si>
    <t>Gath, Elizabeth</t>
  </si>
  <si>
    <t>Weaver, Michelle</t>
  </si>
  <si>
    <t>Schauf, Kyle</t>
  </si>
  <si>
    <t>Gailey, Yulander</t>
  </si>
  <si>
    <t>Coker, Lisa</t>
  </si>
  <si>
    <t>Johnson, Lindsey</t>
  </si>
  <si>
    <t>Youngwolfe, Brooke</t>
  </si>
  <si>
    <t>Alan, Padilla Ramos</t>
  </si>
  <si>
    <t>Campbell, Kari</t>
  </si>
  <si>
    <t>Karim, Parvez</t>
  </si>
  <si>
    <t>Smith, Ronald</t>
  </si>
  <si>
    <t>Watson, Angela</t>
  </si>
  <si>
    <t>Thammavong, Monique</t>
  </si>
  <si>
    <t>Manchester, Heather</t>
  </si>
  <si>
    <t>Zeiger, Victoria</t>
  </si>
  <si>
    <t>Kamidi, Shirisha</t>
  </si>
  <si>
    <t>Rabadi, Omar</t>
  </si>
  <si>
    <t>Fairless, Debra</t>
  </si>
  <si>
    <t>Bisek, Brandye</t>
  </si>
  <si>
    <t>Keller, William</t>
  </si>
  <si>
    <t>Ackley, Brittany</t>
  </si>
  <si>
    <t>Ball, Michael</t>
  </si>
  <si>
    <t>Johnson, James</t>
  </si>
  <si>
    <t>Willa, Howerton</t>
  </si>
  <si>
    <t>Hill, Gary</t>
  </si>
  <si>
    <t>Duggar, Jessica</t>
  </si>
  <si>
    <t>Shanek, Brittney</t>
  </si>
  <si>
    <t>Proffitt, Danny</t>
  </si>
  <si>
    <t>Hunt, Randall</t>
  </si>
  <si>
    <t>Butler, Clint</t>
  </si>
  <si>
    <t>Bishop, Robert</t>
  </si>
  <si>
    <t>Drewry, William</t>
  </si>
  <si>
    <t>Vinal, Lisa</t>
  </si>
  <si>
    <t>Rainey, Collins</t>
  </si>
  <si>
    <t>Krisht, Melissa</t>
  </si>
  <si>
    <t>Tabb, Leslie</t>
  </si>
  <si>
    <t>Harper, Candace</t>
  </si>
  <si>
    <t>Bollinger-Fisher, Tracy</t>
  </si>
  <si>
    <t>Adams, Leslie</t>
  </si>
  <si>
    <t>Rainosek, David</t>
  </si>
  <si>
    <t>Davis, Alesia</t>
  </si>
  <si>
    <t>Lambert, Kristyn</t>
  </si>
  <si>
    <t>Spears, Katherine</t>
  </si>
  <si>
    <t>Hudson, Lindsay</t>
  </si>
  <si>
    <t>Bethany, Lemley</t>
  </si>
  <si>
    <t>Jenkins, Casey</t>
  </si>
  <si>
    <t>Jordan, Claudia</t>
  </si>
  <si>
    <t>Caswell, John</t>
  </si>
  <si>
    <t>Sexton, Emily</t>
  </si>
  <si>
    <t>Ybarra, Dustin</t>
  </si>
  <si>
    <t>Anderson, Samantha</t>
  </si>
  <si>
    <t>Haque, Nasir</t>
  </si>
  <si>
    <t>Hagood, Noland</t>
  </si>
  <si>
    <t>Landrum, Andrew</t>
  </si>
  <si>
    <t>Keene, Alexandria</t>
  </si>
  <si>
    <t>Matthews, Nata</t>
  </si>
  <si>
    <t>Beyer, Emily</t>
  </si>
  <si>
    <t>Bickford, Amanda</t>
  </si>
  <si>
    <t>Jackson, Christa</t>
  </si>
  <si>
    <t>Tudoreanu, Raluca</t>
  </si>
  <si>
    <t>Turnbow, Jennifer</t>
  </si>
  <si>
    <t>Sandberg, Karl</t>
  </si>
  <si>
    <t>Griffeth, Susan</t>
  </si>
  <si>
    <t>Davis, Amber</t>
  </si>
  <si>
    <t>Nast, Arielle</t>
  </si>
  <si>
    <t>Jennings, Sasha</t>
  </si>
  <si>
    <t>Reid, Christina</t>
  </si>
  <si>
    <t>Jacobsen, Erik</t>
  </si>
  <si>
    <t>Kendrick, Natalie</t>
  </si>
  <si>
    <t>Foster, Sara</t>
  </si>
  <si>
    <t>Reyna, Sarah</t>
  </si>
  <si>
    <t>Guinn, John</t>
  </si>
  <si>
    <t>Molineros Gonzales, Maria</t>
  </si>
  <si>
    <t>Houtchens, Jeremy</t>
  </si>
  <si>
    <t>Gaines, Ornette</t>
  </si>
  <si>
    <t>Gabbie, Mark</t>
  </si>
  <si>
    <t>Davis, Amy</t>
  </si>
  <si>
    <t>Lawson, Paige</t>
  </si>
  <si>
    <t>Borchert, Heather</t>
  </si>
  <si>
    <t>Morrow, Jessica</t>
  </si>
  <si>
    <t>Broyles, Amy</t>
  </si>
  <si>
    <t>Wardell, Jason</t>
  </si>
  <si>
    <t>Bastel, Heather</t>
  </si>
  <si>
    <t>Thurman, Robin</t>
  </si>
  <si>
    <t>Tameez, Iffat</t>
  </si>
  <si>
    <t>Gibson, Shannon</t>
  </si>
  <si>
    <t>Yang, Edward</t>
  </si>
  <si>
    <t>Peterson, Mark</t>
  </si>
  <si>
    <t>House, John</t>
  </si>
  <si>
    <t>Bhandari, Shiv</t>
  </si>
  <si>
    <t>Barnes, Brandi</t>
  </si>
  <si>
    <t>Wallace, Dionne</t>
  </si>
  <si>
    <t>Barrow, Angela</t>
  </si>
  <si>
    <t>Shajaat, Muhammad</t>
  </si>
  <si>
    <t>Thomas, Reid</t>
  </si>
  <si>
    <t>Barden, Michael</t>
  </si>
  <si>
    <t>Cranor, Mallory</t>
  </si>
  <si>
    <t>Ounpraseuth, Yong</t>
  </si>
  <si>
    <t>Deal, Nina</t>
  </si>
  <si>
    <t>Acup, James</t>
  </si>
  <si>
    <t>Irwin, Carrie</t>
  </si>
  <si>
    <t>Mittal, Shalender</t>
  </si>
  <si>
    <t>Harrell, Lance</t>
  </si>
  <si>
    <t>Dunkel, Katie</t>
  </si>
  <si>
    <t>Burns, Courtney</t>
  </si>
  <si>
    <t>Beecher, Cynthia</t>
  </si>
  <si>
    <t>Sivils, Brittney</t>
  </si>
  <si>
    <t>Moreland, Joshua</t>
  </si>
  <si>
    <t>Reeves, Marcus</t>
  </si>
  <si>
    <t>Miers, Sara</t>
  </si>
  <si>
    <t>Mcpherson, Margrett</t>
  </si>
  <si>
    <t>Dipasupil, Marc</t>
  </si>
  <si>
    <t>King, Kristy</t>
  </si>
  <si>
    <t>Lea, Jarrett</t>
  </si>
  <si>
    <t>Pattillo, Misti</t>
  </si>
  <si>
    <t>Khaliq, Fazila</t>
  </si>
  <si>
    <t>Belline, Holland</t>
  </si>
  <si>
    <t>Mcdonald, Shelby</t>
  </si>
  <si>
    <t>Taylor, Lauren</t>
  </si>
  <si>
    <t>Banham, Jeffrey</t>
  </si>
  <si>
    <t>Shepard, Devin</t>
  </si>
  <si>
    <t>Perry, Christian</t>
  </si>
  <si>
    <t>Fisher, Laurie</t>
  </si>
  <si>
    <t>Arshad, Abdullah</t>
  </si>
  <si>
    <t>Carter Wyatt, Sherri</t>
  </si>
  <si>
    <t>Brocker, Jeri</t>
  </si>
  <si>
    <t>Bell, Travis</t>
  </si>
  <si>
    <t>Sexson, John</t>
  </si>
  <si>
    <t>Szwedo, Anna</t>
  </si>
  <si>
    <t>Holt, Matthew</t>
  </si>
  <si>
    <t>Nichols, Renetta</t>
  </si>
  <si>
    <t>Jahoor, Anil</t>
  </si>
  <si>
    <t>Smith, Teri</t>
  </si>
  <si>
    <t>Padilla, Tiffany</t>
  </si>
  <si>
    <t>Bruner, Kerry</t>
  </si>
  <si>
    <t>Gray, Rebecca</t>
  </si>
  <si>
    <t>Wagner, Stephen</t>
  </si>
  <si>
    <t>Brumley, Breanna</t>
  </si>
  <si>
    <t>Wade, Christina</t>
  </si>
  <si>
    <t>Vanlandingham, Clint</t>
  </si>
  <si>
    <t>Ashford, Shane</t>
  </si>
  <si>
    <t>Maram, Silpa</t>
  </si>
  <si>
    <t>Mckenzie, Amber</t>
  </si>
  <si>
    <t>Potter, Tomorrow</t>
  </si>
  <si>
    <t>Spears, Mark</t>
  </si>
  <si>
    <t>Dobbs, Paul</t>
  </si>
  <si>
    <t>Crawley, Michael</t>
  </si>
  <si>
    <t>Beeman, David</t>
  </si>
  <si>
    <t>Chu, Victor</t>
  </si>
  <si>
    <t>Hollis, Roland</t>
  </si>
  <si>
    <t>Koyagura, Sudheer</t>
  </si>
  <si>
    <t>Price, John</t>
  </si>
  <si>
    <t>Ross, Daniel</t>
  </si>
  <si>
    <t>Couchenour, Coral</t>
  </si>
  <si>
    <t>Hulett, Melissa</t>
  </si>
  <si>
    <t>Patterson, Jamie</t>
  </si>
  <si>
    <t>Rundell, Bentlee</t>
  </si>
  <si>
    <t>Stice, Niger</t>
  </si>
  <si>
    <t>Iwuji, Kelechi</t>
  </si>
  <si>
    <t>Sanderson, Robert</t>
  </si>
  <si>
    <t>Harris, Ryan</t>
  </si>
  <si>
    <t>Carson, Amanda</t>
  </si>
  <si>
    <t>Tate, Tamara</t>
  </si>
  <si>
    <t>Williams, Jason</t>
  </si>
  <si>
    <t>Mullis, Tracy</t>
  </si>
  <si>
    <t>Holmes, Elizabeth</t>
  </si>
  <si>
    <t>Griffy, Ballina</t>
  </si>
  <si>
    <t>Zalmi, Rahmany</t>
  </si>
  <si>
    <t>Evans, Benjamin</t>
  </si>
  <si>
    <t>Schwartz, Frank</t>
  </si>
  <si>
    <t>Mayo, Russell</t>
  </si>
  <si>
    <t>Glover, Hapsy</t>
  </si>
  <si>
    <t>Burrous, Matthew</t>
  </si>
  <si>
    <t>Carter, Jon</t>
  </si>
  <si>
    <t>Snow, Tonja</t>
  </si>
  <si>
    <t>Pamireddy, Sahithi</t>
  </si>
  <si>
    <t>Lisdell, Leslie</t>
  </si>
  <si>
    <t>Parchman, Anna</t>
  </si>
  <si>
    <t>Bomar, Monica</t>
  </si>
  <si>
    <t>Viswanathan, Nisha</t>
  </si>
  <si>
    <t>Hoggard, Lucas</t>
  </si>
  <si>
    <t>Cabrera, Elizabeth</t>
  </si>
  <si>
    <t>Patton, Denise</t>
  </si>
  <si>
    <t>Miller, Christina</t>
  </si>
  <si>
    <t>Lehner, Kathryn</t>
  </si>
  <si>
    <t>Ashley, Early</t>
  </si>
  <si>
    <t>Shaw, Cynthia</t>
  </si>
  <si>
    <t>Ho, Stephanie</t>
  </si>
  <si>
    <t>Caulfield, Donna</t>
  </si>
  <si>
    <t>Harper, Drew</t>
  </si>
  <si>
    <t>Shaide, Renee</t>
  </si>
  <si>
    <t>Wilson, Jared</t>
  </si>
  <si>
    <t>Belviy, Laura</t>
  </si>
  <si>
    <t>Qayyum, Muneeba</t>
  </si>
  <si>
    <t>Mcdaniel, Kaitlin</t>
  </si>
  <si>
    <t>Sorrels, John</t>
  </si>
  <si>
    <t>Balentine, Robert</t>
  </si>
  <si>
    <t>Burks, Willard</t>
  </si>
  <si>
    <t>Haggard, Judith</t>
  </si>
  <si>
    <t>Metcalf, Stephanie</t>
  </si>
  <si>
    <t>Wooten, Georgia</t>
  </si>
  <si>
    <t>Frazier, Lynn</t>
  </si>
  <si>
    <t>Higginbotham, Michael</t>
  </si>
  <si>
    <t>Davis, Brandy</t>
  </si>
  <si>
    <t>Abdelwahab, Wassim</t>
  </si>
  <si>
    <t>Benton, Janice</t>
  </si>
  <si>
    <t>Niemann, Amy</t>
  </si>
  <si>
    <t>Miller, Sharonda</t>
  </si>
  <si>
    <t>Walker, Ashley</t>
  </si>
  <si>
    <t>Cavaneau, Jerry</t>
  </si>
  <si>
    <t>Gardial, Paul</t>
  </si>
  <si>
    <t>Mcclelland, Mendy</t>
  </si>
  <si>
    <t>Allard, Mark</t>
  </si>
  <si>
    <t>Leach, James</t>
  </si>
  <si>
    <t>Morris, John</t>
  </si>
  <si>
    <t>Loudermilk, Victoria</t>
  </si>
  <si>
    <t>Canada, Janet</t>
  </si>
  <si>
    <t>Shahid, Malik</t>
  </si>
  <si>
    <t>Mcintire, Jordan</t>
  </si>
  <si>
    <t>Clift, Julia</t>
  </si>
  <si>
    <t>Pashkevich, Michele</t>
  </si>
  <si>
    <t>Hanig, Karen</t>
  </si>
  <si>
    <t>Talbert, Louis</t>
  </si>
  <si>
    <t>Grandy, Rebecca</t>
  </si>
  <si>
    <t>Nugent, Jeremiah</t>
  </si>
  <si>
    <t>Lomax, Katelyn</t>
  </si>
  <si>
    <t>Clark, Christopher</t>
  </si>
  <si>
    <t>Mansfield, Chelsea</t>
  </si>
  <si>
    <t>Murphy, Ashley</t>
  </si>
  <si>
    <t>Laseter, Teryn</t>
  </si>
  <si>
    <t>Leeper, Danielle</t>
  </si>
  <si>
    <t>Tucker, Ashley</t>
  </si>
  <si>
    <t>Cagle, James</t>
  </si>
  <si>
    <t>Akkineni, Kalyan</t>
  </si>
  <si>
    <t>Reece, Timmothy</t>
  </si>
  <si>
    <t>Brown, Sterling</t>
  </si>
  <si>
    <t>Baba, Rauf</t>
  </si>
  <si>
    <t>Dickson, Scott</t>
  </si>
  <si>
    <t>Patel, Arpit</t>
  </si>
  <si>
    <t>Reeves, James</t>
  </si>
  <si>
    <t>Poindexter, Lauren</t>
  </si>
  <si>
    <t>Villeda, Virgilio</t>
  </si>
  <si>
    <t>Perez, Irma</t>
  </si>
  <si>
    <t>Griffis, Tiffany</t>
  </si>
  <si>
    <t>Carr, Brooke</t>
  </si>
  <si>
    <t>Lamon, Melissa</t>
  </si>
  <si>
    <t>Piatt, John</t>
  </si>
  <si>
    <t>Eldred, Edward</t>
  </si>
  <si>
    <t>Cole, Cassandra</t>
  </si>
  <si>
    <t>Rucker, Lauren</t>
  </si>
  <si>
    <t>Arens, Hailey</t>
  </si>
  <si>
    <t>Duncan, Carl</t>
  </si>
  <si>
    <t>Maybury, Melissa</t>
  </si>
  <si>
    <t>Oroo, Truphena</t>
  </si>
  <si>
    <t>Casey-Bolden, Monique</t>
  </si>
  <si>
    <t>Howard, Don</t>
  </si>
  <si>
    <t>Thompson, Bobby</t>
  </si>
  <si>
    <t>Persson, David</t>
  </si>
  <si>
    <t>Bailey, Amanda</t>
  </si>
  <si>
    <t>Roberson, Delores</t>
  </si>
  <si>
    <t>Brannan, Kathryn</t>
  </si>
  <si>
    <t>Herring, Katie</t>
  </si>
  <si>
    <t>Allen, Richard</t>
  </si>
  <si>
    <t>Barcafer, William</t>
  </si>
  <si>
    <t>Kroeker, Cheryl</t>
  </si>
  <si>
    <t>Ahmed, Mohammed</t>
  </si>
  <si>
    <t>Wallis, Elizabeth</t>
  </si>
  <si>
    <t>Hughes, Brandy</t>
  </si>
  <si>
    <t>Thomas, Jenna</t>
  </si>
  <si>
    <t>Wagner, Kristen</t>
  </si>
  <si>
    <t>Daidone, Paul</t>
  </si>
  <si>
    <t>Dedman, William</t>
  </si>
  <si>
    <t>Hall, Arthur</t>
  </si>
  <si>
    <t>Hillis, Heather</t>
  </si>
  <si>
    <t>Montgomery, Amber</t>
  </si>
  <si>
    <t>Hart, Ginger</t>
  </si>
  <si>
    <t>Mcgath, Rickey</t>
  </si>
  <si>
    <t>Hiser, Samuel</t>
  </si>
  <si>
    <t>Sharma, Ruchika</t>
  </si>
  <si>
    <t>Porter, Jolie</t>
  </si>
  <si>
    <t>Scally, Nicole</t>
  </si>
  <si>
    <t>Fletcher, Callie</t>
  </si>
  <si>
    <t>Wade, Modeanna</t>
  </si>
  <si>
    <t>Hatchett, Adrienne</t>
  </si>
  <si>
    <t>Pledger, Darren</t>
  </si>
  <si>
    <t>Ferguson, Jamie</t>
  </si>
  <si>
    <t>Davenport, Hannah</t>
  </si>
  <si>
    <t>Schorer, Susan</t>
  </si>
  <si>
    <t>Young, Ladonna</t>
  </si>
  <si>
    <t>Smith, Deborah</t>
  </si>
  <si>
    <t>Fortson, Christopher</t>
  </si>
  <si>
    <t>Wyatt, David</t>
  </si>
  <si>
    <t>Nallur Channakrishna, Shiva</t>
  </si>
  <si>
    <t>Johnson, Brad</t>
  </si>
  <si>
    <t>Greek, Julie</t>
  </si>
  <si>
    <t>Mason, Magdaline</t>
  </si>
  <si>
    <t>Suit, Janice</t>
  </si>
  <si>
    <t>Noel, Billy</t>
  </si>
  <si>
    <t>Martin, James</t>
  </si>
  <si>
    <t>Floyd, Courtney</t>
  </si>
  <si>
    <t>Vizconde, Roland</t>
  </si>
  <si>
    <t>Gallegos, Christy</t>
  </si>
  <si>
    <t>Gothard, Charles</t>
  </si>
  <si>
    <t>Benton, Brittany</t>
  </si>
  <si>
    <t>Iloh, Emmanuel</t>
  </si>
  <si>
    <t>Landrum, Valari</t>
  </si>
  <si>
    <t>Cranford, Russell</t>
  </si>
  <si>
    <t>Wolverton, John</t>
  </si>
  <si>
    <t>Lum, Diane</t>
  </si>
  <si>
    <t>Jackson, Hugh</t>
  </si>
  <si>
    <t>Taylor, Richard</t>
  </si>
  <si>
    <t>Estes, Elizabeth</t>
  </si>
  <si>
    <t>Foshee, Misty</t>
  </si>
  <si>
    <t>Piland, Donald</t>
  </si>
  <si>
    <t>Filipcic, Ramune</t>
  </si>
  <si>
    <t>Harper, Kelsey</t>
  </si>
  <si>
    <t>Golden, William</t>
  </si>
  <si>
    <t>Adam, Reno</t>
  </si>
  <si>
    <t>Storm, David</t>
  </si>
  <si>
    <t>Walley, Lindsey</t>
  </si>
  <si>
    <t>Stone, Leslie</t>
  </si>
  <si>
    <t>Lyerly, Michael</t>
  </si>
  <si>
    <t>Maclin, Karol</t>
  </si>
  <si>
    <t>Osborne, Devron</t>
  </si>
  <si>
    <t>Watt, Samantha</t>
  </si>
  <si>
    <t>Manatt, Natalie</t>
  </si>
  <si>
    <t>Droke, Laura</t>
  </si>
  <si>
    <t>Robinson, Mark</t>
  </si>
  <si>
    <t>Porter, Revel</t>
  </si>
  <si>
    <t>Redam, Megan</t>
  </si>
  <si>
    <t>Ward, Leslie</t>
  </si>
  <si>
    <t>Everhart, April</t>
  </si>
  <si>
    <t>Block, Jacqueline</t>
  </si>
  <si>
    <t>Brown, Scott</t>
  </si>
  <si>
    <t>Mitchell, Katherine</t>
  </si>
  <si>
    <t>Rasquin, Georges</t>
  </si>
  <si>
    <t>Grigsby, Heather</t>
  </si>
  <si>
    <t>Rippy, Kelli</t>
  </si>
  <si>
    <t>Donner, Kimberley</t>
  </si>
  <si>
    <t>Townsend, James</t>
  </si>
  <si>
    <t>Posey, Lori</t>
  </si>
  <si>
    <t>Mahana, Brian</t>
  </si>
  <si>
    <t>Williams, Tanya</t>
  </si>
  <si>
    <t>Durham, Cynthia</t>
  </si>
  <si>
    <t>Church, Michael</t>
  </si>
  <si>
    <t>Thakor, Sejal</t>
  </si>
  <si>
    <t>Cook, Leisa</t>
  </si>
  <si>
    <t>Fonticiella, Adalberto</t>
  </si>
  <si>
    <t>Robertson, Kellie</t>
  </si>
  <si>
    <t>Peters, Kimberly</t>
  </si>
  <si>
    <t>Smith, Luke</t>
  </si>
  <si>
    <t>Hatley, Amy</t>
  </si>
  <si>
    <t>Tavernier, Laura</t>
  </si>
  <si>
    <t>Hozdic, Richard</t>
  </si>
  <si>
    <t>Burns, Gloria</t>
  </si>
  <si>
    <t>Wallace, Michael</t>
  </si>
  <si>
    <t>Speed, Pamela</t>
  </si>
  <si>
    <t>Johnson, Larry</t>
  </si>
  <si>
    <t>Nida, Joseph</t>
  </si>
  <si>
    <t>Kumar, Anil</t>
  </si>
  <si>
    <t>Horne, Teri</t>
  </si>
  <si>
    <t>Robins, Virginia</t>
  </si>
  <si>
    <t>Ntende, Henry</t>
  </si>
  <si>
    <t>Mease, Darrell</t>
  </si>
  <si>
    <t>Beaton, James</t>
  </si>
  <si>
    <t>Wooden, Suzanna</t>
  </si>
  <si>
    <t>Rosen, Scott</t>
  </si>
  <si>
    <t>Taylor, Shannon</t>
  </si>
  <si>
    <t>Phillips, Wesley</t>
  </si>
  <si>
    <t>Powell, Casey</t>
  </si>
  <si>
    <t>Kempson, Steven</t>
  </si>
  <si>
    <t>Asbury, Dale</t>
  </si>
  <si>
    <t>Sharfman, David</t>
  </si>
  <si>
    <t>Williams, Elizabeth</t>
  </si>
  <si>
    <t>Shah, Waseem</t>
  </si>
  <si>
    <t>Turner, Nicole</t>
  </si>
  <si>
    <t>Sook, Tonya</t>
  </si>
  <si>
    <t>Draper, Heather</t>
  </si>
  <si>
    <t>Ready, Lakendra</t>
  </si>
  <si>
    <t>Kurtzweil, Alexandra</t>
  </si>
  <si>
    <t>Wall, Chris</t>
  </si>
  <si>
    <t>West, Linda</t>
  </si>
  <si>
    <t>Spurlock, Megan</t>
  </si>
  <si>
    <t>Magro, Daniel</t>
  </si>
  <si>
    <t>White, Derek</t>
  </si>
  <si>
    <t>Hall, Randy</t>
  </si>
  <si>
    <t>Bledsoe, Burton</t>
  </si>
  <si>
    <t>Pock, Ryan</t>
  </si>
  <si>
    <t>Harvey, Bryan</t>
  </si>
  <si>
    <t>Moore, Donald</t>
  </si>
  <si>
    <t>Wilkins, Benjaman</t>
  </si>
  <si>
    <t>Hopp, Philip</t>
  </si>
  <si>
    <t>Goodman, Robin</t>
  </si>
  <si>
    <t>Denton, Meredith</t>
  </si>
  <si>
    <t>Phillips, Adrianne</t>
  </si>
  <si>
    <t>Davis, Orrin</t>
  </si>
  <si>
    <t>Zuerlein, Terrance</t>
  </si>
  <si>
    <t>Sanders, Sara</t>
  </si>
  <si>
    <t>Thomas, Billy</t>
  </si>
  <si>
    <t>Shah, Ayesha</t>
  </si>
  <si>
    <t>Ziebarth, David</t>
  </si>
  <si>
    <t>Brown, Carla</t>
  </si>
  <si>
    <t>Minniear, Timothy</t>
  </si>
  <si>
    <t>Youngblood, Leah</t>
  </si>
  <si>
    <t>Huetter, Suzanne</t>
  </si>
  <si>
    <t>Silvey, Brentley</t>
  </si>
  <si>
    <t>Mckinney, Gregory</t>
  </si>
  <si>
    <t>Harrell, Adam</t>
  </si>
  <si>
    <t>Hellwig, Lindsie</t>
  </si>
  <si>
    <t>Aldrich, Joseph</t>
  </si>
  <si>
    <t>Kilgore, April</t>
  </si>
  <si>
    <t>Rauwerdink, Kaitlyn</t>
  </si>
  <si>
    <t>Still, William</t>
  </si>
  <si>
    <t>Eze, Gift</t>
  </si>
  <si>
    <t>Killingsworth, Julia</t>
  </si>
  <si>
    <t>Bakke, Joshua</t>
  </si>
  <si>
    <t>Kuku, Abiodun</t>
  </si>
  <si>
    <t>Felicitas, Richelle</t>
  </si>
  <si>
    <t>Finke, Garry</t>
  </si>
  <si>
    <t>Scott, Angela</t>
  </si>
  <si>
    <t>Scott, Dawn</t>
  </si>
  <si>
    <t>Shappley, Rebekah</t>
  </si>
  <si>
    <t>Sanford, Garrett</t>
  </si>
  <si>
    <t>Engmann, Carl</t>
  </si>
  <si>
    <t>Damico, Karen</t>
  </si>
  <si>
    <t>Wells, Peggy</t>
  </si>
  <si>
    <t>Lawrence, Dana</t>
  </si>
  <si>
    <t>Ferracci, Christopher</t>
  </si>
  <si>
    <t>Moran, Rebecca</t>
  </si>
  <si>
    <t>Young, Michele</t>
  </si>
  <si>
    <t>Wilson, Laura</t>
  </si>
  <si>
    <t>Froman, Elizabeth</t>
  </si>
  <si>
    <t>Lisenby, Kellie</t>
  </si>
  <si>
    <t>Owen, Courtney</t>
  </si>
  <si>
    <t>Davidoff, Sophie</t>
  </si>
  <si>
    <t>Sample, Theodore</t>
  </si>
  <si>
    <t>Mosley, Courtney</t>
  </si>
  <si>
    <t>Reed, Patrice</t>
  </si>
  <si>
    <t>Smith, Angela</t>
  </si>
  <si>
    <t>Johnson Regional Medical Center</t>
  </si>
  <si>
    <t>Reeves, Adrienne</t>
  </si>
  <si>
    <t>Smith, Diana</t>
  </si>
  <si>
    <t>Brown, Kelly</t>
  </si>
  <si>
    <t>Tinsley, Kendyl</t>
  </si>
  <si>
    <t>Hannah, Aaron</t>
  </si>
  <si>
    <t>Hook, Kay</t>
  </si>
  <si>
    <t>Cook, Mary</t>
  </si>
  <si>
    <t>Lackey, William</t>
  </si>
  <si>
    <t>Workman, Cassandra</t>
  </si>
  <si>
    <t>Crawford, Billy</t>
  </si>
  <si>
    <t>Abshere, Katrina</t>
  </si>
  <si>
    <t>Nations, Ariel</t>
  </si>
  <si>
    <t>Swaite, Callie</t>
  </si>
  <si>
    <t>Pelt, Joe</t>
  </si>
  <si>
    <t>Kuykendall, Shealtiel</t>
  </si>
  <si>
    <t>Kindrick, William</t>
  </si>
  <si>
    <t>Hogue, Hayley</t>
  </si>
  <si>
    <t>Drury, Wade</t>
  </si>
  <si>
    <t>Long, Christiane</t>
  </si>
  <si>
    <t>Gautier, Kellye</t>
  </si>
  <si>
    <t>Allen, Tana</t>
  </si>
  <si>
    <t>Alexander, Elizabeth</t>
  </si>
  <si>
    <t>Pollard, Amy</t>
  </si>
  <si>
    <t>Young, Wenoka</t>
  </si>
  <si>
    <t>Reimonenq, Devonda</t>
  </si>
  <si>
    <t>Crain, Kristan</t>
  </si>
  <si>
    <t>Richardson, Brittany</t>
  </si>
  <si>
    <t>Maisen, Adam</t>
  </si>
  <si>
    <t>Freeman, Shannon</t>
  </si>
  <si>
    <t>Mathes, Sandra</t>
  </si>
  <si>
    <t>Berryman, April</t>
  </si>
  <si>
    <t>Daily, Samuel</t>
  </si>
  <si>
    <t>Tubbs, Bonnie</t>
  </si>
  <si>
    <t>Wheeler, Danielle</t>
  </si>
  <si>
    <t>Wilkirson, Ruth</t>
  </si>
  <si>
    <t>Suttle, Wendy</t>
  </si>
  <si>
    <t>Jones, Adrea</t>
  </si>
  <si>
    <t>Willis, Virginia</t>
  </si>
  <si>
    <t>Cox, Elizabeth</t>
  </si>
  <si>
    <t>Kramer, Teresa</t>
  </si>
  <si>
    <t>Parker, John</t>
  </si>
  <si>
    <t>Dickinson, Melanie</t>
  </si>
  <si>
    <t>Inness, Kelda</t>
  </si>
  <si>
    <t>Hahn, Alan</t>
  </si>
  <si>
    <t>Rhone, Rolisha</t>
  </si>
  <si>
    <t>Stehben, Cady</t>
  </si>
  <si>
    <t>Rice, Robert</t>
  </si>
  <si>
    <t>Washington, Abeer</t>
  </si>
  <si>
    <t>Jones, Bryan</t>
  </si>
  <si>
    <t>Lowman, Len</t>
  </si>
  <si>
    <t>Smith, Wendell</t>
  </si>
  <si>
    <t>Studer, Patricia</t>
  </si>
  <si>
    <t>Skinner, Maureen</t>
  </si>
  <si>
    <t>Fras, Jacquelyn</t>
  </si>
  <si>
    <t>Boyd, Diane</t>
  </si>
  <si>
    <t>Henley, William</t>
  </si>
  <si>
    <t>Cole, Charles</t>
  </si>
  <si>
    <t>Branch, Chelsea</t>
  </si>
  <si>
    <t>Keeling, Sandra</t>
  </si>
  <si>
    <t>Brown, Jane</t>
  </si>
  <si>
    <t>Powell, Melissa</t>
  </si>
  <si>
    <t>Harris, Ashley</t>
  </si>
  <si>
    <t>Tate, Carrie</t>
  </si>
  <si>
    <t>Council, Julie</t>
  </si>
  <si>
    <t>Taylor, Ashley</t>
  </si>
  <si>
    <t>Ruthven, Lauren</t>
  </si>
  <si>
    <t>Clements, Todd</t>
  </si>
  <si>
    <t>Crawford, Tammy</t>
  </si>
  <si>
    <t>Barton, Terrie</t>
  </si>
  <si>
    <t>Allen, Danette</t>
  </si>
  <si>
    <t>Ryan, John</t>
  </si>
  <si>
    <t>Mcnutt, Thomasena</t>
  </si>
  <si>
    <t>Everhart, Roxanne</t>
  </si>
  <si>
    <t>Latture, Seth</t>
  </si>
  <si>
    <t>Matthews, Aaron</t>
  </si>
  <si>
    <t>Castleberry, Cheryl</t>
  </si>
  <si>
    <t>Robbins, Stephanie</t>
  </si>
  <si>
    <t>Ray, Wendy</t>
  </si>
  <si>
    <t>Smith, Bryan</t>
  </si>
  <si>
    <t>Guile, Robin</t>
  </si>
  <si>
    <t>Anglin, Scott</t>
  </si>
  <si>
    <t>Leek, Angela</t>
  </si>
  <si>
    <t>Indiradevi, Aayagari</t>
  </si>
  <si>
    <t>Soles, Ellen</t>
  </si>
  <si>
    <t>Planje, Christina</t>
  </si>
  <si>
    <t>Barker, Amanda</t>
  </si>
  <si>
    <t>Walker, Lynnita</t>
  </si>
  <si>
    <t>Grooms, Amy</t>
  </si>
  <si>
    <t>Petty, Terri</t>
  </si>
  <si>
    <t>Slaughter, Cynthia</t>
  </si>
  <si>
    <t>Phillips, Sarah</t>
  </si>
  <si>
    <t>Lovelace, Rebecca</t>
  </si>
  <si>
    <t>Murders, Silas</t>
  </si>
  <si>
    <t>Moore, Tammi</t>
  </si>
  <si>
    <t>Gray, Kelly</t>
  </si>
  <si>
    <t>Thompson, Rose</t>
  </si>
  <si>
    <t>Mccarther, Paula</t>
  </si>
  <si>
    <t>Wolters, William</t>
  </si>
  <si>
    <t>Williams, Lisa</t>
  </si>
  <si>
    <t>Simpson, Stacy</t>
  </si>
  <si>
    <t>Mccutcheon, Jonna</t>
  </si>
  <si>
    <t>Harris, Tracy</t>
  </si>
  <si>
    <t>Bell, Elizabeth</t>
  </si>
  <si>
    <t>Gordon, Mia</t>
  </si>
  <si>
    <t>Stearman, Jerry</t>
  </si>
  <si>
    <t>Vanderzee, Karin</t>
  </si>
  <si>
    <t>Tannehill, Pamela</t>
  </si>
  <si>
    <t>Gill, Lisa</t>
  </si>
  <si>
    <t>Burns, Rosemary</t>
  </si>
  <si>
    <t>Flaming, Kelley</t>
  </si>
  <si>
    <t>Gordiani, Meggan</t>
  </si>
  <si>
    <t>Ezell, Johnnie</t>
  </si>
  <si>
    <t>Stuecken, Donna</t>
  </si>
  <si>
    <t>Huckabee, Hadyn</t>
  </si>
  <si>
    <t>Balk, Lauriann</t>
  </si>
  <si>
    <t>Mortenson, Melody</t>
  </si>
  <si>
    <t>Swindle, Rhonda</t>
  </si>
  <si>
    <t>Mesman, Glenn</t>
  </si>
  <si>
    <t>Montgomery, Karmella</t>
  </si>
  <si>
    <t>Young, Myrna</t>
  </si>
  <si>
    <t>Humphrey, Stacy</t>
  </si>
  <si>
    <t>Fritchie, Katherine</t>
  </si>
  <si>
    <t>Brannon, Monica</t>
  </si>
  <si>
    <t>Jurbergs, Andrea</t>
  </si>
  <si>
    <t>Billie, Sandra</t>
  </si>
  <si>
    <t>Walden, Thomas</t>
  </si>
  <si>
    <t>Lambert, Karen</t>
  </si>
  <si>
    <t>Farmer, Shawnte</t>
  </si>
  <si>
    <t>Taylor, Megan</t>
  </si>
  <si>
    <t>Taylor, Melinda</t>
  </si>
  <si>
    <t>Crouch, Matthew</t>
  </si>
  <si>
    <t>Thornton, William</t>
  </si>
  <si>
    <t>Perry, Jessica</t>
  </si>
  <si>
    <t>Bergeron, Daniel</t>
  </si>
  <si>
    <t>Group, Megan</t>
  </si>
  <si>
    <t>Thomason, Michael</t>
  </si>
  <si>
    <t>Von Storch, Janelle</t>
  </si>
  <si>
    <t>Dillehay, Erin</t>
  </si>
  <si>
    <t>Lancaster, Tameka</t>
  </si>
  <si>
    <t>Buck, Sarah</t>
  </si>
  <si>
    <t>Swain, Laurie</t>
  </si>
  <si>
    <t>Dixon, Rebekah</t>
  </si>
  <si>
    <t>Gulley, Jasmine</t>
  </si>
  <si>
    <t>Coleman, Tracy</t>
  </si>
  <si>
    <t>Conner, Trisha</t>
  </si>
  <si>
    <t>Jackson, Tori</t>
  </si>
  <si>
    <t>Bailey, Kristin</t>
  </si>
  <si>
    <t>Allen, Brenna</t>
  </si>
  <si>
    <t>Smith, Tammy</t>
  </si>
  <si>
    <t>Lane, Brittany</t>
  </si>
  <si>
    <t>Hill, Shavon</t>
  </si>
  <si>
    <t>Caraway, Beverly</t>
  </si>
  <si>
    <t>Henrard, Gale</t>
  </si>
  <si>
    <t>Collier, Constance</t>
  </si>
  <si>
    <t>Willis, Trisha</t>
  </si>
  <si>
    <t>Pitman, Lauren</t>
  </si>
  <si>
    <t>Patterson, James</t>
  </si>
  <si>
    <t>Knight, Cheryl</t>
  </si>
  <si>
    <t>Jarvis, Robert</t>
  </si>
  <si>
    <t>Gray, Angelica</t>
  </si>
  <si>
    <t>Nelson, Teri</t>
  </si>
  <si>
    <t>Thomas, Sara</t>
  </si>
  <si>
    <t>Harding, Amy</t>
  </si>
  <si>
    <t>Walker, Andreka</t>
  </si>
  <si>
    <t>Inman, Amy</t>
  </si>
  <si>
    <t>Fendley, Shayna</t>
  </si>
  <si>
    <t>Fuqua, Wade</t>
  </si>
  <si>
    <t>James, Evans Hammond</t>
  </si>
  <si>
    <t>Malott, Jesse</t>
  </si>
  <si>
    <t>Summers, Emily</t>
  </si>
  <si>
    <t>Holloway, Allison</t>
  </si>
  <si>
    <t>Farrell, Robert</t>
  </si>
  <si>
    <t>Pulliam, Elizabeth</t>
  </si>
  <si>
    <t>Wingfield, Alicia</t>
  </si>
  <si>
    <t>Vaughan, Mark</t>
  </si>
  <si>
    <t>Sanson, William</t>
  </si>
  <si>
    <t>Dickson, Christine</t>
  </si>
  <si>
    <t>Burge, Carlton</t>
  </si>
  <si>
    <t>Crittenden, Kristin</t>
  </si>
  <si>
    <t>Lewis, Tasha</t>
  </si>
  <si>
    <t>Smith, Brook</t>
  </si>
  <si>
    <t>Bethea, Jordan</t>
  </si>
  <si>
    <t>Webb, Cynthia</t>
  </si>
  <si>
    <t>Howard, Patricia</t>
  </si>
  <si>
    <t>Strickland, Douglas</t>
  </si>
  <si>
    <t>Kordsmeier, Nolan</t>
  </si>
  <si>
    <t>White, Lance</t>
  </si>
  <si>
    <t>Ekeh, Chukwuma</t>
  </si>
  <si>
    <t>Whitney, Jackson</t>
  </si>
  <si>
    <t>Perry, Edward</t>
  </si>
  <si>
    <t>Neighbors, Rodney</t>
  </si>
  <si>
    <t>Partak, Amy</t>
  </si>
  <si>
    <t>Earnhart, Ashley</t>
  </si>
  <si>
    <t>Hammonds, Samantha</t>
  </si>
  <si>
    <t>Deboer, Sarah</t>
  </si>
  <si>
    <t>Dorn, Nicholle</t>
  </si>
  <si>
    <t>Keathley, Justin</t>
  </si>
  <si>
    <t>Conner, Katelyn</t>
  </si>
  <si>
    <t>Hammond, Jennifer</t>
  </si>
  <si>
    <t>Streit, Donald</t>
  </si>
  <si>
    <t>Smith, Rose</t>
  </si>
  <si>
    <t>Pang, Jim</t>
  </si>
  <si>
    <t>Baumberger, Mary</t>
  </si>
  <si>
    <t>Deere, Betty</t>
  </si>
  <si>
    <t>Bontrager, Daniel</t>
  </si>
  <si>
    <t>Kronenberg, Mindy</t>
  </si>
  <si>
    <t>Blaske, David</t>
  </si>
  <si>
    <t>Rainwater, Randy</t>
  </si>
  <si>
    <t>Wauters, Ronald</t>
  </si>
  <si>
    <t>Hicks, Toni</t>
  </si>
  <si>
    <t>Mercer, Paula</t>
  </si>
  <si>
    <t>Rossetti, Cindy</t>
  </si>
  <si>
    <t>Beard, Megan</t>
  </si>
  <si>
    <t>Franklin, Catherine</t>
  </si>
  <si>
    <t>Cobb, Ashley</t>
  </si>
  <si>
    <t>Newton, Shannon</t>
  </si>
  <si>
    <t>Erickson, Jerry</t>
  </si>
  <si>
    <t>Towne, Anita</t>
  </si>
  <si>
    <t>Costaldi, Jessica</t>
  </si>
  <si>
    <t>Elrod, Winona</t>
  </si>
  <si>
    <t>Gudde, Dustin</t>
  </si>
  <si>
    <t>Fuller, Kendra</t>
  </si>
  <si>
    <t>Todd, Janet</t>
  </si>
  <si>
    <t>Kveum, Michelle</t>
  </si>
  <si>
    <t>Schlau, Rebecca</t>
  </si>
  <si>
    <t>Merritt, Misty</t>
  </si>
  <si>
    <t>Johnson, Lauren</t>
  </si>
  <si>
    <t>Campbell, Bobbie</t>
  </si>
  <si>
    <t>Meeks, Robert</t>
  </si>
  <si>
    <t>Frinkle, Ashley</t>
  </si>
  <si>
    <t>Middleton, Jennifer</t>
  </si>
  <si>
    <t>Caldwell, Amanda</t>
  </si>
  <si>
    <t>Broadaway, Mallory</t>
  </si>
  <si>
    <t>Niles, Jennifer</t>
  </si>
  <si>
    <t>Jordan, Kathy</t>
  </si>
  <si>
    <t>Freilino, Jennifer</t>
  </si>
  <si>
    <t>Bolding, John</t>
  </si>
  <si>
    <t>Morris, Janet</t>
  </si>
  <si>
    <t>Grubesich, Connie</t>
  </si>
  <si>
    <t>Hancock, Lena</t>
  </si>
  <si>
    <t>Wilson, Brett</t>
  </si>
  <si>
    <t>Schluterman, Alex</t>
  </si>
  <si>
    <t>Tanks, Edayshia</t>
  </si>
  <si>
    <t>Bailey, David</t>
  </si>
  <si>
    <t>Wren, Teresa</t>
  </si>
  <si>
    <t>Crosby, Dolores</t>
  </si>
  <si>
    <t>Mccaskill, Richard</t>
  </si>
  <si>
    <t>Parks, James</t>
  </si>
  <si>
    <t>Hayes-Hudspeth, Martha</t>
  </si>
  <si>
    <t>Jason, Cates</t>
  </si>
  <si>
    <t>Smithyman, Deborah</t>
  </si>
  <si>
    <t>Pruett, Kenneth</t>
  </si>
  <si>
    <t>Kari, Spears</t>
  </si>
  <si>
    <t>Craft, Beth</t>
  </si>
  <si>
    <t>Price, Emily</t>
  </si>
  <si>
    <t>Rosa, Ananda</t>
  </si>
  <si>
    <t>Lovell, Samantha</t>
  </si>
  <si>
    <t>Stevens, Beth</t>
  </si>
  <si>
    <t>Wilson, Aubrey</t>
  </si>
  <si>
    <t>King, Marc</t>
  </si>
  <si>
    <t>Norris, Whitney</t>
  </si>
  <si>
    <t>Jackson, Beth</t>
  </si>
  <si>
    <t>Rush, James</t>
  </si>
  <si>
    <t>Heidelberger, Henry</t>
  </si>
  <si>
    <t>Lynley, Billingsley</t>
  </si>
  <si>
    <t>Duhaime, Ganiece</t>
  </si>
  <si>
    <t>Adams, Brian</t>
  </si>
  <si>
    <t>Lakisha, Stuckey</t>
  </si>
  <si>
    <t>Sherita, Shepherd</t>
  </si>
  <si>
    <t>Gregory, Tancibok</t>
  </si>
  <si>
    <t>Porsha, Gonder Mcdonald</t>
  </si>
  <si>
    <t>Ross, Yulonda</t>
  </si>
  <si>
    <t>Saccente, Carolyn</t>
  </si>
  <si>
    <t>Brander, Brooke</t>
  </si>
  <si>
    <t>Berry, Michael</t>
  </si>
  <si>
    <t>Birrer, Michael</t>
  </si>
  <si>
    <t>Farrar, Jason</t>
  </si>
  <si>
    <t>Savage, John</t>
  </si>
  <si>
    <t>Ataga, Kenneth</t>
  </si>
  <si>
    <t>Huffman, Laura</t>
  </si>
  <si>
    <t>Koch, Ryan</t>
  </si>
  <si>
    <t>Dean, Katherine</t>
  </si>
  <si>
    <t>Williams, Kayla</t>
  </si>
  <si>
    <t>Patil, Sadanand</t>
  </si>
  <si>
    <t>Schaefer, Eric</t>
  </si>
  <si>
    <t>Woo, Van</t>
  </si>
  <si>
    <t>Throckmorton, Alyssa</t>
  </si>
  <si>
    <t>Tillmanns, Todd</t>
  </si>
  <si>
    <t>Divers, Stephen</t>
  </si>
  <si>
    <t>Yates, Ryan</t>
  </si>
  <si>
    <t>Harrell, Leslie</t>
  </si>
  <si>
    <t>Somer, Bradley</t>
  </si>
  <si>
    <t>Briggler, Andrew</t>
  </si>
  <si>
    <t>Chc Lakeside Nursing Center</t>
  </si>
  <si>
    <t>Baptist Health Van Buren</t>
  </si>
  <si>
    <t>Summit Health &amp; Rehabilitation Center</t>
  </si>
  <si>
    <t>Forsyth Care Center</t>
  </si>
  <si>
    <t>Windcrest Health And Rehab</t>
  </si>
  <si>
    <t>Helena Regional Medical Center Skilled Nursing Unit</t>
  </si>
  <si>
    <t>Chicot Memorial Medical Center Skilled Nursing Unit</t>
  </si>
  <si>
    <t>Five Rivers Medical Center Skilled Nursing Unit</t>
  </si>
  <si>
    <t>Willow Health Care, Inc.</t>
  </si>
  <si>
    <t>Myears, Donald</t>
  </si>
  <si>
    <t>Hatch, Allan</t>
  </si>
  <si>
    <t>Davis, Lee</t>
  </si>
  <si>
    <t>Devabhaktuni, Subodh</t>
  </si>
  <si>
    <t>Reinsvold, Thomas</t>
  </si>
  <si>
    <t>Hugh, Bigg</t>
  </si>
  <si>
    <t>Harper, Yenal</t>
  </si>
  <si>
    <t>Mounsey, John</t>
  </si>
  <si>
    <t>Mego, David</t>
  </si>
  <si>
    <t>Kantola, Ronald</t>
  </si>
  <si>
    <t>Das, Debasis</t>
  </si>
  <si>
    <t>Arzola, Fernando</t>
  </si>
  <si>
    <t>Lee, Sam</t>
  </si>
  <si>
    <t>Lishmanov, Anton</t>
  </si>
  <si>
    <t>Saporito, Joseph</t>
  </si>
  <si>
    <t>Hurley, James</t>
  </si>
  <si>
    <t>Tauth, Jeffrey</t>
  </si>
  <si>
    <t>Ribeiro, Paulo</t>
  </si>
  <si>
    <t>Tagupa, Eumar</t>
  </si>
  <si>
    <t>Minton, Randell</t>
  </si>
  <si>
    <t>Lyons, Matthew</t>
  </si>
  <si>
    <t>Sherbet, Daniel</t>
  </si>
  <si>
    <t>Richardson, Brenda</t>
  </si>
  <si>
    <t>Guruchandrasekar, Sanchitha</t>
  </si>
  <si>
    <t>Waqas, Muhammad</t>
  </si>
  <si>
    <t>Kumar, Aswini</t>
  </si>
  <si>
    <t>Stamps, James</t>
  </si>
  <si>
    <t>Chavez, Jaime</t>
  </si>
  <si>
    <t>Alshawi, Raya</t>
  </si>
  <si>
    <t>Elesber, Ahmad</t>
  </si>
  <si>
    <t>Revard, Ronald</t>
  </si>
  <si>
    <t>Tukaye, Deepali</t>
  </si>
  <si>
    <t>Chase, Nancy</t>
  </si>
  <si>
    <t>Doshi, Amit</t>
  </si>
  <si>
    <t>Anderson, Keith</t>
  </si>
  <si>
    <t>Dalal, Ajay</t>
  </si>
  <si>
    <t>Arthur, Lindsay</t>
  </si>
  <si>
    <t>Jones, Ryan</t>
  </si>
  <si>
    <t>Yeh, Edward</t>
  </si>
  <si>
    <t>Leding, Carl</t>
  </si>
  <si>
    <t>Smithers, Maureen</t>
  </si>
  <si>
    <t>Faulkner, Lee</t>
  </si>
  <si>
    <t>Hall, Christopher</t>
  </si>
  <si>
    <t>Perez, Nelson</t>
  </si>
  <si>
    <t>Collins, Laura</t>
  </si>
  <si>
    <t>Curry, Angela</t>
  </si>
  <si>
    <t>Callaway, Jody</t>
  </si>
  <si>
    <t>Engbretson, Laura</t>
  </si>
  <si>
    <t>Hagen, Brittanie</t>
  </si>
  <si>
    <t>Warrior, Jeni</t>
  </si>
  <si>
    <t>Cockrum, Holly</t>
  </si>
  <si>
    <t>Lambert, Kenneth</t>
  </si>
  <si>
    <t>Cooley, Kira</t>
  </si>
  <si>
    <t>Hardman, Mary</t>
  </si>
  <si>
    <t>Smith, Ebony</t>
  </si>
  <si>
    <t>Clouatre, Michael</t>
  </si>
  <si>
    <t>Hardy, Brenda</t>
  </si>
  <si>
    <t>Lee, Daniel</t>
  </si>
  <si>
    <t>Miller, Angela</t>
  </si>
  <si>
    <t>Haskins, Laura</t>
  </si>
  <si>
    <t>Johns, Sandy</t>
  </si>
  <si>
    <t>Phillips, Don</t>
  </si>
  <si>
    <t>Grandberry, Deidrea</t>
  </si>
  <si>
    <t>Collins, Michael</t>
  </si>
  <si>
    <t>Whittington, Julie</t>
  </si>
  <si>
    <t>Whitlow, Carlisha</t>
  </si>
  <si>
    <t>Goucher, Emily</t>
  </si>
  <si>
    <t>Brezina, Paul</t>
  </si>
  <si>
    <t>Johnson, Mary</t>
  </si>
  <si>
    <t>Scales, James</t>
  </si>
  <si>
    <t>Jernigan, Michele</t>
  </si>
  <si>
    <t>Murrmann, Susan</t>
  </si>
  <si>
    <t>Wiedel, Lisa</t>
  </si>
  <si>
    <t>Pierce, Ruston</t>
  </si>
  <si>
    <t>Taylor, Chad</t>
  </si>
  <si>
    <t>Mason, Ashley</t>
  </si>
  <si>
    <t>Williams, Judith</t>
  </si>
  <si>
    <t>Sams, Joseph</t>
  </si>
  <si>
    <t>Paulson, Kathleen</t>
  </si>
  <si>
    <t>Worley, Kara</t>
  </si>
  <si>
    <t>Thornton, Amanda</t>
  </si>
  <si>
    <t>Thomas, Shelia</t>
  </si>
  <si>
    <t>Radhakrishnan, Muthukumar</t>
  </si>
  <si>
    <t>Kyaw, Yadana</t>
  </si>
  <si>
    <t>Wright, Jeffrey</t>
  </si>
  <si>
    <t>Curry, Ravis</t>
  </si>
  <si>
    <t>Mustafa, Syed</t>
  </si>
  <si>
    <t>Searcy, Robert</t>
  </si>
  <si>
    <t>Freire, Amado</t>
  </si>
  <si>
    <t>Sinclair, Scott</t>
  </si>
  <si>
    <t>Sifford, Mark</t>
  </si>
  <si>
    <t>Joshi, Manish</t>
  </si>
  <si>
    <t>John, Christopher</t>
  </si>
  <si>
    <t>Finder, Jonathan</t>
  </si>
  <si>
    <t>Berlinski, Ariel</t>
  </si>
  <si>
    <t>Macbruce, Daphne</t>
  </si>
  <si>
    <t>Paul, Daniel</t>
  </si>
  <si>
    <t>Javaid, Maria</t>
  </si>
  <si>
    <t>Bansal, Shipra</t>
  </si>
  <si>
    <t>Baptist Health Medical Center Conway</t>
  </si>
  <si>
    <t>Conway Regional Rehab Hospital</t>
  </si>
  <si>
    <t>Provider Group, White County Hospitalists</t>
  </si>
  <si>
    <t>Baxter Regional Medical Center Rehab</t>
  </si>
  <si>
    <t>Nea Baptist Memorial Hospital Rehab Unit</t>
  </si>
  <si>
    <t>Raza, Syed</t>
  </si>
  <si>
    <t>Boddeda, Swetha</t>
  </si>
  <si>
    <t>Ali, Zunaira</t>
  </si>
  <si>
    <t>Akhigbe, Titilola</t>
  </si>
  <si>
    <t>Wayne, Rachel</t>
  </si>
  <si>
    <t>Kota, Vinisha</t>
  </si>
  <si>
    <t>Karim, Shabana</t>
  </si>
  <si>
    <t>Risch, Patrick</t>
  </si>
  <si>
    <t>Stone, Jean</t>
  </si>
  <si>
    <t>Sutton, Jacob</t>
  </si>
  <si>
    <t>Williams, Susan</t>
  </si>
  <si>
    <t>Mertins, Allyson</t>
  </si>
  <si>
    <t>Phillips, Jeffrey</t>
  </si>
  <si>
    <t>Jones, Matthew</t>
  </si>
  <si>
    <t>Halsted, Jessalyn</t>
  </si>
  <si>
    <t>Mathews, Dennis</t>
  </si>
  <si>
    <t>Finley Rose, Angela</t>
  </si>
  <si>
    <t>Vance, Dustin</t>
  </si>
  <si>
    <t>Deblack, Susan</t>
  </si>
  <si>
    <t>Allen, Mark</t>
  </si>
  <si>
    <t>Carson, Blaine</t>
  </si>
  <si>
    <t>Ford, Zachary</t>
  </si>
  <si>
    <t>Davis, Stephen</t>
  </si>
  <si>
    <t>Fingerhut, David</t>
  </si>
  <si>
    <t>Lunsford, Sarah</t>
  </si>
  <si>
    <t>Graham, Calvin</t>
  </si>
  <si>
    <t>Adams, Serrhel</t>
  </si>
  <si>
    <t>Philpott, William</t>
  </si>
  <si>
    <t>Hilliard, Kylie</t>
  </si>
  <si>
    <t>Lieblong, Justin</t>
  </si>
  <si>
    <t>Veal, Jami</t>
  </si>
  <si>
    <t>Villane, Richard</t>
  </si>
  <si>
    <t>Ford, Shane</t>
  </si>
  <si>
    <t>Hutchins, Kathryn</t>
  </si>
  <si>
    <t>Hoffman, Courtney</t>
  </si>
  <si>
    <t>Glass, James</t>
  </si>
  <si>
    <t>King, Lawrence</t>
  </si>
  <si>
    <t>Robbins, Eric</t>
  </si>
  <si>
    <t>Jones, Kenneth</t>
  </si>
  <si>
    <t>Jackson, Julia</t>
  </si>
  <si>
    <t>Dryden, Jennifer</t>
  </si>
  <si>
    <t>Stank, Thomas</t>
  </si>
  <si>
    <t>Koontz, Bryan</t>
  </si>
  <si>
    <t>Chung, Kathleen</t>
  </si>
  <si>
    <t>Zocchi, Kent</t>
  </si>
  <si>
    <t>Hall, Allison</t>
  </si>
  <si>
    <t>Gore, Martha</t>
  </si>
  <si>
    <t>Long, Derek</t>
  </si>
  <si>
    <t>Suffridge, Phillip</t>
  </si>
  <si>
    <t>Dufour, Jacob</t>
  </si>
  <si>
    <t>Lieblong, Jim</t>
  </si>
  <si>
    <t>Law, Michael</t>
  </si>
  <si>
    <t>Irvine, William</t>
  </si>
  <si>
    <t>Dellacroce, John</t>
  </si>
  <si>
    <t>Dunn, George</t>
  </si>
  <si>
    <t>Cox, Randal</t>
  </si>
  <si>
    <t>Amerine, Perry</t>
  </si>
  <si>
    <t>Kavoussi, Harold</t>
  </si>
  <si>
    <t>Sullivan, Mary</t>
  </si>
  <si>
    <t>Vold, Steven</t>
  </si>
  <si>
    <t>Ergle, Chevron</t>
  </si>
  <si>
    <t>Schaeffer, Alan</t>
  </si>
  <si>
    <t>Blair, Susan</t>
  </si>
  <si>
    <t>Jones, Bart</t>
  </si>
  <si>
    <t>Semmler, Susan</t>
  </si>
  <si>
    <t>Gancarczyk, Kevin</t>
  </si>
  <si>
    <t>Ferguson, Scott</t>
  </si>
  <si>
    <t>Cole, Adam</t>
  </si>
  <si>
    <t>Decker, Daniel</t>
  </si>
  <si>
    <t>Portera, Stephen</t>
  </si>
  <si>
    <t>Hussain, Ahmed</t>
  </si>
  <si>
    <t>Jacobs, Emily</t>
  </si>
  <si>
    <t>Stewart, Adam</t>
  </si>
  <si>
    <t>Zimmerman, Robert</t>
  </si>
  <si>
    <t>Moore, John</t>
  </si>
  <si>
    <t>Doyle, Sean</t>
  </si>
  <si>
    <t>Shelton, Thomas</t>
  </si>
  <si>
    <t>Gleason, Joseph</t>
  </si>
  <si>
    <t>Wilkin, Michael</t>
  </si>
  <si>
    <t>Taylor, Garrett</t>
  </si>
  <si>
    <t>Mcgraw, Lance</t>
  </si>
  <si>
    <t>Box, Terry</t>
  </si>
  <si>
    <t>Evan, Davis</t>
  </si>
  <si>
    <t>Cole, David</t>
  </si>
  <si>
    <t>Culpepper, Nicholas</t>
  </si>
  <si>
    <t>Head, Rachel</t>
  </si>
  <si>
    <t>Gould, Larry</t>
  </si>
  <si>
    <t>Miles, Jeffrey</t>
  </si>
  <si>
    <t>Slaughter, Bradley</t>
  </si>
  <si>
    <t>Monks, Ashton</t>
  </si>
  <si>
    <t>Mcmillan, Ashley</t>
  </si>
  <si>
    <t>Bartels, Anthony</t>
  </si>
  <si>
    <t>Tyrer, Dean</t>
  </si>
  <si>
    <t>Liggett, Charles</t>
  </si>
  <si>
    <t>Reed, Dylan</t>
  </si>
  <si>
    <t>Scarbrough, Joseph</t>
  </si>
  <si>
    <t>Stephens, Scott</t>
  </si>
  <si>
    <t>Neaville, Charles</t>
  </si>
  <si>
    <t>Brooks, Frank</t>
  </si>
  <si>
    <t>Brittain, Douglas</t>
  </si>
  <si>
    <t>Berry, John</t>
  </si>
  <si>
    <t>Hooper, Stephen</t>
  </si>
  <si>
    <t>Lee, Shawn</t>
  </si>
  <si>
    <t>Eubanks, Terri</t>
  </si>
  <si>
    <t>Hatley, John</t>
  </si>
  <si>
    <t>Everett, Randy</t>
  </si>
  <si>
    <t>Varner, James</t>
  </si>
  <si>
    <t>Grace, David</t>
  </si>
  <si>
    <t>Kuhn, Logan</t>
  </si>
  <si>
    <t>Pinney, Joseph</t>
  </si>
  <si>
    <t>Griffin, Douglas</t>
  </si>
  <si>
    <t>Sidhu, Sukhmani</t>
  </si>
  <si>
    <t>Moore, Ryan</t>
  </si>
  <si>
    <t>Yarnell, Sarah</t>
  </si>
  <si>
    <t>Baltz, Paul</t>
  </si>
  <si>
    <t>Roark, Rodney</t>
  </si>
  <si>
    <t>Flaherty, Stephanie</t>
  </si>
  <si>
    <t>Cooper, Darron</t>
  </si>
  <si>
    <t>Udouj, Stan</t>
  </si>
  <si>
    <t>Richardson, Hayley</t>
  </si>
  <si>
    <t>Simpson, Aaron</t>
  </si>
  <si>
    <t>Skinner, Brian</t>
  </si>
  <si>
    <t>Christensen, Kevin</t>
  </si>
  <si>
    <t>Sanders, Cody</t>
  </si>
  <si>
    <t>Gorman, Russell</t>
  </si>
  <si>
    <t>Faulkner, Ronnie</t>
  </si>
  <si>
    <t>Fergus, James</t>
  </si>
  <si>
    <t>Pollard, William</t>
  </si>
  <si>
    <t>Barlow, John</t>
  </si>
  <si>
    <t>Clark, Alan</t>
  </si>
  <si>
    <t>Evans, Paul</t>
  </si>
  <si>
    <t>Shelton, William</t>
  </si>
  <si>
    <t>Johnson, Duncan</t>
  </si>
  <si>
    <t>Jessica, Scroggins</t>
  </si>
  <si>
    <t>Clements, Sheryl</t>
  </si>
  <si>
    <t>Eggart, William</t>
  </si>
  <si>
    <t>Eiler, Robin</t>
  </si>
  <si>
    <t>Kemper, Leona</t>
  </si>
  <si>
    <t>Jacob, Pinkerton</t>
  </si>
  <si>
    <t>Musallam, Raed</t>
  </si>
  <si>
    <t>Irvin, Aaron</t>
  </si>
  <si>
    <t>Jones, Randall</t>
  </si>
  <si>
    <t>Akridge, Catherine</t>
  </si>
  <si>
    <t>Heard, Daniel</t>
  </si>
  <si>
    <t>Crabtree, Kristen</t>
  </si>
  <si>
    <t>Rusher, Anthony</t>
  </si>
  <si>
    <t>Liggett, Kristopher</t>
  </si>
  <si>
    <t>Byram, Jeff</t>
  </si>
  <si>
    <t>Gibson, Katie</t>
  </si>
  <si>
    <t>Seelinger, Payton</t>
  </si>
  <si>
    <t>Wardlaw, David</t>
  </si>
  <si>
    <t>Sinada, Naif</t>
  </si>
  <si>
    <t>Curry, Michael</t>
  </si>
  <si>
    <t>Knoernschield, Carmela J Montez</t>
  </si>
  <si>
    <t>Ashcraft, Michael</t>
  </si>
  <si>
    <t>Darling, Bryan</t>
  </si>
  <si>
    <t>Carmony, Brent</t>
  </si>
  <si>
    <t>Cross, Joshua</t>
  </si>
  <si>
    <t>Conrad Pearson Clinic - Radiology Service</t>
  </si>
  <si>
    <t>P012</t>
  </si>
  <si>
    <t>Allergy and Immunology</t>
  </si>
  <si>
    <t>Cashman, Stephen</t>
  </si>
  <si>
    <t>Levy, Joe</t>
  </si>
  <si>
    <t>Hanissian, Gregory</t>
  </si>
  <si>
    <t>Sublett, James</t>
  </si>
  <si>
    <t>Dilley, Meredith</t>
  </si>
  <si>
    <t>Amy</t>
  </si>
  <si>
    <t>Michael, Christie</t>
  </si>
  <si>
    <t>Harris, Daniel</t>
  </si>
  <si>
    <t>Jefferson, Akilah</t>
  </si>
  <si>
    <t>Hutcheson, James</t>
  </si>
  <si>
    <t>Stewart, Patricia</t>
  </si>
  <si>
    <t>Daher, Nora</t>
  </si>
  <si>
    <t>Merritt, Tina</t>
  </si>
  <si>
    <t>Adam</t>
  </si>
  <si>
    <t>Cole, Steve</t>
  </si>
  <si>
    <t>Richter, Sharon</t>
  </si>
  <si>
    <t>P013</t>
  </si>
  <si>
    <t>Cardiology</t>
  </si>
  <si>
    <t>Soomro, Armaghan</t>
  </si>
  <si>
    <t>Baker, John</t>
  </si>
  <si>
    <t>Alqaqa, Ashraf</t>
  </si>
  <si>
    <t>Trenton J Bickel</t>
  </si>
  <si>
    <t>Muhammad A Zulqarnain</t>
  </si>
  <si>
    <t>Mohammad, Mojadidi</t>
  </si>
  <si>
    <t>Stewart, Jeffrey</t>
  </si>
  <si>
    <t>Humphrey, Diego</t>
  </si>
  <si>
    <t>Alkowatli, Allam</t>
  </si>
  <si>
    <t>Ellichman, Jonathan</t>
  </si>
  <si>
    <t>Anderson, Mark</t>
  </si>
  <si>
    <t>Robinson, Antwan</t>
  </si>
  <si>
    <t>Clive, Goulbourne</t>
  </si>
  <si>
    <t>Tailor, Neil</t>
  </si>
  <si>
    <t>Anthony</t>
  </si>
  <si>
    <t>Nwokolo, Chibuzo</t>
  </si>
  <si>
    <t>White, Jeremy</t>
  </si>
  <si>
    <t>Lebaron, Linnea</t>
  </si>
  <si>
    <t>Okolo, Joseph</t>
  </si>
  <si>
    <t>Ryszkowski, Jan</t>
  </si>
  <si>
    <t>Kasprowicz, Thomas</t>
  </si>
  <si>
    <t>Hale, Seth</t>
  </si>
  <si>
    <t>Dox, Hector</t>
  </si>
  <si>
    <t>Daniel J Fiedorek</t>
  </si>
  <si>
    <t>Scheel, Janet</t>
  </si>
  <si>
    <t>Ul Haq, Ehtesham</t>
  </si>
  <si>
    <t>Assi, Nizar</t>
  </si>
  <si>
    <t>Philip, Ranjit</t>
  </si>
  <si>
    <t>Flautt, Thomas</t>
  </si>
  <si>
    <t>Karimian, Siamak</t>
  </si>
  <si>
    <t>Lim, Michael</t>
  </si>
  <si>
    <t>Bourji, Naji</t>
  </si>
  <si>
    <t>Valaulikar, Ganpat</t>
  </si>
  <si>
    <t>Ashraf, Muhammad</t>
  </si>
  <si>
    <t>Hakeem, Abdul</t>
  </si>
  <si>
    <t>Padmaraj</t>
  </si>
  <si>
    <t>Stephen T Dalby</t>
  </si>
  <si>
    <t>Abhishek</t>
  </si>
  <si>
    <t>Richard</t>
  </si>
  <si>
    <t>Cherisse M Baldeo</t>
  </si>
  <si>
    <t>Osayamen, Michael</t>
  </si>
  <si>
    <t>Wolf, Bradley</t>
  </si>
  <si>
    <t>Georges Ephrem</t>
  </si>
  <si>
    <t>Rypkema, Scott</t>
  </si>
  <si>
    <t>Iwuchukwu, Chizor</t>
  </si>
  <si>
    <t>Sinha, Archana</t>
  </si>
  <si>
    <t>Bitar, Jay</t>
  </si>
  <si>
    <t>Ashley, Kiene</t>
  </si>
  <si>
    <t>Kenner, Michael</t>
  </si>
  <si>
    <t>Alhaddad, Mohsin</t>
  </si>
  <si>
    <t>Ransom, John</t>
  </si>
  <si>
    <t>Wattanasuwan, Norrapol</t>
  </si>
  <si>
    <t>Soto, Gabriel</t>
  </si>
  <si>
    <t>Basu Ray, Indranill</t>
  </si>
  <si>
    <t>Mohammad T Al Sarie</t>
  </si>
  <si>
    <t>Freeland, Kristofer</t>
  </si>
  <si>
    <t>Brown, Andrew</t>
  </si>
  <si>
    <t>Busby, John</t>
  </si>
  <si>
    <t>Sharath</t>
  </si>
  <si>
    <t>Pearce, Albert</t>
  </si>
  <si>
    <t>Wiesner, Philipp</t>
  </si>
  <si>
    <t>Hutchinson, Ayme</t>
  </si>
  <si>
    <t>Talbert, Timothy</t>
  </si>
  <si>
    <t>Benjamin</t>
  </si>
  <si>
    <t>Chrisman, Freddy</t>
  </si>
  <si>
    <t>Mattingly, Michael</t>
  </si>
  <si>
    <t>Chauvin, Edgar</t>
  </si>
  <si>
    <t>Trad, Jawad</t>
  </si>
  <si>
    <t>Miller, Tommy</t>
  </si>
  <si>
    <t>Fakorede, Foluso</t>
  </si>
  <si>
    <t>Schmitz, Michael</t>
  </si>
  <si>
    <t>Soliman, George</t>
  </si>
  <si>
    <t>Cruz, Manuel</t>
  </si>
  <si>
    <t>Shuaib, Samer</t>
  </si>
  <si>
    <t>Bomb, Ritin</t>
  </si>
  <si>
    <t>St Pierre, Mark</t>
  </si>
  <si>
    <t>Mahayni, Mohamad</t>
  </si>
  <si>
    <t>Swarup, Supreeya</t>
  </si>
  <si>
    <t>Bhama, Jay</t>
  </si>
  <si>
    <t>Meron, Teshome</t>
  </si>
  <si>
    <t>Sameer A Oza</t>
  </si>
  <si>
    <t>Rashid, Abdul</t>
  </si>
  <si>
    <t>Al-Sabeq, Basil</t>
  </si>
  <si>
    <t>Abhishek Chakraborty</t>
  </si>
  <si>
    <t>Fryoux, Jordan</t>
  </si>
  <si>
    <t>Soontrapa, Suthipong</t>
  </si>
  <si>
    <t>Al Hindi, Ahmad</t>
  </si>
  <si>
    <t>Gary, Michael</t>
  </si>
  <si>
    <t>Norton Bridget M</t>
  </si>
  <si>
    <t>Maria, Gutierrez-Torres</t>
  </si>
  <si>
    <t>Soni, Ronak</t>
  </si>
  <si>
    <t>Pelton, Jason</t>
  </si>
  <si>
    <t>Zhang, Wenwu</t>
  </si>
  <si>
    <t>William</t>
  </si>
  <si>
    <t>Sierra, Francisco</t>
  </si>
  <si>
    <t>Frais, Michael</t>
  </si>
  <si>
    <t>Ugonabo, Ifeoma</t>
  </si>
  <si>
    <t>Parvathaneni, Sunthosh</t>
  </si>
  <si>
    <t>P014</t>
  </si>
  <si>
    <t>Cardiothoracic Surgery</t>
  </si>
  <si>
    <t>Randy K Metcalf</t>
  </si>
  <si>
    <t>Cohlmia, George</t>
  </si>
  <si>
    <t>Schmidt, Frank</t>
  </si>
  <si>
    <t>Howe, Herbert</t>
  </si>
  <si>
    <t>Wallace, William</t>
  </si>
  <si>
    <t>Spears, Travis</t>
  </si>
  <si>
    <t>Muesse, Jason</t>
  </si>
  <si>
    <t>Jane Y Zhao</t>
  </si>
  <si>
    <t>Sai-Sudhakar, Chittoor</t>
  </si>
  <si>
    <t>Napoli, Peter</t>
  </si>
  <si>
    <t>Reemtsen, Brian</t>
  </si>
  <si>
    <t>Baptiste, Reginald</t>
  </si>
  <si>
    <t>Luis, Dibos</t>
  </si>
  <si>
    <t>Hoang, Thomas</t>
  </si>
  <si>
    <t>Poret, Harvey</t>
  </si>
  <si>
    <t>Dean, David</t>
  </si>
  <si>
    <t>Moursi, Mohammed</t>
  </si>
  <si>
    <t>Kourlis, Harry</t>
  </si>
  <si>
    <t>Pouya</t>
  </si>
  <si>
    <t>Laga, Stephen</t>
  </si>
  <si>
    <t>P015</t>
  </si>
  <si>
    <t>Chiropractor</t>
  </si>
  <si>
    <t>Hogan, Charles</t>
  </si>
  <si>
    <t>Brandon</t>
  </si>
  <si>
    <t>Slattery, Sarah</t>
  </si>
  <si>
    <t>Garrison, Lauren</t>
  </si>
  <si>
    <t>Taylor, Earl</t>
  </si>
  <si>
    <t>Jacob</t>
  </si>
  <si>
    <t>Olson, Perilyn</t>
  </si>
  <si>
    <t>Wood, Derrick</t>
  </si>
  <si>
    <t>Stasi, Anthony</t>
  </si>
  <si>
    <t>Evans, Russell</t>
  </si>
  <si>
    <t>Taylor, Chadwick</t>
  </si>
  <si>
    <t>Swiggart, Parker</t>
  </si>
  <si>
    <t>Keres, Adam</t>
  </si>
  <si>
    <t>Reistroffer, Troy</t>
  </si>
  <si>
    <t>Hillman, Caroline</t>
  </si>
  <si>
    <t>Harrison, Constance</t>
  </si>
  <si>
    <t>Callaway, Kelly</t>
  </si>
  <si>
    <t>Williamson, Zachary</t>
  </si>
  <si>
    <t>Logan R Collins</t>
  </si>
  <si>
    <t>Jackson, Michael</t>
  </si>
  <si>
    <t>Williams, Rodney</t>
  </si>
  <si>
    <t>Legarde, Faron</t>
  </si>
  <si>
    <t>Bibb, John</t>
  </si>
  <si>
    <t>Tuttle, Matthew</t>
  </si>
  <si>
    <t>Richard, Ryan</t>
  </si>
  <si>
    <t>Chris, Grayling</t>
  </si>
  <si>
    <t>Joseph C Pinney</t>
  </si>
  <si>
    <t>Seubold, Morgan</t>
  </si>
  <si>
    <t>Hensley, Kelley</t>
  </si>
  <si>
    <t>Cole, Lincoln</t>
  </si>
  <si>
    <t>Jonathan R Hand</t>
  </si>
  <si>
    <t>Foster, Beverly</t>
  </si>
  <si>
    <t>Carr, Jeffrey</t>
  </si>
  <si>
    <t>Beard, Brian</t>
  </si>
  <si>
    <t>Wright Smith, Carol</t>
  </si>
  <si>
    <t>Darren J Avise</t>
  </si>
  <si>
    <t>William H Andrews</t>
  </si>
  <si>
    <t>Bennett, Trudy</t>
  </si>
  <si>
    <t>Doriot, Tammy</t>
  </si>
  <si>
    <t>Richard, Forte Jr.</t>
  </si>
  <si>
    <t>Collins, Ryan</t>
  </si>
  <si>
    <t>Clark, Scott</t>
  </si>
  <si>
    <t>Alford, Caleb</t>
  </si>
  <si>
    <t>Chang, Steven</t>
  </si>
  <si>
    <t>Notto, Leonard</t>
  </si>
  <si>
    <t>Norris, Adrianna</t>
  </si>
  <si>
    <t>Gatlin, Jill</t>
  </si>
  <si>
    <t>Charest, Bruce</t>
  </si>
  <si>
    <t>Pomeroy, Justin</t>
  </si>
  <si>
    <t>Franklin, Michael</t>
  </si>
  <si>
    <t>Audirsch, Luke</t>
  </si>
  <si>
    <t>Faulkenberry, Melissa</t>
  </si>
  <si>
    <t>Unruh, Johnny</t>
  </si>
  <si>
    <t>Horine, Natalie</t>
  </si>
  <si>
    <t>Martinez, Michael</t>
  </si>
  <si>
    <t>Rowden, Sarah</t>
  </si>
  <si>
    <t>Galvin Iii, James</t>
  </si>
  <si>
    <t>Smith, Dale</t>
  </si>
  <si>
    <t>Gibson, Mitchell</t>
  </si>
  <si>
    <t>Sims, Lindsey</t>
  </si>
  <si>
    <t>Declerk, Rex</t>
  </si>
  <si>
    <t>Mcelroy, Ashley</t>
  </si>
  <si>
    <t>Cook, Kristen</t>
  </si>
  <si>
    <t>Rock A Wooster</t>
  </si>
  <si>
    <t>Pritchett, Bobby</t>
  </si>
  <si>
    <t>Wilcoxson, Ashley</t>
  </si>
  <si>
    <t>Witter, Joshua</t>
  </si>
  <si>
    <t>Buchanan, Timonia</t>
  </si>
  <si>
    <t>Beutelschies, Jordana</t>
  </si>
  <si>
    <t>Burford, Glen</t>
  </si>
  <si>
    <t>Wilkins, Clay</t>
  </si>
  <si>
    <t>Bailey, Reggealika</t>
  </si>
  <si>
    <t>Morgan</t>
  </si>
  <si>
    <t>James L Pike</t>
  </si>
  <si>
    <t>Jacob Curran</t>
  </si>
  <si>
    <t>Richard P Williams</t>
  </si>
  <si>
    <t>Hill, Kathryn</t>
  </si>
  <si>
    <t>Davis, Kristie</t>
  </si>
  <si>
    <t>Jennings, Kelly</t>
  </si>
  <si>
    <t>Mcdougal, Mia</t>
  </si>
  <si>
    <t>Lancaster, Daryl</t>
  </si>
  <si>
    <t>Whybrew, Rhonda</t>
  </si>
  <si>
    <t>Seubold, Joshua</t>
  </si>
  <si>
    <t>Carroll, Gabriel</t>
  </si>
  <si>
    <t>Ungerank, Mark</t>
  </si>
  <si>
    <t>Hussey, James</t>
  </si>
  <si>
    <t>Kasprack, Brittany</t>
  </si>
  <si>
    <t>Globke, Eliah</t>
  </si>
  <si>
    <t>Samuel</t>
  </si>
  <si>
    <t>Kelly, Patrick</t>
  </si>
  <si>
    <t>Sunderland, Jason</t>
  </si>
  <si>
    <t>Casie N Ogden</t>
  </si>
  <si>
    <t>Scott D Robinson</t>
  </si>
  <si>
    <t>William, Buchanan</t>
  </si>
  <si>
    <t>Carpenter, Caroline</t>
  </si>
  <si>
    <t>Crum, Parker</t>
  </si>
  <si>
    <t>Moore, Bryan</t>
  </si>
  <si>
    <t>Daniel, Cooke</t>
  </si>
  <si>
    <t>Lynxwiler, B</t>
  </si>
  <si>
    <t>Yi, Xuan</t>
  </si>
  <si>
    <t>Parham, Alexander</t>
  </si>
  <si>
    <t>Nathan</t>
  </si>
  <si>
    <t>Mercier, Douglas</t>
  </si>
  <si>
    <t>Mcneal, Charles</t>
  </si>
  <si>
    <t>John R Toenjes</t>
  </si>
  <si>
    <t>Carbary, William</t>
  </si>
  <si>
    <t>Parsons, Richard</t>
  </si>
  <si>
    <t>Shannon, Spencer</t>
  </si>
  <si>
    <t>Myshka, James</t>
  </si>
  <si>
    <t>Rachel, Waldrop</t>
  </si>
  <si>
    <t>Mitchell, Cameron</t>
  </si>
  <si>
    <t>Brianna S Biehl</t>
  </si>
  <si>
    <t>Racheotes, Alexis</t>
  </si>
  <si>
    <t>Kirchhoff, Craig</t>
  </si>
  <si>
    <t>Slayton, Rebecca</t>
  </si>
  <si>
    <t>Peters, Anne</t>
  </si>
  <si>
    <t>Colby</t>
  </si>
  <si>
    <t>Jody, Hortman</t>
  </si>
  <si>
    <t>Beavers, Darren</t>
  </si>
  <si>
    <t>Bland, Philip</t>
  </si>
  <si>
    <t>Rosa, Lagena</t>
  </si>
  <si>
    <t>Klipfel, Clint</t>
  </si>
  <si>
    <t>Collins, Tyler</t>
  </si>
  <si>
    <t>Jennifer, Mccluskey</t>
  </si>
  <si>
    <t>Warner, Stacy</t>
  </si>
  <si>
    <t>Lutz, Cassie</t>
  </si>
  <si>
    <t>Parker, Delilah</t>
  </si>
  <si>
    <t>Peyten R Dillon</t>
  </si>
  <si>
    <t>Tice, Teresa</t>
  </si>
  <si>
    <t>Hutchison, John</t>
  </si>
  <si>
    <t>Halcomb, Stephanie</t>
  </si>
  <si>
    <t>Holt, Katelyn</t>
  </si>
  <si>
    <t>Harris, Kelli</t>
  </si>
  <si>
    <t>Mcneill, Tember</t>
  </si>
  <si>
    <t>Taylor, Blake</t>
  </si>
  <si>
    <t>Parker, Marshall</t>
  </si>
  <si>
    <t>Lusk, Kelly</t>
  </si>
  <si>
    <t>Carson, Jeffrey</t>
  </si>
  <si>
    <t>Butler, Judy</t>
  </si>
  <si>
    <t>Mayfield, Madison</t>
  </si>
  <si>
    <t>Woosley, Jeffrey</t>
  </si>
  <si>
    <t>Mcfarland, Matthew</t>
  </si>
  <si>
    <t>Johnson, Chanceller</t>
  </si>
  <si>
    <t>Ungerank, Michael</t>
  </si>
  <si>
    <t>Hasenclever, Ryan</t>
  </si>
  <si>
    <t>Arwakee, Henley</t>
  </si>
  <si>
    <t>Penney, Barry</t>
  </si>
  <si>
    <t>Shad A Mcclain</t>
  </si>
  <si>
    <t>Bomar, John</t>
  </si>
  <si>
    <t>Province, Mallory</t>
  </si>
  <si>
    <t>Wong, Ying</t>
  </si>
  <si>
    <t>Shanie S Cooper</t>
  </si>
  <si>
    <t>Pearson, Rebecca</t>
  </si>
  <si>
    <t>Betts, Paul</t>
  </si>
  <si>
    <t>Beachy, Keith</t>
  </si>
  <si>
    <t>Corona, Caitlin</t>
  </si>
  <si>
    <t>Johnson, Brock</t>
  </si>
  <si>
    <t>Hannah, Ball</t>
  </si>
  <si>
    <t>Kevin</t>
  </si>
  <si>
    <t>Hays, Wallace</t>
  </si>
  <si>
    <t>Norman, John</t>
  </si>
  <si>
    <t>P016</t>
  </si>
  <si>
    <t>Dental</t>
  </si>
  <si>
    <t>Anna, Bowden</t>
  </si>
  <si>
    <t>Lakyn, Bell</t>
  </si>
  <si>
    <t>Alexander Rodgers</t>
  </si>
  <si>
    <t>Dumond, Morgan</t>
  </si>
  <si>
    <t>Austin L Baker</t>
  </si>
  <si>
    <t>Bhaskar, Gupta</t>
  </si>
  <si>
    <t>Mark Risinger</t>
  </si>
  <si>
    <t>Hodge, Lauren</t>
  </si>
  <si>
    <t>Alexis, Bourgeois</t>
  </si>
  <si>
    <t>Arnold, Robert</t>
  </si>
  <si>
    <t>Claudia</t>
  </si>
  <si>
    <t>Addison Walker</t>
  </si>
  <si>
    <t>Kelli, Gutter</t>
  </si>
  <si>
    <t>Vester, Stephen</t>
  </si>
  <si>
    <t>Sarah</t>
  </si>
  <si>
    <t>Drake, Michael</t>
  </si>
  <si>
    <t>Natalie Jackson</t>
  </si>
  <si>
    <t>Lewis, Scott</t>
  </si>
  <si>
    <t>Whitlock Iii, Boyd</t>
  </si>
  <si>
    <t>William, Keaster</t>
  </si>
  <si>
    <t>Evan, Rowland</t>
  </si>
  <si>
    <t>Nelson, Clay</t>
  </si>
  <si>
    <t>Ratna Kamalakar, Bollavarapu</t>
  </si>
  <si>
    <t>Moore, James</t>
  </si>
  <si>
    <t>Charles Coon</t>
  </si>
  <si>
    <t>Phillip, Shockey</t>
  </si>
  <si>
    <t>Riggs, David</t>
  </si>
  <si>
    <t>Anna G Mendes</t>
  </si>
  <si>
    <t>Natalie, Nord</t>
  </si>
  <si>
    <t>Timothy, Cude</t>
  </si>
  <si>
    <t>Mili, Shah</t>
  </si>
  <si>
    <t>Randall A Ellis Dds</t>
  </si>
  <si>
    <t>Rodriguez, Rachael</t>
  </si>
  <si>
    <t>Dagen, Ryan</t>
  </si>
  <si>
    <t>Kaitlin, Rioux</t>
  </si>
  <si>
    <t>Pekar, Zachary</t>
  </si>
  <si>
    <t>Callan, Donald</t>
  </si>
  <si>
    <t>Ambica, Reddy</t>
  </si>
  <si>
    <t>Vyacheslav</t>
  </si>
  <si>
    <t>Steven B, Oxner</t>
  </si>
  <si>
    <t>Brittany, Willis</t>
  </si>
  <si>
    <t>John Isbell</t>
  </si>
  <si>
    <t>Sizemore, Rachel</t>
  </si>
  <si>
    <t>Brian, Mccullough</t>
  </si>
  <si>
    <t>Angela, Washington</t>
  </si>
  <si>
    <t>Margaret, Grayson</t>
  </si>
  <si>
    <t>Gardner, Russell</t>
  </si>
  <si>
    <t>Jordan</t>
  </si>
  <si>
    <t>Sparkman, Beau</t>
  </si>
  <si>
    <t>Mitchell, Brittany</t>
  </si>
  <si>
    <t>Machen, Billy</t>
  </si>
  <si>
    <t>Ashley, Brewer</t>
  </si>
  <si>
    <t>Courtney, Atkinson</t>
  </si>
  <si>
    <t>Elvys, Ferrufino Mejia</t>
  </si>
  <si>
    <t>Walsh, Marie</t>
  </si>
  <si>
    <t>Adrienne Morris</t>
  </si>
  <si>
    <t>Robert</t>
  </si>
  <si>
    <t>Jennings, Leah</t>
  </si>
  <si>
    <t>Krystle, Johnson</t>
  </si>
  <si>
    <t>Lauren, Vieira</t>
  </si>
  <si>
    <t>Smith, J</t>
  </si>
  <si>
    <t>Gibson, Rachel</t>
  </si>
  <si>
    <t>Quy, Van</t>
  </si>
  <si>
    <t>Riddle, Rufus</t>
  </si>
  <si>
    <t>Kelsey, Alberg</t>
  </si>
  <si>
    <t>Joseph, Rollings</t>
  </si>
  <si>
    <t>Galen, Kellenberger</t>
  </si>
  <si>
    <t>Matthew</t>
  </si>
  <si>
    <t>Andrew, Cude</t>
  </si>
  <si>
    <t>David L Mcdonald</t>
  </si>
  <si>
    <t>John</t>
  </si>
  <si>
    <t>Johnston, Michael</t>
  </si>
  <si>
    <t>Wanda, Moreta</t>
  </si>
  <si>
    <t>Seard Higgins, Michelle</t>
  </si>
  <si>
    <t>Bernard, Hollis</t>
  </si>
  <si>
    <t>Stanley, Tristeza</t>
  </si>
  <si>
    <t>Nancy L Ha</t>
  </si>
  <si>
    <t>Afrah, Mohammed</t>
  </si>
  <si>
    <t>Walker, Michelle</t>
  </si>
  <si>
    <t>Communihealth Services Marion Family Practice, Dental, And Behavioral Healt</t>
  </si>
  <si>
    <t>Hayden Huett</t>
  </si>
  <si>
    <t>Bhandal, Sukhmandeep</t>
  </si>
  <si>
    <t>Marcellous, Stansberry</t>
  </si>
  <si>
    <t>Tyler, Hawthorne</t>
  </si>
  <si>
    <t>Ashly</t>
  </si>
  <si>
    <t>Toni Ann, Mcleod</t>
  </si>
  <si>
    <t>Andrew, Honderich</t>
  </si>
  <si>
    <t>Card, Camella</t>
  </si>
  <si>
    <t>Hillary, Gore</t>
  </si>
  <si>
    <t>Clayton Sorrells</t>
  </si>
  <si>
    <t>Paustian, Conner</t>
  </si>
  <si>
    <t>Peoples, Kruger</t>
  </si>
  <si>
    <t>Ward, Jeffrey</t>
  </si>
  <si>
    <t>Poulos, Emily</t>
  </si>
  <si>
    <t>Aquil, Muhammad</t>
  </si>
  <si>
    <t>David, Kimler</t>
  </si>
  <si>
    <t>Lee, Ruby</t>
  </si>
  <si>
    <t>Wright, Asia Bryanne</t>
  </si>
  <si>
    <t>Rawls, Hunter</t>
  </si>
  <si>
    <t>Jonathan W Billings</t>
  </si>
  <si>
    <t>Quotasze, Williams</t>
  </si>
  <si>
    <t>Kirkpatrick &amp; Lai Dds Inc Pc</t>
  </si>
  <si>
    <t>Ryan, Higgins</t>
  </si>
  <si>
    <t>Spearman, Rebecca</t>
  </si>
  <si>
    <t>Gregory Goggans</t>
  </si>
  <si>
    <t>Andrew, Byrne</t>
  </si>
  <si>
    <t>Micah, Adcock</t>
  </si>
  <si>
    <t>P017</t>
  </si>
  <si>
    <t>Dermatology</t>
  </si>
  <si>
    <t>Osleber, Michael</t>
  </si>
  <si>
    <t>Overholser, Emily</t>
  </si>
  <si>
    <t>Donohue, Diane</t>
  </si>
  <si>
    <t>Kincannon, Jay</t>
  </si>
  <si>
    <t>Mccaslin, Lauren</t>
  </si>
  <si>
    <t>White, Bradley</t>
  </si>
  <si>
    <t>Phelan, Nathaniel</t>
  </si>
  <si>
    <t>White, Barry</t>
  </si>
  <si>
    <t>Douglas, Leone</t>
  </si>
  <si>
    <t>Justin M Mclawhorn</t>
  </si>
  <si>
    <t>Jennings, Thomas</t>
  </si>
  <si>
    <t>Mullick, Suparna</t>
  </si>
  <si>
    <t>Abdulkarim, Ahmad</t>
  </si>
  <si>
    <t>Tirado Gonzalez, Mariantonieta</t>
  </si>
  <si>
    <t>Yeoman, Lance</t>
  </si>
  <si>
    <t>Brown, Robert</t>
  </si>
  <si>
    <t>Branch, Kevin</t>
  </si>
  <si>
    <t>Wirges, Marla</t>
  </si>
  <si>
    <t>Keane, James</t>
  </si>
  <si>
    <t>Graham, James</t>
  </si>
  <si>
    <t>Kagy, Matthew</t>
  </si>
  <si>
    <t>Barnard, Joseph</t>
  </si>
  <si>
    <t>Marshall, Leslie</t>
  </si>
  <si>
    <t>Battle, Laura</t>
  </si>
  <si>
    <t>Moon, Charles</t>
  </si>
  <si>
    <t>Wright, Teresa</t>
  </si>
  <si>
    <t>Parker, Ray</t>
  </si>
  <si>
    <t>Pillow, Jessica</t>
  </si>
  <si>
    <t>Patel, Tejesh</t>
  </si>
  <si>
    <t>Churchwell, Luella</t>
  </si>
  <si>
    <t>Neill, Brett</t>
  </si>
  <si>
    <t>Clifton, Mildred</t>
  </si>
  <si>
    <t>Jones, Allison</t>
  </si>
  <si>
    <t>Carney, John</t>
  </si>
  <si>
    <t>Breau, Randall</t>
  </si>
  <si>
    <t>Jacks, Jennifer</t>
  </si>
  <si>
    <t>Friedman Musicante, Robin</t>
  </si>
  <si>
    <t>Arjun D Saini</t>
  </si>
  <si>
    <t>Khan, Neelam</t>
  </si>
  <si>
    <t>Stewart, Eric</t>
  </si>
  <si>
    <t>Stough, Dowling</t>
  </si>
  <si>
    <t>Book, Courtney</t>
  </si>
  <si>
    <t>King, Mark</t>
  </si>
  <si>
    <t>Mills, Omie</t>
  </si>
  <si>
    <t>Fisher, Kristopher</t>
  </si>
  <si>
    <t>Are, Chaitanya</t>
  </si>
  <si>
    <t>Lindley, Linsey</t>
  </si>
  <si>
    <t>Johnson, Nathan</t>
  </si>
  <si>
    <t>Swann, Michael</t>
  </si>
  <si>
    <t>Baltz, Rebekah</t>
  </si>
  <si>
    <t>Mohr, Kayla</t>
  </si>
  <si>
    <t>Lawhead, Frances</t>
  </si>
  <si>
    <t>P018</t>
  </si>
  <si>
    <t>Emergency Medicine</t>
  </si>
  <si>
    <t>Chan, Hoi</t>
  </si>
  <si>
    <t>James, Bishop</t>
  </si>
  <si>
    <t>Cesarz, Benjamin</t>
  </si>
  <si>
    <t>Riley, Polk</t>
  </si>
  <si>
    <t>Raymond J Quilao</t>
  </si>
  <si>
    <t>Menges, Jack</t>
  </si>
  <si>
    <t>Kaweeta, Fnu</t>
  </si>
  <si>
    <t>Andrew</t>
  </si>
  <si>
    <t>Kurtzweil, Miju</t>
  </si>
  <si>
    <t>Joshua</t>
  </si>
  <si>
    <t>Schnurr, Ximena</t>
  </si>
  <si>
    <t>Stephen, Rohl</t>
  </si>
  <si>
    <t>Tessaro, Brian</t>
  </si>
  <si>
    <t>Aaron</t>
  </si>
  <si>
    <t>Nastasya, Jabaly</t>
  </si>
  <si>
    <t>Lau, Keith</t>
  </si>
  <si>
    <t>Hessman, Tanner</t>
  </si>
  <si>
    <t>Ellis, James</t>
  </si>
  <si>
    <t>Blakeney, Craig</t>
  </si>
  <si>
    <t>Rose, Dean</t>
  </si>
  <si>
    <t>Twyman, Carol</t>
  </si>
  <si>
    <t>Fletcher, Jason</t>
  </si>
  <si>
    <t>Melanie, Phillips</t>
  </si>
  <si>
    <t>Mumm, Jacob</t>
  </si>
  <si>
    <t>Justice, Joshua</t>
  </si>
  <si>
    <t>Upchurch, Stanley</t>
  </si>
  <si>
    <t>Ashe, Barbara</t>
  </si>
  <si>
    <t>Peck, Cori</t>
  </si>
  <si>
    <t>Blubaugh, Richard</t>
  </si>
  <si>
    <t>Eppolito, John</t>
  </si>
  <si>
    <t>Phan, Nhan</t>
  </si>
  <si>
    <t>Robert, Cohen</t>
  </si>
  <si>
    <t>Richter, Gresham</t>
  </si>
  <si>
    <t>Rebecca, Calisch</t>
  </si>
  <si>
    <t>Knudsen, Shelton</t>
  </si>
  <si>
    <t>Moore, Brendan</t>
  </si>
  <si>
    <t>Nathan G Klammer</t>
  </si>
  <si>
    <t>Walker, Bradley</t>
  </si>
  <si>
    <t>Hicks, Brandon</t>
  </si>
  <si>
    <t>Abernathy, Bobby</t>
  </si>
  <si>
    <t>Griffin, Tyler</t>
  </si>
  <si>
    <t>Thomas, Micah D</t>
  </si>
  <si>
    <t>Erickson, Thomas</t>
  </si>
  <si>
    <t>Nathan R Stanford</t>
  </si>
  <si>
    <t>Barton, Katherine</t>
  </si>
  <si>
    <t>Hoffman, Eric</t>
  </si>
  <si>
    <t>Neel, Sydney</t>
  </si>
  <si>
    <t>Roe, Zachary</t>
  </si>
  <si>
    <t>Mina, Michael</t>
  </si>
  <si>
    <t>Whatcott, Brett</t>
  </si>
  <si>
    <t>Propst, Steven</t>
  </si>
  <si>
    <t>Caitlin B Wellborn</t>
  </si>
  <si>
    <t>Porter, Camala</t>
  </si>
  <si>
    <t>Swinney, Richard</t>
  </si>
  <si>
    <t>Mccarthy, Clare</t>
  </si>
  <si>
    <t>Sykes, Elizabeth</t>
  </si>
  <si>
    <t>Lindsay, Boik-Price</t>
  </si>
  <si>
    <t>Gifford, Eric</t>
  </si>
  <si>
    <t>Kriedermann, Jacob</t>
  </si>
  <si>
    <t>Silvia, Vallecillo</t>
  </si>
  <si>
    <t>Mary, Zhang</t>
  </si>
  <si>
    <t>Alleman, Tony</t>
  </si>
  <si>
    <t>Pogue, Korby</t>
  </si>
  <si>
    <t>Andrew Bergeron</t>
  </si>
  <si>
    <t>Schiffer, Matthew</t>
  </si>
  <si>
    <t>Stock, Joseph</t>
  </si>
  <si>
    <t>Christy, Mareshie</t>
  </si>
  <si>
    <t>Herpich, Byron</t>
  </si>
  <si>
    <t>Warner, Milo</t>
  </si>
  <si>
    <t>Baltz, Jacob</t>
  </si>
  <si>
    <t>Thompson, Mary</t>
  </si>
  <si>
    <t>Taiwo, Joseph</t>
  </si>
  <si>
    <t>Bylow, Kristoffer</t>
  </si>
  <si>
    <t>John R Johnson</t>
  </si>
  <si>
    <t>Dalmacy, Dolcine</t>
  </si>
  <si>
    <t>Richards, Danelle</t>
  </si>
  <si>
    <t>Martin, Andrew</t>
  </si>
  <si>
    <t>Guarderas, Ana Maria</t>
  </si>
  <si>
    <t>Anum A Rasheed</t>
  </si>
  <si>
    <t>Carpenter, Charles</t>
  </si>
  <si>
    <t>Bowman, Benjamin</t>
  </si>
  <si>
    <t>Matthew, Carmichael</t>
  </si>
  <si>
    <t>Dale, Robert</t>
  </si>
  <si>
    <t>Jason, Gumma</t>
  </si>
  <si>
    <t>Briggs, Jennifer M.</t>
  </si>
  <si>
    <t>Jeremy</t>
  </si>
  <si>
    <t>Winn, Berry</t>
  </si>
  <si>
    <t>Colvert, Lundy</t>
  </si>
  <si>
    <t>Cosgrove, Abigail</t>
  </si>
  <si>
    <t>Bouldin, John</t>
  </si>
  <si>
    <t>Elizabeth</t>
  </si>
  <si>
    <t>Russell, Rylan</t>
  </si>
  <si>
    <t>Childers, Derek</t>
  </si>
  <si>
    <t>Mattie</t>
  </si>
  <si>
    <t>Bush, Martha</t>
  </si>
  <si>
    <t>Woody, Jay</t>
  </si>
  <si>
    <t>Omari, Ruffin</t>
  </si>
  <si>
    <t>Knotts, Derek</t>
  </si>
  <si>
    <t>John, Bodford</t>
  </si>
  <si>
    <t>Appelbaum, Gordon</t>
  </si>
  <si>
    <t>Benjamin, Krater</t>
  </si>
  <si>
    <t>Robins, Jonathan</t>
  </si>
  <si>
    <t>Kimberly, Gage</t>
  </si>
  <si>
    <t>Thompson, Tonya</t>
  </si>
  <si>
    <t>Saiyeda, Abbas</t>
  </si>
  <si>
    <t>Bradshaw, Christopher</t>
  </si>
  <si>
    <t>Caitlyn</t>
  </si>
  <si>
    <t>Baker, Joshua</t>
  </si>
  <si>
    <t>Tyler Welch</t>
  </si>
  <si>
    <t>Shane, Haynes</t>
  </si>
  <si>
    <t>Galindo, Michael</t>
  </si>
  <si>
    <t>Green, Charalene</t>
  </si>
  <si>
    <t>Matt, Millington</t>
  </si>
  <si>
    <t>Rebeiro, Egbert</t>
  </si>
  <si>
    <t>Hatfield, Jesse</t>
  </si>
  <si>
    <t>Damera, Goda</t>
  </si>
  <si>
    <t>Ward, Hillary H.</t>
  </si>
  <si>
    <t>Ahmed, Sahibzada</t>
  </si>
  <si>
    <t>Elbahlawan, Lama</t>
  </si>
  <si>
    <t>Pierce Cook, Deborah</t>
  </si>
  <si>
    <t>Brodrick, Zachary</t>
  </si>
  <si>
    <t>Eric, Lee</t>
  </si>
  <si>
    <t>Ryan S Waters</t>
  </si>
  <si>
    <t>Boyd, Roderick</t>
  </si>
  <si>
    <t>Istanbouli, Wajih</t>
  </si>
  <si>
    <t>Muhammad, Ijaz</t>
  </si>
  <si>
    <t>Driskill, Angela</t>
  </si>
  <si>
    <t>Beard, Nahum</t>
  </si>
  <si>
    <t>Albee, Bhavika</t>
  </si>
  <si>
    <t>Brian, Kim</t>
  </si>
  <si>
    <t>Farrar, Thomas</t>
  </si>
  <si>
    <t>Adcock, Frank</t>
  </si>
  <si>
    <t>Manyam, Swapna</t>
  </si>
  <si>
    <t>Wilson, Angela</t>
  </si>
  <si>
    <t>Rayburn, John</t>
  </si>
  <si>
    <t>Rami, Khoury</t>
  </si>
  <si>
    <t>Omar Alazzawi</t>
  </si>
  <si>
    <t>Ali</t>
  </si>
  <si>
    <t>Hill, James</t>
  </si>
  <si>
    <t>Kennedy, Craig</t>
  </si>
  <si>
    <t>Little, Donald</t>
  </si>
  <si>
    <t>Joudeh, Maan</t>
  </si>
  <si>
    <t>Brian</t>
  </si>
  <si>
    <t>Yu, Brian</t>
  </si>
  <si>
    <t>Michelle, Bates</t>
  </si>
  <si>
    <t>Ureckis, David</t>
  </si>
  <si>
    <t>Wright, Spencer</t>
  </si>
  <si>
    <t>Yanet N Camarena</t>
  </si>
  <si>
    <t>Dargie, Tripp</t>
  </si>
  <si>
    <t>Atkins, Alan</t>
  </si>
  <si>
    <t>Frank, Timothy</t>
  </si>
  <si>
    <t>Jorgensen, Mark</t>
  </si>
  <si>
    <t>Brown, Randel</t>
  </si>
  <si>
    <t>Schulz, Bradley</t>
  </si>
  <si>
    <t>Milman, Brian</t>
  </si>
  <si>
    <t>Taylor M Freeman</t>
  </si>
  <si>
    <t>Lewis, Stephanie</t>
  </si>
  <si>
    <t>Moses, Louis</t>
  </si>
  <si>
    <t>Christina M Mcdonough</t>
  </si>
  <si>
    <t>Mohiuddin, Mohammed</t>
  </si>
  <si>
    <t>Brown, Jacob</t>
  </si>
  <si>
    <t>Gardner, Gavin</t>
  </si>
  <si>
    <t>Lock, Wallace</t>
  </si>
  <si>
    <t>James, Christensen</t>
  </si>
  <si>
    <t>Swindle, David</t>
  </si>
  <si>
    <t>Karen</t>
  </si>
  <si>
    <t>Easom, Delilah</t>
  </si>
  <si>
    <t>Baugh, John</t>
  </si>
  <si>
    <t>Zimmer, Brian</t>
  </si>
  <si>
    <t>Rose, Kuo</t>
  </si>
  <si>
    <t>Reynolds, Spencer</t>
  </si>
  <si>
    <t>James, Littlejohn</t>
  </si>
  <si>
    <t>Ramsey, Pamela</t>
  </si>
  <si>
    <t>Fink, Kyle</t>
  </si>
  <si>
    <t>Vicky Yu</t>
  </si>
  <si>
    <t>Yang, Anna</t>
  </si>
  <si>
    <t>Peaster, Jonathan</t>
  </si>
  <si>
    <t>Haider, Syed</t>
  </si>
  <si>
    <t>Spear, Jeffrey</t>
  </si>
  <si>
    <t>Mathew, Harrison</t>
  </si>
  <si>
    <t>Johanning, Megan</t>
  </si>
  <si>
    <t>Mann, Baldeep</t>
  </si>
  <si>
    <t>Lori, Whelan</t>
  </si>
  <si>
    <t>Farrar, Henry</t>
  </si>
  <si>
    <t>Brown, Corey</t>
  </si>
  <si>
    <t>Hunter, James</t>
  </si>
  <si>
    <t>Brandon, Koenigsknecht</t>
  </si>
  <si>
    <t>Joseph</t>
  </si>
  <si>
    <t>Edward L Williams</t>
  </si>
  <si>
    <t>Frederick, Renee N.</t>
  </si>
  <si>
    <t>Carly, Darr</t>
  </si>
  <si>
    <t>Jarryd, Horn</t>
  </si>
  <si>
    <t>Mccoy, Justin</t>
  </si>
  <si>
    <t>Lamkin, Anthony</t>
  </si>
  <si>
    <t>Seupaul, Rawle</t>
  </si>
  <si>
    <t>Mccullar, Ethan</t>
  </si>
  <si>
    <t>Jarvis, Howard</t>
  </si>
  <si>
    <t>Ausef, Amir</t>
  </si>
  <si>
    <t>Leon, Irais</t>
  </si>
  <si>
    <t>Shroyer, Dean B.</t>
  </si>
  <si>
    <t>Osen, Daelor</t>
  </si>
  <si>
    <t>Albert L Bean Jr</t>
  </si>
  <si>
    <t>Foster, Donald</t>
  </si>
  <si>
    <t>Irby, Olivia</t>
  </si>
  <si>
    <t>Eifling, Kurt</t>
  </si>
  <si>
    <t>Sarah, Fichuk</t>
  </si>
  <si>
    <t>Roserio K Guastella</t>
  </si>
  <si>
    <t>Nathan, Goymerac</t>
  </si>
  <si>
    <t>Manning, Vincent</t>
  </si>
  <si>
    <t>Sanders, Donald</t>
  </si>
  <si>
    <t>Powell, Heather</t>
  </si>
  <si>
    <t>Grace M Browne</t>
  </si>
  <si>
    <t>Saggar, Sonny</t>
  </si>
  <si>
    <t>David, Hall</t>
  </si>
  <si>
    <t>Trevor, Kliebert</t>
  </si>
  <si>
    <t>Anderson, Shawn</t>
  </si>
  <si>
    <t>Tilley, Jason</t>
  </si>
  <si>
    <t>Marlar, Justin</t>
  </si>
  <si>
    <t>Adam J Rogg</t>
  </si>
  <si>
    <t>Hooker, David</t>
  </si>
  <si>
    <t>Daniel, Heinen</t>
  </si>
  <si>
    <t>Leslie</t>
  </si>
  <si>
    <t>Phillips, Donald</t>
  </si>
  <si>
    <t>White, Jacquelyn</t>
  </si>
  <si>
    <t>Sanchez, Czarina</t>
  </si>
  <si>
    <t>Lord, Kito</t>
  </si>
  <si>
    <t>Duffell, Brian</t>
  </si>
  <si>
    <t>Watson, Alec</t>
  </si>
  <si>
    <t>Marc, Lingle</t>
  </si>
  <si>
    <t>Legros, Tracy</t>
  </si>
  <si>
    <t>Bergeron, Jaclyn B.</t>
  </si>
  <si>
    <t>Montgomery, Jeffrey</t>
  </si>
  <si>
    <t>Amad Walajahi</t>
  </si>
  <si>
    <t>Smith, Derek</t>
  </si>
  <si>
    <t>Rodriguez, Natalie</t>
  </si>
  <si>
    <t>Benjamin, Ozbun</t>
  </si>
  <si>
    <t>Brooks, Eric</t>
  </si>
  <si>
    <t>Codi Demere</t>
  </si>
  <si>
    <t>Tina, Koester</t>
  </si>
  <si>
    <t>Spigener, Shannon</t>
  </si>
  <si>
    <t>Dixon, Jeffrey</t>
  </si>
  <si>
    <t>Noor</t>
  </si>
  <si>
    <t>Caldemeyer, Karen</t>
  </si>
  <si>
    <t>Cooper, Joseph</t>
  </si>
  <si>
    <t>Tramontana, James</t>
  </si>
  <si>
    <t>Ingram, Jordan</t>
  </si>
  <si>
    <t>Somjee, Nilofer</t>
  </si>
  <si>
    <t>Pahls, Wendell</t>
  </si>
  <si>
    <t>Nicholas, Branscomb</t>
  </si>
  <si>
    <t>Carol, Azadi</t>
  </si>
  <si>
    <t>Wagenhauser, Karl</t>
  </si>
  <si>
    <t>Miller, Christopher</t>
  </si>
  <si>
    <t>Hockman, Donald</t>
  </si>
  <si>
    <t>Christoph, Schieche</t>
  </si>
  <si>
    <t>Smolarz, Casey</t>
  </si>
  <si>
    <t>Lawrence, Aaron</t>
  </si>
  <si>
    <t>Nwude, Ezinne</t>
  </si>
  <si>
    <t>Foster, Jeffrey</t>
  </si>
  <si>
    <t>Bowers, Robert</t>
  </si>
  <si>
    <t>Henry, William</t>
  </si>
  <si>
    <t>Coward, Keith</t>
  </si>
  <si>
    <t>Smith, Keitha</t>
  </si>
  <si>
    <t>Hawkins, Brian T</t>
  </si>
  <si>
    <t>Fry, Robert</t>
  </si>
  <si>
    <t>Shereaf, Walid</t>
  </si>
  <si>
    <t>Alexander, Snodgress</t>
  </si>
  <si>
    <t>Snyder, Ryan</t>
  </si>
  <si>
    <t>Homan, Christopher</t>
  </si>
  <si>
    <t>Schmitt, James</t>
  </si>
  <si>
    <t>Haught, Melissa</t>
  </si>
  <si>
    <t>Kahn, Patricia</t>
  </si>
  <si>
    <t>David, Postelnek</t>
  </si>
  <si>
    <t>Eaton, Francis</t>
  </si>
  <si>
    <t>John-Mina, Ibrahim</t>
  </si>
  <si>
    <t>Carlson, John</t>
  </si>
  <si>
    <t>Steven M Crane</t>
  </si>
  <si>
    <t>Leigh Lindgren</t>
  </si>
  <si>
    <t>William Bone</t>
  </si>
  <si>
    <t>Cristian F Vargas Ramos</t>
  </si>
  <si>
    <t>Nadeem, El-Kouri</t>
  </si>
  <si>
    <t>Adam S Watkins</t>
  </si>
  <si>
    <t>Sabia, Eiad</t>
  </si>
  <si>
    <t>Nic, Watson</t>
  </si>
  <si>
    <t>Stacy, Ferrell</t>
  </si>
  <si>
    <t>Chauncey, Ryan</t>
  </si>
  <si>
    <t>Harris, David</t>
  </si>
  <si>
    <t>Nicholas, Timmerwilke</t>
  </si>
  <si>
    <t>Downs, Tony</t>
  </si>
  <si>
    <t>Farooq, Umer</t>
  </si>
  <si>
    <t>Alexander, Sam</t>
  </si>
  <si>
    <t>Fisher, Anastasia</t>
  </si>
  <si>
    <t>James</t>
  </si>
  <si>
    <t>Ball, Jerad</t>
  </si>
  <si>
    <t>Jory D Johnson</t>
  </si>
  <si>
    <t>Adix, Michael</t>
  </si>
  <si>
    <t>Sullivan, Ryan</t>
  </si>
  <si>
    <t>Baillie, Lott</t>
  </si>
  <si>
    <t>Porter, Jock</t>
  </si>
  <si>
    <t>Fergus, Raymond</t>
  </si>
  <si>
    <t>Porter, Drew</t>
  </si>
  <si>
    <t>Buggs, Mablene</t>
  </si>
  <si>
    <t>Sanford, Martha</t>
  </si>
  <si>
    <t>Raymond</t>
  </si>
  <si>
    <t>Hawkins, Dawn</t>
  </si>
  <si>
    <t>Hire, Justin</t>
  </si>
  <si>
    <t>Justin, Orren</t>
  </si>
  <si>
    <t>Lee, David</t>
  </si>
  <si>
    <t>Duong, Davis</t>
  </si>
  <si>
    <t>Ndzengue, Albert</t>
  </si>
  <si>
    <t>Bland, Lauren</t>
  </si>
  <si>
    <t>Jideofor K Ndulue</t>
  </si>
  <si>
    <t>Edwards, Frank</t>
  </si>
  <si>
    <t>Bull, Aaron</t>
  </si>
  <si>
    <t>Richards, Carl</t>
  </si>
  <si>
    <t>Chamberlin, Mac</t>
  </si>
  <si>
    <t>Hardin, Joel</t>
  </si>
  <si>
    <t>Rohrer, Michael</t>
  </si>
  <si>
    <t>Hahn, Shelby</t>
  </si>
  <si>
    <t>Anderson, Stephanie</t>
  </si>
  <si>
    <t>Gragert, Daniel</t>
  </si>
  <si>
    <t>Woolery, Jonathan</t>
  </si>
  <si>
    <t>Light, Jonathan</t>
  </si>
  <si>
    <t>Melanie, Mccarroll</t>
  </si>
  <si>
    <t>Clawson, April</t>
  </si>
  <si>
    <t>Fraser, Kolton</t>
  </si>
  <si>
    <t>Justine E Henao</t>
  </si>
  <si>
    <t>Hrag, Churukian</t>
  </si>
  <si>
    <t>William, Regan</t>
  </si>
  <si>
    <t>Knefati, Mohamed</t>
  </si>
  <si>
    <t>Rajasekaran, Surender</t>
  </si>
  <si>
    <t>Landon, Vinson</t>
  </si>
  <si>
    <t>Ong, Manuel</t>
  </si>
  <si>
    <t>James, Campbell</t>
  </si>
  <si>
    <t>Corey A Sadler</t>
  </si>
  <si>
    <t>Tony G Wallen</t>
  </si>
  <si>
    <t>Marcel</t>
  </si>
  <si>
    <t>Debaroti, Borschel</t>
  </si>
  <si>
    <t>Michael</t>
  </si>
  <si>
    <t>Townley, Jonathan</t>
  </si>
  <si>
    <t>Evans, Roy</t>
  </si>
  <si>
    <t>Vadlamudi, Venu</t>
  </si>
  <si>
    <t>Travis J Jatzlau</t>
  </si>
  <si>
    <t>Depalo, Loretta</t>
  </si>
  <si>
    <t>Friesen, Douglas</t>
  </si>
  <si>
    <t>Werline, Laura</t>
  </si>
  <si>
    <t>Kierstead, John</t>
  </si>
  <si>
    <t>Hannah,Mccarthy</t>
  </si>
  <si>
    <t>Rayan</t>
  </si>
  <si>
    <t>Pittman, Amy</t>
  </si>
  <si>
    <t>Tee, Emmanuel</t>
  </si>
  <si>
    <t>Vyas, Nimisha</t>
  </si>
  <si>
    <t>Caleb, Davis</t>
  </si>
  <si>
    <t>Brown, Ross</t>
  </si>
  <si>
    <t>Kierl, Kevin</t>
  </si>
  <si>
    <t>Jeremiah, Wang</t>
  </si>
  <si>
    <t>Greer, Jason</t>
  </si>
  <si>
    <t>Christopher Valle</t>
  </si>
  <si>
    <t>Craigmyle, Joseph</t>
  </si>
  <si>
    <t>Dasari, Aravind</t>
  </si>
  <si>
    <t>P019</t>
  </si>
  <si>
    <t>Endocrinology</t>
  </si>
  <si>
    <t>Pokhrel, Binod</t>
  </si>
  <si>
    <t>James, Deirdre</t>
  </si>
  <si>
    <t>Nelson, Grace</t>
  </si>
  <si>
    <t>Rehman, Rabia</t>
  </si>
  <si>
    <t>Kern, Philip</t>
  </si>
  <si>
    <t>Macgorman, Linda</t>
  </si>
  <si>
    <t>Whitney N Smith</t>
  </si>
  <si>
    <t>Shashpal, Fnu</t>
  </si>
  <si>
    <t>Schaefer, Gerald</t>
  </si>
  <si>
    <t>Alemzadeh, Ramin</t>
  </si>
  <si>
    <t>Heba E Ayash</t>
  </si>
  <si>
    <t>Singh, Vinay</t>
  </si>
  <si>
    <t>Akinseye, Leah</t>
  </si>
  <si>
    <t>P020</t>
  </si>
  <si>
    <t>ENT/Otolaryngology</t>
  </si>
  <si>
    <t>Tyler M Bone</t>
  </si>
  <si>
    <t>Yuen, James</t>
  </si>
  <si>
    <t>Wallace, Robert</t>
  </si>
  <si>
    <t>Hull, Jeffrey</t>
  </si>
  <si>
    <t>Johnson, Adam</t>
  </si>
  <si>
    <t>Bindra, Gurpal</t>
  </si>
  <si>
    <t>Sheyn, Anthony</t>
  </si>
  <si>
    <t>Vural, Emre</t>
  </si>
  <si>
    <t>Grant, David</t>
  </si>
  <si>
    <t>Putman, Chad</t>
  </si>
  <si>
    <t>Klug, Dean</t>
  </si>
  <si>
    <t>Touliatos, John</t>
  </si>
  <si>
    <t>Yawn, Robert</t>
  </si>
  <si>
    <t>Stack, Brendan</t>
  </si>
  <si>
    <t>Sims, John</t>
  </si>
  <si>
    <t>Cox, Matthew</t>
  </si>
  <si>
    <t>Saadi, Robert</t>
  </si>
  <si>
    <t>Byrne, Bradley</t>
  </si>
  <si>
    <t>Petrus, Gary</t>
  </si>
  <si>
    <t>Monte, Eric</t>
  </si>
  <si>
    <t>Rangarajan, Sanjeet</t>
  </si>
  <si>
    <t>Vanison, Christopher C.</t>
  </si>
  <si>
    <t>Colclasure, Joe</t>
  </si>
  <si>
    <t>Hartzell, Larry</t>
  </si>
  <si>
    <t>Jiu, John</t>
  </si>
  <si>
    <t>Sloneker, Del</t>
  </si>
  <si>
    <t>Cash, David</t>
  </si>
  <si>
    <t>Whitt, David</t>
  </si>
  <si>
    <t>Boyette, Jennings</t>
  </si>
  <si>
    <t>P021</t>
  </si>
  <si>
    <t>Gastroenterology</t>
  </si>
  <si>
    <t>Snell, Peter</t>
  </si>
  <si>
    <t>Cross, Christopher</t>
  </si>
  <si>
    <t>Little, Brittain</t>
  </si>
  <si>
    <t>Taylor, William</t>
  </si>
  <si>
    <t>Thandassery, Ragesh</t>
  </si>
  <si>
    <t>Parth</t>
  </si>
  <si>
    <t>Ismail, Mohammad</t>
  </si>
  <si>
    <t>Anastasiou, Ioannis</t>
  </si>
  <si>
    <t>Baum, Richard</t>
  </si>
  <si>
    <t>Siddiq, Muhammad</t>
  </si>
  <si>
    <t>Olsen, Sonja</t>
  </si>
  <si>
    <t>Nightengale, Markham</t>
  </si>
  <si>
    <t>Boehmke, James</t>
  </si>
  <si>
    <t>Sulaiman S Bharwani</t>
  </si>
  <si>
    <t>Spencer</t>
  </si>
  <si>
    <t>Volak, Patrick</t>
  </si>
  <si>
    <t>Samad, Syed</t>
  </si>
  <si>
    <t>Herraka, Ihab</t>
  </si>
  <si>
    <t>Ramachandran, Rajesh</t>
  </si>
  <si>
    <t>Wruble, Gary</t>
  </si>
  <si>
    <t>Vinson, Sidney</t>
  </si>
  <si>
    <t>Butler, Megan</t>
  </si>
  <si>
    <t>Tamboli, Cyrus</t>
  </si>
  <si>
    <t>karl H Landberg, Md</t>
  </si>
  <si>
    <t>Younes, Ziad</t>
  </si>
  <si>
    <t>Fields, Kenneth</t>
  </si>
  <si>
    <t>Eric A Wingerson</t>
  </si>
  <si>
    <t>Garner, Barry</t>
  </si>
  <si>
    <t>Steele, Stephen</t>
  </si>
  <si>
    <t>Fleckenstein, Jacquelyn</t>
  </si>
  <si>
    <t>Balmain, Laura</t>
  </si>
  <si>
    <t>Ellison, Jeffrey</t>
  </si>
  <si>
    <t>Rosen, John</t>
  </si>
  <si>
    <t>Stanton, Paul</t>
  </si>
  <si>
    <t>Dyer, William</t>
  </si>
  <si>
    <t>Wofford, Scott</t>
  </si>
  <si>
    <t>Garg, Shashank</t>
  </si>
  <si>
    <t>Parsi, Mansour</t>
  </si>
  <si>
    <t>Imam, Mohamad</t>
  </si>
  <si>
    <t>Chaudhry, Sufiyan</t>
  </si>
  <si>
    <t>Angtuaco, Terence</t>
  </si>
  <si>
    <t>Baltz, Joseph</t>
  </si>
  <si>
    <t>Mcgee, Brian</t>
  </si>
  <si>
    <t>Dong, Xi</t>
  </si>
  <si>
    <t>Hughes, Brian</t>
  </si>
  <si>
    <t>Duncan, Ulric</t>
  </si>
  <si>
    <t>Alberty, John</t>
  </si>
  <si>
    <t>Voise, Nathan</t>
  </si>
  <si>
    <t>Griffith, Christopher</t>
  </si>
  <si>
    <t>Alexander, William</t>
  </si>
  <si>
    <t>Taylor, Jesse</t>
  </si>
  <si>
    <t>Kayal, Daniel</t>
  </si>
  <si>
    <t>Baidoo, Leonard</t>
  </si>
  <si>
    <t>Deneke, Matthew</t>
  </si>
  <si>
    <t>Christy, Hunter</t>
  </si>
  <si>
    <t>Baber, John</t>
  </si>
  <si>
    <t>Gregory, Johnasan</t>
  </si>
  <si>
    <t>Budhraja, Meenakshi</t>
  </si>
  <si>
    <t>Ortego, Terryl</t>
  </si>
  <si>
    <t>Bush, Anne</t>
  </si>
  <si>
    <t>Davis, Jeremy</t>
  </si>
  <si>
    <t>Aycock, Richard</t>
  </si>
  <si>
    <t>Smith, Randelon</t>
  </si>
  <si>
    <t>Mcelreath, David</t>
  </si>
  <si>
    <t>Duncan, Scott</t>
  </si>
  <si>
    <t>Gordon, Otis</t>
  </si>
  <si>
    <t>Roller, Kristin</t>
  </si>
  <si>
    <t>Havaldar, Sanjay</t>
  </si>
  <si>
    <t>Blankenship, Matt</t>
  </si>
  <si>
    <t>Knapple, Whitfield</t>
  </si>
  <si>
    <t>Pate, Steven</t>
  </si>
  <si>
    <t>Baum, Alex</t>
  </si>
  <si>
    <t>Hines, Chesley</t>
  </si>
  <si>
    <t>Heath, Kevin</t>
  </si>
  <si>
    <t>Morrison, Debra</t>
  </si>
  <si>
    <t>Richardson, Derrick</t>
  </si>
  <si>
    <t>Rao, Neelima</t>
  </si>
  <si>
    <t>P022</t>
  </si>
  <si>
    <t>General Surgery</t>
  </si>
  <si>
    <t>Minneman, Jennifer</t>
  </si>
  <si>
    <t>Dickinson, Joshua</t>
  </si>
  <si>
    <t>Sutherland, Mark</t>
  </si>
  <si>
    <t>Semmens, Ashlea D.</t>
  </si>
  <si>
    <t>Pallati, Pradeep</t>
  </si>
  <si>
    <t>Jackson, Steven</t>
  </si>
  <si>
    <t>Day, John</t>
  </si>
  <si>
    <t>Kamyab, Armin</t>
  </si>
  <si>
    <t>Mackin, Kyle</t>
  </si>
  <si>
    <t>Clinton</t>
  </si>
  <si>
    <t>Nicholas D Tingquist</t>
  </si>
  <si>
    <t>Hobby, Jessica</t>
  </si>
  <si>
    <t>Doolittle, Philip</t>
  </si>
  <si>
    <t>Tucker, James</t>
  </si>
  <si>
    <t>Hurston, Joseph</t>
  </si>
  <si>
    <t>Berry, Jon</t>
  </si>
  <si>
    <t>Melanie Whitten</t>
  </si>
  <si>
    <t>Vinsant, Kurtis</t>
  </si>
  <si>
    <t>Bevans, David</t>
  </si>
  <si>
    <t>Stranch, Ethan</t>
  </si>
  <si>
    <t>King, Brock</t>
  </si>
  <si>
    <t>Saad, Ibnalwalid</t>
  </si>
  <si>
    <t>Adams, Haley</t>
  </si>
  <si>
    <t>Tonymon, Kenneth</t>
  </si>
  <si>
    <t>Trombold, John</t>
  </si>
  <si>
    <t>Hegde, Rakesh</t>
  </si>
  <si>
    <t>Memeh, Kelvin</t>
  </si>
  <si>
    <t>Zhuge, Ying</t>
  </si>
  <si>
    <t>Jackson, Richard</t>
  </si>
  <si>
    <t>Cherqui, Alice</t>
  </si>
  <si>
    <t>Atish</t>
  </si>
  <si>
    <t>Edgecombe, Luke</t>
  </si>
  <si>
    <t>Mabry, Charles</t>
  </si>
  <si>
    <t>Newman, Adam</t>
  </si>
  <si>
    <t>Fuller, Jon</t>
  </si>
  <si>
    <t>Wang, Lu</t>
  </si>
  <si>
    <t>Gazenko, Kate</t>
  </si>
  <si>
    <t>Grynwald, Jeffrey</t>
  </si>
  <si>
    <t>Nagatomo, Kei</t>
  </si>
  <si>
    <t>Benjamin, Pettigrew</t>
  </si>
  <si>
    <t>Boneti, Cristiano</t>
  </si>
  <si>
    <t>Daniel</t>
  </si>
  <si>
    <t>James, Reid</t>
  </si>
  <si>
    <t>Lenart, Emily</t>
  </si>
  <si>
    <t>Byerly, Saskya</t>
  </si>
  <si>
    <t>Czarkowski, Brian</t>
  </si>
  <si>
    <t>Stockton, Zachary</t>
  </si>
  <si>
    <t>Jerius, John</t>
  </si>
  <si>
    <t>Erdem, Eren</t>
  </si>
  <si>
    <t>Nawar, Georges</t>
  </si>
  <si>
    <t>Decou, James</t>
  </si>
  <si>
    <t>Crenshaw, Gregory</t>
  </si>
  <si>
    <t>Abraham, Anthony</t>
  </si>
  <si>
    <t>Irwin, James</t>
  </si>
  <si>
    <t>Patel, Raj</t>
  </si>
  <si>
    <t>Walker, Andrew</t>
  </si>
  <si>
    <t>Hudec, Wayne</t>
  </si>
  <si>
    <t>Jodie</t>
  </si>
  <si>
    <t>Matthew G Hogan</t>
  </si>
  <si>
    <t>Mcgrath Weaver, Virginia</t>
  </si>
  <si>
    <t>Dickinson, Jacob</t>
  </si>
  <si>
    <t>Wilson, Misti</t>
  </si>
  <si>
    <t>Mcgee, Roger</t>
  </si>
  <si>
    <t>Fore, Daniel</t>
  </si>
  <si>
    <t>Mitchell, Erica</t>
  </si>
  <si>
    <t>Derrick</t>
  </si>
  <si>
    <t>Sutterfield, William</t>
  </si>
  <si>
    <t>Perkins, Frederick</t>
  </si>
  <si>
    <t>Gebhart, James</t>
  </si>
  <si>
    <t>Andrews, Charles</t>
  </si>
  <si>
    <t>Sorenson, Marney</t>
  </si>
  <si>
    <t>Shamim, Adeel</t>
  </si>
  <si>
    <t>Raymond, Ross</t>
  </si>
  <si>
    <t>Akkad, Nabil</t>
  </si>
  <si>
    <t>Cardwell, Daniel</t>
  </si>
  <si>
    <t>Kost, Melissa</t>
  </si>
  <si>
    <t>Lynch, Gregory</t>
  </si>
  <si>
    <t>Tintinu, Anselm</t>
  </si>
  <si>
    <t>Alston, John</t>
  </si>
  <si>
    <t>Coats, Stephen</t>
  </si>
  <si>
    <t>Estrada, Martha</t>
  </si>
  <si>
    <t>Davidoff, Andrew</t>
  </si>
  <si>
    <t>Banda, Michael</t>
  </si>
  <si>
    <t>Turner, April</t>
  </si>
  <si>
    <t>Schoettle, Stephen</t>
  </si>
  <si>
    <t>Morisy, Lee</t>
  </si>
  <si>
    <t>Gooden, Charles</t>
  </si>
  <si>
    <t>Keenan, Robert</t>
  </si>
  <si>
    <t>Johnson, Matthew</t>
  </si>
  <si>
    <t>Halter, Charles</t>
  </si>
  <si>
    <t>Attili, Abdelrahman</t>
  </si>
  <si>
    <t>Robertson, Ronald</t>
  </si>
  <si>
    <t>Woodman, George</t>
  </si>
  <si>
    <t>Davis, Benjamin</t>
  </si>
  <si>
    <t>Kenneth C Walters</t>
  </si>
  <si>
    <t>Simmons, Christian</t>
  </si>
  <si>
    <t>Mcmurray, Dirk</t>
  </si>
  <si>
    <t>Monica G Jordan</t>
  </si>
  <si>
    <t>Ceola, Wade</t>
  </si>
  <si>
    <t>Francis, Hugh</t>
  </si>
  <si>
    <t>Malireddy, Kishore</t>
  </si>
  <si>
    <t>Johnson, Jeremy</t>
  </si>
  <si>
    <t>Rich, Dexter</t>
  </si>
  <si>
    <t>Maunil, Bhatt</t>
  </si>
  <si>
    <t>Rinewalt, Anna</t>
  </si>
  <si>
    <t>Raley, Lee</t>
  </si>
  <si>
    <t>Gambrell, Kirsten</t>
  </si>
  <si>
    <t>Shirley, Frank</t>
  </si>
  <si>
    <t>Koonce, Stephanie</t>
  </si>
  <si>
    <t>Monroe, Justin</t>
  </si>
  <si>
    <t>Ian Solsky</t>
  </si>
  <si>
    <t>Gardner, James</t>
  </si>
  <si>
    <t>Hayes, John</t>
  </si>
  <si>
    <t>Saad, Daniel</t>
  </si>
  <si>
    <t>Corbin, Robert Scott</t>
  </si>
  <si>
    <t>Bozeman, Andrew</t>
  </si>
  <si>
    <t>Hauer-Jensen, Martin</t>
  </si>
  <si>
    <t>Degges, Russell</t>
  </si>
  <si>
    <t>Jennifer</t>
  </si>
  <si>
    <t>Eymard, Corey</t>
  </si>
  <si>
    <t>Atkins, Ladd</t>
  </si>
  <si>
    <t>Kang Shinho T</t>
  </si>
  <si>
    <t>Wood, Stephen</t>
  </si>
  <si>
    <t>Delk, Sam</t>
  </si>
  <si>
    <t>Palys, Viktoras</t>
  </si>
  <si>
    <t>Morrison, Stephen</t>
  </si>
  <si>
    <t>Kasangana, Kalenda</t>
  </si>
  <si>
    <t>Margolick, Joseph</t>
  </si>
  <si>
    <t>Eason, James</t>
  </si>
  <si>
    <t>Burford, Jeffrey</t>
  </si>
  <si>
    <t>Evans, Cory</t>
  </si>
  <si>
    <t>Filiberto, Dina</t>
  </si>
  <si>
    <t>Henderson, Lauren</t>
  </si>
  <si>
    <t>P023</t>
  </si>
  <si>
    <t>Gynecology, OB/GYN</t>
  </si>
  <si>
    <t>Walker, Christy</t>
  </si>
  <si>
    <t>Shalyn,Calaway</t>
  </si>
  <si>
    <t>Emma</t>
  </si>
  <si>
    <t>Lang, David</t>
  </si>
  <si>
    <t>Moore, Orrin</t>
  </si>
  <si>
    <t>Brown, Eric</t>
  </si>
  <si>
    <t>Shelby L Wigginton</t>
  </si>
  <si>
    <t>Graham, Reta</t>
  </si>
  <si>
    <t>Lynn, Westphal</t>
  </si>
  <si>
    <t>Mc Cain, Francine</t>
  </si>
  <si>
    <t>Emily L Seet</t>
  </si>
  <si>
    <t>Roelands, Jennifer</t>
  </si>
  <si>
    <t>Caitlin</t>
  </si>
  <si>
    <t>Modest-Mckoy, Monique</t>
  </si>
  <si>
    <t>Eryn J Hart Dutta</t>
  </si>
  <si>
    <t>Taylor, Chris</t>
  </si>
  <si>
    <t>Kelley, Janet</t>
  </si>
  <si>
    <t>La Rosa De Los Rios, Mauricio</t>
  </si>
  <si>
    <t>Wilson, David</t>
  </si>
  <si>
    <t>Cunningham, Karrie</t>
  </si>
  <si>
    <t>Ledley, Annmarie</t>
  </si>
  <si>
    <t>John,Stitt</t>
  </si>
  <si>
    <t>Michelle L Larson</t>
  </si>
  <si>
    <t>Fahimeh, Sasan</t>
  </si>
  <si>
    <t>Stanley Christian, Heather</t>
  </si>
  <si>
    <t>Mirabile, Charles</t>
  </si>
  <si>
    <t>Shelley, Ashley</t>
  </si>
  <si>
    <t>Swailes, Alexa</t>
  </si>
  <si>
    <t>Woolard, Dianne</t>
  </si>
  <si>
    <t>Lemuel, Villanueva</t>
  </si>
  <si>
    <t>Brazell, Lynn</t>
  </si>
  <si>
    <t>Newton, Fred</t>
  </si>
  <si>
    <t>Guy Steinberg</t>
  </si>
  <si>
    <t>Hinton, Emily</t>
  </si>
  <si>
    <t>Russell, Robert</t>
  </si>
  <si>
    <t>Foster, Teri-Lee</t>
  </si>
  <si>
    <t>Dorsett, Tschantre</t>
  </si>
  <si>
    <t>Tugwell, Terence</t>
  </si>
  <si>
    <t>Deed, E</t>
  </si>
  <si>
    <t>Jenny, Underwood</t>
  </si>
  <si>
    <t>Michelle</t>
  </si>
  <si>
    <t>Michael, Wendel</t>
  </si>
  <si>
    <t>Shepherd, Megan</t>
  </si>
  <si>
    <t>Rhee, Julie</t>
  </si>
  <si>
    <t>Watkins, Leslie</t>
  </si>
  <si>
    <t>Smalley, Stacy</t>
  </si>
  <si>
    <t>Albritton, John</t>
  </si>
  <si>
    <t>Shoemaker, Marshall</t>
  </si>
  <si>
    <t>Kijek, Mark</t>
  </si>
  <si>
    <t>Malone, Shannon</t>
  </si>
  <si>
    <t>Claudette Jones-Shephard</t>
  </si>
  <si>
    <t>Edelstein, Mark</t>
  </si>
  <si>
    <t>Ziegler, John</t>
  </si>
  <si>
    <t>Aughenbaugh, Ashley</t>
  </si>
  <si>
    <t>Wilson, Gina</t>
  </si>
  <si>
    <t>Taslimi, Masoud</t>
  </si>
  <si>
    <t>Applewhite, Liat</t>
  </si>
  <si>
    <t>Addy, Sophia</t>
  </si>
  <si>
    <t>Abigail E Deangelis</t>
  </si>
  <si>
    <t>Akbary, Fauzia</t>
  </si>
  <si>
    <t>Thaxton, Mary</t>
  </si>
  <si>
    <t>Walker, Armie</t>
  </si>
  <si>
    <t>Speights, Steven</t>
  </si>
  <si>
    <t>Mark</t>
  </si>
  <si>
    <t>Sasha E Andrews Petty</t>
  </si>
  <si>
    <t>Weis, Matthew</t>
  </si>
  <si>
    <t>Lloyd, Tyler</t>
  </si>
  <si>
    <t>Gititu, Eunice</t>
  </si>
  <si>
    <t>Shaw, Arie</t>
  </si>
  <si>
    <t>Blair E Mitchell Handley</t>
  </si>
  <si>
    <t>Brittany D Nieves</t>
  </si>
  <si>
    <t>Charla</t>
  </si>
  <si>
    <t>Mc Carville, John</t>
  </si>
  <si>
    <t>Abdu, Adio</t>
  </si>
  <si>
    <t>Cooper, Amber</t>
  </si>
  <si>
    <t>Johnny Mayes</t>
  </si>
  <si>
    <t>William,Holls</t>
  </si>
  <si>
    <t>Caitlin, Claridge</t>
  </si>
  <si>
    <t>Kristen</t>
  </si>
  <si>
    <t>Ralynn</t>
  </si>
  <si>
    <t>Kruger, Laura</t>
  </si>
  <si>
    <t>Pamela Wyatt</t>
  </si>
  <si>
    <t>Madison K Needham</t>
  </si>
  <si>
    <t>Blackburn, Patrick</t>
  </si>
  <si>
    <t>Christopher</t>
  </si>
  <si>
    <t>P024</t>
  </si>
  <si>
    <t>Infectious Diseases</t>
  </si>
  <si>
    <t>Jain, Manoj</t>
  </si>
  <si>
    <t>Thapa, Priyenka</t>
  </si>
  <si>
    <t>Mbonu, Charles</t>
  </si>
  <si>
    <t>Jenkins, Mitchell</t>
  </si>
  <si>
    <t>Wolf, Joshua</t>
  </si>
  <si>
    <t>Walser, Brandon</t>
  </si>
  <si>
    <t>Sotello Aviles, David</t>
  </si>
  <si>
    <t>Cross, Sara</t>
  </si>
  <si>
    <t>Stroud, Steven</t>
  </si>
  <si>
    <t>Alamarat, Zain</t>
  </si>
  <si>
    <t>Mejias, Maria</t>
  </si>
  <si>
    <t>Kothari, Atul</t>
  </si>
  <si>
    <t>Abraham, Carl</t>
  </si>
  <si>
    <t>Lamothe, Margarita</t>
  </si>
  <si>
    <t>Brewer-Mcdaniel, Susan</t>
  </si>
  <si>
    <t>Mazumder, Shirin</t>
  </si>
  <si>
    <t>Dietrich, John</t>
  </si>
  <si>
    <t>Veselinovic, Mladjen</t>
  </si>
  <si>
    <t>Ana</t>
  </si>
  <si>
    <t>Carrillo-Marquez, Maria</t>
  </si>
  <si>
    <t>Adkins, Ryan</t>
  </si>
  <si>
    <t>Pai, Gitanjali</t>
  </si>
  <si>
    <t>Tuhina, Cornelius</t>
  </si>
  <si>
    <t>Hoy, Zachary</t>
  </si>
  <si>
    <t>Summers, Nathan</t>
  </si>
  <si>
    <t>Ramilo, Octavio</t>
  </si>
  <si>
    <t>Delap, Susan</t>
  </si>
  <si>
    <t>Caniza, Miguela</t>
  </si>
  <si>
    <t>Suhel, Sabunwala</t>
  </si>
  <si>
    <t>Animalu, Chinelo</t>
  </si>
  <si>
    <t>Mccullers, Jonathan</t>
  </si>
  <si>
    <t>Monson, Thomas</t>
  </si>
  <si>
    <t>P025</t>
  </si>
  <si>
    <t>Nephrology</t>
  </si>
  <si>
    <t>Stegman, Marc</t>
  </si>
  <si>
    <t>Akins, Timi</t>
  </si>
  <si>
    <t>Khan, Supriya</t>
  </si>
  <si>
    <t>Bienvenu, Gregory</t>
  </si>
  <si>
    <t>Woody, Susan</t>
  </si>
  <si>
    <t>Aziz, Bilal</t>
  </si>
  <si>
    <t>Brandi P Wright</t>
  </si>
  <si>
    <t>Kamal, Mahwash</t>
  </si>
  <si>
    <t>Leach, Robert</t>
  </si>
  <si>
    <t>Juncos, Luis</t>
  </si>
  <si>
    <t>Balaraman, Vasanthi</t>
  </si>
  <si>
    <t>Syed</t>
  </si>
  <si>
    <t>Greenwell, Mark</t>
  </si>
  <si>
    <t>Tahir, Imran</t>
  </si>
  <si>
    <t>Ghaffar, Umbar</t>
  </si>
  <si>
    <t>Amin, Hassan</t>
  </si>
  <si>
    <t>Petgrave, Yonique</t>
  </si>
  <si>
    <t>Schonefeld, Michael</t>
  </si>
  <si>
    <t>Ravula, Srilakshmi</t>
  </si>
  <si>
    <t>Khan, Nasir</t>
  </si>
  <si>
    <t>Gersch, Michael</t>
  </si>
  <si>
    <t>Dalabih, Abdallah</t>
  </si>
  <si>
    <t>Hobby, Gerren</t>
  </si>
  <si>
    <t>Hemphill, Hayden</t>
  </si>
  <si>
    <t>Kimball, Shane</t>
  </si>
  <si>
    <t>Bhalla, Anshul</t>
  </si>
  <si>
    <t>Greathouse, Aleta</t>
  </si>
  <si>
    <t>Melhem, Arafat</t>
  </si>
  <si>
    <t>Lee-Mulay, Anna</t>
  </si>
  <si>
    <t>Miller, Charles</t>
  </si>
  <si>
    <t>Aimen, Liaqat</t>
  </si>
  <si>
    <t>Muneeb, Muhammad</t>
  </si>
  <si>
    <t>Singhania, Girish</t>
  </si>
  <si>
    <t>Davis, Omar</t>
  </si>
  <si>
    <t>Rekhi, Avin</t>
  </si>
  <si>
    <t>Siddiqui, Omer</t>
  </si>
  <si>
    <t>Shirsat, Pallavi</t>
  </si>
  <si>
    <t>Dominguez, Manuel</t>
  </si>
  <si>
    <t>Kulubya, Patrick</t>
  </si>
  <si>
    <t>Grant, Natarsha</t>
  </si>
  <si>
    <t>Hemmings, Stefan</t>
  </si>
  <si>
    <t>Millner, Rachel</t>
  </si>
  <si>
    <t>Khurana, Anand</t>
  </si>
  <si>
    <t>Nguyen, Phuc</t>
  </si>
  <si>
    <t>Ahmed, Muazer</t>
  </si>
  <si>
    <t>Aslam, Abid</t>
  </si>
  <si>
    <t>Ramos, Angel</t>
  </si>
  <si>
    <t>Ejiofor, Moses</t>
  </si>
  <si>
    <t>Abebech J Waktola</t>
  </si>
  <si>
    <t>Alhajji, Mohammed</t>
  </si>
  <si>
    <t>Plotkin, Matthew</t>
  </si>
  <si>
    <t>P026</t>
  </si>
  <si>
    <t>Neurology</t>
  </si>
  <si>
    <t>Kimberly E Idoko</t>
  </si>
  <si>
    <t>Kovvuru, Sukanthi</t>
  </si>
  <si>
    <t>Miranda, Fernando</t>
  </si>
  <si>
    <t>Hinkle, Jay</t>
  </si>
  <si>
    <t>Cauli, Mario</t>
  </si>
  <si>
    <t>Khan, Tehseen</t>
  </si>
  <si>
    <t>Schnapp, Moacir</t>
  </si>
  <si>
    <t>Goltz, Davida</t>
  </si>
  <si>
    <t>Tremwel, Margaret</t>
  </si>
  <si>
    <t>Sreepada, Papaiah</t>
  </si>
  <si>
    <t>Gamadia, Kaywan</t>
  </si>
  <si>
    <t>Nadel, Alan</t>
  </si>
  <si>
    <t>Aryal, Usha</t>
  </si>
  <si>
    <t>Smith, Marcus</t>
  </si>
  <si>
    <t>Didion, Jacob</t>
  </si>
  <si>
    <t>Adamolekun, Bola</t>
  </si>
  <si>
    <t>Khan, Usman</t>
  </si>
  <si>
    <t>Shirka, Romina</t>
  </si>
  <si>
    <t>Chekuri, Lakshminarayana</t>
  </si>
  <si>
    <t>Patel, Rachna</t>
  </si>
  <si>
    <t>Otto, Steven</t>
  </si>
  <si>
    <t>Jha, Bhawna</t>
  </si>
  <si>
    <t>Porter, Catherine</t>
  </si>
  <si>
    <t>Ali, Irfan</t>
  </si>
  <si>
    <t>Salhab, Mahmoud</t>
  </si>
  <si>
    <t>Dutta, Monisha</t>
  </si>
  <si>
    <t>Freyaldenhoven, Timothy</t>
  </si>
  <si>
    <t>Stella M Kidwell</t>
  </si>
  <si>
    <t>Belden, John</t>
  </si>
  <si>
    <t>Burson, George</t>
  </si>
  <si>
    <t>Sullivan, Elizabeth</t>
  </si>
  <si>
    <t>Guillen Mendoza, Daniel</t>
  </si>
  <si>
    <t>Horne, Sally</t>
  </si>
  <si>
    <t>Morcos, Zeyad</t>
  </si>
  <si>
    <t>Pippenger, Mark</t>
  </si>
  <si>
    <t>Ordonez, Fausto</t>
  </si>
  <si>
    <t>Amanda L Robinson</t>
  </si>
  <si>
    <t>Lai, Wayne</t>
  </si>
  <si>
    <t>Barton, Edward</t>
  </si>
  <si>
    <t>Shihabuddin, Bashir</t>
  </si>
  <si>
    <t>Chourasia, Nitish</t>
  </si>
  <si>
    <t>Andrew M Novick</t>
  </si>
  <si>
    <t>Surendranath, Anudeep</t>
  </si>
  <si>
    <t>Pillai, Rekha</t>
  </si>
  <si>
    <t>Caron, Elena</t>
  </si>
  <si>
    <t>Mark M Mcdonald</t>
  </si>
  <si>
    <t>Nicholas A Ressa</t>
  </si>
  <si>
    <t>Warmouth, Grant</t>
  </si>
  <si>
    <t>Magarik, Meaghan</t>
  </si>
  <si>
    <t>John A Parker</t>
  </si>
  <si>
    <t>Agarin, Taghogho</t>
  </si>
  <si>
    <t>Khalid</t>
  </si>
  <si>
    <t>Connor, Gregory</t>
  </si>
  <si>
    <t>Misulis, Karl</t>
  </si>
  <si>
    <t>Neiman, Eli</t>
  </si>
  <si>
    <t>Vigneswaran, Krishanthan</t>
  </si>
  <si>
    <t>Cruz, Elizabeth</t>
  </si>
  <si>
    <t>Courtney, Willis</t>
  </si>
  <si>
    <t>Varade, Preet</t>
  </si>
  <si>
    <t>Moustafa, Manal E.</t>
  </si>
  <si>
    <t>Saeed, Omar</t>
  </si>
  <si>
    <t>Malkoff, Marc</t>
  </si>
  <si>
    <t>Hanzlik, Emily</t>
  </si>
  <si>
    <t>Nobo, Ulises</t>
  </si>
  <si>
    <t>Kumar, Vishad</t>
  </si>
  <si>
    <t>Burton, Stephen</t>
  </si>
  <si>
    <t>Connor, David</t>
  </si>
  <si>
    <t>Syed, Sana</t>
  </si>
  <si>
    <t>Adam C Waddell</t>
  </si>
  <si>
    <t>Arya, Kapil</t>
  </si>
  <si>
    <t>Cornelison, Diane</t>
  </si>
  <si>
    <t>Cooper, Vernon</t>
  </si>
  <si>
    <t>Ruxandra</t>
  </si>
  <si>
    <t>Aromin, Jourdan</t>
  </si>
  <si>
    <t>Farooq, Muhammad</t>
  </si>
  <si>
    <t>Hueter, John</t>
  </si>
  <si>
    <t>Wang, James</t>
  </si>
  <si>
    <t>Chen, Jian</t>
  </si>
  <si>
    <t>Amol R Mehta</t>
  </si>
  <si>
    <t>Crabtree, Herbert</t>
  </si>
  <si>
    <t>Belknap, Toby</t>
  </si>
  <si>
    <t>Riordan, Katherine</t>
  </si>
  <si>
    <t>Elahi, Hafiz</t>
  </si>
  <si>
    <t>Gonzales, Carmela</t>
  </si>
  <si>
    <t>Dhall, Rohit</t>
  </si>
  <si>
    <t>Cheng, Christopher</t>
  </si>
  <si>
    <t>Lynch, Jennifer</t>
  </si>
  <si>
    <t>Choudhary, Shahid</t>
  </si>
  <si>
    <t>Chan, Kenneth</t>
  </si>
  <si>
    <t>Ippolito, Mark</t>
  </si>
  <si>
    <t>Igor A Malenky</t>
  </si>
  <si>
    <t>Budway, Matthew</t>
  </si>
  <si>
    <t>Henderson, Kendrick</t>
  </si>
  <si>
    <t>Bertorini, Tulio</t>
  </si>
  <si>
    <t>Mikilitus Richard J</t>
  </si>
  <si>
    <t>Owens, William</t>
  </si>
  <si>
    <t>Kelly L Milton</t>
  </si>
  <si>
    <t>Nalleballe, Krishna</t>
  </si>
  <si>
    <t>Patel, Nimit</t>
  </si>
  <si>
    <t>Ram N Narayan</t>
  </si>
  <si>
    <t>Collins, James</t>
  </si>
  <si>
    <t>Qureshi, Mushtaq</t>
  </si>
  <si>
    <t>Allen, Evan</t>
  </si>
  <si>
    <t>Bermejo, Leonides</t>
  </si>
  <si>
    <t>Solanki, Arun</t>
  </si>
  <si>
    <t>Ellis, Steven</t>
  </si>
  <si>
    <t>Bulic, Sebina</t>
  </si>
  <si>
    <t>Rivas-Coppola, Marianna</t>
  </si>
  <si>
    <t>Dharmadhikari, Sushrut</t>
  </si>
  <si>
    <t>Arun Pillai</t>
  </si>
  <si>
    <t>Evans, Brandon</t>
  </si>
  <si>
    <t>Iman Dabiri</t>
  </si>
  <si>
    <t>Douglas Valenta</t>
  </si>
  <si>
    <t>Carroll, Craig</t>
  </si>
  <si>
    <t>Batchu, Sudhir</t>
  </si>
  <si>
    <t>Khawaja, Ayaz</t>
  </si>
  <si>
    <t>Petrinjac-Nenadic, Rada</t>
  </si>
  <si>
    <t>Iftikhar, Sulaiman</t>
  </si>
  <si>
    <t>Kunz, Justin</t>
  </si>
  <si>
    <t>Ellison, David</t>
  </si>
  <si>
    <t>Alshareef, Bashar</t>
  </si>
  <si>
    <t>Wysocki, Nicole</t>
  </si>
  <si>
    <t>Clark, Autumn</t>
  </si>
  <si>
    <t>Chenault, Kathryn</t>
  </si>
  <si>
    <t>Mark Z Sabra</t>
  </si>
  <si>
    <t>P027</t>
  </si>
  <si>
    <t>Neurosurgery</t>
  </si>
  <si>
    <t>Raja, Ali</t>
  </si>
  <si>
    <t>Morgan, Chad</t>
  </si>
  <si>
    <t>Krisht, Ali</t>
  </si>
  <si>
    <t>Maggio, Dominic</t>
  </si>
  <si>
    <t>Muhlbauer, Michael</t>
  </si>
  <si>
    <t>Bond, Aaron</t>
  </si>
  <si>
    <t>Arnautovic, Kenan</t>
  </si>
  <si>
    <t>Hsu, Gery</t>
  </si>
  <si>
    <t>Thambuswamy, Michael</t>
  </si>
  <si>
    <t>Ricca, Gregory</t>
  </si>
  <si>
    <t>Spurgeon, Angela</t>
  </si>
  <si>
    <t>Lee, Paul</t>
  </si>
  <si>
    <t>Capocelli, Anthony</t>
  </si>
  <si>
    <t>Dawkins, Demi W</t>
  </si>
  <si>
    <t>Khan, Nickalus R</t>
  </si>
  <si>
    <t>Mansfield, Kevin</t>
  </si>
  <si>
    <t>Katz, Barry</t>
  </si>
  <si>
    <t>Reding, Jonathan</t>
  </si>
  <si>
    <t>Parsioon, Fereidoon</t>
  </si>
  <si>
    <t>Adrian M Smith</t>
  </si>
  <si>
    <t>Gandhi, Gautam</t>
  </si>
  <si>
    <t>Tanaka, Tomoko</t>
  </si>
  <si>
    <t>Shamsnia, Sam</t>
  </si>
  <si>
    <t>Hector E Soriano Baron</t>
  </si>
  <si>
    <t>Cardenas, Raul</t>
  </si>
  <si>
    <t>Maryanov, Timothy</t>
  </si>
  <si>
    <t>Saied, Nahel</t>
  </si>
  <si>
    <t>Krisht, Khaled</t>
  </si>
  <si>
    <t>Camposbenitez, Mauricio</t>
  </si>
  <si>
    <t>Nader, Remi</t>
  </si>
  <si>
    <t>Sorenson, Jeffrey</t>
  </si>
  <si>
    <t>Scott, Brandon</t>
  </si>
  <si>
    <t>Labagnara, Michael</t>
  </si>
  <si>
    <t>Carl A Youssef</t>
  </si>
  <si>
    <t>Scarrow, Alan</t>
  </si>
  <si>
    <t>P028</t>
  </si>
  <si>
    <t>Occupational Therapy</t>
  </si>
  <si>
    <t>Hare, Kristin</t>
  </si>
  <si>
    <t>Taylor</t>
  </si>
  <si>
    <t>Martin, Andrea</t>
  </si>
  <si>
    <t>Bauders, Lesley</t>
  </si>
  <si>
    <t>Hart, Jeremy</t>
  </si>
  <si>
    <t>Brooke</t>
  </si>
  <si>
    <t>Marquis, Patricia</t>
  </si>
  <si>
    <t>Bollinger, Lee</t>
  </si>
  <si>
    <t>Davis, Tessa</t>
  </si>
  <si>
    <t>Moran, Claudia</t>
  </si>
  <si>
    <t>Malone, Beverly</t>
  </si>
  <si>
    <t>Parker, Leslie</t>
  </si>
  <si>
    <t>Adelline Maddux</t>
  </si>
  <si>
    <t>Kelsey, Callins</t>
  </si>
  <si>
    <t>Weiner, Sarah</t>
  </si>
  <si>
    <t>Chambers Memorial Clinic</t>
  </si>
  <si>
    <t>Cynthia</t>
  </si>
  <si>
    <t>Sarah M Reed</t>
  </si>
  <si>
    <t>Johnston, Billy</t>
  </si>
  <si>
    <t>Jacobi, Kimberly</t>
  </si>
  <si>
    <t>Shippey, Joyce</t>
  </si>
  <si>
    <t>Walden, Jason</t>
  </si>
  <si>
    <t>Hatridge, William</t>
  </si>
  <si>
    <t>Jolina L Manchester</t>
  </si>
  <si>
    <t>Thomas, Robin</t>
  </si>
  <si>
    <t>Morgan, Strauser</t>
  </si>
  <si>
    <t>Carlee I Leatherman</t>
  </si>
  <si>
    <t>Carey C Mckay</t>
  </si>
  <si>
    <t>Alliyah, Higgins-Jones</t>
  </si>
  <si>
    <t>Peralta, Sarah</t>
  </si>
  <si>
    <t>Franks, Heather</t>
  </si>
  <si>
    <t>Hoover, Michelle</t>
  </si>
  <si>
    <t>Bennett, Kristina</t>
  </si>
  <si>
    <t>Douglas, Abbie F</t>
  </si>
  <si>
    <t>Brittany</t>
  </si>
  <si>
    <t>Cole, Lindsey</t>
  </si>
  <si>
    <t>Jessica</t>
  </si>
  <si>
    <t>Hastings, Melissa</t>
  </si>
  <si>
    <t>Duvall, Andrea</t>
  </si>
  <si>
    <t>Douglas-Cartwright</t>
  </si>
  <si>
    <t>Akin, Brandi</t>
  </si>
  <si>
    <t>Kemery, Kim</t>
  </si>
  <si>
    <t>Hall, Justin</t>
  </si>
  <si>
    <t>Nyesha, Walker</t>
  </si>
  <si>
    <t>Colton</t>
  </si>
  <si>
    <t>Hannah</t>
  </si>
  <si>
    <t>Bretz, Meghan</t>
  </si>
  <si>
    <t>King, Trisha</t>
  </si>
  <si>
    <t>Jones, Calvin</t>
  </si>
  <si>
    <t>Quinn, Joseph</t>
  </si>
  <si>
    <t>Megan</t>
  </si>
  <si>
    <t>Hanson, Cassie</t>
  </si>
  <si>
    <t>Jill Stanton</t>
  </si>
  <si>
    <t>Vincent, Casey</t>
  </si>
  <si>
    <t>Chelsea A Clarkson</t>
  </si>
  <si>
    <t>Merguie, Lisa</t>
  </si>
  <si>
    <t>Griffin, Ashley</t>
  </si>
  <si>
    <t>Darcie R Reed</t>
  </si>
  <si>
    <t>Sportsman, Adrian</t>
  </si>
  <si>
    <t>Downen, Sarah</t>
  </si>
  <si>
    <t>Lily, Friedl</t>
  </si>
  <si>
    <t>Jarman, Jessica</t>
  </si>
  <si>
    <t>Laramie</t>
  </si>
  <si>
    <t>Kayla L Harris</t>
  </si>
  <si>
    <t>King, Maria</t>
  </si>
  <si>
    <t>Pilgreen, Haley</t>
  </si>
  <si>
    <t>Alexa Thompson</t>
  </si>
  <si>
    <t>Cherry, Lauren</t>
  </si>
  <si>
    <t>Kaylie</t>
  </si>
  <si>
    <t>Nagarsheth, Janki</t>
  </si>
  <si>
    <t>Ray, Whitney</t>
  </si>
  <si>
    <t>Adamos, Remedios</t>
  </si>
  <si>
    <t>Mary</t>
  </si>
  <si>
    <t>Brick, David</t>
  </si>
  <si>
    <t>Wells, Melissa</t>
  </si>
  <si>
    <t>Wurz, Jennifer</t>
  </si>
  <si>
    <t>Barley, Keith</t>
  </si>
  <si>
    <t>Charlton, Lea</t>
  </si>
  <si>
    <t>Harrison, Britney</t>
  </si>
  <si>
    <t>Theresa A Brooks</t>
  </si>
  <si>
    <t>Spence, Erin</t>
  </si>
  <si>
    <t>Abigail, Lovell</t>
  </si>
  <si>
    <t>Lunn, Melinda</t>
  </si>
  <si>
    <t>Lauren J Ikerd, Otr</t>
  </si>
  <si>
    <t>Milton, Gillian</t>
  </si>
  <si>
    <t>Erin K Richards</t>
  </si>
  <si>
    <t>Bernarte, Ana Lyn</t>
  </si>
  <si>
    <t>Falyn N Farmer</t>
  </si>
  <si>
    <t>Chandler, Long</t>
  </si>
  <si>
    <t>Alspaugh, Allie</t>
  </si>
  <si>
    <t>Thompson, Whitney</t>
  </si>
  <si>
    <t>Kayla A Tyler</t>
  </si>
  <si>
    <t>Erika Gipson</t>
  </si>
  <si>
    <t>Elizabeth L Self</t>
  </si>
  <si>
    <t>Roper, Brittany</t>
  </si>
  <si>
    <t>Graham, Megan</t>
  </si>
  <si>
    <t>Hudgens, Kristy</t>
  </si>
  <si>
    <t>Melanie</t>
  </si>
  <si>
    <t>Shelby</t>
  </si>
  <si>
    <t>Verde, Anabel</t>
  </si>
  <si>
    <t>Lauren Carmack</t>
  </si>
  <si>
    <t>Hinton, Kylie</t>
  </si>
  <si>
    <t>Amber, Bell</t>
  </si>
  <si>
    <t>Tiffany N Difani</t>
  </si>
  <si>
    <t>Cave, Allison</t>
  </si>
  <si>
    <t>Waller, Zachary</t>
  </si>
  <si>
    <t>Ross, Shaina</t>
  </si>
  <si>
    <t>Hapner, Cortney</t>
  </si>
  <si>
    <t>Kerridge, Carolyn</t>
  </si>
  <si>
    <t>Poff, Alaina</t>
  </si>
  <si>
    <t>Declerk, Rebecca</t>
  </si>
  <si>
    <t>Young, Katlyn</t>
  </si>
  <si>
    <t>Chilton, Molly</t>
  </si>
  <si>
    <t>Johnson, Paula</t>
  </si>
  <si>
    <t>Haley F Stewart</t>
  </si>
  <si>
    <t>Mcbryde, Alicia</t>
  </si>
  <si>
    <t>Phillips, Megan</t>
  </si>
  <si>
    <t>Davis, Kiara</t>
  </si>
  <si>
    <t>Katherine</t>
  </si>
  <si>
    <t>Yates, Shannon</t>
  </si>
  <si>
    <t>Farris</t>
  </si>
  <si>
    <t>Madison</t>
  </si>
  <si>
    <t>Amanda</t>
  </si>
  <si>
    <t>Bomar, Katrina</t>
  </si>
  <si>
    <t>Wesson, Ellen</t>
  </si>
  <si>
    <t>Miller, Megan</t>
  </si>
  <si>
    <t>Payton D Gattis</t>
  </si>
  <si>
    <t>Hannah B Aldridge</t>
  </si>
  <si>
    <t>Melton, Hannah</t>
  </si>
  <si>
    <t>Kramer, Ashley</t>
  </si>
  <si>
    <t>Turner, Kaelyn</t>
  </si>
  <si>
    <t>Genna G Langford</t>
  </si>
  <si>
    <t>Dundee, Melody</t>
  </si>
  <si>
    <t>Pearcy, Chelsea</t>
  </si>
  <si>
    <t>Quinley, Amanda</t>
  </si>
  <si>
    <t>Bradford, Erin</t>
  </si>
  <si>
    <t>Laborn, Meghann</t>
  </si>
  <si>
    <t>Casey M Hill</t>
  </si>
  <si>
    <t>Kallie Mcwilliams</t>
  </si>
  <si>
    <t>Hannah E Melton</t>
  </si>
  <si>
    <t>Watkins, Sara</t>
  </si>
  <si>
    <t>Thomas, Middleton</t>
  </si>
  <si>
    <t>File, Brittany</t>
  </si>
  <si>
    <t>Boeckman, Shelbi</t>
  </si>
  <si>
    <t>Swaim, Sarah</t>
  </si>
  <si>
    <t>Amelia T House</t>
  </si>
  <si>
    <t>Heather, Bellisario</t>
  </si>
  <si>
    <t>D'Allegra, Cochran</t>
  </si>
  <si>
    <t>Ashcraft, Alissa</t>
  </si>
  <si>
    <t>Flowers, Margaret</t>
  </si>
  <si>
    <t>Flanders, Esther</t>
  </si>
  <si>
    <t>Elizabeth A Palese</t>
  </si>
  <si>
    <t>Bradley, Alyssa</t>
  </si>
  <si>
    <t>Mullins, Amber</t>
  </si>
  <si>
    <t>Mason, Morgan</t>
  </si>
  <si>
    <t>Barbara,Johnson</t>
  </si>
  <si>
    <t>Amy, Ferguson</t>
  </si>
  <si>
    <t>Meyers, Hannah</t>
  </si>
  <si>
    <t>Bethany</t>
  </si>
  <si>
    <t>Derryberry, Mary</t>
  </si>
  <si>
    <t>Mcclelland, Elizabeth</t>
  </si>
  <si>
    <t>Henley, Megan</t>
  </si>
  <si>
    <t>Martha J Christianson</t>
  </si>
  <si>
    <t>Gray, Alissa</t>
  </si>
  <si>
    <t>Jones, Taylor</t>
  </si>
  <si>
    <t>England, Emily</t>
  </si>
  <si>
    <t>Jasmin, Burton</t>
  </si>
  <si>
    <t>Brenae, Tidwell</t>
  </si>
  <si>
    <t>Camden, William</t>
  </si>
  <si>
    <t>Meghan L Zengel</t>
  </si>
  <si>
    <t>Kathryn L Colford</t>
  </si>
  <si>
    <t>Renfro, Bret</t>
  </si>
  <si>
    <t>Beamon, Keyston</t>
  </si>
  <si>
    <t>Tyus, Catrice</t>
  </si>
  <si>
    <t>Baptist Medical Center - North Little Rock</t>
  </si>
  <si>
    <t>Marvin, Julie</t>
  </si>
  <si>
    <t>Coles, Kimberly</t>
  </si>
  <si>
    <t>Morgan, Leiken</t>
  </si>
  <si>
    <t>Hovis, Andrew</t>
  </si>
  <si>
    <t>Meeks, Krista</t>
  </si>
  <si>
    <t>Johnson, Yomika</t>
  </si>
  <si>
    <t>Aboloc Martinez, Chalice</t>
  </si>
  <si>
    <t>Harrell, Robert</t>
  </si>
  <si>
    <t>Shepherd, Kathryn</t>
  </si>
  <si>
    <t>Hunter R Harper</t>
  </si>
  <si>
    <t>Metheny, Chelsea</t>
  </si>
  <si>
    <t>Kailey Y Miller</t>
  </si>
  <si>
    <t>Escue, Amanda</t>
  </si>
  <si>
    <t>Rodery, Tracey F.</t>
  </si>
  <si>
    <t>Culverson, Tiffany</t>
  </si>
  <si>
    <t>Collette, Mikaylin</t>
  </si>
  <si>
    <t>Hollaway, Lynne</t>
  </si>
  <si>
    <t>White, Katherine</t>
  </si>
  <si>
    <t>Thomas, Lola</t>
  </si>
  <si>
    <t>Claussen, Stacy</t>
  </si>
  <si>
    <t>Angela Anderson</t>
  </si>
  <si>
    <t>Thompson, Mark</t>
  </si>
  <si>
    <t>Harper, Kari</t>
  </si>
  <si>
    <t>Abby E Grubb</t>
  </si>
  <si>
    <t>Baptist Memorial Hospital Memphis</t>
  </si>
  <si>
    <t>Swindle, Kristy</t>
  </si>
  <si>
    <t>Widner, Alicia</t>
  </si>
  <si>
    <t>Ponce, Pamela</t>
  </si>
  <si>
    <t>Hammerschmidt, Kylie</t>
  </si>
  <si>
    <t>Bise, David</t>
  </si>
  <si>
    <t>Bauer, Denise</t>
  </si>
  <si>
    <t>Christie D Stone</t>
  </si>
  <si>
    <t>Erica, Dexter</t>
  </si>
  <si>
    <t>Sabrina G Gonzales</t>
  </si>
  <si>
    <t>St. Vincent Morrilton</t>
  </si>
  <si>
    <t>Chenault, Karla</t>
  </si>
  <si>
    <t>Parsons Jr., Paul</t>
  </si>
  <si>
    <t>Kayla, Adair</t>
  </si>
  <si>
    <t>Mcelroy, Kimberly</t>
  </si>
  <si>
    <t>Kaylee Tabor</t>
  </si>
  <si>
    <t>Carrie A Nichols</t>
  </si>
  <si>
    <t>Sarah D Jarvis</t>
  </si>
  <si>
    <t>Hunt, Logan</t>
  </si>
  <si>
    <t>Omc Urgent Care</t>
  </si>
  <si>
    <t>Lacie M Canizares</t>
  </si>
  <si>
    <t>Shaina</t>
  </si>
  <si>
    <t>Mcmasters, Chisti</t>
  </si>
  <si>
    <t>Melcher, Rebekah</t>
  </si>
  <si>
    <t>Naia V Sylvia</t>
  </si>
  <si>
    <t>Mcclain, Amanda</t>
  </si>
  <si>
    <t>Dana</t>
  </si>
  <si>
    <t>Depew, Sara</t>
  </si>
  <si>
    <t>Dowell, Jenna</t>
  </si>
  <si>
    <t>Sullivan, Caitlyn</t>
  </si>
  <si>
    <t>Hannah, Morgan</t>
  </si>
  <si>
    <t>Durocher, Danyelle</t>
  </si>
  <si>
    <t>Faith C Kenley</t>
  </si>
  <si>
    <t>Kylie, Dehne</t>
  </si>
  <si>
    <t>Ashley</t>
  </si>
  <si>
    <t>Harmon, Scott</t>
  </si>
  <si>
    <t>Lindsey M Gray</t>
  </si>
  <si>
    <t>Terry, Anna</t>
  </si>
  <si>
    <t>Strickland, Rebekah</t>
  </si>
  <si>
    <t>Simpson, Tiffany</t>
  </si>
  <si>
    <t>Blocker, Joshua</t>
  </si>
  <si>
    <t>Harvey, Chad</t>
  </si>
  <si>
    <t>Grimes, Kenneth</t>
  </si>
  <si>
    <t>Mills, Carol</t>
  </si>
  <si>
    <t>Ray, Brent</t>
  </si>
  <si>
    <t>Cook, Kayla</t>
  </si>
  <si>
    <t>Duncan, Benjamin</t>
  </si>
  <si>
    <t>Jessica R Candelaria</t>
  </si>
  <si>
    <t>Fincher, Jessica</t>
  </si>
  <si>
    <t>Rochester</t>
  </si>
  <si>
    <t>Linda M Maiers</t>
  </si>
  <si>
    <t>Henry, Crystal</t>
  </si>
  <si>
    <t>Gschwandegger, Diane</t>
  </si>
  <si>
    <t>Humbard, Kelley</t>
  </si>
  <si>
    <t>Kristina</t>
  </si>
  <si>
    <t>Glenn, Rachel</t>
  </si>
  <si>
    <t>Leslie D Porter</t>
  </si>
  <si>
    <t>Lenahan, Kathleen</t>
  </si>
  <si>
    <t>Holloway, Lyric</t>
  </si>
  <si>
    <t>Bledsoe, Morgan</t>
  </si>
  <si>
    <t>Makaila, Archer</t>
  </si>
  <si>
    <t>Blake E Bennett</t>
  </si>
  <si>
    <t>Mario, Paz</t>
  </si>
  <si>
    <t>Conder, Kathryn</t>
  </si>
  <si>
    <t>Driggs, Linda</t>
  </si>
  <si>
    <t>Wolf, Aileen</t>
  </si>
  <si>
    <t>Lauren, Baker</t>
  </si>
  <si>
    <t>Corrigan, Virginia</t>
  </si>
  <si>
    <t>Madison, Scudder</t>
  </si>
  <si>
    <t>Christian, Halterman</t>
  </si>
  <si>
    <t>Ivy, Sara</t>
  </si>
  <si>
    <t>Halter, Connie</t>
  </si>
  <si>
    <t>Whitney, Kelsey</t>
  </si>
  <si>
    <t>Hope E Smith</t>
  </si>
  <si>
    <t>Coffelt, Laureen</t>
  </si>
  <si>
    <t>Tiffee, Hillaree</t>
  </si>
  <si>
    <t>Lantz, Jaclyn</t>
  </si>
  <si>
    <t>Haylee L Lloyd</t>
  </si>
  <si>
    <t>Berry, Jennifer</t>
  </si>
  <si>
    <t>Jessica, Whalum</t>
  </si>
  <si>
    <t>Collier, Morgan</t>
  </si>
  <si>
    <t>Loghry, Richard</t>
  </si>
  <si>
    <t>Madison Strickland</t>
  </si>
  <si>
    <t>Whiteaker, Tyler</t>
  </si>
  <si>
    <t>Vicki</t>
  </si>
  <si>
    <t>Kristyn Anders</t>
  </si>
  <si>
    <t>Brixey, Jerrick</t>
  </si>
  <si>
    <t>Jennifer A Deming</t>
  </si>
  <si>
    <t>Henley, Kimberly</t>
  </si>
  <si>
    <t>Aaron M Hurt</t>
  </si>
  <si>
    <t>Ford, Carlisa</t>
  </si>
  <si>
    <t>Brantley, Elizabeth</t>
  </si>
  <si>
    <t>Keith, Holly</t>
  </si>
  <si>
    <t>Sydnie, Walker</t>
  </si>
  <si>
    <t>Copeland, Paula</t>
  </si>
  <si>
    <t>Fairris, Alee</t>
  </si>
  <si>
    <t>Larson, Margaret</t>
  </si>
  <si>
    <t>Sears, Yvonne</t>
  </si>
  <si>
    <t>Alysa B Cole</t>
  </si>
  <si>
    <t>Holt, Lindsey</t>
  </si>
  <si>
    <t>Dickson, Jennifer</t>
  </si>
  <si>
    <t>Ashley, Lauren</t>
  </si>
  <si>
    <t>George, Amanda</t>
  </si>
  <si>
    <t>Williams, Amy</t>
  </si>
  <si>
    <t>Hagler, Shelby</t>
  </si>
  <si>
    <t>Emily, Brown</t>
  </si>
  <si>
    <t>Richardson, Brittney</t>
  </si>
  <si>
    <t>Crane Otr/L, Daniel Eric</t>
  </si>
  <si>
    <t>Anna</t>
  </si>
  <si>
    <t>Uy, Homerly</t>
  </si>
  <si>
    <t>Brett Black</t>
  </si>
  <si>
    <t>Tencleve, Michalli</t>
  </si>
  <si>
    <t>Amanda E Jackson</t>
  </si>
  <si>
    <t>Stone, Jackie</t>
  </si>
  <si>
    <t>Rebecca L Lincoln</t>
  </si>
  <si>
    <t>Ratliff, Anna</t>
  </si>
  <si>
    <t>Onuora, Iluobe</t>
  </si>
  <si>
    <t>Womack, Victoria</t>
  </si>
  <si>
    <t>Mantione, Samantha</t>
  </si>
  <si>
    <t>Speaks, Jennifer</t>
  </si>
  <si>
    <t>Statton, Shelley</t>
  </si>
  <si>
    <t>Cornell, Megan</t>
  </si>
  <si>
    <t>Ashlee Burgess</t>
  </si>
  <si>
    <t>Patrick B Cunningham</t>
  </si>
  <si>
    <t>Wise, Stephanie</t>
  </si>
  <si>
    <t>Jones, Brittney</t>
  </si>
  <si>
    <t>Warren, Jill</t>
  </si>
  <si>
    <t>Jessica Krug</t>
  </si>
  <si>
    <t>Shelly Sears</t>
  </si>
  <si>
    <t>Hill, Kaitlyn</t>
  </si>
  <si>
    <t>Anna Rossman</t>
  </si>
  <si>
    <t>Samantha J Hofmeister</t>
  </si>
  <si>
    <t>Jessica L Pratt</t>
  </si>
  <si>
    <t>Graves, Marla</t>
  </si>
  <si>
    <t>Hannah N Franke</t>
  </si>
  <si>
    <t>Crossett, Sharon</t>
  </si>
  <si>
    <t>Hutto, Marcus</t>
  </si>
  <si>
    <t>Lewis, Lani</t>
  </si>
  <si>
    <t>Nicholas, Meehan</t>
  </si>
  <si>
    <t>Whitney, Dobbs</t>
  </si>
  <si>
    <t>Menna, Lynette</t>
  </si>
  <si>
    <t>Christina J Bowen</t>
  </si>
  <si>
    <t>Emily Oliver</t>
  </si>
  <si>
    <t>Savannah R Agee</t>
  </si>
  <si>
    <t>Hudspeth, Danielle</t>
  </si>
  <si>
    <t>Hardage, Reagan</t>
  </si>
  <si>
    <t>Kalee, Fowler</t>
  </si>
  <si>
    <t>Miranda Book</t>
  </si>
  <si>
    <t>Rachel</t>
  </si>
  <si>
    <t>Lauren</t>
  </si>
  <si>
    <t>Edwards, Alyson</t>
  </si>
  <si>
    <t>Williams, Kali</t>
  </si>
  <si>
    <t>Kennedy, Stephanie</t>
  </si>
  <si>
    <t>Delaney E Fretwell</t>
  </si>
  <si>
    <t>Riley, Logan</t>
  </si>
  <si>
    <t>Luttman, Carla</t>
  </si>
  <si>
    <t>Simpson, Brandi</t>
  </si>
  <si>
    <t>Wilkerson, Wesley</t>
  </si>
  <si>
    <t>Sarah E Branscum</t>
  </si>
  <si>
    <t>Kynlee</t>
  </si>
  <si>
    <t>Bondoc, Kenna</t>
  </si>
  <si>
    <t>Mann, Peggy</t>
  </si>
  <si>
    <t>Kylie J Coker</t>
  </si>
  <si>
    <t>Braswell, Julianne</t>
  </si>
  <si>
    <t>P029</t>
  </si>
  <si>
    <t>Oncology - Medical, Surgical</t>
  </si>
  <si>
    <t>Bishop, Michael</t>
  </si>
  <si>
    <t>Asis</t>
  </si>
  <si>
    <t>Pappo, Alberto</t>
  </si>
  <si>
    <t>Takemoto, Clifford</t>
  </si>
  <si>
    <t>Cuviello, Andrea</t>
  </si>
  <si>
    <t>Banderudrappagari, Rajesh</t>
  </si>
  <si>
    <t>Salek, Martha</t>
  </si>
  <si>
    <t>Atwal, Dinesh</t>
  </si>
  <si>
    <t>Levine, Deena</t>
  </si>
  <si>
    <t>Nishant</t>
  </si>
  <si>
    <t>Staggs, Brent</t>
  </si>
  <si>
    <t>Ware, Russell</t>
  </si>
  <si>
    <t>Shuja, Ahmed</t>
  </si>
  <si>
    <t>Ankur</t>
  </si>
  <si>
    <t>Elsedawy, Noura</t>
  </si>
  <si>
    <t>Pabbathi, Haritha</t>
  </si>
  <si>
    <t>Barfield, Raymond</t>
  </si>
  <si>
    <t>Aygun, Banu</t>
  </si>
  <si>
    <t>Bagchi, Aditi</t>
  </si>
  <si>
    <t>Helmig, Sara</t>
  </si>
  <si>
    <t>Perrino, Melissa</t>
  </si>
  <si>
    <t>Branstetter, Cristyn</t>
  </si>
  <si>
    <t>Tian, Gary (Gang)</t>
  </si>
  <si>
    <t>Catt, Sherry</t>
  </si>
  <si>
    <t>Jesudas, Rohith</t>
  </si>
  <si>
    <t>Slone, Jeremy</t>
  </si>
  <si>
    <t>Kallam, Deepti</t>
  </si>
  <si>
    <t>Dixon, Stephanie</t>
  </si>
  <si>
    <t>Hu, Zhongbo</t>
  </si>
  <si>
    <t>Nunez, Cesar</t>
  </si>
  <si>
    <t>Aarati</t>
  </si>
  <si>
    <t>Vivek</t>
  </si>
  <si>
    <t>Jennifer M Porta</t>
  </si>
  <si>
    <t>Shearer, Patricia</t>
  </si>
  <si>
    <t>Geddes, Lloyd</t>
  </si>
  <si>
    <t>Azul, Melissa</t>
  </si>
  <si>
    <t>Vinitsky, Anna</t>
  </si>
  <si>
    <t>Medhavi</t>
  </si>
  <si>
    <t>Friedrich, Paola</t>
  </si>
  <si>
    <t>Collins, Kathleen</t>
  </si>
  <si>
    <t>Thota, Swapna</t>
  </si>
  <si>
    <t>Hasan Bit-Shawish</t>
  </si>
  <si>
    <t>Moore, Andrew</t>
  </si>
  <si>
    <t>Graham, Richard</t>
  </si>
  <si>
    <t>Gonzalez, Gus</t>
  </si>
  <si>
    <t>P030</t>
  </si>
  <si>
    <t>Oncology - Radiation</t>
  </si>
  <si>
    <t>Goodwin, Whitney</t>
  </si>
  <si>
    <t>Beaucaire, Michael</t>
  </si>
  <si>
    <t>Mccormack, Steven</t>
  </si>
  <si>
    <t>James S Cordova</t>
  </si>
  <si>
    <t>Ellison Ciani M</t>
  </si>
  <si>
    <t>Bh-Uams Oncology Services Llc</t>
  </si>
  <si>
    <t>Gomes, Andrew</t>
  </si>
  <si>
    <t>Chen, Quan</t>
  </si>
  <si>
    <t>Perez, Carmen</t>
  </si>
  <si>
    <t>Chang, Megan</t>
  </si>
  <si>
    <t>Cameron, Brent</t>
  </si>
  <si>
    <t>Gieschen, Holger</t>
  </si>
  <si>
    <t>Salazar, Jorge</t>
  </si>
  <si>
    <t>Ove, Roger</t>
  </si>
  <si>
    <t>Black, Stacey</t>
  </si>
  <si>
    <t>Stadnyk, Michael</t>
  </si>
  <si>
    <t>Akin, Scott</t>
  </si>
  <si>
    <t>Tinkle, Christopher</t>
  </si>
  <si>
    <t>Hargan, Paul</t>
  </si>
  <si>
    <t>Bhakoo, Amit</t>
  </si>
  <si>
    <t>Mohabir Anthony</t>
  </si>
  <si>
    <t>Naveed, Mujtaba</t>
  </si>
  <si>
    <t>Jean Baptiste Ryan S</t>
  </si>
  <si>
    <t>Sharma, Amit</t>
  </si>
  <si>
    <t>Long, Michael</t>
  </si>
  <si>
    <t>Moss, Mark</t>
  </si>
  <si>
    <t>Meek, William</t>
  </si>
  <si>
    <t>Syed, Furqan</t>
  </si>
  <si>
    <t>Welte, Frank</t>
  </si>
  <si>
    <t>Obele, Chika</t>
  </si>
  <si>
    <t>Jalalzai, Waheed</t>
  </si>
  <si>
    <t>Judd, Jeffrey</t>
  </si>
  <si>
    <t>Matheson, Michael</t>
  </si>
  <si>
    <t>Leschak, Stephen</t>
  </si>
  <si>
    <t>Rinker, Lillian</t>
  </si>
  <si>
    <t>Lucas, John</t>
  </si>
  <si>
    <t>Meek, James</t>
  </si>
  <si>
    <t>Zeni, Phillip</t>
  </si>
  <si>
    <t>St Amour, Thomas</t>
  </si>
  <si>
    <t>P031</t>
  </si>
  <si>
    <t>Ophthalmology</t>
  </si>
  <si>
    <t>Liles, Clemit</t>
  </si>
  <si>
    <t>Erin</t>
  </si>
  <si>
    <t>Prater, Thomas</t>
  </si>
  <si>
    <t>Brawner, Kurt</t>
  </si>
  <si>
    <t>Thomason, Micah J</t>
  </si>
  <si>
    <t>Chaow Charoenkijkajorn</t>
  </si>
  <si>
    <t>Westrich, David</t>
  </si>
  <si>
    <t>William A Henry</t>
  </si>
  <si>
    <t>Savannah</t>
  </si>
  <si>
    <t>Watts, Cecil</t>
  </si>
  <si>
    <t>Ahmad, Faisel</t>
  </si>
  <si>
    <t>Hashmi, Aneesuddin</t>
  </si>
  <si>
    <t>Guyton, Arthur</t>
  </si>
  <si>
    <t>Batliwala, Shehzad</t>
  </si>
  <si>
    <t>George, Lindsey</t>
  </si>
  <si>
    <t>Kriger, Sidney</t>
  </si>
  <si>
    <t>Taylor, Nicholas</t>
  </si>
  <si>
    <t>Lu, Ming</t>
  </si>
  <si>
    <t>Cindy</t>
  </si>
  <si>
    <t>Wesberry, Jesse</t>
  </si>
  <si>
    <t>Dwight H Capps</t>
  </si>
  <si>
    <t>Fry, Constance</t>
  </si>
  <si>
    <t>Myrna S Hanna</t>
  </si>
  <si>
    <t>Corrales Regalado, Gustavo</t>
  </si>
  <si>
    <t>Nathaniel J Baggett</t>
  </si>
  <si>
    <t>Morgan D Newton</t>
  </si>
  <si>
    <t>Dang, Kevin H</t>
  </si>
  <si>
    <t>Kosko, Paul</t>
  </si>
  <si>
    <t>Ghaffarieh, Alireza</t>
  </si>
  <si>
    <t>Bailey</t>
  </si>
  <si>
    <t>Jonathan P Goodwin</t>
  </si>
  <si>
    <t>Griggs, Penny</t>
  </si>
  <si>
    <t>Davis, Sara</t>
  </si>
  <si>
    <t>Soni, Chetan</t>
  </si>
  <si>
    <t>Wong, Lisa</t>
  </si>
  <si>
    <t>Friday, Camille</t>
  </si>
  <si>
    <t>Alexandra</t>
  </si>
  <si>
    <t>Mcalister, Joseph</t>
  </si>
  <si>
    <t>Kim, Daniel</t>
  </si>
  <si>
    <t>Carney, Marcia</t>
  </si>
  <si>
    <t>Castillo, Richard</t>
  </si>
  <si>
    <t>Sullivan, Scott</t>
  </si>
  <si>
    <t>Johnson, Scott</t>
  </si>
  <si>
    <t>Douglas</t>
  </si>
  <si>
    <t>Orgain, Robert R</t>
  </si>
  <si>
    <t>Mcdonnell, Edward</t>
  </si>
  <si>
    <t>Jansen, Francis</t>
  </si>
  <si>
    <t>St Pierre, Lee</t>
  </si>
  <si>
    <t>Hannah M Fairchild</t>
  </si>
  <si>
    <t>Wesley M Gillette</t>
  </si>
  <si>
    <t>Margaret A Hubbell</t>
  </si>
  <si>
    <t>Collin</t>
  </si>
  <si>
    <t>Cole H Stanton</t>
  </si>
  <si>
    <t>Haden, Benjamin</t>
  </si>
  <si>
    <t>Lewis, Maci</t>
  </si>
  <si>
    <t>Aburime, Osemelu</t>
  </si>
  <si>
    <t>David</t>
  </si>
  <si>
    <t>Brown, Bryan</t>
  </si>
  <si>
    <t>Emily</t>
  </si>
  <si>
    <t>Lusk, James</t>
  </si>
  <si>
    <t>P032</t>
  </si>
  <si>
    <t>Orthopedic Surgery</t>
  </si>
  <si>
    <t>Robert A Achilike</t>
  </si>
  <si>
    <t>Roeder, Edwin</t>
  </si>
  <si>
    <t>Brown, David</t>
  </si>
  <si>
    <t>Meredith, Samuel</t>
  </si>
  <si>
    <t>Potter, Steven</t>
  </si>
  <si>
    <t>Caron, Troy</t>
  </si>
  <si>
    <t>Mcalister, Deborah</t>
  </si>
  <si>
    <t>Hanby, Charles</t>
  </si>
  <si>
    <t>Deloache, Christopher</t>
  </si>
  <si>
    <t>Hood, Michael</t>
  </si>
  <si>
    <t>Sismondo, Ronald</t>
  </si>
  <si>
    <t>Joseph, Thomas</t>
  </si>
  <si>
    <t>Ginger, Medders</t>
  </si>
  <si>
    <t>Smith, Harry</t>
  </si>
  <si>
    <t>Head, James</t>
  </si>
  <si>
    <t>Williams, Keith</t>
  </si>
  <si>
    <t>Black, David</t>
  </si>
  <si>
    <t>Jacobelli, Dominic</t>
  </si>
  <si>
    <t>Sarfani, Shumaila</t>
  </si>
  <si>
    <t>Amundsen, Christopher</t>
  </si>
  <si>
    <t>Grimes, Collin</t>
  </si>
  <si>
    <t>Austin B Murphy</t>
  </si>
  <si>
    <t>Graves, White</t>
  </si>
  <si>
    <t>Stambough, Jeffrey</t>
  </si>
  <si>
    <t>Johnson, Philip</t>
  </si>
  <si>
    <t>Chen, Andreas</t>
  </si>
  <si>
    <t>Trenden</t>
  </si>
  <si>
    <t>Kilambi, Navin</t>
  </si>
  <si>
    <t>Dona, Grant</t>
  </si>
  <si>
    <t>Wallace, Aaron</t>
  </si>
  <si>
    <t>Waliullah, Khalid</t>
  </si>
  <si>
    <t>Cartwright, Jefferson</t>
  </si>
  <si>
    <t>Gordon, Eric</t>
  </si>
  <si>
    <t>Klott, Jeffrey</t>
  </si>
  <si>
    <t>Christopher J Lang</t>
  </si>
  <si>
    <t>Cox, Wesley</t>
  </si>
  <si>
    <t>Calandruccio, James</t>
  </si>
  <si>
    <t>Spires, Timothy</t>
  </si>
  <si>
    <t>Curlee, Patrick</t>
  </si>
  <si>
    <t>Fahey, Christian</t>
  </si>
  <si>
    <t>Ryan</t>
  </si>
  <si>
    <t>Hauser, Spencer</t>
  </si>
  <si>
    <t>Crowell, Bernard</t>
  </si>
  <si>
    <t>Rabinowitz, Justin</t>
  </si>
  <si>
    <t>Stroope, Henry</t>
  </si>
  <si>
    <t>Martinez, Santos</t>
  </si>
  <si>
    <t>Cheng, Rolando</t>
  </si>
  <si>
    <t>Mccarthy, Richard</t>
  </si>
  <si>
    <t>Degravelle, Martin</t>
  </si>
  <si>
    <t>Graber, Thomas</t>
  </si>
  <si>
    <t>Stephen D Wahl</t>
  </si>
  <si>
    <t>Stephanie</t>
  </si>
  <si>
    <t>Schwartz, Laurence</t>
  </si>
  <si>
    <t>Balle, Larry</t>
  </si>
  <si>
    <t>Wodowski, Andrew</t>
  </si>
  <si>
    <t>Franklin, Donald</t>
  </si>
  <si>
    <t>Talley, Darin</t>
  </si>
  <si>
    <t>Abebe, Ermias</t>
  </si>
  <si>
    <t>Brown, William</t>
  </si>
  <si>
    <t>Jonathan E Blake</t>
  </si>
  <si>
    <t>Peek, Richard</t>
  </si>
  <si>
    <t>Mccarthy, Kathryn</t>
  </si>
  <si>
    <t>Phillips, Sierra</t>
  </si>
  <si>
    <t>Andersson, Jeanine</t>
  </si>
  <si>
    <t>Yocum, John</t>
  </si>
  <si>
    <t>Simard, Jean</t>
  </si>
  <si>
    <t>Pokabla, Christopher</t>
  </si>
  <si>
    <t>Greer, Wesley</t>
  </si>
  <si>
    <t>Landge, Vikrant</t>
  </si>
  <si>
    <t>Duncan, William</t>
  </si>
  <si>
    <t>Neel, Michael</t>
  </si>
  <si>
    <t>Sophie</t>
  </si>
  <si>
    <t>Burn, Matthew</t>
  </si>
  <si>
    <t>Steven</t>
  </si>
  <si>
    <t>Banwart, Jon</t>
  </si>
  <si>
    <t>Smith, Joel</t>
  </si>
  <si>
    <t>Onyekwelu, Ikemefuna</t>
  </si>
  <si>
    <t>Ford, Marcus</t>
  </si>
  <si>
    <t>Garrison, Robert</t>
  </si>
  <si>
    <t>Johnson, Jeffrey</t>
  </si>
  <si>
    <t>Katrina M Mueller</t>
  </si>
  <si>
    <t>Jeffrey D Reese</t>
  </si>
  <si>
    <t>Schrader, Lawrence</t>
  </si>
  <si>
    <t>Azar, Frederick</t>
  </si>
  <si>
    <t>Norton, Brian</t>
  </si>
  <si>
    <t>Bennett, Grant</t>
  </si>
  <si>
    <t>Trimble, Tyson</t>
  </si>
  <si>
    <t>Weber, Michael</t>
  </si>
  <si>
    <t>Grammer, William</t>
  </si>
  <si>
    <t>Wilson, Nicholas</t>
  </si>
  <si>
    <t>Trettin, David</t>
  </si>
  <si>
    <t>Porter, Steven</t>
  </si>
  <si>
    <t>Wallace, Henry</t>
  </si>
  <si>
    <t>Creech, Jonathan</t>
  </si>
  <si>
    <t>Evans, Richard</t>
  </si>
  <si>
    <t>Seale, Jared</t>
  </si>
  <si>
    <t>Omar</t>
  </si>
  <si>
    <t>Ahmed, Abdul</t>
  </si>
  <si>
    <t>Hough, Landon</t>
  </si>
  <si>
    <t>Cosgrove, Christopher</t>
  </si>
  <si>
    <t>Jones, Greg</t>
  </si>
  <si>
    <t>Lonergan, Robert</t>
  </si>
  <si>
    <t>Powell, Mark</t>
  </si>
  <si>
    <t>Mitchell, Darius</t>
  </si>
  <si>
    <t>P033</t>
  </si>
  <si>
    <t>Outpatient Clinical Behavioral Health</t>
  </si>
  <si>
    <t>Alexis, Rand</t>
  </si>
  <si>
    <t>Brenton</t>
  </si>
  <si>
    <t>Zeeman, Marthinus</t>
  </si>
  <si>
    <t>Clark, Aaron</t>
  </si>
  <si>
    <t>Robertson, Joshonda</t>
  </si>
  <si>
    <t>Laura, Hardin</t>
  </si>
  <si>
    <t>Peter</t>
  </si>
  <si>
    <t>Maggie</t>
  </si>
  <si>
    <t>Nichols, Teresa</t>
  </si>
  <si>
    <t>Marilyn, Snow</t>
  </si>
  <si>
    <t>Mabbitt, Lydia</t>
  </si>
  <si>
    <t>Kristi, Smith</t>
  </si>
  <si>
    <t>Welch, Jeanie</t>
  </si>
  <si>
    <t>Wells Cimmino, Nicole</t>
  </si>
  <si>
    <t>Brasher, Teresa</t>
  </si>
  <si>
    <t>Poiema</t>
  </si>
  <si>
    <t>Diponio, Angela</t>
  </si>
  <si>
    <t>Melvin, Norman</t>
  </si>
  <si>
    <t>Brewer, Cayce</t>
  </si>
  <si>
    <t>Church, Bobby</t>
  </si>
  <si>
    <t>Cindy, Blacklidge</t>
  </si>
  <si>
    <t>Davis, Mandy</t>
  </si>
  <si>
    <t>Taylor, Moore</t>
  </si>
  <si>
    <t>Johnson, Tabatha</t>
  </si>
  <si>
    <t>Bell, Stephanie</t>
  </si>
  <si>
    <t>Alison</t>
  </si>
  <si>
    <t>Keegan</t>
  </si>
  <si>
    <t>Copeland, Tera</t>
  </si>
  <si>
    <t>Spears, Jennifer</t>
  </si>
  <si>
    <t>Russell, Kristy</t>
  </si>
  <si>
    <t>Bryan T Hall</t>
  </si>
  <si>
    <t>Counts, King</t>
  </si>
  <si>
    <t>Sherr, Elizabeth</t>
  </si>
  <si>
    <t>Gray, Brenda</t>
  </si>
  <si>
    <t>Lashonda, Russell</t>
  </si>
  <si>
    <t>Jeffery</t>
  </si>
  <si>
    <t>Eleanor</t>
  </si>
  <si>
    <t>Ruth</t>
  </si>
  <si>
    <t>Rodney W Quillen</t>
  </si>
  <si>
    <t>Barron, Rebecca</t>
  </si>
  <si>
    <t>Stankewitz, Jerry</t>
  </si>
  <si>
    <t>Herald, Aileen</t>
  </si>
  <si>
    <t>Chennault, Sherry</t>
  </si>
  <si>
    <t>Sweeney, Jean</t>
  </si>
  <si>
    <t>Martin, Jessica</t>
  </si>
  <si>
    <t>Joseph, Shelia</t>
  </si>
  <si>
    <t>Evans, Stacia</t>
  </si>
  <si>
    <t>Howard, Rachel</t>
  </si>
  <si>
    <t>Duncan, Kamela</t>
  </si>
  <si>
    <t>Jenna, Hampton</t>
  </si>
  <si>
    <t>Addy V Keuls</t>
  </si>
  <si>
    <t>Anna C Mitchell</t>
  </si>
  <si>
    <t>Elizabeth, Pierce</t>
  </si>
  <si>
    <t>Makala, Mccauley</t>
  </si>
  <si>
    <t>Kamryan, Mong</t>
  </si>
  <si>
    <t>Holly, Fleming</t>
  </si>
  <si>
    <t>Haddix, Camillia</t>
  </si>
  <si>
    <t>Schwartz, Sandra</t>
  </si>
  <si>
    <t>Annette, Schroer</t>
  </si>
  <si>
    <t>Byford, Denise</t>
  </si>
  <si>
    <t>Thornton, Corey</t>
  </si>
  <si>
    <t>Brown, Milton</t>
  </si>
  <si>
    <t>Shawn E Crow</t>
  </si>
  <si>
    <t>Annmarie</t>
  </si>
  <si>
    <t>Alexis</t>
  </si>
  <si>
    <t>Mariah</t>
  </si>
  <si>
    <t>Mary, Dyer</t>
  </si>
  <si>
    <t>Sonya, Long</t>
  </si>
  <si>
    <t>Byrd, Sherena</t>
  </si>
  <si>
    <t>David, Bond-Martin</t>
  </si>
  <si>
    <t>Kaelyn</t>
  </si>
  <si>
    <t>Angela</t>
  </si>
  <si>
    <t>Haley</t>
  </si>
  <si>
    <t>Chappell, Mosby</t>
  </si>
  <si>
    <t>Nichole A Brand</t>
  </si>
  <si>
    <t>Boswell, Camille</t>
  </si>
  <si>
    <t>Amy, Angell</t>
  </si>
  <si>
    <t>Chelsea, Carter</t>
  </si>
  <si>
    <t>Alan, Melot</t>
  </si>
  <si>
    <t>Tacektt, Kathryn</t>
  </si>
  <si>
    <t>Neil, Tammy</t>
  </si>
  <si>
    <t>Danielle</t>
  </si>
  <si>
    <t>Nicole, Mclemore</t>
  </si>
  <si>
    <t>Abigail, Loyd</t>
  </si>
  <si>
    <t>Laura, Jumper</t>
  </si>
  <si>
    <t>Turner, Ray</t>
  </si>
  <si>
    <t>Nash, Christi</t>
  </si>
  <si>
    <t>Miller, Laurie</t>
  </si>
  <si>
    <t>Watson, Roxanne</t>
  </si>
  <si>
    <t>Crystal, Warren</t>
  </si>
  <si>
    <t>Mariel</t>
  </si>
  <si>
    <t>Tiara, Baez</t>
  </si>
  <si>
    <t>Jason</t>
  </si>
  <si>
    <t>Hale, George</t>
  </si>
  <si>
    <t>Amber</t>
  </si>
  <si>
    <t>Kirksey, Lakeia</t>
  </si>
  <si>
    <t>Christian, Ashley</t>
  </si>
  <si>
    <t>Woodall, Amanda</t>
  </si>
  <si>
    <t>Johnny</t>
  </si>
  <si>
    <t>Kathryn</t>
  </si>
  <si>
    <t>Ashley Flake</t>
  </si>
  <si>
    <t>Mary, Thompson</t>
  </si>
  <si>
    <t>Stiles, Andrea</t>
  </si>
  <si>
    <t>Arnold, Dianne</t>
  </si>
  <si>
    <t>Lea, Johanna</t>
  </si>
  <si>
    <t>Clayton, Debra</t>
  </si>
  <si>
    <t>Sullivan, Matthew</t>
  </si>
  <si>
    <t>Nicole</t>
  </si>
  <si>
    <t>Vaughan, Mary</t>
  </si>
  <si>
    <t>Ashlee</t>
  </si>
  <si>
    <t>Desirae, Barnes</t>
  </si>
  <si>
    <t>Rebecca, Beville</t>
  </si>
  <si>
    <t>Hooper, Kendra</t>
  </si>
  <si>
    <t>Keller, Christie</t>
  </si>
  <si>
    <t>Paul C Kibby</t>
  </si>
  <si>
    <t>Grayson E Bridger</t>
  </si>
  <si>
    <t>Doyle, Angelia</t>
  </si>
  <si>
    <t>Logan, Patricia</t>
  </si>
  <si>
    <t>Whitmire, Adrian</t>
  </si>
  <si>
    <t>Sucik, Jessica</t>
  </si>
  <si>
    <t>Pinson, Preston</t>
  </si>
  <si>
    <t>Rachael G Marx</t>
  </si>
  <si>
    <t>Elmore, Melanie</t>
  </si>
  <si>
    <t>Cruz Collins, Rita</t>
  </si>
  <si>
    <t>Josephine, Matos</t>
  </si>
  <si>
    <t>Steele, Chelsi</t>
  </si>
  <si>
    <t>Cullen, Katherine</t>
  </si>
  <si>
    <t>Reynolds, Brittany</t>
  </si>
  <si>
    <t>Fry, Rodney</t>
  </si>
  <si>
    <t>Shelton, Rebecca</t>
  </si>
  <si>
    <t>Kimberly</t>
  </si>
  <si>
    <t>Tyler, Sisson</t>
  </si>
  <si>
    <t>Moore, Sarah</t>
  </si>
  <si>
    <t>Jana J Dye</t>
  </si>
  <si>
    <t>Vonallmen, Tracy</t>
  </si>
  <si>
    <t>Granholm, Lesley</t>
  </si>
  <si>
    <t>Janet, Siebert</t>
  </si>
  <si>
    <t>Howell, Natalie</t>
  </si>
  <si>
    <t>Smith, Karla</t>
  </si>
  <si>
    <t>Richardson, Samantha</t>
  </si>
  <si>
    <t>Roby, Faith</t>
  </si>
  <si>
    <t>Jennifer, Davis</t>
  </si>
  <si>
    <t>Williams, Brittany</t>
  </si>
  <si>
    <t>Rachel W Britton</t>
  </si>
  <si>
    <t>Shannon</t>
  </si>
  <si>
    <t>Chapman Henry, Heather</t>
  </si>
  <si>
    <t>Wantz, Lauren</t>
  </si>
  <si>
    <t>Allman, Barbara</t>
  </si>
  <si>
    <t>Toni</t>
  </si>
  <si>
    <t>Melissa N Cochran</t>
  </si>
  <si>
    <t>La Porschia</t>
  </si>
  <si>
    <t>Smith, Rochelle</t>
  </si>
  <si>
    <t>Haleigh, Dutton</t>
  </si>
  <si>
    <t>Monica, Burns</t>
  </si>
  <si>
    <t>Kay C Black</t>
  </si>
  <si>
    <t>Wood, John</t>
  </si>
  <si>
    <t>Milliron, James</t>
  </si>
  <si>
    <t>Chance, Mary</t>
  </si>
  <si>
    <t>Brazzel, Lisa</t>
  </si>
  <si>
    <t>Elisa, Ingram</t>
  </si>
  <si>
    <t>Williams, Rosalyn</t>
  </si>
  <si>
    <t>Gibbons, Sarah</t>
  </si>
  <si>
    <t>Alexandria R Kerr</t>
  </si>
  <si>
    <t>Maria</t>
  </si>
  <si>
    <t>Jennifer E Walden</t>
  </si>
  <si>
    <t>Faith</t>
  </si>
  <si>
    <t>Boswell, Britt</t>
  </si>
  <si>
    <t>Dalisha</t>
  </si>
  <si>
    <t>Linney, Jaryn</t>
  </si>
  <si>
    <t>Rocco-Lapinski, Nicole</t>
  </si>
  <si>
    <t>Maners, Lisa</t>
  </si>
  <si>
    <t>Misty, Madden</t>
  </si>
  <si>
    <t>Rafaely, Molly</t>
  </si>
  <si>
    <t>Meredith</t>
  </si>
  <si>
    <t>Carter, Heather</t>
  </si>
  <si>
    <t>Madalyn, Mwangi</t>
  </si>
  <si>
    <t>Gallo, Anna</t>
  </si>
  <si>
    <t>Shawn, Lyman</t>
  </si>
  <si>
    <t>Brooks, Elissa</t>
  </si>
  <si>
    <t>Mcginnis, Caitlin</t>
  </si>
  <si>
    <t>Chad</t>
  </si>
  <si>
    <t>Williams, Nakia</t>
  </si>
  <si>
    <t>Brown, Sue</t>
  </si>
  <si>
    <t>Golan, Robert</t>
  </si>
  <si>
    <t>Hastings, Tessa</t>
  </si>
  <si>
    <t>Brewer, Cameisha</t>
  </si>
  <si>
    <t>Grace</t>
  </si>
  <si>
    <t>Marquart, Stephanie</t>
  </si>
  <si>
    <t>Shauna F Cox</t>
  </si>
  <si>
    <t>Stanfill, Alexandria</t>
  </si>
  <si>
    <t>Burger, Stephen</t>
  </si>
  <si>
    <t>Smith, Nakicia</t>
  </si>
  <si>
    <t>Blake, Buchanan</t>
  </si>
  <si>
    <t>Kelley</t>
  </si>
  <si>
    <t>Felicity, Johnson</t>
  </si>
  <si>
    <t>Debra, Harris</t>
  </si>
  <si>
    <t>Weems, Jeanette</t>
  </si>
  <si>
    <t>Cheri, Mathews</t>
  </si>
  <si>
    <t>Corey</t>
  </si>
  <si>
    <t>Vincent, Ballard</t>
  </si>
  <si>
    <t>Ladd, Jennifer</t>
  </si>
  <si>
    <t>Mechoso, Kristie</t>
  </si>
  <si>
    <t>Diggs, Tammie</t>
  </si>
  <si>
    <t>Laura</t>
  </si>
  <si>
    <t>Crisman, Devon</t>
  </si>
  <si>
    <t>Marissa</t>
  </si>
  <si>
    <t>Maria T Silva</t>
  </si>
  <si>
    <t>Kenerson, Mollie</t>
  </si>
  <si>
    <t>Kendricks, Daphne</t>
  </si>
  <si>
    <t>Tichon, Mark</t>
  </si>
  <si>
    <t>Rebecca</t>
  </si>
  <si>
    <t>Odor, Hilda</t>
  </si>
  <si>
    <t>Sanders, Anita</t>
  </si>
  <si>
    <t>Poole, Cynthia</t>
  </si>
  <si>
    <t>Brady, Lori</t>
  </si>
  <si>
    <t>Pamela, Ramsfield</t>
  </si>
  <si>
    <t>Ridley-Pryor, Tracee</t>
  </si>
  <si>
    <t>Hobbs, Michael</t>
  </si>
  <si>
    <t>Overley, Shannon</t>
  </si>
  <si>
    <t>Ebony, Hines</t>
  </si>
  <si>
    <t>Laquintha C Henderson</t>
  </si>
  <si>
    <t>Mckinney, Bennisha</t>
  </si>
  <si>
    <t>Wyatt, Aron</t>
  </si>
  <si>
    <t>Rogers, Adrienne</t>
  </si>
  <si>
    <t>Ellison, Markeshe</t>
  </si>
  <si>
    <t>Gass, Laurel</t>
  </si>
  <si>
    <t>Lewis, Bess</t>
  </si>
  <si>
    <t>Denise</t>
  </si>
  <si>
    <t>Lightsey, Haley</t>
  </si>
  <si>
    <t>Long, Bethany</t>
  </si>
  <si>
    <t>Curlin, Charity</t>
  </si>
  <si>
    <t>Lindsey L Wagner</t>
  </si>
  <si>
    <t>Killingsworth, Andrew</t>
  </si>
  <si>
    <t>Webber, Schyler</t>
  </si>
  <si>
    <t>Doss, Jean</t>
  </si>
  <si>
    <t>Raena R Tinnon</t>
  </si>
  <si>
    <t>Myriah, Wallace</t>
  </si>
  <si>
    <t>Ashlock, Georgina</t>
  </si>
  <si>
    <t>Ward, Racheal</t>
  </si>
  <si>
    <t>Kim, Stanford</t>
  </si>
  <si>
    <t>Dye, Joshua</t>
  </si>
  <si>
    <t>Michelle Kos</t>
  </si>
  <si>
    <t>Raymond, Moran</t>
  </si>
  <si>
    <t>Kali, Dawes</t>
  </si>
  <si>
    <t>Caitlin N Lachney</t>
  </si>
  <si>
    <t>Keneisha, Malone</t>
  </si>
  <si>
    <t>Jodi, Dancer</t>
  </si>
  <si>
    <t>Spain, Maureen</t>
  </si>
  <si>
    <t>Catherine, Dhanarajan</t>
  </si>
  <si>
    <t>Williams, Tywanda</t>
  </si>
  <si>
    <t>Bichelman, Nicole</t>
  </si>
  <si>
    <t>Fortich, Dawn</t>
  </si>
  <si>
    <t>Kristin</t>
  </si>
  <si>
    <t>Allen, Deterrence</t>
  </si>
  <si>
    <t>Nicholas</t>
  </si>
  <si>
    <t>Leslie, Southall</t>
  </si>
  <si>
    <t>Jared J Thielke</t>
  </si>
  <si>
    <t>Starks, J'Kea</t>
  </si>
  <si>
    <t>Alexis, Westmoreland</t>
  </si>
  <si>
    <t>Lisa</t>
  </si>
  <si>
    <t>Richardt, Sheri</t>
  </si>
  <si>
    <t>Jefferson, Lorraine</t>
  </si>
  <si>
    <t>Nikki</t>
  </si>
  <si>
    <t>Dantzler, Darin</t>
  </si>
  <si>
    <t>Young, Mandy</t>
  </si>
  <si>
    <t>Emma, Elliott</t>
  </si>
  <si>
    <t>Hopkins, Nicholas</t>
  </si>
  <si>
    <t>Abby, Mcneil</t>
  </si>
  <si>
    <t>Victoria, Cox</t>
  </si>
  <si>
    <t>Chelsea, Hedges</t>
  </si>
  <si>
    <t>Carlin - Camp, Charissa</t>
  </si>
  <si>
    <t>Wilson, Charla</t>
  </si>
  <si>
    <t>Stacey R Newman</t>
  </si>
  <si>
    <t>Robin, Campbell</t>
  </si>
  <si>
    <t>Loewen, Ashley</t>
  </si>
  <si>
    <t>Lachandra</t>
  </si>
  <si>
    <t>Kuhn, Jennifer</t>
  </si>
  <si>
    <t>Burlingame, Cynthia</t>
  </si>
  <si>
    <t>Fatimata, Agne</t>
  </si>
  <si>
    <t>Melissa</t>
  </si>
  <si>
    <t>Woods, Markesha</t>
  </si>
  <si>
    <t>Aamie</t>
  </si>
  <si>
    <t>Landry, Anne</t>
  </si>
  <si>
    <t>Black, Tanika</t>
  </si>
  <si>
    <t>Alison, Eschrich</t>
  </si>
  <si>
    <t>Tillmannshofer, Denise</t>
  </si>
  <si>
    <t>Mays, Jessica</t>
  </si>
  <si>
    <t>Michelle, Coley</t>
  </si>
  <si>
    <t>Brandecker, Elizabeth</t>
  </si>
  <si>
    <t>Hilde N White</t>
  </si>
  <si>
    <t>Dewerff, Melanie</t>
  </si>
  <si>
    <t>Jennifer, Chambers</t>
  </si>
  <si>
    <t>Ashley N Herren</t>
  </si>
  <si>
    <t>Barry, Anquanita</t>
  </si>
  <si>
    <t>Gray, Marissa M.</t>
  </si>
  <si>
    <t>Ashley, Neal</t>
  </si>
  <si>
    <t>Amanda, Fields</t>
  </si>
  <si>
    <t>Simpkins, Daniel</t>
  </si>
  <si>
    <t>Kelso, Mark</t>
  </si>
  <si>
    <t>Wright, Jessica</t>
  </si>
  <si>
    <t>Reeves, Lindsey</t>
  </si>
  <si>
    <t>Milo, Maria</t>
  </si>
  <si>
    <t>Maurice N Ates</t>
  </si>
  <si>
    <t>Jackson, May</t>
  </si>
  <si>
    <t>John T Cherry</t>
  </si>
  <si>
    <t>Felicia N Nowlin</t>
  </si>
  <si>
    <t>Grace E Bloodworth</t>
  </si>
  <si>
    <t>Armour, Alona</t>
  </si>
  <si>
    <t>Baker, Tamila</t>
  </si>
  <si>
    <t>Hopson, Tricia</t>
  </si>
  <si>
    <t>Hunter</t>
  </si>
  <si>
    <t>Jones, Desiree</t>
  </si>
  <si>
    <t>Davis, Andrea</t>
  </si>
  <si>
    <t>Sebrina R Patton</t>
  </si>
  <si>
    <t>Ard, Lashonda</t>
  </si>
  <si>
    <t>Ashley,Ebron</t>
  </si>
  <si>
    <t>Kayla</t>
  </si>
  <si>
    <t>Pitchford, Kaitlyn</t>
  </si>
  <si>
    <t>Laura, Cooke</t>
  </si>
  <si>
    <t>Allred, Clifton</t>
  </si>
  <si>
    <t>Anna B Cone</t>
  </si>
  <si>
    <t>Harold, Rose</t>
  </si>
  <si>
    <t>Marrissa</t>
  </si>
  <si>
    <t>Sandra</t>
  </si>
  <si>
    <t>Corrigan, Angela</t>
  </si>
  <si>
    <t>Orr, Landra</t>
  </si>
  <si>
    <t>Olson, Peggy</t>
  </si>
  <si>
    <t>Malanga, Paul</t>
  </si>
  <si>
    <t>Traylor, Jonathon</t>
  </si>
  <si>
    <t>Hall, Glenzetta</t>
  </si>
  <si>
    <t>Tiffany M Cole</t>
  </si>
  <si>
    <t>Sydney</t>
  </si>
  <si>
    <t>Wheeler, Robert</t>
  </si>
  <si>
    <t>Dykes, Dewey</t>
  </si>
  <si>
    <t>Putman, Katharine</t>
  </si>
  <si>
    <t>Lillian G Chambers</t>
  </si>
  <si>
    <t>Lydia</t>
  </si>
  <si>
    <t>Annsley</t>
  </si>
  <si>
    <t>Tasker, Wayne</t>
  </si>
  <si>
    <t>Keeling-Nuttall, Pamela</t>
  </si>
  <si>
    <t>Amy M Greene</t>
  </si>
  <si>
    <t>Kiefer, Dominica</t>
  </si>
  <si>
    <t>Hill, Shannon</t>
  </si>
  <si>
    <t>Sean</t>
  </si>
  <si>
    <t>Justina</t>
  </si>
  <si>
    <t>Glaze, Stephanie</t>
  </si>
  <si>
    <t>Adair, Alicia</t>
  </si>
  <si>
    <t>Crystal</t>
  </si>
  <si>
    <t>Saunders, David</t>
  </si>
  <si>
    <t>Coghill, Taylor</t>
  </si>
  <si>
    <t>Yerger, Kelly</t>
  </si>
  <si>
    <t>Heather</t>
  </si>
  <si>
    <t>Fuller, Elizabeth</t>
  </si>
  <si>
    <t>Mays, Rechele</t>
  </si>
  <si>
    <t>Anderson, Donald</t>
  </si>
  <si>
    <t>Holmes, Veronica</t>
  </si>
  <si>
    <t>Fields, Gregory</t>
  </si>
  <si>
    <t>Judy, Roth</t>
  </si>
  <si>
    <t>Beard, Brandi</t>
  </si>
  <si>
    <t>Brandy, Wheeler</t>
  </si>
  <si>
    <t>Feather, Kayle</t>
  </si>
  <si>
    <t>Sparks, Sherry</t>
  </si>
  <si>
    <t>White, Treasa</t>
  </si>
  <si>
    <t>Andrea</t>
  </si>
  <si>
    <t>Isom, Jennifer</t>
  </si>
  <si>
    <t>Holland, Lisa</t>
  </si>
  <si>
    <t>Mccutchen, Makenzie</t>
  </si>
  <si>
    <t>Angella M Watson-Mchalffey</t>
  </si>
  <si>
    <t>Delgado-Ramos, Elvin</t>
  </si>
  <si>
    <t>Gillette, Kelly</t>
  </si>
  <si>
    <t>Traci</t>
  </si>
  <si>
    <t>Leah, Hanson</t>
  </si>
  <si>
    <t>Anthony, Amelia</t>
  </si>
  <si>
    <t>Aich, Susanna</t>
  </si>
  <si>
    <t>Miller, Diana</t>
  </si>
  <si>
    <t>Keith, Corey</t>
  </si>
  <si>
    <t>Wade Kiles, Mardrey</t>
  </si>
  <si>
    <t>Ennis, Susan</t>
  </si>
  <si>
    <t>Sara</t>
  </si>
  <si>
    <t>Brian, Barnes</t>
  </si>
  <si>
    <t>Olivia, Carter</t>
  </si>
  <si>
    <t>Wen Ya</t>
  </si>
  <si>
    <t>Cory D Brannan</t>
  </si>
  <si>
    <t>Chiovoloni, Stephen</t>
  </si>
  <si>
    <t>Williams, Bridget</t>
  </si>
  <si>
    <t>Woodard, Susan</t>
  </si>
  <si>
    <t>Haley, Hendricks</t>
  </si>
  <si>
    <t>Eric</t>
  </si>
  <si>
    <t>Mathias, Ashley</t>
  </si>
  <si>
    <t>Safier, Hillary</t>
  </si>
  <si>
    <t>Rhea, Julia</t>
  </si>
  <si>
    <t>Katelyn</t>
  </si>
  <si>
    <t>Mckenzie</t>
  </si>
  <si>
    <t>Loren</t>
  </si>
  <si>
    <t>Gentry, Nona</t>
  </si>
  <si>
    <t>Alfredo</t>
  </si>
  <si>
    <t>Salter, Christopher</t>
  </si>
  <si>
    <t>Maloney, Karen</t>
  </si>
  <si>
    <t>Ashton</t>
  </si>
  <si>
    <t>Depriest, Jill</t>
  </si>
  <si>
    <t>Dardenne, Elizabeth</t>
  </si>
  <si>
    <t>Kaitlin, Parker</t>
  </si>
  <si>
    <t>Madeleine, Graves</t>
  </si>
  <si>
    <t>Baker, Skyler</t>
  </si>
  <si>
    <t>Goodman, Jennifer</t>
  </si>
  <si>
    <t>Tara</t>
  </si>
  <si>
    <t>Wilson, Elaine</t>
  </si>
  <si>
    <t>Kelly</t>
  </si>
  <si>
    <t>Robinson, Levi</t>
  </si>
  <si>
    <t>Guarino, Ginamarie</t>
  </si>
  <si>
    <t>Feagans, Blake</t>
  </si>
  <si>
    <t>Kurt, Ruark</t>
  </si>
  <si>
    <t>Bolden, Jennifer</t>
  </si>
  <si>
    <t>Moon, Bobbi</t>
  </si>
  <si>
    <t>Maag, Ashley</t>
  </si>
  <si>
    <t>Catherine, Buck</t>
  </si>
  <si>
    <t>Marcia</t>
  </si>
  <si>
    <t>Vargo, Haley</t>
  </si>
  <si>
    <t>Susan</t>
  </si>
  <si>
    <t>Natalie</t>
  </si>
  <si>
    <t>Savannah, Wilson</t>
  </si>
  <si>
    <t>Heather, Hammons</t>
  </si>
  <si>
    <t>Picart, Susan</t>
  </si>
  <si>
    <t>Sutter, Paige</t>
  </si>
  <si>
    <t>Vogelfanger, Sarah</t>
  </si>
  <si>
    <t>Jill</t>
  </si>
  <si>
    <t>Janai, Gray</t>
  </si>
  <si>
    <t>Erin, Honeyfield</t>
  </si>
  <si>
    <t>Jodiee</t>
  </si>
  <si>
    <t>Mccool, Alisha</t>
  </si>
  <si>
    <t>Audrene,Ellis</t>
  </si>
  <si>
    <t>Garvey, Alyson</t>
  </si>
  <si>
    <t>Heather, Peterson</t>
  </si>
  <si>
    <t>Samudio, Brisa</t>
  </si>
  <si>
    <t>Caldwell, Kristal</t>
  </si>
  <si>
    <t>Myers, Jennifer</t>
  </si>
  <si>
    <t>Green, Verlon</t>
  </si>
  <si>
    <t>Kennedy, Chelsie</t>
  </si>
  <si>
    <t>Loretta, Browning</t>
  </si>
  <si>
    <t>Welsh, Keith</t>
  </si>
  <si>
    <t>Nancy K Michael</t>
  </si>
  <si>
    <t>Jena, Yarbrough</t>
  </si>
  <si>
    <t>Shea</t>
  </si>
  <si>
    <t>Glaspie-Harris, Latisha</t>
  </si>
  <si>
    <t>Cao, Michael</t>
  </si>
  <si>
    <t>Keri</t>
  </si>
  <si>
    <t>Farmer, Keturah</t>
  </si>
  <si>
    <t>Delilah H Lawson</t>
  </si>
  <si>
    <t>Gibson, Marguerite</t>
  </si>
  <si>
    <t>Vann, Brandi</t>
  </si>
  <si>
    <t>Leary, Ashley</t>
  </si>
  <si>
    <t>Wade</t>
  </si>
  <si>
    <t>Timothy S Spurlin</t>
  </si>
  <si>
    <t>Fawbush, Alyssa</t>
  </si>
  <si>
    <t>Keehler, Levi</t>
  </si>
  <si>
    <t>Brenner, Terry</t>
  </si>
  <si>
    <t>Kaplan, Ali</t>
  </si>
  <si>
    <t>Mullins, Julia</t>
  </si>
  <si>
    <t>Taya</t>
  </si>
  <si>
    <t>Austin</t>
  </si>
  <si>
    <t>Robin, Connors</t>
  </si>
  <si>
    <t>Ashlea, Ritter</t>
  </si>
  <si>
    <t>Johnson, Neela</t>
  </si>
  <si>
    <t>Jennifer, Cox</t>
  </si>
  <si>
    <t>Thayer, Richard</t>
  </si>
  <si>
    <t>Johnson, Tamara</t>
  </si>
  <si>
    <t>Conway, Tracy</t>
  </si>
  <si>
    <t>Werner, Megan</t>
  </si>
  <si>
    <t>Gomez, Brooke</t>
  </si>
  <si>
    <t>Gaines Osborn, Jessica</t>
  </si>
  <si>
    <t>Mukendi, Zephaniah</t>
  </si>
  <si>
    <t>Ebony</t>
  </si>
  <si>
    <t>Freddy R Nail</t>
  </si>
  <si>
    <t>Amanda M Willis</t>
  </si>
  <si>
    <t>Savannah E Hall</t>
  </si>
  <si>
    <t>Reid, Holly</t>
  </si>
  <si>
    <t>Yvonne</t>
  </si>
  <si>
    <t>Edinger, Sarah</t>
  </si>
  <si>
    <t>Hitchcock, Amy</t>
  </si>
  <si>
    <t>Melia</t>
  </si>
  <si>
    <t>Sherry F Clements</t>
  </si>
  <si>
    <t>Andrew H Beavers</t>
  </si>
  <si>
    <t>Sharp, Nathan</t>
  </si>
  <si>
    <t>Ferren, Jennifer</t>
  </si>
  <si>
    <t>Glose, Jacob</t>
  </si>
  <si>
    <t>Loe, Shauna</t>
  </si>
  <si>
    <t>Yang, Patrick</t>
  </si>
  <si>
    <t>Redmond, John</t>
  </si>
  <si>
    <t>Tyler</t>
  </si>
  <si>
    <t>Katrina M Lawson</t>
  </si>
  <si>
    <t>Conkle, Michelle</t>
  </si>
  <si>
    <t>Kaylee</t>
  </si>
  <si>
    <t>Breedlove, Marci</t>
  </si>
  <si>
    <t>Kelsey</t>
  </si>
  <si>
    <t>Gann, Sarah</t>
  </si>
  <si>
    <t>Carroll, Victoria</t>
  </si>
  <si>
    <t>Reynolds-Vowell, Barbara</t>
  </si>
  <si>
    <t>Mealy, Kristina</t>
  </si>
  <si>
    <t>Andreia</t>
  </si>
  <si>
    <t>Dawyn, Alter</t>
  </si>
  <si>
    <t>Woolett, Jennifer</t>
  </si>
  <si>
    <t>Askew, Jada</t>
  </si>
  <si>
    <t>Kyle, Codi</t>
  </si>
  <si>
    <t>Melissa, Lund</t>
  </si>
  <si>
    <t>Holly</t>
  </si>
  <si>
    <t>Joslin, John</t>
  </si>
  <si>
    <t>Cori</t>
  </si>
  <si>
    <t>Rhoden, Brandi</t>
  </si>
  <si>
    <t>Juella</t>
  </si>
  <si>
    <t>Brown, Brenda</t>
  </si>
  <si>
    <t>Gabriella</t>
  </si>
  <si>
    <t>Collie, Amy</t>
  </si>
  <si>
    <t>Scott, Janet</t>
  </si>
  <si>
    <t>Peggy A James</t>
  </si>
  <si>
    <t>Grantham, Allie</t>
  </si>
  <si>
    <t>Hollowell, Lindsey</t>
  </si>
  <si>
    <t>Green, Jerry</t>
  </si>
  <si>
    <t>Terte, Rachel</t>
  </si>
  <si>
    <t>Rebecca, Kane</t>
  </si>
  <si>
    <t>Mulford, Francis</t>
  </si>
  <si>
    <t>Laura, Jackson</t>
  </si>
  <si>
    <t>Lauran, Lee</t>
  </si>
  <si>
    <t>Macy</t>
  </si>
  <si>
    <t>Velez, Maria</t>
  </si>
  <si>
    <t>Lisa, Fair</t>
  </si>
  <si>
    <t>Lacrystal</t>
  </si>
  <si>
    <t>Scroggins, Michelle</t>
  </si>
  <si>
    <t>Iris</t>
  </si>
  <si>
    <t>Bull, Bradley</t>
  </si>
  <si>
    <t>Giddings-Stewart, Elizabeth</t>
  </si>
  <si>
    <t>Curtis, Jeremy</t>
  </si>
  <si>
    <t>Kim, Yuna</t>
  </si>
  <si>
    <t>Gilliland, Carissa</t>
  </si>
  <si>
    <t>Eabron, Tanesha</t>
  </si>
  <si>
    <t>Sachs, Meredith</t>
  </si>
  <si>
    <t>Albey, Kellye</t>
  </si>
  <si>
    <t>Tonya</t>
  </si>
  <si>
    <t>Cardona, Laura</t>
  </si>
  <si>
    <t>Kathryn, Rudder</t>
  </si>
  <si>
    <t>Allison</t>
  </si>
  <si>
    <t>Mcdaniel, Kim</t>
  </si>
  <si>
    <t>Audrey, Parzyk</t>
  </si>
  <si>
    <t>Bianca J Weber</t>
  </si>
  <si>
    <t>Poindexter, Kristi</t>
  </si>
  <si>
    <t>Walker, Jaimie</t>
  </si>
  <si>
    <t>Isis</t>
  </si>
  <si>
    <t>Patterson, Carrie</t>
  </si>
  <si>
    <t>Garrett</t>
  </si>
  <si>
    <t>Watson, Andrea</t>
  </si>
  <si>
    <t>Keller, Jordan</t>
  </si>
  <si>
    <t>James D Mccormack</t>
  </si>
  <si>
    <t>Dempsey, Tracy</t>
  </si>
  <si>
    <t>Zane</t>
  </si>
  <si>
    <t>Shana Crispin</t>
  </si>
  <si>
    <t>Julia</t>
  </si>
  <si>
    <t>Shoe, Breanna</t>
  </si>
  <si>
    <t>Douglas A Colton</t>
  </si>
  <si>
    <t>Beecham, Tamika</t>
  </si>
  <si>
    <t>Hampton, Kellyn</t>
  </si>
  <si>
    <t>Jammie, Whittington</t>
  </si>
  <si>
    <t>Timothy, Burks</t>
  </si>
  <si>
    <t>Evans, Keyanna</t>
  </si>
  <si>
    <t>Matt R Judah</t>
  </si>
  <si>
    <t>Thornton, Hillary</t>
  </si>
  <si>
    <t>Myers, Sophie</t>
  </si>
  <si>
    <t>Waddell, Tempia</t>
  </si>
  <si>
    <t>Kirsten, Sharp</t>
  </si>
  <si>
    <t>Pettis, Cathy</t>
  </si>
  <si>
    <t>James, Green</t>
  </si>
  <si>
    <t>Gregory E Adams</t>
  </si>
  <si>
    <t>Anna, Johnson</t>
  </si>
  <si>
    <t>Wendy S Wilson</t>
  </si>
  <si>
    <t>Byars, Shirley</t>
  </si>
  <si>
    <t>Smith, Amber</t>
  </si>
  <si>
    <t>Henderson, Rachel</t>
  </si>
  <si>
    <t>Evans, Charlotte</t>
  </si>
  <si>
    <t>Coulombe, Whitney</t>
  </si>
  <si>
    <t>Rhonda, Magnus</t>
  </si>
  <si>
    <t>Falvey, Shirley</t>
  </si>
  <si>
    <t>Terri, Krebs</t>
  </si>
  <si>
    <t>Cynthia, Wood</t>
  </si>
  <si>
    <t>Pareek, Ishita</t>
  </si>
  <si>
    <t>Scalf, Samantha</t>
  </si>
  <si>
    <t>Amy M Johnson</t>
  </si>
  <si>
    <t>Allen, Taylor</t>
  </si>
  <si>
    <t>Mikaela A Buckley</t>
  </si>
  <si>
    <t>Patricia, Edwards</t>
  </si>
  <si>
    <t>Schulewitz, Michelle</t>
  </si>
  <si>
    <t>Lashon</t>
  </si>
  <si>
    <t>Easter, Krystal</t>
  </si>
  <si>
    <t>Shawna, Wallace-Foster</t>
  </si>
  <si>
    <t>Voss, Randal</t>
  </si>
  <si>
    <t>Reichert, Renee</t>
  </si>
  <si>
    <t>Thomas, Genevieve</t>
  </si>
  <si>
    <t>Martin, Erica</t>
  </si>
  <si>
    <t>Thalia, Cendoya</t>
  </si>
  <si>
    <t>Shawn, Hardin</t>
  </si>
  <si>
    <t>Kelsey, Clark</t>
  </si>
  <si>
    <t>Wise, Allison</t>
  </si>
  <si>
    <t>Carlson, Mark</t>
  </si>
  <si>
    <t>Jemma</t>
  </si>
  <si>
    <t>Witt, Samantha</t>
  </si>
  <si>
    <t>Hastings, Christopher</t>
  </si>
  <si>
    <t>Adams, Angela</t>
  </si>
  <si>
    <t>Sarah E Watts</t>
  </si>
  <si>
    <t>Sperling, Loren</t>
  </si>
  <si>
    <t>Katie</t>
  </si>
  <si>
    <t>Ramadan, Yasmin</t>
  </si>
  <si>
    <t>Barker, Alana</t>
  </si>
  <si>
    <t>Amy Baker</t>
  </si>
  <si>
    <t>Jonker, Patricia</t>
  </si>
  <si>
    <t>Bissila, Hortense</t>
  </si>
  <si>
    <t>Bailey, Morgan</t>
  </si>
  <si>
    <t>Schafer, Darryl</t>
  </si>
  <si>
    <t>Michaela</t>
  </si>
  <si>
    <t>Joseph, Mckinney</t>
  </si>
  <si>
    <t>Gemmill, Steven</t>
  </si>
  <si>
    <t>Skinner, Traci</t>
  </si>
  <si>
    <t>Angela, Quest</t>
  </si>
  <si>
    <t>Carmichael, Fatimaah</t>
  </si>
  <si>
    <t>James C Harris</t>
  </si>
  <si>
    <t>Dozier, Jennifer</t>
  </si>
  <si>
    <t>Trayceea, Ray</t>
  </si>
  <si>
    <t>Christopher T Russell</t>
  </si>
  <si>
    <t>Kendall</t>
  </si>
  <si>
    <t>Hunt, Lauren</t>
  </si>
  <si>
    <t>Beavers, Jeremy</t>
  </si>
  <si>
    <t>David, Cynthia</t>
  </si>
  <si>
    <t>Abby</t>
  </si>
  <si>
    <t>Keil, Adriane</t>
  </si>
  <si>
    <t>Sutton, Angela</t>
  </si>
  <si>
    <t>Hutchinson, Victoria</t>
  </si>
  <si>
    <t>Brianna</t>
  </si>
  <si>
    <t>Taylor, Jennifer</t>
  </si>
  <si>
    <t>Jaclyn M Billins</t>
  </si>
  <si>
    <t>Roberson, Falon</t>
  </si>
  <si>
    <t>Gee, Cinda</t>
  </si>
  <si>
    <t>Bushey, Samantha</t>
  </si>
  <si>
    <t>Brittany N Barnes</t>
  </si>
  <si>
    <t>Elizabeth, Dreadfulwater</t>
  </si>
  <si>
    <t>Pyron, Ana</t>
  </si>
  <si>
    <t>Karmesha</t>
  </si>
  <si>
    <t>Cierra</t>
  </si>
  <si>
    <t>Kelley Neufeld</t>
  </si>
  <si>
    <t>Wendy, Dagley</t>
  </si>
  <si>
    <t>Tiana, Burnside</t>
  </si>
  <si>
    <t>Heather, Offutt</t>
  </si>
  <si>
    <t>Forster, Margrit</t>
  </si>
  <si>
    <t>Mark Driskill</t>
  </si>
  <si>
    <t>Tinker, Sara</t>
  </si>
  <si>
    <t>Carlin, Jennifer</t>
  </si>
  <si>
    <t>Ellen</t>
  </si>
  <si>
    <t>Haycraft, Mary</t>
  </si>
  <si>
    <t>Yajaira</t>
  </si>
  <si>
    <t>Heather Mcdaniels</t>
  </si>
  <si>
    <t>Austin, Wood</t>
  </si>
  <si>
    <t>Jones, Colleen</t>
  </si>
  <si>
    <t>Emily, Washington</t>
  </si>
  <si>
    <t>Shelia, Camp</t>
  </si>
  <si>
    <t>Orlando, Jordan</t>
  </si>
  <si>
    <t>Maxwell, Dana</t>
  </si>
  <si>
    <t>Conway, Regenia</t>
  </si>
  <si>
    <t>Freeman, Aimee</t>
  </si>
  <si>
    <t>Jonathon Nixon</t>
  </si>
  <si>
    <t>Brook, Ruble</t>
  </si>
  <si>
    <t>Alyssa</t>
  </si>
  <si>
    <t>Tameka Dennis</t>
  </si>
  <si>
    <t>Simms, Amanda</t>
  </si>
  <si>
    <t>Rogover, Kayla</t>
  </si>
  <si>
    <t>Leigh A Short</t>
  </si>
  <si>
    <t>Judith Creecy</t>
  </si>
  <si>
    <t>Tracy</t>
  </si>
  <si>
    <t>Walker, Crystal</t>
  </si>
  <si>
    <t>Carter, Tracie</t>
  </si>
  <si>
    <t>Alison Gamez</t>
  </si>
  <si>
    <t>Lara, Elizabeth</t>
  </si>
  <si>
    <t>Gitomer, Amanda</t>
  </si>
  <si>
    <t>Trenesha L Hill</t>
  </si>
  <si>
    <t>Houpt, Catherine</t>
  </si>
  <si>
    <t>Murray, Tesa</t>
  </si>
  <si>
    <t>Franklin, Diana</t>
  </si>
  <si>
    <t>Kayleigh</t>
  </si>
  <si>
    <t>Wright-Little, Tomeka</t>
  </si>
  <si>
    <t>Campbell, Jennifer</t>
  </si>
  <si>
    <t>Calissa M Wall</t>
  </si>
  <si>
    <t>West, Shannon</t>
  </si>
  <si>
    <t>Joey, Jackson</t>
  </si>
  <si>
    <t>Hanczor, Bethany</t>
  </si>
  <si>
    <t>Williams, Carisha</t>
  </si>
  <si>
    <t>Joseph Hurst</t>
  </si>
  <si>
    <t>Hern, Melissa</t>
  </si>
  <si>
    <t>Donna Walker</t>
  </si>
  <si>
    <t>Samantha Juniker</t>
  </si>
  <si>
    <t>Schwinn, Natasha</t>
  </si>
  <si>
    <t>Leslie R Williams</t>
  </si>
  <si>
    <t>Robinson, Robbie</t>
  </si>
  <si>
    <t>Morrison, Winston</t>
  </si>
  <si>
    <t>Hamlin, Nancy</t>
  </si>
  <si>
    <t>Lay, Linda</t>
  </si>
  <si>
    <t>Deborah</t>
  </si>
  <si>
    <t>Crystal, Stidum</t>
  </si>
  <si>
    <t>Brown, Denise</t>
  </si>
  <si>
    <t>Mccondichie, Dayciaa</t>
  </si>
  <si>
    <t>Neal, Parrish</t>
  </si>
  <si>
    <t>Plauche, Raelyn</t>
  </si>
  <si>
    <t>Hailey</t>
  </si>
  <si>
    <t>Kristie, Reames</t>
  </si>
  <si>
    <t>Sarah, Niederwimmer</t>
  </si>
  <si>
    <t>Monika, Hicks</t>
  </si>
  <si>
    <t>Rack, Michael</t>
  </si>
  <si>
    <t>Demarco, Julie</t>
  </si>
  <si>
    <t>Burwell, Renee</t>
  </si>
  <si>
    <t>Maureen, Roesler</t>
  </si>
  <si>
    <t>Honeycutt, Shawna</t>
  </si>
  <si>
    <t>Codispoti, Jamie</t>
  </si>
  <si>
    <t>Watson, Krysten</t>
  </si>
  <si>
    <t>Hallam, Catherine</t>
  </si>
  <si>
    <t>Herbst, Amy</t>
  </si>
  <si>
    <t>Piper, Kylie</t>
  </si>
  <si>
    <t>Durey, Mindy</t>
  </si>
  <si>
    <t>Dylan</t>
  </si>
  <si>
    <t>Bolick, Rachel</t>
  </si>
  <si>
    <t>Bethley, Nadia</t>
  </si>
  <si>
    <t>Gilmore, Ashley</t>
  </si>
  <si>
    <t>Gauldin, Emily</t>
  </si>
  <si>
    <t>Jadyn</t>
  </si>
  <si>
    <t>Emily A Bakewell</t>
  </si>
  <si>
    <t>Abigail</t>
  </si>
  <si>
    <t>Rickles, Kimberly</t>
  </si>
  <si>
    <t>Heather M Leach</t>
  </si>
  <si>
    <t>Andrews, Erin</t>
  </si>
  <si>
    <t>Mathis, Susan</t>
  </si>
  <si>
    <t>Jasen F Jacobsen</t>
  </si>
  <si>
    <t>Cody</t>
  </si>
  <si>
    <t>Carley, Quinn</t>
  </si>
  <si>
    <t>Carson, Hope</t>
  </si>
  <si>
    <t>Stillwell, Whitney</t>
  </si>
  <si>
    <t>Bailey Iii, Paul</t>
  </si>
  <si>
    <t>Cronin, Jessica</t>
  </si>
  <si>
    <t>Cassandra, Jones</t>
  </si>
  <si>
    <t>Trower, Emily</t>
  </si>
  <si>
    <t>Collins, Erin</t>
  </si>
  <si>
    <t>Keys, Regilyn</t>
  </si>
  <si>
    <t>Airie</t>
  </si>
  <si>
    <t>Hansen, Lauren</t>
  </si>
  <si>
    <t>Laidig, Kati</t>
  </si>
  <si>
    <t>Dava L Brock</t>
  </si>
  <si>
    <t>Amber, Lynch</t>
  </si>
  <si>
    <t>Dreadfulwater, Shannon</t>
  </si>
  <si>
    <t>Taiwo, Funmilola</t>
  </si>
  <si>
    <t>Selena, Jones</t>
  </si>
  <si>
    <t>Faith, Suchomelly</t>
  </si>
  <si>
    <t>Graham, Morgan</t>
  </si>
  <si>
    <t>Harvey, Paulette</t>
  </si>
  <si>
    <t>Peterson, Paul</t>
  </si>
  <si>
    <t>Kensley</t>
  </si>
  <si>
    <t>Natalie R Bauer</t>
  </si>
  <si>
    <t>Sarah, O'Neal</t>
  </si>
  <si>
    <t>Davis, Brenda</t>
  </si>
  <si>
    <t>Breisha, Dupree</t>
  </si>
  <si>
    <t>Bailey, Lisa L</t>
  </si>
  <si>
    <t>Hardy, Mary</t>
  </si>
  <si>
    <t>Julaine Beatty</t>
  </si>
  <si>
    <t>Brandie</t>
  </si>
  <si>
    <t>Elizabeth M Brown</t>
  </si>
  <si>
    <t>Tonia, Smith</t>
  </si>
  <si>
    <t>Krista</t>
  </si>
  <si>
    <t>Wesley</t>
  </si>
  <si>
    <t>Kristen, Wade</t>
  </si>
  <si>
    <t>Coley, Dominique</t>
  </si>
  <si>
    <t>Joshua Kaplan</t>
  </si>
  <si>
    <t>Godwin, Kelsi</t>
  </si>
  <si>
    <t>Molck, Jeremy</t>
  </si>
  <si>
    <t>Kimberly M Yarbro</t>
  </si>
  <si>
    <t>Ariel Johnson</t>
  </si>
  <si>
    <t>Jenny, Hilliard</t>
  </si>
  <si>
    <t>Jessica, Robinson</t>
  </si>
  <si>
    <t>Sisco, Melissa</t>
  </si>
  <si>
    <t>Adams, Christina L</t>
  </si>
  <si>
    <t>Jackalyn L Davis</t>
  </si>
  <si>
    <t>Hurley, Cheryl</t>
  </si>
  <si>
    <t>Vaughn, Morgan</t>
  </si>
  <si>
    <t>Paris, Nicole</t>
  </si>
  <si>
    <t>Tawfik, Ashley</t>
  </si>
  <si>
    <t>Robinson, Amanda</t>
  </si>
  <si>
    <t>Beckers, Sierra</t>
  </si>
  <si>
    <t>Blaylock, Robin</t>
  </si>
  <si>
    <t>Jamie</t>
  </si>
  <si>
    <t>Candace, Gillespie</t>
  </si>
  <si>
    <t>Patricia A Ricketts</t>
  </si>
  <si>
    <t>Vinson, Diane</t>
  </si>
  <si>
    <t>Bishop, Catherine</t>
  </si>
  <si>
    <t>Patrick</t>
  </si>
  <si>
    <t>Deandria,Rideau</t>
  </si>
  <si>
    <t>Amber Masters</t>
  </si>
  <si>
    <t>Jinny, Richards</t>
  </si>
  <si>
    <t>Joshua, Root</t>
  </si>
  <si>
    <t>Robin</t>
  </si>
  <si>
    <t>Grace E Hill</t>
  </si>
  <si>
    <t>Sebastian, Rebecca</t>
  </si>
  <si>
    <t>Karen, Mackey</t>
  </si>
  <si>
    <t>Marci</t>
  </si>
  <si>
    <t>Panter, Janet</t>
  </si>
  <si>
    <t>Tina Muller</t>
  </si>
  <si>
    <t>Sallie, Angela</t>
  </si>
  <si>
    <t>Knight, Elizabeth</t>
  </si>
  <si>
    <t>Jodi, Ray</t>
  </si>
  <si>
    <t>Emily Stow</t>
  </si>
  <si>
    <t>Biffle, John</t>
  </si>
  <si>
    <t>Clark, Raysha</t>
  </si>
  <si>
    <t>Tiffany A Mcfarland</t>
  </si>
  <si>
    <t>Greathouse, Amanda</t>
  </si>
  <si>
    <t>Demetric U Wyatt</t>
  </si>
  <si>
    <t>Bieber, April</t>
  </si>
  <si>
    <t>Namir, David</t>
  </si>
  <si>
    <t>Janet, Hurst</t>
  </si>
  <si>
    <t>Lawanda Glass</t>
  </si>
  <si>
    <t>Pearson, Catherine</t>
  </si>
  <si>
    <t>Lalonde, Patrizia</t>
  </si>
  <si>
    <t>Gemma</t>
  </si>
  <si>
    <t>Evan</t>
  </si>
  <si>
    <t>Edward</t>
  </si>
  <si>
    <t>Clayton, Willis</t>
  </si>
  <si>
    <t>Kari, Podwoski</t>
  </si>
  <si>
    <t>Katherine, Clay</t>
  </si>
  <si>
    <t>Musgrove, Audria</t>
  </si>
  <si>
    <t>Pinn, Brandi</t>
  </si>
  <si>
    <t>Cassels, Brandon</t>
  </si>
  <si>
    <t>Teri</t>
  </si>
  <si>
    <t>Burns, Joshua</t>
  </si>
  <si>
    <t>Asher J Morgan</t>
  </si>
  <si>
    <t>Schaeffer, Susan</t>
  </si>
  <si>
    <t>Jeffrey J Ladd</t>
  </si>
  <si>
    <t>Baldwin, Robert</t>
  </si>
  <si>
    <t>Davis, Nancy</t>
  </si>
  <si>
    <t>Garry, Finn</t>
  </si>
  <si>
    <t>Elsken, Kristan</t>
  </si>
  <si>
    <t>Becktold, Lia</t>
  </si>
  <si>
    <t>Catherine</t>
  </si>
  <si>
    <t>Ramirez, Hilary</t>
  </si>
  <si>
    <t>Ferguson, Julie</t>
  </si>
  <si>
    <t>Schmitt, Barbara</t>
  </si>
  <si>
    <t>Claire Orr</t>
  </si>
  <si>
    <t>Nelson, Michelle</t>
  </si>
  <si>
    <t>Amanda L Hood</t>
  </si>
  <si>
    <t>James, Roesch</t>
  </si>
  <si>
    <t>Williams, Tiana</t>
  </si>
  <si>
    <t>Katherine, Baird</t>
  </si>
  <si>
    <t>Sandra Payne</t>
  </si>
  <si>
    <t>Krieger, Troy</t>
  </si>
  <si>
    <t>Ermert, Aaron</t>
  </si>
  <si>
    <t>Acosta, Katherine</t>
  </si>
  <si>
    <t>Parker, Takiiah</t>
  </si>
  <si>
    <t>Routh, Melissa</t>
  </si>
  <si>
    <t>Leanndra J Pack</t>
  </si>
  <si>
    <t>Kyle</t>
  </si>
  <si>
    <t>Jarrett, Brittany</t>
  </si>
  <si>
    <t>Dycus, Hilary</t>
  </si>
  <si>
    <t>Alicia</t>
  </si>
  <si>
    <t>Johnson, Whitney</t>
  </si>
  <si>
    <t>Lilly</t>
  </si>
  <si>
    <t>Walter,Umana</t>
  </si>
  <si>
    <t>Loretta E Parker</t>
  </si>
  <si>
    <t>Ballard Scott, Laura</t>
  </si>
  <si>
    <t>Evelyn Erington</t>
  </si>
  <si>
    <t>Meagan</t>
  </si>
  <si>
    <t>Angela M Holyfield</t>
  </si>
  <si>
    <t>Brian, Smith</t>
  </si>
  <si>
    <t>Gage, Allison</t>
  </si>
  <si>
    <t>Carly Knight</t>
  </si>
  <si>
    <t>Connie, Glasco</t>
  </si>
  <si>
    <t>Harvey, Crystal</t>
  </si>
  <si>
    <t>Dry, Kari</t>
  </si>
  <si>
    <t>Belinda Lunford</t>
  </si>
  <si>
    <t>Brooke, Crosley</t>
  </si>
  <si>
    <t>Stacia Buckner</t>
  </si>
  <si>
    <t>Perkins, Amber</t>
  </si>
  <si>
    <t>Paromita, Barman</t>
  </si>
  <si>
    <t>Zions, Rina</t>
  </si>
  <si>
    <t>Plowman-Mullikin, Sherri</t>
  </si>
  <si>
    <t>De Sambourg, Holly</t>
  </si>
  <si>
    <t>Erica Thomas-Hill</t>
  </si>
  <si>
    <t>Haurez, Lydia</t>
  </si>
  <si>
    <t>Sarah, Cloud</t>
  </si>
  <si>
    <t>Angela, Calcaterra</t>
  </si>
  <si>
    <t>Braun, Sarah</t>
  </si>
  <si>
    <t>Duncan, Kristi</t>
  </si>
  <si>
    <t>Samter, Jennifer</t>
  </si>
  <si>
    <t>Itzel</t>
  </si>
  <si>
    <t>Snavely, Abby</t>
  </si>
  <si>
    <t>Breeding, Maria</t>
  </si>
  <si>
    <t>Grandi, Jamie</t>
  </si>
  <si>
    <t>Andrea Taylor</t>
  </si>
  <si>
    <t>Devon J Deden</t>
  </si>
  <si>
    <t>Shelby, Husband</t>
  </si>
  <si>
    <t>Menton, Nicole</t>
  </si>
  <si>
    <t>Heather E Hawkins</t>
  </si>
  <si>
    <t>Waggoner, Susan</t>
  </si>
  <si>
    <t>Hamilton, Jerry</t>
  </si>
  <si>
    <t>Chloe N Gordon</t>
  </si>
  <si>
    <t>Harold</t>
  </si>
  <si>
    <t>Fugere, Erika</t>
  </si>
  <si>
    <t>Courtney, Bevins</t>
  </si>
  <si>
    <t>Infinger, Kirsten</t>
  </si>
  <si>
    <t>Shaw, Martha</t>
  </si>
  <si>
    <t>Holland, April</t>
  </si>
  <si>
    <t>Stephanie, Collier</t>
  </si>
  <si>
    <t>Caraway, Shannon</t>
  </si>
  <si>
    <t>Audrey, Miller</t>
  </si>
  <si>
    <t>Dillport, Cindy</t>
  </si>
  <si>
    <t>Miller, Courtney</t>
  </si>
  <si>
    <t>Joel A Ellis</t>
  </si>
  <si>
    <t>Kennedy, Bell</t>
  </si>
  <si>
    <t>Neal</t>
  </si>
  <si>
    <t>Ellis, Mattison</t>
  </si>
  <si>
    <t>Renee, Kyle</t>
  </si>
  <si>
    <t>Brandi</t>
  </si>
  <si>
    <t>Warkentien, Samantha</t>
  </si>
  <si>
    <t>Huff, Melissa</t>
  </si>
  <si>
    <t>Tatum,Alsup</t>
  </si>
  <si>
    <t>Braden, Dominique</t>
  </si>
  <si>
    <t>Anjolina</t>
  </si>
  <si>
    <t>Madeline</t>
  </si>
  <si>
    <t>Hollingsworth, Heather</t>
  </si>
  <si>
    <t>Tilley, Hannah</t>
  </si>
  <si>
    <t>Sidney</t>
  </si>
  <si>
    <t>Emily D Arnold</t>
  </si>
  <si>
    <t>Deidra, Baskin</t>
  </si>
  <si>
    <t>Quentin, Hutchinson</t>
  </si>
  <si>
    <t>Sheagren, Paulette</t>
  </si>
  <si>
    <t>Aldridge, Latraci</t>
  </si>
  <si>
    <t>Williams, Ladonna</t>
  </si>
  <si>
    <t>Tatum, Nikki</t>
  </si>
  <si>
    <t>Rekeka M Tate</t>
  </si>
  <si>
    <t>Tracye Valentine</t>
  </si>
  <si>
    <t>Shawn D Dennis</t>
  </si>
  <si>
    <t>Cherrie</t>
  </si>
  <si>
    <t>Knight, Kasey</t>
  </si>
  <si>
    <t>Charlene, Fields</t>
  </si>
  <si>
    <t>Nunez-Santiago, Ibis</t>
  </si>
  <si>
    <t>Maddox, Lakin</t>
  </si>
  <si>
    <t>Ieeia Currie</t>
  </si>
  <si>
    <t>Amy, Glenn Baxter</t>
  </si>
  <si>
    <t>Murray, Glenda</t>
  </si>
  <si>
    <t>Orange, Kirsten</t>
  </si>
  <si>
    <t>Shayla</t>
  </si>
  <si>
    <t>Jodi</t>
  </si>
  <si>
    <t>Helm, Joshauha</t>
  </si>
  <si>
    <t>Jackson, Antoine</t>
  </si>
  <si>
    <t>Anide, Francis-Duval</t>
  </si>
  <si>
    <t>Delong, Rebecca</t>
  </si>
  <si>
    <t>Price, Desiree</t>
  </si>
  <si>
    <t>Ashley, Forester</t>
  </si>
  <si>
    <t>Brown, Elisabeth</t>
  </si>
  <si>
    <t>Koesy, Miriam</t>
  </si>
  <si>
    <t>Evans, Christine</t>
  </si>
  <si>
    <t>Lindsey</t>
  </si>
  <si>
    <t>Timothy</t>
  </si>
  <si>
    <t>Leonard, Paul</t>
  </si>
  <si>
    <t>Chestnut, Joshua</t>
  </si>
  <si>
    <t>Scott, Nakitha</t>
  </si>
  <si>
    <t>Loney, Megan</t>
  </si>
  <si>
    <t>Wilson, Kelly</t>
  </si>
  <si>
    <t>Cory</t>
  </si>
  <si>
    <t>Alvetti, Mallory</t>
  </si>
  <si>
    <t>Robin D Howerton</t>
  </si>
  <si>
    <t>Milena</t>
  </si>
  <si>
    <t>Amy E Hickman</t>
  </si>
  <si>
    <t>Roberts, Tanya</t>
  </si>
  <si>
    <t>Lauletta, Rachel</t>
  </si>
  <si>
    <t>Leslie, Salmon</t>
  </si>
  <si>
    <t>Stewart, Paula</t>
  </si>
  <si>
    <t>Holder, Christen</t>
  </si>
  <si>
    <t>Mackenzie, Heather</t>
  </si>
  <si>
    <t>Gower, Maegan</t>
  </si>
  <si>
    <t>Whitney</t>
  </si>
  <si>
    <t>Stone, Christopher</t>
  </si>
  <si>
    <t>Deirdra</t>
  </si>
  <si>
    <t>Pickett, Courtland</t>
  </si>
  <si>
    <t>Kamryn</t>
  </si>
  <si>
    <t>Maggie L Hill</t>
  </si>
  <si>
    <t>Lindsay</t>
  </si>
  <si>
    <t>Natausha, Smith</t>
  </si>
  <si>
    <t>Wade, Christine</t>
  </si>
  <si>
    <t>Rachael</t>
  </si>
  <si>
    <t>Reel, Uhronda</t>
  </si>
  <si>
    <t>Cavell Langley, Hannah</t>
  </si>
  <si>
    <t>Duke, Christina</t>
  </si>
  <si>
    <t>Storment, Rebecca</t>
  </si>
  <si>
    <t>Bean, Lauren</t>
  </si>
  <si>
    <t>Gonzalez, Cathryn</t>
  </si>
  <si>
    <t>Lofton, Cindi</t>
  </si>
  <si>
    <t>Laura B Felton</t>
  </si>
  <si>
    <t>Dallas, Lauren</t>
  </si>
  <si>
    <t>Karla, Barr</t>
  </si>
  <si>
    <t>Halcomb, Meagan</t>
  </si>
  <si>
    <t>Haley, Mills</t>
  </si>
  <si>
    <t>Perry, Kenneth</t>
  </si>
  <si>
    <t>Vyas, Sanket</t>
  </si>
  <si>
    <t>Ray, Rhonda</t>
  </si>
  <si>
    <t>Lynda Romero</t>
  </si>
  <si>
    <t>Amy Koster</t>
  </si>
  <si>
    <t>Allie, Marshall</t>
  </si>
  <si>
    <t>Rich, Jessica</t>
  </si>
  <si>
    <t>Wiginton, Kristen</t>
  </si>
  <si>
    <t>Kailee, Stonebarger</t>
  </si>
  <si>
    <t>Mary C Ross</t>
  </si>
  <si>
    <t>Sykes, Richard</t>
  </si>
  <si>
    <t>Sandra, Gilliland</t>
  </si>
  <si>
    <t>Debra</t>
  </si>
  <si>
    <t>Emerson, Stacy</t>
  </si>
  <si>
    <t>Charles</t>
  </si>
  <si>
    <t>Erica, Weatherford</t>
  </si>
  <si>
    <t>Shannon Mcbride</t>
  </si>
  <si>
    <t>Kelly, Cochran</t>
  </si>
  <si>
    <t>Johnson, Shelby</t>
  </si>
  <si>
    <t>Anne M Mcvay</t>
  </si>
  <si>
    <t>Cassandra C Brockmann</t>
  </si>
  <si>
    <t>Rose Vandenberghe</t>
  </si>
  <si>
    <t>Rebecca, Bowman</t>
  </si>
  <si>
    <t>Patel, Pratik</t>
  </si>
  <si>
    <t>Sanford, Kelli</t>
  </si>
  <si>
    <t>Eberhard, Courtney</t>
  </si>
  <si>
    <t>Shaw, Robdreka</t>
  </si>
  <si>
    <t>Trista, Fongemie</t>
  </si>
  <si>
    <t>Diaz, Tiffany</t>
  </si>
  <si>
    <t>Johnson, Kinsey</t>
  </si>
  <si>
    <t>Caitlin Harley</t>
  </si>
  <si>
    <t>Gammel, Heather</t>
  </si>
  <si>
    <t>Tiffany, Hudson</t>
  </si>
  <si>
    <t>Allison E Adams</t>
  </si>
  <si>
    <t>Lillyen Lambert</t>
  </si>
  <si>
    <t>Watson, Kristen</t>
  </si>
  <si>
    <t>Mallory, Shelton</t>
  </si>
  <si>
    <t>Henry, Megan</t>
  </si>
  <si>
    <t>Johnson, Shuvonne</t>
  </si>
  <si>
    <t>Lindsey V Estes</t>
  </si>
  <si>
    <t>Hightower, Lindsey</t>
  </si>
  <si>
    <t>Ketchum, Olga</t>
  </si>
  <si>
    <t>Johnson, Dawn</t>
  </si>
  <si>
    <t>Abigayle, Chambers</t>
  </si>
  <si>
    <t>Camp, Brenna</t>
  </si>
  <si>
    <t>Edwards, Leon</t>
  </si>
  <si>
    <t>Parsons-Wells, Jacob</t>
  </si>
  <si>
    <t>Hunt, Keiah</t>
  </si>
  <si>
    <t>Kayla Pierce</t>
  </si>
  <si>
    <t>Bayne, Robin</t>
  </si>
  <si>
    <t>Douglas, Tiffany</t>
  </si>
  <si>
    <t>Meadow, Derrick</t>
  </si>
  <si>
    <t>Clark, Natasha</t>
  </si>
  <si>
    <t>Vega, Michelle</t>
  </si>
  <si>
    <t>Gordon, Amber</t>
  </si>
  <si>
    <t>Hall, Anne</t>
  </si>
  <si>
    <t>P034</t>
  </si>
  <si>
    <t>Physical Medicine and Rehabilitation</t>
  </si>
  <si>
    <t>Haustein, David</t>
  </si>
  <si>
    <t>Umerah, Mike</t>
  </si>
  <si>
    <t>Michunovich, Ana</t>
  </si>
  <si>
    <t>Worku, Noadia</t>
  </si>
  <si>
    <t>Paulus, Stephen</t>
  </si>
  <si>
    <t>Hernandez, Cristina</t>
  </si>
  <si>
    <t>Hanley, Eugerie</t>
  </si>
  <si>
    <t>Mohney, Lindsay</t>
  </si>
  <si>
    <t>Sprinkle, Wesley</t>
  </si>
  <si>
    <t>Sullivan, Donald</t>
  </si>
  <si>
    <t>Knott, Patricia</t>
  </si>
  <si>
    <t>Kortebein, Patrick</t>
  </si>
  <si>
    <t>Wang, Jing</t>
  </si>
  <si>
    <t>Qureshi, Amir</t>
  </si>
  <si>
    <t>Kiser, Thomas</t>
  </si>
  <si>
    <t>Patrick, Grant Jr.</t>
  </si>
  <si>
    <t>Carlile, Mary</t>
  </si>
  <si>
    <t>Johnson, Miles</t>
  </si>
  <si>
    <t>Stefans, Vikki</t>
  </si>
  <si>
    <t>Stuart, Jonathan</t>
  </si>
  <si>
    <t>Fajie</t>
  </si>
  <si>
    <t>Lennard, Ted</t>
  </si>
  <si>
    <t>Gentry, Carolyn</t>
  </si>
  <si>
    <t>P035</t>
  </si>
  <si>
    <t>Physical Therapy</t>
  </si>
  <si>
    <t>Miller</t>
  </si>
  <si>
    <t>Clouse, Jackson</t>
  </si>
  <si>
    <t>Orr, Austin</t>
  </si>
  <si>
    <t>Purnell, Taylor</t>
  </si>
  <si>
    <t>Coulter, Seth</t>
  </si>
  <si>
    <t>Stanley, Tonya</t>
  </si>
  <si>
    <t>Kymes, Tyson</t>
  </si>
  <si>
    <t>Hampel, Derick</t>
  </si>
  <si>
    <t>Catherine A Lane</t>
  </si>
  <si>
    <t>Willhite, Tommy</t>
  </si>
  <si>
    <t>Jennings, Martha</t>
  </si>
  <si>
    <t>Waldkirch, Chelsea</t>
  </si>
  <si>
    <t>Wilmoth, Billy</t>
  </si>
  <si>
    <t>Boyce, Marvin</t>
  </si>
  <si>
    <t>Baird, Erin</t>
  </si>
  <si>
    <t>Durham, Vickie</t>
  </si>
  <si>
    <t>Wilson, Megan</t>
  </si>
  <si>
    <t>Perkins, Murphy</t>
  </si>
  <si>
    <t>Morgan, Collins</t>
  </si>
  <si>
    <t>Winston</t>
  </si>
  <si>
    <t>Bradford, Ashley</t>
  </si>
  <si>
    <t>Phillips, Stacey</t>
  </si>
  <si>
    <t>Morgan, William</t>
  </si>
  <si>
    <t>Booker, Baleigh</t>
  </si>
  <si>
    <t>Mossman, Hallie</t>
  </si>
  <si>
    <t>Carroll, Christopher</t>
  </si>
  <si>
    <t>Rakowsky, Shandi</t>
  </si>
  <si>
    <t>Pierceall, Tori</t>
  </si>
  <si>
    <t>Nyland, Lauren</t>
  </si>
  <si>
    <t>Hunt, Zachary</t>
  </si>
  <si>
    <t>Farhat, Hassan</t>
  </si>
  <si>
    <t>Wisdom, Kevin</t>
  </si>
  <si>
    <t>Snow, Zachary</t>
  </si>
  <si>
    <t>Medlin, Gregory</t>
  </si>
  <si>
    <t>Davis, Lindsey</t>
  </si>
  <si>
    <t>Myers, Jaime</t>
  </si>
  <si>
    <t>Linville, Trey</t>
  </si>
  <si>
    <t>Davis, Andrew</t>
  </si>
  <si>
    <t>Strong, Philinese</t>
  </si>
  <si>
    <t>Cochran, Theodore</t>
  </si>
  <si>
    <t>Lindau, Alyssa</t>
  </si>
  <si>
    <t>Houston, Shawna</t>
  </si>
  <si>
    <t>Hermsen, Thomas</t>
  </si>
  <si>
    <t>Robertozzi, Christian</t>
  </si>
  <si>
    <t>Curran, Heidi</t>
  </si>
  <si>
    <t>Schafer, Sarah</t>
  </si>
  <si>
    <t>Carnathan, Jamie</t>
  </si>
  <si>
    <t>Bailey N Walter</t>
  </si>
  <si>
    <t>Ferren, Chandler</t>
  </si>
  <si>
    <t>Mack</t>
  </si>
  <si>
    <t>Fox, Ashley</t>
  </si>
  <si>
    <t>Keyna</t>
  </si>
  <si>
    <t>Waldorf, Justin</t>
  </si>
  <si>
    <t>Britney</t>
  </si>
  <si>
    <t>Johnathon L Ford</t>
  </si>
  <si>
    <t>Hector Reid, Brenda</t>
  </si>
  <si>
    <t>Eller, Sara</t>
  </si>
  <si>
    <t>Woodson, Cheri</t>
  </si>
  <si>
    <t>Emilee</t>
  </si>
  <si>
    <t>Jennings, Laura</t>
  </si>
  <si>
    <t>Cook, Jennifer</t>
  </si>
  <si>
    <t>Hale, Sara</t>
  </si>
  <si>
    <t>Spenger, Miranda</t>
  </si>
  <si>
    <t>Schaefer, Rachel</t>
  </si>
  <si>
    <t>Jeanne</t>
  </si>
  <si>
    <t>Meek, Brandon</t>
  </si>
  <si>
    <t>Thomas, Karen</t>
  </si>
  <si>
    <t>Christus St Michael Sports Medicine</t>
  </si>
  <si>
    <t>Bryant, Kimberley</t>
  </si>
  <si>
    <t>Marlin, Colten</t>
  </si>
  <si>
    <t>Drew</t>
  </si>
  <si>
    <t>Edgar</t>
  </si>
  <si>
    <t>Evans, Angela</t>
  </si>
  <si>
    <t>Smith, Linsey</t>
  </si>
  <si>
    <t>Sheid</t>
  </si>
  <si>
    <t>Keech, Jason</t>
  </si>
  <si>
    <t>Nadia</t>
  </si>
  <si>
    <t>Floyd, Delinda</t>
  </si>
  <si>
    <t>Sammie</t>
  </si>
  <si>
    <t>Baptist Health Rehabilitation Institute</t>
  </si>
  <si>
    <t>Torry, Patrick</t>
  </si>
  <si>
    <t>Glenn, Kelley</t>
  </si>
  <si>
    <t>Phillips, Alan</t>
  </si>
  <si>
    <t>Allen, Kelli</t>
  </si>
  <si>
    <t>Alex</t>
  </si>
  <si>
    <t>Brooke, Ireland</t>
  </si>
  <si>
    <t>Abuhmud, Mohammad</t>
  </si>
  <si>
    <t>Mackenzie</t>
  </si>
  <si>
    <t>Dowling, Kelsey</t>
  </si>
  <si>
    <t>Witherspoon, Chamblee</t>
  </si>
  <si>
    <t>Taylor, Melanie</t>
  </si>
  <si>
    <t>Frey, Faith</t>
  </si>
  <si>
    <t>Mimbs, Jordan</t>
  </si>
  <si>
    <t>Darby, Hunter</t>
  </si>
  <si>
    <t>Godoy Mata, Alma</t>
  </si>
  <si>
    <t>Norman, Keely</t>
  </si>
  <si>
    <t>Hampel, Rhianna</t>
  </si>
  <si>
    <t>Hobson, Chelsea</t>
  </si>
  <si>
    <t>Emily, Rice</t>
  </si>
  <si>
    <t>Tammara, Jackson</t>
  </si>
  <si>
    <t>Matthew, Dye</t>
  </si>
  <si>
    <t>Chris</t>
  </si>
  <si>
    <t>Higgins, Shelby</t>
  </si>
  <si>
    <t>Harold J Myers</t>
  </si>
  <si>
    <t>Lynch, Amber</t>
  </si>
  <si>
    <t>Crisy, Griffin</t>
  </si>
  <si>
    <t>Hinton, Patrick</t>
  </si>
  <si>
    <t>Dekok, Richard</t>
  </si>
  <si>
    <t>Ray, Jessica</t>
  </si>
  <si>
    <t>Holden, Joshua</t>
  </si>
  <si>
    <t>Andrew, Dobbin</t>
  </si>
  <si>
    <t>Stamp, Beth</t>
  </si>
  <si>
    <t>Johnson, Bethany</t>
  </si>
  <si>
    <t>Vo, Cardin</t>
  </si>
  <si>
    <t>Vogl, Weston</t>
  </si>
  <si>
    <t>Helena</t>
  </si>
  <si>
    <t>Louks, Susan</t>
  </si>
  <si>
    <t>Zimmerman, Christina</t>
  </si>
  <si>
    <t>Gaiser, Julie</t>
  </si>
  <si>
    <t>Cara</t>
  </si>
  <si>
    <t>Binz, Kevin</t>
  </si>
  <si>
    <t>Bradford, Christina</t>
  </si>
  <si>
    <t>Hornbeck, Steve</t>
  </si>
  <si>
    <t>Ramsey, Jeffrey</t>
  </si>
  <si>
    <t>Berkshire, Terri</t>
  </si>
  <si>
    <t>Emerson, Jamie</t>
  </si>
  <si>
    <t>Mason, Jennifer</t>
  </si>
  <si>
    <t>Morse, Christopher</t>
  </si>
  <si>
    <t>Mata, Jesselee</t>
  </si>
  <si>
    <t>Rittman, Brooke</t>
  </si>
  <si>
    <t>Saleem, Tiffeny</t>
  </si>
  <si>
    <t>Robert, Balducci</t>
  </si>
  <si>
    <t>Harris, Kristi</t>
  </si>
  <si>
    <t>Warren, Brooke</t>
  </si>
  <si>
    <t>Randall D Kinslow</t>
  </si>
  <si>
    <t>Renshaw, Bryan</t>
  </si>
  <si>
    <t>Harper, Benny</t>
  </si>
  <si>
    <t>Haynes, Jana</t>
  </si>
  <si>
    <t>Brynell, Christopher</t>
  </si>
  <si>
    <t>Weston, Erynn</t>
  </si>
  <si>
    <t>Hoelzeman, Maggie</t>
  </si>
  <si>
    <t>Mckelvy, Philip</t>
  </si>
  <si>
    <t>Baker, Sara</t>
  </si>
  <si>
    <t>Sarah, Draper</t>
  </si>
  <si>
    <t>Keith, Zachary</t>
  </si>
  <si>
    <t>Laci</t>
  </si>
  <si>
    <t>Berry, Emily</t>
  </si>
  <si>
    <t>Overbey, Amanda</t>
  </si>
  <si>
    <t>Julie, Carter</t>
  </si>
  <si>
    <t>Blake</t>
  </si>
  <si>
    <t>Ruby, Christina</t>
  </si>
  <si>
    <t>Chapman, Candace</t>
  </si>
  <si>
    <t>Galvan, Fawn</t>
  </si>
  <si>
    <t>Glidewell, Michael</t>
  </si>
  <si>
    <t>Katrina</t>
  </si>
  <si>
    <t>Anzalone, Gary</t>
  </si>
  <si>
    <t>John C Flint</t>
  </si>
  <si>
    <t>Rodgers, Yvonne</t>
  </si>
  <si>
    <t>Kelli</t>
  </si>
  <si>
    <t>Harrison, Jennifer</t>
  </si>
  <si>
    <t>Enger, Christopher</t>
  </si>
  <si>
    <t>Logan</t>
  </si>
  <si>
    <t>Boswell, Nicholas</t>
  </si>
  <si>
    <t>Mallory B Long</t>
  </si>
  <si>
    <t>James, Lauren</t>
  </si>
  <si>
    <t>Tillman, Robert</t>
  </si>
  <si>
    <t>Duffield, Heidi</t>
  </si>
  <si>
    <t>Davis, Candias</t>
  </si>
  <si>
    <t>Zachary</t>
  </si>
  <si>
    <t>Mcdonald, Sandra</t>
  </si>
  <si>
    <t>Wise, Patricia</t>
  </si>
  <si>
    <t>Marlee</t>
  </si>
  <si>
    <t>Wilson, Sam</t>
  </si>
  <si>
    <t>Klinck, Sarah</t>
  </si>
  <si>
    <t>Tolleson, Mary</t>
  </si>
  <si>
    <t>Mayo, Alayne</t>
  </si>
  <si>
    <t>Keys, Ambre</t>
  </si>
  <si>
    <t>Reed, Angela</t>
  </si>
  <si>
    <t>Elslander, Johnita</t>
  </si>
  <si>
    <t>Mckinney, Natalie</t>
  </si>
  <si>
    <t>Marcos</t>
  </si>
  <si>
    <t>Cassondra, Dowden</t>
  </si>
  <si>
    <t>Hoskinds, Emily</t>
  </si>
  <si>
    <t>Cunningham, Rachel</t>
  </si>
  <si>
    <t>Shaffett, Terri</t>
  </si>
  <si>
    <t>Michele</t>
  </si>
  <si>
    <t>Karla</t>
  </si>
  <si>
    <t>Hamilton, Megan</t>
  </si>
  <si>
    <t>Hawking, Christy</t>
  </si>
  <si>
    <t>Lane, Cameron</t>
  </si>
  <si>
    <t>Kenneth, Mcmahon</t>
  </si>
  <si>
    <t>Meyer, Tricia</t>
  </si>
  <si>
    <t>Recovery Health Systems</t>
  </si>
  <si>
    <t>Alex T Davis</t>
  </si>
  <si>
    <t>Holman, Laura</t>
  </si>
  <si>
    <t>Harmon, Debbie</t>
  </si>
  <si>
    <t>Dear, Lauren</t>
  </si>
  <si>
    <t>Yadav, Abhinav</t>
  </si>
  <si>
    <t>Luthringer, Tammie</t>
  </si>
  <si>
    <t>Hulsey, Kayla</t>
  </si>
  <si>
    <t>Flory, Sherrie</t>
  </si>
  <si>
    <t>Inman, Kathryn</t>
  </si>
  <si>
    <t>Samantha</t>
  </si>
  <si>
    <t>Ashley, Earl</t>
  </si>
  <si>
    <t>Leach, Jessica</t>
  </si>
  <si>
    <t>Koehler, Andrea</t>
  </si>
  <si>
    <t>Boyd, Hillary</t>
  </si>
  <si>
    <t>Mize, Rebecca</t>
  </si>
  <si>
    <t>Borne, Anne</t>
  </si>
  <si>
    <t>Stewart, Kelsie</t>
  </si>
  <si>
    <t>Galloway, John</t>
  </si>
  <si>
    <t>Thomas, Jennifer</t>
  </si>
  <si>
    <t>Connell, Matthew</t>
  </si>
  <si>
    <t>Person, Heidi</t>
  </si>
  <si>
    <t>Hood, Carly</t>
  </si>
  <si>
    <t>Payton</t>
  </si>
  <si>
    <t>Buron, Jennifer</t>
  </si>
  <si>
    <t>Hilvert, John</t>
  </si>
  <si>
    <t>John, Epperson</t>
  </si>
  <si>
    <t>Whitley</t>
  </si>
  <si>
    <t>Johnson, Michael</t>
  </si>
  <si>
    <t>Harris, Brittany</t>
  </si>
  <si>
    <t>Sellers, Kelly</t>
  </si>
  <si>
    <t>Shivani, Patel</t>
  </si>
  <si>
    <t>Kellie Shurden</t>
  </si>
  <si>
    <t>Chaffin, Samuel</t>
  </si>
  <si>
    <t>Little, Melissa</t>
  </si>
  <si>
    <t>Baskerville, Lindsey</t>
  </si>
  <si>
    <t>Carlson, Casey</t>
  </si>
  <si>
    <t>Zachary Tulley</t>
  </si>
  <si>
    <t>Martinez, Tiffany</t>
  </si>
  <si>
    <t>Hoyt, Allen</t>
  </si>
  <si>
    <t>France, Lesli</t>
  </si>
  <si>
    <t>Ferguson, Josh</t>
  </si>
  <si>
    <t>Gaither, Kaitlyn</t>
  </si>
  <si>
    <t>Walker, Emily</t>
  </si>
  <si>
    <t>Kara</t>
  </si>
  <si>
    <t>Ong, Stewart</t>
  </si>
  <si>
    <t>Hargett, Nicholas</t>
  </si>
  <si>
    <t>Daniels, Ryan</t>
  </si>
  <si>
    <t>Wade, Lindsey</t>
  </si>
  <si>
    <t>Gonzales, Sandra</t>
  </si>
  <si>
    <t>Jason R Gough</t>
  </si>
  <si>
    <t>Benson, Betsy</t>
  </si>
  <si>
    <t>Guidroz, Beau</t>
  </si>
  <si>
    <t>Dockery, Logan</t>
  </si>
  <si>
    <t>Freyaldenhoven, Gabe</t>
  </si>
  <si>
    <t>Hannon, Lori</t>
  </si>
  <si>
    <t>Wilkerson, Shelia</t>
  </si>
  <si>
    <t>Tharp, Matthew</t>
  </si>
  <si>
    <t>Edwards, Jacob</t>
  </si>
  <si>
    <t>Blake, Bethany</t>
  </si>
  <si>
    <t>Spengler, Ivan</t>
  </si>
  <si>
    <t>Williams, Lucas</t>
  </si>
  <si>
    <t>Joseph, Stephen</t>
  </si>
  <si>
    <t>Beckham, Michael</t>
  </si>
  <si>
    <t>Wagnon, Jason</t>
  </si>
  <si>
    <t>Morgan, Amber</t>
  </si>
  <si>
    <t>Brock, O'Neal</t>
  </si>
  <si>
    <t>Isabelle Early</t>
  </si>
  <si>
    <t>Howard, Phillip</t>
  </si>
  <si>
    <t>Karen, Manfredonia</t>
  </si>
  <si>
    <t>Gross, Lance</t>
  </si>
  <si>
    <t>Dodson, Lauren</t>
  </si>
  <si>
    <t>Smith, Autumn</t>
  </si>
  <si>
    <t>Candace, Caldwell</t>
  </si>
  <si>
    <t>Tebeest, Jason</t>
  </si>
  <si>
    <t>Dunagan, Jennifer</t>
  </si>
  <si>
    <t>Pearson, Charlotte</t>
  </si>
  <si>
    <t>Nelson, Hannah</t>
  </si>
  <si>
    <t>Smith, Robin</t>
  </si>
  <si>
    <t>Lyons, Danny</t>
  </si>
  <si>
    <t>Hoose, Patricia</t>
  </si>
  <si>
    <t>English, Ashley</t>
  </si>
  <si>
    <t>Pike, Anthony</t>
  </si>
  <si>
    <t>Calaway, Holly</t>
  </si>
  <si>
    <t>Oommen, Tessy</t>
  </si>
  <si>
    <t>Hogan, Savannah</t>
  </si>
  <si>
    <t>Shea, Caroline</t>
  </si>
  <si>
    <t>Murphree, Ashley</t>
  </si>
  <si>
    <t>Killough, Cecelia</t>
  </si>
  <si>
    <t>Dedman, Leslie</t>
  </si>
  <si>
    <t>Ganus, Landon</t>
  </si>
  <si>
    <t>Creamer, Jordan</t>
  </si>
  <si>
    <t>Jasper, Russell</t>
  </si>
  <si>
    <t>Staggs, Joshua</t>
  </si>
  <si>
    <t>Woodson, Rachel</t>
  </si>
  <si>
    <t>Sanders, James</t>
  </si>
  <si>
    <t>Hegi, Morgan</t>
  </si>
  <si>
    <t>Leigh, Moss</t>
  </si>
  <si>
    <t>Harder, Amy</t>
  </si>
  <si>
    <t>Volking, Kurt</t>
  </si>
  <si>
    <t>Spellings, David</t>
  </si>
  <si>
    <t>Craine, Brooke</t>
  </si>
  <si>
    <t>Spicer, Keely</t>
  </si>
  <si>
    <t>Wilson, Brenda</t>
  </si>
  <si>
    <t>Fisher, Kelsey</t>
  </si>
  <si>
    <t>Kimbrell, Brittany</t>
  </si>
  <si>
    <t>Aaron, Holschbach</t>
  </si>
  <si>
    <t>Sebag, Louela</t>
  </si>
  <si>
    <t>Powers, Amy</t>
  </si>
  <si>
    <t>Forbush, Trudy</t>
  </si>
  <si>
    <t>Rogers, Paul</t>
  </si>
  <si>
    <t>Nalley, Patrick</t>
  </si>
  <si>
    <t>Philpot, Jessica</t>
  </si>
  <si>
    <t>Neri</t>
  </si>
  <si>
    <t>Allison, Amber</t>
  </si>
  <si>
    <t>Jon M Beckman</t>
  </si>
  <si>
    <t>Leah</t>
  </si>
  <si>
    <t>Crystal Andrew</t>
  </si>
  <si>
    <t>Graves, Leslyn</t>
  </si>
  <si>
    <t>Jacob, Norris</t>
  </si>
  <si>
    <t>Gwaltney, Austin</t>
  </si>
  <si>
    <t>Longinotti, Ralph</t>
  </si>
  <si>
    <t>Chamness, Jill</t>
  </si>
  <si>
    <t>Suggs, Rosemary</t>
  </si>
  <si>
    <t>Leary, Dominique</t>
  </si>
  <si>
    <t>Alagood, Lana</t>
  </si>
  <si>
    <t>Rebecca, Reiley</t>
  </si>
  <si>
    <t>Suzanna, Thorne</t>
  </si>
  <si>
    <t>Wright, Rachel</t>
  </si>
  <si>
    <t>Kapp, Stephanie</t>
  </si>
  <si>
    <t>Permenter, Danielle</t>
  </si>
  <si>
    <t>Chapman, William</t>
  </si>
  <si>
    <t>Mercy Clinic Therapy Services</t>
  </si>
  <si>
    <t>Fowler, Jennifer</t>
  </si>
  <si>
    <t>Tinkle, Corey</t>
  </si>
  <si>
    <t>Javier, Jackson</t>
  </si>
  <si>
    <t>Ladd, Michael</t>
  </si>
  <si>
    <t>Gebhardt, Steven</t>
  </si>
  <si>
    <t>Taylor, Peighton</t>
  </si>
  <si>
    <t>Chelsea</t>
  </si>
  <si>
    <t>Teston, Michael</t>
  </si>
  <si>
    <t>Troy</t>
  </si>
  <si>
    <t>Bieker, William</t>
  </si>
  <si>
    <t>Garofalo, Aimee</t>
  </si>
  <si>
    <t>Johnson, Keith</t>
  </si>
  <si>
    <t>Baker, Joseph</t>
  </si>
  <si>
    <t>Englehart</t>
  </si>
  <si>
    <t>Ray, Kaylee</t>
  </si>
  <si>
    <t>Jeff D Coppock</t>
  </si>
  <si>
    <t>Lowe, Leah</t>
  </si>
  <si>
    <t>Russell, Lanita</t>
  </si>
  <si>
    <t>Nolen, Jeffrey</t>
  </si>
  <si>
    <t>Cashmer, Derek</t>
  </si>
  <si>
    <t>Thibodeaux, Lindsey</t>
  </si>
  <si>
    <t>Myers, Amanda</t>
  </si>
  <si>
    <t>Mcdaniel, Marshall</t>
  </si>
  <si>
    <t>Lea, Buchanan</t>
  </si>
  <si>
    <t>Kevin W Whitlow</t>
  </si>
  <si>
    <t>Concietta</t>
  </si>
  <si>
    <t>Corey, Dorsey</t>
  </si>
  <si>
    <t>Chy, Joni</t>
  </si>
  <si>
    <t>Dalby, Truman</t>
  </si>
  <si>
    <t>Kelly, Kathryn</t>
  </si>
  <si>
    <t>Gregory, Jones</t>
  </si>
  <si>
    <t>Persson, Mary</t>
  </si>
  <si>
    <t>Tharp, Terri</t>
  </si>
  <si>
    <t>Zoll, Donald</t>
  </si>
  <si>
    <t>Reese, Christopher</t>
  </si>
  <si>
    <t>Hoffmann, Christopher</t>
  </si>
  <si>
    <t>Fenter, Ginger</t>
  </si>
  <si>
    <t>Jain, Anuj</t>
  </si>
  <si>
    <t>Cole</t>
  </si>
  <si>
    <t>Betts, Jordin</t>
  </si>
  <si>
    <t>Kayla, Lyon</t>
  </si>
  <si>
    <t>Ruffiner, Gayle</t>
  </si>
  <si>
    <t>Olson, Samuel</t>
  </si>
  <si>
    <t>Nickles, Cody</t>
  </si>
  <si>
    <t>Reeves, Andrea</t>
  </si>
  <si>
    <t>Taylor S Runsick</t>
  </si>
  <si>
    <t>Tuazon, Grace</t>
  </si>
  <si>
    <t>Norris</t>
  </si>
  <si>
    <t>Bridges, Hannah</t>
  </si>
  <si>
    <t>Hodgson, Daniel</t>
  </si>
  <si>
    <t>Adams, Melinda</t>
  </si>
  <si>
    <t>Britten, Lukas</t>
  </si>
  <si>
    <t>Felts, Corey</t>
  </si>
  <si>
    <t>Merissa Ross</t>
  </si>
  <si>
    <t>Beckwith, Jacqueline</t>
  </si>
  <si>
    <t>Leek, Marleigh</t>
  </si>
  <si>
    <t>Dakota Kresta</t>
  </si>
  <si>
    <t>Adamos, Henry</t>
  </si>
  <si>
    <t>Harris, Kimberly</t>
  </si>
  <si>
    <t>Mackenzie Dempsey</t>
  </si>
  <si>
    <t>Keefe, Kevin</t>
  </si>
  <si>
    <t>Brighton, Darby</t>
  </si>
  <si>
    <t>Yarborough, Elizabeth</t>
  </si>
  <si>
    <t>Gordon, Kristina</t>
  </si>
  <si>
    <t>Stroup, Kyle</t>
  </si>
  <si>
    <t>Taylor, Katherine</t>
  </si>
  <si>
    <t>Blankenship, Carrie</t>
  </si>
  <si>
    <t>Valdes, Jaime</t>
  </si>
  <si>
    <t>Jared</t>
  </si>
  <si>
    <t>Smith, Baylee</t>
  </si>
  <si>
    <t>Murphy, Brian</t>
  </si>
  <si>
    <t>Harvey, Kara</t>
  </si>
  <si>
    <t>Jowers, Jon</t>
  </si>
  <si>
    <t>Brown, Collin</t>
  </si>
  <si>
    <t>Manca, Amanda</t>
  </si>
  <si>
    <t>Arnold, Alexander</t>
  </si>
  <si>
    <t>Myrick, Elizabeth</t>
  </si>
  <si>
    <t>Romig, Kendra</t>
  </si>
  <si>
    <t>Worthington, Melinda</t>
  </si>
  <si>
    <t>Brown, Kaleb</t>
  </si>
  <si>
    <t>Hill, Jaylen</t>
  </si>
  <si>
    <t>Turner</t>
  </si>
  <si>
    <t>Ashton Smith</t>
  </si>
  <si>
    <t>Braxton, Barber</t>
  </si>
  <si>
    <t>Garcia, Elizabeth</t>
  </si>
  <si>
    <t>Mauricio Jr</t>
  </si>
  <si>
    <t>Koch, Anna</t>
  </si>
  <si>
    <t>Damien Klingberg</t>
  </si>
  <si>
    <t>P036</t>
  </si>
  <si>
    <t>Plastic Surgery</t>
  </si>
  <si>
    <t>Prince, Melanie</t>
  </si>
  <si>
    <t>Shell, Dan</t>
  </si>
  <si>
    <t>Kelly, James</t>
  </si>
  <si>
    <t>Bass, Erica</t>
  </si>
  <si>
    <t>Liu, Xiangxia</t>
  </si>
  <si>
    <t>Kath, Melissa</t>
  </si>
  <si>
    <t>P037</t>
  </si>
  <si>
    <t>Podiatry</t>
  </si>
  <si>
    <t>Macevoy, Adam</t>
  </si>
  <si>
    <t>Lacava, Joseph</t>
  </si>
  <si>
    <t>Knowlton, Ethan</t>
  </si>
  <si>
    <t>Webster, Chad</t>
  </si>
  <si>
    <t>Wells, Carlotta</t>
  </si>
  <si>
    <t>Wang, Kaihua</t>
  </si>
  <si>
    <t>Seiter, Aaron</t>
  </si>
  <si>
    <t>Roth, Stephanie</t>
  </si>
  <si>
    <t>Hendrix, Christopher</t>
  </si>
  <si>
    <t>Martin, Carla</t>
  </si>
  <si>
    <t>Wright, John</t>
  </si>
  <si>
    <t>Gauldin, Timothy</t>
  </si>
  <si>
    <t>Walker, Kelly</t>
  </si>
  <si>
    <t>Rammohan, Rajnish</t>
  </si>
  <si>
    <t>Moinester, David</t>
  </si>
  <si>
    <t>Tucker, Daniel</t>
  </si>
  <si>
    <t>Dellinger, Richard</t>
  </si>
  <si>
    <t>Sheehan, Bryan</t>
  </si>
  <si>
    <t>Duncan, Tracy</t>
  </si>
  <si>
    <t>Ginn, Charles</t>
  </si>
  <si>
    <t>Clint, Jiroux</t>
  </si>
  <si>
    <t>Lee, Nancy</t>
  </si>
  <si>
    <t>Shainberg, David</t>
  </si>
  <si>
    <t>Anderson, Danier</t>
  </si>
  <si>
    <t>Clothier, Andrew</t>
  </si>
  <si>
    <t>Baller, Jeffrey</t>
  </si>
  <si>
    <t>Mantell, Gary</t>
  </si>
  <si>
    <t>Divino, Caesar</t>
  </si>
  <si>
    <t>Kumar, Abhin</t>
  </si>
  <si>
    <t>Bright, Dean</t>
  </si>
  <si>
    <t>Zimmerman, Stephen</t>
  </si>
  <si>
    <t>Thrash, John</t>
  </si>
  <si>
    <t>Reiner, Mark</t>
  </si>
  <si>
    <t>Moore, Zane</t>
  </si>
  <si>
    <t>Sharrer, Edward</t>
  </si>
  <si>
    <t>Kramer, Austin</t>
  </si>
  <si>
    <t>Kenneth, Farrish</t>
  </si>
  <si>
    <t>Siciliano, Carl</t>
  </si>
  <si>
    <t>Ashbery, Thomas</t>
  </si>
  <si>
    <t>Barri, Ranya</t>
  </si>
  <si>
    <t>Heather, Newhard</t>
  </si>
  <si>
    <t>P038</t>
  </si>
  <si>
    <t>Primary Care – Adult</t>
  </si>
  <si>
    <t>Benton, Ashley</t>
  </si>
  <si>
    <t>Sloan, Rachel</t>
  </si>
  <si>
    <t>Rollie S Walker</t>
  </si>
  <si>
    <t>Omedeo, Joseph</t>
  </si>
  <si>
    <t>Barr, Charlotte</t>
  </si>
  <si>
    <t>Cummins, Chandler</t>
  </si>
  <si>
    <t>Jones, Stanley</t>
  </si>
  <si>
    <t>Kutter, Gregory</t>
  </si>
  <si>
    <t>Craft, Michelle</t>
  </si>
  <si>
    <t>Annelise</t>
  </si>
  <si>
    <t>Webster, Tracy</t>
  </si>
  <si>
    <t>Creasey, Mark</t>
  </si>
  <si>
    <t>Campbell, Aniko</t>
  </si>
  <si>
    <t>Huffman, Contrina A.</t>
  </si>
  <si>
    <t>Grindle, Heather</t>
  </si>
  <si>
    <t>Sly, Kelly</t>
  </si>
  <si>
    <t>Cotton, Mckenzie</t>
  </si>
  <si>
    <t>Harold R Pritchett</t>
  </si>
  <si>
    <t>Mctyre, Ashley</t>
  </si>
  <si>
    <t>Kayla N Stockton</t>
  </si>
  <si>
    <t>Dodd, Jamie</t>
  </si>
  <si>
    <t>Shaikia</t>
  </si>
  <si>
    <t>Browne, Emily</t>
  </si>
  <si>
    <t>Ellender, Claire</t>
  </si>
  <si>
    <t>Hubbard, Jeremy</t>
  </si>
  <si>
    <t>Washington, Andrea</t>
  </si>
  <si>
    <t>Forrest, Hannah</t>
  </si>
  <si>
    <t>Shannon R Morgan</t>
  </si>
  <si>
    <t>Pate, Mallory</t>
  </si>
  <si>
    <t>Case, Hannah</t>
  </si>
  <si>
    <t>Kamryn M Wong</t>
  </si>
  <si>
    <t>Andrew,Woolfley</t>
  </si>
  <si>
    <t>Carley A Madden</t>
  </si>
  <si>
    <t>Mann, Christopher</t>
  </si>
  <si>
    <t>Afroze, Anees</t>
  </si>
  <si>
    <t>Harris, Candace D.</t>
  </si>
  <si>
    <t>Brianna, Clark</t>
  </si>
  <si>
    <t>Hollis, Tina</t>
  </si>
  <si>
    <t>Compton, Rebecca</t>
  </si>
  <si>
    <t>Park, Hoon</t>
  </si>
  <si>
    <t>Barton, Lindsay</t>
  </si>
  <si>
    <t>Alicia, Cole</t>
  </si>
  <si>
    <t>Kimberly G Griggs</t>
  </si>
  <si>
    <t>Shelby A Villegas</t>
  </si>
  <si>
    <t>Rogers, Collene</t>
  </si>
  <si>
    <t>Holt, Brent</t>
  </si>
  <si>
    <t>Lendermon, Laura</t>
  </si>
  <si>
    <t>Caldwell, Felix</t>
  </si>
  <si>
    <t>Warden, Marti</t>
  </si>
  <si>
    <t>Leigh A Guest</t>
  </si>
  <si>
    <t>Tippitt, Amanda</t>
  </si>
  <si>
    <t>White, Kristen</t>
  </si>
  <si>
    <t>Hickmon, Stephanie</t>
  </si>
  <si>
    <t>Sanders, Amanda</t>
  </si>
  <si>
    <t>Waddell, Patience</t>
  </si>
  <si>
    <t>Mcmullen, Britney</t>
  </si>
  <si>
    <t>Madalynn E Potter</t>
  </si>
  <si>
    <t>Regina, Groner</t>
  </si>
  <si>
    <t>Jordan J Wallace</t>
  </si>
  <si>
    <t>Busch, Forrest</t>
  </si>
  <si>
    <t>Ball, Robert H</t>
  </si>
  <si>
    <t>Harvey, Margaret B.</t>
  </si>
  <si>
    <t>Workman, Terry</t>
  </si>
  <si>
    <t>Victoria</t>
  </si>
  <si>
    <t>Davis, Shay</t>
  </si>
  <si>
    <t>Creeden, Christina</t>
  </si>
  <si>
    <t>Norton, Mitchel</t>
  </si>
  <si>
    <t>Morgan, Misti</t>
  </si>
  <si>
    <t>Mc Teer, Rozl</t>
  </si>
  <si>
    <t>Jennifer C Carpenter</t>
  </si>
  <si>
    <t>Estes, Courtney</t>
  </si>
  <si>
    <t>Mcarthur, Peter</t>
  </si>
  <si>
    <t>Elkheder, Anass</t>
  </si>
  <si>
    <t>George, Ladonna</t>
  </si>
  <si>
    <t>Bartholomew, Tanya</t>
  </si>
  <si>
    <t>Benbow, Andrew</t>
  </si>
  <si>
    <t>Malone, Christina</t>
  </si>
  <si>
    <t>Parsottm, Shivani</t>
  </si>
  <si>
    <t>L'Heureux, Elizabeth</t>
  </si>
  <si>
    <t>Haley, Quintana</t>
  </si>
  <si>
    <t>Morrow, Andrea</t>
  </si>
  <si>
    <t>Earley, Alicia</t>
  </si>
  <si>
    <t>Garrison</t>
  </si>
  <si>
    <t>Bryant, Marshalvia</t>
  </si>
  <si>
    <t>Murphy, Kyla</t>
  </si>
  <si>
    <t>Gillespie, Bradley</t>
  </si>
  <si>
    <t>Devkota, Aaushma</t>
  </si>
  <si>
    <t>Stanley, Marta</t>
  </si>
  <si>
    <t>Bryant, Jamie</t>
  </si>
  <si>
    <t>Williams, Tracey</t>
  </si>
  <si>
    <t>Mcghee, Queen</t>
  </si>
  <si>
    <t>Wyatt, Fallon</t>
  </si>
  <si>
    <t>Grand, Alexa</t>
  </si>
  <si>
    <t>Kelley, Bethany</t>
  </si>
  <si>
    <t>Smith, Heidi</t>
  </si>
  <si>
    <t>Strong, Clint</t>
  </si>
  <si>
    <t>Earl, Susan</t>
  </si>
  <si>
    <t>Reed, Janet</t>
  </si>
  <si>
    <t>Byrd, Ashley</t>
  </si>
  <si>
    <t>Itikyala, Sathish</t>
  </si>
  <si>
    <t>Ybarra, Derekka</t>
  </si>
  <si>
    <t>Watkins, Lista</t>
  </si>
  <si>
    <t>Samantha N Duvall</t>
  </si>
  <si>
    <t>Ingram, Hannah</t>
  </si>
  <si>
    <t>Brotz, Jordan</t>
  </si>
  <si>
    <t>Hoy, Jamelmenique</t>
  </si>
  <si>
    <t>Hammond, Michael</t>
  </si>
  <si>
    <t>Roman B Grant</t>
  </si>
  <si>
    <t>Ezell, Susan</t>
  </si>
  <si>
    <t>Howard, Samantha</t>
  </si>
  <si>
    <t>Grace Solms</t>
  </si>
  <si>
    <t>Lynzi</t>
  </si>
  <si>
    <t>Ashley M Randall</t>
  </si>
  <si>
    <t>Maya</t>
  </si>
  <si>
    <t>Patten, Leslie</t>
  </si>
  <si>
    <t>Tyler, Haley</t>
  </si>
  <si>
    <t>Anna K Dockery</t>
  </si>
  <si>
    <t>Singhal, Sanjeev</t>
  </si>
  <si>
    <t>Snider, Nolan</t>
  </si>
  <si>
    <t>Harris, Amy</t>
  </si>
  <si>
    <t>Monical, Jayna</t>
  </si>
  <si>
    <t>Branton, Rachel</t>
  </si>
  <si>
    <t>Guinn, Jeanne</t>
  </si>
  <si>
    <t>Lehman, Tatyana</t>
  </si>
  <si>
    <t>Williams, Cody</t>
  </si>
  <si>
    <t>Audrey L Brown</t>
  </si>
  <si>
    <t>Wadley, Kristina</t>
  </si>
  <si>
    <t>Hutchins, Lindsay</t>
  </si>
  <si>
    <t>Christy L Grihalva</t>
  </si>
  <si>
    <t>Via, Sara</t>
  </si>
  <si>
    <t>Masri, Kamal</t>
  </si>
  <si>
    <t>Shokouh-Amiri, Sophia</t>
  </si>
  <si>
    <t>Gage, Stephanie</t>
  </si>
  <si>
    <t>Brittani</t>
  </si>
  <si>
    <t>Emily J Mullinix</t>
  </si>
  <si>
    <t>Teryn N Lane</t>
  </si>
  <si>
    <t>Grace J Jenkins</t>
  </si>
  <si>
    <t>Kennedi T James</t>
  </si>
  <si>
    <t>Jordan S Vallieres</t>
  </si>
  <si>
    <t>Tilley, Zachary</t>
  </si>
  <si>
    <t>Megan Bartholomew</t>
  </si>
  <si>
    <t>Hale, Kindra</t>
  </si>
  <si>
    <t>Price, Jacqueline</t>
  </si>
  <si>
    <t>Kerley, Anna</t>
  </si>
  <si>
    <t>Davis, Taylor</t>
  </si>
  <si>
    <t>Martin, Brandi</t>
  </si>
  <si>
    <t>Arshad, Faaiza</t>
  </si>
  <si>
    <t>Tanecia L Oliver</t>
  </si>
  <si>
    <t>English, Paul</t>
  </si>
  <si>
    <t>Hunter, Christopher</t>
  </si>
  <si>
    <t>King, Crystal</t>
  </si>
  <si>
    <t>Kelchen, Phillip</t>
  </si>
  <si>
    <t>Allen, Jon</t>
  </si>
  <si>
    <t>Lamb, Lauren</t>
  </si>
  <si>
    <t>Rohith, Reddy</t>
  </si>
  <si>
    <t>Davis, Erma L.</t>
  </si>
  <si>
    <t>Kaitlyn M Bishop</t>
  </si>
  <si>
    <t>Dana J Abbott</t>
  </si>
  <si>
    <t>Laura L Sparks</t>
  </si>
  <si>
    <t>Lisa M Kottler</t>
  </si>
  <si>
    <t>Holder, Amanda</t>
  </si>
  <si>
    <t>Chelsey</t>
  </si>
  <si>
    <t>Lloyd, Rick</t>
  </si>
  <si>
    <t>Mcelyea, Jason</t>
  </si>
  <si>
    <t>Ammons, Jade</t>
  </si>
  <si>
    <t>Binford, Daniel</t>
  </si>
  <si>
    <t>Mays, Pauline</t>
  </si>
  <si>
    <t>Tyeler</t>
  </si>
  <si>
    <t>Deramus, Rhonda</t>
  </si>
  <si>
    <t>Harvey, Trevor</t>
  </si>
  <si>
    <t>Phillips, Robin</t>
  </si>
  <si>
    <t>Nickolas</t>
  </si>
  <si>
    <t>Granger, Jasmine</t>
  </si>
  <si>
    <t>Morrow, Marketia</t>
  </si>
  <si>
    <t>Murray, Amelia</t>
  </si>
  <si>
    <t>Bogan, Abigail</t>
  </si>
  <si>
    <t>Santiago, Rafael</t>
  </si>
  <si>
    <t>Manning, Amy</t>
  </si>
  <si>
    <t>Leann Smoot</t>
  </si>
  <si>
    <t>Cheatham, Charles</t>
  </si>
  <si>
    <t>Fitz-Gerald, Patrick</t>
  </si>
  <si>
    <t>Ali, Nabeel</t>
  </si>
  <si>
    <t>Smith, Holley</t>
  </si>
  <si>
    <t>Ledbetter, Molly</t>
  </si>
  <si>
    <t>Hardwick, Allyssa</t>
  </si>
  <si>
    <t>James, Kathryn</t>
  </si>
  <si>
    <t>Danica G Little</t>
  </si>
  <si>
    <t>Deidre Brownlee</t>
  </si>
  <si>
    <t>Cassidy C Reid</t>
  </si>
  <si>
    <t>Briscoe, Beverly</t>
  </si>
  <si>
    <t>Clark, Terry</t>
  </si>
  <si>
    <t>Morgan Dildine, Courtney</t>
  </si>
  <si>
    <t>Wason-Fawver, Stacy</t>
  </si>
  <si>
    <t>Raley, Danielle</t>
  </si>
  <si>
    <t>Kahler, Shelly</t>
  </si>
  <si>
    <t>Ellis, Autumn</t>
  </si>
  <si>
    <t>Stamper, Adre</t>
  </si>
  <si>
    <t>Jackson</t>
  </si>
  <si>
    <t>Jaydon M Peterson</t>
  </si>
  <si>
    <t>Harden, Kelly</t>
  </si>
  <si>
    <t>Jadol, Delfin</t>
  </si>
  <si>
    <t>Brennan, Meghan</t>
  </si>
  <si>
    <t>Rollins, Jacqueline</t>
  </si>
  <si>
    <t>Elliott, John</t>
  </si>
  <si>
    <t>Raven C Johnson Bratcher</t>
  </si>
  <si>
    <t>Jason C Stubbs</t>
  </si>
  <si>
    <t>Tashila Mcadams</t>
  </si>
  <si>
    <t>Ebani</t>
  </si>
  <si>
    <t>Elizabeth L Land</t>
  </si>
  <si>
    <t>O'Kelly, Kimberly J.</t>
  </si>
  <si>
    <t>Whitley, Meris</t>
  </si>
  <si>
    <t>Bush, Sara</t>
  </si>
  <si>
    <t>Wilson, Janena</t>
  </si>
  <si>
    <t>Bonner, Jennifer</t>
  </si>
  <si>
    <t>Adera, Selamawit</t>
  </si>
  <si>
    <t>Lindsey, Whitney</t>
  </si>
  <si>
    <t>Akers, Brittany</t>
  </si>
  <si>
    <t>Pitman, Vickie</t>
  </si>
  <si>
    <t>Chastant-Qualls, Meagan</t>
  </si>
  <si>
    <t>Kellar, Megan</t>
  </si>
  <si>
    <t>Patricia A Torres</t>
  </si>
  <si>
    <t>Chasedanee E Paladino</t>
  </si>
  <si>
    <t>Lessmann, Erik</t>
  </si>
  <si>
    <t>Griffin, James</t>
  </si>
  <si>
    <t>Gilder, David</t>
  </si>
  <si>
    <t>Grooms, Suzanne</t>
  </si>
  <si>
    <t>Scott, Jennifer</t>
  </si>
  <si>
    <t>Crawford, Sherita</t>
  </si>
  <si>
    <t>Nelson, Tiffany</t>
  </si>
  <si>
    <t>Hicks, Casey</t>
  </si>
  <si>
    <t>Baker, Whitney</t>
  </si>
  <si>
    <t>Melea D Mccormick</t>
  </si>
  <si>
    <t>Bradley,Gatlin</t>
  </si>
  <si>
    <t>Reed, Brian</t>
  </si>
  <si>
    <t>Patton, James</t>
  </si>
  <si>
    <t>Tarawneh, Ahmad</t>
  </si>
  <si>
    <t>Kaitlyn</t>
  </si>
  <si>
    <t>Haney, Kristi</t>
  </si>
  <si>
    <t>Speckels, Elyse</t>
  </si>
  <si>
    <t>Mayfield, Keila</t>
  </si>
  <si>
    <t>Webb, Robyn</t>
  </si>
  <si>
    <t>Jennifer B Olivier</t>
  </si>
  <si>
    <t>Melissa D Lowman</t>
  </si>
  <si>
    <t>Marissa L Lawrence</t>
  </si>
  <si>
    <t>Alexandria P Botts</t>
  </si>
  <si>
    <t>Brown, Leslie</t>
  </si>
  <si>
    <t>Haleigh</t>
  </si>
  <si>
    <t>Sharon A Hill</t>
  </si>
  <si>
    <t>Volner, Mary</t>
  </si>
  <si>
    <t>Lum, Brian</t>
  </si>
  <si>
    <t>Williams, Phillip</t>
  </si>
  <si>
    <t>Andryka, Michael</t>
  </si>
  <si>
    <t>Henderson, Margot</t>
  </si>
  <si>
    <t>Jordan,Davidson</t>
  </si>
  <si>
    <t>Bobbi</t>
  </si>
  <si>
    <t>Natalie S Chrysostomou</t>
  </si>
  <si>
    <t>Alexandria G Mccord</t>
  </si>
  <si>
    <t>Best, Amanda</t>
  </si>
  <si>
    <t>Dohlman Andrea</t>
  </si>
  <si>
    <t>Washburn, Donald</t>
  </si>
  <si>
    <t>Justin B Wilhite</t>
  </si>
  <si>
    <t>Dustin,Thompson</t>
  </si>
  <si>
    <t>Mahoro, Porshia</t>
  </si>
  <si>
    <t>Kabel, Hilary</t>
  </si>
  <si>
    <t>Kimberly, Moore</t>
  </si>
  <si>
    <t>Nancy A Jones</t>
  </si>
  <si>
    <t>Nutter, Carolyn</t>
  </si>
  <si>
    <t>Boyd, Kathryn</t>
  </si>
  <si>
    <t>J, Burch</t>
  </si>
  <si>
    <t>Cavitch, Jenny</t>
  </si>
  <si>
    <t>Stanley, Dustin</t>
  </si>
  <si>
    <t>Epps-Carter, April</t>
  </si>
  <si>
    <t>Woodard, Tabitha</t>
  </si>
  <si>
    <t>Hayes, Richard</t>
  </si>
  <si>
    <t>Chandler, Emily</t>
  </si>
  <si>
    <t>Cooper, Brandy</t>
  </si>
  <si>
    <t>Culver, Joshua</t>
  </si>
  <si>
    <t>Philpott, Alexandra</t>
  </si>
  <si>
    <t>Jones, Tommye</t>
  </si>
  <si>
    <t>Karyn</t>
  </si>
  <si>
    <t>King, Ginger</t>
  </si>
  <si>
    <t>Zamora, Haley N.</t>
  </si>
  <si>
    <t>Davila, David</t>
  </si>
  <si>
    <t>Bailey, Jason</t>
  </si>
  <si>
    <t>Goedecke, Rebecca</t>
  </si>
  <si>
    <t>Arshad, Nisa</t>
  </si>
  <si>
    <t>Wilkerson, Crystal</t>
  </si>
  <si>
    <t>Barnett, Laura</t>
  </si>
  <si>
    <t>Layla A Fisher</t>
  </si>
  <si>
    <t>Marvin</t>
  </si>
  <si>
    <t>Lane C Austell</t>
  </si>
  <si>
    <t>Walker,Reagan</t>
  </si>
  <si>
    <t>Shawna L Lasater</t>
  </si>
  <si>
    <t>Cassat, Michael</t>
  </si>
  <si>
    <t>Seifried, Tammy</t>
  </si>
  <si>
    <t>Whaley, Thitiporn</t>
  </si>
  <si>
    <t>Anderson, Carla</t>
  </si>
  <si>
    <t>Whitaker, Lyndsey</t>
  </si>
  <si>
    <t>Nelson, Jimarie</t>
  </si>
  <si>
    <t>Browning, Elizabeth</t>
  </si>
  <si>
    <t>Freeman, Amy</t>
  </si>
  <si>
    <t>Brackett, Summer</t>
  </si>
  <si>
    <t>Toby G Lankford</t>
  </si>
  <si>
    <t>Eason, Jeffrey</t>
  </si>
  <si>
    <t>Scantling, Melinda</t>
  </si>
  <si>
    <t>Davis, Lillian</t>
  </si>
  <si>
    <t>Splinter, Joshua</t>
  </si>
  <si>
    <t>Cochran, Erik</t>
  </si>
  <si>
    <t>Perry, Felesha</t>
  </si>
  <si>
    <t>Hundley, Amanda</t>
  </si>
  <si>
    <t>Norris, Mary</t>
  </si>
  <si>
    <t>Elliott, Michael</t>
  </si>
  <si>
    <t>Chasity, Davis</t>
  </si>
  <si>
    <t>Anna Wilhaucks</t>
  </si>
  <si>
    <t>Tiffany N Johnson</t>
  </si>
  <si>
    <t>Spott, Caley</t>
  </si>
  <si>
    <t>Nwokeji, Stella</t>
  </si>
  <si>
    <t>Barker, Debra</t>
  </si>
  <si>
    <t>Andre L Douglas</t>
  </si>
  <si>
    <t>Reed, Brittani</t>
  </si>
  <si>
    <t>Nina C Higgins</t>
  </si>
  <si>
    <t>Drake</t>
  </si>
  <si>
    <t>Kendra,Halsell</t>
  </si>
  <si>
    <t>Bowen, Ronnie</t>
  </si>
  <si>
    <t>Farr, Lori</t>
  </si>
  <si>
    <t>Jones, Russell</t>
  </si>
  <si>
    <t>Long, Taylor</t>
  </si>
  <si>
    <t>Katherine, Summers</t>
  </si>
  <si>
    <t>Ternes, Molly</t>
  </si>
  <si>
    <t>Caitlyn C Bell</t>
  </si>
  <si>
    <t>Glenn, Stephen</t>
  </si>
  <si>
    <t>Mcclain, Tonya</t>
  </si>
  <si>
    <t>Joyce, Kristen</t>
  </si>
  <si>
    <t>Pymm, John</t>
  </si>
  <si>
    <t>Ramsey, Lora</t>
  </si>
  <si>
    <t>Watson, Brian</t>
  </si>
  <si>
    <t>Raquel,Reed-Washington</t>
  </si>
  <si>
    <t>Lawson, Jeremy</t>
  </si>
  <si>
    <t>Mann, Jessica</t>
  </si>
  <si>
    <t>Baccus, Brandy</t>
  </si>
  <si>
    <t>Ashley N Givens</t>
  </si>
  <si>
    <t>Darrel C Hawley</t>
  </si>
  <si>
    <t>Shannon L Hankins</t>
  </si>
  <si>
    <t>Carol A Bowerman</t>
  </si>
  <si>
    <t>Tidwell, Richard</t>
  </si>
  <si>
    <t>Kirby, Marcia</t>
  </si>
  <si>
    <t>Roberts, David</t>
  </si>
  <si>
    <t>Nash, Courtney</t>
  </si>
  <si>
    <t>Michael, Janna</t>
  </si>
  <si>
    <t>Reinhard, Adam</t>
  </si>
  <si>
    <t>Clark, Dominique</t>
  </si>
  <si>
    <t>Sarah C Fuller</t>
  </si>
  <si>
    <t>Deloach, Kamlyn</t>
  </si>
  <si>
    <t>Chase</t>
  </si>
  <si>
    <t>Finney, Julie</t>
  </si>
  <si>
    <t>Porter, Mary</t>
  </si>
  <si>
    <t>Goode, Courtney</t>
  </si>
  <si>
    <t>Buffalo, Kimberly</t>
  </si>
  <si>
    <t>Lorie K Davidson</t>
  </si>
  <si>
    <t>Morrow, Morgan A.</t>
  </si>
  <si>
    <t>Bj</t>
  </si>
  <si>
    <t>Newton, Samuel</t>
  </si>
  <si>
    <t>Stinson, Matthew</t>
  </si>
  <si>
    <t>Walsh, Meredith</t>
  </si>
  <si>
    <t>Williams, Angela</t>
  </si>
  <si>
    <t>Arnold, Chandra</t>
  </si>
  <si>
    <t>Jones, Lucie</t>
  </si>
  <si>
    <t>Jensen, Kimber</t>
  </si>
  <si>
    <t>Chittenden, Ashley B</t>
  </si>
  <si>
    <t>Liddell, Ulon</t>
  </si>
  <si>
    <t>Crawford, Carissa</t>
  </si>
  <si>
    <t>Devin</t>
  </si>
  <si>
    <t>Emily,Bryce</t>
  </si>
  <si>
    <t>Erika</t>
  </si>
  <si>
    <t>Martinez, Tammi</t>
  </si>
  <si>
    <t>Gowdy, Kelly</t>
  </si>
  <si>
    <t>Havermale, Gregory</t>
  </si>
  <si>
    <t>Scott, Ashley</t>
  </si>
  <si>
    <t>Allysa B Doyle</t>
  </si>
  <si>
    <t>Solonica J Cooper</t>
  </si>
  <si>
    <t>Adam, Ashl</t>
  </si>
  <si>
    <t>Meagan B Farley</t>
  </si>
  <si>
    <t>Gelinas, Joseph</t>
  </si>
  <si>
    <t>O'Neill, Kaci</t>
  </si>
  <si>
    <t>Hull, Melissa</t>
  </si>
  <si>
    <t>Hatchett, Ashley</t>
  </si>
  <si>
    <t>Unger, Adrian</t>
  </si>
  <si>
    <t>Dixon, Mallory</t>
  </si>
  <si>
    <t>Stroud, Cody</t>
  </si>
  <si>
    <t>Shaw, Alexandria</t>
  </si>
  <si>
    <t>Edmonds, Nikita</t>
  </si>
  <si>
    <t>Tenort, Tiffany C.</t>
  </si>
  <si>
    <t>Lance M Brumley</t>
  </si>
  <si>
    <t>Bradley, Chauntay</t>
  </si>
  <si>
    <t>Turner, Marshe</t>
  </si>
  <si>
    <t>Jarvis, Julie</t>
  </si>
  <si>
    <t>Yount, Krystal</t>
  </si>
  <si>
    <t>Giddings, Robert</t>
  </si>
  <si>
    <t>Kershaw-Berry, Valarie</t>
  </si>
  <si>
    <t>Wiley, Lanetra</t>
  </si>
  <si>
    <t>Candice M Scarpa</t>
  </si>
  <si>
    <t>Cooper, Lana</t>
  </si>
  <si>
    <t>Rebecca E Stewart</t>
  </si>
  <si>
    <t>Megan N Martin</t>
  </si>
  <si>
    <t>Riki, Williamson</t>
  </si>
  <si>
    <t>Hearn, Alexandria</t>
  </si>
  <si>
    <t>Jones Michel, Dorothy</t>
  </si>
  <si>
    <t>Lewis, Jeannie</t>
  </si>
  <si>
    <t>Mccasland, Erin</t>
  </si>
  <si>
    <t>Ryan N Vaisler</t>
  </si>
  <si>
    <t>Fowler, Erica</t>
  </si>
  <si>
    <t>Villasenor, Kaylee</t>
  </si>
  <si>
    <t>Mount, Leslie</t>
  </si>
  <si>
    <t>Onarecker, Timothy</t>
  </si>
  <si>
    <t>Knight, Charlotte</t>
  </si>
  <si>
    <t>Sacharczyk, Kendall</t>
  </si>
  <si>
    <t>Jarret</t>
  </si>
  <si>
    <t>Sara K Tsegay</t>
  </si>
  <si>
    <t>Kayla R Denney</t>
  </si>
  <si>
    <t>Kelsi B Price</t>
  </si>
  <si>
    <t>Holley M Coker</t>
  </si>
  <si>
    <t>Wheeler, Camille</t>
  </si>
  <si>
    <t>Ganison, Queeneice</t>
  </si>
  <si>
    <t>Morris, Stefanie</t>
  </si>
  <si>
    <t>Kayla, Rhoads</t>
  </si>
  <si>
    <t>Elmquist, Jared</t>
  </si>
  <si>
    <t>Swain, Andrea</t>
  </si>
  <si>
    <t>Madison P Lee</t>
  </si>
  <si>
    <t>Newbold, Steven</t>
  </si>
  <si>
    <t>Harmon, Bethany</t>
  </si>
  <si>
    <t>Sims, Deborah</t>
  </si>
  <si>
    <t>Vaughns, Travisha</t>
  </si>
  <si>
    <t>Lauren N Thompson</t>
  </si>
  <si>
    <t>Moretta, Lindsey</t>
  </si>
  <si>
    <t>Moody, Micah</t>
  </si>
  <si>
    <t>Clarissa N Yarborough</t>
  </si>
  <si>
    <t>Holloway, Olivia</t>
  </si>
  <si>
    <t>Bailey, Michaeline</t>
  </si>
  <si>
    <t>Heather M Jones</t>
  </si>
  <si>
    <t>Christine, Wilson</t>
  </si>
  <si>
    <t>Titsworth, Christopher</t>
  </si>
  <si>
    <t>Mcmurry, Joyce</t>
  </si>
  <si>
    <t>Diaz, Lawrence</t>
  </si>
  <si>
    <t>Hall, Terri</t>
  </si>
  <si>
    <t>Farris, Alicia</t>
  </si>
  <si>
    <t>Olds, Melinda</t>
  </si>
  <si>
    <t>Patterson, Hannah</t>
  </si>
  <si>
    <t>Shakeyah C Jackson</t>
  </si>
  <si>
    <t>Sullivan, Amber</t>
  </si>
  <si>
    <t>Nancy,Berry</t>
  </si>
  <si>
    <t>Rouse, Kevin</t>
  </si>
  <si>
    <t>Williams, Thomas</t>
  </si>
  <si>
    <t>Hill, Melinda</t>
  </si>
  <si>
    <t>Trentham, Lorie</t>
  </si>
  <si>
    <t>Kalra, Kaushal</t>
  </si>
  <si>
    <t>Hackler, Stacey</t>
  </si>
  <si>
    <t>Wilson, Iren</t>
  </si>
  <si>
    <t>Moore, Ramona</t>
  </si>
  <si>
    <t>Hawkins, Jonathan</t>
  </si>
  <si>
    <t>Leia D O Fallon</t>
  </si>
  <si>
    <t>Phipps, Melody</t>
  </si>
  <si>
    <t>Hill, Ernestine</t>
  </si>
  <si>
    <t>Goings, Brenda</t>
  </si>
  <si>
    <t>Logrande, Sarah</t>
  </si>
  <si>
    <t>Willis, Jena P.</t>
  </si>
  <si>
    <t>Jonathan D Dickson</t>
  </si>
  <si>
    <t>Jessica A Borst</t>
  </si>
  <si>
    <t>Martin, Kayla</t>
  </si>
  <si>
    <t>Baldwin, Melissa</t>
  </si>
  <si>
    <t>Heskett, Tia</t>
  </si>
  <si>
    <t>Whitten, Kristina M.</t>
  </si>
  <si>
    <t>Vallon S Williams</t>
  </si>
  <si>
    <t>Richardson, Rachael</t>
  </si>
  <si>
    <t>Lewis, Lajarvis</t>
  </si>
  <si>
    <t>Lawrence, Lindsay E</t>
  </si>
  <si>
    <t>Sarah E Chambers</t>
  </si>
  <si>
    <t>Karmas, Samantha</t>
  </si>
  <si>
    <t>Rebecca A Shaffer</t>
  </si>
  <si>
    <t>Nicoll, Daniel</t>
  </si>
  <si>
    <t>Raelynn</t>
  </si>
  <si>
    <t>Scallions, John</t>
  </si>
  <si>
    <t>Remmers, Wendy</t>
  </si>
  <si>
    <t>Evans-Hedge, Leslie</t>
  </si>
  <si>
    <t>Melinda, Patterson</t>
  </si>
  <si>
    <t>Brown, Elizabeth</t>
  </si>
  <si>
    <t>Margaret,Rogers</t>
  </si>
  <si>
    <t>Zachary C Lee</t>
  </si>
  <si>
    <t>Letonya,Love</t>
  </si>
  <si>
    <t>Wallace, Andr</t>
  </si>
  <si>
    <t>Brian, Savage</t>
  </si>
  <si>
    <t>Reyes, Chan</t>
  </si>
  <si>
    <t>Friend, Kathreen</t>
  </si>
  <si>
    <t>Scott, Jacqueline</t>
  </si>
  <si>
    <t>Franchesca L Schandevel</t>
  </si>
  <si>
    <t>Wadlington, Caitlin</t>
  </si>
  <si>
    <t>Amber, Mcneal</t>
  </si>
  <si>
    <t>White, Michael</t>
  </si>
  <si>
    <t>Tameka M Morgan</t>
  </si>
  <si>
    <t>Post, Lisa</t>
  </si>
  <si>
    <t>Hamilton, Melanie</t>
  </si>
  <si>
    <t>Clark, Beverly</t>
  </si>
  <si>
    <t>Stone, Seth</t>
  </si>
  <si>
    <t>Pierce, Mary</t>
  </si>
  <si>
    <t>Shauna, Sanderson</t>
  </si>
  <si>
    <t>Arrison, Ragan</t>
  </si>
  <si>
    <t>Mccullough, Susan</t>
  </si>
  <si>
    <t>Charlotte, Barajas</t>
  </si>
  <si>
    <t>Keri Purifoy</t>
  </si>
  <si>
    <t>Jessica M Malca Pastakia</t>
  </si>
  <si>
    <t>Lick, Cynthia</t>
  </si>
  <si>
    <t>Robinson, Elizabeth</t>
  </si>
  <si>
    <t>Foster, Linda</t>
  </si>
  <si>
    <t>Jones, Alison</t>
  </si>
  <si>
    <t>Seger, Rita</t>
  </si>
  <si>
    <t>Frances,Ridenour</t>
  </si>
  <si>
    <t>Murphy, Megan</t>
  </si>
  <si>
    <t>Tran, Lan</t>
  </si>
  <si>
    <t>Lindsey,Pimentel</t>
  </si>
  <si>
    <t>Parbhoo, Mukti</t>
  </si>
  <si>
    <t>Jonathan Z Pennington</t>
  </si>
  <si>
    <t>Jovan</t>
  </si>
  <si>
    <t>Howell, Destiny</t>
  </si>
  <si>
    <t>Audrae D Bruce</t>
  </si>
  <si>
    <t>Jade A Moore</t>
  </si>
  <si>
    <t>Caldwell-Jones, Fatina</t>
  </si>
  <si>
    <t>Jillian</t>
  </si>
  <si>
    <t>Peterson, Lindsay</t>
  </si>
  <si>
    <t>Mechler Bolin, Lauren</t>
  </si>
  <si>
    <t>Woodard, Cait</t>
  </si>
  <si>
    <t>Darrin</t>
  </si>
  <si>
    <t>Molly W Davis</t>
  </si>
  <si>
    <t>Garth, Bowman</t>
  </si>
  <si>
    <t>Elizabeth A Moore</t>
  </si>
  <si>
    <t>Kalli M Sassaman</t>
  </si>
  <si>
    <t>Jenna P Davis</t>
  </si>
  <si>
    <t>Alexandria N Barber</t>
  </si>
  <si>
    <t>Kellie A Crowl</t>
  </si>
  <si>
    <t>Eason, Brandy</t>
  </si>
  <si>
    <t>Karnes, Craig</t>
  </si>
  <si>
    <t>Goforth, Christy</t>
  </si>
  <si>
    <t>Whaley, Kelly</t>
  </si>
  <si>
    <t>Cristina S Leis</t>
  </si>
  <si>
    <t>Keeton, Mellissa</t>
  </si>
  <si>
    <t>Smithson, Loretta</t>
  </si>
  <si>
    <t>Cha, Vicky</t>
  </si>
  <si>
    <t>Kayley,Huffman</t>
  </si>
  <si>
    <t>Jessica L Jeffers</t>
  </si>
  <si>
    <t>Tindell, Brandie</t>
  </si>
  <si>
    <t>Cassidy J Brashears</t>
  </si>
  <si>
    <t>Berger, Courtney D.</t>
  </si>
  <si>
    <t>Kreimid, Mosbah</t>
  </si>
  <si>
    <t>Robin R Hayward</t>
  </si>
  <si>
    <t>Wessel, Valerie</t>
  </si>
  <si>
    <t>Dixon, Tonya</t>
  </si>
  <si>
    <t>Matthew L Wood</t>
  </si>
  <si>
    <t>May, Katie E</t>
  </si>
  <si>
    <t>Ervin, Courtney</t>
  </si>
  <si>
    <t>West, Denise</t>
  </si>
  <si>
    <t>Campbell, Chasity</t>
  </si>
  <si>
    <t>Moore, Sharron</t>
  </si>
  <si>
    <t>Wallis, Jacob</t>
  </si>
  <si>
    <t>Danielle A Davidson</t>
  </si>
  <si>
    <t>Whitten, Amanda</t>
  </si>
  <si>
    <t>Seratt, James</t>
  </si>
  <si>
    <t>Ibrahim, Susan B.</t>
  </si>
  <si>
    <t>Ward, Wesley</t>
  </si>
  <si>
    <t>Wright, Tamra</t>
  </si>
  <si>
    <t>Doolittle, Carol</t>
  </si>
  <si>
    <t>Evans, Elizabeth</t>
  </si>
  <si>
    <t>Newsome, Cassandra</t>
  </si>
  <si>
    <t>Jourdan, Alaina</t>
  </si>
  <si>
    <t>Beatty, John</t>
  </si>
  <si>
    <t>Gano, Sarah</t>
  </si>
  <si>
    <t>Echeverria, Joshua</t>
  </si>
  <si>
    <t>Brandi D Hyde</t>
  </si>
  <si>
    <t>Morgan E Gary</t>
  </si>
  <si>
    <t>Fite, Tracy</t>
  </si>
  <si>
    <t>Turner, Debra</t>
  </si>
  <si>
    <t>Hale, Dana</t>
  </si>
  <si>
    <t>Williams, Tammy</t>
  </si>
  <si>
    <t>Estess, Sarah</t>
  </si>
  <si>
    <t>Williams, Latonia</t>
  </si>
  <si>
    <t>Dotson, Tami</t>
  </si>
  <si>
    <t>Leonard</t>
  </si>
  <si>
    <t>Aldridge, Waketta</t>
  </si>
  <si>
    <t>Krystal K Mcmahan</t>
  </si>
  <si>
    <t>Kelly D Wright</t>
  </si>
  <si>
    <t>Ty A Humphreys</t>
  </si>
  <si>
    <t>Nguyen, Phuongdinh</t>
  </si>
  <si>
    <t>Alfaqih, Mohanad</t>
  </si>
  <si>
    <t>Davis, Kelly R.</t>
  </si>
  <si>
    <t>Sutliff, Dianna</t>
  </si>
  <si>
    <t>Sandra L Maddox</t>
  </si>
  <si>
    <t>Vela Sandoval, Carlos</t>
  </si>
  <si>
    <t>Cook, Jacqueline</t>
  </si>
  <si>
    <t>Lawrence, Jessica</t>
  </si>
  <si>
    <t>Clarisse,Tallah</t>
  </si>
  <si>
    <t>Beene, Cheryl</t>
  </si>
  <si>
    <t>Casper, Justin</t>
  </si>
  <si>
    <t>Valerie, Jackson</t>
  </si>
  <si>
    <t>Jennifer A Boggs</t>
  </si>
  <si>
    <t>Pamela D Woods</t>
  </si>
  <si>
    <t>Ariana</t>
  </si>
  <si>
    <t>Mbonu, Mary</t>
  </si>
  <si>
    <t>Davis, Laura</t>
  </si>
  <si>
    <t>Pilcher, Micah</t>
  </si>
  <si>
    <t>Abrams, Lindley</t>
  </si>
  <si>
    <t>Dowell, Kelsey</t>
  </si>
  <si>
    <t>Stapp, Michelle</t>
  </si>
  <si>
    <t>Stogsdill, Alicia</t>
  </si>
  <si>
    <t>Tammy M Palermo</t>
  </si>
  <si>
    <t>Vanessa G Harvey</t>
  </si>
  <si>
    <t>Kristy R Redden</t>
  </si>
  <si>
    <t>Amanda L Page</t>
  </si>
  <si>
    <t>Emma M Hinds</t>
  </si>
  <si>
    <t>Joseph T Salyer</t>
  </si>
  <si>
    <t>Tyler, Harold</t>
  </si>
  <si>
    <t>Sluder, Vanessa</t>
  </si>
  <si>
    <t>Dickenson, Mordecia</t>
  </si>
  <si>
    <t>Skaggs, Katherine</t>
  </si>
  <si>
    <t>Kaczenski, Alexander</t>
  </si>
  <si>
    <t>Farmer, Hannah</t>
  </si>
  <si>
    <t>Winn, Benjamin</t>
  </si>
  <si>
    <t>Hope</t>
  </si>
  <si>
    <t>Odulana, Adebowale</t>
  </si>
  <si>
    <t>Butler, Phyllis</t>
  </si>
  <si>
    <t>Lavine, Allison</t>
  </si>
  <si>
    <t>Reynolds, Cora</t>
  </si>
  <si>
    <t>Hunter, Delayna</t>
  </si>
  <si>
    <t>Julie, Gardner</t>
  </si>
  <si>
    <t>Reeves, Nicholas G.</t>
  </si>
  <si>
    <t>Sarah N Morad</t>
  </si>
  <si>
    <t>Elizabeth A Goetz</t>
  </si>
  <si>
    <t>Toney, Joseph</t>
  </si>
  <si>
    <t>Yekaitis, Kevin</t>
  </si>
  <si>
    <t>Drake, Lisa</t>
  </si>
  <si>
    <t>Nora</t>
  </si>
  <si>
    <t>Ball, Robi</t>
  </si>
  <si>
    <t>Andrea J Luker</t>
  </si>
  <si>
    <t>Lococo, Christian</t>
  </si>
  <si>
    <t>Hamadani, Aley</t>
  </si>
  <si>
    <t>Rich, Jennifer</t>
  </si>
  <si>
    <t>Mishala R Bateman</t>
  </si>
  <si>
    <t>Andrene Thompson</t>
  </si>
  <si>
    <t>Bradley J Reed</t>
  </si>
  <si>
    <t>Bennett, Elizabeth</t>
  </si>
  <si>
    <t>Ghelichkhani, Soraya</t>
  </si>
  <si>
    <t>Tekeyla</t>
  </si>
  <si>
    <t>Brandy L Rose</t>
  </si>
  <si>
    <t>Beckham, Melanie</t>
  </si>
  <si>
    <t>Alexis, Irby</t>
  </si>
  <si>
    <t>Amber D Woods</t>
  </si>
  <si>
    <t>Christina M Metz</t>
  </si>
  <si>
    <t>Ross, Allison</t>
  </si>
  <si>
    <t>Richard,Katrina</t>
  </si>
  <si>
    <t>Tucker, Justin</t>
  </si>
  <si>
    <t>Beaver, Eric</t>
  </si>
  <si>
    <t>Mitha, Shazia</t>
  </si>
  <si>
    <t>Kristie D Stringer</t>
  </si>
  <si>
    <t>Trent</t>
  </si>
  <si>
    <t>Steele, Amber</t>
  </si>
  <si>
    <t>Nee, Caralyna M.</t>
  </si>
  <si>
    <t>Mcfarland, Marilyn</t>
  </si>
  <si>
    <t>Catherine Colatruglio</t>
  </si>
  <si>
    <t>Meghan M Mask</t>
  </si>
  <si>
    <t>Lydia J Steele</t>
  </si>
  <si>
    <t>Nadja B Barrantes</t>
  </si>
  <si>
    <t>Pruitt, Kathryn</t>
  </si>
  <si>
    <t>Culver, Jessica</t>
  </si>
  <si>
    <t>Busby, Charlie</t>
  </si>
  <si>
    <t>John R Griggs</t>
  </si>
  <si>
    <t>Merrill, Brandon</t>
  </si>
  <si>
    <t>Hammond, Sarah A.</t>
  </si>
  <si>
    <t>Beverly, Chakita</t>
  </si>
  <si>
    <t>Vahldick, Molly</t>
  </si>
  <si>
    <t>Allen, Stephanie J.</t>
  </si>
  <si>
    <t>Castle, Shannon</t>
  </si>
  <si>
    <t>Fioranelli, Jenna</t>
  </si>
  <si>
    <t>Rose</t>
  </si>
  <si>
    <t>Powell, Autumn</t>
  </si>
  <si>
    <t>Casey L Mccoy</t>
  </si>
  <si>
    <t>Ashara Beverly</t>
  </si>
  <si>
    <t>Carolyn M Mcknight</t>
  </si>
  <si>
    <t>Reed, Reda</t>
  </si>
  <si>
    <t>Davis, Demetria</t>
  </si>
  <si>
    <t>Costantino, Corey</t>
  </si>
  <si>
    <t>Laflora, Louise</t>
  </si>
  <si>
    <t>Abreu, Antonio</t>
  </si>
  <si>
    <t>Parker, Buckley</t>
  </si>
  <si>
    <t>Haywood, Vanessa</t>
  </si>
  <si>
    <t>Lack, Tiffany</t>
  </si>
  <si>
    <t>Barnes, Kristen</t>
  </si>
  <si>
    <t>Taylor L Nyland</t>
  </si>
  <si>
    <t>Ashley N Jones</t>
  </si>
  <si>
    <t>Gale, Robin</t>
  </si>
  <si>
    <t>Griffin, Kyle</t>
  </si>
  <si>
    <t>Aiello, Marilyn</t>
  </si>
  <si>
    <t>Hale, Amy</t>
  </si>
  <si>
    <t>Harrell, Bradley</t>
  </si>
  <si>
    <t>Motlow, Shawanda</t>
  </si>
  <si>
    <t>Fuqua, Rebecca</t>
  </si>
  <si>
    <t>Yelverton, Allen</t>
  </si>
  <si>
    <t>Angel, Sheryl</t>
  </si>
  <si>
    <t>Moore, Sandra</t>
  </si>
  <si>
    <t>Heiner, Kayelinda</t>
  </si>
  <si>
    <t>Walton-Conner, Chelsea</t>
  </si>
  <si>
    <t>Weems, Kaleigh</t>
  </si>
  <si>
    <t>Davis, Mallory</t>
  </si>
  <si>
    <t>Nekesha, Johnson</t>
  </si>
  <si>
    <t>Arredondo Arriola, Gabriel</t>
  </si>
  <si>
    <t>Jacobs, Brenda</t>
  </si>
  <si>
    <t>Wilson, Kayci</t>
  </si>
  <si>
    <t>Rapp, Tracy</t>
  </si>
  <si>
    <t>Butler, Lauren</t>
  </si>
  <si>
    <t>Stephanie M Choate</t>
  </si>
  <si>
    <t>Hairston, Catherine</t>
  </si>
  <si>
    <t>Zakeia W O'Braint</t>
  </si>
  <si>
    <t>Iliana B Bonilla Canas</t>
  </si>
  <si>
    <t>Globus, Jeffrey</t>
  </si>
  <si>
    <t>Hamilton, Rebecca</t>
  </si>
  <si>
    <t>Brianne Bagwell</t>
  </si>
  <si>
    <t>Blanton, Brandy</t>
  </si>
  <si>
    <t>Aubrey, Garmen</t>
  </si>
  <si>
    <t>Potter, Amanda</t>
  </si>
  <si>
    <t>Pritchard, Casey</t>
  </si>
  <si>
    <t>Tasha D Robinson</t>
  </si>
  <si>
    <t>Brown, Lindsey</t>
  </si>
  <si>
    <t>Raymond, Erin</t>
  </si>
  <si>
    <t>Lee, Vanessa</t>
  </si>
  <si>
    <t>Ariel E Rohde</t>
  </si>
  <si>
    <t>Dunaway, Emily</t>
  </si>
  <si>
    <t>Womack, Jimmy</t>
  </si>
  <si>
    <t>Baker, Annelise</t>
  </si>
  <si>
    <t>Rayburn, Katia</t>
  </si>
  <si>
    <t>Harris, Grace</t>
  </si>
  <si>
    <t>Woodcock, Lisa</t>
  </si>
  <si>
    <t>Hill, Crystal</t>
  </si>
  <si>
    <t>Singh, Kulvinder</t>
  </si>
  <si>
    <t>Caleb</t>
  </si>
  <si>
    <t>Jaganath, Yasthil</t>
  </si>
  <si>
    <t>Carlton, April</t>
  </si>
  <si>
    <t>Laura R Knarr</t>
  </si>
  <si>
    <t>Avesahmed N Bukhari</t>
  </si>
  <si>
    <t>Hale, Kelsey</t>
  </si>
  <si>
    <t>Whitney P Mobley</t>
  </si>
  <si>
    <t>Wood, David</t>
  </si>
  <si>
    <t>Muddasani, Anushareddy</t>
  </si>
  <si>
    <t>Genova, Williams</t>
  </si>
  <si>
    <t>William, Wilcox</t>
  </si>
  <si>
    <t>Albritton, Brenton</t>
  </si>
  <si>
    <t>Jackson, Tara</t>
  </si>
  <si>
    <t>Elizabeth, Davis</t>
  </si>
  <si>
    <t>Parrett, Angela</t>
  </si>
  <si>
    <t>Anna, Sullivan</t>
  </si>
  <si>
    <t>Charlotte A Law</t>
  </si>
  <si>
    <t>Lauren M Westwood</t>
  </si>
  <si>
    <t>Ballard, Mikayla</t>
  </si>
  <si>
    <t>Holmes, Kiyo</t>
  </si>
  <si>
    <t>Akhtar, Mariam</t>
  </si>
  <si>
    <t>Rolle, Adrian</t>
  </si>
  <si>
    <t>Austin, Ericka</t>
  </si>
  <si>
    <t>Ann Marie D Alexander</t>
  </si>
  <si>
    <t>Airston Small</t>
  </si>
  <si>
    <t>Aysheh, Hamzha</t>
  </si>
  <si>
    <t>Shenetta, Williams</t>
  </si>
  <si>
    <t>Fratta, Agnes</t>
  </si>
  <si>
    <t>Buxton, Kimberly</t>
  </si>
  <si>
    <t>Marimichael,Hill</t>
  </si>
  <si>
    <t>Graves, Christy</t>
  </si>
  <si>
    <t>Amber N Walker</t>
  </si>
  <si>
    <t>Leach, Judy</t>
  </si>
  <si>
    <t>Parker, Lori</t>
  </si>
  <si>
    <t>Craig, Levoy</t>
  </si>
  <si>
    <t>Chatman, Matthew</t>
  </si>
  <si>
    <t>Valery, Morgan</t>
  </si>
  <si>
    <t>Bond, Jessica</t>
  </si>
  <si>
    <t>Mcbroom, Zachary</t>
  </si>
  <si>
    <t>Antoinette</t>
  </si>
  <si>
    <t>Chelsea N Hawley</t>
  </si>
  <si>
    <t>Shawn M Andrews</t>
  </si>
  <si>
    <t>Carolyn J Gipson</t>
  </si>
  <si>
    <t>Couch, Ashley</t>
  </si>
  <si>
    <t>Rojo, Martha</t>
  </si>
  <si>
    <t>Hastings, Cody</t>
  </si>
  <si>
    <t>Stiles, Roy</t>
  </si>
  <si>
    <t>Jenkins, Camille</t>
  </si>
  <si>
    <t>Jeri J Power</t>
  </si>
  <si>
    <t>Alt, Suzanne</t>
  </si>
  <si>
    <t>Cook, Ingrid</t>
  </si>
  <si>
    <t>Mckiernon, Carrie</t>
  </si>
  <si>
    <t>Langevin, Jessica</t>
  </si>
  <si>
    <t>Hastings, Jaclyn</t>
  </si>
  <si>
    <t>Cagle, Stephanie</t>
  </si>
  <si>
    <t>Umesh K Doppalapudi</t>
  </si>
  <si>
    <t>Hale, Dustin</t>
  </si>
  <si>
    <t>Jackson, Nekia</t>
  </si>
  <si>
    <t>Stramel, Malgorzata</t>
  </si>
  <si>
    <t>Peters, Jessica</t>
  </si>
  <si>
    <t>Min, Elizabeth</t>
  </si>
  <si>
    <t>West, Fredric</t>
  </si>
  <si>
    <t>Taylor, Tommy</t>
  </si>
  <si>
    <t>Ajakaiye, Michael</t>
  </si>
  <si>
    <t>Benbow, Catherine</t>
  </si>
  <si>
    <t>Rutherford, Janine</t>
  </si>
  <si>
    <t>Taylor, Matthew</t>
  </si>
  <si>
    <t>Jeffrey R Thiebaud</t>
  </si>
  <si>
    <t>Lindsey C Seitz</t>
  </si>
  <si>
    <t>Collin J Roberts</t>
  </si>
  <si>
    <t>Montgomery, Christopher</t>
  </si>
  <si>
    <t>Bell, Chrissie</t>
  </si>
  <si>
    <t>Campbell, Rebecca</t>
  </si>
  <si>
    <t>Linda D Payne</t>
  </si>
  <si>
    <t>Shoemaker, Drew</t>
  </si>
  <si>
    <t>Bennett, Jill</t>
  </si>
  <si>
    <t>Barry, Amanda</t>
  </si>
  <si>
    <t>Zacher, Elizabeth</t>
  </si>
  <si>
    <t>Sanchez Rivas, Miguel</t>
  </si>
  <si>
    <t>Lomax, Megan</t>
  </si>
  <si>
    <t>Lindsay Leeper</t>
  </si>
  <si>
    <t>Ballard, Megan</t>
  </si>
  <si>
    <t>Katherine R Stewart</t>
  </si>
  <si>
    <t>Foster, Chayce</t>
  </si>
  <si>
    <t>Tate, Ricky</t>
  </si>
  <si>
    <t>Owensby, John</t>
  </si>
  <si>
    <t>Spangler, Shelby</t>
  </si>
  <si>
    <t>Patel, Pare</t>
  </si>
  <si>
    <t>Looney, Emilee</t>
  </si>
  <si>
    <t>Robin, Dennison</t>
  </si>
  <si>
    <t>Stonner, Jane</t>
  </si>
  <si>
    <t>Walker, Lindsi</t>
  </si>
  <si>
    <t>Johnson, Tawanda</t>
  </si>
  <si>
    <t>Tartera, Lindsey</t>
  </si>
  <si>
    <t>Douglas, Tamera</t>
  </si>
  <si>
    <t>Jordan,Donovan</t>
  </si>
  <si>
    <t>Wilburn, Hannah</t>
  </si>
  <si>
    <t>Dut M Dut</t>
  </si>
  <si>
    <t>Michael D Redden</t>
  </si>
  <si>
    <t>Boyd, April M</t>
  </si>
  <si>
    <t>Magtoto, Romana</t>
  </si>
  <si>
    <t>Roberts, Cherri</t>
  </si>
  <si>
    <t>Evans, Deborah</t>
  </si>
  <si>
    <t>Caudill, Julia</t>
  </si>
  <si>
    <t>Seth O Mobley</t>
  </si>
  <si>
    <t>Kraus, Carla</t>
  </si>
  <si>
    <t>Amy L Vaughn</t>
  </si>
  <si>
    <t>Katelyn D Warren</t>
  </si>
  <si>
    <t>Brady, Mary</t>
  </si>
  <si>
    <t>Dotson, Kelley</t>
  </si>
  <si>
    <t>Ruth S Clemmons</t>
  </si>
  <si>
    <t>Lytle, Meagan M</t>
  </si>
  <si>
    <t>Hennelly, Marie</t>
  </si>
  <si>
    <t>Ashley, Jennifer</t>
  </si>
  <si>
    <t>Reed, Clifton</t>
  </si>
  <si>
    <t>Fry, Jonnie</t>
  </si>
  <si>
    <t>Deborah, Wynn</t>
  </si>
  <si>
    <t>Erin Berry</t>
  </si>
  <si>
    <t>Rebekah L Young</t>
  </si>
  <si>
    <t>Byerley, Susan</t>
  </si>
  <si>
    <t>Bridget D Spillers</t>
  </si>
  <si>
    <t>Guthrey, Caleb</t>
  </si>
  <si>
    <t>Kim, Jordan</t>
  </si>
  <si>
    <t>Tompkins, Nancy</t>
  </si>
  <si>
    <t>Vinograd, Allison</t>
  </si>
  <si>
    <t>Smith, Kayla</t>
  </si>
  <si>
    <t>Peter J Drolet</t>
  </si>
  <si>
    <t>Cindy N Booth</t>
  </si>
  <si>
    <t>Michael K Clardy</t>
  </si>
  <si>
    <t>William, Barbara</t>
  </si>
  <si>
    <t>Aneshah D Washington</t>
  </si>
  <si>
    <t>Kasey B Stewart</t>
  </si>
  <si>
    <t>Snader, Brent</t>
  </si>
  <si>
    <t>Patterson, Bradley</t>
  </si>
  <si>
    <t>Davin S Thomas</t>
  </si>
  <si>
    <t>Kirsten L Cooney</t>
  </si>
  <si>
    <t>Hartz, Elizabeth</t>
  </si>
  <si>
    <t>Anne W Selby</t>
  </si>
  <si>
    <t>Lohman, Katherine</t>
  </si>
  <si>
    <t>Klepper, Charles</t>
  </si>
  <si>
    <t>Jeffreys, Chantil</t>
  </si>
  <si>
    <t>Lindsay, Tammy</t>
  </si>
  <si>
    <t>O'Howell, Kathy</t>
  </si>
  <si>
    <t>Bobelis, Alexa</t>
  </si>
  <si>
    <t>Allen, Rosemary</t>
  </si>
  <si>
    <t>Pipes, Megan</t>
  </si>
  <si>
    <t>Garde, Heather</t>
  </si>
  <si>
    <t>Keelee L Rowe</t>
  </si>
  <si>
    <t>Shawna</t>
  </si>
  <si>
    <t>Marcie E Schock</t>
  </si>
  <si>
    <t>Friedl, Amanda</t>
  </si>
  <si>
    <t>Andrea G Brech</t>
  </si>
  <si>
    <t>Byno, Lacutlass Sharn</t>
  </si>
  <si>
    <t>Heider, Allison</t>
  </si>
  <si>
    <t>Dybedock, Lawrence</t>
  </si>
  <si>
    <t>Seabolt, Natalie</t>
  </si>
  <si>
    <t>Crockett, Bridget</t>
  </si>
  <si>
    <t>Henderson-Lee, Margaret</t>
  </si>
  <si>
    <t>Brooks, Courtney</t>
  </si>
  <si>
    <t>Kinman, Erika</t>
  </si>
  <si>
    <t>Jenisa</t>
  </si>
  <si>
    <t>Crowe, Brandi</t>
  </si>
  <si>
    <t>Conner, Leslie</t>
  </si>
  <si>
    <t>Essner, Kimberly</t>
  </si>
  <si>
    <t>Norris, Marcus</t>
  </si>
  <si>
    <t>Williams, Wendy</t>
  </si>
  <si>
    <t>Reames, Karen</t>
  </si>
  <si>
    <t>Williams, Renee</t>
  </si>
  <si>
    <t>Holladay, Tracy</t>
  </si>
  <si>
    <t>Habkouk, Brandon</t>
  </si>
  <si>
    <t>Harkness, Amy</t>
  </si>
  <si>
    <t>Prince, Shelly</t>
  </si>
  <si>
    <t>Bohon, Joy</t>
  </si>
  <si>
    <t>Leigh A Shuck</t>
  </si>
  <si>
    <t>Abbygail M Bennett</t>
  </si>
  <si>
    <t>Gladden, Kaesha D.</t>
  </si>
  <si>
    <t>Uchenna C Egbosimba</t>
  </si>
  <si>
    <t>King, Sandy</t>
  </si>
  <si>
    <t>Hannah E Ray</t>
  </si>
  <si>
    <t>Elena M Savage</t>
  </si>
  <si>
    <t>Barnes, Jackie</t>
  </si>
  <si>
    <t>Silver, Danny</t>
  </si>
  <si>
    <t>Tillman, Mary</t>
  </si>
  <si>
    <t>Dixon, Telisha</t>
  </si>
  <si>
    <t>Taylor B Youngblood</t>
  </si>
  <si>
    <t>Pittman, Patrick</t>
  </si>
  <si>
    <t>Atkinson, Megan</t>
  </si>
  <si>
    <t>Adams, Virginia</t>
  </si>
  <si>
    <t>Emery, Taylour</t>
  </si>
  <si>
    <t>Church, Angela</t>
  </si>
  <si>
    <t>Simone</t>
  </si>
  <si>
    <t>Grant, Kyla</t>
  </si>
  <si>
    <t>Durham, Porscha</t>
  </si>
  <si>
    <t>Gorst, Paige M.</t>
  </si>
  <si>
    <t>Nasreen Amaanath</t>
  </si>
  <si>
    <t>Smith, Aaliyah</t>
  </si>
  <si>
    <t>Amanda J Ussery</t>
  </si>
  <si>
    <t>Anna M Chapdelaine</t>
  </si>
  <si>
    <t>Mary K Mccool</t>
  </si>
  <si>
    <t>Dallas, Michelle</t>
  </si>
  <si>
    <t>Kellie, Bishop</t>
  </si>
  <si>
    <t>Trawick, Marshall</t>
  </si>
  <si>
    <t>Cluck, Robert</t>
  </si>
  <si>
    <t>Dana,Gilber</t>
  </si>
  <si>
    <t>Brent, Marquissa</t>
  </si>
  <si>
    <t>Stapp, Julie</t>
  </si>
  <si>
    <t>Robert, Baker</t>
  </si>
  <si>
    <t>P039</t>
  </si>
  <si>
    <t>Primary Care – Pediatric</t>
  </si>
  <si>
    <t>Montague, Megan</t>
  </si>
  <si>
    <t>Swati A Johnson</t>
  </si>
  <si>
    <t>Sarah, Mcneill</t>
  </si>
  <si>
    <t>Lagarde, Gina</t>
  </si>
  <si>
    <t>Varisco Brian</t>
  </si>
  <si>
    <t>Casie M James</t>
  </si>
  <si>
    <t>Karen, Johal</t>
  </si>
  <si>
    <t>Levine, Joanne</t>
  </si>
  <si>
    <t>Harris, Atia</t>
  </si>
  <si>
    <t>Davis, Ashley</t>
  </si>
  <si>
    <t>Matthew Cook</t>
  </si>
  <si>
    <t>Obeid M Shafi</t>
  </si>
  <si>
    <t>Hammond, Catherine</t>
  </si>
  <si>
    <t>Bhavsar, Kruti</t>
  </si>
  <si>
    <t>Abdelmisseh, Michael</t>
  </si>
  <si>
    <t>Velasquez, Mireya</t>
  </si>
  <si>
    <t>Oscar H Nguyen</t>
  </si>
  <si>
    <t>Schaede, Caitlin</t>
  </si>
  <si>
    <t>Kisha</t>
  </si>
  <si>
    <t>Duffy, Caitlyn T</t>
  </si>
  <si>
    <t>Candice A Walters</t>
  </si>
  <si>
    <t>Kramer, Jennifer</t>
  </si>
  <si>
    <t>Pugh, Charles</t>
  </si>
  <si>
    <t>David T Beihl</t>
  </si>
  <si>
    <t>Oriaku A Kas Osoka</t>
  </si>
  <si>
    <t>Arthur, Ciji</t>
  </si>
  <si>
    <t>Osman, Kwabena</t>
  </si>
  <si>
    <t>Vicki L Rhodes</t>
  </si>
  <si>
    <t>Raymond L Dailey</t>
  </si>
  <si>
    <t>Maria A Serrano</t>
  </si>
  <si>
    <t>Ying Ouyang</t>
  </si>
  <si>
    <t>Irina Ten</t>
  </si>
  <si>
    <t>Clingenpeel, Rachel</t>
  </si>
  <si>
    <t>Beckel, Ron</t>
  </si>
  <si>
    <t>Bradley Leboeuf, Mary</t>
  </si>
  <si>
    <t>Payton, Stephanie</t>
  </si>
  <si>
    <t>Constantine, Theophilopoulos</t>
  </si>
  <si>
    <t>Salem, Omar</t>
  </si>
  <si>
    <t>Mimi B Muller</t>
  </si>
  <si>
    <t>Lynn</t>
  </si>
  <si>
    <t>Emily W Wilson</t>
  </si>
  <si>
    <t>Eckstein, William</t>
  </si>
  <si>
    <t>Jessica Smith</t>
  </si>
  <si>
    <t>Tadphale, Sachin</t>
  </si>
  <si>
    <t>Freeman, Bridget</t>
  </si>
  <si>
    <t>Hurlbut, Kimberly</t>
  </si>
  <si>
    <t>Safwan S Halabi</t>
  </si>
  <si>
    <t>Dubin, Patricia</t>
  </si>
  <si>
    <t>David Yanishevski</t>
  </si>
  <si>
    <t>Berkman, Amy</t>
  </si>
  <si>
    <t>Ramesh, Rahul</t>
  </si>
  <si>
    <t>Armstrong, Sarah</t>
  </si>
  <si>
    <t>Campbell, Douglas</t>
  </si>
  <si>
    <t>Bowden, Martha</t>
  </si>
  <si>
    <t>Moore, Simone</t>
  </si>
  <si>
    <t>Ying</t>
  </si>
  <si>
    <t>Rickard, Michelle</t>
  </si>
  <si>
    <t>Rodriguez, Jose</t>
  </si>
  <si>
    <t>Darden, Paul</t>
  </si>
  <si>
    <t>Matthew S Bradley</t>
  </si>
  <si>
    <t>Moellering, Christina</t>
  </si>
  <si>
    <t>Siddiqui, Ali</t>
  </si>
  <si>
    <t>Mikkelsen, Margit</t>
  </si>
  <si>
    <t>Nithya P Koka</t>
  </si>
  <si>
    <t>Hidinger, Jennifer</t>
  </si>
  <si>
    <t>P040</t>
  </si>
  <si>
    <t>Psychiatry</t>
  </si>
  <si>
    <t>Isaac, Shani</t>
  </si>
  <si>
    <t>Thomason, Fred</t>
  </si>
  <si>
    <t>Lalita H Perkins</t>
  </si>
  <si>
    <t>Swinton Jamison, Ayanna</t>
  </si>
  <si>
    <t>Brian, Quigley</t>
  </si>
  <si>
    <t>Dudley, Patricia</t>
  </si>
  <si>
    <t>Jason, Obermann</t>
  </si>
  <si>
    <t>Galinanes, Edgar</t>
  </si>
  <si>
    <t>Leslie J Potter</t>
  </si>
  <si>
    <t>Nwedo, Sylvester</t>
  </si>
  <si>
    <t>Price, Haven</t>
  </si>
  <si>
    <t>Onomeasike, Ataga</t>
  </si>
  <si>
    <t>Mcfadden, Isaac</t>
  </si>
  <si>
    <t>Ahmed, Ghazala</t>
  </si>
  <si>
    <t>Stelmach, Hans</t>
  </si>
  <si>
    <t>Alam, Saima</t>
  </si>
  <si>
    <t>Sarah L Stone</t>
  </si>
  <si>
    <t>Arora, Siddharth</t>
  </si>
  <si>
    <t>Ohayagha, Kelechi</t>
  </si>
  <si>
    <t>Davis, Lauren</t>
  </si>
  <si>
    <t>Jedd J Audry</t>
  </si>
  <si>
    <t>Todd, Danielle</t>
  </si>
  <si>
    <t>Neza F Bharucha</t>
  </si>
  <si>
    <t>Powell, Steven</t>
  </si>
  <si>
    <t>Isherwood, Philip</t>
  </si>
  <si>
    <t>Barbara H Center</t>
  </si>
  <si>
    <t>Oelschlager, Jean</t>
  </si>
  <si>
    <t>Turner, Kevin</t>
  </si>
  <si>
    <t>Medical Doctor</t>
  </si>
  <si>
    <t>Crafton, Clifford</t>
  </si>
  <si>
    <t>D Cruz, Paul</t>
  </si>
  <si>
    <t>Ashraf, Sunbal</t>
  </si>
  <si>
    <t>Varner, Ferrell</t>
  </si>
  <si>
    <t>Northrup, George</t>
  </si>
  <si>
    <t>Agarwal, Pratibha</t>
  </si>
  <si>
    <t>Howard, Brian</t>
  </si>
  <si>
    <t>Angelica, Palting</t>
  </si>
  <si>
    <t>Gewarges, Paula</t>
  </si>
  <si>
    <t>Reed, Hannah</t>
  </si>
  <si>
    <t>Kiley A Jones</t>
  </si>
  <si>
    <t>Searcy, Mary</t>
  </si>
  <si>
    <t>Elena Ivanova</t>
  </si>
  <si>
    <t>Broadway, Eric</t>
  </si>
  <si>
    <t>Mcgaugh, Janette</t>
  </si>
  <si>
    <t>Makwana, Mayur</t>
  </si>
  <si>
    <t>Cowan, Ronald</t>
  </si>
  <si>
    <t>P041</t>
  </si>
  <si>
    <t>Pulmonology</t>
  </si>
  <si>
    <t>Evans, Jeffrey</t>
  </si>
  <si>
    <t>Habtegebriel, Yordanos</t>
  </si>
  <si>
    <t>Snigdha R Yeramareddy</t>
  </si>
  <si>
    <t>Cox, Michael</t>
  </si>
  <si>
    <t>Fox, Clement</t>
  </si>
  <si>
    <t>Mogri, Idrees</t>
  </si>
  <si>
    <t>Langlois, Kevin</t>
  </si>
  <si>
    <t>Simpson, Sterling</t>
  </si>
  <si>
    <t>Shanawani, Hasan</t>
  </si>
  <si>
    <t>Tarigopula, Ravali</t>
  </si>
  <si>
    <t>Malik, Ahmar</t>
  </si>
  <si>
    <t>Abouhouli, Hassan</t>
  </si>
  <si>
    <t>Rickman, Robert</t>
  </si>
  <si>
    <t>Jennifer S Guimbellot</t>
  </si>
  <si>
    <t>Bergen, Brent</t>
  </si>
  <si>
    <t>Mittadodla, Penchala</t>
  </si>
  <si>
    <t>Ferraro, Ashley</t>
  </si>
  <si>
    <t>Laura, Barber</t>
  </si>
  <si>
    <t>P042</t>
  </si>
  <si>
    <t>Rheumatology</t>
  </si>
  <si>
    <t>Anthony C Dolomisiewicz</t>
  </si>
  <si>
    <t>Ortmann, Robert</t>
  </si>
  <si>
    <t>Menon, Yamini</t>
  </si>
  <si>
    <t>Nagam, Nivedita</t>
  </si>
  <si>
    <t>Samir R Dalvi</t>
  </si>
  <si>
    <t>Steffi, Thomas</t>
  </si>
  <si>
    <t>P043</t>
  </si>
  <si>
    <t>Speech Therapy</t>
  </si>
  <si>
    <t>Sanford, Carlene</t>
  </si>
  <si>
    <t>Reeves, Marla</t>
  </si>
  <si>
    <t>Dickson, Laura</t>
  </si>
  <si>
    <t>Hill, Kay</t>
  </si>
  <si>
    <t>Foy, Jodie</t>
  </si>
  <si>
    <t>Dixon, Lauren</t>
  </si>
  <si>
    <t>Lorenn</t>
  </si>
  <si>
    <t>Savannah Mccarthy</t>
  </si>
  <si>
    <t>Nixon, Ashley</t>
  </si>
  <si>
    <t>Walker, Jessica</t>
  </si>
  <si>
    <t>Clemons, Hannah</t>
  </si>
  <si>
    <t>Jazmine</t>
  </si>
  <si>
    <t>Bailey, Norton</t>
  </si>
  <si>
    <t>Speed, Sylena</t>
  </si>
  <si>
    <t>Koehler, Ramona</t>
  </si>
  <si>
    <t>Price, Kala</t>
  </si>
  <si>
    <t>Beauchamp, Amanda</t>
  </si>
  <si>
    <t>Cochran, Kathryn</t>
  </si>
  <si>
    <t>Wheeler, Courtney</t>
  </si>
  <si>
    <t>Gabrielle, Pennington</t>
  </si>
  <si>
    <t>Reygan Downey</t>
  </si>
  <si>
    <t>Prescott, Lisa</t>
  </si>
  <si>
    <t>Decavitch, Katie</t>
  </si>
  <si>
    <t>Boyer, Bridget</t>
  </si>
  <si>
    <t>Stewart, Kristen</t>
  </si>
  <si>
    <t>Street, Claire</t>
  </si>
  <si>
    <t>Rolfe, Kimberly</t>
  </si>
  <si>
    <t>Davis, Andria</t>
  </si>
  <si>
    <t>Mary E Gilmore</t>
  </si>
  <si>
    <t>Bossert, Laura</t>
  </si>
  <si>
    <t>Griswold, Sydney</t>
  </si>
  <si>
    <t>Butler, Lori</t>
  </si>
  <si>
    <t>Heberer, Paula</t>
  </si>
  <si>
    <t>Cloud, Aimee</t>
  </si>
  <si>
    <t>Webster, Jennifer</t>
  </si>
  <si>
    <t>Lovhoiden, Lindsey</t>
  </si>
  <si>
    <t>Eryn</t>
  </si>
  <si>
    <t>Jennifer Porter</t>
  </si>
  <si>
    <t>Robert H Hudson</t>
  </si>
  <si>
    <t>Murray, Lura</t>
  </si>
  <si>
    <t>Reynolds, Radiah</t>
  </si>
  <si>
    <t>Janowicz, Carol</t>
  </si>
  <si>
    <t>Julie, Jackson-Morris</t>
  </si>
  <si>
    <t>Conn, Jennifer</t>
  </si>
  <si>
    <t>Morris, Julie</t>
  </si>
  <si>
    <t>Logan, Caroline</t>
  </si>
  <si>
    <t>Lamberson, Micha</t>
  </si>
  <si>
    <t>Sandidge, John</t>
  </si>
  <si>
    <t>Owen, Krystle</t>
  </si>
  <si>
    <t>Brumley, Jennifer</t>
  </si>
  <si>
    <t>Sarah P Willhite</t>
  </si>
  <si>
    <t>Owens, Hannah</t>
  </si>
  <si>
    <t>Branscum, Cheryl</t>
  </si>
  <si>
    <t>Gruchalski, Rhonda</t>
  </si>
  <si>
    <t>Tricia</t>
  </si>
  <si>
    <t>Hall, Sarah</t>
  </si>
  <si>
    <t>Thurmon, Kelli</t>
  </si>
  <si>
    <t>Mitchell, Margaret</t>
  </si>
  <si>
    <t>Chambers, Emily</t>
  </si>
  <si>
    <t>Cruson, Riley</t>
  </si>
  <si>
    <t>Autumn, Courtney</t>
  </si>
  <si>
    <t>Britani</t>
  </si>
  <si>
    <t>Hawkins, Bridget S.</t>
  </si>
  <si>
    <t>Gorder, Katherine</t>
  </si>
  <si>
    <t>Araujo, Jennifer</t>
  </si>
  <si>
    <t>Brenaman, Lauren</t>
  </si>
  <si>
    <t>Martin, Bradley</t>
  </si>
  <si>
    <t>Cane, Megie</t>
  </si>
  <si>
    <t>Payton Brazeal</t>
  </si>
  <si>
    <t>Autumn Speaight</t>
  </si>
  <si>
    <t>Williamson, Reeda</t>
  </si>
  <si>
    <t>Crow, Caroline</t>
  </si>
  <si>
    <t>Pogue, Audra</t>
  </si>
  <si>
    <t>Richmond, Donna</t>
  </si>
  <si>
    <t>Simpson, Joy</t>
  </si>
  <si>
    <t>Conley, Heather</t>
  </si>
  <si>
    <t>Cravens, Casey</t>
  </si>
  <si>
    <t>Alexis N Weber</t>
  </si>
  <si>
    <t>Rachel Kindhart</t>
  </si>
  <si>
    <t>Davis, Lori</t>
  </si>
  <si>
    <t>Adams, Kayla</t>
  </si>
  <si>
    <t>Tabatha Taylor</t>
  </si>
  <si>
    <t>Christine</t>
  </si>
  <si>
    <t>Walker, Tracy</t>
  </si>
  <si>
    <t>Ladmirault, Jennifer</t>
  </si>
  <si>
    <t>Emily, Gardner</t>
  </si>
  <si>
    <t>Molly Williams</t>
  </si>
  <si>
    <t>Simpson, Stephanie</t>
  </si>
  <si>
    <t>Reithemeyer, Whitlee S.</t>
  </si>
  <si>
    <t>Lacy Schulz</t>
  </si>
  <si>
    <t>Brown, Kristy</t>
  </si>
  <si>
    <t>Von Ohlen, Brenda</t>
  </si>
  <si>
    <t>Lopez, Jennifer</t>
  </si>
  <si>
    <t>Mynatt, Taylor</t>
  </si>
  <si>
    <t>Huckabay, Savannah</t>
  </si>
  <si>
    <t>Campbell, Sandra L.</t>
  </si>
  <si>
    <t>Monroe, Katrinia</t>
  </si>
  <si>
    <t>Burgess, Amanda</t>
  </si>
  <si>
    <t>Birdwell, Kasie</t>
  </si>
  <si>
    <t>Mccook, Mitzi</t>
  </si>
  <si>
    <t>Howard, Alicia</t>
  </si>
  <si>
    <t>Barnes, Amber D.</t>
  </si>
  <si>
    <t>Leonard, Bonnie</t>
  </si>
  <si>
    <t>Sparks, Jerri</t>
  </si>
  <si>
    <t>Poole, Sarah</t>
  </si>
  <si>
    <t>Hollingsworth, Kaina</t>
  </si>
  <si>
    <t>Towery, Karen</t>
  </si>
  <si>
    <t>Lobuono, Desiree</t>
  </si>
  <si>
    <t>Jennifer Lacomfora</t>
  </si>
  <si>
    <t>Brenna A Hornbuckle</t>
  </si>
  <si>
    <t>Mikah, Arizpe</t>
  </si>
  <si>
    <t>Avery, Kaytlin</t>
  </si>
  <si>
    <t>Forrest, Marian</t>
  </si>
  <si>
    <t>Jasmine K Goode</t>
  </si>
  <si>
    <t>Destiny Newbold</t>
  </si>
  <si>
    <t>Moore, Casey</t>
  </si>
  <si>
    <t>Mays, Dione</t>
  </si>
  <si>
    <t>Royal-Evans, Caroline</t>
  </si>
  <si>
    <t>Gough, Mary</t>
  </si>
  <si>
    <t>Alexys</t>
  </si>
  <si>
    <t>Emily, Ernsbarger</t>
  </si>
  <si>
    <t>Clark, Bethany</t>
  </si>
  <si>
    <t>Sihvonen, Kasey</t>
  </si>
  <si>
    <t>Myrick, Brooke</t>
  </si>
  <si>
    <t>Baxter, Laura</t>
  </si>
  <si>
    <t>Duncan, Lori</t>
  </si>
  <si>
    <t>Blohm, Emily</t>
  </si>
  <si>
    <t>Johnston, Dustin</t>
  </si>
  <si>
    <t>Namtip</t>
  </si>
  <si>
    <t>Mayberry, Tabitha</t>
  </si>
  <si>
    <t>Helms, Kathryn</t>
  </si>
  <si>
    <t>Magee</t>
  </si>
  <si>
    <t>Victoria J Mcduffie</t>
  </si>
  <si>
    <t>Alyse</t>
  </si>
  <si>
    <t>Sale Robbins, Teri</t>
  </si>
  <si>
    <t>Alred, Brenda</t>
  </si>
  <si>
    <t>Shepherd, Carrie</t>
  </si>
  <si>
    <t>Handwork, Jada</t>
  </si>
  <si>
    <t>Dougherty, Erika</t>
  </si>
  <si>
    <t>Carla Young</t>
  </si>
  <si>
    <t>Bo, Triplett</t>
  </si>
  <si>
    <t>Tamra Washington</t>
  </si>
  <si>
    <t>Allie Tarnowsky</t>
  </si>
  <si>
    <t>Fink, Cheri</t>
  </si>
  <si>
    <t>Reed, Glendy</t>
  </si>
  <si>
    <t>Walker, Felicia</t>
  </si>
  <si>
    <t>Kathryn Webb</t>
  </si>
  <si>
    <t>Stephanie, Oliver</t>
  </si>
  <si>
    <t>Sherry L Doyle</t>
  </si>
  <si>
    <t>Barrett, Leonora</t>
  </si>
  <si>
    <t>Henry, Laura</t>
  </si>
  <si>
    <t>Merrill, Jo Claire</t>
  </si>
  <si>
    <t>Villines, Cathryn</t>
  </si>
  <si>
    <t>Wilkins, Sydnie</t>
  </si>
  <si>
    <t>Campbell, Hope</t>
  </si>
  <si>
    <t>Perkins, April</t>
  </si>
  <si>
    <t>Crowder, Alesha</t>
  </si>
  <si>
    <t>Shaylie</t>
  </si>
  <si>
    <t>Smith, Amie</t>
  </si>
  <si>
    <t>King, Anna</t>
  </si>
  <si>
    <t>Cannon, Rachel</t>
  </si>
  <si>
    <t>Center, Lynn</t>
  </si>
  <si>
    <t>Mccammon, Christi</t>
  </si>
  <si>
    <t>Noland, Maureen</t>
  </si>
  <si>
    <t>Lock, Karen</t>
  </si>
  <si>
    <t>Barnhill, Sarah</t>
  </si>
  <si>
    <t>Lovelace, Morgan</t>
  </si>
  <si>
    <t>Olivia, Taylor</t>
  </si>
  <si>
    <t>Tracy, Kammerer</t>
  </si>
  <si>
    <t>Katlin Hardin</t>
  </si>
  <si>
    <t>Baleigh Boling</t>
  </si>
  <si>
    <t>Catt, Merrill</t>
  </si>
  <si>
    <t>Woods, Laura</t>
  </si>
  <si>
    <t>Allison, Craig</t>
  </si>
  <si>
    <t>Branscum, Kristy</t>
  </si>
  <si>
    <t>Arthur, Nicole</t>
  </si>
  <si>
    <t>Julia Rollans</t>
  </si>
  <si>
    <t>Haylee</t>
  </si>
  <si>
    <t>Raycher, Holly</t>
  </si>
  <si>
    <t>Hanson, Karen</t>
  </si>
  <si>
    <t>Stephanie D Wesson Sharp</t>
  </si>
  <si>
    <t>Audrey Mortenson</t>
  </si>
  <si>
    <t>Natalie, Reese</t>
  </si>
  <si>
    <t>Brandi, Duncan</t>
  </si>
  <si>
    <t>Corzine, Carma</t>
  </si>
  <si>
    <t>Allison Croom</t>
  </si>
  <si>
    <t>West, Christina</t>
  </si>
  <si>
    <t>Megan M Mercanti</t>
  </si>
  <si>
    <t>Boxell, Karianne</t>
  </si>
  <si>
    <t>Jones, Lori</t>
  </si>
  <si>
    <t>Jenkins, Kimara</t>
  </si>
  <si>
    <t>Buchanan, Victoria</t>
  </si>
  <si>
    <t>Spychalski, Ryan</t>
  </si>
  <si>
    <t>Ashley, Pyeatt</t>
  </si>
  <si>
    <t>Abbey, Rankin</t>
  </si>
  <si>
    <t>Norman Guyton</t>
  </si>
  <si>
    <t>Spears, Laura</t>
  </si>
  <si>
    <t>Moriarty, Melissa</t>
  </si>
  <si>
    <t>Masters, Janis</t>
  </si>
  <si>
    <t>Martin, Helen</t>
  </si>
  <si>
    <t>Carter, Erin</t>
  </si>
  <si>
    <t>Glaze, Megan</t>
  </si>
  <si>
    <t>Ward, Sarah</t>
  </si>
  <si>
    <t>Milam, Alexa</t>
  </si>
  <si>
    <t>Leaanna Sanders</t>
  </si>
  <si>
    <t>Welch, Danni</t>
  </si>
  <si>
    <t>Guffey, Lori</t>
  </si>
  <si>
    <t>Claire</t>
  </si>
  <si>
    <t>Williamson, Presleigh</t>
  </si>
  <si>
    <t>Griffin, Jennifer</t>
  </si>
  <si>
    <t>Williams, Shavonica</t>
  </si>
  <si>
    <t>Brecken Owens</t>
  </si>
  <si>
    <t>Caldwell, Diana</t>
  </si>
  <si>
    <t>Wyatt, Keri</t>
  </si>
  <si>
    <t>Chipman, Brooke</t>
  </si>
  <si>
    <t>Lentz, Jordan</t>
  </si>
  <si>
    <t>Clark, Erin</t>
  </si>
  <si>
    <t>Wittenburg, Amy</t>
  </si>
  <si>
    <t>Slough, Nicole</t>
  </si>
  <si>
    <t>Brooklyn</t>
  </si>
  <si>
    <t>Marshall, Whitney</t>
  </si>
  <si>
    <t>Vest, Bonnie</t>
  </si>
  <si>
    <t>Baugh, Jillian</t>
  </si>
  <si>
    <t>Jones, Alice</t>
  </si>
  <si>
    <t>Ashley V Bishop</t>
  </si>
  <si>
    <t>Haley, Richards</t>
  </si>
  <si>
    <t>Seyler, Kristy</t>
  </si>
  <si>
    <t>Brakebill, Erin</t>
  </si>
  <si>
    <t>Herring, Haley</t>
  </si>
  <si>
    <t>Cross, Sloan</t>
  </si>
  <si>
    <t>Hamilton, Joan</t>
  </si>
  <si>
    <t>Meyer, Kristy</t>
  </si>
  <si>
    <t>Carter, Samantha</t>
  </si>
  <si>
    <t>Fisher, Brooke</t>
  </si>
  <si>
    <t>Thomas, Alison</t>
  </si>
  <si>
    <t>Amanda Green</t>
  </si>
  <si>
    <t>Collins, Ryann</t>
  </si>
  <si>
    <t>Taylor N Meador</t>
  </si>
  <si>
    <t>Anna, Sims</t>
  </si>
  <si>
    <t>Jameson, Lauren</t>
  </si>
  <si>
    <t>Hansen, Casey</t>
  </si>
  <si>
    <t>Ketcher, Caitlin</t>
  </si>
  <si>
    <t>Kayla Bassett</t>
  </si>
  <si>
    <t>Hambuchen, Michael</t>
  </si>
  <si>
    <t>Jennifer, Morin</t>
  </si>
  <si>
    <t>Stillwell, Denita</t>
  </si>
  <si>
    <t>Baker, Meagan</t>
  </si>
  <si>
    <t>Johnson, Deborah</t>
  </si>
  <si>
    <t>Barber, Kristen</t>
  </si>
  <si>
    <t>Frierott, Theresa</t>
  </si>
  <si>
    <t>Emily, Junkans</t>
  </si>
  <si>
    <t>Stewman Hayes, Stacy</t>
  </si>
  <si>
    <t>Gregson, Jana</t>
  </si>
  <si>
    <t>Mclarty, Kaleb</t>
  </si>
  <si>
    <t>Christi Sanchez</t>
  </si>
  <si>
    <t>Morse, Rachel</t>
  </si>
  <si>
    <t>Tuell, Samantha</t>
  </si>
  <si>
    <t>Leigh, Kathryn</t>
  </si>
  <si>
    <t>Turner, Mallory</t>
  </si>
  <si>
    <t>Griffin, Elizabeth</t>
  </si>
  <si>
    <t>Austin, Kylie</t>
  </si>
  <si>
    <t>Walker, Randi</t>
  </si>
  <si>
    <t>Coleman, Sara</t>
  </si>
  <si>
    <t>Hust, Chelsey</t>
  </si>
  <si>
    <t>Galloway, Danielle</t>
  </si>
  <si>
    <t>Mckenzie Heslep</t>
  </si>
  <si>
    <t>Bels, Maarten</t>
  </si>
  <si>
    <t>Knight, Laura</t>
  </si>
  <si>
    <t>Bridget Miller</t>
  </si>
  <si>
    <t>Reeves, Sheri</t>
  </si>
  <si>
    <t>Arnold, Bryan</t>
  </si>
  <si>
    <t>Kelly M Reddin</t>
  </si>
  <si>
    <t>Watts, Cassandra</t>
  </si>
  <si>
    <t>Morse, Colby</t>
  </si>
  <si>
    <t>Chelsey Greetan</t>
  </si>
  <si>
    <t>Woodson, Sharon</t>
  </si>
  <si>
    <t>Dockery, Nancy</t>
  </si>
  <si>
    <t>Bingham, Bailey</t>
  </si>
  <si>
    <t>Taylor, Haley</t>
  </si>
  <si>
    <t>Abby, Tibbs</t>
  </si>
  <si>
    <t>Foley, Jana</t>
  </si>
  <si>
    <t>Holmes, Vanessa</t>
  </si>
  <si>
    <t>James, Sarah</t>
  </si>
  <si>
    <t>Silva, Amber</t>
  </si>
  <si>
    <t>Graf, Barry</t>
  </si>
  <si>
    <t>Linton, Kristin</t>
  </si>
  <si>
    <t>Zuber, Sara</t>
  </si>
  <si>
    <t>Terry, Emily</t>
  </si>
  <si>
    <t>Taha, Susanna</t>
  </si>
  <si>
    <t>Chelsea J Gibson</t>
  </si>
  <si>
    <t>Winters, Darlene</t>
  </si>
  <si>
    <t>Mckinney, Tara</t>
  </si>
  <si>
    <t>Connie</t>
  </si>
  <si>
    <t>Robertson, Meggie</t>
  </si>
  <si>
    <t>Sarita</t>
  </si>
  <si>
    <t>Clay, Abby D.</t>
  </si>
  <si>
    <t>James, Noelia</t>
  </si>
  <si>
    <t>Wood, Mikayla</t>
  </si>
  <si>
    <t>Cortes, Yareli</t>
  </si>
  <si>
    <t>Frelin, Catherine</t>
  </si>
  <si>
    <t>Calhoon, Jenifer</t>
  </si>
  <si>
    <t>Rowe, Kelsey</t>
  </si>
  <si>
    <t>Emily A Bennett</t>
  </si>
  <si>
    <t>Simpson, Shannon</t>
  </si>
  <si>
    <t>Gina C Johnson</t>
  </si>
  <si>
    <t>Bryant, Leslie</t>
  </si>
  <si>
    <t>Howard, Stacy</t>
  </si>
  <si>
    <t>Graves, Jennifer</t>
  </si>
  <si>
    <t>Ashford, Kallison</t>
  </si>
  <si>
    <t>Breckling, Emily</t>
  </si>
  <si>
    <t>Allen, Alexis</t>
  </si>
  <si>
    <t>Rebecca, Condie</t>
  </si>
  <si>
    <t>Fadley, Ruth</t>
  </si>
  <si>
    <t>Sallee, Carrie</t>
  </si>
  <si>
    <t>Walker, Sarah</t>
  </si>
  <si>
    <t>Elizabeth, Hinson</t>
  </si>
  <si>
    <t>Ruscoe, Mary</t>
  </si>
  <si>
    <t>Doore, Elizabeth</t>
  </si>
  <si>
    <t>Abigail B Catton</t>
  </si>
  <si>
    <t>Call, Tara</t>
  </si>
  <si>
    <t>Kauffman, Melanie</t>
  </si>
  <si>
    <t>Mayo, Kelli</t>
  </si>
  <si>
    <t>Walton, Leigh</t>
  </si>
  <si>
    <t>Bainbridge, Elizabeth</t>
  </si>
  <si>
    <t>Sharon Jones</t>
  </si>
  <si>
    <t>Winters, Kathleen</t>
  </si>
  <si>
    <t>Fletcher, Ashley</t>
  </si>
  <si>
    <t>Mcguire, Abigail</t>
  </si>
  <si>
    <t>Stephanie Sims</t>
  </si>
  <si>
    <t>Gastineau, Faith</t>
  </si>
  <si>
    <t>Henley</t>
  </si>
  <si>
    <t>Beck Fuller, Teresa</t>
  </si>
  <si>
    <t>Robinson, Candice</t>
  </si>
  <si>
    <t>Tull, Angela</t>
  </si>
  <si>
    <t>Motley, Kirsten</t>
  </si>
  <si>
    <t>Biard, Emily</t>
  </si>
  <si>
    <t>Phelan, Kimberly</t>
  </si>
  <si>
    <t>Tammy Harder</t>
  </si>
  <si>
    <t>Thompson, Caylin</t>
  </si>
  <si>
    <t>Shelby Bourgeois Lake</t>
  </si>
  <si>
    <t>Skidmore, Kelly</t>
  </si>
  <si>
    <t>Katie Richmond</t>
  </si>
  <si>
    <t>Ayme Vaden</t>
  </si>
  <si>
    <t>Marcotte, Whitney</t>
  </si>
  <si>
    <t>Kleck, Sarah</t>
  </si>
  <si>
    <t>Stanton, Erin</t>
  </si>
  <si>
    <t>Mason, Natalie</t>
  </si>
  <si>
    <t>Mooney, Natalie</t>
  </si>
  <si>
    <t>Rice, Jalesha</t>
  </si>
  <si>
    <t>Thao, Mecee</t>
  </si>
  <si>
    <t>Morgan, Blair</t>
  </si>
  <si>
    <t>Jenna E Hodges</t>
  </si>
  <si>
    <t>Carrie Jo Harville</t>
  </si>
  <si>
    <t>Brewer, Elizabeth</t>
  </si>
  <si>
    <t>Mcdaniel, Crystal</t>
  </si>
  <si>
    <t>Cady, Lindsey</t>
  </si>
  <si>
    <t>Mangrum, Heather</t>
  </si>
  <si>
    <t>Kennedy B Faulkenberry</t>
  </si>
  <si>
    <t>Kayle</t>
  </si>
  <si>
    <t>Yung, Edythe</t>
  </si>
  <si>
    <t>Bodemann, Margaret</t>
  </si>
  <si>
    <t>Torres, Rebecca</t>
  </si>
  <si>
    <t>Lunsford, Charlotte</t>
  </si>
  <si>
    <t>Hickam, Sarah</t>
  </si>
  <si>
    <t>Quinn, Frances</t>
  </si>
  <si>
    <t>Leona, Colson</t>
  </si>
  <si>
    <t>Balderson, Jessica</t>
  </si>
  <si>
    <t>Ashley, Corban</t>
  </si>
  <si>
    <t>Graves, Terri</t>
  </si>
  <si>
    <t>Swindoll</t>
  </si>
  <si>
    <t>Learned, Savannah</t>
  </si>
  <si>
    <t>Laster, Joni</t>
  </si>
  <si>
    <t>Marsden, Elizabeth</t>
  </si>
  <si>
    <t>Paige A Mccord</t>
  </si>
  <si>
    <t>Sandra A Mitchell</t>
  </si>
  <si>
    <t>Cooper, Lisa</t>
  </si>
  <si>
    <t>Chilcote, Mary</t>
  </si>
  <si>
    <t>Milholen, Sarah</t>
  </si>
  <si>
    <t>Fowkes, Janci</t>
  </si>
  <si>
    <t>Annie B George</t>
  </si>
  <si>
    <t>Brewer, Lori</t>
  </si>
  <si>
    <t>Hanson, Glenda</t>
  </si>
  <si>
    <t>Phillips, Misty</t>
  </si>
  <si>
    <t>Slomers, Evelyn</t>
  </si>
  <si>
    <t>Mccoy, Sydnee</t>
  </si>
  <si>
    <t>Audrey, Czirr</t>
  </si>
  <si>
    <t>Carr, Heather</t>
  </si>
  <si>
    <t>Lobdell, Lynsey</t>
  </si>
  <si>
    <t>Molly</t>
  </si>
  <si>
    <t>Jenna, Horton</t>
  </si>
  <si>
    <t>Berry, Milly</t>
  </si>
  <si>
    <t>Jones, Tiffany</t>
  </si>
  <si>
    <t>Hobgood, Karen</t>
  </si>
  <si>
    <t>Corbit, Lisa</t>
  </si>
  <si>
    <t>Hall, Meghan</t>
  </si>
  <si>
    <t>Wofford, Hope</t>
  </si>
  <si>
    <t>Shifra Nashofer</t>
  </si>
  <si>
    <t>Thompson, April</t>
  </si>
  <si>
    <t>Campbell, Haley</t>
  </si>
  <si>
    <t>Shock, Danielle</t>
  </si>
  <si>
    <t>Anna Strickland</t>
  </si>
  <si>
    <t>Compton, Jinna</t>
  </si>
  <si>
    <t>Britten Hays</t>
  </si>
  <si>
    <t>Maha</t>
  </si>
  <si>
    <t>Solomon, Cassie</t>
  </si>
  <si>
    <t>Howard, Heather</t>
  </si>
  <si>
    <t>Dearworth, Rebecca</t>
  </si>
  <si>
    <t>Agan, Joseph</t>
  </si>
  <si>
    <t>Scarpa, Amy</t>
  </si>
  <si>
    <t>Johnson, Crissa</t>
  </si>
  <si>
    <t>Sarah Thompson</t>
  </si>
  <si>
    <t>Roach, Suzanne</t>
  </si>
  <si>
    <t>Malone, Lori</t>
  </si>
  <si>
    <t>Rodgers, Kristin</t>
  </si>
  <si>
    <t>Jennifer L Hendon</t>
  </si>
  <si>
    <t>Scroggin, Brittany</t>
  </si>
  <si>
    <t>Turpen, Elizabeth</t>
  </si>
  <si>
    <t>Snyder, Faithe</t>
  </si>
  <si>
    <t>Massey, Autumn</t>
  </si>
  <si>
    <t>Brianne</t>
  </si>
  <si>
    <t>Bruce, Taylor</t>
  </si>
  <si>
    <t>Laura B Dixon</t>
  </si>
  <si>
    <t>Alexandra Fenwick</t>
  </si>
  <si>
    <t>Allen, Sarah</t>
  </si>
  <si>
    <t>Green, Jennifer</t>
  </si>
  <si>
    <t>Davis, Natasha</t>
  </si>
  <si>
    <t>Haigwood, Shelbey</t>
  </si>
  <si>
    <t>Lamb, Kourtney</t>
  </si>
  <si>
    <t>Kaley</t>
  </si>
  <si>
    <t>Mckisson, Madison</t>
  </si>
  <si>
    <t>Makayla Whiting</t>
  </si>
  <si>
    <t>Finnell, Kyndall</t>
  </si>
  <si>
    <t>Williams, Lindy</t>
  </si>
  <si>
    <t>Hill, Anna</t>
  </si>
  <si>
    <t>Watson, April</t>
  </si>
  <si>
    <t>Burks, Jeanne</t>
  </si>
  <si>
    <t>Wendel, Kristen</t>
  </si>
  <si>
    <t>Lauren Spilker</t>
  </si>
  <si>
    <t>Robbins, Ashton</t>
  </si>
  <si>
    <t>Kelly, Bingham</t>
  </si>
  <si>
    <t>Callahan, Allison</t>
  </si>
  <si>
    <t>Garner, Allison</t>
  </si>
  <si>
    <t>Samuel, Ashley</t>
  </si>
  <si>
    <t>Vanessa Kuykendall</t>
  </si>
  <si>
    <t>P044</t>
  </si>
  <si>
    <t>Urology</t>
  </si>
  <si>
    <t>Fairchild, William</t>
  </si>
  <si>
    <t>Aleksandar</t>
  </si>
  <si>
    <t>Heshmat, Samy</t>
  </si>
  <si>
    <t>Jackson, Stephen</t>
  </si>
  <si>
    <t>Mesrobian, Hrair-George</t>
  </si>
  <si>
    <t>Madduri, Sivaprasad</t>
  </si>
  <si>
    <t>Bhole, Rohini</t>
  </si>
  <si>
    <t>Chakrabarty, Amit</t>
  </si>
  <si>
    <t>Nikhil Gopal</t>
  </si>
  <si>
    <t>Steiner, Mitchell</t>
  </si>
  <si>
    <t>Trinca, Peter</t>
  </si>
  <si>
    <t>Douglas E Claybrook</t>
  </si>
  <si>
    <t>Ruthie</t>
  </si>
  <si>
    <t>P045</t>
  </si>
  <si>
    <t>Vascular Surgery</t>
  </si>
  <si>
    <t>Pratt, Babafemi</t>
  </si>
  <si>
    <t>Hall, Heather</t>
  </si>
  <si>
    <t>Gard, Scott</t>
  </si>
  <si>
    <t>Schunn, Christian</t>
  </si>
  <si>
    <t>F001</t>
  </si>
  <si>
    <t>Acute Inpatient Hospitals</t>
  </si>
  <si>
    <t>Ozarks Community Hospital Of Gravette</t>
  </si>
  <si>
    <t>Levi Hospital</t>
  </si>
  <si>
    <t>South Arkansas Regional Hospital Llc</t>
  </si>
  <si>
    <t>Integris Grove General Hospital</t>
  </si>
  <si>
    <t>North Sunflower Medical Center</t>
  </si>
  <si>
    <t>Unity Health Jacksonville</t>
  </si>
  <si>
    <t>Sevier County Medical Center</t>
  </si>
  <si>
    <t>Christus St Michael Health System</t>
  </si>
  <si>
    <t>Nw Ar Hosp Bentonville</t>
  </si>
  <si>
    <t>Baptist Memorial Hospital</t>
  </si>
  <si>
    <t>Piggott Community Hospital - Er</t>
  </si>
  <si>
    <t>Baptist Memorial Hospital Calhoun</t>
  </si>
  <si>
    <t>Chambers Memorial Hospital</t>
  </si>
  <si>
    <t>Baptist Health Medical Center Drew County</t>
  </si>
  <si>
    <t>F002</t>
  </si>
  <si>
    <t>Cardiac Catheterization Services</t>
  </si>
  <si>
    <t>Baptist Medical Center Little Rock - Psych Unit</t>
  </si>
  <si>
    <t>Arkansas Methodist Medical Center</t>
  </si>
  <si>
    <t>F003</t>
  </si>
  <si>
    <t>Cardiac Surgery Program</t>
  </si>
  <si>
    <t>F004</t>
  </si>
  <si>
    <t>Critical Care Services</t>
  </si>
  <si>
    <t>Spa City Pain Management</t>
  </si>
  <si>
    <t>Arkansas Children's Medical Group</t>
  </si>
  <si>
    <t>Mercy Clinic Joplin Llc</t>
  </si>
  <si>
    <t>Hni Medical Services At Glenwood, Llc</t>
  </si>
  <si>
    <t>Sheridan Children's Healthcare Services Of Tn Pc</t>
  </si>
  <si>
    <t>Springdale- Bentonville Hbp Services, Llc</t>
  </si>
  <si>
    <t>Jackson Clinic Professional Association</t>
  </si>
  <si>
    <t>F005</t>
  </si>
  <si>
    <t>Diagnostic Radiology</t>
  </si>
  <si>
    <t>Provider Group, Oxford Surgical Specialists Pllc</t>
  </si>
  <si>
    <t>Workman, James</t>
  </si>
  <si>
    <t>Jackson Radiology Associates, Pa</t>
  </si>
  <si>
    <t>Physicians For Breast Health Llc</t>
  </si>
  <si>
    <t>South Arkansas Open Mri Llc</t>
  </si>
  <si>
    <t>Poplar Avenue Clinic Pllc</t>
  </si>
  <si>
    <t>Desoto Imaging Specialists</t>
  </si>
  <si>
    <t>Interventional Pain Management Center</t>
  </si>
  <si>
    <t>Resort Radiology Pllc</t>
  </si>
  <si>
    <t>Arkansas Specialty Care Centers Ct Midtown</t>
  </si>
  <si>
    <t>Ferrell Duncan Clinic Branson</t>
  </si>
  <si>
    <t>Open Mri Of Conway</t>
  </si>
  <si>
    <t>Pad Specialists - Little Rock</t>
  </si>
  <si>
    <t>Mary Bird Perkins Cancer Center</t>
  </si>
  <si>
    <t>Utmg Pathology, Llc</t>
  </si>
  <si>
    <t>Usa Vein Clinics Of Tennessee Pllc</t>
  </si>
  <si>
    <t>Arkansas Radiology Group</t>
  </si>
  <si>
    <t>Diagnostic Imaging Associates, Inc.</t>
  </si>
  <si>
    <t>Veterans Administration Physicians</t>
  </si>
  <si>
    <t>Cape Radiology Group, Pc</t>
  </si>
  <si>
    <t>Paragon Imaging Llc</t>
  </si>
  <si>
    <t>Midsouth Integrative Medical, Inc.</t>
  </si>
  <si>
    <t>Brmc Medical Specialists</t>
  </si>
  <si>
    <t>Imaging Solutions Of Arkansas</t>
  </si>
  <si>
    <t>Memphis Radiological Pc Dba Diagnostic Imaging</t>
  </si>
  <si>
    <t>Memphis Radiological, P.C.</t>
  </si>
  <si>
    <t>Washington Regional Family Clinic - Fayetteville</t>
  </si>
  <si>
    <t>Mercy Health Center</t>
  </si>
  <si>
    <t>Cox Health Monett</t>
  </si>
  <si>
    <t>Delta Medical Group</t>
  </si>
  <si>
    <t>Morehouse General Hospital Hbp</t>
  </si>
  <si>
    <t>Hot Springs Mri Center</t>
  </si>
  <si>
    <t>Valley Diagnostics Inc</t>
  </si>
  <si>
    <t>Zenith Health And Aesthetics</t>
  </si>
  <si>
    <t>Chenal Mri, Llc</t>
  </si>
  <si>
    <t>Arkansas Open Mri</t>
  </si>
  <si>
    <t>Area Health Education Center</t>
  </si>
  <si>
    <t>Virtual Radiologic Professionals Llc</t>
  </si>
  <si>
    <t>Medical Associates Of Northwest Arkansas</t>
  </si>
  <si>
    <t>Bp Anesthesia, Pllc</t>
  </si>
  <si>
    <t>Baptist Health Imaging Center - Saline County</t>
  </si>
  <si>
    <t>Virtual Radiologic Professionals, Llc</t>
  </si>
  <si>
    <t>Professional Radiology Services</t>
  </si>
  <si>
    <t>Ar Bone Health Llc</t>
  </si>
  <si>
    <t>F006</t>
  </si>
  <si>
    <t>Inpatient or Residential Behavioral Health Facility Services</t>
  </si>
  <si>
    <t>Retreat At Sky Ridge Llc</t>
  </si>
  <si>
    <t>United Methodist Behavioral Health Systems Inc</t>
  </si>
  <si>
    <t>Rivendell Behavioral Health Services Of Arkansas</t>
  </si>
  <si>
    <t>Melanie Sterling &amp; Associates Llc</t>
  </si>
  <si>
    <t>Centers For Youth And Family</t>
  </si>
  <si>
    <t>Gateway Recovery Center</t>
  </si>
  <si>
    <t>Incura, Inc</t>
  </si>
  <si>
    <t>Adult And Teen Challenge Of Arkansas</t>
  </si>
  <si>
    <t>Bradford Health Services Tn</t>
  </si>
  <si>
    <t>Claiborne Addiction Recovery Center</t>
  </si>
  <si>
    <t>29 11 Healing And Recovery Ctr</t>
  </si>
  <si>
    <t>Mercy Rehabilitation Hospital Northwest Arkansas</t>
  </si>
  <si>
    <t>A Common Thread Support Services Inc</t>
  </si>
  <si>
    <t>Conway Behavioral Health</t>
  </si>
  <si>
    <t>Incura Of Little Rock, Pa</t>
  </si>
  <si>
    <t>Youth Villages, Inc</t>
  </si>
  <si>
    <t>Haven Detox Little Rock</t>
  </si>
  <si>
    <t>Bhg Corbin Treatment Center</t>
  </si>
  <si>
    <t>Chi St Vincent Hospital Hot Springs Psych Unit</t>
  </si>
  <si>
    <t>Milestone Community Development Center</t>
  </si>
  <si>
    <t>Recovery Centers Of Arkansas</t>
  </si>
  <si>
    <t>Bcd Hoover Treatment Center</t>
  </si>
  <si>
    <t>Grace Counseling Center</t>
  </si>
  <si>
    <t>Midsouth Health Searcy</t>
  </si>
  <si>
    <t>Vista Health Fort Smith Llc</t>
  </si>
  <si>
    <t>F007</t>
  </si>
  <si>
    <t>Mammography</t>
  </si>
  <si>
    <t>F008</t>
  </si>
  <si>
    <t>Outpatient Infusion/Chemotherapy</t>
  </si>
  <si>
    <t>Fountains Infusion Center</t>
  </si>
  <si>
    <t>Arkansas Cancer Clinic</t>
  </si>
  <si>
    <t>Proton International Arkansas, Llc</t>
  </si>
  <si>
    <t>Cancer Care Associates, Inc.</t>
  </si>
  <si>
    <t>Ivx Health Of Arkansas Inc</t>
  </si>
  <si>
    <t>Vital Care Of Little Rock</t>
  </si>
  <si>
    <t>Csi Pharmacy</t>
  </si>
  <si>
    <t>Trina Health Of North Sunflower</t>
  </si>
  <si>
    <t>Red River Pharmacy Of Little Rock Llc</t>
  </si>
  <si>
    <t>Integris Ambulatory Care, Inc.</t>
  </si>
  <si>
    <t>Arj Infusion Services</t>
  </si>
  <si>
    <t>Caremark Llc</t>
  </si>
  <si>
    <t>Sparks Clinic Cancer Center</t>
  </si>
  <si>
    <t>Samuel Lee Hughes</t>
  </si>
  <si>
    <t>Ms Clinic Of Arkansas, Llc</t>
  </si>
  <si>
    <t>Unity Health Newport Surgical</t>
  </si>
  <si>
    <t>Vital Care, Inc.</t>
  </si>
  <si>
    <t>F009</t>
  </si>
  <si>
    <t>Skilled Nursing Facilities</t>
  </si>
  <si>
    <t>Shepherd Of The Hills Living Center</t>
  </si>
  <si>
    <t>Twin Rivers Rehabilitation And Healthcare Center</t>
  </si>
  <si>
    <t>Oak Woods Home For The Elderly</t>
  </si>
  <si>
    <t>Harbor View Nursing And Rehabilitation Center Inc</t>
  </si>
  <si>
    <t>Springs Of Brinkley</t>
  </si>
  <si>
    <t>Springs Of Harrison</t>
  </si>
  <si>
    <t>Ridgeview Living Community</t>
  </si>
  <si>
    <t>North Street Operating Llc</t>
  </si>
  <si>
    <t>Americare At Cypress Point Nursing Center Llc</t>
  </si>
  <si>
    <t>Cassville Healthcare Llc Dba Cassville Health Center For  Rehab And Healthcare</t>
  </si>
  <si>
    <t>Pleasant Manor Nursing Home And Rehab</t>
  </si>
  <si>
    <t>Senatobia Healthcare And Rehab</t>
  </si>
  <si>
    <t>Ozark Mountain Regional Healthcare</t>
  </si>
  <si>
    <t>The Green House Cottages Of Northwest Arkansas</t>
  </si>
  <si>
    <t>Graceland Rehabilitation &amp; Nursing Care Center</t>
  </si>
  <si>
    <t>Howard Memorial Hospital Skilled Nursing Unit</t>
  </si>
  <si>
    <t>Baptist Health Med Ctr-Drew County Swing Bed Unit</t>
  </si>
  <si>
    <t>Cordova Wellness And Rehabilitation Center</t>
  </si>
  <si>
    <t>Majestic Gardens At Memphis Rehabilitation And Skilled Nursing Center</t>
  </si>
  <si>
    <t>Crowley Ridge Care Center</t>
  </si>
  <si>
    <t>Winnie Stowell Hospital District Dba The Villa At Texarkana2</t>
  </si>
  <si>
    <t>St. Andrews Healthcare</t>
  </si>
  <si>
    <t>The Springs Of Texarkana</t>
  </si>
  <si>
    <t>Springs Of Greers Ferry</t>
  </si>
  <si>
    <t>Mcdonald County Living Center</t>
  </si>
  <si>
    <t>Diversicare Of Southaven</t>
  </si>
  <si>
    <t>Magnolia Healthcare Llc</t>
  </si>
  <si>
    <t>Highlands Of Memphis Llc</t>
  </si>
  <si>
    <t>Pine Bluff Ar Opco Llc</t>
  </si>
  <si>
    <t>Lake Village Rehabilitation Care Center</t>
  </si>
  <si>
    <t>Mrc Cornerstone Retirement Community</t>
  </si>
  <si>
    <t>Valley Ranch Healthcare, Llc Dba The Springs Of Pinnacle Mountain</t>
  </si>
  <si>
    <t>Eden Care Center, Inc</t>
  </si>
  <si>
    <t>The Portopiccolo Group Llc</t>
  </si>
  <si>
    <t>F010</t>
  </si>
  <si>
    <t>Surgical Services</t>
  </si>
  <si>
    <t>Physicians Day Surgery Center</t>
  </si>
  <si>
    <t>Mays &amp; Schnapp Pain Clinic &amp; Rehabilitation Center</t>
  </si>
  <si>
    <t>Lhcg Clxii, Llc</t>
  </si>
  <si>
    <t>Interventional Surgery Institute</t>
  </si>
  <si>
    <t>Baker Ambulatory Surgery Center</t>
  </si>
  <si>
    <t>Endoscopy Center Of Arkansas</t>
  </si>
  <si>
    <t>Lebonheur East Surgery Center Ii Lp</t>
  </si>
  <si>
    <t>Fianna Hills Surgery Center Inc</t>
  </si>
  <si>
    <t>Midsouth Interventional Pain Institute</t>
  </si>
  <si>
    <t>Aoc Surgery Center Inc</t>
  </si>
  <si>
    <t>Louisiana Ent Associates, Llc</t>
  </si>
  <si>
    <t>Specialty Surgery Center</t>
  </si>
  <si>
    <t>Western Ar Plastic And Reconstruction Surgery Ctr</t>
  </si>
  <si>
    <t>Ouachita Procedure Center</t>
  </si>
  <si>
    <t>Hmh Physicians Group</t>
  </si>
  <si>
    <t>National Park Gi Service, Llc</t>
  </si>
  <si>
    <t>Gastro Intestinal Center</t>
  </si>
  <si>
    <t>Arkansas Surgery Center</t>
  </si>
  <si>
    <t>Duren Conseling Llc</t>
  </si>
  <si>
    <t>Delta Surgical Clinic</t>
  </si>
  <si>
    <t>Surgical Pavilion</t>
  </si>
  <si>
    <t>Conway Endoscopy Center</t>
  </si>
  <si>
    <t>Vascular And Vein Institute Of The South, Pllc</t>
  </si>
  <si>
    <t>Doctors Surgery Center Of Texarkana</t>
  </si>
  <si>
    <t>Jonesboro Ambulatory Surgery Center Llc</t>
  </si>
  <si>
    <t>Meca Laser And Surgery Center</t>
  </si>
  <si>
    <t>Bolivar Physician Practices Llc</t>
  </si>
  <si>
    <t>Ozark Surgical Group</t>
  </si>
  <si>
    <t>Hot Springs Ambulatory Surgery Center, Llc</t>
  </si>
  <si>
    <t>Little Rock Diagnostic Clinic Asc</t>
  </si>
  <si>
    <t>Direct Surgical Care Of Hot Springs, Pllc</t>
  </si>
  <si>
    <t>River Valley Medical Wellness Llc</t>
  </si>
  <si>
    <t>Pinnacle Surgery Center</t>
  </si>
  <si>
    <t>Endoscopy Center Of Little Rock Llc</t>
  </si>
  <si>
    <t>Little Rock Fertility Center</t>
  </si>
  <si>
    <t>Conway Outpatient Surgery Center</t>
  </si>
  <si>
    <t>Baptist Desoto Surgery Center</t>
  </si>
  <si>
    <t>Hill Medical Services Pllc</t>
  </si>
  <si>
    <t>Surgery Center At The Valley</t>
  </si>
  <si>
    <t>Northwest Surgical Specialists Inc.</t>
  </si>
  <si>
    <t>Conway Ambulatory Surgery Center Llc</t>
  </si>
  <si>
    <t>The Preop Center</t>
  </si>
  <si>
    <t>Fair Park Surgery Center</t>
  </si>
  <si>
    <t>Surgical Associates Of Benton, Llc.</t>
  </si>
  <si>
    <t>Triad Eye Medical Clinic And Cataract Institute</t>
  </si>
  <si>
    <t>North Internal Medicine, Pc</t>
  </si>
  <si>
    <t>Vein Specialists Of Arkansas</t>
  </si>
  <si>
    <t>Us Orthopedics Surgery Center</t>
  </si>
  <si>
    <t>Magnolia Surgical Clinic</t>
  </si>
  <si>
    <t>South Central Endoscopy Llc</t>
  </si>
  <si>
    <t>Freeway Surgery Center</t>
  </si>
  <si>
    <t>Executive Park Surgery Center Of Fort Smith Inc</t>
  </si>
  <si>
    <t>South Arkansas Surgery Center</t>
  </si>
  <si>
    <t>Central Ar Surgery Center</t>
  </si>
  <si>
    <t>Triad Surgery Center, Llc</t>
  </si>
  <si>
    <t>Surgery Center At The Reserve Pa Inc</t>
  </si>
  <si>
    <t>Cardiovascular Surgery Clinic, Pllc</t>
  </si>
  <si>
    <t>Little Rock Surgery Center</t>
  </si>
  <si>
    <t>Precision Surgery Center Llc</t>
  </si>
  <si>
    <t>Dyersburg Family Walk-In Clinic Inc.</t>
  </si>
  <si>
    <t>Acch Physicians Group Pllc</t>
  </si>
  <si>
    <t>Chess Medicine Pllc</t>
  </si>
  <si>
    <t>Campbell Surgery Center Llc</t>
  </si>
  <si>
    <t>East Memphis Surgery Center</t>
  </si>
  <si>
    <t>Northwest Ambulatory Surgery</t>
  </si>
  <si>
    <t>Outpatient Surgery Center Inc</t>
  </si>
  <si>
    <t>Urocenter</t>
  </si>
  <si>
    <t>Harrison Surgery Center Llc</t>
  </si>
  <si>
    <t>Square Eyecare Pllc, None</t>
  </si>
  <si>
    <t>Ortho Express Holding Company, Llc</t>
  </si>
  <si>
    <t>Brmc Heart Surgery</t>
  </si>
  <si>
    <t>Chicot Memorial Anesthesia Services</t>
  </si>
  <si>
    <t>Southern Pain And Regenerative Medicine Pc</t>
  </si>
  <si>
    <t>Texarkana Pain Surgery Center Llc</t>
  </si>
  <si>
    <t>Charles R. Andrews, M.D.</t>
  </si>
  <si>
    <t>Carti Surgery Center</t>
  </si>
  <si>
    <t>Advanced Cataract Surgery &amp; Laser Ctr</t>
  </si>
  <si>
    <t>Digestive Disease Center</t>
  </si>
  <si>
    <t>Washington Regional Family Clinic</t>
  </si>
  <si>
    <t>Medical Center Endoscopy Group</t>
  </si>
  <si>
    <t>Magnolia Regional Health System Inc.</t>
  </si>
  <si>
    <t>South Arkansas Surgery Center-Pine Bluff</t>
  </si>
  <si>
    <t>Family Medical Walk-In Clinic</t>
  </si>
  <si>
    <t>Mercy Clinic Convenient Care Berryville</t>
  </si>
  <si>
    <t>Northwest Family Care/Family Clinic</t>
  </si>
  <si>
    <t>Arkansas Heart Hospital Rural Health Services, Llc</t>
  </si>
  <si>
    <t>F011</t>
  </si>
  <si>
    <t>Urgent Care</t>
  </si>
  <si>
    <t>Access Medical Clinic Arkansas Llc</t>
  </si>
  <si>
    <t>Fast Pace Mississippi, Pllc</t>
  </si>
  <si>
    <t>Urgent Care Of Grand Lake Llc</t>
  </si>
  <si>
    <t>Methodist Minor Med - Cordova</t>
  </si>
  <si>
    <t>Piedmont Urgent Care By Wellstreet</t>
  </si>
  <si>
    <t>Gold Cross Family Clinic</t>
  </si>
  <si>
    <t>Tunica Medical Clinic</t>
  </si>
  <si>
    <t>Methodist Minor Med - Hacks Cross</t>
  </si>
  <si>
    <t>Mercy Health Northwest Arkansas</t>
  </si>
  <si>
    <t>All Care Clinic Inc</t>
  </si>
  <si>
    <t>River Valley Urgent Care</t>
  </si>
  <si>
    <t>Tunica Resorts Medical Clinic</t>
  </si>
  <si>
    <t>People First Urgent Care, Pc</t>
  </si>
  <si>
    <t>Conway Regional After Hours Clinic</t>
  </si>
  <si>
    <t>Office Of Public Health</t>
  </si>
  <si>
    <t>Southstar Urgent Care</t>
  </si>
  <si>
    <t>Nea Baptist Urgent Care Plus</t>
  </si>
  <si>
    <t>Concentra Urgent Care</t>
  </si>
  <si>
    <t>Type</t>
  </si>
  <si>
    <t>Specialty</t>
  </si>
  <si>
    <t>Specialty Description</t>
  </si>
  <si>
    <t>Taxonomy</t>
  </si>
  <si>
    <t>Taxonomy Description</t>
  </si>
  <si>
    <t>Individual</t>
  </si>
  <si>
    <t>Addiction Counselor</t>
  </si>
  <si>
    <t>Addiction (Substance Use Disorder) Counselor</t>
  </si>
  <si>
    <t>Addiction Medicine Physician</t>
  </si>
  <si>
    <t>207LA0401X</t>
  </si>
  <si>
    <t>Addiction Medicine (Anesthesiology) Physician</t>
  </si>
  <si>
    <t>Addiction Medicine (Family Medicine) Physician</t>
  </si>
  <si>
    <t>Addiction Medicine (Internal Medicine) Physician</t>
  </si>
  <si>
    <t>2083A0300X</t>
  </si>
  <si>
    <t>Addiction Medicine (Preventive Medicine) Physician</t>
  </si>
  <si>
    <t>Facility</t>
  </si>
  <si>
    <t xml:space="preserve">F001 </t>
  </si>
  <si>
    <t>General Acute Care Hospital</t>
  </si>
  <si>
    <t xml:space="preserve">N/A       </t>
  </si>
  <si>
    <t>N/A</t>
  </si>
  <si>
    <t xml:space="preserve">F002 </t>
  </si>
  <si>
    <t xml:space="preserve">F003 </t>
  </si>
  <si>
    <t xml:space="preserve">F004 </t>
  </si>
  <si>
    <t>Critical Care Services - Intensive Care Units (ICU)</t>
  </si>
  <si>
    <t xml:space="preserve">F005 </t>
  </si>
  <si>
    <t xml:space="preserve">Diagnostic Radiology </t>
  </si>
  <si>
    <t>261QM1200X</t>
  </si>
  <si>
    <t>Magnetic Resonance Imaging (MRI) Clinic/Center</t>
  </si>
  <si>
    <t>261QR0200X</t>
  </si>
  <si>
    <t>Radiology Clinic/Center</t>
  </si>
  <si>
    <t xml:space="preserve">F006 </t>
  </si>
  <si>
    <t>Inpatient Psychiatry</t>
  </si>
  <si>
    <t>Psychiatric Hospital Unit</t>
  </si>
  <si>
    <t>Psychiatric Hospital</t>
  </si>
  <si>
    <t>Substance Abuse Rehabilitation Facility</t>
  </si>
  <si>
    <t>Substance Use Disorder Rehabilitation Hospital Unit</t>
  </si>
  <si>
    <t>Mental Health Residential Treatment Facility</t>
  </si>
  <si>
    <t>Mental Illness Community Based Residential Treatment Facility</t>
  </si>
  <si>
    <t>P072</t>
  </si>
  <si>
    <t>Pediatric Substance Abuse Facility</t>
  </si>
  <si>
    <t>Children's Substance Abuse Rehabilitation Facility</t>
  </si>
  <si>
    <t>P076</t>
  </si>
  <si>
    <t>Children's Residential Treatment Facility</t>
  </si>
  <si>
    <t>Emotionally Disturbed Childrens' Residential Treatment Facility</t>
  </si>
  <si>
    <t>Psychiatric Residential Treatment Facility</t>
  </si>
  <si>
    <t xml:space="preserve">F007 </t>
  </si>
  <si>
    <t>261QR0206X</t>
  </si>
  <si>
    <t>Mammography Clinic/Center</t>
  </si>
  <si>
    <t xml:space="preserve">F008 </t>
  </si>
  <si>
    <t>Outpatient Infusion Therapy/Oncology/Radiology</t>
  </si>
  <si>
    <t>261QI0500X</t>
  </si>
  <si>
    <t>Infusion Therapy Clinic/Center</t>
  </si>
  <si>
    <t>261QX0200X</t>
  </si>
  <si>
    <t>Oncology Clinic/Center</t>
  </si>
  <si>
    <t>261QX0203X</t>
  </si>
  <si>
    <t>Radiation Oncology Clinic/Center</t>
  </si>
  <si>
    <t xml:space="preserve">F009 </t>
  </si>
  <si>
    <t>Skilled Nursing Facility</t>
  </si>
  <si>
    <t>Pediatric Skilled Nursing Facility</t>
  </si>
  <si>
    <t xml:space="preserve">F010 </t>
  </si>
  <si>
    <t>Surgical Services (Ambulatory Surgical Centers and Outpatient Hospital)</t>
  </si>
  <si>
    <t>261QA1903X</t>
  </si>
  <si>
    <t>Ambulatory Surgical Clinic/Center</t>
  </si>
  <si>
    <t>261QS0132X</t>
  </si>
  <si>
    <t>Ophthalmologic Surgery Clinic/Center</t>
  </si>
  <si>
    <t xml:space="preserve">F011 </t>
  </si>
  <si>
    <t>261QU0200X</t>
  </si>
  <si>
    <t>Urgent Care Clinic/Center</t>
  </si>
  <si>
    <t xml:space="preserve">P012 </t>
  </si>
  <si>
    <t>207K00000X</t>
  </si>
  <si>
    <t>Allergy &amp; Immunology Physician</t>
  </si>
  <si>
    <t>207KA0200X</t>
  </si>
  <si>
    <t>Allergy Physician</t>
  </si>
  <si>
    <t>207KI0005X</t>
  </si>
  <si>
    <t>Clinical &amp; Laboratory Immunology (Allergy &amp; Immunology) Physician</t>
  </si>
  <si>
    <t>207RA0201X</t>
  </si>
  <si>
    <t>Allergy &amp; Immunology (Internal Medicine) Physician</t>
  </si>
  <si>
    <t>207RI0001X</t>
  </si>
  <si>
    <t>Clinical &amp; Laboratory Immunology (Internal Medicine) Physician</t>
  </si>
  <si>
    <t>2080P0201X</t>
  </si>
  <si>
    <t>Pediatric Allergy/Immunology Physician</t>
  </si>
  <si>
    <t xml:space="preserve">P013 </t>
  </si>
  <si>
    <t>Cardiovascular Disease</t>
  </si>
  <si>
    <t>Advanced Heart Failure and Transplant Cardiology Physician</t>
  </si>
  <si>
    <t>207RA0002X</t>
  </si>
  <si>
    <t>Adult Congenital Heart Disease Physician</t>
  </si>
  <si>
    <t>Cardiovascular Disease Physician</t>
  </si>
  <si>
    <t>Interventional Cardiology Physician</t>
  </si>
  <si>
    <t>Pediatric Cardiology Physician</t>
  </si>
  <si>
    <t xml:space="preserve">P014 </t>
  </si>
  <si>
    <t>208G00000X</t>
  </si>
  <si>
    <t>Thoracic Surgery (Cardiothoracic Vascular Surgery) Physician</t>
  </si>
  <si>
    <t xml:space="preserve">P015 </t>
  </si>
  <si>
    <t>Chiropracty</t>
  </si>
  <si>
    <t>111N00000X</t>
  </si>
  <si>
    <t>111NI0900X</t>
  </si>
  <si>
    <t>Internist Chiropractor</t>
  </si>
  <si>
    <t>111NN0400X</t>
  </si>
  <si>
    <t>Neurology Chiropractor</t>
  </si>
  <si>
    <t>111NN1001X</t>
  </si>
  <si>
    <t>Nutrition Chiropractor</t>
  </si>
  <si>
    <t>111NP0017X</t>
  </si>
  <si>
    <t>Pediatric Chiropractor</t>
  </si>
  <si>
    <t>111NR0200X</t>
  </si>
  <si>
    <t>Radiology Chiropractor</t>
  </si>
  <si>
    <t>111NR0400X</t>
  </si>
  <si>
    <t>Rehabilitation Chiropractor</t>
  </si>
  <si>
    <t>111NS0005X</t>
  </si>
  <si>
    <t>Sports Physician Chiropractor</t>
  </si>
  <si>
    <t>111NT0100X</t>
  </si>
  <si>
    <t>Thermography Chiropractor</t>
  </si>
  <si>
    <t>111NX0100X</t>
  </si>
  <si>
    <t>Occupational Health Chiropractor</t>
  </si>
  <si>
    <t>111NX0800X</t>
  </si>
  <si>
    <t>Orthopedic Chiropractor</t>
  </si>
  <si>
    <t xml:space="preserve">P016 </t>
  </si>
  <si>
    <t>Dental - General</t>
  </si>
  <si>
    <t>Dentist</t>
  </si>
  <si>
    <t>General Practice Dentistry</t>
  </si>
  <si>
    <t>Dental - Orthodontist</t>
  </si>
  <si>
    <t>Orthodontics and Dentofacial Orthopedic Dentist</t>
  </si>
  <si>
    <t>Dental - Periodontist</t>
  </si>
  <si>
    <t>Periodontist</t>
  </si>
  <si>
    <t>Dental - Endodontist</t>
  </si>
  <si>
    <t>Endodontist</t>
  </si>
  <si>
    <t>Dental - Prosthodontist</t>
  </si>
  <si>
    <t>1223P0700X</t>
  </si>
  <si>
    <t>Prosthodontist</t>
  </si>
  <si>
    <t>P201</t>
  </si>
  <si>
    <t>Pediatric Dental</t>
  </si>
  <si>
    <t>Pediatric Dentist</t>
  </si>
  <si>
    <t xml:space="preserve">P017 </t>
  </si>
  <si>
    <t>207N00000X</t>
  </si>
  <si>
    <t>Dermatology Physician</t>
  </si>
  <si>
    <t>207ND0101X</t>
  </si>
  <si>
    <t>MOHS-Micrographic Surgery Physician</t>
  </si>
  <si>
    <t>207ND0900X</t>
  </si>
  <si>
    <t>Dermatopathology Physician</t>
  </si>
  <si>
    <t>207NI0002X</t>
  </si>
  <si>
    <t>Clinical &amp; Laboratory Dermatological Immunology Physician</t>
  </si>
  <si>
    <t>207NP0225X</t>
  </si>
  <si>
    <t>Pediatric Dermatology Physician</t>
  </si>
  <si>
    <t>207NS0135X</t>
  </si>
  <si>
    <t>Procedural Dermatology Physician</t>
  </si>
  <si>
    <t xml:space="preserve">P018 </t>
  </si>
  <si>
    <t>207P00000X</t>
  </si>
  <si>
    <t>Emergency Medicine Physician</t>
  </si>
  <si>
    <t>207PE0005X</t>
  </si>
  <si>
    <t>Undersea and Hyperbaric Medicine (Emergency Medicine) Physician</t>
  </si>
  <si>
    <t>207PH0002X</t>
  </si>
  <si>
    <t>Hospice and Palliative Medicine (Emergency Medicine) Physician</t>
  </si>
  <si>
    <t>207PP0204X</t>
  </si>
  <si>
    <t>Pediatric Emergency Medicine (Emergency Medicine) Physician</t>
  </si>
  <si>
    <t>207PS0010X</t>
  </si>
  <si>
    <t>Sports Medicine (Emergency Medicine) Physician</t>
  </si>
  <si>
    <t>207PT0002X</t>
  </si>
  <si>
    <t>Medical Toxicology (Emergency Medicine) Physician</t>
  </si>
  <si>
    <t>2080P0204X</t>
  </si>
  <si>
    <t>Pediatric Emergency Medicine (Pediatrics) Physician</t>
  </si>
  <si>
    <t xml:space="preserve">P019 </t>
  </si>
  <si>
    <t>Endocrinology, Diabetes &amp; Metabolism Physician</t>
  </si>
  <si>
    <t>Pediatric Endocrinology Physician</t>
  </si>
  <si>
    <t xml:space="preserve">P020 </t>
  </si>
  <si>
    <t>207Y00000X</t>
  </si>
  <si>
    <t>Otolaryngology Physician</t>
  </si>
  <si>
    <t>207YP0228X</t>
  </si>
  <si>
    <t>Pediatric Otolaryngology Physician</t>
  </si>
  <si>
    <t>207YS0012X</t>
  </si>
  <si>
    <t>Sleep Medicine (Otolaryngology) Physician</t>
  </si>
  <si>
    <t>207YS0123X</t>
  </si>
  <si>
    <t>Facial Plastic Surgery Physician</t>
  </si>
  <si>
    <t>207YX0007X</t>
  </si>
  <si>
    <t>Plastic Surgery within the Head &amp; Neck (Otolaryngology) Physician</t>
  </si>
  <si>
    <t>207YX0602X</t>
  </si>
  <si>
    <t>Otolaryngic Allergy Physician</t>
  </si>
  <si>
    <t>207YX0901X</t>
  </si>
  <si>
    <t>Otology &amp; Neurotology Physician</t>
  </si>
  <si>
    <t>207YX0905X</t>
  </si>
  <si>
    <t>Otolaryngology/Facial Plastic Surgery Physician</t>
  </si>
  <si>
    <t xml:space="preserve">P021 </t>
  </si>
  <si>
    <t>207RG0100X</t>
  </si>
  <si>
    <t>Gastroenterology Physician</t>
  </si>
  <si>
    <t>2080P0206X</t>
  </si>
  <si>
    <t>Pediatric Gastroenterology Physician</t>
  </si>
  <si>
    <t xml:space="preserve">P022 </t>
  </si>
  <si>
    <t>204F00000X</t>
  </si>
  <si>
    <t>Transplant Surgery Physician</t>
  </si>
  <si>
    <t>208600000X</t>
  </si>
  <si>
    <t>Surgery Physician</t>
  </si>
  <si>
    <t>2086H0002X</t>
  </si>
  <si>
    <t>Hospice and Palliative Medicine (Surgery) Physician</t>
  </si>
  <si>
    <t>2086S0102X</t>
  </si>
  <si>
    <t>Surgical Critical Care Physician</t>
  </si>
  <si>
    <t>2086S0120X</t>
  </si>
  <si>
    <t>Pediatric Surgery Physician</t>
  </si>
  <si>
    <t>2086S0127X</t>
  </si>
  <si>
    <t>Trauma Surgery Physician</t>
  </si>
  <si>
    <t>208C00000X</t>
  </si>
  <si>
    <t>Colon &amp; Rectal Surgery Physician</t>
  </si>
  <si>
    <t xml:space="preserve">P023 </t>
  </si>
  <si>
    <t>Gynecology (OB/GYN)</t>
  </si>
  <si>
    <t>Obstetrics &amp; Gynecology Physician</t>
  </si>
  <si>
    <t>207VB0002X</t>
  </si>
  <si>
    <t>Obesity Medicine (Obstetrics &amp; Gynecology) Physician</t>
  </si>
  <si>
    <t>207VC0200X</t>
  </si>
  <si>
    <t>Critical Care Medicine (Obstetrics &amp; Gynecology) Physician</t>
  </si>
  <si>
    <t>Reproductive Endocrinology Physician</t>
  </si>
  <si>
    <t>Urogynecology and Reconstructive Pelvic Surgery (Obstetrics &amp; Gynecology) Physician</t>
  </si>
  <si>
    <t>Gynecology Physician</t>
  </si>
  <si>
    <t>Hospice and Palliative Medicine (Obstetrics &amp; Gynecology) Physician</t>
  </si>
  <si>
    <t>Maternal &amp; Fetal Medicine Physician</t>
  </si>
  <si>
    <t>Obstetrics Physician</t>
  </si>
  <si>
    <t>Gynecologic Oncology Physician</t>
  </si>
  <si>
    <t xml:space="preserve">P024 </t>
  </si>
  <si>
    <t>207RI0200X</t>
  </si>
  <si>
    <t>Infectious Disease Physician</t>
  </si>
  <si>
    <t>2080P0208X</t>
  </si>
  <si>
    <t>Pediatric Infectious Diseases Physician</t>
  </si>
  <si>
    <t xml:space="preserve">P025 </t>
  </si>
  <si>
    <t>207RN0300X</t>
  </si>
  <si>
    <t>Nephrology Physician</t>
  </si>
  <si>
    <t>2080P0210X</t>
  </si>
  <si>
    <t>Pediatric Nephrology Physician</t>
  </si>
  <si>
    <t xml:space="preserve">P026 </t>
  </si>
  <si>
    <t>2084A2900X</t>
  </si>
  <si>
    <t>Neurocritical Care Physician</t>
  </si>
  <si>
    <t>2084B0040X</t>
  </si>
  <si>
    <t>Behavioral Neurology &amp; Neuropsychiatry Physician</t>
  </si>
  <si>
    <t>2084N0008X</t>
  </si>
  <si>
    <t>Neuromuscular Medicine (Psychiatry &amp; Neurology) Physician</t>
  </si>
  <si>
    <t>2084N0400X</t>
  </si>
  <si>
    <t>Neurology Physician</t>
  </si>
  <si>
    <t>2084N0402X</t>
  </si>
  <si>
    <t>Neurology with Special Qualifications in Child Neurology Physician</t>
  </si>
  <si>
    <t>2084P0005X</t>
  </si>
  <si>
    <t>Neurodevelopmental Disabilities Physician</t>
  </si>
  <si>
    <t>2084P0301X</t>
  </si>
  <si>
    <t>Brain Injury Medicine (Psychiatry &amp; Neurology) Physician</t>
  </si>
  <si>
    <t>2084V0102X</t>
  </si>
  <si>
    <t>Vascular Neurology Physician</t>
  </si>
  <si>
    <t xml:space="preserve">P027 </t>
  </si>
  <si>
    <t>207T00000X</t>
  </si>
  <si>
    <t>Neurological Surgery Physician</t>
  </si>
  <si>
    <t xml:space="preserve">P028 </t>
  </si>
  <si>
    <t>Occupational Therapist</t>
  </si>
  <si>
    <t>225X00000X</t>
  </si>
  <si>
    <t>225XE0001X</t>
  </si>
  <si>
    <t>Environmental Modification Occupational Therapist</t>
  </si>
  <si>
    <t>225XE1200X</t>
  </si>
  <si>
    <t>Ergonomics Occupational Therapist</t>
  </si>
  <si>
    <t>225XF0002X</t>
  </si>
  <si>
    <t>Feeding, Eating &amp; Swallowing Occupational Therapist</t>
  </si>
  <si>
    <t>225XG0600X</t>
  </si>
  <si>
    <t>Gerontology Occupational Therapist</t>
  </si>
  <si>
    <t>225XH1200X</t>
  </si>
  <si>
    <t>Hand Occupational Therapist</t>
  </si>
  <si>
    <t>225XH1300X</t>
  </si>
  <si>
    <t>Human Factors Occupational Therapist</t>
  </si>
  <si>
    <t>225XL0004X</t>
  </si>
  <si>
    <t>Low Vision Occupational Therapist</t>
  </si>
  <si>
    <t>225XM0800X</t>
  </si>
  <si>
    <t>Mental Health Occupational Therapist</t>
  </si>
  <si>
    <t>225XN1300X</t>
  </si>
  <si>
    <t>Neurorehabilitation Occupational Therapist</t>
  </si>
  <si>
    <t>225XP0019X</t>
  </si>
  <si>
    <t>Physical Rehabilitation Occupational Therapist</t>
  </si>
  <si>
    <t>225XP0200X</t>
  </si>
  <si>
    <t>Pediatric Occupational Therapist</t>
  </si>
  <si>
    <t>225XR0403X</t>
  </si>
  <si>
    <t>Driving and Community Mobility Occupational Therapist</t>
  </si>
  <si>
    <t xml:space="preserve">P029 </t>
  </si>
  <si>
    <t>Oncology - Medical &amp; Surgical</t>
  </si>
  <si>
    <t>Hematology &amp; Oncology Physician</t>
  </si>
  <si>
    <t>Medical Oncology Physician</t>
  </si>
  <si>
    <t>Pediatric Hematology &amp; Oncology Physician</t>
  </si>
  <si>
    <t>Surgical Oncology Physician</t>
  </si>
  <si>
    <t xml:space="preserve">P030 </t>
  </si>
  <si>
    <t>Radiation Oncology Physician</t>
  </si>
  <si>
    <t xml:space="preserve">P031 </t>
  </si>
  <si>
    <t>Ophthalmology Physician</t>
  </si>
  <si>
    <t>207WX0009X</t>
  </si>
  <si>
    <t>Glaucoma Specialist (Ophthalmology) Physician</t>
  </si>
  <si>
    <t>207WX0107X</t>
  </si>
  <si>
    <t>Retina Specialist (Ophthalmology) Physician</t>
  </si>
  <si>
    <t>207WX0108X</t>
  </si>
  <si>
    <t>Uveitis and Ocular Inflammatory Disease (Ophthalmology) Physician</t>
  </si>
  <si>
    <t>207WX0109X</t>
  </si>
  <si>
    <t>Neuro-ophthalmology Physician</t>
  </si>
  <si>
    <t>207WX0110X</t>
  </si>
  <si>
    <t>Pediatric Ophthalmology and Strabismus Specialist Physician Physician</t>
  </si>
  <si>
    <t>207WX0120X</t>
  </si>
  <si>
    <t>Cornea and External Diseases Specialist Physician</t>
  </si>
  <si>
    <t>207WX0200X</t>
  </si>
  <si>
    <t>Ophthalmic Plastic and Reconstructive Surgery Physician</t>
  </si>
  <si>
    <t xml:space="preserve">P032 </t>
  </si>
  <si>
    <t>207X00000X</t>
  </si>
  <si>
    <t>Orthopaedic Surgery Physician</t>
  </si>
  <si>
    <t>207XP3100X</t>
  </si>
  <si>
    <t>Pediatric Orthopaedic Surgery Physician</t>
  </si>
  <si>
    <t>207XS0106X</t>
  </si>
  <si>
    <t>Orthopaedic Hand Surgery Physician</t>
  </si>
  <si>
    <t>207XS0114X</t>
  </si>
  <si>
    <t>Adult Reconstructive Orthopaedic Surgery Physician</t>
  </si>
  <si>
    <t>207XS0117X</t>
  </si>
  <si>
    <t>Orthopaedic Surgery of the Spine Physician</t>
  </si>
  <si>
    <t>207XX0004X</t>
  </si>
  <si>
    <t>Orthopaedic Foot and Ankle Surgery Physician</t>
  </si>
  <si>
    <t>207XX0005X</t>
  </si>
  <si>
    <t>Sports Medicine (Orthopaedic Surgery) Physician</t>
  </si>
  <si>
    <t>207XX0801X</t>
  </si>
  <si>
    <t>Orthopaedic Trauma Physician</t>
  </si>
  <si>
    <t xml:space="preserve">P033 </t>
  </si>
  <si>
    <t>Licensed Clinical Social Workers</t>
  </si>
  <si>
    <t>Social Worker</t>
  </si>
  <si>
    <t>Clinical Social Worker</t>
  </si>
  <si>
    <t>School Social Worker</t>
  </si>
  <si>
    <t>Psychology</t>
  </si>
  <si>
    <t>Psychologist</t>
  </si>
  <si>
    <t xml:space="preserve">Addiction (Substance Use Disorder) Psychologist </t>
  </si>
  <si>
    <t>Adult Development &amp; Aging Psychologist</t>
  </si>
  <si>
    <t>Cognitive &amp; Behavioral Psychologist</t>
  </si>
  <si>
    <t>Clinical Psychologist</t>
  </si>
  <si>
    <t>Counseling Psychologist</t>
  </si>
  <si>
    <t>Clinical Child &amp; Adolescent Psychologist</t>
  </si>
  <si>
    <t>Exercise &amp; Sports Psychologist</t>
  </si>
  <si>
    <t>Family Psychologist</t>
  </si>
  <si>
    <t>103TF0200X</t>
  </si>
  <si>
    <t>Forensic Psychologist</t>
  </si>
  <si>
    <t>Health Psychologist</t>
  </si>
  <si>
    <t>Health Service Psychologist</t>
  </si>
  <si>
    <t>Intellectual &amp; Developmental Disabilities Psychologist</t>
  </si>
  <si>
    <t>Prescribing (Medical) Psychologist</t>
  </si>
  <si>
    <t>Psychoanalysis Psychologist</t>
  </si>
  <si>
    <t>Group Psychotherapy Psychologist</t>
  </si>
  <si>
    <t>Rehabilitation Psychologist</t>
  </si>
  <si>
    <t>School Psychologist</t>
  </si>
  <si>
    <t>Marriage and Family Therapist</t>
  </si>
  <si>
    <t>106H00000X</t>
  </si>
  <si>
    <t>Marriage &amp; Family Therapist</t>
  </si>
  <si>
    <t>Counselor (Mental Health)</t>
  </si>
  <si>
    <t>Counselor</t>
  </si>
  <si>
    <t>Mental Health Counselor</t>
  </si>
  <si>
    <t>Professional Counselor</t>
  </si>
  <si>
    <t>Behavioral Health APRN</t>
  </si>
  <si>
    <t>Psychiatric/Mental Health Nurse Practitioner</t>
  </si>
  <si>
    <t>Psychiatric/Mental Health Clinical Nurse Specialist</t>
  </si>
  <si>
    <t>Behavioral Analyst</t>
  </si>
  <si>
    <t>Behavior Analyst</t>
  </si>
  <si>
    <t xml:space="preserve">P034 </t>
  </si>
  <si>
    <t>Physical Medicine &amp; Rehabilitation</t>
  </si>
  <si>
    <t>208100000X</t>
  </si>
  <si>
    <t>Physical Medicine &amp; Rehabilitation Physician</t>
  </si>
  <si>
    <t>2081H0002X</t>
  </si>
  <si>
    <t>Hospice and Palliative Medicine (Physical Medicine &amp; Rehabilitation) Physician</t>
  </si>
  <si>
    <t>2081N0008X</t>
  </si>
  <si>
    <t>Neuromuscular Medicine (Physical Medicine &amp; Rehabilitation) Physician</t>
  </si>
  <si>
    <t>2081P0004X</t>
  </si>
  <si>
    <t>Spinal Cord Injury Medicine Physician</t>
  </si>
  <si>
    <t>2081P0010X</t>
  </si>
  <si>
    <t>Pediatric Rehabilitation Medicine Physician</t>
  </si>
  <si>
    <t>2081P0301X</t>
  </si>
  <si>
    <t>Brain Injury Medicine (Physical Medicine &amp; Rehabilitation) Physician</t>
  </si>
  <si>
    <t>2081P2900X</t>
  </si>
  <si>
    <t>Pain Medicine (Physical Medicine &amp; Rehabilitation) Physician</t>
  </si>
  <si>
    <t>2081S0010X</t>
  </si>
  <si>
    <t>Sports Medicine (Physical Medicine &amp; Rehabilitation) Physician</t>
  </si>
  <si>
    <t xml:space="preserve">P035 </t>
  </si>
  <si>
    <t xml:space="preserve">Physical Therapy </t>
  </si>
  <si>
    <t>225100000X</t>
  </si>
  <si>
    <t>Physical Therapist</t>
  </si>
  <si>
    <t>2251C2600X</t>
  </si>
  <si>
    <t>Cardiopulmonary Physical Therapist</t>
  </si>
  <si>
    <t>2251E1200X</t>
  </si>
  <si>
    <t>Ergonomics Physical Therapist</t>
  </si>
  <si>
    <t>2251E1300X</t>
  </si>
  <si>
    <t>Clinical Electrophysiology Physical Therapist</t>
  </si>
  <si>
    <t>2251G0304X</t>
  </si>
  <si>
    <t>Geriatric Physical Therapist</t>
  </si>
  <si>
    <t>2251H1200X</t>
  </si>
  <si>
    <t>Hand Physical Therapist</t>
  </si>
  <si>
    <t>2251H1300X</t>
  </si>
  <si>
    <t>Human Factors Physical Therapist</t>
  </si>
  <si>
    <t>2251N0400X</t>
  </si>
  <si>
    <t>Neurology Physical Therapist</t>
  </si>
  <si>
    <t>2251P0200X</t>
  </si>
  <si>
    <t>Pediatric Physical Therapist</t>
  </si>
  <si>
    <t>2251S0007X</t>
  </si>
  <si>
    <t>Sports Physical Therapist</t>
  </si>
  <si>
    <t>2251X0800X</t>
  </si>
  <si>
    <t>Orthopedic Physical Therapist</t>
  </si>
  <si>
    <t xml:space="preserve">P036 </t>
  </si>
  <si>
    <t>208200000X</t>
  </si>
  <si>
    <t>Plastic Surgery Physician</t>
  </si>
  <si>
    <t>2082S0099X</t>
  </si>
  <si>
    <t>Plastic Surgery Within the Head and Neck (Plastic Surgery) Physician</t>
  </si>
  <si>
    <t>2082S0105X</t>
  </si>
  <si>
    <t>Surgery of the Hand (Plastic Surgery) Physician</t>
  </si>
  <si>
    <t>2086S0122X</t>
  </si>
  <si>
    <t>Plastic and Reconstructive Surgery Physician</t>
  </si>
  <si>
    <t xml:space="preserve">P037 </t>
  </si>
  <si>
    <t>213E00000X</t>
  </si>
  <si>
    <t>Podiatrist</t>
  </si>
  <si>
    <t>213EP0504X</t>
  </si>
  <si>
    <t>Public Medicine Podiatrist</t>
  </si>
  <si>
    <t>213EP1101X</t>
  </si>
  <si>
    <t>Primary Podiatric Medicine Podiatrist</t>
  </si>
  <si>
    <t>213ER0200X</t>
  </si>
  <si>
    <t>Radiology Podiatrist</t>
  </si>
  <si>
    <t>213ES0000X</t>
  </si>
  <si>
    <t>Sports Medicine Podiatrist</t>
  </si>
  <si>
    <t>213ES0103X</t>
  </si>
  <si>
    <t>Foot &amp; Ankle Surgery Podiatrist</t>
  </si>
  <si>
    <t>213ES0131X</t>
  </si>
  <si>
    <t>Foot Surgery Podiatrist</t>
  </si>
  <si>
    <t xml:space="preserve">P038 </t>
  </si>
  <si>
    <t>General Practice</t>
  </si>
  <si>
    <t>General Practice Physician</t>
  </si>
  <si>
    <t>Family Medicine</t>
  </si>
  <si>
    <t>Family Medicine Physician</t>
  </si>
  <si>
    <t>Adolescent Medicine (Family Medicine) Physician</t>
  </si>
  <si>
    <t>Adult Medicine Physician</t>
  </si>
  <si>
    <t>207QB0002X</t>
  </si>
  <si>
    <t>Obesity Medicine (Family Medicine) Physician</t>
  </si>
  <si>
    <t>Internal Medicine</t>
  </si>
  <si>
    <t>Internal Medicine Physician</t>
  </si>
  <si>
    <t>Adolescent Medicine (Internal Medicine) Physician</t>
  </si>
  <si>
    <t>207RB0002X</t>
  </si>
  <si>
    <t>Obesity Medicine (Internal Medicine) Physician</t>
  </si>
  <si>
    <t>Geriatrics</t>
  </si>
  <si>
    <t>Geriatric Medicine (Family Medicine) Physician</t>
  </si>
  <si>
    <t>Geriatric Medicine (Internal Medicine) Physician</t>
  </si>
  <si>
    <t>Primary Care - Physician Assistant</t>
  </si>
  <si>
    <t>Physician Assistant</t>
  </si>
  <si>
    <t>Medical Physician Assistant</t>
  </si>
  <si>
    <t>Primary Care - Nurse Practitioner</t>
  </si>
  <si>
    <t>Adult Health Nurse Practitioner</t>
  </si>
  <si>
    <t>Family Nurse Practitioner</t>
  </si>
  <si>
    <t>Primary Care Nurse Practitioner</t>
  </si>
  <si>
    <t>Pediatrics - Routine/Primary Care</t>
  </si>
  <si>
    <t>Pediatrics Physician</t>
  </si>
  <si>
    <t>Pediatric Adolescent Medicine Physician</t>
  </si>
  <si>
    <t xml:space="preserve">P040 </t>
  </si>
  <si>
    <t>Addiction Medicine (Psychiatry &amp; Neurology) Physician</t>
  </si>
  <si>
    <t>Psychosomatic Medicine Physician</t>
  </si>
  <si>
    <t>Psychiatry Physician</t>
  </si>
  <si>
    <t>Addiction Psychiatry Physician</t>
  </si>
  <si>
    <t>Child &amp; Adolescent Psychiatry Physician</t>
  </si>
  <si>
    <t xml:space="preserve">P041 </t>
  </si>
  <si>
    <t>Pulmonary Disease Physician</t>
  </si>
  <si>
    <t>Pediatric Pulmonology Physician</t>
  </si>
  <si>
    <t xml:space="preserve">P042 </t>
  </si>
  <si>
    <t>Rheumatology Physician</t>
  </si>
  <si>
    <t>Pediatric Rheumatology Physician</t>
  </si>
  <si>
    <t xml:space="preserve">P043 </t>
  </si>
  <si>
    <t>235500000X</t>
  </si>
  <si>
    <t>Speech/Language/Hearing Specialist/Technologist</t>
  </si>
  <si>
    <t>235Z00000X</t>
  </si>
  <si>
    <t>Speech-Language Pathologist</t>
  </si>
  <si>
    <t xml:space="preserve">P044 </t>
  </si>
  <si>
    <t>Urology Physician</t>
  </si>
  <si>
    <t>2088F0040X</t>
  </si>
  <si>
    <t>Urogynecology and Reconstructive Pelvic Surgery (Urology) Physician</t>
  </si>
  <si>
    <t>Pediatric Urology Physician</t>
  </si>
  <si>
    <t xml:space="preserve">P045 </t>
  </si>
  <si>
    <t>2086S0129X</t>
  </si>
  <si>
    <t>Vascular Surgery Physician</t>
  </si>
  <si>
    <t>Criteria Code</t>
  </si>
  <si>
    <t>Criteria Description</t>
  </si>
  <si>
    <r>
      <rPr>
        <b/>
        <sz val="11"/>
        <color rgb="FFFF0000"/>
        <rFont val="Aptos Narrow"/>
        <family val="2"/>
        <scheme val="minor"/>
      </rPr>
      <t xml:space="preserve">* </t>
    </r>
    <r>
      <rPr>
        <b/>
        <sz val="11"/>
        <color theme="0"/>
        <rFont val="Aptos Narrow"/>
        <family val="2"/>
        <scheme val="minor"/>
      </rPr>
      <t>Criteria Code</t>
    </r>
  </si>
  <si>
    <t>Smc Regional Medical Center Skilled Nursing Unit</t>
  </si>
  <si>
    <t>Phc-Cleveland Inc</t>
  </si>
  <si>
    <t>Ncmc Medical &amp; Surgi</t>
  </si>
  <si>
    <t>Highland Hills Medical Center</t>
  </si>
  <si>
    <t>St. Bernard's Wound Healing Center</t>
  </si>
  <si>
    <t>Nea Baptist Memorial Hospital</t>
  </si>
  <si>
    <t>University Of Arkansas For Medical Sciences</t>
  </si>
  <si>
    <t>Baptist Health Medical Center North Little Rock</t>
  </si>
  <si>
    <t>Mercy Hospital Fort Smith</t>
  </si>
  <si>
    <t>Memorial Hospital</t>
  </si>
  <si>
    <t>Baptist Health Med Center Stuttgart</t>
  </si>
  <si>
    <t>Mena Regional Health Systems</t>
  </si>
  <si>
    <t>Arkansas Surgical Hospital Llc</t>
  </si>
  <si>
    <t>Sequoyah Mem Hosp</t>
  </si>
  <si>
    <t>Ozark Health Inc</t>
  </si>
  <si>
    <t>Memphis Vamc Pharmacy</t>
  </si>
  <si>
    <t>Baptist Memorial Medical  Nlr (Rehab)</t>
  </si>
  <si>
    <t>Ponder, Julia</t>
  </si>
  <si>
    <t>Mcgehee-Desha County Hospital</t>
  </si>
  <si>
    <t>West Tennessee Medic</t>
  </si>
  <si>
    <t>Texarkana Pet Imaging</t>
  </si>
  <si>
    <t>B &amp; N Mri Imaging Llc</t>
  </si>
  <si>
    <t>East Memphis Pet Imaging Centers Llc</t>
  </si>
  <si>
    <t>Dardanelle Hospital Yell County</t>
  </si>
  <si>
    <t>outpatient Radiology Clinic, P.A.</t>
  </si>
  <si>
    <t>Clearview Digital Image, Llc</t>
  </si>
  <si>
    <t>Tevebaugh, Charles</t>
  </si>
  <si>
    <t>Regional One Extended Care</t>
  </si>
  <si>
    <t>Searcy Open Mri</t>
  </si>
  <si>
    <t>Arcare 64</t>
  </si>
  <si>
    <t>Woodward, Aaron</t>
  </si>
  <si>
    <t>Parkwood Behavioral Health System</t>
  </si>
  <si>
    <t>Northeast Arkansas Regional Recovery Center</t>
  </si>
  <si>
    <t>Dardanelle Hospital</t>
  </si>
  <si>
    <t>Addiction Campuses Of Mississippi, Llc Dba Vertava Health Mi</t>
  </si>
  <si>
    <t>New Beginnings, C.A.S.A.</t>
  </si>
  <si>
    <t>Sozo Recovery Centers, Inc.</t>
  </si>
  <si>
    <t>Leo N. Levi Memorial Hospital Association</t>
  </si>
  <si>
    <t>Healthsouth Rehab Hospital Of Texarkana</t>
  </si>
  <si>
    <t>St Vincent Infirmary Medical Center</t>
  </si>
  <si>
    <t>Education Center For Gad</t>
  </si>
  <si>
    <t>Baptist Health Medical Center Drew County Psych Unit</t>
  </si>
  <si>
    <t>Landmark Recovery Of Arkansas, Llc</t>
  </si>
  <si>
    <t>Serenity Park Recovery Center</t>
  </si>
  <si>
    <t>Millcreek Of Arkansas</t>
  </si>
  <si>
    <t>Natural State Recovery Center Llc</t>
  </si>
  <si>
    <t>Infusion Express</t>
  </si>
  <si>
    <t>Red River Vital Care Of Jonesboro</t>
  </si>
  <si>
    <t>Uams Radiation Oncology</t>
  </si>
  <si>
    <t>Heather Manor Nursing And Rehabilitation Center</t>
  </si>
  <si>
    <t>The Springs Of El Dorado</t>
  </si>
  <si>
    <t>Three Rivers Snf Operations Llc</t>
  </si>
  <si>
    <t>Crowpoint Health And Rehab Center</t>
  </si>
  <si>
    <t>John Ashley Drive Operation</t>
  </si>
  <si>
    <t>Arkansas Continued Care Hospital Of Jonesboro, Llc</t>
  </si>
  <si>
    <t>Hampton Place Healthcare, Llc</t>
  </si>
  <si>
    <t>St Johns Place Of Arkansas Llc</t>
  </si>
  <si>
    <t>James River Nursing And Rehabilitation</t>
  </si>
  <si>
    <t>Katherine's Place At Wedington</t>
  </si>
  <si>
    <t>Green House Cottages Of Southern Hills</t>
  </si>
  <si>
    <t>Magnolia Square Nursing And Rehab</t>
  </si>
  <si>
    <t>Red Oak Healthcare Llc</t>
  </si>
  <si>
    <t>Harrison Rehabilitation And Health Center</t>
  </si>
  <si>
    <t>West Memphis Wellness Llc</t>
  </si>
  <si>
    <t>Sheridan Healthcare And Rehabilitation Center</t>
  </si>
  <si>
    <t>Quail Ridge Living Center</t>
  </si>
  <si>
    <t>Arbor Oaks Healthcare And Rehab Center</t>
  </si>
  <si>
    <t>Progressive Eldercare Services Inc</t>
  </si>
  <si>
    <t>Walnut Ridge Nursing &amp; Rehab Center</t>
  </si>
  <si>
    <t>Springs Of Park Ave</t>
  </si>
  <si>
    <t>Monette Manor Inc</t>
  </si>
  <si>
    <t>Heartland Rehab</t>
  </si>
  <si>
    <t>Glenwood Health And Rehabilitation</t>
  </si>
  <si>
    <t>Piggott Community Hospital Skilled Nursing Unit</t>
  </si>
  <si>
    <t>Little River Nursing Home</t>
  </si>
  <si>
    <t>The Springs Of Hillcrest</t>
  </si>
  <si>
    <t>The Waters Of Cumberland</t>
  </si>
  <si>
    <t>Brookridge Cove Rehab And Care Center</t>
  </si>
  <si>
    <t>Lakewood Therapy And Living Center Opco</t>
  </si>
  <si>
    <t>Nhc Healthcare Kennett</t>
  </si>
  <si>
    <t>Highlands Of Bella Vista Health &amp; Rehab, Llc</t>
  </si>
  <si>
    <t>Eufaula Manor Nursing And Rehabilitation Center</t>
  </si>
  <si>
    <t>Reunion Plaza Senior Care &amp; Rehabilitation Center</t>
  </si>
  <si>
    <t>The Maples At Har-Ber Meadows</t>
  </si>
  <si>
    <t>Spring Gate Rehabilitation And Healthcare Center</t>
  </si>
  <si>
    <t>Alcoa Pines Health And Rehab</t>
  </si>
  <si>
    <t>Parks Edge Nursing And Rehabilitation Centerr</t>
  </si>
  <si>
    <t>Greeneco Nc Ops, Inc Dba The Maples Health And Rehabilitation</t>
  </si>
  <si>
    <t>Covington Health Care And Rehabilitation Center Inc</t>
  </si>
  <si>
    <t>Wood-Lawn, Inc.</t>
  </si>
  <si>
    <t>Crawford Healthcare And Rehab</t>
  </si>
  <si>
    <t>The Lakes At Maumelle Health And Rehabilitation</t>
  </si>
  <si>
    <t>Colonel Glenn Health And Rehab</t>
  </si>
  <si>
    <t>Magnolia Square Nursing And Rehabilitation Center</t>
  </si>
  <si>
    <t>Memphis Surgery Center</t>
  </si>
  <si>
    <t>Jack Stephens Heart Institute Llc</t>
  </si>
  <si>
    <t>Magnolia Surgery Center Llc</t>
  </si>
  <si>
    <t>Cornerstone Medical Cl</t>
  </si>
  <si>
    <t>West Plains Ambulatory Surgery Center</t>
  </si>
  <si>
    <t>Surgery Center At Saint Francis Llc</t>
  </si>
  <si>
    <t>Precision Surgical Center Of Northwest Arkansas, Llc</t>
  </si>
  <si>
    <t>Mountain Home Surgery Ctr Inc</t>
  </si>
  <si>
    <t>Indianola Family Medical Group</t>
  </si>
  <si>
    <t>Regional Surgical Centre</t>
  </si>
  <si>
    <t>Mid South Gastroenterology Group</t>
  </si>
  <si>
    <t>Physicians Surgery Center</t>
  </si>
  <si>
    <t>Minimal Access Surgery Inc</t>
  </si>
  <si>
    <t>Bentonville Ambulatory Surgery Center, Llc</t>
  </si>
  <si>
    <t>Texarkana Surgery Center</t>
  </si>
  <si>
    <t>Healogics Specialty Physicians Of Arkansas Pllc</t>
  </si>
  <si>
    <t>Outpatient Surgery Center Of Jonesboro Llc</t>
  </si>
  <si>
    <t>Provider Group, "delta Endoscopy Center, Pc"</t>
  </si>
  <si>
    <t>Hutchison, Heather</t>
  </si>
  <si>
    <t>Roberts, Lilly</t>
  </si>
  <si>
    <t>Northwest Ambulatory Surgery Center - Bentonville</t>
  </si>
  <si>
    <t>Shea Ear Clinic</t>
  </si>
  <si>
    <t>The Rogers Ar Ophthalmology Asc Llc</t>
  </si>
  <si>
    <t>Ridge Lake Ambulatory Surgery Center</t>
  </si>
  <si>
    <t>Tahlequah Medical Group Llc</t>
  </si>
  <si>
    <t>Arkansas Surg And Endoscopy</t>
  </si>
  <si>
    <t>Surgery Center Of Northeast Texas Llc</t>
  </si>
  <si>
    <t>Collom &amp; Carney Clinic</t>
  </si>
  <si>
    <t>Central Arkansas Surgical Center</t>
  </si>
  <si>
    <t>Fox, Patrick</t>
  </si>
  <si>
    <t>Hamid, Syed</t>
  </si>
  <si>
    <t>Palczynski, Karol</t>
  </si>
  <si>
    <t>Lawless, Kathy</t>
  </si>
  <si>
    <t>Sessions, Leslie</t>
  </si>
  <si>
    <t>Healthcare Express</t>
  </si>
  <si>
    <t>Hodgson, Heather</t>
  </si>
  <si>
    <t>Mercy Gohealth Urgent Care - Fayetteville</t>
  </si>
  <si>
    <t>Idris, Mohammad</t>
  </si>
  <si>
    <t>Richey, Jason</t>
  </si>
  <si>
    <t>Harper Medical Group</t>
  </si>
  <si>
    <t>Bryant, Derek</t>
  </si>
  <si>
    <t>Tumlison, Joel</t>
  </si>
  <si>
    <t>Howard Memorial Hospital</t>
  </si>
  <si>
    <t>Rhymer, Mallorie</t>
  </si>
  <si>
    <t>Graham, Donna</t>
  </si>
  <si>
    <t>Ingram, Jim</t>
  </si>
  <si>
    <t>Tankersley, Michael</t>
  </si>
  <si>
    <t>Rodriguez De La Rocha, Ray</t>
  </si>
  <si>
    <t>Bell, Matthew</t>
  </si>
  <si>
    <t>Kaufman, David</t>
  </si>
  <si>
    <t>Fahhoum, Joseph</t>
  </si>
  <si>
    <t>Carlisle, Annette</t>
  </si>
  <si>
    <t>Pattanaik, Debendra</t>
  </si>
  <si>
    <t>Sitz, Karl</t>
  </si>
  <si>
    <t>Phomakay, Venusa</t>
  </si>
  <si>
    <t>Greenbaum, Saul</t>
  </si>
  <si>
    <t>Campbell, Jenny</t>
  </si>
  <si>
    <t>Scheer, Blake</t>
  </si>
  <si>
    <t>Sevdenur</t>
  </si>
  <si>
    <t>Badhwar, Anil</t>
  </si>
  <si>
    <t>Younis, Naveed</t>
  </si>
  <si>
    <t>Lane, Wesley</t>
  </si>
  <si>
    <t>Emge, Fredrick</t>
  </si>
  <si>
    <t>Shuffield, James</t>
  </si>
  <si>
    <t>Rittelmeyer, James</t>
  </si>
  <si>
    <t>Obeidou, Bashar</t>
  </si>
  <si>
    <t>Warr, Otis</t>
  </si>
  <si>
    <t>Hill, Roger</t>
  </si>
  <si>
    <t>Daily, Jason</t>
  </si>
  <si>
    <t>Nelson, Michael</t>
  </si>
  <si>
    <t>Fish, Ted</t>
  </si>
  <si>
    <t>Conley, Thomas</t>
  </si>
  <si>
    <t>Hacioglu, Yalcin</t>
  </si>
  <si>
    <t>Benjamin R Ittleman</t>
  </si>
  <si>
    <t>Herzog, John</t>
  </si>
  <si>
    <t>Wei, Jeanne</t>
  </si>
  <si>
    <t>Igbokidi, Oyidie</t>
  </si>
  <si>
    <t>Kelley, Moses</t>
  </si>
  <si>
    <t>Ilonze, Onyedika</t>
  </si>
  <si>
    <t>Prodhan, Parthak</t>
  </si>
  <si>
    <t>Frazier, Elizabeth</t>
  </si>
  <si>
    <t>Infeld, Jason</t>
  </si>
  <si>
    <t>Casas, Jack</t>
  </si>
  <si>
    <t>Okewole, Simon</t>
  </si>
  <si>
    <t>Pai, Balakrishna</t>
  </si>
  <si>
    <t>Raborn, Michael</t>
  </si>
  <si>
    <t>Mehta, Jawahar</t>
  </si>
  <si>
    <t>Hasan, Rimsha</t>
  </si>
  <si>
    <t>Hughes, Bradley</t>
  </si>
  <si>
    <t>Gojer, Bernard</t>
  </si>
  <si>
    <t>Vieron, Leonidas</t>
  </si>
  <si>
    <t>Robbins, Edward</t>
  </si>
  <si>
    <t>Kahn, Yosef</t>
  </si>
  <si>
    <t>Colleran, John</t>
  </si>
  <si>
    <t>Moss, Marie</t>
  </si>
  <si>
    <t>Ekanka, Mukhopadhyay</t>
  </si>
  <si>
    <t>Merves, Shae</t>
  </si>
  <si>
    <t>Bolin, Elijah</t>
  </si>
  <si>
    <t>Hayes, Kevin</t>
  </si>
  <si>
    <t>Wood, Russell</t>
  </si>
  <si>
    <t>Ahmed, Ahmed</t>
  </si>
  <si>
    <t>Sanon, Priyanka</t>
  </si>
  <si>
    <t>Kim, Frank</t>
  </si>
  <si>
    <t>Tobbia, Patrick</t>
  </si>
  <si>
    <t>Green, Michael</t>
  </si>
  <si>
    <t>Pothineni, Naga</t>
  </si>
  <si>
    <t>Watts, Thomas</t>
  </si>
  <si>
    <t>Mangalasseril, Robbie</t>
  </si>
  <si>
    <t>Naik, Ronak</t>
  </si>
  <si>
    <t>Prayaga, Venkatasubrahmanya</t>
  </si>
  <si>
    <t>Tarun, Tushar</t>
  </si>
  <si>
    <t>Formes, Kevin</t>
  </si>
  <si>
    <t>Francesca, Byrne</t>
  </si>
  <si>
    <t>Athar, Syed</t>
  </si>
  <si>
    <t>Joshi, Vijaya</t>
  </si>
  <si>
    <t>Moeezullah, Beg</t>
  </si>
  <si>
    <t>Stevenson, Daniel</t>
  </si>
  <si>
    <t>Levine, Yehoshua</t>
  </si>
  <si>
    <t>Harvey, Evan</t>
  </si>
  <si>
    <t>Huber, Michael</t>
  </si>
  <si>
    <t>Stewart, David</t>
  </si>
  <si>
    <t>Jha, Sunil</t>
  </si>
  <si>
    <t>Singh, Balkrishna</t>
  </si>
  <si>
    <t>Ezeldin, Abdul</t>
  </si>
  <si>
    <t>Briceno-Medina, Mario</t>
  </si>
  <si>
    <t>Diaz, Claro</t>
  </si>
  <si>
    <t>Ashley, Mohadjer</t>
  </si>
  <si>
    <t>Karki, Karan</t>
  </si>
  <si>
    <t>Dobies, David</t>
  </si>
  <si>
    <t>Rozeman, Phillip</t>
  </si>
  <si>
    <t>Heinemann, Frederick</t>
  </si>
  <si>
    <t>Ngengwe, Raphael</t>
  </si>
  <si>
    <t>Dod, Harvinder</t>
  </si>
  <si>
    <t>Dossey, Amy</t>
  </si>
  <si>
    <t>Shows, Donald</t>
  </si>
  <si>
    <t>Hawkins, John</t>
  </si>
  <si>
    <t>Lendel, Vasili</t>
  </si>
  <si>
    <t>Weiner, Ronald</t>
  </si>
  <si>
    <t>Nadig, Vishwanatha</t>
  </si>
  <si>
    <t>Orellana Barrios, Menfil</t>
  </si>
  <si>
    <t>Bennett, James</t>
  </si>
  <si>
    <t>Norred, Troy</t>
  </si>
  <si>
    <t>Narayan, Pokhrel</t>
  </si>
  <si>
    <t>Bean, Paul</t>
  </si>
  <si>
    <t>Baldasare, Maria</t>
  </si>
  <si>
    <t>Paixao, Andre</t>
  </si>
  <si>
    <t>Haji, Showkat</t>
  </si>
  <si>
    <t>Anil, Anandam</t>
  </si>
  <si>
    <t>Simpson, Christopher</t>
  </si>
  <si>
    <t>Janjua, Muhammad</t>
  </si>
  <si>
    <t>Karri, Someswara</t>
  </si>
  <si>
    <t>Hashim, Ahmed</t>
  </si>
  <si>
    <t>Zafarullah, Haris</t>
  </si>
  <si>
    <t>Jeffrey, Orcutt</t>
  </si>
  <si>
    <t>De Bruyn, Van</t>
  </si>
  <si>
    <t>Paydak, Hakan</t>
  </si>
  <si>
    <t>Rebolledo, Michael A.</t>
  </si>
  <si>
    <t>James, Holloway</t>
  </si>
  <si>
    <t>Morrow, William</t>
  </si>
  <si>
    <t>Martinez, Hugo</t>
  </si>
  <si>
    <t>Weinstein, Joseph</t>
  </si>
  <si>
    <t>Njoh, Roland</t>
  </si>
  <si>
    <t>Khan, Qaisar</t>
  </si>
  <si>
    <t>Dharamsey, Shabbir</t>
  </si>
  <si>
    <t>Htin, Aung</t>
  </si>
  <si>
    <t>Munns, James</t>
  </si>
  <si>
    <t>Whiteneck, James</t>
  </si>
  <si>
    <t>Greiten, Lawrence</t>
  </si>
  <si>
    <t>Spann, James</t>
  </si>
  <si>
    <t>Howell, Kenneth</t>
  </si>
  <si>
    <t>Hearnsberger, John</t>
  </si>
  <si>
    <t>Nachtigal, Kent</t>
  </si>
  <si>
    <t>Kontos, George</t>
  </si>
  <si>
    <t>Bauer, Thurston</t>
  </si>
  <si>
    <t>Steliga, Matthew</t>
  </si>
  <si>
    <t>Mulvaney, David</t>
  </si>
  <si>
    <t>Larson, Sharon</t>
  </si>
  <si>
    <t>Rayburn, Samuel</t>
  </si>
  <si>
    <t>Jones, Bruce</t>
  </si>
  <si>
    <t>Stein, Alexander</t>
  </si>
  <si>
    <t>Bruckner, Brian</t>
  </si>
  <si>
    <t>Reese, Jon</t>
  </si>
  <si>
    <t>Abby, Keener</t>
  </si>
  <si>
    <t>Fitch, Brandon</t>
  </si>
  <si>
    <t>Dryer, Lori</t>
  </si>
  <si>
    <t>Eckman, Jacob</t>
  </si>
  <si>
    <t>Hines, Joseph</t>
  </si>
  <si>
    <t>Neal, Spencer</t>
  </si>
  <si>
    <t>Bright, Sarah</t>
  </si>
  <si>
    <t>Myers Ii, Bobby</t>
  </si>
  <si>
    <t>Warren, Michael</t>
  </si>
  <si>
    <t>Chandler, Denise</t>
  </si>
  <si>
    <t>Sullivan, John</t>
  </si>
  <si>
    <t>Austin, William</t>
  </si>
  <si>
    <t>Berardi, Philip</t>
  </si>
  <si>
    <t>Justin,James</t>
  </si>
  <si>
    <t>Alexander, Alan</t>
  </si>
  <si>
    <t>Whitelaw, Steven</t>
  </si>
  <si>
    <t>Krug, Kent</t>
  </si>
  <si>
    <t>Langston, Julia</t>
  </si>
  <si>
    <t>Fisher, Olivia</t>
  </si>
  <si>
    <t>Smothers, Loren</t>
  </si>
  <si>
    <t>Hurtig, Trevor</t>
  </si>
  <si>
    <t>Tate, Christopher</t>
  </si>
  <si>
    <t>Warden, Richard</t>
  </si>
  <si>
    <t>Manley, Larry</t>
  </si>
  <si>
    <t>England, Deborah</t>
  </si>
  <si>
    <t>Hathcock, Richard</t>
  </si>
  <si>
    <t>Lovett, James</t>
  </si>
  <si>
    <t>Nolan, George</t>
  </si>
  <si>
    <t>Dickinson, Hugh</t>
  </si>
  <si>
    <t>Yu, Alexander</t>
  </si>
  <si>
    <t>Hicks, Tyler</t>
  </si>
  <si>
    <t>Hayden</t>
  </si>
  <si>
    <t>Walker, Eric</t>
  </si>
  <si>
    <t>Parker, Kaitlin</t>
  </si>
  <si>
    <t>Kight, Tyler</t>
  </si>
  <si>
    <t>Hamilton, Lolethia</t>
  </si>
  <si>
    <t>Martin, Mary</t>
  </si>
  <si>
    <t>Bennett, Steven</t>
  </si>
  <si>
    <t>Garretson, Deanna</t>
  </si>
  <si>
    <t>Roth, Randall</t>
  </si>
  <si>
    <t>Mitchell, Robert</t>
  </si>
  <si>
    <t>Traylor-Logan, Julie</t>
  </si>
  <si>
    <t>Reilly, Brian</t>
  </si>
  <si>
    <t>Carlson, Ryan</t>
  </si>
  <si>
    <t>Tucker, Michael</t>
  </si>
  <si>
    <t>Heard, Dustin</t>
  </si>
  <si>
    <t>Dunlap, Andrew</t>
  </si>
  <si>
    <t>Nichols, Dan</t>
  </si>
  <si>
    <t>Rosnermanz, Ronald</t>
  </si>
  <si>
    <t>Hower Kreul, Courtney</t>
  </si>
  <si>
    <t>Marvel, Michael</t>
  </si>
  <si>
    <t>Travis, Jordan</t>
  </si>
  <si>
    <t>Schilling, James</t>
  </si>
  <si>
    <t>Ozanne, Benjamin</t>
  </si>
  <si>
    <t>Hutson, Terry</t>
  </si>
  <si>
    <t>Stidham, Michael</t>
  </si>
  <si>
    <t>Jardine, Carrie</t>
  </si>
  <si>
    <t>Roe, Donald</t>
  </si>
  <si>
    <t>Butler, Thomas</t>
  </si>
  <si>
    <t>Plumlee, Hayley</t>
  </si>
  <si>
    <t>Frisby, Jed</t>
  </si>
  <si>
    <t>Weatherley, Jimmy</t>
  </si>
  <si>
    <t>Clark, William</t>
  </si>
  <si>
    <t>Browning, Dana</t>
  </si>
  <si>
    <t>Mckelroy, Jeremy</t>
  </si>
  <si>
    <t>Gibson, Dorothy</t>
  </si>
  <si>
    <t>Bell, Larry</t>
  </si>
  <si>
    <t>Jones, Edward</t>
  </si>
  <si>
    <t>Jarman, Michael</t>
  </si>
  <si>
    <t>Batey, Breanna</t>
  </si>
  <si>
    <t>Santos, Eric</t>
  </si>
  <si>
    <t>Niemela, Thomas</t>
  </si>
  <si>
    <t>Crawford, Dillon</t>
  </si>
  <si>
    <t>Brust, Curtis</t>
  </si>
  <si>
    <t>Thompson, Justin</t>
  </si>
  <si>
    <t>Raker, James</t>
  </si>
  <si>
    <t>Denike, Brandon</t>
  </si>
  <si>
    <t>Moore, Phillip</t>
  </si>
  <si>
    <t>Wynn, Mellorya</t>
  </si>
  <si>
    <t>Pearl, Maurice</t>
  </si>
  <si>
    <t>Smith, Kevin</t>
  </si>
  <si>
    <t>Isbell, Thomas</t>
  </si>
  <si>
    <t>Cartillar, Djuana</t>
  </si>
  <si>
    <t>Davis, Angela</t>
  </si>
  <si>
    <t>Allen, James</t>
  </si>
  <si>
    <t>Woods, Jennifer</t>
  </si>
  <si>
    <t>Blackshare, Bryan</t>
  </si>
  <si>
    <t>Briese, Andrew</t>
  </si>
  <si>
    <t>Baltz, Karla</t>
  </si>
  <si>
    <t>Carpenter, Brittany</t>
  </si>
  <si>
    <t>Goacher, Steven</t>
  </si>
  <si>
    <t>Wells, Robert</t>
  </si>
  <si>
    <t>Richardson, Thomas</t>
  </si>
  <si>
    <t>Cardon, Creed</t>
  </si>
  <si>
    <t>Marshall, Christopher</t>
  </si>
  <si>
    <t>Hasme, Abu</t>
  </si>
  <si>
    <t>Copeland, Jasmine</t>
  </si>
  <si>
    <t>Harrison, Matthew</t>
  </si>
  <si>
    <t>Chunn, Mark</t>
  </si>
  <si>
    <t>Sunde, Sarah</t>
  </si>
  <si>
    <t>Meek, Kyle</t>
  </si>
  <si>
    <t>Woodruff, Tim</t>
  </si>
  <si>
    <t>Eason, Dan</t>
  </si>
  <si>
    <t>Thomas, Philip</t>
  </si>
  <si>
    <t>Cyphers, Daniel</t>
  </si>
  <si>
    <t>Brittany A Swiderski</t>
  </si>
  <si>
    <t>Tinnin, James</t>
  </si>
  <si>
    <t>Erica, Parsons</t>
  </si>
  <si>
    <t>Norwood, Abbey</t>
  </si>
  <si>
    <t>Joshua Brudi</t>
  </si>
  <si>
    <t>Goldwin, Robert</t>
  </si>
  <si>
    <t>Bartlett, Jennifer</t>
  </si>
  <si>
    <t>Dietz, Kristian</t>
  </si>
  <si>
    <t>Gipe, Kristi</t>
  </si>
  <si>
    <t>Patel, Sujalkumar</t>
  </si>
  <si>
    <t>Ingram, Austin</t>
  </si>
  <si>
    <t>Clark, Michael</t>
  </si>
  <si>
    <t>Lopez, James</t>
  </si>
  <si>
    <t>Beach, Benjamin</t>
  </si>
  <si>
    <t>Baber, Mark</t>
  </si>
  <si>
    <t>Ederle, Kathleen</t>
  </si>
  <si>
    <t>Dozier, Alexander</t>
  </si>
  <si>
    <t>Rains, Rhett</t>
  </si>
  <si>
    <t>Murphy, Mark</t>
  </si>
  <si>
    <t>Cooper, Justin</t>
  </si>
  <si>
    <t>Osborne, Richard</t>
  </si>
  <si>
    <t>Lopez, Gilberto</t>
  </si>
  <si>
    <t>Dickinson, Leslie</t>
  </si>
  <si>
    <t>Causey, William</t>
  </si>
  <si>
    <t>Kurt, Gibson</t>
  </si>
  <si>
    <t>Holmes, Kurt</t>
  </si>
  <si>
    <t>Legan, Zachary</t>
  </si>
  <si>
    <t>Barham, Laten</t>
  </si>
  <si>
    <t>Christina, Granier</t>
  </si>
  <si>
    <t>Butler, Monte</t>
  </si>
  <si>
    <t>Matousek Ronck, Jennifer</t>
  </si>
  <si>
    <t>Hiegert, Aaron</t>
  </si>
  <si>
    <t>Matthew S Phillips</t>
  </si>
  <si>
    <t>Mackenzie, Sitzman</t>
  </si>
  <si>
    <t>Hopper, Alisa</t>
  </si>
  <si>
    <t>Roblee, Richard</t>
  </si>
  <si>
    <t>Clark, Kristin</t>
  </si>
  <si>
    <t>Ray, Steven</t>
  </si>
  <si>
    <t>Milton, Lesley</t>
  </si>
  <si>
    <t>Zhantein Trieu</t>
  </si>
  <si>
    <t>Wheeler, Monte</t>
  </si>
  <si>
    <t>Lefler, Thomas</t>
  </si>
  <si>
    <t>Smardo, Carissa</t>
  </si>
  <si>
    <t>Mullins, Patti</t>
  </si>
  <si>
    <t>Derrick, Johnson</t>
  </si>
  <si>
    <t>Nixon, Gianina</t>
  </si>
  <si>
    <t>Covington, Jonathan</t>
  </si>
  <si>
    <t>Watkins, Mialika</t>
  </si>
  <si>
    <t>Remerscheid, Dale</t>
  </si>
  <si>
    <t>Carter, Preston</t>
  </si>
  <si>
    <t>Savannah, Hughes</t>
  </si>
  <si>
    <t>Powell, Jeff</t>
  </si>
  <si>
    <t>Blount, Chyrelle</t>
  </si>
  <si>
    <t>Sander, David</t>
  </si>
  <si>
    <t>Van Bebber, William</t>
  </si>
  <si>
    <t>Brewer, Ashley</t>
  </si>
  <si>
    <t>Panousis, Paraskevi</t>
  </si>
  <si>
    <t>Ellis, Hayden</t>
  </si>
  <si>
    <t>Bailey, T</t>
  </si>
  <si>
    <t>Heflin, Kate</t>
  </si>
  <si>
    <t>Cody, Clark</t>
  </si>
  <si>
    <t>Ford, Jerry</t>
  </si>
  <si>
    <t>Ballard, Steve</t>
  </si>
  <si>
    <t>Loftin, Christopher</t>
  </si>
  <si>
    <t>Patten, Thomas</t>
  </si>
  <si>
    <t>Wallace, Zachary</t>
  </si>
  <si>
    <t>Kirstin L Hyser</t>
  </si>
  <si>
    <t>Bussell, Joseph</t>
  </si>
  <si>
    <t>West, Geoffrey</t>
  </si>
  <si>
    <t>Anjaliben, Patel</t>
  </si>
  <si>
    <t>Phillips, Huey</t>
  </si>
  <si>
    <t>Wainscott, Michael</t>
  </si>
  <si>
    <t>Mcalister, T</t>
  </si>
  <si>
    <t>Bonnette, Brynner</t>
  </si>
  <si>
    <t>Gonder, Morgan</t>
  </si>
  <si>
    <t>Garrett, Floyd</t>
  </si>
  <si>
    <t>Beers, Sarah</t>
  </si>
  <si>
    <t>Sanders, Jerry</t>
  </si>
  <si>
    <t>Horton, Ashley</t>
  </si>
  <si>
    <t>Johnson, Brent</t>
  </si>
  <si>
    <t>Addington, Mark</t>
  </si>
  <si>
    <t>Hubbard, Robert</t>
  </si>
  <si>
    <t>Barnes, Kellie</t>
  </si>
  <si>
    <t>Jennings, Jason Matthew</t>
  </si>
  <si>
    <t>Keech, Richard</t>
  </si>
  <si>
    <t>Benton, Brandon Kylye</t>
  </si>
  <si>
    <t>Hill, Scott</t>
  </si>
  <si>
    <t>Skidmore, Mark</t>
  </si>
  <si>
    <t>Jacob, Langston</t>
  </si>
  <si>
    <t>Hannah D Cabe</t>
  </si>
  <si>
    <t>Jones, Jon</t>
  </si>
  <si>
    <t>Sorrells, George</t>
  </si>
  <si>
    <t>Kitchens, Brandon</t>
  </si>
  <si>
    <t>Teale, Matthew</t>
  </si>
  <si>
    <t>Hamilton, Evan</t>
  </si>
  <si>
    <t>John Jafarian</t>
  </si>
  <si>
    <t>Zehtaban, Jahon</t>
  </si>
  <si>
    <t>Kawasaki, Andrew</t>
  </si>
  <si>
    <t>Wise, Michael</t>
  </si>
  <si>
    <t>White County Medical Center</t>
  </si>
  <si>
    <t>Keener, Brad</t>
  </si>
  <si>
    <t>Rappeport, Stephen</t>
  </si>
  <si>
    <t>Williams, Alexander</t>
  </si>
  <si>
    <t>Olson, Anne Kathryn</t>
  </si>
  <si>
    <t>Hudson, James</t>
  </si>
  <si>
    <t>Owen, Clayton</t>
  </si>
  <si>
    <t>Maddox, Shanika</t>
  </si>
  <si>
    <t>Lane, Brian</t>
  </si>
  <si>
    <t>Byrd, Steven</t>
  </si>
  <si>
    <t>Mcalexander, William</t>
  </si>
  <si>
    <t>Lieblong, Daniel</t>
  </si>
  <si>
    <t>Turney, M Ellen</t>
  </si>
  <si>
    <t>Brown, Brock</t>
  </si>
  <si>
    <t>Kutas, Timothy</t>
  </si>
  <si>
    <t>Doshier, Robert</t>
  </si>
  <si>
    <t>Decastro, Guarionex</t>
  </si>
  <si>
    <t>Alexis K Balisterri</t>
  </si>
  <si>
    <t>Kauffman, Chuck</t>
  </si>
  <si>
    <t>Hopkins, Jonathan</t>
  </si>
  <si>
    <t>Wright, Michael</t>
  </si>
  <si>
    <t>Bourns, Michael</t>
  </si>
  <si>
    <t>Lee, John</t>
  </si>
  <si>
    <t>Ivan, Simona</t>
  </si>
  <si>
    <t>Takiya, Jefferson</t>
  </si>
  <si>
    <t>Black, Marcus</t>
  </si>
  <si>
    <t>Fowler, Grant</t>
  </si>
  <si>
    <t>Dixon, Zachary</t>
  </si>
  <si>
    <t>Gatley, Brittney</t>
  </si>
  <si>
    <t>Brooklyn, Woodworth</t>
  </si>
  <si>
    <t>Bradley, Ryan</t>
  </si>
  <si>
    <t>Brandon C Breard</t>
  </si>
  <si>
    <t>Cooner, Leslie</t>
  </si>
  <si>
    <t>Wood, Charles</t>
  </si>
  <si>
    <t>Zimmerebner, Scott</t>
  </si>
  <si>
    <t>Britten M Lovelace</t>
  </si>
  <si>
    <t>Mccreight, Dana</t>
  </si>
  <si>
    <t>Heinzen, Susan</t>
  </si>
  <si>
    <t>Luke Jamison</t>
  </si>
  <si>
    <t>Bush, T James</t>
  </si>
  <si>
    <t>Fulmer, Chad C</t>
  </si>
  <si>
    <t>Madison, Taliaferro</t>
  </si>
  <si>
    <t>Knight, William</t>
  </si>
  <si>
    <t>Alexander, Shing</t>
  </si>
  <si>
    <t>Swann, Samuel</t>
  </si>
  <si>
    <t>Polk, Erica</t>
  </si>
  <si>
    <t>Kymer Cheek, Emily</t>
  </si>
  <si>
    <t>Hodge, Natalia</t>
  </si>
  <si>
    <t>Buffington, April</t>
  </si>
  <si>
    <t>Inman, Thomas</t>
  </si>
  <si>
    <t>Linson, Paige</t>
  </si>
  <si>
    <t>Clinton, Kenan</t>
  </si>
  <si>
    <t>Bains, Sarita</t>
  </si>
  <si>
    <t>Lind, Christopher</t>
  </si>
  <si>
    <t>Gassmann, Benjamin</t>
  </si>
  <si>
    <t>Pulido, Miguel</t>
  </si>
  <si>
    <t>Runsick, Brian</t>
  </si>
  <si>
    <t>Graves, Lester</t>
  </si>
  <si>
    <t>Richmond, Rosie</t>
  </si>
  <si>
    <t>Arnett, William</t>
  </si>
  <si>
    <t>White, Justin</t>
  </si>
  <si>
    <t>Howe, Laurence</t>
  </si>
  <si>
    <t>Smith, Justin</t>
  </si>
  <si>
    <t>Russell, Eric</t>
  </si>
  <si>
    <t>Martin, Terri</t>
  </si>
  <si>
    <t>Belin, Eric</t>
  </si>
  <si>
    <t>Patel, Purvisha</t>
  </si>
  <si>
    <t>Guthrie, Jacey</t>
  </si>
  <si>
    <t>Meltzer, Chelsea</t>
  </si>
  <si>
    <t>Hammonds, Lonnie</t>
  </si>
  <si>
    <t>Umbarger, Bradley</t>
  </si>
  <si>
    <t>Mclaughlin, Jennifer</t>
  </si>
  <si>
    <t>Naylor, Mark</t>
  </si>
  <si>
    <t>Dwyer, Gregory</t>
  </si>
  <si>
    <t>Pearcy, Jay</t>
  </si>
  <si>
    <t>Henson, Terri</t>
  </si>
  <si>
    <t>Shroyer, Whitney</t>
  </si>
  <si>
    <t>Purnell, Joseph</t>
  </si>
  <si>
    <t>Tuli, Malika</t>
  </si>
  <si>
    <t>Henry, Lance</t>
  </si>
  <si>
    <t>Chantara, Alexandra</t>
  </si>
  <si>
    <t>Carrington, Patrick</t>
  </si>
  <si>
    <t>Styles, Angela</t>
  </si>
  <si>
    <t>Mandrell, Joshua</t>
  </si>
  <si>
    <t>Schneider, Michael</t>
  </si>
  <si>
    <t>Zaidi, Syed Nasir</t>
  </si>
  <si>
    <t>Gupta, Prateek</t>
  </si>
  <si>
    <t>Jones, Emily</t>
  </si>
  <si>
    <t>Baird, Brian</t>
  </si>
  <si>
    <t>Alan, Zeto</t>
  </si>
  <si>
    <t>Harper, Don</t>
  </si>
  <si>
    <t>Funk, Zachary</t>
  </si>
  <si>
    <t>Hoover, Dustin</t>
  </si>
  <si>
    <t>Gray, George</t>
  </si>
  <si>
    <t>Bisswanger, Billy</t>
  </si>
  <si>
    <t>Askew, Joseph</t>
  </si>
  <si>
    <t>Beard, Charles</t>
  </si>
  <si>
    <t>Ballesteros, Matias</t>
  </si>
  <si>
    <t>Pittman, William</t>
  </si>
  <si>
    <t>Hinckley, David</t>
  </si>
  <si>
    <t>Hayden, Leibrock</t>
  </si>
  <si>
    <t>Bowman, Vernon</t>
  </si>
  <si>
    <t>Deluca, Russell</t>
  </si>
  <si>
    <t>Naseer, Adnan</t>
  </si>
  <si>
    <t>Suk, William</t>
  </si>
  <si>
    <t>Ahmed, Mohanned</t>
  </si>
  <si>
    <t>Cassidy P Goff</t>
  </si>
  <si>
    <t>Grills, Jeffrey</t>
  </si>
  <si>
    <t>Nathan, Boomi</t>
  </si>
  <si>
    <t>Keenan, Brian</t>
  </si>
  <si>
    <t>Jenson, Natasa</t>
  </si>
  <si>
    <t>Bowers, Drew</t>
  </si>
  <si>
    <t>Lococo, Vincent</t>
  </si>
  <si>
    <t>Chandler, Jennifer</t>
  </si>
  <si>
    <t>Post, Joshua</t>
  </si>
  <si>
    <t>Spiro, David</t>
  </si>
  <si>
    <t>Fritzsche, James</t>
  </si>
  <si>
    <t>Nickels, Leslie</t>
  </si>
  <si>
    <t>Stiger, Mathew</t>
  </si>
  <si>
    <t>Horton, Charles</t>
  </si>
  <si>
    <t>Fortenberry, Dewitt</t>
  </si>
  <si>
    <t>Lawson, Nicole</t>
  </si>
  <si>
    <t>Omwanghe, Kimberli</t>
  </si>
  <si>
    <t>Johnson, Dwight</t>
  </si>
  <si>
    <t>Taylor, Samuel</t>
  </si>
  <si>
    <t>Box, Amanda</t>
  </si>
  <si>
    <t>White, Faber</t>
  </si>
  <si>
    <t>Reddy, Vijayabhasker</t>
  </si>
  <si>
    <t>Blair E. Batson Hospital For Children University Of Mississippi Medical Center</t>
  </si>
  <si>
    <t>Easley, Seth</t>
  </si>
  <si>
    <t>Clark, Mark</t>
  </si>
  <si>
    <t>Sarah K Kabemba Tshitenge</t>
  </si>
  <si>
    <t>Sparling, Madeline</t>
  </si>
  <si>
    <t>Sadler, Philip</t>
  </si>
  <si>
    <t>Obembe Olufolajimi O</t>
  </si>
  <si>
    <t>Aimee, Robinson</t>
  </si>
  <si>
    <t>Smith, Mandolin</t>
  </si>
  <si>
    <t>Mirocke, Andrew</t>
  </si>
  <si>
    <t>Hudson Walsh, Brittany</t>
  </si>
  <si>
    <t>Quevillon, Melissa</t>
  </si>
  <si>
    <t>Purcell, Seth</t>
  </si>
  <si>
    <t>Nesaraj, Alfred</t>
  </si>
  <si>
    <t>Eastman, Michael</t>
  </si>
  <si>
    <t>Byrum, Jerry</t>
  </si>
  <si>
    <t>Guinn, Robby</t>
  </si>
  <si>
    <t>Brucker, Nicholas</t>
  </si>
  <si>
    <t>Cohn, Arthur</t>
  </si>
  <si>
    <t>Harton, Timothy</t>
  </si>
  <si>
    <t>Bah, Mohammed</t>
  </si>
  <si>
    <t>Leventhal, Stuart</t>
  </si>
  <si>
    <t>Watters, Julieanne</t>
  </si>
  <si>
    <t>Sinojia, Girish</t>
  </si>
  <si>
    <t>Efune, Bradley</t>
  </si>
  <si>
    <t>Browning-Gerlick, Sonia</t>
  </si>
  <si>
    <t>James, C'Asia</t>
  </si>
  <si>
    <t>Brashears, Clay</t>
  </si>
  <si>
    <t>Creasy, Steven</t>
  </si>
  <si>
    <t>Garrett, David</t>
  </si>
  <si>
    <t>Liggin, Rebecca</t>
  </si>
  <si>
    <t>Cody, Stephanie</t>
  </si>
  <si>
    <t>Arya, Indra</t>
  </si>
  <si>
    <t>Upchurch, Henry</t>
  </si>
  <si>
    <t>Frego, Jonathan</t>
  </si>
  <si>
    <t>Marlow, Kereem</t>
  </si>
  <si>
    <t>Dye, James</t>
  </si>
  <si>
    <t>Whitlock, James</t>
  </si>
  <si>
    <t>Narciso, Philipp</t>
  </si>
  <si>
    <t>Shah, Shahid</t>
  </si>
  <si>
    <t>Malhotra, Reenu</t>
  </si>
  <si>
    <t>Jilani, Shaiquel A.</t>
  </si>
  <si>
    <t>Bryant, Timothy</t>
  </si>
  <si>
    <t>Pontani, Bradley</t>
  </si>
  <si>
    <t>Turner, Sammy</t>
  </si>
  <si>
    <t>Martinez, Antonio</t>
  </si>
  <si>
    <t>Stroud, Michael</t>
  </si>
  <si>
    <t>Alsaek, Yaser</t>
  </si>
  <si>
    <t>Patel, Amit</t>
  </si>
  <si>
    <t>Long, Rikki</t>
  </si>
  <si>
    <t>Platt, Henry</t>
  </si>
  <si>
    <t>Brimberry, Ronald</t>
  </si>
  <si>
    <t>Small, James</t>
  </si>
  <si>
    <t>Barr, Meredith</t>
  </si>
  <si>
    <t>Mason, Charles</t>
  </si>
  <si>
    <t>Lindsey, Brad</t>
  </si>
  <si>
    <t>Horstman, Curtis</t>
  </si>
  <si>
    <t>Hearnsberger, Andrea</t>
  </si>
  <si>
    <t>Khalifa, Andrew</t>
  </si>
  <si>
    <t>Liebelt, Erica L.</t>
  </si>
  <si>
    <t>Keithley, Joshua</t>
  </si>
  <si>
    <t>Talburt, Jason</t>
  </si>
  <si>
    <t>Langston, Catherine</t>
  </si>
  <si>
    <t>Easterday, Thomas</t>
  </si>
  <si>
    <t>Bishop, Danielle</t>
  </si>
  <si>
    <t>Guerra, Juan</t>
  </si>
  <si>
    <t>Victoria, Reynolds-Vaughn</t>
  </si>
  <si>
    <t>Walter, Matthew</t>
  </si>
  <si>
    <t>Meyer, Brian</t>
  </si>
  <si>
    <t>Shah, Siddharth</t>
  </si>
  <si>
    <t>Womback, Kimberly</t>
  </si>
  <si>
    <t>Lybbert, Monty</t>
  </si>
  <si>
    <t>Hargis, Alexander</t>
  </si>
  <si>
    <t>Lewis, Zachary</t>
  </si>
  <si>
    <t>Rucker, Mark</t>
  </si>
  <si>
    <t>Cross, Cynthia</t>
  </si>
  <si>
    <t>Kuzas, Jane</t>
  </si>
  <si>
    <t>Pickren, Craig</t>
  </si>
  <si>
    <t>Hashmi, Salman</t>
  </si>
  <si>
    <t>Hanson, Allyson</t>
  </si>
  <si>
    <t>Chatman, Ira</t>
  </si>
  <si>
    <t>King, Justin</t>
  </si>
  <si>
    <t>Daniel, Andrew</t>
  </si>
  <si>
    <t>Rubio, Ronald</t>
  </si>
  <si>
    <t>Kuo, Karen</t>
  </si>
  <si>
    <t>Small, Hailey</t>
  </si>
  <si>
    <t>Nerie A Jamison</t>
  </si>
  <si>
    <t>Khan, Abdul</t>
  </si>
  <si>
    <t>Sloas, Harold</t>
  </si>
  <si>
    <t>Singh, Rajeev</t>
  </si>
  <si>
    <t>Williams, Amber</t>
  </si>
  <si>
    <t>Zimmerman, Stacy</t>
  </si>
  <si>
    <t>Nwude, Ugochukwu</t>
  </si>
  <si>
    <t>Taylor, Maxwell</t>
  </si>
  <si>
    <t>Michael, Abrahams</t>
  </si>
  <si>
    <t>Anderson, Jared</t>
  </si>
  <si>
    <t>Alexander, Hall</t>
  </si>
  <si>
    <t>Dahlager, Brittany</t>
  </si>
  <si>
    <t>Collins, Garrick</t>
  </si>
  <si>
    <t>Hoque, Md Shadiqul</t>
  </si>
  <si>
    <t>Gadd, Nichole</t>
  </si>
  <si>
    <t>Monroe, Brett B.</t>
  </si>
  <si>
    <t>Russworm, Keith</t>
  </si>
  <si>
    <t>Lee, Kent</t>
  </si>
  <si>
    <t>Goodman, Allyson</t>
  </si>
  <si>
    <t>Guthikonda, Ramesh</t>
  </si>
  <si>
    <t>Brown, Joe</t>
  </si>
  <si>
    <t>Bartholomew, Seth</t>
  </si>
  <si>
    <t>Johnson, Chris</t>
  </si>
  <si>
    <t>Parrott, Robert</t>
  </si>
  <si>
    <t>Nelson, Randolph</t>
  </si>
  <si>
    <t>Dobner, Sherri</t>
  </si>
  <si>
    <t>Wittber, Frederick</t>
  </si>
  <si>
    <t>Harney, Justin</t>
  </si>
  <si>
    <t>Shenep, Lori</t>
  </si>
  <si>
    <t>Coldwell, Jeffrey</t>
  </si>
  <si>
    <t>Egly, Kathryn</t>
  </si>
  <si>
    <t>Sessler, Lonnie</t>
  </si>
  <si>
    <t>Morris, Bishawn</t>
  </si>
  <si>
    <t>Gomez, Henry</t>
  </si>
  <si>
    <t>Carey, Martin</t>
  </si>
  <si>
    <t>Mcbride, Therese</t>
  </si>
  <si>
    <t>Bryan, Andrew</t>
  </si>
  <si>
    <t>Hao, Lin</t>
  </si>
  <si>
    <t>Rowell, Stewart</t>
  </si>
  <si>
    <t>Espinoza, Diego</t>
  </si>
  <si>
    <t>Tupper, Johnathan</t>
  </si>
  <si>
    <t>David, Bryant</t>
  </si>
  <si>
    <t>Snipes, Carly</t>
  </si>
  <si>
    <t>Michael, Tobin</t>
  </si>
  <si>
    <t>Powell, Jarrett</t>
  </si>
  <si>
    <t>Reynolds, Timothy</t>
  </si>
  <si>
    <t>Hendrix, Barry</t>
  </si>
  <si>
    <t>Schaefer, Donald</t>
  </si>
  <si>
    <t>Landfield, Elliott</t>
  </si>
  <si>
    <t>Plasse, Peter</t>
  </si>
  <si>
    <t>Parker, Matthew</t>
  </si>
  <si>
    <t>Marcus R Hennon</t>
  </si>
  <si>
    <t>Parkhurst, Gary</t>
  </si>
  <si>
    <t>Owens, John</t>
  </si>
  <si>
    <t>Stubbs, Jason</t>
  </si>
  <si>
    <t>Williams, Theron</t>
  </si>
  <si>
    <t>Tennyson, Joshua</t>
  </si>
  <si>
    <t>Ndidi, Udeogu</t>
  </si>
  <si>
    <t>Lynn, William</t>
  </si>
  <si>
    <t>Rodgers, Chadwick</t>
  </si>
  <si>
    <t>Willard, Julee</t>
  </si>
  <si>
    <t>Lane, Brandy</t>
  </si>
  <si>
    <t>Joel, Wussow</t>
  </si>
  <si>
    <t>Frost, Andrew</t>
  </si>
  <si>
    <t>Guillermo, Enrique</t>
  </si>
  <si>
    <t>Lyles, Fred</t>
  </si>
  <si>
    <t>Roberts, Christopher</t>
  </si>
  <si>
    <t>Woods, John</t>
  </si>
  <si>
    <t>Wilson, Lindsey</t>
  </si>
  <si>
    <t>Afilaka, Bukola</t>
  </si>
  <si>
    <t>Filip, Ari</t>
  </si>
  <si>
    <t>Zolkowski, Gregory</t>
  </si>
  <si>
    <t>Leavitt, Benjamin</t>
  </si>
  <si>
    <t>John, Steed</t>
  </si>
  <si>
    <t>Lyndsay, Fisher</t>
  </si>
  <si>
    <t>Downs, Michael</t>
  </si>
  <si>
    <t>Groom, Bruce</t>
  </si>
  <si>
    <t>Crawford, Chet</t>
  </si>
  <si>
    <t>Gatter, Maripat</t>
  </si>
  <si>
    <t>Emily, Fisher</t>
  </si>
  <si>
    <t>Raquel, Rivera Cruz</t>
  </si>
  <si>
    <t>Natalie, Rodriguez</t>
  </si>
  <si>
    <t>Jackson, Leigh A.</t>
  </si>
  <si>
    <t>Wendel, Mark</t>
  </si>
  <si>
    <t>Dupree, Matthew</t>
  </si>
  <si>
    <t>David Darrigan</t>
  </si>
  <si>
    <t>Crow, David</t>
  </si>
  <si>
    <t>Kiara A Pendergraft</t>
  </si>
  <si>
    <t>Ezell, Larry</t>
  </si>
  <si>
    <t>Lu, Eugene</t>
  </si>
  <si>
    <t>Haselow, Dirk</t>
  </si>
  <si>
    <t>Bordador, Apolinar</t>
  </si>
  <si>
    <t>Kaliki, Vamsikrishna</t>
  </si>
  <si>
    <t>Rose, Jessica</t>
  </si>
  <si>
    <t>Clark, Teresa</t>
  </si>
  <si>
    <t>Erwin, Steven</t>
  </si>
  <si>
    <t>Miranda, Michael</t>
  </si>
  <si>
    <t>Lewis, Johnathan</t>
  </si>
  <si>
    <t>Campbell, Ann</t>
  </si>
  <si>
    <t>Okonkwo, Francis</t>
  </si>
  <si>
    <t>Sra, Surinder</t>
  </si>
  <si>
    <t>Stanford, Kendall</t>
  </si>
  <si>
    <t>Kanneganti, Praveen</t>
  </si>
  <si>
    <t>Lindsey, Candy</t>
  </si>
  <si>
    <t>Herrington, Timothy</t>
  </si>
  <si>
    <t>Siddiqui, Shagufta</t>
  </si>
  <si>
    <t>Yao, Joseph</t>
  </si>
  <si>
    <t>Morshedi, Brandon</t>
  </si>
  <si>
    <t>Ogwo, Cherechi</t>
  </si>
  <si>
    <t>Marks, Matthew</t>
  </si>
  <si>
    <t>Poulos, Michael</t>
  </si>
  <si>
    <t>Joshua Burton</t>
  </si>
  <si>
    <t>Funk, Eric</t>
  </si>
  <si>
    <t>Clinton A Akin</t>
  </si>
  <si>
    <t>Guerrero, Jorge</t>
  </si>
  <si>
    <t>Gomez, Rosa</t>
  </si>
  <si>
    <t>Thompson, Stanley</t>
  </si>
  <si>
    <t>Nicholson, Julia</t>
  </si>
  <si>
    <t>Cheyne, Ian</t>
  </si>
  <si>
    <t>Whicker, Kimberly</t>
  </si>
  <si>
    <t>Krishchenko, Yelena</t>
  </si>
  <si>
    <t>Huffman, James</t>
  </si>
  <si>
    <t>Stewart, Audra</t>
  </si>
  <si>
    <t>Helton, Sara</t>
  </si>
  <si>
    <t>Bada, Samuel</t>
  </si>
  <si>
    <t>Flippin, Dane</t>
  </si>
  <si>
    <t>Jones, Shaletha</t>
  </si>
  <si>
    <t>Belt, Michael B</t>
  </si>
  <si>
    <t>Edward, Perry</t>
  </si>
  <si>
    <t>Morgan, Sofie</t>
  </si>
  <si>
    <t>Imran, Tabasum</t>
  </si>
  <si>
    <t>Elizabeth A Hutson</t>
  </si>
  <si>
    <t>Fong, Yuen Yee</t>
  </si>
  <si>
    <t>Oluokun, Folake</t>
  </si>
  <si>
    <t>Farris, Michael</t>
  </si>
  <si>
    <t>Burns, Terry</t>
  </si>
  <si>
    <t>Hahn, Emily A.</t>
  </si>
  <si>
    <t>Von Dohlen, Meredith</t>
  </si>
  <si>
    <t>Frey, John</t>
  </si>
  <si>
    <t>Tribbey, Donald</t>
  </si>
  <si>
    <t>Shaffer, Kimberly</t>
  </si>
  <si>
    <t>Nnenna Ejesieme</t>
  </si>
  <si>
    <t>Melton, Travis</t>
  </si>
  <si>
    <t>Turner, Robert</t>
  </si>
  <si>
    <t>Baalman, Jacob</t>
  </si>
  <si>
    <t>Ramakrishnaiah, Raghu</t>
  </si>
  <si>
    <t>Oljeski, Stephen</t>
  </si>
  <si>
    <t>Nakkar, Samer</t>
  </si>
  <si>
    <t>Williams, Steven</t>
  </si>
  <si>
    <t>Singh, Jaime</t>
  </si>
  <si>
    <t>Watkins, Nicholas R</t>
  </si>
  <si>
    <t>Dawson, Brian</t>
  </si>
  <si>
    <t>Bledsoe, Gregory</t>
  </si>
  <si>
    <t>Knox, Christopher</t>
  </si>
  <si>
    <t>Patel, Chandrakant</t>
  </si>
  <si>
    <t>Tyler Slade</t>
  </si>
  <si>
    <t>Tajouri, Mehdi</t>
  </si>
  <si>
    <t>Skinner, Jason</t>
  </si>
  <si>
    <t>Corpus, Michael</t>
  </si>
  <si>
    <t>Krawczuk, Lindsey</t>
  </si>
  <si>
    <t>Carter, Todd</t>
  </si>
  <si>
    <t>Vyas, Dileepkumar</t>
  </si>
  <si>
    <t>Wyatt, Richard</t>
  </si>
  <si>
    <t>Studyvin, Kenneth C</t>
  </si>
  <si>
    <t>Schmidt, Kayla</t>
  </si>
  <si>
    <t>Vaibhav S Desai</t>
  </si>
  <si>
    <t>Behr, Christoper</t>
  </si>
  <si>
    <t>Weatherford, Zachary</t>
  </si>
  <si>
    <t>Aderanti, Moses</t>
  </si>
  <si>
    <t>Daily, Richard</t>
  </si>
  <si>
    <t>Sandor, Zsolt</t>
  </si>
  <si>
    <t>Allen, Justin</t>
  </si>
  <si>
    <t>Stephanie, Angel</t>
  </si>
  <si>
    <t>Heidi D Meredith</t>
  </si>
  <si>
    <t>Cook, Joseph</t>
  </si>
  <si>
    <t>Kwong, Ryan</t>
  </si>
  <si>
    <t>Robins, Larry</t>
  </si>
  <si>
    <t>Shapter, Janet</t>
  </si>
  <si>
    <t>Palmer, Jonathan</t>
  </si>
  <si>
    <t>Ward, Joshua</t>
  </si>
  <si>
    <t>Paxton, Jason</t>
  </si>
  <si>
    <t>Schexnayder, Stephen</t>
  </si>
  <si>
    <t>Cooper, Kari</t>
  </si>
  <si>
    <t>Ambrogini, Elena</t>
  </si>
  <si>
    <t>Miller, Gena</t>
  </si>
  <si>
    <t>Bursey, Deborah</t>
  </si>
  <si>
    <t>Bonucchi, James</t>
  </si>
  <si>
    <t>Jain, Nidhi</t>
  </si>
  <si>
    <t>Bhavana, Vemula</t>
  </si>
  <si>
    <t>Bodenner, Donald</t>
  </si>
  <si>
    <t>Mejia-Otero, Juan</t>
  </si>
  <si>
    <t>Folb, Leah</t>
  </si>
  <si>
    <t>Rainwater, Derek</t>
  </si>
  <si>
    <t>Srinivasa, Kasina</t>
  </si>
  <si>
    <t>Salman, Fariha</t>
  </si>
  <si>
    <t>Magsino, Cesar</t>
  </si>
  <si>
    <t>Ganong, Kevin</t>
  </si>
  <si>
    <t>Harary, Shimon</t>
  </si>
  <si>
    <t>Rawah, Zeiad</t>
  </si>
  <si>
    <t>Tamhane, Shrikant</t>
  </si>
  <si>
    <t>Georgolios, Alexandros</t>
  </si>
  <si>
    <t>Snell, Stephen</t>
  </si>
  <si>
    <t>Barker, Monty</t>
  </si>
  <si>
    <t>Milburn, Mark</t>
  </si>
  <si>
    <t>Marsh, Michael</t>
  </si>
  <si>
    <t>Lollar, Kevin</t>
  </si>
  <si>
    <t>Burge, Scott</t>
  </si>
  <si>
    <t>Williamson, Adrian</t>
  </si>
  <si>
    <t>Lansford, Bryan</t>
  </si>
  <si>
    <t>Ragland, James</t>
  </si>
  <si>
    <t>Bentley, Anthony</t>
  </si>
  <si>
    <t>Hatfield, David</t>
  </si>
  <si>
    <t>Dorrity, Jeffrey</t>
  </si>
  <si>
    <t>Whitt, Paul</t>
  </si>
  <si>
    <t>Michael O Larson</t>
  </si>
  <si>
    <t>Naidu, Srikanth</t>
  </si>
  <si>
    <t>Dedhia, Raj</t>
  </si>
  <si>
    <t>Sansoni, Eugene</t>
  </si>
  <si>
    <t>Amos, Janine</t>
  </si>
  <si>
    <t>Shaw, Collie</t>
  </si>
  <si>
    <t>Brawner, James</t>
  </si>
  <si>
    <t>Emmett, Susan</t>
  </si>
  <si>
    <t>Rolston, William</t>
  </si>
  <si>
    <t>Stern, Scott</t>
  </si>
  <si>
    <t>Durvasula, Phani</t>
  </si>
  <si>
    <t>Kirsch, Jeffrey</t>
  </si>
  <si>
    <t>Christine A Mirabal</t>
  </si>
  <si>
    <t>Sales, Joseph</t>
  </si>
  <si>
    <t>Morris, Barbara</t>
  </si>
  <si>
    <t>Tellez Avila, Felix</t>
  </si>
  <si>
    <t>Sosnoff, David</t>
  </si>
  <si>
    <t>Shoaib</t>
  </si>
  <si>
    <t>Joseph, Jacob</t>
  </si>
  <si>
    <t>Hightower, Michael</t>
  </si>
  <si>
    <t>Elsakr, Raif</t>
  </si>
  <si>
    <t>Ramsey, Peter</t>
  </si>
  <si>
    <t>Coggins, Kenneth</t>
  </si>
  <si>
    <t>Patel, Aatish</t>
  </si>
  <si>
    <t>Trice, James</t>
  </si>
  <si>
    <t>Stidman, Jeffrey</t>
  </si>
  <si>
    <t>Stokes, Bernard</t>
  </si>
  <si>
    <t>Svoboda, Robert</t>
  </si>
  <si>
    <t>Lyford, Gregory</t>
  </si>
  <si>
    <t>Backstedt, David</t>
  </si>
  <si>
    <t>Christoph T Woerlein</t>
  </si>
  <si>
    <t>Barton, Gary</t>
  </si>
  <si>
    <t>Ayers, Travis</t>
  </si>
  <si>
    <t>Selakovich, Patrick</t>
  </si>
  <si>
    <t>Thakare, Pradeep</t>
  </si>
  <si>
    <t>Inamdar, Sumant</t>
  </si>
  <si>
    <t>Ann M Schreiber</t>
  </si>
  <si>
    <t>Black, Dennis</t>
  </si>
  <si>
    <t>Saltz, Richard</t>
  </si>
  <si>
    <t>Dehmel, Stephan</t>
  </si>
  <si>
    <t>Coppola, Angelo</t>
  </si>
  <si>
    <t>Sifford, Michael</t>
  </si>
  <si>
    <t>Ward, John</t>
  </si>
  <si>
    <t>Al-Rashdan, Abdullah</t>
  </si>
  <si>
    <t>Fiedorek, Stephen</t>
  </si>
  <si>
    <t>Levstik, Mark</t>
  </si>
  <si>
    <t>Lazar, Linda</t>
  </si>
  <si>
    <t>Decker, Christopher</t>
  </si>
  <si>
    <t>Ifeadike, Walter C.</t>
  </si>
  <si>
    <t>Akbar, Ali</t>
  </si>
  <si>
    <t>Hida, Sven</t>
  </si>
  <si>
    <t>Jackson, Terrence</t>
  </si>
  <si>
    <t>Dragutsky, Michael</t>
  </si>
  <si>
    <t>Surles, Carles</t>
  </si>
  <si>
    <t>Simonian, Hrair</t>
  </si>
  <si>
    <t>Gibbs, Kelly</t>
  </si>
  <si>
    <t>Devaki, Pardha</t>
  </si>
  <si>
    <t>Neeraj</t>
  </si>
  <si>
    <t>Stoll, Janis</t>
  </si>
  <si>
    <t>Gillam, Marcene</t>
  </si>
  <si>
    <t>Clark, Lauren</t>
  </si>
  <si>
    <t>Stockdale, Donovan</t>
  </si>
  <si>
    <t>Ormseth, Eric</t>
  </si>
  <si>
    <t>Breving, Robert</t>
  </si>
  <si>
    <t>Fischer, Amanda</t>
  </si>
  <si>
    <t>Bourland, Wendy</t>
  </si>
  <si>
    <t>Hindman, Jason</t>
  </si>
  <si>
    <t>Payne, Melvin</t>
  </si>
  <si>
    <t>Rustin, Walters</t>
  </si>
  <si>
    <t>Fletcher, Daniel</t>
  </si>
  <si>
    <t>Hardister, Robert</t>
  </si>
  <si>
    <t>Dicocco, Jennifer</t>
  </si>
  <si>
    <t>Mullis, Ronald</t>
  </si>
  <si>
    <t>Jones, Dawn</t>
  </si>
  <si>
    <t>Wirges, Richard</t>
  </si>
  <si>
    <t>Grisham, Natalie</t>
  </si>
  <si>
    <t>Hayslett, Andrew</t>
  </si>
  <si>
    <t>Marotti, Alfred</t>
  </si>
  <si>
    <t>Justin,Hunter</t>
  </si>
  <si>
    <t>Rairigh, Richard</t>
  </si>
  <si>
    <t>Peterson, Beth</t>
  </si>
  <si>
    <t>Spann, Michael</t>
  </si>
  <si>
    <t>Alexandra Theisen</t>
  </si>
  <si>
    <t>Davidson, Whitney</t>
  </si>
  <si>
    <t>Hemo, Eliyahu</t>
  </si>
  <si>
    <t>Padilla, Jose</t>
  </si>
  <si>
    <t>Moll, John</t>
  </si>
  <si>
    <t>Mooney, Donald</t>
  </si>
  <si>
    <t>Spore, John</t>
  </si>
  <si>
    <t>Lister, Danny</t>
  </si>
  <si>
    <t>Powell, Benjamin</t>
  </si>
  <si>
    <t>Mccallie, Theresa</t>
  </si>
  <si>
    <t>Fine, Richard</t>
  </si>
  <si>
    <t>Dominguez, Jose</t>
  </si>
  <si>
    <t>Larrimer, Zachary</t>
  </si>
  <si>
    <t>Lang, Patrick</t>
  </si>
  <si>
    <t>Nezakatgoo, Nosratollah</t>
  </si>
  <si>
    <t>Eck, Bryan</t>
  </si>
  <si>
    <t>Seffense, Stephen</t>
  </si>
  <si>
    <t>Parray, Tariq</t>
  </si>
  <si>
    <t>Gaston, Isaac</t>
  </si>
  <si>
    <t>Hess, Alexis</t>
  </si>
  <si>
    <t>Kennedy, Thomas</t>
  </si>
  <si>
    <t>Porter, Lewis</t>
  </si>
  <si>
    <t>Ferrari, Jonathan</t>
  </si>
  <si>
    <t>Thomas, Haley</t>
  </si>
  <si>
    <t>Johnson, Donna</t>
  </si>
  <si>
    <t>Lunsford, Kevin</t>
  </si>
  <si>
    <t>Leinwand, Michael</t>
  </si>
  <si>
    <t>Fischer, Peter</t>
  </si>
  <si>
    <t>Lumb, John</t>
  </si>
  <si>
    <t>Owoso, Moses</t>
  </si>
  <si>
    <t>Luttrell, Rex</t>
  </si>
  <si>
    <t>Sara C Soule</t>
  </si>
  <si>
    <t>Moffett, Thomas</t>
  </si>
  <si>
    <t>Menendez, Moises</t>
  </si>
  <si>
    <t>Andre</t>
  </si>
  <si>
    <t>Pemberton, John</t>
  </si>
  <si>
    <t>Rogers, Hollis</t>
  </si>
  <si>
    <t>Bruijn, Lucy L.</t>
  </si>
  <si>
    <t>Myers, Andrew</t>
  </si>
  <si>
    <t>Pack, Philip</t>
  </si>
  <si>
    <t>Robertson, Yara</t>
  </si>
  <si>
    <t>Vanderwalde, Lindi</t>
  </si>
  <si>
    <t>Gilmore, Richard C.</t>
  </si>
  <si>
    <t>Mctague, Matthew</t>
  </si>
  <si>
    <t>Kabbani, Majd</t>
  </si>
  <si>
    <t>Williams, Regan</t>
  </si>
  <si>
    <t>Graham, Eric</t>
  </si>
  <si>
    <t>Humphrey, Landon</t>
  </si>
  <si>
    <t>Yarnell, David</t>
  </si>
  <si>
    <t>Wright, Moriah</t>
  </si>
  <si>
    <t>Whipple, Joel</t>
  </si>
  <si>
    <t>Tolleson, Joshua</t>
  </si>
  <si>
    <t>Bufo, Anthony</t>
  </si>
  <si>
    <t>Buechter, Kennan</t>
  </si>
  <si>
    <t>Beyga, Zbigniew</t>
  </si>
  <si>
    <t>Turner, Keli</t>
  </si>
  <si>
    <t>Osgood, Geoffrey</t>
  </si>
  <si>
    <t>Mink, Billy</t>
  </si>
  <si>
    <t>Jeelani, Yasser</t>
  </si>
  <si>
    <t>Katz, Joshua</t>
  </si>
  <si>
    <t>Slotcavage, Rachel</t>
  </si>
  <si>
    <t>Orcutt, Sonia</t>
  </si>
  <si>
    <t>Mustain, William</t>
  </si>
  <si>
    <t>Barnard, Danielle</t>
  </si>
  <si>
    <t>Beene, Hannah</t>
  </si>
  <si>
    <t>Laffoon, Gregory</t>
  </si>
  <si>
    <t>Pries, Jessica</t>
  </si>
  <si>
    <t>Williams, Clay</t>
  </si>
  <si>
    <t>Burge, John</t>
  </si>
  <si>
    <t>Petrino, Robert</t>
  </si>
  <si>
    <t>Cross, Michael</t>
  </si>
  <si>
    <t>Famuyide, Mobolaji</t>
  </si>
  <si>
    <t>Zakhireh, Jennifer</t>
  </si>
  <si>
    <t>Brown, Matthew</t>
  </si>
  <si>
    <t>Ochoa, Daniela</t>
  </si>
  <si>
    <t>Latham, Christian</t>
  </si>
  <si>
    <t>Yoo, Min Chong</t>
  </si>
  <si>
    <t>Petzinger, Catherine</t>
  </si>
  <si>
    <t>Khoshbin, Sina</t>
  </si>
  <si>
    <t>Roberts, Matthew</t>
  </si>
  <si>
    <t>Eckes, Darryl</t>
  </si>
  <si>
    <t>Whitt, Jeremy</t>
  </si>
  <si>
    <t>Nelson, John</t>
  </si>
  <si>
    <t>Paul, Johnson</t>
  </si>
  <si>
    <t>Sexton, Kevin</t>
  </si>
  <si>
    <t>Donato, Heather</t>
  </si>
  <si>
    <t>Jaskey, David</t>
  </si>
  <si>
    <t>Devine, Mary</t>
  </si>
  <si>
    <t>Chauhan, Heather</t>
  </si>
  <si>
    <t>Hughes, Dawn</t>
  </si>
  <si>
    <t>Lefler, Stephen</t>
  </si>
  <si>
    <t>Rainwater, Melissa</t>
  </si>
  <si>
    <t>Baka, John</t>
  </si>
  <si>
    <t>Glynne, Rose</t>
  </si>
  <si>
    <t>Lam, Tony</t>
  </si>
  <si>
    <t>Wood, Thomas</t>
  </si>
  <si>
    <t>Harper, Julie</t>
  </si>
  <si>
    <t>Koerten, James</t>
  </si>
  <si>
    <t>Gibbs, Charles</t>
  </si>
  <si>
    <t>Greenfield, William</t>
  </si>
  <si>
    <t>Nolen, Lauren</t>
  </si>
  <si>
    <t>Johnson, Camika</t>
  </si>
  <si>
    <t>May, Caroline</t>
  </si>
  <si>
    <t>Jones, Kristina</t>
  </si>
  <si>
    <t>Mcdonald, Mary</t>
  </si>
  <si>
    <t>Butcher, Sharon</t>
  </si>
  <si>
    <t>Johnson, Carrie</t>
  </si>
  <si>
    <t>Georgiann, Weaver</t>
  </si>
  <si>
    <t>Appleget, Katherine</t>
  </si>
  <si>
    <t>Brock, Whitney</t>
  </si>
  <si>
    <t>Weathers, Tiffany</t>
  </si>
  <si>
    <t>Cardenas, Jaime</t>
  </si>
  <si>
    <t>Maria A Hy</t>
  </si>
  <si>
    <t>Tobey, Audrey</t>
  </si>
  <si>
    <t>Bell, Brandon</t>
  </si>
  <si>
    <t>Citty, James</t>
  </si>
  <si>
    <t>Daniels, Anthony</t>
  </si>
  <si>
    <t>Patty, John</t>
  </si>
  <si>
    <t>Bingham, Dandra</t>
  </si>
  <si>
    <t>Hutchinson, Clinton</t>
  </si>
  <si>
    <t>Sellers, Matthew</t>
  </si>
  <si>
    <t>Knott, Jason</t>
  </si>
  <si>
    <t>Boyd, Curtis</t>
  </si>
  <si>
    <t>Veluswamy, Hemanth</t>
  </si>
  <si>
    <t>Stanley, Russell</t>
  </si>
  <si>
    <t>Case, Shannon</t>
  </si>
  <si>
    <t>Richardson, Lakeisha</t>
  </si>
  <si>
    <t>Crouse, Leah</t>
  </si>
  <si>
    <t>Rocha, Carlos</t>
  </si>
  <si>
    <t>King, Shelby</t>
  </si>
  <si>
    <t>Hertler, Kristin</t>
  </si>
  <si>
    <t>Pollack, Stacy</t>
  </si>
  <si>
    <t>Ballmann, Scott</t>
  </si>
  <si>
    <t>Engle, David</t>
  </si>
  <si>
    <t>Mcfarland, Cortez</t>
  </si>
  <si>
    <t>Ranganathan, Ananth</t>
  </si>
  <si>
    <t>Riddell, Carl</t>
  </si>
  <si>
    <t>Mack, Mendy</t>
  </si>
  <si>
    <t>Moses, Linda</t>
  </si>
  <si>
    <t>Ryan, Charles</t>
  </si>
  <si>
    <t>Reynolds, Marion</t>
  </si>
  <si>
    <t>Rupesh, Patel</t>
  </si>
  <si>
    <t>Mcclanahan, John</t>
  </si>
  <si>
    <t>Amagwula, Tochi</t>
  </si>
  <si>
    <t>Mcadory, Jane</t>
  </si>
  <si>
    <t>Wright, Alicia</t>
  </si>
  <si>
    <t>Williams, Amanda</t>
  </si>
  <si>
    <t>Ragunanthan, Nina</t>
  </si>
  <si>
    <t>Jayaprabhu, Sudheer</t>
  </si>
  <si>
    <t>Parker, Antay</t>
  </si>
  <si>
    <t>Breniman, Kevin</t>
  </si>
  <si>
    <t>Jessica, Bell</t>
  </si>
  <si>
    <t>Deschamps, David</t>
  </si>
  <si>
    <t>Santoso, Joseph</t>
  </si>
  <si>
    <t>Johnson, Amy</t>
  </si>
  <si>
    <t>Bell, Timothy</t>
  </si>
  <si>
    <t>Wilson, Brock</t>
  </si>
  <si>
    <t>Thompson, Howard</t>
  </si>
  <si>
    <t>Houser, Molly</t>
  </si>
  <si>
    <t>O'Donnell, Brendan</t>
  </si>
  <si>
    <t>Constance, Chapman</t>
  </si>
  <si>
    <t>Caulkins, Margaret</t>
  </si>
  <si>
    <t>Brummitt, Kenyetta</t>
  </si>
  <si>
    <t>Tucker, George</t>
  </si>
  <si>
    <t>Taylor, Ghahremani</t>
  </si>
  <si>
    <t>Gilliland, Marian</t>
  </si>
  <si>
    <t>Barr, Susan</t>
  </si>
  <si>
    <t>Donald,Willis</t>
  </si>
  <si>
    <t>Myles, Angela</t>
  </si>
  <si>
    <t>Stovall, Thomas</t>
  </si>
  <si>
    <t>Chatterjee, Suzanna</t>
  </si>
  <si>
    <t>Tate, Danielle</t>
  </si>
  <si>
    <t>Brackney, Kerri</t>
  </si>
  <si>
    <t>Emma, Frank</t>
  </si>
  <si>
    <t>Minor Ruffin, Jessica</t>
  </si>
  <si>
    <t>Burana, Gregory</t>
  </si>
  <si>
    <t>Mary, Butts</t>
  </si>
  <si>
    <t>Pandya, Mayank</t>
  </si>
  <si>
    <t>Larsen, Jonathan</t>
  </si>
  <si>
    <t>Patterson, Kristine</t>
  </si>
  <si>
    <t>Pokharna, Hiren</t>
  </si>
  <si>
    <t>Liverett, Hazel</t>
  </si>
  <si>
    <t>Hakim, Hana</t>
  </si>
  <si>
    <t>Green, Amanda</t>
  </si>
  <si>
    <t>Snowden, Jessica</t>
  </si>
  <si>
    <t>Hennigan, Stephen</t>
  </si>
  <si>
    <t>Bradsher, Robert</t>
  </si>
  <si>
    <t>Burgess, Mary</t>
  </si>
  <si>
    <t>Nwanyanwu, Chiemeziem</t>
  </si>
  <si>
    <t>Wood, Cole</t>
  </si>
  <si>
    <t>Ebers, Andrew</t>
  </si>
  <si>
    <t>Hammack, Jason</t>
  </si>
  <si>
    <t>Saccente, Michael</t>
  </si>
  <si>
    <t>Agbaosi, Tina</t>
  </si>
  <si>
    <t>Zawada, Gregory</t>
  </si>
  <si>
    <t>Maria, Garcia Fernandez</t>
  </si>
  <si>
    <t>Abou-Faycal, Halim</t>
  </si>
  <si>
    <t>Nagaria, Abdul</t>
  </si>
  <si>
    <t>Moussallem, Charles</t>
  </si>
  <si>
    <t>Sharma, Aparna</t>
  </si>
  <si>
    <t>Beravol, Poojitha</t>
  </si>
  <si>
    <t>Kraus, Alfred</t>
  </si>
  <si>
    <t>Turner, Ashby</t>
  </si>
  <si>
    <t>Parry, Wilson</t>
  </si>
  <si>
    <t>Shermer, Mark</t>
  </si>
  <si>
    <t>Daher, Fadi</t>
  </si>
  <si>
    <t>Shaker S Qaqish</t>
  </si>
  <si>
    <t>Aponte Velez, Armando</t>
  </si>
  <si>
    <t>Valach, Daniel</t>
  </si>
  <si>
    <t>Richard C Cline</t>
  </si>
  <si>
    <t>Zabel, Dwight</t>
  </si>
  <si>
    <t>Bissler, John</t>
  </si>
  <si>
    <t>Trehan, Naveen</t>
  </si>
  <si>
    <t>Uyyala, Dasaradha</t>
  </si>
  <si>
    <t>Jain, Nishank</t>
  </si>
  <si>
    <t>Mirza, Mashhud</t>
  </si>
  <si>
    <t>Kaiser, Shaun</t>
  </si>
  <si>
    <t>Mulay, Shree</t>
  </si>
  <si>
    <t>Moulton, Michael</t>
  </si>
  <si>
    <t>Kumar, Sumit</t>
  </si>
  <si>
    <t>Butt, Qasim</t>
  </si>
  <si>
    <t>Kommana, Sandhya</t>
  </si>
  <si>
    <t>Khan, Talal</t>
  </si>
  <si>
    <t>Krause, Michelle</t>
  </si>
  <si>
    <t>Karakala, Nithin</t>
  </si>
  <si>
    <t>Mittal, Sanjeev</t>
  </si>
  <si>
    <t>Selby, Andi</t>
  </si>
  <si>
    <t>Doraiswamy, Mohankumar</t>
  </si>
  <si>
    <t>Deogaygay, Bernadette</t>
  </si>
  <si>
    <t>Lim, Jayton</t>
  </si>
  <si>
    <t>Priyanka, Jethwani</t>
  </si>
  <si>
    <t>Pathak, Minesh</t>
  </si>
  <si>
    <t>Shafique, Rehan</t>
  </si>
  <si>
    <t>Pevahouse, Joe</t>
  </si>
  <si>
    <t>Wofford, Perisco</t>
  </si>
  <si>
    <t>Bess, Barbara</t>
  </si>
  <si>
    <t>Bayles, Samuel</t>
  </si>
  <si>
    <t>Zafar, Taqi</t>
  </si>
  <si>
    <t>Carter, Dale</t>
  </si>
  <si>
    <t>Mace, John</t>
  </si>
  <si>
    <t>Haselow, Tracy</t>
  </si>
  <si>
    <t>Butler, Darel</t>
  </si>
  <si>
    <t>Shah, Namrata</t>
  </si>
  <si>
    <t>Henderson, Leigh</t>
  </si>
  <si>
    <t>Kaplan, Ryan</t>
  </si>
  <si>
    <t>Tsui, Yeewen</t>
  </si>
  <si>
    <t>Barghouthi, Tamara</t>
  </si>
  <si>
    <t>Duff, Robert</t>
  </si>
  <si>
    <t>Taniya, Pradhan</t>
  </si>
  <si>
    <t>Curtis</t>
  </si>
  <si>
    <t>Samanta, Debopam</t>
  </si>
  <si>
    <t>Manbeck, Christopher</t>
  </si>
  <si>
    <t>Applegate, Clara</t>
  </si>
  <si>
    <t>Miller, Valerie</t>
  </si>
  <si>
    <t>Heitzer, Andrew</t>
  </si>
  <si>
    <t>Ledoux, Mark</t>
  </si>
  <si>
    <t>Malik, Khalid</t>
  </si>
  <si>
    <t>Masangkay, Neil</t>
  </si>
  <si>
    <t>Virk, Ejaz</t>
  </si>
  <si>
    <t>Lennon, Joshua</t>
  </si>
  <si>
    <t>Ly, Amy</t>
  </si>
  <si>
    <t>Saleh, Abdel Rahman</t>
  </si>
  <si>
    <t>Fleming, Regina</t>
  </si>
  <si>
    <t>Dowdy, Justin</t>
  </si>
  <si>
    <t>Shabana, Mohamed</t>
  </si>
  <si>
    <t>Kiner, Jason</t>
  </si>
  <si>
    <t>Stein, Lee</t>
  </si>
  <si>
    <t>Thadur, Srilatha</t>
  </si>
  <si>
    <t>Baxendale, Hanna</t>
  </si>
  <si>
    <t>Ingraham, Robert</t>
  </si>
  <si>
    <t>Rambo, William</t>
  </si>
  <si>
    <t>Paola Castri</t>
  </si>
  <si>
    <t>Jenny,Schmidt</t>
  </si>
  <si>
    <t>Sharp, Gregory</t>
  </si>
  <si>
    <t>Timothy P Upchurch</t>
  </si>
  <si>
    <t>Belt, Gary</t>
  </si>
  <si>
    <t>Wright, Lance</t>
  </si>
  <si>
    <t>Archer, Robert</t>
  </si>
  <si>
    <t>Lucchese, Scott</t>
  </si>
  <si>
    <t>Vivian</t>
  </si>
  <si>
    <t>Sweeney, Charlene</t>
  </si>
  <si>
    <t>Alsherbini, Khalid</t>
  </si>
  <si>
    <t>Mallory Mitchell</t>
  </si>
  <si>
    <t>Fredericks, Ruth</t>
  </si>
  <si>
    <t>Gess, Jennifer</t>
  </si>
  <si>
    <t>Vachhani, Jay</t>
  </si>
  <si>
    <t>Williams, Hillary</t>
  </si>
  <si>
    <t>Sathanandan, Sumathira</t>
  </si>
  <si>
    <t>Norvill, Keith</t>
  </si>
  <si>
    <t>Krishnaiah, Balaji</t>
  </si>
  <si>
    <t>Chandler, Angela</t>
  </si>
  <si>
    <t>Ahmed, Shameela</t>
  </si>
  <si>
    <t>Rasul, Fahim</t>
  </si>
  <si>
    <t>Elkhider, Hisham</t>
  </si>
  <si>
    <t>Juan, Goyanes-Vasquez</t>
  </si>
  <si>
    <t>Matthew Baer</t>
  </si>
  <si>
    <t>Bakdash, Tarek</t>
  </si>
  <si>
    <t>Silzer, Robert</t>
  </si>
  <si>
    <t>Heide, Aaron</t>
  </si>
  <si>
    <t>Wright, Christopher</t>
  </si>
  <si>
    <t>Christopher,Glisson</t>
  </si>
  <si>
    <t>Virmani, Tuhin</t>
  </si>
  <si>
    <t>Chesser, Michael</t>
  </si>
  <si>
    <t>Leigh, Tyler</t>
  </si>
  <si>
    <t>Amiola, Tolulope</t>
  </si>
  <si>
    <t>Gage, Mark</t>
  </si>
  <si>
    <t>Cordina, Steve</t>
  </si>
  <si>
    <t>Mora, Michelle</t>
  </si>
  <si>
    <t>Way, Kara</t>
  </si>
  <si>
    <t>Thomas, Brad</t>
  </si>
  <si>
    <t>Brophy, John</t>
  </si>
  <si>
    <t>Fountain, Todd</t>
  </si>
  <si>
    <t>Schlesinger, Scott</t>
  </si>
  <si>
    <t>Shepherd, Daniel</t>
  </si>
  <si>
    <t>Magarik, Jordan</t>
  </si>
  <si>
    <t>Mason, James</t>
  </si>
  <si>
    <t>Knox, David</t>
  </si>
  <si>
    <t>Mcclendon, Jamal</t>
  </si>
  <si>
    <t>Klinger, Daniel</t>
  </si>
  <si>
    <t>Doss, Vinodh</t>
  </si>
  <si>
    <t>Dunn, Ian</t>
  </si>
  <si>
    <t>Castellvi, Alejandro</t>
  </si>
  <si>
    <t>Mcmordie, Joseph</t>
  </si>
  <si>
    <t>Jason L Gerrard</t>
  </si>
  <si>
    <t>Contreras, Freddie</t>
  </si>
  <si>
    <t>Boucher, Andrew B</t>
  </si>
  <si>
    <t>Rammos, Stylianos</t>
  </si>
  <si>
    <t>Douglas,Taylor</t>
  </si>
  <si>
    <t>Abuelem, Tarek</t>
  </si>
  <si>
    <t>Reding, David</t>
  </si>
  <si>
    <t>Youssef, Hossameldeen</t>
  </si>
  <si>
    <t>Abraham, Robert</t>
  </si>
  <si>
    <t>Pait, Thomas</t>
  </si>
  <si>
    <t>Heiferman, Daniel M.</t>
  </si>
  <si>
    <t>Green, K</t>
  </si>
  <si>
    <t>Bramlett, Whitney</t>
  </si>
  <si>
    <t>Harper, Whitney</t>
  </si>
  <si>
    <t>Davis, Sarah</t>
  </si>
  <si>
    <t>Buckman, Caitlyn</t>
  </si>
  <si>
    <t>Beck, Annemarie</t>
  </si>
  <si>
    <t>Harris, Wayne</t>
  </si>
  <si>
    <t>Ferguson, Amy</t>
  </si>
  <si>
    <t>Matthews, Mari Gray</t>
  </si>
  <si>
    <t>Upton, Andria</t>
  </si>
  <si>
    <t>Massengale, Chastity</t>
  </si>
  <si>
    <t>Hamilton, William</t>
  </si>
  <si>
    <t>Ronnie, French</t>
  </si>
  <si>
    <t>Manatt, Nereyda</t>
  </si>
  <si>
    <t>Goodwin, David</t>
  </si>
  <si>
    <t>Hylle, Adriane</t>
  </si>
  <si>
    <t>Sanchez, Cynthia</t>
  </si>
  <si>
    <t>Rogers, Randi</t>
  </si>
  <si>
    <t>Johnson, Jocelyn</t>
  </si>
  <si>
    <t>Webb, Deirdre</t>
  </si>
  <si>
    <t>Fisher, Teri</t>
  </si>
  <si>
    <t>Stultz, Crystal</t>
  </si>
  <si>
    <t>Watson, Katherine</t>
  </si>
  <si>
    <t>Wright, David</t>
  </si>
  <si>
    <t>Erwin, Melissa</t>
  </si>
  <si>
    <t>King, Hannah</t>
  </si>
  <si>
    <t>Cigainero, Kelsie</t>
  </si>
  <si>
    <t>Skinner, Pamela</t>
  </si>
  <si>
    <t>Gillespie, Morganne</t>
  </si>
  <si>
    <t>Haley, Smith</t>
  </si>
  <si>
    <t>Carter, Olivia</t>
  </si>
  <si>
    <t>Tegethoff, Kaitlyn</t>
  </si>
  <si>
    <t>Dodd, Leslie</t>
  </si>
  <si>
    <t>Jones, Faith</t>
  </si>
  <si>
    <t>Buratowski, Sharon</t>
  </si>
  <si>
    <t>Keaster, Amanda</t>
  </si>
  <si>
    <t>Harold, Terrie</t>
  </si>
  <si>
    <t>Spain, Katherine</t>
  </si>
  <si>
    <t>Kindy, Jodi</t>
  </si>
  <si>
    <t>Freeman, Natalie</t>
  </si>
  <si>
    <t>Allyssa, Myers</t>
  </si>
  <si>
    <t>Emily, Griffin</t>
  </si>
  <si>
    <t>Stephens, Virginia</t>
  </si>
  <si>
    <t>Whitley, Amanda</t>
  </si>
  <si>
    <t>Wheeless, Taylor</t>
  </si>
  <si>
    <t>Taylor, Shari</t>
  </si>
  <si>
    <t>Kahila, Ashley</t>
  </si>
  <si>
    <t>Suttle, Kathryne</t>
  </si>
  <si>
    <t>Barton, Nolan</t>
  </si>
  <si>
    <t>Shy, Jordan</t>
  </si>
  <si>
    <t>Saffold, Sarah</t>
  </si>
  <si>
    <t>Perry, Shannon</t>
  </si>
  <si>
    <t>Graddy, Carla</t>
  </si>
  <si>
    <t>Hall, Cathryn</t>
  </si>
  <si>
    <t>Graves, Amy</t>
  </si>
  <si>
    <t>Clark, Melanie</t>
  </si>
  <si>
    <t>Crouch, Kimberly N.</t>
  </si>
  <si>
    <t>England, Brittany</t>
  </si>
  <si>
    <t>Monica</t>
  </si>
  <si>
    <t>Lauren B Cole</t>
  </si>
  <si>
    <t>Williams, Kim</t>
  </si>
  <si>
    <t>Villaceran Caballes, Rizza</t>
  </si>
  <si>
    <t>Mcfarland, Tara</t>
  </si>
  <si>
    <t>Tiner, Eric</t>
  </si>
  <si>
    <t>Savannah M Parrott</t>
  </si>
  <si>
    <t>James, Wright</t>
  </si>
  <si>
    <t>Sumler, Jacqueline</t>
  </si>
  <si>
    <t>Bonilla, Ashley</t>
  </si>
  <si>
    <t>Greenwood, Laura</t>
  </si>
  <si>
    <t>Birge, Audrey</t>
  </si>
  <si>
    <t>Langley, Kimberlee</t>
  </si>
  <si>
    <t>Miller, Molly</t>
  </si>
  <si>
    <t>Furr, Amanda</t>
  </si>
  <si>
    <t>Fowler, Allison</t>
  </si>
  <si>
    <t>Henson, Jenna</t>
  </si>
  <si>
    <t>Jarvis, Wendy</t>
  </si>
  <si>
    <t>Gee, Maria</t>
  </si>
  <si>
    <t>Reynolds, Amy</t>
  </si>
  <si>
    <t>Dozier, Wendy</t>
  </si>
  <si>
    <t>Wood, Stevie</t>
  </si>
  <si>
    <t>Heather Keirn</t>
  </si>
  <si>
    <t>Hemphill, Tina</t>
  </si>
  <si>
    <t>Harper, Lauren</t>
  </si>
  <si>
    <t>Swindle, Mary</t>
  </si>
  <si>
    <t>Martin, Kelley</t>
  </si>
  <si>
    <t>Jacinda M Witt</t>
  </si>
  <si>
    <t>Downs, Abigail</t>
  </si>
  <si>
    <t>Drinkwater, Mysti</t>
  </si>
  <si>
    <t>Halbert, Meghan</t>
  </si>
  <si>
    <t>Jahner, Courtney</t>
  </si>
  <si>
    <t>Bell, Darin</t>
  </si>
  <si>
    <t>Kerr, Janna</t>
  </si>
  <si>
    <t>Hoffpauir, Maryangelia</t>
  </si>
  <si>
    <t>Waganer, Melissa</t>
  </si>
  <si>
    <t>Tingey, Christopher</t>
  </si>
  <si>
    <t>Massie, Miranda</t>
  </si>
  <si>
    <t>Smith, Ashlin</t>
  </si>
  <si>
    <t>Williams, Rachel</t>
  </si>
  <si>
    <t>Ippolito, Terra</t>
  </si>
  <si>
    <t>Mervish, Megan</t>
  </si>
  <si>
    <t>Skaggs, Chastity</t>
  </si>
  <si>
    <t>Barnes, Hensley</t>
  </si>
  <si>
    <t>Wick, Carlie</t>
  </si>
  <si>
    <t>Allen, Katherine</t>
  </si>
  <si>
    <t>Self, Sarah</t>
  </si>
  <si>
    <t>Stoops, Cody</t>
  </si>
  <si>
    <t>Clopton, Rebecca</t>
  </si>
  <si>
    <t>Skinner, Chere</t>
  </si>
  <si>
    <t>Lagemann, Alana</t>
  </si>
  <si>
    <t>Johnson, Lacandice</t>
  </si>
  <si>
    <t>Dimassimo, Hilary</t>
  </si>
  <si>
    <t>Petersen, Morgan</t>
  </si>
  <si>
    <t>Mcleod, Alison</t>
  </si>
  <si>
    <t>Hibbard, Hilarie</t>
  </si>
  <si>
    <t>Heithoff, Shelby</t>
  </si>
  <si>
    <t>Drew L Merchen</t>
  </si>
  <si>
    <t>Miller, Alison</t>
  </si>
  <si>
    <t>Holmes, Dawn</t>
  </si>
  <si>
    <t>Cole, Samantha</t>
  </si>
  <si>
    <t>Pendergist, Jocelyn</t>
  </si>
  <si>
    <t>Dews, Tiffany</t>
  </si>
  <si>
    <t>Johnson, Marcie</t>
  </si>
  <si>
    <t>Joanna B Appleget</t>
  </si>
  <si>
    <t>Johnson, Marsha</t>
  </si>
  <si>
    <t>Bennett, Tammy</t>
  </si>
  <si>
    <t>Taylor, Carrie</t>
  </si>
  <si>
    <t>Sehon, Katey</t>
  </si>
  <si>
    <t>Hester, Ellen</t>
  </si>
  <si>
    <t>Hamby, Dylan</t>
  </si>
  <si>
    <t>Hughes, Jennifer</t>
  </si>
  <si>
    <t>Naidoo, Vanessa</t>
  </si>
  <si>
    <t>Jenna Jones</t>
  </si>
  <si>
    <t>Livingston, Carolyn</t>
  </si>
  <si>
    <t>Schubert, Alison</t>
  </si>
  <si>
    <t>Kolesar</t>
  </si>
  <si>
    <t>Greenwell, Jana</t>
  </si>
  <si>
    <t>Leavell, Sheena</t>
  </si>
  <si>
    <t>Noah D Sapp</t>
  </si>
  <si>
    <t>Pruitt, Laura</t>
  </si>
  <si>
    <t>Tianna Roby</t>
  </si>
  <si>
    <t>Harmon, Taylor</t>
  </si>
  <si>
    <t>Mckee, Sunny</t>
  </si>
  <si>
    <t>Mcmillan, Hannah</t>
  </si>
  <si>
    <t>Zuber, Sydney</t>
  </si>
  <si>
    <t>Deflorian, Haley</t>
  </si>
  <si>
    <t>Richey, Lindsey</t>
  </si>
  <si>
    <t>Audrey E Neal</t>
  </si>
  <si>
    <t>Coffelt, Chelsea</t>
  </si>
  <si>
    <t>Burns, Bailey</t>
  </si>
  <si>
    <t>Seratt, Shelley</t>
  </si>
  <si>
    <t>Farmer</t>
  </si>
  <si>
    <t>Vaughn, Beverly</t>
  </si>
  <si>
    <t>Courtney R Shackelford, Otr</t>
  </si>
  <si>
    <t>Myers, Abigail</t>
  </si>
  <si>
    <t>Miracle A Warren</t>
  </si>
  <si>
    <t>Green, Jackie</t>
  </si>
  <si>
    <t>Welch, Tiffany</t>
  </si>
  <si>
    <t>Smith, Kristy</t>
  </si>
  <si>
    <t>Hardin, Bradley</t>
  </si>
  <si>
    <t>Taylor, Kori</t>
  </si>
  <si>
    <t>Miers, Kristen</t>
  </si>
  <si>
    <t>Jernigan, Mekayla</t>
  </si>
  <si>
    <t>Eldridge, Ashley</t>
  </si>
  <si>
    <t>Miguet, Holly</t>
  </si>
  <si>
    <t>Drew, Katherine</t>
  </si>
  <si>
    <t>Matheny, Sarah</t>
  </si>
  <si>
    <t>Cobb, Jena</t>
  </si>
  <si>
    <t>Tucker, Russell</t>
  </si>
  <si>
    <t>King, Ali</t>
  </si>
  <si>
    <t>Ness, Kenneth</t>
  </si>
  <si>
    <t>Acklin, Jennifer</t>
  </si>
  <si>
    <t>Davidson, Ashlee</t>
  </si>
  <si>
    <t>Coffman, Lakin</t>
  </si>
  <si>
    <t>Mckee, Olivia</t>
  </si>
  <si>
    <t>Howard, Allyx</t>
  </si>
  <si>
    <t>Dunlap, Madeline</t>
  </si>
  <si>
    <t>Veeraputhiran, Muthu</t>
  </si>
  <si>
    <t>Ball, James</t>
  </si>
  <si>
    <t>Hankins, Jane</t>
  </si>
  <si>
    <t>Bradford, Daniel</t>
  </si>
  <si>
    <t>Chokshi, Saurin</t>
  </si>
  <si>
    <t>Sneed, Thomas</t>
  </si>
  <si>
    <t>Arnaoutakis, Konstantinos</t>
  </si>
  <si>
    <t>Nair, Balagopalan</t>
  </si>
  <si>
    <t>Pallera, Arnel</t>
  </si>
  <si>
    <t>Terao, Michael</t>
  </si>
  <si>
    <t>Tucker S Blackledge</t>
  </si>
  <si>
    <t>Stone, Pamela</t>
  </si>
  <si>
    <t>Nelson, Marquita</t>
  </si>
  <si>
    <t>Henrich Lobo, Rodolfo</t>
  </si>
  <si>
    <t>Fouladi, Maryam</t>
  </si>
  <si>
    <t>Christakopoulos, Georgios</t>
  </si>
  <si>
    <t>Kastan, Michael</t>
  </si>
  <si>
    <t>Carter, Peter</t>
  </si>
  <si>
    <t>Alicia,Henao Uribe</t>
  </si>
  <si>
    <t>Mulrooney, Daniel</t>
  </si>
  <si>
    <t>Randolph, Brion</t>
  </si>
  <si>
    <t>Mughal, Tariq</t>
  </si>
  <si>
    <t>Inaba, Hiroto</t>
  </si>
  <si>
    <t>Hall, Ryan</t>
  </si>
  <si>
    <t>Nadvi, Samina</t>
  </si>
  <si>
    <t>Tu, Shi-Ming</t>
  </si>
  <si>
    <t>Malapati, Sindhu</t>
  </si>
  <si>
    <t>Mirro, Joseph</t>
  </si>
  <si>
    <t>Mccord, Stacie</t>
  </si>
  <si>
    <t>Essam, Malaty</t>
  </si>
  <si>
    <t>Collins, Griffin</t>
  </si>
  <si>
    <t>Campbell Jimenez, Brian</t>
  </si>
  <si>
    <t>Adams-Graves, Patricia</t>
  </si>
  <si>
    <t>Vaena, Daniel A.</t>
  </si>
  <si>
    <t>Dill, Drew</t>
  </si>
  <si>
    <t>Fiedler, Frederick</t>
  </si>
  <si>
    <t>Godbole, Abhijit</t>
  </si>
  <si>
    <t>Aldridge, Sarah</t>
  </si>
  <si>
    <t>Modi, Arunkumar</t>
  </si>
  <si>
    <t>Raza, Muhammad</t>
  </si>
  <si>
    <t>Wilder, Diane</t>
  </si>
  <si>
    <t>Kota, Manjusha</t>
  </si>
  <si>
    <t>Douglass, David</t>
  </si>
  <si>
    <t>Ratliff, Thomas</t>
  </si>
  <si>
    <t>Shrestha, Runa</t>
  </si>
  <si>
    <t>Portnoy, David</t>
  </si>
  <si>
    <t>Thanendrarajan, Sharmilan</t>
  </si>
  <si>
    <t>Richard, White</t>
  </si>
  <si>
    <t>Tlais, Dana</t>
  </si>
  <si>
    <t>Pease, Patricia</t>
  </si>
  <si>
    <t>Vidal, Gregory</t>
  </si>
  <si>
    <t>Lillian Guenther</t>
  </si>
  <si>
    <t>Sri, Obulareddy</t>
  </si>
  <si>
    <t>Ahmed, Jibran</t>
  </si>
  <si>
    <t>Arzoumanian, Varant</t>
  </si>
  <si>
    <t>Marcin Wlodarski</t>
  </si>
  <si>
    <t>Govindarajan, Rangaswamy</t>
  </si>
  <si>
    <t>Muldoon, Robert</t>
  </si>
  <si>
    <t>Kennedy, Alyssa</t>
  </si>
  <si>
    <t>Pandey, Manjari</t>
  </si>
  <si>
    <t>Pui, Chinghon</t>
  </si>
  <si>
    <t>Stine, Kimo</t>
  </si>
  <si>
    <t>Sultani, Mtanius</t>
  </si>
  <si>
    <t>Linz, Amanda</t>
  </si>
  <si>
    <t>Persaud, Yogindra</t>
  </si>
  <si>
    <t>Brown, Garry</t>
  </si>
  <si>
    <t>Xia, Fen</t>
  </si>
  <si>
    <t>Collins, Kevin</t>
  </si>
  <si>
    <t>Konrad, Joseph</t>
  </si>
  <si>
    <t>Allgood, John</t>
  </si>
  <si>
    <t>Burns Jason W</t>
  </si>
  <si>
    <t>Dasari, Neeraja</t>
  </si>
  <si>
    <t>Lasley, Foster</t>
  </si>
  <si>
    <t>Howard, Morgan</t>
  </si>
  <si>
    <t>Hardee, Matthew</t>
  </si>
  <si>
    <t>Albritton, Michael</t>
  </si>
  <si>
    <t>Pagan, Jonathan</t>
  </si>
  <si>
    <t>Kyere, Sampson</t>
  </si>
  <si>
    <t>Okoye, Christian</t>
  </si>
  <si>
    <t>Hameed, Shahid</t>
  </si>
  <si>
    <t>Schroyer, Daniel</t>
  </si>
  <si>
    <t>Locke, Jacob</t>
  </si>
  <si>
    <t>Armstrong, William</t>
  </si>
  <si>
    <t>Steeds, Craig</t>
  </si>
  <si>
    <t>Taylor, Amy</t>
  </si>
  <si>
    <t>Ross, Joseph</t>
  </si>
  <si>
    <t>Benjamin Wilson</t>
  </si>
  <si>
    <t>Lewis, Gary</t>
  </si>
  <si>
    <t>Yousaf, Muhammad</t>
  </si>
  <si>
    <t>St. Amour, Edgar</t>
  </si>
  <si>
    <t>Payne, Cheryl</t>
  </si>
  <si>
    <t>Enns, Michael</t>
  </si>
  <si>
    <t>Maller, Vinod</t>
  </si>
  <si>
    <t>Alderman, Daniel F</t>
  </si>
  <si>
    <t>Cooper, Tom</t>
  </si>
  <si>
    <t>Johnson, Jeffery</t>
  </si>
  <si>
    <t>Andrew C Murphy</t>
  </si>
  <si>
    <t>Rouse, Brandon</t>
  </si>
  <si>
    <t>Seller, Scott</t>
  </si>
  <si>
    <t>Vaughan, Susan</t>
  </si>
  <si>
    <t>Mcdowell, Gavin</t>
  </si>
  <si>
    <t>Gollamudi, Subba</t>
  </si>
  <si>
    <t>Pratt, Parker</t>
  </si>
  <si>
    <t>Dinwiddie, Jessica</t>
  </si>
  <si>
    <t>Eryn, Lewis</t>
  </si>
  <si>
    <t>Duncan, Kristen</t>
  </si>
  <si>
    <t>Cate, Leah</t>
  </si>
  <si>
    <t>Thornton, Charles</t>
  </si>
  <si>
    <t>Akduman, Levent</t>
  </si>
  <si>
    <t>Petty, Megan</t>
  </si>
  <si>
    <t>Hoffman, Matthew</t>
  </si>
  <si>
    <t>King, John</t>
  </si>
  <si>
    <t>Cristi</t>
  </si>
  <si>
    <t>Hull, Robyn</t>
  </si>
  <si>
    <t>George, Roshan</t>
  </si>
  <si>
    <t>Golden, Joshua</t>
  </si>
  <si>
    <t>Crawford, Courtney</t>
  </si>
  <si>
    <t>Ott, Lucas</t>
  </si>
  <si>
    <t>Jones, Richard</t>
  </si>
  <si>
    <t>Sugg, Joseph</t>
  </si>
  <si>
    <t>Nguyen, Tiffanie</t>
  </si>
  <si>
    <t>Schluterman, Adam</t>
  </si>
  <si>
    <t>Echols, James</t>
  </si>
  <si>
    <t>Fitzhugh O.D., Robert</t>
  </si>
  <si>
    <t>Pedro, Soibelmann Tetelbom</t>
  </si>
  <si>
    <t>Faulkner, Julie</t>
  </si>
  <si>
    <t>Van, Thu</t>
  </si>
  <si>
    <t>Neal, Roger</t>
  </si>
  <si>
    <t>Simpson, Scott</t>
  </si>
  <si>
    <t>Ditta, Lauren</t>
  </si>
  <si>
    <t>Cora, George</t>
  </si>
  <si>
    <t>Hubbard, Kenneth</t>
  </si>
  <si>
    <t>Burnett, Bailey</t>
  </si>
  <si>
    <t>Tannehill, Mike</t>
  </si>
  <si>
    <t>Davis, Frances</t>
  </si>
  <si>
    <t>Suares, Robert</t>
  </si>
  <si>
    <t>Livengood, Kevin</t>
  </si>
  <si>
    <t>Jerkins, Brian</t>
  </si>
  <si>
    <t>Sines, Daniel</t>
  </si>
  <si>
    <t>Bright, Jason</t>
  </si>
  <si>
    <t>Eagle, Angela</t>
  </si>
  <si>
    <t>Law, Marcus</t>
  </si>
  <si>
    <t>Davis, Romona</t>
  </si>
  <si>
    <t>Andersen, Holly</t>
  </si>
  <si>
    <t>Teague Thompson, Kristen</t>
  </si>
  <si>
    <t>Daiber, Trent</t>
  </si>
  <si>
    <t>Orkubi, Ghada</t>
  </si>
  <si>
    <t>Cynthia, Noguera</t>
  </si>
  <si>
    <t>Mohammad, Pakravan</t>
  </si>
  <si>
    <t>Brock, Wade</t>
  </si>
  <si>
    <t>Pope, Charles</t>
  </si>
  <si>
    <t>Dolven, Julie</t>
  </si>
  <si>
    <t>Ashe, Stephen</t>
  </si>
  <si>
    <t>Smith, Brian D.</t>
  </si>
  <si>
    <t>Deitrick, Chris</t>
  </si>
  <si>
    <t>Boyette, Brittany</t>
  </si>
  <si>
    <t>James W Hardgraves</t>
  </si>
  <si>
    <t>Semmler, Michael</t>
  </si>
  <si>
    <t>Avilez, Annie</t>
  </si>
  <si>
    <t>Stiles, Steven</t>
  </si>
  <si>
    <t>Ashley, Bryant</t>
  </si>
  <si>
    <t>Scott, Wendell</t>
  </si>
  <si>
    <t>Hoang, Kimmy</t>
  </si>
  <si>
    <t>Simmons, Russell</t>
  </si>
  <si>
    <t>Fielder, William</t>
  </si>
  <si>
    <t>Devlin, Samantha</t>
  </si>
  <si>
    <t>Sallam, Ahmed</t>
  </si>
  <si>
    <t>Baugh, Stephen</t>
  </si>
  <si>
    <t>Nosacka, Douglas</t>
  </si>
  <si>
    <t>Walker, Brent</t>
  </si>
  <si>
    <t>Savage, James</t>
  </si>
  <si>
    <t>Sarah Emily, Hines</t>
  </si>
  <si>
    <t>Mcfall, Whitney</t>
  </si>
  <si>
    <t>Majewski, Wojciech</t>
  </si>
  <si>
    <t>Banks, Nick D</t>
  </si>
  <si>
    <t>Charles, Steve</t>
  </si>
  <si>
    <t>Nutt, Jerry</t>
  </si>
  <si>
    <t>Denton, Norman</t>
  </si>
  <si>
    <t>Cox, Brendon</t>
  </si>
  <si>
    <t>Schmucker, Tracey</t>
  </si>
  <si>
    <t>Ballard, Erica</t>
  </si>
  <si>
    <t>Rodriguez, Christopher</t>
  </si>
  <si>
    <t>Daut, Peter</t>
  </si>
  <si>
    <t>Sievers, Richard</t>
  </si>
  <si>
    <t>Moser, James</t>
  </si>
  <si>
    <t>Meador, Ricky</t>
  </si>
  <si>
    <t>Whittaker, Teri</t>
  </si>
  <si>
    <t>Kory, Allen</t>
  </si>
  <si>
    <t>Wenger, Alyssa</t>
  </si>
  <si>
    <t>Carllee, Tyler</t>
  </si>
  <si>
    <t>Hussey, Michael</t>
  </si>
  <si>
    <t>Schock, Ethan</t>
  </si>
  <si>
    <t>Bobo, Robert</t>
  </si>
  <si>
    <t>Brackett, Bess E.</t>
  </si>
  <si>
    <t>Zhao, John</t>
  </si>
  <si>
    <t>Mccarron, Robert</t>
  </si>
  <si>
    <t>Caudle, Robert</t>
  </si>
  <si>
    <t>Howell, James</t>
  </si>
  <si>
    <t>Moffatt, William</t>
  </si>
  <si>
    <t>Shnaekel, Asa</t>
  </si>
  <si>
    <t>Walters, Jordan</t>
  </si>
  <si>
    <t>Mcleod, Kevin</t>
  </si>
  <si>
    <t>Pleimann, Jason</t>
  </si>
  <si>
    <t>Cobos, Jose</t>
  </si>
  <si>
    <t>Bogatch, Michael</t>
  </si>
  <si>
    <t>Lamplot Joseph D</t>
  </si>
  <si>
    <t>Camillo, Francis</t>
  </si>
  <si>
    <t>Rinehart, Dustin</t>
  </si>
  <si>
    <t>Satterly, Thomas</t>
  </si>
  <si>
    <t>Maroun, Charbel</t>
  </si>
  <si>
    <t>Mahnken, Robert</t>
  </si>
  <si>
    <t>Chatrath, Vikram</t>
  </si>
  <si>
    <t>Weems, Harold</t>
  </si>
  <si>
    <t>Saenz, Jay</t>
  </si>
  <si>
    <t>Edwards, Paul</t>
  </si>
  <si>
    <t>Rabenhorst, Brien</t>
  </si>
  <si>
    <t>Day, Thomas</t>
  </si>
  <si>
    <t>Sites, Terry</t>
  </si>
  <si>
    <t>Smith, Philip</t>
  </si>
  <si>
    <t>Nix, Richard</t>
  </si>
  <si>
    <t>Olive, Robert</t>
  </si>
  <si>
    <t>Blickenstaff, Kyle</t>
  </si>
  <si>
    <t>Lorio, Jerry</t>
  </si>
  <si>
    <t>Rauls, Russell</t>
  </si>
  <si>
    <t>Johnathan, Thompson</t>
  </si>
  <si>
    <t>Moore, Merwin</t>
  </si>
  <si>
    <t>Maleki, Khosrow</t>
  </si>
  <si>
    <t>Terry, Cooper</t>
  </si>
  <si>
    <t>Frazier, George</t>
  </si>
  <si>
    <t>Dickerson, Patrick</t>
  </si>
  <si>
    <t>Heck, Robert</t>
  </si>
  <si>
    <t>Harp, John</t>
  </si>
  <si>
    <t>Wyatt, Jonathan</t>
  </si>
  <si>
    <t>Schippert, David</t>
  </si>
  <si>
    <t>Randolph, Gannon</t>
  </si>
  <si>
    <t>Sidani, Tarik</t>
  </si>
  <si>
    <t>Wolf, Frederick</t>
  </si>
  <si>
    <t>Overley, Samuel</t>
  </si>
  <si>
    <t>Bryant, D'Orsay</t>
  </si>
  <si>
    <t>Johnson, Shawn</t>
  </si>
  <si>
    <t>Ahmadi, Shahryar</t>
  </si>
  <si>
    <t>Dalal, Apurva</t>
  </si>
  <si>
    <t>Kelly, Derek</t>
  </si>
  <si>
    <t>Gilliam, David</t>
  </si>
  <si>
    <t>Heim, Stephen</t>
  </si>
  <si>
    <t>Angel, Jeffery</t>
  </si>
  <si>
    <t>Mertz, John</t>
  </si>
  <si>
    <t>Hollins, Anthony</t>
  </si>
  <si>
    <t>Riley, Clayton</t>
  </si>
  <si>
    <t>Carpenter, Dylan</t>
  </si>
  <si>
    <t>Whittle, Allison</t>
  </si>
  <si>
    <t>Rosenzweig, Kenneth</t>
  </si>
  <si>
    <t>Stewart, Christopher</t>
  </si>
  <si>
    <t>Hardy, Ross</t>
  </si>
  <si>
    <t>Burrell, Roy</t>
  </si>
  <si>
    <t>Macdonald, Warren</t>
  </si>
  <si>
    <t>Isaac B Majors</t>
  </si>
  <si>
    <t>Wassell, David</t>
  </si>
  <si>
    <t>Sokolow, David</t>
  </si>
  <si>
    <t>Warner, William</t>
  </si>
  <si>
    <t>Sachleben, Brant</t>
  </si>
  <si>
    <t>Keith</t>
  </si>
  <si>
    <t>Collins, David</t>
  </si>
  <si>
    <t>Harkess, James</t>
  </si>
  <si>
    <t>Murphy, Garnett</t>
  </si>
  <si>
    <t>Schimandle, Jeffrey</t>
  </si>
  <si>
    <t>Schechter, Ron</t>
  </si>
  <si>
    <t>Kaler, Ronald</t>
  </si>
  <si>
    <t>Bradshaw, Jody</t>
  </si>
  <si>
    <t>Ghormley, Jonathan</t>
  </si>
  <si>
    <t>Combs, Veronica</t>
  </si>
  <si>
    <t>Simpson, Charlie</t>
  </si>
  <si>
    <t>Martin, Brandon</t>
  </si>
  <si>
    <t>Armbruster, John</t>
  </si>
  <si>
    <t>Burt, Peggy</t>
  </si>
  <si>
    <t>Sanders, Rachel</t>
  </si>
  <si>
    <t>Brett, Alden</t>
  </si>
  <si>
    <t>Robinson, Corey</t>
  </si>
  <si>
    <t>Bergner Moore, Cariann</t>
  </si>
  <si>
    <t>Bates, Morgan</t>
  </si>
  <si>
    <t>Angela, Smith</t>
  </si>
  <si>
    <t>Presley, Sherry</t>
  </si>
  <si>
    <t>Busby, Eric</t>
  </si>
  <si>
    <t>King, Jamie</t>
  </si>
  <si>
    <t>Deena, Garner</t>
  </si>
  <si>
    <t>Kuhn, Cheryl</t>
  </si>
  <si>
    <t>Jerrica, Luster</t>
  </si>
  <si>
    <t>Tutt, Alison</t>
  </si>
  <si>
    <t>Hartsfield, Linda</t>
  </si>
  <si>
    <t>Turnage, Shelbye</t>
  </si>
  <si>
    <t>Parrish, Makesha</t>
  </si>
  <si>
    <t>Moore, Julie</t>
  </si>
  <si>
    <t>Cummins, Sharon</t>
  </si>
  <si>
    <t>Whittington, Ronald</t>
  </si>
  <si>
    <t>Parker, Jessica</t>
  </si>
  <si>
    <t>Nora, Loftis</t>
  </si>
  <si>
    <t>Sharkey, Erin</t>
  </si>
  <si>
    <t>Boatwright, Joseph</t>
  </si>
  <si>
    <t>Carpenter, Ruth Ann</t>
  </si>
  <si>
    <t>Martin, Leah</t>
  </si>
  <si>
    <t>Reed, Susan</t>
  </si>
  <si>
    <t>Morton, Dominik</t>
  </si>
  <si>
    <t>White, Brittany</t>
  </si>
  <si>
    <t>George, Zappalorta</t>
  </si>
  <si>
    <t>Mcduffie, Alexandra</t>
  </si>
  <si>
    <t>Aucoin, Erika</t>
  </si>
  <si>
    <t>Leclaire, Chantel</t>
  </si>
  <si>
    <t>Barroeta, Alisa</t>
  </si>
  <si>
    <t>Chaney, Jill</t>
  </si>
  <si>
    <t>Barnhill, Roger</t>
  </si>
  <si>
    <t>Schalow, Jennifer</t>
  </si>
  <si>
    <t>Hill, Rachel</t>
  </si>
  <si>
    <t>Miller, Gwendolyn</t>
  </si>
  <si>
    <t>Towne, Suzanne</t>
  </si>
  <si>
    <t>Daniel, Read</t>
  </si>
  <si>
    <t>Wright, Cynthia</t>
  </si>
  <si>
    <t>Yarbrough, Haley</t>
  </si>
  <si>
    <t>Luttrell, Daniel</t>
  </si>
  <si>
    <t>Gill, Carissa</t>
  </si>
  <si>
    <t>Smith, Kaitlyn</t>
  </si>
  <si>
    <t>Shepherd, Sarah</t>
  </si>
  <si>
    <t>Terry, Jordan</t>
  </si>
  <si>
    <t>Judy, Jacobs</t>
  </si>
  <si>
    <t>Bohner, Gregory</t>
  </si>
  <si>
    <t>Taylor, Ashley N</t>
  </si>
  <si>
    <t>Dunlop, Christa</t>
  </si>
  <si>
    <t>Cox, Bethany</t>
  </si>
  <si>
    <t>Mosley, Melody</t>
  </si>
  <si>
    <t>Wahbi, Allison</t>
  </si>
  <si>
    <t>Duncan, Peter</t>
  </si>
  <si>
    <t>Weaver, Amber</t>
  </si>
  <si>
    <t>Stephanie, Cook</t>
  </si>
  <si>
    <t>Shanece, Herron</t>
  </si>
  <si>
    <t>Jasmine, Mackey</t>
  </si>
  <si>
    <t>Burns, Charelle</t>
  </si>
  <si>
    <t>Besley, Jehu</t>
  </si>
  <si>
    <t>Mays, Kamra</t>
  </si>
  <si>
    <t>White, Teresa</t>
  </si>
  <si>
    <t>Stewart, Gabrielle</t>
  </si>
  <si>
    <t>Rowe, Terri</t>
  </si>
  <si>
    <t>Ashlee, Seay</t>
  </si>
  <si>
    <t>Dreemur, Ember</t>
  </si>
  <si>
    <t>Torrey, Sonia</t>
  </si>
  <si>
    <t>Power, Amy</t>
  </si>
  <si>
    <t>Lougin, Crystal</t>
  </si>
  <si>
    <t>Fields, Brad</t>
  </si>
  <si>
    <t>Nickles, Carrie</t>
  </si>
  <si>
    <t>Speer, Kristen</t>
  </si>
  <si>
    <t>Mctigrit, Kelli</t>
  </si>
  <si>
    <t>Reynolds, Katherine</t>
  </si>
  <si>
    <t>Stokenbury, Arthur</t>
  </si>
  <si>
    <t>Balentine, Reed</t>
  </si>
  <si>
    <t>Ladd, Laura</t>
  </si>
  <si>
    <t>Schulz, Mary</t>
  </si>
  <si>
    <t>Jessica, Webster</t>
  </si>
  <si>
    <t>Coon, Catherine</t>
  </si>
  <si>
    <t>Obaoye, Mandy</t>
  </si>
  <si>
    <t>Cluts, Erin</t>
  </si>
  <si>
    <t>Toynicka, Williams</t>
  </si>
  <si>
    <t>Jeffrey</t>
  </si>
  <si>
    <t>Dustin</t>
  </si>
  <si>
    <t>Wargo, Tiffany</t>
  </si>
  <si>
    <t>Hicks, Shannon</t>
  </si>
  <si>
    <t>Gholson, Price</t>
  </si>
  <si>
    <t>Vanness, Camille</t>
  </si>
  <si>
    <t>Rana, Ryan</t>
  </si>
  <si>
    <t>Floyd, Ada</t>
  </si>
  <si>
    <t>Prichard, Heather</t>
  </si>
  <si>
    <t>Ellis, Lee</t>
  </si>
  <si>
    <t>Kyla, Warnick</t>
  </si>
  <si>
    <t>Collins, Tonika</t>
  </si>
  <si>
    <t>Laird, Alymarie</t>
  </si>
  <si>
    <t>Lewis, Andre</t>
  </si>
  <si>
    <t>Weaver, Barbara</t>
  </si>
  <si>
    <t>Cottrell, Eugenia</t>
  </si>
  <si>
    <t>Moore, Carol</t>
  </si>
  <si>
    <t>Taylor, Dawneace</t>
  </si>
  <si>
    <t>Ashley, Courtney</t>
  </si>
  <si>
    <t>Armitage, Steven</t>
  </si>
  <si>
    <t>Guthrie-Aldinger, Stacey</t>
  </si>
  <si>
    <t>Nooner, Glynn</t>
  </si>
  <si>
    <t>Wilson, Margaret</t>
  </si>
  <si>
    <t>Hurley, Autumn</t>
  </si>
  <si>
    <t>Amos, Edward</t>
  </si>
  <si>
    <t>Peppers, Rhonda</t>
  </si>
  <si>
    <t>Mcfadin, Cherie</t>
  </si>
  <si>
    <t>Farmer, Alicia</t>
  </si>
  <si>
    <t>Massaglia, Amy</t>
  </si>
  <si>
    <t>Tornatore, Ian</t>
  </si>
  <si>
    <t>Martin, Juli</t>
  </si>
  <si>
    <t>Harli</t>
  </si>
  <si>
    <t>Laura K Fox</t>
  </si>
  <si>
    <t>Strike, Chad</t>
  </si>
  <si>
    <t>George, Cathy</t>
  </si>
  <si>
    <t>Justin, Webb</t>
  </si>
  <si>
    <t>Powell, Rachel</t>
  </si>
  <si>
    <t>Means, Raylin</t>
  </si>
  <si>
    <t>Martindale Orite, Eva</t>
  </si>
  <si>
    <t>Snow, Patricia</t>
  </si>
  <si>
    <t>O'Donnell, Shannon</t>
  </si>
  <si>
    <t>Toomey, Angela</t>
  </si>
  <si>
    <t>Byrnes, Mary</t>
  </si>
  <si>
    <t>Longoria, Jennifer N</t>
  </si>
  <si>
    <t>Brill, Vanessa</t>
  </si>
  <si>
    <t>Katie, Martin</t>
  </si>
  <si>
    <t>Ashley B Merritt</t>
  </si>
  <si>
    <t>Seel, Kendra</t>
  </si>
  <si>
    <t>Yielding, Winter</t>
  </si>
  <si>
    <t>Ring, Christie</t>
  </si>
  <si>
    <t>Jami, Spurling</t>
  </si>
  <si>
    <t>Amanda, Myers</t>
  </si>
  <si>
    <t>Porteus, Sandra</t>
  </si>
  <si>
    <t>Amy, Williams</t>
  </si>
  <si>
    <t>Cornett, Nicholas</t>
  </si>
  <si>
    <t>Whitson, Rebecca</t>
  </si>
  <si>
    <t>Eudy, Ruth</t>
  </si>
  <si>
    <t>Carter, Lisa</t>
  </si>
  <si>
    <t>Van Buskirk, Kimberly</t>
  </si>
  <si>
    <t>Anderson, Michel</t>
  </si>
  <si>
    <t>Ken Jarvis, Cross</t>
  </si>
  <si>
    <t>Lai-O'Connell, Anh</t>
  </si>
  <si>
    <t>Woods, Jack</t>
  </si>
  <si>
    <t>Moore, Stacey</t>
  </si>
  <si>
    <t>Hudson, Denise</t>
  </si>
  <si>
    <t>Hill, Amanda</t>
  </si>
  <si>
    <t>Ross, Sara</t>
  </si>
  <si>
    <t>Twidwell, Julie</t>
  </si>
  <si>
    <t>Purvis, Pamela</t>
  </si>
  <si>
    <t>Taylor, Eden</t>
  </si>
  <si>
    <t>Stauss, Kimberly</t>
  </si>
  <si>
    <t>Frederick, Matthew</t>
  </si>
  <si>
    <t>Smith, Stacey</t>
  </si>
  <si>
    <t>Amy, Gallimore</t>
  </si>
  <si>
    <t>Helton, Tausha</t>
  </si>
  <si>
    <t>Power, Mickey</t>
  </si>
  <si>
    <t>Brown, Anna C.</t>
  </si>
  <si>
    <t>Delgado, Lynn</t>
  </si>
  <si>
    <t>Coco, Zackary</t>
  </si>
  <si>
    <t>Bass, Emily</t>
  </si>
  <si>
    <t>Lampkin, Sonya</t>
  </si>
  <si>
    <t>Lancelin, Bessie</t>
  </si>
  <si>
    <t>Taylor, Angela</t>
  </si>
  <si>
    <t>Nelson, Lana</t>
  </si>
  <si>
    <t>Warwick, Daniel</t>
  </si>
  <si>
    <t>Salyards, Jennifer</t>
  </si>
  <si>
    <t>Kenneth</t>
  </si>
  <si>
    <t>Crutchfield, Corey</t>
  </si>
  <si>
    <t>Walker, Kristin</t>
  </si>
  <si>
    <t>Wheeler, Ann</t>
  </si>
  <si>
    <t>Lisa, Hart</t>
  </si>
  <si>
    <t>Cunningham, Lisa</t>
  </si>
  <si>
    <t>Harvey, Jaime</t>
  </si>
  <si>
    <t>Rago, Deborah</t>
  </si>
  <si>
    <t>Hawkins, Tammy</t>
  </si>
  <si>
    <t>Jackson, Rosalyn</t>
  </si>
  <si>
    <t>Glass, Kayette</t>
  </si>
  <si>
    <t>Fields, Lisa</t>
  </si>
  <si>
    <t>Grady, Patricia</t>
  </si>
  <si>
    <t>Dulaney, Adriene</t>
  </si>
  <si>
    <t>Tiffany, Glass</t>
  </si>
  <si>
    <t>Miesner, Gina</t>
  </si>
  <si>
    <t>Matthews, Paula</t>
  </si>
  <si>
    <t>Dennie, Deborah</t>
  </si>
  <si>
    <t>Bush, Durrick</t>
  </si>
  <si>
    <t>Hagans, Casie</t>
  </si>
  <si>
    <t>Thornton, Christina</t>
  </si>
  <si>
    <t>Yater, Anthony</t>
  </si>
  <si>
    <t>Koshy, Shelby</t>
  </si>
  <si>
    <t>Gretta, Meeker</t>
  </si>
  <si>
    <t>Little, Lisa</t>
  </si>
  <si>
    <t>Walker, Joyce</t>
  </si>
  <si>
    <t>Anderson-Akins, Crystal</t>
  </si>
  <si>
    <t>Pevia, Rebekah</t>
  </si>
  <si>
    <t>Lamer, Tamra</t>
  </si>
  <si>
    <t>Matthews, Tamela</t>
  </si>
  <si>
    <t>Young, Shana</t>
  </si>
  <si>
    <t>Moore, Kimberly</t>
  </si>
  <si>
    <t>Hood, Helen</t>
  </si>
  <si>
    <t>Vallia, Melissa</t>
  </si>
  <si>
    <t>Mcclatchy, Steven</t>
  </si>
  <si>
    <t>Sedgebear, Sherri A</t>
  </si>
  <si>
    <t>Colleen, Nulty</t>
  </si>
  <si>
    <t>Brown-Allen, Jacqueline</t>
  </si>
  <si>
    <t>Richards, Kate</t>
  </si>
  <si>
    <t>Tounzen, Shelley</t>
  </si>
  <si>
    <t>Lee, Rebecca</t>
  </si>
  <si>
    <t>Simpson, Devon</t>
  </si>
  <si>
    <t>Johnson, Anna</t>
  </si>
  <si>
    <t>Halle, Medley</t>
  </si>
  <si>
    <t>Jenkins, Carolyn</t>
  </si>
  <si>
    <t>Colleen, Williamson</t>
  </si>
  <si>
    <t>Spillman, Samantha</t>
  </si>
  <si>
    <t>Timmons, Keri</t>
  </si>
  <si>
    <t>Tahler, Heather</t>
  </si>
  <si>
    <t>Fray, Sarah</t>
  </si>
  <si>
    <t>Kayla, Dickerson</t>
  </si>
  <si>
    <t>Justin, Wertz</t>
  </si>
  <si>
    <t>Goodwin, Kristy</t>
  </si>
  <si>
    <t>Mojica, Summer</t>
  </si>
  <si>
    <t>Especto, Ranesha</t>
  </si>
  <si>
    <t>Jain, Dave</t>
  </si>
  <si>
    <t>Kriehn, Emily</t>
  </si>
  <si>
    <t>Mickens, Mary</t>
  </si>
  <si>
    <t>Saida, Ventura</t>
  </si>
  <si>
    <t>Jones, Craig</t>
  </si>
  <si>
    <t>Kehn, Christina</t>
  </si>
  <si>
    <t>Chaisson, Elizabeth</t>
  </si>
  <si>
    <t>Gant, Tameka</t>
  </si>
  <si>
    <t>Steffanie, Naples</t>
  </si>
  <si>
    <t>Stephanie, Jones</t>
  </si>
  <si>
    <t>Alcorn, Antionne</t>
  </si>
  <si>
    <t>Scott, Sara</t>
  </si>
  <si>
    <t>Jennings, Toni</t>
  </si>
  <si>
    <t>Jordan, Cynthia</t>
  </si>
  <si>
    <t>Etchison, Eric</t>
  </si>
  <si>
    <t>Shannon, Paula</t>
  </si>
  <si>
    <t>Watson, Angie</t>
  </si>
  <si>
    <t>Marts, Amber</t>
  </si>
  <si>
    <t>Key, Montoyia</t>
  </si>
  <si>
    <t>Dalton, Rebecca</t>
  </si>
  <si>
    <t>Jocelyn, Pannell</t>
  </si>
  <si>
    <t>Crystal, Whittington</t>
  </si>
  <si>
    <t>Hannah, Olson</t>
  </si>
  <si>
    <t>Hunter, Heather</t>
  </si>
  <si>
    <t>Fairaizl, Clea</t>
  </si>
  <si>
    <t>Stage, Mary</t>
  </si>
  <si>
    <t>Cody W Davis</t>
  </si>
  <si>
    <t>Andrew, Smith</t>
  </si>
  <si>
    <t>Cook, Jane</t>
  </si>
  <si>
    <t>Sublette, Bradley</t>
  </si>
  <si>
    <t>Groen, Annette</t>
  </si>
  <si>
    <t>Inri, Gonzalez Espinosa</t>
  </si>
  <si>
    <t>Ezell, James</t>
  </si>
  <si>
    <t>Priest, Kenneth</t>
  </si>
  <si>
    <t>Cooper, Aneita</t>
  </si>
  <si>
    <t>Borne Tustin, Sandra</t>
  </si>
  <si>
    <t>Schingoethe Lee, Karnilla</t>
  </si>
  <si>
    <t>Leverette, Alicia</t>
  </si>
  <si>
    <t>Kylee, Corken</t>
  </si>
  <si>
    <t>Lawson, Jeffrey D.</t>
  </si>
  <si>
    <t>Christina, Allen Doyle</t>
  </si>
  <si>
    <t>Metcalf, Brent</t>
  </si>
  <si>
    <t>Smith, Mandy</t>
  </si>
  <si>
    <t>Granberry, Deborah</t>
  </si>
  <si>
    <t>Rector, Margaret</t>
  </si>
  <si>
    <t>Driver, Theresa</t>
  </si>
  <si>
    <t>Hays, Jason</t>
  </si>
  <si>
    <t>Galyan, James</t>
  </si>
  <si>
    <t>Lewis, Kelsey</t>
  </si>
  <si>
    <t>Strickland, Matthew</t>
  </si>
  <si>
    <t>Watson, Keisha</t>
  </si>
  <si>
    <t>Myriam, Carter</t>
  </si>
  <si>
    <t>Chalupka, Stacie</t>
  </si>
  <si>
    <t>Lindsey, Stacy</t>
  </si>
  <si>
    <t>Browder, Sally</t>
  </si>
  <si>
    <t>Fairris, Kelli</t>
  </si>
  <si>
    <t>Weber, Erin</t>
  </si>
  <si>
    <t>Ditto, Larina</t>
  </si>
  <si>
    <t>Cox, Ashley</t>
  </si>
  <si>
    <t>Jeanneka, Black</t>
  </si>
  <si>
    <t>Collins, Karen</t>
  </si>
  <si>
    <t>Bonilla, Daisy</t>
  </si>
  <si>
    <t>Gomance, Eric</t>
  </si>
  <si>
    <t>Biggers, Lauren</t>
  </si>
  <si>
    <t>Arnold, Angela</t>
  </si>
  <si>
    <t>Carter, Crystal</t>
  </si>
  <si>
    <t>Burton, Glenna</t>
  </si>
  <si>
    <t>Nathaniel, Clifford</t>
  </si>
  <si>
    <t>Haynes, Bradley</t>
  </si>
  <si>
    <t>Jones, Andre</t>
  </si>
  <si>
    <t>Jones, Franklin</t>
  </si>
  <si>
    <t>Davis, Ashton</t>
  </si>
  <si>
    <t>Rose, Ashley</t>
  </si>
  <si>
    <t>Switzer, Amanda</t>
  </si>
  <si>
    <t>Anderson, Grace</t>
  </si>
  <si>
    <t>Prestridge, Tara</t>
  </si>
  <si>
    <t>Hutchison, Erica</t>
  </si>
  <si>
    <t>Frazier Henson, Angelia</t>
  </si>
  <si>
    <t>John, Owens</t>
  </si>
  <si>
    <t>Coleman, Karissa</t>
  </si>
  <si>
    <t>Perry, Trent</t>
  </si>
  <si>
    <t>Hickinbotham, Trena J.</t>
  </si>
  <si>
    <t>Smith, Chelsey</t>
  </si>
  <si>
    <t>Brumfield, Joe</t>
  </si>
  <si>
    <t>Goodwin, Rodney</t>
  </si>
  <si>
    <t>Exum, Erin</t>
  </si>
  <si>
    <t>Pipkin, Stephen</t>
  </si>
  <si>
    <t>Evans, Stephen</t>
  </si>
  <si>
    <t>Downey, Sara</t>
  </si>
  <si>
    <t>Key, Secoyia</t>
  </si>
  <si>
    <t>Callahan, Tammy</t>
  </si>
  <si>
    <t>Margaret, Banks</t>
  </si>
  <si>
    <t>Thompson, Demetra</t>
  </si>
  <si>
    <t>Lawson, Kristy</t>
  </si>
  <si>
    <t>Anderson, Jelisa</t>
  </si>
  <si>
    <t>Quillin, Emma</t>
  </si>
  <si>
    <t>Terrah, Graves</t>
  </si>
  <si>
    <t>Elder, Thaddeus</t>
  </si>
  <si>
    <t>Myers, Casey</t>
  </si>
  <si>
    <t>Neal, Kizer</t>
  </si>
  <si>
    <t>Lee Farsee, Kalishi</t>
  </si>
  <si>
    <t>Cox, Justin</t>
  </si>
  <si>
    <t>Brooks, Ashley</t>
  </si>
  <si>
    <t>Kern, Donna</t>
  </si>
  <si>
    <t>Quarles, Anthony</t>
  </si>
  <si>
    <t>Holobowicz, Aidan</t>
  </si>
  <si>
    <t>Hubbard, Suzanne</t>
  </si>
  <si>
    <t>Britta, Barlogie</t>
  </si>
  <si>
    <t>Andrea, Freiling</t>
  </si>
  <si>
    <t>Nguyen Driver, Mina</t>
  </si>
  <si>
    <t>Goggans, Deanna</t>
  </si>
  <si>
    <t>Crutchfield, Courtney</t>
  </si>
  <si>
    <t>Anthony, Concepcion</t>
  </si>
  <si>
    <t>Foxx, Lindsey</t>
  </si>
  <si>
    <t>Hamala, Elita</t>
  </si>
  <si>
    <t>Reddin, Mollie</t>
  </si>
  <si>
    <t>Ballew, Dawn</t>
  </si>
  <si>
    <t>Olvera, Matalyn</t>
  </si>
  <si>
    <t>Waldemayer, Kristen</t>
  </si>
  <si>
    <t>Shackelford, Amanda</t>
  </si>
  <si>
    <t>Mcfarland, Elizabeth</t>
  </si>
  <si>
    <t>Montry, Kathleen</t>
  </si>
  <si>
    <t>Clark, Vargas</t>
  </si>
  <si>
    <t>Wells, Nancy</t>
  </si>
  <si>
    <t>Jamison, Jocelyn</t>
  </si>
  <si>
    <t>Bradley, Melissa</t>
  </si>
  <si>
    <t>Sweetser, Mollie</t>
  </si>
  <si>
    <t>Mcmullen, Hannah</t>
  </si>
  <si>
    <t>Paula, Price</t>
  </si>
  <si>
    <t>Holiman, Rebekah</t>
  </si>
  <si>
    <t>Erickson, Jeremy</t>
  </si>
  <si>
    <t>Erin, Wylie</t>
  </si>
  <si>
    <t>Gute, Melissa</t>
  </si>
  <si>
    <t>Chelsey,Carter</t>
  </si>
  <si>
    <t>Tia, Stewart</t>
  </si>
  <si>
    <t>Roach, Andrew</t>
  </si>
  <si>
    <t>Mickey, Shell</t>
  </si>
  <si>
    <t>Pryor, Kaye</t>
  </si>
  <si>
    <t>Hargett, Thomas</t>
  </si>
  <si>
    <t>Bird, Melinda</t>
  </si>
  <si>
    <t>Fears, Lashanda</t>
  </si>
  <si>
    <t>Stein, Angela</t>
  </si>
  <si>
    <t>Gattis, James</t>
  </si>
  <si>
    <t>Schroeder, Amanda</t>
  </si>
  <si>
    <t>Murray, Kimberly</t>
  </si>
  <si>
    <t>Mckeigney Childs, Amanda</t>
  </si>
  <si>
    <t>Cox, Neeley</t>
  </si>
  <si>
    <t>Zelaya, Heather</t>
  </si>
  <si>
    <t>Dana, Graves</t>
  </si>
  <si>
    <t>Reisha,Graves</t>
  </si>
  <si>
    <t>Harberson, Rhianna</t>
  </si>
  <si>
    <t>Massirer, Jordan</t>
  </si>
  <si>
    <t>Tanner, Loretta</t>
  </si>
  <si>
    <t>Franzen, Barbara</t>
  </si>
  <si>
    <t>Martin, Anita</t>
  </si>
  <si>
    <t>Pemberton, Joy</t>
  </si>
  <si>
    <t>Zamani, Vahideh</t>
  </si>
  <si>
    <t>Grace, Daniel</t>
  </si>
  <si>
    <t>Burton, Brian</t>
  </si>
  <si>
    <t>Tracy, Mills</t>
  </si>
  <si>
    <t>Wright, Leslie</t>
  </si>
  <si>
    <t>Honey, Tosha</t>
  </si>
  <si>
    <t>Meaghan</t>
  </si>
  <si>
    <t>Nytisha, Smith</t>
  </si>
  <si>
    <t>Kinney, Courtney</t>
  </si>
  <si>
    <t>Linebarger Storey, Elizabeth</t>
  </si>
  <si>
    <t>Green, Ashley</t>
  </si>
  <si>
    <t>Allen, Jessica</t>
  </si>
  <si>
    <t>Collett, Teresa</t>
  </si>
  <si>
    <t>Harrington, Danette</t>
  </si>
  <si>
    <t>Frier, Tracey</t>
  </si>
  <si>
    <t>Ashley, Gilcreast Scott</t>
  </si>
  <si>
    <t>Watkins, Lindsay</t>
  </si>
  <si>
    <t>Stout, Bradley</t>
  </si>
  <si>
    <t>Tumbleson, Karen</t>
  </si>
  <si>
    <t>Hansard, Taylor</t>
  </si>
  <si>
    <t>Montgomery, Jennifer</t>
  </si>
  <si>
    <t>Sanger, Kayley</t>
  </si>
  <si>
    <t>Tomaszewski, Alexandra</t>
  </si>
  <si>
    <t>Newton, Kimberly</t>
  </si>
  <si>
    <t>Faulkner, Priscilla</t>
  </si>
  <si>
    <t>Sinclair, Christine</t>
  </si>
  <si>
    <t>Taylor, Stephanie</t>
  </si>
  <si>
    <t>Mian, Charis</t>
  </si>
  <si>
    <t>Segal, Connie</t>
  </si>
  <si>
    <t>Whisenhunt, Sara</t>
  </si>
  <si>
    <t>Nelson, Jennifer</t>
  </si>
  <si>
    <t>Edwards, Brian</t>
  </si>
  <si>
    <t>Fitchpatric, Kristin</t>
  </si>
  <si>
    <t>John, Roberts</t>
  </si>
  <si>
    <t>Ronnau, Joanna</t>
  </si>
  <si>
    <t>Neal, Katherine</t>
  </si>
  <si>
    <t>Nash, Jennifer</t>
  </si>
  <si>
    <t>Phillips, Adam</t>
  </si>
  <si>
    <t>Porter, Victoria</t>
  </si>
  <si>
    <t>Alberts, Nicole</t>
  </si>
  <si>
    <t>Lily, Darnell</t>
  </si>
  <si>
    <t>Clarissa,Jackson</t>
  </si>
  <si>
    <t>Foster, Stephanie</t>
  </si>
  <si>
    <t>Cronin, Sarah</t>
  </si>
  <si>
    <t>Garner, Aaron</t>
  </si>
  <si>
    <t>Buckley, Finola</t>
  </si>
  <si>
    <t>Terry, Tiffany</t>
  </si>
  <si>
    <t>Stewart, Melissa</t>
  </si>
  <si>
    <t>Erika, Bernard</t>
  </si>
  <si>
    <t>Cross Tweedy, Latonia</t>
  </si>
  <si>
    <t>Swink, Amanda</t>
  </si>
  <si>
    <t>Holland, Michael</t>
  </si>
  <si>
    <t>Teer, Lisa</t>
  </si>
  <si>
    <t>Sweat, Stephanie</t>
  </si>
  <si>
    <t>Brian W Ogary</t>
  </si>
  <si>
    <t>Stehle, Brandin</t>
  </si>
  <si>
    <t>Kati, Street</t>
  </si>
  <si>
    <t>Paula, Quattlebaum</t>
  </si>
  <si>
    <t>Saini, Tejinder</t>
  </si>
  <si>
    <t>Mcspadden, April</t>
  </si>
  <si>
    <t>Howe, Wilson</t>
  </si>
  <si>
    <t>Lipton, Marlyn</t>
  </si>
  <si>
    <t>Baker, Crystal</t>
  </si>
  <si>
    <t>Dillon, Justin</t>
  </si>
  <si>
    <t>Fulcher, Aretha</t>
  </si>
  <si>
    <t>Ritchie, Thomas</t>
  </si>
  <si>
    <t>Herman, Dana</t>
  </si>
  <si>
    <t>Joyner, Aimee</t>
  </si>
  <si>
    <t>Eskridge, Talunja</t>
  </si>
  <si>
    <t>Melissa, Lee</t>
  </si>
  <si>
    <t>Holly, Gilliam</t>
  </si>
  <si>
    <t>Kathryn, Antin</t>
  </si>
  <si>
    <t>Kuns, Jason</t>
  </si>
  <si>
    <t>Strickland, Josh</t>
  </si>
  <si>
    <t>Gunselman, Rachel</t>
  </si>
  <si>
    <t>Ash, Stephen</t>
  </si>
  <si>
    <t>Poulos, Misti</t>
  </si>
  <si>
    <t>Marcak, Michelle</t>
  </si>
  <si>
    <t>Shears, Jaleesa</t>
  </si>
  <si>
    <t>Sanders, Angela</t>
  </si>
  <si>
    <t>Russow, Angela</t>
  </si>
  <si>
    <t>Hukriede, John</t>
  </si>
  <si>
    <t>Puccio, Jillian</t>
  </si>
  <si>
    <t>Nuessen, Jessica</t>
  </si>
  <si>
    <t>Ninemire, Venita</t>
  </si>
  <si>
    <t>Edwards, Candi</t>
  </si>
  <si>
    <t>Tian</t>
  </si>
  <si>
    <t>Carroll, William</t>
  </si>
  <si>
    <t>Assadi, Aresh</t>
  </si>
  <si>
    <t>Collins, Amanda</t>
  </si>
  <si>
    <t>Julie,Alvarez</t>
  </si>
  <si>
    <t>Beasley, Charmaine</t>
  </si>
  <si>
    <t>Brittney, Drost</t>
  </si>
  <si>
    <t>Trisha, Wiatt</t>
  </si>
  <si>
    <t>Pelz, Ronald</t>
  </si>
  <si>
    <t>Sherman, Allen</t>
  </si>
  <si>
    <t>Chesshir, Leslie</t>
  </si>
  <si>
    <t>Winton, Charles</t>
  </si>
  <si>
    <t>Fink, Kelsey</t>
  </si>
  <si>
    <t>Ronald, Henson</t>
  </si>
  <si>
    <t>Tina, Curtis</t>
  </si>
  <si>
    <t>Speer, Arielle</t>
  </si>
  <si>
    <t>Toni, Thomas</t>
  </si>
  <si>
    <t>Dawson, Larry</t>
  </si>
  <si>
    <t>Sears, Christina</t>
  </si>
  <si>
    <t>Hankins, Keisha</t>
  </si>
  <si>
    <t>Hinton, Diane</t>
  </si>
  <si>
    <t>Dennis, Michael</t>
  </si>
  <si>
    <t>Moore, Shauntae</t>
  </si>
  <si>
    <t>Pitts, Hannah</t>
  </si>
  <si>
    <t>Thorne, Rebecca</t>
  </si>
  <si>
    <t>Reuter, David</t>
  </si>
  <si>
    <t>Lytle, Erin</t>
  </si>
  <si>
    <t>Jewell, Melinda</t>
  </si>
  <si>
    <t>Jackson, Christopher</t>
  </si>
  <si>
    <t>Hays, Bradley</t>
  </si>
  <si>
    <t>Stacy, Adams</t>
  </si>
  <si>
    <t>Borrows, Alexa</t>
  </si>
  <si>
    <t>Henderson, Scherri</t>
  </si>
  <si>
    <t>Moody, Kara</t>
  </si>
  <si>
    <t>Trevor D Trietsch</t>
  </si>
  <si>
    <t>Jones, Yolanda</t>
  </si>
  <si>
    <t>Stuart, Angela</t>
  </si>
  <si>
    <t>Porta, Lawrence</t>
  </si>
  <si>
    <t>Thomas, Del</t>
  </si>
  <si>
    <t>King, Kimberly</t>
  </si>
  <si>
    <t>Anna, Knight</t>
  </si>
  <si>
    <t>Beltran, Cesar</t>
  </si>
  <si>
    <t>Owens, April</t>
  </si>
  <si>
    <t>Charpentier, Joshua</t>
  </si>
  <si>
    <t>Jenna Baine</t>
  </si>
  <si>
    <t>Baremore, Amy</t>
  </si>
  <si>
    <t>Sanders, Robin</t>
  </si>
  <si>
    <t>Davis, Kimberly</t>
  </si>
  <si>
    <t>Pinkley, Nikki</t>
  </si>
  <si>
    <t>Buffington, Tenethrea</t>
  </si>
  <si>
    <t>Iona Redmon</t>
  </si>
  <si>
    <t>Thurman, Brandon</t>
  </si>
  <si>
    <t>Moshier, Donna</t>
  </si>
  <si>
    <t>Welch, Billie</t>
  </si>
  <si>
    <t>Shameeka</t>
  </si>
  <si>
    <t>Kelly, Thevenot</t>
  </si>
  <si>
    <t>Davis, Michael</t>
  </si>
  <si>
    <t>Morrow, Patricia</t>
  </si>
  <si>
    <t>Jones, Austin</t>
  </si>
  <si>
    <t>Gaudette, Shari</t>
  </si>
  <si>
    <t>Regina Porter</t>
  </si>
  <si>
    <t>Wright-Mahan, Elizabeth</t>
  </si>
  <si>
    <t>Wilson, Emily</t>
  </si>
  <si>
    <t>Payne, Erica</t>
  </si>
  <si>
    <t>Kristin Avance</t>
  </si>
  <si>
    <t>Melissa Smith</t>
  </si>
  <si>
    <t>Mitchelle, Chelby</t>
  </si>
  <si>
    <t>Shatoria</t>
  </si>
  <si>
    <t>Dane, Joneshill</t>
  </si>
  <si>
    <t>Ross, Susan</t>
  </si>
  <si>
    <t>Keisha D Wood</t>
  </si>
  <si>
    <t>Mensah, Tangella</t>
  </si>
  <si>
    <t>Paddack, Geoffrey</t>
  </si>
  <si>
    <t>Comfort, Amanda</t>
  </si>
  <si>
    <t>Oglesby, Julie</t>
  </si>
  <si>
    <t>Shakir, Angela</t>
  </si>
  <si>
    <t>Mulick, Patrick</t>
  </si>
  <si>
    <t>Waltz, Trish</t>
  </si>
  <si>
    <t>Spiegel, Derek</t>
  </si>
  <si>
    <t>Kennedy, Tracy</t>
  </si>
  <si>
    <t>Petray, Ashley</t>
  </si>
  <si>
    <t>Hanna</t>
  </si>
  <si>
    <t>Peters, Julie</t>
  </si>
  <si>
    <t>Willis, Robyn</t>
  </si>
  <si>
    <t>Edith</t>
  </si>
  <si>
    <t>Rushing, Lindsay</t>
  </si>
  <si>
    <t>Marissa, Novotny</t>
  </si>
  <si>
    <t>Pace, Patsy</t>
  </si>
  <si>
    <t>Calvery-Carman, Julie</t>
  </si>
  <si>
    <t>Benton, Adam</t>
  </si>
  <si>
    <t>Mcfarlin, Carol</t>
  </si>
  <si>
    <t>Ramsey, Molly</t>
  </si>
  <si>
    <t>Blankenship, Taelor</t>
  </si>
  <si>
    <t>Spradley, Jennifer</t>
  </si>
  <si>
    <t>Broaddrick, Kailey</t>
  </si>
  <si>
    <t>Jessica Martin</t>
  </si>
  <si>
    <t>Jacqui, Ratcliffe</t>
  </si>
  <si>
    <t>Gracyn</t>
  </si>
  <si>
    <t>Stevens, Ann</t>
  </si>
  <si>
    <t>Mcneil, Mary</t>
  </si>
  <si>
    <t>Vaughn, William</t>
  </si>
  <si>
    <t>Garcia, Miguel</t>
  </si>
  <si>
    <t>Koch, Debbie</t>
  </si>
  <si>
    <t>Curry, Heather</t>
  </si>
  <si>
    <t>Haynes, Ariellah</t>
  </si>
  <si>
    <t>Starsha, Ford</t>
  </si>
  <si>
    <t>Jonathan Nauser</t>
  </si>
  <si>
    <t>Burke, Melinda</t>
  </si>
  <si>
    <t>Gooden, Angel</t>
  </si>
  <si>
    <t>Jeanie R Shade</t>
  </si>
  <si>
    <t>Brumfield, Jonathan</t>
  </si>
  <si>
    <t>Johnson, Nicole</t>
  </si>
  <si>
    <t>Sowell, Kirsten</t>
  </si>
  <si>
    <t>Robert, Turner</t>
  </si>
  <si>
    <t>Tekima, Pitts</t>
  </si>
  <si>
    <t>Emerson, Amanda</t>
  </si>
  <si>
    <t>Eppinette, Rebecca</t>
  </si>
  <si>
    <t>Davis, Tara</t>
  </si>
  <si>
    <t>Lenderman, Whitley</t>
  </si>
  <si>
    <t>Edwards, Rebecca</t>
  </si>
  <si>
    <t>Elizabeth, Hale</t>
  </si>
  <si>
    <t>Huckaby, Megan</t>
  </si>
  <si>
    <t>Lampton, Charles</t>
  </si>
  <si>
    <t>Dittman, Elsie</t>
  </si>
  <si>
    <t>Maurer, Kaley</t>
  </si>
  <si>
    <t>David, Lusher</t>
  </si>
  <si>
    <t>Jamieson, Susan</t>
  </si>
  <si>
    <t>Phelps, Eric</t>
  </si>
  <si>
    <t>Baggett, Kimberly</t>
  </si>
  <si>
    <t>Amy Bichsel Pacheco Pina</t>
  </si>
  <si>
    <t>Kankanala, Ramana</t>
  </si>
  <si>
    <t>Hill, Nicole</t>
  </si>
  <si>
    <t>Gray, Ashley</t>
  </si>
  <si>
    <t>Villeda, Katie</t>
  </si>
  <si>
    <t>Neubauer, Sarah</t>
  </si>
  <si>
    <t>Smith, Taquila</t>
  </si>
  <si>
    <t>Heard, Jennifer</t>
  </si>
  <si>
    <t>Demoret, Jessica</t>
  </si>
  <si>
    <t>Griffen, Brenna</t>
  </si>
  <si>
    <t>Angelia, Ruiz</t>
  </si>
  <si>
    <t>Turner, Regina</t>
  </si>
  <si>
    <t>Artesia Price</t>
  </si>
  <si>
    <t>Vaughn, Decoster</t>
  </si>
  <si>
    <t>Horne, Danette</t>
  </si>
  <si>
    <t>Donna Kirby</t>
  </si>
  <si>
    <t>Remer, Maria</t>
  </si>
  <si>
    <t>Pickering, Anthony</t>
  </si>
  <si>
    <t>Vice, Elizabeth</t>
  </si>
  <si>
    <t>Bogle, Brandon</t>
  </si>
  <si>
    <t>Burchfield, Ryan</t>
  </si>
  <si>
    <t>Johnston, Meli</t>
  </si>
  <si>
    <t>Doan, Virginia</t>
  </si>
  <si>
    <t>Hendree, Heather</t>
  </si>
  <si>
    <t>Maxwell, Kendra</t>
  </si>
  <si>
    <t>Roswell, Tisha</t>
  </si>
  <si>
    <t>Waylon, Hoef</t>
  </si>
  <si>
    <t>Berry Hert, Kellie</t>
  </si>
  <si>
    <t>Shumake, Megan</t>
  </si>
  <si>
    <t>Floyd, Marlo</t>
  </si>
  <si>
    <t>Hutchinson, Ester</t>
  </si>
  <si>
    <t>Peck, Patrick</t>
  </si>
  <si>
    <t>Davis, Lakera</t>
  </si>
  <si>
    <t>Christin, Norman</t>
  </si>
  <si>
    <t>Bolden, Brooke</t>
  </si>
  <si>
    <t>Ekdahl, Mary</t>
  </si>
  <si>
    <t>Johnson, Dan</t>
  </si>
  <si>
    <t>Branch, Joseph</t>
  </si>
  <si>
    <t>Cates, Amy</t>
  </si>
  <si>
    <t>Patterson, Michael</t>
  </si>
  <si>
    <t>Patterson, Danielle</t>
  </si>
  <si>
    <t>Sharon, Link</t>
  </si>
  <si>
    <t>Brown, Angela</t>
  </si>
  <si>
    <t>Kelly, Christy</t>
  </si>
  <si>
    <t>Polk, Cynthia</t>
  </si>
  <si>
    <t>Gateley, Karla</t>
  </si>
  <si>
    <t>Anastasia Jarrett</t>
  </si>
  <si>
    <t>Keasler, Shannon</t>
  </si>
  <si>
    <t>Abigail, Richison</t>
  </si>
  <si>
    <t>Sara Stemmer</t>
  </si>
  <si>
    <t>Weismark, Janet</t>
  </si>
  <si>
    <t>Stafford, John</t>
  </si>
  <si>
    <t>Rigsbee, Grasha</t>
  </si>
  <si>
    <t>Price, Hillary</t>
  </si>
  <si>
    <t>Kephart, Jennifer</t>
  </si>
  <si>
    <t>Hinklin, John</t>
  </si>
  <si>
    <t>Baker, Lila</t>
  </si>
  <si>
    <t>Harris, Natasha</t>
  </si>
  <si>
    <t>Fannie, Wallace</t>
  </si>
  <si>
    <t>Armstrong, Sonya</t>
  </si>
  <si>
    <t>Davis, Jessica</t>
  </si>
  <si>
    <t>Tamika Davis</t>
  </si>
  <si>
    <t>Killian, Brittany</t>
  </si>
  <si>
    <t>Kathleen, Moix</t>
  </si>
  <si>
    <t>Jessica, Swartz</t>
  </si>
  <si>
    <t>Keefer, Richard</t>
  </si>
  <si>
    <t>Sivage, Kally</t>
  </si>
  <si>
    <t>Kingsley, Jessica</t>
  </si>
  <si>
    <t>Schafer, Julie</t>
  </si>
  <si>
    <t>Reiff, Todd</t>
  </si>
  <si>
    <t>Carroll, Marty</t>
  </si>
  <si>
    <t>Slatton, Elizabeth</t>
  </si>
  <si>
    <t>Carrie White</t>
  </si>
  <si>
    <t>Lynch, Stacey</t>
  </si>
  <si>
    <t>Buchanan, Juanita</t>
  </si>
  <si>
    <t>Mcintyre, Jeanette</t>
  </si>
  <si>
    <t>Mobley, Amber</t>
  </si>
  <si>
    <t>Sisco, Lisa</t>
  </si>
  <si>
    <t>Philip, Leah</t>
  </si>
  <si>
    <t>Scottie, James</t>
  </si>
  <si>
    <t>Tonkin, David</t>
  </si>
  <si>
    <t>Driver, Bridgett</t>
  </si>
  <si>
    <t>Lira, Misti</t>
  </si>
  <si>
    <t>Dixon, Stacey</t>
  </si>
  <si>
    <t>Jones, Taisha</t>
  </si>
  <si>
    <t>Kristen, Shepherd</t>
  </si>
  <si>
    <t>Manning, Catherine</t>
  </si>
  <si>
    <t>Halsell, Judith</t>
  </si>
  <si>
    <t>Nina, Dunn</t>
  </si>
  <si>
    <t>Lienhart, Kaitlin</t>
  </si>
  <si>
    <t>Casella, Diana</t>
  </si>
  <si>
    <t>Owen, Adrian</t>
  </si>
  <si>
    <t>Rutledge, Anita</t>
  </si>
  <si>
    <t>Key, Christopher</t>
  </si>
  <si>
    <t>Butler, Amy</t>
  </si>
  <si>
    <t>Duncan, Joshua</t>
  </si>
  <si>
    <t>Myers, Megan</t>
  </si>
  <si>
    <t>Blue, Jenita</t>
  </si>
  <si>
    <t>Turner, Kabriana</t>
  </si>
  <si>
    <t>Carley, Owen</t>
  </si>
  <si>
    <t>Kimberly, Boykin</t>
  </si>
  <si>
    <t>Posey, Michelle</t>
  </si>
  <si>
    <t>Starr, Emily</t>
  </si>
  <si>
    <t>Burns, Melanie</t>
  </si>
  <si>
    <t>Nolen, Madilynn</t>
  </si>
  <si>
    <t>Gentry Jr., James</t>
  </si>
  <si>
    <t>Riels Bussman, Allison</t>
  </si>
  <si>
    <t>Jarboe, Daniel</t>
  </si>
  <si>
    <t>Saylor, Kamie</t>
  </si>
  <si>
    <t>Higgins, Amy</t>
  </si>
  <si>
    <t>Carter, Rhonda</t>
  </si>
  <si>
    <t>Myers, Stasia</t>
  </si>
  <si>
    <t>Hart, Douglas</t>
  </si>
  <si>
    <t>Richardson, Lisa</t>
  </si>
  <si>
    <t>Wallis, Deborah</t>
  </si>
  <si>
    <t>Hall, Karen</t>
  </si>
  <si>
    <t>Rone, Monika</t>
  </si>
  <si>
    <t>Powell, Merlanda</t>
  </si>
  <si>
    <t>Lowe, Dede</t>
  </si>
  <si>
    <t>Welch, Willow</t>
  </si>
  <si>
    <t>Rozmenoski, Sierra</t>
  </si>
  <si>
    <t>Tiara, Hudson</t>
  </si>
  <si>
    <t>Amanda, Spears</t>
  </si>
  <si>
    <t>Vinick, Barry</t>
  </si>
  <si>
    <t>Weisberg, Kimberly</t>
  </si>
  <si>
    <t>Blackman, Janel</t>
  </si>
  <si>
    <t>Cotton, Jennifer</t>
  </si>
  <si>
    <t>Eason, Vashonda</t>
  </si>
  <si>
    <t>Amerson, Jason</t>
  </si>
  <si>
    <t>Eller, Richard</t>
  </si>
  <si>
    <t>Williams, Eric</t>
  </si>
  <si>
    <t>Kacie, Carroll</t>
  </si>
  <si>
    <t>Amy, Mills</t>
  </si>
  <si>
    <t>Tripp, Mary</t>
  </si>
  <si>
    <t>Morgan, Yates</t>
  </si>
  <si>
    <t>Cease, Madison</t>
  </si>
  <si>
    <t>Dorlisa, Taper</t>
  </si>
  <si>
    <t>Pefferkorn, Fred</t>
  </si>
  <si>
    <t>Scott, Julie</t>
  </si>
  <si>
    <t>Lloyd, Matthew</t>
  </si>
  <si>
    <t>Kimberly, Sutterfield</t>
  </si>
  <si>
    <t>Shannon, Kazmerick</t>
  </si>
  <si>
    <t>Sarah, Heard</t>
  </si>
  <si>
    <t>Smith, Deanna</t>
  </si>
  <si>
    <t>Clevelon, Lasker</t>
  </si>
  <si>
    <t>Davidson, John</t>
  </si>
  <si>
    <t>Berry, Faith</t>
  </si>
  <si>
    <t>Bohon, Cara</t>
  </si>
  <si>
    <t>Pollyea, Mary</t>
  </si>
  <si>
    <t>Howell, Tiffany</t>
  </si>
  <si>
    <t>Gillum, James</t>
  </si>
  <si>
    <t>Skinner, Therese</t>
  </si>
  <si>
    <t>Clevenger, Erin</t>
  </si>
  <si>
    <t>Carpenter, Bill</t>
  </si>
  <si>
    <t>Robinson, Gipsye</t>
  </si>
  <si>
    <t>Neal, Taylor</t>
  </si>
  <si>
    <t>Jones, Ashley</t>
  </si>
  <si>
    <t>Tiffany, Cloud</t>
  </si>
  <si>
    <t>Horner, Janeka</t>
  </si>
  <si>
    <t>Lee, Foster</t>
  </si>
  <si>
    <t>Sundermann Jr, Richard</t>
  </si>
  <si>
    <t>Dzak, Matthew</t>
  </si>
  <si>
    <t>Mcleain, Melanie</t>
  </si>
  <si>
    <t>Dawn, Martin</t>
  </si>
  <si>
    <t>Sallee, Kelsey</t>
  </si>
  <si>
    <t>Hardison, Amanda</t>
  </si>
  <si>
    <t>Aiken, Donna</t>
  </si>
  <si>
    <t>Nealy, Ashton</t>
  </si>
  <si>
    <t>Kinman, Brittany A.</t>
  </si>
  <si>
    <t>David, Dalton</t>
  </si>
  <si>
    <t>Carter, Shara</t>
  </si>
  <si>
    <t>Cole, Everly</t>
  </si>
  <si>
    <t>Watson, Dana</t>
  </si>
  <si>
    <t>Smith, Alexis</t>
  </si>
  <si>
    <t>Knox, Sherry</t>
  </si>
  <si>
    <t>Andrews, Garrett</t>
  </si>
  <si>
    <t>Lewis, Joli</t>
  </si>
  <si>
    <t>Becker, Nicole</t>
  </si>
  <si>
    <t>Bell, Melissa</t>
  </si>
  <si>
    <t>Myton, Phillip</t>
  </si>
  <si>
    <t>Williams, Ashlie</t>
  </si>
  <si>
    <t>Akinleye, Tokunbo</t>
  </si>
  <si>
    <t>Fussell, Joanna</t>
  </si>
  <si>
    <t>Janet, Taylor</t>
  </si>
  <si>
    <t>Jessica, Jeffrey</t>
  </si>
  <si>
    <t>Marquis, Walker</t>
  </si>
  <si>
    <t>Jeremy Howard</t>
  </si>
  <si>
    <t>Black, Haley</t>
  </si>
  <si>
    <t>Camp, Kendell</t>
  </si>
  <si>
    <t>Harlan, Lee</t>
  </si>
  <si>
    <t>Polk, Mia</t>
  </si>
  <si>
    <t>Mcleod Hill, Jessica</t>
  </si>
  <si>
    <t>Fultz, Lindsey</t>
  </si>
  <si>
    <t>Lindhout, William</t>
  </si>
  <si>
    <t>Ryder, Meghan</t>
  </si>
  <si>
    <t>Lietzke, Courtney</t>
  </si>
  <si>
    <t>Posey, Dana</t>
  </si>
  <si>
    <t>Cassidy, Rucker</t>
  </si>
  <si>
    <t>Cathi, Moore</t>
  </si>
  <si>
    <t>Eldridge, Charles</t>
  </si>
  <si>
    <t>Bass, Allison</t>
  </si>
  <si>
    <t>Painter, Melissa</t>
  </si>
  <si>
    <t>Kelly, Kiesa</t>
  </si>
  <si>
    <t>Berkelhammer, Leslie</t>
  </si>
  <si>
    <t>Ashley, Salone</t>
  </si>
  <si>
    <t>Compas, Darren</t>
  </si>
  <si>
    <t>Saucedo, Krizana</t>
  </si>
  <si>
    <t>Dotson, Shawn</t>
  </si>
  <si>
    <t>Laportia</t>
  </si>
  <si>
    <t>Teas Mollie</t>
  </si>
  <si>
    <t>Smith, Leslie</t>
  </si>
  <si>
    <t>Jennifer, Burleson</t>
  </si>
  <si>
    <t>Livingston, Elizabeth</t>
  </si>
  <si>
    <t>Kolbe, Anh Dao</t>
  </si>
  <si>
    <t>Britni, Magdaleno</t>
  </si>
  <si>
    <t>Melissa Ethridge</t>
  </si>
  <si>
    <t>Kemper, Jeffrey</t>
  </si>
  <si>
    <t>Tucker, Jeannie</t>
  </si>
  <si>
    <t>Wilons, Evan</t>
  </si>
  <si>
    <t>Segraves, Brianna</t>
  </si>
  <si>
    <t>Carrie, Hall</t>
  </si>
  <si>
    <t>Rigdon, Erin</t>
  </si>
  <si>
    <t>Wood, Bobbie</t>
  </si>
  <si>
    <t>Teeter, Garry</t>
  </si>
  <si>
    <t>Andrea, Ross</t>
  </si>
  <si>
    <t>Fant, Juliann</t>
  </si>
  <si>
    <t>Bobo, Jeanne</t>
  </si>
  <si>
    <t>Revis, Londa</t>
  </si>
  <si>
    <t>Brand, Rose</t>
  </si>
  <si>
    <t>Phillips, Cathrine</t>
  </si>
  <si>
    <t>Thornton, Ginger</t>
  </si>
  <si>
    <t>Tanenbaum, Brian</t>
  </si>
  <si>
    <t>English, Tony</t>
  </si>
  <si>
    <t>Kyle,Kreulen</t>
  </si>
  <si>
    <t>Harris, Regan</t>
  </si>
  <si>
    <t>Wesley Allen</t>
  </si>
  <si>
    <t>Hix, Michelle</t>
  </si>
  <si>
    <t>Eakins, Shakira</t>
  </si>
  <si>
    <t>Montoyia Mcgowan</t>
  </si>
  <si>
    <t>Withrow, Ashley</t>
  </si>
  <si>
    <t>Shelly R Evans</t>
  </si>
  <si>
    <t>Tierney P Linville</t>
  </si>
  <si>
    <t>Maegan, Calvert</t>
  </si>
  <si>
    <t>Crecelius, Bridget</t>
  </si>
  <si>
    <t>Moore, Tara</t>
  </si>
  <si>
    <t>Simpson, Deneshia</t>
  </si>
  <si>
    <t>Shaeffer, Luz</t>
  </si>
  <si>
    <t>Rostampour, Amir</t>
  </si>
  <si>
    <t>Mary, Workman</t>
  </si>
  <si>
    <t>Casandra, Bolan</t>
  </si>
  <si>
    <t>Amber, Bouchard Clark</t>
  </si>
  <si>
    <t>Vaughan, Krystyn</t>
  </si>
  <si>
    <t>Bailey Hutchinson</t>
  </si>
  <si>
    <t>Sullivan, Christina</t>
  </si>
  <si>
    <t>Lesley Rickman</t>
  </si>
  <si>
    <t>Williams, Adrienne</t>
  </si>
  <si>
    <t>Brittany, Lund</t>
  </si>
  <si>
    <t>Kuchinski, Stacey</t>
  </si>
  <si>
    <t>Stover, Andrew</t>
  </si>
  <si>
    <t>Thomas, Cynthia</t>
  </si>
  <si>
    <t>Vyvyjane, Le</t>
  </si>
  <si>
    <t>Teresa, Hardy</t>
  </si>
  <si>
    <t>Johnson, Erinisha</t>
  </si>
  <si>
    <t>Mollee, Mcclain</t>
  </si>
  <si>
    <t>Washington, Mysti</t>
  </si>
  <si>
    <t>Amy, White</t>
  </si>
  <si>
    <t>Harness, Jaime</t>
  </si>
  <si>
    <t>Jones, William</t>
  </si>
  <si>
    <t>Henry, Melanie</t>
  </si>
  <si>
    <t>Mathis, Renee</t>
  </si>
  <si>
    <t>Deanna, Dunn</t>
  </si>
  <si>
    <t>Jordan, Williams</t>
  </si>
  <si>
    <t>Kelsey, Allen</t>
  </si>
  <si>
    <t>Poindexter, Holly</t>
  </si>
  <si>
    <t>Wende, Johnson</t>
  </si>
  <si>
    <t>Mathisen, Jordan</t>
  </si>
  <si>
    <t>Hawes, Jennifer</t>
  </si>
  <si>
    <t>Stoltz, Stephanie</t>
  </si>
  <si>
    <t>Eckard, Lashundra</t>
  </si>
  <si>
    <t>Haylie, Hart</t>
  </si>
  <si>
    <t>Mccallum, Yolanda</t>
  </si>
  <si>
    <t>Baxter, Madison</t>
  </si>
  <si>
    <t>Harbaugh, Sheryll</t>
  </si>
  <si>
    <t>Wilson, Darlene</t>
  </si>
  <si>
    <t>Kristy</t>
  </si>
  <si>
    <t>Jennifer, Munroe</t>
  </si>
  <si>
    <t>Mcdowell, Angelia</t>
  </si>
  <si>
    <t>Passafiume, Scott</t>
  </si>
  <si>
    <t>Parrish, Joy</t>
  </si>
  <si>
    <t>Kennedy, Kristy</t>
  </si>
  <si>
    <t>Harris, Megan</t>
  </si>
  <si>
    <t>Jones, Olivia</t>
  </si>
  <si>
    <t>Self, Amanda</t>
  </si>
  <si>
    <t>Barham, Jody</t>
  </si>
  <si>
    <t>Childres, Stacey</t>
  </si>
  <si>
    <t>Jacquelin Hora</t>
  </si>
  <si>
    <t>Keppler, Christie</t>
  </si>
  <si>
    <t>Chapman, Amy</t>
  </si>
  <si>
    <t>Wren, Mark</t>
  </si>
  <si>
    <t>Dodson, William</t>
  </si>
  <si>
    <t>Garlapati, Butchaiah</t>
  </si>
  <si>
    <t>Pinto, Jamie</t>
  </si>
  <si>
    <t>Bruce, Robert</t>
  </si>
  <si>
    <t>Mossallati, Adam</t>
  </si>
  <si>
    <t>Pena, Elizabeth</t>
  </si>
  <si>
    <t>Short, Bradley</t>
  </si>
  <si>
    <t>Sheikh, Naureen</t>
  </si>
  <si>
    <t>Jonathan, Vecchiarelli</t>
  </si>
  <si>
    <t>Sant, Michael</t>
  </si>
  <si>
    <t>Weber, Chris</t>
  </si>
  <si>
    <t>Cain, Andrew</t>
  </si>
  <si>
    <t>Rodgers, Jonathan</t>
  </si>
  <si>
    <t>Fenter, Jerry</t>
  </si>
  <si>
    <t>Turnbo, Kirk</t>
  </si>
  <si>
    <t>Tucker, Laura</t>
  </si>
  <si>
    <t>Prince, Rilladean</t>
  </si>
  <si>
    <t>Reaper, Louis</t>
  </si>
  <si>
    <t>Collins, Jan</t>
  </si>
  <si>
    <t>Britt, Joey</t>
  </si>
  <si>
    <t>Smith, Lashay</t>
  </si>
  <si>
    <t>Konrad</t>
  </si>
  <si>
    <t>Boster, Stacey</t>
  </si>
  <si>
    <t>Sandusky, Kathyrn</t>
  </si>
  <si>
    <t>Montgomery, Ronald</t>
  </si>
  <si>
    <t>Russell, Reannon</t>
  </si>
  <si>
    <t>Parnell, Reid</t>
  </si>
  <si>
    <t>Carroll, Stacia</t>
  </si>
  <si>
    <t>Keith, Ashlie</t>
  </si>
  <si>
    <t>Titsworth, Brittany</t>
  </si>
  <si>
    <t>Jeffreys</t>
  </si>
  <si>
    <t>Hillier, Brianne</t>
  </si>
  <si>
    <t>Baldwin, Laken</t>
  </si>
  <si>
    <t>Cavagnaro, Samantha</t>
  </si>
  <si>
    <t>Johnson, Holly</t>
  </si>
  <si>
    <t>Li, Josephine</t>
  </si>
  <si>
    <t>Oshima, Natsuko</t>
  </si>
  <si>
    <t>Mcclanahan, Macy</t>
  </si>
  <si>
    <t>Falconello, Blake</t>
  </si>
  <si>
    <t>Staggs, Amy</t>
  </si>
  <si>
    <t>Davis, Reesha</t>
  </si>
  <si>
    <t>Flowers, Meredith</t>
  </si>
  <si>
    <t>Plumlee, Jessica</t>
  </si>
  <si>
    <t>Kelly, Rowdy</t>
  </si>
  <si>
    <t>Carter, Terry</t>
  </si>
  <si>
    <t>Rowe, Lauren</t>
  </si>
  <si>
    <t>Gursakal</t>
  </si>
  <si>
    <t>Patel, Ami</t>
  </si>
  <si>
    <t>Madeline L Beck</t>
  </si>
  <si>
    <t>Burson, Devin</t>
  </si>
  <si>
    <t>Wojtkowski, Christy</t>
  </si>
  <si>
    <t>Koty, David</t>
  </si>
  <si>
    <t>Oldham, Valerie</t>
  </si>
  <si>
    <t>Menna, Dale</t>
  </si>
  <si>
    <t>Hardy, Jon</t>
  </si>
  <si>
    <t>Wilcox, Angela</t>
  </si>
  <si>
    <t>Tate, Allison</t>
  </si>
  <si>
    <t>Gunn, Adam</t>
  </si>
  <si>
    <t>Houston, Michael</t>
  </si>
  <si>
    <t>Irwin, Braden</t>
  </si>
  <si>
    <t>Crane, Drew</t>
  </si>
  <si>
    <t>Hemme, Regan</t>
  </si>
  <si>
    <t>Kristi Nolan</t>
  </si>
  <si>
    <t>Able</t>
  </si>
  <si>
    <t>Mohr, Stephanie</t>
  </si>
  <si>
    <t>Hinson, Melissa</t>
  </si>
  <si>
    <t>Guerrero, Whytleigh</t>
  </si>
  <si>
    <t>Briske, Brooke</t>
  </si>
  <si>
    <t>Distefano, Douglas</t>
  </si>
  <si>
    <t>Pelzer, Sean</t>
  </si>
  <si>
    <t>Landrum, Jacob</t>
  </si>
  <si>
    <t>Davidson, Stephanie</t>
  </si>
  <si>
    <t>Crater, Cecelia</t>
  </si>
  <si>
    <t>Bass, Chloe</t>
  </si>
  <si>
    <t>Van Cleve, Robert</t>
  </si>
  <si>
    <t>Beck, Djuana</t>
  </si>
  <si>
    <t>Carter, Kelly</t>
  </si>
  <si>
    <t>Humphrey, Carolyn</t>
  </si>
  <si>
    <t>Rehm, Maggie</t>
  </si>
  <si>
    <t>Holman, Nicholas</t>
  </si>
  <si>
    <t>Sayger, Michael</t>
  </si>
  <si>
    <t>Chalona</t>
  </si>
  <si>
    <t>Brown, Stephanie</t>
  </si>
  <si>
    <t>Teresa D Butler</t>
  </si>
  <si>
    <t>Ricky</t>
  </si>
  <si>
    <t>Osterbur, Michael</t>
  </si>
  <si>
    <t>Tinker, Jennifer</t>
  </si>
  <si>
    <t>Odell, Heather</t>
  </si>
  <si>
    <t>Self, Ryan</t>
  </si>
  <si>
    <t>Hastings, Arthur</t>
  </si>
  <si>
    <t>Kidder</t>
  </si>
  <si>
    <t>Sy, Mary Jane</t>
  </si>
  <si>
    <t>Anna  Evans, Pt</t>
  </si>
  <si>
    <t>Williams, Melissa</t>
  </si>
  <si>
    <t>Doolittle, Kevin</t>
  </si>
  <si>
    <t>Shelby, Morris</t>
  </si>
  <si>
    <t>Jarrod</t>
  </si>
  <si>
    <t>Johnson, Angela</t>
  </si>
  <si>
    <t>Jacquelynn, Saravane</t>
  </si>
  <si>
    <t>Saeed, Hozyar</t>
  </si>
  <si>
    <t>Rogers, Keely</t>
  </si>
  <si>
    <t>Smith, Malinda</t>
  </si>
  <si>
    <t>Lovins, Beth</t>
  </si>
  <si>
    <t>Schaff, Cody</t>
  </si>
  <si>
    <t>Ward, Jason</t>
  </si>
  <si>
    <t>Wooldridge, Season</t>
  </si>
  <si>
    <t>Harmon, Cindy</t>
  </si>
  <si>
    <t>Ladd, Johnna</t>
  </si>
  <si>
    <t>Rush, Becky</t>
  </si>
  <si>
    <t>Yumang, Ray</t>
  </si>
  <si>
    <t>Laughter, Seth</t>
  </si>
  <si>
    <t>Bronner, Nicole</t>
  </si>
  <si>
    <t>Seaman, Eric</t>
  </si>
  <si>
    <t>Brandon Mckinney</t>
  </si>
  <si>
    <t>Leonard, Stacy</t>
  </si>
  <si>
    <t>Walker, Curtis</t>
  </si>
  <si>
    <t>Gatewood, Shelby</t>
  </si>
  <si>
    <t>Floresca, Maria</t>
  </si>
  <si>
    <t>Steffen</t>
  </si>
  <si>
    <t>Beach, Dena</t>
  </si>
  <si>
    <t>Parker, Lana</t>
  </si>
  <si>
    <t>Dunn, Todd</t>
  </si>
  <si>
    <t>Sennett, Crystal</t>
  </si>
  <si>
    <t>Beatrice</t>
  </si>
  <si>
    <t>Jordann</t>
  </si>
  <si>
    <t>Flurry, Consuella</t>
  </si>
  <si>
    <t>Charles, Kenton</t>
  </si>
  <si>
    <t>Musgrave, Erin</t>
  </si>
  <si>
    <t>Sampson, Tiffany</t>
  </si>
  <si>
    <t>Billings, Katie</t>
  </si>
  <si>
    <t>Christa N Cook</t>
  </si>
  <si>
    <t>Smith-Johnson, Kennethya</t>
  </si>
  <si>
    <t>Mcelroy, Kevin</t>
  </si>
  <si>
    <t>Soules, Linzi</t>
  </si>
  <si>
    <t>Cole, Anna</t>
  </si>
  <si>
    <t>Mccrory, Abbey</t>
  </si>
  <si>
    <t>Trachte, Amy</t>
  </si>
  <si>
    <t>Toland, Shandy</t>
  </si>
  <si>
    <t>Ricketts, Kristen</t>
  </si>
  <si>
    <t>Carson, Adam</t>
  </si>
  <si>
    <t>Brandis, Stephen</t>
  </si>
  <si>
    <t>Rogerson, Thomas</t>
  </si>
  <si>
    <t>Grantham, Daniel</t>
  </si>
  <si>
    <t>Jason T Grady, Pt</t>
  </si>
  <si>
    <t>Housley, Henry</t>
  </si>
  <si>
    <t>Mooney, Tiffany</t>
  </si>
  <si>
    <t>Cunningham, Carmen</t>
  </si>
  <si>
    <t>Yarborough, Jerry</t>
  </si>
  <si>
    <t>Goodwin, Megan</t>
  </si>
  <si>
    <t>Frederick, Beene</t>
  </si>
  <si>
    <t>Chidester, Mignon</t>
  </si>
  <si>
    <t>Fisher, Rebekah</t>
  </si>
  <si>
    <t>Martin, Matthew</t>
  </si>
  <si>
    <t>Gibbs</t>
  </si>
  <si>
    <t>Emily, Hayes</t>
  </si>
  <si>
    <t>Kent, Justin</t>
  </si>
  <si>
    <t>Gordon, Steven</t>
  </si>
  <si>
    <t>Wright, Candace</t>
  </si>
  <si>
    <t>Blake, Stephen</t>
  </si>
  <si>
    <t>Herrmann, Carrie</t>
  </si>
  <si>
    <t>Casciano, Shelley</t>
  </si>
  <si>
    <t>Pinson, Kailey</t>
  </si>
  <si>
    <t>Cruz, Mariela</t>
  </si>
  <si>
    <t>Ferrell, Katherine</t>
  </si>
  <si>
    <t>Kent, Brian</t>
  </si>
  <si>
    <t>Mcivor, Shannon</t>
  </si>
  <si>
    <t>Clark, Kelsie</t>
  </si>
  <si>
    <t>West, Loretta</t>
  </si>
  <si>
    <t>Harper Schaefer, Lisa</t>
  </si>
  <si>
    <t>Frisillo, Vincent</t>
  </si>
  <si>
    <t>Gardner, Jason</t>
  </si>
  <si>
    <t>Maxwell, Jeremy</t>
  </si>
  <si>
    <t>Grady, Michael</t>
  </si>
  <si>
    <t>Mathis, Ruth</t>
  </si>
  <si>
    <t>Tessman, Alex</t>
  </si>
  <si>
    <t>Greenway, Shannon</t>
  </si>
  <si>
    <t>Quigley, Mitchell</t>
  </si>
  <si>
    <t>Holt, Kevin</t>
  </si>
  <si>
    <t>Turman, Zachary</t>
  </si>
  <si>
    <t>Vaneck, Maja</t>
  </si>
  <si>
    <t>Kayla M Leal</t>
  </si>
  <si>
    <t>Hunter, Kimberly</t>
  </si>
  <si>
    <t>Randall E Young</t>
  </si>
  <si>
    <t>Aho, Leanna</t>
  </si>
  <si>
    <t>Holder, Caitlyn</t>
  </si>
  <si>
    <t>Spinelli, Andrea</t>
  </si>
  <si>
    <t>Tancinco, Luzel</t>
  </si>
  <si>
    <t>Edwards, Kimberly</t>
  </si>
  <si>
    <t>Travis, Beth</t>
  </si>
  <si>
    <t>Arash, Hojatizadeh</t>
  </si>
  <si>
    <t>Turcotte, Kathryn</t>
  </si>
  <si>
    <t>Glover, Amanda</t>
  </si>
  <si>
    <t>Anna C Wargo</t>
  </si>
  <si>
    <t>Noel, Juliet</t>
  </si>
  <si>
    <t>Denney, Haley</t>
  </si>
  <si>
    <t>Weir, Elizabeth</t>
  </si>
  <si>
    <t>Merryman, Sarah</t>
  </si>
  <si>
    <t>Lee, Jonathan</t>
  </si>
  <si>
    <t>Cunningham, Danielle</t>
  </si>
  <si>
    <t>Rayford, Brynten</t>
  </si>
  <si>
    <t>Lyle, Morgan</t>
  </si>
  <si>
    <t>Dupriest, Cecil</t>
  </si>
  <si>
    <t>Parsley, Leah</t>
  </si>
  <si>
    <t>Mikel Thacker</t>
  </si>
  <si>
    <t>Gregory, Olivia</t>
  </si>
  <si>
    <t>Minks, Brenda</t>
  </si>
  <si>
    <t>Pettus, Ashley</t>
  </si>
  <si>
    <t>Eubank, Laura</t>
  </si>
  <si>
    <t>Oliver, Marlene</t>
  </si>
  <si>
    <t>Higgins, Graeme</t>
  </si>
  <si>
    <t>Land, Elizabeth</t>
  </si>
  <si>
    <t>Vogler, Robert E</t>
  </si>
  <si>
    <t>Kyles, Keith</t>
  </si>
  <si>
    <t>Alexander, Cale</t>
  </si>
  <si>
    <t>Lamastus Waite, Lara</t>
  </si>
  <si>
    <t>Barton, Katrina</t>
  </si>
  <si>
    <t>Jackson, Matt</t>
  </si>
  <si>
    <t>Huey, Charles</t>
  </si>
  <si>
    <t>Brown, Tamra</t>
  </si>
  <si>
    <t>Byram, Johnson</t>
  </si>
  <si>
    <t>Glass, Joshua</t>
  </si>
  <si>
    <t>Cassel, Jennifer</t>
  </si>
  <si>
    <t>London P Abernathy Creel</t>
  </si>
  <si>
    <t>Denison, Bobby</t>
  </si>
  <si>
    <t>Rushing, Amara</t>
  </si>
  <si>
    <t>Tripod, Jon</t>
  </si>
  <si>
    <t>Pinzur, Samuel</t>
  </si>
  <si>
    <t>Cupp, Tiffany</t>
  </si>
  <si>
    <t>Robinson, Christopher</t>
  </si>
  <si>
    <t>Collar, Matthew</t>
  </si>
  <si>
    <t>Van Camp, Scott</t>
  </si>
  <si>
    <t>Hatcher, Hannah</t>
  </si>
  <si>
    <t>Alberson, Troy</t>
  </si>
  <si>
    <t>Southerland, Joseph</t>
  </si>
  <si>
    <t>Schoultz, Michael</t>
  </si>
  <si>
    <t>Jerry, Randall</t>
  </si>
  <si>
    <t>Vaughn, Jonathan</t>
  </si>
  <si>
    <t>Tipton, David</t>
  </si>
  <si>
    <t>Jones, Magdalene</t>
  </si>
  <si>
    <t>Joe E Looney</t>
  </si>
  <si>
    <t>Qinqing</t>
  </si>
  <si>
    <t>Clenin, Taylor</t>
  </si>
  <si>
    <t>Schluterman, Mackenzie</t>
  </si>
  <si>
    <t>Laird, Landry</t>
  </si>
  <si>
    <t>Gilbert, Jacquelyn</t>
  </si>
  <si>
    <t>Pretz</t>
  </si>
  <si>
    <t>Chipman, Steven</t>
  </si>
  <si>
    <t>Eckart, Ivy</t>
  </si>
  <si>
    <t>Harper, Grant</t>
  </si>
  <si>
    <t>Graber, Megan</t>
  </si>
  <si>
    <t>Fowler, Katie</t>
  </si>
  <si>
    <t>Milholen, Matthew</t>
  </si>
  <si>
    <t>Winslow, Lucas</t>
  </si>
  <si>
    <t>Vangilder, Candice</t>
  </si>
  <si>
    <t>Hanna, Joanna</t>
  </si>
  <si>
    <t>Katarzyna, Kania</t>
  </si>
  <si>
    <t>Mehta, Sagar</t>
  </si>
  <si>
    <t>Bauer, David</t>
  </si>
  <si>
    <t>Chandler, Robert</t>
  </si>
  <si>
    <t>Paine, Kaitlyn</t>
  </si>
  <si>
    <t>Robin, Evans</t>
  </si>
  <si>
    <t>Young, Zachary</t>
  </si>
  <si>
    <t>Passmore, Ann</t>
  </si>
  <si>
    <t>Wolter, Keith</t>
  </si>
  <si>
    <t>Bui, Phuoc</t>
  </si>
  <si>
    <t>Pirotta, Stephen</t>
  </si>
  <si>
    <t>San Diego, Alexander</t>
  </si>
  <si>
    <t>Price, Lauren</t>
  </si>
  <si>
    <t>Whitfield, Anika</t>
  </si>
  <si>
    <t>Woodruff, Lee</t>
  </si>
  <si>
    <t>Armand, Kachigian</t>
  </si>
  <si>
    <t>Richard, Amundsen</t>
  </si>
  <si>
    <t>Bisbee, Brooke</t>
  </si>
  <si>
    <t>Porchia, Barbara</t>
  </si>
  <si>
    <t>Coleman, Nathan S.</t>
  </si>
  <si>
    <t>Joshua A Mclaughlin</t>
  </si>
  <si>
    <t>Lu, Elizabeth</t>
  </si>
  <si>
    <t>Freiberg, Terry</t>
  </si>
  <si>
    <t>Bartole, Loren</t>
  </si>
  <si>
    <t>Aquilar, Danny</t>
  </si>
  <si>
    <t>Consul, Devon</t>
  </si>
  <si>
    <t>Matos, Randall</t>
  </si>
  <si>
    <t>Haughey, Michael</t>
  </si>
  <si>
    <t>Ewert, Karl</t>
  </si>
  <si>
    <t>Bird, Scott</t>
  </si>
  <si>
    <t>Saldino, Michael</t>
  </si>
  <si>
    <t>Dillingham, Justin</t>
  </si>
  <si>
    <t>Lorents Evelyn M</t>
  </si>
  <si>
    <t>Estes, Dylan</t>
  </si>
  <si>
    <t>Wredling, Sarah</t>
  </si>
  <si>
    <t>Huls, Brittany</t>
  </si>
  <si>
    <t>Tanvi, Patel</t>
  </si>
  <si>
    <t>Jenkins, Kierra</t>
  </si>
  <si>
    <t>Amanda, Pittman</t>
  </si>
  <si>
    <t>Simmons, Carol</t>
  </si>
  <si>
    <t>Rawlinson, William</t>
  </si>
  <si>
    <t>Long, Jennifer</t>
  </si>
  <si>
    <t>Williams, Janice</t>
  </si>
  <si>
    <t>Reese M.D., Edward</t>
  </si>
  <si>
    <t>Anderson, Jerrod</t>
  </si>
  <si>
    <t>Brown, Hailey</t>
  </si>
  <si>
    <t>Denton, Nancy</t>
  </si>
  <si>
    <t>Wise, Camille</t>
  </si>
  <si>
    <t>Pennington, Kerry</t>
  </si>
  <si>
    <t>Sterk, Troy</t>
  </si>
  <si>
    <t>Beland, Susan</t>
  </si>
  <si>
    <t>Roberts, William</t>
  </si>
  <si>
    <t>Grigg, Scott</t>
  </si>
  <si>
    <t>Heard, Coral</t>
  </si>
  <si>
    <t>Recktenwald, Kirstie</t>
  </si>
  <si>
    <t>Rodrock, Nichole</t>
  </si>
  <si>
    <t>Myers, Tugi</t>
  </si>
  <si>
    <t>Sharpe, Catherine</t>
  </si>
  <si>
    <t>Burton, Misty</t>
  </si>
  <si>
    <t>Onedo, Akpevwoghene</t>
  </si>
  <si>
    <t>Spence, Kimberly</t>
  </si>
  <si>
    <t>Courtney, Lambert</t>
  </si>
  <si>
    <t>Reinhart, Jeffrey</t>
  </si>
  <si>
    <t>Mehaffey, Gregory</t>
  </si>
  <si>
    <t>Yang, Zuag</t>
  </si>
  <si>
    <t>Johnson, Gayla</t>
  </si>
  <si>
    <t>Bryant, Jenna</t>
  </si>
  <si>
    <t>Dodds, Brandon</t>
  </si>
  <si>
    <t>Beall, Whitney</t>
  </si>
  <si>
    <t>Fuller, Kayla</t>
  </si>
  <si>
    <t>Tubre, Clare</t>
  </si>
  <si>
    <t>Havas, Jeremy</t>
  </si>
  <si>
    <t>Kenslow, Susan</t>
  </si>
  <si>
    <t>Baranyk, Christopher</t>
  </si>
  <si>
    <t>Alexander, Alice</t>
  </si>
  <si>
    <t>Phillips, Teddy</t>
  </si>
  <si>
    <t>England, Tracy</t>
  </si>
  <si>
    <t>Phelps, Catherine</t>
  </si>
  <si>
    <t>Coin, Savannah</t>
  </si>
  <si>
    <t>Thomas, Spradley</t>
  </si>
  <si>
    <t>Pyburn, Wendy M.</t>
  </si>
  <si>
    <t>Hill, Mckenleigh</t>
  </si>
  <si>
    <t>Ungab, Ramon</t>
  </si>
  <si>
    <t>Snyder, Stephen</t>
  </si>
  <si>
    <t>Sakr, Safwan</t>
  </si>
  <si>
    <t>Camacho, Rodrigo</t>
  </si>
  <si>
    <t>Rader, Lisa R.</t>
  </si>
  <si>
    <t>Staggs, Emily</t>
  </si>
  <si>
    <t>Brittany, Smith</t>
  </si>
  <si>
    <t>Simms, Mona</t>
  </si>
  <si>
    <t>Downing, Cintia</t>
  </si>
  <si>
    <t>Holdiness, Heather</t>
  </si>
  <si>
    <t>Crook, Kristen</t>
  </si>
  <si>
    <t>Nichols Tanner</t>
  </si>
  <si>
    <t>Heath, Mitchell</t>
  </si>
  <si>
    <t>Nyp, Michael</t>
  </si>
  <si>
    <t>Haranath, Sai</t>
  </si>
  <si>
    <t>Eisenring, Christian</t>
  </si>
  <si>
    <t>Conner, George</t>
  </si>
  <si>
    <t>Gallion, Stacia</t>
  </si>
  <si>
    <t>Cummins, Joe</t>
  </si>
  <si>
    <t>Stephen, Frank</t>
  </si>
  <si>
    <t>Storey, Morgan</t>
  </si>
  <si>
    <t>Baker, Julia</t>
  </si>
  <si>
    <t>Slater, Jantzen</t>
  </si>
  <si>
    <t>Carrell, Shawn</t>
  </si>
  <si>
    <t>Shaw, Lynn</t>
  </si>
  <si>
    <t>Snyder, Emile</t>
  </si>
  <si>
    <t>Graves, Heather</t>
  </si>
  <si>
    <t>Stanich, Angela</t>
  </si>
  <si>
    <t>Dylan, Barnett</t>
  </si>
  <si>
    <t>Jessica,Butler</t>
  </si>
  <si>
    <t>Sarah E Lilly</t>
  </si>
  <si>
    <t>Devall, Laura</t>
  </si>
  <si>
    <t>Lewis, John</t>
  </si>
  <si>
    <t>Berry, Martha</t>
  </si>
  <si>
    <t>Domingue, Christopher</t>
  </si>
  <si>
    <t>Burns, Angela</t>
  </si>
  <si>
    <t>Griffin, Bryan</t>
  </si>
  <si>
    <t>Teach, Guy</t>
  </si>
  <si>
    <t>Kobilsek, Peter</t>
  </si>
  <si>
    <t>Avila, Reuben</t>
  </si>
  <si>
    <t>Williams, Lori</t>
  </si>
  <si>
    <t>Agesilas, Marielie</t>
  </si>
  <si>
    <t>Glidewell, Leanne</t>
  </si>
  <si>
    <t>Culbertson, John</t>
  </si>
  <si>
    <t>Lassiter William B</t>
  </si>
  <si>
    <t>Gray, Amanda</t>
  </si>
  <si>
    <t>Mcmorise, Kayla</t>
  </si>
  <si>
    <t>Castilo, Rebecca</t>
  </si>
  <si>
    <t>Edgar, Stacy</t>
  </si>
  <si>
    <t>Schemel, Lawrence</t>
  </si>
  <si>
    <t>Mogbo, Solomon</t>
  </si>
  <si>
    <t>Sherrell, Fern</t>
  </si>
  <si>
    <t>Tirumanisette, Pavana</t>
  </si>
  <si>
    <t>Davis, Christopher</t>
  </si>
  <si>
    <t>Meredith, Kevin</t>
  </si>
  <si>
    <t>Jarrells, Mary</t>
  </si>
  <si>
    <t>Tetirick, Jennifer</t>
  </si>
  <si>
    <t>Swift, Elizabeth</t>
  </si>
  <si>
    <t>Hipp, Stacie</t>
  </si>
  <si>
    <t>Merewether, Lauren</t>
  </si>
  <si>
    <t>Tucker, Melinda</t>
  </si>
  <si>
    <t>Webb, Eric</t>
  </si>
  <si>
    <t>Middleton, Toni</t>
  </si>
  <si>
    <t>Trejo, Daniel</t>
  </si>
  <si>
    <t>Kosinski, Terry</t>
  </si>
  <si>
    <t>Moore, Jefferson</t>
  </si>
  <si>
    <t>Wells, Carie</t>
  </si>
  <si>
    <t>Chastain, Richard</t>
  </si>
  <si>
    <t>Branch, Porscha</t>
  </si>
  <si>
    <t>James, Steven</t>
  </si>
  <si>
    <t>Brittany, Barnett</t>
  </si>
  <si>
    <t>Gulnar, Pitts</t>
  </si>
  <si>
    <t>Carter, Leanne</t>
  </si>
  <si>
    <t>Huitt, Ashley</t>
  </si>
  <si>
    <t>Ward, Ellen</t>
  </si>
  <si>
    <t>Carney, Donn</t>
  </si>
  <si>
    <t>Durner, Corinne</t>
  </si>
  <si>
    <t>Ross, Leah</t>
  </si>
  <si>
    <t>Roberts, Franklin</t>
  </si>
  <si>
    <t>Dowsing-Adams, Cecilia</t>
  </si>
  <si>
    <t>Davis, Richard</t>
  </si>
  <si>
    <t>Legg, Thomas</t>
  </si>
  <si>
    <t>Brauer, Chastity</t>
  </si>
  <si>
    <t>Ellis, Neysa</t>
  </si>
  <si>
    <t>Clark, Laura</t>
  </si>
  <si>
    <t>Bowman, John</t>
  </si>
  <si>
    <t>Steele, Kathryn</t>
  </si>
  <si>
    <t>Hyde, Carrie</t>
  </si>
  <si>
    <t>Holte, Diana</t>
  </si>
  <si>
    <t>Walling, Travis</t>
  </si>
  <si>
    <t>Decaprio, Cheryl</t>
  </si>
  <si>
    <t>Sumbler, Dana</t>
  </si>
  <si>
    <t>Ackel, Noel</t>
  </si>
  <si>
    <t>Cabanero, Cherilyn</t>
  </si>
  <si>
    <t>Tynisha,Williams</t>
  </si>
  <si>
    <t>Wener, Steven</t>
  </si>
  <si>
    <t>Young, Michael</t>
  </si>
  <si>
    <t>Winters, Richard</t>
  </si>
  <si>
    <t>Shelton, Michelle</t>
  </si>
  <si>
    <t>Daugherty, John</t>
  </si>
  <si>
    <t>Grummer, Lisa</t>
  </si>
  <si>
    <t>Ramsay, Lawrence</t>
  </si>
  <si>
    <t>Young, Regina</t>
  </si>
  <si>
    <t>Beumeler, Britney</t>
  </si>
  <si>
    <t>Johnston, Virginia</t>
  </si>
  <si>
    <t>Wood, Jessica</t>
  </si>
  <si>
    <t>Hall, Whitney</t>
  </si>
  <si>
    <t>Pearcy, Brittney</t>
  </si>
  <si>
    <t>Foster, Ashley</t>
  </si>
  <si>
    <t>Frick, Jessica</t>
  </si>
  <si>
    <t>Wrather, Raina</t>
  </si>
  <si>
    <t>Cockrell, Linda</t>
  </si>
  <si>
    <t>Covas, Eve</t>
  </si>
  <si>
    <t>Hutchings, Heather</t>
  </si>
  <si>
    <t>Kari, Schrank</t>
  </si>
  <si>
    <t>Early, Jacquolyn</t>
  </si>
  <si>
    <t>Simon, Rebecca</t>
  </si>
  <si>
    <t>Crump, Brandy</t>
  </si>
  <si>
    <t>Means, Nan</t>
  </si>
  <si>
    <t>Jones, Sandra</t>
  </si>
  <si>
    <t>Emilee J Gruse</t>
  </si>
  <si>
    <t>Tucker, Megan</t>
  </si>
  <si>
    <t>Easterling, Anna</t>
  </si>
  <si>
    <t>Crutcher, She'Tongela</t>
  </si>
  <si>
    <t>Jacobs, Jennifer</t>
  </si>
  <si>
    <t>Bettis, Penny</t>
  </si>
  <si>
    <t>Clark, Cody</t>
  </si>
  <si>
    <t>King, Stephen</t>
  </si>
  <si>
    <t>Deyoung, Bruce</t>
  </si>
  <si>
    <t>White, Edward</t>
  </si>
  <si>
    <t>Cheyne, Thomas</t>
  </si>
  <si>
    <t>Mcadams, Lou A.</t>
  </si>
  <si>
    <t>Shabnam, Sabera</t>
  </si>
  <si>
    <t>Rains, Jessica</t>
  </si>
  <si>
    <t>Smith, Sherrie</t>
  </si>
  <si>
    <t>Gurley, Katherine</t>
  </si>
  <si>
    <t>Beasley, Priscilla</t>
  </si>
  <si>
    <t>Featherston, Ashley</t>
  </si>
  <si>
    <t>Shaddy, Kasilynn</t>
  </si>
  <si>
    <t>Payne, Reagan</t>
  </si>
  <si>
    <t>Elizabeth, Tlapek</t>
  </si>
  <si>
    <t>Casandra, Thurman</t>
  </si>
  <si>
    <t>Emily Mann</t>
  </si>
  <si>
    <t>Abiseid, Jose</t>
  </si>
  <si>
    <t>Joseph D Baker</t>
  </si>
  <si>
    <t>Newcomb, Briana</t>
  </si>
  <si>
    <t>Douglas, Monte</t>
  </si>
  <si>
    <t>Boles, Paige</t>
  </si>
  <si>
    <t>Benefield Morgan L</t>
  </si>
  <si>
    <t>Leach, Deborah</t>
  </si>
  <si>
    <t>Smith, Kristen</t>
  </si>
  <si>
    <t>Austin, Melanie</t>
  </si>
  <si>
    <t>Estrada Flores, Panfilo</t>
  </si>
  <si>
    <t>Liesa, Erickson</t>
  </si>
  <si>
    <t>Roberts, Lauren</t>
  </si>
  <si>
    <t>Daniels, Hailey</t>
  </si>
  <si>
    <t>Langer, Jill</t>
  </si>
  <si>
    <t>Diggs, Micah</t>
  </si>
  <si>
    <t>Branch, Harold</t>
  </si>
  <si>
    <t>Nayles, Lee</t>
  </si>
  <si>
    <t>Devose, Carla</t>
  </si>
  <si>
    <t>Sabatini, Lindsey</t>
  </si>
  <si>
    <t>Tyree, Emily</t>
  </si>
  <si>
    <t>Hill, Whitley</t>
  </si>
  <si>
    <t>Morrow, Allison</t>
  </si>
  <si>
    <t>Miller, Jessica</t>
  </si>
  <si>
    <t>Hutchins, Bethany</t>
  </si>
  <si>
    <t>Anthony, Johnson</t>
  </si>
  <si>
    <t>Harrod, Naomi</t>
  </si>
  <si>
    <t>Fayne, Kristy</t>
  </si>
  <si>
    <t>Fry, Tracy</t>
  </si>
  <si>
    <t>Hines, Gracie</t>
  </si>
  <si>
    <t>Christian, Hannah</t>
  </si>
  <si>
    <t>Trilok, Shrivastava</t>
  </si>
  <si>
    <t>Monica, Nobles</t>
  </si>
  <si>
    <t>Carnahan, Walter</t>
  </si>
  <si>
    <t>Charlotte, Stark</t>
  </si>
  <si>
    <t>Hearyman, Marty</t>
  </si>
  <si>
    <t>Burch, Mary</t>
  </si>
  <si>
    <t>Holtmeyer, Stephanie</t>
  </si>
  <si>
    <t>Marshall, Taylor</t>
  </si>
  <si>
    <t>Poppy, Ashley</t>
  </si>
  <si>
    <t>Julian, Jennifer</t>
  </si>
  <si>
    <t>Moon, Stacey</t>
  </si>
  <si>
    <t>Mclean, Ashley</t>
  </si>
  <si>
    <t>Acklin, Patricia</t>
  </si>
  <si>
    <t>Lamey, Tracy</t>
  </si>
  <si>
    <t>Hollomon, Michael</t>
  </si>
  <si>
    <t>Winston, Scott</t>
  </si>
  <si>
    <t>Staggs, David</t>
  </si>
  <si>
    <t>Wanderman, Richard</t>
  </si>
  <si>
    <t>Mcdonald, Steven</t>
  </si>
  <si>
    <t>Lam, Brian</t>
  </si>
  <si>
    <t>Sealy, Sandee</t>
  </si>
  <si>
    <t>Hambleton, Candace</t>
  </si>
  <si>
    <t>Khamisiasl, Zhila</t>
  </si>
  <si>
    <t>Hodges, Amy</t>
  </si>
  <si>
    <t>Todd, Kelsi M</t>
  </si>
  <si>
    <t>Holthaus, Jaime</t>
  </si>
  <si>
    <t>Coats, Justin</t>
  </si>
  <si>
    <t>Quella, Megan</t>
  </si>
  <si>
    <t>Posey, Michael</t>
  </si>
  <si>
    <t>Fitts, Sherrie</t>
  </si>
  <si>
    <t>Sarah, Brown</t>
  </si>
  <si>
    <t>Poe, Lacey</t>
  </si>
  <si>
    <t>Young, Jason</t>
  </si>
  <si>
    <t>Weeks, Kimberly</t>
  </si>
  <si>
    <t>Chrystal, Brown</t>
  </si>
  <si>
    <t>Hill, Abigail R.</t>
  </si>
  <si>
    <t>Gregory, Taylor</t>
  </si>
  <si>
    <t>Tilley, Stephen</t>
  </si>
  <si>
    <t>Sarkar, Purnima</t>
  </si>
  <si>
    <t>Martindale, Mark</t>
  </si>
  <si>
    <t>Flores, Rebecca</t>
  </si>
  <si>
    <t>Cobb, Jason</t>
  </si>
  <si>
    <t>Culbreath, Sara</t>
  </si>
  <si>
    <t>Naoman, Shahla</t>
  </si>
  <si>
    <t>Clouse, Staci</t>
  </si>
  <si>
    <t>Ifediora, Nnamdi</t>
  </si>
  <si>
    <t>Hampton, Temekis</t>
  </si>
  <si>
    <t>Pounds, Tonile</t>
  </si>
  <si>
    <t>Laforce, Melanie</t>
  </si>
  <si>
    <t>Humphrey, Kimberly</t>
  </si>
  <si>
    <t>Connor, Rayburn</t>
  </si>
  <si>
    <t>Krisell, Garrett</t>
  </si>
  <si>
    <t>Payal</t>
  </si>
  <si>
    <t>Tahiya</t>
  </si>
  <si>
    <t>Bartnicke, Benjamin</t>
  </si>
  <si>
    <t>Wilson, Cynthia</t>
  </si>
  <si>
    <t>Kavelman, Robert</t>
  </si>
  <si>
    <t>Warren, Jeffery</t>
  </si>
  <si>
    <t>Wharton, Joe</t>
  </si>
  <si>
    <t>Wilkin, Timothee</t>
  </si>
  <si>
    <t>Wagner, Donnelle</t>
  </si>
  <si>
    <t>Roberts, Allison</t>
  </si>
  <si>
    <t>Hall, La Trisha</t>
  </si>
  <si>
    <t>Patrick, Carrisa</t>
  </si>
  <si>
    <t>Dorsey, Clarissa</t>
  </si>
  <si>
    <t>Scott Smith, Chrystal</t>
  </si>
  <si>
    <t>Jolly, Jennifer</t>
  </si>
  <si>
    <t>Netherland, Clint</t>
  </si>
  <si>
    <t>Salmon, James</t>
  </si>
  <si>
    <t>Gunn Hill, Ericka</t>
  </si>
  <si>
    <t>Garza, Emily</t>
  </si>
  <si>
    <t>Cheerla, Rajalakshmi</t>
  </si>
  <si>
    <t>Dyer, Jonna</t>
  </si>
  <si>
    <t>Gibson, Erica</t>
  </si>
  <si>
    <t>Rogers, William</t>
  </si>
  <si>
    <t>Carllee, Sheena</t>
  </si>
  <si>
    <t>Goade, Kimberle</t>
  </si>
  <si>
    <t>Chen, Jim</t>
  </si>
  <si>
    <t>Wortham, Richelle</t>
  </si>
  <si>
    <t>Mcpherson, Timothy</t>
  </si>
  <si>
    <t>Wolfe, Elva</t>
  </si>
  <si>
    <t>Niemeyer, Randi L.</t>
  </si>
  <si>
    <t>Lisa, Castro</t>
  </si>
  <si>
    <t>Berger, Alison</t>
  </si>
  <si>
    <t>Matthews, Ashley</t>
  </si>
  <si>
    <t>Baer, Erin</t>
  </si>
  <si>
    <t>Burchfield, Cynthia</t>
  </si>
  <si>
    <t>Marlesha</t>
  </si>
  <si>
    <t>Shauna, Comella</t>
  </si>
  <si>
    <t>Amanda, Brewer</t>
  </si>
  <si>
    <t>Kayla, Adams</t>
  </si>
  <si>
    <t>Hardee, Andrew</t>
  </si>
  <si>
    <t>Sangari, Taranjit</t>
  </si>
  <si>
    <t>Brown, Verona</t>
  </si>
  <si>
    <t>Smith, Tammie</t>
  </si>
  <si>
    <t>Din, Phillip</t>
  </si>
  <si>
    <t>Whitelocke, Daniel</t>
  </si>
  <si>
    <t>Moataz</t>
  </si>
  <si>
    <t>Mygatt, Christopher</t>
  </si>
  <si>
    <t>Walker, Meagan</t>
  </si>
  <si>
    <t>Smith, Stephanie</t>
  </si>
  <si>
    <t>Adkison, Lauren</t>
  </si>
  <si>
    <t>Scott, Morgan</t>
  </si>
  <si>
    <t>Saric, Tiffany</t>
  </si>
  <si>
    <t>Froeschle, Jason</t>
  </si>
  <si>
    <t>Muska, Ullah</t>
  </si>
  <si>
    <t>Zurick, Kaitlin</t>
  </si>
  <si>
    <t>Bowlin, Randal</t>
  </si>
  <si>
    <t>Mclean, Joan</t>
  </si>
  <si>
    <t>Burr, Tammy</t>
  </si>
  <si>
    <t>Yuh Theresa M</t>
  </si>
  <si>
    <t>Agbaosi, Oluwatoyin</t>
  </si>
  <si>
    <t>Mahalitc, Holly</t>
  </si>
  <si>
    <t>Hostetler, Jacob</t>
  </si>
  <si>
    <t>Arnold, Maeghan</t>
  </si>
  <si>
    <t>Richardson, Kayla</t>
  </si>
  <si>
    <t>Nichols, Alisha</t>
  </si>
  <si>
    <t>Walker, Sommer</t>
  </si>
  <si>
    <t>Kennedy, Brian</t>
  </si>
  <si>
    <t>Kinder, Jason</t>
  </si>
  <si>
    <t>Hilson, Tessa</t>
  </si>
  <si>
    <t>Magnotti, Jodi L.</t>
  </si>
  <si>
    <t>Pomykala, Lora</t>
  </si>
  <si>
    <t>Graham, Gloria</t>
  </si>
  <si>
    <t>Cobb, William</t>
  </si>
  <si>
    <t>Yates, Terrence</t>
  </si>
  <si>
    <t>Jenkins, Kelley</t>
  </si>
  <si>
    <t>Brandon, Amber</t>
  </si>
  <si>
    <t>Galloway, Lindsey</t>
  </si>
  <si>
    <t>Savage, Chelsey</t>
  </si>
  <si>
    <t>Stepp, Deborah</t>
  </si>
  <si>
    <t>Dugger, Joseph</t>
  </si>
  <si>
    <t>Waheed, Imran</t>
  </si>
  <si>
    <t>Achanta, Latha</t>
  </si>
  <si>
    <t>Copeland, Nina</t>
  </si>
  <si>
    <t>Towne, Geral</t>
  </si>
  <si>
    <t>Mallett, Meghan</t>
  </si>
  <si>
    <t>Morrison, Erika</t>
  </si>
  <si>
    <t>Clark, Sally</t>
  </si>
  <si>
    <t>Ali, Mitchell</t>
  </si>
  <si>
    <t>Cooper, Keith</t>
  </si>
  <si>
    <t>Fendley, Garney</t>
  </si>
  <si>
    <t>Pardue, Michelle</t>
  </si>
  <si>
    <t>Reeves, Brent</t>
  </si>
  <si>
    <t>Wehrle, Ann-Elizabeth</t>
  </si>
  <si>
    <t>Michael L Stirling</t>
  </si>
  <si>
    <t>Hitsman, Michael</t>
  </si>
  <si>
    <t>Arnold, Sharon</t>
  </si>
  <si>
    <t>Coalter, John</t>
  </si>
  <si>
    <t>Freeman, Meagan B.</t>
  </si>
  <si>
    <t>Radkey, Frances</t>
  </si>
  <si>
    <t>Quade, Deborah</t>
  </si>
  <si>
    <t>Smiley, John</t>
  </si>
  <si>
    <t>Duffel, Stephanie</t>
  </si>
  <si>
    <t>Thompson, Jean</t>
  </si>
  <si>
    <t>Thompson, Ambry</t>
  </si>
  <si>
    <t>Bassett, Kelly</t>
  </si>
  <si>
    <t>Jacobs, Angela</t>
  </si>
  <si>
    <t>Shipp, Jennifer</t>
  </si>
  <si>
    <t>Germain, Machel</t>
  </si>
  <si>
    <t>Mcghee, April</t>
  </si>
  <si>
    <t>Burrow, Rebecca</t>
  </si>
  <si>
    <t>Warden, Lucenthia</t>
  </si>
  <si>
    <t>Mooney, Wanda</t>
  </si>
  <si>
    <t>Griffith, Ruth</t>
  </si>
  <si>
    <t>Tibbs, Alexis</t>
  </si>
  <si>
    <t>Vandiver, Heather</t>
  </si>
  <si>
    <t>Jennifer, Hay</t>
  </si>
  <si>
    <t>Rooms, Russell</t>
  </si>
  <si>
    <t>Wenger, Aaron</t>
  </si>
  <si>
    <t>Curtis, Gabrielle</t>
  </si>
  <si>
    <t>Whiddon, Katelin</t>
  </si>
  <si>
    <t>Sanders, Kimberly</t>
  </si>
  <si>
    <t>Mcclain, Gerald</t>
  </si>
  <si>
    <t>Chelsea,Mcdonald</t>
  </si>
  <si>
    <t>Grimm, Anthony</t>
  </si>
  <si>
    <t>Janes, Colleen</t>
  </si>
  <si>
    <t>Rose, Brittany</t>
  </si>
  <si>
    <t>Rowland, Kristine</t>
  </si>
  <si>
    <t>Baker, Monica</t>
  </si>
  <si>
    <t>Linda, Farris</t>
  </si>
  <si>
    <t>Steele, Johnathan</t>
  </si>
  <si>
    <t>Zakaria, Tawadrous</t>
  </si>
  <si>
    <t>Arrington, Lacie</t>
  </si>
  <si>
    <t>Sheen, Anne</t>
  </si>
  <si>
    <t>Johnson, Amanda</t>
  </si>
  <si>
    <t>Auld, Michelle</t>
  </si>
  <si>
    <t>Foster, Leslie</t>
  </si>
  <si>
    <t>Jenney, Garrett</t>
  </si>
  <si>
    <t>Burns, Lisa</t>
  </si>
  <si>
    <t>Lawhon-Ward, Michelle</t>
  </si>
  <si>
    <t>Diamond, Rene</t>
  </si>
  <si>
    <t>Ohern, Laura</t>
  </si>
  <si>
    <t>Huggins, Amy</t>
  </si>
  <si>
    <t>Anderson, Shelly</t>
  </si>
  <si>
    <t>Carter, Amanda</t>
  </si>
  <si>
    <t>Black, Natalie</t>
  </si>
  <si>
    <t>Ditto, Heather</t>
  </si>
  <si>
    <t>Gates, Kimberly</t>
  </si>
  <si>
    <t>Jo, Blasengame</t>
  </si>
  <si>
    <t>Stearns, Jennetta</t>
  </si>
  <si>
    <t>Adkins, Kevin</t>
  </si>
  <si>
    <t>Kirkland, Allan</t>
  </si>
  <si>
    <t>Clark, Joann</t>
  </si>
  <si>
    <t>Tate, Jeffery</t>
  </si>
  <si>
    <t>Ayres, Jana</t>
  </si>
  <si>
    <t>Johnson, Gil E</t>
  </si>
  <si>
    <t>Harmon, Lisa</t>
  </si>
  <si>
    <t>Parsley, Aaron</t>
  </si>
  <si>
    <t>Perrin, Kristy</t>
  </si>
  <si>
    <t>Matin, Aasiya</t>
  </si>
  <si>
    <t>Costello, Carla</t>
  </si>
  <si>
    <t>Alatorre, Candice</t>
  </si>
  <si>
    <t>Dorris, Jennifer</t>
  </si>
  <si>
    <t>Choate, Wanda</t>
  </si>
  <si>
    <t>Joshua R Brandon</t>
  </si>
  <si>
    <t>Jamon, Hemingway</t>
  </si>
  <si>
    <t>Beard, Randi</t>
  </si>
  <si>
    <t>Burnett, Persephone</t>
  </si>
  <si>
    <t>Moore, Elizabeth</t>
  </si>
  <si>
    <t>Woods, Brittany</t>
  </si>
  <si>
    <t>Yogesh, Kumar</t>
  </si>
  <si>
    <t>White, Rachel</t>
  </si>
  <si>
    <t>Cooper, Brian</t>
  </si>
  <si>
    <t>Svehla, Nancy</t>
  </si>
  <si>
    <t>Hughey, Pamela</t>
  </si>
  <si>
    <t>Torrance-Williams, Bridgette</t>
  </si>
  <si>
    <t>Bolen, Melanie</t>
  </si>
  <si>
    <t>Runions, Caitlin</t>
  </si>
  <si>
    <t>Place, Rachel</t>
  </si>
  <si>
    <t>Victoria Jones</t>
  </si>
  <si>
    <t>Erika, Meza</t>
  </si>
  <si>
    <t>Kate, Smith</t>
  </si>
  <si>
    <t>Littleton, Herbert</t>
  </si>
  <si>
    <t>Woods, Amy</t>
  </si>
  <si>
    <t>Hardy, Dianne</t>
  </si>
  <si>
    <t>Lease, Jasmin</t>
  </si>
  <si>
    <t>Albezargan, Fatin</t>
  </si>
  <si>
    <t>Morneau Leonard T</t>
  </si>
  <si>
    <t>Gaines, Holly</t>
  </si>
  <si>
    <t>Johnson, C</t>
  </si>
  <si>
    <t>Dunlap, Jennifer</t>
  </si>
  <si>
    <t>Horner, Breann</t>
  </si>
  <si>
    <t>Frencher James T</t>
  </si>
  <si>
    <t>Goss, Erin</t>
  </si>
  <si>
    <t>Sara, Brown</t>
  </si>
  <si>
    <t>Renfro, Kirk</t>
  </si>
  <si>
    <t>Fenton, Derr</t>
  </si>
  <si>
    <t>Cooper, Christina</t>
  </si>
  <si>
    <t>Reed, Kathleen S.</t>
  </si>
  <si>
    <t>Wornock, John</t>
  </si>
  <si>
    <t>Crihfield, Patsy E.</t>
  </si>
  <si>
    <t>Wiseman, Merle</t>
  </si>
  <si>
    <t>Short, Jessica</t>
  </si>
  <si>
    <t>Morris, Kathryn</t>
  </si>
  <si>
    <t>Seyal, Guzal</t>
  </si>
  <si>
    <t>Carter, Amber</t>
  </si>
  <si>
    <t>Robertson, Katelyn</t>
  </si>
  <si>
    <t>Larocca, Anna</t>
  </si>
  <si>
    <t>Hudson, Tria</t>
  </si>
  <si>
    <t>Tamakloe, Martina</t>
  </si>
  <si>
    <t>Watson, Donya</t>
  </si>
  <si>
    <t>Hurst, Katharine</t>
  </si>
  <si>
    <t>Kitchen, Bonnie</t>
  </si>
  <si>
    <t>Varanasi, Anju</t>
  </si>
  <si>
    <t>Wallace, Cesalie</t>
  </si>
  <si>
    <t>Williams, Allyson B.</t>
  </si>
  <si>
    <t>Burch, Robert</t>
  </si>
  <si>
    <t>Christopher, Martin</t>
  </si>
  <si>
    <t>Mohammed, Sara</t>
  </si>
  <si>
    <t>Madison, Burks</t>
  </si>
  <si>
    <t>Anum, Syed</t>
  </si>
  <si>
    <t>Berry, Shealyn</t>
  </si>
  <si>
    <t>Paula K Gonzalez</t>
  </si>
  <si>
    <t>Lanham, Brittany</t>
  </si>
  <si>
    <t>Dang, Paul</t>
  </si>
  <si>
    <t>Hill, Cathy</t>
  </si>
  <si>
    <t>Qureshi, Shoaib</t>
  </si>
  <si>
    <t>Arnold, Shea</t>
  </si>
  <si>
    <t>Henderson, Michelle</t>
  </si>
  <si>
    <t>Stallings, Tammy</t>
  </si>
  <si>
    <t>Brass, Vanessa</t>
  </si>
  <si>
    <t>Christopher E Sonntag</t>
  </si>
  <si>
    <t>Jones, Rainie</t>
  </si>
  <si>
    <t>Gunter, Julie</t>
  </si>
  <si>
    <t>Pennington, Christine</t>
  </si>
  <si>
    <t>Garrett, Christian</t>
  </si>
  <si>
    <t>Branstetter, Corey</t>
  </si>
  <si>
    <t>Reagan, Marienga</t>
  </si>
  <si>
    <t>Helton, John</t>
  </si>
  <si>
    <t>Bushong, Suzanne</t>
  </si>
  <si>
    <t>Preston, Mitchell</t>
  </si>
  <si>
    <t>Steed, Matthew</t>
  </si>
  <si>
    <t>Barton, Lance</t>
  </si>
  <si>
    <t>Major, Steven</t>
  </si>
  <si>
    <t>Raza, Shahnila</t>
  </si>
  <si>
    <t>Krylov, Vitaliy</t>
  </si>
  <si>
    <t>Lewis, Lekeisha</t>
  </si>
  <si>
    <t>Rotton, Lori</t>
  </si>
  <si>
    <t>Griffith, Kimberly</t>
  </si>
  <si>
    <t>Manley, Amanda</t>
  </si>
  <si>
    <t>Campbell, Rebekah</t>
  </si>
  <si>
    <t>White, Miranda</t>
  </si>
  <si>
    <t>Amanda L Staggs</t>
  </si>
  <si>
    <t>Melnyk, Oksana</t>
  </si>
  <si>
    <t>Wenger, Kristina</t>
  </si>
  <si>
    <t>Kluch, Joanna</t>
  </si>
  <si>
    <t>Abrams, Sharon</t>
  </si>
  <si>
    <t>Smith, Bessie</t>
  </si>
  <si>
    <t>Clements Fore, Amber</t>
  </si>
  <si>
    <t>Cartillar, Britni</t>
  </si>
  <si>
    <t>Brown, Dimsey S</t>
  </si>
  <si>
    <t>Stephens, Arin</t>
  </si>
  <si>
    <t>Anum,Nida</t>
  </si>
  <si>
    <t>Toman, Melissa</t>
  </si>
  <si>
    <t>Leigh, Johnson</t>
  </si>
  <si>
    <t>Murti, Aparna</t>
  </si>
  <si>
    <t>Sutterfield, Vikki</t>
  </si>
  <si>
    <t>Hoover, Jeffery</t>
  </si>
  <si>
    <t>Hockman, Robert</t>
  </si>
  <si>
    <t>Kesala, Renata L</t>
  </si>
  <si>
    <t>Harris, Kay</t>
  </si>
  <si>
    <t>Meghan, Morris</t>
  </si>
  <si>
    <t>Vaught, Emilee</t>
  </si>
  <si>
    <t>Gardner, Michelle</t>
  </si>
  <si>
    <t>Rice, Abby</t>
  </si>
  <si>
    <t>Kaima, Shannon</t>
  </si>
  <si>
    <t>Christian, Sarah</t>
  </si>
  <si>
    <t>Tiffany, Williams</t>
  </si>
  <si>
    <t>Wolford, Amy</t>
  </si>
  <si>
    <t>Virginia, Archer</t>
  </si>
  <si>
    <t>Stephanie N Parish</t>
  </si>
  <si>
    <t>Brittany,Warner</t>
  </si>
  <si>
    <t>Ashton, Mcneese</t>
  </si>
  <si>
    <t>Nguyen, Giang</t>
  </si>
  <si>
    <t>Merideth, Barbara</t>
  </si>
  <si>
    <t>Montgomery, Diana</t>
  </si>
  <si>
    <t>Hough, Joseph</t>
  </si>
  <si>
    <t>Hood, O</t>
  </si>
  <si>
    <t>Shaunna, Mitchell</t>
  </si>
  <si>
    <t>Lusk, Tammy</t>
  </si>
  <si>
    <t>Sing, Rachel</t>
  </si>
  <si>
    <t>Ngo, Lawrence</t>
  </si>
  <si>
    <t>Smith, Jerakaycia</t>
  </si>
  <si>
    <t>Palasini, Mary</t>
  </si>
  <si>
    <t>Broadway, Kayla</t>
  </si>
  <si>
    <t>Summers, Melissa</t>
  </si>
  <si>
    <t>Heisler, Leanna</t>
  </si>
  <si>
    <t>Gartman, Kimberly</t>
  </si>
  <si>
    <t>Wright, Donald</t>
  </si>
  <si>
    <t>Chaloner, Patricia</t>
  </si>
  <si>
    <t>Hardin, Daniel</t>
  </si>
  <si>
    <t>Bennett, Amy</t>
  </si>
  <si>
    <t>Aslin, Catherine</t>
  </si>
  <si>
    <t>Watkins, Monika</t>
  </si>
  <si>
    <t>Melton, Keena</t>
  </si>
  <si>
    <t>Nelson, Hilari</t>
  </si>
  <si>
    <t>Abdu, Charity</t>
  </si>
  <si>
    <t>Cox, Olivia</t>
  </si>
  <si>
    <t>Mccormick, John</t>
  </si>
  <si>
    <t>Nelson, Casey</t>
  </si>
  <si>
    <t>Lumpkin, Katelyn</t>
  </si>
  <si>
    <t>Hart, Carolyn</t>
  </si>
  <si>
    <t>Annie, Conway</t>
  </si>
  <si>
    <t>Kindal</t>
  </si>
  <si>
    <t>Kolokolo, Dennis</t>
  </si>
  <si>
    <t>Nutt, Jessica</t>
  </si>
  <si>
    <t>Brummett, Shawn</t>
  </si>
  <si>
    <t>Trapp, Jamie</t>
  </si>
  <si>
    <t>John, Ravonne</t>
  </si>
  <si>
    <t>Melton, Whitney</t>
  </si>
  <si>
    <t>Hermann Matthew D</t>
  </si>
  <si>
    <t>Cawiezell, Stephannie</t>
  </si>
  <si>
    <t>Grant, Adam</t>
  </si>
  <si>
    <t>Herrera, Chase</t>
  </si>
  <si>
    <t>Isaacs, Jacquelyn</t>
  </si>
  <si>
    <t>Harvey, Jerry</t>
  </si>
  <si>
    <t>Dunham, John</t>
  </si>
  <si>
    <t>Burner, Kimberly</t>
  </si>
  <si>
    <t>Adler, Charles</t>
  </si>
  <si>
    <t>Greeson, Iris</t>
  </si>
  <si>
    <t>Balamurugan, Appathurai</t>
  </si>
  <si>
    <t>Lem, Amanda</t>
  </si>
  <si>
    <t>Walker, Tanya</t>
  </si>
  <si>
    <t>Sanroma, Alexandra</t>
  </si>
  <si>
    <t>Collins, Sarah</t>
  </si>
  <si>
    <t>Alturkmani, Hani</t>
  </si>
  <si>
    <t>Brown, Deiadra</t>
  </si>
  <si>
    <t>Wolfe, Devinn N.</t>
  </si>
  <si>
    <t>Blalack, Katie</t>
  </si>
  <si>
    <t>Holcomb, Tiffany</t>
  </si>
  <si>
    <t>Koonce, Mollye</t>
  </si>
  <si>
    <t>Richard, Samantha</t>
  </si>
  <si>
    <t>Beacham, Lindsay</t>
  </si>
  <si>
    <t>Webb, Gina</t>
  </si>
  <si>
    <t>Herron, William</t>
  </si>
  <si>
    <t>Gately, Stanley</t>
  </si>
  <si>
    <t>Johnson, Chrystal</t>
  </si>
  <si>
    <t>Deluca, Amy</t>
  </si>
  <si>
    <t>Cook, Kathlyn</t>
  </si>
  <si>
    <t>Darnell, Melissa</t>
  </si>
  <si>
    <t>Sheinutt, Mark</t>
  </si>
  <si>
    <t>Chambers, Julia</t>
  </si>
  <si>
    <t>Nutt, April</t>
  </si>
  <si>
    <t>Givens, Preston</t>
  </si>
  <si>
    <t>Thompson, Andrea</t>
  </si>
  <si>
    <t>Palaniappan, Meyyappan</t>
  </si>
  <si>
    <t>Combs, Katie</t>
  </si>
  <si>
    <t>Finley, Casey</t>
  </si>
  <si>
    <t>Serca, Sherrie</t>
  </si>
  <si>
    <t>Upshur, Melinda</t>
  </si>
  <si>
    <t>Martin, Monica</t>
  </si>
  <si>
    <t>Quail, Emily</t>
  </si>
  <si>
    <t>Bryan, Lindsey</t>
  </si>
  <si>
    <t>Miller, Sarah</t>
  </si>
  <si>
    <t>Hockaday, Holly</t>
  </si>
  <si>
    <t>Dana M Sawyer</t>
  </si>
  <si>
    <t>Erwin, John</t>
  </si>
  <si>
    <t>Brent, Debra</t>
  </si>
  <si>
    <t>Lawrence, Neal</t>
  </si>
  <si>
    <t>Thomas, Sheila</t>
  </si>
  <si>
    <t>Richter, Gregory</t>
  </si>
  <si>
    <t>Farmer, Stephanie</t>
  </si>
  <si>
    <t>Bodemann, Michael</t>
  </si>
  <si>
    <t>Garrett, George</t>
  </si>
  <si>
    <t>Lipsmeyer, Keith</t>
  </si>
  <si>
    <t>Coleman, Clarence</t>
  </si>
  <si>
    <t>Manna, Phyllis</t>
  </si>
  <si>
    <t>Joseph, Zeena</t>
  </si>
  <si>
    <t>Mitma, Angel</t>
  </si>
  <si>
    <t>Taylor, Melissa</t>
  </si>
  <si>
    <t>Eubanks, Daniel</t>
  </si>
  <si>
    <t>Laryea, Melinda</t>
  </si>
  <si>
    <t>Jessica, Kopacz</t>
  </si>
  <si>
    <t>Kane, Anita</t>
  </si>
  <si>
    <t>Nelson, Joseph</t>
  </si>
  <si>
    <t>Scott, Pusateri</t>
  </si>
  <si>
    <t>Lynda, Green</t>
  </si>
  <si>
    <t>Bevill, Gary</t>
  </si>
  <si>
    <t>Watson, Jerome</t>
  </si>
  <si>
    <t>Keller, Jon</t>
  </si>
  <si>
    <t>Long, Celeste</t>
  </si>
  <si>
    <t>Rich, Cheryll</t>
  </si>
  <si>
    <t>Martin, Angela</t>
  </si>
  <si>
    <t>Jennings, Jennifer</t>
  </si>
  <si>
    <t>Crafton, Jonathan</t>
  </si>
  <si>
    <t>Allen, Shakeylla</t>
  </si>
  <si>
    <t>Deeter, Stephanie</t>
  </si>
  <si>
    <t>Adkison, Jacob</t>
  </si>
  <si>
    <t>Bennett, Brittany</t>
  </si>
  <si>
    <t>Gilbert, Matthew</t>
  </si>
  <si>
    <t>Christopher, Mayfield</t>
  </si>
  <si>
    <t>Williams, Britten</t>
  </si>
  <si>
    <t>Shay R Tyler</t>
  </si>
  <si>
    <t>Barbara A Travis</t>
  </si>
  <si>
    <t>Thomas, Wesley</t>
  </si>
  <si>
    <t>Webb, Kimberly</t>
  </si>
  <si>
    <t>Tilley, Roger</t>
  </si>
  <si>
    <t>Watson, Kirk</t>
  </si>
  <si>
    <t>Sarathi, Anita</t>
  </si>
  <si>
    <t>Vaughn, Brittany</t>
  </si>
  <si>
    <t>Mckee, Steven</t>
  </si>
  <si>
    <t>Naylor, Amy</t>
  </si>
  <si>
    <t>Shotwell, Crystal</t>
  </si>
  <si>
    <t>Brown, Bernice</t>
  </si>
  <si>
    <t>Ewing, Lauren</t>
  </si>
  <si>
    <t>Orr, Rhonda</t>
  </si>
  <si>
    <t>Caroline S Morton</t>
  </si>
  <si>
    <t>Scott, Katrina</t>
  </si>
  <si>
    <t>Sharp, Michelle</t>
  </si>
  <si>
    <t>Beck, Thompson</t>
  </si>
  <si>
    <t>Pope, Jon T.</t>
  </si>
  <si>
    <t>Jessica, Harper</t>
  </si>
  <si>
    <t>Mcghee, Linda</t>
  </si>
  <si>
    <t>Robert L Kail</t>
  </si>
  <si>
    <t>Culbreth, Angela</t>
  </si>
  <si>
    <t>Chaney, Jenipher E.</t>
  </si>
  <si>
    <t>Mcclure, Travis</t>
  </si>
  <si>
    <t>Wise, Jamie L</t>
  </si>
  <si>
    <t>Guntharp, Danna</t>
  </si>
  <si>
    <t>Vasquez, Kathleen</t>
  </si>
  <si>
    <t>Krain, Summer</t>
  </si>
  <si>
    <t>Laughter, Laura</t>
  </si>
  <si>
    <t>Attwood, Harvie</t>
  </si>
  <si>
    <t>Bowman, Sharon</t>
  </si>
  <si>
    <t>Howard, Anna</t>
  </si>
  <si>
    <t>Allen, Mary</t>
  </si>
  <si>
    <t>Berry, Amanda</t>
  </si>
  <si>
    <t>Sierra, Kara</t>
  </si>
  <si>
    <t>Myers, Sara</t>
  </si>
  <si>
    <t>Thorne, Sandra</t>
  </si>
  <si>
    <t>Stover, Julie</t>
  </si>
  <si>
    <t>Overstreet, Hunter</t>
  </si>
  <si>
    <t>Underwood, Sheila</t>
  </si>
  <si>
    <t>Kelsey, Loftin</t>
  </si>
  <si>
    <t>Beach, Tori</t>
  </si>
  <si>
    <t>Mayhew, Kathy</t>
  </si>
  <si>
    <t>Marshall, Roxanne</t>
  </si>
  <si>
    <t>Roberts, Kristy</t>
  </si>
  <si>
    <t>Riley, Cara</t>
  </si>
  <si>
    <t>Pokharel, Sunil</t>
  </si>
  <si>
    <t>Robinson, Courtney</t>
  </si>
  <si>
    <t>Harper, Tshara</t>
  </si>
  <si>
    <t>Creech, Dustin</t>
  </si>
  <si>
    <t>Delaney, Adriane</t>
  </si>
  <si>
    <t>Anderson, Nickole</t>
  </si>
  <si>
    <t>Fry, Emily</t>
  </si>
  <si>
    <t>Faircloth, John</t>
  </si>
  <si>
    <t>Harris, Jennifer</t>
  </si>
  <si>
    <t>Williams, Teresa</t>
  </si>
  <si>
    <t>Brown, Tabetha</t>
  </si>
  <si>
    <t>Starnes, Ashley</t>
  </si>
  <si>
    <t>Perry, Heather</t>
  </si>
  <si>
    <t>Noel, Daphne</t>
  </si>
  <si>
    <t>Edwin, Suarez</t>
  </si>
  <si>
    <t>Watson, Kristine</t>
  </si>
  <si>
    <t>Emily S Brown</t>
  </si>
  <si>
    <t>Brim, Harley R.</t>
  </si>
  <si>
    <t>Thomas, Leslie</t>
  </si>
  <si>
    <t>Altom, Melissa</t>
  </si>
  <si>
    <t>Pillow, James</t>
  </si>
  <si>
    <t>Henegar, Edward</t>
  </si>
  <si>
    <t>Gallagher, Joseph</t>
  </si>
  <si>
    <t>Treece, Brannon</t>
  </si>
  <si>
    <t>Griffith, Michael</t>
  </si>
  <si>
    <t>Amick, Rebekka</t>
  </si>
  <si>
    <t>Leforce, Tabatha</t>
  </si>
  <si>
    <t>Eastin, Emma</t>
  </si>
  <si>
    <t>Bailee, Lutz</t>
  </si>
  <si>
    <t>Green, Tara</t>
  </si>
  <si>
    <t>Fields, Dana</t>
  </si>
  <si>
    <t>Prowse, Dara</t>
  </si>
  <si>
    <t>Cameron, Nabil</t>
  </si>
  <si>
    <t>Logan W Bevill</t>
  </si>
  <si>
    <t>Trent, Hicks</t>
  </si>
  <si>
    <t>Adrienne</t>
  </si>
  <si>
    <t>Haley M Wilson</t>
  </si>
  <si>
    <t>Lochala, Richard</t>
  </si>
  <si>
    <t>Hall, Ray</t>
  </si>
  <si>
    <t>Kimbrough, June</t>
  </si>
  <si>
    <t>Gupta, Renu</t>
  </si>
  <si>
    <t>Gray, Derrick</t>
  </si>
  <si>
    <t>Issa, Nizar</t>
  </si>
  <si>
    <t>Gilbert, Sherry</t>
  </si>
  <si>
    <t>Lamb, Amanda</t>
  </si>
  <si>
    <t>Wroblewski, Sherrie</t>
  </si>
  <si>
    <t>Vicky, Oncken</t>
  </si>
  <si>
    <t>Hill, Lauren</t>
  </si>
  <si>
    <t>Mccrary, Rachel</t>
  </si>
  <si>
    <t>Hardy, William</t>
  </si>
  <si>
    <t>Wheat, Emily</t>
  </si>
  <si>
    <t>Johnson, Chri</t>
  </si>
  <si>
    <t>Jennifer N Rogers</t>
  </si>
  <si>
    <t>Hayden, Shawn</t>
  </si>
  <si>
    <t>Green, Benny</t>
  </si>
  <si>
    <t>Seme, Melissa</t>
  </si>
  <si>
    <t>Curtis, Glenn</t>
  </si>
  <si>
    <t>Kemper, Lance</t>
  </si>
  <si>
    <t>Bouchra Hanna, Hani</t>
  </si>
  <si>
    <t>Thompson, Sara</t>
  </si>
  <si>
    <t>Alexander, Jamie</t>
  </si>
  <si>
    <t>Tootle, Christina</t>
  </si>
  <si>
    <t>Oliver, Kelley</t>
  </si>
  <si>
    <t>Moore, Bailie</t>
  </si>
  <si>
    <t>Slayton, Kimberly</t>
  </si>
  <si>
    <t>Provence, Dallas J</t>
  </si>
  <si>
    <t>Burks, Brian</t>
  </si>
  <si>
    <t>Brooks, Tabitha</t>
  </si>
  <si>
    <t>Wray, Elisha</t>
  </si>
  <si>
    <t>Nikki Scott</t>
  </si>
  <si>
    <t>Brandi E Peters</t>
  </si>
  <si>
    <t>Phillips, Miranda</t>
  </si>
  <si>
    <t>Hecht, Adam</t>
  </si>
  <si>
    <t>Phillips, Kelly</t>
  </si>
  <si>
    <t>Bergeron, Kera</t>
  </si>
  <si>
    <t>Dhillon, Raman</t>
  </si>
  <si>
    <t>Gilmore, Lisa</t>
  </si>
  <si>
    <t>Christensen, Emily</t>
  </si>
  <si>
    <t>Tindall, Jennifer</t>
  </si>
  <si>
    <t>Katherine, Mellow</t>
  </si>
  <si>
    <t>Clary, Cathy</t>
  </si>
  <si>
    <t>Mangle, George</t>
  </si>
  <si>
    <t>Burnside, Rana</t>
  </si>
  <si>
    <t>Lara, Zirbel</t>
  </si>
  <si>
    <t>Spickes, Kimberly</t>
  </si>
  <si>
    <t>Bedwell, Kyndel</t>
  </si>
  <si>
    <t>Aakash, Rana</t>
  </si>
  <si>
    <t>Fontaine, Theresa</t>
  </si>
  <si>
    <t>Braha, Sarah T</t>
  </si>
  <si>
    <t>Teague, Angela</t>
  </si>
  <si>
    <t>Chang, Ki</t>
  </si>
  <si>
    <t>Sarah, Edwards</t>
  </si>
  <si>
    <t>Mueller, Kate</t>
  </si>
  <si>
    <t>Heba, Mousa</t>
  </si>
  <si>
    <t>Ciaramitaro, Anthony</t>
  </si>
  <si>
    <t>Hulse, Samantha</t>
  </si>
  <si>
    <t>Duncan, Ashley</t>
  </si>
  <si>
    <t>Peeples, Denise</t>
  </si>
  <si>
    <t>Fleszar, Tabetha</t>
  </si>
  <si>
    <t>Byars, Natalie</t>
  </si>
  <si>
    <t>Ashley L Jones</t>
  </si>
  <si>
    <t>Totten, Matthew</t>
  </si>
  <si>
    <t>Brame, Susan</t>
  </si>
  <si>
    <t>Rebel, Smith</t>
  </si>
  <si>
    <t>Tukivakala, Prabhakara</t>
  </si>
  <si>
    <t>Pumphrey, Cynthia</t>
  </si>
  <si>
    <t>Berner, Gary</t>
  </si>
  <si>
    <t>Blackburn, Suzanna</t>
  </si>
  <si>
    <t>Wheaton, Jana</t>
  </si>
  <si>
    <t>Francisco, Jody</t>
  </si>
  <si>
    <t>Mcmickle, Shelby</t>
  </si>
  <si>
    <t>Nikitha, Manem</t>
  </si>
  <si>
    <t>Oneal, Shandi</t>
  </si>
  <si>
    <t>Cheatham, Amanda</t>
  </si>
  <si>
    <t>Dillard, Erica</t>
  </si>
  <si>
    <t>Christy N Reed</t>
  </si>
  <si>
    <t>Rogers, Stephanie</t>
  </si>
  <si>
    <t>Lowry, Shelly</t>
  </si>
  <si>
    <t>Mary K Cooper</t>
  </si>
  <si>
    <t>Blair, Ruth</t>
  </si>
  <si>
    <t>Campbell, Tommy</t>
  </si>
  <si>
    <t>Sarrett, James</t>
  </si>
  <si>
    <t>Troxel, Roger</t>
  </si>
  <si>
    <t>Cirilli, Michael</t>
  </si>
  <si>
    <t>Awe, Opeyemi</t>
  </si>
  <si>
    <t>Peerce, Abigail</t>
  </si>
  <si>
    <t>James, Ryan</t>
  </si>
  <si>
    <t>Turner, Laura</t>
  </si>
  <si>
    <t>Warne, Madison</t>
  </si>
  <si>
    <t>Pemberton, Nancy</t>
  </si>
  <si>
    <t>Devin, Hicks</t>
  </si>
  <si>
    <t>Mcmahon, Cory</t>
  </si>
  <si>
    <t>Brown, Daniel</t>
  </si>
  <si>
    <t>Laura, Neal</t>
  </si>
  <si>
    <t>Geater, Barbara</t>
  </si>
  <si>
    <t>Gilliam, Arnold</t>
  </si>
  <si>
    <t>Khattak, Taslim</t>
  </si>
  <si>
    <t>Morgan, Elizabeth</t>
  </si>
  <si>
    <t>Speight, Deanna</t>
  </si>
  <si>
    <t>Bondhus, John</t>
  </si>
  <si>
    <t>Kaako, Ahmad</t>
  </si>
  <si>
    <t>Loyd, Heather</t>
  </si>
  <si>
    <t>Billingsley, Amanda</t>
  </si>
  <si>
    <t>House, Ashley</t>
  </si>
  <si>
    <t>Wayne, Jernigan</t>
  </si>
  <si>
    <t>Green, John</t>
  </si>
  <si>
    <t>Phan, Tu</t>
  </si>
  <si>
    <t>Shumate, Haleigh</t>
  </si>
  <si>
    <t>Tingquist, Caroline</t>
  </si>
  <si>
    <t>Natalya</t>
  </si>
  <si>
    <t>Fincher, Steven</t>
  </si>
  <si>
    <t>Fredrickson, Jennifer</t>
  </si>
  <si>
    <t>Lowman, Darlene</t>
  </si>
  <si>
    <t>Redden, Laura L</t>
  </si>
  <si>
    <t>Carter, Mandy</t>
  </si>
  <si>
    <t>Morgan, Justin</t>
  </si>
  <si>
    <t>Madyson Snow</t>
  </si>
  <si>
    <t>Dinger, Craig</t>
  </si>
  <si>
    <t>Holder, Robert</t>
  </si>
  <si>
    <t>Spears, Jennie</t>
  </si>
  <si>
    <t>Biswas, Saumitra</t>
  </si>
  <si>
    <t>Fulghum, David</t>
  </si>
  <si>
    <t>Mccowan, Jon</t>
  </si>
  <si>
    <t>Magby, Melissa</t>
  </si>
  <si>
    <t>Wood, April</t>
  </si>
  <si>
    <t>Hawks, Travis</t>
  </si>
  <si>
    <t>Allred, Matthew</t>
  </si>
  <si>
    <t>Wright, Donna</t>
  </si>
  <si>
    <t>Holt, David</t>
  </si>
  <si>
    <t>Hockersmith, Carolin</t>
  </si>
  <si>
    <t>Dixon, Rhonda</t>
  </si>
  <si>
    <t>Foon, Jessica</t>
  </si>
  <si>
    <t>Lane, Charity</t>
  </si>
  <si>
    <t>Critton, Nicole</t>
  </si>
  <si>
    <t>May, Pamela</t>
  </si>
  <si>
    <t>Krishna, Miranda</t>
  </si>
  <si>
    <t>Jeran, Trangle</t>
  </si>
  <si>
    <t>Winston, Andreka</t>
  </si>
  <si>
    <t>Hammonds, Rae</t>
  </si>
  <si>
    <t>Klindworth, Emory</t>
  </si>
  <si>
    <t>Reynolds, Miki</t>
  </si>
  <si>
    <t>Mcclelland, Bridget</t>
  </si>
  <si>
    <t>Bibb, Bradley</t>
  </si>
  <si>
    <t>Lofton, Jason</t>
  </si>
  <si>
    <t>Norris, Donna</t>
  </si>
  <si>
    <t>Taylor, Kelly</t>
  </si>
  <si>
    <t>Kohler, Peter</t>
  </si>
  <si>
    <t>Thummalakunta, Laxmi</t>
  </si>
  <si>
    <t>Rivers, Patricia</t>
  </si>
  <si>
    <t>Madubuike, Justice</t>
  </si>
  <si>
    <t>Delaney-Magitt, Roselyn</t>
  </si>
  <si>
    <t>Erica, Brumley</t>
  </si>
  <si>
    <t>Buck, Amanda</t>
  </si>
  <si>
    <t>Hicks, Heather</t>
  </si>
  <si>
    <t>Shemwell, Joseph</t>
  </si>
  <si>
    <t>Schnell, Hallie</t>
  </si>
  <si>
    <t>Spore, Joshua</t>
  </si>
  <si>
    <t>Policherla, Anu</t>
  </si>
  <si>
    <t>Ogle, Samuel</t>
  </si>
  <si>
    <t>Bunch, Darrell</t>
  </si>
  <si>
    <t>Pastor, Randy</t>
  </si>
  <si>
    <t>Fedosky, Scott</t>
  </si>
  <si>
    <t>Edwards, James</t>
  </si>
  <si>
    <t>Hopkins, Karmen</t>
  </si>
  <si>
    <t>Moreland, Ellen</t>
  </si>
  <si>
    <t>Serrato, Jorge R</t>
  </si>
  <si>
    <t>Moses, Matthew</t>
  </si>
  <si>
    <t>Ash, Connie</t>
  </si>
  <si>
    <t>Talley, Lynne</t>
  </si>
  <si>
    <t>Humbers, Amanda</t>
  </si>
  <si>
    <t>Khawaja, Sheza</t>
  </si>
  <si>
    <t>Rios Avendano, Rosa</t>
  </si>
  <si>
    <t>Ahmed, Bilawal</t>
  </si>
  <si>
    <t>Myers, Alisa</t>
  </si>
  <si>
    <t>Phillips, Susan</t>
  </si>
  <si>
    <t>Hall, Shawn</t>
  </si>
  <si>
    <t>Stone, Ashley</t>
  </si>
  <si>
    <t>Donham, Rodney</t>
  </si>
  <si>
    <t>Pierce, Eric</t>
  </si>
  <si>
    <t>Moore, Morgan</t>
  </si>
  <si>
    <t>Avery, Danielle</t>
  </si>
  <si>
    <t>Wright, Randi</t>
  </si>
  <si>
    <t>Kommineni, Anudeep</t>
  </si>
  <si>
    <t>Bird, Gloria</t>
  </si>
  <si>
    <t>Alexis, Lee</t>
  </si>
  <si>
    <t>Hilman, Michael</t>
  </si>
  <si>
    <t>Adams, Laura</t>
  </si>
  <si>
    <t>Earle, Cindy</t>
  </si>
  <si>
    <t>Lyerly, Meghan</t>
  </si>
  <si>
    <t>Edwards, Samuel</t>
  </si>
  <si>
    <t>King, Glenda</t>
  </si>
  <si>
    <t>Tignor, Regina</t>
  </si>
  <si>
    <t>Ledford, Mindy</t>
  </si>
  <si>
    <t>Pratt, Lesia</t>
  </si>
  <si>
    <t>China K Smith</t>
  </si>
  <si>
    <t>Sabb, Taneicie</t>
  </si>
  <si>
    <t>Thompson, Kelli</t>
  </si>
  <si>
    <t>Sanford, Cody</t>
  </si>
  <si>
    <t>Taylor, Ruple</t>
  </si>
  <si>
    <t>Himmler, Charles</t>
  </si>
  <si>
    <t>Grotheer, Martin</t>
  </si>
  <si>
    <t>Jennings, Larry</t>
  </si>
  <si>
    <t>Keough, Tammy</t>
  </si>
  <si>
    <t>Phillips, Deirdre</t>
  </si>
  <si>
    <t>Shell, Amy</t>
  </si>
  <si>
    <t>Wolf, Lindsay</t>
  </si>
  <si>
    <t>James, Michelle</t>
  </si>
  <si>
    <t>Roberson, Russell</t>
  </si>
  <si>
    <t>Moore, Bridget</t>
  </si>
  <si>
    <t>Ramirez, Lyndon</t>
  </si>
  <si>
    <t>Martin, Heather</t>
  </si>
  <si>
    <t>Scott, Amy</t>
  </si>
  <si>
    <t>Coleman, Brittany</t>
  </si>
  <si>
    <t>Sauers, Tonya</t>
  </si>
  <si>
    <t>Chloe</t>
  </si>
  <si>
    <t>Hartwick, Misty</t>
  </si>
  <si>
    <t>Birch, Scott</t>
  </si>
  <si>
    <t>Berner, Dennis</t>
  </si>
  <si>
    <t>Simmons, Angela</t>
  </si>
  <si>
    <t>Johnson, Tonya</t>
  </si>
  <si>
    <t>Mcalister, Debbie</t>
  </si>
  <si>
    <t>Katherine Gray</t>
  </si>
  <si>
    <t>Dixon, Naomi</t>
  </si>
  <si>
    <t>Amyett, Kymberly</t>
  </si>
  <si>
    <t>King, George</t>
  </si>
  <si>
    <t>Gamble, Sharhonda</t>
  </si>
  <si>
    <t>Winborne, April</t>
  </si>
  <si>
    <t>Allen, Amanda</t>
  </si>
  <si>
    <t>Schultz, Rebecca</t>
  </si>
  <si>
    <t>Harvey, Kristen</t>
  </si>
  <si>
    <t>Hearnsberger Mcguire, Melanie</t>
  </si>
  <si>
    <t>Crystal G Neises</t>
  </si>
  <si>
    <t>Cowling, Megan</t>
  </si>
  <si>
    <t>Bertrand, Rachel</t>
  </si>
  <si>
    <t>Tillack, John</t>
  </si>
  <si>
    <t>Russell, Haley</t>
  </si>
  <si>
    <t>Smit, James</t>
  </si>
  <si>
    <t>Unkel, Steven</t>
  </si>
  <si>
    <t>Callaway, Matthew</t>
  </si>
  <si>
    <t>Weiss, Martin</t>
  </si>
  <si>
    <t>Hughes, Lori</t>
  </si>
  <si>
    <t>Spurling, Jason</t>
  </si>
  <si>
    <t>Johnson, Allison</t>
  </si>
  <si>
    <t>Judith, Beauregard</t>
  </si>
  <si>
    <t>Sutton, Melanie</t>
  </si>
  <si>
    <t>Mcdonald, Barbara</t>
  </si>
  <si>
    <t>Milligan, Amanda</t>
  </si>
  <si>
    <t>Stevens, Amanda</t>
  </si>
  <si>
    <t>Hudson, Anna</t>
  </si>
  <si>
    <t>Momin, Sunil</t>
  </si>
  <si>
    <t>Matthews, Amy</t>
  </si>
  <si>
    <t>Arshad, Mahreen</t>
  </si>
  <si>
    <t>Kunnumpurath, Anthony</t>
  </si>
  <si>
    <t>Rogers, Mauri</t>
  </si>
  <si>
    <t>Howerton, Tara</t>
  </si>
  <si>
    <t>Seth, Justice</t>
  </si>
  <si>
    <t>Ellis, Robert</t>
  </si>
  <si>
    <t>Evans, Hemphill</t>
  </si>
  <si>
    <t>Laper, Jacqueline</t>
  </si>
  <si>
    <t>Bruce,Burke</t>
  </si>
  <si>
    <t>Watson, Kimberly</t>
  </si>
  <si>
    <t>Allen, Julia</t>
  </si>
  <si>
    <t>White, Aaron</t>
  </si>
  <si>
    <t>Jansen, Jeremiah</t>
  </si>
  <si>
    <t>Cameron, Jennifer</t>
  </si>
  <si>
    <t>Dixon, Jared</t>
  </si>
  <si>
    <t>Vann, Sara</t>
  </si>
  <si>
    <t>Mays, Tracey</t>
  </si>
  <si>
    <t>Williams, Celeste</t>
  </si>
  <si>
    <t>Brinkley, Alison</t>
  </si>
  <si>
    <t>Hubbard, Kelly</t>
  </si>
  <si>
    <t>Abbott, Randy</t>
  </si>
  <si>
    <t>Sessions, Devin</t>
  </si>
  <si>
    <t>Robinson, Devin</t>
  </si>
  <si>
    <t>Davis, Amanda</t>
  </si>
  <si>
    <t>Xu, Jack</t>
  </si>
  <si>
    <t>Conway, Erica</t>
  </si>
  <si>
    <t>Gray, Nicole</t>
  </si>
  <si>
    <t>Floyd, Rebecca</t>
  </si>
  <si>
    <t>Saleh, Tarek</t>
  </si>
  <si>
    <t>Koppein, David</t>
  </si>
  <si>
    <t>Pye, Sherry</t>
  </si>
  <si>
    <t>Trobaugh, Derinda</t>
  </si>
  <si>
    <t>Speights, Kathryn</t>
  </si>
  <si>
    <t>Jacob, Diana</t>
  </si>
  <si>
    <t>Hancock, Derek</t>
  </si>
  <si>
    <t>Anderson-Baylor, Jarius</t>
  </si>
  <si>
    <t>Wells, Sandra</t>
  </si>
  <si>
    <t>Dulaney, Aman</t>
  </si>
  <si>
    <t>Meagan R Hansen</t>
  </si>
  <si>
    <t>Craig, Erin</t>
  </si>
  <si>
    <t>Sydney Markum</t>
  </si>
  <si>
    <t>Naeger, Randolf</t>
  </si>
  <si>
    <t>Bloss, Michael</t>
  </si>
  <si>
    <t>Franklin, Patricia</t>
  </si>
  <si>
    <t>Podrazik, Paula</t>
  </si>
  <si>
    <t>Morse, Tim</t>
  </si>
  <si>
    <t>Bickerstaff, Courtney</t>
  </si>
  <si>
    <t>Harrell, Sherrie</t>
  </si>
  <si>
    <t>Brazil, Leah</t>
  </si>
  <si>
    <t>Gullette, Donna</t>
  </si>
  <si>
    <t>Prunty, Mable R</t>
  </si>
  <si>
    <t>Wilisa Todd</t>
  </si>
  <si>
    <t>Hartman, Amanda</t>
  </si>
  <si>
    <t>Koonce, Melissa</t>
  </si>
  <si>
    <t>Allen, Crystal</t>
  </si>
  <si>
    <t>Vue, Sia</t>
  </si>
  <si>
    <t>Brian, Garland</t>
  </si>
  <si>
    <t>Clayton, Natasha</t>
  </si>
  <si>
    <t>Ashley, Hewitt</t>
  </si>
  <si>
    <t>Lucas, Tonya</t>
  </si>
  <si>
    <t>Ashley, Greene</t>
  </si>
  <si>
    <t>Allen, Loren</t>
  </si>
  <si>
    <t>Kiss, Csaba</t>
  </si>
  <si>
    <t>Bridges, James</t>
  </si>
  <si>
    <t>Anderson, Leslie</t>
  </si>
  <si>
    <t>Fielder, David</t>
  </si>
  <si>
    <t>Watson, Elizabeth</t>
  </si>
  <si>
    <t>Rebecca, Coleman</t>
  </si>
  <si>
    <t>Amin, Sumaiya</t>
  </si>
  <si>
    <t>Russell, Claire</t>
  </si>
  <si>
    <t>Caldwell, Kanisher</t>
  </si>
  <si>
    <t>Rowe, Jennifer</t>
  </si>
  <si>
    <t>Kristi, Pope</t>
  </si>
  <si>
    <t>Lisenbey, Brittney</t>
  </si>
  <si>
    <t>Pace, Brandy</t>
  </si>
  <si>
    <t>Hicks, Tammy</t>
  </si>
  <si>
    <t>Kelsey, Master</t>
  </si>
  <si>
    <t>Hocutt, Jennifer</t>
  </si>
  <si>
    <t>Pierce, Cortina</t>
  </si>
  <si>
    <t>Wilkins, Lonnesha B</t>
  </si>
  <si>
    <t>Merrell, Michael</t>
  </si>
  <si>
    <t>Prasad, Bheerendra</t>
  </si>
  <si>
    <t>Beck, Paige</t>
  </si>
  <si>
    <t>Ratermann, Samuel</t>
  </si>
  <si>
    <t>Mcraven, James</t>
  </si>
  <si>
    <t>Jenkins, Larrah</t>
  </si>
  <si>
    <t>Quick, Amanda</t>
  </si>
  <si>
    <t>Vargas, Lesli</t>
  </si>
  <si>
    <t>Brown, Natali</t>
  </si>
  <si>
    <t>Liljenquist, Jordan</t>
  </si>
  <si>
    <t>Hollie, Roseberry</t>
  </si>
  <si>
    <t>Jessica, Matthews</t>
  </si>
  <si>
    <t>Deana</t>
  </si>
  <si>
    <t>Stacie</t>
  </si>
  <si>
    <t>Decker, Samantha</t>
  </si>
  <si>
    <t>Evans, Anne</t>
  </si>
  <si>
    <t>Hayden, Benjamin</t>
  </si>
  <si>
    <t>Barrow, Jimmy</t>
  </si>
  <si>
    <t>Navarro, Alexander</t>
  </si>
  <si>
    <t>Dawson, Dale</t>
  </si>
  <si>
    <t>Watson, Becky</t>
  </si>
  <si>
    <t>Stiles, Evelyn</t>
  </si>
  <si>
    <t>Kagalwala, Din</t>
  </si>
  <si>
    <t>Chandler, Libia</t>
  </si>
  <si>
    <t>Koneru, Kalyana</t>
  </si>
  <si>
    <t>Myers, Melanie</t>
  </si>
  <si>
    <t>Vikramaditya, Dumpa</t>
  </si>
  <si>
    <t>Mckee, Jennifer</t>
  </si>
  <si>
    <t>Fryman, Dana</t>
  </si>
  <si>
    <t>Bindusri, Paruchuri</t>
  </si>
  <si>
    <t>Amanda, Smith</t>
  </si>
  <si>
    <t>Sullivan, Chasity</t>
  </si>
  <si>
    <t>Fairchild, Deborah</t>
  </si>
  <si>
    <t>Edwards, Raymond</t>
  </si>
  <si>
    <t>Null, Gina</t>
  </si>
  <si>
    <t>Wehunt, Stacia</t>
  </si>
  <si>
    <t>Taylor, Callie</t>
  </si>
  <si>
    <t>Gray, Bradley</t>
  </si>
  <si>
    <t>Powers, Jordan</t>
  </si>
  <si>
    <t>Diorella M Lopez Gonzalez</t>
  </si>
  <si>
    <t>Munn, Brandee</t>
  </si>
  <si>
    <t>Atkinson, Thomas</t>
  </si>
  <si>
    <t>Arrington, James</t>
  </si>
  <si>
    <t>Springfield, Brenda</t>
  </si>
  <si>
    <t>Loudermilk, Jon</t>
  </si>
  <si>
    <t>Becker, Jennifer</t>
  </si>
  <si>
    <t>Turley, Shounda</t>
  </si>
  <si>
    <t>Moody, Jessica</t>
  </si>
  <si>
    <t>Charles, Keefer</t>
  </si>
  <si>
    <t>Martin, Shawna</t>
  </si>
  <si>
    <t>Brown, Inja</t>
  </si>
  <si>
    <t>Alexandria, Barnett</t>
  </si>
  <si>
    <t>Johnson, Sasha</t>
  </si>
  <si>
    <t>Seifert, Gary</t>
  </si>
  <si>
    <t>Williams, Anthony</t>
  </si>
  <si>
    <t>Jaksha, Jonathan</t>
  </si>
  <si>
    <t>Mahan, Kerry</t>
  </si>
  <si>
    <t>Oltmann, Michael</t>
  </si>
  <si>
    <t>Kirtane, Sameer</t>
  </si>
  <si>
    <t>Pahwa, Harneet</t>
  </si>
  <si>
    <t>Crook, Sarah</t>
  </si>
  <si>
    <t>Bickerstaff, Joel</t>
  </si>
  <si>
    <t>Schulte, Debra</t>
  </si>
  <si>
    <t>Winterstern, Aaron</t>
  </si>
  <si>
    <t>Gill, Lindsay</t>
  </si>
  <si>
    <t>Oliver, Nycole</t>
  </si>
  <si>
    <t>Jamye, Jones</t>
  </si>
  <si>
    <t>Thorn, Garland</t>
  </si>
  <si>
    <t>Phillips, Jane</t>
  </si>
  <si>
    <t>Stockert, Kassi</t>
  </si>
  <si>
    <t>Theisen, Jeremy</t>
  </si>
  <si>
    <t>Wilkerson, Robyn</t>
  </si>
  <si>
    <t>Endacott, Haley</t>
  </si>
  <si>
    <t>Antoon, Patrick</t>
  </si>
  <si>
    <t>Bailey, Laura</t>
  </si>
  <si>
    <t>Clements, Ronda</t>
  </si>
  <si>
    <t>Morris, Troy</t>
  </si>
  <si>
    <t>Mcgarry, Patricia</t>
  </si>
  <si>
    <t>Hussain, Raza</t>
  </si>
  <si>
    <t>Mckee, Meredith</t>
  </si>
  <si>
    <t>Huynh, Justin</t>
  </si>
  <si>
    <t>Scroggin, Eric</t>
  </si>
  <si>
    <t>Tappan, Trent</t>
  </si>
  <si>
    <t>Guillo, Christopher</t>
  </si>
  <si>
    <t>Lowdermilk, Charity</t>
  </si>
  <si>
    <t>Pace, Laura</t>
  </si>
  <si>
    <t>White, Hannah</t>
  </si>
  <si>
    <t>Ragland, Amanda</t>
  </si>
  <si>
    <t>Anderson, Brandy</t>
  </si>
  <si>
    <t>Mcknight, Lisa</t>
  </si>
  <si>
    <t>Jennifer, Biddle</t>
  </si>
  <si>
    <t>Feather, Callie</t>
  </si>
  <si>
    <t>Morris, Jennifer</t>
  </si>
  <si>
    <t>Greene, Heather</t>
  </si>
  <si>
    <t>Cursey, Angela</t>
  </si>
  <si>
    <t>Snow, Alyssa</t>
  </si>
  <si>
    <t>Raymond, Gina</t>
  </si>
  <si>
    <t>Wigginton, David</t>
  </si>
  <si>
    <t>Mccoy, Christina</t>
  </si>
  <si>
    <t>Reyes, Katiutschka</t>
  </si>
  <si>
    <t>Hill, Honey</t>
  </si>
  <si>
    <t>Mccullar, Brennan</t>
  </si>
  <si>
    <t>Jones, Linda</t>
  </si>
  <si>
    <t>Carr, Kimberly</t>
  </si>
  <si>
    <t>Smith, Shannon</t>
  </si>
  <si>
    <t>Vanessa, Shields</t>
  </si>
  <si>
    <t>Rollins, George</t>
  </si>
  <si>
    <t>Yeley, Jessica</t>
  </si>
  <si>
    <t>Wong, Pui Sum</t>
  </si>
  <si>
    <t>Roach, Milton</t>
  </si>
  <si>
    <t>Buffington, Michael</t>
  </si>
  <si>
    <t>Hale, Kevin</t>
  </si>
  <si>
    <t>Burton, Amy</t>
  </si>
  <si>
    <t>Frederiksen, Ryan</t>
  </si>
  <si>
    <t>Brashear, Terrina</t>
  </si>
  <si>
    <t>Salana, Hari</t>
  </si>
  <si>
    <t>Maez, Latrina</t>
  </si>
  <si>
    <t>Anne, Montgomery</t>
  </si>
  <si>
    <t>Brimhall, Lark</t>
  </si>
  <si>
    <t>Mcclure, Amanda</t>
  </si>
  <si>
    <t>Annelise, Gonzalez</t>
  </si>
  <si>
    <t>Cole, Megan</t>
  </si>
  <si>
    <t>Colin R Chaloupecky</t>
  </si>
  <si>
    <t>Isaac,Sairs</t>
  </si>
  <si>
    <t>Ventres, William</t>
  </si>
  <si>
    <t>Ashley, Chimere</t>
  </si>
  <si>
    <t>Cantrell, Heather</t>
  </si>
  <si>
    <t>Carmack, Brittany</t>
  </si>
  <si>
    <t>Cooper, Amy</t>
  </si>
  <si>
    <t>Mitchell, James</t>
  </si>
  <si>
    <t>Ramaswamy, Srinivasan</t>
  </si>
  <si>
    <t>Natarajan, Monika</t>
  </si>
  <si>
    <t>Brandon, Kristen</t>
  </si>
  <si>
    <t>Olatunji, Folarin</t>
  </si>
  <si>
    <t>Nunez, Aaron</t>
  </si>
  <si>
    <t>Yarbrough, Courtney</t>
  </si>
  <si>
    <t>Muse, Keechia</t>
  </si>
  <si>
    <t>Rhonda F Coleman</t>
  </si>
  <si>
    <t>Sparks, Annie</t>
  </si>
  <si>
    <t>Sanders, Billy</t>
  </si>
  <si>
    <t>Davenport, William</t>
  </si>
  <si>
    <t>Mitchell, Joseph</t>
  </si>
  <si>
    <t>Strange, Aubrey</t>
  </si>
  <si>
    <t>Lamm, Tara</t>
  </si>
  <si>
    <t>Kimberly,Sims</t>
  </si>
  <si>
    <t>Cotton, Houston</t>
  </si>
  <si>
    <t>Lindsey, Dunn</t>
  </si>
  <si>
    <t>Seago, Brooke</t>
  </si>
  <si>
    <t>Wilcox, Joy</t>
  </si>
  <si>
    <t>Carnathan, Jessica</t>
  </si>
  <si>
    <t>Johnson, Danielle</t>
  </si>
  <si>
    <t>Carter, Christopher</t>
  </si>
  <si>
    <t>Wilson, Gary</t>
  </si>
  <si>
    <t>Shafii, Latifeh</t>
  </si>
  <si>
    <t>Baker, Tiffany</t>
  </si>
  <si>
    <t>Lay, Kaelyn</t>
  </si>
  <si>
    <t>Troutman, Katherine</t>
  </si>
  <si>
    <t>Covert, Amber</t>
  </si>
  <si>
    <t>Seifer, Alexandria</t>
  </si>
  <si>
    <t>Stewart, Charla</t>
  </si>
  <si>
    <t>Edwards, Deondra</t>
  </si>
  <si>
    <t>Medellin, Blanca</t>
  </si>
  <si>
    <t>Mullinax, William</t>
  </si>
  <si>
    <t>Sanders, Kelli</t>
  </si>
  <si>
    <t>Azar, Nabil</t>
  </si>
  <si>
    <t>Spires, Allen</t>
  </si>
  <si>
    <t>Kimberly, German</t>
  </si>
  <si>
    <t>Brown, Steven T</t>
  </si>
  <si>
    <t>Trumble, Brandon</t>
  </si>
  <si>
    <t>Nichols, Jared</t>
  </si>
  <si>
    <t>Missildine, Virginia</t>
  </si>
  <si>
    <t>Cori, Steele</t>
  </si>
  <si>
    <t>Stanage, Kayla</t>
  </si>
  <si>
    <t>Chandler, Vicki</t>
  </si>
  <si>
    <t>Fowler, John</t>
  </si>
  <si>
    <t>Howard, Willard</t>
  </si>
  <si>
    <t>Sexton, Benjamin</t>
  </si>
  <si>
    <t>Keller, Alfred</t>
  </si>
  <si>
    <t>Hoffman, Linda</t>
  </si>
  <si>
    <t>Keith, Sarah</t>
  </si>
  <si>
    <t>Eaton, Broderick</t>
  </si>
  <si>
    <t>Skinner, Meghan</t>
  </si>
  <si>
    <t>Kelsey, Johnnie</t>
  </si>
  <si>
    <t>Vantine, Angel</t>
  </si>
  <si>
    <t>Vu, Katie</t>
  </si>
  <si>
    <t>Ludwig, Kelly</t>
  </si>
  <si>
    <t>Clonts, Brian</t>
  </si>
  <si>
    <t>Pillow, Charles</t>
  </si>
  <si>
    <t>Gerson, David</t>
  </si>
  <si>
    <t>Tuetken, Lance</t>
  </si>
  <si>
    <t>Bearden, Jeffrey</t>
  </si>
  <si>
    <t>Tangunan, Priscilla</t>
  </si>
  <si>
    <t>Tucker, Kimberly</t>
  </si>
  <si>
    <t>Featherston, John</t>
  </si>
  <si>
    <t>Burrows, Laurel</t>
  </si>
  <si>
    <t>Evans, Martha</t>
  </si>
  <si>
    <t>Kristyn, Jeffries</t>
  </si>
  <si>
    <t>Cross, Amy</t>
  </si>
  <si>
    <t>Mcclain Smith, Melanie</t>
  </si>
  <si>
    <t>Irwin, Jamie</t>
  </si>
  <si>
    <t>Pishko, Stephen</t>
  </si>
  <si>
    <t>Harris, Brittney</t>
  </si>
  <si>
    <t>Chidester, Catherine Ann</t>
  </si>
  <si>
    <t>Madni, Arshai</t>
  </si>
  <si>
    <t>Ryan, Southard</t>
  </si>
  <si>
    <t>Anderson, Grant</t>
  </si>
  <si>
    <t>Scherer, James</t>
  </si>
  <si>
    <t>Neaville, Virginia</t>
  </si>
  <si>
    <t>Jewell, Shannon</t>
  </si>
  <si>
    <t>Ochoa, Eduardo</t>
  </si>
  <si>
    <t>Wood, Shayna</t>
  </si>
  <si>
    <t>Magdovitz, Nouth</t>
  </si>
  <si>
    <t>Becton, Debra</t>
  </si>
  <si>
    <t>Alexandra G Woodle</t>
  </si>
  <si>
    <t>Gandhi, Manhar</t>
  </si>
  <si>
    <t>West, Margaret</t>
  </si>
  <si>
    <t>Pertzborn, Matthew</t>
  </si>
  <si>
    <t>Youngblood, Thomas</t>
  </si>
  <si>
    <t>Elias, Anthony</t>
  </si>
  <si>
    <t>Hong Van</t>
  </si>
  <si>
    <t>Wilkins, James</t>
  </si>
  <si>
    <t>Obrien, Marcus</t>
  </si>
  <si>
    <t>Natarajan, Swetha</t>
  </si>
  <si>
    <t>Alam, Arif S.</t>
  </si>
  <si>
    <t>Nichols, Kody</t>
  </si>
  <si>
    <t>Kelsey K Floyd</t>
  </si>
  <si>
    <t>Ostrom, Anna</t>
  </si>
  <si>
    <t>Dyer, Cassie</t>
  </si>
  <si>
    <t>Welch, Susan</t>
  </si>
  <si>
    <t>Holmes, Ernest</t>
  </si>
  <si>
    <t>Zaveri, Parul</t>
  </si>
  <si>
    <t>Dick, Charlotte</t>
  </si>
  <si>
    <t>Murphy, Linda</t>
  </si>
  <si>
    <t>Ast, Allison</t>
  </si>
  <si>
    <t>Riley, Christopher</t>
  </si>
  <si>
    <t>Force, Lisa</t>
  </si>
  <si>
    <t>Higginbotham, Robert</t>
  </si>
  <si>
    <t>Beasley, Jimmie</t>
  </si>
  <si>
    <t>Nolen, Misty</t>
  </si>
  <si>
    <t>Alexandra M Wise Ehlers</t>
  </si>
  <si>
    <t>Arrindell, Esmond</t>
  </si>
  <si>
    <t>Wy, Paulette</t>
  </si>
  <si>
    <t>Yeluru, Ajitha</t>
  </si>
  <si>
    <t>Alexander, Whitney</t>
  </si>
  <si>
    <t>Walters, Cyrilyn</t>
  </si>
  <si>
    <t>Jayati, Pal</t>
  </si>
  <si>
    <t>Crawford, Jennifer L.</t>
  </si>
  <si>
    <t>Smith, Christopher</t>
  </si>
  <si>
    <t>Sax, Stacy</t>
  </si>
  <si>
    <t>Finkel, Terri</t>
  </si>
  <si>
    <t>Barr, Frederick</t>
  </si>
  <si>
    <t>Sellars, Elizabeth</t>
  </si>
  <si>
    <t>Durham, April</t>
  </si>
  <si>
    <t>Lucas, Reginald</t>
  </si>
  <si>
    <t>Montgomery, Lori</t>
  </si>
  <si>
    <t>Tibbs, Robert</t>
  </si>
  <si>
    <t>Azriel, Stinson</t>
  </si>
  <si>
    <t>Moody, Melody</t>
  </si>
  <si>
    <t>Hanson, Charles</t>
  </si>
  <si>
    <t>Ararat, Erhan</t>
  </si>
  <si>
    <t>Jones, Renee</t>
  </si>
  <si>
    <t>Richards, Kenneth</t>
  </si>
  <si>
    <t>Ragunanthan, Braveen</t>
  </si>
  <si>
    <t>Murray, Liza</t>
  </si>
  <si>
    <t>Taylor C Warden</t>
  </si>
  <si>
    <t>Justice, James</t>
  </si>
  <si>
    <t>Kemph, Monica</t>
  </si>
  <si>
    <t>Mcneil, Michael</t>
  </si>
  <si>
    <t>Siegel, Joel</t>
  </si>
  <si>
    <t>Lena, Martin</t>
  </si>
  <si>
    <t>Patton, William</t>
  </si>
  <si>
    <t>Rogers, Erica</t>
  </si>
  <si>
    <t>Baker, Karen</t>
  </si>
  <si>
    <t>Janani, Narumanchi</t>
  </si>
  <si>
    <t>Camper, Sarah</t>
  </si>
  <si>
    <t>Pela, Tarebiya</t>
  </si>
  <si>
    <t>Patton, Ruth</t>
  </si>
  <si>
    <t>Ellis Iii, John</t>
  </si>
  <si>
    <t>Pollard, Kathleen</t>
  </si>
  <si>
    <t>Battles, Lourie</t>
  </si>
  <si>
    <t>Vora, Chetna</t>
  </si>
  <si>
    <t>Elser, Joseph</t>
  </si>
  <si>
    <t>Skelton, Andrea</t>
  </si>
  <si>
    <t>Reed, Andreya</t>
  </si>
  <si>
    <t>Rubenow, Jon</t>
  </si>
  <si>
    <t>Wegner, Mary</t>
  </si>
  <si>
    <t>Huffman, Lara</t>
  </si>
  <si>
    <t>Jordan, Natalie</t>
  </si>
  <si>
    <t>Kimberly, Bush</t>
  </si>
  <si>
    <t>Evan, Mashigain</t>
  </si>
  <si>
    <t>Paige, Tamon</t>
  </si>
  <si>
    <t>Schofield, Michelle</t>
  </si>
  <si>
    <t>Battaile, Najiba</t>
  </si>
  <si>
    <t>Ray, Shona</t>
  </si>
  <si>
    <t>Ramos Henriquez, Andres</t>
  </si>
  <si>
    <t>John-Daniel, Bevila</t>
  </si>
  <si>
    <t>Bosley, Eudy</t>
  </si>
  <si>
    <t>Jeramie</t>
  </si>
  <si>
    <t>Lin, Austin</t>
  </si>
  <si>
    <t>Stacey, Adriana</t>
  </si>
  <si>
    <t>Nguyen, Duong</t>
  </si>
  <si>
    <t>Praveen C Pathak</t>
  </si>
  <si>
    <t>Hoehn, Robert</t>
  </si>
  <si>
    <t>Downes, John</t>
  </si>
  <si>
    <t>Hiatt, Roger</t>
  </si>
  <si>
    <t>Cassada, Margaret</t>
  </si>
  <si>
    <t>Canulla, Karen</t>
  </si>
  <si>
    <t>Williams, Veronica</t>
  </si>
  <si>
    <t>Clothier, Jeffrey</t>
  </si>
  <si>
    <t>Guise, Joseph</t>
  </si>
  <si>
    <t>Panek, Kathryn</t>
  </si>
  <si>
    <t>Sayeed, Syed</t>
  </si>
  <si>
    <t>Johnson, Shamalon</t>
  </si>
  <si>
    <t>Kumar, Jyothsna</t>
  </si>
  <si>
    <t>Mirza, Arif</t>
  </si>
  <si>
    <t>Sherrill, Kimberly</t>
  </si>
  <si>
    <t>Kelsey, Bastian</t>
  </si>
  <si>
    <t>Czerwinski, Witold</t>
  </si>
  <si>
    <t>Hashmi, Ali</t>
  </si>
  <si>
    <t>Johnson, Kyle</t>
  </si>
  <si>
    <t>Clark, Raymond</t>
  </si>
  <si>
    <t>Bellah, Lloyd</t>
  </si>
  <si>
    <t>Buchalter, Erica</t>
  </si>
  <si>
    <t>Mooney, Brian</t>
  </si>
  <si>
    <t>Kirkpatrick, Brian</t>
  </si>
  <si>
    <t>Williams, Hannah</t>
  </si>
  <si>
    <t>Hypolite, Iman</t>
  </si>
  <si>
    <t>Brenner, Scott</t>
  </si>
  <si>
    <t>Worley, Andrew</t>
  </si>
  <si>
    <t>Selman, Lynnah</t>
  </si>
  <si>
    <t>Gardner, Tonia</t>
  </si>
  <si>
    <t>Morrison, Joshua</t>
  </si>
  <si>
    <t>Reddy, Vijay</t>
  </si>
  <si>
    <t>Marak, Creticus</t>
  </si>
  <si>
    <t>Sujoy, Gill</t>
  </si>
  <si>
    <t>Sheikh, Muhammad</t>
  </si>
  <si>
    <t>Lee, Tyrone</t>
  </si>
  <si>
    <t>Jagana, Rajani</t>
  </si>
  <si>
    <t>Andrews, James</t>
  </si>
  <si>
    <t>Anas</t>
  </si>
  <si>
    <t>Reddy, Raghu</t>
  </si>
  <si>
    <t>Amr, Ismail</t>
  </si>
  <si>
    <t>Homsi, Samer</t>
  </si>
  <si>
    <t>Akasapu, Karunakar</t>
  </si>
  <si>
    <t>Abochale, Eyad</t>
  </si>
  <si>
    <t>Herron, Jerry</t>
  </si>
  <si>
    <t>Mathew, Roshen</t>
  </si>
  <si>
    <t>Templeton, Gary</t>
  </si>
  <si>
    <t>Tutor, James</t>
  </si>
  <si>
    <t>Ravi, Vimal</t>
  </si>
  <si>
    <t>Muhammad, Shahid</t>
  </si>
  <si>
    <t>White, Gregory</t>
  </si>
  <si>
    <t>Cook, Timothy</t>
  </si>
  <si>
    <t>Cohen, Jeffrey</t>
  </si>
  <si>
    <t>Moseley, Mark</t>
  </si>
  <si>
    <t>Bhadriraju, Srinivas</t>
  </si>
  <si>
    <t>Holder, Jason</t>
  </si>
  <si>
    <t>Hill, Nathan</t>
  </si>
  <si>
    <t>Chinn, Albert</t>
  </si>
  <si>
    <t>Kayanja, Harriet</t>
  </si>
  <si>
    <t>Natalie,Francis</t>
  </si>
  <si>
    <t>Johnson, Clifton</t>
  </si>
  <si>
    <t>Toy, Walton</t>
  </si>
  <si>
    <t>Cooper, Megan</t>
  </si>
  <si>
    <t>Lina, Al Jaberi</t>
  </si>
  <si>
    <t>Alsebai, Tamer</t>
  </si>
  <si>
    <t>Ganguli, Sudha</t>
  </si>
  <si>
    <t>Gamarra-Hilburn, Carla</t>
  </si>
  <si>
    <t>Hashmi, Raza</t>
  </si>
  <si>
    <t>Khan, Nasim</t>
  </si>
  <si>
    <t>Boatright, Michael</t>
  </si>
  <si>
    <t>Bittar, Mohamad</t>
  </si>
  <si>
    <t>Leffingwell, Sharon</t>
  </si>
  <si>
    <t>Sears, Colleen</t>
  </si>
  <si>
    <t>Reese, Dana</t>
  </si>
  <si>
    <t>Alderson, Angela</t>
  </si>
  <si>
    <t>Hart, Stacy</t>
  </si>
  <si>
    <t>Mafnas, Tori</t>
  </si>
  <si>
    <t>Crump, Abigale</t>
  </si>
  <si>
    <t>Sisson, Makenna</t>
  </si>
  <si>
    <t>Hall, Stephanie</t>
  </si>
  <si>
    <t>Thielemier, Kristen</t>
  </si>
  <si>
    <t>Shannon M Combs</t>
  </si>
  <si>
    <t>Madison, Coats</t>
  </si>
  <si>
    <t>Hall, Amanda</t>
  </si>
  <si>
    <t>Lowder, Anna B.</t>
  </si>
  <si>
    <t>Herring, Shannon</t>
  </si>
  <si>
    <t>Byrd, Katherine</t>
  </si>
  <si>
    <t>Honeycutt, Cady</t>
  </si>
  <si>
    <t>Weathersby, Kem</t>
  </si>
  <si>
    <t>Edwards, Linda</t>
  </si>
  <si>
    <t>Worthington, Brandi</t>
  </si>
  <si>
    <t>Birmingham</t>
  </si>
  <si>
    <t>Page, Sydney</t>
  </si>
  <si>
    <t>Jones, Alyssa</t>
  </si>
  <si>
    <t>Donelan, Brie</t>
  </si>
  <si>
    <t>Wark, Marilyn</t>
  </si>
  <si>
    <t>Lenzie, Dorecie</t>
  </si>
  <si>
    <t>Daria,Lawrence</t>
  </si>
  <si>
    <t>Perez, Rosa</t>
  </si>
  <si>
    <t>Maglothin, Emily</t>
  </si>
  <si>
    <t>Lee, Mary</t>
  </si>
  <si>
    <t>Halsell, Jill</t>
  </si>
  <si>
    <t>Fortson, Mary</t>
  </si>
  <si>
    <t>Hogue, Bethany</t>
  </si>
  <si>
    <t>Yeh, Raeanne</t>
  </si>
  <si>
    <t>Mary E Wallace</t>
  </si>
  <si>
    <t>Boll, Abbie</t>
  </si>
  <si>
    <t>Jennifer A Horne</t>
  </si>
  <si>
    <t>Duguard, Lauren</t>
  </si>
  <si>
    <t>Allison R Wade</t>
  </si>
  <si>
    <t>Coggins, Emily</t>
  </si>
  <si>
    <t>Ruple, Lisa</t>
  </si>
  <si>
    <t>Pierce, Emily</t>
  </si>
  <si>
    <t>Stanley, Amy</t>
  </si>
  <si>
    <t>Wilson, Miranda</t>
  </si>
  <si>
    <t>Chism, Emily</t>
  </si>
  <si>
    <t>Powell, Katie</t>
  </si>
  <si>
    <t>Jobe, Andrea</t>
  </si>
  <si>
    <t>Hagge, Trisha</t>
  </si>
  <si>
    <t>Hoelzeman, Laura</t>
  </si>
  <si>
    <t>Ray, Melissa</t>
  </si>
  <si>
    <t>Chism, Corri</t>
  </si>
  <si>
    <t>Overton, Jennifer</t>
  </si>
  <si>
    <t>Martin, Laura</t>
  </si>
  <si>
    <t>Bower, Emily</t>
  </si>
  <si>
    <t>Dobyns, Jessica</t>
  </si>
  <si>
    <t>Porter, Megan</t>
  </si>
  <si>
    <t>Kelley, Jessica</t>
  </si>
  <si>
    <t>Russell, Katherine</t>
  </si>
  <si>
    <t>Wood Pearcy, Carol</t>
  </si>
  <si>
    <t>Dabbs, Ginger</t>
  </si>
  <si>
    <t>Hegwood, Corinne</t>
  </si>
  <si>
    <t>Melissa Millwood</t>
  </si>
  <si>
    <t>Foster, Julie</t>
  </si>
  <si>
    <t>Jamison Casas, Amy</t>
  </si>
  <si>
    <t>Miller Chapman, Kayla</t>
  </si>
  <si>
    <t>Gipson, Peria</t>
  </si>
  <si>
    <t>Richards, Lindsay</t>
  </si>
  <si>
    <t>Stafford, Benjamin</t>
  </si>
  <si>
    <t>Higginbotham, Hope</t>
  </si>
  <si>
    <t>Hutchinson, Ally Grace</t>
  </si>
  <si>
    <t>White, Fawnda</t>
  </si>
  <si>
    <t>Smithwick, Mae</t>
  </si>
  <si>
    <t>Mcdonald, Samantha</t>
  </si>
  <si>
    <t>Thompson, Leigh</t>
  </si>
  <si>
    <t>Crutchfield, Tamara</t>
  </si>
  <si>
    <t>Fuqua</t>
  </si>
  <si>
    <t>Spencer, Makala</t>
  </si>
  <si>
    <t>Allyson, Hannon</t>
  </si>
  <si>
    <t>Leslie, Dawn</t>
  </si>
  <si>
    <t>Cunningham, Hannah</t>
  </si>
  <si>
    <t>Rochell, Teaonna</t>
  </si>
  <si>
    <t>Kahane, Joel</t>
  </si>
  <si>
    <t>Darby Daniel</t>
  </si>
  <si>
    <t>Jennifer, Robertson</t>
  </si>
  <si>
    <t>Caldwell, Erica</t>
  </si>
  <si>
    <t>Bethany B Cebuhar</t>
  </si>
  <si>
    <t>Hill, Susan</t>
  </si>
  <si>
    <t>Stoker, Kelley</t>
  </si>
  <si>
    <t>Neal, Nicol</t>
  </si>
  <si>
    <t>Bledsoe, Suzanne</t>
  </si>
  <si>
    <t>Green, Amy</t>
  </si>
  <si>
    <t>Carithers, Jill</t>
  </si>
  <si>
    <t>Bordelon, Keri</t>
  </si>
  <si>
    <t>Pitchford, London</t>
  </si>
  <si>
    <t>Linebaugh, Sydney</t>
  </si>
  <si>
    <t>Hannah, Wolfe</t>
  </si>
  <si>
    <t>Madyson, Ellis</t>
  </si>
  <si>
    <t>Overstreet, Ashley</t>
  </si>
  <si>
    <t>Patterson, Andrea</t>
  </si>
  <si>
    <t>Lambert, Erica</t>
  </si>
  <si>
    <t>Sullivan, Katelyn</t>
  </si>
  <si>
    <t>Mason, Sydney</t>
  </si>
  <si>
    <t>Quinalty, Jennifer</t>
  </si>
  <si>
    <t>Brown, Shelly</t>
  </si>
  <si>
    <t>Mccall, Amber</t>
  </si>
  <si>
    <t>Mollie Irvin</t>
  </si>
  <si>
    <t>Owens, Kelli</t>
  </si>
  <si>
    <t>Gaines, Amy</t>
  </si>
  <si>
    <t>Clay, Rebecca</t>
  </si>
  <si>
    <t>Nikki, Curtis</t>
  </si>
  <si>
    <t>Strasser, Abby</t>
  </si>
  <si>
    <t>Mills, Jennifer</t>
  </si>
  <si>
    <t>Anderson, Bethany</t>
  </si>
  <si>
    <t>Mikala L Steely</t>
  </si>
  <si>
    <t>Suzanne Swindle</t>
  </si>
  <si>
    <t>Adriana, Carpenter</t>
  </si>
  <si>
    <t>Coker, Sarah</t>
  </si>
  <si>
    <t>Caitlin, Mcgough</t>
  </si>
  <si>
    <t>Monteverde, Morgan</t>
  </si>
  <si>
    <t>Charles, Totten</t>
  </si>
  <si>
    <t>Crowson, Kelly</t>
  </si>
  <si>
    <t>Henson, Summer</t>
  </si>
  <si>
    <t>Brittany C Gosha</t>
  </si>
  <si>
    <t>Victoria, Sisto</t>
  </si>
  <si>
    <t>Broadstreet, Mandy</t>
  </si>
  <si>
    <t>Hale, Kathleen</t>
  </si>
  <si>
    <t>Warren, Shaylee</t>
  </si>
  <si>
    <t>Montgomery, Marisa</t>
  </si>
  <si>
    <t>Harmon, Britney</t>
  </si>
  <si>
    <t>Smith, Roblyn</t>
  </si>
  <si>
    <t>Morgan, Taylor</t>
  </si>
  <si>
    <t>Makenzy</t>
  </si>
  <si>
    <t>Kaulyn, Loe</t>
  </si>
  <si>
    <t>Decker, Tricia</t>
  </si>
  <si>
    <t>Bowie, Amy</t>
  </si>
  <si>
    <t>Kelly, Kailey</t>
  </si>
  <si>
    <t>Cornell</t>
  </si>
  <si>
    <t>Gable, Kristina</t>
  </si>
  <si>
    <t>Lillianna, Hilburn</t>
  </si>
  <si>
    <t>Coe, Robin</t>
  </si>
  <si>
    <t>Edmonson, Janice</t>
  </si>
  <si>
    <t>Jansen, Heidi</t>
  </si>
  <si>
    <t>Betzold, Sarah</t>
  </si>
  <si>
    <t>Short, Tonya</t>
  </si>
  <si>
    <t>Parsons, Linda</t>
  </si>
  <si>
    <t>Jones, Melissa</t>
  </si>
  <si>
    <t>Jenness, Anna</t>
  </si>
  <si>
    <t>Sheppard, Vickie</t>
  </si>
  <si>
    <t>Robinson</t>
  </si>
  <si>
    <t>Reynolds, Chasity</t>
  </si>
  <si>
    <t>Hannah, Hamilton</t>
  </si>
  <si>
    <t>Sowers, Kelli</t>
  </si>
  <si>
    <t>Buckley Walker, Elizabeth</t>
  </si>
  <si>
    <t>Bowers, Taylor</t>
  </si>
  <si>
    <t>Moody, Brandi</t>
  </si>
  <si>
    <t>White, Samantha</t>
  </si>
  <si>
    <t>Abigail, Ball</t>
  </si>
  <si>
    <t>Jasie, Trickey</t>
  </si>
  <si>
    <t>Payne, Sara</t>
  </si>
  <si>
    <t>Darnell, Candi</t>
  </si>
  <si>
    <t>Johnston, Elizabeth</t>
  </si>
  <si>
    <t>Forsythe, Mikayla</t>
  </si>
  <si>
    <t>Reeks, Christen</t>
  </si>
  <si>
    <t>Morrow, Nichole</t>
  </si>
  <si>
    <t>Welcher, Rachel</t>
  </si>
  <si>
    <t>Farnell, Torry</t>
  </si>
  <si>
    <t>Mitchell, Mary</t>
  </si>
  <si>
    <t>Stertz, Holly</t>
  </si>
  <si>
    <t>Brown, Keely</t>
  </si>
  <si>
    <t>Campbell, Alisha</t>
  </si>
  <si>
    <t>Barclay, Olivia</t>
  </si>
  <si>
    <t>Caitlyn, Berry</t>
  </si>
  <si>
    <t>Caldwell, Terra</t>
  </si>
  <si>
    <t>Reed, Cynthia</t>
  </si>
  <si>
    <t>Alexandria, Jarrett</t>
  </si>
  <si>
    <t>House, Lauren</t>
  </si>
  <si>
    <t>Hankins, Emily</t>
  </si>
  <si>
    <t>Jeffcoat, Cindy</t>
  </si>
  <si>
    <t>Garcia, Tomas</t>
  </si>
  <si>
    <t>Adriana, Carmona</t>
  </si>
  <si>
    <t>Sydney, Elliott</t>
  </si>
  <si>
    <t>Gibson, Sara</t>
  </si>
  <si>
    <t>Ruff, Heather</t>
  </si>
  <si>
    <t>Walters, Mandy</t>
  </si>
  <si>
    <t>Phelan, Marilyn</t>
  </si>
  <si>
    <t>Dodson, Miriam</t>
  </si>
  <si>
    <t>Rogers, Erin</t>
  </si>
  <si>
    <t>Windham, Amie</t>
  </si>
  <si>
    <t>Calfee, Kerry</t>
  </si>
  <si>
    <t>Pattillo, Alicia</t>
  </si>
  <si>
    <t>Kiihnl, Katelyn</t>
  </si>
  <si>
    <t>Cozens, Tasha</t>
  </si>
  <si>
    <t>Mcmorran, Maggie</t>
  </si>
  <si>
    <t>Golden, Gina</t>
  </si>
  <si>
    <t>Laura, Bassham</t>
  </si>
  <si>
    <t>Hardage, Zaneta</t>
  </si>
  <si>
    <t>Mirdo, Amy</t>
  </si>
  <si>
    <t>Smith, Mckenzie</t>
  </si>
  <si>
    <t>Jones, Sondra</t>
  </si>
  <si>
    <t>Kramer, Corey</t>
  </si>
  <si>
    <t>Stuckey, Megan</t>
  </si>
  <si>
    <t>Erin Hooten</t>
  </si>
  <si>
    <t>Bray, Ragen</t>
  </si>
  <si>
    <t>Leah, Wingfield</t>
  </si>
  <si>
    <t>Goode, Sharon</t>
  </si>
  <si>
    <t>Whiteside, Lela</t>
  </si>
  <si>
    <t>Pultro, Ashley</t>
  </si>
  <si>
    <t>Bishop, Amy</t>
  </si>
  <si>
    <t>Walker, Samantha</t>
  </si>
  <si>
    <t>Gifford, Amber</t>
  </si>
  <si>
    <t>Jaden, Hill</t>
  </si>
  <si>
    <t>Crawford, Heather</t>
  </si>
  <si>
    <t>Howell, Amelia</t>
  </si>
  <si>
    <t>Stuart, Samantha</t>
  </si>
  <si>
    <t>Haley, Lenae</t>
  </si>
  <si>
    <t>Pratt, Molly</t>
  </si>
  <si>
    <t>Franklin, Hayley</t>
  </si>
  <si>
    <t>Goode, Deborah</t>
  </si>
  <si>
    <t>Huckelbury, Lisa</t>
  </si>
  <si>
    <t>Guerra, Rachel</t>
  </si>
  <si>
    <t>Fountain, Kelsey</t>
  </si>
  <si>
    <t>Pullen, Amanda</t>
  </si>
  <si>
    <t>Geraldine</t>
  </si>
  <si>
    <t>Rippy, Heidi</t>
  </si>
  <si>
    <t>Bussey, Claire E</t>
  </si>
  <si>
    <t>Gearhart, Sarah</t>
  </si>
  <si>
    <t>Nixon, Brandi</t>
  </si>
  <si>
    <t>Privette Cassady, Wendy</t>
  </si>
  <si>
    <t>Crain, Scarlet</t>
  </si>
  <si>
    <t>Cormack, Caroline</t>
  </si>
  <si>
    <t>Dodson, Sydney</t>
  </si>
  <si>
    <t>Gonzalez, Christina</t>
  </si>
  <si>
    <t>Vergho, Rebecca</t>
  </si>
  <si>
    <t>Mross, Kimberly</t>
  </si>
  <si>
    <t>Hale, Jeanne</t>
  </si>
  <si>
    <t>Wood, Nathan</t>
  </si>
  <si>
    <t>Mary, Yang</t>
  </si>
  <si>
    <t>Blevins, Jana</t>
  </si>
  <si>
    <t>Rachel Beck</t>
  </si>
  <si>
    <t>Schanandore, Sally</t>
  </si>
  <si>
    <t>Devaux, Tara</t>
  </si>
  <si>
    <t>Ballard, Anna</t>
  </si>
  <si>
    <t>Satterwhite, Hope</t>
  </si>
  <si>
    <t>Tatum, Watson</t>
  </si>
  <si>
    <t>Derden, Laura</t>
  </si>
  <si>
    <t>Fuller, Jason</t>
  </si>
  <si>
    <t>Jenny K Roberson</t>
  </si>
  <si>
    <t>Saira</t>
  </si>
  <si>
    <t>Jacks, Dennis</t>
  </si>
  <si>
    <t>Kueter, Joseph</t>
  </si>
  <si>
    <t>Miller, Jack</t>
  </si>
  <si>
    <t>Eber, Paul</t>
  </si>
  <si>
    <t>Zapata Vargas, Daniel</t>
  </si>
  <si>
    <t>Ava Saidian</t>
  </si>
  <si>
    <t>Pritchard, Charles</t>
  </si>
  <si>
    <t>Henderson, Alex</t>
  </si>
  <si>
    <t>Aydin, Ahmet</t>
  </si>
  <si>
    <t>Claybrook, Kevin</t>
  </si>
  <si>
    <t>Christina, Kim</t>
  </si>
  <si>
    <t>Mcgowan, Leslie</t>
  </si>
  <si>
    <t>Lindsay, Jason</t>
  </si>
  <si>
    <t>Curry, Robert</t>
  </si>
  <si>
    <t>Wilson, Christopher</t>
  </si>
  <si>
    <t>Jordan, Anne</t>
  </si>
  <si>
    <t>Bumpers, Paul</t>
  </si>
  <si>
    <t>Milsten, Marc</t>
  </si>
  <si>
    <t>Giel, Dana</t>
  </si>
  <si>
    <t>Franz, Randall</t>
  </si>
  <si>
    <t>Cumbie, Todd</t>
  </si>
  <si>
    <t>Jason H Hwang</t>
  </si>
  <si>
    <t>Moree, Lamar</t>
  </si>
  <si>
    <r>
      <t xml:space="preserve">(Note: This sheet has been provided for </t>
    </r>
    <r>
      <rPr>
        <b/>
        <i/>
        <sz val="14"/>
        <color theme="1"/>
        <rFont val="Aptos Narrow"/>
        <family val="2"/>
        <scheme val="minor"/>
      </rPr>
      <t>informational purposes</t>
    </r>
    <r>
      <rPr>
        <b/>
        <sz val="14"/>
        <color theme="1"/>
        <rFont val="Aptos Narrow"/>
        <family val="2"/>
        <scheme val="minor"/>
      </rPr>
      <t xml:space="preserve"> only. The </t>
    </r>
    <r>
      <rPr>
        <b/>
        <sz val="14"/>
        <color theme="5"/>
        <rFont val="Aptos Narrow"/>
        <family val="2"/>
        <scheme val="minor"/>
      </rPr>
      <t>ORANGE</t>
    </r>
    <r>
      <rPr>
        <b/>
        <sz val="14"/>
        <color theme="9"/>
        <rFont val="Aptos Narrow"/>
        <family val="2"/>
        <scheme val="minor"/>
      </rPr>
      <t xml:space="preserve"> </t>
    </r>
    <r>
      <rPr>
        <b/>
        <sz val="14"/>
        <rFont val="Aptos Narrow"/>
        <family val="2"/>
        <scheme val="minor"/>
      </rPr>
      <t>columns show AID's disposition processing for PTNP change re</t>
    </r>
    <r>
      <rPr>
        <b/>
        <sz val="14"/>
        <color theme="1"/>
        <rFont val="Aptos Narrow"/>
        <family val="2"/>
        <scheme val="minor"/>
      </rPr>
      <t>quests during the last round.)</t>
    </r>
  </si>
  <si>
    <t>Action</t>
  </si>
  <si>
    <t>CountRequesting</t>
  </si>
  <si>
    <t>CountNewAction</t>
  </si>
  <si>
    <t>CountAffirm</t>
  </si>
  <si>
    <t>CountObject</t>
  </si>
  <si>
    <t>CountContradictory</t>
  </si>
  <si>
    <t>Feedback Reason</t>
  </si>
  <si>
    <t>Agree Reason</t>
  </si>
  <si>
    <t>Object Reason</t>
  </si>
  <si>
    <t>Count for Action</t>
  </si>
  <si>
    <t>Accept Action?</t>
  </si>
  <si>
    <t>Reason behind AID disposition</t>
  </si>
  <si>
    <t xml:space="preserve"> </t>
  </si>
  <si>
    <t>Y</t>
  </si>
  <si>
    <t>N</t>
  </si>
  <si>
    <t>Majority vote</t>
  </si>
  <si>
    <t>New Provider</t>
  </si>
  <si>
    <t>Retired</t>
  </si>
  <si>
    <t>KNIGHT, GEORGE</t>
  </si>
  <si>
    <t>A280</t>
  </si>
  <si>
    <t>Pharmacy</t>
  </si>
  <si>
    <t>Medical Arts Pharmacy Elkins</t>
  </si>
  <si>
    <t>Cvs Pharmacy # 10432</t>
  </si>
  <si>
    <t>Collier Drug-Prairie Grove</t>
  </si>
  <si>
    <t>Walgreens #3416</t>
  </si>
  <si>
    <t>Walgreens</t>
  </si>
  <si>
    <t>Kroger Pharmacy</t>
  </si>
  <si>
    <t>Jepson Drug And Gifts</t>
  </si>
  <si>
    <t>The Drug Store Inc</t>
  </si>
  <si>
    <t>C &amp; C Pharmacy</t>
  </si>
  <si>
    <t>Heartland Pharmacy Conway</t>
  </si>
  <si>
    <t>Clinic Pharmacy Of Monticello</t>
  </si>
  <si>
    <t>Communihealth Pharmacy</t>
  </si>
  <si>
    <t>West Side Pharmacy</t>
  </si>
  <si>
    <t>Wal-Mart Pharmacy</t>
  </si>
  <si>
    <t>Savon Pharmacy</t>
  </si>
  <si>
    <t>Marmaduke Family Pharmacy</t>
  </si>
  <si>
    <t>Walmart Pharmacy</t>
  </si>
  <si>
    <t>Prince Pharmacy</t>
  </si>
  <si>
    <t>Harps Pharmacy 170</t>
  </si>
  <si>
    <t>East End Pharmacy</t>
  </si>
  <si>
    <t>Target Pharmacy</t>
  </si>
  <si>
    <t>Price Harris Pharmacy</t>
  </si>
  <si>
    <t>Gannaway Drug</t>
  </si>
  <si>
    <t>Community Pharmacy Of Springdale</t>
  </si>
  <si>
    <t>Cvs Pharmacy # 10518</t>
  </si>
  <si>
    <t>Tiptonville Family Pharmacy</t>
  </si>
  <si>
    <t>St Francis Discount Pharmacy</t>
  </si>
  <si>
    <t>Walgreens #21433</t>
  </si>
  <si>
    <t>Mercy Pharmacy Services, Llc</t>
  </si>
  <si>
    <t>The Skaggs Community Hospital Association</t>
  </si>
  <si>
    <t>Bearskin Health Clinic Phcy</t>
  </si>
  <si>
    <t>Vilonia Family Pharmacy</t>
  </si>
  <si>
    <t>Sams Pharmacy</t>
  </si>
  <si>
    <t>Norman And Baker Pharmacy</t>
  </si>
  <si>
    <t>Condon's East Union Pharmacy</t>
  </si>
  <si>
    <t>Price Cutter Pharmacy 352</t>
  </si>
  <si>
    <t>Delta Drug Inc</t>
  </si>
  <si>
    <t>Cave City Pharmacy</t>
  </si>
  <si>
    <t>Cornerstone Pharmacy Of Bella Vista</t>
  </si>
  <si>
    <t>First Pharmacy Svcs Of Country Vlg</t>
  </si>
  <si>
    <t>The Medicine Shoppe</t>
  </si>
  <si>
    <t>Conway Apothecary</t>
  </si>
  <si>
    <t>Maumelle Family Pharmacy</t>
  </si>
  <si>
    <t>Collier Drug Stores Inc</t>
  </si>
  <si>
    <t>Wal-Mart Pharmacy 10-5043</t>
  </si>
  <si>
    <t>Wal-Mart Pharmacy 10</t>
  </si>
  <si>
    <t>Grove Drive-In Pharmacy</t>
  </si>
  <si>
    <t>Peoples Custom Rx And Clinical Care Center</t>
  </si>
  <si>
    <t>Clinton Drug</t>
  </si>
  <si>
    <t>Christ Community Health Services-Hickory Hill Pharmacy</t>
  </si>
  <si>
    <t>Oak Grove Pharmacy Jfk</t>
  </si>
  <si>
    <t>Gideon Pharmacy</t>
  </si>
  <si>
    <t>Docs Hometown Pharmacy</t>
  </si>
  <si>
    <t>Rose Drug Of Dardanelle</t>
  </si>
  <si>
    <t>Walgreens #7235</t>
  </si>
  <si>
    <t>Walgreens #9766</t>
  </si>
  <si>
    <t>Matte's Pharmacy Inc</t>
  </si>
  <si>
    <t>Medisav Homecare Pharmacy</t>
  </si>
  <si>
    <t>Bakers Pharmacy</t>
  </si>
  <si>
    <t>Bearden Pharmacy</t>
  </si>
  <si>
    <t>The Corner Drug Store</t>
  </si>
  <si>
    <t>Harps Pharmacy #126</t>
  </si>
  <si>
    <t>Express Rx Of Sherwood</t>
  </si>
  <si>
    <t>Econo-Med Pharmacy</t>
  </si>
  <si>
    <t>Randolph County Drug</t>
  </si>
  <si>
    <t>East End Express Pharmacy</t>
  </si>
  <si>
    <t>Getwell Rx</t>
  </si>
  <si>
    <t>Cornerstone Pharmacy Bryant</t>
  </si>
  <si>
    <t>Harrisburg Clinic Pharmacy</t>
  </si>
  <si>
    <t>Mccoy- Tygart Drug Store Inc</t>
  </si>
  <si>
    <t>Walden Drug</t>
  </si>
  <si>
    <t>Collier Drug-Har-Ber</t>
  </si>
  <si>
    <t>Cvs Pharmacy #10645</t>
  </si>
  <si>
    <t>Cornerstone Pharmacy Jacksonville</t>
  </si>
  <si>
    <t>Community Rx</t>
  </si>
  <si>
    <t>Walgreens #21551</t>
  </si>
  <si>
    <t>Stotts Family Pharmacy</t>
  </si>
  <si>
    <t>Medic Pharmacy Inc</t>
  </si>
  <si>
    <t>Smackover Pharmacy</t>
  </si>
  <si>
    <t>Walgreens #10059</t>
  </si>
  <si>
    <t>Gammels Clinic Pharmacy</t>
  </si>
  <si>
    <t>Walgreens #12417</t>
  </si>
  <si>
    <t>Highlands Oncology Group Dba Highlands P</t>
  </si>
  <si>
    <t>Cvs Pharmacy</t>
  </si>
  <si>
    <t>Family Disco Pharmacy</t>
  </si>
  <si>
    <t>Heartland Pharmacy Mountain Home</t>
  </si>
  <si>
    <t>Dumas Family Pharmacy</t>
  </si>
  <si>
    <t>Betterx</t>
  </si>
  <si>
    <t>Community Pharmacy Of Sterlington</t>
  </si>
  <si>
    <t>Walgreens #6765</t>
  </si>
  <si>
    <t>Village Health Mart</t>
  </si>
  <si>
    <t>Highlands Pharmacy</t>
  </si>
  <si>
    <t>Redfield Pharmacy</t>
  </si>
  <si>
    <t>Harps Pharmacy #134</t>
  </si>
  <si>
    <t>Cornerstone Pharmacy Jfk Llc</t>
  </si>
  <si>
    <t>Rose Drug Of Paris</t>
  </si>
  <si>
    <t>Pruett's Discount Pharmacy</t>
  </si>
  <si>
    <t>Laws Drug Store Inc</t>
  </si>
  <si>
    <t>Rogers Pharmacy</t>
  </si>
  <si>
    <t>Wilson Pharmacy</t>
  </si>
  <si>
    <t>community, A Walgreens Pharmacy</t>
  </si>
  <si>
    <t>Walnut Grove Plaza Pharmacy</t>
  </si>
  <si>
    <t>Smith Drug And Compounding Inc</t>
  </si>
  <si>
    <t>Lowery Drugmart</t>
  </si>
  <si>
    <t>Baptist Medical Towers Pharmacy</t>
  </si>
  <si>
    <t>Walgreens #10365</t>
  </si>
  <si>
    <t>Harps Pharmacy</t>
  </si>
  <si>
    <t>Hot Springs Pharmacy</t>
  </si>
  <si>
    <t>Cvs Pharmacy #</t>
  </si>
  <si>
    <t>Rvpcs Community Pharmacy</t>
  </si>
  <si>
    <t>Live Well Pharmacy</t>
  </si>
  <si>
    <t>Arcare Pharmacy 107</t>
  </si>
  <si>
    <t>Bradford Pharmacy</t>
  </si>
  <si>
    <t>Prater's Discount Pba Pharmacy</t>
  </si>
  <si>
    <t>Stone's Pharmacy Inc</t>
  </si>
  <si>
    <t>Harps Pharmacy 127</t>
  </si>
  <si>
    <t>Crawford Pharmacy</t>
  </si>
  <si>
    <t>Prescription Corner Drug</t>
  </si>
  <si>
    <t>Sams Pharmacy 10-6260</t>
  </si>
  <si>
    <t>Price Cutter Pharmacy 357</t>
  </si>
  <si>
    <t>Woodard Drug</t>
  </si>
  <si>
    <t>Mitchell's Downtown Drug Store</t>
  </si>
  <si>
    <t>Infinity Compounding Solutions</t>
  </si>
  <si>
    <t>Smith Drug And Compounding</t>
  </si>
  <si>
    <t>Walgreen Co.</t>
  </si>
  <si>
    <t>Commerce Rx Corporation</t>
  </si>
  <si>
    <t>Walgreens #9624</t>
  </si>
  <si>
    <t>Hayden Pharmacy</t>
  </si>
  <si>
    <t>Health-Wise Pharmacy</t>
  </si>
  <si>
    <t>Smith Drug And Compounding Inc.</t>
  </si>
  <si>
    <t>Fountain Lake Family Pharmacy</t>
  </si>
  <si>
    <t>National Family Pharmacy</t>
  </si>
  <si>
    <t>Walgreens #10199</t>
  </si>
  <si>
    <t>Super Sav Drug</t>
  </si>
  <si>
    <t>Health-Way Save-On Drugs</t>
  </si>
  <si>
    <t>Thilo Family Pharmacy</t>
  </si>
  <si>
    <t>Bmg Wolf River Pharmacy</t>
  </si>
  <si>
    <t>Arcare Pharmacy 05</t>
  </si>
  <si>
    <t>Sequoyah County Drug Company</t>
  </si>
  <si>
    <t>Wilson Bearden Pharmacy</t>
  </si>
  <si>
    <t>Wal-Mart Pharmacy 10-1561</t>
  </si>
  <si>
    <t>Sams Pharmacy 10-6256</t>
  </si>
  <si>
    <t>American Drug</t>
  </si>
  <si>
    <t>Wal-Mart Pharmacy 10-2997</t>
  </si>
  <si>
    <t>Deep Delta Drugs</t>
  </si>
  <si>
    <t>Kroger Pharmacy #629</t>
  </si>
  <si>
    <t>A &amp; A Pharmacy</t>
  </si>
  <si>
    <t>Southern Pharmacy Of Arkansas</t>
  </si>
  <si>
    <t>Baptist Memorial Medical Group Inc</t>
  </si>
  <si>
    <t>Getwell Of Olive Branch Llc</t>
  </si>
  <si>
    <t>Ash Flat Pharmacy</t>
  </si>
  <si>
    <t>Polk Pharmacy England</t>
  </si>
  <si>
    <t>Allcare Pharmacy</t>
  </si>
  <si>
    <t>Cvs Pharmacy # 07144</t>
  </si>
  <si>
    <t>Kroger Pharmacy #419</t>
  </si>
  <si>
    <t>Clarksville Family Pharmacy</t>
  </si>
  <si>
    <t>Poynor Drug</t>
  </si>
  <si>
    <t>Minden Family Pharmacy</t>
  </si>
  <si>
    <t>Hickory Hill Pharmacy</t>
  </si>
  <si>
    <t>Butler Drug Store Inc</t>
  </si>
  <si>
    <t>Walgreens #3412</t>
  </si>
  <si>
    <t>Walgreens #9594</t>
  </si>
  <si>
    <t>Lakeland Pharmacy</t>
  </si>
  <si>
    <t>Quick Meds Pharmacy Neosho</t>
  </si>
  <si>
    <t>Magic Mart Pharmacy Inc</t>
  </si>
  <si>
    <t>Walgreens #11345</t>
  </si>
  <si>
    <t>Arcare 15</t>
  </si>
  <si>
    <t>Thurmans Promed Phcy Morris</t>
  </si>
  <si>
    <t>Lake City Drug Llc</t>
  </si>
  <si>
    <t>Christian Family Pharmacy</t>
  </si>
  <si>
    <t>Economy Drug</t>
  </si>
  <si>
    <t>Pearce Pharmacy</t>
  </si>
  <si>
    <t>Arcare Pharmacy 12</t>
  </si>
  <si>
    <t>Medicine Man Pharmacy Springhill</t>
  </si>
  <si>
    <t>Walgreens #7718</t>
  </si>
  <si>
    <t>Tahlequah Drug Company Llc</t>
  </si>
  <si>
    <t>Cate Pharmacy Inc</t>
  </si>
  <si>
    <t>Health-Care Pharmacy</t>
  </si>
  <si>
    <t>The Pharmacy Of Pocola</t>
  </si>
  <si>
    <t>Food Giant Discount Pharmacy</t>
  </si>
  <si>
    <t>Cvs Pharmacy #10255</t>
  </si>
  <si>
    <t>Express Rx Of Cabot</t>
  </si>
  <si>
    <t>Mlh Shelby Oaks Pharmacy</t>
  </si>
  <si>
    <t>Baker Drug</t>
  </si>
  <si>
    <t>Coal Hill Community Pharmacy</t>
  </si>
  <si>
    <t>Lowery Drug Mart Ii</t>
  </si>
  <si>
    <t>The Prescription Drug Store</t>
  </si>
  <si>
    <t>Harps Pharmacy 119</t>
  </si>
  <si>
    <t>Walgreens #10897</t>
  </si>
  <si>
    <t>Remedy Drug</t>
  </si>
  <si>
    <t>Walmart Pharmacy 10-4376</t>
  </si>
  <si>
    <t>Kavanaugh Pharmacy</t>
  </si>
  <si>
    <t>Greenbrier Pharmacy</t>
  </si>
  <si>
    <t>D And D Pharmacy</t>
  </si>
  <si>
    <t>Calhoun County Pharmacy Llc</t>
  </si>
  <si>
    <t>Medic Pharmacy Of Bryant Inc</t>
  </si>
  <si>
    <t>La Grone Drug</t>
  </si>
  <si>
    <t>Walgreens #9593</t>
  </si>
  <si>
    <t>Walgreens #5260</t>
  </si>
  <si>
    <t>Tahlequah Medical Center Phcy</t>
  </si>
  <si>
    <t>V &amp; V Drug</t>
  </si>
  <si>
    <t>Medicine Shoppe</t>
  </si>
  <si>
    <t>Nashville Family Pharmacy</t>
  </si>
  <si>
    <t>Wal-Mart Pharmacy 10-2322</t>
  </si>
  <si>
    <t>Smith Drug Pllc</t>
  </si>
  <si>
    <t>Schubach Pharmacy</t>
  </si>
  <si>
    <t>Freiderica Pharmacy</t>
  </si>
  <si>
    <t>Leslie Drugs Inc</t>
  </si>
  <si>
    <t>Wynne Medical Pharmacy Of Cross County</t>
  </si>
  <si>
    <t>Harps Pharmacy #163</t>
  </si>
  <si>
    <t>Heartland Pharmacy Arkadelphia</t>
  </si>
  <si>
    <t>Arcare</t>
  </si>
  <si>
    <t>Mays Pharmacy</t>
  </si>
  <si>
    <t>Dowling Pharmacy</t>
  </si>
  <si>
    <t>Best Drug Store</t>
  </si>
  <si>
    <t>Flowers Pharmacy Llc</t>
  </si>
  <si>
    <t>Perkins Family Pharmacy</t>
  </si>
  <si>
    <t>Dille's Discount Pharmacy</t>
  </si>
  <si>
    <t>Talley Pharmacy</t>
  </si>
  <si>
    <t>Bryants Pharmacy Health Cntr</t>
  </si>
  <si>
    <t>Chapel Pharmacy</t>
  </si>
  <si>
    <t>Eudora Drug Store</t>
  </si>
  <si>
    <t>Key Drugs</t>
  </si>
  <si>
    <t>Teasley Drug</t>
  </si>
  <si>
    <t>Salem Drug Company</t>
  </si>
  <si>
    <t>Wilson Wil-Sav Pharmacy</t>
  </si>
  <si>
    <t>Miller's Pharmacy</t>
  </si>
  <si>
    <t>Cornerstone Pharmacy At Rogers Llc</t>
  </si>
  <si>
    <t>Express Rx At Otter Creek</t>
  </si>
  <si>
    <t>Harbor Town Pharmacy</t>
  </si>
  <si>
    <t>The Daily Dose Pharmacy</t>
  </si>
  <si>
    <t>Doctors Orders Pharmacy #4</t>
  </si>
  <si>
    <t>Walgreens #5535</t>
  </si>
  <si>
    <t>Greene Pharmacy</t>
  </si>
  <si>
    <t>Hometown Pharmacy</t>
  </si>
  <si>
    <t>Harrison Family Pharmacy</t>
  </si>
  <si>
    <t>Carls Hometown Pharmacy</t>
  </si>
  <si>
    <t>Arcare Pharmacy 103</t>
  </si>
  <si>
    <t>Rothrock Drug Company</t>
  </si>
  <si>
    <t>C And D Drug Store</t>
  </si>
  <si>
    <t>Mall Pharmacy</t>
  </si>
  <si>
    <t>east Ar Family Hlth Ctr, Inc</t>
  </si>
  <si>
    <t>Coleman Pharmacy Of Alma</t>
  </si>
  <si>
    <t>Walling Drug</t>
  </si>
  <si>
    <t>Kneibert-Clinic Pharmacy</t>
  </si>
  <si>
    <t>Walgreens #1952</t>
  </si>
  <si>
    <t>Minsky's Drug Store</t>
  </si>
  <si>
    <t>Cornerstone Pharmacy At Chenal</t>
  </si>
  <si>
    <t>Tunica Pharmacy</t>
  </si>
  <si>
    <t>Market Place Pharmacy</t>
  </si>
  <si>
    <t>Freedom Pharmacy</t>
  </si>
  <si>
    <t>Langley Drug</t>
  </si>
  <si>
    <t>Louie's Family Pharmacy</t>
  </si>
  <si>
    <t>Oak Grove Pharmacy</t>
  </si>
  <si>
    <t>Corner Drug Store</t>
  </si>
  <si>
    <t>Harps Pharmacy #114</t>
  </si>
  <si>
    <t>Caraway Drug</t>
  </si>
  <si>
    <t>Sallisawrx Llc</t>
  </si>
  <si>
    <t>Carti Pharmacy</t>
  </si>
  <si>
    <t>Whitley Pharmacy</t>
  </si>
  <si>
    <t>Bruner Pba Pharmacy</t>
  </si>
  <si>
    <t>Walgreens #15791</t>
  </si>
  <si>
    <t>Neighborhood Pharmacy</t>
  </si>
  <si>
    <t>Harps Pharmacy #146</t>
  </si>
  <si>
    <t>Delta Health Center, Inc</t>
  </si>
  <si>
    <t>Mike Stuart Enterprises, Inc.</t>
  </si>
  <si>
    <t>Accredo Health Group Inc</t>
  </si>
  <si>
    <t>Cvs Pharmacy #06628</t>
  </si>
  <si>
    <t>cox Drug, A Walgreens Pharmacy</t>
  </si>
  <si>
    <t>Gibsons Pharmacy Of Craighead Co Inc</t>
  </si>
  <si>
    <t>Ozarks Healthcare Specialty Pharm</t>
  </si>
  <si>
    <t>Phenix Rx Llc</t>
  </si>
  <si>
    <t>Fairfield Bay Pharmacy</t>
  </si>
  <si>
    <t>Semo Drugs Inc</t>
  </si>
  <si>
    <t>Walgreens #9880</t>
  </si>
  <si>
    <t>Jasper Pharmacy</t>
  </si>
  <si>
    <t>Teko Pharmacy</t>
  </si>
  <si>
    <t>Walgreens #10418</t>
  </si>
  <si>
    <t>Buerkle Drug Company</t>
  </si>
  <si>
    <t>Vian Pharmacy</t>
  </si>
  <si>
    <t>Hudsons Sumner Drug Store</t>
  </si>
  <si>
    <t>Christ Comm Hlth Svc Inc</t>
  </si>
  <si>
    <t>Haire Drug Center Llc</t>
  </si>
  <si>
    <t>Plaza Pharmacy</t>
  </si>
  <si>
    <t>Whitehall Pharmacy Llc</t>
  </si>
  <si>
    <t>Monette Discount Drug</t>
  </si>
  <si>
    <t>Overturf Pharmacy</t>
  </si>
  <si>
    <t>Allcare Specialty Pharmacy Llc</t>
  </si>
  <si>
    <t>Bono Family Pharmacy</t>
  </si>
  <si>
    <t>Clark Drug Store</t>
  </si>
  <si>
    <t>Walgreens #5475</t>
  </si>
  <si>
    <t>Walgreens #7283</t>
  </si>
  <si>
    <t>Horseshoe Health And Medicine</t>
  </si>
  <si>
    <t>Delta Regional Medical Center Speci</t>
  </si>
  <si>
    <t>Germantown Pharmacy</t>
  </si>
  <si>
    <t>Sam's Pharmacy 10-4808</t>
  </si>
  <si>
    <t>Brinkley Family Pharmacy</t>
  </si>
  <si>
    <t>Walgreens #3411</t>
  </si>
  <si>
    <t>Camden Drug</t>
  </si>
  <si>
    <t>Westside Family Pharmacy Inc</t>
  </si>
  <si>
    <t>Sav-On Pharmacy</t>
  </si>
  <si>
    <t>Cvs Pharmacy # 10408</t>
  </si>
  <si>
    <t>Forrest City Family Pharmacy</t>
  </si>
  <si>
    <t>Tanglewood Drug Store</t>
  </si>
  <si>
    <t>Henderson Drug Inc</t>
  </si>
  <si>
    <t>Walgreens #10715</t>
  </si>
  <si>
    <t>Waldron Drug Powered By Walgreens</t>
  </si>
  <si>
    <t>Dean's Pharmacy #3</t>
  </si>
  <si>
    <t>Martin's Pharmacy</t>
  </si>
  <si>
    <t>Bernice Pharmacy Inc</t>
  </si>
  <si>
    <t>Md Clinics</t>
  </si>
  <si>
    <t>Pharmacy Of Shannon Hills</t>
  </si>
  <si>
    <t>Walgreens #21511</t>
  </si>
  <si>
    <t>Carefirst Pharmacy And Wellness Center</t>
  </si>
  <si>
    <t>Ellison Family Pharmacy</t>
  </si>
  <si>
    <t>Doctors Orders Pharmacy 5</t>
  </si>
  <si>
    <t>Coleman Pharmacy</t>
  </si>
  <si>
    <t>Anderson's Discount Pharmacy</t>
  </si>
  <si>
    <t>Prince Drug Store Inc</t>
  </si>
  <si>
    <t>Harps Pharmacy 174</t>
  </si>
  <si>
    <t>Delta Health Center Pharmacy</t>
  </si>
  <si>
    <t>Kroger Pharmacy #582</t>
  </si>
  <si>
    <t>Walmart Pharmacy 10-6971</t>
  </si>
  <si>
    <t>Piggott Pharmacy</t>
  </si>
  <si>
    <t>Garner Family Pharmacy</t>
  </si>
  <si>
    <t>Semo Drugs Of Hayti</t>
  </si>
  <si>
    <t>North Caddo Medical Center Community Rx</t>
  </si>
  <si>
    <t>Burton Creek Pharmacy</t>
  </si>
  <si>
    <t>Dekalb Pharmacy</t>
  </si>
  <si>
    <t>Collier Drug-Farmington</t>
  </si>
  <si>
    <t>East Ar Family Hlth Ctr Phcy</t>
  </si>
  <si>
    <t>Delta Drug Of Dermott Inc</t>
  </si>
  <si>
    <t>Harps Pharmacy #115</t>
  </si>
  <si>
    <t>Cvs Pharmacy # 10539</t>
  </si>
  <si>
    <t>Walmart Pharmacy 10-4367</t>
  </si>
  <si>
    <t>Wagner Pharmacy</t>
  </si>
  <si>
    <t>Lebonheur Outpatient Pharmacy</t>
  </si>
  <si>
    <t>Cornerstone Pharmacy</t>
  </si>
  <si>
    <t>Walgreens #10170</t>
  </si>
  <si>
    <t>Walgreens #10364</t>
  </si>
  <si>
    <t>Patton Pharmacy</t>
  </si>
  <si>
    <t>Ripley Drugs Llc</t>
  </si>
  <si>
    <t>M C Drug Store</t>
  </si>
  <si>
    <t>Mitchells Medi Mart</t>
  </si>
  <si>
    <t>Mcfarlin Pharmacy Inc</t>
  </si>
  <si>
    <t>Muldrow Pharmacy</t>
  </si>
  <si>
    <t>Walgreens #12670</t>
  </si>
  <si>
    <t>Mitchell's Main Street Pharmacy</t>
  </si>
  <si>
    <t>Doctor's Orders Pharmacy</t>
  </si>
  <si>
    <t>Cornerstone Pharmacy Gentry</t>
  </si>
  <si>
    <t>Walmart Pharmacy 10-4654</t>
  </si>
  <si>
    <t>Searcy County Pharmacy Llc</t>
  </si>
  <si>
    <t>Cobbs Westside Pharmacy Inc</t>
  </si>
  <si>
    <t>Cooper Drug</t>
  </si>
  <si>
    <t>Harps Pharmacy #133</t>
  </si>
  <si>
    <t>Whit's Pharmacy</t>
  </si>
  <si>
    <t>Walgreens #5993</t>
  </si>
  <si>
    <t>Medicine Man Pharmacy</t>
  </si>
  <si>
    <t>Health Care Center Pharmacy</t>
  </si>
  <si>
    <t>Debbies Family Pharmacy</t>
  </si>
  <si>
    <t>Walgreens #3425</t>
  </si>
  <si>
    <t>Westgate Drugs Inc</t>
  </si>
  <si>
    <t>Prescription Shop</t>
  </si>
  <si>
    <t>Sam's Club Pharmacy 10-6377</t>
  </si>
  <si>
    <t>Healthy Connections Community Phama</t>
  </si>
  <si>
    <t>Community Discount Pharmacy Inc</t>
  </si>
  <si>
    <t>Gurdon Pharmacy</t>
  </si>
  <si>
    <t>Highlands Pharmacy Mtn Home</t>
  </si>
  <si>
    <t>Mitchells Park Street Pharmacy</t>
  </si>
  <si>
    <t>Super V Drugs</t>
  </si>
  <si>
    <t>Hyde Pharmacy Inc</t>
  </si>
  <si>
    <t>Peoples Pharmacy</t>
  </si>
  <si>
    <t>Mchaney Drug Pa</t>
  </si>
  <si>
    <t>Lyons Drug Store</t>
  </si>
  <si>
    <t>Lake Village Drug Store</t>
  </si>
  <si>
    <t>Long &amp; Gibson Pharmacy</t>
  </si>
  <si>
    <t>Super Drug</t>
  </si>
  <si>
    <t>Cornerstone Phcy Kennett Llc</t>
  </si>
  <si>
    <t>Express Rx On Cantrell</t>
  </si>
  <si>
    <t>Marion Family Pharmacy</t>
  </si>
  <si>
    <t>Collier Drug-Cave Springs</t>
  </si>
  <si>
    <t>Soo's Drug</t>
  </si>
  <si>
    <t>Dierks Pharmacy</t>
  </si>
  <si>
    <t>Prescription Drug Store</t>
  </si>
  <si>
    <t>Sullivan Pharmacy</t>
  </si>
  <si>
    <t>Dons Pharmacy Inc</t>
  </si>
  <si>
    <t>Melvins Discount Pharmacy</t>
  </si>
  <si>
    <t>Walgreens #10666</t>
  </si>
  <si>
    <t>Walgreens #12912</t>
  </si>
  <si>
    <t>Rolling Fork Drug Co</t>
  </si>
  <si>
    <t>Burrows Drug Store</t>
  </si>
  <si>
    <t>Wynne Apothecary</t>
  </si>
  <si>
    <t>Harps Pharmacy 176</t>
  </si>
  <si>
    <t>Rose Drug</t>
  </si>
  <si>
    <t>court Square Pharmacy, Inc</t>
  </si>
  <si>
    <t>Sav-On Drugs</t>
  </si>
  <si>
    <t>Sam Alexander Pharmacy</t>
  </si>
  <si>
    <t>Freds Pharmacy</t>
  </si>
  <si>
    <t>Methodist Germantown Opt Phcy</t>
  </si>
  <si>
    <t>Airline Drug Llc</t>
  </si>
  <si>
    <t>Simpson Pharmacy</t>
  </si>
  <si>
    <t>Wal-Mart Pharmacy 10-3599</t>
  </si>
  <si>
    <t>Sam's Club Pharmacy</t>
  </si>
  <si>
    <t>Darling Pharmacy</t>
  </si>
  <si>
    <t>The Pharmacy At Brookland</t>
  </si>
  <si>
    <t>Genesis Primecare Glenwood Phcy</t>
  </si>
  <si>
    <t>Nb Pharmacy</t>
  </si>
  <si>
    <t>Teds Pharmacy</t>
  </si>
  <si>
    <t>Cvs Pharmacy #04992</t>
  </si>
  <si>
    <t>Cornerstone Pharmacy Mansfield</t>
  </si>
  <si>
    <t>River Valley Specialty Pharmacy</t>
  </si>
  <si>
    <t>Cornerstone Pharmacy At Greersferry</t>
  </si>
  <si>
    <t>Monett Professional Pharmacy</t>
  </si>
  <si>
    <t>Coldwater Pharmacy</t>
  </si>
  <si>
    <t>Semo Drugs Of Kennett Inc</t>
  </si>
  <si>
    <t>Shelby Drug Co</t>
  </si>
  <si>
    <t>Medrelief Pharmacy</t>
  </si>
  <si>
    <t>Family First Pharmacy</t>
  </si>
  <si>
    <t>Funderburks Pharmacy Inc</t>
  </si>
  <si>
    <t>Conway Outpatient Pharmacy</t>
  </si>
  <si>
    <t>Alps Pharmacy Anderson</t>
  </si>
  <si>
    <t>Walgreens #5237</t>
  </si>
  <si>
    <t>Palace Drug</t>
  </si>
  <si>
    <t>Camps Medical Pharmacy</t>
  </si>
  <si>
    <t>City Drugs</t>
  </si>
  <si>
    <t>Costco Pharmacy</t>
  </si>
  <si>
    <t>Walmart Pharmacy 10-4579</t>
  </si>
  <si>
    <t>Robinson Family Pharmacy</t>
  </si>
  <si>
    <t>christ Community Health Services, Inc.-Orange Mound Pharmacy</t>
  </si>
  <si>
    <t>Westville Drug Company Llc</t>
  </si>
  <si>
    <t>The Pharmacy At Flippin Station</t>
  </si>
  <si>
    <t>Osborn Drugs</t>
  </si>
  <si>
    <t>Wagner's Mount Ida Pharmacy</t>
  </si>
  <si>
    <t>Walgreens #10198</t>
  </si>
  <si>
    <t>Cornerstone Pharmacy Otter Creek Llc</t>
  </si>
  <si>
    <t>Kirby Whitten Pharmacy</t>
  </si>
  <si>
    <t>Pillquest Pharmacy</t>
  </si>
  <si>
    <t>Clif's Pharmacy</t>
  </si>
  <si>
    <t>Sherills Pharmacy</t>
  </si>
  <si>
    <t>Family Pharmacy Of Neosho</t>
  </si>
  <si>
    <t>Bills Pharmacy</t>
  </si>
  <si>
    <t>Old Town Pharmacy Llc</t>
  </si>
  <si>
    <t>Allcare Express Pharmacy</t>
  </si>
  <si>
    <t>Cornerstone Pharmacy Conway</t>
  </si>
  <si>
    <t>Collier Drug-Elkins</t>
  </si>
  <si>
    <t>Vital Rx Of Tennessee Llc</t>
  </si>
  <si>
    <t>Walgreens #10586</t>
  </si>
  <si>
    <t>Cvs Pharmacy #06304</t>
  </si>
  <si>
    <t>Brian's Pharmacy</t>
  </si>
  <si>
    <t>Leland Drug Company, Inc</t>
  </si>
  <si>
    <t>Highlands Pharmacy At Parkway</t>
  </si>
  <si>
    <t>Uams Outpatient Pharmacy</t>
  </si>
  <si>
    <t>Arnold Drug Company</t>
  </si>
  <si>
    <t>Walgreens #11161</t>
  </si>
  <si>
    <t>Cvs Pharmacy # 10678</t>
  </si>
  <si>
    <t>Walmart Pharmacy 10-4375</t>
  </si>
  <si>
    <t>Live+well Pharmacy</t>
  </si>
  <si>
    <t>Drug Emporium</t>
  </si>
  <si>
    <t>Collier Drug-Willow Creek</t>
  </si>
  <si>
    <t>Midland Drug Inc</t>
  </si>
  <si>
    <t>Newtons Pharmacy</t>
  </si>
  <si>
    <t>E &amp; S Pharmacy Inc</t>
  </si>
  <si>
    <t>American Home Pharmacy</t>
  </si>
  <si>
    <t>Walgreens #12738</t>
  </si>
  <si>
    <t>Arcare Pharmacy 84</t>
  </si>
  <si>
    <t>Cvs Pharmacy # 10519</t>
  </si>
  <si>
    <t>Arlington Apothecary Inc</t>
  </si>
  <si>
    <t>Bkw Holdings</t>
  </si>
  <si>
    <t>Parker Road Speciality Pharmacy</t>
  </si>
  <si>
    <t>Rolands Drug Store</t>
  </si>
  <si>
    <t>Cornerstone Specialty Pharmacy Llc</t>
  </si>
  <si>
    <t>Northside Pharmacy</t>
  </si>
  <si>
    <t>Walgreens #21547</t>
  </si>
  <si>
    <t>Integris Prohealth Inc</t>
  </si>
  <si>
    <t>Faith Mercy &amp; Hope Pharmacy, Pllc</t>
  </si>
  <si>
    <t>Pg Pharmacy Inc.</t>
  </si>
  <si>
    <t>Walgreens #12500</t>
  </si>
  <si>
    <t>Walmart Pharmacy 10-4371</t>
  </si>
  <si>
    <t>Cherokee Hills Pharmacy</t>
  </si>
  <si>
    <t>Haire Drug Center</t>
  </si>
  <si>
    <t>Rector Downtown Drug</t>
  </si>
  <si>
    <t>Walgreens #5041</t>
  </si>
  <si>
    <t>Sterling Drug Company Inc</t>
  </si>
  <si>
    <t>Coker Hampton Drug Co</t>
  </si>
  <si>
    <t>Harps Pharmacy #308</t>
  </si>
  <si>
    <t>Walmart Pharmacy 10-4516</t>
  </si>
  <si>
    <t>Daily Dose Drugstore</t>
  </si>
  <si>
    <t>Poteau Family Pharmacy, Llc</t>
  </si>
  <si>
    <t>River Road Pharmacy</t>
  </si>
  <si>
    <t>Walgreens #5789</t>
  </si>
  <si>
    <t>Atkins Family Pharmacy</t>
  </si>
  <si>
    <t>Conway Medcare Pharmacy</t>
  </si>
  <si>
    <t>Cvs Pharmacy #10019</t>
  </si>
  <si>
    <t>Pruetts Food-Pharmacy#3</t>
  </si>
  <si>
    <t>Harps Pharmacy #391</t>
  </si>
  <si>
    <t>The Pharmacy At Desoto</t>
  </si>
  <si>
    <t>City Pharmacy</t>
  </si>
  <si>
    <t>Newark Pharmacy</t>
  </si>
  <si>
    <t>Walgreens #21500</t>
  </si>
  <si>
    <t>Greenwood Pharmacy</t>
  </si>
  <si>
    <t>Watson Pharmacy</t>
  </si>
  <si>
    <t>Rose Drug Of Russellville Inc</t>
  </si>
  <si>
    <t>S &amp; H Pharmacy</t>
  </si>
  <si>
    <t>Joe's Pharmacy Express</t>
  </si>
  <si>
    <t>Walmart Pharmacy 10-4168</t>
  </si>
  <si>
    <t>Cornerstone Pharmacy Markham</t>
  </si>
  <si>
    <t>The Local Pharm</t>
  </si>
  <si>
    <t>Medi Quik Pharmacy</t>
  </si>
  <si>
    <t>Econo Mart Pharmacy</t>
  </si>
  <si>
    <t>Austin Drugs</t>
  </si>
  <si>
    <t>Heartland Pharmacy Cabot</t>
  </si>
  <si>
    <t>Cates Pharmacy - Rodney Parham Llc</t>
  </si>
  <si>
    <t>Hudson Pharmacy</t>
  </si>
  <si>
    <t>Pruetts Food Pharmacy</t>
  </si>
  <si>
    <t>Sams Pharmacy 10-8134</t>
  </si>
  <si>
    <t>Harps Pharmacy 123</t>
  </si>
  <si>
    <t>Genuine Care Pharmacy</t>
  </si>
  <si>
    <t>Cornerstone Pharmacy Lakewood Llc</t>
  </si>
  <si>
    <t>Highland Heights Pharmacy</t>
  </si>
  <si>
    <t>Living Well Health &amp; Wellness Cente</t>
  </si>
  <si>
    <t>Pharmacy Care Of Benton, Llc</t>
  </si>
  <si>
    <t>Medical Center Pharmacy</t>
  </si>
  <si>
    <t>Mon Ami Pharmacy Llc</t>
  </si>
  <si>
    <t>Collier Drug-Dickson</t>
  </si>
  <si>
    <t>Dl Baker Drug Co</t>
  </si>
  <si>
    <t>Reasors Pharmacy</t>
  </si>
  <si>
    <t>Five Star Pharmacy, Llc</t>
  </si>
  <si>
    <t>Express Rx Of Lake Providence</t>
  </si>
  <si>
    <t>Danville Pharmacy</t>
  </si>
  <si>
    <t>Walgreens #9813</t>
  </si>
  <si>
    <t>Clinic Drug Store Inc</t>
  </si>
  <si>
    <t>Lee's City Drugs</t>
  </si>
  <si>
    <t>Kroger Pharmacy #489</t>
  </si>
  <si>
    <t>Walmart Pharmacy 10-3164</t>
  </si>
  <si>
    <t>Ocmc Pharmacy</t>
  </si>
  <si>
    <t>Chaffee Pharmacy</t>
  </si>
  <si>
    <t>Sams Pharmacy 10-8292</t>
  </si>
  <si>
    <t>Walker Brothers Drug</t>
  </si>
  <si>
    <t>Sam's Pharmacy</t>
  </si>
  <si>
    <t>Sav Mart Pharmacy</t>
  </si>
  <si>
    <t>Harps Pharmacy #394</t>
  </si>
  <si>
    <t>Walgreens #16545</t>
  </si>
  <si>
    <t>Medical Arts Pharmacy</t>
  </si>
  <si>
    <t>Morrison Clinic Pharmacy</t>
  </si>
  <si>
    <t>Walgreens #4794</t>
  </si>
  <si>
    <t>Pharmacy Express</t>
  </si>
  <si>
    <t>Powers Pharmacy</t>
  </si>
  <si>
    <t>Bartlett Prescription Shop</t>
  </si>
  <si>
    <t>Salem Pharmacy Inc.</t>
  </si>
  <si>
    <t>Sama Clinic Pharmacy Inc.</t>
  </si>
  <si>
    <t>Christ Community Health Svcs-3rd St</t>
  </si>
  <si>
    <t>Frontier Pharmacy</t>
  </si>
  <si>
    <t>East Arkansas Family Health Center Pharmacy No. 3, Llc</t>
  </si>
  <si>
    <t>Lackie Drug Store Inc</t>
  </si>
  <si>
    <t>Collom And Carney Clinic Pharmacy</t>
  </si>
  <si>
    <t>Village Pharmacy</t>
  </si>
  <si>
    <t>City Drug Of Monticello</t>
  </si>
  <si>
    <t>Dequeen Health And Wellness Pharmacy Llc</t>
  </si>
  <si>
    <t>Claiborne Pharmacy</t>
  </si>
  <si>
    <t>Brown's Main Street Pharmacy</t>
  </si>
  <si>
    <t>Arcare Pharmacy 07</t>
  </si>
  <si>
    <t>Avita Pharmacy</t>
  </si>
  <si>
    <t>East Side Discount Pharmacy</t>
  </si>
  <si>
    <t>Blanford Pharmacy</t>
  </si>
  <si>
    <t>Health Way Pharmacy</t>
  </si>
  <si>
    <t>Price Cutter Pharmacy</t>
  </si>
  <si>
    <t>Hem Pref Care Of Mem Inc</t>
  </si>
  <si>
    <t>Goodman Drug Company</t>
  </si>
  <si>
    <t>Community Care Rx</t>
  </si>
  <si>
    <t>Park West Pharmacy</t>
  </si>
  <si>
    <t>Kelly Pharmacy Inc</t>
  </si>
  <si>
    <t>Argenta Drug Company</t>
  </si>
  <si>
    <t>Cvs Pharmacy #07619</t>
  </si>
  <si>
    <t>Cavalier Pharmacy</t>
  </si>
  <si>
    <t>Gosnell Drugs</t>
  </si>
  <si>
    <t>Express Rx Of Ripley</t>
  </si>
  <si>
    <t>Quitman Drug Co</t>
  </si>
  <si>
    <t>Harps Pharmacy 124</t>
  </si>
  <si>
    <t>Icarerx Pharmacy</t>
  </si>
  <si>
    <t>Futrell Pharmacy Inc.</t>
  </si>
  <si>
    <t>Ozarks Med Center Employee Phcy</t>
  </si>
  <si>
    <t>Smith Family Pharmacy</t>
  </si>
  <si>
    <t>The Prescription Pad Pharmacy</t>
  </si>
  <si>
    <t>Cornerstone Pharmacy Main, Llc</t>
  </si>
  <si>
    <t>Roland Drug Store #2</t>
  </si>
  <si>
    <t>State Line Pharmacy</t>
  </si>
  <si>
    <t>Walgreens #2364</t>
  </si>
  <si>
    <t>Arcare Pharmacy 13</t>
  </si>
  <si>
    <t>Davidson Drug, Llc</t>
  </si>
  <si>
    <t>Winningham Pharmacy</t>
  </si>
  <si>
    <t>Methodist Hospital Op Phcy</t>
  </si>
  <si>
    <t>Langston Drug Store Inc</t>
  </si>
  <si>
    <t>Med Center Pharmacy</t>
  </si>
  <si>
    <t>Family Medical Center Phcy Inc</t>
  </si>
  <si>
    <t>Miller's Drug Store</t>
  </si>
  <si>
    <t>Family Clinic Pharmacy Llc</t>
  </si>
  <si>
    <t>Bryant Family Pharmacy</t>
  </si>
  <si>
    <t>Harris Family Pharmacy Llc</t>
  </si>
  <si>
    <t>Beebe Drug Inc</t>
  </si>
  <si>
    <t>Achor Family Pharmacy</t>
  </si>
  <si>
    <t>Aweverett, Inc</t>
  </si>
  <si>
    <t>Wilkare Pharmacy Of Doniphan</t>
  </si>
  <si>
    <t>Deans Pharmacy</t>
  </si>
  <si>
    <t>Walgreens #7234</t>
  </si>
  <si>
    <t>City Drug Company Inc</t>
  </si>
  <si>
    <t>Walgreens #4017</t>
  </si>
  <si>
    <t>Weiner Pharmacy</t>
  </si>
  <si>
    <t>Wal-Mart Pharmacy 100181</t>
  </si>
  <si>
    <t>The Rx Shoppe</t>
  </si>
  <si>
    <t>Sullins Drugs</t>
  </si>
  <si>
    <t>Walgreens #11933</t>
  </si>
  <si>
    <t>Amity Road Pharmacy</t>
  </si>
  <si>
    <t>Harps Pharmacy #202</t>
  </si>
  <si>
    <t>Walmart Pharmacy 10-3654</t>
  </si>
  <si>
    <t>Hamburg Pharmacy</t>
  </si>
  <si>
    <t>Sheridan Family Pharmacy</t>
  </si>
  <si>
    <t>Journey 2 Health Rx Llc</t>
  </si>
  <si>
    <t>Sater Pharmacy</t>
  </si>
  <si>
    <t>Vaughn Prescription</t>
  </si>
  <si>
    <t>Boatwright Drug Co</t>
  </si>
  <si>
    <t>Oak Park Pharmacy</t>
  </si>
  <si>
    <t>Cvs Pharmacy #10430</t>
  </si>
  <si>
    <t>Soo's West End Pharmacy</t>
  </si>
  <si>
    <t>Reedhutchins Pharmacy</t>
  </si>
  <si>
    <t>Woodlands Pharmacy</t>
  </si>
  <si>
    <t>Clarks Family Pharmacy</t>
  </si>
  <si>
    <t>Quality Drug Store</t>
  </si>
  <si>
    <t>Smiths Country Club Drug Store Inc</t>
  </si>
  <si>
    <t>Stanley Pharmacy</t>
  </si>
  <si>
    <t>Hilltop Market Pharmacy</t>
  </si>
  <si>
    <t>Munford Pharmacy</t>
  </si>
  <si>
    <t>Thepharmacy At Wellington</t>
  </si>
  <si>
    <t>Jrmc Retail Pharmacy</t>
  </si>
  <si>
    <t>Lee County Cooperative Clinic</t>
  </si>
  <si>
    <t>Landmark Pharmacy Llc</t>
  </si>
  <si>
    <t>Delta Discount Drugs</t>
  </si>
  <si>
    <t>Peoples Drug And Gift</t>
  </si>
  <si>
    <t>Harris Pharmacy</t>
  </si>
  <si>
    <t>Anovorx Group Llc</t>
  </si>
  <si>
    <t>Walgreens #5730</t>
  </si>
  <si>
    <t>Drug Room Inc</t>
  </si>
  <si>
    <t>D &amp; D Pharmacy</t>
  </si>
  <si>
    <t>Medisav Homecare</t>
  </si>
  <si>
    <t>Harps Pharmacy 135</t>
  </si>
  <si>
    <t>Meadors Pharmacy</t>
  </si>
  <si>
    <t>Kansas Pharmacy</t>
  </si>
  <si>
    <t>Harps Pharmacy #111</t>
  </si>
  <si>
    <t>Power Pharmacy</t>
  </si>
  <si>
    <t>Wal-Mart Pharmacy 10-1248</t>
  </si>
  <si>
    <t>Reasor's Pharmacy</t>
  </si>
  <si>
    <t>Davis Drug Store Inc</t>
  </si>
  <si>
    <t>Byhalia Drug Company, Llc</t>
  </si>
  <si>
    <t>North Sunflower Med Ctr Phcy</t>
  </si>
  <si>
    <t>Walmart Pharmacy 10-2686</t>
  </si>
  <si>
    <t>Walgreens #7847</t>
  </si>
  <si>
    <t>Deans Pharmacy #2</t>
  </si>
  <si>
    <t>Lowell Pharmacy</t>
  </si>
  <si>
    <t>Berry Drug Of Dardanelle</t>
  </si>
  <si>
    <t>Harps Pharmacy #144</t>
  </si>
  <si>
    <t>Harris Drug</t>
  </si>
  <si>
    <t>James &amp; Wilks Pharmacy</t>
  </si>
  <si>
    <t>Rhea Drugstore Inc</t>
  </si>
  <si>
    <t>Whisenhunts City Pharmacy</t>
  </si>
  <si>
    <t>Christ Comm Health Services Inc</t>
  </si>
  <si>
    <t>Walgreens #11988</t>
  </si>
  <si>
    <t>ike's, A Walgreens Pharmacy</t>
  </si>
  <si>
    <t>Mike's Pharmacy</t>
  </si>
  <si>
    <t>Wood Springs Pharmacy</t>
  </si>
  <si>
    <t>Walgreens #6959</t>
  </si>
  <si>
    <t>Fred's Pharmacy</t>
  </si>
  <si>
    <t>Phils Eastside Pharmacy</t>
  </si>
  <si>
    <t>Village Health Mart Drug</t>
  </si>
  <si>
    <t>Funderburk's Pharmacy</t>
  </si>
  <si>
    <t>Hometown Drug Company</t>
  </si>
  <si>
    <t>Cvs Pharmacy #10409</t>
  </si>
  <si>
    <t>Clinic Pharmacy</t>
  </si>
  <si>
    <t>Johnny's Hometown Pharmacy</t>
  </si>
  <si>
    <t>Palestine Family Pharmacy</t>
  </si>
  <si>
    <t>Mckenney Pharmacy</t>
  </si>
  <si>
    <t>The Medicine Cabinet</t>
  </si>
  <si>
    <t>Wal-Mart Pharmacy 10-5196</t>
  </si>
  <si>
    <t>Hunters Pharmacy</t>
  </si>
  <si>
    <t>Arch Street Pharmacy</t>
  </si>
  <si>
    <t>Palace Drug Of Salem</t>
  </si>
  <si>
    <t>East Arkansas Family Health Center</t>
  </si>
  <si>
    <t>Cyf Pharmacy</t>
  </si>
  <si>
    <t>Damascus Drug</t>
  </si>
  <si>
    <t>Mission Filled Drug Company</t>
  </si>
  <si>
    <t>Ozark Pharmacy</t>
  </si>
  <si>
    <t>Scott Family Pharmacy Llc</t>
  </si>
  <si>
    <t>Family Care Pharmacy</t>
  </si>
  <si>
    <t>Medi-Quik Pharmacy</t>
  </si>
  <si>
    <t>Walgreens #12418</t>
  </si>
  <si>
    <t>Reliant Healthcare</t>
  </si>
  <si>
    <t>Arcare Pharmacy 09</t>
  </si>
  <si>
    <t>Beard Drug Company</t>
  </si>
  <si>
    <t>Johnson Pharmacy</t>
  </si>
  <si>
    <t>Medi Quik Pharmacy Inc</t>
  </si>
  <si>
    <t>restore Rx, Inc</t>
  </si>
  <si>
    <t>Malden Phcy &amp; Home Med Equip</t>
  </si>
  <si>
    <t>Harps Pharmacy #156</t>
  </si>
  <si>
    <t>Portland Drug</t>
  </si>
  <si>
    <t>Rison Pharmacy</t>
  </si>
  <si>
    <t>Alton Drug Store</t>
  </si>
  <si>
    <t>Bucks Pharmacy</t>
  </si>
  <si>
    <t>Quess Pharmacy</t>
  </si>
  <si>
    <t>Miller Principle Management, Llc</t>
  </si>
  <si>
    <t>Walgreens #2774</t>
  </si>
  <si>
    <t>Sams Pharmacy 10-8266</t>
  </si>
  <si>
    <t>Harps Pharmacy #113</t>
  </si>
  <si>
    <t>Gary's Pharmacy</t>
  </si>
  <si>
    <t>Lepanto Discount Drugs</t>
  </si>
  <si>
    <t>Walgreens #11781</t>
  </si>
  <si>
    <t>Bradford Family Pharmacy</t>
  </si>
  <si>
    <t>Medic Sav - On Drug</t>
  </si>
  <si>
    <t>Idabel Express Pharmacy</t>
  </si>
  <si>
    <t>Wal-Mart Pharmacy 10-5122</t>
  </si>
  <si>
    <t>Harps Pharmacy 177</t>
  </si>
  <si>
    <t>Tommys Rexall Drug Company</t>
  </si>
  <si>
    <t>Walgreens #11987</t>
  </si>
  <si>
    <t>Rx Shoppe</t>
  </si>
  <si>
    <t>Charlotte's Apothecary</t>
  </si>
  <si>
    <t>Walmart Pharmacy 10-6876</t>
  </si>
  <si>
    <t>Imboden Medical Pharmacy</t>
  </si>
  <si>
    <t>Kilgore Pharmacy Llc</t>
  </si>
  <si>
    <t>Walgreens #7284</t>
  </si>
  <si>
    <t>Walgreens #9743</t>
  </si>
  <si>
    <t>Walgreens #10240</t>
  </si>
  <si>
    <t>Polk Pharmacy</t>
  </si>
  <si>
    <t>Hector Pharmacy</t>
  </si>
  <si>
    <t>Stanley Pharmacy Compounding Center</t>
  </si>
  <si>
    <t>Walmart Pharmacy 10-6975</t>
  </si>
  <si>
    <t>Walmart Pharmacy 10-6943</t>
  </si>
  <si>
    <t>Greystone Rx</t>
  </si>
  <si>
    <t>Rose Pharmacy</t>
  </si>
  <si>
    <t>Hawkins Lakeside Pharmacy</t>
  </si>
  <si>
    <t>Mulherin Family Pharmacy</t>
  </si>
  <si>
    <t>Doctor's Orders Pharmacy #3</t>
  </si>
  <si>
    <t>Morrisons Pharmacy</t>
  </si>
  <si>
    <t>First Pharmacy Services Of Park Ave</t>
  </si>
  <si>
    <t>Pottsville Pharmacy</t>
  </si>
  <si>
    <t>Walmart Pharmacy 10-6953</t>
  </si>
  <si>
    <t>Pharmacy Specialties Group ( Psg )</t>
  </si>
  <si>
    <t>Caldwell Discount Drug Co</t>
  </si>
  <si>
    <t>Parkland Health Center- Hospital</t>
  </si>
  <si>
    <t>Hillcrest Hospital - Claremore</t>
  </si>
  <si>
    <t>Wk Bossier Health Center</t>
  </si>
  <si>
    <t>Ash Grove Health Care Facility</t>
  </si>
  <si>
    <t>Hillcrest Hospital South</t>
  </si>
  <si>
    <t>Hillcrest Hospital Claremore</t>
  </si>
  <si>
    <t>Baxter Regional Medical Center Professional Fees</t>
  </si>
  <si>
    <t>Merit Health Central</t>
  </si>
  <si>
    <t>Central Mississippi Medical Center</t>
  </si>
  <si>
    <t>Lester E Cox Medical Centers</t>
  </si>
  <si>
    <t>Christus Mother Francis Hospital - Sulph</t>
  </si>
  <si>
    <t>Southwest Arkansas Regional Medical Center</t>
  </si>
  <si>
    <t>Baptist Health Medical Center Lr</t>
  </si>
  <si>
    <t>Mercy Hospital Sprin</t>
  </si>
  <si>
    <t>Provider Group, Surgical Hospital Jonesboro-Hcfa Claims</t>
  </si>
  <si>
    <t>Baptist Memorial Health - North Mississippi</t>
  </si>
  <si>
    <t>Haywood Park Community Hospital</t>
  </si>
  <si>
    <t>Murray-Calloway County Public Hospital Corporation</t>
  </si>
  <si>
    <t>Paris Regional Medical Center</t>
  </si>
  <si>
    <t>Drew Memorial Hospital</t>
  </si>
  <si>
    <t>Louisiana State University Health Sciences Center Shreveport</t>
  </si>
  <si>
    <t>Magnolia Regional Health Center</t>
  </si>
  <si>
    <t>Cox Health</t>
  </si>
  <si>
    <t>Washington Regional Medical Center</t>
  </si>
  <si>
    <t>Jackson Madison County General Hospital</t>
  </si>
  <si>
    <t>Cox Medical Ctr Branson &amp; Related Clinic</t>
  </si>
  <si>
    <t>Sih Memorial Hospital Of Carbondale</t>
  </si>
  <si>
    <t>Medical Park Podiatry Clinic</t>
  </si>
  <si>
    <t>Saint Francis Hospital Muskogee, Inc.</t>
  </si>
  <si>
    <t>Integris Miami Hospital</t>
  </si>
  <si>
    <t>Baptist Rehabilitation-Union City</t>
  </si>
  <si>
    <t>First In Pediatrics Rhc</t>
  </si>
  <si>
    <t>Willis Knighton South Hospital</t>
  </si>
  <si>
    <t>Johnson Regional Medical Ctr</t>
  </si>
  <si>
    <t>Caldwell Memorial Hospital</t>
  </si>
  <si>
    <t>University Of Mississippi Medical Center</t>
  </si>
  <si>
    <t>Saint Francis Ambulatory Center</t>
  </si>
  <si>
    <t>St. John Owasso</t>
  </si>
  <si>
    <t>St John Medical Center</t>
  </si>
  <si>
    <t>Oklahoma State University Medical Center</t>
  </si>
  <si>
    <t>Titus Regional Medical Center</t>
  </si>
  <si>
    <t>Van Buren Hma Dba Summit Medical Center</t>
  </si>
  <si>
    <t>Coxhealth</t>
  </si>
  <si>
    <t>Merit Health Madison</t>
  </si>
  <si>
    <t>Baptist Memorial Hospital - Desoto</t>
  </si>
  <si>
    <t>Winn Parish Medical Center</t>
  </si>
  <si>
    <t>Bailey Medical Center</t>
  </si>
  <si>
    <t>Crossgates River Oaks Hospital</t>
  </si>
  <si>
    <t>Jane Phillips Memorial Medical Center, Inc.</t>
  </si>
  <si>
    <t>University Health Conway</t>
  </si>
  <si>
    <t>Merit Health River Region</t>
  </si>
  <si>
    <t>Northern Louisiana Medical Center</t>
  </si>
  <si>
    <t>Henderson County Community Hospital</t>
  </si>
  <si>
    <t>Richardson Medical Center</t>
  </si>
  <si>
    <t>Siloam Springs Regional Hospital</t>
  </si>
  <si>
    <t>Freeman Hospital - West Campus</t>
  </si>
  <si>
    <t>Northwest Mississippi Regional Medical Center</t>
  </si>
  <si>
    <t>Volunteer Community Hospital</t>
  </si>
  <si>
    <t>North Arkansas Regional Med Center</t>
  </si>
  <si>
    <t>Wk Pierremont Health Center</t>
  </si>
  <si>
    <t>Christus Good Shepherd Medical Center</t>
  </si>
  <si>
    <t>Drew County Memorial Hospital</t>
  </si>
  <si>
    <t>Monroe Mri Centers</t>
  </si>
  <si>
    <t>Willis Knighton Medical Center</t>
  </si>
  <si>
    <t>Citizens Medical Center</t>
  </si>
  <si>
    <t>St. Dominic-Jackson Memorial Hospital</t>
  </si>
  <si>
    <t>Surgical Hospital Jonesboro-Pain Management</t>
  </si>
  <si>
    <t>Stuttgart Regional Medical Center</t>
  </si>
  <si>
    <t>Lourdes Hospital</t>
  </si>
  <si>
    <t>Baptist Memorial Hospital - Tipton</t>
  </si>
  <si>
    <t>Mercy Hospital Rogers</t>
  </si>
  <si>
    <t>Mcalester Regional Health Center</t>
  </si>
  <si>
    <t>Grenada Lake Medical Center</t>
  </si>
  <si>
    <t>Uthealth Henderson</t>
  </si>
  <si>
    <t>Central Ms Med Ekg</t>
  </si>
  <si>
    <t>Texas County Memorial Hospital</t>
  </si>
  <si>
    <t>Richland Hospital Service District #1-B</t>
  </si>
  <si>
    <t>Saint Francis Hospital South, Llc</t>
  </si>
  <si>
    <t>North Mississippi Medical Center</t>
  </si>
  <si>
    <t>Saint Francis Hospital Muskogee</t>
  </si>
  <si>
    <t>Mercy Hospital Southeast</t>
  </si>
  <si>
    <t>Wagoner Community Ho</t>
  </si>
  <si>
    <t>St Bernards Hospital Inc</t>
  </si>
  <si>
    <t>Baptist Memorial Hospital-Booneville</t>
  </si>
  <si>
    <t>Merit Health River Oaks</t>
  </si>
  <si>
    <t>Uthealth Tyler</t>
  </si>
  <si>
    <t>Conway Regional Medical Center Emergency Physicians Group</t>
  </si>
  <si>
    <t>Saint Francis Hospital Inc.</t>
  </si>
  <si>
    <t>Ut Health North Campus Tyler</t>
  </si>
  <si>
    <t>Christus Cardiology</t>
  </si>
  <si>
    <t>Ochsner Lsu Health Shreveport</t>
  </si>
  <si>
    <t>Pemiscot County Memorial Hospital</t>
  </si>
  <si>
    <t>Baptist Memorial Hospital - Crittenden</t>
  </si>
  <si>
    <t>Drew Memorial Hospital, Inc</t>
  </si>
  <si>
    <t>Mercy Hospital Lebanon</t>
  </si>
  <si>
    <t>Richland Hospital Service Distict #1-B</t>
  </si>
  <si>
    <t>Bolivar Medical Center</t>
  </si>
  <si>
    <t>Saint Francis Outpatient Center Imaging Poplar Bluff</t>
  </si>
  <si>
    <t>Desoto Regional Health System</t>
  </si>
  <si>
    <t>Integris Grove Hospital</t>
  </si>
  <si>
    <t>Washington Regional Medical System - Anes.</t>
  </si>
  <si>
    <t>Longview Regional Medical Center</t>
  </si>
  <si>
    <t>University Hospital Of Arkansas</t>
  </si>
  <si>
    <t>Glenwood Regional Medical Center</t>
  </si>
  <si>
    <t>Drew Memorial Hospital Radiology Physicians</t>
  </si>
  <si>
    <t>Henry County Medical Center</t>
  </si>
  <si>
    <t>Conway Reg Med Ctr Inc</t>
  </si>
  <si>
    <t>Richland Parish Hospital Service District No 1-B</t>
  </si>
  <si>
    <t>St. John Broken Arrow</t>
  </si>
  <si>
    <t>Ouachita County Medical Services</t>
  </si>
  <si>
    <t>Mississippi Baptist Medical Center</t>
  </si>
  <si>
    <t>The University Of Mississippi Medical Center</t>
  </si>
  <si>
    <t>Hsa Glenwood, Llc</t>
  </si>
  <si>
    <t>Ozarks Medical Center</t>
  </si>
  <si>
    <t>Methodist Healthcare Memphis Hospital</t>
  </si>
  <si>
    <t>University Of Mississippi Center Grenada</t>
  </si>
  <si>
    <t>Willis-Knighton Medical Center</t>
  </si>
  <si>
    <t>Mcalester Regional Health Center Authority</t>
  </si>
  <si>
    <t>E.A.Conway Medical Staff Group</t>
  </si>
  <si>
    <t>Uams Medical Center</t>
  </si>
  <si>
    <t>Labette County Medical Center Inc</t>
  </si>
  <si>
    <t>Greenwood Leflore Hospital</t>
  </si>
  <si>
    <t>Yalobusha General Hospital</t>
  </si>
  <si>
    <t>Oklahoma State University Medical Trust</t>
  </si>
  <si>
    <t>Great River Physician Services</t>
  </si>
  <si>
    <t>Baptist Health</t>
  </si>
  <si>
    <t>St. John Medical Center</t>
  </si>
  <si>
    <t>Hardin County General Hospital</t>
  </si>
  <si>
    <t>St. Mary-Rogers Memorial Hospital</t>
  </si>
  <si>
    <t>St Vincent Medical Center Sherwood</t>
  </si>
  <si>
    <t>Medical Specialists Of Southeast Missouri, Pc</t>
  </si>
  <si>
    <t>Hillcrest Medical Center</t>
  </si>
  <si>
    <t>Natchitoches Regional Medical Center</t>
  </si>
  <si>
    <t>Northeastern Health System Sequoyah</t>
  </si>
  <si>
    <t>Memorial Hospital Of Carbondale</t>
  </si>
  <si>
    <t>Saint Francis Hospital Inc</t>
  </si>
  <si>
    <t>Natchitoches Parish Hospital Service District</t>
  </si>
  <si>
    <t>Christus Mother Frances Hospital- South Tyler</t>
  </si>
  <si>
    <t>Baptist Mem Hospital Desoto</t>
  </si>
  <si>
    <t>Desoto Hospital Association</t>
  </si>
  <si>
    <t>Saline County Medical Center</t>
  </si>
  <si>
    <t>Mercy Hospital Hot Springs</t>
  </si>
  <si>
    <t>Good Shepherd Medical Center</t>
  </si>
  <si>
    <t>Northwest Medical Center Willow Creek Womens Hospi</t>
  </si>
  <si>
    <t>Hardin City General Hospital</t>
  </si>
  <si>
    <t>Milan General Hospital</t>
  </si>
  <si>
    <t>Mercy Hospital Joplin</t>
  </si>
  <si>
    <t>Saint Francis Hospital Vinita, Inc.</t>
  </si>
  <si>
    <t>Ameris Of Arkansas, Llc</t>
  </si>
  <si>
    <t>Jefferson Regional Med Ctr</t>
  </si>
  <si>
    <t>Baptist Home Care &amp; Hospice-Huntingdon</t>
  </si>
  <si>
    <t>Henryetta Medical Center</t>
  </si>
  <si>
    <t>Murray Calloway County Hospital</t>
  </si>
  <si>
    <t>State Of Mississippi-University Of Mississippi Medical Center</t>
  </si>
  <si>
    <t>Haywood County Community Hospital</t>
  </si>
  <si>
    <t>Baptist Health Paducah</t>
  </si>
  <si>
    <t>Mississippi Baptist Medical Center, Inc.</t>
  </si>
  <si>
    <t>Baptist Health Medical Center - Drew County</t>
  </si>
  <si>
    <t>Delta Health System Coahoma Clarksdale Medical Center</t>
  </si>
  <si>
    <t>Cox Outpatient Therapy Services</t>
  </si>
  <si>
    <t>Ahs Pryor Hospital, Llc</t>
  </si>
  <si>
    <t>Baptist Memorial Hospital-Union County</t>
  </si>
  <si>
    <t>Freeman-Oak Hill Health System</t>
  </si>
  <si>
    <t>*nrdz* Texas County Memorial Hospital</t>
  </si>
  <si>
    <t>University Of Miss Medical Center</t>
  </si>
  <si>
    <t>White River Med.Physcian - Pain Mgmt.</t>
  </si>
  <si>
    <t>Lasalle General Hospital</t>
  </si>
  <si>
    <t>Southeast Health Center Of Stoddard County Llc</t>
  </si>
  <si>
    <t>Southeast Missouri Hospital</t>
  </si>
  <si>
    <t>Ascension Via Christi Hospital Pittsburgh, Inc.</t>
  </si>
  <si>
    <t>Claiborne Memorial Medical Center</t>
  </si>
  <si>
    <t>Missouri Delta Medical Center</t>
  </si>
  <si>
    <t>Saint Francis Medical Center</t>
  </si>
  <si>
    <t>Leo N Levi Memorial Hospital</t>
  </si>
  <si>
    <t>Mena Regional Health System</t>
  </si>
  <si>
    <t>Freeman Urgent Care</t>
  </si>
  <si>
    <t>Siloam Springs Memorial Hospital</t>
  </si>
  <si>
    <t>Baptist Memorial Hospital-North Mississippi</t>
  </si>
  <si>
    <t>Creek Nation Hospital &amp; Clinics</t>
  </si>
  <si>
    <t>St Francis Bartlett</t>
  </si>
  <si>
    <t>Methodist Olive Branch Hospital</t>
  </si>
  <si>
    <t>Cardiology And Medicine Clinic</t>
  </si>
  <si>
    <t>Methodist Healthcare</t>
  </si>
  <si>
    <t>St Bernards Outpatient Rehab Clinic</t>
  </si>
  <si>
    <t>St Francis Hospital</t>
  </si>
  <si>
    <t>Bmh Oxford Emergency Physicians</t>
  </si>
  <si>
    <t>Louisiana State University Health Sciences Center</t>
  </si>
  <si>
    <t>Mercy St John's</t>
  </si>
  <si>
    <t>Baxter County Regional Hospital, Inc</t>
  </si>
  <si>
    <t>Webster Health Services</t>
  </si>
  <si>
    <t>St. Jude Children's Hospital</t>
  </si>
  <si>
    <t>Unity Health - White County Medical Center South - Psych Unit</t>
  </si>
  <si>
    <t>St Vincent Heart Clinic Arkansas</t>
  </si>
  <si>
    <t>Skaggs Urgent Care Walk In Clinic</t>
  </si>
  <si>
    <t>Arkansas Children's Northwest Lab</t>
  </si>
  <si>
    <t>Baptist Memorial Hospital Physicians</t>
  </si>
  <si>
    <t>White River Medical Center Rehab</t>
  </si>
  <si>
    <t>Childrens University Med Group Physicians(Ar)</t>
  </si>
  <si>
    <t>Chi St Vincent Hot Springs Rehab</t>
  </si>
  <si>
    <t>Mercy Hospice</t>
  </si>
  <si>
    <t>Baptist Health Extended Care Hospital</t>
  </si>
  <si>
    <t>Medical Ctr Of S Arkansas</t>
  </si>
  <si>
    <t>Arkansas Methodist Hospital Rehab Unit</t>
  </si>
  <si>
    <t>Arkansas Heart Hospital Clinic</t>
  </si>
  <si>
    <t>Ach Physicians Billing Group</t>
  </si>
  <si>
    <t>Unity Health - White County Medical Center</t>
  </si>
  <si>
    <t>Leo N. Levi Memorial Hospital (Psychiatric)</t>
  </si>
  <si>
    <t>John Ed Chambers Memorial Hospital</t>
  </si>
  <si>
    <t>Arkansas Heart Hospital Encore</t>
  </si>
  <si>
    <t>Bradley County Medical Center Skilled Nursing Unit</t>
  </si>
  <si>
    <t>Orthopaedic Spine Center Physical Therapy</t>
  </si>
  <si>
    <t>Bradley County Medical Center  Hcfa</t>
  </si>
  <si>
    <t>Mercy Hospital Berryville</t>
  </si>
  <si>
    <t>Five Rivers Medical Center</t>
  </si>
  <si>
    <t>Baptist Health Medical Center Heber Springs</t>
  </si>
  <si>
    <t>Narmc General &amp; Specialty Surgery</t>
  </si>
  <si>
    <t>Baptist Health Medical Ctr-Hot Spring Ct</t>
  </si>
  <si>
    <t>Booneville Community Hospital</t>
  </si>
  <si>
    <t>Christus St Michael Health Care</t>
  </si>
  <si>
    <t>Homer Medical Clinic</t>
  </si>
  <si>
    <t>Mercy Hospital Ozark</t>
  </si>
  <si>
    <t>Southeast Health Ctr-Stoddard Cnty</t>
  </si>
  <si>
    <t>Eastern Oklahoma Medical Center</t>
  </si>
  <si>
    <t>St Jude Children's Research Hospital Infusion</t>
  </si>
  <si>
    <t>Ut Methodist Physicians Llc</t>
  </si>
  <si>
    <t>Pediatrix Medical Group Of Tennessee, Pc</t>
  </si>
  <si>
    <t>Unity Health Newport</t>
  </si>
  <si>
    <t>Southeast Missouri Hospital Physicians Llc, None</t>
  </si>
  <si>
    <t>Poplar Bluff Hma Phy</t>
  </si>
  <si>
    <t>Baptist Health Servi</t>
  </si>
  <si>
    <t>West Tennessee Bone</t>
  </si>
  <si>
    <t>Izard Regional Hospital Llc</t>
  </si>
  <si>
    <t>Nw Benton County Physician Services</t>
  </si>
  <si>
    <t>Baptist Minor Medical Center (Urgent Care)</t>
  </si>
  <si>
    <t>St Vincent Morrilton</t>
  </si>
  <si>
    <t>Mercy Clinic Fort Smith Communities - Multi-Specialty</t>
  </si>
  <si>
    <t>Dewitt Hospital &amp; Nursing Home Inc</t>
  </si>
  <si>
    <t>Hot Springs Rad Services</t>
  </si>
  <si>
    <t>St Vincent Breast Center</t>
  </si>
  <si>
    <t>Midsouth Imaging And Therapeutics Pa</t>
  </si>
  <si>
    <t>Open Mri Of Hot Springs (Touchstone Imaging Of H.S.)</t>
  </si>
  <si>
    <t>Millenium Mri</t>
  </si>
  <si>
    <t>Picture Perfect</t>
  </si>
  <si>
    <t>Radiology Associates</t>
  </si>
  <si>
    <t>womens Diagnostic Group, Pllc</t>
  </si>
  <si>
    <t>Radiology Services Pa</t>
  </si>
  <si>
    <t>north Little Rock Pet Associates, Llc</t>
  </si>
  <si>
    <t>The Sonogram Specialist, Llc</t>
  </si>
  <si>
    <t>Modern Vascular Of Southaven Llc</t>
  </si>
  <si>
    <t>North Mississippi Radiology Services Llc</t>
  </si>
  <si>
    <t>Independent Radiology Associates</t>
  </si>
  <si>
    <t>telerhythmics,  L.L.C.</t>
  </si>
  <si>
    <t>associated Radiologists, Ltd.</t>
  </si>
  <si>
    <t>Ut Regional One Physicians Inc, None</t>
  </si>
  <si>
    <t>Arkansas Specialty Mri Center</t>
  </si>
  <si>
    <t>Delta Health System</t>
  </si>
  <si>
    <t>Us Gynecologic Oncology Associates Pllc</t>
  </si>
  <si>
    <t>Radiology Associates Pa</t>
  </si>
  <si>
    <t>Baptist Health Imaging Ctr - Saline</t>
  </si>
  <si>
    <t>Chenal Mri Llc</t>
  </si>
  <si>
    <t>St. Bernard's Pet Center</t>
  </si>
  <si>
    <t>Baton Rouge Radiology Group</t>
  </si>
  <si>
    <t>West Clinic Pc</t>
  </si>
  <si>
    <t>Wilson Interventional Cl</t>
  </si>
  <si>
    <t>Semmes-Murphey Clinic Mri</t>
  </si>
  <si>
    <t>Arkansas Spine And Pain Clinic</t>
  </si>
  <si>
    <t>Park Ave Radiology Assoc</t>
  </si>
  <si>
    <t>Sark Opl</t>
  </si>
  <si>
    <t>Saint Francis Outpatient Clinic</t>
  </si>
  <si>
    <t>North Arkansas Radiology Associates</t>
  </si>
  <si>
    <t>arkansas Specialty Radiology, Pllc</t>
  </si>
  <si>
    <t>memphis Radiological, P.C.</t>
  </si>
  <si>
    <t>Diagnostic Ultrasound</t>
  </si>
  <si>
    <t>Reeves Memorial Medical Center Rhc</t>
  </si>
  <si>
    <t>Central Arkansas Radiation Therapy Institute</t>
  </si>
  <si>
    <t>Texas Digestive Disease Consultants</t>
  </si>
  <si>
    <t>Washington Regional Senior Clinic</t>
  </si>
  <si>
    <t>Radiologist Of Russellvl</t>
  </si>
  <si>
    <t>radiology Associates Of Oxford, P.A.</t>
  </si>
  <si>
    <t>Bh-Uams Oncology Services, Llc</t>
  </si>
  <si>
    <t>Radiologists P.A.</t>
  </si>
  <si>
    <t>Ut Medical Grp -Anesthesia</t>
  </si>
  <si>
    <t>Regional One Health Cancer Center A West Cancer Center And Resear</t>
  </si>
  <si>
    <t>Medical Associates Of Nw Arkansas</t>
  </si>
  <si>
    <t>Mercy Clinic Convenient Care Rolla</t>
  </si>
  <si>
    <t>Conway Vein And Vascular, Llc Dba Conway Pet</t>
  </si>
  <si>
    <t>carti Oncology Solutions, Llc</t>
  </si>
  <si>
    <t>Pain Treatment Cente</t>
  </si>
  <si>
    <t>Vascular Access Center Of Bolivar C</t>
  </si>
  <si>
    <t>aaron J Wallace, Md</t>
  </si>
  <si>
    <t>Harrison Family Practice Clinic - Washington Regional</t>
  </si>
  <si>
    <t>Red River Consultant</t>
  </si>
  <si>
    <t>West Tennessee Imaging</t>
  </si>
  <si>
    <t>B &amp; N Ct Imaging Llc</t>
  </si>
  <si>
    <t>Radiology Consultants</t>
  </si>
  <si>
    <t>arkansas Specialty Care Center, P.A.</t>
  </si>
  <si>
    <t>Pinnacle Radiology Pllc</t>
  </si>
  <si>
    <t>Nephrology Associates Pa</t>
  </si>
  <si>
    <t>Radiology Consultants  Of Nw Arkansas</t>
  </si>
  <si>
    <t>Eaglecrest Recovery</t>
  </si>
  <si>
    <t>River Valley Medical Center</t>
  </si>
  <si>
    <t>The Haven Of North Little Rock</t>
  </si>
  <si>
    <t>Washington Regional Medical Ctr</t>
  </si>
  <si>
    <t>Freedom House</t>
  </si>
  <si>
    <t>Parkwood Olive Branch Iop Office</t>
  </si>
  <si>
    <t>Woodridge Northeast Llc</t>
  </si>
  <si>
    <t>Oakridge Behavioral Center</t>
  </si>
  <si>
    <t>western Arkansas Counseling &amp; Guidance Center, Inc. - Frankl</t>
  </si>
  <si>
    <t>Woodridge Behavioral Care Of Forrest City</t>
  </si>
  <si>
    <t>Healthsouth Rehabilitation Hospital</t>
  </si>
  <si>
    <t>Midsouth Health Systems *hospital*</t>
  </si>
  <si>
    <t>Serenity Park Operations Llc</t>
  </si>
  <si>
    <t>Arkansas State Hospital Lab</t>
  </si>
  <si>
    <t>Western Arkansas Counseling And Guidance Center</t>
  </si>
  <si>
    <t>Case Management Inc</t>
  </si>
  <si>
    <t>Methodist Children's Home</t>
  </si>
  <si>
    <t>Decision Point</t>
  </si>
  <si>
    <t>Healthsouth Rehabilitation Hospital Of Jonesboro</t>
  </si>
  <si>
    <t>Arisa Health Inc</t>
  </si>
  <si>
    <t>Newhaven Recovery Lodge</t>
  </si>
  <si>
    <t>Piney Ridge Treatment Center Llc</t>
  </si>
  <si>
    <t>Memphis Recovery Center Inc</t>
  </si>
  <si>
    <t>St Vincent Rehab Hosp Healthsouth</t>
  </si>
  <si>
    <t>Spero Health Of Tennessee, Llc-Smyrna</t>
  </si>
  <si>
    <t xml:space="preserve">Quapaw House </t>
  </si>
  <si>
    <t>Cypress Grove Behavioral Health Llc</t>
  </si>
  <si>
    <t>Niles Home For Children</t>
  </si>
  <si>
    <t>Coatc,Llc</t>
  </si>
  <si>
    <t>Serenity Recovery Centers Inc</t>
  </si>
  <si>
    <t>Provider Group, Parkwood Outpatient Counseling Ctr-Southaven</t>
  </si>
  <si>
    <t>Fairhaven Treatment Center Ip Psych</t>
  </si>
  <si>
    <t>Preferred Family Health Care Inc</t>
  </si>
  <si>
    <t>Family Counseling &amp; Recovery Center</t>
  </si>
  <si>
    <t>Living Hope Southeast</t>
  </si>
  <si>
    <t>Mercy Rehabilitation Hospital, Llc</t>
  </si>
  <si>
    <t>The Pointe Outpatient Bhs - Saline County</t>
  </si>
  <si>
    <t>Springwoods Behavioral Health</t>
  </si>
  <si>
    <t>Behavorial Health Services Of West Memphis Llc</t>
  </si>
  <si>
    <t>The Guidance Center - Horizon Renewal Center</t>
  </si>
  <si>
    <t>Freshly Renewed Transitional</t>
  </si>
  <si>
    <t>mental Health Resources, Pllc</t>
  </si>
  <si>
    <t>Harbor House, Inc.</t>
  </si>
  <si>
    <t>Smh Generations Unit</t>
  </si>
  <si>
    <t>Crestwyn Behavioral Health Llc</t>
  </si>
  <si>
    <t>Bridgeway The</t>
  </si>
  <si>
    <t>Home I V  Specialists Inc</t>
  </si>
  <si>
    <t>Vital Care Infusion Services</t>
  </si>
  <si>
    <t>St.Vincent Medical Group</t>
  </si>
  <si>
    <t>Urologic Specialists Of Oklahoma Inc</t>
  </si>
  <si>
    <t>American Oncology Pa</t>
  </si>
  <si>
    <t>Saint Francis Physic</t>
  </si>
  <si>
    <t>Infusion Partners Of Memphis</t>
  </si>
  <si>
    <t>Red River Pharmacy Services Llc</t>
  </si>
  <si>
    <t>Saffa Infusion Pharmacy</t>
  </si>
  <si>
    <t>United Medical</t>
  </si>
  <si>
    <t>St Joseph's Mercy Clinic Inc</t>
  </si>
  <si>
    <t>Precision Healthcare Inc</t>
  </si>
  <si>
    <t>Delta Medical Infusion Llc</t>
  </si>
  <si>
    <t>Coram Cvs Specialty Infusion Services</t>
  </si>
  <si>
    <t>Bioscrip Infusion Services</t>
  </si>
  <si>
    <t>Precision Healthcare</t>
  </si>
  <si>
    <t>Radiation Oncology M</t>
  </si>
  <si>
    <t>Wrmc Cardiology</t>
  </si>
  <si>
    <t>Wrmc Surgery Clinic</t>
  </si>
  <si>
    <t>Shiloh Nursing &amp; Rehab Llc</t>
  </si>
  <si>
    <t>Nursing &amp; Rehab Ctr At Good Shepherd</t>
  </si>
  <si>
    <t>Springdale Health &amp; Rehab Center</t>
  </si>
  <si>
    <t>Oak Manor Nursing &amp; Rehab Center</t>
  </si>
  <si>
    <t>Applingwood Healthcare Center Inc</t>
  </si>
  <si>
    <t>Ferguson Rural Health Clinic</t>
  </si>
  <si>
    <t>Innisfree Health And Rehab Llc</t>
  </si>
  <si>
    <t>Baptist Health Med Ctr Nlr Snf</t>
  </si>
  <si>
    <t>Salam Place Nursing &amp; Rehab</t>
  </si>
  <si>
    <t>Cavalier Healthcare Of England Llc</t>
  </si>
  <si>
    <t>Barrow Healthcare Llc Dba The Springs Of Barrow</t>
  </si>
  <si>
    <t>Canyon Springs Health And Rehabilitation Center</t>
  </si>
  <si>
    <t>Somerset Sr Living At Mt Vista</t>
  </si>
  <si>
    <t>Cnnc Inc</t>
  </si>
  <si>
    <t>Collierville Nursing And Rehabilitation</t>
  </si>
  <si>
    <t>Midtown Center For Hlth And Rehabilitati</t>
  </si>
  <si>
    <t>Dollarway Road Operating Llc</t>
  </si>
  <si>
    <t>Springs Of Fairfield Bay</t>
  </si>
  <si>
    <t>Stella Manor Care Center Inc</t>
  </si>
  <si>
    <t>Des Arc Nursing &amp; Rehab Center</t>
  </si>
  <si>
    <t>The Waters Of Rogers</t>
  </si>
  <si>
    <t>Chc Heritage Square Nursing, Llc</t>
  </si>
  <si>
    <t>Post Acute Medical Specialty Hosp Texarkana North</t>
  </si>
  <si>
    <t>Nashville Nursing Opco Llc</t>
  </si>
  <si>
    <t>Valley Springs Rehabilitation And Health Center</t>
  </si>
  <si>
    <t>Chambers Health And Rehabilitation</t>
  </si>
  <si>
    <t>The Waters Of North Little Rock</t>
  </si>
  <si>
    <t>Quapaw Care And Rehabilitation Center</t>
  </si>
  <si>
    <t>Apple Creek Health And Rehab Llc</t>
  </si>
  <si>
    <t>Southfork River Therapy And Living</t>
  </si>
  <si>
    <t>The Waters Of Mountain View</t>
  </si>
  <si>
    <t>Ouachita Nursing And Rehabilitation Center</t>
  </si>
  <si>
    <t>Van Buren Health And Rehab</t>
  </si>
  <si>
    <t>Springs Of Camden</t>
  </si>
  <si>
    <t>Courtyard Rehabilitation And Health Center Llc</t>
  </si>
  <si>
    <t>Select Specialty Hospital Ft Smith Inc</t>
  </si>
  <si>
    <t>Sherwood Nursing &amp; Rehab Center Inc</t>
  </si>
  <si>
    <t>Sharp Progressive Eldercare Services Inc</t>
  </si>
  <si>
    <t>Gosnell Health And Rehab</t>
  </si>
  <si>
    <t>Twin Rivers Health And Rehab</t>
  </si>
  <si>
    <t>Ridgecrest Health Rehab</t>
  </si>
  <si>
    <t>Greystone Nursing And Rehab</t>
  </si>
  <si>
    <t>Bentley Rehabilitation And Health Care</t>
  </si>
  <si>
    <t>Alma Healthcare &amp; Rehabilitation Center</t>
  </si>
  <si>
    <t>Cumberland Street Operating Llc</t>
  </si>
  <si>
    <t>Johnson County Health And Rehab</t>
  </si>
  <si>
    <t>Indianola Rehabilitation And Healthcare Center Llc</t>
  </si>
  <si>
    <t>Chc Lakeside Nursing Center, Llc</t>
  </si>
  <si>
    <t>Southern Trace Rehabilitation And Care Center</t>
  </si>
  <si>
    <t>Seven Springs Health And Rehabilitation Center</t>
  </si>
  <si>
    <t>Ashley Rehabilitation And Health Care Ce</t>
  </si>
  <si>
    <t>Bloomfield Living Center</t>
  </si>
  <si>
    <t>Eaglecrest Nursing And Rehab</t>
  </si>
  <si>
    <t>Conway Cardiovascular Surgery Center, Llc</t>
  </si>
  <si>
    <t>Hot Springs Nursing And Rehabiltation</t>
  </si>
  <si>
    <t>Allay Health And Rehab</t>
  </si>
  <si>
    <t>The Woods A Nightingale Community</t>
  </si>
  <si>
    <t>Montgomery County Rehab</t>
  </si>
  <si>
    <t>Baptist Memorial Restorative Care Hospital</t>
  </si>
  <si>
    <t>Greenbrier Care Center</t>
  </si>
  <si>
    <t>Superior Health And Rehab</t>
  </si>
  <si>
    <t>Crestpark Wynne Llc</t>
  </si>
  <si>
    <t>Rich Mountain Nursing And Rehab Center</t>
  </si>
  <si>
    <t>Timberlane Health And Rehabilitation</t>
  </si>
  <si>
    <t>Crestpark Dewitt</t>
  </si>
  <si>
    <t>Faulkner Progressive Eldercare Services Inc</t>
  </si>
  <si>
    <t>Waters Of Memphis, A Rehabilitation &amp; Nursing Center</t>
  </si>
  <si>
    <t>Legacy Heights Nursing And Rehab</t>
  </si>
  <si>
    <t>Advanced Health And Rehab Of Union County</t>
  </si>
  <si>
    <t>The Village At Valley Ranch</t>
  </si>
  <si>
    <t>Paris Health &amp; Rehab Center</t>
  </si>
  <si>
    <t>Dardanelle Nursing &amp; Rehab Center</t>
  </si>
  <si>
    <t>Siloam Healthcare</t>
  </si>
  <si>
    <t>Little Rive Memorial Hospital Skilled Nursing Unit</t>
  </si>
  <si>
    <t>Ozark Health Medical Center</t>
  </si>
  <si>
    <t>Pleasant Valley Rehabilitation And Nursi</t>
  </si>
  <si>
    <t>Spring Creek Health &amp; Rehab</t>
  </si>
  <si>
    <t>Belvedere Nursing And Rehabilitation Center Llc</t>
  </si>
  <si>
    <t>Briarwood Nursing &amp; Rehab Center</t>
  </si>
  <si>
    <t>Atkins Care Center Inc</t>
  </si>
  <si>
    <t>Woods Of Monticello Health And Rehab</t>
  </si>
  <si>
    <t>West Memphis Operators Llc Dba The Springs Of Avalon</t>
  </si>
  <si>
    <t>Beebe Retirement Center</t>
  </si>
  <si>
    <t>Allay Healthcare Llc Dba The Springs Of Chenal</t>
  </si>
  <si>
    <t>Qualis</t>
  </si>
  <si>
    <t>Springs Of Mt Vista</t>
  </si>
  <si>
    <t>Legacy Health &amp; Rehab Ctr</t>
  </si>
  <si>
    <t>Mountain Meadows Health &amp; Rehabilitation</t>
  </si>
  <si>
    <t>Magnolia Health And Rehab</t>
  </si>
  <si>
    <t>Searcy Healthcare Llc</t>
  </si>
  <si>
    <t>Rainbow Rehab &amp; Healthcare</t>
  </si>
  <si>
    <t>Community Compassion Centers Of Yellville</t>
  </si>
  <si>
    <t>Indian Rock Village Llc</t>
  </si>
  <si>
    <t>Westwood Health And Rehab</t>
  </si>
  <si>
    <t>Silver Oaks Rehabilitation</t>
  </si>
  <si>
    <t>Three Rivers Scf Operations</t>
  </si>
  <si>
    <t>Crawford Healthcare &amp; Rehabilitation Cen</t>
  </si>
  <si>
    <t>Rector Nursing And Rehab</t>
  </si>
  <si>
    <t>North Hills Life Care And Rehab</t>
  </si>
  <si>
    <t>Pine Hills Health And Rehab Center</t>
  </si>
  <si>
    <t>Chc Harris Health Llc</t>
  </si>
  <si>
    <t>Delta Rehab/Healthcare Cntr Of Cleveland</t>
  </si>
  <si>
    <t>Community Compassion, Stonegate</t>
  </si>
  <si>
    <t>Jamestown Nursing And Rehab</t>
  </si>
  <si>
    <t>Magnolia Creek Nursing And Rehab</t>
  </si>
  <si>
    <t>Lakewood Therapy &amp; Living Center</t>
  </si>
  <si>
    <t>Riley Drive Operating Llc</t>
  </si>
  <si>
    <t>Midtown Post Acute &amp; Rehab-A Waters Comm</t>
  </si>
  <si>
    <t>Shelby Health And Rehabilitation Center</t>
  </si>
  <si>
    <t>The Pines Nursing And Rehabilitation Center</t>
  </si>
  <si>
    <t>Benchmark Healthcare Of Portageville</t>
  </si>
  <si>
    <t>Ltc Of Eureka Springs Llc Dba Brighton Ridge</t>
  </si>
  <si>
    <t>Golf Links Road Operating Llc</t>
  </si>
  <si>
    <t>Nhc St Charles</t>
  </si>
  <si>
    <t>Bailey Creek Health And Rehab</t>
  </si>
  <si>
    <t>Alma Nursing And Rehab, Llc</t>
  </si>
  <si>
    <t>Bentonville Health And Rehabilitation</t>
  </si>
  <si>
    <t>Phillips Clinic Corp</t>
  </si>
  <si>
    <t>Campbell Clinic Inc</t>
  </si>
  <si>
    <t>Sarc By Hsh Asc Pine Bluff Llc</t>
  </si>
  <si>
    <t>Cape Surgery Center Llc</t>
  </si>
  <si>
    <t>Memphis Regional Gamma Knife Center</t>
  </si>
  <si>
    <t>Lowery Medical Surgery Eye Cnt</t>
  </si>
  <si>
    <t>Arkansas Center For Surgical Excellence Llc</t>
  </si>
  <si>
    <t>Premier Surgery Center</t>
  </si>
  <si>
    <t>Roller Weight Loss Institute</t>
  </si>
  <si>
    <t>Midsouth Interventional Pain Institute Llc</t>
  </si>
  <si>
    <t>Orthoarkansas Surgery Center Llc</t>
  </si>
  <si>
    <t>taylor Surgery Center, Llc</t>
  </si>
  <si>
    <t>Batesville Endoscopy Center</t>
  </si>
  <si>
    <t>Physicians Surgery Center Llc</t>
  </si>
  <si>
    <t>Spring Creek Surgery Center Llc</t>
  </si>
  <si>
    <t>Arkansas Healthcare Services Llc</t>
  </si>
  <si>
    <t>Surgical Associates Of Jonesboro</t>
  </si>
  <si>
    <t>Gazenko Surgical &amp; Cosmetics Center</t>
  </si>
  <si>
    <t>Kanis Endoscopy Center</t>
  </si>
  <si>
    <t>Mercy Clinic Plastic Surgery</t>
  </si>
  <si>
    <t>Specialty Physicians Group Ii Llc</t>
  </si>
  <si>
    <t>North River Surgery Center Llc</t>
  </si>
  <si>
    <t>Physicians Surgery Center Of Fayetteville</t>
  </si>
  <si>
    <t>Advanced Ambulatory Surgery Ctr Llc</t>
  </si>
  <si>
    <t>Urology Ambulatory Surgery Center</t>
  </si>
  <si>
    <t>Advanced Interventional Pain Surgery Center Llc</t>
  </si>
  <si>
    <t>Executive Surgery Center Little Rock</t>
  </si>
  <si>
    <t>Arkansas Outpatient Eye Surgery Llc</t>
  </si>
  <si>
    <t>baptist Germantown Surgery Center, L.P.</t>
  </si>
  <si>
    <t>eye Care Surgery Center Of Memphis, Llc</t>
  </si>
  <si>
    <t>South Arkansas Physician Services Llc</t>
  </si>
  <si>
    <t>Arkansas Specialty Orthopaedic Center</t>
  </si>
  <si>
    <t>Semmes Murphey Surgery Center</t>
  </si>
  <si>
    <t>Saline Clinics Llc</t>
  </si>
  <si>
    <t>Jonesboro Surgery Center Llc</t>
  </si>
  <si>
    <t>Methodist Specialty</t>
  </si>
  <si>
    <t>Surgcenter Of Fayetteville Llc</t>
  </si>
  <si>
    <t>The Endoscopy Center Of Texarkana</t>
  </si>
  <si>
    <t>Surgical Associates, None</t>
  </si>
  <si>
    <t>Mercy Clinic General Surgery</t>
  </si>
  <si>
    <t>Searcy Ambulatory Surgery Center, Llc</t>
  </si>
  <si>
    <t>Surgery Center Of Branson</t>
  </si>
  <si>
    <t>Arkansas Outpatient Surgery Center</t>
  </si>
  <si>
    <t>Tennova Health - Dyersburg Regional</t>
  </si>
  <si>
    <t>Neurosurgery Spine Center</t>
  </si>
  <si>
    <t>Pain Center Of Jonesboro The</t>
  </si>
  <si>
    <t>Interventional Surgery Institute Of Whit</t>
  </si>
  <si>
    <t>Uch Vascular Access Asc</t>
  </si>
  <si>
    <t>Taylor Surgical Arts</t>
  </si>
  <si>
    <t>Orthoarkansas Spine Institute Procedure Center</t>
  </si>
  <si>
    <t>Provider Health Services Of Arkansas Llc</t>
  </si>
  <si>
    <t>Arkansas Gastroenterology Endoscopy Center</t>
  </si>
  <si>
    <t>Centerview Surgery Center Llc</t>
  </si>
  <si>
    <t>Drew Surgical Servic</t>
  </si>
  <si>
    <t>Eye Surgery Center Of Ar</t>
  </si>
  <si>
    <t>Boston Mountain Rural Health Center - Marshall</t>
  </si>
  <si>
    <t>Ouachita Womens Services</t>
  </si>
  <si>
    <t>Gi Diagnostic &amp; Therapuetic Center</t>
  </si>
  <si>
    <t>Black River Ambulatory Surgery Center</t>
  </si>
  <si>
    <t>eye Care Surgery Center Of Southaven, Llc</t>
  </si>
  <si>
    <t>Springhill Surgery Center</t>
  </si>
  <si>
    <t>Pulaski Surgery Clinic Pa</t>
  </si>
  <si>
    <t>Forrest City Clinic Company, Llc</t>
  </si>
  <si>
    <t>Womens Clinic</t>
  </si>
  <si>
    <t>Clawitter, Nancy</t>
  </si>
  <si>
    <t>Mena Surgical Clinic</t>
  </si>
  <si>
    <t>Mercy Emergency Medicine - Ozark</t>
  </si>
  <si>
    <t>North Hills Gastro Endoscopy</t>
  </si>
  <si>
    <t>North Hills Surgery Center Llc</t>
  </si>
  <si>
    <t>Hamilton Eye Institute Surgery Center Lp</t>
  </si>
  <si>
    <t>Mitias Orthopaedics Pllc.</t>
  </si>
  <si>
    <t>Cah Acquisition Co 11 Llc</t>
  </si>
  <si>
    <t>Baptist After Hours Pediatric Clinic</t>
  </si>
  <si>
    <t>Hometown Urgent Care Of Dyersburg</t>
  </si>
  <si>
    <t>Methodist Health Comm Care</t>
  </si>
  <si>
    <t>Fast Pace Urgent Care</t>
  </si>
  <si>
    <t>Sunflower Rural Health Clinic</t>
  </si>
  <si>
    <t>Baptist Health Med Center Arkadelphia</t>
  </si>
  <si>
    <t>Provider Group, Family First Clinic Of Clarksdale</t>
  </si>
  <si>
    <t>Gold Cross Urgent Care</t>
  </si>
  <si>
    <t>Grand Prairie Medical Group</t>
  </si>
  <si>
    <t>Crossroads Urgent Care Pllc</t>
  </si>
  <si>
    <t>Redmed</t>
  </si>
  <si>
    <t>Fast Pace Mississipp</t>
  </si>
  <si>
    <t>Coastal Urgent Care</t>
  </si>
  <si>
    <t>Medexpress Urgent Care</t>
  </si>
  <si>
    <t>Medwise</t>
  </si>
  <si>
    <t>Christus Dubuis Hosptial Of Fort Smith</t>
  </si>
  <si>
    <t>Methodist Healthcare Minor Medial Center</t>
  </si>
  <si>
    <t>Velocity Care Arkansas</t>
  </si>
  <si>
    <t>Convenient Care Clinic</t>
  </si>
  <si>
    <t>Emurgent Care Minden</t>
  </si>
  <si>
    <t>urgent Team Of Arkansas Physicans, Llc</t>
  </si>
  <si>
    <t>Shields, Eddie</t>
  </si>
  <si>
    <t>Lachowsky, Francis</t>
  </si>
  <si>
    <t>Ragsdale, Amy</t>
  </si>
  <si>
    <t>Pesek, Robert</t>
  </si>
  <si>
    <t>Still, Lindsay</t>
  </si>
  <si>
    <t>Nawaz, Safia</t>
  </si>
  <si>
    <t>Patterson, Megan</t>
  </si>
  <si>
    <t>Le, Minhthu</t>
  </si>
  <si>
    <t>Ogilvie Tymony, Chrishana L</t>
  </si>
  <si>
    <t>Mehl, John</t>
  </si>
  <si>
    <t>Burks, Kelly</t>
  </si>
  <si>
    <t>Harville, Terry</t>
  </si>
  <si>
    <t>Sibghat Tul Llah, Fnu</t>
  </si>
  <si>
    <t>Yoo, Tai</t>
  </si>
  <si>
    <t>Micka, William</t>
  </si>
  <si>
    <t>Martin Scurlock, Amy</t>
  </si>
  <si>
    <t>Lieberman, Jay</t>
  </si>
  <si>
    <t>Griffin, Stacy</t>
  </si>
  <si>
    <t>Humphrey, Alison</t>
  </si>
  <si>
    <t>Jackson, Brian D</t>
  </si>
  <si>
    <t>Yunus, Nauman</t>
  </si>
  <si>
    <t>Stoner, Ashley</t>
  </si>
  <si>
    <t>Cherviniskiy, Sheva</t>
  </si>
  <si>
    <t>Ilyas, Mohammad</t>
  </si>
  <si>
    <t>Jones, Stacie</t>
  </si>
  <si>
    <t>Kagy, Lori</t>
  </si>
  <si>
    <t>Kennedy, Joshua</t>
  </si>
  <si>
    <t>Kitcharoensakkul, Maleewan</t>
  </si>
  <si>
    <t>Heinly-Mcculle, Tammy L</t>
  </si>
  <si>
    <t>Rana, Ruchit, R</t>
  </si>
  <si>
    <t>Zelig, Ari</t>
  </si>
  <si>
    <t>Brawley Escue, Ashley</t>
  </si>
  <si>
    <t>Perry, Tamara</t>
  </si>
  <si>
    <t>Keller, Kevin</t>
  </si>
  <si>
    <t>Wejinya, Adesua</t>
  </si>
  <si>
    <t>Doan, Dieu, T</t>
  </si>
  <si>
    <t>Snodgrass, Scot J</t>
  </si>
  <si>
    <t>Jeffers, Teresa</t>
  </si>
  <si>
    <t>Jackson, Kim</t>
  </si>
  <si>
    <t>Ziegler, Aubrey</t>
  </si>
  <si>
    <t>Harrison, Lonnie</t>
  </si>
  <si>
    <t>Tong, Alan</t>
  </si>
  <si>
    <t>Forney, Joseph</t>
  </si>
  <si>
    <t>Spiotta, Larry</t>
  </si>
  <si>
    <t>Bavineni, Mahesh</t>
  </si>
  <si>
    <t>Waller, Benjamin</t>
  </si>
  <si>
    <t>Williams, Victor</t>
  </si>
  <si>
    <t>Churchill, David</t>
  </si>
  <si>
    <t>Dicus, G</t>
  </si>
  <si>
    <t>Watson, Andrew</t>
  </si>
  <si>
    <t>Penick, Danny</t>
  </si>
  <si>
    <t>Muthusamy, Purushothaman</t>
  </si>
  <si>
    <t>Norton, Thomas</t>
  </si>
  <si>
    <t>Neuhauser, Jeffrey</t>
  </si>
  <si>
    <t>Swartz, John</t>
  </si>
  <si>
    <t>Childress, Megan, E</t>
  </si>
  <si>
    <t>Young, Lisa Jackson</t>
  </si>
  <si>
    <t>Paulus, Basil</t>
  </si>
  <si>
    <t>May, Justin</t>
  </si>
  <si>
    <t>Renno, Markus</t>
  </si>
  <si>
    <t>Bhamare, Tanmay</t>
  </si>
  <si>
    <t>Markus, Richard</t>
  </si>
  <si>
    <t>Fletcher, Anthony</t>
  </si>
  <si>
    <t>Bowen, Timothy</t>
  </si>
  <si>
    <t>Evans, Edward</t>
  </si>
  <si>
    <t>Abdel-Karim, Abdul-Rahman</t>
  </si>
  <si>
    <t>Seib, Paul</t>
  </si>
  <si>
    <t>Calandro, Vito</t>
  </si>
  <si>
    <t>Al Hawwas, Malek</t>
  </si>
  <si>
    <t>Chakka, Mangaraju</t>
  </si>
  <si>
    <t>Kelley, Morris</t>
  </si>
  <si>
    <t>Wolford, David</t>
  </si>
  <si>
    <t>Adjei, Abdul Nasser</t>
  </si>
  <si>
    <t>St. John, Greg</t>
  </si>
  <si>
    <t>Cheema, Yaser</t>
  </si>
  <si>
    <t>Henderson, John</t>
  </si>
  <si>
    <t>Prieto, Bryant</t>
  </si>
  <si>
    <t>Loguidice, Michael</t>
  </si>
  <si>
    <t>Amna, Qasim</t>
  </si>
  <si>
    <t>Evans, David</t>
  </si>
  <si>
    <t>El Shafei, Amr</t>
  </si>
  <si>
    <t>Parameswaran, Anoop</t>
  </si>
  <si>
    <t>Sathanandam, Shyam</t>
  </si>
  <si>
    <t>Adnan, Kassier</t>
  </si>
  <si>
    <t>Reef, Ellis</t>
  </si>
  <si>
    <t>Kerlan, Jeffrey</t>
  </si>
  <si>
    <t>Gathaiya, Nicola</t>
  </si>
  <si>
    <t>Shah, Sanjay</t>
  </si>
  <si>
    <t>Krittika U Joshi</t>
  </si>
  <si>
    <t>Narayanan, Mahesh</t>
  </si>
  <si>
    <t>Nazir, Salik,</t>
  </si>
  <si>
    <t>Chaudry, Imran</t>
  </si>
  <si>
    <t>Garcia Casal, Xiomara</t>
  </si>
  <si>
    <t>Vance, David</t>
  </si>
  <si>
    <t>Parashar, Nirbhay</t>
  </si>
  <si>
    <t>Shaikh, Khawar</t>
  </si>
  <si>
    <t>Stephen T Broughton</t>
  </si>
  <si>
    <t>Dye, Derry</t>
  </si>
  <si>
    <t>Kraus, David</t>
  </si>
  <si>
    <t>Breck</t>
  </si>
  <si>
    <t>Hebbar, Prabhat</t>
  </si>
  <si>
    <t>Sewani, Asif</t>
  </si>
  <si>
    <t>Yaranov, Dmitry</t>
  </si>
  <si>
    <t>Ifedili, Ikechukwu A</t>
  </si>
  <si>
    <t>Amin, Nomisha</t>
  </si>
  <si>
    <t>Haack, Lindsey, N</t>
  </si>
  <si>
    <t>Dempsey, Buckley</t>
  </si>
  <si>
    <t>Ibebuogu, Uzoma</t>
  </si>
  <si>
    <t>Raja, Vijay</t>
  </si>
  <si>
    <t>Yadav, Kapil</t>
  </si>
  <si>
    <t>Durham, Katherine</t>
  </si>
  <si>
    <t>Vinh,Duong</t>
  </si>
  <si>
    <t>Hargrove, Joe</t>
  </si>
  <si>
    <t>Law, David</t>
  </si>
  <si>
    <t>Starnes, Harrison</t>
  </si>
  <si>
    <t>Elyse K Miller</t>
  </si>
  <si>
    <t>Wallace, Thomas</t>
  </si>
  <si>
    <t>Van Grouw, Richard</t>
  </si>
  <si>
    <t>Zoghbi, Gilbert</t>
  </si>
  <si>
    <t>Uretsky, Barry</t>
  </si>
  <si>
    <t>Nemarkommula, Aravind</t>
  </si>
  <si>
    <t>Dishmon, Dwight</t>
  </si>
  <si>
    <t>Hopkins, Jack</t>
  </si>
  <si>
    <t>Nissenbaum, Eliot</t>
  </si>
  <si>
    <t>Nash, Gary</t>
  </si>
  <si>
    <t>Hawamdeh, Hussam</t>
  </si>
  <si>
    <t>Borkowski, Brian</t>
  </si>
  <si>
    <t>Varga, Zoltan</t>
  </si>
  <si>
    <t>Agnone, John</t>
  </si>
  <si>
    <t>Sanchez, Jose</t>
  </si>
  <si>
    <t>Casey, Michael</t>
  </si>
  <si>
    <t>Lena, Awar</t>
  </si>
  <si>
    <t>Aaron Walsh</t>
  </si>
  <si>
    <t>Szatkowski, Arie</t>
  </si>
  <si>
    <t>Shah, Shahzad</t>
  </si>
  <si>
    <t>Hamza A Rayes</t>
  </si>
  <si>
    <t>Onuora, Afamefuna</t>
  </si>
  <si>
    <t>Bob Manuel, Tamunoinemi</t>
  </si>
  <si>
    <t>Chism, Brandon</t>
  </si>
  <si>
    <t>Acharya, Yuba</t>
  </si>
  <si>
    <t>Choksy, Pratik</t>
  </si>
  <si>
    <t>Boston, Umar</t>
  </si>
  <si>
    <t>Fontenot, Eudice</t>
  </si>
  <si>
    <t>Alsheikhali, Mohammed</t>
  </si>
  <si>
    <t>Ganguli, Shankho</t>
  </si>
  <si>
    <t>Geoghagan, Jay</t>
  </si>
  <si>
    <t>Khan, Shahid</t>
  </si>
  <si>
    <t>Borg, Clayton</t>
  </si>
  <si>
    <t>Cawich, Ian</t>
  </si>
  <si>
    <t>Munzinger, Ethan</t>
  </si>
  <si>
    <t>Pingel, Caleb</t>
  </si>
  <si>
    <t>Parkhurst, James</t>
  </si>
  <si>
    <t>Zabriskie, Aaron</t>
  </si>
  <si>
    <t>Arroyo, Maximiliano</t>
  </si>
  <si>
    <t>Aradhya, Mahesh</t>
  </si>
  <si>
    <t>Chatrathi, Sridhar</t>
  </si>
  <si>
    <t>Klemis, James</t>
  </si>
  <si>
    <t>Cui, Jiang</t>
  </si>
  <si>
    <t>Johnson, Eric</t>
  </si>
  <si>
    <t>Halal, Ahmed Moussa</t>
  </si>
  <si>
    <t>Nolewajka, Andre</t>
  </si>
  <si>
    <t>Tedder, Barry</t>
  </si>
  <si>
    <t>Herrera Verdugo, Octavio</t>
  </si>
  <si>
    <t>Mahmoud, Osama</t>
  </si>
  <si>
    <t>Almaddah, Nureddin</t>
  </si>
  <si>
    <t>Havdala, Jack</t>
  </si>
  <si>
    <t>Iansmith, David H</t>
  </si>
  <si>
    <t>Morrow, Jennifer</t>
  </si>
  <si>
    <t>Yang</t>
  </si>
  <si>
    <t>Hannah, Magdy</t>
  </si>
  <si>
    <t>Babar, Khan</t>
  </si>
  <si>
    <t>Henry, David</t>
  </si>
  <si>
    <t>Stam, Marc</t>
  </si>
  <si>
    <t>Mudy, Karol</t>
  </si>
  <si>
    <t>Munoz, Mendoza</t>
  </si>
  <si>
    <t>Piawa, Dum</t>
  </si>
  <si>
    <t>Gubin, Steven</t>
  </si>
  <si>
    <t>Beedupalli, Jagan</t>
  </si>
  <si>
    <t>Otten, Daniel</t>
  </si>
  <si>
    <t>Marshell, Ramey</t>
  </si>
  <si>
    <t>Norris, Lloyd</t>
  </si>
  <si>
    <t>Warner, Robert</t>
  </si>
  <si>
    <t>Ashford, Marvin</t>
  </si>
  <si>
    <t>Hendrich, Matthew</t>
  </si>
  <si>
    <t>Alaref, Subhi</t>
  </si>
  <si>
    <t>Patel, Kunal V</t>
  </si>
  <si>
    <t>Nair, Devi</t>
  </si>
  <si>
    <t>Tyler, Cunningham</t>
  </si>
  <si>
    <t>Sabeeda, Kadavath</t>
  </si>
  <si>
    <t>White, Anthony</t>
  </si>
  <si>
    <t>Voelker, Donald</t>
  </si>
  <si>
    <t>Sivakumar, Kalaivani</t>
  </si>
  <si>
    <t>Carver, Joel</t>
  </si>
  <si>
    <t>Edavettal, John</t>
  </si>
  <si>
    <t>Tullis, Joe</t>
  </si>
  <si>
    <t>Taveras, Alcantara, Mauro</t>
  </si>
  <si>
    <t>Kurichety, Kiran</t>
  </si>
  <si>
    <t>Blackwell, Jeffry</t>
  </si>
  <si>
    <t>Blanco, Carlos</t>
  </si>
  <si>
    <t>Rhea, Isaac</t>
  </si>
  <si>
    <t>Ward, Forrest</t>
  </si>
  <si>
    <t>Angtuaco, Sylvia</t>
  </si>
  <si>
    <t>Salazar, Holger</t>
  </si>
  <si>
    <t>Lo, Monica</t>
  </si>
  <si>
    <t>Alirhayim, Zaid, S</t>
  </si>
  <si>
    <t>Adam Berman</t>
  </si>
  <si>
    <t>Lan, David</t>
  </si>
  <si>
    <t>Ravipudi, Sanjeev</t>
  </si>
  <si>
    <t>Wong, Wilson</t>
  </si>
  <si>
    <t>Haynie, William</t>
  </si>
  <si>
    <t>Coppess, Mark</t>
  </si>
  <si>
    <t>Hinkle, Kevin</t>
  </si>
  <si>
    <t>Rasool, Shuja</t>
  </si>
  <si>
    <t>Ryan, Kaitlin</t>
  </si>
  <si>
    <t>Laxmichaya,Sawant</t>
  </si>
  <si>
    <t>Orsini, Alexander</t>
  </si>
  <si>
    <t>Folk, Benjamin</t>
  </si>
  <si>
    <t>Litzow, James</t>
  </si>
  <si>
    <t>Narisetty, Keerthy</t>
  </si>
  <si>
    <t>Jaggers, Robert</t>
  </si>
  <si>
    <t>Griffin, David</t>
  </si>
  <si>
    <t>Mallavarapu, Christopher</t>
  </si>
  <si>
    <t>Awar, Ziad</t>
  </si>
  <si>
    <t>Merritt, Robert</t>
  </si>
  <si>
    <t>Chamaria, Surbhi</t>
  </si>
  <si>
    <t>Arunakul, Narin</t>
  </si>
  <si>
    <t>Ingelmo, Christopher</t>
  </si>
  <si>
    <t>Kumpuris, Andrew</t>
  </si>
  <si>
    <t>Korban, Elie</t>
  </si>
  <si>
    <t>Chuang, Howard</t>
  </si>
  <si>
    <t>Oghlakian, Gerard</t>
  </si>
  <si>
    <t>Das, Srikant</t>
  </si>
  <si>
    <t>Spangler, Alison</t>
  </si>
  <si>
    <t>Hudson, Hilton</t>
  </si>
  <si>
    <t>Schrader, Daniel</t>
  </si>
  <si>
    <t>Patel, Dharmesh</t>
  </si>
  <si>
    <t>Gatlin, Scott</t>
  </si>
  <si>
    <t>Nayyar, Mannu</t>
  </si>
  <si>
    <t>Malhotra, Amit</t>
  </si>
  <si>
    <t>Barksdale, Leticia</t>
  </si>
  <si>
    <t>Boike, David E</t>
  </si>
  <si>
    <t>Kuykendall, Margaret</t>
  </si>
  <si>
    <t>Schwarz, Julio</t>
  </si>
  <si>
    <t>Kobayashi, Akihiro</t>
  </si>
  <si>
    <t>Kelly, Jayna</t>
  </si>
  <si>
    <t>Jadhav, Rahul</t>
  </si>
  <si>
    <t>Shittu, Muhammed</t>
  </si>
  <si>
    <t>Salima Bhimani</t>
  </si>
  <si>
    <t>Thomas, James</t>
  </si>
  <si>
    <t>Steely, Donald</t>
  </si>
  <si>
    <t>Vengala, Srinivas</t>
  </si>
  <si>
    <t>Hackler, Joseph</t>
  </si>
  <si>
    <t>Cilingiroglu, Mehmet</t>
  </si>
  <si>
    <t>Awdeh, Mahir</t>
  </si>
  <si>
    <t>Norris, Brian</t>
  </si>
  <si>
    <t>Beck, Bryan</t>
  </si>
  <si>
    <t>Davis, Scott</t>
  </si>
  <si>
    <t>Kane, James</t>
  </si>
  <si>
    <t>Akins, Steven</t>
  </si>
  <si>
    <t>Jeyaraj, Darwin</t>
  </si>
  <si>
    <t>Goleski, Mark</t>
  </si>
  <si>
    <t>Nienaber, William</t>
  </si>
  <si>
    <t>Stratmann, Henry</t>
  </si>
  <si>
    <t>Mit V Patel</t>
  </si>
  <si>
    <t>Finkelstein, Jason</t>
  </si>
  <si>
    <t>Basco, Eduardo</t>
  </si>
  <si>
    <t>David P Nelson</t>
  </si>
  <si>
    <t>Patel, Kruti</t>
  </si>
  <si>
    <t>Tata, Nazneen</t>
  </si>
  <si>
    <t>Cobb, Harrison</t>
  </si>
  <si>
    <t>Dee, Maria</t>
  </si>
  <si>
    <t>Shaw, Allison</t>
  </si>
  <si>
    <t>Do, Megan</t>
  </si>
  <si>
    <t>Ruiz Diaz, Juan Carlos</t>
  </si>
  <si>
    <t>Venincasa, Michael</t>
  </si>
  <si>
    <t>Bogomilov, Boris</t>
  </si>
  <si>
    <t>Addington, Milton</t>
  </si>
  <si>
    <t>Knecht, Kenneth</t>
  </si>
  <si>
    <t>Patel, Nirav</t>
  </si>
  <si>
    <t>Turner, Cassandra</t>
  </si>
  <si>
    <t>Avnish, Tripathi</t>
  </si>
  <si>
    <t>Beg, Faheemullah</t>
  </si>
  <si>
    <t>Greer, Gerald</t>
  </si>
  <si>
    <t>Abdulnabi, Yousef</t>
  </si>
  <si>
    <t>Murphy, Tena</t>
  </si>
  <si>
    <t>White, Frederick</t>
  </si>
  <si>
    <t>Swe, Ei</t>
  </si>
  <si>
    <t>Patel, Nishi</t>
  </si>
  <si>
    <t>Luna, Michael</t>
  </si>
  <si>
    <t>Guerrier, Karine</t>
  </si>
  <si>
    <t>Ruiz Rodriguez, Ernesto</t>
  </si>
  <si>
    <t>Ahmed, Zubair</t>
  </si>
  <si>
    <t>Christen</t>
  </si>
  <si>
    <t>Islam, Rezaul</t>
  </si>
  <si>
    <t>Arcot, Kishore</t>
  </si>
  <si>
    <t>Shala, Mohamed</t>
  </si>
  <si>
    <t>Ibrahim, Hussain</t>
  </si>
  <si>
    <t>Karikari, Yaa</t>
  </si>
  <si>
    <t>Hussain, Arif</t>
  </si>
  <si>
    <t>Beau, Scott</t>
  </si>
  <si>
    <t>Bailey, William</t>
  </si>
  <si>
    <t>David Filsoof</t>
  </si>
  <si>
    <t>Ghosheh, Yazan</t>
  </si>
  <si>
    <t>Blue, Leon</t>
  </si>
  <si>
    <t>Karimian, Amir</t>
  </si>
  <si>
    <t>Mckee, John</t>
  </si>
  <si>
    <t>Hendrickson, Benjamin</t>
  </si>
  <si>
    <t>Sunkara, Anusha</t>
  </si>
  <si>
    <t>Smith, Eugene</t>
  </si>
  <si>
    <t>Weathers, Lance</t>
  </si>
  <si>
    <t>Holloway, James</t>
  </si>
  <si>
    <t>Himmelstein, Stevan</t>
  </si>
  <si>
    <t>Agrawal, Neil</t>
  </si>
  <si>
    <t>Mcgrew, Frank</t>
  </si>
  <si>
    <t>Aslam, Farham</t>
  </si>
  <si>
    <t>Patel, Dharmendra</t>
  </si>
  <si>
    <t>Hutchins, Steven</t>
  </si>
  <si>
    <t>Thomas, Deepak</t>
  </si>
  <si>
    <t>Yedlapati, Neeraja</t>
  </si>
  <si>
    <t>Hawatmeh, Amer</t>
  </si>
  <si>
    <t>Almasri, Murad,</t>
  </si>
  <si>
    <t>Giancola, Abigail</t>
  </si>
  <si>
    <t>Al Hallak, Ammar</t>
  </si>
  <si>
    <t>Clogston, Charles</t>
  </si>
  <si>
    <t>Eble, Brian</t>
  </si>
  <si>
    <t>Robinson, Eric</t>
  </si>
  <si>
    <t>Nguyen, Cindy</t>
  </si>
  <si>
    <t>Mirza, Rubina</t>
  </si>
  <si>
    <t>Senter, Shaun</t>
  </si>
  <si>
    <t>Savu, Mihaela</t>
  </si>
  <si>
    <t>Barrus, Bryan B</t>
  </si>
  <si>
    <t>Garner, Trace</t>
  </si>
  <si>
    <t>Klappa, Anthony J</t>
  </si>
  <si>
    <t>Fram, Ricki</t>
  </si>
  <si>
    <t>Mc Gee, William</t>
  </si>
  <si>
    <t>Watkins, Charles</t>
  </si>
  <si>
    <t>Counce, James</t>
  </si>
  <si>
    <t>Terry, Megan</t>
  </si>
  <si>
    <t>Ostro, Natalie, A</t>
  </si>
  <si>
    <t>Fink, Gregory</t>
  </si>
  <si>
    <t>Guajardo Salinas, Gustavo</t>
  </si>
  <si>
    <t>Nolen, Michael</t>
  </si>
  <si>
    <t>Mc Coy, Daniel</t>
  </si>
  <si>
    <t>Shukrallah, Bassam</t>
  </si>
  <si>
    <t>Day, James</t>
  </si>
  <si>
    <t>Proctor, Eva</t>
  </si>
  <si>
    <t>Eckert, Michelle</t>
  </si>
  <si>
    <t>Swetnam, Jeffrey</t>
  </si>
  <si>
    <t>Cieutat, Eve</t>
  </si>
  <si>
    <t>Lyn, Ian</t>
  </si>
  <si>
    <t>Cook, John</t>
  </si>
  <si>
    <t>Forestiere, Lee</t>
  </si>
  <si>
    <t>Garrett, Harvey</t>
  </si>
  <si>
    <t>Mikhail, Peter</t>
  </si>
  <si>
    <t>John,Streitman</t>
  </si>
  <si>
    <t>Stickley, Shaun</t>
  </si>
  <si>
    <t>Ravikumar, Ramaswamy</t>
  </si>
  <si>
    <t>Shires, Courtney</t>
  </si>
  <si>
    <t>Tran, Trung</t>
  </si>
  <si>
    <t>Hutchinson, Clyde</t>
  </si>
  <si>
    <t>Ramakrishnan, Karthik</t>
  </si>
  <si>
    <t>Khan, Azeem</t>
  </si>
  <si>
    <t>Barone, Claudia</t>
  </si>
  <si>
    <t>Rajab Taufiek K</t>
  </si>
  <si>
    <t>Meadors, Frederick</t>
  </si>
  <si>
    <t>Redmond, Clyde</t>
  </si>
  <si>
    <t>Huang, Kuo</t>
  </si>
  <si>
    <t>Schoettle, G Phillip</t>
  </si>
  <si>
    <t>Stone, Christopher D.</t>
  </si>
  <si>
    <t>Meurer, Michael</t>
  </si>
  <si>
    <t>Anthony, Caggiano</t>
  </si>
  <si>
    <t>Tshibaka, Cimenga</t>
  </si>
  <si>
    <t>Hardin, Mark</t>
  </si>
  <si>
    <t>Rosati, Carlo</t>
  </si>
  <si>
    <t>Bauer, F Michael</t>
  </si>
  <si>
    <t>Knottcraig, Christopher</t>
  </si>
  <si>
    <t>Barone, Gary</t>
  </si>
  <si>
    <t>Marino, Katy</t>
  </si>
  <si>
    <t>Ng, Thomas</t>
  </si>
  <si>
    <t>Wright, Bennie</t>
  </si>
  <si>
    <t>Riley, Richard</t>
  </si>
  <si>
    <t>Wallace, Denver</t>
  </si>
  <si>
    <t>Summey, Alyssa</t>
  </si>
  <si>
    <t>Lauren,Taylor</t>
  </si>
  <si>
    <t>Tipton, Miranda</t>
  </si>
  <si>
    <t>Southworth, Tina</t>
  </si>
  <si>
    <t>Ungerank, Jeremy</t>
  </si>
  <si>
    <t>Rogers, Walter</t>
  </si>
  <si>
    <t>Nichols, Lawrence</t>
  </si>
  <si>
    <t>Kirksey, Frank</t>
  </si>
  <si>
    <t>Hafemeister, Kelly</t>
  </si>
  <si>
    <t>Dearen, Denton</t>
  </si>
  <si>
    <t>Skinner, Kyle</t>
  </si>
  <si>
    <t>Wuthnow, Nicholas</t>
  </si>
  <si>
    <t>Mcclellan, Leslie</t>
  </si>
  <si>
    <t>Benton, Matthew</t>
  </si>
  <si>
    <t>Andreadis, Alexander</t>
  </si>
  <si>
    <t>Oldham, Michael</t>
  </si>
  <si>
    <t>Rhodes, Elizabeth</t>
  </si>
  <si>
    <t>Hodge, Lee</t>
  </si>
  <si>
    <t>Williams, Sabrina</t>
  </si>
  <si>
    <t>Holt, Hunter</t>
  </si>
  <si>
    <t>Myshka, Susan</t>
  </si>
  <si>
    <t>Warren, David</t>
  </si>
  <si>
    <t>Washington, Earnicia</t>
  </si>
  <si>
    <t>Isenhower, Olivia, G</t>
  </si>
  <si>
    <t>Chambers, Brad</t>
  </si>
  <si>
    <t>Rushin, Jack</t>
  </si>
  <si>
    <t>Thompson, Jasmine</t>
  </si>
  <si>
    <t>Miller, Aaron</t>
  </si>
  <si>
    <t>Phillips, Benjamin</t>
  </si>
  <si>
    <t>Masters, Blair</t>
  </si>
  <si>
    <t>Mcgehee Chiropractic</t>
  </si>
  <si>
    <t>Stacks Jr, John</t>
  </si>
  <si>
    <t>Eastman, Donald</t>
  </si>
  <si>
    <t>Swanson, Shayla</t>
  </si>
  <si>
    <t>Ganann, Maddison</t>
  </si>
  <si>
    <t>Galimore, Bethany</t>
  </si>
  <si>
    <t>Douglas, Laura</t>
  </si>
  <si>
    <t>Paul, Michael</t>
  </si>
  <si>
    <t>Bobo, Howard,</t>
  </si>
  <si>
    <t>Curtis, Christopher</t>
  </si>
  <si>
    <t>Engelhoven, Peggy</t>
  </si>
  <si>
    <t>Coats, James</t>
  </si>
  <si>
    <t>Qualls, Tyler</t>
  </si>
  <si>
    <t>Chastain, Kody</t>
  </si>
  <si>
    <t>Shelton, Elaina</t>
  </si>
  <si>
    <t>Thielemier, Brenda L</t>
  </si>
  <si>
    <t>Eubanks, Dustin</t>
  </si>
  <si>
    <t>Bledsoe, Amanda</t>
  </si>
  <si>
    <t>Gregory, Justin</t>
  </si>
  <si>
    <t>Hines, Steven</t>
  </si>
  <si>
    <t>Runnels, Steven</t>
  </si>
  <si>
    <t>Ungerank, Gregory</t>
  </si>
  <si>
    <t>Dawson, Georgia</t>
  </si>
  <si>
    <t>Tompkins, Shawn</t>
  </si>
  <si>
    <t>Sturdevant, Adrian</t>
  </si>
  <si>
    <t>Oliver, Miranda</t>
  </si>
  <si>
    <t>Audirsch, Lance</t>
  </si>
  <si>
    <t>Reed, Christopher</t>
  </si>
  <si>
    <t>Dawson, Chad</t>
  </si>
  <si>
    <t>Neil, James</t>
  </si>
  <si>
    <t>Scudder, Micah</t>
  </si>
  <si>
    <t>eggleston Chiropractic &amp; Rehab, Inc.</t>
  </si>
  <si>
    <t>Pearson, Michael</t>
  </si>
  <si>
    <t>Audirsch, Lindsay</t>
  </si>
  <si>
    <t>Underhill, Thomas</t>
  </si>
  <si>
    <t>Sherrod, Jason</t>
  </si>
  <si>
    <t>Clark, Betty Jo</t>
  </si>
  <si>
    <t>Grinder, Larry</t>
  </si>
  <si>
    <t>Holt, Candice</t>
  </si>
  <si>
    <t>Banks, Noah,</t>
  </si>
  <si>
    <t>Bradley, Amy</t>
  </si>
  <si>
    <t>Shawn, Vanwinkle</t>
  </si>
  <si>
    <t>Sence, David</t>
  </si>
  <si>
    <t>Gore, Rhett</t>
  </si>
  <si>
    <t>Trystan</t>
  </si>
  <si>
    <t>Graham, Kristy</t>
  </si>
  <si>
    <t>Barnett, Terry</t>
  </si>
  <si>
    <t>Hoffmann, Robert</t>
  </si>
  <si>
    <t>Dailey, Crayton</t>
  </si>
  <si>
    <t>Mckee, Amy</t>
  </si>
  <si>
    <t>Munson, Brandon</t>
  </si>
  <si>
    <t>Jossell, Andrea</t>
  </si>
  <si>
    <t>Kahn, Anna</t>
  </si>
  <si>
    <t>Mountain Home Family Chiropractic</t>
  </si>
  <si>
    <t>Sauser, Cody</t>
  </si>
  <si>
    <t>Spencer, Alec</t>
  </si>
  <si>
    <t>Wallace, Kenora</t>
  </si>
  <si>
    <t>Ward, Kristy</t>
  </si>
  <si>
    <t>Yow, Ronald</t>
  </si>
  <si>
    <t>Vincent, John</t>
  </si>
  <si>
    <t>Lewis, Jeffrey</t>
  </si>
  <si>
    <t>Brown, Rickey</t>
  </si>
  <si>
    <t>james F Mccoy, Od</t>
  </si>
  <si>
    <t>Coleman, Tanner</t>
  </si>
  <si>
    <t>Huneycutt, Matthew</t>
  </si>
  <si>
    <t>Livingston, V</t>
  </si>
  <si>
    <t>Dabbs, Allan</t>
  </si>
  <si>
    <t>Tucker-Thompson, Angelia</t>
  </si>
  <si>
    <t>Dryer, Steven</t>
  </si>
  <si>
    <t>Goode, Gary</t>
  </si>
  <si>
    <t>Nicholson, Lori</t>
  </si>
  <si>
    <t>Felton, Mika</t>
  </si>
  <si>
    <t>Taylor, Garrett, M</t>
  </si>
  <si>
    <t>Sensabaugh, Morgan</t>
  </si>
  <si>
    <t>Hudec, Joanna</t>
  </si>
  <si>
    <t>Callahan, Debra</t>
  </si>
  <si>
    <t>Butler, Michael</t>
  </si>
  <si>
    <t>Taylor, Martavious</t>
  </si>
  <si>
    <t>Oldham, Luke</t>
  </si>
  <si>
    <t>Holt, Tanya</t>
  </si>
  <si>
    <t>Webb, Wayne</t>
  </si>
  <si>
    <t>Coats, Terri</t>
  </si>
  <si>
    <t>Fletcher, Gary</t>
  </si>
  <si>
    <t>Chappell Stasi, Paige</t>
  </si>
  <si>
    <t>Stinson, Timothy, A</t>
  </si>
  <si>
    <t>Cooper, Thomas</t>
  </si>
  <si>
    <t>Jarnagin, Kyle</t>
  </si>
  <si>
    <t>Cress, Randy</t>
  </si>
  <si>
    <t>Russell, Ty</t>
  </si>
  <si>
    <t>Doncheff, Anthony</t>
  </si>
  <si>
    <t>Matthew, Stephen</t>
  </si>
  <si>
    <t>Hixon, Denver</t>
  </si>
  <si>
    <t>Baines, Johnny</t>
  </si>
  <si>
    <t>Crum, John</t>
  </si>
  <si>
    <t>Rowden, Joshua</t>
  </si>
  <si>
    <t>Sawyer, Samuel</t>
  </si>
  <si>
    <t>Bennett, Blake</t>
  </si>
  <si>
    <t>Kreul, Matthew</t>
  </si>
  <si>
    <t>Bubak, Regan</t>
  </si>
  <si>
    <t>Vahldick, Zachary</t>
  </si>
  <si>
    <t>Hattamer, Britney</t>
  </si>
  <si>
    <t>Shackelford, Robert</t>
  </si>
  <si>
    <t>Baker, Paul</t>
  </si>
  <si>
    <t>Clarke, Celeste</t>
  </si>
  <si>
    <t>Beard, Merissa</t>
  </si>
  <si>
    <t>Craig, Danielle</t>
  </si>
  <si>
    <t>Higginbotham, Jolee</t>
  </si>
  <si>
    <t>Snider, Jeff</t>
  </si>
  <si>
    <t>Haley, Samuel</t>
  </si>
  <si>
    <t>Van Wilpe, Scott</t>
  </si>
  <si>
    <t>Wayne, Chancellor</t>
  </si>
  <si>
    <t>Smith, Adam</t>
  </si>
  <si>
    <t>Bradley, Lisa</t>
  </si>
  <si>
    <t>Inman, Jason</t>
  </si>
  <si>
    <t>Hamilton, David</t>
  </si>
  <si>
    <t>Wade, Charles</t>
  </si>
  <si>
    <t>Mitchell, Lauren</t>
  </si>
  <si>
    <t>Cooper, James</t>
  </si>
  <si>
    <t>Johnson, Richard</t>
  </si>
  <si>
    <t>Dunnagan, Larry</t>
  </si>
  <si>
    <t>English, Bobby</t>
  </si>
  <si>
    <t>Morse, David</t>
  </si>
  <si>
    <t>Ungerank, Clarence</t>
  </si>
  <si>
    <t>Collins, Jason</t>
  </si>
  <si>
    <t>Long, Joseph</t>
  </si>
  <si>
    <t>Jameson, Jonathan</t>
  </si>
  <si>
    <t>Logan, Julie,</t>
  </si>
  <si>
    <t>Barry, Patrick</t>
  </si>
  <si>
    <t>Bubak, Nate</t>
  </si>
  <si>
    <t>Swanson, Dodgen</t>
  </si>
  <si>
    <t>Smith, Tarsha</t>
  </si>
  <si>
    <t>Pinter, Zachary</t>
  </si>
  <si>
    <t>Pittman, Ben</t>
  </si>
  <si>
    <t>Smith, James</t>
  </si>
  <si>
    <t>Watkins, Parker</t>
  </si>
  <si>
    <t>Blackmon, Christopher</t>
  </si>
  <si>
    <t>Ferguson, Joseph</t>
  </si>
  <si>
    <t>Light, Natausha</t>
  </si>
  <si>
    <t>Acevedo, Marissa</t>
  </si>
  <si>
    <t>Damon C Cripps</t>
  </si>
  <si>
    <t>Oldham, Cory</t>
  </si>
  <si>
    <t>Hurley Baumann, Emily</t>
  </si>
  <si>
    <t>Garretson, Kyle</t>
  </si>
  <si>
    <t>Bishop, Traci</t>
  </si>
  <si>
    <t>Hope Ii, John</t>
  </si>
  <si>
    <t>Virgil, Edward</t>
  </si>
  <si>
    <t>Stewart, Dwight</t>
  </si>
  <si>
    <t>ken Sowers, Md</t>
  </si>
  <si>
    <t>Elder, Christopher</t>
  </si>
  <si>
    <t>Le, Anthony</t>
  </si>
  <si>
    <t>Tramel, Misty</t>
  </si>
  <si>
    <t>Broom, Christopher</t>
  </si>
  <si>
    <t>Williams, Jayda</t>
  </si>
  <si>
    <t>Ziegler, Robert</t>
  </si>
  <si>
    <t>Jackson, Patricia</t>
  </si>
  <si>
    <t>Roeder, Harvey</t>
  </si>
  <si>
    <t>Ramey, Kelli</t>
  </si>
  <si>
    <t>Tice, John</t>
  </si>
  <si>
    <t>Favorite, Justin</t>
  </si>
  <si>
    <t>Lamey, Adam</t>
  </si>
  <si>
    <t>Wilson, Kendall</t>
  </si>
  <si>
    <t>kevin Skinner, Dc</t>
  </si>
  <si>
    <t>Harris, Peter</t>
  </si>
  <si>
    <t>Worthen, Dustin</t>
  </si>
  <si>
    <t>Kue, Chee</t>
  </si>
  <si>
    <t>Mulanax, Nathan</t>
  </si>
  <si>
    <t>Granger, Dena</t>
  </si>
  <si>
    <t>Garrison, Douglas</t>
  </si>
  <si>
    <t>Cunico, Charles</t>
  </si>
  <si>
    <t>Boris, Nicholas</t>
  </si>
  <si>
    <t>Cobb, Kyle</t>
  </si>
  <si>
    <t>Tucker, Jeffrey</t>
  </si>
  <si>
    <t>Ulmschneider, Philip</t>
  </si>
  <si>
    <t>Morter, Russell</t>
  </si>
  <si>
    <t>Norman, Savannah</t>
  </si>
  <si>
    <t>Stanton, Jason</t>
  </si>
  <si>
    <t>Grootendorst, John</t>
  </si>
  <si>
    <t>Jones, Nathan</t>
  </si>
  <si>
    <t>Wood, Jesse</t>
  </si>
  <si>
    <t>Hays, Sarah</t>
  </si>
  <si>
    <t>Nicodemus, Rianna</t>
  </si>
  <si>
    <t>Konarski Hart, Karen</t>
  </si>
  <si>
    <t>Butler, Mark</t>
  </si>
  <si>
    <t>Johnson, Douglas</t>
  </si>
  <si>
    <t>Battiste, Amari</t>
  </si>
  <si>
    <t>Brown, Glen</t>
  </si>
  <si>
    <t>Vanhook, Ronald</t>
  </si>
  <si>
    <t>Sewell, Mark</t>
  </si>
  <si>
    <t>Owens, Josi</t>
  </si>
  <si>
    <t>Woods, Richard</t>
  </si>
  <si>
    <t>Reynolds, Carol</t>
  </si>
  <si>
    <t>Richardson, Lance</t>
  </si>
  <si>
    <t>Gustafson, Jessica,</t>
  </si>
  <si>
    <t>Rector, Lynsey</t>
  </si>
  <si>
    <t>Burton, Christopher</t>
  </si>
  <si>
    <t>Korbin, Duffy</t>
  </si>
  <si>
    <t>Harrah, Kevin</t>
  </si>
  <si>
    <t>Shultz, Jennifer</t>
  </si>
  <si>
    <t>Hill, Jackie</t>
  </si>
  <si>
    <t>Fowler, Tray</t>
  </si>
  <si>
    <t>Howard, Tracy</t>
  </si>
  <si>
    <t>Dilatush, Susan</t>
  </si>
  <si>
    <t>Morter, Milton</t>
  </si>
  <si>
    <t>Rhoades, Ashley</t>
  </si>
  <si>
    <t>Gullo, Brandon</t>
  </si>
  <si>
    <t>Alice, Cardona</t>
  </si>
  <si>
    <t>Ray, Christopher</t>
  </si>
  <si>
    <t>Cates, Samuel</t>
  </si>
  <si>
    <t>Taylor, J</t>
  </si>
  <si>
    <t>Roth, Ryan</t>
  </si>
  <si>
    <t>Tompkins, Neshaydith</t>
  </si>
  <si>
    <t>Vang, David</t>
  </si>
  <si>
    <t>Kamerman, Timothy</t>
  </si>
  <si>
    <t>Mclaurin, Rosa</t>
  </si>
  <si>
    <t>John,Hassam</t>
  </si>
  <si>
    <t>Dickerson, James</t>
  </si>
  <si>
    <t>Newton, Lauren</t>
  </si>
  <si>
    <t>Gartside, Melanie</t>
  </si>
  <si>
    <t>Collier, Justin</t>
  </si>
  <si>
    <t>Clawson, Patrick</t>
  </si>
  <si>
    <t>Clary, Patrick</t>
  </si>
  <si>
    <t>Hagebusch, Marc</t>
  </si>
  <si>
    <t>Bryant, Mark</t>
  </si>
  <si>
    <t>Torres, Matthew</t>
  </si>
  <si>
    <t>Sands, John</t>
  </si>
  <si>
    <t>Sherman, Meghann</t>
  </si>
  <si>
    <t>Miller, Michael Allen</t>
  </si>
  <si>
    <t>Whitby, Jake</t>
  </si>
  <si>
    <t>Nguyen, Kevin</t>
  </si>
  <si>
    <t>Bookout, Cris</t>
  </si>
  <si>
    <t>Badders, Jedediah</t>
  </si>
  <si>
    <t>Kerbs, Robert</t>
  </si>
  <si>
    <t>Thompson Family Chiropractic</t>
  </si>
  <si>
    <t>Holt, Charles</t>
  </si>
  <si>
    <t>Montz Goble, Kristy</t>
  </si>
  <si>
    <t>Dixon, Thomas</t>
  </si>
  <si>
    <t>Morter, Katrina</t>
  </si>
  <si>
    <t>Jones, Philip</t>
  </si>
  <si>
    <t>Crum, Amy</t>
  </si>
  <si>
    <t>Forbess, Michiru</t>
  </si>
  <si>
    <t>Wallace, Taylor</t>
  </si>
  <si>
    <t>Snider, Bradley</t>
  </si>
  <si>
    <t>Crowder, Jaclyn N.</t>
  </si>
  <si>
    <t>Tonymon, C</t>
  </si>
  <si>
    <t>Keller, Steven</t>
  </si>
  <si>
    <t>Larson, Courtney</t>
  </si>
  <si>
    <t>Mcmurray, Julian</t>
  </si>
  <si>
    <t>Nesterenko, Paul</t>
  </si>
  <si>
    <t>Alex Abbott</t>
  </si>
  <si>
    <t>Johnston, Carl</t>
  </si>
  <si>
    <t>Bolding, Scott</t>
  </si>
  <si>
    <t>Evans, Jeffery</t>
  </si>
  <si>
    <t>Taylor, Charles</t>
  </si>
  <si>
    <t>Trouy, Edward</t>
  </si>
  <si>
    <t>Morgan, Kara</t>
  </si>
  <si>
    <t>Shing, Devyn</t>
  </si>
  <si>
    <t>Chu, Henry</t>
  </si>
  <si>
    <t>Puckett, John</t>
  </si>
  <si>
    <t>Mayfield, Dale</t>
  </si>
  <si>
    <t>Hayden, James</t>
  </si>
  <si>
    <t>Dudley, Elliott</t>
  </si>
  <si>
    <t>Erin E Freeman</t>
  </si>
  <si>
    <t>Clemmer, Derek</t>
  </si>
  <si>
    <t>Brown, Rachelle</t>
  </si>
  <si>
    <t>Bentley Burris, Hollice</t>
  </si>
  <si>
    <t>Storms, Darrin</t>
  </si>
  <si>
    <t>Koehn, David, P</t>
  </si>
  <si>
    <t>Marks, Derek</t>
  </si>
  <si>
    <t>Rinehart, Douglas</t>
  </si>
  <si>
    <t>Mcconnell, Richard</t>
  </si>
  <si>
    <t>Huddleston, Madeline</t>
  </si>
  <si>
    <t>Henderson, Sydney</t>
  </si>
  <si>
    <t>Le, Kevin</t>
  </si>
  <si>
    <t>Vannice, Blain,</t>
  </si>
  <si>
    <t>Lanham, Lawrence</t>
  </si>
  <si>
    <t>Curry, Andrew</t>
  </si>
  <si>
    <t>Zolten, Avram</t>
  </si>
  <si>
    <t>Childs, Miranda</t>
  </si>
  <si>
    <t>Potts, Christopher</t>
  </si>
  <si>
    <t>Mathis, Eric</t>
  </si>
  <si>
    <t>Willis, Giles</t>
  </si>
  <si>
    <t>Bratton, Aaron</t>
  </si>
  <si>
    <t>Gunderman, Lauren</t>
  </si>
  <si>
    <t>Kyle, Hargis</t>
  </si>
  <si>
    <t>Jonathan, Curlin</t>
  </si>
  <si>
    <t>Johnson, Courtney</t>
  </si>
  <si>
    <t>Russell, Larry</t>
  </si>
  <si>
    <t>Glass, David</t>
  </si>
  <si>
    <t>Oltmann, Catriona</t>
  </si>
  <si>
    <t>Whitlow, Stuart</t>
  </si>
  <si>
    <t>Williams, Skyler, H</t>
  </si>
  <si>
    <t>Lopez, Dixie</t>
  </si>
  <si>
    <t>Landry, Ralph</t>
  </si>
  <si>
    <t>Himm, William</t>
  </si>
  <si>
    <t>King, Ty</t>
  </si>
  <si>
    <t>Patterson, A Elizabeth</t>
  </si>
  <si>
    <t>Davis, Lamonica</t>
  </si>
  <si>
    <t>Tate, Timothy</t>
  </si>
  <si>
    <t>Hodge, Chase</t>
  </si>
  <si>
    <t>Kale W Garner</t>
  </si>
  <si>
    <t>Jolly, Scott</t>
  </si>
  <si>
    <t>Gaither, S</t>
  </si>
  <si>
    <t>Webster, Chadwick</t>
  </si>
  <si>
    <t>Borengasser, James</t>
  </si>
  <si>
    <t>Eades, David</t>
  </si>
  <si>
    <t>Plyler, Carl</t>
  </si>
  <si>
    <t>Bonds, James</t>
  </si>
  <si>
    <t>Hamilton, Alex</t>
  </si>
  <si>
    <t>Cooper, Michael</t>
  </si>
  <si>
    <t>Ryan O'sullivan</t>
  </si>
  <si>
    <t>Hiegert, Kathryn</t>
  </si>
  <si>
    <t>Wadhwa, Tanya,</t>
  </si>
  <si>
    <t>Watson, David</t>
  </si>
  <si>
    <t>Trogdon, Gavin</t>
  </si>
  <si>
    <t>Lundy, Liza</t>
  </si>
  <si>
    <t>Agbabli, Ami</t>
  </si>
  <si>
    <t>Bleything, Jill</t>
  </si>
  <si>
    <t>Highland, Nancy</t>
  </si>
  <si>
    <t>Keener, Joshua</t>
  </si>
  <si>
    <t>Harrison, Michael</t>
  </si>
  <si>
    <t>Signorino, Jamie</t>
  </si>
  <si>
    <t>Fergus, Kelly</t>
  </si>
  <si>
    <t>Fields, Ashley</t>
  </si>
  <si>
    <t>Silvestri, Conner</t>
  </si>
  <si>
    <t>Canales, Tyler</t>
  </si>
  <si>
    <t>Shepherd, William</t>
  </si>
  <si>
    <t>Levine, Robert</t>
  </si>
  <si>
    <t>Ladd, William</t>
  </si>
  <si>
    <t>Lester, Mindy</t>
  </si>
  <si>
    <t>Mapili Edwards, M</t>
  </si>
  <si>
    <t>Murphy, Aundra</t>
  </si>
  <si>
    <t>Ashabranner, Sloan</t>
  </si>
  <si>
    <t>Hankins, Amanda</t>
  </si>
  <si>
    <t>Fusilier, Jeffrey</t>
  </si>
  <si>
    <t>Smith, Hayden</t>
  </si>
  <si>
    <t>Freeman, Josylin</t>
  </si>
  <si>
    <t>Scott W Eichhorn Dds</t>
  </si>
  <si>
    <t>Richardson, Haley,</t>
  </si>
  <si>
    <t>Simpson, Randy</t>
  </si>
  <si>
    <t>anthony L Tortorich, Dds</t>
  </si>
  <si>
    <t>Daniel, John</t>
  </si>
  <si>
    <t>Coleman, Bradley</t>
  </si>
  <si>
    <t>Rangitsch, Clayton</t>
  </si>
  <si>
    <t>Reith, Matthew</t>
  </si>
  <si>
    <t>Mann, Brandon</t>
  </si>
  <si>
    <t>Glassell, Andrew</t>
  </si>
  <si>
    <t>Jenkins, Thomas</t>
  </si>
  <si>
    <t>John Ross</t>
  </si>
  <si>
    <t>Lemons Prince, Marny</t>
  </si>
  <si>
    <t>Beavers, James</t>
  </si>
  <si>
    <t>Chavez, Brandon</t>
  </si>
  <si>
    <t>Pelphrey, Rosemary</t>
  </si>
  <si>
    <t>Jones, Logan</t>
  </si>
  <si>
    <t>Pevahouse, Ann, O</t>
  </si>
  <si>
    <t>Curlin, Jim</t>
  </si>
  <si>
    <t>Berley, Ken</t>
  </si>
  <si>
    <t>Bolding, Taruna</t>
  </si>
  <si>
    <t>Province, Dana</t>
  </si>
  <si>
    <t>Mangan, Steve</t>
  </si>
  <si>
    <t>Molpus, Steven</t>
  </si>
  <si>
    <t>Blackshare, Daniel</t>
  </si>
  <si>
    <t>Nicole S Donaldson</t>
  </si>
  <si>
    <t>George, Scott</t>
  </si>
  <si>
    <t>Reynolds, David</t>
  </si>
  <si>
    <t>Shepard, Christi</t>
  </si>
  <si>
    <t>Mccormick, William</t>
  </si>
  <si>
    <t>Schroepfer, Tracy</t>
  </si>
  <si>
    <t>Aisha, Henry</t>
  </si>
  <si>
    <t>Amin Cashman, Kay</t>
  </si>
  <si>
    <t>Dunlap, James</t>
  </si>
  <si>
    <t>Praetzel, Daron</t>
  </si>
  <si>
    <t>Deatley, Irvin</t>
  </si>
  <si>
    <t>Scott, John</t>
  </si>
  <si>
    <t>Cason, Samuel</t>
  </si>
  <si>
    <t>Latourette, Anslee</t>
  </si>
  <si>
    <t>Barton, Reid, C</t>
  </si>
  <si>
    <t>James W Wisener</t>
  </si>
  <si>
    <t>Rodney, Lewis</t>
  </si>
  <si>
    <t>Scallion, Tara</t>
  </si>
  <si>
    <t>Payne, Sarah</t>
  </si>
  <si>
    <t>Gariga, Nirupa</t>
  </si>
  <si>
    <t>Decoursey, Brett</t>
  </si>
  <si>
    <t>Shahare, Alaa,</t>
  </si>
  <si>
    <t>Moseley, Patrick</t>
  </si>
  <si>
    <t>Jolly, Robert</t>
  </si>
  <si>
    <t>Massey Wagner, Kathryn</t>
  </si>
  <si>
    <t>Robbins, David</t>
  </si>
  <si>
    <t>Dietz, James</t>
  </si>
  <si>
    <t>Jones, Thomas</t>
  </si>
  <si>
    <t>Crystal M Viegas</t>
  </si>
  <si>
    <t>Dustin, Rhoads</t>
  </si>
  <si>
    <t>Lally, John</t>
  </si>
  <si>
    <t>Toland, Richard</t>
  </si>
  <si>
    <t>Fleming, Maxwell</t>
  </si>
  <si>
    <t>Vescovo, Louis</t>
  </si>
  <si>
    <t>Stratton, Ronald</t>
  </si>
  <si>
    <t>Harper, Mitchell</t>
  </si>
  <si>
    <t>Xingtong Liu</t>
  </si>
  <si>
    <t>Blanscet, Michael</t>
  </si>
  <si>
    <t>Harmon, Lauren</t>
  </si>
  <si>
    <t>Erney, Warren</t>
  </si>
  <si>
    <t>Johnson, Vedna</t>
  </si>
  <si>
    <t>Webb, Brandon</t>
  </si>
  <si>
    <t>Hameed, Sumayya</t>
  </si>
  <si>
    <t>Davis, Akia</t>
  </si>
  <si>
    <t>Davis, Craig</t>
  </si>
  <si>
    <t>Bryan, Rebecca</t>
  </si>
  <si>
    <t>Jeffus, Brooke</t>
  </si>
  <si>
    <t>Fish, Daniel</t>
  </si>
  <si>
    <t>Tyer, Stephen</t>
  </si>
  <si>
    <t>Ramos Veloz, Sheila</t>
  </si>
  <si>
    <t>Delee, Adam</t>
  </si>
  <si>
    <t>Navarro, Carlos</t>
  </si>
  <si>
    <t>Blakeney, Chauncey</t>
  </si>
  <si>
    <t>Patel, Varsha</t>
  </si>
  <si>
    <t>Higgins, Clifton</t>
  </si>
  <si>
    <t>Beacham, Nadia</t>
  </si>
  <si>
    <t>Caroline, Mehaffy</t>
  </si>
  <si>
    <t>Waddell, Harrison</t>
  </si>
  <si>
    <t>Sullivant, John</t>
  </si>
  <si>
    <t>Crisp, Charles</t>
  </si>
  <si>
    <t>Thayer, Stone</t>
  </si>
  <si>
    <t>Mccormick, Michael</t>
  </si>
  <si>
    <t>Edwards, Matthew</t>
  </si>
  <si>
    <t>Richardson, Leotis</t>
  </si>
  <si>
    <t>Cason, Anne</t>
  </si>
  <si>
    <t>Jones, Brandon</t>
  </si>
  <si>
    <t>Vondran, Charles</t>
  </si>
  <si>
    <t>Harris, William</t>
  </si>
  <si>
    <t>Weaver, Jennifer</t>
  </si>
  <si>
    <t>Plyler, Jeffrey</t>
  </si>
  <si>
    <t>Hegmann, William</t>
  </si>
  <si>
    <t>Perry, Candice</t>
  </si>
  <si>
    <t>Thomas, Hunter</t>
  </si>
  <si>
    <t>Burson, Haley</t>
  </si>
  <si>
    <t>Rubisch, Joshua</t>
  </si>
  <si>
    <t>Efird, Leah</t>
  </si>
  <si>
    <t>Jolley, Aixa,</t>
  </si>
  <si>
    <t>Fleeman, Carl</t>
  </si>
  <si>
    <t>Boatright, Stephen</t>
  </si>
  <si>
    <t>Penney, James</t>
  </si>
  <si>
    <t>Smith, Richard</t>
  </si>
  <si>
    <t>Vidyakin, Stas</t>
  </si>
  <si>
    <t>Wisener, Jeffrey</t>
  </si>
  <si>
    <t>Sellmeyer, Drake</t>
  </si>
  <si>
    <t>Shambarger, James</t>
  </si>
  <si>
    <t>Carmony, Neil</t>
  </si>
  <si>
    <t>Forrester, Aaron</t>
  </si>
  <si>
    <t>Holifield, Kara</t>
  </si>
  <si>
    <t>Hignite, Dwight</t>
  </si>
  <si>
    <t>River Dental Siloam Springs</t>
  </si>
  <si>
    <t>Baumgardner, R</t>
  </si>
  <si>
    <t>Shirley, Michael</t>
  </si>
  <si>
    <t>Atkinson, D</t>
  </si>
  <si>
    <t>Akhtar, Atif</t>
  </si>
  <si>
    <t>Odell, Van</t>
  </si>
  <si>
    <t>Roberts, Steven</t>
  </si>
  <si>
    <t>Dover, Matthew</t>
  </si>
  <si>
    <t>Jolley, Ted</t>
  </si>
  <si>
    <t>Dimond, Jamie</t>
  </si>
  <si>
    <t>Nakita, Riley</t>
  </si>
  <si>
    <t>Simmons, Celita</t>
  </si>
  <si>
    <t>Phelan, Richard</t>
  </si>
  <si>
    <t>Cook, Jerry</t>
  </si>
  <si>
    <t>Deatley, Christina</t>
  </si>
  <si>
    <t>Mccracken, Michael</t>
  </si>
  <si>
    <t>Timmons, Jason</t>
  </si>
  <si>
    <t>Rowe Jr, W Johnston</t>
  </si>
  <si>
    <t>Daniel, Bradley</t>
  </si>
  <si>
    <t>Hurst, David</t>
  </si>
  <si>
    <t>Casey, Jeffery</t>
  </si>
  <si>
    <t>Turner, Darwin</t>
  </si>
  <si>
    <t>Ellis, Virgil</t>
  </si>
  <si>
    <t>Gubler, Michael</t>
  </si>
  <si>
    <t>Alley, Michael</t>
  </si>
  <si>
    <t>Messenger, Anna Marie</t>
  </si>
  <si>
    <t>Crossfield, Bradley</t>
  </si>
  <si>
    <t>Inboden, William</t>
  </si>
  <si>
    <t>Kinzler, Andrew</t>
  </si>
  <si>
    <t>Bell, Molly</t>
  </si>
  <si>
    <t>Ake, Ethan</t>
  </si>
  <si>
    <t>Porter, William</t>
  </si>
  <si>
    <t>Martin, Lauren</t>
  </si>
  <si>
    <t>Wilkins, Sidney, C</t>
  </si>
  <si>
    <t>Bailey, R Mark</t>
  </si>
  <si>
    <t>Barfield, Jana</t>
  </si>
  <si>
    <t>Bell, Katherine</t>
  </si>
  <si>
    <t>Mayfield, Jacob</t>
  </si>
  <si>
    <t>Perez Hernandez, Katia</t>
  </si>
  <si>
    <t>Bulloch, Brandon,</t>
  </si>
  <si>
    <t>Gray, Angela</t>
  </si>
  <si>
    <t>Miles, Joseph</t>
  </si>
  <si>
    <t>Tramel, Robert</t>
  </si>
  <si>
    <t>Mcneel, R Dean</t>
  </si>
  <si>
    <t>Neff, Alvin</t>
  </si>
  <si>
    <t>Inman, David</t>
  </si>
  <si>
    <t>Ross, Grayson</t>
  </si>
  <si>
    <t>Ferguson, Regina</t>
  </si>
  <si>
    <t>Hill, David</t>
  </si>
  <si>
    <t>Esry, Shelby</t>
  </si>
  <si>
    <t>Dietrich, Fred</t>
  </si>
  <si>
    <t>Schmidt, Dennis</t>
  </si>
  <si>
    <t>Carlisle, Matthew</t>
  </si>
  <si>
    <t>Sarna, Thomas</t>
  </si>
  <si>
    <t>Green, Kristin</t>
  </si>
  <si>
    <t>Thibodeaux, Jason</t>
  </si>
  <si>
    <t>Hankins, Stevens</t>
  </si>
  <si>
    <t>Rasmussen, Connor</t>
  </si>
  <si>
    <t>Payne, Kayla</t>
  </si>
  <si>
    <t>Bi, Shuya</t>
  </si>
  <si>
    <t>Kinard Dentistry Llc</t>
  </si>
  <si>
    <t>Rakstang, Jonathan</t>
  </si>
  <si>
    <t>Talley, Joshua</t>
  </si>
  <si>
    <t>Amirfaiz, Shirin</t>
  </si>
  <si>
    <t>Zheng, Zhi</t>
  </si>
  <si>
    <t>Newton, Miles</t>
  </si>
  <si>
    <t>Southard, Heather</t>
  </si>
  <si>
    <t>Bale, Forrest</t>
  </si>
  <si>
    <t>Lenderman, William</t>
  </si>
  <si>
    <t>Blansett, Jonathan</t>
  </si>
  <si>
    <t>Lewis, Paul</t>
  </si>
  <si>
    <t>Glassell, Brenton</t>
  </si>
  <si>
    <t>Kirby, Amy</t>
  </si>
  <si>
    <t>Spivey, Thomas</t>
  </si>
  <si>
    <t>Jones, Cara</t>
  </si>
  <si>
    <t>Weaver, Lori</t>
  </si>
  <si>
    <t>Haydel, Michael</t>
  </si>
  <si>
    <t>Chelsie</t>
  </si>
  <si>
    <t>Bryce, Mcpherson</t>
  </si>
  <si>
    <t>Shearer, Travis</t>
  </si>
  <si>
    <t>Pascoe, Steven</t>
  </si>
  <si>
    <t>Roberts, R</t>
  </si>
  <si>
    <t>Myers, David</t>
  </si>
  <si>
    <t>Prather, Brenton</t>
  </si>
  <si>
    <t>Bledsoe, William</t>
  </si>
  <si>
    <t>Nguyen, Quyen</t>
  </si>
  <si>
    <t>Gardner, Sarah</t>
  </si>
  <si>
    <t>Wah, Stephen</t>
  </si>
  <si>
    <t>Davis, Matthew</t>
  </si>
  <si>
    <t>Dupree, James</t>
  </si>
  <si>
    <t>Collins, Mitchell</t>
  </si>
  <si>
    <t>Woodard, Ernest</t>
  </si>
  <si>
    <t>Ellenwood, Drew</t>
  </si>
  <si>
    <t>Jensen, Peder</t>
  </si>
  <si>
    <t>Turcios, Jose</t>
  </si>
  <si>
    <t>Udouj, Henry</t>
  </si>
  <si>
    <t>Mashburn, Mark</t>
  </si>
  <si>
    <t>Clemmons, Ward</t>
  </si>
  <si>
    <t>Holliday, Alane</t>
  </si>
  <si>
    <t>Dollar, Nick</t>
  </si>
  <si>
    <t>White, Steven</t>
  </si>
  <si>
    <t>Zaki-Sabet, Angie</t>
  </si>
  <si>
    <t>Mehra, Komal</t>
  </si>
  <si>
    <t>Williams, Christopher</t>
  </si>
  <si>
    <t>Putnam, Logan</t>
  </si>
  <si>
    <t>Deal, Stephen</t>
  </si>
  <si>
    <t>Parker, Van</t>
  </si>
  <si>
    <t>Schoen, Scott</t>
  </si>
  <si>
    <t>Stark, Robert</t>
  </si>
  <si>
    <t>Larsen, W</t>
  </si>
  <si>
    <t>Hunsaker, Stephen</t>
  </si>
  <si>
    <t>Spades, Joseph</t>
  </si>
  <si>
    <t>Massey, Donna</t>
  </si>
  <si>
    <t>Colclasure, Dale</t>
  </si>
  <si>
    <t>Wyant, C</t>
  </si>
  <si>
    <t>Baldwin, Aaron</t>
  </si>
  <si>
    <t>Burks, Matthew</t>
  </si>
  <si>
    <t>Urrutia, Dawson</t>
  </si>
  <si>
    <t>Chen, Howland,</t>
  </si>
  <si>
    <t>Curtis, Paul</t>
  </si>
  <si>
    <t>Douglas, Brien</t>
  </si>
  <si>
    <t>Long, Robert</t>
  </si>
  <si>
    <t>Apata, Larhonda</t>
  </si>
  <si>
    <t>Christopher, Clark</t>
  </si>
  <si>
    <t>Jacob, Auprey</t>
  </si>
  <si>
    <t>Keene, Robert</t>
  </si>
  <si>
    <t>Dake, Mark</t>
  </si>
  <si>
    <t>Looney, Mark</t>
  </si>
  <si>
    <t>Kifer, Stephen</t>
  </si>
  <si>
    <t>Lane, Lamar</t>
  </si>
  <si>
    <t>Smith, Courtney</t>
  </si>
  <si>
    <t>Marks, Kathleen</t>
  </si>
  <si>
    <t>Barry, Brian</t>
  </si>
  <si>
    <t>Brooks, Roger</t>
  </si>
  <si>
    <t>Fiser, Brooks</t>
  </si>
  <si>
    <t>Bradley J Hillman</t>
  </si>
  <si>
    <t>Stricklin, Russell</t>
  </si>
  <si>
    <t>Rhodes, Audra, N</t>
  </si>
  <si>
    <t>Mckown, Corey, J</t>
  </si>
  <si>
    <t>Elia, Kristi</t>
  </si>
  <si>
    <t>Zarlingo, David</t>
  </si>
  <si>
    <t>Meggers, Marshall</t>
  </si>
  <si>
    <t>Tortorich, Jordan</t>
  </si>
  <si>
    <t>Holloway, Mckenzie</t>
  </si>
  <si>
    <t>Long, Thao</t>
  </si>
  <si>
    <t>Woods, Matthew</t>
  </si>
  <si>
    <t>Ross, Deanne</t>
  </si>
  <si>
    <t>Camryn, Bryant</t>
  </si>
  <si>
    <t>Nelson, Rachel</t>
  </si>
  <si>
    <t>Cloud, John</t>
  </si>
  <si>
    <t>Hatley, Nayla</t>
  </si>
  <si>
    <t>Hillis, Jordan</t>
  </si>
  <si>
    <t>Chamblee, Charles</t>
  </si>
  <si>
    <t>Maiwand, Safa</t>
  </si>
  <si>
    <t>Holcomb, John</t>
  </si>
  <si>
    <t>Meek, Stefanie</t>
  </si>
  <si>
    <t>Ury, Jonathan</t>
  </si>
  <si>
    <t>Grady, Kimberly</t>
  </si>
  <si>
    <t>Patel, Punit</t>
  </si>
  <si>
    <t>Dillingham, Grayson,</t>
  </si>
  <si>
    <t>Carlisle, Robert</t>
  </si>
  <si>
    <t>Bratton, Roy</t>
  </si>
  <si>
    <t>Bollin, Ray</t>
  </si>
  <si>
    <t>Jensen, Chad</t>
  </si>
  <si>
    <t>Wallace, Cayce</t>
  </si>
  <si>
    <t>Gordy, Spencer</t>
  </si>
  <si>
    <t>Neumeier, Allison</t>
  </si>
  <si>
    <t>Emily A Arnoult</t>
  </si>
  <si>
    <t>Howell, Dillon</t>
  </si>
  <si>
    <t>Hollerman, Davida</t>
  </si>
  <si>
    <t>Woolsey, Jason</t>
  </si>
  <si>
    <t>Everett, Taylor</t>
  </si>
  <si>
    <t>Sims, Kendall</t>
  </si>
  <si>
    <t>Fruchey, Luke</t>
  </si>
  <si>
    <t>Chandler A Bozarth</t>
  </si>
  <si>
    <t>Drew, Perry</t>
  </si>
  <si>
    <t>Fallis, Thomas</t>
  </si>
  <si>
    <t>Fulks, Clint</t>
  </si>
  <si>
    <t>Smith, Todd</t>
  </si>
  <si>
    <t>Powell, Larry</t>
  </si>
  <si>
    <t>Vanhouten Grubbs, Kelli</t>
  </si>
  <si>
    <t>Wilson, William</t>
  </si>
  <si>
    <t>Winborn, Paul</t>
  </si>
  <si>
    <t>Havard, Jason</t>
  </si>
  <si>
    <t>Phelan, Todd</t>
  </si>
  <si>
    <t>Rothrock, Timothy</t>
  </si>
  <si>
    <t>Showalter, Ken</t>
  </si>
  <si>
    <t>Mcshane, Matthew</t>
  </si>
  <si>
    <t>Bell, Amy</t>
  </si>
  <si>
    <t>Mcqueen, Van</t>
  </si>
  <si>
    <t>Vargas, Alvarez, Iyamilet</t>
  </si>
  <si>
    <t>Gundlapally, Ruchira,</t>
  </si>
  <si>
    <t>Moore, William</t>
  </si>
  <si>
    <t>Rhodes, Jeffrey</t>
  </si>
  <si>
    <t>Salazar, Jose</t>
  </si>
  <si>
    <t>Wood, Eric</t>
  </si>
  <si>
    <t>Perry, Rickey</t>
  </si>
  <si>
    <t>Harris, Kyle</t>
  </si>
  <si>
    <t>Sandlin, Jacob</t>
  </si>
  <si>
    <t>Joseph, Farmer</t>
  </si>
  <si>
    <t>Scarbrough, Richard</t>
  </si>
  <si>
    <t>Jaquess, Christie</t>
  </si>
  <si>
    <t>Caleb Winkler</t>
  </si>
  <si>
    <t>Jones, Hunter, T</t>
  </si>
  <si>
    <t>Sean M, Fitzhugh</t>
  </si>
  <si>
    <t>Caraway, William</t>
  </si>
  <si>
    <t>Buffington, James</t>
  </si>
  <si>
    <t>Pham, Lynh</t>
  </si>
  <si>
    <t>Looney, Melanie</t>
  </si>
  <si>
    <t>Beene, Daniel</t>
  </si>
  <si>
    <t>Camp, Matthew</t>
  </si>
  <si>
    <t>Nancy, Sidarous</t>
  </si>
  <si>
    <t>Paddie, Hunter, M</t>
  </si>
  <si>
    <t>Clement, Alexis, L</t>
  </si>
  <si>
    <t>Parker, Peasron</t>
  </si>
  <si>
    <t>Catron, Chad</t>
  </si>
  <si>
    <t>Wendfeldt, Kyle</t>
  </si>
  <si>
    <t>Chason, Steve</t>
  </si>
  <si>
    <t>Browningjr, Larry</t>
  </si>
  <si>
    <t>Hattenhauer, Alayna</t>
  </si>
  <si>
    <t>Wilkie, Austin</t>
  </si>
  <si>
    <t>Doyle, Zach</t>
  </si>
  <si>
    <t>Kitchens, Jesse</t>
  </si>
  <si>
    <t>Svendsen, John</t>
  </si>
  <si>
    <t>Tatyana P Haddock</t>
  </si>
  <si>
    <t>Scallion, Scott</t>
  </si>
  <si>
    <t>Smith, Jerry</t>
  </si>
  <si>
    <t>Taegtmeyer, Jessica</t>
  </si>
  <si>
    <t>Bryan Modern Dentistry Pc</t>
  </si>
  <si>
    <t>Mccleskey, Shirley</t>
  </si>
  <si>
    <t>Burton, Paul</t>
  </si>
  <si>
    <t>Buchman, Wesley</t>
  </si>
  <si>
    <t>Carmical, Colton</t>
  </si>
  <si>
    <t>Moon, Kerry</t>
  </si>
  <si>
    <t>Mccallister, Davis</t>
  </si>
  <si>
    <t>Valadie Dunn, Susan</t>
  </si>
  <si>
    <t>Chaney, Don</t>
  </si>
  <si>
    <t>Grizzle, Emily</t>
  </si>
  <si>
    <t>Beene, Tad</t>
  </si>
  <si>
    <t>Gulley, Stephanie</t>
  </si>
  <si>
    <t>Bartlett, Kent</t>
  </si>
  <si>
    <t>Parkes, Robert</t>
  </si>
  <si>
    <t>Roach, Brandi</t>
  </si>
  <si>
    <t>Gray, Jesse</t>
  </si>
  <si>
    <t>Rush, Cimone</t>
  </si>
  <si>
    <t>Pardo, John</t>
  </si>
  <si>
    <t>Perkins, William</t>
  </si>
  <si>
    <t>Sitzes, Donald</t>
  </si>
  <si>
    <t>Murphy, Aaron</t>
  </si>
  <si>
    <t>Dotson, Ana</t>
  </si>
  <si>
    <t>Mcdonald, Matthew</t>
  </si>
  <si>
    <t>Laura R Roberts</t>
  </si>
  <si>
    <t>Ruano, Selina, E</t>
  </si>
  <si>
    <t>Phillips, James</t>
  </si>
  <si>
    <t>Copeland, Bryan</t>
  </si>
  <si>
    <t>Cobb, Donald</t>
  </si>
  <si>
    <t>Altazin, Ashley</t>
  </si>
  <si>
    <t>Leonard, Ethan</t>
  </si>
  <si>
    <t>Evan, Scarbrough</t>
  </si>
  <si>
    <t>Burris, James</t>
  </si>
  <si>
    <t>Ballenger, Dan</t>
  </si>
  <si>
    <t>Macaraeg-Litten, Maria</t>
  </si>
  <si>
    <t>Spell, Charles</t>
  </si>
  <si>
    <t>Hensley, Kyle</t>
  </si>
  <si>
    <t>Mcmillon, Hannah</t>
  </si>
  <si>
    <t>Grammer, John</t>
  </si>
  <si>
    <t>Reid, Caitlin</t>
  </si>
  <si>
    <t>Chandler, Christopher</t>
  </si>
  <si>
    <t>Edwards, Evan,</t>
  </si>
  <si>
    <t>Peel, Maya</t>
  </si>
  <si>
    <t>Ragan, Robert</t>
  </si>
  <si>
    <t>Parker, April</t>
  </si>
  <si>
    <t>Ross, Derrick</t>
  </si>
  <si>
    <t>Guy, Erin</t>
  </si>
  <si>
    <t>Sherwood, Stuart</t>
  </si>
  <si>
    <t>Powell, Ashley</t>
  </si>
  <si>
    <t>Willis, Cameron</t>
  </si>
  <si>
    <t>Williamson, Whitney</t>
  </si>
  <si>
    <t>Wiles, Sonya</t>
  </si>
  <si>
    <t>Wyatt, Todd</t>
  </si>
  <si>
    <t>Flanagin, James</t>
  </si>
  <si>
    <t>Baker, Rachel</t>
  </si>
  <si>
    <t>Bunch, Brittany</t>
  </si>
  <si>
    <t>Thompson, Lauren</t>
  </si>
  <si>
    <t>Lalani, Rizwan</t>
  </si>
  <si>
    <t>Knox, Chelsea</t>
  </si>
  <si>
    <t>Nguyen, Alan</t>
  </si>
  <si>
    <t>Tran, Totrinh</t>
  </si>
  <si>
    <t>Aikman, Denise</t>
  </si>
  <si>
    <t>Frazier, Brendan</t>
  </si>
  <si>
    <t>Penne, Jennifer</t>
  </si>
  <si>
    <t>Hodge, Brandi</t>
  </si>
  <si>
    <t>Green, Karen</t>
  </si>
  <si>
    <t>Johnson, John</t>
  </si>
  <si>
    <t>Sharp, Alex</t>
  </si>
  <si>
    <t>Sebourn, Sean</t>
  </si>
  <si>
    <t>Hopper, Jeana</t>
  </si>
  <si>
    <t>Irons, Brittany</t>
  </si>
  <si>
    <t>Peppers, David</t>
  </si>
  <si>
    <t>Sherrill, Edward</t>
  </si>
  <si>
    <t>Alley, Nader</t>
  </si>
  <si>
    <t>Goldtrap, Robert</t>
  </si>
  <si>
    <t>Gorman, Kristi</t>
  </si>
  <si>
    <t>Rontae M Graham</t>
  </si>
  <si>
    <t>Sharma, Aneet</t>
  </si>
  <si>
    <t>Debusk, S</t>
  </si>
  <si>
    <t>Kauffman, Christen</t>
  </si>
  <si>
    <t>Brown, Derek</t>
  </si>
  <si>
    <t>Banister, Robert</t>
  </si>
  <si>
    <t>Fulmer, James</t>
  </si>
  <si>
    <t>Diemer, Chase</t>
  </si>
  <si>
    <t>Nasehi, Amin</t>
  </si>
  <si>
    <t>Monroe, Leslie</t>
  </si>
  <si>
    <t>Hays, G</t>
  </si>
  <si>
    <t>Burns, W Paul</t>
  </si>
  <si>
    <t>Herring, Jason</t>
  </si>
  <si>
    <t>Tyson, Summer</t>
  </si>
  <si>
    <t>Shannon, Jodi</t>
  </si>
  <si>
    <t>Mercer, Robert</t>
  </si>
  <si>
    <t>Henderson, Nathalie</t>
  </si>
  <si>
    <t>Graham, Caitlin</t>
  </si>
  <si>
    <t>Zweifler, Michael</t>
  </si>
  <si>
    <t>Andrews, Joseph</t>
  </si>
  <si>
    <t>Branch, Joerald</t>
  </si>
  <si>
    <t>James, Michael</t>
  </si>
  <si>
    <t>Bodenner, Dana</t>
  </si>
  <si>
    <t>Hardin, Sarah</t>
  </si>
  <si>
    <t>Jones, Kirby, M</t>
  </si>
  <si>
    <t>Banks, Tyler, J</t>
  </si>
  <si>
    <t>Morris, Austin, C</t>
  </si>
  <si>
    <t>Deal, Rachel</t>
  </si>
  <si>
    <t>Lance, Glenn</t>
  </si>
  <si>
    <t>Baioni, Nick</t>
  </si>
  <si>
    <t>Thompson, Lashunda</t>
  </si>
  <si>
    <t>Van, Tuyet</t>
  </si>
  <si>
    <t>Bird, Brenton</t>
  </si>
  <si>
    <t>Patel, Nikita</t>
  </si>
  <si>
    <t>Evans, Clora</t>
  </si>
  <si>
    <t>Kwasigroh, Molly</t>
  </si>
  <si>
    <t>Maxwell, Skylar</t>
  </si>
  <si>
    <t>Beavers, Robert</t>
  </si>
  <si>
    <t>Brotherton, Len</t>
  </si>
  <si>
    <t>English, Lindsay</t>
  </si>
  <si>
    <t>Quick, Michael</t>
  </si>
  <si>
    <t>Martin, Gregory</t>
  </si>
  <si>
    <t>Vaughan, Thomas</t>
  </si>
  <si>
    <t>Phillips, Brianna</t>
  </si>
  <si>
    <t>Frank, Griffin</t>
  </si>
  <si>
    <t>Mehrabi, Amir</t>
  </si>
  <si>
    <t>Morales, Thelma</t>
  </si>
  <si>
    <t>Lamb, Alan</t>
  </si>
  <si>
    <t>Osborne, Lance</t>
  </si>
  <si>
    <t>Craig, Clayton</t>
  </si>
  <si>
    <t>Johnston, Jessica</t>
  </si>
  <si>
    <t>Hallums, Darren</t>
  </si>
  <si>
    <t>Shanahan, Mallory</t>
  </si>
  <si>
    <t>Wang, Christina</t>
  </si>
  <si>
    <t>Emerson, Dylan, J</t>
  </si>
  <si>
    <t>Winberry, Alan</t>
  </si>
  <si>
    <t>Hennessy, Steven Daniel</t>
  </si>
  <si>
    <t>Kosmitis, Kim</t>
  </si>
  <si>
    <t>Plummer, Ashley</t>
  </si>
  <si>
    <t>Leonard, Kent</t>
  </si>
  <si>
    <t>Lippian, James</t>
  </si>
  <si>
    <t>Burcham, Britt</t>
  </si>
  <si>
    <t>Gambill, P Greg</t>
  </si>
  <si>
    <t>Rainwater, David</t>
  </si>
  <si>
    <t>Anderson, Robert</t>
  </si>
  <si>
    <t>Jennings, Terry</t>
  </si>
  <si>
    <t>Barton, Kyle</t>
  </si>
  <si>
    <t>Khullar, Denesh</t>
  </si>
  <si>
    <t>Dailey, Dalton</t>
  </si>
  <si>
    <t>Jones, John</t>
  </si>
  <si>
    <t>Fergus, Christopher</t>
  </si>
  <si>
    <t>Pate, John</t>
  </si>
  <si>
    <t>Dickson, Dennis</t>
  </si>
  <si>
    <t>Allison, Wright</t>
  </si>
  <si>
    <t>Cox, Lewis</t>
  </si>
  <si>
    <t>Bunel, Kirby</t>
  </si>
  <si>
    <t>Conine, Rebecca</t>
  </si>
  <si>
    <t>Nichols, Lauren</t>
  </si>
  <si>
    <t>Ly, An</t>
  </si>
  <si>
    <t>Bain, Andrew</t>
  </si>
  <si>
    <t>Friend, Gerald</t>
  </si>
  <si>
    <t>Leeds, D</t>
  </si>
  <si>
    <t>Mcmillan, Jeffrey</t>
  </si>
  <si>
    <t>Matone, Chad</t>
  </si>
  <si>
    <t>Heathman, Montgomery</t>
  </si>
  <si>
    <t>Harp, Kaleb</t>
  </si>
  <si>
    <t>Gammenthaler, Douglas</t>
  </si>
  <si>
    <t>Franklin, Jennifer, E</t>
  </si>
  <si>
    <t>Banister, William</t>
  </si>
  <si>
    <t>Bryce, Boyd</t>
  </si>
  <si>
    <t>Eastburn, Christopher</t>
  </si>
  <si>
    <t>Molina - Aguilar, Dennis</t>
  </si>
  <si>
    <t>Price, Kevin</t>
  </si>
  <si>
    <t>Morton, Philip</t>
  </si>
  <si>
    <t>Stubbs, Scott</t>
  </si>
  <si>
    <t>Youngman, Mackenzie</t>
  </si>
  <si>
    <t>Oluwasanmi, Adegboyega</t>
  </si>
  <si>
    <t>Ho, Ynhi, A</t>
  </si>
  <si>
    <t>Roberts Rowe, Kristy</t>
  </si>
  <si>
    <t>Bowen, Sarah</t>
  </si>
  <si>
    <t>Parham, James</t>
  </si>
  <si>
    <t>Anna Nine</t>
  </si>
  <si>
    <t>Rhoads, Bryan</t>
  </si>
  <si>
    <t>Sparks, Jacob</t>
  </si>
  <si>
    <t>Andrews, Ashley</t>
  </si>
  <si>
    <t>Bradley A Deckelman</t>
  </si>
  <si>
    <t>Hinson Jr, Lee</t>
  </si>
  <si>
    <t>Robertson, Wade</t>
  </si>
  <si>
    <t>Shelby Calvin, Rosetta</t>
  </si>
  <si>
    <t>Gottsponer, Adam</t>
  </si>
  <si>
    <t>Thompson, Wendell</t>
  </si>
  <si>
    <t>Keener, Gary</t>
  </si>
  <si>
    <t>Sitzes, L</t>
  </si>
  <si>
    <t>Henry, Travis</t>
  </si>
  <si>
    <t>Fourmy, Emily</t>
  </si>
  <si>
    <t>Jeffery, Regina</t>
  </si>
  <si>
    <t>Hunt, Collin</t>
  </si>
  <si>
    <t>Badami, Christopher</t>
  </si>
  <si>
    <t>Remerscheid, James</t>
  </si>
  <si>
    <t>Burgess, A</t>
  </si>
  <si>
    <t>Ridenour, Lloyd</t>
  </si>
  <si>
    <t>Wright, Samuel</t>
  </si>
  <si>
    <t>Bavariya, Ankit</t>
  </si>
  <si>
    <t>Killingsworth, Matthew</t>
  </si>
  <si>
    <t>Burriss, Andrew</t>
  </si>
  <si>
    <t>Edward, Cooper</t>
  </si>
  <si>
    <t>Josephine A Koch</t>
  </si>
  <si>
    <t>Scallion, C</t>
  </si>
  <si>
    <t>Boyd, Coy</t>
  </si>
  <si>
    <t>Davenport, James</t>
  </si>
  <si>
    <t>Carlisle, Rebecca</t>
  </si>
  <si>
    <t>Ryall, Kerry</t>
  </si>
  <si>
    <t>Cooper, Brandt</t>
  </si>
  <si>
    <t>Lawrence, Timothy</t>
  </si>
  <si>
    <t>Baldwin, Stephanie</t>
  </si>
  <si>
    <t>Crow, Katie</t>
  </si>
  <si>
    <t>Wong, Lindsay, W</t>
  </si>
  <si>
    <t>Shipley, William</t>
  </si>
  <si>
    <t>Sherwani, Palwasha</t>
  </si>
  <si>
    <t>Henbest, Barry</t>
  </si>
  <si>
    <t>Decker, Keenan</t>
  </si>
  <si>
    <t>Hargett, John</t>
  </si>
  <si>
    <t>Crawford, Michael</t>
  </si>
  <si>
    <t>Dalton, Michael</t>
  </si>
  <si>
    <t>Lippian, Adriane</t>
  </si>
  <si>
    <t>Sharp, Kyle</t>
  </si>
  <si>
    <t>Inboden, Colby</t>
  </si>
  <si>
    <t>Vishaj, Sindi,</t>
  </si>
  <si>
    <t>Peter, Jang</t>
  </si>
  <si>
    <t>Catron, Kyle</t>
  </si>
  <si>
    <t>Fife, Chelsea</t>
  </si>
  <si>
    <t>Foote, William</t>
  </si>
  <si>
    <t>Behrents, Katherine</t>
  </si>
  <si>
    <t>Rinehart, Kathryn</t>
  </si>
  <si>
    <t>Adlong, Luke</t>
  </si>
  <si>
    <t>Latashua, Joseph</t>
  </si>
  <si>
    <t>Hartwig, Keifer</t>
  </si>
  <si>
    <t>Lee, James</t>
  </si>
  <si>
    <t>Vandiver, Richard</t>
  </si>
  <si>
    <t>Vandyck, Larry</t>
  </si>
  <si>
    <t>Savanah, Stewart</t>
  </si>
  <si>
    <t>Kayser, Ashleigh</t>
  </si>
  <si>
    <t>Ross H Dies Dds And Benjamin A Beach Dds A Professional Dental Llc</t>
  </si>
  <si>
    <t>Mead, Taylor, D</t>
  </si>
  <si>
    <t>Hill, Todd</t>
  </si>
  <si>
    <t>Sherrick, Susan,</t>
  </si>
  <si>
    <t>Combs, Chris</t>
  </si>
  <si>
    <t>Ragland, Darryl</t>
  </si>
  <si>
    <t>Weaver, Kolin</t>
  </si>
  <si>
    <t>Narita, Lucian</t>
  </si>
  <si>
    <t>Nunez, Nelson</t>
  </si>
  <si>
    <t>Quick, Barry</t>
  </si>
  <si>
    <t>Huynh, Megan, L</t>
  </si>
  <si>
    <t>Doherty, Mark</t>
  </si>
  <si>
    <t>Shannon, John</t>
  </si>
  <si>
    <t>Tyson, James</t>
  </si>
  <si>
    <t>Grounds, Michael</t>
  </si>
  <si>
    <t>Kimbrough, Steven</t>
  </si>
  <si>
    <t>Carmical, Douglas</t>
  </si>
  <si>
    <t>Mccord, Trenton</t>
  </si>
  <si>
    <t>Walls, Christina</t>
  </si>
  <si>
    <t>Oudin, Caroline</t>
  </si>
  <si>
    <t>Le, Duong</t>
  </si>
  <si>
    <t>Mallett, Mark</t>
  </si>
  <si>
    <t>Gabrielle, Miller</t>
  </si>
  <si>
    <t>Matone, Tanner</t>
  </si>
  <si>
    <t>Grayson, Mcreynolds</t>
  </si>
  <si>
    <t>Anderson, Jasmine</t>
  </si>
  <si>
    <t>Heather Bond Southard Dds</t>
  </si>
  <si>
    <t>Scott, Timothy</t>
  </si>
  <si>
    <t>Tran, Ngoc</t>
  </si>
  <si>
    <t>Leach, Jason</t>
  </si>
  <si>
    <t>Wilson, Bruce</t>
  </si>
  <si>
    <t>Showalter, Blake</t>
  </si>
  <si>
    <t>Cingolani, Blakely</t>
  </si>
  <si>
    <t>Jack, Fawcett</t>
  </si>
  <si>
    <t>Parker, J</t>
  </si>
  <si>
    <t>Townsend, Emily</t>
  </si>
  <si>
    <t>Waselues, Jenna</t>
  </si>
  <si>
    <t>Hambuchen, Joshua</t>
  </si>
  <si>
    <t>Anglin, Dalton, W</t>
  </si>
  <si>
    <t>Duncan, Cole</t>
  </si>
  <si>
    <t>Fulton, Megan</t>
  </si>
  <si>
    <t>Howell, Alexander,</t>
  </si>
  <si>
    <t>Allen, Kattie</t>
  </si>
  <si>
    <t>Alexander B Hicks</t>
  </si>
  <si>
    <t>Hughes, Jr, Stephen</t>
  </si>
  <si>
    <t>Franks, Hayden</t>
  </si>
  <si>
    <t>Hammonds, Heather</t>
  </si>
  <si>
    <t>Bieniek, Radoslaw</t>
  </si>
  <si>
    <t>Gordon, Matthew C.</t>
  </si>
  <si>
    <t>Lane, Natalie</t>
  </si>
  <si>
    <t>Nahmias, Zachary</t>
  </si>
  <si>
    <t>Stibich, Adam</t>
  </si>
  <si>
    <t>Tanenbaum, Alan</t>
  </si>
  <si>
    <t>Randall, Milton</t>
  </si>
  <si>
    <t>Hull, Cheryl</t>
  </si>
  <si>
    <t>Mason, Stephen</t>
  </si>
  <si>
    <t>Woodmansee, Courtney</t>
  </si>
  <si>
    <t>Woodbury, Michael</t>
  </si>
  <si>
    <t>Simmons, Jenny</t>
  </si>
  <si>
    <t>Gale, Brendi</t>
  </si>
  <si>
    <t>Levine, Danielle</t>
  </si>
  <si>
    <t>Williams, Blake</t>
  </si>
  <si>
    <t>Srinidhi R Pulusani</t>
  </si>
  <si>
    <t>Huber, Amy</t>
  </si>
  <si>
    <t>Young, Jeffrey</t>
  </si>
  <si>
    <t>Johnson, Martin</t>
  </si>
  <si>
    <t>Enns, Lindsay</t>
  </si>
  <si>
    <t>Pourciau, Crystal</t>
  </si>
  <si>
    <t>Mattingly, Theresa</t>
  </si>
  <si>
    <t>Wayne, Brian</t>
  </si>
  <si>
    <t>Dimmick, Joshua</t>
  </si>
  <si>
    <t>Mckinney, Teresa</t>
  </si>
  <si>
    <t>Nelson, Garrett</t>
  </si>
  <si>
    <t>Terracina, Joseph</t>
  </si>
  <si>
    <t>Baker, Adam</t>
  </si>
  <si>
    <t>Cunningham, Cheri</t>
  </si>
  <si>
    <t>Jackson, Scott</t>
  </si>
  <si>
    <t>Hatfield, Patrick M</t>
  </si>
  <si>
    <t>Wright, Ethan</t>
  </si>
  <si>
    <t>Mabry, Andrea</t>
  </si>
  <si>
    <t>Pietrangelo, Joseph</t>
  </si>
  <si>
    <t>Cash, Joshua</t>
  </si>
  <si>
    <t>Lamb, Sara, K</t>
  </si>
  <si>
    <t>Wadlington, Katie</t>
  </si>
  <si>
    <t>Lewis, George</t>
  </si>
  <si>
    <t>Gibson, Gunnar</t>
  </si>
  <si>
    <t>Johnson, Jennifer</t>
  </si>
  <si>
    <t>Bowman, Blythe</t>
  </si>
  <si>
    <t>Wong, Henry</t>
  </si>
  <si>
    <t>Kaley, Jennifer</t>
  </si>
  <si>
    <t>Manning, Thomas</t>
  </si>
  <si>
    <t>Johnson, Sandra</t>
  </si>
  <si>
    <t>Hoskyn, Jerri</t>
  </si>
  <si>
    <t>Russell, Shelley</t>
  </si>
  <si>
    <t>Levy, Alan</t>
  </si>
  <si>
    <t>Limbert, Richard</t>
  </si>
  <si>
    <t>Schach, Christopher</t>
  </si>
  <si>
    <t>Kaplan, Bertram</t>
  </si>
  <si>
    <t>Sahu, Joya</t>
  </si>
  <si>
    <t>Woodbury, George</t>
  </si>
  <si>
    <t>Dinehart Matthew</t>
  </si>
  <si>
    <t>Flaming, Jay</t>
  </si>
  <si>
    <t>Rich, Ryan,</t>
  </si>
  <si>
    <t>Abbott, Jamie</t>
  </si>
  <si>
    <t>Hudson, Thomas</t>
  </si>
  <si>
    <t>Gaylor, Minh Ly</t>
  </si>
  <si>
    <t>Trautman, Robert</t>
  </si>
  <si>
    <t>Konopinski, Jonathan</t>
  </si>
  <si>
    <t>Miguel,Herrera-Martinez</t>
  </si>
  <si>
    <t>Nielson, Colton</t>
  </si>
  <si>
    <t>Sallee, Brigitte</t>
  </si>
  <si>
    <t>Hurst, Mallory</t>
  </si>
  <si>
    <t>Shi, Vivian</t>
  </si>
  <si>
    <t>Adrienne, Schupbach</t>
  </si>
  <si>
    <t>Kaplan, Robert</t>
  </si>
  <si>
    <t>Huber, John</t>
  </si>
  <si>
    <t>Bressinck, Renie</t>
  </si>
  <si>
    <t>Beard, Gwen</t>
  </si>
  <si>
    <t>Weingold, David H</t>
  </si>
  <si>
    <t>Woodbury, Linda</t>
  </si>
  <si>
    <t>Martin, Seth, M</t>
  </si>
  <si>
    <t>Garone, Michael</t>
  </si>
  <si>
    <t>Stites, Phillip</t>
  </si>
  <si>
    <t>Helms, William</t>
  </si>
  <si>
    <t>Rae, Steve</t>
  </si>
  <si>
    <t>Dinehart, Scott</t>
  </si>
  <si>
    <t>Evans, Megan</t>
  </si>
  <si>
    <t>Zoumberos, Nicholas A</t>
  </si>
  <si>
    <t>Hamza, Mugahed</t>
  </si>
  <si>
    <t>Sills, Adam</t>
  </si>
  <si>
    <t>Hudson, Amy</t>
  </si>
  <si>
    <t>Choate, Rachel</t>
  </si>
  <si>
    <t>Phelan, Patrick, S</t>
  </si>
  <si>
    <t>Morse, Amber</t>
  </si>
  <si>
    <t>Meloy, Anthony</t>
  </si>
  <si>
    <t>Vuk, Stanko</t>
  </si>
  <si>
    <t>Register, Samuel</t>
  </si>
  <si>
    <t>Okpon Onabajo, Catherine</t>
  </si>
  <si>
    <t>Murad, Sikandar</t>
  </si>
  <si>
    <t>Wilbur, Lee</t>
  </si>
  <si>
    <t>Gersten, Mark</t>
  </si>
  <si>
    <t>Awan, Monam</t>
  </si>
  <si>
    <t>Thorpe, William</t>
  </si>
  <si>
    <t>Kothari, Nirmit</t>
  </si>
  <si>
    <t>Henderson, Nathan</t>
  </si>
  <si>
    <t>Cojocaru, Luis</t>
  </si>
  <si>
    <t>Sheedy, Craig</t>
  </si>
  <si>
    <t>Caltrider, David</t>
  </si>
  <si>
    <t>Dalton, Carter</t>
  </si>
  <si>
    <t>Hashmi, Shakeb</t>
  </si>
  <si>
    <t>Schmidt, Micah</t>
  </si>
  <si>
    <t>Mccrary, Mark</t>
  </si>
  <si>
    <t>Darr, James</t>
  </si>
  <si>
    <t>Wood Katz, Melissa</t>
  </si>
  <si>
    <t>Jeffrey Hyland</t>
  </si>
  <si>
    <t>Rayaz, Khalid</t>
  </si>
  <si>
    <t>Dispatchhealth, Provider</t>
  </si>
  <si>
    <t>Labuda, Sarah</t>
  </si>
  <si>
    <t>Curfman, Alison</t>
  </si>
  <si>
    <t>Cole, Ezra</t>
  </si>
  <si>
    <t>Leitzsch, Thomas</t>
  </si>
  <si>
    <t>Gibert, Christopher</t>
  </si>
  <si>
    <t>Mirza, Abbas</t>
  </si>
  <si>
    <t>Greenwood, David</t>
  </si>
  <si>
    <t>Canada, Robert</t>
  </si>
  <si>
    <t>Bordelon, Jeffrey</t>
  </si>
  <si>
    <t>Gray, Dalton</t>
  </si>
  <si>
    <t>Mcclintock, Jacob</t>
  </si>
  <si>
    <t>Thurow, Brandon</t>
  </si>
  <si>
    <t>Chandler, Adam</t>
  </si>
  <si>
    <t>Darmsteadter, David</t>
  </si>
  <si>
    <t>Davis, Kevin</t>
  </si>
  <si>
    <t>Craine, Petrina</t>
  </si>
  <si>
    <t>Long, Andrew</t>
  </si>
  <si>
    <t>Lider, Yevheniy,</t>
  </si>
  <si>
    <t>Allison M Abma</t>
  </si>
  <si>
    <t>Washington, Michael</t>
  </si>
  <si>
    <t>Woolley, Eric</t>
  </si>
  <si>
    <t>Tarence E Wade Md Pc</t>
  </si>
  <si>
    <t>Desandre, Frank</t>
  </si>
  <si>
    <t>Newcomb, Jessica</t>
  </si>
  <si>
    <t>Ede, Chinedu</t>
  </si>
  <si>
    <t>Sass, Eric</t>
  </si>
  <si>
    <t>Issa, Elias</t>
  </si>
  <si>
    <t>Hillis, Thomas</t>
  </si>
  <si>
    <t>Jennifer, Freij</t>
  </si>
  <si>
    <t>Alam, Ejaz</t>
  </si>
  <si>
    <t>Bell, Christopher</t>
  </si>
  <si>
    <t>Dailey, Melissa, P</t>
  </si>
  <si>
    <t>Groom, Kyle</t>
  </si>
  <si>
    <t>Mohiuddin, Abid</t>
  </si>
  <si>
    <t>Bernier, Carol</t>
  </si>
  <si>
    <t>Baggs, Justin</t>
  </si>
  <si>
    <t>White, Andrew</t>
  </si>
  <si>
    <t>Silberman, Jason</t>
  </si>
  <si>
    <t>Sree, Chellappan</t>
  </si>
  <si>
    <t>Calicott, Timothy W</t>
  </si>
  <si>
    <t>Lawrence, Larry</t>
  </si>
  <si>
    <t>Bacon, Lori</t>
  </si>
  <si>
    <t>Diamond, Kevin</t>
  </si>
  <si>
    <t>Khan, Shama</t>
  </si>
  <si>
    <t>Frank, Furnari</t>
  </si>
  <si>
    <t>Mohsin, Altaf</t>
  </si>
  <si>
    <t>Hudson, Stephen</t>
  </si>
  <si>
    <t>Crabtree, Bruce</t>
  </si>
  <si>
    <t>Garner, Lane</t>
  </si>
  <si>
    <t>Pierce, Barry</t>
  </si>
  <si>
    <t>Henriksen, John</t>
  </si>
  <si>
    <t>Jackson, Matthew</t>
  </si>
  <si>
    <t>Cameron, Ella</t>
  </si>
  <si>
    <t>Chaffin, Raines</t>
  </si>
  <si>
    <t>Fowler, Christopher</t>
  </si>
  <si>
    <t>Stevens, John</t>
  </si>
  <si>
    <t>Hanna, William</t>
  </si>
  <si>
    <t>Barnum, Michael</t>
  </si>
  <si>
    <t>Westbrook, September</t>
  </si>
  <si>
    <t>Andrew, Nicholes</t>
  </si>
  <si>
    <t>Freeze Ramsey, Rachael</t>
  </si>
  <si>
    <t>Grounds, Matthew</t>
  </si>
  <si>
    <t>Mcwilliams, Jeffrey</t>
  </si>
  <si>
    <t>Patten, Jason</t>
  </si>
  <si>
    <t>Thompson, Nicholas</t>
  </si>
  <si>
    <t>Smithers, Drew</t>
  </si>
  <si>
    <t>Melissa, White</t>
  </si>
  <si>
    <t>Tracey, Wright</t>
  </si>
  <si>
    <t>Brooks A Parker, Pt</t>
  </si>
  <si>
    <t>Zoog, Eric</t>
  </si>
  <si>
    <t>Eastep, Gwen</t>
  </si>
  <si>
    <t>Edrington, David</t>
  </si>
  <si>
    <t>Campfield, Brett</t>
  </si>
  <si>
    <t>Thomas, Jamie</t>
  </si>
  <si>
    <t>Nadipelli, Anil K</t>
  </si>
  <si>
    <t>Selby, Samuel</t>
  </si>
  <si>
    <t>Pumphrey, Carla</t>
  </si>
  <si>
    <t>Franklin, Sarah</t>
  </si>
  <si>
    <t>Mantooth, Ryan</t>
  </si>
  <si>
    <t>Brown, Keith</t>
  </si>
  <si>
    <t>Anderson, Russell</t>
  </si>
  <si>
    <t>Horan, Mark</t>
  </si>
  <si>
    <t>Sharp, Elizabeth</t>
  </si>
  <si>
    <t>Dorroh, Scott</t>
  </si>
  <si>
    <t>Kornegay, Shellia</t>
  </si>
  <si>
    <t>Starnes, Andrew B.</t>
  </si>
  <si>
    <t>Smith, Daniel A</t>
  </si>
  <si>
    <t>Pahls, Grant M.</t>
  </si>
  <si>
    <t>York, Jackie</t>
  </si>
  <si>
    <t>Pantelhs, Varlas</t>
  </si>
  <si>
    <t>Greengart, David J</t>
  </si>
  <si>
    <t>Burns, Boyd</t>
  </si>
  <si>
    <t>Samuel, Sangeeth</t>
  </si>
  <si>
    <t>Melton, Shane</t>
  </si>
  <si>
    <t>Adelman, Christopher</t>
  </si>
  <si>
    <t>Frank, John</t>
  </si>
  <si>
    <t>Hill, Jennifer</t>
  </si>
  <si>
    <t>Nafis, Farhan</t>
  </si>
  <si>
    <t>Crabtree, Michael</t>
  </si>
  <si>
    <t>Nix, Kasey</t>
  </si>
  <si>
    <t>Russ, Brian</t>
  </si>
  <si>
    <t>Sullivan, Eric</t>
  </si>
  <si>
    <t>Blose, Taylor</t>
  </si>
  <si>
    <t>Hodges, Julee</t>
  </si>
  <si>
    <t>Feurtado, Earl W</t>
  </si>
  <si>
    <t>Marlow, H.</t>
  </si>
  <si>
    <t>Jansen, Philip</t>
  </si>
  <si>
    <t>Louvring, Soren</t>
  </si>
  <si>
    <t>Nguyen, David</t>
  </si>
  <si>
    <t>Rust, Stefanie</t>
  </si>
  <si>
    <t>Brown, Kimberly</t>
  </si>
  <si>
    <t>Dittus, Daniel</t>
  </si>
  <si>
    <t>Nuehring, Shantra</t>
  </si>
  <si>
    <t>Rockwell, William</t>
  </si>
  <si>
    <t>Dias, David</t>
  </si>
  <si>
    <t>Johnson, Darren L</t>
  </si>
  <si>
    <t>Bell, William</t>
  </si>
  <si>
    <t>Cotner, James</t>
  </si>
  <si>
    <t>Cigalina, Lorri</t>
  </si>
  <si>
    <t>Carlson, Chester</t>
  </si>
  <si>
    <t>Joshua, Jabbar</t>
  </si>
  <si>
    <t>Del Castillo Hegyi, Michael</t>
  </si>
  <si>
    <t>Beard, Courtney</t>
  </si>
  <si>
    <t>Carlisle, John</t>
  </si>
  <si>
    <t>Denefe, Matthew</t>
  </si>
  <si>
    <t>Jacob, Bolt</t>
  </si>
  <si>
    <t>Dixon, Rodney</t>
  </si>
  <si>
    <t>Duensing, Theodore</t>
  </si>
  <si>
    <t>Vinson, Charles</t>
  </si>
  <si>
    <t>Parker, Lonnie</t>
  </si>
  <si>
    <t>Bibby, Charles</t>
  </si>
  <si>
    <t>Surbrook, Michelle L.</t>
  </si>
  <si>
    <t>Lyle, Claude</t>
  </si>
  <si>
    <t>Nowell, Rebecca</t>
  </si>
  <si>
    <t>Augustin, Wun</t>
  </si>
  <si>
    <t>Waters, James</t>
  </si>
  <si>
    <t>Ferguson, Catherine, D</t>
  </si>
  <si>
    <t>Bentley, Jennifer</t>
  </si>
  <si>
    <t>Yuen, Justin C</t>
  </si>
  <si>
    <t>Khalil, Muhammad</t>
  </si>
  <si>
    <t>Pampolina, Meryll</t>
  </si>
  <si>
    <t>Tobey, Galen</t>
  </si>
  <si>
    <t>Zepeda, Jack</t>
  </si>
  <si>
    <t>Chinchen, John, D</t>
  </si>
  <si>
    <t>Vanhook, Robert</t>
  </si>
  <si>
    <t>Buckley, Douglas</t>
  </si>
  <si>
    <t>Zehm, Charles</t>
  </si>
  <si>
    <t>Baumstark, Laurel</t>
  </si>
  <si>
    <t>Carlyle, Benjamin</t>
  </si>
  <si>
    <t>Lendermon, Russell</t>
  </si>
  <si>
    <t>Reddy Dondeti, Raja</t>
  </si>
  <si>
    <t>Rose, Michael</t>
  </si>
  <si>
    <t>Bollinger, Alexa</t>
  </si>
  <si>
    <t>Alakshar, Hassan</t>
  </si>
  <si>
    <t>Jolly, Samantha</t>
  </si>
  <si>
    <t>Beaty, Jeffory</t>
  </si>
  <si>
    <t>Epperson, Joel</t>
  </si>
  <si>
    <t>Watts, Dennis</t>
  </si>
  <si>
    <t>Jones, Joel</t>
  </si>
  <si>
    <t>Julian, Amy</t>
  </si>
  <si>
    <t>Nelson, Richard</t>
  </si>
  <si>
    <t>Scroggins, Brent</t>
  </si>
  <si>
    <t>Smith Wade, Janell</t>
  </si>
  <si>
    <t>Thompson, Deaunte B.</t>
  </si>
  <si>
    <t>Patel, Priyal</t>
  </si>
  <si>
    <t>Henson, Brandi</t>
  </si>
  <si>
    <t>Ford, Tasha J.</t>
  </si>
  <si>
    <t>Mccallum, Gary</t>
  </si>
  <si>
    <t>Grubbs, Danny</t>
  </si>
  <si>
    <t>Dixon, Druery</t>
  </si>
  <si>
    <t>Ryals, David</t>
  </si>
  <si>
    <t>Simmons, James</t>
  </si>
  <si>
    <t>Kalsi, Carle</t>
  </si>
  <si>
    <t>England, Lane</t>
  </si>
  <si>
    <t>Wycoff, Robert</t>
  </si>
  <si>
    <t>Vogler, Carolyn</t>
  </si>
  <si>
    <t>Phillips, Kenneth</t>
  </si>
  <si>
    <t>Hill, William</t>
  </si>
  <si>
    <t>Sanders, Laura</t>
  </si>
  <si>
    <t>Alhariri Bird, Mirfat</t>
  </si>
  <si>
    <t>Yost, Jason</t>
  </si>
  <si>
    <t>Sharon, Dowell</t>
  </si>
  <si>
    <t>Mosley, Joel</t>
  </si>
  <si>
    <t>Reddick, Eric</t>
  </si>
  <si>
    <t>Arthur, Jason</t>
  </si>
  <si>
    <t>Hicks, Stephen</t>
  </si>
  <si>
    <t>Fike, Elizabeth</t>
  </si>
  <si>
    <t>Melissa N Kessie</t>
  </si>
  <si>
    <t>Mallory, Browning</t>
  </si>
  <si>
    <t>Rose, Lena</t>
  </si>
  <si>
    <t>Wright, Kenneth</t>
  </si>
  <si>
    <t>Wilson, Connie</t>
  </si>
  <si>
    <t>Vorhoff, Anette</t>
  </si>
  <si>
    <t>De Waal, Craig</t>
  </si>
  <si>
    <t>Mustain, Mary</t>
  </si>
  <si>
    <t>Richardson, Rachel</t>
  </si>
  <si>
    <t>Jones, Jeremy</t>
  </si>
  <si>
    <t>Gay, Lane B.</t>
  </si>
  <si>
    <t>Raney, Jerel</t>
  </si>
  <si>
    <t>Chambers, Franklin</t>
  </si>
  <si>
    <t>Martin, Jeremy</t>
  </si>
  <si>
    <t>Burr, Natalie</t>
  </si>
  <si>
    <t>Inman, Nicholas J</t>
  </si>
  <si>
    <t>Jokerst, Thomas</t>
  </si>
  <si>
    <t>Mccomb, Randy</t>
  </si>
  <si>
    <t>Spence, Shanna</t>
  </si>
  <si>
    <t>Stock, Vance</t>
  </si>
  <si>
    <t>Housley, Kathleen</t>
  </si>
  <si>
    <t>Butler, Connie</t>
  </si>
  <si>
    <t>Prince, John</t>
  </si>
  <si>
    <t>Reed, Adrian</t>
  </si>
  <si>
    <t>Jackson, Haynes</t>
  </si>
  <si>
    <t>Sindlinger, Timothy</t>
  </si>
  <si>
    <t>Wiegel, Micah</t>
  </si>
  <si>
    <t>Pritchett, Daniel</t>
  </si>
  <si>
    <t>Dass, Sanjay</t>
  </si>
  <si>
    <t>Lyon, Jack</t>
  </si>
  <si>
    <t>Bertrand, Skipper</t>
  </si>
  <si>
    <t>Helton, Stephen</t>
  </si>
  <si>
    <t>Mays, William</t>
  </si>
  <si>
    <t>Coats, Candi</t>
  </si>
  <si>
    <t>Hughes, Necole</t>
  </si>
  <si>
    <t>Pirtle, Claude</t>
  </si>
  <si>
    <t>Montales, Maria</t>
  </si>
  <si>
    <t>Bruno, Edward</t>
  </si>
  <si>
    <t>Mcmanus, Martin</t>
  </si>
  <si>
    <t>Rogers, Matthew</t>
  </si>
  <si>
    <t>Braden, Joseph</t>
  </si>
  <si>
    <t>Delossantos, Noel</t>
  </si>
  <si>
    <t>Singer, Gary</t>
  </si>
  <si>
    <t>Khan, Duad</t>
  </si>
  <si>
    <t>Bell, Dan</t>
  </si>
  <si>
    <t>Smartt, Chantay D.</t>
  </si>
  <si>
    <t>Borton, Marc</t>
  </si>
  <si>
    <t>Gonsalves, Pierre</t>
  </si>
  <si>
    <t>Brandon, Oyler</t>
  </si>
  <si>
    <t>Bangash, Kayhan</t>
  </si>
  <si>
    <t>White, J</t>
  </si>
  <si>
    <t>Triplett, Thomas</t>
  </si>
  <si>
    <t>Nguyen, Eric J.</t>
  </si>
  <si>
    <t>Goodloe, Jeffrey</t>
  </si>
  <si>
    <t>Eastep, Kevin</t>
  </si>
  <si>
    <t>Donlon, Richard</t>
  </si>
  <si>
    <t>Adams, Jason</t>
  </si>
  <si>
    <t>Bearry, John</t>
  </si>
  <si>
    <t>Smith, Nicholas</t>
  </si>
  <si>
    <t>Roberson, Sara</t>
  </si>
  <si>
    <t>Vinesett, Carl</t>
  </si>
  <si>
    <t>Anston, Anthony</t>
  </si>
  <si>
    <t>Niemyer, Joselin</t>
  </si>
  <si>
    <t>Tippin, Zachary</t>
  </si>
  <si>
    <t>Bailey, Lauren</t>
  </si>
  <si>
    <t>Kelsey Jo</t>
  </si>
  <si>
    <t>Schmid, John</t>
  </si>
  <si>
    <t>Burleson, Stanley</t>
  </si>
  <si>
    <t>Reed, Whitney</t>
  </si>
  <si>
    <t>Griesemer, Mark</t>
  </si>
  <si>
    <t>Turner, Samuel</t>
  </si>
  <si>
    <t>Glasgow, Phillip</t>
  </si>
  <si>
    <t>Wynne, Matthew</t>
  </si>
  <si>
    <t>Boyd, Dusty</t>
  </si>
  <si>
    <t>Salman, Rahim</t>
  </si>
  <si>
    <t>Newcity, Marshall</t>
  </si>
  <si>
    <t>Sanders, Scott</t>
  </si>
  <si>
    <t>Mendenhall, Brian</t>
  </si>
  <si>
    <t>Landry, James</t>
  </si>
  <si>
    <t>Urhoghide, Noyoze</t>
  </si>
  <si>
    <t>Daniel, Jess</t>
  </si>
  <si>
    <t>Kimbrell, Jennifer</t>
  </si>
  <si>
    <t>May, Joe</t>
  </si>
  <si>
    <t>Poor, Daniel</t>
  </si>
  <si>
    <t>Kent, William</t>
  </si>
  <si>
    <t>Young, Matthew</t>
  </si>
  <si>
    <t>Arnce, Robert</t>
  </si>
  <si>
    <t>Kayoma, John</t>
  </si>
  <si>
    <t>Franks, James</t>
  </si>
  <si>
    <t>Latch, Rebecca</t>
  </si>
  <si>
    <t>Roeder Zachary S</t>
  </si>
  <si>
    <t>Vosburg, Katherine</t>
  </si>
  <si>
    <t>Keleshian, Hagop</t>
  </si>
  <si>
    <t>Mc Kinzie, Travis</t>
  </si>
  <si>
    <t>Romero, Iii, Calixto</t>
  </si>
  <si>
    <t>Gopinath, Nitin</t>
  </si>
  <si>
    <t>Mack, Jeffery</t>
  </si>
  <si>
    <t>Mccutcheon, Joseph</t>
  </si>
  <si>
    <t>Ramzan, Amelia</t>
  </si>
  <si>
    <t>Rachel, Mauldin</t>
  </si>
  <si>
    <t>Hubbard, William</t>
  </si>
  <si>
    <t>Begue, Jason</t>
  </si>
  <si>
    <t>Downen, Brian</t>
  </si>
  <si>
    <t>Norwood, Samuel</t>
  </si>
  <si>
    <t>Wilbanks, Stacy</t>
  </si>
  <si>
    <t>Meara, John</t>
  </si>
  <si>
    <t>Jones Jr., Charles</t>
  </si>
  <si>
    <t>Pece, Kristin</t>
  </si>
  <si>
    <t>Tyson, Jeremiah</t>
  </si>
  <si>
    <t>Brown, Loren</t>
  </si>
  <si>
    <t>Coughlin, Shane</t>
  </si>
  <si>
    <t>Abulfaraj, Maher</t>
  </si>
  <si>
    <t>Smith, Clinton</t>
  </si>
  <si>
    <t>Oladipo, Sifau</t>
  </si>
  <si>
    <t>Davis, Edward</t>
  </si>
  <si>
    <t>Hunley, Thomas</t>
  </si>
  <si>
    <t>Gregory, Jo Anne</t>
  </si>
  <si>
    <t>Holden, James</t>
  </si>
  <si>
    <t>Hunt, Harry</t>
  </si>
  <si>
    <t>Kennedy, Elicia</t>
  </si>
  <si>
    <t>Emery, Jared</t>
  </si>
  <si>
    <t>Ali, Rafatnia</t>
  </si>
  <si>
    <t>Aldana, Tirso</t>
  </si>
  <si>
    <t>Chavis, Brent</t>
  </si>
  <si>
    <t>Engdahl, Todd</t>
  </si>
  <si>
    <t>Gaertner, Michael</t>
  </si>
  <si>
    <t>Haney, Karen</t>
  </si>
  <si>
    <t>Gilpin, Jama</t>
  </si>
  <si>
    <t>James, Laura</t>
  </si>
  <si>
    <t>Holland, Scott</t>
  </si>
  <si>
    <t>Ball, Peter</t>
  </si>
  <si>
    <t>Herrington, James</t>
  </si>
  <si>
    <t>Green, Gary</t>
  </si>
  <si>
    <t>Ogelsby, James E</t>
  </si>
  <si>
    <t>Tracy, Wallace Lee</t>
  </si>
  <si>
    <t>Miers, Jane</t>
  </si>
  <si>
    <t>Elkins, Louis</t>
  </si>
  <si>
    <t>Rice, James</t>
  </si>
  <si>
    <t>Schumacher, Alan</t>
  </si>
  <si>
    <t>Scott, Jelaina</t>
  </si>
  <si>
    <t>Messner, Bradley</t>
  </si>
  <si>
    <t>Garibaldi, Byron</t>
  </si>
  <si>
    <t>Kelley, William</t>
  </si>
  <si>
    <t>Carpenter, Shaun</t>
  </si>
  <si>
    <t>Blankers, Christian</t>
  </si>
  <si>
    <t>Diciro, Dominic</t>
  </si>
  <si>
    <t>Fontenette, Angelique</t>
  </si>
  <si>
    <t>Mabry, Larry</t>
  </si>
  <si>
    <t>Sturgell, Jeremy</t>
  </si>
  <si>
    <t>Coon, Jefferydon</t>
  </si>
  <si>
    <t>Hutton, Katrina</t>
  </si>
  <si>
    <t>Marek, David</t>
  </si>
  <si>
    <t>Gonzalez, Alfonso</t>
  </si>
  <si>
    <t>Heintz, Linnea</t>
  </si>
  <si>
    <t>Little, Blake</t>
  </si>
  <si>
    <t>Jacobi, Sebastian</t>
  </si>
  <si>
    <t>Long, John</t>
  </si>
  <si>
    <t>Owens, Michael</t>
  </si>
  <si>
    <t>Riggs, Alex</t>
  </si>
  <si>
    <t>douglas  Carlson, Do, Pa</t>
  </si>
  <si>
    <t>Gilbreth, Patrick</t>
  </si>
  <si>
    <t>Johnston, Stephen</t>
  </si>
  <si>
    <t>Exum, Ronald</t>
  </si>
  <si>
    <t>Huffman, Thomas</t>
  </si>
  <si>
    <t>Archer, Scott</t>
  </si>
  <si>
    <t>Crook, Daniel</t>
  </si>
  <si>
    <t>Vultaggio, Biagio</t>
  </si>
  <si>
    <t>Nay, Samuel</t>
  </si>
  <si>
    <t>Johnson, Acacia</t>
  </si>
  <si>
    <t>Greenberger, Sarah</t>
  </si>
  <si>
    <t>Evans, Samuel</t>
  </si>
  <si>
    <t>Hnatusko, Shane</t>
  </si>
  <si>
    <t>Macdonald, Emmanuel</t>
  </si>
  <si>
    <t>Audibert, Jeff</t>
  </si>
  <si>
    <t>Wright, Alisha</t>
  </si>
  <si>
    <t>Fletcher, James</t>
  </si>
  <si>
    <t>Tyler Hashemi, Alexander</t>
  </si>
  <si>
    <t>Taylor, Alan</t>
  </si>
  <si>
    <t>Robertson, Brown</t>
  </si>
  <si>
    <t>Kinney, Dana</t>
  </si>
  <si>
    <t>Sara B Taylor</t>
  </si>
  <si>
    <t>Nesly, Dorcely</t>
  </si>
  <si>
    <t>Castleberry, Jerry</t>
  </si>
  <si>
    <t>Shaw, Michael</t>
  </si>
  <si>
    <t>Brown, Carrie</t>
  </si>
  <si>
    <t>Deel, Mickey</t>
  </si>
  <si>
    <t>Khan, Mohammad</t>
  </si>
  <si>
    <t>Thompson, Carl</t>
  </si>
  <si>
    <t>Garrison, Amy</t>
  </si>
  <si>
    <t>Hopkins, David S</t>
  </si>
  <si>
    <t>Joshua M Jacobson</t>
  </si>
  <si>
    <t>Stuppy, Adam</t>
  </si>
  <si>
    <t>Olushoga, Michael A</t>
  </si>
  <si>
    <t>Barnett, Kevin</t>
  </si>
  <si>
    <t>Blose, Michael</t>
  </si>
  <si>
    <t>Denton, Roy Edward</t>
  </si>
  <si>
    <t>Highsmith, Vivian</t>
  </si>
  <si>
    <t>Shafer Franks, Candace</t>
  </si>
  <si>
    <t>Dean, Ronald</t>
  </si>
  <si>
    <t>Mcclure, Timothy</t>
  </si>
  <si>
    <t>Saul, Jeremy</t>
  </si>
  <si>
    <t>Clay, Donald</t>
  </si>
  <si>
    <t>Pace, Michael</t>
  </si>
  <si>
    <t>Elizabeth,Shaffer</t>
  </si>
  <si>
    <t>Braden, Lawrence</t>
  </si>
  <si>
    <t>Kinchen, Delaney</t>
  </si>
  <si>
    <t>Bennett, Daniel</t>
  </si>
  <si>
    <t>Bishop, Jennifer</t>
  </si>
  <si>
    <t>Mcmillan, Cody</t>
  </si>
  <si>
    <t>Wood, Sandra</t>
  </si>
  <si>
    <t>Coker, Raymond</t>
  </si>
  <si>
    <t>Andelin, Paul</t>
  </si>
  <si>
    <t>Henley, Alan</t>
  </si>
  <si>
    <t>Reeves, Dawn</t>
  </si>
  <si>
    <t>Swonger, Darin</t>
  </si>
  <si>
    <t>Pakeerappa, Praveen</t>
  </si>
  <si>
    <t>Ky, Nguyen</t>
  </si>
  <si>
    <t>Lefere, Julie</t>
  </si>
  <si>
    <t>Bingham, Seth</t>
  </si>
  <si>
    <t>Escobar, Daniel</t>
  </si>
  <si>
    <t>Ryan, Waddell</t>
  </si>
  <si>
    <t>Salamat, Muhammad</t>
  </si>
  <si>
    <t>Jones, Jerrilyn</t>
  </si>
  <si>
    <t>Pirtle, Stephen</t>
  </si>
  <si>
    <t>Mazher, Syed</t>
  </si>
  <si>
    <t>Ekanem, Felix</t>
  </si>
  <si>
    <t>Mitchell, Bruce</t>
  </si>
  <si>
    <t>Burrow, Dennis</t>
  </si>
  <si>
    <t>Bowen, Travis</t>
  </si>
  <si>
    <t>Henson, Gregory</t>
  </si>
  <si>
    <t>Pritchett, James</t>
  </si>
  <si>
    <t>Rende, Andrew L</t>
  </si>
  <si>
    <t>Williams, Benjamin</t>
  </si>
  <si>
    <t>Liu, Daniel</t>
  </si>
  <si>
    <t>Ruby, Bethany J</t>
  </si>
  <si>
    <t>Potter, Emelia</t>
  </si>
  <si>
    <t>Butler, Brett C</t>
  </si>
  <si>
    <t>Fahr, Michael</t>
  </si>
  <si>
    <t>Yabut, Edmond</t>
  </si>
  <si>
    <t>Cousineau, Mark</t>
  </si>
  <si>
    <t>Barnes, Stephanie</t>
  </si>
  <si>
    <t>Kosciuk, Martin</t>
  </si>
  <si>
    <t>Frazier, Katherine</t>
  </si>
  <si>
    <t>Bashiri, Seyedeh</t>
  </si>
  <si>
    <t>Abd Alqader, Mai</t>
  </si>
  <si>
    <t>Mbawuike, Primus</t>
  </si>
  <si>
    <t>Maple, Kendra, L</t>
  </si>
  <si>
    <t>Mcspadden, Glen</t>
  </si>
  <si>
    <t>Oduye, Adedapo</t>
  </si>
  <si>
    <t>Mcleod, Marilyn K</t>
  </si>
  <si>
    <t>Sherwood, Gary</t>
  </si>
  <si>
    <t>Italia, Hirenkumar</t>
  </si>
  <si>
    <t>Reed, Jeremy</t>
  </si>
  <si>
    <t>Dubbaka, Thirumal</t>
  </si>
  <si>
    <t>Kopparapu, Anil</t>
  </si>
  <si>
    <t>Beight, Cody</t>
  </si>
  <si>
    <t>Silveri, Paul</t>
  </si>
  <si>
    <t>Pounders, John</t>
  </si>
  <si>
    <t>Hanson, Elizabeth M.</t>
  </si>
  <si>
    <t>Quantrille, Anna E</t>
  </si>
  <si>
    <t>Pruitt, Melissa</t>
  </si>
  <si>
    <t>Dominick, Cassandra</t>
  </si>
  <si>
    <t>Berkenstock, Oran</t>
  </si>
  <si>
    <t>Hendrix, Lisa</t>
  </si>
  <si>
    <t>Cobb, Matthew</t>
  </si>
  <si>
    <t>Handloser, Holly</t>
  </si>
  <si>
    <t>Mccroskey, Amy</t>
  </si>
  <si>
    <t>Lane, Brandon</t>
  </si>
  <si>
    <t>Antuna, John</t>
  </si>
  <si>
    <t>Ryals, Andrew</t>
  </si>
  <si>
    <t>Kaethe, Goodwin Chigumira</t>
  </si>
  <si>
    <t>Howard, Jacob</t>
  </si>
  <si>
    <t>Jonmark B Lane</t>
  </si>
  <si>
    <t>Evans, Jamie</t>
  </si>
  <si>
    <t>Meredith, Paul</t>
  </si>
  <si>
    <t>Pafford, Michael</t>
  </si>
  <si>
    <t>Cruz, Danilo</t>
  </si>
  <si>
    <t>Simpson, Chadwick</t>
  </si>
  <si>
    <t>Riley, Donald</t>
  </si>
  <si>
    <t>Lu, Jyh-I</t>
  </si>
  <si>
    <t>Moore, David</t>
  </si>
  <si>
    <t>Reeves, Lacy</t>
  </si>
  <si>
    <t>Desai, Jigar</t>
  </si>
  <si>
    <t>King, Brian</t>
  </si>
  <si>
    <t>Patrick, Ayers</t>
  </si>
  <si>
    <t>Mahan, Meredith</t>
  </si>
  <si>
    <t>Niba, Suh</t>
  </si>
  <si>
    <t>Warford, Jeremy</t>
  </si>
  <si>
    <t>Abusbeih, Ghanem</t>
  </si>
  <si>
    <t>Melton, Christopher</t>
  </si>
  <si>
    <t>Bohra, Robin</t>
  </si>
  <si>
    <t>Perry, Jennifer</t>
  </si>
  <si>
    <t>May, William</t>
  </si>
  <si>
    <t>Jenkins, Parker</t>
  </si>
  <si>
    <t>Skarda, Adam</t>
  </si>
  <si>
    <t>Sania, Sayani</t>
  </si>
  <si>
    <t>Box, Jim</t>
  </si>
  <si>
    <t>Harris, Brock</t>
  </si>
  <si>
    <t>Fischer, Michael</t>
  </si>
  <si>
    <t>Krish, Madhulika</t>
  </si>
  <si>
    <t>Al Ghussain, Emad</t>
  </si>
  <si>
    <t>Umbreit, Eric</t>
  </si>
  <si>
    <t>Foster, Cody</t>
  </si>
  <si>
    <t>Lary, Sara</t>
  </si>
  <si>
    <t>Burdine, Lyle</t>
  </si>
  <si>
    <t>Koetje, Jeanette</t>
  </si>
  <si>
    <t>Hudson, Marjorie</t>
  </si>
  <si>
    <t>Leah K Mcguire</t>
  </si>
  <si>
    <t>Garcia, Robert L</t>
  </si>
  <si>
    <t>Luper, Rebecca</t>
  </si>
  <si>
    <t>Buslig, Remel</t>
  </si>
  <si>
    <t>Akin, Charles</t>
  </si>
  <si>
    <t>Harhara, Haleema</t>
  </si>
  <si>
    <t>Blackburn, Brent</t>
  </si>
  <si>
    <t>Reed, Roy A.</t>
  </si>
  <si>
    <t>Chacko, Jeffrey</t>
  </si>
  <si>
    <t>Brown, Columbus</t>
  </si>
  <si>
    <t>Jacobs, Robert</t>
  </si>
  <si>
    <t>Shafer, Kiley</t>
  </si>
  <si>
    <t>Bowman, Gary</t>
  </si>
  <si>
    <t>Smith, Stephen</t>
  </si>
  <si>
    <t>Smith, Dustin</t>
  </si>
  <si>
    <t>Sylvester, Sarah</t>
  </si>
  <si>
    <t>Mclemore, Heather</t>
  </si>
  <si>
    <t>Onyenekwe Iii, Josiah</t>
  </si>
  <si>
    <t>Foster, Stephen</t>
  </si>
  <si>
    <t>Eveld, Hannah</t>
  </si>
  <si>
    <t>Tanner, Ronald</t>
  </si>
  <si>
    <t>Storm, Elizabeth</t>
  </si>
  <si>
    <t>Jenkins, Bradley</t>
  </si>
  <si>
    <t>Jones, Dan</t>
  </si>
  <si>
    <t>Admire, Beau</t>
  </si>
  <si>
    <t>Stuart, Conner</t>
  </si>
  <si>
    <t>Adeleke, Adegoke</t>
  </si>
  <si>
    <t>Washer, Lydia</t>
  </si>
  <si>
    <t>Murphy, Andrew</t>
  </si>
  <si>
    <t>Cinel, Lauren</t>
  </si>
  <si>
    <t>Beverly Brown</t>
  </si>
  <si>
    <t>Fujihashi, Alisa</t>
  </si>
  <si>
    <t>Rebecca, Broadbent</t>
  </si>
  <si>
    <t>Nichols, James</t>
  </si>
  <si>
    <t>Sommer, Darren</t>
  </si>
  <si>
    <t>Stone, Kenneth</t>
  </si>
  <si>
    <t>Bronstein, Yulia</t>
  </si>
  <si>
    <t>Gallaher, Preston</t>
  </si>
  <si>
    <t>Baltz, Nancy</t>
  </si>
  <si>
    <t>Sadler, Sam</t>
  </si>
  <si>
    <t>Byrd, Jaron</t>
  </si>
  <si>
    <t>Khan, Abrar</t>
  </si>
  <si>
    <t>Pendleton, Caryn</t>
  </si>
  <si>
    <t>Rathel, Megan</t>
  </si>
  <si>
    <t>Thompson, Jon</t>
  </si>
  <si>
    <t>Karanam, Srikar</t>
  </si>
  <si>
    <t>Lynch, Whitney</t>
  </si>
  <si>
    <t>Christopher Mcneil</t>
  </si>
  <si>
    <t>Spears, Autumn, R</t>
  </si>
  <si>
    <t>Gregory, Naden</t>
  </si>
  <si>
    <t>Anderson, Toby</t>
  </si>
  <si>
    <t>Peebles, Samuel</t>
  </si>
  <si>
    <t>Eubanks, Chenia</t>
  </si>
  <si>
    <t>Oneill, Joshua</t>
  </si>
  <si>
    <t>Campbell, Jenna</t>
  </si>
  <si>
    <t>Dupuis, Gregory</t>
  </si>
  <si>
    <t>Daniel, William</t>
  </si>
  <si>
    <t>Mazumder, Manoj</t>
  </si>
  <si>
    <t>Smith, Cody</t>
  </si>
  <si>
    <t>Morrison, Christopher</t>
  </si>
  <si>
    <t>Cowan, Cecil</t>
  </si>
  <si>
    <t>Pushparajah Mak, Renita</t>
  </si>
  <si>
    <t>Jessica, Rogers</t>
  </si>
  <si>
    <t>Russell, Megan</t>
  </si>
  <si>
    <t>Weekley, Manuel</t>
  </si>
  <si>
    <t>Khan, Faisal</t>
  </si>
  <si>
    <t>Dixon, Robert G</t>
  </si>
  <si>
    <t>Skowronski, John</t>
  </si>
  <si>
    <t>Cowley, Dewight</t>
  </si>
  <si>
    <t>Cuthel Jr, Robert J</t>
  </si>
  <si>
    <t>Simpson, Alainna</t>
  </si>
  <si>
    <t>Watson, Anne</t>
  </si>
  <si>
    <t>Kennedy, Kyle</t>
  </si>
  <si>
    <t>Willis, Charlotte</t>
  </si>
  <si>
    <t>Motes, Joshua</t>
  </si>
  <si>
    <t>Woods Jr, John</t>
  </si>
  <si>
    <t>Smith, Stacie</t>
  </si>
  <si>
    <t>Orlando, James</t>
  </si>
  <si>
    <t>Blake, Gruenberg</t>
  </si>
  <si>
    <t>Ni, Samantha</t>
  </si>
  <si>
    <t>Alexander, Miller</t>
  </si>
  <si>
    <t>Gladden, Nathan</t>
  </si>
  <si>
    <t>Holland, Bradly</t>
  </si>
  <si>
    <t>Stone, Phillip</t>
  </si>
  <si>
    <t>Maxwell, Teresa</t>
  </si>
  <si>
    <t>Wren, Charles</t>
  </si>
  <si>
    <t>Veer, Franklin</t>
  </si>
  <si>
    <t>Dallessio, Joseph</t>
  </si>
  <si>
    <t>Jackson, Jami</t>
  </si>
  <si>
    <t>Cisneros, Jamie</t>
  </si>
  <si>
    <t>Kennedye, James</t>
  </si>
  <si>
    <t>Lafferty, Warren</t>
  </si>
  <si>
    <t>Cabigao, Eduardo</t>
  </si>
  <si>
    <t>Sharrock, Teena</t>
  </si>
  <si>
    <t>Cox, K</t>
  </si>
  <si>
    <t>Conner, David</t>
  </si>
  <si>
    <t>Jennings, M</t>
  </si>
  <si>
    <t>Bagwell, Holli</t>
  </si>
  <si>
    <t>Darnell, Scott</t>
  </si>
  <si>
    <t>Haines, Carver</t>
  </si>
  <si>
    <t>Olufadejimi, Kareem</t>
  </si>
  <si>
    <t>Nathan Nelson</t>
  </si>
  <si>
    <t>Garcia, John</t>
  </si>
  <si>
    <t>Wittke, Robyn</t>
  </si>
  <si>
    <t>Ehrhardt, Matthew</t>
  </si>
  <si>
    <t>Mcauley, Deirdre</t>
  </si>
  <si>
    <t>Kei, Ko</t>
  </si>
  <si>
    <t>Hickerson, Paul</t>
  </si>
  <si>
    <t>Nwaiwu, Obioma</t>
  </si>
  <si>
    <t>Anthony, Pappas</t>
  </si>
  <si>
    <t>Brown, Jamin</t>
  </si>
  <si>
    <t>Jenkins, Skyler</t>
  </si>
  <si>
    <t>Ragotero, Solomon</t>
  </si>
  <si>
    <t>Algee, Wyatt</t>
  </si>
  <si>
    <t>Eshun, John</t>
  </si>
  <si>
    <t>Billy, Holt</t>
  </si>
  <si>
    <t>Frazier, J</t>
  </si>
  <si>
    <t>Gregory, Evan</t>
  </si>
  <si>
    <t>Kittell, Michael</t>
  </si>
  <si>
    <t>Hubley, Robert</t>
  </si>
  <si>
    <t>Kennedy, Patrick</t>
  </si>
  <si>
    <t>Bennett, William</t>
  </si>
  <si>
    <t>Nielson, Nathan</t>
  </si>
  <si>
    <t>Watson, Lashundra</t>
  </si>
  <si>
    <t>Stepps, Kristopher</t>
  </si>
  <si>
    <t>Heath Spencer</t>
  </si>
  <si>
    <t>Mayhue, Franklin</t>
  </si>
  <si>
    <t>Lane, Aaron</t>
  </si>
  <si>
    <t>Samms, Donald</t>
  </si>
  <si>
    <t>Cavero, Fernando</t>
  </si>
  <si>
    <t>Ralston, Alissa</t>
  </si>
  <si>
    <t>Bowen, Leigh</t>
  </si>
  <si>
    <t>Vo, Haley</t>
  </si>
  <si>
    <t>Vovor Dassu, Komi</t>
  </si>
  <si>
    <t>Megan, Scarbrough</t>
  </si>
  <si>
    <t>Franks, Nathanael,</t>
  </si>
  <si>
    <t>Proctor, John</t>
  </si>
  <si>
    <t>Lee, Mark</t>
  </si>
  <si>
    <t>Willis, Scott R</t>
  </si>
  <si>
    <t>Horan, Michelle</t>
  </si>
  <si>
    <t>Phillips, Tracy</t>
  </si>
  <si>
    <t>Diffine, David</t>
  </si>
  <si>
    <t>Knowles, Glen</t>
  </si>
  <si>
    <t>Mckinney, Jason</t>
  </si>
  <si>
    <t>Wattigny, Christopher</t>
  </si>
  <si>
    <t>Blanco, Jorge</t>
  </si>
  <si>
    <t>Ipaye Adebiyi, Prudence</t>
  </si>
  <si>
    <t>Oconnell, Kristen</t>
  </si>
  <si>
    <t>Nguyen, Diem Quynh</t>
  </si>
  <si>
    <t>Griffith, Raymond</t>
  </si>
  <si>
    <t>Mullinix, Derek</t>
  </si>
  <si>
    <t>Pinderski, Christopher</t>
  </si>
  <si>
    <t>Rodgers, Kenneth</t>
  </si>
  <si>
    <t>Goodwin, Gregory</t>
  </si>
  <si>
    <t>Martin, Kristin</t>
  </si>
  <si>
    <t>Akhigbe, Churchill</t>
  </si>
  <si>
    <t>Cundiff, Christopher</t>
  </si>
  <si>
    <t>Brett, Malone</t>
  </si>
  <si>
    <t>Green, Burdge</t>
  </si>
  <si>
    <t>Brown, Mark</t>
  </si>
  <si>
    <t>Bau, Teresa</t>
  </si>
  <si>
    <t>Hensel, James</t>
  </si>
  <si>
    <t>Layton, Lachan</t>
  </si>
  <si>
    <t>Achmed, Turay</t>
  </si>
  <si>
    <t>Fisher, Lauren</t>
  </si>
  <si>
    <t>Maddox, Randolph</t>
  </si>
  <si>
    <t>Spencer, Jeffery</t>
  </si>
  <si>
    <t>Musgrove, Charles</t>
  </si>
  <si>
    <t>Orji, Christian</t>
  </si>
  <si>
    <t>Mcdaniel, Christopher</t>
  </si>
  <si>
    <t>Falck, Jack</t>
  </si>
  <si>
    <t>Ziehr, Rebecca</t>
  </si>
  <si>
    <t>Jones Montgomery, Karla</t>
  </si>
  <si>
    <t>Corkern, Robert</t>
  </si>
  <si>
    <t>Deming Virmani, Misty</t>
  </si>
  <si>
    <t>Cowden, Arthur</t>
  </si>
  <si>
    <t>Bean, Ashley</t>
  </si>
  <si>
    <t>Padley, Rebecca</t>
  </si>
  <si>
    <t>Kent, Marie</t>
  </si>
  <si>
    <t>Walkup, Stormy</t>
  </si>
  <si>
    <t>O'Brien, Kelsey</t>
  </si>
  <si>
    <t>Brandt, Matthew</t>
  </si>
  <si>
    <t>Wiley, James</t>
  </si>
  <si>
    <t>Grayson, Patrick</t>
  </si>
  <si>
    <t>Bollen, Altimus</t>
  </si>
  <si>
    <t>Blake, Dennis</t>
  </si>
  <si>
    <t>Rossiter, Thomas</t>
  </si>
  <si>
    <t>Sherwood, Edwin</t>
  </si>
  <si>
    <t>Jouma, Jalou</t>
  </si>
  <si>
    <t>Lindsey, Grisham</t>
  </si>
  <si>
    <t>Wyble, Lane</t>
  </si>
  <si>
    <t>Anderson, Patric</t>
  </si>
  <si>
    <t>Andrada, Edward</t>
  </si>
  <si>
    <t>Wozniak, Adam</t>
  </si>
  <si>
    <t>Blackburn, Stephen</t>
  </si>
  <si>
    <t>Rose, Joseph</t>
  </si>
  <si>
    <t>Triplett, William</t>
  </si>
  <si>
    <t>Curry, Janet</t>
  </si>
  <si>
    <t>Spears, Gregory</t>
  </si>
  <si>
    <t>Brigance, Holly</t>
  </si>
  <si>
    <t>Foster, Paul</t>
  </si>
  <si>
    <t>Eastin, Travis</t>
  </si>
  <si>
    <t>Palmer, Tiffany</t>
  </si>
  <si>
    <t>Holleyman, Daniel</t>
  </si>
  <si>
    <t>Sahana, Aravind</t>
  </si>
  <si>
    <t>Call, Kenneth</t>
  </si>
  <si>
    <t>Walsh, Penny</t>
  </si>
  <si>
    <t>Lewis, William</t>
  </si>
  <si>
    <t>Willis, Sherita</t>
  </si>
  <si>
    <t>Evans, Clinton</t>
  </si>
  <si>
    <t>Timothy,Ying</t>
  </si>
  <si>
    <t>Freeman, Darren</t>
  </si>
  <si>
    <t>Ellis, Joshua, C</t>
  </si>
  <si>
    <t>Renfroe, James</t>
  </si>
  <si>
    <t>Carttar, Charles</t>
  </si>
  <si>
    <t>Morrison, Raymond</t>
  </si>
  <si>
    <t>Knott, Kyle</t>
  </si>
  <si>
    <t>Maner, Jamie</t>
  </si>
  <si>
    <t>Schwanebeck, Jason</t>
  </si>
  <si>
    <t>Boss, Devin</t>
  </si>
  <si>
    <t>Cody,Baker</t>
  </si>
  <si>
    <t>Cox, Clint E.</t>
  </si>
  <si>
    <t>Duke, Frances</t>
  </si>
  <si>
    <t>Tippin, Philip</t>
  </si>
  <si>
    <t>Webber, David</t>
  </si>
  <si>
    <t>Rae, Steven T</t>
  </si>
  <si>
    <t>Dewitt, Jt</t>
  </si>
  <si>
    <t>Kurz, Mary</t>
  </si>
  <si>
    <t>Ruiz Gonzalez, Helbert</t>
  </si>
  <si>
    <t>Nwodo, Chukwudi</t>
  </si>
  <si>
    <t>Usman Adamu, Nana</t>
  </si>
  <si>
    <t>Morgan, Steve</t>
  </si>
  <si>
    <t>Paul, Nayana</t>
  </si>
  <si>
    <t>Berry, Dennis</t>
  </si>
  <si>
    <t>Krystle, Mccarson</t>
  </si>
  <si>
    <t>Amber, Jackson</t>
  </si>
  <si>
    <t>Ngone, Ewane</t>
  </si>
  <si>
    <t>Hulen, Han</t>
  </si>
  <si>
    <t>Thacker, Amber</t>
  </si>
  <si>
    <t>Sampson, Mega</t>
  </si>
  <si>
    <t>Schupack, Brett</t>
  </si>
  <si>
    <t>Justin Dersch</t>
  </si>
  <si>
    <t>El, Aawar</t>
  </si>
  <si>
    <t>Appell, Lauren</t>
  </si>
  <si>
    <t>Valmont, Ian</t>
  </si>
  <si>
    <t>Finke, Bryan</t>
  </si>
  <si>
    <t>Shipp, Timothy</t>
  </si>
  <si>
    <t>Stewart, Bradford</t>
  </si>
  <si>
    <t>Evans, Lauren</t>
  </si>
  <si>
    <t>Omakpokpose, Sheila</t>
  </si>
  <si>
    <t>Yusuf, Muhammad</t>
  </si>
  <si>
    <t>Ethan J Jernigan</t>
  </si>
  <si>
    <t>Young, Richard</t>
  </si>
  <si>
    <t>Hammons, Gregory</t>
  </si>
  <si>
    <t>Phillips, Rebecca</t>
  </si>
  <si>
    <t>Brooks, Donald</t>
  </si>
  <si>
    <t>Brad, Blaker</t>
  </si>
  <si>
    <t>Kennetz, Tracy</t>
  </si>
  <si>
    <t>Monk, Glen</t>
  </si>
  <si>
    <t>Hobart Porter, Nicholas</t>
  </si>
  <si>
    <t>Roberts, Jacob</t>
  </si>
  <si>
    <t>Porte, Rex</t>
  </si>
  <si>
    <t>Dye, Clarence</t>
  </si>
  <si>
    <t>Petrilla, Kate</t>
  </si>
  <si>
    <t>Galicia, Edgar E</t>
  </si>
  <si>
    <t>Clarke, Michael</t>
  </si>
  <si>
    <t>Trevillyan, M</t>
  </si>
  <si>
    <t>Flamik, Darren</t>
  </si>
  <si>
    <t>Barr, William</t>
  </si>
  <si>
    <t>Habeeb, Mumeet</t>
  </si>
  <si>
    <t>Kolm, Daniel</t>
  </si>
  <si>
    <t>Dawkins, Jheanelle N.</t>
  </si>
  <si>
    <t>Glynn Riels</t>
  </si>
  <si>
    <t>Christensen, Mary</t>
  </si>
  <si>
    <t>Shammas, Carlos</t>
  </si>
  <si>
    <t>Jackson Lockyer, Margo</t>
  </si>
  <si>
    <t>Mccourtney, Bill</t>
  </si>
  <si>
    <t>Mccurdy, Robert</t>
  </si>
  <si>
    <t>Paul, Strait</t>
  </si>
  <si>
    <t>Scroggin, Carroll</t>
  </si>
  <si>
    <t>Strane, Nicholas</t>
  </si>
  <si>
    <t>Choudhary, Deepak</t>
  </si>
  <si>
    <t>Deaver, Jeffrey</t>
  </si>
  <si>
    <t>Campbell, Scott</t>
  </si>
  <si>
    <t>Conard, Cody</t>
  </si>
  <si>
    <t>Williams, Britni</t>
  </si>
  <si>
    <t>Wilson, John</t>
  </si>
  <si>
    <t>Osarogiagbon, Raymond</t>
  </si>
  <si>
    <t>Byrd, William</t>
  </si>
  <si>
    <t>Pugh, Mary</t>
  </si>
  <si>
    <t>Lamb, Lacey</t>
  </si>
  <si>
    <t>Henry, Hunter</t>
  </si>
  <si>
    <t>Murray, Torey</t>
  </si>
  <si>
    <t>Watkins, Joseph</t>
  </si>
  <si>
    <t>Denney, Eli</t>
  </si>
  <si>
    <t>Mckeehen, James</t>
  </si>
  <si>
    <t>Berry, William</t>
  </si>
  <si>
    <t>Hohenkirk, Lyndon</t>
  </si>
  <si>
    <t>Tracy Barrett</t>
  </si>
  <si>
    <t>Ballouk, Wesam</t>
  </si>
  <si>
    <t>Aaron, Bassett</t>
  </si>
  <si>
    <t>Miller, James</t>
  </si>
  <si>
    <t>Luke, Gaskin</t>
  </si>
  <si>
    <t>Bailey, Thomas O</t>
  </si>
  <si>
    <t>Lewis, Robert</t>
  </si>
  <si>
    <t>Morrison, Kendra</t>
  </si>
  <si>
    <t>Graham, Jeremy R.</t>
  </si>
  <si>
    <t>Garbo, Grant</t>
  </si>
  <si>
    <t>Benjamin Zenger</t>
  </si>
  <si>
    <t>Mcclintock, Sarah</t>
  </si>
  <si>
    <t>Bone, Sarah</t>
  </si>
  <si>
    <t>Tanner, Weldon</t>
  </si>
  <si>
    <t>Adam Johnston</t>
  </si>
  <si>
    <t>Brimley, Rashaeda</t>
  </si>
  <si>
    <t>Snead, Gregory</t>
  </si>
  <si>
    <t>Robertson, Jonathan</t>
  </si>
  <si>
    <t>Diehl, Jeffery</t>
  </si>
  <si>
    <t>Whiteside, Samantha</t>
  </si>
  <si>
    <t>Osborne, Jomo</t>
  </si>
  <si>
    <t>Wagnon, Asher</t>
  </si>
  <si>
    <t>Ketting, Raymond</t>
  </si>
  <si>
    <t>Smith, Clyde</t>
  </si>
  <si>
    <t>Mcginty, Mary</t>
  </si>
  <si>
    <t>Marks, Jay</t>
  </si>
  <si>
    <t>Hohertz, Brian</t>
  </si>
  <si>
    <t>Morrison, Jimmy, J</t>
  </si>
  <si>
    <t>Hollingsworth, Amanda</t>
  </si>
  <si>
    <t>Hight, Michael</t>
  </si>
  <si>
    <t>Allen, Harold</t>
  </si>
  <si>
    <t>Dunn, William</t>
  </si>
  <si>
    <t>Young, Amanda</t>
  </si>
  <si>
    <t>Mcdonald, Morgan</t>
  </si>
  <si>
    <t>Ahzam, Muhammad</t>
  </si>
  <si>
    <t>Goyal, Deepak</t>
  </si>
  <si>
    <t>Chitsey, Richard</t>
  </si>
  <si>
    <t>Kauffman, Paul</t>
  </si>
  <si>
    <t>Khan, Gul</t>
  </si>
  <si>
    <t>Richardson, Stacy</t>
  </si>
  <si>
    <t>Jason Moore</t>
  </si>
  <si>
    <t>Edwards, Marjorie</t>
  </si>
  <si>
    <t>Stephens, Nathaniel</t>
  </si>
  <si>
    <t>Diab, Ashraf</t>
  </si>
  <si>
    <t>Gendi, Wahied</t>
  </si>
  <si>
    <t>Wilkins, Hannah</t>
  </si>
  <si>
    <t>Jean, Greta</t>
  </si>
  <si>
    <t>Byra, Marcin</t>
  </si>
  <si>
    <t>Derek, Douglas</t>
  </si>
  <si>
    <t>Purvis, Kenneth</t>
  </si>
  <si>
    <t>Coney, Ls</t>
  </si>
  <si>
    <t>Hamrick, Justin</t>
  </si>
  <si>
    <t>Ashley, Alisha</t>
  </si>
  <si>
    <t>Gaddis, Chadwick</t>
  </si>
  <si>
    <t>Patel, Payal</t>
  </si>
  <si>
    <t>Harrison, Matthew W</t>
  </si>
  <si>
    <t>Cooper, Mark</t>
  </si>
  <si>
    <t>Hillary, Udeh</t>
  </si>
  <si>
    <t>Clayton,Preston</t>
  </si>
  <si>
    <t>Richison, George</t>
  </si>
  <si>
    <t>Kleinbeck, Seth</t>
  </si>
  <si>
    <t>Covert, George K</t>
  </si>
  <si>
    <t>Boulware, Chad</t>
  </si>
  <si>
    <t>Fenton, Carter</t>
  </si>
  <si>
    <t>Turner, Sherry</t>
  </si>
  <si>
    <t>Mcdonald, Douglas</t>
  </si>
  <si>
    <t>Burns, Samuel</t>
  </si>
  <si>
    <t>Corley Iii, James E.</t>
  </si>
  <si>
    <t>Patrick, Brett</t>
  </si>
  <si>
    <t>Moser, Dean</t>
  </si>
  <si>
    <t>Martindale, Johnathan, A</t>
  </si>
  <si>
    <t>Ryan, Walsh</t>
  </si>
  <si>
    <t>Magill, Melissa</t>
  </si>
  <si>
    <t>Yelvington, D</t>
  </si>
  <si>
    <t>Khan, Iqtidor A</t>
  </si>
  <si>
    <t>Russell, James</t>
  </si>
  <si>
    <t>Del Castillo Hegyi, Christie</t>
  </si>
  <si>
    <t>Tutt, Richard</t>
  </si>
  <si>
    <t>Erika, Boyd</t>
  </si>
  <si>
    <t>Cyrus, Arthur</t>
  </si>
  <si>
    <t>Lo, Vivian</t>
  </si>
  <si>
    <t>Obiozo, Albert</t>
  </si>
  <si>
    <t>Burroughs, Nathan</t>
  </si>
  <si>
    <t>Bullard, Manbeck</t>
  </si>
  <si>
    <t>Spence, Leisa R</t>
  </si>
  <si>
    <t>Lacey, Balsmann</t>
  </si>
  <si>
    <t>Sherrod, Clide</t>
  </si>
  <si>
    <t>Beis, Russell D</t>
  </si>
  <si>
    <t>Rivas, Carlos</t>
  </si>
  <si>
    <t>Johnson, Lee</t>
  </si>
  <si>
    <t>Baker, William</t>
  </si>
  <si>
    <t>Johnson, Kelly</t>
  </si>
  <si>
    <t>Binns, Tasha</t>
  </si>
  <si>
    <t>David, Horwitz</t>
  </si>
  <si>
    <t>Sisperova, Zuzana</t>
  </si>
  <si>
    <t>Holley, Joseph</t>
  </si>
  <si>
    <t>Shakir, Muhammad</t>
  </si>
  <si>
    <t>Seidenberg, Philip</t>
  </si>
  <si>
    <t>Allen, Justin, R</t>
  </si>
  <si>
    <t>Meadors, Kevan</t>
  </si>
  <si>
    <t>Mayeux, Alex</t>
  </si>
  <si>
    <t>Mcdonald, Robert</t>
  </si>
  <si>
    <t>Jennifer, Terry</t>
  </si>
  <si>
    <t>Raju, Jampana</t>
  </si>
  <si>
    <t>Criner, Roger</t>
  </si>
  <si>
    <t>Doncer, Richard</t>
  </si>
  <si>
    <t>Abdel Hai, Hammo</t>
  </si>
  <si>
    <t>Schmidt, David</t>
  </si>
  <si>
    <t>Carrouth, David</t>
  </si>
  <si>
    <t>Olaoye, Olatunji</t>
  </si>
  <si>
    <t>Pereira, Stephanie</t>
  </si>
  <si>
    <t>Johnathon Lowe</t>
  </si>
  <si>
    <t>Christopher, Aponte</t>
  </si>
  <si>
    <t>Williams, Kenneth</t>
  </si>
  <si>
    <t>Vick, Brandon</t>
  </si>
  <si>
    <t>Larey, Mark</t>
  </si>
  <si>
    <t>Weddle, John</t>
  </si>
  <si>
    <t>Shields, Teddy</t>
  </si>
  <si>
    <t>Zareen, Nasir</t>
  </si>
  <si>
    <t>Steele, Jeffery</t>
  </si>
  <si>
    <t>Vansickle, Ryan</t>
  </si>
  <si>
    <t>Romenska, Olena</t>
  </si>
  <si>
    <t>Edwards, Gray</t>
  </si>
  <si>
    <t>Frizzell, Tammie</t>
  </si>
  <si>
    <t>Lauren, Howard</t>
  </si>
  <si>
    <t>Rachel Plate</t>
  </si>
  <si>
    <t>Stokes, Myron</t>
  </si>
  <si>
    <t>Ward, Samuel</t>
  </si>
  <si>
    <t>Strong, Aaron</t>
  </si>
  <si>
    <t>Carrington, Hunter</t>
  </si>
  <si>
    <t>Biggers, Bradley</t>
  </si>
  <si>
    <t>Alemany Colom, Eduardo</t>
  </si>
  <si>
    <t>Kurtis Young</t>
  </si>
  <si>
    <t>Enyenihi, Henry</t>
  </si>
  <si>
    <t>Pate, Kimball</t>
  </si>
  <si>
    <t>Oconnell, Joseph</t>
  </si>
  <si>
    <t>Kenneth, Thompson</t>
  </si>
  <si>
    <t>Hemeyer, Mark</t>
  </si>
  <si>
    <t>Wallace, Danyale</t>
  </si>
  <si>
    <t>Albrecht, Tammy</t>
  </si>
  <si>
    <t>Fojas, Robin</t>
  </si>
  <si>
    <t>Scott, Charles</t>
  </si>
  <si>
    <t>Lawson, Jonathan</t>
  </si>
  <si>
    <t>Velasquez, Pedro</t>
  </si>
  <si>
    <t>Hughes, Thomas</t>
  </si>
  <si>
    <t>Anvitha R Ankireddypalli</t>
  </si>
  <si>
    <t>Motahari, Hooman</t>
  </si>
  <si>
    <t>Diaz Thomas, Alicia</t>
  </si>
  <si>
    <t>Qureshi, Mohammad</t>
  </si>
  <si>
    <t>Matwijiw, Igor</t>
  </si>
  <si>
    <t>Freese, Jurhee</t>
  </si>
  <si>
    <t>Wynn, Anne</t>
  </si>
  <si>
    <t>Edem, Dinesh</t>
  </si>
  <si>
    <t>Delaney Freedman, Angela</t>
  </si>
  <si>
    <t>Al-Kilani, Muhannad</t>
  </si>
  <si>
    <t>Hernandez Nimmo, Teresa</t>
  </si>
  <si>
    <t>Stringer, Jonathan</t>
  </si>
  <si>
    <t>Rivas Mejia, Ana</t>
  </si>
  <si>
    <t>Khayal, Saba</t>
  </si>
  <si>
    <t>Perry, Bobby</t>
  </si>
  <si>
    <t>Joshi, Prajesh</t>
  </si>
  <si>
    <t>Moutos, Dean</t>
  </si>
  <si>
    <t>Fiorella, Sotomayor Villanueva</t>
  </si>
  <si>
    <t>Weinstein, Robert</t>
  </si>
  <si>
    <t>Lendel, Irina</t>
  </si>
  <si>
    <t>Steinberg, Helmut</t>
  </si>
  <si>
    <t>Borikar, Madhura</t>
  </si>
  <si>
    <t>Shafiq, Tabinda</t>
  </si>
  <si>
    <t>Jarathi, Archana</t>
  </si>
  <si>
    <t>Al-Zubeidi, Hiba</t>
  </si>
  <si>
    <t>Frindik, Joseph</t>
  </si>
  <si>
    <t>Yu, Christine</t>
  </si>
  <si>
    <t>Redding, Allen</t>
  </si>
  <si>
    <t>Blavo, Delali O.</t>
  </si>
  <si>
    <t>Budhraja, Madhu</t>
  </si>
  <si>
    <t>Soumya, Thumma</t>
  </si>
  <si>
    <t>Childress, Richard</t>
  </si>
  <si>
    <t>Duvoor, Chitharanjan</t>
  </si>
  <si>
    <t>Bao, Shunzhong</t>
  </si>
  <si>
    <t>Menon, Lakshmi</t>
  </si>
  <si>
    <t>Niegos, Frederick</t>
  </si>
  <si>
    <t>Kilpatrick, Catherine</t>
  </si>
  <si>
    <t>Brannick, Benjamin</t>
  </si>
  <si>
    <t>James, Turner</t>
  </si>
  <si>
    <t>Horine, Lyndell</t>
  </si>
  <si>
    <t>Emily R Crain</t>
  </si>
  <si>
    <t>Maraka, Spyridoula</t>
  </si>
  <si>
    <t>Arwa, Albashaireh</t>
  </si>
  <si>
    <t>Granieri, Elizabeth</t>
  </si>
  <si>
    <t>Ke, Raymond</t>
  </si>
  <si>
    <t>Alesali, Maher</t>
  </si>
  <si>
    <t>Wang, Yu Chi</t>
  </si>
  <si>
    <t>Mallare, Johanna</t>
  </si>
  <si>
    <t>Svoboda, Jonben</t>
  </si>
  <si>
    <t>Abu Al Hommos, Nisreen</t>
  </si>
  <si>
    <t>Hamza Nasir</t>
  </si>
  <si>
    <t>Thrasher, James</t>
  </si>
  <si>
    <t>Rapp, Richard</t>
  </si>
  <si>
    <t>Riaz, Nashmia</t>
  </si>
  <si>
    <t>Sumpter, Kathryn</t>
  </si>
  <si>
    <t>Karabell, Ana</t>
  </si>
  <si>
    <t>Hawkins, Lauren</t>
  </si>
  <si>
    <t>Prasad, Anju</t>
  </si>
  <si>
    <t>Myers, Lisa</t>
  </si>
  <si>
    <t>Williamson, Adrian,</t>
  </si>
  <si>
    <t>Killingsworth, Stephen</t>
  </si>
  <si>
    <t>Vallery, Samuel W</t>
  </si>
  <si>
    <t>Tulunay Ugur, Ozlem</t>
  </si>
  <si>
    <t>Highfill, Gary</t>
  </si>
  <si>
    <t>Cunningham, Jeffrey</t>
  </si>
  <si>
    <t>Burr, Mary</t>
  </si>
  <si>
    <t>Mcghee, Michael</t>
  </si>
  <si>
    <t>Rumans, Todd</t>
  </si>
  <si>
    <t>Bridges, Matthew, W</t>
  </si>
  <si>
    <t>Cranford, Anndi</t>
  </si>
  <si>
    <t>Linson, Larry</t>
  </si>
  <si>
    <t>Mattingly, Rhonda</t>
  </si>
  <si>
    <t>Bower, Charles</t>
  </si>
  <si>
    <t>Lim, Victoria</t>
  </si>
  <si>
    <t>Moreno Vera, Mauricio</t>
  </si>
  <si>
    <t>Gillespie, Marion B.</t>
  </si>
  <si>
    <t>Averitt, Susan</t>
  </si>
  <si>
    <t>Suen, James</t>
  </si>
  <si>
    <t>Beckford, Neal</t>
  </si>
  <si>
    <t>Shete, Mona</t>
  </si>
  <si>
    <t>Morrison, Caroline</t>
  </si>
  <si>
    <t>Eid, Anas</t>
  </si>
  <si>
    <t>Hill, Courtney</t>
  </si>
  <si>
    <t>Sunde, Jumin</t>
  </si>
  <si>
    <t>Oudin, Edouard, M</t>
  </si>
  <si>
    <t>Lorenz, Frederick</t>
  </si>
  <si>
    <t>Tavin, Ellis</t>
  </si>
  <si>
    <t>Sharum, Matthew</t>
  </si>
  <si>
    <t>Shea, Paul</t>
  </si>
  <si>
    <t>Fraley, Patrick</t>
  </si>
  <si>
    <t>Wood, Carey</t>
  </si>
  <si>
    <t>Bulkley, William</t>
  </si>
  <si>
    <t>Wade, Mcclain</t>
  </si>
  <si>
    <t>Robert,Tuliszewski</t>
  </si>
  <si>
    <t>Staffel, Jon</t>
  </si>
  <si>
    <t>Marrero, Ralph</t>
  </si>
  <si>
    <t>Metrailer, Aaron</t>
  </si>
  <si>
    <t>Solverson, Matthew</t>
  </si>
  <si>
    <t>Bizzell, Jamie</t>
  </si>
  <si>
    <t>Kanaan, Alissa</t>
  </si>
  <si>
    <t>Kompelli, Anvesh, R</t>
  </si>
  <si>
    <t>Small Osullivan, Mariah</t>
  </si>
  <si>
    <t>Anzalone, Charles</t>
  </si>
  <si>
    <t>Chanin, Louis</t>
  </si>
  <si>
    <t>Windham, Byron</t>
  </si>
  <si>
    <t>Foraues, Mathiue</t>
  </si>
  <si>
    <t>Bareiss, Anna</t>
  </si>
  <si>
    <t>Miller, Jeffrey</t>
  </si>
  <si>
    <t>Merrill, Tyler, B</t>
  </si>
  <si>
    <t>Reid, Jonathan, W</t>
  </si>
  <si>
    <t>Shepherd, Brandon A</t>
  </si>
  <si>
    <t>Strub, Graham</t>
  </si>
  <si>
    <t>Stocks, Rosemary</t>
  </si>
  <si>
    <t>Lewis, David</t>
  </si>
  <si>
    <t>Gottschalk, Douglas</t>
  </si>
  <si>
    <t>Family Ent &amp; Sinus Center Of Harrison</t>
  </si>
  <si>
    <t>Colvin, Greene</t>
  </si>
  <si>
    <t>Gwartney, Michael</t>
  </si>
  <si>
    <t>Nolder, Abby</t>
  </si>
  <si>
    <t>Shipp, Gordon</t>
  </si>
  <si>
    <t>Fetterman, Bruce</t>
  </si>
  <si>
    <t>Key, James</t>
  </si>
  <si>
    <t>Link, Joel</t>
  </si>
  <si>
    <t>Celine, Richard</t>
  </si>
  <si>
    <t>Cunningham, Amanda</t>
  </si>
  <si>
    <t>Gleysteen, John</t>
  </si>
  <si>
    <t>Emma C Panico</t>
  </si>
  <si>
    <t>Graber, Staci</t>
  </si>
  <si>
    <t>Lawton, Brian</t>
  </si>
  <si>
    <t>Brandt, Emily</t>
  </si>
  <si>
    <t>Creighton, Erin, R</t>
  </si>
  <si>
    <t>Gardner, Edward</t>
  </si>
  <si>
    <t>Lazar, Rande</t>
  </si>
  <si>
    <t>Wineland, Andre</t>
  </si>
  <si>
    <t>Stills, David</t>
  </si>
  <si>
    <t>Macdonald, Bruce</t>
  </si>
  <si>
    <t>Farris, Paul</t>
  </si>
  <si>
    <t>Nehus, Ezechiel</t>
  </si>
  <si>
    <t>Rosenberger, Eric</t>
  </si>
  <si>
    <t>Black, Randall</t>
  </si>
  <si>
    <t>Hearnsberger, Henry</t>
  </si>
  <si>
    <t>Hollingsworth, Charles</t>
  </si>
  <si>
    <t>Morrison, Aaron</t>
  </si>
  <si>
    <t>Shorts, Stephen</t>
  </si>
  <si>
    <t>Dornhoffer, John</t>
  </si>
  <si>
    <t>Papayannis, Ioannis</t>
  </si>
  <si>
    <t>Dotson, Jennifer, L</t>
  </si>
  <si>
    <t>job Jacob, Md Pllc</t>
  </si>
  <si>
    <t>Okeefe, Kevin</t>
  </si>
  <si>
    <t>Bhandari, Bal</t>
  </si>
  <si>
    <t>French, Joshua</t>
  </si>
  <si>
    <t>Wigington, William</t>
  </si>
  <si>
    <t>Kakati, Bobby</t>
  </si>
  <si>
    <t>Saenz De Sicilia, Mauricio</t>
  </si>
  <si>
    <t>Alleman, Robert</t>
  </si>
  <si>
    <t>Conkling, Brandon</t>
  </si>
  <si>
    <t>Narra, Sri</t>
  </si>
  <si>
    <t>Bierman, Paul</t>
  </si>
  <si>
    <t>Hover, Alex</t>
  </si>
  <si>
    <t>Edwards, Price</t>
  </si>
  <si>
    <t>Johnson, Arthur</t>
  </si>
  <si>
    <t>Khan, Nabeel</t>
  </si>
  <si>
    <t>Thompson, Bryan</t>
  </si>
  <si>
    <t>Kliewer, Douglas</t>
  </si>
  <si>
    <t>Green, Warren</t>
  </si>
  <si>
    <t>Hussain, Ali</t>
  </si>
  <si>
    <t>Dasaree, Lakshmi</t>
  </si>
  <si>
    <t>Khan, Ali</t>
  </si>
  <si>
    <t>Jones, Johnny</t>
  </si>
  <si>
    <t>Vankawala, Preksha, M</t>
  </si>
  <si>
    <t>Meka, Rao,</t>
  </si>
  <si>
    <t>Addepally, Naga</t>
  </si>
  <si>
    <t>Nathan, Thusha</t>
  </si>
  <si>
    <t>Goodwin, Johnathan</t>
  </si>
  <si>
    <t>Raza, Abbas</t>
  </si>
  <si>
    <t>Williams, Alonzo</t>
  </si>
  <si>
    <t>Mathews, John Steven</t>
  </si>
  <si>
    <t>Corkins, Mark</t>
  </si>
  <si>
    <t>Tuqan, Wa'El</t>
  </si>
  <si>
    <t>Cengiz, Cem</t>
  </si>
  <si>
    <t>Murphy, Robert</t>
  </si>
  <si>
    <t>Hollis, Robert</t>
  </si>
  <si>
    <t>Robertson, Jeffrey</t>
  </si>
  <si>
    <t>Farooq, Farees</t>
  </si>
  <si>
    <t>Rude, Mary</t>
  </si>
  <si>
    <t>Demondesert, Eduardo</t>
  </si>
  <si>
    <t>Olden, Kevin</t>
  </si>
  <si>
    <t>Kawatu, David</t>
  </si>
  <si>
    <t>Khan, Mubashir</t>
  </si>
  <si>
    <t>Nutt, Angela</t>
  </si>
  <si>
    <t>Badejo, Bodumrin</t>
  </si>
  <si>
    <t>Wooten, Robert</t>
  </si>
  <si>
    <t>Harris, Frederick</t>
  </si>
  <si>
    <t>Vickers, Maggie</t>
  </si>
  <si>
    <t>Odiase, Elaine</t>
  </si>
  <si>
    <t>Park, Jaeho,</t>
  </si>
  <si>
    <t>Rao, Babu</t>
  </si>
  <si>
    <t>Frederick, Randall</t>
  </si>
  <si>
    <t>Williams, Paul</t>
  </si>
  <si>
    <t>Levinson, Michael</t>
  </si>
  <si>
    <t>Moix, Frank</t>
  </si>
  <si>
    <t>Thai, Quoc-Anh</t>
  </si>
  <si>
    <t>Jones, Wesley</t>
  </si>
  <si>
    <t>Kistangari, Gaurav</t>
  </si>
  <si>
    <t>Olosunde, Ayotokunbo</t>
  </si>
  <si>
    <t>Tahiri, Abdalla</t>
  </si>
  <si>
    <t>Brandt, John</t>
  </si>
  <si>
    <t>Bleibel, Wissam,</t>
  </si>
  <si>
    <t>Bilal, Muhammad</t>
  </si>
  <si>
    <t>Remak, Geza</t>
  </si>
  <si>
    <t>Glassell, Edwin</t>
  </si>
  <si>
    <t>Ketcher, Brenda J</t>
  </si>
  <si>
    <t>Rahman, Pervaiz</t>
  </si>
  <si>
    <t>Keller, Christopher</t>
  </si>
  <si>
    <t>Verne, George</t>
  </si>
  <si>
    <t>Rego, Rayburn</t>
  </si>
  <si>
    <t>Khan, Hamza, H</t>
  </si>
  <si>
    <t>Friedman, Edward</t>
  </si>
  <si>
    <t>Dunn, Samuel</t>
  </si>
  <si>
    <t>Rutland, James</t>
  </si>
  <si>
    <t>Whitworth, John</t>
  </si>
  <si>
    <t>Nair, Satheesh</t>
  </si>
  <si>
    <t>Towne, Carter</t>
  </si>
  <si>
    <t>Michael, Ronald</t>
  </si>
  <si>
    <t>Metrailer, James</t>
  </si>
  <si>
    <t>Ziller, Stephen</t>
  </si>
  <si>
    <t>Patel, Dhaval</t>
  </si>
  <si>
    <t>Ramirez, Alejandro</t>
  </si>
  <si>
    <t>Ford, Lori</t>
  </si>
  <si>
    <t>Meziere, Tom</t>
  </si>
  <si>
    <t>Ali, Meer</t>
  </si>
  <si>
    <t>Paschall, Chad</t>
  </si>
  <si>
    <t>Pennington, Jaymie</t>
  </si>
  <si>
    <t>Bera, Chinmay,</t>
  </si>
  <si>
    <t>Mendoza Alvarez, Lybil</t>
  </si>
  <si>
    <t>Bowden, Phillip</t>
  </si>
  <si>
    <t>Spiotta, Eugene</t>
  </si>
  <si>
    <t>Thomas, Gary</t>
  </si>
  <si>
    <t>Lawrinenko, Victor</t>
  </si>
  <si>
    <t>Rahimi Naini, Sohrab</t>
  </si>
  <si>
    <t>So, Brian</t>
  </si>
  <si>
    <t>Gupta, Mary</t>
  </si>
  <si>
    <t>Mcdonald, Sara</t>
  </si>
  <si>
    <t>Tahir Shaikh</t>
  </si>
  <si>
    <t>Blackstock, Terri</t>
  </si>
  <si>
    <t>Gaillard, Ian</t>
  </si>
  <si>
    <t>Singh, Pahul</t>
  </si>
  <si>
    <t>Kumpuris, Dennis</t>
  </si>
  <si>
    <t>Orleans-Lindsay, Kodwo</t>
  </si>
  <si>
    <t>Tharian, Benjamin</t>
  </si>
  <si>
    <t>Cozart, John</t>
  </si>
  <si>
    <t>Abdul-Hussein, Mustafa</t>
  </si>
  <si>
    <t>Wali, Prateek, D</t>
  </si>
  <si>
    <t>Wardlaw, Scott</t>
  </si>
  <si>
    <t>Hendon, Shane</t>
  </si>
  <si>
    <t>Garcia Osogobio, Sandra</t>
  </si>
  <si>
    <t>Rutledge, William</t>
  </si>
  <si>
    <t>Peeples, Guy</t>
  </si>
  <si>
    <t>Oleksiy,Gudz</t>
  </si>
  <si>
    <t>Strang, Robert</t>
  </si>
  <si>
    <t>Brock, William</t>
  </si>
  <si>
    <t>Campbell, Anthony</t>
  </si>
  <si>
    <t>Brotman, David</t>
  </si>
  <si>
    <t>Kerwin, Andrew</t>
  </si>
  <si>
    <t>Laryea, Jonathan</t>
  </si>
  <si>
    <t>Bledsoe, Samuel</t>
  </si>
  <si>
    <t>Schmittling, Zachary</t>
  </si>
  <si>
    <t>Broadwater, J</t>
  </si>
  <si>
    <t>Hronas, Theodore</t>
  </si>
  <si>
    <t>t. Michael Stanton, M.D., P.A.</t>
  </si>
  <si>
    <t>Miller, Joseph</t>
  </si>
  <si>
    <t>Davis, Kenita</t>
  </si>
  <si>
    <t>Jeffrey, Jay</t>
  </si>
  <si>
    <t>Timmons, Christoper</t>
  </si>
  <si>
    <t>Mattix, Kelly</t>
  </si>
  <si>
    <t>Fonji, Bertrand</t>
  </si>
  <si>
    <t>Morello, Raulee T</t>
  </si>
  <si>
    <t>Rice, Mandy</t>
  </si>
  <si>
    <t>Sanders, Emily</t>
  </si>
  <si>
    <t>Morgan, James</t>
  </si>
  <si>
    <t>Butler, Marilyn,</t>
  </si>
  <si>
    <t>Gibson, David</t>
  </si>
  <si>
    <t>Angier, Gregg</t>
  </si>
  <si>
    <t>Webster, Sarahrose</t>
  </si>
  <si>
    <t>Voeller, Guy</t>
  </si>
  <si>
    <t>Shochat, Stephen</t>
  </si>
  <si>
    <t>Thompson, Errington</t>
  </si>
  <si>
    <t>Myers, William</t>
  </si>
  <si>
    <t>Edwards, Christopher</t>
  </si>
  <si>
    <t>Barandiaran, Luis</t>
  </si>
  <si>
    <t>Szeto, Patrick</t>
  </si>
  <si>
    <t>Zalamea, Nia</t>
  </si>
  <si>
    <t>Meyer, Kevin</t>
  </si>
  <si>
    <t>Tubre, Dustin</t>
  </si>
  <si>
    <t>Barkley, Hannah, G</t>
  </si>
  <si>
    <t>Michael, Lattimore</t>
  </si>
  <si>
    <t>Arnold, Samuel</t>
  </si>
  <si>
    <t>Abraham, Dana</t>
  </si>
  <si>
    <t>Witt, Brittany, N</t>
  </si>
  <si>
    <t>Ellis, Richard</t>
  </si>
  <si>
    <t>Milholen, Linda</t>
  </si>
  <si>
    <t>Wright, Jesse</t>
  </si>
  <si>
    <t>Thomae, Keith</t>
  </si>
  <si>
    <t>Wirz, Richard</t>
  </si>
  <si>
    <t>Lamm, Hannah</t>
  </si>
  <si>
    <t>Giurgius, Magdy</t>
  </si>
  <si>
    <t>Dubois, Benjamin</t>
  </si>
  <si>
    <t>Richardson, Tyrun</t>
  </si>
  <si>
    <t>Eck, M</t>
  </si>
  <si>
    <t>Wier, Alyssa</t>
  </si>
  <si>
    <t>Dong, Caroline</t>
  </si>
  <si>
    <t>Shravan R Chintalapani</t>
  </si>
  <si>
    <t>Henry Tillman, Ronda</t>
  </si>
  <si>
    <t>Brown, Tashina</t>
  </si>
  <si>
    <t>Olivia,Delozier</t>
  </si>
  <si>
    <t>Woodworth, Philip</t>
  </si>
  <si>
    <t>Flake, William</t>
  </si>
  <si>
    <t>Wyrick, Deidre</t>
  </si>
  <si>
    <t>Roberts, Keith</t>
  </si>
  <si>
    <t>Unruh, Bryant</t>
  </si>
  <si>
    <t>Innes, Peter</t>
  </si>
  <si>
    <t>Bitzer, Lon G</t>
  </si>
  <si>
    <t>Majors, Jacqueline</t>
  </si>
  <si>
    <t>Miller, Mark</t>
  </si>
  <si>
    <t>Wallace, Sam</t>
  </si>
  <si>
    <t>Talledo Zevallos, Oscar</t>
  </si>
  <si>
    <t>Wolfe, Michael</t>
  </si>
  <si>
    <t>Siddiqui, Sabina</t>
  </si>
  <si>
    <t>Lambert, John</t>
  </si>
  <si>
    <t>Cate, Chris</t>
  </si>
  <si>
    <t>Bruce, Nolan</t>
  </si>
  <si>
    <t>Alabaster, Alan</t>
  </si>
  <si>
    <t>Weber Guzman, Jorge</t>
  </si>
  <si>
    <t>Privratsky, Anna</t>
  </si>
  <si>
    <t>Bittenbinder, David</t>
  </si>
  <si>
    <t>Black, Nicholette, M</t>
  </si>
  <si>
    <t>Mayfield, Michael</t>
  </si>
  <si>
    <t>Westbrook, Kent</t>
  </si>
  <si>
    <t>Songy, Chad</t>
  </si>
  <si>
    <t>Robinson, Leigh</t>
  </si>
  <si>
    <t>Ali, Yasmin</t>
  </si>
  <si>
    <t>Martin, Rodney</t>
  </si>
  <si>
    <t>Rosson, Thomas</t>
  </si>
  <si>
    <t>Salem, Jean</t>
  </si>
  <si>
    <t>Leblanc, Heather</t>
  </si>
  <si>
    <t>Holloway, Walter</t>
  </si>
  <si>
    <t>Dias Perera, Anton</t>
  </si>
  <si>
    <t>Sanchez Glanville, Carlos</t>
  </si>
  <si>
    <t>Vander Schilden, Jaclyn</t>
  </si>
  <si>
    <t>Scheerer, Mary</t>
  </si>
  <si>
    <t>Kastner, Lauren</t>
  </si>
  <si>
    <t>Vanatta, Jason</t>
  </si>
  <si>
    <t>Gardon, Mark</t>
  </si>
  <si>
    <t>Moulton, Allyson</t>
  </si>
  <si>
    <t>Prasertvit, Sirinya</t>
  </si>
  <si>
    <t>Marquez, Jofrances</t>
  </si>
  <si>
    <t>Kruczek, Sara, E</t>
  </si>
  <si>
    <t>Fant, Jerri</t>
  </si>
  <si>
    <t>Mason, Mark</t>
  </si>
  <si>
    <t>Rocheford, Holly</t>
  </si>
  <si>
    <t>Bittenbinder, Rebecca</t>
  </si>
  <si>
    <t>Mullins, John</t>
  </si>
  <si>
    <t>Robinson, Lonnie</t>
  </si>
  <si>
    <t>Singh Bath, Karan</t>
  </si>
  <si>
    <t>Kincade, Matthew</t>
  </si>
  <si>
    <t>Alhashem, Zaki</t>
  </si>
  <si>
    <t>Chisum Price, Amanda</t>
  </si>
  <si>
    <t>Vaughn, Lexie, H</t>
  </si>
  <si>
    <t>Daniel, Noble</t>
  </si>
  <si>
    <t>Bell, Michael</t>
  </si>
  <si>
    <t>Thomas, Haley, H</t>
  </si>
  <si>
    <t>Guerra Hodges, Christina</t>
  </si>
  <si>
    <t>Radomski, Meko</t>
  </si>
  <si>
    <t>Maxson, Robert</t>
  </si>
  <si>
    <t>Harrison, David</t>
  </si>
  <si>
    <t>Megan, Nicolas</t>
  </si>
  <si>
    <t>Twaddell, Clinton</t>
  </si>
  <si>
    <t>Akin, Eric</t>
  </si>
  <si>
    <t>Decaprio, Jeffery</t>
  </si>
  <si>
    <t>Foster, Michael</t>
  </si>
  <si>
    <t>Fleeman, Patrick</t>
  </si>
  <si>
    <t>Pollock, Michael</t>
  </si>
  <si>
    <t>Obanion, Dennis</t>
  </si>
  <si>
    <t>Bedwell, Valerie</t>
  </si>
  <si>
    <t>Hendrix, Ashley</t>
  </si>
  <si>
    <t>Kimbrough, Mary</t>
  </si>
  <si>
    <t>May, Rosalynn, G</t>
  </si>
  <si>
    <t>Wegner, Robert</t>
  </si>
  <si>
    <t>Landry, Dyllan</t>
  </si>
  <si>
    <t>Rodriquez, Carissa, T</t>
  </si>
  <si>
    <t>Wilson, Alan</t>
  </si>
  <si>
    <t>Hagans, James</t>
  </si>
  <si>
    <t>Teo, Esther</t>
  </si>
  <si>
    <t>Guarderas Ribadeneira, Mateo</t>
  </si>
  <si>
    <t>Tate, Julie</t>
  </si>
  <si>
    <t>Kelly, Thomas</t>
  </si>
  <si>
    <t>Foretia, Denis</t>
  </si>
  <si>
    <t>William L Mccolgan Iii Md</t>
  </si>
  <si>
    <t>Stoikes, Nathaniel</t>
  </si>
  <si>
    <t>Love, Robert</t>
  </si>
  <si>
    <t>Buckner, John</t>
  </si>
  <si>
    <t>Unruh, Lisa</t>
  </si>
  <si>
    <t>Wooderson, Kyle</t>
  </si>
  <si>
    <t>Lori A Gurien</t>
  </si>
  <si>
    <t>Mason, Roger</t>
  </si>
  <si>
    <t>Tang, Katherine, M</t>
  </si>
  <si>
    <t>Sullivan, Thomas</t>
  </si>
  <si>
    <t>Laughlin, Albert</t>
  </si>
  <si>
    <t>Kirk, Spencer</t>
  </si>
  <si>
    <t>Treptow, Douglas</t>
  </si>
  <si>
    <t>Taylor, John</t>
  </si>
  <si>
    <t>Tidwell, Stacy</t>
  </si>
  <si>
    <t>Champion, Sean</t>
  </si>
  <si>
    <t>Beasley, Thomas</t>
  </si>
  <si>
    <t>Davidson, Parker, B</t>
  </si>
  <si>
    <t>Bravo, Francisco</t>
  </si>
  <si>
    <t>Rotton, David</t>
  </si>
  <si>
    <t>Gross, Richard</t>
  </si>
  <si>
    <t>Lozano, Daniel</t>
  </si>
  <si>
    <t>Harper, Willie</t>
  </si>
  <si>
    <t>Myers Webb, Adrianne</t>
  </si>
  <si>
    <t>Tosh, William</t>
  </si>
  <si>
    <t>Abdelhafeez, Abdelhafeez</t>
  </si>
  <si>
    <t>Cannon, Jamie</t>
  </si>
  <si>
    <t>Halter, Steven</t>
  </si>
  <si>
    <t>Fleming, Martin</t>
  </si>
  <si>
    <t>Hargraves, Mary</t>
  </si>
  <si>
    <t>Bradney, Laura</t>
  </si>
  <si>
    <t>Barden, Gala</t>
  </si>
  <si>
    <t>Oostra, Jodi</t>
  </si>
  <si>
    <t>Montgomery, John, R</t>
  </si>
  <si>
    <t>Madan, Atul</t>
  </si>
  <si>
    <t>Webb, David</t>
  </si>
  <si>
    <t>Godfrey, Michelle</t>
  </si>
  <si>
    <t>Rashmi, Seth</t>
  </si>
  <si>
    <t>Turner, Drew</t>
  </si>
  <si>
    <t>Grimm, Leander</t>
  </si>
  <si>
    <t>Bratvold, Jared</t>
  </si>
  <si>
    <t>Wood, Elizabeth</t>
  </si>
  <si>
    <t>Ulm, Irene</t>
  </si>
  <si>
    <t>Mishra, Tripurari</t>
  </si>
  <si>
    <t>Mcclanahan, Jan</t>
  </si>
  <si>
    <t>Kim, Peter</t>
  </si>
  <si>
    <t>Duncombe, Bryauna, S</t>
  </si>
  <si>
    <t>Devereux, Lindsay, H</t>
  </si>
  <si>
    <t>Hahn, Stanley</t>
  </si>
  <si>
    <t>Benitone, Jerry</t>
  </si>
  <si>
    <t>Soleto, Erin</t>
  </si>
  <si>
    <t>Mizell, Jason</t>
  </si>
  <si>
    <t>Amani, Ahmad</t>
  </si>
  <si>
    <t>David,Peyok</t>
  </si>
  <si>
    <t>Adeleye, Jaiyeola</t>
  </si>
  <si>
    <t>Tinnesz, Thomas</t>
  </si>
  <si>
    <t>Parry, Robert, L</t>
  </si>
  <si>
    <t>Lim, Madison</t>
  </si>
  <si>
    <t>Kellar, Jeffrey</t>
  </si>
  <si>
    <t>Dunavant, William</t>
  </si>
  <si>
    <t>Jose, Zamora Ii</t>
  </si>
  <si>
    <t>Hall, Barry</t>
  </si>
  <si>
    <t>Talbot, Lindsay</t>
  </si>
  <si>
    <t>Stauffer, Clyde</t>
  </si>
  <si>
    <t>Mejia, Jose</t>
  </si>
  <si>
    <t>Kollisch, Singule, Michaela</t>
  </si>
  <si>
    <t>Campbell, Christopher</t>
  </si>
  <si>
    <t>Webb, John</t>
  </si>
  <si>
    <t>Betzold, Richard</t>
  </si>
  <si>
    <t>Mathews, Chelsea</t>
  </si>
  <si>
    <t>Paul, Eric</t>
  </si>
  <si>
    <t>Ramey, Hunter, A</t>
  </si>
  <si>
    <t>Dukkipati, Nandakishore</t>
  </si>
  <si>
    <t>Shina, Mark</t>
  </si>
  <si>
    <t>Sakharpe, Aniket</t>
  </si>
  <si>
    <t>Vorhies, Robert</t>
  </si>
  <si>
    <t>Padalino, Joseph</t>
  </si>
  <si>
    <t>Novotny, Nathan M</t>
  </si>
  <si>
    <t>Kalkwarf, Kyle</t>
  </si>
  <si>
    <t>Deloach, John</t>
  </si>
  <si>
    <t>Pittman, Michelle</t>
  </si>
  <si>
    <t>Patel, Ashay</t>
  </si>
  <si>
    <t>Peal, Gabriel</t>
  </si>
  <si>
    <t>Hammond, Douglas</t>
  </si>
  <si>
    <t>Engstrom, Gregory</t>
  </si>
  <si>
    <t>Howley, Isaac</t>
  </si>
  <si>
    <t>Travis Webb</t>
  </si>
  <si>
    <t>Pottorf, Brian</t>
  </si>
  <si>
    <t>Stout, Christopher</t>
  </si>
  <si>
    <t>Braunn, Johnn</t>
  </si>
  <si>
    <t>Brasher, Olivia, C</t>
  </si>
  <si>
    <t>Patton, Kristin</t>
  </si>
  <si>
    <t>Mavros, Michail</t>
  </si>
  <si>
    <t>Yeager, Richard</t>
  </si>
  <si>
    <t>Schmidt, Howard</t>
  </si>
  <si>
    <t>Kijek, Mark,</t>
  </si>
  <si>
    <t>Kwon, Yong</t>
  </si>
  <si>
    <t>Eubanks, James</t>
  </si>
  <si>
    <t>Glazer, Evan S.</t>
  </si>
  <si>
    <t>Klenotic, Eveline</t>
  </si>
  <si>
    <t>Vogt, Val</t>
  </si>
  <si>
    <t>Gandhi, Cindy</t>
  </si>
  <si>
    <t>Manning, Anthony</t>
  </si>
  <si>
    <t>Guajardo, Isabella,</t>
  </si>
  <si>
    <t>Griffith, Kean</t>
  </si>
  <si>
    <t>Jancelewicz, Timothy</t>
  </si>
  <si>
    <t>Brown, Hunter</t>
  </si>
  <si>
    <t>Paden, Timothy</t>
  </si>
  <si>
    <t>Grand, Robert</t>
  </si>
  <si>
    <t>Mclarty, Marcella</t>
  </si>
  <si>
    <t>Audrey F Hand</t>
  </si>
  <si>
    <t>Choudhury, Nabajit</t>
  </si>
  <si>
    <t>Booker, James</t>
  </si>
  <si>
    <t>Bell, Jeffrey</t>
  </si>
  <si>
    <t>Dassinger, Melvin</t>
  </si>
  <si>
    <t>Wolf, Lindsey</t>
  </si>
  <si>
    <t>Ingram, Brandon</t>
  </si>
  <si>
    <t>Giorgakis, Emmanouil</t>
  </si>
  <si>
    <t>Mckelvey, Richard</t>
  </si>
  <si>
    <t>Morvarid Tavassoli</t>
  </si>
  <si>
    <t>Perna, Mark</t>
  </si>
  <si>
    <t>Nakamura, Tsukasa,</t>
  </si>
  <si>
    <t>Qureshi, Irfan</t>
  </si>
  <si>
    <t>Kendrick, John</t>
  </si>
  <si>
    <t>Shaw, Robert</t>
  </si>
  <si>
    <t>David A Benalcazar Almeida</t>
  </si>
  <si>
    <t>Vermont, Charles</t>
  </si>
  <si>
    <t>David Johnson</t>
  </si>
  <si>
    <t>Mcnary, Lawson P</t>
  </si>
  <si>
    <t>Branch, Steven K</t>
  </si>
  <si>
    <t>Staniunas, Raymond</t>
  </si>
  <si>
    <t>Doolittle, Jeffery</t>
  </si>
  <si>
    <t>Barreto, Juan Camilo</t>
  </si>
  <si>
    <t>Bhavaraju, Avinash</t>
  </si>
  <si>
    <t>Vandewalle, Robert</t>
  </si>
  <si>
    <t>Behrman, Stephen</t>
  </si>
  <si>
    <t>Wiggins, Horace</t>
  </si>
  <si>
    <t>Henderson, Marcus</t>
  </si>
  <si>
    <t>Alvarez, Sonia</t>
  </si>
  <si>
    <t>Crane, Adam, J</t>
  </si>
  <si>
    <t>Coleman, Christopher</t>
  </si>
  <si>
    <t>Oladiran, Babatunde</t>
  </si>
  <si>
    <t>Grewal, Shaun</t>
  </si>
  <si>
    <t>Helmick, Ryan</t>
  </si>
  <si>
    <t>Feliz, Alexander</t>
  </si>
  <si>
    <t>Rachel,Landisch</t>
  </si>
  <si>
    <t>Ryland Gore</t>
  </si>
  <si>
    <t>Bumberry, John</t>
  </si>
  <si>
    <t>Bakker, Ronan</t>
  </si>
  <si>
    <t>Barber, Kevin</t>
  </si>
  <si>
    <t>Grady, Scarlett</t>
  </si>
  <si>
    <t>Holland, Keitha</t>
  </si>
  <si>
    <t>Phillips, Nancy</t>
  </si>
  <si>
    <t>Finan, Eugene Michael</t>
  </si>
  <si>
    <t>Bracy, Kristen</t>
  </si>
  <si>
    <t>Dayna, Whitcombe</t>
  </si>
  <si>
    <t>Dajani, Nafisa</t>
  </si>
  <si>
    <t>Cooper, Jennifer</t>
  </si>
  <si>
    <t>Jackson, Paul</t>
  </si>
  <si>
    <t>Smith, Britte</t>
  </si>
  <si>
    <t>Singleton, Kenneth</t>
  </si>
  <si>
    <t>Misko, Curt</t>
  </si>
  <si>
    <t>Bryant, Stefanie</t>
  </si>
  <si>
    <t>Nichols, Abigail</t>
  </si>
  <si>
    <t>Ratcliff, John</t>
  </si>
  <si>
    <t>Birch, Candy</t>
  </si>
  <si>
    <t>Haraway, Stuart</t>
  </si>
  <si>
    <t>Stripling, Mark</t>
  </si>
  <si>
    <t>Odulana, Florene</t>
  </si>
  <si>
    <t>Venus, Nabors</t>
  </si>
  <si>
    <t>Barber, James</t>
  </si>
  <si>
    <t>Duncan Cody, Barbara</t>
  </si>
  <si>
    <t>Wagle, Sameer</t>
  </si>
  <si>
    <t>Talbot, Abigail</t>
  </si>
  <si>
    <t>Holt, Ken</t>
  </si>
  <si>
    <t>Rushton, Stewart</t>
  </si>
  <si>
    <t>Lewis, Steven</t>
  </si>
  <si>
    <t>Large, Erin</t>
  </si>
  <si>
    <t>Taiwo, Adeola</t>
  </si>
  <si>
    <t>Homsi, Riad</t>
  </si>
  <si>
    <t>Brian, Cobb</t>
  </si>
  <si>
    <t>Price, Faith</t>
  </si>
  <si>
    <t>Marks, Stephen</t>
  </si>
  <si>
    <t>Galdamez, Amy</t>
  </si>
  <si>
    <t>Klenov, Violet</t>
  </si>
  <si>
    <t>Pickhardt, Mark</t>
  </si>
  <si>
    <t>Potts, Michael</t>
  </si>
  <si>
    <t>Johnson, Justine</t>
  </si>
  <si>
    <t>Brown, Phillip</t>
  </si>
  <si>
    <t>Crenshaw, Thomas</t>
  </si>
  <si>
    <t>Kumar, Alok</t>
  </si>
  <si>
    <t>Martin, Brandie</t>
  </si>
  <si>
    <t>O'Neal, Laurel</t>
  </si>
  <si>
    <t>Alexander, Tiffany</t>
  </si>
  <si>
    <t>Beckham, James</t>
  </si>
  <si>
    <t>Bradford, Thomas</t>
  </si>
  <si>
    <t>Campbell, Rwanda</t>
  </si>
  <si>
    <t>Reed, Cheston</t>
  </si>
  <si>
    <t>Stambough, Kathryn</t>
  </si>
  <si>
    <t>Pagan, Megan</t>
  </si>
  <si>
    <t>Zak, Dmitriy</t>
  </si>
  <si>
    <t>Stallings, Shawn</t>
  </si>
  <si>
    <t>Lawrence, Debra</t>
  </si>
  <si>
    <t>Morgan, Darlene, M</t>
  </si>
  <si>
    <t>Loftis, Adrienne</t>
  </si>
  <si>
    <t>Ulm, Michael</t>
  </si>
  <si>
    <t>Purdy, Mackenzie</t>
  </si>
  <si>
    <t>Bonnie, Cheung</t>
  </si>
  <si>
    <t>Rothrock, Rebecca</t>
  </si>
  <si>
    <t>Stinnett, Thomas</t>
  </si>
  <si>
    <t>Kung, Amy</t>
  </si>
  <si>
    <t>Fields, Louis</t>
  </si>
  <si>
    <t>Riche, Andrew</t>
  </si>
  <si>
    <t>Mcmacken Givens, Vanessa</t>
  </si>
  <si>
    <t>Dunn, Charles</t>
  </si>
  <si>
    <t>gregory Wood, Md</t>
  </si>
  <si>
    <t>Burnett, Alexander</t>
  </si>
  <si>
    <t>Kratz, Donald</t>
  </si>
  <si>
    <t>Duroy, Jennifer</t>
  </si>
  <si>
    <t>Grimshaw, Armand</t>
  </si>
  <si>
    <t>Hightower, Randall</t>
  </si>
  <si>
    <t>Hasik, Karl</t>
  </si>
  <si>
    <t>Marquette, Mary</t>
  </si>
  <si>
    <t>Tamica, Rhodes</t>
  </si>
  <si>
    <t>Spencer, Jared</t>
  </si>
  <si>
    <t>Michel, Harry</t>
  </si>
  <si>
    <t>Newton, Lisa</t>
  </si>
  <si>
    <t>Simha, Samuel</t>
  </si>
  <si>
    <t>Vaughn, Cory</t>
  </si>
  <si>
    <t>Ryan J Strebeck</t>
  </si>
  <si>
    <t>Edwards, Carl</t>
  </si>
  <si>
    <t>Coletta, Jason</t>
  </si>
  <si>
    <t>Mullenix, Jason</t>
  </si>
  <si>
    <t>Chang, Jonathan</t>
  </si>
  <si>
    <t>Gullic, Phillip</t>
  </si>
  <si>
    <t>Melton, Clinton</t>
  </si>
  <si>
    <t>Gholson, Ryan</t>
  </si>
  <si>
    <t>Mary Chamberlin</t>
  </si>
  <si>
    <t>Bennett, Wendy</t>
  </si>
  <si>
    <t>Shnaekel, Kelsey</t>
  </si>
  <si>
    <t>Porter, Ashton, J</t>
  </si>
  <si>
    <t>Alston, Phillip</t>
  </si>
  <si>
    <t>Renner, Mandie</t>
  </si>
  <si>
    <t>Wilburn-Wren, Kristie</t>
  </si>
  <si>
    <t>Way, Emily</t>
  </si>
  <si>
    <t>Krafft, Ryan</t>
  </si>
  <si>
    <t>Dickens, Joel</t>
  </si>
  <si>
    <t>Ulmer Pinter, Stacy</t>
  </si>
  <si>
    <t>Woods, Carrisann</t>
  </si>
  <si>
    <t>Stack, Michael</t>
  </si>
  <si>
    <t>Sosebee, William</t>
  </si>
  <si>
    <t>Samson, Jacques</t>
  </si>
  <si>
    <t>Mccaul, James</t>
  </si>
  <si>
    <t>Findlay, Nicole</t>
  </si>
  <si>
    <t>Bandy, Lawrence</t>
  </si>
  <si>
    <t>Cole, Andrew</t>
  </si>
  <si>
    <t>Albino, Dennis</t>
  </si>
  <si>
    <t>King, Truman</t>
  </si>
  <si>
    <t>Taylor, Salyer</t>
  </si>
  <si>
    <t>Wilkie, Julie</t>
  </si>
  <si>
    <t>Rauls, Stephen R</t>
  </si>
  <si>
    <t>Hutka, Lauren, A</t>
  </si>
  <si>
    <t>Livers, Nathan</t>
  </si>
  <si>
    <t>Glasgow, Meriden</t>
  </si>
  <si>
    <t>Mcpherson, Karmen</t>
  </si>
  <si>
    <t>Anderson, Lanetta</t>
  </si>
  <si>
    <t>Balthrop, Erica</t>
  </si>
  <si>
    <t>Meredith, Mckinney</t>
  </si>
  <si>
    <t>Summitt, Robert</t>
  </si>
  <si>
    <t>Blackett, Melrose</t>
  </si>
  <si>
    <t>Page, Audrey</t>
  </si>
  <si>
    <t>Adkins, William</t>
  </si>
  <si>
    <t>Hubach, Cindy</t>
  </si>
  <si>
    <t>Manning, Nirvana</t>
  </si>
  <si>
    <t>Conger, Jacqueline</t>
  </si>
  <si>
    <t>Holt, Ryan,</t>
  </si>
  <si>
    <t>Jerry A Burns Md Pa</t>
  </si>
  <si>
    <t>Cahill, Amy B</t>
  </si>
  <si>
    <t>Andrews, Todd L.</t>
  </si>
  <si>
    <t>Butawan Ali, Dominique</t>
  </si>
  <si>
    <t>Carney, Judi</t>
  </si>
  <si>
    <t>Martinelli, Heather</t>
  </si>
  <si>
    <t>Shrum, Kelly D</t>
  </si>
  <si>
    <t>Windschitl, Jessica</t>
  </si>
  <si>
    <t>Orange, Betty</t>
  </si>
  <si>
    <t>Smiley, Linda</t>
  </si>
  <si>
    <t>Sharai G Amaya</t>
  </si>
  <si>
    <t>Sick, Courtney</t>
  </si>
  <si>
    <t>Cathey, Janet</t>
  </si>
  <si>
    <t>Robb, James</t>
  </si>
  <si>
    <t>Bellamy, Christopher</t>
  </si>
  <si>
    <t>Calaway, Mark, G</t>
  </si>
  <si>
    <t>Santacruzterrazas, Marina</t>
  </si>
  <si>
    <t>Anderson, Jennifer</t>
  </si>
  <si>
    <t>Hinote, Candace</t>
  </si>
  <si>
    <t>Haymans, Alyxandra</t>
  </si>
  <si>
    <t>Bailey, Scott</t>
  </si>
  <si>
    <t>Taylor, Kristal</t>
  </si>
  <si>
    <t>Phinehas, Ramona</t>
  </si>
  <si>
    <t>Pugh, Owens</t>
  </si>
  <si>
    <t>Fuller, Bryan</t>
  </si>
  <si>
    <t>Grant, Ja'Larna</t>
  </si>
  <si>
    <t>Epstein, Dina</t>
  </si>
  <si>
    <t>Greathouse, David</t>
  </si>
  <si>
    <t>Richard Davis, Gloria</t>
  </si>
  <si>
    <t>Murphy, Ira</t>
  </si>
  <si>
    <t>Terry, Julian</t>
  </si>
  <si>
    <t>Varhade, Suchita</t>
  </si>
  <si>
    <t>Heldenbrand, Suzanna, C</t>
  </si>
  <si>
    <t>Caldwell, David</t>
  </si>
  <si>
    <t>Deroche, Michael</t>
  </si>
  <si>
    <t>Thomas, Robert</t>
  </si>
  <si>
    <t>Peeler, George</t>
  </si>
  <si>
    <t>Dulaney, Betty</t>
  </si>
  <si>
    <t>Aziz, Omar</t>
  </si>
  <si>
    <t>Shepherd, Katelin</t>
  </si>
  <si>
    <t>Blackwood, Mark</t>
  </si>
  <si>
    <t>Piercy, Catherine</t>
  </si>
  <si>
    <t>Sheppard, Patricia</t>
  </si>
  <si>
    <t>Callahan, Jaclyn</t>
  </si>
  <si>
    <t>Lee, William</t>
  </si>
  <si>
    <t>Heulitt, Lindsay</t>
  </si>
  <si>
    <t>Slaton, Kala</t>
  </si>
  <si>
    <t>Shenker, David</t>
  </si>
  <si>
    <t>Taylor, Martin</t>
  </si>
  <si>
    <t>Lovell, Mark</t>
  </si>
  <si>
    <t>Dewane, Joseph</t>
  </si>
  <si>
    <t>Stinson, William</t>
  </si>
  <si>
    <t>Escue, Michael</t>
  </si>
  <si>
    <t>Williams, Heather</t>
  </si>
  <si>
    <t>Crisler, Crista</t>
  </si>
  <si>
    <t>Cope, Michael</t>
  </si>
  <si>
    <t>Thrower, Rufus</t>
  </si>
  <si>
    <t>Owens, Mamie</t>
  </si>
  <si>
    <t>Clark, Cristina</t>
  </si>
  <si>
    <t>Autumn Davidson</t>
  </si>
  <si>
    <t>Anderson, Kelsey</t>
  </si>
  <si>
    <t>Khanna, Pallavi</t>
  </si>
  <si>
    <t>Estepp, Rye</t>
  </si>
  <si>
    <t>Dittmeyer, Kale</t>
  </si>
  <si>
    <t>Thompson Hershberger, Leslie</t>
  </si>
  <si>
    <t>Mcglothan, Corey</t>
  </si>
  <si>
    <t>Gordon, Amy</t>
  </si>
  <si>
    <t>Foster, Jason</t>
  </si>
  <si>
    <t>Tulchinskaya, Viktoriya,</t>
  </si>
  <si>
    <t>Whatley, Shannon</t>
  </si>
  <si>
    <t>Campbell, Michael F</t>
  </si>
  <si>
    <t>Sonntag, Mary</t>
  </si>
  <si>
    <t>Turano, Jodi</t>
  </si>
  <si>
    <t>Jones, Donald</t>
  </si>
  <si>
    <t>Rutledge, Estelle</t>
  </si>
  <si>
    <t>Rich, Whitney</t>
  </si>
  <si>
    <t>Householder, Jeanmarie</t>
  </si>
  <si>
    <t>Stanley, John</t>
  </si>
  <si>
    <t>Stahler, Andrew</t>
  </si>
  <si>
    <t>Giddens, M. Andrea</t>
  </si>
  <si>
    <t>John, Schorge</t>
  </si>
  <si>
    <t>Jones, Leticia</t>
  </si>
  <si>
    <t>Markell, Kristin</t>
  </si>
  <si>
    <t>Cugini, Heather</t>
  </si>
  <si>
    <t>Anokwute, Chibuike</t>
  </si>
  <si>
    <t>Neblett, Paul</t>
  </si>
  <si>
    <t>Johnson, Abigail</t>
  </si>
  <si>
    <t>Mcgraw, Renee</t>
  </si>
  <si>
    <t>Rouselle, Dionne</t>
  </si>
  <si>
    <t>Vance, Serena</t>
  </si>
  <si>
    <t>Wherry, Heather</t>
  </si>
  <si>
    <t>Warford, Brock</t>
  </si>
  <si>
    <t>Sarinoglu, Cem</t>
  </si>
  <si>
    <t>Thompson, Jennifer</t>
  </si>
  <si>
    <t>Ehiremen, Stephen</t>
  </si>
  <si>
    <t>Manley, Jeffery</t>
  </si>
  <si>
    <t>Cassiere, Erin</t>
  </si>
  <si>
    <t>Pierce, Reid</t>
  </si>
  <si>
    <t>Carter, Ursula</t>
  </si>
  <si>
    <t>Natalie,Hoshaw</t>
  </si>
  <si>
    <t>Moore, Yvonne</t>
  </si>
  <si>
    <t>Gregory, Jennifer</t>
  </si>
  <si>
    <t>Smith, Dora</t>
  </si>
  <si>
    <t>Brown, Stephen</t>
  </si>
  <si>
    <t>Lacy, Susan</t>
  </si>
  <si>
    <t>Ling, Frank</t>
  </si>
  <si>
    <t>Booker, John</t>
  </si>
  <si>
    <t>Jones Shepard, Claudette</t>
  </si>
  <si>
    <t>Meyer, Norman</t>
  </si>
  <si>
    <t>Hix, Robert</t>
  </si>
  <si>
    <t>Dorsett, Katherine</t>
  </si>
  <si>
    <t>Hord, Delphia</t>
  </si>
  <si>
    <t>Manejwala, Fazal</t>
  </si>
  <si>
    <t>Lukasek, Donna</t>
  </si>
  <si>
    <t>Reynolds, Kimberly</t>
  </si>
  <si>
    <t>Trimble, Lauren R</t>
  </si>
  <si>
    <t>Bishop, Laura</t>
  </si>
  <si>
    <t>Wiedower Eble, Amy</t>
  </si>
  <si>
    <t>Chappell, Benjamin</t>
  </si>
  <si>
    <t>Morgan Knight</t>
  </si>
  <si>
    <t>Wilson, Thomas</t>
  </si>
  <si>
    <t>Harris, Julie</t>
  </si>
  <si>
    <t>Melisa Lott</t>
  </si>
  <si>
    <t>Sara E Askins</t>
  </si>
  <si>
    <t>Corral, Samantha</t>
  </si>
  <si>
    <t>Harrison, Katie</t>
  </si>
  <si>
    <t>Deimel Iv, George</t>
  </si>
  <si>
    <t>Danielle, Esters</t>
  </si>
  <si>
    <t>Reaves, Shelly</t>
  </si>
  <si>
    <t>Stevens, Joshua</t>
  </si>
  <si>
    <t>Mann, Elizabeth</t>
  </si>
  <si>
    <t>Dennis, Ronnie</t>
  </si>
  <si>
    <t>Osleber, Lindsay</t>
  </si>
  <si>
    <t>Leis, Crystal</t>
  </si>
  <si>
    <t>Khanjar, Samir</t>
  </si>
  <si>
    <t>Basinger, Norma</t>
  </si>
  <si>
    <t>Moore, Pittman</t>
  </si>
  <si>
    <t>Studdard, James</t>
  </si>
  <si>
    <t>Maria, Ruiz</t>
  </si>
  <si>
    <t>Ziebarth, Sarah</t>
  </si>
  <si>
    <t>Nancy, Bass</t>
  </si>
  <si>
    <t>Mc Call, Kristy</t>
  </si>
  <si>
    <t>Montgomery, Frances</t>
  </si>
  <si>
    <t>Henson, Clinton</t>
  </si>
  <si>
    <t>Melloy, Brian</t>
  </si>
  <si>
    <t>Lunde, Stephen</t>
  </si>
  <si>
    <t>Pagette, Melanie</t>
  </si>
  <si>
    <t>Northam, Jon</t>
  </si>
  <si>
    <t>Hamner, Dabney</t>
  </si>
  <si>
    <t>Shuman, Deborah L</t>
  </si>
  <si>
    <t>Martin, Kyle</t>
  </si>
  <si>
    <t>Delacey, Norbert</t>
  </si>
  <si>
    <t>Magann, Everett</t>
  </si>
  <si>
    <t>Damallie, Kushna</t>
  </si>
  <si>
    <t>Song, Jun,</t>
  </si>
  <si>
    <t>Bors Koefoed, Roy</t>
  </si>
  <si>
    <t>Foster, Tiffany</t>
  </si>
  <si>
    <t>Davis, Kristina</t>
  </si>
  <si>
    <t>Street, Kathleen</t>
  </si>
  <si>
    <t>Macdonald, Erin</t>
  </si>
  <si>
    <t>Percer, Paige,</t>
  </si>
  <si>
    <t>Phillips, Kevin</t>
  </si>
  <si>
    <t>Patty, Carl</t>
  </si>
  <si>
    <t>Doss, John</t>
  </si>
  <si>
    <t>Luckett, Marc</t>
  </si>
  <si>
    <t>Hurt, Jason</t>
  </si>
  <si>
    <t>Giddens, Aric</t>
  </si>
  <si>
    <t>Watkins, Julia</t>
  </si>
  <si>
    <t>Love, Mikeal</t>
  </si>
  <si>
    <t>Tonkin, Leah</t>
  </si>
  <si>
    <t>Larrimer, Margaret</t>
  </si>
  <si>
    <t>Ridings Jr, Clifton W</t>
  </si>
  <si>
    <t>Sward, Lindsey</t>
  </si>
  <si>
    <t>Fixler, Joseph</t>
  </si>
  <si>
    <t>Carter, Belvia</t>
  </si>
  <si>
    <t>Ketcham, Michael</t>
  </si>
  <si>
    <t>Bannister, Lea Mary</t>
  </si>
  <si>
    <t>Dunham, Andrew</t>
  </si>
  <si>
    <t>Gibbs, Shelly</t>
  </si>
  <si>
    <t>Graves, Angela</t>
  </si>
  <si>
    <t>Kumar, Sanjeev</t>
  </si>
  <si>
    <t>Kathryn L Kennedy</t>
  </si>
  <si>
    <t>Gills, Edward</t>
  </si>
  <si>
    <t>Jones, Karen</t>
  </si>
  <si>
    <t>Duff, Mary</t>
  </si>
  <si>
    <t>Taylor, Robin</t>
  </si>
  <si>
    <t>Odom, Lettie, A</t>
  </si>
  <si>
    <t>Cleeton, Patrick</t>
  </si>
  <si>
    <t>Carda, Carrie</t>
  </si>
  <si>
    <t>Wright, Benny</t>
  </si>
  <si>
    <t>Jennings, Jill</t>
  </si>
  <si>
    <t>Adderson, Elisabeth</t>
  </si>
  <si>
    <t>Highsmith, Heather</t>
  </si>
  <si>
    <t>Moix, Jennifer</t>
  </si>
  <si>
    <t>Brar, Inderjeet</t>
  </si>
  <si>
    <t>Cleveland, Kerry</t>
  </si>
  <si>
    <t>Gaur, Aditya</t>
  </si>
  <si>
    <t>Menzies, Barbara</t>
  </si>
  <si>
    <t>Dahl, Steven</t>
  </si>
  <si>
    <t>Dillaha, Jennifer</t>
  </si>
  <si>
    <t>Bagga, Bindiya</t>
  </si>
  <si>
    <t>Grazziutti, Monica</t>
  </si>
  <si>
    <t>Mukkada, Sheena</t>
  </si>
  <si>
    <t>Bandy, Raymond</t>
  </si>
  <si>
    <t>Young, Daniel</t>
  </si>
  <si>
    <t>Nowak, Krisie</t>
  </si>
  <si>
    <t>Henderson, Ellena</t>
  </si>
  <si>
    <t>Singh, Satwinder</t>
  </si>
  <si>
    <t>Patil, Naveen</t>
  </si>
  <si>
    <t>Novack, Amanda</t>
  </si>
  <si>
    <t>Ferren, Katherine</t>
  </si>
  <si>
    <t>Omer, Imad</t>
  </si>
  <si>
    <t>Threlkeld, Michael</t>
  </si>
  <si>
    <t>Vyas, Keyur</t>
  </si>
  <si>
    <t>Seales Kasangana, Maxine</t>
  </si>
  <si>
    <t>Kathuria, Ritu</t>
  </si>
  <si>
    <t>Arnold, Sandra</t>
  </si>
  <si>
    <t>Hicks, Courtney</t>
  </si>
  <si>
    <t>Ashleah</t>
  </si>
  <si>
    <t>Sargent, Susie</t>
  </si>
  <si>
    <t>Slobod, Karen</t>
  </si>
  <si>
    <t>Murrell, Daniel S</t>
  </si>
  <si>
    <t>Maron, Gabriela M.</t>
  </si>
  <si>
    <t>Khairy, Raed</t>
  </si>
  <si>
    <t>Newton, James</t>
  </si>
  <si>
    <t>Threlkeld, Stephen</t>
  </si>
  <si>
    <t>Fuchs, Christian</t>
  </si>
  <si>
    <t>Lindley, Dwight</t>
  </si>
  <si>
    <t>Steinbach, William</t>
  </si>
  <si>
    <t>Arnold, Anita</t>
  </si>
  <si>
    <t>Ashley, Cassandra</t>
  </si>
  <si>
    <t>Frazier, Jessica</t>
  </si>
  <si>
    <t>Jansen, Andrea</t>
  </si>
  <si>
    <t>Chachanidze, Vladimir</t>
  </si>
  <si>
    <t>Gray, Camdin</t>
  </si>
  <si>
    <t>Miyairi, Isao</t>
  </si>
  <si>
    <t>Patel, Nehali</t>
  </si>
  <si>
    <t>Mannan, Ghalib</t>
  </si>
  <si>
    <t>Smith, Mallory</t>
  </si>
  <si>
    <t>Knapp, Katherine</t>
  </si>
  <si>
    <t>Lowry, Michael</t>
  </si>
  <si>
    <t>Dare, Ryan</t>
  </si>
  <si>
    <t>Rico Crescencio, Juan</t>
  </si>
  <si>
    <t>Adriana S Clemente</t>
  </si>
  <si>
    <t>Toumanen, Elaine</t>
  </si>
  <si>
    <t>Arthur, John</t>
  </si>
  <si>
    <t>Yancey, Justin L</t>
  </si>
  <si>
    <t>Rasheed, Kashaf</t>
  </si>
  <si>
    <t>Camferdam, Robert</t>
  </si>
  <si>
    <t>Adeleye, Olufemi</t>
  </si>
  <si>
    <t>Holthoff, Joseph</t>
  </si>
  <si>
    <t>Kumar, Aneel</t>
  </si>
  <si>
    <t>Blaszak, Richard</t>
  </si>
  <si>
    <t>Alge, Joseph</t>
  </si>
  <si>
    <t>Nayar, Sailesh</t>
  </si>
  <si>
    <t>Baymiller, Niloofar</t>
  </si>
  <si>
    <t>Dougherty, Chris</t>
  </si>
  <si>
    <t>Hastings, Margaret</t>
  </si>
  <si>
    <t>Eison, Theodore</t>
  </si>
  <si>
    <t>Kashif, Muhammad</t>
  </si>
  <si>
    <t>Hey, John</t>
  </si>
  <si>
    <t>Hinton, Johnnie</t>
  </si>
  <si>
    <t>Bruton, James</t>
  </si>
  <si>
    <t>Mandalapu, Rajendra</t>
  </si>
  <si>
    <t>Chevireddy, Prajwal</t>
  </si>
  <si>
    <t>Alqurini, Nadia</t>
  </si>
  <si>
    <t>Vikas, Vujjini</t>
  </si>
  <si>
    <t>Hernandez, Jacinto</t>
  </si>
  <si>
    <t>Mccrary, Robert</t>
  </si>
  <si>
    <t>Lee, Jason</t>
  </si>
  <si>
    <t>Pulusani, Deepika</t>
  </si>
  <si>
    <t>Andres D Pirela Araque</t>
  </si>
  <si>
    <t>Coleman, Michael</t>
  </si>
  <si>
    <t>Selby, Michael</t>
  </si>
  <si>
    <t>Crawford, Brendan</t>
  </si>
  <si>
    <t>Alshallah, Zaher</t>
  </si>
  <si>
    <t>Walters, William</t>
  </si>
  <si>
    <t>Henderson, Donna</t>
  </si>
  <si>
    <t>Heiple, Drew</t>
  </si>
  <si>
    <t>Edwards, Clinton</t>
  </si>
  <si>
    <t>Chakravarty, Arijit</t>
  </si>
  <si>
    <t>Nada, Arwa</t>
  </si>
  <si>
    <t>Fawad, Saima</t>
  </si>
  <si>
    <t>Rotaru, Dumitru</t>
  </si>
  <si>
    <t>Patel, Amita</t>
  </si>
  <si>
    <t>Manchala, Venkata</t>
  </si>
  <si>
    <t>Mackey, Michael</t>
  </si>
  <si>
    <t>David, Alex</t>
  </si>
  <si>
    <t>Hamze, Omar</t>
  </si>
  <si>
    <t>Gonzalez, Manuel</t>
  </si>
  <si>
    <t>Goel, Arvind</t>
  </si>
  <si>
    <t>Monaco, Nicholas</t>
  </si>
  <si>
    <t>Talwar, Manish</t>
  </si>
  <si>
    <t>Hameer, Parikshit</t>
  </si>
  <si>
    <t>Ijaz, Fakhar</t>
  </si>
  <si>
    <t>Arslan, Cagil</t>
  </si>
  <si>
    <t>Shaver, Mary</t>
  </si>
  <si>
    <t>Stepniakowski, Konrad</t>
  </si>
  <si>
    <t>Quinn, Bayard</t>
  </si>
  <si>
    <t>Woodruff, Adam</t>
  </si>
  <si>
    <t>Muhammad Z Souqiyyeh</t>
  </si>
  <si>
    <t>Bhusal, Sushma</t>
  </si>
  <si>
    <t>Heifner, John</t>
  </si>
  <si>
    <t>Thotakura, Ramakrishna</t>
  </si>
  <si>
    <t>Desoto, David</t>
  </si>
  <si>
    <t>Wright, Steven</t>
  </si>
  <si>
    <t>De Silva, Shari</t>
  </si>
  <si>
    <t>Ruiz, Julio</t>
  </si>
  <si>
    <t>Karuparti, Haritha</t>
  </si>
  <si>
    <t>Braxton, Frank</t>
  </si>
  <si>
    <t>Bin, Homam, Wadhah</t>
  </si>
  <si>
    <t>Gorantla, Vijaya</t>
  </si>
  <si>
    <t>Maxwell, James</t>
  </si>
  <si>
    <t>Vo, Hieu</t>
  </si>
  <si>
    <t>Wu, John</t>
  </si>
  <si>
    <t>Mansour, Nawar</t>
  </si>
  <si>
    <t>Ranabothu, Saritha</t>
  </si>
  <si>
    <t>Khan, Muhammad, Z</t>
  </si>
  <si>
    <t>Kazmi, Asif</t>
  </si>
  <si>
    <t>Beemidi, Vikram</t>
  </si>
  <si>
    <t>Chedid, Alice</t>
  </si>
  <si>
    <t>Kaw, Beenu</t>
  </si>
  <si>
    <t>Mcgregor, Amy</t>
  </si>
  <si>
    <t>Nandani Tarun, Tanvi</t>
  </si>
  <si>
    <t>Blankenship, Dennis</t>
  </si>
  <si>
    <t>Garcia, Samir</t>
  </si>
  <si>
    <t>Singh, Manisha</t>
  </si>
  <si>
    <t>Zahr, Rima</t>
  </si>
  <si>
    <t>Abi Nader, Mark</t>
  </si>
  <si>
    <t>Al Shahrouri, Hania</t>
  </si>
  <si>
    <t>Sharma, Mukesh</t>
  </si>
  <si>
    <t>Elefan, Darryl</t>
  </si>
  <si>
    <t>Johnson, Stacy A.</t>
  </si>
  <si>
    <t>Maline, Mike</t>
  </si>
  <si>
    <t>Safirstein, Robert</t>
  </si>
  <si>
    <t>Alam, Muhammad</t>
  </si>
  <si>
    <t>Ribakare, Divine</t>
  </si>
  <si>
    <t>Showkat, Arif</t>
  </si>
  <si>
    <t>Mock, Gregory</t>
  </si>
  <si>
    <t>Din, Tameez Ud</t>
  </si>
  <si>
    <t>Greene, Christie</t>
  </si>
  <si>
    <t>Patel, Abhishek J</t>
  </si>
  <si>
    <t>Cheongsiatomy, Justin A.</t>
  </si>
  <si>
    <t>Zeylikman, Yuriy</t>
  </si>
  <si>
    <t>Aly, Moustafa,</t>
  </si>
  <si>
    <t>Katsnelson, Michael</t>
  </si>
  <si>
    <t>Carrau, Jose</t>
  </si>
  <si>
    <t>Boop, Bradley</t>
  </si>
  <si>
    <t>Suessle, Amy</t>
  </si>
  <si>
    <t>Drake, Paul</t>
  </si>
  <si>
    <t>Lamousin, James</t>
  </si>
  <si>
    <t>Landesman, Barbara</t>
  </si>
  <si>
    <t>Mahendrarajah, Sulagshan</t>
  </si>
  <si>
    <t>Schluterman, Keith</t>
  </si>
  <si>
    <t>Roy, Dolly</t>
  </si>
  <si>
    <t>Wilbourn, Rance</t>
  </si>
  <si>
    <t>Finkel, Richard</t>
  </si>
  <si>
    <t>Wanahita, Anna</t>
  </si>
  <si>
    <t>Nearing, Katherine</t>
  </si>
  <si>
    <t>Kandregula, Krishna</t>
  </si>
  <si>
    <t>Narayan, Dwayne</t>
  </si>
  <si>
    <t>Iuliana, Kiliment</t>
  </si>
  <si>
    <t>Chai, Yaohui</t>
  </si>
  <si>
    <t>Acosta, Violiza I.</t>
  </si>
  <si>
    <t>Biton, Victor</t>
  </si>
  <si>
    <t>Balmakund, Tonya</t>
  </si>
  <si>
    <t>Marshall, Matthew</t>
  </si>
  <si>
    <t>Elangovan, Cheran</t>
  </si>
  <si>
    <t>Hurwitz, Stephen</t>
  </si>
  <si>
    <t>Vishal,Jani</t>
  </si>
  <si>
    <t>Christine, Hessler</t>
  </si>
  <si>
    <t>Veerapandiyan, Aravindhan</t>
  </si>
  <si>
    <t>Davis, Anthony</t>
  </si>
  <si>
    <t>Ibish, Abdullah,</t>
  </si>
  <si>
    <t>Hadidi, Mohamad</t>
  </si>
  <si>
    <t>Bahgat, Diaa</t>
  </si>
  <si>
    <t>Afzal, Umair</t>
  </si>
  <si>
    <t>Parsha, Kaushik</t>
  </si>
  <si>
    <t>Cavanaugh, Beth Anne</t>
  </si>
  <si>
    <t>Miller, Dalia</t>
  </si>
  <si>
    <t>Kim, Eric, S</t>
  </si>
  <si>
    <t>Martinez, Jesus</t>
  </si>
  <si>
    <t>Porter, Douglas</t>
  </si>
  <si>
    <t>Assaf, Mohammad</t>
  </si>
  <si>
    <t>Lebron, Diana</t>
  </si>
  <si>
    <t>Carrejo, Christine</t>
  </si>
  <si>
    <t>Borsody, Mark</t>
  </si>
  <si>
    <t>Roy, Rasmoni</t>
  </si>
  <si>
    <t>Tummala, Sudhakar</t>
  </si>
  <si>
    <t>Ocal, Eylem</t>
  </si>
  <si>
    <t>Alexianu, Maria</t>
  </si>
  <si>
    <t>Morse, Michael</t>
  </si>
  <si>
    <t>Clevenger, Michael</t>
  </si>
  <si>
    <t>Modak, Janhavi</t>
  </si>
  <si>
    <t>Nath, Manan,</t>
  </si>
  <si>
    <t>Rawal, Pawan</t>
  </si>
  <si>
    <t>De Leo, Andrea</t>
  </si>
  <si>
    <t>Leslie,Reynolds</t>
  </si>
  <si>
    <t>Sun, Jean</t>
  </si>
  <si>
    <t>Frigon, Jacquelyn</t>
  </si>
  <si>
    <t>Gustafson, John</t>
  </si>
  <si>
    <t>Renck, Gregory</t>
  </si>
  <si>
    <t>Mylavarapu, Krishna</t>
  </si>
  <si>
    <t>Jain, Alok</t>
  </si>
  <si>
    <t>Ferrante, Mark</t>
  </si>
  <si>
    <t>Graham, Steven</t>
  </si>
  <si>
    <t>Davis, David</t>
  </si>
  <si>
    <t>Sparks, Shane</t>
  </si>
  <si>
    <t>Zubair, Salman</t>
  </si>
  <si>
    <t>Crall, Nicholas</t>
  </si>
  <si>
    <t>Patrice, Kelly</t>
  </si>
  <si>
    <t>Albert, Gregory</t>
  </si>
  <si>
    <t>Carrigan, Warren</t>
  </si>
  <si>
    <t>Zangiabadi, Amirhossein</t>
  </si>
  <si>
    <t>Sheng, Sen</t>
  </si>
  <si>
    <t>Klimo, Paul</t>
  </si>
  <si>
    <t>Knubley, William</t>
  </si>
  <si>
    <t>Lawrence, Nathan</t>
  </si>
  <si>
    <t>Boddu, Aditya</t>
  </si>
  <si>
    <t>Khan, Raja</t>
  </si>
  <si>
    <t>Arnold, Thomas</t>
  </si>
  <si>
    <t>Cobb, Sarah</t>
  </si>
  <si>
    <t>Dryn, Oleksandra</t>
  </si>
  <si>
    <t>Smith, Ross</t>
  </si>
  <si>
    <t>Waterman, Susan</t>
  </si>
  <si>
    <t>Montinola Jalandoni, Kathleen</t>
  </si>
  <si>
    <t>Ladha, Harshad</t>
  </si>
  <si>
    <t>Bhattacharyya, Panna</t>
  </si>
  <si>
    <t>Weatherspoon, Sarah</t>
  </si>
  <si>
    <t>Amar, Jordan,</t>
  </si>
  <si>
    <t>Cheema, Zahid</t>
  </si>
  <si>
    <t>Wong, Kathleen</t>
  </si>
  <si>
    <t>Zand, Ramin</t>
  </si>
  <si>
    <t>Beadle, Beverly</t>
  </si>
  <si>
    <t>Moon, Steven</t>
  </si>
  <si>
    <t>Salas, Jeremy</t>
  </si>
  <si>
    <t>Mehaffey, Carolyn</t>
  </si>
  <si>
    <t>South, Ronald</t>
  </si>
  <si>
    <t>Dandu, Vasuki</t>
  </si>
  <si>
    <t>Bahekar, Rucha, P</t>
  </si>
  <si>
    <t>Norris, Wilton</t>
  </si>
  <si>
    <t>Moore, Gem</t>
  </si>
  <si>
    <t>Barrow, William</t>
  </si>
  <si>
    <t>Jabbour, Gaby</t>
  </si>
  <si>
    <t>Johnson, Eli, R</t>
  </si>
  <si>
    <t>Banas, Thomas</t>
  </si>
  <si>
    <t>Saeed, Salman</t>
  </si>
  <si>
    <t>Conway, Melanie</t>
  </si>
  <si>
    <t>Mudigoudar, Basanagoud</t>
  </si>
  <si>
    <t>Owais, Mohammad</t>
  </si>
  <si>
    <t>Horan, Roger</t>
  </si>
  <si>
    <t>Narlesky, Matthew</t>
  </si>
  <si>
    <t>Benton Neurocare</t>
  </si>
  <si>
    <t>Onteddu, Sanjeeva</t>
  </si>
  <si>
    <t>Roni</t>
  </si>
  <si>
    <t>Mario,Zamora</t>
  </si>
  <si>
    <t>Cunningham, Edwin</t>
  </si>
  <si>
    <t>Long, Yuanyuan</t>
  </si>
  <si>
    <t>Mikus Iii, Stephen</t>
  </si>
  <si>
    <t>Schroeder, Andrew</t>
  </si>
  <si>
    <t>Raja, Ashmitha</t>
  </si>
  <si>
    <t>Daniel Fish</t>
  </si>
  <si>
    <t>Igarashi, Masanori</t>
  </si>
  <si>
    <t>Veerapaneni, Poornachand</t>
  </si>
  <si>
    <t>Patterson, Amy</t>
  </si>
  <si>
    <t>Yallapragada, Anil</t>
  </si>
  <si>
    <t>Veerapaneni, Karthika</t>
  </si>
  <si>
    <t>Morgan, Robin Lynne</t>
  </si>
  <si>
    <t>Wheless, James</t>
  </si>
  <si>
    <t>Mandelbaum, David</t>
  </si>
  <si>
    <t>Goza, Gary</t>
  </si>
  <si>
    <t>Khaleel, Ghulam</t>
  </si>
  <si>
    <t>Perkins, Freedom</t>
  </si>
  <si>
    <t>Desai, Kinjal</t>
  </si>
  <si>
    <t>Birenkumar Patel</t>
  </si>
  <si>
    <t>Bachu, Anil</t>
  </si>
  <si>
    <t>Singh, Mantinderpreet</t>
  </si>
  <si>
    <t>Agud, Holly</t>
  </si>
  <si>
    <t>Khoshyomn, Sami</t>
  </si>
  <si>
    <t>Mendoza, Edward</t>
  </si>
  <si>
    <t>Hoang, Vivian</t>
  </si>
  <si>
    <t>Robert Myers</t>
  </si>
  <si>
    <t>Himes, Terry</t>
  </si>
  <si>
    <t>Shah, Nirav</t>
  </si>
  <si>
    <t>Birky, Duane</t>
  </si>
  <si>
    <t>Daaif, Mohammad</t>
  </si>
  <si>
    <t>Santos Horta, Erika</t>
  </si>
  <si>
    <t>Bushnaq, Saji</t>
  </si>
  <si>
    <t>Natarajan, Shiva</t>
  </si>
  <si>
    <t>Kadimi, Srinath</t>
  </si>
  <si>
    <t>Mccoy, Julia</t>
  </si>
  <si>
    <t>Johnson, Tara</t>
  </si>
  <si>
    <t>Yadala, Sisira</t>
  </si>
  <si>
    <t>Liubicich, Jeffrey</t>
  </si>
  <si>
    <t>Haboubi, Michael, A</t>
  </si>
  <si>
    <t>Ahuja, Brian</t>
  </si>
  <si>
    <t>Elijovich, Lucas</t>
  </si>
  <si>
    <t>Salameh, Ahmad, G</t>
  </si>
  <si>
    <t>Hae W Shin</t>
  </si>
  <si>
    <t>Spitzer, Alexander</t>
  </si>
  <si>
    <t>Shah, Amit</t>
  </si>
  <si>
    <t>Kalia, Junaid</t>
  </si>
  <si>
    <t>Sudarshan Reddy, Sujan</t>
  </si>
  <si>
    <t>Oberlander, David</t>
  </si>
  <si>
    <t>Mosquera, Romer</t>
  </si>
  <si>
    <t>San Luis, Christa O'Hana</t>
  </si>
  <si>
    <t>Zaghlouleh, Mhd</t>
  </si>
  <si>
    <t>Schlesinger, Kelli</t>
  </si>
  <si>
    <t>Rashid, Samiya</t>
  </si>
  <si>
    <t>Diamond, Alan</t>
  </si>
  <si>
    <t>Arthur, James</t>
  </si>
  <si>
    <t>Fomin, Dimitry</t>
  </si>
  <si>
    <t>Arulprakash, Narenraj,</t>
  </si>
  <si>
    <t>Behrens, Bing</t>
  </si>
  <si>
    <t>Ghosh, Ankita</t>
  </si>
  <si>
    <t>Alhamda, Ahmad</t>
  </si>
  <si>
    <t>Susan C Samuel</t>
  </si>
  <si>
    <t>Palepu, Pavan</t>
  </si>
  <si>
    <t>Imtiaz, Raja, H</t>
  </si>
  <si>
    <t>Matthew,Smith</t>
  </si>
  <si>
    <t>Alexandrov, Andrei</t>
  </si>
  <si>
    <t>Zahoor, Salman</t>
  </si>
  <si>
    <t>Jin, Weijun,</t>
  </si>
  <si>
    <t>Krishnan, Rashi</t>
  </si>
  <si>
    <t>Pritchard, David</t>
  </si>
  <si>
    <t>Bhageeradh,Mulpur</t>
  </si>
  <si>
    <t>Sonone, Rahul</t>
  </si>
  <si>
    <t>Hussaini, Syed</t>
  </si>
  <si>
    <t>Draney, David</t>
  </si>
  <si>
    <t>Jones, Stephen</t>
  </si>
  <si>
    <t>Ironside, John</t>
  </si>
  <si>
    <t>Perkins, Candice</t>
  </si>
  <si>
    <t>Nazarian, Sarkis</t>
  </si>
  <si>
    <t>Parkey, Adrianne</t>
  </si>
  <si>
    <t>Spiotto, Ernest</t>
  </si>
  <si>
    <t>Dasilva, Leonard</t>
  </si>
  <si>
    <t>Pellegrino, Richard</t>
  </si>
  <si>
    <t>Mednick, Adam</t>
  </si>
  <si>
    <t>Nisar, Nilofer,</t>
  </si>
  <si>
    <t>Shah, Vishank</t>
  </si>
  <si>
    <t>Goyal, Nitin</t>
  </si>
  <si>
    <t>Jain, Sameer</t>
  </si>
  <si>
    <t>Olinger, Rodney G</t>
  </si>
  <si>
    <t>Jenkins Phillips, Tonya</t>
  </si>
  <si>
    <t>Murray, Earnest</t>
  </si>
  <si>
    <t>Rodriguez, Analiz</t>
  </si>
  <si>
    <t>Mari-Acevedo, Jose</t>
  </si>
  <si>
    <t>Smitherman, Adam</t>
  </si>
  <si>
    <t>Uschmann, Hartmut</t>
  </si>
  <si>
    <t>Obrien, Barbara Cape</t>
  </si>
  <si>
    <t>Turk, Zulfiqar, A</t>
  </si>
  <si>
    <t>Marehbian, Jonathan</t>
  </si>
  <si>
    <t>Patrylo, Morgan</t>
  </si>
  <si>
    <t>Keating, Janice</t>
  </si>
  <si>
    <t>Arthur, Adam</t>
  </si>
  <si>
    <t>Swafford, Collin</t>
  </si>
  <si>
    <t>Zubkov, Alexander</t>
  </si>
  <si>
    <t>Gallaher, Regan</t>
  </si>
  <si>
    <t>Kramer, Edward</t>
  </si>
  <si>
    <t>Viorritto, Erick</t>
  </si>
  <si>
    <t>Adepoju, Adedamola</t>
  </si>
  <si>
    <t>Shahim, Reza</t>
  </si>
  <si>
    <t>Tang, Gordon,</t>
  </si>
  <si>
    <t>Barrett Tuck, Rebecca</t>
  </si>
  <si>
    <t>Kazemi, Noojan</t>
  </si>
  <si>
    <t>Lee, Sunghoon</t>
  </si>
  <si>
    <t>Smith, Kyle</t>
  </si>
  <si>
    <t>Simpson Jr, P B</t>
  </si>
  <si>
    <t>Paullus, Patrick</t>
  </si>
  <si>
    <t>Blankenship, James</t>
  </si>
  <si>
    <t>Deanna,Sasaki-Adams</t>
  </si>
  <si>
    <t>Lockwood, Joseph</t>
  </si>
  <si>
    <t>Basma, Jaafar</t>
  </si>
  <si>
    <t>Koontz, Douglas</t>
  </si>
  <si>
    <t>Nickele, Christopher</t>
  </si>
  <si>
    <t>Rahman, Salim</t>
  </si>
  <si>
    <t>Cowan, Michael</t>
  </si>
  <si>
    <t>Nicolas Khattar</t>
  </si>
  <si>
    <t>Dru, Alexander</t>
  </si>
  <si>
    <t>Pace, John</t>
  </si>
  <si>
    <t>Calhoun, James</t>
  </si>
  <si>
    <t>Armstrong, Larry</t>
  </si>
  <si>
    <t>Flannagan, Patrick</t>
  </si>
  <si>
    <t>Adametz, James</t>
  </si>
  <si>
    <t>Morris, Thomas</t>
  </si>
  <si>
    <t>Haydn A Hoffman</t>
  </si>
  <si>
    <t>Kainth, Daraspreet S.</t>
  </si>
  <si>
    <t>Shafizadeh, Stephen</t>
  </si>
  <si>
    <t>Hoang, Alex</t>
  </si>
  <si>
    <t>Foxx, Kenneth</t>
  </si>
  <si>
    <t>Eastin, Timothy, M</t>
  </si>
  <si>
    <t>Dietze, John</t>
  </si>
  <si>
    <t>Shah, Hamid</t>
  </si>
  <si>
    <t>Einhaus, Stephanie</t>
  </si>
  <si>
    <t>Phillips, Blake</t>
  </si>
  <si>
    <t>Nir,Shimony</t>
  </si>
  <si>
    <t>Crosby, Glenn</t>
  </si>
  <si>
    <t>Petersen, Erika</t>
  </si>
  <si>
    <t>Burnsed, Brandon C.</t>
  </si>
  <si>
    <t>Paul,Park</t>
  </si>
  <si>
    <t>Queeney, Joseph</t>
  </si>
  <si>
    <t>Omar, Syed</t>
  </si>
  <si>
    <t>Foley, Kevin</t>
  </si>
  <si>
    <t>Mumert, Michael</t>
  </si>
  <si>
    <t>Ammerman, Matthew</t>
  </si>
  <si>
    <t>Jayarao, Mayur</t>
  </si>
  <si>
    <t>Hoit, Daniel</t>
  </si>
  <si>
    <t>Chen, Feiyu</t>
  </si>
  <si>
    <t>Cheema, Ahmed A.</t>
  </si>
  <si>
    <t>Hulou, Mohamed, M</t>
  </si>
  <si>
    <t>Weaver, Jason</t>
  </si>
  <si>
    <t>Mark B Ellis</t>
  </si>
  <si>
    <t>Reeves, Taralee</t>
  </si>
  <si>
    <t>Ashley  James, Otr</t>
  </si>
  <si>
    <t>Blacklock, Calynn</t>
  </si>
  <si>
    <t>Denton, Allie</t>
  </si>
  <si>
    <t>Bolin, Barbara</t>
  </si>
  <si>
    <t>Likert, Sarah</t>
  </si>
  <si>
    <t>Rogers, Kayla</t>
  </si>
  <si>
    <t>Mcalaster, Justin</t>
  </si>
  <si>
    <t>Flores, Amy</t>
  </si>
  <si>
    <t>Sarah Reeves</t>
  </si>
  <si>
    <t>Bell, Janel, D</t>
  </si>
  <si>
    <t>Alberson, Stacy</t>
  </si>
  <si>
    <t>Richison, Tabitha</t>
  </si>
  <si>
    <t>Ball, Maria</t>
  </si>
  <si>
    <t>Clark Gardner, Jennifer</t>
  </si>
  <si>
    <t>Williams, Kristen</t>
  </si>
  <si>
    <t>Otoole, Kelly</t>
  </si>
  <si>
    <t>Starkey, Addison, M</t>
  </si>
  <si>
    <t>Towell, Jessica, S</t>
  </si>
  <si>
    <t>Spengler, Terry</t>
  </si>
  <si>
    <t>Wilson, Kristin</t>
  </si>
  <si>
    <t>Culver, Angela</t>
  </si>
  <si>
    <t>Beauchamp, Damon</t>
  </si>
  <si>
    <t>Hawkins, Melissa</t>
  </si>
  <si>
    <t>Finley, Jamy</t>
  </si>
  <si>
    <t>Woods, Tori</t>
  </si>
  <si>
    <t>Solberg, Mariah</t>
  </si>
  <si>
    <t>Thompson, Bailey</t>
  </si>
  <si>
    <t>Victoria M Thomas, Otr</t>
  </si>
  <si>
    <t>Britney N Lamont</t>
  </si>
  <si>
    <t>Bryant, Sarah</t>
  </si>
  <si>
    <t>Klober, Alana</t>
  </si>
  <si>
    <t>Adair, Jennifer</t>
  </si>
  <si>
    <t>Sanchez, Jessica</t>
  </si>
  <si>
    <t>Bunnell, Kristin</t>
  </si>
  <si>
    <t>Rink, Marleigh</t>
  </si>
  <si>
    <t>Moriah J Hatfield</t>
  </si>
  <si>
    <t>Morgan, Paul</t>
  </si>
  <si>
    <t>Brown, Olivia</t>
  </si>
  <si>
    <t>Kevin T Lucas</t>
  </si>
  <si>
    <t>Cottrell</t>
  </si>
  <si>
    <t>Bost, Alicia</t>
  </si>
  <si>
    <t>Batson, Aziah</t>
  </si>
  <si>
    <t>Gilbert, Stephanie</t>
  </si>
  <si>
    <t>Taylor, Elena</t>
  </si>
  <si>
    <t>Walker, Mallory</t>
  </si>
  <si>
    <t>Baker, Sandra</t>
  </si>
  <si>
    <t>Hill, Luke</t>
  </si>
  <si>
    <t>Addison, Kera</t>
  </si>
  <si>
    <t>Covington, Jaci</t>
  </si>
  <si>
    <t>Hall, Courtney</t>
  </si>
  <si>
    <t>Mcgee, Mary</t>
  </si>
  <si>
    <t>Simmons, Katelyn</t>
  </si>
  <si>
    <t>Grymes, Maggie</t>
  </si>
  <si>
    <t>Mashburn, Sabrina,</t>
  </si>
  <si>
    <t>Anderes, Jennifer, L</t>
  </si>
  <si>
    <t>Hutsell, Gennell, A</t>
  </si>
  <si>
    <t>Harbuck, Martha</t>
  </si>
  <si>
    <t>Brian C Combs, Otr</t>
  </si>
  <si>
    <t>Kirk, Haley</t>
  </si>
  <si>
    <t>Iglesia, Ashley</t>
  </si>
  <si>
    <t>Wood, Madison, B</t>
  </si>
  <si>
    <t>Tharp, Melissa</t>
  </si>
  <si>
    <t>Trobis, Amy</t>
  </si>
  <si>
    <t>Jacqueline K Bryson, Otr</t>
  </si>
  <si>
    <t>Yates, Kelly</t>
  </si>
  <si>
    <t>Moix, Mallory</t>
  </si>
  <si>
    <t>Trout, Christopher</t>
  </si>
  <si>
    <t>Martin, Justin</t>
  </si>
  <si>
    <t>Harvey, Chrystal</t>
  </si>
  <si>
    <t>Macy A Badger</t>
  </si>
  <si>
    <t>Locknar, Amanda, G</t>
  </si>
  <si>
    <t>Hain, Andrea</t>
  </si>
  <si>
    <t>Brad Westbrook</t>
  </si>
  <si>
    <t>Powdrill, Christy</t>
  </si>
  <si>
    <t>Amanda Balentine Depriest</t>
  </si>
  <si>
    <t>Mcgehee, Molly</t>
  </si>
  <si>
    <t>Linsey  Denney, Otr</t>
  </si>
  <si>
    <t>Horan, Devin, A</t>
  </si>
  <si>
    <t>Savannah H Williams</t>
  </si>
  <si>
    <t>Martin, Melody</t>
  </si>
  <si>
    <t>Fullerton, Suzanne</t>
  </si>
  <si>
    <t>Mitchelle, Jocelyn</t>
  </si>
  <si>
    <t>Henry, Morgan</t>
  </si>
  <si>
    <t>Valentine, Carleigh</t>
  </si>
  <si>
    <t>Collins, Andrea</t>
  </si>
  <si>
    <t>Creech, Brandon</t>
  </si>
  <si>
    <t>Gary, Tara</t>
  </si>
  <si>
    <t>Dailey, Jessica</t>
  </si>
  <si>
    <t>Fendley, Zachary</t>
  </si>
  <si>
    <t>Stroud, Ashley, E</t>
  </si>
  <si>
    <t>Kelsey M Crouse</t>
  </si>
  <si>
    <t>Castro, Ma Ritchie</t>
  </si>
  <si>
    <t>Bates, Susan</t>
  </si>
  <si>
    <t>Richardson, Leslie</t>
  </si>
  <si>
    <t>Smith, Cassie</t>
  </si>
  <si>
    <t>Albey, Lauren</t>
  </si>
  <si>
    <t>Cayce, Candice</t>
  </si>
  <si>
    <t>Fleeman, Jeremiah</t>
  </si>
  <si>
    <t>Emery, Rebekah</t>
  </si>
  <si>
    <t>Swank, Nicole</t>
  </si>
  <si>
    <t>Gardner, Marla</t>
  </si>
  <si>
    <t>Garrison, Whitney</t>
  </si>
  <si>
    <t>Flake, Chrystel</t>
  </si>
  <si>
    <t>Keith, Kayla</t>
  </si>
  <si>
    <t>Edge, Cydney,</t>
  </si>
  <si>
    <t>Vance, Talli</t>
  </si>
  <si>
    <t>Megan, Mosley</t>
  </si>
  <si>
    <t>Montalvo, Alexis</t>
  </si>
  <si>
    <t>Freer, Keri</t>
  </si>
  <si>
    <t>Johanna, Bevis</t>
  </si>
  <si>
    <t>Motzko, Leah</t>
  </si>
  <si>
    <t>Bullard, Cullen</t>
  </si>
  <si>
    <t>Petty, Heather</t>
  </si>
  <si>
    <t>Sitton, Kimberly</t>
  </si>
  <si>
    <t>Audrey  Owens, Otr</t>
  </si>
  <si>
    <t>Malone, Hannah, H</t>
  </si>
  <si>
    <t>Bullington, Kati</t>
  </si>
  <si>
    <t>Stroud, Jill</t>
  </si>
  <si>
    <t>Wallis, Meredith</t>
  </si>
  <si>
    <t>Dickerson, Dawn</t>
  </si>
  <si>
    <t>Alison T Lichty</t>
  </si>
  <si>
    <t>Hutchison, Mackenzie</t>
  </si>
  <si>
    <t>Passmore, Savannah</t>
  </si>
  <si>
    <t>Senger, Taylor, R</t>
  </si>
  <si>
    <t>Fountain, Quinn</t>
  </si>
  <si>
    <t>Pearson, Madora</t>
  </si>
  <si>
    <t>Hess, Tara</t>
  </si>
  <si>
    <t>Bovkoon, Nicole</t>
  </si>
  <si>
    <t>Nocella, Angela</t>
  </si>
  <si>
    <t>Doan, Allison</t>
  </si>
  <si>
    <t>Coulter, Kelsey</t>
  </si>
  <si>
    <t>Melcher, Elizabeth</t>
  </si>
  <si>
    <t>Dyer, Alix</t>
  </si>
  <si>
    <t>Smith, Bailey</t>
  </si>
  <si>
    <t>Gillenson, Leslie</t>
  </si>
  <si>
    <t>Lewis, Kelley</t>
  </si>
  <si>
    <t>Carroll, Mindy</t>
  </si>
  <si>
    <t>Hoag Crafton, Abigail</t>
  </si>
  <si>
    <t>Fox, Cindy</t>
  </si>
  <si>
    <t>Epperson, Taylor</t>
  </si>
  <si>
    <t>Brumbelow, Morgan</t>
  </si>
  <si>
    <t>Morgan, Neal</t>
  </si>
  <si>
    <t>Woodyard, Carly</t>
  </si>
  <si>
    <t>Fisher, Angela</t>
  </si>
  <si>
    <t>Sorrels, Mary</t>
  </si>
  <si>
    <t>Bowers, Ann</t>
  </si>
  <si>
    <t>Morgan, Stephen</t>
  </si>
  <si>
    <t>Maxon, Kevin, J</t>
  </si>
  <si>
    <t>Farris, Lauren</t>
  </si>
  <si>
    <t>Miller, Bailee</t>
  </si>
  <si>
    <t>Nolan, Catherine</t>
  </si>
  <si>
    <t>Pantall, Sarah</t>
  </si>
  <si>
    <t>Dement, Kelsy</t>
  </si>
  <si>
    <t>Wilson, Kenzley</t>
  </si>
  <si>
    <t>Van Es, Natalie</t>
  </si>
  <si>
    <t>Scalia, Sarah</t>
  </si>
  <si>
    <t>Wolf, Luz</t>
  </si>
  <si>
    <t>Postel, Kelsey</t>
  </si>
  <si>
    <t>Keaton, Bailey</t>
  </si>
  <si>
    <t>Hammer, Hanna</t>
  </si>
  <si>
    <t>Duggan, Anna</t>
  </si>
  <si>
    <t>Joiner, Brandy</t>
  </si>
  <si>
    <t>Davis, Rebecca</t>
  </si>
  <si>
    <t>Schaaf, Stephanie</t>
  </si>
  <si>
    <t>Ivy, Julian</t>
  </si>
  <si>
    <t>Welch, Allison</t>
  </si>
  <si>
    <t>Veazey, Cynthia</t>
  </si>
  <si>
    <t>Dexter, Lauren</t>
  </si>
  <si>
    <t>Slaybaugh, Lynette</t>
  </si>
  <si>
    <t>Gross, Jennifer</t>
  </si>
  <si>
    <t>Shara L Manning</t>
  </si>
  <si>
    <t>Bain, Amanda</t>
  </si>
  <si>
    <t>Foster, Lyndsey</t>
  </si>
  <si>
    <t>Williams, Amelia</t>
  </si>
  <si>
    <t>Forehand, Chelsea</t>
  </si>
  <si>
    <t>Schultz, Elizabeth</t>
  </si>
  <si>
    <t>Tipton, Jamie</t>
  </si>
  <si>
    <t>Gartman, Taelor, L</t>
  </si>
  <si>
    <t>Wollard, Blair, E</t>
  </si>
  <si>
    <t>Cheatham, Christy</t>
  </si>
  <si>
    <t>Jackson, Christie</t>
  </si>
  <si>
    <t>Nave, Erin</t>
  </si>
  <si>
    <t>Watts, Cedric</t>
  </si>
  <si>
    <t>Archer, Davinia</t>
  </si>
  <si>
    <t>Morgan, Sayre</t>
  </si>
  <si>
    <t>Hollenbaugh, Hollie</t>
  </si>
  <si>
    <t>Bennett, Mary</t>
  </si>
  <si>
    <t>Clark, Alissa</t>
  </si>
  <si>
    <t>Dent, Marissa</t>
  </si>
  <si>
    <t>Bell, Jillian</t>
  </si>
  <si>
    <t>Saeler, Katelyn</t>
  </si>
  <si>
    <t>Martin, Holly, C</t>
  </si>
  <si>
    <t>Wright, Creighton,</t>
  </si>
  <si>
    <t>Wood, Haley</t>
  </si>
  <si>
    <t>Tucker, Allyson</t>
  </si>
  <si>
    <t>Duren, Cara</t>
  </si>
  <si>
    <t>Huddleston, Amanda</t>
  </si>
  <si>
    <t>Norman, Cindy</t>
  </si>
  <si>
    <t>Katherine N Bruick</t>
  </si>
  <si>
    <t>Citty, Kizzie,</t>
  </si>
  <si>
    <t>Lewis, Rachel</t>
  </si>
  <si>
    <t>Karen  Manley, Otr</t>
  </si>
  <si>
    <t>Williams, Julie</t>
  </si>
  <si>
    <t>Gehrki, Sarah</t>
  </si>
  <si>
    <t>Villa, Vito</t>
  </si>
  <si>
    <t>Brown, Kaylin</t>
  </si>
  <si>
    <t>Mabrey, Kara</t>
  </si>
  <si>
    <t>Moore, Jessica</t>
  </si>
  <si>
    <t>Doohan, Abby</t>
  </si>
  <si>
    <t>Petersen, Shelby</t>
  </si>
  <si>
    <t>Drake, Reagan</t>
  </si>
  <si>
    <t>Germany, Jessica</t>
  </si>
  <si>
    <t>Maffit, Ashley</t>
  </si>
  <si>
    <t>Mabry, Melissa</t>
  </si>
  <si>
    <t>Davis, Marnie</t>
  </si>
  <si>
    <t>Hutts, Laura</t>
  </si>
  <si>
    <t>Kelsey, Christopher</t>
  </si>
  <si>
    <t>Chronister, Lindsey</t>
  </si>
  <si>
    <t>Davidson Hall, Melanie</t>
  </si>
  <si>
    <t>Johnston, Lukas</t>
  </si>
  <si>
    <t>Zimmerman, Alexandria M</t>
  </si>
  <si>
    <t>Young, Joyce</t>
  </si>
  <si>
    <t>Boone, Allauna</t>
  </si>
  <si>
    <t>Clement, Monica</t>
  </si>
  <si>
    <t>Evans, Angel</t>
  </si>
  <si>
    <t>Okeefe, Moira</t>
  </si>
  <si>
    <t>Moore, Mikayla</t>
  </si>
  <si>
    <t>Lunceford, Paige, D</t>
  </si>
  <si>
    <t>Townsend, Cynthia</t>
  </si>
  <si>
    <t>Schlesier, Myra L.</t>
  </si>
  <si>
    <t>Bozzay, Melissa</t>
  </si>
  <si>
    <t>Bates, Sarah</t>
  </si>
  <si>
    <t>Moore, Meghan</t>
  </si>
  <si>
    <t>Huddleston, Rachel</t>
  </si>
  <si>
    <t>Smithson, Emily</t>
  </si>
  <si>
    <t>Lacy, Matthew</t>
  </si>
  <si>
    <t>Elizabeth Whitehurst</t>
  </si>
  <si>
    <t>Caubble, Caitlyn</t>
  </si>
  <si>
    <t>Chasity</t>
  </si>
  <si>
    <t>Sydney D Sims</t>
  </si>
  <si>
    <t>Royal, Debbie</t>
  </si>
  <si>
    <t>Winters, Craig</t>
  </si>
  <si>
    <t>Lienhart, Sheila</t>
  </si>
  <si>
    <t>Higginbotham, Emily</t>
  </si>
  <si>
    <t>Pippinger, Robert</t>
  </si>
  <si>
    <t>Fihart, Ashley</t>
  </si>
  <si>
    <t>Wynn, Kelsey</t>
  </si>
  <si>
    <t>Corley, Alexa</t>
  </si>
  <si>
    <t>Russell, Graycen</t>
  </si>
  <si>
    <t>Mayer, Kelli</t>
  </si>
  <si>
    <t>Dixon</t>
  </si>
  <si>
    <t>Hulbert, Janet</t>
  </si>
  <si>
    <t>Maldonado, Rosa</t>
  </si>
  <si>
    <t>Chavez, Leila, R</t>
  </si>
  <si>
    <t>Stein, Samantha</t>
  </si>
  <si>
    <t>Decker, Ashton</t>
  </si>
  <si>
    <t>Gibson, Libby</t>
  </si>
  <si>
    <t>Hinson, Derek</t>
  </si>
  <si>
    <t>Banks, Katherine</t>
  </si>
  <si>
    <t>Paladino, Brittany</t>
  </si>
  <si>
    <t>Ford, Karen</t>
  </si>
  <si>
    <t>Verge, Jade</t>
  </si>
  <si>
    <t>Hamrick, Andrew</t>
  </si>
  <si>
    <t>Parrish, Maci</t>
  </si>
  <si>
    <t>Farmer, Angela</t>
  </si>
  <si>
    <t>Chapman, Cameryn,</t>
  </si>
  <si>
    <t>Raney, Amanda</t>
  </si>
  <si>
    <t>Henderson, Debra</t>
  </si>
  <si>
    <t>Billingsley, Amber</t>
  </si>
  <si>
    <t>Lovan Bowers, Wendy</t>
  </si>
  <si>
    <t>Hooper, Elisa</t>
  </si>
  <si>
    <t>Freyaldenhoven, Kathryn</t>
  </si>
  <si>
    <t>Powers</t>
  </si>
  <si>
    <t>Burroughs, Taylor</t>
  </si>
  <si>
    <t>Williams, Laiken</t>
  </si>
  <si>
    <t>Jennings, Jenna</t>
  </si>
  <si>
    <t>Hall, Lindsay</t>
  </si>
  <si>
    <t>Keeley H Cotter</t>
  </si>
  <si>
    <t>Bland, Anna</t>
  </si>
  <si>
    <t>Musinsky, Karina</t>
  </si>
  <si>
    <t>Boyer, Kelli</t>
  </si>
  <si>
    <t>Pacileo</t>
  </si>
  <si>
    <t>Meghan  Mincey, Otr</t>
  </si>
  <si>
    <t>Mills, Sarah</t>
  </si>
  <si>
    <t>Daut, Mary</t>
  </si>
  <si>
    <t>Brazeal, Justin</t>
  </si>
  <si>
    <t>Doyle, Shani</t>
  </si>
  <si>
    <t>Velte, Grace</t>
  </si>
  <si>
    <t>Cody A Davis</t>
  </si>
  <si>
    <t>Bennett, Madeline, M</t>
  </si>
  <si>
    <t>Wendy Kitkoski</t>
  </si>
  <si>
    <t>Perez, Jennifer</t>
  </si>
  <si>
    <t>Harwell, Britne</t>
  </si>
  <si>
    <t>Saviers, James</t>
  </si>
  <si>
    <t>Mckinney, Daniele</t>
  </si>
  <si>
    <t>Dayer, Meghan</t>
  </si>
  <si>
    <t>Carroll, Heather</t>
  </si>
  <si>
    <t>Jones, Aspen</t>
  </si>
  <si>
    <t>Hamby, Katelyn</t>
  </si>
  <si>
    <t>Hoyt, Ashley</t>
  </si>
  <si>
    <t>Katherine J Griffin</t>
  </si>
  <si>
    <t>Cummins, Anna</t>
  </si>
  <si>
    <t>Sutton, Colby</t>
  </si>
  <si>
    <t>Rachel Prather</t>
  </si>
  <si>
    <t>Reddmann Spencer, Ashley</t>
  </si>
  <si>
    <t>Shell, Tracey</t>
  </si>
  <si>
    <t>Roshto, Gena</t>
  </si>
  <si>
    <t>Allen, Elizabeth,</t>
  </si>
  <si>
    <t>Snyder, Traci</t>
  </si>
  <si>
    <t>Bundy, Joshua</t>
  </si>
  <si>
    <t>Shirley, Erin</t>
  </si>
  <si>
    <t>Cooper, Richard</t>
  </si>
  <si>
    <t>Myers, Jonathan</t>
  </si>
  <si>
    <t>Schmitz, Allison</t>
  </si>
  <si>
    <t>Domke, Lindy</t>
  </si>
  <si>
    <t>Polk, Garrett</t>
  </si>
  <si>
    <t>Love, Ashtyn</t>
  </si>
  <si>
    <t>Farley, Janie</t>
  </si>
  <si>
    <t>Myles K Stafford</t>
  </si>
  <si>
    <t>Sorg, Kristi,</t>
  </si>
  <si>
    <t>Chenowith, Jaci, E</t>
  </si>
  <si>
    <t>Scarbrough, Nancy</t>
  </si>
  <si>
    <t>Honaker, Cecil</t>
  </si>
  <si>
    <t>Thomason, Donna</t>
  </si>
  <si>
    <t>Smith, Heather</t>
  </si>
  <si>
    <t>Hartman, Brandy</t>
  </si>
  <si>
    <t>John, Michelle</t>
  </si>
  <si>
    <t>Cissell, Shelley</t>
  </si>
  <si>
    <t>Moll, Karen</t>
  </si>
  <si>
    <t>Shultz, Shelley</t>
  </si>
  <si>
    <t>Hart, Alexis</t>
  </si>
  <si>
    <t>Moore, Hannah</t>
  </si>
  <si>
    <t>Bacot, Dominique</t>
  </si>
  <si>
    <t>Nipper, Caroline</t>
  </si>
  <si>
    <t>Wyatt, Jaimie</t>
  </si>
  <si>
    <t>Brown, Lacy</t>
  </si>
  <si>
    <t>King, Mattingly</t>
  </si>
  <si>
    <t>Perley, Loida, E</t>
  </si>
  <si>
    <t>Tankersley, Lori</t>
  </si>
  <si>
    <t>Wincent, Marget</t>
  </si>
  <si>
    <t>Demott, Kristin</t>
  </si>
  <si>
    <t>Brennan, Christi</t>
  </si>
  <si>
    <t>Loyd, Emily</t>
  </si>
  <si>
    <t>Stout, Hannah</t>
  </si>
  <si>
    <t>Chavez Espinosa, Jamie</t>
  </si>
  <si>
    <t>Stephanie L Pearson</t>
  </si>
  <si>
    <t>Cassandra</t>
  </si>
  <si>
    <t>Cummins, Brittany</t>
  </si>
  <si>
    <t>Mansfield, Maysa</t>
  </si>
  <si>
    <t>Bradshaw, Rachel, B</t>
  </si>
  <si>
    <t>Simpson, Jana</t>
  </si>
  <si>
    <t>Fleming, Lorrie</t>
  </si>
  <si>
    <t>Martin, Veronica</t>
  </si>
  <si>
    <t>Mooney, Katelyn</t>
  </si>
  <si>
    <t>Hayden Chenault</t>
  </si>
  <si>
    <t>Catlett, Malorie</t>
  </si>
  <si>
    <t>Hay, Kelly</t>
  </si>
  <si>
    <t>Foster, Melissa</t>
  </si>
  <si>
    <t>Baker, Michael</t>
  </si>
  <si>
    <t>Lehfeldt, Johanna</t>
  </si>
  <si>
    <t>Chance, Lindsey</t>
  </si>
  <si>
    <t>Glynn, Bridget</t>
  </si>
  <si>
    <t>Blackwell, Kelley</t>
  </si>
  <si>
    <t>Bishop, Angela</t>
  </si>
  <si>
    <t>Bledsoe, Elizabeth</t>
  </si>
  <si>
    <t>Vericker, Alex</t>
  </si>
  <si>
    <t>Julie, Daniels</t>
  </si>
  <si>
    <t>Callie Baker</t>
  </si>
  <si>
    <t>Jones, Jessica</t>
  </si>
  <si>
    <t>Mccauley, Jessica</t>
  </si>
  <si>
    <t>Cromwell, Paige</t>
  </si>
  <si>
    <t>Condra, Chelsea</t>
  </si>
  <si>
    <t>Bullard, Paulina</t>
  </si>
  <si>
    <t>Pieroni, Carrie</t>
  </si>
  <si>
    <t>Lowery, Kristi</t>
  </si>
  <si>
    <t>Lienhart, Heather</t>
  </si>
  <si>
    <t>Irish, Patricia</t>
  </si>
  <si>
    <t>Schratz, Leah</t>
  </si>
  <si>
    <t>Hight, Victoria, C</t>
  </si>
  <si>
    <t>Mitchell, Amanda K.</t>
  </si>
  <si>
    <t>Andrews, Maeve</t>
  </si>
  <si>
    <t>Files, Alyssa</t>
  </si>
  <si>
    <t>Glover, Molly</t>
  </si>
  <si>
    <t>Houtchens, Cordell, B</t>
  </si>
  <si>
    <t>Steele, Brandi</t>
  </si>
  <si>
    <t>Qualls, Kayla M.</t>
  </si>
  <si>
    <t>Thomas, Lawrence</t>
  </si>
  <si>
    <t>Griffith, Margueritte</t>
  </si>
  <si>
    <t>Daugherty, Alan</t>
  </si>
  <si>
    <t>Lowe, Courtney</t>
  </si>
  <si>
    <t>Stutts, Callie</t>
  </si>
  <si>
    <t>Davidson, Rose</t>
  </si>
  <si>
    <t>Rorex, Jordan</t>
  </si>
  <si>
    <t>Johnston, David</t>
  </si>
  <si>
    <t>Burgener, Sawyer</t>
  </si>
  <si>
    <t>Mcclain, Ashley</t>
  </si>
  <si>
    <t>Speer, Hannah</t>
  </si>
  <si>
    <t>Reed, William</t>
  </si>
  <si>
    <t>Skoda, Maryann</t>
  </si>
  <si>
    <t>Scott, Randal</t>
  </si>
  <si>
    <t>Kordsmeier, Laura Beth</t>
  </si>
  <si>
    <t>Mcdaniel, Alivia</t>
  </si>
  <si>
    <t>Rakestraw, Emery</t>
  </si>
  <si>
    <t>Lineberry, Michael</t>
  </si>
  <si>
    <t>Chelsae F Mccall</t>
  </si>
  <si>
    <t>Griffin, Hadleigh, E</t>
  </si>
  <si>
    <t>Blount, Mariwood</t>
  </si>
  <si>
    <t>Richardson, Alyssa</t>
  </si>
  <si>
    <t>Wolf, Sheila</t>
  </si>
  <si>
    <t>Hern, April</t>
  </si>
  <si>
    <t>Green, Lyndal</t>
  </si>
  <si>
    <t>Mcdonald, Kristi</t>
  </si>
  <si>
    <t>Rodery, Rachael</t>
  </si>
  <si>
    <t>Pinson, Rhonda</t>
  </si>
  <si>
    <t>Lindsay Hobson</t>
  </si>
  <si>
    <t>Mcghee, Joni</t>
  </si>
  <si>
    <t>Harrell, Patchez</t>
  </si>
  <si>
    <t>Tolliver, Autumn</t>
  </si>
  <si>
    <t>Mckown, Tommie</t>
  </si>
  <si>
    <t>Millikin, Stacy</t>
  </si>
  <si>
    <t>Ray</t>
  </si>
  <si>
    <t>Ferriel, Autumn</t>
  </si>
  <si>
    <t>Samantha A Oates</t>
  </si>
  <si>
    <t>Sutton, Jordan</t>
  </si>
  <si>
    <t>Victoria D Hudgings, Otr</t>
  </si>
  <si>
    <t>Pate, Abagail</t>
  </si>
  <si>
    <t>Mcrae, Britney</t>
  </si>
  <si>
    <t>Suggs, Fritzie</t>
  </si>
  <si>
    <t>Peek, Hannah</t>
  </si>
  <si>
    <t>Colvin, Shelby</t>
  </si>
  <si>
    <t>Morris, Katelyn</t>
  </si>
  <si>
    <t>Stowers, Jordin R</t>
  </si>
  <si>
    <t>Hillbrand, Elana</t>
  </si>
  <si>
    <t>Elrod, Kelsey</t>
  </si>
  <si>
    <t>Hopper, Bentley</t>
  </si>
  <si>
    <t>Hurtado, Viridiana</t>
  </si>
  <si>
    <t>Iglesia, Chelsey</t>
  </si>
  <si>
    <t>Tierney, Lynn</t>
  </si>
  <si>
    <t>Mallett, Leigh</t>
  </si>
  <si>
    <t>Hanks, Mistie</t>
  </si>
  <si>
    <t>Oppenhuizen</t>
  </si>
  <si>
    <t>Morrison, Mary</t>
  </si>
  <si>
    <t>Jones, Amelia</t>
  </si>
  <si>
    <t>Remy, Suzanne</t>
  </si>
  <si>
    <t>Steed, Lynda</t>
  </si>
  <si>
    <t>Ferrell, Mary</t>
  </si>
  <si>
    <t>Jocson, Maria</t>
  </si>
  <si>
    <t>Otwell, Jessalyn</t>
  </si>
  <si>
    <t>Meghan Foote</t>
  </si>
  <si>
    <t>Morgan W Gilbert</t>
  </si>
  <si>
    <t>Mortensen, Aleisha</t>
  </si>
  <si>
    <t>Emily C Lovell, Otr</t>
  </si>
  <si>
    <t>Carol  Mccallen, Otr</t>
  </si>
  <si>
    <t>Creel, Paul</t>
  </si>
  <si>
    <t>Emily S Williams</t>
  </si>
  <si>
    <t>Felty, Whitney, P</t>
  </si>
  <si>
    <t>Uams  Green, Otr</t>
  </si>
  <si>
    <t>Oldani, Alyssa</t>
  </si>
  <si>
    <t>Cassidy S Qualls</t>
  </si>
  <si>
    <t>Armstrong, Demi, A</t>
  </si>
  <si>
    <t>Lee, Jessica,</t>
  </si>
  <si>
    <t>Storey, Whitney, R</t>
  </si>
  <si>
    <t>Burnett, Wendy</t>
  </si>
  <si>
    <t>Edington, Charles</t>
  </si>
  <si>
    <t>Mack, Robert, G</t>
  </si>
  <si>
    <t>Daniell, Samantha</t>
  </si>
  <si>
    <t>Henson, Brianne, C</t>
  </si>
  <si>
    <t>Hall, Meagan</t>
  </si>
  <si>
    <t>Graham, Pharis</t>
  </si>
  <si>
    <t>Walker, Lauren</t>
  </si>
  <si>
    <t>Carmen Long</t>
  </si>
  <si>
    <t>Mueller</t>
  </si>
  <si>
    <t>Gibson</t>
  </si>
  <si>
    <t>Bowen, Melissa</t>
  </si>
  <si>
    <t>Duncan, Meagan,</t>
  </si>
  <si>
    <t>Schmidt, Madeline</t>
  </si>
  <si>
    <t>Faulkner, Anna</t>
  </si>
  <si>
    <t>Hollister, Chelsea T.</t>
  </si>
  <si>
    <t>Gibson, Abby</t>
  </si>
  <si>
    <t>Hogue, Kaitlyn</t>
  </si>
  <si>
    <t>Maymoundok, Sarika</t>
  </si>
  <si>
    <t>Culver, Aaron</t>
  </si>
  <si>
    <t>Creighton, Lauren</t>
  </si>
  <si>
    <t>Raegan</t>
  </si>
  <si>
    <t>Kennedi S Blankenship</t>
  </si>
  <si>
    <t>Morgan, Lauren, A</t>
  </si>
  <si>
    <t>Tran, Jennifer,</t>
  </si>
  <si>
    <t>Fredricks, Scott</t>
  </si>
  <si>
    <t>Mccallister, Andrea</t>
  </si>
  <si>
    <t>Green, Ashleigh</t>
  </si>
  <si>
    <t>King, Kayla</t>
  </si>
  <si>
    <t>Ashley M Jordan</t>
  </si>
  <si>
    <t>Yang, Ramirez, Jennifer</t>
  </si>
  <si>
    <t>Wauters, Madelynn, M</t>
  </si>
  <si>
    <t>Humphries, Lara</t>
  </si>
  <si>
    <t>Cooper, Paul</t>
  </si>
  <si>
    <t>Lowery, Ross</t>
  </si>
  <si>
    <t>Lauerman, Mary</t>
  </si>
  <si>
    <t>West, Amanda</t>
  </si>
  <si>
    <t>Gilmore, Kristie</t>
  </si>
  <si>
    <t>Ray, Janet</t>
  </si>
  <si>
    <t>Walls, Carroll</t>
  </si>
  <si>
    <t>Weatherford, Terrica</t>
  </si>
  <si>
    <t>Amanda L Suell, Otr</t>
  </si>
  <si>
    <t>Kelsey M Pope</t>
  </si>
  <si>
    <t>Glidewell, Carly</t>
  </si>
  <si>
    <t>Grimes, Meghan</t>
  </si>
  <si>
    <t>Reddell, Toni</t>
  </si>
  <si>
    <t>Phillips, Kristie</t>
  </si>
  <si>
    <t>Hinson, Cristin</t>
  </si>
  <si>
    <t>Brazeal, Shelby</t>
  </si>
  <si>
    <t>Ferrari, Mariana</t>
  </si>
  <si>
    <t>Lloyd, Margaret</t>
  </si>
  <si>
    <t>Garner, Shelbi</t>
  </si>
  <si>
    <t>Eddy M Horton, Otr</t>
  </si>
  <si>
    <t>Brooklyn, Brinkley</t>
  </si>
  <si>
    <t>Roberts, Emily</t>
  </si>
  <si>
    <t>Gray, Ashleigh</t>
  </si>
  <si>
    <t>Soell, Allison</t>
  </si>
  <si>
    <t>Smith, Kimberly</t>
  </si>
  <si>
    <t>Irby, Kathryn</t>
  </si>
  <si>
    <t>Maggio, Rebecca</t>
  </si>
  <si>
    <t>Hanes Jones, Amelia</t>
  </si>
  <si>
    <t>Gravatt, Robyn</t>
  </si>
  <si>
    <t>Brill, Jordyn L</t>
  </si>
  <si>
    <t>Colindres, Leanna, R</t>
  </si>
  <si>
    <t>Rupp, Kristina</t>
  </si>
  <si>
    <t>Snow, Angela</t>
  </si>
  <si>
    <t>Bria S Griffin</t>
  </si>
  <si>
    <t>Miles, Brittany</t>
  </si>
  <si>
    <t>Nelson, Autumn</t>
  </si>
  <si>
    <t>Mullins, Eric,</t>
  </si>
  <si>
    <t>Pippen</t>
  </si>
  <si>
    <t>Mischke, Caroline</t>
  </si>
  <si>
    <t>Michael A Leding</t>
  </si>
  <si>
    <t>Dunaway, Shelby</t>
  </si>
  <si>
    <t>Cathey, Amanda, N</t>
  </si>
  <si>
    <t>Litchford, Heather</t>
  </si>
  <si>
    <t>Green, Allison</t>
  </si>
  <si>
    <t>Miller, Anna, G</t>
  </si>
  <si>
    <t>Smith, Casondra</t>
  </si>
  <si>
    <t>Jackson, Lindsey</t>
  </si>
  <si>
    <t>Brumley, Kendra</t>
  </si>
  <si>
    <t>Pressler, Sarah</t>
  </si>
  <si>
    <t>Austin, Melissa</t>
  </si>
  <si>
    <t>Kassi L Talbot</t>
  </si>
  <si>
    <t>Matkins, Amber</t>
  </si>
  <si>
    <t>Courtney Mitchell</t>
  </si>
  <si>
    <t>Sam</t>
  </si>
  <si>
    <t>Salmon, Ashton, B</t>
  </si>
  <si>
    <t>Sexton, Monica</t>
  </si>
  <si>
    <t>Thompson, Haley</t>
  </si>
  <si>
    <t>Laken Ellis</t>
  </si>
  <si>
    <t>Farnan, Katherine</t>
  </si>
  <si>
    <t>Stephens, Anna</t>
  </si>
  <si>
    <t>Pierce, Christy</t>
  </si>
  <si>
    <t>Allen, Heather, J</t>
  </si>
  <si>
    <t>Amber  Ellis-Carpenter, Otr</t>
  </si>
  <si>
    <t>Maclean, Jennifer</t>
  </si>
  <si>
    <t>Miller, Brooke</t>
  </si>
  <si>
    <t>Smith, Hope, E</t>
  </si>
  <si>
    <t>Gooseberry, Victoria</t>
  </si>
  <si>
    <t>Miller, Kelli</t>
  </si>
  <si>
    <t>Danielle Smith</t>
  </si>
  <si>
    <t>Willibey, Delaney</t>
  </si>
  <si>
    <t>Bentley, Brianna, A</t>
  </si>
  <si>
    <t>Annese, Geraci</t>
  </si>
  <si>
    <t>Wallace, Tara</t>
  </si>
  <si>
    <t>Monroe, Melissa</t>
  </si>
  <si>
    <t>Bennett, Racheal</t>
  </si>
  <si>
    <t>Sims, Morgan</t>
  </si>
  <si>
    <t>Crawford, Sarah</t>
  </si>
  <si>
    <t>Rawn, Kelli</t>
  </si>
  <si>
    <t>Gallo, Jessica</t>
  </si>
  <si>
    <t>Hall, Hannah</t>
  </si>
  <si>
    <t>Elder, Jennifer</t>
  </si>
  <si>
    <t>Rachel E Abreu</t>
  </si>
  <si>
    <t>Grimsley, Ginger</t>
  </si>
  <si>
    <t>Leslie L Fason, Otr</t>
  </si>
  <si>
    <t>Alldread, Mary</t>
  </si>
  <si>
    <t>Simms, Shana</t>
  </si>
  <si>
    <t>Jones, Lauren</t>
  </si>
  <si>
    <t>Nehus, Emily</t>
  </si>
  <si>
    <t>Bigham, Paige, J</t>
  </si>
  <si>
    <t>Aynsley, Stock</t>
  </si>
  <si>
    <t>Bacsa, Erica</t>
  </si>
  <si>
    <t>Williams, Anna</t>
  </si>
  <si>
    <t>Otis, Michael</t>
  </si>
  <si>
    <t>Houston, Wendi</t>
  </si>
  <si>
    <t>Spainhour, Shannon</t>
  </si>
  <si>
    <t>Shanks, Amanda</t>
  </si>
  <si>
    <t>Ratcliff, Emily</t>
  </si>
  <si>
    <t>Kaitlin Mcfarland</t>
  </si>
  <si>
    <t>Harris, Jessica</t>
  </si>
  <si>
    <t>Seevers, Cynthia</t>
  </si>
  <si>
    <t>Likes, Kaley</t>
  </si>
  <si>
    <t>Page, Carrie, G</t>
  </si>
  <si>
    <t>Nolte, Blakeley</t>
  </si>
  <si>
    <t>Wherry, Amanda</t>
  </si>
  <si>
    <t>Dean, Mary</t>
  </si>
  <si>
    <t>Knight, Charity</t>
  </si>
  <si>
    <t>Faires, Melissa</t>
  </si>
  <si>
    <t>Volner, Jessica, E</t>
  </si>
  <si>
    <t>Lauren D Bolding</t>
  </si>
  <si>
    <t>Tara  Elliott, Otr</t>
  </si>
  <si>
    <t>Senko, Lydia</t>
  </si>
  <si>
    <t>Entrekin, Leslie</t>
  </si>
  <si>
    <t>Harmon</t>
  </si>
  <si>
    <t>Megan L Nalley</t>
  </si>
  <si>
    <t>Conley, Whitney</t>
  </si>
  <si>
    <t>Carmack, Hannah</t>
  </si>
  <si>
    <t>Boehm, Abigail</t>
  </si>
  <si>
    <t>Kristen, Stiller</t>
  </si>
  <si>
    <t>Lock, Emily</t>
  </si>
  <si>
    <t>Bawcum, Montana</t>
  </si>
  <si>
    <t>Susan, Martin</t>
  </si>
  <si>
    <t>Shaw, Kara</t>
  </si>
  <si>
    <t>Hurley, Kimberly</t>
  </si>
  <si>
    <t>Wilcox, Karly</t>
  </si>
  <si>
    <t>Horton, Autumn</t>
  </si>
  <si>
    <t>Claire B Harness</t>
  </si>
  <si>
    <t>Phillips, Samantha</t>
  </si>
  <si>
    <t>Jacobsen, Elizabeth</t>
  </si>
  <si>
    <t>Masterson, Sadie</t>
  </si>
  <si>
    <t>Garretson, Richard</t>
  </si>
  <si>
    <t>Scott, Mallory</t>
  </si>
  <si>
    <t>Paige, Spencer</t>
  </si>
  <si>
    <t>Hatcher, Larkin, K</t>
  </si>
  <si>
    <t>Shearer, Molly</t>
  </si>
  <si>
    <t>Nolen</t>
  </si>
  <si>
    <t>Burton, Ashton</t>
  </si>
  <si>
    <t>Kamarunas, Rachel</t>
  </si>
  <si>
    <t>Mellenthin, Kathryn</t>
  </si>
  <si>
    <t>Partin, Theresa</t>
  </si>
  <si>
    <t>Engel, Sax</t>
  </si>
  <si>
    <t>Mclean, Chantelle</t>
  </si>
  <si>
    <t>Mourot, Melanie</t>
  </si>
  <si>
    <t>Suel, Sarah</t>
  </si>
  <si>
    <t>Bell, Jennifer</t>
  </si>
  <si>
    <t>Canada, Sarah</t>
  </si>
  <si>
    <t>Robinson, Lea</t>
  </si>
  <si>
    <t>Austin, Meagan</t>
  </si>
  <si>
    <t>Jones, Tracy</t>
  </si>
  <si>
    <t>Belfield, Ashley</t>
  </si>
  <si>
    <t>Brown Alexander, Tiffany</t>
  </si>
  <si>
    <t>Olivia  Stafford, Otr</t>
  </si>
  <si>
    <t>Hoffpauir, Kyle</t>
  </si>
  <si>
    <t>Morrison, Brandy</t>
  </si>
  <si>
    <t>Clark, Lori</t>
  </si>
  <si>
    <t>Sharon Coleman</t>
  </si>
  <si>
    <t>Knight, Hannah</t>
  </si>
  <si>
    <t>Svebek, Mckenzie</t>
  </si>
  <si>
    <t>Hair, Madison</t>
  </si>
  <si>
    <t>Smyth, Melissa</t>
  </si>
  <si>
    <t>Marley, Jennifer</t>
  </si>
  <si>
    <t>Ellis, Nancy</t>
  </si>
  <si>
    <t>Elizabeth Pianalto</t>
  </si>
  <si>
    <t>Williams, Emylee</t>
  </si>
  <si>
    <t>Bettes, Kelly, M</t>
  </si>
  <si>
    <t>Chilton, Bonnie</t>
  </si>
  <si>
    <t>Liley, Kim</t>
  </si>
  <si>
    <t>Kennemer, Erica</t>
  </si>
  <si>
    <t>Kerissa P Accetta</t>
  </si>
  <si>
    <t>Caples, Taylor</t>
  </si>
  <si>
    <t>Wallace, Auburn</t>
  </si>
  <si>
    <t>Lewis, Lindsay</t>
  </si>
  <si>
    <t>Andres, Leanna</t>
  </si>
  <si>
    <t>Tara E Moset</t>
  </si>
  <si>
    <t>Ledbetter, Andree</t>
  </si>
  <si>
    <t>Shea, Krista</t>
  </si>
  <si>
    <t>Anderson Simmons, Virginia</t>
  </si>
  <si>
    <t>Turner, Belinda</t>
  </si>
  <si>
    <t>Gaither, Lateasha</t>
  </si>
  <si>
    <t>Batterton, Craig</t>
  </si>
  <si>
    <t>Burgener, Kasey</t>
  </si>
  <si>
    <t>Brady M Mccombs</t>
  </si>
  <si>
    <t>Monica, James</t>
  </si>
  <si>
    <t>Bolin, Stephanie</t>
  </si>
  <si>
    <t>Wages, Hope</t>
  </si>
  <si>
    <t>Reeves</t>
  </si>
  <si>
    <t>Kingsbury, Arielle</t>
  </si>
  <si>
    <t>Canfield, Stephanie</t>
  </si>
  <si>
    <t>Dean, Sarah,</t>
  </si>
  <si>
    <t>Todd, Alisha</t>
  </si>
  <si>
    <t>Sutton, Alicia</t>
  </si>
  <si>
    <t>Gambill, Lyndsey</t>
  </si>
  <si>
    <t>Greer, Jordan</t>
  </si>
  <si>
    <t>Moran, Adrienne, B</t>
  </si>
  <si>
    <t>Brasher, Amber, N</t>
  </si>
  <si>
    <t>Tran, Diana</t>
  </si>
  <si>
    <t>Luttrell, Melody</t>
  </si>
  <si>
    <t>Tedrin Elion</t>
  </si>
  <si>
    <t>Sarah Rogers</t>
  </si>
  <si>
    <t>Dirst-Roberts, Melissa</t>
  </si>
  <si>
    <t>Jankov, Aleksandar</t>
  </si>
  <si>
    <t>Hassan, Saira</t>
  </si>
  <si>
    <t>Wallace, Christina</t>
  </si>
  <si>
    <t>Burton, Jamie</t>
  </si>
  <si>
    <t>Dhawan, Manish</t>
  </si>
  <si>
    <t>Lombeida, Juan</t>
  </si>
  <si>
    <t>Cook, Nicholas</t>
  </si>
  <si>
    <t>Morris, Brannon</t>
  </si>
  <si>
    <t>Goorha, Salil</t>
  </si>
  <si>
    <t>Becton, David</t>
  </si>
  <si>
    <t>Gajjar, Amar</t>
  </si>
  <si>
    <t>Smith, Kirby</t>
  </si>
  <si>
    <t>Nguyen, Amber</t>
  </si>
  <si>
    <t>Ma, Brenda,</t>
  </si>
  <si>
    <t>Crary, Shelley</t>
  </si>
  <si>
    <t>Moscoso, Santiago</t>
  </si>
  <si>
    <t>Wiedower, Eric R.</t>
  </si>
  <si>
    <t>Bhatti, Sajjad</t>
  </si>
  <si>
    <t>Rubnitz, Jeffery</t>
  </si>
  <si>
    <t>Muir, Edward</t>
  </si>
  <si>
    <t>Parul, Rai</t>
  </si>
  <si>
    <t>Harrington, Mariann</t>
  </si>
  <si>
    <t>Durrani, Humdum</t>
  </si>
  <si>
    <t>Emanuel, Peter</t>
  </si>
  <si>
    <t>Harrington, Sarah</t>
  </si>
  <si>
    <t>Neufeld, Ellis</t>
  </si>
  <si>
    <t>Dallas, Mari</t>
  </si>
  <si>
    <t>Johnson, Robert</t>
  </si>
  <si>
    <t>Nisar, Abid</t>
  </si>
  <si>
    <t>Al Hadidi, Samer</t>
  </si>
  <si>
    <t>Ghandour, Omar</t>
  </si>
  <si>
    <t>Monte, Marc</t>
  </si>
  <si>
    <t>Olson, Craig</t>
  </si>
  <si>
    <t>Tiriveedhi, Lavanya</t>
  </si>
  <si>
    <t>Travis, Patrick</t>
  </si>
  <si>
    <t>Tsuda, Sue</t>
  </si>
  <si>
    <t>Hartford, Christine</t>
  </si>
  <si>
    <t>Federico, Sara</t>
  </si>
  <si>
    <t>Bielamowicz, Kevin</t>
  </si>
  <si>
    <t>Suliman, Ali</t>
  </si>
  <si>
    <t>Mitchell, Ross</t>
  </si>
  <si>
    <t>Mukherjee, Akash</t>
  </si>
  <si>
    <t>Mendelsohn, Lawrence</t>
  </si>
  <si>
    <t>Chandler, Jason</t>
  </si>
  <si>
    <t>Harley, Susan</t>
  </si>
  <si>
    <t>Zhang, Hui</t>
  </si>
  <si>
    <t>Mamatha,Gaddam</t>
  </si>
  <si>
    <t>Reed, Jarvis</t>
  </si>
  <si>
    <t>Joseph, Jacinth</t>
  </si>
  <si>
    <t>Weeks, Albert</t>
  </si>
  <si>
    <t>Engstrom, Gary</t>
  </si>
  <si>
    <t>Sunny, Singh</t>
  </si>
  <si>
    <t>Ananthula, Aneesha</t>
  </si>
  <si>
    <t>Webb, R Timothy</t>
  </si>
  <si>
    <t>Kasow, Kimberly</t>
  </si>
  <si>
    <t>Derek, Middleton</t>
  </si>
  <si>
    <t>Beck, Joseph</t>
  </si>
  <si>
    <t>Lobins, Raymond</t>
  </si>
  <si>
    <t>Park, Julie</t>
  </si>
  <si>
    <t>Rees, Matthew</t>
  </si>
  <si>
    <t>Yarlagadda, Naveen</t>
  </si>
  <si>
    <t>Moreira Ridsdale, Daniel</t>
  </si>
  <si>
    <t>Rajan, Sandeep</t>
  </si>
  <si>
    <t>Lattuada, Charles</t>
  </si>
  <si>
    <t>Vasireddy, Sailendra</t>
  </si>
  <si>
    <t>Karol, Seth</t>
  </si>
  <si>
    <t>Bhakta, Nickhill</t>
  </si>
  <si>
    <t>Graetz, Dylan</t>
  </si>
  <si>
    <t>Lewis, Ernest</t>
  </si>
  <si>
    <t>Bertrand, Kelsey</t>
  </si>
  <si>
    <t>Ribeiro, Raul</t>
  </si>
  <si>
    <t>Mirza, Muhammad</t>
  </si>
  <si>
    <t>Khalil, Omer</t>
  </si>
  <si>
    <t>Hayward, Malcolm</t>
  </si>
  <si>
    <t>Makhoul, Issam</t>
  </si>
  <si>
    <t>Johann, Donald</t>
  </si>
  <si>
    <t>Mack, Joana</t>
  </si>
  <si>
    <t>Ogu, Ugochi</t>
  </si>
  <si>
    <t>Woolridge, Jacob T</t>
  </si>
  <si>
    <t>Bharany, Neeraj</t>
  </si>
  <si>
    <t>Simmons, Sandra</t>
  </si>
  <si>
    <t>Keenan, Camille S</t>
  </si>
  <si>
    <t>Hamid, Muhammad</t>
  </si>
  <si>
    <t>Brautnick, Lynsay</t>
  </si>
  <si>
    <t>Harris, Leonard</t>
  </si>
  <si>
    <t>Mccormick, Skipper</t>
  </si>
  <si>
    <t>Patel, Vijay</t>
  </si>
  <si>
    <t>Khattak, Amna</t>
  </si>
  <si>
    <t>Satpute, Shailesh</t>
  </si>
  <si>
    <t>Obaji, Suhail</t>
  </si>
  <si>
    <t>Schulz, Thomas</t>
  </si>
  <si>
    <t>Hamill, Pj</t>
  </si>
  <si>
    <t>Hayes, David</t>
  </si>
  <si>
    <t>Raja, Grace</t>
  </si>
  <si>
    <t>Gartrell, Jessica</t>
  </si>
  <si>
    <t>Vasanna, Smitha, H</t>
  </si>
  <si>
    <t>Flick, Michael</t>
  </si>
  <si>
    <t>Zangari, Maurizio</t>
  </si>
  <si>
    <t>Morgan, Charles</t>
  </si>
  <si>
    <t>Patel, Sunil</t>
  </si>
  <si>
    <t>Patel, Kamal</t>
  </si>
  <si>
    <t>Viola, Shelton A</t>
  </si>
  <si>
    <t>Nair, Rajesh</t>
  </si>
  <si>
    <t>Dickson, Paxton</t>
  </si>
  <si>
    <t>Jauss, Kewen</t>
  </si>
  <si>
    <t>Fox, Michele</t>
  </si>
  <si>
    <t>Riney, Samuel</t>
  </si>
  <si>
    <t>Desikan, Kamarajapuram</t>
  </si>
  <si>
    <t>Wright, Archie</t>
  </si>
  <si>
    <t>Abdel Karim, Isam</t>
  </si>
  <si>
    <t>Armenise, Vanessa L.</t>
  </si>
  <si>
    <t>Pope, Christopher</t>
  </si>
  <si>
    <t>Cowfer, Brittany</t>
  </si>
  <si>
    <t>Citla Sridhar, Divyaswathi</t>
  </si>
  <si>
    <t>Kakadia, Sunilkumar</t>
  </si>
  <si>
    <t>Sasapu, Appalanaidu</t>
  </si>
  <si>
    <t>Nazish, Malik</t>
  </si>
  <si>
    <t>Malik, M Bilal</t>
  </si>
  <si>
    <t>Kane, Javier</t>
  </si>
  <si>
    <t>Battini, Ramakrishna</t>
  </si>
  <si>
    <t>Correa, Amit</t>
  </si>
  <si>
    <t>Browning, Jared</t>
  </si>
  <si>
    <t>Wang, Jack</t>
  </si>
  <si>
    <t>Sager, Kristen</t>
  </si>
  <si>
    <t>Masood, Asif</t>
  </si>
  <si>
    <t>Jillella, Anusha</t>
  </si>
  <si>
    <t>Kunthur, Anuradha</t>
  </si>
  <si>
    <t>Atiq, Omar</t>
  </si>
  <si>
    <t>Gravenor, Donald</t>
  </si>
  <si>
    <t>Lammers, Philip</t>
  </si>
  <si>
    <t>Woodard, Joseph</t>
  </si>
  <si>
    <t>Nasir, Syed</t>
  </si>
  <si>
    <t>Eichler, Edward</t>
  </si>
  <si>
    <t>Bhatt, Nidhi</t>
  </si>
  <si>
    <t>Triplett, Brandon</t>
  </si>
  <si>
    <t>Leonard, Alexis</t>
  </si>
  <si>
    <t>Nichols, Kim</t>
  </si>
  <si>
    <t>Grothey, Axel</t>
  </si>
  <si>
    <t>Reiss, Ulrike</t>
  </si>
  <si>
    <t>Samman, Zaki</t>
  </si>
  <si>
    <t>Saylors, Robert</t>
  </si>
  <si>
    <t>Miles, Daniel, T</t>
  </si>
  <si>
    <t>Hudson, Melissa</t>
  </si>
  <si>
    <t>Derenzo, Christopher C</t>
  </si>
  <si>
    <t>Cleveland, Amy</t>
  </si>
  <si>
    <t>Annum,Faisal</t>
  </si>
  <si>
    <t>Davis, Matthew J</t>
  </si>
  <si>
    <t>Mcgregor, Lisa</t>
  </si>
  <si>
    <t>Gentry, Rhonda</t>
  </si>
  <si>
    <t>Dome, Jeffrey</t>
  </si>
  <si>
    <t>Madden, Renee</t>
  </si>
  <si>
    <t>Dilawari, Asma</t>
  </si>
  <si>
    <t>Dolle, Aaron</t>
  </si>
  <si>
    <t>Rodriguez Galindo, Carolos</t>
  </si>
  <si>
    <t>Elhayek, Maroun</t>
  </si>
  <si>
    <t>Azmi, Syed</t>
  </si>
  <si>
    <t>Chen, Lingyi</t>
  </si>
  <si>
    <t>Bagchi, Arindam</t>
  </si>
  <si>
    <t>Reddy, Aswanth</t>
  </si>
  <si>
    <t>Taylor, Daphanie</t>
  </si>
  <si>
    <t>Hashmi, Saman</t>
  </si>
  <si>
    <t>Soriano, Paolo</t>
  </si>
  <si>
    <t>Schinke, Caroline</t>
  </si>
  <si>
    <t>Mccain, Savanna</t>
  </si>
  <si>
    <t>Ogbeide, Osarenren</t>
  </si>
  <si>
    <t>Safdar, Shabbir</t>
  </si>
  <si>
    <t>Dadi, Neelakanta</t>
  </si>
  <si>
    <t>Landingham, Fred H</t>
  </si>
  <si>
    <t>Krasin, Matthew</t>
  </si>
  <si>
    <t>Vanrhee, Frits</t>
  </si>
  <si>
    <t>Wellikof, Saradasri K</t>
  </si>
  <si>
    <t>Walsh, William</t>
  </si>
  <si>
    <t>Almohammed, Salah</t>
  </si>
  <si>
    <t>Ballo, Matthew</t>
  </si>
  <si>
    <t>Hiba Z Ahmed</t>
  </si>
  <si>
    <t>Russo, Suzanne</t>
  </si>
  <si>
    <t>Allen, Gary</t>
  </si>
  <si>
    <t>Tomblyn, Michael</t>
  </si>
  <si>
    <t>Madden, Nicholas</t>
  </si>
  <si>
    <t>Patel, Bhavin</t>
  </si>
  <si>
    <t>Thomson, Matthew</t>
  </si>
  <si>
    <t>Stephen, Ko</t>
  </si>
  <si>
    <t>Agrawal, Vijaykumar</t>
  </si>
  <si>
    <t>Lucien, Nedzi</t>
  </si>
  <si>
    <t>May, Michael</t>
  </si>
  <si>
    <t>Akdol, Mehmet</t>
  </si>
  <si>
    <t>Campbell, Graham, T</t>
  </si>
  <si>
    <t>Lindley, Peter</t>
  </si>
  <si>
    <t>Crownover, Richard</t>
  </si>
  <si>
    <t>Wong, Gordon</t>
  </si>
  <si>
    <t>Heister, David</t>
  </si>
  <si>
    <t>Wesley, Garner</t>
  </si>
  <si>
    <t>Vanderwalde, Noam</t>
  </si>
  <si>
    <t>Mccarley, James</t>
  </si>
  <si>
    <t>Chary, Aron</t>
  </si>
  <si>
    <t>Gao, Xiang</t>
  </si>
  <si>
    <t>Kaufman, Joan, A</t>
  </si>
  <si>
    <t>Li, Ruizong</t>
  </si>
  <si>
    <t>Wolfe, Adam</t>
  </si>
  <si>
    <t>Tibbs, Martha</t>
  </si>
  <si>
    <t>Abdalla, Ibrahim</t>
  </si>
  <si>
    <t>Wright, Lonnie</t>
  </si>
  <si>
    <t>Peeler, David W.</t>
  </si>
  <si>
    <t>Kamran, Mudassar</t>
  </si>
  <si>
    <t>Morris, Stephen D.</t>
  </si>
  <si>
    <t>Merchant, Thomas</t>
  </si>
  <si>
    <t>Gast, Kristie</t>
  </si>
  <si>
    <t>Salil, Joshi</t>
  </si>
  <si>
    <t>Farmer, Michael</t>
  </si>
  <si>
    <t>Hodgkiss, Thomas</t>
  </si>
  <si>
    <t>Storey, Mark</t>
  </si>
  <si>
    <t>Mausam, Patel</t>
  </si>
  <si>
    <t>Hughes, Samuel</t>
  </si>
  <si>
    <t>Santanu, Samanta</t>
  </si>
  <si>
    <t>Lynch, John</t>
  </si>
  <si>
    <t>Penagaricano, Jose</t>
  </si>
  <si>
    <t>Matthews, Charles</t>
  </si>
  <si>
    <t>Dickerson, Gregg</t>
  </si>
  <si>
    <t>Norwood, Donald</t>
  </si>
  <si>
    <t>Green, Daniel</t>
  </si>
  <si>
    <t>Robbins, Kenneth</t>
  </si>
  <si>
    <t>Bieneman, Bruce</t>
  </si>
  <si>
    <t>Ruvo, Veronica</t>
  </si>
  <si>
    <t>Pruitt, David</t>
  </si>
  <si>
    <t>Mcguckin, James</t>
  </si>
  <si>
    <t>Morris, Jason</t>
  </si>
  <si>
    <t>Hays, David</t>
  </si>
  <si>
    <t>Lal, A</t>
  </si>
  <si>
    <t>Peacock, Loverd</t>
  </si>
  <si>
    <t>Dragosljvich, Mittie</t>
  </si>
  <si>
    <t>Balfour, Eric</t>
  </si>
  <si>
    <t>Quraishi, Mohammed</t>
  </si>
  <si>
    <t>James, Charles</t>
  </si>
  <si>
    <t>Chan, Roscoe</t>
  </si>
  <si>
    <t>Cohen, David</t>
  </si>
  <si>
    <t>Heberlein, Wolf</t>
  </si>
  <si>
    <t>Ross, Christopher</t>
  </si>
  <si>
    <t>Tran, Hai</t>
  </si>
  <si>
    <t>Burroughs, Dale R</t>
  </si>
  <si>
    <t>Daniel, Lance</t>
  </si>
  <si>
    <t>Cox, Leigh</t>
  </si>
  <si>
    <t>Brown, Rebecca,</t>
  </si>
  <si>
    <t>Lane, Lydia</t>
  </si>
  <si>
    <t>Holt, Graham</t>
  </si>
  <si>
    <t>Cook, Lewis</t>
  </si>
  <si>
    <t>Fagan, Anna</t>
  </si>
  <si>
    <t>Collins, Warren</t>
  </si>
  <si>
    <t>Rozas, David</t>
  </si>
  <si>
    <t>Carter, Chantal</t>
  </si>
  <si>
    <t>King, Rebecca</t>
  </si>
  <si>
    <t>Hoffmann, James</t>
  </si>
  <si>
    <t>Seagrave, Zachary D</t>
  </si>
  <si>
    <t>Stanley, Stephanie</t>
  </si>
  <si>
    <t>Schwab, Airiell</t>
  </si>
  <si>
    <t>Gates, Jason</t>
  </si>
  <si>
    <t>Hart, James</t>
  </si>
  <si>
    <t>Zimmer, Joseph, L</t>
  </si>
  <si>
    <t>Jarrett, Kenenth</t>
  </si>
  <si>
    <t>Criswell, Lauren</t>
  </si>
  <si>
    <t>Geren, Blake</t>
  </si>
  <si>
    <t>Meyer, Jo</t>
  </si>
  <si>
    <t>Criger, Grant</t>
  </si>
  <si>
    <t>Vega, Francisco</t>
  </si>
  <si>
    <t>Franks, Justin</t>
  </si>
  <si>
    <t>Hendricks, Emma</t>
  </si>
  <si>
    <t>Claycomb, Scott Calvin</t>
  </si>
  <si>
    <t>Derrickson, Jessica</t>
  </si>
  <si>
    <t>Morris, Christopher</t>
  </si>
  <si>
    <t>Canfield, Lori</t>
  </si>
  <si>
    <t>Ellis, Jerry</t>
  </si>
  <si>
    <t>Cooke, Marcus</t>
  </si>
  <si>
    <t>Westfall, Patricia</t>
  </si>
  <si>
    <t>Priester, William</t>
  </si>
  <si>
    <t>Futrell, William</t>
  </si>
  <si>
    <t>Kerr, Natalie</t>
  </si>
  <si>
    <t>Fowler, Brian</t>
  </si>
  <si>
    <t>Verma, Monica</t>
  </si>
  <si>
    <t>Jennifer, Button</t>
  </si>
  <si>
    <t>Mellinda, Stewart</t>
  </si>
  <si>
    <t>Shalynn, Mills</t>
  </si>
  <si>
    <t>Schwarz, David</t>
  </si>
  <si>
    <t>Young, Jerry</t>
  </si>
  <si>
    <t>Tom, Kornhauser</t>
  </si>
  <si>
    <t>Ennen, Randy</t>
  </si>
  <si>
    <t>Smith, Robert</t>
  </si>
  <si>
    <t>Pflugrath, Adam</t>
  </si>
  <si>
    <t>Lynch, Benjamin</t>
  </si>
  <si>
    <t>White, Kelsey</t>
  </si>
  <si>
    <t>Kier, Priscilla</t>
  </si>
  <si>
    <t>Savannah, Huckaby</t>
  </si>
  <si>
    <t>Mitchell, Clayton</t>
  </si>
  <si>
    <t>Button, Frank</t>
  </si>
  <si>
    <t>Hester, Christian</t>
  </si>
  <si>
    <t>Graves, Emily</t>
  </si>
  <si>
    <t>Grant, Rachel L.</t>
  </si>
  <si>
    <t>Jones, Raymond</t>
  </si>
  <si>
    <t>Covey, Sarah</t>
  </si>
  <si>
    <t>Brogdon, Shelby Rae</t>
  </si>
  <si>
    <t>Mccall, John</t>
  </si>
  <si>
    <t>Zierlein, Steele</t>
  </si>
  <si>
    <t>Kiernan, Claire</t>
  </si>
  <si>
    <t>Katherine, Ramey Pitts</t>
  </si>
  <si>
    <t>Rowland, Lauren</t>
  </si>
  <si>
    <t>Caitlyn, Declue</t>
  </si>
  <si>
    <t>Devitt, Kymberly</t>
  </si>
  <si>
    <t>Bell, Darren</t>
  </si>
  <si>
    <t>Brady, James</t>
  </si>
  <si>
    <t>Baltz, Danny</t>
  </si>
  <si>
    <t>Harral, Russell</t>
  </si>
  <si>
    <t>Betts, Chad</t>
  </si>
  <si>
    <t>Baltz, Katherine</t>
  </si>
  <si>
    <t>Netzel, Jeffrey</t>
  </si>
  <si>
    <t>Bohn, Shiva</t>
  </si>
  <si>
    <t>Pratt, Cedric</t>
  </si>
  <si>
    <t>Meyer, Larry</t>
  </si>
  <si>
    <t>Humphreys, James</t>
  </si>
  <si>
    <t>Carnie, Cynthia</t>
  </si>
  <si>
    <t>Newbolt, Evan</t>
  </si>
  <si>
    <t>Robert,Vestal</t>
  </si>
  <si>
    <t>Bailey, Lee Holly</t>
  </si>
  <si>
    <t>Guice, William Brian</t>
  </si>
  <si>
    <t>Selman, Franklin</t>
  </si>
  <si>
    <t>Scott Nutt, Alyssa</t>
  </si>
  <si>
    <t>Myers, Martha</t>
  </si>
  <si>
    <t>Wooten, Laura</t>
  </si>
  <si>
    <t>Kilgore, David, A</t>
  </si>
  <si>
    <t>Craine, Brandon</t>
  </si>
  <si>
    <t>Duong, Sarah, E</t>
  </si>
  <si>
    <t>Puryear Jr., George</t>
  </si>
  <si>
    <t>Waggoner, Michael</t>
  </si>
  <si>
    <t>Morshedi, Richard</t>
  </si>
  <si>
    <t>Bunch, Ryan</t>
  </si>
  <si>
    <t>Sanvicente, Carina</t>
  </si>
  <si>
    <t>Stuckey, John</t>
  </si>
  <si>
    <t>Magie, Stephen</t>
  </si>
  <si>
    <t>Beaver, Kenneth</t>
  </si>
  <si>
    <t>Brewer, Icem</t>
  </si>
  <si>
    <t>Van, Thien</t>
  </si>
  <si>
    <t>Brunk, Kimberley</t>
  </si>
  <si>
    <t>Bell, Alex</t>
  </si>
  <si>
    <t>Anderson Connell, Jennifer</t>
  </si>
  <si>
    <t>Pearson, Harold</t>
  </si>
  <si>
    <t>Shakarchi, Ahmed, F</t>
  </si>
  <si>
    <t>Wood, Clint</t>
  </si>
  <si>
    <t>Ellison, Eugene</t>
  </si>
  <si>
    <t>Sanislo, Steven</t>
  </si>
  <si>
    <t>Vinson, Kyle, B</t>
  </si>
  <si>
    <t>Aytan,Musayeva</t>
  </si>
  <si>
    <t>Medlock, Rickey</t>
  </si>
  <si>
    <t>Gillespie, John</t>
  </si>
  <si>
    <t>Bone, Logan</t>
  </si>
  <si>
    <t>Warner, David</t>
  </si>
  <si>
    <t>Grammer Morris, Tamara</t>
  </si>
  <si>
    <t>Layton, Eric</t>
  </si>
  <si>
    <t>Clem, R</t>
  </si>
  <si>
    <t>Gandy, Jessica</t>
  </si>
  <si>
    <t>Bartels, Heather</t>
  </si>
  <si>
    <t>Moshfeghi, Darius</t>
  </si>
  <si>
    <t>Jaros, James</t>
  </si>
  <si>
    <t>Behrens, Alice</t>
  </si>
  <si>
    <t>Solyman, Omar, M</t>
  </si>
  <si>
    <t>Naylor, Arthur</t>
  </si>
  <si>
    <t>Pang, Victor</t>
  </si>
  <si>
    <t>Webb, Garrett</t>
  </si>
  <si>
    <t>Lusk, Jeffrey</t>
  </si>
  <si>
    <t>Hickman, Andrew</t>
  </si>
  <si>
    <t>Bailey, Finis</t>
  </si>
  <si>
    <t>Conley, Ryan</t>
  </si>
  <si>
    <t>Nix, Thomas</t>
  </si>
  <si>
    <t>Tate, Angela</t>
  </si>
  <si>
    <t>Heymann, Hans</t>
  </si>
  <si>
    <t>Hargrove, Roderick</t>
  </si>
  <si>
    <t>Neu, Kenneth</t>
  </si>
  <si>
    <t>Webb Stevenson, Annette</t>
  </si>
  <si>
    <t>Holtorf, Hannah</t>
  </si>
  <si>
    <t>Cunningham, Darrin</t>
  </si>
  <si>
    <t>Mabrey, William</t>
  </si>
  <si>
    <t>Graham, Kelly L</t>
  </si>
  <si>
    <t>Vaughn, Wanda</t>
  </si>
  <si>
    <t>Wetheimer, Michael</t>
  </si>
  <si>
    <t>Smalling, Robert</t>
  </si>
  <si>
    <t>Toller, Kevin</t>
  </si>
  <si>
    <t>Greer, Christopher</t>
  </si>
  <si>
    <t>Hall, William</t>
  </si>
  <si>
    <t>Hook, Todd</t>
  </si>
  <si>
    <t>Jennifer, Dillard</t>
  </si>
  <si>
    <t>Smith, Hunter</t>
  </si>
  <si>
    <t>Knox, Robert</t>
  </si>
  <si>
    <t>Childers Jr, John</t>
  </si>
  <si>
    <t>Simmons, Jonathan</t>
  </si>
  <si>
    <t>Braley, Richard E</t>
  </si>
  <si>
    <t>Scott, Keith</t>
  </si>
  <si>
    <t>Murphy, David</t>
  </si>
  <si>
    <t>Polston, Amanda</t>
  </si>
  <si>
    <t>Galdamez, Juan</t>
  </si>
  <si>
    <t>Seelinger, Mason</t>
  </si>
  <si>
    <t>Arnold, Valerie</t>
  </si>
  <si>
    <t>Hoehn, Mary</t>
  </si>
  <si>
    <t>Fleming, James</t>
  </si>
  <si>
    <t>Bradford, James D</t>
  </si>
  <si>
    <t>Kanner, Elliott</t>
  </si>
  <si>
    <t>Doan, Kennan</t>
  </si>
  <si>
    <t>Burks, John</t>
  </si>
  <si>
    <t>Morgan, Rachel Ann</t>
  </si>
  <si>
    <t>Chacko, Joseph</t>
  </si>
  <si>
    <t>Heien, Kristin</t>
  </si>
  <si>
    <t>Tolbert, Amy</t>
  </si>
  <si>
    <t>Pouly, Severin</t>
  </si>
  <si>
    <t>Taylor, Bradley</t>
  </si>
  <si>
    <t>Deer, Philip</t>
  </si>
  <si>
    <t>Walters, George</t>
  </si>
  <si>
    <t>Fahoum, Yousef</t>
  </si>
  <si>
    <t>Ladd, James</t>
  </si>
  <si>
    <t>Varela, Charles</t>
  </si>
  <si>
    <t>Casciano, Jonathan</t>
  </si>
  <si>
    <t>Fletcher, Charles</t>
  </si>
  <si>
    <t>Hidaji, Fred</t>
  </si>
  <si>
    <t>Grigorian, Florin</t>
  </si>
  <si>
    <t>Wylie, Paul</t>
  </si>
  <si>
    <t>Mcminn, Justin</t>
  </si>
  <si>
    <t>Calzada, Jorge</t>
  </si>
  <si>
    <t>Thomas, Jacob</t>
  </si>
  <si>
    <t>Brodie, Darren</t>
  </si>
  <si>
    <t>Dacus, Robert</t>
  </si>
  <si>
    <t>Lyon, Charles</t>
  </si>
  <si>
    <t>Crum, Amanda</t>
  </si>
  <si>
    <t>Braden J Wilson</t>
  </si>
  <si>
    <t>Dunn, Van</t>
  </si>
  <si>
    <t>Shy, Angela</t>
  </si>
  <si>
    <t>Coats, Christen</t>
  </si>
  <si>
    <t>Wood, William</t>
  </si>
  <si>
    <t>Ayers Wright, Sabre</t>
  </si>
  <si>
    <t>Linder, James</t>
  </si>
  <si>
    <t>Cannon, Thomas</t>
  </si>
  <si>
    <t>Napier, Sharon</t>
  </si>
  <si>
    <t>Brown, Michael F</t>
  </si>
  <si>
    <t>Furr, Philip</t>
  </si>
  <si>
    <t>Brown, Calvin</t>
  </si>
  <si>
    <t>Teed, Frank</t>
  </si>
  <si>
    <t>Burks, Ronald</t>
  </si>
  <si>
    <t>Petty, R</t>
  </si>
  <si>
    <t>Reid, Nelson</t>
  </si>
  <si>
    <t>Landis, Daniel</t>
  </si>
  <si>
    <t>Provence-Perry, Megan</t>
  </si>
  <si>
    <t>Nathan, Declue</t>
  </si>
  <si>
    <t>Wallace, Kenneth K</t>
  </si>
  <si>
    <t>Henry, Paul</t>
  </si>
  <si>
    <t>Vranich, Christina</t>
  </si>
  <si>
    <t>Hester, Joe</t>
  </si>
  <si>
    <t>Mccall, Larry</t>
  </si>
  <si>
    <t>Bloch- Livengood, Kelsey</t>
  </si>
  <si>
    <t>Alexandra, Turner</t>
  </si>
  <si>
    <t>Erwin, Samuel</t>
  </si>
  <si>
    <t>Joey A Nugent</t>
  </si>
  <si>
    <t>Scaife, R</t>
  </si>
  <si>
    <t>Adams, Autumn</t>
  </si>
  <si>
    <t>Dye, Robyn</t>
  </si>
  <si>
    <t>Sachse, Nich</t>
  </si>
  <si>
    <t>Bost, Dan</t>
  </si>
  <si>
    <t>Patterson, William</t>
  </si>
  <si>
    <t>Bell, Bill</t>
  </si>
  <si>
    <t>Henry, Richard</t>
  </si>
  <si>
    <t>Summers, Sean</t>
  </si>
  <si>
    <t>Uwaydat, Sami</t>
  </si>
  <si>
    <t>Wynn, Henry</t>
  </si>
  <si>
    <t>Johnson, Scott E</t>
  </si>
  <si>
    <t>Delaney, Latasha</t>
  </si>
  <si>
    <t>Epperson, Eddie</t>
  </si>
  <si>
    <t>Austin, Laura</t>
  </si>
  <si>
    <t>Chung, Anh</t>
  </si>
  <si>
    <t>Passons, Gary</t>
  </si>
  <si>
    <t>Norton, Timothy</t>
  </si>
  <si>
    <t>Patel, Rutvi</t>
  </si>
  <si>
    <t>Bryant, Glenn</t>
  </si>
  <si>
    <t>Ott, Mandi</t>
  </si>
  <si>
    <t>Wilkes, Byron</t>
  </si>
  <si>
    <t>Cody, Pigott</t>
  </si>
  <si>
    <t>Curtis, Zachry</t>
  </si>
  <si>
    <t>Brown, Curtis</t>
  </si>
  <si>
    <t>Shepherd, Jennifer</t>
  </si>
  <si>
    <t>Lowery, Ronald</t>
  </si>
  <si>
    <t>Armstrong, Bryan</t>
  </si>
  <si>
    <t>Heim, John</t>
  </si>
  <si>
    <t>Foster, Jennifer</t>
  </si>
  <si>
    <t>Weatherford, Carla</t>
  </si>
  <si>
    <t>Vanderbush, John R</t>
  </si>
  <si>
    <t>Ball, Jordan, E</t>
  </si>
  <si>
    <t>Smith, Constance</t>
  </si>
  <si>
    <t>Price, Mary</t>
  </si>
  <si>
    <t>Elsea, Lorie</t>
  </si>
  <si>
    <t>Akel, Abraham</t>
  </si>
  <si>
    <t>Dellimore, Monica</t>
  </si>
  <si>
    <t>Gentry, Carylene</t>
  </si>
  <si>
    <t>Wiggins, Joshua</t>
  </si>
  <si>
    <t>Coats, Jeffrey</t>
  </si>
  <si>
    <t>Jarrard, Blake</t>
  </si>
  <si>
    <t>Houser, Brooke</t>
  </si>
  <si>
    <t>Cooke, Sam</t>
  </si>
  <si>
    <t>Bright, Tiffany</t>
  </si>
  <si>
    <t>Sanders, Riley</t>
  </si>
  <si>
    <t>Nanda, Nandita</t>
  </si>
  <si>
    <t>Nelson, Lauren</t>
  </si>
  <si>
    <t>Briley, Hearn</t>
  </si>
  <si>
    <t>Harris, Kenneth</t>
  </si>
  <si>
    <t>Camp, David</t>
  </si>
  <si>
    <t>Law, Kristin</t>
  </si>
  <si>
    <t>Shirey, Megan</t>
  </si>
  <si>
    <t>Andrew, Osborn</t>
  </si>
  <si>
    <t>Khushbu, Patel</t>
  </si>
  <si>
    <t>Phillips, Paul</t>
  </si>
  <si>
    <t>Mcfarland, Michael</t>
  </si>
  <si>
    <t>Ramer, Gregory</t>
  </si>
  <si>
    <t>Vale, Stephanie</t>
  </si>
  <si>
    <t>Jonathan, Glaze</t>
  </si>
  <si>
    <t>Price, Claire</t>
  </si>
  <si>
    <t>Meredith, Winn</t>
  </si>
  <si>
    <t>Little, Joshua</t>
  </si>
  <si>
    <t>Wooten, William</t>
  </si>
  <si>
    <t>Ware, Gerald</t>
  </si>
  <si>
    <t>Brewer, Ashlea</t>
  </si>
  <si>
    <t>Foster, Thomas</t>
  </si>
  <si>
    <t>Powell, Michael</t>
  </si>
  <si>
    <t>Ramos, Oscar</t>
  </si>
  <si>
    <t>Kirzhner, Maria</t>
  </si>
  <si>
    <t>Casey, Vanessa</t>
  </si>
  <si>
    <t>Dang, Cindy</t>
  </si>
  <si>
    <t>Doyle, Jennifer</t>
  </si>
  <si>
    <t>Donald, Gauldin</t>
  </si>
  <si>
    <t>King, Benjamin</t>
  </si>
  <si>
    <t>Netzel, Jordan</t>
  </si>
  <si>
    <t>Morden, Justin</t>
  </si>
  <si>
    <t>Adelpour, Mohsen,</t>
  </si>
  <si>
    <t>Ross, Jonathan</t>
  </si>
  <si>
    <t>Brown, Craig</t>
  </si>
  <si>
    <t>Baltz, Tracy</t>
  </si>
  <si>
    <t>Charton, Justin</t>
  </si>
  <si>
    <t>Brown, Kathryn</t>
  </si>
  <si>
    <t>Saragusa, Sarah</t>
  </si>
  <si>
    <t>Mills, John</t>
  </si>
  <si>
    <t>Freeman, James</t>
  </si>
  <si>
    <t>Christian, Kristin</t>
  </si>
  <si>
    <t>Linn, John</t>
  </si>
  <si>
    <t>Perin, Andrew</t>
  </si>
  <si>
    <t>Lenci, Lucas</t>
  </si>
  <si>
    <t>Brittney, Nguyen</t>
  </si>
  <si>
    <t>Scruggs, Jennifer</t>
  </si>
  <si>
    <t>Harris, Barry</t>
  </si>
  <si>
    <t>Jackson, Phillip</t>
  </si>
  <si>
    <t>Gurley, Richard</t>
  </si>
  <si>
    <t>David,Nasrazadani</t>
  </si>
  <si>
    <t>Baureis, Megan</t>
  </si>
  <si>
    <t>Thiessen, Craig R.</t>
  </si>
  <si>
    <t>Ashley B Mcgee</t>
  </si>
  <si>
    <t>Renner, Matthew</t>
  </si>
  <si>
    <t>Moseley, Thomas</t>
  </si>
  <si>
    <t>Ren, David</t>
  </si>
  <si>
    <t>Deacon, Brita</t>
  </si>
  <si>
    <t>Beavers, Justin</t>
  </si>
  <si>
    <t>Lawrence, Anna E</t>
  </si>
  <si>
    <t>Hunt, Kamron</t>
  </si>
  <si>
    <t>Brown, Barrett</t>
  </si>
  <si>
    <t>Van Horn, Hannah</t>
  </si>
  <si>
    <t>Young, Mason</t>
  </si>
  <si>
    <t>Barnes, Richard</t>
  </si>
  <si>
    <t>Pandyalipman, Rashmi</t>
  </si>
  <si>
    <t>Crothers, Andrew</t>
  </si>
  <si>
    <t>Hall, Celina Cecile</t>
  </si>
  <si>
    <t>Toyos, Rolando</t>
  </si>
  <si>
    <t>Zoghby, Jonathan</t>
  </si>
  <si>
    <t>Nguyen, Paul</t>
  </si>
  <si>
    <t>Manning, David</t>
  </si>
  <si>
    <t>Margolis, Matthew</t>
  </si>
  <si>
    <t>Billingsley, John</t>
  </si>
  <si>
    <t>Kiihnl O.D., Michael</t>
  </si>
  <si>
    <t>Clifton, Ernest</t>
  </si>
  <si>
    <t>Eskander, Magy</t>
  </si>
  <si>
    <t>Gordon, Lawrence</t>
  </si>
  <si>
    <t>Turner, Clifford</t>
  </si>
  <si>
    <t>Huddleston, Stephen</t>
  </si>
  <si>
    <t>Spikes, Kaitlin</t>
  </si>
  <si>
    <t>Gramling Van Scoy, Sara</t>
  </si>
  <si>
    <t>Rice, Kevin</t>
  </si>
  <si>
    <t>Woodward, C</t>
  </si>
  <si>
    <t>Pierce, Derrick</t>
  </si>
  <si>
    <t>Koder, Adrienne</t>
  </si>
  <si>
    <t>Head, Bryan</t>
  </si>
  <si>
    <t>Mihalko, William</t>
  </si>
  <si>
    <t>Reynolds, Kirk</t>
  </si>
  <si>
    <t>Weller, William</t>
  </si>
  <si>
    <t>Jobe, Natalie</t>
  </si>
  <si>
    <t>Giel, Thomas</t>
  </si>
  <si>
    <t>Allen, J</t>
  </si>
  <si>
    <t>Morell, Sean</t>
  </si>
  <si>
    <t>Hubbard, Michael</t>
  </si>
  <si>
    <t>Murrell, Sam</t>
  </si>
  <si>
    <t>Coldiron, Jennifer</t>
  </si>
  <si>
    <t>Brolin, Tyler</t>
  </si>
  <si>
    <t>Alhammoud, Abduljabbar</t>
  </si>
  <si>
    <t>Nazaire, Yves-Mary</t>
  </si>
  <si>
    <t>Brooks, Patrick,</t>
  </si>
  <si>
    <t>Lipke, Jay</t>
  </si>
  <si>
    <t>Smith, Steven</t>
  </si>
  <si>
    <t>Adam W Norwood</t>
  </si>
  <si>
    <t>Cole, Austin, A</t>
  </si>
  <si>
    <t>Yen, Tzu, C</t>
  </si>
  <si>
    <t>Luale, Alice</t>
  </si>
  <si>
    <t>Garlow, Timothy</t>
  </si>
  <si>
    <t>Hicks, David</t>
  </si>
  <si>
    <t>Henning, Peter R</t>
  </si>
  <si>
    <t>Bean, James</t>
  </si>
  <si>
    <t>Dougherty, Christopher</t>
  </si>
  <si>
    <t>Pickering, Robert</t>
  </si>
  <si>
    <t>Guinn, Spencer</t>
  </si>
  <si>
    <t>Birk, Gordon</t>
  </si>
  <si>
    <t>Abdussalaam, Sharif</t>
  </si>
  <si>
    <t>Florack, Michael</t>
  </si>
  <si>
    <t>Kleinhenz, Robert</t>
  </si>
  <si>
    <t>Cole, Robert</t>
  </si>
  <si>
    <t>Yakin, David</t>
  </si>
  <si>
    <t>Sawyer, Jeffrey</t>
  </si>
  <si>
    <t>Wyrick, Theresa</t>
  </si>
  <si>
    <t>Campion, Chad</t>
  </si>
  <si>
    <t>Kessler, Adam</t>
  </si>
  <si>
    <t>Weiss, Carl</t>
  </si>
  <si>
    <t>Dotson, Wayne</t>
  </si>
  <si>
    <t>Godleski, Peter</t>
  </si>
  <si>
    <t>Ferguson, Christopher</t>
  </si>
  <si>
    <t>Walden, Justin</t>
  </si>
  <si>
    <t>Dickson, Brian</t>
  </si>
  <si>
    <t>Manugian, Arsen</t>
  </si>
  <si>
    <t>Ball, John</t>
  </si>
  <si>
    <t>Wilson, Mark</t>
  </si>
  <si>
    <t>Omalley, Lawrence</t>
  </si>
  <si>
    <t>Hagan, Kenton</t>
  </si>
  <si>
    <t>Mcintosh, Joshua</t>
  </si>
  <si>
    <t>Siems, Martin</t>
  </si>
  <si>
    <t>Akins, John</t>
  </si>
  <si>
    <t>Bernholt, David</t>
  </si>
  <si>
    <t>Watkins, Andrew,</t>
  </si>
  <si>
    <t>Haeden, Waymack</t>
  </si>
  <si>
    <t>Onnen, Jeremy</t>
  </si>
  <si>
    <t>Miller, Robert</t>
  </si>
  <si>
    <t>Blasier, Robert</t>
  </si>
  <si>
    <t>Rudloff, Matthew</t>
  </si>
  <si>
    <t>Bumpass, David</t>
  </si>
  <si>
    <t>Gregory, John</t>
  </si>
  <si>
    <t>Weinlein, John</t>
  </si>
  <si>
    <t>Catherine,Rapp</t>
  </si>
  <si>
    <t>Lents Constance E</t>
  </si>
  <si>
    <t>Sirmon, Kristopher</t>
  </si>
  <si>
    <t>Jones, Riley</t>
  </si>
  <si>
    <t>Mascioli, Anthony</t>
  </si>
  <si>
    <t>Bailey, Mark</t>
  </si>
  <si>
    <t>Tabor , Owen</t>
  </si>
  <si>
    <t>Hwang, Rock,</t>
  </si>
  <si>
    <t>Bolyard, Keith</t>
  </si>
  <si>
    <t>Wiener, Hillel</t>
  </si>
  <si>
    <t>Kroeze, Kimberly</t>
  </si>
  <si>
    <t>Mcclatchy, Samuel</t>
  </si>
  <si>
    <t>Griffey, Michael</t>
  </si>
  <si>
    <t>Israel, Michael</t>
  </si>
  <si>
    <t>Kasa B Cooper</t>
  </si>
  <si>
    <t>Schatz, Marc,</t>
  </si>
  <si>
    <t>Phillips, Earl</t>
  </si>
  <si>
    <t>Cannon, Douglas</t>
  </si>
  <si>
    <t>Bettin, Clayton C.</t>
  </si>
  <si>
    <t>Rhodes, David</t>
  </si>
  <si>
    <t>Smolarz, Gregory</t>
  </si>
  <si>
    <t>Daniels, Charles</t>
  </si>
  <si>
    <t>Cordell, Cari</t>
  </si>
  <si>
    <t>Sherman, Henry</t>
  </si>
  <si>
    <t>Crockarell, John</t>
  </si>
  <si>
    <t>Rider, Carson</t>
  </si>
  <si>
    <t>Landrum, Matthew</t>
  </si>
  <si>
    <t>Inclan, Paul, M</t>
  </si>
  <si>
    <t>Hefley, William</t>
  </si>
  <si>
    <t>St, Clair, Devin</t>
  </si>
  <si>
    <t>Hester, William</t>
  </si>
  <si>
    <t>Jones, Louis</t>
  </si>
  <si>
    <t>Gober, Gregg</t>
  </si>
  <si>
    <t>Heim, Eric</t>
  </si>
  <si>
    <t>Boddu, Chandrakanth,</t>
  </si>
  <si>
    <t>Welter, Jessica</t>
  </si>
  <si>
    <t>Cherney, Steven</t>
  </si>
  <si>
    <t>Beebe, Michael J.</t>
  </si>
  <si>
    <t>Musgrove, Jessica</t>
  </si>
  <si>
    <t>Cleveland, Kevin</t>
  </si>
  <si>
    <t>Roberts, Thomas</t>
  </si>
  <si>
    <t>Patterson, Jared</t>
  </si>
  <si>
    <t>Boe, Eric</t>
  </si>
  <si>
    <t>Pearce, Charles</t>
  </si>
  <si>
    <t>Vinson, Christopher</t>
  </si>
  <si>
    <t>Bulloch, Robert</t>
  </si>
  <si>
    <t>Massanelli, Gregg</t>
  </si>
  <si>
    <t>Schoenleber, Scott</t>
  </si>
  <si>
    <t>Schroeder, Paul,</t>
  </si>
  <si>
    <t>Wonais, Matt,</t>
  </si>
  <si>
    <t>Young, Christopher</t>
  </si>
  <si>
    <t>Dowling, David</t>
  </si>
  <si>
    <t>Murry, William</t>
  </si>
  <si>
    <t>Lindy, Peter</t>
  </si>
  <si>
    <t>Bryan, James</t>
  </si>
  <si>
    <t>Piatkowski, Kurt</t>
  </si>
  <si>
    <t>Newbern, David</t>
  </si>
  <si>
    <t>Tobey, Jonathan</t>
  </si>
  <si>
    <t>Stewart, Jason</t>
  </si>
  <si>
    <t>Mihalko, Marc</t>
  </si>
  <si>
    <t>Hobgood, Edward</t>
  </si>
  <si>
    <t>Phillips, Barry</t>
  </si>
  <si>
    <t>Johnson, Trent</t>
  </si>
  <si>
    <t>Hereford, Timothy,</t>
  </si>
  <si>
    <t>Phillips, Joel</t>
  </si>
  <si>
    <t>Jolly, Susan</t>
  </si>
  <si>
    <t>Young, Thomas</t>
  </si>
  <si>
    <t>Greer, Erin</t>
  </si>
  <si>
    <t>Souder, Nicholas</t>
  </si>
  <si>
    <t>Abeler, Jesse</t>
  </si>
  <si>
    <t>Montgomery, Corey</t>
  </si>
  <si>
    <t>Fraser, Tyler W</t>
  </si>
  <si>
    <t>Goodson, Kevin</t>
  </si>
  <si>
    <t>Owen, Aaron</t>
  </si>
  <si>
    <t>Rudder, James Kevin</t>
  </si>
  <si>
    <t>Hilborn, Richard</t>
  </si>
  <si>
    <t>Hardaway, Austin, T</t>
  </si>
  <si>
    <t>Speca, John</t>
  </si>
  <si>
    <t>Smithson, Kaleb</t>
  </si>
  <si>
    <t>Wester, William</t>
  </si>
  <si>
    <t>Hudson, Jim</t>
  </si>
  <si>
    <t>Walker, Torrence</t>
  </si>
  <si>
    <t>Dlabach, Jeffrey</t>
  </si>
  <si>
    <t>Luber, Kurre</t>
  </si>
  <si>
    <t>Clayton, Justin</t>
  </si>
  <si>
    <t>Mcleod, Cody,</t>
  </si>
  <si>
    <t>Parham, Sean, G</t>
  </si>
  <si>
    <t>Miller, Derek</t>
  </si>
  <si>
    <t>Martin, Kenneth</t>
  </si>
  <si>
    <t>Dabov, Gregory</t>
  </si>
  <si>
    <t>Sheffer, Benjamin W.</t>
  </si>
  <si>
    <t>Busby, Stacy</t>
  </si>
  <si>
    <t>Rutkowski, Paul</t>
  </si>
  <si>
    <t>Weiss, Kenneth</t>
  </si>
  <si>
    <t>Counts, Jeffrey</t>
  </si>
  <si>
    <t>Vanderschilden, John</t>
  </si>
  <si>
    <t>Sudbrink, David</t>
  </si>
  <si>
    <t>Bowen, William</t>
  </si>
  <si>
    <t>Pruitt, Tad</t>
  </si>
  <si>
    <t>Sickle, David</t>
  </si>
  <si>
    <t>Renard, Regis</t>
  </si>
  <si>
    <t>Spence, David</t>
  </si>
  <si>
    <t>Brannan, Patrick</t>
  </si>
  <si>
    <t>Throckmorton, Thomas</t>
  </si>
  <si>
    <t>Woloszyn, John</t>
  </si>
  <si>
    <t>Chandler, Gerald</t>
  </si>
  <si>
    <t>Gullett, Robert</t>
  </si>
  <si>
    <t>Stronach, Benjamin</t>
  </si>
  <si>
    <t>Byrd, Brandon</t>
  </si>
  <si>
    <t>Ryan S Patton</t>
  </si>
  <si>
    <t>Mealer, Tabitha R</t>
  </si>
  <si>
    <t>Tait, Mark</t>
  </si>
  <si>
    <t>Vargas, Victor</t>
  </si>
  <si>
    <t>Millhouse, Sean</t>
  </si>
  <si>
    <t>Jew, Nicholas</t>
  </si>
  <si>
    <t>Janovich, John</t>
  </si>
  <si>
    <t>Saer, Edward</t>
  </si>
  <si>
    <t>Arnold, Christopher</t>
  </si>
  <si>
    <t>Lochemes, John</t>
  </si>
  <si>
    <t>Gati, Kenneth</t>
  </si>
  <si>
    <t>Barnes, Charles</t>
  </si>
  <si>
    <t>Thompson, Kirk</t>
  </si>
  <si>
    <t>Dipaolo, Daneca</t>
  </si>
  <si>
    <t>Mears, Simon</t>
  </si>
  <si>
    <t>Ipsen, Brian</t>
  </si>
  <si>
    <t>Swymn, Jeremy</t>
  </si>
  <si>
    <t>Main, Donet</t>
  </si>
  <si>
    <t>robert Tomlinson, Md</t>
  </si>
  <si>
    <t>Guyton, James</t>
  </si>
  <si>
    <t>Becker, Chandana</t>
  </si>
  <si>
    <t>Nguyen, Larry</t>
  </si>
  <si>
    <t>Waggoner, Stephen</t>
  </si>
  <si>
    <t>Deneka, David</t>
  </si>
  <si>
    <t>Finkbone, Patrick</t>
  </si>
  <si>
    <t>Moore, Samuel</t>
  </si>
  <si>
    <t>Pettett, Brett</t>
  </si>
  <si>
    <t>Thompson, Douglas</t>
  </si>
  <si>
    <t>Cannon, Tyler A.</t>
  </si>
  <si>
    <t>Shawn,Price</t>
  </si>
  <si>
    <t>Schroerlucke, Samuel</t>
  </si>
  <si>
    <t>Baxter, Samuel</t>
  </si>
  <si>
    <t>Anthony, Ryan, T</t>
  </si>
  <si>
    <t>Nipper, Elliott</t>
  </si>
  <si>
    <t>Cooper, Scott</t>
  </si>
  <si>
    <t>Efird, Chad</t>
  </si>
  <si>
    <t>Richardson, David</t>
  </si>
  <si>
    <t>Cooper, Roy</t>
  </si>
  <si>
    <t>Grear, Benjamin</t>
  </si>
  <si>
    <t>Bracey, John</t>
  </si>
  <si>
    <t>Jeffrey Hill</t>
  </si>
  <si>
    <t>Christian, Claiborne</t>
  </si>
  <si>
    <t>Dodd, Lawrence</t>
  </si>
  <si>
    <t>Barnett, David</t>
  </si>
  <si>
    <t>Franz, Justin</t>
  </si>
  <si>
    <t>Sokoloff, Bret</t>
  </si>
  <si>
    <t>Brandt, Jason</t>
  </si>
  <si>
    <t>Bruffett, Wayne</t>
  </si>
  <si>
    <t>Walsh, Donald</t>
  </si>
  <si>
    <t>Thompson, Norfleet</t>
  </si>
  <si>
    <t>Nance, Kathryn</t>
  </si>
  <si>
    <t>Carr, Lauren</t>
  </si>
  <si>
    <t>Kelly, Owen</t>
  </si>
  <si>
    <t>Biggers, Marcus</t>
  </si>
  <si>
    <t>Lewis, Natasha</t>
  </si>
  <si>
    <t>Brown, Howard</t>
  </si>
  <si>
    <t>Ardoin, Gregory</t>
  </si>
  <si>
    <t>Pollard, James</t>
  </si>
  <si>
    <t>Rauls, Amanda</t>
  </si>
  <si>
    <t>Lawrence, Brent</t>
  </si>
  <si>
    <t>Camargo, Laura</t>
  </si>
  <si>
    <t>Viser, William</t>
  </si>
  <si>
    <t>Goodrum, Courtney</t>
  </si>
  <si>
    <t>Kay, Nancy</t>
  </si>
  <si>
    <t>Jordan, David</t>
  </si>
  <si>
    <t>Salvador, Ester</t>
  </si>
  <si>
    <t>Haugh, James</t>
  </si>
  <si>
    <t>Kobler, Travis</t>
  </si>
  <si>
    <t>Peairson, Stephen</t>
  </si>
  <si>
    <t>King, Carol</t>
  </si>
  <si>
    <t>Airity, Hesington</t>
  </si>
  <si>
    <t>Williams, Terry J.</t>
  </si>
  <si>
    <t>Lusinger, Jennifer</t>
  </si>
  <si>
    <t>Robinson, Corey, D</t>
  </si>
  <si>
    <t>Harbottle, Star,</t>
  </si>
  <si>
    <t>Johnson, Scott Allison</t>
  </si>
  <si>
    <t>Raven, Cruz-Humberto</t>
  </si>
  <si>
    <t>Fiser, Elizabeth</t>
  </si>
  <si>
    <t>Makayla, Stanton</t>
  </si>
  <si>
    <t>Marina, Gray</t>
  </si>
  <si>
    <t>Eric, Luster</t>
  </si>
  <si>
    <t>Moody, Baleigh</t>
  </si>
  <si>
    <t>Gackle, Alexandra, B</t>
  </si>
  <si>
    <t>Bryant, Norman W</t>
  </si>
  <si>
    <t>Clay, Jo Ann</t>
  </si>
  <si>
    <t>Deacon, Deborah</t>
  </si>
  <si>
    <t>Eckelhoff, Kristen</t>
  </si>
  <si>
    <t>Blevins, Sabrina</t>
  </si>
  <si>
    <t>Strain, Lou</t>
  </si>
  <si>
    <t>Hutchins, Amanda</t>
  </si>
  <si>
    <t>Fager, Marc</t>
  </si>
  <si>
    <t>Fennessee, Jillian</t>
  </si>
  <si>
    <t>Gonzales, Amber</t>
  </si>
  <si>
    <t>Conklin, Heather</t>
  </si>
  <si>
    <t>Lowey, Michael</t>
  </si>
  <si>
    <t>Taylor, Tobi</t>
  </si>
  <si>
    <t>Maynard, Elizabeth</t>
  </si>
  <si>
    <t>Cook, Yvonne</t>
  </si>
  <si>
    <t>Casebier, Brittany</t>
  </si>
  <si>
    <t>Cervetti, Kirk</t>
  </si>
  <si>
    <t>Elkins, Sarah</t>
  </si>
  <si>
    <t>Underwood, Kerry</t>
  </si>
  <si>
    <t>Thiede, Charlton</t>
  </si>
  <si>
    <t>Ross, Julie</t>
  </si>
  <si>
    <t>June, Lea</t>
  </si>
  <si>
    <t>Rickard, Garrick</t>
  </si>
  <si>
    <t>Mcguire, Todd</t>
  </si>
  <si>
    <t>Williams, Mandi</t>
  </si>
  <si>
    <t>Benson, Marcus</t>
  </si>
  <si>
    <t>Boles, Hayley</t>
  </si>
  <si>
    <t>Geisel, Jennifer</t>
  </si>
  <si>
    <t>Bramblett, Sarah</t>
  </si>
  <si>
    <t>Kelley, Savannah</t>
  </si>
  <si>
    <t>Lesley, Mathisen</t>
  </si>
  <si>
    <t>Ensinger, Stephanie</t>
  </si>
  <si>
    <t>Tankersley, Katie</t>
  </si>
  <si>
    <t>Hamilton, Stephanie</t>
  </si>
  <si>
    <t>Stevens, Bailee</t>
  </si>
  <si>
    <t>Ramsey, Sarah</t>
  </si>
  <si>
    <t>Lisa, Griggs</t>
  </si>
  <si>
    <t>Wright, Melissa,</t>
  </si>
  <si>
    <t>Ruston, Melissa, A</t>
  </si>
  <si>
    <t>Flynn, Mellany</t>
  </si>
  <si>
    <t>Van Scoy, William</t>
  </si>
  <si>
    <t>Nelson, Steven</t>
  </si>
  <si>
    <t>Rowe, Amanda</t>
  </si>
  <si>
    <t>Blackburn, Carla</t>
  </si>
  <si>
    <t>Whitaker, Amanda</t>
  </si>
  <si>
    <t>Aytch, Lakia</t>
  </si>
  <si>
    <t>Killman, Kateri</t>
  </si>
  <si>
    <t>Wade, Valerie</t>
  </si>
  <si>
    <t>Priyanka, Baweja</t>
  </si>
  <si>
    <t>Wilson, Leah</t>
  </si>
  <si>
    <t>Colby, Reed</t>
  </si>
  <si>
    <t>Oakley, Sean</t>
  </si>
  <si>
    <t>Morton, Bonnie</t>
  </si>
  <si>
    <t>Lillich, Carleen</t>
  </si>
  <si>
    <t>Pawlak, Tammy</t>
  </si>
  <si>
    <t>Lin, Christine</t>
  </si>
  <si>
    <t>Salgado, Liam</t>
  </si>
  <si>
    <t>Haile, Daniel</t>
  </si>
  <si>
    <t>Mcgee, Destiny</t>
  </si>
  <si>
    <t>Carroll, Kylie</t>
  </si>
  <si>
    <t>Litzinger, Stephanie</t>
  </si>
  <si>
    <t>Jeffery, Sikes</t>
  </si>
  <si>
    <t>Kelley, Amanda</t>
  </si>
  <si>
    <t>Pattermann, Tori</t>
  </si>
  <si>
    <t>Younger, J Wade</t>
  </si>
  <si>
    <t>Reed, Amy</t>
  </si>
  <si>
    <t>Hall, Shayla</t>
  </si>
  <si>
    <t>Shadeau, Rhodes</t>
  </si>
  <si>
    <t>Beldin Korter, Linda</t>
  </si>
  <si>
    <t>Knott, John</t>
  </si>
  <si>
    <t>Doan, Lesa</t>
  </si>
  <si>
    <t>Zurkowski, Thomas</t>
  </si>
  <si>
    <t>Sutton, Ashli</t>
  </si>
  <si>
    <t>Mckown, Marilyn J.</t>
  </si>
  <si>
    <t>Futrell, Naricia M.</t>
  </si>
  <si>
    <t>Coe, Lindsay</t>
  </si>
  <si>
    <t>Faitak, Martin</t>
  </si>
  <si>
    <t>Davies, Collin</t>
  </si>
  <si>
    <t>Elliott, Wendi</t>
  </si>
  <si>
    <t>Shumaker, Jennifer</t>
  </si>
  <si>
    <t>Young, Charissa</t>
  </si>
  <si>
    <t>Reid, Jana</t>
  </si>
  <si>
    <t>Tiffee, Rachel</t>
  </si>
  <si>
    <t>Huckabay, Brittni</t>
  </si>
  <si>
    <t>Covert, Soucy, Victoria</t>
  </si>
  <si>
    <t>Long, Kacy</t>
  </si>
  <si>
    <t>Robertson, Yvonne</t>
  </si>
  <si>
    <t>Farmer, Elizabeth</t>
  </si>
  <si>
    <t>Wright, Jasmine, M</t>
  </si>
  <si>
    <t>Fox, Keisha</t>
  </si>
  <si>
    <t>Tiffany, Neal</t>
  </si>
  <si>
    <t>Gomez Bustillo, Maria Jose</t>
  </si>
  <si>
    <t>Waller, Katie</t>
  </si>
  <si>
    <t>Goldstein, David</t>
  </si>
  <si>
    <t>Trickey, Beverly</t>
  </si>
  <si>
    <t>Ketz, Frances</t>
  </si>
  <si>
    <t>Jackson, Janissa</t>
  </si>
  <si>
    <t>Seward, Steve</t>
  </si>
  <si>
    <t>Jarratt, Kelly</t>
  </si>
  <si>
    <t>Manes, Terrrah</t>
  </si>
  <si>
    <t>Turner, Carolyn</t>
  </si>
  <si>
    <t>Bromley, Connie</t>
  </si>
  <si>
    <t>Fowler, Carol</t>
  </si>
  <si>
    <t>Freer, Amy</t>
  </si>
  <si>
    <t>Derickson, Elizabeth</t>
  </si>
  <si>
    <t>Hawkins, Summer</t>
  </si>
  <si>
    <t>Hudson, Meredith</t>
  </si>
  <si>
    <t>Smith, Yunetta</t>
  </si>
  <si>
    <t>Logsdon, Wendy</t>
  </si>
  <si>
    <t>Johnson, Troy</t>
  </si>
  <si>
    <t>Kirschner, Brenton</t>
  </si>
  <si>
    <t>Hay, Megan</t>
  </si>
  <si>
    <t>Spurgers, Kevin</t>
  </si>
  <si>
    <t>Pinkston, Leah</t>
  </si>
  <si>
    <t>Ghobadimanesh, Alexander</t>
  </si>
  <si>
    <t>Pevahouse, Kristen</t>
  </si>
  <si>
    <t>Cox, Kelly</t>
  </si>
  <si>
    <t>Masterson, Rita</t>
  </si>
  <si>
    <t>Andrews, Jenny</t>
  </si>
  <si>
    <t>Howell, Tamara</t>
  </si>
  <si>
    <t>Priti, Evans</t>
  </si>
  <si>
    <t>Brook T Mattison</t>
  </si>
  <si>
    <t>Herrera, Lizbeth</t>
  </si>
  <si>
    <t>Joyner, Rachel</t>
  </si>
  <si>
    <t>Dillard, Mckala, A</t>
  </si>
  <si>
    <t>Alexis, Graham</t>
  </si>
  <si>
    <t>Kuchinski, Alexys</t>
  </si>
  <si>
    <t>Nedra, Allen-Jones</t>
  </si>
  <si>
    <t>Begner, Dawn</t>
  </si>
  <si>
    <t>Rachel, Wingfield</t>
  </si>
  <si>
    <t>Patrick, Mckensy</t>
  </si>
  <si>
    <t>Miles, Mark</t>
  </si>
  <si>
    <t>Spohn, Rebecca</t>
  </si>
  <si>
    <t>Ennes, Kathy</t>
  </si>
  <si>
    <t>Clardy, Penny</t>
  </si>
  <si>
    <t>Hayman, Diedra</t>
  </si>
  <si>
    <t>Kilcrease, Lisa</t>
  </si>
  <si>
    <t>Sawyer, Caroline</t>
  </si>
  <si>
    <t>Sparks, Mary</t>
  </si>
  <si>
    <t>Belin, Michael</t>
  </si>
  <si>
    <t>Williams, Judy</t>
  </si>
  <si>
    <t>Young, Ronald</t>
  </si>
  <si>
    <t>Howard, Linda</t>
  </si>
  <si>
    <t>Brown, Angelica</t>
  </si>
  <si>
    <t>Hurst, Mark</t>
  </si>
  <si>
    <t>Carlton, Kellye</t>
  </si>
  <si>
    <t>Castillo, Paul</t>
  </si>
  <si>
    <t>Degroat, Russell</t>
  </si>
  <si>
    <t>Nichols, Jody</t>
  </si>
  <si>
    <t>Atkinson Murphy, Alaina</t>
  </si>
  <si>
    <t>Hull, Carolyn</t>
  </si>
  <si>
    <t>Graves, Jillian</t>
  </si>
  <si>
    <t>Deardorff, Rebecca</t>
  </si>
  <si>
    <t>Heath, William</t>
  </si>
  <si>
    <t>Fullet, Chrystal</t>
  </si>
  <si>
    <t>Heaton, Katharine</t>
  </si>
  <si>
    <t>Harris, Lorita</t>
  </si>
  <si>
    <t>Scoggins, Jennifer,</t>
  </si>
  <si>
    <t>Mosely, Annie</t>
  </si>
  <si>
    <t>Sheats, Allison</t>
  </si>
  <si>
    <t>Wells, Katie</t>
  </si>
  <si>
    <t>Stephens, Victoria</t>
  </si>
  <si>
    <t>Heidenreich, Frederick</t>
  </si>
  <si>
    <t>Allred, Sandra</t>
  </si>
  <si>
    <t>Kimberly, Wells</t>
  </si>
  <si>
    <t>Lainez, Zacarias, Elena</t>
  </si>
  <si>
    <t>Patterson, Stephanie</t>
  </si>
  <si>
    <t>Sandusky, Tara</t>
  </si>
  <si>
    <t>Monique, Watson</t>
  </si>
  <si>
    <t>Henderson, Meketia,</t>
  </si>
  <si>
    <t>Compton, Virginia,</t>
  </si>
  <si>
    <t>Lucy, Towbin</t>
  </si>
  <si>
    <t>Sugg, Jennifer,</t>
  </si>
  <si>
    <t>Coleman, Cynthia</t>
  </si>
  <si>
    <t>Webber, John</t>
  </si>
  <si>
    <t>Holmes, Dan</t>
  </si>
  <si>
    <t>Carpino, Stephanie</t>
  </si>
  <si>
    <t>Carroll, Natalie</t>
  </si>
  <si>
    <t>Defee, Jacob</t>
  </si>
  <si>
    <t>Smith, Kelly</t>
  </si>
  <si>
    <t>Stout, Elizabeth</t>
  </si>
  <si>
    <t>Huddleston, Felicia</t>
  </si>
  <si>
    <t>Pitcher, Jane</t>
  </si>
  <si>
    <t>Spicer, Mariel</t>
  </si>
  <si>
    <t>Lecompte, Jason</t>
  </si>
  <si>
    <t>Cervantes, Amber</t>
  </si>
  <si>
    <t>Hendrickson, Jodi</t>
  </si>
  <si>
    <t>Karen D Hall</t>
  </si>
  <si>
    <t>Waterson, Melissa</t>
  </si>
  <si>
    <t>Richards, Andalin</t>
  </si>
  <si>
    <t>Jordan, Allison R.</t>
  </si>
  <si>
    <t>Barbara,Dern</t>
  </si>
  <si>
    <t>Callaway Gentry, Kimberly</t>
  </si>
  <si>
    <t>Jackson, Erin</t>
  </si>
  <si>
    <t>Lunday, Caleb</t>
  </si>
  <si>
    <t>Hannah F Martin</t>
  </si>
  <si>
    <t>Bryant, Susan</t>
  </si>
  <si>
    <t>Johnson, Melinda</t>
  </si>
  <si>
    <t>Clark-Wells, Christy M</t>
  </si>
  <si>
    <t>Day, Angela, P</t>
  </si>
  <si>
    <t>Kosters, Brian,</t>
  </si>
  <si>
    <t>Blaylock, Wendy</t>
  </si>
  <si>
    <t>Fetting, Jeannie</t>
  </si>
  <si>
    <t>Welch, Alice</t>
  </si>
  <si>
    <t>Johnson, Meredith</t>
  </si>
  <si>
    <t>Gray, Adam</t>
  </si>
  <si>
    <t>Sparks, Jared</t>
  </si>
  <si>
    <t>Wallace, Kathleen</t>
  </si>
  <si>
    <t>Weimer, Karen</t>
  </si>
  <si>
    <t>Kelley, Ross</t>
  </si>
  <si>
    <t>Richard, Kima</t>
  </si>
  <si>
    <t>Mcdaniel, Judson</t>
  </si>
  <si>
    <t>Wood, Mara</t>
  </si>
  <si>
    <t>Dressler, Jennifer</t>
  </si>
  <si>
    <t>Bailey, Tina</t>
  </si>
  <si>
    <t>Nicole, Brown</t>
  </si>
  <si>
    <t>Karlee</t>
  </si>
  <si>
    <t>Vanwie, Molly</t>
  </si>
  <si>
    <t>Snodgrass, Amy</t>
  </si>
  <si>
    <t>English, Deeann</t>
  </si>
  <si>
    <t>Colclasure, Megan</t>
  </si>
  <si>
    <t>Reinertsen, Karen</t>
  </si>
  <si>
    <t>Stober, Kaitlin</t>
  </si>
  <si>
    <t>Nelson, Luanne</t>
  </si>
  <si>
    <t>Stemple, Blayne</t>
  </si>
  <si>
    <t>Powell, Alicia</t>
  </si>
  <si>
    <t>Mcdermott, Chance</t>
  </si>
  <si>
    <t>Webb, Gerald</t>
  </si>
  <si>
    <t>Paul, Hannah</t>
  </si>
  <si>
    <t>Donald M Block</t>
  </si>
  <si>
    <t>Barnard, Lottie,</t>
  </si>
  <si>
    <t>Marious, Tolbert</t>
  </si>
  <si>
    <t>Humphreys, Kayli, O</t>
  </si>
  <si>
    <t>Smith, Bart,</t>
  </si>
  <si>
    <t>Poindexter, Jennifer,</t>
  </si>
  <si>
    <t>King, Robyn</t>
  </si>
  <si>
    <t>Damron, Douglas</t>
  </si>
  <si>
    <t>Tharp, John</t>
  </si>
  <si>
    <t>Maris, Robert</t>
  </si>
  <si>
    <t>Wineland, Destiny</t>
  </si>
  <si>
    <t>Shade, David</t>
  </si>
  <si>
    <t>Carr, Carrie</t>
  </si>
  <si>
    <t>Yancey, Joseph</t>
  </si>
  <si>
    <t>Carroll, Erin</t>
  </si>
  <si>
    <t>Powell, Amber</t>
  </si>
  <si>
    <t>Homishak, Sheri</t>
  </si>
  <si>
    <t>Dawson, Jennie</t>
  </si>
  <si>
    <t>Mcclellan, Kelsey</t>
  </si>
  <si>
    <t>Dyer, Connie</t>
  </si>
  <si>
    <t>Streufert, Brindi K.</t>
  </si>
  <si>
    <t>Lorinda, Macdonald</t>
  </si>
  <si>
    <t>Jefferson, Brittany,</t>
  </si>
  <si>
    <t>Edwards, Emily</t>
  </si>
  <si>
    <t>Glover, Leonardo</t>
  </si>
  <si>
    <t>Freeman, Rachel</t>
  </si>
  <si>
    <t>Nolan, Jon</t>
  </si>
  <si>
    <t>Shavers, Geletta</t>
  </si>
  <si>
    <t>Latonya Patterson</t>
  </si>
  <si>
    <t>Duke, Taylor</t>
  </si>
  <si>
    <t>Wright, Laura</t>
  </si>
  <si>
    <t>Hart, Crystal</t>
  </si>
  <si>
    <t>Stewart, Hayley</t>
  </si>
  <si>
    <t>Lewis, Michelle</t>
  </si>
  <si>
    <t>Henkel, Katherine</t>
  </si>
  <si>
    <t>Law, Sarah</t>
  </si>
  <si>
    <t>Harrison, Wansley</t>
  </si>
  <si>
    <t>Register, Jenny</t>
  </si>
  <si>
    <t>Taylor, Tanya</t>
  </si>
  <si>
    <t>Marston, Arielle</t>
  </si>
  <si>
    <t>Lee, Latonya</t>
  </si>
  <si>
    <t>Cates, Kenneth</t>
  </si>
  <si>
    <t>Henley, Vicki</t>
  </si>
  <si>
    <t>Prince, Audra</t>
  </si>
  <si>
    <t>Dunaway, Sharon</t>
  </si>
  <si>
    <t>Barber, Darice</t>
  </si>
  <si>
    <t>Carr, Gary</t>
  </si>
  <si>
    <t>Baldwin, Lisa</t>
  </si>
  <si>
    <t>Quinn, Cynthia D</t>
  </si>
  <si>
    <t>Hight, Jeanie</t>
  </si>
  <si>
    <t>Northrip, Erin</t>
  </si>
  <si>
    <t>Gaddis, Janet</t>
  </si>
  <si>
    <t>Maccormack, Vanessa</t>
  </si>
  <si>
    <t>Ellis, Kimberly</t>
  </si>
  <si>
    <t>Crane, Kathryn</t>
  </si>
  <si>
    <t>Cable, Heather</t>
  </si>
  <si>
    <t>Jesseca, Holston</t>
  </si>
  <si>
    <t>Fowler, Jessica</t>
  </si>
  <si>
    <t>Meggers, Nicole</t>
  </si>
  <si>
    <t>Williams, Ethan</t>
  </si>
  <si>
    <t>Smith, Ann</t>
  </si>
  <si>
    <t>Sheryl, Jackson</t>
  </si>
  <si>
    <t>Vangilst, Dorcas</t>
  </si>
  <si>
    <t>Loop, Paul</t>
  </si>
  <si>
    <t>Morrow, Dustin</t>
  </si>
  <si>
    <t>William, Voss</t>
  </si>
  <si>
    <t>Bradshaw, Ayecock</t>
  </si>
  <si>
    <t>Scroggins, Jordan, N</t>
  </si>
  <si>
    <t>Camarillo, Marcella</t>
  </si>
  <si>
    <t>Wheeler, Bailey</t>
  </si>
  <si>
    <t>Hart, Hannah</t>
  </si>
  <si>
    <t>Hale, Richard</t>
  </si>
  <si>
    <t>Bennett, Juliana</t>
  </si>
  <si>
    <t>Richardson, Sharady</t>
  </si>
  <si>
    <t>Jenkins, Danielle</t>
  </si>
  <si>
    <t>Bohannon, Stephanie L</t>
  </si>
  <si>
    <t>Hall, Channing</t>
  </si>
  <si>
    <t>Dru</t>
  </si>
  <si>
    <t>Calhoon, Carrie</t>
  </si>
  <si>
    <t>Stephens, Brian,</t>
  </si>
  <si>
    <t>Rachel, Henningsen</t>
  </si>
  <si>
    <t>Davidson, Dana</t>
  </si>
  <si>
    <t>Price, Ricky</t>
  </si>
  <si>
    <t>Watson, Eleanor</t>
  </si>
  <si>
    <t>Yopp, Justin</t>
  </si>
  <si>
    <t>Parish, Amy</t>
  </si>
  <si>
    <t>Gonner, Gracie</t>
  </si>
  <si>
    <t>Shields, Charles</t>
  </si>
  <si>
    <t>Mccracken, Glenn</t>
  </si>
  <si>
    <t>Parks, Bambi</t>
  </si>
  <si>
    <t>Hagins, Toni</t>
  </si>
  <si>
    <t>Malte, Brian</t>
  </si>
  <si>
    <t>Mcmahan, M</t>
  </si>
  <si>
    <t>Webb, Heather</t>
  </si>
  <si>
    <t>Perry, Danielle</t>
  </si>
  <si>
    <t>Harris, Jordan</t>
  </si>
  <si>
    <t>Stringfellow, Astrid</t>
  </si>
  <si>
    <t>Weathers, Kasi</t>
  </si>
  <si>
    <t>Thompson, Amanda</t>
  </si>
  <si>
    <t>Eanes, Jordan E.</t>
  </si>
  <si>
    <t>Fredricka</t>
  </si>
  <si>
    <t>Taylor, Harold</t>
  </si>
  <si>
    <t>Brown, Ariel</t>
  </si>
  <si>
    <t>Saulsberry, Lashandra</t>
  </si>
  <si>
    <t>Guinn, Candance</t>
  </si>
  <si>
    <t>Root, Sarah</t>
  </si>
  <si>
    <t>Marecia, Spearman</t>
  </si>
  <si>
    <t>Lindsey A Langston</t>
  </si>
  <si>
    <t>Creech, Katrina</t>
  </si>
  <si>
    <t>Lee, Crystal,</t>
  </si>
  <si>
    <t>Strawn, Henry</t>
  </si>
  <si>
    <t>Conley, Althea</t>
  </si>
  <si>
    <t>Goucher, Pamela</t>
  </si>
  <si>
    <t>Ward, Sharon</t>
  </si>
  <si>
    <t>Tullos, Tracy</t>
  </si>
  <si>
    <t>Loudermill, Luretha</t>
  </si>
  <si>
    <t>Casteel, Katrina</t>
  </si>
  <si>
    <t>Patterson, Casandra</t>
  </si>
  <si>
    <t>Wallace, Susan</t>
  </si>
  <si>
    <t>Sheppard, Donna</t>
  </si>
  <si>
    <t>Abbey, Ruth</t>
  </si>
  <si>
    <t>Williams, Kirra</t>
  </si>
  <si>
    <t>Chapman, Leah</t>
  </si>
  <si>
    <t>Cucciare, Michael</t>
  </si>
  <si>
    <t>Curgian, Joanne</t>
  </si>
  <si>
    <t>Adkins, Samuel</t>
  </si>
  <si>
    <t>Morris, Amanda</t>
  </si>
  <si>
    <t>Jacoby, Victoria</t>
  </si>
  <si>
    <t>Mcgillvray, Cale</t>
  </si>
  <si>
    <t>White, Derrick</t>
  </si>
  <si>
    <t>Henny, Michelle</t>
  </si>
  <si>
    <t>Holly, Martin</t>
  </si>
  <si>
    <t>Cooper Day, Shelby</t>
  </si>
  <si>
    <t>Welch, Kristi</t>
  </si>
  <si>
    <t>Morton, Ashlee</t>
  </si>
  <si>
    <t>Davis, Annsley</t>
  </si>
  <si>
    <t>Megan, Cherry</t>
  </si>
  <si>
    <t>Perryman, Alison</t>
  </si>
  <si>
    <t>Crafton, Ashley,</t>
  </si>
  <si>
    <t>Johnson, Triscilla</t>
  </si>
  <si>
    <t>Baltensperger, Amy</t>
  </si>
  <si>
    <t>Hannah, Cox</t>
  </si>
  <si>
    <t>Reason, Altera</t>
  </si>
  <si>
    <t>Thompson, Jeremy</t>
  </si>
  <si>
    <t>Ford, Lesley</t>
  </si>
  <si>
    <t>Smith, Calvin</t>
  </si>
  <si>
    <t>Wellborn, Rebbecca</t>
  </si>
  <si>
    <t>Maynard, Patricia</t>
  </si>
  <si>
    <t>Mendenhall, Laura</t>
  </si>
  <si>
    <t>Horton, Shelly</t>
  </si>
  <si>
    <t>Jackson Amos, Bonita</t>
  </si>
  <si>
    <t>Buckley, Cherie</t>
  </si>
  <si>
    <t>Miller, Helen</t>
  </si>
  <si>
    <t>Mancill, David</t>
  </si>
  <si>
    <t>Bridges, Rodney</t>
  </si>
  <si>
    <t>Owens, Dennis</t>
  </si>
  <si>
    <t>Elswick, Susan</t>
  </si>
  <si>
    <t>Jones, Justin</t>
  </si>
  <si>
    <t>Hinkle, Vuanita</t>
  </si>
  <si>
    <t>Faith, Yam</t>
  </si>
  <si>
    <t>Glover, Chelsea</t>
  </si>
  <si>
    <t>Wheeler, Rosemarie</t>
  </si>
  <si>
    <t>Walker, Shelton,</t>
  </si>
  <si>
    <t>Harris, Kayla</t>
  </si>
  <si>
    <t>Bowen, Meredith</t>
  </si>
  <si>
    <t>Scott, Bradley</t>
  </si>
  <si>
    <t>Ross, Donna</t>
  </si>
  <si>
    <t>Clouser, Connor</t>
  </si>
  <si>
    <t>Willis, Jessica</t>
  </si>
  <si>
    <t>Amanda, Wilson</t>
  </si>
  <si>
    <t>Molly, Himes</t>
  </si>
  <si>
    <t>Oludipe, Olufunke</t>
  </si>
  <si>
    <t>Coffman, Kristen</t>
  </si>
  <si>
    <t>Huffstutter, Elizabeth</t>
  </si>
  <si>
    <t>Graham, Paula</t>
  </si>
  <si>
    <t>Willis, Debra</t>
  </si>
  <si>
    <t>Short, Samantha</t>
  </si>
  <si>
    <t>Otwell, Goldie</t>
  </si>
  <si>
    <t>Cate, Abby</t>
  </si>
  <si>
    <t>Warren, Mattie</t>
  </si>
  <si>
    <t>Paul Tucker, Gessie</t>
  </si>
  <si>
    <t>Gill, Mika</t>
  </si>
  <si>
    <t>Dobbins, Carey</t>
  </si>
  <si>
    <t>Huneycutt, Eric</t>
  </si>
  <si>
    <t>Ly, Tia</t>
  </si>
  <si>
    <t>Coombe Moore, Jackie</t>
  </si>
  <si>
    <t>Matzenbacher, Curt</t>
  </si>
  <si>
    <t>Booth, Amanda</t>
  </si>
  <si>
    <t>Fields, Brenda</t>
  </si>
  <si>
    <t>Sneed, Anna</t>
  </si>
  <si>
    <t>Hilliard, Haley</t>
  </si>
  <si>
    <t>Moseley, Leslie</t>
  </si>
  <si>
    <t>Domingue, Courtney</t>
  </si>
  <si>
    <t>Ballew, Amanda</t>
  </si>
  <si>
    <t>Rogers, Katherine</t>
  </si>
  <si>
    <t>Johnston, Seth</t>
  </si>
  <si>
    <t>Hardy, Elizabeth</t>
  </si>
  <si>
    <t>Sturgeon, Erica</t>
  </si>
  <si>
    <t>Bird, Sarah,</t>
  </si>
  <si>
    <t>Ratton, Rylee</t>
  </si>
  <si>
    <t>Sharkey, Danielle</t>
  </si>
  <si>
    <t>Dale, Kacie</t>
  </si>
  <si>
    <t>Marcus, Greene</t>
  </si>
  <si>
    <t>Bruno, Pat, J</t>
  </si>
  <si>
    <t>Lenehan, Jessica,</t>
  </si>
  <si>
    <t>Kelley, Lammers</t>
  </si>
  <si>
    <t>Barnes, Bralin</t>
  </si>
  <si>
    <t>Ward, Zachary,</t>
  </si>
  <si>
    <t>Nelson, Jasmyne</t>
  </si>
  <si>
    <t>Davis, Mary</t>
  </si>
  <si>
    <t>Edwards, Cheryl</t>
  </si>
  <si>
    <t>Paniagua Torres, Carmen</t>
  </si>
  <si>
    <t>Hatcher, Jason</t>
  </si>
  <si>
    <t>Myers, Doretha</t>
  </si>
  <si>
    <t>Messina, Teresa</t>
  </si>
  <si>
    <t>Elam, Carrie</t>
  </si>
  <si>
    <t>Potts, Randolph</t>
  </si>
  <si>
    <t>Levine, Lauren</t>
  </si>
  <si>
    <t>Johnson Martin, Yolanda</t>
  </si>
  <si>
    <t>Staton, Kristy</t>
  </si>
  <si>
    <t>Cannon, Carrie</t>
  </si>
  <si>
    <t>White, James</t>
  </si>
  <si>
    <t>Baber, Corey</t>
  </si>
  <si>
    <t>Love, Rhonda</t>
  </si>
  <si>
    <t>Brown, Priscilla</t>
  </si>
  <si>
    <t>Depko, Laura</t>
  </si>
  <si>
    <t>David, Farris</t>
  </si>
  <si>
    <t>Vigus, Elizabeth M.</t>
  </si>
  <si>
    <t>Clark, Hilary,</t>
  </si>
  <si>
    <t>Balch, Jennifer</t>
  </si>
  <si>
    <t>Susan, Hall</t>
  </si>
  <si>
    <t>Cannon, Haley</t>
  </si>
  <si>
    <t>Marshall, Karla, J</t>
  </si>
  <si>
    <t>Tapley, Laura,</t>
  </si>
  <si>
    <t>Heidary, Parisa</t>
  </si>
  <si>
    <t>Wells, Kevin</t>
  </si>
  <si>
    <t>Whiteside, Faith,</t>
  </si>
  <si>
    <t>Gragg, Tina</t>
  </si>
  <si>
    <t>Willis, Kara</t>
  </si>
  <si>
    <t>Flores, Schantz A</t>
  </si>
  <si>
    <t>Story, Laura</t>
  </si>
  <si>
    <t>Lake, Jennifer</t>
  </si>
  <si>
    <t>Westbrook, Harriet</t>
  </si>
  <si>
    <t>Henderson, Kelsey, C</t>
  </si>
  <si>
    <t>Massey, Dillon</t>
  </si>
  <si>
    <t>Hice, Aaron</t>
  </si>
  <si>
    <t>Cox, Jane</t>
  </si>
  <si>
    <t>Coleman, Michelle</t>
  </si>
  <si>
    <t>Ward, Bobby</t>
  </si>
  <si>
    <t>Scott, Betty</t>
  </si>
  <si>
    <t>Magiera Planey, Renee</t>
  </si>
  <si>
    <t>Langley, Rebecca</t>
  </si>
  <si>
    <t>Staryak, Emilie</t>
  </si>
  <si>
    <t>Rudy, Thuy</t>
  </si>
  <si>
    <t>Thomas D Hoffpauir</t>
  </si>
  <si>
    <t>Brittney, Davis</t>
  </si>
  <si>
    <t>Clayton, Gretchen</t>
  </si>
  <si>
    <t>Arnell, Stacy</t>
  </si>
  <si>
    <t>Schaeffer, Wendy</t>
  </si>
  <si>
    <t>Kaylor, Lee, A</t>
  </si>
  <si>
    <t>Patton, Cynthia</t>
  </si>
  <si>
    <t>Prescott, Blair</t>
  </si>
  <si>
    <t>Hightower, James</t>
  </si>
  <si>
    <t>Walker, Jeffrey</t>
  </si>
  <si>
    <t>Love, Lisa</t>
  </si>
  <si>
    <t>Hockman, Katherine</t>
  </si>
  <si>
    <t>Peay, James</t>
  </si>
  <si>
    <t>Johnson, Nikia</t>
  </si>
  <si>
    <t>Coney, Katelyn</t>
  </si>
  <si>
    <t>Martin, Nicole</t>
  </si>
  <si>
    <t>Nelson, Robyn</t>
  </si>
  <si>
    <t>Landers, Katie</t>
  </si>
  <si>
    <t>Woodard, Corretta</t>
  </si>
  <si>
    <t>Glasscock, April</t>
  </si>
  <si>
    <t>Henry, Jennifer</t>
  </si>
  <si>
    <t>Herman, Ginny</t>
  </si>
  <si>
    <t>Harbison Jr, Carl</t>
  </si>
  <si>
    <t>Sydnie, Mohr</t>
  </si>
  <si>
    <t>Pugh, Adreanne</t>
  </si>
  <si>
    <t>Adderholt, Jayme</t>
  </si>
  <si>
    <t>Hepp, Kirsten</t>
  </si>
  <si>
    <t>Davis, Melissa</t>
  </si>
  <si>
    <t>Schiele, Steven, E</t>
  </si>
  <si>
    <t>Ramsey, Samantha</t>
  </si>
  <si>
    <t>Vanderhorn, Tessa,</t>
  </si>
  <si>
    <t>Fitch, Christy</t>
  </si>
  <si>
    <t>Jennings, David</t>
  </si>
  <si>
    <t>Ross, Andrea</t>
  </si>
  <si>
    <t>Leslie, John</t>
  </si>
  <si>
    <t>Needham Puckett, Laura</t>
  </si>
  <si>
    <t>Brown, Charlene</t>
  </si>
  <si>
    <t>Cottingham, Apryll</t>
  </si>
  <si>
    <t>Allbritton, Shawna</t>
  </si>
  <si>
    <t>Kinsey, Sheryl</t>
  </si>
  <si>
    <t>Yount, Matthew</t>
  </si>
  <si>
    <t>Scott, Jamie</t>
  </si>
  <si>
    <t>Porter, Christopher</t>
  </si>
  <si>
    <t>Porter, Hollie</t>
  </si>
  <si>
    <t>Neisler, Kevin</t>
  </si>
  <si>
    <t>Mcdaniel, Sharon</t>
  </si>
  <si>
    <t>Lepley, Steven</t>
  </si>
  <si>
    <t>Crudup Arata, Pamela</t>
  </si>
  <si>
    <t>Dowell, Christine</t>
  </si>
  <si>
    <t>Johnson, Caitlyn</t>
  </si>
  <si>
    <t>Jani, Urmi</t>
  </si>
  <si>
    <t>Arthur Duran, L</t>
  </si>
  <si>
    <t>Crow, Ashley</t>
  </si>
  <si>
    <t>Watts, Laura</t>
  </si>
  <si>
    <t>Fallon, Jones</t>
  </si>
  <si>
    <t>Cook, Arthur</t>
  </si>
  <si>
    <t>Jones, Melanie</t>
  </si>
  <si>
    <t>Rios-Robles, Brianna</t>
  </si>
  <si>
    <t>Bethany, Long</t>
  </si>
  <si>
    <t>Sullivan, Natalia</t>
  </si>
  <si>
    <t>Catelyn, Reynolds</t>
  </si>
  <si>
    <t>Winiecki, Nathan,</t>
  </si>
  <si>
    <t>Stoner, Timothy,</t>
  </si>
  <si>
    <t>Xaiyasang, Pahuleesee</t>
  </si>
  <si>
    <t>Hunter, Jamy</t>
  </si>
  <si>
    <t>Monson, Susan</t>
  </si>
  <si>
    <t>Matzeder, Mary</t>
  </si>
  <si>
    <t>Livingston, Brittany</t>
  </si>
  <si>
    <t>Jacobs, Anne</t>
  </si>
  <si>
    <t>Powell, Thomas</t>
  </si>
  <si>
    <t>Patel, Binal</t>
  </si>
  <si>
    <t>Bader, Summer</t>
  </si>
  <si>
    <t>Newcomb, Zach</t>
  </si>
  <si>
    <t>Newsam, Wendy</t>
  </si>
  <si>
    <t>Dygert, Leah</t>
  </si>
  <si>
    <t>Wallingford, Samantha</t>
  </si>
  <si>
    <t>Kemler, Kathy</t>
  </si>
  <si>
    <t>Mccaig, Melody</t>
  </si>
  <si>
    <t>Woodall, Rebecca</t>
  </si>
  <si>
    <t>Kozlowski, Nancy</t>
  </si>
  <si>
    <t>Kennedy, Carol</t>
  </si>
  <si>
    <t>Brenesha, Lambert</t>
  </si>
  <si>
    <t>Eldridge, William</t>
  </si>
  <si>
    <t>Long, Jenni</t>
  </si>
  <si>
    <t>Johnson, Chester</t>
  </si>
  <si>
    <t>Fox, Leshia</t>
  </si>
  <si>
    <t>Cornwell, Sonya</t>
  </si>
  <si>
    <t>Doeden, Stephanie</t>
  </si>
  <si>
    <t>Campbell, Melissa</t>
  </si>
  <si>
    <t>Cox, Misty</t>
  </si>
  <si>
    <t>Ray, John</t>
  </si>
  <si>
    <t>Augusti, Sarah, A</t>
  </si>
  <si>
    <t>Stubbs, Robert</t>
  </si>
  <si>
    <t>Masterson, Jordan, L</t>
  </si>
  <si>
    <t>Billington, Ariel</t>
  </si>
  <si>
    <t>Parks, Bailey L</t>
  </si>
  <si>
    <t>Vanessa M Hardage</t>
  </si>
  <si>
    <t>Keene, Joshua, D</t>
  </si>
  <si>
    <t>Slone, Seth</t>
  </si>
  <si>
    <t>Hopkins, Stacie</t>
  </si>
  <si>
    <t>Bryars, James,</t>
  </si>
  <si>
    <t>Dedrick, Betsy,</t>
  </si>
  <si>
    <t>Rule, James</t>
  </si>
  <si>
    <t>Self, Andrea</t>
  </si>
  <si>
    <t>Dodson, Bruce</t>
  </si>
  <si>
    <t>Garrison, Kerri</t>
  </si>
  <si>
    <t>Parish, Andrea</t>
  </si>
  <si>
    <t>Quihuis Polovtsev, Jessica</t>
  </si>
  <si>
    <t>Harvey, Michelle</t>
  </si>
  <si>
    <t>Hardin, Gregory</t>
  </si>
  <si>
    <t>Wilson, Cade M</t>
  </si>
  <si>
    <t>Shepard, Tammy</t>
  </si>
  <si>
    <t>Gill Butler, Teri S</t>
  </si>
  <si>
    <t>Wilson, George</t>
  </si>
  <si>
    <t>Stuntz Christian, Jeremy</t>
  </si>
  <si>
    <t>Childers, Hilary</t>
  </si>
  <si>
    <t>Myers, Jeffrey B</t>
  </si>
  <si>
    <t>Gardiner, Lori</t>
  </si>
  <si>
    <t>Pulliam, Allison</t>
  </si>
  <si>
    <t>Burris, Lydia</t>
  </si>
  <si>
    <t>Ginn, Susan</t>
  </si>
  <si>
    <t>Pointer, Joanna</t>
  </si>
  <si>
    <t>Norman, Kenneth</t>
  </si>
  <si>
    <t>Shott, Diane</t>
  </si>
  <si>
    <t>Bowers, Sunny</t>
  </si>
  <si>
    <t>Cole, Rebecca</t>
  </si>
  <si>
    <t>Fugere, Kellie</t>
  </si>
  <si>
    <t>Pridemore, Deborah</t>
  </si>
  <si>
    <t>Davis, Jennifer</t>
  </si>
  <si>
    <t>Graves, Terra</t>
  </si>
  <si>
    <t>Hubanks, Jennifer</t>
  </si>
  <si>
    <t>Paul, Leshinski</t>
  </si>
  <si>
    <t>Allen, Heather</t>
  </si>
  <si>
    <t>Cope, Emilee,</t>
  </si>
  <si>
    <t>Partridge, Kristena</t>
  </si>
  <si>
    <t>Ingram, Malissa</t>
  </si>
  <si>
    <t>Buchfink, Kelsey,</t>
  </si>
  <si>
    <t>Jones, Christa, L</t>
  </si>
  <si>
    <t>Bynum, Dorotha</t>
  </si>
  <si>
    <t>Wray, Toni</t>
  </si>
  <si>
    <t>Razer, Linda</t>
  </si>
  <si>
    <t>Suitt, Lindsey</t>
  </si>
  <si>
    <t>Anderson, Kyle</t>
  </si>
  <si>
    <t>Tigert, Mandy</t>
  </si>
  <si>
    <t>Bondelier, Sandra</t>
  </si>
  <si>
    <t>Wilchie, Juanita</t>
  </si>
  <si>
    <t>Holmes, Khiela</t>
  </si>
  <si>
    <t>Deweese, Crystal</t>
  </si>
  <si>
    <t>Phillips, Linda</t>
  </si>
  <si>
    <t>Slusser, Chelsey</t>
  </si>
  <si>
    <t>Wolfe, Brandon</t>
  </si>
  <si>
    <t>Teal, Brian</t>
  </si>
  <si>
    <t>Thornton, Nikki</t>
  </si>
  <si>
    <t>Ballard, June</t>
  </si>
  <si>
    <t>Nicole,Collier</t>
  </si>
  <si>
    <t>Gonzalez, Kelsey,</t>
  </si>
  <si>
    <t>Loum, Lauren,</t>
  </si>
  <si>
    <t>Vanley, Bree</t>
  </si>
  <si>
    <t>Cooper, Evelyn</t>
  </si>
  <si>
    <t>Hastings, Lacey</t>
  </si>
  <si>
    <t>Wells, Jessica</t>
  </si>
  <si>
    <t>Gardner, Kaitlyn</t>
  </si>
  <si>
    <t>Courtnie, Mowery</t>
  </si>
  <si>
    <t>Williams, Alicia</t>
  </si>
  <si>
    <t>Hardtke, Sierra, J</t>
  </si>
  <si>
    <t>Nichols, William</t>
  </si>
  <si>
    <t>Nelson Hemphill, Freetta</t>
  </si>
  <si>
    <t>Pfeiffer, Keeli</t>
  </si>
  <si>
    <t>Scheffler, Brenda</t>
  </si>
  <si>
    <t>Rosario, Olimpia</t>
  </si>
  <si>
    <t>Roberts, Amy</t>
  </si>
  <si>
    <t>Gordon, Denise</t>
  </si>
  <si>
    <t>Ramsey, Melinda</t>
  </si>
  <si>
    <t>Mckee, Rhiannon</t>
  </si>
  <si>
    <t>House, Samuel</t>
  </si>
  <si>
    <t>Barnes, Sheila</t>
  </si>
  <si>
    <t>Pritchard, Amberly</t>
  </si>
  <si>
    <t>Kasinger, Ashley</t>
  </si>
  <si>
    <t>Mcarthur, Branaie</t>
  </si>
  <si>
    <t>Duran, Robin</t>
  </si>
  <si>
    <t>Jackson, Tyler</t>
  </si>
  <si>
    <t>Spytma-Woods, Aleisha</t>
  </si>
  <si>
    <t>Grothe, Clark</t>
  </si>
  <si>
    <t>Davis, Billy</t>
  </si>
  <si>
    <t>Sallee, Katherleen</t>
  </si>
  <si>
    <t>Myers, Pamela</t>
  </si>
  <si>
    <t>Sims, Falundrus</t>
  </si>
  <si>
    <t>Coffman, Julia</t>
  </si>
  <si>
    <t>Foster, Katherine</t>
  </si>
  <si>
    <t>Houston, Kizzie</t>
  </si>
  <si>
    <t>Chaney, Monan</t>
  </si>
  <si>
    <t>Cook, Melissa</t>
  </si>
  <si>
    <t>Pruett, John</t>
  </si>
  <si>
    <t>Wells, Allyson</t>
  </si>
  <si>
    <t>Woodruff, Peyton</t>
  </si>
  <si>
    <t>Cornelius, Annie</t>
  </si>
  <si>
    <t>Nicole E Smith</t>
  </si>
  <si>
    <t>Brewer, Skyler</t>
  </si>
  <si>
    <t>Clark, Olivia</t>
  </si>
  <si>
    <t>Hall, Melissa</t>
  </si>
  <si>
    <t>Van Kirk, Donna</t>
  </si>
  <si>
    <t>Hooper, Melanie</t>
  </si>
  <si>
    <t>Dingler, Eric</t>
  </si>
  <si>
    <t>Wilson, Jacrall</t>
  </si>
  <si>
    <t>Walls, Jennifer</t>
  </si>
  <si>
    <t>Gansz, Sherri</t>
  </si>
  <si>
    <t>Nothnagel, Christi</t>
  </si>
  <si>
    <t>Kitchens, Jessica</t>
  </si>
  <si>
    <t>Felker, Christina</t>
  </si>
  <si>
    <t>Cato, Morgan,</t>
  </si>
  <si>
    <t>Holly, Jarvis</t>
  </si>
  <si>
    <t>Ebony, Jordan</t>
  </si>
  <si>
    <t>Vanover, Beverly</t>
  </si>
  <si>
    <t>Mcabee, Lacie</t>
  </si>
  <si>
    <t>Isaac, Lucien</t>
  </si>
  <si>
    <t>Morgan, Willica E</t>
  </si>
  <si>
    <t>Burns, Tracy</t>
  </si>
  <si>
    <t>Glisson, Tiffany</t>
  </si>
  <si>
    <t>Wallace, Jason</t>
  </si>
  <si>
    <t>Sierocuk, Kyle</t>
  </si>
  <si>
    <t>Trenton, Aldridge</t>
  </si>
  <si>
    <t>Stovall, Mary</t>
  </si>
  <si>
    <t>Atkinson, Amy M</t>
  </si>
  <si>
    <t>Benning, Kimberly L.</t>
  </si>
  <si>
    <t>Jackson, Mindy,</t>
  </si>
  <si>
    <t>Watkins, Kylie</t>
  </si>
  <si>
    <t>Adkins, Julie</t>
  </si>
  <si>
    <t>Jennings-Pikey, Marylee</t>
  </si>
  <si>
    <t>Banks, Krameelah</t>
  </si>
  <si>
    <t>Burkett, Joelle</t>
  </si>
  <si>
    <t>Gardner, Kelly</t>
  </si>
  <si>
    <t>Roberts, Halee</t>
  </si>
  <si>
    <t>Jogani, Sidharth</t>
  </si>
  <si>
    <t>Stinson, Sheila</t>
  </si>
  <si>
    <t>Tama D Pence</t>
  </si>
  <si>
    <t>Vansell, Kelly</t>
  </si>
  <si>
    <t>Beason, Pearl</t>
  </si>
  <si>
    <t>Norris, Tara</t>
  </si>
  <si>
    <t>Tia Morris</t>
  </si>
  <si>
    <t>Armstrong, Stacie</t>
  </si>
  <si>
    <t>Rodgers, Tammy, K</t>
  </si>
  <si>
    <t>Griffin, Anne</t>
  </si>
  <si>
    <t>Hathcock, Donna</t>
  </si>
  <si>
    <t>Okolo, Sada</t>
  </si>
  <si>
    <t>Davidson, Samantha</t>
  </si>
  <si>
    <t>Golden, Samantha</t>
  </si>
  <si>
    <t>Yount, Amanda</t>
  </si>
  <si>
    <t>Jones, Sean</t>
  </si>
  <si>
    <t>Rivers, Renisha</t>
  </si>
  <si>
    <t>Mosley, Joi</t>
  </si>
  <si>
    <t>Anna J Johnson</t>
  </si>
  <si>
    <t>Bradberry, Sarah</t>
  </si>
  <si>
    <t>Martin, Daniel</t>
  </si>
  <si>
    <t>Rachel, Simpson</t>
  </si>
  <si>
    <t>Michael, Higginbotham</t>
  </si>
  <si>
    <t>Hubbell, Kallie M</t>
  </si>
  <si>
    <t>Montelongo, Gracie,</t>
  </si>
  <si>
    <t>Rachel, Toomer</t>
  </si>
  <si>
    <t>Lawton, Miranda</t>
  </si>
  <si>
    <t>Randall, Shelbi,</t>
  </si>
  <si>
    <t>Landers, Joshua</t>
  </si>
  <si>
    <t>Franklin, Bradley</t>
  </si>
  <si>
    <t>Hicks Master, Angie</t>
  </si>
  <si>
    <t>Clifford, Tara</t>
  </si>
  <si>
    <t>Place, Kelly</t>
  </si>
  <si>
    <t>Mcchristian, Chrystal</t>
  </si>
  <si>
    <t>Dicus, Stephanie</t>
  </si>
  <si>
    <t>Williamson, Jenifer</t>
  </si>
  <si>
    <t>Hadley, Ottysha</t>
  </si>
  <si>
    <t>Hensley, Julie</t>
  </si>
  <si>
    <t>Scott, Christy</t>
  </si>
  <si>
    <t>Evans, Bethany</t>
  </si>
  <si>
    <t>Culver, Mallory</t>
  </si>
  <si>
    <t>Hayward, Elizabeth</t>
  </si>
  <si>
    <t>Stokes, Katherine</t>
  </si>
  <si>
    <t>Cox, Dianne</t>
  </si>
  <si>
    <t>Pruitt, Brittany</t>
  </si>
  <si>
    <t>Kristina,Johnson</t>
  </si>
  <si>
    <t>Graham, Gretchen</t>
  </si>
  <si>
    <t>Barton, Lanell Renee</t>
  </si>
  <si>
    <t>Pleasant, Michelle</t>
  </si>
  <si>
    <t>Hawkins, James</t>
  </si>
  <si>
    <t>Meyers, Emily</t>
  </si>
  <si>
    <t>Hartsock, Meredith</t>
  </si>
  <si>
    <t>Rueda, Timothy</t>
  </si>
  <si>
    <t>Sutton, Sheri</t>
  </si>
  <si>
    <t>Berkemeyer, Brian</t>
  </si>
  <si>
    <t>Bean, Sarah</t>
  </si>
  <si>
    <t>Moreno, Nadia</t>
  </si>
  <si>
    <t>Lund, Joshua</t>
  </si>
  <si>
    <t>Amy, Shaw</t>
  </si>
  <si>
    <t>Yoder, Joseph</t>
  </si>
  <si>
    <t>Hampton, Curt</t>
  </si>
  <si>
    <t>Bartow, Kettelhut, Carly</t>
  </si>
  <si>
    <t>Hurst, Shannon</t>
  </si>
  <si>
    <t>Klopner, Walter,</t>
  </si>
  <si>
    <t>Worlow, Sandra</t>
  </si>
  <si>
    <t>Turney, Howard</t>
  </si>
  <si>
    <t>Millerd, Susan</t>
  </si>
  <si>
    <t>Followell, Joseph</t>
  </si>
  <si>
    <t>Grant, Timothy</t>
  </si>
  <si>
    <t>Vowell, Dennis</t>
  </si>
  <si>
    <t>Marcotte, Stacy D.</t>
  </si>
  <si>
    <t>Edwards, Jonathan</t>
  </si>
  <si>
    <t>Gibson, Tameka</t>
  </si>
  <si>
    <t>Cooper, Terry</t>
  </si>
  <si>
    <t>Johnson, Jamie</t>
  </si>
  <si>
    <t>Brown-Benson, Brandi</t>
  </si>
  <si>
    <t>Lehner, Kristin</t>
  </si>
  <si>
    <t>Jackson, Sydney</t>
  </si>
  <si>
    <t>Ballard, Amy</t>
  </si>
  <si>
    <t>Davis, Marion</t>
  </si>
  <si>
    <t>Roberts, Gregory</t>
  </si>
  <si>
    <t>Glass, Shaquila</t>
  </si>
  <si>
    <t>Skelton, Stephanie</t>
  </si>
  <si>
    <t>Turnbow, Amanda</t>
  </si>
  <si>
    <t>Diana, Schmitz</t>
  </si>
  <si>
    <t>Van Winkle, April</t>
  </si>
  <si>
    <t>Meeker, Leslie</t>
  </si>
  <si>
    <t>Thomas, Audrey</t>
  </si>
  <si>
    <t>White, Megan,</t>
  </si>
  <si>
    <t>Abigail, Morales</t>
  </si>
  <si>
    <t>Barrom, Rebekah</t>
  </si>
  <si>
    <t>Barnett, Grant, M</t>
  </si>
  <si>
    <t>Petree, Erica</t>
  </si>
  <si>
    <t>Gray, Joel</t>
  </si>
  <si>
    <t>Richardson, Terri</t>
  </si>
  <si>
    <t>Cunningham, Gloria</t>
  </si>
  <si>
    <t>Bellando, Jayne</t>
  </si>
  <si>
    <t>Winbery, Kim</t>
  </si>
  <si>
    <t>Mclaughlin, Kristy</t>
  </si>
  <si>
    <t>Flowers, Michael</t>
  </si>
  <si>
    <t>Krista, Nelson</t>
  </si>
  <si>
    <t>Veronica,Haydon</t>
  </si>
  <si>
    <t>Gray, Brian J</t>
  </si>
  <si>
    <t>Myler, Karen</t>
  </si>
  <si>
    <t>Buddy, Bond-Martin</t>
  </si>
  <si>
    <t>Griffin, Latonia</t>
  </si>
  <si>
    <t>Figueroa Luna, Diana</t>
  </si>
  <si>
    <t>Freece, Ashley</t>
  </si>
  <si>
    <t>Irby, Sarah</t>
  </si>
  <si>
    <t>Pollard Cecil Lisa A</t>
  </si>
  <si>
    <t>Price, Dedra</t>
  </si>
  <si>
    <t>Sanders, Felicia</t>
  </si>
  <si>
    <t>Harrison, Nina</t>
  </si>
  <si>
    <t>Mcdonald, Sean</t>
  </si>
  <si>
    <t>Lenderman, Kelly</t>
  </si>
  <si>
    <t>Foster, Mark</t>
  </si>
  <si>
    <t>Riffle, Katheryne</t>
  </si>
  <si>
    <t>Bell, Lauren</t>
  </si>
  <si>
    <t>Chunn, Hilary</t>
  </si>
  <si>
    <t>Mccoy, Lisa</t>
  </si>
  <si>
    <t>Thompson, Emily</t>
  </si>
  <si>
    <t>Timm, Carolyn</t>
  </si>
  <si>
    <t>Kristin, Jackson</t>
  </si>
  <si>
    <t>Durham, Emily</t>
  </si>
  <si>
    <t>Nelson, Mike</t>
  </si>
  <si>
    <t>Vanwinkle, Ryan</t>
  </si>
  <si>
    <t>Murphy, Tara</t>
  </si>
  <si>
    <t>Pray, Leigh</t>
  </si>
  <si>
    <t>Mclin, Mary</t>
  </si>
  <si>
    <t>Henry, Gwendolyn</t>
  </si>
  <si>
    <t>Matsuyama, Megan</t>
  </si>
  <si>
    <t>Roger, Hemmert</t>
  </si>
  <si>
    <t>Robbins, Melita</t>
  </si>
  <si>
    <t>Green, Lisa</t>
  </si>
  <si>
    <t>Kay, Kristin</t>
  </si>
  <si>
    <t>Jones, Megan</t>
  </si>
  <si>
    <t>Petz, Beth</t>
  </si>
  <si>
    <t>Wells, Tracie</t>
  </si>
  <si>
    <t>Whitfield, Ann</t>
  </si>
  <si>
    <t>Matthews, Marilyn</t>
  </si>
  <si>
    <t>Mccray, Kristen</t>
  </si>
  <si>
    <t>Green, Boyd, Latasha</t>
  </si>
  <si>
    <t>Harper, Meghan</t>
  </si>
  <si>
    <t>Reynolds, Kirby,</t>
  </si>
  <si>
    <t>Roller, Josh</t>
  </si>
  <si>
    <t>Hanewald, Tori</t>
  </si>
  <si>
    <t>Mark, Sullivan</t>
  </si>
  <si>
    <t>Marquart, David</t>
  </si>
  <si>
    <t>Jordan,Baker</t>
  </si>
  <si>
    <t>Burnett, Stephanie</t>
  </si>
  <si>
    <t>Mainard, Paula</t>
  </si>
  <si>
    <t>Sheila, Stoner</t>
  </si>
  <si>
    <t>Copps, Marianne,</t>
  </si>
  <si>
    <t>Veilleux, Jennifer, C</t>
  </si>
  <si>
    <t>Leader, Kelly,</t>
  </si>
  <si>
    <t>Ellis, Dawn,</t>
  </si>
  <si>
    <t>King, Chelsea,</t>
  </si>
  <si>
    <t>Henry, Joanie</t>
  </si>
  <si>
    <t>Page, Ina</t>
  </si>
  <si>
    <t>Church, Janice</t>
  </si>
  <si>
    <t>Taylor, Mark</t>
  </si>
  <si>
    <t>Woodson, Pamela</t>
  </si>
  <si>
    <t>Crutchfield, Holly</t>
  </si>
  <si>
    <t>Hart, Tasha</t>
  </si>
  <si>
    <t>Boyd, Ana</t>
  </si>
  <si>
    <t>Woods, Natasha</t>
  </si>
  <si>
    <t>Turic, Tonya</t>
  </si>
  <si>
    <t>Atkinson, Kevin</t>
  </si>
  <si>
    <t>Scott, Adrienne</t>
  </si>
  <si>
    <t>Yaeger, Taunya</t>
  </si>
  <si>
    <t>Rusk, Amy</t>
  </si>
  <si>
    <t>Harris, Brandi</t>
  </si>
  <si>
    <t>Traylor, Victoria</t>
  </si>
  <si>
    <t>Traylor, Lashonda</t>
  </si>
  <si>
    <t>Sundara, Kelsey</t>
  </si>
  <si>
    <t>Adams Johnson, Arnzie</t>
  </si>
  <si>
    <t>Flowers, Theresa</t>
  </si>
  <si>
    <t>Person Michener, Joanna</t>
  </si>
  <si>
    <t>Deremo, Justin</t>
  </si>
  <si>
    <t>Allison, Micah</t>
  </si>
  <si>
    <t>Morgan, Alyssa</t>
  </si>
  <si>
    <t>Alford, Allison</t>
  </si>
  <si>
    <t>Smith, Allycen,</t>
  </si>
  <si>
    <t>Yarberry, Alisha</t>
  </si>
  <si>
    <t>Daniel, Sheaffer</t>
  </si>
  <si>
    <t>Keirsten Q Lee</t>
  </si>
  <si>
    <t>Bennett, Ellen</t>
  </si>
  <si>
    <t>Phillips, Randall</t>
  </si>
  <si>
    <t>Barrett, Richard</t>
  </si>
  <si>
    <t>Phillip, Bendall</t>
  </si>
  <si>
    <t>Thomas, Regina</t>
  </si>
  <si>
    <t>Higgs, Sandra</t>
  </si>
  <si>
    <t>Rogers, Brandi</t>
  </si>
  <si>
    <t>Baker, Jennibette</t>
  </si>
  <si>
    <t>Stewart Smith, Brittany</t>
  </si>
  <si>
    <t>Chase, Coralee</t>
  </si>
  <si>
    <t>Heinzelmann, Andrew</t>
  </si>
  <si>
    <t>Miller, Jeanne</t>
  </si>
  <si>
    <t>Heinrich, Heather</t>
  </si>
  <si>
    <t>Willyard, Carrie</t>
  </si>
  <si>
    <t>Keesling, William</t>
  </si>
  <si>
    <t>Owens, Twila</t>
  </si>
  <si>
    <t>Fresh, Andrea</t>
  </si>
  <si>
    <t>Word-Castleberry, Rebekah</t>
  </si>
  <si>
    <t>Sailor, Shelley</t>
  </si>
  <si>
    <t>Fitzgerald, Debra</t>
  </si>
  <si>
    <t>Jason M Seed</t>
  </si>
  <si>
    <t>Harrell, Harry J</t>
  </si>
  <si>
    <t>Medders, Jon</t>
  </si>
  <si>
    <t>Warren, Susan</t>
  </si>
  <si>
    <t>Payne, Jennifer</t>
  </si>
  <si>
    <t>Keelee</t>
  </si>
  <si>
    <t>Deborah, Horton</t>
  </si>
  <si>
    <t>Landreneau, Renee</t>
  </si>
  <si>
    <t>Chastain, Sara</t>
  </si>
  <si>
    <t>Yoakum, Judith</t>
  </si>
  <si>
    <t>Cravey, William</t>
  </si>
  <si>
    <t>Robinson, Krystal</t>
  </si>
  <si>
    <t>Ozbek, Irene</t>
  </si>
  <si>
    <t>Landis, Katherine A</t>
  </si>
  <si>
    <t>Hubbard, Callie</t>
  </si>
  <si>
    <t>Tackett, Jannie</t>
  </si>
  <si>
    <t>Cavell, Timothy</t>
  </si>
  <si>
    <t>Luebben, James</t>
  </si>
  <si>
    <t>Williams, Debi</t>
  </si>
  <si>
    <t>Mccreight, Jacqueline</t>
  </si>
  <si>
    <t>Milton, Alicia</t>
  </si>
  <si>
    <t>Horton, Rita</t>
  </si>
  <si>
    <t>Young, Gregory</t>
  </si>
  <si>
    <t>Barnes, Kimberlee</t>
  </si>
  <si>
    <t>Thompson, Crissy</t>
  </si>
  <si>
    <t>Paula,Testerman</t>
  </si>
  <si>
    <t>Geurin, Laurie</t>
  </si>
  <si>
    <t>Stein, Robin</t>
  </si>
  <si>
    <t>Moberly, Jayme</t>
  </si>
  <si>
    <t>Williams, Carla</t>
  </si>
  <si>
    <t>Blevins, Cheyenne</t>
  </si>
  <si>
    <t>Huntsman, Ashley</t>
  </si>
  <si>
    <t>Pace, Crystal</t>
  </si>
  <si>
    <t>Scudder, Maci</t>
  </si>
  <si>
    <t>Ryan-Hunt, Alaina</t>
  </si>
  <si>
    <t>Walker, Melissa</t>
  </si>
  <si>
    <t>Anthony, Codi</t>
  </si>
  <si>
    <t>Davis, Katherine</t>
  </si>
  <si>
    <t>Ferguson, Kasia</t>
  </si>
  <si>
    <t>Davis, Carlson, Maegan</t>
  </si>
  <si>
    <t>Ashley, Lucas</t>
  </si>
  <si>
    <t>Sherrill, Katelyn</t>
  </si>
  <si>
    <t>Gilbreth, Marisa</t>
  </si>
  <si>
    <t>Bolt, Kevin</t>
  </si>
  <si>
    <t>Dromgoole, Mckenzie</t>
  </si>
  <si>
    <t>Reyes, Jessica</t>
  </si>
  <si>
    <t>Lemaster, Robert</t>
  </si>
  <si>
    <t>Levenbach, Keren</t>
  </si>
  <si>
    <t>Heather, Fox</t>
  </si>
  <si>
    <t>Woodworth, Katherine</t>
  </si>
  <si>
    <t>Baskins, Eric</t>
  </si>
  <si>
    <t>Dow, Christopher</t>
  </si>
  <si>
    <t>Camden, Chanda</t>
  </si>
  <si>
    <t>De Soto, Tracy</t>
  </si>
  <si>
    <t>Nygren, Elinor</t>
  </si>
  <si>
    <t>Letbetter, Kellie</t>
  </si>
  <si>
    <t>Spurlock, Jeri</t>
  </si>
  <si>
    <t>Dodson Dupree, Kristina</t>
  </si>
  <si>
    <t>Pitman, Sean</t>
  </si>
  <si>
    <t>Small, Sara</t>
  </si>
  <si>
    <t>Flurry, Mallary</t>
  </si>
  <si>
    <t>Murphy, Caroline</t>
  </si>
  <si>
    <t>Mukatira, Uthappa</t>
  </si>
  <si>
    <t>Anthony, Leigh</t>
  </si>
  <si>
    <t>Smolinski, Allyson</t>
  </si>
  <si>
    <t>Freeman, Amber</t>
  </si>
  <si>
    <t>Brewer, Trudy</t>
  </si>
  <si>
    <t>Frans, Mary, G</t>
  </si>
  <si>
    <t>Godlewski, Sarah</t>
  </si>
  <si>
    <t>Dabbs, Joseph</t>
  </si>
  <si>
    <t>Bridwell, Matthew</t>
  </si>
  <si>
    <t>Thompson, Rajhi</t>
  </si>
  <si>
    <t>Pilarski, Ginger</t>
  </si>
  <si>
    <t>Pittman, Alyson</t>
  </si>
  <si>
    <t>Knowles, Angela</t>
  </si>
  <si>
    <t>Alexandra, Ramsey</t>
  </si>
  <si>
    <t>Bethany, Files</t>
  </si>
  <si>
    <t>Bland, Callie</t>
  </si>
  <si>
    <t>Ramsay, Heather</t>
  </si>
  <si>
    <t>Sanders, Karen</t>
  </si>
  <si>
    <t>Matinchek, Henry</t>
  </si>
  <si>
    <t>Collins, Bethany</t>
  </si>
  <si>
    <t>Terwilliger, Tracy</t>
  </si>
  <si>
    <t>Brown, Christina</t>
  </si>
  <si>
    <t>Decoster, Marla</t>
  </si>
  <si>
    <t>Cravens, Benjamin</t>
  </si>
  <si>
    <t>Cavaness, Miranda</t>
  </si>
  <si>
    <t>Cox, Angela</t>
  </si>
  <si>
    <t>Dill, C.W.</t>
  </si>
  <si>
    <t>Donohue, Melanie</t>
  </si>
  <si>
    <t>Sprouse, Alexandra</t>
  </si>
  <si>
    <t>Vassar, Sarah</t>
  </si>
  <si>
    <t>Baer, Marsha</t>
  </si>
  <si>
    <t>Trujillo, Cecilia</t>
  </si>
  <si>
    <t>Mears, Kelly</t>
  </si>
  <si>
    <t>Powell, Jenny</t>
  </si>
  <si>
    <t>Hyman, Malissa</t>
  </si>
  <si>
    <t>Green, Sheria</t>
  </si>
  <si>
    <t>Poteat, Natasha</t>
  </si>
  <si>
    <t>Kljajic, Jennifer</t>
  </si>
  <si>
    <t>Sorenson, Trista</t>
  </si>
  <si>
    <t>Mcallister, Kristen</t>
  </si>
  <si>
    <t>Beason, Loren</t>
  </si>
  <si>
    <t>Rubino, William</t>
  </si>
  <si>
    <t>Bruijn, Brian D</t>
  </si>
  <si>
    <t>Thomasson, Heather</t>
  </si>
  <si>
    <t>Starling-Hodge, Jaime</t>
  </si>
  <si>
    <t>Palas, Sean</t>
  </si>
  <si>
    <t>Cain, Mary</t>
  </si>
  <si>
    <t>Youngs, Darin</t>
  </si>
  <si>
    <t>Nancy, Morales</t>
  </si>
  <si>
    <t>Katelynn, Young</t>
  </si>
  <si>
    <t>Mcguire, Candous</t>
  </si>
  <si>
    <t>Wattigney, Petra</t>
  </si>
  <si>
    <t>Wert, Tabitha,</t>
  </si>
  <si>
    <t>Winkelmeyer, Cassie</t>
  </si>
  <si>
    <t>Hernandez, Alma</t>
  </si>
  <si>
    <t>Rogers, Haley, M</t>
  </si>
  <si>
    <t>Petrie, Aaron</t>
  </si>
  <si>
    <t>Williams, Michael,</t>
  </si>
  <si>
    <t>Milbourn, Nancy</t>
  </si>
  <si>
    <t>Witty, Thomas</t>
  </si>
  <si>
    <t>Moffitt Reaves, Carrie</t>
  </si>
  <si>
    <t>Parry, Kirk</t>
  </si>
  <si>
    <t>Mcdaniel, Brandy</t>
  </si>
  <si>
    <t>Lichte Madakasira, Kimberly</t>
  </si>
  <si>
    <t>Carter, Constance</t>
  </si>
  <si>
    <t>Keyes, Consuelo</t>
  </si>
  <si>
    <t>Means, Christa</t>
  </si>
  <si>
    <t>Mccoy, Natasha</t>
  </si>
  <si>
    <t>Beevers, Jacquelyn</t>
  </si>
  <si>
    <t>Wright, Jennifer</t>
  </si>
  <si>
    <t>Gilmore, Katlynne</t>
  </si>
  <si>
    <t>Kretzer, James</t>
  </si>
  <si>
    <t>Moses, Angela</t>
  </si>
  <si>
    <t>Allensworth, Michael</t>
  </si>
  <si>
    <t>Earl, Ronald</t>
  </si>
  <si>
    <t>Reed, Dawn</t>
  </si>
  <si>
    <t>Faddis, Jennifer</t>
  </si>
  <si>
    <t>Harrod, Rachel</t>
  </si>
  <si>
    <t>Miller, Emily</t>
  </si>
  <si>
    <t>Jackson, Ian</t>
  </si>
  <si>
    <t>Bayless, Jill</t>
  </si>
  <si>
    <t>Favre, Latoya</t>
  </si>
  <si>
    <t>Chamberlain, Madison</t>
  </si>
  <si>
    <t>Cornell, Vienna</t>
  </si>
  <si>
    <t>Tweed, Ashley</t>
  </si>
  <si>
    <t>Samantha J Adauto</t>
  </si>
  <si>
    <t>Ogletree, Kathryn</t>
  </si>
  <si>
    <t>Shelton, Jocelyn</t>
  </si>
  <si>
    <t>Mckown, Garrett</t>
  </si>
  <si>
    <t>Herrington, Jada, N</t>
  </si>
  <si>
    <t>Humphrey, Heather</t>
  </si>
  <si>
    <t>Prather, Ann</t>
  </si>
  <si>
    <t>Liddell, Kenya</t>
  </si>
  <si>
    <t>Montgomery, Tamela</t>
  </si>
  <si>
    <t>Barnes, Rhonda</t>
  </si>
  <si>
    <t>Easton, Mandalyn</t>
  </si>
  <si>
    <t>Garcia, Jose</t>
  </si>
  <si>
    <t>Rodgers, Brandi</t>
  </si>
  <si>
    <t>Hickman, Frankie</t>
  </si>
  <si>
    <t>Madill, Jonathan</t>
  </si>
  <si>
    <t>Sharnae, Hannah</t>
  </si>
  <si>
    <t>Moore, Shannon</t>
  </si>
  <si>
    <t>Bethell, Vanessa</t>
  </si>
  <si>
    <t>Kern, Jennifer</t>
  </si>
  <si>
    <t>Scott, Jessica</t>
  </si>
  <si>
    <t>Clark, Christine</t>
  </si>
  <si>
    <t>Mccullough, J</t>
  </si>
  <si>
    <t>Collins, Sky</t>
  </si>
  <si>
    <t>Cromer, Coralotta</t>
  </si>
  <si>
    <t>Harrison, Briana,</t>
  </si>
  <si>
    <t>Thompson, Lori</t>
  </si>
  <si>
    <t>Marissa,Stager</t>
  </si>
  <si>
    <t>Tyler, Quattlebaum</t>
  </si>
  <si>
    <t>Sather, Jaime</t>
  </si>
  <si>
    <t>Resler, Anne</t>
  </si>
  <si>
    <t>Price, Jennifer</t>
  </si>
  <si>
    <t>Lorson, Lindsay</t>
  </si>
  <si>
    <t>Hartgraves, Whitney</t>
  </si>
  <si>
    <t>Massey, Allie</t>
  </si>
  <si>
    <t>Rand, Anna</t>
  </si>
  <si>
    <t>Molly, Echols</t>
  </si>
  <si>
    <t>Shyni, Joseph</t>
  </si>
  <si>
    <t>Luke, Jackson</t>
  </si>
  <si>
    <t>Deese, Sara</t>
  </si>
  <si>
    <t>Polk, Jessica</t>
  </si>
  <si>
    <t>Robbins, Sarah</t>
  </si>
  <si>
    <t>Madison, Cougill</t>
  </si>
  <si>
    <t>Roberts, Monica</t>
  </si>
  <si>
    <t>Mcdonald, Donald</t>
  </si>
  <si>
    <t>Crawford, Walter</t>
  </si>
  <si>
    <t>Thompson, Candace M.</t>
  </si>
  <si>
    <t>Ackeret Smith, Barbara</t>
  </si>
  <si>
    <t>Charlanda, Ford</t>
  </si>
  <si>
    <t>Huff, Bobby</t>
  </si>
  <si>
    <t>Brewer, Linda</t>
  </si>
  <si>
    <t>Williams, Tiffany</t>
  </si>
  <si>
    <t>Smith, Djuana</t>
  </si>
  <si>
    <t>Aubre, Phillips</t>
  </si>
  <si>
    <t>Wood, Meagan</t>
  </si>
  <si>
    <t>Halamek, Joshua</t>
  </si>
  <si>
    <t>Williams, Diane</t>
  </si>
  <si>
    <t>Griffin, Barron,</t>
  </si>
  <si>
    <t>Sanson, Maria</t>
  </si>
  <si>
    <t>Bailey, Emily</t>
  </si>
  <si>
    <t>Oliver, Jeremy</t>
  </si>
  <si>
    <t>Clayton, Magen</t>
  </si>
  <si>
    <t>Laney, Lisa</t>
  </si>
  <si>
    <t>Fuller, Shanice</t>
  </si>
  <si>
    <t>Carvajal, Leah</t>
  </si>
  <si>
    <t>Howard, Leighann</t>
  </si>
  <si>
    <t>Taylor, Katey</t>
  </si>
  <si>
    <t>Alexander, Laquinda</t>
  </si>
  <si>
    <t>Braswell, Camille</t>
  </si>
  <si>
    <t>Moore, Katelyn</t>
  </si>
  <si>
    <t>Sarah, Defries</t>
  </si>
  <si>
    <t>Smith, Kristen,</t>
  </si>
  <si>
    <t>Pschierl, Brooke</t>
  </si>
  <si>
    <t>Calfee, Taylor,</t>
  </si>
  <si>
    <t>Roberts, Gwendolyn</t>
  </si>
  <si>
    <t>Adams, Amy</t>
  </si>
  <si>
    <t>Smith Roberts, Sheri</t>
  </si>
  <si>
    <t>Watts, Jonathan</t>
  </si>
  <si>
    <t>White, C</t>
  </si>
  <si>
    <t>Finch, Ann</t>
  </si>
  <si>
    <t>Baugh Harris, Tracy</t>
  </si>
  <si>
    <t>Harris, Karen</t>
  </si>
  <si>
    <t>Jones, Ella</t>
  </si>
  <si>
    <t>Segraves, Kim,</t>
  </si>
  <si>
    <t>Mitchell, John</t>
  </si>
  <si>
    <t>Eledge, Kelly</t>
  </si>
  <si>
    <t>Hatfield, Rachel</t>
  </si>
  <si>
    <t>Morse, Paula</t>
  </si>
  <si>
    <t>Wallace, Dan</t>
  </si>
  <si>
    <t>Cox, Julie</t>
  </si>
  <si>
    <t>Anderson, Eboni</t>
  </si>
  <si>
    <t>Gibson, Jamie</t>
  </si>
  <si>
    <t>Hayes, Robert</t>
  </si>
  <si>
    <t>Butler, Christina</t>
  </si>
  <si>
    <t>Teague, Randall L</t>
  </si>
  <si>
    <t>Mizell, Philip</t>
  </si>
  <si>
    <t>Watson, Charlett</t>
  </si>
  <si>
    <t>Devlin, Devin</t>
  </si>
  <si>
    <t>Simmons, Laura</t>
  </si>
  <si>
    <t>Stovall, Shatoyia</t>
  </si>
  <si>
    <t>Wilkerson, Mindy</t>
  </si>
  <si>
    <t>Baldwin, Jordan</t>
  </si>
  <si>
    <t>Abel, Angela</t>
  </si>
  <si>
    <t>Brown, Austin</t>
  </si>
  <si>
    <t>Angela, Rowden</t>
  </si>
  <si>
    <t>Tara, Dejohn</t>
  </si>
  <si>
    <t>Samantha, Stone</t>
  </si>
  <si>
    <t>Richardson, Sharon</t>
  </si>
  <si>
    <t>Richardson, Florence</t>
  </si>
  <si>
    <t>Devine, Patricia</t>
  </si>
  <si>
    <t>Harder, Alyson</t>
  </si>
  <si>
    <t>Gerst, Eugene</t>
  </si>
  <si>
    <t>Brunswick, Madison</t>
  </si>
  <si>
    <t>Estes, Tiffany</t>
  </si>
  <si>
    <t>Few, Joseph</t>
  </si>
  <si>
    <t>Pafford, Mark</t>
  </si>
  <si>
    <t>Shaw, Brian</t>
  </si>
  <si>
    <t>Embry, Jennifer</t>
  </si>
  <si>
    <t>Long, Melissa</t>
  </si>
  <si>
    <t>Mandal Blasio, Rebecca</t>
  </si>
  <si>
    <t>Rineheart, Karen</t>
  </si>
  <si>
    <t>Howard, Benny</t>
  </si>
  <si>
    <t>Lovell, Kristan</t>
  </si>
  <si>
    <t>Volner, Melanie</t>
  </si>
  <si>
    <t>Grimes, Leah</t>
  </si>
  <si>
    <t>Russell, Allison</t>
  </si>
  <si>
    <t>Smith, Makenzie</t>
  </si>
  <si>
    <t>Harris, Nancy</t>
  </si>
  <si>
    <t>Fowler, Natasha</t>
  </si>
  <si>
    <t>Short, Anna</t>
  </si>
  <si>
    <t>Wells, Sheryl</t>
  </si>
  <si>
    <t>Blacksmith, Ginger</t>
  </si>
  <si>
    <t>Bassarear, Amy</t>
  </si>
  <si>
    <t>Brown, Connie</t>
  </si>
  <si>
    <t>Weber, Rachel</t>
  </si>
  <si>
    <t>Griffin, Susanne</t>
  </si>
  <si>
    <t>Boyd, Cathy</t>
  </si>
  <si>
    <t>Little, Megan</t>
  </si>
  <si>
    <t>Teague, Jonathan</t>
  </si>
  <si>
    <t>Hawkins, David,</t>
  </si>
  <si>
    <t>Spragg, Dawn</t>
  </si>
  <si>
    <t>Cox, Gortrell</t>
  </si>
  <si>
    <t>Holsonback, Taylor,</t>
  </si>
  <si>
    <t>Castillo, Evelyn,</t>
  </si>
  <si>
    <t>Pierre, Alysea,</t>
  </si>
  <si>
    <t>Keene, Kristen</t>
  </si>
  <si>
    <t>Schuermann, Tyler</t>
  </si>
  <si>
    <t>Frix Rhyne, Carly</t>
  </si>
  <si>
    <t>Heather, Mcloud</t>
  </si>
  <si>
    <t>Cluts, Michael</t>
  </si>
  <si>
    <t>Spiegel (Ferstl), Heidi</t>
  </si>
  <si>
    <t>Eldridge, Kelly</t>
  </si>
  <si>
    <t>Gibbard, Suzanne</t>
  </si>
  <si>
    <t>Davis, Dina R</t>
  </si>
  <si>
    <t>Gilchrist, Hope</t>
  </si>
  <si>
    <t>Buffington, Miranda</t>
  </si>
  <si>
    <t>Wynn, Shannon</t>
  </si>
  <si>
    <t>Adams, Audrey</t>
  </si>
  <si>
    <t>Wilson, Julie</t>
  </si>
  <si>
    <t>Myers, Monique</t>
  </si>
  <si>
    <t>Christian Carpenter, Stephanie</t>
  </si>
  <si>
    <t>Orellana Pena, Claudia</t>
  </si>
  <si>
    <t>Ketcherside, Anna</t>
  </si>
  <si>
    <t>Ben, Ulibarri</t>
  </si>
  <si>
    <t>Cox, Kellie</t>
  </si>
  <si>
    <t>Hamilton, Jessica</t>
  </si>
  <si>
    <t>Amy D Wickliffe</t>
  </si>
  <si>
    <t>Jones, Tammy</t>
  </si>
  <si>
    <t>Nally, Yolanda</t>
  </si>
  <si>
    <t>Webb, Travis</t>
  </si>
  <si>
    <t>Killackey, Ryan</t>
  </si>
  <si>
    <t>Jackson, Christy</t>
  </si>
  <si>
    <t>Vinson, Jade</t>
  </si>
  <si>
    <t>Chambers, Abraham</t>
  </si>
  <si>
    <t>Boughfman, Erica</t>
  </si>
  <si>
    <t>Hand, Lora</t>
  </si>
  <si>
    <t>Gregory, Kelsey</t>
  </si>
  <si>
    <t>Fullwiley, Jojuan</t>
  </si>
  <si>
    <t>Stevens, Lori</t>
  </si>
  <si>
    <t>Miller, Wanda</t>
  </si>
  <si>
    <t>Glover, Haley</t>
  </si>
  <si>
    <t>Maini, Melissa</t>
  </si>
  <si>
    <t>Tyler, Ramsey</t>
  </si>
  <si>
    <t>Samberg, Andrea</t>
  </si>
  <si>
    <t>Jones, Savannah</t>
  </si>
  <si>
    <t>Whiteside, Tia</t>
  </si>
  <si>
    <t>Hefner, Kaylee</t>
  </si>
  <si>
    <t>Mccord, Emily</t>
  </si>
  <si>
    <t>Rodriguez, Patricia,</t>
  </si>
  <si>
    <t>Shackelford, Susan</t>
  </si>
  <si>
    <t>Steinbeck, Michael</t>
  </si>
  <si>
    <t>Morgan, Wesley</t>
  </si>
  <si>
    <t>Mays, Ericka</t>
  </si>
  <si>
    <t>Long, Thomas</t>
  </si>
  <si>
    <t>Bailey, Ebony</t>
  </si>
  <si>
    <t>Weatherly, Natassia</t>
  </si>
  <si>
    <t>Jackson, Merinda</t>
  </si>
  <si>
    <t>Sproling, Marsha</t>
  </si>
  <si>
    <t>Buckley, Amy</t>
  </si>
  <si>
    <t>Jenkins, Tisha</t>
  </si>
  <si>
    <t>Presgrove, Sandra</t>
  </si>
  <si>
    <t>Tanaka, Hiroshi</t>
  </si>
  <si>
    <t>Damet-Powell, Maya</t>
  </si>
  <si>
    <t>Ronnau, Sean</t>
  </si>
  <si>
    <t>Wilcox, Hazel</t>
  </si>
  <si>
    <t>Shelton, Jessica</t>
  </si>
  <si>
    <t>French, Terri</t>
  </si>
  <si>
    <t>Shelley, Harrison</t>
  </si>
  <si>
    <t>Prothro, Kelsey</t>
  </si>
  <si>
    <t>Dodd, Adam, R</t>
  </si>
  <si>
    <t>Higgins, Melanie</t>
  </si>
  <si>
    <t>Allbright, William</t>
  </si>
  <si>
    <t>Woods, Rachel</t>
  </si>
  <si>
    <t>Duncan, Braden</t>
  </si>
  <si>
    <t>Goodman, Wallace</t>
  </si>
  <si>
    <t>Karen, Browne</t>
  </si>
  <si>
    <t>Wierbicki, Tiffany</t>
  </si>
  <si>
    <t>Bradley, Virginia</t>
  </si>
  <si>
    <t>Amy, Fisher</t>
  </si>
  <si>
    <t>Green, Jessie</t>
  </si>
  <si>
    <t>Fergerson, Cheryl</t>
  </si>
  <si>
    <t>Anon, Melanie</t>
  </si>
  <si>
    <t>Hesley, Traci,</t>
  </si>
  <si>
    <t>Mccallister, Candace</t>
  </si>
  <si>
    <t>Sossamon, Kayli,</t>
  </si>
  <si>
    <t>Brennan, Wheeler</t>
  </si>
  <si>
    <t>Stanley, James</t>
  </si>
  <si>
    <t>Thomason, Dana</t>
  </si>
  <si>
    <t>Watson, Vye</t>
  </si>
  <si>
    <t>Lewis, Amelia</t>
  </si>
  <si>
    <t>Lewis, Sandra</t>
  </si>
  <si>
    <t>Lewallen, Larry</t>
  </si>
  <si>
    <t>Essex, Dani</t>
  </si>
  <si>
    <t>Shelton, Holli</t>
  </si>
  <si>
    <t>Evans, Mander</t>
  </si>
  <si>
    <t>Canfield, Sonya</t>
  </si>
  <si>
    <t>Chavez, Rosa</t>
  </si>
  <si>
    <t>Bennett Kinney, Charity</t>
  </si>
  <si>
    <t>Davis Henderson, Natoya</t>
  </si>
  <si>
    <t>Gowin, Kayla,</t>
  </si>
  <si>
    <t>Scroggin, Meredith</t>
  </si>
  <si>
    <t>Turnipseed, Brian</t>
  </si>
  <si>
    <t>Horton, Laura</t>
  </si>
  <si>
    <t>Bell, Julianne</t>
  </si>
  <si>
    <t>Skinner, Holly</t>
  </si>
  <si>
    <t>Samuel, Landon</t>
  </si>
  <si>
    <t>Prejean, Sadie</t>
  </si>
  <si>
    <t>Seay, Tara T.</t>
  </si>
  <si>
    <t>Wleklinski, Donald</t>
  </si>
  <si>
    <t>Middleton, Caden</t>
  </si>
  <si>
    <t>Nave, Kimberly</t>
  </si>
  <si>
    <t>Brown, Katherine</t>
  </si>
  <si>
    <t>Mahler, Rachel</t>
  </si>
  <si>
    <t>Duke, Jenny,</t>
  </si>
  <si>
    <t>Bootsma, Alayna</t>
  </si>
  <si>
    <t>Shaw, Sakinah,</t>
  </si>
  <si>
    <t>Kelsey, Friend</t>
  </si>
  <si>
    <t>Davis, Kimble</t>
  </si>
  <si>
    <t>Hopson Allen, Christina</t>
  </si>
  <si>
    <t>Mcglone, Marcia</t>
  </si>
  <si>
    <t>Billy, Holley</t>
  </si>
  <si>
    <t>Sears, Samantha</t>
  </si>
  <si>
    <t>Akhtar, Tania</t>
  </si>
  <si>
    <t>Eric, Allen</t>
  </si>
  <si>
    <t>Chugg, Elizabeth</t>
  </si>
  <si>
    <t>Mosley, Faneisha</t>
  </si>
  <si>
    <t>Thomas, Stacey</t>
  </si>
  <si>
    <t>Defreece, Kaleigh</t>
  </si>
  <si>
    <t>Booth, Hannah</t>
  </si>
  <si>
    <t>Eddy, Heather</t>
  </si>
  <si>
    <t>Bennett, Lauren,</t>
  </si>
  <si>
    <t>Griffin, Christina</t>
  </si>
  <si>
    <t>Kelly, Willie</t>
  </si>
  <si>
    <t>Brooks, Ana</t>
  </si>
  <si>
    <t>Taylor, Black</t>
  </si>
  <si>
    <t>Cailyn</t>
  </si>
  <si>
    <t>Clark, Thewana</t>
  </si>
  <si>
    <t>Siddons, Amanda, L</t>
  </si>
  <si>
    <t>Brown, Tina</t>
  </si>
  <si>
    <t>Stephanie, Parish</t>
  </si>
  <si>
    <t>Monica, Anderson Allen</t>
  </si>
  <si>
    <t>Loren, Miller</t>
  </si>
  <si>
    <t>Guyla, Craft</t>
  </si>
  <si>
    <t>Kingsriter, Brad,</t>
  </si>
  <si>
    <t>Ford, Angela</t>
  </si>
  <si>
    <t>Magness, Cindy</t>
  </si>
  <si>
    <t>Tankersley, Brian</t>
  </si>
  <si>
    <t>Walz, Patricia</t>
  </si>
  <si>
    <t>Lehmann, Leigh</t>
  </si>
  <si>
    <t>Finch, Jenifer</t>
  </si>
  <si>
    <t>Lee, Toma</t>
  </si>
  <si>
    <t>Law, Michael A</t>
  </si>
  <si>
    <t>Henry Mack, Melissa</t>
  </si>
  <si>
    <t>Stevens, Kristie</t>
  </si>
  <si>
    <t>Mccoy Smith, Meghan</t>
  </si>
  <si>
    <t>Slover, Cynthia</t>
  </si>
  <si>
    <t>West, Michael</t>
  </si>
  <si>
    <t>Byrd, Reba</t>
  </si>
  <si>
    <t>Penner, Andrea</t>
  </si>
  <si>
    <t>Brooke, Heather</t>
  </si>
  <si>
    <t>Brittany, Sullivan</t>
  </si>
  <si>
    <t>Drennan, Renee</t>
  </si>
  <si>
    <t>Jonathan, Waddell</t>
  </si>
  <si>
    <t>Johnson, Clarissa</t>
  </si>
  <si>
    <t>Williams, Cindy</t>
  </si>
  <si>
    <t>Nelson, Jennifer,</t>
  </si>
  <si>
    <t>Gjeruldsen, Britt, K</t>
  </si>
  <si>
    <t>Lisa, Lewis</t>
  </si>
  <si>
    <t>Fortenberry, Taylor</t>
  </si>
  <si>
    <t>Breanna, Stephens</t>
  </si>
  <si>
    <t>Devore, April</t>
  </si>
  <si>
    <t>Rice, Hannah</t>
  </si>
  <si>
    <t>David,Jones</t>
  </si>
  <si>
    <t>Wendy K Brown</t>
  </si>
  <si>
    <t>Jenae, Turley</t>
  </si>
  <si>
    <t>May, Allison</t>
  </si>
  <si>
    <t>Mark, Weaver</t>
  </si>
  <si>
    <t>Sides, Kelly</t>
  </si>
  <si>
    <t>Clark, Joshua</t>
  </si>
  <si>
    <t>Shuler, Kimberly</t>
  </si>
  <si>
    <t>Elrod, Joni</t>
  </si>
  <si>
    <t>Sullivan, Victoria</t>
  </si>
  <si>
    <t>Ishtiaq, Aneeqa</t>
  </si>
  <si>
    <t>Aszod, Ludwig</t>
  </si>
  <si>
    <t>Mobley, Stephanie</t>
  </si>
  <si>
    <t>King, Rhomie</t>
  </si>
  <si>
    <t>Mccaffrey, Samantha</t>
  </si>
  <si>
    <t>Katz, Allan</t>
  </si>
  <si>
    <t>Lewis, Bonnie</t>
  </si>
  <si>
    <t>Lewis, Savannah</t>
  </si>
  <si>
    <t>Crawford, Natasha</t>
  </si>
  <si>
    <t>Reeves, Laura</t>
  </si>
  <si>
    <t>Mongeau, Elizabeth,</t>
  </si>
  <si>
    <t>White, Tiffany</t>
  </si>
  <si>
    <t>Villegas, Jessica,</t>
  </si>
  <si>
    <t>Mathewson, Judith</t>
  </si>
  <si>
    <t>Lamb, Jamey</t>
  </si>
  <si>
    <t>Behrman, Karlye</t>
  </si>
  <si>
    <t>Lefevor, Gary Tyler</t>
  </si>
  <si>
    <t>Myers, Jenna</t>
  </si>
  <si>
    <t>Clariett, Cassandra</t>
  </si>
  <si>
    <t>Del Busto, Stevie</t>
  </si>
  <si>
    <t>Claudia,Reading</t>
  </si>
  <si>
    <t>Schellman, Taylor,</t>
  </si>
  <si>
    <t>Mckenna, Sarah,</t>
  </si>
  <si>
    <t>Carol G Mathews</t>
  </si>
  <si>
    <t>Martinez, Lucero</t>
  </si>
  <si>
    <t>Versluis, Ashley,</t>
  </si>
  <si>
    <t>Kirkpatrick, Kevin</t>
  </si>
  <si>
    <t>Ward Begnoche, Wendy</t>
  </si>
  <si>
    <t>Anderson, Susan</t>
  </si>
  <si>
    <t>Cantrell, Larry</t>
  </si>
  <si>
    <t>Martindale, Katie</t>
  </si>
  <si>
    <t>Fry, Janice</t>
  </si>
  <si>
    <t>Felty, Tiffany</t>
  </si>
  <si>
    <t>Mcmurray, Shirley</t>
  </si>
  <si>
    <t>Sharp, Samantha</t>
  </si>
  <si>
    <t>Mathur, Ashish</t>
  </si>
  <si>
    <t>Thomas, Labrenda</t>
  </si>
  <si>
    <t>Kearney, Arron</t>
  </si>
  <si>
    <t>Nordean, Joshua</t>
  </si>
  <si>
    <t>Webb, Kelly</t>
  </si>
  <si>
    <t>Larner, William</t>
  </si>
  <si>
    <t>Witten, Rebekkah</t>
  </si>
  <si>
    <t>Howser, Lisa</t>
  </si>
  <si>
    <t>Page, Lori</t>
  </si>
  <si>
    <t>Rohm, Laura,</t>
  </si>
  <si>
    <t>Duden, Sandra</t>
  </si>
  <si>
    <t>Mitchell, George</t>
  </si>
  <si>
    <t>Hostetter, Jamie</t>
  </si>
  <si>
    <t>Seifert, Brittany</t>
  </si>
  <si>
    <t>Dawson, Shelbi</t>
  </si>
  <si>
    <t>Burcham, Randall</t>
  </si>
  <si>
    <t>Sandra L Johnston</t>
  </si>
  <si>
    <t>Espinoza-Madrid, Cristiam</t>
  </si>
  <si>
    <t>Hopkins, Larry</t>
  </si>
  <si>
    <t>Pedersen, Megan</t>
  </si>
  <si>
    <t>Barcenas, Cindy</t>
  </si>
  <si>
    <t>Schulz, Allison, M</t>
  </si>
  <si>
    <t>Henson, Jeremy</t>
  </si>
  <si>
    <t>Webb, Jonathan</t>
  </si>
  <si>
    <t>Furniss, Allison</t>
  </si>
  <si>
    <t>Griffin, Kizzy</t>
  </si>
  <si>
    <t>Conroy, Julia</t>
  </si>
  <si>
    <t>Robertson, April</t>
  </si>
  <si>
    <t>Robbins, Donna</t>
  </si>
  <si>
    <t>Templeton, Cardell</t>
  </si>
  <si>
    <t>Herndon, Kodi</t>
  </si>
  <si>
    <t>Burnett, Shonna</t>
  </si>
  <si>
    <t>Fields, Katherine,</t>
  </si>
  <si>
    <t>Courtney, Bellinger</t>
  </si>
  <si>
    <t>Bailey, Stacey</t>
  </si>
  <si>
    <t>Tait, Alison</t>
  </si>
  <si>
    <t>Ware, Ruth</t>
  </si>
  <si>
    <t>Zeleny, Rebecca</t>
  </si>
  <si>
    <t>Jerry, Harper</t>
  </si>
  <si>
    <t>Winar, Cynthia,</t>
  </si>
  <si>
    <t>Larson, Corrie</t>
  </si>
  <si>
    <t>Kabasia-Sello, Catherine</t>
  </si>
  <si>
    <t>Davis, Ryan</t>
  </si>
  <si>
    <t>Leonard, Maranda</t>
  </si>
  <si>
    <t>Covington, Vickie</t>
  </si>
  <si>
    <t>Jennifer, Downey Rutledge</t>
  </si>
  <si>
    <t>Bryant, Kriste</t>
  </si>
  <si>
    <t>Gatlin, Caren</t>
  </si>
  <si>
    <t>Martin, Christina</t>
  </si>
  <si>
    <t>Lowe, Leslee</t>
  </si>
  <si>
    <t>Cook, Laquita</t>
  </si>
  <si>
    <t>Moore, Robin</t>
  </si>
  <si>
    <t>Kirby, Joseph</t>
  </si>
  <si>
    <t>Weaver, Danielle</t>
  </si>
  <si>
    <t>Wright, Craig</t>
  </si>
  <si>
    <t>Dalimonte, Jennifer</t>
  </si>
  <si>
    <t>Reid, Candice</t>
  </si>
  <si>
    <t>Reddin, Kenna</t>
  </si>
  <si>
    <t>Stapleton, Marsha</t>
  </si>
  <si>
    <t>Carson, Raymon</t>
  </si>
  <si>
    <t>Rosenbaum, Whitney</t>
  </si>
  <si>
    <t>James,Ellison</t>
  </si>
  <si>
    <t>Harrison, Melissa</t>
  </si>
  <si>
    <t>Faulkner, Jordan</t>
  </si>
  <si>
    <t>Brown, Kelvin</t>
  </si>
  <si>
    <t>Chandler, Anna, G</t>
  </si>
  <si>
    <t>Mia, Harper</t>
  </si>
  <si>
    <t>Hale, Brittany</t>
  </si>
  <si>
    <t>Curtis, Keith</t>
  </si>
  <si>
    <t>Steven, Schlinker</t>
  </si>
  <si>
    <t>Meckfessel, Cara</t>
  </si>
  <si>
    <t>Villanova, Rhiannon</t>
  </si>
  <si>
    <t>Rowell, Tyra</t>
  </si>
  <si>
    <t>Fowler, Mary</t>
  </si>
  <si>
    <t>Josef, Linda</t>
  </si>
  <si>
    <t>Leeker, Jodi</t>
  </si>
  <si>
    <t>Lane, Milton J</t>
  </si>
  <si>
    <t>Tyler, Laura</t>
  </si>
  <si>
    <t>Deere, Terrie</t>
  </si>
  <si>
    <t>Meadows, Russell</t>
  </si>
  <si>
    <t>Austin, Virginia</t>
  </si>
  <si>
    <t>Dicks, Ashley</t>
  </si>
  <si>
    <t>Pickrom, Tequilia</t>
  </si>
  <si>
    <t>Irby, Robert</t>
  </si>
  <si>
    <t>Campbell, Sara</t>
  </si>
  <si>
    <t>Rhyne, Tammy</t>
  </si>
  <si>
    <t>Ford, Anitra</t>
  </si>
  <si>
    <t>Warnock, Christen</t>
  </si>
  <si>
    <t>Flores, Victor</t>
  </si>
  <si>
    <t>Metheny, Leann</t>
  </si>
  <si>
    <t>Goldstein, Leah</t>
  </si>
  <si>
    <t>James-Mellon, Tiara</t>
  </si>
  <si>
    <t>Streit, Nancy</t>
  </si>
  <si>
    <t>Malone, Courtney</t>
  </si>
  <si>
    <t>Adrean, Stephanie</t>
  </si>
  <si>
    <t>Farrar, Chelsea</t>
  </si>
  <si>
    <t>Morrison, Melynie</t>
  </si>
  <si>
    <t>Sherman Hester, Kelly</t>
  </si>
  <si>
    <t>House, Jennifer</t>
  </si>
  <si>
    <t>Mcpherson, Courtney,</t>
  </si>
  <si>
    <t>Hayley, Paape</t>
  </si>
  <si>
    <t>Ashley, Lockert</t>
  </si>
  <si>
    <t>Emily, Slead</t>
  </si>
  <si>
    <t>Sides, Taylor</t>
  </si>
  <si>
    <t>Analisa, Chavez</t>
  </si>
  <si>
    <t>Randall, Ethan</t>
  </si>
  <si>
    <t>Robles, Karla, M</t>
  </si>
  <si>
    <t>Gemmell, Stephen</t>
  </si>
  <si>
    <t>Skelly, John</t>
  </si>
  <si>
    <t>Chapa, Meredith</t>
  </si>
  <si>
    <t>Yates, Mary</t>
  </si>
  <si>
    <t>Patterson, Leslie</t>
  </si>
  <si>
    <t>Ruckle, Monica</t>
  </si>
  <si>
    <t>Wesley, Joyce</t>
  </si>
  <si>
    <t>Nelson, Melissa</t>
  </si>
  <si>
    <t>Boyd, Amber</t>
  </si>
  <si>
    <t>Strayhorn, Elisha</t>
  </si>
  <si>
    <t>Chupik, Arthur</t>
  </si>
  <si>
    <t>Hamman, Kelly</t>
  </si>
  <si>
    <t>Hall, Laura</t>
  </si>
  <si>
    <t>Freeman, Sharon</t>
  </si>
  <si>
    <t>Davis, Carrie</t>
  </si>
  <si>
    <t>King, Christopher</t>
  </si>
  <si>
    <t>Walker Jr, James</t>
  </si>
  <si>
    <t>Tripp, Tammy</t>
  </si>
  <si>
    <t>Kilpatrick, Lesa</t>
  </si>
  <si>
    <t>Lyon, Cyndie</t>
  </si>
  <si>
    <t>Chambers, Holly</t>
  </si>
  <si>
    <t>Taggart, Franchesa</t>
  </si>
  <si>
    <t>Sarah, Albert</t>
  </si>
  <si>
    <t>Murchison, Ashton</t>
  </si>
  <si>
    <t>Rodgers, Taeisha</t>
  </si>
  <si>
    <t>Shephard, Joy</t>
  </si>
  <si>
    <t>Negron, Iris</t>
  </si>
  <si>
    <t>Harner, Christina</t>
  </si>
  <si>
    <t>Williams, Kevin</t>
  </si>
  <si>
    <t>Shuffield, Cynthia, D</t>
  </si>
  <si>
    <t>Tompkins, Vincent</t>
  </si>
  <si>
    <t>Wilson, Taylor</t>
  </si>
  <si>
    <t>Hearron, Logan,</t>
  </si>
  <si>
    <t>Reagan, Christen,</t>
  </si>
  <si>
    <t>Jackson, Jason, C</t>
  </si>
  <si>
    <t>Eddinger, Christine</t>
  </si>
  <si>
    <t>Luna, Catheryn</t>
  </si>
  <si>
    <t>Lafleur, Roger</t>
  </si>
  <si>
    <t>Scholma, Randal</t>
  </si>
  <si>
    <t>Gray, Stanford</t>
  </si>
  <si>
    <t>Foster, Lance</t>
  </si>
  <si>
    <t>Watts, Lauren</t>
  </si>
  <si>
    <t>Davis, Catrece</t>
  </si>
  <si>
    <t>Mcknight, Terrence</t>
  </si>
  <si>
    <t>Reynolds, Allison</t>
  </si>
  <si>
    <t>Collins, Maria</t>
  </si>
  <si>
    <t>Sadinsky, Li</t>
  </si>
  <si>
    <t>Van Waardenburg, Laura</t>
  </si>
  <si>
    <t>Horne, Mary</t>
  </si>
  <si>
    <t>Gray, Carmen</t>
  </si>
  <si>
    <t>Thomas, Eric,</t>
  </si>
  <si>
    <t>Walls, Patricia</t>
  </si>
  <si>
    <t>Miller, Tlara</t>
  </si>
  <si>
    <t>Mandri, Briann, L</t>
  </si>
  <si>
    <t>Wilson, Erik</t>
  </si>
  <si>
    <t>Byrd, Taraniio</t>
  </si>
  <si>
    <t>Shelby, Jeremy</t>
  </si>
  <si>
    <t>Von Gremp, Eric</t>
  </si>
  <si>
    <t>Amber, Flesher</t>
  </si>
  <si>
    <t>Timms, Paden</t>
  </si>
  <si>
    <t>Tollett, Chelsea</t>
  </si>
  <si>
    <t>Waits, Brandi</t>
  </si>
  <si>
    <t>Linley, Crisp</t>
  </si>
  <si>
    <t>Colclasure, Holly</t>
  </si>
  <si>
    <t>Lawrence, Ashley,</t>
  </si>
  <si>
    <t>Hughes, Stacey</t>
  </si>
  <si>
    <t>Thrift, Patty</t>
  </si>
  <si>
    <t>Johnson, Ebony</t>
  </si>
  <si>
    <t>Miller, Shayconna</t>
  </si>
  <si>
    <t>Hertel, India</t>
  </si>
  <si>
    <t>Ballinger, Thalia</t>
  </si>
  <si>
    <t>Melles, Elizabeth</t>
  </si>
  <si>
    <t>Helen, Cheek</t>
  </si>
  <si>
    <t>Williams, Charles,</t>
  </si>
  <si>
    <t>Stotts, Kimberly</t>
  </si>
  <si>
    <t>Sisson, Anthony</t>
  </si>
  <si>
    <t>Heckle, Angela</t>
  </si>
  <si>
    <t>Baird, Charles</t>
  </si>
  <si>
    <t>Lyons, Jamie</t>
  </si>
  <si>
    <t>Clark, Kevin</t>
  </si>
  <si>
    <t>Baker, Amy</t>
  </si>
  <si>
    <t>Mccarter, Teresa</t>
  </si>
  <si>
    <t>Rusk, Angela</t>
  </si>
  <si>
    <t>Seymour, Danyell</t>
  </si>
  <si>
    <t>Grubbs, Kristen</t>
  </si>
  <si>
    <t>Kaundart, James</t>
  </si>
  <si>
    <t>Johnna L Quinn</t>
  </si>
  <si>
    <t>Williams, Donna</t>
  </si>
  <si>
    <t>Pruehs, Verlynn</t>
  </si>
  <si>
    <t>Flanery, Susie</t>
  </si>
  <si>
    <t>Feero, Carrie</t>
  </si>
  <si>
    <t>Dillinger, Eric</t>
  </si>
  <si>
    <t>Gold, Ashley R</t>
  </si>
  <si>
    <t>Yells, Kristine</t>
  </si>
  <si>
    <t>Blackburn, Amber</t>
  </si>
  <si>
    <t>Stemple, Hannah</t>
  </si>
  <si>
    <t>Papasan, Michaela</t>
  </si>
  <si>
    <t>Hindman, Margaret</t>
  </si>
  <si>
    <t>Konert, Andrea</t>
  </si>
  <si>
    <t>Roberts, Lacey, R</t>
  </si>
  <si>
    <t>Carr, Ryan,</t>
  </si>
  <si>
    <t>Madeline S Reed</t>
  </si>
  <si>
    <t>Strong, Sheila</t>
  </si>
  <si>
    <t>Pennington, Jeanna</t>
  </si>
  <si>
    <t>Smittle, Robert</t>
  </si>
  <si>
    <t>Gholston, Allen K</t>
  </si>
  <si>
    <t>Palmer, Shona</t>
  </si>
  <si>
    <t>Henry, Carrie</t>
  </si>
  <si>
    <t>Browning, Holli</t>
  </si>
  <si>
    <t>Mauney, Lee</t>
  </si>
  <si>
    <t>Carey, Rebecca</t>
  </si>
  <si>
    <t>Haverfield, Sarah</t>
  </si>
  <si>
    <t>Pridmore, James</t>
  </si>
  <si>
    <t>Holden, Bart</t>
  </si>
  <si>
    <t>Smith, Marian</t>
  </si>
  <si>
    <t>Madden, Ashley</t>
  </si>
  <si>
    <t>Butcher Keller, Sunnie</t>
  </si>
  <si>
    <t>Gambone, Laura</t>
  </si>
  <si>
    <t>Dudley, James</t>
  </si>
  <si>
    <t>Elizandro, Angie</t>
  </si>
  <si>
    <t>Thomason, Randy</t>
  </si>
  <si>
    <t>Hardiman, Deanna</t>
  </si>
  <si>
    <t>Hill, Alexis</t>
  </si>
  <si>
    <t>Allen, Casondra</t>
  </si>
  <si>
    <t>Sorge, Ava</t>
  </si>
  <si>
    <t>Sikes, Brandon</t>
  </si>
  <si>
    <t>Derose, Michelle</t>
  </si>
  <si>
    <t>Bartlett, Joylyn</t>
  </si>
  <si>
    <t>Christina, Becerra</t>
  </si>
  <si>
    <t>Lovick, Brittany</t>
  </si>
  <si>
    <t>Richard, Staley</t>
  </si>
  <si>
    <t>Dewbre, Kathy</t>
  </si>
  <si>
    <t>Hughes, Natalie,</t>
  </si>
  <si>
    <t>Hunter, Donna</t>
  </si>
  <si>
    <t>Gabriela, Odell</t>
  </si>
  <si>
    <t>Vest, Michelle</t>
  </si>
  <si>
    <t>Smith, Dianna L.</t>
  </si>
  <si>
    <t>Hall, Van</t>
  </si>
  <si>
    <t>George Mcknight, Jennifer</t>
  </si>
  <si>
    <t>Rhee, Lisa,</t>
  </si>
  <si>
    <t>Parks, Donna</t>
  </si>
  <si>
    <t>Laster, Adam</t>
  </si>
  <si>
    <t>Bedford, Melissa</t>
  </si>
  <si>
    <t>Johnson, Jerod</t>
  </si>
  <si>
    <t>Srygley, Margaret</t>
  </si>
  <si>
    <t>Weber, Holly</t>
  </si>
  <si>
    <t>Elledge, Cassandra</t>
  </si>
  <si>
    <t>Meadow, Dawn</t>
  </si>
  <si>
    <t>Brown Irby, Shawonda</t>
  </si>
  <si>
    <t>Smith, Alex</t>
  </si>
  <si>
    <t>Wooley, Brenda</t>
  </si>
  <si>
    <t>Cuarenta, Andrea, R</t>
  </si>
  <si>
    <t>Woolfolk, Myra</t>
  </si>
  <si>
    <t>Hall, Christina</t>
  </si>
  <si>
    <t>Keever, Shannon</t>
  </si>
  <si>
    <t>Guadalupe, Lizeth, A</t>
  </si>
  <si>
    <t>Christopher, Lankford</t>
  </si>
  <si>
    <t>Stevens, Jennifer</t>
  </si>
  <si>
    <t>Boucher, Cynthia</t>
  </si>
  <si>
    <t>Gollubske, Erin</t>
  </si>
  <si>
    <t>Melissa, Ward George</t>
  </si>
  <si>
    <t>Conner, Garrick</t>
  </si>
  <si>
    <t>Moore, Jeffry,</t>
  </si>
  <si>
    <t>Netherland, Rose,</t>
  </si>
  <si>
    <t>Estill, Audrey</t>
  </si>
  <si>
    <t>Lee, Josie</t>
  </si>
  <si>
    <t>Wilburn, Morgan, E</t>
  </si>
  <si>
    <t>Shino</t>
  </si>
  <si>
    <t>Copps, Kim</t>
  </si>
  <si>
    <t>Rutherford, Margaret</t>
  </si>
  <si>
    <t>Forrester, Keri</t>
  </si>
  <si>
    <t>Singleton, Derrick</t>
  </si>
  <si>
    <t>Howard, Sarah Ann</t>
  </si>
  <si>
    <t>Satterlee, Dana</t>
  </si>
  <si>
    <t>Crabtree, Valerie</t>
  </si>
  <si>
    <t>Reel, Matthew</t>
  </si>
  <si>
    <t>Brewer, Morgan</t>
  </si>
  <si>
    <t>Cutler, Justin</t>
  </si>
  <si>
    <t>Andrea, Carlile</t>
  </si>
  <si>
    <t>Metheny, Shiann</t>
  </si>
  <si>
    <t>Baughman, Brandon</t>
  </si>
  <si>
    <t>Short Kidwell, Kathryn</t>
  </si>
  <si>
    <t>Edster, Regena</t>
  </si>
  <si>
    <t>Lambert, Camden</t>
  </si>
  <si>
    <t>Miller Roach, Kattrina</t>
  </si>
  <si>
    <t>Mcbain, Sacha A</t>
  </si>
  <si>
    <t>Erika, Bosold</t>
  </si>
  <si>
    <t>Lamaster, Jenna</t>
  </si>
  <si>
    <t>Mitchell, Alisa</t>
  </si>
  <si>
    <t>Devon</t>
  </si>
  <si>
    <t>Lee, Isaac</t>
  </si>
  <si>
    <t>Sewell, Cynthia</t>
  </si>
  <si>
    <t>Campagna, Angela</t>
  </si>
  <si>
    <t>King, Valeria</t>
  </si>
  <si>
    <t>Smith, Rachel</t>
  </si>
  <si>
    <t>Bowen, Aubree</t>
  </si>
  <si>
    <t>Jamesa Alston</t>
  </si>
  <si>
    <t>Autrey, Toni</t>
  </si>
  <si>
    <t>Hedrick, Tamela</t>
  </si>
  <si>
    <t>Desaussure, Rachael</t>
  </si>
  <si>
    <t>Douthit, Bari</t>
  </si>
  <si>
    <t>Lockridge, Danielle</t>
  </si>
  <si>
    <t>Justin Dodson</t>
  </si>
  <si>
    <t>Catherine B Coker</t>
  </si>
  <si>
    <t>Spoerl, Zachary</t>
  </si>
  <si>
    <t>Simpson, Sabrina</t>
  </si>
  <si>
    <t>Westmoreland, Kristen, F</t>
  </si>
  <si>
    <t>Moore, Casie,</t>
  </si>
  <si>
    <t>Cragar, Lisa</t>
  </si>
  <si>
    <t>Hooks, Cecelia</t>
  </si>
  <si>
    <t>Wilbanks, Kelley</t>
  </si>
  <si>
    <t>Webb, Samuel J</t>
  </si>
  <si>
    <t>Waggoner, Michael L</t>
  </si>
  <si>
    <t>Robinson, Kimberly</t>
  </si>
  <si>
    <t>Marley, Gayla</t>
  </si>
  <si>
    <t>Atchley, Colleen</t>
  </si>
  <si>
    <t>Craig, Trisha</t>
  </si>
  <si>
    <t>Brosnan, Paula</t>
  </si>
  <si>
    <t>Day, Amanda</t>
  </si>
  <si>
    <t>Hilburn, Christianne</t>
  </si>
  <si>
    <t>Palmer, Kalii</t>
  </si>
  <si>
    <t>Reeder, Dana</t>
  </si>
  <si>
    <t>Stone, Laci</t>
  </si>
  <si>
    <t>Amber, Brossett</t>
  </si>
  <si>
    <t>Ogle, Nick</t>
  </si>
  <si>
    <t>Fulliton, William</t>
  </si>
  <si>
    <t>Joplin, Lisa</t>
  </si>
  <si>
    <t>Turner, Rosharon</t>
  </si>
  <si>
    <t>Tucker, Tori</t>
  </si>
  <si>
    <t>Gean, Angela</t>
  </si>
  <si>
    <t>Hankton, Umieca</t>
  </si>
  <si>
    <t>Zanskas, Catherine</t>
  </si>
  <si>
    <t>Solis, Meredith</t>
  </si>
  <si>
    <t>Regina, Carpenter</t>
  </si>
  <si>
    <t>Waller, Candice</t>
  </si>
  <si>
    <t>Kelly Merecicky</t>
  </si>
  <si>
    <t>Kyle, Melanie</t>
  </si>
  <si>
    <t>Williams Collins, Kimberly</t>
  </si>
  <si>
    <t>Nicole Varney</t>
  </si>
  <si>
    <t>Pickney, Erin</t>
  </si>
  <si>
    <t>Johnny, Davis</t>
  </si>
  <si>
    <t>Wolfe, Elizabeth</t>
  </si>
  <si>
    <t>Simon, Christopher</t>
  </si>
  <si>
    <t>Davis, Sara L.</t>
  </si>
  <si>
    <t>Elizabeth, Faulkenbury</t>
  </si>
  <si>
    <t>O'Neal, Chastity</t>
  </si>
  <si>
    <t>Hart, Laramie</t>
  </si>
  <si>
    <t>Koprovic, Theodore,</t>
  </si>
  <si>
    <t>Cook, Cherie</t>
  </si>
  <si>
    <t>Pettit, Dawn</t>
  </si>
  <si>
    <t>Forrest, Robert</t>
  </si>
  <si>
    <t>Telford, Molly</t>
  </si>
  <si>
    <t>Petray, Jennifer</t>
  </si>
  <si>
    <t>Clayton, Angela</t>
  </si>
  <si>
    <t>Grusing, Mindy</t>
  </si>
  <si>
    <t>Turner, Michael</t>
  </si>
  <si>
    <t>Henry, Jessica</t>
  </si>
  <si>
    <t>Scott, Holly</t>
  </si>
  <si>
    <t>Coffman, Mark</t>
  </si>
  <si>
    <t>Tillemans, Tad</t>
  </si>
  <si>
    <t>Kirby, Jennifer</t>
  </si>
  <si>
    <t>Weeks, Nakondrea</t>
  </si>
  <si>
    <t>Knapple, Shelby</t>
  </si>
  <si>
    <t>Dowler, Brittney</t>
  </si>
  <si>
    <t>Haynes, Rocky</t>
  </si>
  <si>
    <t>Timmerman, Alyssa</t>
  </si>
  <si>
    <t>Longinotti, Maria</t>
  </si>
  <si>
    <t>Kinsey, Marsha</t>
  </si>
  <si>
    <t>Gaul, Theo,</t>
  </si>
  <si>
    <t>Johnson, Frances</t>
  </si>
  <si>
    <t>Ann, Treat</t>
  </si>
  <si>
    <t>Dillon, Charles</t>
  </si>
  <si>
    <t>Brandy, West</t>
  </si>
  <si>
    <t>Montgomery, Zarnez</t>
  </si>
  <si>
    <t>Bryson, Spencer,</t>
  </si>
  <si>
    <t>Pradeep, Rupa</t>
  </si>
  <si>
    <t>Samantha Trammel</t>
  </si>
  <si>
    <t>Lakota, Kasworm</t>
  </si>
  <si>
    <t>Reed, Jennifer</t>
  </si>
  <si>
    <t>Wise, Gendusa, Michelle</t>
  </si>
  <si>
    <t>Mcgrew, Kristen</t>
  </si>
  <si>
    <t>Prorok, Alexander</t>
  </si>
  <si>
    <t>Jones-Shelton, Amanda</t>
  </si>
  <si>
    <t>Cole, Margaret</t>
  </si>
  <si>
    <t>Nachtigal, Rachael</t>
  </si>
  <si>
    <t>Evans, Lisa</t>
  </si>
  <si>
    <t>Bonner, Janice</t>
  </si>
  <si>
    <t>Cooley, Belinda</t>
  </si>
  <si>
    <t>Clark, Amber</t>
  </si>
  <si>
    <t>Adams, Essie</t>
  </si>
  <si>
    <t>Mckinney, Valerie</t>
  </si>
  <si>
    <t>Sheriee D Smith</t>
  </si>
  <si>
    <t>Mcalister, Matthew</t>
  </si>
  <si>
    <t>Levine, Marisha</t>
  </si>
  <si>
    <t>Smith, Camelia</t>
  </si>
  <si>
    <t>Ghassani, Whitney</t>
  </si>
  <si>
    <t>Evans, Crystal</t>
  </si>
  <si>
    <t>Mcglenn, Brian,</t>
  </si>
  <si>
    <t>Hall, Michael</t>
  </si>
  <si>
    <t>Gibson, Hali</t>
  </si>
  <si>
    <t>Sarah, Lipsky</t>
  </si>
  <si>
    <t>Heidelberg Kenney, Rebecca E</t>
  </si>
  <si>
    <t>Perry, Trisha</t>
  </si>
  <si>
    <t>Gibson, Miranda</t>
  </si>
  <si>
    <t>Malisha, Mccray</t>
  </si>
  <si>
    <t>Beaton, Kelly</t>
  </si>
  <si>
    <t>Monica Bailey</t>
  </si>
  <si>
    <t>Shinkle, Brock,</t>
  </si>
  <si>
    <t>Whitney Jordan</t>
  </si>
  <si>
    <t>Campbell, Kadie,</t>
  </si>
  <si>
    <t>Beasley, Briana</t>
  </si>
  <si>
    <t>Kellum, Kimberly</t>
  </si>
  <si>
    <t>Thompkins, Gertrude</t>
  </si>
  <si>
    <t>Pefferkorn, Tracy</t>
  </si>
  <si>
    <t>Cates, Mark</t>
  </si>
  <si>
    <t>Jackson, Melissa</t>
  </si>
  <si>
    <t>Sweesy, Greta</t>
  </si>
  <si>
    <t>Mccoy, Brandi</t>
  </si>
  <si>
    <t>Willding, Shari</t>
  </si>
  <si>
    <t>Grissom, Tonya</t>
  </si>
  <si>
    <t>Kelly, Barbara</t>
  </si>
  <si>
    <t>Whitaker, Brandi</t>
  </si>
  <si>
    <t>French, Aaron</t>
  </si>
  <si>
    <t>Valentine, Anthony</t>
  </si>
  <si>
    <t>Kemper Jr, Robert</t>
  </si>
  <si>
    <t>Harris, Brianna</t>
  </si>
  <si>
    <t>Shortnacy, Melissa</t>
  </si>
  <si>
    <t>Falki, Marielle</t>
  </si>
  <si>
    <t>Alicia, Powell</t>
  </si>
  <si>
    <t>Malorie, Maxey</t>
  </si>
  <si>
    <t>Dalstra, Katherine</t>
  </si>
  <si>
    <t>Erin, Boydston</t>
  </si>
  <si>
    <t>Megdal, Felicia</t>
  </si>
  <si>
    <t>Vinson, Erica</t>
  </si>
  <si>
    <t>Smith, Granberry</t>
  </si>
  <si>
    <t>Banks, Mary</t>
  </si>
  <si>
    <t>Moll, Jacob P</t>
  </si>
  <si>
    <t>Thomason, Morgan</t>
  </si>
  <si>
    <t>White, Shelby</t>
  </si>
  <si>
    <t>Sartain, Kimberlee</t>
  </si>
  <si>
    <t>Mullis, Anna</t>
  </si>
  <si>
    <t>Rosnermanz, Hayley</t>
  </si>
  <si>
    <t>Beaufford, Laura</t>
  </si>
  <si>
    <t>Roberson, Taylor</t>
  </si>
  <si>
    <t>Hall, Mandy</t>
  </si>
  <si>
    <t>Dawson, Alexandri</t>
  </si>
  <si>
    <t>Thomason-Easton, Kerry</t>
  </si>
  <si>
    <t>Stallard, Catherine</t>
  </si>
  <si>
    <t>Cummings Whitman, Kimberly</t>
  </si>
  <si>
    <t>Whitman, Valerie</t>
  </si>
  <si>
    <t>Rodgers, Gloria</t>
  </si>
  <si>
    <t>Moon, Karen</t>
  </si>
  <si>
    <t>Neal, Jeffrey</t>
  </si>
  <si>
    <t>Fuller, Marcia</t>
  </si>
  <si>
    <t>Munsch, Sheena</t>
  </si>
  <si>
    <t>Mckinley, Cydella</t>
  </si>
  <si>
    <t>Stuntz Christian, Robin</t>
  </si>
  <si>
    <t>Stafford, Kathy</t>
  </si>
  <si>
    <t>Moore, Angela</t>
  </si>
  <si>
    <t>Chennault, Nathan</t>
  </si>
  <si>
    <t>Sullivan, Matt</t>
  </si>
  <si>
    <t>Marlowe, Stephanie</t>
  </si>
  <si>
    <t>Deborah, James</t>
  </si>
  <si>
    <t>Bruce, August</t>
  </si>
  <si>
    <t>Ramsey, Angie, D</t>
  </si>
  <si>
    <t>Mcpherson, Tiffany</t>
  </si>
  <si>
    <t>Stormes, Ashley</t>
  </si>
  <si>
    <t>Seitz, Karrah</t>
  </si>
  <si>
    <t>Jamieka Harris</t>
  </si>
  <si>
    <t>Polly, Tracy</t>
  </si>
  <si>
    <t>Mitrani, Nicholas</t>
  </si>
  <si>
    <t>Emily, Johnson</t>
  </si>
  <si>
    <t>Horlick, Lauren</t>
  </si>
  <si>
    <t>Lyle, Misty</t>
  </si>
  <si>
    <t>Brock, Lisa</t>
  </si>
  <si>
    <t>Mikeal, Cindy</t>
  </si>
  <si>
    <t>Hosic, Miin An</t>
  </si>
  <si>
    <t>Wilson, Anna</t>
  </si>
  <si>
    <t>Semlinger, Carrie</t>
  </si>
  <si>
    <t>Monique, Martin Hickman</t>
  </si>
  <si>
    <t>Crystal Owens</t>
  </si>
  <si>
    <t>Williams, Brittney</t>
  </si>
  <si>
    <t>Rabell, Melissa</t>
  </si>
  <si>
    <t>Mantione, Christina</t>
  </si>
  <si>
    <t>Kade, Curry</t>
  </si>
  <si>
    <t>Petrilli, Bianca</t>
  </si>
  <si>
    <t>Emily, Newman</t>
  </si>
  <si>
    <t>Smith, Kara</t>
  </si>
  <si>
    <t>Lauren, Bowling</t>
  </si>
  <si>
    <t>Higginbottom, Ashley</t>
  </si>
  <si>
    <t>Chavez, Melissa</t>
  </si>
  <si>
    <t>Neal, Don</t>
  </si>
  <si>
    <t>Turner, Heather</t>
  </si>
  <si>
    <t>Nelson, Catherine</t>
  </si>
  <si>
    <t>Grace Rhodes, Leeanne</t>
  </si>
  <si>
    <t>Everett, Betty</t>
  </si>
  <si>
    <t>Lamb, Marla</t>
  </si>
  <si>
    <t>Funkhouser, Reagan</t>
  </si>
  <si>
    <t>Snider, Annette</t>
  </si>
  <si>
    <t>Palm, Tracy</t>
  </si>
  <si>
    <t>Ryan Mcgehee, Maureen</t>
  </si>
  <si>
    <t>Chambliss, Curtis</t>
  </si>
  <si>
    <t>Peck, Erin</t>
  </si>
  <si>
    <t>Spikes, Candace</t>
  </si>
  <si>
    <t>Jasmine Madden</t>
  </si>
  <si>
    <t>Robertson, Christine</t>
  </si>
  <si>
    <t>Maley, Jennifer</t>
  </si>
  <si>
    <t>Walton, Health</t>
  </si>
  <si>
    <t>Burns, Trisha</t>
  </si>
  <si>
    <t>Taylor, Samantha,</t>
  </si>
  <si>
    <t>Leslie, Ryan</t>
  </si>
  <si>
    <t>Seay, Brenita</t>
  </si>
  <si>
    <t>Melissa Herb</t>
  </si>
  <si>
    <t>Harris, Sydney</t>
  </si>
  <si>
    <t>Rosso, Lauren</t>
  </si>
  <si>
    <t>Silena, Scott</t>
  </si>
  <si>
    <t>Garbett, Kinsey, G</t>
  </si>
  <si>
    <t>Terry, Lynn</t>
  </si>
  <si>
    <t>Bell, Susan</t>
  </si>
  <si>
    <t>Kamat, Sanjeev</t>
  </si>
  <si>
    <t>Stacks, Jamie</t>
  </si>
  <si>
    <t>Selby, Bonnie J</t>
  </si>
  <si>
    <t>Mcclane, Veronica</t>
  </si>
  <si>
    <t>Mcintyre, Megan</t>
  </si>
  <si>
    <t>Lajeunesse, Mary</t>
  </si>
  <si>
    <t>Gartrell, Brooklyn</t>
  </si>
  <si>
    <t>Darnell, Walter</t>
  </si>
  <si>
    <t>Tanna, Jackie</t>
  </si>
  <si>
    <t>Daleke, Robin</t>
  </si>
  <si>
    <t>Alisson, Sharp</t>
  </si>
  <si>
    <t>Crossfield, Stephanie</t>
  </si>
  <si>
    <t>Jennifer Burgin</t>
  </si>
  <si>
    <t>Wheelehon, Angela</t>
  </si>
  <si>
    <t>Shulz, Brooke</t>
  </si>
  <si>
    <t>Ellis, Leigh</t>
  </si>
  <si>
    <t>Bernard, Irene</t>
  </si>
  <si>
    <t>Althoff, Don</t>
  </si>
  <si>
    <t>Ratcliff, Tina</t>
  </si>
  <si>
    <t>Kayla L Flowers</t>
  </si>
  <si>
    <t>Smith, Henry</t>
  </si>
  <si>
    <t>Purifoy, Kaneil,</t>
  </si>
  <si>
    <t>Lewis, Abigail</t>
  </si>
  <si>
    <t>Henry, Kerri,</t>
  </si>
  <si>
    <t>Taber, Hannah, C</t>
  </si>
  <si>
    <t>Hussey, Jonna</t>
  </si>
  <si>
    <t>Symes, William</t>
  </si>
  <si>
    <t>Smith, Katheryn</t>
  </si>
  <si>
    <t>Mckay, H</t>
  </si>
  <si>
    <t>Potts, Nicole</t>
  </si>
  <si>
    <t>Ross-Sanders, Treva</t>
  </si>
  <si>
    <t>Olsen, Mark</t>
  </si>
  <si>
    <t>Phillips-Mcdonald, Shelonda</t>
  </si>
  <si>
    <t>Cooper, Andrew</t>
  </si>
  <si>
    <t>Nicole Hudson</t>
  </si>
  <si>
    <t>Barnes, Joshua</t>
  </si>
  <si>
    <t>Coleman, Christasia</t>
  </si>
  <si>
    <t>Gilleylen, Carl</t>
  </si>
  <si>
    <t>Carson, Temple</t>
  </si>
  <si>
    <t>Amanda Delt</t>
  </si>
  <si>
    <t>Imhoff, Chad</t>
  </si>
  <si>
    <t>Lybrand, Theresa</t>
  </si>
  <si>
    <t>O'Brien, Lorrie</t>
  </si>
  <si>
    <t>Maddox, William</t>
  </si>
  <si>
    <t>Edgmon, Andrea</t>
  </si>
  <si>
    <t>Hornbeck, Claudia</t>
  </si>
  <si>
    <t>Rhodes, Kimberly</t>
  </si>
  <si>
    <t>Kathleen</t>
  </si>
  <si>
    <t>Digrazia, Sara, L</t>
  </si>
  <si>
    <t>Jones, Brenden</t>
  </si>
  <si>
    <t>Bradshaw, Brittany, B</t>
  </si>
  <si>
    <t>Paige, Marcantel</t>
  </si>
  <si>
    <t>Hoelscher, Alyssa,</t>
  </si>
  <si>
    <t>Francis, Tori</t>
  </si>
  <si>
    <t>James, Theresa</t>
  </si>
  <si>
    <t>Richter, Leah</t>
  </si>
  <si>
    <t>Rebecca Edwards</t>
  </si>
  <si>
    <t>O'Boyle, Bonnie</t>
  </si>
  <si>
    <t>Childress, Ashlie</t>
  </si>
  <si>
    <t>David, Miller</t>
  </si>
  <si>
    <t>Anderson, Megan</t>
  </si>
  <si>
    <t>Cable, Brandon</t>
  </si>
  <si>
    <t>Wagner, Holland, V</t>
  </si>
  <si>
    <t>Mondragon, Cecilo</t>
  </si>
  <si>
    <t>Chaney, Weaver</t>
  </si>
  <si>
    <t>Shanequa Alexander</t>
  </si>
  <si>
    <t>Hawkins, Adrienne,</t>
  </si>
  <si>
    <t>Crawford, Chase, E</t>
  </si>
  <si>
    <t>Healy, Emily, H</t>
  </si>
  <si>
    <t>Tidwell, Kailah, L</t>
  </si>
  <si>
    <t>Logan, Erin,</t>
  </si>
  <si>
    <t>Ward, Carla</t>
  </si>
  <si>
    <t>Snodgrass, Erin</t>
  </si>
  <si>
    <t>Hudson, Doris</t>
  </si>
  <si>
    <t>Holman, Rebecca</t>
  </si>
  <si>
    <t>Shivy Montgomery, Patricia</t>
  </si>
  <si>
    <t>Lee, Roland</t>
  </si>
  <si>
    <t>Copeland, Tammerah</t>
  </si>
  <si>
    <t>Lawrence, Debbie</t>
  </si>
  <si>
    <t>Moffitt, Jennifer</t>
  </si>
  <si>
    <t>Love, Jennifer</t>
  </si>
  <si>
    <t>Adams, Catherine</t>
  </si>
  <si>
    <t>Dalai, Venkata</t>
  </si>
  <si>
    <t>Cushman, Sarah</t>
  </si>
  <si>
    <t>Ajtun, Diana</t>
  </si>
  <si>
    <t>Gilliam, Foy</t>
  </si>
  <si>
    <t>Green, Mary</t>
  </si>
  <si>
    <t>Shaneika Smith</t>
  </si>
  <si>
    <t>Tubbs, Jennifer</t>
  </si>
  <si>
    <t>Robertson, Justin</t>
  </si>
  <si>
    <t>Laye, Chulyndria</t>
  </si>
  <si>
    <t>Laird, Cristin</t>
  </si>
  <si>
    <t>Kristin M Randy</t>
  </si>
  <si>
    <t>Wells, Leander</t>
  </si>
  <si>
    <t>Tate, Amy</t>
  </si>
  <si>
    <t>Mckenzie, Ashley</t>
  </si>
  <si>
    <t>Miller, Whitney</t>
  </si>
  <si>
    <t>Akins, Buernorkie</t>
  </si>
  <si>
    <t>Dougherty, Elissa</t>
  </si>
  <si>
    <t>Harper, Arial,</t>
  </si>
  <si>
    <t>Biggers, Jennifer</t>
  </si>
  <si>
    <t>Nicole,Brock</t>
  </si>
  <si>
    <t>Bokker, Aric</t>
  </si>
  <si>
    <t>Nwaogu, Constance,</t>
  </si>
  <si>
    <t>Bennett, Dana</t>
  </si>
  <si>
    <t>Wyrick, Michael</t>
  </si>
  <si>
    <t>Harper, Stephanie</t>
  </si>
  <si>
    <t>Mcfarlane, Ashlyn</t>
  </si>
  <si>
    <t>Miller, Roxanne</t>
  </si>
  <si>
    <t>Garrard, Sheena</t>
  </si>
  <si>
    <t>Adelman, Erin</t>
  </si>
  <si>
    <t>Johnson, Veronica</t>
  </si>
  <si>
    <t>Salameh, Bayan,</t>
  </si>
  <si>
    <t>Tinney, Lisa</t>
  </si>
  <si>
    <t>Boyland, Latoria</t>
  </si>
  <si>
    <t>Mangum, Jordan,</t>
  </si>
  <si>
    <t>Jessica, Gutting</t>
  </si>
  <si>
    <t>Tucker, Carolyne, A</t>
  </si>
  <si>
    <t>Carpenter, Lisa</t>
  </si>
  <si>
    <t>Haneef, Saadia</t>
  </si>
  <si>
    <t>Cordell, Lesley</t>
  </si>
  <si>
    <t>Lee, Joshua</t>
  </si>
  <si>
    <t>Davison, Kellie</t>
  </si>
  <si>
    <t>Campbell, Edna</t>
  </si>
  <si>
    <t>Lagory, Jason</t>
  </si>
  <si>
    <t>Willis, Cody</t>
  </si>
  <si>
    <t>Wooldridge, Edyth</t>
  </si>
  <si>
    <t>Williams, William, B</t>
  </si>
  <si>
    <t>Williams, Megan</t>
  </si>
  <si>
    <t>Shea, Jessica</t>
  </si>
  <si>
    <t>Stanford, George</t>
  </si>
  <si>
    <t>Murphy, Matthew</t>
  </si>
  <si>
    <t>Murphy, Meghan</t>
  </si>
  <si>
    <t>Heatherly, Joe</t>
  </si>
  <si>
    <t>Duren, Cliff</t>
  </si>
  <si>
    <t>Gonzales Michaelis, Martha</t>
  </si>
  <si>
    <t>Sandefur, Kelsey</t>
  </si>
  <si>
    <t>Carlson, Amanda</t>
  </si>
  <si>
    <t>Mcgowan, Jennifer</t>
  </si>
  <si>
    <t>Tonie, Williams</t>
  </si>
  <si>
    <t>Bryan, Chandler</t>
  </si>
  <si>
    <t>Jessica, Helms</t>
  </si>
  <si>
    <t>Lansford, Rebekah</t>
  </si>
  <si>
    <t>Deven, Chambers</t>
  </si>
  <si>
    <t>Laura, Young</t>
  </si>
  <si>
    <t>Taylor, Kiley,</t>
  </si>
  <si>
    <t>White, Randy</t>
  </si>
  <si>
    <t>Wilkerson, Travis</t>
  </si>
  <si>
    <t>Qualls, Ellen</t>
  </si>
  <si>
    <t>Jimenez, Danielle</t>
  </si>
  <si>
    <t>Turner, Jason</t>
  </si>
  <si>
    <t>Emerson, Kimberly</t>
  </si>
  <si>
    <t>Hicks, Cara</t>
  </si>
  <si>
    <t>Keener, Alice</t>
  </si>
  <si>
    <t>Woolf, Emily</t>
  </si>
  <si>
    <t>Kimberly Davis</t>
  </si>
  <si>
    <t>Cook-Vaughn, Kimberley</t>
  </si>
  <si>
    <t>Tratesha, Bell</t>
  </si>
  <si>
    <t>Blackburn Griffin, Sharon</t>
  </si>
  <si>
    <t>Morgan, Hannah,</t>
  </si>
  <si>
    <t>Lieurance, Jenee</t>
  </si>
  <si>
    <t>Marnell, Allyson</t>
  </si>
  <si>
    <t>Floyd-Wehrenberg, Amber</t>
  </si>
  <si>
    <t>King, Brittney</t>
  </si>
  <si>
    <t>Walden, Leslie,</t>
  </si>
  <si>
    <t>Choate, Danielle</t>
  </si>
  <si>
    <t>Alexandria Delozier</t>
  </si>
  <si>
    <t>Bailey, Latonia D</t>
  </si>
  <si>
    <t>Chism, Tony</t>
  </si>
  <si>
    <t>Clingan, Caleb,</t>
  </si>
  <si>
    <t>George Mack</t>
  </si>
  <si>
    <t>Toya Turner</t>
  </si>
  <si>
    <t>Connie, Thomas</t>
  </si>
  <si>
    <t>Wainwright, Jessica,</t>
  </si>
  <si>
    <t>Mansfield, Rebecca</t>
  </si>
  <si>
    <t>Dawes, Deborah</t>
  </si>
  <si>
    <t>Cunningham, Tiffany</t>
  </si>
  <si>
    <t>Helm, Ryan</t>
  </si>
  <si>
    <t>Henderson, C Keith</t>
  </si>
  <si>
    <t>Carlan, Jillian</t>
  </si>
  <si>
    <t>Nelson, Patty</t>
  </si>
  <si>
    <t>King, Estel</t>
  </si>
  <si>
    <t>Davis-Moore, Denise</t>
  </si>
  <si>
    <t>Richardson, Matthew</t>
  </si>
  <si>
    <t>Watson, Krishna</t>
  </si>
  <si>
    <t>Hicks, Sherese E</t>
  </si>
  <si>
    <t>Cripps, Timothy</t>
  </si>
  <si>
    <t>Mohead, Rolanda</t>
  </si>
  <si>
    <t>Taylor, Amber</t>
  </si>
  <si>
    <t>Vann, Marta</t>
  </si>
  <si>
    <t>Robert, Carney</t>
  </si>
  <si>
    <t>Goode, Sonya</t>
  </si>
  <si>
    <t>Shuler, Jennifer</t>
  </si>
  <si>
    <t>Lewis, Melissa</t>
  </si>
  <si>
    <t>Pearson, Rhonda</t>
  </si>
  <si>
    <t>Draper, Caitlin</t>
  </si>
  <si>
    <t>Joplin, Moriah</t>
  </si>
  <si>
    <t>Cowan, Kelly</t>
  </si>
  <si>
    <t>Wiley, Brandon</t>
  </si>
  <si>
    <t>Krista, England</t>
  </si>
  <si>
    <t>Schwarz, Michael</t>
  </si>
  <si>
    <t>Lamers, Ann</t>
  </si>
  <si>
    <t>Goodson, Wesley</t>
  </si>
  <si>
    <t>Yek, Ming Hwei</t>
  </si>
  <si>
    <t>Richardson-Wood, Rachel</t>
  </si>
  <si>
    <t>Audra, Cooper</t>
  </si>
  <si>
    <t>Knack, Alison M.</t>
  </si>
  <si>
    <t>Trina Winters</t>
  </si>
  <si>
    <t>Yancey Ward, Brooke</t>
  </si>
  <si>
    <t>Burton, Elizabeth</t>
  </si>
  <si>
    <t>Scott, Savanna</t>
  </si>
  <si>
    <t>Bonner, Ferrell,</t>
  </si>
  <si>
    <t>Hardin, Kimberly</t>
  </si>
  <si>
    <t>Virginia, Hentschel</t>
  </si>
  <si>
    <t>Wilkerson, Mary E.</t>
  </si>
  <si>
    <t>Derr, David B</t>
  </si>
  <si>
    <t>Duncan, Ronica</t>
  </si>
  <si>
    <t>Lucas, Angel</t>
  </si>
  <si>
    <t>Moody, Debbie</t>
  </si>
  <si>
    <t>Ginn, Marvin</t>
  </si>
  <si>
    <t>Bassin, Christopher</t>
  </si>
  <si>
    <t>Phillips, Sarah,</t>
  </si>
  <si>
    <t>Lewis, Lisa</t>
  </si>
  <si>
    <t>Bush, Ronald</t>
  </si>
  <si>
    <t>Cook Dobbins, Melanie</t>
  </si>
  <si>
    <t>Burton, Mitzi</t>
  </si>
  <si>
    <t>Coker, Larry Donny</t>
  </si>
  <si>
    <t>James, Suzanne</t>
  </si>
  <si>
    <t>Bauer, Myra</t>
  </si>
  <si>
    <t>Gray, Tennie</t>
  </si>
  <si>
    <t>Steven, Stacey</t>
  </si>
  <si>
    <t>Beach, Nancy</t>
  </si>
  <si>
    <t>Buford, Kelsey</t>
  </si>
  <si>
    <t>Smith, Cole</t>
  </si>
  <si>
    <t>Sasser, Shalunda</t>
  </si>
  <si>
    <t>Postlewaite, Roslyn</t>
  </si>
  <si>
    <t>Devonna, Tillman</t>
  </si>
  <si>
    <t>Baros, Alicia</t>
  </si>
  <si>
    <t>Jakeisha, Goston</t>
  </si>
  <si>
    <t>Edwards, Amanda</t>
  </si>
  <si>
    <t>Leite, Amora</t>
  </si>
  <si>
    <t>Kionna Jones</t>
  </si>
  <si>
    <t>Cheek, Kelsey</t>
  </si>
  <si>
    <t>Newton, Andrea</t>
  </si>
  <si>
    <t>Tupper, Michelle,</t>
  </si>
  <si>
    <t>Haley Winslow</t>
  </si>
  <si>
    <t>Ashley, Jenkins</t>
  </si>
  <si>
    <t>Dominik Keller</t>
  </si>
  <si>
    <t>Jeffery, Taylor</t>
  </si>
  <si>
    <t>Rardin, Gisheera,</t>
  </si>
  <si>
    <t>Reimer, Elizabeth</t>
  </si>
  <si>
    <t>Maples, Teri</t>
  </si>
  <si>
    <t>Milligan, Roy</t>
  </si>
  <si>
    <t>Only, Ronald</t>
  </si>
  <si>
    <t>Jeppsen, Mary</t>
  </si>
  <si>
    <t>Rodinsky, Wanda</t>
  </si>
  <si>
    <t>Phelps Doray, Dawn</t>
  </si>
  <si>
    <t>Haigwood, Christina</t>
  </si>
  <si>
    <t>Wilson Iii, Robert</t>
  </si>
  <si>
    <t>Boudreaux, Lori</t>
  </si>
  <si>
    <t>Mcgill, Terra</t>
  </si>
  <si>
    <t>Bennett, Leigh</t>
  </si>
  <si>
    <t>Calvo, Noel</t>
  </si>
  <si>
    <t>Shepherd, Haden</t>
  </si>
  <si>
    <t>Mayfield, Timothy</t>
  </si>
  <si>
    <t>Miramontes, Sandra</t>
  </si>
  <si>
    <t>Hickerson, Robin</t>
  </si>
  <si>
    <t>Lowe, Persephone</t>
  </si>
  <si>
    <t>Valentine, Phillips</t>
  </si>
  <si>
    <t>Collins, Ashlea</t>
  </si>
  <si>
    <t>Megan, Denson</t>
  </si>
  <si>
    <t>Daniel Garrison</t>
  </si>
  <si>
    <t>Cooke, Melanie</t>
  </si>
  <si>
    <t>Wiggins, Margaret</t>
  </si>
  <si>
    <t>Lenehan, Michael</t>
  </si>
  <si>
    <t>Harmon, Jessica</t>
  </si>
  <si>
    <t>Ann Agbiak</t>
  </si>
  <si>
    <t>Bishop, Katherine</t>
  </si>
  <si>
    <t>Duncan, Kenya</t>
  </si>
  <si>
    <t>Van Hook, Sarah</t>
  </si>
  <si>
    <t>Griner, Kasheena,</t>
  </si>
  <si>
    <t>Chambers, Tonya</t>
  </si>
  <si>
    <t>Townsley, Madalyn,</t>
  </si>
  <si>
    <t>Susan Wurtenberger</t>
  </si>
  <si>
    <t>Delpilar, Ruiz, Luz</t>
  </si>
  <si>
    <t>Blair, Presley</t>
  </si>
  <si>
    <t>Clayton, Bailey</t>
  </si>
  <si>
    <t>Frye, Amanda</t>
  </si>
  <si>
    <t>Pickett, Patricia</t>
  </si>
  <si>
    <t>Whiteaker, Emma,</t>
  </si>
  <si>
    <t>Daugherty, Amy</t>
  </si>
  <si>
    <t>Werner, Victor</t>
  </si>
  <si>
    <t>Cullum, Marilyn</t>
  </si>
  <si>
    <t>Harrison, Jan</t>
  </si>
  <si>
    <t>Hertlein, Kimberly</t>
  </si>
  <si>
    <t>Snider, Mary</t>
  </si>
  <si>
    <t>White, Lauren</t>
  </si>
  <si>
    <t>Bengtson, Jeanine</t>
  </si>
  <si>
    <t>Zolten, Kristin</t>
  </si>
  <si>
    <t>Olienyk, Rachel</t>
  </si>
  <si>
    <t>Virden, Bryant</t>
  </si>
  <si>
    <t>Davidson, Amber,</t>
  </si>
  <si>
    <t>Lowery, Candy,</t>
  </si>
  <si>
    <t>Morgan, Jay</t>
  </si>
  <si>
    <t>Cantrell, Rachel</t>
  </si>
  <si>
    <t>Cain, Golda</t>
  </si>
  <si>
    <t>Pereira, Angela</t>
  </si>
  <si>
    <t>Gregory, Emily</t>
  </si>
  <si>
    <t>Davis, Schanta</t>
  </si>
  <si>
    <t>Kisselburg, Bianca</t>
  </si>
  <si>
    <t>Burns, Amy</t>
  </si>
  <si>
    <t>Ewing, Christy</t>
  </si>
  <si>
    <t>Renita Hogan</t>
  </si>
  <si>
    <t>Dorch, Alex</t>
  </si>
  <si>
    <t>Rodriguez, Denise</t>
  </si>
  <si>
    <t>Kailee</t>
  </si>
  <si>
    <t>Williams, Robyn,</t>
  </si>
  <si>
    <t>Gheen, Sarah</t>
  </si>
  <si>
    <t>Bosc, Kristin</t>
  </si>
  <si>
    <t>Coday, Mace</t>
  </si>
  <si>
    <t>Hill, Paul</t>
  </si>
  <si>
    <t>Hicks, Nancy</t>
  </si>
  <si>
    <t>Staggs, Maylynn</t>
  </si>
  <si>
    <t>Long, Nicholas</t>
  </si>
  <si>
    <t>Conley Olsen, Laura</t>
  </si>
  <si>
    <t>Hilt, Melanie</t>
  </si>
  <si>
    <t>Bell, Ladeana</t>
  </si>
  <si>
    <t>Stauch, Lauren</t>
  </si>
  <si>
    <t>Dillard, Casey</t>
  </si>
  <si>
    <t>Newman, Tara</t>
  </si>
  <si>
    <t>Duncan, Cindy</t>
  </si>
  <si>
    <t>Kristy, Ammons</t>
  </si>
  <si>
    <t>Davis, Mollie</t>
  </si>
  <si>
    <t>Renee, Brown</t>
  </si>
  <si>
    <t>Murdock, Frances</t>
  </si>
  <si>
    <t>Morgan, Kristie</t>
  </si>
  <si>
    <t>Curtis, Kevin</t>
  </si>
  <si>
    <t>Berryman, Donna</t>
  </si>
  <si>
    <t>Atkinson, Melissa</t>
  </si>
  <si>
    <t>Dougan, Jeremy</t>
  </si>
  <si>
    <t>Rofkahr, Crystal</t>
  </si>
  <si>
    <t>Crouch, Julie</t>
  </si>
  <si>
    <t>Bowman, Roni</t>
  </si>
  <si>
    <t>Rodriguez, Aracelia</t>
  </si>
  <si>
    <t>Lafleur, Sydney</t>
  </si>
  <si>
    <t>Becker, Heather,</t>
  </si>
  <si>
    <t>Lakeisha Winston</t>
  </si>
  <si>
    <t>Pickett, Reanne</t>
  </si>
  <si>
    <t>West, Hannah,</t>
  </si>
  <si>
    <t>Thielemier, Chelsea</t>
  </si>
  <si>
    <t>Channing, Carin</t>
  </si>
  <si>
    <t>Cynthia,Jones</t>
  </si>
  <si>
    <t>Emily, Osborne</t>
  </si>
  <si>
    <t>Janicek, Angela</t>
  </si>
  <si>
    <t>Bachrodt, April</t>
  </si>
  <si>
    <t>Burgest, Angela</t>
  </si>
  <si>
    <t>Devault, Angela</t>
  </si>
  <si>
    <t>Franks, Skylar, R</t>
  </si>
  <si>
    <t>Shepherd, Angela,</t>
  </si>
  <si>
    <t>Donato, Donna</t>
  </si>
  <si>
    <t>Reeves, Darren</t>
  </si>
  <si>
    <t>Neukirch, Brian</t>
  </si>
  <si>
    <t>Wray, Ralph</t>
  </si>
  <si>
    <t>Blair, Brittany</t>
  </si>
  <si>
    <t>Warren, Teesha</t>
  </si>
  <si>
    <t>George, Ashley</t>
  </si>
  <si>
    <t>Meloy, Melissa</t>
  </si>
  <si>
    <t>Evan,Hanson</t>
  </si>
  <si>
    <t>Eversole, Glenda</t>
  </si>
  <si>
    <t>Ryals, Peggy</t>
  </si>
  <si>
    <t>Thomas, Taylor</t>
  </si>
  <si>
    <t>Eley, Jennifer</t>
  </si>
  <si>
    <t>Klein, Mandy</t>
  </si>
  <si>
    <t>Seebeck, Jessica</t>
  </si>
  <si>
    <t>Eaves, Amanda L.</t>
  </si>
  <si>
    <t>Bradberry, Massiel</t>
  </si>
  <si>
    <t>Abshere, Brian</t>
  </si>
  <si>
    <t>Griggs, Courtney,</t>
  </si>
  <si>
    <t>Frye, Carrie</t>
  </si>
  <si>
    <t>Satterfield, Vanessa,</t>
  </si>
  <si>
    <t>Rust, Paul</t>
  </si>
  <si>
    <t>Soule, Jessica</t>
  </si>
  <si>
    <t>Robinson, Georgiana</t>
  </si>
  <si>
    <t>Tidwell, Basham, Cassondra</t>
  </si>
  <si>
    <t>Marler Rush, Kay</t>
  </si>
  <si>
    <t>Hall, Jennifer</t>
  </si>
  <si>
    <t>Gilbreth, Gracie,</t>
  </si>
  <si>
    <t>Robison, Kenneth</t>
  </si>
  <si>
    <t>Moulden, Mia,</t>
  </si>
  <si>
    <t>Thrailkill, Rachael</t>
  </si>
  <si>
    <t>Schmittou, Nicole</t>
  </si>
  <si>
    <t>Hiser, Elizabeth</t>
  </si>
  <si>
    <t>Dilisio, Andrew</t>
  </si>
  <si>
    <t>Duffel, Samantha</t>
  </si>
  <si>
    <t>Frost, Hailey,</t>
  </si>
  <si>
    <t>Treece, Jillian</t>
  </si>
  <si>
    <t>Shirron, Helen</t>
  </si>
  <si>
    <t>Dexter, Becky</t>
  </si>
  <si>
    <t>Wilson, Casheena</t>
  </si>
  <si>
    <t>Wilson Douglas, Kitty</t>
  </si>
  <si>
    <t>Evers, P</t>
  </si>
  <si>
    <t>Slater, Naomi</t>
  </si>
  <si>
    <t>Kayla, White</t>
  </si>
  <si>
    <t>Culclager, Kratisha</t>
  </si>
  <si>
    <t>Jackson, Jameela</t>
  </si>
  <si>
    <t>Bruce, Kristen</t>
  </si>
  <si>
    <t>Hoover, Christy</t>
  </si>
  <si>
    <t>Mays, Catherine</t>
  </si>
  <si>
    <t>Jacot, Lorri</t>
  </si>
  <si>
    <t>Curtis, Stephanie</t>
  </si>
  <si>
    <t>Kirkes, Anna</t>
  </si>
  <si>
    <t>Thomason, Angie</t>
  </si>
  <si>
    <t>Kiki, Alena</t>
  </si>
  <si>
    <t>Mann, Ashley</t>
  </si>
  <si>
    <t>Maguire, Erin R.</t>
  </si>
  <si>
    <t>Peters, Elnora</t>
  </si>
  <si>
    <t>Fargo, Cristina,</t>
  </si>
  <si>
    <t>Tabatha, Miller</t>
  </si>
  <si>
    <t>Rusty, Armstrong</t>
  </si>
  <si>
    <t>Lyman, Emily,</t>
  </si>
  <si>
    <t>Lody, Kasey,</t>
  </si>
  <si>
    <t>Mainard, Hannah, E</t>
  </si>
  <si>
    <t>Tuttle, Mark</t>
  </si>
  <si>
    <t>Brannen, Valerie</t>
  </si>
  <si>
    <t>Jameson, John</t>
  </si>
  <si>
    <t>Gustus, Christine</t>
  </si>
  <si>
    <t>Gregory Stewart</t>
  </si>
  <si>
    <t>Mcknight, Lauren</t>
  </si>
  <si>
    <t>Couch, Christina</t>
  </si>
  <si>
    <t>Evans, Michael</t>
  </si>
  <si>
    <t>Deshane, Margaret</t>
  </si>
  <si>
    <t>Wansley, Jessica</t>
  </si>
  <si>
    <t>Bufford, Tiffanie</t>
  </si>
  <si>
    <t>John, Sufna</t>
  </si>
  <si>
    <t>Lindsey, Dora</t>
  </si>
  <si>
    <t>Baker, Heather</t>
  </si>
  <si>
    <t>Tucker, David</t>
  </si>
  <si>
    <t>Hammonds, Kimberly</t>
  </si>
  <si>
    <t>Thomas, Mark</t>
  </si>
  <si>
    <t>Snell, Emily</t>
  </si>
  <si>
    <t>Carpenter, Emily</t>
  </si>
  <si>
    <t>Hough, Tanya</t>
  </si>
  <si>
    <t>Cookus, Lindsay</t>
  </si>
  <si>
    <t>Whitmore, Teressa,</t>
  </si>
  <si>
    <t>Sumner, Andrea</t>
  </si>
  <si>
    <t>Rogers, Amanda</t>
  </si>
  <si>
    <t>Perkins, Andrewniquis</t>
  </si>
  <si>
    <t>Barnes, Lecole</t>
  </si>
  <si>
    <t>Hnilica, Sara</t>
  </si>
  <si>
    <t>Kaylee, Pickartz</t>
  </si>
  <si>
    <t>Hess, Lindsey</t>
  </si>
  <si>
    <t>Udouj, Isaac,</t>
  </si>
  <si>
    <t>Mcarthur, Allison</t>
  </si>
  <si>
    <t>Ott, Don</t>
  </si>
  <si>
    <t>Brinker, Laura</t>
  </si>
  <si>
    <t>Hodges, Laura</t>
  </si>
  <si>
    <t>Dillin, Sandra</t>
  </si>
  <si>
    <t>Healy, Margaret</t>
  </si>
  <si>
    <t>Jason,Waller</t>
  </si>
  <si>
    <t>Perry, Joie</t>
  </si>
  <si>
    <t>Downing, Sarah</t>
  </si>
  <si>
    <t>Mckinney, Marcie</t>
  </si>
  <si>
    <t>Randall Arell, Jamie</t>
  </si>
  <si>
    <t>Olson, Letitia</t>
  </si>
  <si>
    <t>Pike, Angela</t>
  </si>
  <si>
    <t>Renuart Rapa, Christine</t>
  </si>
  <si>
    <t>Hunt, Lisa</t>
  </si>
  <si>
    <t>Pearson, Andrew</t>
  </si>
  <si>
    <t>Hesselbein, Shalae</t>
  </si>
  <si>
    <t>Mccoy, Latoya</t>
  </si>
  <si>
    <t>Bever, Jami</t>
  </si>
  <si>
    <t>Davies, Victoria</t>
  </si>
  <si>
    <t>Birdsong, Mackenzie</t>
  </si>
  <si>
    <t>Treat, Cheryl</t>
  </si>
  <si>
    <t>Lyza Lattanza</t>
  </si>
  <si>
    <t>Meagan, Miller</t>
  </si>
  <si>
    <t>Sarah, Hallmann</t>
  </si>
  <si>
    <t>Katrina Hall</t>
  </si>
  <si>
    <t>Chance, Julia</t>
  </si>
  <si>
    <t>Johnson, Laveta,</t>
  </si>
  <si>
    <t>Curley, Aleah,</t>
  </si>
  <si>
    <t>Ashley, Grigsby</t>
  </si>
  <si>
    <t>Lester, Carol</t>
  </si>
  <si>
    <t>Angelica,Yang</t>
  </si>
  <si>
    <t>Keeanndase Pace</t>
  </si>
  <si>
    <t>Hammons, Kelsie</t>
  </si>
  <si>
    <t>Holladay, Deirdre</t>
  </si>
  <si>
    <t>Hills, James,</t>
  </si>
  <si>
    <t>Shuler, George</t>
  </si>
  <si>
    <t>Statler, Kelli</t>
  </si>
  <si>
    <t>Breeden, Sara</t>
  </si>
  <si>
    <t>Cryer, Lyndsey</t>
  </si>
  <si>
    <t>Buxton, Charl</t>
  </si>
  <si>
    <t>Belinga, Steve</t>
  </si>
  <si>
    <t>Edwards, Brad</t>
  </si>
  <si>
    <t>Fernandez, Karina</t>
  </si>
  <si>
    <t>Danley, Laura</t>
  </si>
  <si>
    <t>Carothers, Jesse</t>
  </si>
  <si>
    <t>Holleman, Erin</t>
  </si>
  <si>
    <t>Benjamin, Celena</t>
  </si>
  <si>
    <t>Jaggers, Kathryn</t>
  </si>
  <si>
    <t>Camp, Nicholas</t>
  </si>
  <si>
    <t>Makus, Wendi</t>
  </si>
  <si>
    <t>Williams, Joanne</t>
  </si>
  <si>
    <t>Luna, Verlin</t>
  </si>
  <si>
    <t>Robbins, Margaret</t>
  </si>
  <si>
    <t>Bokker, Lon Paul</t>
  </si>
  <si>
    <t>Glover, Tamara</t>
  </si>
  <si>
    <t>Stepherson, Marchelle</t>
  </si>
  <si>
    <t>Thomas, Carolyn</t>
  </si>
  <si>
    <t>Irby, Meredith</t>
  </si>
  <si>
    <t>Piazza, Anna</t>
  </si>
  <si>
    <t>Dwiggins, Richard</t>
  </si>
  <si>
    <t>Cantu, Darlene</t>
  </si>
  <si>
    <t>Oberheim, Steven</t>
  </si>
  <si>
    <t>Millsap, Megan</t>
  </si>
  <si>
    <t>Walden, Victoria</t>
  </si>
  <si>
    <t>Scharbor, Debra</t>
  </si>
  <si>
    <t>Banks, Knikiah</t>
  </si>
  <si>
    <t>Black, Nickolas</t>
  </si>
  <si>
    <t>Taute, Connie</t>
  </si>
  <si>
    <t>Cuellar, Lindsey</t>
  </si>
  <si>
    <t>Ingram, Bridget</t>
  </si>
  <si>
    <t>Raggio, Alyssa,</t>
  </si>
  <si>
    <t>Kinzler, Stacy</t>
  </si>
  <si>
    <t>Mcgee, Charledria</t>
  </si>
  <si>
    <t>Vernell, Gerald</t>
  </si>
  <si>
    <t>Schork, Donna, L</t>
  </si>
  <si>
    <t>Davis, Jayla</t>
  </si>
  <si>
    <t>Trevino, Julie</t>
  </si>
  <si>
    <t>Cornwell, Karen</t>
  </si>
  <si>
    <t>Meeks, Kamie</t>
  </si>
  <si>
    <t>Storie, Benjamin</t>
  </si>
  <si>
    <t>Poston, Lori</t>
  </si>
  <si>
    <t>Walls, Nanette</t>
  </si>
  <si>
    <t>Washington, Linda</t>
  </si>
  <si>
    <t>Rhodes, Linda</t>
  </si>
  <si>
    <t>Parsons, Heather</t>
  </si>
  <si>
    <t>Anderson, Kris</t>
  </si>
  <si>
    <t>Scarberry, Chelsie</t>
  </si>
  <si>
    <t>Jewell, Sarah</t>
  </si>
  <si>
    <t>Clover, Kim</t>
  </si>
  <si>
    <t>Benafield, R. Bryan</t>
  </si>
  <si>
    <t>Cullum, Regan,</t>
  </si>
  <si>
    <t>Morgan, Heather</t>
  </si>
  <si>
    <t>Harmon, Myria</t>
  </si>
  <si>
    <t>Pearson, Ryan</t>
  </si>
  <si>
    <t>Amy,Perez</t>
  </si>
  <si>
    <t>Jones, Rebecca</t>
  </si>
  <si>
    <t>Nelson, Amanda</t>
  </si>
  <si>
    <t>Hull, Christina</t>
  </si>
  <si>
    <t>Hurst, Robert K</t>
  </si>
  <si>
    <t>Claudio, Damaris</t>
  </si>
  <si>
    <t>Adams, Jeanette</t>
  </si>
  <si>
    <t>Pitrello, Juliana</t>
  </si>
  <si>
    <t>Jones Washington, Gaye</t>
  </si>
  <si>
    <t>Giglio, Rita</t>
  </si>
  <si>
    <t>Traynor, Rebecca,</t>
  </si>
  <si>
    <t>Mitchell, Nancy</t>
  </si>
  <si>
    <t>Laduke, Tori</t>
  </si>
  <si>
    <t>Collins, Corey</t>
  </si>
  <si>
    <t>Grumme Rodriguez, Karen</t>
  </si>
  <si>
    <t>Mondt, Priscilla</t>
  </si>
  <si>
    <t>Tubbs, Leah</t>
  </si>
  <si>
    <t>Crystal, Lane</t>
  </si>
  <si>
    <t>Delay, Aaron</t>
  </si>
  <si>
    <t>Peggy, Hancock</t>
  </si>
  <si>
    <t>Gannoe, Kristin</t>
  </si>
  <si>
    <t>Miller, Peggy</t>
  </si>
  <si>
    <t>Feir, Betty</t>
  </si>
  <si>
    <t>Williams, Kristie</t>
  </si>
  <si>
    <t>Collins, Catherine</t>
  </si>
  <si>
    <t>Sappington, Corinne</t>
  </si>
  <si>
    <t>Mitchel, Brandy</t>
  </si>
  <si>
    <t>Rouse, Lisa</t>
  </si>
  <si>
    <t>Long, Yan</t>
  </si>
  <si>
    <t>Hamm, Shawn</t>
  </si>
  <si>
    <t>Walker, Stephen</t>
  </si>
  <si>
    <t>Beightol, Kristin</t>
  </si>
  <si>
    <t>Adams, Katrina</t>
  </si>
  <si>
    <t>Jessica Walker</t>
  </si>
  <si>
    <t>Brooks, Charnell</t>
  </si>
  <si>
    <t>Amanda Underwood</t>
  </si>
  <si>
    <t>Harris, Julie,</t>
  </si>
  <si>
    <t>Shari, Kimball</t>
  </si>
  <si>
    <t>Clark, Lecretia</t>
  </si>
  <si>
    <t>Pollard, Bruce</t>
  </si>
  <si>
    <t>Gately, Audra</t>
  </si>
  <si>
    <t>Carlos Torres</t>
  </si>
  <si>
    <t>Marcantel, Kristen</t>
  </si>
  <si>
    <t>Amelia, Strickland</t>
  </si>
  <si>
    <t>Shorter, Cherrelle</t>
  </si>
  <si>
    <t>Corr, Cheryl</t>
  </si>
  <si>
    <t>Jones, Donna</t>
  </si>
  <si>
    <t>Armenteros, Jessica</t>
  </si>
  <si>
    <t>Tillman-Wilson, Que'Linda</t>
  </si>
  <si>
    <t>Marengo, Kelli</t>
  </si>
  <si>
    <t>Laney, Sherrie,</t>
  </si>
  <si>
    <t>Cruz, Bejarano, Catherine</t>
  </si>
  <si>
    <t>Sonja</t>
  </si>
  <si>
    <t>Miller, Terri</t>
  </si>
  <si>
    <t>Glover, Sherry</t>
  </si>
  <si>
    <t>Eidt, William</t>
  </si>
  <si>
    <t>Ryals, Amanda</t>
  </si>
  <si>
    <t>Burton, Mysti</t>
  </si>
  <si>
    <t>Fullen, Allison</t>
  </si>
  <si>
    <t>Hall, Stacy</t>
  </si>
  <si>
    <t>Mccune, Carolyn</t>
  </si>
  <si>
    <t>Billings, Darin</t>
  </si>
  <si>
    <t>Davis, Shaquata, L</t>
  </si>
  <si>
    <t>Bynum, Andrea</t>
  </si>
  <si>
    <t>Farris, Melanie</t>
  </si>
  <si>
    <t>Griffen, Patricia</t>
  </si>
  <si>
    <t>Pack, Tresvil</t>
  </si>
  <si>
    <t>Hanks, Stephanie</t>
  </si>
  <si>
    <t>Chelsea, Williams</t>
  </si>
  <si>
    <t>Birdwhistell, Leslie</t>
  </si>
  <si>
    <t>Lilli Anna, Baca</t>
  </si>
  <si>
    <t>Javins, Dolores</t>
  </si>
  <si>
    <t>Kloep, Megan</t>
  </si>
  <si>
    <t>Huynh, Rachel</t>
  </si>
  <si>
    <t>Myatt, Matthew</t>
  </si>
  <si>
    <t>Dayton,Parish</t>
  </si>
  <si>
    <t>Barham, James</t>
  </si>
  <si>
    <t>Jenny French</t>
  </si>
  <si>
    <t>Brooks, Kathryn</t>
  </si>
  <si>
    <t>Yerton, Robert</t>
  </si>
  <si>
    <t>Friend, Lynea</t>
  </si>
  <si>
    <t>Rucker, Jonathan,</t>
  </si>
  <si>
    <t>Jessica, Peebles</t>
  </si>
  <si>
    <t>Fontenot, Sheila</t>
  </si>
  <si>
    <t>Ashley, Whitt</t>
  </si>
  <si>
    <t>Teague, Kaitlynn, E</t>
  </si>
  <si>
    <t>Scott, Morgan, L</t>
  </si>
  <si>
    <t>Stanford, Royce</t>
  </si>
  <si>
    <t>Matinchek, Susan</t>
  </si>
  <si>
    <t>Brown, Virginia</t>
  </si>
  <si>
    <t>Hyman, Charles F</t>
  </si>
  <si>
    <t>Billings, Tara</t>
  </si>
  <si>
    <t>Fulton, Melanie</t>
  </si>
  <si>
    <t>Campbell, Cathy</t>
  </si>
  <si>
    <t>Sandusky, Weston</t>
  </si>
  <si>
    <t>Hurd, David</t>
  </si>
  <si>
    <t>Venetia, Trussell</t>
  </si>
  <si>
    <t>Dotts, Sherry</t>
  </si>
  <si>
    <t>Sandlin, Luke</t>
  </si>
  <si>
    <t>Valdes, Michael</t>
  </si>
  <si>
    <t>Rackley, Beverly</t>
  </si>
  <si>
    <t>Rogers, Michael</t>
  </si>
  <si>
    <t>Thompson, Marsha</t>
  </si>
  <si>
    <t>Griffis, Holly</t>
  </si>
  <si>
    <t>Bishop, Jasmine</t>
  </si>
  <si>
    <t>Kernan, Meghann</t>
  </si>
  <si>
    <t>James, Katherine</t>
  </si>
  <si>
    <t>Brooks, Delisa</t>
  </si>
  <si>
    <t>Wolcott, Alexis</t>
  </si>
  <si>
    <t>Maestas, Maurie</t>
  </si>
  <si>
    <t>Ashley Allen</t>
  </si>
  <si>
    <t>Dewoody, Taylor</t>
  </si>
  <si>
    <t>Hammett, Patrick</t>
  </si>
  <si>
    <t>Sanders, Katie</t>
  </si>
  <si>
    <t>Yancey, Kiara</t>
  </si>
  <si>
    <t>Taylor, Ashlee</t>
  </si>
  <si>
    <t>Tingle Chang, Lynzie</t>
  </si>
  <si>
    <t>Rebecca Adams</t>
  </si>
  <si>
    <t>Melinda, Ortega</t>
  </si>
  <si>
    <t>Averie Albright</t>
  </si>
  <si>
    <t>Evants, Brianna</t>
  </si>
  <si>
    <t>Schade, Connie</t>
  </si>
  <si>
    <t>Jessica, Foster</t>
  </si>
  <si>
    <t>Deeann, Sutter</t>
  </si>
  <si>
    <t>Mccarty, Emily,</t>
  </si>
  <si>
    <t>Thomas, Destiny</t>
  </si>
  <si>
    <t>Brecken</t>
  </si>
  <si>
    <t>Davidson, Eugenie,</t>
  </si>
  <si>
    <t>Crow, Jordan</t>
  </si>
  <si>
    <t>Fries, Ashley</t>
  </si>
  <si>
    <t>Donald Mccown</t>
  </si>
  <si>
    <t>Boswell, Candace,</t>
  </si>
  <si>
    <t>Sutton, Holly</t>
  </si>
  <si>
    <t>Coben, Robert</t>
  </si>
  <si>
    <t>Thomas, Christopher</t>
  </si>
  <si>
    <t>Levin, Aaron</t>
  </si>
  <si>
    <t>Carter, Leah</t>
  </si>
  <si>
    <t>Martin, Sara</t>
  </si>
  <si>
    <t>Ainsworth, Michelle</t>
  </si>
  <si>
    <t>Jillian, Russell</t>
  </si>
  <si>
    <t>Matheney, Frannie</t>
  </si>
  <si>
    <t>Harwell, Neal</t>
  </si>
  <si>
    <t>Parker, Tanci</t>
  </si>
  <si>
    <t>Schultz, Saundra</t>
  </si>
  <si>
    <t>Foscue, David</t>
  </si>
  <si>
    <t>Lar'Mara Bluitt</t>
  </si>
  <si>
    <t>Marts, Kristin</t>
  </si>
  <si>
    <t>Lakendria Smith</t>
  </si>
  <si>
    <t>Keough, Andrew</t>
  </si>
  <si>
    <t>Richardson, Jillian</t>
  </si>
  <si>
    <t>Peek, Sarah</t>
  </si>
  <si>
    <t>Marshall, Lillian</t>
  </si>
  <si>
    <t>Moix, Melissa</t>
  </si>
  <si>
    <t>Debernard, Christopher</t>
  </si>
  <si>
    <t>Eisenhauer, Gail</t>
  </si>
  <si>
    <t>Green Johnson, Lauren</t>
  </si>
  <si>
    <t>Davis, Nicole</t>
  </si>
  <si>
    <t>Koschmann, Brandi</t>
  </si>
  <si>
    <t>Rannals, Brandi</t>
  </si>
  <si>
    <t>Whitley, Spencer</t>
  </si>
  <si>
    <t>Richards, Jonathan</t>
  </si>
  <si>
    <t>Kennethya,Smith-Johnson</t>
  </si>
  <si>
    <t>Pearce, Tina</t>
  </si>
  <si>
    <t>Mitchell, Megan</t>
  </si>
  <si>
    <t>Chrissom, Maddux</t>
  </si>
  <si>
    <t>Gray, Jennifer</t>
  </si>
  <si>
    <t>Cheyenne, Parker</t>
  </si>
  <si>
    <t>Perryman, Ashlyn</t>
  </si>
  <si>
    <t>Griffith, Taylor</t>
  </si>
  <si>
    <t>Stone, Kawameka</t>
  </si>
  <si>
    <t>Raylon, Wilson</t>
  </si>
  <si>
    <t>Robinson, Stanley</t>
  </si>
  <si>
    <t>Tarvin, Laura</t>
  </si>
  <si>
    <t>Lopez, Marisa,</t>
  </si>
  <si>
    <t>Andre, Talbert</t>
  </si>
  <si>
    <t>Malarie, Russell</t>
  </si>
  <si>
    <t>Selena Hughes</t>
  </si>
  <si>
    <t>Chayla, Slaton</t>
  </si>
  <si>
    <t>Lyle, Crystal</t>
  </si>
  <si>
    <t>Butler, Kendra</t>
  </si>
  <si>
    <t>Mary, Birtcher</t>
  </si>
  <si>
    <t>Bowman, Sidney</t>
  </si>
  <si>
    <t>Outlaw, Lynn</t>
  </si>
  <si>
    <t>Tidwell, Benjamin</t>
  </si>
  <si>
    <t>Stone, Jennifer</t>
  </si>
  <si>
    <t>Kleiner, Jennifer</t>
  </si>
  <si>
    <t>Etheridge, Rickey</t>
  </si>
  <si>
    <t>Lengefeld, David</t>
  </si>
  <si>
    <t>Owen, Christie</t>
  </si>
  <si>
    <t>Keefer, Pamela</t>
  </si>
  <si>
    <t>Warr, Shelley</t>
  </si>
  <si>
    <t>Gates, Whitney</t>
  </si>
  <si>
    <t>Marsden, Michael</t>
  </si>
  <si>
    <t>Wysocki, Daniel</t>
  </si>
  <si>
    <t>Barbara Radebaugh</t>
  </si>
  <si>
    <t>Sarah, Kendall</t>
  </si>
  <si>
    <t>Osment, Autumn</t>
  </si>
  <si>
    <t>Allen, Garry</t>
  </si>
  <si>
    <t>Williford, Robin</t>
  </si>
  <si>
    <t>Roberson, Dustin</t>
  </si>
  <si>
    <t>Nabors, Katelyn</t>
  </si>
  <si>
    <t>Eller, Garrett</t>
  </si>
  <si>
    <t>Crystal,Lissuzzo</t>
  </si>
  <si>
    <t>Gillis, Jennifer</t>
  </si>
  <si>
    <t>Albuja, Pablo</t>
  </si>
  <si>
    <t>Taylor, Clare</t>
  </si>
  <si>
    <t>Harris, Kayley</t>
  </si>
  <si>
    <t>Smith, Vickie</t>
  </si>
  <si>
    <t>Wallace, Madonna</t>
  </si>
  <si>
    <t>Martin, William</t>
  </si>
  <si>
    <t>Dawson, Denise</t>
  </si>
  <si>
    <t>Beall, Sarah</t>
  </si>
  <si>
    <t>Higginbottom, Julienne</t>
  </si>
  <si>
    <t>Purcell, William</t>
  </si>
  <si>
    <t>Hannah, Corron</t>
  </si>
  <si>
    <t>Joseph, Morningstar</t>
  </si>
  <si>
    <t>Schmidt, Allison</t>
  </si>
  <si>
    <t>Thompson, Alexandra</t>
  </si>
  <si>
    <t>Wilcox, Stephanie</t>
  </si>
  <si>
    <t>Levengood, Mallori</t>
  </si>
  <si>
    <t>Latanya Parsley</t>
  </si>
  <si>
    <t>Callie A Talley</t>
  </si>
  <si>
    <t>Katherine, Long</t>
  </si>
  <si>
    <t>Sasha, Brown</t>
  </si>
  <si>
    <t>Chambers, Gene</t>
  </si>
  <si>
    <t>Bell, Sharon</t>
  </si>
  <si>
    <t>Penn, Nicola</t>
  </si>
  <si>
    <t>Mitchell, Daryl</t>
  </si>
  <si>
    <t>Riggan, Robin</t>
  </si>
  <si>
    <t>Clark, Mary</t>
  </si>
  <si>
    <t>Morrissette, Melissa</t>
  </si>
  <si>
    <t>Deacon, Casey</t>
  </si>
  <si>
    <t>Everett, Leah</t>
  </si>
  <si>
    <t>Dennis, Heidi</t>
  </si>
  <si>
    <t>Jeppsen, Michael</t>
  </si>
  <si>
    <t>Jones, Laura</t>
  </si>
  <si>
    <t>Fife, Nilzabeth</t>
  </si>
  <si>
    <t>Moser, Sarah</t>
  </si>
  <si>
    <t>Bingham, Anna</t>
  </si>
  <si>
    <t>Newman, Meghan</t>
  </si>
  <si>
    <t>Shands, Melanie</t>
  </si>
  <si>
    <t>Berger, Alicia</t>
  </si>
  <si>
    <t>Shinn, Angela</t>
  </si>
  <si>
    <t>Hubberd, Jesse</t>
  </si>
  <si>
    <t>Sarah Whitledge</t>
  </si>
  <si>
    <t>Leighty, Melissa</t>
  </si>
  <si>
    <t>Goolsby, Lisa</t>
  </si>
  <si>
    <t>Brown, Cindy</t>
  </si>
  <si>
    <t>Kelley, Candice</t>
  </si>
  <si>
    <t>Steele-Wren, Stephanie</t>
  </si>
  <si>
    <t>Sweetser, Matthew</t>
  </si>
  <si>
    <t>Bratton, Tracey</t>
  </si>
  <si>
    <t>Steckel, Elizabeth</t>
  </si>
  <si>
    <t>Turner, Jessica</t>
  </si>
  <si>
    <t>Smalls, Nina</t>
  </si>
  <si>
    <t>Casey, Lauren</t>
  </si>
  <si>
    <t>Benton, Cristy</t>
  </si>
  <si>
    <t>Talhelm, Paige</t>
  </si>
  <si>
    <t>Moore, Regina</t>
  </si>
  <si>
    <t>Duer, Jennifer</t>
  </si>
  <si>
    <t>Gachot-Ridgley, Shannon</t>
  </si>
  <si>
    <t>Mcclain, Cydney</t>
  </si>
  <si>
    <t>Brock, Fredricca</t>
  </si>
  <si>
    <t>Giardina, Pamela</t>
  </si>
  <si>
    <t>Owens, Breanna</t>
  </si>
  <si>
    <t>Kees, Marissa</t>
  </si>
  <si>
    <t>Mateo Rodriguez, Frida</t>
  </si>
  <si>
    <t>Presley, Eutsler</t>
  </si>
  <si>
    <t>Rodgers, Brianna,</t>
  </si>
  <si>
    <t>Green, Justin</t>
  </si>
  <si>
    <t>Moseley, Michelle</t>
  </si>
  <si>
    <t>Winfield, Shelley</t>
  </si>
  <si>
    <t>Davidson, Janice</t>
  </si>
  <si>
    <t>Williams, Jason, D</t>
  </si>
  <si>
    <t>Hubbard, Blaine</t>
  </si>
  <si>
    <t>Smith, Leslie G</t>
  </si>
  <si>
    <t>Ferrelli Lemmon, Monica</t>
  </si>
  <si>
    <t>Byars, Cathy</t>
  </si>
  <si>
    <t>Bradshaw, Ian</t>
  </si>
  <si>
    <t>East, Jodi</t>
  </si>
  <si>
    <t>Armstrong, Christina</t>
  </si>
  <si>
    <t>Frierson, Courtney</t>
  </si>
  <si>
    <t>Watkins, Charla</t>
  </si>
  <si>
    <t>Heather Burroughs</t>
  </si>
  <si>
    <t>Shonda, Wintroath</t>
  </si>
  <si>
    <t>Klinger, Hillary</t>
  </si>
  <si>
    <t>Story, Heather</t>
  </si>
  <si>
    <t>Irons, Vanessa</t>
  </si>
  <si>
    <t>Daniel, Bingham</t>
  </si>
  <si>
    <t>Spradlin, Eric</t>
  </si>
  <si>
    <t>Lakenya</t>
  </si>
  <si>
    <t>Markela Ballard</t>
  </si>
  <si>
    <t>Griffith, Angela,</t>
  </si>
  <si>
    <t>Webb, Ryann</t>
  </si>
  <si>
    <t>Koskovick, Jesse,</t>
  </si>
  <si>
    <t>Woods, Jamie</t>
  </si>
  <si>
    <t>Miller, Lavona</t>
  </si>
  <si>
    <t>Laura Tague</t>
  </si>
  <si>
    <t>Caroline, Taylor</t>
  </si>
  <si>
    <t>Jessica, Daniell</t>
  </si>
  <si>
    <t>Wallace, Allison P</t>
  </si>
  <si>
    <t>Droke, Karlie, M</t>
  </si>
  <si>
    <t>Perez Pabon, Jahnneliz</t>
  </si>
  <si>
    <t>Whitten, Harriet</t>
  </si>
  <si>
    <t>Graham-Massey, Paulette</t>
  </si>
  <si>
    <t>Boyd, Daniel</t>
  </si>
  <si>
    <t>Sims, K</t>
  </si>
  <si>
    <t>Floyd, Markisha</t>
  </si>
  <si>
    <t>Massey, Lashaunda</t>
  </si>
  <si>
    <t>Cox, Jeffrey</t>
  </si>
  <si>
    <t>Osborne, Gary</t>
  </si>
  <si>
    <t>Shover, Amanda</t>
  </si>
  <si>
    <t>Black, Ronda</t>
  </si>
  <si>
    <t>Gilley, Harry</t>
  </si>
  <si>
    <t>Waite, Amber</t>
  </si>
  <si>
    <t>Irby, Kimery</t>
  </si>
  <si>
    <t>Crutchfield, Eric</t>
  </si>
  <si>
    <t>Cole, Tara</t>
  </si>
  <si>
    <t>Jenny Emerson</t>
  </si>
  <si>
    <t>Massey, David</t>
  </si>
  <si>
    <t>Walters, Christa</t>
  </si>
  <si>
    <t>Williams, Tracy</t>
  </si>
  <si>
    <t>Marsh, Angela</t>
  </si>
  <si>
    <t>Bennett, Jessica</t>
  </si>
  <si>
    <t>Gaines, Lea Andra</t>
  </si>
  <si>
    <t>Gipson, Lindsey</t>
  </si>
  <si>
    <t>Medley, Joshua</t>
  </si>
  <si>
    <t>Lavespere, Shena</t>
  </si>
  <si>
    <t>Wilson, Cassidy</t>
  </si>
  <si>
    <t>Everett, Joshua</t>
  </si>
  <si>
    <t>Knight, Carla</t>
  </si>
  <si>
    <t>Henson, Brooklyn</t>
  </si>
  <si>
    <t>Figgins, Lisa</t>
  </si>
  <si>
    <t>Hooper, Mary</t>
  </si>
  <si>
    <t>Bruesch, Daniel</t>
  </si>
  <si>
    <t>Wheeler, Suson</t>
  </si>
  <si>
    <t>Rodgers, Coryn</t>
  </si>
  <si>
    <t>Tom, Keley</t>
  </si>
  <si>
    <t>Wedley, D Lessia</t>
  </si>
  <si>
    <t>Dana, Fleming</t>
  </si>
  <si>
    <t>Pennie</t>
  </si>
  <si>
    <t>Courtney Eichelberger</t>
  </si>
  <si>
    <t>Joshua Slater</t>
  </si>
  <si>
    <t>Louverture, Jessica</t>
  </si>
  <si>
    <t>Bahner, Nicholas, R</t>
  </si>
  <si>
    <t>Rostoni, Johanna, C</t>
  </si>
  <si>
    <t>Nguyen, Lauren, G</t>
  </si>
  <si>
    <t>Johnston, Marcela</t>
  </si>
  <si>
    <t>Oldham, Susan</t>
  </si>
  <si>
    <t>Blaylock, Sharon</t>
  </si>
  <si>
    <t>Mcpherson, Sean</t>
  </si>
  <si>
    <t>Wade Brown, Veronica</t>
  </si>
  <si>
    <t>Smith Steward Fason, Chante</t>
  </si>
  <si>
    <t>Clark, Stuart</t>
  </si>
  <si>
    <t>Gilchrist, Katherine</t>
  </si>
  <si>
    <t>Boaz, Anthony</t>
  </si>
  <si>
    <t>Daniel, Karla</t>
  </si>
  <si>
    <t>Rowell, Joseph</t>
  </si>
  <si>
    <t>Linn, Brian</t>
  </si>
  <si>
    <t>Pigott, Kim</t>
  </si>
  <si>
    <t>Morgan, Whitney</t>
  </si>
  <si>
    <t>Faulkner, Martin L</t>
  </si>
  <si>
    <t>Kerr Jr, Vivison</t>
  </si>
  <si>
    <t>Thompson, Annie</t>
  </si>
  <si>
    <t>Stroh, Martha</t>
  </si>
  <si>
    <t>Hudson, Leigh</t>
  </si>
  <si>
    <t>Kniep, Juliana</t>
  </si>
  <si>
    <t>Wright, Melinda</t>
  </si>
  <si>
    <t>Baker, Sharon</t>
  </si>
  <si>
    <t>Kispert, Shawn</t>
  </si>
  <si>
    <t>Hedrick, Emily</t>
  </si>
  <si>
    <t>Wojtek, Kasey</t>
  </si>
  <si>
    <t>Miller, Sara</t>
  </si>
  <si>
    <t>Trent, Letitia</t>
  </si>
  <si>
    <t>Mccalman, Katherine</t>
  </si>
  <si>
    <t>Smarinsky, Evan</t>
  </si>
  <si>
    <t>Casebolt, Rachel</t>
  </si>
  <si>
    <t>Candace, Rice</t>
  </si>
  <si>
    <t>Mix, Abby</t>
  </si>
  <si>
    <t>Bell, Brooke</t>
  </si>
  <si>
    <t>Long, Cari</t>
  </si>
  <si>
    <t>Varnadore, Adrian,</t>
  </si>
  <si>
    <t>Weeks, Skyla</t>
  </si>
  <si>
    <t>Parsons, Dawn</t>
  </si>
  <si>
    <t>Rhodes, Heather</t>
  </si>
  <si>
    <t>Bright, James</t>
  </si>
  <si>
    <t>Bos, Jon</t>
  </si>
  <si>
    <t>Sharp, Katianne M.</t>
  </si>
  <si>
    <t>Kelso, Annette,</t>
  </si>
  <si>
    <t>Wright, Pamela</t>
  </si>
  <si>
    <t>Hopper, Rachael</t>
  </si>
  <si>
    <t>Lenard, Margarette</t>
  </si>
  <si>
    <t>Cude Woods, Amanda</t>
  </si>
  <si>
    <t>Walters, Roberta</t>
  </si>
  <si>
    <t>Faulkner, Johnny</t>
  </si>
  <si>
    <t>Taylor, Jeremiah</t>
  </si>
  <si>
    <t>Cline, Jeffrey</t>
  </si>
  <si>
    <t>Lakin, Dean</t>
  </si>
  <si>
    <t>Christi Polk</t>
  </si>
  <si>
    <t>White, Jacob</t>
  </si>
  <si>
    <t>Thibodeaux, Christina</t>
  </si>
  <si>
    <t>Woolley, Ashling</t>
  </si>
  <si>
    <t>Jarrett-Kelly, Brea</t>
  </si>
  <si>
    <t>Taylor, Whitney</t>
  </si>
  <si>
    <t>Godfrey, Michael</t>
  </si>
  <si>
    <t>Caffey, Ta-Tanishia</t>
  </si>
  <si>
    <t>Powell, Bianca</t>
  </si>
  <si>
    <t>Stephanie A Duncan</t>
  </si>
  <si>
    <t>Lecoure, Cherie</t>
  </si>
  <si>
    <t>Bacon Latina, Courtney</t>
  </si>
  <si>
    <t>Michalak, Sophia</t>
  </si>
  <si>
    <t>Lindsey-Acker, Natasch</t>
  </si>
  <si>
    <t>Gaskin, Sarah,</t>
  </si>
  <si>
    <t>Kelly Velasquez</t>
  </si>
  <si>
    <t>Jamil Matthews</t>
  </si>
  <si>
    <t>Breyfogle, Samantha,</t>
  </si>
  <si>
    <t>Kennedy, Tammy</t>
  </si>
  <si>
    <t>Tyc, Vida</t>
  </si>
  <si>
    <t>Scott, Patricia</t>
  </si>
  <si>
    <t>Milstead, Christopher</t>
  </si>
  <si>
    <t>Haynes, Annie</t>
  </si>
  <si>
    <t>Nall, Steven</t>
  </si>
  <si>
    <t>Ratliff, Peggy</t>
  </si>
  <si>
    <t>King, Rebekah</t>
  </si>
  <si>
    <t>Priest, Jon</t>
  </si>
  <si>
    <t>Martha, Newman</t>
  </si>
  <si>
    <t>Oldham, William</t>
  </si>
  <si>
    <t>Perry, Valerie</t>
  </si>
  <si>
    <t>Saravane, Jessica</t>
  </si>
  <si>
    <t>Pipkin, Jessica</t>
  </si>
  <si>
    <t>Robertson, Melissa,</t>
  </si>
  <si>
    <t>Carter, Casey</t>
  </si>
  <si>
    <t>Davis, Gregory</t>
  </si>
  <si>
    <t>Hudspeth, Emma</t>
  </si>
  <si>
    <t>Nicole, Eugenio</t>
  </si>
  <si>
    <t>Mcdonald, Lajoya</t>
  </si>
  <si>
    <t>Gilchrist, Breanne</t>
  </si>
  <si>
    <t>Pittman, Jennifer</t>
  </si>
  <si>
    <t>Townsend, Chanel</t>
  </si>
  <si>
    <t>Rhamsie</t>
  </si>
  <si>
    <t>Jones, Gwenyth</t>
  </si>
  <si>
    <t>Slinkard, Madison</t>
  </si>
  <si>
    <t>Tonymon, Susan</t>
  </si>
  <si>
    <t>Kirsten Leatherwood</t>
  </si>
  <si>
    <t>Shante L Mormon</t>
  </si>
  <si>
    <t>Cogburn, Hannah, K</t>
  </si>
  <si>
    <t>Gray, Pamela</t>
  </si>
  <si>
    <t>Mcdonald, Chase</t>
  </si>
  <si>
    <t>Norman, Dominque</t>
  </si>
  <si>
    <t>Peck, Melissa</t>
  </si>
  <si>
    <t>Wood, Marie</t>
  </si>
  <si>
    <t>Smith, Susan</t>
  </si>
  <si>
    <t>Lacy, Jacqueline</t>
  </si>
  <si>
    <t>Taber, Gary</t>
  </si>
  <si>
    <t>Vue, May Youa</t>
  </si>
  <si>
    <t>Robinson, Kitty</t>
  </si>
  <si>
    <t>Fincher, Priscilla</t>
  </si>
  <si>
    <t>Washam, Jill</t>
  </si>
  <si>
    <t>Henson, Kathy</t>
  </si>
  <si>
    <t>Thompson, Jason</t>
  </si>
  <si>
    <t>Morgan, Donna</t>
  </si>
  <si>
    <t>Quetsch, Lauren,</t>
  </si>
  <si>
    <t>Campbell, Christa</t>
  </si>
  <si>
    <t>Houk, Caitlin</t>
  </si>
  <si>
    <t>Howard, Klaire, E</t>
  </si>
  <si>
    <t>Zedlitz, Brenda</t>
  </si>
  <si>
    <t>Steiner, Kelsey, M</t>
  </si>
  <si>
    <t>Rhonda, Rushing</t>
  </si>
  <si>
    <t>Catherine, Lathrop</t>
  </si>
  <si>
    <t>Simmons, Jessica</t>
  </si>
  <si>
    <t>Snowden, Shelby,</t>
  </si>
  <si>
    <t>Karl Bremer</t>
  </si>
  <si>
    <t>Jensen, Tyler,</t>
  </si>
  <si>
    <t>Parker, Kharma</t>
  </si>
  <si>
    <t>Streete, Elizabeth</t>
  </si>
  <si>
    <t>sharla Stiles, Pt</t>
  </si>
  <si>
    <t>Butterfield, Paula</t>
  </si>
  <si>
    <t>Wagner, Tonya</t>
  </si>
  <si>
    <t>Fudoli, James</t>
  </si>
  <si>
    <t>Blake, Carlen</t>
  </si>
  <si>
    <t>Garrett Pruett, Emily</t>
  </si>
  <si>
    <t>Wooding, Jimmie</t>
  </si>
  <si>
    <t>Orbison, Lauren</t>
  </si>
  <si>
    <t>Appleget, Karen</t>
  </si>
  <si>
    <t>Earp, Jenni</t>
  </si>
  <si>
    <t>Hoggard, Chris</t>
  </si>
  <si>
    <t>Dawson, Jamie</t>
  </si>
  <si>
    <t>Pack, Angela</t>
  </si>
  <si>
    <t>Schachterle, Ashley</t>
  </si>
  <si>
    <t>Carpenter, Cynthia</t>
  </si>
  <si>
    <t>Johnson, Rochelle</t>
  </si>
  <si>
    <t>Thaxton, Lourene</t>
  </si>
  <si>
    <t>Johnson, Roger</t>
  </si>
  <si>
    <t>Murray, Sarah</t>
  </si>
  <si>
    <t>Brown, Morganne</t>
  </si>
  <si>
    <t>Sweetwood, William</t>
  </si>
  <si>
    <t>Mcarthur, Cody</t>
  </si>
  <si>
    <t>Harrelson, Darlena</t>
  </si>
  <si>
    <t>Andrew, Faught</t>
  </si>
  <si>
    <t>Farrow, Nicole</t>
  </si>
  <si>
    <t>Elizabeth, Mitchell</t>
  </si>
  <si>
    <t>Hall, Angela</t>
  </si>
  <si>
    <t>Dutton, Karyee</t>
  </si>
  <si>
    <t>Stephens, Mckinsey</t>
  </si>
  <si>
    <t>Shannan, Stewart</t>
  </si>
  <si>
    <t>Joseph, Burt</t>
  </si>
  <si>
    <t>Patterson, Kimberly</t>
  </si>
  <si>
    <t>Jennifer Carmichael</t>
  </si>
  <si>
    <t>Taylor, Erica</t>
  </si>
  <si>
    <t>Lentz, Tara</t>
  </si>
  <si>
    <t>Shepherd, Alyson,</t>
  </si>
  <si>
    <t>Garrett, Latasha</t>
  </si>
  <si>
    <t>Wade, Latresha</t>
  </si>
  <si>
    <t>Woody, Sharlyn</t>
  </si>
  <si>
    <t>Mccauley, Grace</t>
  </si>
  <si>
    <t>Evans, Rebekah</t>
  </si>
  <si>
    <t>Middleton, Trina</t>
  </si>
  <si>
    <t>Barnett, Elizabeth</t>
  </si>
  <si>
    <t>Allen, Aaron</t>
  </si>
  <si>
    <t>Webster, Ilo</t>
  </si>
  <si>
    <t>Stephens, Kymberly</t>
  </si>
  <si>
    <t>Terrett, Angela</t>
  </si>
  <si>
    <t>Smith, Carla</t>
  </si>
  <si>
    <t>Hall, Dillon</t>
  </si>
  <si>
    <t>Linn, Dusty</t>
  </si>
  <si>
    <t>Hatzilias, Xenia</t>
  </si>
  <si>
    <t>Oliver, Gary,</t>
  </si>
  <si>
    <t>Holden Dunivan, Adonia</t>
  </si>
  <si>
    <t>Meagan, Beerman</t>
  </si>
  <si>
    <t>Palen, Cynthia</t>
  </si>
  <si>
    <t>Berry, Tiffany</t>
  </si>
  <si>
    <t>Brown, Mariah</t>
  </si>
  <si>
    <t>Wilson, Jason</t>
  </si>
  <si>
    <t>Finegan, Aimee</t>
  </si>
  <si>
    <t>Rachael Hall</t>
  </si>
  <si>
    <t>Donovan, Andrew</t>
  </si>
  <si>
    <t>Organ, Sara</t>
  </si>
  <si>
    <t>Anna, Ruger</t>
  </si>
  <si>
    <t>Tillery, Rachel</t>
  </si>
  <si>
    <t>Sanders, Cheryl</t>
  </si>
  <si>
    <t>Tijuana Terrell</t>
  </si>
  <si>
    <t>Fowler, Elizabeth, A</t>
  </si>
  <si>
    <t>Bullard, Cynthia,</t>
  </si>
  <si>
    <t>Melinda, Justice</t>
  </si>
  <si>
    <t>Mcaleese, Braeghtyn,</t>
  </si>
  <si>
    <t>Bearden-Allagas, Shawna</t>
  </si>
  <si>
    <t>Macdonald, Lorna</t>
  </si>
  <si>
    <t>Aldea, Rebecca A.</t>
  </si>
  <si>
    <t>Prado, Summer,</t>
  </si>
  <si>
    <t>James Harper</t>
  </si>
  <si>
    <t>John Nichols</t>
  </si>
  <si>
    <t>Beamon, Kristy</t>
  </si>
  <si>
    <t>Rial, Denise</t>
  </si>
  <si>
    <t>Donaldson, Ashley</t>
  </si>
  <si>
    <t>Bagwell, Ashley</t>
  </si>
  <si>
    <t>Montgomery, Erin</t>
  </si>
  <si>
    <t>Helm, Misha</t>
  </si>
  <si>
    <t>Standridge, Margaret</t>
  </si>
  <si>
    <t>Chen, Danielle,</t>
  </si>
  <si>
    <t>Hardin, Toni</t>
  </si>
  <si>
    <t>Shaw, Jenni</t>
  </si>
  <si>
    <t>Starr, Brynne</t>
  </si>
  <si>
    <t>Kaylee, Robinson</t>
  </si>
  <si>
    <t>Cynthia, Kiesling</t>
  </si>
  <si>
    <t>Teague, Leighton</t>
  </si>
  <si>
    <t>Dranow, Corinna</t>
  </si>
  <si>
    <t>Harrington, Jennifer</t>
  </si>
  <si>
    <t>Dundon, Kelly,</t>
  </si>
  <si>
    <t>Clay, Sierra</t>
  </si>
  <si>
    <t>Holy, Evelyn</t>
  </si>
  <si>
    <t>Verzon, Haunani,</t>
  </si>
  <si>
    <t>Moreno, Patricia</t>
  </si>
  <si>
    <t>Schmidt Konen, Carrie</t>
  </si>
  <si>
    <t>Tramonte, Linda</t>
  </si>
  <si>
    <t>Herbert, Hemphill</t>
  </si>
  <si>
    <t>May-Wewers, Julie</t>
  </si>
  <si>
    <t>Richerson, Angela</t>
  </si>
  <si>
    <t>Freeman, Katie</t>
  </si>
  <si>
    <t>Harris, James</t>
  </si>
  <si>
    <t>Heard, Kenneth</t>
  </si>
  <si>
    <t>Mcdougal, Margaret</t>
  </si>
  <si>
    <t>Ribbing, Jason</t>
  </si>
  <si>
    <t>Thurman Harris, Megan</t>
  </si>
  <si>
    <t>Harper, Jim</t>
  </si>
  <si>
    <t>Otten, Lynae</t>
  </si>
  <si>
    <t>Lapertosa, Lynda</t>
  </si>
  <si>
    <t>Blackmon, Amber</t>
  </si>
  <si>
    <t>Garner, April D.</t>
  </si>
  <si>
    <t>Campbell, Sarah</t>
  </si>
  <si>
    <t>Griffin, Magen</t>
  </si>
  <si>
    <t>Trotter, Haleigh</t>
  </si>
  <si>
    <t>Taylor, Amanda</t>
  </si>
  <si>
    <t>Okai, Benjamin</t>
  </si>
  <si>
    <t>Alleyne, Andrea</t>
  </si>
  <si>
    <t>Pinto, Rachel</t>
  </si>
  <si>
    <t>Lumsey, Rasheeda</t>
  </si>
  <si>
    <t>Staton, Cathy</t>
  </si>
  <si>
    <t>Dillon, Michael</t>
  </si>
  <si>
    <t>Kimble, Reda</t>
  </si>
  <si>
    <t>Perry, Brian</t>
  </si>
  <si>
    <t>Erica Holmes</t>
  </si>
  <si>
    <t>Nichols, Celeste</t>
  </si>
  <si>
    <t>Stewart, Latrina</t>
  </si>
  <si>
    <t>Perry, Caitlin</t>
  </si>
  <si>
    <t>Fuller, Felicia</t>
  </si>
  <si>
    <t>Green, Madison</t>
  </si>
  <si>
    <t>Sanderson, Summer</t>
  </si>
  <si>
    <t>Sonja, Conner</t>
  </si>
  <si>
    <t>El Maazouzi, Zaynah</t>
  </si>
  <si>
    <t>Allison Rieman</t>
  </si>
  <si>
    <t>Kennedy, Christal</t>
  </si>
  <si>
    <t>Smith, Forrest</t>
  </si>
  <si>
    <t>Jess, Calohan</t>
  </si>
  <si>
    <t>Elkins Baltz, Lesli</t>
  </si>
  <si>
    <t>Spooner, Rebecca</t>
  </si>
  <si>
    <t>Spence, Gayla</t>
  </si>
  <si>
    <t>Elizabeth A White</t>
  </si>
  <si>
    <t>Hanson, Jessica</t>
  </si>
  <si>
    <t>Chen, Yinah</t>
  </si>
  <si>
    <t>Pondexter, Regina</t>
  </si>
  <si>
    <t>Mccollum Flaxman, Neesa</t>
  </si>
  <si>
    <t>Vargas, Fernando</t>
  </si>
  <si>
    <t>Cannon, Robert</t>
  </si>
  <si>
    <t>Ghaleb, Ahmed</t>
  </si>
  <si>
    <t>Siddiqui, Meraj</t>
  </si>
  <si>
    <t>Arshad, Muhammad</t>
  </si>
  <si>
    <t>Greene, Robert</t>
  </si>
  <si>
    <t>Willingham, Cynthia</t>
  </si>
  <si>
    <t>Chen, Michael</t>
  </si>
  <si>
    <t>Davis, Thomas</t>
  </si>
  <si>
    <t>Smith, Vestal</t>
  </si>
  <si>
    <t>Dockery, John</t>
  </si>
  <si>
    <t>Carro, Manuel</t>
  </si>
  <si>
    <t>Adeogba, Saint</t>
  </si>
  <si>
    <t>Hunton, Sarah</t>
  </si>
  <si>
    <t>Anderson, Nicholas</t>
  </si>
  <si>
    <t>Hurd, Paul</t>
  </si>
  <si>
    <t>White, Cale, M</t>
  </si>
  <si>
    <t>Cayme, Rodrigo</t>
  </si>
  <si>
    <t>Cunningham, Mark</t>
  </si>
  <si>
    <t>borian B Matinchev, Md</t>
  </si>
  <si>
    <t>Burns, Shawna</t>
  </si>
  <si>
    <t>Tolba, Mohamed</t>
  </si>
  <si>
    <t>Hobart Porter, Laura</t>
  </si>
  <si>
    <t>Treuting, Rachel</t>
  </si>
  <si>
    <t>Adams, Michael</t>
  </si>
  <si>
    <t>Slagle, Gregory</t>
  </si>
  <si>
    <t>Luo, Cathy</t>
  </si>
  <si>
    <t>Polk, Samuel</t>
  </si>
  <si>
    <t>Valdivia, Remy</t>
  </si>
  <si>
    <t>Virgil</t>
  </si>
  <si>
    <t>Ennis, Jared</t>
  </si>
  <si>
    <t>Bingham, Ronald</t>
  </si>
  <si>
    <t>Park, Ashley</t>
  </si>
  <si>
    <t>Means, Kevin</t>
  </si>
  <si>
    <t>Ma, Zhangliang</t>
  </si>
  <si>
    <t>Salange Ramsay, Noemi</t>
  </si>
  <si>
    <t>Wu, Joanne</t>
  </si>
  <si>
    <t>Zimmerman Timothy J</t>
  </si>
  <si>
    <t>Terrence P Glennon</t>
  </si>
  <si>
    <t>Krupkin, Richard</t>
  </si>
  <si>
    <t>Lambeth, Aimee,</t>
  </si>
  <si>
    <t>Jain, Sunita</t>
  </si>
  <si>
    <t>thomas M Hart, Md</t>
  </si>
  <si>
    <t>Ivanovsky, Mikhail</t>
  </si>
  <si>
    <t>Prasad, Krishnappa</t>
  </si>
  <si>
    <t>Pham, Hieu</t>
  </si>
  <si>
    <t>Sharp, Richard</t>
  </si>
  <si>
    <t>Hardy, Drake</t>
  </si>
  <si>
    <t>King, Heather</t>
  </si>
  <si>
    <t>Graham, Amber L.</t>
  </si>
  <si>
    <t>Lyuksyutova, Price, Maria</t>
  </si>
  <si>
    <t>Baskin, Barry</t>
  </si>
  <si>
    <t>Thurman, Regina</t>
  </si>
  <si>
    <t>Stepaneko, Tatyana</t>
  </si>
  <si>
    <t>Gera, Sunil</t>
  </si>
  <si>
    <t>Weilert, Brent</t>
  </si>
  <si>
    <t>Mccoy, Dennis</t>
  </si>
  <si>
    <t>Dogra, Navdeep</t>
  </si>
  <si>
    <t>Hurlbut, Kevin</t>
  </si>
  <si>
    <t>Crabtree, Donald</t>
  </si>
  <si>
    <t>Davila Larroca, Jose</t>
  </si>
  <si>
    <t>Hunt, Jason</t>
  </si>
  <si>
    <t>Wilbourn, Darin</t>
  </si>
  <si>
    <t>Savage, Kamara</t>
  </si>
  <si>
    <t>Drake, Morgan</t>
  </si>
  <si>
    <t>Brooks, David</t>
  </si>
  <si>
    <t>Widner, Aimee</t>
  </si>
  <si>
    <t>Savu, Calin</t>
  </si>
  <si>
    <t>Marquis, Cary</t>
  </si>
  <si>
    <t>Mocek, Christopher</t>
  </si>
  <si>
    <t>Fletcher, Terry</t>
  </si>
  <si>
    <t>Glennal Verbois</t>
  </si>
  <si>
    <t>Bond, Russell</t>
  </si>
  <si>
    <t>Rivera Tavarez, Carlos</t>
  </si>
  <si>
    <t>Lindberg, Rani</t>
  </si>
  <si>
    <t>Holt, Jason</t>
  </si>
  <si>
    <t>Dahdal, Dina</t>
  </si>
  <si>
    <t>German, Valerie</t>
  </si>
  <si>
    <t>Saleem, Majid</t>
  </si>
  <si>
    <t>Leesigler, Judith</t>
  </si>
  <si>
    <t>Tilley, Ronald</t>
  </si>
  <si>
    <t>Chilton, Amanda</t>
  </si>
  <si>
    <t>Williams, Miller</t>
  </si>
  <si>
    <t>Garfield, Caitlin</t>
  </si>
  <si>
    <t>Smith, Alyssa</t>
  </si>
  <si>
    <t>Holmquist, David</t>
  </si>
  <si>
    <t>Morgan, Shelle</t>
  </si>
  <si>
    <t>Gunnels, Tabatha</t>
  </si>
  <si>
    <t>Boozer, Ashley</t>
  </si>
  <si>
    <t>Berry, Laurie</t>
  </si>
  <si>
    <t>Beck, Brandi</t>
  </si>
  <si>
    <t>Routh, Lauren</t>
  </si>
  <si>
    <t>Darby, Smith</t>
  </si>
  <si>
    <t>Neal Tice</t>
  </si>
  <si>
    <t>Grimmett, Rachael</t>
  </si>
  <si>
    <t>Jarryd A Dempsey, Pt</t>
  </si>
  <si>
    <t>Terry, Stephenia</t>
  </si>
  <si>
    <t>Olney, Sarah</t>
  </si>
  <si>
    <t>Doyle, Leah</t>
  </si>
  <si>
    <t>Cummins, Rachael</t>
  </si>
  <si>
    <t>Steele, Dalton</t>
  </si>
  <si>
    <t>Hoskinds, Justin</t>
  </si>
  <si>
    <t>Hurst, Karl</t>
  </si>
  <si>
    <t>Mcloda Miller, Jacqueline</t>
  </si>
  <si>
    <t>Vaughn, Heather</t>
  </si>
  <si>
    <t>Lensing, Nick</t>
  </si>
  <si>
    <t>Hardin, Caroline</t>
  </si>
  <si>
    <t>Brooks White</t>
  </si>
  <si>
    <t>Miller, Garrett,</t>
  </si>
  <si>
    <t>Carl M Roberts</t>
  </si>
  <si>
    <t>Manning</t>
  </si>
  <si>
    <t>Tugwell, Noel</t>
  </si>
  <si>
    <t>Still, Melissa</t>
  </si>
  <si>
    <t>King</t>
  </si>
  <si>
    <t>Tucker, Alynda</t>
  </si>
  <si>
    <t>Glenn, John</t>
  </si>
  <si>
    <t>Murphy, Clay</t>
  </si>
  <si>
    <t>Jacob E Luckett</t>
  </si>
  <si>
    <t>Travis Alexander</t>
  </si>
  <si>
    <t>Weaver, Jamie L.</t>
  </si>
  <si>
    <t>Parker, Drake</t>
  </si>
  <si>
    <t>Waters, Gracie</t>
  </si>
  <si>
    <t>Melendez, Eric,</t>
  </si>
  <si>
    <t>Martin, Samantha,</t>
  </si>
  <si>
    <t>Rogers, Shanda</t>
  </si>
  <si>
    <t>Bratcher, Catherine</t>
  </si>
  <si>
    <t>Bacchus, Clint</t>
  </si>
  <si>
    <t>Fitchpatrick</t>
  </si>
  <si>
    <t>Huggins, Colt</t>
  </si>
  <si>
    <t>Josh Roberts</t>
  </si>
  <si>
    <t>Holt, Rachel,</t>
  </si>
  <si>
    <t>Windham, Princess</t>
  </si>
  <si>
    <t>Meadows, Tiffany</t>
  </si>
  <si>
    <t>Katherine S Morrison</t>
  </si>
  <si>
    <t>Peters, Holly</t>
  </si>
  <si>
    <t>Sally J Gadden</t>
  </si>
  <si>
    <t>Price, Chelsey</t>
  </si>
  <si>
    <t>Foster, Kayley</t>
  </si>
  <si>
    <t>Crain, Hannah</t>
  </si>
  <si>
    <t>Collins, Lucas</t>
  </si>
  <si>
    <t>Mears, Autumn</t>
  </si>
  <si>
    <t>Callaway, Kelbe</t>
  </si>
  <si>
    <t>Monk, Travis,</t>
  </si>
  <si>
    <t>Stevens, Richard</t>
  </si>
  <si>
    <t>Kessler, Jessica</t>
  </si>
  <si>
    <t>Pesce Jr</t>
  </si>
  <si>
    <t>Bjornberg, Christi</t>
  </si>
  <si>
    <t>Malik, Amber</t>
  </si>
  <si>
    <t>Porterfield, Chessica,</t>
  </si>
  <si>
    <t>Hatcher, Nicole</t>
  </si>
  <si>
    <t>Woody, Michaela</t>
  </si>
  <si>
    <t>Lawrence, Leia</t>
  </si>
  <si>
    <t>Fena, Nicole</t>
  </si>
  <si>
    <t>Gilmore, Kendra</t>
  </si>
  <si>
    <t>Graves, John</t>
  </si>
  <si>
    <t>Samuel, Katherine</t>
  </si>
  <si>
    <t>Carson, Megan</t>
  </si>
  <si>
    <t>Kinjal</t>
  </si>
  <si>
    <t>Murphy, Marla</t>
  </si>
  <si>
    <t>Brown, Christa</t>
  </si>
  <si>
    <t>Hill, Holly</t>
  </si>
  <si>
    <t>Whittington</t>
  </si>
  <si>
    <t>Campbell, Jordan,</t>
  </si>
  <si>
    <t>Madden, Kyle</t>
  </si>
  <si>
    <t>Hornbeck, Catherine</t>
  </si>
  <si>
    <t>Ashworth, Deborah</t>
  </si>
  <si>
    <t>Neri, Savannah</t>
  </si>
  <si>
    <t>Burrows, Chelsea</t>
  </si>
  <si>
    <t>Montgomery, Jennifer, L</t>
  </si>
  <si>
    <t>Ivy  Williams, Pt</t>
  </si>
  <si>
    <t>Silvey, Yvette</t>
  </si>
  <si>
    <t>Brier J Skogsberg</t>
  </si>
  <si>
    <t>Livingston, Kelsea, E</t>
  </si>
  <si>
    <t>Tiffany, Weston</t>
  </si>
  <si>
    <t>Freeman, Kristopher, C</t>
  </si>
  <si>
    <t>Cummings, Jerrie</t>
  </si>
  <si>
    <t>Lagemann, Derek</t>
  </si>
  <si>
    <t>Baker, Trinity</t>
  </si>
  <si>
    <t>Brooklyn L Taylor</t>
  </si>
  <si>
    <t>Walker, Anna</t>
  </si>
  <si>
    <t>Tidwell, Jennie</t>
  </si>
  <si>
    <t>Mahan, Rusti</t>
  </si>
  <si>
    <t>Moody, Tessa</t>
  </si>
  <si>
    <t>Wewers</t>
  </si>
  <si>
    <t>Cassity, Sharina</t>
  </si>
  <si>
    <t>Patrick Westerman</t>
  </si>
  <si>
    <t>Logan J Dewhitt, Pt</t>
  </si>
  <si>
    <t>Prescott, Peyton</t>
  </si>
  <si>
    <t>Land, Abigail</t>
  </si>
  <si>
    <t>Deluca, Kenneth</t>
  </si>
  <si>
    <t>Shepherd, Marcia</t>
  </si>
  <si>
    <t>Radford, Steven</t>
  </si>
  <si>
    <t>Farley</t>
  </si>
  <si>
    <t>Hilliard, William</t>
  </si>
  <si>
    <t>Finney, Hunter</t>
  </si>
  <si>
    <t>Corey K Graham</t>
  </si>
  <si>
    <t>Freeman, Ryan</t>
  </si>
  <si>
    <t>Mcclure, Lindsey, A</t>
  </si>
  <si>
    <t>Mathis, Andrea</t>
  </si>
  <si>
    <t>Long, Rebekah</t>
  </si>
  <si>
    <t>Housley, Susan</t>
  </si>
  <si>
    <t>Kleypas, Hugh</t>
  </si>
  <si>
    <t>Hall, Elizabeth</t>
  </si>
  <si>
    <t>Lillard, Holli</t>
  </si>
  <si>
    <t>William T Clarke</t>
  </si>
  <si>
    <t>Patricia Hurst</t>
  </si>
  <si>
    <t>Mabry A Addison</t>
  </si>
  <si>
    <t>Wade E Garrett</t>
  </si>
  <si>
    <t>Ellen  Mitchell, Pt</t>
  </si>
  <si>
    <t>Wiggins, Nicole</t>
  </si>
  <si>
    <t>Cortney, Vanmeter</t>
  </si>
  <si>
    <t>James, Megan</t>
  </si>
  <si>
    <t>Atkinson, Christian</t>
  </si>
  <si>
    <t>Crider, Robert,</t>
  </si>
  <si>
    <t>Heim, Tillie,</t>
  </si>
  <si>
    <t>Holloway, Courtney,</t>
  </si>
  <si>
    <t>Huffstetler, Russ</t>
  </si>
  <si>
    <t>Decoursey, Ann</t>
  </si>
  <si>
    <t>Brady, Elizabeth</t>
  </si>
  <si>
    <t>Arjomand, Soolmaz</t>
  </si>
  <si>
    <t>Woosley</t>
  </si>
  <si>
    <t>Escobar, Fabiola</t>
  </si>
  <si>
    <t>Grainger, Kelsey</t>
  </si>
  <si>
    <t>Vargas, Jocelyn</t>
  </si>
  <si>
    <t>Lorren, Thomas</t>
  </si>
  <si>
    <t>Byrd, Tim</t>
  </si>
  <si>
    <t>Sanders, Jessica</t>
  </si>
  <si>
    <t>Hill, Melanie</t>
  </si>
  <si>
    <t>Burgess, Lindsey</t>
  </si>
  <si>
    <t>Brandon Anible</t>
  </si>
  <si>
    <t>Mahan, Ashley,</t>
  </si>
  <si>
    <t>Sebag, Joel</t>
  </si>
  <si>
    <t>Wood, Amy</t>
  </si>
  <si>
    <t>Hodges, Rebecca,</t>
  </si>
  <si>
    <t>Sessions, Jeanne</t>
  </si>
  <si>
    <t>Jones</t>
  </si>
  <si>
    <t>Jones, Jacob</t>
  </si>
  <si>
    <t>Patel, Hemali</t>
  </si>
  <si>
    <t>Dixon, Jordyn</t>
  </si>
  <si>
    <t>Felts, Madison</t>
  </si>
  <si>
    <t>Sirkis, Joshua,</t>
  </si>
  <si>
    <t>Goodpasture, John</t>
  </si>
  <si>
    <t>Brokeshoulder, Brandon, L</t>
  </si>
  <si>
    <t>Hill, Craig</t>
  </si>
  <si>
    <t>Ginger M Young, Pt</t>
  </si>
  <si>
    <t>Parker, Alix</t>
  </si>
  <si>
    <t>Johnson, Jacob</t>
  </si>
  <si>
    <t>Bell, Kylee</t>
  </si>
  <si>
    <t>Driedric, Chris</t>
  </si>
  <si>
    <t>Sean C Stone</t>
  </si>
  <si>
    <t>Kinder, Terra</t>
  </si>
  <si>
    <t>Pigott, Lindsey</t>
  </si>
  <si>
    <t>Harrington, Courtney</t>
  </si>
  <si>
    <t>Borrelli, Kathryn</t>
  </si>
  <si>
    <t>Hadley, Alicia</t>
  </si>
  <si>
    <t>Foti, Margaret</t>
  </si>
  <si>
    <t>Rolfes, Sarah</t>
  </si>
  <si>
    <t>Pianalto, Christy</t>
  </si>
  <si>
    <t>Bohl, Hannah</t>
  </si>
  <si>
    <t>Charles, Benjamin</t>
  </si>
  <si>
    <t>Harris, Stan</t>
  </si>
  <si>
    <t>Hearn, Stephen A</t>
  </si>
  <si>
    <t>Murtha, Jovie</t>
  </si>
  <si>
    <t>Lupkey, Danyelle,</t>
  </si>
  <si>
    <t>Reckert, Tara</t>
  </si>
  <si>
    <t>Lyon, Laura</t>
  </si>
  <si>
    <t>Charton, Marie</t>
  </si>
  <si>
    <t>Healy, Charles</t>
  </si>
  <si>
    <t>Cutter, Nicholas</t>
  </si>
  <si>
    <t>Dillon Murray</t>
  </si>
  <si>
    <t>Bogan, Courtney</t>
  </si>
  <si>
    <t>Posey</t>
  </si>
  <si>
    <t>Ramsey, Stephen,</t>
  </si>
  <si>
    <t>Jarrell, Sharleen</t>
  </si>
  <si>
    <t>Mcnabb, Eleasah</t>
  </si>
  <si>
    <t>Swann, Inna</t>
  </si>
  <si>
    <t>Hallam, Tabitha</t>
  </si>
  <si>
    <t>Schmitt, Joshua</t>
  </si>
  <si>
    <t>Smithmier, Micah</t>
  </si>
  <si>
    <t>Cope, Anne</t>
  </si>
  <si>
    <t>Marsha B Myers</t>
  </si>
  <si>
    <t>Hill</t>
  </si>
  <si>
    <t>Braselton, Joshua</t>
  </si>
  <si>
    <t>Cross, Kelly</t>
  </si>
  <si>
    <t>Flautt, Katherine</t>
  </si>
  <si>
    <t>Charles Reinhardt</t>
  </si>
  <si>
    <t>Jolley, Joshua, S</t>
  </si>
  <si>
    <t>Crismon, Sadie,</t>
  </si>
  <si>
    <t>Wray, Charles</t>
  </si>
  <si>
    <t>Warren, Frank</t>
  </si>
  <si>
    <t>Schmidt, Andrea</t>
  </si>
  <si>
    <t>Sisson, Melanie</t>
  </si>
  <si>
    <t>Derek A Ray</t>
  </si>
  <si>
    <t>Jenette  Kern, Pt</t>
  </si>
  <si>
    <t>Steward</t>
  </si>
  <si>
    <t>Kettner, Jacob</t>
  </si>
  <si>
    <t>Carter, Marysa</t>
  </si>
  <si>
    <t>Russell, Alex</t>
  </si>
  <si>
    <t>Earnhart, Tiffany</t>
  </si>
  <si>
    <t>Olive, Meredith</t>
  </si>
  <si>
    <t>Cobb, Janet</t>
  </si>
  <si>
    <t>Trudy, Tyler</t>
  </si>
  <si>
    <t>Clouse</t>
  </si>
  <si>
    <t>Wallis, Jake</t>
  </si>
  <si>
    <t>Tomlinson, Jacob</t>
  </si>
  <si>
    <t>Barnet, Erica</t>
  </si>
  <si>
    <t>Hart, Anna,</t>
  </si>
  <si>
    <t>Zgaynor, Michelle</t>
  </si>
  <si>
    <t>Mcbride, Noble</t>
  </si>
  <si>
    <t>Smith, Dee</t>
  </si>
  <si>
    <t>Matthews, Richard</t>
  </si>
  <si>
    <t>Lemon</t>
  </si>
  <si>
    <t>Adams, James</t>
  </si>
  <si>
    <t>Sherwood, Blake</t>
  </si>
  <si>
    <t>Potier, Shaun</t>
  </si>
  <si>
    <t>Merritt, Jason</t>
  </si>
  <si>
    <t>Pratt, Frankie</t>
  </si>
  <si>
    <t>Cothern, Katherine</t>
  </si>
  <si>
    <t>Wingfield, Kate</t>
  </si>
  <si>
    <t>Smith, Crystal</t>
  </si>
  <si>
    <t>Huggins, Marley</t>
  </si>
  <si>
    <t>Aguirre, Jeanne</t>
  </si>
  <si>
    <t>Richardson, Cullen</t>
  </si>
  <si>
    <t>Kathryn Magness</t>
  </si>
  <si>
    <t>Hudgens, Allison</t>
  </si>
  <si>
    <t>Willibey, Samuel</t>
  </si>
  <si>
    <t>Zajakowski, Anna,</t>
  </si>
  <si>
    <t>Misty F Lamb</t>
  </si>
  <si>
    <t>Long, Chris</t>
  </si>
  <si>
    <t>Moeschle, Angela</t>
  </si>
  <si>
    <t>Hunter Doolittle, Francee</t>
  </si>
  <si>
    <t>Baker, Katherine</t>
  </si>
  <si>
    <t>Dougherty, Erin</t>
  </si>
  <si>
    <t>Patrick, Jay</t>
  </si>
  <si>
    <t>Hale, Brenam</t>
  </si>
  <si>
    <t>Skinner, Claire</t>
  </si>
  <si>
    <t>Vandivere, Bradley,</t>
  </si>
  <si>
    <t>Lebeau, Ashley,</t>
  </si>
  <si>
    <t>Saenger, Roger</t>
  </si>
  <si>
    <t>Parnell, Susan</t>
  </si>
  <si>
    <t>Carmon, Trina</t>
  </si>
  <si>
    <t>Mourot, Haley</t>
  </si>
  <si>
    <t>Melton, Ricky</t>
  </si>
  <si>
    <t>Allen, Aundrea</t>
  </si>
  <si>
    <t>Baldwin, Mackenzie</t>
  </si>
  <si>
    <t>Mcswain, Robert,</t>
  </si>
  <si>
    <t>Killins, Anita</t>
  </si>
  <si>
    <t>Beck, Sheila</t>
  </si>
  <si>
    <t>Williams, Chad</t>
  </si>
  <si>
    <t>Gillis E Jones, Pt</t>
  </si>
  <si>
    <t>Jessica Czarnecki</t>
  </si>
  <si>
    <t>Jansten H Lynn</t>
  </si>
  <si>
    <t>Jessica  Herron, Pt</t>
  </si>
  <si>
    <t>Eva W Gibson, Pt</t>
  </si>
  <si>
    <t>Finley, Tyler</t>
  </si>
  <si>
    <t>Lim, Mathew</t>
  </si>
  <si>
    <t>Marie, Steelman</t>
  </si>
  <si>
    <t>Bethards, Cecelia</t>
  </si>
  <si>
    <t>Orosz, Melissa</t>
  </si>
  <si>
    <t>Meadors, Liane</t>
  </si>
  <si>
    <t>Bulice, Gary</t>
  </si>
  <si>
    <t>Negrete, Jorge</t>
  </si>
  <si>
    <t>Alaina, Ahmed</t>
  </si>
  <si>
    <t>Jennifer A Birdsong</t>
  </si>
  <si>
    <t>Leger, Victoria</t>
  </si>
  <si>
    <t>Gregory, Aaron</t>
  </si>
  <si>
    <t>Maynard, Chandler,</t>
  </si>
  <si>
    <t>Wagner, James</t>
  </si>
  <si>
    <t>Bohannan, David</t>
  </si>
  <si>
    <t>Sanders, Steven</t>
  </si>
  <si>
    <t>Jones, Stuart</t>
  </si>
  <si>
    <t>Huling</t>
  </si>
  <si>
    <t>Boster, Alexis</t>
  </si>
  <si>
    <t>Bloomfield, Kaitlin</t>
  </si>
  <si>
    <t>Ashtin N Hoskins</t>
  </si>
  <si>
    <t>Khoury, Danielle</t>
  </si>
  <si>
    <t>Erwin, Cara</t>
  </si>
  <si>
    <t>Cotton, Jessica</t>
  </si>
  <si>
    <t>Glover, Katie</t>
  </si>
  <si>
    <t>Blockburger, Ashley</t>
  </si>
  <si>
    <t>Holland, Kellie</t>
  </si>
  <si>
    <t>Backus, Brittany</t>
  </si>
  <si>
    <t>Harmon, David</t>
  </si>
  <si>
    <t>Mustafa, Gladys</t>
  </si>
  <si>
    <t>Johnson, Tanya</t>
  </si>
  <si>
    <t>Myers, Amy</t>
  </si>
  <si>
    <t>Thompson, Nicole</t>
  </si>
  <si>
    <t>Webb, Karen</t>
  </si>
  <si>
    <t>Record, William</t>
  </si>
  <si>
    <t>Alex P Laferney</t>
  </si>
  <si>
    <t>Stewart</t>
  </si>
  <si>
    <t>Concavage-Nasar, Gabriella</t>
  </si>
  <si>
    <t>Courtne</t>
  </si>
  <si>
    <t>Kaiulani A Meador</t>
  </si>
  <si>
    <t>Lovins, Leif</t>
  </si>
  <si>
    <t>Sturdivant, Damon</t>
  </si>
  <si>
    <t>Desirae, Koonce</t>
  </si>
  <si>
    <t>Dockery, Heather</t>
  </si>
  <si>
    <t>Browning, Amie</t>
  </si>
  <si>
    <t>Abbott, Kristi</t>
  </si>
  <si>
    <t>Samantha Wood</t>
  </si>
  <si>
    <t>Grant Hallbauer</t>
  </si>
  <si>
    <t>Merriweather, Gary</t>
  </si>
  <si>
    <t>Canterbury, Clay,</t>
  </si>
  <si>
    <t>Betts, Sara,</t>
  </si>
  <si>
    <t>Garner, James, P</t>
  </si>
  <si>
    <t>Pruitt, Michael</t>
  </si>
  <si>
    <t>Knight, Megan</t>
  </si>
  <si>
    <t>Krystal N King</t>
  </si>
  <si>
    <t>Harper, Matthew</t>
  </si>
  <si>
    <t>Boothe, Ellisa</t>
  </si>
  <si>
    <t>Christopher,Lamanno</t>
  </si>
  <si>
    <t>Stovall, James</t>
  </si>
  <si>
    <t>Tumlison, Nathan</t>
  </si>
  <si>
    <t>Scarbrough, Cheryl</t>
  </si>
  <si>
    <t>Sanchez, Christine</t>
  </si>
  <si>
    <t>Kimbrow, Sarah</t>
  </si>
  <si>
    <t>Thueson, Derek</t>
  </si>
  <si>
    <t>Chung, Timothy</t>
  </si>
  <si>
    <t>Hobson, Ryan</t>
  </si>
  <si>
    <t>Dow, Jesica</t>
  </si>
  <si>
    <t>Ruckenbrod, Sara</t>
  </si>
  <si>
    <t>Snuggs, Kali</t>
  </si>
  <si>
    <t>James, Hannah</t>
  </si>
  <si>
    <t>Flory, Gary</t>
  </si>
  <si>
    <t>Mark Layton</t>
  </si>
  <si>
    <t>Knox, Thomas</t>
  </si>
  <si>
    <t>White, Calandra</t>
  </si>
  <si>
    <t>Mosow, Matthew</t>
  </si>
  <si>
    <t>Moser</t>
  </si>
  <si>
    <t>Cayce, Daniel</t>
  </si>
  <si>
    <t>Hold, Rachel</t>
  </si>
  <si>
    <t>Usery, Lisa,</t>
  </si>
  <si>
    <t>Rayburn, Sandra</t>
  </si>
  <si>
    <t>Helms, Jeremy</t>
  </si>
  <si>
    <t>Floyd, Tiffany</t>
  </si>
  <si>
    <t>Ennis, Kimberly</t>
  </si>
  <si>
    <t>Loomis</t>
  </si>
  <si>
    <t>Hemphill, William</t>
  </si>
  <si>
    <t>Groves, James</t>
  </si>
  <si>
    <t>Fraser, Emily,</t>
  </si>
  <si>
    <t>Erickson, Carlie</t>
  </si>
  <si>
    <t>Duran, Kenn, Matthew</t>
  </si>
  <si>
    <t>Wagner, Nicholas</t>
  </si>
  <si>
    <t>Leonard, Stacy,</t>
  </si>
  <si>
    <t>Sharps, Teresa</t>
  </si>
  <si>
    <t>Lee, Derek</t>
  </si>
  <si>
    <t>Stobaugh, Candice</t>
  </si>
  <si>
    <t>Koder, Krista</t>
  </si>
  <si>
    <t>Morrison, Jonathan</t>
  </si>
  <si>
    <t>Canarte, Kevin</t>
  </si>
  <si>
    <t>Pryor, Robbie</t>
  </si>
  <si>
    <t>Derenda</t>
  </si>
  <si>
    <t>Paschall, Nancy</t>
  </si>
  <si>
    <t>Clark, Devon</t>
  </si>
  <si>
    <t>Stephanie J Bird</t>
  </si>
  <si>
    <t>Savoie, Aimee</t>
  </si>
  <si>
    <t>Burns, Halle,</t>
  </si>
  <si>
    <t>Schultz, Madeline,</t>
  </si>
  <si>
    <t>Stepp, Danny</t>
  </si>
  <si>
    <t>Bates, Thomas</t>
  </si>
  <si>
    <t>Scott, Rachel</t>
  </si>
  <si>
    <t>Kelly, Quincie</t>
  </si>
  <si>
    <t>Baggett, Erin</t>
  </si>
  <si>
    <t>Howell, Chelsey</t>
  </si>
  <si>
    <t>Taylor N Guinn</t>
  </si>
  <si>
    <t>Sligh, Haley</t>
  </si>
  <si>
    <t>Walburn, Monica</t>
  </si>
  <si>
    <t>Browning, Kayla</t>
  </si>
  <si>
    <t>Penny Brooke</t>
  </si>
  <si>
    <t>Brandyn H Batterton, Pt</t>
  </si>
  <si>
    <t>Cooper, Matt</t>
  </si>
  <si>
    <t>Corker, Marc</t>
  </si>
  <si>
    <t>Snow, Calista</t>
  </si>
  <si>
    <t>Jon W Davis, Pt</t>
  </si>
  <si>
    <t>Landrum, Steffany</t>
  </si>
  <si>
    <t>Angie Cadenbach</t>
  </si>
  <si>
    <t>Atchley, Leanne</t>
  </si>
  <si>
    <t>Baldridge, Alyssa</t>
  </si>
  <si>
    <t>Taylor, Robyn</t>
  </si>
  <si>
    <t>Tuell, Jessica</t>
  </si>
  <si>
    <t>Hughes, Amy</t>
  </si>
  <si>
    <t>Hamilton, Kristy</t>
  </si>
  <si>
    <t>Mcjunkins, Brittany</t>
  </si>
  <si>
    <t>Steege, Michelle</t>
  </si>
  <si>
    <t>Edwards, Geneshia</t>
  </si>
  <si>
    <t>Clark, Ryan,</t>
  </si>
  <si>
    <t>Starkey, Marty</t>
  </si>
  <si>
    <t>Gregory, Curtis</t>
  </si>
  <si>
    <t>Janett Merlos</t>
  </si>
  <si>
    <t>Benton, Sabrina</t>
  </si>
  <si>
    <t>Gardner, Richard</t>
  </si>
  <si>
    <t>Bell</t>
  </si>
  <si>
    <t>Musso</t>
  </si>
  <si>
    <t>Coggins, Katherine</t>
  </si>
  <si>
    <t>Wyrosdick, Nicholas</t>
  </si>
  <si>
    <t>Feather, Lynley</t>
  </si>
  <si>
    <t>Labrecque, Lindsee</t>
  </si>
  <si>
    <t>Smith, Matthew</t>
  </si>
  <si>
    <t>Henson, Emma</t>
  </si>
  <si>
    <t>Goodyear, Nikolai</t>
  </si>
  <si>
    <t>Duvall, Sharon, L</t>
  </si>
  <si>
    <t>Thornton, Matthew</t>
  </si>
  <si>
    <t>Fellers, Dennis</t>
  </si>
  <si>
    <t>Roberts, Daniel</t>
  </si>
  <si>
    <t>Pate, Eric</t>
  </si>
  <si>
    <t>Frein, Molly</t>
  </si>
  <si>
    <t>Collins</t>
  </si>
  <si>
    <t>Wallace, Laura</t>
  </si>
  <si>
    <t>Gaines, Mary</t>
  </si>
  <si>
    <t>Graham</t>
  </si>
  <si>
    <t>Poole, Rosalyn</t>
  </si>
  <si>
    <t>Grubbs, Bryan</t>
  </si>
  <si>
    <t>Haynie, Stephanie</t>
  </si>
  <si>
    <t>Hadley, Laura</t>
  </si>
  <si>
    <t>Wilkins, Rachel</t>
  </si>
  <si>
    <t>Brandon K Garner</t>
  </si>
  <si>
    <t>Parker S Parish</t>
  </si>
  <si>
    <t>Nathan98 Frey</t>
  </si>
  <si>
    <t>Colin White</t>
  </si>
  <si>
    <t>Myers, Daniel</t>
  </si>
  <si>
    <t>Meghan Standfill</t>
  </si>
  <si>
    <t>Winsemius-Hackney, Ashley</t>
  </si>
  <si>
    <t>Payton, Carlie</t>
  </si>
  <si>
    <t>Coggin, Douglas</t>
  </si>
  <si>
    <t>Miller, Austin,</t>
  </si>
  <si>
    <t>Hurst, Jessica</t>
  </si>
  <si>
    <t>Whitlock, Sara</t>
  </si>
  <si>
    <t>Bennett, Renee</t>
  </si>
  <si>
    <t>Gates, Sara</t>
  </si>
  <si>
    <t>Nordtvedt, Nicholas</t>
  </si>
  <si>
    <t>Austin, Ellen</t>
  </si>
  <si>
    <t>Walter, Shawna</t>
  </si>
  <si>
    <t>Mckiddy, Jenna</t>
  </si>
  <si>
    <t>Kyle Roliard</t>
  </si>
  <si>
    <t>Montana L Chapman</t>
  </si>
  <si>
    <t>Fleming</t>
  </si>
  <si>
    <t>Davidson, Kelsey</t>
  </si>
  <si>
    <t>Kenneth P Bishop, Pt</t>
  </si>
  <si>
    <t>Copeland, Kadey</t>
  </si>
  <si>
    <t>Bragg, Alyssa,</t>
  </si>
  <si>
    <t>Peronia, Mitzi</t>
  </si>
  <si>
    <t>Hart, Elizabeth</t>
  </si>
  <si>
    <t>Hollingshead, Christy</t>
  </si>
  <si>
    <t>Tiarks, Jakesa</t>
  </si>
  <si>
    <t>Wall, Lauren</t>
  </si>
  <si>
    <t>Huffer, Jennifer</t>
  </si>
  <si>
    <t>Ryan C Cook</t>
  </si>
  <si>
    <t>Nelson, Kathryn</t>
  </si>
  <si>
    <t>Baker, Megan</t>
  </si>
  <si>
    <t>Davidson, Ryan</t>
  </si>
  <si>
    <t>Harrison, Donald</t>
  </si>
  <si>
    <t>Demoff, Rebecca</t>
  </si>
  <si>
    <t>Grimsley, Samantha</t>
  </si>
  <si>
    <t>Justin R Jones</t>
  </si>
  <si>
    <t>Steven S Harell</t>
  </si>
  <si>
    <t>Fenter, Sara</t>
  </si>
  <si>
    <t>Boswell, John Keith</t>
  </si>
  <si>
    <t>Snow, Samantha</t>
  </si>
  <si>
    <t>Runion, Candice</t>
  </si>
  <si>
    <t>Cook, Riley</t>
  </si>
  <si>
    <t>Beneux, Nancy</t>
  </si>
  <si>
    <t>Goldberg, Eric</t>
  </si>
  <si>
    <t>Zimmerman, Jamie</t>
  </si>
  <si>
    <t>Elswick, Heather</t>
  </si>
  <si>
    <t>Foster, Lauren</t>
  </si>
  <si>
    <t>Simpson, Jason</t>
  </si>
  <si>
    <t>Bartole, Thomas</t>
  </si>
  <si>
    <t>Mccuiston, Katherine</t>
  </si>
  <si>
    <t>Weiner, Kimberly</t>
  </si>
  <si>
    <t>Greeson, Sandra</t>
  </si>
  <si>
    <t>Barham</t>
  </si>
  <si>
    <t>Jordan W Taylor</t>
  </si>
  <si>
    <t>Drennen, Avery</t>
  </si>
  <si>
    <t>Andrews, Jordana</t>
  </si>
  <si>
    <t>Travis,Stafford</t>
  </si>
  <si>
    <t>Calhoun, Matthew</t>
  </si>
  <si>
    <t>Chelsi D Siebenmorgen</t>
  </si>
  <si>
    <t>Beamer, Lisa</t>
  </si>
  <si>
    <t>Hefner, Andrew</t>
  </si>
  <si>
    <t>Bilger, Eleanor</t>
  </si>
  <si>
    <t>Floriani, Andrea</t>
  </si>
  <si>
    <t>Pinedo, Roberto,</t>
  </si>
  <si>
    <t>Blaylock, Martye</t>
  </si>
  <si>
    <t>Owens, Lori</t>
  </si>
  <si>
    <t>Workplace Physical Therapy</t>
  </si>
  <si>
    <t>Sadie  Wilkinson, Pt</t>
  </si>
  <si>
    <t>Vanlandingham, Kelly</t>
  </si>
  <si>
    <t>Callins, Anna</t>
  </si>
  <si>
    <t>Dorothy K Ray</t>
  </si>
  <si>
    <t>Vanginhoven, Caitlin</t>
  </si>
  <si>
    <t>Lopez, Theodore</t>
  </si>
  <si>
    <t>Tedford, Kelsey</t>
  </si>
  <si>
    <t>Conner, Andrew</t>
  </si>
  <si>
    <t>Stine, Cara,</t>
  </si>
  <si>
    <t>Medlock, Velvet</t>
  </si>
  <si>
    <t>Friedman, Elizabeth</t>
  </si>
  <si>
    <t>Ball, Zachary</t>
  </si>
  <si>
    <t>Bryant, Richard</t>
  </si>
  <si>
    <t>Schultz, Heather</t>
  </si>
  <si>
    <t>Bridges, Jack</t>
  </si>
  <si>
    <t>Loggins, Matthew</t>
  </si>
  <si>
    <t>Declerk, Bryan</t>
  </si>
  <si>
    <t>Timothy Nguyen</t>
  </si>
  <si>
    <t>Angelo J Bologna, Pt</t>
  </si>
  <si>
    <t>Kordsmeier, Courtney</t>
  </si>
  <si>
    <t>Isbell, Abigail</t>
  </si>
  <si>
    <t>Barnes, Daniel</t>
  </si>
  <si>
    <t>Simpson, Corey</t>
  </si>
  <si>
    <t>Shelton, Malia</t>
  </si>
  <si>
    <t>Brown, Sarah</t>
  </si>
  <si>
    <t>Steele, Cynthia</t>
  </si>
  <si>
    <t>Rowland, Candy J.</t>
  </si>
  <si>
    <t>Mclaughlin, Margaret</t>
  </si>
  <si>
    <t>Frazier, Charlotte</t>
  </si>
  <si>
    <t>Dyer, Robin</t>
  </si>
  <si>
    <t>Veronica M Fenton</t>
  </si>
  <si>
    <t>Mccormick, Anne</t>
  </si>
  <si>
    <t>Harris, Loni</t>
  </si>
  <si>
    <t>Richardson, Mollie</t>
  </si>
  <si>
    <t>Bedsole, Jacob</t>
  </si>
  <si>
    <t>Holsted, Jessica,</t>
  </si>
  <si>
    <t>Leighton, Linda</t>
  </si>
  <si>
    <t>Meaghan M Dayton, Pt</t>
  </si>
  <si>
    <t>Iribarren, Kara</t>
  </si>
  <si>
    <t>Trisha B Manly</t>
  </si>
  <si>
    <t>Tejada, Raquel</t>
  </si>
  <si>
    <t>Weathers</t>
  </si>
  <si>
    <t>Madill, Gail</t>
  </si>
  <si>
    <t>Chance Osburn</t>
  </si>
  <si>
    <t>Carrie Ward</t>
  </si>
  <si>
    <t>Arnone, Alexandria</t>
  </si>
  <si>
    <t>King, Emily</t>
  </si>
  <si>
    <t>Kylie Furman</t>
  </si>
  <si>
    <t>Davis, Colton</t>
  </si>
  <si>
    <t>Scott, Matthew</t>
  </si>
  <si>
    <t>Thomas, Katherine</t>
  </si>
  <si>
    <t>Cherry, Emma,</t>
  </si>
  <si>
    <t>Davidson, Richard</t>
  </si>
  <si>
    <t>Williams, Ruth</t>
  </si>
  <si>
    <t>Moody, Vanessa</t>
  </si>
  <si>
    <t>Elizabeth M Davis</t>
  </si>
  <si>
    <t>Calvelage, Erin</t>
  </si>
  <si>
    <t>Luster, Daniel</t>
  </si>
  <si>
    <t>Lincoln, Matthew</t>
  </si>
  <si>
    <t>Simmons, Tanner</t>
  </si>
  <si>
    <t>Rice, Kelsey</t>
  </si>
  <si>
    <t>Bell, John</t>
  </si>
  <si>
    <t>Broyles, Sarah</t>
  </si>
  <si>
    <t>Steadman, Edward</t>
  </si>
  <si>
    <t>Gilmer, Cari</t>
  </si>
  <si>
    <t>Wright</t>
  </si>
  <si>
    <t>Maggie Kell</t>
  </si>
  <si>
    <t>Mcdonald, Stephen</t>
  </si>
  <si>
    <t>Morrow, Angie</t>
  </si>
  <si>
    <t>Stinnett, Steven</t>
  </si>
  <si>
    <t>Cavnor, Jennifer</t>
  </si>
  <si>
    <t>Hufford, Lisa</t>
  </si>
  <si>
    <t>Sartain, Adam</t>
  </si>
  <si>
    <t>Christy, Mcclain</t>
  </si>
  <si>
    <t>Fuqua, Kendra</t>
  </si>
  <si>
    <t>Milum, Kaylea</t>
  </si>
  <si>
    <t>Peggs, Melanie</t>
  </si>
  <si>
    <t>Smithson, Roxanne</t>
  </si>
  <si>
    <t>Watson, Meredith</t>
  </si>
  <si>
    <t>Williams, Kimberly</t>
  </si>
  <si>
    <t>Williams, Johna, L</t>
  </si>
  <si>
    <t>Shull, Courtney</t>
  </si>
  <si>
    <t>Maciuba, Margaret,</t>
  </si>
  <si>
    <t>Finch</t>
  </si>
  <si>
    <t>Parham, Abigail</t>
  </si>
  <si>
    <t>Smith, Ryan</t>
  </si>
  <si>
    <t>Browning Gates, Allison</t>
  </si>
  <si>
    <t>Pendergrass, Connie</t>
  </si>
  <si>
    <t>Drzyzga</t>
  </si>
  <si>
    <t>Runyan, Whitney</t>
  </si>
  <si>
    <t>Dobbs, Nicholas</t>
  </si>
  <si>
    <t>Kucginski, Logan</t>
  </si>
  <si>
    <t>Brady Mcwilliams</t>
  </si>
  <si>
    <t>Jenks, Clayton,</t>
  </si>
  <si>
    <t>Burton, Angela</t>
  </si>
  <si>
    <t>Clegg, Kathryn</t>
  </si>
  <si>
    <t>Sexton, Laurel</t>
  </si>
  <si>
    <t>Hunt, Jessica</t>
  </si>
  <si>
    <t>Brown, Mallory</t>
  </si>
  <si>
    <t>Hasson, Beverly</t>
  </si>
  <si>
    <t>Jones, Duston</t>
  </si>
  <si>
    <t>Rigsby, Christopher</t>
  </si>
  <si>
    <t>Gaskin, Jacob</t>
  </si>
  <si>
    <t>Keller D Sims</t>
  </si>
  <si>
    <t>Maddox, Jessica</t>
  </si>
  <si>
    <t>Amanda Mcbrayer</t>
  </si>
  <si>
    <t>Smith</t>
  </si>
  <si>
    <t>Parent, Gretchen</t>
  </si>
  <si>
    <t>Bowman, Allyson</t>
  </si>
  <si>
    <t>Lauren  Adams, Pt</t>
  </si>
  <si>
    <t>Brooke Moseley</t>
  </si>
  <si>
    <t>Marcial, Amity, S</t>
  </si>
  <si>
    <t>Grady, Bailey</t>
  </si>
  <si>
    <t>Harris, Gabriel</t>
  </si>
  <si>
    <t>Elizabeth A Myrick</t>
  </si>
  <si>
    <t>Blaylock, Hillary</t>
  </si>
  <si>
    <t>Sawyer, Maxwell</t>
  </si>
  <si>
    <t>Cogan, Michael</t>
  </si>
  <si>
    <t>Whiteside, Travon, L</t>
  </si>
  <si>
    <t>Jones, Marcus</t>
  </si>
  <si>
    <t>Williford, Ashley</t>
  </si>
  <si>
    <t>Smith, Benjamin</t>
  </si>
  <si>
    <t>Irgens, Shane</t>
  </si>
  <si>
    <t>Eason, Gregory</t>
  </si>
  <si>
    <t>Higgins, Brittany</t>
  </si>
  <si>
    <t>Myers, Thomas</t>
  </si>
  <si>
    <t>Harris, Holly</t>
  </si>
  <si>
    <t>Henderson</t>
  </si>
  <si>
    <t>Sara Truxton</t>
  </si>
  <si>
    <t>Steuber, Traci</t>
  </si>
  <si>
    <t>Yoder, Nathan</t>
  </si>
  <si>
    <t>Forbes, Colin</t>
  </si>
  <si>
    <t>Ogilvie, Madeline</t>
  </si>
  <si>
    <t>Patel, Devanshi</t>
  </si>
  <si>
    <t>Bates, Maya,</t>
  </si>
  <si>
    <t>Ko, Steven</t>
  </si>
  <si>
    <t>Wiedower, Lori</t>
  </si>
  <si>
    <t>Sowerbutts, Lee</t>
  </si>
  <si>
    <t>Melinda B Wray</t>
  </si>
  <si>
    <t>Farrer, Joseph</t>
  </si>
  <si>
    <t>Morgan D Crowder</t>
  </si>
  <si>
    <t>Angela Havens</t>
  </si>
  <si>
    <t>Caleb Rohde</t>
  </si>
  <si>
    <t>Laury, Rebecca</t>
  </si>
  <si>
    <t>Herron, Alaina</t>
  </si>
  <si>
    <t>Zimmerman, Jessica</t>
  </si>
  <si>
    <t>Jaime, Conaway</t>
  </si>
  <si>
    <t>Lopez, Megan,</t>
  </si>
  <si>
    <t>Vogel, Nicholas,</t>
  </si>
  <si>
    <t>Turley, Jeanette</t>
  </si>
  <si>
    <t>Sellers, Kaitlin</t>
  </si>
  <si>
    <t>Hedrick, Summer</t>
  </si>
  <si>
    <t>George, Lisa</t>
  </si>
  <si>
    <t>Kerri M Gross</t>
  </si>
  <si>
    <t>Enis, Kristi,</t>
  </si>
  <si>
    <t>Stewart, Stephanie</t>
  </si>
  <si>
    <t>Hart, Lauren</t>
  </si>
  <si>
    <t>Mariano R Zermeno</t>
  </si>
  <si>
    <t>Dawn, James</t>
  </si>
  <si>
    <t>Lyle, Michaela</t>
  </si>
  <si>
    <t>Starr, Claudia</t>
  </si>
  <si>
    <t>Davis, Sheryl</t>
  </si>
  <si>
    <t>Vanhorn, Cindy</t>
  </si>
  <si>
    <t>Haverstick, Ellen</t>
  </si>
  <si>
    <t>Osterthun, Erin</t>
  </si>
  <si>
    <t>Fail, Hannah</t>
  </si>
  <si>
    <t>Bohl, Lorenzo</t>
  </si>
  <si>
    <t>Duffy, Alexus</t>
  </si>
  <si>
    <t>Jesse</t>
  </si>
  <si>
    <t>Pletz, Manning,</t>
  </si>
  <si>
    <t>Summerford, Christie</t>
  </si>
  <si>
    <t>Raymund Velasco</t>
  </si>
  <si>
    <t>Angela Beshears</t>
  </si>
  <si>
    <t>Walter, Christopher</t>
  </si>
  <si>
    <t>Sarah M Phillips</t>
  </si>
  <si>
    <t>Doherty, Michael</t>
  </si>
  <si>
    <t>English, Connor</t>
  </si>
  <si>
    <t>Tipton, Shelby</t>
  </si>
  <si>
    <t>Toledo, Gemma,</t>
  </si>
  <si>
    <t>Morgan, Samuel, C</t>
  </si>
  <si>
    <t>Shearer, Benjamin,</t>
  </si>
  <si>
    <t>Brazeal, Brayden,</t>
  </si>
  <si>
    <t>Hausman, Megan</t>
  </si>
  <si>
    <t>Holder, Kenneth</t>
  </si>
  <si>
    <t>Leek, Shannon</t>
  </si>
  <si>
    <t>Harp, Stephanie</t>
  </si>
  <si>
    <t>Kremers, Gabrielle</t>
  </si>
  <si>
    <t>Delaney, Davis</t>
  </si>
  <si>
    <t>Hawkins, Anfernee</t>
  </si>
  <si>
    <t>Abraham, Andrew</t>
  </si>
  <si>
    <t>Key, Kelly</t>
  </si>
  <si>
    <t>Geronimo, Yvonne</t>
  </si>
  <si>
    <t>Leader Physical Therapy</t>
  </si>
  <si>
    <t>Mcmahen, Laura</t>
  </si>
  <si>
    <t>Daniels, Jamie</t>
  </si>
  <si>
    <t>Forsythe, Dallis</t>
  </si>
  <si>
    <t>Tenley  Williams, Md</t>
  </si>
  <si>
    <t>Erber, Paul</t>
  </si>
  <si>
    <t>Black, Sharon</t>
  </si>
  <si>
    <t>Jernigan</t>
  </si>
  <si>
    <t>Broyles, Martin</t>
  </si>
  <si>
    <t>Mallett Richards, Kari</t>
  </si>
  <si>
    <t>Anderson, Krystle</t>
  </si>
  <si>
    <t>Hoskins, Jason</t>
  </si>
  <si>
    <t>Watson, Rebecca,</t>
  </si>
  <si>
    <t>Davies, Jacob</t>
  </si>
  <si>
    <t>Sarah A Chancellor</t>
  </si>
  <si>
    <t>Susmilch, Madison</t>
  </si>
  <si>
    <t>Linkeman, Kylie</t>
  </si>
  <si>
    <t>Balasko, Amanda</t>
  </si>
  <si>
    <t>Walton, Laraven</t>
  </si>
  <si>
    <t>Price, Kelton, T</t>
  </si>
  <si>
    <t>Butler, Dean</t>
  </si>
  <si>
    <t>Edwards, Caleb</t>
  </si>
  <si>
    <t>Eisenhauer, Melissa</t>
  </si>
  <si>
    <t>Norris, Tracie</t>
  </si>
  <si>
    <t>Witt, Ashton</t>
  </si>
  <si>
    <t>Molina Amaya, Edith</t>
  </si>
  <si>
    <t>Colton, Kendra</t>
  </si>
  <si>
    <t>Brooks, Craig</t>
  </si>
  <si>
    <t>Batchelor, Wade</t>
  </si>
  <si>
    <t>Hesseltine, Mandy,</t>
  </si>
  <si>
    <t>Quattlebaum, Angela</t>
  </si>
  <si>
    <t>Fortson, Deanne</t>
  </si>
  <si>
    <t>Speer, Wendi</t>
  </si>
  <si>
    <t>Brandy Rose</t>
  </si>
  <si>
    <t>Parrish  Throckmorton, Pt</t>
  </si>
  <si>
    <t>Cook, Lauren</t>
  </si>
  <si>
    <t>Megan Whitehead</t>
  </si>
  <si>
    <t>Treece, Rachel</t>
  </si>
  <si>
    <t>Stone, Claire</t>
  </si>
  <si>
    <t>Igharas</t>
  </si>
  <si>
    <t>Lynch, Thaddeus</t>
  </si>
  <si>
    <t>Holeyfield, Tara</t>
  </si>
  <si>
    <t>Williams</t>
  </si>
  <si>
    <t>Wright, Callie</t>
  </si>
  <si>
    <t>Sattler, Jaci,</t>
  </si>
  <si>
    <t>Johnson, Andrew</t>
  </si>
  <si>
    <t>Kristine E Sindoni, Pt</t>
  </si>
  <si>
    <t>Hollis, Sadie</t>
  </si>
  <si>
    <t>Funk, Laura</t>
  </si>
  <si>
    <t>Trujillo, Brandon</t>
  </si>
  <si>
    <t>Baldwin, Samantha</t>
  </si>
  <si>
    <t>Arnold, David</t>
  </si>
  <si>
    <t>Destinee</t>
  </si>
  <si>
    <t>Aggus, Rylee,</t>
  </si>
  <si>
    <t>Mcelroy, Robin</t>
  </si>
  <si>
    <t>Welman, Anna</t>
  </si>
  <si>
    <t>Graves, Ben</t>
  </si>
  <si>
    <t>Curtner, Robert</t>
  </si>
  <si>
    <t>Lauren, Davis</t>
  </si>
  <si>
    <t>Kulchinski, Christina,</t>
  </si>
  <si>
    <t>Allison Whiting</t>
  </si>
  <si>
    <t>Vanessa  Tharp, Pt</t>
  </si>
  <si>
    <t>Andrew  Schween, Pt</t>
  </si>
  <si>
    <t>Pham, Giau</t>
  </si>
  <si>
    <t>Norris, Emily</t>
  </si>
  <si>
    <t>Myers, Eric</t>
  </si>
  <si>
    <t>Carson, Amberly,</t>
  </si>
  <si>
    <t>Mizell, Abbigail,</t>
  </si>
  <si>
    <t>Carlee</t>
  </si>
  <si>
    <t>Morris, Justin</t>
  </si>
  <si>
    <t>Gill Pray, Lissa</t>
  </si>
  <si>
    <t>James, Troy</t>
  </si>
  <si>
    <t>Clifft, Elizabeth</t>
  </si>
  <si>
    <t>Blount, Lauren</t>
  </si>
  <si>
    <t>Stalder, Rebecca</t>
  </si>
  <si>
    <t>Thompson, Tara</t>
  </si>
  <si>
    <t>Hankins, Brittanee</t>
  </si>
  <si>
    <t>Thompson, Lindie</t>
  </si>
  <si>
    <t>De Guia, Joel</t>
  </si>
  <si>
    <t>Bastin, Joni</t>
  </si>
  <si>
    <t>Ahrents, Lois</t>
  </si>
  <si>
    <t>Prelaz, Christine,</t>
  </si>
  <si>
    <t>Burns, Steve</t>
  </si>
  <si>
    <t>Collins, Emily</t>
  </si>
  <si>
    <t>Nikki Collins</t>
  </si>
  <si>
    <t>Michael S Palese</t>
  </si>
  <si>
    <t>Spositi, Alexander</t>
  </si>
  <si>
    <t>Holehouse, Sean</t>
  </si>
  <si>
    <t>Ashley K Sizemore</t>
  </si>
  <si>
    <t>Davis, Sheri</t>
  </si>
  <si>
    <t>Sallings, Lisa</t>
  </si>
  <si>
    <t>Freyman, Jennifer</t>
  </si>
  <si>
    <t>Womack, Jill</t>
  </si>
  <si>
    <t>Godfrey, Kayla</t>
  </si>
  <si>
    <t>Nora Bennett</t>
  </si>
  <si>
    <t>Watkins, Emily</t>
  </si>
  <si>
    <t>Ray, Heather</t>
  </si>
  <si>
    <t>Baker, Worsley, Jacob</t>
  </si>
  <si>
    <t>Swainston, Sarah, R</t>
  </si>
  <si>
    <t>Wilson, Caressa, C</t>
  </si>
  <si>
    <t>Woodward, Gena</t>
  </si>
  <si>
    <t>Williamson, Debra</t>
  </si>
  <si>
    <t>Whittaker, Amber</t>
  </si>
  <si>
    <t>Starla W Denton</t>
  </si>
  <si>
    <t>Fox, Larry</t>
  </si>
  <si>
    <t>Jackson, Kara</t>
  </si>
  <si>
    <t>Wallace, Katie</t>
  </si>
  <si>
    <t>Hankins, Brandi</t>
  </si>
  <si>
    <t>Dawson, Summer</t>
  </si>
  <si>
    <t>Isley, Lucas</t>
  </si>
  <si>
    <t>Soo, Haley</t>
  </si>
  <si>
    <t>Parrish, Taylor</t>
  </si>
  <si>
    <t>Hurst, William</t>
  </si>
  <si>
    <t>Herbert, Brandon</t>
  </si>
  <si>
    <t>Siler, Sara</t>
  </si>
  <si>
    <t>Ellison, Sarah</t>
  </si>
  <si>
    <t>Moseley, Dylan</t>
  </si>
  <si>
    <t>Cameron S Shannon</t>
  </si>
  <si>
    <t>Michalak, Arlette F</t>
  </si>
  <si>
    <t>Blount, Kyle</t>
  </si>
  <si>
    <t>Tyler L Graham</t>
  </si>
  <si>
    <t>Foster, Gwyn</t>
  </si>
  <si>
    <t>Socha, Jenna</t>
  </si>
  <si>
    <t>Andrews, Hannah</t>
  </si>
  <si>
    <t>Pierce, Jennifer</t>
  </si>
  <si>
    <t>Cothern, Daniel</t>
  </si>
  <si>
    <t>Gabbard, Brooke</t>
  </si>
  <si>
    <t>Correll, Cara</t>
  </si>
  <si>
    <t>Stephens, Linnea,</t>
  </si>
  <si>
    <t>Jorge E Hernandez, Pt</t>
  </si>
  <si>
    <t>Kylle  Colquhoun, Pt</t>
  </si>
  <si>
    <t>Smith, Dalton</t>
  </si>
  <si>
    <t>Reginio, Regin</t>
  </si>
  <si>
    <t>Berg, Michelle,</t>
  </si>
  <si>
    <t>Medina, Brook</t>
  </si>
  <si>
    <t>Durr, Jessica</t>
  </si>
  <si>
    <t>Setzler, Lauren</t>
  </si>
  <si>
    <t>Burgess, Matthew</t>
  </si>
  <si>
    <t>Mckinney, Mia,</t>
  </si>
  <si>
    <t>Gregg, Ashley</t>
  </si>
  <si>
    <t>Rogerson, Mary</t>
  </si>
  <si>
    <t>Main, Haley</t>
  </si>
  <si>
    <t>Deborah E Felizco</t>
  </si>
  <si>
    <t>Brendan Bradley</t>
  </si>
  <si>
    <t>Lewis, Sydney</t>
  </si>
  <si>
    <t>Dickenson, Tyler</t>
  </si>
  <si>
    <t>Villalobos, Genesis</t>
  </si>
  <si>
    <t>Rogers, Jacque</t>
  </si>
  <si>
    <t>Washburn</t>
  </si>
  <si>
    <t>Barborek, Leigh</t>
  </si>
  <si>
    <t>Jordan, Robert</t>
  </si>
  <si>
    <t>Harris, Hannah</t>
  </si>
  <si>
    <t>Rhodes, Jared</t>
  </si>
  <si>
    <t>Adams, Shawn</t>
  </si>
  <si>
    <t>Montgomery, Sue</t>
  </si>
  <si>
    <t>Coleman, Matthew</t>
  </si>
  <si>
    <t>Parsons, Molly</t>
  </si>
  <si>
    <t>Lina D Wade, Pt</t>
  </si>
  <si>
    <t>Brocato, Paulena</t>
  </si>
  <si>
    <t>Taylor Gilbert</t>
  </si>
  <si>
    <t>Justice, Stacy</t>
  </si>
  <si>
    <t>Harris</t>
  </si>
  <si>
    <t>Ramsey, Steven</t>
  </si>
  <si>
    <t>David M Hiegel, Pt</t>
  </si>
  <si>
    <t>Alexander, Madison</t>
  </si>
  <si>
    <t>Victoria  Bayer, Pt</t>
  </si>
  <si>
    <t>Offenbacker, Kyler</t>
  </si>
  <si>
    <t>Nokes, Melissa</t>
  </si>
  <si>
    <t>Reames, Cross,</t>
  </si>
  <si>
    <t>Poole, Addison,</t>
  </si>
  <si>
    <t>Myane, Andrea</t>
  </si>
  <si>
    <t>Roberts, Shannon</t>
  </si>
  <si>
    <t>Meredith Elkins, Montessa</t>
  </si>
  <si>
    <t>Adair, Anthony</t>
  </si>
  <si>
    <t>Walden, Mckinley</t>
  </si>
  <si>
    <t>Madison James</t>
  </si>
  <si>
    <t>Besharse, John</t>
  </si>
  <si>
    <t>Merlos, Kennia</t>
  </si>
  <si>
    <t>John, Phillips</t>
  </si>
  <si>
    <t>Lunsford, Taylor</t>
  </si>
  <si>
    <t>Wood, Bailey</t>
  </si>
  <si>
    <t>Hayes, Kirstin,</t>
  </si>
  <si>
    <t>Patino, Daniel,</t>
  </si>
  <si>
    <t>Clowe, Willadean</t>
  </si>
  <si>
    <t>Schweikhard, Joe</t>
  </si>
  <si>
    <t>Denton, Amanda</t>
  </si>
  <si>
    <t>Rhea, Mackenzie</t>
  </si>
  <si>
    <t>Craske, Sarah</t>
  </si>
  <si>
    <t>Settles, Wyneshaw</t>
  </si>
  <si>
    <t>Lemmons, Cody</t>
  </si>
  <si>
    <t>Madeline L Cagle</t>
  </si>
  <si>
    <t>Bryce  Bossin, Pt</t>
  </si>
  <si>
    <t>Kristina Albonetti</t>
  </si>
  <si>
    <t>Campbell, Dalton</t>
  </si>
  <si>
    <t>Lewis, Jessica,</t>
  </si>
  <si>
    <t>Zielstra, Brittany</t>
  </si>
  <si>
    <t>Wood, Taylor</t>
  </si>
  <si>
    <t>Kolton Crawford</t>
  </si>
  <si>
    <t>Lercher, Robert</t>
  </si>
  <si>
    <t>Darling, Dylan,</t>
  </si>
  <si>
    <t>Madison B Loter</t>
  </si>
  <si>
    <t>Genciana, Mavilyn</t>
  </si>
  <si>
    <t>Guffey, James</t>
  </si>
  <si>
    <t>Green, Tyler</t>
  </si>
  <si>
    <t>Ivy, Laura</t>
  </si>
  <si>
    <t>Daigle, Matthew</t>
  </si>
  <si>
    <t>Tyson, Lindsey</t>
  </si>
  <si>
    <t>Moreland, James</t>
  </si>
  <si>
    <t>Corbitt, Annemieke</t>
  </si>
  <si>
    <t>Gina D Baumgartner</t>
  </si>
  <si>
    <t>Kathryn Barry</t>
  </si>
  <si>
    <t>Neck, Abby</t>
  </si>
  <si>
    <t>Roset, Sydney</t>
  </si>
  <si>
    <t>Weyrens, Cynthia</t>
  </si>
  <si>
    <t>Johnson, Jordyn C.</t>
  </si>
  <si>
    <t>Sargeson, Layne</t>
  </si>
  <si>
    <t>Russ, Rhonda</t>
  </si>
  <si>
    <t>Hinson, April</t>
  </si>
  <si>
    <t>Hurst, Brandi</t>
  </si>
  <si>
    <t>Mendoza, Jennifer</t>
  </si>
  <si>
    <t>Demiere, Krista</t>
  </si>
  <si>
    <t>Farmer, Miranda</t>
  </si>
  <si>
    <t>Moreland, Natalie</t>
  </si>
  <si>
    <t>Moore, Andi</t>
  </si>
  <si>
    <t>Sweere, Charlotte</t>
  </si>
  <si>
    <t>Brent  Davis, Pt</t>
  </si>
  <si>
    <t>Hutchinson, Madison</t>
  </si>
  <si>
    <t>Pigott, Chloe</t>
  </si>
  <si>
    <t>Clough, Timothy,</t>
  </si>
  <si>
    <t>George, Todd</t>
  </si>
  <si>
    <t>Pillow, Mikka</t>
  </si>
  <si>
    <t>Nobles, Kyle</t>
  </si>
  <si>
    <t>Tyler D Bass</t>
  </si>
  <si>
    <t>Scroggins, Ryan</t>
  </si>
  <si>
    <t>David J Bazaldua</t>
  </si>
  <si>
    <t>Turner, Landon</t>
  </si>
  <si>
    <t>Ashmore, Makenzie</t>
  </si>
  <si>
    <t>Englander, Steven</t>
  </si>
  <si>
    <t>Hickerson, William</t>
  </si>
  <si>
    <t>Kruchevsky, Dani</t>
  </si>
  <si>
    <t>Leonardi, Nicholas</t>
  </si>
  <si>
    <t>Khandelwal, Anjay</t>
  </si>
  <si>
    <t>West, William</t>
  </si>
  <si>
    <t>Sacks, Gina, N</t>
  </si>
  <si>
    <t>The Plastic Sugery Institute</t>
  </si>
  <si>
    <t>Mahmoud, Hassouba</t>
  </si>
  <si>
    <t>Barnes, Connor</t>
  </si>
  <si>
    <t>Wright, Eric</t>
  </si>
  <si>
    <t>Tashima, Alexis</t>
  </si>
  <si>
    <t>Hammond, Sarah</t>
  </si>
  <si>
    <t>Stacey, David</t>
  </si>
  <si>
    <t>Kelamis, Joseph</t>
  </si>
  <si>
    <t>Becker, Devra</t>
  </si>
  <si>
    <t>Nelluri, Pramod</t>
  </si>
  <si>
    <t>Holloway, Richard</t>
  </si>
  <si>
    <t>Campbell, Carey</t>
  </si>
  <si>
    <t>Velamuri, Sai</t>
  </si>
  <si>
    <t>Berkheimer, Bruce</t>
  </si>
  <si>
    <t>Arp, Eric</t>
  </si>
  <si>
    <t>Herring, Megan</t>
  </si>
  <si>
    <t>Ferdowsian, Vafa</t>
  </si>
  <si>
    <t>Appling, Robert</t>
  </si>
  <si>
    <t>White, John</t>
  </si>
  <si>
    <t>Jackson, Martha</t>
  </si>
  <si>
    <t>Diperna, Gina</t>
  </si>
  <si>
    <t>Bradley, Jesse H</t>
  </si>
  <si>
    <t>Trovillion, Robert</t>
  </si>
  <si>
    <t>Smith, Christian</t>
  </si>
  <si>
    <t>Khumalo, Bhekumuzi</t>
  </si>
  <si>
    <t>Burks, Jesse</t>
  </si>
  <si>
    <t>Rowlett, Christopher</t>
  </si>
  <si>
    <t>Webster, Julie</t>
  </si>
  <si>
    <t>Caldwell, Eddy L</t>
  </si>
  <si>
    <t>Kiessling, David</t>
  </si>
  <si>
    <t>Robinson, Ricky</t>
  </si>
  <si>
    <t>Goodman, Tyler</t>
  </si>
  <si>
    <t>Mcclendon, Glenn</t>
  </si>
  <si>
    <t>Gray, Scott</t>
  </si>
  <si>
    <t>Day, Frederick</t>
  </si>
  <si>
    <t>Upshaw, Krystal</t>
  </si>
  <si>
    <t>Britton, Calvin</t>
  </si>
  <si>
    <t>Murray-Clark, Michelle</t>
  </si>
  <si>
    <t>Seiter, Kenneth</t>
  </si>
  <si>
    <t>Kiel, Brian</t>
  </si>
  <si>
    <t>Herbstrith, Ami</t>
  </si>
  <si>
    <t>Horowitz, Brian</t>
  </si>
  <si>
    <t>Hayes, Walter</t>
  </si>
  <si>
    <t>Blancho, David</t>
  </si>
  <si>
    <t>Bennett, Richard</t>
  </si>
  <si>
    <t>Pierce, Jame</t>
  </si>
  <si>
    <t>Cohen, Terri</t>
  </si>
  <si>
    <t>Baize, Calvin</t>
  </si>
  <si>
    <t>Glenn, Bryan</t>
  </si>
  <si>
    <t>Steffen, Kevin</t>
  </si>
  <si>
    <t>Wenzler, Robert</t>
  </si>
  <si>
    <t>David,Lish</t>
  </si>
  <si>
    <t>Hahn, Philip</t>
  </si>
  <si>
    <t>Mortensen, Spencer</t>
  </si>
  <si>
    <t>Shwer, Brian</t>
  </si>
  <si>
    <t>Griffin, Shanta</t>
  </si>
  <si>
    <t>Benjamin Clair</t>
  </si>
  <si>
    <t>Zahn, Nicole</t>
  </si>
  <si>
    <t>Demiranda, Thomas</t>
  </si>
  <si>
    <t>Buk, Alexandra</t>
  </si>
  <si>
    <t>Mueller, Phuong</t>
  </si>
  <si>
    <t>Lakin, Rhett</t>
  </si>
  <si>
    <t>Adam,Libby</t>
  </si>
  <si>
    <t>Robinette, John W</t>
  </si>
  <si>
    <t>Ognibene, Frank</t>
  </si>
  <si>
    <t>Chandler, Lindsay,</t>
  </si>
  <si>
    <t>Dotson, Mark</t>
  </si>
  <si>
    <t>Murry, Weldon</t>
  </si>
  <si>
    <t>Degroot, Mary</t>
  </si>
  <si>
    <t>Brantley, James</t>
  </si>
  <si>
    <t>Rosenlof, Erik</t>
  </si>
  <si>
    <t>Patel, Naval</t>
  </si>
  <si>
    <t>Megan,Martin</t>
  </si>
  <si>
    <t>Croft, Darrell</t>
  </si>
  <si>
    <t>Hugentobler, Mckay</t>
  </si>
  <si>
    <t>Tait, Laurel</t>
  </si>
  <si>
    <t>Washburn, James</t>
  </si>
  <si>
    <t>Rand, Max</t>
  </si>
  <si>
    <t>Peyton D Baker</t>
  </si>
  <si>
    <t>Hutchinson, Paul</t>
  </si>
  <si>
    <t>Mckee, Tyler</t>
  </si>
  <si>
    <t>Song, Seung</t>
  </si>
  <si>
    <t>Butler, Walter</t>
  </si>
  <si>
    <t>Taylor Sann</t>
  </si>
  <si>
    <t>Joseph, Costello</t>
  </si>
  <si>
    <t>Reeves, Austin</t>
  </si>
  <si>
    <t>Reed, Yolanda</t>
  </si>
  <si>
    <t>Young, Tammy N</t>
  </si>
  <si>
    <t>Muddassir, Khawaja M.</t>
  </si>
  <si>
    <t>Beasley, Lisa</t>
  </si>
  <si>
    <t>Fendley, Joseph</t>
  </si>
  <si>
    <t>Shipman, Mashae</t>
  </si>
  <si>
    <t>Kemp, Emily</t>
  </si>
  <si>
    <t>Busch, Megan</t>
  </si>
  <si>
    <t>Hunter, Cassandra</t>
  </si>
  <si>
    <t>Searcy, Lauren</t>
  </si>
  <si>
    <t>Harvison, Matthew</t>
  </si>
  <si>
    <t>Parish, Michelle</t>
  </si>
  <si>
    <t>Aldridge, Samantha</t>
  </si>
  <si>
    <t>Rhinehart, Ashley</t>
  </si>
  <si>
    <t>Maupin, Leroy</t>
  </si>
  <si>
    <t>Cox Berryhill, Cinda</t>
  </si>
  <si>
    <t>Burford, Elizabeth</t>
  </si>
  <si>
    <t>Wells, Steven</t>
  </si>
  <si>
    <t>Keesee, Melissa</t>
  </si>
  <si>
    <t>Nastasi, Valentina</t>
  </si>
  <si>
    <t>Ash, Jesse</t>
  </si>
  <si>
    <t>Austin, Denise</t>
  </si>
  <si>
    <t>Dorman, Corey</t>
  </si>
  <si>
    <t>Wilkins, Julie</t>
  </si>
  <si>
    <t>Hediger, Laur</t>
  </si>
  <si>
    <t>Wyerick, Lindsey</t>
  </si>
  <si>
    <t>Brittany, Stephens</t>
  </si>
  <si>
    <t>Richard, Keenan</t>
  </si>
  <si>
    <t>Dunham, Katherine</t>
  </si>
  <si>
    <t>Marks, Kimberly,</t>
  </si>
  <si>
    <t>Haddock, Heather</t>
  </si>
  <si>
    <t>Turner, Kenneth</t>
  </si>
  <si>
    <t>Cash, James S</t>
  </si>
  <si>
    <t>Mckenzie, Allan</t>
  </si>
  <si>
    <t>Buckner, Irene</t>
  </si>
  <si>
    <t>Young, Timothy</t>
  </si>
  <si>
    <t>Watkins Brown, Felicia</t>
  </si>
  <si>
    <t>Hartness, Birtha</t>
  </si>
  <si>
    <t>Guyer, Janet</t>
  </si>
  <si>
    <t>Mclaughlin, Shannon</t>
  </si>
  <si>
    <t>Haney, Glennette</t>
  </si>
  <si>
    <t>Tariq, Sara</t>
  </si>
  <si>
    <t>Dougan, Angela</t>
  </si>
  <si>
    <t>Prasad, Sudha</t>
  </si>
  <si>
    <t>Linn, Mary</t>
  </si>
  <si>
    <t>Boyette, Kristina G.</t>
  </si>
  <si>
    <t>Reed, Pamela</t>
  </si>
  <si>
    <t>Branch, Karen</t>
  </si>
  <si>
    <t>Thomas, Jeffrey</t>
  </si>
  <si>
    <t>Mccormack, Carl</t>
  </si>
  <si>
    <t>05147, Caitlin</t>
  </si>
  <si>
    <t>Tahsin, Saif</t>
  </si>
  <si>
    <t>Arthur, K'Anne</t>
  </si>
  <si>
    <t>Turner, Emily</t>
  </si>
  <si>
    <t>Khan, Fatima</t>
  </si>
  <si>
    <t>Dinesh, Voruganti</t>
  </si>
  <si>
    <t>Stallings, Heather</t>
  </si>
  <si>
    <t>Camp, Rebecca</t>
  </si>
  <si>
    <t>Williams, Randall B.</t>
  </si>
  <si>
    <t>Garth, Nicole</t>
  </si>
  <si>
    <t>Carver, Corey</t>
  </si>
  <si>
    <t>Coble, Rebecca</t>
  </si>
  <si>
    <t>Jackson, Laura</t>
  </si>
  <si>
    <t>Thrash, Elaine</t>
  </si>
  <si>
    <t>Zachary, Crossett</t>
  </si>
  <si>
    <t>Robinson, Susan</t>
  </si>
  <si>
    <t>Crawley, Kerri</t>
  </si>
  <si>
    <t>Crystal,Rowton</t>
  </si>
  <si>
    <t>Mccoy, Ashley</t>
  </si>
  <si>
    <t>Holley, Penny M.</t>
  </si>
  <si>
    <t>Audra, Wallace</t>
  </si>
  <si>
    <t>Cheves, Angela</t>
  </si>
  <si>
    <t>Kane, Kasey</t>
  </si>
  <si>
    <t>Simpson, Kimb</t>
  </si>
  <si>
    <t>Bethany, Williams</t>
  </si>
  <si>
    <t>Diane, Morrow</t>
  </si>
  <si>
    <t>Curtis, Rachael</t>
  </si>
  <si>
    <t>Moorea, Dippel</t>
  </si>
  <si>
    <t>Scherz, Chelsea, N</t>
  </si>
  <si>
    <t>Cole, Kelsey, A</t>
  </si>
  <si>
    <t>Morafa, Olawale</t>
  </si>
  <si>
    <t>Parish, Barton</t>
  </si>
  <si>
    <t>Barnett, Matthew</t>
  </si>
  <si>
    <t>Estes, David</t>
  </si>
  <si>
    <t>Griffin, Rodney</t>
  </si>
  <si>
    <t>Lagrimas, Fernando C.</t>
  </si>
  <si>
    <t>Johnson, Timothy</t>
  </si>
  <si>
    <t>West, Debra</t>
  </si>
  <si>
    <t>Choby, Beth</t>
  </si>
  <si>
    <t>Rothrock, Perry</t>
  </si>
  <si>
    <t>Briscoe, Katina</t>
  </si>
  <si>
    <t>Worley, Mark</t>
  </si>
  <si>
    <t>Fisher, Tracy</t>
  </si>
  <si>
    <t>Nguyen, Thinh</t>
  </si>
  <si>
    <t>Ray, Hannah</t>
  </si>
  <si>
    <t>Cross, Leticia</t>
  </si>
  <si>
    <t>Raney, Samuel</t>
  </si>
  <si>
    <t>Reilly, Lauren</t>
  </si>
  <si>
    <t>Porter, Rebecca</t>
  </si>
  <si>
    <t>Lafargue, Katherine</t>
  </si>
  <si>
    <t>Caldwell, Tommy</t>
  </si>
  <si>
    <t>Simon, Jade E.</t>
  </si>
  <si>
    <t>Pruitt, Matthew</t>
  </si>
  <si>
    <t>Hutton, Katie</t>
  </si>
  <si>
    <t>Easton, Veronica</t>
  </si>
  <si>
    <t>Oluwafunto, Fashanu</t>
  </si>
  <si>
    <t>George, Debra</t>
  </si>
  <si>
    <t>Spann, Kortney</t>
  </si>
  <si>
    <t>Doerr, Rachel</t>
  </si>
  <si>
    <t>Marquardt, Faith</t>
  </si>
  <si>
    <t>Keen, Christie</t>
  </si>
  <si>
    <t>Burleson, Angela</t>
  </si>
  <si>
    <t>Lister, Kimberly</t>
  </si>
  <si>
    <t>Cearley, Bryan</t>
  </si>
  <si>
    <t>Mccutcheon, Adrienne</t>
  </si>
  <si>
    <t>Flowers, Okorie,</t>
  </si>
  <si>
    <t>Hill, Lacy</t>
  </si>
  <si>
    <t>Brown, Autumn, M</t>
  </si>
  <si>
    <t>Fly, Brandalon</t>
  </si>
  <si>
    <t>Mary, Mccauley</t>
  </si>
  <si>
    <t>Mitchell, Michael</t>
  </si>
  <si>
    <t>Bendel, Eric, M</t>
  </si>
  <si>
    <t>Brown, Kristin</t>
  </si>
  <si>
    <t>Brown, Shelby,</t>
  </si>
  <si>
    <t>Flowers, Opal, C</t>
  </si>
  <si>
    <t>Armstrong, Simmie</t>
  </si>
  <si>
    <t>Ivy, Lisa</t>
  </si>
  <si>
    <t>Watlington, Amanda Jo</t>
  </si>
  <si>
    <t>Morse, Miriam</t>
  </si>
  <si>
    <t>Bunch, Holly</t>
  </si>
  <si>
    <t>Swindell, William</t>
  </si>
  <si>
    <t>Causey, Robert</t>
  </si>
  <si>
    <t>Pesnell, Larkus</t>
  </si>
  <si>
    <t>Durrett, Sandra</t>
  </si>
  <si>
    <t>Clifton, Shelly</t>
  </si>
  <si>
    <t>Powell, Andrew</t>
  </si>
  <si>
    <t>Furniss Roberts, Julia</t>
  </si>
  <si>
    <t>Pilgrim, Tracy</t>
  </si>
  <si>
    <t>Olive, Timothy</t>
  </si>
  <si>
    <t>Hess, Jennifer</t>
  </si>
  <si>
    <t>Wright, Irene</t>
  </si>
  <si>
    <t>Tanner, Kimberly</t>
  </si>
  <si>
    <t>Kimberly, Jay</t>
  </si>
  <si>
    <t>Mcmellon, Stephanie</t>
  </si>
  <si>
    <t>Chaitanya, Korrapati</t>
  </si>
  <si>
    <t>Jynes, Lillian</t>
  </si>
  <si>
    <t>Funderburk, Heather</t>
  </si>
  <si>
    <t>Longstreth, Tracey</t>
  </si>
  <si>
    <t>Raney, Brooke</t>
  </si>
  <si>
    <t>Bounds, Chelsea</t>
  </si>
  <si>
    <t>Newsom, Nikisha</t>
  </si>
  <si>
    <t>Andrews, Trisha</t>
  </si>
  <si>
    <t>Sessions, Charles</t>
  </si>
  <si>
    <t>Mosbey, Alexandria</t>
  </si>
  <si>
    <t>Kasper, Caleb</t>
  </si>
  <si>
    <t>Mossman, Brittnay D.</t>
  </si>
  <si>
    <t>Moore, Lisa</t>
  </si>
  <si>
    <t>Severino, Tatu</t>
  </si>
  <si>
    <t>Herrold, Dabney</t>
  </si>
  <si>
    <t>Armendariz, Kaylee</t>
  </si>
  <si>
    <t>Garber, Reagan, L</t>
  </si>
  <si>
    <t>Richmond, Tiara</t>
  </si>
  <si>
    <t>Laura, Hernandez</t>
  </si>
  <si>
    <t>Heather,Walker</t>
  </si>
  <si>
    <t>Nathan, Perrin</t>
  </si>
  <si>
    <t>Kelsie, Benavides</t>
  </si>
  <si>
    <t>Spence, Sarah</t>
  </si>
  <si>
    <t>Crites, Tiffany, D</t>
  </si>
  <si>
    <t>Campbell, Sarah, A</t>
  </si>
  <si>
    <t>Reyes, Macias, Diana</t>
  </si>
  <si>
    <t>Pigorsh, Thomas,</t>
  </si>
  <si>
    <t>Abdin, Jamal</t>
  </si>
  <si>
    <t>Frisbie, Stephanie</t>
  </si>
  <si>
    <t>Mintz, Philip</t>
  </si>
  <si>
    <t>Anderson, Brian</t>
  </si>
  <si>
    <t>Aslam, Tanveer</t>
  </si>
  <si>
    <t>Abutineh, Mohammad</t>
  </si>
  <si>
    <t>Gartner, Rebecca</t>
  </si>
  <si>
    <t>Finck, John</t>
  </si>
  <si>
    <t>Porchia, Deborah</t>
  </si>
  <si>
    <t>Brown, Terry</t>
  </si>
  <si>
    <t>Albey, Mark</t>
  </si>
  <si>
    <t>Cheatham-Carpenter, Terrell</t>
  </si>
  <si>
    <t>Williams, Marilyn</t>
  </si>
  <si>
    <t>Ordonez, Conrado</t>
  </si>
  <si>
    <t>Holcomb, Sarah</t>
  </si>
  <si>
    <t>Birdwell, Misty</t>
  </si>
  <si>
    <t>Newell, Hilda</t>
  </si>
  <si>
    <t>Kellie, Manes</t>
  </si>
  <si>
    <t>Sanders, Jennifer</t>
  </si>
  <si>
    <t>Green, Erin</t>
  </si>
  <si>
    <t>Barnes, Bonnie</t>
  </si>
  <si>
    <t>Walker, Janet</t>
  </si>
  <si>
    <t>Johnson, Kristyn</t>
  </si>
  <si>
    <t>Rouse, Joe</t>
  </si>
  <si>
    <t>Maras, Casey, Meryem</t>
  </si>
  <si>
    <t>Clark, Jesse</t>
  </si>
  <si>
    <t>Owen, Wesley</t>
  </si>
  <si>
    <t>Phillips, Anne</t>
  </si>
  <si>
    <t>Owens, Jeremy,</t>
  </si>
  <si>
    <t>Davis, Larissa</t>
  </si>
  <si>
    <t>Treat, Jessica</t>
  </si>
  <si>
    <t>Phillips, Lakyn</t>
  </si>
  <si>
    <t>Chunn, Shada</t>
  </si>
  <si>
    <t>Stocks, Deirdre</t>
  </si>
  <si>
    <t>Moore, Rachel,</t>
  </si>
  <si>
    <t>Armstrong, Meg</t>
  </si>
  <si>
    <t>Lindsay,Frank</t>
  </si>
  <si>
    <t>Alexandra, Thompson</t>
  </si>
  <si>
    <t>Hamilton, Jayce</t>
  </si>
  <si>
    <t>Melanie, Golliver</t>
  </si>
  <si>
    <t>Toon, Megan</t>
  </si>
  <si>
    <t>Martin, Hannah</t>
  </si>
  <si>
    <t>Kaitlyn, Ong</t>
  </si>
  <si>
    <t>Wells, Alexis,</t>
  </si>
  <si>
    <t>Hardin, Laura</t>
  </si>
  <si>
    <t>Mccallum, Lee</t>
  </si>
  <si>
    <t>Nunn, Gary</t>
  </si>
  <si>
    <t>Walajahi, Fawad</t>
  </si>
  <si>
    <t>Hargett, Walter</t>
  </si>
  <si>
    <t>Buttross, John</t>
  </si>
  <si>
    <t>Wright, James</t>
  </si>
  <si>
    <t>Pelz, Frederick</t>
  </si>
  <si>
    <t>Kajkenova, Oumitana</t>
  </si>
  <si>
    <t>Burns, Stanley</t>
  </si>
  <si>
    <t>Wright, Kristen</t>
  </si>
  <si>
    <t>Tejada, Ruben</t>
  </si>
  <si>
    <t>Eccles, Richard</t>
  </si>
  <si>
    <t>Tracy, Neil</t>
  </si>
  <si>
    <t>Riklon, Sheldon</t>
  </si>
  <si>
    <t>Bowling, William</t>
  </si>
  <si>
    <t>Chism, Valerie</t>
  </si>
  <si>
    <t>Patoka, Matthew</t>
  </si>
  <si>
    <t>Robbins, Bobbi</t>
  </si>
  <si>
    <t>Brewer, Meredith</t>
  </si>
  <si>
    <t>Dietrich, Timothy</t>
  </si>
  <si>
    <t>Tasneem, Sara</t>
  </si>
  <si>
    <t>Datar, Praveen</t>
  </si>
  <si>
    <t>Sullivan, Mary K.</t>
  </si>
  <si>
    <t>Thomason, Elizabeth</t>
  </si>
  <si>
    <t>Jenkins, Ashley</t>
  </si>
  <si>
    <t>Shannon, Marsden</t>
  </si>
  <si>
    <t>Marshall, Angela</t>
  </si>
  <si>
    <t>Neldon, Kristen</t>
  </si>
  <si>
    <t>Klinefelter, Kimberly</t>
  </si>
  <si>
    <t>Jones, Cameron</t>
  </si>
  <si>
    <t>Young, Elizabeth</t>
  </si>
  <si>
    <t>Weisenbach, Larry</t>
  </si>
  <si>
    <t>Sabrina, Bowen</t>
  </si>
  <si>
    <t>Douglas, Michella</t>
  </si>
  <si>
    <t>Polk, Heather</t>
  </si>
  <si>
    <t>Spiller, Ginger</t>
  </si>
  <si>
    <t>Stokes, Phillip</t>
  </si>
  <si>
    <t>Welter, Kaylen</t>
  </si>
  <si>
    <t>Chow, Cynthia,</t>
  </si>
  <si>
    <t>Elisha, Cone</t>
  </si>
  <si>
    <t>Cottrell, Lakeicha</t>
  </si>
  <si>
    <t>John, Bailey</t>
  </si>
  <si>
    <t>Tadlock, Bailey, J</t>
  </si>
  <si>
    <t>Meghan, Turner</t>
  </si>
  <si>
    <t>Cassie, Kaufman</t>
  </si>
  <si>
    <t>Jodi, Bodenhamer</t>
  </si>
  <si>
    <t>Estes, Ann</t>
  </si>
  <si>
    <t>Velasquez, Melissa, R</t>
  </si>
  <si>
    <t>Sparks, Matthew, N</t>
  </si>
  <si>
    <t>Carpenter, Treadway, Kara</t>
  </si>
  <si>
    <t>Goins, Dale</t>
  </si>
  <si>
    <t>Kyer, Aaron</t>
  </si>
  <si>
    <t>Clifford Evans</t>
  </si>
  <si>
    <t>Cook, Buffy</t>
  </si>
  <si>
    <t>Sills, David</t>
  </si>
  <si>
    <t>Gordon, Alfred</t>
  </si>
  <si>
    <t>Welsh, Jonathan</t>
  </si>
  <si>
    <t>Allen, Henry</t>
  </si>
  <si>
    <t>Torrence, Leamon</t>
  </si>
  <si>
    <t>govinda P Lohani, M.D., Pa</t>
  </si>
  <si>
    <t>Yost, Stephan</t>
  </si>
  <si>
    <t>Frazier-Griffin, Valerie</t>
  </si>
  <si>
    <t>Brooks, Chad</t>
  </si>
  <si>
    <t>Mason, Kent</t>
  </si>
  <si>
    <t>Townsend, Wanda</t>
  </si>
  <si>
    <t>Baker, Ann</t>
  </si>
  <si>
    <t>Moughrabieh, Mohamad</t>
  </si>
  <si>
    <t>Lasiter, Michelle</t>
  </si>
  <si>
    <t>Jump, Leslie</t>
  </si>
  <si>
    <t>Cochran, Eranesha</t>
  </si>
  <si>
    <t>Stewart, Sama</t>
  </si>
  <si>
    <t>Hart, Laura</t>
  </si>
  <si>
    <t>Metcalf, Christina</t>
  </si>
  <si>
    <t>Alexander, Monica</t>
  </si>
  <si>
    <t>Osborn, Randall</t>
  </si>
  <si>
    <t>Mcgehee, Wesley</t>
  </si>
  <si>
    <t>Blunt, Laryssa</t>
  </si>
  <si>
    <t>Susan, Hageman</t>
  </si>
  <si>
    <t>Fowler, Holley</t>
  </si>
  <si>
    <t>Bates, Pamela</t>
  </si>
  <si>
    <t>Gattis, Ashley</t>
  </si>
  <si>
    <t>Mohammed, Shamna</t>
  </si>
  <si>
    <t>Berry, Tina</t>
  </si>
  <si>
    <t>Rogers, Cody</t>
  </si>
  <si>
    <t>Cude, Lauren</t>
  </si>
  <si>
    <t>Wray, Garrett</t>
  </si>
  <si>
    <t>Anderson, Amanda</t>
  </si>
  <si>
    <t>Haddad, Nour</t>
  </si>
  <si>
    <t>Ayers, Alex</t>
  </si>
  <si>
    <t>Combs, Kristina</t>
  </si>
  <si>
    <t>Lloyd, Roynetta</t>
  </si>
  <si>
    <t>Alstadt-Johnson, Victoria</t>
  </si>
  <si>
    <t>Abigail, Wilhite</t>
  </si>
  <si>
    <t>Long, Ashley</t>
  </si>
  <si>
    <t>Head, John</t>
  </si>
  <si>
    <t>Cash, Susannah</t>
  </si>
  <si>
    <t>Albertine, Lauren</t>
  </si>
  <si>
    <t>Che, Leia</t>
  </si>
  <si>
    <t>Fuller, Megan</t>
  </si>
  <si>
    <t>Lineberry, Lynn</t>
  </si>
  <si>
    <t>Whillock, Christy</t>
  </si>
  <si>
    <t>Crawford, Katie</t>
  </si>
  <si>
    <t>Hamill, Angela</t>
  </si>
  <si>
    <t>Crawford, Kayla</t>
  </si>
  <si>
    <t>Hart, Amanda</t>
  </si>
  <si>
    <t>Fabre, Quinones, Jose</t>
  </si>
  <si>
    <t>Grigg, Sara</t>
  </si>
  <si>
    <t>Ring, Abby, C</t>
  </si>
  <si>
    <t>Reed, Brandon, T</t>
  </si>
  <si>
    <t>Leach, Cameron, L</t>
  </si>
  <si>
    <t>Allmon, Joan</t>
  </si>
  <si>
    <t>Pamplin, Adams</t>
  </si>
  <si>
    <t>Isely, William</t>
  </si>
  <si>
    <t>Doss, Belinda</t>
  </si>
  <si>
    <t>Massey, Cecil</t>
  </si>
  <si>
    <t>Bradley, Stanley</t>
  </si>
  <si>
    <t>Hurt, Christie</t>
  </si>
  <si>
    <t>Macmillan, Patrick</t>
  </si>
  <si>
    <t>Carfagno, Jeffrey</t>
  </si>
  <si>
    <t>Barrada, Terri</t>
  </si>
  <si>
    <t>Guthrey, Brandi</t>
  </si>
  <si>
    <t>Denbow, Ashley</t>
  </si>
  <si>
    <t>Coombs, Emily</t>
  </si>
  <si>
    <t>Bramblett, Marcella</t>
  </si>
  <si>
    <t>Dissanayake, Thusitha</t>
  </si>
  <si>
    <t>Kauffman, Alan</t>
  </si>
  <si>
    <t>Farris, Quaneshia</t>
  </si>
  <si>
    <t>Shephard, Brandy</t>
  </si>
  <si>
    <t>Robbins Spann, Lisa</t>
  </si>
  <si>
    <t>Teague, Tiffany</t>
  </si>
  <si>
    <t>Hogan, Kristy</t>
  </si>
  <si>
    <t>Robins, Jennifer</t>
  </si>
  <si>
    <t>Thompson, Ebony</t>
  </si>
  <si>
    <t>Brown, Wanda L.</t>
  </si>
  <si>
    <t>Jones, Andrea</t>
  </si>
  <si>
    <t>Espinoza, Stephanie</t>
  </si>
  <si>
    <t>Lewis, Jennifer M</t>
  </si>
  <si>
    <t>Ashley, Tebay</t>
  </si>
  <si>
    <t>Edmund, Blakely</t>
  </si>
  <si>
    <t>Holifield, Peggy</t>
  </si>
  <si>
    <t>Jones, Sarah</t>
  </si>
  <si>
    <t>Harris, Lance</t>
  </si>
  <si>
    <t>Smith, Ginger</t>
  </si>
  <si>
    <t>Mason, Caleb</t>
  </si>
  <si>
    <t>Garcia, Theresia</t>
  </si>
  <si>
    <t>James, Tullis</t>
  </si>
  <si>
    <t>Droske, David</t>
  </si>
  <si>
    <t>Barnhart, Suza</t>
  </si>
  <si>
    <t>Boyd, Aaron</t>
  </si>
  <si>
    <t>Toon, Kathleen</t>
  </si>
  <si>
    <t>Chancellor, Tanya</t>
  </si>
  <si>
    <t>Cooper, Brittany</t>
  </si>
  <si>
    <t>Vail, Alex</t>
  </si>
  <si>
    <t>Hanner, Wendy</t>
  </si>
  <si>
    <t>Taleb Haghipoor, Kasra</t>
  </si>
  <si>
    <t>Angela, Osborn</t>
  </si>
  <si>
    <t>Diep, Linda</t>
  </si>
  <si>
    <t>Jessica, Lunsford</t>
  </si>
  <si>
    <t>Clifton, Casey, D</t>
  </si>
  <si>
    <t>Albanese, Sabrina,</t>
  </si>
  <si>
    <t>Winningham, Chelsey</t>
  </si>
  <si>
    <t>Curoso, Mary, E</t>
  </si>
  <si>
    <t>Marion, Ashley</t>
  </si>
  <si>
    <t>Shields, Mary</t>
  </si>
  <si>
    <t>Smith, Paul</t>
  </si>
  <si>
    <t>Pierce, Trent</t>
  </si>
  <si>
    <t>Villanoeva, Randy</t>
  </si>
  <si>
    <t>Kelley, Manual</t>
  </si>
  <si>
    <t>Monroe, Lance</t>
  </si>
  <si>
    <t>Williams, Robin</t>
  </si>
  <si>
    <t>Rogers, Ernice</t>
  </si>
  <si>
    <t>Roper, Naomi</t>
  </si>
  <si>
    <t>Pierce, Patricia</t>
  </si>
  <si>
    <t>Madgula, Sridhar</t>
  </si>
  <si>
    <t>Bierman, Hayley</t>
  </si>
  <si>
    <t>Decker, Kathleen R.</t>
  </si>
  <si>
    <t>Jamal, Naznin</t>
  </si>
  <si>
    <t>Kerr, Robin</t>
  </si>
  <si>
    <t>Pinto, Miranda</t>
  </si>
  <si>
    <t>Le, Kenny</t>
  </si>
  <si>
    <t>Pruitt, Brooke</t>
  </si>
  <si>
    <t>Thrift, Karen</t>
  </si>
  <si>
    <t>Bransford Blair, Sara</t>
  </si>
  <si>
    <t>Buckner, Monica</t>
  </si>
  <si>
    <t>Jackson, Amelia</t>
  </si>
  <si>
    <t>Hilton, Tiffany</t>
  </si>
  <si>
    <t>Mcghee, Vera R</t>
  </si>
  <si>
    <t>Siebenmorgen, Drew</t>
  </si>
  <si>
    <t>Galloway, Raymond</t>
  </si>
  <si>
    <t>Reynolds, Callie</t>
  </si>
  <si>
    <t>Jones, Mary Shannon</t>
  </si>
  <si>
    <t>Lillico, Samantha N.</t>
  </si>
  <si>
    <t>Scrimshire, Rachel</t>
  </si>
  <si>
    <t>Hembree, Autumn</t>
  </si>
  <si>
    <t>Kelly, Rochelle</t>
  </si>
  <si>
    <t>Mardaga, Kayla</t>
  </si>
  <si>
    <t>Miranda, Catherine</t>
  </si>
  <si>
    <t>Partin, Justin</t>
  </si>
  <si>
    <t>Brooke,Scupp</t>
  </si>
  <si>
    <t>Garner, Alison</t>
  </si>
  <si>
    <t>Boone, Lauren E</t>
  </si>
  <si>
    <t>Destiney, Ellis</t>
  </si>
  <si>
    <t>Mar, Jamie</t>
  </si>
  <si>
    <t>Pejsa, Stacey</t>
  </si>
  <si>
    <t>Watkins, Melissa</t>
  </si>
  <si>
    <t>Adney, Kaylie</t>
  </si>
  <si>
    <t>Parke, Robert</t>
  </si>
  <si>
    <t>Wampler, Steve</t>
  </si>
  <si>
    <t>Cranfill, Lee</t>
  </si>
  <si>
    <t>Clark, Julie</t>
  </si>
  <si>
    <t>Gillespie, James</t>
  </si>
  <si>
    <t>Martin - Jackson, Anna</t>
  </si>
  <si>
    <t>Rekus, Patrick</t>
  </si>
  <si>
    <t>Morgan, Megan</t>
  </si>
  <si>
    <t>Warth, Dena</t>
  </si>
  <si>
    <t>Wilson, James</t>
  </si>
  <si>
    <t>Golden, Stephen</t>
  </si>
  <si>
    <t>Wright, Nathan</t>
  </si>
  <si>
    <t>Meyers Jackson, Audra</t>
  </si>
  <si>
    <t>Thompson, Lisa</t>
  </si>
  <si>
    <t>Morrison, Robin</t>
  </si>
  <si>
    <t>White, Heather</t>
  </si>
  <si>
    <t>Gribble, Emily</t>
  </si>
  <si>
    <t>Yee, Eric</t>
  </si>
  <si>
    <t>Pinkham, Kimberly</t>
  </si>
  <si>
    <t>Haroon, Faranhnaz</t>
  </si>
  <si>
    <t>Townsend, Monica E</t>
  </si>
  <si>
    <t>Behnke, Kathleen</t>
  </si>
  <si>
    <t>Harris, Ashley W.</t>
  </si>
  <si>
    <t>Wilansky, Jaquelyn</t>
  </si>
  <si>
    <t>Bruno, Christopher</t>
  </si>
  <si>
    <t>Gurley, Connie</t>
  </si>
  <si>
    <t>Prince, Lindsey</t>
  </si>
  <si>
    <t>Kitson, Michelle</t>
  </si>
  <si>
    <t>Sarah, Assem</t>
  </si>
  <si>
    <t>Hill, Carla</t>
  </si>
  <si>
    <t>Severson, Tyler</t>
  </si>
  <si>
    <t>Vinson, Shanda</t>
  </si>
  <si>
    <t>Massey, Adam</t>
  </si>
  <si>
    <t>Damron, Sara</t>
  </si>
  <si>
    <t>Sutterfield, Bobbi</t>
  </si>
  <si>
    <t>Gann, Michael</t>
  </si>
  <si>
    <t>Smedley, Dawn</t>
  </si>
  <si>
    <t>John, Ferguson</t>
  </si>
  <si>
    <t>Maddox, Ryan, P</t>
  </si>
  <si>
    <t>Hale, Dianna</t>
  </si>
  <si>
    <t>Walton, Martega</t>
  </si>
  <si>
    <t>Lee, Jacob C</t>
  </si>
  <si>
    <t>Vincent,Spinosa-Parker</t>
  </si>
  <si>
    <t>Hatfield, Keely</t>
  </si>
  <si>
    <t>Gray, Christopher</t>
  </si>
  <si>
    <t>Celsor, Meagan</t>
  </si>
  <si>
    <t>Lauren, Schiller</t>
  </si>
  <si>
    <t>Sopka, Melinda</t>
  </si>
  <si>
    <t>King, Destiny, S</t>
  </si>
  <si>
    <t>Martin, Kami, M</t>
  </si>
  <si>
    <t>Wijewardane, Priyantha</t>
  </si>
  <si>
    <t>Carter, Inge</t>
  </si>
  <si>
    <t>Beachy, Allen</t>
  </si>
  <si>
    <t>Beck, David</t>
  </si>
  <si>
    <t>Maglothin, Douglas</t>
  </si>
  <si>
    <t>Krob, Tracie</t>
  </si>
  <si>
    <t>Boles, Tonya</t>
  </si>
  <si>
    <t>Clark-Bean, Laura</t>
  </si>
  <si>
    <t>Dyer, Mark</t>
  </si>
  <si>
    <t>Veeramalla, Charanjit</t>
  </si>
  <si>
    <t>Pritchard, Lou</t>
  </si>
  <si>
    <t>Reed, Dana</t>
  </si>
  <si>
    <t>Mooney, James</t>
  </si>
  <si>
    <t>Curran, Kelly</t>
  </si>
  <si>
    <t>Martin, Lisa</t>
  </si>
  <si>
    <t>Cazano, Calixto</t>
  </si>
  <si>
    <t>Kerr, Tasha</t>
  </si>
  <si>
    <t>Yap, Joshua</t>
  </si>
  <si>
    <t>Temple, Dustin</t>
  </si>
  <si>
    <t>Thatcher, Heather</t>
  </si>
  <si>
    <t>Farley, Laura</t>
  </si>
  <si>
    <t>Mullins, Moats</t>
  </si>
  <si>
    <t>Marler, Sheila</t>
  </si>
  <si>
    <t>Walker, Danny</t>
  </si>
  <si>
    <t>Fancher, Rebecca</t>
  </si>
  <si>
    <t>Benson, Stuart</t>
  </si>
  <si>
    <t>Mitchell, Keel</t>
  </si>
  <si>
    <t>Finch, Adam</t>
  </si>
  <si>
    <t>Matlock, Alex</t>
  </si>
  <si>
    <t>Marc, Stanley</t>
  </si>
  <si>
    <t>Long, Amber</t>
  </si>
  <si>
    <t>Baxter, Genevieve</t>
  </si>
  <si>
    <t>Burgess, Jessica</t>
  </si>
  <si>
    <t>Wellman, Tammy</t>
  </si>
  <si>
    <t>Sexton, Karley</t>
  </si>
  <si>
    <t>Bates, John</t>
  </si>
  <si>
    <t>Tran, Tessa</t>
  </si>
  <si>
    <t>Birdno, Madison</t>
  </si>
  <si>
    <t>Brittany, Henry</t>
  </si>
  <si>
    <t>Widders, Bobie, J</t>
  </si>
  <si>
    <t>Qedan, Samar</t>
  </si>
  <si>
    <t>Ntui-Ayuk, Teclaire</t>
  </si>
  <si>
    <t>Phillips, Elizabeth Y</t>
  </si>
  <si>
    <t>Peters, Emily</t>
  </si>
  <si>
    <t>Harlee, Pennington</t>
  </si>
  <si>
    <t>Wood, Cypress</t>
  </si>
  <si>
    <t>Richard, Christy</t>
  </si>
  <si>
    <t>Leming, Katelyn, N</t>
  </si>
  <si>
    <t>Mayo, Allysa,</t>
  </si>
  <si>
    <t>Stanley, Robert</t>
  </si>
  <si>
    <t>Washington, Mitzi</t>
  </si>
  <si>
    <t>Wyrick, Scott</t>
  </si>
  <si>
    <t>Blalock, Misty</t>
  </si>
  <si>
    <t>Castellaw, Mark</t>
  </si>
  <si>
    <t>Sherwood, Chad</t>
  </si>
  <si>
    <t>Graves, Blane</t>
  </si>
  <si>
    <t>Mullins, Calvin</t>
  </si>
  <si>
    <t>Parks, Rhonda</t>
  </si>
  <si>
    <t>Stage, Patrick</t>
  </si>
  <si>
    <t>Balke, Susan</t>
  </si>
  <si>
    <t>Hawkins, Kristi</t>
  </si>
  <si>
    <t>Hannon, Martin</t>
  </si>
  <si>
    <t>Bechtol, Zachary</t>
  </si>
  <si>
    <t>Burchfield, Samuel</t>
  </si>
  <si>
    <t>Roda, Ferdinand T</t>
  </si>
  <si>
    <t>Cobb, Joel</t>
  </si>
  <si>
    <t>Sumedha, Nfn</t>
  </si>
  <si>
    <t>Casey, Catherine</t>
  </si>
  <si>
    <t>Vaughn, Mark</t>
  </si>
  <si>
    <t>Baig, Rubina</t>
  </si>
  <si>
    <t>Smith, Venetia Gail</t>
  </si>
  <si>
    <t>Powers, Lidwina</t>
  </si>
  <si>
    <t>Watkins, Anna</t>
  </si>
  <si>
    <t>Hanks, Merideth</t>
  </si>
  <si>
    <t>Chandler, Peggy</t>
  </si>
  <si>
    <t>Parker, Ian</t>
  </si>
  <si>
    <t>Smith, Sheena</t>
  </si>
  <si>
    <t>Jackson, Mary</t>
  </si>
  <si>
    <t>Christine, Vogel</t>
  </si>
  <si>
    <t>Alumbaugh, Melissa</t>
  </si>
  <si>
    <t>Pothuganti, Sahithi</t>
  </si>
  <si>
    <t>Keefer, Julie</t>
  </si>
  <si>
    <t>Augustine, Thomas,</t>
  </si>
  <si>
    <t>Shankle, Samantha</t>
  </si>
  <si>
    <t>Davis, Samantha</t>
  </si>
  <si>
    <t>Jarvis, Christopher</t>
  </si>
  <si>
    <t>Rachael, Goodwin</t>
  </si>
  <si>
    <t>Shaw, Danielle</t>
  </si>
  <si>
    <t>Grisham, Jacqualine</t>
  </si>
  <si>
    <t>Le, Kimberly</t>
  </si>
  <si>
    <t>Brawner, Martha</t>
  </si>
  <si>
    <t>Morgan, Tracy L</t>
  </si>
  <si>
    <t>Dill, Samantha</t>
  </si>
  <si>
    <t>Ringgold, Jennifer</t>
  </si>
  <si>
    <t>Jones, Jessica, K</t>
  </si>
  <si>
    <t>Jessie,Cecil</t>
  </si>
  <si>
    <t>Cacee, Raddle</t>
  </si>
  <si>
    <t>Shanica, Nembhard</t>
  </si>
  <si>
    <t>Dianna,Barnes</t>
  </si>
  <si>
    <t>Frizzell, Jarrett</t>
  </si>
  <si>
    <t>Freeland, Lindsey,</t>
  </si>
  <si>
    <t>Richards, Attrice, N</t>
  </si>
  <si>
    <t>Schroeder, Jennifer</t>
  </si>
  <si>
    <t>Ozua, Edwin</t>
  </si>
  <si>
    <t>Stell, Gerald</t>
  </si>
  <si>
    <t>Lewis, Allen</t>
  </si>
  <si>
    <t>Justus, Michael</t>
  </si>
  <si>
    <t>Fakhre, Fakhre</t>
  </si>
  <si>
    <t>Potts, Janelle</t>
  </si>
  <si>
    <t>David, Wendy</t>
  </si>
  <si>
    <t>Reep, Heath</t>
  </si>
  <si>
    <t>Finke, Carrie</t>
  </si>
  <si>
    <t>Simmons, Timothy</t>
  </si>
  <si>
    <t>Cagle, Roger</t>
  </si>
  <si>
    <t>Sellers, Nykkia</t>
  </si>
  <si>
    <t>Harris, Stacy</t>
  </si>
  <si>
    <t>Whitefield, Leslie</t>
  </si>
  <si>
    <t>Taylor, Kellie A</t>
  </si>
  <si>
    <t>Merrigan, Megan</t>
  </si>
  <si>
    <t>Bruce, Tara</t>
  </si>
  <si>
    <t>Goodnight, Gretchen</t>
  </si>
  <si>
    <t>Womble, Toni</t>
  </si>
  <si>
    <t>Johnson, Andrea</t>
  </si>
  <si>
    <t>Smith, Arnold</t>
  </si>
  <si>
    <t>Nadagoundla, Chitra</t>
  </si>
  <si>
    <t>Lipschitz, Riley</t>
  </si>
  <si>
    <t>Henry, Mary</t>
  </si>
  <si>
    <t>Sharp, Lindsey</t>
  </si>
  <si>
    <t>Arnold, Katherine A.</t>
  </si>
  <si>
    <t>Fanous, John, A</t>
  </si>
  <si>
    <t>Crisp, Jennifer</t>
  </si>
  <si>
    <t>Choate, Elisabeth</t>
  </si>
  <si>
    <t>Stewart, Kaitlen</t>
  </si>
  <si>
    <t>Whited, Kristy</t>
  </si>
  <si>
    <t>Zepponi, Timothy</t>
  </si>
  <si>
    <t>Emily, Askew</t>
  </si>
  <si>
    <t>Aubrey, Garland</t>
  </si>
  <si>
    <t>Knapp, Brooke</t>
  </si>
  <si>
    <t>Whatley, Meghann, R</t>
  </si>
  <si>
    <t>Reeves, Lauren</t>
  </si>
  <si>
    <t>Money, Brooke</t>
  </si>
  <si>
    <t>Brown, Heather</t>
  </si>
  <si>
    <t>Williams, Madeleine, C</t>
  </si>
  <si>
    <t>Ford, Kristi</t>
  </si>
  <si>
    <t>Bennett, Tiffany S</t>
  </si>
  <si>
    <t>Beth K Holloway</t>
  </si>
  <si>
    <t>Henderson, Khacerrian</t>
  </si>
  <si>
    <t>Crews, Lauren,</t>
  </si>
  <si>
    <t>Franco, Miranda</t>
  </si>
  <si>
    <t>Bagwell, Charlena</t>
  </si>
  <si>
    <t>Green, Casey</t>
  </si>
  <si>
    <t>Maechler, Daniel, B</t>
  </si>
  <si>
    <t>Jones, Emily, G</t>
  </si>
  <si>
    <t>Wooten, Edward</t>
  </si>
  <si>
    <t>Carr, Jeffery</t>
  </si>
  <si>
    <t>Yowell, Barbara</t>
  </si>
  <si>
    <t>Valentin Stone, Paul</t>
  </si>
  <si>
    <t>Waddell, David</t>
  </si>
  <si>
    <t>Collins, Rita</t>
  </si>
  <si>
    <t>Purvis, Anita</t>
  </si>
  <si>
    <t>Jackson, Kevin</t>
  </si>
  <si>
    <t>Campbell, Geraldine</t>
  </si>
  <si>
    <t>Hodges, Michael</t>
  </si>
  <si>
    <t>Price, Albert</t>
  </si>
  <si>
    <t>Shepherd, Samantha</t>
  </si>
  <si>
    <t>Gambill, Maribeth</t>
  </si>
  <si>
    <t>Ward, Suzanne</t>
  </si>
  <si>
    <t>Hailey, Patricia</t>
  </si>
  <si>
    <t>James, Christina</t>
  </si>
  <si>
    <t>Pauls, Rhonda</t>
  </si>
  <si>
    <t>Chandler, Cynthia</t>
  </si>
  <si>
    <t>Te, Rolyn</t>
  </si>
  <si>
    <t>Nesbitt, Demi</t>
  </si>
  <si>
    <t>Montellano, Sherrie, K</t>
  </si>
  <si>
    <t>Spears, William</t>
  </si>
  <si>
    <t>Carter, Regenia</t>
  </si>
  <si>
    <t>Fletcher, Brandi</t>
  </si>
  <si>
    <t>Evins, Fonda</t>
  </si>
  <si>
    <t>Moix, Megan</t>
  </si>
  <si>
    <t>Hamilton, Erin</t>
  </si>
  <si>
    <t>Donaghue, Shawna</t>
  </si>
  <si>
    <t>Head, Michelle</t>
  </si>
  <si>
    <t>Ingram Smith, Kayla</t>
  </si>
  <si>
    <t>Susser, Courtney</t>
  </si>
  <si>
    <t>Hugo,Lai</t>
  </si>
  <si>
    <t>Bourne, Lindsey</t>
  </si>
  <si>
    <t>Brawner, Elizabeth, A</t>
  </si>
  <si>
    <t>Ennis, Heather</t>
  </si>
  <si>
    <t>Brock, Kris</t>
  </si>
  <si>
    <t>Sziszak, Haley</t>
  </si>
  <si>
    <t>Ali, Namrah,</t>
  </si>
  <si>
    <t>Rayburn, Brian</t>
  </si>
  <si>
    <t>Dempsey, Sarah P.</t>
  </si>
  <si>
    <t>Wendt, Ryan, M</t>
  </si>
  <si>
    <t>Black, Meredith</t>
  </si>
  <si>
    <t>Avery</t>
  </si>
  <si>
    <t>Sabrina,Daniel</t>
  </si>
  <si>
    <t>Constance, Gober</t>
  </si>
  <si>
    <t>Clare, Tilley</t>
  </si>
  <si>
    <t>Courtney,Zepponi</t>
  </si>
  <si>
    <t>Murrell, Lenise</t>
  </si>
  <si>
    <t>Katelyn,Liles</t>
  </si>
  <si>
    <t>Cassidy, Gavin</t>
  </si>
  <si>
    <t>Samarin, Michelle</t>
  </si>
  <si>
    <t>Borders, Brandi, A</t>
  </si>
  <si>
    <t>Taylor, Sites</t>
  </si>
  <si>
    <t>Dunaway, Allison L</t>
  </si>
  <si>
    <t>Harris, Aaron, M</t>
  </si>
  <si>
    <t>Neal, Michele</t>
  </si>
  <si>
    <t>Sheridan, James</t>
  </si>
  <si>
    <t>Lawrence, Bill</t>
  </si>
  <si>
    <t>Rankin, Joshua</t>
  </si>
  <si>
    <t>Heredia, Manuel</t>
  </si>
  <si>
    <t>Brooks, Homer</t>
  </si>
  <si>
    <t>Bravo, Eric</t>
  </si>
  <si>
    <t>Velez, Debra</t>
  </si>
  <si>
    <t>Ang-Poland, Michelle</t>
  </si>
  <si>
    <t>Carlile, Amanda</t>
  </si>
  <si>
    <t>Bhattarai, Junu</t>
  </si>
  <si>
    <t>Hites, Beth</t>
  </si>
  <si>
    <t>Ayers, Sheila</t>
  </si>
  <si>
    <t>Ashcraft, Rachel</t>
  </si>
  <si>
    <t>Tackett, Joan</t>
  </si>
  <si>
    <t>Dutchover, Mary</t>
  </si>
  <si>
    <t>Rodriguez, Steven</t>
  </si>
  <si>
    <t>Mathews, Lauren</t>
  </si>
  <si>
    <t>Harrison, Chelsey</t>
  </si>
  <si>
    <t>Kent, Melody</t>
  </si>
  <si>
    <t>Brister, Matthew</t>
  </si>
  <si>
    <t>Harris, Alex</t>
  </si>
  <si>
    <t>Elam, Morgan</t>
  </si>
  <si>
    <t>Jumper, Lindy</t>
  </si>
  <si>
    <t>Brown, Anna</t>
  </si>
  <si>
    <t>Suarez, Elizabeth A</t>
  </si>
  <si>
    <t>Riddle, Yuliya</t>
  </si>
  <si>
    <t>Mevissen, Rachel, A</t>
  </si>
  <si>
    <t>Chastain, Emily E</t>
  </si>
  <si>
    <t>Ricker, Danny</t>
  </si>
  <si>
    <t>Mcmanigal, Heather, D</t>
  </si>
  <si>
    <t>Sharif, Fnu, Sumaiya</t>
  </si>
  <si>
    <t>Bowen, Paige</t>
  </si>
  <si>
    <t>Kendall, Tara</t>
  </si>
  <si>
    <t>Wilkerson, Morgan</t>
  </si>
  <si>
    <t>Mandy, Koekemoer</t>
  </si>
  <si>
    <t>Grant, Grayson</t>
  </si>
  <si>
    <t>Taylor R Sierocuk</t>
  </si>
  <si>
    <t>Rodneysha L Martin</t>
  </si>
  <si>
    <t>Destiny, Frazier</t>
  </si>
  <si>
    <t>Nichols, Alena, N</t>
  </si>
  <si>
    <t>Myers, Lana</t>
  </si>
  <si>
    <t>Alford-West, Sharon</t>
  </si>
  <si>
    <t>Sargent, Paula</t>
  </si>
  <si>
    <t>Tompkins, George</t>
  </si>
  <si>
    <t>Kite, Cheryl</t>
  </si>
  <si>
    <t>Gray, Irol</t>
  </si>
  <si>
    <t>Henderson, Kristi</t>
  </si>
  <si>
    <t>Watson-Ficken, Leanne</t>
  </si>
  <si>
    <t>Corbett, Brandon</t>
  </si>
  <si>
    <t>Sweatt, Barbara</t>
  </si>
  <si>
    <t>Bozeman, Jimmy</t>
  </si>
  <si>
    <t>Andrews, Benjamin</t>
  </si>
  <si>
    <t>Nix, Carla</t>
  </si>
  <si>
    <t>Mulrooney, Shelley</t>
  </si>
  <si>
    <t>Refshauge, Amy</t>
  </si>
  <si>
    <t>Harp, Jennifer</t>
  </si>
  <si>
    <t>Bryant, Blake</t>
  </si>
  <si>
    <t>Davis, Lynn</t>
  </si>
  <si>
    <t>Kazery, Mindy</t>
  </si>
  <si>
    <t>Jason, Green</t>
  </si>
  <si>
    <t>Price, Shawntel</t>
  </si>
  <si>
    <t>Loftis, Ashley</t>
  </si>
  <si>
    <t>Shackelford, Barbara</t>
  </si>
  <si>
    <t>Whatley, Deonna</t>
  </si>
  <si>
    <t>Michelini, Paulo Roberto</t>
  </si>
  <si>
    <t>Walters, Gerrie</t>
  </si>
  <si>
    <t>Mcconathy, Tiffany</t>
  </si>
  <si>
    <t>Schilling, Jonathan</t>
  </si>
  <si>
    <t>Thomas, Kristie</t>
  </si>
  <si>
    <t>Nail, Sarah</t>
  </si>
  <si>
    <t>Baugh, Hannah</t>
  </si>
  <si>
    <t>Prince, Felicia</t>
  </si>
  <si>
    <t>Liles, Jennifer</t>
  </si>
  <si>
    <t>Reed, Ashley</t>
  </si>
  <si>
    <t>Woods, Forrest,</t>
  </si>
  <si>
    <t>Hockenjos, Oliv</t>
  </si>
  <si>
    <t>Signify, Nurse</t>
  </si>
  <si>
    <t>Davis, Franklin</t>
  </si>
  <si>
    <t>Williams, Michael D.</t>
  </si>
  <si>
    <t>Royal, Pamela</t>
  </si>
  <si>
    <t>Stallings, Laura</t>
  </si>
  <si>
    <t>Daniel, Jessica L</t>
  </si>
  <si>
    <t>Geltmacher, Sarah R</t>
  </si>
  <si>
    <t>Cobb, Natalie</t>
  </si>
  <si>
    <t>Carissa, Henbest</t>
  </si>
  <si>
    <t>Bradshaw, Lakynn</t>
  </si>
  <si>
    <t>Elizabeth, Barnes</t>
  </si>
  <si>
    <t>Dycus, Taylor</t>
  </si>
  <si>
    <t>Caraway, Erica</t>
  </si>
  <si>
    <t>Salas, Miguel,</t>
  </si>
  <si>
    <t>Massey, Laura</t>
  </si>
  <si>
    <t>Thomas, Jeffory</t>
  </si>
  <si>
    <t>Felton, Daniel</t>
  </si>
  <si>
    <t>Alexander, Christine</t>
  </si>
  <si>
    <t>Melin, Richard</t>
  </si>
  <si>
    <t>Norris, Dale Wayne</t>
  </si>
  <si>
    <t>Guerrant, Richard</t>
  </si>
  <si>
    <t>Navarro, Jenny</t>
  </si>
  <si>
    <t>Alam, Mansoor</t>
  </si>
  <si>
    <t>Read, Andrea</t>
  </si>
  <si>
    <t>Childs, Jacquelene</t>
  </si>
  <si>
    <t>Foster, Angela</t>
  </si>
  <si>
    <t>Mccollum, Alexis</t>
  </si>
  <si>
    <t>Turner, Jaime</t>
  </si>
  <si>
    <t>Payne, Kassandra</t>
  </si>
  <si>
    <t>Quinn, Jourdan</t>
  </si>
  <si>
    <t>Cain, Abigail</t>
  </si>
  <si>
    <t>Williams, Marlo</t>
  </si>
  <si>
    <t>Alexandra,Warner</t>
  </si>
  <si>
    <t>Howard, Sandra</t>
  </si>
  <si>
    <t>Shealy, Kristen</t>
  </si>
  <si>
    <t>Wozny, Miriam</t>
  </si>
  <si>
    <t>Anderson, Todd</t>
  </si>
  <si>
    <t>Daniels, Kimberly</t>
  </si>
  <si>
    <t>Hiegel, Anne</t>
  </si>
  <si>
    <t>Pogue, Shannon</t>
  </si>
  <si>
    <t>Lewis, Kristy</t>
  </si>
  <si>
    <t>Foner, Melissa B.</t>
  </si>
  <si>
    <t>Colpoys, Caitlynn</t>
  </si>
  <si>
    <t>Hunter, William</t>
  </si>
  <si>
    <t>Couture, Jaime</t>
  </si>
  <si>
    <t>Sean, Koch</t>
  </si>
  <si>
    <t>Conner, Spencer</t>
  </si>
  <si>
    <t>Hebert, Joe</t>
  </si>
  <si>
    <t>Reid, Nicole</t>
  </si>
  <si>
    <t>Deckelman, Lauren</t>
  </si>
  <si>
    <t>Brown, Lachre</t>
  </si>
  <si>
    <t>Coleman, Smith</t>
  </si>
  <si>
    <t>Panja, Vasundhara,</t>
  </si>
  <si>
    <t>Newberry, Page</t>
  </si>
  <si>
    <t>Thomas, Lauren</t>
  </si>
  <si>
    <t>Abernathy, Heather</t>
  </si>
  <si>
    <t>Moody, Amber</t>
  </si>
  <si>
    <t>Lueth, Laurel, A</t>
  </si>
  <si>
    <t>Caitlin B Carter</t>
  </si>
  <si>
    <t>Russell, Tierney</t>
  </si>
  <si>
    <t>Middleton, Samuel</t>
  </si>
  <si>
    <t>Davis, Jessica, D</t>
  </si>
  <si>
    <t>Jordan, Swayze</t>
  </si>
  <si>
    <t>Bounds, Abigail</t>
  </si>
  <si>
    <t>Faro, Ted</t>
  </si>
  <si>
    <t>Okelley, Edward</t>
  </si>
  <si>
    <t>Schonefeld, Pamela</t>
  </si>
  <si>
    <t>Motley, Todd</t>
  </si>
  <si>
    <t>Nix, Matthew</t>
  </si>
  <si>
    <t>Mayfield, Jeffrey</t>
  </si>
  <si>
    <t>Tankersley, Shauna</t>
  </si>
  <si>
    <t>Clark, Roberta</t>
  </si>
  <si>
    <t>Heflin, Andrea</t>
  </si>
  <si>
    <t>Mcdonald, Benjamin</t>
  </si>
  <si>
    <t>Ashcraft, Danielle</t>
  </si>
  <si>
    <t>Gramling, Melanie</t>
  </si>
  <si>
    <t>Marcussen, Crystal</t>
  </si>
  <si>
    <t>Davis, Jama</t>
  </si>
  <si>
    <t>Brandon, Matthew</t>
  </si>
  <si>
    <t>Buckland, Penny</t>
  </si>
  <si>
    <t>Barker Brown, Cathy</t>
  </si>
  <si>
    <t>Kellner, Noma</t>
  </si>
  <si>
    <t>Monteith, Christina</t>
  </si>
  <si>
    <t>Hanna, Jenny</t>
  </si>
  <si>
    <t>Davis, Olivia</t>
  </si>
  <si>
    <t>Hodge, Jillian</t>
  </si>
  <si>
    <t>White, Joyce</t>
  </si>
  <si>
    <t>Hopkinson, Christopher</t>
  </si>
  <si>
    <t>Wahl, Kimberly</t>
  </si>
  <si>
    <t>Barrett, Charlotte</t>
  </si>
  <si>
    <t>Langley, Kirstin</t>
  </si>
  <si>
    <t>Barnes, Vanessa</t>
  </si>
  <si>
    <t>Corkern, Chantell</t>
  </si>
  <si>
    <t>Noel, Cassie</t>
  </si>
  <si>
    <t>Hamblin, Sama</t>
  </si>
  <si>
    <t>Sinks, Jason</t>
  </si>
  <si>
    <t>Snider, Macie</t>
  </si>
  <si>
    <t>Shelton, Ashley Dawn</t>
  </si>
  <si>
    <t>William, Ross</t>
  </si>
  <si>
    <t>Martin, Reece, C</t>
  </si>
  <si>
    <t>Arevalo, Ana</t>
  </si>
  <si>
    <t>Crutchfield, Makala,</t>
  </si>
  <si>
    <t>Malone, Patrick</t>
  </si>
  <si>
    <t>Seymour, Clint</t>
  </si>
  <si>
    <t>Matthews, Joshua</t>
  </si>
  <si>
    <t>Powell, John</t>
  </si>
  <si>
    <t>Overby, Steven</t>
  </si>
  <si>
    <t>Caldwell, Julie T</t>
  </si>
  <si>
    <t>Hodges, Jerry</t>
  </si>
  <si>
    <t>Subramanium, Anandaraj</t>
  </si>
  <si>
    <t>Shotts, Joseph</t>
  </si>
  <si>
    <t>Covey, Janet</t>
  </si>
  <si>
    <t>Ledbetter, Bryan</t>
  </si>
  <si>
    <t>Woods, Kathy</t>
  </si>
  <si>
    <t>Ward, Whitney</t>
  </si>
  <si>
    <t>Sanchez, Rebekah</t>
  </si>
  <si>
    <t>Al Dadah, Halah</t>
  </si>
  <si>
    <t>Thompson, Daniel</t>
  </si>
  <si>
    <t>Pike, Daniel</t>
  </si>
  <si>
    <t>Alexander, Harriet</t>
  </si>
  <si>
    <t>Dever, Jessica</t>
  </si>
  <si>
    <t>Mcdonald, Lauren</t>
  </si>
  <si>
    <t>Harris, Elizabeth</t>
  </si>
  <si>
    <t>Wilson, Jesalyn</t>
  </si>
  <si>
    <t>Jordan, Lee</t>
  </si>
  <si>
    <t>Mccombs, David</t>
  </si>
  <si>
    <t>Vazquez, Kristen</t>
  </si>
  <si>
    <t>Beck, Jennifer</t>
  </si>
  <si>
    <t>Creameans, Laura</t>
  </si>
  <si>
    <t>Hunt, Heather</t>
  </si>
  <si>
    <t>Johnson, Lacy</t>
  </si>
  <si>
    <t>Victor, Gabrielle</t>
  </si>
  <si>
    <t>Lee, Tessa</t>
  </si>
  <si>
    <t>Malladi, Sai Aruna Sri</t>
  </si>
  <si>
    <t>Harrison, Christopher</t>
  </si>
  <si>
    <t>Morgan, Sandy</t>
  </si>
  <si>
    <t>Taylor, Michelle</t>
  </si>
  <si>
    <t>Tollett, Sunni</t>
  </si>
  <si>
    <t>Griffin, Rachel D.</t>
  </si>
  <si>
    <t>Mullen, Aaron</t>
  </si>
  <si>
    <t>Ferguson, Randi</t>
  </si>
  <si>
    <t>William G Curry</t>
  </si>
  <si>
    <t>Adams, Jamie E.</t>
  </si>
  <si>
    <t>Jalesia,Austin</t>
  </si>
  <si>
    <t>Amber,Tanner</t>
  </si>
  <si>
    <t>Thitoff, Jill</t>
  </si>
  <si>
    <t>Brooks, Rachael</t>
  </si>
  <si>
    <t>Shelby, Valerie</t>
  </si>
  <si>
    <t>Williams, Laura,</t>
  </si>
  <si>
    <t>Ensor, James</t>
  </si>
  <si>
    <t>Barnett, Darrell</t>
  </si>
  <si>
    <t>Pomeroy, Dallas</t>
  </si>
  <si>
    <t>Sims, Jan</t>
  </si>
  <si>
    <t>Sumlin, Marie</t>
  </si>
  <si>
    <t>Sullivan, Arlene</t>
  </si>
  <si>
    <t>Berney, Seth</t>
  </si>
  <si>
    <t>Willis, William</t>
  </si>
  <si>
    <t>Goodfred, Jennifer</t>
  </si>
  <si>
    <t>Caststeel, Deana</t>
  </si>
  <si>
    <t>Ratcliff, David</t>
  </si>
  <si>
    <t>Milligan, Lynda</t>
  </si>
  <si>
    <t>Ward, Tamra</t>
  </si>
  <si>
    <t>Beard, Karla</t>
  </si>
  <si>
    <t>Dement, Tonny</t>
  </si>
  <si>
    <t>Griffin, Monica</t>
  </si>
  <si>
    <t>Statz, Jessica</t>
  </si>
  <si>
    <t>Wyman, Sheila</t>
  </si>
  <si>
    <t>Paradkar, Rupali</t>
  </si>
  <si>
    <t>Fava, Kimberly</t>
  </si>
  <si>
    <t>Farris, Constance</t>
  </si>
  <si>
    <t>Yollo, Agnes</t>
  </si>
  <si>
    <t>Barbee, Michelle</t>
  </si>
  <si>
    <t>Max, Anita M.</t>
  </si>
  <si>
    <t>Emery, Starla</t>
  </si>
  <si>
    <t>Green, Ebonye</t>
  </si>
  <si>
    <t>Nguyen, Kimberly</t>
  </si>
  <si>
    <t>Schweke, Danielle</t>
  </si>
  <si>
    <t>Ottis, Paul</t>
  </si>
  <si>
    <t>Cox, Kirsten</t>
  </si>
  <si>
    <t>Krause, Kelly</t>
  </si>
  <si>
    <t>French, Valerie</t>
  </si>
  <si>
    <t>Woods, Kristen</t>
  </si>
  <si>
    <t>Laliberte, Virginia</t>
  </si>
  <si>
    <t>Daniels, Tracy, D</t>
  </si>
  <si>
    <t>Banks, Adrian</t>
  </si>
  <si>
    <t>Hamilton, Angela</t>
  </si>
  <si>
    <t>Russette, Ronald</t>
  </si>
  <si>
    <t>Rayma, Bachu</t>
  </si>
  <si>
    <t>Swinger, Martina</t>
  </si>
  <si>
    <t>Smith, Kelli</t>
  </si>
  <si>
    <t>Nazer, Abader, Sherry</t>
  </si>
  <si>
    <t>Williams, Einnod,</t>
  </si>
  <si>
    <t>Knox, Alison</t>
  </si>
  <si>
    <t>Moore, Maranda</t>
  </si>
  <si>
    <t>Gasaway, Shawn</t>
  </si>
  <si>
    <t>Wood, Sarah</t>
  </si>
  <si>
    <t>Burns, Lance</t>
  </si>
  <si>
    <t>Rochelin-Chery, Martine</t>
  </si>
  <si>
    <t>Sutherland, Caitlin</t>
  </si>
  <si>
    <t>Anna, Daniel</t>
  </si>
  <si>
    <t>Graddy, Jessica</t>
  </si>
  <si>
    <t>Wohlford, Elizabeth, A</t>
  </si>
  <si>
    <t>Mcneal, Maegan,</t>
  </si>
  <si>
    <t>Ruggles, Caroline, E</t>
  </si>
  <si>
    <t>Marx, Lihsien, S</t>
  </si>
  <si>
    <t>Winter, Madison, T</t>
  </si>
  <si>
    <t>Bonin, Thomas</t>
  </si>
  <si>
    <t>Skelley, Christopher</t>
  </si>
  <si>
    <t>Hill, Harold</t>
  </si>
  <si>
    <t>Mays, Owita</t>
  </si>
  <si>
    <t>Hartman, Antoinette</t>
  </si>
  <si>
    <t>Bibb, Michael</t>
  </si>
  <si>
    <t>Dunaway, Joseph</t>
  </si>
  <si>
    <t>Jenkins, Gregory</t>
  </si>
  <si>
    <t>Rhodes, Kylie</t>
  </si>
  <si>
    <t>Sauer, Kenneth</t>
  </si>
  <si>
    <t>Fakouri, Joseph</t>
  </si>
  <si>
    <t>Pennington, Melissa P.</t>
  </si>
  <si>
    <t>Bridges, Leonard</t>
  </si>
  <si>
    <t>Fauquier, Lori</t>
  </si>
  <si>
    <t>Sherar, Karyn</t>
  </si>
  <si>
    <t>Falck, Amy</t>
  </si>
  <si>
    <t>Braziel, Diana</t>
  </si>
  <si>
    <t>Malik, Mubasher</t>
  </si>
  <si>
    <t>Wallace, Teresa M.</t>
  </si>
  <si>
    <t>Mcguinness, Joseph</t>
  </si>
  <si>
    <t>Pinkerton, Karen</t>
  </si>
  <si>
    <t>Puckett, Sally</t>
  </si>
  <si>
    <t>Ponder, Jacob</t>
  </si>
  <si>
    <t>Piotter, Daniel</t>
  </si>
  <si>
    <t>Poole, Callie</t>
  </si>
  <si>
    <t>Stratton, Heather</t>
  </si>
  <si>
    <t>Blair, Trisha</t>
  </si>
  <si>
    <t>Williams, Elizabeth J</t>
  </si>
  <si>
    <t>Day, Alana</t>
  </si>
  <si>
    <t>Rye, Rande</t>
  </si>
  <si>
    <t>Lomo, Dorcas</t>
  </si>
  <si>
    <t>Fitch, Theresa</t>
  </si>
  <si>
    <t>Langston, Robert</t>
  </si>
  <si>
    <t>Tripod, Shelby, A</t>
  </si>
  <si>
    <t>Joshua M Lindsey</t>
  </si>
  <si>
    <t>Hadaway, Laren</t>
  </si>
  <si>
    <t>Rivera, Pavon, Mavi</t>
  </si>
  <si>
    <t>Taylor, Lettie</t>
  </si>
  <si>
    <t>Khalid, Tehreem,</t>
  </si>
  <si>
    <t>Shana,Hessling</t>
  </si>
  <si>
    <t>Allie, Hunt</t>
  </si>
  <si>
    <t>Osuna, Kara</t>
  </si>
  <si>
    <t>Stephanie, Hester</t>
  </si>
  <si>
    <t>Hiegel, Kevin</t>
  </si>
  <si>
    <t>Purnell, Denise</t>
  </si>
  <si>
    <t>Holland, Jay</t>
  </si>
  <si>
    <t>Hulett, Melinda</t>
  </si>
  <si>
    <t>Drapcho-Foti, Connie</t>
  </si>
  <si>
    <t>Hord, Marion</t>
  </si>
  <si>
    <t>Cleveland, Elton</t>
  </si>
  <si>
    <t>Barker, Lisa</t>
  </si>
  <si>
    <t>Cathey, James</t>
  </si>
  <si>
    <t>Weaver, Michael</t>
  </si>
  <si>
    <t>Smith, Ivan</t>
  </si>
  <si>
    <t>Gonugunta, Neelima,</t>
  </si>
  <si>
    <t>Ruch, Nancy L.</t>
  </si>
  <si>
    <t>Jill, Richardson</t>
  </si>
  <si>
    <t>Higgins, Patrick</t>
  </si>
  <si>
    <t>Rao, Rajesh G.</t>
  </si>
  <si>
    <t>May, Felicia</t>
  </si>
  <si>
    <t>Delaney, Nicole</t>
  </si>
  <si>
    <t>Gibbons, Amanda</t>
  </si>
  <si>
    <t>Rudolph, Abby</t>
  </si>
  <si>
    <t>Frisby, Brittney</t>
  </si>
  <si>
    <t>Sochanska, Ada</t>
  </si>
  <si>
    <t>Wilson, Janice</t>
  </si>
  <si>
    <t>Obraztsova, Natalia</t>
  </si>
  <si>
    <t>Strickland, Dustin</t>
  </si>
  <si>
    <t>Wilkerson, Anna</t>
  </si>
  <si>
    <t>Poston, Nicole</t>
  </si>
  <si>
    <t>Weaver, Dennis</t>
  </si>
  <si>
    <t>Sandridge, Courtney</t>
  </si>
  <si>
    <t>Sanders, Joseph, Y</t>
  </si>
  <si>
    <t>Sutton, Kayla</t>
  </si>
  <si>
    <t>Smith, Adri</t>
  </si>
  <si>
    <t>Clement, Alison</t>
  </si>
  <si>
    <t>Johnson, Cynthia</t>
  </si>
  <si>
    <t>Morgan, Vincent</t>
  </si>
  <si>
    <t>Rutherford, Hailee</t>
  </si>
  <si>
    <t>Noid, Nickey N.</t>
  </si>
  <si>
    <t>Ray, Amber, E</t>
  </si>
  <si>
    <t>Miller, Julie</t>
  </si>
  <si>
    <t>Chelsea,Newey</t>
  </si>
  <si>
    <t>Kara, Williams</t>
  </si>
  <si>
    <t>Easton D Massey</t>
  </si>
  <si>
    <t>Murchison, Lauren, E</t>
  </si>
  <si>
    <t>Miles, Deborah</t>
  </si>
  <si>
    <t>Hale, Robert</t>
  </si>
  <si>
    <t>Joseph, William</t>
  </si>
  <si>
    <t>Woodall, Charles</t>
  </si>
  <si>
    <t>Johnston, Kenneth</t>
  </si>
  <si>
    <t>Williams, Nancy</t>
  </si>
  <si>
    <t>Berke, Tammy</t>
  </si>
  <si>
    <t>Starr, James, E</t>
  </si>
  <si>
    <t>Agapos, Emmanuel</t>
  </si>
  <si>
    <t>Cunningham, J</t>
  </si>
  <si>
    <t>Wilkerson, Robert</t>
  </si>
  <si>
    <t>Reynolds, Deborah</t>
  </si>
  <si>
    <t>Stephens, Paige</t>
  </si>
  <si>
    <t>Schalchlin, Curtis</t>
  </si>
  <si>
    <t>Yans, Sarah</t>
  </si>
  <si>
    <t>Files, Robert</t>
  </si>
  <si>
    <t>Churchill, Jeanne</t>
  </si>
  <si>
    <t>Spellmann, Alisa</t>
  </si>
  <si>
    <t>Walters, Jaco</t>
  </si>
  <si>
    <t>Cooper, Katelin</t>
  </si>
  <si>
    <t>Holloway, Megan</t>
  </si>
  <si>
    <t>Copeland, Jeffery</t>
  </si>
  <si>
    <t>Wheeler, Elizabeth</t>
  </si>
  <si>
    <t>Schriner, Elizabeth</t>
  </si>
  <si>
    <t>Stewart, Angela</t>
  </si>
  <si>
    <t>Pardun, Joanne</t>
  </si>
  <si>
    <t>Shepard, Jocelyn</t>
  </si>
  <si>
    <t>Haertling, Eric</t>
  </si>
  <si>
    <t>Hanna, Kerry</t>
  </si>
  <si>
    <t>Mancuso, Stephen B.</t>
  </si>
  <si>
    <t>Graham, Stacy</t>
  </si>
  <si>
    <t>Siefke, Teresa,</t>
  </si>
  <si>
    <t>Gragg, Allison</t>
  </si>
  <si>
    <t>Degolyer, Pamela</t>
  </si>
  <si>
    <t>Cazano, Karina</t>
  </si>
  <si>
    <t>Dollar, Kayla</t>
  </si>
  <si>
    <t>Shirley, Morgan</t>
  </si>
  <si>
    <t>Luttrell, Kaylee</t>
  </si>
  <si>
    <t>Cutler, Alexandra</t>
  </si>
  <si>
    <t>Alyssa, Stephens</t>
  </si>
  <si>
    <t>Chandler, Rachael</t>
  </si>
  <si>
    <t>Reed, Tammy</t>
  </si>
  <si>
    <t>Johnson, Windell</t>
  </si>
  <si>
    <t>Teague, Sarah</t>
  </si>
  <si>
    <t>Loveland, Holly</t>
  </si>
  <si>
    <t>Brown, Joseph</t>
  </si>
  <si>
    <t>Zubaidah N Al Hayali</t>
  </si>
  <si>
    <t>Ashley,Gantner</t>
  </si>
  <si>
    <t>Mallory, Ervin</t>
  </si>
  <si>
    <t>Stice, Malson</t>
  </si>
  <si>
    <t>Hindman, Alisia</t>
  </si>
  <si>
    <t>Holly,Burns</t>
  </si>
  <si>
    <t>Harder, Meaghan</t>
  </si>
  <si>
    <t>Lefler, Mark</t>
  </si>
  <si>
    <t>Andrews Pirtle, Valencia</t>
  </si>
  <si>
    <t>Allen, B.</t>
  </si>
  <si>
    <t>Mcalister Mangione, Robin</t>
  </si>
  <si>
    <t>Wright, Larry</t>
  </si>
  <si>
    <t>Faddis, Lance</t>
  </si>
  <si>
    <t>Thornsberry, Jonathan</t>
  </si>
  <si>
    <t>Spencer, Clay</t>
  </si>
  <si>
    <t>Utter, Brandy</t>
  </si>
  <si>
    <t>Reaves, Connie</t>
  </si>
  <si>
    <t>Parks, Yolanda</t>
  </si>
  <si>
    <t>Wilkinson, Joshua</t>
  </si>
  <si>
    <t>Appalaneni, Sir Rama</t>
  </si>
  <si>
    <t>Yancey, James</t>
  </si>
  <si>
    <t>Mounce, Pamela</t>
  </si>
  <si>
    <t>Singh, Aaron, I</t>
  </si>
  <si>
    <t>Hunt, Treyce</t>
  </si>
  <si>
    <t>Carlile, Erin</t>
  </si>
  <si>
    <t>Smith, Heather, R</t>
  </si>
  <si>
    <t>Hughes, Dennis</t>
  </si>
  <si>
    <t>Koehler, Seth</t>
  </si>
  <si>
    <t>Mauro, Amendola</t>
  </si>
  <si>
    <t>Hines, Kimberly</t>
  </si>
  <si>
    <t>Mccalla, Amanda</t>
  </si>
  <si>
    <t>Caton, Nicole</t>
  </si>
  <si>
    <t>Danielle,Thomas</t>
  </si>
  <si>
    <t>Morris, Brett</t>
  </si>
  <si>
    <t>Oshields, Rebecca</t>
  </si>
  <si>
    <t>Cullen, Victoria</t>
  </si>
  <si>
    <t>Harris, Courtney</t>
  </si>
  <si>
    <t>Evans, Ashley</t>
  </si>
  <si>
    <t>Milton, Simone</t>
  </si>
  <si>
    <t>Hayes, Melissa</t>
  </si>
  <si>
    <t>Morris, Madison, B</t>
  </si>
  <si>
    <t>Andrews, Lizabeth</t>
  </si>
  <si>
    <t>Page, Michael, G</t>
  </si>
  <si>
    <t>Dunn, Kristin</t>
  </si>
  <si>
    <t>Conder, Laurell</t>
  </si>
  <si>
    <t>Bentley, Samuel</t>
  </si>
  <si>
    <t>Brandon, Thornton</t>
  </si>
  <si>
    <t>Riels, Madelyn</t>
  </si>
  <si>
    <t>Mattone, Jennifer</t>
  </si>
  <si>
    <t>Hannum, Laura</t>
  </si>
  <si>
    <t>Paul, Ramirez</t>
  </si>
  <si>
    <t>Overly, Christina</t>
  </si>
  <si>
    <t>Deaton, Courtney</t>
  </si>
  <si>
    <t>Chitsey, Amanda</t>
  </si>
  <si>
    <t>Dulowski, Wojciech</t>
  </si>
  <si>
    <t>Potter, Troy</t>
  </si>
  <si>
    <t>Vallandigham, John</t>
  </si>
  <si>
    <t>Dang, Bao</t>
  </si>
  <si>
    <t>Tooker, Debra</t>
  </si>
  <si>
    <t>Sproles, Amy</t>
  </si>
  <si>
    <t>Ly, Phuong</t>
  </si>
  <si>
    <t>Hesington, Brady</t>
  </si>
  <si>
    <t>Ferguson, Diane A.</t>
  </si>
  <si>
    <t>Wells, Shari</t>
  </si>
  <si>
    <t>Robinson, Lloyd</t>
  </si>
  <si>
    <t>Aquino, Adelo</t>
  </si>
  <si>
    <t>Khalfe, Wajiuddin</t>
  </si>
  <si>
    <t>Fish, Alyson</t>
  </si>
  <si>
    <t>Soultanova, Izoumroud</t>
  </si>
  <si>
    <t>Shekhawat, Nawal</t>
  </si>
  <si>
    <t>Masini, Meaghan</t>
  </si>
  <si>
    <t>Glover, Heather</t>
  </si>
  <si>
    <t>Disotell, Robert</t>
  </si>
  <si>
    <t>Samuel, Rachel</t>
  </si>
  <si>
    <t>Vaughan, Ashley</t>
  </si>
  <si>
    <t>Parker, Jana</t>
  </si>
  <si>
    <t>Lezu, Christopher</t>
  </si>
  <si>
    <t>Blount, David</t>
  </si>
  <si>
    <t>Johnson, Robyn</t>
  </si>
  <si>
    <t>Myrick, Raven</t>
  </si>
  <si>
    <t>Harp, Ann</t>
  </si>
  <si>
    <t>Cook, Sarah</t>
  </si>
  <si>
    <t>Schroer, Cassandra</t>
  </si>
  <si>
    <t>Michaelis, Deanna</t>
  </si>
  <si>
    <t>Young, James</t>
  </si>
  <si>
    <t>Allen, Hannah</t>
  </si>
  <si>
    <t>Peterson, Leah</t>
  </si>
  <si>
    <t>Berry, Iris</t>
  </si>
  <si>
    <t>Allmon, Patricia</t>
  </si>
  <si>
    <t>Devore, Katerina</t>
  </si>
  <si>
    <t>Hargrave, Marlo</t>
  </si>
  <si>
    <t>Towell, Blake</t>
  </si>
  <si>
    <t>Walton, Elizabeth</t>
  </si>
  <si>
    <t>Golden, Tanya</t>
  </si>
  <si>
    <t>Powell, Diosan M.</t>
  </si>
  <si>
    <t>Cooper, Cassidy</t>
  </si>
  <si>
    <t>Norsworthy, Cynthia, D</t>
  </si>
  <si>
    <t>Moyer, Suzanne</t>
  </si>
  <si>
    <t>Waller, Patricia</t>
  </si>
  <si>
    <t>Mcconnell, Morgan</t>
  </si>
  <si>
    <t>Headley, Lana</t>
  </si>
  <si>
    <t>Holland, Michele</t>
  </si>
  <si>
    <t>Caisie,Nowack</t>
  </si>
  <si>
    <t>Lauren, Bowen</t>
  </si>
  <si>
    <t>Patrick, Townsend</t>
  </si>
  <si>
    <t>Chelsea,Melton</t>
  </si>
  <si>
    <t>Rollins, Linda</t>
  </si>
  <si>
    <t>Taylor Odonald, Jacqueline</t>
  </si>
  <si>
    <t>Storay, Erma</t>
  </si>
  <si>
    <t>Betton, Harold</t>
  </si>
  <si>
    <t>Green, Roger</t>
  </si>
  <si>
    <t>Essary, Deborah</t>
  </si>
  <si>
    <t>Fruge, Lloyd</t>
  </si>
  <si>
    <t>Nease, Howard</t>
  </si>
  <si>
    <t>Tilley, Absalom</t>
  </si>
  <si>
    <t>Hulsey, Matthew</t>
  </si>
  <si>
    <t>Nichols, Scott</t>
  </si>
  <si>
    <t>Sanders, Janous</t>
  </si>
  <si>
    <t>Wassef, Magdi</t>
  </si>
  <si>
    <t>Smedley, Berna</t>
  </si>
  <si>
    <t>Hadley, Matthew</t>
  </si>
  <si>
    <t>Brown, Shawn</t>
  </si>
  <si>
    <t>Robnett, Rhonda</t>
  </si>
  <si>
    <t>Sadiq, Bilal</t>
  </si>
  <si>
    <t>Alvi, Rabia</t>
  </si>
  <si>
    <t>Lowery, Alicia</t>
  </si>
  <si>
    <t>Mitchell, Aaron</t>
  </si>
  <si>
    <t>Vaughn, Kathryn E.</t>
  </si>
  <si>
    <t>Ellis, Hannah</t>
  </si>
  <si>
    <t>Dutton, Jaime</t>
  </si>
  <si>
    <t>Dalabih, Sevilay</t>
  </si>
  <si>
    <t>Spangler, Mary</t>
  </si>
  <si>
    <t>Kindrick, Heather</t>
  </si>
  <si>
    <t>Booth, Amy N.</t>
  </si>
  <si>
    <t>Rich, Patricia</t>
  </si>
  <si>
    <t>Welborn, Franklin</t>
  </si>
  <si>
    <t>Goins, Natasha Y.</t>
  </si>
  <si>
    <t>Beasley Jr, James C.</t>
  </si>
  <si>
    <t>Jordan, Jess</t>
  </si>
  <si>
    <t>Denning, Patrick</t>
  </si>
  <si>
    <t>Zimmer, Jessica</t>
  </si>
  <si>
    <t>Mcmahan, Crystal</t>
  </si>
  <si>
    <t>Clark, Allison</t>
  </si>
  <si>
    <t>Thompson, Chelsea</t>
  </si>
  <si>
    <t>Osih, Kikanwa</t>
  </si>
  <si>
    <t>Indira,Perales Trejo</t>
  </si>
  <si>
    <t>Bland, Scott</t>
  </si>
  <si>
    <t>Sandlin, Tyler</t>
  </si>
  <si>
    <t>Hurt, Dawn</t>
  </si>
  <si>
    <t>Jarret, Tanika</t>
  </si>
  <si>
    <t>Crump, Nicholas</t>
  </si>
  <si>
    <t>Rickert, Rebecca</t>
  </si>
  <si>
    <t>Campbell, Amy</t>
  </si>
  <si>
    <t>Franks, Lauren S.</t>
  </si>
  <si>
    <t>Noble, Morgan</t>
  </si>
  <si>
    <t>Yonis, Sitr</t>
  </si>
  <si>
    <t>King, Terra</t>
  </si>
  <si>
    <t>Addison, Lauren</t>
  </si>
  <si>
    <t>Chreene, Robyn</t>
  </si>
  <si>
    <t>Brown, Lauren Joy</t>
  </si>
  <si>
    <t>Rasnic, Alexis</t>
  </si>
  <si>
    <t>Beall, Allyssa</t>
  </si>
  <si>
    <t>Xu, Ann,</t>
  </si>
  <si>
    <t>Parker M Olsen</t>
  </si>
  <si>
    <t>Hillary, Davis</t>
  </si>
  <si>
    <t>Kristina, Dean</t>
  </si>
  <si>
    <t>Patel, Rohan</t>
  </si>
  <si>
    <t>Drain, Courtney</t>
  </si>
  <si>
    <t>Richardson, Karen</t>
  </si>
  <si>
    <t>Krueger, John</t>
  </si>
  <si>
    <t>Conklin, Donald</t>
  </si>
  <si>
    <t>Walton, Robert Baird</t>
  </si>
  <si>
    <t>Giles, Keith</t>
  </si>
  <si>
    <t>Habashy, Hany</t>
  </si>
  <si>
    <t>Magre, Ann</t>
  </si>
  <si>
    <t>Looney, Melissa</t>
  </si>
  <si>
    <t>Hekmatpour, Erin</t>
  </si>
  <si>
    <t>Bernard, Marye</t>
  </si>
  <si>
    <t>Speak, Ellen</t>
  </si>
  <si>
    <t>Chambliss, James William</t>
  </si>
  <si>
    <t>Graves, Joseph</t>
  </si>
  <si>
    <t>Chalmers, Lindsay</t>
  </si>
  <si>
    <t>Aguilar Duenas, Santiago</t>
  </si>
  <si>
    <t>Roberts, Melonie</t>
  </si>
  <si>
    <t>Tawwab, Faisal</t>
  </si>
  <si>
    <t>Winfrey, Amanda</t>
  </si>
  <si>
    <t>Apostolov, Yevgeniy</t>
  </si>
  <si>
    <t>Ray, Savannah</t>
  </si>
  <si>
    <t>Watson, Jonathan</t>
  </si>
  <si>
    <t>Paladino, Nichole</t>
  </si>
  <si>
    <t>Dickey, Gina</t>
  </si>
  <si>
    <t>Avance, Maggie</t>
  </si>
  <si>
    <t>Lincoln, Candy</t>
  </si>
  <si>
    <t>Crase, Douglas</t>
  </si>
  <si>
    <t>Goulder, Regina</t>
  </si>
  <si>
    <t>Lucas, Tiffany</t>
  </si>
  <si>
    <t>Sudbrink, Janice</t>
  </si>
  <si>
    <t>Wilson, Anastasia</t>
  </si>
  <si>
    <t>Garner, Lauren</t>
  </si>
  <si>
    <t>Miller, Rachana</t>
  </si>
  <si>
    <t>Hogan, Elaina</t>
  </si>
  <si>
    <t>Perry, Hood, Jennifer</t>
  </si>
  <si>
    <t>Hagaman, Michael</t>
  </si>
  <si>
    <t>Blackburn, David</t>
  </si>
  <si>
    <t>Scruggs, Jenna</t>
  </si>
  <si>
    <t>Thompson, Ashley</t>
  </si>
  <si>
    <t>Dyess, Lorraine</t>
  </si>
  <si>
    <t>Nolen, Abby</t>
  </si>
  <si>
    <t>Sisson, Logan</t>
  </si>
  <si>
    <t>Harvey, Darby</t>
  </si>
  <si>
    <t>Collins, Stanley</t>
  </si>
  <si>
    <t>Cagle, Hannah</t>
  </si>
  <si>
    <t>Tosh, Jennifer</t>
  </si>
  <si>
    <t>Moore, Maria</t>
  </si>
  <si>
    <t>Yustana, Neoni</t>
  </si>
  <si>
    <t>Rosanna H Sagely</t>
  </si>
  <si>
    <t>Buerkle, Natalie</t>
  </si>
  <si>
    <t>Reid, Kaitlyn,</t>
  </si>
  <si>
    <t>Paine, Johnny</t>
  </si>
  <si>
    <t>Maxwell, Ralph</t>
  </si>
  <si>
    <t>Chastain, Donna</t>
  </si>
  <si>
    <t>Sarna, Paul</t>
  </si>
  <si>
    <t>Petty, Corwin</t>
  </si>
  <si>
    <t>Pruitt, Timothy</t>
  </si>
  <si>
    <t>Humphreys, Robert</t>
  </si>
  <si>
    <t>Gehrki, Gary</t>
  </si>
  <si>
    <t>Patterson, Mary</t>
  </si>
  <si>
    <t>Matlock, Donna</t>
  </si>
  <si>
    <t>Carlton, Randall</t>
  </si>
  <si>
    <t>Rose, Walter</t>
  </si>
  <si>
    <t>Heck, Richard</t>
  </si>
  <si>
    <t>Laffoon, Scott</t>
  </si>
  <si>
    <t>Pegram, Robert</t>
  </si>
  <si>
    <t>Rudrappa, Harsha</t>
  </si>
  <si>
    <t>Ellison, Clayton</t>
  </si>
  <si>
    <t>Kraleti, Shashank</t>
  </si>
  <si>
    <t>Newell, Heather</t>
  </si>
  <si>
    <t>Sprankell, Adam</t>
  </si>
  <si>
    <t>Mcnew, Gina</t>
  </si>
  <si>
    <t>Ziegler, Leslie</t>
  </si>
  <si>
    <t>Lowery, Robbie</t>
  </si>
  <si>
    <t>Enger, Nancy</t>
  </si>
  <si>
    <t>Adams, Julia</t>
  </si>
  <si>
    <t>Holland, Sarah</t>
  </si>
  <si>
    <t>Oster, Caleb</t>
  </si>
  <si>
    <t>Pabona, John</t>
  </si>
  <si>
    <t>Stockard, Ashlee</t>
  </si>
  <si>
    <t>Franklin, Stephanie</t>
  </si>
  <si>
    <t>Turnipseed, Misti</t>
  </si>
  <si>
    <t>Pantazo, Kelly</t>
  </si>
  <si>
    <t>Cornick, Kinsey, A</t>
  </si>
  <si>
    <t>Kelfer, Josh</t>
  </si>
  <si>
    <t>Simpson, Constance</t>
  </si>
  <si>
    <t>Throesch, John</t>
  </si>
  <si>
    <t>Depper, Mary</t>
  </si>
  <si>
    <t>Mcanulty, Rebecca</t>
  </si>
  <si>
    <t>Darnell, Susan</t>
  </si>
  <si>
    <t>Ashley Newsome</t>
  </si>
  <si>
    <t>Wright, Genn</t>
  </si>
  <si>
    <t>Daniel, Ashl</t>
  </si>
  <si>
    <t>Harvey, Madeline</t>
  </si>
  <si>
    <t>Mendoza, Stephanie</t>
  </si>
  <si>
    <t>Clint, Howe</t>
  </si>
  <si>
    <t>Inman, Vladyslava</t>
  </si>
  <si>
    <t>Amir</t>
  </si>
  <si>
    <t>Barbee, Brittany</t>
  </si>
  <si>
    <t>Wicker, David</t>
  </si>
  <si>
    <t>Bradley, Lawana</t>
  </si>
  <si>
    <t>Nestle, Kelli</t>
  </si>
  <si>
    <t>Beam, Laurie A</t>
  </si>
  <si>
    <t>Campbell, Danielle</t>
  </si>
  <si>
    <t>Richards, Anne</t>
  </si>
  <si>
    <t>Vines, Brandy,</t>
  </si>
  <si>
    <t>Strutton, Ladeanna, D</t>
  </si>
  <si>
    <t>Scott, Sarah, E</t>
  </si>
  <si>
    <t>Donnell, Robert</t>
  </si>
  <si>
    <t>Faith, Jennifer</t>
  </si>
  <si>
    <t>Nelson, Tyler</t>
  </si>
  <si>
    <t>Cain, Thomas</t>
  </si>
  <si>
    <t>Phomakay, Von</t>
  </si>
  <si>
    <t>Alul Phillips, Sumer</t>
  </si>
  <si>
    <t>Alexander, Lester</t>
  </si>
  <si>
    <t>Rude, Brenda</t>
  </si>
  <si>
    <t>Beineman, Tonya</t>
  </si>
  <si>
    <t>Higgins, Rhonda</t>
  </si>
  <si>
    <t>Silber, William</t>
  </si>
  <si>
    <t>Hart, Heather</t>
  </si>
  <si>
    <t>Gomez, Mauricio</t>
  </si>
  <si>
    <t>Pearce Whitley, Natalie</t>
  </si>
  <si>
    <t>Tucker, Brandi</t>
  </si>
  <si>
    <t>Ruffner, Alisa</t>
  </si>
  <si>
    <t>Stafford, Jesse</t>
  </si>
  <si>
    <t>Savenka, Alexandra</t>
  </si>
  <si>
    <t>Wade-Smith, Deanie</t>
  </si>
  <si>
    <t>Manos, Jennifer</t>
  </si>
  <si>
    <t>Harris, Theresa</t>
  </si>
  <si>
    <t>Arlesia,Jones</t>
  </si>
  <si>
    <t>Willmer, Lauren</t>
  </si>
  <si>
    <t>Ingram, Deshondra</t>
  </si>
  <si>
    <t>Stark, Amanda</t>
  </si>
  <si>
    <t>Rosmin, Jos</t>
  </si>
  <si>
    <t>Miller, Krystine</t>
  </si>
  <si>
    <t>Winford, Amanda</t>
  </si>
  <si>
    <t>Jones, Hannah</t>
  </si>
  <si>
    <t>Stone, Melanie</t>
  </si>
  <si>
    <t>Cochran, Toni</t>
  </si>
  <si>
    <t>Mbride, Ndianabasi</t>
  </si>
  <si>
    <t>Jennings, Farrah</t>
  </si>
  <si>
    <t>Adams, Vanessa</t>
  </si>
  <si>
    <t>Bennett, Joseph, W</t>
  </si>
  <si>
    <t>Prince, Hailey</t>
  </si>
  <si>
    <t>Wamble, Caitlin</t>
  </si>
  <si>
    <t>Volner, Pamela</t>
  </si>
  <si>
    <t>Dewey, Dalton</t>
  </si>
  <si>
    <t>Busby, Shannon</t>
  </si>
  <si>
    <t>Jackson, Eli</t>
  </si>
  <si>
    <t>Stevens, Kathryn</t>
  </si>
  <si>
    <t>Morales, Autumn</t>
  </si>
  <si>
    <t>Alvanell R Thiel</t>
  </si>
  <si>
    <t>Jennifer, Callahan</t>
  </si>
  <si>
    <t>Katie, Hollowoa</t>
  </si>
  <si>
    <t>Vinacco, Kim</t>
  </si>
  <si>
    <t>Jackson, Erika, S</t>
  </si>
  <si>
    <t>Elrod, Jenny,</t>
  </si>
  <si>
    <t>Naeem, Bilal</t>
  </si>
  <si>
    <t>Pratt, Judy</t>
  </si>
  <si>
    <t>Bicak, Ajdahan</t>
  </si>
  <si>
    <t>Blackwood, Donald</t>
  </si>
  <si>
    <t>King, David</t>
  </si>
  <si>
    <t>Gibson, Robert</t>
  </si>
  <si>
    <t>Kuykendall, Scott</t>
  </si>
  <si>
    <t>Huling, Randall</t>
  </si>
  <si>
    <t>Lucas, Shauna</t>
  </si>
  <si>
    <t>Throneberry, James</t>
  </si>
  <si>
    <t>Daniel, Amy</t>
  </si>
  <si>
    <t>O'Dea, Douglas</t>
  </si>
  <si>
    <t>Hoskins, Lula</t>
  </si>
  <si>
    <t>Robichaux, Francis</t>
  </si>
  <si>
    <t>Clark, Douglas</t>
  </si>
  <si>
    <t>Clardy, Bryan</t>
  </si>
  <si>
    <t>Curl, Randy</t>
  </si>
  <si>
    <t>Waheed, Atiya N</t>
  </si>
  <si>
    <t>Stoev, George</t>
  </si>
  <si>
    <t>Hankins, Rachel</t>
  </si>
  <si>
    <t>Mcpike, Heather</t>
  </si>
  <si>
    <t>Archer, Graeme</t>
  </si>
  <si>
    <t>Cortez, Lindsay</t>
  </si>
  <si>
    <t>Mcgrath, Leslye</t>
  </si>
  <si>
    <t>Holloway, Jessica</t>
  </si>
  <si>
    <t>Waheed, Mian</t>
  </si>
  <si>
    <t>Jenkins, Brandie</t>
  </si>
  <si>
    <t>Hunter, Marilyn M.</t>
  </si>
  <si>
    <t>Miller, Dane</t>
  </si>
  <si>
    <t>Morris, Arnold</t>
  </si>
  <si>
    <t>Bradbury, Savannah</t>
  </si>
  <si>
    <t>Nguyen, Lan</t>
  </si>
  <si>
    <t>Pascual, Juancarlo S</t>
  </si>
  <si>
    <t>Seawright, Mary</t>
  </si>
  <si>
    <t>Firmatura, Todd</t>
  </si>
  <si>
    <t>Joest, Haleigh</t>
  </si>
  <si>
    <t>Hughes, Carol</t>
  </si>
  <si>
    <t>Carter, Jacob, T</t>
  </si>
  <si>
    <t>Coleman, Taran</t>
  </si>
  <si>
    <t>Hagen, Allison</t>
  </si>
  <si>
    <t>Edwards, Gary</t>
  </si>
  <si>
    <t>Stephens, Paula</t>
  </si>
  <si>
    <t>Sherry, Donnelly</t>
  </si>
  <si>
    <t>Carter, Dennis</t>
  </si>
  <si>
    <t>Sitzes, David</t>
  </si>
  <si>
    <t>Roberts, Kevin</t>
  </si>
  <si>
    <t>Roulier, Julia</t>
  </si>
  <si>
    <t>Baker, Robert</t>
  </si>
  <si>
    <t>Martin, Karen</t>
  </si>
  <si>
    <t>Mckenzie, Antronette</t>
  </si>
  <si>
    <t>Frisbie, Brenda</t>
  </si>
  <si>
    <t>Duke, Louisa</t>
  </si>
  <si>
    <t>Guthrie, Gary</t>
  </si>
  <si>
    <t>Post, Peter</t>
  </si>
  <si>
    <t>Thomas, Smitha</t>
  </si>
  <si>
    <t>Gaeta, Matthew</t>
  </si>
  <si>
    <t>Scears, Meghan</t>
  </si>
  <si>
    <t>Sarahi, Rodriguez-Perez</t>
  </si>
  <si>
    <t>Darby, Dina G.</t>
  </si>
  <si>
    <t>Joheim, Jessica</t>
  </si>
  <si>
    <t>Kassir, Renee</t>
  </si>
  <si>
    <t>Brock, Amanda</t>
  </si>
  <si>
    <t>Grant, Micah</t>
  </si>
  <si>
    <t>Guy, Jeremy</t>
  </si>
  <si>
    <t>Burks, Kayla</t>
  </si>
  <si>
    <t>Medlin, Kyle</t>
  </si>
  <si>
    <t>Carmical, Katelyn</t>
  </si>
  <si>
    <t>Greenburg, Patrick</t>
  </si>
  <si>
    <t>Bryant, Kimberly</t>
  </si>
  <si>
    <t>Duarte, Joaquin</t>
  </si>
  <si>
    <t>Andres, Megan</t>
  </si>
  <si>
    <t>Ferguson, Robert</t>
  </si>
  <si>
    <t>Brown, Anne</t>
  </si>
  <si>
    <t>Peela, Appala, S</t>
  </si>
  <si>
    <t>Madeline, Hargis</t>
  </si>
  <si>
    <t>Ray, Candra</t>
  </si>
  <si>
    <t>Murphy, Hadonica</t>
  </si>
  <si>
    <t>Mays, Derika,</t>
  </si>
  <si>
    <t>James, Jennifer</t>
  </si>
  <si>
    <t>Freeman, Savanna</t>
  </si>
  <si>
    <t>Bricker, Jordan</t>
  </si>
  <si>
    <t>Norton, Rachel</t>
  </si>
  <si>
    <t>Grigg, Jeremy, D</t>
  </si>
  <si>
    <t>Clayton,Avery</t>
  </si>
  <si>
    <t>Samantha, Sager</t>
  </si>
  <si>
    <t>Covey, David</t>
  </si>
  <si>
    <t>Salmon, Clifton</t>
  </si>
  <si>
    <t>Vest, Carl</t>
  </si>
  <si>
    <t>Turney, Nathan</t>
  </si>
  <si>
    <t>Jones, Nancy</t>
  </si>
  <si>
    <t>Zini, James</t>
  </si>
  <si>
    <t>Cole, William</t>
  </si>
  <si>
    <t>Schafer, Katrina</t>
  </si>
  <si>
    <t>Woodall, Melanie</t>
  </si>
  <si>
    <t>Hinkle, Richard</t>
  </si>
  <si>
    <t>Kendrick, William</t>
  </si>
  <si>
    <t>Moore, Gail</t>
  </si>
  <si>
    <t>Winkler, Anne</t>
  </si>
  <si>
    <t>Hale, Arthur</t>
  </si>
  <si>
    <t>Bradshaw, Mark</t>
  </si>
  <si>
    <t>Callaway, Lynne</t>
  </si>
  <si>
    <t>Martin, Patrick</t>
  </si>
  <si>
    <t>Trotta, Holly</t>
  </si>
  <si>
    <t>Howe, Traci</t>
  </si>
  <si>
    <t>Phelps, Kathleen</t>
  </si>
  <si>
    <t>White, Valerie</t>
  </si>
  <si>
    <t>Tackett, Jessica</t>
  </si>
  <si>
    <t>Mitchell, Karri</t>
  </si>
  <si>
    <t>Doerhoff, Shannon</t>
  </si>
  <si>
    <t>Rodriguez, Virgincita</t>
  </si>
  <si>
    <t>Ramirez, Pamela</t>
  </si>
  <si>
    <t>Burget, Cassandra</t>
  </si>
  <si>
    <t>Rhodes, Karen</t>
  </si>
  <si>
    <t>Alleyne, Montrese</t>
  </si>
  <si>
    <t>Carroll, Matthew</t>
  </si>
  <si>
    <t>Roberts, Natalie</t>
  </si>
  <si>
    <t>Martin, Jamee C</t>
  </si>
  <si>
    <t>Patyk, Stephanie</t>
  </si>
  <si>
    <t>Sherrill, J</t>
  </si>
  <si>
    <t>Thomas, Amanda</t>
  </si>
  <si>
    <t>Jones, Jennifer</t>
  </si>
  <si>
    <t>Tackett, Yim</t>
  </si>
  <si>
    <t>Desai, Rohan</t>
  </si>
  <si>
    <t>Mira, Jennifer Rose</t>
  </si>
  <si>
    <t>Sesay, Abdul-Karim</t>
  </si>
  <si>
    <t>Melissa, Freakley</t>
  </si>
  <si>
    <t>Berry, Jonathan</t>
  </si>
  <si>
    <t>Bullock, Chanel</t>
  </si>
  <si>
    <t>Bollinger, Heather</t>
  </si>
  <si>
    <t>Zimmerman, David</t>
  </si>
  <si>
    <t>Redfearn, Melissa E.</t>
  </si>
  <si>
    <t>Kesterson, Jennifer</t>
  </si>
  <si>
    <t>Jordyn, Temple</t>
  </si>
  <si>
    <t>Malone, Meag</t>
  </si>
  <si>
    <t>Roberts, Erin</t>
  </si>
  <si>
    <t>Wasson, Emily</t>
  </si>
  <si>
    <t>Marcy, Anna L</t>
  </si>
  <si>
    <t>Colleen N Goddard</t>
  </si>
  <si>
    <t>Kizmet,Jones</t>
  </si>
  <si>
    <t>Jessica,Archer</t>
  </si>
  <si>
    <t>Cynthia,Leatherwood</t>
  </si>
  <si>
    <t>Kistner, Erin</t>
  </si>
  <si>
    <t>Roland, Destini,</t>
  </si>
  <si>
    <t>Simons, Cassey,</t>
  </si>
  <si>
    <t>Beard, Alexis,</t>
  </si>
  <si>
    <t>Brashear, Courtney,</t>
  </si>
  <si>
    <t>Osborne, Sarah,</t>
  </si>
  <si>
    <t>Duke, John</t>
  </si>
  <si>
    <t>Buffalo, Ryan</t>
  </si>
  <si>
    <t>Engbretson, John</t>
  </si>
  <si>
    <t>Hood, Ted</t>
  </si>
  <si>
    <t>Falwell, Kevin</t>
  </si>
  <si>
    <t>Pham, Thuylinh</t>
  </si>
  <si>
    <t>Koone, Michael</t>
  </si>
  <si>
    <t>Jacqueline G Phillips</t>
  </si>
  <si>
    <t>Zhou, Fang</t>
  </si>
  <si>
    <t>Voris, Justin</t>
  </si>
  <si>
    <t>Dunn, Kirsten</t>
  </si>
  <si>
    <t>Spitale, Joy</t>
  </si>
  <si>
    <t>Coward, Kirk</t>
  </si>
  <si>
    <t>Henley, Zane</t>
  </si>
  <si>
    <t>Rowland, Julie</t>
  </si>
  <si>
    <t>Tandon, Anamika</t>
  </si>
  <si>
    <t>Hester Mcghee, Virginia</t>
  </si>
  <si>
    <t>Van Pelt, Shelbi</t>
  </si>
  <si>
    <t>Servy, Claire</t>
  </si>
  <si>
    <t>Bierman, Christopher,</t>
  </si>
  <si>
    <t>Smith, Melinda</t>
  </si>
  <si>
    <t>Casey, Sandi</t>
  </si>
  <si>
    <t>Strop, Regina</t>
  </si>
  <si>
    <t>Baldwin, Emily</t>
  </si>
  <si>
    <t>Stephens, Mary</t>
  </si>
  <si>
    <t>Tuberville, Lisa</t>
  </si>
  <si>
    <t>Kalyan, Kancherla</t>
  </si>
  <si>
    <t>Guastella, Lily,</t>
  </si>
  <si>
    <t>Newman, Micha, A</t>
  </si>
  <si>
    <t>Tart, Savannah</t>
  </si>
  <si>
    <t>Kierstin, Daugherty</t>
  </si>
  <si>
    <t>O'Dea, Rachael E</t>
  </si>
  <si>
    <t>Holman, Allgood, Ijanae</t>
  </si>
  <si>
    <t>Faggion, Ashley</t>
  </si>
  <si>
    <t>Clausen, Alex, J</t>
  </si>
  <si>
    <t>Holden, Heather</t>
  </si>
  <si>
    <t>Elizabeth C Sullivan</t>
  </si>
  <si>
    <t>Smith, Nicole</t>
  </si>
  <si>
    <t>Ledbetter, Katelyn</t>
  </si>
  <si>
    <t>Nix, Heather</t>
  </si>
  <si>
    <t>Kassy, Burns</t>
  </si>
  <si>
    <t>Hinrichs, Kelsey</t>
  </si>
  <si>
    <t>Deal, Davi</t>
  </si>
  <si>
    <t>Day, Haylie</t>
  </si>
  <si>
    <t>Hughes, Spencer, D</t>
  </si>
  <si>
    <t>Tougas, Bernard</t>
  </si>
  <si>
    <t>Bishop, Michelle</t>
  </si>
  <si>
    <t>Speights, Shane</t>
  </si>
  <si>
    <t>Shirlen, Andrew, M</t>
  </si>
  <si>
    <t>Williams, Catherine</t>
  </si>
  <si>
    <t>Lyn-Boswell, Carla</t>
  </si>
  <si>
    <t>Frescoln, Hilary</t>
  </si>
  <si>
    <t>Furlow, William</t>
  </si>
  <si>
    <t>Westfall, Jessica</t>
  </si>
  <si>
    <t>Kamin, Ehud</t>
  </si>
  <si>
    <t>Walls, Melody</t>
  </si>
  <si>
    <t>Clifton, Charles</t>
  </si>
  <si>
    <t>Smith, Regina</t>
  </si>
  <si>
    <t>Irby, Elizabeth</t>
  </si>
  <si>
    <t>Armstrong, Sandra</t>
  </si>
  <si>
    <t>Mauney, Candace E.</t>
  </si>
  <si>
    <t>Norris, Susan</t>
  </si>
  <si>
    <t>Mayse, Melissa</t>
  </si>
  <si>
    <t>Howell, Danielle J.</t>
  </si>
  <si>
    <t>Porter, Kirk</t>
  </si>
  <si>
    <t>Huberty, Alissa</t>
  </si>
  <si>
    <t>Vance, Erika</t>
  </si>
  <si>
    <t>Cunningham, Wesley</t>
  </si>
  <si>
    <t>Rhyne, Kathryn</t>
  </si>
  <si>
    <t>Hartwig, Hilary</t>
  </si>
  <si>
    <t>Schmidt, Kelsey</t>
  </si>
  <si>
    <t>Aderholt, Audie</t>
  </si>
  <si>
    <t>Taber, Abbey</t>
  </si>
  <si>
    <t>Marvin, Craig</t>
  </si>
  <si>
    <t>Gooch, Courteney</t>
  </si>
  <si>
    <t>Orians, Mary</t>
  </si>
  <si>
    <t>Harris, Samantha</t>
  </si>
  <si>
    <t>Havelka, Chelsea</t>
  </si>
  <si>
    <t>Bohon, Angela</t>
  </si>
  <si>
    <t>Ferguson, Zachary</t>
  </si>
  <si>
    <t>O'Dell, Audra</t>
  </si>
  <si>
    <t>Myer, Berry</t>
  </si>
  <si>
    <t>Nance, Laura</t>
  </si>
  <si>
    <t>Wallace, Joshua</t>
  </si>
  <si>
    <t>Herrera, Whitney</t>
  </si>
  <si>
    <t>Putman, Shan</t>
  </si>
  <si>
    <t>Markray, Tanquenika</t>
  </si>
  <si>
    <t>Molly,Skains</t>
  </si>
  <si>
    <t>Williams, Bridgett</t>
  </si>
  <si>
    <t>Korissa, Gillespie</t>
  </si>
  <si>
    <t>Arnold, Phillippa</t>
  </si>
  <si>
    <t>Branch, Kiley R</t>
  </si>
  <si>
    <t>Van Devender, Leigh A</t>
  </si>
  <si>
    <t>Gonzalez, Diana</t>
  </si>
  <si>
    <t>Chapmond, Amber</t>
  </si>
  <si>
    <t>Hope,Bone</t>
  </si>
  <si>
    <t>Chess, David</t>
  </si>
  <si>
    <t>Rebtoy, Leslie</t>
  </si>
  <si>
    <t>Pham, Marie</t>
  </si>
  <si>
    <t>Ferrell, David</t>
  </si>
  <si>
    <t>Roper, Richard</t>
  </si>
  <si>
    <t>Jansen, Joseph</t>
  </si>
  <si>
    <t>Martin, Sonja</t>
  </si>
  <si>
    <t>Mark,Mayfield</t>
  </si>
  <si>
    <t>Vanderburg, Edward</t>
  </si>
  <si>
    <t>Mulligan, Thomas</t>
  </si>
  <si>
    <t>Basham, Brian</t>
  </si>
  <si>
    <t>Mian, Nosheen</t>
  </si>
  <si>
    <t>Wise, John</t>
  </si>
  <si>
    <t>Parikh, Sonali</t>
  </si>
  <si>
    <t>Killough, Timothy</t>
  </si>
  <si>
    <t>Quick, Matthew</t>
  </si>
  <si>
    <t>Timmons, Timothy</t>
  </si>
  <si>
    <t>Reinhardt, Gretchen</t>
  </si>
  <si>
    <t>Paylor, Angelia</t>
  </si>
  <si>
    <t>Fendley, Leanna</t>
  </si>
  <si>
    <t>Zaka, Awais,</t>
  </si>
  <si>
    <t>Burgess, George</t>
  </si>
  <si>
    <t>Keith, Stephen</t>
  </si>
  <si>
    <t>Findley, Breckenn</t>
  </si>
  <si>
    <t>Hoey, Shannon</t>
  </si>
  <si>
    <t>English, Amanda</t>
  </si>
  <si>
    <t>West, Laura</t>
  </si>
  <si>
    <t>Hardy, Latonya S.</t>
  </si>
  <si>
    <t>Ohara, Mary</t>
  </si>
  <si>
    <t>Mullenax, Julia</t>
  </si>
  <si>
    <t>Haynes, Angela</t>
  </si>
  <si>
    <t>Griffin, Patricia</t>
  </si>
  <si>
    <t>Bailey, Arika</t>
  </si>
  <si>
    <t>Sneed, Estee</t>
  </si>
  <si>
    <t>Fluitt, Mandy</t>
  </si>
  <si>
    <t>Kodali, Maneetha</t>
  </si>
  <si>
    <t>Sheikh, Iftakhar</t>
  </si>
  <si>
    <t>Gocio, Allen</t>
  </si>
  <si>
    <t>Halytskyy, Oleksandr</t>
  </si>
  <si>
    <t>Guntorius, Sarah</t>
  </si>
  <si>
    <t>Boyd, Wesley A.</t>
  </si>
  <si>
    <t>Banning, Hannah</t>
  </si>
  <si>
    <t>Patty M Bilbrey</t>
  </si>
  <si>
    <t>John D Scott</t>
  </si>
  <si>
    <t>King, Andrea</t>
  </si>
  <si>
    <t>Piersall, Lauren,</t>
  </si>
  <si>
    <t>Cole, Amanda</t>
  </si>
  <si>
    <t>Ferrero Caicedo, Monica</t>
  </si>
  <si>
    <t>Oliver, Andrew</t>
  </si>
  <si>
    <t>Holmes, Sonrisa</t>
  </si>
  <si>
    <t>Leopard, Lauren</t>
  </si>
  <si>
    <t>Schichtel, Barratt L.</t>
  </si>
  <si>
    <t>Sellers, Amanda</t>
  </si>
  <si>
    <t>Ratliff, Kelly</t>
  </si>
  <si>
    <t>Hodges, Joshua</t>
  </si>
  <si>
    <t>Kimble, Sharonda L</t>
  </si>
  <si>
    <t>Ransom, Payton</t>
  </si>
  <si>
    <t>Weatherford, Leslie</t>
  </si>
  <si>
    <t>Stinger, Candace A</t>
  </si>
  <si>
    <t>Lindsay, Sheets</t>
  </si>
  <si>
    <t>Stevenson, Sarah</t>
  </si>
  <si>
    <t>Carnes, Mary</t>
  </si>
  <si>
    <t>Herbert, Carolyn</t>
  </si>
  <si>
    <t>Kunstman, Emil</t>
  </si>
  <si>
    <t>Langford, Victoria</t>
  </si>
  <si>
    <t>Wilkerson, Cameron</t>
  </si>
  <si>
    <t>Elrod, Michelle</t>
  </si>
  <si>
    <t>Farmer, Mindy</t>
  </si>
  <si>
    <t>Hoke, Wallace</t>
  </si>
  <si>
    <t>Dow, John</t>
  </si>
  <si>
    <t>Ashley, Brenda</t>
  </si>
  <si>
    <t>Murphy, Anne</t>
  </si>
  <si>
    <t>Meyer, Lawrence</t>
  </si>
  <si>
    <t>Cheek, Bennie</t>
  </si>
  <si>
    <t>Dicus, Margaret</t>
  </si>
  <si>
    <t>Vellozo, Paul</t>
  </si>
  <si>
    <t>Shahid, Aamina</t>
  </si>
  <si>
    <t>Hooten, Sunnie</t>
  </si>
  <si>
    <t>Jackson, Brittney</t>
  </si>
  <si>
    <t>Janik, Jordan</t>
  </si>
  <si>
    <t>Vanacore, Victoria</t>
  </si>
  <si>
    <t>Nazary, Kelly</t>
  </si>
  <si>
    <t>Barron, Allison</t>
  </si>
  <si>
    <t>Ivey, Tesa</t>
  </si>
  <si>
    <t>Landrum, Carie</t>
  </si>
  <si>
    <t>Costello, Ryan</t>
  </si>
  <si>
    <t>Patel, Kumar</t>
  </si>
  <si>
    <t>Viswanathan, Karthikeyan</t>
  </si>
  <si>
    <t>Wilkins, John</t>
  </si>
  <si>
    <t>Haymore, Janet</t>
  </si>
  <si>
    <t>Sorg, John</t>
  </si>
  <si>
    <t>Frazier, Leslie S.</t>
  </si>
  <si>
    <t>Nwankwo, Glory</t>
  </si>
  <si>
    <t>Mantz, Melissa</t>
  </si>
  <si>
    <t>Ollie, Crystal</t>
  </si>
  <si>
    <t>Eller, Jessica</t>
  </si>
  <si>
    <t>Salaam, Christy</t>
  </si>
  <si>
    <t>Hayes, Kristen M.</t>
  </si>
  <si>
    <t>Ray, Suzanne</t>
  </si>
  <si>
    <t>Duff, Haley</t>
  </si>
  <si>
    <t>Maggie, Bethell</t>
  </si>
  <si>
    <t>Nedosekin, Dmitry, A</t>
  </si>
  <si>
    <t>Blakney, Lorna</t>
  </si>
  <si>
    <t>Nevala, Kayla</t>
  </si>
  <si>
    <t>Bridgeman, James</t>
  </si>
  <si>
    <t>Kincaid, Kimberly</t>
  </si>
  <si>
    <t>Jackson, Jasmine</t>
  </si>
  <si>
    <t>Neeley, Linda</t>
  </si>
  <si>
    <t>Cristy, Lelievre</t>
  </si>
  <si>
    <t>Shepard, Melissa, A</t>
  </si>
  <si>
    <t>Byrum, James</t>
  </si>
  <si>
    <t>Grant, Jerry</t>
  </si>
  <si>
    <t>Davidson, Andy</t>
  </si>
  <si>
    <t>Newsome, Carlton</t>
  </si>
  <si>
    <t>Hatesohl, Stanley</t>
  </si>
  <si>
    <t>Clark, Daniel</t>
  </si>
  <si>
    <t>Velek, Jo</t>
  </si>
  <si>
    <t>Kraus, Robert</t>
  </si>
  <si>
    <t>Bosold, Jeffrey</t>
  </si>
  <si>
    <t>Crowe, Lindsey</t>
  </si>
  <si>
    <t>Cox, Margaret</t>
  </si>
  <si>
    <t>Ko, Julie</t>
  </si>
  <si>
    <t>Collado, Jerry</t>
  </si>
  <si>
    <t>Keever, Craig</t>
  </si>
  <si>
    <t>Lowry, Tracy</t>
  </si>
  <si>
    <t>Ward, Connie</t>
  </si>
  <si>
    <t>Jerry, Jarrod</t>
  </si>
  <si>
    <t>Fischbach, Keely, E</t>
  </si>
  <si>
    <t>Skrapates, Ruth</t>
  </si>
  <si>
    <t>Money, Jennifer</t>
  </si>
  <si>
    <t>Robertson, Katherine</t>
  </si>
  <si>
    <t>Griffis, Tammy</t>
  </si>
  <si>
    <t>Reddick, Shundrika</t>
  </si>
  <si>
    <t>Foor, Stacey</t>
  </si>
  <si>
    <t>Rippelmeyer, Elise</t>
  </si>
  <si>
    <t>Mills, Brittny</t>
  </si>
  <si>
    <t>Buffy, Maynard</t>
  </si>
  <si>
    <t>Howard, Fiona</t>
  </si>
  <si>
    <t>Baltz, Alan, P</t>
  </si>
  <si>
    <t>Shaffer, Brigitte</t>
  </si>
  <si>
    <t>Stogner, Meredith</t>
  </si>
  <si>
    <t>Murphy, Jenny</t>
  </si>
  <si>
    <t>Boyd, Elise</t>
  </si>
  <si>
    <t>Page, Kristen Joy</t>
  </si>
  <si>
    <t>Bills, Matthew K</t>
  </si>
  <si>
    <t>Kincaid, John C</t>
  </si>
  <si>
    <t>Coleman, Carolyn</t>
  </si>
  <si>
    <t>Harris, Jessica P.</t>
  </si>
  <si>
    <t>Brockman, Tyler</t>
  </si>
  <si>
    <t>Amanda, Sale</t>
  </si>
  <si>
    <t>Emily, Reams</t>
  </si>
  <si>
    <t>Van Houten, Alexis</t>
  </si>
  <si>
    <t>Brown, Alexandra</t>
  </si>
  <si>
    <t>Williams, Aleshia</t>
  </si>
  <si>
    <t>Shelby, Cara</t>
  </si>
  <si>
    <t>Hicks, Freddie K</t>
  </si>
  <si>
    <t>Laura, Smith</t>
  </si>
  <si>
    <t>Mendieta, Carla</t>
  </si>
  <si>
    <t>Porter, Kathryn</t>
  </si>
  <si>
    <t>Reagan, Muse</t>
  </si>
  <si>
    <t>London, Maegan</t>
  </si>
  <si>
    <t>Asia</t>
  </si>
  <si>
    <t>Pope, Tammy</t>
  </si>
  <si>
    <t>Lewis, Derek</t>
  </si>
  <si>
    <t>Tyson, Jane</t>
  </si>
  <si>
    <t>Blair, Brian</t>
  </si>
  <si>
    <t>Franks, Jason</t>
  </si>
  <si>
    <t>Hedges, Harold</t>
  </si>
  <si>
    <t>Broyles, Damon</t>
  </si>
  <si>
    <t>Whorton, Gregory</t>
  </si>
  <si>
    <t>Larrison, Charles</t>
  </si>
  <si>
    <t>Jackson, William</t>
  </si>
  <si>
    <t>Pittman, Christopher</t>
  </si>
  <si>
    <t>Abshire, Samuel</t>
  </si>
  <si>
    <t>Woods, Denise</t>
  </si>
  <si>
    <t>Riggs, Ann</t>
  </si>
  <si>
    <t>Craven, William</t>
  </si>
  <si>
    <t>Walker, Lee</t>
  </si>
  <si>
    <t>Watson, Robert</t>
  </si>
  <si>
    <t>Holtorf, Kraig</t>
  </si>
  <si>
    <t>Easely, Loree A.</t>
  </si>
  <si>
    <t>Malone, Kelly</t>
  </si>
  <si>
    <t>Jarrett, Deborah</t>
  </si>
  <si>
    <t>Usdrowski, Natalie</t>
  </si>
  <si>
    <t>Aldridge, Danielle</t>
  </si>
  <si>
    <t>Zaharopoulos, Kristin</t>
  </si>
  <si>
    <t>Langston, James</t>
  </si>
  <si>
    <t>Bonda, Chaitanya</t>
  </si>
  <si>
    <t>Camp, Emery</t>
  </si>
  <si>
    <t>Newsom, Tonya</t>
  </si>
  <si>
    <t>Coleman, Seth</t>
  </si>
  <si>
    <t>Sunga, Khristian, M</t>
  </si>
  <si>
    <t>Odom, Emilee</t>
  </si>
  <si>
    <t>Fausett, Jonathan</t>
  </si>
  <si>
    <t>Watson, Fanae</t>
  </si>
  <si>
    <t>Lard, Rebecca</t>
  </si>
  <si>
    <t>Cottingham, Jonathan</t>
  </si>
  <si>
    <t>Jerkins, Michael</t>
  </si>
  <si>
    <t>Labrador, Brittany</t>
  </si>
  <si>
    <t>Engelken, Natalie</t>
  </si>
  <si>
    <t>Danielle,Turnquest</t>
  </si>
  <si>
    <t>Goraya, Muhammad</t>
  </si>
  <si>
    <t>Hamlin, Ryan</t>
  </si>
  <si>
    <t>Shah, Neil,</t>
  </si>
  <si>
    <t>Findley, Meredith</t>
  </si>
  <si>
    <t>Korszoloski, Katrina</t>
  </si>
  <si>
    <t>Holbrook, Laur</t>
  </si>
  <si>
    <t>Tarrant, Laci</t>
  </si>
  <si>
    <t>Knight, Kyle, B</t>
  </si>
  <si>
    <t>Ford, Amanda</t>
  </si>
  <si>
    <t>George, Riley, D</t>
  </si>
  <si>
    <t>Oliver, Krystle</t>
  </si>
  <si>
    <t>Rensch, Leann</t>
  </si>
  <si>
    <t>Lewis, Brittany</t>
  </si>
  <si>
    <t>Loy, Clinton</t>
  </si>
  <si>
    <t>Bittengle, Morgan</t>
  </si>
  <si>
    <t>Jenna, Hull</t>
  </si>
  <si>
    <t>Arce, Jennifer</t>
  </si>
  <si>
    <t>Sizemore, Jaynee, G</t>
  </si>
  <si>
    <t>Godfrey, Lincoln</t>
  </si>
  <si>
    <t>Shah, Bushra</t>
  </si>
  <si>
    <t>Garner, Julea</t>
  </si>
  <si>
    <t>Lochala, Roddy</t>
  </si>
  <si>
    <t>Echols, Roderick</t>
  </si>
  <si>
    <t>Hunt, Joe</t>
  </si>
  <si>
    <t>Smith, Patrick</t>
  </si>
  <si>
    <t>Barnes, Seth</t>
  </si>
  <si>
    <t>Deluca, Joseph</t>
  </si>
  <si>
    <t>Bivins, Franklin</t>
  </si>
  <si>
    <t>Cobb, Jock</t>
  </si>
  <si>
    <t>Webb, Sherilyn</t>
  </si>
  <si>
    <t>Mclain, Cathy</t>
  </si>
  <si>
    <t>Gomez, Jose</t>
  </si>
  <si>
    <t>Chiu, Grace</t>
  </si>
  <si>
    <t>Bennett, Keith</t>
  </si>
  <si>
    <t>Wilkerson, Maria</t>
  </si>
  <si>
    <t>Fleenor, John</t>
  </si>
  <si>
    <t>Embry, Thomas</t>
  </si>
  <si>
    <t>Carter, Stephen</t>
  </si>
  <si>
    <t>Adams, Christina</t>
  </si>
  <si>
    <t>Cestero Ruiz, Angel</t>
  </si>
  <si>
    <t>Lai, Christine</t>
  </si>
  <si>
    <t>Johnson, Samuel</t>
  </si>
  <si>
    <t>Campbell, Jamie</t>
  </si>
  <si>
    <t>Nallur, Shreelekha</t>
  </si>
  <si>
    <t>Afzal, Yasir</t>
  </si>
  <si>
    <t>Spain, Jody</t>
  </si>
  <si>
    <t>Kocurek, Emily</t>
  </si>
  <si>
    <t>Thomas, Reed</t>
  </si>
  <si>
    <t>Mccrary, Lee A</t>
  </si>
  <si>
    <t>Cesare, Carie L.</t>
  </si>
  <si>
    <t>Ross, Jeanne C</t>
  </si>
  <si>
    <t>Williams, Whitney</t>
  </si>
  <si>
    <t>Caldwell, Ashley</t>
  </si>
  <si>
    <t>Earnest, Hastings</t>
  </si>
  <si>
    <t>Gleber, Amelia</t>
  </si>
  <si>
    <t>Crittenden, William</t>
  </si>
  <si>
    <t>Kaplon, Kristen</t>
  </si>
  <si>
    <t>Natalie, Peeples</t>
  </si>
  <si>
    <t>Lydigsen, Holly</t>
  </si>
  <si>
    <t>Rodgers Walton, Sherrita</t>
  </si>
  <si>
    <t>Larru, Joel</t>
  </si>
  <si>
    <t>Sewell, Shayla, L</t>
  </si>
  <si>
    <t>Hebert, Pamela</t>
  </si>
  <si>
    <t>Timothy D Baty</t>
  </si>
  <si>
    <t>Barger, Laura</t>
  </si>
  <si>
    <t>Jasmine,Roberson</t>
  </si>
  <si>
    <t>Fortenberry, Savannah</t>
  </si>
  <si>
    <t>David, Oliver</t>
  </si>
  <si>
    <t>Joann, Cain</t>
  </si>
  <si>
    <t>Bradley, Emily</t>
  </si>
  <si>
    <t>Anne, Stafford</t>
  </si>
  <si>
    <t>Farnan, Anna, E</t>
  </si>
  <si>
    <t>Barron, Donna</t>
  </si>
  <si>
    <t>Stanley, Mary</t>
  </si>
  <si>
    <t>Floyd, Mark</t>
  </si>
  <si>
    <t>Walker, Larry</t>
  </si>
  <si>
    <t>Davidson, Daniel</t>
  </si>
  <si>
    <t>Burns, Tina</t>
  </si>
  <si>
    <t>Dow, Julie</t>
  </si>
  <si>
    <t>Nelsen, David</t>
  </si>
  <si>
    <t>Thomas, O.H.</t>
  </si>
  <si>
    <t>Scheidler, Heidi</t>
  </si>
  <si>
    <t>Grogan, Susan</t>
  </si>
  <si>
    <t>Vanderford, Robyn Y.</t>
  </si>
  <si>
    <t>Fitzgerald, Brenna</t>
  </si>
  <si>
    <t>Cunningham, Megan</t>
  </si>
  <si>
    <t>Parks, Teresa D.</t>
  </si>
  <si>
    <t>Susan, Mcdaniel</t>
  </si>
  <si>
    <t>Rogers, Brandice</t>
  </si>
  <si>
    <t>Nikbakht, Jamshid</t>
  </si>
  <si>
    <t>Lipscomb, Michael L.</t>
  </si>
  <si>
    <t>Russell, Christy</t>
  </si>
  <si>
    <t>Edwards, Lisa</t>
  </si>
  <si>
    <t>Funmaker, Erika</t>
  </si>
  <si>
    <t>Mccoy, Rachel</t>
  </si>
  <si>
    <t>Parks-Fuller, Holly</t>
  </si>
  <si>
    <t>Winters, Ronald</t>
  </si>
  <si>
    <t>Smith, Pearlean</t>
  </si>
  <si>
    <t>Collins-Vazquez Atecas, Leigh</t>
  </si>
  <si>
    <t>Arnold, Skyler,</t>
  </si>
  <si>
    <t>Wilson, Lisa</t>
  </si>
  <si>
    <t>Brzozkiewicz, Tiffany</t>
  </si>
  <si>
    <t>Meehan, Sara</t>
  </si>
  <si>
    <t>Branscum, Evan</t>
  </si>
  <si>
    <t>Kirkpatrick, Candace</t>
  </si>
  <si>
    <t>Golden, Shannon</t>
  </si>
  <si>
    <t>Oconnell, Michelle</t>
  </si>
  <si>
    <t>Hagaman, Alex, S</t>
  </si>
  <si>
    <t>Shonnard, Kaitlin, R</t>
  </si>
  <si>
    <t>Strickland, Jennifer,</t>
  </si>
  <si>
    <t>Valiani, Salima</t>
  </si>
  <si>
    <t>O'steen, Misty</t>
  </si>
  <si>
    <t>Joseph, Frescura</t>
  </si>
  <si>
    <t>Bailey, Pollock</t>
  </si>
  <si>
    <t>Freeman, Carissa</t>
  </si>
  <si>
    <t>Kresse, Gregory</t>
  </si>
  <si>
    <t>Makapugay, Fidel</t>
  </si>
  <si>
    <t>Mccracken, Gail</t>
  </si>
  <si>
    <t>Dusenbury, Wendy L.</t>
  </si>
  <si>
    <t>Monfee, Andrew</t>
  </si>
  <si>
    <t>Spivey, Ethel</t>
  </si>
  <si>
    <t>Ward, Tye</t>
  </si>
  <si>
    <t>Jain, Mukesh</t>
  </si>
  <si>
    <t>Cronkhite, Kristie</t>
  </si>
  <si>
    <t>Williams, Gwendolyn</t>
  </si>
  <si>
    <t>Rogers, Kelly</t>
  </si>
  <si>
    <t>Whipple, Paul F</t>
  </si>
  <si>
    <t>Hurley, Mary</t>
  </si>
  <si>
    <t>Amari, Mohammed</t>
  </si>
  <si>
    <t>Couch, Yvonne</t>
  </si>
  <si>
    <t>Skinner, Christie</t>
  </si>
  <si>
    <t>Ade, Amy</t>
  </si>
  <si>
    <t>Lamar, Stephanie</t>
  </si>
  <si>
    <t>Abdelmohsen Mohamed, Noha</t>
  </si>
  <si>
    <t>Kincannon, Christina</t>
  </si>
  <si>
    <t>Angela R Garza</t>
  </si>
  <si>
    <t>Geske, Charles</t>
  </si>
  <si>
    <t>Evans, Rhonda</t>
  </si>
  <si>
    <t>Johnston, Sarah</t>
  </si>
  <si>
    <t>Rider, Jess</t>
  </si>
  <si>
    <t>Sidi, Benlamhidi</t>
  </si>
  <si>
    <t>Veean, Satyam</t>
  </si>
  <si>
    <t>Compton, Heidi</t>
  </si>
  <si>
    <t>Cooley, Barbara</t>
  </si>
  <si>
    <t>Green, Eric</t>
  </si>
  <si>
    <t>Runer, Sophia</t>
  </si>
  <si>
    <t>Young, Rachel</t>
  </si>
  <si>
    <t>Sirak, Brian</t>
  </si>
  <si>
    <t>Harper, Mason, G</t>
  </si>
  <si>
    <t>Tamer, Amy</t>
  </si>
  <si>
    <t>Deneshia,Robinson</t>
  </si>
  <si>
    <t>Drumm, Kaci</t>
  </si>
  <si>
    <t>Whited, Laura</t>
  </si>
  <si>
    <t>Saldino, Sydney</t>
  </si>
  <si>
    <t>Donovan, Katie</t>
  </si>
  <si>
    <t>Cloird, Alecia</t>
  </si>
  <si>
    <t>Holley, Lacy</t>
  </si>
  <si>
    <t>Shyanne, Price</t>
  </si>
  <si>
    <t>Armer, Kendra</t>
  </si>
  <si>
    <t>Brawner, Leann M.</t>
  </si>
  <si>
    <t>Williams, Valina</t>
  </si>
  <si>
    <t>Dhakiya, Jackson</t>
  </si>
  <si>
    <t>Elizabeth,Rudman</t>
  </si>
  <si>
    <t>Haiden, Chisnall</t>
  </si>
  <si>
    <t>Elizabeth, Mccann</t>
  </si>
  <si>
    <t>Ashley, Cannon</t>
  </si>
  <si>
    <t>Stickle, Patr</t>
  </si>
  <si>
    <t>Biggers, Sadie</t>
  </si>
  <si>
    <t>Johnson, Jacqueline, M</t>
  </si>
  <si>
    <t>Sappington, Gabriela, G</t>
  </si>
  <si>
    <t>Fritcher, Kelli,</t>
  </si>
  <si>
    <t>Burris, Cara</t>
  </si>
  <si>
    <t>Richardson, Alison</t>
  </si>
  <si>
    <t>Knight, Bethany</t>
  </si>
  <si>
    <t>Abernathy, Mary</t>
  </si>
  <si>
    <t>Machra, Ravinder</t>
  </si>
  <si>
    <t>Breite, Warren</t>
  </si>
  <si>
    <t>Mullins, Michael</t>
  </si>
  <si>
    <t>Davidson, Charles</t>
  </si>
  <si>
    <t>Wise, Lori</t>
  </si>
  <si>
    <t>Henry, Robert</t>
  </si>
  <si>
    <t>Harrington, Gregory</t>
  </si>
  <si>
    <t>Icaza, Ramiro</t>
  </si>
  <si>
    <t>Housh, Ramonda</t>
  </si>
  <si>
    <t>Cowgur, Anna</t>
  </si>
  <si>
    <t>Pirkey, Trey</t>
  </si>
  <si>
    <t>Henry, Leslie</t>
  </si>
  <si>
    <t>Zarepour, Roya</t>
  </si>
  <si>
    <t>White, Felicia</t>
  </si>
  <si>
    <t>Smoyer, Brent</t>
  </si>
  <si>
    <t>Howard, Jenntria</t>
  </si>
  <si>
    <t>Mcminn, Jo</t>
  </si>
  <si>
    <t>Barbee-Lumpkin, Chasta</t>
  </si>
  <si>
    <t>Wiggins, Stephanie</t>
  </si>
  <si>
    <t>Shearer, Shannon</t>
  </si>
  <si>
    <t>Mangroo, Navin</t>
  </si>
  <si>
    <t>Faulk, Scarlett</t>
  </si>
  <si>
    <t>Mccormick, Mallory</t>
  </si>
  <si>
    <t>Aaron, Christina</t>
  </si>
  <si>
    <t>Richardson, Dedra</t>
  </si>
  <si>
    <t>Crone, John</t>
  </si>
  <si>
    <t>Devereux, Lawrence,</t>
  </si>
  <si>
    <t>Nosal, Audra</t>
  </si>
  <si>
    <t>Hart, Kala</t>
  </si>
  <si>
    <t>Pulliam, Angela</t>
  </si>
  <si>
    <t>Boggs, Marissa</t>
  </si>
  <si>
    <t>Roberts, Hillary</t>
  </si>
  <si>
    <t>Maturana Gonzalez, Miguel</t>
  </si>
  <si>
    <t>Pounders, Ashley</t>
  </si>
  <si>
    <t>Rose, Sara</t>
  </si>
  <si>
    <t>Norris, Julia</t>
  </si>
  <si>
    <t>Nguyen, Ai Chau</t>
  </si>
  <si>
    <t>Wycough, Sarah</t>
  </si>
  <si>
    <t>Sauls, Bonn</t>
  </si>
  <si>
    <t>Glenn, Stephanie</t>
  </si>
  <si>
    <t>Barrett, Chri</t>
  </si>
  <si>
    <t>Simmons, Kaitlyn</t>
  </si>
  <si>
    <t>Sparrow, Jordan, K</t>
  </si>
  <si>
    <t>Myers-Obermire, Angela</t>
  </si>
  <si>
    <t>Clark, Jared</t>
  </si>
  <si>
    <t>Patterson, Hannah E.</t>
  </si>
  <si>
    <t>Dillard, Felicia</t>
  </si>
  <si>
    <t>Thompson Davis, Kelly G.</t>
  </si>
  <si>
    <t>Blackard, Katrina M.</t>
  </si>
  <si>
    <t>Rone, Christina</t>
  </si>
  <si>
    <t>Moore, Joshua</t>
  </si>
  <si>
    <t>House, Joseph,</t>
  </si>
  <si>
    <t>Lay, Mackenzie</t>
  </si>
  <si>
    <t>Franklin, E. Arthur</t>
  </si>
  <si>
    <t>Raghavan, Rhodora</t>
  </si>
  <si>
    <t>Woodruff, Stephen</t>
  </si>
  <si>
    <t>Wah, John</t>
  </si>
  <si>
    <t>Houchin, Vonda G</t>
  </si>
  <si>
    <t>Beuchert, Philip</t>
  </si>
  <si>
    <t>Simpson, Ronald</t>
  </si>
  <si>
    <t>Summers, Samuel</t>
  </si>
  <si>
    <t>Rook, Robert</t>
  </si>
  <si>
    <t>Ramiro, Mark A</t>
  </si>
  <si>
    <t>Greathouse, Sara</t>
  </si>
  <si>
    <t>Lambert, Jennifer</t>
  </si>
  <si>
    <t>Hashmi, Abeer</t>
  </si>
  <si>
    <t>Smith, Chandra</t>
  </si>
  <si>
    <t>Thompson, Colin M</t>
  </si>
  <si>
    <t>Ryscavage, Julia</t>
  </si>
  <si>
    <t>Lane, John</t>
  </si>
  <si>
    <t>Bryant, Renita</t>
  </si>
  <si>
    <t>Ragsdale, Stephanie</t>
  </si>
  <si>
    <t>Mcmillon, Jacob</t>
  </si>
  <si>
    <t>Potts, Kelly</t>
  </si>
  <si>
    <t>Dewberry, Kendra</t>
  </si>
  <si>
    <t>Coats, Casie F.</t>
  </si>
  <si>
    <t>Azubuike, Akachi</t>
  </si>
  <si>
    <t>Baker, Alex</t>
  </si>
  <si>
    <t>Winford, Taesha</t>
  </si>
  <si>
    <t>Farrell, Chelsey</t>
  </si>
  <si>
    <t>Cowell, Amanda</t>
  </si>
  <si>
    <t>Collins, Stacy</t>
  </si>
  <si>
    <t>Hoffman, Mary,</t>
  </si>
  <si>
    <t>Wright, Kent</t>
  </si>
  <si>
    <t>Rash, Tunj</t>
  </si>
  <si>
    <t>Owens, Danielle</t>
  </si>
  <si>
    <t>Bell, Gregory</t>
  </si>
  <si>
    <t>Stewart, Krystal</t>
  </si>
  <si>
    <t>Mendoza, Patricia</t>
  </si>
  <si>
    <t>Scott, Stacy</t>
  </si>
  <si>
    <t>Arshad, Amsa</t>
  </si>
  <si>
    <t>Speed, Brenda</t>
  </si>
  <si>
    <t>Rowland, Joshua</t>
  </si>
  <si>
    <t>Richmond, Madeline</t>
  </si>
  <si>
    <t>Hopson, Bridget</t>
  </si>
  <si>
    <t>Denevan, Misty</t>
  </si>
  <si>
    <t>Garner, Mina</t>
  </si>
  <si>
    <t>Osborn, Judy</t>
  </si>
  <si>
    <t>Delph, Deverick, D</t>
  </si>
  <si>
    <t>Mills, Benjamin D</t>
  </si>
  <si>
    <t>Alam, Sinthia,</t>
  </si>
  <si>
    <t>Thelen, Kristen</t>
  </si>
  <si>
    <t>Smith, Audrey</t>
  </si>
  <si>
    <t>Jay, Jennifer</t>
  </si>
  <si>
    <t>Shaw, Hannah</t>
  </si>
  <si>
    <t>Ragin, Andrew C</t>
  </si>
  <si>
    <t>Liga, Elvira</t>
  </si>
  <si>
    <t>Bermudez, Joy, L</t>
  </si>
  <si>
    <t>Slaughter, Sandra</t>
  </si>
  <si>
    <t>Jessica E Lee</t>
  </si>
  <si>
    <t>Norwood, Savannah, M</t>
  </si>
  <si>
    <t>Hristoskova, Rossitza</t>
  </si>
  <si>
    <t>Filchock, Joanne</t>
  </si>
  <si>
    <t>Bates, Ronald</t>
  </si>
  <si>
    <t>Webb Crowell, Karen</t>
  </si>
  <si>
    <t>Cruz Leal, Wilson</t>
  </si>
  <si>
    <t>Harris, Thomas</t>
  </si>
  <si>
    <t>Phomakay, Chansamone</t>
  </si>
  <si>
    <t>Henson, Laura</t>
  </si>
  <si>
    <t>Coplon, Debra L.</t>
  </si>
  <si>
    <t>Dahl, Mindy, L</t>
  </si>
  <si>
    <t>Morrison, Derek</t>
  </si>
  <si>
    <t>Furtado, Amanda</t>
  </si>
  <si>
    <t>Barnes, Tyler</t>
  </si>
  <si>
    <t>Potter, Charrae</t>
  </si>
  <si>
    <t>Batterton, Leslie</t>
  </si>
  <si>
    <t>Cummens, Kathleen</t>
  </si>
  <si>
    <t>Hazlewood, Annabeth</t>
  </si>
  <si>
    <t>Collins, Gene</t>
  </si>
  <si>
    <t>Williams, Jesse</t>
  </si>
  <si>
    <t>Byrd, Sharon</t>
  </si>
  <si>
    <t>Harsson, Judy</t>
  </si>
  <si>
    <t>Carson, Michael</t>
  </si>
  <si>
    <t>Chacanaca, Kellie</t>
  </si>
  <si>
    <t>Epperson, Kassandra S</t>
  </si>
  <si>
    <t>Wilford, Boone</t>
  </si>
  <si>
    <t>Grijaldo, Amory Godwin</t>
  </si>
  <si>
    <t>Haydar, Ali</t>
  </si>
  <si>
    <t>Obermark, Daniel R</t>
  </si>
  <si>
    <t>Jeffery, Yolanda</t>
  </si>
  <si>
    <t>Woods, Shannon</t>
  </si>
  <si>
    <t>Burkett, Jennifer</t>
  </si>
  <si>
    <t>Cronin, Julius M.</t>
  </si>
  <si>
    <t>Bryant, Gina</t>
  </si>
  <si>
    <t>Laura, Kelly</t>
  </si>
  <si>
    <t>Stephen, Pace</t>
  </si>
  <si>
    <t>Walt, Ryland</t>
  </si>
  <si>
    <t>Enderlin, Rachel</t>
  </si>
  <si>
    <t>Windholz, Julie, M</t>
  </si>
  <si>
    <t>Shockley, Tanna</t>
  </si>
  <si>
    <t>Chappell, Samantha</t>
  </si>
  <si>
    <t>Holloway, Arielle</t>
  </si>
  <si>
    <t>Buslig, Gelina, G</t>
  </si>
  <si>
    <t>Williams, Lydia</t>
  </si>
  <si>
    <t>Rose, Johnathan</t>
  </si>
  <si>
    <t>Street, David</t>
  </si>
  <si>
    <t>Palak L Krushiker</t>
  </si>
  <si>
    <t>Hilton, Hannah</t>
  </si>
  <si>
    <t>Mauldin, Brit</t>
  </si>
  <si>
    <t>Sharon C Gant</t>
  </si>
  <si>
    <t>Dominicque, Carver</t>
  </si>
  <si>
    <t>Ginger, Holloway</t>
  </si>
  <si>
    <t>Audrey,Alexander</t>
  </si>
  <si>
    <t>Roylance, Jeffrey</t>
  </si>
  <si>
    <t>Arnold, Audrey</t>
  </si>
  <si>
    <t>Ervin, Stacey</t>
  </si>
  <si>
    <t>Gordin, Audrey</t>
  </si>
  <si>
    <t>Seaton, Regina</t>
  </si>
  <si>
    <t>Azad, Sameera</t>
  </si>
  <si>
    <t>Murphy, Michael</t>
  </si>
  <si>
    <t>Willis, Kimberly</t>
  </si>
  <si>
    <t>Osborn, Matthew</t>
  </si>
  <si>
    <t>Gaskins, Amy</t>
  </si>
  <si>
    <t>Crabtree, Timothy</t>
  </si>
  <si>
    <t>Watson, Crystal</t>
  </si>
  <si>
    <t>Mccandless, Jason</t>
  </si>
  <si>
    <t>Thornhill, Christy</t>
  </si>
  <si>
    <t>Newson, Anthony</t>
  </si>
  <si>
    <t>Searcy, Joshua</t>
  </si>
  <si>
    <t>Webb, Nalisha</t>
  </si>
  <si>
    <t>Ryan, Stefanie</t>
  </si>
  <si>
    <t>Mize, Rebekah</t>
  </si>
  <si>
    <t>Hunt, Amber</t>
  </si>
  <si>
    <t>Jackson, Hannah N</t>
  </si>
  <si>
    <t>Lambert, Daphne</t>
  </si>
  <si>
    <t>Caston, Taylor</t>
  </si>
  <si>
    <t>Miller, Sandra</t>
  </si>
  <si>
    <t>Anderson, Frank</t>
  </si>
  <si>
    <t>Hall, Joshua</t>
  </si>
  <si>
    <t>Gordon, Mandy</t>
  </si>
  <si>
    <t>Holmes, Crystal</t>
  </si>
  <si>
    <t>Kadhim, Zuhal</t>
  </si>
  <si>
    <t>Ward, Rebekah M</t>
  </si>
  <si>
    <t>Averill, Emily</t>
  </si>
  <si>
    <t>Real, Chelsea</t>
  </si>
  <si>
    <t>Carmichael, Taylor</t>
  </si>
  <si>
    <t>Daniel, Courtney</t>
  </si>
  <si>
    <t>Hinde, Bryce</t>
  </si>
  <si>
    <t>Kayla, Godsey</t>
  </si>
  <si>
    <t>Brown, Rebecca</t>
  </si>
  <si>
    <t>Tollett, Amanda</t>
  </si>
  <si>
    <t>Mcdonald, Devin</t>
  </si>
  <si>
    <t>Ross, Lenzen</t>
  </si>
  <si>
    <t>Jones, Michelle D</t>
  </si>
  <si>
    <t>Erly, Dominique</t>
  </si>
  <si>
    <t>Hammett, Carole A</t>
  </si>
  <si>
    <t>Hainzer, Meaghan, A</t>
  </si>
  <si>
    <t>Sharon Williams</t>
  </si>
  <si>
    <t>Kindra,Mckee</t>
  </si>
  <si>
    <t>Alexandria, Peterson</t>
  </si>
  <si>
    <t>Sullivan, Cary</t>
  </si>
  <si>
    <t>Ison, Keith</t>
  </si>
  <si>
    <t>Hayes, Burton</t>
  </si>
  <si>
    <t>Lisk, Deanna</t>
  </si>
  <si>
    <t>Brownfield, Shannon</t>
  </si>
  <si>
    <t>Everson, Freddie</t>
  </si>
  <si>
    <t>Walsh, Benjamin</t>
  </si>
  <si>
    <t>Thompson, Barry</t>
  </si>
  <si>
    <t>Maass, Adam</t>
  </si>
  <si>
    <t>Stevens-Abplanalp, Sheila</t>
  </si>
  <si>
    <t>Katz, Paul</t>
  </si>
  <si>
    <t>Carpenter, Julie</t>
  </si>
  <si>
    <t>Jackson, George</t>
  </si>
  <si>
    <t>Coffey, Janie</t>
  </si>
  <si>
    <t>Toombs, Amber</t>
  </si>
  <si>
    <t>Carr, Stacey, E</t>
  </si>
  <si>
    <t>Baker, Sean</t>
  </si>
  <si>
    <t>Flinn, Kevin</t>
  </si>
  <si>
    <t>Stanley, Peggy</t>
  </si>
  <si>
    <t>Millican, Whitney</t>
  </si>
  <si>
    <t>Gee, Chance W</t>
  </si>
  <si>
    <t>Johnson, Katherine</t>
  </si>
  <si>
    <t>Jennifer, Boyd</t>
  </si>
  <si>
    <t>Sanders, Lara</t>
  </si>
  <si>
    <t>Burgess, Jodi</t>
  </si>
  <si>
    <t>Harris, Breanna, N</t>
  </si>
  <si>
    <t>Whitten, Patience</t>
  </si>
  <si>
    <t>Ashley, Glover</t>
  </si>
  <si>
    <t>Staci, Cochran</t>
  </si>
  <si>
    <t>Stoll, Katharine</t>
  </si>
  <si>
    <t>Collins, Caylin</t>
  </si>
  <si>
    <t>Warren, Nathan</t>
  </si>
  <si>
    <t>Barnett, Joshua</t>
  </si>
  <si>
    <t>Rephan, Rosanna</t>
  </si>
  <si>
    <t>Noel, Alana</t>
  </si>
  <si>
    <t>Long, Stephanie</t>
  </si>
  <si>
    <t>Alexander, Ryain</t>
  </si>
  <si>
    <t>Gaskins, Christopher</t>
  </si>
  <si>
    <t>Chesley H Murphy</t>
  </si>
  <si>
    <t>Lloyd, Lillian</t>
  </si>
  <si>
    <t>Cordo, Courtney</t>
  </si>
  <si>
    <t>Davis, Daniel</t>
  </si>
  <si>
    <t>Poleski, Carolyn,</t>
  </si>
  <si>
    <t>Keys, Antwanette</t>
  </si>
  <si>
    <t>Dugas, Julianne</t>
  </si>
  <si>
    <t>Brown, Amber</t>
  </si>
  <si>
    <t>Nicholson, Katie, D</t>
  </si>
  <si>
    <t>Valdes, Raymond</t>
  </si>
  <si>
    <t>Allen, Joseph</t>
  </si>
  <si>
    <t>Walker, Debra</t>
  </si>
  <si>
    <t>Black, Sherry</t>
  </si>
  <si>
    <t>King, Kathy S.</t>
  </si>
  <si>
    <t>Jaggers Bryson, Linda</t>
  </si>
  <si>
    <t>Ureda, Tonya J</t>
  </si>
  <si>
    <t>Patel, Shailesh</t>
  </si>
  <si>
    <t>Attaway, Jamie</t>
  </si>
  <si>
    <t>Findley, Rhonda</t>
  </si>
  <si>
    <t>Searcy, Rhonald</t>
  </si>
  <si>
    <t>Sain, Mary</t>
  </si>
  <si>
    <t>Paslay, David</t>
  </si>
  <si>
    <t>Huber, Jennifer</t>
  </si>
  <si>
    <t>Shaw, Lindsey</t>
  </si>
  <si>
    <t>Perez, Hannah</t>
  </si>
  <si>
    <t>Baker, Kara</t>
  </si>
  <si>
    <t>Mccrary, Sherry</t>
  </si>
  <si>
    <t>Declerk, Amy</t>
  </si>
  <si>
    <t>Swim, Kellie</t>
  </si>
  <si>
    <t>Jaramillo, Erica</t>
  </si>
  <si>
    <t>Pitman, Austin</t>
  </si>
  <si>
    <t>Hurt, Joshua</t>
  </si>
  <si>
    <t>Rolon, Katherine</t>
  </si>
  <si>
    <t>Childress, Dana</t>
  </si>
  <si>
    <t>Manning, Amanda</t>
  </si>
  <si>
    <t>Webster, Cody</t>
  </si>
  <si>
    <t>Elms, Amy</t>
  </si>
  <si>
    <t>Dailey, Sarah</t>
  </si>
  <si>
    <t>Houseal, Michael</t>
  </si>
  <si>
    <t>Taubert, Riley, R</t>
  </si>
  <si>
    <t>Skudder, Mary</t>
  </si>
  <si>
    <t>Swearingen, Melisa</t>
  </si>
  <si>
    <t>Ford, Melinda</t>
  </si>
  <si>
    <t>Morris, Casey</t>
  </si>
  <si>
    <t>Duong, Wynn</t>
  </si>
  <si>
    <t>Hellums, Kayla,</t>
  </si>
  <si>
    <t>Wilson, Jennifer, L</t>
  </si>
  <si>
    <t>Rolins, Savannah, M</t>
  </si>
  <si>
    <t>Ali, Mahmood</t>
  </si>
  <si>
    <t>Ross, Rex</t>
  </si>
  <si>
    <t>Craig, Michael</t>
  </si>
  <si>
    <t>Bell, Brian</t>
  </si>
  <si>
    <t>Ferguson, Clay</t>
  </si>
  <si>
    <t>Motley, Annemarie</t>
  </si>
  <si>
    <t>Barton, Arlis</t>
  </si>
  <si>
    <t>Stork, John</t>
  </si>
  <si>
    <t>Bennett, Nathan</t>
  </si>
  <si>
    <t>Delvecchio, Jeffrey</t>
  </si>
  <si>
    <t>Screws, Stacy L</t>
  </si>
  <si>
    <t>Bitner, Marlys</t>
  </si>
  <si>
    <t>Bryan, Cynthia</t>
  </si>
  <si>
    <t>Bhakta, Sonal</t>
  </si>
  <si>
    <t>Guynn, Zachary</t>
  </si>
  <si>
    <t>Alderson, Jessica</t>
  </si>
  <si>
    <t>West, Wendy</t>
  </si>
  <si>
    <t>Lasso, Ronan</t>
  </si>
  <si>
    <t>Whaley, Ella</t>
  </si>
  <si>
    <t>Rhoads, Jennifer</t>
  </si>
  <si>
    <t>Cupps, Jennifer</t>
  </si>
  <si>
    <t>Christensen, Theresa</t>
  </si>
  <si>
    <t>Hudson, Fines</t>
  </si>
  <si>
    <t>Gilmore, Kelsey</t>
  </si>
  <si>
    <t>John, Coates</t>
  </si>
  <si>
    <t>Beenye, Blayne</t>
  </si>
  <si>
    <t>Vinas, Jessica</t>
  </si>
  <si>
    <t>Mack, Rickey</t>
  </si>
  <si>
    <t>Williams, Gyton</t>
  </si>
  <si>
    <t>Dansby, Donna</t>
  </si>
  <si>
    <t>Aud, Jamie</t>
  </si>
  <si>
    <t>Myers, Samantha</t>
  </si>
  <si>
    <t>Longnecker, Jordan</t>
  </si>
  <si>
    <t>Eddings, Daniel M</t>
  </si>
  <si>
    <t>Williams, Raven</t>
  </si>
  <si>
    <t>Pamela,Garner</t>
  </si>
  <si>
    <t>Wilkinson, Courtney</t>
  </si>
  <si>
    <t>Gant, Jenn</t>
  </si>
  <si>
    <t>Lakha, Vivek</t>
  </si>
  <si>
    <t>Taylor, Roberts</t>
  </si>
  <si>
    <t>Hughes, Devon,</t>
  </si>
  <si>
    <t>Medeiros, Felipe</t>
  </si>
  <si>
    <t>Rana, Javed</t>
  </si>
  <si>
    <t>Shinn, Randy</t>
  </si>
  <si>
    <t>Baig, Abdullah</t>
  </si>
  <si>
    <t>Cooper, Daniel</t>
  </si>
  <si>
    <t>Bowling, Brett</t>
  </si>
  <si>
    <t>Hill, Robert</t>
  </si>
  <si>
    <t>Collum, Grady</t>
  </si>
  <si>
    <t>Burkett, Benjamin</t>
  </si>
  <si>
    <t>Adams, Fleming</t>
  </si>
  <si>
    <t>Green, Sandra</t>
  </si>
  <si>
    <t>Schoen, Doris</t>
  </si>
  <si>
    <t>Brightwell, David</t>
  </si>
  <si>
    <t>Booker, Timothy</t>
  </si>
  <si>
    <t>Langer, Neil</t>
  </si>
  <si>
    <t>Barlogie, Eva</t>
  </si>
  <si>
    <t>Green, Michelle</t>
  </si>
  <si>
    <t>Trapp, Clark</t>
  </si>
  <si>
    <t>Graham, Shannon</t>
  </si>
  <si>
    <t>Kuddes, Candice</t>
  </si>
  <si>
    <t>Zhang, Qiuhua</t>
  </si>
  <si>
    <t>Colson, Morgan</t>
  </si>
  <si>
    <t>Johnson, Brianna</t>
  </si>
  <si>
    <t>Dunagan, Courtney</t>
  </si>
  <si>
    <t>Shorter, Carl W</t>
  </si>
  <si>
    <t>York, Carson</t>
  </si>
  <si>
    <t>Bennett, Megan</t>
  </si>
  <si>
    <t>Wood, Kristin</t>
  </si>
  <si>
    <t>Freeman, Whitney L.</t>
  </si>
  <si>
    <t>Williams, Danelle</t>
  </si>
  <si>
    <t>Cathey, Savanna</t>
  </si>
  <si>
    <t>Massey, Lindsay</t>
  </si>
  <si>
    <t>Glenda,Gore</t>
  </si>
  <si>
    <t>Autumn, Mcarthur</t>
  </si>
  <si>
    <t>Wigley, Mary</t>
  </si>
  <si>
    <t>Sullivan, Kimberly,</t>
  </si>
  <si>
    <t>Taylor, Cope</t>
  </si>
  <si>
    <t>Susan,Harrod</t>
  </si>
  <si>
    <t>Tracy, Bonee</t>
  </si>
  <si>
    <t>Birge, Kayla, S</t>
  </si>
  <si>
    <t>Payne, Cortney,</t>
  </si>
  <si>
    <t>Dewalt, Bre Yocha</t>
  </si>
  <si>
    <t>Abbas, Anum,</t>
  </si>
  <si>
    <t>Ballard, Devon</t>
  </si>
  <si>
    <t>Gaston, Wendy</t>
  </si>
  <si>
    <t>Stone, William</t>
  </si>
  <si>
    <t>Harper, Jon</t>
  </si>
  <si>
    <t>Hurlow, Jennifer</t>
  </si>
  <si>
    <t>Abdelal, Ahmed</t>
  </si>
  <si>
    <t>Hyden, John</t>
  </si>
  <si>
    <t>Mathis, Jennifer</t>
  </si>
  <si>
    <t>Hopson, Deanna</t>
  </si>
  <si>
    <t>Dillard, Bonnie</t>
  </si>
  <si>
    <t>Magness, Carl</t>
  </si>
  <si>
    <t>Dorris, Linda</t>
  </si>
  <si>
    <t>Stamps, Henry</t>
  </si>
  <si>
    <t>Sandusky, Marie</t>
  </si>
  <si>
    <t>Shalini,Bichala</t>
  </si>
  <si>
    <t>Clark, Nichole</t>
  </si>
  <si>
    <t>Callaghan, Timothy</t>
  </si>
  <si>
    <t>James, Sara</t>
  </si>
  <si>
    <t>Johnson, Jeff</t>
  </si>
  <si>
    <t>Wright, Meera</t>
  </si>
  <si>
    <t>Muttineni, Sanjay,</t>
  </si>
  <si>
    <t>Mott, Bethany</t>
  </si>
  <si>
    <t>George, Martha</t>
  </si>
  <si>
    <t>Bailey, Lindsey</t>
  </si>
  <si>
    <t>Pugsley, Angela</t>
  </si>
  <si>
    <t>Payne, Amber</t>
  </si>
  <si>
    <t>Mathis, Chandra</t>
  </si>
  <si>
    <t>Johnson, Stacy</t>
  </si>
  <si>
    <t>Presson, Chelsea</t>
  </si>
  <si>
    <t>Khan, Shoaib</t>
  </si>
  <si>
    <t>Coleman, Nakille</t>
  </si>
  <si>
    <t>Oglesby, Lauren</t>
  </si>
  <si>
    <t>Russell, Jessica</t>
  </si>
  <si>
    <t>Bays, Julie</t>
  </si>
  <si>
    <t>Richard,Christian</t>
  </si>
  <si>
    <t>Wilson, Melissa</t>
  </si>
  <si>
    <t>Spurlock, Traci</t>
  </si>
  <si>
    <t>Nezakat, Sina</t>
  </si>
  <si>
    <t>Twist, Hope</t>
  </si>
  <si>
    <t>Bratton, Juliaetta</t>
  </si>
  <si>
    <t>Womack, Brandon</t>
  </si>
  <si>
    <t>Emily,Cook</t>
  </si>
  <si>
    <t>Gray, Porsche, S</t>
  </si>
  <si>
    <t>Dunbar, David, B</t>
  </si>
  <si>
    <t>Rowe, Cynthia</t>
  </si>
  <si>
    <t>Caldwell, Fred</t>
  </si>
  <si>
    <t>York, Andrea L</t>
  </si>
  <si>
    <t>Ellis, Stefanie</t>
  </si>
  <si>
    <t>Pearson, Shanna</t>
  </si>
  <si>
    <t>Douglas, Lori</t>
  </si>
  <si>
    <t>Satpute, Aditee</t>
  </si>
  <si>
    <t>Alexander, John</t>
  </si>
  <si>
    <t>Mayo, Jayme, H</t>
  </si>
  <si>
    <t>Britman, Valerie</t>
  </si>
  <si>
    <t>Smith, Virginia</t>
  </si>
  <si>
    <t>Bradford, Natalie</t>
  </si>
  <si>
    <t>Sayson, Paula</t>
  </si>
  <si>
    <t>Powers, Rebecca</t>
  </si>
  <si>
    <t>Ary, Leslie</t>
  </si>
  <si>
    <t>Albery, Kari R</t>
  </si>
  <si>
    <t>Adkins, Michael</t>
  </si>
  <si>
    <t>Kitchen, Dall</t>
  </si>
  <si>
    <t>Hatfield, Marie</t>
  </si>
  <si>
    <t>Greer, Chassity W.</t>
  </si>
  <si>
    <t>Merriman, Joshua</t>
  </si>
  <si>
    <t>Crowder, Ryan</t>
  </si>
  <si>
    <t>Layton Hayden, Angela</t>
  </si>
  <si>
    <t>Noble, Kendal</t>
  </si>
  <si>
    <t>Von, Edwins, Kirby</t>
  </si>
  <si>
    <t>King, Mary</t>
  </si>
  <si>
    <t>Quraeshi, Saher,</t>
  </si>
  <si>
    <t>Mcdaniels, Brittany</t>
  </si>
  <si>
    <t>Flippo, Brittany, A</t>
  </si>
  <si>
    <t>Cromer, Angela</t>
  </si>
  <si>
    <t>Whitehead, Daniel</t>
  </si>
  <si>
    <t>Mings, Tawni S</t>
  </si>
  <si>
    <t>England, Katherine</t>
  </si>
  <si>
    <t>Phillips, Lori</t>
  </si>
  <si>
    <t>Moss, Lauren</t>
  </si>
  <si>
    <t>Reano, Amy</t>
  </si>
  <si>
    <t>Ochoa, Tabitha</t>
  </si>
  <si>
    <t>Spence, Brittany</t>
  </si>
  <si>
    <t>Gilliland, Tracie</t>
  </si>
  <si>
    <t>Kaylin</t>
  </si>
  <si>
    <t>Fitch, Charles M.</t>
  </si>
  <si>
    <t>Phillips-Sharkey, Mikail</t>
  </si>
  <si>
    <t>Leavengood, April, L</t>
  </si>
  <si>
    <t>Leeds, Summer,</t>
  </si>
  <si>
    <t>Harris, Gillian</t>
  </si>
  <si>
    <t>Parker, Sierra,</t>
  </si>
  <si>
    <t>Jorgensen, Michael,</t>
  </si>
  <si>
    <t>Mogridge, Elizabeth</t>
  </si>
  <si>
    <t>Balentine, Brent,</t>
  </si>
  <si>
    <t>Crawford, John</t>
  </si>
  <si>
    <t>Norys, James</t>
  </si>
  <si>
    <t>Covert, Kent</t>
  </si>
  <si>
    <t>Bodemann, Donald</t>
  </si>
  <si>
    <t>Tinsley, Austin</t>
  </si>
  <si>
    <t>Parker, Charles</t>
  </si>
  <si>
    <t>Casper, Robert</t>
  </si>
  <si>
    <t>Iwueke, Izuchukwu</t>
  </si>
  <si>
    <t>Williams, Channoah</t>
  </si>
  <si>
    <t>Johnson, Stephen M.</t>
  </si>
  <si>
    <t>Crabtree, Jo</t>
  </si>
  <si>
    <t>Moss, Jaclyn</t>
  </si>
  <si>
    <t>Lester, Laura</t>
  </si>
  <si>
    <t>Tullos, Wendy</t>
  </si>
  <si>
    <t>Smith, Sherrica S.</t>
  </si>
  <si>
    <t>Clough, Dawn</t>
  </si>
  <si>
    <t>Beasley, John B.</t>
  </si>
  <si>
    <t>Dunn, Colton</t>
  </si>
  <si>
    <t>Brown, Sara</t>
  </si>
  <si>
    <t>Mccorkle, Charles</t>
  </si>
  <si>
    <t>Engelkes, Alisha</t>
  </si>
  <si>
    <t>Krohn, Meredith</t>
  </si>
  <si>
    <t>Houston, Dana</t>
  </si>
  <si>
    <t>Minniear-Corrons, Megan</t>
  </si>
  <si>
    <t>Dunn, Stephanie</t>
  </si>
  <si>
    <t>Nguyrn, Ngoc-Tran</t>
  </si>
  <si>
    <t>Montgomery, Collin</t>
  </si>
  <si>
    <t>Brown, Jacquelyne</t>
  </si>
  <si>
    <t>Trint, Gunnels</t>
  </si>
  <si>
    <t>Singh, Lovepreet</t>
  </si>
  <si>
    <t>Valerie, Elizabeth</t>
  </si>
  <si>
    <t>Fabiola,Cardozo Morales</t>
  </si>
  <si>
    <t>Wolf, Kayla</t>
  </si>
  <si>
    <t>Courser, Jennifer</t>
  </si>
  <si>
    <t>Alwardt, Blake, J</t>
  </si>
  <si>
    <t>Nelson, Billie</t>
  </si>
  <si>
    <t>Karri, Manozna,</t>
  </si>
  <si>
    <t>Orange, Michelle</t>
  </si>
  <si>
    <t>Howell, Jami</t>
  </si>
  <si>
    <t>Forte, Candice</t>
  </si>
  <si>
    <t>White, Aime</t>
  </si>
  <si>
    <t>Ashley,Troillett</t>
  </si>
  <si>
    <t>Henderson, Stephanie</t>
  </si>
  <si>
    <t>Hendrixson, Faith,</t>
  </si>
  <si>
    <t>Cross, Randall</t>
  </si>
  <si>
    <t>Merrick, Jason</t>
  </si>
  <si>
    <t>Bethea, Amber</t>
  </si>
  <si>
    <t>Weaver, Kenneth</t>
  </si>
  <si>
    <t>Crump, Mark</t>
  </si>
  <si>
    <t>Bray, Dana</t>
  </si>
  <si>
    <t>Cox, Douglas</t>
  </si>
  <si>
    <t>Julie, Schwarz</t>
  </si>
  <si>
    <t>Mosby, Linda</t>
  </si>
  <si>
    <t>Word Nipps, Jennifer</t>
  </si>
  <si>
    <t>Balis, Luc</t>
  </si>
  <si>
    <t>Cheney, Lori</t>
  </si>
  <si>
    <t>Donahoe, Edgar</t>
  </si>
  <si>
    <t>Williams, Sherry</t>
  </si>
  <si>
    <t>Woodruff, Sarah</t>
  </si>
  <si>
    <t>Deaton, Danna</t>
  </si>
  <si>
    <t>Childers, Melissa</t>
  </si>
  <si>
    <t>Hase, Vivian</t>
  </si>
  <si>
    <t>Tanner, Shirley</t>
  </si>
  <si>
    <t>Key, Kendall</t>
  </si>
  <si>
    <t>Comstock, Nicole</t>
  </si>
  <si>
    <t>Green, Latonya</t>
  </si>
  <si>
    <t>Speake, Joseph</t>
  </si>
  <si>
    <t>Spence, Kristin</t>
  </si>
  <si>
    <t>Long, Donna</t>
  </si>
  <si>
    <t>Tillery, Jennifer</t>
  </si>
  <si>
    <t>Yates, James</t>
  </si>
  <si>
    <t>Johnson, Christopher</t>
  </si>
  <si>
    <t>Smallridge, Lindsey</t>
  </si>
  <si>
    <t>Jeffers, Charles</t>
  </si>
  <si>
    <t>Epperson, Tiffany</t>
  </si>
  <si>
    <t>White, Cynthia</t>
  </si>
  <si>
    <t>Erickson, Whitney</t>
  </si>
  <si>
    <t>Peer, Wilbur</t>
  </si>
  <si>
    <t>Pulliam, Sara</t>
  </si>
  <si>
    <t>Konda, Manojna</t>
  </si>
  <si>
    <t>Nelson, Amanda L.</t>
  </si>
  <si>
    <t>Boeckman, Miranda</t>
  </si>
  <si>
    <t>Andersen, Wesley M</t>
  </si>
  <si>
    <t>Costello, Leah</t>
  </si>
  <si>
    <t>Thornell, Liam</t>
  </si>
  <si>
    <t>Baker, Brigette</t>
  </si>
  <si>
    <t>Mcbride, Lauren</t>
  </si>
  <si>
    <t>Acord, Amber</t>
  </si>
  <si>
    <t>Brown, Lachanda</t>
  </si>
  <si>
    <t>Ayesh, Waleed</t>
  </si>
  <si>
    <t>Bradley, Karli</t>
  </si>
  <si>
    <t>Engle, William, P</t>
  </si>
  <si>
    <t>Lamb, Lino</t>
  </si>
  <si>
    <t>Corter, Mendy</t>
  </si>
  <si>
    <t>French, Makayla</t>
  </si>
  <si>
    <t>Kerry Gregory</t>
  </si>
  <si>
    <t>Horne, Amanda</t>
  </si>
  <si>
    <t>Taryn, Frazier</t>
  </si>
  <si>
    <t>Angie M Knight</t>
  </si>
  <si>
    <t>Shantae, Rankin</t>
  </si>
  <si>
    <t>Starks, Alexis, N</t>
  </si>
  <si>
    <t>Dowell, Stanley</t>
  </si>
  <si>
    <t>Fox, Clinton</t>
  </si>
  <si>
    <t>Corbitt, Laurie</t>
  </si>
  <si>
    <t>Becker, Royal</t>
  </si>
  <si>
    <t>Henley, C. Noel</t>
  </si>
  <si>
    <t>Mcintosh, Linda</t>
  </si>
  <si>
    <t>Newman, Stephanie</t>
  </si>
  <si>
    <t>Ball, Patrick</t>
  </si>
  <si>
    <t>Dixon Cupit, Ellen</t>
  </si>
  <si>
    <t>Verma, Cheryl</t>
  </si>
  <si>
    <t>Clawson, Jody</t>
  </si>
  <si>
    <t>Musham, Chaitanya</t>
  </si>
  <si>
    <t>Lewis Williams, Shaneika</t>
  </si>
  <si>
    <t>Strack, Jessica</t>
  </si>
  <si>
    <t>Whitten, Lacie</t>
  </si>
  <si>
    <t>Garner, Toni</t>
  </si>
  <si>
    <t>Trent, Alisha</t>
  </si>
  <si>
    <t>Law, Matthew</t>
  </si>
  <si>
    <t>Aleck, Rebecca</t>
  </si>
  <si>
    <t>Baldeo, Candice</t>
  </si>
  <si>
    <t>Nielsen, Erika</t>
  </si>
  <si>
    <t>Balguri, Sumanth</t>
  </si>
  <si>
    <t>Ivy, Angela</t>
  </si>
  <si>
    <t>Mcnamara, Timothy</t>
  </si>
  <si>
    <t>Plyler, Lauren S.</t>
  </si>
  <si>
    <t>Rachel,Kelly</t>
  </si>
  <si>
    <t>Motes, Traci</t>
  </si>
  <si>
    <t>Maxwell, Leann</t>
  </si>
  <si>
    <t>Cloud, Michael</t>
  </si>
  <si>
    <t>Bell, Tami</t>
  </si>
  <si>
    <t>Echols, Brooke</t>
  </si>
  <si>
    <t>Dunaway, Geoffrey</t>
  </si>
  <si>
    <t>Drolshagen, Eric</t>
  </si>
  <si>
    <t>Reinhard, Kathryn</t>
  </si>
  <si>
    <t>Charles, Elizabeth A</t>
  </si>
  <si>
    <t>Bissell, Emma Elaine</t>
  </si>
  <si>
    <t>Berndt, Michaela</t>
  </si>
  <si>
    <t>Mandy,Almond</t>
  </si>
  <si>
    <t>Woodall, Aaron</t>
  </si>
  <si>
    <t>Elizabeth S Hardy</t>
  </si>
  <si>
    <t>Kimberly, Insalaco</t>
  </si>
  <si>
    <t>Richards, Shel</t>
  </si>
  <si>
    <t>Hillyer, Shelby, A</t>
  </si>
  <si>
    <t>Young, Ashlynn, M</t>
  </si>
  <si>
    <t>Kidd, Shandell</t>
  </si>
  <si>
    <t>Newman, Melanie</t>
  </si>
  <si>
    <t>Lewelling, Terri</t>
  </si>
  <si>
    <t>Wong, Joseph</t>
  </si>
  <si>
    <t>Nepomuceno, Arlene</t>
  </si>
  <si>
    <t>Perez, Carlos</t>
  </si>
  <si>
    <t>Harris, Frances</t>
  </si>
  <si>
    <t>Griebel, Jack</t>
  </si>
  <si>
    <t>Finley, Yvonia</t>
  </si>
  <si>
    <t>North, Michael</t>
  </si>
  <si>
    <t>Humphrey, Yvette</t>
  </si>
  <si>
    <t>Parsons, Harold</t>
  </si>
  <si>
    <t>Zafar, Salman</t>
  </si>
  <si>
    <t>Curtis, Deanna</t>
  </si>
  <si>
    <t>Villagra Diaz, Miguel</t>
  </si>
  <si>
    <t>King, Allison H.</t>
  </si>
  <si>
    <t>Kiatoukaysy, Linda</t>
  </si>
  <si>
    <t>Spollen Iii, John</t>
  </si>
  <si>
    <t>Thaxton, Dylan</t>
  </si>
  <si>
    <t>Fazio, Nicholas</t>
  </si>
  <si>
    <t>Alzaga, Donna</t>
  </si>
  <si>
    <t>Curry, Sabra</t>
  </si>
  <si>
    <t>Steijen, Christi</t>
  </si>
  <si>
    <t>King, Rachel</t>
  </si>
  <si>
    <t>Cazalas Earnest, Christi</t>
  </si>
  <si>
    <t>Laine, Victoria</t>
  </si>
  <si>
    <t>Fikes, Brent</t>
  </si>
  <si>
    <t>Massey, Macy</t>
  </si>
  <si>
    <t>Chu, Marcus</t>
  </si>
  <si>
    <t>Gunderson, Karen</t>
  </si>
  <si>
    <t>Venegas, Pamela</t>
  </si>
  <si>
    <t>Little, Dawn</t>
  </si>
  <si>
    <t>Sweet, Lauren</t>
  </si>
  <si>
    <t>Foltz, Tracy</t>
  </si>
  <si>
    <t>Grimes, Zane</t>
  </si>
  <si>
    <t>York, Jennifer</t>
  </si>
  <si>
    <t>Taylor, Brittany</t>
  </si>
  <si>
    <t>Cheema, Hira</t>
  </si>
  <si>
    <t>Minga, Katy W</t>
  </si>
  <si>
    <t>Cox, Terra</t>
  </si>
  <si>
    <t>Pledger, Kathryn</t>
  </si>
  <si>
    <t>Fallen, Courtney</t>
  </si>
  <si>
    <t>Burks, Mary</t>
  </si>
  <si>
    <t>Peckat, William</t>
  </si>
  <si>
    <t>Hanks, Clark</t>
  </si>
  <si>
    <t>Bognar, Belinda A.</t>
  </si>
  <si>
    <t>Onna, Lau</t>
  </si>
  <si>
    <t>Huskey, Matthew</t>
  </si>
  <si>
    <t>Brown, Carissa</t>
  </si>
  <si>
    <t>Sutterfield, Kasey</t>
  </si>
  <si>
    <t>Tamario Walker</t>
  </si>
  <si>
    <t>Ryan Lawson</t>
  </si>
  <si>
    <t>Jacqueline,Henbest</t>
  </si>
  <si>
    <t>Speer, Lisa J.</t>
  </si>
  <si>
    <t>Ashleigh, Mangrum</t>
  </si>
  <si>
    <t>Songer, Lacey</t>
  </si>
  <si>
    <t>Alicia P Moore</t>
  </si>
  <si>
    <t>Scott, Madison, A</t>
  </si>
  <si>
    <t>Dickerson, Emily</t>
  </si>
  <si>
    <t>Carney, Stephen</t>
  </si>
  <si>
    <t>Bingham, Jennifer</t>
  </si>
  <si>
    <t>Lueders, Andrew</t>
  </si>
  <si>
    <t>Hahn, Mark</t>
  </si>
  <si>
    <t>Debra Frost</t>
  </si>
  <si>
    <t>Walton, Patrick</t>
  </si>
  <si>
    <t>Palencia, Iris</t>
  </si>
  <si>
    <t>Mooney, Dara</t>
  </si>
  <si>
    <t>Humphrey, Sally</t>
  </si>
  <si>
    <t>Jimmerson, Robert</t>
  </si>
  <si>
    <t>Knight, Daniel</t>
  </si>
  <si>
    <t>Howell, John</t>
  </si>
  <si>
    <t>Mabon, Tara</t>
  </si>
  <si>
    <t>Dukes Casey, Jennifer</t>
  </si>
  <si>
    <t>Beierle, Dana</t>
  </si>
  <si>
    <t>Minsky, Mary</t>
  </si>
  <si>
    <t>Johnson, Venecia</t>
  </si>
  <si>
    <t>Aguiar, Clinton</t>
  </si>
  <si>
    <t>Rasmussen, Kendra</t>
  </si>
  <si>
    <t>Cinthia</t>
  </si>
  <si>
    <t>Boggs, Johnna</t>
  </si>
  <si>
    <t>Oakhill, Gregory</t>
  </si>
  <si>
    <t>Rainbolt, Lauren K</t>
  </si>
  <si>
    <t>Roeder, Christina L.</t>
  </si>
  <si>
    <t>Wray, Candy</t>
  </si>
  <si>
    <t>Davis, Emily</t>
  </si>
  <si>
    <t>Hobson, Shepherd</t>
  </si>
  <si>
    <t>Fredlund, Fredric</t>
  </si>
  <si>
    <t>Gates, Katrina</t>
  </si>
  <si>
    <t>Dempsey, Amy</t>
  </si>
  <si>
    <t>Loos, Tabitha</t>
  </si>
  <si>
    <t>Metzger, Kerstie</t>
  </si>
  <si>
    <t>Roden, Paul</t>
  </si>
  <si>
    <t>Ward, Candy L</t>
  </si>
  <si>
    <t>Mckissick, Jasmine, S</t>
  </si>
  <si>
    <t>Breault, Step</t>
  </si>
  <si>
    <t>Zirbel, Cebrina</t>
  </si>
  <si>
    <t>Kellum, Brittany</t>
  </si>
  <si>
    <t>Reno, Derek</t>
  </si>
  <si>
    <t>Sarah, Kuhn</t>
  </si>
  <si>
    <t>Burton, Mandy</t>
  </si>
  <si>
    <t>Watkins, William</t>
  </si>
  <si>
    <t>Nabors, Deanna R.</t>
  </si>
  <si>
    <t>Mosley, David</t>
  </si>
  <si>
    <t>Mcmicheal, Wanda</t>
  </si>
  <si>
    <t>Pennington, Ashley</t>
  </si>
  <si>
    <t>Hines, John</t>
  </si>
  <si>
    <t>Pardew Spanos, Wendy</t>
  </si>
  <si>
    <t>Overstreet, Hugh</t>
  </si>
  <si>
    <t>Fell, John</t>
  </si>
  <si>
    <t>Dean, Todd</t>
  </si>
  <si>
    <t>Mcdermott, Laura, L</t>
  </si>
  <si>
    <t>Murphy, Fred</t>
  </si>
  <si>
    <t>Ugwuh Moss, Nkechi</t>
  </si>
  <si>
    <t>Mccoy, Victoria</t>
  </si>
  <si>
    <t>Trauth, Lydia</t>
  </si>
  <si>
    <t>George, Masil</t>
  </si>
  <si>
    <t>Boutin, Karen</t>
  </si>
  <si>
    <t>Rodgers, Laura</t>
  </si>
  <si>
    <t>Brixey, Jonathan</t>
  </si>
  <si>
    <t>Shelton, Holley D</t>
  </si>
  <si>
    <t>Traylor, Kelly</t>
  </si>
  <si>
    <t>Mcalister, Michael</t>
  </si>
  <si>
    <t>Bennett, Sherilyn</t>
  </si>
  <si>
    <t>Beck, Nataille</t>
  </si>
  <si>
    <t>Avant, Susan</t>
  </si>
  <si>
    <t>Acre, Lacee M</t>
  </si>
  <si>
    <t>Wiles, Sara E.</t>
  </si>
  <si>
    <t>Chhina, Sultan</t>
  </si>
  <si>
    <t>Lopez, Patricia</t>
  </si>
  <si>
    <t>Abbasi, Danish</t>
  </si>
  <si>
    <t>Clark, Linda M.</t>
  </si>
  <si>
    <t>Yingling, Marisa</t>
  </si>
  <si>
    <t>Masters, Amanda</t>
  </si>
  <si>
    <t>Thompson, Katherine</t>
  </si>
  <si>
    <t>Smith, Tina</t>
  </si>
  <si>
    <t>Wells, Dina</t>
  </si>
  <si>
    <t>Preslar, Elizabeth</t>
  </si>
  <si>
    <t>Falls, Raven</t>
  </si>
  <si>
    <t>King, Julie</t>
  </si>
  <si>
    <t>Mathews, Grant</t>
  </si>
  <si>
    <t>Lindsey, Sarah M</t>
  </si>
  <si>
    <t>Ballard, Laura</t>
  </si>
  <si>
    <t>Crystal L Baker</t>
  </si>
  <si>
    <t>Paulovich, Maleah</t>
  </si>
  <si>
    <t>Murray, Tyra</t>
  </si>
  <si>
    <t>Stock, Mckenzie, L</t>
  </si>
  <si>
    <t>Foulk, London, P</t>
  </si>
  <si>
    <t>Laraya, Jose Ari</t>
  </si>
  <si>
    <t>Statler, Kristi</t>
  </si>
  <si>
    <t>Tucker, Charles</t>
  </si>
  <si>
    <t>Neis, John</t>
  </si>
  <si>
    <t>Otter, Laura</t>
  </si>
  <si>
    <t>Mendiratta, Priya</t>
  </si>
  <si>
    <t>Samuel, Anna</t>
  </si>
  <si>
    <t>Gonzalez, Teresa</t>
  </si>
  <si>
    <t>Lee, Vincent</t>
  </si>
  <si>
    <t>Green, Tammy</t>
  </si>
  <si>
    <t>James, Marshay</t>
  </si>
  <si>
    <t>Guirand, Jeffery</t>
  </si>
  <si>
    <t>Ohern, Scott</t>
  </si>
  <si>
    <t>Flowers, Laura</t>
  </si>
  <si>
    <t>Mullins, Amanda</t>
  </si>
  <si>
    <t>Petiote, Fredely</t>
  </si>
  <si>
    <t>Jones, Kyle</t>
  </si>
  <si>
    <t>Hogan, Marissa</t>
  </si>
  <si>
    <t>Koch, Molly</t>
  </si>
  <si>
    <t>Falls, Nathan</t>
  </si>
  <si>
    <t>Cox, Hanna</t>
  </si>
  <si>
    <t>Freeman, Samantha, E</t>
  </si>
  <si>
    <t>Hightower, Alisha</t>
  </si>
  <si>
    <t>Hollis, Victoria</t>
  </si>
  <si>
    <t>Williamson, Kari</t>
  </si>
  <si>
    <t>Hoover, Kallie</t>
  </si>
  <si>
    <t>Cheyanne, Autry</t>
  </si>
  <si>
    <t>Johnstone, Mary</t>
  </si>
  <si>
    <t>Justina, Arriaza</t>
  </si>
  <si>
    <t>Head, Thomas</t>
  </si>
  <si>
    <t>Newlin, Kristal</t>
  </si>
  <si>
    <t>Kimberly,Sullivan</t>
  </si>
  <si>
    <t>Smith, Callie</t>
  </si>
  <si>
    <t>Wilkerson, Mckenna,</t>
  </si>
  <si>
    <t>Agent, John</t>
  </si>
  <si>
    <t>Abernathy, Bryan</t>
  </si>
  <si>
    <t>Bishop, Janis</t>
  </si>
  <si>
    <t>Hutchens, Julie</t>
  </si>
  <si>
    <t>Robertson, Sarah</t>
  </si>
  <si>
    <t>Connelley, Jay</t>
  </si>
  <si>
    <t>Short, Walter</t>
  </si>
  <si>
    <t>Wyatt, Lacey</t>
  </si>
  <si>
    <t>Cochran, Christopher</t>
  </si>
  <si>
    <t>Carle, Scott</t>
  </si>
  <si>
    <t>Hatfield, Samantha</t>
  </si>
  <si>
    <t>Rizzo, Brooks</t>
  </si>
  <si>
    <t>Elliott, Elizabeth</t>
  </si>
  <si>
    <t>Showalter, Heath</t>
  </si>
  <si>
    <t>Umeora, Maryjoanne</t>
  </si>
  <si>
    <t>Atchley, William</t>
  </si>
  <si>
    <t>Priyambada, Priya</t>
  </si>
  <si>
    <t>Hill, Katie</t>
  </si>
  <si>
    <t>Berry, Christy</t>
  </si>
  <si>
    <t>Clark, Rodney</t>
  </si>
  <si>
    <t>Conway, Alisha</t>
  </si>
  <si>
    <t>Adams, Crystal</t>
  </si>
  <si>
    <t>Huneycutt, Courtney</t>
  </si>
  <si>
    <t>Javed, Iqbal</t>
  </si>
  <si>
    <t>Smitherman, Ashton</t>
  </si>
  <si>
    <t>Hunter, Katherine</t>
  </si>
  <si>
    <t>Potts, Jennifer</t>
  </si>
  <si>
    <t>Mcneil, Wright</t>
  </si>
  <si>
    <t>Floyd, Sarah</t>
  </si>
  <si>
    <t>Tillman, Lakesha</t>
  </si>
  <si>
    <t>Blansett, Lauren</t>
  </si>
  <si>
    <t>Kinard, Tiffany H</t>
  </si>
  <si>
    <t>Cureton, Netlla</t>
  </si>
  <si>
    <t>Martin, Kathryn</t>
  </si>
  <si>
    <t>Mayberry, Hillary</t>
  </si>
  <si>
    <t>Cam, Garrett</t>
  </si>
  <si>
    <t>Buckoski, Marylie</t>
  </si>
  <si>
    <t>Cheema, Rafay</t>
  </si>
  <si>
    <t>Sandor, Charles</t>
  </si>
  <si>
    <t>Noble, Charity</t>
  </si>
  <si>
    <t>Thomas, Bateman</t>
  </si>
  <si>
    <t>Pevril, Daniel</t>
  </si>
  <si>
    <t>Hayes, Magan</t>
  </si>
  <si>
    <t>Claypool, Kylee</t>
  </si>
  <si>
    <t>Wells, Joseph,</t>
  </si>
  <si>
    <t>Shelton, Jess</t>
  </si>
  <si>
    <t>Britton, Kaitlynn</t>
  </si>
  <si>
    <t>Young, Tabitha</t>
  </si>
  <si>
    <t>Christian, Jennifer</t>
  </si>
  <si>
    <t>Julia,Frye</t>
  </si>
  <si>
    <t>Nixon, Courtney</t>
  </si>
  <si>
    <t>Boquin, Jana</t>
  </si>
  <si>
    <t>Carissa, Ferguson</t>
  </si>
  <si>
    <t>Andrea, Chaffin</t>
  </si>
  <si>
    <t>Varela, Jeannette, M</t>
  </si>
  <si>
    <t>Holly, Tolhurst</t>
  </si>
  <si>
    <t>Johnson, Shaletha</t>
  </si>
  <si>
    <t>Mcallister, Carlene</t>
  </si>
  <si>
    <t>Sarah, Lechner</t>
  </si>
  <si>
    <t>Stangeland, Brianna,</t>
  </si>
  <si>
    <t>Riley, Antoinette</t>
  </si>
  <si>
    <t>Christmas, William</t>
  </si>
  <si>
    <t>Meador, Ann Sharon</t>
  </si>
  <si>
    <t>Whited, Teresa</t>
  </si>
  <si>
    <t>Venegas, Julian</t>
  </si>
  <si>
    <t>Hale Tucker, Tammy</t>
  </si>
  <si>
    <t>Baskin, Zoe</t>
  </si>
  <si>
    <t>Wells, David</t>
  </si>
  <si>
    <t>Phillips, Michal</t>
  </si>
  <si>
    <t>Peden, Angela</t>
  </si>
  <si>
    <t>Girtman, Kevin</t>
  </si>
  <si>
    <t>Shelton, Debbie</t>
  </si>
  <si>
    <t>Walters, Andrew</t>
  </si>
  <si>
    <t>Mcwilliams, James</t>
  </si>
  <si>
    <t>Troutt, Michael</t>
  </si>
  <si>
    <t>Golden, Claire</t>
  </si>
  <si>
    <t>Kent, Klark</t>
  </si>
  <si>
    <t>Jones, Amanda</t>
  </si>
  <si>
    <t>Blaney, Jennifer</t>
  </si>
  <si>
    <t>Heard, Karla</t>
  </si>
  <si>
    <t>Norris, Amber</t>
  </si>
  <si>
    <t>Dawson, Wendy</t>
  </si>
  <si>
    <t>Barnes Wills, Billie</t>
  </si>
  <si>
    <t>Rohrer, Katherine</t>
  </si>
  <si>
    <t>Dugan, Andrew</t>
  </si>
  <si>
    <t>Bartlett, Stephanie</t>
  </si>
  <si>
    <t>Shipp, Allison</t>
  </si>
  <si>
    <t>Knight, Katherine</t>
  </si>
  <si>
    <t>Lauren E Lefler</t>
  </si>
  <si>
    <t>Hartenbower, Emily</t>
  </si>
  <si>
    <t>Horner, Amy</t>
  </si>
  <si>
    <t>Myra,Smith</t>
  </si>
  <si>
    <t>Carroll, James</t>
  </si>
  <si>
    <t>Isaacs, Michelle</t>
  </si>
  <si>
    <t>Peterson, Patricia</t>
  </si>
  <si>
    <t>Philmon, Mori</t>
  </si>
  <si>
    <t>Blaylock, Cara</t>
  </si>
  <si>
    <t>Roper, Jessica</t>
  </si>
  <si>
    <t>Blacher, Denisha R.</t>
  </si>
  <si>
    <t>Braiser, Mary K.</t>
  </si>
  <si>
    <t>Fisher, Richard, G</t>
  </si>
  <si>
    <t>Tay, Anthony</t>
  </si>
  <si>
    <t>Beallis, Donna</t>
  </si>
  <si>
    <t>Flowers, Martha</t>
  </si>
  <si>
    <t>Elkin, Darrell</t>
  </si>
  <si>
    <t>Apperson, Sharon</t>
  </si>
  <si>
    <t>Hickey, Edith</t>
  </si>
  <si>
    <t>Little, Nita</t>
  </si>
  <si>
    <t>Carroll, Barry</t>
  </si>
  <si>
    <t>Scheidler, Stefan</t>
  </si>
  <si>
    <t>Lavender, R</t>
  </si>
  <si>
    <t>Smiley, Tracy</t>
  </si>
  <si>
    <t>Folse, Timothy</t>
  </si>
  <si>
    <t>Privett, Leah</t>
  </si>
  <si>
    <t>Mitchell, Shannon</t>
  </si>
  <si>
    <t>Favian, Pinion</t>
  </si>
  <si>
    <t>Allen, Larry</t>
  </si>
  <si>
    <t>Seamon, Michael</t>
  </si>
  <si>
    <t>Charlton, Micheal</t>
  </si>
  <si>
    <t>Kramp, Lyndsey</t>
  </si>
  <si>
    <t>Ahsan, Hafeez</t>
  </si>
  <si>
    <t>Stokes, Erica</t>
  </si>
  <si>
    <t>Bradshaw, Jaclynn</t>
  </si>
  <si>
    <t>Sadaram, Prasanth</t>
  </si>
  <si>
    <t>Gammon, Wendy</t>
  </si>
  <si>
    <t>Burks, Michelle,</t>
  </si>
  <si>
    <t>Cockerell, John</t>
  </si>
  <si>
    <t>Hawthorne, Robin</t>
  </si>
  <si>
    <t>Mistry, Sapna</t>
  </si>
  <si>
    <t>Jackson King, Shenika</t>
  </si>
  <si>
    <t>Hogue, Joseph</t>
  </si>
  <si>
    <t>Boydstun, Kent</t>
  </si>
  <si>
    <t>Odom, Sandra</t>
  </si>
  <si>
    <t>Maxwell, A Michele</t>
  </si>
  <si>
    <t>Harrison, Norinda</t>
  </si>
  <si>
    <t>Alnabulsi, Mohammad, S</t>
  </si>
  <si>
    <t>Weston, Katherine</t>
  </si>
  <si>
    <t>Drum, Sarah</t>
  </si>
  <si>
    <t>James, Ryan, K</t>
  </si>
  <si>
    <t>Robin, Franke</t>
  </si>
  <si>
    <t>Reid, Melissa</t>
  </si>
  <si>
    <t>Piatkowski, Carol</t>
  </si>
  <si>
    <t>Jobe, Ashlei</t>
  </si>
  <si>
    <t>Hines, Trent</t>
  </si>
  <si>
    <t>Johnston, Darla</t>
  </si>
  <si>
    <t>Hill, Alexander T.</t>
  </si>
  <si>
    <t>Forrester, Sheila</t>
  </si>
  <si>
    <t>Black, Mary</t>
  </si>
  <si>
    <t>Domino, Sara</t>
  </si>
  <si>
    <t>Pardoe, Jenna</t>
  </si>
  <si>
    <t>Rosson, Peggy</t>
  </si>
  <si>
    <t>Duncan, Casey</t>
  </si>
  <si>
    <t>Kesner, Rebecca</t>
  </si>
  <si>
    <t>Michael, Brandon</t>
  </si>
  <si>
    <t>Gatlin, Jennifer</t>
  </si>
  <si>
    <t>Anderson, Ryan</t>
  </si>
  <si>
    <t>Molly,Dunson</t>
  </si>
  <si>
    <t>Catherine Ford</t>
  </si>
  <si>
    <t>Jenkins, Tristan</t>
  </si>
  <si>
    <t>Vest, April</t>
  </si>
  <si>
    <t>Echols, Haylea</t>
  </si>
  <si>
    <t>Young, David L.</t>
  </si>
  <si>
    <t>Amanda Hambrecht</t>
  </si>
  <si>
    <t>Dakota, Young</t>
  </si>
  <si>
    <t>Leslie, Collie</t>
  </si>
  <si>
    <t>Plata, Maria</t>
  </si>
  <si>
    <t>Counley, Shawna</t>
  </si>
  <si>
    <t>Herron, Crystal,</t>
  </si>
  <si>
    <t>Domingo-Bell, Louisa</t>
  </si>
  <si>
    <t>Miller, Kristina, F</t>
  </si>
  <si>
    <t>Karas, Robert</t>
  </si>
  <si>
    <t>Applegate, Tabatha</t>
  </si>
  <si>
    <t>Hively, Jeffrey</t>
  </si>
  <si>
    <t>Neis, Paul</t>
  </si>
  <si>
    <t>Cook, Cara</t>
  </si>
  <si>
    <t>Owens, Ben</t>
  </si>
  <si>
    <t>Irish Clardy, Katherine</t>
  </si>
  <si>
    <t>Redman, Anna</t>
  </si>
  <si>
    <t>Johnston, Alan</t>
  </si>
  <si>
    <t>Khawaja, Haseeb, A</t>
  </si>
  <si>
    <t>Dudding, William</t>
  </si>
  <si>
    <t>Mirza, Imran</t>
  </si>
  <si>
    <t>Hanissian, Ara</t>
  </si>
  <si>
    <t>Munn, Charles</t>
  </si>
  <si>
    <t>Albers, Melissa</t>
  </si>
  <si>
    <t>Laurent, Brookshield</t>
  </si>
  <si>
    <t>Snodgrass, Brett</t>
  </si>
  <si>
    <t>Stewart, Stephen</t>
  </si>
  <si>
    <t>Warford, Suzanne</t>
  </si>
  <si>
    <t>Bobbie, Hudson Pyle</t>
  </si>
  <si>
    <t>Lange, Kelly</t>
  </si>
  <si>
    <t>Cheatham, Jennifer</t>
  </si>
  <si>
    <t>Clifton-Jones, Denise</t>
  </si>
  <si>
    <t>Hanish, Melissa</t>
  </si>
  <si>
    <t>Rideau, Halana</t>
  </si>
  <si>
    <t>Johnson, Stacey</t>
  </si>
  <si>
    <t>Choi, Stephanie, M</t>
  </si>
  <si>
    <t>Mitchell, Racheal</t>
  </si>
  <si>
    <t>Freeman, Whitney R.</t>
  </si>
  <si>
    <t>Reed, Teresa</t>
  </si>
  <si>
    <t>Heather, Walton</t>
  </si>
  <si>
    <t>Osborne, Denesha</t>
  </si>
  <si>
    <t>Hibbs, Schasta</t>
  </si>
  <si>
    <t>Ray, Cody</t>
  </si>
  <si>
    <t>Lavonte,Thompson</t>
  </si>
  <si>
    <t>Lee-Banks, Kimary</t>
  </si>
  <si>
    <t>Kremers, Sean</t>
  </si>
  <si>
    <t>Zanna, Linder</t>
  </si>
  <si>
    <t>Carrie, Stolz</t>
  </si>
  <si>
    <t>Cody,Copeland</t>
  </si>
  <si>
    <t>Harrod, Kayla</t>
  </si>
  <si>
    <t>Bower, Keeton, K</t>
  </si>
  <si>
    <t>Stephanie, Eagle</t>
  </si>
  <si>
    <t>Hansberry, Tamerra, T</t>
  </si>
  <si>
    <t>Mobley, Jessica</t>
  </si>
  <si>
    <t>Banks Giles, Holli</t>
  </si>
  <si>
    <t>Harper, Gary</t>
  </si>
  <si>
    <t>Mills, Charles</t>
  </si>
  <si>
    <t>Sutterfield, Terry</t>
  </si>
  <si>
    <t>Love, Tommy</t>
  </si>
  <si>
    <t>Medlock, Jeffrey</t>
  </si>
  <si>
    <t>Jackson, Randy</t>
  </si>
  <si>
    <t>Briggs, Mark</t>
  </si>
  <si>
    <t>Acosta, Carlos</t>
  </si>
  <si>
    <t>Hancock, Amy</t>
  </si>
  <si>
    <t>Stone, Leigh Ann</t>
  </si>
  <si>
    <t>York, Alicia</t>
  </si>
  <si>
    <t>Pittman, Tanika</t>
  </si>
  <si>
    <t>Bickford, Melissa</t>
  </si>
  <si>
    <t>Polmonari, Heather</t>
  </si>
  <si>
    <t>Kannam, Vijay</t>
  </si>
  <si>
    <t>Tolbert, Whitney</t>
  </si>
  <si>
    <t>Lange-Halley, Jacquelyn</t>
  </si>
  <si>
    <t>Williams, Manichanh</t>
  </si>
  <si>
    <t>Douglas, Mika</t>
  </si>
  <si>
    <t>Wagner, Kendall</t>
  </si>
  <si>
    <t>Heard, Jessica</t>
  </si>
  <si>
    <t>Schandevel, Nathan, D</t>
  </si>
  <si>
    <t>Reeves, Dana</t>
  </si>
  <si>
    <t>Valley, Jacques</t>
  </si>
  <si>
    <t>Walker, Amanda</t>
  </si>
  <si>
    <t>Hughes, Jeremy</t>
  </si>
  <si>
    <t>Thomason, Keli</t>
  </si>
  <si>
    <t>Canale, Meredith</t>
  </si>
  <si>
    <t>Rahmaan, Shanna</t>
  </si>
  <si>
    <t>Carruthers, Katharine B</t>
  </si>
  <si>
    <t>Turner, John A</t>
  </si>
  <si>
    <t>Black, Daniel</t>
  </si>
  <si>
    <t>Simmons, Kara</t>
  </si>
  <si>
    <t>Garrett, Cindy</t>
  </si>
  <si>
    <t>Gates, Alicia</t>
  </si>
  <si>
    <t>Hickman, Alexander,</t>
  </si>
  <si>
    <t>Henderson, Mimi</t>
  </si>
  <si>
    <t>Davidson, David</t>
  </si>
  <si>
    <t>Breau, Hann</t>
  </si>
  <si>
    <t>Desa Rae, West</t>
  </si>
  <si>
    <t>Kee, Mary</t>
  </si>
  <si>
    <t>Collier, Steven</t>
  </si>
  <si>
    <t>Al Nashif, Ali</t>
  </si>
  <si>
    <t>Day, Cynthia</t>
  </si>
  <si>
    <t>Eisenach, R Jeffery</t>
  </si>
  <si>
    <t>Tyler, Oakley</t>
  </si>
  <si>
    <t>Brown, Charles</t>
  </si>
  <si>
    <t>Wynn, Chester</t>
  </si>
  <si>
    <t>Davis, Ked L</t>
  </si>
  <si>
    <t>Parson, Tonya</t>
  </si>
  <si>
    <t>Mcdonald, Teresa</t>
  </si>
  <si>
    <t>Aronson, Elizabeth</t>
  </si>
  <si>
    <t>Mccord, Elizabeth</t>
  </si>
  <si>
    <t>Wiggins, Lewis</t>
  </si>
  <si>
    <t>Enyeribe, Chioma</t>
  </si>
  <si>
    <t>Riaz, Jahan</t>
  </si>
  <si>
    <t>Cager, Nikki</t>
  </si>
  <si>
    <t>Housley, Sherry</t>
  </si>
  <si>
    <t>Langdon, Laura</t>
  </si>
  <si>
    <t>Trana, Carol</t>
  </si>
  <si>
    <t>Correro, Jackie</t>
  </si>
  <si>
    <t>Crawford, Jennifer</t>
  </si>
  <si>
    <t>Atwell, Kimberly</t>
  </si>
  <si>
    <t>Thompson, Stephanie</t>
  </si>
  <si>
    <t>Cochran, Shelby</t>
  </si>
  <si>
    <t>Crowley, Maria</t>
  </si>
  <si>
    <t>Childs, Tyler</t>
  </si>
  <si>
    <t>Huddleston, Krystel</t>
  </si>
  <si>
    <t>Nichols, Lindsey</t>
  </si>
  <si>
    <t>Yauilla, Rebecca</t>
  </si>
  <si>
    <t>Williams, Gabrielle</t>
  </si>
  <si>
    <t>Dalton, Jessica,</t>
  </si>
  <si>
    <t>Walton, Apple</t>
  </si>
  <si>
    <t>William Mc Mahon</t>
  </si>
  <si>
    <t>Woerner, Zachary</t>
  </si>
  <si>
    <t>Johnson, Asjia</t>
  </si>
  <si>
    <t>Cara, Stewart</t>
  </si>
  <si>
    <t>Angela, Guy</t>
  </si>
  <si>
    <t>Cracraft, Chandler</t>
  </si>
  <si>
    <t>Youngblood, Emily, A</t>
  </si>
  <si>
    <t>Rose, August, M</t>
  </si>
  <si>
    <t>March, Makayla</t>
  </si>
  <si>
    <t>Christopher Harmon, Pamela</t>
  </si>
  <si>
    <t>Oxford, Carmen</t>
  </si>
  <si>
    <t>Yousaf, Javed, M</t>
  </si>
  <si>
    <t>Over, Darrell</t>
  </si>
  <si>
    <t>Sprabery, Laura</t>
  </si>
  <si>
    <t>m Bruce Sanderson, Md</t>
  </si>
  <si>
    <t>Kemp, Clarence</t>
  </si>
  <si>
    <t>annette P Meador, Md</t>
  </si>
  <si>
    <t>Layton, Ann</t>
  </si>
  <si>
    <t>Highsmith, William</t>
  </si>
  <si>
    <t>Green, Christopher</t>
  </si>
  <si>
    <t>Mears, Lana</t>
  </si>
  <si>
    <t>Kirkpatrick, Chauna</t>
  </si>
  <si>
    <t>Ballard, Mart</t>
  </si>
  <si>
    <t>Mears, Mandi</t>
  </si>
  <si>
    <t>Faulkner, Lauren</t>
  </si>
  <si>
    <t>Hill, Kimberly</t>
  </si>
  <si>
    <t>Ford, Robert</t>
  </si>
  <si>
    <t>Sketas, Gregory</t>
  </si>
  <si>
    <t>Chambers, Leslie</t>
  </si>
  <si>
    <t>Clark, Jennifer</t>
  </si>
  <si>
    <t>Boeckmann, Natalie</t>
  </si>
  <si>
    <t>Faulkner, Brandon</t>
  </si>
  <si>
    <t>Mezquita, Brittany</t>
  </si>
  <si>
    <t>Fortner, Priscilla</t>
  </si>
  <si>
    <t>Camp, Jessica</t>
  </si>
  <si>
    <t>Keener, Kaylee</t>
  </si>
  <si>
    <t>Simmons, Lucy</t>
  </si>
  <si>
    <t>Combs, Natalye</t>
  </si>
  <si>
    <t>King, Kasey</t>
  </si>
  <si>
    <t>Addington, Cari</t>
  </si>
  <si>
    <t>Stefania Baccino</t>
  </si>
  <si>
    <t>Carter, Dustin</t>
  </si>
  <si>
    <t>Neely, Aubrey L</t>
  </si>
  <si>
    <t>Long, Donica</t>
  </si>
  <si>
    <t>Mabry, Melanie</t>
  </si>
  <si>
    <t>West, Jamie</t>
  </si>
  <si>
    <t>Shepherd, Chel</t>
  </si>
  <si>
    <t>Tyner, Ryan M</t>
  </si>
  <si>
    <t>Mcquay, Elizabeth</t>
  </si>
  <si>
    <t>Barlow, Sarah</t>
  </si>
  <si>
    <t>Moody, Mallory</t>
  </si>
  <si>
    <t>Kathryn Alred</t>
  </si>
  <si>
    <t>Paula, Ballard</t>
  </si>
  <si>
    <t>Schonefeld, Christine, M</t>
  </si>
  <si>
    <t>Wigelsworth, Haley</t>
  </si>
  <si>
    <t>Mason, Maria</t>
  </si>
  <si>
    <t>Stolzy, Sandra</t>
  </si>
  <si>
    <t>Mcafee, Dewey</t>
  </si>
  <si>
    <t>Willis, Danine</t>
  </si>
  <si>
    <t>Cole, Michael</t>
  </si>
  <si>
    <t>Weems, Dave D</t>
  </si>
  <si>
    <t>Potter, Angela</t>
  </si>
  <si>
    <t>Devlin, Terri</t>
  </si>
  <si>
    <t>Mcdonnell, Bryan</t>
  </si>
  <si>
    <t>Olumofin, Olabode</t>
  </si>
  <si>
    <t>Kayali, Rana</t>
  </si>
  <si>
    <t>Bodemann, Kimberly</t>
  </si>
  <si>
    <t>Hawkins, William</t>
  </si>
  <si>
    <t>Freeland, Lynda</t>
  </si>
  <si>
    <t>Griffin, John</t>
  </si>
  <si>
    <t>Brown, John</t>
  </si>
  <si>
    <t>Sutton, Kristi</t>
  </si>
  <si>
    <t>Ferrari, Gina</t>
  </si>
  <si>
    <t>Sherrill, Blair</t>
  </si>
  <si>
    <t>Ellis, Carey</t>
  </si>
  <si>
    <t>Mc Williams, Jennifer</t>
  </si>
  <si>
    <t>Taliaferro, Haley</t>
  </si>
  <si>
    <t>Watson, Thomas</t>
  </si>
  <si>
    <t>Starks, Tasha</t>
  </si>
  <si>
    <t>Chawla, Mohit</t>
  </si>
  <si>
    <t>Hadaway, Almer L</t>
  </si>
  <si>
    <t>Pratt, Angela</t>
  </si>
  <si>
    <t>Prinner, Kathleen</t>
  </si>
  <si>
    <t>Mosley, Kelly</t>
  </si>
  <si>
    <t>Deatherage, Amy</t>
  </si>
  <si>
    <t>Pickle, Corey</t>
  </si>
  <si>
    <t>Valovich, Jenna</t>
  </si>
  <si>
    <t>Fisher, John</t>
  </si>
  <si>
    <t>Killough, Heather</t>
  </si>
  <si>
    <t>Kutz, Sasha</t>
  </si>
  <si>
    <t>Atiq, Osman, O</t>
  </si>
  <si>
    <t>Ahmed, Bilawal, S</t>
  </si>
  <si>
    <t>Keith, Lesley</t>
  </si>
  <si>
    <t>Sutton, Kimberly</t>
  </si>
  <si>
    <t>Reynolds, Rachel</t>
  </si>
  <si>
    <t>Stone, Tyson</t>
  </si>
  <si>
    <t>Munn, Michael John</t>
  </si>
  <si>
    <t>Carol Harden</t>
  </si>
  <si>
    <t>Jones, Brandi</t>
  </si>
  <si>
    <t>Hinton, Kendall</t>
  </si>
  <si>
    <t>Chu, Tabitha</t>
  </si>
  <si>
    <t>Fuhrmann, Leslie</t>
  </si>
  <si>
    <t>Stovall, Samantha</t>
  </si>
  <si>
    <t>Baird, Candace</t>
  </si>
  <si>
    <t>Mccharen, Allison C</t>
  </si>
  <si>
    <t>Loy, Dannie</t>
  </si>
  <si>
    <t>Jennifer, Mcelroy</t>
  </si>
  <si>
    <t>Rush, Kimb</t>
  </si>
  <si>
    <t>Kamumo, Thomas</t>
  </si>
  <si>
    <t>Shelton, Kristin</t>
  </si>
  <si>
    <t>Tiara, Pafford</t>
  </si>
  <si>
    <t>Lopez, Graciela,</t>
  </si>
  <si>
    <t>Guthrey, Hannah, L</t>
  </si>
  <si>
    <t>Costello, Edward</t>
  </si>
  <si>
    <t>England, Sharon</t>
  </si>
  <si>
    <t>Elliott, Kelly</t>
  </si>
  <si>
    <t>Mahan, Raymond</t>
  </si>
  <si>
    <t>Fitzgerald, Mary</t>
  </si>
  <si>
    <t>Naylor, David</t>
  </si>
  <si>
    <t>Verzosa, Samuel</t>
  </si>
  <si>
    <t>Walker, Randy</t>
  </si>
  <si>
    <t>Watson, Philip</t>
  </si>
  <si>
    <t>Euler, Donald</t>
  </si>
  <si>
    <t>Luker, Stephen</t>
  </si>
  <si>
    <t>Covington, Callie C.</t>
  </si>
  <si>
    <t>Williams, Jennifer</t>
  </si>
  <si>
    <t>Li, Ting</t>
  </si>
  <si>
    <t>Hernandez, Susan</t>
  </si>
  <si>
    <t>Barnwell, Elizabeth B.</t>
  </si>
  <si>
    <t>Bruni, Dawn</t>
  </si>
  <si>
    <t>Polk, Kimberly D.</t>
  </si>
  <si>
    <t>Partain, Audie</t>
  </si>
  <si>
    <t>Roberts, Ronald</t>
  </si>
  <si>
    <t>Pate, Brianna</t>
  </si>
  <si>
    <t>Tennant, Jean</t>
  </si>
  <si>
    <t>Shockley, Leigh</t>
  </si>
  <si>
    <t>Jones, Ellen</t>
  </si>
  <si>
    <t>Mcgowan, Patrick</t>
  </si>
  <si>
    <t>Clark, Elizabeth</t>
  </si>
  <si>
    <t>Kelton, Jacob</t>
  </si>
  <si>
    <t>Begley, Rhonda</t>
  </si>
  <si>
    <t>Hendrix, Bridgette</t>
  </si>
  <si>
    <t>Roy, Calyse</t>
  </si>
  <si>
    <t>Welch, Katelan</t>
  </si>
  <si>
    <t>Wayne, Bryant</t>
  </si>
  <si>
    <t>Wells, Maranda</t>
  </si>
  <si>
    <t>Foster, Kaleigh</t>
  </si>
  <si>
    <t>Colburn, Dusty</t>
  </si>
  <si>
    <t>Sims, Shea</t>
  </si>
  <si>
    <t>Shults, Mary</t>
  </si>
  <si>
    <t>Hawkins, Kenneth</t>
  </si>
  <si>
    <t>Noble, Robert</t>
  </si>
  <si>
    <t>Keese, Caleb</t>
  </si>
  <si>
    <t>Mistie, Vannatter</t>
  </si>
  <si>
    <t>Anders, Christy</t>
  </si>
  <si>
    <t>Micah Latham</t>
  </si>
  <si>
    <t>Hill, Alexa, R</t>
  </si>
  <si>
    <t>Chelsie, Phillips</t>
  </si>
  <si>
    <t>William, Ellis</t>
  </si>
  <si>
    <t>Reynolds, Kacee</t>
  </si>
  <si>
    <t>Rittman, Stephanie</t>
  </si>
  <si>
    <t>Garcia, Kristin</t>
  </si>
  <si>
    <t>Reckling, Tiffany, D</t>
  </si>
  <si>
    <t>Marcom, Stephanie, R</t>
  </si>
  <si>
    <t>Sherrod, Tatiana</t>
  </si>
  <si>
    <t>Ervie, Katherine</t>
  </si>
  <si>
    <t>Parker, Jonathan</t>
  </si>
  <si>
    <t>Clouse, Lance</t>
  </si>
  <si>
    <t>Westwood, Bonita</t>
  </si>
  <si>
    <t>Coble, Andrew</t>
  </si>
  <si>
    <t>Garrett Shaver, Martha</t>
  </si>
  <si>
    <t>Mays, Billie</t>
  </si>
  <si>
    <t>Dobson, Michelle</t>
  </si>
  <si>
    <t>Bromley, Stacy</t>
  </si>
  <si>
    <t>Chance, Jody</t>
  </si>
  <si>
    <t>Howard, Charles</t>
  </si>
  <si>
    <t>Lingisetty, Chandra</t>
  </si>
  <si>
    <t>Davis, Marlene</t>
  </si>
  <si>
    <t>Osam, Megan</t>
  </si>
  <si>
    <t>Keahey, Robyn</t>
  </si>
  <si>
    <t>Hurd, Lisa</t>
  </si>
  <si>
    <t>King, Kathryn</t>
  </si>
  <si>
    <t>Zaid,Fadul</t>
  </si>
  <si>
    <t>Perry, Randi</t>
  </si>
  <si>
    <t>Baldwin, Abby</t>
  </si>
  <si>
    <t>Chandler, Kajuandra</t>
  </si>
  <si>
    <t>Memon, Fiza</t>
  </si>
  <si>
    <t>Post, Linda</t>
  </si>
  <si>
    <t>Fleming, Kristen</t>
  </si>
  <si>
    <t>Alexander, Summer</t>
  </si>
  <si>
    <t>Roseberry, Teresa</t>
  </si>
  <si>
    <t>Bunn, Holly</t>
  </si>
  <si>
    <t>Bryant, Belinda</t>
  </si>
  <si>
    <t>Landrum-Lovett, Yakitta</t>
  </si>
  <si>
    <t>Kincaid, Courtnay</t>
  </si>
  <si>
    <t>Wilson, Tiffany</t>
  </si>
  <si>
    <t>Davis, Jill</t>
  </si>
  <si>
    <t>Porandla, Muralikrishna</t>
  </si>
  <si>
    <t>Martin, Renita</t>
  </si>
  <si>
    <t>Rainbolt, April</t>
  </si>
  <si>
    <t>Smith, Chanell</t>
  </si>
  <si>
    <t>Icenhower, Jerramy</t>
  </si>
  <si>
    <t>Erwin, Heather</t>
  </si>
  <si>
    <t>Barkley, Danna</t>
  </si>
  <si>
    <t>Mashadani, Ban,</t>
  </si>
  <si>
    <t>Vocque, Tabatha</t>
  </si>
  <si>
    <t>Davis, Alicia</t>
  </si>
  <si>
    <t>Aleksi A Hipps</t>
  </si>
  <si>
    <t>Perkins, Kath</t>
  </si>
  <si>
    <t>Cherico,Bowman</t>
  </si>
  <si>
    <t>Callison, Marykatherine</t>
  </si>
  <si>
    <t>Jessica, Jackson</t>
  </si>
  <si>
    <t>Kara, Matteson</t>
  </si>
  <si>
    <t>Freeman, Mahogany</t>
  </si>
  <si>
    <t>Hightower, Lauren, N</t>
  </si>
  <si>
    <t>Mashburn, Cynthia</t>
  </si>
  <si>
    <t>Cooper, Margaret</t>
  </si>
  <si>
    <t>Jordan, Oakley</t>
  </si>
  <si>
    <t>Moore, Jesse D</t>
  </si>
  <si>
    <t>Embry, Travis</t>
  </si>
  <si>
    <t>Wise, Ronette</t>
  </si>
  <si>
    <t>Macfarlane, Patricia</t>
  </si>
  <si>
    <t>Green, Cathy</t>
  </si>
  <si>
    <t>Rodriguez, Rafael L.</t>
  </si>
  <si>
    <t>Roush, Scott</t>
  </si>
  <si>
    <t>Wyatt, Stephanie</t>
  </si>
  <si>
    <t>Gentry, Jerry</t>
  </si>
  <si>
    <t>Scoufos, Jennifer</t>
  </si>
  <si>
    <t>Toth, Lisa</t>
  </si>
  <si>
    <t>Smith, Carolyn</t>
  </si>
  <si>
    <t>Mc Common, Nicole</t>
  </si>
  <si>
    <t>Hancock, Lauren</t>
  </si>
  <si>
    <t>Anderson, Angela</t>
  </si>
  <si>
    <t>Bauer, Joann</t>
  </si>
  <si>
    <t>Byard, Tomisha</t>
  </si>
  <si>
    <t>Jurek, Amber, I</t>
  </si>
  <si>
    <t>Vaden, Nicole</t>
  </si>
  <si>
    <t>Day, Kristy</t>
  </si>
  <si>
    <t>Ballard, Lauren C</t>
  </si>
  <si>
    <t>Mccready, Rebecca</t>
  </si>
  <si>
    <t>Howland, Leslie</t>
  </si>
  <si>
    <t>Lambert, Angelisa</t>
  </si>
  <si>
    <t>Kennedy, Amanda</t>
  </si>
  <si>
    <t>Eddy, Kali</t>
  </si>
  <si>
    <t>Mccain, Kelly</t>
  </si>
  <si>
    <t>Wintercorn, Lrae</t>
  </si>
  <si>
    <t>Smith, Rach</t>
  </si>
  <si>
    <t>Towell, Jordon, H</t>
  </si>
  <si>
    <t>Patton, Laci</t>
  </si>
  <si>
    <t>Dillion, Sarah A.</t>
  </si>
  <si>
    <t>Mason, Kaitlyn</t>
  </si>
  <si>
    <t>Jordan, Katherine</t>
  </si>
  <si>
    <t>Sweeney, Ashley</t>
  </si>
  <si>
    <t>Sparks, Allie</t>
  </si>
  <si>
    <t>Mccann, Melissa</t>
  </si>
  <si>
    <t>Mohammed, Al Wadei</t>
  </si>
  <si>
    <t>White, Autumn</t>
  </si>
  <si>
    <t>Gillum, Roger, D</t>
  </si>
  <si>
    <t>Bevill, Tashina</t>
  </si>
  <si>
    <t>Denton-Howell, Angelina</t>
  </si>
  <si>
    <t>Cudworth, Kimberly</t>
  </si>
  <si>
    <t>Myers, Abby</t>
  </si>
  <si>
    <t>Clemens, Roy</t>
  </si>
  <si>
    <t>Pritchard, Sharon</t>
  </si>
  <si>
    <t>Cook, Angela</t>
  </si>
  <si>
    <t>Hunt, Terry</t>
  </si>
  <si>
    <t>Bell, Alicia</t>
  </si>
  <si>
    <t>Collins, Sherri</t>
  </si>
  <si>
    <t>Butler, Tina</t>
  </si>
  <si>
    <t>Manatt, Courtney</t>
  </si>
  <si>
    <t>Stanton-Deener, Brenda</t>
  </si>
  <si>
    <t>Goree, Johnathan</t>
  </si>
  <si>
    <t>Vincent, Maranda</t>
  </si>
  <si>
    <t>Young, Katheryn</t>
  </si>
  <si>
    <t>Ermis, Amanda</t>
  </si>
  <si>
    <t>Shafi, Nahid</t>
  </si>
  <si>
    <t>Cones, Shawn</t>
  </si>
  <si>
    <t>Daily, Staci</t>
  </si>
  <si>
    <t>Guy, James</t>
  </si>
  <si>
    <t>Zuccarelli, Jennifer</t>
  </si>
  <si>
    <t>Jarvis, Elizabeth</t>
  </si>
  <si>
    <t>Dhanireddy, Bharat</t>
  </si>
  <si>
    <t>Hartfield, Cara</t>
  </si>
  <si>
    <t>Barnes, Melissa C.</t>
  </si>
  <si>
    <t>Reynolds, Matthew</t>
  </si>
  <si>
    <t>Martin, Melanie</t>
  </si>
  <si>
    <t>Chowdhury, Shahreen</t>
  </si>
  <si>
    <t>Rankin, Heather</t>
  </si>
  <si>
    <t>Logan, Ursula</t>
  </si>
  <si>
    <t>Phelps, Amy</t>
  </si>
  <si>
    <t>Howard, Dana M</t>
  </si>
  <si>
    <t>Jones, Rachel</t>
  </si>
  <si>
    <t>Bryan, Tina</t>
  </si>
  <si>
    <t>Jaymar Browne</t>
  </si>
  <si>
    <t>Russworm, Laura</t>
  </si>
  <si>
    <t>Okong, Kuna</t>
  </si>
  <si>
    <t>Rodriguez, Anthony</t>
  </si>
  <si>
    <t>Christopher, Kyle</t>
  </si>
  <si>
    <t>Bone, Jesse</t>
  </si>
  <si>
    <t>Anderson, Miricle</t>
  </si>
  <si>
    <t>Wilson, Casey</t>
  </si>
  <si>
    <t>Correll, Andrea</t>
  </si>
  <si>
    <t>Daniel, Jadie</t>
  </si>
  <si>
    <t>Biddy, Mary</t>
  </si>
  <si>
    <t>Alaiwah, Malek, N</t>
  </si>
  <si>
    <t>Scantling, Jan</t>
  </si>
  <si>
    <t>Hibbs, Dena</t>
  </si>
  <si>
    <t>Martisek, Brandy</t>
  </si>
  <si>
    <t>Pass Jr, James A</t>
  </si>
  <si>
    <t>Whiting, Ashton,</t>
  </si>
  <si>
    <t>Lorri,Strider</t>
  </si>
  <si>
    <t>Jamison, Felesha,</t>
  </si>
  <si>
    <t>Dedman, John</t>
  </si>
  <si>
    <t>Crouther, Marcus</t>
  </si>
  <si>
    <t>Donnell, Hugh</t>
  </si>
  <si>
    <t>Brown, Bennie</t>
  </si>
  <si>
    <t>Bowen, Bryan</t>
  </si>
  <si>
    <t>Slabbert, Christiaan</t>
  </si>
  <si>
    <t>Fox, Thomas</t>
  </si>
  <si>
    <t>Powell, Richard</t>
  </si>
  <si>
    <t>Brown, Amy</t>
  </si>
  <si>
    <t>Nukala, Chandra</t>
  </si>
  <si>
    <t>Peace, Carla</t>
  </si>
  <si>
    <t>Paladino, Elizabeth</t>
  </si>
  <si>
    <t>Pola, Raja</t>
  </si>
  <si>
    <t>Ashlockruda, Deloris</t>
  </si>
  <si>
    <t>Ford, Jesse</t>
  </si>
  <si>
    <t>Bracy, Brian</t>
  </si>
  <si>
    <t>Miedema, Mark</t>
  </si>
  <si>
    <t>Harris, Aaron</t>
  </si>
  <si>
    <t>Mourot, Joshua</t>
  </si>
  <si>
    <t>Sells, Stephanie</t>
  </si>
  <si>
    <t>Lynn, Amber</t>
  </si>
  <si>
    <t>Paterak, Jessica</t>
  </si>
  <si>
    <t>Viner, Lori</t>
  </si>
  <si>
    <t>Coyle, Hanna</t>
  </si>
  <si>
    <t>Bartlett, Christa</t>
  </si>
  <si>
    <t>Mcginty, Tanner</t>
  </si>
  <si>
    <t>Jurado, Jenn</t>
  </si>
  <si>
    <t>Juma, Monica</t>
  </si>
  <si>
    <t>Mwenda, Anne</t>
  </si>
  <si>
    <t>Ireland, Hailee</t>
  </si>
  <si>
    <t>Johnson, Joshua</t>
  </si>
  <si>
    <t>Wontor, Ruth</t>
  </si>
  <si>
    <t>Nix, Samuel</t>
  </si>
  <si>
    <t>Hicks, Laurae</t>
  </si>
  <si>
    <t>Newman, Kimberly</t>
  </si>
  <si>
    <t>Rhew, Teresa</t>
  </si>
  <si>
    <t>Stobaugh, Morgan</t>
  </si>
  <si>
    <t>Moix, Sydnie</t>
  </si>
  <si>
    <t>Carter, Dawn</t>
  </si>
  <si>
    <t>Rideout, Emily</t>
  </si>
  <si>
    <t>Collins, Krystal</t>
  </si>
  <si>
    <t>Marquis, Chelsea</t>
  </si>
  <si>
    <t>Harris, Jeffery</t>
  </si>
  <si>
    <t>Kiesha,Harris</t>
  </si>
  <si>
    <t>House, Alexis, B</t>
  </si>
  <si>
    <t>Phandanouvong, Soutnakhon</t>
  </si>
  <si>
    <t>Hafner, Jacqueline M</t>
  </si>
  <si>
    <t>Angela, Eichhorn</t>
  </si>
  <si>
    <t>Tallent, Ashley</t>
  </si>
  <si>
    <t>Elizabeth,Lancaster</t>
  </si>
  <si>
    <t>Carroll, Darnisha</t>
  </si>
  <si>
    <t>Meyer, Julia</t>
  </si>
  <si>
    <t>Hampton, Drew, E</t>
  </si>
  <si>
    <t>Cook, Cristena,</t>
  </si>
  <si>
    <t>Lubin, Edith</t>
  </si>
  <si>
    <t>Venters, Steven</t>
  </si>
  <si>
    <t>Young, Anthony</t>
  </si>
  <si>
    <t>Caldwell, Kammie</t>
  </si>
  <si>
    <t>Moore, Thomas</t>
  </si>
  <si>
    <t>Pittman, Beau</t>
  </si>
  <si>
    <t>Jeffers Perry, Robin</t>
  </si>
  <si>
    <t>Stone, Cindy</t>
  </si>
  <si>
    <t>Kennedy, Robert</t>
  </si>
  <si>
    <t>Loyo-Molina, Jose</t>
  </si>
  <si>
    <t>Rothrock, Heather</t>
  </si>
  <si>
    <t>Patterson, Rebecca</t>
  </si>
  <si>
    <t>Dobbs, Stephane</t>
  </si>
  <si>
    <t>Ali, Muhammad</t>
  </si>
  <si>
    <t>Walsh, Cheryl</t>
  </si>
  <si>
    <t>Kirmeyer, Rachel</t>
  </si>
  <si>
    <t>Tompkins, Dustin</t>
  </si>
  <si>
    <t>Thessing, Jeffrey</t>
  </si>
  <si>
    <t>Berber, Albrey</t>
  </si>
  <si>
    <t>Fitts, Vanessa L.</t>
  </si>
  <si>
    <t>Ford, Stefani</t>
  </si>
  <si>
    <t>Jackson, Polly</t>
  </si>
  <si>
    <t>Binns, Mason</t>
  </si>
  <si>
    <t>Wagner, Matthew</t>
  </si>
  <si>
    <t>Agnew, Shawanda</t>
  </si>
  <si>
    <t>Carla Del Giorno</t>
  </si>
  <si>
    <t>Richard, Amanda</t>
  </si>
  <si>
    <t>Blasingame, Linda</t>
  </si>
  <si>
    <t>Roe, Caitlin</t>
  </si>
  <si>
    <t>Henry, Allison</t>
  </si>
  <si>
    <t>Weisheit, Seth</t>
  </si>
  <si>
    <t>Suell, April</t>
  </si>
  <si>
    <t>Deloach, Melisa</t>
  </si>
  <si>
    <t>Bone, Scarlett</t>
  </si>
  <si>
    <t>Pearce, Sarah</t>
  </si>
  <si>
    <t>Burris, Brittany</t>
  </si>
  <si>
    <t>Greenberg, Kaitlyn</t>
  </si>
  <si>
    <t>Dickey, Lisa</t>
  </si>
  <si>
    <t>Walker, Lindsey</t>
  </si>
  <si>
    <t>Shapaker, Thomas</t>
  </si>
  <si>
    <t>Eastridge, Shelly</t>
  </si>
  <si>
    <t>Mcglothlin, Lara</t>
  </si>
  <si>
    <t>Tripod, Nathan,</t>
  </si>
  <si>
    <t>Natalie, Gossett</t>
  </si>
  <si>
    <t>Lenora,Downs</t>
  </si>
  <si>
    <t>Seale, Kalyn M</t>
  </si>
  <si>
    <t>Patterson, Sarah, B</t>
  </si>
  <si>
    <t>Dilldine, Skiver, L</t>
  </si>
  <si>
    <t>Norman, Carter</t>
  </si>
  <si>
    <t>Crabtree, Candi, D</t>
  </si>
  <si>
    <t>Brian A Jackson</t>
  </si>
  <si>
    <t>Shatley, Misty</t>
  </si>
  <si>
    <t>Shaw Bullock, Rose</t>
  </si>
  <si>
    <t>Banning, Michelle</t>
  </si>
  <si>
    <t>Spoon, Heather</t>
  </si>
  <si>
    <t>Luttrell, Brady</t>
  </si>
  <si>
    <t>Jefferson, Thomas</t>
  </si>
  <si>
    <t>Finnie, Rhonda</t>
  </si>
  <si>
    <t>Douthit, Misty</t>
  </si>
  <si>
    <t>Harwood, Tracy</t>
  </si>
  <si>
    <t>Parks, Christy</t>
  </si>
  <si>
    <t>Apple, Kacey</t>
  </si>
  <si>
    <t>Bufford, Lonna</t>
  </si>
  <si>
    <t>Rutherford, Jeremiah</t>
  </si>
  <si>
    <t>Foster, Stanley</t>
  </si>
  <si>
    <t>Spond, Matthew</t>
  </si>
  <si>
    <t>Etheridge, Cynthia</t>
  </si>
  <si>
    <t>Bilyeu, Janet</t>
  </si>
  <si>
    <t>Weeks, James</t>
  </si>
  <si>
    <t>Wingfield, Deborah</t>
  </si>
  <si>
    <t>Owens, Thelma</t>
  </si>
  <si>
    <t>Yahya, Fazal</t>
  </si>
  <si>
    <t>Miller, Marsha</t>
  </si>
  <si>
    <t>Barker, Joni</t>
  </si>
  <si>
    <t>Clarke, James</t>
  </si>
  <si>
    <t>Jayroe, John</t>
  </si>
  <si>
    <t>Gatewood, Whitney R.</t>
  </si>
  <si>
    <t>Miles, Christine</t>
  </si>
  <si>
    <t>Obanner, Jeffrey</t>
  </si>
  <si>
    <t>Davidson, James</t>
  </si>
  <si>
    <t>Fetters, Judith</t>
  </si>
  <si>
    <t>Higgins, Anne D</t>
  </si>
  <si>
    <t>Vrettos, Kell</t>
  </si>
  <si>
    <t>Carrion, Farrah</t>
  </si>
  <si>
    <t>Schaff, Shelby M</t>
  </si>
  <si>
    <t>Bodiford, Kacee</t>
  </si>
  <si>
    <t>Maurizi, Laura</t>
  </si>
  <si>
    <t>Ford, Teresa G.</t>
  </si>
  <si>
    <t>Windsor, Laura</t>
  </si>
  <si>
    <t>Beggs, Luke</t>
  </si>
  <si>
    <t>Laflora, Kimberly</t>
  </si>
  <si>
    <t>Scherry, Elizabeth</t>
  </si>
  <si>
    <t>Cole, Barbara</t>
  </si>
  <si>
    <t>Morris, April</t>
  </si>
  <si>
    <t>Williams, Helen</t>
  </si>
  <si>
    <t>Rush, Mary E</t>
  </si>
  <si>
    <t>Sanders, Summ</t>
  </si>
  <si>
    <t>Gorton, Gabriella, A</t>
  </si>
  <si>
    <t>Shaver, Jen</t>
  </si>
  <si>
    <t>Alexis, Rivera</t>
  </si>
  <si>
    <t>Mallory, De Boom</t>
  </si>
  <si>
    <t>Gondwe, Anganile, E</t>
  </si>
  <si>
    <t>Casteel, Ashley,</t>
  </si>
  <si>
    <t>Jones, Anabel</t>
  </si>
  <si>
    <t>Mazhou, Sophia,</t>
  </si>
  <si>
    <t>Zitterman, Joseph</t>
  </si>
  <si>
    <t>Reardon, Joseph</t>
  </si>
  <si>
    <t>Moore, Paul</t>
  </si>
  <si>
    <t>Wright, Dana</t>
  </si>
  <si>
    <t>New, Nelda</t>
  </si>
  <si>
    <t>Duncan, Angela</t>
  </si>
  <si>
    <t>Baxter, Debra</t>
  </si>
  <si>
    <t>Arthurs, Jennifer</t>
  </si>
  <si>
    <t>Bond, Trevor</t>
  </si>
  <si>
    <t>Sanders, Amy</t>
  </si>
  <si>
    <t>Moore, Joyce</t>
  </si>
  <si>
    <t>Love, Margaret</t>
  </si>
  <si>
    <t>Kerby, Mary</t>
  </si>
  <si>
    <t>Pennington, Amy</t>
  </si>
  <si>
    <t>Baxter, Tameisha</t>
  </si>
  <si>
    <t>Gillenwater, Christina</t>
  </si>
  <si>
    <t>Pearson, Arthur</t>
  </si>
  <si>
    <t>Kessinger Mccroskey, Timothy</t>
  </si>
  <si>
    <t>Denniston, Rebecca</t>
  </si>
  <si>
    <t>Carter, Jeannette</t>
  </si>
  <si>
    <t>Tharpe, Sandra</t>
  </si>
  <si>
    <t>Thompson, Jaye</t>
  </si>
  <si>
    <t>Fawbush, Nathan</t>
  </si>
  <si>
    <t>Dashardra Woodard</t>
  </si>
  <si>
    <t>Huber, Karrie</t>
  </si>
  <si>
    <t>Langston, Thomas</t>
  </si>
  <si>
    <t>Burcham, Cady</t>
  </si>
  <si>
    <t>Mays, Brandi</t>
  </si>
  <si>
    <t>Pighee, Tiffany</t>
  </si>
  <si>
    <t>Largent, Laura</t>
  </si>
  <si>
    <t>Hardwick, Collin</t>
  </si>
  <si>
    <t>Hankins, Lacey</t>
  </si>
  <si>
    <t>Gossett, Michael</t>
  </si>
  <si>
    <t>Hickmon, Carrie</t>
  </si>
  <si>
    <t>Beaman, Gabrielle</t>
  </si>
  <si>
    <t>Arnold, Sabrina</t>
  </si>
  <si>
    <t>Jennifer,Smith</t>
  </si>
  <si>
    <t>Rudd, Justin</t>
  </si>
  <si>
    <t>Wilbanks, Lydia A.</t>
  </si>
  <si>
    <t>Kassie, Robertson</t>
  </si>
  <si>
    <t>Travis, Mandi</t>
  </si>
  <si>
    <t>Molly,Rolen</t>
  </si>
  <si>
    <t>Moss, Haley S</t>
  </si>
  <si>
    <t>Waid, Gerrica</t>
  </si>
  <si>
    <t>Williams, Krystalyn, G</t>
  </si>
  <si>
    <t>Mclure, Melinda</t>
  </si>
  <si>
    <t>Lisa D Frenzel</t>
  </si>
  <si>
    <t>Bethany G Taylor</t>
  </si>
  <si>
    <t>Hardin, Christopher</t>
  </si>
  <si>
    <t>Malloy, Mark</t>
  </si>
  <si>
    <t>Shown, Timothy</t>
  </si>
  <si>
    <t>Hall, Scott</t>
  </si>
  <si>
    <t>Diamond, Corey</t>
  </si>
  <si>
    <t>Burks, Jennifer</t>
  </si>
  <si>
    <t>Finch, Richard</t>
  </si>
  <si>
    <t>Chapman, Kimberly</t>
  </si>
  <si>
    <t>Cohn, Heidi</t>
  </si>
  <si>
    <t>Stussy, Shawn</t>
  </si>
  <si>
    <t>Burks, Karen</t>
  </si>
  <si>
    <t>Shearer, Bryan</t>
  </si>
  <si>
    <t>Eld, Linda</t>
  </si>
  <si>
    <t>Coleman, Rebecca</t>
  </si>
  <si>
    <t>Kamal, Abul</t>
  </si>
  <si>
    <t>Buschman, Paul</t>
  </si>
  <si>
    <t>Davenport, Leslie</t>
  </si>
  <si>
    <t>Thomas, Amy</t>
  </si>
  <si>
    <t>Branscum, Kristie</t>
  </si>
  <si>
    <t>Williamson, Kirk</t>
  </si>
  <si>
    <t>Berger, Courtney</t>
  </si>
  <si>
    <t>Johnson, Molly</t>
  </si>
  <si>
    <t>Gamble, Louis</t>
  </si>
  <si>
    <t>White, Cortney</t>
  </si>
  <si>
    <t>Jones, Audra</t>
  </si>
  <si>
    <t>Mattison, Caro</t>
  </si>
  <si>
    <t>Cyphers, Lucy</t>
  </si>
  <si>
    <t>Webb, Megan</t>
  </si>
  <si>
    <t>Martin, Concetta</t>
  </si>
  <si>
    <t>Davis, Donna</t>
  </si>
  <si>
    <t>Manatt, Joshua</t>
  </si>
  <si>
    <t>Anderson, Joanne</t>
  </si>
  <si>
    <t>Emily, Enderlin</t>
  </si>
  <si>
    <t>Stanley, Rachel</t>
  </si>
  <si>
    <t>Myer, Toni</t>
  </si>
  <si>
    <t>Helm, Chase</t>
  </si>
  <si>
    <t>Havens, Heather G.</t>
  </si>
  <si>
    <t>Smith, Phillip</t>
  </si>
  <si>
    <t>Martens, Abby C.</t>
  </si>
  <si>
    <t>Johnson, Ashl</t>
  </si>
  <si>
    <t>Fenley, Mikka</t>
  </si>
  <si>
    <t>Rachel, Orozco</t>
  </si>
  <si>
    <t>Mcclinton, Sydnie, R</t>
  </si>
  <si>
    <t>Brittany, Wade</t>
  </si>
  <si>
    <t>Courtland,Hunter</t>
  </si>
  <si>
    <t>Alsbrook, Angela</t>
  </si>
  <si>
    <t>Harris, Whitney</t>
  </si>
  <si>
    <t>Patel, Krishna, H</t>
  </si>
  <si>
    <t>Kriesel, Kayla</t>
  </si>
  <si>
    <t>Forshee, Wilma</t>
  </si>
  <si>
    <t>Garrison, Taylor</t>
  </si>
  <si>
    <t>Martin, Connor,</t>
  </si>
  <si>
    <t>Reeves, Amy</t>
  </si>
  <si>
    <t>Fitzgibbons, Lisa</t>
  </si>
  <si>
    <t>Ivey, Traci</t>
  </si>
  <si>
    <t>Rushing, George</t>
  </si>
  <si>
    <t>Hays, Deborah</t>
  </si>
  <si>
    <t>Hollis, Thomas</t>
  </si>
  <si>
    <t>Little, Jodi</t>
  </si>
  <si>
    <t>Humpherys, Kelly</t>
  </si>
  <si>
    <t>Robinson, Todd</t>
  </si>
  <si>
    <t>Ongsingco, Jose</t>
  </si>
  <si>
    <t>Dopotter, Kim</t>
  </si>
  <si>
    <t>Rogers, Tara</t>
  </si>
  <si>
    <t>Dalton, Megan</t>
  </si>
  <si>
    <t>Ratika, Kavuri-Gunturi</t>
  </si>
  <si>
    <t>Kakkera, Krishna</t>
  </si>
  <si>
    <t>Anand, Dheeraj</t>
  </si>
  <si>
    <t>Benjamin, Myles</t>
  </si>
  <si>
    <t>Smith, Lori</t>
  </si>
  <si>
    <t>Lydolph, Wyatt</t>
  </si>
  <si>
    <t>Simmons, Alyssa</t>
  </si>
  <si>
    <t>Allen, Ashley</t>
  </si>
  <si>
    <t>Washington, Amanda</t>
  </si>
  <si>
    <t>George, Myra</t>
  </si>
  <si>
    <t>Coppola, Andrew</t>
  </si>
  <si>
    <t>Birsh, Natalie E.</t>
  </si>
  <si>
    <t>Luther, Rebecca</t>
  </si>
  <si>
    <t>Thompson, Tracy</t>
  </si>
  <si>
    <t>Wagner, Meagan</t>
  </si>
  <si>
    <t>Randle, Sharonda</t>
  </si>
  <si>
    <t>Whatley, Kayce</t>
  </si>
  <si>
    <t>Sparks, Keely J</t>
  </si>
  <si>
    <t>Souza, Shannan</t>
  </si>
  <si>
    <t>Vocque, Joshua</t>
  </si>
  <si>
    <t>Bible, Evelene</t>
  </si>
  <si>
    <t>Taylor, Rittman</t>
  </si>
  <si>
    <t>Peyton, Courtney</t>
  </si>
  <si>
    <t>Stricker, Katelyn, R</t>
  </si>
  <si>
    <t>Bass, Sydney</t>
  </si>
  <si>
    <t>Mulroy, Janet</t>
  </si>
  <si>
    <t>Revis, April</t>
  </si>
  <si>
    <t>Hickerson, Stephanie</t>
  </si>
  <si>
    <t>Hunter, Carrie</t>
  </si>
  <si>
    <t>Watson, Daniel</t>
  </si>
  <si>
    <t>Harris, Tonya</t>
  </si>
  <si>
    <t>Dowell, William</t>
  </si>
  <si>
    <t>Garry Stewart Md Pa</t>
  </si>
  <si>
    <t>Dalehite-Stringfello, Julie</t>
  </si>
  <si>
    <t>Ali, Ahmed</t>
  </si>
  <si>
    <t>Flood, Wilbur</t>
  </si>
  <si>
    <t>Ezenwanne, Odilichi</t>
  </si>
  <si>
    <t>Cordell, Betsy</t>
  </si>
  <si>
    <t>Lucas, Carrie</t>
  </si>
  <si>
    <t>Hailey Harden</t>
  </si>
  <si>
    <t>Kendrick, Jordan</t>
  </si>
  <si>
    <t>Spencer, Racquel</t>
  </si>
  <si>
    <t>Collins, Kenneth</t>
  </si>
  <si>
    <t>Semingson, James</t>
  </si>
  <si>
    <t>Brown, Michael A</t>
  </si>
  <si>
    <t>Alloway, Taylor</t>
  </si>
  <si>
    <t>Vallurupalli, Sri</t>
  </si>
  <si>
    <t>Cooksey, Kimberly</t>
  </si>
  <si>
    <t>Hagan, Kyle R.</t>
  </si>
  <si>
    <t>Sullins, Patrick</t>
  </si>
  <si>
    <t>Angelika P Hooko</t>
  </si>
  <si>
    <t>Bates, Andrew</t>
  </si>
  <si>
    <t>Stratmoen, Joyce</t>
  </si>
  <si>
    <t>Alomari, Mohammad, M</t>
  </si>
  <si>
    <t>Staley, Randall</t>
  </si>
  <si>
    <t>Stickler, Katie</t>
  </si>
  <si>
    <t>Sumner, Monica</t>
  </si>
  <si>
    <t>Herrington, Madeline</t>
  </si>
  <si>
    <t>Snow, Michelle</t>
  </si>
  <si>
    <t>Laws, Tamara</t>
  </si>
  <si>
    <t>Richardson, Jenna</t>
  </si>
  <si>
    <t>Miller, Almalea, B</t>
  </si>
  <si>
    <t>Locke, Nicholas</t>
  </si>
  <si>
    <t>Adams, Holly</t>
  </si>
  <si>
    <t>Hilburn, Hadley, R</t>
  </si>
  <si>
    <t>Stephanie, Schultz</t>
  </si>
  <si>
    <t>Schartz, Brenda, D</t>
  </si>
  <si>
    <t>Lane, Alderson</t>
  </si>
  <si>
    <t>Rhoda, Kohlton,</t>
  </si>
  <si>
    <t>Upchurch, Elizabeth</t>
  </si>
  <si>
    <t>Eva, Peacock</t>
  </si>
  <si>
    <t>Burks, Allison</t>
  </si>
  <si>
    <t>Keller, Jenny</t>
  </si>
  <si>
    <t>Reddick, Jordan</t>
  </si>
  <si>
    <t>Johnson, Ramonda</t>
  </si>
  <si>
    <t>Hefley, Brittany</t>
  </si>
  <si>
    <t>Logan J Rummells</t>
  </si>
  <si>
    <t>Huffine, Ellie, F</t>
  </si>
  <si>
    <t>Carder, Jennifer, M</t>
  </si>
  <si>
    <t>Zahn, Alexis, C</t>
  </si>
  <si>
    <t>Helmhout, Shaun</t>
  </si>
  <si>
    <t>Thibodaux, Julie</t>
  </si>
  <si>
    <t>Pummill, Daniel</t>
  </si>
  <si>
    <t>Stewart, Charles</t>
  </si>
  <si>
    <t>Ward Jones, Susan</t>
  </si>
  <si>
    <t>Isaacs, Randy</t>
  </si>
  <si>
    <t>Starnes, David</t>
  </si>
  <si>
    <t>Jordan, Drexel</t>
  </si>
  <si>
    <t>Holley, Jerry</t>
  </si>
  <si>
    <t>Zwiaska, Susan</t>
  </si>
  <si>
    <t>Gable, Kristine</t>
  </si>
  <si>
    <t>Cooper, Jaclyn</t>
  </si>
  <si>
    <t>Armah, Elham</t>
  </si>
  <si>
    <t>Macleod, Robert</t>
  </si>
  <si>
    <t>Kopinski, Katherine O.</t>
  </si>
  <si>
    <t>Meyer, Amy</t>
  </si>
  <si>
    <t>Mathenia, Tina</t>
  </si>
  <si>
    <t>Bearden, Clint</t>
  </si>
  <si>
    <t>Cummins, Alina</t>
  </si>
  <si>
    <t>Loetscher, Katie</t>
  </si>
  <si>
    <t>Ennis, Ernest</t>
  </si>
  <si>
    <t>Clark, Stephanie,</t>
  </si>
  <si>
    <t>Williamson, Melinda</t>
  </si>
  <si>
    <t>Boyd, Marlea</t>
  </si>
  <si>
    <t>Dutton, Crystal</t>
  </si>
  <si>
    <t>Rose, Samantha</t>
  </si>
  <si>
    <t>Matar, Khaled, A</t>
  </si>
  <si>
    <t>Meeler, Delana</t>
  </si>
  <si>
    <t>Cory, Ashley</t>
  </si>
  <si>
    <t>Stane, Stormy</t>
  </si>
  <si>
    <t>Lester, Jasmine</t>
  </si>
  <si>
    <t>Baggett, Stephanie</t>
  </si>
  <si>
    <t>Self, Margaret</t>
  </si>
  <si>
    <t>Ham, Stephanie L.</t>
  </si>
  <si>
    <t>Cherish Bandy</t>
  </si>
  <si>
    <t>Kennon, Lacey</t>
  </si>
  <si>
    <t>Friedly, Erik</t>
  </si>
  <si>
    <t>Traci C Crump</t>
  </si>
  <si>
    <t>Joshua,Attaway</t>
  </si>
  <si>
    <t>Randa, Anderson</t>
  </si>
  <si>
    <t>Johnson, Bobbie</t>
  </si>
  <si>
    <t>Kendall, Raquel,</t>
  </si>
  <si>
    <t>Devazier, Samantha</t>
  </si>
  <si>
    <t>Torres, Diana</t>
  </si>
  <si>
    <t>Bulger, Blake,</t>
  </si>
  <si>
    <t>Kimberly, Powell</t>
  </si>
  <si>
    <t>Edington, Sharena</t>
  </si>
  <si>
    <t>Bradley, Danielle</t>
  </si>
  <si>
    <t>Wolfe, Bridgett</t>
  </si>
  <si>
    <t>Hardwick, Hannah,</t>
  </si>
  <si>
    <t>Cox, Benjamin, L</t>
  </si>
  <si>
    <t>Morgan, Jeremy, K</t>
  </si>
  <si>
    <t>Bradley, Farah</t>
  </si>
  <si>
    <t>Adesoji, Gafar</t>
  </si>
  <si>
    <t>Howard, Kieffer</t>
  </si>
  <si>
    <t>Purifoy, Shawn</t>
  </si>
  <si>
    <t>Smith, Lander</t>
  </si>
  <si>
    <t>Clifton, Ginger</t>
  </si>
  <si>
    <t>Hall, Kelly</t>
  </si>
  <si>
    <t>Lukavsky, James</t>
  </si>
  <si>
    <t>Platt, Kevin</t>
  </si>
  <si>
    <t>Wherry, Holly</t>
  </si>
  <si>
    <t>Bennett, Jakeeli</t>
  </si>
  <si>
    <t>Williams, Vonzell</t>
  </si>
  <si>
    <t>Summerville, Roslyn</t>
  </si>
  <si>
    <t>Carlisle, Laura</t>
  </si>
  <si>
    <t>Morgan, Joseph</t>
  </si>
  <si>
    <t>Winford, Amber</t>
  </si>
  <si>
    <t>Barber, Patricia</t>
  </si>
  <si>
    <t>Cartwright, Candice</t>
  </si>
  <si>
    <t>Glenn, Ashton</t>
  </si>
  <si>
    <t>Gibson-Oliver, Lauren</t>
  </si>
  <si>
    <t>Riney, Tracey</t>
  </si>
  <si>
    <t>Maples, Amber</t>
  </si>
  <si>
    <t>Stuck, Susan</t>
  </si>
  <si>
    <t>Greer, Ralonda</t>
  </si>
  <si>
    <t>Smith, Natassia</t>
  </si>
  <si>
    <t>Sweat, Bonnie</t>
  </si>
  <si>
    <t>Livingston, Jennifer</t>
  </si>
  <si>
    <t>Sheffield, Laticia</t>
  </si>
  <si>
    <t>Richmond, Lakina</t>
  </si>
  <si>
    <t>Price, Carrie</t>
  </si>
  <si>
    <t>Melissa Dixon</t>
  </si>
  <si>
    <t>Watson, Ian</t>
  </si>
  <si>
    <t>Stepter, Catherine</t>
  </si>
  <si>
    <t>Baker, James</t>
  </si>
  <si>
    <t>Siddons, Upton</t>
  </si>
  <si>
    <t>Rafailovich-Sokolov, Aryeh</t>
  </si>
  <si>
    <t>De La Paz, Marissa, A</t>
  </si>
  <si>
    <t>Brown, Robin</t>
  </si>
  <si>
    <t>Bertholomey, Amanda</t>
  </si>
  <si>
    <t>Jaci, Lynn</t>
  </si>
  <si>
    <t>Lafleur-Simpson, Paige</t>
  </si>
  <si>
    <t>Downs, Alexis, B</t>
  </si>
  <si>
    <t>Willmon, Sarah</t>
  </si>
  <si>
    <t>Jones, Chri</t>
  </si>
  <si>
    <t>Brooke Bullard</t>
  </si>
  <si>
    <t>Rhodes, Jennifer</t>
  </si>
  <si>
    <t>Shellee N Flora</t>
  </si>
  <si>
    <t>Koehler, Aaron</t>
  </si>
  <si>
    <t>Massery, Victoria,</t>
  </si>
  <si>
    <t>Matlock, Deanna, M</t>
  </si>
  <si>
    <t>Morrison, Jacquelyn,</t>
  </si>
  <si>
    <t>Johnson, Caroline, G</t>
  </si>
  <si>
    <t>Pruett, Michael</t>
  </si>
  <si>
    <t>Wickman, John</t>
  </si>
  <si>
    <t>Irvin, John</t>
  </si>
  <si>
    <t>Stirnemann, Jeffrey</t>
  </si>
  <si>
    <t>Barrett, Stephanie</t>
  </si>
  <si>
    <t>Bodemann, Diane</t>
  </si>
  <si>
    <t>Baltz, Alexander</t>
  </si>
  <si>
    <t>Nollner, Robert</t>
  </si>
  <si>
    <t>Bell, Louis Jesse</t>
  </si>
  <si>
    <t>Jordan, Richard</t>
  </si>
  <si>
    <t>Sullivan, Sarah Lynn</t>
  </si>
  <si>
    <t>Co, Jennifer</t>
  </si>
  <si>
    <t>Lankford, Ladaryl</t>
  </si>
  <si>
    <t>Givens, Cheryl</t>
  </si>
  <si>
    <t>Wagnon, Lane</t>
  </si>
  <si>
    <t>Treat, Dana</t>
  </si>
  <si>
    <t>Veazey, Lauren</t>
  </si>
  <si>
    <t>Philamlee, Whitney</t>
  </si>
  <si>
    <t>Hill, Chad</t>
  </si>
  <si>
    <t>Scurfield, Holly</t>
  </si>
  <si>
    <t>Magrofa Awad, Ramez</t>
  </si>
  <si>
    <t>Dixon, Danielle</t>
  </si>
  <si>
    <t>Mcclelland, Sarenthia M</t>
  </si>
  <si>
    <t>Woolsey, Kristyl</t>
  </si>
  <si>
    <t>Turner, Travis</t>
  </si>
  <si>
    <t>Dickey, Laura</t>
  </si>
  <si>
    <t>Myears, Kyli</t>
  </si>
  <si>
    <t>Williams, Wischelle</t>
  </si>
  <si>
    <t>Blair, Kyle</t>
  </si>
  <si>
    <t>Dent, Kristen</t>
  </si>
  <si>
    <t>Farlin, Holly</t>
  </si>
  <si>
    <t>Mulindwa, Deo</t>
  </si>
  <si>
    <t>Frost-Smith, Megan</t>
  </si>
  <si>
    <t>Milam, Jordan</t>
  </si>
  <si>
    <t>Everett, Leslee</t>
  </si>
  <si>
    <t>Buss, Ashley</t>
  </si>
  <si>
    <t>Daniels, Kishana</t>
  </si>
  <si>
    <t>Neal, Emily</t>
  </si>
  <si>
    <t>Morgan, Emil</t>
  </si>
  <si>
    <t>Ellis, Barbara F</t>
  </si>
  <si>
    <t>Johnson, Rachel</t>
  </si>
  <si>
    <t>Gross, Ashley</t>
  </si>
  <si>
    <t>Flint, Rebekah</t>
  </si>
  <si>
    <t>Gavin, Linzy</t>
  </si>
  <si>
    <t>Hunter, Brandy,</t>
  </si>
  <si>
    <t>Aubyn, Friedland</t>
  </si>
  <si>
    <t>Barnett, Jesse</t>
  </si>
  <si>
    <t>Porter, Patricia</t>
  </si>
  <si>
    <t>Young, Erica,</t>
  </si>
  <si>
    <t>Amber D Ray</t>
  </si>
  <si>
    <t>Greene, Corey</t>
  </si>
  <si>
    <t>Marshall W Witt</t>
  </si>
  <si>
    <t>Dixon, Tymwa</t>
  </si>
  <si>
    <t>Murphy, Brandon</t>
  </si>
  <si>
    <t>Bruyere, Kimberly</t>
  </si>
  <si>
    <t>Light, William</t>
  </si>
  <si>
    <t>Poemoceah, Kenneth</t>
  </si>
  <si>
    <t>Armstrong, Paul</t>
  </si>
  <si>
    <t>Holston, John</t>
  </si>
  <si>
    <t>Knight, John</t>
  </si>
  <si>
    <t>Cabellero, Hugo</t>
  </si>
  <si>
    <t>Joseph, Ralph</t>
  </si>
  <si>
    <t>Storeygard, Alan</t>
  </si>
  <si>
    <t>Reed, Laura</t>
  </si>
  <si>
    <t>Spurling, Maria</t>
  </si>
  <si>
    <t>Shourd, Katherine</t>
  </si>
  <si>
    <t>Hellums, Shawna</t>
  </si>
  <si>
    <t>Humphrey, Charles</t>
  </si>
  <si>
    <t>Graham, Marie</t>
  </si>
  <si>
    <t>Mclaughlin, Nathan</t>
  </si>
  <si>
    <t>Webb, Jonna</t>
  </si>
  <si>
    <t>Nast, Deanna</t>
  </si>
  <si>
    <t>Johnson, Miranda</t>
  </si>
  <si>
    <t>Blanchard, Julia</t>
  </si>
  <si>
    <t>Petrov Kondratov, Vadim</t>
  </si>
  <si>
    <t>Farmer, Allyn</t>
  </si>
  <si>
    <t>Hodge, Connie</t>
  </si>
  <si>
    <t>Platt, Phillip</t>
  </si>
  <si>
    <t>Dudley, Mary</t>
  </si>
  <si>
    <t>Harris, Kelly</t>
  </si>
  <si>
    <t>Mccloskey, Laura S.</t>
  </si>
  <si>
    <t>Watkins, Jaime G.</t>
  </si>
  <si>
    <t>Melby, Mallory</t>
  </si>
  <si>
    <t>Yates, Matrecha A</t>
  </si>
  <si>
    <t>Tatum, Tamm</t>
  </si>
  <si>
    <t>Switzer, Ashley</t>
  </si>
  <si>
    <t>Blanton, Nathaniel</t>
  </si>
  <si>
    <t>Bernard, Taira</t>
  </si>
  <si>
    <t>Schlesier, Alicia</t>
  </si>
  <si>
    <t>Mealer, Angela</t>
  </si>
  <si>
    <t>Daniels, Ashley</t>
  </si>
  <si>
    <t>Applegate, Tosha</t>
  </si>
  <si>
    <t>Camry Campbell</t>
  </si>
  <si>
    <t>Metz, Kayla</t>
  </si>
  <si>
    <t>Hamilton, Michael</t>
  </si>
  <si>
    <t>Brannon, Tanner</t>
  </si>
  <si>
    <t>Ahmed, Syed</t>
  </si>
  <si>
    <t>Daffney</t>
  </si>
  <si>
    <t>Gregory, Joseph</t>
  </si>
  <si>
    <t>Siria, Martha, E</t>
  </si>
  <si>
    <t>Vanblaricom, Michelle, G</t>
  </si>
  <si>
    <t>Scott, Krista</t>
  </si>
  <si>
    <t>Tjandra, Sarikun</t>
  </si>
  <si>
    <t>Makhatadze, Yelizaveta</t>
  </si>
  <si>
    <t>Geiger, Paul</t>
  </si>
  <si>
    <t>Gayoso, Aileen</t>
  </si>
  <si>
    <t>Loggains, Benton</t>
  </si>
  <si>
    <t>Hyatt, Terri</t>
  </si>
  <si>
    <t>Holt, Tara</t>
  </si>
  <si>
    <t>Howard, Jamie</t>
  </si>
  <si>
    <t>Rodney, John</t>
  </si>
  <si>
    <t>Shoalmire, Charles</t>
  </si>
  <si>
    <t>Abrahamsen, Susan</t>
  </si>
  <si>
    <t>Mercer, Catherine</t>
  </si>
  <si>
    <t>Padilla Chacon, Fernando</t>
  </si>
  <si>
    <t>Heaser, Amita</t>
  </si>
  <si>
    <t>Brown, Tara</t>
  </si>
  <si>
    <t>Jones, Patti</t>
  </si>
  <si>
    <t>Hasan, Syed</t>
  </si>
  <si>
    <t>Gibson, Stacy</t>
  </si>
  <si>
    <t>Easterwood, Catherine</t>
  </si>
  <si>
    <t>Jones, Chad A.</t>
  </si>
  <si>
    <t>Banker, Alexandra</t>
  </si>
  <si>
    <t>Selvy, Julish</t>
  </si>
  <si>
    <t>Sun, Bennett</t>
  </si>
  <si>
    <t>Lunsford, Mary</t>
  </si>
  <si>
    <t>Cavender, Courtney</t>
  </si>
  <si>
    <t>Scherm, Olivia</t>
  </si>
  <si>
    <t>Mansour, Mariam, E</t>
  </si>
  <si>
    <t>Crosier, Megan</t>
  </si>
  <si>
    <t>Brown, Roza</t>
  </si>
  <si>
    <t>Kuykendall, Joyce, N</t>
  </si>
  <si>
    <t>Miller, Courtney,</t>
  </si>
  <si>
    <t>Moore, Jordan</t>
  </si>
  <si>
    <t>Buffy J Gross</t>
  </si>
  <si>
    <t>Ashley,Thompson</t>
  </si>
  <si>
    <t>Huggins, Heather</t>
  </si>
  <si>
    <t>White, William D</t>
  </si>
  <si>
    <t>Hutson, Charlie,</t>
  </si>
  <si>
    <t>Perrin, Shelly</t>
  </si>
  <si>
    <t>Noonan, Robert</t>
  </si>
  <si>
    <t>Cullom, Sumner</t>
  </si>
  <si>
    <t>Harris, John E</t>
  </si>
  <si>
    <t>Mead, Tanja</t>
  </si>
  <si>
    <t>Jana, Schade</t>
  </si>
  <si>
    <t>Sharaf, Huda</t>
  </si>
  <si>
    <t>Raghavan, Senthil</t>
  </si>
  <si>
    <t>Hathaway, Sylvia</t>
  </si>
  <si>
    <t>Chaudhary, Jyoti</t>
  </si>
  <si>
    <t>Vista, Ramon</t>
  </si>
  <si>
    <t>Gray, Franklin</t>
  </si>
  <si>
    <t>Janke, Jennifer,</t>
  </si>
  <si>
    <t>Mayle, Candace</t>
  </si>
  <si>
    <t>Dhanaraja, Amirtharaj</t>
  </si>
  <si>
    <t>Hill, Natalie</t>
  </si>
  <si>
    <t>Stephanie, Spurgat</t>
  </si>
  <si>
    <t>Mckee, Brittney</t>
  </si>
  <si>
    <t>Simon, Emily</t>
  </si>
  <si>
    <t>Davenport, Kenneth</t>
  </si>
  <si>
    <t>Hubbard, Kendra</t>
  </si>
  <si>
    <t>Young, Leah</t>
  </si>
  <si>
    <t>Poole, Tracy C</t>
  </si>
  <si>
    <t>Lamia, Abisamra</t>
  </si>
  <si>
    <t>Black, Nicole</t>
  </si>
  <si>
    <t>Webb, Dawn</t>
  </si>
  <si>
    <t>Kristin, Delahoussaye</t>
  </si>
  <si>
    <t>Murphy, Charmie</t>
  </si>
  <si>
    <t>Myrrh E Hector</t>
  </si>
  <si>
    <t>Bindu</t>
  </si>
  <si>
    <t>Mitchell, Hannah, L</t>
  </si>
  <si>
    <t>Scott, Stuart, M</t>
  </si>
  <si>
    <t>Jordan R Howard</t>
  </si>
  <si>
    <t>Tidwell, Shari</t>
  </si>
  <si>
    <t>Taylor, Martha</t>
  </si>
  <si>
    <t>Yarborough, Becky</t>
  </si>
  <si>
    <t>Warrington, James</t>
  </si>
  <si>
    <t>Edattukaren, Varghese</t>
  </si>
  <si>
    <t>Conway Family Med Care</t>
  </si>
  <si>
    <t>Shinn, Mary</t>
  </si>
  <si>
    <t>Ragland, Darrell</t>
  </si>
  <si>
    <t>Nagel, Frederick</t>
  </si>
  <si>
    <t>Dudley, Guilford</t>
  </si>
  <si>
    <t>Burda, John</t>
  </si>
  <si>
    <t>Howerton, Shelia</t>
  </si>
  <si>
    <t>Mitchell, Kenneth</t>
  </si>
  <si>
    <t>Little, Sharon</t>
  </si>
  <si>
    <t>Newman, Ciao</t>
  </si>
  <si>
    <t>Smithwick, Susan</t>
  </si>
  <si>
    <t>Moix, Theresa</t>
  </si>
  <si>
    <t>Orendorff, Christopher</t>
  </si>
  <si>
    <t>Dickinson, Kristen</t>
  </si>
  <si>
    <t>Shipman, Samatha</t>
  </si>
  <si>
    <t>Willis, Michelle</t>
  </si>
  <si>
    <t>Smith, Teresa D.</t>
  </si>
  <si>
    <t>Andrea, Spurling</t>
  </si>
  <si>
    <t>Priddy, Candace</t>
  </si>
  <si>
    <t>Morrison, Lynnette</t>
  </si>
  <si>
    <t>Khan, Asma</t>
  </si>
  <si>
    <t>Underwood, Sara</t>
  </si>
  <si>
    <t>Kori</t>
  </si>
  <si>
    <t>O'sullivan, Senushi</t>
  </si>
  <si>
    <t>Raffety, Laur</t>
  </si>
  <si>
    <t>Pipkins, Kayla</t>
  </si>
  <si>
    <t>Garrett, Angela</t>
  </si>
  <si>
    <t>Redix, Merkessie</t>
  </si>
  <si>
    <t>O'sullivan, Kevin</t>
  </si>
  <si>
    <t>Al Soufi, Abdulmuttaleb</t>
  </si>
  <si>
    <t>Leslie, Finley</t>
  </si>
  <si>
    <t>Williams, Vonetta</t>
  </si>
  <si>
    <t>Fender, Bridgette</t>
  </si>
  <si>
    <t>Dylan,Cruz</t>
  </si>
  <si>
    <t>Yeager, James B</t>
  </si>
  <si>
    <t>Goza, William</t>
  </si>
  <si>
    <t>Rai, Apoorva,</t>
  </si>
  <si>
    <t>Cannon, Zane, T</t>
  </si>
  <si>
    <t>Thompson, Mega</t>
  </si>
  <si>
    <t>Robinson, Torie A</t>
  </si>
  <si>
    <t>Koon, Joseph, A</t>
  </si>
  <si>
    <t>Logan, Stephenny, E</t>
  </si>
  <si>
    <t>Olubunmi,Osinloye</t>
  </si>
  <si>
    <t>Peggy, Isaac</t>
  </si>
  <si>
    <t>Judith,Thomas-Gregory</t>
  </si>
  <si>
    <t>Gretchen Hackler</t>
  </si>
  <si>
    <t>Highfill, Sarah</t>
  </si>
  <si>
    <t>Bayne, Olivia,</t>
  </si>
  <si>
    <t>Bermudez, Marcela, Z</t>
  </si>
  <si>
    <t>Paslay, Timothy,</t>
  </si>
  <si>
    <t>Diamond, Sherri</t>
  </si>
  <si>
    <t>Meyers, Anna</t>
  </si>
  <si>
    <t>Greenwood, Blair</t>
  </si>
  <si>
    <t>Brinkman, William J</t>
  </si>
  <si>
    <t>Cabine, Linda</t>
  </si>
  <si>
    <t>Yates, Jeffrey</t>
  </si>
  <si>
    <t>Loyd, Gregory M</t>
  </si>
  <si>
    <t>Tilley, James</t>
  </si>
  <si>
    <t>Hatley, Russell</t>
  </si>
  <si>
    <t>Merle, Karen</t>
  </si>
  <si>
    <t>Woodard, Eric</t>
  </si>
  <si>
    <t>Huisman, Steven</t>
  </si>
  <si>
    <t>Cheek, Robert</t>
  </si>
  <si>
    <t>Figures, Koyia</t>
  </si>
  <si>
    <t>Nelson, Stephanie</t>
  </si>
  <si>
    <t>Nicholas, Amy</t>
  </si>
  <si>
    <t>Wylie, Julie</t>
  </si>
  <si>
    <t>Teeter, Stanley</t>
  </si>
  <si>
    <t>Hendricks, Ashley</t>
  </si>
  <si>
    <t>Marotta, Jeanne, M</t>
  </si>
  <si>
    <t>Scott, Kimberly</t>
  </si>
  <si>
    <t>Desiree, Herman</t>
  </si>
  <si>
    <t>Rice, Logan, G</t>
  </si>
  <si>
    <t>Snavely, Samantha</t>
  </si>
  <si>
    <t>Adams, Candis</t>
  </si>
  <si>
    <t>Raney, Wendy</t>
  </si>
  <si>
    <t>Wilhite, Kara</t>
  </si>
  <si>
    <t>Faughn, Philip</t>
  </si>
  <si>
    <t>Denton, Ashley</t>
  </si>
  <si>
    <t>Turner, Amanda</t>
  </si>
  <si>
    <t>Jones, Dana</t>
  </si>
  <si>
    <t>Hess, Summer</t>
  </si>
  <si>
    <t>Webb, Katie</t>
  </si>
  <si>
    <t>Barton, Taylor</t>
  </si>
  <si>
    <t>Louton, Dillon</t>
  </si>
  <si>
    <t>Robert, Foy</t>
  </si>
  <si>
    <t>Mcdaniels, Robert</t>
  </si>
  <si>
    <t>Black, Lori</t>
  </si>
  <si>
    <t>Deens, Jacqueline,</t>
  </si>
  <si>
    <t>Bridget D Reyes</t>
  </si>
  <si>
    <t>Autumn,Allgood</t>
  </si>
  <si>
    <t>Miranda,Dunlap</t>
  </si>
  <si>
    <t>Patel, Mckinsea, D</t>
  </si>
  <si>
    <t>Johanna L Aldrighetti</t>
  </si>
  <si>
    <t>Cullum, Kathryn, A</t>
  </si>
  <si>
    <t>Mohan, Veena</t>
  </si>
  <si>
    <t>Pearce, Rebecca</t>
  </si>
  <si>
    <t>Ford, Michael</t>
  </si>
  <si>
    <t>Mishra, Ashutosh</t>
  </si>
  <si>
    <t>Barber, Jeffrey</t>
  </si>
  <si>
    <t>Kazakevicius, Rimantas</t>
  </si>
  <si>
    <t>Willis, Denise</t>
  </si>
  <si>
    <t>Collins, Vera</t>
  </si>
  <si>
    <t>Martin, Vince</t>
  </si>
  <si>
    <t>Sherrill, Lisa</t>
  </si>
  <si>
    <t>Russell, Sara</t>
  </si>
  <si>
    <t>Prather, Susan</t>
  </si>
  <si>
    <t>Diles, Amanda</t>
  </si>
  <si>
    <t>Wheeler, Kristin</t>
  </si>
  <si>
    <t>Parks, John</t>
  </si>
  <si>
    <t>Baldwin, Crystal</t>
  </si>
  <si>
    <t>Goodman, Erin</t>
  </si>
  <si>
    <t>Kelton, Wendy</t>
  </si>
  <si>
    <t>Allen, Julie</t>
  </si>
  <si>
    <t>Jett, Dayna</t>
  </si>
  <si>
    <t>Mahmood, Mirza</t>
  </si>
  <si>
    <t>Keesaer, Amanda</t>
  </si>
  <si>
    <t>Farley, Robert</t>
  </si>
  <si>
    <t>Crawford, Valerie</t>
  </si>
  <si>
    <t>Albonetti, Nicholas</t>
  </si>
  <si>
    <t>Tara,Puckett</t>
  </si>
  <si>
    <t>Smith, Asa</t>
  </si>
  <si>
    <t>Knefati, Mohammed</t>
  </si>
  <si>
    <t>Franklin, Whitney</t>
  </si>
  <si>
    <t>Alfano, Rose</t>
  </si>
  <si>
    <t>Marx, Nicholas</t>
  </si>
  <si>
    <t>Rogers, Deanna</t>
  </si>
  <si>
    <t>Jones, Lisa</t>
  </si>
  <si>
    <t>Latham, Brandy N.</t>
  </si>
  <si>
    <t>Amick, Melanie</t>
  </si>
  <si>
    <t>Williams, Erica</t>
  </si>
  <si>
    <t>Barfield, Shay</t>
  </si>
  <si>
    <t>Ligon, Haley</t>
  </si>
  <si>
    <t>Sandefur, Jacob</t>
  </si>
  <si>
    <t>Csonka, Joshua T.</t>
  </si>
  <si>
    <t>Lasharon, Tubbs</t>
  </si>
  <si>
    <t>Mbawuike, Patrick,</t>
  </si>
  <si>
    <t>Caitlin, Jackson</t>
  </si>
  <si>
    <t>Lueken, Carley</t>
  </si>
  <si>
    <t>Pierce, Margaret</t>
  </si>
  <si>
    <t>Carlson, Leah</t>
  </si>
  <si>
    <t>Callie M Curtis</t>
  </si>
  <si>
    <t>Jordan, Kalousek</t>
  </si>
  <si>
    <t>Dillon, Anna,</t>
  </si>
  <si>
    <t>Oluleke, Olaiya</t>
  </si>
  <si>
    <t>Samantha, Wideman</t>
  </si>
  <si>
    <t>Allman, Stephanie, M</t>
  </si>
  <si>
    <t>Walper, Brittany</t>
  </si>
  <si>
    <t>Pullig, Thomas</t>
  </si>
  <si>
    <t>Short, Harold</t>
  </si>
  <si>
    <t>Young, Geraldine</t>
  </si>
  <si>
    <t>Bjorneby, Trisha, J</t>
  </si>
  <si>
    <t>Burt, William</t>
  </si>
  <si>
    <t>Wali, Ghassan</t>
  </si>
  <si>
    <t>Wagner, Tommy</t>
  </si>
  <si>
    <t>Hyatt, Brian</t>
  </si>
  <si>
    <t>Suarez, Carlos</t>
  </si>
  <si>
    <t>Pulliam, Joe</t>
  </si>
  <si>
    <t>Sloan, Amber</t>
  </si>
  <si>
    <t>Greenhaw, Lauren</t>
  </si>
  <si>
    <t>Joshua, Block</t>
  </si>
  <si>
    <t>Cook, Alicia</t>
  </si>
  <si>
    <t>Baker, Cynthia</t>
  </si>
  <si>
    <t>Indukuri Venkata Madhava, Ashoka</t>
  </si>
  <si>
    <t>Patil, Monali</t>
  </si>
  <si>
    <t>Gravette, Jennifer</t>
  </si>
  <si>
    <t>Harris, Lashelle</t>
  </si>
  <si>
    <t>Trucks, Tonya</t>
  </si>
  <si>
    <t>Emerson, Jennifer</t>
  </si>
  <si>
    <t>Garriott, Jessica</t>
  </si>
  <si>
    <t>Saqi, Bilal,</t>
  </si>
  <si>
    <t>Wemmerus, Edward C</t>
  </si>
  <si>
    <t>Gillam, Erin E</t>
  </si>
  <si>
    <t>Phouthavong, Cherrie</t>
  </si>
  <si>
    <t>Wilson, Katrena L</t>
  </si>
  <si>
    <t>Carrion, Jose J.</t>
  </si>
  <si>
    <t>Dement, Tonna</t>
  </si>
  <si>
    <t>Khan, Khairunnisa</t>
  </si>
  <si>
    <t>Brown, Sherry</t>
  </si>
  <si>
    <t>Roark, Russell, J</t>
  </si>
  <si>
    <t>Missy,Foster</t>
  </si>
  <si>
    <t>Bass, Timothy</t>
  </si>
  <si>
    <t>Bruce, Diane</t>
  </si>
  <si>
    <t>Oliver, Kara</t>
  </si>
  <si>
    <t>Winemiller, Chelsea</t>
  </si>
  <si>
    <t>Maddox, Anthony</t>
  </si>
  <si>
    <t>Ashley, Hallbauer</t>
  </si>
  <si>
    <t>Gober, Charlie</t>
  </si>
  <si>
    <t>Keelin, Candace</t>
  </si>
  <si>
    <t>Lauren M Smith</t>
  </si>
  <si>
    <t>Shannon, Goines</t>
  </si>
  <si>
    <t>Liu, Soudarath</t>
  </si>
  <si>
    <t>Schrekenhofer, Abby</t>
  </si>
  <si>
    <t>Finley, Angela</t>
  </si>
  <si>
    <t>Boardman, Amanda, M</t>
  </si>
  <si>
    <t>Armas, Dulce,</t>
  </si>
  <si>
    <t>Baker, Ellie, A</t>
  </si>
  <si>
    <t>Langdon, Brandi</t>
  </si>
  <si>
    <t>Harvey, Lisa</t>
  </si>
  <si>
    <t>Browning, Jerry</t>
  </si>
  <si>
    <t>Glenn, Jason</t>
  </si>
  <si>
    <t>Bowman, Amy</t>
  </si>
  <si>
    <t>Hutchison, Darrell</t>
  </si>
  <si>
    <t>Slavik, Julie</t>
  </si>
  <si>
    <t>Huskins, John</t>
  </si>
  <si>
    <t>Tedder, Michael</t>
  </si>
  <si>
    <t>Watson, Michael</t>
  </si>
  <si>
    <t>Musgrove, Cynthia</t>
  </si>
  <si>
    <t>Greenwood, Gary</t>
  </si>
  <si>
    <t>Lowry, Stephanie</t>
  </si>
  <si>
    <t>Rueda, Martha</t>
  </si>
  <si>
    <t>Parham, Rebecca</t>
  </si>
  <si>
    <t>Scroggins, Carol</t>
  </si>
  <si>
    <t>Baker, Erica</t>
  </si>
  <si>
    <t>Wade, Maree</t>
  </si>
  <si>
    <t>Harrington, Kourtney</t>
  </si>
  <si>
    <t>Machen, Heidi</t>
  </si>
  <si>
    <t>Adams, Amber</t>
  </si>
  <si>
    <t>Tenku, Kemeni E</t>
  </si>
  <si>
    <t>Tenorio Michelle</t>
  </si>
  <si>
    <t>Lites, Crystal</t>
  </si>
  <si>
    <t>Halliburton, Jennifer</t>
  </si>
  <si>
    <t>Williams, Anne</t>
  </si>
  <si>
    <t>Mc Cutcheon, Joshua</t>
  </si>
  <si>
    <t>Fullove, Tracie</t>
  </si>
  <si>
    <t>Bolton, Samantha</t>
  </si>
  <si>
    <t>Johnson, Margaret</t>
  </si>
  <si>
    <t>Terrell, Robert</t>
  </si>
  <si>
    <t>Xayapheth, Anita</t>
  </si>
  <si>
    <t>Owen, Megan</t>
  </si>
  <si>
    <t>Lyon, Stephanie B.</t>
  </si>
  <si>
    <t>Fraze, Stephanie</t>
  </si>
  <si>
    <t>Weeks, Brennan</t>
  </si>
  <si>
    <t>Chenowith, Bobbi</t>
  </si>
  <si>
    <t>Davis, Alexandria</t>
  </si>
  <si>
    <t>Nansiyani, Shehnaz</t>
  </si>
  <si>
    <t>Smith, Andrew</t>
  </si>
  <si>
    <t>Cruthis, Leah</t>
  </si>
  <si>
    <t>White, Richard</t>
  </si>
  <si>
    <t>Jones, Marie</t>
  </si>
  <si>
    <t>Mattison, Adam</t>
  </si>
  <si>
    <t>Cato, Brittney</t>
  </si>
  <si>
    <t>Mcmullin, James</t>
  </si>
  <si>
    <t>Norman, Katrina</t>
  </si>
  <si>
    <t>Pinkham, Joshua</t>
  </si>
  <si>
    <t>Latrisala,Bankston</t>
  </si>
  <si>
    <t>Smith, Brenan</t>
  </si>
  <si>
    <t>Hornsby, Taylor</t>
  </si>
  <si>
    <t>Poindexter, Onek</t>
  </si>
  <si>
    <t>Mcgee Walley, Chelsea L.</t>
  </si>
  <si>
    <t>Vincent, Michelle</t>
  </si>
  <si>
    <t>Brown, Jacqueline</t>
  </si>
  <si>
    <t>Gray, Cour</t>
  </si>
  <si>
    <t>Van Dam, Karlee</t>
  </si>
  <si>
    <t>Ballard, Mall</t>
  </si>
  <si>
    <t>Best, Logan, W</t>
  </si>
  <si>
    <t>Daniels, Jord</t>
  </si>
  <si>
    <t>Julia, Shaver</t>
  </si>
  <si>
    <t>Edwards, Lyssa</t>
  </si>
  <si>
    <t>Bowen, Linda</t>
  </si>
  <si>
    <t>Steves, Joseph,</t>
  </si>
  <si>
    <t>Cummings, Johnnie</t>
  </si>
  <si>
    <t>Reiter, Greg</t>
  </si>
  <si>
    <t>Oge, Brian</t>
  </si>
  <si>
    <t>Swanson, Allison</t>
  </si>
  <si>
    <t>Abraham, Ladly</t>
  </si>
  <si>
    <t>Reid, Mathew</t>
  </si>
  <si>
    <t>Pace, Daniel</t>
  </si>
  <si>
    <t>Vaughan, G</t>
  </si>
  <si>
    <t>Singh, Michael</t>
  </si>
  <si>
    <t>Nix, John</t>
  </si>
  <si>
    <t>Burnett, Stacey</t>
  </si>
  <si>
    <t>Scarbrough, Dewey</t>
  </si>
  <si>
    <t>Scribner, John</t>
  </si>
  <si>
    <t>Norton, Teresa</t>
  </si>
  <si>
    <t>Harry, Ashley</t>
  </si>
  <si>
    <t>Rowell, Amy</t>
  </si>
  <si>
    <t>Easley, Jennifer</t>
  </si>
  <si>
    <t>Krautwurst, Jamie</t>
  </si>
  <si>
    <t>Everett, Karen</t>
  </si>
  <si>
    <t>Stone, Heather</t>
  </si>
  <si>
    <t>Troutman, Tyler</t>
  </si>
  <si>
    <t>Pate, Patricia</t>
  </si>
  <si>
    <t>Bradberry, Andrew</t>
  </si>
  <si>
    <t>Angulo, Rachel</t>
  </si>
  <si>
    <t>Bowen Perkins, Miranda</t>
  </si>
  <si>
    <t>Keller, Melissa</t>
  </si>
  <si>
    <t>Travis, Katherine</t>
  </si>
  <si>
    <t>Blanchard, Colleen</t>
  </si>
  <si>
    <t>Gouveia, Nurlela</t>
  </si>
  <si>
    <t>Rainey, Amy</t>
  </si>
  <si>
    <t>Pasman, Crystal E</t>
  </si>
  <si>
    <t>Valentine, Easton</t>
  </si>
  <si>
    <t>Halbert, Margaret</t>
  </si>
  <si>
    <t>Franklin, Tracey</t>
  </si>
  <si>
    <t>Mccool Jaggers, Tabitha</t>
  </si>
  <si>
    <t>Evans, Myra</t>
  </si>
  <si>
    <t>Verdell, Jonathan T.</t>
  </si>
  <si>
    <t>Dorsey, Ladonna</t>
  </si>
  <si>
    <t>Eubanks, Tori</t>
  </si>
  <si>
    <t>Goodwin, Tara</t>
  </si>
  <si>
    <t>Ross, William, L</t>
  </si>
  <si>
    <t>Withoelter, Mary</t>
  </si>
  <si>
    <t>Mahar, Amber</t>
  </si>
  <si>
    <t>Lea, Brooke</t>
  </si>
  <si>
    <t>Reece, Sharon C.</t>
  </si>
  <si>
    <t>Lance, Lauren</t>
  </si>
  <si>
    <t>Robinson, Cynthia</t>
  </si>
  <si>
    <t>Thompson, Colby D.</t>
  </si>
  <si>
    <t>Mccomb, Laur</t>
  </si>
  <si>
    <t>Christen,Carter</t>
  </si>
  <si>
    <t>River J Hunter</t>
  </si>
  <si>
    <t>Shepard, Ashley, G</t>
  </si>
  <si>
    <t>Hammonds, Ariel</t>
  </si>
  <si>
    <t>Tarpley, Jonathan</t>
  </si>
  <si>
    <t>Qadir, Fauzia</t>
  </si>
  <si>
    <t>Justiss, Richard</t>
  </si>
  <si>
    <t>Clark, Karen</t>
  </si>
  <si>
    <t>Stevens, Jessica</t>
  </si>
  <si>
    <t>Beavers, Homer</t>
  </si>
  <si>
    <t>Gelfand, Michael</t>
  </si>
  <si>
    <t>Droske, Susan</t>
  </si>
  <si>
    <t>Thomas</t>
  </si>
  <si>
    <t>Breedlove, Andrea</t>
  </si>
  <si>
    <t>Macechko, Michael</t>
  </si>
  <si>
    <t>Keathley, Ashley</t>
  </si>
  <si>
    <t>Hanson, Sarah, K</t>
  </si>
  <si>
    <t>Thangalia Vara, Bhargav</t>
  </si>
  <si>
    <t>Cassidy, Tommie</t>
  </si>
  <si>
    <t>Teague, Heather</t>
  </si>
  <si>
    <t>Wink, Elizabeth</t>
  </si>
  <si>
    <t>Eddy, Douglas</t>
  </si>
  <si>
    <t>Fortner, Lori</t>
  </si>
  <si>
    <t>New, Melanie</t>
  </si>
  <si>
    <t>Garrett, Patricia</t>
  </si>
  <si>
    <t>Tucker, Tracy</t>
  </si>
  <si>
    <t>Mcelyea, Vivian</t>
  </si>
  <si>
    <t>Green, Alissa</t>
  </si>
  <si>
    <t>White, Tomekia</t>
  </si>
  <si>
    <t>King, Helen</t>
  </si>
  <si>
    <t>Stvartak, Amy</t>
  </si>
  <si>
    <t>Landreneau, Kathryn</t>
  </si>
  <si>
    <t>Eichenberg-Jones, Michelina</t>
  </si>
  <si>
    <t>Turnage, Christi</t>
  </si>
  <si>
    <t>Davis, Janell</t>
  </si>
  <si>
    <t>Hattabaugh, Rebecca</t>
  </si>
  <si>
    <t>Carmichael, Baillie</t>
  </si>
  <si>
    <t>Briggs, Mari</t>
  </si>
  <si>
    <t>Street, Viktoriya</t>
  </si>
  <si>
    <t>Britton, Leslie</t>
  </si>
  <si>
    <t>Wilson, Kendra</t>
  </si>
  <si>
    <t>Nelson, Desiree</t>
  </si>
  <si>
    <t>Mindy,Brown</t>
  </si>
  <si>
    <t>Williams, Kayla, C</t>
  </si>
  <si>
    <t>Zeno, Lila</t>
  </si>
  <si>
    <t>Hernandez, Alaina, L</t>
  </si>
  <si>
    <t>Whatley, Amber, C</t>
  </si>
  <si>
    <t>Amy E Plott</t>
  </si>
  <si>
    <t>Rosca Sichitiu, Raluca</t>
  </si>
  <si>
    <t>Trentham, Orin</t>
  </si>
  <si>
    <t>Anderson, Brandi</t>
  </si>
  <si>
    <t>Lincoln, Lance</t>
  </si>
  <si>
    <t>Flory, Marr</t>
  </si>
  <si>
    <t>Yawn, Melissa</t>
  </si>
  <si>
    <t>Click, Robert</t>
  </si>
  <si>
    <t>Kile, H</t>
  </si>
  <si>
    <t>Johnson, Jessica</t>
  </si>
  <si>
    <t>Noel, Stacey</t>
  </si>
  <si>
    <t>Hall Deel, Amanda</t>
  </si>
  <si>
    <t>Dockery, Veronica</t>
  </si>
  <si>
    <t>Shumake, Carma</t>
  </si>
  <si>
    <t>Sajovitz, Lisa</t>
  </si>
  <si>
    <t>Nearn, Andrew</t>
  </si>
  <si>
    <t>Williford, Dustin</t>
  </si>
  <si>
    <t>Beal, Katie</t>
  </si>
  <si>
    <t>Wilcox, Ashley</t>
  </si>
  <si>
    <t>Asafo Boakye, Benjamin</t>
  </si>
  <si>
    <t>Kirby, Robin</t>
  </si>
  <si>
    <t>Jones, Bradley</t>
  </si>
  <si>
    <t>Benafield, Laureen</t>
  </si>
  <si>
    <t>Pennington, David</t>
  </si>
  <si>
    <t>Rhodes, Robbie</t>
  </si>
  <si>
    <t>El Hassan, Nahed</t>
  </si>
  <si>
    <t>Mccord, Virginia</t>
  </si>
  <si>
    <t>Repp, Meghan</t>
  </si>
  <si>
    <t>Victoria, Corley</t>
  </si>
  <si>
    <t>Hester, Karen</t>
  </si>
  <si>
    <t>Lum, Jennifer</t>
  </si>
  <si>
    <t>Berger, Jennifer</t>
  </si>
  <si>
    <t>Gangu, Shantaveer</t>
  </si>
  <si>
    <t>Barrett, Burger</t>
  </si>
  <si>
    <t>Danielle,Lee</t>
  </si>
  <si>
    <t>Ryan W Steele</t>
  </si>
  <si>
    <t>Emison, Jessica</t>
  </si>
  <si>
    <t>Chowdhary, Vikas</t>
  </si>
  <si>
    <t>Stender, Sarah Rice</t>
  </si>
  <si>
    <t>Othman, Randa</t>
  </si>
  <si>
    <t>Conor H Smith</t>
  </si>
  <si>
    <t>Malone, Emily</t>
  </si>
  <si>
    <t>Mccoy, Elisha</t>
  </si>
  <si>
    <t>Cantu, Rebecca</t>
  </si>
  <si>
    <t>Marie B Thompson</t>
  </si>
  <si>
    <t>Chandrappa, Vani</t>
  </si>
  <si>
    <t>Shukla, Ankita</t>
  </si>
  <si>
    <t>Purvis, John</t>
  </si>
  <si>
    <t>Watson, Deborah</t>
  </si>
  <si>
    <t>Smith, Lynette</t>
  </si>
  <si>
    <t>Bhakta, Rupal</t>
  </si>
  <si>
    <t>Wright-Bowers, Debra</t>
  </si>
  <si>
    <t>Bridges, Brad</t>
  </si>
  <si>
    <t>Smith, Jessica</t>
  </si>
  <si>
    <t>Payne, Christina</t>
  </si>
  <si>
    <t>Demirel, Susan</t>
  </si>
  <si>
    <t>Carasusan, Ana P.</t>
  </si>
  <si>
    <t>Gaines, Grant</t>
  </si>
  <si>
    <t>Yanishevski, Svetlana</t>
  </si>
  <si>
    <t>Eiseman, Robert</t>
  </si>
  <si>
    <t>Delong, Rachel</t>
  </si>
  <si>
    <t>Ibrahim, Manar</t>
  </si>
  <si>
    <t>Lee, Heather, M</t>
  </si>
  <si>
    <t>Dundas, Dawn</t>
  </si>
  <si>
    <t>Liu, Joyce</t>
  </si>
  <si>
    <t>Samah, Awad</t>
  </si>
  <si>
    <t>Bettin, Kristen</t>
  </si>
  <si>
    <t>Sismondo, Hilliary</t>
  </si>
  <si>
    <t>Salmon, Jason J.</t>
  </si>
  <si>
    <t>Casama, Dorothy</t>
  </si>
  <si>
    <t>Bradbury Keith, Kelsey</t>
  </si>
  <si>
    <t>Morales, Meleah</t>
  </si>
  <si>
    <t>Craig, Jeffrey</t>
  </si>
  <si>
    <t>Espinal, Ronald R.</t>
  </si>
  <si>
    <t>Brown, Erica</t>
  </si>
  <si>
    <t>Hare, Marion</t>
  </si>
  <si>
    <t>Duke, Anton</t>
  </si>
  <si>
    <t>Cantwell, Janet</t>
  </si>
  <si>
    <t>Bradshaw, Elizabeth</t>
  </si>
  <si>
    <t>Cope, Jude J.</t>
  </si>
  <si>
    <t>Ahmadian, Veronica</t>
  </si>
  <si>
    <t>Shearer, Zackary</t>
  </si>
  <si>
    <t>Stephen, Epps</t>
  </si>
  <si>
    <t>Williams Ferry, Jennifer</t>
  </si>
  <si>
    <t>Jacquelyn</t>
  </si>
  <si>
    <t>Haley B Taylor</t>
  </si>
  <si>
    <t>Mclaughlin, Lauren</t>
  </si>
  <si>
    <t>Francois, Sade Anita</t>
  </si>
  <si>
    <t>Turner, Scott</t>
  </si>
  <si>
    <t>Champlin, Terence</t>
  </si>
  <si>
    <t>Douglas, William</t>
  </si>
  <si>
    <t>Narayanan, Manoj</t>
  </si>
  <si>
    <t>Oyler, Amy</t>
  </si>
  <si>
    <t>Koehler, Andrew</t>
  </si>
  <si>
    <t>King, Zach</t>
  </si>
  <si>
    <t>Sinclair, Melissa</t>
  </si>
  <si>
    <t>Atkins, James</t>
  </si>
  <si>
    <t>Speake, Cheryl</t>
  </si>
  <si>
    <t>Lyon, Joshua</t>
  </si>
  <si>
    <t>Frizzell, Noel</t>
  </si>
  <si>
    <t>Rogers, Andrea</t>
  </si>
  <si>
    <t>Malone, Matthew</t>
  </si>
  <si>
    <t>Harmon, Jennifer</t>
  </si>
  <si>
    <t>Stecker, Ellen</t>
  </si>
  <si>
    <t>Carey, Steven</t>
  </si>
  <si>
    <t>Slagle, Brittany</t>
  </si>
  <si>
    <t>Barnes, Bailey, R</t>
  </si>
  <si>
    <t>Harrison, Rick</t>
  </si>
  <si>
    <t>Sutherland, Dawn</t>
  </si>
  <si>
    <t>Simmons, John</t>
  </si>
  <si>
    <t>Johnson, Anthony</t>
  </si>
  <si>
    <t>Barger, Katherine</t>
  </si>
  <si>
    <t>Masters, Chadwick</t>
  </si>
  <si>
    <t>Sooman, Sandra</t>
  </si>
  <si>
    <t>Noble, Bridgette, M</t>
  </si>
  <si>
    <t>Flor, Jaimie</t>
  </si>
  <si>
    <t>Hansen, Blake</t>
  </si>
  <si>
    <t>Buxton, Gregory</t>
  </si>
  <si>
    <t>Chatham, Daniel</t>
  </si>
  <si>
    <t>Beyers, Rebekah</t>
  </si>
  <si>
    <t>Keri, Read</t>
  </si>
  <si>
    <t>Hardy, Sarah</t>
  </si>
  <si>
    <t>Carmack Crawford, Janet</t>
  </si>
  <si>
    <t>Vargo, Jacob</t>
  </si>
  <si>
    <t>Vinson, Janell</t>
  </si>
  <si>
    <t>Kim, Elizabeth</t>
  </si>
  <si>
    <t>Perin, Rebecca</t>
  </si>
  <si>
    <t>Bodea, Jessica</t>
  </si>
  <si>
    <t>Praveen</t>
  </si>
  <si>
    <t>Rasmussen, Daniel</t>
  </si>
  <si>
    <t>Olayemi, Adegbenga</t>
  </si>
  <si>
    <t>Killingsworth, Chris</t>
  </si>
  <si>
    <t>Nosser, Cassandra</t>
  </si>
  <si>
    <t>Edwards, Angela</t>
  </si>
  <si>
    <t>Ahart, Cheryl</t>
  </si>
  <si>
    <t>Cannon, Jessica</t>
  </si>
  <si>
    <t>Andrews, Jennifer</t>
  </si>
  <si>
    <t>Adams, Shaun</t>
  </si>
  <si>
    <t>Kaemmerling, Brad</t>
  </si>
  <si>
    <t>Staley, Kelly</t>
  </si>
  <si>
    <t>Robertson, Kenneth</t>
  </si>
  <si>
    <t>Bergeron, Christian</t>
  </si>
  <si>
    <t>Bailey, Amy</t>
  </si>
  <si>
    <t>Laura,Gannon</t>
  </si>
  <si>
    <t>Furlow, Stacy</t>
  </si>
  <si>
    <t>Hough, Robert</t>
  </si>
  <si>
    <t>Macferran, Kimberly</t>
  </si>
  <si>
    <t>Henley, Eric</t>
  </si>
  <si>
    <t>Jessica, Gutman</t>
  </si>
  <si>
    <t>Hoffler, Eric, W</t>
  </si>
  <si>
    <t>Whitaker, John</t>
  </si>
  <si>
    <t>Boyd Beavers, Jessica</t>
  </si>
  <si>
    <t>Deputy, Loren</t>
  </si>
  <si>
    <t>Kennedy, Frazier</t>
  </si>
  <si>
    <t>Tewar, Shrutui N.</t>
  </si>
  <si>
    <t>Kramer, Kevin</t>
  </si>
  <si>
    <t>Nellore, Whitney</t>
  </si>
  <si>
    <t>Myers, James S</t>
  </si>
  <si>
    <t>Pride-Boone, Janice</t>
  </si>
  <si>
    <t>Patil, Sowmya</t>
  </si>
  <si>
    <t>White, Gwenevere</t>
  </si>
  <si>
    <t>Adonis, Michel</t>
  </si>
  <si>
    <t>Milad, Abdulhamid</t>
  </si>
  <si>
    <t>Palakurthi, Preeti</t>
  </si>
  <si>
    <t>Poole, Oneica, N</t>
  </si>
  <si>
    <t>Kluck, Carl</t>
  </si>
  <si>
    <t>Magee, James</t>
  </si>
  <si>
    <t>Massey, James</t>
  </si>
  <si>
    <t>Skelley, Kimberly</t>
  </si>
  <si>
    <t>Kelly, Maryalice</t>
  </si>
  <si>
    <t>Beeman, Helen</t>
  </si>
  <si>
    <t>Togami, Julia</t>
  </si>
  <si>
    <t>Thornton, Donnyel</t>
  </si>
  <si>
    <t>Gipson, Tanjala</t>
  </si>
  <si>
    <t>Pillow, Jill</t>
  </si>
  <si>
    <t>Mitchel, Kristen</t>
  </si>
  <si>
    <t>Scotten, Mitzi</t>
  </si>
  <si>
    <t>Owen, Keith</t>
  </si>
  <si>
    <t>Eckes, Anne</t>
  </si>
  <si>
    <t>Rachel, Ekdahl</t>
  </si>
  <si>
    <t>Ukwe, Ndidibuike</t>
  </si>
  <si>
    <t>Onyenso, Gift</t>
  </si>
  <si>
    <t>Ulriche, Mccurdy</t>
  </si>
  <si>
    <t>Nevilles Odum, Erica</t>
  </si>
  <si>
    <t>Tas, Vildan</t>
  </si>
  <si>
    <t>Hysmith, Nicholas</t>
  </si>
  <si>
    <t>Randall, Amy</t>
  </si>
  <si>
    <t>Robertson, Sara</t>
  </si>
  <si>
    <t>Filipek, Jacob</t>
  </si>
  <si>
    <t>Wilson, David,</t>
  </si>
  <si>
    <t>Fry, Amy</t>
  </si>
  <si>
    <t>Roberts Finfrock, Mindy M.</t>
  </si>
  <si>
    <t>Sharma, Richa</t>
  </si>
  <si>
    <t>Holstead, Julie</t>
  </si>
  <si>
    <t>Anderson, Laurie</t>
  </si>
  <si>
    <t>Jeffrey Craig</t>
  </si>
  <si>
    <t>Whitney, Carolyn</t>
  </si>
  <si>
    <t>Nwokeji, Kris</t>
  </si>
  <si>
    <t>Ware, Julie</t>
  </si>
  <si>
    <t>Reeves, Charles</t>
  </si>
  <si>
    <t>Saul Sehy, Cheryl</t>
  </si>
  <si>
    <t>Mink, Jennifer</t>
  </si>
  <si>
    <t>Dalgo, Austin</t>
  </si>
  <si>
    <t>Cunningham, Caitlin</t>
  </si>
  <si>
    <t>Fletcher, Amy</t>
  </si>
  <si>
    <t>Rowe, Tracy</t>
  </si>
  <si>
    <t>Fitzwater, Douglas</t>
  </si>
  <si>
    <t>Porter, Cindy</t>
  </si>
  <si>
    <t>Calloway, Tracie</t>
  </si>
  <si>
    <t>Hinton, Paul</t>
  </si>
  <si>
    <t>Hutcheson, Belinda</t>
  </si>
  <si>
    <t>Ghosh, Asish</t>
  </si>
  <si>
    <t>Paul, Jennifer</t>
  </si>
  <si>
    <t>Anderson, Luis</t>
  </si>
  <si>
    <t>Algea, William</t>
  </si>
  <si>
    <t>Bartlett, Christina</t>
  </si>
  <si>
    <t>Zarate Torres, Yuri</t>
  </si>
  <si>
    <t>Rice, Dana</t>
  </si>
  <si>
    <t>Espinoza-Morataya, Rocio</t>
  </si>
  <si>
    <t>Hysmith, Jessica</t>
  </si>
  <si>
    <t>Jessica,Mccall</t>
  </si>
  <si>
    <t>Macleod, Rachel</t>
  </si>
  <si>
    <t>Beckett, Emily</t>
  </si>
  <si>
    <t>Obryan, Jennifer</t>
  </si>
  <si>
    <t>Gregory, Julia</t>
  </si>
  <si>
    <t>Marotti, Tonya</t>
  </si>
  <si>
    <t>Aryee, Irene</t>
  </si>
  <si>
    <t>Lewis, Mary</t>
  </si>
  <si>
    <t>Fussell, Jill</t>
  </si>
  <si>
    <t>Burrow, Thomas</t>
  </si>
  <si>
    <t>Battisto, Elizabeth</t>
  </si>
  <si>
    <t>Smith, Meagan</t>
  </si>
  <si>
    <t>Schaefer, George</t>
  </si>
  <si>
    <t>Schaller, Alexandra</t>
  </si>
  <si>
    <t>Erin,Wade</t>
  </si>
  <si>
    <t>Sarvode, Supriya</t>
  </si>
  <si>
    <t>Murakami, Michael, K</t>
  </si>
  <si>
    <t>Harper, Chelsie</t>
  </si>
  <si>
    <t>Cheshier, James</t>
  </si>
  <si>
    <t>Raja D Murali</t>
  </si>
  <si>
    <t>Pilkington, Neylon</t>
  </si>
  <si>
    <t>Jarandeh, Eric</t>
  </si>
  <si>
    <t>Shaddood, Yousef</t>
  </si>
  <si>
    <t>Lum, Gary</t>
  </si>
  <si>
    <t>Woode, Charmaine</t>
  </si>
  <si>
    <t>Ray, Robin</t>
  </si>
  <si>
    <t>Hamby, Andrew</t>
  </si>
  <si>
    <t>Davide Ureta, Sheryl</t>
  </si>
  <si>
    <t>Maxwell, Leigh</t>
  </si>
  <si>
    <t>Jones, Michelle L</t>
  </si>
  <si>
    <t>Hubbard, Amy</t>
  </si>
  <si>
    <t>Cadle, Kimberly</t>
  </si>
  <si>
    <t>Clinton, Kimberly</t>
  </si>
  <si>
    <t>Tucker, Samuel</t>
  </si>
  <si>
    <t>Washington, Latonya B</t>
  </si>
  <si>
    <t>Bennett, Erin</t>
  </si>
  <si>
    <t>Christopher,Wright</t>
  </si>
  <si>
    <t>Chaudhari, Nirav</t>
  </si>
  <si>
    <t>Mckelvy, Rachel</t>
  </si>
  <si>
    <t>Park, Josephine</t>
  </si>
  <si>
    <t>Green, Robert</t>
  </si>
  <si>
    <t>Rao, Suman</t>
  </si>
  <si>
    <t>Alano, Maria</t>
  </si>
  <si>
    <t>Little, Crystal</t>
  </si>
  <si>
    <t>Mcewen, Molly K</t>
  </si>
  <si>
    <t>Mccraw, Barry</t>
  </si>
  <si>
    <t>Mapes, Raelene</t>
  </si>
  <si>
    <t>Dalton, Christina</t>
  </si>
  <si>
    <t>Porter, Jeremy</t>
  </si>
  <si>
    <t>Merrick, Amanda</t>
  </si>
  <si>
    <t>Nunez, Christian</t>
  </si>
  <si>
    <t>Dupree, Ivelesse</t>
  </si>
  <si>
    <t>Anderson, Mikala</t>
  </si>
  <si>
    <t>Edwards, Lelon</t>
  </si>
  <si>
    <t>Annie T Luy M.D. Pa</t>
  </si>
  <si>
    <t>Coker, Matthew</t>
  </si>
  <si>
    <t>Asbury, Alicia</t>
  </si>
  <si>
    <t>Muller, Bradley</t>
  </si>
  <si>
    <t>Aguillard, Susan</t>
  </si>
  <si>
    <t>Lopez, Maya</t>
  </si>
  <si>
    <t>Martin, Dawn</t>
  </si>
  <si>
    <t>Simmons, Alva</t>
  </si>
  <si>
    <t>Jakubowicz, Jessica</t>
  </si>
  <si>
    <t>Gonzalez Garcia, Aixa</t>
  </si>
  <si>
    <t>Murphy, Ann</t>
  </si>
  <si>
    <t>Kyle, Joan</t>
  </si>
  <si>
    <t>Shotts, Vern Ann</t>
  </si>
  <si>
    <t>Schluterman, Christopher</t>
  </si>
  <si>
    <t>Beavers, Jared</t>
  </si>
  <si>
    <t>Moreno Munoz, Jesus</t>
  </si>
  <si>
    <t>Venable, Tara</t>
  </si>
  <si>
    <t>Sanders, Ronald</t>
  </si>
  <si>
    <t>Mcnabb, Steven</t>
  </si>
  <si>
    <t>Thornton, Kimberly</t>
  </si>
  <si>
    <t>Winningham, John</t>
  </si>
  <si>
    <t>Vaghela, Rachana</t>
  </si>
  <si>
    <t>Priyadarshini,Haniff</t>
  </si>
  <si>
    <t>Sweeten, Bianca</t>
  </si>
  <si>
    <t>Knowles, Felicia</t>
  </si>
  <si>
    <t>Sneed, Jane</t>
  </si>
  <si>
    <t>Beck, Marvin</t>
  </si>
  <si>
    <t>Gonzalez, Floyd</t>
  </si>
  <si>
    <t>Livingston, Leon</t>
  </si>
  <si>
    <t>Calderon, Vincent</t>
  </si>
  <si>
    <t>Rucker, Gari</t>
  </si>
  <si>
    <t>Bastaninejad, Bijan</t>
  </si>
  <si>
    <t>Samant, Roopa</t>
  </si>
  <si>
    <t>Merves, Matthew</t>
  </si>
  <si>
    <t>Gustke, Mark</t>
  </si>
  <si>
    <t>Bashir, Ahsan</t>
  </si>
  <si>
    <t>Thomas, Jackson</t>
  </si>
  <si>
    <t>Fox, Jessica</t>
  </si>
  <si>
    <t>Walko, Eileen, G</t>
  </si>
  <si>
    <t>Irwin, Andrew</t>
  </si>
  <si>
    <t>Akil, Nour</t>
  </si>
  <si>
    <t>Hanna, Debra</t>
  </si>
  <si>
    <t>Ramick, Rebecca</t>
  </si>
  <si>
    <t>Crewse, Candice</t>
  </si>
  <si>
    <t>Kurylo, Pawel</t>
  </si>
  <si>
    <t>Tsui, Lorraine</t>
  </si>
  <si>
    <t>Brown, Donna P</t>
  </si>
  <si>
    <t>Bell, Iverson</t>
  </si>
  <si>
    <t>Dunn, Laura</t>
  </si>
  <si>
    <t>Yarnell, Katherine</t>
  </si>
  <si>
    <t>Esmaeilpour, Dianna</t>
  </si>
  <si>
    <t>Hogan, Scott</t>
  </si>
  <si>
    <t>Butker, Suzanne</t>
  </si>
  <si>
    <t>Camp, Kyle, M</t>
  </si>
  <si>
    <t>Fu, Liusong</t>
  </si>
  <si>
    <t>Mecum, Dorthee</t>
  </si>
  <si>
    <t>Rahman, Shefa</t>
  </si>
  <si>
    <t>Choudhary, Asif</t>
  </si>
  <si>
    <t>Feldman, Tanna</t>
  </si>
  <si>
    <t>Eads, Lou</t>
  </si>
  <si>
    <t>Sanders, Shelley</t>
  </si>
  <si>
    <t>Grant, Cydney M.</t>
  </si>
  <si>
    <t>Pitts, Shannon Y.</t>
  </si>
  <si>
    <t>Mcnerney, Victor</t>
  </si>
  <si>
    <t>Chowdhury, Hagib</t>
  </si>
  <si>
    <t>Natasha Sra</t>
  </si>
  <si>
    <t>Rodgers, Megan</t>
  </si>
  <si>
    <t>Stevenson Carr, Angela</t>
  </si>
  <si>
    <t>Yan, Lulu,</t>
  </si>
  <si>
    <t>Burnett, John</t>
  </si>
  <si>
    <t>Flanigin, Richard</t>
  </si>
  <si>
    <t>Anderson, David</t>
  </si>
  <si>
    <t>Jones, Carla</t>
  </si>
  <si>
    <t>Curley, Andrew, M</t>
  </si>
  <si>
    <t>Shah, Asim</t>
  </si>
  <si>
    <t>Cargile, Christopher</t>
  </si>
  <si>
    <t>Jenson, Charles</t>
  </si>
  <si>
    <t>Richter, Kevin</t>
  </si>
  <si>
    <t>Lain, Terry</t>
  </si>
  <si>
    <t>Adepoju, Dorcas</t>
  </si>
  <si>
    <t>Jonathan N Chastain</t>
  </si>
  <si>
    <t>Tobey, Edward</t>
  </si>
  <si>
    <t>Reeves, Molly</t>
  </si>
  <si>
    <t>Branden K Carr</t>
  </si>
  <si>
    <t>Payton, Lea</t>
  </si>
  <si>
    <t>Siva Sundeep,Koppolu</t>
  </si>
  <si>
    <t>White, Christopher</t>
  </si>
  <si>
    <t>Edokpolo, Osamede</t>
  </si>
  <si>
    <t>Bradford, Brain</t>
  </si>
  <si>
    <t>Crane, Brent</t>
  </si>
  <si>
    <t>Carbajal Sarmiento, Jessica</t>
  </si>
  <si>
    <t>Lipe, Nathan</t>
  </si>
  <si>
    <t>Howey, Elizabeth</t>
  </si>
  <si>
    <t>Watts, Martin</t>
  </si>
  <si>
    <t>Abu Hamdan, Khaled</t>
  </si>
  <si>
    <t>Johnson, Kathryn, Q</t>
  </si>
  <si>
    <t>Hughes, Dayna</t>
  </si>
  <si>
    <t>Weeks, Eloise</t>
  </si>
  <si>
    <t>Burroughs, Adam, W</t>
  </si>
  <si>
    <t>Anderson, Randall</t>
  </si>
  <si>
    <t>Lewis, Charles</t>
  </si>
  <si>
    <t>Carson, Aaron K</t>
  </si>
  <si>
    <t>Martin, Jacqueline</t>
  </si>
  <si>
    <t>Hunter, Holly</t>
  </si>
  <si>
    <t>Salgueiro, Carlos A</t>
  </si>
  <si>
    <t>Henderson, Renea</t>
  </si>
  <si>
    <t>Flowers, Josephine</t>
  </si>
  <si>
    <t>Streett, David</t>
  </si>
  <si>
    <t>Lane, Charles</t>
  </si>
  <si>
    <t>Beguesse, Pearl</t>
  </si>
  <si>
    <t>Gibbs, Hunter</t>
  </si>
  <si>
    <t>Mancino, Michael</t>
  </si>
  <si>
    <t>Leibowitz, Neil</t>
  </si>
  <si>
    <t>Culpepper, Sean</t>
  </si>
  <si>
    <t>Hanson, Mariko</t>
  </si>
  <si>
    <t>Lauren, Mcclairen</t>
  </si>
  <si>
    <t>Olivi, Joe</t>
  </si>
  <si>
    <t>Williams, Daniel</t>
  </si>
  <si>
    <t>Anderson, Terry</t>
  </si>
  <si>
    <t>Meghan, Bratton</t>
  </si>
  <si>
    <t>Gathright, Molly</t>
  </si>
  <si>
    <t>Anna, Steffan</t>
  </si>
  <si>
    <t>Sayers Erfourth, Sharmayn</t>
  </si>
  <si>
    <t>Grawert, Lauren,</t>
  </si>
  <si>
    <t>Lindsey, Dawn</t>
  </si>
  <si>
    <t>Judit, Maria</t>
  </si>
  <si>
    <t>Malik, Shamim</t>
  </si>
  <si>
    <t>Hime Iii, Joseph</t>
  </si>
  <si>
    <t>Pahls, Taylor</t>
  </si>
  <si>
    <t>Brister, Donna</t>
  </si>
  <si>
    <t>Stannard, Janet</t>
  </si>
  <si>
    <t>Baweja, Ramneesh</t>
  </si>
  <si>
    <t>Yalamanchili, Shankar B.</t>
  </si>
  <si>
    <t>Natashia, Bottoms</t>
  </si>
  <si>
    <t>Ghosh, Krishnendu</t>
  </si>
  <si>
    <t>Todd V Brinkley</t>
  </si>
  <si>
    <t>Tripathi, Samidha</t>
  </si>
  <si>
    <t>Price, Daniel</t>
  </si>
  <si>
    <t>Sarah, Bell</t>
  </si>
  <si>
    <t>Mirza, Naveed</t>
  </si>
  <si>
    <t>Drumm, Joseph</t>
  </si>
  <si>
    <t>Ault, Elizabeth</t>
  </si>
  <si>
    <t>Aldea, Ivan</t>
  </si>
  <si>
    <t>Chapman, Angela</t>
  </si>
  <si>
    <t>Blevins, Steven</t>
  </si>
  <si>
    <t>Stowers, Marion</t>
  </si>
  <si>
    <t>Kamens, William, M</t>
  </si>
  <si>
    <t>Meeks, Mary</t>
  </si>
  <si>
    <t>Rahman, Sabreen</t>
  </si>
  <si>
    <t>Warren, Ladoris</t>
  </si>
  <si>
    <t>Ransom, Michelle</t>
  </si>
  <si>
    <t>Mccracken, Suzanne</t>
  </si>
  <si>
    <t>Barnes, Alicia</t>
  </si>
  <si>
    <t>Mcelroy, David</t>
  </si>
  <si>
    <t>Renaghan, Thomas</t>
  </si>
  <si>
    <t>Hendrix, David</t>
  </si>
  <si>
    <t>Dyson, Cori</t>
  </si>
  <si>
    <t>Forward-Wise, Robin</t>
  </si>
  <si>
    <t>Eleeh, Prince, U</t>
  </si>
  <si>
    <t>Domon, Steven</t>
  </si>
  <si>
    <t>Murphy, Cheryl</t>
  </si>
  <si>
    <t>Perdue, Lisa</t>
  </si>
  <si>
    <t>Jonathan J Dargo</t>
  </si>
  <si>
    <t>Schay, John</t>
  </si>
  <si>
    <t>Wall, Brandon</t>
  </si>
  <si>
    <t>Wilbanks, Lindsey</t>
  </si>
  <si>
    <t>Shott, Terry</t>
  </si>
  <si>
    <t>Chandel, Vijaya</t>
  </si>
  <si>
    <t>Maskrey, Caiti N.</t>
  </si>
  <si>
    <t>Billingsley, Robert</t>
  </si>
  <si>
    <t>Mellow, Alan</t>
  </si>
  <si>
    <t>Nicholas, Suzanne</t>
  </si>
  <si>
    <t>Jefferson, Erin, E</t>
  </si>
  <si>
    <t>Georgia Gaveras</t>
  </si>
  <si>
    <t>Anderson, Annette</t>
  </si>
  <si>
    <t>Kamble, Nitin</t>
  </si>
  <si>
    <t>Yarberry Rawls, Brandi</t>
  </si>
  <si>
    <t>Simpson, Brian</t>
  </si>
  <si>
    <t>Ali, Sajjad</t>
  </si>
  <si>
    <t>Broughton, Stephen</t>
  </si>
  <si>
    <t>Kalvin,Kapoor</t>
  </si>
  <si>
    <t>Lewis, Christopher</t>
  </si>
  <si>
    <t>Thapa, Purushottam</t>
  </si>
  <si>
    <t>Arteaga, Dayana</t>
  </si>
  <si>
    <t>Osaynade, Ferdinand</t>
  </si>
  <si>
    <t>Messias, Erick</t>
  </si>
  <si>
    <t>Khwaja, Tahir</t>
  </si>
  <si>
    <t>Waggoner, Richard</t>
  </si>
  <si>
    <t>Carpenter, Michelle</t>
  </si>
  <si>
    <t>Rians, John</t>
  </si>
  <si>
    <t>Labbate, Lawrence</t>
  </si>
  <si>
    <t>Clardy, James</t>
  </si>
  <si>
    <t>Askins, Kelly</t>
  </si>
  <si>
    <t>Stephens, Kenneth</t>
  </si>
  <si>
    <t>Aisha, Ahmed</t>
  </si>
  <si>
    <t>Baker, Alison</t>
  </si>
  <si>
    <t>Bowling, Marialison</t>
  </si>
  <si>
    <t>Kouchi, Jacqkueline</t>
  </si>
  <si>
    <t>Osorio Candelaria, Blanca</t>
  </si>
  <si>
    <t>Dollins, Stephen</t>
  </si>
  <si>
    <t>Lavie, Thomas</t>
  </si>
  <si>
    <t>Tran, Danny</t>
  </si>
  <si>
    <t>Henchcliffe, Blake</t>
  </si>
  <si>
    <t>Garcia, Margarita</t>
  </si>
  <si>
    <t>Mcdaniel, James, D</t>
  </si>
  <si>
    <t>Treusch, Jennifer</t>
  </si>
  <si>
    <t>Guresky, Peter</t>
  </si>
  <si>
    <t>Pyne, Jeffery</t>
  </si>
  <si>
    <t>Williams, David</t>
  </si>
  <si>
    <t>Munshi, Habib</t>
  </si>
  <si>
    <t>Mehrotra, Anurag</t>
  </si>
  <si>
    <t>Cagle, Grant, A</t>
  </si>
  <si>
    <t>Risquez Cordovez, Cristobal</t>
  </si>
  <si>
    <t>Kristel, Holmblad</t>
  </si>
  <si>
    <t>Carroll, John</t>
  </si>
  <si>
    <t>Anjum, Humayun</t>
  </si>
  <si>
    <t>Sinha, Suman</t>
  </si>
  <si>
    <t>Alaali, Yathreb</t>
  </si>
  <si>
    <t>Jackson, Edward</t>
  </si>
  <si>
    <t>Smith, Malcolm</t>
  </si>
  <si>
    <t>Irukulla, Pavan</t>
  </si>
  <si>
    <t>Caceres, Jose</t>
  </si>
  <si>
    <t>Lanfranco Molina, Julio</t>
  </si>
  <si>
    <t>Pooja, Gupta</t>
  </si>
  <si>
    <t>Woods, Steven</t>
  </si>
  <si>
    <t>Deaton, Paul</t>
  </si>
  <si>
    <t>Law, Peter</t>
  </si>
  <si>
    <t>Sharma, Pralhad</t>
  </si>
  <si>
    <t>Nelson, Jeffery</t>
  </si>
  <si>
    <t>Wilds, Nathan E.</t>
  </si>
  <si>
    <t>Kinnick, Jed D</t>
  </si>
  <si>
    <t>Barnes, Lindsey</t>
  </si>
  <si>
    <t>Tobey, Nathan</t>
  </si>
  <si>
    <t>Holt, Andr</t>
  </si>
  <si>
    <t>Austin, Becca</t>
  </si>
  <si>
    <t>Ellis, Garrettson</t>
  </si>
  <si>
    <t>Vilasinee,Morkjaroenpong</t>
  </si>
  <si>
    <t>Munir, Aman</t>
  </si>
  <si>
    <t>Subakeesan Pathmanathan</t>
  </si>
  <si>
    <t>Hurtado, Cesar</t>
  </si>
  <si>
    <t>Srinivasan, Saumini</t>
  </si>
  <si>
    <t>Idowu, Abidemi, R</t>
  </si>
  <si>
    <t>Ghazala, Zena</t>
  </si>
  <si>
    <t>Sanders, Catherine D.</t>
  </si>
  <si>
    <t>Coulter, Terrence</t>
  </si>
  <si>
    <t>Bankole, Olufunsho</t>
  </si>
  <si>
    <t>Dulli, Ammar</t>
  </si>
  <si>
    <t>Fasanya, Adebayo</t>
  </si>
  <si>
    <t>Ahmad, Mushtaq</t>
  </si>
  <si>
    <t>Migliazzo, Anthony</t>
  </si>
  <si>
    <t>Rector, Nancy</t>
  </si>
  <si>
    <t>Mir, Muhammad</t>
  </si>
  <si>
    <t>Mattox, Anthony</t>
  </si>
  <si>
    <t>Burbeck, Joy</t>
  </si>
  <si>
    <t>Deas, Steven</t>
  </si>
  <si>
    <t>Hulett, Cidney</t>
  </si>
  <si>
    <t>Barton, Julia</t>
  </si>
  <si>
    <t>Williams, George</t>
  </si>
  <si>
    <t>Mohammad, Khalid</t>
  </si>
  <si>
    <t>Wollak, Istvan</t>
  </si>
  <si>
    <t>Schoenberger, Carl</t>
  </si>
  <si>
    <t>Kennedy, Lisa</t>
  </si>
  <si>
    <t>Agarwal, Amit</t>
  </si>
  <si>
    <t>Meade, Arturo</t>
  </si>
  <si>
    <t>Kumar, Abhishek</t>
  </si>
  <si>
    <t>Craytor, Bret</t>
  </si>
  <si>
    <t>Aguillard, R. Neal</t>
  </si>
  <si>
    <t>Golden , Emmel</t>
  </si>
  <si>
    <t>Gulati, Neerja</t>
  </si>
  <si>
    <t>Jovan A Gayle</t>
  </si>
  <si>
    <t>Henderson, Todd</t>
  </si>
  <si>
    <t>Fordturner, Amy</t>
  </si>
  <si>
    <t>Wilons, Michael</t>
  </si>
  <si>
    <t>Ramakrishnan, Dushyant,</t>
  </si>
  <si>
    <t>Flora, Arjan</t>
  </si>
  <si>
    <t>Kellar, Stanley</t>
  </si>
  <si>
    <t>El-Haddad, Haitham</t>
  </si>
  <si>
    <t>Ali, Azim</t>
  </si>
  <si>
    <t>Kendrick, Lee</t>
  </si>
  <si>
    <t>Ramos Ramirez, Manuel</t>
  </si>
  <si>
    <t>Criner, Owen</t>
  </si>
  <si>
    <t>Venkata, Anand</t>
  </si>
  <si>
    <t>Okpor, Kenneth</t>
  </si>
  <si>
    <t>Turken, Arthur</t>
  </si>
  <si>
    <t>Argun Can</t>
  </si>
  <si>
    <t>Labuschagne, Heloise</t>
  </si>
  <si>
    <t>Muthiah, Muthiah</t>
  </si>
  <si>
    <t>Raga, Palagiri</t>
  </si>
  <si>
    <t>Dand, Hemant</t>
  </si>
  <si>
    <t>Pereira, Glauber</t>
  </si>
  <si>
    <t>Hofmann, Marc</t>
  </si>
  <si>
    <t>Schriner, Robert</t>
  </si>
  <si>
    <t>Siddiqui, Nabeel</t>
  </si>
  <si>
    <t>Shirazee, Syed</t>
  </si>
  <si>
    <t>Kim, Brian</t>
  </si>
  <si>
    <t>Richards, William</t>
  </si>
  <si>
    <t>Jambhekar, Supriya</t>
  </si>
  <si>
    <t>Marsh, Kimberly</t>
  </si>
  <si>
    <t>Macauley, Precious</t>
  </si>
  <si>
    <t>Peters, Jarmil</t>
  </si>
  <si>
    <t>Alam, Shoaib</t>
  </si>
  <si>
    <t>Fox, Roy</t>
  </si>
  <si>
    <t>Mccasland, Leslie</t>
  </si>
  <si>
    <t>Jarek, Mark</t>
  </si>
  <si>
    <t>Thomas, Jonathan</t>
  </si>
  <si>
    <t>Kaushik, Prashant</t>
  </si>
  <si>
    <t>Gadireddy, Snigdha,</t>
  </si>
  <si>
    <t>Filip Majewski, Beata</t>
  </si>
  <si>
    <t>Kruger, Jonathan R.</t>
  </si>
  <si>
    <t>Robinson, Tracey</t>
  </si>
  <si>
    <t>St John, Melody</t>
  </si>
  <si>
    <t>Lowery, Lisa</t>
  </si>
  <si>
    <t>Abraham, James</t>
  </si>
  <si>
    <t>Chi, Jasen</t>
  </si>
  <si>
    <t>Roberts, Randy</t>
  </si>
  <si>
    <t>Houk, Richard</t>
  </si>
  <si>
    <t>Lue, Cummins</t>
  </si>
  <si>
    <t>Joshi, Saumya</t>
  </si>
  <si>
    <t>Sampson, Roy</t>
  </si>
  <si>
    <t>Kovaleski, Thomas</t>
  </si>
  <si>
    <t>Branum, Russell</t>
  </si>
  <si>
    <t>Kanuru, Sruthi</t>
  </si>
  <si>
    <t>Gupta, Rina, M</t>
  </si>
  <si>
    <t>Lipsmeyer, Eleanor</t>
  </si>
  <si>
    <t>Gupta, Ramesh</t>
  </si>
  <si>
    <t>Singh, Shailendra</t>
  </si>
  <si>
    <t>Gupta, Alisha</t>
  </si>
  <si>
    <t>Mccallum, Jennifer</t>
  </si>
  <si>
    <t>Nardella, Francis</t>
  </si>
  <si>
    <t>Zang, Song</t>
  </si>
  <si>
    <t>Brown, Amanda</t>
  </si>
  <si>
    <t>Postlethwaite, Bradley</t>
  </si>
  <si>
    <t>Soumyasri</t>
  </si>
  <si>
    <t>Komatireddy, Geetha</t>
  </si>
  <si>
    <t>Haridas, Aaroop</t>
  </si>
  <si>
    <t>Siddiqui, Zainab</t>
  </si>
  <si>
    <t>Atiq, Shehla</t>
  </si>
  <si>
    <t>Puthalon Kunnath, Tina</t>
  </si>
  <si>
    <t>Amber Nichols</t>
  </si>
  <si>
    <t>Trantina, Carissa</t>
  </si>
  <si>
    <t>Edmunds, Chelsea</t>
  </si>
  <si>
    <t>Taylor Crosby</t>
  </si>
  <si>
    <t>Lilly, Hayden,</t>
  </si>
  <si>
    <t>Shumpert, Carmen</t>
  </si>
  <si>
    <t>Belinda Burns</t>
  </si>
  <si>
    <t>Berkow, Jessica</t>
  </si>
  <si>
    <t>Obrien, Kayla</t>
  </si>
  <si>
    <t>Rohlman, Rachel</t>
  </si>
  <si>
    <t>Perry, Jetta</t>
  </si>
  <si>
    <t>Pickle, Kaylee</t>
  </si>
  <si>
    <t>Strong, Jenny</t>
  </si>
  <si>
    <t>Dornblaser, Cynthia</t>
  </si>
  <si>
    <t>Colvin, Lauren</t>
  </si>
  <si>
    <t>White, Jessica</t>
  </si>
  <si>
    <t>Gonzalez, Ashley</t>
  </si>
  <si>
    <t>Woodson, Emily</t>
  </si>
  <si>
    <t>Mulvany, Laura</t>
  </si>
  <si>
    <t>Redican, Lauren</t>
  </si>
  <si>
    <t>Conn, Jessica</t>
  </si>
  <si>
    <t>Inboden, Bridgette</t>
  </si>
  <si>
    <t>Blossom Ferguson, Shelby</t>
  </si>
  <si>
    <t>Sharp, Anne</t>
  </si>
  <si>
    <t>Abby, Dickey</t>
  </si>
  <si>
    <t>Norwood, Natalie</t>
  </si>
  <si>
    <t>Leger, Emily</t>
  </si>
  <si>
    <t>Anderson, Terri</t>
  </si>
  <si>
    <t>Milam, Ashton</t>
  </si>
  <si>
    <t>Unwer, Sarah</t>
  </si>
  <si>
    <t>Hurst, Emily</t>
  </si>
  <si>
    <t>Liggin, Sara</t>
  </si>
  <si>
    <t>Martinez, Karla</t>
  </si>
  <si>
    <t>Givens</t>
  </si>
  <si>
    <t>Gazaway, Holland</t>
  </si>
  <si>
    <t>Nodine, Travis</t>
  </si>
  <si>
    <t>Combs, Kirsten</t>
  </si>
  <si>
    <t>Heehs, Mary</t>
  </si>
  <si>
    <t>Carly N Glaess</t>
  </si>
  <si>
    <t>Jade, Williams</t>
  </si>
  <si>
    <t>Allison, Sims</t>
  </si>
  <si>
    <t>Alfaro, Adriana</t>
  </si>
  <si>
    <t>Byrd, Jondalyn</t>
  </si>
  <si>
    <t>Thomas, Kimberly</t>
  </si>
  <si>
    <t>Pomietlo, Sarah</t>
  </si>
  <si>
    <t>Hess, Brianna</t>
  </si>
  <si>
    <t>Thomas, Kayci</t>
  </si>
  <si>
    <t>Taylor, Susanne</t>
  </si>
  <si>
    <t>Douglas, Jordan</t>
  </si>
  <si>
    <t>Goff, Rachel</t>
  </si>
  <si>
    <t>Taylor, Arens</t>
  </si>
  <si>
    <t>Ariel Edwards</t>
  </si>
  <si>
    <t>Morgan, April</t>
  </si>
  <si>
    <t>Rebekah A Kennedy</t>
  </si>
  <si>
    <t>Hayden, Kristen</t>
  </si>
  <si>
    <t>Golden, Jacqueline,</t>
  </si>
  <si>
    <t>Mccarley, Lynn</t>
  </si>
  <si>
    <t>Van Mersbergen, Miriam</t>
  </si>
  <si>
    <t>Pugh, Tiffany</t>
  </si>
  <si>
    <t>Ryan, Tiffany</t>
  </si>
  <si>
    <t>Huffty, Jessica</t>
  </si>
  <si>
    <t>Mayton</t>
  </si>
  <si>
    <t>Dewey, Sarah</t>
  </si>
  <si>
    <t>Degroat, Bailey</t>
  </si>
  <si>
    <t>Harrington, Morgan</t>
  </si>
  <si>
    <t>Johnston, Daley</t>
  </si>
  <si>
    <t>Lawmaster, Caitlyn</t>
  </si>
  <si>
    <t>Williams, Felicia</t>
  </si>
  <si>
    <t>Zeringue, Mckenna,</t>
  </si>
  <si>
    <t>Morris, Andrea</t>
  </si>
  <si>
    <t>Shipp, Tracey</t>
  </si>
  <si>
    <t>Lewter, Erin,</t>
  </si>
  <si>
    <t>Ariemma</t>
  </si>
  <si>
    <t>Stephanie Hicks</t>
  </si>
  <si>
    <t>Taylor, Allison</t>
  </si>
  <si>
    <t>Jackson, Natalie</t>
  </si>
  <si>
    <t>Hutchins, Peyton,</t>
  </si>
  <si>
    <t>Berg, Chessie,</t>
  </si>
  <si>
    <t>Emmons, Mary Kathryn</t>
  </si>
  <si>
    <t>Paasch, Andrea,</t>
  </si>
  <si>
    <t>Burkett, Charla</t>
  </si>
  <si>
    <t>Young, Cindy</t>
  </si>
  <si>
    <t>Crane, Nichole</t>
  </si>
  <si>
    <t>Lamb, Carrie</t>
  </si>
  <si>
    <t>Williams, Catelyn</t>
  </si>
  <si>
    <t>Wawak, Jamee</t>
  </si>
  <si>
    <t>Pipkin, Melissa</t>
  </si>
  <si>
    <t>Allgood, Zoe</t>
  </si>
  <si>
    <t>Ashley Angel</t>
  </si>
  <si>
    <t>Madison, Fontenot</t>
  </si>
  <si>
    <t>Claire, Wood</t>
  </si>
  <si>
    <t>Sutton, Laci,</t>
  </si>
  <si>
    <t>Alsup, Ailissa</t>
  </si>
  <si>
    <t>Helmer, Donna,</t>
  </si>
  <si>
    <t>Bassett, Shannon</t>
  </si>
  <si>
    <t>Gibson, Deandra</t>
  </si>
  <si>
    <t>Hudson, Amber</t>
  </si>
  <si>
    <t>Vaughn, Lauren</t>
  </si>
  <si>
    <t>Johnson, Rachelle</t>
  </si>
  <si>
    <t>Vasquez, Kelli</t>
  </si>
  <si>
    <t>Danser, Aubrey</t>
  </si>
  <si>
    <t>Ansley, Cumberland</t>
  </si>
  <si>
    <t>Jensen, Brooklyn,</t>
  </si>
  <si>
    <t>Pfitzner, Shelley</t>
  </si>
  <si>
    <t>Carr, Portia, S</t>
  </si>
  <si>
    <t>Brixey, Leslie</t>
  </si>
  <si>
    <t>Parker, Eleanor</t>
  </si>
  <si>
    <t>Mason, Kelsey</t>
  </si>
  <si>
    <t>Perryman, Jessica</t>
  </si>
  <si>
    <t>Piwonka, Megan</t>
  </si>
  <si>
    <t>Arielle Robinson</t>
  </si>
  <si>
    <t>Nicole Bailey</t>
  </si>
  <si>
    <t>Hawley, Jenifer</t>
  </si>
  <si>
    <t>Murphy</t>
  </si>
  <si>
    <t>Carroll, Mackenize</t>
  </si>
  <si>
    <t>Hwang, Brenda</t>
  </si>
  <si>
    <t>Blagg, Sarah</t>
  </si>
  <si>
    <t>Singer, Shannon</t>
  </si>
  <si>
    <t>Partain, Chelsey</t>
  </si>
  <si>
    <t>Oneal, Christa</t>
  </si>
  <si>
    <t>Brittanie Miller</t>
  </si>
  <si>
    <t>Grissom, Alexa</t>
  </si>
  <si>
    <t>Pinter, Melissa</t>
  </si>
  <si>
    <t>Craig, Dana</t>
  </si>
  <si>
    <t>Rohr, Mary</t>
  </si>
  <si>
    <t>Appler, Kristin</t>
  </si>
  <si>
    <t>Jessica, Wright</t>
  </si>
  <si>
    <t>Durbin, Meredith</t>
  </si>
  <si>
    <t>Moore, Katessa</t>
  </si>
  <si>
    <t>Dubre, Braina</t>
  </si>
  <si>
    <t>Groe, Darla</t>
  </si>
  <si>
    <t>Fullerton, Jama</t>
  </si>
  <si>
    <t>Vong, Hong</t>
  </si>
  <si>
    <t>Hicks</t>
  </si>
  <si>
    <t>Storm, Amanda</t>
  </si>
  <si>
    <t>Treadwell, Bailey</t>
  </si>
  <si>
    <t>Howerton, Macie,</t>
  </si>
  <si>
    <t>Burzinski, Skylar,</t>
  </si>
  <si>
    <t>Shannon Lawrence</t>
  </si>
  <si>
    <t>Fairchild, Sarah</t>
  </si>
  <si>
    <t>Gibbs, Brittney,</t>
  </si>
  <si>
    <t>Lagarde, Veronica</t>
  </si>
  <si>
    <t>Muro, Lilian</t>
  </si>
  <si>
    <t>Ashley Taylor</t>
  </si>
  <si>
    <t>Cozart, Gabrielle</t>
  </si>
  <si>
    <t>Gottschalk, Riley</t>
  </si>
  <si>
    <t>Holt, Melanie</t>
  </si>
  <si>
    <t>George, Tricia</t>
  </si>
  <si>
    <t>Anderson</t>
  </si>
  <si>
    <t>Spears, Dianne</t>
  </si>
  <si>
    <t>Mcdaniel, Kaleigh</t>
  </si>
  <si>
    <t>Head, Felicia, J</t>
  </si>
  <si>
    <t>Bell, Courtney</t>
  </si>
  <si>
    <t>Carson, Dallas</t>
  </si>
  <si>
    <t>Hutchinson, Gabriella</t>
  </si>
  <si>
    <t>Goff, Amber</t>
  </si>
  <si>
    <t>Bennett, Holly</t>
  </si>
  <si>
    <t>Boomer, Vanessa</t>
  </si>
  <si>
    <t>Smith, Megan</t>
  </si>
  <si>
    <t>Hogan, Kristen</t>
  </si>
  <si>
    <t>Steele, Justine</t>
  </si>
  <si>
    <t>Whitt, Carrie</t>
  </si>
  <si>
    <t>Lundblade, Lauren</t>
  </si>
  <si>
    <t>Mcwhorter, Angela,</t>
  </si>
  <si>
    <t>Esbaner, Marcia</t>
  </si>
  <si>
    <t>Woodson, Adrienne</t>
  </si>
  <si>
    <t>Gibbons, Natalie</t>
  </si>
  <si>
    <t>Hood, Jodi,</t>
  </si>
  <si>
    <t>Koenigseder, Megan</t>
  </si>
  <si>
    <t>Rachel Spencer</t>
  </si>
  <si>
    <t>Anna, Groves</t>
  </si>
  <si>
    <t>Dubon, Heidy</t>
  </si>
  <si>
    <t>Larrow, Cassie</t>
  </si>
  <si>
    <t>Perry, Kim</t>
  </si>
  <si>
    <t>Dugan, Sean</t>
  </si>
  <si>
    <t>Kapales, Leslie</t>
  </si>
  <si>
    <t>Pulliam, Mary</t>
  </si>
  <si>
    <t>Sills, Catlyn</t>
  </si>
  <si>
    <t>Battenfield, Kasey</t>
  </si>
  <si>
    <t>Brown, Laura</t>
  </si>
  <si>
    <t>Everette, Presley</t>
  </si>
  <si>
    <t>Quin, Mary</t>
  </si>
  <si>
    <t>Hall, Rebecca</t>
  </si>
  <si>
    <t>Fry, Jennifer</t>
  </si>
  <si>
    <t>Mcclard, Penny</t>
  </si>
  <si>
    <t>Gardner, Susan</t>
  </si>
  <si>
    <t>Clark, Diana</t>
  </si>
  <si>
    <t>Cox, Tiffany</t>
  </si>
  <si>
    <t>Royal, Alecia</t>
  </si>
  <si>
    <t>Clark, Constance</t>
  </si>
  <si>
    <t>Bettis, Rachel</t>
  </si>
  <si>
    <t>Morgan, Allie</t>
  </si>
  <si>
    <t>Mary M Russell</t>
  </si>
  <si>
    <t>Dankleson, Katie</t>
  </si>
  <si>
    <t>Milatz, Jessica</t>
  </si>
  <si>
    <t>Lovelady, Audra</t>
  </si>
  <si>
    <t>Ellington, Angie</t>
  </si>
  <si>
    <t>Layton, Sarah</t>
  </si>
  <si>
    <t>Burnett, Kristy</t>
  </si>
  <si>
    <t>Adams, Grayson</t>
  </si>
  <si>
    <t>Horne, Megan</t>
  </si>
  <si>
    <t>Eggers, Sara</t>
  </si>
  <si>
    <t>Switzer, Valerie</t>
  </si>
  <si>
    <t>Reeves, Mary</t>
  </si>
  <si>
    <t>April J Mcmillin</t>
  </si>
  <si>
    <t>Wingard, Lindsey</t>
  </si>
  <si>
    <t>Mcclain, Emily</t>
  </si>
  <si>
    <t>Gill, Emily</t>
  </si>
  <si>
    <t>Salyards, Steven</t>
  </si>
  <si>
    <t>Goodwin, Jill</t>
  </si>
  <si>
    <t>Turner, Tammy</t>
  </si>
  <si>
    <t>Wright, Diane</t>
  </si>
  <si>
    <t>Stiles, Priscilla</t>
  </si>
  <si>
    <t>Binns, Meagan</t>
  </si>
  <si>
    <t>Anna M Guilkey</t>
  </si>
  <si>
    <t>Jackson, Courtney, L</t>
  </si>
  <si>
    <t>Dillon, Taylor</t>
  </si>
  <si>
    <t>Megan Alkire</t>
  </si>
  <si>
    <t>Jenson Riley, Ashley S.</t>
  </si>
  <si>
    <t>Lockhart, Jakara</t>
  </si>
  <si>
    <t>Humphries, Quincy</t>
  </si>
  <si>
    <t>Hardin, Brittany</t>
  </si>
  <si>
    <t>Meriwether, Allonda</t>
  </si>
  <si>
    <t>Simpsontriplett, Lerrin</t>
  </si>
  <si>
    <t>Nation, Sarah</t>
  </si>
  <si>
    <t>Raper, Allison</t>
  </si>
  <si>
    <t>Ingle, Kelsey</t>
  </si>
  <si>
    <t>Potts, Makenzie</t>
  </si>
  <si>
    <t>Courtney Lloyd</t>
  </si>
  <si>
    <t>Alphin, Lexie</t>
  </si>
  <si>
    <t>Lavalle, Madison,</t>
  </si>
  <si>
    <t>Marlow, Leigh,</t>
  </si>
  <si>
    <t>Grant, Cynda, M</t>
  </si>
  <si>
    <t>Rankin, Jamye</t>
  </si>
  <si>
    <t>Dunlap, Laurie</t>
  </si>
  <si>
    <t>Riethmaier, Nina</t>
  </si>
  <si>
    <t>Davis, Tammy</t>
  </si>
  <si>
    <t>Wilson Price, Karen</t>
  </si>
  <si>
    <t>Wentz, Jennifer</t>
  </si>
  <si>
    <t>Prislovsky, Jillian</t>
  </si>
  <si>
    <t>Lewis, Ashlyn</t>
  </si>
  <si>
    <t>Sharum, Clarey</t>
  </si>
  <si>
    <t>Townsend, Haley</t>
  </si>
  <si>
    <t>Prochnow, Morgan,</t>
  </si>
  <si>
    <t>Tran, Brittany,</t>
  </si>
  <si>
    <t>Katherine, Fehlman</t>
  </si>
  <si>
    <t>Jacqueline, Kennard</t>
  </si>
  <si>
    <t>Wilson, Shontel</t>
  </si>
  <si>
    <t>Moore, Amandarhea,</t>
  </si>
  <si>
    <t>Watson, Alyssa</t>
  </si>
  <si>
    <t>Harris, Brooke Fisher</t>
  </si>
  <si>
    <t>Keele, Kristin</t>
  </si>
  <si>
    <t>Labuda, Erica</t>
  </si>
  <si>
    <t>Gardner, Jennie,</t>
  </si>
  <si>
    <t>Emma Hollon</t>
  </si>
  <si>
    <t>Tristen E Price</t>
  </si>
  <si>
    <t>Ojuri, Adetokunboh</t>
  </si>
  <si>
    <t>Lillich, Leah</t>
  </si>
  <si>
    <t>Cook</t>
  </si>
  <si>
    <t>Gosch, Suzanne</t>
  </si>
  <si>
    <t>Gill, Amanda,</t>
  </si>
  <si>
    <t>Pawelski, Molly</t>
  </si>
  <si>
    <t>Lynch, Mary</t>
  </si>
  <si>
    <t>Jamie Murrell</t>
  </si>
  <si>
    <t>Caster, Mckenzie</t>
  </si>
  <si>
    <t>Druhan, Summer,</t>
  </si>
  <si>
    <t>Harshaw, Andrea,</t>
  </si>
  <si>
    <t>Prinz, Heather,</t>
  </si>
  <si>
    <t>Murphy, Leah</t>
  </si>
  <si>
    <t>Gardner, Brooke</t>
  </si>
  <si>
    <t>Frederick, Jamie</t>
  </si>
  <si>
    <t>Mitchum, Becky</t>
  </si>
  <si>
    <t>Rogers, Lauren</t>
  </si>
  <si>
    <t>Thielemier, Laura</t>
  </si>
  <si>
    <t>Carmack, Caroline, M</t>
  </si>
  <si>
    <t>Smith, Becca</t>
  </si>
  <si>
    <t>Persing, Hannah</t>
  </si>
  <si>
    <t>Jessica Day</t>
  </si>
  <si>
    <t>Janzen, Caley</t>
  </si>
  <si>
    <t>Muncy, Jillian</t>
  </si>
  <si>
    <t>Mansko, Jasmine</t>
  </si>
  <si>
    <t>Hannah M Colford</t>
  </si>
  <si>
    <t>Gambill, Tonya</t>
  </si>
  <si>
    <t>Rhoads, Jami</t>
  </si>
  <si>
    <t>Oxford, Lesa,</t>
  </si>
  <si>
    <t>Goodman, Laura</t>
  </si>
  <si>
    <t>Anderson, Stephanie,</t>
  </si>
  <si>
    <t>Johnston, Laura</t>
  </si>
  <si>
    <t>Nunnally, Lacey</t>
  </si>
  <si>
    <t>Eckstein, Katherine</t>
  </si>
  <si>
    <t>Wright, Whitney</t>
  </si>
  <si>
    <t>Joiner, Katherine</t>
  </si>
  <si>
    <t>Bailey, Gladish</t>
  </si>
  <si>
    <t>Boudreaux, Aaryn,</t>
  </si>
  <si>
    <t>Hildebrand, Kelly</t>
  </si>
  <si>
    <t>Henard, Alicia</t>
  </si>
  <si>
    <t>Dulgar, Shannon</t>
  </si>
  <si>
    <t>Wilson, Brandi</t>
  </si>
  <si>
    <t>Moore, Charla Danielle</t>
  </si>
  <si>
    <t>Hankins, Janie</t>
  </si>
  <si>
    <t>Catlett, Shelby</t>
  </si>
  <si>
    <t>Ireland, Cynthia</t>
  </si>
  <si>
    <t>Pitts, Alyssa</t>
  </si>
  <si>
    <t>Charles, Julie</t>
  </si>
  <si>
    <t>Hendricks, Jennifer</t>
  </si>
  <si>
    <t>Sharp, Bradyn</t>
  </si>
  <si>
    <t>Mincy, Lauren</t>
  </si>
  <si>
    <t>Bethany Brown</t>
  </si>
  <si>
    <t>Giddings, Jennifer</t>
  </si>
  <si>
    <t>Luker, Tracey</t>
  </si>
  <si>
    <t>Mcgee, Abbigail</t>
  </si>
  <si>
    <t>Stanton, Paige</t>
  </si>
  <si>
    <t>Ragsdale, Laeryn</t>
  </si>
  <si>
    <t>Eacret, Brittany</t>
  </si>
  <si>
    <t>Bobo, Joyce</t>
  </si>
  <si>
    <t>Farney, Haylee</t>
  </si>
  <si>
    <t>Damron, Breanne</t>
  </si>
  <si>
    <t>Fiddler, Ragen</t>
  </si>
  <si>
    <t>Murphy, Amy</t>
  </si>
  <si>
    <t>Perez, Katherine</t>
  </si>
  <si>
    <t>Hough, Crystal</t>
  </si>
  <si>
    <t>Stickland, Anna</t>
  </si>
  <si>
    <t>Ashleigh Baker</t>
  </si>
  <si>
    <t>Rachel Bishop</t>
  </si>
  <si>
    <t>Jones, Alexis</t>
  </si>
  <si>
    <t>Madelyn, Sebo</t>
  </si>
  <si>
    <t>Devyn</t>
  </si>
  <si>
    <t>Julia, Hartis</t>
  </si>
  <si>
    <t>Ruckle, Brittany</t>
  </si>
  <si>
    <t>Carney, Jessica</t>
  </si>
  <si>
    <t>Benton, Jessica</t>
  </si>
  <si>
    <t>Linda,Bryan</t>
  </si>
  <si>
    <t>Emily Newton</t>
  </si>
  <si>
    <t>Grissom, Bailey</t>
  </si>
  <si>
    <t>Lauren Gay</t>
  </si>
  <si>
    <t>Watson, Madison E.</t>
  </si>
  <si>
    <t>Butler, C</t>
  </si>
  <si>
    <t>Tuite, Toga</t>
  </si>
  <si>
    <t>Johnson, Morgan</t>
  </si>
  <si>
    <t>Rambo, Jessie</t>
  </si>
  <si>
    <t>Skinner, Lesley</t>
  </si>
  <si>
    <t>Sanders, Alexandra</t>
  </si>
  <si>
    <t>Collums, Robyn</t>
  </si>
  <si>
    <t>Gangluff, Jessica,</t>
  </si>
  <si>
    <t>Taylor, Preston</t>
  </si>
  <si>
    <t>Lyndsey</t>
  </si>
  <si>
    <t>Hall, Arletha</t>
  </si>
  <si>
    <t>Wilson, Ruth</t>
  </si>
  <si>
    <t>Foster, Brooke</t>
  </si>
  <si>
    <t>Bridges, Julie</t>
  </si>
  <si>
    <t>Long, Myra</t>
  </si>
  <si>
    <t>Robertson, Emily</t>
  </si>
  <si>
    <t>Frazier, Erin</t>
  </si>
  <si>
    <t>Tyler, Ashley</t>
  </si>
  <si>
    <t>Barnett, Emily</t>
  </si>
  <si>
    <t>Clark, Kimberly</t>
  </si>
  <si>
    <t>Vaughn, Kaylyn</t>
  </si>
  <si>
    <t>Wallis, Shainna</t>
  </si>
  <si>
    <t>Hamm, Afton</t>
  </si>
  <si>
    <t>Douglas, Lydia</t>
  </si>
  <si>
    <t>Skyler, Ashley</t>
  </si>
  <si>
    <t>Caldwell, Rebecca</t>
  </si>
  <si>
    <t>Owens, Melodee</t>
  </si>
  <si>
    <t>Mckee, Lisa</t>
  </si>
  <si>
    <t>Laster, Kayla</t>
  </si>
  <si>
    <t>Erin Sanders</t>
  </si>
  <si>
    <t>Whelan, Megan</t>
  </si>
  <si>
    <t>Gattis, Jordan</t>
  </si>
  <si>
    <t>Andrews, Nicole</t>
  </si>
  <si>
    <t>Russell, Taylor</t>
  </si>
  <si>
    <t>Krech Mayne</t>
  </si>
  <si>
    <t>Reesor, Mary</t>
  </si>
  <si>
    <t>Houtchens, Anne</t>
  </si>
  <si>
    <t>Williams, Iesha</t>
  </si>
  <si>
    <t>Elizabeth Parsley</t>
  </si>
  <si>
    <t>Krizman, Anna</t>
  </si>
  <si>
    <t>Powers, Payton</t>
  </si>
  <si>
    <t>Mccarty, Jayme,</t>
  </si>
  <si>
    <t>Butler, Amber</t>
  </si>
  <si>
    <t>Wood, Angelina</t>
  </si>
  <si>
    <t>Elsik, Janna</t>
  </si>
  <si>
    <t>Duvall, Susan</t>
  </si>
  <si>
    <t>Kue, Jimmy</t>
  </si>
  <si>
    <t>Nordstrom, Jason</t>
  </si>
  <si>
    <t>Loyd, Laura</t>
  </si>
  <si>
    <t>Russom, Abigail</t>
  </si>
  <si>
    <t>Dacus, Lindsey</t>
  </si>
  <si>
    <t>Whittington, Lacinda</t>
  </si>
  <si>
    <t>Horn, Amber</t>
  </si>
  <si>
    <t>Creasman, Cecilia</t>
  </si>
  <si>
    <t>Hirsch, Whitney</t>
  </si>
  <si>
    <t>Hall, Patricia</t>
  </si>
  <si>
    <t>Sims, Abby</t>
  </si>
  <si>
    <t>Ball, Rachel</t>
  </si>
  <si>
    <t>Swilley, Jennipher</t>
  </si>
  <si>
    <t>Parker, Jordan</t>
  </si>
  <si>
    <t>Fuchs, Ellen</t>
  </si>
  <si>
    <t>Burroughs</t>
  </si>
  <si>
    <t>Lentz, Jamie,</t>
  </si>
  <si>
    <t>Sprague, Suzanne</t>
  </si>
  <si>
    <t>Kelley Burnett</t>
  </si>
  <si>
    <t>Gay, Tammy</t>
  </si>
  <si>
    <t>Lisa Stepp</t>
  </si>
  <si>
    <t>Treece, M Kathleen</t>
  </si>
  <si>
    <t>Hode, Kimberly</t>
  </si>
  <si>
    <t>Cullins, Kara</t>
  </si>
  <si>
    <t>Rodriguez, Brittany</t>
  </si>
  <si>
    <t>Ramirez, Abby</t>
  </si>
  <si>
    <t>Frazier, Allison</t>
  </si>
  <si>
    <t>Odwyer, Lenisa</t>
  </si>
  <si>
    <t>Jones, Hope</t>
  </si>
  <si>
    <t>Ables, Jessica</t>
  </si>
  <si>
    <t>Baldridge, Whitney</t>
  </si>
  <si>
    <t>Brandon, Natalie</t>
  </si>
  <si>
    <t>Sarah C Ward</t>
  </si>
  <si>
    <t>Kucyk, Melissa</t>
  </si>
  <si>
    <t>Perkins, Lydia</t>
  </si>
  <si>
    <t>Parker, Emily</t>
  </si>
  <si>
    <t>Stewart, Lori</t>
  </si>
  <si>
    <t>Johnson, Ashland</t>
  </si>
  <si>
    <t>Moyers, Michaela,</t>
  </si>
  <si>
    <t>Cain, Kaylee,</t>
  </si>
  <si>
    <t>Cowan, Rachel</t>
  </si>
  <si>
    <t>Henson, Meredith</t>
  </si>
  <si>
    <t>Heaven Huffmaster</t>
  </si>
  <si>
    <t>Coon, Katlynn E.</t>
  </si>
  <si>
    <t>Jennifer Hutchins</t>
  </si>
  <si>
    <t>Ralston, Kathy</t>
  </si>
  <si>
    <t>Roberson, Sibyl</t>
  </si>
  <si>
    <t>Lewis, Jenafer,</t>
  </si>
  <si>
    <t>Jessica Goll</t>
  </si>
  <si>
    <t>Vance, Traci</t>
  </si>
  <si>
    <t>Hickman, Cherie</t>
  </si>
  <si>
    <t>Hope, Lemmons</t>
  </si>
  <si>
    <t>Berry, Reagan,</t>
  </si>
  <si>
    <t>Shaw, Juliana</t>
  </si>
  <si>
    <t>Harris, Cristi</t>
  </si>
  <si>
    <t>Scearce</t>
  </si>
  <si>
    <t>Jasmine, Lira</t>
  </si>
  <si>
    <t>Beasley, Madison</t>
  </si>
  <si>
    <t>Metzgar, Olivia</t>
  </si>
  <si>
    <t>Kazzee, Jennifer</t>
  </si>
  <si>
    <t>Taylor, Kelli</t>
  </si>
  <si>
    <t>Jan Traughber</t>
  </si>
  <si>
    <t>Taylor F Patterson</t>
  </si>
  <si>
    <t>Berggren, Morgan</t>
  </si>
  <si>
    <t>Landeros, Cindy</t>
  </si>
  <si>
    <t>Crank, Ashley</t>
  </si>
  <si>
    <t>Jimenez, Brooklyn</t>
  </si>
  <si>
    <t>Macy Trevillion</t>
  </si>
  <si>
    <t>Sunni G Umphres</t>
  </si>
  <si>
    <t>Keller, Laura</t>
  </si>
  <si>
    <t>Dillie, Staci</t>
  </si>
  <si>
    <t>Benoit, Emily</t>
  </si>
  <si>
    <t>Holmes, Kelsey</t>
  </si>
  <si>
    <t>Yurwitz, Emily</t>
  </si>
  <si>
    <t>Phillips, Elizabeth</t>
  </si>
  <si>
    <t>Harrell, Jo Sarah</t>
  </si>
  <si>
    <t>Smitherman, Stacey</t>
  </si>
  <si>
    <t>Lawrence, Amanda</t>
  </si>
  <si>
    <t>Woody, Jeremy</t>
  </si>
  <si>
    <t>Davis, Debra</t>
  </si>
  <si>
    <t>Hosick</t>
  </si>
  <si>
    <t>Maegan E Boyd</t>
  </si>
  <si>
    <t>Arce, Katherine,</t>
  </si>
  <si>
    <t>Morris, Leslie</t>
  </si>
  <si>
    <t>Vaughn, Nicole</t>
  </si>
  <si>
    <t>Hyatt, Mallory</t>
  </si>
  <si>
    <t>Cerah Robinson</t>
  </si>
  <si>
    <t>Cantu, Rachel</t>
  </si>
  <si>
    <t>Barton, Ashley</t>
  </si>
  <si>
    <t>Crumpler, Bailey N</t>
  </si>
  <si>
    <t>Dahlem, Hadley,</t>
  </si>
  <si>
    <t>Boyd, Bailee</t>
  </si>
  <si>
    <t>Audrey, Vesperman</t>
  </si>
  <si>
    <t>Lyon, Wendy</t>
  </si>
  <si>
    <t>King, Sarah</t>
  </si>
  <si>
    <t>Goodman, Amanda</t>
  </si>
  <si>
    <t>Fitzpatrick, Jill</t>
  </si>
  <si>
    <t>Brewer, Christie</t>
  </si>
  <si>
    <t>Taylor, Leigh</t>
  </si>
  <si>
    <t>Barnes, Shawanda</t>
  </si>
  <si>
    <t>Schreiber</t>
  </si>
  <si>
    <t>Cauffman, Lacie</t>
  </si>
  <si>
    <t>Megan, Bryant</t>
  </si>
  <si>
    <t>Livingston, Moesha</t>
  </si>
  <si>
    <t>Kaci</t>
  </si>
  <si>
    <t>Jones, Sharon</t>
  </si>
  <si>
    <t>Morgan, Dana</t>
  </si>
  <si>
    <t>Ledbetter, Elizabeth</t>
  </si>
  <si>
    <t>Moss, Andrea</t>
  </si>
  <si>
    <t>Coughran, Sharalee</t>
  </si>
  <si>
    <t>Chester, Stephanie</t>
  </si>
  <si>
    <t>Smith, S Taylor</t>
  </si>
  <si>
    <t>Gaynor, Katlyn</t>
  </si>
  <si>
    <t>Albers, Anna,</t>
  </si>
  <si>
    <t>Bryant, Mary</t>
  </si>
  <si>
    <t>Thomas, Armstrong</t>
  </si>
  <si>
    <t>Caitlin, Bumpass</t>
  </si>
  <si>
    <t>Nash, Shayla</t>
  </si>
  <si>
    <t>Devereux, Dana</t>
  </si>
  <si>
    <t>Wooldridge, Amy</t>
  </si>
  <si>
    <t>Duncan, Lori J</t>
  </si>
  <si>
    <t>Schrock, Katie</t>
  </si>
  <si>
    <t>Miller, Hannah</t>
  </si>
  <si>
    <t>Johnson, Sherilyn</t>
  </si>
  <si>
    <t>Gillett, Naomi</t>
  </si>
  <si>
    <t>Weatherford, Chesney</t>
  </si>
  <si>
    <t>Mcalpine, Rachel</t>
  </si>
  <si>
    <t>Nataley, Merz</t>
  </si>
  <si>
    <t>Montgomery, Janet</t>
  </si>
  <si>
    <t>Price, Deanna</t>
  </si>
  <si>
    <t>Bourg, Allyson</t>
  </si>
  <si>
    <t>Neal, Jennylee</t>
  </si>
  <si>
    <t>Thompson, Elizabeth</t>
  </si>
  <si>
    <t>Burrow, Janea</t>
  </si>
  <si>
    <t>Hannah Murray</t>
  </si>
  <si>
    <t>Mckinney, Kayla,</t>
  </si>
  <si>
    <t>Nelson, Haley,</t>
  </si>
  <si>
    <t>Glover, Cara</t>
  </si>
  <si>
    <t>Peaks, Trentcy L</t>
  </si>
  <si>
    <t>Edmonston, Christi</t>
  </si>
  <si>
    <t>Raley, Mary</t>
  </si>
  <si>
    <t>Whisenhunt, Haley</t>
  </si>
  <si>
    <t>Cossey, Tiffany</t>
  </si>
  <si>
    <t>Spraggins, Jordan</t>
  </si>
  <si>
    <t>Lauren, Lynch</t>
  </si>
  <si>
    <t>Hammitt, Olivia</t>
  </si>
  <si>
    <t>Watson, Lisa</t>
  </si>
  <si>
    <t>Flemister, Hannah,</t>
  </si>
  <si>
    <t>Stoddard, Elisabeth</t>
  </si>
  <si>
    <t>Swatzel, Jessica</t>
  </si>
  <si>
    <t>Turnbough, Hannah,</t>
  </si>
  <si>
    <t>Carter, Victoria,</t>
  </si>
  <si>
    <t>Hahn, Sarah</t>
  </si>
  <si>
    <t>Moss, Allison</t>
  </si>
  <si>
    <t>Davidson, Kelli</t>
  </si>
  <si>
    <t>Gregg, Brent</t>
  </si>
  <si>
    <t>Antoinette, Cartwright</t>
  </si>
  <si>
    <t>Freudiger, Mallory</t>
  </si>
  <si>
    <t>Regier, Lindsey,</t>
  </si>
  <si>
    <t>Whaley, Claire</t>
  </si>
  <si>
    <t>Kist, Mckenzie</t>
  </si>
  <si>
    <t>Krista, Little</t>
  </si>
  <si>
    <t>Fratesi, Jacklyn</t>
  </si>
  <si>
    <t>Parsons, Megan</t>
  </si>
  <si>
    <t>Leding, Shannon</t>
  </si>
  <si>
    <t>Wells, Elayna</t>
  </si>
  <si>
    <t>Moore, Charla</t>
  </si>
  <si>
    <t>Wynn, Courtney</t>
  </si>
  <si>
    <t>Garner, Gracyn</t>
  </si>
  <si>
    <t>Clayton, Rachel</t>
  </si>
  <si>
    <t>Hughes, Kayleigh,</t>
  </si>
  <si>
    <t>Georgi, Alexis,</t>
  </si>
  <si>
    <t>Warren, Hannah</t>
  </si>
  <si>
    <t>Feltus, Barrett</t>
  </si>
  <si>
    <t>Wood, Shelly</t>
  </si>
  <si>
    <t>Lancaster Smith, Leslie</t>
  </si>
  <si>
    <t>Odell, Melissa</t>
  </si>
  <si>
    <t>Oliva, Michelle</t>
  </si>
  <si>
    <t>Lensing, Olivia</t>
  </si>
  <si>
    <t>Currie, Bryah</t>
  </si>
  <si>
    <t>Rawls, Ashlee</t>
  </si>
  <si>
    <t>Grace Williams</t>
  </si>
  <si>
    <t>Martin, Madelyn,</t>
  </si>
  <si>
    <t>Cullum, Anna</t>
  </si>
  <si>
    <t>Guest, Kanda</t>
  </si>
  <si>
    <t>Gomes, Christina</t>
  </si>
  <si>
    <t>Caroline G Davis</t>
  </si>
  <si>
    <t>Paulhamus, Kaseenah,</t>
  </si>
  <si>
    <t>Manning, Laura</t>
  </si>
  <si>
    <t>Simpson, Misty</t>
  </si>
  <si>
    <t>Hart, Susan</t>
  </si>
  <si>
    <t>Boswell, Jeanne</t>
  </si>
  <si>
    <t>Rhodes, Lindsey</t>
  </si>
  <si>
    <t>Kelly Pittman</t>
  </si>
  <si>
    <t>Hickmon, Sarah</t>
  </si>
  <si>
    <t>Seay, Lilly</t>
  </si>
  <si>
    <t>Lee, Rachael</t>
  </si>
  <si>
    <t>Veneklase, Brooke</t>
  </si>
  <si>
    <t>Mallory, Robertson</t>
  </si>
  <si>
    <t>Newton, Mary</t>
  </si>
  <si>
    <t>Toyos, Janitza,</t>
  </si>
  <si>
    <t>Ohlde, Stacy</t>
  </si>
  <si>
    <t>Mainer, Trisha</t>
  </si>
  <si>
    <t>Adair, Sara</t>
  </si>
  <si>
    <t>Boatman, Sandra</t>
  </si>
  <si>
    <t>Roe, Tasha</t>
  </si>
  <si>
    <t>Mcclelland, Michaela</t>
  </si>
  <si>
    <t>Bradley, Marti</t>
  </si>
  <si>
    <t>Thrasher, Morgan</t>
  </si>
  <si>
    <t>Messmer, Cara</t>
  </si>
  <si>
    <t>Fink, Lindsey</t>
  </si>
  <si>
    <t>Anders, Laura</t>
  </si>
  <si>
    <t>Eskridge, Kayla</t>
  </si>
  <si>
    <t>Hinson, Rachel,</t>
  </si>
  <si>
    <t>Brooke, Standridge</t>
  </si>
  <si>
    <t>Craig, Jennifer</t>
  </si>
  <si>
    <t>Lowry, Allyn</t>
  </si>
  <si>
    <t>Williams, Lacy</t>
  </si>
  <si>
    <t>Funkhouser, Paige</t>
  </si>
  <si>
    <t>Gates, Allison</t>
  </si>
  <si>
    <t>Davis, Janea</t>
  </si>
  <si>
    <t>Wallis, Amie</t>
  </si>
  <si>
    <t>Shannon, Katherine</t>
  </si>
  <si>
    <t>Haynie, Elizabeth,</t>
  </si>
  <si>
    <t>Saldutti, Katharine</t>
  </si>
  <si>
    <t>Crowe, Lyndsey</t>
  </si>
  <si>
    <t>Stevenson, Cheri</t>
  </si>
  <si>
    <t>Evatt, Morgan</t>
  </si>
  <si>
    <t>Marvin, Lindsay</t>
  </si>
  <si>
    <t>Brooke, Gaston</t>
  </si>
  <si>
    <t>Madar, Yolanda,</t>
  </si>
  <si>
    <t>Maier, May</t>
  </si>
  <si>
    <t>Denney, Karleigh</t>
  </si>
  <si>
    <t>Ramsey, Meghan</t>
  </si>
  <si>
    <t>Landrum, Alicia</t>
  </si>
  <si>
    <t>Scalfano, Julie</t>
  </si>
  <si>
    <t>Wagner, Amber</t>
  </si>
  <si>
    <t>Kylie D Farris</t>
  </si>
  <si>
    <t>Marshall, Ashley</t>
  </si>
  <si>
    <t>Zheng, Naqing</t>
  </si>
  <si>
    <t>Schermacher, Jessica,</t>
  </si>
  <si>
    <t>Haymes, Amelia</t>
  </si>
  <si>
    <t>Johnson, D</t>
  </si>
  <si>
    <t>Griggs, Tamara</t>
  </si>
  <si>
    <t>Moix, Meredith</t>
  </si>
  <si>
    <t>Miller Black, Dayna</t>
  </si>
  <si>
    <t>Mclaren, Bethany</t>
  </si>
  <si>
    <t>Ritchie, Marian</t>
  </si>
  <si>
    <t>Marrs, Christy</t>
  </si>
  <si>
    <t>Adams, Kathryn</t>
  </si>
  <si>
    <t>Riggs, Sharon</t>
  </si>
  <si>
    <t>Thompson, Kaitlyn</t>
  </si>
  <si>
    <t>Angela Dick</t>
  </si>
  <si>
    <t>May, Kendra</t>
  </si>
  <si>
    <t>Dicus, Rebecca</t>
  </si>
  <si>
    <t>Shelly B Wier</t>
  </si>
  <si>
    <t>Pruitt, Erica</t>
  </si>
  <si>
    <t>Still, Kimber</t>
  </si>
  <si>
    <t>Blankenship, Karen</t>
  </si>
  <si>
    <t>Michele, Carpenter</t>
  </si>
  <si>
    <t>Hausman, Amy</t>
  </si>
  <si>
    <t>Worden, Jo</t>
  </si>
  <si>
    <t>Kelly I Koprovic</t>
  </si>
  <si>
    <t>Mcconnell, Gail</t>
  </si>
  <si>
    <t>Knignt, Kelsey</t>
  </si>
  <si>
    <t>Emily Rone</t>
  </si>
  <si>
    <t>Mccarley, Sarah</t>
  </si>
  <si>
    <t>Helm, Savannah</t>
  </si>
  <si>
    <t>Boyd, Emily</t>
  </si>
  <si>
    <t>Giezentanner, Emma</t>
  </si>
  <si>
    <t>Vaughan, Brooke, A</t>
  </si>
  <si>
    <t>Laura P Barnes</t>
  </si>
  <si>
    <t>Wooten, Rebecca</t>
  </si>
  <si>
    <t>Fisher, Jennifer</t>
  </si>
  <si>
    <t>Agan, Carol</t>
  </si>
  <si>
    <t>Adamski, Bethany</t>
  </si>
  <si>
    <t>Keller, Clara</t>
  </si>
  <si>
    <t>Elizabeth Hicks</t>
  </si>
  <si>
    <t>Rachel, Harris</t>
  </si>
  <si>
    <t>Emily, Rush</t>
  </si>
  <si>
    <t>Real, Michelle</t>
  </si>
  <si>
    <t>Montgomery, Vonda</t>
  </si>
  <si>
    <t>Holly D Elledge</t>
  </si>
  <si>
    <t>Mcneely, Darla</t>
  </si>
  <si>
    <t>Causey, Mallory</t>
  </si>
  <si>
    <t>Byrd, Caitlin</t>
  </si>
  <si>
    <t>Frizzell, Kathleen</t>
  </si>
  <si>
    <t>Overbey, Carley</t>
  </si>
  <si>
    <t>Prince, Casey,</t>
  </si>
  <si>
    <t>Haff, Teresa</t>
  </si>
  <si>
    <t>Rogers, Karen</t>
  </si>
  <si>
    <t>Oswalt, Anne</t>
  </si>
  <si>
    <t>Holloman, Christopher</t>
  </si>
  <si>
    <t>Jordan, Krystal</t>
  </si>
  <si>
    <t>Logan, Candace</t>
  </si>
  <si>
    <t>Ward, Laura</t>
  </si>
  <si>
    <t>Beck, Holly</t>
  </si>
  <si>
    <t>Harrison, Cynthia</t>
  </si>
  <si>
    <t>Rogers, Suzanne</t>
  </si>
  <si>
    <t>Hall, Grace</t>
  </si>
  <si>
    <t>Eubanks, Kristina</t>
  </si>
  <si>
    <t>Winkelman, Mary</t>
  </si>
  <si>
    <t>Pankey, Emily,</t>
  </si>
  <si>
    <t>Betzner, Sarah</t>
  </si>
  <si>
    <t>Rogers, Addison</t>
  </si>
  <si>
    <t>Putnam, Chloe,</t>
  </si>
  <si>
    <t>Clayton, Christi,</t>
  </si>
  <si>
    <t>Owen, Catherine</t>
  </si>
  <si>
    <t>Shrum, Andrea, S</t>
  </si>
  <si>
    <t>Barr, Jennifer</t>
  </si>
  <si>
    <t>Garman, Rachel</t>
  </si>
  <si>
    <t>Truelove, Callyn</t>
  </si>
  <si>
    <t>Brooklyn, Cook</t>
  </si>
  <si>
    <t>Walker, Misty</t>
  </si>
  <si>
    <t>Erwin, Paul</t>
  </si>
  <si>
    <t>James, Judi</t>
  </si>
  <si>
    <t>Mckenzi Lane</t>
  </si>
  <si>
    <t>Mikeal, My, D</t>
  </si>
  <si>
    <t>Madison, Dulin</t>
  </si>
  <si>
    <t>Johnson, Kearsten</t>
  </si>
  <si>
    <t>Weber, Jayna</t>
  </si>
  <si>
    <t>Stenback, Crystal</t>
  </si>
  <si>
    <t>Ray, Misty</t>
  </si>
  <si>
    <t>Richey, Holly</t>
  </si>
  <si>
    <t>Crabtree, Dedra,</t>
  </si>
  <si>
    <t>Melson, Katherine</t>
  </si>
  <si>
    <t>Dimberg</t>
  </si>
  <si>
    <t>Mary G Allen</t>
  </si>
  <si>
    <t>Erica D Reddell</t>
  </si>
  <si>
    <t>Michelle Popp</t>
  </si>
  <si>
    <t>Mcclendon, Julianna, W</t>
  </si>
  <si>
    <t>Roe, Susan,</t>
  </si>
  <si>
    <t>Davis, Morgan</t>
  </si>
  <si>
    <t>Spagnolo, Marisa</t>
  </si>
  <si>
    <t>Boatright, Bailey,</t>
  </si>
  <si>
    <t>Mary Wiencken</t>
  </si>
  <si>
    <t>Pham, Mattie</t>
  </si>
  <si>
    <t>Malone, Leslie,</t>
  </si>
  <si>
    <t>Robin D Munn</t>
  </si>
  <si>
    <t>Buckels, Brittany</t>
  </si>
  <si>
    <t>Fox, Kimberly</t>
  </si>
  <si>
    <t>Pawloski, Sonya</t>
  </si>
  <si>
    <t>Bishop, Ashley</t>
  </si>
  <si>
    <t>Thomas, Mary</t>
  </si>
  <si>
    <t>Jill A Green</t>
  </si>
  <si>
    <t>Ashley, Mary</t>
  </si>
  <si>
    <t>French, Macy</t>
  </si>
  <si>
    <t>Hill, Kaitlin</t>
  </si>
  <si>
    <t>Rachel, Mote</t>
  </si>
  <si>
    <t>Rye, Hannah</t>
  </si>
  <si>
    <t>Avant Grant, Essie</t>
  </si>
  <si>
    <t>Thompson, Amy</t>
  </si>
  <si>
    <t>Cottrell, Kendra</t>
  </si>
  <si>
    <t>Wisniewski, Amy</t>
  </si>
  <si>
    <t>Leah Olson</t>
  </si>
  <si>
    <t>Hawthorn, Heidi</t>
  </si>
  <si>
    <t>Austin, Olivia</t>
  </si>
  <si>
    <t>Mendez, Katherine</t>
  </si>
  <si>
    <t>Hays, Kelsey</t>
  </si>
  <si>
    <t>Strancer, Ashlyn</t>
  </si>
  <si>
    <t>Kacie M Chung</t>
  </si>
  <si>
    <t>Boyer, Gwyneth,</t>
  </si>
  <si>
    <t>Mccusker, Tiffany,</t>
  </si>
  <si>
    <t>Blancaflor, Dana</t>
  </si>
  <si>
    <t>Hatfield, Melissa A.</t>
  </si>
  <si>
    <t>Smith, Christie</t>
  </si>
  <si>
    <t>Young, Kristal</t>
  </si>
  <si>
    <t>Hawkins, Paige</t>
  </si>
  <si>
    <t>Catlett, Jordan</t>
  </si>
  <si>
    <t>Roberts, Tiffany</t>
  </si>
  <si>
    <t>Lange, Christina</t>
  </si>
  <si>
    <t>Bello Almazan, Julissa</t>
  </si>
  <si>
    <t>Monica Alcocer</t>
  </si>
  <si>
    <t>Carolyn Davis</t>
  </si>
  <si>
    <t>Ross, Jennifer</t>
  </si>
  <si>
    <t>Pierce, Jodi</t>
  </si>
  <si>
    <t>Casey E Drennin</t>
  </si>
  <si>
    <t>Nichols, Amanda</t>
  </si>
  <si>
    <t>Mcspadden, Mallory</t>
  </si>
  <si>
    <t>Reeser, Corine</t>
  </si>
  <si>
    <t>Young, Janet</t>
  </si>
  <si>
    <t>Winter, Molly</t>
  </si>
  <si>
    <t>Madeline, Mcghee</t>
  </si>
  <si>
    <t>Brantley, Jordan</t>
  </si>
  <si>
    <t>Vittitow, Debra</t>
  </si>
  <si>
    <t>Rounds, Miranda</t>
  </si>
  <si>
    <t>Chumley, Shelley</t>
  </si>
  <si>
    <t>Thomas, Hailey</t>
  </si>
  <si>
    <t>Brooks, Adrianna</t>
  </si>
  <si>
    <t>Toler, Allie, C</t>
  </si>
  <si>
    <t>Reams, Lauren</t>
  </si>
  <si>
    <t>Marshall, Vonda</t>
  </si>
  <si>
    <t>Cranton, Christi</t>
  </si>
  <si>
    <t>Dampier, Kimberly</t>
  </si>
  <si>
    <t>Griffin, Amy</t>
  </si>
  <si>
    <t>Driedric, Amanda</t>
  </si>
  <si>
    <t>Hill, Maegen</t>
  </si>
  <si>
    <t>Guadalupe Puga</t>
  </si>
  <si>
    <t>Rains, Kally</t>
  </si>
  <si>
    <t>Hernandez, Kassandra</t>
  </si>
  <si>
    <t>April Jones</t>
  </si>
  <si>
    <t>Walker, Sarah V</t>
  </si>
  <si>
    <t>Walter, Kristen,</t>
  </si>
  <si>
    <t>Dover, Ashley</t>
  </si>
  <si>
    <t>Higginbotham, Gina</t>
  </si>
  <si>
    <t>Weathers, Amanda</t>
  </si>
  <si>
    <t>Parmar, Samantha</t>
  </si>
  <si>
    <t>Peyton, Padgett</t>
  </si>
  <si>
    <t>Mcgooden, Sarah,</t>
  </si>
  <si>
    <t>Angela D Joiner</t>
  </si>
  <si>
    <t>Brittney N Wheeler</t>
  </si>
  <si>
    <t>Vaughan, Jenni</t>
  </si>
  <si>
    <t>Fitch-Printy, Sharon</t>
  </si>
  <si>
    <t>Wolverton, Jessica</t>
  </si>
  <si>
    <t>Crouch, Bridget, A</t>
  </si>
  <si>
    <t>Wentz, Lauren</t>
  </si>
  <si>
    <t>Duplantis, Maegan</t>
  </si>
  <si>
    <t>Starkey, Brittany</t>
  </si>
  <si>
    <t>Edwards, Jennifer</t>
  </si>
  <si>
    <t>Veazey, Sarah</t>
  </si>
  <si>
    <t>Mcafee, Caitlin</t>
  </si>
  <si>
    <t>Taylor, Taryn</t>
  </si>
  <si>
    <t>Mcdonald, Whitney</t>
  </si>
  <si>
    <t>Bagley, Hannah, K</t>
  </si>
  <si>
    <t>Ledford, Taylor,</t>
  </si>
  <si>
    <t>Knotts, Shannon</t>
  </si>
  <si>
    <t>Kneipp Lingle, Donna</t>
  </si>
  <si>
    <t>Bryant, Renee</t>
  </si>
  <si>
    <t>Ryan, Merie</t>
  </si>
  <si>
    <t>Erwin, Sarah</t>
  </si>
  <si>
    <t>Holden, Angela</t>
  </si>
  <si>
    <t>Green, Lindsey</t>
  </si>
  <si>
    <t>Williams, Meredith</t>
  </si>
  <si>
    <t>Jones, Corye</t>
  </si>
  <si>
    <t>Foshee, Julie</t>
  </si>
  <si>
    <t>Crowl, Kaylee</t>
  </si>
  <si>
    <t>Ashlyn, Lee</t>
  </si>
  <si>
    <t>Ivy, Alyssa</t>
  </si>
  <si>
    <t>Stewart, Gretchen</t>
  </si>
  <si>
    <t>Van Es, Virginia</t>
  </si>
  <si>
    <t>Amy L Rucker</t>
  </si>
  <si>
    <t>Hagerman, Hope</t>
  </si>
  <si>
    <t>Rumbarger</t>
  </si>
  <si>
    <t>Lee, Caitlin</t>
  </si>
  <si>
    <t>Jennings, Zoe</t>
  </si>
  <si>
    <t>Wolven, Kaitlynd,</t>
  </si>
  <si>
    <t>Weber, Shannon</t>
  </si>
  <si>
    <t>Woods, Alyce</t>
  </si>
  <si>
    <t>Phillips</t>
  </si>
  <si>
    <t>Miller, Gracen</t>
  </si>
  <si>
    <t>Kelton, Kyler</t>
  </si>
  <si>
    <t>Jessica Morris</t>
  </si>
  <si>
    <t>Shelby E Matros</t>
  </si>
  <si>
    <t>Powell, Sarah</t>
  </si>
  <si>
    <t>Rook, Meredith</t>
  </si>
  <si>
    <t>Lovins, Shelby</t>
  </si>
  <si>
    <t>Oswald, Morgan</t>
  </si>
  <si>
    <t>Mundy, Briley</t>
  </si>
  <si>
    <t>Johnson, Emily</t>
  </si>
  <si>
    <t>Alyson Messersmith</t>
  </si>
  <si>
    <t>D'Lya, Cockrell</t>
  </si>
  <si>
    <t>Madilyn Metcalf</t>
  </si>
  <si>
    <t>Walters, Kaitlin</t>
  </si>
  <si>
    <t>Gosney, Paige</t>
  </si>
  <si>
    <t>Arroyo, Cindy</t>
  </si>
  <si>
    <t>Watson, Cindy</t>
  </si>
  <si>
    <t>Williams, Christy</t>
  </si>
  <si>
    <t>Childers, Sarah</t>
  </si>
  <si>
    <t>Jody, Reynolds</t>
  </si>
  <si>
    <t>Scott, Kandace, R</t>
  </si>
  <si>
    <t>Moery, Mary</t>
  </si>
  <si>
    <t>Holland, Kristyn Taylor</t>
  </si>
  <si>
    <t>Bethany Adams</t>
  </si>
  <si>
    <t>Price, Megan</t>
  </si>
  <si>
    <t>Post, Lauren</t>
  </si>
  <si>
    <t>Hambuchen, Meagan</t>
  </si>
  <si>
    <t>Kirchner, Megan</t>
  </si>
  <si>
    <t>Coston, Dana</t>
  </si>
  <si>
    <t>Millis, Madeline</t>
  </si>
  <si>
    <t>Ashbaugh, Elizabeth</t>
  </si>
  <si>
    <t>Jenkins, Morgan</t>
  </si>
  <si>
    <t>Melendez, Emily,</t>
  </si>
  <si>
    <t>Gentry, Mollie</t>
  </si>
  <si>
    <t>Chatham, Curtis</t>
  </si>
  <si>
    <t>Vail, Valerie</t>
  </si>
  <si>
    <t>Muhundro, Cara</t>
  </si>
  <si>
    <t>Myers, Molly</t>
  </si>
  <si>
    <t>Williamson, Taylor</t>
  </si>
  <si>
    <t>Miller, Rhonda</t>
  </si>
  <si>
    <t>Kemp</t>
  </si>
  <si>
    <t>Mason, Leaann</t>
  </si>
  <si>
    <t>Sydney, Eddleman</t>
  </si>
  <si>
    <t>Timms, Tara</t>
  </si>
  <si>
    <t>Drake, Jennifer</t>
  </si>
  <si>
    <t>Maysoon</t>
  </si>
  <si>
    <t>Lonidier, Haley</t>
  </si>
  <si>
    <t>Jones Waldrep, Aimee</t>
  </si>
  <si>
    <t>Demi Yaffe</t>
  </si>
  <si>
    <t>Beatty, Sharon</t>
  </si>
  <si>
    <t>Teague, Christina</t>
  </si>
  <si>
    <t>Lentz, Lauren</t>
  </si>
  <si>
    <t>Katherine, Wehmeyer</t>
  </si>
  <si>
    <t>Pinter, Lauren</t>
  </si>
  <si>
    <t>Oliver, Rebekah,</t>
  </si>
  <si>
    <t>Lemmons, Christy</t>
  </si>
  <si>
    <t>Tinkle, Deeann</t>
  </si>
  <si>
    <t>Riley, Laura</t>
  </si>
  <si>
    <t>Ziegler, Teresa</t>
  </si>
  <si>
    <t>Spencer, Leslie</t>
  </si>
  <si>
    <t>Moore, Brittney</t>
  </si>
  <si>
    <t>Bane, Ashley</t>
  </si>
  <si>
    <t>Barber, Mary</t>
  </si>
  <si>
    <t>Roach, Penelope</t>
  </si>
  <si>
    <t>Weatherley, Kaylee</t>
  </si>
  <si>
    <t>Kelley, Hannah</t>
  </si>
  <si>
    <t>Bene, Amanda,</t>
  </si>
  <si>
    <t>Matthews, Danielle</t>
  </si>
  <si>
    <t>Kinney, Chelsea</t>
  </si>
  <si>
    <t>Meyer, Emily</t>
  </si>
  <si>
    <t>Ryan, Taylor</t>
  </si>
  <si>
    <t>Sherrick, Kelsea</t>
  </si>
  <si>
    <t>Welcher, Natalie</t>
  </si>
  <si>
    <t>Harrington, Madeline</t>
  </si>
  <si>
    <t>Melissa, Leffel</t>
  </si>
  <si>
    <t>Musgraves, Sutton,</t>
  </si>
  <si>
    <t>Person, Lorin, D</t>
  </si>
  <si>
    <t>Kristen, Wiewora</t>
  </si>
  <si>
    <t>Starnes, Kristina</t>
  </si>
  <si>
    <t>Newton, Mollie</t>
  </si>
  <si>
    <t>Sharla Crofford</t>
  </si>
  <si>
    <t>Gillmore, Megan</t>
  </si>
  <si>
    <t>Pearson, Diana</t>
  </si>
  <si>
    <t>Holmes, Ronni</t>
  </si>
  <si>
    <t>Melton, Olivia</t>
  </si>
  <si>
    <t>Hayduke, Allison</t>
  </si>
  <si>
    <t>Wood, Christin,</t>
  </si>
  <si>
    <t>Colvin, Jo Ellen</t>
  </si>
  <si>
    <t>Stewart, Pamula</t>
  </si>
  <si>
    <t>Kitzmiller, Claire</t>
  </si>
  <si>
    <t>Isreal, Brianne</t>
  </si>
  <si>
    <t>Addison S Davari</t>
  </si>
  <si>
    <t>Machen R Beard</t>
  </si>
  <si>
    <t>Crafton, Lindsay</t>
  </si>
  <si>
    <t>Megan, Orr</t>
  </si>
  <si>
    <t>Joanna</t>
  </si>
  <si>
    <t>Sarah, Reece</t>
  </si>
  <si>
    <t>Larson, Stephanie</t>
  </si>
  <si>
    <t>Edwards, Jenny</t>
  </si>
  <si>
    <t>Cox, Lindsy</t>
  </si>
  <si>
    <t>Lee, Katie</t>
  </si>
  <si>
    <t>Hogue, Lauren</t>
  </si>
  <si>
    <t>Phillips, Mckenzie</t>
  </si>
  <si>
    <t>Lauren Bass</t>
  </si>
  <si>
    <t>Sarah G Cowell</t>
  </si>
  <si>
    <t>Cagle, Kristal</t>
  </si>
  <si>
    <t>Dominguez, Norma</t>
  </si>
  <si>
    <t>Pierce, Jessica</t>
  </si>
  <si>
    <t>Talley, Kathleen</t>
  </si>
  <si>
    <t>Exckert, Meredith</t>
  </si>
  <si>
    <t>Fleeman, Ashley</t>
  </si>
  <si>
    <t>Teague, Makayla</t>
  </si>
  <si>
    <t>Morrisett, Rachel</t>
  </si>
  <si>
    <t>Scarbough, Brown, Raven</t>
  </si>
  <si>
    <t>Bailey, Allison</t>
  </si>
  <si>
    <t>Lefave, Angelyn</t>
  </si>
  <si>
    <t>Pace, Cherin</t>
  </si>
  <si>
    <t>Tingle, Sara</t>
  </si>
  <si>
    <t>Carroll, Jillian</t>
  </si>
  <si>
    <t>Roberts, Chelsy</t>
  </si>
  <si>
    <t>Shelby, Edmonds</t>
  </si>
  <si>
    <t>Jeffrey, Sarah</t>
  </si>
  <si>
    <t>Layes, Amanda</t>
  </si>
  <si>
    <t>Kakalia, Rachel</t>
  </si>
  <si>
    <t>Shariesa, Feimster</t>
  </si>
  <si>
    <t>Neissl, Melissa</t>
  </si>
  <si>
    <t>Day, Joni</t>
  </si>
  <si>
    <t>Davis, Sonya M</t>
  </si>
  <si>
    <t>Fowler, Lindsay</t>
  </si>
  <si>
    <t>Phelan, Tara</t>
  </si>
  <si>
    <t>Shumpert, Tiffany</t>
  </si>
  <si>
    <t>Gonzales, Lindsay</t>
  </si>
  <si>
    <t>Morvant, Erin</t>
  </si>
  <si>
    <t>Mcdaniel, Lindy</t>
  </si>
  <si>
    <t>Fryer, Hollie</t>
  </si>
  <si>
    <t>Lawler, Cindy</t>
  </si>
  <si>
    <t>Himstedt, Anna</t>
  </si>
  <si>
    <t>Kami Adams</t>
  </si>
  <si>
    <t>Britney Belles</t>
  </si>
  <si>
    <t>Lighla, Whitson</t>
  </si>
  <si>
    <t>Kelley, Regina</t>
  </si>
  <si>
    <t>Brizzolara, John</t>
  </si>
  <si>
    <t>Upadhyay, Jyoti</t>
  </si>
  <si>
    <t>Guilliams, Eric</t>
  </si>
  <si>
    <t>Katz, Matthew</t>
  </si>
  <si>
    <t>Renfroe, Doyle</t>
  </si>
  <si>
    <t>Aguilarguzman, Orlando</t>
  </si>
  <si>
    <t>Steiger, Charles</t>
  </si>
  <si>
    <t>Han, Dongyeon</t>
  </si>
  <si>
    <t>Bradley, Houston</t>
  </si>
  <si>
    <t>Matthew E Sims</t>
  </si>
  <si>
    <t>Saslawsky, Mark</t>
  </si>
  <si>
    <t>Murray, Sunshine</t>
  </si>
  <si>
    <t>Flowers, Maureen</t>
  </si>
  <si>
    <t>Davis, Cole</t>
  </si>
  <si>
    <t>Littlejohn, Nathan</t>
  </si>
  <si>
    <t>Gubin, David</t>
  </si>
  <si>
    <t>Lupo, David</t>
  </si>
  <si>
    <t>Davis, Rodney</t>
  </si>
  <si>
    <t>Davis, Ronald</t>
  </si>
  <si>
    <t>Diaz, Edwin</t>
  </si>
  <si>
    <t>Bingham, Van</t>
  </si>
  <si>
    <t>Pickhardt, William</t>
  </si>
  <si>
    <t>Miller, Oren</t>
  </si>
  <si>
    <t>Thomas, John</t>
  </si>
  <si>
    <t>Jerkins, Gerald</t>
  </si>
  <si>
    <t>Zielie, Patrick</t>
  </si>
  <si>
    <t>Desouza, Rowena</t>
  </si>
  <si>
    <t>Vicena, Joshua</t>
  </si>
  <si>
    <t>Collins, Braedon</t>
  </si>
  <si>
    <t>Adams, Cyrus</t>
  </si>
  <si>
    <t>Heulitt, Gerald</t>
  </si>
  <si>
    <t>Hurtt, Robbie</t>
  </si>
  <si>
    <t>Miles, Derek</t>
  </si>
  <si>
    <t>Brehm, George</t>
  </si>
  <si>
    <t>Hollabaugh , Robert</t>
  </si>
  <si>
    <t>Hollenbach, Seth</t>
  </si>
  <si>
    <t>Scriber, Ladd</t>
  </si>
  <si>
    <t>Jones, Gail</t>
  </si>
  <si>
    <t>Bowens, Jr</t>
  </si>
  <si>
    <t>Hendrix, Lauren</t>
  </si>
  <si>
    <t>Greenberger, Mark</t>
  </si>
  <si>
    <t>Terrell, John</t>
  </si>
  <si>
    <t>Pickelman, Jason</t>
  </si>
  <si>
    <t>Litwiller, Scott</t>
  </si>
  <si>
    <t>Childs, Michael</t>
  </si>
  <si>
    <t>Goodson, Timothy</t>
  </si>
  <si>
    <t>Danna, Richard</t>
  </si>
  <si>
    <t>Suminski, Michael</t>
  </si>
  <si>
    <t>Chauhan, Ravi</t>
  </si>
  <si>
    <t>Emery, Robert</t>
  </si>
  <si>
    <t>Brookover, Wesley</t>
  </si>
  <si>
    <t>Carraher, John</t>
  </si>
  <si>
    <t>Adams, Mark</t>
  </si>
  <si>
    <t>Donato, Robert</t>
  </si>
  <si>
    <t>Manning, Lance</t>
  </si>
  <si>
    <t>Patterson, Anthony</t>
  </si>
  <si>
    <t>Lai, Robert</t>
  </si>
  <si>
    <t>Riley, Julie</t>
  </si>
  <si>
    <t>Ledbetter, Christopher</t>
  </si>
  <si>
    <t>Warford, Renee</t>
  </si>
  <si>
    <t>Winfield, Howard, N</t>
  </si>
  <si>
    <t>Ortiz-Hernandez, Vanessa</t>
  </si>
  <si>
    <t>Liang, Jessie</t>
  </si>
  <si>
    <t>Scherzer, Nickolas, D</t>
  </si>
  <si>
    <t>Bigarella, Marcelo, P</t>
  </si>
  <si>
    <t>Moreira, Sergio</t>
  </si>
  <si>
    <t>Alliston, Jeffrey</t>
  </si>
  <si>
    <t>Rayford, Walter</t>
  </si>
  <si>
    <t>Confer, Stephen</t>
  </si>
  <si>
    <t>Latourette, Harry</t>
  </si>
  <si>
    <t>Bozeman, Caleb</t>
  </si>
  <si>
    <t>Ubeda, Joel, S</t>
  </si>
  <si>
    <t>Zamilpa, Ismael</t>
  </si>
  <si>
    <t>Noble, James</t>
  </si>
  <si>
    <t>Langford, Timothy</t>
  </si>
  <si>
    <t>Barber, Austin</t>
  </si>
  <si>
    <t>Powell, Curtis</t>
  </si>
  <si>
    <t>Carrico, Jeremy</t>
  </si>
  <si>
    <t>L'Esperance, James</t>
  </si>
  <si>
    <t>Marotte, Jeffrey</t>
  </si>
  <si>
    <t>Adams , John</t>
  </si>
  <si>
    <t>Gaitonde, Shivani, M</t>
  </si>
  <si>
    <t>Wake, Robert</t>
  </si>
  <si>
    <t>Granieri, Michael</t>
  </si>
  <si>
    <t>Barton, Gregory</t>
  </si>
  <si>
    <t>Dang, Gerald</t>
  </si>
  <si>
    <t>Chao, Alexander, B</t>
  </si>
  <si>
    <t>Alterman, Daniel</t>
  </si>
  <si>
    <t>Nestor, Arita</t>
  </si>
  <si>
    <t>Elianne,Rojas</t>
  </si>
  <si>
    <t>Spyridon,Monastiriotis</t>
  </si>
  <si>
    <t>Story Hefta, Lauren</t>
  </si>
  <si>
    <t>Shelton Lang, Kyla</t>
  </si>
  <si>
    <t>Negmadjanov, Ulugbek,</t>
  </si>
  <si>
    <t>Meadors, Steven</t>
  </si>
  <si>
    <t>Taylor, Zachary</t>
  </si>
  <si>
    <t>Winkler, Gabor</t>
  </si>
  <si>
    <t>Andrew Wishy</t>
  </si>
  <si>
    <t>Senkowsky, Frank</t>
  </si>
  <si>
    <t>Gallo, Stephen</t>
  </si>
  <si>
    <t>Scott, Grant</t>
  </si>
  <si>
    <t>Julia,Chen</t>
  </si>
  <si>
    <t>KAUL, RISHEEK</t>
  </si>
  <si>
    <t>Out of Service Area</t>
  </si>
  <si>
    <t>MARCANTONI, HENRY</t>
  </si>
  <si>
    <t>CRITTENDEN, ROBERT</t>
  </si>
  <si>
    <t>BRAILSFORD, ALYSSA</t>
  </si>
  <si>
    <t>ROBERTS, DREW</t>
  </si>
  <si>
    <t>BETHEL, JUSTIN</t>
  </si>
  <si>
    <t>PARKEY, MICHAEL</t>
  </si>
  <si>
    <t>PIERCE, THOMAS</t>
  </si>
  <si>
    <t>LEE, JAMES</t>
  </si>
  <si>
    <t>BURNSIDE, CATEON</t>
  </si>
  <si>
    <t>WARREN, OTHA</t>
  </si>
  <si>
    <t>COFFEE, KAYTON</t>
  </si>
  <si>
    <t>HARVEY, PAIGE</t>
  </si>
  <si>
    <t>PEARSON, JESSICA</t>
  </si>
  <si>
    <t>PHILLIPS, SARAH</t>
  </si>
  <si>
    <t>WEST, DEBRA</t>
  </si>
  <si>
    <t>MADDOX, RYAN</t>
  </si>
  <si>
    <t>MAECHLER, DANIEL</t>
  </si>
  <si>
    <t>HARRIS, AARON</t>
  </si>
  <si>
    <t>WILLIAMS, LAURA</t>
  </si>
  <si>
    <t>MCNEAL, MAEGAN</t>
  </si>
  <si>
    <t>MURCHISON, LAUREN</t>
  </si>
  <si>
    <t>ELROD, JENNY</t>
  </si>
  <si>
    <t>HOLMAN-ALLGOOD, IJANAE</t>
  </si>
  <si>
    <t>SHEPARD, MELISSA</t>
  </si>
  <si>
    <t>COLLADO, JERRY</t>
  </si>
  <si>
    <t>TAUBERT, RILEY</t>
  </si>
  <si>
    <t>HELLUMS, KAYLA</t>
  </si>
  <si>
    <t>SULLIVAN, KIMBERLY</t>
  </si>
  <si>
    <t>DOUGLAS, LORI</t>
  </si>
  <si>
    <t>FREEMAN, SAMANTHA</t>
  </si>
  <si>
    <t>STANGELAND, BRIANNA</t>
  </si>
  <si>
    <t>TOWELL, JORDON</t>
  </si>
  <si>
    <t>GILLUM, ROGER</t>
  </si>
  <si>
    <t>GONDWE, ANGANILE</t>
  </si>
  <si>
    <t>ZAHN, ALEXIS</t>
  </si>
  <si>
    <t>KUYKENDALL, JOYCE</t>
  </si>
  <si>
    <t>MILLER, COURTNEY</t>
  </si>
  <si>
    <t>ALLMAN, STEPHANIE</t>
  </si>
  <si>
    <t>BOARDMAN, AMANDA</t>
  </si>
  <si>
    <t>ARMAS, DULCE</t>
  </si>
  <si>
    <t>SHEPARD, ASHLEY</t>
  </si>
  <si>
    <t>WILLIAMS, KAYLA</t>
  </si>
  <si>
    <t>HERNANDEZ, ALAINA</t>
  </si>
  <si>
    <t>LAJOS, PAUL</t>
  </si>
  <si>
    <t>Color Key for Provider Criteria, Specialties, and Taxonomies</t>
  </si>
  <si>
    <t>Carried forward from previous year</t>
  </si>
  <si>
    <t>Carried Forward Specialty</t>
  </si>
  <si>
    <t>999C00000X</t>
  </si>
  <si>
    <t>Carried Forward Taxonomy</t>
  </si>
  <si>
    <t>Removed in current year; no longer valid</t>
  </si>
  <si>
    <t>Removed Specialty</t>
  </si>
  <si>
    <t>999R00000X</t>
  </si>
  <si>
    <t>Removed Taxonomy</t>
  </si>
  <si>
    <t>Added in current year</t>
  </si>
  <si>
    <t>Added Specialty</t>
  </si>
  <si>
    <t>999A00000X</t>
  </si>
  <si>
    <t>Added Taxonomy</t>
  </si>
  <si>
    <t>A006</t>
  </si>
  <si>
    <t>Primary Care - Nurse Practitioner (Adult)</t>
  </si>
  <si>
    <t>Primary Care - Advanced Practice Registered Nurse</t>
  </si>
  <si>
    <t>P006</t>
  </si>
  <si>
    <t>Primary Care - Advanced Practice Registered Nurse (Pediatric)</t>
  </si>
  <si>
    <t>363LP0200X</t>
  </si>
  <si>
    <t>Pediatric Nurse Practitioner</t>
  </si>
  <si>
    <t>A000</t>
  </si>
  <si>
    <t>333600000X</t>
  </si>
  <si>
    <t>3336C0003X</t>
  </si>
  <si>
    <t>Community / Retail Pharmacy</t>
  </si>
  <si>
    <t>Murray-Calloway County Hospital</t>
  </si>
  <si>
    <t>Ut Health Tyler</t>
  </si>
  <si>
    <t>Christus Mother Frances Hospital - Tyler</t>
  </si>
  <si>
    <t>Saint Francis Hospital Vinita</t>
  </si>
  <si>
    <t>Mercy Health - Lourdes Hospital</t>
  </si>
  <si>
    <t>The University Of Mississippi Medical Center - Grenada</t>
  </si>
  <si>
    <t>Hillcrest Hospital Pryor</t>
  </si>
  <si>
    <t>Mercy Hospital Pittsburg</t>
  </si>
  <si>
    <t>Ut Health Carthage</t>
  </si>
  <si>
    <t>Jackson Purchase Medical Center</t>
  </si>
  <si>
    <t>Askari, Raza</t>
  </si>
  <si>
    <t>Mettler, Bret</t>
  </si>
  <si>
    <t>Betancor, Jorge,</t>
  </si>
  <si>
    <t>Josef, Stanley S</t>
  </si>
  <si>
    <t>Faz, Gabriel</t>
  </si>
  <si>
    <t>Meduri, Christopher</t>
  </si>
  <si>
    <t>Goldberg, Jason</t>
  </si>
  <si>
    <t>Wang, Dai-Yuan</t>
  </si>
  <si>
    <t>Beasley, Gary</t>
  </si>
  <si>
    <t>Citrin, Benjamin</t>
  </si>
  <si>
    <t>Mcdermott, Timothy</t>
  </si>
  <si>
    <t>Kajitani, Michio</t>
  </si>
  <si>
    <t>Ronald, Smith</t>
  </si>
  <si>
    <t>Gibson, Vanessa</t>
  </si>
  <si>
    <t>Taggarse, Amit</t>
  </si>
  <si>
    <t>Kennedy, Damon</t>
  </si>
  <si>
    <t>Wilson, Jacob</t>
  </si>
  <si>
    <t>Reed, Samuel</t>
  </si>
  <si>
    <t>Gililland, Derek</t>
  </si>
  <si>
    <t>Rivera Pagan, Carlos</t>
  </si>
  <si>
    <t>Mitchell, Paige,</t>
  </si>
  <si>
    <t>Wheeler, Jerod</t>
  </si>
  <si>
    <t>Frerichs, Haley,</t>
  </si>
  <si>
    <t>Duffy, Emily</t>
  </si>
  <si>
    <t>Wallis, Toni</t>
  </si>
  <si>
    <t>Howell, Kendrea</t>
  </si>
  <si>
    <t>Crumpler, Jacob</t>
  </si>
  <si>
    <t>Petrella, Joseph,</t>
  </si>
  <si>
    <t>Kershner, Christopher</t>
  </si>
  <si>
    <t>Waterloo, Kevin</t>
  </si>
  <si>
    <t>Smith, Riley, J</t>
  </si>
  <si>
    <t>Reeves, Joshua</t>
  </si>
  <si>
    <t>Hoang, Quocviet</t>
  </si>
  <si>
    <t>Mitchell, Jacob</t>
  </si>
  <si>
    <t>Thane, John</t>
  </si>
  <si>
    <t>Crow, Caleb</t>
  </si>
  <si>
    <t>Jones, Gary</t>
  </si>
  <si>
    <t>Pearson, Mackenzie</t>
  </si>
  <si>
    <t>Crow, Abigail</t>
  </si>
  <si>
    <t>Rogers, Taylor</t>
  </si>
  <si>
    <t>Wiggins, David</t>
  </si>
  <si>
    <t>Kenny, Dustin</t>
  </si>
  <si>
    <t>Mitchell, Mason</t>
  </si>
  <si>
    <t>Garnett, Peyton</t>
  </si>
  <si>
    <t>Catron, Connor</t>
  </si>
  <si>
    <t>Halversen, Geoffrey</t>
  </si>
  <si>
    <t>Rankin, Kayla</t>
  </si>
  <si>
    <t>Rash, Hayden</t>
  </si>
  <si>
    <t>Pardo, Alejandro</t>
  </si>
  <si>
    <t>Lloyd, Michael</t>
  </si>
  <si>
    <t>Andrews, Chloe</t>
  </si>
  <si>
    <t>Bowen, Thomas</t>
  </si>
  <si>
    <t>Agrawal, Priyata</t>
  </si>
  <si>
    <t>Nortch, Zachary</t>
  </si>
  <si>
    <t>Mccoy, Skyler</t>
  </si>
  <si>
    <t>Ross, Marim</t>
  </si>
  <si>
    <t>Willson, Kynnedy</t>
  </si>
  <si>
    <t>Adeniyi, Adetola</t>
  </si>
  <si>
    <t>Dozier, Oliver</t>
  </si>
  <si>
    <t>Santwani, Pooja</t>
  </si>
  <si>
    <t>Faulkner, Peyton</t>
  </si>
  <si>
    <t>Evans, Paxton</t>
  </si>
  <si>
    <t>Bannerman, Stephen</t>
  </si>
  <si>
    <t>Thompson, Jordan</t>
  </si>
  <si>
    <t>Hanby, Luke</t>
  </si>
  <si>
    <t>Koontz, Justin</t>
  </si>
  <si>
    <t>Blickenstaff, Kohl</t>
  </si>
  <si>
    <t>Franklin, Jonathan</t>
  </si>
  <si>
    <t>Williams, Justus</t>
  </si>
  <si>
    <t>Garner, Taylor</t>
  </si>
  <si>
    <t>Salazar Rios, Alma</t>
  </si>
  <si>
    <t>Wendling, Meredith</t>
  </si>
  <si>
    <t>Ney, Marshall</t>
  </si>
  <si>
    <t>Yasin, Mamdouh</t>
  </si>
  <si>
    <t>Harris, Samuel</t>
  </si>
  <si>
    <t>Schultz, Shelby</t>
  </si>
  <si>
    <t>Roye, Jonathan</t>
  </si>
  <si>
    <t>Hardgrave, Natalia</t>
  </si>
  <si>
    <t>Feller, Sharon</t>
  </si>
  <si>
    <t>Hall, Lauren</t>
  </si>
  <si>
    <t>Terry, Douglas</t>
  </si>
  <si>
    <t>Johnston, Rachel</t>
  </si>
  <si>
    <t>Hoskins, Matthew</t>
  </si>
  <si>
    <t>Wright, Gary</t>
  </si>
  <si>
    <t>Grisham, Dannetta</t>
  </si>
  <si>
    <t>Trainor, Arleigh</t>
  </si>
  <si>
    <t>Levy, Sonia</t>
  </si>
  <si>
    <t>Sandness, Dorcas</t>
  </si>
  <si>
    <t>O'shea, Jeremy</t>
  </si>
  <si>
    <t>Klevens, Michael</t>
  </si>
  <si>
    <t>Noto, Anthony</t>
  </si>
  <si>
    <t>Weisenberg, Brian</t>
  </si>
  <si>
    <t>Garcia, Shaun</t>
  </si>
  <si>
    <t>Schissel, Beth</t>
  </si>
  <si>
    <t>Ireland, Ashley</t>
  </si>
  <si>
    <t>Oumeddour, Razik</t>
  </si>
  <si>
    <t>Mcmellon, Amanda</t>
  </si>
  <si>
    <t>Rayborn, Cari</t>
  </si>
  <si>
    <t>Maready, Matthew</t>
  </si>
  <si>
    <t>Patel, Anjali,</t>
  </si>
  <si>
    <t>Scott, Jeffrey, E</t>
  </si>
  <si>
    <t>Angle, Donald</t>
  </si>
  <si>
    <t>Burke, Daniel</t>
  </si>
  <si>
    <t>Minor, Sarah</t>
  </si>
  <si>
    <t>Irwin, Robert</t>
  </si>
  <si>
    <t>Reyes, Jose</t>
  </si>
  <si>
    <t>Gamble, Elizabeth</t>
  </si>
  <si>
    <t>Treichler, Don</t>
  </si>
  <si>
    <t>Chen, Yidong</t>
  </si>
  <si>
    <t>Hearn, Jonathan, S</t>
  </si>
  <si>
    <t>Farrell, Joseph</t>
  </si>
  <si>
    <t>Rountree, Angela</t>
  </si>
  <si>
    <t>Vu, Phu</t>
  </si>
  <si>
    <t>Khan, Rizwana</t>
  </si>
  <si>
    <t>Murdock, James</t>
  </si>
  <si>
    <t>Lagaly, William</t>
  </si>
  <si>
    <t>Cooper, John, P</t>
  </si>
  <si>
    <t>Parsley, Cameron, A</t>
  </si>
  <si>
    <t>Vandover, John</t>
  </si>
  <si>
    <t>Ahmed, Rami</t>
  </si>
  <si>
    <t>Sheth, Dipak P</t>
  </si>
  <si>
    <t>Nadeem, Shahid</t>
  </si>
  <si>
    <t>Jain, Shobhit</t>
  </si>
  <si>
    <t>Fredrickson, Eric</t>
  </si>
  <si>
    <t>Corley, Robert</t>
  </si>
  <si>
    <t>Reed, Jonathan</t>
  </si>
  <si>
    <t>White, Michael, J</t>
  </si>
  <si>
    <t>Graham, Charles</t>
  </si>
  <si>
    <t>Fleming, Robert</t>
  </si>
  <si>
    <t>Vogel, Eric</t>
  </si>
  <si>
    <t>Brookman, Max, A</t>
  </si>
  <si>
    <t>Huddleston, Ashley</t>
  </si>
  <si>
    <t>Koller, Darwin,</t>
  </si>
  <si>
    <t>Ross, Douglas</t>
  </si>
  <si>
    <t>Bumpas, Timothy</t>
  </si>
  <si>
    <t>Quang, Lawrence</t>
  </si>
  <si>
    <t>Delaune, Eugene</t>
  </si>
  <si>
    <t>Graham, Gabriel,</t>
  </si>
  <si>
    <t>Albertson, Monroe, L</t>
  </si>
  <si>
    <t>Kindrat, Jason</t>
  </si>
  <si>
    <t>Waack, Barry</t>
  </si>
  <si>
    <t>Phillips, Christopher</t>
  </si>
  <si>
    <t>Dire, Daniel J</t>
  </si>
  <si>
    <t>Beckett, Adam</t>
  </si>
  <si>
    <t>Patel, Ruchi</t>
  </si>
  <si>
    <t>Young, Evelyn</t>
  </si>
  <si>
    <t>Thalathoti, Samuel</t>
  </si>
  <si>
    <t>White, Molly, A</t>
  </si>
  <si>
    <t>Pfeiffer, Paul</t>
  </si>
  <si>
    <t>Espinel, Alfonso</t>
  </si>
  <si>
    <t>Wulz, Curtis</t>
  </si>
  <si>
    <t>Aziz, Michael</t>
  </si>
  <si>
    <t>James, Brett</t>
  </si>
  <si>
    <t>Mccartney, Jeffrey</t>
  </si>
  <si>
    <t>Hutchison, George</t>
  </si>
  <si>
    <t>Levin, Frederick</t>
  </si>
  <si>
    <t>Summerhill, Jeffrey</t>
  </si>
  <si>
    <t>Plumlee, Austin</t>
  </si>
  <si>
    <t>Evans, James</t>
  </si>
  <si>
    <t>Journagan, Kevin</t>
  </si>
  <si>
    <t>Ruff, Lloyd</t>
  </si>
  <si>
    <t>Booth, Norse, Ashley</t>
  </si>
  <si>
    <t>Mack, Tracy</t>
  </si>
  <si>
    <t>Hutchison, Michele</t>
  </si>
  <si>
    <t>Narayana, Shyam</t>
  </si>
  <si>
    <t>Alshami, Sarah, D</t>
  </si>
  <si>
    <t>Lau-Stone, Chrystal</t>
  </si>
  <si>
    <t>Smith, Samuel H</t>
  </si>
  <si>
    <t>Shivnani, Deepa,</t>
  </si>
  <si>
    <t>Hodges, John M</t>
  </si>
  <si>
    <t>Brady, Jacob</t>
  </si>
  <si>
    <t>May, Jeffery</t>
  </si>
  <si>
    <t>Thompson, Jerome</t>
  </si>
  <si>
    <t>Pathapati, Srinivas</t>
  </si>
  <si>
    <t>Anna F Vertkin</t>
  </si>
  <si>
    <t>Amin, Vimalkumar</t>
  </si>
  <si>
    <t>Tarr, Phillip</t>
  </si>
  <si>
    <t>Ray, Quentin</t>
  </si>
  <si>
    <t>Ganim, Ismail</t>
  </si>
  <si>
    <t>Thomas, Faust</t>
  </si>
  <si>
    <t>Blake, Roger</t>
  </si>
  <si>
    <t>Guinnip, Paula</t>
  </si>
  <si>
    <t>Collins, Sidney</t>
  </si>
  <si>
    <t>Mitsakos, Anastasios</t>
  </si>
  <si>
    <t>Castro-Otero, Jorge</t>
  </si>
  <si>
    <t>Medina Zea, Marco</t>
  </si>
  <si>
    <t>Buchanan, Robert</t>
  </si>
  <si>
    <t>Pritchard, Frances</t>
  </si>
  <si>
    <t>Piacentino, Valentino</t>
  </si>
  <si>
    <t>Para, Daniel</t>
  </si>
  <si>
    <t>Dillawn, Patrick</t>
  </si>
  <si>
    <t>Halfteck, Gili, G</t>
  </si>
  <si>
    <t>Slezak, James</t>
  </si>
  <si>
    <t>Altomar, Jonathan</t>
  </si>
  <si>
    <t>Cheek, Jay</t>
  </si>
  <si>
    <t>Gibbs, William</t>
  </si>
  <si>
    <t>Huang, Eunice</t>
  </si>
  <si>
    <t>Nanna, Alero</t>
  </si>
  <si>
    <t>Chung, Eric</t>
  </si>
  <si>
    <t>Jean, Robert</t>
  </si>
  <si>
    <t>Farr, Bethany</t>
  </si>
  <si>
    <t>Bonwich, Janina</t>
  </si>
  <si>
    <t>Gleason, Catherine</t>
  </si>
  <si>
    <t>Broussard, Heath</t>
  </si>
  <si>
    <t>Susoreny Velgos, Jennifer</t>
  </si>
  <si>
    <t>Hanna, Angela</t>
  </si>
  <si>
    <t>Gault, Jason</t>
  </si>
  <si>
    <t>Posey, David</t>
  </si>
  <si>
    <t>Carozza, Michael</t>
  </si>
  <si>
    <t>Beyer, Christy, A</t>
  </si>
  <si>
    <t>Melrose, Erica</t>
  </si>
  <si>
    <t>Lackey Davis, Katrina</t>
  </si>
  <si>
    <t>Reed, Susannah</t>
  </si>
  <si>
    <t>Abbott, Whitney</t>
  </si>
  <si>
    <t>Graham, Erinne</t>
  </si>
  <si>
    <t>Waterman, Lisa</t>
  </si>
  <si>
    <t>Smith, Alexander</t>
  </si>
  <si>
    <t>Madill, Mckenzie, L</t>
  </si>
  <si>
    <t>Branch, Mia</t>
  </si>
  <si>
    <t>Stone, Rose</t>
  </si>
  <si>
    <t>Graff, Alyssa</t>
  </si>
  <si>
    <t>Ordonez, Danica Angela</t>
  </si>
  <si>
    <t>Adair, Charles</t>
  </si>
  <si>
    <t>Porter, Blake</t>
  </si>
  <si>
    <t>Clay, Micah</t>
  </si>
  <si>
    <t>Jasmine</t>
  </si>
  <si>
    <t>Bazzett-Matabele, Lisa</t>
  </si>
  <si>
    <t>Kelly, Matthew</t>
  </si>
  <si>
    <t>Stillwell, Mark</t>
  </si>
  <si>
    <t>Wasi, Faisal</t>
  </si>
  <si>
    <t>Hussein, Dr. Wael</t>
  </si>
  <si>
    <t>Abdallah, Ahmed,</t>
  </si>
  <si>
    <t>Tripuraneni, Srinath</t>
  </si>
  <si>
    <t>Kher, Kanwal</t>
  </si>
  <si>
    <t>Ali, Umair,</t>
  </si>
  <si>
    <t>Wells, Thomas</t>
  </si>
  <si>
    <t>Vatanapradith, Athip</t>
  </si>
  <si>
    <t>Haddad, Hassan</t>
  </si>
  <si>
    <t>Lue, Stanley</t>
  </si>
  <si>
    <t>Rivera-Perez, Felix</t>
  </si>
  <si>
    <t>Wilt, Erica</t>
  </si>
  <si>
    <t>Frazey, Ellie</t>
  </si>
  <si>
    <t>Silva, Gustavo</t>
  </si>
  <si>
    <t>Dotson, William</t>
  </si>
  <si>
    <t>Gonzalez, Paulo</t>
  </si>
  <si>
    <t>Kathiresan, Karthikeyani,</t>
  </si>
  <si>
    <t>Kanter, Jenna</t>
  </si>
  <si>
    <t>Rastogi, Komal</t>
  </si>
  <si>
    <t>Liao, Yu Hsuan</t>
  </si>
  <si>
    <t>Mc Neil, Cheryl</t>
  </si>
  <si>
    <t>Chitravas, Numthip</t>
  </si>
  <si>
    <t>Boyer, Edward</t>
  </si>
  <si>
    <t>Eslami, Vahid</t>
  </si>
  <si>
    <t>Kelesoglou, Christopher</t>
  </si>
  <si>
    <t>Fitzsimmons, Brian-Fred</t>
  </si>
  <si>
    <t>Von Strolley, Arielle</t>
  </si>
  <si>
    <t>Torres, Jorge</t>
  </si>
  <si>
    <t>Haskins, Danielle</t>
  </si>
  <si>
    <t>Tandyasraya, Prita</t>
  </si>
  <si>
    <t>Whapham, John</t>
  </si>
  <si>
    <t>Arshad, Ahmed</t>
  </si>
  <si>
    <t>Cavalier, Annie</t>
  </si>
  <si>
    <t>Ventura, Julio</t>
  </si>
  <si>
    <t>Cardentey, Agnelio</t>
  </si>
  <si>
    <t>Ragland, Jeremy</t>
  </si>
  <si>
    <t>Malka, Robert</t>
  </si>
  <si>
    <t>Wei, Shao-Hwa</t>
  </si>
  <si>
    <t>Andry, James</t>
  </si>
  <si>
    <t>Woessner, Heidi</t>
  </si>
  <si>
    <t>Kaul, Siddharth</t>
  </si>
  <si>
    <t>Brown, Wendy</t>
  </si>
  <si>
    <t>Avino, Lorianne</t>
  </si>
  <si>
    <t>Yeung, Philip</t>
  </si>
  <si>
    <t>Paredes, Danelvis</t>
  </si>
  <si>
    <t>Vidgop, Yelena</t>
  </si>
  <si>
    <t>Adams, Christopher</t>
  </si>
  <si>
    <t>Siegler, David</t>
  </si>
  <si>
    <t>Acevedo-Ramirez, Nattasha</t>
  </si>
  <si>
    <t>Horn, Christopher</t>
  </si>
  <si>
    <t>Tummala, Pavan</t>
  </si>
  <si>
    <t>Sevilis, Theresa</t>
  </si>
  <si>
    <t>Amin, Darshana</t>
  </si>
  <si>
    <t>Decant, Zachary</t>
  </si>
  <si>
    <t>Abdelmotilib, Hisham</t>
  </si>
  <si>
    <t>Colon-Garcia, Patricia</t>
  </si>
  <si>
    <t>Jiang, Linda</t>
  </si>
  <si>
    <t>Jhamb, Neil</t>
  </si>
  <si>
    <t>Pirmohamed, Fermina</t>
  </si>
  <si>
    <t>Popa, Vasile</t>
  </si>
  <si>
    <t>Rodriguez Lee, Jorge</t>
  </si>
  <si>
    <t>Amir, Murtaza</t>
  </si>
  <si>
    <t>Irshad, Khadija</t>
  </si>
  <si>
    <t>Corti, Sandro</t>
  </si>
  <si>
    <t>Blech, Benzion</t>
  </si>
  <si>
    <t>Fowler, Mariecken</t>
  </si>
  <si>
    <t>Richardson, Colby</t>
  </si>
  <si>
    <t>Uddin, Ashwaan</t>
  </si>
  <si>
    <t>Harrison, Amy</t>
  </si>
  <si>
    <t>Osehobo, Ehizele</t>
  </si>
  <si>
    <t>Abbasi, Hamidreza</t>
  </si>
  <si>
    <t>Rose-Innes, Andrew</t>
  </si>
  <si>
    <t>Klein, Bradley</t>
  </si>
  <si>
    <t>Menendez, Gabriel</t>
  </si>
  <si>
    <t>Sambursky, Jacob</t>
  </si>
  <si>
    <t>Kleinholz-Owens, Patricia</t>
  </si>
  <si>
    <t>Redmond, Cintasha</t>
  </si>
  <si>
    <t>Kozminski, Matthew</t>
  </si>
  <si>
    <t>Sombutmai, Chut</t>
  </si>
  <si>
    <t>Dinh, Beatriz,</t>
  </si>
  <si>
    <t>Bello, Nancy</t>
  </si>
  <si>
    <t>Ravi Yarlagadda</t>
  </si>
  <si>
    <t>Noorbakhsh Sabet, Nariman</t>
  </si>
  <si>
    <t>De Jesus-Alvelo, Indira</t>
  </si>
  <si>
    <t>Plancher, Joao</t>
  </si>
  <si>
    <t>Patel, Ronak</t>
  </si>
  <si>
    <t>Pandhi, Fnu</t>
  </si>
  <si>
    <t>Bui, Mai-Lynn</t>
  </si>
  <si>
    <t>Dunston, Randall</t>
  </si>
  <si>
    <t>Seibert, Julie</t>
  </si>
  <si>
    <t>Vajapey, Geetanjali</t>
  </si>
  <si>
    <t>Hobbs, Leith</t>
  </si>
  <si>
    <t>Ansell, Jacqueline</t>
  </si>
  <si>
    <t>Baity, Jessica</t>
  </si>
  <si>
    <t>Koss, Adam</t>
  </si>
  <si>
    <t>Cherkassky, Georgy</t>
  </si>
  <si>
    <t>Hoang, Hai</t>
  </si>
  <si>
    <t>Vasudevan, Arvind</t>
  </si>
  <si>
    <t>Bhende, Bhagyashri</t>
  </si>
  <si>
    <t>Ammar, Tamer</t>
  </si>
  <si>
    <t>Barminova, Anna</t>
  </si>
  <si>
    <t>Thomas, Crystal</t>
  </si>
  <si>
    <t>Ander, Tracy</t>
  </si>
  <si>
    <t>Morgan Figurelle</t>
  </si>
  <si>
    <t>Falero-Pomales, Jose</t>
  </si>
  <si>
    <t>Kong, Wan, Y</t>
  </si>
  <si>
    <t>Hegazy, Mohamed</t>
  </si>
  <si>
    <t>Balmakund, Jhablall</t>
  </si>
  <si>
    <t>Binder, Kyle</t>
  </si>
  <si>
    <t>Giugliano, Ava</t>
  </si>
  <si>
    <t>Behravan, Vahid</t>
  </si>
  <si>
    <t>Atkinson, Sarah</t>
  </si>
  <si>
    <t>Manning, Conrad,</t>
  </si>
  <si>
    <t>Abcede, Hermelinda</t>
  </si>
  <si>
    <t>Tekiela, Piotr</t>
  </si>
  <si>
    <t>Sitzmann, Adam</t>
  </si>
  <si>
    <t>Misulis, Edward</t>
  </si>
  <si>
    <t>Hsiong Chen</t>
  </si>
  <si>
    <t>Almidani, Mazen</t>
  </si>
  <si>
    <t>Scott, Lisa</t>
  </si>
  <si>
    <t>Friedman, Mark</t>
  </si>
  <si>
    <t>Steven Gangloff</t>
  </si>
  <si>
    <t>Schmitt, Kevin</t>
  </si>
  <si>
    <t>Lu, Mofei</t>
  </si>
  <si>
    <t>Dhadwal, Neetu</t>
  </si>
  <si>
    <t>Nolan, Neal</t>
  </si>
  <si>
    <t>Stabley, Jason</t>
  </si>
  <si>
    <t>Steven L. Cathey Md Pa</t>
  </si>
  <si>
    <t>Nangunoori, Raj</t>
  </si>
  <si>
    <t>Lovell, Laverne</t>
  </si>
  <si>
    <t>Pomeraniec, Isaac</t>
  </si>
  <si>
    <t>Kiehm, Kelly</t>
  </si>
  <si>
    <t>Shedden, Peter</t>
  </si>
  <si>
    <t>Robertson, Jon</t>
  </si>
  <si>
    <t>Ashley, Schuerger</t>
  </si>
  <si>
    <t>Berg, Megan</t>
  </si>
  <si>
    <t>Watson, Adriann</t>
  </si>
  <si>
    <t>Kincannon, Elizabeth</t>
  </si>
  <si>
    <t>Senger, Maxwell</t>
  </si>
  <si>
    <t>Lentz, Cora</t>
  </si>
  <si>
    <t>Mitchell, Caroline</t>
  </si>
  <si>
    <t>Mcdonald, Michelle, K</t>
  </si>
  <si>
    <t>Bergt, Sydney,</t>
  </si>
  <si>
    <t>Northcutt, Rebecca</t>
  </si>
  <si>
    <t>Casey, Alyssa, N</t>
  </si>
  <si>
    <t>Reece, Amy</t>
  </si>
  <si>
    <t>Wolters, Alana, E</t>
  </si>
  <si>
    <t>Malone, Christopher</t>
  </si>
  <si>
    <t>Cook, Jessica</t>
  </si>
  <si>
    <t>Chamberlin, Cara</t>
  </si>
  <si>
    <t>Seidel, Mackenzie</t>
  </si>
  <si>
    <t>Mcrae, Ashlen, N</t>
  </si>
  <si>
    <t>Waters, Colton, D</t>
  </si>
  <si>
    <t>Simmons, Ansley</t>
  </si>
  <si>
    <t>Mendez, Laura,</t>
  </si>
  <si>
    <t>Sulkowski, Jenna</t>
  </si>
  <si>
    <t>Reed, Landon</t>
  </si>
  <si>
    <t>Moh, Emeka,</t>
  </si>
  <si>
    <t>Bergstrom, Allison</t>
  </si>
  <si>
    <t>Romero, Judith</t>
  </si>
  <si>
    <t>Jones, Sadie</t>
  </si>
  <si>
    <t>Diaz, Alyssa</t>
  </si>
  <si>
    <t>Clark, Calin,</t>
  </si>
  <si>
    <t>Bregy, Frank</t>
  </si>
  <si>
    <t>Van Camp, Sarah</t>
  </si>
  <si>
    <t>Oholendt, Christopher</t>
  </si>
  <si>
    <t>Schluterman, Stephanie,</t>
  </si>
  <si>
    <t>Gibby, Awbrey</t>
  </si>
  <si>
    <t>Koone, Caroline</t>
  </si>
  <si>
    <t>Hartman, Mary, K</t>
  </si>
  <si>
    <t>Dalton, Taylor</t>
  </si>
  <si>
    <t>Goswick, Tyler</t>
  </si>
  <si>
    <t>Williams, Olivia</t>
  </si>
  <si>
    <t>Barry, Haley</t>
  </si>
  <si>
    <t>Booth, Tyler</t>
  </si>
  <si>
    <t>Cody J Horton</t>
  </si>
  <si>
    <t>Spradlin, Shonna</t>
  </si>
  <si>
    <t>Osment, Kathryn</t>
  </si>
  <si>
    <t>Miller, Heather</t>
  </si>
  <si>
    <t>Lee, Krysha</t>
  </si>
  <si>
    <t>Nash, Krysta</t>
  </si>
  <si>
    <t>Mcdonald, Hattie</t>
  </si>
  <si>
    <t>Kincade, Kailey, A</t>
  </si>
  <si>
    <t>Ryan, Sarah</t>
  </si>
  <si>
    <t>Oyioka, Oroo</t>
  </si>
  <si>
    <t>Carter, Katie</t>
  </si>
  <si>
    <t>Quattlebaum, Casey</t>
  </si>
  <si>
    <t>Montijo, Ashley, D</t>
  </si>
  <si>
    <t>Bowlan, Madison, G</t>
  </si>
  <si>
    <t>Burns, Haley</t>
  </si>
  <si>
    <t>Chung, Tina</t>
  </si>
  <si>
    <t>Bunch, Whitley</t>
  </si>
  <si>
    <t>Israel, Sara</t>
  </si>
  <si>
    <t>Norton, Kara, E</t>
  </si>
  <si>
    <t>Keough, Chamy,</t>
  </si>
  <si>
    <t>Weckbach, Chelsea,</t>
  </si>
  <si>
    <t>Toothaker, Stephen</t>
  </si>
  <si>
    <t>Mroz, Christine</t>
  </si>
  <si>
    <t>Chen, Ricky</t>
  </si>
  <si>
    <t>Tsao, Miriam</t>
  </si>
  <si>
    <t>Wells, John</t>
  </si>
  <si>
    <t>Huang, Chen</t>
  </si>
  <si>
    <t>Porter, Miriam</t>
  </si>
  <si>
    <t>Yendala, Rachana</t>
  </si>
  <si>
    <t>Lockridge, Leslie</t>
  </si>
  <si>
    <t>Gore, Margaret</t>
  </si>
  <si>
    <t>Joshi, Jitesh</t>
  </si>
  <si>
    <t>Wendling, Charles</t>
  </si>
  <si>
    <t>John, Elizabeth</t>
  </si>
  <si>
    <t>Wells, Gary</t>
  </si>
  <si>
    <t>Golder, Stephen</t>
  </si>
  <si>
    <t>Lane, Shelby</t>
  </si>
  <si>
    <t>Abraham, Edward</t>
  </si>
  <si>
    <t>Pham, Ha</t>
  </si>
  <si>
    <t>Mckeever, Matthew, R</t>
  </si>
  <si>
    <t>Walsh, Anna</t>
  </si>
  <si>
    <t>Gilmore, Laura</t>
  </si>
  <si>
    <t>Harper, Richard</t>
  </si>
  <si>
    <t>Moharer, Olivia</t>
  </si>
  <si>
    <t>Mequio, Michael</t>
  </si>
  <si>
    <t>Cengiz, Osman</t>
  </si>
  <si>
    <t>Hardcastle, Richard</t>
  </si>
  <si>
    <t>Melton, Heather</t>
  </si>
  <si>
    <t>Anderson, Joshua</t>
  </si>
  <si>
    <t>Thomas, Darryl</t>
  </si>
  <si>
    <t>Mckenzie, James</t>
  </si>
  <si>
    <t>Wright, Sean</t>
  </si>
  <si>
    <t>Feger, Mark</t>
  </si>
  <si>
    <t>Reeves, Robert</t>
  </si>
  <si>
    <t>Moseley, Claiborne</t>
  </si>
  <si>
    <t>Waanders, Nicholas</t>
  </si>
  <si>
    <t>Allison, Russell</t>
  </si>
  <si>
    <t>Dodge, Benjamin</t>
  </si>
  <si>
    <t>Agnew, Samuel</t>
  </si>
  <si>
    <t>Zubair, Adnan</t>
  </si>
  <si>
    <t>Burns, Ashley</t>
  </si>
  <si>
    <t>Medlin, Amber</t>
  </si>
  <si>
    <t>Tolleson, Taylor</t>
  </si>
  <si>
    <t>Smith, Madison,</t>
  </si>
  <si>
    <t>Palahniuk, Jennifer</t>
  </si>
  <si>
    <t>Limore, Tyler</t>
  </si>
  <si>
    <t>Oglesby, Adrain</t>
  </si>
  <si>
    <t>Devore, Sara,</t>
  </si>
  <si>
    <t>Boyd, Carmen,</t>
  </si>
  <si>
    <t>Indelicato, Marisa</t>
  </si>
  <si>
    <t>Lain, Katherine,</t>
  </si>
  <si>
    <t>Wylie, Cori</t>
  </si>
  <si>
    <t>Hrebien, Anthony,</t>
  </si>
  <si>
    <t>Jenkins, Stephen</t>
  </si>
  <si>
    <t>Schwerdtfeger, Elisabeth</t>
  </si>
  <si>
    <t>Geyer, Erin</t>
  </si>
  <si>
    <t>Burgess, Ashtin, M</t>
  </si>
  <si>
    <t>Boazak, Mina</t>
  </si>
  <si>
    <t>Johnson, Emily,</t>
  </si>
  <si>
    <t>Spencer, Kimberly, D</t>
  </si>
  <si>
    <t>Lincoln, Sophia</t>
  </si>
  <si>
    <t>Martin, Audrey,</t>
  </si>
  <si>
    <t>Carpenter, Bianca</t>
  </si>
  <si>
    <t>Bixler, Heather</t>
  </si>
  <si>
    <t>Graham, Rebecca</t>
  </si>
  <si>
    <t>Morton, Sidney</t>
  </si>
  <si>
    <t>Foust, Mikell</t>
  </si>
  <si>
    <t>Mullins, Jenna</t>
  </si>
  <si>
    <t>Robinson, Jennifer</t>
  </si>
  <si>
    <t>Gutierrez, Samantha</t>
  </si>
  <si>
    <t>Deligent, Reginald</t>
  </si>
  <si>
    <t>Miller, Laurence</t>
  </si>
  <si>
    <t>Martin, Kathy</t>
  </si>
  <si>
    <t>Dean, Shaniqua</t>
  </si>
  <si>
    <t>Saintfort, Ralph</t>
  </si>
  <si>
    <t>Holt, Tammy, R</t>
  </si>
  <si>
    <t>Carly,Blemmel</t>
  </si>
  <si>
    <t>Nazari, Natasha, M</t>
  </si>
  <si>
    <t>Rusinowski, Justin</t>
  </si>
  <si>
    <t>Livingston, Tina</t>
  </si>
  <si>
    <t>Harmon, Laura,</t>
  </si>
  <si>
    <t>Seals, Tameka</t>
  </si>
  <si>
    <t>Vallejo, Grace</t>
  </si>
  <si>
    <t>Caffey, Brandi</t>
  </si>
  <si>
    <t>Visser-Pardee, Mallory</t>
  </si>
  <si>
    <t>Williams, Meredith,</t>
  </si>
  <si>
    <t>Gentle, Shonica</t>
  </si>
  <si>
    <t>Joiner, Melissa</t>
  </si>
  <si>
    <t>Palmer, Sarah</t>
  </si>
  <si>
    <t>Ulbrich, Kaylin</t>
  </si>
  <si>
    <t>Walter, Mary</t>
  </si>
  <si>
    <t>Reynolds, Elise</t>
  </si>
  <si>
    <t>Lorah, Elizabeth</t>
  </si>
  <si>
    <t>Jegley, Susan</t>
  </si>
  <si>
    <t>Williams, Nathan,</t>
  </si>
  <si>
    <t>Smith, Ryan, S</t>
  </si>
  <si>
    <t>Catlin, David</t>
  </si>
  <si>
    <t>Wilcox, Lyndsie</t>
  </si>
  <si>
    <t>Stephens, Kelly</t>
  </si>
  <si>
    <t>Lattore, Fabian, E</t>
  </si>
  <si>
    <t>Demoret, Elizabeth</t>
  </si>
  <si>
    <t>Melton, Hsiang, Yun</t>
  </si>
  <si>
    <t>Hale, Zachary</t>
  </si>
  <si>
    <t>Lima, Laurn</t>
  </si>
  <si>
    <t>Steed, Kelly</t>
  </si>
  <si>
    <t>Cawthron, Lacey</t>
  </si>
  <si>
    <t>Ledoux, Cody</t>
  </si>
  <si>
    <t>Hood, Joni,</t>
  </si>
  <si>
    <t>Jeziorski, Veronica</t>
  </si>
  <si>
    <t>Dewalt, Allison</t>
  </si>
  <si>
    <t>Fleming, Jennifer,</t>
  </si>
  <si>
    <t>Tillman, Emily,</t>
  </si>
  <si>
    <t>Niemczyk, Mallory</t>
  </si>
  <si>
    <t>Tramel, Bethanie</t>
  </si>
  <si>
    <t>Aguilar, Teodoro</t>
  </si>
  <si>
    <t>Fuller, Lisa</t>
  </si>
  <si>
    <t>Sullivan, Edison</t>
  </si>
  <si>
    <t>Haskins, Jana</t>
  </si>
  <si>
    <t>Smith, Whitney</t>
  </si>
  <si>
    <t>Gerardo, Michael</t>
  </si>
  <si>
    <t>Davis, Misty</t>
  </si>
  <si>
    <t>Stevens, Savannah</t>
  </si>
  <si>
    <t>Williams, Jessica</t>
  </si>
  <si>
    <t>Tolliver, Laverne, B</t>
  </si>
  <si>
    <t>Daffron, Ashley</t>
  </si>
  <si>
    <t>Williamson, Lavatria</t>
  </si>
  <si>
    <t>Mankey, Samantha</t>
  </si>
  <si>
    <t>Kyle, Melissa</t>
  </si>
  <si>
    <t>Morgan, Emily</t>
  </si>
  <si>
    <t>Nail, Rebecca</t>
  </si>
  <si>
    <t>Farmer, Heaven,</t>
  </si>
  <si>
    <t>Scallion, Benni</t>
  </si>
  <si>
    <t>Lilly, Cassady,</t>
  </si>
  <si>
    <t>Simon, Kevie,</t>
  </si>
  <si>
    <t>Sheldon, Elizabeth</t>
  </si>
  <si>
    <t>Pittman, Debra</t>
  </si>
  <si>
    <t>Sleppy, Sarah,</t>
  </si>
  <si>
    <t>Lewis, Ebony</t>
  </si>
  <si>
    <t>Tyler, Susan</t>
  </si>
  <si>
    <t>Mcspadden, Whitney</t>
  </si>
  <si>
    <t>Hossain, Mahmood, R</t>
  </si>
  <si>
    <t>Fisher, Emily</t>
  </si>
  <si>
    <t>Elliott, Naomi</t>
  </si>
  <si>
    <t>Wiggins, Kelsey</t>
  </si>
  <si>
    <t>Holland, Tesha</t>
  </si>
  <si>
    <t>Breckenridge, Sheena</t>
  </si>
  <si>
    <t>Gibson, Geoff</t>
  </si>
  <si>
    <t>Stover, Shawna</t>
  </si>
  <si>
    <t>Graves, James</t>
  </si>
  <si>
    <t>Bulice, Kasha</t>
  </si>
  <si>
    <t>Mccuistion, Emily</t>
  </si>
  <si>
    <t>Clark, Kyndal, L</t>
  </si>
  <si>
    <t>Konnesky, Mary</t>
  </si>
  <si>
    <t>Gray, Deidre</t>
  </si>
  <si>
    <t>Persenaire, Adam, N</t>
  </si>
  <si>
    <t>Inman, Ariel</t>
  </si>
  <si>
    <t>Morgan, Monica</t>
  </si>
  <si>
    <t>Vassar, Codie</t>
  </si>
  <si>
    <t>Hale, Natonya</t>
  </si>
  <si>
    <t>Crawford, Jessica</t>
  </si>
  <si>
    <t>Schraeder, Kera</t>
  </si>
  <si>
    <t>Hawkins, Charley</t>
  </si>
  <si>
    <t>Manning, Jordyn</t>
  </si>
  <si>
    <t>Schulte, Emily</t>
  </si>
  <si>
    <t>Laurencelle, Matthew</t>
  </si>
  <si>
    <t>Stipp, Sierra</t>
  </si>
  <si>
    <t>White, Tony</t>
  </si>
  <si>
    <t>Fernandez, Alexandra</t>
  </si>
  <si>
    <t>Bunner, Franklin,</t>
  </si>
  <si>
    <t>Duncan, Dealla, J</t>
  </si>
  <si>
    <t>Booker, Amy</t>
  </si>
  <si>
    <t>Overley, Lacy</t>
  </si>
  <si>
    <t>Baker, Savannah</t>
  </si>
  <si>
    <t>Debbie Clark</t>
  </si>
  <si>
    <t>Zahn, Chloe</t>
  </si>
  <si>
    <t>Gordon, Krissa,</t>
  </si>
  <si>
    <t>Hughes, Kayla</t>
  </si>
  <si>
    <t>Branch, Chasey</t>
  </si>
  <si>
    <t>Coleman, Valisya</t>
  </si>
  <si>
    <t>Balsara, Charmi</t>
  </si>
  <si>
    <t>Wolfe, Jordyn</t>
  </si>
  <si>
    <t>Key, Melissa</t>
  </si>
  <si>
    <t>Brooks, Crystal</t>
  </si>
  <si>
    <t>Leflore, Latissha</t>
  </si>
  <si>
    <t>Herzberg, Miriam</t>
  </si>
  <si>
    <t>Runshe, Stephanie</t>
  </si>
  <si>
    <t>Allbright, Melissa</t>
  </si>
  <si>
    <t>Bartrow, Candace</t>
  </si>
  <si>
    <t>Macon, Mary</t>
  </si>
  <si>
    <t>Martin, Haley</t>
  </si>
  <si>
    <t>Holcomb, Julie</t>
  </si>
  <si>
    <t>Lewis, Janet</t>
  </si>
  <si>
    <t>Baker, Vicky</t>
  </si>
  <si>
    <t>Sirisena, Mali</t>
  </si>
  <si>
    <t>Baker, Lacey</t>
  </si>
  <si>
    <t>Martin, Tracie</t>
  </si>
  <si>
    <t>Sanghera, Alexis</t>
  </si>
  <si>
    <t>Coffey, Meagan</t>
  </si>
  <si>
    <t>Baltazar, Desiree</t>
  </si>
  <si>
    <t>Smith, Nancy</t>
  </si>
  <si>
    <t>West, Gretchan, N</t>
  </si>
  <si>
    <t>Hickman, Melaine</t>
  </si>
  <si>
    <t>Simmons, Heather</t>
  </si>
  <si>
    <t>Fairmon, Hill, Ascha</t>
  </si>
  <si>
    <t>Mapes, Crystal,</t>
  </si>
  <si>
    <t>Martin, Amanda</t>
  </si>
  <si>
    <t>Lior, Keerin</t>
  </si>
  <si>
    <t>Kinder, Julie</t>
  </si>
  <si>
    <t>Brooks, Kara</t>
  </si>
  <si>
    <t>Andrews, Lauren</t>
  </si>
  <si>
    <t>Hicks, Danielle</t>
  </si>
  <si>
    <t>Ostendorf, Erica</t>
  </si>
  <si>
    <t>Hall, Racheal</t>
  </si>
  <si>
    <t>Nguyen, Michelle</t>
  </si>
  <si>
    <t>Corcoran, Marla</t>
  </si>
  <si>
    <t>Powers, Stephen</t>
  </si>
  <si>
    <t>Paxson, Katelyn</t>
  </si>
  <si>
    <t>Hollis, Emily</t>
  </si>
  <si>
    <t>Talburt, Hanna</t>
  </si>
  <si>
    <t>Garix, Nicole</t>
  </si>
  <si>
    <t>Dickerson, Sabrina</t>
  </si>
  <si>
    <t>Sandidge, Yalaunda</t>
  </si>
  <si>
    <t>Bailey, Kirstie,</t>
  </si>
  <si>
    <t>Madani, Hanaa</t>
  </si>
  <si>
    <t>Oliver, Jodi</t>
  </si>
  <si>
    <t>Schulz, Taylor</t>
  </si>
  <si>
    <t>Burnett, Allen, F</t>
  </si>
  <si>
    <t>Lankford, Rachel,</t>
  </si>
  <si>
    <t>Glenn, Robert</t>
  </si>
  <si>
    <t>Moore, Lenreyah</t>
  </si>
  <si>
    <t>Witcher, Craig,</t>
  </si>
  <si>
    <t>Heinl, Brielle</t>
  </si>
  <si>
    <t>Mills, Stacie</t>
  </si>
  <si>
    <t>Diaz, Pamela, D</t>
  </si>
  <si>
    <t>Taj, Nauman</t>
  </si>
  <si>
    <t>Maddox, Madison</t>
  </si>
  <si>
    <t>Flynn, Alyssa</t>
  </si>
  <si>
    <t>Norwood, Bobby</t>
  </si>
  <si>
    <t>Gage, Rachel</t>
  </si>
  <si>
    <t>Preston, Christine</t>
  </si>
  <si>
    <t>Miller, Kaci</t>
  </si>
  <si>
    <t>Osborn, Adrian</t>
  </si>
  <si>
    <t>Gay, Uatchet,</t>
  </si>
  <si>
    <t>Imboden, Keely</t>
  </si>
  <si>
    <t>Warhurst, Lori</t>
  </si>
  <si>
    <t>Brown, Kessia</t>
  </si>
  <si>
    <t>White, Wesley</t>
  </si>
  <si>
    <t>Manney, Susannah</t>
  </si>
  <si>
    <t>Carpenter, Karen</t>
  </si>
  <si>
    <t>Villines, Reagan</t>
  </si>
  <si>
    <t>Dorch, Bailey</t>
  </si>
  <si>
    <t>Bojie, Sara</t>
  </si>
  <si>
    <t>Palermo, Brittany</t>
  </si>
  <si>
    <t>Schroeder, Cygnet</t>
  </si>
  <si>
    <t>Crider, Nathaniel, J</t>
  </si>
  <si>
    <t>Estes, Joshua</t>
  </si>
  <si>
    <t>Koutzeva-Dussel, Totka</t>
  </si>
  <si>
    <t>Omar Osman</t>
  </si>
  <si>
    <t>Hulett, Kevin</t>
  </si>
  <si>
    <t>Mitchell, Mackenzie</t>
  </si>
  <si>
    <t>Lane, Denise,</t>
  </si>
  <si>
    <t>Moore, Stephen</t>
  </si>
  <si>
    <t>Hibbs, Jennette,</t>
  </si>
  <si>
    <t>Cliff,Prather</t>
  </si>
  <si>
    <t>Collins, Mary,</t>
  </si>
  <si>
    <t>Morgan,Jackson</t>
  </si>
  <si>
    <t>Wagner, Ethan,</t>
  </si>
  <si>
    <t>Holland, Samuel,</t>
  </si>
  <si>
    <t>Lowder, Lisa,</t>
  </si>
  <si>
    <t>Courville, Adam,</t>
  </si>
  <si>
    <t>Lawrence, Sydney,</t>
  </si>
  <si>
    <t>Massey, Alisha,</t>
  </si>
  <si>
    <t>Coker, Allyson,</t>
  </si>
  <si>
    <t>Jackson, Kenley</t>
  </si>
  <si>
    <t>Gordon, Katlyn</t>
  </si>
  <si>
    <t>Redden, Rhianna</t>
  </si>
  <si>
    <t>Griffin, Maryclaire</t>
  </si>
  <si>
    <t>Brady, Jessica</t>
  </si>
  <si>
    <t>Logan, Hunter</t>
  </si>
  <si>
    <t>Skierski, Daniel</t>
  </si>
  <si>
    <t>Noga, Alison,</t>
  </si>
  <si>
    <t>Vang, Nuriena,</t>
  </si>
  <si>
    <t>Johnson, Cara</t>
  </si>
  <si>
    <t>Lamb, Noraida</t>
  </si>
  <si>
    <t>Hartis, Koby,</t>
  </si>
  <si>
    <t>Glenn, Sydney</t>
  </si>
  <si>
    <t>Keen, Kathryn</t>
  </si>
  <si>
    <t>Corcoran, Ashley</t>
  </si>
  <si>
    <t>Belden, Jennifer</t>
  </si>
  <si>
    <t>Dickeson, Ethan,</t>
  </si>
  <si>
    <t>Rankin, Cassady</t>
  </si>
  <si>
    <t>Oliver, Sydney,</t>
  </si>
  <si>
    <t>Hopper, Lea, S</t>
  </si>
  <si>
    <t>Kight, Kinzie,</t>
  </si>
  <si>
    <t>Odom, Jeanne</t>
  </si>
  <si>
    <t>Goolsby, Christian,</t>
  </si>
  <si>
    <t>Wagner, Mckenna</t>
  </si>
  <si>
    <t>William J Newman</t>
  </si>
  <si>
    <t>Phillips, Cristy</t>
  </si>
  <si>
    <t>Roberson, Robert,</t>
  </si>
  <si>
    <t>Sublett, Luisa</t>
  </si>
  <si>
    <t>Bennett, Amanda</t>
  </si>
  <si>
    <t>Patel, Arti,</t>
  </si>
  <si>
    <t>Rago, John</t>
  </si>
  <si>
    <t>Jimenez, Amanda</t>
  </si>
  <si>
    <t>Teuschl, Kristen</t>
  </si>
  <si>
    <t>Prince, Jillian</t>
  </si>
  <si>
    <t>Ballard, Joshua</t>
  </si>
  <si>
    <t>Kinser, Sydney,</t>
  </si>
  <si>
    <t>Weld, Katherine,</t>
  </si>
  <si>
    <t>Ashby, Jason</t>
  </si>
  <si>
    <t>Su, Linda,</t>
  </si>
  <si>
    <t>Lagrutta, Alex</t>
  </si>
  <si>
    <t>Jones, Derek</t>
  </si>
  <si>
    <t>Ross, Ruth</t>
  </si>
  <si>
    <t>Quesnell, Danielle</t>
  </si>
  <si>
    <t>Dorsey, Sarah, G</t>
  </si>
  <si>
    <t>Myers, Brian</t>
  </si>
  <si>
    <t>Hendrix, Taylor</t>
  </si>
  <si>
    <t>Connolly, Michelle</t>
  </si>
  <si>
    <t>Aitken, Brendon</t>
  </si>
  <si>
    <t>Peters, Charlotte</t>
  </si>
  <si>
    <t>Black, Reece</t>
  </si>
  <si>
    <t>Pennington, Michael</t>
  </si>
  <si>
    <t>Clark, Jessica</t>
  </si>
  <si>
    <t>Cooper, Adrian,</t>
  </si>
  <si>
    <t>Hiers, Connie</t>
  </si>
  <si>
    <t>Yee, Suzanne</t>
  </si>
  <si>
    <t>Jing, Xi L.</t>
  </si>
  <si>
    <t>Reilly, Debra</t>
  </si>
  <si>
    <t>Uren, Kevin</t>
  </si>
  <si>
    <t>Bogart, Joy,</t>
  </si>
  <si>
    <t>Brown, Amy, L</t>
  </si>
  <si>
    <t>Herring, Tara</t>
  </si>
  <si>
    <t>Lemon, Sarah, L</t>
  </si>
  <si>
    <t>Johnson, Raeshauna</t>
  </si>
  <si>
    <t>Riley, Tiffany</t>
  </si>
  <si>
    <t>Dudar, Amal</t>
  </si>
  <si>
    <t>Goodman, Amber</t>
  </si>
  <si>
    <t>Coleman, Chandler, E</t>
  </si>
  <si>
    <t>Strothkamp, Cassandra</t>
  </si>
  <si>
    <t>Bennett, Katherine</t>
  </si>
  <si>
    <t>Baggett-Woodard, Debra</t>
  </si>
  <si>
    <t>Brown, Jill</t>
  </si>
  <si>
    <t>Recine, Nicole</t>
  </si>
  <si>
    <t>Felty, Gracen</t>
  </si>
  <si>
    <t>Stewart, Adley</t>
  </si>
  <si>
    <t>Dougherty, Lauren</t>
  </si>
  <si>
    <t>Ledbetter, Haley,</t>
  </si>
  <si>
    <t>Lyons, Hannah, M</t>
  </si>
  <si>
    <t>Willis, Payton</t>
  </si>
  <si>
    <t>Terry, Pamala</t>
  </si>
  <si>
    <t>Jenks, Cassandra</t>
  </si>
  <si>
    <t>Khan, Muhammad, O</t>
  </si>
  <si>
    <t>Ascencio, Sarah, F</t>
  </si>
  <si>
    <t>Long, Grace</t>
  </si>
  <si>
    <t>Mohsin, Sana,</t>
  </si>
  <si>
    <t>Smith, Allison</t>
  </si>
  <si>
    <t>Johnson, Joanne</t>
  </si>
  <si>
    <t>Herrell, Rachel</t>
  </si>
  <si>
    <t>Springfield, Sha'Roda</t>
  </si>
  <si>
    <t>Mack, Brian</t>
  </si>
  <si>
    <t>Sheikh, Valeid,</t>
  </si>
  <si>
    <t>Cheek, Emma, C</t>
  </si>
  <si>
    <t>Caldwell, Indie</t>
  </si>
  <si>
    <t>Lee, Winnie</t>
  </si>
  <si>
    <t>Hancock, Christopher, D</t>
  </si>
  <si>
    <t>Hall, Jasmine, E</t>
  </si>
  <si>
    <t>Kyle, Garrett</t>
  </si>
  <si>
    <t>Shepard, Ashley</t>
  </si>
  <si>
    <t>Washington, Anthony</t>
  </si>
  <si>
    <t>Hughes, Kristen</t>
  </si>
  <si>
    <t>Williams, Gia, M</t>
  </si>
  <si>
    <t>Bruton, Allison</t>
  </si>
  <si>
    <t>Cruz, Katie</t>
  </si>
  <si>
    <t>England, Hallie, E</t>
  </si>
  <si>
    <t>Stauder, Rachael</t>
  </si>
  <si>
    <t>Hale, April</t>
  </si>
  <si>
    <t>Debooserie, Allison, A</t>
  </si>
  <si>
    <t>Patel, Palak</t>
  </si>
  <si>
    <t>Danner, Crystal</t>
  </si>
  <si>
    <t>Deal, Joshua</t>
  </si>
  <si>
    <t>Biles, Sydney</t>
  </si>
  <si>
    <t>Harralston, Kendra</t>
  </si>
  <si>
    <t>Haulcroft, Alyssa</t>
  </si>
  <si>
    <t>Weeden Snyder, Kate</t>
  </si>
  <si>
    <t>Waskom, Emma,</t>
  </si>
  <si>
    <t>Slayton, Richard</t>
  </si>
  <si>
    <t>Boswell, Aaron</t>
  </si>
  <si>
    <t>Hartung, Allison</t>
  </si>
  <si>
    <t>Lively, Whitney</t>
  </si>
  <si>
    <t>Maechler, Elizabeth, V</t>
  </si>
  <si>
    <t>Graves Potter, Hillary</t>
  </si>
  <si>
    <t>Cox, Emily</t>
  </si>
  <si>
    <t>Sams, Heather</t>
  </si>
  <si>
    <t>Tabe, Agborya</t>
  </si>
  <si>
    <t>Batten, Colton</t>
  </si>
  <si>
    <t>Russell, Sarah</t>
  </si>
  <si>
    <t>Ajani, Tolulope</t>
  </si>
  <si>
    <t>Bryant, Lindsey</t>
  </si>
  <si>
    <t>Wilson, Michelle</t>
  </si>
  <si>
    <t>Schafer, Lisa</t>
  </si>
  <si>
    <t>Stock, Lauren</t>
  </si>
  <si>
    <t>Brewer, Ocean</t>
  </si>
  <si>
    <t>Muckler, Diana</t>
  </si>
  <si>
    <t>Einwag Arnold, Jessica</t>
  </si>
  <si>
    <t>Hooten, Amanda, M</t>
  </si>
  <si>
    <t>Cox, Kendall, L</t>
  </si>
  <si>
    <t>D'Amico, Allyson</t>
  </si>
  <si>
    <t>Varner, Kendell,</t>
  </si>
  <si>
    <t>Scott, Jay</t>
  </si>
  <si>
    <t>Peters, Pooja</t>
  </si>
  <si>
    <t>Wells, Anna, M</t>
  </si>
  <si>
    <t>Garrison, Ashley</t>
  </si>
  <si>
    <t>Franques, Jessica</t>
  </si>
  <si>
    <t>Shaw, Scott</t>
  </si>
  <si>
    <t>Priddle, Amy M</t>
  </si>
  <si>
    <t>Veach, Rachel</t>
  </si>
  <si>
    <t>Baker, Lauren</t>
  </si>
  <si>
    <t>Joseph, Erin</t>
  </si>
  <si>
    <t>Everett, Rachel, M</t>
  </si>
  <si>
    <t>Maier-Hunter, Brittany</t>
  </si>
  <si>
    <t>Lentine, Ashley</t>
  </si>
  <si>
    <t>Beckham, Jonathan</t>
  </si>
  <si>
    <t>Melton, Allison</t>
  </si>
  <si>
    <t>Riley, Edward</t>
  </si>
  <si>
    <t>Moser, Stephanie</t>
  </si>
  <si>
    <t>Rink, Shannon</t>
  </si>
  <si>
    <t>Brown, Nash, M</t>
  </si>
  <si>
    <t>Dorothy, Patrick</t>
  </si>
  <si>
    <t>Smotherman, Pearl</t>
  </si>
  <si>
    <t>Ervin, Barbara</t>
  </si>
  <si>
    <t>Miller, Jennifer</t>
  </si>
  <si>
    <t>Dolapo, Olajide, O</t>
  </si>
  <si>
    <t>Andre, Dorotie</t>
  </si>
  <si>
    <t>Rappold, Lauren</t>
  </si>
  <si>
    <t>Peek, Kristen</t>
  </si>
  <si>
    <t>Bruzatori, Michelle</t>
  </si>
  <si>
    <t>Johnson, Kristine</t>
  </si>
  <si>
    <t>Martin, Molly</t>
  </si>
  <si>
    <t>Crawford, Christina</t>
  </si>
  <si>
    <t>Alviar, Christopher</t>
  </si>
  <si>
    <t>Rogers, Joshua</t>
  </si>
  <si>
    <t>Canner, Mark</t>
  </si>
  <si>
    <t>Babb, Amber, M</t>
  </si>
  <si>
    <t>Ray, Shelbie</t>
  </si>
  <si>
    <t>Howe, Kolton</t>
  </si>
  <si>
    <t>Blount, Gary</t>
  </si>
  <si>
    <t>Andryka, Caitlin</t>
  </si>
  <si>
    <t>Birchfield, Madelyne</t>
  </si>
  <si>
    <t>Stricklin, Amanda</t>
  </si>
  <si>
    <t>Elliott, Hayden, D</t>
  </si>
  <si>
    <t>White, Natalie</t>
  </si>
  <si>
    <t>Stephenson, Kaleigh</t>
  </si>
  <si>
    <t>Lovell, Zachary</t>
  </si>
  <si>
    <t>Costner, David,</t>
  </si>
  <si>
    <t>Nichols, Maranda</t>
  </si>
  <si>
    <t>Khalsa, Amrit</t>
  </si>
  <si>
    <t>Rhea, Brian, W</t>
  </si>
  <si>
    <t>Hobson, Kyla</t>
  </si>
  <si>
    <t>Earnest, Kira</t>
  </si>
  <si>
    <t>Braswell, Anna</t>
  </si>
  <si>
    <t>Maclin, Erika</t>
  </si>
  <si>
    <t>Luedders-East, Mishann</t>
  </si>
  <si>
    <t>Bowers, Charles</t>
  </si>
  <si>
    <t>Shipley, Caitlyn</t>
  </si>
  <si>
    <t>Madill, Mary</t>
  </si>
  <si>
    <t>Torrey, Larhonda</t>
  </si>
  <si>
    <t>Cole, Andrea</t>
  </si>
  <si>
    <t>Mcconnell, Michelle,</t>
  </si>
  <si>
    <t>Brittain, Morgan</t>
  </si>
  <si>
    <t>Oberholz, Laura</t>
  </si>
  <si>
    <t>Turner, Matthew, R</t>
  </si>
  <si>
    <t>Tarbutton, Mallory</t>
  </si>
  <si>
    <t>Dabbs, Jennifer</t>
  </si>
  <si>
    <t>Klein, Nicole</t>
  </si>
  <si>
    <t>Ranon, Shena</t>
  </si>
  <si>
    <t>Boyce, Tiffany</t>
  </si>
  <si>
    <t>Boles, Margaret</t>
  </si>
  <si>
    <t>Kiefer, Hanna</t>
  </si>
  <si>
    <t>Orison, Luke</t>
  </si>
  <si>
    <t>Barger, Taylor</t>
  </si>
  <si>
    <t>Morrison, Ladana</t>
  </si>
  <si>
    <t>Nichols, Alexis</t>
  </si>
  <si>
    <t>Watt, Jessica</t>
  </si>
  <si>
    <t>Poole, Brooks, Amanda</t>
  </si>
  <si>
    <t>Ramsey, Angela</t>
  </si>
  <si>
    <t>Dowell, Katie</t>
  </si>
  <si>
    <t>Gray, April,</t>
  </si>
  <si>
    <t>Washington, Keyisha</t>
  </si>
  <si>
    <t>Norris, Taylor</t>
  </si>
  <si>
    <t>Daniel, Karia</t>
  </si>
  <si>
    <t>Macdonald, Greta</t>
  </si>
  <si>
    <t>Moody, Kylee</t>
  </si>
  <si>
    <t>Hartman, Payton</t>
  </si>
  <si>
    <t>Hoskins, Lasonda,</t>
  </si>
  <si>
    <t>Halter, Taylor</t>
  </si>
  <si>
    <t>Lucius, Hailey</t>
  </si>
  <si>
    <t>Davis, Amber, M</t>
  </si>
  <si>
    <t>Davis, Skylar, K</t>
  </si>
  <si>
    <t>Snow, Shelby</t>
  </si>
  <si>
    <t>Barber, Jessica</t>
  </si>
  <si>
    <t>Hudson, Megan</t>
  </si>
  <si>
    <t>Jiang, Dongxia</t>
  </si>
  <si>
    <t>Carmical, Brandi</t>
  </si>
  <si>
    <t>Dennis, Sarah</t>
  </si>
  <si>
    <t>Salazar, Ana, C</t>
  </si>
  <si>
    <t>Brothers, Micah</t>
  </si>
  <si>
    <t>Zavalla, Richard, F</t>
  </si>
  <si>
    <t>Walker, Devan</t>
  </si>
  <si>
    <t>Armstrong, Carolyn</t>
  </si>
  <si>
    <t>Garner, Kimberly</t>
  </si>
  <si>
    <t>Nicholas,Weaver</t>
  </si>
  <si>
    <t>Davis, Eryn</t>
  </si>
  <si>
    <t>Gregory, Russell</t>
  </si>
  <si>
    <t>Evans, Christianna</t>
  </si>
  <si>
    <t>Vick, Tarah</t>
  </si>
  <si>
    <t>Thomas, Lee</t>
  </si>
  <si>
    <t>Craft, Porsche</t>
  </si>
  <si>
    <t>Green, Alia</t>
  </si>
  <si>
    <t>Moore, Mary, K</t>
  </si>
  <si>
    <t>Nosler, Jamie</t>
  </si>
  <si>
    <t>Crowell, Cassandra</t>
  </si>
  <si>
    <t>Mcclanahan, Kayla</t>
  </si>
  <si>
    <t>Riaz, Ayesha</t>
  </si>
  <si>
    <t>Gibbs, Sydni</t>
  </si>
  <si>
    <t>Davenport, Jeffrey</t>
  </si>
  <si>
    <t>Melo, Eva</t>
  </si>
  <si>
    <t>Harris, Molly, K</t>
  </si>
  <si>
    <t>Reynolds, Lindsey</t>
  </si>
  <si>
    <t>Voegele, Hannah, M</t>
  </si>
  <si>
    <t>Bryant, Terayia</t>
  </si>
  <si>
    <t>Fowler, Caitlin</t>
  </si>
  <si>
    <t>Gill, Jason</t>
  </si>
  <si>
    <t>Blythe, Jordan</t>
  </si>
  <si>
    <t>Pinkerton, Sara, M</t>
  </si>
  <si>
    <t>Khalaf, Antoine</t>
  </si>
  <si>
    <t>Martin, Jake</t>
  </si>
  <si>
    <t>Nesdahl, Gregory</t>
  </si>
  <si>
    <t>Williams, Latrice</t>
  </si>
  <si>
    <t>Civera, Emily G</t>
  </si>
  <si>
    <t>Roberts, Emma, K</t>
  </si>
  <si>
    <t>Drake, Jana</t>
  </si>
  <si>
    <t>Pate, Tara, R</t>
  </si>
  <si>
    <t>Purchase, Christopher</t>
  </si>
  <si>
    <t>Wade, Amber</t>
  </si>
  <si>
    <t>Roberts, Jenna</t>
  </si>
  <si>
    <t>Thomason, Kaitlyn, A</t>
  </si>
  <si>
    <t>Payne, Portia</t>
  </si>
  <si>
    <t>Sills, Joy</t>
  </si>
  <si>
    <t>Shaw, Sarah</t>
  </si>
  <si>
    <t>Estes, Mercedes</t>
  </si>
  <si>
    <t>Van Hilst, Christina</t>
  </si>
  <si>
    <t>Mullins, James E</t>
  </si>
  <si>
    <t>Cannon, Natalie</t>
  </si>
  <si>
    <t>Elliott, Jocelyn</t>
  </si>
  <si>
    <t>Kwon, Gregory,</t>
  </si>
  <si>
    <t>Vang, Kashia</t>
  </si>
  <si>
    <t>Chavez, Alice</t>
  </si>
  <si>
    <t>Throne, Andrew, B</t>
  </si>
  <si>
    <t>Pair, Colby</t>
  </si>
  <si>
    <t>Mishler, Nelson</t>
  </si>
  <si>
    <t>Mccook, Paige</t>
  </si>
  <si>
    <t>Hay, Vicky</t>
  </si>
  <si>
    <t>Montgomery, Ebony</t>
  </si>
  <si>
    <t>Mocan, Brigette</t>
  </si>
  <si>
    <t>Clark, Annie</t>
  </si>
  <si>
    <t>Jenkins, Amy</t>
  </si>
  <si>
    <t>Holman, Douglas</t>
  </si>
  <si>
    <t>Peters, Edwina</t>
  </si>
  <si>
    <t>Copley, Amanda</t>
  </si>
  <si>
    <t>Crone, Allison</t>
  </si>
  <si>
    <t>Yoder, Nicole</t>
  </si>
  <si>
    <t>Henley, Lindsey,</t>
  </si>
  <si>
    <t>Long, Michaela</t>
  </si>
  <si>
    <t>Qureshi, Iram,</t>
  </si>
  <si>
    <t>Williams, Kimberly,</t>
  </si>
  <si>
    <t>Davison, Kelsi</t>
  </si>
  <si>
    <t>Mccrary, Alyssa, K</t>
  </si>
  <si>
    <t>Hageman, Linda</t>
  </si>
  <si>
    <t>Sunderland, Jennifer</t>
  </si>
  <si>
    <t>Collier, Priscilla</t>
  </si>
  <si>
    <t>Hensley, Crystal</t>
  </si>
  <si>
    <t>Peters, Vanessa</t>
  </si>
  <si>
    <t>Rodriguez, Carlos</t>
  </si>
  <si>
    <t>Barmieier, Ceara</t>
  </si>
  <si>
    <t>Farnam, Natasha</t>
  </si>
  <si>
    <t>Smith, Claire</t>
  </si>
  <si>
    <t>Selanders, Mary, E</t>
  </si>
  <si>
    <t>Wiles, Brittnay</t>
  </si>
  <si>
    <t>Work, Parker</t>
  </si>
  <si>
    <t>Mattox, Sarah</t>
  </si>
  <si>
    <t>Champion, Dominique, F</t>
  </si>
  <si>
    <t>Hendrix, Abbie</t>
  </si>
  <si>
    <t>Armour, Karen</t>
  </si>
  <si>
    <t>Mcmahon, Morgan,</t>
  </si>
  <si>
    <t>Prashanth, Bhat</t>
  </si>
  <si>
    <t>Morris, Jyrmiah,</t>
  </si>
  <si>
    <t>Martinez, Vanessa,</t>
  </si>
  <si>
    <t>Williams, Nikki</t>
  </si>
  <si>
    <t>Cagle, Jamie</t>
  </si>
  <si>
    <t>Elswick, Amanda</t>
  </si>
  <si>
    <t>Brown, Lela</t>
  </si>
  <si>
    <t>Dieckman, Julianne</t>
  </si>
  <si>
    <t>Petersen, Lena</t>
  </si>
  <si>
    <t>Wallace, Madison</t>
  </si>
  <si>
    <t>Purcell-Houck, Kimberly</t>
  </si>
  <si>
    <t>Wilson, Megan, A</t>
  </si>
  <si>
    <t>Salguero, Martha</t>
  </si>
  <si>
    <t>Janese</t>
  </si>
  <si>
    <t>Waters, Caitlin</t>
  </si>
  <si>
    <t>Sommer, Brian</t>
  </si>
  <si>
    <t>Hanks, David</t>
  </si>
  <si>
    <t>Shepherd, Jena</t>
  </si>
  <si>
    <t>Witherspoon, Maria, C</t>
  </si>
  <si>
    <t>Hourieh, Sami, H</t>
  </si>
  <si>
    <t>Hewitt, Brooke, H</t>
  </si>
  <si>
    <t>Shona Tillis</t>
  </si>
  <si>
    <t>Rawlins, Sekou, A</t>
  </si>
  <si>
    <t>Stultz, Heather</t>
  </si>
  <si>
    <t>Homan, Saundra</t>
  </si>
  <si>
    <t>Cole, Brittnee</t>
  </si>
  <si>
    <t>Pellerin, Michelle</t>
  </si>
  <si>
    <t>Mcguire, Gabriel</t>
  </si>
  <si>
    <t>Bell, Louis, J</t>
  </si>
  <si>
    <t>Deloney, Kristina</t>
  </si>
  <si>
    <t>Bethell, Bailey</t>
  </si>
  <si>
    <t>Rivera, Adriana, C</t>
  </si>
  <si>
    <t>Newhart, Hamilton</t>
  </si>
  <si>
    <t>Christopher, Danyelle</t>
  </si>
  <si>
    <t>Droste, Lindsey</t>
  </si>
  <si>
    <t>Harmon, Matthew, M</t>
  </si>
  <si>
    <t>Mcdaniel, Lacey</t>
  </si>
  <si>
    <t>Butler, Helen</t>
  </si>
  <si>
    <t>Calaway, Sarah</t>
  </si>
  <si>
    <t>Dilday, Taylor</t>
  </si>
  <si>
    <t>Scheibel, Emily</t>
  </si>
  <si>
    <t>Smith, Amorie</t>
  </si>
  <si>
    <t>Foster, Sydney</t>
  </si>
  <si>
    <t>Verucchi, Matthew</t>
  </si>
  <si>
    <t>Carley Daigle</t>
  </si>
  <si>
    <t>King, Kristen</t>
  </si>
  <si>
    <t>Polisetty, Harika, L</t>
  </si>
  <si>
    <t>Burke, Christi, L</t>
  </si>
  <si>
    <t>Fairchild, Ashley</t>
  </si>
  <si>
    <t>Bean, Neelie</t>
  </si>
  <si>
    <t>Langster, Holly</t>
  </si>
  <si>
    <t>Hemphill, Emily</t>
  </si>
  <si>
    <t>Caldarera, Michaela</t>
  </si>
  <si>
    <t>Irizarry, Timothy</t>
  </si>
  <si>
    <t>Holloway, Barry</t>
  </si>
  <si>
    <t>Oliver, Taylor</t>
  </si>
  <si>
    <t>Lisonbee, James</t>
  </si>
  <si>
    <t>Jeffrey, Harry, A</t>
  </si>
  <si>
    <t>Drew, Danny</t>
  </si>
  <si>
    <t>Busby, Kristen</t>
  </si>
  <si>
    <t>Smith, Sandericka</t>
  </si>
  <si>
    <t>Dang, Long</t>
  </si>
  <si>
    <t>Cornelius, Elizabeth,</t>
  </si>
  <si>
    <t>Atkinson, Cassandra</t>
  </si>
  <si>
    <t>Chavers, Madison</t>
  </si>
  <si>
    <t>Stancil, Vicki</t>
  </si>
  <si>
    <t>Allen, Kim</t>
  </si>
  <si>
    <t>Elder, Jessica</t>
  </si>
  <si>
    <t>Houart, Khali,</t>
  </si>
  <si>
    <t>Henderson, Catherine</t>
  </si>
  <si>
    <t>Hanson, Shelby,</t>
  </si>
  <si>
    <t>Raymer, Clint</t>
  </si>
  <si>
    <t>Clark, Peyton</t>
  </si>
  <si>
    <t>Di Lulo, Kylie</t>
  </si>
  <si>
    <t>Wintz, Bridget</t>
  </si>
  <si>
    <t>Markell, Evan</t>
  </si>
  <si>
    <t>Permenter, Cara</t>
  </si>
  <si>
    <t>Raswant, Ujjwal Karan</t>
  </si>
  <si>
    <t>Sather, Alexandra</t>
  </si>
  <si>
    <t>Waymire, Patric</t>
  </si>
  <si>
    <t>Mulkerins, Georgia</t>
  </si>
  <si>
    <t>Vogel, Jonalee</t>
  </si>
  <si>
    <t>Boshears, Zoe</t>
  </si>
  <si>
    <t>Nelson, Laurie</t>
  </si>
  <si>
    <t>Kennon, Brooke</t>
  </si>
  <si>
    <t>Harrison, Jordan, P</t>
  </si>
  <si>
    <t>Oguin, Michaela</t>
  </si>
  <si>
    <t>Sims, Lauren, N</t>
  </si>
  <si>
    <t>Pierce, Camryn</t>
  </si>
  <si>
    <t>Dillard, Lyndsey</t>
  </si>
  <si>
    <t>Davis, Katelyn, B</t>
  </si>
  <si>
    <t>Barnett, William</t>
  </si>
  <si>
    <t>Summers, Teresa</t>
  </si>
  <si>
    <t>Bates, Rachel</t>
  </si>
  <si>
    <t>Amargos Zayas, Jean</t>
  </si>
  <si>
    <t>West, Carlee, B</t>
  </si>
  <si>
    <t>Williams, Shymeka</t>
  </si>
  <si>
    <t>Taylor, Chad, D</t>
  </si>
  <si>
    <t>Rhodes, Leslie</t>
  </si>
  <si>
    <t>Masri, Abdelrahman,</t>
  </si>
  <si>
    <t>Little, Jessie, R</t>
  </si>
  <si>
    <t>Powers, David W</t>
  </si>
  <si>
    <t>Cowan, James</t>
  </si>
  <si>
    <t>Stevenson, Sharon</t>
  </si>
  <si>
    <t>Gulati, Ish</t>
  </si>
  <si>
    <t>Patil, Nikita,</t>
  </si>
  <si>
    <t>Mcdougall Kestner, Valerie</t>
  </si>
  <si>
    <t>Reagan, Kimberly</t>
  </si>
  <si>
    <t>Todd, Emily</t>
  </si>
  <si>
    <t>Joiner, Priscilla</t>
  </si>
  <si>
    <t>Flaherty, Ryan, M</t>
  </si>
  <si>
    <t>Deel, Matthew, W</t>
  </si>
  <si>
    <t>Symons, Nadine</t>
  </si>
  <si>
    <t>Tilly, Collette, M</t>
  </si>
  <si>
    <t>Shaw, Anna</t>
  </si>
  <si>
    <t>Fitzhugh, Wellesley</t>
  </si>
  <si>
    <t>Block, John, B</t>
  </si>
  <si>
    <t>Doak, Evelyn</t>
  </si>
  <si>
    <t>Bledsoe, Mary, C</t>
  </si>
  <si>
    <t>Hester, Allison</t>
  </si>
  <si>
    <t>Bird, Lindsey</t>
  </si>
  <si>
    <t>Ward, Kelley</t>
  </si>
  <si>
    <t>Bryan, Elizabeth</t>
  </si>
  <si>
    <t>Butler, Porsha</t>
  </si>
  <si>
    <t>Smith-Young, Jamila</t>
  </si>
  <si>
    <t>Williamson, Jonathan</t>
  </si>
  <si>
    <t>Waddell, Carly, S</t>
  </si>
  <si>
    <t>Sebastian, Andrea</t>
  </si>
  <si>
    <t>Ireland, Brittani</t>
  </si>
  <si>
    <t>Tappan, Whitney</t>
  </si>
  <si>
    <t>Shreve Doffin, Marilou</t>
  </si>
  <si>
    <t>Vo, Daniel</t>
  </si>
  <si>
    <t>Jones, Kelly</t>
  </si>
  <si>
    <t>Ibale, Justine, E</t>
  </si>
  <si>
    <t>Wimberly, Justin</t>
  </si>
  <si>
    <t>Ut Lebonheur Pediatric Specialists Inc - Hospitalist</t>
  </si>
  <si>
    <t>Franks, Haley</t>
  </si>
  <si>
    <t>Roach, Alexis</t>
  </si>
  <si>
    <t>Thomas, Biju</t>
  </si>
  <si>
    <t>Dale, Brianna</t>
  </si>
  <si>
    <t>Gilmore, Ginger</t>
  </si>
  <si>
    <t>Marrufo, Alexys</t>
  </si>
  <si>
    <t>Arnette, Julie</t>
  </si>
  <si>
    <t>Hogue, Sharon</t>
  </si>
  <si>
    <t>Walker, Amber</t>
  </si>
  <si>
    <t>Martin, Kyndall, G</t>
  </si>
  <si>
    <t>Mckane, Kayla</t>
  </si>
  <si>
    <t>Harlow, Mary</t>
  </si>
  <si>
    <t>Tillerson, Elbert</t>
  </si>
  <si>
    <t>Krulin, Gregory</t>
  </si>
  <si>
    <t>Davis, Victoria</t>
  </si>
  <si>
    <t>Stovall, Jessica</t>
  </si>
  <si>
    <t>Ahmed, Bashir</t>
  </si>
  <si>
    <t>Wheatley, Marsha</t>
  </si>
  <si>
    <t>Siddaiah, Roopa</t>
  </si>
  <si>
    <t>Alam, Syed</t>
  </si>
  <si>
    <t>Rusakow, Lee</t>
  </si>
  <si>
    <t>Spivey, John</t>
  </si>
  <si>
    <t>Tamayo, Francisco</t>
  </si>
  <si>
    <t>Petros, David</t>
  </si>
  <si>
    <t>Deneke, James</t>
  </si>
  <si>
    <t>Wine, Mallory</t>
  </si>
  <si>
    <t>Rankin, Randal</t>
  </si>
  <si>
    <t>Wright, Tara</t>
  </si>
  <si>
    <t>Hughes, Caitlyn</t>
  </si>
  <si>
    <t>James, Sarah Dalton</t>
  </si>
  <si>
    <t>Smith, Londyn</t>
  </si>
  <si>
    <t>Fitzhugh, Kayla</t>
  </si>
  <si>
    <t>Breckenridge, Mollie</t>
  </si>
  <si>
    <t>King, Cinnamon</t>
  </si>
  <si>
    <t>Smith, Brittany,</t>
  </si>
  <si>
    <t>Martin, Cassie</t>
  </si>
  <si>
    <t>Haddix, Vicki</t>
  </si>
  <si>
    <t>Long, Harriett,</t>
  </si>
  <si>
    <t>Pippin, Brandi</t>
  </si>
  <si>
    <t>Henley, Taylor</t>
  </si>
  <si>
    <t>Ackett, Morgan</t>
  </si>
  <si>
    <t>Wilcox, Robin,</t>
  </si>
  <si>
    <t>Livingston, Amy</t>
  </si>
  <si>
    <t>Browning, Robin</t>
  </si>
  <si>
    <t>Greig, Patricia</t>
  </si>
  <si>
    <t>Bradford, Haleigh</t>
  </si>
  <si>
    <t>Myers, Kimberly</t>
  </si>
  <si>
    <t>Lott, Olivia</t>
  </si>
  <si>
    <t>Ragland, Chelsea</t>
  </si>
  <si>
    <t>Still, Brianna</t>
  </si>
  <si>
    <t>Warrick, Elizabeth</t>
  </si>
  <si>
    <t>Laureles, Grace,</t>
  </si>
  <si>
    <t>Clark, Melissa</t>
  </si>
  <si>
    <t>Malone-Gilbert, Martha</t>
  </si>
  <si>
    <t>Sutton, Kelsey</t>
  </si>
  <si>
    <t>Godwin, Farrell</t>
  </si>
  <si>
    <t>Hindsley, Mallory</t>
  </si>
  <si>
    <t>Reames, Katherine,</t>
  </si>
  <si>
    <t>Brown, Jamie</t>
  </si>
  <si>
    <t>Woollen, Marietta,</t>
  </si>
  <si>
    <t>Schwander, Dorothy</t>
  </si>
  <si>
    <t>Moslander, Paige</t>
  </si>
  <si>
    <t>Eoff, Elizabeth,</t>
  </si>
  <si>
    <t>Childers, Alexis</t>
  </si>
  <si>
    <t>Prior, Mallory</t>
  </si>
  <si>
    <t>Allen, Alexia</t>
  </si>
  <si>
    <t>Mccombs, Makayla</t>
  </si>
  <si>
    <t>Fisher, Sarah</t>
  </si>
  <si>
    <t>Carter, Sara</t>
  </si>
  <si>
    <t>Pipkin, Katie,</t>
  </si>
  <si>
    <t>Ballinger, Tawni</t>
  </si>
  <si>
    <t>Price, Cassandra</t>
  </si>
  <si>
    <t>Smith, Ashley</t>
  </si>
  <si>
    <t>Gossett, Sarah</t>
  </si>
  <si>
    <t>Forte, Sydnie</t>
  </si>
  <si>
    <t>Gleghorn, Amber</t>
  </si>
  <si>
    <t>Lanier, Emily,</t>
  </si>
  <si>
    <t>Oswalt, Joseph</t>
  </si>
  <si>
    <t>Middleton, Sharon</t>
  </si>
  <si>
    <t>Mueller, Meredith</t>
  </si>
  <si>
    <t>Voight, Donna</t>
  </si>
  <si>
    <t>Prevoznik, Kendall</t>
  </si>
  <si>
    <t>Morrison, Cassidy</t>
  </si>
  <si>
    <t>Hahn, Emily</t>
  </si>
  <si>
    <t>Merritt, Jaycee,</t>
  </si>
  <si>
    <t>Marshall, Julie</t>
  </si>
  <si>
    <t>Camden, Andrea</t>
  </si>
  <si>
    <t>Nabors, Amy</t>
  </si>
  <si>
    <t>Doyel, Lauren</t>
  </si>
  <si>
    <t>Simpson, Ramona</t>
  </si>
  <si>
    <t>Hicks, Savannah,</t>
  </si>
  <si>
    <t>White, Ellen,</t>
  </si>
  <si>
    <t>Veit, Katherine</t>
  </si>
  <si>
    <t>Calhoon, Calista</t>
  </si>
  <si>
    <t>James, Brandon</t>
  </si>
  <si>
    <t>Chapman, Ainsley</t>
  </si>
  <si>
    <t>Taylor, Shannon,</t>
  </si>
  <si>
    <t>Luman, Makenzie</t>
  </si>
  <si>
    <t>Mathis, Haley</t>
  </si>
  <si>
    <t>Brockway, William</t>
  </si>
  <si>
    <t>Khaidakova, Galimat</t>
  </si>
  <si>
    <t>Pelliccio, Nicholas,</t>
  </si>
  <si>
    <t>Patrick, Donald</t>
  </si>
  <si>
    <t>Genoa Healthcare Llc</t>
  </si>
  <si>
    <t>West Side Pharmacy- Military Road Llc</t>
  </si>
  <si>
    <t>Genoa Healthcare</t>
  </si>
  <si>
    <t>Professional Pharmacy</t>
  </si>
  <si>
    <t>Genoa, A Qol Healthcare Company Llc</t>
  </si>
  <si>
    <t>Arch Street Rx, Llc</t>
  </si>
  <si>
    <t>Clearmed Solutions, Llc 7</t>
  </si>
  <si>
    <t>Genoa A Qol Healthcare Company Llc</t>
  </si>
  <si>
    <t>WALGREEN CO (&lt;UNAVAIL&gt;)</t>
  </si>
  <si>
    <t>Medical Supplies</t>
  </si>
  <si>
    <t>Walgreens location that has pharmacist on site, not solely DME.</t>
  </si>
  <si>
    <t>Objector's specific reason</t>
  </si>
  <si>
    <t>MAINLINE PHARMACY SERVICES INC (&lt;UNAVAIL&gt;)</t>
  </si>
  <si>
    <t>Not in ESI/Cigna Standard network</t>
  </si>
  <si>
    <t>Provider not being in network is not a valid reason to request removal.</t>
  </si>
  <si>
    <t>Objector's reason</t>
  </si>
  <si>
    <t>WEST SIDE PHARMACY INCORPORATED (&lt;UNAVAIL&gt;)</t>
  </si>
  <si>
    <t>Compounding Pharmacy</t>
  </si>
  <si>
    <t>Pharmacy offers standard services in addition to compounding. https://www.westsidepharmacybenton.com/</t>
  </si>
  <si>
    <t>Objector's reason verified</t>
  </si>
  <si>
    <t>MVP WARREN LLC (&lt;UNAVAIL&gt;)</t>
  </si>
  <si>
    <t xml:space="preserve">Objector's reason </t>
  </si>
  <si>
    <t>GENOA HEALTHCARE LLC (&lt;UNAVAIL&gt;)</t>
  </si>
  <si>
    <t xml:space="preserve">New To ESI </t>
  </si>
  <si>
    <t>Not open to general public- not retail.</t>
  </si>
  <si>
    <t>ARKANSAS UROLOGY, P.A. ()</t>
  </si>
  <si>
    <t>3336C0003X -Community/Retail Pharmacy</t>
  </si>
  <si>
    <t xml:space="preserve">Arkansas Urology Pharmacy only serves the clinic’s patients. </t>
  </si>
  <si>
    <t>RIVER VALLEY PRIMARY CARE SERVICES ()</t>
  </si>
  <si>
    <t xml:space="preserve">River Valley Pharmacy is a specialty pharmacy. </t>
  </si>
  <si>
    <t>GENOA HEALTHCARE LLC ()</t>
  </si>
  <si>
    <t>phone call</t>
  </si>
  <si>
    <t>WEST SIDE PHARMACY- MILITARY ROAD LLC ()</t>
  </si>
  <si>
    <t>MERCY HOSPITAL ROGERS (&lt;UNAVAIL&gt;)</t>
  </si>
  <si>
    <t>The correct NPI for a Pharmacy at this hospital location is 1326894288 but they confirmed they are a closed pharmacy</t>
  </si>
  <si>
    <t>TRUCARE PHARMACY LLC (&lt;UNAVAIL&gt;)</t>
  </si>
  <si>
    <t>Trucare pharmacy is a LTC pharmacy</t>
  </si>
  <si>
    <t>MERCY HOSPITAL FORT SMITH ()</t>
  </si>
  <si>
    <t>Said they were “not yet” a retail pharmacy but intended to soon</t>
  </si>
  <si>
    <t>PROFESSIONAL PHARMACY (&lt;UNAVAIL&gt;)</t>
  </si>
  <si>
    <t>Said they had a lot of prescriptions but not as many as Walgreens or Walmart.</t>
  </si>
  <si>
    <t>ARCH STREET RX, LLC ()</t>
  </si>
  <si>
    <t>ST. BERNARDS HOSPITAL INC (&lt;UNAVAIL&gt;)</t>
  </si>
  <si>
    <t># we had was to the hospital, I asked for the pharm. She said that they are not yet.</t>
  </si>
  <si>
    <t>ARCARE ()</t>
  </si>
  <si>
    <t>Clearly a retail pharmacy</t>
  </si>
  <si>
    <t>HEALTH-WAY PHARMACY, INC. ()</t>
  </si>
  <si>
    <t>CMS deactivated NPI 1679654818. The provider can no longer use this NPI. Our public registry does not display provider information about NPIs that are not in service.</t>
  </si>
  <si>
    <t>CLEAR MED SOLUTIONS LLC ()</t>
  </si>
  <si>
    <t>KABAFUSION AR, LLC (&lt;UNAVAIL&gt;)</t>
  </si>
  <si>
    <t xml:space="preserve">She said no, it is by referral. </t>
  </si>
  <si>
    <t>ARKANSAS METHODIST HOSP PHCY (&lt;UNAVAIL&gt;)</t>
  </si>
  <si>
    <t xml:space="preserve">All ARCare pharmacies are retail pharmacies. I verified on the website and I use one of their pharmacies. </t>
  </si>
  <si>
    <t>ARISA HEALTH, INC. (&lt;UNAVAIL&gt;)</t>
  </si>
  <si>
    <t>LTC, closed pharm</t>
  </si>
  <si>
    <t>CENTRAL ARKANSAS REHABILITATION ASSOCIATES, L.P. (&lt;UNAVAIL&gt;)</t>
  </si>
  <si>
    <t>Provider does not offer Cardiac Cath services.  This is an IP Physical Rehab facility.</t>
  </si>
  <si>
    <t>No Objector</t>
  </si>
  <si>
    <t>BAPTIST HEALTH ()</t>
  </si>
  <si>
    <t>Provider does not offer Cardiac Cath services.  This is an RHC Clinic</t>
  </si>
  <si>
    <t>LEO N LEVI MEMORIAL HOSPITAL ASSOCIATION ()</t>
  </si>
  <si>
    <t>Provider does not offer Cardiac Surgery services.  This NPI 1639346687 is an IP Physical Rehab facility.</t>
  </si>
  <si>
    <t>No longer operating as hospital as of 8/1/25. https://levihospital.com/</t>
  </si>
  <si>
    <t>Provider does not offer Cardiac Surgery services.  This is an IP Physical Rehab facility.</t>
  </si>
  <si>
    <t>Provider does not offer Cardiac Surgery services.  This is an RHC Clinic</t>
  </si>
  <si>
    <t>LONGBRANCH OUTPATIENT RECOVERY, LLC (&lt;UNAVAIL&gt;)</t>
  </si>
  <si>
    <t>Location is Metairie, LA. Well outside of any adequacy radius.</t>
  </si>
  <si>
    <t>Objector's reason vaiid</t>
  </si>
  <si>
    <t>Provider does not offer Mammography services.  This is an IP Rehab facility.</t>
  </si>
  <si>
    <t>BAPTIST HEALTH REGIONAL HOSPITALS (&lt;UNAVAIL&gt;)</t>
  </si>
  <si>
    <t>Provider does not offer Mammography services.  This is an RHC Clinic</t>
  </si>
  <si>
    <t>Listed NPI is not RHC, but Psych Unit. Not utilized for Mammography services.</t>
  </si>
  <si>
    <t>Provider does not offer Mammography services.  This NPI 1639346687 is an IP Physical Rehab facility.</t>
  </si>
  <si>
    <t>Provider does not offer Surgical services.  This NPI 1639346687 is an IP Physical Rehab facility.</t>
  </si>
  <si>
    <t>MENA HOSPITAL COMMISSION (&lt;UNAVAIL&gt;)</t>
  </si>
  <si>
    <t>This provider does not provide urgent care. The address listed are for an Acute Care Hospital</t>
  </si>
  <si>
    <t>NPI is only utilized for Mena Regional, not any urgent cares.</t>
  </si>
  <si>
    <t>MEHL, JOHN</t>
  </si>
  <si>
    <t>AID - Single issuer's classification disagreed with majority</t>
  </si>
  <si>
    <t>Practitioner is credentialed and listed on the Mercy roster as a cardiologist. https://www.mercy.net/doctor/kurt-mehl-md/</t>
  </si>
  <si>
    <t>OLAYA, JULIO</t>
  </si>
  <si>
    <t>Listed location is Arkansas Spine and Pain. Internal data shows practitioner is not located at this location. Pain treatment prac, not allergy/immunology. https://www.arkansasspineandpain.com/julio-olaya-md, Specialty is pain management. Not allergist</t>
  </si>
  <si>
    <t>Pain treatment prac, not allergy/immunology. https://www.arkansasspineandpain.com/julio-olaya-md, Specialty is pain management. Not allergist</t>
  </si>
  <si>
    <t>TUL LLAH, SIBGHAT</t>
  </si>
  <si>
    <t>Invasive Cardiologist and not allergy/immunology. No longer at CHI, and practicing in Saint Louis. https://www.linkedin.com/in/sibghat-tul-llah-3bba7858</t>
  </si>
  <si>
    <t>PATTANAIK, DEBENDRA</t>
  </si>
  <si>
    <t>Provider is listed and credentialed as practicing rheumatology. https://provider-search.methodisthealth.org/details/276</t>
  </si>
  <si>
    <t>YUNUS, NAUMAN</t>
  </si>
  <si>
    <t>Practitioner is listed and credentialed as Internal Medicine and practices as a hospitalist. https://www.jrmc.org/providers/nauman-yunus-md-facp/</t>
  </si>
  <si>
    <t>ILYAS, MOHAMMED</t>
  </si>
  <si>
    <t>Listed on UAMS roster as Pediatric Nephrologist, not allergy/immunology. https://uamshealth.com/provider/mohammad-ilyas/</t>
  </si>
  <si>
    <t>KITCHAROENSAKKUL, MALEEWAN</t>
  </si>
  <si>
    <t>KHANZADA, MOHAMMED</t>
  </si>
  <si>
    <t>Listed location is Pain Treatment Centers of America. Internal data shows practitioner located elsewhere. Pain treatment prac, not allergy/immunology. https://www.ptcoa.com/dr-mohammed-khanzada</t>
  </si>
  <si>
    <t>Pain treatment prac, not allergy/immunology. https://www.ptcoa.com/dr-mohammed-khanzada</t>
  </si>
  <si>
    <t>HUTCHESON, JAMES</t>
  </si>
  <si>
    <t>Practitioner is listed and credentialed as Otolaryngology, not allergy/immunology. https://www.christushealth.org/find-a-doctor/james-hutcheson-77233</t>
  </si>
  <si>
    <t>RYAN, SCOTT</t>
  </si>
  <si>
    <t>Not license in AR, AID - Single issuer's classification disagreed with majority</t>
  </si>
  <si>
    <t>Credentialed and listed on website as vascular surgeon. https://www.arheart.com/doctor/scott-ryan-md/</t>
  </si>
  <si>
    <t>BAVINENI, MAHESH</t>
  </si>
  <si>
    <t>DICUS, GEORGE</t>
  </si>
  <si>
    <t>ASKARI, RAZA</t>
  </si>
  <si>
    <t>Active network practitioner</t>
  </si>
  <si>
    <t>BALLWEG, JEAN</t>
  </si>
  <si>
    <t>Superspecialized cardiology</t>
  </si>
  <si>
    <t>METTLER, BRET</t>
  </si>
  <si>
    <t>CONNERLY, ABIGAIL</t>
  </si>
  <si>
    <t>BETANCOR, JORGE</t>
  </si>
  <si>
    <t>MALKAWI, ABDALLAH</t>
  </si>
  <si>
    <t>RABORN, MICHAEL</t>
  </si>
  <si>
    <t>ROBBINS, EDWARD</t>
  </si>
  <si>
    <t>JOSEF, STANLEY</t>
  </si>
  <si>
    <t>FAZ, GABRIEL</t>
  </si>
  <si>
    <t>AGNONE, JOHN</t>
  </si>
  <si>
    <t>WOOD, RUSSELL</t>
  </si>
  <si>
    <t>AGRAWAL, SUBODH</t>
  </si>
  <si>
    <t>Not board certified in Arkansas for cardiology</t>
  </si>
  <si>
    <t>WOLF, BRADLEY</t>
  </si>
  <si>
    <t>KUMAR, ANIL</t>
  </si>
  <si>
    <t>ASMB: Thoracic/Cardiac Surgery</t>
  </si>
  <si>
    <t>PATTERSON, JAMES</t>
  </si>
  <si>
    <t>HAVDALA, JACK</t>
  </si>
  <si>
    <t>STAM, MARC</t>
  </si>
  <si>
    <t>MUDY, KAROL</t>
  </si>
  <si>
    <t>MEDURI, CHRISTOPHER</t>
  </si>
  <si>
    <t>RODRIGUEZ, SANDRA</t>
  </si>
  <si>
    <t>WARNER, ROBERT</t>
  </si>
  <si>
    <t>RUTLAND, JOSHUA</t>
  </si>
  <si>
    <t>GOLDBERG, JASON</t>
  </si>
  <si>
    <t>No objector &amp; inconclusive determinition</t>
  </si>
  <si>
    <t>HENDRICH, MATTHEW</t>
  </si>
  <si>
    <t>BEG, MOEEZULLAH</t>
  </si>
  <si>
    <t>FREELAND, KRISTOFER</t>
  </si>
  <si>
    <t>WARD, FORREST</t>
  </si>
  <si>
    <t>COOK, JENNIFER</t>
  </si>
  <si>
    <t>WANG, DAI-YUAN</t>
  </si>
  <si>
    <t>CHAUVIN, EDGAR</t>
  </si>
  <si>
    <t>BEASLEY, GARY</t>
  </si>
  <si>
    <t>HUDSON, HILTON</t>
  </si>
  <si>
    <t>CITRIN, BENJAMIN</t>
  </si>
  <si>
    <t>BHAMA, JAY</t>
  </si>
  <si>
    <t>ANANDAM, ANIL</t>
  </si>
  <si>
    <t>Taxonomy code not on list</t>
  </si>
  <si>
    <t>GOOTY, VASU</t>
  </si>
  <si>
    <t>Not known to practice in Arkansas</t>
  </si>
  <si>
    <t>NGUYEN, CINDY</t>
  </si>
  <si>
    <t>AID determination based on provider research</t>
  </si>
  <si>
    <t>No Objectors</t>
  </si>
  <si>
    <t>ISAACSON, MICHAEL</t>
  </si>
  <si>
    <t>MCDERMOTT, TIMOTHY</t>
  </si>
  <si>
    <t>BARRUS, BRYAN</t>
  </si>
  <si>
    <t>KENNEDY, DAMON</t>
  </si>
  <si>
    <t>ASMB: Cardiothoracic Surgery</t>
  </si>
  <si>
    <t>MUNNS, JAMES</t>
  </si>
  <si>
    <t>FLETCHER, ANTHONY</t>
  </si>
  <si>
    <t>SEIB, PAUL</t>
  </si>
  <si>
    <t>TOMPKINS, WILLIAM</t>
  </si>
  <si>
    <t>BORNEMEIER, RENEE</t>
  </si>
  <si>
    <t>GEIGER, JANET</t>
  </si>
  <si>
    <t>KAJITANI, MICHIO</t>
  </si>
  <si>
    <t>BACKS, MEAGAN</t>
  </si>
  <si>
    <t>Based on recent voting</t>
  </si>
  <si>
    <t>SMITH, RONALD</t>
  </si>
  <si>
    <t>NACHTIGAL, KENT</t>
  </si>
  <si>
    <t>MOSS, MARIE</t>
  </si>
  <si>
    <t>ECKERT, MICHELLE</t>
  </si>
  <si>
    <t>SWETNAM, JEFFREY</t>
  </si>
  <si>
    <t>GIBSON, VANESSA</t>
  </si>
  <si>
    <t>No Objector &amp; inconclusive determinition</t>
  </si>
  <si>
    <t>COOK, JOHN</t>
  </si>
  <si>
    <t>FORESTIERE, LEE</t>
  </si>
  <si>
    <t>HERRERA-VERDUGO, OCTAVIO</t>
  </si>
  <si>
    <t>STICKLEY, SHAUN</t>
  </si>
  <si>
    <t>STEVENSON, DANIEL</t>
  </si>
  <si>
    <t>WRIGHT, MARK</t>
  </si>
  <si>
    <t>BUSBY, JOHN</t>
  </si>
  <si>
    <t>ANGTUACO, SYLVIA</t>
  </si>
  <si>
    <t>VIPPARTHY, SHARATH</t>
  </si>
  <si>
    <t>SHIRES, COURTNEY</t>
  </si>
  <si>
    <t>TAGGARSE, AMIT</t>
  </si>
  <si>
    <t>CHAMARIA, SURBHI</t>
  </si>
  <si>
    <t>BARONE, CLAUDIA</t>
  </si>
  <si>
    <t>TSHIBAKA, CIMENGA</t>
  </si>
  <si>
    <t>MOURSI, MOHAMMED</t>
  </si>
  <si>
    <t>HEMMATI, POUYA</t>
  </si>
  <si>
    <t>BARONE, GARY</t>
  </si>
  <si>
    <t>WRIGHT, BENNIE</t>
  </si>
  <si>
    <t>WILSON, JACOB</t>
  </si>
  <si>
    <t>REED, SAMUEL</t>
  </si>
  <si>
    <t>GILILLAND, DEREK</t>
  </si>
  <si>
    <t>RIVERA PAGAN, CARLOS</t>
  </si>
  <si>
    <t>MITCHELL, PAIGE</t>
  </si>
  <si>
    <t>YORK, THOMAS</t>
  </si>
  <si>
    <t>WHEELER, JEROD</t>
  </si>
  <si>
    <t>FRERICHS, HALEY</t>
  </si>
  <si>
    <t>DUFFY, EMILY</t>
  </si>
  <si>
    <t>MANN, ASHLEY</t>
  </si>
  <si>
    <t>WALLIS, TONI</t>
  </si>
  <si>
    <t>HOWELL, KENDREA</t>
  </si>
  <si>
    <t>CRUMPLER, JACOB</t>
  </si>
  <si>
    <t>PETRELLA, JOSEPH</t>
  </si>
  <si>
    <t>KERSHNER, CHRISTOPHER</t>
  </si>
  <si>
    <t>WATERLOO, KEVIN</t>
  </si>
  <si>
    <t>LAZENBY, MARK</t>
  </si>
  <si>
    <t>SMITH, RILEY</t>
  </si>
  <si>
    <t>REEVES, JOSHUA</t>
  </si>
  <si>
    <t>BALTZ, KARLA</t>
  </si>
  <si>
    <t>improperly listed in NPPES Data</t>
  </si>
  <si>
    <t>In contract, Provider is a dentist</t>
  </si>
  <si>
    <t>Dr. Karla T Baltz – Trusted Dentist in 72455 | American Dental Association</t>
  </si>
  <si>
    <t>CHINN, HARRY</t>
  </si>
  <si>
    <t>No longer practicing</t>
  </si>
  <si>
    <t>HOANG, QUOCVIET</t>
  </si>
  <si>
    <t>MITCHELL, JACOB</t>
  </si>
  <si>
    <t>THANE, JOHN</t>
  </si>
  <si>
    <t>CROW, CALEB</t>
  </si>
  <si>
    <t>JONES, GARY</t>
  </si>
  <si>
    <t>PEARSON, MACKENZIE</t>
  </si>
  <si>
    <t xml:space="preserve">New Provider, </t>
  </si>
  <si>
    <t>BENSON, JOSEPH</t>
  </si>
  <si>
    <t>CROW, ABIGAIL</t>
  </si>
  <si>
    <t>ROGERS, TAYLOR</t>
  </si>
  <si>
    <t>WIGGINS, DAVID</t>
  </si>
  <si>
    <t>DAVIS, JOHN</t>
  </si>
  <si>
    <t>Out of service area</t>
  </si>
  <si>
    <t>KENNY, DUSTIN</t>
  </si>
  <si>
    <t>SMITH, MICHAEL</t>
  </si>
  <si>
    <t>MITCHELL, MASON</t>
  </si>
  <si>
    <t>GARNETT, PEYTON</t>
  </si>
  <si>
    <t>CATRON, CONNOR</t>
  </si>
  <si>
    <t>HALVERSEN, GEOFFREY</t>
  </si>
  <si>
    <t>HUBBARD, RONALD</t>
  </si>
  <si>
    <t>No issues in NPPES found</t>
  </si>
  <si>
    <t>CRISWELL, BYRL</t>
  </si>
  <si>
    <t>RANKIN, KAYLA</t>
  </si>
  <si>
    <t>RASH, HAYDEN</t>
  </si>
  <si>
    <t>TANOUE, AMY</t>
  </si>
  <si>
    <t>XIAO, LUKANG</t>
  </si>
  <si>
    <t>In Contract.</t>
  </si>
  <si>
    <t>PARDO, ALEJANDRO</t>
  </si>
  <si>
    <t>RAKSTANG, JONATHAN</t>
  </si>
  <si>
    <t>Currently Practicing</t>
  </si>
  <si>
    <t>WELCH, JOAN</t>
  </si>
  <si>
    <t>AEBERSOLD, ANITA</t>
  </si>
  <si>
    <t>OVERCASH, CARL</t>
  </si>
  <si>
    <t>LLOYD, MICHAEL</t>
  </si>
  <si>
    <t>MCPHERSON, BRYCE</t>
  </si>
  <si>
    <t>JACOBS, AMANDA</t>
  </si>
  <si>
    <t>SIZEMORE, RACHEL</t>
  </si>
  <si>
    <t>Currently Licensed</t>
  </si>
  <si>
    <t>ANDREWS, CHLOE</t>
  </si>
  <si>
    <t>WIEDOWER, RICHARD</t>
  </si>
  <si>
    <t>JORDAN, JESSICA</t>
  </si>
  <si>
    <t>SINADA, NAIF</t>
  </si>
  <si>
    <t>SHEKARI, FIROOZEH</t>
  </si>
  <si>
    <t>KEENE, ROBERT</t>
  </si>
  <si>
    <t>BAGWELL, JANETTE</t>
  </si>
  <si>
    <t>WARD, RYAN</t>
  </si>
  <si>
    <t>GOODMAN, JOSIANA</t>
  </si>
  <si>
    <t>BOWEN, THOMAS</t>
  </si>
  <si>
    <t>AGRAWAL, PRIYATA</t>
  </si>
  <si>
    <t>LEAL, JOSHUA</t>
  </si>
  <si>
    <t>SPARLING, DEBORAH</t>
  </si>
  <si>
    <t>KAUR, HARPREET</t>
  </si>
  <si>
    <t>NORTCH, ZACHARY</t>
  </si>
  <si>
    <t>CLINTON MUNOZ, MICHELLE</t>
  </si>
  <si>
    <t>CULLENS, ROCKY</t>
  </si>
  <si>
    <t>MCCOY, SKYLER</t>
  </si>
  <si>
    <t>HASLETT, SUZANNE</t>
  </si>
  <si>
    <t>BUFFINGTON, JAMES</t>
  </si>
  <si>
    <t>ROSS, MARIM</t>
  </si>
  <si>
    <t>ROBBINS, THOMAS</t>
  </si>
  <si>
    <t>MATHEWS, PRIYA</t>
  </si>
  <si>
    <t>EKUNDAYO, BISI</t>
  </si>
  <si>
    <t>SANDERS, ALIX</t>
  </si>
  <si>
    <t>ALLEN, CLARKE</t>
  </si>
  <si>
    <t>WILLSON, KYNNEDY</t>
  </si>
  <si>
    <t>BURTON, JAMES</t>
  </si>
  <si>
    <t>JONES, M</t>
  </si>
  <si>
    <t>DALLISON, NOBLE</t>
  </si>
  <si>
    <t>KIMBROUGH, RANDAL</t>
  </si>
  <si>
    <t>ADENIYI, ADETOLA</t>
  </si>
  <si>
    <t>BENTON, BRANDON</t>
  </si>
  <si>
    <t>ChatGPT "last update recorded on April 9 2025"</t>
  </si>
  <si>
    <t>DOZIER, OLIVER</t>
  </si>
  <si>
    <t>SANTWANI, POOJA</t>
  </si>
  <si>
    <t>FAULKNER, PEYTON</t>
  </si>
  <si>
    <t>NGUYEN, VAN ANH</t>
  </si>
  <si>
    <t>EVANS, PAXTON</t>
  </si>
  <si>
    <t>BOLDING, BEAU</t>
  </si>
  <si>
    <t>KONDOS, THEODORE</t>
  </si>
  <si>
    <t>HAYNIE, BRACY</t>
  </si>
  <si>
    <t>BANNERMAN, STEPHEN</t>
  </si>
  <si>
    <t>THOMPSON, JORDAN</t>
  </si>
  <si>
    <t>HANBY, LUKE</t>
  </si>
  <si>
    <t>FORTENBERRY, ALAN</t>
  </si>
  <si>
    <t>KOONTZ, JUSTIN</t>
  </si>
  <si>
    <t>BLICKENSTAFF, KOHL</t>
  </si>
  <si>
    <t>FRANKLIN, JONATHAN</t>
  </si>
  <si>
    <t>WILLIAMS, JUSTUS</t>
  </si>
  <si>
    <t>GARNER, TAYLOR</t>
  </si>
  <si>
    <t>LEE, JOHN</t>
  </si>
  <si>
    <t>SALAZAR RIOS, ALMA</t>
  </si>
  <si>
    <t>WENDLING, MEREDITH</t>
  </si>
  <si>
    <t>CAMPBELL, JEROLD</t>
  </si>
  <si>
    <t>NEY, MARSHALL</t>
  </si>
  <si>
    <t>YASIN, MAMDOUH</t>
  </si>
  <si>
    <t>HARRIS, SAMUEL</t>
  </si>
  <si>
    <t>SCHULTZ, SHELBY</t>
  </si>
  <si>
    <t>CARROLL, PATRICK</t>
  </si>
  <si>
    <t>ZIMMEREBNER, SCOTT</t>
  </si>
  <si>
    <t>ROYE, JONATHAN</t>
  </si>
  <si>
    <t>HARDGRAVE, NATALIA</t>
  </si>
  <si>
    <t>FELLER, SHARON</t>
  </si>
  <si>
    <t>MORRISON, STEVEN</t>
  </si>
  <si>
    <t>HALL, LAUREN</t>
  </si>
  <si>
    <t>TERRY, DOUGLAS</t>
  </si>
  <si>
    <t>MACK, JASMINE</t>
  </si>
  <si>
    <t>JOHNSTON, RACHEL</t>
  </si>
  <si>
    <t>BREWER, DAVID</t>
  </si>
  <si>
    <t>SANFORD, SHELLEY</t>
  </si>
  <si>
    <t>PHILLIPS, DAVID</t>
  </si>
  <si>
    <t>TAYLOR, LUKE</t>
  </si>
  <si>
    <t>LOUIS, LAUREN</t>
  </si>
  <si>
    <t>DOVE, JAMES</t>
  </si>
  <si>
    <t>WEBB, ROBERT</t>
  </si>
  <si>
    <t>TURNIER, GARY</t>
  </si>
  <si>
    <t>HOSKINS, MATTHEW</t>
  </si>
  <si>
    <t>SEVERNS, CYRIL</t>
  </si>
  <si>
    <t>HILTON, MARY</t>
  </si>
  <si>
    <t>WALKER, KRISTY</t>
  </si>
  <si>
    <t>SIMMONS, JENNY</t>
  </si>
  <si>
    <t>GALE, BRENDI</t>
  </si>
  <si>
    <t>MCKINNEY, TERESA</t>
  </si>
  <si>
    <t>SMITH, ARNOLD</t>
  </si>
  <si>
    <t>JOHNSON, JENNIFER</t>
  </si>
  <si>
    <t>BARNARD, JOSEPH</t>
  </si>
  <si>
    <t>Family medicine practitioner based on internal credentialing informtion and provider website. https://www.ozarkshealthcare.com/find-a-doctor/profile/joseph-barnard/</t>
  </si>
  <si>
    <t>GUPTA, PRATEEK</t>
  </si>
  <si>
    <t>CHOATE, RACHEL</t>
  </si>
  <si>
    <t>Under contract. Per TIN and website provider works at Russell Dermatology Of Conway, PLLC</t>
  </si>
  <si>
    <t>Is a nurse so objector's reason is invalid</t>
  </si>
  <si>
    <t>SOOK, TONYA</t>
  </si>
  <si>
    <t>YOUNIS, NAVEED</t>
  </si>
  <si>
    <t>MELOY, ANTHONY</t>
  </si>
  <si>
    <t>CONOVER, RANDY</t>
  </si>
  <si>
    <t>MURAD, SIKANDAR</t>
  </si>
  <si>
    <t>FOX, PATRICK</t>
  </si>
  <si>
    <t>WRIGHT, GARY</t>
  </si>
  <si>
    <t>AWAN, MONAM</t>
  </si>
  <si>
    <t>COOPER, SHANNON</t>
  </si>
  <si>
    <t>THORPE, WILLIAM</t>
  </si>
  <si>
    <t>HENDERSON, NATHAN</t>
  </si>
  <si>
    <t>RICHARDSON, JESSICA</t>
  </si>
  <si>
    <t>Not a physician</t>
  </si>
  <si>
    <t>BEST, AARON</t>
  </si>
  <si>
    <t>HASHMI, SHAKEB</t>
  </si>
  <si>
    <t>DALATI, FAKHRI</t>
  </si>
  <si>
    <t>GRISHAM, DANNETTA</t>
  </si>
  <si>
    <t>MCCRARY, MARK</t>
  </si>
  <si>
    <t>WOOD-KATZ, MELISSA</t>
  </si>
  <si>
    <t>GRAY, GEORGE</t>
  </si>
  <si>
    <t>PRATHER, KENNETH</t>
  </si>
  <si>
    <t>TRAINOR, ARLEIGH</t>
  </si>
  <si>
    <t>LABUDA, SARAH</t>
  </si>
  <si>
    <t>KACHOWSKI, LARISA</t>
  </si>
  <si>
    <t>MEENA, NIKHIL</t>
  </si>
  <si>
    <t>CURFMAN, ALISON</t>
  </si>
  <si>
    <t>SIMPSON, SAM</t>
  </si>
  <si>
    <t>BEARD, CHARLES</t>
  </si>
  <si>
    <t>GREENWOOD, DAVID</t>
  </si>
  <si>
    <t>CANADA, ROBERT</t>
  </si>
  <si>
    <t>LEVY, SONIA</t>
  </si>
  <si>
    <t>GRAY, DALTON</t>
  </si>
  <si>
    <t>SANDNESS, DORCAS</t>
  </si>
  <si>
    <t>LONG, ANDREW</t>
  </si>
  <si>
    <t>O'SHEA, JEREMY</t>
  </si>
  <si>
    <t>EDE, CHINEDU</t>
  </si>
  <si>
    <t>LEIBROCK, HAYDEN</t>
  </si>
  <si>
    <t>NASEER, ADNAN</t>
  </si>
  <si>
    <t>ALAM, EJAZ</t>
  </si>
  <si>
    <t>SWEATT, JOHN</t>
  </si>
  <si>
    <t>ASMB: Family Medicine (PCP Adult)</t>
  </si>
  <si>
    <t>HUGHES, STEPHEN</t>
  </si>
  <si>
    <t>CESARE, CHARLES</t>
  </si>
  <si>
    <t>KLEVENS, MICHAEL</t>
  </si>
  <si>
    <t>GOODMAN, ROBIN</t>
  </si>
  <si>
    <t>MOHIUDDIN, ABID</t>
  </si>
  <si>
    <t>NATHAN, BOOMI</t>
  </si>
  <si>
    <t>LEIBOVICI, SAMUEL</t>
  </si>
  <si>
    <t>DIAZ, KYLE</t>
  </si>
  <si>
    <t>FELZENBERG, EMILY</t>
  </si>
  <si>
    <t>BAGGS, JUSTIN</t>
  </si>
  <si>
    <t>PASSERO, MORGAN</t>
  </si>
  <si>
    <t>WHITE, ANDREW</t>
  </si>
  <si>
    <t>NOTO, ANTHONY</t>
  </si>
  <si>
    <t>CHELLAPPAN, SREE</t>
  </si>
  <si>
    <t>ARNOLD, GRIFFIN</t>
  </si>
  <si>
    <t>LAWRENCE, LARRY</t>
  </si>
  <si>
    <t>HALL, JAMES</t>
  </si>
  <si>
    <t>DIAMOND, KEVIN</t>
  </si>
  <si>
    <t>FARRIS, MARYSUE</t>
  </si>
  <si>
    <t>KHAN, SHAMA</t>
  </si>
  <si>
    <t>ALTAF, MOHSIN</t>
  </si>
  <si>
    <t>HENRIKSEN, JOHN</t>
  </si>
  <si>
    <t>JACKSON, MATTHEW</t>
  </si>
  <si>
    <t>ROCHELIN, DAVID</t>
  </si>
  <si>
    <t>STEVENS, JOHNNY</t>
  </si>
  <si>
    <t>LOCOCO, VINCENT</t>
  </si>
  <si>
    <t>WESTBROOK, SEPTEMBER</t>
  </si>
  <si>
    <t>WEISENBERG, BRIAN</t>
  </si>
  <si>
    <t>RICHTER, GRESHAM</t>
  </si>
  <si>
    <t>PATEL, NEAL</t>
  </si>
  <si>
    <t>GREITEN, LAWRENCE</t>
  </si>
  <si>
    <t>CHANG, JONATHAN</t>
  </si>
  <si>
    <t>SMITHERS, DREW</t>
  </si>
  <si>
    <t>WHITE, MELISSA</t>
  </si>
  <si>
    <t>LOCKHART WRIGHT, TRACEY</t>
  </si>
  <si>
    <t>PUMPHREY, CARLA</t>
  </si>
  <si>
    <t>FRANKLIN, SARAH</t>
  </si>
  <si>
    <t>GARCIA, SHAUN</t>
  </si>
  <si>
    <t>LAWSON, NICOLE</t>
  </si>
  <si>
    <t>DORROH, SCOTT</t>
  </si>
  <si>
    <t>KORNEGAY, SHELLIA</t>
  </si>
  <si>
    <t>MICHAEL, MINA</t>
  </si>
  <si>
    <t>SCHISSEL, BETH</t>
  </si>
  <si>
    <t>IRELAND, ASHLEY</t>
  </si>
  <si>
    <t xml:space="preserve">Active network practitioner, </t>
  </si>
  <si>
    <t>OUMEDDOUR, RAZIK</t>
  </si>
  <si>
    <t>MCMELLON, AMANDA</t>
  </si>
  <si>
    <t>LAMB, TRENT</t>
  </si>
  <si>
    <t>REDDY, VIJAYABHASKER</t>
  </si>
  <si>
    <t>CRABTREE, MICHAEL</t>
  </si>
  <si>
    <t>NIX, KASEY</t>
  </si>
  <si>
    <t>STILLS, DAVID</t>
  </si>
  <si>
    <t>KULPEKSA, JOSEPH</t>
  </si>
  <si>
    <t>RUST, STEFANIE</t>
  </si>
  <si>
    <t>SPARLING, MADELINE</t>
  </si>
  <si>
    <t>RAYBORN, CARI</t>
  </si>
  <si>
    <t>BATTEN, COLTON</t>
  </si>
  <si>
    <t>Confirmed objector reason</t>
  </si>
  <si>
    <t>COTNER, JAMES</t>
  </si>
  <si>
    <t>STUDDARD, JAMES</t>
  </si>
  <si>
    <t>CARLISLE, JOHN</t>
  </si>
  <si>
    <t>MAREADY, MATTHEW</t>
  </si>
  <si>
    <t>KHALIL, MUHAMMAD</t>
  </si>
  <si>
    <t>JOHNSON, JOHN</t>
  </si>
  <si>
    <t>PATEL, ANJALI</t>
  </si>
  <si>
    <t>SCOTT, JEFFREY</t>
  </si>
  <si>
    <t>BUCKLEY, DOUGLAS</t>
  </si>
  <si>
    <t>ANGLE, DONALD</t>
  </si>
  <si>
    <t>MARTIN, ANDREW</t>
  </si>
  <si>
    <t>CARLYLE, BENJAMIN</t>
  </si>
  <si>
    <t>DONDETI, RAJA SEKHAR REDDY</t>
  </si>
  <si>
    <t>PACE, PHILLIP</t>
  </si>
  <si>
    <t>JOLLY, SAMANTHA</t>
  </si>
  <si>
    <t>RASHEED, ANUM</t>
  </si>
  <si>
    <t>EPPERSON, JOEL</t>
  </si>
  <si>
    <t>BYRUM, JERRY</t>
  </si>
  <si>
    <t>FORREST, STEVEN</t>
  </si>
  <si>
    <t>HUETER, RYAN</t>
  </si>
  <si>
    <t>PATEL, PRIYAL</t>
  </si>
  <si>
    <t>Under contract. NPPES Emergency Med; per google Emer Med with Unity White County</t>
  </si>
  <si>
    <t>per https://www.unity-health.org/provider-directory/?specialty=Emergency%20medicine not listed in Emergency</t>
  </si>
  <si>
    <t>HENSON, BRANDI</t>
  </si>
  <si>
    <t>per https://www.unity-health.org/provider-directory/?specialty=Emergency%20medicine IS listed in Emergency</t>
  </si>
  <si>
    <t>BURKE, DANIEL</t>
  </si>
  <si>
    <t>GRUBBS, DANNY</t>
  </si>
  <si>
    <t>DIXON, DRUERY</t>
  </si>
  <si>
    <t>IRVING, RHONDA</t>
  </si>
  <si>
    <t>COHN, ARTHUR</t>
  </si>
  <si>
    <t>VOGLER, CAROLYN</t>
  </si>
  <si>
    <t>MINOR, SARAH</t>
  </si>
  <si>
    <t>PRITCHARD, SHARON</t>
  </si>
  <si>
    <t>SANDERS, LAURA</t>
  </si>
  <si>
    <t>BIRD, MIRFAT</t>
  </si>
  <si>
    <t>DOWELL, SHARON</t>
  </si>
  <si>
    <t>HASAN, RIMSHA</t>
  </si>
  <si>
    <t>HICKS, STEPHEN</t>
  </si>
  <si>
    <t>FIKE, ELIZABETH</t>
  </si>
  <si>
    <t>KESSIE, MELISSA</t>
  </si>
  <si>
    <t>REESE, JERRAD</t>
  </si>
  <si>
    <t>RICHARDSON, RACHEL</t>
  </si>
  <si>
    <t>IRWIN, ROBERT</t>
  </si>
  <si>
    <t>CHAMBERS, FRANKLIN</t>
  </si>
  <si>
    <t>BURR, NATALIE</t>
  </si>
  <si>
    <t>JOKERST, THOMAS</t>
  </si>
  <si>
    <t>STOCK, VANCE</t>
  </si>
  <si>
    <t>MORGAN, CHRISTOPHER</t>
  </si>
  <si>
    <t>BUTLER, CONNIE</t>
  </si>
  <si>
    <t>ASHBROOKS, DARRIN</t>
  </si>
  <si>
    <t>HAYNES, JACKSON</t>
  </si>
  <si>
    <t>BRASHEARS, CLAY</t>
  </si>
  <si>
    <t>GARRETT, DAVID</t>
  </si>
  <si>
    <t>DASS, SANJAY</t>
  </si>
  <si>
    <t>LYON, JACK</t>
  </si>
  <si>
    <t>WEAVER, MICHELLE</t>
  </si>
  <si>
    <t>FISHER, CHARALENE</t>
  </si>
  <si>
    <t>REYES, JOSE</t>
  </si>
  <si>
    <t>COATS, CANDI</t>
  </si>
  <si>
    <t>GAMBLE, ELIZABETH</t>
  </si>
  <si>
    <t>HUGHES, NECOLE</t>
  </si>
  <si>
    <t>KUMAR, SUDHIR</t>
  </si>
  <si>
    <t>DELOS SANTOS, NOEL</t>
  </si>
  <si>
    <t>BELL, DAN</t>
  </si>
  <si>
    <t>REBEIRO, EGBERT</t>
  </si>
  <si>
    <t>TREICHLER, DON</t>
  </si>
  <si>
    <t>CODY, STEPHANIE</t>
  </si>
  <si>
    <t>REED, MELINDA</t>
  </si>
  <si>
    <t>CHEN, YIDONG</t>
  </si>
  <si>
    <t>HEARN, JONATHAN</t>
  </si>
  <si>
    <t>AHMED, SAHIBZADA</t>
  </si>
  <si>
    <t>EASTEP, KEVIN</t>
  </si>
  <si>
    <t>FARRELL, JOSEPH</t>
  </si>
  <si>
    <t>MOTE, ANGELA</t>
  </si>
  <si>
    <t>KURA, RAGHUVEER</t>
  </si>
  <si>
    <t>HALL, ROBERT</t>
  </si>
  <si>
    <t>VU, PHU</t>
  </si>
  <si>
    <t>HERRING, JOHN</t>
  </si>
  <si>
    <t>BOYD, RODERICK</t>
  </si>
  <si>
    <t>KHAN, RIZWANA</t>
  </si>
  <si>
    <t>DYE, JAMES</t>
  </si>
  <si>
    <t>NARCISO, PHILIPP</t>
  </si>
  <si>
    <t>BURLESON, STANLEY</t>
  </si>
  <si>
    <t>MURDOCK, JAMES</t>
  </si>
  <si>
    <t>WEST, MARK</t>
  </si>
  <si>
    <t>SHAH, SHAHID</t>
  </si>
  <si>
    <t>GLASGOW, PHILLIP</t>
  </si>
  <si>
    <t>BOYD, DUSTY</t>
  </si>
  <si>
    <t>SANDERS, SCOTT</t>
  </si>
  <si>
    <t>DRISKILL, ANGELA</t>
  </si>
  <si>
    <t>BEARD, NAHUM</t>
  </si>
  <si>
    <t>HENDERSON, DAVID</t>
  </si>
  <si>
    <t>SPENCER, JASON</t>
  </si>
  <si>
    <t>ALSAEK, YASER</t>
  </si>
  <si>
    <t>WALKER, RIKKI</t>
  </si>
  <si>
    <t>ALBEE, BHAVIKA</t>
  </si>
  <si>
    <t>KENT, WILLIAM</t>
  </si>
  <si>
    <t>MARTIN, ROBERT</t>
  </si>
  <si>
    <t>KAYOMA, JOHN</t>
  </si>
  <si>
    <t>KELESHIAN, HAGOP</t>
  </si>
  <si>
    <t>MANYAM, SWAPNA</t>
  </si>
  <si>
    <t>MACK, JEFFERY</t>
  </si>
  <si>
    <t>MCCUTCHEON, JOSEPH</t>
  </si>
  <si>
    <t>MAULDIN, RACHEL</t>
  </si>
  <si>
    <t>HUBBARD, WILLIAM</t>
  </si>
  <si>
    <t>BRIMBERRY, RONALD</t>
  </si>
  <si>
    <t>TURBEVILLE, RICHARD</t>
  </si>
  <si>
    <t>BARR, MEREDITH</t>
  </si>
  <si>
    <t>SMITH, CLINTON</t>
  </si>
  <si>
    <t>OLADIPO, SIFAU</t>
  </si>
  <si>
    <t>GREGORY, JO ANNE</t>
  </si>
  <si>
    <t>HORSTMAN, CURTIS</t>
  </si>
  <si>
    <t>RAFATNIA, ALI</t>
  </si>
  <si>
    <t>LAGALY, WILLIAM</t>
  </si>
  <si>
    <t>HOLLAND, SCOTT</t>
  </si>
  <si>
    <t>ANDERSON, SCOTT</t>
  </si>
  <si>
    <t>FOSCUE, DAVID</t>
  </si>
  <si>
    <t>OGLESBY, JAMES</t>
  </si>
  <si>
    <t>TRACY, WALLACE</t>
  </si>
  <si>
    <t>MIERS, JANE</t>
  </si>
  <si>
    <t>ONUORA, AFAMEFUNA</t>
  </si>
  <si>
    <t>COOPER, JOHN</t>
  </si>
  <si>
    <t>PARSLEY, CAMERON</t>
  </si>
  <si>
    <t>CHEMTOB, JOSEF</t>
  </si>
  <si>
    <t>VANDOVER, JOHN</t>
  </si>
  <si>
    <t>BLANKERS, CHRISTIAN</t>
  </si>
  <si>
    <t>AHMED, RAMI</t>
  </si>
  <si>
    <t>EASTERDAY, THOMAS</t>
  </si>
  <si>
    <t>SHAH, SIDDHARTH</t>
  </si>
  <si>
    <t>MERCIER, DOUGLAS</t>
  </si>
  <si>
    <t>HUFFMAN, THOMAS</t>
  </si>
  <si>
    <t>ASMB: Emergency Medicine</t>
  </si>
  <si>
    <t>HERNANDEZ, JULIAN</t>
  </si>
  <si>
    <t>ABSI, MOHAMMED</t>
  </si>
  <si>
    <t>BOOKER, SHANNON</t>
  </si>
  <si>
    <t>EVANS, SAMUEL</t>
  </si>
  <si>
    <t>MOLLOY, ASHLEY</t>
  </si>
  <si>
    <t>HARGIS, ALEXANDER</t>
  </si>
  <si>
    <t>MACDONALD, EMMANUEL</t>
  </si>
  <si>
    <t>TAYLOR, ARTHUR</t>
  </si>
  <si>
    <t>SHETH, DIPAK</t>
  </si>
  <si>
    <t>NADEEM, SHAHID</t>
  </si>
  <si>
    <t>HOUSE, JOHN</t>
  </si>
  <si>
    <t>JAIN, SHOBHIT</t>
  </si>
  <si>
    <t>FREDRICKSON, ERIC</t>
  </si>
  <si>
    <t>BARROW, ANGELA</t>
  </si>
  <si>
    <t>CORLEY, ROBERT</t>
  </si>
  <si>
    <t>BROWN, CARRIE</t>
  </si>
  <si>
    <t>SHOTTS, CULBER</t>
  </si>
  <si>
    <t>RICHEY, JASON</t>
  </si>
  <si>
    <t>BARNETT, KEVIN</t>
  </si>
  <si>
    <t>DENTON, ROY</t>
  </si>
  <si>
    <t>SHAFER- FRANKS, CANDACE</t>
  </si>
  <si>
    <t>REED, JONATHAN</t>
  </si>
  <si>
    <t>WHITE, MICHAEL</t>
  </si>
  <si>
    <t>SAUL, JEREMY</t>
  </si>
  <si>
    <t>ARROYO, MAXIMILIANO</t>
  </si>
  <si>
    <t>HANSON, ALLYSON</t>
  </si>
  <si>
    <t>KING, JUSTIN</t>
  </si>
  <si>
    <t>BRADEN, LAWRENCE</t>
  </si>
  <si>
    <t>RUBIO, RONALD ANGELO</t>
  </si>
  <si>
    <t>KUO PECK, KAREN</t>
  </si>
  <si>
    <t>GRAHAM, CHARLES</t>
  </si>
  <si>
    <t>BENNETT, DANIEL</t>
  </si>
  <si>
    <t>JAMISON, NERIE</t>
  </si>
  <si>
    <t>OBI, EMMANUEL</t>
  </si>
  <si>
    <t>ANDELIN, PAUL</t>
  </si>
  <si>
    <t>WEISS, DAWN</t>
  </si>
  <si>
    <t>SALMON, OLAYIWOLA</t>
  </si>
  <si>
    <t>NATAKAL PAKEERAPPA, PRAVEEN</t>
  </si>
  <si>
    <t>MELLOY, BRIAN</t>
  </si>
  <si>
    <t>PIRTLE, STEPHEN</t>
  </si>
  <si>
    <t>ZIMMERMAN, STACY</t>
  </si>
  <si>
    <t>MITCHELL, BRUCE</t>
  </si>
  <si>
    <t>HENSON, GREGORY</t>
  </si>
  <si>
    <t>LIU, DANIEL</t>
  </si>
  <si>
    <t>ARSHAD, ABDULLAH</t>
  </si>
  <si>
    <t>BARNES, STEPHANIE</t>
  </si>
  <si>
    <t>SEXSON, JOHN</t>
  </si>
  <si>
    <t>ANDERSON, JARED</t>
  </si>
  <si>
    <t>ITALIA, HIRENKUMAR</t>
  </si>
  <si>
    <t>REED, JEREMY</t>
  </si>
  <si>
    <t>DUBBAKA, THIRUMAL</t>
  </si>
  <si>
    <t>KOPPARAPU, ANIL</t>
  </si>
  <si>
    <t>SILVERI, PAUL</t>
  </si>
  <si>
    <t>POUNDERS, JOHN</t>
  </si>
  <si>
    <t>RUSSWORM, KEITH</t>
  </si>
  <si>
    <t>POWERS, JOSEPH</t>
  </si>
  <si>
    <t>BOGLE, SHAWN</t>
  </si>
  <si>
    <t>LEE, KENT</t>
  </si>
  <si>
    <t>HENDRIX, LISA</t>
  </si>
  <si>
    <t>HANDLOSER, HOLLY</t>
  </si>
  <si>
    <t>PROBST, NATHAN</t>
  </si>
  <si>
    <t>EVANS, JAMIE</t>
  </si>
  <si>
    <t>MEREDITH, PAUL</t>
  </si>
  <si>
    <t>PAFFORD, MICHAEL</t>
  </si>
  <si>
    <t>JOHNSON, CHRISTOPHER</t>
  </si>
  <si>
    <t>PARROTT, ROBERT</t>
  </si>
  <si>
    <t>MARTIN, DAN</t>
  </si>
  <si>
    <t>Retired, AID - Single issuer's classification disagreed with majority</t>
  </si>
  <si>
    <t>Retired based on his own website. https://www.danmartinmd.com/</t>
  </si>
  <si>
    <t>SIMPSON, CHADWICK</t>
  </si>
  <si>
    <t>MOORE, DAVID</t>
  </si>
  <si>
    <t>SHENEP, LORI</t>
  </si>
  <si>
    <t>COOPER, JAMES</t>
  </si>
  <si>
    <t>AYERS, PATRICK</t>
  </si>
  <si>
    <t>FLEMING, ROBERT</t>
  </si>
  <si>
    <t>MAHAN, MEREDITH</t>
  </si>
  <si>
    <t>SESSLER, LONNIE</t>
  </si>
  <si>
    <t>MORRIS, BISHAWN</t>
  </si>
  <si>
    <t>GOMEZ, HENRY</t>
  </si>
  <si>
    <t>NIBA, SUH</t>
  </si>
  <si>
    <t>KOYAGURA, SUDHEER</t>
  </si>
  <si>
    <t>JENKINS, PARKER</t>
  </si>
  <si>
    <t>ROWELL, STEWART</t>
  </si>
  <si>
    <t>SAYANI, SANIA</t>
  </si>
  <si>
    <t>VOGEL, ERIC</t>
  </si>
  <si>
    <t>HARRIS, BROCK</t>
  </si>
  <si>
    <t>FISCHER, MICHAEL</t>
  </si>
  <si>
    <t>KRISH, MADHULIKA</t>
  </si>
  <si>
    <t>AL-GHUSSAIN, EMAD</t>
  </si>
  <si>
    <t>UMBREIT, ERIC</t>
  </si>
  <si>
    <t>IRBY, OLIVIA</t>
  </si>
  <si>
    <t>FELICITAS, RICHELLE</t>
  </si>
  <si>
    <t>BROOKMAN, MAX</t>
  </si>
  <si>
    <t>HARHARA, HALEEMA</t>
  </si>
  <si>
    <t>BLACKBURN, BRENT</t>
  </si>
  <si>
    <t>POWELL, JARRETT</t>
  </si>
  <si>
    <t>BROWN, COLUMBUS</t>
  </si>
  <si>
    <t>REYNOLDS, TIMOTHY</t>
  </si>
  <si>
    <t>BOWMAN, GARY</t>
  </si>
  <si>
    <t>PHIPPS, RONNY</t>
  </si>
  <si>
    <t>LEWIS, HERBERT</t>
  </si>
  <si>
    <t>ONYENEKWE, JOSIAH</t>
  </si>
  <si>
    <t>FOSTER, STEPHEN</t>
  </si>
  <si>
    <t>TANNER, RONALD</t>
  </si>
  <si>
    <t>HUDDLESTON, ASHLEY</t>
  </si>
  <si>
    <t>KOLLER, DARWIN</t>
  </si>
  <si>
    <t>FENDLEY, HERBERT</t>
  </si>
  <si>
    <t>ADELEKE, ADEGOKE</t>
  </si>
  <si>
    <t>BRIDGES, HEATHER</t>
  </si>
  <si>
    <t>BLOCH, LAUREN</t>
  </si>
  <si>
    <t>BROWNE, GRACE</t>
  </si>
  <si>
    <t>BROADBENT, REBECCA</t>
  </si>
  <si>
    <t>LISDELL, LESLIE</t>
  </si>
  <si>
    <t>ROSS, DOUGLAS</t>
  </si>
  <si>
    <t>STUBBS, JASON</t>
  </si>
  <si>
    <t>BALTZ, NANCY</t>
  </si>
  <si>
    <t>KHAN, ABRAR</t>
  </si>
  <si>
    <t>RATHEL, MEGAN</t>
  </si>
  <si>
    <t>THOMPSON, JON</t>
  </si>
  <si>
    <t>LYNCH, WHITNEY</t>
  </si>
  <si>
    <t>NADEN, GREGORY</t>
  </si>
  <si>
    <t>ANDERSON, TOBY</t>
  </si>
  <si>
    <t>LYNN, WILLIAM</t>
  </si>
  <si>
    <t>EUBANKS, CHENIA</t>
  </si>
  <si>
    <t>O'NEILL, JOSHUA</t>
  </si>
  <si>
    <t>RODGERS, CHADWICK</t>
  </si>
  <si>
    <t>SMITH, CODY</t>
  </si>
  <si>
    <t>CAZANO, JUAN</t>
  </si>
  <si>
    <t>BUMPAS, TIMOTHY</t>
  </si>
  <si>
    <t>SIMPSON, ALAINNA</t>
  </si>
  <si>
    <t>MOTES, JOSHUA</t>
  </si>
  <si>
    <t>SMITH, STACIE</t>
  </si>
  <si>
    <t>WILSON, LINDSEY</t>
  </si>
  <si>
    <t>QUANG, LAWRENCE</t>
  </si>
  <si>
    <t>MCLELLAN, MATTHEW</t>
  </si>
  <si>
    <t>DELAUNE, EUGENE</t>
  </si>
  <si>
    <t>LEAVITT, BENJAMIN</t>
  </si>
  <si>
    <t>THAKOR, PRATAPJI</t>
  </si>
  <si>
    <t>CALDWELL, CHARLES</t>
  </si>
  <si>
    <t>SIFUENTES, JOSHUA</t>
  </si>
  <si>
    <t>JUNAID, MUHAMMAD</t>
  </si>
  <si>
    <t>CISNEROS, JAMIE</t>
  </si>
  <si>
    <t>DOWNS, MICHAEL</t>
  </si>
  <si>
    <t>KAREEM, OLUFADEJIMI</t>
  </si>
  <si>
    <t>GRAHAM, GABRIEL</t>
  </si>
  <si>
    <t>ELLIS, MARGARET</t>
  </si>
  <si>
    <t>WITTKE, ROBYN</t>
  </si>
  <si>
    <t>SHIPP, SABRINA</t>
  </si>
  <si>
    <t>HURTADO, CESAR</t>
  </si>
  <si>
    <t>NWAIWU, OBIOMA</t>
  </si>
  <si>
    <t>RIVERA CRUZ, RAQUEL</t>
  </si>
  <si>
    <t>RODRIGUEZ, NATALIE</t>
  </si>
  <si>
    <t>PASHKEVICH, MICHELE</t>
  </si>
  <si>
    <t>ALGEE, WYATT</t>
  </si>
  <si>
    <t>HOLT, BILLY</t>
  </si>
  <si>
    <t>KITTELL, MICHAEL</t>
  </si>
  <si>
    <t>BENNETT, WILLIAM</t>
  </si>
  <si>
    <t>TURNER, CLINTON</t>
  </si>
  <si>
    <t>NIELSON, NATHAN</t>
  </si>
  <si>
    <t>WATSON, LASHUNDRA</t>
  </si>
  <si>
    <t>STEPPS, KRISTOPHER</t>
  </si>
  <si>
    <t>ALBERTSON, MONROE</t>
  </si>
  <si>
    <t>CAVERO, FERNANDO</t>
  </si>
  <si>
    <t>LEE, MARK</t>
  </si>
  <si>
    <t>LU, EUGENE</t>
  </si>
  <si>
    <t>PHILLIPS, TRACY</t>
  </si>
  <si>
    <t>DIFFINE, DAVID</t>
  </si>
  <si>
    <t>MCKINNEY, JASON</t>
  </si>
  <si>
    <t>HASELOW, DIRK</t>
  </si>
  <si>
    <t>KINDRAT, JASON</t>
  </si>
  <si>
    <t>BORDADOR, APOLINAR</t>
  </si>
  <si>
    <t>USUWA, CHIZOBA</t>
  </si>
  <si>
    <t>MULLINIX, DEREK</t>
  </si>
  <si>
    <t>AKHIGBE, CHURCHILL</t>
  </si>
  <si>
    <t>MALONE, BRETT</t>
  </si>
  <si>
    <t>BLAKE, KIMBERLY</t>
  </si>
  <si>
    <t>REEVES, JAMES</t>
  </si>
  <si>
    <t>BAU, TERESA</t>
  </si>
  <si>
    <t>SIEBENMORGEN, LACHAN</t>
  </si>
  <si>
    <t>MIRANDA, MICHAEL</t>
  </si>
  <si>
    <t>MILLER, CHRISTOPHER</t>
  </si>
  <si>
    <t>ARNOLD, JAMES</t>
  </si>
  <si>
    <t>DOD, HARVINDER</t>
  </si>
  <si>
    <t>ORJI, CHRISTIAN</t>
  </si>
  <si>
    <t>SRA, SURINDER</t>
  </si>
  <si>
    <t>NIXON, DAVID</t>
  </si>
  <si>
    <t>VIRMANI, MISTY</t>
  </si>
  <si>
    <t>KANNEGANTI, PRAVEEN</t>
  </si>
  <si>
    <t>GUINN, NICHOLAS</t>
  </si>
  <si>
    <t>NWUDE, EZINNE</t>
  </si>
  <si>
    <t>WAACK, BARRY</t>
  </si>
  <si>
    <t>HENRY, WILLIAM</t>
  </si>
  <si>
    <t>O'BRIEN, KELSEY</t>
  </si>
  <si>
    <t>COWARD, KEITH</t>
  </si>
  <si>
    <t>CASEY-BOLDEN, MONIQUE</t>
  </si>
  <si>
    <t>BLAKE, DENNIS</t>
  </si>
  <si>
    <t>OGWO, CHERECHI</t>
  </si>
  <si>
    <t>PHILLIPS, CHRISTOPHER</t>
  </si>
  <si>
    <t>JALOU, JOUMA</t>
  </si>
  <si>
    <t>WOZNIAK, ADAM</t>
  </si>
  <si>
    <t>ROSE, JOSEPH</t>
  </si>
  <si>
    <t>BRIGANCE, HOLLY</t>
  </si>
  <si>
    <t>BARNETT, RONALD</t>
  </si>
  <si>
    <t>AKIN, CLINTON</t>
  </si>
  <si>
    <t>WILLIS, SHERITA</t>
  </si>
  <si>
    <t>FREEMAN, DARREN</t>
  </si>
  <si>
    <t>BOWLING, REBEKAH</t>
  </si>
  <si>
    <t>RENFROE, JAMES</t>
  </si>
  <si>
    <t>DEDMAN, WILLIAM</t>
  </si>
  <si>
    <t>CARTTAR, CHARLES</t>
  </si>
  <si>
    <t>BENNETT, JAMES</t>
  </si>
  <si>
    <t>HUFFMAN, JAMES</t>
  </si>
  <si>
    <t>DIRE, DANIEL</t>
  </si>
  <si>
    <t>TIPPIN, PHILIP</t>
  </si>
  <si>
    <t>WEBBER, DAVID</t>
  </si>
  <si>
    <t>SCALLY, NICOLE</t>
  </si>
  <si>
    <t>RUIZ GONZALEZ, HELBERT</t>
  </si>
  <si>
    <t>ADAMU, NANA-AISHATU</t>
  </si>
  <si>
    <t>MALIK, MOHAMMED</t>
  </si>
  <si>
    <t>JACKSON, AMBER</t>
  </si>
  <si>
    <t>FLIPPIN, DANE</t>
  </si>
  <si>
    <t>SCHMIDLY, HAN</t>
  </si>
  <si>
    <t>BECKETT, ADAM</t>
  </si>
  <si>
    <t>THACKER, AMBER</t>
  </si>
  <si>
    <t>PATEL, RUCHI</t>
  </si>
  <si>
    <t>DERSCH, JUSTIN</t>
  </si>
  <si>
    <t>EL-AAWAR, AMR</t>
  </si>
  <si>
    <t>JOHNSON, BRAD</t>
  </si>
  <si>
    <t>SHIPP, TIMOTHY</t>
  </si>
  <si>
    <t>PERRY, EDWARD</t>
  </si>
  <si>
    <t>YUSUF, MUHAMMAD</t>
  </si>
  <si>
    <t>PHILLIPS, REBECCA</t>
  </si>
  <si>
    <t>YOUNG, EVELYN</t>
  </si>
  <si>
    <t>FLOYD, COURTNEY</t>
  </si>
  <si>
    <t>PORTE, REX</t>
  </si>
  <si>
    <t>HUTSON, ELIZABETH</t>
  </si>
  <si>
    <t>THALATHOTI, SAMUEL</t>
  </si>
  <si>
    <t>FERGUS, RAYMOND</t>
  </si>
  <si>
    <t>BURNS, TERRY</t>
  </si>
  <si>
    <t>DAWKINS, JHEANELLE</t>
  </si>
  <si>
    <t>RIELS, GLYNN</t>
  </si>
  <si>
    <t>ERICSON, MARY</t>
  </si>
  <si>
    <t>WHITE, MOLLY</t>
  </si>
  <si>
    <t>PFEIFFER, PAUL</t>
  </si>
  <si>
    <t>SCROGGIN, CARROLL</t>
  </si>
  <si>
    <t>TAYLOR, RICHARD</t>
  </si>
  <si>
    <t>ESPINEL, ALFONSO</t>
  </si>
  <si>
    <t>CAMPBELL, SCOTT</t>
  </si>
  <si>
    <t>HAMBY, JEFFREY</t>
  </si>
  <si>
    <t>OSAROGIAGBON, RAYMOND</t>
  </si>
  <si>
    <t>MCCALL, ADAM</t>
  </si>
  <si>
    <t>HIRE, JUSTIN</t>
  </si>
  <si>
    <t>BERRY, WILLIAM</t>
  </si>
  <si>
    <t>WULZ, CURTIS</t>
  </si>
  <si>
    <t>BALLOUK, WESAM</t>
  </si>
  <si>
    <t>MILLER, JAMES</t>
  </si>
  <si>
    <t>BAILEY, THOMAS</t>
  </si>
  <si>
    <t>WALLEY, LINDSEY</t>
  </si>
  <si>
    <t>HEARNE, ARCHIE</t>
  </si>
  <si>
    <t>LYERLY, MICHAEL</t>
  </si>
  <si>
    <t>AZIZ, MICHAEL</t>
  </si>
  <si>
    <t>ASMB: Primary Care</t>
  </si>
  <si>
    <t>MCCLINTOCK, SARAH</t>
  </si>
  <si>
    <t>FILSOOF, DAVID</t>
  </si>
  <si>
    <t>BONE, SARAH</t>
  </si>
  <si>
    <t>BONPIETRO, FRANK</t>
  </si>
  <si>
    <t>BROWN, SCOTT</t>
  </si>
  <si>
    <t>ROBERTSON, JONATHAN</t>
  </si>
  <si>
    <t>THOMPSON, JOHN</t>
  </si>
  <si>
    <t>PATEL, CHANDRAKANT</t>
  </si>
  <si>
    <t>POMTREE, MINDY</t>
  </si>
  <si>
    <t>ZABRISKIE, AARON</t>
  </si>
  <si>
    <t>SIDAROUS, PETER</t>
  </si>
  <si>
    <t>JAMES, BRETT</t>
  </si>
  <si>
    <t>FARST, KAREN</t>
  </si>
  <si>
    <t>LUNEAU, TABATHA</t>
  </si>
  <si>
    <t>FU, QIUYU</t>
  </si>
  <si>
    <t>MCDONALD, MORGAN</t>
  </si>
  <si>
    <t>KAUFFMAN, PAUL</t>
  </si>
  <si>
    <t>JEAN, GRETA</t>
  </si>
  <si>
    <t>MCCARTNEY, JEFFREY</t>
  </si>
  <si>
    <t>Misclassified: Pulmonary Disease (ASMB)</t>
  </si>
  <si>
    <t>ASHLEY, ALISHA</t>
  </si>
  <si>
    <t>PRESTON, CLAYTON</t>
  </si>
  <si>
    <t>HUTCHISON, GEORGE</t>
  </si>
  <si>
    <t>WYATT, RICHARD</t>
  </si>
  <si>
    <t>LEVIN, FREDERICK</t>
  </si>
  <si>
    <t>COVERT, GEORGE</t>
  </si>
  <si>
    <t>SUMMERHILL, JEFFREY</t>
  </si>
  <si>
    <t>ASMB: Pain Medicine</t>
  </si>
  <si>
    <t>TRAUTH, KYLE</t>
  </si>
  <si>
    <t>PLUMLEE, AUSTIN</t>
  </si>
  <si>
    <t>BURNS, GLORIA</t>
  </si>
  <si>
    <t>KHAN, IQTIDAR</t>
  </si>
  <si>
    <t>RUSSELL, JAMES</t>
  </si>
  <si>
    <t>EVANS, JAMES</t>
  </si>
  <si>
    <t>OBIOZO, ALBERT</t>
  </si>
  <si>
    <t>SPENCE, LEISA</t>
  </si>
  <si>
    <t>SADLER, COREY</t>
  </si>
  <si>
    <t>KROSCHK, MARCEL</t>
  </si>
  <si>
    <t>PECK, COLE</t>
  </si>
  <si>
    <t>THOMAS, DEEPAK</t>
  </si>
  <si>
    <t>BINNS, TASHA</t>
  </si>
  <si>
    <t>CREECH, HILLARY</t>
  </si>
  <si>
    <t>SHAKIR, MUHAMMAD</t>
  </si>
  <si>
    <t>NTENDE, HENRY</t>
  </si>
  <si>
    <t>RUSSELL, JOHN</t>
  </si>
  <si>
    <t>JOURNAGAN, KEVIN</t>
  </si>
  <si>
    <t>AL-HALLAK, AMMAR</t>
  </si>
  <si>
    <t>DONCER, RICHARD</t>
  </si>
  <si>
    <t>FRIESEN, DOUGLAS</t>
  </si>
  <si>
    <t>OECHSLE, FABIAN</t>
  </si>
  <si>
    <t>LUNGBA, RAYAN</t>
  </si>
  <si>
    <t>RUFF, LLOYD</t>
  </si>
  <si>
    <t>LAREY, MARK</t>
  </si>
  <si>
    <t>SHARFMAN, DAVID</t>
  </si>
  <si>
    <t>SHAH, WASEEM</t>
  </si>
  <si>
    <t>FRIZZELL, TAMMIE</t>
  </si>
  <si>
    <t>SUAREZ, VIVIANA</t>
  </si>
  <si>
    <t>WARD, SAMUEL</t>
  </si>
  <si>
    <t>NORSE, ASHLEY</t>
  </si>
  <si>
    <t>MACK, TRACY</t>
  </si>
  <si>
    <t>STRONG, AARON</t>
  </si>
  <si>
    <t>WARD, JOSHUA</t>
  </si>
  <si>
    <t>CARRINGTON, HUNTER</t>
  </si>
  <si>
    <t>BIGGERS, BRADLEY</t>
  </si>
  <si>
    <t>O'CONNELL, JOSEPH</t>
  </si>
  <si>
    <t>LAWSON, JONATHAN</t>
  </si>
  <si>
    <t>ANKIREDDYPALLI, ANVITHA</t>
  </si>
  <si>
    <t>Provider is on AHG roster nd website as an Endocrinology specialist. https://www.baptist-health.com/news/baptist-health-surgical-and-specialty-clinic-conway-welcomes-endocrinologist-dr-anvitha-ankireddypalli, ASMB: Endocrinology, Diabetes &amp;amp; Metabolism</t>
  </si>
  <si>
    <t>HUTCHISON, MICHELE</t>
  </si>
  <si>
    <t>Practitioner was formerly associated with UAMS. No longer on UAMS roster. Appears to be located in New Mexico based on hospital websites and NPPES. https://hsc.unm.edu/directory/hutchison-michele.html. https://npidb.org/doctors/allopathic_osteopathic_physicians/pediatric-endocrinology_2080p0205x/1346201639.aspx?src=2</t>
  </si>
  <si>
    <t>NARAYANA, SHYAM</t>
  </si>
  <si>
    <t>Practitioner is newly listed on UAMS roster</t>
  </si>
  <si>
    <t>ALSHAMI, SARAH</t>
  </si>
  <si>
    <t>Recent addition to Heart Hospital. https://www.arheart.com/doctor/alshami/</t>
  </si>
  <si>
    <t>MOUTOS, DEAN</t>
  </si>
  <si>
    <t>MILLER, MICHAEL</t>
  </si>
  <si>
    <t>BAILEY, AMELIA</t>
  </si>
  <si>
    <t>KUTTEH, WILLIAM</t>
  </si>
  <si>
    <t>KE, RAYMOND</t>
  </si>
  <si>
    <t>MALLARE, JOHANNA</t>
  </si>
  <si>
    <t>Credentialed internally as pediatrics. Lebonheur lists as peds specialty as well. https://provider-search.methodisthealth.org/details/20965/johanna-mallare-pediatrics</t>
  </si>
  <si>
    <t>YUEN, JAMES</t>
  </si>
  <si>
    <t>WALLACE, ROBERT</t>
  </si>
  <si>
    <t>LAU-STONE, CHRYSTAL</t>
  </si>
  <si>
    <t>SMITH, SAMUEL</t>
  </si>
  <si>
    <t>CRANFORD, ANNDI</t>
  </si>
  <si>
    <t>SHIVNANI, DEEPA</t>
  </si>
  <si>
    <t>MORRISON, CAROLINE</t>
  </si>
  <si>
    <t>TAVIN, ELLIS</t>
  </si>
  <si>
    <t>TILLEMANS, TAD</t>
  </si>
  <si>
    <t>HODGES, JOHN</t>
  </si>
  <si>
    <t>BRADY, JACOB</t>
  </si>
  <si>
    <t>BREAU, RANDALL</t>
  </si>
  <si>
    <t>ASMB: Otolaryngology</t>
  </si>
  <si>
    <t>Per ChatGPT "board‐specialty listing is primarily for Dermatology / MOHS surgery rather than specifically and exclusively for Otolaryngology per the Arkansas State Medical Board listing"</t>
  </si>
  <si>
    <t>MAY, JEFFERY</t>
  </si>
  <si>
    <t>THOMPSON, JEROME</t>
  </si>
  <si>
    <t>JONES, ROY</t>
  </si>
  <si>
    <t>PATHAPATI, SRINIVAS</t>
  </si>
  <si>
    <t>ALLEMAN, ROBERT</t>
  </si>
  <si>
    <t>Practitioner is not gastroenterologist. Practices Emergency Medicine and is a hospitalist. https://npidb.org/doctors/allopathic_osteopathic_physicians/emergency-medicine_207p00000x/1134149339.aspx?src=2, AID - Single issuer's classification disagreed with majority</t>
  </si>
  <si>
    <t>Practitioner is not gastroenterologist. Practices Emergency Medicine and is a hospitalist. https://npidb.org/doctors/allopathic_osteopathic_physicians/emergency-medicine_207p00000x/1134149339.aspx?src=2</t>
  </si>
  <si>
    <t>JOHNSON, ARTHUR</t>
  </si>
  <si>
    <t>ENGLISH, GEORGE</t>
  </si>
  <si>
    <t>This provider specialize in Pathology</t>
  </si>
  <si>
    <t>VERTKIN, ANNA</t>
  </si>
  <si>
    <t>AMIN, VIMAL</t>
  </si>
  <si>
    <t>TARR, PHILLIP</t>
  </si>
  <si>
    <t>RAY, QUENTIN</t>
  </si>
  <si>
    <t>GANIM, ISMAIL</t>
  </si>
  <si>
    <t>ORCUTT, JEFFREY</t>
  </si>
  <si>
    <t>FAUST, THOMAS</t>
  </si>
  <si>
    <t>MCVAY GILLAM, MARCENE</t>
  </si>
  <si>
    <t>RUTLEDGE, WILLIAM</t>
  </si>
  <si>
    <t>STRANG, ROBERT</t>
  </si>
  <si>
    <t>EMGE, FREDERICK</t>
  </si>
  <si>
    <t>BLAKE, ROGER</t>
  </si>
  <si>
    <t>MCGEE, WILLIAM</t>
  </si>
  <si>
    <t>GUINNIP, PAULA</t>
  </si>
  <si>
    <t>DAY, JOHN</t>
  </si>
  <si>
    <t>MILLER, JOSEPH</t>
  </si>
  <si>
    <t>WALTERS, RUSTIN</t>
  </si>
  <si>
    <t>POORE, KENITA</t>
  </si>
  <si>
    <t>FLETCHER, DANIEL</t>
  </si>
  <si>
    <t>COLLINS, SIDNEY</t>
  </si>
  <si>
    <t>MITSAKOS, ANASTASIOS</t>
  </si>
  <si>
    <t>COUNCE, JAMES</t>
  </si>
  <si>
    <t>CASTRO-OTERO, JORGE</t>
  </si>
  <si>
    <t>GARCIA SAENZ DE SICILIA, MAURICIO</t>
  </si>
  <si>
    <t>SPANN, JAMES</t>
  </si>
  <si>
    <t>SCHMIDT, FRANK</t>
  </si>
  <si>
    <t>MICHAEL, LATTIMORE</t>
  </si>
  <si>
    <t>TONYMON, KENNETH</t>
  </si>
  <si>
    <t>NOLEN, MICHAEL</t>
  </si>
  <si>
    <t>WARNER, MILO</t>
  </si>
  <si>
    <t>ASMB: General Surgery</t>
  </si>
  <si>
    <t>MEDINA-ZEA, MARCO</t>
  </si>
  <si>
    <t>BUCHANAN, ROBERT</t>
  </si>
  <si>
    <t>DUENSING, THEODORE</t>
  </si>
  <si>
    <t>MCCOY, DANIEL</t>
  </si>
  <si>
    <t>PRITCHARD, FRANCES</t>
  </si>
  <si>
    <t>PIACENTINO, VALENTINO</t>
  </si>
  <si>
    <t>MCGEADY, JAMES</t>
  </si>
  <si>
    <t>PARA, DANIEL</t>
  </si>
  <si>
    <t>RICHARDSON, TYRUN</t>
  </si>
  <si>
    <t>SHUKRALLAH, BASSAM</t>
  </si>
  <si>
    <t>CHERQUI, ALICE</t>
  </si>
  <si>
    <t>CHOPRA, ATISH</t>
  </si>
  <si>
    <t>DILLAWN, PATRICK</t>
  </si>
  <si>
    <t>SPANN, MICHAEL</t>
  </si>
  <si>
    <t>NEWMAN, ADAM</t>
  </si>
  <si>
    <t>GRYNWALD, JEFFREY</t>
  </si>
  <si>
    <t>HOWELL, KENNETH</t>
  </si>
  <si>
    <t>MAJORS, JACQUELINE</t>
  </si>
  <si>
    <t>HEARNSBERGER, JOHN</t>
  </si>
  <si>
    <t>MAYS, WILLIAM</t>
  </si>
  <si>
    <t>HALFTECK, GILI</t>
  </si>
  <si>
    <t>MOONEY, DONALD</t>
  </si>
  <si>
    <t>WOLFE, MICHAEL</t>
  </si>
  <si>
    <t>SLEZAK, JAMES</t>
  </si>
  <si>
    <t>FINE, RICHARD</t>
  </si>
  <si>
    <t>ALABASTER, ALAN</t>
  </si>
  <si>
    <t>ALTOMAR, JONATHAN</t>
  </si>
  <si>
    <t>ERDEM, EREN</t>
  </si>
  <si>
    <t>LANG, PATRICK</t>
  </si>
  <si>
    <t>SONGY, CHAD</t>
  </si>
  <si>
    <t>DIAS PERERA, ANTON</t>
  </si>
  <si>
    <t>TAYLOR, ASHLEY</t>
  </si>
  <si>
    <t>GARDON, MARK</t>
  </si>
  <si>
    <t>MUESSE, JASON</t>
  </si>
  <si>
    <t>YEOMAN, LANCE</t>
  </si>
  <si>
    <t>KINCADE, MATTHEW</t>
  </si>
  <si>
    <t>FIGUEROA-VICENTY, RICARDO</t>
  </si>
  <si>
    <t>Misclassified: Vascular Surgery (ASMB)</t>
  </si>
  <si>
    <t>DANIEL, NOBLE</t>
  </si>
  <si>
    <t>HENRY, DERRICK</t>
  </si>
  <si>
    <t>AKIN, ERIC</t>
  </si>
  <si>
    <t>NELSON, STEPHEN</t>
  </si>
  <si>
    <t>DECAPRIO, JEFFREY</t>
  </si>
  <si>
    <t>ALMADDAH, NUREDDIN</t>
  </si>
  <si>
    <t>RANSOM, JOHN</t>
  </si>
  <si>
    <t>CHEEK, JAY</t>
  </si>
  <si>
    <t>LOVE, ROBERT</t>
  </si>
  <si>
    <t>MIKHAIL, PETER</t>
  </si>
  <si>
    <t>GIBBS, WILLIAM</t>
  </si>
  <si>
    <t>PEMBERTON, JOHN</t>
  </si>
  <si>
    <t>BRUIJN, LUCY</t>
  </si>
  <si>
    <t>HUANG, EUNICE</t>
  </si>
  <si>
    <t>NANNA, ALERO</t>
  </si>
  <si>
    <t>TRAN, TRUNG</t>
  </si>
  <si>
    <t>SIMMONS, CHRISTIAN</t>
  </si>
  <si>
    <t>PEYOK, DAVID</t>
  </si>
  <si>
    <t>HUMPHREY, LANDON</t>
  </si>
  <si>
    <t>CHUNG, ERIC</t>
  </si>
  <si>
    <t>CEOLA, WADE</t>
  </si>
  <si>
    <t>JEAN, ROBERT</t>
  </si>
  <si>
    <t>FARR, BETHANY</t>
  </si>
  <si>
    <t>CAMPBELL, CHRISTOPHER</t>
  </si>
  <si>
    <t>BONWICH, JANINA</t>
  </si>
  <si>
    <t>RAJAB, TAUFIEK</t>
  </si>
  <si>
    <t>BOOTH, ALLISON</t>
  </si>
  <si>
    <t>MEADORS, FREDERICK</t>
  </si>
  <si>
    <t>TURNER, KELI</t>
  </si>
  <si>
    <t>MATHEWS, CHELSEA</t>
  </si>
  <si>
    <t>GLEASON, CATHERINE</t>
  </si>
  <si>
    <t>REDMOND, CLYDE</t>
  </si>
  <si>
    <t>DAVIS, MATTHEW</t>
  </si>
  <si>
    <t>PADALINO, JOSEPH</t>
  </si>
  <si>
    <t>PATEL, ASHAY</t>
  </si>
  <si>
    <t>JEELANI, YASSER</t>
  </si>
  <si>
    <t>STONE, CHRISTOPHER</t>
  </si>
  <si>
    <t>STOUT, CHRISTOPHER</t>
  </si>
  <si>
    <t>GARDNER, JAMES</t>
  </si>
  <si>
    <t>VOGT, VAL</t>
  </si>
  <si>
    <t>BROUSSARD, HEATH</t>
  </si>
  <si>
    <t>GODFREY, MICHELLE</t>
  </si>
  <si>
    <t>SUSORENY-VELGOS, JENNIFER</t>
  </si>
  <si>
    <t>BEENE, HANNAH</t>
  </si>
  <si>
    <t>BROWN, HUNTER</t>
  </si>
  <si>
    <t>ROBERTS, JACOB</t>
  </si>
  <si>
    <t>BRADLEY, LUCAS</t>
  </si>
  <si>
    <t>GRAND, ROBERT</t>
  </si>
  <si>
    <t>HANNA, ANGELA</t>
  </si>
  <si>
    <t>STEIN, ALEXANDER</t>
  </si>
  <si>
    <t>GAULT, JASON</t>
  </si>
  <si>
    <t>HARDIN, MARK</t>
  </si>
  <si>
    <t>Listed location is AR Heart Hospital- Encore. Provider is Cardiothoracic Surgeon. https://uamshealth.com/provider/mark-o-hardin/</t>
  </si>
  <si>
    <t>BAUER, FRANK</t>
  </si>
  <si>
    <t>MARTINEZ, HUGO</t>
  </si>
  <si>
    <t>VERMONT, CHARLES</t>
  </si>
  <si>
    <t>PALYS, VIKTORAS</t>
  </si>
  <si>
    <t>KASANGANA, KALENDA</t>
  </si>
  <si>
    <t>ATHOTA, PRASAD</t>
  </si>
  <si>
    <t>LAGA, STEPHEN</t>
  </si>
  <si>
    <t>GREWAL, SHAUN</t>
  </si>
  <si>
    <t>PALMER, JONATHON</t>
  </si>
  <si>
    <t>POSEY, DAVID</t>
  </si>
  <si>
    <t>BATRES, FRANCISCO</t>
  </si>
  <si>
    <t>CAROZZA, MICHAEL</t>
  </si>
  <si>
    <t>WOOD, AMANDA</t>
  </si>
  <si>
    <t>JOHNSON, CAMIKA</t>
  </si>
  <si>
    <t>BEYER, CHRISTY</t>
  </si>
  <si>
    <t>KILLEEN, CANDICE</t>
  </si>
  <si>
    <t>WEAVER, GEORGIANN</t>
  </si>
  <si>
    <t>License/Certificate Number: M002128</t>
  </si>
  <si>
    <t>HIGHTOWER, RANDALL</t>
  </si>
  <si>
    <t>ASMB: Obstetrics &amp;amp; Gynecology</t>
  </si>
  <si>
    <t>MELROSE, ERICA</t>
  </si>
  <si>
    <t>BENNETT, WENDY</t>
  </si>
  <si>
    <t>WAY, EMILY</t>
  </si>
  <si>
    <t>DAVIS, KATRINA</t>
  </si>
  <si>
    <t>REED, SUSANNAH</t>
  </si>
  <si>
    <t>ANGTUACO, TERESITA</t>
  </si>
  <si>
    <t>ASMB: Diagnostic Radiology</t>
  </si>
  <si>
    <t>CROUSE, LEAH</t>
  </si>
  <si>
    <t>ABBOTT, WHITNEY</t>
  </si>
  <si>
    <t>GRAHAM, ERINNE</t>
  </si>
  <si>
    <t>WATERMAN, LISA</t>
  </si>
  <si>
    <t>SMITH, ALEXANDER</t>
  </si>
  <si>
    <t>MADILL, MCKENZIE</t>
  </si>
  <si>
    <t>SHEPHERD, KATELIN</t>
  </si>
  <si>
    <t>HALL, ERIC</t>
  </si>
  <si>
    <t>BRANCH, MIA</t>
  </si>
  <si>
    <t>ANOKWUTE, CHIBUIKE</t>
  </si>
  <si>
    <t>STONE, ROSE</t>
  </si>
  <si>
    <t>GRAFF, ALYSSA</t>
  </si>
  <si>
    <t>No objection reason</t>
  </si>
  <si>
    <t>DEANGELIS, ABIGAIL</t>
  </si>
  <si>
    <t>ORDONEZ, DANICA ANGELA</t>
  </si>
  <si>
    <t>ADAIR, CHARLES</t>
  </si>
  <si>
    <t>PORTER, BLAKE</t>
  </si>
  <si>
    <t>CLAY, MICAH</t>
  </si>
  <si>
    <t>GRAVES, ANGELA</t>
  </si>
  <si>
    <t>KENNEDY, KATHRYN</t>
  </si>
  <si>
    <t>ASMB: Gynecologic Oncology</t>
  </si>
  <si>
    <t>GILLS, EDWARD</t>
  </si>
  <si>
    <t>PEDROSO, JASMINE</t>
  </si>
  <si>
    <t>BAZZETT-MATABELE, LISA</t>
  </si>
  <si>
    <t>MYERS, SUSAN</t>
  </si>
  <si>
    <t>License Number 222186</t>
  </si>
  <si>
    <t>DAVIS, KEVIN</t>
  </si>
  <si>
    <t>https://www.mercy.net/doctor/kevin-allen-davis-md/. Practitioner is credentialed and listed on roster as emergency medicine, not Infectious Disease., AID - Single issuer's classification disagreed with majority</t>
  </si>
  <si>
    <t>Kevin is listed under ID per Mercy website: https://www.mercy.net/search/doctor/?q=kevin+allen+davis%2C+md&amp;amp;solrsort=&amp;amp;distance=9999&amp;amp;options=&amp;amp;insuranceProviders=&amp;amp;specialties=&amp;amp;servicesOffered=&amp;amp;gender=&amp;amp;languages=&amp;amp;page=1</t>
  </si>
  <si>
    <t>Mercy Clinic Infectious Disease - Fort Smith | Mercy</t>
  </si>
  <si>
    <t>PINGILI, CHANDRA</t>
  </si>
  <si>
    <t>Provider moved to Ohio</t>
  </si>
  <si>
    <t>MOIX, JENNIFER</t>
  </si>
  <si>
    <t xml:space="preserve"> LCSW, not ID. https://www.linkedin.com/in/jen-moix-b71873207</t>
  </si>
  <si>
    <t>KELLY, MATTHEW</t>
  </si>
  <si>
    <t>KILGORE, APRIL</t>
  </si>
  <si>
    <t>Listed as peds by ACH and Bentonville Peds. https://www.archildrens.org/find-a-doctor/April-Kilgore-A4ZZ0VPHDF. https://www.bentonvillepediatrics.com/</t>
  </si>
  <si>
    <t>ASMB: Pediatric Infectious Diseases</t>
  </si>
  <si>
    <t>STILLWELL, MARK</t>
  </si>
  <si>
    <t>Mercy lists as ID on roster. https://www.mercy.net/doctor/mark-lee-stillwell-md/</t>
  </si>
  <si>
    <t>WILLIAMS, DWIGHT</t>
  </si>
  <si>
    <t>t Bernard's Roser and website list as family medicine provider. https://www.stbernards.info/providers/profile/dwight-williams/</t>
  </si>
  <si>
    <t>WASI, FAISAL</t>
  </si>
  <si>
    <t>JANSEN, ANDREA</t>
  </si>
  <si>
    <t>Nurse Practitioner, not ID</t>
  </si>
  <si>
    <t>GRAY, CAMDIN</t>
  </si>
  <si>
    <t>Family Medicine and now in Wisconsin. https://www.froedtert.com/doctors/camdin-gray-1750813119. https://www.mcw.edu/find-a-doctor/gray-camdin-md</t>
  </si>
  <si>
    <t>RAYAZ, KHALID</t>
  </si>
  <si>
    <t>HUSSEIN, WAEL</t>
  </si>
  <si>
    <t>TURNER, ASHBY</t>
  </si>
  <si>
    <t>KHAN, MOHAMMED</t>
  </si>
  <si>
    <t>ALQURINI, NADIA</t>
  </si>
  <si>
    <t>WALTERS, WILLIAM</t>
  </si>
  <si>
    <t>Practitioner is a neurologist, not nephrologist. Listed on internal information, provider roster, and provider website as Neurologist. https://www.archildrens.org/find-a-doctor/William-Walters-C2J40J57D8, AID - Single issuer's classification disagreed with majority</t>
  </si>
  <si>
    <t>ABDALLAH, AHMED</t>
  </si>
  <si>
    <t>FISCHER, PETER</t>
  </si>
  <si>
    <t>JACOBS, EMILY</t>
  </si>
  <si>
    <t>KURICHETY, KIRAN</t>
  </si>
  <si>
    <t>TRIPURANENI, SRINATH</t>
  </si>
  <si>
    <t>THOTAKURA, RAMAKRISHNA</t>
  </si>
  <si>
    <t>DESILVA, SHARI</t>
  </si>
  <si>
    <t>KHER, KANWAL</t>
  </si>
  <si>
    <t>ALI, UMAIR</t>
  </si>
  <si>
    <t>GREEN, CHRISTINA</t>
  </si>
  <si>
    <t>DWORKIN, JOEL</t>
  </si>
  <si>
    <t>RAMOS, ANGEL</t>
  </si>
  <si>
    <t>ASMB: Nephrology</t>
  </si>
  <si>
    <t>HENRY, JAMES</t>
  </si>
  <si>
    <t>WELLS, THOMAS</t>
  </si>
  <si>
    <t>VATANAPRADITH, ATHIP</t>
  </si>
  <si>
    <t>HADDAD, HASSAN</t>
  </si>
  <si>
    <t>LUE, STANLEY</t>
  </si>
  <si>
    <t>RIVERA - PEREZ, FELIX</t>
  </si>
  <si>
    <t>WILT, ERICA</t>
  </si>
  <si>
    <t>FRAZEY, ELLIE</t>
  </si>
  <si>
    <t>VUK, STANKO</t>
  </si>
  <si>
    <t>ASBM: Pediatric Neurology</t>
  </si>
  <si>
    <t>SILVA, GUSTAVO</t>
  </si>
  <si>
    <t>DOTSON, WILLIAM</t>
  </si>
  <si>
    <t>GONZALEZ, PAULO</t>
  </si>
  <si>
    <t>LAMOUSIN, JAMES</t>
  </si>
  <si>
    <t>BAYLES, SAMUEL</t>
  </si>
  <si>
    <t>CANNON, HOLLY</t>
  </si>
  <si>
    <t>KATHIRESAN, KARTHIKEYANI</t>
  </si>
  <si>
    <t>KANTER, JENNA</t>
  </si>
  <si>
    <t>RASTOGI, KOMAL</t>
  </si>
  <si>
    <t>LIAO, YU-HSUAN</t>
  </si>
  <si>
    <t>MCNEIL, CHERYL</t>
  </si>
  <si>
    <t>CHITRAVAS, NUMTHIP</t>
  </si>
  <si>
    <t>BOYER, EDWARD</t>
  </si>
  <si>
    <t>NARDI, CAROLINE</t>
  </si>
  <si>
    <t>LAMI, VICTOR</t>
  </si>
  <si>
    <t>NARAYAN, DWAYNE</t>
  </si>
  <si>
    <t>MCDONALD, STEPHEN</t>
  </si>
  <si>
    <t>SMITH, MARCUS</t>
  </si>
  <si>
    <t>JONES, REBECCA</t>
  </si>
  <si>
    <t>MACE, JOHN</t>
  </si>
  <si>
    <t>HASELOW, TRACY</t>
  </si>
  <si>
    <t>KELESOGLOU, CHRISTOPHER</t>
  </si>
  <si>
    <t>HURWITZ, STEPHEN</t>
  </si>
  <si>
    <t>FITZSIMMONS, BRIAN-FRED</t>
  </si>
  <si>
    <t>VON STROLLEY, ARIELLE</t>
  </si>
  <si>
    <t>RICHARDSON, BRITTANY</t>
  </si>
  <si>
    <t>TORRES, JORGE</t>
  </si>
  <si>
    <t>HASKINS, DANIELLE</t>
  </si>
  <si>
    <t>TANDYASRAYA, PRITA</t>
  </si>
  <si>
    <t>WHAPHAM, JOHN</t>
  </si>
  <si>
    <t>MATTOX, RHONDA</t>
  </si>
  <si>
    <t>ARSHAD, AHMED</t>
  </si>
  <si>
    <t>WILLIAMS, RODNEY</t>
  </si>
  <si>
    <t>BURNETT, ANNIE</t>
  </si>
  <si>
    <t>VENTURA, JULIO</t>
  </si>
  <si>
    <t>BAHGAT, DIAA</t>
  </si>
  <si>
    <t>CARDENTEY, AGNELIO</t>
  </si>
  <si>
    <t>RAGLAND, JEREMY</t>
  </si>
  <si>
    <t>MALKA, ROBERT</t>
  </si>
  <si>
    <t>HENDERSON, LEIGH</t>
  </si>
  <si>
    <t>WEI, SHAO-HWA</t>
  </si>
  <si>
    <t>ANDRY, JAMES</t>
  </si>
  <si>
    <t>CARREJO, CHRISTINE</t>
  </si>
  <si>
    <t>OCAL, EYLEM</t>
  </si>
  <si>
    <t>WOESSNER, HEIDI</t>
  </si>
  <si>
    <t>SWAMY, USHA</t>
  </si>
  <si>
    <t>KAUL, SIDDHARTH</t>
  </si>
  <si>
    <t>UDDIN, IMAD</t>
  </si>
  <si>
    <t>RENCK, GREGORY</t>
  </si>
  <si>
    <t>PRADHAN, TANIYA</t>
  </si>
  <si>
    <t>JAIN, ALOK</t>
  </si>
  <si>
    <t>BROWN, WENDY</t>
  </si>
  <si>
    <t>SPARKS, SHANE</t>
  </si>
  <si>
    <t>AVINO, LORIANNE</t>
  </si>
  <si>
    <t>GROOMS, AMY</t>
  </si>
  <si>
    <t>YEUNG, PHILIP</t>
  </si>
  <si>
    <t>BISHOP, TERRELL</t>
  </si>
  <si>
    <t>ALBERT, GREGORY</t>
  </si>
  <si>
    <t>PAREDES, DANELVIS</t>
  </si>
  <si>
    <t>KLIMO, PAUL</t>
  </si>
  <si>
    <t>REINERTSEN, KAREN</t>
  </si>
  <si>
    <t>VIDGOP, YELENA</t>
  </si>
  <si>
    <t>ADAMS, CHRISTOPHER</t>
  </si>
  <si>
    <t>SIEGLER, DAVID</t>
  </si>
  <si>
    <t>MILLER, VALERIE</t>
  </si>
  <si>
    <t>ACEVEDO-RAMIREZ, NATTASHA</t>
  </si>
  <si>
    <t>WATERMAN, SUSAN</t>
  </si>
  <si>
    <t>HORN, CHRISTOPHER</t>
  </si>
  <si>
    <t>TUMMALA, PAVAN</t>
  </si>
  <si>
    <t>SEVILIS, THERESA</t>
  </si>
  <si>
    <t>AMIN, DARSHANA</t>
  </si>
  <si>
    <t>DECANT, ZACHARY</t>
  </si>
  <si>
    <t>ABDELMOTILIB, HISHAM</t>
  </si>
  <si>
    <t>PAYNE, ALVIN</t>
  </si>
  <si>
    <t>WONG, KATHLEEN</t>
  </si>
  <si>
    <t>COLON-GARCIA, PATRICIA</t>
  </si>
  <si>
    <t>VIRK, EJAZ</t>
  </si>
  <si>
    <t>JIANG, LINDA</t>
  </si>
  <si>
    <t>VIGNESWARAN, KRISHANTHAN</t>
  </si>
  <si>
    <t>GOCIO, ALLAN</t>
  </si>
  <si>
    <t>PHILLIPS, JUSTIN</t>
  </si>
  <si>
    <t>JHAMB, NEIL</t>
  </si>
  <si>
    <t>DOWDY, JUSTIN</t>
  </si>
  <si>
    <t>POWELL, JUSTIN</t>
  </si>
  <si>
    <t>THOMAS, LYNN</t>
  </si>
  <si>
    <t>CONNOR, DAVID</t>
  </si>
  <si>
    <t>PIRMOHAMED, FERMINA</t>
  </si>
  <si>
    <t>POPA, VASILE</t>
  </si>
  <si>
    <t>RODRIGUEZ LEE, JORGE</t>
  </si>
  <si>
    <t>AMIR, MURTAZA</t>
  </si>
  <si>
    <t>CONWAY, MELANIE</t>
  </si>
  <si>
    <t>IRSHAD, KHADIJA</t>
  </si>
  <si>
    <t>CORTI, SANDRO</t>
  </si>
  <si>
    <t>BLECH, BENZION</t>
  </si>
  <si>
    <t>NARLESKY, MATTHEW</t>
  </si>
  <si>
    <t>FOWLER, MARIECKEN</t>
  </si>
  <si>
    <t>RICHARDSON, COLBY</t>
  </si>
  <si>
    <t>UDDIN, ASHWAAN</t>
  </si>
  <si>
    <t>JONES, DANIEL</t>
  </si>
  <si>
    <t>HARRISON, AMY</t>
  </si>
  <si>
    <t>OSEHOBO, EHIZELE</t>
  </si>
  <si>
    <t>ABBASI, HAMIDREZA</t>
  </si>
  <si>
    <t>CUNNINGHAM, EDWIN</t>
  </si>
  <si>
    <t>ROSE-INNES, ANDREW</t>
  </si>
  <si>
    <t>MIKUS, STEPHEN</t>
  </si>
  <si>
    <t>AROMIN, JOURDAN</t>
  </si>
  <si>
    <t>FISH, DANIEL</t>
  </si>
  <si>
    <t>RAMBO, WILLIAM</t>
  </si>
  <si>
    <t>KLEIN, BRADLEY</t>
  </si>
  <si>
    <t>MENENDEZ, GABRIEL</t>
  </si>
  <si>
    <t>SAMBURSKY, JACOB</t>
  </si>
  <si>
    <t>KLEINHOLZ-OWENS, PATRICIA</t>
  </si>
  <si>
    <t>GOULD, AMANDA</t>
  </si>
  <si>
    <t>REMMEL, KERRI</t>
  </si>
  <si>
    <t>REDMOND, CINTASHA</t>
  </si>
  <si>
    <t>KOZMINSKI, MATTHEW</t>
  </si>
  <si>
    <t>SOMBUTMAI, CHUT</t>
  </si>
  <si>
    <t>DINH, BEATRIZ</t>
  </si>
  <si>
    <t>CRABTREE, HERBERT</t>
  </si>
  <si>
    <t>HAIDERZAD, TALIA</t>
  </si>
  <si>
    <t>BELLO, NANCY</t>
  </si>
  <si>
    <t>YARLAGADDA, RAVI</t>
  </si>
  <si>
    <t>BELKNAP, TOBY</t>
  </si>
  <si>
    <t>BACHU, ANIL</t>
  </si>
  <si>
    <t>AGUD, HOLLY</t>
  </si>
  <si>
    <t>NGUYEN, DIEM-QUYNH</t>
  </si>
  <si>
    <t>NOORBAKHSH SABET, NARIMAN</t>
  </si>
  <si>
    <t>KHOSHYOMN, SAMI</t>
  </si>
  <si>
    <t>DE JESUS-ALVELO, INDIRA</t>
  </si>
  <si>
    <t>PLANCHER, JOAO MC-ONEIL</t>
  </si>
  <si>
    <t>PATEL, RONAK</t>
  </si>
  <si>
    <t>JOHNSON, TARA</t>
  </si>
  <si>
    <t>LIUBICICH, JEFFREY</t>
  </si>
  <si>
    <t>PANDHI, ABHI</t>
  </si>
  <si>
    <t>BUI, MAI-LYNN</t>
  </si>
  <si>
    <t>DUNSTON, RANDALL</t>
  </si>
  <si>
    <t>SEIBERT, JULIE</t>
  </si>
  <si>
    <t>GESS, JENNIFER</t>
  </si>
  <si>
    <t>VAJAPEY, GEETANJALI</t>
  </si>
  <si>
    <t>HOBBS, LEITH</t>
  </si>
  <si>
    <t>ANSELL, JACQUELINE</t>
  </si>
  <si>
    <t>BAITY, JESSICA</t>
  </si>
  <si>
    <t>KOSS, ADAM</t>
  </si>
  <si>
    <t>CHERKASSKY, GEORGY</t>
  </si>
  <si>
    <t>HOANG, HAI</t>
  </si>
  <si>
    <t>VASUDEVAN, ARVIND</t>
  </si>
  <si>
    <t>BHENDE, BHAGYASHRI</t>
  </si>
  <si>
    <t>AMMAR, TAMER</t>
  </si>
  <si>
    <t>BARMINOVA, ANNA</t>
  </si>
  <si>
    <t>CHANDLER, ANGELA</t>
  </si>
  <si>
    <t>THOMAS, CRYSTAL</t>
  </si>
  <si>
    <t>ANDER, TRACY</t>
  </si>
  <si>
    <t>FIGURELLE, MORGAN</t>
  </si>
  <si>
    <t>FALERO POMALES, JOSE</t>
  </si>
  <si>
    <t>KONG, WAN YEE</t>
  </si>
  <si>
    <t>HEGAZY, MOHAMED</t>
  </si>
  <si>
    <t>BALMAKUND, JHABLALL</t>
  </si>
  <si>
    <t>RASUL, FAHIM</t>
  </si>
  <si>
    <t>AKINWUMIJU, OLAYINKA</t>
  </si>
  <si>
    <t>ARTHUR, JAMES</t>
  </si>
  <si>
    <t>EVANS, BRANDON</t>
  </si>
  <si>
    <t>BINDER, KYLE</t>
  </si>
  <si>
    <t>GIUGLIANO, AVA</t>
  </si>
  <si>
    <t>AL-SHAHROURI, HANIA</t>
  </si>
  <si>
    <t>BEHRAVAN, VAHID</t>
  </si>
  <si>
    <t>ATKINSON, SARAH</t>
  </si>
  <si>
    <t>DRANEY, DAVID</t>
  </si>
  <si>
    <t>MANNING, CONRAD</t>
  </si>
  <si>
    <t>SUKU, SURAJ</t>
  </si>
  <si>
    <t>HOLDEN, DONNIE</t>
  </si>
  <si>
    <t>ABCEDE, HERMELINDA</t>
  </si>
  <si>
    <t>TEKIELA, PIOTR</t>
  </si>
  <si>
    <t>SPIOTTO, ERNEST</t>
  </si>
  <si>
    <t>SITZMANN, ADAM</t>
  </si>
  <si>
    <t>MISULIS, EDWARD</t>
  </si>
  <si>
    <t>CHEN, HSIONG</t>
  </si>
  <si>
    <t>KNEFATI, MOHAMED</t>
  </si>
  <si>
    <t>ASMB: Neurology</t>
  </si>
  <si>
    <t>ALMIDANI, MAZEN</t>
  </si>
  <si>
    <t>WOOTEN, ROBERT</t>
  </si>
  <si>
    <t>SCOTT, LISA</t>
  </si>
  <si>
    <t>FRIEDMAN, MARK</t>
  </si>
  <si>
    <t>JACKSON, RICHARD</t>
  </si>
  <si>
    <t>OLINGER, RODNEY</t>
  </si>
  <si>
    <t>RODRIGUEZ, ANALIZ</t>
  </si>
  <si>
    <t>GANGLOFF, STEVEN</t>
  </si>
  <si>
    <t>SCHMITT, KEVIN</t>
  </si>
  <si>
    <t>LU, MOFEI</t>
  </si>
  <si>
    <t>DHADWAL, NEETU</t>
  </si>
  <si>
    <t>SMITHERMAN, ADAM</t>
  </si>
  <si>
    <t>GAGE, MARK</t>
  </si>
  <si>
    <t>NOLAN, NEAL</t>
  </si>
  <si>
    <t>STABLEY, JASON</t>
  </si>
  <si>
    <t>GALLAHER, REGAN</t>
  </si>
  <si>
    <t>HUDEFI, FAYZ</t>
  </si>
  <si>
    <t>KATSNELSON, MICHAEL</t>
  </si>
  <si>
    <t>CATHEY, STEVEN</t>
  </si>
  <si>
    <t>NANGUNOORI, RAJ</t>
  </si>
  <si>
    <t>LOVELL, LAVERNE</t>
  </si>
  <si>
    <t>POMERANIEC, ISAAC</t>
  </si>
  <si>
    <t>KUMAR, VISHAD</t>
  </si>
  <si>
    <t>DESAI, AARON</t>
  </si>
  <si>
    <t>KIEHM, KELLY</t>
  </si>
  <si>
    <t>NORVILL, KEITH</t>
  </si>
  <si>
    <t>SHEDDEN, PETER</t>
  </si>
  <si>
    <t>ROBERTSON, JON</t>
  </si>
  <si>
    <t>MULPUR, BHAGEERADH</t>
  </si>
  <si>
    <t>KHAWAJA, AYAZ</t>
  </si>
  <si>
    <t>LEIGH, TYLER</t>
  </si>
  <si>
    <t>SCHUERGER, ASHLEY</t>
  </si>
  <si>
    <t>BERG, MEGAN</t>
  </si>
  <si>
    <t>WATSON, ADRIANN</t>
  </si>
  <si>
    <t>KINCANNON, ELIZABETH</t>
  </si>
  <si>
    <t>SMITH, JOHN</t>
  </si>
  <si>
    <t>SENGER, MAXWELL</t>
  </si>
  <si>
    <t>LENTZ, CORA</t>
  </si>
  <si>
    <t>MITCHELL, CAROLINE</t>
  </si>
  <si>
    <t>GREEN, JESSIE</t>
  </si>
  <si>
    <t>MCDONALD, MICHELLE</t>
  </si>
  <si>
    <t>BERGT, SYDNEY</t>
  </si>
  <si>
    <t>MOSLEY, MEGAN</t>
  </si>
  <si>
    <t>NORTHCUTT, REBECCA</t>
  </si>
  <si>
    <t>CASEY, ALYSSA</t>
  </si>
  <si>
    <t>REECE, AMY</t>
  </si>
  <si>
    <t>WOLTERS, ALANA</t>
  </si>
  <si>
    <t>MALONE, CHRISTOPHER</t>
  </si>
  <si>
    <t>COOK, JESSICA</t>
  </si>
  <si>
    <t>CHAMBERLIN, CARA</t>
  </si>
  <si>
    <t>SEIDEL, MACKENZIE</t>
  </si>
  <si>
    <t>MCRAE, ASHLEN</t>
  </si>
  <si>
    <t>PETERSEN, SHELBY</t>
  </si>
  <si>
    <t>WATERS, COLTON</t>
  </si>
  <si>
    <t>JOHNSON, KIMBERLY</t>
  </si>
  <si>
    <t>SIMMONS, ANSLEY</t>
  </si>
  <si>
    <t>MENDEZ, LAURA</t>
  </si>
  <si>
    <t>SULKOWSKI, JENNA</t>
  </si>
  <si>
    <t>REED, LANDON</t>
  </si>
  <si>
    <t>MOH, EMEKA</t>
  </si>
  <si>
    <t>DAUT, MARY FRANCES</t>
  </si>
  <si>
    <t>GREENWOOD, LAURA</t>
  </si>
  <si>
    <t>BERGSTROM, ALLISON</t>
  </si>
  <si>
    <t>ROMERO, JUDITH</t>
  </si>
  <si>
    <t>JONES, SADIE</t>
  </si>
  <si>
    <t>ASHCRAFT, ALISSA</t>
  </si>
  <si>
    <t>CISSELL, SHELLEY</t>
  </si>
  <si>
    <t>DIAZ, ALYSSA</t>
  </si>
  <si>
    <t>CLARK-HURST, CALIN</t>
  </si>
  <si>
    <t>BREGY, FRANK</t>
  </si>
  <si>
    <t>ESCUE, AMANDA</t>
  </si>
  <si>
    <t>VAN CAMP, SARAH</t>
  </si>
  <si>
    <t>OHOLENDT, CHRISTOPHER</t>
  </si>
  <si>
    <t>SCHLUTERMAN, STEPHANIE</t>
  </si>
  <si>
    <t>GIBBY, AWBREY</t>
  </si>
  <si>
    <t>KOONE, CAROLINE</t>
  </si>
  <si>
    <t>HARTMAN, MARY</t>
  </si>
  <si>
    <t>DALTON, TAYLOR</t>
  </si>
  <si>
    <t>GOSWICK, TYLER</t>
  </si>
  <si>
    <t>WILLIAMS, OLIVIA</t>
  </si>
  <si>
    <t>BARRY, HALEY</t>
  </si>
  <si>
    <t>BOOTH, TYLER</t>
  </si>
  <si>
    <t>BRUMLEY, KENDRA</t>
  </si>
  <si>
    <t>PRESSLER, SARAH</t>
  </si>
  <si>
    <t>HORTON, CODY</t>
  </si>
  <si>
    <t>SPRADLIN, SHONNA</t>
  </si>
  <si>
    <t>OSMENT, KATHRYN</t>
  </si>
  <si>
    <t>MILLER, HEATHER</t>
  </si>
  <si>
    <t>LEE, KRYSHA</t>
  </si>
  <si>
    <t>NASH, KRYSTA</t>
  </si>
  <si>
    <t>MCDONALD, HATTIE</t>
  </si>
  <si>
    <t>KINCADE, KAILEY</t>
  </si>
  <si>
    <t>RYAN, SARAH</t>
  </si>
  <si>
    <t>OYIOKA, OROO</t>
  </si>
  <si>
    <t>CUNNINGHAM, KATIE</t>
  </si>
  <si>
    <t>QUATTLEBAUM, CASEY</t>
  </si>
  <si>
    <t>MONTIJO, ASHLEY</t>
  </si>
  <si>
    <t>BOWLAN, MADISON</t>
  </si>
  <si>
    <t>BURNS, HALEY</t>
  </si>
  <si>
    <t>HODGES, TINA</t>
  </si>
  <si>
    <t>BUNCH, WHITLEY</t>
  </si>
  <si>
    <t>BALL, LAUREN</t>
  </si>
  <si>
    <t>ISRAEL, SARA</t>
  </si>
  <si>
    <t>NORTON, KARA</t>
  </si>
  <si>
    <t>KEOUGH, CHAMY</t>
  </si>
  <si>
    <t>WECKBACH, CHELSEA</t>
  </si>
  <si>
    <t>ZAK, VERONICA</t>
  </si>
  <si>
    <t>TOOTHAKER, STEPHEN</t>
  </si>
  <si>
    <t>WILLS, CHRISTINA</t>
  </si>
  <si>
    <t>RANA, HASAN</t>
  </si>
  <si>
    <t>MROZ, CHRISTINE</t>
  </si>
  <si>
    <t>CHEN, RICKY</t>
  </si>
  <si>
    <t>TSAO, MIRIAM</t>
  </si>
  <si>
    <t>NABORS, VENUS</t>
  </si>
  <si>
    <t>LANDRUM, LESLIE</t>
  </si>
  <si>
    <t>OWENS, CURTIS</t>
  </si>
  <si>
    <t>MCCLINTON, CHRISTOPHER</t>
  </si>
  <si>
    <t>ESTHER, JOHN</t>
  </si>
  <si>
    <t>ASMB: Hematology/Oncology</t>
  </si>
  <si>
    <t>WELLS, JOHN</t>
  </si>
  <si>
    <t>HUANG, CHEN</t>
  </si>
  <si>
    <t>ELNAGGAR, ADAM</t>
  </si>
  <si>
    <t>HARRINGTON, SARAH</t>
  </si>
  <si>
    <t>DELOZIER, OLIVIA</t>
  </si>
  <si>
    <t>PORTER, MIRIAM</t>
  </si>
  <si>
    <t>GHANDOUR, OMAR</t>
  </si>
  <si>
    <t>HARTFORD, CHRISTINE</t>
  </si>
  <si>
    <t>ASMB: Pediatric Hematology/Oncology</t>
  </si>
  <si>
    <t>YENDALA, RACHANA</t>
  </si>
  <si>
    <t>ALI, MUHAMMAD</t>
  </si>
  <si>
    <t>WESTBROOK, KENT</t>
  </si>
  <si>
    <t>FANT, JERRI</t>
  </si>
  <si>
    <t>ASMB: Breast Surgical Oncology</t>
  </si>
  <si>
    <t>NADVI, SAMINA</t>
  </si>
  <si>
    <t>BITTENBINDER, REBECCA</t>
  </si>
  <si>
    <t>LOCKRIDGE, LESLIE</t>
  </si>
  <si>
    <t>KAROL, SETH</t>
  </si>
  <si>
    <t>SIMS, JOHN</t>
  </si>
  <si>
    <t>GOEL, ARVIND</t>
  </si>
  <si>
    <t>HENDRIX, ASHLEY</t>
  </si>
  <si>
    <t>GORE, MARGARET</t>
  </si>
  <si>
    <t>REED, MARK</t>
  </si>
  <si>
    <t>GARNER, HERSHEL</t>
  </si>
  <si>
    <t>ROBERTSON, YARA</t>
  </si>
  <si>
    <t>RHEA, ISAAC</t>
  </si>
  <si>
    <t>HUNTER, AARON</t>
  </si>
  <si>
    <t>THROCKMORTON, ALYSSA</t>
  </si>
  <si>
    <t>POPE, CHRISTOPHER</t>
  </si>
  <si>
    <t>JOSHI, JITESH</t>
  </si>
  <si>
    <t>LOPEZ, JAMES</t>
  </si>
  <si>
    <t>MALIK, NAZISH</t>
  </si>
  <si>
    <t>WENDLING, CHARLES</t>
  </si>
  <si>
    <t>SANTOSO, JOSEPH</t>
  </si>
  <si>
    <t>WANG, JACK</t>
  </si>
  <si>
    <t>HONHAR, MEDHAVI</t>
  </si>
  <si>
    <t>MAVROS, MICHAIL</t>
  </si>
  <si>
    <t>APPELL, LAUREN</t>
  </si>
  <si>
    <t>Objetor's reason</t>
  </si>
  <si>
    <t>COLLINS, KATHLEEN</t>
  </si>
  <si>
    <t>MENENDEZ, CHRISTOPHER</t>
  </si>
  <si>
    <t>JOHN, ELIZABETH</t>
  </si>
  <si>
    <t>BARRETO ANDRADE, JUAN</t>
  </si>
  <si>
    <t>KUMAR, SANJEEV</t>
  </si>
  <si>
    <t>OTIENO, STEVE</t>
  </si>
  <si>
    <t>KRASIN, MATTHEW</t>
  </si>
  <si>
    <t>KHAN, SUPRIYA</t>
  </si>
  <si>
    <t>WELLS, GARY</t>
  </si>
  <si>
    <t>ACOSTA, VIOLIZA</t>
  </si>
  <si>
    <t>GOLDER, STEPHEN</t>
  </si>
  <si>
    <t>SASAKI-ADAMS, DEANNA</t>
  </si>
  <si>
    <t>NICKELE, CHRISTOPHER</t>
  </si>
  <si>
    <t>MIDDLETON, DEREK</t>
  </si>
  <si>
    <t>LANE, SHELBY</t>
  </si>
  <si>
    <t>MALATY, ESSAM</t>
  </si>
  <si>
    <t>ZAK, DMITRIY</t>
  </si>
  <si>
    <t>WENDEL, MARK</t>
  </si>
  <si>
    <t>ABRAHAM, EDWARD</t>
  </si>
  <si>
    <t>PHAM, HA</t>
  </si>
  <si>
    <t>ELIJOVICH, LUCAS</t>
  </si>
  <si>
    <t>MCKEEVER, MATTHEW</t>
  </si>
  <si>
    <t>HOIT, DANIEL</t>
  </si>
  <si>
    <t>Optometrist</t>
  </si>
  <si>
    <t>WALSH, ANNA</t>
  </si>
  <si>
    <t>GILMORE, LAURA</t>
  </si>
  <si>
    <t>BRYANT, NORMAN</t>
  </si>
  <si>
    <t>HARPER, RICHARD</t>
  </si>
  <si>
    <t>VARELA, CHARLES</t>
  </si>
  <si>
    <t>MOHARER, OLIVIA</t>
  </si>
  <si>
    <t>MEQUIO, MICHAEL</t>
  </si>
  <si>
    <t>GULLEY, THOMAS</t>
  </si>
  <si>
    <t>CENGIZ, OSMAN</t>
  </si>
  <si>
    <t>MAJEWSKI, WOJCIECH</t>
  </si>
  <si>
    <t>HARDCASTLE, RICHARD</t>
  </si>
  <si>
    <t>ACHILIKE, ROBERT</t>
  </si>
  <si>
    <t>MESKO, JOHN</t>
  </si>
  <si>
    <t>Practitioner is credentialed internally as General Practice and Obstetrics only., AID - Single issuer's classification disagreed with majority</t>
  </si>
  <si>
    <t>TN License 67811</t>
  </si>
  <si>
    <t xml:space="preserve">Suggestor reason verified </t>
  </si>
  <si>
    <t>LAL, SUNDEEP</t>
  </si>
  <si>
    <t>Misclassified: Physical Medicine &amp;amp; Rehab (ASMB)</t>
  </si>
  <si>
    <t xml:space="preserve">Too far from AR border - Pain medicine. </t>
  </si>
  <si>
    <t>BERRY, JON</t>
  </si>
  <si>
    <t>GRIMES, COLLIN</t>
  </si>
  <si>
    <t>MELTON, HEATHER</t>
  </si>
  <si>
    <t>MCINTOSH, JOSHUA</t>
  </si>
  <si>
    <t>MCCLENDON, JAMAL</t>
  </si>
  <si>
    <t>LENTS, CONSTANCE</t>
  </si>
  <si>
    <t>ANDERSON, JOSHUA</t>
  </si>
  <si>
    <t>THOMAS, DARRYL</t>
  </si>
  <si>
    <t>WIENER, HILLEL</t>
  </si>
  <si>
    <t>ISRAEL, MICHAEL</t>
  </si>
  <si>
    <t>COBB, SARAH</t>
  </si>
  <si>
    <t>BELL, MICHAEL</t>
  </si>
  <si>
    <t>MARTINEZ, SANTOS</t>
  </si>
  <si>
    <t>MCKENZIE, JAMES</t>
  </si>
  <si>
    <t>WRIGHT, SEAN</t>
  </si>
  <si>
    <t>VINSON, CHRISTOPHER</t>
  </si>
  <si>
    <t>DOWLING, DAVID</t>
  </si>
  <si>
    <t>FEGER, MARK</t>
  </si>
  <si>
    <t>HARDY, ROSS</t>
  </si>
  <si>
    <t>GRAVES, STEPHANIE</t>
  </si>
  <si>
    <t>MEALER, TABITHA</t>
  </si>
  <si>
    <t>REEVES, ROBERT</t>
  </si>
  <si>
    <t>MOSELEY, CLAIBORNE</t>
  </si>
  <si>
    <t>MUELLER, KATRINA</t>
  </si>
  <si>
    <t>HILL, CHAD</t>
  </si>
  <si>
    <t>WAANDERS, NICHOLAS</t>
  </si>
  <si>
    <t>ALLISON, RUSSELL</t>
  </si>
  <si>
    <t>DODGE, BENJAMIN</t>
  </si>
  <si>
    <t>AGNEW, SAMUEL</t>
  </si>
  <si>
    <t>WAHLMEIER, LAUREN</t>
  </si>
  <si>
    <t>MANCELL, JIMMIE</t>
  </si>
  <si>
    <t>HEARNDON, MICHAEL</t>
  </si>
  <si>
    <t>ZUBAIR, ADNAN</t>
  </si>
  <si>
    <t>WIGINGTON, ASHLEY</t>
  </si>
  <si>
    <t>MEDLIN, AMBER</t>
  </si>
  <si>
    <t>TOLLESON, TAYLOR</t>
  </si>
  <si>
    <t>SMITH, MADISON</t>
  </si>
  <si>
    <t>BAWEJA, PRIYANKA</t>
  </si>
  <si>
    <t>MARTIN, LEAH</t>
  </si>
  <si>
    <t>PALAHNIUK, JENNIFER</t>
  </si>
  <si>
    <t>LIMORE, TYLER</t>
  </si>
  <si>
    <t>OGLESBY, ADRAIN</t>
  </si>
  <si>
    <t>DEVORE, SARA</t>
  </si>
  <si>
    <t>New provider</t>
  </si>
  <si>
    <t>GHOBADIMANESH, ALEXANDER</t>
  </si>
  <si>
    <t>BOYD, CARMEN</t>
  </si>
  <si>
    <t>HOLTGREVEN, MARISA</t>
  </si>
  <si>
    <t>LAIN, KATHERINE</t>
  </si>
  <si>
    <t>HOBBS, MARY</t>
  </si>
  <si>
    <t>Plan has confirmed valid license and AR practice location.</t>
  </si>
  <si>
    <t>Per ChatGPT "listed under the specialty Psychiatry – Behavioral Health at the clinic location “Unity Health – Clarity Health &amp; Wellness – Searcy"</t>
  </si>
  <si>
    <t>SANDUSKY, TARA</t>
  </si>
  <si>
    <t>WYLIE, CORI</t>
  </si>
  <si>
    <t>REYNOLDS, KAREN</t>
  </si>
  <si>
    <t>HALL, KAREN</t>
  </si>
  <si>
    <t>HREBIEN, ANTHONY</t>
  </si>
  <si>
    <t>LUNDAY, CALEB</t>
  </si>
  <si>
    <t>Provider is a family practice APN, not BH. https://www.arcare.net/blog/profiles/caleb-lunday/, AID - Single issuer's classification disagreed with majority</t>
  </si>
  <si>
    <t>JENKINS, STEPHEN</t>
  </si>
  <si>
    <t xml:space="preserve">New provider, </t>
  </si>
  <si>
    <t>BOSTIAN-NEAL, ELISABETH</t>
  </si>
  <si>
    <t>GEYER, ERIN</t>
  </si>
  <si>
    <t>THARP, JOHN</t>
  </si>
  <si>
    <t>KINDRICK, WILLIAM</t>
  </si>
  <si>
    <t>BURGESS, ASHTIN</t>
  </si>
  <si>
    <t>BOAZAK, MINA</t>
  </si>
  <si>
    <t>Misclassified: Psychiatry (ASMB)</t>
  </si>
  <si>
    <t>Objector reason seems contradictory</t>
  </si>
  <si>
    <t>COFFMAN, KRISTEN</t>
  </si>
  <si>
    <t>JOHNSON, EMILY</t>
  </si>
  <si>
    <t>SPENCER, KIMBERLY</t>
  </si>
  <si>
    <t>LINCOLN, SOPHIA</t>
  </si>
  <si>
    <t>CONLEY, ALTHEA</t>
  </si>
  <si>
    <t>MARTIN, AUDREY</t>
  </si>
  <si>
    <t>CHERRY, MEGAN</t>
  </si>
  <si>
    <t>CARPENTER, BIANCA</t>
  </si>
  <si>
    <t>THOMPSON, JEREMY</t>
  </si>
  <si>
    <t>SMITH, ERIC</t>
  </si>
  <si>
    <t>GRAHAM, PAULA</t>
  </si>
  <si>
    <t>BIXLER, HEATHER</t>
  </si>
  <si>
    <t>GRAHAM, REBECCA</t>
  </si>
  <si>
    <t>MORTON, SIDNEY</t>
  </si>
  <si>
    <t>FOUST, MIKELL</t>
  </si>
  <si>
    <t>MULLINS, JENNA</t>
  </si>
  <si>
    <t>ROBINSON, JENNIFER</t>
  </si>
  <si>
    <t>GUTIERREZ, SAMANTHA</t>
  </si>
  <si>
    <t>PANIAGUA TORRES, CARMEN</t>
  </si>
  <si>
    <t>DELIGENT, REGINALD</t>
  </si>
  <si>
    <t>LONGORIA, JENNIFER</t>
  </si>
  <si>
    <t>MERRITT, ASHLEY</t>
  </si>
  <si>
    <t>STINNETT, THOMAS</t>
  </si>
  <si>
    <t>MILLER, LAURENCE</t>
  </si>
  <si>
    <t>STERLING, MELANIE</t>
  </si>
  <si>
    <t>MARTIN, KATHY</t>
  </si>
  <si>
    <t>ANDERSON, MICHEL</t>
  </si>
  <si>
    <t>HUDSON, DENISE</t>
  </si>
  <si>
    <t>DEAN, SHANIQUA</t>
  </si>
  <si>
    <t>SAINTFORT, RALPH</t>
  </si>
  <si>
    <t>HOLT, TAMMY</t>
  </si>
  <si>
    <t>BLEMMEL, CARLY</t>
  </si>
  <si>
    <t>GIBBS, MELISSA</t>
  </si>
  <si>
    <t>NAZARI, NATASHA</t>
  </si>
  <si>
    <t>RUSINOWSKI, JUSTIN</t>
  </si>
  <si>
    <t>WASHINGTON, ABEER</t>
  </si>
  <si>
    <t>LIVINGSTON, TINA</t>
  </si>
  <si>
    <t>HARMON, LAURA</t>
  </si>
  <si>
    <t>SEALS, TAMEKA</t>
  </si>
  <si>
    <t>VALLEJO, GRACE</t>
  </si>
  <si>
    <t>CAFFEY, BRANDI</t>
  </si>
  <si>
    <t>ROSARIO, OLIMPIA</t>
  </si>
  <si>
    <t>HOUSE, SAMUEL</t>
  </si>
  <si>
    <t>VISSER-PARDEE, MALLORY</t>
  </si>
  <si>
    <t>WILLIAMS, MEREDITH</t>
  </si>
  <si>
    <t>GENTLE, SHONICA</t>
  </si>
  <si>
    <t>JOINER, MELISSA</t>
  </si>
  <si>
    <t>PALMER, SARAH</t>
  </si>
  <si>
    <t>GRAY, MARISSA</t>
  </si>
  <si>
    <t>ULBRICH, KAYLIN</t>
  </si>
  <si>
    <t>WALTER, MARY</t>
  </si>
  <si>
    <t>REYNOLDS, ELISE</t>
  </si>
  <si>
    <t>GRIFFIN, ANNE</t>
  </si>
  <si>
    <t>LORAH, ELIZABETH</t>
  </si>
  <si>
    <t>JEGLEY, SUSAN</t>
  </si>
  <si>
    <t>WILLIAMS, NATHAN</t>
  </si>
  <si>
    <t>SMITH, RYAN</t>
  </si>
  <si>
    <t>CATLIN, DAVID</t>
  </si>
  <si>
    <t>WILCOX, LYNDSIE</t>
  </si>
  <si>
    <t>MOJICA, SUMMER</t>
  </si>
  <si>
    <t>Web research does not negate objection - inconclusive</t>
  </si>
  <si>
    <t>STEPHENS, KELLY</t>
  </si>
  <si>
    <t>JAIN, DAVE</t>
  </si>
  <si>
    <t>LATORRE, FABIAN</t>
  </si>
  <si>
    <t>Misclassified: Family Medicine/PCP (ASMB)</t>
  </si>
  <si>
    <t>DEMORET, ELIZABETH</t>
  </si>
  <si>
    <t>MELTON, HSIANG-YUN</t>
  </si>
  <si>
    <t>HALE, ZACHARY</t>
  </si>
  <si>
    <t>BENNETT, LEIGH</t>
  </si>
  <si>
    <t>HERNDON, HILARY</t>
  </si>
  <si>
    <t>LIMA, LAURN</t>
  </si>
  <si>
    <t>STEED, KELLY</t>
  </si>
  <si>
    <t>SMITH, ANDREW</t>
  </si>
  <si>
    <t>CAWTHRON, LACEY</t>
  </si>
  <si>
    <t>LEDOUX, CODY</t>
  </si>
  <si>
    <t>HOOD, JONI</t>
  </si>
  <si>
    <t>JEZIORSKI, VERONICA</t>
  </si>
  <si>
    <t>LEVERETTE, ALICIA</t>
  </si>
  <si>
    <t>LEE, KEIRSTEN</t>
  </si>
  <si>
    <t>DEWALT, ALLISON</t>
  </si>
  <si>
    <t>FLEMING, JENNIFER</t>
  </si>
  <si>
    <t>TILLMAN, EMILY</t>
  </si>
  <si>
    <t>HARRIS, MELODEE</t>
  </si>
  <si>
    <t>SUN, ZHIQIANG</t>
  </si>
  <si>
    <t>WILLYARD, CARRIE</t>
  </si>
  <si>
    <t>NIEMCZYK, MALLORY</t>
  </si>
  <si>
    <t>TRAMEL, BETHANIE</t>
  </si>
  <si>
    <t>MCKEE, AMY</t>
  </si>
  <si>
    <t>BROWN, CHARLENE</t>
  </si>
  <si>
    <t>HUNTSMAN, ASHLEIGH</t>
  </si>
  <si>
    <t>JENKINS, CASEY</t>
  </si>
  <si>
    <t>AGUILAR, TEODORO</t>
  </si>
  <si>
    <t>BERNER, KEITH</t>
  </si>
  <si>
    <t>MUKATIRA, UTHAPPA</t>
  </si>
  <si>
    <t>FULLER, LISA</t>
  </si>
  <si>
    <t>SULLIVAN, EDISON</t>
  </si>
  <si>
    <t>NORTHERN, JENNIFER</t>
  </si>
  <si>
    <t>Plan has confirmed valid license and AR practice location., Cert#11622612</t>
  </si>
  <si>
    <t>SMITH, TIFFANY</t>
  </si>
  <si>
    <t>HASKINS, JANA</t>
  </si>
  <si>
    <t>BONDS, ABIGAIL</t>
  </si>
  <si>
    <t>SMITH, WHITNEY</t>
  </si>
  <si>
    <t>SELTHOFNER, SUSAN</t>
  </si>
  <si>
    <t>GERARDO, MICHAEL</t>
  </si>
  <si>
    <t>DAVIS, MISTY</t>
  </si>
  <si>
    <t>ALDEA, IVAN</t>
  </si>
  <si>
    <t>STEVENS, SAVANNAH</t>
  </si>
  <si>
    <t>WILLIAMS, JESSICA</t>
  </si>
  <si>
    <t>BELL-TOLLIVER, LAVERNE</t>
  </si>
  <si>
    <t>DAFFRON, ASHLEY</t>
  </si>
  <si>
    <t>HAUGHEY, ALLIE</t>
  </si>
  <si>
    <t>JOSEPH, SHYNI</t>
  </si>
  <si>
    <t>WILLIAMSON, LAVATRIA</t>
  </si>
  <si>
    <t>MANKEY, SAMANTHA</t>
  </si>
  <si>
    <t>MCDONALD, DONALD</t>
  </si>
  <si>
    <t>Web research</t>
  </si>
  <si>
    <t>MONTGOMERY, BYRON</t>
  </si>
  <si>
    <t>CHAMBERS, MELISSA</t>
  </si>
  <si>
    <t>MORGAN, EMILY</t>
  </si>
  <si>
    <t>NAIL, REBECCA</t>
  </si>
  <si>
    <t>PINTADO, AMY</t>
  </si>
  <si>
    <t>FARMER, HEAVEN</t>
  </si>
  <si>
    <t>SCALLION, BENNI</t>
  </si>
  <si>
    <t>LILLY, CASSADY</t>
  </si>
  <si>
    <t>SIMON, KEVIE</t>
  </si>
  <si>
    <t>SLATTON, ANNA</t>
  </si>
  <si>
    <t>License Revoked</t>
  </si>
  <si>
    <t>LPC License: P1402024 show active until 5/31/2027 with no disciplinary actions.</t>
  </si>
  <si>
    <t>Objector's reason verified as valid</t>
  </si>
  <si>
    <t>SHELDON, ELIZABETH</t>
  </si>
  <si>
    <t>SMITH, AMBER</t>
  </si>
  <si>
    <t>PITTMAN, DEBRA</t>
  </si>
  <si>
    <t>SLEPPY, SARAH</t>
  </si>
  <si>
    <t>CLEMENTS, HERMAN</t>
  </si>
  <si>
    <t>WITHERINGTON, BRENT</t>
  </si>
  <si>
    <t>BAKER, EBONY</t>
  </si>
  <si>
    <t>OBREGON, FABIOLA</t>
  </si>
  <si>
    <t>KIMBERLIN, BRENNAN</t>
  </si>
  <si>
    <t>STANLEY, JAMES</t>
  </si>
  <si>
    <t>GERRARD, JASON</t>
  </si>
  <si>
    <t>TYLER, SUSAN</t>
  </si>
  <si>
    <t>BENNETT, JESSICA</t>
  </si>
  <si>
    <t>MCSPADDEN, WHITNEY</t>
  </si>
  <si>
    <t>HOSSAIN, MAHMOOD</t>
  </si>
  <si>
    <t>FISHER, EMILY</t>
  </si>
  <si>
    <t>TANKERSLEY, BRIAN</t>
  </si>
  <si>
    <t>ELLIOTT, NAOMI</t>
  </si>
  <si>
    <t>KORY, STEVEN</t>
  </si>
  <si>
    <t>GUTHRIE, SHARON</t>
  </si>
  <si>
    <t>WIGGINS, KELSEY</t>
  </si>
  <si>
    <t>STEWART, MELISSA</t>
  </si>
  <si>
    <t>HOLLAND, TESHA</t>
  </si>
  <si>
    <t>BRECKENRIDGE, SHEENA</t>
  </si>
  <si>
    <t>SAINI, TEJINDER</t>
  </si>
  <si>
    <t>GIBSON, GEOFF</t>
  </si>
  <si>
    <t>STOVER, SHAWNA</t>
  </si>
  <si>
    <t>GRAVES, JAMES</t>
  </si>
  <si>
    <t>WALDEN, THOMAS</t>
  </si>
  <si>
    <t>HUKRIEDE, JOHN</t>
  </si>
  <si>
    <t>SPEARS, MARK</t>
  </si>
  <si>
    <t>BULICE, KASHA</t>
  </si>
  <si>
    <t>MCCUISTION, EMILY</t>
  </si>
  <si>
    <t>CLARK, KYNDAL</t>
  </si>
  <si>
    <t>KONNESKY, MARY</t>
  </si>
  <si>
    <t>GRAY, DEIDRE</t>
  </si>
  <si>
    <t>PERSENAIRE, ADAM</t>
  </si>
  <si>
    <t>HAAS, DAVID</t>
  </si>
  <si>
    <t>INMAN, ARIEL</t>
  </si>
  <si>
    <t>MORGAN, MONICA</t>
  </si>
  <si>
    <t>BARKER, ALANA</t>
  </si>
  <si>
    <t>VASSAR, CODIE</t>
  </si>
  <si>
    <t>HALE, NATONYA</t>
  </si>
  <si>
    <t>CRAWFORD, JESSICA</t>
  </si>
  <si>
    <t>DENNIS, MICHAEL</t>
  </si>
  <si>
    <t>SCHRAEDER, KERA</t>
  </si>
  <si>
    <t>YOUNG, RACHEL</t>
  </si>
  <si>
    <t>WRINKLES, BROCK</t>
  </si>
  <si>
    <t>WILLIAMS, JASON</t>
  </si>
  <si>
    <t>HAWKINS, CHARLEY</t>
  </si>
  <si>
    <t>MANNING, JORDYN</t>
  </si>
  <si>
    <t>BROSNAN, PAULA</t>
  </si>
  <si>
    <t>SCHULTE, EMILY</t>
  </si>
  <si>
    <t>FORREST, ROBERT</t>
  </si>
  <si>
    <t>COMFORT, AMANDA</t>
  </si>
  <si>
    <t>FRANKLIN, DIANA</t>
  </si>
  <si>
    <t>WRIGHT-LITTLE, TOMEKA</t>
  </si>
  <si>
    <t>LAURENCELLE, MATTHEW</t>
  </si>
  <si>
    <t>ROSNERMANZ, HAYLEY</t>
  </si>
  <si>
    <t>STIPP, SIERRA</t>
  </si>
  <si>
    <t>KUBACAK, BRIAN</t>
  </si>
  <si>
    <t>WHITE, TONY</t>
  </si>
  <si>
    <t>FERNANDEZ, ALEXANDRA</t>
  </si>
  <si>
    <t>RAMSEY, MOLLY</t>
  </si>
  <si>
    <t>BUNNER, FRANK</t>
  </si>
  <si>
    <t>LESLIE, ANIKA</t>
  </si>
  <si>
    <t>DUNCAN, DEALLA</t>
  </si>
  <si>
    <t>WALKER, KAREN</t>
  </si>
  <si>
    <t>ELLIS, LEIGH ANN</t>
  </si>
  <si>
    <t>BOOKER, AMY</t>
  </si>
  <si>
    <t>OVERLEY, LACY</t>
  </si>
  <si>
    <t>RHODES, KIMBERLY</t>
  </si>
  <si>
    <t>BAKER, SAVANNAH</t>
  </si>
  <si>
    <t>CLARK, DEBBIE</t>
  </si>
  <si>
    <t>Active network practitioner, New provider</t>
  </si>
  <si>
    <t>ZAHN, CHLOE</t>
  </si>
  <si>
    <t>GORDON, KRISSA</t>
  </si>
  <si>
    <t>HUGHES, KAYLA</t>
  </si>
  <si>
    <t>BRANCH, CHASEY</t>
  </si>
  <si>
    <t>STILLWELL, WHITNEY</t>
  </si>
  <si>
    <t>COLEMAN, VALISYA</t>
  </si>
  <si>
    <t>JONES, KIMBERLY</t>
  </si>
  <si>
    <t>BALSARA, CHARMI</t>
  </si>
  <si>
    <t>WOLFE, JORDYN</t>
  </si>
  <si>
    <t>KEY, MELISSA</t>
  </si>
  <si>
    <t>BROOKS, CRYSTAL</t>
  </si>
  <si>
    <t>LEFLORE, LATISSHA</t>
  </si>
  <si>
    <t>MARTIN, KRISTIN</t>
  </si>
  <si>
    <t>WILSON, CHRISTINE</t>
  </si>
  <si>
    <t>HERZBERG, MIRIAM</t>
  </si>
  <si>
    <t>RUNSHE, STEPHANIE</t>
  </si>
  <si>
    <t>ALLBRIGHT, MELISSA</t>
  </si>
  <si>
    <t>BARTROW, CANDACE</t>
  </si>
  <si>
    <t>MAYBURY, MELISSA</t>
  </si>
  <si>
    <t>MACON, MARY</t>
  </si>
  <si>
    <t>MARTIN, HALEY</t>
  </si>
  <si>
    <t>LEWIS, JANET</t>
  </si>
  <si>
    <t>ONLY, RONALD</t>
  </si>
  <si>
    <t>RICHISON, ABIGAIL</t>
  </si>
  <si>
    <t>BAKER, VICKY</t>
  </si>
  <si>
    <t>CHAMBERS, TONYA</t>
  </si>
  <si>
    <t>HERTLEIN, KIMBERLY</t>
  </si>
  <si>
    <t>SIRISENA, MALI</t>
  </si>
  <si>
    <t>BAKER, LACEY</t>
  </si>
  <si>
    <t>HILL, PAUL</t>
  </si>
  <si>
    <t>CONLEY-OLSEN, LAURA</t>
  </si>
  <si>
    <t>MARTIN, TRACIE</t>
  </si>
  <si>
    <t>TONKIN, DAVID</t>
  </si>
  <si>
    <t>SANGHERA, ALEXIS</t>
  </si>
  <si>
    <t>COFFEY, MEAGAN</t>
  </si>
  <si>
    <t>BALTAZAR, DESIREE</t>
  </si>
  <si>
    <t>SMITH, NANCY</t>
  </si>
  <si>
    <t>WEST, GRETCHAN</t>
  </si>
  <si>
    <t>SIMMONS, HEATHER</t>
  </si>
  <si>
    <t>FAIRMON-HILL, ASCHA</t>
  </si>
  <si>
    <t>MAPES, CRYSTAL</t>
  </si>
  <si>
    <t>PANG, JIM</t>
  </si>
  <si>
    <t>STEPHENS, TONI</t>
  </si>
  <si>
    <t>MARTIN, AMANDA</t>
  </si>
  <si>
    <t>GAGE, ALLISON</t>
  </si>
  <si>
    <t>LIOR, KEERIN</t>
  </si>
  <si>
    <t>WALDEN, VICTORIA</t>
  </si>
  <si>
    <t>KINDER, JULIE</t>
  </si>
  <si>
    <t>WAUTERS, RONALD</t>
  </si>
  <si>
    <t>TANNEHILL, RHONDA</t>
  </si>
  <si>
    <t>LADUKE, TORI</t>
  </si>
  <si>
    <t>BROOKS, KARA</t>
  </si>
  <si>
    <t>GANNOE, KRISTIN</t>
  </si>
  <si>
    <t>ANDREWS, LAUREN</t>
  </si>
  <si>
    <t>HICKS, DANIELLE</t>
  </si>
  <si>
    <t>OSTENDORF, ERICA</t>
  </si>
  <si>
    <t>SUNDERMANN, RICHARD</t>
  </si>
  <si>
    <t>HALL, RACHEAL</t>
  </si>
  <si>
    <t>NGUYEN, MICHELLE</t>
  </si>
  <si>
    <t>DEBERNARD, CHRISTOPHER</t>
  </si>
  <si>
    <t>CORCORAN, MARLA</t>
  </si>
  <si>
    <t>POWERS, STEPHEN</t>
  </si>
  <si>
    <t>TALLEY, CALLIE</t>
  </si>
  <si>
    <t>LONG, KATHERINE</t>
  </si>
  <si>
    <t>PAXSON, KATELYN</t>
  </si>
  <si>
    <t>HOLLIS, EMILY</t>
  </si>
  <si>
    <t>TALBURT, HANNA</t>
  </si>
  <si>
    <t>GARIX, NICOLE</t>
  </si>
  <si>
    <t>VEGA, FRANCISCO</t>
  </si>
  <si>
    <t>JONES, LAURA</t>
  </si>
  <si>
    <t>SANDIDGE, YALAUNDA</t>
  </si>
  <si>
    <t>BAILEY, KIRSTIE</t>
  </si>
  <si>
    <t>MADANI, HANAA</t>
  </si>
  <si>
    <t>SMITH, LESLIE</t>
  </si>
  <si>
    <t>BULDRA, TAYLOR</t>
  </si>
  <si>
    <t>BURNETT, ALLEN</t>
  </si>
  <si>
    <t>LANKFORD, RACHEL</t>
  </si>
  <si>
    <t>BOYD, DANIEL</t>
  </si>
  <si>
    <t>GLENN, ROBERT</t>
  </si>
  <si>
    <t>MOORE, LENREYAH</t>
  </si>
  <si>
    <t>WITCHER, CRAIG</t>
  </si>
  <si>
    <t>RUSHING, COURTNEY</t>
  </si>
  <si>
    <t>HEINL, BRIELLE</t>
  </si>
  <si>
    <t>MILLS, STACIE</t>
  </si>
  <si>
    <t>VYAS, SANKET</t>
  </si>
  <si>
    <t>VAUGHAN, KRYSTYN</t>
  </si>
  <si>
    <t>DIAZ, PAMELA</t>
  </si>
  <si>
    <t>PARKS, JAMES</t>
  </si>
  <si>
    <t>TAJ, NAUMAN</t>
  </si>
  <si>
    <t>MADDOX, MADISON</t>
  </si>
  <si>
    <t>FLYNN, ALYSSA</t>
  </si>
  <si>
    <t>NORWOOD, BOBBY</t>
  </si>
  <si>
    <t>GAGE, RACHEL</t>
  </si>
  <si>
    <t>PRESTON, CHRISTINE</t>
  </si>
  <si>
    <t>MILLER, KACI</t>
  </si>
  <si>
    <t>OSBORN, ADRIAN</t>
  </si>
  <si>
    <t>STILES, SHARLA</t>
  </si>
  <si>
    <t>CARPENTER, CYNTHIA</t>
  </si>
  <si>
    <t>HENRY, MELANIE</t>
  </si>
  <si>
    <t>GAY, UATCHET</t>
  </si>
  <si>
    <t>IMBODEN, KEELY</t>
  </si>
  <si>
    <t>WARHURST, LORI</t>
  </si>
  <si>
    <t>FLAKE, KESSIA</t>
  </si>
  <si>
    <t>BEAMON, KRISTY</t>
  </si>
  <si>
    <t>WHITE, WESLEY</t>
  </si>
  <si>
    <t>MANNEY, SUSANNAH</t>
  </si>
  <si>
    <t>CARPENTER, KAREN</t>
  </si>
  <si>
    <t>VILLINES, REAGAN</t>
  </si>
  <si>
    <t>DORCH, BAILEY</t>
  </si>
  <si>
    <t>BOJIE, SARA</t>
  </si>
  <si>
    <t>PALERMO, BRITTANY</t>
  </si>
  <si>
    <t>PIAZZA, CATHERINE</t>
  </si>
  <si>
    <t>BISE, CYGNET</t>
  </si>
  <si>
    <t>JACOBELLI, DOMINIC</t>
  </si>
  <si>
    <t>Under contract. NPI Orthopaedic Surgery - Sports Medicine;  Listed as PMR on Mercy website, ASMB: Physical Medicine &amp;amp; Rehabilitation/Sports Medicine</t>
  </si>
  <si>
    <t>MAGIERA-PLANEY, RENEE</t>
  </si>
  <si>
    <t>CANNON, DOUGLAS</t>
  </si>
  <si>
    <t>Under contract. NPI Physical Medicine &amp;amp; Rehabilitation in MS and TN; Per website for Campbell Clinic in MS provider is valid for this specialty</t>
  </si>
  <si>
    <t>HOBART-PORTER, LAURA</t>
  </si>
  <si>
    <t>CRIDER, NATHANIEL</t>
  </si>
  <si>
    <t>ALEXANDER, CHRISTINE</t>
  </si>
  <si>
    <t>ESTES, JOSHUA</t>
  </si>
  <si>
    <t>VERMA, VIRENDAR</t>
  </si>
  <si>
    <t>KOUTZEVA-DUSSEL, TOTKA</t>
  </si>
  <si>
    <t>OSMAN, OMAR</t>
  </si>
  <si>
    <t>ZAREEN, NASIR</t>
  </si>
  <si>
    <t>GENTRY, CAROLYN</t>
  </si>
  <si>
    <t>HULETT, KEVIN</t>
  </si>
  <si>
    <t>MITCHELL, MACKENZIE</t>
  </si>
  <si>
    <t>LANE, DENISE</t>
  </si>
  <si>
    <t>MOORE, STEPHEN</t>
  </si>
  <si>
    <t>HIBBS, JENNETTE</t>
  </si>
  <si>
    <t>PRATHER, CLIFF</t>
  </si>
  <si>
    <t>COLLINS, MARY</t>
  </si>
  <si>
    <t>JACKSON, MORGAN</t>
  </si>
  <si>
    <t>WAGNER, ETHAN</t>
  </si>
  <si>
    <t>HOLLAND, SAMUEL</t>
  </si>
  <si>
    <t>LOWDER, LISA</t>
  </si>
  <si>
    <t>COURVILLE, ADAM</t>
  </si>
  <si>
    <t>LAWRENCE, SYDNEY</t>
  </si>
  <si>
    <t>MASSEY, ALISHA</t>
  </si>
  <si>
    <t>COKER, ALLYSON</t>
  </si>
  <si>
    <t>PARKER, ALIX</t>
  </si>
  <si>
    <t>JACKSON, KENLEY</t>
  </si>
  <si>
    <t>HEARN, STEPHEN</t>
  </si>
  <si>
    <t>GORDON, KATLYN</t>
  </si>
  <si>
    <t>REDDEN, RHIANNA</t>
  </si>
  <si>
    <t>VEAZEY, CYNTHIA</t>
  </si>
  <si>
    <t>GRIFFIN, MARYCLAIRE</t>
  </si>
  <si>
    <t>VILLA, VITO</t>
  </si>
  <si>
    <t>BRADY, JESSICA</t>
  </si>
  <si>
    <t>LOGAN, HUNTER</t>
  </si>
  <si>
    <t>SKIERSKI, DANIEL</t>
  </si>
  <si>
    <t>BAKER, RACHEL</t>
  </si>
  <si>
    <t>SPAGNOLO, ALISON</t>
  </si>
  <si>
    <t>MORRIS, SHELBY</t>
  </si>
  <si>
    <t>WRIGHT, JAMES</t>
  </si>
  <si>
    <t>VANG, NURIENA</t>
  </si>
  <si>
    <t>JOHNSON, CARA</t>
  </si>
  <si>
    <t>LAMB, NORAIDA</t>
  </si>
  <si>
    <t>HARTIS, KOBY</t>
  </si>
  <si>
    <t>GLENN, SYDNEY</t>
  </si>
  <si>
    <t>KEEN, KATHRYN</t>
  </si>
  <si>
    <t>CORCORAN, ASHLEY</t>
  </si>
  <si>
    <t>BELDEN, JENNIFER</t>
  </si>
  <si>
    <t>DICKESON, ETHAN</t>
  </si>
  <si>
    <t>RANKIN, CASSADY</t>
  </si>
  <si>
    <t>OLIVER, SYDNEY</t>
  </si>
  <si>
    <t>HOPPER, LEA</t>
  </si>
  <si>
    <t>MCCLAIN, ASHLEY</t>
  </si>
  <si>
    <t>KIGHT, KINZIE</t>
  </si>
  <si>
    <t>ODOM, JEANNE</t>
  </si>
  <si>
    <t>GOOLSBY, CHRISTIAN</t>
  </si>
  <si>
    <t>WAGNER, MCKENNA</t>
  </si>
  <si>
    <t>NEWMAN, WILLIAM</t>
  </si>
  <si>
    <t>PHILLIPS, CRISTY</t>
  </si>
  <si>
    <t>ROBERSON, ROBERT</t>
  </si>
  <si>
    <t>SUBLETT, LUISA</t>
  </si>
  <si>
    <t>BENNETT, AMANDA</t>
  </si>
  <si>
    <t>PATEL, ARTI</t>
  </si>
  <si>
    <t>RAGO, JOHN</t>
  </si>
  <si>
    <t>JIMENEZ, AMANDA</t>
  </si>
  <si>
    <t>TEUSCHL, KRISTEN</t>
  </si>
  <si>
    <t>PRINCE, JILLIAN</t>
  </si>
  <si>
    <t>WEST, AMANDA</t>
  </si>
  <si>
    <t>BALLARD, JOSHUA</t>
  </si>
  <si>
    <t>KINSER, SYDNEY</t>
  </si>
  <si>
    <t>WELD, KATHERINE</t>
  </si>
  <si>
    <t>ASHBY, JASON</t>
  </si>
  <si>
    <t>SU, LINDA</t>
  </si>
  <si>
    <t>LAGRUTTA, ALEX</t>
  </si>
  <si>
    <t>GLOVER, AMANDA</t>
  </si>
  <si>
    <t>JONES, DEREK</t>
  </si>
  <si>
    <t>ROSS, RUTH</t>
  </si>
  <si>
    <t>HATCHER, JASON</t>
  </si>
  <si>
    <t>QUESNELL, DANIELLE</t>
  </si>
  <si>
    <t>DORSEY, SARAH</t>
  </si>
  <si>
    <t>MYERS, BRIAN</t>
  </si>
  <si>
    <t>HENDRIX, TAYLOR</t>
  </si>
  <si>
    <t>BUCHANAN, LEA</t>
  </si>
  <si>
    <t>CONNOLLY, MICHELLE</t>
  </si>
  <si>
    <t>AITKEN, BRENDON</t>
  </si>
  <si>
    <t>PETERS, CHARLOTTE</t>
  </si>
  <si>
    <t>BLACK, REECE</t>
  </si>
  <si>
    <t>PENNINGTON, MICHAEL</t>
  </si>
  <si>
    <t>AGEE, SAVANNAH</t>
  </si>
  <si>
    <t>CLARK, JESSICA</t>
  </si>
  <si>
    <t>COOPER, ADRIAN</t>
  </si>
  <si>
    <t>BARBER, BRAXTON</t>
  </si>
  <si>
    <t>MORELAND, NATALIE</t>
  </si>
  <si>
    <t>ALLEN, SHARAN</t>
  </si>
  <si>
    <t>CASHMAN, STEPHEN</t>
  </si>
  <si>
    <t>HIERS, CONNIE</t>
  </si>
  <si>
    <t>HENRY, ARTANGELA</t>
  </si>
  <si>
    <t>GUISE-MCDONOUGH, AMANDA</t>
  </si>
  <si>
    <t>WILLENBERG, TIFFANY</t>
  </si>
  <si>
    <t>FORD, MARCIA</t>
  </si>
  <si>
    <t>YEE, SUZANNE</t>
  </si>
  <si>
    <t>DOUGHERTY, CHRISTOPHER</t>
  </si>
  <si>
    <t>OGHINA, OKEYO</t>
  </si>
  <si>
    <t>BAKER, DAVID</t>
  </si>
  <si>
    <t>BANNISTER, ANNE</t>
  </si>
  <si>
    <t>FRY, CONSTANCE</t>
  </si>
  <si>
    <t>MAZANDER, JOANNE</t>
  </si>
  <si>
    <t>BUTLER, MONTE</t>
  </si>
  <si>
    <t>This NPI/Location is for a DDS Oral Surgeon , AID - Single issuer's classification disagreed with majority</t>
  </si>
  <si>
    <t>MINKIN, PATTON</t>
  </si>
  <si>
    <t>DORRITY, JEFFREY</t>
  </si>
  <si>
    <t>QUICK, DONNY</t>
  </si>
  <si>
    <t>This NPI is for a DDS Oral Surgeon , AID - Single issuer's classification disagreed with majority</t>
  </si>
  <si>
    <t>SARNA, THOMAS</t>
  </si>
  <si>
    <t>SEELINGER, PAYTON</t>
  </si>
  <si>
    <t>LEWIS, PAUL</t>
  </si>
  <si>
    <t>MARSH, DAVID</t>
  </si>
  <si>
    <t>WOODARD, ERNEST</t>
  </si>
  <si>
    <t>HEYMANN, HANS</t>
  </si>
  <si>
    <t>Ophtalmic plastic not within Plastic surgeon</t>
  </si>
  <si>
    <t>LARSON, MICHAEL</t>
  </si>
  <si>
    <t>JING, XI LIN</t>
  </si>
  <si>
    <t>No Objection</t>
  </si>
  <si>
    <t>PIATKOWSKI, KURT</t>
  </si>
  <si>
    <t>Practitioner is ortho, not plastic surgery. https://www.sarcheart.com/providers-1/kurt-piatkowski, Provider specialty is Orthopedic Surgeon, AID - Single issuer's classification disagreed with majority</t>
  </si>
  <si>
    <t>MCALLISTER, CHASIDY</t>
  </si>
  <si>
    <t>JOHNSON, JORDAN</t>
  </si>
  <si>
    <t>EMMETT, SUSAN</t>
  </si>
  <si>
    <t>HOUSLEY, MELISSA</t>
  </si>
  <si>
    <t>DARLING, BRYAN</t>
  </si>
  <si>
    <t>SKOCH, STEVEN</t>
  </si>
  <si>
    <t>SHARMA, ANEET</t>
  </si>
  <si>
    <t>REILLY, DEBRA</t>
  </si>
  <si>
    <t>PANICO, EMMA</t>
  </si>
  <si>
    <t>KINCANNON, LAUREN</t>
  </si>
  <si>
    <t>WINELAND, ANDRE</t>
  </si>
  <si>
    <t>BELANGER, ROBINA</t>
  </si>
  <si>
    <t>Provider is a cardiothoracic surgeon, not plastic. https://uamshealth.com/provider/mark-o-hardin/</t>
  </si>
  <si>
    <t>REMERSCHEID, JAMES</t>
  </si>
  <si>
    <t>CROSS, JOSHUA</t>
  </si>
  <si>
    <t>HOLLOWAY, RICHARD</t>
  </si>
  <si>
    <t>ALVAREZ, SONIA</t>
  </si>
  <si>
    <t>MCDONALD, ROBERT</t>
  </si>
  <si>
    <t>LEMON, SARAH</t>
  </si>
  <si>
    <t>Excluded</t>
  </si>
  <si>
    <t>MCALEXANDER, MORGAN</t>
  </si>
  <si>
    <t>BEDWELL, VALERIE</t>
  </si>
  <si>
    <t>CAIN, CALEB</t>
  </si>
  <si>
    <t>COLQUITT, LETHA</t>
  </si>
  <si>
    <t>BARNETT, MARILYN</t>
  </si>
  <si>
    <t>HENSON, LAUREN</t>
  </si>
  <si>
    <t>MCCORMICK, SKIPPER</t>
  </si>
  <si>
    <t>HINES, COLBY</t>
  </si>
  <si>
    <t>TUCKER, IESHA</t>
  </si>
  <si>
    <t>SWIHART, MARY</t>
  </si>
  <si>
    <t>DEIMUND, SONDRA</t>
  </si>
  <si>
    <t>MCCALEB, HEATHER</t>
  </si>
  <si>
    <t>PECKENPAUGH, VICTORIA</t>
  </si>
  <si>
    <t>HERRELL, RACHEL</t>
  </si>
  <si>
    <t>HARRELL, AMBER</t>
  </si>
  <si>
    <t>MASON, NONA</t>
  </si>
  <si>
    <t>KYLE, GARRETT</t>
  </si>
  <si>
    <t>WILLIAMS, GIA</t>
  </si>
  <si>
    <t>ENGLAND, HALLIE</t>
  </si>
  <si>
    <t>STAUDER, RACHAEL</t>
  </si>
  <si>
    <t>MIDDLETON, SHAWNA</t>
  </si>
  <si>
    <t>DEBOOSERIE, ALLISON</t>
  </si>
  <si>
    <t>DANNER, CRYSTAL</t>
  </si>
  <si>
    <t>HAULCROFT, ALYSSA</t>
  </si>
  <si>
    <t>SMALL, SIERRA</t>
  </si>
  <si>
    <t>FOLEY, JOSEPH</t>
  </si>
  <si>
    <t>LINDSEY-GILES, DAPHNE</t>
  </si>
  <si>
    <t>BURNS, WILLIAM</t>
  </si>
  <si>
    <t>ALMAND, TARA</t>
  </si>
  <si>
    <t>RUSSELL, SARAH</t>
  </si>
  <si>
    <t>MAYFIELD, LAURA</t>
  </si>
  <si>
    <t>HANNA, CHRISTINA</t>
  </si>
  <si>
    <t>BRYANT, LINDSEY</t>
  </si>
  <si>
    <t>NORMAN, ANGELA</t>
  </si>
  <si>
    <t>MCKOWN, TERRI</t>
  </si>
  <si>
    <t>BREWER, OCEAN</t>
  </si>
  <si>
    <t>PARK, FALLON</t>
  </si>
  <si>
    <t>COX, KENDALL</t>
  </si>
  <si>
    <t>WELLS, ANNA</t>
  </si>
  <si>
    <t>HUFF, LAUREN</t>
  </si>
  <si>
    <t>EVANS, SARA</t>
  </si>
  <si>
    <t>MOSER, STEPHANIE</t>
  </si>
  <si>
    <t>WALKER, KEMMERLY</t>
  </si>
  <si>
    <t>BRYAN, MALEA</t>
  </si>
  <si>
    <t>WANG, TAO</t>
  </si>
  <si>
    <t>CAMPBELL, CANDACE</t>
  </si>
  <si>
    <t>CHANDO, MELISSA</t>
  </si>
  <si>
    <t>PEEK, KRISTEN</t>
  </si>
  <si>
    <t>JORDAN, CHRISTOPHER</t>
  </si>
  <si>
    <t>HIGDON, CHARLES</t>
  </si>
  <si>
    <t>BONDS, RATEESHA</t>
  </si>
  <si>
    <t>JOHNSON, KRISTINE</t>
  </si>
  <si>
    <t>PENRY, DAVID</t>
  </si>
  <si>
    <t>GUILLORY, SARAH</t>
  </si>
  <si>
    <t>MCADAMS, HOLLY</t>
  </si>
  <si>
    <t>DAVIS, MARKA</t>
  </si>
  <si>
    <t>HOWE, KOLTON</t>
  </si>
  <si>
    <t>RANDOLPH, TERESA</t>
  </si>
  <si>
    <t>RAMOS-RUBALCAVA, AMANDA</t>
  </si>
  <si>
    <t>WARD, JANA</t>
  </si>
  <si>
    <t>SPENCE, HANNAH</t>
  </si>
  <si>
    <t>LOVELL, ZACHARY</t>
  </si>
  <si>
    <t>HULETT, STEPHANIE</t>
  </si>
  <si>
    <t>JAMROS, WENDY</t>
  </si>
  <si>
    <t>TORREY, LARHONDA</t>
  </si>
  <si>
    <t>WILSON, STEPHANIE</t>
  </si>
  <si>
    <t>HOPKINS-WRIGHT, ROBIN</t>
  </si>
  <si>
    <t>WISDOM, MALLORY</t>
  </si>
  <si>
    <t>DABBS, JENNIFER</t>
  </si>
  <si>
    <t>SCAIFE, LASHICA</t>
  </si>
  <si>
    <t>JONES, BETTY</t>
  </si>
  <si>
    <t>OSBURNE, LAUREN</t>
  </si>
  <si>
    <t>HELLOMS, LADANA</t>
  </si>
  <si>
    <t>BROOKS, AMANDA</t>
  </si>
  <si>
    <t>DOWELL, KATIE</t>
  </si>
  <si>
    <t>QUALLS, DORIS</t>
  </si>
  <si>
    <t>DANIEL, KARIA</t>
  </si>
  <si>
    <t>HAWK, KRISTINA</t>
  </si>
  <si>
    <t>HOSKINS, LASONDA</t>
  </si>
  <si>
    <t>CAVER-BALLARD, BELINDA</t>
  </si>
  <si>
    <t>STAGGERS, KARAN</t>
  </si>
  <si>
    <t>LUCIUS, HAILEY</t>
  </si>
  <si>
    <t>WHITSON, BETHANY</t>
  </si>
  <si>
    <t>SALAZAR, ANA</t>
  </si>
  <si>
    <t>DULANEY, KRISTINA</t>
  </si>
  <si>
    <t>UREN, KEVIN</t>
  </si>
  <si>
    <t>NOSLER, JAMIE</t>
  </si>
  <si>
    <t>CROWELL, CASSANDRA</t>
  </si>
  <si>
    <t>MCCLANAHAN, KAYLA</t>
  </si>
  <si>
    <t>MOORE, KENNAN</t>
  </si>
  <si>
    <t>AGEE, JAMIE</t>
  </si>
  <si>
    <t>MOORE, LINDSEY</t>
  </si>
  <si>
    <t>REESE, ELISHEVA</t>
  </si>
  <si>
    <t>ALLEN, MOLLY</t>
  </si>
  <si>
    <t>WHITE, LINDSAY</t>
  </si>
  <si>
    <t>FOWLER, CAITLIN</t>
  </si>
  <si>
    <t>KEY, CHRISLA</t>
  </si>
  <si>
    <t>LEHMAN, MARIE</t>
  </si>
  <si>
    <t>KO, JOANNA</t>
  </si>
  <si>
    <t>DECROW, PAULA</t>
  </si>
  <si>
    <t>DRAKE, JANA</t>
  </si>
  <si>
    <t>PATE, TARA</t>
  </si>
  <si>
    <t>LAKE, SANDRA</t>
  </si>
  <si>
    <t>SUTFIN, SHERYL</t>
  </si>
  <si>
    <t>BOTTERWECK, REBECCA</t>
  </si>
  <si>
    <t>SILLS, JOY</t>
  </si>
  <si>
    <t>ESTES, MERCEDES</t>
  </si>
  <si>
    <t>STEELE, BRENDA</t>
  </si>
  <si>
    <t>VANG, KASHIA</t>
  </si>
  <si>
    <t>THRONE, ANDREW</t>
  </si>
  <si>
    <t>ROBBINS, BRANDY</t>
  </si>
  <si>
    <t>WEISS, LAURA</t>
  </si>
  <si>
    <t>BRANTLEY, BRIDGETT</t>
  </si>
  <si>
    <t>COOPER, RANA</t>
  </si>
  <si>
    <t>MCCOOK, PAIGE</t>
  </si>
  <si>
    <t>BILLIARD, AMBER</t>
  </si>
  <si>
    <t>YODER, NICOLE</t>
  </si>
  <si>
    <t>LONG, MICHAELA</t>
  </si>
  <si>
    <t>STICKLEY, KIMBERLY</t>
  </si>
  <si>
    <t>KELLEY, ARIEL</t>
  </si>
  <si>
    <t>PULLIAM, DANA</t>
  </si>
  <si>
    <t>COLLIER, PRISCILLA</t>
  </si>
  <si>
    <t>STEWART, EMILY</t>
  </si>
  <si>
    <t>GRAY, EMILY</t>
  </si>
  <si>
    <t>MURPHEY, MOLLY</t>
  </si>
  <si>
    <t>RAY, TANJA</t>
  </si>
  <si>
    <t>WALTERS, SARAH</t>
  </si>
  <si>
    <t>WILDER SLIGER, TINA</t>
  </si>
  <si>
    <t>WALKER, DONALD</t>
  </si>
  <si>
    <t>BROWN, LELA</t>
  </si>
  <si>
    <t>JEFFERY, AMBROSIA</t>
  </si>
  <si>
    <t>WATERS, CAITLIN</t>
  </si>
  <si>
    <t>BENTON, STEFFANY</t>
  </si>
  <si>
    <t>RENK, VICTORIA</t>
  </si>
  <si>
    <t>KEY, HEATHER</t>
  </si>
  <si>
    <t>SANFORD, JOSHUA</t>
  </si>
  <si>
    <t>BRANDON, SHERRY</t>
  </si>
  <si>
    <t>MINTON, JESSICA</t>
  </si>
  <si>
    <t>PIPPIN, KATHRYN</t>
  </si>
  <si>
    <t>BOLAND, MEAGHAN</t>
  </si>
  <si>
    <t>MCGUIRE, GABRIEL</t>
  </si>
  <si>
    <t>JONES, MICHELLE</t>
  </si>
  <si>
    <t>KELAMIS, TAYLOR</t>
  </si>
  <si>
    <t>OVERTON, JESSICA</t>
  </si>
  <si>
    <t>SHIRRON, AMANDA</t>
  </si>
  <si>
    <t>WEAVER, DANIELLE</t>
  </si>
  <si>
    <t>RHINEHART, DELIA</t>
  </si>
  <si>
    <t>DALLAS, AMY</t>
  </si>
  <si>
    <t>HARMON, MATTHEW</t>
  </si>
  <si>
    <t>WORD, MYKENZI</t>
  </si>
  <si>
    <t>ANDERSON, KIMBERLY</t>
  </si>
  <si>
    <t>CARROLL, TRACY</t>
  </si>
  <si>
    <t>LANGSTER, HOLLY</t>
  </si>
  <si>
    <t>STEPTER, CLESHEREE</t>
  </si>
  <si>
    <t>AHRENS, CHRISTINA</t>
  </si>
  <si>
    <t>MYERS, MEREDITH</t>
  </si>
  <si>
    <t>ROTENBERRY, AMANDA</t>
  </si>
  <si>
    <t>HOLLINGSWORTH, KATELIN</t>
  </si>
  <si>
    <t>ADAMS, MICHELLE</t>
  </si>
  <si>
    <t>CHAVERS, MADISON</t>
  </si>
  <si>
    <t>ELDER, JESSICA</t>
  </si>
  <si>
    <t>WHITFIELD, MARLA</t>
  </si>
  <si>
    <t>HIRSCHFELD, HANNAH</t>
  </si>
  <si>
    <t>STEWART, MARCEE</t>
  </si>
  <si>
    <t>HENDERSON, CATHERINE</t>
  </si>
  <si>
    <t>HANSON, SHELBY</t>
  </si>
  <si>
    <t>ROBBERSON, TANYA</t>
  </si>
  <si>
    <t>WACHTER, VIRGINIA</t>
  </si>
  <si>
    <t>CHRISTISON, MADISON</t>
  </si>
  <si>
    <t>TRAVIS, AMANDA</t>
  </si>
  <si>
    <t>JOHNSON, GAIL</t>
  </si>
  <si>
    <t>COMEAU, TORI</t>
  </si>
  <si>
    <t>MATHENY, ROBIN</t>
  </si>
  <si>
    <t>VOGEL, JONALEE</t>
  </si>
  <si>
    <t>OKWUOSA, PAULINE</t>
  </si>
  <si>
    <t>WATKINS, MINDY</t>
  </si>
  <si>
    <t>DUNN, SHANNON</t>
  </si>
  <si>
    <t>PERRY, REGINA</t>
  </si>
  <si>
    <t>ECHOLS, ANTHONY</t>
  </si>
  <si>
    <t>MUDDASSIR, KHAWAJA</t>
  </si>
  <si>
    <t>AID - Misclassified as PCP having Internal Medicine as only qualifier</t>
  </si>
  <si>
    <t>PATEL, MEHUL</t>
  </si>
  <si>
    <t>BOGART, JOY</t>
  </si>
  <si>
    <t>AMBROGINI, ELENA</t>
  </si>
  <si>
    <t>COX, ADAM</t>
  </si>
  <si>
    <t>SHRESTHA, ASIS</t>
  </si>
  <si>
    <t>HOYT, LAWRENCE</t>
  </si>
  <si>
    <t>MONTAGUE, ALLISON</t>
  </si>
  <si>
    <t>ZETO, ALAN</t>
  </si>
  <si>
    <t>HAZAA, ALSHAIMAA</t>
  </si>
  <si>
    <t>FISER, ELIZABETH</t>
  </si>
  <si>
    <t>BROWN, AMY</t>
  </si>
  <si>
    <t>GRAY, MARINA</t>
  </si>
  <si>
    <t>LUSTER, ERIC</t>
  </si>
  <si>
    <t>HERRING, TARA</t>
  </si>
  <si>
    <t>JOHNSON, RAESHAUNA</t>
  </si>
  <si>
    <t>RILEY, TIFFANY</t>
  </si>
  <si>
    <t>VELASQUEZ, PEDRO</t>
  </si>
  <si>
    <t>FORNEY, JOSEPH</t>
  </si>
  <si>
    <t>DIPONIO, RUSSELL</t>
  </si>
  <si>
    <t>DUDAR, AMAL</t>
  </si>
  <si>
    <t>PAPAYANNIS, IOANNIS</t>
  </si>
  <si>
    <t>LANE, WESLEY</t>
  </si>
  <si>
    <t>RANGANATH, HARSHA</t>
  </si>
  <si>
    <t>MCCORMACK, CARL</t>
  </si>
  <si>
    <t>BARBER, KEVIN</t>
  </si>
  <si>
    <t>GOODMAN, AMBER</t>
  </si>
  <si>
    <t>GARNER, DEENA</t>
  </si>
  <si>
    <t>YANCEY, JUSTIN</t>
  </si>
  <si>
    <t>ROBERTSON, CHANDLER</t>
  </si>
  <si>
    <t>ISKA, SINDU</t>
  </si>
  <si>
    <t>STROTHKAMP, CASSANDRA</t>
  </si>
  <si>
    <t>ELKINS, MICHAEL</t>
  </si>
  <si>
    <t>LUSTER, JERRICA</t>
  </si>
  <si>
    <t>BENNETT, KATHERINE</t>
  </si>
  <si>
    <t>STILES, ALLISON</t>
  </si>
  <si>
    <t>RASHEED, KASHAF</t>
  </si>
  <si>
    <t>LOZANO, JOSE</t>
  </si>
  <si>
    <t>BAGGETT-WOODARD, DEBRA</t>
  </si>
  <si>
    <t>OPINALDO, PHILMA</t>
  </si>
  <si>
    <t>GUSTAFSON, ERIC</t>
  </si>
  <si>
    <t>MCCLINTON, ERNEST</t>
  </si>
  <si>
    <t>FLOYD, JANELLE</t>
  </si>
  <si>
    <t>THAPA, PRIYENKA</t>
  </si>
  <si>
    <t>SHAH, SHAN</t>
  </si>
  <si>
    <t>BEAR, MATTHEW</t>
  </si>
  <si>
    <t>BROWN, JILL</t>
  </si>
  <si>
    <t>POWELL, ANDREW</t>
  </si>
  <si>
    <t>KUMAR, KAWEETA</t>
  </si>
  <si>
    <t>DARMSTEADTER, DAVID</t>
  </si>
  <si>
    <t>ZULQARNAIN, MUHAMMAD</t>
  </si>
  <si>
    <t>ROTH, WILLIAM</t>
  </si>
  <si>
    <t>REID, JANA</t>
  </si>
  <si>
    <t>RECINE, NICOLE</t>
  </si>
  <si>
    <t>KHAN, AMINA</t>
  </si>
  <si>
    <t>DALE, GRACEN</t>
  </si>
  <si>
    <t>STEWART, ADLEY</t>
  </si>
  <si>
    <t>DOUGHERTY, LAUREN</t>
  </si>
  <si>
    <t>LEDBETTER, HALEY</t>
  </si>
  <si>
    <t>LYONS, HANNAH</t>
  </si>
  <si>
    <t>WILLIS, PAYTON</t>
  </si>
  <si>
    <t>TERRY, PAMALA</t>
  </si>
  <si>
    <t>WARR, OTIS</t>
  </si>
  <si>
    <t>AFROZE, ANEES</t>
  </si>
  <si>
    <t>LOMBEIDA, JUAN</t>
  </si>
  <si>
    <t>SMITH-CRASE, MARY</t>
  </si>
  <si>
    <t>KARKI, KANTEE</t>
  </si>
  <si>
    <t>HUANG, ADAM</t>
  </si>
  <si>
    <t>JENKS, CASSANDRA</t>
  </si>
  <si>
    <t>JONES, SARA</t>
  </si>
  <si>
    <t>SASS, ERIC</t>
  </si>
  <si>
    <t>AZAM, SHOAIB</t>
  </si>
  <si>
    <t>JABALY, NASTASYA</t>
  </si>
  <si>
    <t>ANDREWS, JASON</t>
  </si>
  <si>
    <t>KHAN, MUHAMMAD OMAR</t>
  </si>
  <si>
    <t>ALLEN-JONES, NEDRA</t>
  </si>
  <si>
    <t>ASCENCIO, SARAH</t>
  </si>
  <si>
    <t>LONG, GRACE</t>
  </si>
  <si>
    <t>MINHAS, SOHAIL</t>
  </si>
  <si>
    <t>HAMID, SYED</t>
  </si>
  <si>
    <t>DELUCA, RUSSELL</t>
  </si>
  <si>
    <t>SAKR, SAFWAN</t>
  </si>
  <si>
    <t>STURDIVANT, JOSEPH</t>
  </si>
  <si>
    <t>CAMFERDAM, ROBERT</t>
  </si>
  <si>
    <t>TRACY, NEIL</t>
  </si>
  <si>
    <t>RAJAGOPAL, MANIKANDAN</t>
  </si>
  <si>
    <t>THAO, CHOUA</t>
  </si>
  <si>
    <t>DATAR, PRAVEEN</t>
  </si>
  <si>
    <t>BRADLEY, CALLIE</t>
  </si>
  <si>
    <t>BASKARAN, JANANI</t>
  </si>
  <si>
    <t>BESETT, KELSEY</t>
  </si>
  <si>
    <t>RHODES, CASSIDY</t>
  </si>
  <si>
    <t>BALDAWI, MUAAMAR</t>
  </si>
  <si>
    <t>MOHSIN, SANA</t>
  </si>
  <si>
    <t>SMITH, ALLISON</t>
  </si>
  <si>
    <t>KENNEDY, DANIELLE</t>
  </si>
  <si>
    <t>JOHNSON, JOANNE</t>
  </si>
  <si>
    <t>MCLEMORE, NICOLE</t>
  </si>
  <si>
    <t>SPRINGFIELD, SHA'RODA</t>
  </si>
  <si>
    <t>JOSHUA, SUDHIR</t>
  </si>
  <si>
    <t>SIMON, LLEWELLYN</t>
  </si>
  <si>
    <t>COX, BETHANY</t>
  </si>
  <si>
    <t>CAMPBELL, LAUREL</t>
  </si>
  <si>
    <t>BAKER, ANN MARIE</t>
  </si>
  <si>
    <t>MOORE, HEATHER</t>
  </si>
  <si>
    <t>Provider moved to Ohio, AID - Misclassified as PCP having Internal Medicine as only qualifier</t>
  </si>
  <si>
    <t>SHARMA, APARNA</t>
  </si>
  <si>
    <t>ANDARCIA, VICTORIA</t>
  </si>
  <si>
    <t>FUNMAKER, ADRIANNE</t>
  </si>
  <si>
    <t>MACK, BRIAN</t>
  </si>
  <si>
    <t>WALKER, AMANDA</t>
  </si>
  <si>
    <t>THANDASSERY, RAGESH</t>
  </si>
  <si>
    <t>SPARGO, TIFFANY</t>
  </si>
  <si>
    <t>SHEIKH, VALEID</t>
  </si>
  <si>
    <t>CHEEK, EMMA</t>
  </si>
  <si>
    <t>CALDWELL, INDIE</t>
  </si>
  <si>
    <t>SAM, RONALD</t>
  </si>
  <si>
    <t>ELKHEDER, ANAS</t>
  </si>
  <si>
    <t>TWYMAN, CAROL</t>
  </si>
  <si>
    <t>LEE, WINNIE</t>
  </si>
  <si>
    <t>WRIGHT, BRANDI</t>
  </si>
  <si>
    <t>GORADIA, RITU</t>
  </si>
  <si>
    <t>KILLIAN, BRITTANY</t>
  </si>
  <si>
    <t>PLUGGE, JOSEPH</t>
  </si>
  <si>
    <t>NDEBBIO, UTIBE</t>
  </si>
  <si>
    <t>HANCOCK, CHRISTOPHER</t>
  </si>
  <si>
    <t>HALL, JASMINE</t>
  </si>
  <si>
    <t>KIBBY, PAUL</t>
  </si>
  <si>
    <t>BRIDGER, GRAYSON</t>
  </si>
  <si>
    <t>HUDSON, STEPHEN</t>
  </si>
  <si>
    <t>CRABTREE, BRUCE</t>
  </si>
  <si>
    <t>PIERCE, BARRY</t>
  </si>
  <si>
    <t>WILLIAMS, ROBIN</t>
  </si>
  <si>
    <t>POKHAREL, AAUSHMA</t>
  </si>
  <si>
    <t>ASMB: Family Medicine (Devkota, Aaushma MD)</t>
  </si>
  <si>
    <t>Objector reason accepted</t>
  </si>
  <si>
    <t>DIVI, RAJA RAJESWARI</t>
  </si>
  <si>
    <t>CHAFFIN, RAINES</t>
  </si>
  <si>
    <t>FOWLER, CHRISTOPHER</t>
  </si>
  <si>
    <t>WASHINGTON, ANTHONY</t>
  </si>
  <si>
    <t>MEREDITH, KEVIN</t>
  </si>
  <si>
    <t>HUGHES, KRISTEN</t>
  </si>
  <si>
    <t>BLAIR, SARA</t>
  </si>
  <si>
    <t>ROGERS, NATHANIEL</t>
  </si>
  <si>
    <t>MCGHEE, VERA</t>
  </si>
  <si>
    <t>BRUTON, ALLISON</t>
  </si>
  <si>
    <t>LEE, LATONYA</t>
  </si>
  <si>
    <t>CRUZ, KATIE</t>
  </si>
  <si>
    <t>HALE, APRIL</t>
  </si>
  <si>
    <t>GILLESPIE, J</t>
  </si>
  <si>
    <t>ISMAIL, MOHAMMAD</t>
  </si>
  <si>
    <t>PATTERSON, KRISTINE</t>
  </si>
  <si>
    <t>CARR, GARY</t>
  </si>
  <si>
    <t>CALANDRO, VITO</t>
  </si>
  <si>
    <t>RADHAKRISHNAN, MUTHUKUMAR</t>
  </si>
  <si>
    <t>BAILEY, BRANDON</t>
  </si>
  <si>
    <t>COMEAUX, TOYNICKA</t>
  </si>
  <si>
    <t>AYECOCK, REBEKAH</t>
  </si>
  <si>
    <t>ALI, MARUF</t>
  </si>
  <si>
    <t>ITIKYALA, SATHISH KUMAR</t>
  </si>
  <si>
    <t>LEBARON, LINNEA</t>
  </si>
  <si>
    <t>PATEL, PALAK</t>
  </si>
  <si>
    <t>JENKINS, DANIELLE</t>
  </si>
  <si>
    <t>DEAL, JOSHUA</t>
  </si>
  <si>
    <t>BOHANNON, STEPHANIE</t>
  </si>
  <si>
    <t>HALL, CHANNING</t>
  </si>
  <si>
    <t>BILES, SYDNEY</t>
  </si>
  <si>
    <t>HARRALSTON, KENDRA</t>
  </si>
  <si>
    <t>HAGAMAN, MICHAEL</t>
  </si>
  <si>
    <t>VALLURUPALLI, SRIKANTH</t>
  </si>
  <si>
    <t>KELLEY, MORRIS</t>
  </si>
  <si>
    <t>ZEB, HASSAN</t>
  </si>
  <si>
    <t>SNYDER, KATE</t>
  </si>
  <si>
    <t>ALLEN, TANA</t>
  </si>
  <si>
    <t>ABDULMAJID, AHMAD</t>
  </si>
  <si>
    <t>BELIN, MICHAEL</t>
  </si>
  <si>
    <t>SAULSBERRY, LASHANDRA</t>
  </si>
  <si>
    <t>LAFLORA, TONIKA</t>
  </si>
  <si>
    <t>STUCKEY, JESSIE</t>
  </si>
  <si>
    <t>GUINN, CANDANCE</t>
  </si>
  <si>
    <t>ADAMS, LINDSEY</t>
  </si>
  <si>
    <t>WASKOM, EMMA</t>
  </si>
  <si>
    <t>WASHINGTON, MITZI</t>
  </si>
  <si>
    <t>FUNDERBURK MOCK, AMY</t>
  </si>
  <si>
    <t>BECK, JAMES</t>
  </si>
  <si>
    <t>FRASE, PRISCILLA</t>
  </si>
  <si>
    <t>CLEVELAND, KERRY</t>
  </si>
  <si>
    <t>HORAN, MARK</t>
  </si>
  <si>
    <t>HAWKINS, KRISTI</t>
  </si>
  <si>
    <t>RUDORFER, BENNETT</t>
  </si>
  <si>
    <t>GOORHA, SALIL</t>
  </si>
  <si>
    <t>SLAYTON, RICHARD</t>
  </si>
  <si>
    <t>PODDAR, NISHANT</t>
  </si>
  <si>
    <t>SOLIMAN, FAISAL</t>
  </si>
  <si>
    <t>ALE, SHIRISHA</t>
  </si>
  <si>
    <t>BOSWELL, AARON</t>
  </si>
  <si>
    <t>HARTUNG, ALLISON</t>
  </si>
  <si>
    <t>LIVELY, WHITNEY</t>
  </si>
  <si>
    <t>VARLAS, PANTELHS</t>
  </si>
  <si>
    <t>HENDERSON, JOHN</t>
  </si>
  <si>
    <t>MASRI, KAMAL</t>
  </si>
  <si>
    <t>CASSIDY, JOHN</t>
  </si>
  <si>
    <t>LOGUIDICE, MICHAEL</t>
  </si>
  <si>
    <t>CLOUSER, CONNOR</t>
  </si>
  <si>
    <t>WILSON, AMANDA</t>
  </si>
  <si>
    <t>MAECHLER, ELIZABETH</t>
  </si>
  <si>
    <t>WOOD, JOHN</t>
  </si>
  <si>
    <t>DAVIS, LEE</t>
  </si>
  <si>
    <t>COLE, ADAM</t>
  </si>
  <si>
    <t>DEVABHAKTUNI, SUBODH</t>
  </si>
  <si>
    <t>POTTER, HILLARY-PAIGE</t>
  </si>
  <si>
    <t>FLOWERS, MAUREEN</t>
  </si>
  <si>
    <t>KASPROWICZ, THOMAS</t>
  </si>
  <si>
    <t>HERMECZ, LINDSAY</t>
  </si>
  <si>
    <t>HARDY, ELIZABETH</t>
  </si>
  <si>
    <t>COX, EMILY</t>
  </si>
  <si>
    <t>GREENE, MARCUS</t>
  </si>
  <si>
    <t>BURSEY, DEBORAH</t>
  </si>
  <si>
    <t>EASLEY, SETH</t>
  </si>
  <si>
    <t>REINSVOLD, THOMAS</t>
  </si>
  <si>
    <t>SAMS, HEATHER</t>
  </si>
  <si>
    <t>SYED, NAYYAR</t>
  </si>
  <si>
    <t>JANSEN, PHILIP</t>
  </si>
  <si>
    <t>PATEL, NAYNESHKUMAR</t>
  </si>
  <si>
    <t>BAKER, JANA</t>
  </si>
  <si>
    <t>ANANTHA NARAYANAN, MAHESH</t>
  </si>
  <si>
    <t>BROWN, TASHINA</t>
  </si>
  <si>
    <t>CARR, JOHN</t>
  </si>
  <si>
    <t>KABEMBA TSHITENGE, SARAH</t>
  </si>
  <si>
    <t>MASHAL, FARES</t>
  </si>
  <si>
    <t>TABE, AGBORYA</t>
  </si>
  <si>
    <t>DIAS, DAVID</t>
  </si>
  <si>
    <t>HOWARD, SCOTT</t>
  </si>
  <si>
    <t>DARTY, ROSALINE</t>
  </si>
  <si>
    <t>JOHNSON, DARREN</t>
  </si>
  <si>
    <t>GARNER, BRADFORD</t>
  </si>
  <si>
    <t>Mercy MO Roster lists primary specialty as Family Medicine/Urgent Care</t>
  </si>
  <si>
    <t>RASSOUL, KHALID</t>
  </si>
  <si>
    <t>VOINEA, ALINA</t>
  </si>
  <si>
    <t>KLEIN, TIMOTHY</t>
  </si>
  <si>
    <t>JOSHUA, JABBAR</t>
  </si>
  <si>
    <t>GUPTA, MALINI</t>
  </si>
  <si>
    <t>HERPICH, BYRON</t>
  </si>
  <si>
    <t>BIRRER, MICHAEL</t>
  </si>
  <si>
    <t>PULUSANI, VAISHNAVI</t>
  </si>
  <si>
    <t>GREEN, JASON</t>
  </si>
  <si>
    <t>GOMEZ, ALBERTO</t>
  </si>
  <si>
    <t>MAJORS, LANCE</t>
  </si>
  <si>
    <t>AJANI, TOLULOPE</t>
  </si>
  <si>
    <t>OGUNSESAN, YETUNDE</t>
  </si>
  <si>
    <t>SUBEDI, SUBASH</t>
  </si>
  <si>
    <t>JOHNSON, NATHAN</t>
  </si>
  <si>
    <t>SHAH, SYED SHEHERYAR AHMED</t>
  </si>
  <si>
    <t>GLASSCOCK, APRIL</t>
  </si>
  <si>
    <t>MORGAN, SYDNIE</t>
  </si>
  <si>
    <t>HENDERSON, LAQUINTHA</t>
  </si>
  <si>
    <t>HASTINGS, MARGARET</t>
  </si>
  <si>
    <t>VINSON, CHARLES</t>
  </si>
  <si>
    <t>BIBBY, CHARLES</t>
  </si>
  <si>
    <t>WILSON, MICHELLE</t>
  </si>
  <si>
    <t>SCHAFER, LISA</t>
  </si>
  <si>
    <t>CARTER, LISA</t>
  </si>
  <si>
    <t>ALSAYED HUSSAIN, ALI</t>
  </si>
  <si>
    <t>STOCK, LAUREN</t>
  </si>
  <si>
    <t>CALCAGNI, MIKAILA</t>
  </si>
  <si>
    <t>SLATON, ARTHUR</t>
  </si>
  <si>
    <t>ZEPEDA, JACK</t>
  </si>
  <si>
    <t>AL-SABBAGH, ZINA</t>
  </si>
  <si>
    <t>MUCKLER, DIANA APRIL</t>
  </si>
  <si>
    <t>FORRESTER, GREGORY</t>
  </si>
  <si>
    <t>ALI, ZAHIR</t>
  </si>
  <si>
    <t>QUEVILLON, MELISSA</t>
  </si>
  <si>
    <t>RAMOS, MARIA</t>
  </si>
  <si>
    <t>LOFTIS, ADRIENNE</t>
  </si>
  <si>
    <t>VARMA, ANKUR</t>
  </si>
  <si>
    <t>KENNEDY, CAROL</t>
  </si>
  <si>
    <t>COCO, ZACKARY</t>
  </si>
  <si>
    <t>PEMBER, BRITTNEY</t>
  </si>
  <si>
    <t>EINWAG ARNOLD, JESSICA</t>
  </si>
  <si>
    <t>HOOTEN, AMANDA</t>
  </si>
  <si>
    <t>BALTZ, MARK</t>
  </si>
  <si>
    <t>CANNADAY, JERRY</t>
  </si>
  <si>
    <t>LOVELL, LYNN</t>
  </si>
  <si>
    <t>GUINN, ROBBY</t>
  </si>
  <si>
    <t>SMITH WADE, JENELL</t>
  </si>
  <si>
    <t>STROUD, STEVEN</t>
  </si>
  <si>
    <t>D'AMICO, ALLYSON</t>
  </si>
  <si>
    <t>PARTRIDGE, PAUL</t>
  </si>
  <si>
    <t>ANDERSON, JENNIE</t>
  </si>
  <si>
    <t>VARNER, KENDELL</t>
  </si>
  <si>
    <t>HORN, CODY</t>
  </si>
  <si>
    <t>SCOTT, JAY</t>
  </si>
  <si>
    <t>SVOBODA, ROBERT</t>
  </si>
  <si>
    <t>TROTMAN, ROBIN</t>
  </si>
  <si>
    <t>MARTINDALE, MARK</t>
  </si>
  <si>
    <t>COSUE, LAMBERTO</t>
  </si>
  <si>
    <t>CAMPBELL, PATRICK</t>
  </si>
  <si>
    <t>NAOMAN, SHAHLA</t>
  </si>
  <si>
    <t>HAWKINS, TAMMY</t>
  </si>
  <si>
    <t>ZAWAM, YACIN</t>
  </si>
  <si>
    <t>PETERS, POOJA</t>
  </si>
  <si>
    <t>SIMMONS, JAMES</t>
  </si>
  <si>
    <t>RAYBURN, CONNOR</t>
  </si>
  <si>
    <t>GARRISON, ASHLEY</t>
  </si>
  <si>
    <t>HOPKINS, NICHOLAS</t>
  </si>
  <si>
    <t>COHEN, JEREMY</t>
  </si>
  <si>
    <t>FRANQUES, JESSICA</t>
  </si>
  <si>
    <t>WILLIAMS, ALICIA</t>
  </si>
  <si>
    <t>RUIZ, RESTITUTO</t>
  </si>
  <si>
    <t>BAH, MOHAMMED</t>
  </si>
  <si>
    <t>SHAMSHAD, FAISAL</t>
  </si>
  <si>
    <t>YUAN, QING</t>
  </si>
  <si>
    <t>SHAW, SCOTT</t>
  </si>
  <si>
    <t>KHAN, ATIF</t>
  </si>
  <si>
    <t>SCOTT, LENSEY</t>
  </si>
  <si>
    <t>BOYD, DIANE</t>
  </si>
  <si>
    <t>PRIDDLE, AMY</t>
  </si>
  <si>
    <t>VEACH, RACHEL</t>
  </si>
  <si>
    <t>MALIK, MUBASHER</t>
  </si>
  <si>
    <t>BASHIR, MAAMAN</t>
  </si>
  <si>
    <t>SHAH, JAINIL</t>
  </si>
  <si>
    <t>MATHEWS, EDWIN</t>
  </si>
  <si>
    <t>STEWART, ALLYSON</t>
  </si>
  <si>
    <t>BAKER, LAUREN</t>
  </si>
  <si>
    <t>SMITH, NICOLE</t>
  </si>
  <si>
    <t>SINOJIA, GIRISH</t>
  </si>
  <si>
    <t>COSTELLO, TIMOTHY</t>
  </si>
  <si>
    <t>LINDSEY, SARAH</t>
  </si>
  <si>
    <t>MOUNSEY, JOHN</t>
  </si>
  <si>
    <t>JONES, JOHNNY</t>
  </si>
  <si>
    <t>MARLOW, LAUREN</t>
  </si>
  <si>
    <t>HIGGINS, PATRICK</t>
  </si>
  <si>
    <t>JONES, JERMEY</t>
  </si>
  <si>
    <t>CHAUDHARY, RAGHAV</t>
  </si>
  <si>
    <t>BRYANT, KAITLYN</t>
  </si>
  <si>
    <t>SIEROCUK, KYLE</t>
  </si>
  <si>
    <t>JOSEPH, ERIN</t>
  </si>
  <si>
    <t>EVERETT, RACHEL</t>
  </si>
  <si>
    <t>MAIER-HUNTER, BRITTANY</t>
  </si>
  <si>
    <t>MEGO, DAVID</t>
  </si>
  <si>
    <t>FARBER, STEVEN</t>
  </si>
  <si>
    <t>WARR, ALSTON</t>
  </si>
  <si>
    <t>VIERON, LEONIDAS</t>
  </si>
  <si>
    <t>SEWANI, ASIF</t>
  </si>
  <si>
    <t>MILLER, LAUREN</t>
  </si>
  <si>
    <t>MCDANIEL, CHRISTOPHER</t>
  </si>
  <si>
    <t>MANDALAPU, RAJENDRA</t>
  </si>
  <si>
    <t>WEBB, REBECCA</t>
  </si>
  <si>
    <t>LENTINE, ASHLEY</t>
  </si>
  <si>
    <t>CHERRY, JOHN</t>
  </si>
  <si>
    <t>WAYMACK, HAEDEN</t>
  </si>
  <si>
    <t>BECKHAM, JONATHAN</t>
  </si>
  <si>
    <t>MELTON, ALLISON</t>
  </si>
  <si>
    <t>OWENS, JOEL</t>
  </si>
  <si>
    <t>RILEY, EDWARD</t>
  </si>
  <si>
    <t>RIPPELMEYER, DRAKE</t>
  </si>
  <si>
    <t>YARANOV, DMITRY</t>
  </si>
  <si>
    <t>DAVIS, MEGAN</t>
  </si>
  <si>
    <t>YANCEY, JAMES</t>
  </si>
  <si>
    <t>GADDOR, MOATAZ</t>
  </si>
  <si>
    <t>IFEDILI, IKECHUKWU</t>
  </si>
  <si>
    <t>PATEL, NIKASH</t>
  </si>
  <si>
    <t>TROXEL, JACKSON</t>
  </si>
  <si>
    <t>STERN, DAVID</t>
  </si>
  <si>
    <t>WEATHERFORD, SARAH</t>
  </si>
  <si>
    <t>ADEDOYIN, OLUWAFEYI</t>
  </si>
  <si>
    <t>RINK, SHANNON</t>
  </si>
  <si>
    <t>BROWN, NASH</t>
  </si>
  <si>
    <t>DOROTHY, PATRICK</t>
  </si>
  <si>
    <t>BANDY, RAYMOND</t>
  </si>
  <si>
    <t>VALLANDIGHAM, JOHN</t>
  </si>
  <si>
    <t>SINDLINGER, TIMOTHY</t>
  </si>
  <si>
    <t>KRISHNAN, RUTH</t>
  </si>
  <si>
    <t>LANDBERG, KARL</t>
  </si>
  <si>
    <t>YADAV, KAPIL</t>
  </si>
  <si>
    <t>HUNTER, PEARL</t>
  </si>
  <si>
    <t>ERVIN, BARBARA</t>
  </si>
  <si>
    <t>MONTALES, MARIA THERESA</t>
  </si>
  <si>
    <t>MILLER, JENNIFER</t>
  </si>
  <si>
    <t>JONES, STEPHANIE</t>
  </si>
  <si>
    <t>COUNTS, LAWRENCE</t>
  </si>
  <si>
    <t>TSUDA, SUE</t>
  </si>
  <si>
    <t>TATE, CYNTHIA</t>
  </si>
  <si>
    <t>DAVILA, DAVID</t>
  </si>
  <si>
    <t>BORTON, MARC</t>
  </si>
  <si>
    <t>BAILEY, JASON</t>
  </si>
  <si>
    <t>LISHMANOV, ANTON</t>
  </si>
  <si>
    <t>GONSALVES, PIERRE</t>
  </si>
  <si>
    <t>DOLAPO, OLAJIDE</t>
  </si>
  <si>
    <t>DALABIH, SEVILAY</t>
  </si>
  <si>
    <t>VUJJINI, VIKAS</t>
  </si>
  <si>
    <t>WELBORN, FRANKLIN</t>
  </si>
  <si>
    <t>ANDRE, DOROTIE</t>
  </si>
  <si>
    <t>GARNER, WESLEY</t>
  </si>
  <si>
    <t>HOOKS, DYLAN</t>
  </si>
  <si>
    <t>MAZAHREH, FARAH</t>
  </si>
  <si>
    <t>UPCHURCH, HENRY</t>
  </si>
  <si>
    <t>HARGROVE, JOE</t>
  </si>
  <si>
    <t>HENDERSON, ELLENA</t>
  </si>
  <si>
    <t>BEARRY, JOHN</t>
  </si>
  <si>
    <t>TAQI, HUMA</t>
  </si>
  <si>
    <t>MARLOW, KEREEM</t>
  </si>
  <si>
    <t>VINSETT, CARL</t>
  </si>
  <si>
    <t>SUTTON, JACOB</t>
  </si>
  <si>
    <t>BISEK, BRANDYE</t>
  </si>
  <si>
    <t>WALTER, DUSTIN</t>
  </si>
  <si>
    <t>HARTMAN, KAITLIN</t>
  </si>
  <si>
    <t>BURNETT, STEPHANIE</t>
  </si>
  <si>
    <t>RAPPOLD, LAUREN</t>
  </si>
  <si>
    <t>WALKER, WILLIAM</t>
  </si>
  <si>
    <t>SINGH, SATWINDER</t>
  </si>
  <si>
    <t>ISTANBOULI, WAJIH</t>
  </si>
  <si>
    <t>SADLER, JENNIFER</t>
  </si>
  <si>
    <t>WALLACE, THOMAS</t>
  </si>
  <si>
    <t>KHAYAL, SABA</t>
  </si>
  <si>
    <t>HUGGINS, KIMBERLY</t>
  </si>
  <si>
    <t>YADAV, SWETHA</t>
  </si>
  <si>
    <t>GRIESEMER, MARK</t>
  </si>
  <si>
    <t>SETHI, POOJA</t>
  </si>
  <si>
    <t>BRUZATORI, MICHELLE</t>
  </si>
  <si>
    <t>YADAVALLI, PRATYUSHA</t>
  </si>
  <si>
    <t>GADDAM, MAMATHA</t>
  </si>
  <si>
    <t>TRIKANNAD ASHWINI KUMAR, ANUP KUMAR</t>
  </si>
  <si>
    <t>QAMAR, MUHAMMAD</t>
  </si>
  <si>
    <t>RIDDLE, JAMES</t>
  </si>
  <si>
    <t>CHUGHTAI, ALMAS</t>
  </si>
  <si>
    <t>ALLEN-DOYLE, CHRISTINA</t>
  </si>
  <si>
    <t>ROBBINS, STEPHANIE</t>
  </si>
  <si>
    <t>MARTIN, MOLLY</t>
  </si>
  <si>
    <t>VANGROUW, RICHARD</t>
  </si>
  <si>
    <t>TURNER, SAMMY</t>
  </si>
  <si>
    <t>LANDRY, JAMES</t>
  </si>
  <si>
    <t>JOHNSON, MICHAEL</t>
  </si>
  <si>
    <t>HIGGS, SANDRA</t>
  </si>
  <si>
    <t>CRAWFORD, CHRISTINA</t>
  </si>
  <si>
    <t>URHOGHIDE, NOYOZE</t>
  </si>
  <si>
    <t>ALVIAR, CHRISTOPHER</t>
  </si>
  <si>
    <t>ROGERS, JOSHUA</t>
  </si>
  <si>
    <t>COOK, BRIANNA</t>
  </si>
  <si>
    <t>CANNER, MARK</t>
  </si>
  <si>
    <t>STACY, LINDSEY</t>
  </si>
  <si>
    <t>BABB, AMBER</t>
  </si>
  <si>
    <t>RAY, SHELBIE</t>
  </si>
  <si>
    <t>DISHMON, DWIGHT</t>
  </si>
  <si>
    <t>TAYLOR, ROBERT</t>
  </si>
  <si>
    <t>BLOUNT, GARY</t>
  </si>
  <si>
    <t>BAKER, ADAM</t>
  </si>
  <si>
    <t>BRYAN, KRISTY</t>
  </si>
  <si>
    <t>PITTS, PHILIP</t>
  </si>
  <si>
    <t>DAVIS, STEPHEN</t>
  </si>
  <si>
    <t>NASH, GARY</t>
  </si>
  <si>
    <t>WELCH, ALICE</t>
  </si>
  <si>
    <t>ANDRYKA, CAITLIN</t>
  </si>
  <si>
    <t>HAWAMDEH, HUSSAM</t>
  </si>
  <si>
    <t>RUSSELL, ANDREW</t>
  </si>
  <si>
    <t>BIRCHFIELD, MADELYNE</t>
  </si>
  <si>
    <t>STRICKLIN, AMANDA</t>
  </si>
  <si>
    <t>DOWNEN, BRIAN</t>
  </si>
  <si>
    <t>MEARA, JOHN</t>
  </si>
  <si>
    <t>TYSON, JEREMIAH</t>
  </si>
  <si>
    <t>OGBODO, EMMANUEL</t>
  </si>
  <si>
    <t>CZERWINSKI, JERI</t>
  </si>
  <si>
    <t>POTEKIN, EGOR</t>
  </si>
  <si>
    <t>ELLIOTT, HAYDEN</t>
  </si>
  <si>
    <t>WHITE, NATALIE</t>
  </si>
  <si>
    <t>STEPHENSON, KALEIGH</t>
  </si>
  <si>
    <t>DAVIS, EDWARD</t>
  </si>
  <si>
    <t>WINKLER, ANNE</t>
  </si>
  <si>
    <t>COLLINS, BETHANY</t>
  </si>
  <si>
    <t>COSTNER, DAVID</t>
  </si>
  <si>
    <t>NICHOLS, MARANDA</t>
  </si>
  <si>
    <t>AWAR, LENA</t>
  </si>
  <si>
    <t>REELY, KELSEY</t>
  </si>
  <si>
    <t>KHALSA, AMRIT</t>
  </si>
  <si>
    <t>RHEA, BRIAN</t>
  </si>
  <si>
    <t>WINKELMEYER, CASSIE</t>
  </si>
  <si>
    <t>HERNANDEZ MORRIS, ALMA</t>
  </si>
  <si>
    <t>HOBSON, KYLA</t>
  </si>
  <si>
    <t>EARNEST, KIRA</t>
  </si>
  <si>
    <t>BRASWELL, ANNA</t>
  </si>
  <si>
    <t>ALDANA, TIRSO</t>
  </si>
  <si>
    <t>CHAVIS, BRENT</t>
  </si>
  <si>
    <t>MERRYMAN, DARON</t>
  </si>
  <si>
    <t>KHASAWNEH, KHALED</t>
  </si>
  <si>
    <t>BALL, PETER</t>
  </si>
  <si>
    <t>SMITH, DAVID</t>
  </si>
  <si>
    <t>PRASAD, SENDIL KUMAR HARI</t>
  </si>
  <si>
    <t>VELUSWAMY, HEMANTH</t>
  </si>
  <si>
    <t>HENLEY, ZANE</t>
  </si>
  <si>
    <t>RAYES, HAMZA</t>
  </si>
  <si>
    <t>VEMULA, BHAVANA</t>
  </si>
  <si>
    <t>MACLIN, ERIKA</t>
  </si>
  <si>
    <t>MCCOOL, ALISHA</t>
  </si>
  <si>
    <t>SALONGA, SEAN ANRO</t>
  </si>
  <si>
    <t>HUMPHREY, HEATHER</t>
  </si>
  <si>
    <t>LUEDDERS-EAST, MISHANN</t>
  </si>
  <si>
    <t>BOWERS, CHARLES</t>
  </si>
  <si>
    <t>SHIPLEY, CAITLYN</t>
  </si>
  <si>
    <t>YOGESH, KUMAR</t>
  </si>
  <si>
    <t>SEARCY, ROBERT</t>
  </si>
  <si>
    <t>WHITE, RACHEL</t>
  </si>
  <si>
    <t>JOHNSON, ARLENE</t>
  </si>
  <si>
    <t>RICE, JAMES</t>
  </si>
  <si>
    <t>MADILL, MARY</t>
  </si>
  <si>
    <t>ROBERTSON, JEFFREY</t>
  </si>
  <si>
    <t>MCKLEMURRY, JULIANNA</t>
  </si>
  <si>
    <t>PRICE, JENNIFER</t>
  </si>
  <si>
    <t>KAKARLA, RADHIKA</t>
  </si>
  <si>
    <t>VICTORY-MCDANIEL, KERI</t>
  </si>
  <si>
    <t>CHISM, BRANDON</t>
  </si>
  <si>
    <t>GARIBALDI, BYRON</t>
  </si>
  <si>
    <t>ACHARYA, YUBA</t>
  </si>
  <si>
    <t>SANON, PRIYANKA</t>
  </si>
  <si>
    <t>CORTER, MENDY</t>
  </si>
  <si>
    <t>STEELE, STEPHEN</t>
  </si>
  <si>
    <t>GUINN, JOHN</t>
  </si>
  <si>
    <t>CLEOUS, KATELYN</t>
  </si>
  <si>
    <t>POOLE, CARRIE</t>
  </si>
  <si>
    <t>ROBERTS, GWENDOLYN</t>
  </si>
  <si>
    <t>MCCONNELL, MICHELLE</t>
  </si>
  <si>
    <t>BRITTAIN, MORGAN</t>
  </si>
  <si>
    <t>THOMPSON, NATASCHA</t>
  </si>
  <si>
    <t>WALTER, MATTHEW</t>
  </si>
  <si>
    <t>TAMAKLOE, SEDO</t>
  </si>
  <si>
    <t>BRADSHER, ROBERT</t>
  </si>
  <si>
    <t>CHISM, JESSICA</t>
  </si>
  <si>
    <t>SINHA, ARCHANA</t>
  </si>
  <si>
    <t>YARLAGADDA, NAVEEN</t>
  </si>
  <si>
    <t>OBERHOLZ, LAURA</t>
  </si>
  <si>
    <t>SULIMAN, ABDELRAZIG</t>
  </si>
  <si>
    <t>KHAN, JAHANZEB</t>
  </si>
  <si>
    <t>DEVLIN, DEVIN</t>
  </si>
  <si>
    <t>MEDRANO JUAREZ, RITA</t>
  </si>
  <si>
    <t>FAWAD, SAIMA</t>
  </si>
  <si>
    <t>JOHNSON, DALLAS</t>
  </si>
  <si>
    <t>TURNER, MATTHEW</t>
  </si>
  <si>
    <t>CONNORS, ROBIN</t>
  </si>
  <si>
    <t>ALDRICH, JOSEPH</t>
  </si>
  <si>
    <t>KIMBALL, SHANE</t>
  </si>
  <si>
    <t>EXUM, RONALD</t>
  </si>
  <si>
    <t>ATKINS, ALAN</t>
  </si>
  <si>
    <t>RAJAN, SANDEEP</t>
  </si>
  <si>
    <t>BLACKMAN, CAROLYN</t>
  </si>
  <si>
    <t>MAZUMDER, SHIRIN</t>
  </si>
  <si>
    <t>ANDREWS, KAREN</t>
  </si>
  <si>
    <t>KLEIN, NICOLE</t>
  </si>
  <si>
    <t>RUSSELL, ALLISON</t>
  </si>
  <si>
    <t>ELIAS, JACLYNN</t>
  </si>
  <si>
    <t>RANON, SHENA</t>
  </si>
  <si>
    <t>BOYCE, TIFFANIE</t>
  </si>
  <si>
    <t>BOLES, MARGARET</t>
  </si>
  <si>
    <t>ROWE, JEREMY</t>
  </si>
  <si>
    <t>MCLOUD, HEATHER</t>
  </si>
  <si>
    <t>KIEFER, HANNA</t>
  </si>
  <si>
    <t>ORISON, LUKE</t>
  </si>
  <si>
    <t>BARGER, TAYLOR</t>
  </si>
  <si>
    <t>AUDIBERT, JEFF</t>
  </si>
  <si>
    <t>AHRENS, MITCHELL</t>
  </si>
  <si>
    <t>PATEL, AMITA</t>
  </si>
  <si>
    <t>COX, KELLIE</t>
  </si>
  <si>
    <t>WASEF, MICHAEL</t>
  </si>
  <si>
    <t>STALLINGS, TAMMY</t>
  </si>
  <si>
    <t>AKINSEYE, OLUWASEUN</t>
  </si>
  <si>
    <t>KATHURIA, RITU</t>
  </si>
  <si>
    <t>LEWIS, ZACHARY</t>
  </si>
  <si>
    <t>MURPHY, BRENT</t>
  </si>
  <si>
    <t>HARBERSON, RHIANNA</t>
  </si>
  <si>
    <t>SONNTAG, CHRISTOPHER</t>
  </si>
  <si>
    <t>KHAN, JAWAIRIA</t>
  </si>
  <si>
    <t>NICHOLS, ALEXIS</t>
  </si>
  <si>
    <t>WATT, JESSICA</t>
  </si>
  <si>
    <t>RUCKER, MARK</t>
  </si>
  <si>
    <t>KUZAS, JANE</t>
  </si>
  <si>
    <t>KHAN, NEELAM</t>
  </si>
  <si>
    <t>ALI, SHEHARYAR</t>
  </si>
  <si>
    <t>STOYIOGLOU, ATHANASIOS</t>
  </si>
  <si>
    <t>PICKREN, CRAIG</t>
  </si>
  <si>
    <t>BODENNER, DONALD</t>
  </si>
  <si>
    <t>HAMPTON, DARLENE</t>
  </si>
  <si>
    <t>MASANGKAY, NEIL</t>
  </si>
  <si>
    <t>DAVIS, CLARENCE</t>
  </si>
  <si>
    <t>PATEL, PREMAL</t>
  </si>
  <si>
    <t>KOCUREK, EMILY</t>
  </si>
  <si>
    <t>HICKS, COURTNEY</t>
  </si>
  <si>
    <t>HOPKINS, DAVID</t>
  </si>
  <si>
    <t>TRAN, JIMMY</t>
  </si>
  <si>
    <t>VESELINOVIC, MLADJEN</t>
  </si>
  <si>
    <t>ABEBE, ESAYAS</t>
  </si>
  <si>
    <t>SYED, FARHAN</t>
  </si>
  <si>
    <t>ONARECKER, TIMOTHY</t>
  </si>
  <si>
    <t>MINHAS, SHEHARYAR</t>
  </si>
  <si>
    <t>RAMSEY, ANGELA</t>
  </si>
  <si>
    <t>GRIFFIN, DANIELLE</t>
  </si>
  <si>
    <t>FAULKNER, LAUREN</t>
  </si>
  <si>
    <t>WELLS, ROBERT</t>
  </si>
  <si>
    <t>GREEN, ASHLEY</t>
  </si>
  <si>
    <t>WENGER, KRISTINA</t>
  </si>
  <si>
    <t>MCCLURE, TIMOTHY</t>
  </si>
  <si>
    <t>MELHEM, ARAFAT</t>
  </si>
  <si>
    <t>GRAY, APRIL</t>
  </si>
  <si>
    <t>GAST, JOSH</t>
  </si>
  <si>
    <t>GRAHAM, JAMES</t>
  </si>
  <si>
    <t>LOCK, WALLACE</t>
  </si>
  <si>
    <t>ACUP, JAMES</t>
  </si>
  <si>
    <t>SHAFFER, ELIZABETH</t>
  </si>
  <si>
    <t>MIDDLETON, CADEN</t>
  </si>
  <si>
    <t>SADICON, JUELLA</t>
  </si>
  <si>
    <t>WASHINGTON, KEYISHA</t>
  </si>
  <si>
    <t>NORRIS, TAYLOR</t>
  </si>
  <si>
    <t>MACDONALD, GRETA</t>
  </si>
  <si>
    <t>MCCRACKEN, GAIL</t>
  </si>
  <si>
    <t>DANIEL, ANDREW</t>
  </si>
  <si>
    <t>KLEMIS, JAMES</t>
  </si>
  <si>
    <t>EASOM, DELILAH</t>
  </si>
  <si>
    <t>AMARI, MOHAMMED</t>
  </si>
  <si>
    <t>GONZALEZ, MANUEL</t>
  </si>
  <si>
    <t>MOSSALLATI, ADAM</t>
  </si>
  <si>
    <t>MOHAMED, NOHA</t>
  </si>
  <si>
    <t>ARUGUNTA, MADAN MOHAN REDDY</t>
  </si>
  <si>
    <t>DAVIDSON, NATHAN</t>
  </si>
  <si>
    <t>IMAM, MOHAMAD</t>
  </si>
  <si>
    <t>ABBAS, MUHAMMAD KHALID</t>
  </si>
  <si>
    <t>BASHTAWI, YAZAN</t>
  </si>
  <si>
    <t>MOODY, KYLEE</t>
  </si>
  <si>
    <t>PARISH, STEPHANIE</t>
  </si>
  <si>
    <t>HARTMAN, PAYTON</t>
  </si>
  <si>
    <t>PARISH, STEPHEN</t>
  </si>
  <si>
    <t>SHELBY, EUGENE</t>
  </si>
  <si>
    <t>EZE, GIFT</t>
  </si>
  <si>
    <t>DANDU, VASUKI</t>
  </si>
  <si>
    <t>BHELLA, PAUL</t>
  </si>
  <si>
    <t>WEST, MICHAEL</t>
  </si>
  <si>
    <t>DHAMI, BALREET</t>
  </si>
  <si>
    <t>HARHAY, JASON</t>
  </si>
  <si>
    <t>HALTER, TAYLOR</t>
  </si>
  <si>
    <t>MALHOTRA, VIVEK</t>
  </si>
  <si>
    <t>DAVIS, AMBER</t>
  </si>
  <si>
    <t>DAVIS, SKYLAR</t>
  </si>
  <si>
    <t>SNOW, SHELBY</t>
  </si>
  <si>
    <t>BARBER, JESSICA</t>
  </si>
  <si>
    <t>STEINBERG, HELMUT</t>
  </si>
  <si>
    <t>EKANEM, FELIX</t>
  </si>
  <si>
    <t>ALHADDAD, MOHSIN</t>
  </si>
  <si>
    <t>KAMOGA, GILBERT-ROY</t>
  </si>
  <si>
    <t>MIRZA, MUHAMMAD</t>
  </si>
  <si>
    <t>HUDSON, MEGAN</t>
  </si>
  <si>
    <t>JIANG, DONGXIA</t>
  </si>
  <si>
    <t>HALL, JULIA</t>
  </si>
  <si>
    <t>CARMICAL, BRANDI</t>
  </si>
  <si>
    <t>DENNIS, SARAH</t>
  </si>
  <si>
    <t>MATHEWS, CAROL</t>
  </si>
  <si>
    <t>SPEAR, JEFFREY</t>
  </si>
  <si>
    <t>JONES, CLYDE</t>
  </si>
  <si>
    <t>IANSMITH, DAVID</t>
  </si>
  <si>
    <t>YABUT, EDMOND</t>
  </si>
  <si>
    <t>STARNES, ELIZABETH</t>
  </si>
  <si>
    <t>BROTHERS, MICAH</t>
  </si>
  <si>
    <t>CARTER-WYATT, SHERRI</t>
  </si>
  <si>
    <t>ZAVALLA, RICHARD</t>
  </si>
  <si>
    <t>SINGH, JASKEERAT</t>
  </si>
  <si>
    <t>BARRERA PENA, FABIO</t>
  </si>
  <si>
    <t>KHAN, BABAR</t>
  </si>
  <si>
    <t>MCCORMACK, JAMES</t>
  </si>
  <si>
    <t>KORDSMEIER, COLTON</t>
  </si>
  <si>
    <t>WALKER, DEVAN</t>
  </si>
  <si>
    <t>ADAMS, KRISTY</t>
  </si>
  <si>
    <t>MELTON, ERIN</t>
  </si>
  <si>
    <t>QUATTLEBAUM, PAULA</t>
  </si>
  <si>
    <t>ARMSTRONG, CAROLYN</t>
  </si>
  <si>
    <t>HENRY, D</t>
  </si>
  <si>
    <t>GLENN, BRYAN</t>
  </si>
  <si>
    <t>WALTON, GINA</t>
  </si>
  <si>
    <t>GARNER, KIMBERLY</t>
  </si>
  <si>
    <t>CHOWDHURY, ARIJIT</t>
  </si>
  <si>
    <t>WYATT, JONATHAN</t>
  </si>
  <si>
    <t>ABDUL JAWAD, SAMI</t>
  </si>
  <si>
    <t>WEAVER, NICHOLAS</t>
  </si>
  <si>
    <t>BROWN, COREY</t>
  </si>
  <si>
    <t>LOWE, LESLEE</t>
  </si>
  <si>
    <t>STORY, SARA</t>
  </si>
  <si>
    <t>DAVIS, ERYN</t>
  </si>
  <si>
    <t>HECKLE, MARK</t>
  </si>
  <si>
    <t>AVILA, JEREMY</t>
  </si>
  <si>
    <t>MONROE, BRETT</t>
  </si>
  <si>
    <t>ALLEN, ANNA</t>
  </si>
  <si>
    <t>MCDONALD, DEVIN</t>
  </si>
  <si>
    <t>SOHAIL, MUHAMMAD SAAD</t>
  </si>
  <si>
    <t>WILLIAMS, EDWARD</t>
  </si>
  <si>
    <t>MECKFESSEL, CARA</t>
  </si>
  <si>
    <t>PETTIS, CATHY</t>
  </si>
  <si>
    <t>ADAMS, GREGORY</t>
  </si>
  <si>
    <t>GREGORY, RUSSELL</t>
  </si>
  <si>
    <t>EVANS, CHRISTIANNA</t>
  </si>
  <si>
    <t>VICK, TARAH</t>
  </si>
  <si>
    <t>HANNA, SARA</t>
  </si>
  <si>
    <t>ATHAR, SYED</t>
  </si>
  <si>
    <t>THOMAS, LEE</t>
  </si>
  <si>
    <t>LINDSEY, DAWN</t>
  </si>
  <si>
    <t>MALONE, COURTNEY</t>
  </si>
  <si>
    <t>MARSHELL, RAMEY</t>
  </si>
  <si>
    <t>ROBINSON, MATTHEW</t>
  </si>
  <si>
    <t>CRAFT, PORSCHE</t>
  </si>
  <si>
    <t>MARCAK, MICHELLE</t>
  </si>
  <si>
    <t>SHEARS, JALEESA</t>
  </si>
  <si>
    <t>LANE, JONMARK</t>
  </si>
  <si>
    <t>GREEN, ALIA</t>
  </si>
  <si>
    <t>MOORE, MARY</t>
  </si>
  <si>
    <t>KIERNAN, KRISTIN</t>
  </si>
  <si>
    <t>NORRIS, L.</t>
  </si>
  <si>
    <t>SULLIVAN, THOMAS</t>
  </si>
  <si>
    <t>FANKHAUSER, JOEL</t>
  </si>
  <si>
    <t>HARNEY, JUSTIN</t>
  </si>
  <si>
    <t>YATES, JOSEPH</t>
  </si>
  <si>
    <t>FARMER, SHAWNTE</t>
  </si>
  <si>
    <t>RIAZ, AYESHA</t>
  </si>
  <si>
    <t>GEMECHU, TIGIST</t>
  </si>
  <si>
    <t>KING, BRIAN</t>
  </si>
  <si>
    <t>KAMOGA, DOREEN</t>
  </si>
  <si>
    <t>BOMB, KAVITA</t>
  </si>
  <si>
    <t>YAHYA, OWAIS</t>
  </si>
  <si>
    <t>GIBBS, SYDNI</t>
  </si>
  <si>
    <t>TUGGLE, MARCIE</t>
  </si>
  <si>
    <t>BALASEKARAN, RANGA</t>
  </si>
  <si>
    <t>QUINN, BAYARD</t>
  </si>
  <si>
    <t>ZAPATA, JUAN</t>
  </si>
  <si>
    <t>NAGY, STEPHEN</t>
  </si>
  <si>
    <t>WARFORD, JEREMY</t>
  </si>
  <si>
    <t>ASMB: Family Medicine</t>
  </si>
  <si>
    <t>CLARKE, CATHERINE</t>
  </si>
  <si>
    <t>AUSEF, AMIR</t>
  </si>
  <si>
    <t>RODRIGUEZ, JOHN</t>
  </si>
  <si>
    <t>DAVENPORT, JEFFREY</t>
  </si>
  <si>
    <t>MCGLONE, MARCIA</t>
  </si>
  <si>
    <t>KHATTAK, AMNA</t>
  </si>
  <si>
    <t>BOHRA, ROBIN</t>
  </si>
  <si>
    <t>GONUGUNTA, KALYAN</t>
  </si>
  <si>
    <t>ESPINOZA, DIEGO</t>
  </si>
  <si>
    <t>MELO, EVA</t>
  </si>
  <si>
    <t>HARRIS, MOLLY</t>
  </si>
  <si>
    <t>REYNOLDS, LINDSEY</t>
  </si>
  <si>
    <t>VOEGELE, HANNAH</t>
  </si>
  <si>
    <t>BRYANT, TERAYIA</t>
  </si>
  <si>
    <t>ROSS, DANIEL</t>
  </si>
  <si>
    <t>KISTANGARI, GAURAV</t>
  </si>
  <si>
    <t>KHAIRY, RAED</t>
  </si>
  <si>
    <t>FOSTER, CODY</t>
  </si>
  <si>
    <t>AHMED, MOHAMMED</t>
  </si>
  <si>
    <t>VOISE, NATHAN</t>
  </si>
  <si>
    <t>BURDINE, LYLE</t>
  </si>
  <si>
    <t>JOHNSON, NAKOMA</t>
  </si>
  <si>
    <t>EASTLACK, DANIEL</t>
  </si>
  <si>
    <t>PARNELL, CHRISTIAN</t>
  </si>
  <si>
    <t>FLASH, MEJHORN</t>
  </si>
  <si>
    <t>Provider specialty is hospitalist, AID - Misclassified as PCP having Internal Medicine as only qualifier</t>
  </si>
  <si>
    <t>VOELKER, DONALD</t>
  </si>
  <si>
    <t>ECKLES, MICHAEL</t>
  </si>
  <si>
    <t>AKIN, CHARLES</t>
  </si>
  <si>
    <t>LAZARTE, HARRY</t>
  </si>
  <si>
    <t>JAMPANA, SRINIVASA</t>
  </si>
  <si>
    <t>MCKEE, STEVEN</t>
  </si>
  <si>
    <t>AL-SARIE, MOHAMMAD</t>
  </si>
  <si>
    <t>ARIF, SHAHRUKH</t>
  </si>
  <si>
    <t>CAMPBELL JIMENEZ, BRIAN</t>
  </si>
  <si>
    <t>BREWER, ASHLEA</t>
  </si>
  <si>
    <t>GILL, JASON</t>
  </si>
  <si>
    <t>BLYTHE, JORDAN</t>
  </si>
  <si>
    <t>PINKERTON, SARA</t>
  </si>
  <si>
    <t>SCHULZ, THOMAS</t>
  </si>
  <si>
    <t>TAHIRI, ABDALLA</t>
  </si>
  <si>
    <t>NEWTON, JAMES</t>
  </si>
  <si>
    <t>KREIMID, MOSBAH</t>
  </si>
  <si>
    <t>JACOBS, ROBERT</t>
  </si>
  <si>
    <t>CAMP, MICHAEL</t>
  </si>
  <si>
    <t>BYNUM, JOSEPH</t>
  </si>
  <si>
    <t>KHALAF, ANTOINE</t>
  </si>
  <si>
    <t>CALLAHAN, JACLYN</t>
  </si>
  <si>
    <t>EVELD, HANNAH</t>
  </si>
  <si>
    <t>MARTIN, JAKE</t>
  </si>
  <si>
    <t>ALHAYEK, SOUBHI</t>
  </si>
  <si>
    <t>NESDAHL, GREG</t>
  </si>
  <si>
    <t>WILLIAMS, LATRICE</t>
  </si>
  <si>
    <t>BOWMAN, ROBERT</t>
  </si>
  <si>
    <t>CIVERA, EMILY</t>
  </si>
  <si>
    <t>ROBERTS, EMMA</t>
  </si>
  <si>
    <t>BROWN, ELLENMARIE</t>
  </si>
  <si>
    <t>GALLEGO-SANCHEZ, HECTOR</t>
  </si>
  <si>
    <t>JOHNSON, STEPHEN</t>
  </si>
  <si>
    <t>PURCHASE, CHRISTOPHER</t>
  </si>
  <si>
    <t>HENNON, MARCUS</t>
  </si>
  <si>
    <t>THUMMA, SOUMYA</t>
  </si>
  <si>
    <t>WADE, AMBER</t>
  </si>
  <si>
    <t>ROBERTS, JENNA</t>
  </si>
  <si>
    <t>HEAD, MICHELLE</t>
  </si>
  <si>
    <t>KING, VALERIA</t>
  </si>
  <si>
    <t>JONES, JASON</t>
  </si>
  <si>
    <t>BAREMORE, AMY</t>
  </si>
  <si>
    <t>THOMASON, KAITLYN</t>
  </si>
  <si>
    <t>PAYNE, PORTIA</t>
  </si>
  <si>
    <t>SHAW, SARAH</t>
  </si>
  <si>
    <t>LASSIEUR ROBERTSON, SUSANNE</t>
  </si>
  <si>
    <t>JALAL, REZA</t>
  </si>
  <si>
    <t>TAYLOR, MARTIN</t>
  </si>
  <si>
    <t>CHS lists as OB/Gyn, not primary care. https://www.commonspirit.org/find-a-doctor/martin-a-taylor-1578535092</t>
  </si>
  <si>
    <t>KOLEILAT, BASSEM</t>
  </si>
  <si>
    <t>DILL, DREW</t>
  </si>
  <si>
    <t>CUNNINGHAM, THOMAS</t>
  </si>
  <si>
    <t>VAN HILST, CHRISTINA</t>
  </si>
  <si>
    <t>TAYLOR, CARYN</t>
  </si>
  <si>
    <t>GIBBS, DAYNA</t>
  </si>
  <si>
    <t>MULLINS, JAMES</t>
  </si>
  <si>
    <t>MCDONALD, NATALIE</t>
  </si>
  <si>
    <t>ELLIOTT, JOCELYN</t>
  </si>
  <si>
    <t>STEPHENS, CHASTITY</t>
  </si>
  <si>
    <t>KWON, GREGORY</t>
  </si>
  <si>
    <t>PEPPERS, SONYA</t>
  </si>
  <si>
    <t>WONG, WILSON</t>
  </si>
  <si>
    <t>PEEBLES, SAMUEL</t>
  </si>
  <si>
    <t>EBERLE, ANDREA</t>
  </si>
  <si>
    <t>RASOOL, SHUJA</t>
  </si>
  <si>
    <t>OST, SHELLEY</t>
  </si>
  <si>
    <t>MASON, VICKIE</t>
  </si>
  <si>
    <t>MADADI, ANIL</t>
  </si>
  <si>
    <t>COWAN, CECIL</t>
  </si>
  <si>
    <t>ALFAQIH, MOHANAD</t>
  </si>
  <si>
    <t>FOSTER, TIFFANY</t>
  </si>
  <si>
    <t>JOHNSON, MATTHEW</t>
  </si>
  <si>
    <t>LONE, BINISH</t>
  </si>
  <si>
    <t>ASHLEY, JENNIFER</t>
  </si>
  <si>
    <t>ANDERSON, SHAWN</t>
  </si>
  <si>
    <t>CARAWAY, BEVERLY</t>
  </si>
  <si>
    <t>PEARCE, ALBERT</t>
  </si>
  <si>
    <t>WRIGHT, STEVEN</t>
  </si>
  <si>
    <t>PEREZ, CARLOS</t>
  </si>
  <si>
    <t>GRIEBEL, JACK</t>
  </si>
  <si>
    <t>FROST, ANDREW</t>
  </si>
  <si>
    <t>GANGADHARAMURTHY, DAKSHIN</t>
  </si>
  <si>
    <t>WAQAS, MUHAMMAD</t>
  </si>
  <si>
    <t>NAIR, RAJESH</t>
  </si>
  <si>
    <t>KING, RACHEL</t>
  </si>
  <si>
    <t>EARNEST, CHRISTI</t>
  </si>
  <si>
    <t>ISSA, NIZAR</t>
  </si>
  <si>
    <t>GODBOLE, ABHIJIT</t>
  </si>
  <si>
    <t>PAIR, COLBY</t>
  </si>
  <si>
    <t>HIDDLE, KAITLIN</t>
  </si>
  <si>
    <t>MISHLER, NELSON</t>
  </si>
  <si>
    <t>GUILLERMO, ENRIQUE</t>
  </si>
  <si>
    <t>LEVINE, YEHOSHUA</t>
  </si>
  <si>
    <t>GORAYA, HARMEEN</t>
  </si>
  <si>
    <t>FILIP, ARI</t>
  </si>
  <si>
    <t>GIBSON, CHAD</t>
  </si>
  <si>
    <t>LIAUKOVICH, VOLHA</t>
  </si>
  <si>
    <t>SARTAIN, KIMBERLEE</t>
  </si>
  <si>
    <t>BEAUFFORD, LAURA</t>
  </si>
  <si>
    <t>WILLIAMS, LESLIE</t>
  </si>
  <si>
    <t>LANE, ROBERT</t>
  </si>
  <si>
    <t>HUBER, MICHAEL</t>
  </si>
  <si>
    <t>MAXWELL, TERESA</t>
  </si>
  <si>
    <t>HOVIS, RACHEL</t>
  </si>
  <si>
    <t>HAY, VICKY</t>
  </si>
  <si>
    <t>DASARI, CHANDRA</t>
  </si>
  <si>
    <t>KUMAR, SACHIN</t>
  </si>
  <si>
    <t>RAGUNANTHAN, NINA</t>
  </si>
  <si>
    <t>NATHANI, KARISHMA</t>
  </si>
  <si>
    <t>MONTGOMERY, EBONY</t>
  </si>
  <si>
    <t>PLAUCHE, RAELYN</t>
  </si>
  <si>
    <t>PATEL, TAKSH</t>
  </si>
  <si>
    <t>MOCAN, BRIGETTE</t>
  </si>
  <si>
    <t>NEWMAN, EMILY</t>
  </si>
  <si>
    <t>BOWLING, LAUREN</t>
  </si>
  <si>
    <t>CLARK, ANNIE</t>
  </si>
  <si>
    <t>JENKINS, AMY</t>
  </si>
  <si>
    <t>HOLMAN, DOUGLAS</t>
  </si>
  <si>
    <t>SCHUDY, MARTIN</t>
  </si>
  <si>
    <t>ARMSTRONG, SHERRY</t>
  </si>
  <si>
    <t>GRIFFIN, DAVID</t>
  </si>
  <si>
    <t>BOMMASAMUDRAM, PAVANKUMAR</t>
  </si>
  <si>
    <t>SANFORD, GARRETT</t>
  </si>
  <si>
    <t>ODULANA, ADEBOWALE</t>
  </si>
  <si>
    <t>PETERS, EDWINA</t>
  </si>
  <si>
    <t>ROBINSON, CANDACE</t>
  </si>
  <si>
    <t>BURNS, TRISHA</t>
  </si>
  <si>
    <t>HAINES, CARVER</t>
  </si>
  <si>
    <t>ASMB: General Practice</t>
  </si>
  <si>
    <t>COPLEY, AMANDA</t>
  </si>
  <si>
    <t>YADALA, VIVEK</t>
  </si>
  <si>
    <t>CRONE, ALLISON</t>
  </si>
  <si>
    <t>HENLEY, LINDSEY</t>
  </si>
  <si>
    <t>AWAR, ZIAD</t>
  </si>
  <si>
    <t>GARCIA, JOHN</t>
  </si>
  <si>
    <t>ONUOHA, PATIENCE</t>
  </si>
  <si>
    <t>GATTER, MARIPAT</t>
  </si>
  <si>
    <t>KOCH, DEBBIE</t>
  </si>
  <si>
    <t>HATFIELD, SAMANTHA</t>
  </si>
  <si>
    <t>ELLIOTT, ELIZABETH</t>
  </si>
  <si>
    <t>UMEORA, MARYJOANNE</t>
  </si>
  <si>
    <t>ATCHLEY, WILLIAM</t>
  </si>
  <si>
    <t>ALABI, OLUWAFUNMILOLA</t>
  </si>
  <si>
    <t>AL-ODAT, RAWAN</t>
  </si>
  <si>
    <t>QURESHI, IRAM</t>
  </si>
  <si>
    <t>FORD, STARSHA</t>
  </si>
  <si>
    <t>WILLIAMS, KIMBERLY</t>
  </si>
  <si>
    <t>FREDERICK, KELSI</t>
  </si>
  <si>
    <t>MCCRARY, ALYSSA</t>
  </si>
  <si>
    <t>HAGEMAN, LINDA</t>
  </si>
  <si>
    <t>MEISTER, AMY</t>
  </si>
  <si>
    <t>PILLOW, EDWARD</t>
  </si>
  <si>
    <t>DUNAVANT, WILLIAM</t>
  </si>
  <si>
    <t>LEACH, HEATHER</t>
  </si>
  <si>
    <t>ASIF SIDDIQUI, OMER</t>
  </si>
  <si>
    <t>PITTS, TEKIMA</t>
  </si>
  <si>
    <t>SILVA, CARLOS</t>
  </si>
  <si>
    <t>BATEMAN, MISHALA</t>
  </si>
  <si>
    <t>MOHADJER, ASHLEY</t>
  </si>
  <si>
    <t>SUNDERLAND, JENNIFER</t>
  </si>
  <si>
    <t>COTTRELL, CODY</t>
  </si>
  <si>
    <t>TAY, ANTHONY</t>
  </si>
  <si>
    <t>SHRUM, STEVEN</t>
  </si>
  <si>
    <t>HENSLEY, CRYSTAL</t>
  </si>
  <si>
    <t>VO, HALEY</t>
  </si>
  <si>
    <t>MALTE, BRIAN</t>
  </si>
  <si>
    <t>KLEINMAN, MICHAEL</t>
  </si>
  <si>
    <t>WILKINS, ASHLEY</t>
  </si>
  <si>
    <t>HICKS, DEVIN</t>
  </si>
  <si>
    <t>SARWAR, MUJTABA</t>
  </si>
  <si>
    <t>PETERS, VANESSA</t>
  </si>
  <si>
    <t>GUTTING, JESSICA</t>
  </si>
  <si>
    <t>EZELL, LARRY</t>
  </si>
  <si>
    <t>HORAN, MICHELLE</t>
  </si>
  <si>
    <t>CHUANG, HOWARD</t>
  </si>
  <si>
    <t>DAWLAH, ZUBAER</t>
  </si>
  <si>
    <t>JOHNSON, ABIGAIL</t>
  </si>
  <si>
    <t>RODRIGUEZ, CARLOS</t>
  </si>
  <si>
    <t>BARMEIER, CEARA</t>
  </si>
  <si>
    <t>INGRAM, JORDAN</t>
  </si>
  <si>
    <t>FARNAM, NATASHA</t>
  </si>
  <si>
    <t>FRAZIER, JESSICA</t>
  </si>
  <si>
    <t>DUNN, SAMUEL</t>
  </si>
  <si>
    <t>SHABBIR, ARAFAT</t>
  </si>
  <si>
    <t>LEFFERT, JACOB</t>
  </si>
  <si>
    <t>YOUNG, LAURA</t>
  </si>
  <si>
    <t>SMITH, CLAIRE</t>
  </si>
  <si>
    <t>SELANDERS, MARY</t>
  </si>
  <si>
    <t>WILES, BRITTNAY</t>
  </si>
  <si>
    <t>WORK, PARKER</t>
  </si>
  <si>
    <t>WOODMANSEE, RAY</t>
  </si>
  <si>
    <t>MILLS, CHARLES</t>
  </si>
  <si>
    <t>DENEKE, MATTHEW</t>
  </si>
  <si>
    <t>MATHEWS, GRANT</t>
  </si>
  <si>
    <t>CUNDIFF, CHRISTOPHER</t>
  </si>
  <si>
    <t>MATTOX, SARAH</t>
  </si>
  <si>
    <t>EBERS, ANDREW</t>
  </si>
  <si>
    <t>LANGE-HALLEY, JACQUELYN</t>
  </si>
  <si>
    <t>WARFORD, BROCK</t>
  </si>
  <si>
    <t>LIEURANCE, JENEE</t>
  </si>
  <si>
    <t>CHAMPION, DOMINIQUE</t>
  </si>
  <si>
    <t>HENDRIX, ABBIE</t>
  </si>
  <si>
    <t>PATEL, KETAN</t>
  </si>
  <si>
    <t>AL-NASHIF, ALI</t>
  </si>
  <si>
    <t>ERWIN, STEVEN</t>
  </si>
  <si>
    <t>KUYKENDALL, MARGARET</t>
  </si>
  <si>
    <t>SPENCER, JEFFREY</t>
  </si>
  <si>
    <t>COLE, CASSANDRA</t>
  </si>
  <si>
    <t>MUNN, JULES</t>
  </si>
  <si>
    <t>COLEY, DOMINIQUE</t>
  </si>
  <si>
    <t>ARMOUR, KAREN</t>
  </si>
  <si>
    <t>MALIK, MOHAMMAD</t>
  </si>
  <si>
    <t>STEELY, DONALD</t>
  </si>
  <si>
    <t>Provider specialty is Cardiology, AID - Misclassified as PCP having Internal Medicine as only qualifier</t>
  </si>
  <si>
    <t>HANISSIAN, GINA</t>
  </si>
  <si>
    <t>HACKLER, JOSEPH</t>
  </si>
  <si>
    <t>MCMAHON, MORGAN</t>
  </si>
  <si>
    <t>KENT, MARIE</t>
  </si>
  <si>
    <t>BHAT, PRASHANTH</t>
  </si>
  <si>
    <t>HUSSAIN, MUNAWWAR</t>
  </si>
  <si>
    <t>SALEH, BELAL</t>
  </si>
  <si>
    <t>REED, WHITNEY</t>
  </si>
  <si>
    <t>BAROS, ALICIA</t>
  </si>
  <si>
    <t>CORREA, AMIT</t>
  </si>
  <si>
    <t>VALDEZ, EDDY</t>
  </si>
  <si>
    <t>MORRIS, JYMIRAH</t>
  </si>
  <si>
    <t>MARTINEZ, VANESSA</t>
  </si>
  <si>
    <t>BASHIR, MUHAMMAD</t>
  </si>
  <si>
    <t>ORTEGO, TERRYL</t>
  </si>
  <si>
    <t>WILEY, JAMES</t>
  </si>
  <si>
    <t>WILLIAMS, NIKKI</t>
  </si>
  <si>
    <t>RAMIREZ, RAUL</t>
  </si>
  <si>
    <t>JEYARAJ, DARWIN</t>
  </si>
  <si>
    <t>BARNES, ROBERT</t>
  </si>
  <si>
    <t>CAGLE, JAMIE</t>
  </si>
  <si>
    <t>BAILEY, CLAYTON</t>
  </si>
  <si>
    <t>ELSWICK, AMANDA</t>
  </si>
  <si>
    <t>PYLE, DAVID</t>
  </si>
  <si>
    <t>MUZAMMIL, AYESHA</t>
  </si>
  <si>
    <t>CURRY, JANET</t>
  </si>
  <si>
    <t>SPEARS, GREGORY</t>
  </si>
  <si>
    <t>LI, TING</t>
  </si>
  <si>
    <t>PATEL, DHAVAL</t>
  </si>
  <si>
    <t>TUKAYE, DEEPALI</t>
  </si>
  <si>
    <t>PALMER, TIFFANY</t>
  </si>
  <si>
    <t>ELEANYA, SAMUEL</t>
  </si>
  <si>
    <t>HEAD, ASHLEY</t>
  </si>
  <si>
    <t>CARL, CHRISTINA</t>
  </si>
  <si>
    <t>DIECKMAN, JULIANNE</t>
  </si>
  <si>
    <t>FLAHERTY, PATRICK</t>
  </si>
  <si>
    <t>ROBERTSON, WILLIAM</t>
  </si>
  <si>
    <t>AKBAR, ALI</t>
  </si>
  <si>
    <t>AMMONS, KRISTY</t>
  </si>
  <si>
    <t>DOUGAN, JEREMY</t>
  </si>
  <si>
    <t>PETERSEN, LENA</t>
  </si>
  <si>
    <t>WALLACE, MADISON</t>
  </si>
  <si>
    <t>PEARSON, CATHERINE</t>
  </si>
  <si>
    <t>PURCELL-HOUCK, KIMBERLY</t>
  </si>
  <si>
    <t>OSBORNE, EMILY</t>
  </si>
  <si>
    <t>WILSON, MEGAN</t>
  </si>
  <si>
    <t>SALGUERO, MARTHA</t>
  </si>
  <si>
    <t>IMRAN, ADIL</t>
  </si>
  <si>
    <t>KHANUJA, RAVDEEP</t>
  </si>
  <si>
    <t>HOPKINS, ROBERT</t>
  </si>
  <si>
    <t>WHICKER, KIMBERLY</t>
  </si>
  <si>
    <t>BOSS, DEVIN</t>
  </si>
  <si>
    <t>HIDA, SVEN</t>
  </si>
  <si>
    <t>LYNCH, STACEY</t>
  </si>
  <si>
    <t>NUGENT, KAITLYN</t>
  </si>
  <si>
    <t>BRECHEISEN, JAMES</t>
  </si>
  <si>
    <t>SCOTT, WARREN</t>
  </si>
  <si>
    <t>NUNLEY, JANESE</t>
  </si>
  <si>
    <t>KWOK, WARREN</t>
  </si>
  <si>
    <t>CUNNINGHAM, AMANDA</t>
  </si>
  <si>
    <t>NWODO, CHUKWUDI</t>
  </si>
  <si>
    <t>SHEPHERD, KRISTEN</t>
  </si>
  <si>
    <t>COLLINS, CHRISTINA</t>
  </si>
  <si>
    <t>SIEGEL, DAVID</t>
  </si>
  <si>
    <t>CULCLAGER, KRATISHA</t>
  </si>
  <si>
    <t>AWAN, HASSAN</t>
  </si>
  <si>
    <t>MUSA, ABDULLAHI</t>
  </si>
  <si>
    <t>SOMMER, BRIAN</t>
  </si>
  <si>
    <t>SISTANI, BOBBAK</t>
  </si>
  <si>
    <t>JILLELLA, ANUSHA</t>
  </si>
  <si>
    <t>ALBASHAIREH, ARWA</t>
  </si>
  <si>
    <t>SETHI, JASKIRAT</t>
  </si>
  <si>
    <t>HANKS, DAVID</t>
  </si>
  <si>
    <t>JOSEPH, MARINA</t>
  </si>
  <si>
    <t>SHEPHERD, JENA</t>
  </si>
  <si>
    <t>WITHERSPOON, MARIA</t>
  </si>
  <si>
    <t>HOURIEH, SAMI</t>
  </si>
  <si>
    <t>HEWITT, BROOKE</t>
  </si>
  <si>
    <t>JONES, VALORIE</t>
  </si>
  <si>
    <t>TILLIS, SHONA</t>
  </si>
  <si>
    <t>RIFFLE, MATTHEW</t>
  </si>
  <si>
    <t>GRAVENOR, DONALD</t>
  </si>
  <si>
    <t>WEATHERS, LARRY</t>
  </si>
  <si>
    <t>JONES, KRISTY</t>
  </si>
  <si>
    <t>TATA, NAZNEEN</t>
  </si>
  <si>
    <t>RAWLINS, SEKOU</t>
  </si>
  <si>
    <t>BELT, MICHAEL</t>
  </si>
  <si>
    <t>HOMAN, SAUNDRA</t>
  </si>
  <si>
    <t>ROGERS, AMANDA</t>
  </si>
  <si>
    <t>GOUCHER, LINDSEY</t>
  </si>
  <si>
    <t>COLE, BRITTNEE</t>
  </si>
  <si>
    <t>AVGERIS, JOHN</t>
  </si>
  <si>
    <t>REDDY, RADHA</t>
  </si>
  <si>
    <t>LIM, JAYTON</t>
  </si>
  <si>
    <t>PELLERIN, MICHELLE</t>
  </si>
  <si>
    <t>MILLER, ANNA</t>
  </si>
  <si>
    <t>MILLIGAN, KERRY</t>
  </si>
  <si>
    <t>BARBER, DARICE</t>
  </si>
  <si>
    <t>PORTER, JASON</t>
  </si>
  <si>
    <t>DO, MEGAN</t>
  </si>
  <si>
    <t>CAMPBELL, JENNA</t>
  </si>
  <si>
    <t>PIKE, ANGELA</t>
  </si>
  <si>
    <t>SKINNER, KRISTINA</t>
  </si>
  <si>
    <t>HOLYFIELD, ANGELA</t>
  </si>
  <si>
    <t>PACE, KEEANNDASE</t>
  </si>
  <si>
    <t>YOUNG, RICHARD</t>
  </si>
  <si>
    <t>GOOCH, ALLEN</t>
  </si>
  <si>
    <t>DECOLLI, ROBERT</t>
  </si>
  <si>
    <t>TANJORE VENKOBA RAO, VIJOYDEEP</t>
  </si>
  <si>
    <t>PATEL, NIRAV</t>
  </si>
  <si>
    <t>BALDASARE, MARIA</t>
  </si>
  <si>
    <t>BUXTON, CHARL</t>
  </si>
  <si>
    <t>TRIPATHI, AVNISH</t>
  </si>
  <si>
    <t>COLLINS, MADISON</t>
  </si>
  <si>
    <t>LABONTE, JOSEPH</t>
  </si>
  <si>
    <t>STEELE, MATTHEW</t>
  </si>
  <si>
    <t>BELL, LOUIS JESSE</t>
  </si>
  <si>
    <t>DELONEY, KRISTINA</t>
  </si>
  <si>
    <t>JENNINGS, NICOLE</t>
  </si>
  <si>
    <t>FARRIS, MICHAEL</t>
  </si>
  <si>
    <t>SLAY, DAVID</t>
  </si>
  <si>
    <t>TREVILLYAN, M</t>
  </si>
  <si>
    <t>PEERY, TERRY</t>
  </si>
  <si>
    <t>MCELREATH, DAVID</t>
  </si>
  <si>
    <t>KING, TYLER</t>
  </si>
  <si>
    <t>MCALISTER, AMANDA</t>
  </si>
  <si>
    <t>PRESTON, JESSICA</t>
  </si>
  <si>
    <t>FOUNTAIN, BAILEY</t>
  </si>
  <si>
    <t>MITCHELL, NANCY</t>
  </si>
  <si>
    <t>RIVERA, ADRIANA</t>
  </si>
  <si>
    <t>NEWHART, HAMILTON</t>
  </si>
  <si>
    <t>LANE, CRYSTAL</t>
  </si>
  <si>
    <t>ALLEN, LOREN</t>
  </si>
  <si>
    <t>ABDULNABI, YOUSEF</t>
  </si>
  <si>
    <t>JACKSON-LOCKYER, MARGO</t>
  </si>
  <si>
    <t>HARTMAN, RAYMOND</t>
  </si>
  <si>
    <t>MCGUKIN, DONALD</t>
  </si>
  <si>
    <t>JACKSON, HUGH</t>
  </si>
  <si>
    <t>BLANKENSHIP, DENNIS</t>
  </si>
  <si>
    <t>SPIOTTA, EUGENE</t>
  </si>
  <si>
    <t>SANFORD, MARTHA</t>
  </si>
  <si>
    <t>SHIVKUMAR, ABHIJIT</t>
  </si>
  <si>
    <t>HAMM, SHAWN</t>
  </si>
  <si>
    <t>CHRISTOPHER, DANYELLE</t>
  </si>
  <si>
    <t>DEAVER, JEFFREY</t>
  </si>
  <si>
    <t>SABUNWALA, SUHEL</t>
  </si>
  <si>
    <t>AL-SABEQ, BASIL</t>
  </si>
  <si>
    <t>MCCARTY, KELLY</t>
  </si>
  <si>
    <t>DROSTE, LINDSEY</t>
  </si>
  <si>
    <t>TILLMAN-WILSON, QUE'LINDA</t>
  </si>
  <si>
    <t>MARENGO, KELLI</t>
  </si>
  <si>
    <t>DEDEN, DEVON</t>
  </si>
  <si>
    <t>HAWKINS, HEATHER</t>
  </si>
  <si>
    <t>MCDANIEL, LACEY</t>
  </si>
  <si>
    <t>BUTLER, HELEN</t>
  </si>
  <si>
    <t>ACHARYA, AJAY</t>
  </si>
  <si>
    <t>TARR, RUSSELL</t>
  </si>
  <si>
    <t>LUNA, MICHAEL</t>
  </si>
  <si>
    <t>RYALS, AMANDA</t>
  </si>
  <si>
    <t>SINGH, MANISHA</t>
  </si>
  <si>
    <t>KAKKERA, KRISHNA SIVA SAI</t>
  </si>
  <si>
    <t>SMITH, MALLORY</t>
  </si>
  <si>
    <t>MADANIEH, RAEF</t>
  </si>
  <si>
    <t>ABU AL HOMMOS, NISREEN</t>
  </si>
  <si>
    <t>MUMMANENI, SUNDEEP</t>
  </si>
  <si>
    <t>RAHMLOW, TARA</t>
  </si>
  <si>
    <t>SHAW, MARTHA</t>
  </si>
  <si>
    <t>NAQVI, SYED</t>
  </si>
  <si>
    <t>CALAWAY, SARAH</t>
  </si>
  <si>
    <t>FLEEGER, JESSICA</t>
  </si>
  <si>
    <t>DILDAY, TAYLOR</t>
  </si>
  <si>
    <t>SCHEIBEL, EMILY</t>
  </si>
  <si>
    <t>SMITH, AMORIE</t>
  </si>
  <si>
    <t>FOSTER, SYDNEY</t>
  </si>
  <si>
    <t>DAWOOD-FARAH, FARAH</t>
  </si>
  <si>
    <t>THRASHER, JAMES</t>
  </si>
  <si>
    <t>SZYCH, GREGORY</t>
  </si>
  <si>
    <t>ROOKS, JAMES</t>
  </si>
  <si>
    <t>MALHOTRA, SUNIL</t>
  </si>
  <si>
    <t>VERUCCHI, MATTHEW</t>
  </si>
  <si>
    <t>ORAEDU, LINDA</t>
  </si>
  <si>
    <t>GRIFFIS, HOLLY</t>
  </si>
  <si>
    <t>IBRAHIM, HUSSAIN</t>
  </si>
  <si>
    <t>BROOKS, DELISA</t>
  </si>
  <si>
    <t>Currently working as a Psychitric Nurse Practitioner in Texarkana. https://www.linkedin.com/in/delisa-brooks-2a21931b1</t>
  </si>
  <si>
    <t>DUMPA, VIKRAMADITYA</t>
  </si>
  <si>
    <t>NEALY, ASHTON</t>
  </si>
  <si>
    <t>CULLUM, DRAKE</t>
  </si>
  <si>
    <t>SUTTER, DEEANN</t>
  </si>
  <si>
    <t>DAIGLE, CARLEY</t>
  </si>
  <si>
    <t>KING, KRISTEN</t>
  </si>
  <si>
    <t>MORGAN, JACK</t>
  </si>
  <si>
    <t>MORRISON, KENDRA</t>
  </si>
  <si>
    <t>TISCHER, SARA</t>
  </si>
  <si>
    <t>LALANI, SHENEEN</t>
  </si>
  <si>
    <t>VELLANKI, SRUTHI</t>
  </si>
  <si>
    <t>WUDNEH, EDEN</t>
  </si>
  <si>
    <t>POWERS, JORDAN</t>
  </si>
  <si>
    <t>ALQAISI, OMAR</t>
  </si>
  <si>
    <t>POLISETTY, HARIKA</t>
  </si>
  <si>
    <t>NDULUE, JIDEOFOR</t>
  </si>
  <si>
    <t>ARNOLD, EMILY</t>
  </si>
  <si>
    <t>BURKE, CHRISTI</t>
  </si>
  <si>
    <t>EDWARDS, FRANK</t>
  </si>
  <si>
    <t>KHAN, ZUBAIR</t>
  </si>
  <si>
    <t>BAILEY, WILLIAM</t>
  </si>
  <si>
    <t>SHEAGREN, PAULETTE</t>
  </si>
  <si>
    <t>ALLEN, GARRY</t>
  </si>
  <si>
    <t>MCCRARY, ASHLEY</t>
  </si>
  <si>
    <t>TURNER, BARBARA</t>
  </si>
  <si>
    <t>BEAN, NEELIE</t>
  </si>
  <si>
    <t>FRAZIER, ARIELLA</t>
  </si>
  <si>
    <t>ELDRIDGE, CHARLES</t>
  </si>
  <si>
    <t>LEVENGOOD, MALLORI</t>
  </si>
  <si>
    <t>HEMPHILL, EMILY</t>
  </si>
  <si>
    <t>CALDARERA, MICHAELA</t>
  </si>
  <si>
    <t>KNOX, CHRISTOPHER</t>
  </si>
  <si>
    <t>JEFFERS, TERESA</t>
  </si>
  <si>
    <t>PAHWA, HARNEET</t>
  </si>
  <si>
    <t>IRIZARRY, TIMOTHY</t>
  </si>
  <si>
    <t>ZIMMERMAN, ANDREW</t>
  </si>
  <si>
    <t>SONI, RONAK</t>
  </si>
  <si>
    <t>HOLLOWAY, BARRY</t>
  </si>
  <si>
    <t>CHINASA, MARGIE</t>
  </si>
  <si>
    <t>MCAMIS, MICHELE</t>
  </si>
  <si>
    <t>ALDAYOUB, WISSAM</t>
  </si>
  <si>
    <t>SALEEM, NASIR</t>
  </si>
  <si>
    <t>OLIVER, TAYLOR</t>
  </si>
  <si>
    <t>LISONBEE, JAMES</t>
  </si>
  <si>
    <t>SHAIKH, TAHIR</t>
  </si>
  <si>
    <t>BOAZ, HANNAH</t>
  </si>
  <si>
    <t>JEFFREY, HARRY</t>
  </si>
  <si>
    <t>SANDERS, ROBERT</t>
  </si>
  <si>
    <t>MURPHY, BRANDON</t>
  </si>
  <si>
    <t>LUCKETT, MARC</t>
  </si>
  <si>
    <t>BLACKSTOCK, TERRI</t>
  </si>
  <si>
    <t>DREW, DANNY</t>
  </si>
  <si>
    <t>DUPLANTIS, ALLEN</t>
  </si>
  <si>
    <t>SUNKARA, ANUSHA</t>
  </si>
  <si>
    <t>WLEKLINSKI, DONALD</t>
  </si>
  <si>
    <t>BUSBY, KRISTEN</t>
  </si>
  <si>
    <t>LIU, XIAOLONG</t>
  </si>
  <si>
    <t>AHZAM, MUHAMMAD</t>
  </si>
  <si>
    <t>KOESY, MIRIAM</t>
  </si>
  <si>
    <t>SMITH, SANDERICKA</t>
  </si>
  <si>
    <t>DANG, LONG</t>
  </si>
  <si>
    <t>CORNELIUS, ELIZABETH</t>
  </si>
  <si>
    <t>ATKINSON, CASSANDRA</t>
  </si>
  <si>
    <t>STANCIL, VICKI</t>
  </si>
  <si>
    <t>TJANDRA, SARIKUN</t>
  </si>
  <si>
    <t>MARIANO, EDWARD</t>
  </si>
  <si>
    <t>ZADA, YASIN</t>
  </si>
  <si>
    <t>ALLEN, KIM</t>
  </si>
  <si>
    <t>MAMIDWAR, MONIKA</t>
  </si>
  <si>
    <t>ELEFAN, DARRYL</t>
  </si>
  <si>
    <t>EDWARDS, MARJORIE</t>
  </si>
  <si>
    <t>CHEN, HONGJIANG</t>
  </si>
  <si>
    <t>LAIN, BRIAN</t>
  </si>
  <si>
    <t>BRIGGLER, ANDREW</t>
  </si>
  <si>
    <t>HOUART, KHALI</t>
  </si>
  <si>
    <t>HICKMAN, AMY</t>
  </si>
  <si>
    <t>HENAO, JUSTINE</t>
  </si>
  <si>
    <t>CUSHMAN, WILLIAM</t>
  </si>
  <si>
    <t>PURVIS, KENNETH</t>
  </si>
  <si>
    <t>CONEY, L.</t>
  </si>
  <si>
    <t>KONWE, BIELOSE</t>
  </si>
  <si>
    <t>TIMMONS, DUSTIN</t>
  </si>
  <si>
    <t>SPURGAT, STEPHANIE</t>
  </si>
  <si>
    <t>ISSEH, NAZIH</t>
  </si>
  <si>
    <t>UDEH, HILLARY</t>
  </si>
  <si>
    <t>SAVENKA, TATSIANA</t>
  </si>
  <si>
    <t>OVERSTREET, CARI</t>
  </si>
  <si>
    <t>SHROFF, RAJESH</t>
  </si>
  <si>
    <t>WEINSTEIN, JOSEPH</t>
  </si>
  <si>
    <t>PORTER, STEVEN</t>
  </si>
  <si>
    <t>HAYEK, MAROUN</t>
  </si>
  <si>
    <t>CLARKSTON, KENDELL</t>
  </si>
  <si>
    <t>JOY, PARIJAT</t>
  </si>
  <si>
    <t>REEL, UHRONDA</t>
  </si>
  <si>
    <t>BGOYA, KANEZA</t>
  </si>
  <si>
    <t>MOSER, JONATHAN</t>
  </si>
  <si>
    <t>TAYLOR, WHITNEY</t>
  </si>
  <si>
    <t>WELLMAN, CHRISTINE</t>
  </si>
  <si>
    <t>DESAI, VAIBHAV</t>
  </si>
  <si>
    <t>RAYMER, CLINT</t>
  </si>
  <si>
    <t>DUNCAN, CHERIE</t>
  </si>
  <si>
    <t>ECKMAN, CHRISTOPHER</t>
  </si>
  <si>
    <t>MILLS, HALEY</t>
  </si>
  <si>
    <t>CLARK, PEYTON</t>
  </si>
  <si>
    <t>SNADER, BRENT</t>
  </si>
  <si>
    <t>WHITE, ROBERT</t>
  </si>
  <si>
    <t>ALAM, MUHAMMAD</t>
  </si>
  <si>
    <t>MILSTEAD, CHRISTOPHER</t>
  </si>
  <si>
    <t>TUTT, RICHARD</t>
  </si>
  <si>
    <t>FRANZ, JUSTIN</t>
  </si>
  <si>
    <t>LO, VIVIAN</t>
  </si>
  <si>
    <t>WILLIAMS, BRENDAN</t>
  </si>
  <si>
    <t>DI LULO, KYLIE</t>
  </si>
  <si>
    <t>SULLIVAN, CHRISTINA</t>
  </si>
  <si>
    <t>WINTZ, BRIDGET</t>
  </si>
  <si>
    <t>BEIS, RUSSELL</t>
  </si>
  <si>
    <t>EJIOFOR, MOSES</t>
  </si>
  <si>
    <t>MOCK, GREGORY</t>
  </si>
  <si>
    <t>ALLAN, KATHERINE</t>
  </si>
  <si>
    <t>BRANDON, KRISTEN</t>
  </si>
  <si>
    <t>MARKELL, EVAN</t>
  </si>
  <si>
    <t>THOMAS, JILL</t>
  </si>
  <si>
    <t>PERMENTER, CARA</t>
  </si>
  <si>
    <t>BLACKWELL, SADIE</t>
  </si>
  <si>
    <t>COX, AARON</t>
  </si>
  <si>
    <t>MCVAY, ANNE</t>
  </si>
  <si>
    <t>RASWANT, UJJWAL KARAN</t>
  </si>
  <si>
    <t>SATHER, ALEXANDRA</t>
  </si>
  <si>
    <t>HOLLEY, JOSEPH</t>
  </si>
  <si>
    <t>KHAN, QAISAR</t>
  </si>
  <si>
    <t>NGUYEN, PHONG</t>
  </si>
  <si>
    <t>OGBEIDE, OSARENREN</t>
  </si>
  <si>
    <t>PRUETT, KENNETH</t>
  </si>
  <si>
    <t>DADI, NEELAKANTA</t>
  </si>
  <si>
    <t>SZWEDO, DOMINIKA</t>
  </si>
  <si>
    <t>PATIL, MONALI</t>
  </si>
  <si>
    <t>THOTA, NAGANATH</t>
  </si>
  <si>
    <t>TERRY, JENNIFER</t>
  </si>
  <si>
    <t>TRIPOD, MORGAN</t>
  </si>
  <si>
    <t>EBERHARD, COURTNEY</t>
  </si>
  <si>
    <t>WILSON, ALPHONSO</t>
  </si>
  <si>
    <t>TAYLOR, ERICA</t>
  </si>
  <si>
    <t>DIAZ, TIFFANY</t>
  </si>
  <si>
    <t>WAYMIRE, PATRIC</t>
  </si>
  <si>
    <t>MULKERINS, GEORGIA</t>
  </si>
  <si>
    <t>BOSHEARS, ZOE</t>
  </si>
  <si>
    <t>THURLBY, WILLIAM</t>
  </si>
  <si>
    <t>CHEN, JEFFERY</t>
  </si>
  <si>
    <t>FISCHER, ANDREW</t>
  </si>
  <si>
    <t>GONZALEZ, GUS</t>
  </si>
  <si>
    <t>SCHMIDT, DAVID</t>
  </si>
  <si>
    <t>CARROUTH, DAVID</t>
  </si>
  <si>
    <t>ELLINGTON, BARBARA</t>
  </si>
  <si>
    <t>BROOKS, GARY</t>
  </si>
  <si>
    <t>ALLEN, LAURIE</t>
  </si>
  <si>
    <t>DOERNER, PHILLIP</t>
  </si>
  <si>
    <t>GONZALEZ, DANIEL</t>
  </si>
  <si>
    <t>THALAMBEDU, NISHANTH</t>
  </si>
  <si>
    <t>VICK, BRANDON</t>
  </si>
  <si>
    <t>KENNON, BROOKE</t>
  </si>
  <si>
    <t>HARRISON, JORDAN</t>
  </si>
  <si>
    <t>JUSTICE, MELINDA</t>
  </si>
  <si>
    <t>GARDNER, MICHAELA</t>
  </si>
  <si>
    <t>SIMS, LAUREN</t>
  </si>
  <si>
    <t>ABRAHAM, LADLY</t>
  </si>
  <si>
    <t>This adddress is for a Pulmonary Rehab clinic.  Not MD office , AID - Misclassified as PCP having Internal Medicine as only qualifier</t>
  </si>
  <si>
    <t>Pulmonologist. Not general practice. https://centralarkansaslung.com/about/ladly-abraham/</t>
  </si>
  <si>
    <t>WEDDLE, JOHN</t>
  </si>
  <si>
    <t>SENTER, SHAUN</t>
  </si>
  <si>
    <t>NYENWE, EBENEZER</t>
  </si>
  <si>
    <t>ABDUL-HUSSEIN, MUSTAFA</t>
  </si>
  <si>
    <t>TEE, EMMANUEL</t>
  </si>
  <si>
    <t>KHAN, SHAN</t>
  </si>
  <si>
    <t>GERMAN, VALERIE</t>
  </si>
  <si>
    <t>BURKE, REBECCA</t>
  </si>
  <si>
    <t>ROBINS, LARRY</t>
  </si>
  <si>
    <t>KHADER, THEKRAYAT</t>
  </si>
  <si>
    <t>PIERCE, CAMRYN</t>
  </si>
  <si>
    <t>DILLARD, LYNDSEY</t>
  </si>
  <si>
    <t>DAVIS, KATELYN</t>
  </si>
  <si>
    <t>SCHMIDT KONEN, CARRIE</t>
  </si>
  <si>
    <t>DROSKE, SUSAN</t>
  </si>
  <si>
    <t>CLARDY, PENNY</t>
  </si>
  <si>
    <t>GARNER, TRACE</t>
  </si>
  <si>
    <t>HUNT, KEIAH</t>
  </si>
  <si>
    <t>LEKKALA, JYOTHIRMAYI</t>
  </si>
  <si>
    <t>BARNETT, WILLIAM</t>
  </si>
  <si>
    <t>PATEL, ABHISHEK</t>
  </si>
  <si>
    <t>SUMMERS, TERESA</t>
  </si>
  <si>
    <t>BATES, RACHEL</t>
  </si>
  <si>
    <t>FULLER, FELICIA</t>
  </si>
  <si>
    <t>AMARGOS ZAYAS, JEAN</t>
  </si>
  <si>
    <t>WEST, CARLEE</t>
  </si>
  <si>
    <t>WILLIAMS, SHYMEKA</t>
  </si>
  <si>
    <t>TAYLOR, CHAD</t>
  </si>
  <si>
    <t>PATE, KIMBALL</t>
  </si>
  <si>
    <t>CALOHAN, JESS</t>
  </si>
  <si>
    <t>RIZVI, NAHEED</t>
  </si>
  <si>
    <t>WONG, BRIAN</t>
  </si>
  <si>
    <t>RHODES, LESLIE</t>
  </si>
  <si>
    <t>MAY, WALKER</t>
  </si>
  <si>
    <t>Adding practitioners to Primary Care- Peds based on the internally credentialed taxonomies that are listed under the Provider Types Taxonomy Crosswalk from the Justification file.</t>
  </si>
  <si>
    <t>DILLINGHAM, JUSTIN</t>
  </si>
  <si>
    <t>MORSE, AMBER</t>
  </si>
  <si>
    <t>BARR, LESLIE</t>
  </si>
  <si>
    <t>HUNTER, CASSANDRA</t>
  </si>
  <si>
    <t>WREDLING, SARAH</t>
  </si>
  <si>
    <t>HULS, BRITTANY</t>
  </si>
  <si>
    <t>WALKER, ROLLIE</t>
  </si>
  <si>
    <t>MASRI, ABDELRAHMAN</t>
  </si>
  <si>
    <t>STEPHENS, BRITTANY</t>
  </si>
  <si>
    <t>HADDOCK, HEATHER</t>
  </si>
  <si>
    <t>TONG, ALAN</t>
  </si>
  <si>
    <t>HARTNESS, BIRTHA</t>
  </si>
  <si>
    <t>PRASAD, SUDHA</t>
  </si>
  <si>
    <t>Under contract. She works in Walnut Ridge, AR and specializes in Pediatrics and Internal Medicine. Dr. Cooper is affiliated with Ozark Health Medical Center</t>
  </si>
  <si>
    <t>LINN, MARY</t>
  </si>
  <si>
    <t>BOYETTE, KRISTINA</t>
  </si>
  <si>
    <t>REESE, EDWARD</t>
  </si>
  <si>
    <t>GONZALEZ, MISTY</t>
  </si>
  <si>
    <t>LYNCH, KERRI</t>
  </si>
  <si>
    <t>SMITH, STARLA</t>
  </si>
  <si>
    <t>Under contract.Per NPI IM in TN; Per Google provider practices both</t>
  </si>
  <si>
    <t>BARNETT, MATTHEW</t>
  </si>
  <si>
    <t>GRIFFIN, RODNEY</t>
  </si>
  <si>
    <t>STAMP, JEFFREY</t>
  </si>
  <si>
    <t>SIMPSON, MARY</t>
  </si>
  <si>
    <t>RAY, HANNAH</t>
  </si>
  <si>
    <t>GRINDLE, HEATHER</t>
  </si>
  <si>
    <t>REILLY, LAUREN</t>
  </si>
  <si>
    <t>SHARPE, CATHERINE</t>
  </si>
  <si>
    <t>STOCKTON, KAYLA</t>
  </si>
  <si>
    <t>REINHART, JEFFREY</t>
  </si>
  <si>
    <t>MORSE, MIRIAM</t>
  </si>
  <si>
    <t>CAUSEY, ROBERT</t>
  </si>
  <si>
    <t>DURRETT, SANDRA</t>
  </si>
  <si>
    <t>BORDELON, JEFFREY</t>
  </si>
  <si>
    <t>MCCLINTOCK, JACOB</t>
  </si>
  <si>
    <t>SCOTT, ROBERT</t>
  </si>
  <si>
    <t>HUBBARD, JEREMY</t>
  </si>
  <si>
    <t>DRAKE, PAUL</t>
  </si>
  <si>
    <t>HARRISON, DIANNE</t>
  </si>
  <si>
    <t>CROSSKNO, KIMBERLY</t>
  </si>
  <si>
    <t>PATE, MALLORY</t>
  </si>
  <si>
    <t>MEAD, KAMRYN</t>
  </si>
  <si>
    <t>FRISBIE, STEPHANIE</t>
  </si>
  <si>
    <t>FINCK, JOHN</t>
  </si>
  <si>
    <t>ALBEY, MARK</t>
  </si>
  <si>
    <t>ORDONEZ, CONRADO</t>
  </si>
  <si>
    <t>SESSIONS, ATALIE</t>
  </si>
  <si>
    <t>NEWMON, DOMECIA</t>
  </si>
  <si>
    <t>PYBURN, WENDY</t>
  </si>
  <si>
    <t>LITTLE, JESSIE</t>
  </si>
  <si>
    <t>POWERS, DAVID</t>
  </si>
  <si>
    <t>POLLICH, KRISTEN</t>
  </si>
  <si>
    <t>BOWLING, WILLIAM</t>
  </si>
  <si>
    <t>SIMMS, MONA</t>
  </si>
  <si>
    <t>MARSDEN, SHANNON</t>
  </si>
  <si>
    <t>MARSHALL, ANGELA</t>
  </si>
  <si>
    <t>RILEY, KRYSTAL</t>
  </si>
  <si>
    <t>JONES, CAMERON</t>
  </si>
  <si>
    <t>ALLEN, BRITTANY</t>
  </si>
  <si>
    <t>COOK, BUFFY</t>
  </si>
  <si>
    <t>GORDON, ALFRED</t>
  </si>
  <si>
    <t>CUMMINS, JOE</t>
  </si>
  <si>
    <t>COWAN, JAMES</t>
  </si>
  <si>
    <t>STEVENSON, SHARON</t>
  </si>
  <si>
    <t>TOWNSEND, WANDA</t>
  </si>
  <si>
    <t>GULATI, ISH</t>
  </si>
  <si>
    <t>WRAY, GARRETT</t>
  </si>
  <si>
    <t>VANDERBILT, STEVEN</t>
  </si>
  <si>
    <t>DAVIS, SHAY</t>
  </si>
  <si>
    <t>BARNETT, DYLAN</t>
  </si>
  <si>
    <t>ESTES, COURTNEY</t>
  </si>
  <si>
    <t>LEWIS, JOHN</t>
  </si>
  <si>
    <t>BERRY, MARTHA</t>
  </si>
  <si>
    <t>SHARP, JAN</t>
  </si>
  <si>
    <t>HURT, CHRISTIE</t>
  </si>
  <si>
    <t>RENNO, MARKUS</t>
  </si>
  <si>
    <t>BENBOW, ANDREW</t>
  </si>
  <si>
    <t>ORMAN, LAUREN</t>
  </si>
  <si>
    <t>BHAMARE, TANMAY</t>
  </si>
  <si>
    <t>ASMB: Pediatrics</t>
  </si>
  <si>
    <t>HANNER, WENDY</t>
  </si>
  <si>
    <t>LUNSFORD, JESSICA</t>
  </si>
  <si>
    <t>EDGAR, STACY</t>
  </si>
  <si>
    <t>WINNINGHAM, CHELSEY</t>
  </si>
  <si>
    <t>SMITH, PAUL</t>
  </si>
  <si>
    <t>QAYYUM, TAHIR</t>
  </si>
  <si>
    <t>PESEK, ROBERT</t>
  </si>
  <si>
    <t>DECKER, KATHLEEN</t>
  </si>
  <si>
    <t>STILL, LINDSAY</t>
  </si>
  <si>
    <t>Practitioner is credentialed internally as Allergy and Immunology. NPPES listing agrees. Practitioner locations reported are allergy and asthma and not primary care as well. https://arallergy.com/physicians/lindsay-still-md/, AID - Single issuer's classification disagreed with majority</t>
  </si>
  <si>
    <t>PRUITT, BROOKE</t>
  </si>
  <si>
    <t>PATIL, NIKITA</t>
  </si>
  <si>
    <t>ELLIS, DESTINEY</t>
  </si>
  <si>
    <t>WATKINS, MELISSA</t>
  </si>
  <si>
    <t>SHARMA, ACHIN</t>
  </si>
  <si>
    <t>WAMPLER, STEVE</t>
  </si>
  <si>
    <t>JACKSON, ANNA</t>
  </si>
  <si>
    <t>TREJO, DANIEL</t>
  </si>
  <si>
    <t>STRONG, CLINT</t>
  </si>
  <si>
    <t>HUMBARD, STEPHEN</t>
  </si>
  <si>
    <t>REED, JANET</t>
  </si>
  <si>
    <t>TOSH, BOBBI</t>
  </si>
  <si>
    <t>DALLIS, LISTA</t>
  </si>
  <si>
    <t>INGRAM, HANNAH</t>
  </si>
  <si>
    <t>DURNER, CORINNE</t>
  </si>
  <si>
    <t>BROTZ, JORDAN</t>
  </si>
  <si>
    <t>ADAMS, CECILIA</t>
  </si>
  <si>
    <t>DAVIS, R</t>
  </si>
  <si>
    <t>CARTER, INGE</t>
  </si>
  <si>
    <t>HAMMOND, MICHAEL</t>
  </si>
  <si>
    <t>BECK, DAVID</t>
  </si>
  <si>
    <t>BLASZAK, RICHARD</t>
  </si>
  <si>
    <t>WESTON, SARAH</t>
  </si>
  <si>
    <t>ASMB: General Pediatrics</t>
  </si>
  <si>
    <t>SELBY, SAMUEL</t>
  </si>
  <si>
    <t>KERR, TASHA</t>
  </si>
  <si>
    <t>PATTEN, LESLIE</t>
  </si>
  <si>
    <t>WILLIAMS, TYNISHA</t>
  </si>
  <si>
    <t>WYRICK, SCOTT</t>
  </si>
  <si>
    <t>HANNON, MARTIN</t>
  </si>
  <si>
    <t>DAUGHERTY, JOHN</t>
  </si>
  <si>
    <t>PATEL, PRAVIN</t>
  </si>
  <si>
    <t>RODA, FERDINAND</t>
  </si>
  <si>
    <t>PEYTON, SHAWN</t>
  </si>
  <si>
    <t>ANDERSON, SARAH</t>
  </si>
  <si>
    <t>HALL, WHITNEY</t>
  </si>
  <si>
    <t>VOGEL, CHRISTINE</t>
  </si>
  <si>
    <t>WADLEY, KRISTINA</t>
  </si>
  <si>
    <t>SCHROEDER, JENNIFER</t>
  </si>
  <si>
    <t>VICE, MARK</t>
  </si>
  <si>
    <t>SELLERS, NYKKIA</t>
  </si>
  <si>
    <t>MERLOCCO, ANTHONY</t>
  </si>
  <si>
    <t>SHOKOUH-AMIRI, SOPHIA</t>
  </si>
  <si>
    <t>WHITED, KRISTY</t>
  </si>
  <si>
    <t>REEVES, LAUREN</t>
  </si>
  <si>
    <t>MONEY, BROOKE</t>
  </si>
  <si>
    <t>BENNETT, TIFFANY</t>
  </si>
  <si>
    <t>JAMES, KENNEDI</t>
  </si>
  <si>
    <t>MCDOUGALL KESTNER, VALERIE</t>
  </si>
  <si>
    <t>DEYOUNG, BRUCE</t>
  </si>
  <si>
    <t>CAMPBELL, GERALDINE</t>
  </si>
  <si>
    <t>WHITE, EDWARD</t>
  </si>
  <si>
    <t>RAINS, JESSICA</t>
  </si>
  <si>
    <t>SAKARIYA, GEETABAHEN</t>
  </si>
  <si>
    <t>HARRIS, APRIL</t>
  </si>
  <si>
    <t>MOIX, MEGAN</t>
  </si>
  <si>
    <t>RITCHIE, ROBERT</t>
  </si>
  <si>
    <t>LAWRENCE, BILL</t>
  </si>
  <si>
    <t>VELEZ, DEBRA</t>
  </si>
  <si>
    <t>WILLIAMS, TINA</t>
  </si>
  <si>
    <t>REAGAN, KIMBERLY</t>
  </si>
  <si>
    <t>JOWERS, ALLISON</t>
  </si>
  <si>
    <t>JOSHI, KRITTIKA</t>
  </si>
  <si>
    <t>SPARKS, LAURA</t>
  </si>
  <si>
    <t>CATT, CHELSEY</t>
  </si>
  <si>
    <t>TOMPKINS, GEORGE</t>
  </si>
  <si>
    <t>BRANCH, HAROLD</t>
  </si>
  <si>
    <t>NAYLES, LEE</t>
  </si>
  <si>
    <t>GASTON, CALEB</t>
  </si>
  <si>
    <t>MENLEY, BARBARA</t>
  </si>
  <si>
    <t>DAVIS, LYNN</t>
  </si>
  <si>
    <t>PATTERSON, MEGAN</t>
  </si>
  <si>
    <t>BINFORD, DANIEL</t>
  </si>
  <si>
    <t>DAVIS, FRANKLIN</t>
  </si>
  <si>
    <t>GRANGER, JASMINE</t>
  </si>
  <si>
    <t>COBB, NATALIE</t>
  </si>
  <si>
    <t>ELDERS, JOHN</t>
  </si>
  <si>
    <t>MELIN, RICHARD</t>
  </si>
  <si>
    <t>BURCH, MARY</t>
  </si>
  <si>
    <t>RAI, PARUL</t>
  </si>
  <si>
    <t>WILLIAMS, BRITTANY</t>
  </si>
  <si>
    <t>HOWARD, SANDRA</t>
  </si>
  <si>
    <t>FONER, MELISSA</t>
  </si>
  <si>
    <t>CROW, ASHLEY</t>
  </si>
  <si>
    <t>JAMES, KATHRYN</t>
  </si>
  <si>
    <t>RUSSELL, TIERNEY</t>
  </si>
  <si>
    <t>BRISCOE, BEVERLY</t>
  </si>
  <si>
    <t>CLARK, JONATHAN</t>
  </si>
  <si>
    <t>KINCANNON, JAY</t>
  </si>
  <si>
    <t>PRODHAN, PARTHAK</t>
  </si>
  <si>
    <t>HAYNES, WILLIAM</t>
  </si>
  <si>
    <t>COWARD, LATOYA</t>
  </si>
  <si>
    <t>AWAD, SAMAH</t>
  </si>
  <si>
    <t>TODD, EMILY</t>
  </si>
  <si>
    <t>SCOTT, MARK</t>
  </si>
  <si>
    <t>BRANDON, MATTHEW</t>
  </si>
  <si>
    <t>KERLEY, LESA</t>
  </si>
  <si>
    <t>BOLLINGER, ALEXA</t>
  </si>
  <si>
    <t>HELTON, MICHELLE</t>
  </si>
  <si>
    <t>ELLIS, AUTUMN</t>
  </si>
  <si>
    <t>BARNES, VANESSA</t>
  </si>
  <si>
    <t>QUELLA, MEGAN</t>
  </si>
  <si>
    <t>SHELTON, ASHLEY</t>
  </si>
  <si>
    <t>PAYNE, JACKSON</t>
  </si>
  <si>
    <t>SUBRAMANIUM, ANANDARAJ</t>
  </si>
  <si>
    <t>FITTS, SHERRIE</t>
  </si>
  <si>
    <t>PIKE, DANIEL</t>
  </si>
  <si>
    <t>PARASHAR, NIRBHAY</t>
  </si>
  <si>
    <t>MCCOMBS, DAVID</t>
  </si>
  <si>
    <t>JOINER, PRISCILLA</t>
  </si>
  <si>
    <t>TOLLETT, SUNNI</t>
  </si>
  <si>
    <t>BROWN, CHRYSTAL</t>
  </si>
  <si>
    <t>TUCKER, ROBERT</t>
  </si>
  <si>
    <t>SIMS, JAN</t>
  </si>
  <si>
    <t>WILLIS, WILLIAM</t>
  </si>
  <si>
    <t>GOODFRED, JENNIFER</t>
  </si>
  <si>
    <t>OAKES, LUTHER</t>
  </si>
  <si>
    <t>HILL, RHONDA</t>
  </si>
  <si>
    <t>ADERA, SELAMAWIT</t>
  </si>
  <si>
    <t>SWINGER, MARTINA</t>
  </si>
  <si>
    <t>KRISELL, GARRETT</t>
  </si>
  <si>
    <t>FLAHERTY, RYAN</t>
  </si>
  <si>
    <t>SOLLEY, ANNA</t>
  </si>
  <si>
    <t>DUNAWAY, JOSEPH</t>
  </si>
  <si>
    <t>SUNEELA, GOTTUMUKKALA</t>
  </si>
  <si>
    <t>NIMMO, TERESA</t>
  </si>
  <si>
    <t>MCGUINNESS, JOSEPH</t>
  </si>
  <si>
    <t>PIOTTER, DANIEL</t>
  </si>
  <si>
    <t>LINDSEY, JOSHUA</t>
  </si>
  <si>
    <t>HIEGEL, KEVIN</t>
  </si>
  <si>
    <t>NETHERLAND, CLINTON</t>
  </si>
  <si>
    <t>DELANEY, NICOLE</t>
  </si>
  <si>
    <t>DEEL, MATTHEW</t>
  </si>
  <si>
    <t>WEAVER, DENNIS</t>
  </si>
  <si>
    <t>SANDRIDGE, COURTNEY</t>
  </si>
  <si>
    <t>NEWEY, CHELSEA</t>
  </si>
  <si>
    <t>WORTHAM, RICHELLE</t>
  </si>
  <si>
    <t>GRAY, ADAM</t>
  </si>
  <si>
    <t>WOODALL, CHARLES</t>
  </si>
  <si>
    <t>JOHNSTON, KENNETH</t>
  </si>
  <si>
    <t>WILLIAMS, NANCY</t>
  </si>
  <si>
    <t>LAWRENCE, GEORGE</t>
  </si>
  <si>
    <t>EMERSON, KIMBERLY</t>
  </si>
  <si>
    <t>SYMONS, NADINE</t>
  </si>
  <si>
    <t>CHURCHILL, JEANNE</t>
  </si>
  <si>
    <t>GRAHAM, STACY</t>
  </si>
  <si>
    <t>BROWN, JOSEPH</t>
  </si>
  <si>
    <t>THORNSBERRY, JONATHAN</t>
  </si>
  <si>
    <t>SINGH, AARON</t>
  </si>
  <si>
    <t>KEMP, JUSTIN</t>
  </si>
  <si>
    <t>KOEHLER, SETH</t>
  </si>
  <si>
    <t>HICKEY, MARANDA</t>
  </si>
  <si>
    <t>THOMAS, DANIELLE</t>
  </si>
  <si>
    <t>TILLY, COLLETTE</t>
  </si>
  <si>
    <t>FROESCHLE, JASON</t>
  </si>
  <si>
    <t>RIELS, MADELYN</t>
  </si>
  <si>
    <t>DULOWSKI, WOJCIECH</t>
  </si>
  <si>
    <t>DANG, BAO</t>
  </si>
  <si>
    <t>BOYD, KATHRYN</t>
  </si>
  <si>
    <t>AQUINO, ADELO</t>
  </si>
  <si>
    <t>SCHAUF, KYLE</t>
  </si>
  <si>
    <t>CROUCH, MATTHEW</t>
  </si>
  <si>
    <t>HARGRAVE, MARLO</t>
  </si>
  <si>
    <t>POWELL, DIOSAN</t>
  </si>
  <si>
    <t>JANOUS, CARRIE</t>
  </si>
  <si>
    <t>MILLS, AARON</t>
  </si>
  <si>
    <t>ROBNETT, RHONDA</t>
  </si>
  <si>
    <t>SHAW, ANNA</t>
  </si>
  <si>
    <t>STEWART, GINGER</t>
  </si>
  <si>
    <t>BEASLEY, JAMES</t>
  </si>
  <si>
    <t>GALLOWAY, LINDSEY</t>
  </si>
  <si>
    <t>FORSYTH, LAURA</t>
  </si>
  <si>
    <t>DUGGER, JOSEPH</t>
  </si>
  <si>
    <t>HEKMATPOUR, ERIN</t>
  </si>
  <si>
    <t>FAIRLESS, DEBRA</t>
  </si>
  <si>
    <t>CRASE, DOUGLAS</t>
  </si>
  <si>
    <t>DALBY, STEPHEN</t>
  </si>
  <si>
    <t>NELSON, JIMARIE</t>
  </si>
  <si>
    <t>BROWNING, ELIZABETH</t>
  </si>
  <si>
    <t>FREEMAN, AMY</t>
  </si>
  <si>
    <t>SARNA, PAUL</t>
  </si>
  <si>
    <t>MARTINDALE, CHRISTAL</t>
  </si>
  <si>
    <t>HOWERTON, WILLA</t>
  </si>
  <si>
    <t>SPLINTER, JOSHUA</t>
  </si>
  <si>
    <t>FITZHUGH, WELLESLEY</t>
  </si>
  <si>
    <t>MCGEE, BRITTANY</t>
  </si>
  <si>
    <t>PAYNE, SHELLEY</t>
  </si>
  <si>
    <t>BUTLER, CLINT</t>
  </si>
  <si>
    <t>BISHOP, ROBERT</t>
  </si>
  <si>
    <t>BEINEMAN, TONYA</t>
  </si>
  <si>
    <t>MCNAMARA, TIMOTHY</t>
  </si>
  <si>
    <t>RAINEY, COLLINS</t>
  </si>
  <si>
    <t>WINFORD, AMANDA</t>
  </si>
  <si>
    <t>Adding practitioners to Primary Care- Peds based on the internally credentialed taxonomies that are listed under the Provider Types Taxonomy Crosswalk from the Justification file., Adding practitioners to Primary Care- Peds based on the internally credentialed taxonomies that are listed under the Provider Types Taxonomy Crosswalk from the Justification file.</t>
  </si>
  <si>
    <t>BLOCK, JOHN</t>
  </si>
  <si>
    <t>TABB, LESLIE</t>
  </si>
  <si>
    <t>SMITH, JAY</t>
  </si>
  <si>
    <t>KUYKENDALL, SCOTT</t>
  </si>
  <si>
    <t>BEARD, MICHAEL</t>
  </si>
  <si>
    <t>THRONEBERRY, JAMES</t>
  </si>
  <si>
    <t>DANIEL, AMY</t>
  </si>
  <si>
    <t>BOWEN, RONNIE</t>
  </si>
  <si>
    <t>CURTIS, GABRIELLE</t>
  </si>
  <si>
    <t>FARR, LORI</t>
  </si>
  <si>
    <t>HUDSON, EVELYN</t>
  </si>
  <si>
    <t>SPEARS, KATHERINE</t>
  </si>
  <si>
    <t>JORDAN, CLAUDIA</t>
  </si>
  <si>
    <t>FRISBIE, BRENDA</t>
  </si>
  <si>
    <t>WICKS, LOUISA</t>
  </si>
  <si>
    <t>POST, PETER</t>
  </si>
  <si>
    <t>SHEEN, ANNE</t>
  </si>
  <si>
    <t>CARMICAL, KATELYN</t>
  </si>
  <si>
    <t>FERGUSON, ROBERT</t>
  </si>
  <si>
    <t>REED-WASHINGTON, RAQUEL</t>
  </si>
  <si>
    <t>LAWSON, JEREMY</t>
  </si>
  <si>
    <t>SALMON, CLIFTON</t>
  </si>
  <si>
    <t>TIDWELL, RICHARD</t>
  </si>
  <si>
    <t>ZINI, JAMES</t>
  </si>
  <si>
    <t>BLEDSOE, MARY</t>
  </si>
  <si>
    <t>SNOWDEN, JESSICA</t>
  </si>
  <si>
    <t>MENARD, JOHN</t>
  </si>
  <si>
    <t>HESTER, ALLISON</t>
  </si>
  <si>
    <t>KENNEDY, ELICIA</t>
  </si>
  <si>
    <t>MARTIN, PATRICK</t>
  </si>
  <si>
    <t>CRAWFORD, BRENDAN</t>
  </si>
  <si>
    <t>ASMB: Pediatrics (secondary)</t>
  </si>
  <si>
    <t>HODGES, PAMELA</t>
  </si>
  <si>
    <t>ALLEYNE, MONTRESE</t>
  </si>
  <si>
    <t>BIRD, LINDSEY</t>
  </si>
  <si>
    <t>TEER, EMILY</t>
  </si>
  <si>
    <t>GODDARD, COLLEEN</t>
  </si>
  <si>
    <t>JONES, KIZMET</t>
  </si>
  <si>
    <t>ARCHER, JESSICA</t>
  </si>
  <si>
    <t>LEATHERWOOD, CYNTHIA</t>
  </si>
  <si>
    <t>KISTNER, ERIN</t>
  </si>
  <si>
    <t>DUKE, JOHN</t>
  </si>
  <si>
    <t>KIRKLAND, ALLAN</t>
  </si>
  <si>
    <t>LIEBELT, ERICA</t>
  </si>
  <si>
    <t>FALWELL, KEVIN</t>
  </si>
  <si>
    <t>JAMES, LAURA</t>
  </si>
  <si>
    <t>PORTER, MARY</t>
  </si>
  <si>
    <t>PHILLIPS, JACQUELINE</t>
  </si>
  <si>
    <t>ZHOU, FANG</t>
  </si>
  <si>
    <t>JOHNSON, GIL</t>
  </si>
  <si>
    <t>PARSLEY, AARON</t>
  </si>
  <si>
    <t>VORIS, JUSTIN</t>
  </si>
  <si>
    <t>JENNEWINE, EMILY</t>
  </si>
  <si>
    <t>SULLIVAN, ELIZABETH</t>
  </si>
  <si>
    <t>COBB, VICKI</t>
  </si>
  <si>
    <t>LYN-BOSWELL, CARLA</t>
  </si>
  <si>
    <t>NEWTON, SAMUEL</t>
  </si>
  <si>
    <t>WOLFE, ERIC</t>
  </si>
  <si>
    <t>IRBY, ELIZABETH</t>
  </si>
  <si>
    <t>MUSE, KATOSHA</t>
  </si>
  <si>
    <t>WARD, KELLEY</t>
  </si>
  <si>
    <t>HARTWIG, HILARY</t>
  </si>
  <si>
    <t>BRYAN, ELIZABETH</t>
  </si>
  <si>
    <t>TORRANCE-WILLIAMS, BRIDGETTE</t>
  </si>
  <si>
    <t>MANNING, AMY</t>
  </si>
  <si>
    <t>SKAINS, MOLLY</t>
  </si>
  <si>
    <t>LEE, RON</t>
  </si>
  <si>
    <t>BASHAM, BRIAN</t>
  </si>
  <si>
    <t>KILLOUGH, TIMOTHY</t>
  </si>
  <si>
    <t>BRANNON, GRETCHEN</t>
  </si>
  <si>
    <t>ALBEZARGAN, FATIN</t>
  </si>
  <si>
    <t>KEITH, STEPHEN</t>
  </si>
  <si>
    <t>CARLISLE, ANNETTE</t>
  </si>
  <si>
    <t>GRIFFIN, PATRICIA</t>
  </si>
  <si>
    <t>RATLIFF, KELLY</t>
  </si>
  <si>
    <t>DAVIS, PAUL</t>
  </si>
  <si>
    <t>SCHISLER, KIMBERLY</t>
  </si>
  <si>
    <t>DICUS, MARGARET</t>
  </si>
  <si>
    <t>NADA, ARWA</t>
  </si>
  <si>
    <t>VANACORE, VICTORIA</t>
  </si>
  <si>
    <t>WILKINS, JOHN</t>
  </si>
  <si>
    <t>HAYMORE, JANET</t>
  </si>
  <si>
    <t>UNGER, ADRIAN</t>
  </si>
  <si>
    <t>DIXON, MALLORY</t>
  </si>
  <si>
    <t>NANDAMURU, PRAVEEN</t>
  </si>
  <si>
    <t>CARTER, ANTHONY</t>
  </si>
  <si>
    <t>BYRUM, JAMES</t>
  </si>
  <si>
    <t>HATESOHL, STANLEY</t>
  </si>
  <si>
    <t>SCURLOCK, AMY</t>
  </si>
  <si>
    <t>TAMEEZ, IFFAT</t>
  </si>
  <si>
    <t>BOSOLD, JEFFREY</t>
  </si>
  <si>
    <t>GIDDINGS, ROBERT</t>
  </si>
  <si>
    <t>COLEMAN, CAROLYN</t>
  </si>
  <si>
    <t>BROCKMAN, TYLER</t>
  </si>
  <si>
    <t>WILLIAMSON, RIKI</t>
  </si>
  <si>
    <t>PETERSON, MARK</t>
  </si>
  <si>
    <t>TYSON, JANE</t>
  </si>
  <si>
    <t>HEDGES, HAROLD</t>
  </si>
  <si>
    <t>WHORTON, GREGORY</t>
  </si>
  <si>
    <t>SPADES, SEBASTIAN</t>
  </si>
  <si>
    <t>QURESHI, SHOAIB</t>
  </si>
  <si>
    <t>WATSON, ROBERT</t>
  </si>
  <si>
    <t>HENDERSON, MICHELLE</t>
  </si>
  <si>
    <t>JERKINS, MICHAEL</t>
  </si>
  <si>
    <t>ROBERTSON, BRITTANY</t>
  </si>
  <si>
    <t>JONES, RAINIE</t>
  </si>
  <si>
    <t>GUNTER, JULIE</t>
  </si>
  <si>
    <t>KORSZOLOSKI, KATRINA</t>
  </si>
  <si>
    <t>VAISLER, RYAN</t>
  </si>
  <si>
    <t>TARRANT, LACI</t>
  </si>
  <si>
    <t>JENKINS, JEFFERY</t>
  </si>
  <si>
    <t>MAJOR, STEVEN</t>
  </si>
  <si>
    <t>BUTLER, PORSHA</t>
  </si>
  <si>
    <t>SMITH-YOUNG, JAMILA</t>
  </si>
  <si>
    <t>STEWART, JASON</t>
  </si>
  <si>
    <t>BATY, TIMOTHY</t>
  </si>
  <si>
    <t>DENNEY, KAYLA</t>
  </si>
  <si>
    <t>PRICE, KELSI</t>
  </si>
  <si>
    <t>DAVIDSON, DANIEL</t>
  </si>
  <si>
    <t>BONNER, MARK</t>
  </si>
  <si>
    <t>MELNYK, OKSANA</t>
  </si>
  <si>
    <t>KLUCH, JOANNA</t>
  </si>
  <si>
    <t>SCHEIDLER, HEIDI</t>
  </si>
  <si>
    <t>VANDERFORD, ROBYN</t>
  </si>
  <si>
    <t>CLEMENTS-FORE, AMBER</t>
  </si>
  <si>
    <t>DEL VALLE PENELLA, ANA</t>
  </si>
  <si>
    <t>VALIANI, SALIMA</t>
  </si>
  <si>
    <t>SWAIN, ANDREA</t>
  </si>
  <si>
    <t>TOMAN, MELISSA</t>
  </si>
  <si>
    <t>POLLOCK, BAILEY</t>
  </si>
  <si>
    <t>KRESSE, GREGORY</t>
  </si>
  <si>
    <t>WARD, TYE</t>
  </si>
  <si>
    <t>HURLEY, MARY MARGARET</t>
  </si>
  <si>
    <t>HARRELL, LANCE</t>
  </si>
  <si>
    <t>HAMPTON, SALLIE</t>
  </si>
  <si>
    <t>HARRIS, KAY</t>
  </si>
  <si>
    <t>MORRIS, MEGHAN</t>
  </si>
  <si>
    <t>WINSTON, PAMELA</t>
  </si>
  <si>
    <t>KINCANNON, CHRISTINA</t>
  </si>
  <si>
    <t>GARDNER, MICHELLE</t>
  </si>
  <si>
    <t>MEJIA OTERO, JUAN</t>
  </si>
  <si>
    <t>JONES, TRAVISHA</t>
  </si>
  <si>
    <t>COURTNEY, ASHLEAH</t>
  </si>
  <si>
    <t>COMPTON, HEIDI</t>
  </si>
  <si>
    <t>MORETTA, LINDSEY</t>
  </si>
  <si>
    <t>WILLIAMS, VALINA</t>
  </si>
  <si>
    <t>MCMURRY, JOYCE</t>
  </si>
  <si>
    <t>BALLARD, CARA</t>
  </si>
  <si>
    <t>MERIDETH, BARBARA</t>
  </si>
  <si>
    <t>HOOD, O KINCANNON</t>
  </si>
  <si>
    <t>DAVIDSON, CHARLES</t>
  </si>
  <si>
    <t>MITCHELL, SHAUNNA</t>
  </si>
  <si>
    <t>HARRINGTON, GREGORY</t>
  </si>
  <si>
    <t>ICAZA, RAMIRO</t>
  </si>
  <si>
    <t>WHITE, FELICIA</t>
  </si>
  <si>
    <t>WIGGINS, STEPHANIE</t>
  </si>
  <si>
    <t>HART, KALA</t>
  </si>
  <si>
    <t>WILLIAMSON, JONATHAN</t>
  </si>
  <si>
    <t>OLDS, MELINDA</t>
  </si>
  <si>
    <t>WAH, JOHN</t>
  </si>
  <si>
    <t>LEA, JARRETT</t>
  </si>
  <si>
    <t>ASMB: Family Practice</t>
  </si>
  <si>
    <t>ROOK, ROBERT</t>
  </si>
  <si>
    <t>HASHMI, ABEER</t>
  </si>
  <si>
    <t>HILL, MELINDA</t>
  </si>
  <si>
    <t>HARDIN, DANIEL</t>
  </si>
  <si>
    <t>LANE, JOHN</t>
  </si>
  <si>
    <t>ASLIN, CATHERINE</t>
  </si>
  <si>
    <t>MCMILLON, JAKE</t>
  </si>
  <si>
    <t>ODIASE, ELAINE</t>
  </si>
  <si>
    <t>RODDY, KIMBERLY</t>
  </si>
  <si>
    <t>MOORE, RAMONA</t>
  </si>
  <si>
    <t>BATES, RONALD</t>
  </si>
  <si>
    <t>CROWELL, KAREN</t>
  </si>
  <si>
    <t>COPLON, DEBRA</t>
  </si>
  <si>
    <t>MORRISON, DEREK</t>
  </si>
  <si>
    <t>TEWAR, SHRUTI</t>
  </si>
  <si>
    <t>Objection reason not within ped definition</t>
  </si>
  <si>
    <t>CUMMENS, KATHLEEN</t>
  </si>
  <si>
    <t>RHODES, KYLIE</t>
  </si>
  <si>
    <t>TAYLOR, MAXWELL</t>
  </si>
  <si>
    <t>CAWIEZELL, STEPHANNIE</t>
  </si>
  <si>
    <t>HAYDAR, ALI</t>
  </si>
  <si>
    <t>PACE, STEPHEN</t>
  </si>
  <si>
    <t>LEWIS, LAJARVIS</t>
  </si>
  <si>
    <t>HERRERA, CHASE</t>
  </si>
  <si>
    <t>KARMAS, SAMANTHA</t>
  </si>
  <si>
    <t>HARVEY, JERRY</t>
  </si>
  <si>
    <t>DUNHAM, JOHN</t>
  </si>
  <si>
    <t>ROYLANCE, JEFFREY</t>
  </si>
  <si>
    <t>FARRAR, HENRY</t>
  </si>
  <si>
    <t>PERKINS, AMY</t>
  </si>
  <si>
    <t>OGU, UGOCHI</t>
  </si>
  <si>
    <t>PATTERSON, MELINDA</t>
  </si>
  <si>
    <t>HUSLIG, RYAN</t>
  </si>
  <si>
    <t>ROGERS, MARGARET</t>
  </si>
  <si>
    <t>RICHARD, SAMANTHA</t>
  </si>
  <si>
    <t>BEACHAM, LINDSAY</t>
  </si>
  <si>
    <t>WADDELL, CARLY</t>
  </si>
  <si>
    <t>SULLIVAN, CARY</t>
  </si>
  <si>
    <t>SAVAGE, BRIAN</t>
  </si>
  <si>
    <t>HAYES, BURTON</t>
  </si>
  <si>
    <t>WALSH, BENJAMIN</t>
  </si>
  <si>
    <t>THOMPSON, BARRY</t>
  </si>
  <si>
    <t>REYES, CHAN</t>
  </si>
  <si>
    <t>GOODMAN, ALLYSON</t>
  </si>
  <si>
    <t>COOK, KATHLYN</t>
  </si>
  <si>
    <t>MILLICAN, WHITNEY</t>
  </si>
  <si>
    <t>HARRIS, BREANNA</t>
  </si>
  <si>
    <t>SHUFFIELD, ASHLEY</t>
  </si>
  <si>
    <t>MCNEAL, AMBER</t>
  </si>
  <si>
    <t>DUGAS, JULIANNE</t>
  </si>
  <si>
    <t>WEST, TIMBI</t>
  </si>
  <si>
    <t>ASHFORD, SHANE</t>
  </si>
  <si>
    <t>HAJI, MADIHA</t>
  </si>
  <si>
    <t>PASLAY, DAVID</t>
  </si>
  <si>
    <t>DYE, ALYSSA</t>
  </si>
  <si>
    <t>MCCRARY, SHERRY</t>
  </si>
  <si>
    <t>MCCULLOUGH, SUSAN</t>
  </si>
  <si>
    <t>SAWYER, DANA</t>
  </si>
  <si>
    <t>MALCA-PASTAKIA, JESSICA</t>
  </si>
  <si>
    <t>LAWRENCE, NEAL</t>
  </si>
  <si>
    <t>BELL, BRIAN</t>
  </si>
  <si>
    <t>THOMAS, SHEILA</t>
  </si>
  <si>
    <t>WILLIAMS, TAMMY</t>
  </si>
  <si>
    <t>CHU, VICTOR</t>
  </si>
  <si>
    <t>LIPSMEYER, KEITH</t>
  </si>
  <si>
    <t>MURPHY, CYNTHIA</t>
  </si>
  <si>
    <t>PERRY, JENNIFER</t>
  </si>
  <si>
    <t>SEBASTIAN, ANDREA</t>
  </si>
  <si>
    <t>RIDENOUR, FRANCES</t>
  </si>
  <si>
    <t>BEENE, BLAYNE</t>
  </si>
  <si>
    <t>PARBHOO, MUKTI</t>
  </si>
  <si>
    <t>JONES, CLARA</t>
  </si>
  <si>
    <t>BAKER, JOVAN</t>
  </si>
  <si>
    <t>LAKHA, VIVEK</t>
  </si>
  <si>
    <t>SWAIN, JILLIAN</t>
  </si>
  <si>
    <t>RANA, JAVED</t>
  </si>
  <si>
    <t>NELSON, JOSEPH</t>
  </si>
  <si>
    <t>PUSATERI, SCOTT</t>
  </si>
  <si>
    <t>GREEN, LYNDA</t>
  </si>
  <si>
    <t>BEVILL, GARY</t>
  </si>
  <si>
    <t>BOWLING, CHARLES</t>
  </si>
  <si>
    <t>ARYA, KAPIL</t>
  </si>
  <si>
    <t>DEERE, DEBORAH</t>
  </si>
  <si>
    <t>GORE, GLENDA</t>
  </si>
  <si>
    <t>WIGLEY, MARY</t>
  </si>
  <si>
    <t>STONE, WILLIAM</t>
  </si>
  <si>
    <t>HOPSON, DEANNA</t>
  </si>
  <si>
    <t>WEBB, KIMBERLY</t>
  </si>
  <si>
    <t>TILLEY, ROGER</t>
  </si>
  <si>
    <t>CLARK, NICHOLE</t>
  </si>
  <si>
    <t>HARRIS, RYAN</t>
  </si>
  <si>
    <t>GOFORTH, CHRISTY</t>
  </si>
  <si>
    <t>TWIST, HOPE</t>
  </si>
  <si>
    <t>KEETON, MELLISSA</t>
  </si>
  <si>
    <t>HUFFMAN, KAYLEY</t>
  </si>
  <si>
    <t>BAGWELL, MICHAEL</t>
  </si>
  <si>
    <t>MCGHEE, LINDA</t>
  </si>
  <si>
    <t>ROBINSON, MICHELLE</t>
  </si>
  <si>
    <t>SYLVESTER, SARAH</t>
  </si>
  <si>
    <t>SMITH, VIRGINIA</t>
  </si>
  <si>
    <t>BRADFORD, NATALIE</t>
  </si>
  <si>
    <t>GARTRELL, JESSICA</t>
  </si>
  <si>
    <t>DAY, AMANDA</t>
  </si>
  <si>
    <t>GREER, CHASSITY</t>
  </si>
  <si>
    <t>MERRIMAN, JOSHUA</t>
  </si>
  <si>
    <t>ALHADDAD, ZINA</t>
  </si>
  <si>
    <t>WOOD, MATTHEW</t>
  </si>
  <si>
    <t>OCHOA, TABITHA</t>
  </si>
  <si>
    <t>CESARSKI, KAYLIN</t>
  </si>
  <si>
    <t>PHILLIPS-SHARKEY, MIKAIL</t>
  </si>
  <si>
    <t>TINSLEY, AUSTIN</t>
  </si>
  <si>
    <t>FINKEL, TERRI</t>
  </si>
  <si>
    <t>IBRAHIM, SUSAN</t>
  </si>
  <si>
    <t>WASHER, LYDIA</t>
  </si>
  <si>
    <t>IRELAND, BRITTANI</t>
  </si>
  <si>
    <t>THORNE, SANDRA</t>
  </si>
  <si>
    <t>TROILLETT, ASHLEY</t>
  </si>
  <si>
    <t>MERRICK, JASON</t>
  </si>
  <si>
    <t>WOODRUFF, SARAH</t>
  </si>
  <si>
    <t>NAPIER, SHARON</t>
  </si>
  <si>
    <t>Practitioner is credentialed internally as ophthalmologist. https://napiereye.com/, AID - Single issuer's classification disagreed with majority</t>
  </si>
  <si>
    <t>CATHCART, EVELYN</t>
  </si>
  <si>
    <t>HASE-LIPTON, VIVIAN</t>
  </si>
  <si>
    <t>WASHBURN, JOHN</t>
  </si>
  <si>
    <t>FRY, EMILY</t>
  </si>
  <si>
    <t>RAMSEY, TERESA</t>
  </si>
  <si>
    <t>ESTESS, SARAH</t>
  </si>
  <si>
    <t>STARNES, ASHLEY</t>
  </si>
  <si>
    <t>LUCAS, HEATHER</t>
  </si>
  <si>
    <t>PILLOW, JAMES</t>
  </si>
  <si>
    <t>DUPUIS, GREGORY</t>
  </si>
  <si>
    <t>TREECE, BRANNON</t>
  </si>
  <si>
    <t>HO, STEPHANIE</t>
  </si>
  <si>
    <t>GARNER, TONI</t>
  </si>
  <si>
    <t>LEFORCE, TABATHA</t>
  </si>
  <si>
    <t>GREEN, TARA</t>
  </si>
  <si>
    <t>TAPPAN, WHITNEY</t>
  </si>
  <si>
    <t>FORD, STEPHANIE</t>
  </si>
  <si>
    <t>BEVILL, LOGAN</t>
  </si>
  <si>
    <t>HICKS, TRENT</t>
  </si>
  <si>
    <t>CURTIS, DEANNA</t>
  </si>
  <si>
    <t>CHU, MARCUS</t>
  </si>
  <si>
    <t>MCGUIRE, TERRA</t>
  </si>
  <si>
    <t>BEENE, CHERYL</t>
  </si>
  <si>
    <t>PECKAT, WILLIAM</t>
  </si>
  <si>
    <t>ONCKEN, VICKY</t>
  </si>
  <si>
    <t>HANKS-CLARK, ELIZABETH</t>
  </si>
  <si>
    <t>WALKER, TAMARIO</t>
  </si>
  <si>
    <t>LAWSON, RYAN</t>
  </si>
  <si>
    <t>HENBEST, JACQUELINE</t>
  </si>
  <si>
    <t>SPEER, LISA</t>
  </si>
  <si>
    <t>DEAL, VICTORIA</t>
  </si>
  <si>
    <t>DICKERSON, EMILY</t>
  </si>
  <si>
    <t>SEME, MELISSA</t>
  </si>
  <si>
    <t>FIEDOREK, STEPHEN</t>
  </si>
  <si>
    <t>DUCH, AMANDA</t>
  </si>
  <si>
    <t>WILLIS, CHARLOTTE</t>
  </si>
  <si>
    <t>MABON, TARA</t>
  </si>
  <si>
    <t>METCALF, STEPHANIE</t>
  </si>
  <si>
    <t>PENISTER, RAYNA</t>
  </si>
  <si>
    <t>STAPP, MICHELLE</t>
  </si>
  <si>
    <t>GRUENBERG, BLAKE</t>
  </si>
  <si>
    <t>WOOTEN, GEORGIA</t>
  </si>
  <si>
    <t>FOWLER, VANESSA</t>
  </si>
  <si>
    <t>RENO, DEREK</t>
  </si>
  <si>
    <t>NABORS, DEANNA</t>
  </si>
  <si>
    <t>SHREVE, MARILOU</t>
  </si>
  <si>
    <t>SPANOS, WENDY</t>
  </si>
  <si>
    <t>TRAUTH, LYDIA</t>
  </si>
  <si>
    <t>SLUDER, VANESSA</t>
  </si>
  <si>
    <t>BRIXEY, JONATHAN</t>
  </si>
  <si>
    <t>PATTERSON, AMY</t>
  </si>
  <si>
    <t>BECK, NATAILLE</t>
  </si>
  <si>
    <t>YINGLING, MARISA</t>
  </si>
  <si>
    <t>PHILLIPS, MICHELLE</t>
  </si>
  <si>
    <t>FARMER, HANNAH</t>
  </si>
  <si>
    <t>Adding practitioners to Primary Care- Peds based on the internally credentialed taxonomies that are listed under the Provider Types Taxonomy Crosswalk from the Justification file., Adding practitioners to Primary Care- Peds based on the internally credentialed taxonomies that are listed under the Provider Types Taxonomy Crosswalk from the Justification file., Adding practitioners to Primary Care- Peds based on the internally credentialed taxonomies that are listed under the Provider Types Taxonomy Crosswalk from the Justification file., Adding practitioners to Primary Care- Peds based on the internally credentialed taxonomies that are listed under the Provider Types Taxonomy Crosswalk from the Justification file.</t>
  </si>
  <si>
    <t>CHRISTENSEN, EMILY</t>
  </si>
  <si>
    <t>MELLOW, KATHERINE</t>
  </si>
  <si>
    <t>CAVANEAU, JERRY</t>
  </si>
  <si>
    <t>MILLER, ROBERT</t>
  </si>
  <si>
    <t>MEREDITH, JAMES</t>
  </si>
  <si>
    <t>VO, DANIEL</t>
  </si>
  <si>
    <t>HUNTER, DELAYNA</t>
  </si>
  <si>
    <t>JONES, KYLE</t>
  </si>
  <si>
    <t>AUTRY, CHEYANNE</t>
  </si>
  <si>
    <t>GOETZ, ELIZABETH</t>
  </si>
  <si>
    <t>ABERNATHY, BRYAN</t>
  </si>
  <si>
    <t>CONNELLEY, JAY</t>
  </si>
  <si>
    <t>RIZZO, BROOKS</t>
  </si>
  <si>
    <t>TONEY, JOSEPH</t>
  </si>
  <si>
    <t>CONWAY, ALISHA</t>
  </si>
  <si>
    <t>ADAMS, CRYSTAL</t>
  </si>
  <si>
    <t>GIBBONS, NORA</t>
  </si>
  <si>
    <t>WOODARD, TIFFANY</t>
  </si>
  <si>
    <t>BAXENDALE, HANNA</t>
  </si>
  <si>
    <t>BATEMAN, THOMAS</t>
  </si>
  <si>
    <t>FRYE, JULIA</t>
  </si>
  <si>
    <t>BRAME, SUSAN</t>
  </si>
  <si>
    <t>VENEGAS, JULIAN</t>
  </si>
  <si>
    <t>TERRY, HEATHER</t>
  </si>
  <si>
    <t>BERNER, GARY</t>
  </si>
  <si>
    <t>MCWILLIAMS, JAMES</t>
  </si>
  <si>
    <t>TROUTT, MICHAEL</t>
  </si>
  <si>
    <t>KENT, KLARK</t>
  </si>
  <si>
    <t>FRANCISCO, JODY</t>
  </si>
  <si>
    <t>FLOWERS, MARTHA</t>
  </si>
  <si>
    <t>LITTLE, NITA</t>
  </si>
  <si>
    <t>SCHEIDLER, STEFAN</t>
  </si>
  <si>
    <t>MANSFIELD, CHELSEA</t>
  </si>
  <si>
    <t>PINION, DONNA</t>
  </si>
  <si>
    <t>CHARLTON, MICHEAL</t>
  </si>
  <si>
    <t>COCKERELL, JOHN</t>
  </si>
  <si>
    <t>HOGUE, JOSEPH</t>
  </si>
  <si>
    <t>JACKSON, REGINA</t>
  </si>
  <si>
    <t>FORD, CATHERINE</t>
  </si>
  <si>
    <t>BARRANTES, NADJA</t>
  </si>
  <si>
    <t>GEATER, BARBARA</t>
  </si>
  <si>
    <t>HODGES, MICHAEL</t>
  </si>
  <si>
    <t>IRISH-CLARDY, KATHERINE</t>
  </si>
  <si>
    <t>HOUSE, ASHLEY</t>
  </si>
  <si>
    <t>MITCHELL, RACHEAL</t>
  </si>
  <si>
    <t>CANNON, VERONICA</t>
  </si>
  <si>
    <t>REED, TERESA</t>
  </si>
  <si>
    <t>SHUMATE, HALEIGH</t>
  </si>
  <si>
    <t>BUFO, ANTHONY</t>
  </si>
  <si>
    <t>HARPER, GARY</t>
  </si>
  <si>
    <t>BROCK, CHARLES</t>
  </si>
  <si>
    <t>JONES, KELLY</t>
  </si>
  <si>
    <t>GATLIN, SCOTT</t>
  </si>
  <si>
    <t>HANCOCK, AMY</t>
  </si>
  <si>
    <t>CASTLE, SHANNON</t>
  </si>
  <si>
    <t>LAMON, MELISSA</t>
  </si>
  <si>
    <t>POWELL, AUTUMN</t>
  </si>
  <si>
    <t>DINGER, CRAIG</t>
  </si>
  <si>
    <t>SPEARS, JENNIE</t>
  </si>
  <si>
    <t>DOWNING, OAKLEY</t>
  </si>
  <si>
    <t>DAVIS, KED</t>
  </si>
  <si>
    <t>THOMPSON, STEPHANIE</t>
  </si>
  <si>
    <t>IBALE, JUSTINE EVE MARIL</t>
  </si>
  <si>
    <t>HAYWOOD, VANESSA</t>
  </si>
  <si>
    <t>WIMBERLY, JUSTIN</t>
  </si>
  <si>
    <t>WALTON, APPLE</t>
  </si>
  <si>
    <t>MCMAHON, WILLIAM</t>
  </si>
  <si>
    <t>JONES, ASHLEY</t>
  </si>
  <si>
    <t>MARCH, MAKAYLA</t>
  </si>
  <si>
    <t>Provider specialty is Cardiology, AID - Single issuer's classification disagreed with majority</t>
  </si>
  <si>
    <t>LOFTON, JASON</t>
  </si>
  <si>
    <t>HALE, AMY</t>
  </si>
  <si>
    <t>MEARS, MANDI</t>
  </si>
  <si>
    <t>ROBERDS, AARON</t>
  </si>
  <si>
    <t>FORD, ROBERT</t>
  </si>
  <si>
    <t>BRUMLEY, ERICA</t>
  </si>
  <si>
    <t>HEINER, KAYELINDA</t>
  </si>
  <si>
    <t>WUST, CHRISTY</t>
  </si>
  <si>
    <t>JOHNSON, NEKESHA</t>
  </si>
  <si>
    <t>SHEETS, KIM</t>
  </si>
  <si>
    <t>Practitioner is credentialed and listed internally as internal medicine, not valid spec for pediatric based on provider type crosswalk. https://npidb.org/doctors/allopathic_osteopathic_physicians/internal-medicine_207r00000x/1710982871.aspx?src=2, AID - Single issuer's classification disagreed with majority</t>
  </si>
  <si>
    <t>JACKSON, CHARLES</t>
  </si>
  <si>
    <t>THOMPSON, BOBBY</t>
  </si>
  <si>
    <t>LANGSTON, THOMAS</t>
  </si>
  <si>
    <t>WILSON, KAYCI</t>
  </si>
  <si>
    <t>BRANNAN, KATHRYN</t>
  </si>
  <si>
    <t>ASH, CONNIE</t>
  </si>
  <si>
    <t>HADAWAY, ALMER</t>
  </si>
  <si>
    <t>RANABOTHU, SARITHA</t>
  </si>
  <si>
    <t>CHESHIER, JAMES</t>
  </si>
  <si>
    <t>This provider is a pediatric Surgeon</t>
  </si>
  <si>
    <t>WATSON, PHILIP</t>
  </si>
  <si>
    <t>BISHOP, NATALIE</t>
  </si>
  <si>
    <t>BAKER, REBECCA</t>
  </si>
  <si>
    <t>ROBERTS, RONALD</t>
  </si>
  <si>
    <t>TENNANT, JEAN</t>
  </si>
  <si>
    <t>HORN, MORGAN</t>
  </si>
  <si>
    <t>WRIGHT, RANDI</t>
  </si>
  <si>
    <t>HAWKINS, KENNETH</t>
  </si>
  <si>
    <t>PRITCHARD, CASEY</t>
  </si>
  <si>
    <t>GARCIA, KRISTIN</t>
  </si>
  <si>
    <t>RAMIREZ, ALEJANDRO</t>
  </si>
  <si>
    <t>CLOUSE, LANCE</t>
  </si>
  <si>
    <t>DUNAWAY, GEOFFREY</t>
  </si>
  <si>
    <t>CHANCE, JODY</t>
  </si>
  <si>
    <t>WILLIAMS, ROBERT</t>
  </si>
  <si>
    <t>TIGNOR, REGINA</t>
  </si>
  <si>
    <t>ALEXANDER, SUMMER</t>
  </si>
  <si>
    <t>FREEMAN, HALEY</t>
  </si>
  <si>
    <t>THOMPSON, KELLI</t>
  </si>
  <si>
    <t>HIPPS, ALEKSI</t>
  </si>
  <si>
    <t>PERKINS, KATHERINE</t>
  </si>
  <si>
    <t>NELSON, DAVID</t>
  </si>
  <si>
    <t>PHILLIPS, DEIRDRE</t>
  </si>
  <si>
    <t>MCCOMMON, NICOLE</t>
  </si>
  <si>
    <t>ROSS, TOMISHA</t>
  </si>
  <si>
    <t>MCCREADY, REBECCA</t>
  </si>
  <si>
    <t>AL-WADEI, MOHAMMED</t>
  </si>
  <si>
    <t>WHITE, AUTUMN</t>
  </si>
  <si>
    <t>CUDWORTH, KIMBERLY</t>
  </si>
  <si>
    <t>SHARMA, RUCHIKA</t>
  </si>
  <si>
    <t>CONES, SHAWN</t>
  </si>
  <si>
    <t>WOOD, DAVID</t>
  </si>
  <si>
    <t>CHOWDHURY, SHAHREEN</t>
  </si>
  <si>
    <t>SCHULTZ, REBECCA</t>
  </si>
  <si>
    <t>ANDERSON, MIRICLE</t>
  </si>
  <si>
    <t>WILSON, CASEY</t>
  </si>
  <si>
    <t>ALBRITTON, BRENTON</t>
  </si>
  <si>
    <t>JACKSON, TARA</t>
  </si>
  <si>
    <t>ANTONOPOULOS, ALEXIS</t>
  </si>
  <si>
    <t>BALLARD, MIKAYLA</t>
  </si>
  <si>
    <t>SPURLING, JASON</t>
  </si>
  <si>
    <t>THOMAS, BIJU</t>
  </si>
  <si>
    <t>SELLS, STEPHANIE</t>
  </si>
  <si>
    <t>JUMA, MONICA</t>
  </si>
  <si>
    <t>NIX, SAMUEL</t>
  </si>
  <si>
    <t>STOBAUGH, MORGAN</t>
  </si>
  <si>
    <t>ROGERS, MAURI</t>
  </si>
  <si>
    <t>DALE, BRIANNA</t>
  </si>
  <si>
    <t>HARRIS, JEFFERY</t>
  </si>
  <si>
    <t>EICHHORN, ANGELA</t>
  </si>
  <si>
    <t>MOSES, AIRSTON</t>
  </si>
  <si>
    <t>HEMPHILL, PATRICIA</t>
  </si>
  <si>
    <t>SMITH, KIMBERLY</t>
  </si>
  <si>
    <t>WHITE, AARON</t>
  </si>
  <si>
    <t>MOORE, THOMAS</t>
  </si>
  <si>
    <t>WYATT, DAVID</t>
  </si>
  <si>
    <t>BERLINSKI, ARIEL</t>
  </si>
  <si>
    <t>HART, JENNIFER</t>
  </si>
  <si>
    <t>DIXON, JARED</t>
  </si>
  <si>
    <t>MAYS, TRACEY</t>
  </si>
  <si>
    <t>TILLEY, AMBER</t>
  </si>
  <si>
    <t>BANNING, MICHELLE</t>
  </si>
  <si>
    <t>YOUNG, MICHELE</t>
  </si>
  <si>
    <t>JAMES, ASHLEY</t>
  </si>
  <si>
    <t>DAVIDSON, JAMES</t>
  </si>
  <si>
    <t>DAVIS, TARA</t>
  </si>
  <si>
    <t>WINDSOR, LAURA</t>
  </si>
  <si>
    <t>HANSEN, MEAGAN</t>
  </si>
  <si>
    <t>HAWLEY, CHELSEA</t>
  </si>
  <si>
    <t>JONES, ANABEL</t>
  </si>
  <si>
    <t>REARDON, JOSEPH</t>
  </si>
  <si>
    <t>YAWN, TIMOTHY</t>
  </si>
  <si>
    <t>SAAD, DANIEL</t>
  </si>
  <si>
    <t>COUCH, ASHLEY</t>
  </si>
  <si>
    <t>MORSE, TIMOTHY</t>
  </si>
  <si>
    <t>BROWN, GINGER</t>
  </si>
  <si>
    <t>HARRELL, SHERRIE</t>
  </si>
  <si>
    <t>LANDRUM, VALARI</t>
  </si>
  <si>
    <t>BHATT, NIDHI</t>
  </si>
  <si>
    <t>SMITH, JENNIFER</t>
  </si>
  <si>
    <t>RUDD, JUSTIN</t>
  </si>
  <si>
    <t>ROBERTSON, KASSIE</t>
  </si>
  <si>
    <t>ROLEN, MOLLY</t>
  </si>
  <si>
    <t>CRANFORD, RUSSELL</t>
  </si>
  <si>
    <t>STUSSY, SHAWN</t>
  </si>
  <si>
    <t>DANKO, RAQUEL</t>
  </si>
  <si>
    <t>BRANSCUM, KRISTIE</t>
  </si>
  <si>
    <t>MARTIN, CONCETTA</t>
  </si>
  <si>
    <t>MANATT, JOSHUA</t>
  </si>
  <si>
    <t>DOPPALAPUDI, UMESH KRISHNA</t>
  </si>
  <si>
    <t>PETERS, JESSICA</t>
  </si>
  <si>
    <t>UNDERWOOD, KAYLA</t>
  </si>
  <si>
    <t>BANSAL, SHIPRA</t>
  </si>
  <si>
    <t>GUNTURI, RATIKA</t>
  </si>
  <si>
    <t>BROWN, NATALIE</t>
  </si>
  <si>
    <t>THIEBAUD, JEFFREY</t>
  </si>
  <si>
    <t>MARRUFO, ALEXYS</t>
  </si>
  <si>
    <t>BOELENS, TIFFANY</t>
  </si>
  <si>
    <t>HAYDEN, BENJAMIN</t>
  </si>
  <si>
    <t>WATSON, DANIEL</t>
  </si>
  <si>
    <t>NAVARRO, ALEXANDER</t>
  </si>
  <si>
    <t>DOWELL, WILLIAM</t>
  </si>
  <si>
    <t>SAYLORS, ROBERT</t>
  </si>
  <si>
    <t>STEFANS, VIKKI</t>
  </si>
  <si>
    <t>KARIKARI, YAA</t>
  </si>
  <si>
    <t>RENO, ADAM</t>
  </si>
  <si>
    <t>SMITH, AMANDA</t>
  </si>
  <si>
    <t>PAYNE, LINDA</t>
  </si>
  <si>
    <t>RUMMELLS, LOGAN</t>
  </si>
  <si>
    <t>ARNETTE, JULIE</t>
  </si>
  <si>
    <t>SHOEMAKER, DREW</t>
  </si>
  <si>
    <t>BENNETT, JILL</t>
  </si>
  <si>
    <t>ARMAH, ELHAM</t>
  </si>
  <si>
    <t>ENNIS, ERNEST</t>
  </si>
  <si>
    <t>ROSE, SAMANTHA</t>
  </si>
  <si>
    <t>BALTZ, JOHN</t>
  </si>
  <si>
    <t>LEEPER, LINDSAY</t>
  </si>
  <si>
    <t>DEVAZIER, SAMANTHA</t>
  </si>
  <si>
    <t>POWELL, KIMBERLY</t>
  </si>
  <si>
    <t>PURIFOY, SHAWN</t>
  </si>
  <si>
    <t>SMITH, LANDER</t>
  </si>
  <si>
    <t>SPRINGFIELD, BRENDA</t>
  </si>
  <si>
    <t>OZOIGBO, VALENTINE</t>
  </si>
  <si>
    <t>LOUDERMILK, JON</t>
  </si>
  <si>
    <t>MORGAN, JOSEPH</t>
  </si>
  <si>
    <t>BARBER, PATRICIA</t>
  </si>
  <si>
    <t>TURLEY, SHOUNDA</t>
  </si>
  <si>
    <t>NEUMEIER, CHRISTINA</t>
  </si>
  <si>
    <t>FLORA, SHELLEE</t>
  </si>
  <si>
    <t>KOEHLER, AARON</t>
  </si>
  <si>
    <t>NORTON, BRIDGET</t>
  </si>
  <si>
    <t>IRVIN, JOHN</t>
  </si>
  <si>
    <t>BELL, L.J.</t>
  </si>
  <si>
    <t>BARBE, DAVID</t>
  </si>
  <si>
    <t>WALSH, BRADLEY</t>
  </si>
  <si>
    <t>VEAZEY, LAUREN</t>
  </si>
  <si>
    <t>HOGUE, SHARON</t>
  </si>
  <si>
    <t>BRUCE, ASHLEY</t>
  </si>
  <si>
    <t>DIXON, TYMWA</t>
  </si>
  <si>
    <t>JOSEPH, RALPH</t>
  </si>
  <si>
    <t>REED, LAURA</t>
  </si>
  <si>
    <t>DONNER, KIMBERLEY</t>
  </si>
  <si>
    <t>MYERS, SHANNON</t>
  </si>
  <si>
    <t>WALKER, AMBER</t>
  </si>
  <si>
    <t>BRANNON, TANNER</t>
  </si>
  <si>
    <t>HYATT, TERRI</t>
  </si>
  <si>
    <t>MCGARRY, PATRICIA</t>
  </si>
  <si>
    <t>REBOLLEDO, MICHAEL</t>
  </si>
  <si>
    <t>DARNELL, KELLIE</t>
  </si>
  <si>
    <t>MARTIN, KYNDALL</t>
  </si>
  <si>
    <t>THOMPSON, ASHLEY</t>
  </si>
  <si>
    <t>WHITE, WILLIAM</t>
  </si>
  <si>
    <t>SCHEEL, SARAH</t>
  </si>
  <si>
    <t>BRAY, SHELLY</t>
  </si>
  <si>
    <t>NOONAN, ROBERT</t>
  </si>
  <si>
    <t>MCCOY, CHRISTINA</t>
  </si>
  <si>
    <t>FRY, JONNIE</t>
  </si>
  <si>
    <t>SMITH, SHANNON</t>
  </si>
  <si>
    <t>WYNN, DEBORAH</t>
  </si>
  <si>
    <t>ABISAMRA, LAMIA</t>
  </si>
  <si>
    <t>BLACK, NICOLE</t>
  </si>
  <si>
    <t>YELEY, JESSICA</t>
  </si>
  <si>
    <t>HECTOR, MYRRH</t>
  </si>
  <si>
    <t>WARRINGTON, JAMES</t>
  </si>
  <si>
    <t>ROACH, M CAREY</t>
  </si>
  <si>
    <t>BURTON, AMY</t>
  </si>
  <si>
    <t>WILLIS, MICHELLE</t>
  </si>
  <si>
    <t>KHAN, ASMA</t>
  </si>
  <si>
    <t>UNDERWOOD, SARA</t>
  </si>
  <si>
    <t>GUTHREY, CALEB</t>
  </si>
  <si>
    <t>KIM, JORDAN</t>
  </si>
  <si>
    <t>O'SULLIVAN, KEVIN</t>
  </si>
  <si>
    <t>SMITH, KAYLA</t>
  </si>
  <si>
    <t>WALKER, EMILY</t>
  </si>
  <si>
    <t>DUNKIN, MEGAN</t>
  </si>
  <si>
    <t>THOMAS-GREGORY, JUDITH</t>
  </si>
  <si>
    <t>HACKLER, GRETCHEN</t>
  </si>
  <si>
    <t>WILLIAMS, BARBARA</t>
  </si>
  <si>
    <t>MAGILL, MELISSA</t>
  </si>
  <si>
    <t>WALLACE, MICHAEL</t>
  </si>
  <si>
    <t>HATLEY, RUSSELL</t>
  </si>
  <si>
    <t>MERLE, KAREN</t>
  </si>
  <si>
    <t>HASHMI, SAMAN</t>
  </si>
  <si>
    <t>HENDRICKS, ASHLEY</t>
  </si>
  <si>
    <t>METCALF, ANGELA</t>
  </si>
  <si>
    <t>PRICE, ADAM</t>
  </si>
  <si>
    <t>ADAMS, CANDIS</t>
  </si>
  <si>
    <t>NELSON, MIRANDA</t>
  </si>
  <si>
    <t>SELBY, ANNE</t>
  </si>
  <si>
    <t>MITCHELL, J</t>
  </si>
  <si>
    <t>BARBER, JEFFERY</t>
  </si>
  <si>
    <t>MOHIUDDIN, MOHAMMED</t>
  </si>
  <si>
    <t>PUCKETT, TARA</t>
  </si>
  <si>
    <t>PIPES, MEGAN</t>
  </si>
  <si>
    <t>CSONKA, JOSHUA</t>
  </si>
  <si>
    <t>CARLSON, LEAH</t>
  </si>
  <si>
    <t>WEST, ANDREA</t>
  </si>
  <si>
    <t>CURTIS, CALLIE</t>
  </si>
  <si>
    <t>GARVIN, JANET</t>
  </si>
  <si>
    <t>BURT, WILLIAM</t>
  </si>
  <si>
    <t>MEASE, DARRELL</t>
  </si>
  <si>
    <t>BEATON, JAMES</t>
  </si>
  <si>
    <t>SUAREZ, CARLOS</t>
  </si>
  <si>
    <t>PULLIAM, JOE</t>
  </si>
  <si>
    <t>CROCKETT, BRIDGET</t>
  </si>
  <si>
    <t>MEREDITH, NICOLE</t>
  </si>
  <si>
    <t>FREEMAN, KAYLA</t>
  </si>
  <si>
    <t>THOMPSON, PHYLLIS</t>
  </si>
  <si>
    <t>SCHREKENHOFER, ABBY</t>
  </si>
  <si>
    <t>ESSNER, KIMBERLY</t>
  </si>
  <si>
    <t>HALLIBURTON, JENNIFER</t>
  </si>
  <si>
    <t>DAVIS, ALEXANDRIA</t>
  </si>
  <si>
    <t>KESKIN, SEVDENUR</t>
  </si>
  <si>
    <t>SARMIENTO CLEMENTE, ADRIANA</t>
  </si>
  <si>
    <t>HORNSBY, TAYLOR</t>
  </si>
  <si>
    <t>EDWARDS, DEONDRA</t>
  </si>
  <si>
    <t>DODSON, JOY</t>
  </si>
  <si>
    <t>MEDELLIN, BLANCA</t>
  </si>
  <si>
    <t>OGE, BRIAN</t>
  </si>
  <si>
    <t>PACE, DANIEL</t>
  </si>
  <si>
    <t>VAUGHAN, GRANVILLE</t>
  </si>
  <si>
    <t>NIX, JOHN</t>
  </si>
  <si>
    <t>EVERETT, KAREN</t>
  </si>
  <si>
    <t>BASHIR, AHSAN</t>
  </si>
  <si>
    <t>STONE, HEATHER</t>
  </si>
  <si>
    <t>HARLOW, MARY</t>
  </si>
  <si>
    <t>TRUMBLE, BRANDON</t>
  </si>
  <si>
    <t>KWONG, RYAN</t>
  </si>
  <si>
    <t>PATRICK, PAIGE</t>
  </si>
  <si>
    <t>VERDELL, JONATHAN</t>
  </si>
  <si>
    <t>CARTER, CHRISTEN</t>
  </si>
  <si>
    <t>CHAPDELAINE, ANNA</t>
  </si>
  <si>
    <t>TARPLEY, JON</t>
  </si>
  <si>
    <t>QADIR, FAUZIA</t>
  </si>
  <si>
    <t>FORD, BARRY</t>
  </si>
  <si>
    <t>MCELYEA, VIVIAN</t>
  </si>
  <si>
    <t>COX, JENNIFER</t>
  </si>
  <si>
    <t>AKIL, NOUR</t>
  </si>
  <si>
    <t>KING, HELEN</t>
  </si>
  <si>
    <t>DAVIS, JANELL</t>
  </si>
  <si>
    <t>WILLIAMS, ANDREA</t>
  </si>
  <si>
    <t>BRITTON, LESLIE</t>
  </si>
  <si>
    <t>CLUCK, ROBERT</t>
  </si>
  <si>
    <t>GILBERT, DANA</t>
  </si>
  <si>
    <t>FLORY, MARRLYNN</t>
  </si>
  <si>
    <t>GERSON, DAVID</t>
  </si>
  <si>
    <t>BEARDEN, JEFFREY</t>
  </si>
  <si>
    <t>NOEL, STACEY</t>
  </si>
  <si>
    <t>ZEYLIKMAN, YURIY</t>
  </si>
  <si>
    <t>TILLERSON, ELBERT</t>
  </si>
  <si>
    <t>CONKLIN, HEATHER</t>
  </si>
  <si>
    <t>WEGNER, MARY</t>
  </si>
  <si>
    <t>LEMDJA, MIMO</t>
  </si>
  <si>
    <t>KRULIN, GREGORY</t>
  </si>
  <si>
    <t>PESNELL, LARKUS</t>
  </si>
  <si>
    <t>PIZZITOLA, KELLY</t>
  </si>
  <si>
    <t>THOMAS, LINDSEY</t>
  </si>
  <si>
    <t>DIDION, JACOB</t>
  </si>
  <si>
    <t>BOLT, JACOB</t>
  </si>
  <si>
    <t>DAVIS, VICTORIA</t>
  </si>
  <si>
    <t>ROGERSON, SUSAN</t>
  </si>
  <si>
    <t>COFFMAN, DEANN</t>
  </si>
  <si>
    <t>TUMMALA, SUDHAKAR</t>
  </si>
  <si>
    <t>CLEVENGER, MICHAEL</t>
  </si>
  <si>
    <t>BARTON, EDWARD</t>
  </si>
  <si>
    <t>MCKNIGHT, SERENA</t>
  </si>
  <si>
    <t>SCEARS, MEGHAN</t>
  </si>
  <si>
    <t>WINANS, THOMAS</t>
  </si>
  <si>
    <t>Psychologust not Psychiatrist</t>
  </si>
  <si>
    <t>STOVALL, JESSICA</t>
  </si>
  <si>
    <t>MALIK, KHALID</t>
  </si>
  <si>
    <t>CAIN, LESLIE</t>
  </si>
  <si>
    <t>FISHER, LAURIE</t>
  </si>
  <si>
    <t>PHOMAKAY, CHANSAMONE</t>
  </si>
  <si>
    <t>CARTER, JAMES</t>
  </si>
  <si>
    <t>WATTS, SARAH</t>
  </si>
  <si>
    <t>SHARON, RONI</t>
  </si>
  <si>
    <t>RAYAZ, MUSTAFA</t>
  </si>
  <si>
    <t>BEARE, DAVID</t>
  </si>
  <si>
    <t>HUETER, JOHN</t>
  </si>
  <si>
    <t>CASTRI, PAOLA</t>
  </si>
  <si>
    <t>SCHMIDT, JENNY</t>
  </si>
  <si>
    <t>TUCKER, CHARLES</t>
  </si>
  <si>
    <t>AHMED, BASHIR</t>
  </si>
  <si>
    <t>KHALEEL, GHULAM</t>
  </si>
  <si>
    <t>SHARP, GREGORY</t>
  </si>
  <si>
    <t>WHEATLEY, MARSHA</t>
  </si>
  <si>
    <t>TAYLOR, MELANIE</t>
  </si>
  <si>
    <t>FUSSELL, JILL</t>
  </si>
  <si>
    <t>GONZALES, CARMELA</t>
  </si>
  <si>
    <t>DHALL, ROHIT</t>
  </si>
  <si>
    <t>FOSTER, PAUL</t>
  </si>
  <si>
    <t>YADALA, SISIRA</t>
  </si>
  <si>
    <t>CODAY, MATHILDA</t>
  </si>
  <si>
    <t>SCHAFER, JULIE</t>
  </si>
  <si>
    <t>PATEL, NIMIT</t>
  </si>
  <si>
    <t>ANAND, DHEERAJ</t>
  </si>
  <si>
    <t>WATSON, DANA</t>
  </si>
  <si>
    <t>SLATON, CHAYLA</t>
  </si>
  <si>
    <t>ATKINSON, THOMAS</t>
  </si>
  <si>
    <t>SCHMITZ, JAMES</t>
  </si>
  <si>
    <t>NAZARIAN, SARKIS</t>
  </si>
  <si>
    <t>CALVERT, MAEGAN</t>
  </si>
  <si>
    <t>PIPKIN, JESSICA</t>
  </si>
  <si>
    <t>VORA, CHETNA</t>
  </si>
  <si>
    <t>Under contract. AR Health Network's website lists provider as Psychiatry (The Pointe Outpatient Behavioral Health Services – Bryant)</t>
  </si>
  <si>
    <t>Pediatrics</t>
  </si>
  <si>
    <t>CORDINA, STEVE</t>
  </si>
  <si>
    <t>KRAMER, EDWARD</t>
  </si>
  <si>
    <t>SIDDAIAH, ROOPA</t>
  </si>
  <si>
    <t>ALAM, SYED</t>
  </si>
  <si>
    <t>ASMB: Pulmonary Disease</t>
  </si>
  <si>
    <t>DUNCAN, ULRIC</t>
  </si>
  <si>
    <t>Under contract. Baptist Health website lists prov as Pulmonologist at Baptist Health Interventional Pulmonology and Critical Care Clinic, ASMB: Pulmonary Disease &amp;amp; Critical Care Medicine</t>
  </si>
  <si>
    <t>Provider specialty is hospitalist, AID - Single issuer's classification disagreed with majority</t>
  </si>
  <si>
    <t>RAHMANY, ZALMI</t>
  </si>
  <si>
    <t>O'HERN, SCOTT</t>
  </si>
  <si>
    <t>CHEEMA, RAFAY</t>
  </si>
  <si>
    <t>RUSAKOW, LEE</t>
  </si>
  <si>
    <t>ANAND, VIKRAM</t>
  </si>
  <si>
    <t>This provider does not operate in AR</t>
  </si>
  <si>
    <t>EPPS, SARENTHIA</t>
  </si>
  <si>
    <t>Under contract. Jefferson Regional website lists this provider as an active Pulmonologist and Critical Care, ASMB: Pulmonary Disease</t>
  </si>
  <si>
    <t>ASMB: Pulmonar agrease</t>
  </si>
  <si>
    <t>SPIVEY, JOHN</t>
  </si>
  <si>
    <t>TENKU, KEMENI</t>
  </si>
  <si>
    <t>TAMAYO, FRANCISCO</t>
  </si>
  <si>
    <t>PETROS, DAVID</t>
  </si>
  <si>
    <t>HOLT, HUEY</t>
  </si>
  <si>
    <t>HARVILLE, TERRY</t>
  </si>
  <si>
    <t>ASMB: Pediatric Rheumatology</t>
  </si>
  <si>
    <t>DENEKE, JAMES</t>
  </si>
  <si>
    <t>Under contract. Google is showing provider linked to LeBonheur-TN a Ped Rheum</t>
  </si>
  <si>
    <t>WINE, MALLORY</t>
  </si>
  <si>
    <t>RANKIN, RANDAL</t>
  </si>
  <si>
    <t>WRIGHT, TARA</t>
  </si>
  <si>
    <t>BOST, ALICIA</t>
  </si>
  <si>
    <t>HUGHES, CAITLYN</t>
  </si>
  <si>
    <t>JAMES, SARAH DALTON</t>
  </si>
  <si>
    <t>SMITH, LONDYN</t>
  </si>
  <si>
    <t>FITZHUGH, KAYLA</t>
  </si>
  <si>
    <t>BRECKENRIDGE, MOLLIE</t>
  </si>
  <si>
    <t>KING, CINNAMON</t>
  </si>
  <si>
    <t>SMITH, BRITTANY</t>
  </si>
  <si>
    <t>HARRINGTON, ERIN</t>
  </si>
  <si>
    <t xml:space="preserve">School location; This is not a clinc for contracting </t>
  </si>
  <si>
    <t>MARTIN, CASSIE</t>
  </si>
  <si>
    <t>DORSEY, BRANDI</t>
  </si>
  <si>
    <t>HADDIX, VICKI</t>
  </si>
  <si>
    <t>LONG, HARRIETT</t>
  </si>
  <si>
    <t>HURTADO, BRANDI</t>
  </si>
  <si>
    <t>HENLEY, TAYLOR</t>
  </si>
  <si>
    <t>ACKETT, MORGAN</t>
  </si>
  <si>
    <t>MELTON, TIFFANY</t>
  </si>
  <si>
    <t>SPECK, ELIZABETH</t>
  </si>
  <si>
    <t>WILCOX, ROBIN</t>
  </si>
  <si>
    <t>LIVINGSTON, AMY</t>
  </si>
  <si>
    <t>WILLIAMS, ANNA</t>
  </si>
  <si>
    <t>WOOD, HALEY</t>
  </si>
  <si>
    <t>BROWNING, ROBIN</t>
  </si>
  <si>
    <t>GREIG, PATRICIA</t>
  </si>
  <si>
    <t>BRADFORD, HALEIGH</t>
  </si>
  <si>
    <t>MYERS, KIMBERLY</t>
  </si>
  <si>
    <t>LOTT, OLIVIA</t>
  </si>
  <si>
    <t>RAGLAND, CHELSEA</t>
  </si>
  <si>
    <t>RAMEY, RITA</t>
  </si>
  <si>
    <t>STILL, BRIANNA</t>
  </si>
  <si>
    <t>WARRICK, ELIZABETH</t>
  </si>
  <si>
    <t>LAURELES, GRACE</t>
  </si>
  <si>
    <t>CLARK, MELISSA</t>
  </si>
  <si>
    <t>GRIFFIN, KATHERINE</t>
  </si>
  <si>
    <t>ROSEL, CAROLINE</t>
  </si>
  <si>
    <t>MALONE-GILBERT, MARTHA</t>
  </si>
  <si>
    <t>COSSEY, JORDANN</t>
  </si>
  <si>
    <t>SUTTON, KELSEY</t>
  </si>
  <si>
    <t>GODWIN, FARRELL</t>
  </si>
  <si>
    <t>COLE, ANNA</t>
  </si>
  <si>
    <t>HINDSLEY, MALLORY</t>
  </si>
  <si>
    <t>REAMES, KATHERINE</t>
  </si>
  <si>
    <t>ANDERSON, LESLIE</t>
  </si>
  <si>
    <t>BROWN, JAMIE</t>
  </si>
  <si>
    <t>WOOLLEN, MARIETTA</t>
  </si>
  <si>
    <t>SCHWANDER, DOROTHY</t>
  </si>
  <si>
    <t>MOSLANDER, PAIGE</t>
  </si>
  <si>
    <t>EOFF, ELIZABETH</t>
  </si>
  <si>
    <t>CHILDERS, ALEXIS</t>
  </si>
  <si>
    <t>PRIOR, MALLORY</t>
  </si>
  <si>
    <t>ALLEN, ALEXIA</t>
  </si>
  <si>
    <t>MCCOMBS, MAKAYLA</t>
  </si>
  <si>
    <t>FISHER, SARAH</t>
  </si>
  <si>
    <t>CARTER, SARA</t>
  </si>
  <si>
    <t>PIPKIN, KATIE</t>
  </si>
  <si>
    <t>POTTS, NICOLE</t>
  </si>
  <si>
    <t>BALLINGER, TAWNI</t>
  </si>
  <si>
    <t>PRICE, CASSANDRA</t>
  </si>
  <si>
    <t>SMITH, ASHLEY</t>
  </si>
  <si>
    <t>GOSSETT, SARAH</t>
  </si>
  <si>
    <t>HINSON, CRISTIN</t>
  </si>
  <si>
    <t>FORTE, SYDNIE</t>
  </si>
  <si>
    <t>GLEGHORN, AMBER</t>
  </si>
  <si>
    <t>LANIER, EMILY</t>
  </si>
  <si>
    <t>OSWALT, JOSEPH</t>
  </si>
  <si>
    <t>MIDDLETON, SHARON</t>
  </si>
  <si>
    <t>MUELLER, MEREDITH</t>
  </si>
  <si>
    <t>VOIGHT, DONNA</t>
  </si>
  <si>
    <t>PREVOZNIK, KENDALL</t>
  </si>
  <si>
    <t>MORRISON, CASSIDY</t>
  </si>
  <si>
    <t>HAHN, EMILY</t>
  </si>
  <si>
    <t>MERRITT, JAYCEE</t>
  </si>
  <si>
    <t>MARSHALL, JULIE</t>
  </si>
  <si>
    <t>CAMDEN, ANDREA</t>
  </si>
  <si>
    <t>NABORS, AMY</t>
  </si>
  <si>
    <t>DOYEL, LAUREN</t>
  </si>
  <si>
    <t>WARREN, JILL</t>
  </si>
  <si>
    <t>SIMPSON, RAMONA</t>
  </si>
  <si>
    <t>HICKS, SAVANNAH</t>
  </si>
  <si>
    <t>FELIZCO, DEBORAH</t>
  </si>
  <si>
    <t>WHITE, ELLEN</t>
  </si>
  <si>
    <t>VEIT, KATHERINE</t>
  </si>
  <si>
    <t>CALHOON, CALISTA</t>
  </si>
  <si>
    <t>TREADWAY, LINDSEY</t>
  </si>
  <si>
    <t>JAMES, BRANDON</t>
  </si>
  <si>
    <t>CHAPMAN, AINSLEY</t>
  </si>
  <si>
    <t>TAYLOR, SHANNON</t>
  </si>
  <si>
    <t>LUMAN, MAKENZIE</t>
  </si>
  <si>
    <t>MATHIS, HALEY</t>
  </si>
  <si>
    <t>WOMACK, JOSEPH</t>
  </si>
  <si>
    <t>PEREZ, NELSON</t>
  </si>
  <si>
    <t>OB/Gyn at Kennet- OB, not urology. https://www.missouridelta.com/find-a-provider/nelson-perez</t>
  </si>
  <si>
    <t>FIELDS, LEWIS</t>
  </si>
  <si>
    <t>OB/Gyn at St Bernard's, not urology. https://www.stbernards.info/providers/profile/brad-fields/</t>
  </si>
  <si>
    <t>https://www.mainstreetmedicalclinic.com/our-physicians</t>
  </si>
  <si>
    <t>BROCKWAY, WILLIAM</t>
  </si>
  <si>
    <t>https://www.mercy.net/doctor/william-brockway-md/</t>
  </si>
  <si>
    <t xml:space="preserve">General Surgeon at CHI, not Urology. </t>
  </si>
  <si>
    <t>TURANO, JODI</t>
  </si>
  <si>
    <t>OB/Gyn at AMMC, not urology. https://www.myammc.org/clinic/women_s_clinic/26</t>
  </si>
  <si>
    <t>KLEIN, CORDELL</t>
  </si>
  <si>
    <t>No longer listed on Collom and Carney Urology listing. https://www.cccahealth.com/providers/</t>
  </si>
  <si>
    <t>Radiation Oncologist located at AR Urology. https://arkansasurology.com/provider/jack-wang/</t>
  </si>
  <si>
    <t>ELLIS, JOHN</t>
  </si>
  <si>
    <t>Pediatrics, not Urology. https://lebonheurpediatrics.com/providers/john-w-ellis-iii/</t>
  </si>
  <si>
    <t>Not license in AR</t>
  </si>
  <si>
    <t>Suggestor reason verified</t>
  </si>
  <si>
    <t>KHAIDAKOVA, GALIMAT</t>
  </si>
  <si>
    <t>Practitioner's linkedin shows NY location. https://www.linkedin.com/in/paul-lajos-md-mba-a76a9b168</t>
  </si>
  <si>
    <t>Web research shows no active Arkansas medical license</t>
  </si>
  <si>
    <t>Listed on SHARP roster as Cardiac, Vascular &amp;amp; Thoracic Surgery - Thoracic &amp;amp; Vascular Surgery</t>
  </si>
  <si>
    <t>MASON, ROGER</t>
  </si>
  <si>
    <t>Credentialed as General Practice. Internally listed at Healing Hands Addiction Center.</t>
  </si>
  <si>
    <t>PELLICCIO, NICHOLAS</t>
  </si>
  <si>
    <t>Not a par provider but appears valid. https://www.baptistonline.org/find-a-doctor/NicholasPelliccioMD/WP-24TWNwAgNVVOJcy3TAHgnD6A-3D-3D-247dTgr7-2FPdKLYZe-2FwgZCDWj8Zi8iKgB7yXFCGRnx-2FxdE-3D</t>
  </si>
  <si>
    <t>JAGGERS, ROBERT</t>
  </si>
  <si>
    <t>Listed on roster and website as cardiothoracic surgeon. https://www.wregional.com/main/physician-locator/jaggers-robert-115</t>
  </si>
  <si>
    <t>Appears to be practicing at Healogics and focused on Wound Care and Hyperbaric therapy. https://www.linkedin.com/in/landon-humphrey-6145a4b1</t>
  </si>
  <si>
    <t>ASMB: Vascular Surgery</t>
  </si>
  <si>
    <t>https://www.linkedin.com/in/landon-humphrey-6145a4b1 shows vascular surgeon</t>
  </si>
  <si>
    <t>Credentialed as Cardiothoracic Surgery</t>
  </si>
  <si>
    <t>MEURER, MICHAEL</t>
  </si>
  <si>
    <t>PATRICK, DONALD</t>
  </si>
  <si>
    <t>SHERIDAN FAMILY PHARMACY</t>
  </si>
  <si>
    <t>Validated as retail by calling pharmacy</t>
  </si>
  <si>
    <t>THE PRESCRIPTION SHOP LONG TER</t>
  </si>
  <si>
    <t>RANDOLPH COUNTY DRUG</t>
  </si>
  <si>
    <t>HEALTH-WISE PHARMACY OF LAVACA</t>
  </si>
  <si>
    <t>PILLQUEST PHARMACY</t>
  </si>
  <si>
    <t>CORNERSTONE PHARMACY AND COMPO</t>
  </si>
  <si>
    <t>ARCARE PHARMACY 154</t>
  </si>
  <si>
    <t>DEAN'S PHARMACY MARIANNA</t>
  </si>
  <si>
    <t>EAST END EXPRESS PHARMACY LTC</t>
  </si>
  <si>
    <t>MOUNTAINBURG COMMUNITY PHARMAC</t>
  </si>
  <si>
    <t>JOE'S PHARMACY EXPRESS - LTC</t>
  </si>
  <si>
    <t>Permanently Closed</t>
  </si>
  <si>
    <t>Closed Door Pharmacy - validated by phone</t>
  </si>
  <si>
    <t>NPI is for pharmacist, not facility</t>
  </si>
  <si>
    <t>Pharmacy in MS outside of service area</t>
  </si>
  <si>
    <t>Pharmacy in LA outside of service area</t>
  </si>
  <si>
    <t>Pharmacy in MO outside of service area</t>
  </si>
  <si>
    <t>Pharmacy in TX outside of service area</t>
  </si>
  <si>
    <t>Pharmacy in IL outside of service area</t>
  </si>
  <si>
    <t>Pharmacy in TN outside of service area</t>
  </si>
  <si>
    <t>Pharmacy in OK outside of service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</si>
</sst>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6" x14ac:knownFonts="1">
    <font>
      <sz val="11"/>
      <color theme="1"/>
      <name val="Aptos Narrow"/>
      <family val="2"/>
      <scheme val="minor"/>
    </font>
    <font>
      <sz val="11"/>
      <color theme="1"/>
      <name val="Aptos Narrow"/>
      <family val="2"/>
      <scheme val="minor"/>
    </font>
    <font>
      <sz val="11"/>
      <color rgb="FF3F3F76"/>
      <name val="Aptos Narrow"/>
      <family val="2"/>
      <scheme val="minor"/>
    </font>
    <font>
      <b/>
      <sz val="11"/>
      <color theme="0"/>
      <name val="Aptos Narrow"/>
      <family val="2"/>
      <scheme val="minor"/>
    </font>
    <font>
      <sz val="10"/>
      <color theme="1"/>
      <name val="Aptos Narrow"/>
      <family val="2"/>
      <scheme val="minor"/>
    </font>
    <font>
      <b/>
      <sz val="10"/>
      <color theme="1"/>
      <name val="Aptos Narrow"/>
      <family val="2"/>
      <scheme val="minor"/>
    </font>
    <font>
      <b/>
      <sz val="11"/>
      <color rgb="FFFF0000"/>
      <name val="Aptos Narrow"/>
      <family val="2"/>
      <scheme val="minor"/>
    </font>
    <font>
      <b/>
      <u/>
      <sz val="20"/>
      <color theme="1"/>
      <name val="Aptos Narrow"/>
      <family val="2"/>
      <scheme val="minor"/>
    </font>
    <font>
      <b/>
      <u/>
      <sz val="18"/>
      <color theme="0"/>
      <name val="Aptos Narrow"/>
      <family val="2"/>
      <scheme val="minor"/>
    </font>
    <font>
      <sz val="11"/>
      <name val="Aptos Narrow"/>
      <family val="2"/>
      <scheme val="minor"/>
    </font>
    <font>
      <u/>
      <sz val="11"/>
      <color theme="10"/>
      <name val="Aptos Narrow"/>
      <family val="2"/>
      <scheme val="minor"/>
    </font>
    <font>
      <u/>
      <sz val="10"/>
      <color rgb="FF0070C0"/>
      <name val="Aptos Narrow"/>
      <family val="2"/>
      <scheme val="minor"/>
    </font>
    <font>
      <b/>
      <sz val="11"/>
      <color theme="1"/>
      <name val="Aptos Narrow"/>
      <family val="2"/>
      <scheme val="minor"/>
    </font>
    <font>
      <sz val="11"/>
      <color theme="1"/>
      <name val="Consolas"/>
      <family val="3"/>
    </font>
    <font>
      <sz val="11"/>
      <name val="Consolas"/>
      <family val="3"/>
    </font>
    <font>
      <b/>
      <sz val="14"/>
      <color theme="1"/>
      <name val="Aptos Narrow"/>
      <family val="2"/>
      <scheme val="minor"/>
    </font>
    <font>
      <b/>
      <i/>
      <sz val="14"/>
      <color theme="1"/>
      <name val="Aptos Narrow"/>
      <family val="2"/>
      <scheme val="minor"/>
    </font>
    <font>
      <b/>
      <sz val="14"/>
      <color theme="5"/>
      <name val="Aptos Narrow"/>
      <family val="2"/>
      <scheme val="minor"/>
    </font>
    <font>
      <b/>
      <sz val="14"/>
      <color theme="9"/>
      <name val="Aptos Narrow"/>
      <family val="2"/>
      <scheme val="minor"/>
    </font>
    <font>
      <b/>
      <sz val="14"/>
      <name val="Aptos Narrow"/>
      <family val="2"/>
      <scheme val="minor"/>
    </font>
    <font>
      <sz val="11"/>
      <color theme="1"/>
      <name val="Aptos Display"/>
      <family val="2"/>
    </font>
    <font>
      <b/>
      <strike/>
      <sz val="11"/>
      <color rgb="FFFF0000"/>
      <name val="Consolas"/>
      <family val="3"/>
    </font>
    <font>
      <b/>
      <strike/>
      <sz val="11"/>
      <color rgb="FFFF0000"/>
      <name val="Aptos Narrow"/>
      <family val="2"/>
      <scheme val="minor"/>
    </font>
    <font>
      <b/>
      <sz val="11"/>
      <color theme="1"/>
      <name val="Consolas"/>
      <family val="3"/>
    </font>
    <font>
      <b/>
      <sz val="11"/>
      <name val="Aptos Narrow"/>
      <family val="2"/>
      <scheme val="minor"/>
    </font>
    <font>
      <sz val="8"/>
      <name val="Aptos Narrow"/>
      <family val="2"/>
      <scheme val="minor"/>
    </font>
  </fonts>
  <fills count="9">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39997558519241921"/>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4">
    <xf numFmtId="0" fontId="0" fillId="0" borderId="0"/>
    <xf numFmtId="0" fontId="2" fillId="2" borderId="1" applyNumberFormat="0" applyAlignment="0" applyProtection="0"/>
    <xf numFmtId="0" fontId="10" fillId="0" borderId="0" applyNumberFormat="0" applyFill="0" applyBorder="0" applyAlignment="0" applyProtection="0"/>
    <xf numFmtId="9" fontId="1" fillId="0" borderId="0" applyFont="0" applyFill="0" applyBorder="0" applyAlignment="0" applyProtection="0"/>
  </cellStyleXfs>
  <cellXfs count="79">
    <xf numFmtId="0" fontId="0" fillId="0" borderId="0" xfId="0"/>
    <xf numFmtId="0" fontId="4" fillId="0" borderId="0" xfId="0" applyFont="1" applyAlignment="1">
      <alignment horizontal="left"/>
    </xf>
    <xf numFmtId="0" fontId="2" fillId="2" borderId="1" xfId="1" applyAlignment="1">
      <alignment horizontal="left"/>
    </xf>
    <xf numFmtId="0" fontId="4" fillId="4" borderId="2" xfId="0" applyFont="1" applyFill="1" applyBorder="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4" borderId="3" xfId="0" applyFont="1" applyFill="1" applyBorder="1" applyAlignment="1">
      <alignment horizontal="left" vertical="top" wrapText="1"/>
    </xf>
    <xf numFmtId="0" fontId="2" fillId="2" borderId="5" xfId="1" applyBorder="1" applyAlignment="1">
      <alignment horizontal="left"/>
    </xf>
    <xf numFmtId="0" fontId="0" fillId="0" borderId="0" xfId="0"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0" fillId="0" borderId="0" xfId="0" applyAlignment="1">
      <alignment horizontal="left" vertical="center" wrapText="1"/>
    </xf>
    <xf numFmtId="0" fontId="0" fillId="5" borderId="2" xfId="0" applyFill="1" applyBorder="1"/>
    <xf numFmtId="0" fontId="0" fillId="0" borderId="16" xfId="0" applyBorder="1" applyAlignment="1">
      <alignment vertical="center"/>
    </xf>
    <xf numFmtId="0" fontId="11" fillId="0" borderId="0" xfId="0" applyFont="1" applyAlignment="1">
      <alignment horizontal="left"/>
    </xf>
    <xf numFmtId="0" fontId="13" fillId="5" borderId="2" xfId="0" applyFont="1" applyFill="1" applyBorder="1"/>
    <xf numFmtId="164" fontId="13" fillId="5" borderId="2" xfId="0" applyNumberFormat="1" applyFont="1" applyFill="1" applyBorder="1" applyAlignment="1">
      <alignment horizontal="left"/>
    </xf>
    <xf numFmtId="0" fontId="9" fillId="5" borderId="2" xfId="0" applyFont="1" applyFill="1" applyBorder="1"/>
    <xf numFmtId="0" fontId="14" fillId="5" borderId="2" xfId="0" applyFont="1" applyFill="1" applyBorder="1"/>
    <xf numFmtId="164" fontId="14" fillId="5" borderId="2" xfId="0" applyNumberFormat="1" applyFont="1" applyFill="1" applyBorder="1" applyAlignment="1">
      <alignment horizontal="left"/>
    </xf>
    <xf numFmtId="0" fontId="14" fillId="0" borderId="2" xfId="0" applyFont="1" applyBorder="1"/>
    <xf numFmtId="0" fontId="9" fillId="0" borderId="2" xfId="0" applyFont="1" applyBorder="1"/>
    <xf numFmtId="164" fontId="14" fillId="0" borderId="2" xfId="0" applyNumberFormat="1" applyFont="1" applyBorder="1" applyAlignment="1">
      <alignment horizontal="left"/>
    </xf>
    <xf numFmtId="11" fontId="13" fillId="5" borderId="2" xfId="0" applyNumberFormat="1" applyFont="1" applyFill="1" applyBorder="1"/>
    <xf numFmtId="0" fontId="13" fillId="0" borderId="0" xfId="0" applyFont="1"/>
    <xf numFmtId="164" fontId="13" fillId="0" borderId="0" xfId="0" applyNumberFormat="1" applyFont="1" applyAlignment="1">
      <alignment horizontal="left"/>
    </xf>
    <xf numFmtId="0" fontId="0" fillId="0" borderId="0" xfId="0" applyAlignment="1">
      <alignment vertical="top" wrapText="1"/>
    </xf>
    <xf numFmtId="0" fontId="0" fillId="0" borderId="4" xfId="0" applyBorder="1"/>
    <xf numFmtId="0" fontId="0" fillId="0" borderId="2" xfId="0" applyBorder="1"/>
    <xf numFmtId="0" fontId="0" fillId="0" borderId="14" xfId="0" applyBorder="1"/>
    <xf numFmtId="0" fontId="0" fillId="0" borderId="2" xfId="0" applyBorder="1" applyAlignment="1">
      <alignment wrapText="1"/>
    </xf>
    <xf numFmtId="0" fontId="0" fillId="0" borderId="0" xfId="0" applyAlignment="1">
      <alignment wrapText="1"/>
    </xf>
    <xf numFmtId="0" fontId="0" fillId="0" borderId="0" xfId="0" applyAlignment="1">
      <alignment horizontal="left" wrapText="1"/>
    </xf>
    <xf numFmtId="0" fontId="10" fillId="0" borderId="2" xfId="2" applyBorder="1"/>
    <xf numFmtId="0" fontId="20" fillId="0" borderId="15" xfId="0" applyFont="1" applyBorder="1" applyAlignment="1">
      <alignment horizontal="left" vertical="top" wrapText="1"/>
    </xf>
    <xf numFmtId="0" fontId="20" fillId="0" borderId="2" xfId="0" applyFont="1" applyBorder="1" applyAlignment="1">
      <alignment horizontal="left" vertical="top" wrapText="1"/>
    </xf>
    <xf numFmtId="164" fontId="21" fillId="0" borderId="2" xfId="0" applyNumberFormat="1" applyFont="1" applyBorder="1" applyAlignment="1">
      <alignment horizontal="left"/>
    </xf>
    <xf numFmtId="0" fontId="22" fillId="0" borderId="2" xfId="0" applyFont="1" applyBorder="1"/>
    <xf numFmtId="0" fontId="21" fillId="0" borderId="2" xfId="0" applyFont="1" applyBorder="1"/>
    <xf numFmtId="164" fontId="23" fillId="7" borderId="2" xfId="0" applyNumberFormat="1" applyFont="1" applyFill="1" applyBorder="1" applyAlignment="1">
      <alignment horizontal="left"/>
    </xf>
    <xf numFmtId="0" fontId="12" fillId="7" borderId="2" xfId="0" applyFont="1" applyFill="1" applyBorder="1"/>
    <xf numFmtId="0" fontId="23" fillId="7" borderId="2" xfId="0" applyFont="1" applyFill="1" applyBorder="1"/>
    <xf numFmtId="0" fontId="20" fillId="0" borderId="0" xfId="0" applyFont="1" applyAlignment="1">
      <alignment horizontal="right" vertical="top" wrapText="1"/>
    </xf>
    <xf numFmtId="164" fontId="23" fillId="0" borderId="0" xfId="0" applyNumberFormat="1" applyFont="1" applyAlignment="1">
      <alignment horizontal="left"/>
    </xf>
    <xf numFmtId="0" fontId="12" fillId="0" borderId="0" xfId="0" applyFont="1"/>
    <xf numFmtId="0" fontId="23" fillId="0" borderId="0" xfId="0" applyFont="1"/>
    <xf numFmtId="0" fontId="12" fillId="6" borderId="18" xfId="0" applyFont="1" applyFill="1" applyBorder="1" applyAlignment="1">
      <alignment vertical="top" wrapText="1"/>
    </xf>
    <xf numFmtId="0" fontId="24" fillId="6" borderId="17" xfId="0" applyFont="1" applyFill="1" applyBorder="1" applyAlignment="1">
      <alignment vertical="top" wrapText="1"/>
    </xf>
    <xf numFmtId="0" fontId="24" fillId="6" borderId="18" xfId="0" applyFont="1" applyFill="1" applyBorder="1" applyAlignment="1">
      <alignment vertical="top" wrapText="1"/>
    </xf>
    <xf numFmtId="0" fontId="24" fillId="6" borderId="19" xfId="0" applyFont="1" applyFill="1" applyBorder="1" applyAlignment="1">
      <alignment vertical="top" wrapText="1"/>
    </xf>
    <xf numFmtId="0" fontId="24" fillId="8" borderId="18" xfId="1" applyFont="1" applyFill="1" applyBorder="1" applyAlignment="1">
      <alignment vertical="top" wrapText="1"/>
    </xf>
    <xf numFmtId="0" fontId="10" fillId="0" borderId="0" xfId="2"/>
    <xf numFmtId="0" fontId="4" fillId="0" borderId="0" xfId="0" applyFont="1"/>
    <xf numFmtId="0" fontId="2" fillId="2" borderId="1" xfId="1"/>
    <xf numFmtId="0" fontId="2" fillId="2" borderId="1" xfId="1" applyAlignment="1">
      <alignment horizontal="center"/>
    </xf>
    <xf numFmtId="0" fontId="7" fillId="0" borderId="0" xfId="0" applyFont="1" applyAlignment="1">
      <alignment horizontal="center" vertical="center"/>
    </xf>
    <xf numFmtId="0" fontId="8" fillId="3" borderId="6" xfId="0" applyFont="1" applyFill="1" applyBorder="1" applyAlignment="1">
      <alignment horizontal="left" vertical="center"/>
    </xf>
    <xf numFmtId="0" fontId="8" fillId="3" borderId="7" xfId="0" applyFont="1" applyFill="1" applyBorder="1" applyAlignment="1">
      <alignment horizontal="left" vertical="center"/>
    </xf>
    <xf numFmtId="0" fontId="8" fillId="3" borderId="8" xfId="0" applyFont="1" applyFill="1" applyBorder="1" applyAlignment="1">
      <alignment horizontal="left" vertical="center"/>
    </xf>
    <xf numFmtId="49" fontId="0" fillId="0" borderId="3" xfId="0" applyNumberFormat="1" applyBorder="1" applyAlignment="1">
      <alignment horizontal="left" wrapText="1"/>
    </xf>
    <xf numFmtId="49" fontId="0" fillId="0" borderId="14" xfId="0" applyNumberFormat="1" applyBorder="1" applyAlignment="1">
      <alignment horizontal="left" wrapText="1"/>
    </xf>
    <xf numFmtId="49" fontId="0" fillId="0" borderId="16" xfId="0" applyNumberFormat="1" applyBorder="1" applyAlignment="1">
      <alignment horizontal="left" wrapText="1"/>
    </xf>
    <xf numFmtId="49" fontId="0" fillId="0" borderId="4" xfId="0" applyNumberFormat="1" applyBorder="1" applyAlignment="1">
      <alignment horizontal="left" wrapText="1"/>
    </xf>
    <xf numFmtId="0" fontId="10" fillId="0" borderId="0" xfId="2"/>
    <xf numFmtId="0" fontId="0" fillId="0" borderId="15" xfId="0" applyBorder="1" applyAlignment="1">
      <alignment horizontal="left" vertical="top"/>
    </xf>
    <xf numFmtId="0" fontId="15" fillId="6" borderId="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4" xfId="0" applyFont="1" applyFill="1" applyBorder="1" applyAlignment="1">
      <alignment horizontal="left" vertical="top" wrapText="1"/>
    </xf>
    <xf numFmtId="0" fontId="20" fillId="0" borderId="16" xfId="0" applyFont="1" applyBorder="1" applyAlignment="1">
      <alignment horizontal="right" vertical="top" wrapText="1"/>
    </xf>
    <xf numFmtId="0" fontId="20" fillId="0" borderId="0" xfId="0" applyFont="1" applyAlignment="1">
      <alignment horizontal="right" vertical="top" wrapText="1"/>
    </xf>
    <xf numFmtId="0" fontId="15" fillId="0" borderId="0" xfId="0" applyFont="1" applyAlignment="1">
      <alignment horizontal="left"/>
    </xf>
  </cellXfs>
  <cellStyles count="4">
    <cellStyle name="Hyperlink" xfId="2" builtinId="8"/>
    <cellStyle name="Input" xfId="1" builtinId="20"/>
    <cellStyle name="Normal" xfId="0" builtinId="0"/>
    <cellStyle name="Percent 2" xfId="3" xr:uid="{AD369AB3-BB29-4186-8EB5-6C4F001C5E58}"/>
  </cellStyles>
  <dxfs count="17">
    <dxf>
      <numFmt numFmtId="0" formatCode="General"/>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Aptos Narrow"/>
        <family val="2"/>
        <scheme val="minor"/>
      </font>
      <fill>
        <patternFill patternType="solid">
          <fgColor indexed="64"/>
          <bgColor theme="8"/>
        </patternFill>
      </fill>
      <alignment horizontal="general"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AA4D68-EDFF-46E6-A0E5-6DA3E2F27602}" name="Table1" displayName="Table1" ref="A2:O8234" totalsRowShown="0" headerRowDxfId="16" headerRowBorderDxfId="15" tableBorderDxfId="14" totalsRowBorderDxfId="13">
  <autoFilter ref="A2:O8234" xr:uid="{00000000-0009-0000-0100-000001000000}"/>
  <tableColumns count="15">
    <tableColumn id="1" xr3:uid="{6B61D3ED-861F-4144-A4DD-B6E6EAB2AE90}" name="Criteria" dataDxfId="12"/>
    <tableColumn id="2" xr3:uid="{47B5582D-43D1-427D-A761-D1B42B8B6BAA}" name="Description" dataDxfId="11"/>
    <tableColumn id="3" xr3:uid="{1270158A-FBD3-4076-8C9D-CBD5F38C7ECD}" name="NPI" dataDxfId="10"/>
    <tableColumn id="4" xr3:uid="{93524C57-6C7F-47E9-8A26-F9FA9798581D}" name="Action" dataDxfId="9"/>
    <tableColumn id="5" xr3:uid="{FA3D1B0C-9AA9-444E-91E0-19DA0CFE1576}" name="CountRequesting" dataDxfId="8"/>
    <tableColumn id="6" xr3:uid="{AF31F3AF-4B60-4A79-BA77-B9178E19F6A1}" name="CountNewAction" dataDxfId="7"/>
    <tableColumn id="9" xr3:uid="{D1B3F84D-17AF-4AE7-8BD1-82A5C08A747D}" name="CountAffirm" dataDxfId="6"/>
    <tableColumn id="7" xr3:uid="{A9B80E40-17FB-4324-B7CD-0E2BE4B053C1}" name="CountObject" dataDxfId="5"/>
    <tableColumn id="8" xr3:uid="{6C17F5B7-F561-4512-9F74-C269CEEFEFD8}" name="CountContradictory" dataDxfId="4"/>
    <tableColumn id="10" xr3:uid="{05F8214E-16F9-4AAD-B1C7-65D6D399175A}" name="Feedback Reason" dataDxfId="3"/>
    <tableColumn id="11" xr3:uid="{9F4898F1-7FA5-4F1C-9B08-55DB719D2EDA}" name="Agree Reason" dataDxfId="2"/>
    <tableColumn id="12" xr3:uid="{B6F85022-8C00-4868-8F11-1AA2CF5DA275}" name="Object Reason" dataDxfId="1"/>
    <tableColumn id="13" xr3:uid="{ECEE5515-BAFF-40EA-BF53-4EA760040B84}" name="Count for Action" dataDxfId="0"/>
    <tableColumn id="14" xr3:uid="{D30CE32D-952D-4059-B506-65DFE731DAFA}" name="Accept Action?"/>
    <tableColumn id="15" xr3:uid="{F456F741-7D54-4DFD-B71F-32A11E52052C}" name="Reason behind AID dispositio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rhld.insurance.arkansas.gov/Downloadables/NetworkAdequacy/200_PY2018ProviderTypeNPIPool/100_PTNPCycleArtifacts/210_SuggestingProviderTypePoolChanges.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mercy.net/practice/fort-smith/mercy-clinic-infectious-disease-fort-smith/" TargetMode="External"/><Relationship Id="rId2" Type="http://schemas.openxmlformats.org/officeDocument/2006/relationships/hyperlink" Target="https://findadentist.ada.org/dentists/dr-karla-t-baltz-pocahontas-0038V00002ykDYfQAM-a1C8V00000lWBVlUAO?utm_source=chatgpt.com" TargetMode="External"/><Relationship Id="rId1" Type="http://schemas.openxmlformats.org/officeDocument/2006/relationships/hyperlink" Target="https://www.linkedin.com/in/landon-humphrey-6145a4b1%20shows%20vascular%20surgeon" TargetMode="External"/><Relationship Id="rId5" Type="http://schemas.openxmlformats.org/officeDocument/2006/relationships/table" Target="../tables/table1.x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8"/>
  <sheetViews>
    <sheetView showGridLines="0" workbookViewId="0">
      <selection activeCell="C7" sqref="C7:F7"/>
    </sheetView>
  </sheetViews>
  <sheetFormatPr defaultColWidth="9.140625" defaultRowHeight="15" x14ac:dyDescent="0.25"/>
  <cols>
    <col min="1" max="7" width="9.140625" style="8"/>
    <col min="8" max="8" width="9.140625" style="8" customWidth="1"/>
    <col min="9" max="14" width="9.140625" style="8"/>
    <col min="15" max="15" width="24.85546875" style="8" customWidth="1"/>
    <col min="16" max="16384" width="9.140625" style="8"/>
  </cols>
  <sheetData>
    <row r="1" spans="2:16" ht="15.75" thickBot="1" x14ac:dyDescent="0.3"/>
    <row r="2" spans="2:16" x14ac:dyDescent="0.25">
      <c r="B2" s="9"/>
      <c r="C2" s="10"/>
      <c r="D2" s="10"/>
      <c r="E2" s="10"/>
      <c r="F2" s="10"/>
      <c r="G2" s="10"/>
      <c r="H2" s="10"/>
      <c r="I2" s="10"/>
      <c r="J2" s="10"/>
      <c r="K2" s="10"/>
      <c r="L2" s="10"/>
      <c r="M2" s="10"/>
      <c r="N2" s="10"/>
      <c r="O2" s="10"/>
      <c r="P2" s="11"/>
    </row>
    <row r="3" spans="2:16" ht="26.25" x14ac:dyDescent="0.25">
      <c r="B3" s="12"/>
      <c r="C3" s="63" t="s">
        <v>1737</v>
      </c>
      <c r="D3" s="63"/>
      <c r="E3" s="63"/>
      <c r="F3" s="63"/>
      <c r="G3" s="63"/>
      <c r="H3" s="63"/>
      <c r="I3" s="63"/>
      <c r="J3" s="63"/>
      <c r="K3" s="63"/>
      <c r="L3" s="63"/>
      <c r="M3" s="63"/>
      <c r="N3" s="63"/>
      <c r="O3" s="63"/>
      <c r="P3" s="13"/>
    </row>
    <row r="4" spans="2:16" ht="15.75" thickBot="1" x14ac:dyDescent="0.3">
      <c r="B4" s="12"/>
      <c r="P4" s="13"/>
    </row>
    <row r="5" spans="2:16" ht="24" x14ac:dyDescent="0.25">
      <c r="B5" s="12"/>
      <c r="C5" s="64" t="s">
        <v>702</v>
      </c>
      <c r="D5" s="65"/>
      <c r="E5" s="65"/>
      <c r="F5" s="65"/>
      <c r="G5" s="65"/>
      <c r="H5" s="65"/>
      <c r="I5" s="65"/>
      <c r="J5" s="65"/>
      <c r="K5" s="65"/>
      <c r="L5" s="65"/>
      <c r="M5" s="65"/>
      <c r="N5" s="65"/>
      <c r="O5" s="66"/>
      <c r="P5" s="13"/>
    </row>
    <row r="6" spans="2:16" ht="207" customHeight="1" x14ac:dyDescent="0.25">
      <c r="B6" s="12"/>
      <c r="C6" s="67" t="s">
        <v>753</v>
      </c>
      <c r="D6" s="68"/>
      <c r="E6" s="68"/>
      <c r="F6" s="68"/>
      <c r="G6" s="69"/>
      <c r="H6" s="68"/>
      <c r="I6" s="68"/>
      <c r="J6" s="68"/>
      <c r="K6" s="68"/>
      <c r="L6" s="68"/>
      <c r="M6" s="68"/>
      <c r="N6" s="68"/>
      <c r="O6" s="70"/>
      <c r="P6" s="13"/>
    </row>
    <row r="7" spans="2:16" ht="17.25" customHeight="1" x14ac:dyDescent="0.25">
      <c r="B7" s="12"/>
      <c r="C7" s="71" t="s">
        <v>1571</v>
      </c>
      <c r="D7" s="71"/>
      <c r="E7" s="71"/>
      <c r="F7" s="71"/>
      <c r="G7" s="21"/>
      <c r="H7" s="19"/>
      <c r="I7" s="19"/>
      <c r="J7" s="19"/>
      <c r="K7" s="19"/>
      <c r="L7" s="19"/>
      <c r="M7" s="19"/>
      <c r="N7" s="19"/>
      <c r="O7" s="19"/>
      <c r="P7" s="13"/>
    </row>
    <row r="8" spans="2:16" ht="75.75" customHeight="1" thickBot="1" x14ac:dyDescent="0.3">
      <c r="B8" s="14"/>
      <c r="C8" s="15"/>
      <c r="D8" s="15"/>
      <c r="E8" s="15"/>
      <c r="F8" s="15"/>
      <c r="G8" s="15"/>
      <c r="H8" s="15"/>
      <c r="I8" s="15"/>
      <c r="J8" s="15"/>
      <c r="K8" s="15"/>
      <c r="L8" s="15"/>
      <c r="M8" s="15"/>
      <c r="N8" s="15"/>
      <c r="O8" s="15"/>
      <c r="P8" s="16"/>
    </row>
  </sheetData>
  <mergeCells count="4">
    <mergeCell ref="C3:O3"/>
    <mergeCell ref="C5:O5"/>
    <mergeCell ref="C6:O6"/>
    <mergeCell ref="C7:F7"/>
  </mergeCells>
  <hyperlinks>
    <hyperlink ref="C7:F7" r:id="rId1" display="Click here for usage instructions"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
  <sheetViews>
    <sheetView zoomScale="85" zoomScaleNormal="85" workbookViewId="0">
      <selection activeCell="A2" sqref="A2"/>
    </sheetView>
  </sheetViews>
  <sheetFormatPr defaultRowHeight="15" x14ac:dyDescent="0.25"/>
  <cols>
    <col min="1" max="1" width="19.5703125" customWidth="1"/>
    <col min="2" max="2" width="47.28515625" customWidth="1"/>
    <col min="3" max="3" width="10.85546875" customWidth="1"/>
  </cols>
  <sheetData>
    <row r="1" spans="1:3" ht="24" customHeight="1" x14ac:dyDescent="0.25">
      <c r="A1" s="72" t="s">
        <v>723</v>
      </c>
      <c r="B1" s="72"/>
      <c r="C1" s="72"/>
    </row>
    <row r="2" spans="1:3" x14ac:dyDescent="0.25">
      <c r="A2" s="5" t="s">
        <v>1467</v>
      </c>
      <c r="B2" s="5" t="s">
        <v>1468</v>
      </c>
      <c r="C2" s="5" t="s">
        <v>1469</v>
      </c>
    </row>
  </sheetData>
  <mergeCells count="1">
    <mergeCell ref="A1: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9A112-F10D-41C0-8524-752911182B7D}">
  <sheetPr>
    <tabColor rgb="FFFFCC99"/>
  </sheetPr>
  <dimension ref="A1:I36135"/>
  <sheetViews>
    <sheetView tabSelected="1" zoomScale="70" zoomScaleNormal="70" workbookViewId="0">
      <pane xSplit="1" ySplit="2" topLeftCell="B34983" activePane="bottomRight" state="frozen"/>
      <selection pane="topRight" activeCell="B1" sqref="B1"/>
      <selection pane="bottomLeft" activeCell="A3" sqref="A3"/>
      <selection pane="bottomRight" activeCell="B34993" sqref="B34993"/>
    </sheetView>
  </sheetViews>
  <sheetFormatPr defaultColWidth="0" defaultRowHeight="15" x14ac:dyDescent="0.25"/>
  <cols>
    <col min="1" max="1" width="25.5703125" customWidth="1"/>
    <col min="2" max="2" width="16.140625" customWidth="1"/>
    <col min="3" max="3" width="72" customWidth="1"/>
    <col min="4" max="4" width="15.85546875" customWidth="1"/>
    <col min="5" max="5" width="59.140625" customWidth="1"/>
    <col min="6" max="7" width="21" customWidth="1"/>
    <col min="8" max="8" width="42.28515625" customWidth="1"/>
    <col min="9" max="9" width="0" hidden="1" customWidth="1"/>
    <col min="10" max="16384" width="9.140625" hidden="1"/>
  </cols>
  <sheetData>
    <row r="1" spans="1:8" ht="30" x14ac:dyDescent="0.25">
      <c r="A1" s="40"/>
      <c r="B1" s="5" t="s">
        <v>9622</v>
      </c>
      <c r="C1" s="5" t="s">
        <v>9621</v>
      </c>
      <c r="D1" s="5" t="s">
        <v>623</v>
      </c>
      <c r="E1" s="17" t="s">
        <v>5</v>
      </c>
      <c r="F1" s="18" t="s">
        <v>625</v>
      </c>
      <c r="G1" s="5" t="s">
        <v>713</v>
      </c>
      <c r="H1" s="5" t="s">
        <v>624</v>
      </c>
    </row>
    <row r="2" spans="1:8" ht="81" x14ac:dyDescent="0.25">
      <c r="A2" s="3" t="s">
        <v>3</v>
      </c>
      <c r="B2" s="3" t="s">
        <v>9</v>
      </c>
      <c r="C2" s="3" t="s">
        <v>4</v>
      </c>
      <c r="D2" s="3" t="s">
        <v>8</v>
      </c>
      <c r="E2" s="6" t="s">
        <v>6</v>
      </c>
      <c r="F2" s="3" t="s">
        <v>15</v>
      </c>
      <c r="G2" s="3" t="s">
        <v>618</v>
      </c>
      <c r="H2" s="3" t="s">
        <v>619</v>
      </c>
    </row>
    <row r="3" spans="1:8" x14ac:dyDescent="0.25">
      <c r="A3" s="4" t="s">
        <v>10</v>
      </c>
      <c r="B3" s="2" t="s">
        <v>14337</v>
      </c>
      <c r="C3" s="1" t="s">
        <v>14338</v>
      </c>
      <c r="D3" s="2">
        <v>1780407536</v>
      </c>
      <c r="E3" s="1" t="s">
        <v>37366</v>
      </c>
      <c r="F3" s="7" t="s">
        <v>2</v>
      </c>
      <c r="G3" s="2">
        <v>54321</v>
      </c>
      <c r="H3" s="2" t="s">
        <v>37367</v>
      </c>
    </row>
    <row r="4" spans="1:8" x14ac:dyDescent="0.25">
      <c r="A4" s="1" t="s">
        <v>12</v>
      </c>
      <c r="B4" s="2" t="s">
        <v>14337</v>
      </c>
      <c r="C4" s="1" t="s">
        <v>14338</v>
      </c>
      <c r="D4" s="2">
        <v>1912734211</v>
      </c>
      <c r="E4" s="1" t="s">
        <v>37368</v>
      </c>
      <c r="F4" s="7" t="s">
        <v>2</v>
      </c>
      <c r="G4" s="2">
        <v>54321</v>
      </c>
      <c r="H4" s="2" t="s">
        <v>37367</v>
      </c>
    </row>
    <row r="5" spans="1:8" x14ac:dyDescent="0.25">
      <c r="A5" s="1"/>
      <c r="B5" s="2" t="s">
        <v>14337</v>
      </c>
      <c r="C5" s="1" t="s">
        <v>14338</v>
      </c>
      <c r="D5" s="2">
        <v>1326858655</v>
      </c>
      <c r="E5" s="1" t="s">
        <v>37369</v>
      </c>
      <c r="F5" s="7" t="s">
        <v>2</v>
      </c>
      <c r="G5" s="2">
        <v>54321</v>
      </c>
      <c r="H5" s="2" t="s">
        <v>37367</v>
      </c>
    </row>
    <row r="6" spans="1:8" x14ac:dyDescent="0.25">
      <c r="A6" s="1"/>
      <c r="B6" s="2" t="s">
        <v>14337</v>
      </c>
      <c r="C6" s="1" t="s">
        <v>14338</v>
      </c>
      <c r="D6" s="2">
        <v>1376338780</v>
      </c>
      <c r="E6" s="1" t="s">
        <v>37370</v>
      </c>
      <c r="F6" s="7" t="s">
        <v>2</v>
      </c>
      <c r="G6" s="2">
        <v>54321</v>
      </c>
      <c r="H6" s="2" t="s">
        <v>37367</v>
      </c>
    </row>
    <row r="7" spans="1:8" x14ac:dyDescent="0.25">
      <c r="A7" s="1"/>
      <c r="B7" s="2" t="s">
        <v>14337</v>
      </c>
      <c r="C7" s="1" t="s">
        <v>14338</v>
      </c>
      <c r="D7" s="2">
        <v>1285422204</v>
      </c>
      <c r="E7" s="1" t="s">
        <v>37371</v>
      </c>
      <c r="F7" s="7" t="s">
        <v>2</v>
      </c>
      <c r="G7" s="2">
        <v>54321</v>
      </c>
      <c r="H7" s="2" t="s">
        <v>37367</v>
      </c>
    </row>
    <row r="8" spans="1:8" x14ac:dyDescent="0.25">
      <c r="A8" s="1"/>
      <c r="B8" s="2" t="s">
        <v>14337</v>
      </c>
      <c r="C8" s="1" t="s">
        <v>14338</v>
      </c>
      <c r="D8" s="2">
        <v>1699565143</v>
      </c>
      <c r="E8" s="1" t="s">
        <v>37372</v>
      </c>
      <c r="F8" s="7" t="s">
        <v>2</v>
      </c>
      <c r="G8" s="2">
        <v>54321</v>
      </c>
      <c r="H8" s="2" t="s">
        <v>37367</v>
      </c>
    </row>
    <row r="9" spans="1:8" x14ac:dyDescent="0.25">
      <c r="A9" s="1"/>
      <c r="B9" s="2" t="s">
        <v>14337</v>
      </c>
      <c r="C9" s="1" t="s">
        <v>14338</v>
      </c>
      <c r="D9" s="2">
        <v>1215824933</v>
      </c>
      <c r="E9" s="1" t="s">
        <v>37373</v>
      </c>
      <c r="F9" s="7" t="s">
        <v>2</v>
      </c>
      <c r="G9" s="2">
        <v>54321</v>
      </c>
      <c r="H9" s="2" t="s">
        <v>37367</v>
      </c>
    </row>
    <row r="10" spans="1:8" x14ac:dyDescent="0.25">
      <c r="A10" s="1"/>
      <c r="B10" s="2" t="s">
        <v>14337</v>
      </c>
      <c r="C10" s="1" t="s">
        <v>14338</v>
      </c>
      <c r="D10" s="2">
        <v>1891683215</v>
      </c>
      <c r="E10" s="1" t="s">
        <v>37374</v>
      </c>
      <c r="F10" s="7" t="s">
        <v>2</v>
      </c>
      <c r="G10" s="2">
        <v>54321</v>
      </c>
      <c r="H10" s="2" t="s">
        <v>37367</v>
      </c>
    </row>
    <row r="11" spans="1:8" x14ac:dyDescent="0.25">
      <c r="A11" s="1"/>
      <c r="B11" s="2" t="s">
        <v>14337</v>
      </c>
      <c r="C11" s="1" t="s">
        <v>14338</v>
      </c>
      <c r="D11" s="2">
        <v>1740012038</v>
      </c>
      <c r="E11" s="1" t="s">
        <v>37375</v>
      </c>
      <c r="F11" s="7" t="s">
        <v>2</v>
      </c>
      <c r="G11" s="2">
        <v>54321</v>
      </c>
      <c r="H11" s="2" t="s">
        <v>37367</v>
      </c>
    </row>
    <row r="12" spans="1:8" x14ac:dyDescent="0.25">
      <c r="A12" s="1"/>
      <c r="B12" s="2" t="s">
        <v>14337</v>
      </c>
      <c r="C12" s="1" t="s">
        <v>14338</v>
      </c>
      <c r="D12" s="2">
        <v>1164222113</v>
      </c>
      <c r="E12" s="1" t="s">
        <v>37376</v>
      </c>
      <c r="F12" s="7" t="s">
        <v>2</v>
      </c>
      <c r="G12" s="2">
        <v>54321</v>
      </c>
      <c r="H12" s="2" t="s">
        <v>37367</v>
      </c>
    </row>
    <row r="13" spans="1:8" x14ac:dyDescent="0.25">
      <c r="A13" s="1"/>
      <c r="B13" s="2" t="s">
        <v>14337</v>
      </c>
      <c r="C13" s="1" t="s">
        <v>14338</v>
      </c>
      <c r="D13" s="2">
        <v>1124900527</v>
      </c>
      <c r="E13" s="1" t="s">
        <v>37377</v>
      </c>
      <c r="F13" s="7" t="s">
        <v>2</v>
      </c>
      <c r="G13" s="2">
        <v>54321</v>
      </c>
      <c r="H13" s="2" t="s">
        <v>37367</v>
      </c>
    </row>
    <row r="14" spans="1:8" x14ac:dyDescent="0.25">
      <c r="A14" s="1"/>
      <c r="B14" s="2"/>
      <c r="C14" s="1"/>
      <c r="D14" s="2"/>
      <c r="E14" s="1"/>
      <c r="F14" s="7"/>
      <c r="G14" s="2"/>
      <c r="H14" s="2"/>
    </row>
    <row r="15" spans="1:8" x14ac:dyDescent="0.25">
      <c r="A15" s="1"/>
      <c r="B15" s="2"/>
      <c r="C15" s="1"/>
      <c r="D15" s="2"/>
      <c r="E15" s="1"/>
      <c r="F15" s="7"/>
      <c r="G15" s="2"/>
      <c r="H15" s="2"/>
    </row>
    <row r="16" spans="1:8" x14ac:dyDescent="0.25">
      <c r="A16" s="1"/>
      <c r="B16" s="2"/>
      <c r="C16" s="1"/>
      <c r="D16" s="2"/>
      <c r="E16" s="1"/>
      <c r="F16" s="7"/>
      <c r="G16" s="2"/>
      <c r="H16" s="2"/>
    </row>
    <row r="17" spans="1:8" x14ac:dyDescent="0.25">
      <c r="A17" s="1"/>
      <c r="B17" s="2"/>
      <c r="C17" s="1"/>
      <c r="D17" s="2"/>
      <c r="E17" s="1"/>
      <c r="F17" s="7"/>
      <c r="G17" s="2"/>
      <c r="H17" s="2"/>
    </row>
    <row r="18" spans="1:8" x14ac:dyDescent="0.25">
      <c r="A18" s="1"/>
      <c r="B18" s="2"/>
      <c r="C18" s="1"/>
      <c r="D18" s="2"/>
      <c r="E18" s="1"/>
      <c r="F18" s="7"/>
      <c r="G18" s="2"/>
      <c r="H18" s="2"/>
    </row>
    <row r="19" spans="1:8" x14ac:dyDescent="0.25">
      <c r="A19" s="1"/>
      <c r="B19" s="2"/>
      <c r="C19" s="1"/>
      <c r="D19" s="2"/>
      <c r="E19" s="1"/>
      <c r="F19" s="7"/>
      <c r="G19" s="2"/>
      <c r="H19" s="2"/>
    </row>
    <row r="20" spans="1:8" x14ac:dyDescent="0.25">
      <c r="A20" s="1"/>
      <c r="B20" s="2"/>
      <c r="C20" s="1"/>
      <c r="D20" s="2"/>
      <c r="E20" s="1"/>
      <c r="F20" s="7"/>
      <c r="G20" s="2"/>
      <c r="H20" s="2"/>
    </row>
    <row r="21" spans="1:8" x14ac:dyDescent="0.25">
      <c r="A21" s="1"/>
      <c r="B21" s="2"/>
      <c r="C21" s="1"/>
      <c r="D21" s="2"/>
      <c r="E21" s="1"/>
      <c r="F21" s="7"/>
      <c r="G21" s="2"/>
      <c r="H21" s="2"/>
    </row>
    <row r="22" spans="1:8" x14ac:dyDescent="0.25">
      <c r="A22" s="1"/>
      <c r="B22" s="2"/>
      <c r="C22" s="1"/>
      <c r="D22" s="2"/>
      <c r="E22" s="1"/>
      <c r="F22" s="7"/>
      <c r="G22" s="2"/>
      <c r="H22" s="2"/>
    </row>
    <row r="23" spans="1:8" x14ac:dyDescent="0.25">
      <c r="A23" s="4" t="s">
        <v>11</v>
      </c>
      <c r="B23" s="1" t="s">
        <v>8885</v>
      </c>
      <c r="C23" s="1" t="s">
        <v>8886</v>
      </c>
      <c r="D23" s="22" t="str">
        <f>HYPERLINK("https://rhld.insurance.arkansas.gov/NPILookup?Npi=1003824061","1003824061")</f>
        <v>1003824061</v>
      </c>
      <c r="E23" s="1" t="s">
        <v>15083</v>
      </c>
      <c r="F23" s="1" t="s">
        <v>9173</v>
      </c>
      <c r="G23" s="1" t="s">
        <v>9173</v>
      </c>
      <c r="H23" s="1"/>
    </row>
    <row r="24" spans="1:8" x14ac:dyDescent="0.25">
      <c r="A24" s="1" t="s">
        <v>13</v>
      </c>
      <c r="B24" s="1" t="s">
        <v>8885</v>
      </c>
      <c r="C24" s="1" t="s">
        <v>8886</v>
      </c>
      <c r="D24" s="22" t="str">
        <f>HYPERLINK("https://rhld.insurance.arkansas.gov/NPILookup?Npi=1003873811","1003873811")</f>
        <v>1003873811</v>
      </c>
      <c r="E24" s="1" t="s">
        <v>15084</v>
      </c>
      <c r="F24" s="1" t="s">
        <v>9173</v>
      </c>
      <c r="G24" s="1" t="s">
        <v>9173</v>
      </c>
      <c r="H24" s="1"/>
    </row>
    <row r="25" spans="1:8" x14ac:dyDescent="0.25">
      <c r="A25" s="1"/>
      <c r="B25" s="1" t="s">
        <v>8885</v>
      </c>
      <c r="C25" s="1" t="s">
        <v>8886</v>
      </c>
      <c r="D25" s="22" t="str">
        <f>HYPERLINK("https://rhld.insurance.arkansas.gov/NPILookup?Npi=1003898313","1003898313")</f>
        <v>1003898313</v>
      </c>
      <c r="E25" s="1" t="s">
        <v>1161</v>
      </c>
      <c r="F25" s="1" t="s">
        <v>9173</v>
      </c>
      <c r="G25" s="1" t="s">
        <v>9173</v>
      </c>
      <c r="H25" s="1"/>
    </row>
    <row r="26" spans="1:8" x14ac:dyDescent="0.25">
      <c r="A26" s="1"/>
      <c r="B26" s="1" t="s">
        <v>8885</v>
      </c>
      <c r="C26" s="1" t="s">
        <v>8886</v>
      </c>
      <c r="D26" s="22" t="str">
        <f>HYPERLINK("https://rhld.insurance.arkansas.gov/NPILookup?Npi=1003968579","1003968579")</f>
        <v>1003968579</v>
      </c>
      <c r="E26" s="1" t="s">
        <v>15085</v>
      </c>
      <c r="F26" s="1" t="s">
        <v>9173</v>
      </c>
      <c r="G26" s="1" t="s">
        <v>9173</v>
      </c>
      <c r="H26" s="1"/>
    </row>
    <row r="27" spans="1:8" x14ac:dyDescent="0.25">
      <c r="A27" s="1"/>
      <c r="B27" s="1" t="s">
        <v>8885</v>
      </c>
      <c r="C27" s="1" t="s">
        <v>8886</v>
      </c>
      <c r="D27" s="22" t="str">
        <f>HYPERLINK("https://rhld.insurance.arkansas.gov/NPILookup?Npi=1003981549","1003981549")</f>
        <v>1003981549</v>
      </c>
      <c r="E27" s="1" t="s">
        <v>15086</v>
      </c>
      <c r="F27" s="1" t="s">
        <v>9173</v>
      </c>
      <c r="G27" s="1" t="s">
        <v>9173</v>
      </c>
      <c r="H27" s="1"/>
    </row>
    <row r="28" spans="1:8" x14ac:dyDescent="0.25">
      <c r="A28" s="1"/>
      <c r="B28" s="1" t="s">
        <v>8885</v>
      </c>
      <c r="C28" s="1" t="s">
        <v>8886</v>
      </c>
      <c r="D28" s="22" t="str">
        <f>HYPERLINK("https://rhld.insurance.arkansas.gov/NPILookup?Npi=1013119635","1013119635")</f>
        <v>1013119635</v>
      </c>
      <c r="E28" s="1" t="s">
        <v>700</v>
      </c>
      <c r="F28" s="1" t="s">
        <v>9173</v>
      </c>
      <c r="G28" s="1" t="s">
        <v>9173</v>
      </c>
      <c r="H28" s="1"/>
    </row>
    <row r="29" spans="1:8" x14ac:dyDescent="0.25">
      <c r="A29" s="1"/>
      <c r="B29" s="1" t="s">
        <v>8885</v>
      </c>
      <c r="C29" s="1" t="s">
        <v>8886</v>
      </c>
      <c r="D29" s="22" t="str">
        <f>HYPERLINK("https://rhld.insurance.arkansas.gov/NPILookup?Npi=1013127414","1013127414")</f>
        <v>1013127414</v>
      </c>
      <c r="E29" s="1" t="s">
        <v>15167</v>
      </c>
      <c r="F29" s="1" t="s">
        <v>9173</v>
      </c>
      <c r="G29" s="1" t="s">
        <v>9173</v>
      </c>
      <c r="H29" s="1"/>
    </row>
    <row r="30" spans="1:8" x14ac:dyDescent="0.25">
      <c r="A30" s="1"/>
      <c r="B30" s="1" t="s">
        <v>8885</v>
      </c>
      <c r="C30" s="1" t="s">
        <v>8886</v>
      </c>
      <c r="D30" s="22" t="str">
        <f>HYPERLINK("https://rhld.insurance.arkansas.gov/NPILookup?Npi=1023069028","1023069028")</f>
        <v>1023069028</v>
      </c>
      <c r="E30" s="1" t="s">
        <v>15087</v>
      </c>
      <c r="F30" s="1" t="s">
        <v>9173</v>
      </c>
      <c r="G30" s="1" t="s">
        <v>9173</v>
      </c>
      <c r="H30" s="1"/>
    </row>
    <row r="31" spans="1:8" x14ac:dyDescent="0.25">
      <c r="A31" s="1"/>
      <c r="B31" s="1" t="s">
        <v>8885</v>
      </c>
      <c r="C31" s="1" t="s">
        <v>8886</v>
      </c>
      <c r="D31" s="22" t="str">
        <f>HYPERLINK("https://rhld.insurance.arkansas.gov/NPILookup?Npi=1023398807","1023398807")</f>
        <v>1023398807</v>
      </c>
      <c r="E31" s="1" t="s">
        <v>15088</v>
      </c>
      <c r="F31" s="1" t="s">
        <v>9173</v>
      </c>
      <c r="G31" s="1" t="s">
        <v>9173</v>
      </c>
      <c r="H31" s="1"/>
    </row>
    <row r="32" spans="1:8" x14ac:dyDescent="0.25">
      <c r="A32" s="1"/>
      <c r="B32" s="1" t="s">
        <v>8885</v>
      </c>
      <c r="C32" s="1" t="s">
        <v>8886</v>
      </c>
      <c r="D32" s="22" t="str">
        <f>HYPERLINK("https://rhld.insurance.arkansas.gov/NPILookup?Npi=1033147921","1033147921")</f>
        <v>1033147921</v>
      </c>
      <c r="E32" s="1" t="s">
        <v>15089</v>
      </c>
      <c r="F32" s="1" t="s">
        <v>9173</v>
      </c>
      <c r="G32" s="1" t="s">
        <v>9173</v>
      </c>
      <c r="H32" s="1"/>
    </row>
    <row r="33" spans="1:8" x14ac:dyDescent="0.25">
      <c r="A33" s="1"/>
      <c r="B33" s="1" t="s">
        <v>8885</v>
      </c>
      <c r="C33" s="1" t="s">
        <v>8886</v>
      </c>
      <c r="D33" s="22" t="str">
        <f>HYPERLINK("https://rhld.insurance.arkansas.gov/NPILookup?Npi=1033160049","1033160049")</f>
        <v>1033160049</v>
      </c>
      <c r="E33" s="1" t="s">
        <v>972</v>
      </c>
      <c r="F33" s="1" t="s">
        <v>9173</v>
      </c>
      <c r="G33" s="1" t="s">
        <v>9173</v>
      </c>
      <c r="H33" s="1"/>
    </row>
    <row r="34" spans="1:8" x14ac:dyDescent="0.25">
      <c r="A34" s="1"/>
      <c r="B34" s="1" t="s">
        <v>8885</v>
      </c>
      <c r="C34" s="1" t="s">
        <v>8886</v>
      </c>
      <c r="D34" s="22" t="str">
        <f>HYPERLINK("https://rhld.insurance.arkansas.gov/NPILookup?Npi=1033163092","1033163092")</f>
        <v>1033163092</v>
      </c>
      <c r="E34" s="1" t="s">
        <v>15090</v>
      </c>
      <c r="F34" s="1" t="s">
        <v>9173</v>
      </c>
      <c r="G34" s="1" t="s">
        <v>9173</v>
      </c>
      <c r="H34" s="1"/>
    </row>
    <row r="35" spans="1:8" x14ac:dyDescent="0.25">
      <c r="A35" s="1"/>
      <c r="B35" s="1" t="s">
        <v>8885</v>
      </c>
      <c r="C35" s="1" t="s">
        <v>8886</v>
      </c>
      <c r="D35" s="22" t="str">
        <f>HYPERLINK("https://rhld.insurance.arkansas.gov/NPILookup?Npi=1033222922","1033222922")</f>
        <v>1033222922</v>
      </c>
      <c r="E35" s="1" t="s">
        <v>15091</v>
      </c>
      <c r="F35" s="1" t="s">
        <v>9173</v>
      </c>
      <c r="G35" s="1" t="s">
        <v>9173</v>
      </c>
      <c r="H35" s="1"/>
    </row>
    <row r="36" spans="1:8" x14ac:dyDescent="0.25">
      <c r="A36" s="1"/>
      <c r="B36" s="1" t="s">
        <v>8885</v>
      </c>
      <c r="C36" s="1" t="s">
        <v>8886</v>
      </c>
      <c r="D36" s="22" t="str">
        <f>HYPERLINK("https://rhld.insurance.arkansas.gov/NPILookup?Npi=1033313861","1033313861")</f>
        <v>1033313861</v>
      </c>
      <c r="E36" s="1" t="s">
        <v>15092</v>
      </c>
      <c r="F36" s="1" t="s">
        <v>9173</v>
      </c>
      <c r="G36" s="1" t="s">
        <v>9173</v>
      </c>
      <c r="H36" s="1"/>
    </row>
    <row r="37" spans="1:8" x14ac:dyDescent="0.25">
      <c r="A37" s="1"/>
      <c r="B37" s="1" t="s">
        <v>8885</v>
      </c>
      <c r="C37" s="1" t="s">
        <v>8886</v>
      </c>
      <c r="D37" s="22" t="str">
        <f>HYPERLINK("https://rhld.insurance.arkansas.gov/NPILookup?Npi=1033349501","1033349501")</f>
        <v>1033349501</v>
      </c>
      <c r="E37" s="1" t="s">
        <v>15118</v>
      </c>
      <c r="F37" s="1" t="s">
        <v>9173</v>
      </c>
      <c r="G37" s="1" t="s">
        <v>9173</v>
      </c>
      <c r="H37" s="1"/>
    </row>
    <row r="38" spans="1:8" x14ac:dyDescent="0.25">
      <c r="A38" s="1"/>
      <c r="B38" s="1" t="s">
        <v>8885</v>
      </c>
      <c r="C38" s="1" t="s">
        <v>8886</v>
      </c>
      <c r="D38" s="22" t="str">
        <f>HYPERLINK("https://rhld.insurance.arkansas.gov/NPILookup?Npi=1033568621","1033568621")</f>
        <v>1033568621</v>
      </c>
      <c r="E38" s="1" t="s">
        <v>15093</v>
      </c>
      <c r="F38" s="1" t="s">
        <v>9173</v>
      </c>
      <c r="G38" s="1" t="s">
        <v>9173</v>
      </c>
      <c r="H38" s="1"/>
    </row>
    <row r="39" spans="1:8" x14ac:dyDescent="0.25">
      <c r="A39" s="1"/>
      <c r="B39" s="1" t="s">
        <v>8885</v>
      </c>
      <c r="C39" s="1" t="s">
        <v>8886</v>
      </c>
      <c r="D39" s="22" t="str">
        <f>HYPERLINK("https://rhld.insurance.arkansas.gov/NPILookup?Npi=1043043524","1043043524")</f>
        <v>1043043524</v>
      </c>
      <c r="E39" s="1" t="s">
        <v>15094</v>
      </c>
      <c r="F39" s="1" t="s">
        <v>9173</v>
      </c>
      <c r="G39" s="1" t="s">
        <v>9173</v>
      </c>
      <c r="H39" s="1"/>
    </row>
    <row r="40" spans="1:8" x14ac:dyDescent="0.25">
      <c r="A40" s="1"/>
      <c r="B40" s="1" t="s">
        <v>8885</v>
      </c>
      <c r="C40" s="1" t="s">
        <v>8886</v>
      </c>
      <c r="D40" s="22" t="str">
        <f>HYPERLINK("https://rhld.insurance.arkansas.gov/NPILookup?Npi=1043240682","1043240682")</f>
        <v>1043240682</v>
      </c>
      <c r="E40" s="1" t="s">
        <v>15095</v>
      </c>
      <c r="F40" s="1" t="s">
        <v>9173</v>
      </c>
      <c r="G40" s="1" t="s">
        <v>9173</v>
      </c>
      <c r="H40" s="1"/>
    </row>
    <row r="41" spans="1:8" x14ac:dyDescent="0.25">
      <c r="A41" s="1"/>
      <c r="B41" s="1" t="s">
        <v>8885</v>
      </c>
      <c r="C41" s="1" t="s">
        <v>8886</v>
      </c>
      <c r="D41" s="22" t="str">
        <f>HYPERLINK("https://rhld.insurance.arkansas.gov/NPILookup?Npi=1043242159","1043242159")</f>
        <v>1043242159</v>
      </c>
      <c r="E41" s="1" t="s">
        <v>15096</v>
      </c>
      <c r="F41" s="1" t="s">
        <v>9173</v>
      </c>
      <c r="G41" s="1" t="s">
        <v>9173</v>
      </c>
      <c r="H41" s="1"/>
    </row>
    <row r="42" spans="1:8" x14ac:dyDescent="0.25">
      <c r="A42" s="1"/>
      <c r="B42" s="1" t="s">
        <v>8885</v>
      </c>
      <c r="C42" s="1" t="s">
        <v>8886</v>
      </c>
      <c r="D42" s="22" t="str">
        <f>HYPERLINK("https://rhld.insurance.arkansas.gov/NPILookup?Npi=1043336522","1043336522")</f>
        <v>1043336522</v>
      </c>
      <c r="E42" s="1" t="s">
        <v>15097</v>
      </c>
      <c r="F42" s="1" t="s">
        <v>9173</v>
      </c>
      <c r="G42" s="1" t="s">
        <v>9173</v>
      </c>
      <c r="H42" s="1"/>
    </row>
    <row r="43" spans="1:8" x14ac:dyDescent="0.25">
      <c r="A43" s="1"/>
      <c r="B43" s="1" t="s">
        <v>8885</v>
      </c>
      <c r="C43" s="1" t="s">
        <v>8886</v>
      </c>
      <c r="D43" s="22" t="str">
        <f>HYPERLINK("https://rhld.insurance.arkansas.gov/NPILookup?Npi=1053375576","1053375576")</f>
        <v>1053375576</v>
      </c>
      <c r="E43" s="1" t="s">
        <v>15098</v>
      </c>
      <c r="F43" s="1" t="s">
        <v>9173</v>
      </c>
      <c r="G43" s="1" t="s">
        <v>9173</v>
      </c>
      <c r="H43" s="1"/>
    </row>
    <row r="44" spans="1:8" x14ac:dyDescent="0.25">
      <c r="A44" s="1"/>
      <c r="B44" s="1" t="s">
        <v>8885</v>
      </c>
      <c r="C44" s="1" t="s">
        <v>8886</v>
      </c>
      <c r="D44" s="22" t="str">
        <f>HYPERLINK("https://rhld.insurance.arkansas.gov/NPILookup?Npi=1053382960","1053382960")</f>
        <v>1053382960</v>
      </c>
      <c r="E44" s="1" t="s">
        <v>15099</v>
      </c>
      <c r="F44" s="1" t="s">
        <v>9173</v>
      </c>
      <c r="G44" s="1" t="s">
        <v>9173</v>
      </c>
      <c r="H44" s="1"/>
    </row>
    <row r="45" spans="1:8" x14ac:dyDescent="0.25">
      <c r="A45" s="1"/>
      <c r="B45" s="1" t="s">
        <v>8885</v>
      </c>
      <c r="C45" s="1" t="s">
        <v>8886</v>
      </c>
      <c r="D45" s="22" t="str">
        <f>HYPERLINK("https://rhld.insurance.arkansas.gov/NPILookup?Npi=1053434829","1053434829")</f>
        <v>1053434829</v>
      </c>
      <c r="E45" s="1" t="s">
        <v>31307</v>
      </c>
      <c r="F45" s="1" t="s">
        <v>9173</v>
      </c>
      <c r="G45" s="1" t="s">
        <v>9173</v>
      </c>
      <c r="H45" s="1"/>
    </row>
    <row r="46" spans="1:8" x14ac:dyDescent="0.25">
      <c r="A46" s="1"/>
      <c r="B46" s="1" t="s">
        <v>8885</v>
      </c>
      <c r="C46" s="1" t="s">
        <v>8886</v>
      </c>
      <c r="D46" s="22" t="str">
        <f>HYPERLINK("https://rhld.insurance.arkansas.gov/NPILookup?Npi=1053554485","1053554485")</f>
        <v>1053554485</v>
      </c>
      <c r="E46" s="1" t="s">
        <v>661</v>
      </c>
      <c r="F46" s="1" t="s">
        <v>9173</v>
      </c>
      <c r="G46" s="1" t="s">
        <v>9173</v>
      </c>
      <c r="H46" s="1"/>
    </row>
    <row r="47" spans="1:8" x14ac:dyDescent="0.25">
      <c r="A47" s="1"/>
      <c r="B47" s="1" t="s">
        <v>8885</v>
      </c>
      <c r="C47" s="1" t="s">
        <v>8886</v>
      </c>
      <c r="D47" s="22" t="str">
        <f>HYPERLINK("https://rhld.insurance.arkansas.gov/NPILookup?Npi=1063411767","1063411767")</f>
        <v>1063411767</v>
      </c>
      <c r="E47" s="1" t="s">
        <v>15101</v>
      </c>
      <c r="F47" s="1" t="s">
        <v>9173</v>
      </c>
      <c r="G47" s="1" t="s">
        <v>9173</v>
      </c>
      <c r="H47" s="1"/>
    </row>
    <row r="48" spans="1:8" x14ac:dyDescent="0.25">
      <c r="A48" s="1"/>
      <c r="B48" s="1" t="s">
        <v>8885</v>
      </c>
      <c r="C48" s="1" t="s">
        <v>8886</v>
      </c>
      <c r="D48" s="22" t="str">
        <f>HYPERLINK("https://rhld.insurance.arkansas.gov/NPILookup?Npi=1063695120","1063695120")</f>
        <v>1063695120</v>
      </c>
      <c r="E48" s="1" t="s">
        <v>1563</v>
      </c>
      <c r="F48" s="1" t="s">
        <v>9173</v>
      </c>
      <c r="G48" s="1" t="s">
        <v>9173</v>
      </c>
      <c r="H48" s="1"/>
    </row>
    <row r="49" spans="1:8" x14ac:dyDescent="0.25">
      <c r="A49" s="1"/>
      <c r="B49" s="1" t="s">
        <v>8885</v>
      </c>
      <c r="C49" s="1" t="s">
        <v>8886</v>
      </c>
      <c r="D49" s="22" t="str">
        <f>HYPERLINK("https://rhld.insurance.arkansas.gov/NPILookup?Npi=1073504981","1073504981")</f>
        <v>1073504981</v>
      </c>
      <c r="E49" s="1" t="s">
        <v>15100</v>
      </c>
      <c r="F49" s="1" t="s">
        <v>9173</v>
      </c>
      <c r="G49" s="1" t="s">
        <v>9173</v>
      </c>
      <c r="H49" s="1"/>
    </row>
    <row r="50" spans="1:8" x14ac:dyDescent="0.25">
      <c r="A50" s="1"/>
      <c r="B50" s="1" t="s">
        <v>8885</v>
      </c>
      <c r="C50" s="1" t="s">
        <v>8886</v>
      </c>
      <c r="D50" s="22" t="str">
        <f>HYPERLINK("https://rhld.insurance.arkansas.gov/NPILookup?Npi=1073516019","1073516019")</f>
        <v>1073516019</v>
      </c>
      <c r="E50" s="1" t="s">
        <v>15102</v>
      </c>
      <c r="F50" s="1" t="s">
        <v>9173</v>
      </c>
      <c r="G50" s="1" t="s">
        <v>9173</v>
      </c>
      <c r="H50" s="1"/>
    </row>
    <row r="51" spans="1:8" x14ac:dyDescent="0.25">
      <c r="A51" s="1"/>
      <c r="B51" s="1" t="s">
        <v>8885</v>
      </c>
      <c r="C51" s="1" t="s">
        <v>8886</v>
      </c>
      <c r="D51" s="22" t="str">
        <f>HYPERLINK("https://rhld.insurance.arkansas.gov/NPILookup?Npi=1073703963","1073703963")</f>
        <v>1073703963</v>
      </c>
      <c r="E51" s="1" t="s">
        <v>15103</v>
      </c>
      <c r="F51" s="1" t="s">
        <v>9173</v>
      </c>
      <c r="G51" s="1" t="s">
        <v>9173</v>
      </c>
      <c r="H51" s="1"/>
    </row>
    <row r="52" spans="1:8" x14ac:dyDescent="0.25">
      <c r="A52" s="1"/>
      <c r="B52" s="1" t="s">
        <v>8885</v>
      </c>
      <c r="C52" s="1" t="s">
        <v>8886</v>
      </c>
      <c r="D52" s="22" t="str">
        <f>HYPERLINK("https://rhld.insurance.arkansas.gov/NPILookup?Npi=1083103980","1083103980")</f>
        <v>1083103980</v>
      </c>
      <c r="E52" s="1" t="s">
        <v>15104</v>
      </c>
      <c r="F52" s="1" t="s">
        <v>9173</v>
      </c>
      <c r="G52" s="1" t="s">
        <v>9173</v>
      </c>
      <c r="H52" s="1"/>
    </row>
    <row r="53" spans="1:8" x14ac:dyDescent="0.25">
      <c r="A53" s="1"/>
      <c r="B53" s="1" t="s">
        <v>8885</v>
      </c>
      <c r="C53" s="1" t="s">
        <v>8886</v>
      </c>
      <c r="D53" s="22" t="str">
        <f>HYPERLINK("https://rhld.insurance.arkansas.gov/NPILookup?Npi=1083301204","1083301204")</f>
        <v>1083301204</v>
      </c>
      <c r="E53" s="1" t="s">
        <v>15105</v>
      </c>
      <c r="F53" s="1" t="s">
        <v>9173</v>
      </c>
      <c r="G53" s="1" t="s">
        <v>9173</v>
      </c>
      <c r="H53" s="1"/>
    </row>
    <row r="54" spans="1:8" x14ac:dyDescent="0.25">
      <c r="A54" s="1"/>
      <c r="B54" s="1" t="s">
        <v>8885</v>
      </c>
      <c r="C54" s="1" t="s">
        <v>8886</v>
      </c>
      <c r="D54" s="22" t="str">
        <f>HYPERLINK("https://rhld.insurance.arkansas.gov/NPILookup?Npi=1083609150","1083609150")</f>
        <v>1083609150</v>
      </c>
      <c r="E54" s="1" t="s">
        <v>15106</v>
      </c>
      <c r="F54" s="1" t="s">
        <v>9173</v>
      </c>
      <c r="G54" s="1" t="s">
        <v>9173</v>
      </c>
      <c r="H54" s="1"/>
    </row>
    <row r="55" spans="1:8" x14ac:dyDescent="0.25">
      <c r="A55" s="1"/>
      <c r="B55" s="1" t="s">
        <v>8885</v>
      </c>
      <c r="C55" s="1" t="s">
        <v>8886</v>
      </c>
      <c r="D55" s="22" t="str">
        <f>HYPERLINK("https://rhld.insurance.arkansas.gov/NPILookup?Npi=1093705428","1093705428")</f>
        <v>1093705428</v>
      </c>
      <c r="E55" s="1" t="s">
        <v>15107</v>
      </c>
      <c r="F55" s="1" t="s">
        <v>9173</v>
      </c>
      <c r="G55" s="1" t="s">
        <v>9173</v>
      </c>
      <c r="H55" s="1"/>
    </row>
    <row r="56" spans="1:8" x14ac:dyDescent="0.25">
      <c r="A56" s="1"/>
      <c r="B56" s="1" t="s">
        <v>8885</v>
      </c>
      <c r="C56" s="1" t="s">
        <v>8886</v>
      </c>
      <c r="D56" s="22" t="str">
        <f>HYPERLINK("https://rhld.insurance.arkansas.gov/NPILookup?Npi=1093740128","1093740128")</f>
        <v>1093740128</v>
      </c>
      <c r="E56" s="1" t="s">
        <v>15108</v>
      </c>
      <c r="F56" s="1" t="s">
        <v>9173</v>
      </c>
      <c r="G56" s="1" t="s">
        <v>9173</v>
      </c>
      <c r="H56" s="1"/>
    </row>
    <row r="57" spans="1:8" x14ac:dyDescent="0.25">
      <c r="A57" s="1"/>
      <c r="B57" s="1" t="s">
        <v>8885</v>
      </c>
      <c r="C57" s="1" t="s">
        <v>8886</v>
      </c>
      <c r="D57" s="22" t="str">
        <f>HYPERLINK("https://rhld.insurance.arkansas.gov/NPILookup?Npi=1093801797","1093801797")</f>
        <v>1093801797</v>
      </c>
      <c r="E57" s="1" t="s">
        <v>15109</v>
      </c>
      <c r="F57" s="1" t="s">
        <v>9173</v>
      </c>
      <c r="G57" s="1" t="s">
        <v>9173</v>
      </c>
      <c r="H57" s="1"/>
    </row>
    <row r="58" spans="1:8" x14ac:dyDescent="0.25">
      <c r="A58" s="1"/>
      <c r="B58" s="1" t="s">
        <v>8885</v>
      </c>
      <c r="C58" s="1" t="s">
        <v>8886</v>
      </c>
      <c r="D58" s="22" t="str">
        <f>HYPERLINK("https://rhld.insurance.arkansas.gov/NPILookup?Npi=1104076264","1104076264")</f>
        <v>1104076264</v>
      </c>
      <c r="E58" s="1" t="s">
        <v>15110</v>
      </c>
      <c r="F58" s="1" t="s">
        <v>9173</v>
      </c>
      <c r="G58" s="1" t="s">
        <v>9173</v>
      </c>
      <c r="H58" s="1"/>
    </row>
    <row r="59" spans="1:8" x14ac:dyDescent="0.25">
      <c r="A59" s="1"/>
      <c r="B59" s="1" t="s">
        <v>8885</v>
      </c>
      <c r="C59" s="1" t="s">
        <v>8886</v>
      </c>
      <c r="D59" s="22" t="str">
        <f>HYPERLINK("https://rhld.insurance.arkansas.gov/NPILookup?Npi=1104178250","1104178250")</f>
        <v>1104178250</v>
      </c>
      <c r="E59" s="1" t="s">
        <v>660</v>
      </c>
      <c r="F59" s="1" t="s">
        <v>9173</v>
      </c>
      <c r="G59" s="1" t="s">
        <v>9173</v>
      </c>
      <c r="H59" s="1"/>
    </row>
    <row r="60" spans="1:8" x14ac:dyDescent="0.25">
      <c r="A60" s="1"/>
      <c r="B60" s="1" t="s">
        <v>8885</v>
      </c>
      <c r="C60" s="1" t="s">
        <v>8886</v>
      </c>
      <c r="D60" s="22" t="str">
        <f>HYPERLINK("https://rhld.insurance.arkansas.gov/NPILookup?Npi=1104949965","1104949965")</f>
        <v>1104949965</v>
      </c>
      <c r="E60" s="1" t="s">
        <v>15100</v>
      </c>
      <c r="F60" s="1" t="s">
        <v>9173</v>
      </c>
      <c r="G60" s="1" t="s">
        <v>9173</v>
      </c>
      <c r="H60" s="1"/>
    </row>
    <row r="61" spans="1:8" x14ac:dyDescent="0.25">
      <c r="A61" s="1"/>
      <c r="B61" s="1" t="s">
        <v>8885</v>
      </c>
      <c r="C61" s="1" t="s">
        <v>8886</v>
      </c>
      <c r="D61" s="22" t="str">
        <f>HYPERLINK("https://rhld.insurance.arkansas.gov/NPILookup?Npi=1104968916","1104968916")</f>
        <v>1104968916</v>
      </c>
      <c r="E61" s="1" t="s">
        <v>15111</v>
      </c>
      <c r="F61" s="1" t="s">
        <v>9173</v>
      </c>
      <c r="G61" s="1" t="s">
        <v>9173</v>
      </c>
      <c r="H61" s="1"/>
    </row>
    <row r="62" spans="1:8" x14ac:dyDescent="0.25">
      <c r="A62" s="1"/>
      <c r="B62" s="1" t="s">
        <v>8885</v>
      </c>
      <c r="C62" s="1" t="s">
        <v>8886</v>
      </c>
      <c r="D62" s="22" t="str">
        <f>HYPERLINK("https://rhld.insurance.arkansas.gov/NPILookup?Npi=1114903523","1114903523")</f>
        <v>1114903523</v>
      </c>
      <c r="E62" s="1" t="s">
        <v>2139</v>
      </c>
      <c r="F62" s="1" t="s">
        <v>9173</v>
      </c>
      <c r="G62" s="1" t="s">
        <v>9173</v>
      </c>
      <c r="H62" s="1"/>
    </row>
    <row r="63" spans="1:8" x14ac:dyDescent="0.25">
      <c r="A63" s="1"/>
      <c r="B63" s="1" t="s">
        <v>8885</v>
      </c>
      <c r="C63" s="1" t="s">
        <v>8886</v>
      </c>
      <c r="D63" s="22" t="str">
        <f>HYPERLINK("https://rhld.insurance.arkansas.gov/NPILookup?Npi=1114931342","1114931342")</f>
        <v>1114931342</v>
      </c>
      <c r="E63" s="1" t="s">
        <v>15112</v>
      </c>
      <c r="F63" s="1" t="s">
        <v>9173</v>
      </c>
      <c r="G63" s="1" t="s">
        <v>9173</v>
      </c>
      <c r="H63" s="1"/>
    </row>
    <row r="64" spans="1:8" x14ac:dyDescent="0.25">
      <c r="A64" s="1"/>
      <c r="B64" s="1" t="s">
        <v>8885</v>
      </c>
      <c r="C64" s="1" t="s">
        <v>8886</v>
      </c>
      <c r="D64" s="22" t="str">
        <f>HYPERLINK("https://rhld.insurance.arkansas.gov/NPILookup?Npi=1114981768","1114981768")</f>
        <v>1114981768</v>
      </c>
      <c r="E64" s="1" t="s">
        <v>15113</v>
      </c>
      <c r="F64" s="1" t="s">
        <v>9173</v>
      </c>
      <c r="G64" s="1" t="s">
        <v>9173</v>
      </c>
      <c r="H64" s="1"/>
    </row>
    <row r="65" spans="1:8" x14ac:dyDescent="0.25">
      <c r="A65" s="1"/>
      <c r="B65" s="1" t="s">
        <v>8885</v>
      </c>
      <c r="C65" s="1" t="s">
        <v>8886</v>
      </c>
      <c r="D65" s="22" t="str">
        <f>HYPERLINK("https://rhld.insurance.arkansas.gov/NPILookup?Npi=1124021811","1124021811")</f>
        <v>1124021811</v>
      </c>
      <c r="E65" s="1" t="s">
        <v>8888</v>
      </c>
      <c r="F65" s="1" t="s">
        <v>9173</v>
      </c>
      <c r="G65" s="1" t="s">
        <v>9173</v>
      </c>
      <c r="H65" s="1"/>
    </row>
    <row r="66" spans="1:8" x14ac:dyDescent="0.25">
      <c r="A66" s="1"/>
      <c r="B66" s="1" t="s">
        <v>8885</v>
      </c>
      <c r="C66" s="1" t="s">
        <v>8886</v>
      </c>
      <c r="D66" s="22" t="str">
        <f>HYPERLINK("https://rhld.insurance.arkansas.gov/NPILookup?Npi=1124092036","1124092036")</f>
        <v>1124092036</v>
      </c>
      <c r="E66" s="1" t="s">
        <v>15114</v>
      </c>
      <c r="F66" s="1" t="s">
        <v>9173</v>
      </c>
      <c r="G66" s="1" t="s">
        <v>9173</v>
      </c>
      <c r="H66" s="1"/>
    </row>
    <row r="67" spans="1:8" x14ac:dyDescent="0.25">
      <c r="A67" s="1"/>
      <c r="B67" s="1" t="s">
        <v>8885</v>
      </c>
      <c r="C67" s="1" t="s">
        <v>8886</v>
      </c>
      <c r="D67" s="22" t="str">
        <f>HYPERLINK("https://rhld.insurance.arkansas.gov/NPILookup?Npi=1124170691","1124170691")</f>
        <v>1124170691</v>
      </c>
      <c r="E67" s="1" t="s">
        <v>15115</v>
      </c>
      <c r="F67" s="1" t="s">
        <v>9173</v>
      </c>
      <c r="G67" s="1" t="s">
        <v>9173</v>
      </c>
      <c r="H67" s="1"/>
    </row>
    <row r="68" spans="1:8" x14ac:dyDescent="0.25">
      <c r="A68" s="1"/>
      <c r="B68" s="1" t="s">
        <v>8885</v>
      </c>
      <c r="C68" s="1" t="s">
        <v>8886</v>
      </c>
      <c r="D68" s="22" t="str">
        <f>HYPERLINK("https://rhld.insurance.arkansas.gov/NPILookup?Npi=1134116049","1134116049")</f>
        <v>1134116049</v>
      </c>
      <c r="E68" s="1" t="s">
        <v>15116</v>
      </c>
      <c r="F68" s="1" t="s">
        <v>9173</v>
      </c>
      <c r="G68" s="1" t="s">
        <v>9173</v>
      </c>
      <c r="H68" s="1"/>
    </row>
    <row r="69" spans="1:8" x14ac:dyDescent="0.25">
      <c r="A69" s="1"/>
      <c r="B69" s="1" t="s">
        <v>8885</v>
      </c>
      <c r="C69" s="1" t="s">
        <v>8886</v>
      </c>
      <c r="D69" s="22" t="str">
        <f>HYPERLINK("https://rhld.insurance.arkansas.gov/NPILookup?Npi=1134126659","1134126659")</f>
        <v>1134126659</v>
      </c>
      <c r="E69" s="1" t="s">
        <v>15117</v>
      </c>
      <c r="F69" s="1" t="s">
        <v>9173</v>
      </c>
      <c r="G69" s="1" t="s">
        <v>9173</v>
      </c>
      <c r="H69" s="1"/>
    </row>
    <row r="70" spans="1:8" x14ac:dyDescent="0.25">
      <c r="A70" s="1"/>
      <c r="B70" s="1" t="s">
        <v>8885</v>
      </c>
      <c r="C70" s="1" t="s">
        <v>8886</v>
      </c>
      <c r="D70" s="22" t="str">
        <f>HYPERLINK("https://rhld.insurance.arkansas.gov/NPILookup?Npi=1134329923","1134329923")</f>
        <v>1134329923</v>
      </c>
      <c r="E70" s="1" t="s">
        <v>15118</v>
      </c>
      <c r="F70" s="1" t="s">
        <v>9173</v>
      </c>
      <c r="G70" s="1" t="s">
        <v>9173</v>
      </c>
      <c r="H70" s="1"/>
    </row>
    <row r="71" spans="1:8" x14ac:dyDescent="0.25">
      <c r="A71" s="1"/>
      <c r="B71" s="1" t="s">
        <v>8885</v>
      </c>
      <c r="C71" s="1" t="s">
        <v>8886</v>
      </c>
      <c r="D71" s="22" t="str">
        <f>HYPERLINK("https://rhld.insurance.arkansas.gov/NPILookup?Npi=1134342595","1134342595")</f>
        <v>1134342595</v>
      </c>
      <c r="E71" s="1" t="s">
        <v>15100</v>
      </c>
      <c r="F71" s="1" t="s">
        <v>9173</v>
      </c>
      <c r="G71" s="1" t="s">
        <v>9173</v>
      </c>
      <c r="H71" s="1"/>
    </row>
    <row r="72" spans="1:8" x14ac:dyDescent="0.25">
      <c r="A72" s="1"/>
      <c r="B72" s="1" t="s">
        <v>8885</v>
      </c>
      <c r="C72" s="1" t="s">
        <v>8886</v>
      </c>
      <c r="D72" s="22" t="str">
        <f>HYPERLINK("https://rhld.insurance.arkansas.gov/NPILookup?Npi=1144213117","1144213117")</f>
        <v>1144213117</v>
      </c>
      <c r="E72" s="1" t="s">
        <v>1688</v>
      </c>
      <c r="F72" s="1" t="s">
        <v>9173</v>
      </c>
      <c r="G72" s="1" t="s">
        <v>9173</v>
      </c>
      <c r="H72" s="1"/>
    </row>
    <row r="73" spans="1:8" x14ac:dyDescent="0.25">
      <c r="A73" s="1"/>
      <c r="B73" s="1" t="s">
        <v>8885</v>
      </c>
      <c r="C73" s="1" t="s">
        <v>8886</v>
      </c>
      <c r="D73" s="22" t="str">
        <f>HYPERLINK("https://rhld.insurance.arkansas.gov/NPILookup?Npi=1144228487","1144228487")</f>
        <v>1144228487</v>
      </c>
      <c r="E73" s="1" t="s">
        <v>15119</v>
      </c>
      <c r="F73" s="1" t="s">
        <v>9173</v>
      </c>
      <c r="G73" s="1" t="s">
        <v>9173</v>
      </c>
      <c r="H73" s="1"/>
    </row>
    <row r="74" spans="1:8" x14ac:dyDescent="0.25">
      <c r="A74" s="1"/>
      <c r="B74" s="1" t="s">
        <v>8885</v>
      </c>
      <c r="C74" s="1" t="s">
        <v>8886</v>
      </c>
      <c r="D74" s="22" t="str">
        <f>HYPERLINK("https://rhld.insurance.arkansas.gov/NPILookup?Npi=1144231432","1144231432")</f>
        <v>1144231432</v>
      </c>
      <c r="E74" s="1" t="s">
        <v>15120</v>
      </c>
      <c r="F74" s="1" t="s">
        <v>9173</v>
      </c>
      <c r="G74" s="1" t="s">
        <v>9173</v>
      </c>
      <c r="H74" s="1"/>
    </row>
    <row r="75" spans="1:8" x14ac:dyDescent="0.25">
      <c r="A75" s="1"/>
      <c r="B75" s="1" t="s">
        <v>8885</v>
      </c>
      <c r="C75" s="1" t="s">
        <v>8886</v>
      </c>
      <c r="D75" s="22" t="str">
        <f>HYPERLINK("https://rhld.insurance.arkansas.gov/NPILookup?Npi=1154317527","1154317527")</f>
        <v>1154317527</v>
      </c>
      <c r="E75" s="1" t="s">
        <v>10231</v>
      </c>
      <c r="F75" s="1" t="s">
        <v>9173</v>
      </c>
      <c r="G75" s="1" t="s">
        <v>9173</v>
      </c>
      <c r="H75" s="1"/>
    </row>
    <row r="76" spans="1:8" x14ac:dyDescent="0.25">
      <c r="A76" s="1"/>
      <c r="B76" s="1" t="s">
        <v>8885</v>
      </c>
      <c r="C76" s="1" t="s">
        <v>8886</v>
      </c>
      <c r="D76" s="22" t="str">
        <f>HYPERLINK("https://rhld.insurance.arkansas.gov/NPILookup?Npi=1154417368","1154417368")</f>
        <v>1154417368</v>
      </c>
      <c r="E76" s="1" t="s">
        <v>15121</v>
      </c>
      <c r="F76" s="1" t="s">
        <v>9173</v>
      </c>
      <c r="G76" s="1" t="s">
        <v>9173</v>
      </c>
      <c r="H76" s="1"/>
    </row>
    <row r="77" spans="1:8" x14ac:dyDescent="0.25">
      <c r="A77" s="1"/>
      <c r="B77" s="1" t="s">
        <v>8885</v>
      </c>
      <c r="C77" s="1" t="s">
        <v>8886</v>
      </c>
      <c r="D77" s="22" t="str">
        <f>HYPERLINK("https://rhld.insurance.arkansas.gov/NPILookup?Npi=1154598605","1154598605")</f>
        <v>1154598605</v>
      </c>
      <c r="E77" s="1" t="s">
        <v>15122</v>
      </c>
      <c r="F77" s="1" t="s">
        <v>9173</v>
      </c>
      <c r="G77" s="1" t="s">
        <v>9173</v>
      </c>
      <c r="H77" s="1"/>
    </row>
    <row r="78" spans="1:8" x14ac:dyDescent="0.25">
      <c r="A78" s="1"/>
      <c r="B78" s="1" t="s">
        <v>8885</v>
      </c>
      <c r="C78" s="1" t="s">
        <v>8886</v>
      </c>
      <c r="D78" s="22" t="str">
        <f>HYPERLINK("https://rhld.insurance.arkansas.gov/NPILookup?Npi=1154807584","1154807584")</f>
        <v>1154807584</v>
      </c>
      <c r="E78" s="1" t="s">
        <v>3465</v>
      </c>
      <c r="F78" s="1" t="s">
        <v>9173</v>
      </c>
      <c r="G78" s="1" t="s">
        <v>9173</v>
      </c>
      <c r="H78" s="1"/>
    </row>
    <row r="79" spans="1:8" x14ac:dyDescent="0.25">
      <c r="A79" s="1"/>
      <c r="B79" s="1" t="s">
        <v>8885</v>
      </c>
      <c r="C79" s="1" t="s">
        <v>8886</v>
      </c>
      <c r="D79" s="22" t="str">
        <f>HYPERLINK("https://rhld.insurance.arkansas.gov/NPILookup?Npi=1174526529","1174526529")</f>
        <v>1174526529</v>
      </c>
      <c r="E79" s="1" t="s">
        <v>15123</v>
      </c>
      <c r="F79" s="1" t="s">
        <v>9173</v>
      </c>
      <c r="G79" s="1" t="s">
        <v>9173</v>
      </c>
      <c r="H79" s="1"/>
    </row>
    <row r="80" spans="1:8" x14ac:dyDescent="0.25">
      <c r="A80" s="1"/>
      <c r="B80" s="1" t="s">
        <v>8885</v>
      </c>
      <c r="C80" s="1" t="s">
        <v>8886</v>
      </c>
      <c r="D80" s="22" t="str">
        <f>HYPERLINK("https://rhld.insurance.arkansas.gov/NPILookup?Npi=1174587125","1174587125")</f>
        <v>1174587125</v>
      </c>
      <c r="E80" s="1" t="s">
        <v>15124</v>
      </c>
      <c r="F80" s="1" t="s">
        <v>9173</v>
      </c>
      <c r="G80" s="1" t="s">
        <v>9173</v>
      </c>
      <c r="H80" s="1"/>
    </row>
    <row r="81" spans="1:8" x14ac:dyDescent="0.25">
      <c r="A81" s="1"/>
      <c r="B81" s="1" t="s">
        <v>8885</v>
      </c>
      <c r="C81" s="1" t="s">
        <v>8886</v>
      </c>
      <c r="D81" s="22" t="str">
        <f>HYPERLINK("https://rhld.insurance.arkansas.gov/NPILookup?Npi=1174725972","1174725972")</f>
        <v>1174725972</v>
      </c>
      <c r="E81" s="1" t="s">
        <v>15118</v>
      </c>
      <c r="F81" s="1" t="s">
        <v>9173</v>
      </c>
      <c r="G81" s="1" t="s">
        <v>9173</v>
      </c>
      <c r="H81" s="1"/>
    </row>
    <row r="82" spans="1:8" x14ac:dyDescent="0.25">
      <c r="A82" s="1"/>
      <c r="B82" s="1" t="s">
        <v>8885</v>
      </c>
      <c r="C82" s="1" t="s">
        <v>8886</v>
      </c>
      <c r="D82" s="22" t="str">
        <f>HYPERLINK("https://rhld.insurance.arkansas.gov/NPILookup?Npi=1184679292","1184679292")</f>
        <v>1184679292</v>
      </c>
      <c r="E82" s="1" t="s">
        <v>9067</v>
      </c>
      <c r="F82" s="1" t="s">
        <v>9173</v>
      </c>
      <c r="G82" s="1" t="s">
        <v>9173</v>
      </c>
      <c r="H82" s="1"/>
    </row>
    <row r="83" spans="1:8" x14ac:dyDescent="0.25">
      <c r="A83" s="1"/>
      <c r="B83" s="1" t="s">
        <v>8885</v>
      </c>
      <c r="C83" s="1" t="s">
        <v>8886</v>
      </c>
      <c r="D83" s="22" t="str">
        <f>HYPERLINK("https://rhld.insurance.arkansas.gov/NPILookup?Npi=1194701516","1194701516")</f>
        <v>1194701516</v>
      </c>
      <c r="E83" s="1" t="s">
        <v>15122</v>
      </c>
      <c r="F83" s="1" t="s">
        <v>9173</v>
      </c>
      <c r="G83" s="1" t="s">
        <v>9173</v>
      </c>
      <c r="H83" s="1"/>
    </row>
    <row r="84" spans="1:8" x14ac:dyDescent="0.25">
      <c r="A84" s="1"/>
      <c r="B84" s="1" t="s">
        <v>8885</v>
      </c>
      <c r="C84" s="1" t="s">
        <v>8886</v>
      </c>
      <c r="D84" s="22" t="str">
        <f>HYPERLINK("https://rhld.insurance.arkansas.gov/NPILookup?Npi=1194750232","1194750232")</f>
        <v>1194750232</v>
      </c>
      <c r="E84" s="1" t="s">
        <v>15125</v>
      </c>
      <c r="F84" s="1" t="s">
        <v>9173</v>
      </c>
      <c r="G84" s="1" t="s">
        <v>9173</v>
      </c>
      <c r="H84" s="1"/>
    </row>
    <row r="85" spans="1:8" x14ac:dyDescent="0.25">
      <c r="A85" s="1"/>
      <c r="B85" s="1" t="s">
        <v>8885</v>
      </c>
      <c r="C85" s="1" t="s">
        <v>8886</v>
      </c>
      <c r="D85" s="22" t="str">
        <f>HYPERLINK("https://rhld.insurance.arkansas.gov/NPILookup?Npi=1194770404","1194770404")</f>
        <v>1194770404</v>
      </c>
      <c r="E85" s="1" t="s">
        <v>15126</v>
      </c>
      <c r="F85" s="1" t="s">
        <v>9173</v>
      </c>
      <c r="G85" s="1" t="s">
        <v>9173</v>
      </c>
      <c r="H85" s="1"/>
    </row>
    <row r="86" spans="1:8" x14ac:dyDescent="0.25">
      <c r="A86" s="1"/>
      <c r="B86" s="1" t="s">
        <v>8885</v>
      </c>
      <c r="C86" s="1" t="s">
        <v>8886</v>
      </c>
      <c r="D86" s="22" t="str">
        <f>HYPERLINK("https://rhld.insurance.arkansas.gov/NPILookup?Npi=1194789818","1194789818")</f>
        <v>1194789818</v>
      </c>
      <c r="E86" s="1" t="s">
        <v>15127</v>
      </c>
      <c r="F86" s="1" t="s">
        <v>9173</v>
      </c>
      <c r="G86" s="1" t="s">
        <v>9173</v>
      </c>
      <c r="H86" s="1"/>
    </row>
    <row r="87" spans="1:8" x14ac:dyDescent="0.25">
      <c r="A87" s="1"/>
      <c r="B87" s="1" t="s">
        <v>8885</v>
      </c>
      <c r="C87" s="1" t="s">
        <v>8886</v>
      </c>
      <c r="D87" s="22" t="str">
        <f>HYPERLINK("https://rhld.insurance.arkansas.gov/NPILookup?Npi=1205833241","1205833241")</f>
        <v>1205833241</v>
      </c>
      <c r="E87" s="1" t="s">
        <v>15128</v>
      </c>
      <c r="F87" s="1" t="s">
        <v>9173</v>
      </c>
      <c r="G87" s="1" t="s">
        <v>9173</v>
      </c>
      <c r="H87" s="1"/>
    </row>
    <row r="88" spans="1:8" x14ac:dyDescent="0.25">
      <c r="A88" s="1"/>
      <c r="B88" s="1" t="s">
        <v>8885</v>
      </c>
      <c r="C88" s="1" t="s">
        <v>8886</v>
      </c>
      <c r="D88" s="22" t="str">
        <f>HYPERLINK("https://rhld.insurance.arkansas.gov/NPILookup?Npi=1205846037","1205846037")</f>
        <v>1205846037</v>
      </c>
      <c r="E88" s="1" t="s">
        <v>15129</v>
      </c>
      <c r="F88" s="1" t="s">
        <v>9173</v>
      </c>
      <c r="G88" s="1" t="s">
        <v>9173</v>
      </c>
      <c r="H88" s="1"/>
    </row>
    <row r="89" spans="1:8" x14ac:dyDescent="0.25">
      <c r="A89" s="1"/>
      <c r="B89" s="1" t="s">
        <v>8885</v>
      </c>
      <c r="C89" s="1" t="s">
        <v>8886</v>
      </c>
      <c r="D89" s="22" t="str">
        <f>HYPERLINK("https://rhld.insurance.arkansas.gov/NPILookup?Npi=1205882669","1205882669")</f>
        <v>1205882669</v>
      </c>
      <c r="E89" s="1" t="s">
        <v>15130</v>
      </c>
      <c r="F89" s="1" t="s">
        <v>9173</v>
      </c>
      <c r="G89" s="1" t="s">
        <v>9173</v>
      </c>
      <c r="H89" s="1"/>
    </row>
    <row r="90" spans="1:8" x14ac:dyDescent="0.25">
      <c r="A90" s="1"/>
      <c r="B90" s="1" t="s">
        <v>8885</v>
      </c>
      <c r="C90" s="1" t="s">
        <v>8886</v>
      </c>
      <c r="D90" s="22" t="str">
        <f>HYPERLINK("https://rhld.insurance.arkansas.gov/NPILookup?Npi=1215914254","1215914254")</f>
        <v>1215914254</v>
      </c>
      <c r="E90" s="1" t="s">
        <v>15131</v>
      </c>
      <c r="F90" s="1" t="s">
        <v>9173</v>
      </c>
      <c r="G90" s="1" t="s">
        <v>9173</v>
      </c>
      <c r="H90" s="1"/>
    </row>
    <row r="91" spans="1:8" x14ac:dyDescent="0.25">
      <c r="A91" s="1"/>
      <c r="B91" s="1" t="s">
        <v>8885</v>
      </c>
      <c r="C91" s="1" t="s">
        <v>8886</v>
      </c>
      <c r="D91" s="22" t="str">
        <f>HYPERLINK("https://rhld.insurance.arkansas.gov/NPILookup?Npi=1215939210","1215939210")</f>
        <v>1215939210</v>
      </c>
      <c r="E91" s="1" t="s">
        <v>15132</v>
      </c>
      <c r="F91" s="1" t="s">
        <v>9173</v>
      </c>
      <c r="G91" s="1" t="s">
        <v>9173</v>
      </c>
      <c r="H91" s="1"/>
    </row>
    <row r="92" spans="1:8" x14ac:dyDescent="0.25">
      <c r="A92" s="1"/>
      <c r="B92" s="1" t="s">
        <v>8885</v>
      </c>
      <c r="C92" s="1" t="s">
        <v>8886</v>
      </c>
      <c r="D92" s="22" t="str">
        <f>HYPERLINK("https://rhld.insurance.arkansas.gov/NPILookup?Npi=1215981303","1215981303")</f>
        <v>1215981303</v>
      </c>
      <c r="E92" s="1" t="s">
        <v>15133</v>
      </c>
      <c r="F92" s="1" t="s">
        <v>9173</v>
      </c>
      <c r="G92" s="1" t="s">
        <v>9173</v>
      </c>
      <c r="H92" s="1"/>
    </row>
    <row r="93" spans="1:8" x14ac:dyDescent="0.25">
      <c r="A93" s="1"/>
      <c r="B93" s="1" t="s">
        <v>8885</v>
      </c>
      <c r="C93" s="1" t="s">
        <v>8886</v>
      </c>
      <c r="D93" s="22" t="str">
        <f>HYPERLINK("https://rhld.insurance.arkansas.gov/NPILookup?Npi=1235111071","1235111071")</f>
        <v>1235111071</v>
      </c>
      <c r="E93" s="1" t="s">
        <v>1563</v>
      </c>
      <c r="F93" s="1" t="s">
        <v>9173</v>
      </c>
      <c r="G93" s="1" t="s">
        <v>9173</v>
      </c>
      <c r="H93" s="1"/>
    </row>
    <row r="94" spans="1:8" x14ac:dyDescent="0.25">
      <c r="A94" s="1"/>
      <c r="B94" s="1" t="s">
        <v>8885</v>
      </c>
      <c r="C94" s="1" t="s">
        <v>8886</v>
      </c>
      <c r="D94" s="22" t="str">
        <f>HYPERLINK("https://rhld.insurance.arkansas.gov/NPILookup?Npi=1235252008","1235252008")</f>
        <v>1235252008</v>
      </c>
      <c r="E94" s="1" t="s">
        <v>15100</v>
      </c>
      <c r="F94" s="1" t="s">
        <v>9173</v>
      </c>
      <c r="G94" s="1" t="s">
        <v>9173</v>
      </c>
      <c r="H94" s="1"/>
    </row>
    <row r="95" spans="1:8" x14ac:dyDescent="0.25">
      <c r="A95" s="1"/>
      <c r="B95" s="1" t="s">
        <v>8885</v>
      </c>
      <c r="C95" s="1" t="s">
        <v>8886</v>
      </c>
      <c r="D95" s="22" t="str">
        <f>HYPERLINK("https://rhld.insurance.arkansas.gov/NPILookup?Npi=1235256884","1235256884")</f>
        <v>1235256884</v>
      </c>
      <c r="E95" s="1" t="s">
        <v>31308</v>
      </c>
      <c r="F95" s="1" t="s">
        <v>9173</v>
      </c>
      <c r="G95" s="1" t="s">
        <v>9173</v>
      </c>
      <c r="H95" s="1"/>
    </row>
    <row r="96" spans="1:8" x14ac:dyDescent="0.25">
      <c r="A96" s="1"/>
      <c r="B96" s="1" t="s">
        <v>8885</v>
      </c>
      <c r="C96" s="1" t="s">
        <v>8886</v>
      </c>
      <c r="D96" s="22" t="str">
        <f>HYPERLINK("https://rhld.insurance.arkansas.gov/NPILookup?Npi=1235666033","1235666033")</f>
        <v>1235666033</v>
      </c>
      <c r="E96" s="1" t="s">
        <v>2448</v>
      </c>
      <c r="F96" s="1" t="s">
        <v>9173</v>
      </c>
      <c r="G96" s="1" t="s">
        <v>9173</v>
      </c>
      <c r="H96" s="1"/>
    </row>
    <row r="97" spans="1:8" x14ac:dyDescent="0.25">
      <c r="A97" s="1"/>
      <c r="B97" s="1" t="s">
        <v>8885</v>
      </c>
      <c r="C97" s="1" t="s">
        <v>8886</v>
      </c>
      <c r="D97" s="22" t="str">
        <f>HYPERLINK("https://rhld.insurance.arkansas.gov/NPILookup?Npi=1245228915","1245228915")</f>
        <v>1245228915</v>
      </c>
      <c r="E97" s="1" t="s">
        <v>15134</v>
      </c>
      <c r="F97" s="1" t="s">
        <v>9173</v>
      </c>
      <c r="G97" s="1" t="s">
        <v>9173</v>
      </c>
      <c r="H97" s="1"/>
    </row>
    <row r="98" spans="1:8" x14ac:dyDescent="0.25">
      <c r="A98" s="1"/>
      <c r="B98" s="1" t="s">
        <v>8885</v>
      </c>
      <c r="C98" s="1" t="s">
        <v>8886</v>
      </c>
      <c r="D98" s="22" t="str">
        <f>HYPERLINK("https://rhld.insurance.arkansas.gov/NPILookup?Npi=1245284769","1245284769")</f>
        <v>1245284769</v>
      </c>
      <c r="E98" s="1" t="s">
        <v>1620</v>
      </c>
      <c r="F98" s="1" t="s">
        <v>9173</v>
      </c>
      <c r="G98" s="1" t="s">
        <v>9173</v>
      </c>
      <c r="H98" s="1"/>
    </row>
    <row r="99" spans="1:8" x14ac:dyDescent="0.25">
      <c r="A99" s="1"/>
      <c r="B99" s="1" t="s">
        <v>8885</v>
      </c>
      <c r="C99" s="1" t="s">
        <v>8886</v>
      </c>
      <c r="D99" s="22" t="str">
        <f>HYPERLINK("https://rhld.insurance.arkansas.gov/NPILookup?Npi=1245954460","1245954460")</f>
        <v>1245954460</v>
      </c>
      <c r="E99" s="1" t="s">
        <v>8892</v>
      </c>
      <c r="F99" s="1" t="s">
        <v>9173</v>
      </c>
      <c r="G99" s="1" t="s">
        <v>9173</v>
      </c>
      <c r="H99" s="1"/>
    </row>
    <row r="100" spans="1:8" x14ac:dyDescent="0.25">
      <c r="A100" s="1"/>
      <c r="B100" s="1" t="s">
        <v>8885</v>
      </c>
      <c r="C100" s="1" t="s">
        <v>8886</v>
      </c>
      <c r="D100" s="22" t="str">
        <f>HYPERLINK("https://rhld.insurance.arkansas.gov/NPILookup?Npi=1255302923","1255302923")</f>
        <v>1255302923</v>
      </c>
      <c r="E100" s="1" t="s">
        <v>15135</v>
      </c>
      <c r="F100" s="1" t="s">
        <v>9173</v>
      </c>
      <c r="G100" s="1" t="s">
        <v>9173</v>
      </c>
      <c r="H100" s="1"/>
    </row>
    <row r="101" spans="1:8" x14ac:dyDescent="0.25">
      <c r="A101" s="1"/>
      <c r="B101" s="1" t="s">
        <v>8885</v>
      </c>
      <c r="C101" s="1" t="s">
        <v>8886</v>
      </c>
      <c r="D101" s="22" t="str">
        <f>HYPERLINK("https://rhld.insurance.arkansas.gov/NPILookup?Npi=1255370144","1255370144")</f>
        <v>1255370144</v>
      </c>
      <c r="E101" s="1" t="s">
        <v>15136</v>
      </c>
      <c r="F101" s="1" t="s">
        <v>9173</v>
      </c>
      <c r="G101" s="1" t="s">
        <v>9173</v>
      </c>
      <c r="H101" s="1"/>
    </row>
    <row r="102" spans="1:8" x14ac:dyDescent="0.25">
      <c r="A102" s="1"/>
      <c r="B102" s="1" t="s">
        <v>8885</v>
      </c>
      <c r="C102" s="1" t="s">
        <v>8886</v>
      </c>
      <c r="D102" s="22" t="str">
        <f>HYPERLINK("https://rhld.insurance.arkansas.gov/NPILookup?Npi=1265430508","1265430508")</f>
        <v>1265430508</v>
      </c>
      <c r="E102" s="1" t="s">
        <v>15137</v>
      </c>
      <c r="F102" s="1" t="s">
        <v>9173</v>
      </c>
      <c r="G102" s="1" t="s">
        <v>9173</v>
      </c>
      <c r="H102" s="1"/>
    </row>
    <row r="103" spans="1:8" x14ac:dyDescent="0.25">
      <c r="A103" s="1"/>
      <c r="B103" s="1" t="s">
        <v>8885</v>
      </c>
      <c r="C103" s="1" t="s">
        <v>8886</v>
      </c>
      <c r="D103" s="22" t="str">
        <f>HYPERLINK("https://rhld.insurance.arkansas.gov/NPILookup?Npi=1265546048","1265546048")</f>
        <v>1265546048</v>
      </c>
      <c r="E103" s="1" t="s">
        <v>15138</v>
      </c>
      <c r="F103" s="1" t="s">
        <v>9173</v>
      </c>
      <c r="G103" s="1" t="s">
        <v>9173</v>
      </c>
      <c r="H103" s="1"/>
    </row>
    <row r="104" spans="1:8" x14ac:dyDescent="0.25">
      <c r="A104" s="1"/>
      <c r="B104" s="1" t="s">
        <v>8885</v>
      </c>
      <c r="C104" s="1" t="s">
        <v>8886</v>
      </c>
      <c r="D104" s="22" t="str">
        <f>HYPERLINK("https://rhld.insurance.arkansas.gov/NPILookup?Npi=1275217606","1275217606")</f>
        <v>1275217606</v>
      </c>
      <c r="E104" s="1" t="s">
        <v>15139</v>
      </c>
      <c r="F104" s="1" t="s">
        <v>9173</v>
      </c>
      <c r="G104" s="1" t="s">
        <v>9173</v>
      </c>
      <c r="H104" s="1"/>
    </row>
    <row r="105" spans="1:8" x14ac:dyDescent="0.25">
      <c r="A105" s="1"/>
      <c r="B105" s="1" t="s">
        <v>8885</v>
      </c>
      <c r="C105" s="1" t="s">
        <v>8886</v>
      </c>
      <c r="D105" s="22" t="str">
        <f>HYPERLINK("https://rhld.insurance.arkansas.gov/NPILookup?Npi=1275505372","1275505372")</f>
        <v>1275505372</v>
      </c>
      <c r="E105" s="1" t="s">
        <v>15140</v>
      </c>
      <c r="F105" s="1" t="s">
        <v>9173</v>
      </c>
      <c r="G105" s="1" t="s">
        <v>9173</v>
      </c>
      <c r="H105" s="1"/>
    </row>
    <row r="106" spans="1:8" x14ac:dyDescent="0.25">
      <c r="A106" s="1"/>
      <c r="B106" s="1" t="s">
        <v>8885</v>
      </c>
      <c r="C106" s="1" t="s">
        <v>8886</v>
      </c>
      <c r="D106" s="22" t="str">
        <f>HYPERLINK("https://rhld.insurance.arkansas.gov/NPILookup?Npi=1275506115","1275506115")</f>
        <v>1275506115</v>
      </c>
      <c r="E106" s="1" t="s">
        <v>1277</v>
      </c>
      <c r="F106" s="1" t="s">
        <v>9173</v>
      </c>
      <c r="G106" s="1" t="s">
        <v>9173</v>
      </c>
      <c r="H106" s="1"/>
    </row>
    <row r="107" spans="1:8" x14ac:dyDescent="0.25">
      <c r="A107" s="1"/>
      <c r="B107" s="1" t="s">
        <v>8885</v>
      </c>
      <c r="C107" s="1" t="s">
        <v>8886</v>
      </c>
      <c r="D107" s="22" t="str">
        <f>HYPERLINK("https://rhld.insurance.arkansas.gov/NPILookup?Npi=1275523912","1275523912")</f>
        <v>1275523912</v>
      </c>
      <c r="E107" s="1" t="s">
        <v>15141</v>
      </c>
      <c r="F107" s="1" t="s">
        <v>9173</v>
      </c>
      <c r="G107" s="1" t="s">
        <v>9173</v>
      </c>
      <c r="H107" s="1"/>
    </row>
    <row r="108" spans="1:8" x14ac:dyDescent="0.25">
      <c r="A108" s="1"/>
      <c r="B108" s="1" t="s">
        <v>8885</v>
      </c>
      <c r="C108" s="1" t="s">
        <v>8886</v>
      </c>
      <c r="D108" s="22" t="str">
        <f>HYPERLINK("https://rhld.insurance.arkansas.gov/NPILookup?Npi=1275685539","1275685539")</f>
        <v>1275685539</v>
      </c>
      <c r="E108" s="1" t="s">
        <v>15142</v>
      </c>
      <c r="F108" s="1" t="s">
        <v>9173</v>
      </c>
      <c r="G108" s="1" t="s">
        <v>9173</v>
      </c>
      <c r="H108" s="1"/>
    </row>
    <row r="109" spans="1:8" x14ac:dyDescent="0.25">
      <c r="A109" s="1"/>
      <c r="B109" s="1" t="s">
        <v>8885</v>
      </c>
      <c r="C109" s="1" t="s">
        <v>8886</v>
      </c>
      <c r="D109" s="22" t="str">
        <f>HYPERLINK("https://rhld.insurance.arkansas.gov/NPILookup?Npi=1285005140","1285005140")</f>
        <v>1285005140</v>
      </c>
      <c r="E109" s="1" t="s">
        <v>3572</v>
      </c>
      <c r="F109" s="1" t="s">
        <v>9173</v>
      </c>
      <c r="G109" s="1" t="s">
        <v>9173</v>
      </c>
      <c r="H109" s="1"/>
    </row>
    <row r="110" spans="1:8" x14ac:dyDescent="0.25">
      <c r="A110" s="1"/>
      <c r="B110" s="1" t="s">
        <v>8885</v>
      </c>
      <c r="C110" s="1" t="s">
        <v>8886</v>
      </c>
      <c r="D110" s="22" t="str">
        <f>HYPERLINK("https://rhld.insurance.arkansas.gov/NPILookup?Npi=1285280057","1285280057")</f>
        <v>1285280057</v>
      </c>
      <c r="E110" s="1" t="s">
        <v>15143</v>
      </c>
      <c r="F110" s="1" t="s">
        <v>9173</v>
      </c>
      <c r="G110" s="1" t="s">
        <v>9173</v>
      </c>
      <c r="H110" s="1"/>
    </row>
    <row r="111" spans="1:8" x14ac:dyDescent="0.25">
      <c r="A111" s="1"/>
      <c r="B111" s="1" t="s">
        <v>8885</v>
      </c>
      <c r="C111" s="1" t="s">
        <v>8886</v>
      </c>
      <c r="D111" s="22" t="str">
        <f>HYPERLINK("https://rhld.insurance.arkansas.gov/NPILookup?Npi=1285641258","1285641258")</f>
        <v>1285641258</v>
      </c>
      <c r="E111" s="1" t="s">
        <v>15144</v>
      </c>
      <c r="F111" s="1" t="s">
        <v>9173</v>
      </c>
      <c r="G111" s="1" t="s">
        <v>9173</v>
      </c>
      <c r="H111" s="1"/>
    </row>
    <row r="112" spans="1:8" x14ac:dyDescent="0.25">
      <c r="A112" s="1"/>
      <c r="B112" s="1" t="s">
        <v>8885</v>
      </c>
      <c r="C112" s="1" t="s">
        <v>8886</v>
      </c>
      <c r="D112" s="22" t="str">
        <f>HYPERLINK("https://rhld.insurance.arkansas.gov/NPILookup?Npi=1285765107","1285765107")</f>
        <v>1285765107</v>
      </c>
      <c r="E112" s="1" t="s">
        <v>15134</v>
      </c>
      <c r="F112" s="1" t="s">
        <v>9173</v>
      </c>
      <c r="G112" s="1" t="s">
        <v>9173</v>
      </c>
      <c r="H112" s="1"/>
    </row>
    <row r="113" spans="1:8" x14ac:dyDescent="0.25">
      <c r="A113" s="1"/>
      <c r="B113" s="1" t="s">
        <v>8885</v>
      </c>
      <c r="C113" s="1" t="s">
        <v>8886</v>
      </c>
      <c r="D113" s="22" t="str">
        <f>HYPERLINK("https://rhld.insurance.arkansas.gov/NPILookup?Npi=1295723229","1295723229")</f>
        <v>1295723229</v>
      </c>
      <c r="E113" s="1" t="s">
        <v>15145</v>
      </c>
      <c r="F113" s="1" t="s">
        <v>9173</v>
      </c>
      <c r="G113" s="1" t="s">
        <v>9173</v>
      </c>
      <c r="H113" s="1"/>
    </row>
    <row r="114" spans="1:8" x14ac:dyDescent="0.25">
      <c r="A114" s="1"/>
      <c r="B114" s="1" t="s">
        <v>8885</v>
      </c>
      <c r="C114" s="1" t="s">
        <v>8886</v>
      </c>
      <c r="D114" s="22" t="str">
        <f>HYPERLINK("https://rhld.insurance.arkansas.gov/NPILookup?Npi=1295736734","1295736734")</f>
        <v>1295736734</v>
      </c>
      <c r="E114" s="1" t="s">
        <v>8894</v>
      </c>
      <c r="F114" s="1" t="s">
        <v>9173</v>
      </c>
      <c r="G114" s="1" t="s">
        <v>9173</v>
      </c>
      <c r="H114" s="1"/>
    </row>
    <row r="115" spans="1:8" x14ac:dyDescent="0.25">
      <c r="A115" s="1"/>
      <c r="B115" s="1" t="s">
        <v>8885</v>
      </c>
      <c r="C115" s="1" t="s">
        <v>8886</v>
      </c>
      <c r="D115" s="22" t="str">
        <f>HYPERLINK("https://rhld.insurance.arkansas.gov/NPILookup?Npi=1295821775","1295821775")</f>
        <v>1295821775</v>
      </c>
      <c r="E115" s="1" t="s">
        <v>15146</v>
      </c>
      <c r="F115" s="1" t="s">
        <v>9173</v>
      </c>
      <c r="G115" s="1" t="s">
        <v>9173</v>
      </c>
      <c r="H115" s="1"/>
    </row>
    <row r="116" spans="1:8" x14ac:dyDescent="0.25">
      <c r="A116" s="1"/>
      <c r="B116" s="1" t="s">
        <v>8885</v>
      </c>
      <c r="C116" s="1" t="s">
        <v>8886</v>
      </c>
      <c r="D116" s="22" t="str">
        <f>HYPERLINK("https://rhld.insurance.arkansas.gov/NPILookup?Npi=1306182563","1306182563")</f>
        <v>1306182563</v>
      </c>
      <c r="E116" s="1" t="s">
        <v>31309</v>
      </c>
      <c r="F116" s="1" t="s">
        <v>9173</v>
      </c>
      <c r="G116" s="1" t="s">
        <v>9173</v>
      </c>
      <c r="H116" s="1"/>
    </row>
    <row r="117" spans="1:8" x14ac:dyDescent="0.25">
      <c r="A117" s="1"/>
      <c r="B117" s="1" t="s">
        <v>8885</v>
      </c>
      <c r="C117" s="1" t="s">
        <v>8886</v>
      </c>
      <c r="D117" s="22" t="str">
        <f>HYPERLINK("https://rhld.insurance.arkansas.gov/NPILookup?Npi=1306865761","1306865761")</f>
        <v>1306865761</v>
      </c>
      <c r="E117" s="1" t="s">
        <v>15147</v>
      </c>
      <c r="F117" s="1" t="s">
        <v>9173</v>
      </c>
      <c r="G117" s="1" t="s">
        <v>9173</v>
      </c>
      <c r="H117" s="1"/>
    </row>
    <row r="118" spans="1:8" x14ac:dyDescent="0.25">
      <c r="A118" s="1"/>
      <c r="B118" s="1" t="s">
        <v>8885</v>
      </c>
      <c r="C118" s="1" t="s">
        <v>8886</v>
      </c>
      <c r="D118" s="22" t="str">
        <f>HYPERLINK("https://rhld.insurance.arkansas.gov/NPILookup?Npi=1306876065","1306876065")</f>
        <v>1306876065</v>
      </c>
      <c r="E118" s="1" t="s">
        <v>15148</v>
      </c>
      <c r="F118" s="1" t="s">
        <v>9173</v>
      </c>
      <c r="G118" s="1" t="s">
        <v>9173</v>
      </c>
      <c r="H118" s="1"/>
    </row>
    <row r="119" spans="1:8" x14ac:dyDescent="0.25">
      <c r="A119" s="1"/>
      <c r="B119" s="1" t="s">
        <v>8885</v>
      </c>
      <c r="C119" s="1" t="s">
        <v>8886</v>
      </c>
      <c r="D119" s="22" t="str">
        <f>HYPERLINK("https://rhld.insurance.arkansas.gov/NPILookup?Npi=1306886866","1306886866")</f>
        <v>1306886866</v>
      </c>
      <c r="E119" s="1" t="s">
        <v>31310</v>
      </c>
      <c r="F119" s="1" t="s">
        <v>9173</v>
      </c>
      <c r="G119" s="1" t="s">
        <v>9173</v>
      </c>
      <c r="H119" s="1"/>
    </row>
    <row r="120" spans="1:8" x14ac:dyDescent="0.25">
      <c r="A120" s="1"/>
      <c r="B120" s="1" t="s">
        <v>8885</v>
      </c>
      <c r="C120" s="1" t="s">
        <v>8886</v>
      </c>
      <c r="D120" s="22" t="str">
        <f>HYPERLINK("https://rhld.insurance.arkansas.gov/NPILookup?Npi=1306897574","1306897574")</f>
        <v>1306897574</v>
      </c>
      <c r="E120" s="1" t="s">
        <v>15149</v>
      </c>
      <c r="F120" s="1" t="s">
        <v>9173</v>
      </c>
      <c r="G120" s="1" t="s">
        <v>9173</v>
      </c>
      <c r="H120" s="1"/>
    </row>
    <row r="121" spans="1:8" x14ac:dyDescent="0.25">
      <c r="A121" s="1"/>
      <c r="B121" s="1" t="s">
        <v>8885</v>
      </c>
      <c r="C121" s="1" t="s">
        <v>8886</v>
      </c>
      <c r="D121" s="22" t="str">
        <f>HYPERLINK("https://rhld.insurance.arkansas.gov/NPILookup?Npi=1306921747","1306921747")</f>
        <v>1306921747</v>
      </c>
      <c r="E121" s="1" t="s">
        <v>15150</v>
      </c>
      <c r="F121" s="1" t="s">
        <v>9173</v>
      </c>
      <c r="G121" s="1" t="s">
        <v>9173</v>
      </c>
      <c r="H121" s="1"/>
    </row>
    <row r="122" spans="1:8" x14ac:dyDescent="0.25">
      <c r="A122" s="1"/>
      <c r="B122" s="1" t="s">
        <v>8885</v>
      </c>
      <c r="C122" s="1" t="s">
        <v>8886</v>
      </c>
      <c r="D122" s="22" t="str">
        <f>HYPERLINK("https://rhld.insurance.arkansas.gov/NPILookup?Npi=1306921887","1306921887")</f>
        <v>1306921887</v>
      </c>
      <c r="E122" s="1" t="s">
        <v>2292</v>
      </c>
      <c r="F122" s="1" t="s">
        <v>9173</v>
      </c>
      <c r="G122" s="1" t="s">
        <v>9173</v>
      </c>
      <c r="H122" s="1"/>
    </row>
    <row r="123" spans="1:8" x14ac:dyDescent="0.25">
      <c r="A123" s="1"/>
      <c r="B123" s="1" t="s">
        <v>8885</v>
      </c>
      <c r="C123" s="1" t="s">
        <v>8886</v>
      </c>
      <c r="D123" s="22" t="str">
        <f>HYPERLINK("https://rhld.insurance.arkansas.gov/NPILookup?Npi=1316180748","1316180748")</f>
        <v>1316180748</v>
      </c>
      <c r="E123" s="1" t="s">
        <v>661</v>
      </c>
      <c r="F123" s="1" t="s">
        <v>9173</v>
      </c>
      <c r="G123" s="1" t="s">
        <v>9173</v>
      </c>
      <c r="H123" s="1"/>
    </row>
    <row r="124" spans="1:8" x14ac:dyDescent="0.25">
      <c r="A124" s="1"/>
      <c r="B124" s="1" t="s">
        <v>8885</v>
      </c>
      <c r="C124" s="1" t="s">
        <v>8886</v>
      </c>
      <c r="D124" s="22" t="str">
        <f>HYPERLINK("https://rhld.insurance.arkansas.gov/NPILookup?Npi=1316252695","1316252695")</f>
        <v>1316252695</v>
      </c>
      <c r="E124" s="1" t="s">
        <v>31311</v>
      </c>
      <c r="F124" s="1" t="s">
        <v>9173</v>
      </c>
      <c r="G124" s="1" t="s">
        <v>9173</v>
      </c>
      <c r="H124" s="1"/>
    </row>
    <row r="125" spans="1:8" x14ac:dyDescent="0.25">
      <c r="A125" s="1"/>
      <c r="B125" s="1" t="s">
        <v>8885</v>
      </c>
      <c r="C125" s="1" t="s">
        <v>8886</v>
      </c>
      <c r="D125" s="22" t="str">
        <f>HYPERLINK("https://rhld.insurance.arkansas.gov/NPILookup?Npi=1316901937","1316901937")</f>
        <v>1316901937</v>
      </c>
      <c r="E125" s="1" t="s">
        <v>15152</v>
      </c>
      <c r="F125" s="1" t="s">
        <v>9173</v>
      </c>
      <c r="G125" s="1" t="s">
        <v>9173</v>
      </c>
      <c r="H125" s="1"/>
    </row>
    <row r="126" spans="1:8" x14ac:dyDescent="0.25">
      <c r="A126" s="1"/>
      <c r="B126" s="1" t="s">
        <v>8885</v>
      </c>
      <c r="C126" s="1" t="s">
        <v>8886</v>
      </c>
      <c r="D126" s="22" t="str">
        <f>HYPERLINK("https://rhld.insurance.arkansas.gov/NPILookup?Npi=1316902414","1316902414")</f>
        <v>1316902414</v>
      </c>
      <c r="E126" s="1" t="s">
        <v>15153</v>
      </c>
      <c r="F126" s="1" t="s">
        <v>9173</v>
      </c>
      <c r="G126" s="1" t="s">
        <v>9173</v>
      </c>
      <c r="H126" s="1"/>
    </row>
    <row r="127" spans="1:8" x14ac:dyDescent="0.25">
      <c r="A127" s="1"/>
      <c r="B127" s="1" t="s">
        <v>8885</v>
      </c>
      <c r="C127" s="1" t="s">
        <v>8886</v>
      </c>
      <c r="D127" s="22" t="str">
        <f>HYPERLINK("https://rhld.insurance.arkansas.gov/NPILookup?Npi=1316940034","1316940034")</f>
        <v>1316940034</v>
      </c>
      <c r="E127" s="1" t="s">
        <v>15154</v>
      </c>
      <c r="F127" s="1" t="s">
        <v>9173</v>
      </c>
      <c r="G127" s="1" t="s">
        <v>9173</v>
      </c>
      <c r="H127" s="1"/>
    </row>
    <row r="128" spans="1:8" x14ac:dyDescent="0.25">
      <c r="A128" s="1"/>
      <c r="B128" s="1" t="s">
        <v>8885</v>
      </c>
      <c r="C128" s="1" t="s">
        <v>8886</v>
      </c>
      <c r="D128" s="22" t="str">
        <f>HYPERLINK("https://rhld.insurance.arkansas.gov/NPILookup?Npi=1326109505","1326109505")</f>
        <v>1326109505</v>
      </c>
      <c r="E128" s="1" t="s">
        <v>31312</v>
      </c>
      <c r="F128" s="1" t="s">
        <v>9173</v>
      </c>
      <c r="G128" s="1" t="s">
        <v>9173</v>
      </c>
      <c r="H128" s="1"/>
    </row>
    <row r="129" spans="1:8" x14ac:dyDescent="0.25">
      <c r="A129" s="1"/>
      <c r="B129" s="1" t="s">
        <v>8885</v>
      </c>
      <c r="C129" s="1" t="s">
        <v>8886</v>
      </c>
      <c r="D129" s="22" t="str">
        <f>HYPERLINK("https://rhld.insurance.arkansas.gov/NPILookup?Npi=1326546797","1326546797")</f>
        <v>1326546797</v>
      </c>
      <c r="E129" s="1" t="s">
        <v>15156</v>
      </c>
      <c r="F129" s="1" t="s">
        <v>9173</v>
      </c>
      <c r="G129" s="1" t="s">
        <v>9173</v>
      </c>
      <c r="H129" s="1"/>
    </row>
    <row r="130" spans="1:8" x14ac:dyDescent="0.25">
      <c r="A130" s="1"/>
      <c r="B130" s="1" t="s">
        <v>8885</v>
      </c>
      <c r="C130" s="1" t="s">
        <v>8886</v>
      </c>
      <c r="D130" s="22" t="str">
        <f>HYPERLINK("https://rhld.insurance.arkansas.gov/NPILookup?Npi=1336150374","1336150374")</f>
        <v>1336150374</v>
      </c>
      <c r="E130" s="1" t="s">
        <v>1543</v>
      </c>
      <c r="F130" s="1" t="s">
        <v>9173</v>
      </c>
      <c r="G130" s="1" t="s">
        <v>9173</v>
      </c>
      <c r="H130" s="1"/>
    </row>
    <row r="131" spans="1:8" x14ac:dyDescent="0.25">
      <c r="A131" s="1"/>
      <c r="B131" s="1" t="s">
        <v>8885</v>
      </c>
      <c r="C131" s="1" t="s">
        <v>8886</v>
      </c>
      <c r="D131" s="22" t="str">
        <f>HYPERLINK("https://rhld.insurance.arkansas.gov/NPILookup?Npi=1346244126","1346244126")</f>
        <v>1346244126</v>
      </c>
      <c r="E131" s="1" t="s">
        <v>15151</v>
      </c>
      <c r="F131" s="1" t="s">
        <v>9173</v>
      </c>
      <c r="G131" s="1" t="s">
        <v>9173</v>
      </c>
      <c r="H131" s="1"/>
    </row>
    <row r="132" spans="1:8" x14ac:dyDescent="0.25">
      <c r="A132" s="1"/>
      <c r="B132" s="1" t="s">
        <v>8885</v>
      </c>
      <c r="C132" s="1" t="s">
        <v>8886</v>
      </c>
      <c r="D132" s="22" t="str">
        <f>HYPERLINK("https://rhld.insurance.arkansas.gov/NPILookup?Npi=1346301306","1346301306")</f>
        <v>1346301306</v>
      </c>
      <c r="E132" s="1" t="s">
        <v>9627</v>
      </c>
      <c r="F132" s="1" t="s">
        <v>9173</v>
      </c>
      <c r="G132" s="1" t="s">
        <v>9173</v>
      </c>
      <c r="H132" s="1"/>
    </row>
    <row r="133" spans="1:8" x14ac:dyDescent="0.25">
      <c r="A133" s="1"/>
      <c r="B133" s="1" t="s">
        <v>8885</v>
      </c>
      <c r="C133" s="1" t="s">
        <v>8886</v>
      </c>
      <c r="D133" s="22" t="str">
        <f>HYPERLINK("https://rhld.insurance.arkansas.gov/NPILookup?Npi=1346450749","1346450749")</f>
        <v>1346450749</v>
      </c>
      <c r="E133" s="1" t="s">
        <v>15157</v>
      </c>
      <c r="F133" s="1" t="s">
        <v>9173</v>
      </c>
      <c r="G133" s="1" t="s">
        <v>9173</v>
      </c>
      <c r="H133" s="1"/>
    </row>
    <row r="134" spans="1:8" x14ac:dyDescent="0.25">
      <c r="A134" s="1"/>
      <c r="B134" s="1" t="s">
        <v>8885</v>
      </c>
      <c r="C134" s="1" t="s">
        <v>8886</v>
      </c>
      <c r="D134" s="22" t="str">
        <f>HYPERLINK("https://rhld.insurance.arkansas.gov/NPILookup?Npi=1356402226","1356402226")</f>
        <v>1356402226</v>
      </c>
      <c r="E134" s="1" t="s">
        <v>15158</v>
      </c>
      <c r="F134" s="1" t="s">
        <v>9173</v>
      </c>
      <c r="G134" s="1" t="s">
        <v>9173</v>
      </c>
      <c r="H134" s="1"/>
    </row>
    <row r="135" spans="1:8" x14ac:dyDescent="0.25">
      <c r="A135" s="1"/>
      <c r="B135" s="1" t="s">
        <v>8885</v>
      </c>
      <c r="C135" s="1" t="s">
        <v>8886</v>
      </c>
      <c r="D135" s="22" t="str">
        <f>HYPERLINK("https://rhld.insurance.arkansas.gov/NPILookup?Npi=1356536775","1356536775")</f>
        <v>1356536775</v>
      </c>
      <c r="E135" s="1" t="s">
        <v>15159</v>
      </c>
      <c r="F135" s="1" t="s">
        <v>9173</v>
      </c>
      <c r="G135" s="1" t="s">
        <v>9173</v>
      </c>
      <c r="H135" s="1"/>
    </row>
    <row r="136" spans="1:8" x14ac:dyDescent="0.25">
      <c r="A136" s="1"/>
      <c r="B136" s="1" t="s">
        <v>8885</v>
      </c>
      <c r="C136" s="1" t="s">
        <v>8886</v>
      </c>
      <c r="D136" s="22" t="str">
        <f>HYPERLINK("https://rhld.insurance.arkansas.gov/NPILookup?Npi=1376561944","1376561944")</f>
        <v>1376561944</v>
      </c>
      <c r="E136" s="1" t="s">
        <v>15160</v>
      </c>
      <c r="F136" s="1" t="s">
        <v>9173</v>
      </c>
      <c r="G136" s="1" t="s">
        <v>9173</v>
      </c>
      <c r="H136" s="1"/>
    </row>
    <row r="137" spans="1:8" x14ac:dyDescent="0.25">
      <c r="A137" s="1"/>
      <c r="B137" s="1" t="s">
        <v>8885</v>
      </c>
      <c r="C137" s="1" t="s">
        <v>8886</v>
      </c>
      <c r="D137" s="22" t="str">
        <f>HYPERLINK("https://rhld.insurance.arkansas.gov/NPILookup?Npi=1376960195","1376960195")</f>
        <v>1376960195</v>
      </c>
      <c r="E137" s="1" t="s">
        <v>15161</v>
      </c>
      <c r="F137" s="1" t="s">
        <v>9173</v>
      </c>
      <c r="G137" s="1" t="s">
        <v>9173</v>
      </c>
      <c r="H137" s="1"/>
    </row>
    <row r="138" spans="1:8" x14ac:dyDescent="0.25">
      <c r="A138" s="1"/>
      <c r="B138" s="1" t="s">
        <v>8885</v>
      </c>
      <c r="C138" s="1" t="s">
        <v>8886</v>
      </c>
      <c r="D138" s="22" t="str">
        <f>HYPERLINK("https://rhld.insurance.arkansas.gov/NPILookup?Npi=1376969683","1376969683")</f>
        <v>1376969683</v>
      </c>
      <c r="E138" s="1" t="s">
        <v>15161</v>
      </c>
      <c r="F138" s="1" t="s">
        <v>9173</v>
      </c>
      <c r="G138" s="1" t="s">
        <v>9173</v>
      </c>
      <c r="H138" s="1"/>
    </row>
    <row r="139" spans="1:8" x14ac:dyDescent="0.25">
      <c r="A139" s="1"/>
      <c r="B139" s="1" t="s">
        <v>8885</v>
      </c>
      <c r="C139" s="1" t="s">
        <v>8886</v>
      </c>
      <c r="D139" s="22" t="str">
        <f>HYPERLINK("https://rhld.insurance.arkansas.gov/NPILookup?Npi=1386188837","1386188837")</f>
        <v>1386188837</v>
      </c>
      <c r="E139" s="1" t="s">
        <v>15162</v>
      </c>
      <c r="F139" s="1" t="s">
        <v>9173</v>
      </c>
      <c r="G139" s="1" t="s">
        <v>9173</v>
      </c>
      <c r="H139" s="1"/>
    </row>
    <row r="140" spans="1:8" x14ac:dyDescent="0.25">
      <c r="A140" s="1"/>
      <c r="B140" s="1" t="s">
        <v>8885</v>
      </c>
      <c r="C140" s="1" t="s">
        <v>8886</v>
      </c>
      <c r="D140" s="22" t="str">
        <f>HYPERLINK("https://rhld.insurance.arkansas.gov/NPILookup?Npi=1386311496","1386311496")</f>
        <v>1386311496</v>
      </c>
      <c r="E140" s="1" t="s">
        <v>15163</v>
      </c>
      <c r="F140" s="1" t="s">
        <v>9173</v>
      </c>
      <c r="G140" s="1" t="s">
        <v>9173</v>
      </c>
      <c r="H140" s="1"/>
    </row>
    <row r="141" spans="1:8" x14ac:dyDescent="0.25">
      <c r="A141" s="1"/>
      <c r="B141" s="1" t="s">
        <v>8885</v>
      </c>
      <c r="C141" s="1" t="s">
        <v>8886</v>
      </c>
      <c r="D141" s="22" t="str">
        <f>HYPERLINK("https://rhld.insurance.arkansas.gov/NPILookup?Npi=1386611580","1386611580")</f>
        <v>1386611580</v>
      </c>
      <c r="E141" s="1" t="s">
        <v>15164</v>
      </c>
      <c r="F141" s="1" t="s">
        <v>9173</v>
      </c>
      <c r="G141" s="1" t="s">
        <v>9173</v>
      </c>
      <c r="H141" s="1"/>
    </row>
    <row r="142" spans="1:8" x14ac:dyDescent="0.25">
      <c r="A142" s="1"/>
      <c r="B142" s="1" t="s">
        <v>8885</v>
      </c>
      <c r="C142" s="1" t="s">
        <v>8886</v>
      </c>
      <c r="D142" s="22" t="str">
        <f>HYPERLINK("https://rhld.insurance.arkansas.gov/NPILookup?Npi=1386699353","1386699353")</f>
        <v>1386699353</v>
      </c>
      <c r="E142" s="1" t="s">
        <v>9628</v>
      </c>
      <c r="F142" s="1" t="s">
        <v>9173</v>
      </c>
      <c r="G142" s="1" t="s">
        <v>9173</v>
      </c>
      <c r="H142" s="1"/>
    </row>
    <row r="143" spans="1:8" x14ac:dyDescent="0.25">
      <c r="A143" s="1"/>
      <c r="B143" s="1" t="s">
        <v>8885</v>
      </c>
      <c r="C143" s="1" t="s">
        <v>8886</v>
      </c>
      <c r="D143" s="22" t="str">
        <f>HYPERLINK("https://rhld.insurance.arkansas.gov/NPILookup?Npi=1396053096","1396053096")</f>
        <v>1396053096</v>
      </c>
      <c r="E143" s="1" t="s">
        <v>15165</v>
      </c>
      <c r="F143" s="1" t="s">
        <v>9173</v>
      </c>
      <c r="G143" s="1" t="s">
        <v>9173</v>
      </c>
      <c r="H143" s="1"/>
    </row>
    <row r="144" spans="1:8" x14ac:dyDescent="0.25">
      <c r="A144" s="1"/>
      <c r="B144" s="1" t="s">
        <v>8885</v>
      </c>
      <c r="C144" s="1" t="s">
        <v>8886</v>
      </c>
      <c r="D144" s="22" t="str">
        <f>HYPERLINK("https://rhld.insurance.arkansas.gov/NPILookup?Npi=1396709978","1396709978")</f>
        <v>1396709978</v>
      </c>
      <c r="E144" s="1" t="s">
        <v>15166</v>
      </c>
      <c r="F144" s="1" t="s">
        <v>9173</v>
      </c>
      <c r="G144" s="1" t="s">
        <v>9173</v>
      </c>
      <c r="H144" s="1"/>
    </row>
    <row r="145" spans="1:8" x14ac:dyDescent="0.25">
      <c r="A145" s="1"/>
      <c r="B145" s="1" t="s">
        <v>8885</v>
      </c>
      <c r="C145" s="1" t="s">
        <v>8886</v>
      </c>
      <c r="D145" s="22" t="str">
        <f>HYPERLINK("https://rhld.insurance.arkansas.gov/NPILookup?Npi=1396792032","1396792032")</f>
        <v>1396792032</v>
      </c>
      <c r="E145" s="1" t="s">
        <v>15167</v>
      </c>
      <c r="F145" s="1" t="s">
        <v>9173</v>
      </c>
      <c r="G145" s="1" t="s">
        <v>9173</v>
      </c>
      <c r="H145" s="1"/>
    </row>
    <row r="146" spans="1:8" x14ac:dyDescent="0.25">
      <c r="A146" s="1"/>
      <c r="B146" s="1" t="s">
        <v>8885</v>
      </c>
      <c r="C146" s="1" t="s">
        <v>8886</v>
      </c>
      <c r="D146" s="22" t="str">
        <f>HYPERLINK("https://rhld.insurance.arkansas.gov/NPILookup?Npi=1407364847","1407364847")</f>
        <v>1407364847</v>
      </c>
      <c r="E146" s="1" t="s">
        <v>15168</v>
      </c>
      <c r="F146" s="1" t="s">
        <v>9173</v>
      </c>
      <c r="G146" s="1" t="s">
        <v>9173</v>
      </c>
      <c r="H146" s="1"/>
    </row>
    <row r="147" spans="1:8" x14ac:dyDescent="0.25">
      <c r="A147" s="1"/>
      <c r="B147" s="1" t="s">
        <v>8885</v>
      </c>
      <c r="C147" s="1" t="s">
        <v>8886</v>
      </c>
      <c r="D147" s="22" t="str">
        <f>HYPERLINK("https://rhld.insurance.arkansas.gov/NPILookup?Npi=1417024662","1417024662")</f>
        <v>1417024662</v>
      </c>
      <c r="E147" s="1" t="s">
        <v>15169</v>
      </c>
      <c r="F147" s="1" t="s">
        <v>9173</v>
      </c>
      <c r="G147" s="1" t="s">
        <v>9173</v>
      </c>
      <c r="H147" s="1"/>
    </row>
    <row r="148" spans="1:8" x14ac:dyDescent="0.25">
      <c r="A148" s="1"/>
      <c r="B148" s="1" t="s">
        <v>8885</v>
      </c>
      <c r="C148" s="1" t="s">
        <v>8886</v>
      </c>
      <c r="D148" s="22" t="str">
        <f>HYPERLINK("https://rhld.insurance.arkansas.gov/NPILookup?Npi=1417132895","1417132895")</f>
        <v>1417132895</v>
      </c>
      <c r="E148" s="1" t="s">
        <v>15170</v>
      </c>
      <c r="F148" s="1" t="s">
        <v>9173</v>
      </c>
      <c r="G148" s="1" t="s">
        <v>9173</v>
      </c>
      <c r="H148" s="1"/>
    </row>
    <row r="149" spans="1:8" x14ac:dyDescent="0.25">
      <c r="A149" s="1"/>
      <c r="B149" s="1" t="s">
        <v>8885</v>
      </c>
      <c r="C149" s="1" t="s">
        <v>8886</v>
      </c>
      <c r="D149" s="22" t="str">
        <f>HYPERLINK("https://rhld.insurance.arkansas.gov/NPILookup?Npi=1417941295","1417941295")</f>
        <v>1417941295</v>
      </c>
      <c r="E149" s="1" t="s">
        <v>15171</v>
      </c>
      <c r="F149" s="1" t="s">
        <v>9173</v>
      </c>
      <c r="G149" s="1" t="s">
        <v>9173</v>
      </c>
      <c r="H149" s="1"/>
    </row>
    <row r="150" spans="1:8" x14ac:dyDescent="0.25">
      <c r="A150" s="1"/>
      <c r="B150" s="1" t="s">
        <v>8885</v>
      </c>
      <c r="C150" s="1" t="s">
        <v>8886</v>
      </c>
      <c r="D150" s="22" t="str">
        <f>HYPERLINK("https://rhld.insurance.arkansas.gov/NPILookup?Npi=1417950106","1417950106")</f>
        <v>1417950106</v>
      </c>
      <c r="E150" s="1" t="s">
        <v>15172</v>
      </c>
      <c r="F150" s="1" t="s">
        <v>9173</v>
      </c>
      <c r="G150" s="1" t="s">
        <v>9173</v>
      </c>
      <c r="H150" s="1"/>
    </row>
    <row r="151" spans="1:8" x14ac:dyDescent="0.25">
      <c r="A151" s="1"/>
      <c r="B151" s="1" t="s">
        <v>8885</v>
      </c>
      <c r="C151" s="1" t="s">
        <v>8886</v>
      </c>
      <c r="D151" s="22" t="str">
        <f>HYPERLINK("https://rhld.insurance.arkansas.gov/NPILookup?Npi=1427107754","1427107754")</f>
        <v>1427107754</v>
      </c>
      <c r="E151" s="1" t="s">
        <v>1563</v>
      </c>
      <c r="F151" s="1" t="s">
        <v>9173</v>
      </c>
      <c r="G151" s="1" t="s">
        <v>9173</v>
      </c>
      <c r="H151" s="1"/>
    </row>
    <row r="152" spans="1:8" x14ac:dyDescent="0.25">
      <c r="A152" s="1"/>
      <c r="B152" s="1" t="s">
        <v>8885</v>
      </c>
      <c r="C152" s="1" t="s">
        <v>8886</v>
      </c>
      <c r="D152" s="22" t="str">
        <f>HYPERLINK("https://rhld.insurance.arkansas.gov/NPILookup?Npi=1427536325","1427536325")</f>
        <v>1427536325</v>
      </c>
      <c r="E152" s="1" t="s">
        <v>15173</v>
      </c>
      <c r="F152" s="1" t="s">
        <v>9173</v>
      </c>
      <c r="G152" s="1" t="s">
        <v>9173</v>
      </c>
      <c r="H152" s="1"/>
    </row>
    <row r="153" spans="1:8" x14ac:dyDescent="0.25">
      <c r="A153" s="1"/>
      <c r="B153" s="1" t="s">
        <v>8885</v>
      </c>
      <c r="C153" s="1" t="s">
        <v>8886</v>
      </c>
      <c r="D153" s="22" t="str">
        <f>HYPERLINK("https://rhld.insurance.arkansas.gov/NPILookup?Npi=1437222312","1437222312")</f>
        <v>1437222312</v>
      </c>
      <c r="E153" s="1" t="s">
        <v>8904</v>
      </c>
      <c r="F153" s="1" t="s">
        <v>9173</v>
      </c>
      <c r="G153" s="1" t="s">
        <v>9173</v>
      </c>
      <c r="H153" s="1"/>
    </row>
    <row r="154" spans="1:8" x14ac:dyDescent="0.25">
      <c r="A154" s="1"/>
      <c r="B154" s="1" t="s">
        <v>8885</v>
      </c>
      <c r="C154" s="1" t="s">
        <v>8886</v>
      </c>
      <c r="D154" s="22" t="str">
        <f>HYPERLINK("https://rhld.insurance.arkansas.gov/NPILookup?Npi=1437251881","1437251881")</f>
        <v>1437251881</v>
      </c>
      <c r="E154" s="1" t="s">
        <v>15174</v>
      </c>
      <c r="F154" s="1" t="s">
        <v>9173</v>
      </c>
      <c r="G154" s="1" t="s">
        <v>9173</v>
      </c>
      <c r="H154" s="1"/>
    </row>
    <row r="155" spans="1:8" x14ac:dyDescent="0.25">
      <c r="A155" s="1"/>
      <c r="B155" s="1" t="s">
        <v>8885</v>
      </c>
      <c r="C155" s="1" t="s">
        <v>8886</v>
      </c>
      <c r="D155" s="22" t="str">
        <f>HYPERLINK("https://rhld.insurance.arkansas.gov/NPILookup?Npi=1437634524","1437634524")</f>
        <v>1437634524</v>
      </c>
      <c r="E155" s="1" t="s">
        <v>15175</v>
      </c>
      <c r="F155" s="1" t="s">
        <v>9173</v>
      </c>
      <c r="G155" s="1" t="s">
        <v>9173</v>
      </c>
      <c r="H155" s="1"/>
    </row>
    <row r="156" spans="1:8" x14ac:dyDescent="0.25">
      <c r="A156" s="1"/>
      <c r="B156" s="1" t="s">
        <v>8885</v>
      </c>
      <c r="C156" s="1" t="s">
        <v>8886</v>
      </c>
      <c r="D156" s="22" t="str">
        <f>HYPERLINK("https://rhld.insurance.arkansas.gov/NPILookup?Npi=1437799905","1437799905")</f>
        <v>1437799905</v>
      </c>
      <c r="E156" s="1" t="s">
        <v>15176</v>
      </c>
      <c r="F156" s="1" t="s">
        <v>9173</v>
      </c>
      <c r="G156" s="1" t="s">
        <v>9173</v>
      </c>
      <c r="H156" s="1"/>
    </row>
    <row r="157" spans="1:8" x14ac:dyDescent="0.25">
      <c r="A157" s="1"/>
      <c r="B157" s="1" t="s">
        <v>8885</v>
      </c>
      <c r="C157" s="1" t="s">
        <v>8886</v>
      </c>
      <c r="D157" s="22" t="str">
        <f>HYPERLINK("https://rhld.insurance.arkansas.gov/NPILookup?Npi=1447284898","1447284898")</f>
        <v>1447284898</v>
      </c>
      <c r="E157" s="1" t="s">
        <v>15177</v>
      </c>
      <c r="F157" s="1" t="s">
        <v>9173</v>
      </c>
      <c r="G157" s="1" t="s">
        <v>9173</v>
      </c>
      <c r="H157" s="1"/>
    </row>
    <row r="158" spans="1:8" x14ac:dyDescent="0.25">
      <c r="A158" s="1"/>
      <c r="B158" s="1" t="s">
        <v>8885</v>
      </c>
      <c r="C158" s="1" t="s">
        <v>8886</v>
      </c>
      <c r="D158" s="22" t="str">
        <f>HYPERLINK("https://rhld.insurance.arkansas.gov/NPILookup?Npi=1447445630","1447445630")</f>
        <v>1447445630</v>
      </c>
      <c r="E158" s="1" t="s">
        <v>15178</v>
      </c>
      <c r="F158" s="1" t="s">
        <v>9173</v>
      </c>
      <c r="G158" s="1" t="s">
        <v>9173</v>
      </c>
      <c r="H158" s="1"/>
    </row>
    <row r="159" spans="1:8" x14ac:dyDescent="0.25">
      <c r="A159" s="1"/>
      <c r="B159" s="1" t="s">
        <v>8885</v>
      </c>
      <c r="C159" s="1" t="s">
        <v>8886</v>
      </c>
      <c r="D159" s="22" t="str">
        <f>HYPERLINK("https://rhld.insurance.arkansas.gov/NPILookup?Npi=1457321036","1457321036")</f>
        <v>1457321036</v>
      </c>
      <c r="E159" s="1" t="s">
        <v>15179</v>
      </c>
      <c r="F159" s="1" t="s">
        <v>9173</v>
      </c>
      <c r="G159" s="1" t="s">
        <v>9173</v>
      </c>
      <c r="H159" s="1"/>
    </row>
    <row r="160" spans="1:8" x14ac:dyDescent="0.25">
      <c r="A160" s="1"/>
      <c r="B160" s="1" t="s">
        <v>8885</v>
      </c>
      <c r="C160" s="1" t="s">
        <v>8886</v>
      </c>
      <c r="D160" s="22" t="str">
        <f>HYPERLINK("https://rhld.insurance.arkansas.gov/NPILookup?Npi=1467412726","1467412726")</f>
        <v>1467412726</v>
      </c>
      <c r="E160" s="1" t="s">
        <v>15180</v>
      </c>
      <c r="F160" s="1" t="s">
        <v>9173</v>
      </c>
      <c r="G160" s="1" t="s">
        <v>9173</v>
      </c>
      <c r="H160" s="1"/>
    </row>
    <row r="161" spans="1:8" x14ac:dyDescent="0.25">
      <c r="A161" s="1"/>
      <c r="B161" s="1" t="s">
        <v>8885</v>
      </c>
      <c r="C161" s="1" t="s">
        <v>8886</v>
      </c>
      <c r="D161" s="22" t="str">
        <f>HYPERLINK("https://rhld.insurance.arkansas.gov/NPILookup?Npi=1467455154","1467455154")</f>
        <v>1467455154</v>
      </c>
      <c r="E161" s="1" t="s">
        <v>15181</v>
      </c>
      <c r="F161" s="1" t="s">
        <v>9173</v>
      </c>
      <c r="G161" s="1" t="s">
        <v>9173</v>
      </c>
      <c r="H161" s="1"/>
    </row>
    <row r="162" spans="1:8" x14ac:dyDescent="0.25">
      <c r="A162" s="1"/>
      <c r="B162" s="1" t="s">
        <v>8885</v>
      </c>
      <c r="C162" s="1" t="s">
        <v>8886</v>
      </c>
      <c r="D162" s="22" t="str">
        <f>HYPERLINK("https://rhld.insurance.arkansas.gov/NPILookup?Npi=1467473579","1467473579")</f>
        <v>1467473579</v>
      </c>
      <c r="E162" s="1" t="s">
        <v>15182</v>
      </c>
      <c r="F162" s="1" t="s">
        <v>9173</v>
      </c>
      <c r="G162" s="1" t="s">
        <v>9173</v>
      </c>
      <c r="H162" s="1"/>
    </row>
    <row r="163" spans="1:8" x14ac:dyDescent="0.25">
      <c r="A163" s="1"/>
      <c r="B163" s="1" t="s">
        <v>8885</v>
      </c>
      <c r="C163" s="1" t="s">
        <v>8886</v>
      </c>
      <c r="D163" s="22" t="str">
        <f>HYPERLINK("https://rhld.insurance.arkansas.gov/NPILookup?Npi=1467658278","1467658278")</f>
        <v>1467658278</v>
      </c>
      <c r="E163" s="1" t="s">
        <v>15183</v>
      </c>
      <c r="F163" s="1" t="s">
        <v>9173</v>
      </c>
      <c r="G163" s="1" t="s">
        <v>9173</v>
      </c>
      <c r="H163" s="1"/>
    </row>
    <row r="164" spans="1:8" x14ac:dyDescent="0.25">
      <c r="A164" s="1"/>
      <c r="B164" s="1" t="s">
        <v>8885</v>
      </c>
      <c r="C164" s="1" t="s">
        <v>8886</v>
      </c>
      <c r="D164" s="22" t="str">
        <f>HYPERLINK("https://rhld.insurance.arkansas.gov/NPILookup?Npi=1467682567","1467682567")</f>
        <v>1467682567</v>
      </c>
      <c r="E164" s="1" t="s">
        <v>15184</v>
      </c>
      <c r="F164" s="1" t="s">
        <v>9173</v>
      </c>
      <c r="G164" s="1" t="s">
        <v>9173</v>
      </c>
      <c r="H164" s="1"/>
    </row>
    <row r="165" spans="1:8" x14ac:dyDescent="0.25">
      <c r="A165" s="1"/>
      <c r="B165" s="1" t="s">
        <v>8885</v>
      </c>
      <c r="C165" s="1" t="s">
        <v>8886</v>
      </c>
      <c r="D165" s="22" t="str">
        <f>HYPERLINK("https://rhld.insurance.arkansas.gov/NPILookup?Npi=1467781377","1467781377")</f>
        <v>1467781377</v>
      </c>
      <c r="E165" s="1" t="s">
        <v>15155</v>
      </c>
      <c r="F165" s="1" t="s">
        <v>9173</v>
      </c>
      <c r="G165" s="1" t="s">
        <v>9173</v>
      </c>
      <c r="H165" s="1"/>
    </row>
    <row r="166" spans="1:8" x14ac:dyDescent="0.25">
      <c r="A166" s="1"/>
      <c r="B166" s="1" t="s">
        <v>8885</v>
      </c>
      <c r="C166" s="1" t="s">
        <v>8886</v>
      </c>
      <c r="D166" s="22" t="str">
        <f>HYPERLINK("https://rhld.insurance.arkansas.gov/NPILookup?Npi=1477549756","1477549756")</f>
        <v>1477549756</v>
      </c>
      <c r="E166" s="1" t="s">
        <v>15185</v>
      </c>
      <c r="F166" s="1" t="s">
        <v>9173</v>
      </c>
      <c r="G166" s="1" t="s">
        <v>9173</v>
      </c>
      <c r="H166" s="1"/>
    </row>
    <row r="167" spans="1:8" x14ac:dyDescent="0.25">
      <c r="A167" s="1"/>
      <c r="B167" s="1" t="s">
        <v>8885</v>
      </c>
      <c r="C167" s="1" t="s">
        <v>8886</v>
      </c>
      <c r="D167" s="22" t="str">
        <f>HYPERLINK("https://rhld.insurance.arkansas.gov/NPILookup?Npi=1487706214","1487706214")</f>
        <v>1487706214</v>
      </c>
      <c r="E167" s="1" t="s">
        <v>15186</v>
      </c>
      <c r="F167" s="1" t="s">
        <v>9173</v>
      </c>
      <c r="G167" s="1" t="s">
        <v>9173</v>
      </c>
      <c r="H167" s="1"/>
    </row>
    <row r="168" spans="1:8" x14ac:dyDescent="0.25">
      <c r="A168" s="1"/>
      <c r="B168" s="1" t="s">
        <v>8885</v>
      </c>
      <c r="C168" s="1" t="s">
        <v>8886</v>
      </c>
      <c r="D168" s="22" t="str">
        <f>HYPERLINK("https://rhld.insurance.arkansas.gov/NPILookup?Npi=1487909701","1487909701")</f>
        <v>1487909701</v>
      </c>
      <c r="E168" s="1" t="s">
        <v>15187</v>
      </c>
      <c r="F168" s="1" t="s">
        <v>9173</v>
      </c>
      <c r="G168" s="1" t="s">
        <v>9173</v>
      </c>
      <c r="H168" s="1"/>
    </row>
    <row r="169" spans="1:8" x14ac:dyDescent="0.25">
      <c r="A169" s="1"/>
      <c r="B169" s="1" t="s">
        <v>8885</v>
      </c>
      <c r="C169" s="1" t="s">
        <v>8886</v>
      </c>
      <c r="D169" s="22" t="str">
        <f>HYPERLINK("https://rhld.insurance.arkansas.gov/NPILookup?Npi=1497750244","1497750244")</f>
        <v>1497750244</v>
      </c>
      <c r="E169" s="1" t="s">
        <v>15188</v>
      </c>
      <c r="F169" s="1" t="s">
        <v>9173</v>
      </c>
      <c r="G169" s="1" t="s">
        <v>9173</v>
      </c>
      <c r="H169" s="1"/>
    </row>
    <row r="170" spans="1:8" x14ac:dyDescent="0.25">
      <c r="A170" s="1"/>
      <c r="B170" s="1" t="s">
        <v>8885</v>
      </c>
      <c r="C170" s="1" t="s">
        <v>8886</v>
      </c>
      <c r="D170" s="22" t="str">
        <f>HYPERLINK("https://rhld.insurance.arkansas.gov/NPILookup?Npi=1497770424","1497770424")</f>
        <v>1497770424</v>
      </c>
      <c r="E170" s="1" t="s">
        <v>15189</v>
      </c>
      <c r="F170" s="1" t="s">
        <v>9173</v>
      </c>
      <c r="G170" s="1" t="s">
        <v>9173</v>
      </c>
      <c r="H170" s="1"/>
    </row>
    <row r="171" spans="1:8" x14ac:dyDescent="0.25">
      <c r="A171" s="1"/>
      <c r="B171" s="1" t="s">
        <v>8885</v>
      </c>
      <c r="C171" s="1" t="s">
        <v>8886</v>
      </c>
      <c r="D171" s="22" t="str">
        <f>HYPERLINK("https://rhld.insurance.arkansas.gov/NPILookup?Npi=1497790042","1497790042")</f>
        <v>1497790042</v>
      </c>
      <c r="E171" s="1" t="s">
        <v>9630</v>
      </c>
      <c r="F171" s="1" t="s">
        <v>9173</v>
      </c>
      <c r="G171" s="1" t="s">
        <v>9173</v>
      </c>
      <c r="H171" s="1"/>
    </row>
    <row r="172" spans="1:8" x14ac:dyDescent="0.25">
      <c r="A172" s="1"/>
      <c r="B172" s="1" t="s">
        <v>8885</v>
      </c>
      <c r="C172" s="1" t="s">
        <v>8886</v>
      </c>
      <c r="D172" s="22" t="str">
        <f>HYPERLINK("https://rhld.insurance.arkansas.gov/NPILookup?Npi=1497913016","1497913016")</f>
        <v>1497913016</v>
      </c>
      <c r="E172" s="1" t="s">
        <v>15190</v>
      </c>
      <c r="F172" s="1" t="s">
        <v>9173</v>
      </c>
      <c r="G172" s="1" t="s">
        <v>9173</v>
      </c>
      <c r="H172" s="1"/>
    </row>
    <row r="173" spans="1:8" x14ac:dyDescent="0.25">
      <c r="A173" s="1"/>
      <c r="B173" s="1" t="s">
        <v>8885</v>
      </c>
      <c r="C173" s="1" t="s">
        <v>8886</v>
      </c>
      <c r="D173" s="22" t="str">
        <f>HYPERLINK("https://rhld.insurance.arkansas.gov/NPILookup?Npi=1497988596","1497988596")</f>
        <v>1497988596</v>
      </c>
      <c r="E173" s="1" t="s">
        <v>15191</v>
      </c>
      <c r="F173" s="1" t="s">
        <v>9173</v>
      </c>
      <c r="G173" s="1" t="s">
        <v>9173</v>
      </c>
      <c r="H173" s="1"/>
    </row>
    <row r="174" spans="1:8" x14ac:dyDescent="0.25">
      <c r="A174" s="1"/>
      <c r="B174" s="1" t="s">
        <v>8885</v>
      </c>
      <c r="C174" s="1" t="s">
        <v>8886</v>
      </c>
      <c r="D174" s="22" t="str">
        <f>HYPERLINK("https://rhld.insurance.arkansas.gov/NPILookup?Npi=1518182070","1518182070")</f>
        <v>1518182070</v>
      </c>
      <c r="E174" s="1" t="s">
        <v>15100</v>
      </c>
      <c r="F174" s="1" t="s">
        <v>9173</v>
      </c>
      <c r="G174" s="1" t="s">
        <v>9173</v>
      </c>
      <c r="H174" s="1"/>
    </row>
    <row r="175" spans="1:8" x14ac:dyDescent="0.25">
      <c r="A175" s="1"/>
      <c r="B175" s="1" t="s">
        <v>8885</v>
      </c>
      <c r="C175" s="1" t="s">
        <v>8886</v>
      </c>
      <c r="D175" s="22" t="str">
        <f>HYPERLINK("https://rhld.insurance.arkansas.gov/NPILookup?Npi=1518296037","1518296037")</f>
        <v>1518296037</v>
      </c>
      <c r="E175" s="1" t="s">
        <v>15192</v>
      </c>
      <c r="F175" s="1" t="s">
        <v>9173</v>
      </c>
      <c r="G175" s="1" t="s">
        <v>9173</v>
      </c>
      <c r="H175" s="1"/>
    </row>
    <row r="176" spans="1:8" x14ac:dyDescent="0.25">
      <c r="A176" s="1"/>
      <c r="B176" s="1" t="s">
        <v>8885</v>
      </c>
      <c r="C176" s="1" t="s">
        <v>8886</v>
      </c>
      <c r="D176" s="22" t="str">
        <f>HYPERLINK("https://rhld.insurance.arkansas.gov/NPILookup?Npi=1528026267","1528026267")</f>
        <v>1528026267</v>
      </c>
      <c r="E176" s="1" t="s">
        <v>15184</v>
      </c>
      <c r="F176" s="1" t="s">
        <v>9173</v>
      </c>
      <c r="G176" s="1" t="s">
        <v>9173</v>
      </c>
      <c r="H176" s="1"/>
    </row>
    <row r="177" spans="1:8" x14ac:dyDescent="0.25">
      <c r="A177" s="1"/>
      <c r="B177" s="1" t="s">
        <v>8885</v>
      </c>
      <c r="C177" s="1" t="s">
        <v>8886</v>
      </c>
      <c r="D177" s="22" t="str">
        <f>HYPERLINK("https://rhld.insurance.arkansas.gov/NPILookup?Npi=1528181393","1528181393")</f>
        <v>1528181393</v>
      </c>
      <c r="E177" s="1" t="s">
        <v>15100</v>
      </c>
      <c r="F177" s="1" t="s">
        <v>9173</v>
      </c>
      <c r="G177" s="1" t="s">
        <v>9173</v>
      </c>
      <c r="H177" s="1"/>
    </row>
    <row r="178" spans="1:8" x14ac:dyDescent="0.25">
      <c r="A178" s="1"/>
      <c r="B178" s="1" t="s">
        <v>8885</v>
      </c>
      <c r="C178" s="1" t="s">
        <v>8886</v>
      </c>
      <c r="D178" s="22" t="str">
        <f>HYPERLINK("https://rhld.insurance.arkansas.gov/NPILookup?Npi=1528289592","1528289592")</f>
        <v>1528289592</v>
      </c>
      <c r="E178" s="1" t="s">
        <v>15193</v>
      </c>
      <c r="F178" s="1" t="s">
        <v>9173</v>
      </c>
      <c r="G178" s="1" t="s">
        <v>9173</v>
      </c>
      <c r="H178" s="1"/>
    </row>
    <row r="179" spans="1:8" x14ac:dyDescent="0.25">
      <c r="A179" s="1"/>
      <c r="B179" s="1" t="s">
        <v>8885</v>
      </c>
      <c r="C179" s="1" t="s">
        <v>8886</v>
      </c>
      <c r="D179" s="22" t="str">
        <f>HYPERLINK("https://rhld.insurance.arkansas.gov/NPILookup?Npi=1528386737","1528386737")</f>
        <v>1528386737</v>
      </c>
      <c r="E179" s="1" t="s">
        <v>1241</v>
      </c>
      <c r="F179" s="1" t="s">
        <v>9173</v>
      </c>
      <c r="G179" s="1" t="s">
        <v>9173</v>
      </c>
      <c r="H179" s="1"/>
    </row>
    <row r="180" spans="1:8" x14ac:dyDescent="0.25">
      <c r="A180" s="1"/>
      <c r="B180" s="1" t="s">
        <v>8885</v>
      </c>
      <c r="C180" s="1" t="s">
        <v>8886</v>
      </c>
      <c r="D180" s="22" t="str">
        <f>HYPERLINK("https://rhld.insurance.arkansas.gov/NPILookup?Npi=1538472964","1538472964")</f>
        <v>1538472964</v>
      </c>
      <c r="E180" s="1" t="s">
        <v>15194</v>
      </c>
      <c r="F180" s="1" t="s">
        <v>9173</v>
      </c>
      <c r="G180" s="1" t="s">
        <v>9173</v>
      </c>
      <c r="H180" s="1"/>
    </row>
    <row r="181" spans="1:8" x14ac:dyDescent="0.25">
      <c r="A181" s="1"/>
      <c r="B181" s="1" t="s">
        <v>8885</v>
      </c>
      <c r="C181" s="1" t="s">
        <v>8886</v>
      </c>
      <c r="D181" s="22" t="str">
        <f>HYPERLINK("https://rhld.insurance.arkansas.gov/NPILookup?Npi=1548083421","1548083421")</f>
        <v>1548083421</v>
      </c>
      <c r="E181" s="1" t="s">
        <v>15195</v>
      </c>
      <c r="F181" s="1" t="s">
        <v>9173</v>
      </c>
      <c r="G181" s="1" t="s">
        <v>9173</v>
      </c>
      <c r="H181" s="1"/>
    </row>
    <row r="182" spans="1:8" x14ac:dyDescent="0.25">
      <c r="A182" s="1"/>
      <c r="B182" s="1" t="s">
        <v>8885</v>
      </c>
      <c r="C182" s="1" t="s">
        <v>8886</v>
      </c>
      <c r="D182" s="22" t="str">
        <f>HYPERLINK("https://rhld.insurance.arkansas.gov/NPILookup?Npi=1548429079","1548429079")</f>
        <v>1548429079</v>
      </c>
      <c r="E182" s="1" t="s">
        <v>15196</v>
      </c>
      <c r="F182" s="1" t="s">
        <v>9173</v>
      </c>
      <c r="G182" s="1" t="s">
        <v>9173</v>
      </c>
      <c r="H182" s="1"/>
    </row>
    <row r="183" spans="1:8" x14ac:dyDescent="0.25">
      <c r="A183" s="1"/>
      <c r="B183" s="1" t="s">
        <v>8885</v>
      </c>
      <c r="C183" s="1" t="s">
        <v>8886</v>
      </c>
      <c r="D183" s="22" t="str">
        <f>HYPERLINK("https://rhld.insurance.arkansas.gov/NPILookup?Npi=1558365890","1558365890")</f>
        <v>1558365890</v>
      </c>
      <c r="E183" s="1" t="s">
        <v>15197</v>
      </c>
      <c r="F183" s="1" t="s">
        <v>9173</v>
      </c>
      <c r="G183" s="1" t="s">
        <v>9173</v>
      </c>
      <c r="H183" s="1"/>
    </row>
    <row r="184" spans="1:8" x14ac:dyDescent="0.25">
      <c r="A184" s="1"/>
      <c r="B184" s="1" t="s">
        <v>8885</v>
      </c>
      <c r="C184" s="1" t="s">
        <v>8886</v>
      </c>
      <c r="D184" s="22" t="str">
        <f>HYPERLINK("https://rhld.insurance.arkansas.gov/NPILookup?Npi=1558798603","1558798603")</f>
        <v>1558798603</v>
      </c>
      <c r="E184" s="1" t="s">
        <v>15198</v>
      </c>
      <c r="F184" s="1" t="s">
        <v>9173</v>
      </c>
      <c r="G184" s="1" t="s">
        <v>9173</v>
      </c>
      <c r="H184" s="1"/>
    </row>
    <row r="185" spans="1:8" x14ac:dyDescent="0.25">
      <c r="A185" s="1"/>
      <c r="B185" s="1" t="s">
        <v>8885</v>
      </c>
      <c r="C185" s="1" t="s">
        <v>8886</v>
      </c>
      <c r="D185" s="22" t="str">
        <f>HYPERLINK("https://rhld.insurance.arkansas.gov/NPILookup?Npi=1568406536","1568406536")</f>
        <v>1568406536</v>
      </c>
      <c r="E185" s="1" t="s">
        <v>10103</v>
      </c>
      <c r="F185" s="1" t="s">
        <v>9173</v>
      </c>
      <c r="G185" s="1" t="s">
        <v>9173</v>
      </c>
      <c r="H185" s="1"/>
    </row>
    <row r="186" spans="1:8" x14ac:dyDescent="0.25">
      <c r="A186" s="1"/>
      <c r="B186" s="1" t="s">
        <v>8885</v>
      </c>
      <c r="C186" s="1" t="s">
        <v>8886</v>
      </c>
      <c r="D186" s="22" t="str">
        <f>HYPERLINK("https://rhld.insurance.arkansas.gov/NPILookup?Npi=1568433480","1568433480")</f>
        <v>1568433480</v>
      </c>
      <c r="E186" s="1" t="s">
        <v>9631</v>
      </c>
      <c r="F186" s="1" t="s">
        <v>9173</v>
      </c>
      <c r="G186" s="1" t="s">
        <v>9173</v>
      </c>
      <c r="H186" s="1"/>
    </row>
    <row r="187" spans="1:8" x14ac:dyDescent="0.25">
      <c r="A187" s="1"/>
      <c r="B187" s="1" t="s">
        <v>8885</v>
      </c>
      <c r="C187" s="1" t="s">
        <v>8886</v>
      </c>
      <c r="D187" s="22" t="str">
        <f>HYPERLINK("https://rhld.insurance.arkansas.gov/NPILookup?Npi=1568461572","1568461572")</f>
        <v>1568461572</v>
      </c>
      <c r="E187" s="1" t="s">
        <v>15199</v>
      </c>
      <c r="F187" s="1" t="s">
        <v>9173</v>
      </c>
      <c r="G187" s="1" t="s">
        <v>9173</v>
      </c>
      <c r="H187" s="1"/>
    </row>
    <row r="188" spans="1:8" x14ac:dyDescent="0.25">
      <c r="A188" s="1"/>
      <c r="B188" s="1" t="s">
        <v>8885</v>
      </c>
      <c r="C188" s="1" t="s">
        <v>8886</v>
      </c>
      <c r="D188" s="22" t="str">
        <f>HYPERLINK("https://rhld.insurance.arkansas.gov/NPILookup?Npi=1568548253","1568548253")</f>
        <v>1568548253</v>
      </c>
      <c r="E188" s="1" t="s">
        <v>9660</v>
      </c>
      <c r="F188" s="1" t="s">
        <v>9173</v>
      </c>
      <c r="G188" s="1" t="s">
        <v>9173</v>
      </c>
      <c r="H188" s="1"/>
    </row>
    <row r="189" spans="1:8" x14ac:dyDescent="0.25">
      <c r="A189" s="1"/>
      <c r="B189" s="1" t="s">
        <v>8885</v>
      </c>
      <c r="C189" s="1" t="s">
        <v>8886</v>
      </c>
      <c r="D189" s="22" t="str">
        <f>HYPERLINK("https://rhld.insurance.arkansas.gov/NPILookup?Npi=1568631877","1568631877")</f>
        <v>1568631877</v>
      </c>
      <c r="E189" s="1" t="s">
        <v>15200</v>
      </c>
      <c r="F189" s="1" t="s">
        <v>9173</v>
      </c>
      <c r="G189" s="1" t="s">
        <v>9173</v>
      </c>
      <c r="H189" s="1"/>
    </row>
    <row r="190" spans="1:8" x14ac:dyDescent="0.25">
      <c r="A190" s="1"/>
      <c r="B190" s="1" t="s">
        <v>8885</v>
      </c>
      <c r="C190" s="1" t="s">
        <v>8886</v>
      </c>
      <c r="D190" s="22" t="str">
        <f>HYPERLINK("https://rhld.insurance.arkansas.gov/NPILookup?Npi=1568647287","1568647287")</f>
        <v>1568647287</v>
      </c>
      <c r="E190" s="1" t="s">
        <v>15201</v>
      </c>
      <c r="F190" s="1" t="s">
        <v>9173</v>
      </c>
      <c r="G190" s="1" t="s">
        <v>9173</v>
      </c>
      <c r="H190" s="1"/>
    </row>
    <row r="191" spans="1:8" x14ac:dyDescent="0.25">
      <c r="A191" s="1"/>
      <c r="B191" s="1" t="s">
        <v>8885</v>
      </c>
      <c r="C191" s="1" t="s">
        <v>8886</v>
      </c>
      <c r="D191" s="22" t="str">
        <f>HYPERLINK("https://rhld.insurance.arkansas.gov/NPILookup?Npi=1568647956","1568647956")</f>
        <v>1568647956</v>
      </c>
      <c r="E191" s="1" t="s">
        <v>15123</v>
      </c>
      <c r="F191" s="1" t="s">
        <v>9173</v>
      </c>
      <c r="G191" s="1" t="s">
        <v>9173</v>
      </c>
      <c r="H191" s="1"/>
    </row>
    <row r="192" spans="1:8" x14ac:dyDescent="0.25">
      <c r="A192" s="1"/>
      <c r="B192" s="1" t="s">
        <v>8885</v>
      </c>
      <c r="C192" s="1" t="s">
        <v>8886</v>
      </c>
      <c r="D192" s="22" t="str">
        <f>HYPERLINK("https://rhld.insurance.arkansas.gov/NPILookup?Npi=1568708170","1568708170")</f>
        <v>1568708170</v>
      </c>
      <c r="E192" s="1" t="s">
        <v>15202</v>
      </c>
      <c r="F192" s="1" t="s">
        <v>9173</v>
      </c>
      <c r="G192" s="1" t="s">
        <v>9173</v>
      </c>
      <c r="H192" s="1"/>
    </row>
    <row r="193" spans="1:8" x14ac:dyDescent="0.25">
      <c r="A193" s="1"/>
      <c r="B193" s="1" t="s">
        <v>8885</v>
      </c>
      <c r="C193" s="1" t="s">
        <v>8886</v>
      </c>
      <c r="D193" s="22" t="str">
        <f>HYPERLINK("https://rhld.insurance.arkansas.gov/NPILookup?Npi=1578504056","1578504056")</f>
        <v>1578504056</v>
      </c>
      <c r="E193" s="1" t="s">
        <v>7188</v>
      </c>
      <c r="F193" s="1" t="s">
        <v>9173</v>
      </c>
      <c r="G193" s="1" t="s">
        <v>9173</v>
      </c>
      <c r="H193" s="1"/>
    </row>
    <row r="194" spans="1:8" x14ac:dyDescent="0.25">
      <c r="A194" s="1"/>
      <c r="B194" s="1" t="s">
        <v>8885</v>
      </c>
      <c r="C194" s="1" t="s">
        <v>8886</v>
      </c>
      <c r="D194" s="22" t="str">
        <f>HYPERLINK("https://rhld.insurance.arkansas.gov/NPILookup?Npi=1578527172","1578527172")</f>
        <v>1578527172</v>
      </c>
      <c r="E194" s="1" t="s">
        <v>8896</v>
      </c>
      <c r="F194" s="1" t="s">
        <v>9173</v>
      </c>
      <c r="G194" s="1" t="s">
        <v>9173</v>
      </c>
      <c r="H194" s="1"/>
    </row>
    <row r="195" spans="1:8" x14ac:dyDescent="0.25">
      <c r="A195" s="1"/>
      <c r="B195" s="1" t="s">
        <v>8885</v>
      </c>
      <c r="C195" s="1" t="s">
        <v>8886</v>
      </c>
      <c r="D195" s="22" t="str">
        <f>HYPERLINK("https://rhld.insurance.arkansas.gov/NPILookup?Npi=1578560421","1578560421")</f>
        <v>1578560421</v>
      </c>
      <c r="E195" s="1" t="s">
        <v>15203</v>
      </c>
      <c r="F195" s="1" t="s">
        <v>9173</v>
      </c>
      <c r="G195" s="1" t="s">
        <v>9173</v>
      </c>
      <c r="H195" s="1"/>
    </row>
    <row r="196" spans="1:8" x14ac:dyDescent="0.25">
      <c r="A196" s="1"/>
      <c r="B196" s="1" t="s">
        <v>8885</v>
      </c>
      <c r="C196" s="1" t="s">
        <v>8886</v>
      </c>
      <c r="D196" s="22" t="str">
        <f>HYPERLINK("https://rhld.insurance.arkansas.gov/NPILookup?Npi=1578595302","1578595302")</f>
        <v>1578595302</v>
      </c>
      <c r="E196" s="1" t="s">
        <v>15204</v>
      </c>
      <c r="F196" s="1" t="s">
        <v>9173</v>
      </c>
      <c r="G196" s="1" t="s">
        <v>9173</v>
      </c>
      <c r="H196" s="1"/>
    </row>
    <row r="197" spans="1:8" x14ac:dyDescent="0.25">
      <c r="A197" s="1"/>
      <c r="B197" s="1" t="s">
        <v>8885</v>
      </c>
      <c r="C197" s="1" t="s">
        <v>8886</v>
      </c>
      <c r="D197" s="22" t="str">
        <f>HYPERLINK("https://rhld.insurance.arkansas.gov/NPILookup?Npi=1578680658","1578680658")</f>
        <v>1578680658</v>
      </c>
      <c r="E197" s="1" t="s">
        <v>15205</v>
      </c>
      <c r="F197" s="1" t="s">
        <v>9173</v>
      </c>
      <c r="G197" s="1" t="s">
        <v>9173</v>
      </c>
      <c r="H197" s="1"/>
    </row>
    <row r="198" spans="1:8" x14ac:dyDescent="0.25">
      <c r="A198" s="1"/>
      <c r="B198" s="1" t="s">
        <v>8885</v>
      </c>
      <c r="C198" s="1" t="s">
        <v>8886</v>
      </c>
      <c r="D198" s="22" t="str">
        <f>HYPERLINK("https://rhld.insurance.arkansas.gov/NPILookup?Npi=1578704938","1578704938")</f>
        <v>1578704938</v>
      </c>
      <c r="E198" s="1" t="s">
        <v>15206</v>
      </c>
      <c r="F198" s="1" t="s">
        <v>9173</v>
      </c>
      <c r="G198" s="1" t="s">
        <v>9173</v>
      </c>
      <c r="H198" s="1"/>
    </row>
    <row r="199" spans="1:8" x14ac:dyDescent="0.25">
      <c r="A199" s="1"/>
      <c r="B199" s="1" t="s">
        <v>8885</v>
      </c>
      <c r="C199" s="1" t="s">
        <v>8886</v>
      </c>
      <c r="D199" s="22" t="str">
        <f>HYPERLINK("https://rhld.insurance.arkansas.gov/NPILookup?Npi=1578706107","1578706107")</f>
        <v>1578706107</v>
      </c>
      <c r="E199" s="1" t="s">
        <v>15207</v>
      </c>
      <c r="F199" s="1" t="s">
        <v>9173</v>
      </c>
      <c r="G199" s="1" t="s">
        <v>9173</v>
      </c>
      <c r="H199" s="1"/>
    </row>
    <row r="200" spans="1:8" x14ac:dyDescent="0.25">
      <c r="A200" s="1"/>
      <c r="B200" s="1" t="s">
        <v>8885</v>
      </c>
      <c r="C200" s="1" t="s">
        <v>8886</v>
      </c>
      <c r="D200" s="22" t="str">
        <f>HYPERLINK("https://rhld.insurance.arkansas.gov/NPILookup?Npi=1588686679","1588686679")</f>
        <v>1588686679</v>
      </c>
      <c r="E200" s="1" t="s">
        <v>31313</v>
      </c>
      <c r="F200" s="1" t="s">
        <v>9173</v>
      </c>
      <c r="G200" s="1" t="s">
        <v>9173</v>
      </c>
      <c r="H200" s="1"/>
    </row>
    <row r="201" spans="1:8" x14ac:dyDescent="0.25">
      <c r="A201" s="1"/>
      <c r="B201" s="1" t="s">
        <v>8885</v>
      </c>
      <c r="C201" s="1" t="s">
        <v>8886</v>
      </c>
      <c r="D201" s="22" t="str">
        <f>HYPERLINK("https://rhld.insurance.arkansas.gov/NPILookup?Npi=1598021412","1598021412")</f>
        <v>1598021412</v>
      </c>
      <c r="E201" s="1" t="s">
        <v>15208</v>
      </c>
      <c r="F201" s="1" t="s">
        <v>9173</v>
      </c>
      <c r="G201" s="1" t="s">
        <v>9173</v>
      </c>
      <c r="H201" s="1"/>
    </row>
    <row r="202" spans="1:8" x14ac:dyDescent="0.25">
      <c r="A202" s="1"/>
      <c r="B202" s="1" t="s">
        <v>8885</v>
      </c>
      <c r="C202" s="1" t="s">
        <v>8886</v>
      </c>
      <c r="D202" s="22" t="str">
        <f>HYPERLINK("https://rhld.insurance.arkansas.gov/NPILookup?Npi=1598057044","1598057044")</f>
        <v>1598057044</v>
      </c>
      <c r="E202" s="1" t="s">
        <v>15209</v>
      </c>
      <c r="F202" s="1" t="s">
        <v>9173</v>
      </c>
      <c r="G202" s="1" t="s">
        <v>9173</v>
      </c>
      <c r="H202" s="1"/>
    </row>
    <row r="203" spans="1:8" x14ac:dyDescent="0.25">
      <c r="A203" s="1"/>
      <c r="B203" s="1" t="s">
        <v>8885</v>
      </c>
      <c r="C203" s="1" t="s">
        <v>8886</v>
      </c>
      <c r="D203" s="22" t="str">
        <f>HYPERLINK("https://rhld.insurance.arkansas.gov/NPILookup?Npi=1598875460","1598875460")</f>
        <v>1598875460</v>
      </c>
      <c r="E203" s="1" t="s">
        <v>15161</v>
      </c>
      <c r="F203" s="1" t="s">
        <v>9173</v>
      </c>
      <c r="G203" s="1" t="s">
        <v>9173</v>
      </c>
      <c r="H203" s="1"/>
    </row>
    <row r="204" spans="1:8" x14ac:dyDescent="0.25">
      <c r="A204" s="1"/>
      <c r="B204" s="1" t="s">
        <v>8885</v>
      </c>
      <c r="C204" s="1" t="s">
        <v>8886</v>
      </c>
      <c r="D204" s="22" t="str">
        <f>HYPERLINK("https://rhld.insurance.arkansas.gov/NPILookup?Npi=1609917202","1609917202")</f>
        <v>1609917202</v>
      </c>
      <c r="E204" s="1" t="s">
        <v>15210</v>
      </c>
      <c r="F204" s="1" t="s">
        <v>9173</v>
      </c>
      <c r="G204" s="1" t="s">
        <v>9173</v>
      </c>
      <c r="H204" s="1"/>
    </row>
    <row r="205" spans="1:8" x14ac:dyDescent="0.25">
      <c r="A205" s="1"/>
      <c r="B205" s="1" t="s">
        <v>8885</v>
      </c>
      <c r="C205" s="1" t="s">
        <v>8886</v>
      </c>
      <c r="D205" s="22" t="str">
        <f>HYPERLINK("https://rhld.insurance.arkansas.gov/NPILookup?Npi=1619117520","1619117520")</f>
        <v>1619117520</v>
      </c>
      <c r="E205" s="1" t="s">
        <v>15211</v>
      </c>
      <c r="F205" s="1" t="s">
        <v>9173</v>
      </c>
      <c r="G205" s="1" t="s">
        <v>9173</v>
      </c>
      <c r="H205" s="1"/>
    </row>
    <row r="206" spans="1:8" x14ac:dyDescent="0.25">
      <c r="A206" s="1"/>
      <c r="B206" s="1" t="s">
        <v>8885</v>
      </c>
      <c r="C206" s="1" t="s">
        <v>8886</v>
      </c>
      <c r="D206" s="22" t="str">
        <f>HYPERLINK("https://rhld.insurance.arkansas.gov/NPILookup?Npi=1619131075","1619131075")</f>
        <v>1619131075</v>
      </c>
      <c r="E206" s="1" t="s">
        <v>15118</v>
      </c>
      <c r="F206" s="1" t="s">
        <v>9173</v>
      </c>
      <c r="G206" s="1" t="s">
        <v>9173</v>
      </c>
      <c r="H206" s="1"/>
    </row>
    <row r="207" spans="1:8" x14ac:dyDescent="0.25">
      <c r="A207" s="1"/>
      <c r="B207" s="1" t="s">
        <v>8885</v>
      </c>
      <c r="C207" s="1" t="s">
        <v>8886</v>
      </c>
      <c r="D207" s="22" t="str">
        <f>HYPERLINK("https://rhld.insurance.arkansas.gov/NPILookup?Npi=1619676251","1619676251")</f>
        <v>1619676251</v>
      </c>
      <c r="E207" s="1" t="s">
        <v>9626</v>
      </c>
      <c r="F207" s="1" t="s">
        <v>9173</v>
      </c>
      <c r="G207" s="1" t="s">
        <v>9173</v>
      </c>
      <c r="H207" s="1"/>
    </row>
    <row r="208" spans="1:8" x14ac:dyDescent="0.25">
      <c r="A208" s="1"/>
      <c r="B208" s="1" t="s">
        <v>8885</v>
      </c>
      <c r="C208" s="1" t="s">
        <v>8886</v>
      </c>
      <c r="D208" s="22" t="str">
        <f>HYPERLINK("https://rhld.insurance.arkansas.gov/NPILookup?Npi=1629011002","1629011002")</f>
        <v>1629011002</v>
      </c>
      <c r="E208" s="1" t="s">
        <v>15212</v>
      </c>
      <c r="F208" s="1" t="s">
        <v>9173</v>
      </c>
      <c r="G208" s="1" t="s">
        <v>9173</v>
      </c>
      <c r="H208" s="1"/>
    </row>
    <row r="209" spans="1:8" x14ac:dyDescent="0.25">
      <c r="A209" s="1"/>
      <c r="B209" s="1" t="s">
        <v>8885</v>
      </c>
      <c r="C209" s="1" t="s">
        <v>8886</v>
      </c>
      <c r="D209" s="22" t="str">
        <f>HYPERLINK("https://rhld.insurance.arkansas.gov/NPILookup?Npi=1629052063","1629052063")</f>
        <v>1629052063</v>
      </c>
      <c r="E209" s="1" t="s">
        <v>15213</v>
      </c>
      <c r="F209" s="1" t="s">
        <v>9173</v>
      </c>
      <c r="G209" s="1" t="s">
        <v>9173</v>
      </c>
      <c r="H209" s="1"/>
    </row>
    <row r="210" spans="1:8" x14ac:dyDescent="0.25">
      <c r="A210" s="1"/>
      <c r="B210" s="1" t="s">
        <v>8885</v>
      </c>
      <c r="C210" s="1" t="s">
        <v>8886</v>
      </c>
      <c r="D210" s="22" t="str">
        <f>HYPERLINK("https://rhld.insurance.arkansas.gov/NPILookup?Npi=1629057229","1629057229")</f>
        <v>1629057229</v>
      </c>
      <c r="E210" s="1" t="s">
        <v>15214</v>
      </c>
      <c r="F210" s="1" t="s">
        <v>9173</v>
      </c>
      <c r="G210" s="1" t="s">
        <v>9173</v>
      </c>
      <c r="H210" s="1"/>
    </row>
    <row r="211" spans="1:8" x14ac:dyDescent="0.25">
      <c r="A211" s="1"/>
      <c r="B211" s="1" t="s">
        <v>8885</v>
      </c>
      <c r="C211" s="1" t="s">
        <v>8886</v>
      </c>
      <c r="D211" s="22" t="str">
        <f>HYPERLINK("https://rhld.insurance.arkansas.gov/NPILookup?Npi=1639352875","1639352875")</f>
        <v>1639352875</v>
      </c>
      <c r="E211" s="1" t="s">
        <v>15215</v>
      </c>
      <c r="F211" s="1" t="s">
        <v>9173</v>
      </c>
      <c r="G211" s="1" t="s">
        <v>9173</v>
      </c>
      <c r="H211" s="1"/>
    </row>
    <row r="212" spans="1:8" x14ac:dyDescent="0.25">
      <c r="A212" s="1"/>
      <c r="B212" s="1" t="s">
        <v>8885</v>
      </c>
      <c r="C212" s="1" t="s">
        <v>8886</v>
      </c>
      <c r="D212" s="22" t="str">
        <f>HYPERLINK("https://rhld.insurance.arkansas.gov/NPILookup?Npi=1639814338","1639814338")</f>
        <v>1639814338</v>
      </c>
      <c r="E212" s="1" t="s">
        <v>15216</v>
      </c>
      <c r="F212" s="1" t="s">
        <v>9173</v>
      </c>
      <c r="G212" s="1" t="s">
        <v>9173</v>
      </c>
      <c r="H212" s="1"/>
    </row>
    <row r="213" spans="1:8" x14ac:dyDescent="0.25">
      <c r="A213" s="1"/>
      <c r="B213" s="1" t="s">
        <v>8885</v>
      </c>
      <c r="C213" s="1" t="s">
        <v>8886</v>
      </c>
      <c r="D213" s="22" t="str">
        <f>HYPERLINK("https://rhld.insurance.arkansas.gov/NPILookup?Npi=1639921430","1639921430")</f>
        <v>1639921430</v>
      </c>
      <c r="E213" s="1" t="s">
        <v>31314</v>
      </c>
      <c r="F213" s="1" t="s">
        <v>9173</v>
      </c>
      <c r="G213" s="1" t="s">
        <v>9173</v>
      </c>
      <c r="H213" s="1"/>
    </row>
    <row r="214" spans="1:8" x14ac:dyDescent="0.25">
      <c r="A214" s="1"/>
      <c r="B214" s="1" t="s">
        <v>8885</v>
      </c>
      <c r="C214" s="1" t="s">
        <v>8886</v>
      </c>
      <c r="D214" s="22" t="str">
        <f>HYPERLINK("https://rhld.insurance.arkansas.gov/NPILookup?Npi=1649397308","1649397308")</f>
        <v>1649397308</v>
      </c>
      <c r="E214" s="1" t="s">
        <v>15205</v>
      </c>
      <c r="F214" s="1" t="s">
        <v>9173</v>
      </c>
      <c r="G214" s="1" t="s">
        <v>9173</v>
      </c>
      <c r="H214" s="1"/>
    </row>
    <row r="215" spans="1:8" x14ac:dyDescent="0.25">
      <c r="A215" s="1"/>
      <c r="B215" s="1" t="s">
        <v>8885</v>
      </c>
      <c r="C215" s="1" t="s">
        <v>8886</v>
      </c>
      <c r="D215" s="22" t="str">
        <f>HYPERLINK("https://rhld.insurance.arkansas.gov/NPILookup?Npi=1649589268","1649589268")</f>
        <v>1649589268</v>
      </c>
      <c r="E215" s="1" t="s">
        <v>15217</v>
      </c>
      <c r="F215" s="1" t="s">
        <v>9173</v>
      </c>
      <c r="G215" s="1" t="s">
        <v>9173</v>
      </c>
      <c r="H215" s="1"/>
    </row>
    <row r="216" spans="1:8" x14ac:dyDescent="0.25">
      <c r="A216" s="1"/>
      <c r="B216" s="1" t="s">
        <v>8885</v>
      </c>
      <c r="C216" s="1" t="s">
        <v>8886</v>
      </c>
      <c r="D216" s="22" t="str">
        <f>HYPERLINK("https://rhld.insurance.arkansas.gov/NPILookup?Npi=1659527059","1659527059")</f>
        <v>1659527059</v>
      </c>
      <c r="E216" s="1" t="s">
        <v>15218</v>
      </c>
      <c r="F216" s="1" t="s">
        <v>9173</v>
      </c>
      <c r="G216" s="1" t="s">
        <v>9173</v>
      </c>
      <c r="H216" s="1"/>
    </row>
    <row r="217" spans="1:8" x14ac:dyDescent="0.25">
      <c r="A217" s="1"/>
      <c r="B217" s="1" t="s">
        <v>8885</v>
      </c>
      <c r="C217" s="1" t="s">
        <v>8886</v>
      </c>
      <c r="D217" s="22" t="str">
        <f>HYPERLINK("https://rhld.insurance.arkansas.gov/NPILookup?Npi=1669542346","1669542346")</f>
        <v>1669542346</v>
      </c>
      <c r="E217" s="1" t="s">
        <v>15219</v>
      </c>
      <c r="F217" s="1" t="s">
        <v>9173</v>
      </c>
      <c r="G217" s="1" t="s">
        <v>9173</v>
      </c>
      <c r="H217" s="1"/>
    </row>
    <row r="218" spans="1:8" x14ac:dyDescent="0.25">
      <c r="A218" s="1"/>
      <c r="B218" s="1" t="s">
        <v>8885</v>
      </c>
      <c r="C218" s="1" t="s">
        <v>8886</v>
      </c>
      <c r="D218" s="22" t="str">
        <f>HYPERLINK("https://rhld.insurance.arkansas.gov/NPILookup?Npi=1669628061","1669628061")</f>
        <v>1669628061</v>
      </c>
      <c r="E218" s="1" t="s">
        <v>15218</v>
      </c>
      <c r="F218" s="1" t="s">
        <v>9173</v>
      </c>
      <c r="G218" s="1" t="s">
        <v>9173</v>
      </c>
      <c r="H218" s="1"/>
    </row>
    <row r="219" spans="1:8" x14ac:dyDescent="0.25">
      <c r="A219" s="1"/>
      <c r="B219" s="1" t="s">
        <v>8885</v>
      </c>
      <c r="C219" s="1" t="s">
        <v>8886</v>
      </c>
      <c r="D219" s="22" t="str">
        <f>HYPERLINK("https://rhld.insurance.arkansas.gov/NPILookup?Npi=1679578439","1679578439")</f>
        <v>1679578439</v>
      </c>
      <c r="E219" s="1" t="s">
        <v>15220</v>
      </c>
      <c r="F219" s="1" t="s">
        <v>9173</v>
      </c>
      <c r="G219" s="1" t="s">
        <v>9173</v>
      </c>
      <c r="H219" s="1"/>
    </row>
    <row r="220" spans="1:8" x14ac:dyDescent="0.25">
      <c r="A220" s="1"/>
      <c r="B220" s="1" t="s">
        <v>8885</v>
      </c>
      <c r="C220" s="1" t="s">
        <v>8886</v>
      </c>
      <c r="D220" s="22" t="str">
        <f>HYPERLINK("https://rhld.insurance.arkansas.gov/NPILookup?Npi=1679625511","1679625511")</f>
        <v>1679625511</v>
      </c>
      <c r="E220" s="1" t="s">
        <v>15221</v>
      </c>
      <c r="F220" s="1" t="s">
        <v>9173</v>
      </c>
      <c r="G220" s="1" t="s">
        <v>9173</v>
      </c>
      <c r="H220" s="1"/>
    </row>
    <row r="221" spans="1:8" x14ac:dyDescent="0.25">
      <c r="A221" s="1"/>
      <c r="B221" s="1" t="s">
        <v>8885</v>
      </c>
      <c r="C221" s="1" t="s">
        <v>8886</v>
      </c>
      <c r="D221" s="22" t="str">
        <f>HYPERLINK("https://rhld.insurance.arkansas.gov/NPILookup?Npi=1679730667","1679730667")</f>
        <v>1679730667</v>
      </c>
      <c r="E221" s="1" t="s">
        <v>15222</v>
      </c>
      <c r="F221" s="1" t="s">
        <v>9173</v>
      </c>
      <c r="G221" s="1" t="s">
        <v>9173</v>
      </c>
      <c r="H221" s="1"/>
    </row>
    <row r="222" spans="1:8" x14ac:dyDescent="0.25">
      <c r="A222" s="1"/>
      <c r="B222" s="1" t="s">
        <v>8885</v>
      </c>
      <c r="C222" s="1" t="s">
        <v>8886</v>
      </c>
      <c r="D222" s="22" t="str">
        <f>HYPERLINK("https://rhld.insurance.arkansas.gov/NPILookup?Npi=1679880041","1679880041")</f>
        <v>1679880041</v>
      </c>
      <c r="E222" s="1" t="s">
        <v>15223</v>
      </c>
      <c r="F222" s="1" t="s">
        <v>9173</v>
      </c>
      <c r="G222" s="1" t="s">
        <v>9173</v>
      </c>
      <c r="H222" s="1"/>
    </row>
    <row r="223" spans="1:8" x14ac:dyDescent="0.25">
      <c r="A223" s="1"/>
      <c r="B223" s="1" t="s">
        <v>8885</v>
      </c>
      <c r="C223" s="1" t="s">
        <v>8886</v>
      </c>
      <c r="D223" s="22" t="str">
        <f>HYPERLINK("https://rhld.insurance.arkansas.gov/NPILookup?Npi=1689628232","1689628232")</f>
        <v>1689628232</v>
      </c>
      <c r="E223" s="1" t="s">
        <v>15224</v>
      </c>
      <c r="F223" s="1" t="s">
        <v>9173</v>
      </c>
      <c r="G223" s="1" t="s">
        <v>9173</v>
      </c>
      <c r="H223" s="1"/>
    </row>
    <row r="224" spans="1:8" x14ac:dyDescent="0.25">
      <c r="A224" s="1"/>
      <c r="B224" s="1" t="s">
        <v>8885</v>
      </c>
      <c r="C224" s="1" t="s">
        <v>8886</v>
      </c>
      <c r="D224" s="22" t="str">
        <f>HYPERLINK("https://rhld.insurance.arkansas.gov/NPILookup?Npi=1689663007","1689663007")</f>
        <v>1689663007</v>
      </c>
      <c r="E224" s="1" t="s">
        <v>15225</v>
      </c>
      <c r="F224" s="1" t="s">
        <v>9173</v>
      </c>
      <c r="G224" s="1" t="s">
        <v>9173</v>
      </c>
      <c r="H224" s="1"/>
    </row>
    <row r="225" spans="1:8" x14ac:dyDescent="0.25">
      <c r="A225" s="1"/>
      <c r="B225" s="1" t="s">
        <v>8885</v>
      </c>
      <c r="C225" s="1" t="s">
        <v>8886</v>
      </c>
      <c r="D225" s="22" t="str">
        <f>HYPERLINK("https://rhld.insurance.arkansas.gov/NPILookup?Npi=1689676835","1689676835")</f>
        <v>1689676835</v>
      </c>
      <c r="E225" s="1" t="s">
        <v>15219</v>
      </c>
      <c r="F225" s="1" t="s">
        <v>9173</v>
      </c>
      <c r="G225" s="1" t="s">
        <v>9173</v>
      </c>
      <c r="H225" s="1"/>
    </row>
    <row r="226" spans="1:8" x14ac:dyDescent="0.25">
      <c r="A226" s="1"/>
      <c r="B226" s="1" t="s">
        <v>8885</v>
      </c>
      <c r="C226" s="1" t="s">
        <v>8886</v>
      </c>
      <c r="D226" s="22" t="str">
        <f>HYPERLINK("https://rhld.insurance.arkansas.gov/NPILookup?Npi=1699714717","1699714717")</f>
        <v>1699714717</v>
      </c>
      <c r="E226" s="1" t="s">
        <v>15204</v>
      </c>
      <c r="F226" s="1" t="s">
        <v>9173</v>
      </c>
      <c r="G226" s="1" t="s">
        <v>9173</v>
      </c>
      <c r="H226" s="1"/>
    </row>
    <row r="227" spans="1:8" x14ac:dyDescent="0.25">
      <c r="A227" s="1"/>
      <c r="B227" s="1" t="s">
        <v>8885</v>
      </c>
      <c r="C227" s="1" t="s">
        <v>8886</v>
      </c>
      <c r="D227" s="22" t="str">
        <f>HYPERLINK("https://rhld.insurance.arkansas.gov/NPILookup?Npi=1699726695","1699726695")</f>
        <v>1699726695</v>
      </c>
      <c r="E227" s="1" t="s">
        <v>15226</v>
      </c>
      <c r="F227" s="1" t="s">
        <v>9173</v>
      </c>
      <c r="G227" s="1" t="s">
        <v>9173</v>
      </c>
      <c r="H227" s="1"/>
    </row>
    <row r="228" spans="1:8" x14ac:dyDescent="0.25">
      <c r="A228" s="1"/>
      <c r="B228" s="1" t="s">
        <v>8885</v>
      </c>
      <c r="C228" s="1" t="s">
        <v>8886</v>
      </c>
      <c r="D228" s="22" t="str">
        <f>HYPERLINK("https://rhld.insurance.arkansas.gov/NPILookup?Npi=1699754812","1699754812")</f>
        <v>1699754812</v>
      </c>
      <c r="E228" s="1" t="s">
        <v>15227</v>
      </c>
      <c r="F228" s="1" t="s">
        <v>9173</v>
      </c>
      <c r="G228" s="1" t="s">
        <v>9173</v>
      </c>
      <c r="H228" s="1"/>
    </row>
    <row r="229" spans="1:8" x14ac:dyDescent="0.25">
      <c r="A229" s="1"/>
      <c r="B229" s="1" t="s">
        <v>8885</v>
      </c>
      <c r="C229" s="1" t="s">
        <v>8886</v>
      </c>
      <c r="D229" s="22" t="str">
        <f>HYPERLINK("https://rhld.insurance.arkansas.gov/NPILookup?Npi=1699756445","1699756445")</f>
        <v>1699756445</v>
      </c>
      <c r="E229" s="1" t="s">
        <v>15104</v>
      </c>
      <c r="F229" s="1" t="s">
        <v>9173</v>
      </c>
      <c r="G229" s="1" t="s">
        <v>9173</v>
      </c>
      <c r="H229" s="1"/>
    </row>
    <row r="230" spans="1:8" x14ac:dyDescent="0.25">
      <c r="A230" s="1"/>
      <c r="B230" s="1" t="s">
        <v>8885</v>
      </c>
      <c r="C230" s="1" t="s">
        <v>8886</v>
      </c>
      <c r="D230" s="22" t="str">
        <f>HYPERLINK("https://rhld.insurance.arkansas.gov/NPILookup?Npi=1699765453","1699765453")</f>
        <v>1699765453</v>
      </c>
      <c r="E230" s="1" t="s">
        <v>15228</v>
      </c>
      <c r="F230" s="1" t="s">
        <v>9173</v>
      </c>
      <c r="G230" s="1" t="s">
        <v>9173</v>
      </c>
      <c r="H230" s="1"/>
    </row>
    <row r="231" spans="1:8" x14ac:dyDescent="0.25">
      <c r="A231" s="1"/>
      <c r="B231" s="1" t="s">
        <v>8885</v>
      </c>
      <c r="C231" s="1" t="s">
        <v>8886</v>
      </c>
      <c r="D231" s="22" t="str">
        <f>HYPERLINK("https://rhld.insurance.arkansas.gov/NPILookup?Npi=1700112745","1700112745")</f>
        <v>1700112745</v>
      </c>
      <c r="E231" s="1" t="s">
        <v>15229</v>
      </c>
      <c r="F231" s="1" t="s">
        <v>9173</v>
      </c>
      <c r="G231" s="1" t="s">
        <v>9173</v>
      </c>
      <c r="H231" s="1"/>
    </row>
    <row r="232" spans="1:8" x14ac:dyDescent="0.25">
      <c r="A232" s="1"/>
      <c r="B232" s="1" t="s">
        <v>8885</v>
      </c>
      <c r="C232" s="1" t="s">
        <v>8886</v>
      </c>
      <c r="D232" s="22" t="str">
        <f>HYPERLINK("https://rhld.insurance.arkansas.gov/NPILookup?Npi=1700334232","1700334232")</f>
        <v>1700334232</v>
      </c>
      <c r="E232" s="1" t="s">
        <v>15230</v>
      </c>
      <c r="F232" s="1" t="s">
        <v>9173</v>
      </c>
      <c r="G232" s="1" t="s">
        <v>9173</v>
      </c>
      <c r="H232" s="1"/>
    </row>
    <row r="233" spans="1:8" x14ac:dyDescent="0.25">
      <c r="A233" s="1"/>
      <c r="B233" s="1" t="s">
        <v>8885</v>
      </c>
      <c r="C233" s="1" t="s">
        <v>8886</v>
      </c>
      <c r="D233" s="22" t="str">
        <f>HYPERLINK("https://rhld.insurance.arkansas.gov/NPILookup?Npi=1700407541","1700407541")</f>
        <v>1700407541</v>
      </c>
      <c r="E233" s="1" t="s">
        <v>1162</v>
      </c>
      <c r="F233" s="1" t="s">
        <v>9173</v>
      </c>
      <c r="G233" s="1" t="s">
        <v>9173</v>
      </c>
      <c r="H233" s="1"/>
    </row>
    <row r="234" spans="1:8" x14ac:dyDescent="0.25">
      <c r="A234" s="1"/>
      <c r="B234" s="1" t="s">
        <v>8885</v>
      </c>
      <c r="C234" s="1" t="s">
        <v>8886</v>
      </c>
      <c r="D234" s="22" t="str">
        <f>HYPERLINK("https://rhld.insurance.arkansas.gov/NPILookup?Npi=1700831724","1700831724")</f>
        <v>1700831724</v>
      </c>
      <c r="E234" s="1" t="s">
        <v>662</v>
      </c>
      <c r="F234" s="1" t="s">
        <v>9173</v>
      </c>
      <c r="G234" s="1" t="s">
        <v>9173</v>
      </c>
      <c r="H234" s="1"/>
    </row>
    <row r="235" spans="1:8" x14ac:dyDescent="0.25">
      <c r="A235" s="1"/>
      <c r="B235" s="1" t="s">
        <v>8885</v>
      </c>
      <c r="C235" s="1" t="s">
        <v>8886</v>
      </c>
      <c r="D235" s="22" t="str">
        <f>HYPERLINK("https://rhld.insurance.arkansas.gov/NPILookup?Npi=1710042429","1710042429")</f>
        <v>1710042429</v>
      </c>
      <c r="E235" s="1" t="s">
        <v>15231</v>
      </c>
      <c r="F235" s="1" t="s">
        <v>9173</v>
      </c>
      <c r="G235" s="1" t="s">
        <v>9173</v>
      </c>
      <c r="H235" s="1"/>
    </row>
    <row r="236" spans="1:8" x14ac:dyDescent="0.25">
      <c r="A236" s="1"/>
      <c r="B236" s="1" t="s">
        <v>8885</v>
      </c>
      <c r="C236" s="1" t="s">
        <v>8886</v>
      </c>
      <c r="D236" s="22" t="str">
        <f>HYPERLINK("https://rhld.insurance.arkansas.gov/NPILookup?Npi=1710463146","1710463146")</f>
        <v>1710463146</v>
      </c>
      <c r="E236" s="1" t="s">
        <v>2450</v>
      </c>
      <c r="F236" s="1" t="s">
        <v>9173</v>
      </c>
      <c r="G236" s="1" t="s">
        <v>9173</v>
      </c>
      <c r="H236" s="1"/>
    </row>
    <row r="237" spans="1:8" x14ac:dyDescent="0.25">
      <c r="A237" s="1"/>
      <c r="B237" s="1" t="s">
        <v>8885</v>
      </c>
      <c r="C237" s="1" t="s">
        <v>8886</v>
      </c>
      <c r="D237" s="22" t="str">
        <f>HYPERLINK("https://rhld.insurance.arkansas.gov/NPILookup?Npi=1710909585","1710909585")</f>
        <v>1710909585</v>
      </c>
      <c r="E237" s="1" t="s">
        <v>15193</v>
      </c>
      <c r="F237" s="1" t="s">
        <v>9173</v>
      </c>
      <c r="G237" s="1" t="s">
        <v>9173</v>
      </c>
      <c r="H237" s="1"/>
    </row>
    <row r="238" spans="1:8" x14ac:dyDescent="0.25">
      <c r="A238" s="1"/>
      <c r="B238" s="1" t="s">
        <v>8885</v>
      </c>
      <c r="C238" s="1" t="s">
        <v>8886</v>
      </c>
      <c r="D238" s="22" t="str">
        <f>HYPERLINK("https://rhld.insurance.arkansas.gov/NPILookup?Npi=1710931985","1710931985")</f>
        <v>1710931985</v>
      </c>
      <c r="E238" s="1" t="s">
        <v>15232</v>
      </c>
      <c r="F238" s="1" t="s">
        <v>9173</v>
      </c>
      <c r="G238" s="1" t="s">
        <v>9173</v>
      </c>
      <c r="H238" s="1"/>
    </row>
    <row r="239" spans="1:8" x14ac:dyDescent="0.25">
      <c r="A239" s="1"/>
      <c r="B239" s="1" t="s">
        <v>8885</v>
      </c>
      <c r="C239" s="1" t="s">
        <v>8886</v>
      </c>
      <c r="D239" s="22" t="str">
        <f>HYPERLINK("https://rhld.insurance.arkansas.gov/NPILookup?Npi=1710941356","1710941356")</f>
        <v>1710941356</v>
      </c>
      <c r="E239" s="1" t="s">
        <v>15233</v>
      </c>
      <c r="F239" s="1" t="s">
        <v>9173</v>
      </c>
      <c r="G239" s="1" t="s">
        <v>9173</v>
      </c>
      <c r="H239" s="1"/>
    </row>
    <row r="240" spans="1:8" x14ac:dyDescent="0.25">
      <c r="A240" s="1"/>
      <c r="B240" s="1" t="s">
        <v>8885</v>
      </c>
      <c r="C240" s="1" t="s">
        <v>8886</v>
      </c>
      <c r="D240" s="22" t="str">
        <f>HYPERLINK("https://rhld.insurance.arkansas.gov/NPILookup?Npi=1710943881","1710943881")</f>
        <v>1710943881</v>
      </c>
      <c r="E240" s="1" t="s">
        <v>654</v>
      </c>
      <c r="F240" s="1" t="s">
        <v>9173</v>
      </c>
      <c r="G240" s="1" t="s">
        <v>9173</v>
      </c>
      <c r="H240" s="1"/>
    </row>
    <row r="241" spans="1:8" x14ac:dyDescent="0.25">
      <c r="A241" s="1"/>
      <c r="B241" s="1" t="s">
        <v>8885</v>
      </c>
      <c r="C241" s="1" t="s">
        <v>8886</v>
      </c>
      <c r="D241" s="22" t="str">
        <f>HYPERLINK("https://rhld.insurance.arkansas.gov/NPILookup?Npi=1720053556","1720053556")</f>
        <v>1720053556</v>
      </c>
      <c r="E241" s="1" t="s">
        <v>15234</v>
      </c>
      <c r="F241" s="1" t="s">
        <v>9173</v>
      </c>
      <c r="G241" s="1" t="s">
        <v>9173</v>
      </c>
      <c r="H241" s="1"/>
    </row>
    <row r="242" spans="1:8" x14ac:dyDescent="0.25">
      <c r="A242" s="1"/>
      <c r="B242" s="1" t="s">
        <v>8885</v>
      </c>
      <c r="C242" s="1" t="s">
        <v>8886</v>
      </c>
      <c r="D242" s="22" t="str">
        <f>HYPERLINK("https://rhld.insurance.arkansas.gov/NPILookup?Npi=1720101595","1720101595")</f>
        <v>1720101595</v>
      </c>
      <c r="E242" s="1" t="s">
        <v>15235</v>
      </c>
      <c r="F242" s="1" t="s">
        <v>9173</v>
      </c>
      <c r="G242" s="1" t="s">
        <v>9173</v>
      </c>
      <c r="H242" s="1"/>
    </row>
    <row r="243" spans="1:8" x14ac:dyDescent="0.25">
      <c r="A243" s="1"/>
      <c r="B243" s="1" t="s">
        <v>8885</v>
      </c>
      <c r="C243" s="1" t="s">
        <v>8886</v>
      </c>
      <c r="D243" s="22" t="str">
        <f>HYPERLINK("https://rhld.insurance.arkansas.gov/NPILookup?Npi=1720419583","1720419583")</f>
        <v>1720419583</v>
      </c>
      <c r="E243" s="1" t="s">
        <v>15236</v>
      </c>
      <c r="F243" s="1" t="s">
        <v>9173</v>
      </c>
      <c r="G243" s="1" t="s">
        <v>9173</v>
      </c>
      <c r="H243" s="1"/>
    </row>
    <row r="244" spans="1:8" x14ac:dyDescent="0.25">
      <c r="A244" s="1"/>
      <c r="B244" s="1" t="s">
        <v>8885</v>
      </c>
      <c r="C244" s="1" t="s">
        <v>8886</v>
      </c>
      <c r="D244" s="22" t="str">
        <f>HYPERLINK("https://rhld.insurance.arkansas.gov/NPILookup?Npi=1720672934","1720672934")</f>
        <v>1720672934</v>
      </c>
      <c r="E244" s="1" t="s">
        <v>15237</v>
      </c>
      <c r="F244" s="1" t="s">
        <v>9173</v>
      </c>
      <c r="G244" s="1" t="s">
        <v>9173</v>
      </c>
      <c r="H244" s="1"/>
    </row>
    <row r="245" spans="1:8" x14ac:dyDescent="0.25">
      <c r="A245" s="1"/>
      <c r="B245" s="1" t="s">
        <v>8885</v>
      </c>
      <c r="C245" s="1" t="s">
        <v>8886</v>
      </c>
      <c r="D245" s="22" t="str">
        <f>HYPERLINK("https://rhld.insurance.arkansas.gov/NPILookup?Npi=1730264128","1730264128")</f>
        <v>1730264128</v>
      </c>
      <c r="E245" s="1" t="s">
        <v>15238</v>
      </c>
      <c r="F245" s="1" t="s">
        <v>9173</v>
      </c>
      <c r="G245" s="1" t="s">
        <v>9173</v>
      </c>
      <c r="H245" s="1"/>
    </row>
    <row r="246" spans="1:8" x14ac:dyDescent="0.25">
      <c r="A246" s="1"/>
      <c r="B246" s="1" t="s">
        <v>8885</v>
      </c>
      <c r="C246" s="1" t="s">
        <v>8886</v>
      </c>
      <c r="D246" s="22" t="str">
        <f>HYPERLINK("https://rhld.insurance.arkansas.gov/NPILookup?Npi=1730480120","1730480120")</f>
        <v>1730480120</v>
      </c>
      <c r="E246" s="1" t="s">
        <v>15239</v>
      </c>
      <c r="F246" s="1" t="s">
        <v>9173</v>
      </c>
      <c r="G246" s="1" t="s">
        <v>9173</v>
      </c>
      <c r="H246" s="1"/>
    </row>
    <row r="247" spans="1:8" x14ac:dyDescent="0.25">
      <c r="A247" s="1"/>
      <c r="B247" s="1" t="s">
        <v>8885</v>
      </c>
      <c r="C247" s="1" t="s">
        <v>8886</v>
      </c>
      <c r="D247" s="22" t="str">
        <f>HYPERLINK("https://rhld.insurance.arkansas.gov/NPILookup?Npi=1740298769","1740298769")</f>
        <v>1740298769</v>
      </c>
      <c r="E247" s="1" t="s">
        <v>15240</v>
      </c>
      <c r="F247" s="1" t="s">
        <v>9173</v>
      </c>
      <c r="G247" s="1" t="s">
        <v>9173</v>
      </c>
      <c r="H247" s="1"/>
    </row>
    <row r="248" spans="1:8" x14ac:dyDescent="0.25">
      <c r="A248" s="1"/>
      <c r="B248" s="1" t="s">
        <v>8885</v>
      </c>
      <c r="C248" s="1" t="s">
        <v>8886</v>
      </c>
      <c r="D248" s="22" t="str">
        <f>HYPERLINK("https://rhld.insurance.arkansas.gov/NPILookup?Npi=1740436146","1740436146")</f>
        <v>1740436146</v>
      </c>
      <c r="E248" s="1" t="s">
        <v>15218</v>
      </c>
      <c r="F248" s="1" t="s">
        <v>9173</v>
      </c>
      <c r="G248" s="1" t="s">
        <v>9173</v>
      </c>
      <c r="H248" s="1"/>
    </row>
    <row r="249" spans="1:8" x14ac:dyDescent="0.25">
      <c r="A249" s="1"/>
      <c r="B249" s="1" t="s">
        <v>8885</v>
      </c>
      <c r="C249" s="1" t="s">
        <v>8886</v>
      </c>
      <c r="D249" s="22" t="str">
        <f>HYPERLINK("https://rhld.insurance.arkansas.gov/NPILookup?Npi=1740876382","1740876382")</f>
        <v>1740876382</v>
      </c>
      <c r="E249" s="1" t="s">
        <v>15241</v>
      </c>
      <c r="F249" s="1" t="s">
        <v>9173</v>
      </c>
      <c r="G249" s="1" t="s">
        <v>9173</v>
      </c>
      <c r="H249" s="1"/>
    </row>
    <row r="250" spans="1:8" x14ac:dyDescent="0.25">
      <c r="A250" s="1"/>
      <c r="B250" s="1" t="s">
        <v>8885</v>
      </c>
      <c r="C250" s="1" t="s">
        <v>8886</v>
      </c>
      <c r="D250" s="22" t="str">
        <f>HYPERLINK("https://rhld.insurance.arkansas.gov/NPILookup?Npi=1750661534","1750661534")</f>
        <v>1750661534</v>
      </c>
      <c r="E250" s="1" t="s">
        <v>15087</v>
      </c>
      <c r="F250" s="1" t="s">
        <v>9173</v>
      </c>
      <c r="G250" s="1" t="s">
        <v>9173</v>
      </c>
      <c r="H250" s="1"/>
    </row>
    <row r="251" spans="1:8" x14ac:dyDescent="0.25">
      <c r="A251" s="1"/>
      <c r="B251" s="1" t="s">
        <v>8885</v>
      </c>
      <c r="C251" s="1" t="s">
        <v>8886</v>
      </c>
      <c r="D251" s="22" t="str">
        <f>HYPERLINK("https://rhld.insurance.arkansas.gov/NPILookup?Npi=1760443980","1760443980")</f>
        <v>1760443980</v>
      </c>
      <c r="E251" s="1" t="s">
        <v>15242</v>
      </c>
      <c r="F251" s="1" t="s">
        <v>9173</v>
      </c>
      <c r="G251" s="1" t="s">
        <v>9173</v>
      </c>
      <c r="H251" s="1"/>
    </row>
    <row r="252" spans="1:8" x14ac:dyDescent="0.25">
      <c r="A252" s="1"/>
      <c r="B252" s="1" t="s">
        <v>8885</v>
      </c>
      <c r="C252" s="1" t="s">
        <v>8886</v>
      </c>
      <c r="D252" s="22" t="str">
        <f>HYPERLINK("https://rhld.insurance.arkansas.gov/NPILookup?Npi=1780125005","1780125005")</f>
        <v>1780125005</v>
      </c>
      <c r="E252" s="1" t="s">
        <v>15243</v>
      </c>
      <c r="F252" s="1" t="s">
        <v>9173</v>
      </c>
      <c r="G252" s="1" t="s">
        <v>9173</v>
      </c>
      <c r="H252" s="1"/>
    </row>
    <row r="253" spans="1:8" x14ac:dyDescent="0.25">
      <c r="A253" s="1"/>
      <c r="B253" s="1" t="s">
        <v>8885</v>
      </c>
      <c r="C253" s="1" t="s">
        <v>8886</v>
      </c>
      <c r="D253" s="22" t="str">
        <f>HYPERLINK("https://rhld.insurance.arkansas.gov/NPILookup?Npi=1780375592","1780375592")</f>
        <v>1780375592</v>
      </c>
      <c r="E253" s="1" t="s">
        <v>8889</v>
      </c>
      <c r="F253" s="1" t="s">
        <v>9173</v>
      </c>
      <c r="G253" s="1" t="s">
        <v>9173</v>
      </c>
      <c r="H253" s="1"/>
    </row>
    <row r="254" spans="1:8" x14ac:dyDescent="0.25">
      <c r="A254" s="1"/>
      <c r="B254" s="1" t="s">
        <v>8885</v>
      </c>
      <c r="C254" s="1" t="s">
        <v>8886</v>
      </c>
      <c r="D254" s="22" t="str">
        <f>HYPERLINK("https://rhld.insurance.arkansas.gov/NPILookup?Npi=1780648352","1780648352")</f>
        <v>1780648352</v>
      </c>
      <c r="E254" s="1" t="s">
        <v>15244</v>
      </c>
      <c r="F254" s="1" t="s">
        <v>9173</v>
      </c>
      <c r="G254" s="1" t="s">
        <v>9173</v>
      </c>
      <c r="H254" s="1"/>
    </row>
    <row r="255" spans="1:8" x14ac:dyDescent="0.25">
      <c r="A255" s="1"/>
      <c r="B255" s="1" t="s">
        <v>8885</v>
      </c>
      <c r="C255" s="1" t="s">
        <v>8886</v>
      </c>
      <c r="D255" s="22" t="str">
        <f>HYPERLINK("https://rhld.insurance.arkansas.gov/NPILookup?Npi=1780684431","1780684431")</f>
        <v>1780684431</v>
      </c>
      <c r="E255" s="1" t="s">
        <v>9662</v>
      </c>
      <c r="F255" s="1" t="s">
        <v>9173</v>
      </c>
      <c r="G255" s="1" t="s">
        <v>9173</v>
      </c>
      <c r="H255" s="1"/>
    </row>
    <row r="256" spans="1:8" x14ac:dyDescent="0.25">
      <c r="A256" s="1"/>
      <c r="B256" s="1" t="s">
        <v>8885</v>
      </c>
      <c r="C256" s="1" t="s">
        <v>8886</v>
      </c>
      <c r="D256" s="22" t="str">
        <f>HYPERLINK("https://rhld.insurance.arkansas.gov/NPILookup?Npi=1780747097","1780747097")</f>
        <v>1780747097</v>
      </c>
      <c r="E256" s="1" t="s">
        <v>15245</v>
      </c>
      <c r="F256" s="1" t="s">
        <v>9173</v>
      </c>
      <c r="G256" s="1" t="s">
        <v>9173</v>
      </c>
      <c r="H256" s="1"/>
    </row>
    <row r="257" spans="1:8" x14ac:dyDescent="0.25">
      <c r="A257" s="1"/>
      <c r="B257" s="1" t="s">
        <v>8885</v>
      </c>
      <c r="C257" s="1" t="s">
        <v>8886</v>
      </c>
      <c r="D257" s="22" t="str">
        <f>HYPERLINK("https://rhld.insurance.arkansas.gov/NPILookup?Npi=1780927335","1780927335")</f>
        <v>1780927335</v>
      </c>
      <c r="E257" s="1" t="s">
        <v>15122</v>
      </c>
      <c r="F257" s="1" t="s">
        <v>9173</v>
      </c>
      <c r="G257" s="1" t="s">
        <v>9173</v>
      </c>
      <c r="H257" s="1"/>
    </row>
    <row r="258" spans="1:8" x14ac:dyDescent="0.25">
      <c r="A258" s="1"/>
      <c r="B258" s="1" t="s">
        <v>8885</v>
      </c>
      <c r="C258" s="1" t="s">
        <v>8886</v>
      </c>
      <c r="D258" s="22" t="str">
        <f>HYPERLINK("https://rhld.insurance.arkansas.gov/NPILookup?Npi=1790740363","1790740363")</f>
        <v>1790740363</v>
      </c>
      <c r="E258" s="1" t="s">
        <v>15246</v>
      </c>
      <c r="F258" s="1" t="s">
        <v>9173</v>
      </c>
      <c r="G258" s="1" t="s">
        <v>9173</v>
      </c>
      <c r="H258" s="1"/>
    </row>
    <row r="259" spans="1:8" x14ac:dyDescent="0.25">
      <c r="A259" s="1"/>
      <c r="B259" s="1" t="s">
        <v>8885</v>
      </c>
      <c r="C259" s="1" t="s">
        <v>8886</v>
      </c>
      <c r="D259" s="22" t="str">
        <f>HYPERLINK("https://rhld.insurance.arkansas.gov/NPILookup?Npi=1790773158","1790773158")</f>
        <v>1790773158</v>
      </c>
      <c r="E259" s="1" t="s">
        <v>9633</v>
      </c>
      <c r="F259" s="1" t="s">
        <v>9173</v>
      </c>
      <c r="G259" s="1" t="s">
        <v>9173</v>
      </c>
      <c r="H259" s="1"/>
    </row>
    <row r="260" spans="1:8" x14ac:dyDescent="0.25">
      <c r="A260" s="1"/>
      <c r="B260" s="1" t="s">
        <v>8885</v>
      </c>
      <c r="C260" s="1" t="s">
        <v>8886</v>
      </c>
      <c r="D260" s="22" t="str">
        <f>HYPERLINK("https://rhld.insurance.arkansas.gov/NPILookup?Npi=1790849354","1790849354")</f>
        <v>1790849354</v>
      </c>
      <c r="E260" s="1" t="s">
        <v>15155</v>
      </c>
      <c r="F260" s="1" t="s">
        <v>9173</v>
      </c>
      <c r="G260" s="1" t="s">
        <v>9173</v>
      </c>
      <c r="H260" s="1"/>
    </row>
    <row r="261" spans="1:8" x14ac:dyDescent="0.25">
      <c r="A261" s="1"/>
      <c r="B261" s="1" t="s">
        <v>8885</v>
      </c>
      <c r="C261" s="1" t="s">
        <v>8886</v>
      </c>
      <c r="D261" s="22" t="str">
        <f>HYPERLINK("https://rhld.insurance.arkansas.gov/NPILookup?Npi=1790864023","1790864023")</f>
        <v>1790864023</v>
      </c>
      <c r="E261" s="1" t="s">
        <v>15247</v>
      </c>
      <c r="F261" s="1" t="s">
        <v>9173</v>
      </c>
      <c r="G261" s="1" t="s">
        <v>9173</v>
      </c>
      <c r="H261" s="1"/>
    </row>
    <row r="262" spans="1:8" x14ac:dyDescent="0.25">
      <c r="A262" s="1"/>
      <c r="B262" s="1" t="s">
        <v>8885</v>
      </c>
      <c r="C262" s="1" t="s">
        <v>8886</v>
      </c>
      <c r="D262" s="22" t="str">
        <f>HYPERLINK("https://rhld.insurance.arkansas.gov/NPILookup?Npi=1790991065","1790991065")</f>
        <v>1790991065</v>
      </c>
      <c r="E262" s="1" t="s">
        <v>15248</v>
      </c>
      <c r="F262" s="1" t="s">
        <v>9173</v>
      </c>
      <c r="G262" s="1" t="s">
        <v>9173</v>
      </c>
      <c r="H262" s="1"/>
    </row>
    <row r="263" spans="1:8" x14ac:dyDescent="0.25">
      <c r="A263" s="1"/>
      <c r="B263" s="1" t="s">
        <v>8885</v>
      </c>
      <c r="C263" s="1" t="s">
        <v>8886</v>
      </c>
      <c r="D263" s="22" t="str">
        <f>HYPERLINK("https://rhld.insurance.arkansas.gov/NPILookup?Npi=1801825005","1801825005")</f>
        <v>1801825005</v>
      </c>
      <c r="E263" s="1" t="s">
        <v>15249</v>
      </c>
      <c r="F263" s="1" t="s">
        <v>9173</v>
      </c>
      <c r="G263" s="1" t="s">
        <v>9173</v>
      </c>
      <c r="H263" s="1"/>
    </row>
    <row r="264" spans="1:8" x14ac:dyDescent="0.25">
      <c r="A264" s="1"/>
      <c r="B264" s="1" t="s">
        <v>8885</v>
      </c>
      <c r="C264" s="1" t="s">
        <v>8886</v>
      </c>
      <c r="D264" s="22" t="str">
        <f>HYPERLINK("https://rhld.insurance.arkansas.gov/NPILookup?Npi=1801975107","1801975107")</f>
        <v>1801975107</v>
      </c>
      <c r="E264" s="1" t="s">
        <v>31315</v>
      </c>
      <c r="F264" s="1" t="s">
        <v>9173</v>
      </c>
      <c r="G264" s="1" t="s">
        <v>9173</v>
      </c>
      <c r="H264" s="1"/>
    </row>
    <row r="265" spans="1:8" x14ac:dyDescent="0.25">
      <c r="A265" s="1"/>
      <c r="B265" s="1" t="s">
        <v>8885</v>
      </c>
      <c r="C265" s="1" t="s">
        <v>8886</v>
      </c>
      <c r="D265" s="22" t="str">
        <f>HYPERLINK("https://rhld.insurance.arkansas.gov/NPILookup?Npi=1801990825","1801990825")</f>
        <v>1801990825</v>
      </c>
      <c r="E265" s="1" t="s">
        <v>15250</v>
      </c>
      <c r="F265" s="1" t="s">
        <v>9173</v>
      </c>
      <c r="G265" s="1" t="s">
        <v>9173</v>
      </c>
      <c r="H265" s="1"/>
    </row>
    <row r="266" spans="1:8" x14ac:dyDescent="0.25">
      <c r="A266" s="1"/>
      <c r="B266" s="1" t="s">
        <v>8885</v>
      </c>
      <c r="C266" s="1" t="s">
        <v>8886</v>
      </c>
      <c r="D266" s="22" t="str">
        <f>HYPERLINK("https://rhld.insurance.arkansas.gov/NPILookup?Npi=1811006661","1811006661")</f>
        <v>1811006661</v>
      </c>
      <c r="E266" s="1" t="s">
        <v>15251</v>
      </c>
      <c r="F266" s="1" t="s">
        <v>9173</v>
      </c>
      <c r="G266" s="1" t="s">
        <v>9173</v>
      </c>
      <c r="H266" s="1"/>
    </row>
    <row r="267" spans="1:8" x14ac:dyDescent="0.25">
      <c r="A267" s="1"/>
      <c r="B267" s="1" t="s">
        <v>8885</v>
      </c>
      <c r="C267" s="1" t="s">
        <v>8886</v>
      </c>
      <c r="D267" s="22" t="str">
        <f>HYPERLINK("https://rhld.insurance.arkansas.gov/NPILookup?Npi=1811068646","1811068646")</f>
        <v>1811068646</v>
      </c>
      <c r="E267" s="1" t="s">
        <v>661</v>
      </c>
      <c r="F267" s="1" t="s">
        <v>9173</v>
      </c>
      <c r="G267" s="1" t="s">
        <v>9173</v>
      </c>
      <c r="H267" s="1"/>
    </row>
    <row r="268" spans="1:8" x14ac:dyDescent="0.25">
      <c r="A268" s="1"/>
      <c r="B268" s="1" t="s">
        <v>8885</v>
      </c>
      <c r="C268" s="1" t="s">
        <v>8886</v>
      </c>
      <c r="D268" s="22" t="str">
        <f>HYPERLINK("https://rhld.insurance.arkansas.gov/NPILookup?Npi=1811929151","1811929151")</f>
        <v>1811929151</v>
      </c>
      <c r="E268" s="1" t="s">
        <v>1241</v>
      </c>
      <c r="F268" s="1" t="s">
        <v>9173</v>
      </c>
      <c r="G268" s="1" t="s">
        <v>9173</v>
      </c>
      <c r="H268" s="1"/>
    </row>
    <row r="269" spans="1:8" x14ac:dyDescent="0.25">
      <c r="A269" s="1"/>
      <c r="B269" s="1" t="s">
        <v>8885</v>
      </c>
      <c r="C269" s="1" t="s">
        <v>8886</v>
      </c>
      <c r="D269" s="22" t="str">
        <f>HYPERLINK("https://rhld.insurance.arkansas.gov/NPILookup?Npi=1831115641","1831115641")</f>
        <v>1831115641</v>
      </c>
      <c r="E269" s="1" t="s">
        <v>15196</v>
      </c>
      <c r="F269" s="1" t="s">
        <v>9173</v>
      </c>
      <c r="G269" s="1" t="s">
        <v>9173</v>
      </c>
      <c r="H269" s="1"/>
    </row>
    <row r="270" spans="1:8" x14ac:dyDescent="0.25">
      <c r="A270" s="1"/>
      <c r="B270" s="1" t="s">
        <v>8885</v>
      </c>
      <c r="C270" s="1" t="s">
        <v>8886</v>
      </c>
      <c r="D270" s="22" t="str">
        <f>HYPERLINK("https://rhld.insurance.arkansas.gov/NPILookup?Npi=1831125087","1831125087")</f>
        <v>1831125087</v>
      </c>
      <c r="E270" s="1" t="s">
        <v>15252</v>
      </c>
      <c r="F270" s="1" t="s">
        <v>9173</v>
      </c>
      <c r="G270" s="1" t="s">
        <v>9173</v>
      </c>
      <c r="H270" s="1"/>
    </row>
    <row r="271" spans="1:8" x14ac:dyDescent="0.25">
      <c r="A271" s="1"/>
      <c r="B271" s="1" t="s">
        <v>8885</v>
      </c>
      <c r="C271" s="1" t="s">
        <v>8886</v>
      </c>
      <c r="D271" s="22" t="str">
        <f>HYPERLINK("https://rhld.insurance.arkansas.gov/NPILookup?Npi=1831183748","1831183748")</f>
        <v>1831183748</v>
      </c>
      <c r="E271" s="1" t="s">
        <v>15253</v>
      </c>
      <c r="F271" s="1" t="s">
        <v>9173</v>
      </c>
      <c r="G271" s="1" t="s">
        <v>9173</v>
      </c>
      <c r="H271" s="1"/>
    </row>
    <row r="272" spans="1:8" x14ac:dyDescent="0.25">
      <c r="A272" s="1"/>
      <c r="B272" s="1" t="s">
        <v>8885</v>
      </c>
      <c r="C272" s="1" t="s">
        <v>8886</v>
      </c>
      <c r="D272" s="22" t="str">
        <f>HYPERLINK("https://rhld.insurance.arkansas.gov/NPILookup?Npi=1831255397","1831255397")</f>
        <v>1831255397</v>
      </c>
      <c r="E272" s="1" t="s">
        <v>15165</v>
      </c>
      <c r="F272" s="1" t="s">
        <v>9173</v>
      </c>
      <c r="G272" s="1" t="s">
        <v>9173</v>
      </c>
      <c r="H272" s="1"/>
    </row>
    <row r="273" spans="1:8" x14ac:dyDescent="0.25">
      <c r="A273" s="1"/>
      <c r="B273" s="1" t="s">
        <v>8885</v>
      </c>
      <c r="C273" s="1" t="s">
        <v>8886</v>
      </c>
      <c r="D273" s="22" t="str">
        <f>HYPERLINK("https://rhld.insurance.arkansas.gov/NPILookup?Npi=1831269539","1831269539")</f>
        <v>1831269539</v>
      </c>
      <c r="E273" s="1" t="s">
        <v>15254</v>
      </c>
      <c r="F273" s="1" t="s">
        <v>9173</v>
      </c>
      <c r="G273" s="1" t="s">
        <v>9173</v>
      </c>
      <c r="H273" s="1"/>
    </row>
    <row r="274" spans="1:8" x14ac:dyDescent="0.25">
      <c r="A274" s="1"/>
      <c r="B274" s="1" t="s">
        <v>8885</v>
      </c>
      <c r="C274" s="1" t="s">
        <v>8886</v>
      </c>
      <c r="D274" s="22" t="str">
        <f>HYPERLINK("https://rhld.insurance.arkansas.gov/NPILookup?Npi=1831523695","1831523695")</f>
        <v>1831523695</v>
      </c>
      <c r="E274" s="1" t="s">
        <v>15255</v>
      </c>
      <c r="F274" s="1" t="s">
        <v>9173</v>
      </c>
      <c r="G274" s="1" t="s">
        <v>9173</v>
      </c>
      <c r="H274" s="1"/>
    </row>
    <row r="275" spans="1:8" x14ac:dyDescent="0.25">
      <c r="A275" s="1"/>
      <c r="B275" s="1" t="s">
        <v>8885</v>
      </c>
      <c r="C275" s="1" t="s">
        <v>8886</v>
      </c>
      <c r="D275" s="22" t="str">
        <f>HYPERLINK("https://rhld.insurance.arkansas.gov/NPILookup?Npi=1841241833","1841241833")</f>
        <v>1841241833</v>
      </c>
      <c r="E275" s="1" t="s">
        <v>655</v>
      </c>
      <c r="F275" s="1" t="s">
        <v>9173</v>
      </c>
      <c r="G275" s="1" t="s">
        <v>9173</v>
      </c>
      <c r="H275" s="1"/>
    </row>
    <row r="276" spans="1:8" x14ac:dyDescent="0.25">
      <c r="A276" s="1"/>
      <c r="B276" s="1" t="s">
        <v>8885</v>
      </c>
      <c r="C276" s="1" t="s">
        <v>8886</v>
      </c>
      <c r="D276" s="22" t="str">
        <f>HYPERLINK("https://rhld.insurance.arkansas.gov/NPILookup?Npi=1841379161","1841379161")</f>
        <v>1841379161</v>
      </c>
      <c r="E276" s="1" t="s">
        <v>15256</v>
      </c>
      <c r="F276" s="1" t="s">
        <v>9173</v>
      </c>
      <c r="G276" s="1" t="s">
        <v>9173</v>
      </c>
      <c r="H276" s="1"/>
    </row>
    <row r="277" spans="1:8" x14ac:dyDescent="0.25">
      <c r="A277" s="1"/>
      <c r="B277" s="1" t="s">
        <v>8885</v>
      </c>
      <c r="C277" s="1" t="s">
        <v>8886</v>
      </c>
      <c r="D277" s="22" t="str">
        <f>HYPERLINK("https://rhld.insurance.arkansas.gov/NPILookup?Npi=1841414091","1841414091")</f>
        <v>1841414091</v>
      </c>
      <c r="E277" s="1" t="s">
        <v>15144</v>
      </c>
      <c r="F277" s="1" t="s">
        <v>9173</v>
      </c>
      <c r="G277" s="1" t="s">
        <v>9173</v>
      </c>
      <c r="H277" s="1"/>
    </row>
    <row r="278" spans="1:8" x14ac:dyDescent="0.25">
      <c r="A278" s="1"/>
      <c r="B278" s="1" t="s">
        <v>8885</v>
      </c>
      <c r="C278" s="1" t="s">
        <v>8886</v>
      </c>
      <c r="D278" s="22" t="str">
        <f>HYPERLINK("https://rhld.insurance.arkansas.gov/NPILookup?Npi=1861449639","1861449639")</f>
        <v>1861449639</v>
      </c>
      <c r="E278" s="1" t="s">
        <v>15257</v>
      </c>
      <c r="F278" s="1" t="s">
        <v>9173</v>
      </c>
      <c r="G278" s="1" t="s">
        <v>9173</v>
      </c>
      <c r="H278" s="1"/>
    </row>
    <row r="279" spans="1:8" x14ac:dyDescent="0.25">
      <c r="A279" s="1"/>
      <c r="B279" s="1" t="s">
        <v>8885</v>
      </c>
      <c r="C279" s="1" t="s">
        <v>8886</v>
      </c>
      <c r="D279" s="22" t="str">
        <f>HYPERLINK("https://rhld.insurance.arkansas.gov/NPILookup?Npi=1861576779","1861576779")</f>
        <v>1861576779</v>
      </c>
      <c r="E279" s="1" t="s">
        <v>15223</v>
      </c>
      <c r="F279" s="1" t="s">
        <v>9173</v>
      </c>
      <c r="G279" s="1" t="s">
        <v>9173</v>
      </c>
      <c r="H279" s="1"/>
    </row>
    <row r="280" spans="1:8" x14ac:dyDescent="0.25">
      <c r="A280" s="1"/>
      <c r="B280" s="1" t="s">
        <v>8885</v>
      </c>
      <c r="C280" s="1" t="s">
        <v>8886</v>
      </c>
      <c r="D280" s="22" t="str">
        <f>HYPERLINK("https://rhld.insurance.arkansas.gov/NPILookup?Npi=1881788933","1881788933")</f>
        <v>1881788933</v>
      </c>
      <c r="E280" s="1" t="s">
        <v>2141</v>
      </c>
      <c r="F280" s="1" t="s">
        <v>9173</v>
      </c>
      <c r="G280" s="1" t="s">
        <v>9173</v>
      </c>
      <c r="H280" s="1"/>
    </row>
    <row r="281" spans="1:8" x14ac:dyDescent="0.25">
      <c r="A281" s="1"/>
      <c r="B281" s="1" t="s">
        <v>8885</v>
      </c>
      <c r="C281" s="1" t="s">
        <v>8886</v>
      </c>
      <c r="D281" s="22" t="str">
        <f>HYPERLINK("https://rhld.insurance.arkansas.gov/NPILookup?Npi=1891809679","1891809679")</f>
        <v>1891809679</v>
      </c>
      <c r="E281" s="1" t="s">
        <v>15258</v>
      </c>
      <c r="F281" s="1" t="s">
        <v>9173</v>
      </c>
      <c r="G281" s="1" t="s">
        <v>9173</v>
      </c>
      <c r="H281" s="1"/>
    </row>
    <row r="282" spans="1:8" x14ac:dyDescent="0.25">
      <c r="A282" s="1"/>
      <c r="B282" s="1" t="s">
        <v>8885</v>
      </c>
      <c r="C282" s="1" t="s">
        <v>8886</v>
      </c>
      <c r="D282" s="22" t="str">
        <f>HYPERLINK("https://rhld.insurance.arkansas.gov/NPILookup?Npi=1891873337","1891873337")</f>
        <v>1891873337</v>
      </c>
      <c r="E282" s="1" t="s">
        <v>1280</v>
      </c>
      <c r="F282" s="1" t="s">
        <v>9173</v>
      </c>
      <c r="G282" s="1" t="s">
        <v>9173</v>
      </c>
      <c r="H282" s="1"/>
    </row>
    <row r="283" spans="1:8" x14ac:dyDescent="0.25">
      <c r="A283" s="1"/>
      <c r="B283" s="1" t="s">
        <v>8885</v>
      </c>
      <c r="C283" s="1" t="s">
        <v>8886</v>
      </c>
      <c r="D283" s="22" t="str">
        <f>HYPERLINK("https://rhld.insurance.arkansas.gov/NPILookup?Npi=1891892741","1891892741")</f>
        <v>1891892741</v>
      </c>
      <c r="E283" s="1" t="s">
        <v>31316</v>
      </c>
      <c r="F283" s="1" t="s">
        <v>9173</v>
      </c>
      <c r="G283" s="1" t="s">
        <v>9173</v>
      </c>
      <c r="H283" s="1"/>
    </row>
    <row r="284" spans="1:8" x14ac:dyDescent="0.25">
      <c r="A284" s="1"/>
      <c r="B284" s="1" t="s">
        <v>8885</v>
      </c>
      <c r="C284" s="1" t="s">
        <v>8886</v>
      </c>
      <c r="D284" s="22" t="str">
        <f>HYPERLINK("https://rhld.insurance.arkansas.gov/NPILookup?Npi=1902051816","1902051816")</f>
        <v>1902051816</v>
      </c>
      <c r="E284" s="1" t="s">
        <v>15259</v>
      </c>
      <c r="F284" s="1" t="s">
        <v>9173</v>
      </c>
      <c r="G284" s="1" t="s">
        <v>9173</v>
      </c>
      <c r="H284" s="1"/>
    </row>
    <row r="285" spans="1:8" x14ac:dyDescent="0.25">
      <c r="A285" s="1"/>
      <c r="B285" s="1" t="s">
        <v>8885</v>
      </c>
      <c r="C285" s="1" t="s">
        <v>8886</v>
      </c>
      <c r="D285" s="22" t="str">
        <f>HYPERLINK("https://rhld.insurance.arkansas.gov/NPILookup?Npi=1902184765","1902184765")</f>
        <v>1902184765</v>
      </c>
      <c r="E285" s="1" t="s">
        <v>15260</v>
      </c>
      <c r="F285" s="1" t="s">
        <v>9173</v>
      </c>
      <c r="G285" s="1" t="s">
        <v>9173</v>
      </c>
      <c r="H285" s="1"/>
    </row>
    <row r="286" spans="1:8" x14ac:dyDescent="0.25">
      <c r="A286" s="1"/>
      <c r="B286" s="1" t="s">
        <v>8885</v>
      </c>
      <c r="C286" s="1" t="s">
        <v>8886</v>
      </c>
      <c r="D286" s="22" t="str">
        <f>HYPERLINK("https://rhld.insurance.arkansas.gov/NPILookup?Npi=1902236573","1902236573")</f>
        <v>1902236573</v>
      </c>
      <c r="E286" s="1" t="s">
        <v>15261</v>
      </c>
      <c r="F286" s="1" t="s">
        <v>9173</v>
      </c>
      <c r="G286" s="1" t="s">
        <v>9173</v>
      </c>
      <c r="H286" s="1"/>
    </row>
    <row r="287" spans="1:8" x14ac:dyDescent="0.25">
      <c r="A287" s="1"/>
      <c r="B287" s="1" t="s">
        <v>8885</v>
      </c>
      <c r="C287" s="1" t="s">
        <v>8886</v>
      </c>
      <c r="D287" s="22" t="str">
        <f>HYPERLINK("https://rhld.insurance.arkansas.gov/NPILookup?Npi=1902868391","1902868391")</f>
        <v>1902868391</v>
      </c>
      <c r="E287" s="1" t="s">
        <v>709</v>
      </c>
      <c r="F287" s="1" t="s">
        <v>9173</v>
      </c>
      <c r="G287" s="1" t="s">
        <v>9173</v>
      </c>
      <c r="H287" s="1"/>
    </row>
    <row r="288" spans="1:8" x14ac:dyDescent="0.25">
      <c r="A288" s="1"/>
      <c r="B288" s="1" t="s">
        <v>8885</v>
      </c>
      <c r="C288" s="1" t="s">
        <v>8886</v>
      </c>
      <c r="D288" s="22" t="str">
        <f>HYPERLINK("https://rhld.insurance.arkansas.gov/NPILookup?Npi=1902929771","1902929771")</f>
        <v>1902929771</v>
      </c>
      <c r="E288" s="1" t="s">
        <v>15100</v>
      </c>
      <c r="F288" s="1" t="s">
        <v>9173</v>
      </c>
      <c r="G288" s="1" t="s">
        <v>9173</v>
      </c>
      <c r="H288" s="1"/>
    </row>
    <row r="289" spans="1:8" x14ac:dyDescent="0.25">
      <c r="A289" s="1"/>
      <c r="B289" s="1" t="s">
        <v>8885</v>
      </c>
      <c r="C289" s="1" t="s">
        <v>8886</v>
      </c>
      <c r="D289" s="22" t="str">
        <f>HYPERLINK("https://rhld.insurance.arkansas.gov/NPILookup?Npi=1912047432","1912047432")</f>
        <v>1912047432</v>
      </c>
      <c r="E289" s="1" t="s">
        <v>15262</v>
      </c>
      <c r="F289" s="1" t="s">
        <v>9173</v>
      </c>
      <c r="G289" s="1" t="s">
        <v>9173</v>
      </c>
      <c r="H289" s="1"/>
    </row>
    <row r="290" spans="1:8" x14ac:dyDescent="0.25">
      <c r="A290" s="1"/>
      <c r="B290" s="1" t="s">
        <v>8885</v>
      </c>
      <c r="C290" s="1" t="s">
        <v>8886</v>
      </c>
      <c r="D290" s="22" t="str">
        <f>HYPERLINK("https://rhld.insurance.arkansas.gov/NPILookup?Npi=1912341439","1912341439")</f>
        <v>1912341439</v>
      </c>
      <c r="E290" s="1" t="s">
        <v>15263</v>
      </c>
      <c r="F290" s="1" t="s">
        <v>9173</v>
      </c>
      <c r="G290" s="1" t="s">
        <v>9173</v>
      </c>
      <c r="H290" s="1"/>
    </row>
    <row r="291" spans="1:8" x14ac:dyDescent="0.25">
      <c r="A291" s="1"/>
      <c r="B291" s="1" t="s">
        <v>8885</v>
      </c>
      <c r="C291" s="1" t="s">
        <v>8886</v>
      </c>
      <c r="D291" s="22" t="str">
        <f>HYPERLINK("https://rhld.insurance.arkansas.gov/NPILookup?Npi=1912909912","1912909912")</f>
        <v>1912909912</v>
      </c>
      <c r="E291" s="1" t="s">
        <v>15173</v>
      </c>
      <c r="F291" s="1" t="s">
        <v>9173</v>
      </c>
      <c r="G291" s="1" t="s">
        <v>9173</v>
      </c>
      <c r="H291" s="1"/>
    </row>
    <row r="292" spans="1:8" x14ac:dyDescent="0.25">
      <c r="A292" s="1"/>
      <c r="B292" s="1" t="s">
        <v>8885</v>
      </c>
      <c r="C292" s="1" t="s">
        <v>8886</v>
      </c>
      <c r="D292" s="22" t="str">
        <f>HYPERLINK("https://rhld.insurance.arkansas.gov/NPILookup?Npi=1912964081","1912964081")</f>
        <v>1912964081</v>
      </c>
      <c r="E292" s="1" t="s">
        <v>15264</v>
      </c>
      <c r="F292" s="1" t="s">
        <v>9173</v>
      </c>
      <c r="G292" s="1" t="s">
        <v>9173</v>
      </c>
      <c r="H292" s="1"/>
    </row>
    <row r="293" spans="1:8" x14ac:dyDescent="0.25">
      <c r="A293" s="1"/>
      <c r="B293" s="1" t="s">
        <v>8885</v>
      </c>
      <c r="C293" s="1" t="s">
        <v>8886</v>
      </c>
      <c r="D293" s="22" t="str">
        <f>HYPERLINK("https://rhld.insurance.arkansas.gov/NPILookup?Npi=1922043686","1922043686")</f>
        <v>1922043686</v>
      </c>
      <c r="E293" s="1" t="s">
        <v>1543</v>
      </c>
      <c r="F293" s="1" t="s">
        <v>9173</v>
      </c>
      <c r="G293" s="1" t="s">
        <v>9173</v>
      </c>
      <c r="H293" s="1"/>
    </row>
    <row r="294" spans="1:8" x14ac:dyDescent="0.25">
      <c r="A294" s="1"/>
      <c r="B294" s="1" t="s">
        <v>8885</v>
      </c>
      <c r="C294" s="1" t="s">
        <v>8886</v>
      </c>
      <c r="D294" s="22" t="str">
        <f>HYPERLINK("https://rhld.insurance.arkansas.gov/NPILookup?Npi=1922353754","1922353754")</f>
        <v>1922353754</v>
      </c>
      <c r="E294" s="1" t="s">
        <v>1076</v>
      </c>
      <c r="F294" s="1" t="s">
        <v>9173</v>
      </c>
      <c r="G294" s="1" t="s">
        <v>9173</v>
      </c>
      <c r="H294" s="1"/>
    </row>
    <row r="295" spans="1:8" x14ac:dyDescent="0.25">
      <c r="A295" s="1"/>
      <c r="B295" s="1" t="s">
        <v>8885</v>
      </c>
      <c r="C295" s="1" t="s">
        <v>8886</v>
      </c>
      <c r="D295" s="22" t="str">
        <f>HYPERLINK("https://rhld.insurance.arkansas.gov/NPILookup?Npi=1922478098","1922478098")</f>
        <v>1922478098</v>
      </c>
      <c r="E295" s="1" t="s">
        <v>15265</v>
      </c>
      <c r="F295" s="1" t="s">
        <v>9173</v>
      </c>
      <c r="G295" s="1" t="s">
        <v>9173</v>
      </c>
      <c r="H295" s="1"/>
    </row>
    <row r="296" spans="1:8" x14ac:dyDescent="0.25">
      <c r="A296" s="1"/>
      <c r="B296" s="1" t="s">
        <v>8885</v>
      </c>
      <c r="C296" s="1" t="s">
        <v>8886</v>
      </c>
      <c r="D296" s="22" t="str">
        <f>HYPERLINK("https://rhld.insurance.arkansas.gov/NPILookup?Npi=1932417821","1932417821")</f>
        <v>1932417821</v>
      </c>
      <c r="E296" s="1" t="s">
        <v>15266</v>
      </c>
      <c r="F296" s="1" t="s">
        <v>9173</v>
      </c>
      <c r="G296" s="1" t="s">
        <v>9173</v>
      </c>
      <c r="H296" s="1"/>
    </row>
    <row r="297" spans="1:8" x14ac:dyDescent="0.25">
      <c r="A297" s="1"/>
      <c r="B297" s="1" t="s">
        <v>8885</v>
      </c>
      <c r="C297" s="1" t="s">
        <v>8886</v>
      </c>
      <c r="D297" s="22" t="str">
        <f>HYPERLINK("https://rhld.insurance.arkansas.gov/NPILookup?Npi=1942225727","1942225727")</f>
        <v>1942225727</v>
      </c>
      <c r="E297" s="1" t="s">
        <v>15107</v>
      </c>
      <c r="F297" s="1" t="s">
        <v>9173</v>
      </c>
      <c r="G297" s="1" t="s">
        <v>9173</v>
      </c>
      <c r="H297" s="1"/>
    </row>
    <row r="298" spans="1:8" x14ac:dyDescent="0.25">
      <c r="A298" s="1"/>
      <c r="B298" s="1" t="s">
        <v>8885</v>
      </c>
      <c r="C298" s="1" t="s">
        <v>8886</v>
      </c>
      <c r="D298" s="22" t="str">
        <f>HYPERLINK("https://rhld.insurance.arkansas.gov/NPILookup?Npi=1952326977","1952326977")</f>
        <v>1952326977</v>
      </c>
      <c r="E298" s="1" t="s">
        <v>15267</v>
      </c>
      <c r="F298" s="1" t="s">
        <v>9173</v>
      </c>
      <c r="G298" s="1" t="s">
        <v>9173</v>
      </c>
      <c r="H298" s="1"/>
    </row>
    <row r="299" spans="1:8" x14ac:dyDescent="0.25">
      <c r="A299" s="1"/>
      <c r="B299" s="1" t="s">
        <v>8885</v>
      </c>
      <c r="C299" s="1" t="s">
        <v>8886</v>
      </c>
      <c r="D299" s="22" t="str">
        <f>HYPERLINK("https://rhld.insurance.arkansas.gov/NPILookup?Npi=1952453649","1952453649")</f>
        <v>1952453649</v>
      </c>
      <c r="E299" s="1" t="s">
        <v>15268</v>
      </c>
      <c r="F299" s="1" t="s">
        <v>9173</v>
      </c>
      <c r="G299" s="1" t="s">
        <v>9173</v>
      </c>
      <c r="H299" s="1"/>
    </row>
    <row r="300" spans="1:8" x14ac:dyDescent="0.25">
      <c r="A300" s="1"/>
      <c r="B300" s="1" t="s">
        <v>8885</v>
      </c>
      <c r="C300" s="1" t="s">
        <v>8886</v>
      </c>
      <c r="D300" s="22" t="str">
        <f>HYPERLINK("https://rhld.insurance.arkansas.gov/NPILookup?Npi=1952573701","1952573701")</f>
        <v>1952573701</v>
      </c>
      <c r="E300" s="1" t="s">
        <v>15269</v>
      </c>
      <c r="F300" s="1" t="s">
        <v>9173</v>
      </c>
      <c r="G300" s="1" t="s">
        <v>9173</v>
      </c>
      <c r="H300" s="1"/>
    </row>
    <row r="301" spans="1:8" x14ac:dyDescent="0.25">
      <c r="A301" s="1"/>
      <c r="B301" s="1" t="s">
        <v>8885</v>
      </c>
      <c r="C301" s="1" t="s">
        <v>8886</v>
      </c>
      <c r="D301" s="22" t="str">
        <f>HYPERLINK("https://rhld.insurance.arkansas.gov/NPILookup?Npi=1952687477","1952687477")</f>
        <v>1952687477</v>
      </c>
      <c r="E301" s="1" t="s">
        <v>15270</v>
      </c>
      <c r="F301" s="1" t="s">
        <v>9173</v>
      </c>
      <c r="G301" s="1" t="s">
        <v>9173</v>
      </c>
      <c r="H301" s="1"/>
    </row>
    <row r="302" spans="1:8" x14ac:dyDescent="0.25">
      <c r="A302" s="1"/>
      <c r="B302" s="1" t="s">
        <v>8885</v>
      </c>
      <c r="C302" s="1" t="s">
        <v>8886</v>
      </c>
      <c r="D302" s="22" t="str">
        <f>HYPERLINK("https://rhld.insurance.arkansas.gov/NPILookup?Npi=1962024026","1962024026")</f>
        <v>1962024026</v>
      </c>
      <c r="E302" s="1" t="s">
        <v>15134</v>
      </c>
      <c r="F302" s="1" t="s">
        <v>9173</v>
      </c>
      <c r="G302" s="1" t="s">
        <v>9173</v>
      </c>
      <c r="H302" s="1"/>
    </row>
    <row r="303" spans="1:8" x14ac:dyDescent="0.25">
      <c r="A303" s="1"/>
      <c r="B303" s="1" t="s">
        <v>8885</v>
      </c>
      <c r="C303" s="1" t="s">
        <v>8886</v>
      </c>
      <c r="D303" s="22" t="str">
        <f>HYPERLINK("https://rhld.insurance.arkansas.gov/NPILookup?Npi=1962283192","1962283192")</f>
        <v>1962283192</v>
      </c>
      <c r="E303" s="1" t="s">
        <v>8900</v>
      </c>
      <c r="F303" s="1" t="s">
        <v>9173</v>
      </c>
      <c r="G303" s="1" t="s">
        <v>9173</v>
      </c>
      <c r="H303" s="1"/>
    </row>
    <row r="304" spans="1:8" x14ac:dyDescent="0.25">
      <c r="A304" s="1"/>
      <c r="B304" s="1" t="s">
        <v>8885</v>
      </c>
      <c r="C304" s="1" t="s">
        <v>8886</v>
      </c>
      <c r="D304" s="22" t="str">
        <f>HYPERLINK("https://rhld.insurance.arkansas.gov/NPILookup?Npi=1962446054","1962446054")</f>
        <v>1962446054</v>
      </c>
      <c r="E304" s="1" t="s">
        <v>662</v>
      </c>
      <c r="F304" s="1" t="s">
        <v>9173</v>
      </c>
      <c r="G304" s="1" t="s">
        <v>9173</v>
      </c>
      <c r="H304" s="1"/>
    </row>
    <row r="305" spans="1:8" x14ac:dyDescent="0.25">
      <c r="A305" s="1"/>
      <c r="B305" s="1" t="s">
        <v>8885</v>
      </c>
      <c r="C305" s="1" t="s">
        <v>8886</v>
      </c>
      <c r="D305" s="22" t="str">
        <f>HYPERLINK("https://rhld.insurance.arkansas.gov/NPILookup?Npi=1962523845","1962523845")</f>
        <v>1962523845</v>
      </c>
      <c r="E305" s="1" t="s">
        <v>15193</v>
      </c>
      <c r="F305" s="1" t="s">
        <v>9173</v>
      </c>
      <c r="G305" s="1" t="s">
        <v>9173</v>
      </c>
      <c r="H305" s="1"/>
    </row>
    <row r="306" spans="1:8" x14ac:dyDescent="0.25">
      <c r="A306" s="1"/>
      <c r="B306" s="1" t="s">
        <v>8885</v>
      </c>
      <c r="C306" s="1" t="s">
        <v>8886</v>
      </c>
      <c r="D306" s="22" t="str">
        <f>HYPERLINK("https://rhld.insurance.arkansas.gov/NPILookup?Npi=1962727271","1962727271")</f>
        <v>1962727271</v>
      </c>
      <c r="E306" s="1" t="s">
        <v>3574</v>
      </c>
      <c r="F306" s="1" t="s">
        <v>9173</v>
      </c>
      <c r="G306" s="1" t="s">
        <v>9173</v>
      </c>
      <c r="H306" s="1"/>
    </row>
    <row r="307" spans="1:8" x14ac:dyDescent="0.25">
      <c r="A307" s="1"/>
      <c r="B307" s="1" t="s">
        <v>8885</v>
      </c>
      <c r="C307" s="1" t="s">
        <v>8886</v>
      </c>
      <c r="D307" s="22" t="str">
        <f>HYPERLINK("https://rhld.insurance.arkansas.gov/NPILookup?Npi=1962976472","1962976472")</f>
        <v>1962976472</v>
      </c>
      <c r="E307" s="1" t="s">
        <v>15271</v>
      </c>
      <c r="F307" s="1" t="s">
        <v>9173</v>
      </c>
      <c r="G307" s="1" t="s">
        <v>9173</v>
      </c>
      <c r="H307" s="1"/>
    </row>
    <row r="308" spans="1:8" x14ac:dyDescent="0.25">
      <c r="A308" s="1"/>
      <c r="B308" s="1" t="s">
        <v>8885</v>
      </c>
      <c r="C308" s="1" t="s">
        <v>8886</v>
      </c>
      <c r="D308" s="22" t="str">
        <f>HYPERLINK("https://rhld.insurance.arkansas.gov/NPILookup?Npi=1972539567","1972539567")</f>
        <v>1972539567</v>
      </c>
      <c r="E308" s="1" t="s">
        <v>9636</v>
      </c>
      <c r="F308" s="1" t="s">
        <v>9173</v>
      </c>
      <c r="G308" s="1" t="s">
        <v>9173</v>
      </c>
      <c r="H308" s="1"/>
    </row>
    <row r="309" spans="1:8" x14ac:dyDescent="0.25">
      <c r="A309" s="1"/>
      <c r="B309" s="1" t="s">
        <v>8885</v>
      </c>
      <c r="C309" s="1" t="s">
        <v>8886</v>
      </c>
      <c r="D309" s="22" t="str">
        <f>HYPERLINK("https://rhld.insurance.arkansas.gov/NPILookup?Npi=1982695441","1982695441")</f>
        <v>1982695441</v>
      </c>
      <c r="E309" s="1" t="s">
        <v>1163</v>
      </c>
      <c r="F309" s="1" t="s">
        <v>9173</v>
      </c>
      <c r="G309" s="1" t="s">
        <v>9173</v>
      </c>
      <c r="H309" s="1"/>
    </row>
    <row r="310" spans="1:8" x14ac:dyDescent="0.25">
      <c r="A310" s="1"/>
      <c r="B310" s="1" t="s">
        <v>8885</v>
      </c>
      <c r="C310" s="1" t="s">
        <v>8886</v>
      </c>
      <c r="D310" s="22" t="str">
        <f>HYPERLINK("https://rhld.insurance.arkansas.gov/NPILookup?Npi=1982719621","1982719621")</f>
        <v>1982719621</v>
      </c>
      <c r="E310" s="1" t="s">
        <v>15272</v>
      </c>
      <c r="F310" s="1" t="s">
        <v>9173</v>
      </c>
      <c r="G310" s="1" t="s">
        <v>9173</v>
      </c>
      <c r="H310" s="1"/>
    </row>
    <row r="311" spans="1:8" x14ac:dyDescent="0.25">
      <c r="A311" s="1"/>
      <c r="B311" s="1" t="s">
        <v>8901</v>
      </c>
      <c r="C311" s="1" t="s">
        <v>8902</v>
      </c>
      <c r="D311" s="22" t="str">
        <f>HYPERLINK("https://rhld.insurance.arkansas.gov/NPILookup?Npi=1033112230","1033112230")</f>
        <v>1033112230</v>
      </c>
      <c r="E311" s="1" t="s">
        <v>15273</v>
      </c>
      <c r="F311" s="2"/>
      <c r="G311" s="2"/>
      <c r="H311" s="2"/>
    </row>
    <row r="312" spans="1:8" x14ac:dyDescent="0.25">
      <c r="A312" s="1"/>
      <c r="B312" s="1" t="s">
        <v>8901</v>
      </c>
      <c r="C312" s="1" t="s">
        <v>8902</v>
      </c>
      <c r="D312" s="22" t="str">
        <f>HYPERLINK("https://rhld.insurance.arkansas.gov/NPILookup?Npi=1033147921","1033147921")</f>
        <v>1033147921</v>
      </c>
      <c r="E312" s="1" t="s">
        <v>15089</v>
      </c>
      <c r="F312" s="2"/>
      <c r="G312" s="2"/>
      <c r="H312" s="2"/>
    </row>
    <row r="313" spans="1:8" x14ac:dyDescent="0.25">
      <c r="A313" s="1"/>
      <c r="B313" s="1" t="s">
        <v>8901</v>
      </c>
      <c r="C313" s="1" t="s">
        <v>8902</v>
      </c>
      <c r="D313" s="22" t="str">
        <f>HYPERLINK("https://rhld.insurance.arkansas.gov/NPILookup?Npi=1033160049","1033160049")</f>
        <v>1033160049</v>
      </c>
      <c r="E313" s="1" t="s">
        <v>972</v>
      </c>
      <c r="F313" s="2"/>
      <c r="G313" s="2"/>
      <c r="H313" s="2"/>
    </row>
    <row r="314" spans="1:8" x14ac:dyDescent="0.25">
      <c r="A314" s="1"/>
      <c r="B314" s="1" t="s">
        <v>8901</v>
      </c>
      <c r="C314" s="1" t="s">
        <v>8902</v>
      </c>
      <c r="D314" s="22" t="str">
        <f>HYPERLINK("https://rhld.insurance.arkansas.gov/NPILookup?Npi=1043240682","1043240682")</f>
        <v>1043240682</v>
      </c>
      <c r="E314" s="1" t="s">
        <v>15095</v>
      </c>
      <c r="F314" s="2"/>
      <c r="G314" s="2"/>
      <c r="H314" s="2"/>
    </row>
    <row r="315" spans="1:8" x14ac:dyDescent="0.25">
      <c r="A315" s="1"/>
      <c r="B315" s="1" t="s">
        <v>8901</v>
      </c>
      <c r="C315" s="1" t="s">
        <v>8902</v>
      </c>
      <c r="D315" s="22" t="str">
        <f>HYPERLINK("https://rhld.insurance.arkansas.gov/NPILookup?Npi=1063695120","1063695120")</f>
        <v>1063695120</v>
      </c>
      <c r="E315" s="1" t="s">
        <v>1563</v>
      </c>
      <c r="F315" s="2"/>
      <c r="G315" s="2"/>
      <c r="H315" s="2"/>
    </row>
    <row r="316" spans="1:8" x14ac:dyDescent="0.25">
      <c r="A316" s="1"/>
      <c r="B316" s="1" t="s">
        <v>8901</v>
      </c>
      <c r="C316" s="1" t="s">
        <v>8902</v>
      </c>
      <c r="D316" s="22" t="str">
        <f>HYPERLINK("https://rhld.insurance.arkansas.gov/NPILookup?Npi=1083609150","1083609150")</f>
        <v>1083609150</v>
      </c>
      <c r="E316" s="1" t="s">
        <v>15106</v>
      </c>
      <c r="F316" s="2"/>
      <c r="G316" s="2"/>
      <c r="H316" s="2"/>
    </row>
    <row r="317" spans="1:8" x14ac:dyDescent="0.25">
      <c r="A317" s="1"/>
      <c r="B317" s="1" t="s">
        <v>8901</v>
      </c>
      <c r="C317" s="1" t="s">
        <v>8902</v>
      </c>
      <c r="D317" s="22" t="str">
        <f>HYPERLINK("https://rhld.insurance.arkansas.gov/NPILookup?Npi=1083778302","1083778302")</f>
        <v>1083778302</v>
      </c>
      <c r="E317" s="1" t="s">
        <v>15274</v>
      </c>
      <c r="F317" s="2"/>
      <c r="G317" s="2"/>
      <c r="H317" s="2"/>
    </row>
    <row r="318" spans="1:8" x14ac:dyDescent="0.25">
      <c r="A318" s="1"/>
      <c r="B318" s="1" t="s">
        <v>8901</v>
      </c>
      <c r="C318" s="1" t="s">
        <v>8902</v>
      </c>
      <c r="D318" s="22" t="str">
        <f>HYPERLINK("https://rhld.insurance.arkansas.gov/NPILookup?Npi=1114903523","1114903523")</f>
        <v>1114903523</v>
      </c>
      <c r="E318" s="1" t="s">
        <v>2139</v>
      </c>
      <c r="F318" s="2"/>
      <c r="G318" s="2"/>
      <c r="H318" s="2"/>
    </row>
    <row r="319" spans="1:8" x14ac:dyDescent="0.25">
      <c r="A319" s="1"/>
      <c r="B319" s="1" t="s">
        <v>8901</v>
      </c>
      <c r="C319" s="1" t="s">
        <v>8902</v>
      </c>
      <c r="D319" s="22" t="str">
        <f>HYPERLINK("https://rhld.insurance.arkansas.gov/NPILookup?Npi=1124021811","1124021811")</f>
        <v>1124021811</v>
      </c>
      <c r="E319" s="1" t="s">
        <v>8888</v>
      </c>
      <c r="F319" s="2"/>
      <c r="G319" s="2"/>
      <c r="H319" s="2"/>
    </row>
    <row r="320" spans="1:8" x14ac:dyDescent="0.25">
      <c r="A320" s="1"/>
      <c r="B320" s="1" t="s">
        <v>8901</v>
      </c>
      <c r="C320" s="1" t="s">
        <v>8902</v>
      </c>
      <c r="D320" s="22" t="str">
        <f>HYPERLINK("https://rhld.insurance.arkansas.gov/NPILookup?Npi=1134116049","1134116049")</f>
        <v>1134116049</v>
      </c>
      <c r="E320" s="1" t="s">
        <v>15116</v>
      </c>
      <c r="F320" s="2"/>
      <c r="G320" s="2"/>
      <c r="H320" s="2"/>
    </row>
    <row r="321" spans="1:8" x14ac:dyDescent="0.25">
      <c r="A321" s="1"/>
      <c r="B321" s="1" t="s">
        <v>8901</v>
      </c>
      <c r="C321" s="1" t="s">
        <v>8902</v>
      </c>
      <c r="D321" s="22" t="str">
        <f>HYPERLINK("https://rhld.insurance.arkansas.gov/NPILookup?Npi=1134720592","1134720592")</f>
        <v>1134720592</v>
      </c>
      <c r="E321" s="1" t="s">
        <v>8890</v>
      </c>
      <c r="F321" s="2"/>
      <c r="G321" s="2"/>
      <c r="H321" s="2"/>
    </row>
    <row r="322" spans="1:8" x14ac:dyDescent="0.25">
      <c r="A322" s="1"/>
      <c r="B322" s="1" t="s">
        <v>8901</v>
      </c>
      <c r="C322" s="1" t="s">
        <v>8902</v>
      </c>
      <c r="D322" s="22" t="str">
        <f>HYPERLINK("https://rhld.insurance.arkansas.gov/NPILookup?Npi=1144213117","1144213117")</f>
        <v>1144213117</v>
      </c>
      <c r="E322" s="1" t="s">
        <v>1688</v>
      </c>
      <c r="F322" s="2"/>
      <c r="G322" s="2"/>
      <c r="H322" s="2"/>
    </row>
    <row r="323" spans="1:8" x14ac:dyDescent="0.25">
      <c r="A323" s="1"/>
      <c r="B323" s="1" t="s">
        <v>8901</v>
      </c>
      <c r="C323" s="1" t="s">
        <v>8902</v>
      </c>
      <c r="D323" s="22" t="str">
        <f>HYPERLINK("https://rhld.insurance.arkansas.gov/NPILookup?Npi=1144590522","1144590522")</f>
        <v>1144590522</v>
      </c>
      <c r="E323" s="1" t="s">
        <v>15275</v>
      </c>
      <c r="F323" s="2"/>
      <c r="G323" s="2"/>
      <c r="H323" s="2"/>
    </row>
    <row r="324" spans="1:8" x14ac:dyDescent="0.25">
      <c r="A324" s="1"/>
      <c r="B324" s="1" t="s">
        <v>8901</v>
      </c>
      <c r="C324" s="1" t="s">
        <v>8902</v>
      </c>
      <c r="D324" s="22" t="str">
        <f>HYPERLINK("https://rhld.insurance.arkansas.gov/NPILookup?Npi=1154807584","1154807584")</f>
        <v>1154807584</v>
      </c>
      <c r="E324" s="1" t="s">
        <v>3465</v>
      </c>
      <c r="F324" s="2"/>
      <c r="G324" s="2"/>
      <c r="H324" s="2"/>
    </row>
    <row r="325" spans="1:8" x14ac:dyDescent="0.25">
      <c r="A325" s="1"/>
      <c r="B325" s="1" t="s">
        <v>8901</v>
      </c>
      <c r="C325" s="1" t="s">
        <v>8902</v>
      </c>
      <c r="D325" s="22" t="str">
        <f>HYPERLINK("https://rhld.insurance.arkansas.gov/NPILookup?Npi=1164779989","1164779989")</f>
        <v>1164779989</v>
      </c>
      <c r="E325" s="1" t="s">
        <v>1076</v>
      </c>
      <c r="F325" s="2"/>
      <c r="G325" s="2"/>
      <c r="H325" s="2"/>
    </row>
    <row r="326" spans="1:8" x14ac:dyDescent="0.25">
      <c r="A326" s="1"/>
      <c r="B326" s="1" t="s">
        <v>8901</v>
      </c>
      <c r="C326" s="1" t="s">
        <v>8902</v>
      </c>
      <c r="D326" s="22" t="str">
        <f>HYPERLINK("https://rhld.insurance.arkansas.gov/NPILookup?Npi=1174947618","1174947618")</f>
        <v>1174947618</v>
      </c>
      <c r="E326" s="1" t="s">
        <v>6931</v>
      </c>
      <c r="F326" s="2"/>
      <c r="G326" s="2"/>
      <c r="H326" s="2"/>
    </row>
    <row r="327" spans="1:8" x14ac:dyDescent="0.25">
      <c r="A327" s="1"/>
      <c r="B327" s="1" t="s">
        <v>8901</v>
      </c>
      <c r="C327" s="1" t="s">
        <v>8902</v>
      </c>
      <c r="D327" s="22" t="str">
        <f>HYPERLINK("https://rhld.insurance.arkansas.gov/NPILookup?Npi=1194741611","1194741611")</f>
        <v>1194741611</v>
      </c>
      <c r="E327" s="1" t="s">
        <v>636</v>
      </c>
      <c r="F327" s="2"/>
      <c r="G327" s="2"/>
      <c r="H327" s="2"/>
    </row>
    <row r="328" spans="1:8" x14ac:dyDescent="0.25">
      <c r="A328" s="1"/>
      <c r="B328" s="1" t="s">
        <v>8901</v>
      </c>
      <c r="C328" s="1" t="s">
        <v>8902</v>
      </c>
      <c r="D328" s="22" t="str">
        <f>HYPERLINK("https://rhld.insurance.arkansas.gov/NPILookup?Npi=1194776757","1194776757")</f>
        <v>1194776757</v>
      </c>
      <c r="E328" s="1" t="s">
        <v>683</v>
      </c>
      <c r="F328" s="2"/>
      <c r="G328" s="2"/>
      <c r="H328" s="2"/>
    </row>
    <row r="329" spans="1:8" x14ac:dyDescent="0.25">
      <c r="A329" s="1"/>
      <c r="B329" s="1" t="s">
        <v>8901</v>
      </c>
      <c r="C329" s="1" t="s">
        <v>8902</v>
      </c>
      <c r="D329" s="22" t="str">
        <f>HYPERLINK("https://rhld.insurance.arkansas.gov/NPILookup?Npi=1194789818","1194789818")</f>
        <v>1194789818</v>
      </c>
      <c r="E329" s="1" t="s">
        <v>15127</v>
      </c>
      <c r="F329" s="2"/>
      <c r="G329" s="2"/>
      <c r="H329" s="2"/>
    </row>
    <row r="330" spans="1:8" x14ac:dyDescent="0.25">
      <c r="A330" s="1"/>
      <c r="B330" s="1" t="s">
        <v>8901</v>
      </c>
      <c r="C330" s="1" t="s">
        <v>8902</v>
      </c>
      <c r="D330" s="22" t="str">
        <f>HYPERLINK("https://rhld.insurance.arkansas.gov/NPILookup?Npi=1235111071","1235111071")</f>
        <v>1235111071</v>
      </c>
      <c r="E330" s="1" t="s">
        <v>1563</v>
      </c>
      <c r="F330" s="2"/>
      <c r="G330" s="2"/>
      <c r="H330" s="2"/>
    </row>
    <row r="331" spans="1:8" x14ac:dyDescent="0.25">
      <c r="A331" s="1"/>
      <c r="B331" s="1" t="s">
        <v>8901</v>
      </c>
      <c r="C331" s="1" t="s">
        <v>8902</v>
      </c>
      <c r="D331" s="22" t="str">
        <f>HYPERLINK("https://rhld.insurance.arkansas.gov/NPILookup?Npi=1245284769","1245284769")</f>
        <v>1245284769</v>
      </c>
      <c r="E331" s="1" t="s">
        <v>1620</v>
      </c>
      <c r="F331" s="2"/>
      <c r="G331" s="2"/>
      <c r="H331" s="2"/>
    </row>
    <row r="332" spans="1:8" x14ac:dyDescent="0.25">
      <c r="A332" s="1"/>
      <c r="B332" s="1" t="s">
        <v>8901</v>
      </c>
      <c r="C332" s="1" t="s">
        <v>8902</v>
      </c>
      <c r="D332" s="22" t="str">
        <f>HYPERLINK("https://rhld.insurance.arkansas.gov/NPILookup?Npi=1245357912","1245357912")</f>
        <v>1245357912</v>
      </c>
      <c r="E332" s="1" t="s">
        <v>636</v>
      </c>
      <c r="F332" s="2"/>
      <c r="G332" s="2"/>
      <c r="H332" s="2"/>
    </row>
    <row r="333" spans="1:8" x14ac:dyDescent="0.25">
      <c r="A333" s="1"/>
      <c r="B333" s="1" t="s">
        <v>8901</v>
      </c>
      <c r="C333" s="1" t="s">
        <v>8902</v>
      </c>
      <c r="D333" s="22" t="str">
        <f>HYPERLINK("https://rhld.insurance.arkansas.gov/NPILookup?Npi=1255377420","1255377420")</f>
        <v>1255377420</v>
      </c>
      <c r="E333" s="1" t="s">
        <v>8903</v>
      </c>
      <c r="F333" s="2"/>
      <c r="G333" s="2"/>
      <c r="H333" s="2"/>
    </row>
    <row r="334" spans="1:8" x14ac:dyDescent="0.25">
      <c r="A334" s="1"/>
      <c r="B334" s="1" t="s">
        <v>8901</v>
      </c>
      <c r="C334" s="1" t="s">
        <v>8902</v>
      </c>
      <c r="D334" s="22" t="str">
        <f>HYPERLINK("https://rhld.insurance.arkansas.gov/NPILookup?Npi=1255870853","1255870853")</f>
        <v>1255870853</v>
      </c>
      <c r="E334" s="1" t="s">
        <v>15276</v>
      </c>
      <c r="F334" s="2"/>
      <c r="G334" s="2"/>
      <c r="H334" s="2"/>
    </row>
    <row r="335" spans="1:8" x14ac:dyDescent="0.25">
      <c r="A335" s="1"/>
      <c r="B335" s="1" t="s">
        <v>8901</v>
      </c>
      <c r="C335" s="1" t="s">
        <v>8902</v>
      </c>
      <c r="D335" s="22" t="str">
        <f>HYPERLINK("https://rhld.insurance.arkansas.gov/NPILookup?Npi=1255875746","1255875746")</f>
        <v>1255875746</v>
      </c>
      <c r="E335" s="1" t="s">
        <v>15277</v>
      </c>
      <c r="F335" s="2"/>
      <c r="G335" s="2"/>
      <c r="H335" s="2"/>
    </row>
    <row r="336" spans="1:8" x14ac:dyDescent="0.25">
      <c r="A336" s="1"/>
      <c r="B336" s="1" t="s">
        <v>8901</v>
      </c>
      <c r="C336" s="1" t="s">
        <v>8902</v>
      </c>
      <c r="D336" s="22" t="str">
        <f>HYPERLINK("https://rhld.insurance.arkansas.gov/NPILookup?Npi=1275023095","1275023095")</f>
        <v>1275023095</v>
      </c>
      <c r="E336" s="1" t="s">
        <v>15278</v>
      </c>
      <c r="F336" s="2"/>
      <c r="G336" s="2"/>
      <c r="H336" s="2"/>
    </row>
    <row r="337" spans="1:8" x14ac:dyDescent="0.25">
      <c r="A337" s="1"/>
      <c r="B337" s="1" t="s">
        <v>8901</v>
      </c>
      <c r="C337" s="1" t="s">
        <v>8902</v>
      </c>
      <c r="D337" s="22" t="str">
        <f>HYPERLINK("https://rhld.insurance.arkansas.gov/NPILookup?Npi=1275523912","1275523912")</f>
        <v>1275523912</v>
      </c>
      <c r="E337" s="1" t="s">
        <v>15141</v>
      </c>
      <c r="F337" s="2"/>
      <c r="G337" s="2"/>
      <c r="H337" s="2"/>
    </row>
    <row r="338" spans="1:8" x14ac:dyDescent="0.25">
      <c r="A338" s="1"/>
      <c r="B338" s="1" t="s">
        <v>8901</v>
      </c>
      <c r="C338" s="1" t="s">
        <v>8902</v>
      </c>
      <c r="D338" s="22" t="str">
        <f>HYPERLINK("https://rhld.insurance.arkansas.gov/NPILookup?Npi=1285005140","1285005140")</f>
        <v>1285005140</v>
      </c>
      <c r="E338" s="1" t="s">
        <v>3572</v>
      </c>
      <c r="F338" s="2"/>
      <c r="G338" s="2"/>
      <c r="H338" s="2"/>
    </row>
    <row r="339" spans="1:8" x14ac:dyDescent="0.25">
      <c r="A339" s="1"/>
      <c r="B339" s="1" t="s">
        <v>8901</v>
      </c>
      <c r="C339" s="1" t="s">
        <v>8902</v>
      </c>
      <c r="D339" s="22" t="str">
        <f>HYPERLINK("https://rhld.insurance.arkansas.gov/NPILookup?Npi=1295736734","1295736734")</f>
        <v>1295736734</v>
      </c>
      <c r="E339" s="1" t="s">
        <v>8894</v>
      </c>
      <c r="F339" s="2"/>
      <c r="G339" s="2"/>
      <c r="H339" s="2"/>
    </row>
    <row r="340" spans="1:8" x14ac:dyDescent="0.25">
      <c r="A340" s="1"/>
      <c r="B340" s="1" t="s">
        <v>8901</v>
      </c>
      <c r="C340" s="1" t="s">
        <v>8902</v>
      </c>
      <c r="D340" s="22" t="str">
        <f>HYPERLINK("https://rhld.insurance.arkansas.gov/NPILookup?Npi=1295817260","1295817260")</f>
        <v>1295817260</v>
      </c>
      <c r="E340" s="1" t="s">
        <v>654</v>
      </c>
      <c r="F340" s="2"/>
      <c r="G340" s="2"/>
      <c r="H340" s="2"/>
    </row>
    <row r="341" spans="1:8" x14ac:dyDescent="0.25">
      <c r="A341" s="1"/>
      <c r="B341" s="1" t="s">
        <v>8901</v>
      </c>
      <c r="C341" s="1" t="s">
        <v>8902</v>
      </c>
      <c r="D341" s="22" t="str">
        <f>HYPERLINK("https://rhld.insurance.arkansas.gov/NPILookup?Npi=1295862647","1295862647")</f>
        <v>1295862647</v>
      </c>
      <c r="E341" s="1" t="s">
        <v>1278</v>
      </c>
      <c r="F341" s="2"/>
      <c r="G341" s="2"/>
      <c r="H341" s="2"/>
    </row>
    <row r="342" spans="1:8" x14ac:dyDescent="0.25">
      <c r="A342" s="1"/>
      <c r="B342" s="1" t="s">
        <v>8901</v>
      </c>
      <c r="C342" s="1" t="s">
        <v>8902</v>
      </c>
      <c r="D342" s="22" t="str">
        <f>HYPERLINK("https://rhld.insurance.arkansas.gov/NPILookup?Npi=1306826029","1306826029")</f>
        <v>1306826029</v>
      </c>
      <c r="E342" s="1" t="s">
        <v>1349</v>
      </c>
      <c r="F342" s="2"/>
      <c r="G342" s="2"/>
      <c r="H342" s="2"/>
    </row>
    <row r="343" spans="1:8" x14ac:dyDescent="0.25">
      <c r="A343" s="1"/>
      <c r="B343" s="1" t="s">
        <v>8901</v>
      </c>
      <c r="C343" s="1" t="s">
        <v>8902</v>
      </c>
      <c r="D343" s="22" t="str">
        <f>HYPERLINK("https://rhld.insurance.arkansas.gov/NPILookup?Npi=1306921887","1306921887")</f>
        <v>1306921887</v>
      </c>
      <c r="E343" s="1" t="s">
        <v>2292</v>
      </c>
      <c r="F343" s="2"/>
      <c r="G343" s="2"/>
      <c r="H343" s="2"/>
    </row>
    <row r="344" spans="1:8" x14ac:dyDescent="0.25">
      <c r="A344" s="1"/>
      <c r="B344" s="1" t="s">
        <v>8901</v>
      </c>
      <c r="C344" s="1" t="s">
        <v>8902</v>
      </c>
      <c r="D344" s="22" t="str">
        <f>HYPERLINK("https://rhld.insurance.arkansas.gov/NPILookup?Npi=1306928379","1306928379")</f>
        <v>1306928379</v>
      </c>
      <c r="E344" s="1" t="s">
        <v>15279</v>
      </c>
      <c r="F344" s="2"/>
      <c r="G344" s="2"/>
      <c r="H344" s="2"/>
    </row>
    <row r="345" spans="1:8" x14ac:dyDescent="0.25">
      <c r="A345" s="1"/>
      <c r="B345" s="1" t="s">
        <v>8901</v>
      </c>
      <c r="C345" s="1" t="s">
        <v>8902</v>
      </c>
      <c r="D345" s="22" t="str">
        <f>HYPERLINK("https://rhld.insurance.arkansas.gov/NPILookup?Npi=1316901937","1316901937")</f>
        <v>1316901937</v>
      </c>
      <c r="E345" s="1" t="s">
        <v>15152</v>
      </c>
      <c r="F345" s="2"/>
      <c r="G345" s="2"/>
      <c r="H345" s="2"/>
    </row>
    <row r="346" spans="1:8" x14ac:dyDescent="0.25">
      <c r="A346" s="1"/>
      <c r="B346" s="1" t="s">
        <v>8901</v>
      </c>
      <c r="C346" s="1" t="s">
        <v>8902</v>
      </c>
      <c r="D346" s="22" t="str">
        <f>HYPERLINK("https://rhld.insurance.arkansas.gov/NPILookup?Npi=1316902414","1316902414")</f>
        <v>1316902414</v>
      </c>
      <c r="E346" s="1" t="s">
        <v>15153</v>
      </c>
      <c r="F346" s="2"/>
      <c r="G346" s="2"/>
      <c r="H346" s="2"/>
    </row>
    <row r="347" spans="1:8" x14ac:dyDescent="0.25">
      <c r="A347" s="1"/>
      <c r="B347" s="1" t="s">
        <v>8901</v>
      </c>
      <c r="C347" s="1" t="s">
        <v>8902</v>
      </c>
      <c r="D347" s="22" t="str">
        <f>HYPERLINK("https://rhld.insurance.arkansas.gov/NPILookup?Npi=1326016684","1326016684")</f>
        <v>1326016684</v>
      </c>
      <c r="E347" s="1" t="s">
        <v>9625</v>
      </c>
      <c r="F347" s="2"/>
      <c r="G347" s="2"/>
      <c r="H347" s="2"/>
    </row>
    <row r="348" spans="1:8" x14ac:dyDescent="0.25">
      <c r="A348" s="1"/>
      <c r="B348" s="1" t="s">
        <v>8901</v>
      </c>
      <c r="C348" s="1" t="s">
        <v>8902</v>
      </c>
      <c r="D348" s="22" t="str">
        <f>HYPERLINK("https://rhld.insurance.arkansas.gov/NPILookup?Npi=1346230968","1346230968")</f>
        <v>1346230968</v>
      </c>
      <c r="E348" s="1" t="s">
        <v>15280</v>
      </c>
      <c r="F348" s="2"/>
      <c r="G348" s="2"/>
      <c r="H348" s="2"/>
    </row>
    <row r="349" spans="1:8" x14ac:dyDescent="0.25">
      <c r="A349" s="1"/>
      <c r="B349" s="1" t="s">
        <v>8901</v>
      </c>
      <c r="C349" s="1" t="s">
        <v>8902</v>
      </c>
      <c r="D349" s="22" t="str">
        <f>HYPERLINK("https://rhld.insurance.arkansas.gov/NPILookup?Npi=1346630589","1346630589")</f>
        <v>1346630589</v>
      </c>
      <c r="E349" s="1" t="s">
        <v>659</v>
      </c>
      <c r="F349" s="2"/>
      <c r="G349" s="2"/>
      <c r="H349" s="2"/>
    </row>
    <row r="350" spans="1:8" x14ac:dyDescent="0.25">
      <c r="A350" s="1"/>
      <c r="B350" s="1" t="s">
        <v>8901</v>
      </c>
      <c r="C350" s="1" t="s">
        <v>8902</v>
      </c>
      <c r="D350" s="22" t="str">
        <f>HYPERLINK("https://rhld.insurance.arkansas.gov/NPILookup?Npi=1356312292","1356312292")</f>
        <v>1356312292</v>
      </c>
      <c r="E350" s="1" t="s">
        <v>15282</v>
      </c>
      <c r="F350" s="2"/>
      <c r="G350" s="2"/>
      <c r="H350" s="2"/>
    </row>
    <row r="351" spans="1:8" x14ac:dyDescent="0.25">
      <c r="A351" s="1"/>
      <c r="B351" s="1" t="s">
        <v>8901</v>
      </c>
      <c r="C351" s="1" t="s">
        <v>8902</v>
      </c>
      <c r="D351" s="22" t="str">
        <f>HYPERLINK("https://rhld.insurance.arkansas.gov/NPILookup?Npi=1386602050","1386602050")</f>
        <v>1386602050</v>
      </c>
      <c r="E351" s="1" t="s">
        <v>9638</v>
      </c>
      <c r="F351" s="2"/>
      <c r="G351" s="2"/>
      <c r="H351" s="2"/>
    </row>
    <row r="352" spans="1:8" x14ac:dyDescent="0.25">
      <c r="A352" s="1"/>
      <c r="B352" s="1" t="s">
        <v>8901</v>
      </c>
      <c r="C352" s="1" t="s">
        <v>8902</v>
      </c>
      <c r="D352" s="22" t="str">
        <f>HYPERLINK("https://rhld.insurance.arkansas.gov/NPILookup?Npi=1386699353","1386699353")</f>
        <v>1386699353</v>
      </c>
      <c r="E352" s="1" t="s">
        <v>9628</v>
      </c>
      <c r="F352" s="2"/>
      <c r="G352" s="2"/>
      <c r="H352" s="2"/>
    </row>
    <row r="353" spans="1:8" x14ac:dyDescent="0.25">
      <c r="A353" s="1"/>
      <c r="B353" s="1" t="s">
        <v>8901</v>
      </c>
      <c r="C353" s="1" t="s">
        <v>8902</v>
      </c>
      <c r="D353" s="22" t="str">
        <f>HYPERLINK("https://rhld.insurance.arkansas.gov/NPILookup?Npi=1417024662","1417024662")</f>
        <v>1417024662</v>
      </c>
      <c r="E353" s="1" t="s">
        <v>15169</v>
      </c>
      <c r="F353" s="2"/>
      <c r="G353" s="2"/>
      <c r="H353" s="2"/>
    </row>
    <row r="354" spans="1:8" x14ac:dyDescent="0.25">
      <c r="A354" s="1"/>
      <c r="B354" s="1" t="s">
        <v>8901</v>
      </c>
      <c r="C354" s="1" t="s">
        <v>8902</v>
      </c>
      <c r="D354" s="22" t="str">
        <f>HYPERLINK("https://rhld.insurance.arkansas.gov/NPILookup?Npi=1437188216","1437188216")</f>
        <v>1437188216</v>
      </c>
      <c r="E354" s="1" t="s">
        <v>1455</v>
      </c>
      <c r="F354" s="2"/>
      <c r="G354" s="2"/>
      <c r="H354" s="2"/>
    </row>
    <row r="355" spans="1:8" x14ac:dyDescent="0.25">
      <c r="A355" s="1"/>
      <c r="B355" s="1" t="s">
        <v>8901</v>
      </c>
      <c r="C355" s="1" t="s">
        <v>8902</v>
      </c>
      <c r="D355" s="22" t="str">
        <f>HYPERLINK("https://rhld.insurance.arkansas.gov/NPILookup?Npi=1437222312","1437222312")</f>
        <v>1437222312</v>
      </c>
      <c r="E355" s="1" t="s">
        <v>8904</v>
      </c>
      <c r="F355" s="2"/>
      <c r="G355" s="2"/>
      <c r="H355" s="2"/>
    </row>
    <row r="356" spans="1:8" x14ac:dyDescent="0.25">
      <c r="A356" s="1"/>
      <c r="B356" s="1" t="s">
        <v>8901</v>
      </c>
      <c r="C356" s="1" t="s">
        <v>8902</v>
      </c>
      <c r="D356" s="22" t="str">
        <f>HYPERLINK("https://rhld.insurance.arkansas.gov/NPILookup?Npi=1447439708","1447439708")</f>
        <v>1447439708</v>
      </c>
      <c r="E356" s="1" t="s">
        <v>15283</v>
      </c>
      <c r="F356" s="2"/>
      <c r="G356" s="2"/>
      <c r="H356" s="2"/>
    </row>
    <row r="357" spans="1:8" x14ac:dyDescent="0.25">
      <c r="A357" s="1"/>
      <c r="B357" s="1" t="s">
        <v>8901</v>
      </c>
      <c r="C357" s="1" t="s">
        <v>8902</v>
      </c>
      <c r="D357" s="22" t="str">
        <f>HYPERLINK("https://rhld.insurance.arkansas.gov/NPILookup?Npi=1477039782","1477039782")</f>
        <v>1477039782</v>
      </c>
      <c r="E357" s="1" t="s">
        <v>2450</v>
      </c>
      <c r="F357" s="2"/>
      <c r="G357" s="2"/>
      <c r="H357" s="2"/>
    </row>
    <row r="358" spans="1:8" x14ac:dyDescent="0.25">
      <c r="A358" s="1"/>
      <c r="B358" s="1" t="s">
        <v>8901</v>
      </c>
      <c r="C358" s="1" t="s">
        <v>8902</v>
      </c>
      <c r="D358" s="22" t="str">
        <f>HYPERLINK("https://rhld.insurance.arkansas.gov/NPILookup?Npi=1477549756","1477549756")</f>
        <v>1477549756</v>
      </c>
      <c r="E358" s="1" t="s">
        <v>15185</v>
      </c>
      <c r="F358" s="2"/>
      <c r="G358" s="2"/>
      <c r="H358" s="2"/>
    </row>
    <row r="359" spans="1:8" x14ac:dyDescent="0.25">
      <c r="A359" s="1"/>
      <c r="B359" s="1" t="s">
        <v>8901</v>
      </c>
      <c r="C359" s="1" t="s">
        <v>8902</v>
      </c>
      <c r="D359" s="22" t="str">
        <f>HYPERLINK("https://rhld.insurance.arkansas.gov/NPILookup?Npi=1487684908","1487684908")</f>
        <v>1487684908</v>
      </c>
      <c r="E359" s="1" t="s">
        <v>9639</v>
      </c>
      <c r="F359" s="2"/>
      <c r="G359" s="2"/>
      <c r="H359" s="2"/>
    </row>
    <row r="360" spans="1:8" x14ac:dyDescent="0.25">
      <c r="A360" s="1"/>
      <c r="B360" s="1" t="s">
        <v>8901</v>
      </c>
      <c r="C360" s="1" t="s">
        <v>8902</v>
      </c>
      <c r="D360" s="22" t="str">
        <f>HYPERLINK("https://rhld.insurance.arkansas.gov/NPILookup?Npi=1497770424","1497770424")</f>
        <v>1497770424</v>
      </c>
      <c r="E360" s="1" t="s">
        <v>15189</v>
      </c>
      <c r="F360" s="2"/>
      <c r="G360" s="2"/>
      <c r="H360" s="2"/>
    </row>
    <row r="361" spans="1:8" x14ac:dyDescent="0.25">
      <c r="A361" s="1"/>
      <c r="B361" s="1" t="s">
        <v>8901</v>
      </c>
      <c r="C361" s="1" t="s">
        <v>8902</v>
      </c>
      <c r="D361" s="22" t="str">
        <f>HYPERLINK("https://rhld.insurance.arkansas.gov/NPILookup?Npi=1497790042","1497790042")</f>
        <v>1497790042</v>
      </c>
      <c r="E361" s="1" t="s">
        <v>9630</v>
      </c>
      <c r="F361" s="2"/>
      <c r="G361" s="2"/>
      <c r="H361" s="2"/>
    </row>
    <row r="362" spans="1:8" x14ac:dyDescent="0.25">
      <c r="A362" s="1"/>
      <c r="B362" s="1" t="s">
        <v>8901</v>
      </c>
      <c r="C362" s="1" t="s">
        <v>8902</v>
      </c>
      <c r="D362" s="22" t="str">
        <f>HYPERLINK("https://rhld.insurance.arkansas.gov/NPILookup?Npi=1518591809","1518591809")</f>
        <v>1518591809</v>
      </c>
      <c r="E362" s="1" t="s">
        <v>15153</v>
      </c>
      <c r="F362" s="2"/>
      <c r="G362" s="2"/>
      <c r="H362" s="2"/>
    </row>
    <row r="363" spans="1:8" x14ac:dyDescent="0.25">
      <c r="A363" s="1"/>
      <c r="B363" s="1" t="s">
        <v>8901</v>
      </c>
      <c r="C363" s="1" t="s">
        <v>8902</v>
      </c>
      <c r="D363" s="22" t="str">
        <f>HYPERLINK("https://rhld.insurance.arkansas.gov/NPILookup?Npi=1528010287","1528010287")</f>
        <v>1528010287</v>
      </c>
      <c r="E363" s="1" t="s">
        <v>15284</v>
      </c>
      <c r="F363" s="2"/>
      <c r="G363" s="2"/>
      <c r="H363" s="2"/>
    </row>
    <row r="364" spans="1:8" x14ac:dyDescent="0.25">
      <c r="A364" s="1"/>
      <c r="B364" s="1" t="s">
        <v>8901</v>
      </c>
      <c r="C364" s="1" t="s">
        <v>8902</v>
      </c>
      <c r="D364" s="22" t="str">
        <f>HYPERLINK("https://rhld.insurance.arkansas.gov/NPILookup?Npi=1548333438","1548333438")</f>
        <v>1548333438</v>
      </c>
      <c r="E364" s="1" t="s">
        <v>15285</v>
      </c>
      <c r="F364" s="2"/>
      <c r="G364" s="2"/>
      <c r="H364" s="2"/>
    </row>
    <row r="365" spans="1:8" x14ac:dyDescent="0.25">
      <c r="A365" s="1"/>
      <c r="B365" s="1" t="s">
        <v>8901</v>
      </c>
      <c r="C365" s="1" t="s">
        <v>8902</v>
      </c>
      <c r="D365" s="22" t="str">
        <f>HYPERLINK("https://rhld.insurance.arkansas.gov/NPILookup?Npi=1558647628","1558647628")</f>
        <v>1558647628</v>
      </c>
      <c r="E365" s="1" t="s">
        <v>5362</v>
      </c>
      <c r="F365" s="2"/>
      <c r="G365" s="2"/>
      <c r="H365" s="2"/>
    </row>
    <row r="366" spans="1:8" x14ac:dyDescent="0.25">
      <c r="A366" s="1"/>
      <c r="B366" s="1" t="s">
        <v>8901</v>
      </c>
      <c r="C366" s="1" t="s">
        <v>8902</v>
      </c>
      <c r="D366" s="22" t="str">
        <f>HYPERLINK("https://rhld.insurance.arkansas.gov/NPILookup?Npi=1558653212","1558653212")</f>
        <v>1558653212</v>
      </c>
      <c r="E366" s="1" t="s">
        <v>15286</v>
      </c>
      <c r="F366" s="2"/>
      <c r="G366" s="2"/>
      <c r="H366" s="2"/>
    </row>
    <row r="367" spans="1:8" x14ac:dyDescent="0.25">
      <c r="A367" s="1"/>
      <c r="B367" s="1" t="s">
        <v>8901</v>
      </c>
      <c r="C367" s="1" t="s">
        <v>8902</v>
      </c>
      <c r="D367" s="22" t="str">
        <f>HYPERLINK("https://rhld.insurance.arkansas.gov/NPILookup?Npi=1568406536","1568406536")</f>
        <v>1568406536</v>
      </c>
      <c r="E367" s="1" t="s">
        <v>10103</v>
      </c>
      <c r="F367" s="2"/>
      <c r="G367" s="2"/>
      <c r="H367" s="2"/>
    </row>
    <row r="368" spans="1:8" x14ac:dyDescent="0.25">
      <c r="A368" s="1"/>
      <c r="B368" s="1" t="s">
        <v>8901</v>
      </c>
      <c r="C368" s="1" t="s">
        <v>8902</v>
      </c>
      <c r="D368" s="22" t="str">
        <f>HYPERLINK("https://rhld.insurance.arkansas.gov/NPILookup?Npi=1568433480","1568433480")</f>
        <v>1568433480</v>
      </c>
      <c r="E368" s="1" t="s">
        <v>9631</v>
      </c>
      <c r="F368" s="2"/>
      <c r="G368" s="2"/>
      <c r="H368" s="2"/>
    </row>
    <row r="369" spans="1:8" x14ac:dyDescent="0.25">
      <c r="A369" s="1"/>
      <c r="B369" s="1" t="s">
        <v>8901</v>
      </c>
      <c r="C369" s="1" t="s">
        <v>8902</v>
      </c>
      <c r="D369" s="22" t="str">
        <f>HYPERLINK("https://rhld.insurance.arkansas.gov/NPILookup?Npi=1578527172","1578527172")</f>
        <v>1578527172</v>
      </c>
      <c r="E369" s="1" t="s">
        <v>8896</v>
      </c>
      <c r="F369" s="2"/>
      <c r="G369" s="2"/>
      <c r="H369" s="2"/>
    </row>
    <row r="370" spans="1:8" x14ac:dyDescent="0.25">
      <c r="A370" s="1"/>
      <c r="B370" s="1" t="s">
        <v>8901</v>
      </c>
      <c r="C370" s="1" t="s">
        <v>8902</v>
      </c>
      <c r="D370" s="22" t="str">
        <f>HYPERLINK("https://rhld.insurance.arkansas.gov/NPILookup?Npi=1598373359","1598373359")</f>
        <v>1598373359</v>
      </c>
      <c r="E370" s="1" t="s">
        <v>5381</v>
      </c>
      <c r="F370" s="2"/>
      <c r="G370" s="2"/>
      <c r="H370" s="2"/>
    </row>
    <row r="371" spans="1:8" x14ac:dyDescent="0.25">
      <c r="A371" s="1"/>
      <c r="B371" s="1" t="s">
        <v>8901</v>
      </c>
      <c r="C371" s="1" t="s">
        <v>8902</v>
      </c>
      <c r="D371" s="22" t="str">
        <f>HYPERLINK("https://rhld.insurance.arkansas.gov/NPILookup?Npi=1598773079","1598773079")</f>
        <v>1598773079</v>
      </c>
      <c r="E371" s="1" t="s">
        <v>15287</v>
      </c>
      <c r="F371" s="2"/>
      <c r="G371" s="2"/>
      <c r="H371" s="2"/>
    </row>
    <row r="372" spans="1:8" x14ac:dyDescent="0.25">
      <c r="A372" s="1"/>
      <c r="B372" s="1" t="s">
        <v>8901</v>
      </c>
      <c r="C372" s="1" t="s">
        <v>8902</v>
      </c>
      <c r="D372" s="22" t="str">
        <f>HYPERLINK("https://rhld.insurance.arkansas.gov/NPILookup?Npi=1629011002","1629011002")</f>
        <v>1629011002</v>
      </c>
      <c r="E372" s="1" t="s">
        <v>15212</v>
      </c>
      <c r="F372" s="2"/>
      <c r="G372" s="2"/>
      <c r="H372" s="2"/>
    </row>
    <row r="373" spans="1:8" x14ac:dyDescent="0.25">
      <c r="A373" s="1"/>
      <c r="B373" s="1" t="s">
        <v>8901</v>
      </c>
      <c r="C373" s="1" t="s">
        <v>8902</v>
      </c>
      <c r="D373" s="22" t="str">
        <f>HYPERLINK("https://rhld.insurance.arkansas.gov/NPILookup?Npi=1629132949","1629132949")</f>
        <v>1629132949</v>
      </c>
      <c r="E373" s="1" t="s">
        <v>15288</v>
      </c>
      <c r="F373" s="2"/>
      <c r="G373" s="2"/>
      <c r="H373" s="2"/>
    </row>
    <row r="374" spans="1:8" x14ac:dyDescent="0.25">
      <c r="A374" s="1"/>
      <c r="B374" s="1" t="s">
        <v>8901</v>
      </c>
      <c r="C374" s="1" t="s">
        <v>8902</v>
      </c>
      <c r="D374" s="22" t="str">
        <f>HYPERLINK("https://rhld.insurance.arkansas.gov/NPILookup?Npi=1689628232","1689628232")</f>
        <v>1689628232</v>
      </c>
      <c r="E374" s="1" t="s">
        <v>15224</v>
      </c>
      <c r="F374" s="2"/>
      <c r="G374" s="2"/>
      <c r="H374" s="2"/>
    </row>
    <row r="375" spans="1:8" x14ac:dyDescent="0.25">
      <c r="A375" s="1"/>
      <c r="B375" s="1" t="s">
        <v>8901</v>
      </c>
      <c r="C375" s="1" t="s">
        <v>8902</v>
      </c>
      <c r="D375" s="22" t="str">
        <f>HYPERLINK("https://rhld.insurance.arkansas.gov/NPILookup?Npi=1699726695","1699726695")</f>
        <v>1699726695</v>
      </c>
      <c r="E375" s="1" t="s">
        <v>15226</v>
      </c>
      <c r="F375" s="2"/>
      <c r="G375" s="2"/>
      <c r="H375" s="2"/>
    </row>
    <row r="376" spans="1:8" x14ac:dyDescent="0.25">
      <c r="A376" s="1"/>
      <c r="B376" s="1" t="s">
        <v>8901</v>
      </c>
      <c r="C376" s="1" t="s">
        <v>8902</v>
      </c>
      <c r="D376" s="22" t="str">
        <f>HYPERLINK("https://rhld.insurance.arkansas.gov/NPILookup?Npi=1700407541","1700407541")</f>
        <v>1700407541</v>
      </c>
      <c r="E376" s="1" t="s">
        <v>1162</v>
      </c>
      <c r="F376" s="2"/>
      <c r="G376" s="2"/>
      <c r="H376" s="2"/>
    </row>
    <row r="377" spans="1:8" x14ac:dyDescent="0.25">
      <c r="A377" s="1"/>
      <c r="B377" s="1" t="s">
        <v>8901</v>
      </c>
      <c r="C377" s="1" t="s">
        <v>8902</v>
      </c>
      <c r="D377" s="22" t="str">
        <f>HYPERLINK("https://rhld.insurance.arkansas.gov/NPILookup?Npi=1700831724","1700831724")</f>
        <v>1700831724</v>
      </c>
      <c r="E377" s="1" t="s">
        <v>662</v>
      </c>
      <c r="F377" s="2"/>
      <c r="G377" s="2"/>
      <c r="H377" s="2"/>
    </row>
    <row r="378" spans="1:8" x14ac:dyDescent="0.25">
      <c r="A378" s="1"/>
      <c r="B378" s="1" t="s">
        <v>8901</v>
      </c>
      <c r="C378" s="1" t="s">
        <v>8902</v>
      </c>
      <c r="D378" s="22" t="str">
        <f>HYPERLINK("https://rhld.insurance.arkansas.gov/NPILookup?Npi=1710463146","1710463146")</f>
        <v>1710463146</v>
      </c>
      <c r="E378" s="1" t="s">
        <v>2450</v>
      </c>
      <c r="F378" s="2"/>
      <c r="G378" s="2"/>
      <c r="H378" s="2"/>
    </row>
    <row r="379" spans="1:8" x14ac:dyDescent="0.25">
      <c r="A379" s="1"/>
      <c r="B379" s="1" t="s">
        <v>8901</v>
      </c>
      <c r="C379" s="1" t="s">
        <v>8902</v>
      </c>
      <c r="D379" s="22" t="str">
        <f>HYPERLINK("https://rhld.insurance.arkansas.gov/NPILookup?Npi=1710931985","1710931985")</f>
        <v>1710931985</v>
      </c>
      <c r="E379" s="1" t="s">
        <v>15232</v>
      </c>
      <c r="F379" s="2"/>
      <c r="G379" s="2"/>
      <c r="H379" s="2"/>
    </row>
    <row r="380" spans="1:8" x14ac:dyDescent="0.25">
      <c r="A380" s="1"/>
      <c r="B380" s="1" t="s">
        <v>8901</v>
      </c>
      <c r="C380" s="1" t="s">
        <v>8902</v>
      </c>
      <c r="D380" s="22" t="str">
        <f>HYPERLINK("https://rhld.insurance.arkansas.gov/NPILookup?Npi=1710943881","1710943881")</f>
        <v>1710943881</v>
      </c>
      <c r="E380" s="1" t="s">
        <v>654</v>
      </c>
      <c r="F380" s="2"/>
      <c r="G380" s="2"/>
      <c r="H380" s="2"/>
    </row>
    <row r="381" spans="1:8" x14ac:dyDescent="0.25">
      <c r="A381" s="1"/>
      <c r="B381" s="1" t="s">
        <v>8901</v>
      </c>
      <c r="C381" s="1" t="s">
        <v>8902</v>
      </c>
      <c r="D381" s="22" t="str">
        <f>HYPERLINK("https://rhld.insurance.arkansas.gov/NPILookup?Npi=1740217884","1740217884")</f>
        <v>1740217884</v>
      </c>
      <c r="E381" s="1" t="s">
        <v>15290</v>
      </c>
      <c r="F381" s="2"/>
      <c r="G381" s="2"/>
      <c r="H381" s="2"/>
    </row>
    <row r="382" spans="1:8" x14ac:dyDescent="0.25">
      <c r="A382" s="1"/>
      <c r="B382" s="1" t="s">
        <v>8901</v>
      </c>
      <c r="C382" s="1" t="s">
        <v>8902</v>
      </c>
      <c r="D382" s="22" t="str">
        <f>HYPERLINK("https://rhld.insurance.arkansas.gov/NPILookup?Npi=1770802217","1770802217")</f>
        <v>1770802217</v>
      </c>
      <c r="E382" s="1" t="s">
        <v>667</v>
      </c>
      <c r="F382" s="2"/>
      <c r="G382" s="2"/>
      <c r="H382" s="2"/>
    </row>
    <row r="383" spans="1:8" x14ac:dyDescent="0.25">
      <c r="A383" s="1"/>
      <c r="B383" s="1" t="s">
        <v>8901</v>
      </c>
      <c r="C383" s="1" t="s">
        <v>8902</v>
      </c>
      <c r="D383" s="22" t="str">
        <f>HYPERLINK("https://rhld.insurance.arkansas.gov/NPILookup?Npi=1780375592","1780375592")</f>
        <v>1780375592</v>
      </c>
      <c r="E383" s="1" t="s">
        <v>8889</v>
      </c>
      <c r="F383" s="2"/>
      <c r="G383" s="2"/>
      <c r="H383" s="2"/>
    </row>
    <row r="384" spans="1:8" x14ac:dyDescent="0.25">
      <c r="A384" s="1"/>
      <c r="B384" s="1" t="s">
        <v>8901</v>
      </c>
      <c r="C384" s="1" t="s">
        <v>8902</v>
      </c>
      <c r="D384" s="22" t="str">
        <f>HYPERLINK("https://rhld.insurance.arkansas.gov/NPILookup?Npi=1780684431","1780684431")</f>
        <v>1780684431</v>
      </c>
      <c r="E384" s="1" t="s">
        <v>9662</v>
      </c>
      <c r="F384" s="2"/>
      <c r="G384" s="2"/>
      <c r="H384" s="2"/>
    </row>
    <row r="385" spans="1:8" x14ac:dyDescent="0.25">
      <c r="A385" s="1"/>
      <c r="B385" s="1" t="s">
        <v>8901</v>
      </c>
      <c r="C385" s="1" t="s">
        <v>8902</v>
      </c>
      <c r="D385" s="22" t="str">
        <f>HYPERLINK("https://rhld.insurance.arkansas.gov/NPILookup?Npi=1790773158","1790773158")</f>
        <v>1790773158</v>
      </c>
      <c r="E385" s="1" t="s">
        <v>9633</v>
      </c>
      <c r="F385" s="2"/>
      <c r="G385" s="2"/>
      <c r="H385" s="2"/>
    </row>
    <row r="386" spans="1:8" x14ac:dyDescent="0.25">
      <c r="A386" s="1"/>
      <c r="B386" s="1" t="s">
        <v>8901</v>
      </c>
      <c r="C386" s="1" t="s">
        <v>8902</v>
      </c>
      <c r="D386" s="22" t="str">
        <f>HYPERLINK("https://rhld.insurance.arkansas.gov/NPILookup?Npi=1790775229","1790775229")</f>
        <v>1790775229</v>
      </c>
      <c r="E386" s="1" t="s">
        <v>657</v>
      </c>
      <c r="F386" s="2"/>
      <c r="G386" s="2"/>
      <c r="H386" s="2"/>
    </row>
    <row r="387" spans="1:8" x14ac:dyDescent="0.25">
      <c r="A387" s="1"/>
      <c r="B387" s="1" t="s">
        <v>8901</v>
      </c>
      <c r="C387" s="1" t="s">
        <v>8902</v>
      </c>
      <c r="D387" s="22" t="str">
        <f>HYPERLINK("https://rhld.insurance.arkansas.gov/NPILookup?Npi=1841241833","1841241833")</f>
        <v>1841241833</v>
      </c>
      <c r="E387" s="1" t="s">
        <v>655</v>
      </c>
      <c r="F387" s="2"/>
      <c r="G387" s="2"/>
      <c r="H387" s="2"/>
    </row>
    <row r="388" spans="1:8" x14ac:dyDescent="0.25">
      <c r="A388" s="1"/>
      <c r="B388" s="1" t="s">
        <v>8901</v>
      </c>
      <c r="C388" s="1" t="s">
        <v>8902</v>
      </c>
      <c r="D388" s="22" t="str">
        <f>HYPERLINK("https://rhld.insurance.arkansas.gov/NPILookup?Npi=1841898293","1841898293")</f>
        <v>1841898293</v>
      </c>
      <c r="E388" s="1" t="s">
        <v>15291</v>
      </c>
      <c r="F388" s="2"/>
      <c r="G388" s="2"/>
      <c r="H388" s="2"/>
    </row>
    <row r="389" spans="1:8" x14ac:dyDescent="0.25">
      <c r="A389" s="1"/>
      <c r="B389" s="1" t="s">
        <v>8901</v>
      </c>
      <c r="C389" s="1" t="s">
        <v>8902</v>
      </c>
      <c r="D389" s="22" t="str">
        <f>HYPERLINK("https://rhld.insurance.arkansas.gov/NPILookup?Npi=1861449639","1861449639")</f>
        <v>1861449639</v>
      </c>
      <c r="E389" s="1" t="s">
        <v>15257</v>
      </c>
      <c r="F389" s="2"/>
      <c r="G389" s="2"/>
      <c r="H389" s="2"/>
    </row>
    <row r="390" spans="1:8" x14ac:dyDescent="0.25">
      <c r="A390" s="1"/>
      <c r="B390" s="1" t="s">
        <v>8901</v>
      </c>
      <c r="C390" s="1" t="s">
        <v>8902</v>
      </c>
      <c r="D390" s="22" t="str">
        <f>HYPERLINK("https://rhld.insurance.arkansas.gov/NPILookup?Npi=1861519548","1861519548")</f>
        <v>1861519548</v>
      </c>
      <c r="E390" s="1" t="s">
        <v>15292</v>
      </c>
      <c r="F390" s="2"/>
      <c r="G390" s="2"/>
      <c r="H390" s="2"/>
    </row>
    <row r="391" spans="1:8" x14ac:dyDescent="0.25">
      <c r="A391" s="1"/>
      <c r="B391" s="1" t="s">
        <v>8901</v>
      </c>
      <c r="C391" s="1" t="s">
        <v>8902</v>
      </c>
      <c r="D391" s="22" t="str">
        <f>HYPERLINK("https://rhld.insurance.arkansas.gov/NPILookup?Npi=1861711301","1861711301")</f>
        <v>1861711301</v>
      </c>
      <c r="E391" s="1" t="s">
        <v>9641</v>
      </c>
      <c r="F391" s="2"/>
      <c r="G391" s="2"/>
      <c r="H391" s="2"/>
    </row>
    <row r="392" spans="1:8" x14ac:dyDescent="0.25">
      <c r="A392" s="1"/>
      <c r="B392" s="1" t="s">
        <v>8901</v>
      </c>
      <c r="C392" s="1" t="s">
        <v>8902</v>
      </c>
      <c r="D392" s="22" t="str">
        <f>HYPERLINK("https://rhld.insurance.arkansas.gov/NPILookup?Npi=1871839613","1871839613")</f>
        <v>1871839613</v>
      </c>
      <c r="E392" s="1" t="s">
        <v>15293</v>
      </c>
      <c r="F392" s="2"/>
      <c r="G392" s="2"/>
      <c r="H392" s="2"/>
    </row>
    <row r="393" spans="1:8" x14ac:dyDescent="0.25">
      <c r="A393" s="1"/>
      <c r="B393" s="1" t="s">
        <v>8901</v>
      </c>
      <c r="C393" s="1" t="s">
        <v>8902</v>
      </c>
      <c r="D393" s="22" t="str">
        <f>HYPERLINK("https://rhld.insurance.arkansas.gov/NPILookup?Npi=1881142461","1881142461")</f>
        <v>1881142461</v>
      </c>
      <c r="E393" s="1" t="s">
        <v>8898</v>
      </c>
      <c r="F393" s="2"/>
      <c r="G393" s="2"/>
      <c r="H393" s="2"/>
    </row>
    <row r="394" spans="1:8" x14ac:dyDescent="0.25">
      <c r="A394" s="1"/>
      <c r="B394" s="1" t="s">
        <v>8901</v>
      </c>
      <c r="C394" s="1" t="s">
        <v>8902</v>
      </c>
      <c r="D394" s="22" t="str">
        <f>HYPERLINK("https://rhld.insurance.arkansas.gov/NPILookup?Npi=1881788933","1881788933")</f>
        <v>1881788933</v>
      </c>
      <c r="E394" s="1" t="s">
        <v>2141</v>
      </c>
      <c r="F394" s="2"/>
      <c r="G394" s="2"/>
      <c r="H394" s="2"/>
    </row>
    <row r="395" spans="1:8" x14ac:dyDescent="0.25">
      <c r="A395" s="1"/>
      <c r="B395" s="1" t="s">
        <v>8901</v>
      </c>
      <c r="C395" s="1" t="s">
        <v>8902</v>
      </c>
      <c r="D395" s="22" t="str">
        <f>HYPERLINK("https://rhld.insurance.arkansas.gov/NPILookup?Npi=1902051816","1902051816")</f>
        <v>1902051816</v>
      </c>
      <c r="E395" s="1" t="s">
        <v>15259</v>
      </c>
      <c r="F395" s="2"/>
      <c r="G395" s="2"/>
      <c r="H395" s="2"/>
    </row>
    <row r="396" spans="1:8" x14ac:dyDescent="0.25">
      <c r="A396" s="1"/>
      <c r="B396" s="1" t="s">
        <v>8901</v>
      </c>
      <c r="C396" s="1" t="s">
        <v>8902</v>
      </c>
      <c r="D396" s="22" t="str">
        <f>HYPERLINK("https://rhld.insurance.arkansas.gov/NPILookup?Npi=1902842255","1902842255")</f>
        <v>1902842255</v>
      </c>
      <c r="E396" s="1" t="s">
        <v>8899</v>
      </c>
      <c r="F396" s="2"/>
      <c r="G396" s="2"/>
      <c r="H396" s="2"/>
    </row>
    <row r="397" spans="1:8" x14ac:dyDescent="0.25">
      <c r="A397" s="1"/>
      <c r="B397" s="1" t="s">
        <v>8901</v>
      </c>
      <c r="C397" s="1" t="s">
        <v>8902</v>
      </c>
      <c r="D397" s="22" t="str">
        <f>HYPERLINK("https://rhld.insurance.arkansas.gov/NPILookup?Npi=1902868391","1902868391")</f>
        <v>1902868391</v>
      </c>
      <c r="E397" s="1" t="s">
        <v>709</v>
      </c>
      <c r="F397" s="2"/>
      <c r="G397" s="2"/>
      <c r="H397" s="2"/>
    </row>
    <row r="398" spans="1:8" x14ac:dyDescent="0.25">
      <c r="A398" s="1"/>
      <c r="B398" s="1" t="s">
        <v>8901</v>
      </c>
      <c r="C398" s="1" t="s">
        <v>8902</v>
      </c>
      <c r="D398" s="22" t="str">
        <f>HYPERLINK("https://rhld.insurance.arkansas.gov/NPILookup?Npi=1912964081","1912964081")</f>
        <v>1912964081</v>
      </c>
      <c r="E398" s="1" t="s">
        <v>15264</v>
      </c>
      <c r="F398" s="2"/>
      <c r="G398" s="2"/>
      <c r="H398" s="2"/>
    </row>
    <row r="399" spans="1:8" x14ac:dyDescent="0.25">
      <c r="A399" s="1"/>
      <c r="B399" s="1" t="s">
        <v>8901</v>
      </c>
      <c r="C399" s="1" t="s">
        <v>8902</v>
      </c>
      <c r="D399" s="22" t="str">
        <f>HYPERLINK("https://rhld.insurance.arkansas.gov/NPILookup?Npi=1922043686","1922043686")</f>
        <v>1922043686</v>
      </c>
      <c r="E399" s="1" t="s">
        <v>1543</v>
      </c>
      <c r="F399" s="2"/>
      <c r="G399" s="2"/>
      <c r="H399" s="2"/>
    </row>
    <row r="400" spans="1:8" x14ac:dyDescent="0.25">
      <c r="A400" s="1"/>
      <c r="B400" s="1" t="s">
        <v>8901</v>
      </c>
      <c r="C400" s="1" t="s">
        <v>8902</v>
      </c>
      <c r="D400" s="22" t="str">
        <f>HYPERLINK("https://rhld.insurance.arkansas.gov/NPILookup?Npi=1922353754","1922353754")</f>
        <v>1922353754</v>
      </c>
      <c r="E400" s="1" t="s">
        <v>1076</v>
      </c>
      <c r="F400" s="2"/>
      <c r="G400" s="2"/>
      <c r="H400" s="2"/>
    </row>
    <row r="401" spans="1:8" x14ac:dyDescent="0.25">
      <c r="A401" s="1"/>
      <c r="B401" s="1" t="s">
        <v>8901</v>
      </c>
      <c r="C401" s="1" t="s">
        <v>8902</v>
      </c>
      <c r="D401" s="22" t="str">
        <f>HYPERLINK("https://rhld.insurance.arkansas.gov/NPILookup?Npi=1962727271","1962727271")</f>
        <v>1962727271</v>
      </c>
      <c r="E401" s="1" t="s">
        <v>3574</v>
      </c>
      <c r="F401" s="2"/>
      <c r="G401" s="2"/>
      <c r="H401" s="2"/>
    </row>
    <row r="402" spans="1:8" x14ac:dyDescent="0.25">
      <c r="A402" s="1"/>
      <c r="B402" s="1" t="s">
        <v>8901</v>
      </c>
      <c r="C402" s="1" t="s">
        <v>8902</v>
      </c>
      <c r="D402" s="22" t="str">
        <f>HYPERLINK("https://rhld.insurance.arkansas.gov/NPILookup?Npi=1972620649","1972620649")</f>
        <v>1972620649</v>
      </c>
      <c r="E402" s="1" t="s">
        <v>15294</v>
      </c>
      <c r="F402" s="2"/>
      <c r="G402" s="2"/>
      <c r="H402" s="2"/>
    </row>
    <row r="403" spans="1:8" x14ac:dyDescent="0.25">
      <c r="A403" s="1"/>
      <c r="B403" s="1" t="s">
        <v>8901</v>
      </c>
      <c r="C403" s="1" t="s">
        <v>8902</v>
      </c>
      <c r="D403" s="22" t="str">
        <f>HYPERLINK("https://rhld.insurance.arkansas.gov/NPILookup?Npi=1992760342","1992760342")</f>
        <v>1992760342</v>
      </c>
      <c r="E403" s="1" t="s">
        <v>9637</v>
      </c>
      <c r="F403" s="2"/>
      <c r="G403" s="2"/>
      <c r="H403" s="2"/>
    </row>
    <row r="404" spans="1:8" x14ac:dyDescent="0.25">
      <c r="A404" s="1"/>
      <c r="B404" s="1" t="s">
        <v>8905</v>
      </c>
      <c r="C404" s="1" t="s">
        <v>8906</v>
      </c>
      <c r="D404" s="22" t="str">
        <f>HYPERLINK("https://rhld.insurance.arkansas.gov/NPILookup?Npi=1033147921","1033147921")</f>
        <v>1033147921</v>
      </c>
      <c r="E404" s="1" t="s">
        <v>15089</v>
      </c>
      <c r="F404" s="2"/>
      <c r="G404" s="2"/>
      <c r="H404" s="2"/>
    </row>
    <row r="405" spans="1:8" x14ac:dyDescent="0.25">
      <c r="A405" s="1"/>
      <c r="B405" s="1" t="s">
        <v>8905</v>
      </c>
      <c r="C405" s="1" t="s">
        <v>8906</v>
      </c>
      <c r="D405" s="22" t="str">
        <f>HYPERLINK("https://rhld.insurance.arkansas.gov/NPILookup?Npi=1033160049","1033160049")</f>
        <v>1033160049</v>
      </c>
      <c r="E405" s="1" t="s">
        <v>972</v>
      </c>
      <c r="F405" s="2"/>
      <c r="G405" s="2"/>
      <c r="H405" s="2"/>
    </row>
    <row r="406" spans="1:8" x14ac:dyDescent="0.25">
      <c r="A406" s="1"/>
      <c r="B406" s="1" t="s">
        <v>8905</v>
      </c>
      <c r="C406" s="1" t="s">
        <v>8906</v>
      </c>
      <c r="D406" s="22" t="str">
        <f>HYPERLINK("https://rhld.insurance.arkansas.gov/NPILookup?Npi=1043240682","1043240682")</f>
        <v>1043240682</v>
      </c>
      <c r="E406" s="1" t="s">
        <v>15095</v>
      </c>
      <c r="F406" s="2"/>
      <c r="G406" s="2"/>
      <c r="H406" s="2"/>
    </row>
    <row r="407" spans="1:8" x14ac:dyDescent="0.25">
      <c r="A407" s="1"/>
      <c r="B407" s="1" t="s">
        <v>8905</v>
      </c>
      <c r="C407" s="1" t="s">
        <v>8906</v>
      </c>
      <c r="D407" s="22" t="str">
        <f>HYPERLINK("https://rhld.insurance.arkansas.gov/NPILookup?Npi=1063695120","1063695120")</f>
        <v>1063695120</v>
      </c>
      <c r="E407" s="1" t="s">
        <v>1563</v>
      </c>
      <c r="F407" s="2"/>
      <c r="G407" s="2"/>
      <c r="H407" s="2"/>
    </row>
    <row r="408" spans="1:8" x14ac:dyDescent="0.25">
      <c r="A408" s="1"/>
      <c r="B408" s="1" t="s">
        <v>8905</v>
      </c>
      <c r="C408" s="1" t="s">
        <v>8906</v>
      </c>
      <c r="D408" s="22" t="str">
        <f>HYPERLINK("https://rhld.insurance.arkansas.gov/NPILookup?Npi=1083609150","1083609150")</f>
        <v>1083609150</v>
      </c>
      <c r="E408" s="1" t="s">
        <v>15106</v>
      </c>
      <c r="F408" s="2"/>
      <c r="G408" s="2"/>
      <c r="H408" s="2"/>
    </row>
    <row r="409" spans="1:8" x14ac:dyDescent="0.25">
      <c r="A409" s="1"/>
      <c r="B409" s="1" t="s">
        <v>8905</v>
      </c>
      <c r="C409" s="1" t="s">
        <v>8906</v>
      </c>
      <c r="D409" s="22" t="str">
        <f>HYPERLINK("https://rhld.insurance.arkansas.gov/NPILookup?Npi=1114903523","1114903523")</f>
        <v>1114903523</v>
      </c>
      <c r="E409" s="1" t="s">
        <v>2139</v>
      </c>
      <c r="F409" s="2"/>
      <c r="G409" s="2"/>
      <c r="H409" s="2"/>
    </row>
    <row r="410" spans="1:8" x14ac:dyDescent="0.25">
      <c r="A410" s="1"/>
      <c r="B410" s="1" t="s">
        <v>8905</v>
      </c>
      <c r="C410" s="1" t="s">
        <v>8906</v>
      </c>
      <c r="D410" s="22" t="str">
        <f>HYPERLINK("https://rhld.insurance.arkansas.gov/NPILookup?Npi=1124021811","1124021811")</f>
        <v>1124021811</v>
      </c>
      <c r="E410" s="1" t="s">
        <v>8888</v>
      </c>
      <c r="F410" s="2"/>
      <c r="G410" s="2"/>
      <c r="H410" s="2"/>
    </row>
    <row r="411" spans="1:8" x14ac:dyDescent="0.25">
      <c r="A411" s="1"/>
      <c r="B411" s="1" t="s">
        <v>8905</v>
      </c>
      <c r="C411" s="1" t="s">
        <v>8906</v>
      </c>
      <c r="D411" s="22" t="str">
        <f>HYPERLINK("https://rhld.insurance.arkansas.gov/NPILookup?Npi=1134116049","1134116049")</f>
        <v>1134116049</v>
      </c>
      <c r="E411" s="1" t="s">
        <v>15116</v>
      </c>
      <c r="F411" s="2"/>
      <c r="G411" s="2"/>
      <c r="H411" s="2"/>
    </row>
    <row r="412" spans="1:8" x14ac:dyDescent="0.25">
      <c r="A412" s="1"/>
      <c r="B412" s="1" t="s">
        <v>8905</v>
      </c>
      <c r="C412" s="1" t="s">
        <v>8906</v>
      </c>
      <c r="D412" s="22" t="str">
        <f>HYPERLINK("https://rhld.insurance.arkansas.gov/NPILookup?Npi=1144213117","1144213117")</f>
        <v>1144213117</v>
      </c>
      <c r="E412" s="1" t="s">
        <v>1688</v>
      </c>
      <c r="F412" s="2"/>
      <c r="G412" s="2"/>
      <c r="H412" s="2"/>
    </row>
    <row r="413" spans="1:8" x14ac:dyDescent="0.25">
      <c r="A413" s="1"/>
      <c r="B413" s="1" t="s">
        <v>8905</v>
      </c>
      <c r="C413" s="1" t="s">
        <v>8906</v>
      </c>
      <c r="D413" s="22" t="str">
        <f>HYPERLINK("https://rhld.insurance.arkansas.gov/NPILookup?Npi=1144590522","1144590522")</f>
        <v>1144590522</v>
      </c>
      <c r="E413" s="1" t="s">
        <v>15275</v>
      </c>
      <c r="F413" s="2"/>
      <c r="G413" s="2"/>
      <c r="H413" s="2"/>
    </row>
    <row r="414" spans="1:8" x14ac:dyDescent="0.25">
      <c r="A414" s="1"/>
      <c r="B414" s="1" t="s">
        <v>8905</v>
      </c>
      <c r="C414" s="1" t="s">
        <v>8906</v>
      </c>
      <c r="D414" s="22" t="str">
        <f>HYPERLINK("https://rhld.insurance.arkansas.gov/NPILookup?Npi=1154807584","1154807584")</f>
        <v>1154807584</v>
      </c>
      <c r="E414" s="1" t="s">
        <v>3465</v>
      </c>
      <c r="F414" s="2"/>
      <c r="G414" s="2"/>
      <c r="H414" s="2"/>
    </row>
    <row r="415" spans="1:8" x14ac:dyDescent="0.25">
      <c r="A415" s="1"/>
      <c r="B415" s="1" t="s">
        <v>8905</v>
      </c>
      <c r="C415" s="1" t="s">
        <v>8906</v>
      </c>
      <c r="D415" s="22" t="str">
        <f>HYPERLINK("https://rhld.insurance.arkansas.gov/NPILookup?Npi=1164779989","1164779989")</f>
        <v>1164779989</v>
      </c>
      <c r="E415" s="1" t="s">
        <v>1076</v>
      </c>
      <c r="F415" s="2"/>
      <c r="G415" s="2"/>
      <c r="H415" s="2"/>
    </row>
    <row r="416" spans="1:8" x14ac:dyDescent="0.25">
      <c r="A416" s="1"/>
      <c r="B416" s="1" t="s">
        <v>8905</v>
      </c>
      <c r="C416" s="1" t="s">
        <v>8906</v>
      </c>
      <c r="D416" s="22" t="str">
        <f>HYPERLINK("https://rhld.insurance.arkansas.gov/NPILookup?Npi=1174947618","1174947618")</f>
        <v>1174947618</v>
      </c>
      <c r="E416" s="1" t="s">
        <v>6931</v>
      </c>
      <c r="F416" s="2"/>
      <c r="G416" s="2"/>
      <c r="H416" s="2"/>
    </row>
    <row r="417" spans="1:8" x14ac:dyDescent="0.25">
      <c r="A417" s="1"/>
      <c r="B417" s="1" t="s">
        <v>8905</v>
      </c>
      <c r="C417" s="1" t="s">
        <v>8906</v>
      </c>
      <c r="D417" s="22" t="str">
        <f>HYPERLINK("https://rhld.insurance.arkansas.gov/NPILookup?Npi=1194741611","1194741611")</f>
        <v>1194741611</v>
      </c>
      <c r="E417" s="1" t="s">
        <v>636</v>
      </c>
      <c r="F417" s="2"/>
      <c r="G417" s="2"/>
      <c r="H417" s="2"/>
    </row>
    <row r="418" spans="1:8" x14ac:dyDescent="0.25">
      <c r="A418" s="1"/>
      <c r="B418" s="1" t="s">
        <v>8905</v>
      </c>
      <c r="C418" s="1" t="s">
        <v>8906</v>
      </c>
      <c r="D418" s="22" t="str">
        <f>HYPERLINK("https://rhld.insurance.arkansas.gov/NPILookup?Npi=1194776757","1194776757")</f>
        <v>1194776757</v>
      </c>
      <c r="E418" s="1" t="s">
        <v>683</v>
      </c>
      <c r="F418" s="2"/>
      <c r="G418" s="2"/>
      <c r="H418" s="2"/>
    </row>
    <row r="419" spans="1:8" x14ac:dyDescent="0.25">
      <c r="A419" s="1"/>
      <c r="B419" s="1" t="s">
        <v>8905</v>
      </c>
      <c r="C419" s="1" t="s">
        <v>8906</v>
      </c>
      <c r="D419" s="22" t="str">
        <f>HYPERLINK("https://rhld.insurance.arkansas.gov/NPILookup?Npi=1194789818","1194789818")</f>
        <v>1194789818</v>
      </c>
      <c r="E419" s="1" t="s">
        <v>15127</v>
      </c>
      <c r="F419" s="2"/>
      <c r="G419" s="2"/>
      <c r="H419" s="2"/>
    </row>
    <row r="420" spans="1:8" x14ac:dyDescent="0.25">
      <c r="A420" s="1"/>
      <c r="B420" s="1" t="s">
        <v>8905</v>
      </c>
      <c r="C420" s="1" t="s">
        <v>8906</v>
      </c>
      <c r="D420" s="22" t="str">
        <f>HYPERLINK("https://rhld.insurance.arkansas.gov/NPILookup?Npi=1235111071","1235111071")</f>
        <v>1235111071</v>
      </c>
      <c r="E420" s="1" t="s">
        <v>1563</v>
      </c>
      <c r="F420" s="2"/>
      <c r="G420" s="2"/>
      <c r="H420" s="2"/>
    </row>
    <row r="421" spans="1:8" x14ac:dyDescent="0.25">
      <c r="A421" s="1"/>
      <c r="B421" s="1" t="s">
        <v>8905</v>
      </c>
      <c r="C421" s="1" t="s">
        <v>8906</v>
      </c>
      <c r="D421" s="22" t="str">
        <f>HYPERLINK("https://rhld.insurance.arkansas.gov/NPILookup?Npi=1245284769","1245284769")</f>
        <v>1245284769</v>
      </c>
      <c r="E421" s="1" t="s">
        <v>1620</v>
      </c>
      <c r="F421" s="2"/>
      <c r="G421" s="2"/>
      <c r="H421" s="2"/>
    </row>
    <row r="422" spans="1:8" x14ac:dyDescent="0.25">
      <c r="A422" s="1"/>
      <c r="B422" s="1" t="s">
        <v>8905</v>
      </c>
      <c r="C422" s="1" t="s">
        <v>8906</v>
      </c>
      <c r="D422" s="22" t="str">
        <f>HYPERLINK("https://rhld.insurance.arkansas.gov/NPILookup?Npi=1245357912","1245357912")</f>
        <v>1245357912</v>
      </c>
      <c r="E422" s="1" t="s">
        <v>636</v>
      </c>
      <c r="F422" s="2"/>
      <c r="G422" s="2"/>
      <c r="H422" s="2"/>
    </row>
    <row r="423" spans="1:8" x14ac:dyDescent="0.25">
      <c r="A423" s="1"/>
      <c r="B423" s="1" t="s">
        <v>8905</v>
      </c>
      <c r="C423" s="1" t="s">
        <v>8906</v>
      </c>
      <c r="D423" s="22" t="str">
        <f>HYPERLINK("https://rhld.insurance.arkansas.gov/NPILookup?Npi=1255377420","1255377420")</f>
        <v>1255377420</v>
      </c>
      <c r="E423" s="1" t="s">
        <v>8903</v>
      </c>
      <c r="F423" s="2"/>
      <c r="G423" s="2"/>
      <c r="H423" s="2"/>
    </row>
    <row r="424" spans="1:8" x14ac:dyDescent="0.25">
      <c r="A424" s="1"/>
      <c r="B424" s="1" t="s">
        <v>8905</v>
      </c>
      <c r="C424" s="1" t="s">
        <v>8906</v>
      </c>
      <c r="D424" s="22" t="str">
        <f>HYPERLINK("https://rhld.insurance.arkansas.gov/NPILookup?Npi=1255875746","1255875746")</f>
        <v>1255875746</v>
      </c>
      <c r="E424" s="1" t="s">
        <v>15277</v>
      </c>
      <c r="F424" s="2"/>
      <c r="G424" s="2"/>
      <c r="H424" s="2"/>
    </row>
    <row r="425" spans="1:8" x14ac:dyDescent="0.25">
      <c r="A425" s="1"/>
      <c r="B425" s="1" t="s">
        <v>8905</v>
      </c>
      <c r="C425" s="1" t="s">
        <v>8906</v>
      </c>
      <c r="D425" s="22" t="str">
        <f>HYPERLINK("https://rhld.insurance.arkansas.gov/NPILookup?Npi=1275023095","1275023095")</f>
        <v>1275023095</v>
      </c>
      <c r="E425" s="1" t="s">
        <v>15278</v>
      </c>
      <c r="F425" s="2"/>
      <c r="G425" s="2"/>
      <c r="H425" s="2"/>
    </row>
    <row r="426" spans="1:8" x14ac:dyDescent="0.25">
      <c r="A426" s="1"/>
      <c r="B426" s="1" t="s">
        <v>8905</v>
      </c>
      <c r="C426" s="1" t="s">
        <v>8906</v>
      </c>
      <c r="D426" s="22" t="str">
        <f>HYPERLINK("https://rhld.insurance.arkansas.gov/NPILookup?Npi=1275523912","1275523912")</f>
        <v>1275523912</v>
      </c>
      <c r="E426" s="1" t="s">
        <v>15141</v>
      </c>
      <c r="F426" s="2"/>
      <c r="G426" s="2"/>
      <c r="H426" s="2"/>
    </row>
    <row r="427" spans="1:8" x14ac:dyDescent="0.25">
      <c r="A427" s="1"/>
      <c r="B427" s="1" t="s">
        <v>8905</v>
      </c>
      <c r="C427" s="1" t="s">
        <v>8906</v>
      </c>
      <c r="D427" s="22" t="str">
        <f>HYPERLINK("https://rhld.insurance.arkansas.gov/NPILookup?Npi=1285005140","1285005140")</f>
        <v>1285005140</v>
      </c>
      <c r="E427" s="1" t="s">
        <v>3572</v>
      </c>
      <c r="F427" s="2"/>
      <c r="G427" s="2"/>
      <c r="H427" s="2"/>
    </row>
    <row r="428" spans="1:8" x14ac:dyDescent="0.25">
      <c r="A428" s="1"/>
      <c r="B428" s="1" t="s">
        <v>8905</v>
      </c>
      <c r="C428" s="1" t="s">
        <v>8906</v>
      </c>
      <c r="D428" s="22" t="str">
        <f>HYPERLINK("https://rhld.insurance.arkansas.gov/NPILookup?Npi=1295736734","1295736734")</f>
        <v>1295736734</v>
      </c>
      <c r="E428" s="1" t="s">
        <v>8894</v>
      </c>
      <c r="F428" s="2"/>
      <c r="G428" s="2"/>
      <c r="H428" s="2"/>
    </row>
    <row r="429" spans="1:8" x14ac:dyDescent="0.25">
      <c r="A429" s="1"/>
      <c r="B429" s="1" t="s">
        <v>8905</v>
      </c>
      <c r="C429" s="1" t="s">
        <v>8906</v>
      </c>
      <c r="D429" s="22" t="str">
        <f>HYPERLINK("https://rhld.insurance.arkansas.gov/NPILookup?Npi=1295817260","1295817260")</f>
        <v>1295817260</v>
      </c>
      <c r="E429" s="1" t="s">
        <v>654</v>
      </c>
      <c r="F429" s="2"/>
      <c r="G429" s="2"/>
      <c r="H429" s="2"/>
    </row>
    <row r="430" spans="1:8" x14ac:dyDescent="0.25">
      <c r="A430" s="1"/>
      <c r="B430" s="1" t="s">
        <v>8905</v>
      </c>
      <c r="C430" s="1" t="s">
        <v>8906</v>
      </c>
      <c r="D430" s="22" t="str">
        <f>HYPERLINK("https://rhld.insurance.arkansas.gov/NPILookup?Npi=1306826029","1306826029")</f>
        <v>1306826029</v>
      </c>
      <c r="E430" s="1" t="s">
        <v>1349</v>
      </c>
      <c r="F430" s="2"/>
      <c r="G430" s="2"/>
      <c r="H430" s="2"/>
    </row>
    <row r="431" spans="1:8" x14ac:dyDescent="0.25">
      <c r="A431" s="1"/>
      <c r="B431" s="1" t="s">
        <v>8905</v>
      </c>
      <c r="C431" s="1" t="s">
        <v>8906</v>
      </c>
      <c r="D431" s="22" t="str">
        <f>HYPERLINK("https://rhld.insurance.arkansas.gov/NPILookup?Npi=1306921887","1306921887")</f>
        <v>1306921887</v>
      </c>
      <c r="E431" s="1" t="s">
        <v>2292</v>
      </c>
      <c r="F431" s="2"/>
      <c r="G431" s="2"/>
      <c r="H431" s="2"/>
    </row>
    <row r="432" spans="1:8" x14ac:dyDescent="0.25">
      <c r="A432" s="1"/>
      <c r="B432" s="1" t="s">
        <v>8905</v>
      </c>
      <c r="C432" s="1" t="s">
        <v>8906</v>
      </c>
      <c r="D432" s="22" t="str">
        <f>HYPERLINK("https://rhld.insurance.arkansas.gov/NPILookup?Npi=1306928379","1306928379")</f>
        <v>1306928379</v>
      </c>
      <c r="E432" s="1" t="s">
        <v>15279</v>
      </c>
      <c r="F432" s="2"/>
      <c r="G432" s="2"/>
      <c r="H432" s="2"/>
    </row>
    <row r="433" spans="1:8" x14ac:dyDescent="0.25">
      <c r="A433" s="1"/>
      <c r="B433" s="1" t="s">
        <v>8905</v>
      </c>
      <c r="C433" s="1" t="s">
        <v>8906</v>
      </c>
      <c r="D433" s="22" t="str">
        <f>HYPERLINK("https://rhld.insurance.arkansas.gov/NPILookup?Npi=1316901937","1316901937")</f>
        <v>1316901937</v>
      </c>
      <c r="E433" s="1" t="s">
        <v>15152</v>
      </c>
      <c r="F433" s="2"/>
      <c r="G433" s="2"/>
      <c r="H433" s="2"/>
    </row>
    <row r="434" spans="1:8" x14ac:dyDescent="0.25">
      <c r="A434" s="1"/>
      <c r="B434" s="1" t="s">
        <v>8905</v>
      </c>
      <c r="C434" s="1" t="s">
        <v>8906</v>
      </c>
      <c r="D434" s="22" t="str">
        <f>HYPERLINK("https://rhld.insurance.arkansas.gov/NPILookup?Npi=1316902414","1316902414")</f>
        <v>1316902414</v>
      </c>
      <c r="E434" s="1" t="s">
        <v>15153</v>
      </c>
      <c r="F434" s="2"/>
      <c r="G434" s="2"/>
      <c r="H434" s="2"/>
    </row>
    <row r="435" spans="1:8" x14ac:dyDescent="0.25">
      <c r="A435" s="1"/>
      <c r="B435" s="1" t="s">
        <v>8905</v>
      </c>
      <c r="C435" s="1" t="s">
        <v>8906</v>
      </c>
      <c r="D435" s="22" t="str">
        <f>HYPERLINK("https://rhld.insurance.arkansas.gov/NPILookup?Npi=1326016684","1326016684")</f>
        <v>1326016684</v>
      </c>
      <c r="E435" s="1" t="s">
        <v>9625</v>
      </c>
      <c r="F435" s="2"/>
      <c r="G435" s="2"/>
      <c r="H435" s="2"/>
    </row>
    <row r="436" spans="1:8" x14ac:dyDescent="0.25">
      <c r="A436" s="1"/>
      <c r="B436" s="1" t="s">
        <v>8905</v>
      </c>
      <c r="C436" s="1" t="s">
        <v>8906</v>
      </c>
      <c r="D436" s="22" t="str">
        <f>HYPERLINK("https://rhld.insurance.arkansas.gov/NPILookup?Npi=1346230968","1346230968")</f>
        <v>1346230968</v>
      </c>
      <c r="E436" s="1" t="s">
        <v>15280</v>
      </c>
      <c r="F436" s="2"/>
      <c r="G436" s="2"/>
      <c r="H436" s="2"/>
    </row>
    <row r="437" spans="1:8" x14ac:dyDescent="0.25">
      <c r="A437" s="1"/>
      <c r="B437" s="1" t="s">
        <v>8905</v>
      </c>
      <c r="C437" s="1" t="s">
        <v>8906</v>
      </c>
      <c r="D437" s="22" t="str">
        <f>HYPERLINK("https://rhld.insurance.arkansas.gov/NPILookup?Npi=1356312292","1356312292")</f>
        <v>1356312292</v>
      </c>
      <c r="E437" s="1" t="s">
        <v>15282</v>
      </c>
      <c r="F437" s="2"/>
      <c r="G437" s="2"/>
      <c r="H437" s="2"/>
    </row>
    <row r="438" spans="1:8" x14ac:dyDescent="0.25">
      <c r="A438" s="1"/>
      <c r="B438" s="1" t="s">
        <v>8905</v>
      </c>
      <c r="C438" s="1" t="s">
        <v>8906</v>
      </c>
      <c r="D438" s="22" t="str">
        <f>HYPERLINK("https://rhld.insurance.arkansas.gov/NPILookup?Npi=1386602050","1386602050")</f>
        <v>1386602050</v>
      </c>
      <c r="E438" s="1" t="s">
        <v>9638</v>
      </c>
      <c r="F438" s="2"/>
      <c r="G438" s="2"/>
      <c r="H438" s="2"/>
    </row>
    <row r="439" spans="1:8" x14ac:dyDescent="0.25">
      <c r="A439" s="1"/>
      <c r="B439" s="1" t="s">
        <v>8905</v>
      </c>
      <c r="C439" s="1" t="s">
        <v>8906</v>
      </c>
      <c r="D439" s="22" t="str">
        <f>HYPERLINK("https://rhld.insurance.arkansas.gov/NPILookup?Npi=1386699353","1386699353")</f>
        <v>1386699353</v>
      </c>
      <c r="E439" s="1" t="s">
        <v>9628</v>
      </c>
      <c r="F439" s="2"/>
      <c r="G439" s="2"/>
      <c r="H439" s="2"/>
    </row>
    <row r="440" spans="1:8" x14ac:dyDescent="0.25">
      <c r="A440" s="1"/>
      <c r="B440" s="1" t="s">
        <v>8905</v>
      </c>
      <c r="C440" s="1" t="s">
        <v>8906</v>
      </c>
      <c r="D440" s="22" t="str">
        <f>HYPERLINK("https://rhld.insurance.arkansas.gov/NPILookup?Npi=1417024662","1417024662")</f>
        <v>1417024662</v>
      </c>
      <c r="E440" s="1" t="s">
        <v>15169</v>
      </c>
      <c r="F440" s="2"/>
      <c r="G440" s="2"/>
      <c r="H440" s="2"/>
    </row>
    <row r="441" spans="1:8" x14ac:dyDescent="0.25">
      <c r="A441" s="1"/>
      <c r="B441" s="1" t="s">
        <v>8905</v>
      </c>
      <c r="C441" s="1" t="s">
        <v>8906</v>
      </c>
      <c r="D441" s="22" t="str">
        <f>HYPERLINK("https://rhld.insurance.arkansas.gov/NPILookup?Npi=1437188216","1437188216")</f>
        <v>1437188216</v>
      </c>
      <c r="E441" s="1" t="s">
        <v>1455</v>
      </c>
      <c r="F441" s="2"/>
      <c r="G441" s="2"/>
      <c r="H441" s="2"/>
    </row>
    <row r="442" spans="1:8" x14ac:dyDescent="0.25">
      <c r="A442" s="1"/>
      <c r="B442" s="1" t="s">
        <v>8905</v>
      </c>
      <c r="C442" s="1" t="s">
        <v>8906</v>
      </c>
      <c r="D442" s="22" t="str">
        <f>HYPERLINK("https://rhld.insurance.arkansas.gov/NPILookup?Npi=1437222312","1437222312")</f>
        <v>1437222312</v>
      </c>
      <c r="E442" s="1" t="s">
        <v>8904</v>
      </c>
      <c r="F442" s="2"/>
      <c r="G442" s="2"/>
      <c r="H442" s="2"/>
    </row>
    <row r="443" spans="1:8" x14ac:dyDescent="0.25">
      <c r="A443" s="1"/>
      <c r="B443" s="1" t="s">
        <v>8905</v>
      </c>
      <c r="C443" s="1" t="s">
        <v>8906</v>
      </c>
      <c r="D443" s="22" t="str">
        <f>HYPERLINK("https://rhld.insurance.arkansas.gov/NPILookup?Npi=1437634524","1437634524")</f>
        <v>1437634524</v>
      </c>
      <c r="E443" s="1" t="s">
        <v>15175</v>
      </c>
      <c r="F443" s="2"/>
      <c r="G443" s="2"/>
      <c r="H443" s="2"/>
    </row>
    <row r="444" spans="1:8" x14ac:dyDescent="0.25">
      <c r="A444" s="1"/>
      <c r="B444" s="1" t="s">
        <v>8905</v>
      </c>
      <c r="C444" s="1" t="s">
        <v>8906</v>
      </c>
      <c r="D444" s="22" t="str">
        <f>HYPERLINK("https://rhld.insurance.arkansas.gov/NPILookup?Npi=1447439708","1447439708")</f>
        <v>1447439708</v>
      </c>
      <c r="E444" s="1" t="s">
        <v>15283</v>
      </c>
      <c r="F444" s="2"/>
      <c r="G444" s="2"/>
      <c r="H444" s="2"/>
    </row>
    <row r="445" spans="1:8" x14ac:dyDescent="0.25">
      <c r="A445" s="1"/>
      <c r="B445" s="1" t="s">
        <v>8905</v>
      </c>
      <c r="C445" s="1" t="s">
        <v>8906</v>
      </c>
      <c r="D445" s="22" t="str">
        <f>HYPERLINK("https://rhld.insurance.arkansas.gov/NPILookup?Npi=1457306326","1457306326")</f>
        <v>1457306326</v>
      </c>
      <c r="E445" s="1" t="s">
        <v>15295</v>
      </c>
      <c r="F445" s="2"/>
      <c r="G445" s="2"/>
      <c r="H445" s="2"/>
    </row>
    <row r="446" spans="1:8" x14ac:dyDescent="0.25">
      <c r="A446" s="1"/>
      <c r="B446" s="1" t="s">
        <v>8905</v>
      </c>
      <c r="C446" s="1" t="s">
        <v>8906</v>
      </c>
      <c r="D446" s="22" t="str">
        <f>HYPERLINK("https://rhld.insurance.arkansas.gov/NPILookup?Npi=1477039782","1477039782")</f>
        <v>1477039782</v>
      </c>
      <c r="E446" s="1" t="s">
        <v>2450</v>
      </c>
      <c r="F446" s="2"/>
      <c r="G446" s="2"/>
      <c r="H446" s="2"/>
    </row>
    <row r="447" spans="1:8" x14ac:dyDescent="0.25">
      <c r="A447" s="1"/>
      <c r="B447" s="1" t="s">
        <v>8905</v>
      </c>
      <c r="C447" s="1" t="s">
        <v>8906</v>
      </c>
      <c r="D447" s="22" t="str">
        <f>HYPERLINK("https://rhld.insurance.arkansas.gov/NPILookup?Npi=1477549756","1477549756")</f>
        <v>1477549756</v>
      </c>
      <c r="E447" s="1" t="s">
        <v>15185</v>
      </c>
      <c r="F447" s="2"/>
      <c r="G447" s="2"/>
      <c r="H447" s="2"/>
    </row>
    <row r="448" spans="1:8" x14ac:dyDescent="0.25">
      <c r="A448" s="1"/>
      <c r="B448" s="1" t="s">
        <v>8905</v>
      </c>
      <c r="C448" s="1" t="s">
        <v>8906</v>
      </c>
      <c r="D448" s="22" t="str">
        <f>HYPERLINK("https://rhld.insurance.arkansas.gov/NPILookup?Npi=1487684908","1487684908")</f>
        <v>1487684908</v>
      </c>
      <c r="E448" s="1" t="s">
        <v>9639</v>
      </c>
      <c r="F448" s="2"/>
      <c r="G448" s="2"/>
      <c r="H448" s="2"/>
    </row>
    <row r="449" spans="1:8" x14ac:dyDescent="0.25">
      <c r="A449" s="1"/>
      <c r="B449" s="1" t="s">
        <v>8905</v>
      </c>
      <c r="C449" s="1" t="s">
        <v>8906</v>
      </c>
      <c r="D449" s="22" t="str">
        <f>HYPERLINK("https://rhld.insurance.arkansas.gov/NPILookup?Npi=1497770424","1497770424")</f>
        <v>1497770424</v>
      </c>
      <c r="E449" s="1" t="s">
        <v>15189</v>
      </c>
      <c r="F449" s="2"/>
      <c r="G449" s="2"/>
      <c r="H449" s="2"/>
    </row>
    <row r="450" spans="1:8" x14ac:dyDescent="0.25">
      <c r="A450" s="1"/>
      <c r="B450" s="1" t="s">
        <v>8905</v>
      </c>
      <c r="C450" s="1" t="s">
        <v>8906</v>
      </c>
      <c r="D450" s="22" t="str">
        <f>HYPERLINK("https://rhld.insurance.arkansas.gov/NPILookup?Npi=1497790042","1497790042")</f>
        <v>1497790042</v>
      </c>
      <c r="E450" s="1" t="s">
        <v>9630</v>
      </c>
      <c r="F450" s="2"/>
      <c r="G450" s="2"/>
      <c r="H450" s="2"/>
    </row>
    <row r="451" spans="1:8" x14ac:dyDescent="0.25">
      <c r="A451" s="1"/>
      <c r="B451" s="1" t="s">
        <v>8905</v>
      </c>
      <c r="C451" s="1" t="s">
        <v>8906</v>
      </c>
      <c r="D451" s="22" t="str">
        <f>HYPERLINK("https://rhld.insurance.arkansas.gov/NPILookup?Npi=1518591809","1518591809")</f>
        <v>1518591809</v>
      </c>
      <c r="E451" s="1" t="s">
        <v>15153</v>
      </c>
      <c r="F451" s="2"/>
      <c r="G451" s="2"/>
      <c r="H451" s="2"/>
    </row>
    <row r="452" spans="1:8" x14ac:dyDescent="0.25">
      <c r="A452" s="1"/>
      <c r="B452" s="1" t="s">
        <v>8905</v>
      </c>
      <c r="C452" s="1" t="s">
        <v>8906</v>
      </c>
      <c r="D452" s="22" t="str">
        <f>HYPERLINK("https://rhld.insurance.arkansas.gov/NPILookup?Npi=1528010287","1528010287")</f>
        <v>1528010287</v>
      </c>
      <c r="E452" s="1" t="s">
        <v>15284</v>
      </c>
      <c r="F452" s="2"/>
      <c r="G452" s="2"/>
      <c r="H452" s="2"/>
    </row>
    <row r="453" spans="1:8" x14ac:dyDescent="0.25">
      <c r="A453" s="1"/>
      <c r="B453" s="1" t="s">
        <v>8905</v>
      </c>
      <c r="C453" s="1" t="s">
        <v>8906</v>
      </c>
      <c r="D453" s="22" t="str">
        <f>HYPERLINK("https://rhld.insurance.arkansas.gov/NPILookup?Npi=1528360989","1528360989")</f>
        <v>1528360989</v>
      </c>
      <c r="E453" s="1" t="s">
        <v>15296</v>
      </c>
      <c r="F453" s="2"/>
      <c r="G453" s="2"/>
      <c r="H453" s="2"/>
    </row>
    <row r="454" spans="1:8" x14ac:dyDescent="0.25">
      <c r="A454" s="1"/>
      <c r="B454" s="1" t="s">
        <v>8905</v>
      </c>
      <c r="C454" s="1" t="s">
        <v>8906</v>
      </c>
      <c r="D454" s="22" t="str">
        <f>HYPERLINK("https://rhld.insurance.arkansas.gov/NPILookup?Npi=1548333438","1548333438")</f>
        <v>1548333438</v>
      </c>
      <c r="E454" s="1" t="s">
        <v>15285</v>
      </c>
      <c r="F454" s="2"/>
      <c r="G454" s="2"/>
      <c r="H454" s="2"/>
    </row>
    <row r="455" spans="1:8" x14ac:dyDescent="0.25">
      <c r="A455" s="1"/>
      <c r="B455" s="1" t="s">
        <v>8905</v>
      </c>
      <c r="C455" s="1" t="s">
        <v>8906</v>
      </c>
      <c r="D455" s="22" t="str">
        <f>HYPERLINK("https://rhld.insurance.arkansas.gov/NPILookup?Npi=1558647628","1558647628")</f>
        <v>1558647628</v>
      </c>
      <c r="E455" s="1" t="s">
        <v>5362</v>
      </c>
      <c r="F455" s="2"/>
      <c r="G455" s="2"/>
      <c r="H455" s="2"/>
    </row>
    <row r="456" spans="1:8" x14ac:dyDescent="0.25">
      <c r="A456" s="1"/>
      <c r="B456" s="1" t="s">
        <v>8905</v>
      </c>
      <c r="C456" s="1" t="s">
        <v>8906</v>
      </c>
      <c r="D456" s="22" t="str">
        <f>HYPERLINK("https://rhld.insurance.arkansas.gov/NPILookup?Npi=1558653212","1558653212")</f>
        <v>1558653212</v>
      </c>
      <c r="E456" s="1" t="s">
        <v>15286</v>
      </c>
      <c r="F456" s="2"/>
      <c r="G456" s="2"/>
      <c r="H456" s="2"/>
    </row>
    <row r="457" spans="1:8" x14ac:dyDescent="0.25">
      <c r="A457" s="1"/>
      <c r="B457" s="1" t="s">
        <v>8905</v>
      </c>
      <c r="C457" s="1" t="s">
        <v>8906</v>
      </c>
      <c r="D457" s="22" t="str">
        <f>HYPERLINK("https://rhld.insurance.arkansas.gov/NPILookup?Npi=1568433480","1568433480")</f>
        <v>1568433480</v>
      </c>
      <c r="E457" s="1" t="s">
        <v>9631</v>
      </c>
      <c r="F457" s="2"/>
      <c r="G457" s="2"/>
      <c r="H457" s="2"/>
    </row>
    <row r="458" spans="1:8" x14ac:dyDescent="0.25">
      <c r="A458" s="1"/>
      <c r="B458" s="1" t="s">
        <v>8905</v>
      </c>
      <c r="C458" s="1" t="s">
        <v>8906</v>
      </c>
      <c r="D458" s="22" t="str">
        <f>HYPERLINK("https://rhld.insurance.arkansas.gov/NPILookup?Npi=1578527172","1578527172")</f>
        <v>1578527172</v>
      </c>
      <c r="E458" s="1" t="s">
        <v>8896</v>
      </c>
      <c r="F458" s="2"/>
      <c r="G458" s="2"/>
      <c r="H458" s="2"/>
    </row>
    <row r="459" spans="1:8" x14ac:dyDescent="0.25">
      <c r="A459" s="1"/>
      <c r="B459" s="1" t="s">
        <v>8905</v>
      </c>
      <c r="C459" s="1" t="s">
        <v>8906</v>
      </c>
      <c r="D459" s="22" t="str">
        <f>HYPERLINK("https://rhld.insurance.arkansas.gov/NPILookup?Npi=1598373359","1598373359")</f>
        <v>1598373359</v>
      </c>
      <c r="E459" s="1" t="s">
        <v>5381</v>
      </c>
      <c r="F459" s="2"/>
      <c r="G459" s="2"/>
      <c r="H459" s="2"/>
    </row>
    <row r="460" spans="1:8" x14ac:dyDescent="0.25">
      <c r="A460" s="1"/>
      <c r="B460" s="1" t="s">
        <v>8905</v>
      </c>
      <c r="C460" s="1" t="s">
        <v>8906</v>
      </c>
      <c r="D460" s="22" t="str">
        <f>HYPERLINK("https://rhld.insurance.arkansas.gov/NPILookup?Npi=1598773079","1598773079")</f>
        <v>1598773079</v>
      </c>
      <c r="E460" s="1" t="s">
        <v>15287</v>
      </c>
      <c r="F460" s="2"/>
      <c r="G460" s="2"/>
      <c r="H460" s="2"/>
    </row>
    <row r="461" spans="1:8" x14ac:dyDescent="0.25">
      <c r="A461" s="1"/>
      <c r="B461" s="1" t="s">
        <v>8905</v>
      </c>
      <c r="C461" s="1" t="s">
        <v>8906</v>
      </c>
      <c r="D461" s="22" t="str">
        <f>HYPERLINK("https://rhld.insurance.arkansas.gov/NPILookup?Npi=1609804822","1609804822")</f>
        <v>1609804822</v>
      </c>
      <c r="E461" s="1" t="s">
        <v>15297</v>
      </c>
      <c r="F461" s="2"/>
      <c r="G461" s="2"/>
      <c r="H461" s="2"/>
    </row>
    <row r="462" spans="1:8" x14ac:dyDescent="0.25">
      <c r="A462" s="1"/>
      <c r="B462" s="1" t="s">
        <v>8905</v>
      </c>
      <c r="C462" s="1" t="s">
        <v>8906</v>
      </c>
      <c r="D462" s="22" t="str">
        <f>HYPERLINK("https://rhld.insurance.arkansas.gov/NPILookup?Npi=1629011002","1629011002")</f>
        <v>1629011002</v>
      </c>
      <c r="E462" s="1" t="s">
        <v>15212</v>
      </c>
      <c r="F462" s="2"/>
      <c r="G462" s="2"/>
      <c r="H462" s="2"/>
    </row>
    <row r="463" spans="1:8" x14ac:dyDescent="0.25">
      <c r="A463" s="1"/>
      <c r="B463" s="1" t="s">
        <v>8905</v>
      </c>
      <c r="C463" s="1" t="s">
        <v>8906</v>
      </c>
      <c r="D463" s="22" t="str">
        <f>HYPERLINK("https://rhld.insurance.arkansas.gov/NPILookup?Npi=1689628232","1689628232")</f>
        <v>1689628232</v>
      </c>
      <c r="E463" s="1" t="s">
        <v>15224</v>
      </c>
      <c r="F463" s="2"/>
      <c r="G463" s="2"/>
      <c r="H463" s="2"/>
    </row>
    <row r="464" spans="1:8" x14ac:dyDescent="0.25">
      <c r="A464" s="1"/>
      <c r="B464" s="1" t="s">
        <v>8905</v>
      </c>
      <c r="C464" s="1" t="s">
        <v>8906</v>
      </c>
      <c r="D464" s="22" t="str">
        <f>HYPERLINK("https://rhld.insurance.arkansas.gov/NPILookup?Npi=1699726695","1699726695")</f>
        <v>1699726695</v>
      </c>
      <c r="E464" s="1" t="s">
        <v>15226</v>
      </c>
      <c r="F464" s="2"/>
      <c r="G464" s="2"/>
      <c r="H464" s="2"/>
    </row>
    <row r="465" spans="1:8" x14ac:dyDescent="0.25">
      <c r="A465" s="1"/>
      <c r="B465" s="1" t="s">
        <v>8905</v>
      </c>
      <c r="C465" s="1" t="s">
        <v>8906</v>
      </c>
      <c r="D465" s="22" t="str">
        <f>HYPERLINK("https://rhld.insurance.arkansas.gov/NPILookup?Npi=1700407541","1700407541")</f>
        <v>1700407541</v>
      </c>
      <c r="E465" s="1" t="s">
        <v>1162</v>
      </c>
      <c r="F465" s="2"/>
      <c r="G465" s="2"/>
      <c r="H465" s="2"/>
    </row>
    <row r="466" spans="1:8" x14ac:dyDescent="0.25">
      <c r="A466" s="1"/>
      <c r="B466" s="1" t="s">
        <v>8905</v>
      </c>
      <c r="C466" s="1" t="s">
        <v>8906</v>
      </c>
      <c r="D466" s="22" t="str">
        <f>HYPERLINK("https://rhld.insurance.arkansas.gov/NPILookup?Npi=1700831724","1700831724")</f>
        <v>1700831724</v>
      </c>
      <c r="E466" s="1" t="s">
        <v>662</v>
      </c>
      <c r="F466" s="2"/>
      <c r="G466" s="2"/>
      <c r="H466" s="2"/>
    </row>
    <row r="467" spans="1:8" x14ac:dyDescent="0.25">
      <c r="A467" s="1"/>
      <c r="B467" s="1" t="s">
        <v>8905</v>
      </c>
      <c r="C467" s="1" t="s">
        <v>8906</v>
      </c>
      <c r="D467" s="22" t="str">
        <f>HYPERLINK("https://rhld.insurance.arkansas.gov/NPILookup?Npi=1710463146","1710463146")</f>
        <v>1710463146</v>
      </c>
      <c r="E467" s="1" t="s">
        <v>2450</v>
      </c>
      <c r="F467" s="2"/>
      <c r="G467" s="2"/>
      <c r="H467" s="2"/>
    </row>
    <row r="468" spans="1:8" x14ac:dyDescent="0.25">
      <c r="A468" s="1"/>
      <c r="B468" s="1" t="s">
        <v>8905</v>
      </c>
      <c r="C468" s="1" t="s">
        <v>8906</v>
      </c>
      <c r="D468" s="22" t="str">
        <f>HYPERLINK("https://rhld.insurance.arkansas.gov/NPILookup?Npi=1710931985","1710931985")</f>
        <v>1710931985</v>
      </c>
      <c r="E468" s="1" t="s">
        <v>15232</v>
      </c>
      <c r="F468" s="2"/>
      <c r="G468" s="2"/>
      <c r="H468" s="2"/>
    </row>
    <row r="469" spans="1:8" x14ac:dyDescent="0.25">
      <c r="A469" s="1"/>
      <c r="B469" s="1" t="s">
        <v>8905</v>
      </c>
      <c r="C469" s="1" t="s">
        <v>8906</v>
      </c>
      <c r="D469" s="22" t="str">
        <f>HYPERLINK("https://rhld.insurance.arkansas.gov/NPILookup?Npi=1710943881","1710943881")</f>
        <v>1710943881</v>
      </c>
      <c r="E469" s="1" t="s">
        <v>654</v>
      </c>
      <c r="F469" s="2"/>
      <c r="G469" s="2"/>
      <c r="H469" s="2"/>
    </row>
    <row r="470" spans="1:8" x14ac:dyDescent="0.25">
      <c r="A470" s="1"/>
      <c r="B470" s="1" t="s">
        <v>8905</v>
      </c>
      <c r="C470" s="1" t="s">
        <v>8906</v>
      </c>
      <c r="D470" s="22" t="str">
        <f>HYPERLINK("https://rhld.insurance.arkansas.gov/NPILookup?Npi=1740217884","1740217884")</f>
        <v>1740217884</v>
      </c>
      <c r="E470" s="1" t="s">
        <v>15290</v>
      </c>
      <c r="F470" s="2"/>
      <c r="G470" s="2"/>
      <c r="H470" s="2"/>
    </row>
    <row r="471" spans="1:8" x14ac:dyDescent="0.25">
      <c r="A471" s="1"/>
      <c r="B471" s="1" t="s">
        <v>8905</v>
      </c>
      <c r="C471" s="1" t="s">
        <v>8906</v>
      </c>
      <c r="D471" s="22" t="str">
        <f>HYPERLINK("https://rhld.insurance.arkansas.gov/NPILookup?Npi=1770802217","1770802217")</f>
        <v>1770802217</v>
      </c>
      <c r="E471" s="1" t="s">
        <v>667</v>
      </c>
      <c r="F471" s="2"/>
      <c r="G471" s="2"/>
      <c r="H471" s="2"/>
    </row>
    <row r="472" spans="1:8" x14ac:dyDescent="0.25">
      <c r="A472" s="1"/>
      <c r="B472" s="1" t="s">
        <v>8905</v>
      </c>
      <c r="C472" s="1" t="s">
        <v>8906</v>
      </c>
      <c r="D472" s="22" t="str">
        <f>HYPERLINK("https://rhld.insurance.arkansas.gov/NPILookup?Npi=1780375592","1780375592")</f>
        <v>1780375592</v>
      </c>
      <c r="E472" s="1" t="s">
        <v>8889</v>
      </c>
      <c r="F472" s="2"/>
      <c r="G472" s="2"/>
      <c r="H472" s="2"/>
    </row>
    <row r="473" spans="1:8" x14ac:dyDescent="0.25">
      <c r="A473" s="1"/>
      <c r="B473" s="1" t="s">
        <v>8905</v>
      </c>
      <c r="C473" s="1" t="s">
        <v>8906</v>
      </c>
      <c r="D473" s="22" t="str">
        <f>HYPERLINK("https://rhld.insurance.arkansas.gov/NPILookup?Npi=1780684431","1780684431")</f>
        <v>1780684431</v>
      </c>
      <c r="E473" s="1" t="s">
        <v>9662</v>
      </c>
      <c r="F473" s="2"/>
      <c r="G473" s="2"/>
      <c r="H473" s="2"/>
    </row>
    <row r="474" spans="1:8" x14ac:dyDescent="0.25">
      <c r="A474" s="1"/>
      <c r="B474" s="1" t="s">
        <v>8905</v>
      </c>
      <c r="C474" s="1" t="s">
        <v>8906</v>
      </c>
      <c r="D474" s="22" t="str">
        <f>HYPERLINK("https://rhld.insurance.arkansas.gov/NPILookup?Npi=1790773158","1790773158")</f>
        <v>1790773158</v>
      </c>
      <c r="E474" s="1" t="s">
        <v>9633</v>
      </c>
      <c r="F474" s="2"/>
      <c r="G474" s="2"/>
      <c r="H474" s="2"/>
    </row>
    <row r="475" spans="1:8" x14ac:dyDescent="0.25">
      <c r="A475" s="1"/>
      <c r="B475" s="1" t="s">
        <v>8905</v>
      </c>
      <c r="C475" s="1" t="s">
        <v>8906</v>
      </c>
      <c r="D475" s="22" t="str">
        <f>HYPERLINK("https://rhld.insurance.arkansas.gov/NPILookup?Npi=1790775229","1790775229")</f>
        <v>1790775229</v>
      </c>
      <c r="E475" s="1" t="s">
        <v>657</v>
      </c>
      <c r="F475" s="2"/>
      <c r="G475" s="2"/>
      <c r="H475" s="2"/>
    </row>
    <row r="476" spans="1:8" x14ac:dyDescent="0.25">
      <c r="A476" s="1"/>
      <c r="B476" s="1" t="s">
        <v>8905</v>
      </c>
      <c r="C476" s="1" t="s">
        <v>8906</v>
      </c>
      <c r="D476" s="22" t="str">
        <f>HYPERLINK("https://rhld.insurance.arkansas.gov/NPILookup?Npi=1841241833","1841241833")</f>
        <v>1841241833</v>
      </c>
      <c r="E476" s="1" t="s">
        <v>655</v>
      </c>
      <c r="F476" s="2"/>
      <c r="G476" s="2"/>
      <c r="H476" s="2"/>
    </row>
    <row r="477" spans="1:8" x14ac:dyDescent="0.25">
      <c r="A477" s="1"/>
      <c r="B477" s="1" t="s">
        <v>8905</v>
      </c>
      <c r="C477" s="1" t="s">
        <v>8906</v>
      </c>
      <c r="D477" s="22" t="str">
        <f>HYPERLINK("https://rhld.insurance.arkansas.gov/NPILookup?Npi=1841898293","1841898293")</f>
        <v>1841898293</v>
      </c>
      <c r="E477" s="1" t="s">
        <v>15291</v>
      </c>
      <c r="F477" s="2"/>
      <c r="G477" s="2"/>
      <c r="H477" s="2"/>
    </row>
    <row r="478" spans="1:8" x14ac:dyDescent="0.25">
      <c r="A478" s="1"/>
      <c r="B478" s="1" t="s">
        <v>8905</v>
      </c>
      <c r="C478" s="1" t="s">
        <v>8906</v>
      </c>
      <c r="D478" s="22" t="str">
        <f>HYPERLINK("https://rhld.insurance.arkansas.gov/NPILookup?Npi=1861449639","1861449639")</f>
        <v>1861449639</v>
      </c>
      <c r="E478" s="1" t="s">
        <v>15257</v>
      </c>
      <c r="F478" s="2"/>
      <c r="G478" s="2"/>
      <c r="H478" s="2"/>
    </row>
    <row r="479" spans="1:8" x14ac:dyDescent="0.25">
      <c r="A479" s="1"/>
      <c r="B479" s="1" t="s">
        <v>8905</v>
      </c>
      <c r="C479" s="1" t="s">
        <v>8906</v>
      </c>
      <c r="D479" s="22" t="str">
        <f>HYPERLINK("https://rhld.insurance.arkansas.gov/NPILookup?Npi=1861519548","1861519548")</f>
        <v>1861519548</v>
      </c>
      <c r="E479" s="1" t="s">
        <v>15292</v>
      </c>
      <c r="F479" s="2"/>
      <c r="G479" s="2"/>
      <c r="H479" s="2"/>
    </row>
    <row r="480" spans="1:8" x14ac:dyDescent="0.25">
      <c r="A480" s="1"/>
      <c r="B480" s="1" t="s">
        <v>8905</v>
      </c>
      <c r="C480" s="1" t="s">
        <v>8906</v>
      </c>
      <c r="D480" s="22" t="str">
        <f>HYPERLINK("https://rhld.insurance.arkansas.gov/NPILookup?Npi=1861711301","1861711301")</f>
        <v>1861711301</v>
      </c>
      <c r="E480" s="1" t="s">
        <v>9641</v>
      </c>
      <c r="F480" s="2"/>
      <c r="G480" s="2"/>
      <c r="H480" s="2"/>
    </row>
    <row r="481" spans="1:8" x14ac:dyDescent="0.25">
      <c r="A481" s="1"/>
      <c r="B481" s="1" t="s">
        <v>8905</v>
      </c>
      <c r="C481" s="1" t="s">
        <v>8906</v>
      </c>
      <c r="D481" s="22" t="str">
        <f>HYPERLINK("https://rhld.insurance.arkansas.gov/NPILookup?Npi=1881142461","1881142461")</f>
        <v>1881142461</v>
      </c>
      <c r="E481" s="1" t="s">
        <v>8898</v>
      </c>
      <c r="F481" s="2"/>
      <c r="G481" s="2"/>
      <c r="H481" s="2"/>
    </row>
    <row r="482" spans="1:8" x14ac:dyDescent="0.25">
      <c r="A482" s="1"/>
      <c r="B482" s="1" t="s">
        <v>8905</v>
      </c>
      <c r="C482" s="1" t="s">
        <v>8906</v>
      </c>
      <c r="D482" s="22" t="str">
        <f>HYPERLINK("https://rhld.insurance.arkansas.gov/NPILookup?Npi=1881788933","1881788933")</f>
        <v>1881788933</v>
      </c>
      <c r="E482" s="1" t="s">
        <v>2141</v>
      </c>
      <c r="F482" s="2"/>
      <c r="G482" s="2"/>
      <c r="H482" s="2"/>
    </row>
    <row r="483" spans="1:8" x14ac:dyDescent="0.25">
      <c r="A483" s="1"/>
      <c r="B483" s="1" t="s">
        <v>8905</v>
      </c>
      <c r="C483" s="1" t="s">
        <v>8906</v>
      </c>
      <c r="D483" s="22" t="str">
        <f>HYPERLINK("https://rhld.insurance.arkansas.gov/NPILookup?Npi=1902051816","1902051816")</f>
        <v>1902051816</v>
      </c>
      <c r="E483" s="1" t="s">
        <v>15259</v>
      </c>
      <c r="F483" s="2"/>
      <c r="G483" s="2"/>
      <c r="H483" s="2"/>
    </row>
    <row r="484" spans="1:8" x14ac:dyDescent="0.25">
      <c r="A484" s="1"/>
      <c r="B484" s="1" t="s">
        <v>8905</v>
      </c>
      <c r="C484" s="1" t="s">
        <v>8906</v>
      </c>
      <c r="D484" s="22" t="str">
        <f>HYPERLINK("https://rhld.insurance.arkansas.gov/NPILookup?Npi=1902842255","1902842255")</f>
        <v>1902842255</v>
      </c>
      <c r="E484" s="1" t="s">
        <v>8899</v>
      </c>
      <c r="F484" s="2"/>
      <c r="G484" s="2"/>
      <c r="H484" s="2"/>
    </row>
    <row r="485" spans="1:8" x14ac:dyDescent="0.25">
      <c r="A485" s="1"/>
      <c r="B485" s="1" t="s">
        <v>8905</v>
      </c>
      <c r="C485" s="1" t="s">
        <v>8906</v>
      </c>
      <c r="D485" s="22" t="str">
        <f>HYPERLINK("https://rhld.insurance.arkansas.gov/NPILookup?Npi=1902868391","1902868391")</f>
        <v>1902868391</v>
      </c>
      <c r="E485" s="1" t="s">
        <v>709</v>
      </c>
      <c r="F485" s="2"/>
      <c r="G485" s="2"/>
      <c r="H485" s="2"/>
    </row>
    <row r="486" spans="1:8" x14ac:dyDescent="0.25">
      <c r="A486" s="1"/>
      <c r="B486" s="1" t="s">
        <v>8905</v>
      </c>
      <c r="C486" s="1" t="s">
        <v>8906</v>
      </c>
      <c r="D486" s="22" t="str">
        <f>HYPERLINK("https://rhld.insurance.arkansas.gov/NPILookup?Npi=1912964081","1912964081")</f>
        <v>1912964081</v>
      </c>
      <c r="E486" s="1" t="s">
        <v>15264</v>
      </c>
      <c r="F486" s="2"/>
      <c r="G486" s="2"/>
      <c r="H486" s="2"/>
    </row>
    <row r="487" spans="1:8" x14ac:dyDescent="0.25">
      <c r="A487" s="1"/>
      <c r="B487" s="1" t="s">
        <v>8905</v>
      </c>
      <c r="C487" s="1" t="s">
        <v>8906</v>
      </c>
      <c r="D487" s="22" t="str">
        <f>HYPERLINK("https://rhld.insurance.arkansas.gov/NPILookup?Npi=1912978875","1912978875")</f>
        <v>1912978875</v>
      </c>
      <c r="E487" s="1" t="s">
        <v>652</v>
      </c>
      <c r="F487" s="2"/>
      <c r="G487" s="2"/>
      <c r="H487" s="2"/>
    </row>
    <row r="488" spans="1:8" x14ac:dyDescent="0.25">
      <c r="A488" s="1"/>
      <c r="B488" s="1" t="s">
        <v>8905</v>
      </c>
      <c r="C488" s="1" t="s">
        <v>8906</v>
      </c>
      <c r="D488" s="22" t="str">
        <f>HYPERLINK("https://rhld.insurance.arkansas.gov/NPILookup?Npi=1922043686","1922043686")</f>
        <v>1922043686</v>
      </c>
      <c r="E488" s="1" t="s">
        <v>1543</v>
      </c>
      <c r="F488" s="2"/>
      <c r="G488" s="2"/>
      <c r="H488" s="2"/>
    </row>
    <row r="489" spans="1:8" x14ac:dyDescent="0.25">
      <c r="A489" s="1"/>
      <c r="B489" s="1" t="s">
        <v>8905</v>
      </c>
      <c r="C489" s="1" t="s">
        <v>8906</v>
      </c>
      <c r="D489" s="22" t="str">
        <f>HYPERLINK("https://rhld.insurance.arkansas.gov/NPILookup?Npi=1922353754","1922353754")</f>
        <v>1922353754</v>
      </c>
      <c r="E489" s="1" t="s">
        <v>1076</v>
      </c>
      <c r="F489" s="2"/>
      <c r="G489" s="2"/>
      <c r="H489" s="2"/>
    </row>
    <row r="490" spans="1:8" x14ac:dyDescent="0.25">
      <c r="A490" s="1"/>
      <c r="B490" s="1" t="s">
        <v>8905</v>
      </c>
      <c r="C490" s="1" t="s">
        <v>8906</v>
      </c>
      <c r="D490" s="22" t="str">
        <f>HYPERLINK("https://rhld.insurance.arkansas.gov/NPILookup?Npi=1972620649","1972620649")</f>
        <v>1972620649</v>
      </c>
      <c r="E490" s="1" t="s">
        <v>15294</v>
      </c>
      <c r="F490" s="2"/>
      <c r="G490" s="2"/>
      <c r="H490" s="2"/>
    </row>
    <row r="491" spans="1:8" x14ac:dyDescent="0.25">
      <c r="A491" s="1"/>
      <c r="B491" s="1" t="s">
        <v>8905</v>
      </c>
      <c r="C491" s="1" t="s">
        <v>8906</v>
      </c>
      <c r="D491" s="22" t="str">
        <f>HYPERLINK("https://rhld.insurance.arkansas.gov/NPILookup?Npi=1992760342","1992760342")</f>
        <v>1992760342</v>
      </c>
      <c r="E491" s="1" t="s">
        <v>9637</v>
      </c>
      <c r="F491" s="2"/>
      <c r="G491" s="2"/>
      <c r="H491" s="2"/>
    </row>
    <row r="492" spans="1:8" x14ac:dyDescent="0.25">
      <c r="A492" s="1"/>
      <c r="B492" s="1" t="s">
        <v>8907</v>
      </c>
      <c r="C492" s="1" t="s">
        <v>8908</v>
      </c>
      <c r="D492" s="22" t="str">
        <f>HYPERLINK("https://rhld.insurance.arkansas.gov/NPILookup?Npi=1003180035","1003180035")</f>
        <v>1003180035</v>
      </c>
      <c r="E492" s="1" t="s">
        <v>15298</v>
      </c>
      <c r="F492" s="2"/>
      <c r="G492" s="2"/>
      <c r="H492" s="2"/>
    </row>
    <row r="493" spans="1:8" x14ac:dyDescent="0.25">
      <c r="A493" s="1"/>
      <c r="B493" s="1" t="s">
        <v>8907</v>
      </c>
      <c r="C493" s="1" t="s">
        <v>8908</v>
      </c>
      <c r="D493" s="22" t="str">
        <f>HYPERLINK("https://rhld.insurance.arkansas.gov/NPILookup?Npi=1003898313","1003898313")</f>
        <v>1003898313</v>
      </c>
      <c r="E493" s="1" t="s">
        <v>1161</v>
      </c>
      <c r="F493" s="2"/>
      <c r="G493" s="2"/>
      <c r="H493" s="2"/>
    </row>
    <row r="494" spans="1:8" x14ac:dyDescent="0.25">
      <c r="A494" s="1"/>
      <c r="B494" s="1" t="s">
        <v>8907</v>
      </c>
      <c r="C494" s="1" t="s">
        <v>8908</v>
      </c>
      <c r="D494" s="22" t="str">
        <f>HYPERLINK("https://rhld.insurance.arkansas.gov/NPILookup?Npi=1013979301","1013979301")</f>
        <v>1013979301</v>
      </c>
      <c r="E494" s="1" t="s">
        <v>15299</v>
      </c>
      <c r="F494" s="2"/>
      <c r="G494" s="2"/>
      <c r="H494" s="2"/>
    </row>
    <row r="495" spans="1:8" x14ac:dyDescent="0.25">
      <c r="A495" s="1"/>
      <c r="B495" s="1" t="s">
        <v>8907</v>
      </c>
      <c r="C495" s="1" t="s">
        <v>8908</v>
      </c>
      <c r="D495" s="22" t="str">
        <f>HYPERLINK("https://rhld.insurance.arkansas.gov/NPILookup?Npi=1033112230","1033112230")</f>
        <v>1033112230</v>
      </c>
      <c r="E495" s="1" t="s">
        <v>15273</v>
      </c>
      <c r="F495" s="2"/>
      <c r="G495" s="2"/>
      <c r="H495" s="2"/>
    </row>
    <row r="496" spans="1:8" x14ac:dyDescent="0.25">
      <c r="A496" s="1"/>
      <c r="B496" s="1" t="s">
        <v>8907</v>
      </c>
      <c r="C496" s="1" t="s">
        <v>8908</v>
      </c>
      <c r="D496" s="22" t="str">
        <f>HYPERLINK("https://rhld.insurance.arkansas.gov/NPILookup?Npi=1033147921","1033147921")</f>
        <v>1033147921</v>
      </c>
      <c r="E496" s="1" t="s">
        <v>15089</v>
      </c>
      <c r="F496" s="2"/>
      <c r="G496" s="2"/>
      <c r="H496" s="2"/>
    </row>
    <row r="497" spans="1:8" x14ac:dyDescent="0.25">
      <c r="A497" s="1"/>
      <c r="B497" s="1" t="s">
        <v>8907</v>
      </c>
      <c r="C497" s="1" t="s">
        <v>8908</v>
      </c>
      <c r="D497" s="22" t="str">
        <f>HYPERLINK("https://rhld.insurance.arkansas.gov/NPILookup?Npi=1033160049","1033160049")</f>
        <v>1033160049</v>
      </c>
      <c r="E497" s="1" t="s">
        <v>972</v>
      </c>
      <c r="F497" s="2"/>
      <c r="G497" s="2"/>
      <c r="H497" s="2"/>
    </row>
    <row r="498" spans="1:8" x14ac:dyDescent="0.25">
      <c r="A498" s="1"/>
      <c r="B498" s="1" t="s">
        <v>8907</v>
      </c>
      <c r="C498" s="1" t="s">
        <v>8908</v>
      </c>
      <c r="D498" s="22" t="str">
        <f>HYPERLINK("https://rhld.insurance.arkansas.gov/NPILookup?Npi=1043240682","1043240682")</f>
        <v>1043240682</v>
      </c>
      <c r="E498" s="1" t="s">
        <v>15095</v>
      </c>
      <c r="F498" s="2"/>
      <c r="G498" s="2"/>
      <c r="H498" s="2"/>
    </row>
    <row r="499" spans="1:8" x14ac:dyDescent="0.25">
      <c r="A499" s="1"/>
      <c r="B499" s="1" t="s">
        <v>8907</v>
      </c>
      <c r="C499" s="1" t="s">
        <v>8908</v>
      </c>
      <c r="D499" s="22" t="str">
        <f>HYPERLINK("https://rhld.insurance.arkansas.gov/NPILookup?Npi=1043971096","1043971096")</f>
        <v>1043971096</v>
      </c>
      <c r="E499" s="1" t="s">
        <v>8909</v>
      </c>
      <c r="F499" s="2"/>
      <c r="G499" s="2"/>
      <c r="H499" s="2"/>
    </row>
    <row r="500" spans="1:8" x14ac:dyDescent="0.25">
      <c r="A500" s="1"/>
      <c r="B500" s="1" t="s">
        <v>8907</v>
      </c>
      <c r="C500" s="1" t="s">
        <v>8908</v>
      </c>
      <c r="D500" s="22" t="str">
        <f>HYPERLINK("https://rhld.insurance.arkansas.gov/NPILookup?Npi=1063695120","1063695120")</f>
        <v>1063695120</v>
      </c>
      <c r="E500" s="1" t="s">
        <v>1563</v>
      </c>
      <c r="F500" s="2"/>
      <c r="G500" s="2"/>
      <c r="H500" s="2"/>
    </row>
    <row r="501" spans="1:8" x14ac:dyDescent="0.25">
      <c r="A501" s="1"/>
      <c r="B501" s="1" t="s">
        <v>8907</v>
      </c>
      <c r="C501" s="1" t="s">
        <v>8908</v>
      </c>
      <c r="D501" s="22" t="str">
        <f>HYPERLINK("https://rhld.insurance.arkansas.gov/NPILookup?Npi=1073518593","1073518593")</f>
        <v>1073518593</v>
      </c>
      <c r="E501" s="1" t="s">
        <v>15300</v>
      </c>
      <c r="F501" s="2"/>
      <c r="G501" s="2"/>
      <c r="H501" s="2"/>
    </row>
    <row r="502" spans="1:8" x14ac:dyDescent="0.25">
      <c r="A502" s="1"/>
      <c r="B502" s="1" t="s">
        <v>8907</v>
      </c>
      <c r="C502" s="1" t="s">
        <v>8908</v>
      </c>
      <c r="D502" s="22" t="str">
        <f>HYPERLINK("https://rhld.insurance.arkansas.gov/NPILookup?Npi=1073600136","1073600136")</f>
        <v>1073600136</v>
      </c>
      <c r="E502" s="1" t="s">
        <v>15301</v>
      </c>
      <c r="F502" s="2"/>
      <c r="G502" s="2"/>
      <c r="H502" s="2"/>
    </row>
    <row r="503" spans="1:8" x14ac:dyDescent="0.25">
      <c r="A503" s="1"/>
      <c r="B503" s="1" t="s">
        <v>8907</v>
      </c>
      <c r="C503" s="1" t="s">
        <v>8908</v>
      </c>
      <c r="D503" s="22" t="str">
        <f>HYPERLINK("https://rhld.insurance.arkansas.gov/NPILookup?Npi=1083609150","1083609150")</f>
        <v>1083609150</v>
      </c>
      <c r="E503" s="1" t="s">
        <v>15106</v>
      </c>
      <c r="F503" s="2"/>
      <c r="G503" s="2"/>
      <c r="H503" s="2"/>
    </row>
    <row r="504" spans="1:8" x14ac:dyDescent="0.25">
      <c r="A504" s="1"/>
      <c r="B504" s="1" t="s">
        <v>8907</v>
      </c>
      <c r="C504" s="1" t="s">
        <v>8908</v>
      </c>
      <c r="D504" s="22" t="str">
        <f>HYPERLINK("https://rhld.insurance.arkansas.gov/NPILookup?Npi=1083778302","1083778302")</f>
        <v>1083778302</v>
      </c>
      <c r="E504" s="1" t="s">
        <v>15274</v>
      </c>
      <c r="F504" s="2"/>
      <c r="G504" s="2"/>
      <c r="H504" s="2"/>
    </row>
    <row r="505" spans="1:8" x14ac:dyDescent="0.25">
      <c r="A505" s="1"/>
      <c r="B505" s="1" t="s">
        <v>8907</v>
      </c>
      <c r="C505" s="1" t="s">
        <v>8908</v>
      </c>
      <c r="D505" s="22" t="str">
        <f>HYPERLINK("https://rhld.insurance.arkansas.gov/NPILookup?Npi=1114903523","1114903523")</f>
        <v>1114903523</v>
      </c>
      <c r="E505" s="1" t="s">
        <v>2139</v>
      </c>
      <c r="F505" s="2"/>
      <c r="G505" s="2"/>
      <c r="H505" s="2"/>
    </row>
    <row r="506" spans="1:8" x14ac:dyDescent="0.25">
      <c r="A506" s="1"/>
      <c r="B506" s="1" t="s">
        <v>8907</v>
      </c>
      <c r="C506" s="1" t="s">
        <v>8908</v>
      </c>
      <c r="D506" s="22" t="str">
        <f>HYPERLINK("https://rhld.insurance.arkansas.gov/NPILookup?Npi=1134116049","1134116049")</f>
        <v>1134116049</v>
      </c>
      <c r="E506" s="1" t="s">
        <v>15116</v>
      </c>
      <c r="F506" s="2"/>
      <c r="G506" s="2"/>
      <c r="H506" s="2"/>
    </row>
    <row r="507" spans="1:8" x14ac:dyDescent="0.25">
      <c r="A507" s="1"/>
      <c r="B507" s="1" t="s">
        <v>8907</v>
      </c>
      <c r="C507" s="1" t="s">
        <v>8908</v>
      </c>
      <c r="D507" s="22" t="str">
        <f>HYPERLINK("https://rhld.insurance.arkansas.gov/NPILookup?Npi=1134720592","1134720592")</f>
        <v>1134720592</v>
      </c>
      <c r="E507" s="1" t="s">
        <v>8890</v>
      </c>
      <c r="F507" s="2"/>
      <c r="G507" s="2"/>
      <c r="H507" s="2"/>
    </row>
    <row r="508" spans="1:8" x14ac:dyDescent="0.25">
      <c r="A508" s="1"/>
      <c r="B508" s="1" t="s">
        <v>8907</v>
      </c>
      <c r="C508" s="1" t="s">
        <v>8908</v>
      </c>
      <c r="D508" s="22" t="str">
        <f>HYPERLINK("https://rhld.insurance.arkansas.gov/NPILookup?Npi=1144213117","1144213117")</f>
        <v>1144213117</v>
      </c>
      <c r="E508" s="1" t="s">
        <v>1688</v>
      </c>
      <c r="F508" s="2"/>
      <c r="G508" s="2"/>
      <c r="H508" s="2"/>
    </row>
    <row r="509" spans="1:8" x14ac:dyDescent="0.25">
      <c r="A509" s="1"/>
      <c r="B509" s="1" t="s">
        <v>8907</v>
      </c>
      <c r="C509" s="1" t="s">
        <v>8908</v>
      </c>
      <c r="D509" s="22" t="str">
        <f>HYPERLINK("https://rhld.insurance.arkansas.gov/NPILookup?Npi=1144294745","1144294745")</f>
        <v>1144294745</v>
      </c>
      <c r="E509" s="1" t="s">
        <v>15302</v>
      </c>
      <c r="F509" s="2"/>
      <c r="G509" s="2"/>
      <c r="H509" s="2"/>
    </row>
    <row r="510" spans="1:8" x14ac:dyDescent="0.25">
      <c r="A510" s="1"/>
      <c r="B510" s="1" t="s">
        <v>8907</v>
      </c>
      <c r="C510" s="1" t="s">
        <v>8908</v>
      </c>
      <c r="D510" s="22" t="str">
        <f>HYPERLINK("https://rhld.insurance.arkansas.gov/NPILookup?Npi=1144590522","1144590522")</f>
        <v>1144590522</v>
      </c>
      <c r="E510" s="1" t="s">
        <v>15275</v>
      </c>
      <c r="F510" s="2"/>
      <c r="G510" s="2"/>
      <c r="H510" s="2"/>
    </row>
    <row r="511" spans="1:8" x14ac:dyDescent="0.25">
      <c r="A511" s="1"/>
      <c r="B511" s="1" t="s">
        <v>8907</v>
      </c>
      <c r="C511" s="1" t="s">
        <v>8908</v>
      </c>
      <c r="D511" s="22" t="str">
        <f>HYPERLINK("https://rhld.insurance.arkansas.gov/NPILookup?Npi=1154807584","1154807584")</f>
        <v>1154807584</v>
      </c>
      <c r="E511" s="1" t="s">
        <v>3465</v>
      </c>
      <c r="F511" s="2"/>
      <c r="G511" s="2"/>
      <c r="H511" s="2"/>
    </row>
    <row r="512" spans="1:8" x14ac:dyDescent="0.25">
      <c r="A512" s="1"/>
      <c r="B512" s="1" t="s">
        <v>8907</v>
      </c>
      <c r="C512" s="1" t="s">
        <v>8908</v>
      </c>
      <c r="D512" s="22" t="str">
        <f>HYPERLINK("https://rhld.insurance.arkansas.gov/NPILookup?Npi=1164779989","1164779989")</f>
        <v>1164779989</v>
      </c>
      <c r="E512" s="1" t="s">
        <v>1076</v>
      </c>
      <c r="F512" s="2"/>
      <c r="G512" s="2"/>
      <c r="H512" s="2"/>
    </row>
    <row r="513" spans="1:8" x14ac:dyDescent="0.25">
      <c r="A513" s="1"/>
      <c r="B513" s="1" t="s">
        <v>8907</v>
      </c>
      <c r="C513" s="1" t="s">
        <v>8908</v>
      </c>
      <c r="D513" s="22" t="str">
        <f>HYPERLINK("https://rhld.insurance.arkansas.gov/NPILookup?Npi=1174947618","1174947618")</f>
        <v>1174947618</v>
      </c>
      <c r="E513" s="1" t="s">
        <v>6931</v>
      </c>
      <c r="F513" s="2"/>
      <c r="G513" s="2"/>
      <c r="H513" s="2"/>
    </row>
    <row r="514" spans="1:8" x14ac:dyDescent="0.25">
      <c r="A514" s="1"/>
      <c r="B514" s="1" t="s">
        <v>8907</v>
      </c>
      <c r="C514" s="1" t="s">
        <v>8908</v>
      </c>
      <c r="D514" s="22" t="str">
        <f>HYPERLINK("https://rhld.insurance.arkansas.gov/NPILookup?Npi=1194741611","1194741611")</f>
        <v>1194741611</v>
      </c>
      <c r="E514" s="1" t="s">
        <v>636</v>
      </c>
      <c r="F514" s="2"/>
      <c r="G514" s="2"/>
      <c r="H514" s="2"/>
    </row>
    <row r="515" spans="1:8" x14ac:dyDescent="0.25">
      <c r="A515" s="1"/>
      <c r="B515" s="1" t="s">
        <v>8907</v>
      </c>
      <c r="C515" s="1" t="s">
        <v>8908</v>
      </c>
      <c r="D515" s="22" t="str">
        <f>HYPERLINK("https://rhld.insurance.arkansas.gov/NPILookup?Npi=1194776757","1194776757")</f>
        <v>1194776757</v>
      </c>
      <c r="E515" s="1" t="s">
        <v>683</v>
      </c>
      <c r="F515" s="2"/>
      <c r="G515" s="2"/>
      <c r="H515" s="2"/>
    </row>
    <row r="516" spans="1:8" x14ac:dyDescent="0.25">
      <c r="A516" s="1"/>
      <c r="B516" s="1" t="s">
        <v>8907</v>
      </c>
      <c r="C516" s="1" t="s">
        <v>8908</v>
      </c>
      <c r="D516" s="22" t="str">
        <f>HYPERLINK("https://rhld.insurance.arkansas.gov/NPILookup?Npi=1194789818","1194789818")</f>
        <v>1194789818</v>
      </c>
      <c r="E516" s="1" t="s">
        <v>15127</v>
      </c>
      <c r="F516" s="2"/>
      <c r="G516" s="2"/>
      <c r="H516" s="2"/>
    </row>
    <row r="517" spans="1:8" x14ac:dyDescent="0.25">
      <c r="A517" s="1"/>
      <c r="B517" s="1" t="s">
        <v>8907</v>
      </c>
      <c r="C517" s="1" t="s">
        <v>8908</v>
      </c>
      <c r="D517" s="22" t="str">
        <f>HYPERLINK("https://rhld.insurance.arkansas.gov/NPILookup?Npi=1235111071","1235111071")</f>
        <v>1235111071</v>
      </c>
      <c r="E517" s="1" t="s">
        <v>1563</v>
      </c>
      <c r="F517" s="2"/>
      <c r="G517" s="2"/>
      <c r="H517" s="2"/>
    </row>
    <row r="518" spans="1:8" x14ac:dyDescent="0.25">
      <c r="A518" s="1"/>
      <c r="B518" s="1" t="s">
        <v>8907</v>
      </c>
      <c r="C518" s="1" t="s">
        <v>8908</v>
      </c>
      <c r="D518" s="22" t="str">
        <f>HYPERLINK("https://rhld.insurance.arkansas.gov/NPILookup?Npi=1235453192","1235453192")</f>
        <v>1235453192</v>
      </c>
      <c r="E518" s="1" t="s">
        <v>664</v>
      </c>
      <c r="F518" s="2"/>
      <c r="G518" s="2"/>
      <c r="H518" s="2"/>
    </row>
    <row r="519" spans="1:8" x14ac:dyDescent="0.25">
      <c r="A519" s="1"/>
      <c r="B519" s="1" t="s">
        <v>8907</v>
      </c>
      <c r="C519" s="1" t="s">
        <v>8908</v>
      </c>
      <c r="D519" s="22" t="str">
        <f>HYPERLINK("https://rhld.insurance.arkansas.gov/NPILookup?Npi=1245284769","1245284769")</f>
        <v>1245284769</v>
      </c>
      <c r="E519" s="1" t="s">
        <v>1620</v>
      </c>
      <c r="F519" s="2"/>
      <c r="G519" s="2"/>
      <c r="H519" s="2"/>
    </row>
    <row r="520" spans="1:8" x14ac:dyDescent="0.25">
      <c r="A520" s="1"/>
      <c r="B520" s="1" t="s">
        <v>8907</v>
      </c>
      <c r="C520" s="1" t="s">
        <v>8908</v>
      </c>
      <c r="D520" s="22" t="str">
        <f>HYPERLINK("https://rhld.insurance.arkansas.gov/NPILookup?Npi=1245357912","1245357912")</f>
        <v>1245357912</v>
      </c>
      <c r="E520" s="1" t="s">
        <v>636</v>
      </c>
      <c r="F520" s="2"/>
      <c r="G520" s="2"/>
      <c r="H520" s="2"/>
    </row>
    <row r="521" spans="1:8" x14ac:dyDescent="0.25">
      <c r="A521" s="1"/>
      <c r="B521" s="1" t="s">
        <v>8907</v>
      </c>
      <c r="C521" s="1" t="s">
        <v>8908</v>
      </c>
      <c r="D521" s="22" t="str">
        <f>HYPERLINK("https://rhld.insurance.arkansas.gov/NPILookup?Npi=1255377420","1255377420")</f>
        <v>1255377420</v>
      </c>
      <c r="E521" s="1" t="s">
        <v>8903</v>
      </c>
      <c r="F521" s="2"/>
      <c r="G521" s="2"/>
      <c r="H521" s="2"/>
    </row>
    <row r="522" spans="1:8" x14ac:dyDescent="0.25">
      <c r="A522" s="1"/>
      <c r="B522" s="1" t="s">
        <v>8907</v>
      </c>
      <c r="C522" s="1" t="s">
        <v>8908</v>
      </c>
      <c r="D522" s="22" t="str">
        <f>HYPERLINK("https://rhld.insurance.arkansas.gov/NPILookup?Npi=1255870853","1255870853")</f>
        <v>1255870853</v>
      </c>
      <c r="E522" s="1" t="s">
        <v>15276</v>
      </c>
      <c r="F522" s="2"/>
      <c r="G522" s="2"/>
      <c r="H522" s="2"/>
    </row>
    <row r="523" spans="1:8" x14ac:dyDescent="0.25">
      <c r="A523" s="1"/>
      <c r="B523" s="1" t="s">
        <v>8907</v>
      </c>
      <c r="C523" s="1" t="s">
        <v>8908</v>
      </c>
      <c r="D523" s="22" t="str">
        <f>HYPERLINK("https://rhld.insurance.arkansas.gov/NPILookup?Npi=1255875746","1255875746")</f>
        <v>1255875746</v>
      </c>
      <c r="E523" s="1" t="s">
        <v>15277</v>
      </c>
      <c r="F523" s="2"/>
      <c r="G523" s="2"/>
      <c r="H523" s="2"/>
    </row>
    <row r="524" spans="1:8" x14ac:dyDescent="0.25">
      <c r="A524" s="1"/>
      <c r="B524" s="1" t="s">
        <v>8907</v>
      </c>
      <c r="C524" s="1" t="s">
        <v>8908</v>
      </c>
      <c r="D524" s="22" t="str">
        <f>HYPERLINK("https://rhld.insurance.arkansas.gov/NPILookup?Npi=1275023095","1275023095")</f>
        <v>1275023095</v>
      </c>
      <c r="E524" s="1" t="s">
        <v>15278</v>
      </c>
      <c r="F524" s="2"/>
      <c r="G524" s="2"/>
      <c r="H524" s="2"/>
    </row>
    <row r="525" spans="1:8" x14ac:dyDescent="0.25">
      <c r="A525" s="1"/>
      <c r="B525" s="1" t="s">
        <v>8907</v>
      </c>
      <c r="C525" s="1" t="s">
        <v>8908</v>
      </c>
      <c r="D525" s="22" t="str">
        <f>HYPERLINK("https://rhld.insurance.arkansas.gov/NPILookup?Npi=1275504128","1275504128")</f>
        <v>1275504128</v>
      </c>
      <c r="E525" s="1" t="s">
        <v>15303</v>
      </c>
      <c r="F525" s="2"/>
      <c r="G525" s="2"/>
      <c r="H525" s="2"/>
    </row>
    <row r="526" spans="1:8" x14ac:dyDescent="0.25">
      <c r="A526" s="1"/>
      <c r="B526" s="1" t="s">
        <v>8907</v>
      </c>
      <c r="C526" s="1" t="s">
        <v>8908</v>
      </c>
      <c r="D526" s="22" t="str">
        <f>HYPERLINK("https://rhld.insurance.arkansas.gov/NPILookup?Npi=1275523912","1275523912")</f>
        <v>1275523912</v>
      </c>
      <c r="E526" s="1" t="s">
        <v>15141</v>
      </c>
      <c r="F526" s="2"/>
      <c r="G526" s="2"/>
      <c r="H526" s="2"/>
    </row>
    <row r="527" spans="1:8" x14ac:dyDescent="0.25">
      <c r="A527" s="1"/>
      <c r="B527" s="1" t="s">
        <v>8907</v>
      </c>
      <c r="C527" s="1" t="s">
        <v>8908</v>
      </c>
      <c r="D527" s="22" t="str">
        <f>HYPERLINK("https://rhld.insurance.arkansas.gov/NPILookup?Npi=1285005140","1285005140")</f>
        <v>1285005140</v>
      </c>
      <c r="E527" s="1" t="s">
        <v>3572</v>
      </c>
      <c r="F527" s="2"/>
      <c r="G527" s="2"/>
      <c r="H527" s="2"/>
    </row>
    <row r="528" spans="1:8" x14ac:dyDescent="0.25">
      <c r="A528" s="1"/>
      <c r="B528" s="1" t="s">
        <v>8907</v>
      </c>
      <c r="C528" s="1" t="s">
        <v>8908</v>
      </c>
      <c r="D528" s="22" t="str">
        <f>HYPERLINK("https://rhld.insurance.arkansas.gov/NPILookup?Npi=1285676932","1285676932")</f>
        <v>1285676932</v>
      </c>
      <c r="E528" s="1" t="s">
        <v>666</v>
      </c>
      <c r="F528" s="2"/>
      <c r="G528" s="2"/>
      <c r="H528" s="2"/>
    </row>
    <row r="529" spans="1:8" x14ac:dyDescent="0.25">
      <c r="A529" s="1"/>
      <c r="B529" s="1" t="s">
        <v>8907</v>
      </c>
      <c r="C529" s="1" t="s">
        <v>8908</v>
      </c>
      <c r="D529" s="22" t="str">
        <f>HYPERLINK("https://rhld.insurance.arkansas.gov/NPILookup?Npi=1285739581","1285739581")</f>
        <v>1285739581</v>
      </c>
      <c r="E529" s="1" t="s">
        <v>9634</v>
      </c>
      <c r="F529" s="2"/>
      <c r="G529" s="2"/>
      <c r="H529" s="2"/>
    </row>
    <row r="530" spans="1:8" x14ac:dyDescent="0.25">
      <c r="A530" s="1"/>
      <c r="B530" s="1" t="s">
        <v>8907</v>
      </c>
      <c r="C530" s="1" t="s">
        <v>8908</v>
      </c>
      <c r="D530" s="22" t="str">
        <f>HYPERLINK("https://rhld.insurance.arkansas.gov/NPILookup?Npi=1295223279","1295223279")</f>
        <v>1295223279</v>
      </c>
      <c r="E530" s="1" t="s">
        <v>9642</v>
      </c>
      <c r="F530" s="2"/>
      <c r="G530" s="2"/>
      <c r="H530" s="2"/>
    </row>
    <row r="531" spans="1:8" x14ac:dyDescent="0.25">
      <c r="A531" s="1"/>
      <c r="B531" s="1" t="s">
        <v>8907</v>
      </c>
      <c r="C531" s="1" t="s">
        <v>8908</v>
      </c>
      <c r="D531" s="22" t="str">
        <f>HYPERLINK("https://rhld.insurance.arkansas.gov/NPILookup?Npi=1295736734","1295736734")</f>
        <v>1295736734</v>
      </c>
      <c r="E531" s="1" t="s">
        <v>8894</v>
      </c>
      <c r="F531" s="2"/>
      <c r="G531" s="2"/>
      <c r="H531" s="2"/>
    </row>
    <row r="532" spans="1:8" x14ac:dyDescent="0.25">
      <c r="A532" s="1"/>
      <c r="B532" s="1" t="s">
        <v>8907</v>
      </c>
      <c r="C532" s="1" t="s">
        <v>8908</v>
      </c>
      <c r="D532" s="22" t="str">
        <f>HYPERLINK("https://rhld.insurance.arkansas.gov/NPILookup?Npi=1295767689","1295767689")</f>
        <v>1295767689</v>
      </c>
      <c r="E532" s="1" t="s">
        <v>637</v>
      </c>
      <c r="F532" s="2"/>
      <c r="G532" s="2"/>
      <c r="H532" s="2"/>
    </row>
    <row r="533" spans="1:8" x14ac:dyDescent="0.25">
      <c r="A533" s="1"/>
      <c r="B533" s="1" t="s">
        <v>8907</v>
      </c>
      <c r="C533" s="1" t="s">
        <v>8908</v>
      </c>
      <c r="D533" s="22" t="str">
        <f>HYPERLINK("https://rhld.insurance.arkansas.gov/NPILookup?Npi=1295817260","1295817260")</f>
        <v>1295817260</v>
      </c>
      <c r="E533" s="1" t="s">
        <v>654</v>
      </c>
      <c r="F533" s="2"/>
      <c r="G533" s="2"/>
      <c r="H533" s="2"/>
    </row>
    <row r="534" spans="1:8" x14ac:dyDescent="0.25">
      <c r="A534" s="1"/>
      <c r="B534" s="1" t="s">
        <v>8907</v>
      </c>
      <c r="C534" s="1" t="s">
        <v>8908</v>
      </c>
      <c r="D534" s="22" t="str">
        <f>HYPERLINK("https://rhld.insurance.arkansas.gov/NPILookup?Npi=1295862647","1295862647")</f>
        <v>1295862647</v>
      </c>
      <c r="E534" s="1" t="s">
        <v>1278</v>
      </c>
      <c r="F534" s="2"/>
      <c r="G534" s="2"/>
      <c r="H534" s="2"/>
    </row>
    <row r="535" spans="1:8" x14ac:dyDescent="0.25">
      <c r="A535" s="1"/>
      <c r="B535" s="1" t="s">
        <v>8907</v>
      </c>
      <c r="C535" s="1" t="s">
        <v>8908</v>
      </c>
      <c r="D535" s="22" t="str">
        <f>HYPERLINK("https://rhld.insurance.arkansas.gov/NPILookup?Npi=1306921887","1306921887")</f>
        <v>1306921887</v>
      </c>
      <c r="E535" s="1" t="s">
        <v>2292</v>
      </c>
      <c r="F535" s="2"/>
      <c r="G535" s="2"/>
      <c r="H535" s="2"/>
    </row>
    <row r="536" spans="1:8" x14ac:dyDescent="0.25">
      <c r="A536" s="1"/>
      <c r="B536" s="1" t="s">
        <v>8907</v>
      </c>
      <c r="C536" s="1" t="s">
        <v>8908</v>
      </c>
      <c r="D536" s="22" t="str">
        <f>HYPERLINK("https://rhld.insurance.arkansas.gov/NPILookup?Npi=1306928379","1306928379")</f>
        <v>1306928379</v>
      </c>
      <c r="E536" s="1" t="s">
        <v>15279</v>
      </c>
      <c r="F536" s="2"/>
      <c r="G536" s="2"/>
      <c r="H536" s="2"/>
    </row>
    <row r="537" spans="1:8" x14ac:dyDescent="0.25">
      <c r="A537" s="1"/>
      <c r="B537" s="1" t="s">
        <v>8907</v>
      </c>
      <c r="C537" s="1" t="s">
        <v>8908</v>
      </c>
      <c r="D537" s="22" t="str">
        <f>HYPERLINK("https://rhld.insurance.arkansas.gov/NPILookup?Npi=1316180748","1316180748")</f>
        <v>1316180748</v>
      </c>
      <c r="E537" s="1" t="s">
        <v>661</v>
      </c>
      <c r="F537" s="2"/>
      <c r="G537" s="2"/>
      <c r="H537" s="2"/>
    </row>
    <row r="538" spans="1:8" x14ac:dyDescent="0.25">
      <c r="A538" s="1"/>
      <c r="B538" s="1" t="s">
        <v>8907</v>
      </c>
      <c r="C538" s="1" t="s">
        <v>8908</v>
      </c>
      <c r="D538" s="22" t="str">
        <f>HYPERLINK("https://rhld.insurance.arkansas.gov/NPILookup?Npi=1316901937","1316901937")</f>
        <v>1316901937</v>
      </c>
      <c r="E538" s="1" t="s">
        <v>15152</v>
      </c>
      <c r="F538" s="2"/>
      <c r="G538" s="2"/>
      <c r="H538" s="2"/>
    </row>
    <row r="539" spans="1:8" x14ac:dyDescent="0.25">
      <c r="A539" s="1"/>
      <c r="B539" s="1" t="s">
        <v>8907</v>
      </c>
      <c r="C539" s="1" t="s">
        <v>8908</v>
      </c>
      <c r="D539" s="22" t="str">
        <f>HYPERLINK("https://rhld.insurance.arkansas.gov/NPILookup?Npi=1316902414","1316902414")</f>
        <v>1316902414</v>
      </c>
      <c r="E539" s="1" t="s">
        <v>15153</v>
      </c>
      <c r="F539" s="2"/>
      <c r="G539" s="2"/>
      <c r="H539" s="2"/>
    </row>
    <row r="540" spans="1:8" x14ac:dyDescent="0.25">
      <c r="A540" s="1"/>
      <c r="B540" s="1" t="s">
        <v>8907</v>
      </c>
      <c r="C540" s="1" t="s">
        <v>8908</v>
      </c>
      <c r="D540" s="22" t="str">
        <f>HYPERLINK("https://rhld.insurance.arkansas.gov/NPILookup?Npi=1346230968","1346230968")</f>
        <v>1346230968</v>
      </c>
      <c r="E540" s="1" t="s">
        <v>15280</v>
      </c>
      <c r="F540" s="2"/>
      <c r="G540" s="2"/>
      <c r="H540" s="2"/>
    </row>
    <row r="541" spans="1:8" x14ac:dyDescent="0.25">
      <c r="A541" s="1"/>
      <c r="B541" s="1" t="s">
        <v>8907</v>
      </c>
      <c r="C541" s="1" t="s">
        <v>8908</v>
      </c>
      <c r="D541" s="22" t="str">
        <f>HYPERLINK("https://rhld.insurance.arkansas.gov/NPILookup?Npi=1346630589","1346630589")</f>
        <v>1346630589</v>
      </c>
      <c r="E541" s="1" t="s">
        <v>659</v>
      </c>
      <c r="F541" s="2"/>
      <c r="G541" s="2"/>
      <c r="H541" s="2"/>
    </row>
    <row r="542" spans="1:8" x14ac:dyDescent="0.25">
      <c r="A542" s="1"/>
      <c r="B542" s="1" t="s">
        <v>8907</v>
      </c>
      <c r="C542" s="1" t="s">
        <v>8908</v>
      </c>
      <c r="D542" s="22" t="str">
        <f>HYPERLINK("https://rhld.insurance.arkansas.gov/NPILookup?Npi=1356312292","1356312292")</f>
        <v>1356312292</v>
      </c>
      <c r="E542" s="1" t="s">
        <v>15282</v>
      </c>
      <c r="F542" s="2"/>
      <c r="G542" s="2"/>
      <c r="H542" s="2"/>
    </row>
    <row r="543" spans="1:8" x14ac:dyDescent="0.25">
      <c r="A543" s="1"/>
      <c r="B543" s="1" t="s">
        <v>8907</v>
      </c>
      <c r="C543" s="1" t="s">
        <v>8908</v>
      </c>
      <c r="D543" s="22" t="str">
        <f>HYPERLINK("https://rhld.insurance.arkansas.gov/NPILookup?Npi=1356773493","1356773493")</f>
        <v>1356773493</v>
      </c>
      <c r="E543" s="1" t="s">
        <v>9677</v>
      </c>
      <c r="F543" s="2"/>
      <c r="G543" s="2"/>
      <c r="H543" s="2"/>
    </row>
    <row r="544" spans="1:8" x14ac:dyDescent="0.25">
      <c r="A544" s="1"/>
      <c r="B544" s="1" t="s">
        <v>8907</v>
      </c>
      <c r="C544" s="1" t="s">
        <v>8908</v>
      </c>
      <c r="D544" s="22" t="str">
        <f>HYPERLINK("https://rhld.insurance.arkansas.gov/NPILookup?Npi=1366685992","1366685992")</f>
        <v>1366685992</v>
      </c>
      <c r="E544" s="1" t="s">
        <v>648</v>
      </c>
      <c r="F544" s="2"/>
      <c r="G544" s="2"/>
      <c r="H544" s="2"/>
    </row>
    <row r="545" spans="1:8" x14ac:dyDescent="0.25">
      <c r="A545" s="1"/>
      <c r="B545" s="1" t="s">
        <v>8907</v>
      </c>
      <c r="C545" s="1" t="s">
        <v>8908</v>
      </c>
      <c r="D545" s="22" t="str">
        <f>HYPERLINK("https://rhld.insurance.arkansas.gov/NPILookup?Npi=1386699353","1386699353")</f>
        <v>1386699353</v>
      </c>
      <c r="E545" s="1" t="s">
        <v>9628</v>
      </c>
      <c r="F545" s="2"/>
      <c r="G545" s="2"/>
      <c r="H545" s="2"/>
    </row>
    <row r="546" spans="1:8" x14ac:dyDescent="0.25">
      <c r="A546" s="1"/>
      <c r="B546" s="1" t="s">
        <v>8907</v>
      </c>
      <c r="C546" s="1" t="s">
        <v>8908</v>
      </c>
      <c r="D546" s="22" t="str">
        <f>HYPERLINK("https://rhld.insurance.arkansas.gov/NPILookup?Npi=1386802023","1386802023")</f>
        <v>1386802023</v>
      </c>
      <c r="E546" s="1" t="s">
        <v>15304</v>
      </c>
      <c r="F546" s="2"/>
      <c r="G546" s="2"/>
      <c r="H546" s="2"/>
    </row>
    <row r="547" spans="1:8" x14ac:dyDescent="0.25">
      <c r="A547" s="1"/>
      <c r="B547" s="1" t="s">
        <v>8907</v>
      </c>
      <c r="C547" s="1" t="s">
        <v>8908</v>
      </c>
      <c r="D547" s="22" t="str">
        <f>HYPERLINK("https://rhld.insurance.arkansas.gov/NPILookup?Npi=1396274841","1396274841")</f>
        <v>1396274841</v>
      </c>
      <c r="E547" s="1" t="s">
        <v>8910</v>
      </c>
      <c r="F547" s="2"/>
      <c r="G547" s="2"/>
      <c r="H547" s="2"/>
    </row>
    <row r="548" spans="1:8" x14ac:dyDescent="0.25">
      <c r="A548" s="1"/>
      <c r="B548" s="1" t="s">
        <v>8907</v>
      </c>
      <c r="C548" s="1" t="s">
        <v>8908</v>
      </c>
      <c r="D548" s="22" t="str">
        <f>HYPERLINK("https://rhld.insurance.arkansas.gov/NPILookup?Npi=1396767158","1396767158")</f>
        <v>1396767158</v>
      </c>
      <c r="E548" s="1" t="s">
        <v>15305</v>
      </c>
      <c r="F548" s="2"/>
      <c r="G548" s="2"/>
      <c r="H548" s="2"/>
    </row>
    <row r="549" spans="1:8" x14ac:dyDescent="0.25">
      <c r="A549" s="1"/>
      <c r="B549" s="1" t="s">
        <v>8907</v>
      </c>
      <c r="C549" s="1" t="s">
        <v>8908</v>
      </c>
      <c r="D549" s="22" t="str">
        <f>HYPERLINK("https://rhld.insurance.arkansas.gov/NPILookup?Npi=1407152689","1407152689")</f>
        <v>1407152689</v>
      </c>
      <c r="E549" s="1" t="s">
        <v>15306</v>
      </c>
      <c r="F549" s="2"/>
      <c r="G549" s="2"/>
      <c r="H549" s="2"/>
    </row>
    <row r="550" spans="1:8" x14ac:dyDescent="0.25">
      <c r="A550" s="1"/>
      <c r="B550" s="1" t="s">
        <v>8907</v>
      </c>
      <c r="C550" s="1" t="s">
        <v>8908</v>
      </c>
      <c r="D550" s="22" t="str">
        <f>HYPERLINK("https://rhld.insurance.arkansas.gov/NPILookup?Npi=1417024662","1417024662")</f>
        <v>1417024662</v>
      </c>
      <c r="E550" s="1" t="s">
        <v>15169</v>
      </c>
      <c r="F550" s="2"/>
      <c r="G550" s="2"/>
      <c r="H550" s="2"/>
    </row>
    <row r="551" spans="1:8" x14ac:dyDescent="0.25">
      <c r="A551" s="1"/>
      <c r="B551" s="1" t="s">
        <v>8907</v>
      </c>
      <c r="C551" s="1" t="s">
        <v>8908</v>
      </c>
      <c r="D551" s="22" t="str">
        <f>HYPERLINK("https://rhld.insurance.arkansas.gov/NPILookup?Npi=1417900713","1417900713")</f>
        <v>1417900713</v>
      </c>
      <c r="E551" s="1" t="s">
        <v>8895</v>
      </c>
      <c r="F551" s="2"/>
      <c r="G551" s="2"/>
      <c r="H551" s="2"/>
    </row>
    <row r="552" spans="1:8" x14ac:dyDescent="0.25">
      <c r="A552" s="1"/>
      <c r="B552" s="1" t="s">
        <v>8907</v>
      </c>
      <c r="C552" s="1" t="s">
        <v>8908</v>
      </c>
      <c r="D552" s="22" t="str">
        <f>HYPERLINK("https://rhld.insurance.arkansas.gov/NPILookup?Npi=1427317908","1427317908")</f>
        <v>1427317908</v>
      </c>
      <c r="E552" s="1" t="s">
        <v>15307</v>
      </c>
      <c r="F552" s="2"/>
      <c r="G552" s="2"/>
      <c r="H552" s="2"/>
    </row>
    <row r="553" spans="1:8" x14ac:dyDescent="0.25">
      <c r="A553" s="1"/>
      <c r="B553" s="1" t="s">
        <v>8907</v>
      </c>
      <c r="C553" s="1" t="s">
        <v>8908</v>
      </c>
      <c r="D553" s="22" t="str">
        <f>HYPERLINK("https://rhld.insurance.arkansas.gov/NPILookup?Npi=1437188216","1437188216")</f>
        <v>1437188216</v>
      </c>
      <c r="E553" s="1" t="s">
        <v>1455</v>
      </c>
      <c r="F553" s="2"/>
      <c r="G553" s="2"/>
      <c r="H553" s="2"/>
    </row>
    <row r="554" spans="1:8" x14ac:dyDescent="0.25">
      <c r="A554" s="1"/>
      <c r="B554" s="1" t="s">
        <v>8907</v>
      </c>
      <c r="C554" s="1" t="s">
        <v>8908</v>
      </c>
      <c r="D554" s="22" t="str">
        <f>HYPERLINK("https://rhld.insurance.arkansas.gov/NPILookup?Npi=1437222312","1437222312")</f>
        <v>1437222312</v>
      </c>
      <c r="E554" s="1" t="s">
        <v>8904</v>
      </c>
      <c r="F554" s="2"/>
      <c r="G554" s="2"/>
      <c r="H554" s="2"/>
    </row>
    <row r="555" spans="1:8" x14ac:dyDescent="0.25">
      <c r="A555" s="1"/>
      <c r="B555" s="1" t="s">
        <v>8907</v>
      </c>
      <c r="C555" s="1" t="s">
        <v>8908</v>
      </c>
      <c r="D555" s="22" t="str">
        <f>HYPERLINK("https://rhld.insurance.arkansas.gov/NPILookup?Npi=1437634524","1437634524")</f>
        <v>1437634524</v>
      </c>
      <c r="E555" s="1" t="s">
        <v>15175</v>
      </c>
      <c r="F555" s="2"/>
      <c r="G555" s="2"/>
      <c r="H555" s="2"/>
    </row>
    <row r="556" spans="1:8" x14ac:dyDescent="0.25">
      <c r="A556" s="1"/>
      <c r="B556" s="1" t="s">
        <v>8907</v>
      </c>
      <c r="C556" s="1" t="s">
        <v>8908</v>
      </c>
      <c r="D556" s="22" t="str">
        <f>HYPERLINK("https://rhld.insurance.arkansas.gov/NPILookup?Npi=1447439708","1447439708")</f>
        <v>1447439708</v>
      </c>
      <c r="E556" s="1" t="s">
        <v>15283</v>
      </c>
      <c r="F556" s="2"/>
      <c r="G556" s="2"/>
      <c r="H556" s="2"/>
    </row>
    <row r="557" spans="1:8" x14ac:dyDescent="0.25">
      <c r="A557" s="1"/>
      <c r="B557" s="1" t="s">
        <v>8907</v>
      </c>
      <c r="C557" s="1" t="s">
        <v>8908</v>
      </c>
      <c r="D557" s="22" t="str">
        <f>HYPERLINK("https://rhld.insurance.arkansas.gov/NPILookup?Npi=1477039782","1477039782")</f>
        <v>1477039782</v>
      </c>
      <c r="E557" s="1" t="s">
        <v>2450</v>
      </c>
      <c r="F557" s="2"/>
      <c r="G557" s="2"/>
      <c r="H557" s="2"/>
    </row>
    <row r="558" spans="1:8" x14ac:dyDescent="0.25">
      <c r="A558" s="1"/>
      <c r="B558" s="1" t="s">
        <v>8907</v>
      </c>
      <c r="C558" s="1" t="s">
        <v>8908</v>
      </c>
      <c r="D558" s="22" t="str">
        <f>HYPERLINK("https://rhld.insurance.arkansas.gov/NPILookup?Npi=1477201937","1477201937")</f>
        <v>1477201937</v>
      </c>
      <c r="E558" s="1" t="s">
        <v>5337</v>
      </c>
      <c r="F558" s="2"/>
      <c r="G558" s="2"/>
      <c r="H558" s="2"/>
    </row>
    <row r="559" spans="1:8" x14ac:dyDescent="0.25">
      <c r="A559" s="1"/>
      <c r="B559" s="1" t="s">
        <v>8907</v>
      </c>
      <c r="C559" s="1" t="s">
        <v>8908</v>
      </c>
      <c r="D559" s="22" t="str">
        <f>HYPERLINK("https://rhld.insurance.arkansas.gov/NPILookup?Npi=1477549756","1477549756")</f>
        <v>1477549756</v>
      </c>
      <c r="E559" s="1" t="s">
        <v>15185</v>
      </c>
      <c r="F559" s="2"/>
      <c r="G559" s="2"/>
      <c r="H559" s="2"/>
    </row>
    <row r="560" spans="1:8" x14ac:dyDescent="0.25">
      <c r="A560" s="1"/>
      <c r="B560" s="1" t="s">
        <v>8907</v>
      </c>
      <c r="C560" s="1" t="s">
        <v>8908</v>
      </c>
      <c r="D560" s="22" t="str">
        <f>HYPERLINK("https://rhld.insurance.arkansas.gov/NPILookup?Npi=1477561983","1477561983")</f>
        <v>1477561983</v>
      </c>
      <c r="E560" s="1" t="s">
        <v>683</v>
      </c>
      <c r="F560" s="2"/>
      <c r="G560" s="2"/>
      <c r="H560" s="2"/>
    </row>
    <row r="561" spans="1:8" x14ac:dyDescent="0.25">
      <c r="A561" s="1"/>
      <c r="B561" s="1" t="s">
        <v>8907</v>
      </c>
      <c r="C561" s="1" t="s">
        <v>8908</v>
      </c>
      <c r="D561" s="22" t="str">
        <f>HYPERLINK("https://rhld.insurance.arkansas.gov/NPILookup?Npi=1477822567","1477822567")</f>
        <v>1477822567</v>
      </c>
      <c r="E561" s="1" t="s">
        <v>8911</v>
      </c>
      <c r="F561" s="2"/>
      <c r="G561" s="2"/>
      <c r="H561" s="2"/>
    </row>
    <row r="562" spans="1:8" x14ac:dyDescent="0.25">
      <c r="A562" s="1"/>
      <c r="B562" s="1" t="s">
        <v>8907</v>
      </c>
      <c r="C562" s="1" t="s">
        <v>8908</v>
      </c>
      <c r="D562" s="22" t="str">
        <f>HYPERLINK("https://rhld.insurance.arkansas.gov/NPILookup?Npi=1487684908","1487684908")</f>
        <v>1487684908</v>
      </c>
      <c r="E562" s="1" t="s">
        <v>9639</v>
      </c>
      <c r="F562" s="2"/>
      <c r="G562" s="2"/>
      <c r="H562" s="2"/>
    </row>
    <row r="563" spans="1:8" x14ac:dyDescent="0.25">
      <c r="A563" s="1"/>
      <c r="B563" s="1" t="s">
        <v>8907</v>
      </c>
      <c r="C563" s="1" t="s">
        <v>8908</v>
      </c>
      <c r="D563" s="22" t="str">
        <f>HYPERLINK("https://rhld.insurance.arkansas.gov/NPILookup?Npi=1497770424","1497770424")</f>
        <v>1497770424</v>
      </c>
      <c r="E563" s="1" t="s">
        <v>15189</v>
      </c>
      <c r="F563" s="2"/>
      <c r="G563" s="2"/>
      <c r="H563" s="2"/>
    </row>
    <row r="564" spans="1:8" x14ac:dyDescent="0.25">
      <c r="A564" s="1"/>
      <c r="B564" s="1" t="s">
        <v>8907</v>
      </c>
      <c r="C564" s="1" t="s">
        <v>8908</v>
      </c>
      <c r="D564" s="22" t="str">
        <f>HYPERLINK("https://rhld.insurance.arkansas.gov/NPILookup?Npi=1497790042","1497790042")</f>
        <v>1497790042</v>
      </c>
      <c r="E564" s="1" t="s">
        <v>9630</v>
      </c>
      <c r="F564" s="2"/>
      <c r="G564" s="2"/>
      <c r="H564" s="2"/>
    </row>
    <row r="565" spans="1:8" x14ac:dyDescent="0.25">
      <c r="A565" s="1"/>
      <c r="B565" s="1" t="s">
        <v>8907</v>
      </c>
      <c r="C565" s="1" t="s">
        <v>8908</v>
      </c>
      <c r="D565" s="22" t="str">
        <f>HYPERLINK("https://rhld.insurance.arkansas.gov/NPILookup?Npi=1497852107","1497852107")</f>
        <v>1497852107</v>
      </c>
      <c r="E565" s="1" t="s">
        <v>15308</v>
      </c>
      <c r="F565" s="2"/>
      <c r="G565" s="2"/>
      <c r="H565" s="2"/>
    </row>
    <row r="566" spans="1:8" x14ac:dyDescent="0.25">
      <c r="A566" s="1"/>
      <c r="B566" s="1" t="s">
        <v>8907</v>
      </c>
      <c r="C566" s="1" t="s">
        <v>8908</v>
      </c>
      <c r="D566" s="22" t="str">
        <f>HYPERLINK("https://rhld.insurance.arkansas.gov/NPILookup?Npi=1508450339","1508450339")</f>
        <v>1508450339</v>
      </c>
      <c r="E566" s="1" t="s">
        <v>15309</v>
      </c>
      <c r="F566" s="2"/>
      <c r="G566" s="2"/>
      <c r="H566" s="2"/>
    </row>
    <row r="567" spans="1:8" x14ac:dyDescent="0.25">
      <c r="A567" s="1"/>
      <c r="B567" s="1" t="s">
        <v>8907</v>
      </c>
      <c r="C567" s="1" t="s">
        <v>8908</v>
      </c>
      <c r="D567" s="22" t="str">
        <f>HYPERLINK("https://rhld.insurance.arkansas.gov/NPILookup?Npi=1518591809","1518591809")</f>
        <v>1518591809</v>
      </c>
      <c r="E567" s="1" t="s">
        <v>15153</v>
      </c>
      <c r="F567" s="2"/>
      <c r="G567" s="2"/>
      <c r="H567" s="2"/>
    </row>
    <row r="568" spans="1:8" x14ac:dyDescent="0.25">
      <c r="A568" s="1"/>
      <c r="B568" s="1" t="s">
        <v>8907</v>
      </c>
      <c r="C568" s="1" t="s">
        <v>8908</v>
      </c>
      <c r="D568" s="22" t="str">
        <f>HYPERLINK("https://rhld.insurance.arkansas.gov/NPILookup?Npi=1528010287","1528010287")</f>
        <v>1528010287</v>
      </c>
      <c r="E568" s="1" t="s">
        <v>15284</v>
      </c>
      <c r="F568" s="2"/>
      <c r="G568" s="2"/>
      <c r="H568" s="2"/>
    </row>
    <row r="569" spans="1:8" x14ac:dyDescent="0.25">
      <c r="A569" s="1"/>
      <c r="B569" s="1" t="s">
        <v>8907</v>
      </c>
      <c r="C569" s="1" t="s">
        <v>8908</v>
      </c>
      <c r="D569" s="22" t="str">
        <f>HYPERLINK("https://rhld.insurance.arkansas.gov/NPILookup?Npi=1528360989","1528360989")</f>
        <v>1528360989</v>
      </c>
      <c r="E569" s="1" t="s">
        <v>15296</v>
      </c>
      <c r="F569" s="2"/>
      <c r="G569" s="2"/>
      <c r="H569" s="2"/>
    </row>
    <row r="570" spans="1:8" x14ac:dyDescent="0.25">
      <c r="A570" s="1"/>
      <c r="B570" s="1" t="s">
        <v>8907</v>
      </c>
      <c r="C570" s="1" t="s">
        <v>8908</v>
      </c>
      <c r="D570" s="22" t="str">
        <f>HYPERLINK("https://rhld.insurance.arkansas.gov/NPILookup?Npi=1548333438","1548333438")</f>
        <v>1548333438</v>
      </c>
      <c r="E570" s="1" t="s">
        <v>15285</v>
      </c>
      <c r="F570" s="2"/>
      <c r="G570" s="2"/>
      <c r="H570" s="2"/>
    </row>
    <row r="571" spans="1:8" x14ac:dyDescent="0.25">
      <c r="A571" s="1"/>
      <c r="B571" s="1" t="s">
        <v>8907</v>
      </c>
      <c r="C571" s="1" t="s">
        <v>8908</v>
      </c>
      <c r="D571" s="22" t="str">
        <f>HYPERLINK("https://rhld.insurance.arkansas.gov/NPILookup?Npi=1558311522","1558311522")</f>
        <v>1558311522</v>
      </c>
      <c r="E571" s="1" t="s">
        <v>15310</v>
      </c>
      <c r="F571" s="2"/>
      <c r="G571" s="2"/>
      <c r="H571" s="2"/>
    </row>
    <row r="572" spans="1:8" x14ac:dyDescent="0.25">
      <c r="A572" s="1"/>
      <c r="B572" s="1" t="s">
        <v>8907</v>
      </c>
      <c r="C572" s="1" t="s">
        <v>8908</v>
      </c>
      <c r="D572" s="22" t="str">
        <f>HYPERLINK("https://rhld.insurance.arkansas.gov/NPILookup?Npi=1558647628","1558647628")</f>
        <v>1558647628</v>
      </c>
      <c r="E572" s="1" t="s">
        <v>5362</v>
      </c>
      <c r="F572" s="2"/>
      <c r="G572" s="2"/>
      <c r="H572" s="2"/>
    </row>
    <row r="573" spans="1:8" x14ac:dyDescent="0.25">
      <c r="A573" s="1"/>
      <c r="B573" s="1" t="s">
        <v>8907</v>
      </c>
      <c r="C573" s="1" t="s">
        <v>8908</v>
      </c>
      <c r="D573" s="22" t="str">
        <f>HYPERLINK("https://rhld.insurance.arkansas.gov/NPILookup?Npi=1568406536","1568406536")</f>
        <v>1568406536</v>
      </c>
      <c r="E573" s="1" t="s">
        <v>10103</v>
      </c>
      <c r="F573" s="2"/>
      <c r="G573" s="2"/>
      <c r="H573" s="2"/>
    </row>
    <row r="574" spans="1:8" x14ac:dyDescent="0.25">
      <c r="A574" s="1"/>
      <c r="B574" s="1" t="s">
        <v>8907</v>
      </c>
      <c r="C574" s="1" t="s">
        <v>8908</v>
      </c>
      <c r="D574" s="22" t="str">
        <f>HYPERLINK("https://rhld.insurance.arkansas.gov/NPILookup?Npi=1568433480","1568433480")</f>
        <v>1568433480</v>
      </c>
      <c r="E574" s="1" t="s">
        <v>9631</v>
      </c>
      <c r="F574" s="2"/>
      <c r="G574" s="2"/>
      <c r="H574" s="2"/>
    </row>
    <row r="575" spans="1:8" x14ac:dyDescent="0.25">
      <c r="A575" s="1"/>
      <c r="B575" s="1" t="s">
        <v>8907</v>
      </c>
      <c r="C575" s="1" t="s">
        <v>8908</v>
      </c>
      <c r="D575" s="22" t="str">
        <f>HYPERLINK("https://rhld.insurance.arkansas.gov/NPILookup?Npi=1578527172","1578527172")</f>
        <v>1578527172</v>
      </c>
      <c r="E575" s="1" t="s">
        <v>8896</v>
      </c>
      <c r="F575" s="2"/>
      <c r="G575" s="2"/>
      <c r="H575" s="2"/>
    </row>
    <row r="576" spans="1:8" x14ac:dyDescent="0.25">
      <c r="A576" s="1"/>
      <c r="B576" s="1" t="s">
        <v>8907</v>
      </c>
      <c r="C576" s="1" t="s">
        <v>8908</v>
      </c>
      <c r="D576" s="22" t="str">
        <f>HYPERLINK("https://rhld.insurance.arkansas.gov/NPILookup?Npi=1598373359","1598373359")</f>
        <v>1598373359</v>
      </c>
      <c r="E576" s="1" t="s">
        <v>5381</v>
      </c>
      <c r="F576" s="2"/>
      <c r="G576" s="2"/>
      <c r="H576" s="2"/>
    </row>
    <row r="577" spans="1:8" x14ac:dyDescent="0.25">
      <c r="A577" s="1"/>
      <c r="B577" s="1" t="s">
        <v>8907</v>
      </c>
      <c r="C577" s="1" t="s">
        <v>8908</v>
      </c>
      <c r="D577" s="22" t="str">
        <f>HYPERLINK("https://rhld.insurance.arkansas.gov/NPILookup?Npi=1598710147","1598710147")</f>
        <v>1598710147</v>
      </c>
      <c r="E577" s="1" t="s">
        <v>15311</v>
      </c>
      <c r="F577" s="2"/>
      <c r="G577" s="2"/>
      <c r="H577" s="2"/>
    </row>
    <row r="578" spans="1:8" x14ac:dyDescent="0.25">
      <c r="A578" s="1"/>
      <c r="B578" s="1" t="s">
        <v>8907</v>
      </c>
      <c r="C578" s="1" t="s">
        <v>8908</v>
      </c>
      <c r="D578" s="22" t="str">
        <f>HYPERLINK("https://rhld.insurance.arkansas.gov/NPILookup?Npi=1598773079","1598773079")</f>
        <v>1598773079</v>
      </c>
      <c r="E578" s="1" t="s">
        <v>15287</v>
      </c>
      <c r="F578" s="2"/>
      <c r="G578" s="2"/>
      <c r="H578" s="2"/>
    </row>
    <row r="579" spans="1:8" x14ac:dyDescent="0.25">
      <c r="A579" s="1"/>
      <c r="B579" s="1" t="s">
        <v>8907</v>
      </c>
      <c r="C579" s="1" t="s">
        <v>8908</v>
      </c>
      <c r="D579" s="22" t="str">
        <f>HYPERLINK("https://rhld.insurance.arkansas.gov/NPILookup?Npi=1609804822","1609804822")</f>
        <v>1609804822</v>
      </c>
      <c r="E579" s="1" t="s">
        <v>15297</v>
      </c>
      <c r="F579" s="2"/>
      <c r="G579" s="2"/>
      <c r="H579" s="2"/>
    </row>
    <row r="580" spans="1:8" x14ac:dyDescent="0.25">
      <c r="A580" s="1"/>
      <c r="B580" s="1" t="s">
        <v>8907</v>
      </c>
      <c r="C580" s="1" t="s">
        <v>8908</v>
      </c>
      <c r="D580" s="22" t="str">
        <f>HYPERLINK("https://rhld.insurance.arkansas.gov/NPILookup?Npi=1629011002","1629011002")</f>
        <v>1629011002</v>
      </c>
      <c r="E580" s="1" t="s">
        <v>15212</v>
      </c>
      <c r="F580" s="2"/>
      <c r="G580" s="2"/>
      <c r="H580" s="2"/>
    </row>
    <row r="581" spans="1:8" x14ac:dyDescent="0.25">
      <c r="A581" s="1"/>
      <c r="B581" s="1" t="s">
        <v>8907</v>
      </c>
      <c r="C581" s="1" t="s">
        <v>8908</v>
      </c>
      <c r="D581" s="22" t="str">
        <f>HYPERLINK("https://rhld.insurance.arkansas.gov/NPILookup?Npi=1629132949","1629132949")</f>
        <v>1629132949</v>
      </c>
      <c r="E581" s="1" t="s">
        <v>15288</v>
      </c>
      <c r="F581" s="2"/>
      <c r="G581" s="2"/>
      <c r="H581" s="2"/>
    </row>
    <row r="582" spans="1:8" x14ac:dyDescent="0.25">
      <c r="A582" s="1"/>
      <c r="B582" s="1" t="s">
        <v>8907</v>
      </c>
      <c r="C582" s="1" t="s">
        <v>8908</v>
      </c>
      <c r="D582" s="22" t="str">
        <f>HYPERLINK("https://rhld.insurance.arkansas.gov/NPILookup?Npi=1669962064","1669962064")</f>
        <v>1669962064</v>
      </c>
      <c r="E582" s="1" t="s">
        <v>8912</v>
      </c>
      <c r="F582" s="2"/>
      <c r="G582" s="2"/>
      <c r="H582" s="2"/>
    </row>
    <row r="583" spans="1:8" x14ac:dyDescent="0.25">
      <c r="A583" s="1"/>
      <c r="B583" s="1" t="s">
        <v>8907</v>
      </c>
      <c r="C583" s="1" t="s">
        <v>8908</v>
      </c>
      <c r="D583" s="22" t="str">
        <f>HYPERLINK("https://rhld.insurance.arkansas.gov/NPILookup?Npi=1689930653","1689930653")</f>
        <v>1689930653</v>
      </c>
      <c r="E583" s="1" t="s">
        <v>8913</v>
      </c>
      <c r="F583" s="2"/>
      <c r="G583" s="2"/>
      <c r="H583" s="2"/>
    </row>
    <row r="584" spans="1:8" x14ac:dyDescent="0.25">
      <c r="A584" s="1"/>
      <c r="B584" s="1" t="s">
        <v>8907</v>
      </c>
      <c r="C584" s="1" t="s">
        <v>8908</v>
      </c>
      <c r="D584" s="22" t="str">
        <f>HYPERLINK("https://rhld.insurance.arkansas.gov/NPILookup?Npi=1699726695","1699726695")</f>
        <v>1699726695</v>
      </c>
      <c r="E584" s="1" t="s">
        <v>15226</v>
      </c>
      <c r="F584" s="2"/>
      <c r="G584" s="2"/>
      <c r="H584" s="2"/>
    </row>
    <row r="585" spans="1:8" x14ac:dyDescent="0.25">
      <c r="A585" s="1"/>
      <c r="B585" s="1" t="s">
        <v>8907</v>
      </c>
      <c r="C585" s="1" t="s">
        <v>8908</v>
      </c>
      <c r="D585" s="22" t="str">
        <f>HYPERLINK("https://rhld.insurance.arkansas.gov/NPILookup?Npi=1700269339","1700269339")</f>
        <v>1700269339</v>
      </c>
      <c r="E585" s="1" t="s">
        <v>3576</v>
      </c>
      <c r="F585" s="2"/>
      <c r="G585" s="2"/>
      <c r="H585" s="2"/>
    </row>
    <row r="586" spans="1:8" x14ac:dyDescent="0.25">
      <c r="A586" s="1"/>
      <c r="B586" s="1" t="s">
        <v>8907</v>
      </c>
      <c r="C586" s="1" t="s">
        <v>8908</v>
      </c>
      <c r="D586" s="22" t="str">
        <f>HYPERLINK("https://rhld.insurance.arkansas.gov/NPILookup?Npi=1700831724","1700831724")</f>
        <v>1700831724</v>
      </c>
      <c r="E586" s="1" t="s">
        <v>662</v>
      </c>
      <c r="F586" s="2"/>
      <c r="G586" s="2"/>
      <c r="H586" s="2"/>
    </row>
    <row r="587" spans="1:8" x14ac:dyDescent="0.25">
      <c r="A587" s="1"/>
      <c r="B587" s="1" t="s">
        <v>8907</v>
      </c>
      <c r="C587" s="1" t="s">
        <v>8908</v>
      </c>
      <c r="D587" s="22" t="str">
        <f>HYPERLINK("https://rhld.insurance.arkansas.gov/NPILookup?Npi=1710463146","1710463146")</f>
        <v>1710463146</v>
      </c>
      <c r="E587" s="1" t="s">
        <v>2450</v>
      </c>
      <c r="F587" s="2"/>
      <c r="G587" s="2"/>
      <c r="H587" s="2"/>
    </row>
    <row r="588" spans="1:8" x14ac:dyDescent="0.25">
      <c r="A588" s="1"/>
      <c r="B588" s="1" t="s">
        <v>8907</v>
      </c>
      <c r="C588" s="1" t="s">
        <v>8908</v>
      </c>
      <c r="D588" s="22" t="str">
        <f>HYPERLINK("https://rhld.insurance.arkansas.gov/NPILookup?Npi=1710931985","1710931985")</f>
        <v>1710931985</v>
      </c>
      <c r="E588" s="1" t="s">
        <v>15232</v>
      </c>
      <c r="F588" s="2"/>
      <c r="G588" s="2"/>
      <c r="H588" s="2"/>
    </row>
    <row r="589" spans="1:8" x14ac:dyDescent="0.25">
      <c r="A589" s="1"/>
      <c r="B589" s="1" t="s">
        <v>8907</v>
      </c>
      <c r="C589" s="1" t="s">
        <v>8908</v>
      </c>
      <c r="D589" s="22" t="str">
        <f>HYPERLINK("https://rhld.insurance.arkansas.gov/NPILookup?Npi=1710943881","1710943881")</f>
        <v>1710943881</v>
      </c>
      <c r="E589" s="1" t="s">
        <v>654</v>
      </c>
      <c r="F589" s="2"/>
      <c r="G589" s="2"/>
      <c r="H589" s="2"/>
    </row>
    <row r="590" spans="1:8" x14ac:dyDescent="0.25">
      <c r="A590" s="1"/>
      <c r="B590" s="1" t="s">
        <v>8907</v>
      </c>
      <c r="C590" s="1" t="s">
        <v>8908</v>
      </c>
      <c r="D590" s="22" t="str">
        <f>HYPERLINK("https://rhld.insurance.arkansas.gov/NPILookup?Npi=1750856043","1750856043")</f>
        <v>1750856043</v>
      </c>
      <c r="E590" s="1" t="s">
        <v>15312</v>
      </c>
      <c r="F590" s="2"/>
      <c r="G590" s="2"/>
      <c r="H590" s="2"/>
    </row>
    <row r="591" spans="1:8" x14ac:dyDescent="0.25">
      <c r="A591" s="1"/>
      <c r="B591" s="1" t="s">
        <v>8907</v>
      </c>
      <c r="C591" s="1" t="s">
        <v>8908</v>
      </c>
      <c r="D591" s="22" t="str">
        <f>HYPERLINK("https://rhld.insurance.arkansas.gov/NPILookup?Npi=1760453633","1760453633")</f>
        <v>1760453633</v>
      </c>
      <c r="E591" s="1" t="s">
        <v>1350</v>
      </c>
      <c r="F591" s="2"/>
      <c r="G591" s="2"/>
      <c r="H591" s="2"/>
    </row>
    <row r="592" spans="1:8" x14ac:dyDescent="0.25">
      <c r="A592" s="1"/>
      <c r="B592" s="1" t="s">
        <v>8907</v>
      </c>
      <c r="C592" s="1" t="s">
        <v>8908</v>
      </c>
      <c r="D592" s="22" t="str">
        <f>HYPERLINK("https://rhld.insurance.arkansas.gov/NPILookup?Npi=1780375592","1780375592")</f>
        <v>1780375592</v>
      </c>
      <c r="E592" s="1" t="s">
        <v>8889</v>
      </c>
      <c r="F592" s="2"/>
      <c r="G592" s="2"/>
      <c r="H592" s="2"/>
    </row>
    <row r="593" spans="1:8" x14ac:dyDescent="0.25">
      <c r="A593" s="1"/>
      <c r="B593" s="1" t="s">
        <v>8907</v>
      </c>
      <c r="C593" s="1" t="s">
        <v>8908</v>
      </c>
      <c r="D593" s="22" t="str">
        <f>HYPERLINK("https://rhld.insurance.arkansas.gov/NPILookup?Npi=1780684431","1780684431")</f>
        <v>1780684431</v>
      </c>
      <c r="E593" s="1" t="s">
        <v>9662</v>
      </c>
      <c r="F593" s="2"/>
      <c r="G593" s="2"/>
      <c r="H593" s="2"/>
    </row>
    <row r="594" spans="1:8" x14ac:dyDescent="0.25">
      <c r="A594" s="1"/>
      <c r="B594" s="1" t="s">
        <v>8907</v>
      </c>
      <c r="C594" s="1" t="s">
        <v>8908</v>
      </c>
      <c r="D594" s="22" t="str">
        <f>HYPERLINK("https://rhld.insurance.arkansas.gov/NPILookup?Npi=1790773158","1790773158")</f>
        <v>1790773158</v>
      </c>
      <c r="E594" s="1" t="s">
        <v>9633</v>
      </c>
      <c r="F594" s="2"/>
      <c r="G594" s="2"/>
      <c r="H594" s="2"/>
    </row>
    <row r="595" spans="1:8" x14ac:dyDescent="0.25">
      <c r="A595" s="1"/>
      <c r="B595" s="1" t="s">
        <v>8907</v>
      </c>
      <c r="C595" s="1" t="s">
        <v>8908</v>
      </c>
      <c r="D595" s="22" t="str">
        <f>HYPERLINK("https://rhld.insurance.arkansas.gov/NPILookup?Npi=1790775229","1790775229")</f>
        <v>1790775229</v>
      </c>
      <c r="E595" s="1" t="s">
        <v>657</v>
      </c>
      <c r="F595" s="2"/>
      <c r="G595" s="2"/>
      <c r="H595" s="2"/>
    </row>
    <row r="596" spans="1:8" x14ac:dyDescent="0.25">
      <c r="A596" s="1"/>
      <c r="B596" s="1" t="s">
        <v>8907</v>
      </c>
      <c r="C596" s="1" t="s">
        <v>8908</v>
      </c>
      <c r="D596" s="22" t="str">
        <f>HYPERLINK("https://rhld.insurance.arkansas.gov/NPILookup?Npi=1811762701","1811762701")</f>
        <v>1811762701</v>
      </c>
      <c r="E596" s="1" t="s">
        <v>8914</v>
      </c>
      <c r="F596" s="2"/>
      <c r="G596" s="2"/>
      <c r="H596" s="2"/>
    </row>
    <row r="597" spans="1:8" x14ac:dyDescent="0.25">
      <c r="A597" s="1"/>
      <c r="B597" s="1" t="s">
        <v>8907</v>
      </c>
      <c r="C597" s="1" t="s">
        <v>8908</v>
      </c>
      <c r="D597" s="22" t="str">
        <f>HYPERLINK("https://rhld.insurance.arkansas.gov/NPILookup?Npi=1831312461","1831312461")</f>
        <v>1831312461</v>
      </c>
      <c r="E597" s="1" t="s">
        <v>15313</v>
      </c>
      <c r="F597" s="2"/>
      <c r="G597" s="2"/>
      <c r="H597" s="2"/>
    </row>
    <row r="598" spans="1:8" x14ac:dyDescent="0.25">
      <c r="A598" s="1"/>
      <c r="B598" s="1" t="s">
        <v>8907</v>
      </c>
      <c r="C598" s="1" t="s">
        <v>8908</v>
      </c>
      <c r="D598" s="22" t="str">
        <f>HYPERLINK("https://rhld.insurance.arkansas.gov/NPILookup?Npi=1841241833","1841241833")</f>
        <v>1841241833</v>
      </c>
      <c r="E598" s="1" t="s">
        <v>655</v>
      </c>
      <c r="F598" s="2"/>
      <c r="G598" s="2"/>
      <c r="H598" s="2"/>
    </row>
    <row r="599" spans="1:8" x14ac:dyDescent="0.25">
      <c r="A599" s="1"/>
      <c r="B599" s="1" t="s">
        <v>8907</v>
      </c>
      <c r="C599" s="1" t="s">
        <v>8908</v>
      </c>
      <c r="D599" s="22" t="str">
        <f>HYPERLINK("https://rhld.insurance.arkansas.gov/NPILookup?Npi=1841898293","1841898293")</f>
        <v>1841898293</v>
      </c>
      <c r="E599" s="1" t="s">
        <v>15291</v>
      </c>
      <c r="F599" s="2"/>
      <c r="G599" s="2"/>
      <c r="H599" s="2"/>
    </row>
    <row r="600" spans="1:8" x14ac:dyDescent="0.25">
      <c r="A600" s="1"/>
      <c r="B600" s="1" t="s">
        <v>8907</v>
      </c>
      <c r="C600" s="1" t="s">
        <v>8908</v>
      </c>
      <c r="D600" s="22" t="str">
        <f>HYPERLINK("https://rhld.insurance.arkansas.gov/NPILookup?Npi=1861449639","1861449639")</f>
        <v>1861449639</v>
      </c>
      <c r="E600" s="1" t="s">
        <v>15257</v>
      </c>
      <c r="F600" s="2"/>
      <c r="G600" s="2"/>
      <c r="H600" s="2"/>
    </row>
    <row r="601" spans="1:8" x14ac:dyDescent="0.25">
      <c r="A601" s="1"/>
      <c r="B601" s="1" t="s">
        <v>8907</v>
      </c>
      <c r="C601" s="1" t="s">
        <v>8908</v>
      </c>
      <c r="D601" s="22" t="str">
        <f>HYPERLINK("https://rhld.insurance.arkansas.gov/NPILookup?Npi=1861519548","1861519548")</f>
        <v>1861519548</v>
      </c>
      <c r="E601" s="1" t="s">
        <v>15292</v>
      </c>
      <c r="F601" s="2"/>
      <c r="G601" s="2"/>
      <c r="H601" s="2"/>
    </row>
    <row r="602" spans="1:8" x14ac:dyDescent="0.25">
      <c r="A602" s="1"/>
      <c r="B602" s="1" t="s">
        <v>8907</v>
      </c>
      <c r="C602" s="1" t="s">
        <v>8908</v>
      </c>
      <c r="D602" s="22" t="str">
        <f>HYPERLINK("https://rhld.insurance.arkansas.gov/NPILookup?Npi=1871221176","1871221176")</f>
        <v>1871221176</v>
      </c>
      <c r="E602" s="1" t="s">
        <v>15314</v>
      </c>
      <c r="F602" s="2"/>
      <c r="G602" s="2"/>
      <c r="H602" s="2"/>
    </row>
    <row r="603" spans="1:8" x14ac:dyDescent="0.25">
      <c r="A603" s="1"/>
      <c r="B603" s="1" t="s">
        <v>8907</v>
      </c>
      <c r="C603" s="1" t="s">
        <v>8908</v>
      </c>
      <c r="D603" s="22" t="str">
        <f>HYPERLINK("https://rhld.insurance.arkansas.gov/NPILookup?Npi=1871553073","1871553073")</f>
        <v>1871553073</v>
      </c>
      <c r="E603" s="1" t="s">
        <v>15315</v>
      </c>
      <c r="F603" s="2"/>
      <c r="G603" s="2"/>
      <c r="H603" s="2"/>
    </row>
    <row r="604" spans="1:8" x14ac:dyDescent="0.25">
      <c r="A604" s="1"/>
      <c r="B604" s="1" t="s">
        <v>8907</v>
      </c>
      <c r="C604" s="1" t="s">
        <v>8908</v>
      </c>
      <c r="D604" s="22" t="str">
        <f>HYPERLINK("https://rhld.insurance.arkansas.gov/NPILookup?Npi=1871839613","1871839613")</f>
        <v>1871839613</v>
      </c>
      <c r="E604" s="1" t="s">
        <v>15293</v>
      </c>
      <c r="F604" s="2"/>
      <c r="G604" s="2"/>
      <c r="H604" s="2"/>
    </row>
    <row r="605" spans="1:8" x14ac:dyDescent="0.25">
      <c r="A605" s="1"/>
      <c r="B605" s="1" t="s">
        <v>8907</v>
      </c>
      <c r="C605" s="1" t="s">
        <v>8908</v>
      </c>
      <c r="D605" s="22" t="str">
        <f>HYPERLINK("https://rhld.insurance.arkansas.gov/NPILookup?Npi=1881640118","1881640118")</f>
        <v>1881640118</v>
      </c>
      <c r="E605" s="1" t="s">
        <v>15316</v>
      </c>
      <c r="F605" s="2"/>
      <c r="G605" s="2"/>
      <c r="H605" s="2"/>
    </row>
    <row r="606" spans="1:8" x14ac:dyDescent="0.25">
      <c r="A606" s="1"/>
      <c r="B606" s="1" t="s">
        <v>8907</v>
      </c>
      <c r="C606" s="1" t="s">
        <v>8908</v>
      </c>
      <c r="D606" s="22" t="str">
        <f>HYPERLINK("https://rhld.insurance.arkansas.gov/NPILookup?Npi=1881788933","1881788933")</f>
        <v>1881788933</v>
      </c>
      <c r="E606" s="1" t="s">
        <v>2141</v>
      </c>
      <c r="F606" s="2"/>
      <c r="G606" s="2"/>
      <c r="H606" s="2"/>
    </row>
    <row r="607" spans="1:8" x14ac:dyDescent="0.25">
      <c r="A607" s="1"/>
      <c r="B607" s="1" t="s">
        <v>8907</v>
      </c>
      <c r="C607" s="1" t="s">
        <v>8908</v>
      </c>
      <c r="D607" s="22" t="str">
        <f>HYPERLINK("https://rhld.insurance.arkansas.gov/NPILookup?Npi=1891178828","1891178828")</f>
        <v>1891178828</v>
      </c>
      <c r="E607" s="1" t="s">
        <v>2564</v>
      </c>
      <c r="F607" s="2"/>
      <c r="G607" s="2"/>
      <c r="H607" s="2"/>
    </row>
    <row r="608" spans="1:8" x14ac:dyDescent="0.25">
      <c r="A608" s="1"/>
      <c r="B608" s="1" t="s">
        <v>8907</v>
      </c>
      <c r="C608" s="1" t="s">
        <v>8908</v>
      </c>
      <c r="D608" s="22" t="str">
        <f>HYPERLINK("https://rhld.insurance.arkansas.gov/NPILookup?Npi=1891778049","1891778049")</f>
        <v>1891778049</v>
      </c>
      <c r="E608" s="1" t="s">
        <v>15317</v>
      </c>
      <c r="F608" s="2"/>
      <c r="G608" s="2"/>
      <c r="H608" s="2"/>
    </row>
    <row r="609" spans="1:8" x14ac:dyDescent="0.25">
      <c r="A609" s="1"/>
      <c r="B609" s="1" t="s">
        <v>8907</v>
      </c>
      <c r="C609" s="1" t="s">
        <v>8908</v>
      </c>
      <c r="D609" s="22" t="str">
        <f>HYPERLINK("https://rhld.insurance.arkansas.gov/NPILookup?Npi=1902051816","1902051816")</f>
        <v>1902051816</v>
      </c>
      <c r="E609" s="1" t="s">
        <v>15259</v>
      </c>
      <c r="F609" s="2"/>
      <c r="G609" s="2"/>
      <c r="H609" s="2"/>
    </row>
    <row r="610" spans="1:8" x14ac:dyDescent="0.25">
      <c r="A610" s="1"/>
      <c r="B610" s="1" t="s">
        <v>8907</v>
      </c>
      <c r="C610" s="1" t="s">
        <v>8908</v>
      </c>
      <c r="D610" s="22" t="str">
        <f>HYPERLINK("https://rhld.insurance.arkansas.gov/NPILookup?Npi=1902073620","1902073620")</f>
        <v>1902073620</v>
      </c>
      <c r="E610" s="1" t="s">
        <v>15318</v>
      </c>
      <c r="F610" s="2"/>
      <c r="G610" s="2"/>
      <c r="H610" s="2"/>
    </row>
    <row r="611" spans="1:8" x14ac:dyDescent="0.25">
      <c r="A611" s="1"/>
      <c r="B611" s="1" t="s">
        <v>8907</v>
      </c>
      <c r="C611" s="1" t="s">
        <v>8908</v>
      </c>
      <c r="D611" s="22" t="str">
        <f>HYPERLINK("https://rhld.insurance.arkansas.gov/NPILookup?Npi=1902868391","1902868391")</f>
        <v>1902868391</v>
      </c>
      <c r="E611" s="1" t="s">
        <v>709</v>
      </c>
      <c r="F611" s="2"/>
      <c r="G611" s="2"/>
      <c r="H611" s="2"/>
    </row>
    <row r="612" spans="1:8" x14ac:dyDescent="0.25">
      <c r="A612" s="1"/>
      <c r="B612" s="1" t="s">
        <v>8907</v>
      </c>
      <c r="C612" s="1" t="s">
        <v>8908</v>
      </c>
      <c r="D612" s="22" t="str">
        <f>HYPERLINK("https://rhld.insurance.arkansas.gov/NPILookup?Npi=1912544958","1912544958")</f>
        <v>1912544958</v>
      </c>
      <c r="E612" s="1" t="s">
        <v>8915</v>
      </c>
      <c r="F612" s="2"/>
      <c r="G612" s="2"/>
      <c r="H612" s="2"/>
    </row>
    <row r="613" spans="1:8" x14ac:dyDescent="0.25">
      <c r="A613" s="1"/>
      <c r="B613" s="1" t="s">
        <v>8907</v>
      </c>
      <c r="C613" s="1" t="s">
        <v>8908</v>
      </c>
      <c r="D613" s="22" t="str">
        <f>HYPERLINK("https://rhld.insurance.arkansas.gov/NPILookup?Npi=1912964081","1912964081")</f>
        <v>1912964081</v>
      </c>
      <c r="E613" s="1" t="s">
        <v>15264</v>
      </c>
      <c r="F613" s="2"/>
      <c r="G613" s="2"/>
      <c r="H613" s="2"/>
    </row>
    <row r="614" spans="1:8" x14ac:dyDescent="0.25">
      <c r="A614" s="1"/>
      <c r="B614" s="1" t="s">
        <v>8907</v>
      </c>
      <c r="C614" s="1" t="s">
        <v>8908</v>
      </c>
      <c r="D614" s="22" t="str">
        <f>HYPERLINK("https://rhld.insurance.arkansas.gov/NPILookup?Npi=1912978875","1912978875")</f>
        <v>1912978875</v>
      </c>
      <c r="E614" s="1" t="s">
        <v>652</v>
      </c>
      <c r="F614" s="2"/>
      <c r="G614" s="2"/>
      <c r="H614" s="2"/>
    </row>
    <row r="615" spans="1:8" x14ac:dyDescent="0.25">
      <c r="A615" s="1"/>
      <c r="B615" s="1" t="s">
        <v>8907</v>
      </c>
      <c r="C615" s="1" t="s">
        <v>8908</v>
      </c>
      <c r="D615" s="22" t="str">
        <f>HYPERLINK("https://rhld.insurance.arkansas.gov/NPILookup?Npi=1922043686","1922043686")</f>
        <v>1922043686</v>
      </c>
      <c r="E615" s="1" t="s">
        <v>1543</v>
      </c>
      <c r="F615" s="2"/>
      <c r="G615" s="2"/>
      <c r="H615" s="2"/>
    </row>
    <row r="616" spans="1:8" x14ac:dyDescent="0.25">
      <c r="A616" s="1"/>
      <c r="B616" s="1" t="s">
        <v>8907</v>
      </c>
      <c r="C616" s="1" t="s">
        <v>8908</v>
      </c>
      <c r="D616" s="22" t="str">
        <f>HYPERLINK("https://rhld.insurance.arkansas.gov/NPILookup?Npi=1922353754","1922353754")</f>
        <v>1922353754</v>
      </c>
      <c r="E616" s="1" t="s">
        <v>1076</v>
      </c>
      <c r="F616" s="2"/>
      <c r="G616" s="2"/>
      <c r="H616" s="2"/>
    </row>
    <row r="617" spans="1:8" x14ac:dyDescent="0.25">
      <c r="A617" s="1"/>
      <c r="B617" s="1" t="s">
        <v>8907</v>
      </c>
      <c r="C617" s="1" t="s">
        <v>8908</v>
      </c>
      <c r="D617" s="22" t="str">
        <f>HYPERLINK("https://rhld.insurance.arkansas.gov/NPILookup?Npi=1942713987","1942713987")</f>
        <v>1942713987</v>
      </c>
      <c r="E617" s="1" t="s">
        <v>2811</v>
      </c>
      <c r="F617" s="2"/>
      <c r="G617" s="2"/>
      <c r="H617" s="2"/>
    </row>
    <row r="618" spans="1:8" x14ac:dyDescent="0.25">
      <c r="A618" s="1"/>
      <c r="B618" s="1" t="s">
        <v>8907</v>
      </c>
      <c r="C618" s="1" t="s">
        <v>8908</v>
      </c>
      <c r="D618" s="22" t="str">
        <f>HYPERLINK("https://rhld.insurance.arkansas.gov/NPILookup?Npi=1962727271","1962727271")</f>
        <v>1962727271</v>
      </c>
      <c r="E618" s="1" t="s">
        <v>3574</v>
      </c>
      <c r="F618" s="2"/>
      <c r="G618" s="2"/>
      <c r="H618" s="2"/>
    </row>
    <row r="619" spans="1:8" x14ac:dyDescent="0.25">
      <c r="A619" s="1"/>
      <c r="B619" s="1" t="s">
        <v>8907</v>
      </c>
      <c r="C619" s="1" t="s">
        <v>8908</v>
      </c>
      <c r="D619" s="22" t="str">
        <f>HYPERLINK("https://rhld.insurance.arkansas.gov/NPILookup?Npi=1972586238","1972586238")</f>
        <v>1972586238</v>
      </c>
      <c r="E619" s="1" t="s">
        <v>15319</v>
      </c>
      <c r="F619" s="2"/>
      <c r="G619" s="2"/>
      <c r="H619" s="2"/>
    </row>
    <row r="620" spans="1:8" x14ac:dyDescent="0.25">
      <c r="A620" s="1"/>
      <c r="B620" s="1" t="s">
        <v>8907</v>
      </c>
      <c r="C620" s="1" t="s">
        <v>8908</v>
      </c>
      <c r="D620" s="22" t="str">
        <f>HYPERLINK("https://rhld.insurance.arkansas.gov/NPILookup?Npi=1972620649","1972620649")</f>
        <v>1972620649</v>
      </c>
      <c r="E620" s="1" t="s">
        <v>15294</v>
      </c>
      <c r="F620" s="2"/>
      <c r="G620" s="2"/>
      <c r="H620" s="2"/>
    </row>
    <row r="621" spans="1:8" x14ac:dyDescent="0.25">
      <c r="A621" s="1"/>
      <c r="B621" s="1" t="s">
        <v>8907</v>
      </c>
      <c r="C621" s="1" t="s">
        <v>8908</v>
      </c>
      <c r="D621" s="22" t="str">
        <f>HYPERLINK("https://rhld.insurance.arkansas.gov/NPILookup?Npi=1982684825","1982684825")</f>
        <v>1982684825</v>
      </c>
      <c r="E621" s="1" t="s">
        <v>9629</v>
      </c>
      <c r="F621" s="2"/>
      <c r="G621" s="2"/>
      <c r="H621" s="2"/>
    </row>
    <row r="622" spans="1:8" x14ac:dyDescent="0.25">
      <c r="A622" s="1"/>
      <c r="B622" s="1" t="s">
        <v>8916</v>
      </c>
      <c r="C622" s="1" t="s">
        <v>8917</v>
      </c>
      <c r="D622" s="22" t="str">
        <f>HYPERLINK("https://rhld.insurance.arkansas.gov/NPILookup?Npi=1003180035","1003180035")</f>
        <v>1003180035</v>
      </c>
      <c r="E622" s="1" t="s">
        <v>15298</v>
      </c>
      <c r="F622" s="2"/>
      <c r="G622" s="2"/>
      <c r="H622" s="2"/>
    </row>
    <row r="623" spans="1:8" x14ac:dyDescent="0.25">
      <c r="A623" s="1"/>
      <c r="B623" s="1" t="s">
        <v>8916</v>
      </c>
      <c r="C623" s="1" t="s">
        <v>8917</v>
      </c>
      <c r="D623" s="22" t="str">
        <f>HYPERLINK("https://rhld.insurance.arkansas.gov/NPILookup?Npi=1003806258","1003806258")</f>
        <v>1003806258</v>
      </c>
      <c r="E623" s="1" t="s">
        <v>15320</v>
      </c>
      <c r="F623" s="2"/>
      <c r="G623" s="2"/>
      <c r="H623" s="2"/>
    </row>
    <row r="624" spans="1:8" x14ac:dyDescent="0.25">
      <c r="A624" s="1"/>
      <c r="B624" s="1" t="s">
        <v>8916</v>
      </c>
      <c r="C624" s="1" t="s">
        <v>8917</v>
      </c>
      <c r="D624" s="22" t="str">
        <f>HYPERLINK("https://rhld.insurance.arkansas.gov/NPILookup?Npi=1003898313","1003898313")</f>
        <v>1003898313</v>
      </c>
      <c r="E624" s="1" t="s">
        <v>1161</v>
      </c>
      <c r="F624" s="2"/>
      <c r="G624" s="2"/>
      <c r="H624" s="2"/>
    </row>
    <row r="625" spans="1:8" x14ac:dyDescent="0.25">
      <c r="A625" s="1"/>
      <c r="B625" s="1" t="s">
        <v>8916</v>
      </c>
      <c r="C625" s="1" t="s">
        <v>8917</v>
      </c>
      <c r="D625" s="22" t="str">
        <f>HYPERLINK("https://rhld.insurance.arkansas.gov/NPILookup?Npi=1013979301","1013979301")</f>
        <v>1013979301</v>
      </c>
      <c r="E625" s="1" t="s">
        <v>15299</v>
      </c>
      <c r="F625" s="2"/>
      <c r="G625" s="2"/>
      <c r="H625" s="2"/>
    </row>
    <row r="626" spans="1:8" x14ac:dyDescent="0.25">
      <c r="A626" s="1"/>
      <c r="B626" s="1" t="s">
        <v>8916</v>
      </c>
      <c r="C626" s="1" t="s">
        <v>8917</v>
      </c>
      <c r="D626" s="22" t="str">
        <f>HYPERLINK("https://rhld.insurance.arkansas.gov/NPILookup?Npi=1023005253","1023005253")</f>
        <v>1023005253</v>
      </c>
      <c r="E626" s="1" t="s">
        <v>15321</v>
      </c>
      <c r="F626" s="2"/>
      <c r="G626" s="2"/>
      <c r="H626" s="2"/>
    </row>
    <row r="627" spans="1:8" x14ac:dyDescent="0.25">
      <c r="A627" s="1"/>
      <c r="B627" s="1" t="s">
        <v>8916</v>
      </c>
      <c r="C627" s="1" t="s">
        <v>8917</v>
      </c>
      <c r="D627" s="22" t="str">
        <f>HYPERLINK("https://rhld.insurance.arkansas.gov/NPILookup?Npi=1023042033","1023042033")</f>
        <v>1023042033</v>
      </c>
      <c r="E627" s="1" t="s">
        <v>8918</v>
      </c>
      <c r="F627" s="2"/>
      <c r="G627" s="2"/>
      <c r="H627" s="2"/>
    </row>
    <row r="628" spans="1:8" x14ac:dyDescent="0.25">
      <c r="A628" s="1"/>
      <c r="B628" s="1" t="s">
        <v>8916</v>
      </c>
      <c r="C628" s="1" t="s">
        <v>8917</v>
      </c>
      <c r="D628" s="22" t="str">
        <f>HYPERLINK("https://rhld.insurance.arkansas.gov/NPILookup?Npi=1023294030","1023294030")</f>
        <v>1023294030</v>
      </c>
      <c r="E628" s="1" t="s">
        <v>8919</v>
      </c>
      <c r="F628" s="2"/>
      <c r="G628" s="2"/>
      <c r="H628" s="2"/>
    </row>
    <row r="629" spans="1:8" x14ac:dyDescent="0.25">
      <c r="A629" s="1"/>
      <c r="B629" s="1" t="s">
        <v>8916</v>
      </c>
      <c r="C629" s="1" t="s">
        <v>8917</v>
      </c>
      <c r="D629" s="22" t="str">
        <f>HYPERLINK("https://rhld.insurance.arkansas.gov/NPILookup?Npi=1033112230","1033112230")</f>
        <v>1033112230</v>
      </c>
      <c r="E629" s="1" t="s">
        <v>15273</v>
      </c>
      <c r="F629" s="2"/>
      <c r="G629" s="2"/>
      <c r="H629" s="2"/>
    </row>
    <row r="630" spans="1:8" x14ac:dyDescent="0.25">
      <c r="A630" s="1"/>
      <c r="B630" s="1" t="s">
        <v>8916</v>
      </c>
      <c r="C630" s="1" t="s">
        <v>8917</v>
      </c>
      <c r="D630" s="22" t="str">
        <f>HYPERLINK("https://rhld.insurance.arkansas.gov/NPILookup?Npi=1033147921","1033147921")</f>
        <v>1033147921</v>
      </c>
      <c r="E630" s="1" t="s">
        <v>15089</v>
      </c>
      <c r="F630" s="2"/>
      <c r="G630" s="2"/>
      <c r="H630" s="2"/>
    </row>
    <row r="631" spans="1:8" x14ac:dyDescent="0.25">
      <c r="A631" s="1"/>
      <c r="B631" s="1" t="s">
        <v>8916</v>
      </c>
      <c r="C631" s="1" t="s">
        <v>8917</v>
      </c>
      <c r="D631" s="22" t="str">
        <f>HYPERLINK("https://rhld.insurance.arkansas.gov/NPILookup?Npi=1033160049","1033160049")</f>
        <v>1033160049</v>
      </c>
      <c r="E631" s="1" t="s">
        <v>972</v>
      </c>
      <c r="F631" s="2"/>
      <c r="G631" s="2"/>
      <c r="H631" s="2"/>
    </row>
    <row r="632" spans="1:8" x14ac:dyDescent="0.25">
      <c r="A632" s="1"/>
      <c r="B632" s="1" t="s">
        <v>8916</v>
      </c>
      <c r="C632" s="1" t="s">
        <v>8917</v>
      </c>
      <c r="D632" s="22" t="str">
        <f>HYPERLINK("https://rhld.insurance.arkansas.gov/NPILookup?Npi=1043240682","1043240682")</f>
        <v>1043240682</v>
      </c>
      <c r="E632" s="1" t="s">
        <v>15095</v>
      </c>
      <c r="F632" s="2"/>
      <c r="G632" s="2"/>
      <c r="H632" s="2"/>
    </row>
    <row r="633" spans="1:8" x14ac:dyDescent="0.25">
      <c r="A633" s="1"/>
      <c r="B633" s="1" t="s">
        <v>8916</v>
      </c>
      <c r="C633" s="1" t="s">
        <v>8917</v>
      </c>
      <c r="D633" s="22" t="str">
        <f>HYPERLINK("https://rhld.insurance.arkansas.gov/NPILookup?Npi=1043260763","1043260763")</f>
        <v>1043260763</v>
      </c>
      <c r="E633" s="1" t="s">
        <v>15322</v>
      </c>
      <c r="F633" s="2"/>
      <c r="G633" s="2"/>
      <c r="H633" s="2"/>
    </row>
    <row r="634" spans="1:8" x14ac:dyDescent="0.25">
      <c r="A634" s="1"/>
      <c r="B634" s="1" t="s">
        <v>8916</v>
      </c>
      <c r="C634" s="1" t="s">
        <v>8917</v>
      </c>
      <c r="D634" s="22" t="str">
        <f>HYPERLINK("https://rhld.insurance.arkansas.gov/NPILookup?Npi=1043341902","1043341902")</f>
        <v>1043341902</v>
      </c>
      <c r="E634" s="1" t="s">
        <v>8920</v>
      </c>
      <c r="F634" s="2"/>
      <c r="G634" s="2"/>
      <c r="H634" s="2"/>
    </row>
    <row r="635" spans="1:8" x14ac:dyDescent="0.25">
      <c r="A635" s="1"/>
      <c r="B635" s="1" t="s">
        <v>8916</v>
      </c>
      <c r="C635" s="1" t="s">
        <v>8917</v>
      </c>
      <c r="D635" s="22" t="str">
        <f>HYPERLINK("https://rhld.insurance.arkansas.gov/NPILookup?Npi=1053334441","1053334441")</f>
        <v>1053334441</v>
      </c>
      <c r="E635" s="1" t="s">
        <v>9643</v>
      </c>
      <c r="F635" s="2"/>
      <c r="G635" s="2"/>
      <c r="H635" s="2"/>
    </row>
    <row r="636" spans="1:8" x14ac:dyDescent="0.25">
      <c r="A636" s="1"/>
      <c r="B636" s="1" t="s">
        <v>8916</v>
      </c>
      <c r="C636" s="1" t="s">
        <v>8917</v>
      </c>
      <c r="D636" s="22" t="str">
        <f>HYPERLINK("https://rhld.insurance.arkansas.gov/NPILookup?Npi=1053353441","1053353441")</f>
        <v>1053353441</v>
      </c>
      <c r="E636" s="1" t="s">
        <v>15323</v>
      </c>
      <c r="F636" s="2"/>
      <c r="G636" s="2"/>
      <c r="H636" s="2"/>
    </row>
    <row r="637" spans="1:8" x14ac:dyDescent="0.25">
      <c r="A637" s="1"/>
      <c r="B637" s="1" t="s">
        <v>8916</v>
      </c>
      <c r="C637" s="1" t="s">
        <v>8917</v>
      </c>
      <c r="D637" s="22" t="str">
        <f>HYPERLINK("https://rhld.insurance.arkansas.gov/NPILookup?Npi=1053689877","1053689877")</f>
        <v>1053689877</v>
      </c>
      <c r="E637" s="1" t="s">
        <v>15324</v>
      </c>
      <c r="F637" s="2"/>
      <c r="G637" s="2"/>
      <c r="H637" s="2"/>
    </row>
    <row r="638" spans="1:8" x14ac:dyDescent="0.25">
      <c r="A638" s="1"/>
      <c r="B638" s="1" t="s">
        <v>8916</v>
      </c>
      <c r="C638" s="1" t="s">
        <v>8917</v>
      </c>
      <c r="D638" s="22" t="str">
        <f>HYPERLINK("https://rhld.insurance.arkansas.gov/NPILookup?Npi=1063695120","1063695120")</f>
        <v>1063695120</v>
      </c>
      <c r="E638" s="1" t="s">
        <v>1563</v>
      </c>
      <c r="F638" s="2"/>
      <c r="G638" s="2"/>
      <c r="H638" s="2"/>
    </row>
    <row r="639" spans="1:8" x14ac:dyDescent="0.25">
      <c r="A639" s="1"/>
      <c r="B639" s="1" t="s">
        <v>8916</v>
      </c>
      <c r="C639" s="1" t="s">
        <v>8917</v>
      </c>
      <c r="D639" s="22" t="str">
        <f>HYPERLINK("https://rhld.insurance.arkansas.gov/NPILookup?Npi=1063748929","1063748929")</f>
        <v>1063748929</v>
      </c>
      <c r="E639" s="1" t="s">
        <v>8921</v>
      </c>
      <c r="F639" s="2"/>
      <c r="G639" s="2"/>
      <c r="H639" s="2"/>
    </row>
    <row r="640" spans="1:8" x14ac:dyDescent="0.25">
      <c r="A640" s="1"/>
      <c r="B640" s="1" t="s">
        <v>8916</v>
      </c>
      <c r="C640" s="1" t="s">
        <v>8917</v>
      </c>
      <c r="D640" s="22" t="str">
        <f>HYPERLINK("https://rhld.insurance.arkansas.gov/NPILookup?Npi=1063986289","1063986289")</f>
        <v>1063986289</v>
      </c>
      <c r="E640" s="1" t="s">
        <v>15325</v>
      </c>
      <c r="F640" s="2"/>
      <c r="G640" s="2"/>
      <c r="H640" s="2"/>
    </row>
    <row r="641" spans="1:8" x14ac:dyDescent="0.25">
      <c r="A641" s="1"/>
      <c r="B641" s="1" t="s">
        <v>8916</v>
      </c>
      <c r="C641" s="1" t="s">
        <v>8917</v>
      </c>
      <c r="D641" s="22" t="str">
        <f>HYPERLINK("https://rhld.insurance.arkansas.gov/NPILookup?Npi=1073719423","1073719423")</f>
        <v>1073719423</v>
      </c>
      <c r="E641" s="1" t="s">
        <v>8922</v>
      </c>
      <c r="F641" s="2"/>
      <c r="G641" s="2"/>
      <c r="H641" s="2"/>
    </row>
    <row r="642" spans="1:8" x14ac:dyDescent="0.25">
      <c r="A642" s="1"/>
      <c r="B642" s="1" t="s">
        <v>8916</v>
      </c>
      <c r="C642" s="1" t="s">
        <v>8917</v>
      </c>
      <c r="D642" s="22" t="str">
        <f>HYPERLINK("https://rhld.insurance.arkansas.gov/NPILookup?Npi=1073748406","1073748406")</f>
        <v>1073748406</v>
      </c>
      <c r="E642" s="1" t="s">
        <v>5178</v>
      </c>
      <c r="F642" s="2"/>
      <c r="G642" s="2"/>
      <c r="H642" s="2"/>
    </row>
    <row r="643" spans="1:8" x14ac:dyDescent="0.25">
      <c r="A643" s="1"/>
      <c r="B643" s="1" t="s">
        <v>8916</v>
      </c>
      <c r="C643" s="1" t="s">
        <v>8917</v>
      </c>
      <c r="D643" s="22" t="str">
        <f>HYPERLINK("https://rhld.insurance.arkansas.gov/NPILookup?Npi=1083609150","1083609150")</f>
        <v>1083609150</v>
      </c>
      <c r="E643" s="1" t="s">
        <v>15106</v>
      </c>
      <c r="F643" s="2"/>
      <c r="G643" s="2"/>
      <c r="H643" s="2"/>
    </row>
    <row r="644" spans="1:8" x14ac:dyDescent="0.25">
      <c r="A644" s="1"/>
      <c r="B644" s="1" t="s">
        <v>8916</v>
      </c>
      <c r="C644" s="1" t="s">
        <v>8917</v>
      </c>
      <c r="D644" s="22" t="str">
        <f>HYPERLINK("https://rhld.insurance.arkansas.gov/NPILookup?Npi=1083778302","1083778302")</f>
        <v>1083778302</v>
      </c>
      <c r="E644" s="1" t="s">
        <v>15274</v>
      </c>
      <c r="F644" s="2"/>
      <c r="G644" s="2"/>
      <c r="H644" s="2"/>
    </row>
    <row r="645" spans="1:8" x14ac:dyDescent="0.25">
      <c r="A645" s="1"/>
      <c r="B645" s="1" t="s">
        <v>8916</v>
      </c>
      <c r="C645" s="1" t="s">
        <v>8917</v>
      </c>
      <c r="D645" s="22" t="str">
        <f>HYPERLINK("https://rhld.insurance.arkansas.gov/NPILookup?Npi=1104855402","1104855402")</f>
        <v>1104855402</v>
      </c>
      <c r="E645" s="1" t="s">
        <v>15326</v>
      </c>
      <c r="F645" s="2"/>
      <c r="G645" s="2"/>
      <c r="H645" s="2"/>
    </row>
    <row r="646" spans="1:8" x14ac:dyDescent="0.25">
      <c r="A646" s="1"/>
      <c r="B646" s="1" t="s">
        <v>8916</v>
      </c>
      <c r="C646" s="1" t="s">
        <v>8917</v>
      </c>
      <c r="D646" s="22" t="str">
        <f>HYPERLINK("https://rhld.insurance.arkansas.gov/NPILookup?Npi=1104922392","1104922392")</f>
        <v>1104922392</v>
      </c>
      <c r="E646" s="1" t="s">
        <v>15327</v>
      </c>
      <c r="F646" s="2"/>
      <c r="G646" s="2"/>
      <c r="H646" s="2"/>
    </row>
    <row r="647" spans="1:8" x14ac:dyDescent="0.25">
      <c r="A647" s="1"/>
      <c r="B647" s="1" t="s">
        <v>8916</v>
      </c>
      <c r="C647" s="1" t="s">
        <v>8917</v>
      </c>
      <c r="D647" s="22" t="str">
        <f>HYPERLINK("https://rhld.insurance.arkansas.gov/NPILookup?Npi=1114903523","1114903523")</f>
        <v>1114903523</v>
      </c>
      <c r="E647" s="1" t="s">
        <v>2139</v>
      </c>
      <c r="F647" s="2"/>
      <c r="G647" s="2"/>
      <c r="H647" s="2"/>
    </row>
    <row r="648" spans="1:8" x14ac:dyDescent="0.25">
      <c r="A648" s="1"/>
      <c r="B648" s="1" t="s">
        <v>8916</v>
      </c>
      <c r="C648" s="1" t="s">
        <v>8917</v>
      </c>
      <c r="D648" s="22" t="str">
        <f>HYPERLINK("https://rhld.insurance.arkansas.gov/NPILookup?Npi=1124021811","1124021811")</f>
        <v>1124021811</v>
      </c>
      <c r="E648" s="1" t="s">
        <v>8888</v>
      </c>
      <c r="F648" s="2"/>
      <c r="G648" s="2"/>
      <c r="H648" s="2"/>
    </row>
    <row r="649" spans="1:8" x14ac:dyDescent="0.25">
      <c r="A649" s="1"/>
      <c r="B649" s="1" t="s">
        <v>8916</v>
      </c>
      <c r="C649" s="1" t="s">
        <v>8917</v>
      </c>
      <c r="D649" s="22" t="str">
        <f>HYPERLINK("https://rhld.insurance.arkansas.gov/NPILookup?Npi=1124037536","1124037536")</f>
        <v>1124037536</v>
      </c>
      <c r="E649" s="1" t="s">
        <v>9644</v>
      </c>
      <c r="F649" s="2"/>
      <c r="G649" s="2"/>
      <c r="H649" s="2"/>
    </row>
    <row r="650" spans="1:8" x14ac:dyDescent="0.25">
      <c r="A650" s="1"/>
      <c r="B650" s="1" t="s">
        <v>8916</v>
      </c>
      <c r="C650" s="1" t="s">
        <v>8917</v>
      </c>
      <c r="D650" s="22" t="str">
        <f>HYPERLINK("https://rhld.insurance.arkansas.gov/NPILookup?Npi=1124130687","1124130687")</f>
        <v>1124130687</v>
      </c>
      <c r="E650" s="1" t="s">
        <v>9645</v>
      </c>
      <c r="F650" s="2"/>
      <c r="G650" s="2"/>
      <c r="H650" s="2"/>
    </row>
    <row r="651" spans="1:8" x14ac:dyDescent="0.25">
      <c r="A651" s="1"/>
      <c r="B651" s="1" t="s">
        <v>8916</v>
      </c>
      <c r="C651" s="1" t="s">
        <v>8917</v>
      </c>
      <c r="D651" s="22" t="str">
        <f>HYPERLINK("https://rhld.insurance.arkansas.gov/NPILookup?Npi=1124588793","1124588793")</f>
        <v>1124588793</v>
      </c>
      <c r="E651" s="1" t="s">
        <v>8923</v>
      </c>
      <c r="F651" s="2"/>
      <c r="G651" s="2"/>
      <c r="H651" s="2"/>
    </row>
    <row r="652" spans="1:8" x14ac:dyDescent="0.25">
      <c r="A652" s="1"/>
      <c r="B652" s="1" t="s">
        <v>8916</v>
      </c>
      <c r="C652" s="1" t="s">
        <v>8917</v>
      </c>
      <c r="D652" s="22" t="str">
        <f>HYPERLINK("https://rhld.insurance.arkansas.gov/NPILookup?Npi=1134116049","1134116049")</f>
        <v>1134116049</v>
      </c>
      <c r="E652" s="1" t="s">
        <v>15116</v>
      </c>
      <c r="F652" s="2"/>
      <c r="G652" s="2"/>
      <c r="H652" s="2"/>
    </row>
    <row r="653" spans="1:8" x14ac:dyDescent="0.25">
      <c r="A653" s="1"/>
      <c r="B653" s="1" t="s">
        <v>8916</v>
      </c>
      <c r="C653" s="1" t="s">
        <v>8917</v>
      </c>
      <c r="D653" s="22" t="str">
        <f>HYPERLINK("https://rhld.insurance.arkansas.gov/NPILookup?Npi=1134231574","1134231574")</f>
        <v>1134231574</v>
      </c>
      <c r="E653" s="1" t="s">
        <v>8924</v>
      </c>
      <c r="F653" s="2"/>
      <c r="G653" s="2"/>
      <c r="H653" s="2"/>
    </row>
    <row r="654" spans="1:8" x14ac:dyDescent="0.25">
      <c r="A654" s="1"/>
      <c r="B654" s="1" t="s">
        <v>8916</v>
      </c>
      <c r="C654" s="1" t="s">
        <v>8917</v>
      </c>
      <c r="D654" s="22" t="str">
        <f>HYPERLINK("https://rhld.insurance.arkansas.gov/NPILookup?Npi=1134720592","1134720592")</f>
        <v>1134720592</v>
      </c>
      <c r="E654" s="1" t="s">
        <v>8890</v>
      </c>
      <c r="F654" s="2"/>
      <c r="G654" s="2"/>
      <c r="H654" s="2"/>
    </row>
    <row r="655" spans="1:8" x14ac:dyDescent="0.25">
      <c r="A655" s="1"/>
      <c r="B655" s="1" t="s">
        <v>8916</v>
      </c>
      <c r="C655" s="1" t="s">
        <v>8917</v>
      </c>
      <c r="D655" s="22" t="str">
        <f>HYPERLINK("https://rhld.insurance.arkansas.gov/NPILookup?Npi=1144213117","1144213117")</f>
        <v>1144213117</v>
      </c>
      <c r="E655" s="1" t="s">
        <v>1688</v>
      </c>
      <c r="F655" s="2"/>
      <c r="G655" s="2"/>
      <c r="H655" s="2"/>
    </row>
    <row r="656" spans="1:8" x14ac:dyDescent="0.25">
      <c r="A656" s="1"/>
      <c r="B656" s="1" t="s">
        <v>8916</v>
      </c>
      <c r="C656" s="1" t="s">
        <v>8917</v>
      </c>
      <c r="D656" s="22" t="str">
        <f>HYPERLINK("https://rhld.insurance.arkansas.gov/NPILookup?Npi=1144294745","1144294745")</f>
        <v>1144294745</v>
      </c>
      <c r="E656" s="1" t="s">
        <v>15302</v>
      </c>
      <c r="F656" s="2"/>
      <c r="G656" s="2"/>
      <c r="H656" s="2"/>
    </row>
    <row r="657" spans="1:8" x14ac:dyDescent="0.25">
      <c r="A657" s="1"/>
      <c r="B657" s="1" t="s">
        <v>8916</v>
      </c>
      <c r="C657" s="1" t="s">
        <v>8917</v>
      </c>
      <c r="D657" s="22" t="str">
        <f>HYPERLINK("https://rhld.insurance.arkansas.gov/NPILookup?Npi=1144590522","1144590522")</f>
        <v>1144590522</v>
      </c>
      <c r="E657" s="1" t="s">
        <v>15275</v>
      </c>
      <c r="F657" s="2"/>
      <c r="G657" s="2"/>
      <c r="H657" s="2"/>
    </row>
    <row r="658" spans="1:8" x14ac:dyDescent="0.25">
      <c r="A658" s="1"/>
      <c r="B658" s="1" t="s">
        <v>8916</v>
      </c>
      <c r="C658" s="1" t="s">
        <v>8917</v>
      </c>
      <c r="D658" s="22" t="str">
        <f>HYPERLINK("https://rhld.insurance.arkansas.gov/NPILookup?Npi=1144674409","1144674409")</f>
        <v>1144674409</v>
      </c>
      <c r="E658" s="1" t="s">
        <v>8925</v>
      </c>
      <c r="F658" s="2"/>
      <c r="G658" s="2"/>
      <c r="H658" s="2"/>
    </row>
    <row r="659" spans="1:8" x14ac:dyDescent="0.25">
      <c r="A659" s="1"/>
      <c r="B659" s="1" t="s">
        <v>8916</v>
      </c>
      <c r="C659" s="1" t="s">
        <v>8917</v>
      </c>
      <c r="D659" s="22" t="str">
        <f>HYPERLINK("https://rhld.insurance.arkansas.gov/NPILookup?Npi=1144853821","1144853821")</f>
        <v>1144853821</v>
      </c>
      <c r="E659" s="1" t="s">
        <v>8926</v>
      </c>
      <c r="F659" s="2"/>
      <c r="G659" s="2"/>
      <c r="H659" s="2"/>
    </row>
    <row r="660" spans="1:8" x14ac:dyDescent="0.25">
      <c r="A660" s="1"/>
      <c r="B660" s="1" t="s">
        <v>8916</v>
      </c>
      <c r="C660" s="1" t="s">
        <v>8917</v>
      </c>
      <c r="D660" s="22" t="str">
        <f>HYPERLINK("https://rhld.insurance.arkansas.gov/NPILookup?Npi=1154301786","1154301786")</f>
        <v>1154301786</v>
      </c>
      <c r="E660" s="1" t="s">
        <v>15328</v>
      </c>
      <c r="F660" s="2"/>
      <c r="G660" s="2"/>
      <c r="H660" s="2"/>
    </row>
    <row r="661" spans="1:8" x14ac:dyDescent="0.25">
      <c r="A661" s="1"/>
      <c r="B661" s="1" t="s">
        <v>8916</v>
      </c>
      <c r="C661" s="1" t="s">
        <v>8917</v>
      </c>
      <c r="D661" s="22" t="str">
        <f>HYPERLINK("https://rhld.insurance.arkansas.gov/NPILookup?Npi=1154382307","1154382307")</f>
        <v>1154382307</v>
      </c>
      <c r="E661" s="1" t="s">
        <v>15329</v>
      </c>
      <c r="F661" s="2"/>
      <c r="G661" s="2"/>
      <c r="H661" s="2"/>
    </row>
    <row r="662" spans="1:8" x14ac:dyDescent="0.25">
      <c r="A662" s="1"/>
      <c r="B662" s="1" t="s">
        <v>8916</v>
      </c>
      <c r="C662" s="1" t="s">
        <v>8917</v>
      </c>
      <c r="D662" s="22" t="str">
        <f>HYPERLINK("https://rhld.insurance.arkansas.gov/NPILookup?Npi=1154807584","1154807584")</f>
        <v>1154807584</v>
      </c>
      <c r="E662" s="1" t="s">
        <v>3465</v>
      </c>
      <c r="F662" s="2"/>
      <c r="G662" s="2"/>
      <c r="H662" s="2"/>
    </row>
    <row r="663" spans="1:8" x14ac:dyDescent="0.25">
      <c r="A663" s="1"/>
      <c r="B663" s="1" t="s">
        <v>8916</v>
      </c>
      <c r="C663" s="1" t="s">
        <v>8917</v>
      </c>
      <c r="D663" s="22" t="str">
        <f>HYPERLINK("https://rhld.insurance.arkansas.gov/NPILookup?Npi=1154823961","1154823961")</f>
        <v>1154823961</v>
      </c>
      <c r="E663" s="1" t="s">
        <v>8927</v>
      </c>
      <c r="F663" s="2"/>
      <c r="G663" s="2"/>
      <c r="H663" s="2"/>
    </row>
    <row r="664" spans="1:8" x14ac:dyDescent="0.25">
      <c r="A664" s="1"/>
      <c r="B664" s="1" t="s">
        <v>8916</v>
      </c>
      <c r="C664" s="1" t="s">
        <v>8917</v>
      </c>
      <c r="D664" s="22" t="str">
        <f>HYPERLINK("https://rhld.insurance.arkansas.gov/NPILookup?Npi=1154945483","1154945483")</f>
        <v>1154945483</v>
      </c>
      <c r="E664" s="1" t="s">
        <v>8887</v>
      </c>
      <c r="F664" s="2"/>
      <c r="G664" s="2"/>
      <c r="H664" s="2"/>
    </row>
    <row r="665" spans="1:8" x14ac:dyDescent="0.25">
      <c r="A665" s="1"/>
      <c r="B665" s="1" t="s">
        <v>8916</v>
      </c>
      <c r="C665" s="1" t="s">
        <v>8917</v>
      </c>
      <c r="D665" s="22" t="str">
        <f>HYPERLINK("https://rhld.insurance.arkansas.gov/NPILookup?Npi=1164009981","1164009981")</f>
        <v>1164009981</v>
      </c>
      <c r="E665" s="1" t="s">
        <v>15330</v>
      </c>
      <c r="F665" s="2"/>
      <c r="G665" s="2"/>
      <c r="H665" s="2"/>
    </row>
    <row r="666" spans="1:8" x14ac:dyDescent="0.25">
      <c r="A666" s="1"/>
      <c r="B666" s="1" t="s">
        <v>8916</v>
      </c>
      <c r="C666" s="1" t="s">
        <v>8917</v>
      </c>
      <c r="D666" s="22" t="str">
        <f>HYPERLINK("https://rhld.insurance.arkansas.gov/NPILookup?Npi=1164779989","1164779989")</f>
        <v>1164779989</v>
      </c>
      <c r="E666" s="1" t="s">
        <v>1076</v>
      </c>
      <c r="F666" s="2"/>
      <c r="G666" s="2"/>
      <c r="H666" s="2"/>
    </row>
    <row r="667" spans="1:8" x14ac:dyDescent="0.25">
      <c r="A667" s="1"/>
      <c r="B667" s="1" t="s">
        <v>8916</v>
      </c>
      <c r="C667" s="1" t="s">
        <v>8917</v>
      </c>
      <c r="D667" s="22" t="str">
        <f>HYPERLINK("https://rhld.insurance.arkansas.gov/NPILookup?Npi=1174171441","1174171441")</f>
        <v>1174171441</v>
      </c>
      <c r="E667" s="1" t="s">
        <v>15331</v>
      </c>
      <c r="F667" s="2"/>
      <c r="G667" s="2"/>
      <c r="H667" s="2"/>
    </row>
    <row r="668" spans="1:8" x14ac:dyDescent="0.25">
      <c r="A668" s="1"/>
      <c r="B668" s="1" t="s">
        <v>8916</v>
      </c>
      <c r="C668" s="1" t="s">
        <v>8917</v>
      </c>
      <c r="D668" s="22" t="str">
        <f>HYPERLINK("https://rhld.insurance.arkansas.gov/NPILookup?Npi=1174947618","1174947618")</f>
        <v>1174947618</v>
      </c>
      <c r="E668" s="1" t="s">
        <v>6931</v>
      </c>
      <c r="F668" s="2"/>
      <c r="G668" s="2"/>
      <c r="H668" s="2"/>
    </row>
    <row r="669" spans="1:8" x14ac:dyDescent="0.25">
      <c r="A669" s="1"/>
      <c r="B669" s="1" t="s">
        <v>8916</v>
      </c>
      <c r="C669" s="1" t="s">
        <v>8917</v>
      </c>
      <c r="D669" s="22" t="str">
        <f>HYPERLINK("https://rhld.insurance.arkansas.gov/NPILookup?Npi=1174952212","1174952212")</f>
        <v>1174952212</v>
      </c>
      <c r="E669" s="1" t="s">
        <v>8928</v>
      </c>
      <c r="F669" s="2"/>
      <c r="G669" s="2"/>
      <c r="H669" s="2"/>
    </row>
    <row r="670" spans="1:8" x14ac:dyDescent="0.25">
      <c r="A670" s="1"/>
      <c r="B670" s="1" t="s">
        <v>8916</v>
      </c>
      <c r="C670" s="1" t="s">
        <v>8917</v>
      </c>
      <c r="D670" s="22" t="str">
        <f>HYPERLINK("https://rhld.insurance.arkansas.gov/NPILookup?Npi=1184185092","1184185092")</f>
        <v>1184185092</v>
      </c>
      <c r="E670" s="1" t="s">
        <v>15332</v>
      </c>
      <c r="F670" s="2"/>
      <c r="G670" s="2"/>
      <c r="H670" s="2"/>
    </row>
    <row r="671" spans="1:8" x14ac:dyDescent="0.25">
      <c r="A671" s="1"/>
      <c r="B671" s="1" t="s">
        <v>8916</v>
      </c>
      <c r="C671" s="1" t="s">
        <v>8917</v>
      </c>
      <c r="D671" s="22" t="str">
        <f>HYPERLINK("https://rhld.insurance.arkansas.gov/NPILookup?Npi=1184629594","1184629594")</f>
        <v>1184629594</v>
      </c>
      <c r="E671" s="1" t="s">
        <v>9646</v>
      </c>
      <c r="F671" s="2"/>
      <c r="G671" s="2"/>
      <c r="H671" s="2"/>
    </row>
    <row r="672" spans="1:8" x14ac:dyDescent="0.25">
      <c r="A672" s="1"/>
      <c r="B672" s="1" t="s">
        <v>8916</v>
      </c>
      <c r="C672" s="1" t="s">
        <v>8917</v>
      </c>
      <c r="D672" s="22" t="str">
        <f>HYPERLINK("https://rhld.insurance.arkansas.gov/NPILookup?Npi=1184679292","1184679292")</f>
        <v>1184679292</v>
      </c>
      <c r="E672" s="1" t="s">
        <v>9067</v>
      </c>
      <c r="F672" s="2"/>
      <c r="G672" s="2"/>
      <c r="H672" s="2"/>
    </row>
    <row r="673" spans="1:8" x14ac:dyDescent="0.25">
      <c r="A673" s="1"/>
      <c r="B673" s="1" t="s">
        <v>8916</v>
      </c>
      <c r="C673" s="1" t="s">
        <v>8917</v>
      </c>
      <c r="D673" s="22" t="str">
        <f>HYPERLINK("https://rhld.insurance.arkansas.gov/NPILookup?Npi=1194724658","1194724658")</f>
        <v>1194724658</v>
      </c>
      <c r="E673" s="1" t="s">
        <v>1562</v>
      </c>
      <c r="F673" s="2"/>
      <c r="G673" s="2"/>
      <c r="H673" s="2"/>
    </row>
    <row r="674" spans="1:8" x14ac:dyDescent="0.25">
      <c r="A674" s="1"/>
      <c r="B674" s="1" t="s">
        <v>8916</v>
      </c>
      <c r="C674" s="1" t="s">
        <v>8917</v>
      </c>
      <c r="D674" s="22" t="str">
        <f>HYPERLINK("https://rhld.insurance.arkansas.gov/NPILookup?Npi=1194741611","1194741611")</f>
        <v>1194741611</v>
      </c>
      <c r="E674" s="1" t="s">
        <v>636</v>
      </c>
      <c r="F674" s="2"/>
      <c r="G674" s="2"/>
      <c r="H674" s="2"/>
    </row>
    <row r="675" spans="1:8" x14ac:dyDescent="0.25">
      <c r="A675" s="1"/>
      <c r="B675" s="1" t="s">
        <v>8916</v>
      </c>
      <c r="C675" s="1" t="s">
        <v>8917</v>
      </c>
      <c r="D675" s="22" t="str">
        <f>HYPERLINK("https://rhld.insurance.arkansas.gov/NPILookup?Npi=1194776757","1194776757")</f>
        <v>1194776757</v>
      </c>
      <c r="E675" s="1" t="s">
        <v>683</v>
      </c>
      <c r="F675" s="2"/>
      <c r="G675" s="2"/>
      <c r="H675" s="2"/>
    </row>
    <row r="676" spans="1:8" x14ac:dyDescent="0.25">
      <c r="A676" s="1"/>
      <c r="B676" s="1" t="s">
        <v>8916</v>
      </c>
      <c r="C676" s="1" t="s">
        <v>8917</v>
      </c>
      <c r="D676" s="22" t="str">
        <f>HYPERLINK("https://rhld.insurance.arkansas.gov/NPILookup?Npi=1194789818","1194789818")</f>
        <v>1194789818</v>
      </c>
      <c r="E676" s="1" t="s">
        <v>15127</v>
      </c>
      <c r="F676" s="2"/>
      <c r="G676" s="2"/>
      <c r="H676" s="2"/>
    </row>
    <row r="677" spans="1:8" x14ac:dyDescent="0.25">
      <c r="A677" s="1"/>
      <c r="B677" s="1" t="s">
        <v>8916</v>
      </c>
      <c r="C677" s="1" t="s">
        <v>8917</v>
      </c>
      <c r="D677" s="22" t="str">
        <f>HYPERLINK("https://rhld.insurance.arkansas.gov/NPILookup?Npi=1194804906","1194804906")</f>
        <v>1194804906</v>
      </c>
      <c r="E677" s="1" t="s">
        <v>15333</v>
      </c>
      <c r="F677" s="2"/>
      <c r="G677" s="2"/>
      <c r="H677" s="2"/>
    </row>
    <row r="678" spans="1:8" x14ac:dyDescent="0.25">
      <c r="A678" s="1"/>
      <c r="B678" s="1" t="s">
        <v>8916</v>
      </c>
      <c r="C678" s="1" t="s">
        <v>8917</v>
      </c>
      <c r="D678" s="22" t="str">
        <f>HYPERLINK("https://rhld.insurance.arkansas.gov/NPILookup?Npi=1205840204","1205840204")</f>
        <v>1205840204</v>
      </c>
      <c r="E678" s="1" t="s">
        <v>15334</v>
      </c>
      <c r="F678" s="2"/>
      <c r="G678" s="2"/>
      <c r="H678" s="2"/>
    </row>
    <row r="679" spans="1:8" x14ac:dyDescent="0.25">
      <c r="A679" s="1"/>
      <c r="B679" s="1" t="s">
        <v>8916</v>
      </c>
      <c r="C679" s="1" t="s">
        <v>8917</v>
      </c>
      <c r="D679" s="22" t="str">
        <f>HYPERLINK("https://rhld.insurance.arkansas.gov/NPILookup?Npi=1215931290","1215931290")</f>
        <v>1215931290</v>
      </c>
      <c r="E679" s="1" t="s">
        <v>15335</v>
      </c>
      <c r="F679" s="2"/>
      <c r="G679" s="2"/>
      <c r="H679" s="2"/>
    </row>
    <row r="680" spans="1:8" x14ac:dyDescent="0.25">
      <c r="A680" s="1"/>
      <c r="B680" s="1" t="s">
        <v>8916</v>
      </c>
      <c r="C680" s="1" t="s">
        <v>8917</v>
      </c>
      <c r="D680" s="22" t="str">
        <f>HYPERLINK("https://rhld.insurance.arkansas.gov/NPILookup?Npi=1225007115","1225007115")</f>
        <v>1225007115</v>
      </c>
      <c r="E680" s="1" t="s">
        <v>8929</v>
      </c>
      <c r="F680" s="2"/>
      <c r="G680" s="2"/>
      <c r="H680" s="2"/>
    </row>
    <row r="681" spans="1:8" x14ac:dyDescent="0.25">
      <c r="A681" s="1"/>
      <c r="B681" s="1" t="s">
        <v>8916</v>
      </c>
      <c r="C681" s="1" t="s">
        <v>8917</v>
      </c>
      <c r="D681" s="22" t="str">
        <f>HYPERLINK("https://rhld.insurance.arkansas.gov/NPILookup?Npi=1235111071","1235111071")</f>
        <v>1235111071</v>
      </c>
      <c r="E681" s="1" t="s">
        <v>1563</v>
      </c>
      <c r="F681" s="2"/>
      <c r="G681" s="2"/>
      <c r="H681" s="2"/>
    </row>
    <row r="682" spans="1:8" x14ac:dyDescent="0.25">
      <c r="A682" s="1"/>
      <c r="B682" s="1" t="s">
        <v>8916</v>
      </c>
      <c r="C682" s="1" t="s">
        <v>8917</v>
      </c>
      <c r="D682" s="22" t="str">
        <f>HYPERLINK("https://rhld.insurance.arkansas.gov/NPILookup?Npi=1235453192","1235453192")</f>
        <v>1235453192</v>
      </c>
      <c r="E682" s="1" t="s">
        <v>664</v>
      </c>
      <c r="F682" s="2"/>
      <c r="G682" s="2"/>
      <c r="H682" s="2"/>
    </row>
    <row r="683" spans="1:8" x14ac:dyDescent="0.25">
      <c r="A683" s="1"/>
      <c r="B683" s="1" t="s">
        <v>8916</v>
      </c>
      <c r="C683" s="1" t="s">
        <v>8917</v>
      </c>
      <c r="D683" s="22" t="str">
        <f>HYPERLINK("https://rhld.insurance.arkansas.gov/NPILookup?Npi=1245284769","1245284769")</f>
        <v>1245284769</v>
      </c>
      <c r="E683" s="1" t="s">
        <v>1620</v>
      </c>
      <c r="F683" s="2"/>
      <c r="G683" s="2"/>
      <c r="H683" s="2"/>
    </row>
    <row r="684" spans="1:8" x14ac:dyDescent="0.25">
      <c r="A684" s="1"/>
      <c r="B684" s="1" t="s">
        <v>8916</v>
      </c>
      <c r="C684" s="1" t="s">
        <v>8917</v>
      </c>
      <c r="D684" s="22" t="str">
        <f>HYPERLINK("https://rhld.insurance.arkansas.gov/NPILookup?Npi=1245357912","1245357912")</f>
        <v>1245357912</v>
      </c>
      <c r="E684" s="1" t="s">
        <v>636</v>
      </c>
      <c r="F684" s="2"/>
      <c r="G684" s="2"/>
      <c r="H684" s="2"/>
    </row>
    <row r="685" spans="1:8" x14ac:dyDescent="0.25">
      <c r="A685" s="1"/>
      <c r="B685" s="1" t="s">
        <v>8916</v>
      </c>
      <c r="C685" s="1" t="s">
        <v>8917</v>
      </c>
      <c r="D685" s="22" t="str">
        <f>HYPERLINK("https://rhld.insurance.arkansas.gov/NPILookup?Npi=1255377420","1255377420")</f>
        <v>1255377420</v>
      </c>
      <c r="E685" s="1" t="s">
        <v>8903</v>
      </c>
      <c r="F685" s="2"/>
      <c r="G685" s="2"/>
      <c r="H685" s="2"/>
    </row>
    <row r="686" spans="1:8" x14ac:dyDescent="0.25">
      <c r="A686" s="1"/>
      <c r="B686" s="1" t="s">
        <v>8916</v>
      </c>
      <c r="C686" s="1" t="s">
        <v>8917</v>
      </c>
      <c r="D686" s="22" t="str">
        <f>HYPERLINK("https://rhld.insurance.arkansas.gov/NPILookup?Npi=1255870853","1255870853")</f>
        <v>1255870853</v>
      </c>
      <c r="E686" s="1" t="s">
        <v>15276</v>
      </c>
      <c r="F686" s="2"/>
      <c r="G686" s="2"/>
      <c r="H686" s="2"/>
    </row>
    <row r="687" spans="1:8" x14ac:dyDescent="0.25">
      <c r="A687" s="1"/>
      <c r="B687" s="1" t="s">
        <v>8916</v>
      </c>
      <c r="C687" s="1" t="s">
        <v>8917</v>
      </c>
      <c r="D687" s="22" t="str">
        <f>HYPERLINK("https://rhld.insurance.arkansas.gov/NPILookup?Npi=1255875746","1255875746")</f>
        <v>1255875746</v>
      </c>
      <c r="E687" s="1" t="s">
        <v>15277</v>
      </c>
      <c r="F687" s="2"/>
      <c r="G687" s="2"/>
      <c r="H687" s="2"/>
    </row>
    <row r="688" spans="1:8" x14ac:dyDescent="0.25">
      <c r="A688" s="1"/>
      <c r="B688" s="1" t="s">
        <v>8916</v>
      </c>
      <c r="C688" s="1" t="s">
        <v>8917</v>
      </c>
      <c r="D688" s="22" t="str">
        <f>HYPERLINK("https://rhld.insurance.arkansas.gov/NPILookup?Npi=1265114797","1265114797")</f>
        <v>1265114797</v>
      </c>
      <c r="E688" s="1" t="s">
        <v>8893</v>
      </c>
      <c r="F688" s="2"/>
      <c r="G688" s="2"/>
      <c r="H688" s="2"/>
    </row>
    <row r="689" spans="1:8" x14ac:dyDescent="0.25">
      <c r="A689" s="1"/>
      <c r="B689" s="1" t="s">
        <v>8916</v>
      </c>
      <c r="C689" s="1" t="s">
        <v>8917</v>
      </c>
      <c r="D689" s="22" t="str">
        <f>HYPERLINK("https://rhld.insurance.arkansas.gov/NPILookup?Npi=1265189948","1265189948")</f>
        <v>1265189948</v>
      </c>
      <c r="E689" s="1" t="s">
        <v>8930</v>
      </c>
      <c r="F689" s="2"/>
      <c r="G689" s="2"/>
      <c r="H689" s="2"/>
    </row>
    <row r="690" spans="1:8" x14ac:dyDescent="0.25">
      <c r="A690" s="1"/>
      <c r="B690" s="1" t="s">
        <v>8916</v>
      </c>
      <c r="C690" s="1" t="s">
        <v>8917</v>
      </c>
      <c r="D690" s="22" t="str">
        <f>HYPERLINK("https://rhld.insurance.arkansas.gov/NPILookup?Npi=1265407001","1265407001")</f>
        <v>1265407001</v>
      </c>
      <c r="E690" s="1" t="s">
        <v>1920</v>
      </c>
      <c r="F690" s="2"/>
      <c r="G690" s="2"/>
      <c r="H690" s="2"/>
    </row>
    <row r="691" spans="1:8" x14ac:dyDescent="0.25">
      <c r="A691" s="1"/>
      <c r="B691" s="1" t="s">
        <v>8916</v>
      </c>
      <c r="C691" s="1" t="s">
        <v>8917</v>
      </c>
      <c r="D691" s="22" t="str">
        <f>HYPERLINK("https://rhld.insurance.arkansas.gov/NPILookup?Npi=1265651459","1265651459")</f>
        <v>1265651459</v>
      </c>
      <c r="E691" s="1" t="s">
        <v>9647</v>
      </c>
      <c r="F691" s="2"/>
      <c r="G691" s="2"/>
      <c r="H691" s="2"/>
    </row>
    <row r="692" spans="1:8" x14ac:dyDescent="0.25">
      <c r="A692" s="1"/>
      <c r="B692" s="1" t="s">
        <v>8916</v>
      </c>
      <c r="C692" s="1" t="s">
        <v>8917</v>
      </c>
      <c r="D692" s="22" t="str">
        <f>HYPERLINK("https://rhld.insurance.arkansas.gov/NPILookup?Npi=1275023095","1275023095")</f>
        <v>1275023095</v>
      </c>
      <c r="E692" s="1" t="s">
        <v>15278</v>
      </c>
      <c r="F692" s="2"/>
      <c r="G692" s="2"/>
      <c r="H692" s="2"/>
    </row>
    <row r="693" spans="1:8" x14ac:dyDescent="0.25">
      <c r="A693" s="1"/>
      <c r="B693" s="1" t="s">
        <v>8916</v>
      </c>
      <c r="C693" s="1" t="s">
        <v>8917</v>
      </c>
      <c r="D693" s="22" t="str">
        <f>HYPERLINK("https://rhld.insurance.arkansas.gov/NPILookup?Npi=1275504128","1275504128")</f>
        <v>1275504128</v>
      </c>
      <c r="E693" s="1" t="s">
        <v>15303</v>
      </c>
      <c r="F693" s="2"/>
      <c r="G693" s="2"/>
      <c r="H693" s="2"/>
    </row>
    <row r="694" spans="1:8" x14ac:dyDescent="0.25">
      <c r="A694" s="1"/>
      <c r="B694" s="1" t="s">
        <v>8916</v>
      </c>
      <c r="C694" s="1" t="s">
        <v>8917</v>
      </c>
      <c r="D694" s="22" t="str">
        <f>HYPERLINK("https://rhld.insurance.arkansas.gov/NPILookup?Npi=1275523912","1275523912")</f>
        <v>1275523912</v>
      </c>
      <c r="E694" s="1" t="s">
        <v>15141</v>
      </c>
      <c r="F694" s="2"/>
      <c r="G694" s="2"/>
      <c r="H694" s="2"/>
    </row>
    <row r="695" spans="1:8" x14ac:dyDescent="0.25">
      <c r="A695" s="1"/>
      <c r="B695" s="1" t="s">
        <v>8916</v>
      </c>
      <c r="C695" s="1" t="s">
        <v>8917</v>
      </c>
      <c r="D695" s="22" t="str">
        <f>HYPERLINK("https://rhld.insurance.arkansas.gov/NPILookup?Npi=1275708885","1275708885")</f>
        <v>1275708885</v>
      </c>
      <c r="E695" s="1" t="s">
        <v>1349</v>
      </c>
      <c r="F695" s="2"/>
      <c r="G695" s="2"/>
      <c r="H695" s="2"/>
    </row>
    <row r="696" spans="1:8" x14ac:dyDescent="0.25">
      <c r="A696" s="1"/>
      <c r="B696" s="1" t="s">
        <v>8916</v>
      </c>
      <c r="C696" s="1" t="s">
        <v>8917</v>
      </c>
      <c r="D696" s="22" t="str">
        <f>HYPERLINK("https://rhld.insurance.arkansas.gov/NPILookup?Npi=1285005140","1285005140")</f>
        <v>1285005140</v>
      </c>
      <c r="E696" s="1" t="s">
        <v>3572</v>
      </c>
      <c r="F696" s="2"/>
      <c r="G696" s="2"/>
      <c r="H696" s="2"/>
    </row>
    <row r="697" spans="1:8" x14ac:dyDescent="0.25">
      <c r="A697" s="1"/>
      <c r="B697" s="1" t="s">
        <v>8916</v>
      </c>
      <c r="C697" s="1" t="s">
        <v>8917</v>
      </c>
      <c r="D697" s="22" t="str">
        <f>HYPERLINK("https://rhld.insurance.arkansas.gov/NPILookup?Npi=1285042028","1285042028")</f>
        <v>1285042028</v>
      </c>
      <c r="E697" s="1" t="s">
        <v>15336</v>
      </c>
      <c r="F697" s="2"/>
      <c r="G697" s="2"/>
      <c r="H697" s="2"/>
    </row>
    <row r="698" spans="1:8" x14ac:dyDescent="0.25">
      <c r="A698" s="1"/>
      <c r="B698" s="1" t="s">
        <v>8916</v>
      </c>
      <c r="C698" s="1" t="s">
        <v>8917</v>
      </c>
      <c r="D698" s="22" t="str">
        <f>HYPERLINK("https://rhld.insurance.arkansas.gov/NPILookup?Npi=1285739581","1285739581")</f>
        <v>1285739581</v>
      </c>
      <c r="E698" s="1" t="s">
        <v>9634</v>
      </c>
      <c r="F698" s="2"/>
      <c r="G698" s="2"/>
      <c r="H698" s="2"/>
    </row>
    <row r="699" spans="1:8" x14ac:dyDescent="0.25">
      <c r="A699" s="1"/>
      <c r="B699" s="1" t="s">
        <v>8916</v>
      </c>
      <c r="C699" s="1" t="s">
        <v>8917</v>
      </c>
      <c r="D699" s="22" t="str">
        <f>HYPERLINK("https://rhld.insurance.arkansas.gov/NPILookup?Npi=1295767689","1295767689")</f>
        <v>1295767689</v>
      </c>
      <c r="E699" s="1" t="s">
        <v>637</v>
      </c>
      <c r="F699" s="2"/>
      <c r="G699" s="2"/>
      <c r="H699" s="2"/>
    </row>
    <row r="700" spans="1:8" x14ac:dyDescent="0.25">
      <c r="A700" s="1"/>
      <c r="B700" s="1" t="s">
        <v>8916</v>
      </c>
      <c r="C700" s="1" t="s">
        <v>8917</v>
      </c>
      <c r="D700" s="22" t="str">
        <f>HYPERLINK("https://rhld.insurance.arkansas.gov/NPILookup?Npi=1295817260","1295817260")</f>
        <v>1295817260</v>
      </c>
      <c r="E700" s="1" t="s">
        <v>654</v>
      </c>
      <c r="F700" s="2"/>
      <c r="G700" s="2"/>
      <c r="H700" s="2"/>
    </row>
    <row r="701" spans="1:8" x14ac:dyDescent="0.25">
      <c r="A701" s="1"/>
      <c r="B701" s="1" t="s">
        <v>8916</v>
      </c>
      <c r="C701" s="1" t="s">
        <v>8917</v>
      </c>
      <c r="D701" s="22" t="str">
        <f>HYPERLINK("https://rhld.insurance.arkansas.gov/NPILookup?Npi=1295833580","1295833580")</f>
        <v>1295833580</v>
      </c>
      <c r="E701" s="1" t="s">
        <v>8931</v>
      </c>
      <c r="F701" s="2"/>
      <c r="G701" s="2"/>
      <c r="H701" s="2"/>
    </row>
    <row r="702" spans="1:8" x14ac:dyDescent="0.25">
      <c r="A702" s="1"/>
      <c r="B702" s="1" t="s">
        <v>8916</v>
      </c>
      <c r="C702" s="1" t="s">
        <v>8917</v>
      </c>
      <c r="D702" s="22" t="str">
        <f>HYPERLINK("https://rhld.insurance.arkansas.gov/NPILookup?Npi=1295862647","1295862647")</f>
        <v>1295862647</v>
      </c>
      <c r="E702" s="1" t="s">
        <v>1278</v>
      </c>
      <c r="F702" s="2"/>
      <c r="G702" s="2"/>
      <c r="H702" s="2"/>
    </row>
    <row r="703" spans="1:8" x14ac:dyDescent="0.25">
      <c r="A703" s="1"/>
      <c r="B703" s="1" t="s">
        <v>8916</v>
      </c>
      <c r="C703" s="1" t="s">
        <v>8917</v>
      </c>
      <c r="D703" s="22" t="str">
        <f>HYPERLINK("https://rhld.insurance.arkansas.gov/NPILookup?Npi=1306826029","1306826029")</f>
        <v>1306826029</v>
      </c>
      <c r="E703" s="1" t="s">
        <v>1349</v>
      </c>
      <c r="F703" s="2"/>
      <c r="G703" s="2"/>
      <c r="H703" s="2"/>
    </row>
    <row r="704" spans="1:8" x14ac:dyDescent="0.25">
      <c r="A704" s="1"/>
      <c r="B704" s="1" t="s">
        <v>8916</v>
      </c>
      <c r="C704" s="1" t="s">
        <v>8917</v>
      </c>
      <c r="D704" s="22" t="str">
        <f>HYPERLINK("https://rhld.insurance.arkansas.gov/NPILookup?Npi=1306921887","1306921887")</f>
        <v>1306921887</v>
      </c>
      <c r="E704" s="1" t="s">
        <v>2292</v>
      </c>
      <c r="F704" s="2"/>
      <c r="G704" s="2"/>
      <c r="H704" s="2"/>
    </row>
    <row r="705" spans="1:8" x14ac:dyDescent="0.25">
      <c r="A705" s="1"/>
      <c r="B705" s="1" t="s">
        <v>8916</v>
      </c>
      <c r="C705" s="1" t="s">
        <v>8917</v>
      </c>
      <c r="D705" s="22" t="str">
        <f>HYPERLINK("https://rhld.insurance.arkansas.gov/NPILookup?Npi=1306928379","1306928379")</f>
        <v>1306928379</v>
      </c>
      <c r="E705" s="1" t="s">
        <v>15279</v>
      </c>
      <c r="F705" s="2"/>
      <c r="G705" s="2"/>
      <c r="H705" s="2"/>
    </row>
    <row r="706" spans="1:8" x14ac:dyDescent="0.25">
      <c r="A706" s="1"/>
      <c r="B706" s="1" t="s">
        <v>8916</v>
      </c>
      <c r="C706" s="1" t="s">
        <v>8917</v>
      </c>
      <c r="D706" s="22" t="str">
        <f>HYPERLINK("https://rhld.insurance.arkansas.gov/NPILookup?Npi=1316180748","1316180748")</f>
        <v>1316180748</v>
      </c>
      <c r="E706" s="1" t="s">
        <v>661</v>
      </c>
      <c r="F706" s="2"/>
      <c r="G706" s="2"/>
      <c r="H706" s="2"/>
    </row>
    <row r="707" spans="1:8" x14ac:dyDescent="0.25">
      <c r="A707" s="1"/>
      <c r="B707" s="1" t="s">
        <v>8916</v>
      </c>
      <c r="C707" s="1" t="s">
        <v>8917</v>
      </c>
      <c r="D707" s="22" t="str">
        <f>HYPERLINK("https://rhld.insurance.arkansas.gov/NPILookup?Npi=1316463227","1316463227")</f>
        <v>1316463227</v>
      </c>
      <c r="E707" s="1" t="s">
        <v>9648</v>
      </c>
      <c r="F707" s="2"/>
      <c r="G707" s="2"/>
      <c r="H707" s="2"/>
    </row>
    <row r="708" spans="1:8" x14ac:dyDescent="0.25">
      <c r="A708" s="1"/>
      <c r="B708" s="1" t="s">
        <v>8916</v>
      </c>
      <c r="C708" s="1" t="s">
        <v>8917</v>
      </c>
      <c r="D708" s="22" t="str">
        <f>HYPERLINK("https://rhld.insurance.arkansas.gov/NPILookup?Npi=1316901937","1316901937")</f>
        <v>1316901937</v>
      </c>
      <c r="E708" s="1" t="s">
        <v>15152</v>
      </c>
      <c r="F708" s="2"/>
      <c r="G708" s="2"/>
      <c r="H708" s="2"/>
    </row>
    <row r="709" spans="1:8" x14ac:dyDescent="0.25">
      <c r="A709" s="1"/>
      <c r="B709" s="1" t="s">
        <v>8916</v>
      </c>
      <c r="C709" s="1" t="s">
        <v>8917</v>
      </c>
      <c r="D709" s="22" t="str">
        <f>HYPERLINK("https://rhld.insurance.arkansas.gov/NPILookup?Npi=1316902414","1316902414")</f>
        <v>1316902414</v>
      </c>
      <c r="E709" s="1" t="s">
        <v>15153</v>
      </c>
      <c r="F709" s="2"/>
      <c r="G709" s="2"/>
      <c r="H709" s="2"/>
    </row>
    <row r="710" spans="1:8" x14ac:dyDescent="0.25">
      <c r="A710" s="1"/>
      <c r="B710" s="1" t="s">
        <v>8916</v>
      </c>
      <c r="C710" s="1" t="s">
        <v>8917</v>
      </c>
      <c r="D710" s="22" t="str">
        <f>HYPERLINK("https://rhld.insurance.arkansas.gov/NPILookup?Npi=1326016684","1326016684")</f>
        <v>1326016684</v>
      </c>
      <c r="E710" s="1" t="s">
        <v>9625</v>
      </c>
      <c r="F710" s="2"/>
      <c r="G710" s="2"/>
      <c r="H710" s="2"/>
    </row>
    <row r="711" spans="1:8" x14ac:dyDescent="0.25">
      <c r="A711" s="1"/>
      <c r="B711" s="1" t="s">
        <v>8916</v>
      </c>
      <c r="C711" s="1" t="s">
        <v>8917</v>
      </c>
      <c r="D711" s="22" t="str">
        <f>HYPERLINK("https://rhld.insurance.arkansas.gov/NPILookup?Npi=1326546672","1326546672")</f>
        <v>1326546672</v>
      </c>
      <c r="E711" s="1" t="s">
        <v>15337</v>
      </c>
      <c r="F711" s="2"/>
      <c r="G711" s="2"/>
      <c r="H711" s="2"/>
    </row>
    <row r="712" spans="1:8" x14ac:dyDescent="0.25">
      <c r="A712" s="1"/>
      <c r="B712" s="1" t="s">
        <v>8916</v>
      </c>
      <c r="C712" s="1" t="s">
        <v>8917</v>
      </c>
      <c r="D712" s="22" t="str">
        <f>HYPERLINK("https://rhld.insurance.arkansas.gov/NPILookup?Npi=1336730423","1336730423")</f>
        <v>1336730423</v>
      </c>
      <c r="E712" s="1" t="s">
        <v>15338</v>
      </c>
      <c r="F712" s="2"/>
      <c r="G712" s="2"/>
      <c r="H712" s="2"/>
    </row>
    <row r="713" spans="1:8" x14ac:dyDescent="0.25">
      <c r="A713" s="1"/>
      <c r="B713" s="1" t="s">
        <v>8916</v>
      </c>
      <c r="C713" s="1" t="s">
        <v>8917</v>
      </c>
      <c r="D713" s="22" t="str">
        <f>HYPERLINK("https://rhld.insurance.arkansas.gov/NPILookup?Npi=1346211323","1346211323")</f>
        <v>1346211323</v>
      </c>
      <c r="E713" s="1" t="s">
        <v>15339</v>
      </c>
      <c r="F713" s="2"/>
      <c r="G713" s="2"/>
      <c r="H713" s="2"/>
    </row>
    <row r="714" spans="1:8" x14ac:dyDescent="0.25">
      <c r="A714" s="1"/>
      <c r="B714" s="1" t="s">
        <v>8916</v>
      </c>
      <c r="C714" s="1" t="s">
        <v>8917</v>
      </c>
      <c r="D714" s="22" t="str">
        <f>HYPERLINK("https://rhld.insurance.arkansas.gov/NPILookup?Npi=1346230968","1346230968")</f>
        <v>1346230968</v>
      </c>
      <c r="E714" s="1" t="s">
        <v>15280</v>
      </c>
      <c r="F714" s="2"/>
      <c r="G714" s="2"/>
      <c r="H714" s="2"/>
    </row>
    <row r="715" spans="1:8" x14ac:dyDescent="0.25">
      <c r="A715" s="1"/>
      <c r="B715" s="1" t="s">
        <v>8916</v>
      </c>
      <c r="C715" s="1" t="s">
        <v>8917</v>
      </c>
      <c r="D715" s="22" t="str">
        <f>HYPERLINK("https://rhld.insurance.arkansas.gov/NPILookup?Npi=1346623352","1346623352")</f>
        <v>1346623352</v>
      </c>
      <c r="E715" s="1" t="s">
        <v>15281</v>
      </c>
      <c r="F715" s="2"/>
      <c r="G715" s="2"/>
      <c r="H715" s="2"/>
    </row>
    <row r="716" spans="1:8" x14ac:dyDescent="0.25">
      <c r="A716" s="1"/>
      <c r="B716" s="1" t="s">
        <v>8916</v>
      </c>
      <c r="C716" s="1" t="s">
        <v>8917</v>
      </c>
      <c r="D716" s="22" t="str">
        <f>HYPERLINK("https://rhld.insurance.arkansas.gov/NPILookup?Npi=1346630589","1346630589")</f>
        <v>1346630589</v>
      </c>
      <c r="E716" s="1" t="s">
        <v>659</v>
      </c>
      <c r="F716" s="2"/>
      <c r="G716" s="2"/>
      <c r="H716" s="2"/>
    </row>
    <row r="717" spans="1:8" x14ac:dyDescent="0.25">
      <c r="A717" s="1"/>
      <c r="B717" s="1" t="s">
        <v>8916</v>
      </c>
      <c r="C717" s="1" t="s">
        <v>8917</v>
      </c>
      <c r="D717" s="22" t="str">
        <f>HYPERLINK("https://rhld.insurance.arkansas.gov/NPILookup?Npi=1346932852","1346932852")</f>
        <v>1346932852</v>
      </c>
      <c r="E717" s="1" t="s">
        <v>8932</v>
      </c>
      <c r="F717" s="2"/>
      <c r="G717" s="2"/>
      <c r="H717" s="2"/>
    </row>
    <row r="718" spans="1:8" x14ac:dyDescent="0.25">
      <c r="A718" s="1"/>
      <c r="B718" s="1" t="s">
        <v>8916</v>
      </c>
      <c r="C718" s="1" t="s">
        <v>8917</v>
      </c>
      <c r="D718" s="22" t="str">
        <f>HYPERLINK("https://rhld.insurance.arkansas.gov/NPILookup?Npi=1356312292","1356312292")</f>
        <v>1356312292</v>
      </c>
      <c r="E718" s="1" t="s">
        <v>15282</v>
      </c>
      <c r="F718" s="2"/>
      <c r="G718" s="2"/>
      <c r="H718" s="2"/>
    </row>
    <row r="719" spans="1:8" x14ac:dyDescent="0.25">
      <c r="A719" s="1"/>
      <c r="B719" s="1" t="s">
        <v>8916</v>
      </c>
      <c r="C719" s="1" t="s">
        <v>8917</v>
      </c>
      <c r="D719" s="22" t="str">
        <f>HYPERLINK("https://rhld.insurance.arkansas.gov/NPILookup?Npi=1356773493","1356773493")</f>
        <v>1356773493</v>
      </c>
      <c r="E719" s="1" t="s">
        <v>9677</v>
      </c>
      <c r="F719" s="2"/>
      <c r="G719" s="2"/>
      <c r="H719" s="2"/>
    </row>
    <row r="720" spans="1:8" x14ac:dyDescent="0.25">
      <c r="A720" s="1"/>
      <c r="B720" s="1" t="s">
        <v>8916</v>
      </c>
      <c r="C720" s="1" t="s">
        <v>8917</v>
      </c>
      <c r="D720" s="22" t="str">
        <f>HYPERLINK("https://rhld.insurance.arkansas.gov/NPILookup?Npi=1366139859","1366139859")</f>
        <v>1366139859</v>
      </c>
      <c r="E720" s="1" t="s">
        <v>8933</v>
      </c>
      <c r="F720" s="2"/>
      <c r="G720" s="2"/>
      <c r="H720" s="2"/>
    </row>
    <row r="721" spans="1:8" x14ac:dyDescent="0.25">
      <c r="A721" s="1"/>
      <c r="B721" s="1" t="s">
        <v>8916</v>
      </c>
      <c r="C721" s="1" t="s">
        <v>8917</v>
      </c>
      <c r="D721" s="22" t="str">
        <f>HYPERLINK("https://rhld.insurance.arkansas.gov/NPILookup?Npi=1366438186","1366438186")</f>
        <v>1366438186</v>
      </c>
      <c r="E721" s="1" t="s">
        <v>15340</v>
      </c>
      <c r="F721" s="2"/>
      <c r="G721" s="2"/>
      <c r="H721" s="2"/>
    </row>
    <row r="722" spans="1:8" x14ac:dyDescent="0.25">
      <c r="A722" s="1"/>
      <c r="B722" s="1" t="s">
        <v>8916</v>
      </c>
      <c r="C722" s="1" t="s">
        <v>8917</v>
      </c>
      <c r="D722" s="22" t="str">
        <f>HYPERLINK("https://rhld.insurance.arkansas.gov/NPILookup?Npi=1366489247","1366489247")</f>
        <v>1366489247</v>
      </c>
      <c r="E722" s="1" t="s">
        <v>15341</v>
      </c>
      <c r="F722" s="2"/>
      <c r="G722" s="2"/>
      <c r="H722" s="2"/>
    </row>
    <row r="723" spans="1:8" x14ac:dyDescent="0.25">
      <c r="A723" s="1"/>
      <c r="B723" s="1" t="s">
        <v>8916</v>
      </c>
      <c r="C723" s="1" t="s">
        <v>8917</v>
      </c>
      <c r="D723" s="22" t="str">
        <f>HYPERLINK("https://rhld.insurance.arkansas.gov/NPILookup?Npi=1376503961","1376503961")</f>
        <v>1376503961</v>
      </c>
      <c r="E723" s="1" t="s">
        <v>15342</v>
      </c>
      <c r="F723" s="2"/>
      <c r="G723" s="2"/>
      <c r="H723" s="2"/>
    </row>
    <row r="724" spans="1:8" x14ac:dyDescent="0.25">
      <c r="A724" s="1"/>
      <c r="B724" s="1" t="s">
        <v>8916</v>
      </c>
      <c r="C724" s="1" t="s">
        <v>8917</v>
      </c>
      <c r="D724" s="22" t="str">
        <f>HYPERLINK("https://rhld.insurance.arkansas.gov/NPILookup?Npi=1386602050","1386602050")</f>
        <v>1386602050</v>
      </c>
      <c r="E724" s="1" t="s">
        <v>9638</v>
      </c>
      <c r="F724" s="2"/>
      <c r="G724" s="2"/>
      <c r="H724" s="2"/>
    </row>
    <row r="725" spans="1:8" x14ac:dyDescent="0.25">
      <c r="A725" s="1"/>
      <c r="B725" s="1" t="s">
        <v>8916</v>
      </c>
      <c r="C725" s="1" t="s">
        <v>8917</v>
      </c>
      <c r="D725" s="22" t="str">
        <f>HYPERLINK("https://rhld.insurance.arkansas.gov/NPILookup?Npi=1386699353","1386699353")</f>
        <v>1386699353</v>
      </c>
      <c r="E725" s="1" t="s">
        <v>9628</v>
      </c>
      <c r="F725" s="2"/>
      <c r="G725" s="2"/>
      <c r="H725" s="2"/>
    </row>
    <row r="726" spans="1:8" x14ac:dyDescent="0.25">
      <c r="A726" s="1"/>
      <c r="B726" s="1" t="s">
        <v>8916</v>
      </c>
      <c r="C726" s="1" t="s">
        <v>8917</v>
      </c>
      <c r="D726" s="22" t="str">
        <f>HYPERLINK("https://rhld.insurance.arkansas.gov/NPILookup?Npi=1386802023","1386802023")</f>
        <v>1386802023</v>
      </c>
      <c r="E726" s="1" t="s">
        <v>15304</v>
      </c>
      <c r="F726" s="2"/>
      <c r="G726" s="2"/>
      <c r="H726" s="2"/>
    </row>
    <row r="727" spans="1:8" x14ac:dyDescent="0.25">
      <c r="A727" s="1"/>
      <c r="B727" s="1" t="s">
        <v>8916</v>
      </c>
      <c r="C727" s="1" t="s">
        <v>8917</v>
      </c>
      <c r="D727" s="22" t="str">
        <f>HYPERLINK("https://rhld.insurance.arkansas.gov/NPILookup?Npi=1396767158","1396767158")</f>
        <v>1396767158</v>
      </c>
      <c r="E727" s="1" t="s">
        <v>15305</v>
      </c>
      <c r="F727" s="2"/>
      <c r="G727" s="2"/>
      <c r="H727" s="2"/>
    </row>
    <row r="728" spans="1:8" x14ac:dyDescent="0.25">
      <c r="A728" s="1"/>
      <c r="B728" s="1" t="s">
        <v>8916</v>
      </c>
      <c r="C728" s="1" t="s">
        <v>8917</v>
      </c>
      <c r="D728" s="22" t="str">
        <f>HYPERLINK("https://rhld.insurance.arkansas.gov/NPILookup?Npi=1407152689","1407152689")</f>
        <v>1407152689</v>
      </c>
      <c r="E728" s="1" t="s">
        <v>15306</v>
      </c>
      <c r="F728" s="2"/>
      <c r="G728" s="2"/>
      <c r="H728" s="2"/>
    </row>
    <row r="729" spans="1:8" x14ac:dyDescent="0.25">
      <c r="A729" s="1"/>
      <c r="B729" s="1" t="s">
        <v>8916</v>
      </c>
      <c r="C729" s="1" t="s">
        <v>8917</v>
      </c>
      <c r="D729" s="22" t="str">
        <f>HYPERLINK("https://rhld.insurance.arkansas.gov/NPILookup?Npi=1407819840","1407819840")</f>
        <v>1407819840</v>
      </c>
      <c r="E729" s="1" t="s">
        <v>15343</v>
      </c>
      <c r="F729" s="2"/>
      <c r="G729" s="2"/>
      <c r="H729" s="2"/>
    </row>
    <row r="730" spans="1:8" x14ac:dyDescent="0.25">
      <c r="A730" s="1"/>
      <c r="B730" s="1" t="s">
        <v>8916</v>
      </c>
      <c r="C730" s="1" t="s">
        <v>8917</v>
      </c>
      <c r="D730" s="22" t="str">
        <f>HYPERLINK("https://rhld.insurance.arkansas.gov/NPILookup?Npi=1407880339","1407880339")</f>
        <v>1407880339</v>
      </c>
      <c r="E730" s="1" t="s">
        <v>15344</v>
      </c>
      <c r="F730" s="2"/>
      <c r="G730" s="2"/>
      <c r="H730" s="2"/>
    </row>
    <row r="731" spans="1:8" x14ac:dyDescent="0.25">
      <c r="A731" s="1"/>
      <c r="B731" s="1" t="s">
        <v>8916</v>
      </c>
      <c r="C731" s="1" t="s">
        <v>8917</v>
      </c>
      <c r="D731" s="22" t="str">
        <f>HYPERLINK("https://rhld.insurance.arkansas.gov/NPILookup?Npi=1417024662","1417024662")</f>
        <v>1417024662</v>
      </c>
      <c r="E731" s="1" t="s">
        <v>15169</v>
      </c>
      <c r="F731" s="2"/>
      <c r="G731" s="2"/>
      <c r="H731" s="2"/>
    </row>
    <row r="732" spans="1:8" x14ac:dyDescent="0.25">
      <c r="A732" s="1"/>
      <c r="B732" s="1" t="s">
        <v>8916</v>
      </c>
      <c r="C732" s="1" t="s">
        <v>8917</v>
      </c>
      <c r="D732" s="22" t="str">
        <f>HYPERLINK("https://rhld.insurance.arkansas.gov/NPILookup?Npi=1417910027","1417910027")</f>
        <v>1417910027</v>
      </c>
      <c r="E732" s="1" t="s">
        <v>8934</v>
      </c>
      <c r="F732" s="2"/>
      <c r="G732" s="2"/>
      <c r="H732" s="2"/>
    </row>
    <row r="733" spans="1:8" x14ac:dyDescent="0.25">
      <c r="A733" s="1"/>
      <c r="B733" s="1" t="s">
        <v>8916</v>
      </c>
      <c r="C733" s="1" t="s">
        <v>8917</v>
      </c>
      <c r="D733" s="22" t="str">
        <f>HYPERLINK("https://rhld.insurance.arkansas.gov/NPILookup?Npi=1417913419","1417913419")</f>
        <v>1417913419</v>
      </c>
      <c r="E733" s="1" t="s">
        <v>651</v>
      </c>
      <c r="F733" s="2"/>
      <c r="G733" s="2"/>
      <c r="H733" s="2"/>
    </row>
    <row r="734" spans="1:8" x14ac:dyDescent="0.25">
      <c r="A734" s="1"/>
      <c r="B734" s="1" t="s">
        <v>8916</v>
      </c>
      <c r="C734" s="1" t="s">
        <v>8917</v>
      </c>
      <c r="D734" s="22" t="str">
        <f>HYPERLINK("https://rhld.insurance.arkansas.gov/NPILookup?Npi=1427049956","1427049956")</f>
        <v>1427049956</v>
      </c>
      <c r="E734" s="1" t="s">
        <v>8935</v>
      </c>
      <c r="F734" s="2"/>
      <c r="G734" s="2"/>
      <c r="H734" s="2"/>
    </row>
    <row r="735" spans="1:8" x14ac:dyDescent="0.25">
      <c r="A735" s="1"/>
      <c r="B735" s="1" t="s">
        <v>8916</v>
      </c>
      <c r="C735" s="1" t="s">
        <v>8917</v>
      </c>
      <c r="D735" s="22" t="str">
        <f>HYPERLINK("https://rhld.insurance.arkansas.gov/NPILookup?Npi=1427317908","1427317908")</f>
        <v>1427317908</v>
      </c>
      <c r="E735" s="1" t="s">
        <v>15307</v>
      </c>
      <c r="F735" s="2"/>
      <c r="G735" s="2"/>
      <c r="H735" s="2"/>
    </row>
    <row r="736" spans="1:8" x14ac:dyDescent="0.25">
      <c r="A736" s="1"/>
      <c r="B736" s="1" t="s">
        <v>8916</v>
      </c>
      <c r="C736" s="1" t="s">
        <v>8917</v>
      </c>
      <c r="D736" s="22" t="str">
        <f>HYPERLINK("https://rhld.insurance.arkansas.gov/NPILookup?Npi=1437188216","1437188216")</f>
        <v>1437188216</v>
      </c>
      <c r="E736" s="1" t="s">
        <v>1455</v>
      </c>
      <c r="F736" s="2"/>
      <c r="G736" s="2"/>
      <c r="H736" s="2"/>
    </row>
    <row r="737" spans="1:8" x14ac:dyDescent="0.25">
      <c r="A737" s="1"/>
      <c r="B737" s="1" t="s">
        <v>8916</v>
      </c>
      <c r="C737" s="1" t="s">
        <v>8917</v>
      </c>
      <c r="D737" s="22" t="str">
        <f>HYPERLINK("https://rhld.insurance.arkansas.gov/NPILookup?Npi=1437222312","1437222312")</f>
        <v>1437222312</v>
      </c>
      <c r="E737" s="1" t="s">
        <v>8904</v>
      </c>
      <c r="F737" s="2"/>
      <c r="G737" s="2"/>
      <c r="H737" s="2"/>
    </row>
    <row r="738" spans="1:8" x14ac:dyDescent="0.25">
      <c r="A738" s="1"/>
      <c r="B738" s="1" t="s">
        <v>8916</v>
      </c>
      <c r="C738" s="1" t="s">
        <v>8917</v>
      </c>
      <c r="D738" s="22" t="str">
        <f>HYPERLINK("https://rhld.insurance.arkansas.gov/NPILookup?Npi=1437634524","1437634524")</f>
        <v>1437634524</v>
      </c>
      <c r="E738" s="1" t="s">
        <v>15175</v>
      </c>
      <c r="F738" s="2"/>
      <c r="G738" s="2"/>
      <c r="H738" s="2"/>
    </row>
    <row r="739" spans="1:8" x14ac:dyDescent="0.25">
      <c r="A739" s="1"/>
      <c r="B739" s="1" t="s">
        <v>8916</v>
      </c>
      <c r="C739" s="1" t="s">
        <v>8917</v>
      </c>
      <c r="D739" s="22" t="str">
        <f>HYPERLINK("https://rhld.insurance.arkansas.gov/NPILookup?Npi=1447276605","1447276605")</f>
        <v>1447276605</v>
      </c>
      <c r="E739" s="1" t="s">
        <v>15345</v>
      </c>
      <c r="F739" s="2"/>
      <c r="G739" s="2"/>
      <c r="H739" s="2"/>
    </row>
    <row r="740" spans="1:8" x14ac:dyDescent="0.25">
      <c r="A740" s="1"/>
      <c r="B740" s="1" t="s">
        <v>8916</v>
      </c>
      <c r="C740" s="1" t="s">
        <v>8917</v>
      </c>
      <c r="D740" s="22" t="str">
        <f>HYPERLINK("https://rhld.insurance.arkansas.gov/NPILookup?Npi=1447439708","1447439708")</f>
        <v>1447439708</v>
      </c>
      <c r="E740" s="1" t="s">
        <v>15283</v>
      </c>
      <c r="F740" s="2"/>
      <c r="G740" s="2"/>
      <c r="H740" s="2"/>
    </row>
    <row r="741" spans="1:8" x14ac:dyDescent="0.25">
      <c r="A741" s="1"/>
      <c r="B741" s="1" t="s">
        <v>8916</v>
      </c>
      <c r="C741" s="1" t="s">
        <v>8917</v>
      </c>
      <c r="D741" s="22" t="str">
        <f>HYPERLINK("https://rhld.insurance.arkansas.gov/NPILookup?Npi=1457306326","1457306326")</f>
        <v>1457306326</v>
      </c>
      <c r="E741" s="1" t="s">
        <v>15295</v>
      </c>
      <c r="F741" s="2"/>
      <c r="G741" s="2"/>
      <c r="H741" s="2"/>
    </row>
    <row r="742" spans="1:8" x14ac:dyDescent="0.25">
      <c r="A742" s="1"/>
      <c r="B742" s="1" t="s">
        <v>8916</v>
      </c>
      <c r="C742" s="1" t="s">
        <v>8917</v>
      </c>
      <c r="D742" s="22" t="str">
        <f>HYPERLINK("https://rhld.insurance.arkansas.gov/NPILookup?Npi=1467418970","1467418970")</f>
        <v>1467418970</v>
      </c>
      <c r="E742" s="1" t="s">
        <v>15346</v>
      </c>
      <c r="F742" s="2"/>
      <c r="G742" s="2"/>
      <c r="H742" s="2"/>
    </row>
    <row r="743" spans="1:8" x14ac:dyDescent="0.25">
      <c r="A743" s="1"/>
      <c r="B743" s="1" t="s">
        <v>8916</v>
      </c>
      <c r="C743" s="1" t="s">
        <v>8917</v>
      </c>
      <c r="D743" s="22" t="str">
        <f>HYPERLINK("https://rhld.insurance.arkansas.gov/NPILookup?Npi=1477039782","1477039782")</f>
        <v>1477039782</v>
      </c>
      <c r="E743" s="1" t="s">
        <v>2450</v>
      </c>
      <c r="F743" s="2"/>
      <c r="G743" s="2"/>
      <c r="H743" s="2"/>
    </row>
    <row r="744" spans="1:8" x14ac:dyDescent="0.25">
      <c r="A744" s="1"/>
      <c r="B744" s="1" t="s">
        <v>8916</v>
      </c>
      <c r="C744" s="1" t="s">
        <v>8917</v>
      </c>
      <c r="D744" s="22" t="str">
        <f>HYPERLINK("https://rhld.insurance.arkansas.gov/NPILookup?Npi=1477201937","1477201937")</f>
        <v>1477201937</v>
      </c>
      <c r="E744" s="1" t="s">
        <v>5337</v>
      </c>
      <c r="F744" s="2"/>
      <c r="G744" s="2"/>
      <c r="H744" s="2"/>
    </row>
    <row r="745" spans="1:8" x14ac:dyDescent="0.25">
      <c r="A745" s="1"/>
      <c r="B745" s="1" t="s">
        <v>8916</v>
      </c>
      <c r="C745" s="1" t="s">
        <v>8917</v>
      </c>
      <c r="D745" s="22" t="str">
        <f>HYPERLINK("https://rhld.insurance.arkansas.gov/NPILookup?Npi=1477319598","1477319598")</f>
        <v>1477319598</v>
      </c>
      <c r="E745" s="1" t="s">
        <v>8936</v>
      </c>
      <c r="F745" s="2"/>
      <c r="G745" s="2"/>
      <c r="H745" s="2"/>
    </row>
    <row r="746" spans="1:8" x14ac:dyDescent="0.25">
      <c r="A746" s="1"/>
      <c r="B746" s="1" t="s">
        <v>8916</v>
      </c>
      <c r="C746" s="1" t="s">
        <v>8917</v>
      </c>
      <c r="D746" s="22" t="str">
        <f>HYPERLINK("https://rhld.insurance.arkansas.gov/NPILookup?Npi=1477506392","1477506392")</f>
        <v>1477506392</v>
      </c>
      <c r="E746" s="1" t="s">
        <v>8937</v>
      </c>
      <c r="F746" s="2"/>
      <c r="G746" s="2"/>
      <c r="H746" s="2"/>
    </row>
    <row r="747" spans="1:8" x14ac:dyDescent="0.25">
      <c r="A747" s="1"/>
      <c r="B747" s="1" t="s">
        <v>8916</v>
      </c>
      <c r="C747" s="1" t="s">
        <v>8917</v>
      </c>
      <c r="D747" s="22" t="str">
        <f>HYPERLINK("https://rhld.insurance.arkansas.gov/NPILookup?Npi=1477549756","1477549756")</f>
        <v>1477549756</v>
      </c>
      <c r="E747" s="1" t="s">
        <v>15185</v>
      </c>
      <c r="F747" s="2"/>
      <c r="G747" s="2"/>
      <c r="H747" s="2"/>
    </row>
    <row r="748" spans="1:8" x14ac:dyDescent="0.25">
      <c r="A748" s="1"/>
      <c r="B748" s="1" t="s">
        <v>8916</v>
      </c>
      <c r="C748" s="1" t="s">
        <v>8917</v>
      </c>
      <c r="D748" s="22" t="str">
        <f>HYPERLINK("https://rhld.insurance.arkansas.gov/NPILookup?Npi=1477561983","1477561983")</f>
        <v>1477561983</v>
      </c>
      <c r="E748" s="1" t="s">
        <v>683</v>
      </c>
      <c r="F748" s="2"/>
      <c r="G748" s="2"/>
      <c r="H748" s="2"/>
    </row>
    <row r="749" spans="1:8" x14ac:dyDescent="0.25">
      <c r="A749" s="1"/>
      <c r="B749" s="1" t="s">
        <v>8916</v>
      </c>
      <c r="C749" s="1" t="s">
        <v>8917</v>
      </c>
      <c r="D749" s="22" t="str">
        <f>HYPERLINK("https://rhld.insurance.arkansas.gov/NPILookup?Npi=1477571891","1477571891")</f>
        <v>1477571891</v>
      </c>
      <c r="E749" s="1" t="s">
        <v>15347</v>
      </c>
      <c r="F749" s="2"/>
      <c r="G749" s="2"/>
      <c r="H749" s="2"/>
    </row>
    <row r="750" spans="1:8" x14ac:dyDescent="0.25">
      <c r="A750" s="1"/>
      <c r="B750" s="1" t="s">
        <v>8916</v>
      </c>
      <c r="C750" s="1" t="s">
        <v>8917</v>
      </c>
      <c r="D750" s="22" t="str">
        <f>HYPERLINK("https://rhld.insurance.arkansas.gov/NPILookup?Npi=1477781425","1477781425")</f>
        <v>1477781425</v>
      </c>
      <c r="E750" s="1" t="s">
        <v>15348</v>
      </c>
      <c r="F750" s="2"/>
      <c r="G750" s="2"/>
      <c r="H750" s="2"/>
    </row>
    <row r="751" spans="1:8" x14ac:dyDescent="0.25">
      <c r="A751" s="1"/>
      <c r="B751" s="1" t="s">
        <v>8916</v>
      </c>
      <c r="C751" s="1" t="s">
        <v>8917</v>
      </c>
      <c r="D751" s="22" t="str">
        <f>HYPERLINK("https://rhld.insurance.arkansas.gov/NPILookup?Npi=1477822567","1477822567")</f>
        <v>1477822567</v>
      </c>
      <c r="E751" s="1" t="s">
        <v>8911</v>
      </c>
      <c r="F751" s="2"/>
      <c r="G751" s="2"/>
      <c r="H751" s="2"/>
    </row>
    <row r="752" spans="1:8" x14ac:dyDescent="0.25">
      <c r="A752" s="1"/>
      <c r="B752" s="1" t="s">
        <v>8916</v>
      </c>
      <c r="C752" s="1" t="s">
        <v>8917</v>
      </c>
      <c r="D752" s="22" t="str">
        <f>HYPERLINK("https://rhld.insurance.arkansas.gov/NPILookup?Npi=1487301016","1487301016")</f>
        <v>1487301016</v>
      </c>
      <c r="E752" s="1" t="s">
        <v>8938</v>
      </c>
      <c r="F752" s="2"/>
      <c r="G752" s="2"/>
      <c r="H752" s="2"/>
    </row>
    <row r="753" spans="1:8" x14ac:dyDescent="0.25">
      <c r="A753" s="1"/>
      <c r="B753" s="1" t="s">
        <v>8916</v>
      </c>
      <c r="C753" s="1" t="s">
        <v>8917</v>
      </c>
      <c r="D753" s="22" t="str">
        <f>HYPERLINK("https://rhld.insurance.arkansas.gov/NPILookup?Npi=1487684908","1487684908")</f>
        <v>1487684908</v>
      </c>
      <c r="E753" s="1" t="s">
        <v>9639</v>
      </c>
      <c r="F753" s="2"/>
      <c r="G753" s="2"/>
      <c r="H753" s="2"/>
    </row>
    <row r="754" spans="1:8" x14ac:dyDescent="0.25">
      <c r="A754" s="1"/>
      <c r="B754" s="1" t="s">
        <v>8916</v>
      </c>
      <c r="C754" s="1" t="s">
        <v>8917</v>
      </c>
      <c r="D754" s="22" t="str">
        <f>HYPERLINK("https://rhld.insurance.arkansas.gov/NPILookup?Npi=1497770424","1497770424")</f>
        <v>1497770424</v>
      </c>
      <c r="E754" s="1" t="s">
        <v>15189</v>
      </c>
      <c r="F754" s="2"/>
      <c r="G754" s="2"/>
      <c r="H754" s="2"/>
    </row>
    <row r="755" spans="1:8" x14ac:dyDescent="0.25">
      <c r="A755" s="1"/>
      <c r="B755" s="1" t="s">
        <v>8916</v>
      </c>
      <c r="C755" s="1" t="s">
        <v>8917</v>
      </c>
      <c r="D755" s="22" t="str">
        <f>HYPERLINK("https://rhld.insurance.arkansas.gov/NPILookup?Npi=1497790042","1497790042")</f>
        <v>1497790042</v>
      </c>
      <c r="E755" s="1" t="s">
        <v>9630</v>
      </c>
      <c r="F755" s="2"/>
      <c r="G755" s="2"/>
      <c r="H755" s="2"/>
    </row>
    <row r="756" spans="1:8" x14ac:dyDescent="0.25">
      <c r="A756" s="1"/>
      <c r="B756" s="1" t="s">
        <v>8916</v>
      </c>
      <c r="C756" s="1" t="s">
        <v>8917</v>
      </c>
      <c r="D756" s="22" t="str">
        <f>HYPERLINK("https://rhld.insurance.arkansas.gov/NPILookup?Npi=1508450339","1508450339")</f>
        <v>1508450339</v>
      </c>
      <c r="E756" s="1" t="s">
        <v>15309</v>
      </c>
      <c r="F756" s="2"/>
      <c r="G756" s="2"/>
      <c r="H756" s="2"/>
    </row>
    <row r="757" spans="1:8" x14ac:dyDescent="0.25">
      <c r="A757" s="1"/>
      <c r="B757" s="1" t="s">
        <v>8916</v>
      </c>
      <c r="C757" s="1" t="s">
        <v>8917</v>
      </c>
      <c r="D757" s="22" t="str">
        <f>HYPERLINK("https://rhld.insurance.arkansas.gov/NPILookup?Npi=1518591809","1518591809")</f>
        <v>1518591809</v>
      </c>
      <c r="E757" s="1" t="s">
        <v>15153</v>
      </c>
      <c r="F757" s="2"/>
      <c r="G757" s="2"/>
      <c r="H757" s="2"/>
    </row>
    <row r="758" spans="1:8" x14ac:dyDescent="0.25">
      <c r="A758" s="1"/>
      <c r="B758" s="1" t="s">
        <v>8916</v>
      </c>
      <c r="C758" s="1" t="s">
        <v>8917</v>
      </c>
      <c r="D758" s="22" t="str">
        <f>HYPERLINK("https://rhld.insurance.arkansas.gov/NPILookup?Npi=1528010287","1528010287")</f>
        <v>1528010287</v>
      </c>
      <c r="E758" s="1" t="s">
        <v>15284</v>
      </c>
      <c r="F758" s="2"/>
      <c r="G758" s="2"/>
      <c r="H758" s="2"/>
    </row>
    <row r="759" spans="1:8" x14ac:dyDescent="0.25">
      <c r="A759" s="1"/>
      <c r="B759" s="1" t="s">
        <v>8916</v>
      </c>
      <c r="C759" s="1" t="s">
        <v>8917</v>
      </c>
      <c r="D759" s="22" t="str">
        <f>HYPERLINK("https://rhld.insurance.arkansas.gov/NPILookup?Npi=1528026796","1528026796")</f>
        <v>1528026796</v>
      </c>
      <c r="E759" s="1" t="s">
        <v>15349</v>
      </c>
      <c r="F759" s="2"/>
      <c r="G759" s="2"/>
      <c r="H759" s="2"/>
    </row>
    <row r="760" spans="1:8" x14ac:dyDescent="0.25">
      <c r="A760" s="1"/>
      <c r="B760" s="1" t="s">
        <v>8916</v>
      </c>
      <c r="C760" s="1" t="s">
        <v>8917</v>
      </c>
      <c r="D760" s="22" t="str">
        <f>HYPERLINK("https://rhld.insurance.arkansas.gov/NPILookup?Npi=1528360989","1528360989")</f>
        <v>1528360989</v>
      </c>
      <c r="E760" s="1" t="s">
        <v>15296</v>
      </c>
      <c r="F760" s="2"/>
      <c r="G760" s="2"/>
      <c r="H760" s="2"/>
    </row>
    <row r="761" spans="1:8" x14ac:dyDescent="0.25">
      <c r="A761" s="1"/>
      <c r="B761" s="1" t="s">
        <v>8916</v>
      </c>
      <c r="C761" s="1" t="s">
        <v>8917</v>
      </c>
      <c r="D761" s="22" t="str">
        <f>HYPERLINK("https://rhld.insurance.arkansas.gov/NPILookup?Npi=1548333438","1548333438")</f>
        <v>1548333438</v>
      </c>
      <c r="E761" s="1" t="s">
        <v>15285</v>
      </c>
      <c r="F761" s="2"/>
      <c r="G761" s="2"/>
      <c r="H761" s="2"/>
    </row>
    <row r="762" spans="1:8" x14ac:dyDescent="0.25">
      <c r="A762" s="1"/>
      <c r="B762" s="1" t="s">
        <v>8916</v>
      </c>
      <c r="C762" s="1" t="s">
        <v>8917</v>
      </c>
      <c r="D762" s="22" t="str">
        <f>HYPERLINK("https://rhld.insurance.arkansas.gov/NPILookup?Npi=1558647628","1558647628")</f>
        <v>1558647628</v>
      </c>
      <c r="E762" s="1" t="s">
        <v>5362</v>
      </c>
      <c r="F762" s="2"/>
      <c r="G762" s="2"/>
      <c r="H762" s="2"/>
    </row>
    <row r="763" spans="1:8" x14ac:dyDescent="0.25">
      <c r="A763" s="1"/>
      <c r="B763" s="1" t="s">
        <v>8916</v>
      </c>
      <c r="C763" s="1" t="s">
        <v>8917</v>
      </c>
      <c r="D763" s="22" t="str">
        <f>HYPERLINK("https://rhld.insurance.arkansas.gov/NPILookup?Npi=1558653212","1558653212")</f>
        <v>1558653212</v>
      </c>
      <c r="E763" s="1" t="s">
        <v>15286</v>
      </c>
      <c r="F763" s="2"/>
      <c r="G763" s="2"/>
      <c r="H763" s="2"/>
    </row>
    <row r="764" spans="1:8" x14ac:dyDescent="0.25">
      <c r="A764" s="1"/>
      <c r="B764" s="1" t="s">
        <v>8916</v>
      </c>
      <c r="C764" s="1" t="s">
        <v>8917</v>
      </c>
      <c r="D764" s="22" t="str">
        <f>HYPERLINK("https://rhld.insurance.arkansas.gov/NPILookup?Npi=1558893776","1558893776")</f>
        <v>1558893776</v>
      </c>
      <c r="E764" s="1" t="s">
        <v>15350</v>
      </c>
      <c r="F764" s="2"/>
      <c r="G764" s="2"/>
      <c r="H764" s="2"/>
    </row>
    <row r="765" spans="1:8" x14ac:dyDescent="0.25">
      <c r="A765" s="1"/>
      <c r="B765" s="1" t="s">
        <v>8916</v>
      </c>
      <c r="C765" s="1" t="s">
        <v>8917</v>
      </c>
      <c r="D765" s="22" t="str">
        <f>HYPERLINK("https://rhld.insurance.arkansas.gov/NPILookup?Npi=1568089993","1568089993")</f>
        <v>1568089993</v>
      </c>
      <c r="E765" s="1" t="s">
        <v>8939</v>
      </c>
      <c r="F765" s="2"/>
      <c r="G765" s="2"/>
      <c r="H765" s="2"/>
    </row>
    <row r="766" spans="1:8" x14ac:dyDescent="0.25">
      <c r="A766" s="1"/>
      <c r="B766" s="1" t="s">
        <v>8916</v>
      </c>
      <c r="C766" s="1" t="s">
        <v>8917</v>
      </c>
      <c r="D766" s="22" t="str">
        <f>HYPERLINK("https://rhld.insurance.arkansas.gov/NPILookup?Npi=1568406536","1568406536")</f>
        <v>1568406536</v>
      </c>
      <c r="E766" s="1" t="s">
        <v>10103</v>
      </c>
      <c r="F766" s="2"/>
      <c r="G766" s="2"/>
      <c r="H766" s="2"/>
    </row>
    <row r="767" spans="1:8" x14ac:dyDescent="0.25">
      <c r="A767" s="1"/>
      <c r="B767" s="1" t="s">
        <v>8916</v>
      </c>
      <c r="C767" s="1" t="s">
        <v>8917</v>
      </c>
      <c r="D767" s="22" t="str">
        <f>HYPERLINK("https://rhld.insurance.arkansas.gov/NPILookup?Npi=1568433480","1568433480")</f>
        <v>1568433480</v>
      </c>
      <c r="E767" s="1" t="s">
        <v>9631</v>
      </c>
      <c r="F767" s="2"/>
      <c r="G767" s="2"/>
      <c r="H767" s="2"/>
    </row>
    <row r="768" spans="1:8" x14ac:dyDescent="0.25">
      <c r="A768" s="1"/>
      <c r="B768" s="1" t="s">
        <v>8916</v>
      </c>
      <c r="C768" s="1" t="s">
        <v>8917</v>
      </c>
      <c r="D768" s="22" t="str">
        <f>HYPERLINK("https://rhld.insurance.arkansas.gov/NPILookup?Npi=1578504056","1578504056")</f>
        <v>1578504056</v>
      </c>
      <c r="E768" s="1" t="s">
        <v>7188</v>
      </c>
      <c r="F768" s="2"/>
      <c r="G768" s="2"/>
      <c r="H768" s="2"/>
    </row>
    <row r="769" spans="1:8" x14ac:dyDescent="0.25">
      <c r="A769" s="1"/>
      <c r="B769" s="1" t="s">
        <v>8916</v>
      </c>
      <c r="C769" s="1" t="s">
        <v>8917</v>
      </c>
      <c r="D769" s="22" t="str">
        <f>HYPERLINK("https://rhld.insurance.arkansas.gov/NPILookup?Npi=1578513016","1578513016")</f>
        <v>1578513016</v>
      </c>
      <c r="E769" s="1" t="s">
        <v>15351</v>
      </c>
      <c r="F769" s="2"/>
      <c r="G769" s="2"/>
      <c r="H769" s="2"/>
    </row>
    <row r="770" spans="1:8" x14ac:dyDescent="0.25">
      <c r="A770" s="1"/>
      <c r="B770" s="1" t="s">
        <v>8916</v>
      </c>
      <c r="C770" s="1" t="s">
        <v>8917</v>
      </c>
      <c r="D770" s="22" t="str">
        <f>HYPERLINK("https://rhld.insurance.arkansas.gov/NPILookup?Npi=1578527172","1578527172")</f>
        <v>1578527172</v>
      </c>
      <c r="E770" s="1" t="s">
        <v>8896</v>
      </c>
      <c r="F770" s="2"/>
      <c r="G770" s="2"/>
      <c r="H770" s="2"/>
    </row>
    <row r="771" spans="1:8" x14ac:dyDescent="0.25">
      <c r="A771" s="1"/>
      <c r="B771" s="1" t="s">
        <v>8916</v>
      </c>
      <c r="C771" s="1" t="s">
        <v>8917</v>
      </c>
      <c r="D771" s="22" t="str">
        <f>HYPERLINK("https://rhld.insurance.arkansas.gov/NPILookup?Npi=1578608477","1578608477")</f>
        <v>1578608477</v>
      </c>
      <c r="E771" s="1" t="s">
        <v>5372</v>
      </c>
      <c r="F771" s="2"/>
      <c r="G771" s="2"/>
      <c r="H771" s="2"/>
    </row>
    <row r="772" spans="1:8" x14ac:dyDescent="0.25">
      <c r="A772" s="1"/>
      <c r="B772" s="1" t="s">
        <v>8916</v>
      </c>
      <c r="C772" s="1" t="s">
        <v>8917</v>
      </c>
      <c r="D772" s="22" t="str">
        <f>HYPERLINK("https://rhld.insurance.arkansas.gov/NPILookup?Npi=1598373359","1598373359")</f>
        <v>1598373359</v>
      </c>
      <c r="E772" s="1" t="s">
        <v>5381</v>
      </c>
      <c r="F772" s="2"/>
      <c r="G772" s="2"/>
      <c r="H772" s="2"/>
    </row>
    <row r="773" spans="1:8" x14ac:dyDescent="0.25">
      <c r="A773" s="1"/>
      <c r="B773" s="1" t="s">
        <v>8916</v>
      </c>
      <c r="C773" s="1" t="s">
        <v>8917</v>
      </c>
      <c r="D773" s="22" t="str">
        <f>HYPERLINK("https://rhld.insurance.arkansas.gov/NPILookup?Npi=1598710147","1598710147")</f>
        <v>1598710147</v>
      </c>
      <c r="E773" s="1" t="s">
        <v>15311</v>
      </c>
      <c r="F773" s="2"/>
      <c r="G773" s="2"/>
      <c r="H773" s="2"/>
    </row>
    <row r="774" spans="1:8" x14ac:dyDescent="0.25">
      <c r="A774" s="1"/>
      <c r="B774" s="1" t="s">
        <v>8916</v>
      </c>
      <c r="C774" s="1" t="s">
        <v>8917</v>
      </c>
      <c r="D774" s="22" t="str">
        <f>HYPERLINK("https://rhld.insurance.arkansas.gov/NPILookup?Npi=1598773079","1598773079")</f>
        <v>1598773079</v>
      </c>
      <c r="E774" s="1" t="s">
        <v>15287</v>
      </c>
      <c r="F774" s="2"/>
      <c r="G774" s="2"/>
      <c r="H774" s="2"/>
    </row>
    <row r="775" spans="1:8" x14ac:dyDescent="0.25">
      <c r="A775" s="1"/>
      <c r="B775" s="1" t="s">
        <v>8916</v>
      </c>
      <c r="C775" s="1" t="s">
        <v>8917</v>
      </c>
      <c r="D775" s="22" t="str">
        <f>HYPERLINK("https://rhld.insurance.arkansas.gov/NPILookup?Npi=1598791261","1598791261")</f>
        <v>1598791261</v>
      </c>
      <c r="E775" s="1" t="s">
        <v>15352</v>
      </c>
      <c r="F775" s="2"/>
      <c r="G775" s="2"/>
      <c r="H775" s="2"/>
    </row>
    <row r="776" spans="1:8" x14ac:dyDescent="0.25">
      <c r="A776" s="1"/>
      <c r="B776" s="1" t="s">
        <v>8916</v>
      </c>
      <c r="C776" s="1" t="s">
        <v>8917</v>
      </c>
      <c r="D776" s="22" t="str">
        <f>HYPERLINK("https://rhld.insurance.arkansas.gov/NPILookup?Npi=1598843989","1598843989")</f>
        <v>1598843989</v>
      </c>
      <c r="E776" s="1" t="s">
        <v>15353</v>
      </c>
      <c r="F776" s="2"/>
      <c r="G776" s="2"/>
      <c r="H776" s="2"/>
    </row>
    <row r="777" spans="1:8" x14ac:dyDescent="0.25">
      <c r="A777" s="1"/>
      <c r="B777" s="1" t="s">
        <v>8916</v>
      </c>
      <c r="C777" s="1" t="s">
        <v>8917</v>
      </c>
      <c r="D777" s="22" t="str">
        <f>HYPERLINK("https://rhld.insurance.arkansas.gov/NPILookup?Npi=1609804822","1609804822")</f>
        <v>1609804822</v>
      </c>
      <c r="E777" s="1" t="s">
        <v>15297</v>
      </c>
      <c r="F777" s="2"/>
      <c r="G777" s="2"/>
      <c r="H777" s="2"/>
    </row>
    <row r="778" spans="1:8" x14ac:dyDescent="0.25">
      <c r="A778" s="1"/>
      <c r="B778" s="1" t="s">
        <v>8916</v>
      </c>
      <c r="C778" s="1" t="s">
        <v>8917</v>
      </c>
      <c r="D778" s="22" t="str">
        <f>HYPERLINK("https://rhld.insurance.arkansas.gov/NPILookup?Npi=1629011002","1629011002")</f>
        <v>1629011002</v>
      </c>
      <c r="E778" s="1" t="s">
        <v>15212</v>
      </c>
      <c r="F778" s="2"/>
      <c r="G778" s="2"/>
      <c r="H778" s="2"/>
    </row>
    <row r="779" spans="1:8" x14ac:dyDescent="0.25">
      <c r="A779" s="1"/>
      <c r="B779" s="1" t="s">
        <v>8916</v>
      </c>
      <c r="C779" s="1" t="s">
        <v>8917</v>
      </c>
      <c r="D779" s="22" t="str">
        <f>HYPERLINK("https://rhld.insurance.arkansas.gov/NPILookup?Npi=1629132949","1629132949")</f>
        <v>1629132949</v>
      </c>
      <c r="E779" s="1" t="s">
        <v>15288</v>
      </c>
      <c r="F779" s="2"/>
      <c r="G779" s="2"/>
      <c r="H779" s="2"/>
    </row>
    <row r="780" spans="1:8" x14ac:dyDescent="0.25">
      <c r="A780" s="1"/>
      <c r="B780" s="1" t="s">
        <v>8916</v>
      </c>
      <c r="C780" s="1" t="s">
        <v>8917</v>
      </c>
      <c r="D780" s="22" t="str">
        <f>HYPERLINK("https://rhld.insurance.arkansas.gov/NPILookup?Npi=1639172851","1639172851")</f>
        <v>1639172851</v>
      </c>
      <c r="E780" s="1" t="s">
        <v>15354</v>
      </c>
      <c r="F780" s="2"/>
      <c r="G780" s="2"/>
      <c r="H780" s="2"/>
    </row>
    <row r="781" spans="1:8" x14ac:dyDescent="0.25">
      <c r="A781" s="1"/>
      <c r="B781" s="1" t="s">
        <v>8916</v>
      </c>
      <c r="C781" s="1" t="s">
        <v>8917</v>
      </c>
      <c r="D781" s="22" t="str">
        <f>HYPERLINK("https://rhld.insurance.arkansas.gov/NPILookup?Npi=1639346687","1639346687")</f>
        <v>1639346687</v>
      </c>
      <c r="E781" s="1" t="s">
        <v>15289</v>
      </c>
      <c r="F781" s="2"/>
      <c r="G781" s="2"/>
      <c r="H781" s="2"/>
    </row>
    <row r="782" spans="1:8" x14ac:dyDescent="0.25">
      <c r="A782" s="1"/>
      <c r="B782" s="1" t="s">
        <v>8916</v>
      </c>
      <c r="C782" s="1" t="s">
        <v>8917</v>
      </c>
      <c r="D782" s="22" t="str">
        <f>HYPERLINK("https://rhld.insurance.arkansas.gov/NPILookup?Npi=1639369531","1639369531")</f>
        <v>1639369531</v>
      </c>
      <c r="E782" s="1" t="s">
        <v>15355</v>
      </c>
      <c r="F782" s="2"/>
      <c r="G782" s="2"/>
      <c r="H782" s="2"/>
    </row>
    <row r="783" spans="1:8" x14ac:dyDescent="0.25">
      <c r="A783" s="1"/>
      <c r="B783" s="1" t="s">
        <v>8916</v>
      </c>
      <c r="C783" s="1" t="s">
        <v>8917</v>
      </c>
      <c r="D783" s="22" t="str">
        <f>HYPERLINK("https://rhld.insurance.arkansas.gov/NPILookup?Npi=1669431847","1669431847")</f>
        <v>1669431847</v>
      </c>
      <c r="E783" s="1" t="s">
        <v>15356</v>
      </c>
      <c r="F783" s="2"/>
      <c r="G783" s="2"/>
      <c r="H783" s="2"/>
    </row>
    <row r="784" spans="1:8" x14ac:dyDescent="0.25">
      <c r="A784" s="1"/>
      <c r="B784" s="1" t="s">
        <v>8916</v>
      </c>
      <c r="C784" s="1" t="s">
        <v>8917</v>
      </c>
      <c r="D784" s="22" t="str">
        <f>HYPERLINK("https://rhld.insurance.arkansas.gov/NPILookup?Npi=1669458907","1669458907")</f>
        <v>1669458907</v>
      </c>
      <c r="E784" s="1" t="s">
        <v>15357</v>
      </c>
      <c r="F784" s="2"/>
      <c r="G784" s="2"/>
      <c r="H784" s="2"/>
    </row>
    <row r="785" spans="1:8" x14ac:dyDescent="0.25">
      <c r="A785" s="1"/>
      <c r="B785" s="1" t="s">
        <v>8916</v>
      </c>
      <c r="C785" s="1" t="s">
        <v>8917</v>
      </c>
      <c r="D785" s="22" t="str">
        <f>HYPERLINK("https://rhld.insurance.arkansas.gov/NPILookup?Npi=1689650475","1689650475")</f>
        <v>1689650475</v>
      </c>
      <c r="E785" s="1" t="s">
        <v>15358</v>
      </c>
      <c r="F785" s="2"/>
      <c r="G785" s="2"/>
      <c r="H785" s="2"/>
    </row>
    <row r="786" spans="1:8" x14ac:dyDescent="0.25">
      <c r="A786" s="1"/>
      <c r="B786" s="1" t="s">
        <v>8916</v>
      </c>
      <c r="C786" s="1" t="s">
        <v>8917</v>
      </c>
      <c r="D786" s="22" t="str">
        <f>HYPERLINK("https://rhld.insurance.arkansas.gov/NPILookup?Npi=1699549048","1699549048")</f>
        <v>1699549048</v>
      </c>
      <c r="E786" s="1" t="s">
        <v>8940</v>
      </c>
      <c r="F786" s="2"/>
      <c r="G786" s="2"/>
      <c r="H786" s="2"/>
    </row>
    <row r="787" spans="1:8" x14ac:dyDescent="0.25">
      <c r="A787" s="1"/>
      <c r="B787" s="1" t="s">
        <v>8916</v>
      </c>
      <c r="C787" s="1" t="s">
        <v>8917</v>
      </c>
      <c r="D787" s="22" t="str">
        <f>HYPERLINK("https://rhld.insurance.arkansas.gov/NPILookup?Npi=1699726695","1699726695")</f>
        <v>1699726695</v>
      </c>
      <c r="E787" s="1" t="s">
        <v>15226</v>
      </c>
      <c r="F787" s="2"/>
      <c r="G787" s="2"/>
      <c r="H787" s="2"/>
    </row>
    <row r="788" spans="1:8" x14ac:dyDescent="0.25">
      <c r="A788" s="1"/>
      <c r="B788" s="1" t="s">
        <v>8916</v>
      </c>
      <c r="C788" s="1" t="s">
        <v>8917</v>
      </c>
      <c r="D788" s="22" t="str">
        <f>HYPERLINK("https://rhld.insurance.arkansas.gov/NPILookup?Npi=1699731208","1699731208")</f>
        <v>1699731208</v>
      </c>
      <c r="E788" s="1" t="s">
        <v>15359</v>
      </c>
      <c r="F788" s="2"/>
      <c r="G788" s="2"/>
      <c r="H788" s="2"/>
    </row>
    <row r="789" spans="1:8" x14ac:dyDescent="0.25">
      <c r="A789" s="1"/>
      <c r="B789" s="1" t="s">
        <v>8916</v>
      </c>
      <c r="C789" s="1" t="s">
        <v>8917</v>
      </c>
      <c r="D789" s="22" t="str">
        <f>HYPERLINK("https://rhld.insurance.arkansas.gov/NPILookup?Npi=1699744326","1699744326")</f>
        <v>1699744326</v>
      </c>
      <c r="E789" s="1" t="s">
        <v>15360</v>
      </c>
      <c r="F789" s="2"/>
      <c r="G789" s="2"/>
      <c r="H789" s="2"/>
    </row>
    <row r="790" spans="1:8" x14ac:dyDescent="0.25">
      <c r="A790" s="1"/>
      <c r="B790" s="1" t="s">
        <v>8916</v>
      </c>
      <c r="C790" s="1" t="s">
        <v>8917</v>
      </c>
      <c r="D790" s="22" t="str">
        <f>HYPERLINK("https://rhld.insurance.arkansas.gov/NPILookup?Npi=1700407541","1700407541")</f>
        <v>1700407541</v>
      </c>
      <c r="E790" s="1" t="s">
        <v>1162</v>
      </c>
      <c r="F790" s="2"/>
      <c r="G790" s="2"/>
      <c r="H790" s="2"/>
    </row>
    <row r="791" spans="1:8" x14ac:dyDescent="0.25">
      <c r="A791" s="1"/>
      <c r="B791" s="1" t="s">
        <v>8916</v>
      </c>
      <c r="C791" s="1" t="s">
        <v>8917</v>
      </c>
      <c r="D791" s="22" t="str">
        <f>HYPERLINK("https://rhld.insurance.arkansas.gov/NPILookup?Npi=1700873080","1700873080")</f>
        <v>1700873080</v>
      </c>
      <c r="E791" s="1" t="s">
        <v>8941</v>
      </c>
      <c r="F791" s="2"/>
      <c r="G791" s="2"/>
      <c r="H791" s="2"/>
    </row>
    <row r="792" spans="1:8" x14ac:dyDescent="0.25">
      <c r="A792" s="1"/>
      <c r="B792" s="1" t="s">
        <v>8916</v>
      </c>
      <c r="C792" s="1" t="s">
        <v>8917</v>
      </c>
      <c r="D792" s="22" t="str">
        <f>HYPERLINK("https://rhld.insurance.arkansas.gov/NPILookup?Npi=1710463146","1710463146")</f>
        <v>1710463146</v>
      </c>
      <c r="E792" s="1" t="s">
        <v>2450</v>
      </c>
      <c r="F792" s="2"/>
      <c r="G792" s="2"/>
      <c r="H792" s="2"/>
    </row>
    <row r="793" spans="1:8" x14ac:dyDescent="0.25">
      <c r="A793" s="1"/>
      <c r="B793" s="1" t="s">
        <v>8916</v>
      </c>
      <c r="C793" s="1" t="s">
        <v>8917</v>
      </c>
      <c r="D793" s="22" t="str">
        <f>HYPERLINK("https://rhld.insurance.arkansas.gov/NPILookup?Npi=1710931985","1710931985")</f>
        <v>1710931985</v>
      </c>
      <c r="E793" s="1" t="s">
        <v>15232</v>
      </c>
      <c r="F793" s="2"/>
      <c r="G793" s="2"/>
      <c r="H793" s="2"/>
    </row>
    <row r="794" spans="1:8" x14ac:dyDescent="0.25">
      <c r="A794" s="1"/>
      <c r="B794" s="1" t="s">
        <v>8916</v>
      </c>
      <c r="C794" s="1" t="s">
        <v>8917</v>
      </c>
      <c r="D794" s="22" t="str">
        <f>HYPERLINK("https://rhld.insurance.arkansas.gov/NPILookup?Npi=1710943881","1710943881")</f>
        <v>1710943881</v>
      </c>
      <c r="E794" s="1" t="s">
        <v>654</v>
      </c>
      <c r="F794" s="2"/>
      <c r="G794" s="2"/>
      <c r="H794" s="2"/>
    </row>
    <row r="795" spans="1:8" x14ac:dyDescent="0.25">
      <c r="A795" s="1"/>
      <c r="B795" s="1" t="s">
        <v>8916</v>
      </c>
      <c r="C795" s="1" t="s">
        <v>8917</v>
      </c>
      <c r="D795" s="22" t="str">
        <f>HYPERLINK("https://rhld.insurance.arkansas.gov/NPILookup?Npi=1720701543","1720701543")</f>
        <v>1720701543</v>
      </c>
      <c r="E795" s="1" t="s">
        <v>8942</v>
      </c>
      <c r="F795" s="2"/>
      <c r="G795" s="2"/>
      <c r="H795" s="2"/>
    </row>
    <row r="796" spans="1:8" x14ac:dyDescent="0.25">
      <c r="A796" s="1"/>
      <c r="B796" s="1" t="s">
        <v>8916</v>
      </c>
      <c r="C796" s="1" t="s">
        <v>8917</v>
      </c>
      <c r="D796" s="22" t="str">
        <f>HYPERLINK("https://rhld.insurance.arkansas.gov/NPILookup?Npi=1730240441","1730240441")</f>
        <v>1730240441</v>
      </c>
      <c r="E796" s="1" t="s">
        <v>8943</v>
      </c>
      <c r="F796" s="2"/>
      <c r="G796" s="2"/>
      <c r="H796" s="2"/>
    </row>
    <row r="797" spans="1:8" x14ac:dyDescent="0.25">
      <c r="A797" s="1"/>
      <c r="B797" s="1" t="s">
        <v>8916</v>
      </c>
      <c r="C797" s="1" t="s">
        <v>8917</v>
      </c>
      <c r="D797" s="22" t="str">
        <f>HYPERLINK("https://rhld.insurance.arkansas.gov/NPILookup?Npi=1740217884","1740217884")</f>
        <v>1740217884</v>
      </c>
      <c r="E797" s="1" t="s">
        <v>15290</v>
      </c>
      <c r="F797" s="2"/>
      <c r="G797" s="2"/>
      <c r="H797" s="2"/>
    </row>
    <row r="798" spans="1:8" x14ac:dyDescent="0.25">
      <c r="A798" s="1"/>
      <c r="B798" s="1" t="s">
        <v>8916</v>
      </c>
      <c r="C798" s="1" t="s">
        <v>8917</v>
      </c>
      <c r="D798" s="22" t="str">
        <f>HYPERLINK("https://rhld.insurance.arkansas.gov/NPILookup?Npi=1750337143","1750337143")</f>
        <v>1750337143</v>
      </c>
      <c r="E798" s="1" t="s">
        <v>15361</v>
      </c>
      <c r="F798" s="2"/>
      <c r="G798" s="2"/>
      <c r="H798" s="2"/>
    </row>
    <row r="799" spans="1:8" x14ac:dyDescent="0.25">
      <c r="A799" s="1"/>
      <c r="B799" s="1" t="s">
        <v>8916</v>
      </c>
      <c r="C799" s="1" t="s">
        <v>8917</v>
      </c>
      <c r="D799" s="22" t="str">
        <f>HYPERLINK("https://rhld.insurance.arkansas.gov/NPILookup?Npi=1760070312","1760070312")</f>
        <v>1760070312</v>
      </c>
      <c r="E799" s="1" t="s">
        <v>15362</v>
      </c>
      <c r="F799" s="2"/>
      <c r="G799" s="2"/>
      <c r="H799" s="2"/>
    </row>
    <row r="800" spans="1:8" x14ac:dyDescent="0.25">
      <c r="A800" s="1"/>
      <c r="B800" s="1" t="s">
        <v>8916</v>
      </c>
      <c r="C800" s="1" t="s">
        <v>8917</v>
      </c>
      <c r="D800" s="22" t="str">
        <f>HYPERLINK("https://rhld.insurance.arkansas.gov/NPILookup?Npi=1760432629","1760432629")</f>
        <v>1760432629</v>
      </c>
      <c r="E800" s="1" t="s">
        <v>8944</v>
      </c>
      <c r="F800" s="2"/>
      <c r="G800" s="2"/>
      <c r="H800" s="2"/>
    </row>
    <row r="801" spans="1:8" x14ac:dyDescent="0.25">
      <c r="A801" s="1"/>
      <c r="B801" s="1" t="s">
        <v>8916</v>
      </c>
      <c r="C801" s="1" t="s">
        <v>8917</v>
      </c>
      <c r="D801" s="22" t="str">
        <f>HYPERLINK("https://rhld.insurance.arkansas.gov/NPILookup?Npi=1770087371","1770087371")</f>
        <v>1770087371</v>
      </c>
      <c r="E801" s="1" t="s">
        <v>8945</v>
      </c>
      <c r="F801" s="2"/>
      <c r="G801" s="2"/>
      <c r="H801" s="2"/>
    </row>
    <row r="802" spans="1:8" x14ac:dyDescent="0.25">
      <c r="A802" s="1"/>
      <c r="B802" s="1" t="s">
        <v>8916</v>
      </c>
      <c r="C802" s="1" t="s">
        <v>8917</v>
      </c>
      <c r="D802" s="22" t="str">
        <f>HYPERLINK("https://rhld.insurance.arkansas.gov/NPILookup?Npi=1770802217","1770802217")</f>
        <v>1770802217</v>
      </c>
      <c r="E802" s="1" t="s">
        <v>667</v>
      </c>
      <c r="F802" s="2"/>
      <c r="G802" s="2"/>
      <c r="H802" s="2"/>
    </row>
    <row r="803" spans="1:8" x14ac:dyDescent="0.25">
      <c r="A803" s="1"/>
      <c r="B803" s="1" t="s">
        <v>8916</v>
      </c>
      <c r="C803" s="1" t="s">
        <v>8917</v>
      </c>
      <c r="D803" s="22" t="str">
        <f>HYPERLINK("https://rhld.insurance.arkansas.gov/NPILookup?Npi=1770846826","1770846826")</f>
        <v>1770846826</v>
      </c>
      <c r="E803" s="1" t="s">
        <v>2354</v>
      </c>
      <c r="F803" s="2"/>
      <c r="G803" s="2"/>
      <c r="H803" s="2"/>
    </row>
    <row r="804" spans="1:8" x14ac:dyDescent="0.25">
      <c r="A804" s="1"/>
      <c r="B804" s="1" t="s">
        <v>8916</v>
      </c>
      <c r="C804" s="1" t="s">
        <v>8917</v>
      </c>
      <c r="D804" s="22" t="str">
        <f>HYPERLINK("https://rhld.insurance.arkansas.gov/NPILookup?Npi=1780375592","1780375592")</f>
        <v>1780375592</v>
      </c>
      <c r="E804" s="1" t="s">
        <v>8889</v>
      </c>
      <c r="F804" s="2"/>
      <c r="G804" s="2"/>
      <c r="H804" s="2"/>
    </row>
    <row r="805" spans="1:8" x14ac:dyDescent="0.25">
      <c r="A805" s="1"/>
      <c r="B805" s="1" t="s">
        <v>8916</v>
      </c>
      <c r="C805" s="1" t="s">
        <v>8917</v>
      </c>
      <c r="D805" s="22" t="str">
        <f>HYPERLINK("https://rhld.insurance.arkansas.gov/NPILookup?Npi=1780651117","1780651117")</f>
        <v>1780651117</v>
      </c>
      <c r="E805" s="1" t="s">
        <v>15363</v>
      </c>
      <c r="F805" s="2"/>
      <c r="G805" s="2"/>
      <c r="H805" s="2"/>
    </row>
    <row r="806" spans="1:8" x14ac:dyDescent="0.25">
      <c r="A806" s="1"/>
      <c r="B806" s="1" t="s">
        <v>8916</v>
      </c>
      <c r="C806" s="1" t="s">
        <v>8917</v>
      </c>
      <c r="D806" s="22" t="str">
        <f>HYPERLINK("https://rhld.insurance.arkansas.gov/NPILookup?Npi=1780676650","1780676650")</f>
        <v>1780676650</v>
      </c>
      <c r="E806" s="1" t="s">
        <v>15364</v>
      </c>
      <c r="F806" s="2"/>
      <c r="G806" s="2"/>
      <c r="H806" s="2"/>
    </row>
    <row r="807" spans="1:8" x14ac:dyDescent="0.25">
      <c r="A807" s="1"/>
      <c r="B807" s="1" t="s">
        <v>8916</v>
      </c>
      <c r="C807" s="1" t="s">
        <v>8917</v>
      </c>
      <c r="D807" s="22" t="str">
        <f>HYPERLINK("https://rhld.insurance.arkansas.gov/NPILookup?Npi=1780684431","1780684431")</f>
        <v>1780684431</v>
      </c>
      <c r="E807" s="1" t="s">
        <v>9662</v>
      </c>
      <c r="F807" s="2"/>
      <c r="G807" s="2"/>
      <c r="H807" s="2"/>
    </row>
    <row r="808" spans="1:8" x14ac:dyDescent="0.25">
      <c r="A808" s="1"/>
      <c r="B808" s="1" t="s">
        <v>8916</v>
      </c>
      <c r="C808" s="1" t="s">
        <v>8917</v>
      </c>
      <c r="D808" s="22" t="str">
        <f>HYPERLINK("https://rhld.insurance.arkansas.gov/NPILookup?Npi=1780685750","1780685750")</f>
        <v>1780685750</v>
      </c>
      <c r="E808" s="1" t="s">
        <v>15365</v>
      </c>
      <c r="F808" s="2"/>
      <c r="G808" s="2"/>
      <c r="H808" s="2"/>
    </row>
    <row r="809" spans="1:8" x14ac:dyDescent="0.25">
      <c r="A809" s="1"/>
      <c r="B809" s="1" t="s">
        <v>8916</v>
      </c>
      <c r="C809" s="1" t="s">
        <v>8917</v>
      </c>
      <c r="D809" s="22" t="str">
        <f>HYPERLINK("https://rhld.insurance.arkansas.gov/NPILookup?Npi=1790145076","1790145076")</f>
        <v>1790145076</v>
      </c>
      <c r="E809" s="1" t="s">
        <v>8946</v>
      </c>
      <c r="F809" s="2"/>
      <c r="G809" s="2"/>
      <c r="H809" s="2"/>
    </row>
    <row r="810" spans="1:8" x14ac:dyDescent="0.25">
      <c r="A810" s="1"/>
      <c r="B810" s="1" t="s">
        <v>8916</v>
      </c>
      <c r="C810" s="1" t="s">
        <v>8917</v>
      </c>
      <c r="D810" s="22" t="str">
        <f>HYPERLINK("https://rhld.insurance.arkansas.gov/NPILookup?Npi=1790197945","1790197945")</f>
        <v>1790197945</v>
      </c>
      <c r="E810" s="1" t="s">
        <v>9650</v>
      </c>
      <c r="F810" s="2"/>
      <c r="G810" s="2"/>
      <c r="H810" s="2"/>
    </row>
    <row r="811" spans="1:8" x14ac:dyDescent="0.25">
      <c r="A811" s="1"/>
      <c r="B811" s="1" t="s">
        <v>8916</v>
      </c>
      <c r="C811" s="1" t="s">
        <v>8917</v>
      </c>
      <c r="D811" s="22" t="str">
        <f>HYPERLINK("https://rhld.insurance.arkansas.gov/NPILookup?Npi=1790701134","1790701134")</f>
        <v>1790701134</v>
      </c>
      <c r="E811" s="1" t="s">
        <v>8947</v>
      </c>
      <c r="F811" s="2"/>
      <c r="G811" s="2"/>
      <c r="H811" s="2"/>
    </row>
    <row r="812" spans="1:8" x14ac:dyDescent="0.25">
      <c r="A812" s="1"/>
      <c r="B812" s="1" t="s">
        <v>8916</v>
      </c>
      <c r="C812" s="1" t="s">
        <v>8917</v>
      </c>
      <c r="D812" s="22" t="str">
        <f>HYPERLINK("https://rhld.insurance.arkansas.gov/NPILookup?Npi=1790773158","1790773158")</f>
        <v>1790773158</v>
      </c>
      <c r="E812" s="1" t="s">
        <v>9633</v>
      </c>
      <c r="F812" s="2"/>
      <c r="G812" s="2"/>
      <c r="H812" s="2"/>
    </row>
    <row r="813" spans="1:8" x14ac:dyDescent="0.25">
      <c r="A813" s="1"/>
      <c r="B813" s="1" t="s">
        <v>8916</v>
      </c>
      <c r="C813" s="1" t="s">
        <v>8917</v>
      </c>
      <c r="D813" s="22" t="str">
        <f>HYPERLINK("https://rhld.insurance.arkansas.gov/NPILookup?Npi=1790775229","1790775229")</f>
        <v>1790775229</v>
      </c>
      <c r="E813" s="1" t="s">
        <v>657</v>
      </c>
      <c r="F813" s="2"/>
      <c r="G813" s="2"/>
      <c r="H813" s="2"/>
    </row>
    <row r="814" spans="1:8" x14ac:dyDescent="0.25">
      <c r="A814" s="1"/>
      <c r="B814" s="1" t="s">
        <v>8916</v>
      </c>
      <c r="C814" s="1" t="s">
        <v>8917</v>
      </c>
      <c r="D814" s="22" t="str">
        <f>HYPERLINK("https://rhld.insurance.arkansas.gov/NPILookup?Npi=1790966638","1790966638")</f>
        <v>1790966638</v>
      </c>
      <c r="E814" s="1" t="s">
        <v>8948</v>
      </c>
      <c r="F814" s="2"/>
      <c r="G814" s="2"/>
      <c r="H814" s="2"/>
    </row>
    <row r="815" spans="1:8" x14ac:dyDescent="0.25">
      <c r="A815" s="1"/>
      <c r="B815" s="1" t="s">
        <v>8916</v>
      </c>
      <c r="C815" s="1" t="s">
        <v>8917</v>
      </c>
      <c r="D815" s="22" t="str">
        <f>HYPERLINK("https://rhld.insurance.arkansas.gov/NPILookup?Npi=1801847827","1801847827")</f>
        <v>1801847827</v>
      </c>
      <c r="E815" s="1" t="s">
        <v>15366</v>
      </c>
      <c r="F815" s="2"/>
      <c r="G815" s="2"/>
      <c r="H815" s="2"/>
    </row>
    <row r="816" spans="1:8" x14ac:dyDescent="0.25">
      <c r="A816" s="1"/>
      <c r="B816" s="1" t="s">
        <v>8916</v>
      </c>
      <c r="C816" s="1" t="s">
        <v>8917</v>
      </c>
      <c r="D816" s="22" t="str">
        <f>HYPERLINK("https://rhld.insurance.arkansas.gov/NPILookup?Npi=1801896410","1801896410")</f>
        <v>1801896410</v>
      </c>
      <c r="E816" s="1" t="s">
        <v>8949</v>
      </c>
      <c r="F816" s="2"/>
      <c r="G816" s="2"/>
      <c r="H816" s="2"/>
    </row>
    <row r="817" spans="1:8" x14ac:dyDescent="0.25">
      <c r="A817" s="1"/>
      <c r="B817" s="1" t="s">
        <v>8916</v>
      </c>
      <c r="C817" s="1" t="s">
        <v>8917</v>
      </c>
      <c r="D817" s="22" t="str">
        <f>HYPERLINK("https://rhld.insurance.arkansas.gov/NPILookup?Npi=1811065477","1811065477")</f>
        <v>1811065477</v>
      </c>
      <c r="E817" s="1" t="s">
        <v>15367</v>
      </c>
      <c r="F817" s="2"/>
      <c r="G817" s="2"/>
      <c r="H817" s="2"/>
    </row>
    <row r="818" spans="1:8" x14ac:dyDescent="0.25">
      <c r="A818" s="1"/>
      <c r="B818" s="1" t="s">
        <v>8916</v>
      </c>
      <c r="C818" s="1" t="s">
        <v>8917</v>
      </c>
      <c r="D818" s="22" t="str">
        <f>HYPERLINK("https://rhld.insurance.arkansas.gov/NPILookup?Npi=1821566647","1821566647")</f>
        <v>1821566647</v>
      </c>
      <c r="E818" s="1" t="s">
        <v>15368</v>
      </c>
      <c r="F818" s="2"/>
      <c r="G818" s="2"/>
      <c r="H818" s="2"/>
    </row>
    <row r="819" spans="1:8" x14ac:dyDescent="0.25">
      <c r="A819" s="1"/>
      <c r="B819" s="1" t="s">
        <v>8916</v>
      </c>
      <c r="C819" s="1" t="s">
        <v>8917</v>
      </c>
      <c r="D819" s="22" t="str">
        <f>HYPERLINK("https://rhld.insurance.arkansas.gov/NPILookup?Npi=1831374255","1831374255")</f>
        <v>1831374255</v>
      </c>
      <c r="E819" s="1" t="s">
        <v>15369</v>
      </c>
      <c r="F819" s="2"/>
      <c r="G819" s="2"/>
      <c r="H819" s="2"/>
    </row>
    <row r="820" spans="1:8" x14ac:dyDescent="0.25">
      <c r="A820" s="1"/>
      <c r="B820" s="1" t="s">
        <v>8916</v>
      </c>
      <c r="C820" s="1" t="s">
        <v>8917</v>
      </c>
      <c r="D820" s="22" t="str">
        <f>HYPERLINK("https://rhld.insurance.arkansas.gov/NPILookup?Npi=1841241833","1841241833")</f>
        <v>1841241833</v>
      </c>
      <c r="E820" s="1" t="s">
        <v>655</v>
      </c>
      <c r="F820" s="2"/>
      <c r="G820" s="2"/>
      <c r="H820" s="2"/>
    </row>
    <row r="821" spans="1:8" x14ac:dyDescent="0.25">
      <c r="A821" s="1"/>
      <c r="B821" s="1" t="s">
        <v>8916</v>
      </c>
      <c r="C821" s="1" t="s">
        <v>8917</v>
      </c>
      <c r="D821" s="22" t="str">
        <f>HYPERLINK("https://rhld.insurance.arkansas.gov/NPILookup?Npi=1841384112","1841384112")</f>
        <v>1841384112</v>
      </c>
      <c r="E821" s="1" t="s">
        <v>8950</v>
      </c>
      <c r="F821" s="2"/>
      <c r="G821" s="2"/>
      <c r="H821" s="2"/>
    </row>
    <row r="822" spans="1:8" x14ac:dyDescent="0.25">
      <c r="A822" s="1"/>
      <c r="B822" s="1" t="s">
        <v>8916</v>
      </c>
      <c r="C822" s="1" t="s">
        <v>8917</v>
      </c>
      <c r="D822" s="22" t="str">
        <f>HYPERLINK("https://rhld.insurance.arkansas.gov/NPILookup?Npi=1841619731","1841619731")</f>
        <v>1841619731</v>
      </c>
      <c r="E822" s="1" t="s">
        <v>15370</v>
      </c>
      <c r="F822" s="2"/>
      <c r="G822" s="2"/>
      <c r="H822" s="2"/>
    </row>
    <row r="823" spans="1:8" x14ac:dyDescent="0.25">
      <c r="A823" s="1"/>
      <c r="B823" s="1" t="s">
        <v>8916</v>
      </c>
      <c r="C823" s="1" t="s">
        <v>8917</v>
      </c>
      <c r="D823" s="22" t="str">
        <f>HYPERLINK("https://rhld.insurance.arkansas.gov/NPILookup?Npi=1841898293","1841898293")</f>
        <v>1841898293</v>
      </c>
      <c r="E823" s="1" t="s">
        <v>15291</v>
      </c>
      <c r="F823" s="2"/>
      <c r="G823" s="2"/>
      <c r="H823" s="2"/>
    </row>
    <row r="824" spans="1:8" x14ac:dyDescent="0.25">
      <c r="A824" s="1"/>
      <c r="B824" s="1" t="s">
        <v>8916</v>
      </c>
      <c r="C824" s="1" t="s">
        <v>8917</v>
      </c>
      <c r="D824" s="22" t="str">
        <f>HYPERLINK("https://rhld.insurance.arkansas.gov/NPILookup?Npi=1851620249","1851620249")</f>
        <v>1851620249</v>
      </c>
      <c r="E824" s="1" t="s">
        <v>15371</v>
      </c>
      <c r="F824" s="2"/>
      <c r="G824" s="2"/>
      <c r="H824" s="2"/>
    </row>
    <row r="825" spans="1:8" x14ac:dyDescent="0.25">
      <c r="A825" s="1"/>
      <c r="B825" s="1" t="s">
        <v>8916</v>
      </c>
      <c r="C825" s="1" t="s">
        <v>8917</v>
      </c>
      <c r="D825" s="22" t="str">
        <f>HYPERLINK("https://rhld.insurance.arkansas.gov/NPILookup?Npi=1851865794","1851865794")</f>
        <v>1851865794</v>
      </c>
      <c r="E825" s="1" t="s">
        <v>8951</v>
      </c>
      <c r="F825" s="2"/>
      <c r="G825" s="2"/>
      <c r="H825" s="2"/>
    </row>
    <row r="826" spans="1:8" x14ac:dyDescent="0.25">
      <c r="A826" s="1"/>
      <c r="B826" s="1" t="s">
        <v>8916</v>
      </c>
      <c r="C826" s="1" t="s">
        <v>8917</v>
      </c>
      <c r="D826" s="22" t="str">
        <f>HYPERLINK("https://rhld.insurance.arkansas.gov/NPILookup?Npi=1861449639","1861449639")</f>
        <v>1861449639</v>
      </c>
      <c r="E826" s="1" t="s">
        <v>15257</v>
      </c>
      <c r="F826" s="2"/>
      <c r="G826" s="2"/>
      <c r="H826" s="2"/>
    </row>
    <row r="827" spans="1:8" x14ac:dyDescent="0.25">
      <c r="A827" s="1"/>
      <c r="B827" s="1" t="s">
        <v>8916</v>
      </c>
      <c r="C827" s="1" t="s">
        <v>8917</v>
      </c>
      <c r="D827" s="22" t="str">
        <f>HYPERLINK("https://rhld.insurance.arkansas.gov/NPILookup?Npi=1861459315","1861459315")</f>
        <v>1861459315</v>
      </c>
      <c r="E827" s="1" t="s">
        <v>15337</v>
      </c>
      <c r="F827" s="2"/>
      <c r="G827" s="2"/>
      <c r="H827" s="2"/>
    </row>
    <row r="828" spans="1:8" x14ac:dyDescent="0.25">
      <c r="A828" s="1"/>
      <c r="B828" s="1" t="s">
        <v>8916</v>
      </c>
      <c r="C828" s="1" t="s">
        <v>8917</v>
      </c>
      <c r="D828" s="22" t="str">
        <f>HYPERLINK("https://rhld.insurance.arkansas.gov/NPILookup?Npi=1861519548","1861519548")</f>
        <v>1861519548</v>
      </c>
      <c r="E828" s="1" t="s">
        <v>15292</v>
      </c>
      <c r="F828" s="2"/>
      <c r="G828" s="2"/>
      <c r="H828" s="2"/>
    </row>
    <row r="829" spans="1:8" x14ac:dyDescent="0.25">
      <c r="A829" s="1"/>
      <c r="B829" s="1" t="s">
        <v>8916</v>
      </c>
      <c r="C829" s="1" t="s">
        <v>8917</v>
      </c>
      <c r="D829" s="22" t="str">
        <f>HYPERLINK("https://rhld.insurance.arkansas.gov/NPILookup?Npi=1861711301","1861711301")</f>
        <v>1861711301</v>
      </c>
      <c r="E829" s="1" t="s">
        <v>9641</v>
      </c>
      <c r="F829" s="2"/>
      <c r="G829" s="2"/>
      <c r="H829" s="2"/>
    </row>
    <row r="830" spans="1:8" x14ac:dyDescent="0.25">
      <c r="A830" s="1"/>
      <c r="B830" s="1" t="s">
        <v>8916</v>
      </c>
      <c r="C830" s="1" t="s">
        <v>8917</v>
      </c>
      <c r="D830" s="22" t="str">
        <f>HYPERLINK("https://rhld.insurance.arkansas.gov/NPILookup?Npi=1861721839","1861721839")</f>
        <v>1861721839</v>
      </c>
      <c r="E830" s="1" t="s">
        <v>15372</v>
      </c>
      <c r="F830" s="2"/>
      <c r="G830" s="2"/>
      <c r="H830" s="2"/>
    </row>
    <row r="831" spans="1:8" x14ac:dyDescent="0.25">
      <c r="A831" s="1"/>
      <c r="B831" s="1" t="s">
        <v>8916</v>
      </c>
      <c r="C831" s="1" t="s">
        <v>8917</v>
      </c>
      <c r="D831" s="22" t="str">
        <f>HYPERLINK("https://rhld.insurance.arkansas.gov/NPILookup?Npi=1871839613","1871839613")</f>
        <v>1871839613</v>
      </c>
      <c r="E831" s="1" t="s">
        <v>15293</v>
      </c>
      <c r="F831" s="2"/>
      <c r="G831" s="2"/>
      <c r="H831" s="2"/>
    </row>
    <row r="832" spans="1:8" x14ac:dyDescent="0.25">
      <c r="A832" s="1"/>
      <c r="B832" s="1" t="s">
        <v>8916</v>
      </c>
      <c r="C832" s="1" t="s">
        <v>8917</v>
      </c>
      <c r="D832" s="22" t="str">
        <f>HYPERLINK("https://rhld.insurance.arkansas.gov/NPILookup?Npi=1871866038","1871866038")</f>
        <v>1871866038</v>
      </c>
      <c r="E832" s="1" t="s">
        <v>15373</v>
      </c>
      <c r="F832" s="2"/>
      <c r="G832" s="2"/>
      <c r="H832" s="2"/>
    </row>
    <row r="833" spans="1:8" x14ac:dyDescent="0.25">
      <c r="A833" s="1"/>
      <c r="B833" s="1" t="s">
        <v>8916</v>
      </c>
      <c r="C833" s="1" t="s">
        <v>8917</v>
      </c>
      <c r="D833" s="22" t="str">
        <f>HYPERLINK("https://rhld.insurance.arkansas.gov/NPILookup?Npi=1881640118","1881640118")</f>
        <v>1881640118</v>
      </c>
      <c r="E833" s="1" t="s">
        <v>15316</v>
      </c>
      <c r="F833" s="2"/>
      <c r="G833" s="2"/>
      <c r="H833" s="2"/>
    </row>
    <row r="834" spans="1:8" x14ac:dyDescent="0.25">
      <c r="A834" s="1"/>
      <c r="B834" s="1" t="s">
        <v>8916</v>
      </c>
      <c r="C834" s="1" t="s">
        <v>8917</v>
      </c>
      <c r="D834" s="22" t="str">
        <f>HYPERLINK("https://rhld.insurance.arkansas.gov/NPILookup?Npi=1881646453","1881646453")</f>
        <v>1881646453</v>
      </c>
      <c r="E834" s="1" t="s">
        <v>8952</v>
      </c>
      <c r="F834" s="2"/>
      <c r="G834" s="2"/>
      <c r="H834" s="2"/>
    </row>
    <row r="835" spans="1:8" x14ac:dyDescent="0.25">
      <c r="A835" s="1"/>
      <c r="B835" s="1" t="s">
        <v>8916</v>
      </c>
      <c r="C835" s="1" t="s">
        <v>8917</v>
      </c>
      <c r="D835" s="22" t="str">
        <f>HYPERLINK("https://rhld.insurance.arkansas.gov/NPILookup?Npi=1881788933","1881788933")</f>
        <v>1881788933</v>
      </c>
      <c r="E835" s="1" t="s">
        <v>2141</v>
      </c>
      <c r="F835" s="2"/>
      <c r="G835" s="2"/>
      <c r="H835" s="2"/>
    </row>
    <row r="836" spans="1:8" x14ac:dyDescent="0.25">
      <c r="A836" s="1"/>
      <c r="B836" s="1" t="s">
        <v>8916</v>
      </c>
      <c r="C836" s="1" t="s">
        <v>8917</v>
      </c>
      <c r="D836" s="22" t="str">
        <f>HYPERLINK("https://rhld.insurance.arkansas.gov/NPILookup?Npi=1891781837","1891781837")</f>
        <v>1891781837</v>
      </c>
      <c r="E836" s="1" t="s">
        <v>628</v>
      </c>
      <c r="F836" s="2"/>
      <c r="G836" s="2"/>
      <c r="H836" s="2"/>
    </row>
    <row r="837" spans="1:8" x14ac:dyDescent="0.25">
      <c r="A837" s="1"/>
      <c r="B837" s="1" t="s">
        <v>8916</v>
      </c>
      <c r="C837" s="1" t="s">
        <v>8917</v>
      </c>
      <c r="D837" s="22" t="str">
        <f>HYPERLINK("https://rhld.insurance.arkansas.gov/NPILookup?Npi=1902051816","1902051816")</f>
        <v>1902051816</v>
      </c>
      <c r="E837" s="1" t="s">
        <v>15259</v>
      </c>
      <c r="F837" s="2"/>
      <c r="G837" s="2"/>
      <c r="H837" s="2"/>
    </row>
    <row r="838" spans="1:8" x14ac:dyDescent="0.25">
      <c r="A838" s="1"/>
      <c r="B838" s="1" t="s">
        <v>8916</v>
      </c>
      <c r="C838" s="1" t="s">
        <v>8917</v>
      </c>
      <c r="D838" s="22" t="str">
        <f>HYPERLINK("https://rhld.insurance.arkansas.gov/NPILookup?Npi=1902842255","1902842255")</f>
        <v>1902842255</v>
      </c>
      <c r="E838" s="1" t="s">
        <v>8899</v>
      </c>
      <c r="F838" s="2"/>
      <c r="G838" s="2"/>
      <c r="H838" s="2"/>
    </row>
    <row r="839" spans="1:8" x14ac:dyDescent="0.25">
      <c r="A839" s="1"/>
      <c r="B839" s="1" t="s">
        <v>8916</v>
      </c>
      <c r="C839" s="1" t="s">
        <v>8917</v>
      </c>
      <c r="D839" s="22" t="str">
        <f>HYPERLINK("https://rhld.insurance.arkansas.gov/NPILookup?Npi=1902868391","1902868391")</f>
        <v>1902868391</v>
      </c>
      <c r="E839" s="1" t="s">
        <v>709</v>
      </c>
      <c r="F839" s="2"/>
      <c r="G839" s="2"/>
      <c r="H839" s="2"/>
    </row>
    <row r="840" spans="1:8" x14ac:dyDescent="0.25">
      <c r="A840" s="1"/>
      <c r="B840" s="1" t="s">
        <v>8916</v>
      </c>
      <c r="C840" s="1" t="s">
        <v>8917</v>
      </c>
      <c r="D840" s="22" t="str">
        <f>HYPERLINK("https://rhld.insurance.arkansas.gov/NPILookup?Npi=1902877426","1902877426")</f>
        <v>1902877426</v>
      </c>
      <c r="E840" s="1" t="s">
        <v>15374</v>
      </c>
      <c r="F840" s="2"/>
      <c r="G840" s="2"/>
      <c r="H840" s="2"/>
    </row>
    <row r="841" spans="1:8" x14ac:dyDescent="0.25">
      <c r="A841" s="1"/>
      <c r="B841" s="1" t="s">
        <v>8916</v>
      </c>
      <c r="C841" s="1" t="s">
        <v>8917</v>
      </c>
      <c r="D841" s="22" t="str">
        <f>HYPERLINK("https://rhld.insurance.arkansas.gov/NPILookup?Npi=1912090929","1912090929")</f>
        <v>1912090929</v>
      </c>
      <c r="E841" s="1" t="s">
        <v>8953</v>
      </c>
      <c r="F841" s="2"/>
      <c r="G841" s="2"/>
      <c r="H841" s="2"/>
    </row>
    <row r="842" spans="1:8" x14ac:dyDescent="0.25">
      <c r="A842" s="1"/>
      <c r="B842" s="1" t="s">
        <v>8916</v>
      </c>
      <c r="C842" s="1" t="s">
        <v>8917</v>
      </c>
      <c r="D842" s="22" t="str">
        <f>HYPERLINK("https://rhld.insurance.arkansas.gov/NPILookup?Npi=1912395708","1912395708")</f>
        <v>1912395708</v>
      </c>
      <c r="E842" s="1" t="s">
        <v>15375</v>
      </c>
      <c r="F842" s="2"/>
      <c r="G842" s="2"/>
      <c r="H842" s="2"/>
    </row>
    <row r="843" spans="1:8" x14ac:dyDescent="0.25">
      <c r="A843" s="1"/>
      <c r="B843" s="1" t="s">
        <v>8916</v>
      </c>
      <c r="C843" s="1" t="s">
        <v>8917</v>
      </c>
      <c r="D843" s="22" t="str">
        <f>HYPERLINK("https://rhld.insurance.arkansas.gov/NPILookup?Npi=1912544958","1912544958")</f>
        <v>1912544958</v>
      </c>
      <c r="E843" s="1" t="s">
        <v>8915</v>
      </c>
      <c r="F843" s="2"/>
      <c r="G843" s="2"/>
      <c r="H843" s="2"/>
    </row>
    <row r="844" spans="1:8" x14ac:dyDescent="0.25">
      <c r="A844" s="1"/>
      <c r="B844" s="1" t="s">
        <v>8916</v>
      </c>
      <c r="C844" s="1" t="s">
        <v>8917</v>
      </c>
      <c r="D844" s="22" t="str">
        <f>HYPERLINK("https://rhld.insurance.arkansas.gov/NPILookup?Npi=1912915026","1912915026")</f>
        <v>1912915026</v>
      </c>
      <c r="E844" s="1" t="s">
        <v>15376</v>
      </c>
      <c r="F844" s="2"/>
      <c r="G844" s="2"/>
      <c r="H844" s="2"/>
    </row>
    <row r="845" spans="1:8" x14ac:dyDescent="0.25">
      <c r="A845" s="1"/>
      <c r="B845" s="1" t="s">
        <v>8916</v>
      </c>
      <c r="C845" s="1" t="s">
        <v>8917</v>
      </c>
      <c r="D845" s="22" t="str">
        <f>HYPERLINK("https://rhld.insurance.arkansas.gov/NPILookup?Npi=1912964081","1912964081")</f>
        <v>1912964081</v>
      </c>
      <c r="E845" s="1" t="s">
        <v>15264</v>
      </c>
      <c r="F845" s="2"/>
      <c r="G845" s="2"/>
      <c r="H845" s="2"/>
    </row>
    <row r="846" spans="1:8" x14ac:dyDescent="0.25">
      <c r="A846" s="1"/>
      <c r="B846" s="1" t="s">
        <v>8916</v>
      </c>
      <c r="C846" s="1" t="s">
        <v>8917</v>
      </c>
      <c r="D846" s="22" t="str">
        <f>HYPERLINK("https://rhld.insurance.arkansas.gov/NPILookup?Npi=1912978875","1912978875")</f>
        <v>1912978875</v>
      </c>
      <c r="E846" s="1" t="s">
        <v>652</v>
      </c>
      <c r="F846" s="2"/>
      <c r="G846" s="2"/>
      <c r="H846" s="2"/>
    </row>
    <row r="847" spans="1:8" x14ac:dyDescent="0.25">
      <c r="A847" s="1"/>
      <c r="B847" s="1" t="s">
        <v>8916</v>
      </c>
      <c r="C847" s="1" t="s">
        <v>8917</v>
      </c>
      <c r="D847" s="22" t="str">
        <f>HYPERLINK("https://rhld.insurance.arkansas.gov/NPILookup?Npi=1922043686","1922043686")</f>
        <v>1922043686</v>
      </c>
      <c r="E847" s="1" t="s">
        <v>1543</v>
      </c>
      <c r="F847" s="2"/>
      <c r="G847" s="2"/>
      <c r="H847" s="2"/>
    </row>
    <row r="848" spans="1:8" x14ac:dyDescent="0.25">
      <c r="A848" s="1"/>
      <c r="B848" s="1" t="s">
        <v>8916</v>
      </c>
      <c r="C848" s="1" t="s">
        <v>8917</v>
      </c>
      <c r="D848" s="22" t="str">
        <f>HYPERLINK("https://rhld.insurance.arkansas.gov/NPILookup?Npi=1922044486","1922044486")</f>
        <v>1922044486</v>
      </c>
      <c r="E848" s="1" t="s">
        <v>15377</v>
      </c>
      <c r="F848" s="2"/>
      <c r="G848" s="2"/>
      <c r="H848" s="2"/>
    </row>
    <row r="849" spans="1:8" x14ac:dyDescent="0.25">
      <c r="A849" s="1"/>
      <c r="B849" s="1" t="s">
        <v>8916</v>
      </c>
      <c r="C849" s="1" t="s">
        <v>8917</v>
      </c>
      <c r="D849" s="22" t="str">
        <f>HYPERLINK("https://rhld.insurance.arkansas.gov/NPILookup?Npi=1922353754","1922353754")</f>
        <v>1922353754</v>
      </c>
      <c r="E849" s="1" t="s">
        <v>1076</v>
      </c>
      <c r="F849" s="2"/>
      <c r="G849" s="2"/>
      <c r="H849" s="2"/>
    </row>
    <row r="850" spans="1:8" x14ac:dyDescent="0.25">
      <c r="A850" s="1"/>
      <c r="B850" s="1" t="s">
        <v>8916</v>
      </c>
      <c r="C850" s="1" t="s">
        <v>8917</v>
      </c>
      <c r="D850" s="22" t="str">
        <f>HYPERLINK("https://rhld.insurance.arkansas.gov/NPILookup?Npi=1932169703","1932169703")</f>
        <v>1932169703</v>
      </c>
      <c r="E850" s="1" t="s">
        <v>9651</v>
      </c>
      <c r="F850" s="2"/>
      <c r="G850" s="2"/>
      <c r="H850" s="2"/>
    </row>
    <row r="851" spans="1:8" x14ac:dyDescent="0.25">
      <c r="A851" s="1"/>
      <c r="B851" s="1" t="s">
        <v>8916</v>
      </c>
      <c r="C851" s="1" t="s">
        <v>8917</v>
      </c>
      <c r="D851" s="22" t="str">
        <f>HYPERLINK("https://rhld.insurance.arkansas.gov/NPILookup?Npi=1932261013","1932261013")</f>
        <v>1932261013</v>
      </c>
      <c r="E851" s="1" t="s">
        <v>8954</v>
      </c>
      <c r="F851" s="2"/>
      <c r="G851" s="2"/>
      <c r="H851" s="2"/>
    </row>
    <row r="852" spans="1:8" x14ac:dyDescent="0.25">
      <c r="A852" s="1"/>
      <c r="B852" s="1" t="s">
        <v>8916</v>
      </c>
      <c r="C852" s="1" t="s">
        <v>8917</v>
      </c>
      <c r="D852" s="22" t="str">
        <f>HYPERLINK("https://rhld.insurance.arkansas.gov/NPILookup?Npi=1932342029","1932342029")</f>
        <v>1932342029</v>
      </c>
      <c r="E852" s="1" t="s">
        <v>8955</v>
      </c>
      <c r="F852" s="2"/>
      <c r="G852" s="2"/>
      <c r="H852" s="2"/>
    </row>
    <row r="853" spans="1:8" x14ac:dyDescent="0.25">
      <c r="A853" s="1"/>
      <c r="B853" s="1" t="s">
        <v>8916</v>
      </c>
      <c r="C853" s="1" t="s">
        <v>8917</v>
      </c>
      <c r="D853" s="22" t="str">
        <f>HYPERLINK("https://rhld.insurance.arkansas.gov/NPILookup?Npi=1932585031","1932585031")</f>
        <v>1932585031</v>
      </c>
      <c r="E853" s="1" t="s">
        <v>8956</v>
      </c>
      <c r="F853" s="2"/>
      <c r="G853" s="2"/>
      <c r="H853" s="2"/>
    </row>
    <row r="854" spans="1:8" x14ac:dyDescent="0.25">
      <c r="A854" s="1"/>
      <c r="B854" s="1" t="s">
        <v>8916</v>
      </c>
      <c r="C854" s="1" t="s">
        <v>8917</v>
      </c>
      <c r="D854" s="22" t="str">
        <f>HYPERLINK("https://rhld.insurance.arkansas.gov/NPILookup?Npi=1942260609","1942260609")</f>
        <v>1942260609</v>
      </c>
      <c r="E854" s="1" t="s">
        <v>9635</v>
      </c>
      <c r="F854" s="2"/>
      <c r="G854" s="2"/>
      <c r="H854" s="2"/>
    </row>
    <row r="855" spans="1:8" x14ac:dyDescent="0.25">
      <c r="A855" s="1"/>
      <c r="B855" s="1" t="s">
        <v>8916</v>
      </c>
      <c r="C855" s="1" t="s">
        <v>8917</v>
      </c>
      <c r="D855" s="22" t="str">
        <f>HYPERLINK("https://rhld.insurance.arkansas.gov/NPILookup?Npi=1942716063","1942716063")</f>
        <v>1942716063</v>
      </c>
      <c r="E855" s="1" t="s">
        <v>9652</v>
      </c>
      <c r="F855" s="2"/>
      <c r="G855" s="2"/>
      <c r="H855" s="2"/>
    </row>
    <row r="856" spans="1:8" x14ac:dyDescent="0.25">
      <c r="A856" s="1"/>
      <c r="B856" s="1" t="s">
        <v>8916</v>
      </c>
      <c r="C856" s="1" t="s">
        <v>8917</v>
      </c>
      <c r="D856" s="22" t="str">
        <f>HYPERLINK("https://rhld.insurance.arkansas.gov/NPILookup?Npi=1942736285","1942736285")</f>
        <v>1942736285</v>
      </c>
      <c r="E856" s="1" t="s">
        <v>8957</v>
      </c>
      <c r="F856" s="2"/>
      <c r="G856" s="2"/>
      <c r="H856" s="2"/>
    </row>
    <row r="857" spans="1:8" x14ac:dyDescent="0.25">
      <c r="A857" s="1"/>
      <c r="B857" s="1" t="s">
        <v>8916</v>
      </c>
      <c r="C857" s="1" t="s">
        <v>8917</v>
      </c>
      <c r="D857" s="22" t="str">
        <f>HYPERLINK("https://rhld.insurance.arkansas.gov/NPILookup?Npi=1952336869","1952336869")</f>
        <v>1952336869</v>
      </c>
      <c r="E857" s="1" t="s">
        <v>15378</v>
      </c>
      <c r="F857" s="2"/>
      <c r="G857" s="2"/>
      <c r="H857" s="2"/>
    </row>
    <row r="858" spans="1:8" x14ac:dyDescent="0.25">
      <c r="A858" s="1"/>
      <c r="B858" s="1" t="s">
        <v>8916</v>
      </c>
      <c r="C858" s="1" t="s">
        <v>8917</v>
      </c>
      <c r="D858" s="22" t="str">
        <f>HYPERLINK("https://rhld.insurance.arkansas.gov/NPILookup?Npi=1952986259","1952986259")</f>
        <v>1952986259</v>
      </c>
      <c r="E858" s="1" t="s">
        <v>8958</v>
      </c>
      <c r="F858" s="2"/>
      <c r="G858" s="2"/>
      <c r="H858" s="2"/>
    </row>
    <row r="859" spans="1:8" x14ac:dyDescent="0.25">
      <c r="A859" s="1"/>
      <c r="B859" s="1" t="s">
        <v>8916</v>
      </c>
      <c r="C859" s="1" t="s">
        <v>8917</v>
      </c>
      <c r="D859" s="22" t="str">
        <f>HYPERLINK("https://rhld.insurance.arkansas.gov/NPILookup?Npi=1962410183","1962410183")</f>
        <v>1962410183</v>
      </c>
      <c r="E859" s="1" t="s">
        <v>665</v>
      </c>
      <c r="F859" s="2"/>
      <c r="G859" s="2"/>
      <c r="H859" s="2"/>
    </row>
    <row r="860" spans="1:8" x14ac:dyDescent="0.25">
      <c r="A860" s="1"/>
      <c r="B860" s="1" t="s">
        <v>8916</v>
      </c>
      <c r="C860" s="1" t="s">
        <v>8917</v>
      </c>
      <c r="D860" s="22" t="str">
        <f>HYPERLINK("https://rhld.insurance.arkansas.gov/NPILookup?Npi=1962674911","1962674911")</f>
        <v>1962674911</v>
      </c>
      <c r="E860" s="1" t="s">
        <v>15379</v>
      </c>
      <c r="F860" s="2"/>
      <c r="G860" s="2"/>
      <c r="H860" s="2"/>
    </row>
    <row r="861" spans="1:8" x14ac:dyDescent="0.25">
      <c r="A861" s="1"/>
      <c r="B861" s="1" t="s">
        <v>8916</v>
      </c>
      <c r="C861" s="1" t="s">
        <v>8917</v>
      </c>
      <c r="D861" s="22" t="str">
        <f>HYPERLINK("https://rhld.insurance.arkansas.gov/NPILookup?Npi=1962727271","1962727271")</f>
        <v>1962727271</v>
      </c>
      <c r="E861" s="1" t="s">
        <v>3574</v>
      </c>
      <c r="F861" s="2"/>
      <c r="G861" s="2"/>
      <c r="H861" s="2"/>
    </row>
    <row r="862" spans="1:8" x14ac:dyDescent="0.25">
      <c r="A862" s="1"/>
      <c r="B862" s="1" t="s">
        <v>8916</v>
      </c>
      <c r="C862" s="1" t="s">
        <v>8917</v>
      </c>
      <c r="D862" s="22" t="str">
        <f>HYPERLINK("https://rhld.insurance.arkansas.gov/NPILookup?Npi=1972532018","1972532018")</f>
        <v>1972532018</v>
      </c>
      <c r="E862" s="1" t="s">
        <v>8959</v>
      </c>
      <c r="F862" s="2"/>
      <c r="G862" s="2"/>
      <c r="H862" s="2"/>
    </row>
    <row r="863" spans="1:8" x14ac:dyDescent="0.25">
      <c r="A863" s="1"/>
      <c r="B863" s="1" t="s">
        <v>8916</v>
      </c>
      <c r="C863" s="1" t="s">
        <v>8917</v>
      </c>
      <c r="D863" s="22" t="str">
        <f>HYPERLINK("https://rhld.insurance.arkansas.gov/NPILookup?Npi=1972539567","1972539567")</f>
        <v>1972539567</v>
      </c>
      <c r="E863" s="1" t="s">
        <v>9636</v>
      </c>
      <c r="F863" s="2"/>
      <c r="G863" s="2"/>
      <c r="H863" s="2"/>
    </row>
    <row r="864" spans="1:8" x14ac:dyDescent="0.25">
      <c r="A864" s="1"/>
      <c r="B864" s="1" t="s">
        <v>8916</v>
      </c>
      <c r="C864" s="1" t="s">
        <v>8917</v>
      </c>
      <c r="D864" s="22" t="str">
        <f>HYPERLINK("https://rhld.insurance.arkansas.gov/NPILookup?Npi=1972568475","1972568475")</f>
        <v>1972568475</v>
      </c>
      <c r="E864" s="1" t="s">
        <v>8960</v>
      </c>
      <c r="F864" s="2"/>
      <c r="G864" s="2"/>
      <c r="H864" s="2"/>
    </row>
    <row r="865" spans="1:8" x14ac:dyDescent="0.25">
      <c r="A865" s="1"/>
      <c r="B865" s="1" t="s">
        <v>8916</v>
      </c>
      <c r="C865" s="1" t="s">
        <v>8917</v>
      </c>
      <c r="D865" s="22" t="str">
        <f>HYPERLINK("https://rhld.insurance.arkansas.gov/NPILookup?Npi=1972586238","1972586238")</f>
        <v>1972586238</v>
      </c>
      <c r="E865" s="1" t="s">
        <v>15319</v>
      </c>
      <c r="F865" s="2"/>
      <c r="G865" s="2"/>
      <c r="H865" s="2"/>
    </row>
    <row r="866" spans="1:8" x14ac:dyDescent="0.25">
      <c r="A866" s="1"/>
      <c r="B866" s="1" t="s">
        <v>8916</v>
      </c>
      <c r="C866" s="1" t="s">
        <v>8917</v>
      </c>
      <c r="D866" s="22" t="str">
        <f>HYPERLINK("https://rhld.insurance.arkansas.gov/NPILookup?Npi=1972620649","1972620649")</f>
        <v>1972620649</v>
      </c>
      <c r="E866" s="1" t="s">
        <v>15294</v>
      </c>
      <c r="F866" s="2"/>
      <c r="G866" s="2"/>
      <c r="H866" s="2"/>
    </row>
    <row r="867" spans="1:8" x14ac:dyDescent="0.25">
      <c r="A867" s="1"/>
      <c r="B867" s="1" t="s">
        <v>8916</v>
      </c>
      <c r="C867" s="1" t="s">
        <v>8917</v>
      </c>
      <c r="D867" s="22" t="str">
        <f>HYPERLINK("https://rhld.insurance.arkansas.gov/NPILookup?Npi=1982157020","1982157020")</f>
        <v>1982157020</v>
      </c>
      <c r="E867" s="1" t="s">
        <v>15296</v>
      </c>
      <c r="F867" s="2"/>
      <c r="G867" s="2"/>
      <c r="H867" s="2"/>
    </row>
    <row r="868" spans="1:8" x14ac:dyDescent="0.25">
      <c r="A868" s="1"/>
      <c r="B868" s="1" t="s">
        <v>8916</v>
      </c>
      <c r="C868" s="1" t="s">
        <v>8917</v>
      </c>
      <c r="D868" s="22" t="str">
        <f>HYPERLINK("https://rhld.insurance.arkansas.gov/NPILookup?Npi=1982684825","1982684825")</f>
        <v>1982684825</v>
      </c>
      <c r="E868" s="1" t="s">
        <v>9629</v>
      </c>
      <c r="F868" s="2"/>
      <c r="G868" s="2"/>
      <c r="H868" s="2"/>
    </row>
    <row r="869" spans="1:8" x14ac:dyDescent="0.25">
      <c r="A869" s="1"/>
      <c r="B869" s="1" t="s">
        <v>8916</v>
      </c>
      <c r="C869" s="1" t="s">
        <v>8917</v>
      </c>
      <c r="D869" s="22" t="str">
        <f>HYPERLINK("https://rhld.insurance.arkansas.gov/NPILookup?Npi=1992577746","1992577746")</f>
        <v>1992577746</v>
      </c>
      <c r="E869" s="1" t="s">
        <v>8961</v>
      </c>
      <c r="F869" s="2"/>
      <c r="G869" s="2"/>
      <c r="H869" s="2"/>
    </row>
    <row r="870" spans="1:8" x14ac:dyDescent="0.25">
      <c r="A870" s="1"/>
      <c r="B870" s="1" t="s">
        <v>8916</v>
      </c>
      <c r="C870" s="1" t="s">
        <v>8917</v>
      </c>
      <c r="D870" s="22" t="str">
        <f>HYPERLINK("https://rhld.insurance.arkansas.gov/NPILookup?Npi=1992758882","1992758882")</f>
        <v>1992758882</v>
      </c>
      <c r="E870" s="1" t="s">
        <v>3735</v>
      </c>
      <c r="F870" s="2"/>
      <c r="G870" s="2"/>
      <c r="H870" s="2"/>
    </row>
    <row r="871" spans="1:8" x14ac:dyDescent="0.25">
      <c r="A871" s="1"/>
      <c r="B871" s="1" t="s">
        <v>8916</v>
      </c>
      <c r="C871" s="1" t="s">
        <v>8917</v>
      </c>
      <c r="D871" s="22" t="str">
        <f>HYPERLINK("https://rhld.insurance.arkansas.gov/NPILookup?Npi=1992760342","1992760342")</f>
        <v>1992760342</v>
      </c>
      <c r="E871" s="1" t="s">
        <v>9637</v>
      </c>
      <c r="F871" s="2"/>
      <c r="G871" s="2"/>
      <c r="H871" s="2"/>
    </row>
    <row r="872" spans="1:8" x14ac:dyDescent="0.25">
      <c r="A872" s="1"/>
      <c r="B872" s="1" t="s">
        <v>8916</v>
      </c>
      <c r="C872" s="1" t="s">
        <v>8917</v>
      </c>
      <c r="D872" s="22" t="str">
        <f>HYPERLINK("https://rhld.insurance.arkansas.gov/NPILookup?Npi=1992796924","1992796924")</f>
        <v>1992796924</v>
      </c>
      <c r="E872" s="1" t="s">
        <v>15380</v>
      </c>
      <c r="F872" s="2"/>
      <c r="G872" s="2"/>
      <c r="H872" s="2"/>
    </row>
    <row r="873" spans="1:8" x14ac:dyDescent="0.25">
      <c r="A873" s="1"/>
      <c r="B873" s="1" t="s">
        <v>8916</v>
      </c>
      <c r="C873" s="1" t="s">
        <v>8917</v>
      </c>
      <c r="D873" s="22" t="str">
        <f>HYPERLINK("https://rhld.insurance.arkansas.gov/NPILookup?Npi=1992917728","1992917728")</f>
        <v>1992917728</v>
      </c>
      <c r="E873" s="1" t="s">
        <v>15381</v>
      </c>
      <c r="F873" s="2"/>
      <c r="G873" s="2"/>
      <c r="H873" s="2"/>
    </row>
    <row r="874" spans="1:8" x14ac:dyDescent="0.25">
      <c r="A874" s="1"/>
      <c r="B874" s="1" t="s">
        <v>8962</v>
      </c>
      <c r="C874" s="1" t="s">
        <v>8963</v>
      </c>
      <c r="D874" s="22" t="str">
        <f>HYPERLINK("https://rhld.insurance.arkansas.gov/NPILookup?Npi=1003180035","1003180035")</f>
        <v>1003180035</v>
      </c>
      <c r="E874" s="1" t="s">
        <v>15298</v>
      </c>
      <c r="F874" s="2"/>
      <c r="G874" s="2"/>
      <c r="H874" s="2"/>
    </row>
    <row r="875" spans="1:8" x14ac:dyDescent="0.25">
      <c r="A875" s="1"/>
      <c r="B875" s="1" t="s">
        <v>8962</v>
      </c>
      <c r="C875" s="1" t="s">
        <v>8963</v>
      </c>
      <c r="D875" s="22" t="str">
        <f>HYPERLINK("https://rhld.insurance.arkansas.gov/NPILookup?Npi=1003461955","1003461955")</f>
        <v>1003461955</v>
      </c>
      <c r="E875" s="1" t="s">
        <v>15382</v>
      </c>
      <c r="F875" s="2"/>
      <c r="G875" s="2"/>
      <c r="H875" s="2"/>
    </row>
    <row r="876" spans="1:8" x14ac:dyDescent="0.25">
      <c r="A876" s="1"/>
      <c r="B876" s="1" t="s">
        <v>8962</v>
      </c>
      <c r="C876" s="1" t="s">
        <v>8963</v>
      </c>
      <c r="D876" s="22" t="str">
        <f>HYPERLINK("https://rhld.insurance.arkansas.gov/NPILookup?Npi=1013979301","1013979301")</f>
        <v>1013979301</v>
      </c>
      <c r="E876" s="1" t="s">
        <v>15299</v>
      </c>
      <c r="F876" s="2"/>
      <c r="G876" s="2"/>
      <c r="H876" s="2"/>
    </row>
    <row r="877" spans="1:8" x14ac:dyDescent="0.25">
      <c r="A877" s="1"/>
      <c r="B877" s="1" t="s">
        <v>8962</v>
      </c>
      <c r="C877" s="1" t="s">
        <v>8963</v>
      </c>
      <c r="D877" s="22" t="str">
        <f>HYPERLINK("https://rhld.insurance.arkansas.gov/NPILookup?Npi=1023109097","1023109097")</f>
        <v>1023109097</v>
      </c>
      <c r="E877" s="1" t="s">
        <v>15383</v>
      </c>
      <c r="F877" s="2"/>
      <c r="G877" s="2"/>
      <c r="H877" s="2"/>
    </row>
    <row r="878" spans="1:8" x14ac:dyDescent="0.25">
      <c r="A878" s="1"/>
      <c r="B878" s="1" t="s">
        <v>8962</v>
      </c>
      <c r="C878" s="1" t="s">
        <v>8963</v>
      </c>
      <c r="D878" s="22" t="str">
        <f>HYPERLINK("https://rhld.insurance.arkansas.gov/NPILookup?Npi=1033147921","1033147921")</f>
        <v>1033147921</v>
      </c>
      <c r="E878" s="1" t="s">
        <v>15089</v>
      </c>
      <c r="F878" s="2"/>
      <c r="G878" s="2"/>
      <c r="H878" s="2"/>
    </row>
    <row r="879" spans="1:8" x14ac:dyDescent="0.25">
      <c r="A879" s="1"/>
      <c r="B879" s="1" t="s">
        <v>8962</v>
      </c>
      <c r="C879" s="1" t="s">
        <v>8963</v>
      </c>
      <c r="D879" s="22" t="str">
        <f>HYPERLINK("https://rhld.insurance.arkansas.gov/NPILookup?Npi=1033160049","1033160049")</f>
        <v>1033160049</v>
      </c>
      <c r="E879" s="1" t="s">
        <v>972</v>
      </c>
      <c r="F879" s="2"/>
      <c r="G879" s="2"/>
      <c r="H879" s="2"/>
    </row>
    <row r="880" spans="1:8" x14ac:dyDescent="0.25">
      <c r="A880" s="1"/>
      <c r="B880" s="1" t="s">
        <v>8962</v>
      </c>
      <c r="C880" s="1" t="s">
        <v>8963</v>
      </c>
      <c r="D880" s="22" t="str">
        <f>HYPERLINK("https://rhld.insurance.arkansas.gov/NPILookup?Npi=1033737762","1033737762")</f>
        <v>1033737762</v>
      </c>
      <c r="E880" s="1" t="s">
        <v>8964</v>
      </c>
      <c r="F880" s="2"/>
      <c r="G880" s="2"/>
      <c r="H880" s="2"/>
    </row>
    <row r="881" spans="1:8" x14ac:dyDescent="0.25">
      <c r="A881" s="1"/>
      <c r="B881" s="1" t="s">
        <v>8962</v>
      </c>
      <c r="C881" s="1" t="s">
        <v>8963</v>
      </c>
      <c r="D881" s="22" t="str">
        <f>HYPERLINK("https://rhld.insurance.arkansas.gov/NPILookup?Npi=1043240682","1043240682")</f>
        <v>1043240682</v>
      </c>
      <c r="E881" s="1" t="s">
        <v>15095</v>
      </c>
      <c r="F881" s="2"/>
      <c r="G881" s="2"/>
      <c r="H881" s="2"/>
    </row>
    <row r="882" spans="1:8" x14ac:dyDescent="0.25">
      <c r="A882" s="1"/>
      <c r="B882" s="1" t="s">
        <v>8962</v>
      </c>
      <c r="C882" s="1" t="s">
        <v>8963</v>
      </c>
      <c r="D882" s="22" t="str">
        <f>HYPERLINK("https://rhld.insurance.arkansas.gov/NPILookup?Npi=1053169300","1053169300")</f>
        <v>1053169300</v>
      </c>
      <c r="E882" s="1" t="s">
        <v>15384</v>
      </c>
      <c r="F882" s="2"/>
      <c r="G882" s="2"/>
      <c r="H882" s="2"/>
    </row>
    <row r="883" spans="1:8" x14ac:dyDescent="0.25">
      <c r="A883" s="1"/>
      <c r="B883" s="1" t="s">
        <v>8962</v>
      </c>
      <c r="C883" s="1" t="s">
        <v>8963</v>
      </c>
      <c r="D883" s="22" t="str">
        <f>HYPERLINK("https://rhld.insurance.arkansas.gov/NPILookup?Npi=1063407138","1063407138")</f>
        <v>1063407138</v>
      </c>
      <c r="E883" s="1" t="s">
        <v>15385</v>
      </c>
      <c r="F883" s="2"/>
      <c r="G883" s="2"/>
      <c r="H883" s="2"/>
    </row>
    <row r="884" spans="1:8" x14ac:dyDescent="0.25">
      <c r="A884" s="1"/>
      <c r="B884" s="1" t="s">
        <v>8962</v>
      </c>
      <c r="C884" s="1" t="s">
        <v>8963</v>
      </c>
      <c r="D884" s="22" t="str">
        <f>HYPERLINK("https://rhld.insurance.arkansas.gov/NPILookup?Npi=1063415800","1063415800")</f>
        <v>1063415800</v>
      </c>
      <c r="E884" s="1" t="s">
        <v>8965</v>
      </c>
      <c r="F884" s="2"/>
      <c r="G884" s="2"/>
      <c r="H884" s="2"/>
    </row>
    <row r="885" spans="1:8" x14ac:dyDescent="0.25">
      <c r="A885" s="1"/>
      <c r="B885" s="1" t="s">
        <v>8962</v>
      </c>
      <c r="C885" s="1" t="s">
        <v>8963</v>
      </c>
      <c r="D885" s="22" t="str">
        <f>HYPERLINK("https://rhld.insurance.arkansas.gov/NPILookup?Npi=1063431294","1063431294")</f>
        <v>1063431294</v>
      </c>
      <c r="E885" s="1" t="s">
        <v>640</v>
      </c>
      <c r="F885" s="2"/>
      <c r="G885" s="2"/>
      <c r="H885" s="2"/>
    </row>
    <row r="886" spans="1:8" x14ac:dyDescent="0.25">
      <c r="A886" s="1"/>
      <c r="B886" s="1" t="s">
        <v>8962</v>
      </c>
      <c r="C886" s="1" t="s">
        <v>8963</v>
      </c>
      <c r="D886" s="22" t="str">
        <f>HYPERLINK("https://rhld.insurance.arkansas.gov/NPILookup?Npi=1063482735","1063482735")</f>
        <v>1063482735</v>
      </c>
      <c r="E886" s="1" t="s">
        <v>8966</v>
      </c>
      <c r="F886" s="2"/>
      <c r="G886" s="2"/>
      <c r="H886" s="2"/>
    </row>
    <row r="887" spans="1:8" x14ac:dyDescent="0.25">
      <c r="A887" s="1"/>
      <c r="B887" s="1" t="s">
        <v>8962</v>
      </c>
      <c r="C887" s="1" t="s">
        <v>8963</v>
      </c>
      <c r="D887" s="22" t="str">
        <f>HYPERLINK("https://rhld.insurance.arkansas.gov/NPILookup?Npi=1063551265","1063551265")</f>
        <v>1063551265</v>
      </c>
      <c r="E887" s="1" t="s">
        <v>15386</v>
      </c>
      <c r="F887" s="2"/>
      <c r="G887" s="2"/>
      <c r="H887" s="2"/>
    </row>
    <row r="888" spans="1:8" x14ac:dyDescent="0.25">
      <c r="A888" s="1"/>
      <c r="B888" s="1" t="s">
        <v>8962</v>
      </c>
      <c r="C888" s="1" t="s">
        <v>8963</v>
      </c>
      <c r="D888" s="22" t="str">
        <f>HYPERLINK("https://rhld.insurance.arkansas.gov/NPILookup?Npi=1073600136","1073600136")</f>
        <v>1073600136</v>
      </c>
      <c r="E888" s="1" t="s">
        <v>15301</v>
      </c>
      <c r="F888" s="2"/>
      <c r="G888" s="2"/>
      <c r="H888" s="2"/>
    </row>
    <row r="889" spans="1:8" x14ac:dyDescent="0.25">
      <c r="A889" s="1"/>
      <c r="B889" s="1" t="s">
        <v>8962</v>
      </c>
      <c r="C889" s="1" t="s">
        <v>8963</v>
      </c>
      <c r="D889" s="22" t="str">
        <f>HYPERLINK("https://rhld.insurance.arkansas.gov/NPILookup?Npi=1073748406","1073748406")</f>
        <v>1073748406</v>
      </c>
      <c r="E889" s="1" t="s">
        <v>5178</v>
      </c>
      <c r="F889" s="2"/>
      <c r="G889" s="2"/>
      <c r="H889" s="2"/>
    </row>
    <row r="890" spans="1:8" x14ac:dyDescent="0.25">
      <c r="A890" s="1"/>
      <c r="B890" s="1" t="s">
        <v>8962</v>
      </c>
      <c r="C890" s="1" t="s">
        <v>8963</v>
      </c>
      <c r="D890" s="22" t="str">
        <f>HYPERLINK("https://rhld.insurance.arkansas.gov/NPILookup?Npi=1083634596","1083634596")</f>
        <v>1083634596</v>
      </c>
      <c r="E890" s="1" t="s">
        <v>641</v>
      </c>
      <c r="F890" s="2"/>
      <c r="G890" s="2"/>
      <c r="H890" s="2"/>
    </row>
    <row r="891" spans="1:8" x14ac:dyDescent="0.25">
      <c r="A891" s="1"/>
      <c r="B891" s="1" t="s">
        <v>8962</v>
      </c>
      <c r="C891" s="1" t="s">
        <v>8963</v>
      </c>
      <c r="D891" s="22" t="str">
        <f>HYPERLINK("https://rhld.insurance.arkansas.gov/NPILookup?Npi=1083687651","1083687651")</f>
        <v>1083687651</v>
      </c>
      <c r="E891" s="1" t="s">
        <v>1411</v>
      </c>
      <c r="F891" s="2"/>
      <c r="G891" s="2"/>
      <c r="H891" s="2"/>
    </row>
    <row r="892" spans="1:8" x14ac:dyDescent="0.25">
      <c r="A892" s="1"/>
      <c r="B892" s="1" t="s">
        <v>8962</v>
      </c>
      <c r="C892" s="1" t="s">
        <v>8963</v>
      </c>
      <c r="D892" s="22" t="str">
        <f>HYPERLINK("https://rhld.insurance.arkansas.gov/NPILookup?Npi=1083778302","1083778302")</f>
        <v>1083778302</v>
      </c>
      <c r="E892" s="1" t="s">
        <v>15274</v>
      </c>
      <c r="F892" s="2"/>
      <c r="G892" s="2"/>
      <c r="H892" s="2"/>
    </row>
    <row r="893" spans="1:8" x14ac:dyDescent="0.25">
      <c r="A893" s="1"/>
      <c r="B893" s="1" t="s">
        <v>8962</v>
      </c>
      <c r="C893" s="1" t="s">
        <v>8963</v>
      </c>
      <c r="D893" s="22" t="str">
        <f>HYPERLINK("https://rhld.insurance.arkansas.gov/NPILookup?Npi=1093785859","1093785859")</f>
        <v>1093785859</v>
      </c>
      <c r="E893" s="1" t="s">
        <v>15387</v>
      </c>
      <c r="F893" s="2"/>
      <c r="G893" s="2"/>
      <c r="H893" s="2"/>
    </row>
    <row r="894" spans="1:8" x14ac:dyDescent="0.25">
      <c r="A894" s="1"/>
      <c r="B894" s="1" t="s">
        <v>8962</v>
      </c>
      <c r="C894" s="1" t="s">
        <v>8963</v>
      </c>
      <c r="D894" s="22" t="str">
        <f>HYPERLINK("https://rhld.insurance.arkansas.gov/NPILookup?Npi=1114365988","1114365988")</f>
        <v>1114365988</v>
      </c>
      <c r="E894" s="1" t="s">
        <v>9655</v>
      </c>
      <c r="F894" s="2"/>
      <c r="G894" s="2"/>
      <c r="H894" s="2"/>
    </row>
    <row r="895" spans="1:8" x14ac:dyDescent="0.25">
      <c r="A895" s="1"/>
      <c r="B895" s="1" t="s">
        <v>8962</v>
      </c>
      <c r="C895" s="1" t="s">
        <v>8963</v>
      </c>
      <c r="D895" s="22" t="str">
        <f>HYPERLINK("https://rhld.insurance.arkansas.gov/NPILookup?Npi=1114903523","1114903523")</f>
        <v>1114903523</v>
      </c>
      <c r="E895" s="1" t="s">
        <v>2139</v>
      </c>
      <c r="F895" s="2"/>
      <c r="G895" s="2"/>
      <c r="H895" s="2"/>
    </row>
    <row r="896" spans="1:8" x14ac:dyDescent="0.25">
      <c r="A896" s="1"/>
      <c r="B896" s="1" t="s">
        <v>8962</v>
      </c>
      <c r="C896" s="1" t="s">
        <v>8963</v>
      </c>
      <c r="D896" s="22" t="str">
        <f>HYPERLINK("https://rhld.insurance.arkansas.gov/NPILookup?Npi=1124021811","1124021811")</f>
        <v>1124021811</v>
      </c>
      <c r="E896" s="1" t="s">
        <v>8888</v>
      </c>
      <c r="F896" s="2"/>
      <c r="G896" s="2"/>
      <c r="H896" s="2"/>
    </row>
    <row r="897" spans="1:8" x14ac:dyDescent="0.25">
      <c r="A897" s="1"/>
      <c r="B897" s="1" t="s">
        <v>8962</v>
      </c>
      <c r="C897" s="1" t="s">
        <v>8963</v>
      </c>
      <c r="D897" s="22" t="str">
        <f>HYPERLINK("https://rhld.insurance.arkansas.gov/NPILookup?Npi=1134305436","1134305436")</f>
        <v>1134305436</v>
      </c>
      <c r="E897" s="1" t="s">
        <v>15388</v>
      </c>
      <c r="F897" s="2"/>
      <c r="G897" s="2"/>
      <c r="H897" s="2"/>
    </row>
    <row r="898" spans="1:8" x14ac:dyDescent="0.25">
      <c r="A898" s="1"/>
      <c r="B898" s="1" t="s">
        <v>8962</v>
      </c>
      <c r="C898" s="1" t="s">
        <v>8963</v>
      </c>
      <c r="D898" s="22" t="str">
        <f>HYPERLINK("https://rhld.insurance.arkansas.gov/NPILookup?Npi=1134521685","1134521685")</f>
        <v>1134521685</v>
      </c>
      <c r="E898" s="1" t="s">
        <v>15389</v>
      </c>
      <c r="F898" s="2"/>
      <c r="G898" s="2"/>
      <c r="H898" s="2"/>
    </row>
    <row r="899" spans="1:8" x14ac:dyDescent="0.25">
      <c r="A899" s="1"/>
      <c r="B899" s="1" t="s">
        <v>8962</v>
      </c>
      <c r="C899" s="1" t="s">
        <v>8963</v>
      </c>
      <c r="D899" s="22" t="str">
        <f>HYPERLINK("https://rhld.insurance.arkansas.gov/NPILookup?Npi=1134879208","1134879208")</f>
        <v>1134879208</v>
      </c>
      <c r="E899" s="1" t="s">
        <v>2443</v>
      </c>
      <c r="F899" s="2"/>
      <c r="G899" s="2"/>
      <c r="H899" s="2"/>
    </row>
    <row r="900" spans="1:8" x14ac:dyDescent="0.25">
      <c r="A900" s="1"/>
      <c r="B900" s="1" t="s">
        <v>8962</v>
      </c>
      <c r="C900" s="1" t="s">
        <v>8963</v>
      </c>
      <c r="D900" s="22" t="str">
        <f>HYPERLINK("https://rhld.insurance.arkansas.gov/NPILookup?Npi=1144213117","1144213117")</f>
        <v>1144213117</v>
      </c>
      <c r="E900" s="1" t="s">
        <v>1688</v>
      </c>
      <c r="F900" s="2"/>
      <c r="G900" s="2"/>
      <c r="H900" s="2"/>
    </row>
    <row r="901" spans="1:8" x14ac:dyDescent="0.25">
      <c r="A901" s="1"/>
      <c r="B901" s="1" t="s">
        <v>8962</v>
      </c>
      <c r="C901" s="1" t="s">
        <v>8963</v>
      </c>
      <c r="D901" s="22" t="str">
        <f>HYPERLINK("https://rhld.insurance.arkansas.gov/NPILookup?Npi=1144294745","1144294745")</f>
        <v>1144294745</v>
      </c>
      <c r="E901" s="1" t="s">
        <v>15302</v>
      </c>
      <c r="F901" s="2"/>
      <c r="G901" s="2"/>
      <c r="H901" s="2"/>
    </row>
    <row r="902" spans="1:8" x14ac:dyDescent="0.25">
      <c r="A902" s="1"/>
      <c r="B902" s="1" t="s">
        <v>8962</v>
      </c>
      <c r="C902" s="1" t="s">
        <v>8963</v>
      </c>
      <c r="D902" s="22" t="str">
        <f>HYPERLINK("https://rhld.insurance.arkansas.gov/NPILookup?Npi=1144459355","1144459355")</f>
        <v>1144459355</v>
      </c>
      <c r="E902" s="1" t="s">
        <v>8967</v>
      </c>
      <c r="F902" s="2"/>
      <c r="G902" s="2"/>
      <c r="H902" s="2"/>
    </row>
    <row r="903" spans="1:8" x14ac:dyDescent="0.25">
      <c r="A903" s="1"/>
      <c r="B903" s="1" t="s">
        <v>8962</v>
      </c>
      <c r="C903" s="1" t="s">
        <v>8963</v>
      </c>
      <c r="D903" s="22" t="str">
        <f>HYPERLINK("https://rhld.insurance.arkansas.gov/NPILookup?Npi=1144495235","1144495235")</f>
        <v>1144495235</v>
      </c>
      <c r="E903" s="1" t="s">
        <v>15390</v>
      </c>
      <c r="F903" s="2"/>
      <c r="G903" s="2"/>
      <c r="H903" s="2"/>
    </row>
    <row r="904" spans="1:8" x14ac:dyDescent="0.25">
      <c r="A904" s="1"/>
      <c r="B904" s="1" t="s">
        <v>8962</v>
      </c>
      <c r="C904" s="1" t="s">
        <v>8963</v>
      </c>
      <c r="D904" s="22" t="str">
        <f>HYPERLINK("https://rhld.insurance.arkansas.gov/NPILookup?Npi=1144590522","1144590522")</f>
        <v>1144590522</v>
      </c>
      <c r="E904" s="1" t="s">
        <v>15275</v>
      </c>
      <c r="F904" s="2"/>
      <c r="G904" s="2"/>
      <c r="H904" s="2"/>
    </row>
    <row r="905" spans="1:8" x14ac:dyDescent="0.25">
      <c r="A905" s="1"/>
      <c r="B905" s="1" t="s">
        <v>8962</v>
      </c>
      <c r="C905" s="1" t="s">
        <v>8963</v>
      </c>
      <c r="D905" s="22" t="str">
        <f>HYPERLINK("https://rhld.insurance.arkansas.gov/NPILookup?Npi=1154807584","1154807584")</f>
        <v>1154807584</v>
      </c>
      <c r="E905" s="1" t="s">
        <v>3465</v>
      </c>
      <c r="F905" s="2"/>
      <c r="G905" s="2"/>
      <c r="H905" s="2"/>
    </row>
    <row r="906" spans="1:8" x14ac:dyDescent="0.25">
      <c r="A906" s="1"/>
      <c r="B906" s="1" t="s">
        <v>8962</v>
      </c>
      <c r="C906" s="1" t="s">
        <v>8963</v>
      </c>
      <c r="D906" s="22" t="str">
        <f>HYPERLINK("https://rhld.insurance.arkansas.gov/NPILookup?Npi=1154894954","1154894954")</f>
        <v>1154894954</v>
      </c>
      <c r="E906" s="1" t="s">
        <v>2444</v>
      </c>
      <c r="F906" s="2"/>
      <c r="G906" s="2"/>
      <c r="H906" s="2"/>
    </row>
    <row r="907" spans="1:8" x14ac:dyDescent="0.25">
      <c r="A907" s="1"/>
      <c r="B907" s="1" t="s">
        <v>8962</v>
      </c>
      <c r="C907" s="1" t="s">
        <v>8963</v>
      </c>
      <c r="D907" s="22" t="str">
        <f>HYPERLINK("https://rhld.insurance.arkansas.gov/NPILookup?Npi=1174252985","1174252985")</f>
        <v>1174252985</v>
      </c>
      <c r="E907" s="1" t="s">
        <v>2445</v>
      </c>
      <c r="F907" s="2"/>
      <c r="G907" s="2"/>
      <c r="H907" s="2"/>
    </row>
    <row r="908" spans="1:8" x14ac:dyDescent="0.25">
      <c r="A908" s="1"/>
      <c r="B908" s="1" t="s">
        <v>8962</v>
      </c>
      <c r="C908" s="1" t="s">
        <v>8963</v>
      </c>
      <c r="D908" s="22" t="str">
        <f>HYPERLINK("https://rhld.insurance.arkansas.gov/NPILookup?Npi=1174617526","1174617526")</f>
        <v>1174617526</v>
      </c>
      <c r="E908" s="1" t="s">
        <v>8968</v>
      </c>
      <c r="F908" s="2"/>
      <c r="G908" s="2"/>
      <c r="H908" s="2"/>
    </row>
    <row r="909" spans="1:8" x14ac:dyDescent="0.25">
      <c r="A909" s="1"/>
      <c r="B909" s="1" t="s">
        <v>8962</v>
      </c>
      <c r="C909" s="1" t="s">
        <v>8963</v>
      </c>
      <c r="D909" s="22" t="str">
        <f>HYPERLINK("https://rhld.insurance.arkansas.gov/NPILookup?Npi=1184010282","1184010282")</f>
        <v>1184010282</v>
      </c>
      <c r="E909" s="1" t="s">
        <v>8969</v>
      </c>
      <c r="F909" s="2"/>
      <c r="G909" s="2"/>
      <c r="H909" s="2"/>
    </row>
    <row r="910" spans="1:8" x14ac:dyDescent="0.25">
      <c r="A910" s="1"/>
      <c r="B910" s="1" t="s">
        <v>8962</v>
      </c>
      <c r="C910" s="1" t="s">
        <v>8963</v>
      </c>
      <c r="D910" s="22" t="str">
        <f>HYPERLINK("https://rhld.insurance.arkansas.gov/NPILookup?Npi=1194482034","1194482034")</f>
        <v>1194482034</v>
      </c>
      <c r="E910" s="1" t="s">
        <v>2446</v>
      </c>
      <c r="F910" s="2"/>
      <c r="G910" s="2"/>
      <c r="H910" s="2"/>
    </row>
    <row r="911" spans="1:8" x14ac:dyDescent="0.25">
      <c r="A911" s="1"/>
      <c r="B911" s="1" t="s">
        <v>8962</v>
      </c>
      <c r="C911" s="1" t="s">
        <v>8963</v>
      </c>
      <c r="D911" s="22" t="str">
        <f>HYPERLINK("https://rhld.insurance.arkansas.gov/NPILookup?Npi=1194741611","1194741611")</f>
        <v>1194741611</v>
      </c>
      <c r="E911" s="1" t="s">
        <v>636</v>
      </c>
      <c r="F911" s="2"/>
      <c r="G911" s="2"/>
      <c r="H911" s="2"/>
    </row>
    <row r="912" spans="1:8" x14ac:dyDescent="0.25">
      <c r="A912" s="1"/>
      <c r="B912" s="1" t="s">
        <v>8962</v>
      </c>
      <c r="C912" s="1" t="s">
        <v>8963</v>
      </c>
      <c r="D912" s="22" t="str">
        <f>HYPERLINK("https://rhld.insurance.arkansas.gov/NPILookup?Npi=1194758953","1194758953")</f>
        <v>1194758953</v>
      </c>
      <c r="E912" s="1" t="s">
        <v>639</v>
      </c>
      <c r="F912" s="2"/>
      <c r="G912" s="2"/>
      <c r="H912" s="2"/>
    </row>
    <row r="913" spans="1:8" x14ac:dyDescent="0.25">
      <c r="A913" s="1"/>
      <c r="B913" s="1" t="s">
        <v>8962</v>
      </c>
      <c r="C913" s="1" t="s">
        <v>8963</v>
      </c>
      <c r="D913" s="22" t="str">
        <f>HYPERLINK("https://rhld.insurance.arkansas.gov/NPILookup?Npi=1205454808","1205454808")</f>
        <v>1205454808</v>
      </c>
      <c r="E913" s="1" t="s">
        <v>8970</v>
      </c>
      <c r="F913" s="2"/>
      <c r="G913" s="2"/>
      <c r="H913" s="2"/>
    </row>
    <row r="914" spans="1:8" x14ac:dyDescent="0.25">
      <c r="A914" s="1"/>
      <c r="B914" s="1" t="s">
        <v>8962</v>
      </c>
      <c r="C914" s="1" t="s">
        <v>8963</v>
      </c>
      <c r="D914" s="22" t="str">
        <f>HYPERLINK("https://rhld.insurance.arkansas.gov/NPILookup?Npi=1205940236","1205940236")</f>
        <v>1205940236</v>
      </c>
      <c r="E914" s="1" t="s">
        <v>9656</v>
      </c>
      <c r="F914" s="2"/>
      <c r="G914" s="2"/>
      <c r="H914" s="2"/>
    </row>
    <row r="915" spans="1:8" x14ac:dyDescent="0.25">
      <c r="A915" s="1"/>
      <c r="B915" s="1" t="s">
        <v>8962</v>
      </c>
      <c r="C915" s="1" t="s">
        <v>8963</v>
      </c>
      <c r="D915" s="22" t="str">
        <f>HYPERLINK("https://rhld.insurance.arkansas.gov/NPILookup?Npi=1215967831","1215967831")</f>
        <v>1215967831</v>
      </c>
      <c r="E915" s="1" t="s">
        <v>6943</v>
      </c>
      <c r="F915" s="2"/>
      <c r="G915" s="2"/>
      <c r="H915" s="2"/>
    </row>
    <row r="916" spans="1:8" x14ac:dyDescent="0.25">
      <c r="A916" s="1"/>
      <c r="B916" s="1" t="s">
        <v>8962</v>
      </c>
      <c r="C916" s="1" t="s">
        <v>8963</v>
      </c>
      <c r="D916" s="22" t="str">
        <f>HYPERLINK("https://rhld.insurance.arkansas.gov/NPILookup?Npi=1225211741","1225211741")</f>
        <v>1225211741</v>
      </c>
      <c r="E916" s="1" t="s">
        <v>15391</v>
      </c>
      <c r="F916" s="2"/>
      <c r="G916" s="2"/>
      <c r="H916" s="2"/>
    </row>
    <row r="917" spans="1:8" x14ac:dyDescent="0.25">
      <c r="A917" s="1"/>
      <c r="B917" s="1" t="s">
        <v>8962</v>
      </c>
      <c r="C917" s="1" t="s">
        <v>8963</v>
      </c>
      <c r="D917" s="22" t="str">
        <f>HYPERLINK("https://rhld.insurance.arkansas.gov/NPILookup?Npi=1235111071","1235111071")</f>
        <v>1235111071</v>
      </c>
      <c r="E917" s="1" t="s">
        <v>1563</v>
      </c>
      <c r="F917" s="2"/>
      <c r="G917" s="2"/>
      <c r="H917" s="2"/>
    </row>
    <row r="918" spans="1:8" x14ac:dyDescent="0.25">
      <c r="A918" s="1"/>
      <c r="B918" s="1" t="s">
        <v>8962</v>
      </c>
      <c r="C918" s="1" t="s">
        <v>8963</v>
      </c>
      <c r="D918" s="22" t="str">
        <f>HYPERLINK("https://rhld.insurance.arkansas.gov/NPILookup?Npi=1235346230","1235346230")</f>
        <v>1235346230</v>
      </c>
      <c r="E918" s="1" t="s">
        <v>8891</v>
      </c>
      <c r="F918" s="2"/>
      <c r="G918" s="2"/>
      <c r="H918" s="2"/>
    </row>
    <row r="919" spans="1:8" x14ac:dyDescent="0.25">
      <c r="A919" s="1"/>
      <c r="B919" s="1" t="s">
        <v>8962</v>
      </c>
      <c r="C919" s="1" t="s">
        <v>8963</v>
      </c>
      <c r="D919" s="22" t="str">
        <f>HYPERLINK("https://rhld.insurance.arkansas.gov/NPILookup?Npi=1245284769","1245284769")</f>
        <v>1245284769</v>
      </c>
      <c r="E919" s="1" t="s">
        <v>1620</v>
      </c>
      <c r="F919" s="2"/>
      <c r="G919" s="2"/>
      <c r="H919" s="2"/>
    </row>
    <row r="920" spans="1:8" x14ac:dyDescent="0.25">
      <c r="A920" s="1"/>
      <c r="B920" s="1" t="s">
        <v>8962</v>
      </c>
      <c r="C920" s="1" t="s">
        <v>8963</v>
      </c>
      <c r="D920" s="22" t="str">
        <f>HYPERLINK("https://rhld.insurance.arkansas.gov/NPILookup?Npi=1245357912","1245357912")</f>
        <v>1245357912</v>
      </c>
      <c r="E920" s="1" t="s">
        <v>636</v>
      </c>
      <c r="F920" s="2"/>
      <c r="G920" s="2"/>
      <c r="H920" s="2"/>
    </row>
    <row r="921" spans="1:8" x14ac:dyDescent="0.25">
      <c r="A921" s="1"/>
      <c r="B921" s="1" t="s">
        <v>8962</v>
      </c>
      <c r="C921" s="1" t="s">
        <v>8963</v>
      </c>
      <c r="D921" s="22" t="str">
        <f>HYPERLINK("https://rhld.insurance.arkansas.gov/NPILookup?Npi=1245568567","1245568567")</f>
        <v>1245568567</v>
      </c>
      <c r="E921" s="1" t="s">
        <v>637</v>
      </c>
      <c r="F921" s="2"/>
      <c r="G921" s="2"/>
      <c r="H921" s="2"/>
    </row>
    <row r="922" spans="1:8" x14ac:dyDescent="0.25">
      <c r="A922" s="1"/>
      <c r="B922" s="1" t="s">
        <v>8962</v>
      </c>
      <c r="C922" s="1" t="s">
        <v>8963</v>
      </c>
      <c r="D922" s="22" t="str">
        <f>HYPERLINK("https://rhld.insurance.arkansas.gov/NPILookup?Npi=1245952514","1245952514")</f>
        <v>1245952514</v>
      </c>
      <c r="E922" s="1" t="s">
        <v>8971</v>
      </c>
      <c r="F922" s="2"/>
      <c r="G922" s="2"/>
      <c r="H922" s="2"/>
    </row>
    <row r="923" spans="1:8" x14ac:dyDescent="0.25">
      <c r="A923" s="1"/>
      <c r="B923" s="1" t="s">
        <v>8962</v>
      </c>
      <c r="C923" s="1" t="s">
        <v>8963</v>
      </c>
      <c r="D923" s="22" t="str">
        <f>HYPERLINK("https://rhld.insurance.arkansas.gov/NPILookup?Npi=1255377420","1255377420")</f>
        <v>1255377420</v>
      </c>
      <c r="E923" s="1" t="s">
        <v>8903</v>
      </c>
      <c r="F923" s="2"/>
      <c r="G923" s="2"/>
      <c r="H923" s="2"/>
    </row>
    <row r="924" spans="1:8" x14ac:dyDescent="0.25">
      <c r="A924" s="1"/>
      <c r="B924" s="1" t="s">
        <v>8962</v>
      </c>
      <c r="C924" s="1" t="s">
        <v>8963</v>
      </c>
      <c r="D924" s="22" t="str">
        <f>HYPERLINK("https://rhld.insurance.arkansas.gov/NPILookup?Npi=1255971610","1255971610")</f>
        <v>1255971610</v>
      </c>
      <c r="E924" s="1" t="s">
        <v>1650</v>
      </c>
      <c r="F924" s="2"/>
      <c r="G924" s="2"/>
      <c r="H924" s="2"/>
    </row>
    <row r="925" spans="1:8" x14ac:dyDescent="0.25">
      <c r="A925" s="1"/>
      <c r="B925" s="1" t="s">
        <v>8962</v>
      </c>
      <c r="C925" s="1" t="s">
        <v>8963</v>
      </c>
      <c r="D925" s="22" t="str">
        <f>HYPERLINK("https://rhld.insurance.arkansas.gov/NPILookup?Npi=1265090518","1265090518")</f>
        <v>1265090518</v>
      </c>
      <c r="E925" s="1" t="s">
        <v>1412</v>
      </c>
      <c r="F925" s="2"/>
      <c r="G925" s="2"/>
      <c r="H925" s="2"/>
    </row>
    <row r="926" spans="1:8" x14ac:dyDescent="0.25">
      <c r="A926" s="1"/>
      <c r="B926" s="1" t="s">
        <v>8962</v>
      </c>
      <c r="C926" s="1" t="s">
        <v>8963</v>
      </c>
      <c r="D926" s="22" t="str">
        <f>HYPERLINK("https://rhld.insurance.arkansas.gov/NPILookup?Npi=1265406102","1265406102")</f>
        <v>1265406102</v>
      </c>
      <c r="E926" s="1" t="s">
        <v>15392</v>
      </c>
      <c r="F926" s="2"/>
      <c r="G926" s="2"/>
      <c r="H926" s="2"/>
    </row>
    <row r="927" spans="1:8" x14ac:dyDescent="0.25">
      <c r="A927" s="1"/>
      <c r="B927" s="1" t="s">
        <v>8962</v>
      </c>
      <c r="C927" s="1" t="s">
        <v>8963</v>
      </c>
      <c r="D927" s="22" t="str">
        <f>HYPERLINK("https://rhld.insurance.arkansas.gov/NPILookup?Npi=1265824643","1265824643")</f>
        <v>1265824643</v>
      </c>
      <c r="E927" s="1" t="s">
        <v>1240</v>
      </c>
      <c r="F927" s="2"/>
      <c r="G927" s="2"/>
      <c r="H927" s="2"/>
    </row>
    <row r="928" spans="1:8" x14ac:dyDescent="0.25">
      <c r="A928" s="1"/>
      <c r="B928" s="1" t="s">
        <v>8962</v>
      </c>
      <c r="C928" s="1" t="s">
        <v>8963</v>
      </c>
      <c r="D928" s="22" t="str">
        <f>HYPERLINK("https://rhld.insurance.arkansas.gov/NPILookup?Npi=1265908263","1265908263")</f>
        <v>1265908263</v>
      </c>
      <c r="E928" s="1" t="s">
        <v>15393</v>
      </c>
      <c r="F928" s="2"/>
      <c r="G928" s="2"/>
      <c r="H928" s="2"/>
    </row>
    <row r="929" spans="1:8" x14ac:dyDescent="0.25">
      <c r="A929" s="1"/>
      <c r="B929" s="1" t="s">
        <v>8962</v>
      </c>
      <c r="C929" s="1" t="s">
        <v>8963</v>
      </c>
      <c r="D929" s="22" t="str">
        <f>HYPERLINK("https://rhld.insurance.arkansas.gov/NPILookup?Npi=1275388761","1275388761")</f>
        <v>1275388761</v>
      </c>
      <c r="E929" s="1" t="s">
        <v>15394</v>
      </c>
      <c r="F929" s="2"/>
      <c r="G929" s="2"/>
      <c r="H929" s="2"/>
    </row>
    <row r="930" spans="1:8" x14ac:dyDescent="0.25">
      <c r="A930" s="1"/>
      <c r="B930" s="1" t="s">
        <v>8962</v>
      </c>
      <c r="C930" s="1" t="s">
        <v>8963</v>
      </c>
      <c r="D930" s="22" t="str">
        <f>HYPERLINK("https://rhld.insurance.arkansas.gov/NPILookup?Npi=1275523912","1275523912")</f>
        <v>1275523912</v>
      </c>
      <c r="E930" s="1" t="s">
        <v>15141</v>
      </c>
      <c r="F930" s="2"/>
      <c r="G930" s="2"/>
      <c r="H930" s="2"/>
    </row>
    <row r="931" spans="1:8" x14ac:dyDescent="0.25">
      <c r="A931" s="1"/>
      <c r="B931" s="1" t="s">
        <v>8962</v>
      </c>
      <c r="C931" s="1" t="s">
        <v>8963</v>
      </c>
      <c r="D931" s="22" t="str">
        <f>HYPERLINK("https://rhld.insurance.arkansas.gov/NPILookup?Npi=1275681322","1275681322")</f>
        <v>1275681322</v>
      </c>
      <c r="E931" s="1" t="s">
        <v>8972</v>
      </c>
      <c r="F931" s="2"/>
      <c r="G931" s="2"/>
      <c r="H931" s="2"/>
    </row>
    <row r="932" spans="1:8" x14ac:dyDescent="0.25">
      <c r="A932" s="1"/>
      <c r="B932" s="1" t="s">
        <v>8962</v>
      </c>
      <c r="C932" s="1" t="s">
        <v>8963</v>
      </c>
      <c r="D932" s="22" t="str">
        <f>HYPERLINK("https://rhld.insurance.arkansas.gov/NPILookup?Npi=1285005140","1285005140")</f>
        <v>1285005140</v>
      </c>
      <c r="E932" s="1" t="s">
        <v>3572</v>
      </c>
      <c r="F932" s="2"/>
      <c r="G932" s="2"/>
      <c r="H932" s="2"/>
    </row>
    <row r="933" spans="1:8" x14ac:dyDescent="0.25">
      <c r="A933" s="1"/>
      <c r="B933" s="1" t="s">
        <v>8962</v>
      </c>
      <c r="C933" s="1" t="s">
        <v>8963</v>
      </c>
      <c r="D933" s="22" t="str">
        <f>HYPERLINK("https://rhld.insurance.arkansas.gov/NPILookup?Npi=1285739581","1285739581")</f>
        <v>1285739581</v>
      </c>
      <c r="E933" s="1" t="s">
        <v>9634</v>
      </c>
      <c r="F933" s="2"/>
      <c r="G933" s="2"/>
      <c r="H933" s="2"/>
    </row>
    <row r="934" spans="1:8" x14ac:dyDescent="0.25">
      <c r="A934" s="1"/>
      <c r="B934" s="1" t="s">
        <v>8962</v>
      </c>
      <c r="C934" s="1" t="s">
        <v>8963</v>
      </c>
      <c r="D934" s="22" t="str">
        <f>HYPERLINK("https://rhld.insurance.arkansas.gov/NPILookup?Npi=1295726156","1295726156")</f>
        <v>1295726156</v>
      </c>
      <c r="E934" s="1" t="s">
        <v>15395</v>
      </c>
      <c r="F934" s="2"/>
      <c r="G934" s="2"/>
      <c r="H934" s="2"/>
    </row>
    <row r="935" spans="1:8" x14ac:dyDescent="0.25">
      <c r="A935" s="1"/>
      <c r="B935" s="1" t="s">
        <v>8962</v>
      </c>
      <c r="C935" s="1" t="s">
        <v>8963</v>
      </c>
      <c r="D935" s="22" t="str">
        <f>HYPERLINK("https://rhld.insurance.arkansas.gov/NPILookup?Npi=1295817260","1295817260")</f>
        <v>1295817260</v>
      </c>
      <c r="E935" s="1" t="s">
        <v>654</v>
      </c>
      <c r="F935" s="2"/>
      <c r="G935" s="2"/>
      <c r="H935" s="2"/>
    </row>
    <row r="936" spans="1:8" x14ac:dyDescent="0.25">
      <c r="A936" s="1"/>
      <c r="B936" s="1" t="s">
        <v>8962</v>
      </c>
      <c r="C936" s="1" t="s">
        <v>8963</v>
      </c>
      <c r="D936" s="22" t="str">
        <f>HYPERLINK("https://rhld.insurance.arkansas.gov/NPILookup?Npi=1295839991","1295839991")</f>
        <v>1295839991</v>
      </c>
      <c r="E936" s="1" t="s">
        <v>2139</v>
      </c>
      <c r="F936" s="2"/>
      <c r="G936" s="2"/>
      <c r="H936" s="2"/>
    </row>
    <row r="937" spans="1:8" x14ac:dyDescent="0.25">
      <c r="A937" s="1"/>
      <c r="B937" s="1" t="s">
        <v>8962</v>
      </c>
      <c r="C937" s="1" t="s">
        <v>8963</v>
      </c>
      <c r="D937" s="22" t="str">
        <f>HYPERLINK("https://rhld.insurance.arkansas.gov/NPILookup?Npi=1306142062","1306142062")</f>
        <v>1306142062</v>
      </c>
      <c r="E937" s="1" t="s">
        <v>9624</v>
      </c>
      <c r="F937" s="2"/>
      <c r="G937" s="2"/>
      <c r="H937" s="2"/>
    </row>
    <row r="938" spans="1:8" x14ac:dyDescent="0.25">
      <c r="A938" s="1"/>
      <c r="B938" s="1" t="s">
        <v>8962</v>
      </c>
      <c r="C938" s="1" t="s">
        <v>8963</v>
      </c>
      <c r="D938" s="22" t="str">
        <f>HYPERLINK("https://rhld.insurance.arkansas.gov/NPILookup?Npi=1306441175","1306441175")</f>
        <v>1306441175</v>
      </c>
      <c r="E938" s="1" t="s">
        <v>8973</v>
      </c>
      <c r="F938" s="2"/>
      <c r="G938" s="2"/>
      <c r="H938" s="2"/>
    </row>
    <row r="939" spans="1:8" x14ac:dyDescent="0.25">
      <c r="A939" s="1"/>
      <c r="B939" s="1" t="s">
        <v>8962</v>
      </c>
      <c r="C939" s="1" t="s">
        <v>8963</v>
      </c>
      <c r="D939" s="22" t="str">
        <f>HYPERLINK("https://rhld.insurance.arkansas.gov/NPILookup?Npi=1316023591","1316023591")</f>
        <v>1316023591</v>
      </c>
      <c r="E939" s="1" t="s">
        <v>2140</v>
      </c>
      <c r="F939" s="2"/>
      <c r="G939" s="2"/>
      <c r="H939" s="2"/>
    </row>
    <row r="940" spans="1:8" x14ac:dyDescent="0.25">
      <c r="A940" s="1"/>
      <c r="B940" s="1" t="s">
        <v>8962</v>
      </c>
      <c r="C940" s="1" t="s">
        <v>8963</v>
      </c>
      <c r="D940" s="22" t="str">
        <f>HYPERLINK("https://rhld.insurance.arkansas.gov/NPILookup?Npi=1316902414","1316902414")</f>
        <v>1316902414</v>
      </c>
      <c r="E940" s="1" t="s">
        <v>15153</v>
      </c>
      <c r="F940" s="2"/>
      <c r="G940" s="2"/>
      <c r="H940" s="2"/>
    </row>
    <row r="941" spans="1:8" x14ac:dyDescent="0.25">
      <c r="A941" s="1"/>
      <c r="B941" s="1" t="s">
        <v>8962</v>
      </c>
      <c r="C941" s="1" t="s">
        <v>8963</v>
      </c>
      <c r="D941" s="22" t="str">
        <f>HYPERLINK("https://rhld.insurance.arkansas.gov/NPILookup?Npi=1326040692","1326040692")</f>
        <v>1326040692</v>
      </c>
      <c r="E941" s="1" t="s">
        <v>15396</v>
      </c>
      <c r="F941" s="2"/>
      <c r="G941" s="2"/>
      <c r="H941" s="2"/>
    </row>
    <row r="942" spans="1:8" x14ac:dyDescent="0.25">
      <c r="A942" s="1"/>
      <c r="B942" s="1" t="s">
        <v>8962</v>
      </c>
      <c r="C942" s="1" t="s">
        <v>8963</v>
      </c>
      <c r="D942" s="22" t="str">
        <f>HYPERLINK("https://rhld.insurance.arkansas.gov/NPILookup?Npi=1326116476","1326116476")</f>
        <v>1326116476</v>
      </c>
      <c r="E942" s="1" t="s">
        <v>15397</v>
      </c>
      <c r="F942" s="2"/>
      <c r="G942" s="2"/>
      <c r="H942" s="2"/>
    </row>
    <row r="943" spans="1:8" x14ac:dyDescent="0.25">
      <c r="A943" s="1"/>
      <c r="B943" s="1" t="s">
        <v>8962</v>
      </c>
      <c r="C943" s="1" t="s">
        <v>8963</v>
      </c>
      <c r="D943" s="22" t="str">
        <f>HYPERLINK("https://rhld.insurance.arkansas.gov/NPILookup?Npi=1326116518","1326116518")</f>
        <v>1326116518</v>
      </c>
      <c r="E943" s="1" t="s">
        <v>15398</v>
      </c>
      <c r="F943" s="2"/>
      <c r="G943" s="2"/>
      <c r="H943" s="2"/>
    </row>
    <row r="944" spans="1:8" x14ac:dyDescent="0.25">
      <c r="A944" s="1"/>
      <c r="B944" s="1" t="s">
        <v>8962</v>
      </c>
      <c r="C944" s="1" t="s">
        <v>8963</v>
      </c>
      <c r="D944" s="22" t="str">
        <f>HYPERLINK("https://rhld.insurance.arkansas.gov/NPILookup?Npi=1326438904","1326438904")</f>
        <v>1326438904</v>
      </c>
      <c r="E944" s="1" t="s">
        <v>776</v>
      </c>
      <c r="F944" s="2"/>
      <c r="G944" s="2"/>
      <c r="H944" s="2"/>
    </row>
    <row r="945" spans="1:8" x14ac:dyDescent="0.25">
      <c r="A945" s="1"/>
      <c r="B945" s="1" t="s">
        <v>8962</v>
      </c>
      <c r="C945" s="1" t="s">
        <v>8963</v>
      </c>
      <c r="D945" s="22" t="str">
        <f>HYPERLINK("https://rhld.insurance.arkansas.gov/NPILookup?Npi=1326713215","1326713215")</f>
        <v>1326713215</v>
      </c>
      <c r="E945" s="1" t="s">
        <v>2447</v>
      </c>
      <c r="F945" s="2"/>
      <c r="G945" s="2"/>
      <c r="H945" s="2"/>
    </row>
    <row r="946" spans="1:8" x14ac:dyDescent="0.25">
      <c r="A946" s="1"/>
      <c r="B946" s="1" t="s">
        <v>8962</v>
      </c>
      <c r="C946" s="1" t="s">
        <v>8963</v>
      </c>
      <c r="D946" s="22" t="str">
        <f>HYPERLINK("https://rhld.insurance.arkansas.gov/NPILookup?Npi=1346623352","1346623352")</f>
        <v>1346623352</v>
      </c>
      <c r="E946" s="1" t="s">
        <v>15281</v>
      </c>
      <c r="F946" s="2"/>
      <c r="G946" s="2"/>
      <c r="H946" s="2"/>
    </row>
    <row r="947" spans="1:8" x14ac:dyDescent="0.25">
      <c r="A947" s="1"/>
      <c r="B947" s="1" t="s">
        <v>8962</v>
      </c>
      <c r="C947" s="1" t="s">
        <v>8963</v>
      </c>
      <c r="D947" s="22" t="str">
        <f>HYPERLINK("https://rhld.insurance.arkansas.gov/NPILookup?Npi=1356703524","1356703524")</f>
        <v>1356703524</v>
      </c>
      <c r="E947" s="1" t="s">
        <v>9657</v>
      </c>
      <c r="F947" s="2"/>
      <c r="G947" s="2"/>
      <c r="H947" s="2"/>
    </row>
    <row r="948" spans="1:8" x14ac:dyDescent="0.25">
      <c r="A948" s="1"/>
      <c r="B948" s="1" t="s">
        <v>8962</v>
      </c>
      <c r="C948" s="1" t="s">
        <v>8963</v>
      </c>
      <c r="D948" s="22" t="str">
        <f>HYPERLINK("https://rhld.insurance.arkansas.gov/NPILookup?Npi=1366153454","1366153454")</f>
        <v>1366153454</v>
      </c>
      <c r="E948" s="1" t="s">
        <v>8974</v>
      </c>
      <c r="F948" s="2"/>
      <c r="G948" s="2"/>
      <c r="H948" s="2"/>
    </row>
    <row r="949" spans="1:8" x14ac:dyDescent="0.25">
      <c r="A949" s="1"/>
      <c r="B949" s="1" t="s">
        <v>8962</v>
      </c>
      <c r="C949" s="1" t="s">
        <v>8963</v>
      </c>
      <c r="D949" s="22" t="str">
        <f>HYPERLINK("https://rhld.insurance.arkansas.gov/NPILookup?Npi=1366654915","1366654915")</f>
        <v>1366654915</v>
      </c>
      <c r="E949" s="1" t="s">
        <v>15399</v>
      </c>
      <c r="F949" s="2"/>
      <c r="G949" s="2"/>
      <c r="H949" s="2"/>
    </row>
    <row r="950" spans="1:8" x14ac:dyDescent="0.25">
      <c r="A950" s="1"/>
      <c r="B950" s="1" t="s">
        <v>8962</v>
      </c>
      <c r="C950" s="1" t="s">
        <v>8963</v>
      </c>
      <c r="D950" s="22" t="str">
        <f>HYPERLINK("https://rhld.insurance.arkansas.gov/NPILookup?Npi=1376805515","1376805515")</f>
        <v>1376805515</v>
      </c>
      <c r="E950" s="1" t="s">
        <v>9658</v>
      </c>
      <c r="F950" s="2"/>
      <c r="G950" s="2"/>
      <c r="H950" s="2"/>
    </row>
    <row r="951" spans="1:8" x14ac:dyDescent="0.25">
      <c r="A951" s="1"/>
      <c r="B951" s="1" t="s">
        <v>8962</v>
      </c>
      <c r="C951" s="1" t="s">
        <v>8963</v>
      </c>
      <c r="D951" s="22" t="str">
        <f>HYPERLINK("https://rhld.insurance.arkansas.gov/NPILookup?Npi=1376845099","1376845099")</f>
        <v>1376845099</v>
      </c>
      <c r="E951" s="1" t="s">
        <v>15296</v>
      </c>
      <c r="F951" s="2"/>
      <c r="G951" s="2"/>
      <c r="H951" s="2"/>
    </row>
    <row r="952" spans="1:8" x14ac:dyDescent="0.25">
      <c r="A952" s="1"/>
      <c r="B952" s="1" t="s">
        <v>8962</v>
      </c>
      <c r="C952" s="1" t="s">
        <v>8963</v>
      </c>
      <c r="D952" s="22" t="str">
        <f>HYPERLINK("https://rhld.insurance.arkansas.gov/NPILookup?Npi=1386699353","1386699353")</f>
        <v>1386699353</v>
      </c>
      <c r="E952" s="1" t="s">
        <v>9628</v>
      </c>
      <c r="F952" s="2"/>
      <c r="G952" s="2"/>
      <c r="H952" s="2"/>
    </row>
    <row r="953" spans="1:8" x14ac:dyDescent="0.25">
      <c r="A953" s="1"/>
      <c r="B953" s="1" t="s">
        <v>8962</v>
      </c>
      <c r="C953" s="1" t="s">
        <v>8963</v>
      </c>
      <c r="D953" s="22" t="str">
        <f>HYPERLINK("https://rhld.insurance.arkansas.gov/NPILookup?Npi=1386891802","1386891802")</f>
        <v>1386891802</v>
      </c>
      <c r="E953" s="1" t="s">
        <v>1587</v>
      </c>
      <c r="F953" s="2"/>
      <c r="G953" s="2"/>
      <c r="H953" s="2"/>
    </row>
    <row r="954" spans="1:8" x14ac:dyDescent="0.25">
      <c r="A954" s="1"/>
      <c r="B954" s="1" t="s">
        <v>8962</v>
      </c>
      <c r="C954" s="1" t="s">
        <v>8963</v>
      </c>
      <c r="D954" s="22" t="str">
        <f>HYPERLINK("https://rhld.insurance.arkansas.gov/NPILookup?Npi=1396767158","1396767158")</f>
        <v>1396767158</v>
      </c>
      <c r="E954" s="1" t="s">
        <v>15305</v>
      </c>
      <c r="F954" s="2"/>
      <c r="G954" s="2"/>
      <c r="H954" s="2"/>
    </row>
    <row r="955" spans="1:8" x14ac:dyDescent="0.25">
      <c r="A955" s="1"/>
      <c r="B955" s="1" t="s">
        <v>8962</v>
      </c>
      <c r="C955" s="1" t="s">
        <v>8963</v>
      </c>
      <c r="D955" s="22" t="str">
        <f>HYPERLINK("https://rhld.insurance.arkansas.gov/NPILookup?Npi=1417199225","1417199225")</f>
        <v>1417199225</v>
      </c>
      <c r="E955" s="1" t="s">
        <v>1587</v>
      </c>
      <c r="F955" s="2"/>
      <c r="G955" s="2"/>
      <c r="H955" s="2"/>
    </row>
    <row r="956" spans="1:8" x14ac:dyDescent="0.25">
      <c r="A956" s="1"/>
      <c r="B956" s="1" t="s">
        <v>8962</v>
      </c>
      <c r="C956" s="1" t="s">
        <v>8963</v>
      </c>
      <c r="D956" s="22" t="str">
        <f>HYPERLINK("https://rhld.insurance.arkansas.gov/NPILookup?Npi=1417292608","1417292608")</f>
        <v>1417292608</v>
      </c>
      <c r="E956" s="1" t="s">
        <v>15400</v>
      </c>
      <c r="F956" s="2"/>
      <c r="G956" s="2"/>
      <c r="H956" s="2"/>
    </row>
    <row r="957" spans="1:8" x14ac:dyDescent="0.25">
      <c r="A957" s="1"/>
      <c r="B957" s="1" t="s">
        <v>8962</v>
      </c>
      <c r="C957" s="1" t="s">
        <v>8963</v>
      </c>
      <c r="D957" s="22" t="str">
        <f>HYPERLINK("https://rhld.insurance.arkansas.gov/NPILookup?Npi=1417655762","1417655762")</f>
        <v>1417655762</v>
      </c>
      <c r="E957" s="1" t="s">
        <v>8975</v>
      </c>
      <c r="F957" s="2"/>
      <c r="G957" s="2"/>
      <c r="H957" s="2"/>
    </row>
    <row r="958" spans="1:8" x14ac:dyDescent="0.25">
      <c r="A958" s="1"/>
      <c r="B958" s="1" t="s">
        <v>8962</v>
      </c>
      <c r="C958" s="1" t="s">
        <v>8963</v>
      </c>
      <c r="D958" s="22" t="str">
        <f>HYPERLINK("https://rhld.insurance.arkansas.gov/NPILookup?Npi=1427086313","1427086313")</f>
        <v>1427086313</v>
      </c>
      <c r="E958" s="1" t="s">
        <v>3575</v>
      </c>
      <c r="F958" s="2"/>
      <c r="G958" s="2"/>
      <c r="H958" s="2"/>
    </row>
    <row r="959" spans="1:8" x14ac:dyDescent="0.25">
      <c r="A959" s="1"/>
      <c r="B959" s="1" t="s">
        <v>8962</v>
      </c>
      <c r="C959" s="1" t="s">
        <v>8963</v>
      </c>
      <c r="D959" s="22" t="str">
        <f>HYPERLINK("https://rhld.insurance.arkansas.gov/NPILookup?Npi=1427531169","1427531169")</f>
        <v>1427531169</v>
      </c>
      <c r="E959" s="1" t="s">
        <v>1311</v>
      </c>
      <c r="F959" s="2"/>
      <c r="G959" s="2"/>
      <c r="H959" s="2"/>
    </row>
    <row r="960" spans="1:8" x14ac:dyDescent="0.25">
      <c r="A960" s="1"/>
      <c r="B960" s="1" t="s">
        <v>8962</v>
      </c>
      <c r="C960" s="1" t="s">
        <v>8963</v>
      </c>
      <c r="D960" s="22" t="str">
        <f>HYPERLINK("https://rhld.insurance.arkansas.gov/NPILookup?Npi=1437111713","1437111713")</f>
        <v>1437111713</v>
      </c>
      <c r="E960" s="1" t="s">
        <v>709</v>
      </c>
      <c r="F960" s="2"/>
      <c r="G960" s="2"/>
      <c r="H960" s="2"/>
    </row>
    <row r="961" spans="1:8" x14ac:dyDescent="0.25">
      <c r="A961" s="1"/>
      <c r="B961" s="1" t="s">
        <v>8962</v>
      </c>
      <c r="C961" s="1" t="s">
        <v>8963</v>
      </c>
      <c r="D961" s="22" t="str">
        <f>HYPERLINK("https://rhld.insurance.arkansas.gov/NPILookup?Npi=1437188216","1437188216")</f>
        <v>1437188216</v>
      </c>
      <c r="E961" s="1" t="s">
        <v>1455</v>
      </c>
      <c r="F961" s="2"/>
      <c r="G961" s="2"/>
      <c r="H961" s="2"/>
    </row>
    <row r="962" spans="1:8" x14ac:dyDescent="0.25">
      <c r="A962" s="1"/>
      <c r="B962" s="1" t="s">
        <v>8962</v>
      </c>
      <c r="C962" s="1" t="s">
        <v>8963</v>
      </c>
      <c r="D962" s="22" t="str">
        <f>HYPERLINK("https://rhld.insurance.arkansas.gov/NPILookup?Npi=1437222312","1437222312")</f>
        <v>1437222312</v>
      </c>
      <c r="E962" s="1" t="s">
        <v>8904</v>
      </c>
      <c r="F962" s="2"/>
      <c r="G962" s="2"/>
      <c r="H962" s="2"/>
    </row>
    <row r="963" spans="1:8" x14ac:dyDescent="0.25">
      <c r="A963" s="1"/>
      <c r="B963" s="1" t="s">
        <v>8962</v>
      </c>
      <c r="C963" s="1" t="s">
        <v>8963</v>
      </c>
      <c r="D963" s="22" t="str">
        <f>HYPERLINK("https://rhld.insurance.arkansas.gov/NPILookup?Npi=1437750411","1437750411")</f>
        <v>1437750411</v>
      </c>
      <c r="E963" s="1" t="s">
        <v>15401</v>
      </c>
      <c r="F963" s="2"/>
      <c r="G963" s="2"/>
      <c r="H963" s="2"/>
    </row>
    <row r="964" spans="1:8" x14ac:dyDescent="0.25">
      <c r="A964" s="1"/>
      <c r="B964" s="1" t="s">
        <v>8962</v>
      </c>
      <c r="C964" s="1" t="s">
        <v>8963</v>
      </c>
      <c r="D964" s="22" t="str">
        <f>HYPERLINK("https://rhld.insurance.arkansas.gov/NPILookup?Npi=1447099056","1447099056")</f>
        <v>1447099056</v>
      </c>
      <c r="E964" s="1" t="s">
        <v>15402</v>
      </c>
      <c r="F964" s="2"/>
      <c r="G964" s="2"/>
      <c r="H964" s="2"/>
    </row>
    <row r="965" spans="1:8" x14ac:dyDescent="0.25">
      <c r="A965" s="1"/>
      <c r="B965" s="1" t="s">
        <v>8962</v>
      </c>
      <c r="C965" s="1" t="s">
        <v>8963</v>
      </c>
      <c r="D965" s="22" t="str">
        <f>HYPERLINK("https://rhld.insurance.arkansas.gov/NPILookup?Npi=1447380423","1447380423")</f>
        <v>1447380423</v>
      </c>
      <c r="E965" s="1" t="s">
        <v>15403</v>
      </c>
      <c r="F965" s="2"/>
      <c r="G965" s="2"/>
      <c r="H965" s="2"/>
    </row>
    <row r="966" spans="1:8" x14ac:dyDescent="0.25">
      <c r="A966" s="1"/>
      <c r="B966" s="1" t="s">
        <v>8962</v>
      </c>
      <c r="C966" s="1" t="s">
        <v>8963</v>
      </c>
      <c r="D966" s="22" t="str">
        <f>HYPERLINK("https://rhld.insurance.arkansas.gov/NPILookup?Npi=1447723143","1447723143")</f>
        <v>1447723143</v>
      </c>
      <c r="E966" s="1" t="s">
        <v>9659</v>
      </c>
      <c r="F966" s="2"/>
      <c r="G966" s="2"/>
      <c r="H966" s="2"/>
    </row>
    <row r="967" spans="1:8" x14ac:dyDescent="0.25">
      <c r="A967" s="1"/>
      <c r="B967" s="1" t="s">
        <v>8962</v>
      </c>
      <c r="C967" s="1" t="s">
        <v>8963</v>
      </c>
      <c r="D967" s="22" t="str">
        <f>HYPERLINK("https://rhld.insurance.arkansas.gov/NPILookup?Npi=1457984320","1457984320")</f>
        <v>1457984320</v>
      </c>
      <c r="E967" s="1" t="s">
        <v>8976</v>
      </c>
      <c r="F967" s="2"/>
      <c r="G967" s="2"/>
      <c r="H967" s="2"/>
    </row>
    <row r="968" spans="1:8" x14ac:dyDescent="0.25">
      <c r="A968" s="1"/>
      <c r="B968" s="1" t="s">
        <v>8962</v>
      </c>
      <c r="C968" s="1" t="s">
        <v>8963</v>
      </c>
      <c r="D968" s="22" t="str">
        <f>HYPERLINK("https://rhld.insurance.arkansas.gov/NPILookup?Npi=1467196386","1467196386")</f>
        <v>1467196386</v>
      </c>
      <c r="E968" s="1" t="s">
        <v>2449</v>
      </c>
      <c r="F968" s="2"/>
      <c r="G968" s="2"/>
      <c r="H968" s="2"/>
    </row>
    <row r="969" spans="1:8" x14ac:dyDescent="0.25">
      <c r="A969" s="1"/>
      <c r="B969" s="1" t="s">
        <v>8962</v>
      </c>
      <c r="C969" s="1" t="s">
        <v>8963</v>
      </c>
      <c r="D969" s="22" t="str">
        <f>HYPERLINK("https://rhld.insurance.arkansas.gov/NPILookup?Npi=1477039782","1477039782")</f>
        <v>1477039782</v>
      </c>
      <c r="E969" s="1" t="s">
        <v>2450</v>
      </c>
      <c r="F969" s="2"/>
      <c r="G969" s="2"/>
      <c r="H969" s="2"/>
    </row>
    <row r="970" spans="1:8" x14ac:dyDescent="0.25">
      <c r="A970" s="1"/>
      <c r="B970" s="1" t="s">
        <v>8962</v>
      </c>
      <c r="C970" s="1" t="s">
        <v>8963</v>
      </c>
      <c r="D970" s="22" t="str">
        <f>HYPERLINK("https://rhld.insurance.arkansas.gov/NPILookup?Npi=1477201937","1477201937")</f>
        <v>1477201937</v>
      </c>
      <c r="E970" s="1" t="s">
        <v>5337</v>
      </c>
      <c r="F970" s="2"/>
      <c r="G970" s="2"/>
      <c r="H970" s="2"/>
    </row>
    <row r="971" spans="1:8" x14ac:dyDescent="0.25">
      <c r="A971" s="1"/>
      <c r="B971" s="1" t="s">
        <v>8962</v>
      </c>
      <c r="C971" s="1" t="s">
        <v>8963</v>
      </c>
      <c r="D971" s="22" t="str">
        <f>HYPERLINK("https://rhld.insurance.arkansas.gov/NPILookup?Npi=1477549756","1477549756")</f>
        <v>1477549756</v>
      </c>
      <c r="E971" s="1" t="s">
        <v>15185</v>
      </c>
      <c r="F971" s="2"/>
      <c r="G971" s="2"/>
      <c r="H971" s="2"/>
    </row>
    <row r="972" spans="1:8" x14ac:dyDescent="0.25">
      <c r="A972" s="1"/>
      <c r="B972" s="1" t="s">
        <v>8962</v>
      </c>
      <c r="C972" s="1" t="s">
        <v>8963</v>
      </c>
      <c r="D972" s="22" t="str">
        <f>HYPERLINK("https://rhld.insurance.arkansas.gov/NPILookup?Npi=1487207346","1487207346")</f>
        <v>1487207346</v>
      </c>
      <c r="E972" s="1" t="s">
        <v>7056</v>
      </c>
      <c r="F972" s="2"/>
      <c r="G972" s="2"/>
      <c r="H972" s="2"/>
    </row>
    <row r="973" spans="1:8" x14ac:dyDescent="0.25">
      <c r="A973" s="1"/>
      <c r="B973" s="1" t="s">
        <v>8962</v>
      </c>
      <c r="C973" s="1" t="s">
        <v>8963</v>
      </c>
      <c r="D973" s="22" t="str">
        <f>HYPERLINK("https://rhld.insurance.arkansas.gov/NPILookup?Npi=1497770424","1497770424")</f>
        <v>1497770424</v>
      </c>
      <c r="E973" s="1" t="s">
        <v>15189</v>
      </c>
      <c r="F973" s="2"/>
      <c r="G973" s="2"/>
      <c r="H973" s="2"/>
    </row>
    <row r="974" spans="1:8" x14ac:dyDescent="0.25">
      <c r="A974" s="1"/>
      <c r="B974" s="1" t="s">
        <v>8962</v>
      </c>
      <c r="C974" s="1" t="s">
        <v>8963</v>
      </c>
      <c r="D974" s="22" t="str">
        <f>HYPERLINK("https://rhld.insurance.arkansas.gov/NPILookup?Npi=1497790042","1497790042")</f>
        <v>1497790042</v>
      </c>
      <c r="E974" s="1" t="s">
        <v>9630</v>
      </c>
      <c r="F974" s="2"/>
      <c r="G974" s="2"/>
      <c r="H974" s="2"/>
    </row>
    <row r="975" spans="1:8" x14ac:dyDescent="0.25">
      <c r="A975" s="1"/>
      <c r="B975" s="1" t="s">
        <v>8962</v>
      </c>
      <c r="C975" s="1" t="s">
        <v>8963</v>
      </c>
      <c r="D975" s="22" t="str">
        <f>HYPERLINK("https://rhld.insurance.arkansas.gov/NPILookup?Npi=1508450339","1508450339")</f>
        <v>1508450339</v>
      </c>
      <c r="E975" s="1" t="s">
        <v>15309</v>
      </c>
      <c r="F975" s="2"/>
      <c r="G975" s="2"/>
      <c r="H975" s="2"/>
    </row>
    <row r="976" spans="1:8" x14ac:dyDescent="0.25">
      <c r="A976" s="1"/>
      <c r="B976" s="1" t="s">
        <v>8962</v>
      </c>
      <c r="C976" s="1" t="s">
        <v>8963</v>
      </c>
      <c r="D976" s="22" t="str">
        <f>HYPERLINK("https://rhld.insurance.arkansas.gov/NPILookup?Npi=1518950609","1518950609")</f>
        <v>1518950609</v>
      </c>
      <c r="E976" s="1" t="s">
        <v>15404</v>
      </c>
      <c r="F976" s="2"/>
      <c r="G976" s="2"/>
      <c r="H976" s="2"/>
    </row>
    <row r="977" spans="1:8" x14ac:dyDescent="0.25">
      <c r="A977" s="1"/>
      <c r="B977" s="1" t="s">
        <v>8962</v>
      </c>
      <c r="C977" s="1" t="s">
        <v>8963</v>
      </c>
      <c r="D977" s="22" t="str">
        <f>HYPERLINK("https://rhld.insurance.arkansas.gov/NPILookup?Npi=1528010287","1528010287")</f>
        <v>1528010287</v>
      </c>
      <c r="E977" s="1" t="s">
        <v>15284</v>
      </c>
      <c r="F977" s="2"/>
      <c r="G977" s="2"/>
      <c r="H977" s="2"/>
    </row>
    <row r="978" spans="1:8" x14ac:dyDescent="0.25">
      <c r="A978" s="1"/>
      <c r="B978" s="1" t="s">
        <v>8962</v>
      </c>
      <c r="C978" s="1" t="s">
        <v>8963</v>
      </c>
      <c r="D978" s="22" t="str">
        <f>HYPERLINK("https://rhld.insurance.arkansas.gov/NPILookup?Npi=1528360989","1528360989")</f>
        <v>1528360989</v>
      </c>
      <c r="E978" s="1" t="s">
        <v>15296</v>
      </c>
      <c r="F978" s="2"/>
      <c r="G978" s="2"/>
      <c r="H978" s="2"/>
    </row>
    <row r="979" spans="1:8" x14ac:dyDescent="0.25">
      <c r="A979" s="1"/>
      <c r="B979" s="1" t="s">
        <v>8962</v>
      </c>
      <c r="C979" s="1" t="s">
        <v>8963</v>
      </c>
      <c r="D979" s="22" t="str">
        <f>HYPERLINK("https://rhld.insurance.arkansas.gov/NPILookup?Npi=1528508108","1528508108")</f>
        <v>1528508108</v>
      </c>
      <c r="E979" s="1" t="s">
        <v>8977</v>
      </c>
      <c r="F979" s="2"/>
      <c r="G979" s="2"/>
      <c r="H979" s="2"/>
    </row>
    <row r="980" spans="1:8" x14ac:dyDescent="0.25">
      <c r="A980" s="1"/>
      <c r="B980" s="1" t="s">
        <v>8962</v>
      </c>
      <c r="C980" s="1" t="s">
        <v>8963</v>
      </c>
      <c r="D980" s="22" t="str">
        <f>HYPERLINK("https://rhld.insurance.arkansas.gov/NPILookup?Npi=1528693850","1528693850")</f>
        <v>1528693850</v>
      </c>
      <c r="E980" s="1" t="s">
        <v>8978</v>
      </c>
      <c r="F980" s="2"/>
      <c r="G980" s="2"/>
      <c r="H980" s="2"/>
    </row>
    <row r="981" spans="1:8" x14ac:dyDescent="0.25">
      <c r="A981" s="1"/>
      <c r="B981" s="1" t="s">
        <v>8962</v>
      </c>
      <c r="C981" s="1" t="s">
        <v>8963</v>
      </c>
      <c r="D981" s="22" t="str">
        <f>HYPERLINK("https://rhld.insurance.arkansas.gov/NPILookup?Npi=1538133475","1538133475")</f>
        <v>1538133475</v>
      </c>
      <c r="E981" s="1" t="s">
        <v>15405</v>
      </c>
      <c r="F981" s="2"/>
      <c r="G981" s="2"/>
      <c r="H981" s="2"/>
    </row>
    <row r="982" spans="1:8" x14ac:dyDescent="0.25">
      <c r="A982" s="1"/>
      <c r="B982" s="1" t="s">
        <v>8962</v>
      </c>
      <c r="C982" s="1" t="s">
        <v>8963</v>
      </c>
      <c r="D982" s="22" t="str">
        <f>HYPERLINK("https://rhld.insurance.arkansas.gov/NPILookup?Npi=1538628904","1538628904")</f>
        <v>1538628904</v>
      </c>
      <c r="E982" s="1" t="s">
        <v>15406</v>
      </c>
      <c r="F982" s="2"/>
      <c r="G982" s="2"/>
      <c r="H982" s="2"/>
    </row>
    <row r="983" spans="1:8" x14ac:dyDescent="0.25">
      <c r="A983" s="1"/>
      <c r="B983" s="1" t="s">
        <v>8962</v>
      </c>
      <c r="C983" s="1" t="s">
        <v>8963</v>
      </c>
      <c r="D983" s="22" t="str">
        <f>HYPERLINK("https://rhld.insurance.arkansas.gov/NPILookup?Npi=1548374499","1548374499")</f>
        <v>1548374499</v>
      </c>
      <c r="E983" s="1" t="s">
        <v>15407</v>
      </c>
      <c r="F983" s="2"/>
      <c r="G983" s="2"/>
      <c r="H983" s="2"/>
    </row>
    <row r="984" spans="1:8" x14ac:dyDescent="0.25">
      <c r="A984" s="1"/>
      <c r="B984" s="1" t="s">
        <v>8962</v>
      </c>
      <c r="C984" s="1" t="s">
        <v>8963</v>
      </c>
      <c r="D984" s="22" t="str">
        <f>HYPERLINK("https://rhld.insurance.arkansas.gov/NPILookup?Npi=1558015800","1558015800")</f>
        <v>1558015800</v>
      </c>
      <c r="E984" s="1" t="s">
        <v>2451</v>
      </c>
      <c r="F984" s="2"/>
      <c r="G984" s="2"/>
      <c r="H984" s="2"/>
    </row>
    <row r="985" spans="1:8" x14ac:dyDescent="0.25">
      <c r="A985" s="1"/>
      <c r="B985" s="1" t="s">
        <v>8962</v>
      </c>
      <c r="C985" s="1" t="s">
        <v>8963</v>
      </c>
      <c r="D985" s="22" t="str">
        <f>HYPERLINK("https://rhld.insurance.arkansas.gov/NPILookup?Npi=1558916213","1558916213")</f>
        <v>1558916213</v>
      </c>
      <c r="E985" s="1" t="s">
        <v>8979</v>
      </c>
      <c r="F985" s="2"/>
      <c r="G985" s="2"/>
      <c r="H985" s="2"/>
    </row>
    <row r="986" spans="1:8" x14ac:dyDescent="0.25">
      <c r="A986" s="1"/>
      <c r="B986" s="1" t="s">
        <v>8962</v>
      </c>
      <c r="C986" s="1" t="s">
        <v>8963</v>
      </c>
      <c r="D986" s="22" t="str">
        <f>HYPERLINK("https://rhld.insurance.arkansas.gov/NPILookup?Npi=1568406536","1568406536")</f>
        <v>1568406536</v>
      </c>
      <c r="E986" s="1" t="s">
        <v>10103</v>
      </c>
      <c r="F986" s="2"/>
      <c r="G986" s="2"/>
      <c r="H986" s="2"/>
    </row>
    <row r="987" spans="1:8" x14ac:dyDescent="0.25">
      <c r="A987" s="1"/>
      <c r="B987" s="1" t="s">
        <v>8962</v>
      </c>
      <c r="C987" s="1" t="s">
        <v>8963</v>
      </c>
      <c r="D987" s="22" t="str">
        <f>HYPERLINK("https://rhld.insurance.arkansas.gov/NPILookup?Npi=1568433480","1568433480")</f>
        <v>1568433480</v>
      </c>
      <c r="E987" s="1" t="s">
        <v>9631</v>
      </c>
      <c r="F987" s="2"/>
      <c r="G987" s="2"/>
      <c r="H987" s="2"/>
    </row>
    <row r="988" spans="1:8" x14ac:dyDescent="0.25">
      <c r="A988" s="1"/>
      <c r="B988" s="1" t="s">
        <v>8962</v>
      </c>
      <c r="C988" s="1" t="s">
        <v>8963</v>
      </c>
      <c r="D988" s="22" t="str">
        <f>HYPERLINK("https://rhld.insurance.arkansas.gov/NPILookup?Npi=1568548253","1568548253")</f>
        <v>1568548253</v>
      </c>
      <c r="E988" s="1" t="s">
        <v>9660</v>
      </c>
      <c r="F988" s="2"/>
      <c r="G988" s="2"/>
      <c r="H988" s="2"/>
    </row>
    <row r="989" spans="1:8" x14ac:dyDescent="0.25">
      <c r="A989" s="1"/>
      <c r="B989" s="1" t="s">
        <v>8962</v>
      </c>
      <c r="C989" s="1" t="s">
        <v>8963</v>
      </c>
      <c r="D989" s="22" t="str">
        <f>HYPERLINK("https://rhld.insurance.arkansas.gov/NPILookup?Npi=1568789790","1568789790")</f>
        <v>1568789790</v>
      </c>
      <c r="E989" s="1" t="s">
        <v>9632</v>
      </c>
      <c r="F989" s="2"/>
      <c r="G989" s="2"/>
      <c r="H989" s="2"/>
    </row>
    <row r="990" spans="1:8" x14ac:dyDescent="0.25">
      <c r="A990" s="1"/>
      <c r="B990" s="1" t="s">
        <v>8962</v>
      </c>
      <c r="C990" s="1" t="s">
        <v>8963</v>
      </c>
      <c r="D990" s="22" t="str">
        <f>HYPERLINK("https://rhld.insurance.arkansas.gov/NPILookup?Npi=1578261202","1578261202")</f>
        <v>1578261202</v>
      </c>
      <c r="E990" s="1" t="s">
        <v>8980</v>
      </c>
      <c r="F990" s="2"/>
      <c r="G990" s="2"/>
      <c r="H990" s="2"/>
    </row>
    <row r="991" spans="1:8" x14ac:dyDescent="0.25">
      <c r="A991" s="1"/>
      <c r="B991" s="1" t="s">
        <v>8962</v>
      </c>
      <c r="C991" s="1" t="s">
        <v>8963</v>
      </c>
      <c r="D991" s="22" t="str">
        <f>HYPERLINK("https://rhld.insurance.arkansas.gov/NPILookup?Npi=1578574471","1578574471")</f>
        <v>1578574471</v>
      </c>
      <c r="E991" s="1" t="s">
        <v>15408</v>
      </c>
      <c r="F991" s="2"/>
      <c r="G991" s="2"/>
      <c r="H991" s="2"/>
    </row>
    <row r="992" spans="1:8" x14ac:dyDescent="0.25">
      <c r="A992" s="1"/>
      <c r="B992" s="1" t="s">
        <v>8962</v>
      </c>
      <c r="C992" s="1" t="s">
        <v>8963</v>
      </c>
      <c r="D992" s="22" t="str">
        <f>HYPERLINK("https://rhld.insurance.arkansas.gov/NPILookup?Npi=1578608477","1578608477")</f>
        <v>1578608477</v>
      </c>
      <c r="E992" s="1" t="s">
        <v>5372</v>
      </c>
      <c r="F992" s="2"/>
      <c r="G992" s="2"/>
      <c r="H992" s="2"/>
    </row>
    <row r="993" spans="1:8" x14ac:dyDescent="0.25">
      <c r="A993" s="1"/>
      <c r="B993" s="1" t="s">
        <v>8962</v>
      </c>
      <c r="C993" s="1" t="s">
        <v>8963</v>
      </c>
      <c r="D993" s="22" t="str">
        <f>HYPERLINK("https://rhld.insurance.arkansas.gov/NPILookup?Npi=1578986345","1578986345")</f>
        <v>1578986345</v>
      </c>
      <c r="E993" s="1" t="s">
        <v>8981</v>
      </c>
      <c r="F993" s="2"/>
      <c r="G993" s="2"/>
      <c r="H993" s="2"/>
    </row>
    <row r="994" spans="1:8" x14ac:dyDescent="0.25">
      <c r="A994" s="1"/>
      <c r="B994" s="1" t="s">
        <v>8962</v>
      </c>
      <c r="C994" s="1" t="s">
        <v>8963</v>
      </c>
      <c r="D994" s="22" t="str">
        <f>HYPERLINK("https://rhld.insurance.arkansas.gov/NPILookup?Npi=1598373359","1598373359")</f>
        <v>1598373359</v>
      </c>
      <c r="E994" s="1" t="s">
        <v>5381</v>
      </c>
      <c r="F994" s="2"/>
      <c r="G994" s="2"/>
      <c r="H994" s="2"/>
    </row>
    <row r="995" spans="1:8" x14ac:dyDescent="0.25">
      <c r="A995" s="1"/>
      <c r="B995" s="1" t="s">
        <v>8962</v>
      </c>
      <c r="C995" s="1" t="s">
        <v>8963</v>
      </c>
      <c r="D995" s="22" t="str">
        <f>HYPERLINK("https://rhld.insurance.arkansas.gov/NPILookup?Npi=1598810582","1598810582")</f>
        <v>1598810582</v>
      </c>
      <c r="E995" s="1" t="s">
        <v>15409</v>
      </c>
      <c r="F995" s="2"/>
      <c r="G995" s="2"/>
      <c r="H995" s="2"/>
    </row>
    <row r="996" spans="1:8" x14ac:dyDescent="0.25">
      <c r="A996" s="1"/>
      <c r="B996" s="1" t="s">
        <v>8962</v>
      </c>
      <c r="C996" s="1" t="s">
        <v>8963</v>
      </c>
      <c r="D996" s="22" t="str">
        <f>HYPERLINK("https://rhld.insurance.arkansas.gov/NPILookup?Npi=1609429778","1609429778")</f>
        <v>1609429778</v>
      </c>
      <c r="E996" s="1" t="s">
        <v>15410</v>
      </c>
      <c r="F996" s="2"/>
      <c r="G996" s="2"/>
      <c r="H996" s="2"/>
    </row>
    <row r="997" spans="1:8" x14ac:dyDescent="0.25">
      <c r="A997" s="1"/>
      <c r="B997" s="1" t="s">
        <v>8962</v>
      </c>
      <c r="C997" s="1" t="s">
        <v>8963</v>
      </c>
      <c r="D997" s="22" t="str">
        <f>HYPERLINK("https://rhld.insurance.arkansas.gov/NPILookup?Npi=1619915949","1619915949")</f>
        <v>1619915949</v>
      </c>
      <c r="E997" s="1" t="s">
        <v>8982</v>
      </c>
      <c r="F997" s="2"/>
      <c r="G997" s="2"/>
      <c r="H997" s="2"/>
    </row>
    <row r="998" spans="1:8" x14ac:dyDescent="0.25">
      <c r="A998" s="1"/>
      <c r="B998" s="1" t="s">
        <v>8962</v>
      </c>
      <c r="C998" s="1" t="s">
        <v>8963</v>
      </c>
      <c r="D998" s="22" t="str">
        <f>HYPERLINK("https://rhld.insurance.arkansas.gov/NPILookup?Npi=1629011002","1629011002")</f>
        <v>1629011002</v>
      </c>
      <c r="E998" s="1" t="s">
        <v>15212</v>
      </c>
      <c r="F998" s="2"/>
      <c r="G998" s="2"/>
      <c r="H998" s="2"/>
    </row>
    <row r="999" spans="1:8" x14ac:dyDescent="0.25">
      <c r="A999" s="1"/>
      <c r="B999" s="1" t="s">
        <v>8962</v>
      </c>
      <c r="C999" s="1" t="s">
        <v>8963</v>
      </c>
      <c r="D999" s="22" t="str">
        <f>HYPERLINK("https://rhld.insurance.arkansas.gov/NPILookup?Npi=1629131297","1629131297")</f>
        <v>1629131297</v>
      </c>
      <c r="E999" s="1" t="s">
        <v>15411</v>
      </c>
      <c r="F999" s="2"/>
      <c r="G999" s="2"/>
      <c r="H999" s="2"/>
    </row>
    <row r="1000" spans="1:8" x14ac:dyDescent="0.25">
      <c r="A1000" s="1"/>
      <c r="B1000" s="1" t="s">
        <v>8962</v>
      </c>
      <c r="C1000" s="1" t="s">
        <v>8963</v>
      </c>
      <c r="D1000" s="22" t="str">
        <f>HYPERLINK("https://rhld.insurance.arkansas.gov/NPILookup?Npi=1639137565","1639137565")</f>
        <v>1639137565</v>
      </c>
      <c r="E1000" s="1" t="s">
        <v>639</v>
      </c>
      <c r="F1000" s="2"/>
      <c r="G1000" s="2"/>
      <c r="H1000" s="2"/>
    </row>
    <row r="1001" spans="1:8" x14ac:dyDescent="0.25">
      <c r="A1001" s="1"/>
      <c r="B1001" s="1" t="s">
        <v>8962</v>
      </c>
      <c r="C1001" s="1" t="s">
        <v>8963</v>
      </c>
      <c r="D1001" s="22" t="str">
        <f>HYPERLINK("https://rhld.insurance.arkansas.gov/NPILookup?Npi=1639345697","1639345697")</f>
        <v>1639345697</v>
      </c>
      <c r="E1001" s="1" t="s">
        <v>15412</v>
      </c>
      <c r="F1001" s="2"/>
      <c r="G1001" s="2"/>
      <c r="H1001" s="2"/>
    </row>
    <row r="1002" spans="1:8" x14ac:dyDescent="0.25">
      <c r="A1002" s="1"/>
      <c r="B1002" s="1" t="s">
        <v>8962</v>
      </c>
      <c r="C1002" s="1" t="s">
        <v>8963</v>
      </c>
      <c r="D1002" s="22" t="str">
        <f>HYPERLINK("https://rhld.insurance.arkansas.gov/NPILookup?Npi=1639346687","1639346687")</f>
        <v>1639346687</v>
      </c>
      <c r="E1002" s="1" t="s">
        <v>15289</v>
      </c>
      <c r="F1002" s="2"/>
      <c r="G1002" s="2"/>
      <c r="H1002" s="2"/>
    </row>
    <row r="1003" spans="1:8" x14ac:dyDescent="0.25">
      <c r="A1003" s="1"/>
      <c r="B1003" s="1" t="s">
        <v>8962</v>
      </c>
      <c r="C1003" s="1" t="s">
        <v>8963</v>
      </c>
      <c r="D1003" s="22" t="str">
        <f>HYPERLINK("https://rhld.insurance.arkansas.gov/NPILookup?Npi=1639500309","1639500309")</f>
        <v>1639500309</v>
      </c>
      <c r="E1003" s="1" t="s">
        <v>15413</v>
      </c>
      <c r="F1003" s="2"/>
      <c r="G1003" s="2"/>
      <c r="H1003" s="2"/>
    </row>
    <row r="1004" spans="1:8" x14ac:dyDescent="0.25">
      <c r="A1004" s="1"/>
      <c r="B1004" s="1" t="s">
        <v>8962</v>
      </c>
      <c r="C1004" s="1" t="s">
        <v>8963</v>
      </c>
      <c r="D1004" s="22" t="str">
        <f>HYPERLINK("https://rhld.insurance.arkansas.gov/NPILookup?Npi=1649243353","1649243353")</f>
        <v>1649243353</v>
      </c>
      <c r="E1004" s="1" t="s">
        <v>9661</v>
      </c>
      <c r="F1004" s="2"/>
      <c r="G1004" s="2"/>
      <c r="H1004" s="2"/>
    </row>
    <row r="1005" spans="1:8" x14ac:dyDescent="0.25">
      <c r="A1005" s="1"/>
      <c r="B1005" s="1" t="s">
        <v>8962</v>
      </c>
      <c r="C1005" s="1" t="s">
        <v>8963</v>
      </c>
      <c r="D1005" s="22" t="str">
        <f>HYPERLINK("https://rhld.insurance.arkansas.gov/NPILookup?Npi=1649726639","1649726639")</f>
        <v>1649726639</v>
      </c>
      <c r="E1005" s="1" t="s">
        <v>15414</v>
      </c>
      <c r="F1005" s="2"/>
      <c r="G1005" s="2"/>
      <c r="H1005" s="2"/>
    </row>
    <row r="1006" spans="1:8" x14ac:dyDescent="0.25">
      <c r="A1006" s="1"/>
      <c r="B1006" s="1" t="s">
        <v>8962</v>
      </c>
      <c r="C1006" s="1" t="s">
        <v>8963</v>
      </c>
      <c r="D1006" s="22" t="str">
        <f>HYPERLINK("https://rhld.insurance.arkansas.gov/NPILookup?Npi=1659439248","1659439248")</f>
        <v>1659439248</v>
      </c>
      <c r="E1006" s="1" t="s">
        <v>15415</v>
      </c>
      <c r="F1006" s="2"/>
      <c r="G1006" s="2"/>
      <c r="H1006" s="2"/>
    </row>
    <row r="1007" spans="1:8" x14ac:dyDescent="0.25">
      <c r="A1007" s="1"/>
      <c r="B1007" s="1" t="s">
        <v>8962</v>
      </c>
      <c r="C1007" s="1" t="s">
        <v>8963</v>
      </c>
      <c r="D1007" s="22" t="str">
        <f>HYPERLINK("https://rhld.insurance.arkansas.gov/NPILookup?Npi=1689020844","1689020844")</f>
        <v>1689020844</v>
      </c>
      <c r="E1007" s="1" t="s">
        <v>1242</v>
      </c>
      <c r="F1007" s="2"/>
      <c r="G1007" s="2"/>
      <c r="H1007" s="2"/>
    </row>
    <row r="1008" spans="1:8" x14ac:dyDescent="0.25">
      <c r="A1008" s="1"/>
      <c r="B1008" s="1" t="s">
        <v>8962</v>
      </c>
      <c r="C1008" s="1" t="s">
        <v>8963</v>
      </c>
      <c r="D1008" s="22" t="str">
        <f>HYPERLINK("https://rhld.insurance.arkansas.gov/NPILookup?Npi=1689877862","1689877862")</f>
        <v>1689877862</v>
      </c>
      <c r="E1008" s="1" t="s">
        <v>15416</v>
      </c>
      <c r="F1008" s="2"/>
      <c r="G1008" s="2"/>
      <c r="H1008" s="2"/>
    </row>
    <row r="1009" spans="1:8" x14ac:dyDescent="0.25">
      <c r="A1009" s="1"/>
      <c r="B1009" s="1" t="s">
        <v>8962</v>
      </c>
      <c r="C1009" s="1" t="s">
        <v>8963</v>
      </c>
      <c r="D1009" s="22" t="str">
        <f>HYPERLINK("https://rhld.insurance.arkansas.gov/NPILookup?Npi=1699322164","1699322164")</f>
        <v>1699322164</v>
      </c>
      <c r="E1009" s="1" t="s">
        <v>2293</v>
      </c>
      <c r="F1009" s="2"/>
      <c r="G1009" s="2"/>
      <c r="H1009" s="2"/>
    </row>
    <row r="1010" spans="1:8" x14ac:dyDescent="0.25">
      <c r="A1010" s="1"/>
      <c r="B1010" s="1" t="s">
        <v>8962</v>
      </c>
      <c r="C1010" s="1" t="s">
        <v>8963</v>
      </c>
      <c r="D1010" s="22" t="str">
        <f>HYPERLINK("https://rhld.insurance.arkansas.gov/NPILookup?Npi=1699365254","1699365254")</f>
        <v>1699365254</v>
      </c>
      <c r="E1010" s="1" t="s">
        <v>15417</v>
      </c>
      <c r="F1010" s="2"/>
      <c r="G1010" s="2"/>
      <c r="H1010" s="2"/>
    </row>
    <row r="1011" spans="1:8" x14ac:dyDescent="0.25">
      <c r="A1011" s="1"/>
      <c r="B1011" s="1" t="s">
        <v>8962</v>
      </c>
      <c r="C1011" s="1" t="s">
        <v>8963</v>
      </c>
      <c r="D1011" s="22" t="str">
        <f>HYPERLINK("https://rhld.insurance.arkansas.gov/NPILookup?Npi=1699726695","1699726695")</f>
        <v>1699726695</v>
      </c>
      <c r="E1011" s="1" t="s">
        <v>15226</v>
      </c>
      <c r="F1011" s="2"/>
      <c r="G1011" s="2"/>
      <c r="H1011" s="2"/>
    </row>
    <row r="1012" spans="1:8" x14ac:dyDescent="0.25">
      <c r="A1012" s="1"/>
      <c r="B1012" s="1" t="s">
        <v>8962</v>
      </c>
      <c r="C1012" s="1" t="s">
        <v>8963</v>
      </c>
      <c r="D1012" s="22" t="str">
        <f>HYPERLINK("https://rhld.insurance.arkansas.gov/NPILookup?Npi=1700546561","1700546561")</f>
        <v>1700546561</v>
      </c>
      <c r="E1012" s="1" t="s">
        <v>8983</v>
      </c>
      <c r="F1012" s="2"/>
      <c r="G1012" s="2"/>
      <c r="H1012" s="2"/>
    </row>
    <row r="1013" spans="1:8" x14ac:dyDescent="0.25">
      <c r="A1013" s="1"/>
      <c r="B1013" s="1" t="s">
        <v>8962</v>
      </c>
      <c r="C1013" s="1" t="s">
        <v>8963</v>
      </c>
      <c r="D1013" s="22" t="str">
        <f>HYPERLINK("https://rhld.insurance.arkansas.gov/NPILookup?Npi=1700831724","1700831724")</f>
        <v>1700831724</v>
      </c>
      <c r="E1013" s="1" t="s">
        <v>662</v>
      </c>
      <c r="F1013" s="2"/>
      <c r="G1013" s="2"/>
      <c r="H1013" s="2"/>
    </row>
    <row r="1014" spans="1:8" x14ac:dyDescent="0.25">
      <c r="A1014" s="1"/>
      <c r="B1014" s="1" t="s">
        <v>8962</v>
      </c>
      <c r="C1014" s="1" t="s">
        <v>8963</v>
      </c>
      <c r="D1014" s="22" t="str">
        <f>HYPERLINK("https://rhld.insurance.arkansas.gov/NPILookup?Npi=1700959905","1700959905")</f>
        <v>1700959905</v>
      </c>
      <c r="E1014" s="1" t="s">
        <v>2294</v>
      </c>
      <c r="F1014" s="2"/>
      <c r="G1014" s="2"/>
      <c r="H1014" s="2"/>
    </row>
    <row r="1015" spans="1:8" x14ac:dyDescent="0.25">
      <c r="A1015" s="1"/>
      <c r="B1015" s="1" t="s">
        <v>8962</v>
      </c>
      <c r="C1015" s="1" t="s">
        <v>8963</v>
      </c>
      <c r="D1015" s="22" t="str">
        <f>HYPERLINK("https://rhld.insurance.arkansas.gov/NPILookup?Npi=1710259437","1710259437")</f>
        <v>1710259437</v>
      </c>
      <c r="E1015" s="1" t="s">
        <v>15418</v>
      </c>
      <c r="F1015" s="2"/>
      <c r="G1015" s="2"/>
      <c r="H1015" s="2"/>
    </row>
    <row r="1016" spans="1:8" x14ac:dyDescent="0.25">
      <c r="A1016" s="1"/>
      <c r="B1016" s="1" t="s">
        <v>8962</v>
      </c>
      <c r="C1016" s="1" t="s">
        <v>8963</v>
      </c>
      <c r="D1016" s="22" t="str">
        <f>HYPERLINK("https://rhld.insurance.arkansas.gov/NPILookup?Npi=1710442801","1710442801")</f>
        <v>1710442801</v>
      </c>
      <c r="E1016" s="1" t="s">
        <v>9662</v>
      </c>
      <c r="F1016" s="2"/>
      <c r="G1016" s="2"/>
      <c r="H1016" s="2"/>
    </row>
    <row r="1017" spans="1:8" x14ac:dyDescent="0.25">
      <c r="A1017" s="1"/>
      <c r="B1017" s="1" t="s">
        <v>8962</v>
      </c>
      <c r="C1017" s="1" t="s">
        <v>8963</v>
      </c>
      <c r="D1017" s="22" t="str">
        <f>HYPERLINK("https://rhld.insurance.arkansas.gov/NPILookup?Npi=1710931985","1710931985")</f>
        <v>1710931985</v>
      </c>
      <c r="E1017" s="1" t="s">
        <v>15232</v>
      </c>
      <c r="F1017" s="2"/>
      <c r="G1017" s="2"/>
      <c r="H1017" s="2"/>
    </row>
    <row r="1018" spans="1:8" x14ac:dyDescent="0.25">
      <c r="A1018" s="1"/>
      <c r="B1018" s="1" t="s">
        <v>8962</v>
      </c>
      <c r="C1018" s="1" t="s">
        <v>8963</v>
      </c>
      <c r="D1018" s="22" t="str">
        <f>HYPERLINK("https://rhld.insurance.arkansas.gov/NPILookup?Npi=1710943881","1710943881")</f>
        <v>1710943881</v>
      </c>
      <c r="E1018" s="1" t="s">
        <v>654</v>
      </c>
      <c r="F1018" s="2"/>
      <c r="G1018" s="2"/>
      <c r="H1018" s="2"/>
    </row>
    <row r="1019" spans="1:8" x14ac:dyDescent="0.25">
      <c r="A1019" s="1"/>
      <c r="B1019" s="1" t="s">
        <v>8962</v>
      </c>
      <c r="C1019" s="1" t="s">
        <v>8963</v>
      </c>
      <c r="D1019" s="22" t="str">
        <f>HYPERLINK("https://rhld.insurance.arkansas.gov/NPILookup?Npi=1720003643","1720003643")</f>
        <v>1720003643</v>
      </c>
      <c r="E1019" s="1" t="s">
        <v>3573</v>
      </c>
      <c r="F1019" s="2"/>
      <c r="G1019" s="2"/>
      <c r="H1019" s="2"/>
    </row>
    <row r="1020" spans="1:8" x14ac:dyDescent="0.25">
      <c r="A1020" s="1"/>
      <c r="B1020" s="1" t="s">
        <v>8962</v>
      </c>
      <c r="C1020" s="1" t="s">
        <v>8963</v>
      </c>
      <c r="D1020" s="22" t="str">
        <f>HYPERLINK("https://rhld.insurance.arkansas.gov/NPILookup?Npi=1720772262","1720772262")</f>
        <v>1720772262</v>
      </c>
      <c r="E1020" s="1" t="s">
        <v>9663</v>
      </c>
      <c r="F1020" s="2"/>
      <c r="G1020" s="2"/>
      <c r="H1020" s="2"/>
    </row>
    <row r="1021" spans="1:8" x14ac:dyDescent="0.25">
      <c r="A1021" s="1"/>
      <c r="B1021" s="1" t="s">
        <v>8962</v>
      </c>
      <c r="C1021" s="1" t="s">
        <v>8963</v>
      </c>
      <c r="D1021" s="22" t="str">
        <f>HYPERLINK("https://rhld.insurance.arkansas.gov/NPILookup?Npi=1730238049","1730238049")</f>
        <v>1730238049</v>
      </c>
      <c r="E1021" s="1" t="s">
        <v>8984</v>
      </c>
      <c r="F1021" s="2"/>
      <c r="G1021" s="2"/>
      <c r="H1021" s="2"/>
    </row>
    <row r="1022" spans="1:8" x14ac:dyDescent="0.25">
      <c r="A1022" s="1"/>
      <c r="B1022" s="1" t="s">
        <v>8962</v>
      </c>
      <c r="C1022" s="1" t="s">
        <v>8963</v>
      </c>
      <c r="D1022" s="22" t="str">
        <f>HYPERLINK("https://rhld.insurance.arkansas.gov/NPILookup?Npi=1750335741","1750335741")</f>
        <v>1750335741</v>
      </c>
      <c r="E1022" s="1" t="s">
        <v>1493</v>
      </c>
      <c r="F1022" s="2"/>
      <c r="G1022" s="2"/>
      <c r="H1022" s="2"/>
    </row>
    <row r="1023" spans="1:8" x14ac:dyDescent="0.25">
      <c r="A1023" s="1"/>
      <c r="B1023" s="1" t="s">
        <v>8962</v>
      </c>
      <c r="C1023" s="1" t="s">
        <v>8963</v>
      </c>
      <c r="D1023" s="22" t="str">
        <f>HYPERLINK("https://rhld.insurance.arkansas.gov/NPILookup?Npi=1750656468","1750656468")</f>
        <v>1750656468</v>
      </c>
      <c r="E1023" s="1" t="s">
        <v>1553</v>
      </c>
      <c r="F1023" s="2"/>
      <c r="G1023" s="2"/>
      <c r="H1023" s="2"/>
    </row>
    <row r="1024" spans="1:8" x14ac:dyDescent="0.25">
      <c r="A1024" s="1"/>
      <c r="B1024" s="1" t="s">
        <v>8962</v>
      </c>
      <c r="C1024" s="1" t="s">
        <v>8963</v>
      </c>
      <c r="D1024" s="22" t="str">
        <f>HYPERLINK("https://rhld.insurance.arkansas.gov/NPILookup?Npi=1770364903","1770364903")</f>
        <v>1770364903</v>
      </c>
      <c r="E1024" s="1" t="s">
        <v>9664</v>
      </c>
      <c r="F1024" s="2"/>
      <c r="G1024" s="2"/>
      <c r="H1024" s="2"/>
    </row>
    <row r="1025" spans="1:8" x14ac:dyDescent="0.25">
      <c r="A1025" s="1"/>
      <c r="B1025" s="1" t="s">
        <v>8962</v>
      </c>
      <c r="C1025" s="1" t="s">
        <v>8963</v>
      </c>
      <c r="D1025" s="22" t="str">
        <f>HYPERLINK("https://rhld.insurance.arkansas.gov/NPILookup?Npi=1780684431","1780684431")</f>
        <v>1780684431</v>
      </c>
      <c r="E1025" s="1" t="s">
        <v>9662</v>
      </c>
      <c r="F1025" s="2"/>
      <c r="G1025" s="2"/>
      <c r="H1025" s="2"/>
    </row>
    <row r="1026" spans="1:8" x14ac:dyDescent="0.25">
      <c r="A1026" s="1"/>
      <c r="B1026" s="1" t="s">
        <v>8962</v>
      </c>
      <c r="C1026" s="1" t="s">
        <v>8963</v>
      </c>
      <c r="D1026" s="22" t="str">
        <f>HYPERLINK("https://rhld.insurance.arkansas.gov/NPILookup?Npi=1790925972","1790925972")</f>
        <v>1790925972</v>
      </c>
      <c r="E1026" s="1" t="s">
        <v>15419</v>
      </c>
      <c r="F1026" s="2"/>
      <c r="G1026" s="2"/>
      <c r="H1026" s="2"/>
    </row>
    <row r="1027" spans="1:8" x14ac:dyDescent="0.25">
      <c r="A1027" s="1"/>
      <c r="B1027" s="1" t="s">
        <v>8962</v>
      </c>
      <c r="C1027" s="1" t="s">
        <v>8963</v>
      </c>
      <c r="D1027" s="22" t="str">
        <f>HYPERLINK("https://rhld.insurance.arkansas.gov/NPILookup?Npi=1811092117","1811092117")</f>
        <v>1811092117</v>
      </c>
      <c r="E1027" s="1" t="s">
        <v>15257</v>
      </c>
      <c r="F1027" s="2"/>
      <c r="G1027" s="2"/>
      <c r="H1027" s="2"/>
    </row>
    <row r="1028" spans="1:8" x14ac:dyDescent="0.25">
      <c r="A1028" s="1"/>
      <c r="B1028" s="1" t="s">
        <v>8962</v>
      </c>
      <c r="C1028" s="1" t="s">
        <v>8963</v>
      </c>
      <c r="D1028" s="22" t="str">
        <f>HYPERLINK("https://rhld.insurance.arkansas.gov/NPILookup?Npi=1811912009","1811912009")</f>
        <v>1811912009</v>
      </c>
      <c r="E1028" s="1" t="s">
        <v>635</v>
      </c>
      <c r="F1028" s="2"/>
      <c r="G1028" s="2"/>
      <c r="H1028" s="2"/>
    </row>
    <row r="1029" spans="1:8" x14ac:dyDescent="0.25">
      <c r="A1029" s="1"/>
      <c r="B1029" s="1" t="s">
        <v>8962</v>
      </c>
      <c r="C1029" s="1" t="s">
        <v>8963</v>
      </c>
      <c r="D1029" s="22" t="str">
        <f>HYPERLINK("https://rhld.insurance.arkansas.gov/NPILookup?Npi=1821777566","1821777566")</f>
        <v>1821777566</v>
      </c>
      <c r="E1029" s="1" t="s">
        <v>15420</v>
      </c>
      <c r="F1029" s="2"/>
      <c r="G1029" s="2"/>
      <c r="H1029" s="2"/>
    </row>
    <row r="1030" spans="1:8" x14ac:dyDescent="0.25">
      <c r="A1030" s="1"/>
      <c r="B1030" s="1" t="s">
        <v>8962</v>
      </c>
      <c r="C1030" s="1" t="s">
        <v>8963</v>
      </c>
      <c r="D1030" s="22" t="str">
        <f>HYPERLINK("https://rhld.insurance.arkansas.gov/NPILookup?Npi=1831816206","1831816206")</f>
        <v>1831816206</v>
      </c>
      <c r="E1030" s="1" t="s">
        <v>8984</v>
      </c>
      <c r="F1030" s="2"/>
      <c r="G1030" s="2"/>
      <c r="H1030" s="2"/>
    </row>
    <row r="1031" spans="1:8" x14ac:dyDescent="0.25">
      <c r="A1031" s="1"/>
      <c r="B1031" s="1" t="s">
        <v>8962</v>
      </c>
      <c r="C1031" s="1" t="s">
        <v>8963</v>
      </c>
      <c r="D1031" s="22" t="str">
        <f>HYPERLINK("https://rhld.insurance.arkansas.gov/NPILookup?Npi=1841047735","1841047735")</f>
        <v>1841047735</v>
      </c>
      <c r="E1031" s="1" t="s">
        <v>15421</v>
      </c>
      <c r="F1031" s="2"/>
      <c r="G1031" s="2"/>
      <c r="H1031" s="2"/>
    </row>
    <row r="1032" spans="1:8" x14ac:dyDescent="0.25">
      <c r="A1032" s="1"/>
      <c r="B1032" s="1" t="s">
        <v>8962</v>
      </c>
      <c r="C1032" s="1" t="s">
        <v>8963</v>
      </c>
      <c r="D1032" s="22" t="str">
        <f>HYPERLINK("https://rhld.insurance.arkansas.gov/NPILookup?Npi=1841073400","1841073400")</f>
        <v>1841073400</v>
      </c>
      <c r="E1032" s="1" t="s">
        <v>9665</v>
      </c>
      <c r="F1032" s="2"/>
      <c r="G1032" s="2"/>
      <c r="H1032" s="2"/>
    </row>
    <row r="1033" spans="1:8" x14ac:dyDescent="0.25">
      <c r="A1033" s="1"/>
      <c r="B1033" s="1" t="s">
        <v>8962</v>
      </c>
      <c r="C1033" s="1" t="s">
        <v>8963</v>
      </c>
      <c r="D1033" s="22" t="str">
        <f>HYPERLINK("https://rhld.insurance.arkansas.gov/NPILookup?Npi=1841241833","1841241833")</f>
        <v>1841241833</v>
      </c>
      <c r="E1033" s="1" t="s">
        <v>655</v>
      </c>
      <c r="F1033" s="2"/>
      <c r="G1033" s="2"/>
      <c r="H1033" s="2"/>
    </row>
    <row r="1034" spans="1:8" x14ac:dyDescent="0.25">
      <c r="A1034" s="1"/>
      <c r="B1034" s="1" t="s">
        <v>8962</v>
      </c>
      <c r="C1034" s="1" t="s">
        <v>8963</v>
      </c>
      <c r="D1034" s="22" t="str">
        <f>HYPERLINK("https://rhld.insurance.arkansas.gov/NPILookup?Npi=1851770564","1851770564")</f>
        <v>1851770564</v>
      </c>
      <c r="E1034" s="1" t="s">
        <v>8985</v>
      </c>
      <c r="F1034" s="2"/>
      <c r="G1034" s="2"/>
      <c r="H1034" s="2"/>
    </row>
    <row r="1035" spans="1:8" x14ac:dyDescent="0.25">
      <c r="A1035" s="1"/>
      <c r="B1035" s="1" t="s">
        <v>8962</v>
      </c>
      <c r="C1035" s="1" t="s">
        <v>8963</v>
      </c>
      <c r="D1035" s="22" t="str">
        <f>HYPERLINK("https://rhld.insurance.arkansas.gov/NPILookup?Npi=1871091355","1871091355")</f>
        <v>1871091355</v>
      </c>
      <c r="E1035" s="1" t="s">
        <v>1836</v>
      </c>
      <c r="F1035" s="2"/>
      <c r="G1035" s="2"/>
      <c r="H1035" s="2"/>
    </row>
    <row r="1036" spans="1:8" x14ac:dyDescent="0.25">
      <c r="A1036" s="1"/>
      <c r="B1036" s="1" t="s">
        <v>8962</v>
      </c>
      <c r="C1036" s="1" t="s">
        <v>8963</v>
      </c>
      <c r="D1036" s="22" t="str">
        <f>HYPERLINK("https://rhld.insurance.arkansas.gov/NPILookup?Npi=1881251510","1881251510")</f>
        <v>1881251510</v>
      </c>
      <c r="E1036" s="1" t="s">
        <v>15422</v>
      </c>
      <c r="F1036" s="2"/>
      <c r="G1036" s="2"/>
      <c r="H1036" s="2"/>
    </row>
    <row r="1037" spans="1:8" x14ac:dyDescent="0.25">
      <c r="A1037" s="1"/>
      <c r="B1037" s="1" t="s">
        <v>8962</v>
      </c>
      <c r="C1037" s="1" t="s">
        <v>8963</v>
      </c>
      <c r="D1037" s="22" t="str">
        <f>HYPERLINK("https://rhld.insurance.arkansas.gov/NPILookup?Npi=1881788933","1881788933")</f>
        <v>1881788933</v>
      </c>
      <c r="E1037" s="1" t="s">
        <v>2141</v>
      </c>
      <c r="F1037" s="2"/>
      <c r="G1037" s="2"/>
      <c r="H1037" s="2"/>
    </row>
    <row r="1038" spans="1:8" x14ac:dyDescent="0.25">
      <c r="A1038" s="1"/>
      <c r="B1038" s="1" t="s">
        <v>8962</v>
      </c>
      <c r="C1038" s="1" t="s">
        <v>8963</v>
      </c>
      <c r="D1038" s="22" t="str">
        <f>HYPERLINK("https://rhld.insurance.arkansas.gov/NPILookup?Npi=1891044228","1891044228")</f>
        <v>1891044228</v>
      </c>
      <c r="E1038" s="1" t="s">
        <v>8986</v>
      </c>
      <c r="F1038" s="2"/>
      <c r="G1038" s="2"/>
      <c r="H1038" s="2"/>
    </row>
    <row r="1039" spans="1:8" x14ac:dyDescent="0.25">
      <c r="A1039" s="1"/>
      <c r="B1039" s="1" t="s">
        <v>8962</v>
      </c>
      <c r="C1039" s="1" t="s">
        <v>8963</v>
      </c>
      <c r="D1039" s="22" t="str">
        <f>HYPERLINK("https://rhld.insurance.arkansas.gov/NPILookup?Npi=1902051816","1902051816")</f>
        <v>1902051816</v>
      </c>
      <c r="E1039" s="1" t="s">
        <v>15259</v>
      </c>
      <c r="F1039" s="2"/>
      <c r="G1039" s="2"/>
      <c r="H1039" s="2"/>
    </row>
    <row r="1040" spans="1:8" x14ac:dyDescent="0.25">
      <c r="A1040" s="1"/>
      <c r="B1040" s="1" t="s">
        <v>8962</v>
      </c>
      <c r="C1040" s="1" t="s">
        <v>8963</v>
      </c>
      <c r="D1040" s="22" t="str">
        <f>HYPERLINK("https://rhld.insurance.arkansas.gov/NPILookup?Npi=1902842255","1902842255")</f>
        <v>1902842255</v>
      </c>
      <c r="E1040" s="1" t="s">
        <v>8899</v>
      </c>
      <c r="F1040" s="2"/>
      <c r="G1040" s="2"/>
      <c r="H1040" s="2"/>
    </row>
    <row r="1041" spans="1:8" x14ac:dyDescent="0.25">
      <c r="A1041" s="1"/>
      <c r="B1041" s="1" t="s">
        <v>8962</v>
      </c>
      <c r="C1041" s="1" t="s">
        <v>8963</v>
      </c>
      <c r="D1041" s="22" t="str">
        <f>HYPERLINK("https://rhld.insurance.arkansas.gov/NPILookup?Npi=1902868391","1902868391")</f>
        <v>1902868391</v>
      </c>
      <c r="E1041" s="1" t="s">
        <v>709</v>
      </c>
      <c r="F1041" s="2"/>
      <c r="G1041" s="2"/>
      <c r="H1041" s="2"/>
    </row>
    <row r="1042" spans="1:8" x14ac:dyDescent="0.25">
      <c r="A1042" s="1"/>
      <c r="B1042" s="1" t="s">
        <v>8962</v>
      </c>
      <c r="C1042" s="1" t="s">
        <v>8963</v>
      </c>
      <c r="D1042" s="22" t="str">
        <f>HYPERLINK("https://rhld.insurance.arkansas.gov/NPILookup?Npi=1912465295","1912465295")</f>
        <v>1912465295</v>
      </c>
      <c r="E1042" s="1" t="s">
        <v>9666</v>
      </c>
      <c r="F1042" s="2"/>
      <c r="G1042" s="2"/>
      <c r="H1042" s="2"/>
    </row>
    <row r="1043" spans="1:8" x14ac:dyDescent="0.25">
      <c r="A1043" s="1"/>
      <c r="B1043" s="1" t="s">
        <v>8962</v>
      </c>
      <c r="C1043" s="1" t="s">
        <v>8963</v>
      </c>
      <c r="D1043" s="22" t="str">
        <f>HYPERLINK("https://rhld.insurance.arkansas.gov/NPILookup?Npi=1912962341","1912962341")</f>
        <v>1912962341</v>
      </c>
      <c r="E1043" s="1" t="s">
        <v>1494</v>
      </c>
      <c r="F1043" s="2"/>
      <c r="G1043" s="2"/>
      <c r="H1043" s="2"/>
    </row>
    <row r="1044" spans="1:8" x14ac:dyDescent="0.25">
      <c r="A1044" s="1"/>
      <c r="B1044" s="1" t="s">
        <v>8962</v>
      </c>
      <c r="C1044" s="1" t="s">
        <v>8963</v>
      </c>
      <c r="D1044" s="22" t="str">
        <f>HYPERLINK("https://rhld.insurance.arkansas.gov/NPILookup?Npi=1922034503","1922034503")</f>
        <v>1922034503</v>
      </c>
      <c r="E1044" s="1" t="s">
        <v>15423</v>
      </c>
      <c r="F1044" s="2"/>
      <c r="G1044" s="2"/>
      <c r="H1044" s="2"/>
    </row>
    <row r="1045" spans="1:8" x14ac:dyDescent="0.25">
      <c r="A1045" s="1"/>
      <c r="B1045" s="1" t="s">
        <v>8962</v>
      </c>
      <c r="C1045" s="1" t="s">
        <v>8963</v>
      </c>
      <c r="D1045" s="22" t="str">
        <f>HYPERLINK("https://rhld.insurance.arkansas.gov/NPILookup?Npi=1922043686","1922043686")</f>
        <v>1922043686</v>
      </c>
      <c r="E1045" s="1" t="s">
        <v>1543</v>
      </c>
      <c r="F1045" s="2"/>
      <c r="G1045" s="2"/>
      <c r="H1045" s="2"/>
    </row>
    <row r="1046" spans="1:8" x14ac:dyDescent="0.25">
      <c r="A1046" s="1"/>
      <c r="B1046" s="1" t="s">
        <v>8962</v>
      </c>
      <c r="C1046" s="1" t="s">
        <v>8963</v>
      </c>
      <c r="D1046" s="22" t="str">
        <f>HYPERLINK("https://rhld.insurance.arkansas.gov/NPILookup?Npi=1922166123","1922166123")</f>
        <v>1922166123</v>
      </c>
      <c r="E1046" s="1" t="s">
        <v>15424</v>
      </c>
      <c r="F1046" s="2"/>
      <c r="G1046" s="2"/>
      <c r="H1046" s="2"/>
    </row>
    <row r="1047" spans="1:8" x14ac:dyDescent="0.25">
      <c r="A1047" s="1"/>
      <c r="B1047" s="1" t="s">
        <v>8962</v>
      </c>
      <c r="C1047" s="1" t="s">
        <v>8963</v>
      </c>
      <c r="D1047" s="22" t="str">
        <f>HYPERLINK("https://rhld.insurance.arkansas.gov/NPILookup?Npi=1922182831","1922182831")</f>
        <v>1922182831</v>
      </c>
      <c r="E1047" s="1" t="s">
        <v>15425</v>
      </c>
      <c r="F1047" s="2"/>
      <c r="G1047" s="2"/>
      <c r="H1047" s="2"/>
    </row>
    <row r="1048" spans="1:8" x14ac:dyDescent="0.25">
      <c r="A1048" s="1"/>
      <c r="B1048" s="1" t="s">
        <v>8962</v>
      </c>
      <c r="C1048" s="1" t="s">
        <v>8963</v>
      </c>
      <c r="D1048" s="22" t="str">
        <f>HYPERLINK("https://rhld.insurance.arkansas.gov/NPILookup?Npi=1922353754","1922353754")</f>
        <v>1922353754</v>
      </c>
      <c r="E1048" s="1" t="s">
        <v>1076</v>
      </c>
      <c r="F1048" s="2"/>
      <c r="G1048" s="2"/>
      <c r="H1048" s="2"/>
    </row>
    <row r="1049" spans="1:8" x14ac:dyDescent="0.25">
      <c r="A1049" s="1"/>
      <c r="B1049" s="1" t="s">
        <v>8962</v>
      </c>
      <c r="C1049" s="1" t="s">
        <v>8963</v>
      </c>
      <c r="D1049" s="22" t="str">
        <f>HYPERLINK("https://rhld.insurance.arkansas.gov/NPILookup?Npi=1952326977","1952326977")</f>
        <v>1952326977</v>
      </c>
      <c r="E1049" s="1" t="s">
        <v>15267</v>
      </c>
      <c r="F1049" s="2"/>
      <c r="G1049" s="2"/>
      <c r="H1049" s="2"/>
    </row>
    <row r="1050" spans="1:8" x14ac:dyDescent="0.25">
      <c r="A1050" s="1"/>
      <c r="B1050" s="1" t="s">
        <v>8962</v>
      </c>
      <c r="C1050" s="1" t="s">
        <v>8963</v>
      </c>
      <c r="D1050" s="22" t="str">
        <f>HYPERLINK("https://rhld.insurance.arkansas.gov/NPILookup?Npi=1952482036","1952482036")</f>
        <v>1952482036</v>
      </c>
      <c r="E1050" s="1" t="s">
        <v>9667</v>
      </c>
      <c r="F1050" s="2"/>
      <c r="G1050" s="2"/>
      <c r="H1050" s="2"/>
    </row>
    <row r="1051" spans="1:8" x14ac:dyDescent="0.25">
      <c r="A1051" s="1"/>
      <c r="B1051" s="1" t="s">
        <v>8962</v>
      </c>
      <c r="C1051" s="1" t="s">
        <v>8963</v>
      </c>
      <c r="D1051" s="22" t="str">
        <f>HYPERLINK("https://rhld.insurance.arkansas.gov/NPILookup?Npi=1952769119","1952769119")</f>
        <v>1952769119</v>
      </c>
      <c r="E1051" s="1" t="s">
        <v>15426</v>
      </c>
      <c r="F1051" s="2"/>
      <c r="G1051" s="2"/>
      <c r="H1051" s="2"/>
    </row>
    <row r="1052" spans="1:8" x14ac:dyDescent="0.25">
      <c r="A1052" s="1"/>
      <c r="B1052" s="1" t="s">
        <v>8962</v>
      </c>
      <c r="C1052" s="1" t="s">
        <v>8963</v>
      </c>
      <c r="D1052" s="22" t="str">
        <f>HYPERLINK("https://rhld.insurance.arkansas.gov/NPILookup?Npi=1962473306","1962473306")</f>
        <v>1962473306</v>
      </c>
      <c r="E1052" s="1" t="s">
        <v>15427</v>
      </c>
      <c r="F1052" s="2"/>
      <c r="G1052" s="2"/>
      <c r="H1052" s="2"/>
    </row>
    <row r="1053" spans="1:8" x14ac:dyDescent="0.25">
      <c r="A1053" s="1"/>
      <c r="B1053" s="1" t="s">
        <v>8962</v>
      </c>
      <c r="C1053" s="1" t="s">
        <v>8963</v>
      </c>
      <c r="D1053" s="22" t="str">
        <f>HYPERLINK("https://rhld.insurance.arkansas.gov/NPILookup?Npi=1962999359","1962999359")</f>
        <v>1962999359</v>
      </c>
      <c r="E1053" s="1" t="s">
        <v>9668</v>
      </c>
      <c r="F1053" s="2"/>
      <c r="G1053" s="2"/>
      <c r="H1053" s="2"/>
    </row>
    <row r="1054" spans="1:8" x14ac:dyDescent="0.25">
      <c r="A1054" s="1"/>
      <c r="B1054" s="1" t="s">
        <v>8962</v>
      </c>
      <c r="C1054" s="1" t="s">
        <v>8963</v>
      </c>
      <c r="D1054" s="22" t="str">
        <f>HYPERLINK("https://rhld.insurance.arkansas.gov/NPILookup?Npi=1972083806","1972083806")</f>
        <v>1972083806</v>
      </c>
      <c r="E1054" s="1" t="s">
        <v>8987</v>
      </c>
      <c r="F1054" s="2"/>
      <c r="G1054" s="2"/>
      <c r="H1054" s="2"/>
    </row>
    <row r="1055" spans="1:8" x14ac:dyDescent="0.25">
      <c r="A1055" s="1"/>
      <c r="B1055" s="1" t="s">
        <v>8962</v>
      </c>
      <c r="C1055" s="1" t="s">
        <v>8963</v>
      </c>
      <c r="D1055" s="22" t="str">
        <f>HYPERLINK("https://rhld.insurance.arkansas.gov/NPILookup?Npi=1982961439","1982961439")</f>
        <v>1982961439</v>
      </c>
      <c r="E1055" s="1" t="s">
        <v>8988</v>
      </c>
      <c r="F1055" s="2"/>
      <c r="G1055" s="2"/>
      <c r="H1055" s="2"/>
    </row>
    <row r="1056" spans="1:8" x14ac:dyDescent="0.25">
      <c r="A1056" s="1"/>
      <c r="B1056" s="1" t="s">
        <v>8989</v>
      </c>
      <c r="C1056" s="1" t="s">
        <v>8990</v>
      </c>
      <c r="D1056" s="22" t="str">
        <f>HYPERLINK("https://rhld.insurance.arkansas.gov/NPILookup?Npi=1003180035","1003180035")</f>
        <v>1003180035</v>
      </c>
      <c r="E1056" s="1" t="s">
        <v>15298</v>
      </c>
      <c r="F1056" s="2"/>
      <c r="G1056" s="2"/>
      <c r="H1056" s="2"/>
    </row>
    <row r="1057" spans="1:8" x14ac:dyDescent="0.25">
      <c r="A1057" s="1"/>
      <c r="B1057" s="1" t="s">
        <v>8989</v>
      </c>
      <c r="C1057" s="1" t="s">
        <v>8990</v>
      </c>
      <c r="D1057" s="22" t="str">
        <f>HYPERLINK("https://rhld.insurance.arkansas.gov/NPILookup?Npi=1003898313","1003898313")</f>
        <v>1003898313</v>
      </c>
      <c r="E1057" s="1" t="s">
        <v>1161</v>
      </c>
      <c r="F1057" s="2"/>
      <c r="G1057" s="2"/>
      <c r="H1057" s="2"/>
    </row>
    <row r="1058" spans="1:8" x14ac:dyDescent="0.25">
      <c r="A1058" s="1"/>
      <c r="B1058" s="1" t="s">
        <v>8989</v>
      </c>
      <c r="C1058" s="1" t="s">
        <v>8990</v>
      </c>
      <c r="D1058" s="22" t="str">
        <f>HYPERLINK("https://rhld.insurance.arkansas.gov/NPILookup?Npi=1033147921","1033147921")</f>
        <v>1033147921</v>
      </c>
      <c r="E1058" s="1" t="s">
        <v>15089</v>
      </c>
      <c r="F1058" s="2"/>
      <c r="G1058" s="2"/>
      <c r="H1058" s="2"/>
    </row>
    <row r="1059" spans="1:8" x14ac:dyDescent="0.25">
      <c r="A1059" s="1"/>
      <c r="B1059" s="1" t="s">
        <v>8989</v>
      </c>
      <c r="C1059" s="1" t="s">
        <v>8990</v>
      </c>
      <c r="D1059" s="22" t="str">
        <f>HYPERLINK("https://rhld.insurance.arkansas.gov/NPILookup?Npi=1033160049","1033160049")</f>
        <v>1033160049</v>
      </c>
      <c r="E1059" s="1" t="s">
        <v>972</v>
      </c>
      <c r="F1059" s="2"/>
      <c r="G1059" s="2"/>
      <c r="H1059" s="2"/>
    </row>
    <row r="1060" spans="1:8" x14ac:dyDescent="0.25">
      <c r="A1060" s="1"/>
      <c r="B1060" s="1" t="s">
        <v>8989</v>
      </c>
      <c r="C1060" s="1" t="s">
        <v>8990</v>
      </c>
      <c r="D1060" s="22" t="str">
        <f>HYPERLINK("https://rhld.insurance.arkansas.gov/NPILookup?Npi=1043240682","1043240682")</f>
        <v>1043240682</v>
      </c>
      <c r="E1060" s="1" t="s">
        <v>15095</v>
      </c>
      <c r="F1060" s="2"/>
      <c r="G1060" s="2"/>
      <c r="H1060" s="2"/>
    </row>
    <row r="1061" spans="1:8" x14ac:dyDescent="0.25">
      <c r="A1061" s="1"/>
      <c r="B1061" s="1" t="s">
        <v>8989</v>
      </c>
      <c r="C1061" s="1" t="s">
        <v>8990</v>
      </c>
      <c r="D1061" s="22" t="str">
        <f>HYPERLINK("https://rhld.insurance.arkansas.gov/NPILookup?Npi=1063695120","1063695120")</f>
        <v>1063695120</v>
      </c>
      <c r="E1061" s="1" t="s">
        <v>1563</v>
      </c>
      <c r="F1061" s="2"/>
      <c r="G1061" s="2"/>
      <c r="H1061" s="2"/>
    </row>
    <row r="1062" spans="1:8" x14ac:dyDescent="0.25">
      <c r="A1062" s="1"/>
      <c r="B1062" s="1" t="s">
        <v>8989</v>
      </c>
      <c r="C1062" s="1" t="s">
        <v>8990</v>
      </c>
      <c r="D1062" s="22" t="str">
        <f>HYPERLINK("https://rhld.insurance.arkansas.gov/NPILookup?Npi=1073600136","1073600136")</f>
        <v>1073600136</v>
      </c>
      <c r="E1062" s="1" t="s">
        <v>15301</v>
      </c>
      <c r="F1062" s="2"/>
      <c r="G1062" s="2"/>
      <c r="H1062" s="2"/>
    </row>
    <row r="1063" spans="1:8" x14ac:dyDescent="0.25">
      <c r="A1063" s="1"/>
      <c r="B1063" s="1" t="s">
        <v>8989</v>
      </c>
      <c r="C1063" s="1" t="s">
        <v>8990</v>
      </c>
      <c r="D1063" s="22" t="str">
        <f>HYPERLINK("https://rhld.insurance.arkansas.gov/NPILookup?Npi=1073748406","1073748406")</f>
        <v>1073748406</v>
      </c>
      <c r="E1063" s="1" t="s">
        <v>5178</v>
      </c>
      <c r="F1063" s="2"/>
      <c r="G1063" s="2"/>
      <c r="H1063" s="2"/>
    </row>
    <row r="1064" spans="1:8" x14ac:dyDescent="0.25">
      <c r="A1064" s="1"/>
      <c r="B1064" s="1" t="s">
        <v>8989</v>
      </c>
      <c r="C1064" s="1" t="s">
        <v>8990</v>
      </c>
      <c r="D1064" s="22" t="str">
        <f>HYPERLINK("https://rhld.insurance.arkansas.gov/NPILookup?Npi=1083609150","1083609150")</f>
        <v>1083609150</v>
      </c>
      <c r="E1064" s="1" t="s">
        <v>15106</v>
      </c>
      <c r="F1064" s="2"/>
      <c r="G1064" s="2"/>
      <c r="H1064" s="2"/>
    </row>
    <row r="1065" spans="1:8" x14ac:dyDescent="0.25">
      <c r="A1065" s="1"/>
      <c r="B1065" s="1" t="s">
        <v>8989</v>
      </c>
      <c r="C1065" s="1" t="s">
        <v>8990</v>
      </c>
      <c r="D1065" s="22" t="str">
        <f>HYPERLINK("https://rhld.insurance.arkansas.gov/NPILookup?Npi=1083778302","1083778302")</f>
        <v>1083778302</v>
      </c>
      <c r="E1065" s="1" t="s">
        <v>15274</v>
      </c>
      <c r="F1065" s="2"/>
      <c r="G1065" s="2"/>
      <c r="H1065" s="2"/>
    </row>
    <row r="1066" spans="1:8" x14ac:dyDescent="0.25">
      <c r="A1066" s="1"/>
      <c r="B1066" s="1" t="s">
        <v>8989</v>
      </c>
      <c r="C1066" s="1" t="s">
        <v>8990</v>
      </c>
      <c r="D1066" s="22" t="str">
        <f>HYPERLINK("https://rhld.insurance.arkansas.gov/NPILookup?Npi=1114903523","1114903523")</f>
        <v>1114903523</v>
      </c>
      <c r="E1066" s="1" t="s">
        <v>2139</v>
      </c>
      <c r="F1066" s="2"/>
      <c r="G1066" s="2"/>
      <c r="H1066" s="2"/>
    </row>
    <row r="1067" spans="1:8" x14ac:dyDescent="0.25">
      <c r="A1067" s="1"/>
      <c r="B1067" s="1" t="s">
        <v>8989</v>
      </c>
      <c r="C1067" s="1" t="s">
        <v>8990</v>
      </c>
      <c r="D1067" s="22" t="str">
        <f>HYPERLINK("https://rhld.insurance.arkansas.gov/NPILookup?Npi=1124021811","1124021811")</f>
        <v>1124021811</v>
      </c>
      <c r="E1067" s="1" t="s">
        <v>8888</v>
      </c>
      <c r="F1067" s="2"/>
      <c r="G1067" s="2"/>
      <c r="H1067" s="2"/>
    </row>
    <row r="1068" spans="1:8" x14ac:dyDescent="0.25">
      <c r="A1068" s="1"/>
      <c r="B1068" s="1" t="s">
        <v>8989</v>
      </c>
      <c r="C1068" s="1" t="s">
        <v>8990</v>
      </c>
      <c r="D1068" s="22" t="str">
        <f>HYPERLINK("https://rhld.insurance.arkansas.gov/NPILookup?Npi=1134116049","1134116049")</f>
        <v>1134116049</v>
      </c>
      <c r="E1068" s="1" t="s">
        <v>15116</v>
      </c>
      <c r="F1068" s="2"/>
      <c r="G1068" s="2"/>
      <c r="H1068" s="2"/>
    </row>
    <row r="1069" spans="1:8" x14ac:dyDescent="0.25">
      <c r="A1069" s="1"/>
      <c r="B1069" s="1" t="s">
        <v>8989</v>
      </c>
      <c r="C1069" s="1" t="s">
        <v>8990</v>
      </c>
      <c r="D1069" s="22" t="str">
        <f>HYPERLINK("https://rhld.insurance.arkansas.gov/NPILookup?Npi=1134720592","1134720592")</f>
        <v>1134720592</v>
      </c>
      <c r="E1069" s="1" t="s">
        <v>8890</v>
      </c>
      <c r="F1069" s="2"/>
      <c r="G1069" s="2"/>
      <c r="H1069" s="2"/>
    </row>
    <row r="1070" spans="1:8" x14ac:dyDescent="0.25">
      <c r="A1070" s="1"/>
      <c r="B1070" s="1" t="s">
        <v>8989</v>
      </c>
      <c r="C1070" s="1" t="s">
        <v>8990</v>
      </c>
      <c r="D1070" s="22" t="str">
        <f>HYPERLINK("https://rhld.insurance.arkansas.gov/NPILookup?Npi=1144213117","1144213117")</f>
        <v>1144213117</v>
      </c>
      <c r="E1070" s="1" t="s">
        <v>1688</v>
      </c>
      <c r="F1070" s="2"/>
      <c r="G1070" s="2"/>
      <c r="H1070" s="2"/>
    </row>
    <row r="1071" spans="1:8" x14ac:dyDescent="0.25">
      <c r="A1071" s="1"/>
      <c r="B1071" s="1" t="s">
        <v>8989</v>
      </c>
      <c r="C1071" s="1" t="s">
        <v>8990</v>
      </c>
      <c r="D1071" s="22" t="str">
        <f>HYPERLINK("https://rhld.insurance.arkansas.gov/NPILookup?Npi=1144294745","1144294745")</f>
        <v>1144294745</v>
      </c>
      <c r="E1071" s="1" t="s">
        <v>15302</v>
      </c>
      <c r="F1071" s="2"/>
      <c r="G1071" s="2"/>
      <c r="H1071" s="2"/>
    </row>
    <row r="1072" spans="1:8" x14ac:dyDescent="0.25">
      <c r="A1072" s="1"/>
      <c r="B1072" s="1" t="s">
        <v>8989</v>
      </c>
      <c r="C1072" s="1" t="s">
        <v>8990</v>
      </c>
      <c r="D1072" s="22" t="str">
        <f>HYPERLINK("https://rhld.insurance.arkansas.gov/NPILookup?Npi=1144590522","1144590522")</f>
        <v>1144590522</v>
      </c>
      <c r="E1072" s="1" t="s">
        <v>15275</v>
      </c>
      <c r="F1072" s="2"/>
      <c r="G1072" s="2"/>
      <c r="H1072" s="2"/>
    </row>
    <row r="1073" spans="1:8" x14ac:dyDescent="0.25">
      <c r="A1073" s="1"/>
      <c r="B1073" s="1" t="s">
        <v>8989</v>
      </c>
      <c r="C1073" s="1" t="s">
        <v>8990</v>
      </c>
      <c r="D1073" s="22" t="str">
        <f>HYPERLINK("https://rhld.insurance.arkansas.gov/NPILookup?Npi=1154807584","1154807584")</f>
        <v>1154807584</v>
      </c>
      <c r="E1073" s="1" t="s">
        <v>3465</v>
      </c>
      <c r="F1073" s="2"/>
      <c r="G1073" s="2"/>
      <c r="H1073" s="2"/>
    </row>
    <row r="1074" spans="1:8" x14ac:dyDescent="0.25">
      <c r="A1074" s="1"/>
      <c r="B1074" s="1" t="s">
        <v>8989</v>
      </c>
      <c r="C1074" s="1" t="s">
        <v>8990</v>
      </c>
      <c r="D1074" s="22" t="str">
        <f>HYPERLINK("https://rhld.insurance.arkansas.gov/NPILookup?Npi=1164009981","1164009981")</f>
        <v>1164009981</v>
      </c>
      <c r="E1074" s="1" t="s">
        <v>15330</v>
      </c>
      <c r="F1074" s="2"/>
      <c r="G1074" s="2"/>
      <c r="H1074" s="2"/>
    </row>
    <row r="1075" spans="1:8" x14ac:dyDescent="0.25">
      <c r="A1075" s="1"/>
      <c r="B1075" s="1" t="s">
        <v>8989</v>
      </c>
      <c r="C1075" s="1" t="s">
        <v>8990</v>
      </c>
      <c r="D1075" s="22" t="str">
        <f>HYPERLINK("https://rhld.insurance.arkansas.gov/NPILookup?Npi=1164779989","1164779989")</f>
        <v>1164779989</v>
      </c>
      <c r="E1075" s="1" t="s">
        <v>1076</v>
      </c>
      <c r="F1075" s="2"/>
      <c r="G1075" s="2"/>
      <c r="H1075" s="2"/>
    </row>
    <row r="1076" spans="1:8" x14ac:dyDescent="0.25">
      <c r="A1076" s="1"/>
      <c r="B1076" s="1" t="s">
        <v>8989</v>
      </c>
      <c r="C1076" s="1" t="s">
        <v>8990</v>
      </c>
      <c r="D1076" s="22" t="str">
        <f>HYPERLINK("https://rhld.insurance.arkansas.gov/NPILookup?Npi=1174947618","1174947618")</f>
        <v>1174947618</v>
      </c>
      <c r="E1076" s="1" t="s">
        <v>6931</v>
      </c>
      <c r="F1076" s="2"/>
      <c r="G1076" s="2"/>
      <c r="H1076" s="2"/>
    </row>
    <row r="1077" spans="1:8" x14ac:dyDescent="0.25">
      <c r="A1077" s="1"/>
      <c r="B1077" s="1" t="s">
        <v>8989</v>
      </c>
      <c r="C1077" s="1" t="s">
        <v>8990</v>
      </c>
      <c r="D1077" s="22" t="str">
        <f>HYPERLINK("https://rhld.insurance.arkansas.gov/NPILookup?Npi=1184679292","1184679292")</f>
        <v>1184679292</v>
      </c>
      <c r="E1077" s="1" t="s">
        <v>9067</v>
      </c>
      <c r="F1077" s="2"/>
      <c r="G1077" s="2"/>
      <c r="H1077" s="2"/>
    </row>
    <row r="1078" spans="1:8" x14ac:dyDescent="0.25">
      <c r="A1078" s="1"/>
      <c r="B1078" s="1" t="s">
        <v>8989</v>
      </c>
      <c r="C1078" s="1" t="s">
        <v>8990</v>
      </c>
      <c r="D1078" s="22" t="str">
        <f>HYPERLINK("https://rhld.insurance.arkansas.gov/NPILookup?Npi=1194724658","1194724658")</f>
        <v>1194724658</v>
      </c>
      <c r="E1078" s="1" t="s">
        <v>1562</v>
      </c>
      <c r="F1078" s="2"/>
      <c r="G1078" s="2"/>
      <c r="H1078" s="2"/>
    </row>
    <row r="1079" spans="1:8" x14ac:dyDescent="0.25">
      <c r="A1079" s="1"/>
      <c r="B1079" s="1" t="s">
        <v>8989</v>
      </c>
      <c r="C1079" s="1" t="s">
        <v>8990</v>
      </c>
      <c r="D1079" s="22" t="str">
        <f>HYPERLINK("https://rhld.insurance.arkansas.gov/NPILookup?Npi=1194741611","1194741611")</f>
        <v>1194741611</v>
      </c>
      <c r="E1079" s="1" t="s">
        <v>636</v>
      </c>
      <c r="F1079" s="2"/>
      <c r="G1079" s="2"/>
      <c r="H1079" s="2"/>
    </row>
    <row r="1080" spans="1:8" x14ac:dyDescent="0.25">
      <c r="A1080" s="1"/>
      <c r="B1080" s="1" t="s">
        <v>8989</v>
      </c>
      <c r="C1080" s="1" t="s">
        <v>8990</v>
      </c>
      <c r="D1080" s="22" t="str">
        <f>HYPERLINK("https://rhld.insurance.arkansas.gov/NPILookup?Npi=1194776757","1194776757")</f>
        <v>1194776757</v>
      </c>
      <c r="E1080" s="1" t="s">
        <v>683</v>
      </c>
      <c r="F1080" s="2"/>
      <c r="G1080" s="2"/>
      <c r="H1080" s="2"/>
    </row>
    <row r="1081" spans="1:8" x14ac:dyDescent="0.25">
      <c r="A1081" s="1"/>
      <c r="B1081" s="1" t="s">
        <v>8989</v>
      </c>
      <c r="C1081" s="1" t="s">
        <v>8990</v>
      </c>
      <c r="D1081" s="22" t="str">
        <f>HYPERLINK("https://rhld.insurance.arkansas.gov/NPILookup?Npi=1194789818","1194789818")</f>
        <v>1194789818</v>
      </c>
      <c r="E1081" s="1" t="s">
        <v>15127</v>
      </c>
      <c r="F1081" s="2"/>
      <c r="G1081" s="2"/>
      <c r="H1081" s="2"/>
    </row>
    <row r="1082" spans="1:8" x14ac:dyDescent="0.25">
      <c r="A1082" s="1"/>
      <c r="B1082" s="1" t="s">
        <v>8989</v>
      </c>
      <c r="C1082" s="1" t="s">
        <v>8990</v>
      </c>
      <c r="D1082" s="22" t="str">
        <f>HYPERLINK("https://rhld.insurance.arkansas.gov/NPILookup?Npi=1235111071","1235111071")</f>
        <v>1235111071</v>
      </c>
      <c r="E1082" s="1" t="s">
        <v>1563</v>
      </c>
      <c r="F1082" s="2"/>
      <c r="G1082" s="2"/>
      <c r="H1082" s="2"/>
    </row>
    <row r="1083" spans="1:8" x14ac:dyDescent="0.25">
      <c r="A1083" s="1"/>
      <c r="B1083" s="1" t="s">
        <v>8989</v>
      </c>
      <c r="C1083" s="1" t="s">
        <v>8990</v>
      </c>
      <c r="D1083" s="22" t="str">
        <f>HYPERLINK("https://rhld.insurance.arkansas.gov/NPILookup?Npi=1235453192","1235453192")</f>
        <v>1235453192</v>
      </c>
      <c r="E1083" s="1" t="s">
        <v>664</v>
      </c>
      <c r="F1083" s="2"/>
      <c r="G1083" s="2"/>
      <c r="H1083" s="2"/>
    </row>
    <row r="1084" spans="1:8" x14ac:dyDescent="0.25">
      <c r="A1084" s="1"/>
      <c r="B1084" s="1" t="s">
        <v>8989</v>
      </c>
      <c r="C1084" s="1" t="s">
        <v>8990</v>
      </c>
      <c r="D1084" s="22" t="str">
        <f>HYPERLINK("https://rhld.insurance.arkansas.gov/NPILookup?Npi=1245284769","1245284769")</f>
        <v>1245284769</v>
      </c>
      <c r="E1084" s="1" t="s">
        <v>1620</v>
      </c>
      <c r="F1084" s="2"/>
      <c r="G1084" s="2"/>
      <c r="H1084" s="2"/>
    </row>
    <row r="1085" spans="1:8" x14ac:dyDescent="0.25">
      <c r="A1085" s="1"/>
      <c r="B1085" s="1" t="s">
        <v>8989</v>
      </c>
      <c r="C1085" s="1" t="s">
        <v>8990</v>
      </c>
      <c r="D1085" s="22" t="str">
        <f>HYPERLINK("https://rhld.insurance.arkansas.gov/NPILookup?Npi=1245357912","1245357912")</f>
        <v>1245357912</v>
      </c>
      <c r="E1085" s="1" t="s">
        <v>636</v>
      </c>
      <c r="F1085" s="2"/>
      <c r="G1085" s="2"/>
      <c r="H1085" s="2"/>
    </row>
    <row r="1086" spans="1:8" x14ac:dyDescent="0.25">
      <c r="A1086" s="1"/>
      <c r="B1086" s="1" t="s">
        <v>8989</v>
      </c>
      <c r="C1086" s="1" t="s">
        <v>8990</v>
      </c>
      <c r="D1086" s="22" t="str">
        <f>HYPERLINK("https://rhld.insurance.arkansas.gov/NPILookup?Npi=1255377420","1255377420")</f>
        <v>1255377420</v>
      </c>
      <c r="E1086" s="1" t="s">
        <v>8903</v>
      </c>
      <c r="F1086" s="2"/>
      <c r="G1086" s="2"/>
      <c r="H1086" s="2"/>
    </row>
    <row r="1087" spans="1:8" x14ac:dyDescent="0.25">
      <c r="A1087" s="1"/>
      <c r="B1087" s="1" t="s">
        <v>8989</v>
      </c>
      <c r="C1087" s="1" t="s">
        <v>8990</v>
      </c>
      <c r="D1087" s="22" t="str">
        <f>HYPERLINK("https://rhld.insurance.arkansas.gov/NPILookup?Npi=1255870853","1255870853")</f>
        <v>1255870853</v>
      </c>
      <c r="E1087" s="1" t="s">
        <v>15276</v>
      </c>
      <c r="F1087" s="2"/>
      <c r="G1087" s="2"/>
      <c r="H1087" s="2"/>
    </row>
    <row r="1088" spans="1:8" x14ac:dyDescent="0.25">
      <c r="A1088" s="1"/>
      <c r="B1088" s="1" t="s">
        <v>8989</v>
      </c>
      <c r="C1088" s="1" t="s">
        <v>8990</v>
      </c>
      <c r="D1088" s="22" t="str">
        <f>HYPERLINK("https://rhld.insurance.arkansas.gov/NPILookup?Npi=1275023095","1275023095")</f>
        <v>1275023095</v>
      </c>
      <c r="E1088" s="1" t="s">
        <v>15278</v>
      </c>
      <c r="F1088" s="2"/>
      <c r="G1088" s="2"/>
      <c r="H1088" s="2"/>
    </row>
    <row r="1089" spans="1:8" x14ac:dyDescent="0.25">
      <c r="A1089" s="1"/>
      <c r="B1089" s="1" t="s">
        <v>8989</v>
      </c>
      <c r="C1089" s="1" t="s">
        <v>8990</v>
      </c>
      <c r="D1089" s="22" t="str">
        <f>HYPERLINK("https://rhld.insurance.arkansas.gov/NPILookup?Npi=1275523912","1275523912")</f>
        <v>1275523912</v>
      </c>
      <c r="E1089" s="1" t="s">
        <v>15141</v>
      </c>
      <c r="F1089" s="2"/>
      <c r="G1089" s="2"/>
      <c r="H1089" s="2"/>
    </row>
    <row r="1090" spans="1:8" x14ac:dyDescent="0.25">
      <c r="A1090" s="1"/>
      <c r="B1090" s="1" t="s">
        <v>8989</v>
      </c>
      <c r="C1090" s="1" t="s">
        <v>8990</v>
      </c>
      <c r="D1090" s="22" t="str">
        <f>HYPERLINK("https://rhld.insurance.arkansas.gov/NPILookup?Npi=1285005140","1285005140")</f>
        <v>1285005140</v>
      </c>
      <c r="E1090" s="1" t="s">
        <v>3572</v>
      </c>
      <c r="F1090" s="2"/>
      <c r="G1090" s="2"/>
      <c r="H1090" s="2"/>
    </row>
    <row r="1091" spans="1:8" x14ac:dyDescent="0.25">
      <c r="A1091" s="1"/>
      <c r="B1091" s="1" t="s">
        <v>8989</v>
      </c>
      <c r="C1091" s="1" t="s">
        <v>8990</v>
      </c>
      <c r="D1091" s="22" t="str">
        <f>HYPERLINK("https://rhld.insurance.arkansas.gov/NPILookup?Npi=1285739581","1285739581")</f>
        <v>1285739581</v>
      </c>
      <c r="E1091" s="1" t="s">
        <v>9634</v>
      </c>
      <c r="F1091" s="2"/>
      <c r="G1091" s="2"/>
      <c r="H1091" s="2"/>
    </row>
    <row r="1092" spans="1:8" x14ac:dyDescent="0.25">
      <c r="A1092" s="1"/>
      <c r="B1092" s="1" t="s">
        <v>8989</v>
      </c>
      <c r="C1092" s="1" t="s">
        <v>8990</v>
      </c>
      <c r="D1092" s="22" t="str">
        <f>HYPERLINK("https://rhld.insurance.arkansas.gov/NPILookup?Npi=1295736734","1295736734")</f>
        <v>1295736734</v>
      </c>
      <c r="E1092" s="1" t="s">
        <v>8894</v>
      </c>
      <c r="F1092" s="2"/>
      <c r="G1092" s="2"/>
      <c r="H1092" s="2"/>
    </row>
    <row r="1093" spans="1:8" x14ac:dyDescent="0.25">
      <c r="A1093" s="1"/>
      <c r="B1093" s="1" t="s">
        <v>8989</v>
      </c>
      <c r="C1093" s="1" t="s">
        <v>8990</v>
      </c>
      <c r="D1093" s="22" t="str">
        <f>HYPERLINK("https://rhld.insurance.arkansas.gov/NPILookup?Npi=1295817260","1295817260")</f>
        <v>1295817260</v>
      </c>
      <c r="E1093" s="1" t="s">
        <v>654</v>
      </c>
      <c r="F1093" s="2"/>
      <c r="G1093" s="2"/>
      <c r="H1093" s="2"/>
    </row>
    <row r="1094" spans="1:8" x14ac:dyDescent="0.25">
      <c r="A1094" s="1"/>
      <c r="B1094" s="1" t="s">
        <v>8989</v>
      </c>
      <c r="C1094" s="1" t="s">
        <v>8990</v>
      </c>
      <c r="D1094" s="22" t="str">
        <f>HYPERLINK("https://rhld.insurance.arkansas.gov/NPILookup?Npi=1295862647","1295862647")</f>
        <v>1295862647</v>
      </c>
      <c r="E1094" s="1" t="s">
        <v>1278</v>
      </c>
      <c r="F1094" s="2"/>
      <c r="G1094" s="2"/>
      <c r="H1094" s="2"/>
    </row>
    <row r="1095" spans="1:8" x14ac:dyDescent="0.25">
      <c r="A1095" s="1"/>
      <c r="B1095" s="1" t="s">
        <v>8989</v>
      </c>
      <c r="C1095" s="1" t="s">
        <v>8990</v>
      </c>
      <c r="D1095" s="22" t="str">
        <f>HYPERLINK("https://rhld.insurance.arkansas.gov/NPILookup?Npi=1306826029","1306826029")</f>
        <v>1306826029</v>
      </c>
      <c r="E1095" s="1" t="s">
        <v>1349</v>
      </c>
      <c r="F1095" s="2"/>
      <c r="G1095" s="2"/>
      <c r="H1095" s="2"/>
    </row>
    <row r="1096" spans="1:8" x14ac:dyDescent="0.25">
      <c r="A1096" s="1"/>
      <c r="B1096" s="1" t="s">
        <v>8989</v>
      </c>
      <c r="C1096" s="1" t="s">
        <v>8990</v>
      </c>
      <c r="D1096" s="22" t="str">
        <f>HYPERLINK("https://rhld.insurance.arkansas.gov/NPILookup?Npi=1306921887","1306921887")</f>
        <v>1306921887</v>
      </c>
      <c r="E1096" s="1" t="s">
        <v>2292</v>
      </c>
      <c r="F1096" s="2"/>
      <c r="G1096" s="2"/>
      <c r="H1096" s="2"/>
    </row>
    <row r="1097" spans="1:8" x14ac:dyDescent="0.25">
      <c r="A1097" s="1"/>
      <c r="B1097" s="1" t="s">
        <v>8989</v>
      </c>
      <c r="C1097" s="1" t="s">
        <v>8990</v>
      </c>
      <c r="D1097" s="22" t="str">
        <f>HYPERLINK("https://rhld.insurance.arkansas.gov/NPILookup?Npi=1306928379","1306928379")</f>
        <v>1306928379</v>
      </c>
      <c r="E1097" s="1" t="s">
        <v>15279</v>
      </c>
      <c r="F1097" s="2"/>
      <c r="G1097" s="2"/>
      <c r="H1097" s="2"/>
    </row>
    <row r="1098" spans="1:8" x14ac:dyDescent="0.25">
      <c r="A1098" s="1"/>
      <c r="B1098" s="1" t="s">
        <v>8989</v>
      </c>
      <c r="C1098" s="1" t="s">
        <v>8990</v>
      </c>
      <c r="D1098" s="22" t="str">
        <f>HYPERLINK("https://rhld.insurance.arkansas.gov/NPILookup?Npi=1316180748","1316180748")</f>
        <v>1316180748</v>
      </c>
      <c r="E1098" s="1" t="s">
        <v>661</v>
      </c>
      <c r="F1098" s="2"/>
      <c r="G1098" s="2"/>
      <c r="H1098" s="2"/>
    </row>
    <row r="1099" spans="1:8" x14ac:dyDescent="0.25">
      <c r="A1099" s="1"/>
      <c r="B1099" s="1" t="s">
        <v>8989</v>
      </c>
      <c r="C1099" s="1" t="s">
        <v>8990</v>
      </c>
      <c r="D1099" s="22" t="str">
        <f>HYPERLINK("https://rhld.insurance.arkansas.gov/NPILookup?Npi=1316901937","1316901937")</f>
        <v>1316901937</v>
      </c>
      <c r="E1099" s="1" t="s">
        <v>15152</v>
      </c>
      <c r="F1099" s="2"/>
      <c r="G1099" s="2"/>
      <c r="H1099" s="2"/>
    </row>
    <row r="1100" spans="1:8" x14ac:dyDescent="0.25">
      <c r="A1100" s="1"/>
      <c r="B1100" s="1" t="s">
        <v>8989</v>
      </c>
      <c r="C1100" s="1" t="s">
        <v>8990</v>
      </c>
      <c r="D1100" s="22" t="str">
        <f>HYPERLINK("https://rhld.insurance.arkansas.gov/NPILookup?Npi=1316902414","1316902414")</f>
        <v>1316902414</v>
      </c>
      <c r="E1100" s="1" t="s">
        <v>15153</v>
      </c>
      <c r="F1100" s="2"/>
      <c r="G1100" s="2"/>
      <c r="H1100" s="2"/>
    </row>
    <row r="1101" spans="1:8" x14ac:dyDescent="0.25">
      <c r="A1101" s="1"/>
      <c r="B1101" s="1" t="s">
        <v>8989</v>
      </c>
      <c r="C1101" s="1" t="s">
        <v>8990</v>
      </c>
      <c r="D1101" s="22" t="str">
        <f>HYPERLINK("https://rhld.insurance.arkansas.gov/NPILookup?Npi=1326016684","1326016684")</f>
        <v>1326016684</v>
      </c>
      <c r="E1101" s="1" t="s">
        <v>9625</v>
      </c>
      <c r="F1101" s="2"/>
      <c r="G1101" s="2"/>
      <c r="H1101" s="2"/>
    </row>
    <row r="1102" spans="1:8" x14ac:dyDescent="0.25">
      <c r="A1102" s="1"/>
      <c r="B1102" s="1" t="s">
        <v>8989</v>
      </c>
      <c r="C1102" s="1" t="s">
        <v>8990</v>
      </c>
      <c r="D1102" s="22" t="str">
        <f>HYPERLINK("https://rhld.insurance.arkansas.gov/NPILookup?Npi=1336730423","1336730423")</f>
        <v>1336730423</v>
      </c>
      <c r="E1102" s="1" t="s">
        <v>15338</v>
      </c>
      <c r="F1102" s="2"/>
      <c r="G1102" s="2"/>
      <c r="H1102" s="2"/>
    </row>
    <row r="1103" spans="1:8" x14ac:dyDescent="0.25">
      <c r="A1103" s="1"/>
      <c r="B1103" s="1" t="s">
        <v>8989</v>
      </c>
      <c r="C1103" s="1" t="s">
        <v>8990</v>
      </c>
      <c r="D1103" s="22" t="str">
        <f>HYPERLINK("https://rhld.insurance.arkansas.gov/NPILookup?Npi=1346230968","1346230968")</f>
        <v>1346230968</v>
      </c>
      <c r="E1103" s="1" t="s">
        <v>15280</v>
      </c>
      <c r="F1103" s="2"/>
      <c r="G1103" s="2"/>
      <c r="H1103" s="2"/>
    </row>
    <row r="1104" spans="1:8" x14ac:dyDescent="0.25">
      <c r="A1104" s="1"/>
      <c r="B1104" s="1" t="s">
        <v>8989</v>
      </c>
      <c r="C1104" s="1" t="s">
        <v>8990</v>
      </c>
      <c r="D1104" s="22" t="str">
        <f>HYPERLINK("https://rhld.insurance.arkansas.gov/NPILookup?Npi=1356312292","1356312292")</f>
        <v>1356312292</v>
      </c>
      <c r="E1104" s="1" t="s">
        <v>15282</v>
      </c>
      <c r="F1104" s="2"/>
      <c r="G1104" s="2"/>
      <c r="H1104" s="2"/>
    </row>
    <row r="1105" spans="1:8" x14ac:dyDescent="0.25">
      <c r="A1105" s="1"/>
      <c r="B1105" s="1" t="s">
        <v>8989</v>
      </c>
      <c r="C1105" s="1" t="s">
        <v>8990</v>
      </c>
      <c r="D1105" s="22" t="str">
        <f>HYPERLINK("https://rhld.insurance.arkansas.gov/NPILookup?Npi=1366438186","1366438186")</f>
        <v>1366438186</v>
      </c>
      <c r="E1105" s="1" t="s">
        <v>15340</v>
      </c>
      <c r="F1105" s="2"/>
      <c r="G1105" s="2"/>
      <c r="H1105" s="2"/>
    </row>
    <row r="1106" spans="1:8" x14ac:dyDescent="0.25">
      <c r="A1106" s="1"/>
      <c r="B1106" s="1" t="s">
        <v>8989</v>
      </c>
      <c r="C1106" s="1" t="s">
        <v>8990</v>
      </c>
      <c r="D1106" s="22" t="str">
        <f>HYPERLINK("https://rhld.insurance.arkansas.gov/NPILookup?Npi=1386602050","1386602050")</f>
        <v>1386602050</v>
      </c>
      <c r="E1106" s="1" t="s">
        <v>9638</v>
      </c>
      <c r="F1106" s="2"/>
      <c r="G1106" s="2"/>
      <c r="H1106" s="2"/>
    </row>
    <row r="1107" spans="1:8" x14ac:dyDescent="0.25">
      <c r="A1107" s="1"/>
      <c r="B1107" s="1" t="s">
        <v>8989</v>
      </c>
      <c r="C1107" s="1" t="s">
        <v>8990</v>
      </c>
      <c r="D1107" s="22" t="str">
        <f>HYPERLINK("https://rhld.insurance.arkansas.gov/NPILookup?Npi=1386699353","1386699353")</f>
        <v>1386699353</v>
      </c>
      <c r="E1107" s="1" t="s">
        <v>9628</v>
      </c>
      <c r="F1107" s="2"/>
      <c r="G1107" s="2"/>
      <c r="H1107" s="2"/>
    </row>
    <row r="1108" spans="1:8" x14ac:dyDescent="0.25">
      <c r="A1108" s="1"/>
      <c r="B1108" s="1" t="s">
        <v>8989</v>
      </c>
      <c r="C1108" s="1" t="s">
        <v>8990</v>
      </c>
      <c r="D1108" s="22" t="str">
        <f>HYPERLINK("https://rhld.insurance.arkansas.gov/NPILookup?Npi=1386802023","1386802023")</f>
        <v>1386802023</v>
      </c>
      <c r="E1108" s="1" t="s">
        <v>15304</v>
      </c>
      <c r="F1108" s="2"/>
      <c r="G1108" s="2"/>
      <c r="H1108" s="2"/>
    </row>
    <row r="1109" spans="1:8" x14ac:dyDescent="0.25">
      <c r="A1109" s="1"/>
      <c r="B1109" s="1" t="s">
        <v>8989</v>
      </c>
      <c r="C1109" s="1" t="s">
        <v>8990</v>
      </c>
      <c r="D1109" s="22" t="str">
        <f>HYPERLINK("https://rhld.insurance.arkansas.gov/NPILookup?Npi=1396767158","1396767158")</f>
        <v>1396767158</v>
      </c>
      <c r="E1109" s="1" t="s">
        <v>15305</v>
      </c>
      <c r="F1109" s="2"/>
      <c r="G1109" s="2"/>
      <c r="H1109" s="2"/>
    </row>
    <row r="1110" spans="1:8" x14ac:dyDescent="0.25">
      <c r="A1110" s="1"/>
      <c r="B1110" s="1" t="s">
        <v>8989</v>
      </c>
      <c r="C1110" s="1" t="s">
        <v>8990</v>
      </c>
      <c r="D1110" s="22" t="str">
        <f>HYPERLINK("https://rhld.insurance.arkansas.gov/NPILookup?Npi=1417024662","1417024662")</f>
        <v>1417024662</v>
      </c>
      <c r="E1110" s="1" t="s">
        <v>15169</v>
      </c>
      <c r="F1110" s="2"/>
      <c r="G1110" s="2"/>
      <c r="H1110" s="2"/>
    </row>
    <row r="1111" spans="1:8" x14ac:dyDescent="0.25">
      <c r="A1111" s="1"/>
      <c r="B1111" s="1" t="s">
        <v>8989</v>
      </c>
      <c r="C1111" s="1" t="s">
        <v>8990</v>
      </c>
      <c r="D1111" s="22" t="str">
        <f>HYPERLINK("https://rhld.insurance.arkansas.gov/NPILookup?Npi=1417913419","1417913419")</f>
        <v>1417913419</v>
      </c>
      <c r="E1111" s="1" t="s">
        <v>651</v>
      </c>
      <c r="F1111" s="2"/>
      <c r="G1111" s="2"/>
      <c r="H1111" s="2"/>
    </row>
    <row r="1112" spans="1:8" x14ac:dyDescent="0.25">
      <c r="A1112" s="1"/>
      <c r="B1112" s="1" t="s">
        <v>8989</v>
      </c>
      <c r="C1112" s="1" t="s">
        <v>8990</v>
      </c>
      <c r="D1112" s="22" t="str">
        <f>HYPERLINK("https://rhld.insurance.arkansas.gov/NPILookup?Npi=1437188216","1437188216")</f>
        <v>1437188216</v>
      </c>
      <c r="E1112" s="1" t="s">
        <v>1455</v>
      </c>
      <c r="F1112" s="2"/>
      <c r="G1112" s="2"/>
      <c r="H1112" s="2"/>
    </row>
    <row r="1113" spans="1:8" x14ac:dyDescent="0.25">
      <c r="A1113" s="1"/>
      <c r="B1113" s="1" t="s">
        <v>8989</v>
      </c>
      <c r="C1113" s="1" t="s">
        <v>8990</v>
      </c>
      <c r="D1113" s="22" t="str">
        <f>HYPERLINK("https://rhld.insurance.arkansas.gov/NPILookup?Npi=1437222312","1437222312")</f>
        <v>1437222312</v>
      </c>
      <c r="E1113" s="1" t="s">
        <v>8904</v>
      </c>
      <c r="F1113" s="2"/>
      <c r="G1113" s="2"/>
      <c r="H1113" s="2"/>
    </row>
    <row r="1114" spans="1:8" x14ac:dyDescent="0.25">
      <c r="A1114" s="1"/>
      <c r="B1114" s="1" t="s">
        <v>8989</v>
      </c>
      <c r="C1114" s="1" t="s">
        <v>8990</v>
      </c>
      <c r="D1114" s="22" t="str">
        <f>HYPERLINK("https://rhld.insurance.arkansas.gov/NPILookup?Npi=1437634524","1437634524")</f>
        <v>1437634524</v>
      </c>
      <c r="E1114" s="1" t="s">
        <v>15175</v>
      </c>
      <c r="F1114" s="2"/>
      <c r="G1114" s="2"/>
      <c r="H1114" s="2"/>
    </row>
    <row r="1115" spans="1:8" x14ac:dyDescent="0.25">
      <c r="A1115" s="1"/>
      <c r="B1115" s="1" t="s">
        <v>8989</v>
      </c>
      <c r="C1115" s="1" t="s">
        <v>8990</v>
      </c>
      <c r="D1115" s="22" t="str">
        <f>HYPERLINK("https://rhld.insurance.arkansas.gov/NPILookup?Npi=1447439708","1447439708")</f>
        <v>1447439708</v>
      </c>
      <c r="E1115" s="1" t="s">
        <v>15283</v>
      </c>
      <c r="F1115" s="2"/>
      <c r="G1115" s="2"/>
      <c r="H1115" s="2"/>
    </row>
    <row r="1116" spans="1:8" x14ac:dyDescent="0.25">
      <c r="A1116" s="1"/>
      <c r="B1116" s="1" t="s">
        <v>8989</v>
      </c>
      <c r="C1116" s="1" t="s">
        <v>8990</v>
      </c>
      <c r="D1116" s="22" t="str">
        <f>HYPERLINK("https://rhld.insurance.arkansas.gov/NPILookup?Npi=1457306326","1457306326")</f>
        <v>1457306326</v>
      </c>
      <c r="E1116" s="1" t="s">
        <v>15295</v>
      </c>
      <c r="F1116" s="2"/>
      <c r="G1116" s="2"/>
      <c r="H1116" s="2"/>
    </row>
    <row r="1117" spans="1:8" x14ac:dyDescent="0.25">
      <c r="A1117" s="1"/>
      <c r="B1117" s="1" t="s">
        <v>8989</v>
      </c>
      <c r="C1117" s="1" t="s">
        <v>8990</v>
      </c>
      <c r="D1117" s="22" t="str">
        <f>HYPERLINK("https://rhld.insurance.arkansas.gov/NPILookup?Npi=1477549756","1477549756")</f>
        <v>1477549756</v>
      </c>
      <c r="E1117" s="1" t="s">
        <v>15185</v>
      </c>
      <c r="F1117" s="2"/>
      <c r="G1117" s="2"/>
      <c r="H1117" s="2"/>
    </row>
    <row r="1118" spans="1:8" x14ac:dyDescent="0.25">
      <c r="A1118" s="1"/>
      <c r="B1118" s="1" t="s">
        <v>8989</v>
      </c>
      <c r="C1118" s="1" t="s">
        <v>8990</v>
      </c>
      <c r="D1118" s="22" t="str">
        <f>HYPERLINK("https://rhld.insurance.arkansas.gov/NPILookup?Npi=1487684908","1487684908")</f>
        <v>1487684908</v>
      </c>
      <c r="E1118" s="1" t="s">
        <v>9639</v>
      </c>
      <c r="F1118" s="2"/>
      <c r="G1118" s="2"/>
      <c r="H1118" s="2"/>
    </row>
    <row r="1119" spans="1:8" x14ac:dyDescent="0.25">
      <c r="A1119" s="1"/>
      <c r="B1119" s="1" t="s">
        <v>8989</v>
      </c>
      <c r="C1119" s="1" t="s">
        <v>8990</v>
      </c>
      <c r="D1119" s="22" t="str">
        <f>HYPERLINK("https://rhld.insurance.arkansas.gov/NPILookup?Npi=1497770424","1497770424")</f>
        <v>1497770424</v>
      </c>
      <c r="E1119" s="1" t="s">
        <v>15189</v>
      </c>
      <c r="F1119" s="2"/>
      <c r="G1119" s="2"/>
      <c r="H1119" s="2"/>
    </row>
    <row r="1120" spans="1:8" x14ac:dyDescent="0.25">
      <c r="A1120" s="1"/>
      <c r="B1120" s="1" t="s">
        <v>8989</v>
      </c>
      <c r="C1120" s="1" t="s">
        <v>8990</v>
      </c>
      <c r="D1120" s="22" t="str">
        <f>HYPERLINK("https://rhld.insurance.arkansas.gov/NPILookup?Npi=1497790042","1497790042")</f>
        <v>1497790042</v>
      </c>
      <c r="E1120" s="1" t="s">
        <v>9630</v>
      </c>
      <c r="F1120" s="2"/>
      <c r="G1120" s="2"/>
      <c r="H1120" s="2"/>
    </row>
    <row r="1121" spans="1:8" x14ac:dyDescent="0.25">
      <c r="A1121" s="1"/>
      <c r="B1121" s="1" t="s">
        <v>8989</v>
      </c>
      <c r="C1121" s="1" t="s">
        <v>8990</v>
      </c>
      <c r="D1121" s="22" t="str">
        <f>HYPERLINK("https://rhld.insurance.arkansas.gov/NPILookup?Npi=1508450339","1508450339")</f>
        <v>1508450339</v>
      </c>
      <c r="E1121" s="1" t="s">
        <v>15309</v>
      </c>
      <c r="F1121" s="2"/>
      <c r="G1121" s="2"/>
      <c r="H1121" s="2"/>
    </row>
    <row r="1122" spans="1:8" x14ac:dyDescent="0.25">
      <c r="A1122" s="1"/>
      <c r="B1122" s="1" t="s">
        <v>8989</v>
      </c>
      <c r="C1122" s="1" t="s">
        <v>8990</v>
      </c>
      <c r="D1122" s="22" t="str">
        <f>HYPERLINK("https://rhld.insurance.arkansas.gov/NPILookup?Npi=1518591809","1518591809")</f>
        <v>1518591809</v>
      </c>
      <c r="E1122" s="1" t="s">
        <v>15153</v>
      </c>
      <c r="F1122" s="2"/>
      <c r="G1122" s="2"/>
      <c r="H1122" s="2"/>
    </row>
    <row r="1123" spans="1:8" x14ac:dyDescent="0.25">
      <c r="A1123" s="1"/>
      <c r="B1123" s="1" t="s">
        <v>8989</v>
      </c>
      <c r="C1123" s="1" t="s">
        <v>8990</v>
      </c>
      <c r="D1123" s="22" t="str">
        <f>HYPERLINK("https://rhld.insurance.arkansas.gov/NPILookup?Npi=1528360989","1528360989")</f>
        <v>1528360989</v>
      </c>
      <c r="E1123" s="1" t="s">
        <v>15296</v>
      </c>
      <c r="F1123" s="2"/>
      <c r="G1123" s="2"/>
      <c r="H1123" s="2"/>
    </row>
    <row r="1124" spans="1:8" x14ac:dyDescent="0.25">
      <c r="A1124" s="1"/>
      <c r="B1124" s="1" t="s">
        <v>8989</v>
      </c>
      <c r="C1124" s="1" t="s">
        <v>8990</v>
      </c>
      <c r="D1124" s="22" t="str">
        <f>HYPERLINK("https://rhld.insurance.arkansas.gov/NPILookup?Npi=1548333438","1548333438")</f>
        <v>1548333438</v>
      </c>
      <c r="E1124" s="1" t="s">
        <v>15285</v>
      </c>
      <c r="F1124" s="2"/>
      <c r="G1124" s="2"/>
      <c r="H1124" s="2"/>
    </row>
    <row r="1125" spans="1:8" x14ac:dyDescent="0.25">
      <c r="A1125" s="1"/>
      <c r="B1125" s="1" t="s">
        <v>8989</v>
      </c>
      <c r="C1125" s="1" t="s">
        <v>8990</v>
      </c>
      <c r="D1125" s="22" t="str">
        <f>HYPERLINK("https://rhld.insurance.arkansas.gov/NPILookup?Npi=1558647628","1558647628")</f>
        <v>1558647628</v>
      </c>
      <c r="E1125" s="1" t="s">
        <v>5362</v>
      </c>
      <c r="F1125" s="2"/>
      <c r="G1125" s="2"/>
      <c r="H1125" s="2"/>
    </row>
    <row r="1126" spans="1:8" x14ac:dyDescent="0.25">
      <c r="A1126" s="1"/>
      <c r="B1126" s="1" t="s">
        <v>8989</v>
      </c>
      <c r="C1126" s="1" t="s">
        <v>8990</v>
      </c>
      <c r="D1126" s="22" t="str">
        <f>HYPERLINK("https://rhld.insurance.arkansas.gov/NPILookup?Npi=1558653212","1558653212")</f>
        <v>1558653212</v>
      </c>
      <c r="E1126" s="1" t="s">
        <v>15286</v>
      </c>
      <c r="F1126" s="2"/>
      <c r="G1126" s="2"/>
      <c r="H1126" s="2"/>
    </row>
    <row r="1127" spans="1:8" x14ac:dyDescent="0.25">
      <c r="A1127" s="1"/>
      <c r="B1127" s="1" t="s">
        <v>8989</v>
      </c>
      <c r="C1127" s="1" t="s">
        <v>8990</v>
      </c>
      <c r="D1127" s="22" t="str">
        <f>HYPERLINK("https://rhld.insurance.arkansas.gov/NPILookup?Npi=1568406536","1568406536")</f>
        <v>1568406536</v>
      </c>
      <c r="E1127" s="1" t="s">
        <v>10103</v>
      </c>
      <c r="F1127" s="2"/>
      <c r="G1127" s="2"/>
      <c r="H1127" s="2"/>
    </row>
    <row r="1128" spans="1:8" x14ac:dyDescent="0.25">
      <c r="A1128" s="1"/>
      <c r="B1128" s="1" t="s">
        <v>8989</v>
      </c>
      <c r="C1128" s="1" t="s">
        <v>8990</v>
      </c>
      <c r="D1128" s="22" t="str">
        <f>HYPERLINK("https://rhld.insurance.arkansas.gov/NPILookup?Npi=1568433480","1568433480")</f>
        <v>1568433480</v>
      </c>
      <c r="E1128" s="1" t="s">
        <v>9631</v>
      </c>
      <c r="F1128" s="2"/>
      <c r="G1128" s="2"/>
      <c r="H1128" s="2"/>
    </row>
    <row r="1129" spans="1:8" x14ac:dyDescent="0.25">
      <c r="A1129" s="1"/>
      <c r="B1129" s="1" t="s">
        <v>8989</v>
      </c>
      <c r="C1129" s="1" t="s">
        <v>8990</v>
      </c>
      <c r="D1129" s="22" t="str">
        <f>HYPERLINK("https://rhld.insurance.arkansas.gov/NPILookup?Npi=1578527172","1578527172")</f>
        <v>1578527172</v>
      </c>
      <c r="E1129" s="1" t="s">
        <v>8896</v>
      </c>
      <c r="F1129" s="2"/>
      <c r="G1129" s="2"/>
      <c r="H1129" s="2"/>
    </row>
    <row r="1130" spans="1:8" x14ac:dyDescent="0.25">
      <c r="A1130" s="1"/>
      <c r="B1130" s="1" t="s">
        <v>8989</v>
      </c>
      <c r="C1130" s="1" t="s">
        <v>8990</v>
      </c>
      <c r="D1130" s="22" t="str">
        <f>HYPERLINK("https://rhld.insurance.arkansas.gov/NPILookup?Npi=1578608477","1578608477")</f>
        <v>1578608477</v>
      </c>
      <c r="E1130" s="1" t="s">
        <v>5372</v>
      </c>
      <c r="F1130" s="2"/>
      <c r="G1130" s="2"/>
      <c r="H1130" s="2"/>
    </row>
    <row r="1131" spans="1:8" x14ac:dyDescent="0.25">
      <c r="A1131" s="1"/>
      <c r="B1131" s="1" t="s">
        <v>8989</v>
      </c>
      <c r="C1131" s="1" t="s">
        <v>8990</v>
      </c>
      <c r="D1131" s="22" t="str">
        <f>HYPERLINK("https://rhld.insurance.arkansas.gov/NPILookup?Npi=1598373359","1598373359")</f>
        <v>1598373359</v>
      </c>
      <c r="E1131" s="1" t="s">
        <v>5381</v>
      </c>
      <c r="F1131" s="2"/>
      <c r="G1131" s="2"/>
      <c r="H1131" s="2"/>
    </row>
    <row r="1132" spans="1:8" x14ac:dyDescent="0.25">
      <c r="A1132" s="1"/>
      <c r="B1132" s="1" t="s">
        <v>8989</v>
      </c>
      <c r="C1132" s="1" t="s">
        <v>8990</v>
      </c>
      <c r="D1132" s="22" t="str">
        <f>HYPERLINK("https://rhld.insurance.arkansas.gov/NPILookup?Npi=1598773079","1598773079")</f>
        <v>1598773079</v>
      </c>
      <c r="E1132" s="1" t="s">
        <v>15287</v>
      </c>
      <c r="F1132" s="2"/>
      <c r="G1132" s="2"/>
      <c r="H1132" s="2"/>
    </row>
    <row r="1133" spans="1:8" x14ac:dyDescent="0.25">
      <c r="A1133" s="1"/>
      <c r="B1133" s="1" t="s">
        <v>8989</v>
      </c>
      <c r="C1133" s="1" t="s">
        <v>8990</v>
      </c>
      <c r="D1133" s="22" t="str">
        <f>HYPERLINK("https://rhld.insurance.arkansas.gov/NPILookup?Npi=1609804822","1609804822")</f>
        <v>1609804822</v>
      </c>
      <c r="E1133" s="1" t="s">
        <v>15297</v>
      </c>
      <c r="F1133" s="2"/>
      <c r="G1133" s="2"/>
      <c r="H1133" s="2"/>
    </row>
    <row r="1134" spans="1:8" x14ac:dyDescent="0.25">
      <c r="A1134" s="1"/>
      <c r="B1134" s="1" t="s">
        <v>8989</v>
      </c>
      <c r="C1134" s="1" t="s">
        <v>8990</v>
      </c>
      <c r="D1134" s="22" t="str">
        <f>HYPERLINK("https://rhld.insurance.arkansas.gov/NPILookup?Npi=1629011002","1629011002")</f>
        <v>1629011002</v>
      </c>
      <c r="E1134" s="1" t="s">
        <v>15212</v>
      </c>
      <c r="F1134" s="2"/>
      <c r="G1134" s="2"/>
      <c r="H1134" s="2"/>
    </row>
    <row r="1135" spans="1:8" x14ac:dyDescent="0.25">
      <c r="A1135" s="1"/>
      <c r="B1135" s="1" t="s">
        <v>8989</v>
      </c>
      <c r="C1135" s="1" t="s">
        <v>8990</v>
      </c>
      <c r="D1135" s="22" t="str">
        <f>HYPERLINK("https://rhld.insurance.arkansas.gov/NPILookup?Npi=1629132949","1629132949")</f>
        <v>1629132949</v>
      </c>
      <c r="E1135" s="1" t="s">
        <v>15288</v>
      </c>
      <c r="F1135" s="2"/>
      <c r="G1135" s="2"/>
      <c r="H1135" s="2"/>
    </row>
    <row r="1136" spans="1:8" x14ac:dyDescent="0.25">
      <c r="A1136" s="1"/>
      <c r="B1136" s="1" t="s">
        <v>8989</v>
      </c>
      <c r="C1136" s="1" t="s">
        <v>8990</v>
      </c>
      <c r="D1136" s="22" t="str">
        <f>HYPERLINK("https://rhld.insurance.arkansas.gov/NPILookup?Npi=1669458907","1669458907")</f>
        <v>1669458907</v>
      </c>
      <c r="E1136" s="1" t="s">
        <v>15357</v>
      </c>
      <c r="F1136" s="2"/>
      <c r="G1136" s="2"/>
      <c r="H1136" s="2"/>
    </row>
    <row r="1137" spans="1:8" x14ac:dyDescent="0.25">
      <c r="A1137" s="1"/>
      <c r="B1137" s="1" t="s">
        <v>8989</v>
      </c>
      <c r="C1137" s="1" t="s">
        <v>8990</v>
      </c>
      <c r="D1137" s="22" t="str">
        <f>HYPERLINK("https://rhld.insurance.arkansas.gov/NPILookup?Npi=1699726695","1699726695")</f>
        <v>1699726695</v>
      </c>
      <c r="E1137" s="1" t="s">
        <v>15226</v>
      </c>
      <c r="F1137" s="2"/>
      <c r="G1137" s="2"/>
      <c r="H1137" s="2"/>
    </row>
    <row r="1138" spans="1:8" x14ac:dyDescent="0.25">
      <c r="A1138" s="1"/>
      <c r="B1138" s="1" t="s">
        <v>8989</v>
      </c>
      <c r="C1138" s="1" t="s">
        <v>8990</v>
      </c>
      <c r="D1138" s="22" t="str">
        <f>HYPERLINK("https://rhld.insurance.arkansas.gov/NPILookup?Npi=1700407541","1700407541")</f>
        <v>1700407541</v>
      </c>
      <c r="E1138" s="1" t="s">
        <v>1162</v>
      </c>
      <c r="F1138" s="2"/>
      <c r="G1138" s="2"/>
      <c r="H1138" s="2"/>
    </row>
    <row r="1139" spans="1:8" x14ac:dyDescent="0.25">
      <c r="A1139" s="1"/>
      <c r="B1139" s="1" t="s">
        <v>8989</v>
      </c>
      <c r="C1139" s="1" t="s">
        <v>8990</v>
      </c>
      <c r="D1139" s="22" t="str">
        <f>HYPERLINK("https://rhld.insurance.arkansas.gov/NPILookup?Npi=1700831724","1700831724")</f>
        <v>1700831724</v>
      </c>
      <c r="E1139" s="1" t="s">
        <v>662</v>
      </c>
      <c r="F1139" s="2"/>
      <c r="G1139" s="2"/>
      <c r="H1139" s="2"/>
    </row>
    <row r="1140" spans="1:8" x14ac:dyDescent="0.25">
      <c r="A1140" s="1"/>
      <c r="B1140" s="1" t="s">
        <v>8989</v>
      </c>
      <c r="C1140" s="1" t="s">
        <v>8990</v>
      </c>
      <c r="D1140" s="22" t="str">
        <f>HYPERLINK("https://rhld.insurance.arkansas.gov/NPILookup?Npi=1710463146","1710463146")</f>
        <v>1710463146</v>
      </c>
      <c r="E1140" s="1" t="s">
        <v>2450</v>
      </c>
      <c r="F1140" s="2"/>
      <c r="G1140" s="2"/>
      <c r="H1140" s="2"/>
    </row>
    <row r="1141" spans="1:8" x14ac:dyDescent="0.25">
      <c r="A1141" s="1"/>
      <c r="B1141" s="1" t="s">
        <v>8989</v>
      </c>
      <c r="C1141" s="1" t="s">
        <v>8990</v>
      </c>
      <c r="D1141" s="22" t="str">
        <f>HYPERLINK("https://rhld.insurance.arkansas.gov/NPILookup?Npi=1710931985","1710931985")</f>
        <v>1710931985</v>
      </c>
      <c r="E1141" s="1" t="s">
        <v>15232</v>
      </c>
      <c r="F1141" s="2"/>
      <c r="G1141" s="2"/>
      <c r="H1141" s="2"/>
    </row>
    <row r="1142" spans="1:8" x14ac:dyDescent="0.25">
      <c r="A1142" s="1"/>
      <c r="B1142" s="1" t="s">
        <v>8989</v>
      </c>
      <c r="C1142" s="1" t="s">
        <v>8990</v>
      </c>
      <c r="D1142" s="22" t="str">
        <f>HYPERLINK("https://rhld.insurance.arkansas.gov/NPILookup?Npi=1710943881","1710943881")</f>
        <v>1710943881</v>
      </c>
      <c r="E1142" s="1" t="s">
        <v>654</v>
      </c>
      <c r="F1142" s="2"/>
      <c r="G1142" s="2"/>
      <c r="H1142" s="2"/>
    </row>
    <row r="1143" spans="1:8" x14ac:dyDescent="0.25">
      <c r="A1143" s="1"/>
      <c r="B1143" s="1" t="s">
        <v>8989</v>
      </c>
      <c r="C1143" s="1" t="s">
        <v>8990</v>
      </c>
      <c r="D1143" s="22" t="str">
        <f>HYPERLINK("https://rhld.insurance.arkansas.gov/NPILookup?Npi=1740217884","1740217884")</f>
        <v>1740217884</v>
      </c>
      <c r="E1143" s="1" t="s">
        <v>15290</v>
      </c>
      <c r="F1143" s="2"/>
      <c r="G1143" s="2"/>
      <c r="H1143" s="2"/>
    </row>
    <row r="1144" spans="1:8" x14ac:dyDescent="0.25">
      <c r="A1144" s="1"/>
      <c r="B1144" s="1" t="s">
        <v>8989</v>
      </c>
      <c r="C1144" s="1" t="s">
        <v>8990</v>
      </c>
      <c r="D1144" s="22" t="str">
        <f>HYPERLINK("https://rhld.insurance.arkansas.gov/NPILookup?Npi=1770087371","1770087371")</f>
        <v>1770087371</v>
      </c>
      <c r="E1144" s="1" t="s">
        <v>8945</v>
      </c>
      <c r="F1144" s="2"/>
      <c r="G1144" s="2"/>
      <c r="H1144" s="2"/>
    </row>
    <row r="1145" spans="1:8" x14ac:dyDescent="0.25">
      <c r="A1145" s="1"/>
      <c r="B1145" s="1" t="s">
        <v>8989</v>
      </c>
      <c r="C1145" s="1" t="s">
        <v>8990</v>
      </c>
      <c r="D1145" s="22" t="str">
        <f>HYPERLINK("https://rhld.insurance.arkansas.gov/NPILookup?Npi=1770802217","1770802217")</f>
        <v>1770802217</v>
      </c>
      <c r="E1145" s="1" t="s">
        <v>667</v>
      </c>
      <c r="F1145" s="2"/>
      <c r="G1145" s="2"/>
      <c r="H1145" s="2"/>
    </row>
    <row r="1146" spans="1:8" x14ac:dyDescent="0.25">
      <c r="A1146" s="1"/>
      <c r="B1146" s="1" t="s">
        <v>8989</v>
      </c>
      <c r="C1146" s="1" t="s">
        <v>8990</v>
      </c>
      <c r="D1146" s="22" t="str">
        <f>HYPERLINK("https://rhld.insurance.arkansas.gov/NPILookup?Npi=1780375592","1780375592")</f>
        <v>1780375592</v>
      </c>
      <c r="E1146" s="1" t="s">
        <v>8889</v>
      </c>
      <c r="F1146" s="2"/>
      <c r="G1146" s="2"/>
      <c r="H1146" s="2"/>
    </row>
    <row r="1147" spans="1:8" x14ac:dyDescent="0.25">
      <c r="A1147" s="1"/>
      <c r="B1147" s="1" t="s">
        <v>8989</v>
      </c>
      <c r="C1147" s="1" t="s">
        <v>8990</v>
      </c>
      <c r="D1147" s="22" t="str">
        <f>HYPERLINK("https://rhld.insurance.arkansas.gov/NPILookup?Npi=1780684431","1780684431")</f>
        <v>1780684431</v>
      </c>
      <c r="E1147" s="1" t="s">
        <v>9662</v>
      </c>
      <c r="F1147" s="2"/>
      <c r="G1147" s="2"/>
      <c r="H1147" s="2"/>
    </row>
    <row r="1148" spans="1:8" x14ac:dyDescent="0.25">
      <c r="A1148" s="1"/>
      <c r="B1148" s="1" t="s">
        <v>8989</v>
      </c>
      <c r="C1148" s="1" t="s">
        <v>8990</v>
      </c>
      <c r="D1148" s="22" t="str">
        <f>HYPERLINK("https://rhld.insurance.arkansas.gov/NPILookup?Npi=1790773158","1790773158")</f>
        <v>1790773158</v>
      </c>
      <c r="E1148" s="1" t="s">
        <v>9633</v>
      </c>
      <c r="F1148" s="2"/>
      <c r="G1148" s="2"/>
      <c r="H1148" s="2"/>
    </row>
    <row r="1149" spans="1:8" x14ac:dyDescent="0.25">
      <c r="A1149" s="1"/>
      <c r="B1149" s="1" t="s">
        <v>8989</v>
      </c>
      <c r="C1149" s="1" t="s">
        <v>8990</v>
      </c>
      <c r="D1149" s="22" t="str">
        <f>HYPERLINK("https://rhld.insurance.arkansas.gov/NPILookup?Npi=1790775229","1790775229")</f>
        <v>1790775229</v>
      </c>
      <c r="E1149" s="1" t="s">
        <v>657</v>
      </c>
      <c r="F1149" s="2"/>
      <c r="G1149" s="2"/>
      <c r="H1149" s="2"/>
    </row>
    <row r="1150" spans="1:8" x14ac:dyDescent="0.25">
      <c r="A1150" s="1"/>
      <c r="B1150" s="1" t="s">
        <v>8989</v>
      </c>
      <c r="C1150" s="1" t="s">
        <v>8990</v>
      </c>
      <c r="D1150" s="22" t="str">
        <f>HYPERLINK("https://rhld.insurance.arkansas.gov/NPILookup?Npi=1841241833","1841241833")</f>
        <v>1841241833</v>
      </c>
      <c r="E1150" s="1" t="s">
        <v>655</v>
      </c>
      <c r="F1150" s="2"/>
      <c r="G1150" s="2"/>
      <c r="H1150" s="2"/>
    </row>
    <row r="1151" spans="1:8" x14ac:dyDescent="0.25">
      <c r="A1151" s="1"/>
      <c r="B1151" s="1" t="s">
        <v>8989</v>
      </c>
      <c r="C1151" s="1" t="s">
        <v>8990</v>
      </c>
      <c r="D1151" s="22" t="str">
        <f>HYPERLINK("https://rhld.insurance.arkansas.gov/NPILookup?Npi=1841898293","1841898293")</f>
        <v>1841898293</v>
      </c>
      <c r="E1151" s="1" t="s">
        <v>15291</v>
      </c>
      <c r="F1151" s="2"/>
      <c r="G1151" s="2"/>
      <c r="H1151" s="2"/>
    </row>
    <row r="1152" spans="1:8" x14ac:dyDescent="0.25">
      <c r="A1152" s="1"/>
      <c r="B1152" s="1" t="s">
        <v>8989</v>
      </c>
      <c r="C1152" s="1" t="s">
        <v>8990</v>
      </c>
      <c r="D1152" s="22" t="str">
        <f>HYPERLINK("https://rhld.insurance.arkansas.gov/NPILookup?Npi=1861449639","1861449639")</f>
        <v>1861449639</v>
      </c>
      <c r="E1152" s="1" t="s">
        <v>15257</v>
      </c>
      <c r="F1152" s="2"/>
      <c r="G1152" s="2"/>
      <c r="H1152" s="2"/>
    </row>
    <row r="1153" spans="1:8" x14ac:dyDescent="0.25">
      <c r="A1153" s="1"/>
      <c r="B1153" s="1" t="s">
        <v>8989</v>
      </c>
      <c r="C1153" s="1" t="s">
        <v>8990</v>
      </c>
      <c r="D1153" s="22" t="str">
        <f>HYPERLINK("https://rhld.insurance.arkansas.gov/NPILookup?Npi=1861519548","1861519548")</f>
        <v>1861519548</v>
      </c>
      <c r="E1153" s="1" t="s">
        <v>15292</v>
      </c>
      <c r="F1153" s="2"/>
      <c r="G1153" s="2"/>
      <c r="H1153" s="2"/>
    </row>
    <row r="1154" spans="1:8" x14ac:dyDescent="0.25">
      <c r="A1154" s="1"/>
      <c r="B1154" s="1" t="s">
        <v>8989</v>
      </c>
      <c r="C1154" s="1" t="s">
        <v>8990</v>
      </c>
      <c r="D1154" s="22" t="str">
        <f>HYPERLINK("https://rhld.insurance.arkansas.gov/NPILookup?Npi=1861711301","1861711301")</f>
        <v>1861711301</v>
      </c>
      <c r="E1154" s="1" t="s">
        <v>9641</v>
      </c>
      <c r="F1154" s="2"/>
      <c r="G1154" s="2"/>
      <c r="H1154" s="2"/>
    </row>
    <row r="1155" spans="1:8" x14ac:dyDescent="0.25">
      <c r="A1155" s="1"/>
      <c r="B1155" s="1" t="s">
        <v>8989</v>
      </c>
      <c r="C1155" s="1" t="s">
        <v>8990</v>
      </c>
      <c r="D1155" s="22" t="str">
        <f>HYPERLINK("https://rhld.insurance.arkansas.gov/NPILookup?Npi=1871839613","1871839613")</f>
        <v>1871839613</v>
      </c>
      <c r="E1155" s="1" t="s">
        <v>15293</v>
      </c>
      <c r="F1155" s="2"/>
      <c r="G1155" s="2"/>
      <c r="H1155" s="2"/>
    </row>
    <row r="1156" spans="1:8" x14ac:dyDescent="0.25">
      <c r="A1156" s="1"/>
      <c r="B1156" s="1" t="s">
        <v>8989</v>
      </c>
      <c r="C1156" s="1" t="s">
        <v>8990</v>
      </c>
      <c r="D1156" s="22" t="str">
        <f>HYPERLINK("https://rhld.insurance.arkansas.gov/NPILookup?Npi=1881788933","1881788933")</f>
        <v>1881788933</v>
      </c>
      <c r="E1156" s="1" t="s">
        <v>2141</v>
      </c>
      <c r="F1156" s="2"/>
      <c r="G1156" s="2"/>
      <c r="H1156" s="2"/>
    </row>
    <row r="1157" spans="1:8" x14ac:dyDescent="0.25">
      <c r="A1157" s="1"/>
      <c r="B1157" s="1" t="s">
        <v>8989</v>
      </c>
      <c r="C1157" s="1" t="s">
        <v>8990</v>
      </c>
      <c r="D1157" s="22" t="str">
        <f>HYPERLINK("https://rhld.insurance.arkansas.gov/NPILookup?Npi=1891781837","1891781837")</f>
        <v>1891781837</v>
      </c>
      <c r="E1157" s="1" t="s">
        <v>628</v>
      </c>
      <c r="F1157" s="2"/>
      <c r="G1157" s="2"/>
      <c r="H1157" s="2"/>
    </row>
    <row r="1158" spans="1:8" x14ac:dyDescent="0.25">
      <c r="A1158" s="1"/>
      <c r="B1158" s="1" t="s">
        <v>8989</v>
      </c>
      <c r="C1158" s="1" t="s">
        <v>8990</v>
      </c>
      <c r="D1158" s="22" t="str">
        <f>HYPERLINK("https://rhld.insurance.arkansas.gov/NPILookup?Npi=1902051816","1902051816")</f>
        <v>1902051816</v>
      </c>
      <c r="E1158" s="1" t="s">
        <v>15259</v>
      </c>
      <c r="F1158" s="2"/>
      <c r="G1158" s="2"/>
      <c r="H1158" s="2"/>
    </row>
    <row r="1159" spans="1:8" x14ac:dyDescent="0.25">
      <c r="A1159" s="1"/>
      <c r="B1159" s="1" t="s">
        <v>8989</v>
      </c>
      <c r="C1159" s="1" t="s">
        <v>8990</v>
      </c>
      <c r="D1159" s="22" t="str">
        <f>HYPERLINK("https://rhld.insurance.arkansas.gov/NPILookup?Npi=1902842255","1902842255")</f>
        <v>1902842255</v>
      </c>
      <c r="E1159" s="1" t="s">
        <v>8899</v>
      </c>
      <c r="F1159" s="2"/>
      <c r="G1159" s="2"/>
      <c r="H1159" s="2"/>
    </row>
    <row r="1160" spans="1:8" x14ac:dyDescent="0.25">
      <c r="A1160" s="1"/>
      <c r="B1160" s="1" t="s">
        <v>8989</v>
      </c>
      <c r="C1160" s="1" t="s">
        <v>8990</v>
      </c>
      <c r="D1160" s="22" t="str">
        <f>HYPERLINK("https://rhld.insurance.arkansas.gov/NPILookup?Npi=1902868391","1902868391")</f>
        <v>1902868391</v>
      </c>
      <c r="E1160" s="1" t="s">
        <v>709</v>
      </c>
      <c r="F1160" s="2"/>
      <c r="G1160" s="2"/>
      <c r="H1160" s="2"/>
    </row>
    <row r="1161" spans="1:8" x14ac:dyDescent="0.25">
      <c r="A1161" s="1"/>
      <c r="B1161" s="1" t="s">
        <v>8989</v>
      </c>
      <c r="C1161" s="1" t="s">
        <v>8990</v>
      </c>
      <c r="D1161" s="22" t="str">
        <f>HYPERLINK("https://rhld.insurance.arkansas.gov/NPILookup?Npi=1912964081","1912964081")</f>
        <v>1912964081</v>
      </c>
      <c r="E1161" s="1" t="s">
        <v>15264</v>
      </c>
      <c r="F1161" s="2"/>
      <c r="G1161" s="2"/>
      <c r="H1161" s="2"/>
    </row>
    <row r="1162" spans="1:8" x14ac:dyDescent="0.25">
      <c r="A1162" s="1"/>
      <c r="B1162" s="1" t="s">
        <v>8989</v>
      </c>
      <c r="C1162" s="1" t="s">
        <v>8990</v>
      </c>
      <c r="D1162" s="22" t="str">
        <f>HYPERLINK("https://rhld.insurance.arkansas.gov/NPILookup?Npi=1912978875","1912978875")</f>
        <v>1912978875</v>
      </c>
      <c r="E1162" s="1" t="s">
        <v>652</v>
      </c>
      <c r="F1162" s="2"/>
      <c r="G1162" s="2"/>
      <c r="H1162" s="2"/>
    </row>
    <row r="1163" spans="1:8" x14ac:dyDescent="0.25">
      <c r="A1163" s="1"/>
      <c r="B1163" s="1" t="s">
        <v>8989</v>
      </c>
      <c r="C1163" s="1" t="s">
        <v>8990</v>
      </c>
      <c r="D1163" s="22" t="str">
        <f>HYPERLINK("https://rhld.insurance.arkansas.gov/NPILookup?Npi=1922043686","1922043686")</f>
        <v>1922043686</v>
      </c>
      <c r="E1163" s="1" t="s">
        <v>1543</v>
      </c>
      <c r="F1163" s="2"/>
      <c r="G1163" s="2"/>
      <c r="H1163" s="2"/>
    </row>
    <row r="1164" spans="1:8" x14ac:dyDescent="0.25">
      <c r="A1164" s="1"/>
      <c r="B1164" s="1" t="s">
        <v>8989</v>
      </c>
      <c r="C1164" s="1" t="s">
        <v>8990</v>
      </c>
      <c r="D1164" s="22" t="str">
        <f>HYPERLINK("https://rhld.insurance.arkansas.gov/NPILookup?Npi=1922353754","1922353754")</f>
        <v>1922353754</v>
      </c>
      <c r="E1164" s="1" t="s">
        <v>1076</v>
      </c>
      <c r="F1164" s="2"/>
      <c r="G1164" s="2"/>
      <c r="H1164" s="2"/>
    </row>
    <row r="1165" spans="1:8" x14ac:dyDescent="0.25">
      <c r="A1165" s="1"/>
      <c r="B1165" s="1" t="s">
        <v>8989</v>
      </c>
      <c r="C1165" s="1" t="s">
        <v>8990</v>
      </c>
      <c r="D1165" s="22" t="str">
        <f>HYPERLINK("https://rhld.insurance.arkansas.gov/NPILookup?Npi=1942260609","1942260609")</f>
        <v>1942260609</v>
      </c>
      <c r="E1165" s="1" t="s">
        <v>9635</v>
      </c>
      <c r="F1165" s="2"/>
      <c r="G1165" s="2"/>
      <c r="H1165" s="2"/>
    </row>
    <row r="1166" spans="1:8" x14ac:dyDescent="0.25">
      <c r="A1166" s="1"/>
      <c r="B1166" s="1" t="s">
        <v>8989</v>
      </c>
      <c r="C1166" s="1" t="s">
        <v>8990</v>
      </c>
      <c r="D1166" s="22" t="str">
        <f>HYPERLINK("https://rhld.insurance.arkansas.gov/NPILookup?Npi=1952308215","1952308215")</f>
        <v>1952308215</v>
      </c>
      <c r="E1166" s="1" t="s">
        <v>638</v>
      </c>
      <c r="F1166" s="2"/>
      <c r="G1166" s="2"/>
      <c r="H1166" s="2"/>
    </row>
    <row r="1167" spans="1:8" x14ac:dyDescent="0.25">
      <c r="A1167" s="1"/>
      <c r="B1167" s="1" t="s">
        <v>8989</v>
      </c>
      <c r="C1167" s="1" t="s">
        <v>8990</v>
      </c>
      <c r="D1167" s="22" t="str">
        <f>HYPERLINK("https://rhld.insurance.arkansas.gov/NPILookup?Npi=1962727271","1962727271")</f>
        <v>1962727271</v>
      </c>
      <c r="E1167" s="1" t="s">
        <v>3574</v>
      </c>
      <c r="F1167" s="2"/>
      <c r="G1167" s="2"/>
      <c r="H1167" s="2"/>
    </row>
    <row r="1168" spans="1:8" x14ac:dyDescent="0.25">
      <c r="A1168" s="1"/>
      <c r="B1168" s="1" t="s">
        <v>8989</v>
      </c>
      <c r="C1168" s="1" t="s">
        <v>8990</v>
      </c>
      <c r="D1168" s="22" t="str">
        <f>HYPERLINK("https://rhld.insurance.arkansas.gov/NPILookup?Npi=1972539567","1972539567")</f>
        <v>1972539567</v>
      </c>
      <c r="E1168" s="1" t="s">
        <v>9636</v>
      </c>
      <c r="F1168" s="2"/>
      <c r="G1168" s="2"/>
      <c r="H1168" s="2"/>
    </row>
    <row r="1169" spans="1:8" x14ac:dyDescent="0.25">
      <c r="A1169" s="1"/>
      <c r="B1169" s="1" t="s">
        <v>8989</v>
      </c>
      <c r="C1169" s="1" t="s">
        <v>8990</v>
      </c>
      <c r="D1169" s="22" t="str">
        <f>HYPERLINK("https://rhld.insurance.arkansas.gov/NPILookup?Npi=1972620649","1972620649")</f>
        <v>1972620649</v>
      </c>
      <c r="E1169" s="1" t="s">
        <v>15294</v>
      </c>
      <c r="F1169" s="2"/>
      <c r="G1169" s="2"/>
      <c r="H1169" s="2"/>
    </row>
    <row r="1170" spans="1:8" x14ac:dyDescent="0.25">
      <c r="A1170" s="1"/>
      <c r="B1170" s="1" t="s">
        <v>8989</v>
      </c>
      <c r="C1170" s="1" t="s">
        <v>8990</v>
      </c>
      <c r="D1170" s="22" t="str">
        <f>HYPERLINK("https://rhld.insurance.arkansas.gov/NPILookup?Npi=1992760342","1992760342")</f>
        <v>1992760342</v>
      </c>
      <c r="E1170" s="1" t="s">
        <v>9637</v>
      </c>
      <c r="F1170" s="2"/>
      <c r="G1170" s="2"/>
      <c r="H1170" s="2"/>
    </row>
    <row r="1171" spans="1:8" x14ac:dyDescent="0.25">
      <c r="A1171" s="1"/>
      <c r="B1171" s="1" t="s">
        <v>8991</v>
      </c>
      <c r="C1171" s="1" t="s">
        <v>8992</v>
      </c>
      <c r="D1171" s="22" t="str">
        <f>HYPERLINK("https://rhld.insurance.arkansas.gov/NPILookup?Npi=1003180035","1003180035")</f>
        <v>1003180035</v>
      </c>
      <c r="E1171" s="1" t="s">
        <v>15298</v>
      </c>
      <c r="F1171" s="2"/>
      <c r="G1171" s="2"/>
      <c r="H1171" s="2"/>
    </row>
    <row r="1172" spans="1:8" x14ac:dyDescent="0.25">
      <c r="A1172" s="1"/>
      <c r="B1172" s="1" t="s">
        <v>8991</v>
      </c>
      <c r="C1172" s="1" t="s">
        <v>8992</v>
      </c>
      <c r="D1172" s="22" t="str">
        <f>HYPERLINK("https://rhld.insurance.arkansas.gov/NPILookup?Npi=1003379108","1003379108")</f>
        <v>1003379108</v>
      </c>
      <c r="E1172" s="1" t="s">
        <v>9669</v>
      </c>
      <c r="F1172" s="2"/>
      <c r="G1172" s="2"/>
      <c r="H1172" s="2"/>
    </row>
    <row r="1173" spans="1:8" x14ac:dyDescent="0.25">
      <c r="A1173" s="1"/>
      <c r="B1173" s="1" t="s">
        <v>8991</v>
      </c>
      <c r="C1173" s="1" t="s">
        <v>8992</v>
      </c>
      <c r="D1173" s="22" t="str">
        <f>HYPERLINK("https://rhld.insurance.arkansas.gov/NPILookup?Npi=1023747102","1023747102")</f>
        <v>1023747102</v>
      </c>
      <c r="E1173" s="1" t="s">
        <v>8993</v>
      </c>
      <c r="F1173" s="2"/>
      <c r="G1173" s="2"/>
      <c r="H1173" s="2"/>
    </row>
    <row r="1174" spans="1:8" x14ac:dyDescent="0.25">
      <c r="A1174" s="1"/>
      <c r="B1174" s="1" t="s">
        <v>8991</v>
      </c>
      <c r="C1174" s="1" t="s">
        <v>8992</v>
      </c>
      <c r="D1174" s="22" t="str">
        <f>HYPERLINK("https://rhld.insurance.arkansas.gov/NPILookup?Npi=1033112230","1033112230")</f>
        <v>1033112230</v>
      </c>
      <c r="E1174" s="1" t="s">
        <v>15273</v>
      </c>
      <c r="F1174" s="2"/>
      <c r="G1174" s="2"/>
      <c r="H1174" s="2"/>
    </row>
    <row r="1175" spans="1:8" x14ac:dyDescent="0.25">
      <c r="A1175" s="1"/>
      <c r="B1175" s="1" t="s">
        <v>8991</v>
      </c>
      <c r="C1175" s="1" t="s">
        <v>8992</v>
      </c>
      <c r="D1175" s="22" t="str">
        <f>HYPERLINK("https://rhld.insurance.arkansas.gov/NPILookup?Npi=1033147921","1033147921")</f>
        <v>1033147921</v>
      </c>
      <c r="E1175" s="1" t="s">
        <v>15089</v>
      </c>
      <c r="F1175" s="2"/>
      <c r="G1175" s="2"/>
      <c r="H1175" s="2"/>
    </row>
    <row r="1176" spans="1:8" x14ac:dyDescent="0.25">
      <c r="A1176" s="1"/>
      <c r="B1176" s="1" t="s">
        <v>8991</v>
      </c>
      <c r="C1176" s="1" t="s">
        <v>8992</v>
      </c>
      <c r="D1176" s="22" t="str">
        <f>HYPERLINK("https://rhld.insurance.arkansas.gov/NPILookup?Npi=1033160049","1033160049")</f>
        <v>1033160049</v>
      </c>
      <c r="E1176" s="1" t="s">
        <v>972</v>
      </c>
      <c r="F1176" s="2"/>
      <c r="G1176" s="2"/>
      <c r="H1176" s="2"/>
    </row>
    <row r="1177" spans="1:8" x14ac:dyDescent="0.25">
      <c r="A1177" s="1"/>
      <c r="B1177" s="1" t="s">
        <v>8991</v>
      </c>
      <c r="C1177" s="1" t="s">
        <v>8992</v>
      </c>
      <c r="D1177" s="22" t="str">
        <f>HYPERLINK("https://rhld.insurance.arkansas.gov/NPILookup?Npi=1043213093","1043213093")</f>
        <v>1043213093</v>
      </c>
      <c r="E1177" s="1" t="s">
        <v>15428</v>
      </c>
      <c r="F1177" s="2"/>
      <c r="G1177" s="2"/>
      <c r="H1177" s="2"/>
    </row>
    <row r="1178" spans="1:8" x14ac:dyDescent="0.25">
      <c r="A1178" s="1"/>
      <c r="B1178" s="1" t="s">
        <v>8991</v>
      </c>
      <c r="C1178" s="1" t="s">
        <v>8992</v>
      </c>
      <c r="D1178" s="22" t="str">
        <f>HYPERLINK("https://rhld.insurance.arkansas.gov/NPILookup?Npi=1043240682","1043240682")</f>
        <v>1043240682</v>
      </c>
      <c r="E1178" s="1" t="s">
        <v>15095</v>
      </c>
      <c r="F1178" s="2"/>
      <c r="G1178" s="2"/>
      <c r="H1178" s="2"/>
    </row>
    <row r="1179" spans="1:8" x14ac:dyDescent="0.25">
      <c r="A1179" s="1"/>
      <c r="B1179" s="1" t="s">
        <v>8991</v>
      </c>
      <c r="C1179" s="1" t="s">
        <v>8992</v>
      </c>
      <c r="D1179" s="22" t="str">
        <f>HYPERLINK("https://rhld.insurance.arkansas.gov/NPILookup?Npi=1043495286","1043495286")</f>
        <v>1043495286</v>
      </c>
      <c r="E1179" s="1" t="s">
        <v>8994</v>
      </c>
      <c r="F1179" s="2"/>
      <c r="G1179" s="2"/>
      <c r="H1179" s="2"/>
    </row>
    <row r="1180" spans="1:8" x14ac:dyDescent="0.25">
      <c r="A1180" s="1"/>
      <c r="B1180" s="1" t="s">
        <v>8991</v>
      </c>
      <c r="C1180" s="1" t="s">
        <v>8992</v>
      </c>
      <c r="D1180" s="22" t="str">
        <f>HYPERLINK("https://rhld.insurance.arkansas.gov/NPILookup?Npi=1063695120","1063695120")</f>
        <v>1063695120</v>
      </c>
      <c r="E1180" s="1" t="s">
        <v>1563</v>
      </c>
      <c r="F1180" s="2"/>
      <c r="G1180" s="2"/>
      <c r="H1180" s="2"/>
    </row>
    <row r="1181" spans="1:8" x14ac:dyDescent="0.25">
      <c r="A1181" s="1"/>
      <c r="B1181" s="1" t="s">
        <v>8991</v>
      </c>
      <c r="C1181" s="1" t="s">
        <v>8992</v>
      </c>
      <c r="D1181" s="22" t="str">
        <f>HYPERLINK("https://rhld.insurance.arkansas.gov/NPILookup?Npi=1073748406","1073748406")</f>
        <v>1073748406</v>
      </c>
      <c r="E1181" s="1" t="s">
        <v>5178</v>
      </c>
      <c r="F1181" s="2"/>
      <c r="G1181" s="2"/>
      <c r="H1181" s="2"/>
    </row>
    <row r="1182" spans="1:8" x14ac:dyDescent="0.25">
      <c r="A1182" s="1"/>
      <c r="B1182" s="1" t="s">
        <v>8991</v>
      </c>
      <c r="C1182" s="1" t="s">
        <v>8992</v>
      </c>
      <c r="D1182" s="22" t="str">
        <f>HYPERLINK("https://rhld.insurance.arkansas.gov/NPILookup?Npi=1083609150","1083609150")</f>
        <v>1083609150</v>
      </c>
      <c r="E1182" s="1" t="s">
        <v>15106</v>
      </c>
      <c r="F1182" s="2"/>
      <c r="G1182" s="2"/>
      <c r="H1182" s="2"/>
    </row>
    <row r="1183" spans="1:8" x14ac:dyDescent="0.25">
      <c r="A1183" s="1"/>
      <c r="B1183" s="1" t="s">
        <v>8991</v>
      </c>
      <c r="C1183" s="1" t="s">
        <v>8992</v>
      </c>
      <c r="D1183" s="22" t="str">
        <f>HYPERLINK("https://rhld.insurance.arkansas.gov/NPILookup?Npi=1083778302","1083778302")</f>
        <v>1083778302</v>
      </c>
      <c r="E1183" s="1" t="s">
        <v>15274</v>
      </c>
      <c r="F1183" s="2"/>
      <c r="G1183" s="2"/>
      <c r="H1183" s="2"/>
    </row>
    <row r="1184" spans="1:8" x14ac:dyDescent="0.25">
      <c r="A1184" s="1"/>
      <c r="B1184" s="1" t="s">
        <v>8991</v>
      </c>
      <c r="C1184" s="1" t="s">
        <v>8992</v>
      </c>
      <c r="D1184" s="22" t="str">
        <f>HYPERLINK("https://rhld.insurance.arkansas.gov/NPILookup?Npi=1114903523","1114903523")</f>
        <v>1114903523</v>
      </c>
      <c r="E1184" s="1" t="s">
        <v>2139</v>
      </c>
      <c r="F1184" s="2"/>
      <c r="G1184" s="2"/>
      <c r="H1184" s="2"/>
    </row>
    <row r="1185" spans="1:8" x14ac:dyDescent="0.25">
      <c r="A1185" s="1"/>
      <c r="B1185" s="1" t="s">
        <v>8991</v>
      </c>
      <c r="C1185" s="1" t="s">
        <v>8992</v>
      </c>
      <c r="D1185" s="22" t="str">
        <f>HYPERLINK("https://rhld.insurance.arkansas.gov/NPILookup?Npi=1124021811","1124021811")</f>
        <v>1124021811</v>
      </c>
      <c r="E1185" s="1" t="s">
        <v>8888</v>
      </c>
      <c r="F1185" s="2"/>
      <c r="G1185" s="2"/>
      <c r="H1185" s="2"/>
    </row>
    <row r="1186" spans="1:8" x14ac:dyDescent="0.25">
      <c r="A1186" s="1"/>
      <c r="B1186" s="1" t="s">
        <v>8991</v>
      </c>
      <c r="C1186" s="1" t="s">
        <v>8992</v>
      </c>
      <c r="D1186" s="22" t="str">
        <f>HYPERLINK("https://rhld.insurance.arkansas.gov/NPILookup?Npi=1124789573","1124789573")</f>
        <v>1124789573</v>
      </c>
      <c r="E1186" s="1" t="s">
        <v>15429</v>
      </c>
      <c r="F1186" s="2"/>
      <c r="G1186" s="2"/>
      <c r="H1186" s="2"/>
    </row>
    <row r="1187" spans="1:8" x14ac:dyDescent="0.25">
      <c r="A1187" s="1"/>
      <c r="B1187" s="1" t="s">
        <v>8991</v>
      </c>
      <c r="C1187" s="1" t="s">
        <v>8992</v>
      </c>
      <c r="D1187" s="22" t="str">
        <f>HYPERLINK("https://rhld.insurance.arkansas.gov/NPILookup?Npi=1134116049","1134116049")</f>
        <v>1134116049</v>
      </c>
      <c r="E1187" s="1" t="s">
        <v>15116</v>
      </c>
      <c r="F1187" s="2"/>
      <c r="G1187" s="2"/>
      <c r="H1187" s="2"/>
    </row>
    <row r="1188" spans="1:8" x14ac:dyDescent="0.25">
      <c r="A1188" s="1"/>
      <c r="B1188" s="1" t="s">
        <v>8991</v>
      </c>
      <c r="C1188" s="1" t="s">
        <v>8992</v>
      </c>
      <c r="D1188" s="22" t="str">
        <f>HYPERLINK("https://rhld.insurance.arkansas.gov/NPILookup?Npi=1134176480","1134176480")</f>
        <v>1134176480</v>
      </c>
      <c r="E1188" s="1" t="s">
        <v>15430</v>
      </c>
      <c r="F1188" s="2"/>
      <c r="G1188" s="2"/>
      <c r="H1188" s="2"/>
    </row>
    <row r="1189" spans="1:8" x14ac:dyDescent="0.25">
      <c r="A1189" s="1"/>
      <c r="B1189" s="1" t="s">
        <v>8991</v>
      </c>
      <c r="C1189" s="1" t="s">
        <v>8992</v>
      </c>
      <c r="D1189" s="22" t="str">
        <f>HYPERLINK("https://rhld.insurance.arkansas.gov/NPILookup?Npi=1134231574","1134231574")</f>
        <v>1134231574</v>
      </c>
      <c r="E1189" s="1" t="s">
        <v>8924</v>
      </c>
      <c r="F1189" s="2"/>
      <c r="G1189" s="2"/>
      <c r="H1189" s="2"/>
    </row>
    <row r="1190" spans="1:8" x14ac:dyDescent="0.25">
      <c r="A1190" s="1"/>
      <c r="B1190" s="1" t="s">
        <v>8991</v>
      </c>
      <c r="C1190" s="1" t="s">
        <v>8992</v>
      </c>
      <c r="D1190" s="22" t="str">
        <f>HYPERLINK("https://rhld.insurance.arkansas.gov/NPILookup?Npi=1144213117","1144213117")</f>
        <v>1144213117</v>
      </c>
      <c r="E1190" s="1" t="s">
        <v>1688</v>
      </c>
      <c r="F1190" s="2"/>
      <c r="G1190" s="2"/>
      <c r="H1190" s="2"/>
    </row>
    <row r="1191" spans="1:8" x14ac:dyDescent="0.25">
      <c r="A1191" s="1"/>
      <c r="B1191" s="1" t="s">
        <v>8991</v>
      </c>
      <c r="C1191" s="1" t="s">
        <v>8992</v>
      </c>
      <c r="D1191" s="22" t="str">
        <f>HYPERLINK("https://rhld.insurance.arkansas.gov/NPILookup?Npi=1144590522","1144590522")</f>
        <v>1144590522</v>
      </c>
      <c r="E1191" s="1" t="s">
        <v>15275</v>
      </c>
      <c r="F1191" s="2"/>
      <c r="G1191" s="2"/>
      <c r="H1191" s="2"/>
    </row>
    <row r="1192" spans="1:8" x14ac:dyDescent="0.25">
      <c r="A1192" s="1"/>
      <c r="B1192" s="1" t="s">
        <v>8991</v>
      </c>
      <c r="C1192" s="1" t="s">
        <v>8992</v>
      </c>
      <c r="D1192" s="22" t="str">
        <f>HYPERLINK("https://rhld.insurance.arkansas.gov/NPILookup?Npi=1154075257","1154075257")</f>
        <v>1154075257</v>
      </c>
      <c r="E1192" s="1" t="s">
        <v>8995</v>
      </c>
      <c r="F1192" s="2"/>
      <c r="G1192" s="2"/>
      <c r="H1192" s="2"/>
    </row>
    <row r="1193" spans="1:8" x14ac:dyDescent="0.25">
      <c r="A1193" s="1"/>
      <c r="B1193" s="1" t="s">
        <v>8991</v>
      </c>
      <c r="C1193" s="1" t="s">
        <v>8992</v>
      </c>
      <c r="D1193" s="22" t="str">
        <f>HYPERLINK("https://rhld.insurance.arkansas.gov/NPILookup?Npi=1154807584","1154807584")</f>
        <v>1154807584</v>
      </c>
      <c r="E1193" s="1" t="s">
        <v>3465</v>
      </c>
      <c r="F1193" s="2"/>
      <c r="G1193" s="2"/>
      <c r="H1193" s="2"/>
    </row>
    <row r="1194" spans="1:8" x14ac:dyDescent="0.25">
      <c r="A1194" s="1"/>
      <c r="B1194" s="1" t="s">
        <v>8991</v>
      </c>
      <c r="C1194" s="1" t="s">
        <v>8992</v>
      </c>
      <c r="D1194" s="22" t="str">
        <f>HYPERLINK("https://rhld.insurance.arkansas.gov/NPILookup?Npi=1164779989","1164779989")</f>
        <v>1164779989</v>
      </c>
      <c r="E1194" s="1" t="s">
        <v>1076</v>
      </c>
      <c r="F1194" s="2"/>
      <c r="G1194" s="2"/>
      <c r="H1194" s="2"/>
    </row>
    <row r="1195" spans="1:8" x14ac:dyDescent="0.25">
      <c r="A1195" s="1"/>
      <c r="B1195" s="1" t="s">
        <v>8991</v>
      </c>
      <c r="C1195" s="1" t="s">
        <v>8992</v>
      </c>
      <c r="D1195" s="22" t="str">
        <f>HYPERLINK("https://rhld.insurance.arkansas.gov/NPILookup?Npi=1174546162","1174546162")</f>
        <v>1174546162</v>
      </c>
      <c r="E1195" s="1" t="s">
        <v>15431</v>
      </c>
      <c r="F1195" s="2"/>
      <c r="G1195" s="2"/>
      <c r="H1195" s="2"/>
    </row>
    <row r="1196" spans="1:8" x14ac:dyDescent="0.25">
      <c r="A1196" s="1"/>
      <c r="B1196" s="1" t="s">
        <v>8991</v>
      </c>
      <c r="C1196" s="1" t="s">
        <v>8992</v>
      </c>
      <c r="D1196" s="22" t="str">
        <f>HYPERLINK("https://rhld.insurance.arkansas.gov/NPILookup?Npi=1174947618","1174947618")</f>
        <v>1174947618</v>
      </c>
      <c r="E1196" s="1" t="s">
        <v>6931</v>
      </c>
      <c r="F1196" s="2"/>
      <c r="G1196" s="2"/>
      <c r="H1196" s="2"/>
    </row>
    <row r="1197" spans="1:8" x14ac:dyDescent="0.25">
      <c r="A1197" s="1"/>
      <c r="B1197" s="1" t="s">
        <v>8991</v>
      </c>
      <c r="C1197" s="1" t="s">
        <v>8992</v>
      </c>
      <c r="D1197" s="22" t="str">
        <f>HYPERLINK("https://rhld.insurance.arkansas.gov/NPILookup?Npi=1174952212","1174952212")</f>
        <v>1174952212</v>
      </c>
      <c r="E1197" s="1" t="s">
        <v>8928</v>
      </c>
      <c r="F1197" s="2"/>
      <c r="G1197" s="2"/>
      <c r="H1197" s="2"/>
    </row>
    <row r="1198" spans="1:8" x14ac:dyDescent="0.25">
      <c r="A1198" s="1"/>
      <c r="B1198" s="1" t="s">
        <v>8991</v>
      </c>
      <c r="C1198" s="1" t="s">
        <v>8992</v>
      </c>
      <c r="D1198" s="22" t="str">
        <f>HYPERLINK("https://rhld.insurance.arkansas.gov/NPILookup?Npi=1184185092","1184185092")</f>
        <v>1184185092</v>
      </c>
      <c r="E1198" s="1" t="s">
        <v>15332</v>
      </c>
      <c r="F1198" s="2"/>
      <c r="G1198" s="2"/>
      <c r="H1198" s="2"/>
    </row>
    <row r="1199" spans="1:8" x14ac:dyDescent="0.25">
      <c r="A1199" s="1"/>
      <c r="B1199" s="1" t="s">
        <v>8991</v>
      </c>
      <c r="C1199" s="1" t="s">
        <v>8992</v>
      </c>
      <c r="D1199" s="22" t="str">
        <f>HYPERLINK("https://rhld.insurance.arkansas.gov/NPILookup?Npi=1184968661","1184968661")</f>
        <v>1184968661</v>
      </c>
      <c r="E1199" s="1" t="s">
        <v>8996</v>
      </c>
      <c r="F1199" s="2"/>
      <c r="G1199" s="2"/>
      <c r="H1199" s="2"/>
    </row>
    <row r="1200" spans="1:8" x14ac:dyDescent="0.25">
      <c r="A1200" s="1"/>
      <c r="B1200" s="1" t="s">
        <v>8991</v>
      </c>
      <c r="C1200" s="1" t="s">
        <v>8992</v>
      </c>
      <c r="D1200" s="22" t="str">
        <f>HYPERLINK("https://rhld.insurance.arkansas.gov/NPILookup?Npi=1194327726","1194327726")</f>
        <v>1194327726</v>
      </c>
      <c r="E1200" s="1" t="s">
        <v>5580</v>
      </c>
      <c r="F1200" s="2"/>
      <c r="G1200" s="2"/>
      <c r="H1200" s="2"/>
    </row>
    <row r="1201" spans="1:8" x14ac:dyDescent="0.25">
      <c r="A1201" s="1"/>
      <c r="B1201" s="1" t="s">
        <v>8991</v>
      </c>
      <c r="C1201" s="1" t="s">
        <v>8992</v>
      </c>
      <c r="D1201" s="22" t="str">
        <f>HYPERLINK("https://rhld.insurance.arkansas.gov/NPILookup?Npi=1194741611","1194741611")</f>
        <v>1194741611</v>
      </c>
      <c r="E1201" s="1" t="s">
        <v>636</v>
      </c>
      <c r="F1201" s="2"/>
      <c r="G1201" s="2"/>
      <c r="H1201" s="2"/>
    </row>
    <row r="1202" spans="1:8" x14ac:dyDescent="0.25">
      <c r="A1202" s="1"/>
      <c r="B1202" s="1" t="s">
        <v>8991</v>
      </c>
      <c r="C1202" s="1" t="s">
        <v>8992</v>
      </c>
      <c r="D1202" s="22" t="str">
        <f>HYPERLINK("https://rhld.insurance.arkansas.gov/NPILookup?Npi=1194776757","1194776757")</f>
        <v>1194776757</v>
      </c>
      <c r="E1202" s="1" t="s">
        <v>683</v>
      </c>
      <c r="F1202" s="2"/>
      <c r="G1202" s="2"/>
      <c r="H1202" s="2"/>
    </row>
    <row r="1203" spans="1:8" x14ac:dyDescent="0.25">
      <c r="A1203" s="1"/>
      <c r="B1203" s="1" t="s">
        <v>8991</v>
      </c>
      <c r="C1203" s="1" t="s">
        <v>8992</v>
      </c>
      <c r="D1203" s="22" t="str">
        <f>HYPERLINK("https://rhld.insurance.arkansas.gov/NPILookup?Npi=1194789818","1194789818")</f>
        <v>1194789818</v>
      </c>
      <c r="E1203" s="1" t="s">
        <v>15127</v>
      </c>
      <c r="F1203" s="2"/>
      <c r="G1203" s="2"/>
      <c r="H1203" s="2"/>
    </row>
    <row r="1204" spans="1:8" x14ac:dyDescent="0.25">
      <c r="A1204" s="1"/>
      <c r="B1204" s="1" t="s">
        <v>8991</v>
      </c>
      <c r="C1204" s="1" t="s">
        <v>8992</v>
      </c>
      <c r="D1204" s="22" t="str">
        <f>HYPERLINK("https://rhld.insurance.arkansas.gov/NPILookup?Npi=1245284769","1245284769")</f>
        <v>1245284769</v>
      </c>
      <c r="E1204" s="1" t="s">
        <v>1620</v>
      </c>
      <c r="F1204" s="2"/>
      <c r="G1204" s="2"/>
      <c r="H1204" s="2"/>
    </row>
    <row r="1205" spans="1:8" x14ac:dyDescent="0.25">
      <c r="A1205" s="1"/>
      <c r="B1205" s="1" t="s">
        <v>8991</v>
      </c>
      <c r="C1205" s="1" t="s">
        <v>8992</v>
      </c>
      <c r="D1205" s="22" t="str">
        <f>HYPERLINK("https://rhld.insurance.arkansas.gov/NPILookup?Npi=1245357912","1245357912")</f>
        <v>1245357912</v>
      </c>
      <c r="E1205" s="1" t="s">
        <v>636</v>
      </c>
      <c r="F1205" s="2"/>
      <c r="G1205" s="2"/>
      <c r="H1205" s="2"/>
    </row>
    <row r="1206" spans="1:8" x14ac:dyDescent="0.25">
      <c r="A1206" s="1"/>
      <c r="B1206" s="1" t="s">
        <v>8991</v>
      </c>
      <c r="C1206" s="1" t="s">
        <v>8992</v>
      </c>
      <c r="D1206" s="22" t="str">
        <f>HYPERLINK("https://rhld.insurance.arkansas.gov/NPILookup?Npi=1255377420","1255377420")</f>
        <v>1255377420</v>
      </c>
      <c r="E1206" s="1" t="s">
        <v>8903</v>
      </c>
      <c r="F1206" s="2"/>
      <c r="G1206" s="2"/>
      <c r="H1206" s="2"/>
    </row>
    <row r="1207" spans="1:8" x14ac:dyDescent="0.25">
      <c r="A1207" s="1"/>
      <c r="B1207" s="1" t="s">
        <v>8991</v>
      </c>
      <c r="C1207" s="1" t="s">
        <v>8992</v>
      </c>
      <c r="D1207" s="22" t="str">
        <f>HYPERLINK("https://rhld.insurance.arkansas.gov/NPILookup?Npi=1255870853","1255870853")</f>
        <v>1255870853</v>
      </c>
      <c r="E1207" s="1" t="s">
        <v>15276</v>
      </c>
      <c r="F1207" s="2"/>
      <c r="G1207" s="2"/>
      <c r="H1207" s="2"/>
    </row>
    <row r="1208" spans="1:8" x14ac:dyDescent="0.25">
      <c r="A1208" s="1"/>
      <c r="B1208" s="1" t="s">
        <v>8991</v>
      </c>
      <c r="C1208" s="1" t="s">
        <v>8992</v>
      </c>
      <c r="D1208" s="22" t="str">
        <f>HYPERLINK("https://rhld.insurance.arkansas.gov/NPILookup?Npi=1255875746","1255875746")</f>
        <v>1255875746</v>
      </c>
      <c r="E1208" s="1" t="s">
        <v>15277</v>
      </c>
      <c r="F1208" s="2"/>
      <c r="G1208" s="2"/>
      <c r="H1208" s="2"/>
    </row>
    <row r="1209" spans="1:8" x14ac:dyDescent="0.25">
      <c r="A1209" s="1"/>
      <c r="B1209" s="1" t="s">
        <v>8991</v>
      </c>
      <c r="C1209" s="1" t="s">
        <v>8992</v>
      </c>
      <c r="D1209" s="22" t="str">
        <f>HYPERLINK("https://rhld.insurance.arkansas.gov/NPILookup?Npi=1265929723","1265929723")</f>
        <v>1265929723</v>
      </c>
      <c r="E1209" s="1" t="s">
        <v>15432</v>
      </c>
      <c r="F1209" s="2"/>
      <c r="G1209" s="2"/>
      <c r="H1209" s="2"/>
    </row>
    <row r="1210" spans="1:8" x14ac:dyDescent="0.25">
      <c r="A1210" s="1"/>
      <c r="B1210" s="1" t="s">
        <v>8991</v>
      </c>
      <c r="C1210" s="1" t="s">
        <v>8992</v>
      </c>
      <c r="D1210" s="22" t="str">
        <f>HYPERLINK("https://rhld.insurance.arkansas.gov/NPILookup?Npi=1275023095","1275023095")</f>
        <v>1275023095</v>
      </c>
      <c r="E1210" s="1" t="s">
        <v>15278</v>
      </c>
      <c r="F1210" s="2"/>
      <c r="G1210" s="2"/>
      <c r="H1210" s="2"/>
    </row>
    <row r="1211" spans="1:8" x14ac:dyDescent="0.25">
      <c r="A1211" s="1"/>
      <c r="B1211" s="1" t="s">
        <v>8991</v>
      </c>
      <c r="C1211" s="1" t="s">
        <v>8992</v>
      </c>
      <c r="D1211" s="22" t="str">
        <f>HYPERLINK("https://rhld.insurance.arkansas.gov/NPILookup?Npi=1275523912","1275523912")</f>
        <v>1275523912</v>
      </c>
      <c r="E1211" s="1" t="s">
        <v>15141</v>
      </c>
      <c r="F1211" s="2"/>
      <c r="G1211" s="2"/>
      <c r="H1211" s="2"/>
    </row>
    <row r="1212" spans="1:8" x14ac:dyDescent="0.25">
      <c r="A1212" s="1"/>
      <c r="B1212" s="1" t="s">
        <v>8991</v>
      </c>
      <c r="C1212" s="1" t="s">
        <v>8992</v>
      </c>
      <c r="D1212" s="22" t="str">
        <f>HYPERLINK("https://rhld.insurance.arkansas.gov/NPILookup?Npi=1285005140","1285005140")</f>
        <v>1285005140</v>
      </c>
      <c r="E1212" s="1" t="s">
        <v>3572</v>
      </c>
      <c r="F1212" s="2"/>
      <c r="G1212" s="2"/>
      <c r="H1212" s="2"/>
    </row>
    <row r="1213" spans="1:8" x14ac:dyDescent="0.25">
      <c r="A1213" s="1"/>
      <c r="B1213" s="1" t="s">
        <v>8991</v>
      </c>
      <c r="C1213" s="1" t="s">
        <v>8992</v>
      </c>
      <c r="D1213" s="22" t="str">
        <f>HYPERLINK("https://rhld.insurance.arkansas.gov/NPILookup?Npi=1285042028","1285042028")</f>
        <v>1285042028</v>
      </c>
      <c r="E1213" s="1" t="s">
        <v>15336</v>
      </c>
      <c r="F1213" s="2"/>
      <c r="G1213" s="2"/>
      <c r="H1213" s="2"/>
    </row>
    <row r="1214" spans="1:8" x14ac:dyDescent="0.25">
      <c r="A1214" s="1"/>
      <c r="B1214" s="1" t="s">
        <v>8991</v>
      </c>
      <c r="C1214" s="1" t="s">
        <v>8992</v>
      </c>
      <c r="D1214" s="22" t="str">
        <f>HYPERLINK("https://rhld.insurance.arkansas.gov/NPILookup?Npi=1285739581","1285739581")</f>
        <v>1285739581</v>
      </c>
      <c r="E1214" s="1" t="s">
        <v>9634</v>
      </c>
      <c r="F1214" s="2"/>
      <c r="G1214" s="2"/>
      <c r="H1214" s="2"/>
    </row>
    <row r="1215" spans="1:8" x14ac:dyDescent="0.25">
      <c r="A1215" s="1"/>
      <c r="B1215" s="1" t="s">
        <v>8991</v>
      </c>
      <c r="C1215" s="1" t="s">
        <v>8992</v>
      </c>
      <c r="D1215" s="22" t="str">
        <f>HYPERLINK("https://rhld.insurance.arkansas.gov/NPILookup?Npi=1295258002","1295258002")</f>
        <v>1295258002</v>
      </c>
      <c r="E1215" s="1" t="s">
        <v>15433</v>
      </c>
      <c r="F1215" s="2"/>
      <c r="G1215" s="2"/>
      <c r="H1215" s="2"/>
    </row>
    <row r="1216" spans="1:8" x14ac:dyDescent="0.25">
      <c r="A1216" s="1"/>
      <c r="B1216" s="1" t="s">
        <v>8991</v>
      </c>
      <c r="C1216" s="1" t="s">
        <v>8992</v>
      </c>
      <c r="D1216" s="22" t="str">
        <f>HYPERLINK("https://rhld.insurance.arkansas.gov/NPILookup?Npi=1295803831","1295803831")</f>
        <v>1295803831</v>
      </c>
      <c r="E1216" s="1" t="s">
        <v>15434</v>
      </c>
      <c r="F1216" s="2"/>
      <c r="G1216" s="2"/>
      <c r="H1216" s="2"/>
    </row>
    <row r="1217" spans="1:8" x14ac:dyDescent="0.25">
      <c r="A1217" s="1"/>
      <c r="B1217" s="1" t="s">
        <v>8991</v>
      </c>
      <c r="C1217" s="1" t="s">
        <v>8992</v>
      </c>
      <c r="D1217" s="22" t="str">
        <f>HYPERLINK("https://rhld.insurance.arkansas.gov/NPILookup?Npi=1295817260","1295817260")</f>
        <v>1295817260</v>
      </c>
      <c r="E1217" s="1" t="s">
        <v>654</v>
      </c>
      <c r="F1217" s="2"/>
      <c r="G1217" s="2"/>
      <c r="H1217" s="2"/>
    </row>
    <row r="1218" spans="1:8" x14ac:dyDescent="0.25">
      <c r="A1218" s="1"/>
      <c r="B1218" s="1" t="s">
        <v>8991</v>
      </c>
      <c r="C1218" s="1" t="s">
        <v>8992</v>
      </c>
      <c r="D1218" s="22" t="str">
        <f>HYPERLINK("https://rhld.insurance.arkansas.gov/NPILookup?Npi=1295833580","1295833580")</f>
        <v>1295833580</v>
      </c>
      <c r="E1218" s="1" t="s">
        <v>8931</v>
      </c>
      <c r="F1218" s="2"/>
      <c r="G1218" s="2"/>
      <c r="H1218" s="2"/>
    </row>
    <row r="1219" spans="1:8" x14ac:dyDescent="0.25">
      <c r="A1219" s="1"/>
      <c r="B1219" s="1" t="s">
        <v>8991</v>
      </c>
      <c r="C1219" s="1" t="s">
        <v>8992</v>
      </c>
      <c r="D1219" s="22" t="str">
        <f>HYPERLINK("https://rhld.insurance.arkansas.gov/NPILookup?Npi=1295862647","1295862647")</f>
        <v>1295862647</v>
      </c>
      <c r="E1219" s="1" t="s">
        <v>1278</v>
      </c>
      <c r="F1219" s="2"/>
      <c r="G1219" s="2"/>
      <c r="H1219" s="2"/>
    </row>
    <row r="1220" spans="1:8" x14ac:dyDescent="0.25">
      <c r="A1220" s="1"/>
      <c r="B1220" s="1" t="s">
        <v>8991</v>
      </c>
      <c r="C1220" s="1" t="s">
        <v>8992</v>
      </c>
      <c r="D1220" s="22" t="str">
        <f>HYPERLINK("https://rhld.insurance.arkansas.gov/NPILookup?Npi=1306826029","1306826029")</f>
        <v>1306826029</v>
      </c>
      <c r="E1220" s="1" t="s">
        <v>1349</v>
      </c>
      <c r="F1220" s="2"/>
      <c r="G1220" s="2"/>
      <c r="H1220" s="2"/>
    </row>
    <row r="1221" spans="1:8" x14ac:dyDescent="0.25">
      <c r="A1221" s="1"/>
      <c r="B1221" s="1" t="s">
        <v>8991</v>
      </c>
      <c r="C1221" s="1" t="s">
        <v>8992</v>
      </c>
      <c r="D1221" s="22" t="str">
        <f>HYPERLINK("https://rhld.insurance.arkansas.gov/NPILookup?Npi=1306921887","1306921887")</f>
        <v>1306921887</v>
      </c>
      <c r="E1221" s="1" t="s">
        <v>2292</v>
      </c>
      <c r="F1221" s="2"/>
      <c r="G1221" s="2"/>
      <c r="H1221" s="2"/>
    </row>
    <row r="1222" spans="1:8" x14ac:dyDescent="0.25">
      <c r="A1222" s="1"/>
      <c r="B1222" s="1" t="s">
        <v>8991</v>
      </c>
      <c r="C1222" s="1" t="s">
        <v>8992</v>
      </c>
      <c r="D1222" s="22" t="str">
        <f>HYPERLINK("https://rhld.insurance.arkansas.gov/NPILookup?Npi=1306928379","1306928379")</f>
        <v>1306928379</v>
      </c>
      <c r="E1222" s="1" t="s">
        <v>15279</v>
      </c>
      <c r="F1222" s="2"/>
      <c r="G1222" s="2"/>
      <c r="H1222" s="2"/>
    </row>
    <row r="1223" spans="1:8" x14ac:dyDescent="0.25">
      <c r="A1223" s="1"/>
      <c r="B1223" s="1" t="s">
        <v>8991</v>
      </c>
      <c r="C1223" s="1" t="s">
        <v>8992</v>
      </c>
      <c r="D1223" s="22" t="str">
        <f>HYPERLINK("https://rhld.insurance.arkansas.gov/NPILookup?Npi=1316901937","1316901937")</f>
        <v>1316901937</v>
      </c>
      <c r="E1223" s="1" t="s">
        <v>15152</v>
      </c>
      <c r="F1223" s="2"/>
      <c r="G1223" s="2"/>
      <c r="H1223" s="2"/>
    </row>
    <row r="1224" spans="1:8" x14ac:dyDescent="0.25">
      <c r="A1224" s="1"/>
      <c r="B1224" s="1" t="s">
        <v>8991</v>
      </c>
      <c r="C1224" s="1" t="s">
        <v>8992</v>
      </c>
      <c r="D1224" s="22" t="str">
        <f>HYPERLINK("https://rhld.insurance.arkansas.gov/NPILookup?Npi=1316902414","1316902414")</f>
        <v>1316902414</v>
      </c>
      <c r="E1224" s="1" t="s">
        <v>15153</v>
      </c>
      <c r="F1224" s="2"/>
      <c r="G1224" s="2"/>
      <c r="H1224" s="2"/>
    </row>
    <row r="1225" spans="1:8" x14ac:dyDescent="0.25">
      <c r="A1225" s="1"/>
      <c r="B1225" s="1" t="s">
        <v>8991</v>
      </c>
      <c r="C1225" s="1" t="s">
        <v>8992</v>
      </c>
      <c r="D1225" s="22" t="str">
        <f>HYPERLINK("https://rhld.insurance.arkansas.gov/NPILookup?Npi=1346211323","1346211323")</f>
        <v>1346211323</v>
      </c>
      <c r="E1225" s="1" t="s">
        <v>15339</v>
      </c>
      <c r="F1225" s="2"/>
      <c r="G1225" s="2"/>
      <c r="H1225" s="2"/>
    </row>
    <row r="1226" spans="1:8" x14ac:dyDescent="0.25">
      <c r="A1226" s="1"/>
      <c r="B1226" s="1" t="s">
        <v>8991</v>
      </c>
      <c r="C1226" s="1" t="s">
        <v>8992</v>
      </c>
      <c r="D1226" s="22" t="str">
        <f>HYPERLINK("https://rhld.insurance.arkansas.gov/NPILookup?Npi=1346230968","1346230968")</f>
        <v>1346230968</v>
      </c>
      <c r="E1226" s="1" t="s">
        <v>15280</v>
      </c>
      <c r="F1226" s="2"/>
      <c r="G1226" s="2"/>
      <c r="H1226" s="2"/>
    </row>
    <row r="1227" spans="1:8" x14ac:dyDescent="0.25">
      <c r="A1227" s="1"/>
      <c r="B1227" s="1" t="s">
        <v>8991</v>
      </c>
      <c r="C1227" s="1" t="s">
        <v>8992</v>
      </c>
      <c r="D1227" s="22" t="str">
        <f>HYPERLINK("https://rhld.insurance.arkansas.gov/NPILookup?Npi=1346623352","1346623352")</f>
        <v>1346623352</v>
      </c>
      <c r="E1227" s="1" t="s">
        <v>15281</v>
      </c>
      <c r="F1227" s="2"/>
      <c r="G1227" s="2"/>
      <c r="H1227" s="2"/>
    </row>
    <row r="1228" spans="1:8" x14ac:dyDescent="0.25">
      <c r="A1228" s="1"/>
      <c r="B1228" s="1" t="s">
        <v>8991</v>
      </c>
      <c r="C1228" s="1" t="s">
        <v>8992</v>
      </c>
      <c r="D1228" s="22" t="str">
        <f>HYPERLINK("https://rhld.insurance.arkansas.gov/NPILookup?Npi=1356072623","1356072623")</f>
        <v>1356072623</v>
      </c>
      <c r="E1228" s="1" t="s">
        <v>8997</v>
      </c>
      <c r="F1228" s="2"/>
      <c r="G1228" s="2"/>
      <c r="H1228" s="2"/>
    </row>
    <row r="1229" spans="1:8" x14ac:dyDescent="0.25">
      <c r="A1229" s="1"/>
      <c r="B1229" s="1" t="s">
        <v>8991</v>
      </c>
      <c r="C1229" s="1" t="s">
        <v>8992</v>
      </c>
      <c r="D1229" s="22" t="str">
        <f>HYPERLINK("https://rhld.insurance.arkansas.gov/NPILookup?Npi=1356312292","1356312292")</f>
        <v>1356312292</v>
      </c>
      <c r="E1229" s="1" t="s">
        <v>15282</v>
      </c>
      <c r="F1229" s="2"/>
      <c r="G1229" s="2"/>
      <c r="H1229" s="2"/>
    </row>
    <row r="1230" spans="1:8" x14ac:dyDescent="0.25">
      <c r="A1230" s="1"/>
      <c r="B1230" s="1" t="s">
        <v>8991</v>
      </c>
      <c r="C1230" s="1" t="s">
        <v>8992</v>
      </c>
      <c r="D1230" s="22" t="str">
        <f>HYPERLINK("https://rhld.insurance.arkansas.gov/NPILookup?Npi=1356455638","1356455638")</f>
        <v>1356455638</v>
      </c>
      <c r="E1230" s="1" t="s">
        <v>15435</v>
      </c>
      <c r="F1230" s="2"/>
      <c r="G1230" s="2"/>
      <c r="H1230" s="2"/>
    </row>
    <row r="1231" spans="1:8" x14ac:dyDescent="0.25">
      <c r="A1231" s="1"/>
      <c r="B1231" s="1" t="s">
        <v>8991</v>
      </c>
      <c r="C1231" s="1" t="s">
        <v>8992</v>
      </c>
      <c r="D1231" s="22" t="str">
        <f>HYPERLINK("https://rhld.insurance.arkansas.gov/NPILookup?Npi=1366190084","1366190084")</f>
        <v>1366190084</v>
      </c>
      <c r="E1231" s="1" t="s">
        <v>8998</v>
      </c>
      <c r="F1231" s="2"/>
      <c r="G1231" s="2"/>
      <c r="H1231" s="2"/>
    </row>
    <row r="1232" spans="1:8" x14ac:dyDescent="0.25">
      <c r="A1232" s="1"/>
      <c r="B1232" s="1" t="s">
        <v>8991</v>
      </c>
      <c r="C1232" s="1" t="s">
        <v>8992</v>
      </c>
      <c r="D1232" s="22" t="str">
        <f>HYPERLINK("https://rhld.insurance.arkansas.gov/NPILookup?Npi=1386602050","1386602050")</f>
        <v>1386602050</v>
      </c>
      <c r="E1232" s="1" t="s">
        <v>9638</v>
      </c>
      <c r="F1232" s="2"/>
      <c r="G1232" s="2"/>
      <c r="H1232" s="2"/>
    </row>
    <row r="1233" spans="1:8" x14ac:dyDescent="0.25">
      <c r="A1233" s="1"/>
      <c r="B1233" s="1" t="s">
        <v>8991</v>
      </c>
      <c r="C1233" s="1" t="s">
        <v>8992</v>
      </c>
      <c r="D1233" s="22" t="str">
        <f>HYPERLINK("https://rhld.insurance.arkansas.gov/NPILookup?Npi=1386699353","1386699353")</f>
        <v>1386699353</v>
      </c>
      <c r="E1233" s="1" t="s">
        <v>9628</v>
      </c>
      <c r="F1233" s="2"/>
      <c r="G1233" s="2"/>
      <c r="H1233" s="2"/>
    </row>
    <row r="1234" spans="1:8" x14ac:dyDescent="0.25">
      <c r="A1234" s="1"/>
      <c r="B1234" s="1" t="s">
        <v>8991</v>
      </c>
      <c r="C1234" s="1" t="s">
        <v>8992</v>
      </c>
      <c r="D1234" s="22" t="str">
        <f>HYPERLINK("https://rhld.insurance.arkansas.gov/NPILookup?Npi=1386802023","1386802023")</f>
        <v>1386802023</v>
      </c>
      <c r="E1234" s="1" t="s">
        <v>15304</v>
      </c>
      <c r="F1234" s="2"/>
      <c r="G1234" s="2"/>
      <c r="H1234" s="2"/>
    </row>
    <row r="1235" spans="1:8" x14ac:dyDescent="0.25">
      <c r="A1235" s="1"/>
      <c r="B1235" s="1" t="s">
        <v>8991</v>
      </c>
      <c r="C1235" s="1" t="s">
        <v>8992</v>
      </c>
      <c r="D1235" s="22" t="str">
        <f>HYPERLINK("https://rhld.insurance.arkansas.gov/NPILookup?Npi=1396288338","1396288338")</f>
        <v>1396288338</v>
      </c>
      <c r="E1235" s="1" t="s">
        <v>8999</v>
      </c>
      <c r="F1235" s="2"/>
      <c r="G1235" s="2"/>
      <c r="H1235" s="2"/>
    </row>
    <row r="1236" spans="1:8" x14ac:dyDescent="0.25">
      <c r="A1236" s="1"/>
      <c r="B1236" s="1" t="s">
        <v>8991</v>
      </c>
      <c r="C1236" s="1" t="s">
        <v>8992</v>
      </c>
      <c r="D1236" s="22" t="str">
        <f>HYPERLINK("https://rhld.insurance.arkansas.gov/NPILookup?Npi=1396767158","1396767158")</f>
        <v>1396767158</v>
      </c>
      <c r="E1236" s="1" t="s">
        <v>15305</v>
      </c>
      <c r="F1236" s="2"/>
      <c r="G1236" s="2"/>
      <c r="H1236" s="2"/>
    </row>
    <row r="1237" spans="1:8" x14ac:dyDescent="0.25">
      <c r="A1237" s="1"/>
      <c r="B1237" s="1" t="s">
        <v>8991</v>
      </c>
      <c r="C1237" s="1" t="s">
        <v>8992</v>
      </c>
      <c r="D1237" s="22" t="str">
        <f>HYPERLINK("https://rhld.insurance.arkansas.gov/NPILookup?Npi=1407152689","1407152689")</f>
        <v>1407152689</v>
      </c>
      <c r="E1237" s="1" t="s">
        <v>15306</v>
      </c>
      <c r="F1237" s="2"/>
      <c r="G1237" s="2"/>
      <c r="H1237" s="2"/>
    </row>
    <row r="1238" spans="1:8" x14ac:dyDescent="0.25">
      <c r="A1238" s="1"/>
      <c r="B1238" s="1" t="s">
        <v>8991</v>
      </c>
      <c r="C1238" s="1" t="s">
        <v>8992</v>
      </c>
      <c r="D1238" s="22" t="str">
        <f>HYPERLINK("https://rhld.insurance.arkansas.gov/NPILookup?Npi=1417024662","1417024662")</f>
        <v>1417024662</v>
      </c>
      <c r="E1238" s="1" t="s">
        <v>15169</v>
      </c>
      <c r="F1238" s="2"/>
      <c r="G1238" s="2"/>
      <c r="H1238" s="2"/>
    </row>
    <row r="1239" spans="1:8" x14ac:dyDescent="0.25">
      <c r="A1239" s="1"/>
      <c r="B1239" s="1" t="s">
        <v>8991</v>
      </c>
      <c r="C1239" s="1" t="s">
        <v>8992</v>
      </c>
      <c r="D1239" s="22" t="str">
        <f>HYPERLINK("https://rhld.insurance.arkansas.gov/NPILookup?Npi=1437188216","1437188216")</f>
        <v>1437188216</v>
      </c>
      <c r="E1239" s="1" t="s">
        <v>1455</v>
      </c>
      <c r="F1239" s="2"/>
      <c r="G1239" s="2"/>
      <c r="H1239" s="2"/>
    </row>
    <row r="1240" spans="1:8" x14ac:dyDescent="0.25">
      <c r="A1240" s="1"/>
      <c r="B1240" s="1" t="s">
        <v>8991</v>
      </c>
      <c r="C1240" s="1" t="s">
        <v>8992</v>
      </c>
      <c r="D1240" s="22" t="str">
        <f>HYPERLINK("https://rhld.insurance.arkansas.gov/NPILookup?Npi=1437222312","1437222312")</f>
        <v>1437222312</v>
      </c>
      <c r="E1240" s="1" t="s">
        <v>8904</v>
      </c>
      <c r="F1240" s="2"/>
      <c r="G1240" s="2"/>
      <c r="H1240" s="2"/>
    </row>
    <row r="1241" spans="1:8" x14ac:dyDescent="0.25">
      <c r="A1241" s="1"/>
      <c r="B1241" s="1" t="s">
        <v>8991</v>
      </c>
      <c r="C1241" s="1" t="s">
        <v>8992</v>
      </c>
      <c r="D1241" s="22" t="str">
        <f>HYPERLINK("https://rhld.insurance.arkansas.gov/NPILookup?Npi=1437634524","1437634524")</f>
        <v>1437634524</v>
      </c>
      <c r="E1241" s="1" t="s">
        <v>15175</v>
      </c>
      <c r="F1241" s="2"/>
      <c r="G1241" s="2"/>
      <c r="H1241" s="2"/>
    </row>
    <row r="1242" spans="1:8" x14ac:dyDescent="0.25">
      <c r="A1242" s="1"/>
      <c r="B1242" s="1" t="s">
        <v>8991</v>
      </c>
      <c r="C1242" s="1" t="s">
        <v>8992</v>
      </c>
      <c r="D1242" s="22" t="str">
        <f>HYPERLINK("https://rhld.insurance.arkansas.gov/NPILookup?Npi=1447276605","1447276605")</f>
        <v>1447276605</v>
      </c>
      <c r="E1242" s="1" t="s">
        <v>15345</v>
      </c>
      <c r="F1242" s="2"/>
      <c r="G1242" s="2"/>
      <c r="H1242" s="2"/>
    </row>
    <row r="1243" spans="1:8" x14ac:dyDescent="0.25">
      <c r="A1243" s="1"/>
      <c r="B1243" s="1" t="s">
        <v>8991</v>
      </c>
      <c r="C1243" s="1" t="s">
        <v>8992</v>
      </c>
      <c r="D1243" s="22" t="str">
        <f>HYPERLINK("https://rhld.insurance.arkansas.gov/NPILookup?Npi=1447439708","1447439708")</f>
        <v>1447439708</v>
      </c>
      <c r="E1243" s="1" t="s">
        <v>15283</v>
      </c>
      <c r="F1243" s="2"/>
      <c r="G1243" s="2"/>
      <c r="H1243" s="2"/>
    </row>
    <row r="1244" spans="1:8" x14ac:dyDescent="0.25">
      <c r="A1244" s="1"/>
      <c r="B1244" s="1" t="s">
        <v>8991</v>
      </c>
      <c r="C1244" s="1" t="s">
        <v>8992</v>
      </c>
      <c r="D1244" s="22" t="str">
        <f>HYPERLINK("https://rhld.insurance.arkansas.gov/NPILookup?Npi=1477039782","1477039782")</f>
        <v>1477039782</v>
      </c>
      <c r="E1244" s="1" t="s">
        <v>2450</v>
      </c>
      <c r="F1244" s="2"/>
      <c r="G1244" s="2"/>
      <c r="H1244" s="2"/>
    </row>
    <row r="1245" spans="1:8" x14ac:dyDescent="0.25">
      <c r="A1245" s="1"/>
      <c r="B1245" s="1" t="s">
        <v>8991</v>
      </c>
      <c r="C1245" s="1" t="s">
        <v>8992</v>
      </c>
      <c r="D1245" s="22" t="str">
        <f>HYPERLINK("https://rhld.insurance.arkansas.gov/NPILookup?Npi=1477201937","1477201937")</f>
        <v>1477201937</v>
      </c>
      <c r="E1245" s="1" t="s">
        <v>5337</v>
      </c>
      <c r="F1245" s="2"/>
      <c r="G1245" s="2"/>
      <c r="H1245" s="2"/>
    </row>
    <row r="1246" spans="1:8" x14ac:dyDescent="0.25">
      <c r="A1246" s="1"/>
      <c r="B1246" s="1" t="s">
        <v>8991</v>
      </c>
      <c r="C1246" s="1" t="s">
        <v>8992</v>
      </c>
      <c r="D1246" s="22" t="str">
        <f>HYPERLINK("https://rhld.insurance.arkansas.gov/NPILookup?Npi=1477549756","1477549756")</f>
        <v>1477549756</v>
      </c>
      <c r="E1246" s="1" t="s">
        <v>15185</v>
      </c>
      <c r="F1246" s="2"/>
      <c r="G1246" s="2"/>
      <c r="H1246" s="2"/>
    </row>
    <row r="1247" spans="1:8" x14ac:dyDescent="0.25">
      <c r="A1247" s="1"/>
      <c r="B1247" s="1" t="s">
        <v>8991</v>
      </c>
      <c r="C1247" s="1" t="s">
        <v>8992</v>
      </c>
      <c r="D1247" s="22" t="str">
        <f>HYPERLINK("https://rhld.insurance.arkansas.gov/NPILookup?Npi=1487684908","1487684908")</f>
        <v>1487684908</v>
      </c>
      <c r="E1247" s="1" t="s">
        <v>9639</v>
      </c>
      <c r="F1247" s="2"/>
      <c r="G1247" s="2"/>
      <c r="H1247" s="2"/>
    </row>
    <row r="1248" spans="1:8" x14ac:dyDescent="0.25">
      <c r="A1248" s="1"/>
      <c r="B1248" s="1" t="s">
        <v>8991</v>
      </c>
      <c r="C1248" s="1" t="s">
        <v>8992</v>
      </c>
      <c r="D1248" s="22" t="str">
        <f>HYPERLINK("https://rhld.insurance.arkansas.gov/NPILookup?Npi=1497770424","1497770424")</f>
        <v>1497770424</v>
      </c>
      <c r="E1248" s="1" t="s">
        <v>15189</v>
      </c>
      <c r="F1248" s="2"/>
      <c r="G1248" s="2"/>
      <c r="H1248" s="2"/>
    </row>
    <row r="1249" spans="1:8" x14ac:dyDescent="0.25">
      <c r="A1249" s="1"/>
      <c r="B1249" s="1" t="s">
        <v>8991</v>
      </c>
      <c r="C1249" s="1" t="s">
        <v>8992</v>
      </c>
      <c r="D1249" s="22" t="str">
        <f>HYPERLINK("https://rhld.insurance.arkansas.gov/NPILookup?Npi=1497790042","1497790042")</f>
        <v>1497790042</v>
      </c>
      <c r="E1249" s="1" t="s">
        <v>9630</v>
      </c>
      <c r="F1249" s="2"/>
      <c r="G1249" s="2"/>
      <c r="H1249" s="2"/>
    </row>
    <row r="1250" spans="1:8" x14ac:dyDescent="0.25">
      <c r="A1250" s="1"/>
      <c r="B1250" s="1" t="s">
        <v>8991</v>
      </c>
      <c r="C1250" s="1" t="s">
        <v>8992</v>
      </c>
      <c r="D1250" s="22" t="str">
        <f>HYPERLINK("https://rhld.insurance.arkansas.gov/NPILookup?Npi=1518345966","1518345966")</f>
        <v>1518345966</v>
      </c>
      <c r="E1250" s="1" t="s">
        <v>15436</v>
      </c>
      <c r="F1250" s="2"/>
      <c r="G1250" s="2"/>
      <c r="H1250" s="2"/>
    </row>
    <row r="1251" spans="1:8" x14ac:dyDescent="0.25">
      <c r="A1251" s="1"/>
      <c r="B1251" s="1" t="s">
        <v>8991</v>
      </c>
      <c r="C1251" s="1" t="s">
        <v>8992</v>
      </c>
      <c r="D1251" s="22" t="str">
        <f>HYPERLINK("https://rhld.insurance.arkansas.gov/NPILookup?Npi=1518591809","1518591809")</f>
        <v>1518591809</v>
      </c>
      <c r="E1251" s="1" t="s">
        <v>15153</v>
      </c>
      <c r="F1251" s="2"/>
      <c r="G1251" s="2"/>
      <c r="H1251" s="2"/>
    </row>
    <row r="1252" spans="1:8" x14ac:dyDescent="0.25">
      <c r="A1252" s="1"/>
      <c r="B1252" s="1" t="s">
        <v>8991</v>
      </c>
      <c r="C1252" s="1" t="s">
        <v>8992</v>
      </c>
      <c r="D1252" s="22" t="str">
        <f>HYPERLINK("https://rhld.insurance.arkansas.gov/NPILookup?Npi=1528010287","1528010287")</f>
        <v>1528010287</v>
      </c>
      <c r="E1252" s="1" t="s">
        <v>15284</v>
      </c>
      <c r="F1252" s="2"/>
      <c r="G1252" s="2"/>
      <c r="H1252" s="2"/>
    </row>
    <row r="1253" spans="1:8" x14ac:dyDescent="0.25">
      <c r="A1253" s="1"/>
      <c r="B1253" s="1" t="s">
        <v>8991</v>
      </c>
      <c r="C1253" s="1" t="s">
        <v>8992</v>
      </c>
      <c r="D1253" s="22" t="str">
        <f>HYPERLINK("https://rhld.insurance.arkansas.gov/NPILookup?Npi=1528360989","1528360989")</f>
        <v>1528360989</v>
      </c>
      <c r="E1253" s="1" t="s">
        <v>15296</v>
      </c>
      <c r="F1253" s="2"/>
      <c r="G1253" s="2"/>
      <c r="H1253" s="2"/>
    </row>
    <row r="1254" spans="1:8" x14ac:dyDescent="0.25">
      <c r="A1254" s="1"/>
      <c r="B1254" s="1" t="s">
        <v>8991</v>
      </c>
      <c r="C1254" s="1" t="s">
        <v>8992</v>
      </c>
      <c r="D1254" s="22" t="str">
        <f>HYPERLINK("https://rhld.insurance.arkansas.gov/NPILookup?Npi=1548333438","1548333438")</f>
        <v>1548333438</v>
      </c>
      <c r="E1254" s="1" t="s">
        <v>15285</v>
      </c>
      <c r="F1254" s="2"/>
      <c r="G1254" s="2"/>
      <c r="H1254" s="2"/>
    </row>
    <row r="1255" spans="1:8" x14ac:dyDescent="0.25">
      <c r="A1255" s="1"/>
      <c r="B1255" s="1" t="s">
        <v>8991</v>
      </c>
      <c r="C1255" s="1" t="s">
        <v>8992</v>
      </c>
      <c r="D1255" s="22" t="str">
        <f>HYPERLINK("https://rhld.insurance.arkansas.gov/NPILookup?Npi=1548710510","1548710510")</f>
        <v>1548710510</v>
      </c>
      <c r="E1255" s="1" t="s">
        <v>9000</v>
      </c>
      <c r="F1255" s="2"/>
      <c r="G1255" s="2"/>
      <c r="H1255" s="2"/>
    </row>
    <row r="1256" spans="1:8" x14ac:dyDescent="0.25">
      <c r="A1256" s="1"/>
      <c r="B1256" s="1" t="s">
        <v>8991</v>
      </c>
      <c r="C1256" s="1" t="s">
        <v>8992</v>
      </c>
      <c r="D1256" s="22" t="str">
        <f>HYPERLINK("https://rhld.insurance.arkansas.gov/NPILookup?Npi=1558647628","1558647628")</f>
        <v>1558647628</v>
      </c>
      <c r="E1256" s="1" t="s">
        <v>5362</v>
      </c>
      <c r="F1256" s="2"/>
      <c r="G1256" s="2"/>
      <c r="H1256" s="2"/>
    </row>
    <row r="1257" spans="1:8" x14ac:dyDescent="0.25">
      <c r="A1257" s="1"/>
      <c r="B1257" s="1" t="s">
        <v>8991</v>
      </c>
      <c r="C1257" s="1" t="s">
        <v>8992</v>
      </c>
      <c r="D1257" s="22" t="str">
        <f>HYPERLINK("https://rhld.insurance.arkansas.gov/NPILookup?Npi=1558653212","1558653212")</f>
        <v>1558653212</v>
      </c>
      <c r="E1257" s="1" t="s">
        <v>15286</v>
      </c>
      <c r="F1257" s="2"/>
      <c r="G1257" s="2"/>
      <c r="H1257" s="2"/>
    </row>
    <row r="1258" spans="1:8" x14ac:dyDescent="0.25">
      <c r="A1258" s="1"/>
      <c r="B1258" s="1" t="s">
        <v>8991</v>
      </c>
      <c r="C1258" s="1" t="s">
        <v>8992</v>
      </c>
      <c r="D1258" s="22" t="str">
        <f>HYPERLINK("https://rhld.insurance.arkansas.gov/NPILookup?Npi=1568406536","1568406536")</f>
        <v>1568406536</v>
      </c>
      <c r="E1258" s="1" t="s">
        <v>10103</v>
      </c>
      <c r="F1258" s="2"/>
      <c r="G1258" s="2"/>
      <c r="H1258" s="2"/>
    </row>
    <row r="1259" spans="1:8" x14ac:dyDescent="0.25">
      <c r="A1259" s="1"/>
      <c r="B1259" s="1" t="s">
        <v>8991</v>
      </c>
      <c r="C1259" s="1" t="s">
        <v>8992</v>
      </c>
      <c r="D1259" s="22" t="str">
        <f>HYPERLINK("https://rhld.insurance.arkansas.gov/NPILookup?Npi=1568433480","1568433480")</f>
        <v>1568433480</v>
      </c>
      <c r="E1259" s="1" t="s">
        <v>9631</v>
      </c>
      <c r="F1259" s="2"/>
      <c r="G1259" s="2"/>
      <c r="H1259" s="2"/>
    </row>
    <row r="1260" spans="1:8" x14ac:dyDescent="0.25">
      <c r="A1260" s="1"/>
      <c r="B1260" s="1" t="s">
        <v>8991</v>
      </c>
      <c r="C1260" s="1" t="s">
        <v>8992</v>
      </c>
      <c r="D1260" s="22" t="str">
        <f>HYPERLINK("https://rhld.insurance.arkansas.gov/NPILookup?Npi=1578527172","1578527172")</f>
        <v>1578527172</v>
      </c>
      <c r="E1260" s="1" t="s">
        <v>8896</v>
      </c>
      <c r="F1260" s="2"/>
      <c r="G1260" s="2"/>
      <c r="H1260" s="2"/>
    </row>
    <row r="1261" spans="1:8" x14ac:dyDescent="0.25">
      <c r="A1261" s="1"/>
      <c r="B1261" s="1" t="s">
        <v>8991</v>
      </c>
      <c r="C1261" s="1" t="s">
        <v>8992</v>
      </c>
      <c r="D1261" s="22" t="str">
        <f>HYPERLINK("https://rhld.insurance.arkansas.gov/NPILookup?Npi=1578608477","1578608477")</f>
        <v>1578608477</v>
      </c>
      <c r="E1261" s="1" t="s">
        <v>5372</v>
      </c>
      <c r="F1261" s="2"/>
      <c r="G1261" s="2"/>
      <c r="H1261" s="2"/>
    </row>
    <row r="1262" spans="1:8" x14ac:dyDescent="0.25">
      <c r="A1262" s="1"/>
      <c r="B1262" s="1" t="s">
        <v>8991</v>
      </c>
      <c r="C1262" s="1" t="s">
        <v>8992</v>
      </c>
      <c r="D1262" s="22" t="str">
        <f>HYPERLINK("https://rhld.insurance.arkansas.gov/NPILookup?Npi=1598373359","1598373359")</f>
        <v>1598373359</v>
      </c>
      <c r="E1262" s="1" t="s">
        <v>5381</v>
      </c>
      <c r="F1262" s="2"/>
      <c r="G1262" s="2"/>
      <c r="H1262" s="2"/>
    </row>
    <row r="1263" spans="1:8" x14ac:dyDescent="0.25">
      <c r="A1263" s="1"/>
      <c r="B1263" s="1" t="s">
        <v>8991</v>
      </c>
      <c r="C1263" s="1" t="s">
        <v>8992</v>
      </c>
      <c r="D1263" s="22" t="str">
        <f>HYPERLINK("https://rhld.insurance.arkansas.gov/NPILookup?Npi=1598710147","1598710147")</f>
        <v>1598710147</v>
      </c>
      <c r="E1263" s="1" t="s">
        <v>15311</v>
      </c>
      <c r="F1263" s="2"/>
      <c r="G1263" s="2"/>
      <c r="H1263" s="2"/>
    </row>
    <row r="1264" spans="1:8" x14ac:dyDescent="0.25">
      <c r="A1264" s="1"/>
      <c r="B1264" s="1" t="s">
        <v>8991</v>
      </c>
      <c r="C1264" s="1" t="s">
        <v>8992</v>
      </c>
      <c r="D1264" s="22" t="str">
        <f>HYPERLINK("https://rhld.insurance.arkansas.gov/NPILookup?Npi=1598773079","1598773079")</f>
        <v>1598773079</v>
      </c>
      <c r="E1264" s="1" t="s">
        <v>15287</v>
      </c>
      <c r="F1264" s="2"/>
      <c r="G1264" s="2"/>
      <c r="H1264" s="2"/>
    </row>
    <row r="1265" spans="1:8" x14ac:dyDescent="0.25">
      <c r="A1265" s="1"/>
      <c r="B1265" s="1" t="s">
        <v>8991</v>
      </c>
      <c r="C1265" s="1" t="s">
        <v>8992</v>
      </c>
      <c r="D1265" s="22" t="str">
        <f>HYPERLINK("https://rhld.insurance.arkansas.gov/NPILookup?Npi=1609323922","1609323922")</f>
        <v>1609323922</v>
      </c>
      <c r="E1265" s="1" t="s">
        <v>9670</v>
      </c>
      <c r="F1265" s="2"/>
      <c r="G1265" s="2"/>
      <c r="H1265" s="2"/>
    </row>
    <row r="1266" spans="1:8" x14ac:dyDescent="0.25">
      <c r="A1266" s="1"/>
      <c r="B1266" s="1" t="s">
        <v>8991</v>
      </c>
      <c r="C1266" s="1" t="s">
        <v>8992</v>
      </c>
      <c r="D1266" s="22" t="str">
        <f>HYPERLINK("https://rhld.insurance.arkansas.gov/NPILookup?Npi=1629011002","1629011002")</f>
        <v>1629011002</v>
      </c>
      <c r="E1266" s="1" t="s">
        <v>15212</v>
      </c>
      <c r="F1266" s="2"/>
      <c r="G1266" s="2"/>
      <c r="H1266" s="2"/>
    </row>
    <row r="1267" spans="1:8" x14ac:dyDescent="0.25">
      <c r="A1267" s="1"/>
      <c r="B1267" s="1" t="s">
        <v>8991</v>
      </c>
      <c r="C1267" s="1" t="s">
        <v>8992</v>
      </c>
      <c r="D1267" s="22" t="str">
        <f>HYPERLINK("https://rhld.insurance.arkansas.gov/NPILookup?Npi=1629132949","1629132949")</f>
        <v>1629132949</v>
      </c>
      <c r="E1267" s="1" t="s">
        <v>15288</v>
      </c>
      <c r="F1267" s="2"/>
      <c r="G1267" s="2"/>
      <c r="H1267" s="2"/>
    </row>
    <row r="1268" spans="1:8" x14ac:dyDescent="0.25">
      <c r="A1268" s="1"/>
      <c r="B1268" s="1" t="s">
        <v>8991</v>
      </c>
      <c r="C1268" s="1" t="s">
        <v>8992</v>
      </c>
      <c r="D1268" s="22" t="str">
        <f>HYPERLINK("https://rhld.insurance.arkansas.gov/NPILookup?Npi=1629525944","1629525944")</f>
        <v>1629525944</v>
      </c>
      <c r="E1268" s="1" t="s">
        <v>9001</v>
      </c>
      <c r="F1268" s="2"/>
      <c r="G1268" s="2"/>
      <c r="H1268" s="2"/>
    </row>
    <row r="1269" spans="1:8" x14ac:dyDescent="0.25">
      <c r="A1269" s="1"/>
      <c r="B1269" s="1" t="s">
        <v>8991</v>
      </c>
      <c r="C1269" s="1" t="s">
        <v>8992</v>
      </c>
      <c r="D1269" s="22" t="str">
        <f>HYPERLINK("https://rhld.insurance.arkansas.gov/NPILookup?Npi=1639346687","1639346687")</f>
        <v>1639346687</v>
      </c>
      <c r="E1269" s="1" t="s">
        <v>15289</v>
      </c>
      <c r="F1269" s="2"/>
      <c r="G1269" s="2"/>
      <c r="H1269" s="2"/>
    </row>
    <row r="1270" spans="1:8" x14ac:dyDescent="0.25">
      <c r="A1270" s="1"/>
      <c r="B1270" s="1" t="s">
        <v>8991</v>
      </c>
      <c r="C1270" s="1" t="s">
        <v>8992</v>
      </c>
      <c r="D1270" s="22" t="str">
        <f>HYPERLINK("https://rhld.insurance.arkansas.gov/NPILookup?Npi=1669458907","1669458907")</f>
        <v>1669458907</v>
      </c>
      <c r="E1270" s="1" t="s">
        <v>15357</v>
      </c>
      <c r="F1270" s="2"/>
      <c r="G1270" s="2"/>
      <c r="H1270" s="2"/>
    </row>
    <row r="1271" spans="1:8" x14ac:dyDescent="0.25">
      <c r="A1271" s="1"/>
      <c r="B1271" s="1" t="s">
        <v>8991</v>
      </c>
      <c r="C1271" s="1" t="s">
        <v>8992</v>
      </c>
      <c r="D1271" s="22" t="str">
        <f>HYPERLINK("https://rhld.insurance.arkansas.gov/NPILookup?Npi=1699726695","1699726695")</f>
        <v>1699726695</v>
      </c>
      <c r="E1271" s="1" t="s">
        <v>15226</v>
      </c>
      <c r="F1271" s="2"/>
      <c r="G1271" s="2"/>
      <c r="H1271" s="2"/>
    </row>
    <row r="1272" spans="1:8" x14ac:dyDescent="0.25">
      <c r="A1272" s="1"/>
      <c r="B1272" s="1" t="s">
        <v>8991</v>
      </c>
      <c r="C1272" s="1" t="s">
        <v>8992</v>
      </c>
      <c r="D1272" s="22" t="str">
        <f>HYPERLINK("https://rhld.insurance.arkansas.gov/NPILookup?Npi=1700831724","1700831724")</f>
        <v>1700831724</v>
      </c>
      <c r="E1272" s="1" t="s">
        <v>662</v>
      </c>
      <c r="F1272" s="2"/>
      <c r="G1272" s="2"/>
      <c r="H1272" s="2"/>
    </row>
    <row r="1273" spans="1:8" x14ac:dyDescent="0.25">
      <c r="A1273" s="1"/>
      <c r="B1273" s="1" t="s">
        <v>8991</v>
      </c>
      <c r="C1273" s="1" t="s">
        <v>8992</v>
      </c>
      <c r="D1273" s="22" t="str">
        <f>HYPERLINK("https://rhld.insurance.arkansas.gov/NPILookup?Npi=1710463146","1710463146")</f>
        <v>1710463146</v>
      </c>
      <c r="E1273" s="1" t="s">
        <v>2450</v>
      </c>
      <c r="F1273" s="2"/>
      <c r="G1273" s="2"/>
      <c r="H1273" s="2"/>
    </row>
    <row r="1274" spans="1:8" x14ac:dyDescent="0.25">
      <c r="A1274" s="1"/>
      <c r="B1274" s="1" t="s">
        <v>8991</v>
      </c>
      <c r="C1274" s="1" t="s">
        <v>8992</v>
      </c>
      <c r="D1274" s="22" t="str">
        <f>HYPERLINK("https://rhld.insurance.arkansas.gov/NPILookup?Npi=1710931985","1710931985")</f>
        <v>1710931985</v>
      </c>
      <c r="E1274" s="1" t="s">
        <v>15232</v>
      </c>
      <c r="F1274" s="2"/>
      <c r="G1274" s="2"/>
      <c r="H1274" s="2"/>
    </row>
    <row r="1275" spans="1:8" x14ac:dyDescent="0.25">
      <c r="A1275" s="1"/>
      <c r="B1275" s="1" t="s">
        <v>8991</v>
      </c>
      <c r="C1275" s="1" t="s">
        <v>8992</v>
      </c>
      <c r="D1275" s="22" t="str">
        <f>HYPERLINK("https://rhld.insurance.arkansas.gov/NPILookup?Npi=1710943881","1710943881")</f>
        <v>1710943881</v>
      </c>
      <c r="E1275" s="1" t="s">
        <v>654</v>
      </c>
      <c r="F1275" s="2"/>
      <c r="G1275" s="2"/>
      <c r="H1275" s="2"/>
    </row>
    <row r="1276" spans="1:8" x14ac:dyDescent="0.25">
      <c r="A1276" s="1"/>
      <c r="B1276" s="1" t="s">
        <v>8991</v>
      </c>
      <c r="C1276" s="1" t="s">
        <v>8992</v>
      </c>
      <c r="D1276" s="22" t="str">
        <f>HYPERLINK("https://rhld.insurance.arkansas.gov/NPILookup?Npi=1730675745","1730675745")</f>
        <v>1730675745</v>
      </c>
      <c r="E1276" s="1" t="s">
        <v>1943</v>
      </c>
      <c r="F1276" s="2"/>
      <c r="G1276" s="2"/>
      <c r="H1276" s="2"/>
    </row>
    <row r="1277" spans="1:8" x14ac:dyDescent="0.25">
      <c r="A1277" s="1"/>
      <c r="B1277" s="1" t="s">
        <v>8991</v>
      </c>
      <c r="C1277" s="1" t="s">
        <v>8992</v>
      </c>
      <c r="D1277" s="22" t="str">
        <f>HYPERLINK("https://rhld.insurance.arkansas.gov/NPILookup?Npi=1740217884","1740217884")</f>
        <v>1740217884</v>
      </c>
      <c r="E1277" s="1" t="s">
        <v>15290</v>
      </c>
      <c r="F1277" s="2"/>
      <c r="G1277" s="2"/>
      <c r="H1277" s="2"/>
    </row>
    <row r="1278" spans="1:8" x14ac:dyDescent="0.25">
      <c r="A1278" s="1"/>
      <c r="B1278" s="1" t="s">
        <v>8991</v>
      </c>
      <c r="C1278" s="1" t="s">
        <v>8992</v>
      </c>
      <c r="D1278" s="22" t="str">
        <f>HYPERLINK("https://rhld.insurance.arkansas.gov/NPILookup?Npi=1760070312","1760070312")</f>
        <v>1760070312</v>
      </c>
      <c r="E1278" s="1" t="s">
        <v>15362</v>
      </c>
      <c r="F1278" s="2"/>
      <c r="G1278" s="2"/>
      <c r="H1278" s="2"/>
    </row>
    <row r="1279" spans="1:8" x14ac:dyDescent="0.25">
      <c r="A1279" s="1"/>
      <c r="B1279" s="1" t="s">
        <v>8991</v>
      </c>
      <c r="C1279" s="1" t="s">
        <v>8992</v>
      </c>
      <c r="D1279" s="22" t="str">
        <f>HYPERLINK("https://rhld.insurance.arkansas.gov/NPILookup?Npi=1760483846","1760483846")</f>
        <v>1760483846</v>
      </c>
      <c r="E1279" s="1" t="s">
        <v>9002</v>
      </c>
      <c r="F1279" s="2"/>
      <c r="G1279" s="2"/>
      <c r="H1279" s="2"/>
    </row>
    <row r="1280" spans="1:8" x14ac:dyDescent="0.25">
      <c r="A1280" s="1"/>
      <c r="B1280" s="1" t="s">
        <v>8991</v>
      </c>
      <c r="C1280" s="1" t="s">
        <v>8992</v>
      </c>
      <c r="D1280" s="22" t="str">
        <f>HYPERLINK("https://rhld.insurance.arkansas.gov/NPILookup?Npi=1770802217","1770802217")</f>
        <v>1770802217</v>
      </c>
      <c r="E1280" s="1" t="s">
        <v>667</v>
      </c>
      <c r="F1280" s="2"/>
      <c r="G1280" s="2"/>
      <c r="H1280" s="2"/>
    </row>
    <row r="1281" spans="1:8" x14ac:dyDescent="0.25">
      <c r="A1281" s="1"/>
      <c r="B1281" s="1" t="s">
        <v>8991</v>
      </c>
      <c r="C1281" s="1" t="s">
        <v>8992</v>
      </c>
      <c r="D1281" s="22" t="str">
        <f>HYPERLINK("https://rhld.insurance.arkansas.gov/NPILookup?Npi=1780375592","1780375592")</f>
        <v>1780375592</v>
      </c>
      <c r="E1281" s="1" t="s">
        <v>8889</v>
      </c>
      <c r="F1281" s="2"/>
      <c r="G1281" s="2"/>
      <c r="H1281" s="2"/>
    </row>
    <row r="1282" spans="1:8" x14ac:dyDescent="0.25">
      <c r="A1282" s="1"/>
      <c r="B1282" s="1" t="s">
        <v>8991</v>
      </c>
      <c r="C1282" s="1" t="s">
        <v>8992</v>
      </c>
      <c r="D1282" s="22" t="str">
        <f>HYPERLINK("https://rhld.insurance.arkansas.gov/NPILookup?Npi=1780648352","1780648352")</f>
        <v>1780648352</v>
      </c>
      <c r="E1282" s="1" t="s">
        <v>15244</v>
      </c>
      <c r="F1282" s="2"/>
      <c r="G1282" s="2"/>
      <c r="H1282" s="2"/>
    </row>
    <row r="1283" spans="1:8" x14ac:dyDescent="0.25">
      <c r="A1283" s="1"/>
      <c r="B1283" s="1" t="s">
        <v>8991</v>
      </c>
      <c r="C1283" s="1" t="s">
        <v>8992</v>
      </c>
      <c r="D1283" s="22" t="str">
        <f>HYPERLINK("https://rhld.insurance.arkansas.gov/NPILookup?Npi=1780684431","1780684431")</f>
        <v>1780684431</v>
      </c>
      <c r="E1283" s="1" t="s">
        <v>9662</v>
      </c>
      <c r="F1283" s="2"/>
      <c r="G1283" s="2"/>
      <c r="H1283" s="2"/>
    </row>
    <row r="1284" spans="1:8" x14ac:dyDescent="0.25">
      <c r="A1284" s="1"/>
      <c r="B1284" s="1" t="s">
        <v>8991</v>
      </c>
      <c r="C1284" s="1" t="s">
        <v>8992</v>
      </c>
      <c r="D1284" s="22" t="str">
        <f>HYPERLINK("https://rhld.insurance.arkansas.gov/NPILookup?Npi=1780685750","1780685750")</f>
        <v>1780685750</v>
      </c>
      <c r="E1284" s="1" t="s">
        <v>15365</v>
      </c>
      <c r="F1284" s="2"/>
      <c r="G1284" s="2"/>
      <c r="H1284" s="2"/>
    </row>
    <row r="1285" spans="1:8" x14ac:dyDescent="0.25">
      <c r="A1285" s="1"/>
      <c r="B1285" s="1" t="s">
        <v>8991</v>
      </c>
      <c r="C1285" s="1" t="s">
        <v>8992</v>
      </c>
      <c r="D1285" s="22" t="str">
        <f>HYPERLINK("https://rhld.insurance.arkansas.gov/NPILookup?Npi=1790046001","1790046001")</f>
        <v>1790046001</v>
      </c>
      <c r="E1285" s="1" t="s">
        <v>9671</v>
      </c>
      <c r="F1285" s="2"/>
      <c r="G1285" s="2"/>
      <c r="H1285" s="2"/>
    </row>
    <row r="1286" spans="1:8" x14ac:dyDescent="0.25">
      <c r="A1286" s="1"/>
      <c r="B1286" s="1" t="s">
        <v>8991</v>
      </c>
      <c r="C1286" s="1" t="s">
        <v>8992</v>
      </c>
      <c r="D1286" s="22" t="str">
        <f>HYPERLINK("https://rhld.insurance.arkansas.gov/NPILookup?Npi=1790773158","1790773158")</f>
        <v>1790773158</v>
      </c>
      <c r="E1286" s="1" t="s">
        <v>9633</v>
      </c>
      <c r="F1286" s="2"/>
      <c r="G1286" s="2"/>
      <c r="H1286" s="2"/>
    </row>
    <row r="1287" spans="1:8" x14ac:dyDescent="0.25">
      <c r="A1287" s="1"/>
      <c r="B1287" s="1" t="s">
        <v>8991</v>
      </c>
      <c r="C1287" s="1" t="s">
        <v>8992</v>
      </c>
      <c r="D1287" s="22" t="str">
        <f>HYPERLINK("https://rhld.insurance.arkansas.gov/NPILookup?Npi=1790775229","1790775229")</f>
        <v>1790775229</v>
      </c>
      <c r="E1287" s="1" t="s">
        <v>657</v>
      </c>
      <c r="F1287" s="2"/>
      <c r="G1287" s="2"/>
      <c r="H1287" s="2"/>
    </row>
    <row r="1288" spans="1:8" x14ac:dyDescent="0.25">
      <c r="A1288" s="1"/>
      <c r="B1288" s="1" t="s">
        <v>8991</v>
      </c>
      <c r="C1288" s="1" t="s">
        <v>8992</v>
      </c>
      <c r="D1288" s="22" t="str">
        <f>HYPERLINK("https://rhld.insurance.arkansas.gov/NPILookup?Npi=1790849560","1790849560")</f>
        <v>1790849560</v>
      </c>
      <c r="E1288" s="1" t="s">
        <v>15437</v>
      </c>
      <c r="F1288" s="2"/>
      <c r="G1288" s="2"/>
      <c r="H1288" s="2"/>
    </row>
    <row r="1289" spans="1:8" x14ac:dyDescent="0.25">
      <c r="A1289" s="1"/>
      <c r="B1289" s="1" t="s">
        <v>8991</v>
      </c>
      <c r="C1289" s="1" t="s">
        <v>8992</v>
      </c>
      <c r="D1289" s="22" t="str">
        <f>HYPERLINK("https://rhld.insurance.arkansas.gov/NPILookup?Npi=1831374255","1831374255")</f>
        <v>1831374255</v>
      </c>
      <c r="E1289" s="1" t="s">
        <v>15369</v>
      </c>
      <c r="F1289" s="2"/>
      <c r="G1289" s="2"/>
      <c r="H1289" s="2"/>
    </row>
    <row r="1290" spans="1:8" x14ac:dyDescent="0.25">
      <c r="A1290" s="1"/>
      <c r="B1290" s="1" t="s">
        <v>8991</v>
      </c>
      <c r="C1290" s="1" t="s">
        <v>8992</v>
      </c>
      <c r="D1290" s="22" t="str">
        <f>HYPERLINK("https://rhld.insurance.arkansas.gov/NPILookup?Npi=1831387117","1831387117")</f>
        <v>1831387117</v>
      </c>
      <c r="E1290" s="1" t="s">
        <v>15438</v>
      </c>
      <c r="F1290" s="2"/>
      <c r="G1290" s="2"/>
      <c r="H1290" s="2"/>
    </row>
    <row r="1291" spans="1:8" x14ac:dyDescent="0.25">
      <c r="A1291" s="1"/>
      <c r="B1291" s="1" t="s">
        <v>8991</v>
      </c>
      <c r="C1291" s="1" t="s">
        <v>8992</v>
      </c>
      <c r="D1291" s="22" t="str">
        <f>HYPERLINK("https://rhld.insurance.arkansas.gov/NPILookup?Npi=1841241833","1841241833")</f>
        <v>1841241833</v>
      </c>
      <c r="E1291" s="1" t="s">
        <v>655</v>
      </c>
      <c r="F1291" s="2"/>
      <c r="G1291" s="2"/>
      <c r="H1291" s="2"/>
    </row>
    <row r="1292" spans="1:8" x14ac:dyDescent="0.25">
      <c r="A1292" s="1"/>
      <c r="B1292" s="1" t="s">
        <v>8991</v>
      </c>
      <c r="C1292" s="1" t="s">
        <v>8992</v>
      </c>
      <c r="D1292" s="22" t="str">
        <f>HYPERLINK("https://rhld.insurance.arkansas.gov/NPILookup?Npi=1841898293","1841898293")</f>
        <v>1841898293</v>
      </c>
      <c r="E1292" s="1" t="s">
        <v>15291</v>
      </c>
      <c r="F1292" s="2"/>
      <c r="G1292" s="2"/>
      <c r="H1292" s="2"/>
    </row>
    <row r="1293" spans="1:8" x14ac:dyDescent="0.25">
      <c r="A1293" s="1"/>
      <c r="B1293" s="1" t="s">
        <v>8991</v>
      </c>
      <c r="C1293" s="1" t="s">
        <v>8992</v>
      </c>
      <c r="D1293" s="22" t="str">
        <f>HYPERLINK("https://rhld.insurance.arkansas.gov/NPILookup?Npi=1861449639","1861449639")</f>
        <v>1861449639</v>
      </c>
      <c r="E1293" s="1" t="s">
        <v>15257</v>
      </c>
      <c r="F1293" s="2"/>
      <c r="G1293" s="2"/>
      <c r="H1293" s="2"/>
    </row>
    <row r="1294" spans="1:8" x14ac:dyDescent="0.25">
      <c r="A1294" s="1"/>
      <c r="B1294" s="1" t="s">
        <v>8991</v>
      </c>
      <c r="C1294" s="1" t="s">
        <v>8992</v>
      </c>
      <c r="D1294" s="22" t="str">
        <f>HYPERLINK("https://rhld.insurance.arkansas.gov/NPILookup?Npi=1861519548","1861519548")</f>
        <v>1861519548</v>
      </c>
      <c r="E1294" s="1" t="s">
        <v>15292</v>
      </c>
      <c r="F1294" s="2"/>
      <c r="G1294" s="2"/>
      <c r="H1294" s="2"/>
    </row>
    <row r="1295" spans="1:8" x14ac:dyDescent="0.25">
      <c r="A1295" s="1"/>
      <c r="B1295" s="1" t="s">
        <v>8991</v>
      </c>
      <c r="C1295" s="1" t="s">
        <v>8992</v>
      </c>
      <c r="D1295" s="22" t="str">
        <f>HYPERLINK("https://rhld.insurance.arkansas.gov/NPILookup?Npi=1861711301","1861711301")</f>
        <v>1861711301</v>
      </c>
      <c r="E1295" s="1" t="s">
        <v>9641</v>
      </c>
      <c r="F1295" s="2"/>
      <c r="G1295" s="2"/>
      <c r="H1295" s="2"/>
    </row>
    <row r="1296" spans="1:8" x14ac:dyDescent="0.25">
      <c r="A1296" s="1"/>
      <c r="B1296" s="1" t="s">
        <v>8991</v>
      </c>
      <c r="C1296" s="1" t="s">
        <v>8992</v>
      </c>
      <c r="D1296" s="22" t="str">
        <f>HYPERLINK("https://rhld.insurance.arkansas.gov/NPILookup?Npi=1871839613","1871839613")</f>
        <v>1871839613</v>
      </c>
      <c r="E1296" s="1" t="s">
        <v>15293</v>
      </c>
      <c r="F1296" s="2"/>
      <c r="G1296" s="2"/>
      <c r="H1296" s="2"/>
    </row>
    <row r="1297" spans="1:8" x14ac:dyDescent="0.25">
      <c r="A1297" s="1"/>
      <c r="B1297" s="1" t="s">
        <v>8991</v>
      </c>
      <c r="C1297" s="1" t="s">
        <v>8992</v>
      </c>
      <c r="D1297" s="22" t="str">
        <f>HYPERLINK("https://rhld.insurance.arkansas.gov/NPILookup?Npi=1881640118","1881640118")</f>
        <v>1881640118</v>
      </c>
      <c r="E1297" s="1" t="s">
        <v>15316</v>
      </c>
      <c r="F1297" s="2"/>
      <c r="G1297" s="2"/>
      <c r="H1297" s="2"/>
    </row>
    <row r="1298" spans="1:8" x14ac:dyDescent="0.25">
      <c r="A1298" s="1"/>
      <c r="B1298" s="1" t="s">
        <v>8991</v>
      </c>
      <c r="C1298" s="1" t="s">
        <v>8992</v>
      </c>
      <c r="D1298" s="22" t="str">
        <f>HYPERLINK("https://rhld.insurance.arkansas.gov/NPILookup?Npi=1881788933","1881788933")</f>
        <v>1881788933</v>
      </c>
      <c r="E1298" s="1" t="s">
        <v>2141</v>
      </c>
      <c r="F1298" s="2"/>
      <c r="G1298" s="2"/>
      <c r="H1298" s="2"/>
    </row>
    <row r="1299" spans="1:8" x14ac:dyDescent="0.25">
      <c r="A1299" s="1"/>
      <c r="B1299" s="1" t="s">
        <v>8991</v>
      </c>
      <c r="C1299" s="1" t="s">
        <v>8992</v>
      </c>
      <c r="D1299" s="22" t="str">
        <f>HYPERLINK("https://rhld.insurance.arkansas.gov/NPILookup?Npi=1891754602","1891754602")</f>
        <v>1891754602</v>
      </c>
      <c r="E1299" s="1" t="s">
        <v>9003</v>
      </c>
      <c r="F1299" s="2"/>
      <c r="G1299" s="2"/>
      <c r="H1299" s="2"/>
    </row>
    <row r="1300" spans="1:8" x14ac:dyDescent="0.25">
      <c r="A1300" s="1"/>
      <c r="B1300" s="1" t="s">
        <v>8991</v>
      </c>
      <c r="C1300" s="1" t="s">
        <v>8992</v>
      </c>
      <c r="D1300" s="22" t="str">
        <f>HYPERLINK("https://rhld.insurance.arkansas.gov/NPILookup?Npi=1902051816","1902051816")</f>
        <v>1902051816</v>
      </c>
      <c r="E1300" s="1" t="s">
        <v>15259</v>
      </c>
      <c r="F1300" s="2"/>
      <c r="G1300" s="2"/>
      <c r="H1300" s="2"/>
    </row>
    <row r="1301" spans="1:8" x14ac:dyDescent="0.25">
      <c r="A1301" s="1"/>
      <c r="B1301" s="1" t="s">
        <v>8991</v>
      </c>
      <c r="C1301" s="1" t="s">
        <v>8992</v>
      </c>
      <c r="D1301" s="22" t="str">
        <f>HYPERLINK("https://rhld.insurance.arkansas.gov/NPILookup?Npi=1902073620","1902073620")</f>
        <v>1902073620</v>
      </c>
      <c r="E1301" s="1" t="s">
        <v>15318</v>
      </c>
      <c r="F1301" s="2"/>
      <c r="G1301" s="2"/>
      <c r="H1301" s="2"/>
    </row>
    <row r="1302" spans="1:8" x14ac:dyDescent="0.25">
      <c r="A1302" s="1"/>
      <c r="B1302" s="1" t="s">
        <v>8991</v>
      </c>
      <c r="C1302" s="1" t="s">
        <v>8992</v>
      </c>
      <c r="D1302" s="22" t="str">
        <f>HYPERLINK("https://rhld.insurance.arkansas.gov/NPILookup?Npi=1902298342","1902298342")</f>
        <v>1902298342</v>
      </c>
      <c r="E1302" s="1" t="s">
        <v>15439</v>
      </c>
      <c r="F1302" s="2"/>
      <c r="G1302" s="2"/>
      <c r="H1302" s="2"/>
    </row>
    <row r="1303" spans="1:8" x14ac:dyDescent="0.25">
      <c r="A1303" s="1"/>
      <c r="B1303" s="1" t="s">
        <v>8991</v>
      </c>
      <c r="C1303" s="1" t="s">
        <v>8992</v>
      </c>
      <c r="D1303" s="22" t="str">
        <f>HYPERLINK("https://rhld.insurance.arkansas.gov/NPILookup?Npi=1902842255","1902842255")</f>
        <v>1902842255</v>
      </c>
      <c r="E1303" s="1" t="s">
        <v>8899</v>
      </c>
      <c r="F1303" s="2"/>
      <c r="G1303" s="2"/>
      <c r="H1303" s="2"/>
    </row>
    <row r="1304" spans="1:8" x14ac:dyDescent="0.25">
      <c r="A1304" s="1"/>
      <c r="B1304" s="1" t="s">
        <v>8991</v>
      </c>
      <c r="C1304" s="1" t="s">
        <v>8992</v>
      </c>
      <c r="D1304" s="22" t="str">
        <f>HYPERLINK("https://rhld.insurance.arkansas.gov/NPILookup?Npi=1902868391","1902868391")</f>
        <v>1902868391</v>
      </c>
      <c r="E1304" s="1" t="s">
        <v>709</v>
      </c>
      <c r="F1304" s="2"/>
      <c r="G1304" s="2"/>
      <c r="H1304" s="2"/>
    </row>
    <row r="1305" spans="1:8" x14ac:dyDescent="0.25">
      <c r="A1305" s="1"/>
      <c r="B1305" s="1" t="s">
        <v>8991</v>
      </c>
      <c r="C1305" s="1" t="s">
        <v>8992</v>
      </c>
      <c r="D1305" s="22" t="str">
        <f>HYPERLINK("https://rhld.insurance.arkansas.gov/NPILookup?Npi=1902887805","1902887805")</f>
        <v>1902887805</v>
      </c>
      <c r="E1305" s="1" t="s">
        <v>9004</v>
      </c>
      <c r="F1305" s="2"/>
      <c r="G1305" s="2"/>
      <c r="H1305" s="2"/>
    </row>
    <row r="1306" spans="1:8" x14ac:dyDescent="0.25">
      <c r="A1306" s="1"/>
      <c r="B1306" s="1" t="s">
        <v>8991</v>
      </c>
      <c r="C1306" s="1" t="s">
        <v>8992</v>
      </c>
      <c r="D1306" s="22" t="str">
        <f>HYPERLINK("https://rhld.insurance.arkansas.gov/NPILookup?Npi=1912299116","1912299116")</f>
        <v>1912299116</v>
      </c>
      <c r="E1306" s="1" t="s">
        <v>9005</v>
      </c>
      <c r="F1306" s="2"/>
      <c r="G1306" s="2"/>
      <c r="H1306" s="2"/>
    </row>
    <row r="1307" spans="1:8" x14ac:dyDescent="0.25">
      <c r="A1307" s="1"/>
      <c r="B1307" s="1" t="s">
        <v>8991</v>
      </c>
      <c r="C1307" s="1" t="s">
        <v>8992</v>
      </c>
      <c r="D1307" s="22" t="str">
        <f>HYPERLINK("https://rhld.insurance.arkansas.gov/NPILookup?Npi=1912448945","1912448945")</f>
        <v>1912448945</v>
      </c>
      <c r="E1307" s="1" t="s">
        <v>15440</v>
      </c>
      <c r="F1307" s="2"/>
      <c r="G1307" s="2"/>
      <c r="H1307" s="2"/>
    </row>
    <row r="1308" spans="1:8" x14ac:dyDescent="0.25">
      <c r="A1308" s="1"/>
      <c r="B1308" s="1" t="s">
        <v>8991</v>
      </c>
      <c r="C1308" s="1" t="s">
        <v>8992</v>
      </c>
      <c r="D1308" s="22" t="str">
        <f>HYPERLINK("https://rhld.insurance.arkansas.gov/NPILookup?Npi=1912964081","1912964081")</f>
        <v>1912964081</v>
      </c>
      <c r="E1308" s="1" t="s">
        <v>15264</v>
      </c>
      <c r="F1308" s="2"/>
      <c r="G1308" s="2"/>
      <c r="H1308" s="2"/>
    </row>
    <row r="1309" spans="1:8" x14ac:dyDescent="0.25">
      <c r="A1309" s="1"/>
      <c r="B1309" s="1" t="s">
        <v>8991</v>
      </c>
      <c r="C1309" s="1" t="s">
        <v>8992</v>
      </c>
      <c r="D1309" s="22" t="str">
        <f>HYPERLINK("https://rhld.insurance.arkansas.gov/NPILookup?Npi=1922043686","1922043686")</f>
        <v>1922043686</v>
      </c>
      <c r="E1309" s="1" t="s">
        <v>1543</v>
      </c>
      <c r="F1309" s="2"/>
      <c r="G1309" s="2"/>
      <c r="H1309" s="2"/>
    </row>
    <row r="1310" spans="1:8" x14ac:dyDescent="0.25">
      <c r="A1310" s="1"/>
      <c r="B1310" s="1" t="s">
        <v>8991</v>
      </c>
      <c r="C1310" s="1" t="s">
        <v>8992</v>
      </c>
      <c r="D1310" s="22" t="str">
        <f>HYPERLINK("https://rhld.insurance.arkansas.gov/NPILookup?Npi=1922353754","1922353754")</f>
        <v>1922353754</v>
      </c>
      <c r="E1310" s="1" t="s">
        <v>1076</v>
      </c>
      <c r="F1310" s="2"/>
      <c r="G1310" s="2"/>
      <c r="H1310" s="2"/>
    </row>
    <row r="1311" spans="1:8" x14ac:dyDescent="0.25">
      <c r="A1311" s="1"/>
      <c r="B1311" s="1" t="s">
        <v>8991</v>
      </c>
      <c r="C1311" s="1" t="s">
        <v>8992</v>
      </c>
      <c r="D1311" s="22" t="str">
        <f>HYPERLINK("https://rhld.insurance.arkansas.gov/NPILookup?Npi=1922589712","1922589712")</f>
        <v>1922589712</v>
      </c>
      <c r="E1311" s="1" t="s">
        <v>9006</v>
      </c>
      <c r="F1311" s="2"/>
      <c r="G1311" s="2"/>
      <c r="H1311" s="2"/>
    </row>
    <row r="1312" spans="1:8" x14ac:dyDescent="0.25">
      <c r="A1312" s="1"/>
      <c r="B1312" s="1" t="s">
        <v>8991</v>
      </c>
      <c r="C1312" s="1" t="s">
        <v>8992</v>
      </c>
      <c r="D1312" s="22" t="str">
        <f>HYPERLINK("https://rhld.insurance.arkansas.gov/NPILookup?Npi=1932477809","1932477809")</f>
        <v>1932477809</v>
      </c>
      <c r="E1312" s="1" t="s">
        <v>15441</v>
      </c>
      <c r="F1312" s="2"/>
      <c r="G1312" s="2"/>
      <c r="H1312" s="2"/>
    </row>
    <row r="1313" spans="1:8" x14ac:dyDescent="0.25">
      <c r="A1313" s="1"/>
      <c r="B1313" s="1" t="s">
        <v>8991</v>
      </c>
      <c r="C1313" s="1" t="s">
        <v>8992</v>
      </c>
      <c r="D1313" s="22" t="str">
        <f>HYPERLINK("https://rhld.insurance.arkansas.gov/NPILookup?Npi=1942260609","1942260609")</f>
        <v>1942260609</v>
      </c>
      <c r="E1313" s="1" t="s">
        <v>9635</v>
      </c>
      <c r="F1313" s="2"/>
      <c r="G1313" s="2"/>
      <c r="H1313" s="2"/>
    </row>
    <row r="1314" spans="1:8" x14ac:dyDescent="0.25">
      <c r="A1314" s="1"/>
      <c r="B1314" s="1" t="s">
        <v>8991</v>
      </c>
      <c r="C1314" s="1" t="s">
        <v>8992</v>
      </c>
      <c r="D1314" s="22" t="str">
        <f>HYPERLINK("https://rhld.insurance.arkansas.gov/NPILookup?Npi=1942713987","1942713987")</f>
        <v>1942713987</v>
      </c>
      <c r="E1314" s="1" t="s">
        <v>2811</v>
      </c>
      <c r="F1314" s="2"/>
      <c r="G1314" s="2"/>
      <c r="H1314" s="2"/>
    </row>
    <row r="1315" spans="1:8" x14ac:dyDescent="0.25">
      <c r="A1315" s="1"/>
      <c r="B1315" s="1" t="s">
        <v>8991</v>
      </c>
      <c r="C1315" s="1" t="s">
        <v>8992</v>
      </c>
      <c r="D1315" s="22" t="str">
        <f>HYPERLINK("https://rhld.insurance.arkansas.gov/NPILookup?Npi=1952417636","1952417636")</f>
        <v>1952417636</v>
      </c>
      <c r="E1315" s="1" t="s">
        <v>15442</v>
      </c>
      <c r="F1315" s="2"/>
      <c r="G1315" s="2"/>
      <c r="H1315" s="2"/>
    </row>
    <row r="1316" spans="1:8" x14ac:dyDescent="0.25">
      <c r="A1316" s="1"/>
      <c r="B1316" s="1" t="s">
        <v>8991</v>
      </c>
      <c r="C1316" s="1" t="s">
        <v>8992</v>
      </c>
      <c r="D1316" s="22" t="str">
        <f>HYPERLINK("https://rhld.insurance.arkansas.gov/NPILookup?Npi=1962468181","1962468181")</f>
        <v>1962468181</v>
      </c>
      <c r="E1316" s="1" t="s">
        <v>1466</v>
      </c>
      <c r="F1316" s="2"/>
      <c r="G1316" s="2"/>
      <c r="H1316" s="2"/>
    </row>
    <row r="1317" spans="1:8" x14ac:dyDescent="0.25">
      <c r="A1317" s="1"/>
      <c r="B1317" s="1" t="s">
        <v>8991</v>
      </c>
      <c r="C1317" s="1" t="s">
        <v>8992</v>
      </c>
      <c r="D1317" s="22" t="str">
        <f>HYPERLINK("https://rhld.insurance.arkansas.gov/NPILookup?Npi=1962583666","1962583666")</f>
        <v>1962583666</v>
      </c>
      <c r="E1317" s="1" t="s">
        <v>15443</v>
      </c>
      <c r="F1317" s="2"/>
      <c r="G1317" s="2"/>
      <c r="H1317" s="2"/>
    </row>
    <row r="1318" spans="1:8" x14ac:dyDescent="0.25">
      <c r="A1318" s="1"/>
      <c r="B1318" s="1" t="s">
        <v>8991</v>
      </c>
      <c r="C1318" s="1" t="s">
        <v>8992</v>
      </c>
      <c r="D1318" s="22" t="str">
        <f>HYPERLINK("https://rhld.insurance.arkansas.gov/NPILookup?Npi=1962665117","1962665117")</f>
        <v>1962665117</v>
      </c>
      <c r="E1318" s="1" t="s">
        <v>9007</v>
      </c>
      <c r="F1318" s="2"/>
      <c r="G1318" s="2"/>
      <c r="H1318" s="2"/>
    </row>
    <row r="1319" spans="1:8" x14ac:dyDescent="0.25">
      <c r="A1319" s="1"/>
      <c r="B1319" s="1" t="s">
        <v>8991</v>
      </c>
      <c r="C1319" s="1" t="s">
        <v>8992</v>
      </c>
      <c r="D1319" s="22" t="str">
        <f>HYPERLINK("https://rhld.insurance.arkansas.gov/NPILookup?Npi=1962727271","1962727271")</f>
        <v>1962727271</v>
      </c>
      <c r="E1319" s="1" t="s">
        <v>3574</v>
      </c>
      <c r="F1319" s="2"/>
      <c r="G1319" s="2"/>
      <c r="H1319" s="2"/>
    </row>
    <row r="1320" spans="1:8" x14ac:dyDescent="0.25">
      <c r="A1320" s="1"/>
      <c r="B1320" s="1" t="s">
        <v>8991</v>
      </c>
      <c r="C1320" s="1" t="s">
        <v>8992</v>
      </c>
      <c r="D1320" s="22" t="str">
        <f>HYPERLINK("https://rhld.insurance.arkansas.gov/NPILookup?Npi=1972539567","1972539567")</f>
        <v>1972539567</v>
      </c>
      <c r="E1320" s="1" t="s">
        <v>9636</v>
      </c>
      <c r="F1320" s="2"/>
      <c r="G1320" s="2"/>
      <c r="H1320" s="2"/>
    </row>
    <row r="1321" spans="1:8" x14ac:dyDescent="0.25">
      <c r="A1321" s="1"/>
      <c r="B1321" s="1" t="s">
        <v>8991</v>
      </c>
      <c r="C1321" s="1" t="s">
        <v>8992</v>
      </c>
      <c r="D1321" s="22" t="str">
        <f>HYPERLINK("https://rhld.insurance.arkansas.gov/NPILookup?Npi=1972620649","1972620649")</f>
        <v>1972620649</v>
      </c>
      <c r="E1321" s="1" t="s">
        <v>15294</v>
      </c>
      <c r="F1321" s="2"/>
      <c r="G1321" s="2"/>
      <c r="H1321" s="2"/>
    </row>
    <row r="1322" spans="1:8" x14ac:dyDescent="0.25">
      <c r="A1322" s="1"/>
      <c r="B1322" s="1" t="s">
        <v>8991</v>
      </c>
      <c r="C1322" s="1" t="s">
        <v>8992</v>
      </c>
      <c r="D1322" s="22" t="str">
        <f>HYPERLINK("https://rhld.insurance.arkansas.gov/NPILookup?Npi=1972708915","1972708915")</f>
        <v>1972708915</v>
      </c>
      <c r="E1322" s="1" t="s">
        <v>15444</v>
      </c>
      <c r="F1322" s="2"/>
      <c r="G1322" s="2"/>
      <c r="H1322" s="2"/>
    </row>
    <row r="1323" spans="1:8" x14ac:dyDescent="0.25">
      <c r="A1323" s="1"/>
      <c r="B1323" s="1" t="s">
        <v>8991</v>
      </c>
      <c r="C1323" s="1" t="s">
        <v>8992</v>
      </c>
      <c r="D1323" s="22" t="str">
        <f>HYPERLINK("https://rhld.insurance.arkansas.gov/NPILookup?Npi=1972894772","1972894772")</f>
        <v>1972894772</v>
      </c>
      <c r="E1323" s="1" t="s">
        <v>1943</v>
      </c>
      <c r="F1323" s="2"/>
      <c r="G1323" s="2"/>
      <c r="H1323" s="2"/>
    </row>
    <row r="1324" spans="1:8" x14ac:dyDescent="0.25">
      <c r="A1324" s="1"/>
      <c r="B1324" s="1" t="s">
        <v>8991</v>
      </c>
      <c r="C1324" s="1" t="s">
        <v>8992</v>
      </c>
      <c r="D1324" s="22" t="str">
        <f>HYPERLINK("https://rhld.insurance.arkansas.gov/NPILookup?Npi=1982684825","1982684825")</f>
        <v>1982684825</v>
      </c>
      <c r="E1324" s="1" t="s">
        <v>9629</v>
      </c>
      <c r="F1324" s="2"/>
      <c r="G1324" s="2"/>
      <c r="H1324" s="2"/>
    </row>
    <row r="1325" spans="1:8" x14ac:dyDescent="0.25">
      <c r="A1325" s="1"/>
      <c r="B1325" s="1" t="s">
        <v>8991</v>
      </c>
      <c r="C1325" s="1" t="s">
        <v>8992</v>
      </c>
      <c r="D1325" s="22" t="str">
        <f>HYPERLINK("https://rhld.insurance.arkansas.gov/NPILookup?Npi=1992079651","1992079651")</f>
        <v>1992079651</v>
      </c>
      <c r="E1325" s="1" t="s">
        <v>15445</v>
      </c>
      <c r="F1325" s="2"/>
      <c r="G1325" s="2"/>
      <c r="H1325" s="2"/>
    </row>
    <row r="1326" spans="1:8" x14ac:dyDescent="0.25">
      <c r="A1326" s="1"/>
      <c r="B1326" s="1" t="s">
        <v>8991</v>
      </c>
      <c r="C1326" s="1" t="s">
        <v>8992</v>
      </c>
      <c r="D1326" s="22" t="str">
        <f>HYPERLINK("https://rhld.insurance.arkansas.gov/NPILookup?Npi=1992125850","1992125850")</f>
        <v>1992125850</v>
      </c>
      <c r="E1326" s="1" t="s">
        <v>15446</v>
      </c>
      <c r="F1326" s="2"/>
      <c r="G1326" s="2"/>
      <c r="H1326" s="2"/>
    </row>
    <row r="1327" spans="1:8" x14ac:dyDescent="0.25">
      <c r="A1327" s="1"/>
      <c r="B1327" s="1" t="s">
        <v>8991</v>
      </c>
      <c r="C1327" s="1" t="s">
        <v>8992</v>
      </c>
      <c r="D1327" s="22" t="str">
        <f>HYPERLINK("https://rhld.insurance.arkansas.gov/NPILookup?Npi=1992494470","1992494470")</f>
        <v>1992494470</v>
      </c>
      <c r="E1327" s="1" t="s">
        <v>9009</v>
      </c>
      <c r="F1327" s="2"/>
      <c r="G1327" s="2"/>
      <c r="H1327" s="2"/>
    </row>
    <row r="1328" spans="1:8" x14ac:dyDescent="0.25">
      <c r="A1328" s="1"/>
      <c r="B1328" s="1" t="s">
        <v>9010</v>
      </c>
      <c r="C1328" s="1" t="s">
        <v>9011</v>
      </c>
      <c r="D1328" s="22" t="str">
        <f>HYPERLINK("https://rhld.insurance.arkansas.gov/NPILookup?Npi=1003110263","1003110263")</f>
        <v>1003110263</v>
      </c>
      <c r="E1328" s="1" t="s">
        <v>15447</v>
      </c>
      <c r="F1328" s="2"/>
      <c r="G1328" s="2"/>
      <c r="H1328" s="2"/>
    </row>
    <row r="1329" spans="1:8" x14ac:dyDescent="0.25">
      <c r="A1329" s="1"/>
      <c r="B1329" s="1" t="s">
        <v>9010</v>
      </c>
      <c r="C1329" s="1" t="s">
        <v>9011</v>
      </c>
      <c r="D1329" s="22" t="str">
        <f>HYPERLINK("https://rhld.insurance.arkansas.gov/NPILookup?Npi=1003210774","1003210774")</f>
        <v>1003210774</v>
      </c>
      <c r="E1329" s="1" t="s">
        <v>653</v>
      </c>
      <c r="F1329" s="2"/>
      <c r="G1329" s="2"/>
      <c r="H1329" s="2"/>
    </row>
    <row r="1330" spans="1:8" x14ac:dyDescent="0.25">
      <c r="A1330" s="1"/>
      <c r="B1330" s="1" t="s">
        <v>9010</v>
      </c>
      <c r="C1330" s="1" t="s">
        <v>9011</v>
      </c>
      <c r="D1330" s="22" t="str">
        <f>HYPERLINK("https://rhld.insurance.arkansas.gov/NPILookup?Npi=1003361189","1003361189")</f>
        <v>1003361189</v>
      </c>
      <c r="E1330" s="1" t="s">
        <v>9012</v>
      </c>
      <c r="F1330" s="2"/>
      <c r="G1330" s="2"/>
      <c r="H1330" s="2"/>
    </row>
    <row r="1331" spans="1:8" x14ac:dyDescent="0.25">
      <c r="A1331" s="1"/>
      <c r="B1331" s="1" t="s">
        <v>9010</v>
      </c>
      <c r="C1331" s="1" t="s">
        <v>9011</v>
      </c>
      <c r="D1331" s="22" t="str">
        <f>HYPERLINK("https://rhld.insurance.arkansas.gov/NPILookup?Npi=1003551557","1003551557")</f>
        <v>1003551557</v>
      </c>
      <c r="E1331" s="1" t="s">
        <v>9013</v>
      </c>
      <c r="F1331" s="2"/>
      <c r="G1331" s="2"/>
      <c r="H1331" s="2"/>
    </row>
    <row r="1332" spans="1:8" x14ac:dyDescent="0.25">
      <c r="A1332" s="1"/>
      <c r="B1332" s="1" t="s">
        <v>9010</v>
      </c>
      <c r="C1332" s="1" t="s">
        <v>9011</v>
      </c>
      <c r="D1332" s="22" t="str">
        <f>HYPERLINK("https://rhld.insurance.arkansas.gov/NPILookup?Npi=1003555798","1003555798")</f>
        <v>1003555798</v>
      </c>
      <c r="E1332" s="1" t="s">
        <v>1906</v>
      </c>
      <c r="F1332" s="2"/>
      <c r="G1332" s="2"/>
      <c r="H1332" s="2"/>
    </row>
    <row r="1333" spans="1:8" x14ac:dyDescent="0.25">
      <c r="A1333" s="1"/>
      <c r="B1333" s="1" t="s">
        <v>9010</v>
      </c>
      <c r="C1333" s="1" t="s">
        <v>9011</v>
      </c>
      <c r="D1333" s="22" t="str">
        <f>HYPERLINK("https://rhld.insurance.arkansas.gov/NPILookup?Npi=1003555897","1003555897")</f>
        <v>1003555897</v>
      </c>
      <c r="E1333" s="1" t="s">
        <v>967</v>
      </c>
      <c r="F1333" s="2"/>
      <c r="G1333" s="2"/>
      <c r="H1333" s="2"/>
    </row>
    <row r="1334" spans="1:8" x14ac:dyDescent="0.25">
      <c r="A1334" s="1"/>
      <c r="B1334" s="1" t="s">
        <v>9010</v>
      </c>
      <c r="C1334" s="1" t="s">
        <v>9011</v>
      </c>
      <c r="D1334" s="22" t="str">
        <f>HYPERLINK("https://rhld.insurance.arkansas.gov/NPILookup?Npi=1003970872","1003970872")</f>
        <v>1003970872</v>
      </c>
      <c r="E1334" s="1" t="s">
        <v>9623</v>
      </c>
      <c r="F1334" s="2"/>
      <c r="G1334" s="2"/>
      <c r="H1334" s="2"/>
    </row>
    <row r="1335" spans="1:8" x14ac:dyDescent="0.25">
      <c r="A1335" s="1"/>
      <c r="B1335" s="1" t="s">
        <v>9010</v>
      </c>
      <c r="C1335" s="1" t="s">
        <v>9011</v>
      </c>
      <c r="D1335" s="22" t="str">
        <f>HYPERLINK("https://rhld.insurance.arkansas.gov/NPILookup?Npi=1013313865","1013313865")</f>
        <v>1013313865</v>
      </c>
      <c r="E1335" s="1" t="s">
        <v>2351</v>
      </c>
      <c r="F1335" s="2"/>
      <c r="G1335" s="2"/>
      <c r="H1335" s="2"/>
    </row>
    <row r="1336" spans="1:8" x14ac:dyDescent="0.25">
      <c r="A1336" s="1"/>
      <c r="B1336" s="1" t="s">
        <v>9010</v>
      </c>
      <c r="C1336" s="1" t="s">
        <v>9011</v>
      </c>
      <c r="D1336" s="22" t="str">
        <f>HYPERLINK("https://rhld.insurance.arkansas.gov/NPILookup?Npi=1013490986","1013490986")</f>
        <v>1013490986</v>
      </c>
      <c r="E1336" s="1" t="s">
        <v>2236</v>
      </c>
      <c r="F1336" s="2"/>
      <c r="G1336" s="2"/>
      <c r="H1336" s="2"/>
    </row>
    <row r="1337" spans="1:8" x14ac:dyDescent="0.25">
      <c r="A1337" s="1"/>
      <c r="B1337" s="1" t="s">
        <v>9010</v>
      </c>
      <c r="C1337" s="1" t="s">
        <v>9011</v>
      </c>
      <c r="D1337" s="22" t="str">
        <f>HYPERLINK("https://rhld.insurance.arkansas.gov/NPILookup?Npi=1013906866","1013906866")</f>
        <v>1013906866</v>
      </c>
      <c r="E1337" s="1" t="s">
        <v>15448</v>
      </c>
      <c r="F1337" s="2"/>
      <c r="G1337" s="2"/>
      <c r="H1337" s="2"/>
    </row>
    <row r="1338" spans="1:8" x14ac:dyDescent="0.25">
      <c r="A1338" s="1"/>
      <c r="B1338" s="1" t="s">
        <v>9010</v>
      </c>
      <c r="C1338" s="1" t="s">
        <v>9011</v>
      </c>
      <c r="D1338" s="22" t="str">
        <f>HYPERLINK("https://rhld.insurance.arkansas.gov/NPILookup?Npi=1013962018","1013962018")</f>
        <v>1013962018</v>
      </c>
      <c r="E1338" s="1" t="s">
        <v>15449</v>
      </c>
      <c r="F1338" s="2"/>
      <c r="G1338" s="2"/>
      <c r="H1338" s="2"/>
    </row>
    <row r="1339" spans="1:8" x14ac:dyDescent="0.25">
      <c r="A1339" s="1"/>
      <c r="B1339" s="1" t="s">
        <v>9010</v>
      </c>
      <c r="C1339" s="1" t="s">
        <v>9011</v>
      </c>
      <c r="D1339" s="22" t="str">
        <f>HYPERLINK("https://rhld.insurance.arkansas.gov/NPILookup?Npi=1023007770","1023007770")</f>
        <v>1023007770</v>
      </c>
      <c r="E1339" s="1" t="s">
        <v>15450</v>
      </c>
      <c r="F1339" s="2"/>
      <c r="G1339" s="2"/>
      <c r="H1339" s="2"/>
    </row>
    <row r="1340" spans="1:8" x14ac:dyDescent="0.25">
      <c r="A1340" s="1"/>
      <c r="B1340" s="1" t="s">
        <v>9010</v>
      </c>
      <c r="C1340" s="1" t="s">
        <v>9011</v>
      </c>
      <c r="D1340" s="22" t="str">
        <f>HYPERLINK("https://rhld.insurance.arkansas.gov/NPILookup?Npi=1033140926","1033140926")</f>
        <v>1033140926</v>
      </c>
      <c r="E1340" s="1" t="s">
        <v>9014</v>
      </c>
      <c r="F1340" s="2"/>
      <c r="G1340" s="2"/>
      <c r="H1340" s="2"/>
    </row>
    <row r="1341" spans="1:8" x14ac:dyDescent="0.25">
      <c r="A1341" s="1"/>
      <c r="B1341" s="1" t="s">
        <v>9010</v>
      </c>
      <c r="C1341" s="1" t="s">
        <v>9011</v>
      </c>
      <c r="D1341" s="22" t="str">
        <f>HYPERLINK("https://rhld.insurance.arkansas.gov/NPILookup?Npi=1033160049","1033160049")</f>
        <v>1033160049</v>
      </c>
      <c r="E1341" s="1" t="s">
        <v>972</v>
      </c>
      <c r="F1341" s="2"/>
      <c r="G1341" s="2"/>
      <c r="H1341" s="2"/>
    </row>
    <row r="1342" spans="1:8" x14ac:dyDescent="0.25">
      <c r="A1342" s="1"/>
      <c r="B1342" s="1" t="s">
        <v>9010</v>
      </c>
      <c r="C1342" s="1" t="s">
        <v>9011</v>
      </c>
      <c r="D1342" s="22" t="str">
        <f>HYPERLINK("https://rhld.insurance.arkansas.gov/NPILookup?Npi=1043209851","1043209851")</f>
        <v>1043209851</v>
      </c>
      <c r="E1342" s="1" t="s">
        <v>9672</v>
      </c>
      <c r="F1342" s="2"/>
      <c r="G1342" s="2"/>
      <c r="H1342" s="2"/>
    </row>
    <row r="1343" spans="1:8" x14ac:dyDescent="0.25">
      <c r="A1343" s="1"/>
      <c r="B1343" s="1" t="s">
        <v>9010</v>
      </c>
      <c r="C1343" s="1" t="s">
        <v>9011</v>
      </c>
      <c r="D1343" s="22" t="str">
        <f>HYPERLINK("https://rhld.insurance.arkansas.gov/NPILookup?Npi=1043240682","1043240682")</f>
        <v>1043240682</v>
      </c>
      <c r="E1343" s="1" t="s">
        <v>15095</v>
      </c>
      <c r="F1343" s="2"/>
      <c r="G1343" s="2"/>
      <c r="H1343" s="2"/>
    </row>
    <row r="1344" spans="1:8" x14ac:dyDescent="0.25">
      <c r="A1344" s="1"/>
      <c r="B1344" s="1" t="s">
        <v>9010</v>
      </c>
      <c r="C1344" s="1" t="s">
        <v>9011</v>
      </c>
      <c r="D1344" s="22" t="str">
        <f>HYPERLINK("https://rhld.insurance.arkansas.gov/NPILookup?Npi=1043270986","1043270986")</f>
        <v>1043270986</v>
      </c>
      <c r="E1344" s="1" t="s">
        <v>15451</v>
      </c>
      <c r="F1344" s="2"/>
      <c r="G1344" s="2"/>
      <c r="H1344" s="2"/>
    </row>
    <row r="1345" spans="1:8" x14ac:dyDescent="0.25">
      <c r="A1345" s="1"/>
      <c r="B1345" s="1" t="s">
        <v>9010</v>
      </c>
      <c r="C1345" s="1" t="s">
        <v>9011</v>
      </c>
      <c r="D1345" s="22" t="str">
        <f>HYPERLINK("https://rhld.insurance.arkansas.gov/NPILookup?Npi=1043276942","1043276942")</f>
        <v>1043276942</v>
      </c>
      <c r="E1345" s="1" t="s">
        <v>15452</v>
      </c>
      <c r="F1345" s="2"/>
      <c r="G1345" s="2"/>
      <c r="H1345" s="2"/>
    </row>
    <row r="1346" spans="1:8" x14ac:dyDescent="0.25">
      <c r="A1346" s="1"/>
      <c r="B1346" s="1" t="s">
        <v>9010</v>
      </c>
      <c r="C1346" s="1" t="s">
        <v>9011</v>
      </c>
      <c r="D1346" s="22" t="str">
        <f>HYPERLINK("https://rhld.insurance.arkansas.gov/NPILookup?Npi=1043514219","1043514219")</f>
        <v>1043514219</v>
      </c>
      <c r="E1346" s="1" t="s">
        <v>15453</v>
      </c>
      <c r="F1346" s="2"/>
      <c r="G1346" s="2"/>
      <c r="H1346" s="2"/>
    </row>
    <row r="1347" spans="1:8" x14ac:dyDescent="0.25">
      <c r="A1347" s="1"/>
      <c r="B1347" s="1" t="s">
        <v>9010</v>
      </c>
      <c r="C1347" s="1" t="s">
        <v>9011</v>
      </c>
      <c r="D1347" s="22" t="str">
        <f>HYPERLINK("https://rhld.insurance.arkansas.gov/NPILookup?Npi=1043679632","1043679632")</f>
        <v>1043679632</v>
      </c>
      <c r="E1347" s="1" t="s">
        <v>15454</v>
      </c>
      <c r="F1347" s="2"/>
      <c r="G1347" s="2"/>
      <c r="H1347" s="2"/>
    </row>
    <row r="1348" spans="1:8" x14ac:dyDescent="0.25">
      <c r="A1348" s="1"/>
      <c r="B1348" s="1" t="s">
        <v>9010</v>
      </c>
      <c r="C1348" s="1" t="s">
        <v>9011</v>
      </c>
      <c r="D1348" s="22" t="str">
        <f>HYPERLINK("https://rhld.insurance.arkansas.gov/NPILookup?Npi=1043805740","1043805740")</f>
        <v>1043805740</v>
      </c>
      <c r="E1348" s="1" t="s">
        <v>9673</v>
      </c>
      <c r="F1348" s="2"/>
      <c r="G1348" s="2"/>
      <c r="H1348" s="2"/>
    </row>
    <row r="1349" spans="1:8" x14ac:dyDescent="0.25">
      <c r="A1349" s="1"/>
      <c r="B1349" s="1" t="s">
        <v>9010</v>
      </c>
      <c r="C1349" s="1" t="s">
        <v>9011</v>
      </c>
      <c r="D1349" s="22" t="str">
        <f>HYPERLINK("https://rhld.insurance.arkansas.gov/NPILookup?Npi=1043949522","1043949522")</f>
        <v>1043949522</v>
      </c>
      <c r="E1349" s="1" t="s">
        <v>2538</v>
      </c>
      <c r="F1349" s="2"/>
      <c r="G1349" s="2"/>
      <c r="H1349" s="2"/>
    </row>
    <row r="1350" spans="1:8" x14ac:dyDescent="0.25">
      <c r="A1350" s="1"/>
      <c r="B1350" s="1" t="s">
        <v>9010</v>
      </c>
      <c r="C1350" s="1" t="s">
        <v>9011</v>
      </c>
      <c r="D1350" s="22" t="str">
        <f>HYPERLINK("https://rhld.insurance.arkansas.gov/NPILookup?Npi=1053049585","1053049585")</f>
        <v>1053049585</v>
      </c>
      <c r="E1350" s="1" t="s">
        <v>9674</v>
      </c>
      <c r="F1350" s="2"/>
      <c r="G1350" s="2"/>
      <c r="H1350" s="2"/>
    </row>
    <row r="1351" spans="1:8" x14ac:dyDescent="0.25">
      <c r="A1351" s="1"/>
      <c r="B1351" s="1" t="s">
        <v>9010</v>
      </c>
      <c r="C1351" s="1" t="s">
        <v>9011</v>
      </c>
      <c r="D1351" s="22" t="str">
        <f>HYPERLINK("https://rhld.insurance.arkansas.gov/NPILookup?Npi=1053375634","1053375634")</f>
        <v>1053375634</v>
      </c>
      <c r="E1351" s="1" t="s">
        <v>9015</v>
      </c>
      <c r="F1351" s="2"/>
      <c r="G1351" s="2"/>
      <c r="H1351" s="2"/>
    </row>
    <row r="1352" spans="1:8" x14ac:dyDescent="0.25">
      <c r="A1352" s="1"/>
      <c r="B1352" s="1" t="s">
        <v>9010</v>
      </c>
      <c r="C1352" s="1" t="s">
        <v>9011</v>
      </c>
      <c r="D1352" s="22" t="str">
        <f>HYPERLINK("https://rhld.insurance.arkansas.gov/NPILookup?Npi=1053385377","1053385377")</f>
        <v>1053385377</v>
      </c>
      <c r="E1352" s="1" t="s">
        <v>15455</v>
      </c>
      <c r="F1352" s="2"/>
      <c r="G1352" s="2"/>
      <c r="H1352" s="2"/>
    </row>
    <row r="1353" spans="1:8" x14ac:dyDescent="0.25">
      <c r="A1353" s="1"/>
      <c r="B1353" s="1" t="s">
        <v>9010</v>
      </c>
      <c r="C1353" s="1" t="s">
        <v>9011</v>
      </c>
      <c r="D1353" s="22" t="str">
        <f>HYPERLINK("https://rhld.insurance.arkansas.gov/NPILookup?Npi=1053731844","1053731844")</f>
        <v>1053731844</v>
      </c>
      <c r="E1353" s="1" t="s">
        <v>15456</v>
      </c>
      <c r="F1353" s="2"/>
      <c r="G1353" s="2"/>
      <c r="H1353" s="2"/>
    </row>
    <row r="1354" spans="1:8" x14ac:dyDescent="0.25">
      <c r="A1354" s="1"/>
      <c r="B1354" s="1" t="s">
        <v>9010</v>
      </c>
      <c r="C1354" s="1" t="s">
        <v>9011</v>
      </c>
      <c r="D1354" s="22" t="str">
        <f>HYPERLINK("https://rhld.insurance.arkansas.gov/NPILookup?Npi=1053894097","1053894097")</f>
        <v>1053894097</v>
      </c>
      <c r="E1354" s="1" t="s">
        <v>3464</v>
      </c>
      <c r="F1354" s="2"/>
      <c r="G1354" s="2"/>
      <c r="H1354" s="2"/>
    </row>
    <row r="1355" spans="1:8" x14ac:dyDescent="0.25">
      <c r="A1355" s="1"/>
      <c r="B1355" s="1" t="s">
        <v>9010</v>
      </c>
      <c r="C1355" s="1" t="s">
        <v>9011</v>
      </c>
      <c r="D1355" s="22" t="str">
        <f>HYPERLINK("https://rhld.insurance.arkansas.gov/NPILookup?Npi=1073182572","1073182572")</f>
        <v>1073182572</v>
      </c>
      <c r="E1355" s="1" t="s">
        <v>15457</v>
      </c>
      <c r="F1355" s="2"/>
      <c r="G1355" s="2"/>
      <c r="H1355" s="2"/>
    </row>
    <row r="1356" spans="1:8" x14ac:dyDescent="0.25">
      <c r="A1356" s="1"/>
      <c r="B1356" s="1" t="s">
        <v>9010</v>
      </c>
      <c r="C1356" s="1" t="s">
        <v>9011</v>
      </c>
      <c r="D1356" s="22" t="str">
        <f>HYPERLINK("https://rhld.insurance.arkansas.gov/NPILookup?Npi=1073260774","1073260774")</f>
        <v>1073260774</v>
      </c>
      <c r="E1356" s="1" t="s">
        <v>2539</v>
      </c>
      <c r="F1356" s="2"/>
      <c r="G1356" s="2"/>
      <c r="H1356" s="2"/>
    </row>
    <row r="1357" spans="1:8" x14ac:dyDescent="0.25">
      <c r="A1357" s="1"/>
      <c r="B1357" s="1" t="s">
        <v>9010</v>
      </c>
      <c r="C1357" s="1" t="s">
        <v>9011</v>
      </c>
      <c r="D1357" s="22" t="str">
        <f>HYPERLINK("https://rhld.insurance.arkansas.gov/NPILookup?Npi=1073701538","1073701538")</f>
        <v>1073701538</v>
      </c>
      <c r="E1357" s="1" t="s">
        <v>9675</v>
      </c>
      <c r="F1357" s="2"/>
      <c r="G1357" s="2"/>
      <c r="H1357" s="2"/>
    </row>
    <row r="1358" spans="1:8" x14ac:dyDescent="0.25">
      <c r="A1358" s="1"/>
      <c r="B1358" s="1" t="s">
        <v>9010</v>
      </c>
      <c r="C1358" s="1" t="s">
        <v>9011</v>
      </c>
      <c r="D1358" s="22" t="str">
        <f>HYPERLINK("https://rhld.insurance.arkansas.gov/NPILookup?Npi=1073748406","1073748406")</f>
        <v>1073748406</v>
      </c>
      <c r="E1358" s="1" t="s">
        <v>5178</v>
      </c>
      <c r="F1358" s="2"/>
      <c r="G1358" s="2"/>
      <c r="H1358" s="2"/>
    </row>
    <row r="1359" spans="1:8" x14ac:dyDescent="0.25">
      <c r="A1359" s="1"/>
      <c r="B1359" s="1" t="s">
        <v>9010</v>
      </c>
      <c r="C1359" s="1" t="s">
        <v>9011</v>
      </c>
      <c r="D1359" s="22" t="str">
        <f>HYPERLINK("https://rhld.insurance.arkansas.gov/NPILookup?Npi=1083088504","1083088504")</f>
        <v>1083088504</v>
      </c>
      <c r="E1359" s="1" t="s">
        <v>15458</v>
      </c>
      <c r="F1359" s="2"/>
      <c r="G1359" s="2"/>
      <c r="H1359" s="2"/>
    </row>
    <row r="1360" spans="1:8" x14ac:dyDescent="0.25">
      <c r="A1360" s="1"/>
      <c r="B1360" s="1" t="s">
        <v>9010</v>
      </c>
      <c r="C1360" s="1" t="s">
        <v>9011</v>
      </c>
      <c r="D1360" s="22" t="str">
        <f>HYPERLINK("https://rhld.insurance.arkansas.gov/NPILookup?Npi=1083088827","1083088827")</f>
        <v>1083088827</v>
      </c>
      <c r="E1360" s="1" t="s">
        <v>15459</v>
      </c>
      <c r="F1360" s="2"/>
      <c r="G1360" s="2"/>
      <c r="H1360" s="2"/>
    </row>
    <row r="1361" spans="1:8" x14ac:dyDescent="0.25">
      <c r="A1361" s="1"/>
      <c r="B1361" s="1" t="s">
        <v>9010</v>
      </c>
      <c r="C1361" s="1" t="s">
        <v>9011</v>
      </c>
      <c r="D1361" s="22" t="str">
        <f>HYPERLINK("https://rhld.insurance.arkansas.gov/NPILookup?Npi=1083299937","1083299937")</f>
        <v>1083299937</v>
      </c>
      <c r="E1361" s="1" t="s">
        <v>9676</v>
      </c>
      <c r="F1361" s="2"/>
      <c r="G1361" s="2"/>
      <c r="H1361" s="2"/>
    </row>
    <row r="1362" spans="1:8" x14ac:dyDescent="0.25">
      <c r="A1362" s="1"/>
      <c r="B1362" s="1" t="s">
        <v>9010</v>
      </c>
      <c r="C1362" s="1" t="s">
        <v>9011</v>
      </c>
      <c r="D1362" s="22" t="str">
        <f>HYPERLINK("https://rhld.insurance.arkansas.gov/NPILookup?Npi=1083353791","1083353791")</f>
        <v>1083353791</v>
      </c>
      <c r="E1362" s="1" t="s">
        <v>2540</v>
      </c>
      <c r="F1362" s="2"/>
      <c r="G1362" s="2"/>
      <c r="H1362" s="2"/>
    </row>
    <row r="1363" spans="1:8" x14ac:dyDescent="0.25">
      <c r="A1363" s="1"/>
      <c r="B1363" s="1" t="s">
        <v>9010</v>
      </c>
      <c r="C1363" s="1" t="s">
        <v>9011</v>
      </c>
      <c r="D1363" s="22" t="str">
        <f>HYPERLINK("https://rhld.insurance.arkansas.gov/NPILookup?Npi=1083355499","1083355499")</f>
        <v>1083355499</v>
      </c>
      <c r="E1363" s="1" t="s">
        <v>9677</v>
      </c>
      <c r="F1363" s="2"/>
      <c r="G1363" s="2"/>
      <c r="H1363" s="2"/>
    </row>
    <row r="1364" spans="1:8" x14ac:dyDescent="0.25">
      <c r="A1364" s="1"/>
      <c r="B1364" s="1" t="s">
        <v>9010</v>
      </c>
      <c r="C1364" s="1" t="s">
        <v>9011</v>
      </c>
      <c r="D1364" s="22" t="str">
        <f>HYPERLINK("https://rhld.insurance.arkansas.gov/NPILookup?Npi=1093244097","1093244097")</f>
        <v>1093244097</v>
      </c>
      <c r="E1364" s="1" t="s">
        <v>1347</v>
      </c>
      <c r="F1364" s="2"/>
      <c r="G1364" s="2"/>
      <c r="H1364" s="2"/>
    </row>
    <row r="1365" spans="1:8" x14ac:dyDescent="0.25">
      <c r="A1365" s="1"/>
      <c r="B1365" s="1" t="s">
        <v>9010</v>
      </c>
      <c r="C1365" s="1" t="s">
        <v>9011</v>
      </c>
      <c r="D1365" s="22" t="str">
        <f>HYPERLINK("https://rhld.insurance.arkansas.gov/NPILookup?Npi=1093462590","1093462590")</f>
        <v>1093462590</v>
      </c>
      <c r="E1365" s="1" t="s">
        <v>9016</v>
      </c>
      <c r="F1365" s="2"/>
      <c r="G1365" s="2"/>
      <c r="H1365" s="2"/>
    </row>
    <row r="1366" spans="1:8" x14ac:dyDescent="0.25">
      <c r="A1366" s="1"/>
      <c r="B1366" s="1" t="s">
        <v>9010</v>
      </c>
      <c r="C1366" s="1" t="s">
        <v>9011</v>
      </c>
      <c r="D1366" s="22" t="str">
        <f>HYPERLINK("https://rhld.insurance.arkansas.gov/NPILookup?Npi=1104178250","1104178250")</f>
        <v>1104178250</v>
      </c>
      <c r="E1366" s="1" t="s">
        <v>660</v>
      </c>
      <c r="F1366" s="2"/>
      <c r="G1366" s="2"/>
      <c r="H1366" s="2"/>
    </row>
    <row r="1367" spans="1:8" x14ac:dyDescent="0.25">
      <c r="A1367" s="1"/>
      <c r="B1367" s="1" t="s">
        <v>9010</v>
      </c>
      <c r="C1367" s="1" t="s">
        <v>9011</v>
      </c>
      <c r="D1367" s="22" t="str">
        <f>HYPERLINK("https://rhld.insurance.arkansas.gov/NPILookup?Npi=1104563410","1104563410")</f>
        <v>1104563410</v>
      </c>
      <c r="E1367" s="1" t="s">
        <v>2241</v>
      </c>
      <c r="F1367" s="2"/>
      <c r="G1367" s="2"/>
      <c r="H1367" s="2"/>
    </row>
    <row r="1368" spans="1:8" x14ac:dyDescent="0.25">
      <c r="A1368" s="1"/>
      <c r="B1368" s="1" t="s">
        <v>9010</v>
      </c>
      <c r="C1368" s="1" t="s">
        <v>9011</v>
      </c>
      <c r="D1368" s="22" t="str">
        <f>HYPERLINK("https://rhld.insurance.arkansas.gov/NPILookup?Npi=1104563428","1104563428")</f>
        <v>1104563428</v>
      </c>
      <c r="E1368" s="1" t="s">
        <v>1907</v>
      </c>
      <c r="F1368" s="2"/>
      <c r="G1368" s="2"/>
      <c r="H1368" s="2"/>
    </row>
    <row r="1369" spans="1:8" x14ac:dyDescent="0.25">
      <c r="A1369" s="1"/>
      <c r="B1369" s="1" t="s">
        <v>9010</v>
      </c>
      <c r="C1369" s="1" t="s">
        <v>9011</v>
      </c>
      <c r="D1369" s="22" t="str">
        <f>HYPERLINK("https://rhld.insurance.arkansas.gov/NPILookup?Npi=1114354990","1114354990")</f>
        <v>1114354990</v>
      </c>
      <c r="E1369" s="1" t="s">
        <v>15460</v>
      </c>
      <c r="F1369" s="2"/>
      <c r="G1369" s="2"/>
      <c r="H1369" s="2"/>
    </row>
    <row r="1370" spans="1:8" x14ac:dyDescent="0.25">
      <c r="A1370" s="1"/>
      <c r="B1370" s="1" t="s">
        <v>9010</v>
      </c>
      <c r="C1370" s="1" t="s">
        <v>9011</v>
      </c>
      <c r="D1370" s="22" t="str">
        <f>HYPERLINK("https://rhld.insurance.arkansas.gov/NPILookup?Npi=1114400975","1114400975")</f>
        <v>1114400975</v>
      </c>
      <c r="E1370" s="1" t="s">
        <v>15461</v>
      </c>
      <c r="F1370" s="2"/>
      <c r="G1370" s="2"/>
      <c r="H1370" s="2"/>
    </row>
    <row r="1371" spans="1:8" x14ac:dyDescent="0.25">
      <c r="A1371" s="1"/>
      <c r="B1371" s="1" t="s">
        <v>9010</v>
      </c>
      <c r="C1371" s="1" t="s">
        <v>9011</v>
      </c>
      <c r="D1371" s="22" t="str">
        <f>HYPERLINK("https://rhld.insurance.arkansas.gov/NPILookup?Npi=1114903523","1114903523")</f>
        <v>1114903523</v>
      </c>
      <c r="E1371" s="1" t="s">
        <v>2139</v>
      </c>
      <c r="F1371" s="2"/>
      <c r="G1371" s="2"/>
      <c r="H1371" s="2"/>
    </row>
    <row r="1372" spans="1:8" x14ac:dyDescent="0.25">
      <c r="A1372" s="1"/>
      <c r="B1372" s="1" t="s">
        <v>9010</v>
      </c>
      <c r="C1372" s="1" t="s">
        <v>9011</v>
      </c>
      <c r="D1372" s="22" t="str">
        <f>HYPERLINK("https://rhld.insurance.arkansas.gov/NPILookup?Npi=1134636384","1134636384")</f>
        <v>1134636384</v>
      </c>
      <c r="E1372" s="1" t="s">
        <v>15462</v>
      </c>
      <c r="F1372" s="2"/>
      <c r="G1372" s="2"/>
      <c r="H1372" s="2"/>
    </row>
    <row r="1373" spans="1:8" x14ac:dyDescent="0.25">
      <c r="A1373" s="1"/>
      <c r="B1373" s="1" t="s">
        <v>9010</v>
      </c>
      <c r="C1373" s="1" t="s">
        <v>9011</v>
      </c>
      <c r="D1373" s="22" t="str">
        <f>HYPERLINK("https://rhld.insurance.arkansas.gov/NPILookup?Npi=1134704091","1134704091")</f>
        <v>1134704091</v>
      </c>
      <c r="E1373" s="1" t="s">
        <v>15463</v>
      </c>
      <c r="F1373" s="2"/>
      <c r="G1373" s="2"/>
      <c r="H1373" s="2"/>
    </row>
    <row r="1374" spans="1:8" x14ac:dyDescent="0.25">
      <c r="A1374" s="1"/>
      <c r="B1374" s="1" t="s">
        <v>9010</v>
      </c>
      <c r="C1374" s="1" t="s">
        <v>9011</v>
      </c>
      <c r="D1374" s="22" t="str">
        <f>HYPERLINK("https://rhld.insurance.arkansas.gov/NPILookup?Npi=1134827538","1134827538")</f>
        <v>1134827538</v>
      </c>
      <c r="E1374" s="1" t="s">
        <v>9678</v>
      </c>
      <c r="F1374" s="2"/>
      <c r="G1374" s="2"/>
      <c r="H1374" s="2"/>
    </row>
    <row r="1375" spans="1:8" x14ac:dyDescent="0.25">
      <c r="A1375" s="1"/>
      <c r="B1375" s="1" t="s">
        <v>9010</v>
      </c>
      <c r="C1375" s="1" t="s">
        <v>9011</v>
      </c>
      <c r="D1375" s="22" t="str">
        <f>HYPERLINK("https://rhld.insurance.arkansas.gov/NPILookup?Npi=1144072695","1144072695")</f>
        <v>1144072695</v>
      </c>
      <c r="E1375" s="1" t="s">
        <v>15464</v>
      </c>
      <c r="F1375" s="2"/>
      <c r="G1375" s="2"/>
      <c r="H1375" s="2"/>
    </row>
    <row r="1376" spans="1:8" x14ac:dyDescent="0.25">
      <c r="A1376" s="1"/>
      <c r="B1376" s="1" t="s">
        <v>9010</v>
      </c>
      <c r="C1376" s="1" t="s">
        <v>9011</v>
      </c>
      <c r="D1376" s="22" t="str">
        <f>HYPERLINK("https://rhld.insurance.arkansas.gov/NPILookup?Npi=1144213117","1144213117")</f>
        <v>1144213117</v>
      </c>
      <c r="E1376" s="1" t="s">
        <v>1688</v>
      </c>
      <c r="F1376" s="2"/>
      <c r="G1376" s="2"/>
      <c r="H1376" s="2"/>
    </row>
    <row r="1377" spans="1:8" x14ac:dyDescent="0.25">
      <c r="A1377" s="1"/>
      <c r="B1377" s="1" t="s">
        <v>9010</v>
      </c>
      <c r="C1377" s="1" t="s">
        <v>9011</v>
      </c>
      <c r="D1377" s="22" t="str">
        <f>HYPERLINK("https://rhld.insurance.arkansas.gov/NPILookup?Npi=1144294489","1144294489")</f>
        <v>1144294489</v>
      </c>
      <c r="E1377" s="1" t="s">
        <v>15465</v>
      </c>
      <c r="F1377" s="2"/>
      <c r="G1377" s="2"/>
      <c r="H1377" s="2"/>
    </row>
    <row r="1378" spans="1:8" x14ac:dyDescent="0.25">
      <c r="A1378" s="1"/>
      <c r="B1378" s="1" t="s">
        <v>9010</v>
      </c>
      <c r="C1378" s="1" t="s">
        <v>9011</v>
      </c>
      <c r="D1378" s="22" t="str">
        <f>HYPERLINK("https://rhld.insurance.arkansas.gov/NPILookup?Npi=1144805003","1144805003")</f>
        <v>1144805003</v>
      </c>
      <c r="E1378" s="1" t="s">
        <v>1904</v>
      </c>
      <c r="F1378" s="2"/>
      <c r="G1378" s="2"/>
      <c r="H1378" s="2"/>
    </row>
    <row r="1379" spans="1:8" x14ac:dyDescent="0.25">
      <c r="A1379" s="1"/>
      <c r="B1379" s="1" t="s">
        <v>9010</v>
      </c>
      <c r="C1379" s="1" t="s">
        <v>9011</v>
      </c>
      <c r="D1379" s="22" t="str">
        <f>HYPERLINK("https://rhld.insurance.arkansas.gov/NPILookup?Npi=1154541878","1154541878")</f>
        <v>1154541878</v>
      </c>
      <c r="E1379" s="1" t="s">
        <v>9679</v>
      </c>
      <c r="F1379" s="2"/>
      <c r="G1379" s="2"/>
      <c r="H1379" s="2"/>
    </row>
    <row r="1380" spans="1:8" x14ac:dyDescent="0.25">
      <c r="A1380" s="1"/>
      <c r="B1380" s="1" t="s">
        <v>9010</v>
      </c>
      <c r="C1380" s="1" t="s">
        <v>9011</v>
      </c>
      <c r="D1380" s="22" t="str">
        <f>HYPERLINK("https://rhld.insurance.arkansas.gov/NPILookup?Npi=1154962074","1154962074")</f>
        <v>1154962074</v>
      </c>
      <c r="E1380" s="1" t="s">
        <v>1438</v>
      </c>
      <c r="F1380" s="2"/>
      <c r="G1380" s="2"/>
      <c r="H1380" s="2"/>
    </row>
    <row r="1381" spans="1:8" x14ac:dyDescent="0.25">
      <c r="A1381" s="1"/>
      <c r="B1381" s="1" t="s">
        <v>9010</v>
      </c>
      <c r="C1381" s="1" t="s">
        <v>9011</v>
      </c>
      <c r="D1381" s="22" t="str">
        <f>HYPERLINK("https://rhld.insurance.arkansas.gov/NPILookup?Npi=1164806824","1164806824")</f>
        <v>1164806824</v>
      </c>
      <c r="E1381" s="1" t="s">
        <v>15466</v>
      </c>
      <c r="F1381" s="2"/>
      <c r="G1381" s="2"/>
      <c r="H1381" s="2"/>
    </row>
    <row r="1382" spans="1:8" x14ac:dyDescent="0.25">
      <c r="A1382" s="1"/>
      <c r="B1382" s="1" t="s">
        <v>9010</v>
      </c>
      <c r="C1382" s="1" t="s">
        <v>9011</v>
      </c>
      <c r="D1382" s="22" t="str">
        <f>HYPERLINK("https://rhld.insurance.arkansas.gov/NPILookup?Npi=1164906582","1164906582")</f>
        <v>1164906582</v>
      </c>
      <c r="E1382" s="1" t="s">
        <v>15467</v>
      </c>
      <c r="F1382" s="2"/>
      <c r="G1382" s="2"/>
      <c r="H1382" s="2"/>
    </row>
    <row r="1383" spans="1:8" x14ac:dyDescent="0.25">
      <c r="A1383" s="1"/>
      <c r="B1383" s="1" t="s">
        <v>9010</v>
      </c>
      <c r="C1383" s="1" t="s">
        <v>9011</v>
      </c>
      <c r="D1383" s="22" t="str">
        <f>HYPERLINK("https://rhld.insurance.arkansas.gov/NPILookup?Npi=1174071591","1174071591")</f>
        <v>1174071591</v>
      </c>
      <c r="E1383" s="1" t="s">
        <v>9680</v>
      </c>
      <c r="F1383" s="2"/>
      <c r="G1383" s="2"/>
      <c r="H1383" s="2"/>
    </row>
    <row r="1384" spans="1:8" x14ac:dyDescent="0.25">
      <c r="A1384" s="1"/>
      <c r="B1384" s="1" t="s">
        <v>9010</v>
      </c>
      <c r="C1384" s="1" t="s">
        <v>9011</v>
      </c>
      <c r="D1384" s="22" t="str">
        <f>HYPERLINK("https://rhld.insurance.arkansas.gov/NPILookup?Npi=1174079016","1174079016")</f>
        <v>1174079016</v>
      </c>
      <c r="E1384" s="1" t="s">
        <v>968</v>
      </c>
      <c r="F1384" s="2"/>
      <c r="G1384" s="2"/>
      <c r="H1384" s="2"/>
    </row>
    <row r="1385" spans="1:8" x14ac:dyDescent="0.25">
      <c r="A1385" s="1"/>
      <c r="B1385" s="1" t="s">
        <v>9010</v>
      </c>
      <c r="C1385" s="1" t="s">
        <v>9011</v>
      </c>
      <c r="D1385" s="22" t="str">
        <f>HYPERLINK("https://rhld.insurance.arkansas.gov/NPILookup?Npi=1174802888","1174802888")</f>
        <v>1174802888</v>
      </c>
      <c r="E1385" s="1" t="s">
        <v>1266</v>
      </c>
      <c r="F1385" s="2"/>
      <c r="G1385" s="2"/>
      <c r="H1385" s="2"/>
    </row>
    <row r="1386" spans="1:8" x14ac:dyDescent="0.25">
      <c r="A1386" s="1"/>
      <c r="B1386" s="1" t="s">
        <v>9010</v>
      </c>
      <c r="C1386" s="1" t="s">
        <v>9011</v>
      </c>
      <c r="D1386" s="22" t="str">
        <f>HYPERLINK("https://rhld.insurance.arkansas.gov/NPILookup?Npi=1174903025","1174903025")</f>
        <v>1174903025</v>
      </c>
      <c r="E1386" s="1" t="s">
        <v>1907</v>
      </c>
      <c r="F1386" s="2"/>
      <c r="G1386" s="2"/>
      <c r="H1386" s="2"/>
    </row>
    <row r="1387" spans="1:8" x14ac:dyDescent="0.25">
      <c r="A1387" s="1"/>
      <c r="B1387" s="1" t="s">
        <v>9010</v>
      </c>
      <c r="C1387" s="1" t="s">
        <v>9011</v>
      </c>
      <c r="D1387" s="22" t="str">
        <f>HYPERLINK("https://rhld.insurance.arkansas.gov/NPILookup?Npi=1184679292","1184679292")</f>
        <v>1184679292</v>
      </c>
      <c r="E1387" s="1" t="s">
        <v>9067</v>
      </c>
      <c r="F1387" s="2"/>
      <c r="G1387" s="2"/>
      <c r="H1387" s="2"/>
    </row>
    <row r="1388" spans="1:8" x14ac:dyDescent="0.25">
      <c r="A1388" s="1"/>
      <c r="B1388" s="1" t="s">
        <v>9010</v>
      </c>
      <c r="C1388" s="1" t="s">
        <v>9011</v>
      </c>
      <c r="D1388" s="22" t="str">
        <f>HYPERLINK("https://rhld.insurance.arkansas.gov/NPILookup?Npi=1194044941","1194044941")</f>
        <v>1194044941</v>
      </c>
      <c r="E1388" s="1" t="s">
        <v>9681</v>
      </c>
      <c r="F1388" s="2"/>
      <c r="G1388" s="2"/>
      <c r="H1388" s="2"/>
    </row>
    <row r="1389" spans="1:8" x14ac:dyDescent="0.25">
      <c r="A1389" s="1"/>
      <c r="B1389" s="1" t="s">
        <v>9010</v>
      </c>
      <c r="C1389" s="1" t="s">
        <v>9011</v>
      </c>
      <c r="D1389" s="22" t="str">
        <f>HYPERLINK("https://rhld.insurance.arkansas.gov/NPILookup?Npi=1194472894","1194472894")</f>
        <v>1194472894</v>
      </c>
      <c r="E1389" s="1" t="s">
        <v>2541</v>
      </c>
      <c r="F1389" s="2"/>
      <c r="G1389" s="2"/>
      <c r="H1389" s="2"/>
    </row>
    <row r="1390" spans="1:8" x14ac:dyDescent="0.25">
      <c r="A1390" s="1"/>
      <c r="B1390" s="1" t="s">
        <v>9010</v>
      </c>
      <c r="C1390" s="1" t="s">
        <v>9011</v>
      </c>
      <c r="D1390" s="22" t="str">
        <f>HYPERLINK("https://rhld.insurance.arkansas.gov/NPILookup?Npi=1205319340","1205319340")</f>
        <v>1205319340</v>
      </c>
      <c r="E1390" s="1" t="s">
        <v>15468</v>
      </c>
      <c r="F1390" s="2"/>
      <c r="G1390" s="2"/>
      <c r="H1390" s="2"/>
    </row>
    <row r="1391" spans="1:8" x14ac:dyDescent="0.25">
      <c r="A1391" s="1"/>
      <c r="B1391" s="1" t="s">
        <v>9010</v>
      </c>
      <c r="C1391" s="1" t="s">
        <v>9011</v>
      </c>
      <c r="D1391" s="22" t="str">
        <f>HYPERLINK("https://rhld.insurance.arkansas.gov/NPILookup?Npi=1215676903","1215676903")</f>
        <v>1215676903</v>
      </c>
      <c r="E1391" s="1" t="s">
        <v>2542</v>
      </c>
      <c r="F1391" s="2"/>
      <c r="G1391" s="2"/>
      <c r="H1391" s="2"/>
    </row>
    <row r="1392" spans="1:8" x14ac:dyDescent="0.25">
      <c r="A1392" s="1"/>
      <c r="B1392" s="1" t="s">
        <v>9010</v>
      </c>
      <c r="C1392" s="1" t="s">
        <v>9011</v>
      </c>
      <c r="D1392" s="22" t="str">
        <f>HYPERLINK("https://rhld.insurance.arkansas.gov/NPILookup?Npi=1225439821","1225439821")</f>
        <v>1225439821</v>
      </c>
      <c r="E1392" s="1" t="s">
        <v>15469</v>
      </c>
      <c r="F1392" s="2"/>
      <c r="G1392" s="2"/>
      <c r="H1392" s="2"/>
    </row>
    <row r="1393" spans="1:8" x14ac:dyDescent="0.25">
      <c r="A1393" s="1"/>
      <c r="B1393" s="1" t="s">
        <v>9010</v>
      </c>
      <c r="C1393" s="1" t="s">
        <v>9011</v>
      </c>
      <c r="D1393" s="22" t="str">
        <f>HYPERLINK("https://rhld.insurance.arkansas.gov/NPILookup?Npi=1225777923","1225777923")</f>
        <v>1225777923</v>
      </c>
      <c r="E1393" s="1" t="s">
        <v>15470</v>
      </c>
      <c r="F1393" s="2"/>
      <c r="G1393" s="2"/>
      <c r="H1393" s="2"/>
    </row>
    <row r="1394" spans="1:8" x14ac:dyDescent="0.25">
      <c r="A1394" s="1"/>
      <c r="B1394" s="1" t="s">
        <v>9010</v>
      </c>
      <c r="C1394" s="1" t="s">
        <v>9011</v>
      </c>
      <c r="D1394" s="22" t="str">
        <f>HYPERLINK("https://rhld.insurance.arkansas.gov/NPILookup?Npi=1245284769","1245284769")</f>
        <v>1245284769</v>
      </c>
      <c r="E1394" s="1" t="s">
        <v>1620</v>
      </c>
      <c r="F1394" s="2"/>
      <c r="G1394" s="2"/>
      <c r="H1394" s="2"/>
    </row>
    <row r="1395" spans="1:8" x14ac:dyDescent="0.25">
      <c r="A1395" s="1"/>
      <c r="B1395" s="1" t="s">
        <v>9010</v>
      </c>
      <c r="C1395" s="1" t="s">
        <v>9011</v>
      </c>
      <c r="D1395" s="22" t="str">
        <f>HYPERLINK("https://rhld.insurance.arkansas.gov/NPILookup?Npi=1245604073","1245604073")</f>
        <v>1245604073</v>
      </c>
      <c r="E1395" s="1" t="s">
        <v>15471</v>
      </c>
      <c r="F1395" s="2"/>
      <c r="G1395" s="2"/>
      <c r="H1395" s="2"/>
    </row>
    <row r="1396" spans="1:8" x14ac:dyDescent="0.25">
      <c r="A1396" s="1"/>
      <c r="B1396" s="1" t="s">
        <v>9010</v>
      </c>
      <c r="C1396" s="1" t="s">
        <v>9011</v>
      </c>
      <c r="D1396" s="22" t="str">
        <f>HYPERLINK("https://rhld.insurance.arkansas.gov/NPILookup?Npi=1245736214","1245736214")</f>
        <v>1245736214</v>
      </c>
      <c r="E1396" s="1" t="s">
        <v>1348</v>
      </c>
      <c r="F1396" s="2"/>
      <c r="G1396" s="2"/>
      <c r="H1396" s="2"/>
    </row>
    <row r="1397" spans="1:8" x14ac:dyDescent="0.25">
      <c r="A1397" s="1"/>
      <c r="B1397" s="1" t="s">
        <v>9010</v>
      </c>
      <c r="C1397" s="1" t="s">
        <v>9011</v>
      </c>
      <c r="D1397" s="22" t="str">
        <f>HYPERLINK("https://rhld.insurance.arkansas.gov/NPILookup?Npi=1245962042","1245962042")</f>
        <v>1245962042</v>
      </c>
      <c r="E1397" s="1" t="s">
        <v>15472</v>
      </c>
      <c r="F1397" s="2"/>
      <c r="G1397" s="2"/>
      <c r="H1397" s="2"/>
    </row>
    <row r="1398" spans="1:8" x14ac:dyDescent="0.25">
      <c r="A1398" s="1"/>
      <c r="B1398" s="1" t="s">
        <v>9010</v>
      </c>
      <c r="C1398" s="1" t="s">
        <v>9011</v>
      </c>
      <c r="D1398" s="22" t="str">
        <f>HYPERLINK("https://rhld.insurance.arkansas.gov/NPILookup?Npi=1255815676","1255815676")</f>
        <v>1255815676</v>
      </c>
      <c r="E1398" s="1" t="s">
        <v>15473</v>
      </c>
      <c r="F1398" s="2"/>
      <c r="G1398" s="2"/>
      <c r="H1398" s="2"/>
    </row>
    <row r="1399" spans="1:8" x14ac:dyDescent="0.25">
      <c r="A1399" s="1"/>
      <c r="B1399" s="1" t="s">
        <v>9010</v>
      </c>
      <c r="C1399" s="1" t="s">
        <v>9011</v>
      </c>
      <c r="D1399" s="22" t="str">
        <f>HYPERLINK("https://rhld.insurance.arkansas.gov/NPILookup?Npi=1265421085","1265421085")</f>
        <v>1265421085</v>
      </c>
      <c r="E1399" s="1" t="s">
        <v>15474</v>
      </c>
      <c r="F1399" s="2"/>
      <c r="G1399" s="2"/>
      <c r="H1399" s="2"/>
    </row>
    <row r="1400" spans="1:8" x14ac:dyDescent="0.25">
      <c r="A1400" s="1"/>
      <c r="B1400" s="1" t="s">
        <v>9010</v>
      </c>
      <c r="C1400" s="1" t="s">
        <v>9011</v>
      </c>
      <c r="D1400" s="22" t="str">
        <f>HYPERLINK("https://rhld.insurance.arkansas.gov/NPILookup?Npi=1265899504","1265899504")</f>
        <v>1265899504</v>
      </c>
      <c r="E1400" s="1" t="s">
        <v>15475</v>
      </c>
      <c r="F1400" s="2"/>
      <c r="G1400" s="2"/>
      <c r="H1400" s="2"/>
    </row>
    <row r="1401" spans="1:8" x14ac:dyDescent="0.25">
      <c r="A1401" s="1"/>
      <c r="B1401" s="1" t="s">
        <v>9010</v>
      </c>
      <c r="C1401" s="1" t="s">
        <v>9011</v>
      </c>
      <c r="D1401" s="22" t="str">
        <f>HYPERLINK("https://rhld.insurance.arkansas.gov/NPILookup?Npi=1275023095","1275023095")</f>
        <v>1275023095</v>
      </c>
      <c r="E1401" s="1" t="s">
        <v>15278</v>
      </c>
      <c r="F1401" s="2"/>
      <c r="G1401" s="2"/>
      <c r="H1401" s="2"/>
    </row>
    <row r="1402" spans="1:8" x14ac:dyDescent="0.25">
      <c r="A1402" s="1"/>
      <c r="B1402" s="1" t="s">
        <v>9010</v>
      </c>
      <c r="C1402" s="1" t="s">
        <v>9011</v>
      </c>
      <c r="D1402" s="22" t="str">
        <f>HYPERLINK("https://rhld.insurance.arkansas.gov/NPILookup?Npi=1285059261","1285059261")</f>
        <v>1285059261</v>
      </c>
      <c r="E1402" s="1" t="s">
        <v>15476</v>
      </c>
      <c r="F1402" s="2"/>
      <c r="G1402" s="2"/>
      <c r="H1402" s="2"/>
    </row>
    <row r="1403" spans="1:8" x14ac:dyDescent="0.25">
      <c r="A1403" s="1"/>
      <c r="B1403" s="1" t="s">
        <v>9010</v>
      </c>
      <c r="C1403" s="1" t="s">
        <v>9011</v>
      </c>
      <c r="D1403" s="22" t="str">
        <f>HYPERLINK("https://rhld.insurance.arkansas.gov/NPILookup?Npi=1285118661","1285118661")</f>
        <v>1285118661</v>
      </c>
      <c r="E1403" s="1" t="s">
        <v>15477</v>
      </c>
      <c r="F1403" s="2"/>
      <c r="G1403" s="2"/>
      <c r="H1403" s="2"/>
    </row>
    <row r="1404" spans="1:8" x14ac:dyDescent="0.25">
      <c r="A1404" s="1"/>
      <c r="B1404" s="1" t="s">
        <v>9010</v>
      </c>
      <c r="C1404" s="1" t="s">
        <v>9011</v>
      </c>
      <c r="D1404" s="22" t="str">
        <f>HYPERLINK("https://rhld.insurance.arkansas.gov/NPILookup?Npi=1285739581","1285739581")</f>
        <v>1285739581</v>
      </c>
      <c r="E1404" s="1" t="s">
        <v>9634</v>
      </c>
      <c r="F1404" s="2"/>
      <c r="G1404" s="2"/>
      <c r="H1404" s="2"/>
    </row>
    <row r="1405" spans="1:8" x14ac:dyDescent="0.25">
      <c r="A1405" s="1"/>
      <c r="B1405" s="1" t="s">
        <v>9010</v>
      </c>
      <c r="C1405" s="1" t="s">
        <v>9011</v>
      </c>
      <c r="D1405" s="22" t="str">
        <f>HYPERLINK("https://rhld.insurance.arkansas.gov/NPILookup?Npi=1295036986","1295036986")</f>
        <v>1295036986</v>
      </c>
      <c r="E1405" s="1" t="s">
        <v>9682</v>
      </c>
      <c r="F1405" s="2"/>
      <c r="G1405" s="2"/>
      <c r="H1405" s="2"/>
    </row>
    <row r="1406" spans="1:8" x14ac:dyDescent="0.25">
      <c r="A1406" s="1"/>
      <c r="B1406" s="1" t="s">
        <v>9010</v>
      </c>
      <c r="C1406" s="1" t="s">
        <v>9011</v>
      </c>
      <c r="D1406" s="22" t="str">
        <f>HYPERLINK("https://rhld.insurance.arkansas.gov/NPILookup?Npi=1295119956","1295119956")</f>
        <v>1295119956</v>
      </c>
      <c r="E1406" s="1" t="s">
        <v>15478</v>
      </c>
      <c r="F1406" s="2"/>
      <c r="G1406" s="2"/>
      <c r="H1406" s="2"/>
    </row>
    <row r="1407" spans="1:8" x14ac:dyDescent="0.25">
      <c r="A1407" s="1"/>
      <c r="B1407" s="1" t="s">
        <v>9010</v>
      </c>
      <c r="C1407" s="1" t="s">
        <v>9011</v>
      </c>
      <c r="D1407" s="22" t="str">
        <f>HYPERLINK("https://rhld.insurance.arkansas.gov/NPILookup?Npi=1295482974","1295482974")</f>
        <v>1295482974</v>
      </c>
      <c r="E1407" s="1" t="s">
        <v>9017</v>
      </c>
      <c r="F1407" s="2"/>
      <c r="G1407" s="2"/>
      <c r="H1407" s="2"/>
    </row>
    <row r="1408" spans="1:8" x14ac:dyDescent="0.25">
      <c r="A1408" s="1"/>
      <c r="B1408" s="1" t="s">
        <v>9010</v>
      </c>
      <c r="C1408" s="1" t="s">
        <v>9011</v>
      </c>
      <c r="D1408" s="22" t="str">
        <f>HYPERLINK("https://rhld.insurance.arkansas.gov/NPILookup?Npi=1295817260","1295817260")</f>
        <v>1295817260</v>
      </c>
      <c r="E1408" s="1" t="s">
        <v>654</v>
      </c>
      <c r="F1408" s="2"/>
      <c r="G1408" s="2"/>
      <c r="H1408" s="2"/>
    </row>
    <row r="1409" spans="1:8" x14ac:dyDescent="0.25">
      <c r="A1409" s="1"/>
      <c r="B1409" s="1" t="s">
        <v>9010</v>
      </c>
      <c r="C1409" s="1" t="s">
        <v>9011</v>
      </c>
      <c r="D1409" s="22" t="str">
        <f>HYPERLINK("https://rhld.insurance.arkansas.gov/NPILookup?Npi=1295862647","1295862647")</f>
        <v>1295862647</v>
      </c>
      <c r="E1409" s="1" t="s">
        <v>1278</v>
      </c>
      <c r="F1409" s="2"/>
      <c r="G1409" s="2"/>
      <c r="H1409" s="2"/>
    </row>
    <row r="1410" spans="1:8" x14ac:dyDescent="0.25">
      <c r="A1410" s="1"/>
      <c r="B1410" s="1" t="s">
        <v>9010</v>
      </c>
      <c r="C1410" s="1" t="s">
        <v>9011</v>
      </c>
      <c r="D1410" s="22" t="str">
        <f>HYPERLINK("https://rhld.insurance.arkansas.gov/NPILookup?Npi=1295914802","1295914802")</f>
        <v>1295914802</v>
      </c>
      <c r="E1410" s="1" t="s">
        <v>15479</v>
      </c>
      <c r="F1410" s="2"/>
      <c r="G1410" s="2"/>
      <c r="H1410" s="2"/>
    </row>
    <row r="1411" spans="1:8" x14ac:dyDescent="0.25">
      <c r="A1411" s="1"/>
      <c r="B1411" s="1" t="s">
        <v>9010</v>
      </c>
      <c r="C1411" s="1" t="s">
        <v>9011</v>
      </c>
      <c r="D1411" s="22" t="str">
        <f>HYPERLINK("https://rhld.insurance.arkansas.gov/NPILookup?Npi=1295980316","1295980316")</f>
        <v>1295980316</v>
      </c>
      <c r="E1411" s="1" t="s">
        <v>1439</v>
      </c>
      <c r="F1411" s="2"/>
      <c r="G1411" s="2"/>
      <c r="H1411" s="2"/>
    </row>
    <row r="1412" spans="1:8" x14ac:dyDescent="0.25">
      <c r="A1412" s="1"/>
      <c r="B1412" s="1" t="s">
        <v>9010</v>
      </c>
      <c r="C1412" s="1" t="s">
        <v>9011</v>
      </c>
      <c r="D1412" s="22" t="str">
        <f>HYPERLINK("https://rhld.insurance.arkansas.gov/NPILookup?Npi=1306394077","1306394077")</f>
        <v>1306394077</v>
      </c>
      <c r="E1412" s="1" t="s">
        <v>9683</v>
      </c>
      <c r="F1412" s="2"/>
      <c r="G1412" s="2"/>
      <c r="H1412" s="2"/>
    </row>
    <row r="1413" spans="1:8" x14ac:dyDescent="0.25">
      <c r="A1413" s="1"/>
      <c r="B1413" s="1" t="s">
        <v>9010</v>
      </c>
      <c r="C1413" s="1" t="s">
        <v>9011</v>
      </c>
      <c r="D1413" s="22" t="str">
        <f>HYPERLINK("https://rhld.insurance.arkansas.gov/NPILookup?Npi=1306575881","1306575881")</f>
        <v>1306575881</v>
      </c>
      <c r="E1413" s="1" t="s">
        <v>2543</v>
      </c>
      <c r="F1413" s="2"/>
      <c r="G1413" s="2"/>
      <c r="H1413" s="2"/>
    </row>
    <row r="1414" spans="1:8" x14ac:dyDescent="0.25">
      <c r="A1414" s="1"/>
      <c r="B1414" s="1" t="s">
        <v>9010</v>
      </c>
      <c r="C1414" s="1" t="s">
        <v>9011</v>
      </c>
      <c r="D1414" s="22" t="str">
        <f>HYPERLINK("https://rhld.insurance.arkansas.gov/NPILookup?Npi=1306847108","1306847108")</f>
        <v>1306847108</v>
      </c>
      <c r="E1414" s="1" t="s">
        <v>1440</v>
      </c>
      <c r="F1414" s="2"/>
      <c r="G1414" s="2"/>
      <c r="H1414" s="2"/>
    </row>
    <row r="1415" spans="1:8" x14ac:dyDescent="0.25">
      <c r="A1415" s="1"/>
      <c r="B1415" s="1" t="s">
        <v>9010</v>
      </c>
      <c r="C1415" s="1" t="s">
        <v>9011</v>
      </c>
      <c r="D1415" s="22" t="str">
        <f>HYPERLINK("https://rhld.insurance.arkansas.gov/NPILookup?Npi=1306921887","1306921887")</f>
        <v>1306921887</v>
      </c>
      <c r="E1415" s="1" t="s">
        <v>2292</v>
      </c>
      <c r="F1415" s="2"/>
      <c r="G1415" s="2"/>
      <c r="H1415" s="2"/>
    </row>
    <row r="1416" spans="1:8" x14ac:dyDescent="0.25">
      <c r="A1416" s="1"/>
      <c r="B1416" s="1" t="s">
        <v>9010</v>
      </c>
      <c r="C1416" s="1" t="s">
        <v>9011</v>
      </c>
      <c r="D1416" s="22" t="str">
        <f>HYPERLINK("https://rhld.insurance.arkansas.gov/NPILookup?Npi=1316694003","1316694003")</f>
        <v>1316694003</v>
      </c>
      <c r="E1416" s="1" t="s">
        <v>15480</v>
      </c>
      <c r="F1416" s="2"/>
      <c r="G1416" s="2"/>
      <c r="H1416" s="2"/>
    </row>
    <row r="1417" spans="1:8" x14ac:dyDescent="0.25">
      <c r="A1417" s="1"/>
      <c r="B1417" s="1" t="s">
        <v>9010</v>
      </c>
      <c r="C1417" s="1" t="s">
        <v>9011</v>
      </c>
      <c r="D1417" s="22" t="str">
        <f>HYPERLINK("https://rhld.insurance.arkansas.gov/NPILookup?Npi=1316715014","1316715014")</f>
        <v>1316715014</v>
      </c>
      <c r="E1417" s="1" t="s">
        <v>9684</v>
      </c>
      <c r="F1417" s="2"/>
      <c r="G1417" s="2"/>
      <c r="H1417" s="2"/>
    </row>
    <row r="1418" spans="1:8" x14ac:dyDescent="0.25">
      <c r="A1418" s="1"/>
      <c r="B1418" s="1" t="s">
        <v>9010</v>
      </c>
      <c r="C1418" s="1" t="s">
        <v>9011</v>
      </c>
      <c r="D1418" s="22" t="str">
        <f>HYPERLINK("https://rhld.insurance.arkansas.gov/NPILookup?Npi=1316901937","1316901937")</f>
        <v>1316901937</v>
      </c>
      <c r="E1418" s="1" t="s">
        <v>15152</v>
      </c>
      <c r="F1418" s="2"/>
      <c r="G1418" s="2"/>
      <c r="H1418" s="2"/>
    </row>
    <row r="1419" spans="1:8" x14ac:dyDescent="0.25">
      <c r="A1419" s="1"/>
      <c r="B1419" s="1" t="s">
        <v>9010</v>
      </c>
      <c r="C1419" s="1" t="s">
        <v>9011</v>
      </c>
      <c r="D1419" s="22" t="str">
        <f>HYPERLINK("https://rhld.insurance.arkansas.gov/NPILookup?Npi=1336112986","1336112986")</f>
        <v>1336112986</v>
      </c>
      <c r="E1419" s="1" t="s">
        <v>649</v>
      </c>
      <c r="F1419" s="2"/>
      <c r="G1419" s="2"/>
      <c r="H1419" s="2"/>
    </row>
    <row r="1420" spans="1:8" x14ac:dyDescent="0.25">
      <c r="A1420" s="1"/>
      <c r="B1420" s="1" t="s">
        <v>9010</v>
      </c>
      <c r="C1420" s="1" t="s">
        <v>9011</v>
      </c>
      <c r="D1420" s="22" t="str">
        <f>HYPERLINK("https://rhld.insurance.arkansas.gov/NPILookup?Npi=1336310325","1336310325")</f>
        <v>1336310325</v>
      </c>
      <c r="E1420" s="1" t="s">
        <v>15481</v>
      </c>
      <c r="F1420" s="2"/>
      <c r="G1420" s="2"/>
      <c r="H1420" s="2"/>
    </row>
    <row r="1421" spans="1:8" x14ac:dyDescent="0.25">
      <c r="A1421" s="1"/>
      <c r="B1421" s="1" t="s">
        <v>9010</v>
      </c>
      <c r="C1421" s="1" t="s">
        <v>9011</v>
      </c>
      <c r="D1421" s="22" t="str">
        <f>HYPERLINK("https://rhld.insurance.arkansas.gov/NPILookup?Npi=1346249372","1346249372")</f>
        <v>1346249372</v>
      </c>
      <c r="E1421" s="1" t="s">
        <v>15482</v>
      </c>
      <c r="F1421" s="2"/>
      <c r="G1421" s="2"/>
      <c r="H1421" s="2"/>
    </row>
    <row r="1422" spans="1:8" x14ac:dyDescent="0.25">
      <c r="A1422" s="1"/>
      <c r="B1422" s="1" t="s">
        <v>9010</v>
      </c>
      <c r="C1422" s="1" t="s">
        <v>9011</v>
      </c>
      <c r="D1422" s="22" t="str">
        <f>HYPERLINK("https://rhld.insurance.arkansas.gov/NPILookup?Npi=1346630589","1346630589")</f>
        <v>1346630589</v>
      </c>
      <c r="E1422" s="1" t="s">
        <v>659</v>
      </c>
      <c r="F1422" s="2"/>
      <c r="G1422" s="2"/>
      <c r="H1422" s="2"/>
    </row>
    <row r="1423" spans="1:8" x14ac:dyDescent="0.25">
      <c r="A1423" s="1"/>
      <c r="B1423" s="1" t="s">
        <v>9010</v>
      </c>
      <c r="C1423" s="1" t="s">
        <v>9011</v>
      </c>
      <c r="D1423" s="22" t="str">
        <f>HYPERLINK("https://rhld.insurance.arkansas.gov/NPILookup?Npi=1356330179","1356330179")</f>
        <v>1356330179</v>
      </c>
      <c r="E1423" s="1" t="s">
        <v>15483</v>
      </c>
      <c r="F1423" s="2"/>
      <c r="G1423" s="2"/>
      <c r="H1423" s="2"/>
    </row>
    <row r="1424" spans="1:8" x14ac:dyDescent="0.25">
      <c r="A1424" s="1"/>
      <c r="B1424" s="1" t="s">
        <v>9010</v>
      </c>
      <c r="C1424" s="1" t="s">
        <v>9011</v>
      </c>
      <c r="D1424" s="22" t="str">
        <f>HYPERLINK("https://rhld.insurance.arkansas.gov/NPILookup?Npi=1356715163","1356715163")</f>
        <v>1356715163</v>
      </c>
      <c r="E1424" s="1" t="s">
        <v>9685</v>
      </c>
      <c r="F1424" s="2"/>
      <c r="G1424" s="2"/>
      <c r="H1424" s="2"/>
    </row>
    <row r="1425" spans="1:8" x14ac:dyDescent="0.25">
      <c r="A1425" s="1"/>
      <c r="B1425" s="1" t="s">
        <v>9010</v>
      </c>
      <c r="C1425" s="1" t="s">
        <v>9011</v>
      </c>
      <c r="D1425" s="22" t="str">
        <f>HYPERLINK("https://rhld.insurance.arkansas.gov/NPILookup?Npi=1366089427","1366089427")</f>
        <v>1366089427</v>
      </c>
      <c r="E1425" s="1" t="s">
        <v>9686</v>
      </c>
      <c r="F1425" s="2"/>
      <c r="G1425" s="2"/>
      <c r="H1425" s="2"/>
    </row>
    <row r="1426" spans="1:8" x14ac:dyDescent="0.25">
      <c r="A1426" s="1"/>
      <c r="B1426" s="1" t="s">
        <v>9010</v>
      </c>
      <c r="C1426" s="1" t="s">
        <v>9011</v>
      </c>
      <c r="D1426" s="22" t="str">
        <f>HYPERLINK("https://rhld.insurance.arkansas.gov/NPILookup?Npi=1376098616","1376098616")</f>
        <v>1376098616</v>
      </c>
      <c r="E1426" s="1" t="s">
        <v>9018</v>
      </c>
      <c r="F1426" s="2"/>
      <c r="G1426" s="2"/>
      <c r="H1426" s="2"/>
    </row>
    <row r="1427" spans="1:8" x14ac:dyDescent="0.25">
      <c r="A1427" s="1"/>
      <c r="B1427" s="1" t="s">
        <v>9010</v>
      </c>
      <c r="C1427" s="1" t="s">
        <v>9011</v>
      </c>
      <c r="D1427" s="22" t="str">
        <f>HYPERLINK("https://rhld.insurance.arkansas.gov/NPILookup?Npi=1376917724","1376917724")</f>
        <v>1376917724</v>
      </c>
      <c r="E1427" s="1" t="s">
        <v>797</v>
      </c>
      <c r="F1427" s="2"/>
      <c r="G1427" s="2"/>
      <c r="H1427" s="2"/>
    </row>
    <row r="1428" spans="1:8" x14ac:dyDescent="0.25">
      <c r="A1428" s="1"/>
      <c r="B1428" s="1" t="s">
        <v>9010</v>
      </c>
      <c r="C1428" s="1" t="s">
        <v>9011</v>
      </c>
      <c r="D1428" s="22" t="str">
        <f>HYPERLINK("https://rhld.insurance.arkansas.gov/NPILookup?Npi=1376927004","1376927004")</f>
        <v>1376927004</v>
      </c>
      <c r="E1428" s="1" t="s">
        <v>15484</v>
      </c>
      <c r="F1428" s="2"/>
      <c r="G1428" s="2"/>
      <c r="H1428" s="2"/>
    </row>
    <row r="1429" spans="1:8" x14ac:dyDescent="0.25">
      <c r="A1429" s="1"/>
      <c r="B1429" s="1" t="s">
        <v>9010</v>
      </c>
      <c r="C1429" s="1" t="s">
        <v>9011</v>
      </c>
      <c r="D1429" s="22" t="str">
        <f>HYPERLINK("https://rhld.insurance.arkansas.gov/NPILookup?Npi=1386127488","1386127488")</f>
        <v>1386127488</v>
      </c>
      <c r="E1429" s="1" t="s">
        <v>15485</v>
      </c>
      <c r="F1429" s="2"/>
      <c r="G1429" s="2"/>
      <c r="H1429" s="2"/>
    </row>
    <row r="1430" spans="1:8" x14ac:dyDescent="0.25">
      <c r="A1430" s="1"/>
      <c r="B1430" s="1" t="s">
        <v>9010</v>
      </c>
      <c r="C1430" s="1" t="s">
        <v>9011</v>
      </c>
      <c r="D1430" s="22" t="str">
        <f>HYPERLINK("https://rhld.insurance.arkansas.gov/NPILookup?Npi=1386633998","1386633998")</f>
        <v>1386633998</v>
      </c>
      <c r="E1430" s="1" t="s">
        <v>15486</v>
      </c>
      <c r="F1430" s="2"/>
      <c r="G1430" s="2"/>
      <c r="H1430" s="2"/>
    </row>
    <row r="1431" spans="1:8" x14ac:dyDescent="0.25">
      <c r="A1431" s="1"/>
      <c r="B1431" s="1" t="s">
        <v>9010</v>
      </c>
      <c r="C1431" s="1" t="s">
        <v>9011</v>
      </c>
      <c r="D1431" s="22" t="str">
        <f>HYPERLINK("https://rhld.insurance.arkansas.gov/NPILookup?Npi=1386678696","1386678696")</f>
        <v>1386678696</v>
      </c>
      <c r="E1431" s="1" t="s">
        <v>2236</v>
      </c>
      <c r="F1431" s="2"/>
      <c r="G1431" s="2"/>
      <c r="H1431" s="2"/>
    </row>
    <row r="1432" spans="1:8" x14ac:dyDescent="0.25">
      <c r="A1432" s="1"/>
      <c r="B1432" s="1" t="s">
        <v>9010</v>
      </c>
      <c r="C1432" s="1" t="s">
        <v>9011</v>
      </c>
      <c r="D1432" s="22" t="str">
        <f>HYPERLINK("https://rhld.insurance.arkansas.gov/NPILookup?Npi=1386699353","1386699353")</f>
        <v>1386699353</v>
      </c>
      <c r="E1432" s="1" t="s">
        <v>9628</v>
      </c>
      <c r="F1432" s="2"/>
      <c r="G1432" s="2"/>
      <c r="H1432" s="2"/>
    </row>
    <row r="1433" spans="1:8" x14ac:dyDescent="0.25">
      <c r="A1433" s="1"/>
      <c r="B1433" s="1" t="s">
        <v>9010</v>
      </c>
      <c r="C1433" s="1" t="s">
        <v>9011</v>
      </c>
      <c r="D1433" s="22" t="str">
        <f>HYPERLINK("https://rhld.insurance.arkansas.gov/NPILookup?Npi=1386718633","1386718633")</f>
        <v>1386718633</v>
      </c>
      <c r="E1433" s="1" t="s">
        <v>3466</v>
      </c>
      <c r="F1433" s="2"/>
      <c r="G1433" s="2"/>
      <c r="H1433" s="2"/>
    </row>
    <row r="1434" spans="1:8" x14ac:dyDescent="0.25">
      <c r="A1434" s="1"/>
      <c r="B1434" s="1" t="s">
        <v>9010</v>
      </c>
      <c r="C1434" s="1" t="s">
        <v>9011</v>
      </c>
      <c r="D1434" s="22" t="str">
        <f>HYPERLINK("https://rhld.insurance.arkansas.gov/NPILookup?Npi=1386819290","1386819290")</f>
        <v>1386819290</v>
      </c>
      <c r="E1434" s="1" t="s">
        <v>1441</v>
      </c>
      <c r="F1434" s="2"/>
      <c r="G1434" s="2"/>
      <c r="H1434" s="2"/>
    </row>
    <row r="1435" spans="1:8" x14ac:dyDescent="0.25">
      <c r="A1435" s="1"/>
      <c r="B1435" s="1" t="s">
        <v>9010</v>
      </c>
      <c r="C1435" s="1" t="s">
        <v>9011</v>
      </c>
      <c r="D1435" s="22" t="str">
        <f>HYPERLINK("https://rhld.insurance.arkansas.gov/NPILookup?Npi=1386821650","1386821650")</f>
        <v>1386821650</v>
      </c>
      <c r="E1435" s="1" t="s">
        <v>15487</v>
      </c>
      <c r="F1435" s="2"/>
      <c r="G1435" s="2"/>
      <c r="H1435" s="2"/>
    </row>
    <row r="1436" spans="1:8" x14ac:dyDescent="0.25">
      <c r="A1436" s="1"/>
      <c r="B1436" s="1" t="s">
        <v>9010</v>
      </c>
      <c r="C1436" s="1" t="s">
        <v>9011</v>
      </c>
      <c r="D1436" s="22" t="str">
        <f>HYPERLINK("https://rhld.insurance.arkansas.gov/NPILookup?Npi=1386926707","1386926707")</f>
        <v>1386926707</v>
      </c>
      <c r="E1436" s="1" t="s">
        <v>15488</v>
      </c>
      <c r="F1436" s="2"/>
      <c r="G1436" s="2"/>
      <c r="H1436" s="2"/>
    </row>
    <row r="1437" spans="1:8" x14ac:dyDescent="0.25">
      <c r="A1437" s="1"/>
      <c r="B1437" s="1" t="s">
        <v>9010</v>
      </c>
      <c r="C1437" s="1" t="s">
        <v>9011</v>
      </c>
      <c r="D1437" s="22" t="str">
        <f>HYPERLINK("https://rhld.insurance.arkansas.gov/NPILookup?Npi=1396129060","1396129060")</f>
        <v>1396129060</v>
      </c>
      <c r="E1437" s="1" t="s">
        <v>9687</v>
      </c>
      <c r="F1437" s="2"/>
      <c r="G1437" s="2"/>
      <c r="H1437" s="2"/>
    </row>
    <row r="1438" spans="1:8" x14ac:dyDescent="0.25">
      <c r="A1438" s="1"/>
      <c r="B1438" s="1" t="s">
        <v>9010</v>
      </c>
      <c r="C1438" s="1" t="s">
        <v>9011</v>
      </c>
      <c r="D1438" s="22" t="str">
        <f>HYPERLINK("https://rhld.insurance.arkansas.gov/NPILookup?Npi=1396307013","1396307013")</f>
        <v>1396307013</v>
      </c>
      <c r="E1438" s="1" t="s">
        <v>15489</v>
      </c>
      <c r="F1438" s="2"/>
      <c r="G1438" s="2"/>
      <c r="H1438" s="2"/>
    </row>
    <row r="1439" spans="1:8" x14ac:dyDescent="0.25">
      <c r="A1439" s="1"/>
      <c r="B1439" s="1" t="s">
        <v>9010</v>
      </c>
      <c r="C1439" s="1" t="s">
        <v>9011</v>
      </c>
      <c r="D1439" s="22" t="str">
        <f>HYPERLINK("https://rhld.insurance.arkansas.gov/NPILookup?Npi=1396320255","1396320255")</f>
        <v>1396320255</v>
      </c>
      <c r="E1439" s="1" t="s">
        <v>9019</v>
      </c>
      <c r="F1439" s="2"/>
      <c r="G1439" s="2"/>
      <c r="H1439" s="2"/>
    </row>
    <row r="1440" spans="1:8" x14ac:dyDescent="0.25">
      <c r="A1440" s="1"/>
      <c r="B1440" s="1" t="s">
        <v>9010</v>
      </c>
      <c r="C1440" s="1" t="s">
        <v>9011</v>
      </c>
      <c r="D1440" s="22" t="str">
        <f>HYPERLINK("https://rhld.insurance.arkansas.gov/NPILookup?Npi=1396734000","1396734000")</f>
        <v>1396734000</v>
      </c>
      <c r="E1440" s="1" t="s">
        <v>2237</v>
      </c>
      <c r="F1440" s="2"/>
      <c r="G1440" s="2"/>
      <c r="H1440" s="2"/>
    </row>
    <row r="1441" spans="1:8" x14ac:dyDescent="0.25">
      <c r="A1441" s="1"/>
      <c r="B1441" s="1" t="s">
        <v>9010</v>
      </c>
      <c r="C1441" s="1" t="s">
        <v>9011</v>
      </c>
      <c r="D1441" s="22" t="str">
        <f>HYPERLINK("https://rhld.insurance.arkansas.gov/NPILookup?Npi=1396767158","1396767158")</f>
        <v>1396767158</v>
      </c>
      <c r="E1441" s="1" t="s">
        <v>15305</v>
      </c>
      <c r="F1441" s="2"/>
      <c r="G1441" s="2"/>
      <c r="H1441" s="2"/>
    </row>
    <row r="1442" spans="1:8" x14ac:dyDescent="0.25">
      <c r="A1442" s="1"/>
      <c r="B1442" s="1" t="s">
        <v>9010</v>
      </c>
      <c r="C1442" s="1" t="s">
        <v>9011</v>
      </c>
      <c r="D1442" s="22" t="str">
        <f>HYPERLINK("https://rhld.insurance.arkansas.gov/NPILookup?Npi=1396841094","1396841094")</f>
        <v>1396841094</v>
      </c>
      <c r="E1442" s="1" t="s">
        <v>9688</v>
      </c>
      <c r="F1442" s="2"/>
      <c r="G1442" s="2"/>
      <c r="H1442" s="2"/>
    </row>
    <row r="1443" spans="1:8" x14ac:dyDescent="0.25">
      <c r="A1443" s="1"/>
      <c r="B1443" s="1" t="s">
        <v>9010</v>
      </c>
      <c r="C1443" s="1" t="s">
        <v>9011</v>
      </c>
      <c r="D1443" s="22" t="str">
        <f>HYPERLINK("https://rhld.insurance.arkansas.gov/NPILookup?Npi=1407130750","1407130750")</f>
        <v>1407130750</v>
      </c>
      <c r="E1443" s="1" t="s">
        <v>9020</v>
      </c>
      <c r="F1443" s="2"/>
      <c r="G1443" s="2"/>
      <c r="H1443" s="2"/>
    </row>
    <row r="1444" spans="1:8" x14ac:dyDescent="0.25">
      <c r="A1444" s="1"/>
      <c r="B1444" s="1" t="s">
        <v>9010</v>
      </c>
      <c r="C1444" s="1" t="s">
        <v>9011</v>
      </c>
      <c r="D1444" s="22" t="str">
        <f>HYPERLINK("https://rhld.insurance.arkansas.gov/NPILookup?Npi=1417102468","1417102468")</f>
        <v>1417102468</v>
      </c>
      <c r="E1444" s="1" t="s">
        <v>1267</v>
      </c>
      <c r="F1444" s="2"/>
      <c r="G1444" s="2"/>
      <c r="H1444" s="2"/>
    </row>
    <row r="1445" spans="1:8" x14ac:dyDescent="0.25">
      <c r="A1445" s="1"/>
      <c r="B1445" s="1" t="s">
        <v>9010</v>
      </c>
      <c r="C1445" s="1" t="s">
        <v>9011</v>
      </c>
      <c r="D1445" s="22" t="str">
        <f>HYPERLINK("https://rhld.insurance.arkansas.gov/NPILookup?Npi=1417321944","1417321944")</f>
        <v>1417321944</v>
      </c>
      <c r="E1445" s="1" t="s">
        <v>1608</v>
      </c>
      <c r="F1445" s="2"/>
      <c r="G1445" s="2"/>
      <c r="H1445" s="2"/>
    </row>
    <row r="1446" spans="1:8" x14ac:dyDescent="0.25">
      <c r="A1446" s="1"/>
      <c r="B1446" s="1" t="s">
        <v>9010</v>
      </c>
      <c r="C1446" s="1" t="s">
        <v>9011</v>
      </c>
      <c r="D1446" s="22" t="str">
        <f>HYPERLINK("https://rhld.insurance.arkansas.gov/NPILookup?Npi=1427082767","1427082767")</f>
        <v>1427082767</v>
      </c>
      <c r="E1446" s="1" t="s">
        <v>15490</v>
      </c>
      <c r="F1446" s="2"/>
      <c r="G1446" s="2"/>
      <c r="H1446" s="2"/>
    </row>
    <row r="1447" spans="1:8" x14ac:dyDescent="0.25">
      <c r="A1447" s="1"/>
      <c r="B1447" s="1" t="s">
        <v>9010</v>
      </c>
      <c r="C1447" s="1" t="s">
        <v>9011</v>
      </c>
      <c r="D1447" s="22" t="str">
        <f>HYPERLINK("https://rhld.insurance.arkansas.gov/NPILookup?Npi=1427633353","1427633353")</f>
        <v>1427633353</v>
      </c>
      <c r="E1447" s="1" t="s">
        <v>15491</v>
      </c>
      <c r="F1447" s="2"/>
      <c r="G1447" s="2"/>
      <c r="H1447" s="2"/>
    </row>
    <row r="1448" spans="1:8" x14ac:dyDescent="0.25">
      <c r="A1448" s="1"/>
      <c r="B1448" s="1" t="s">
        <v>9010</v>
      </c>
      <c r="C1448" s="1" t="s">
        <v>9011</v>
      </c>
      <c r="D1448" s="22" t="str">
        <f>HYPERLINK("https://rhld.insurance.arkansas.gov/NPILookup?Npi=1437533155","1437533155")</f>
        <v>1437533155</v>
      </c>
      <c r="E1448" s="1" t="s">
        <v>9689</v>
      </c>
      <c r="F1448" s="2"/>
      <c r="G1448" s="2"/>
      <c r="H1448" s="2"/>
    </row>
    <row r="1449" spans="1:8" x14ac:dyDescent="0.25">
      <c r="A1449" s="1"/>
      <c r="B1449" s="1" t="s">
        <v>9010</v>
      </c>
      <c r="C1449" s="1" t="s">
        <v>9011</v>
      </c>
      <c r="D1449" s="22" t="str">
        <f>HYPERLINK("https://rhld.insurance.arkansas.gov/NPILookup?Npi=1437593811","1437593811")</f>
        <v>1437593811</v>
      </c>
      <c r="E1449" s="1" t="s">
        <v>15492</v>
      </c>
      <c r="F1449" s="2"/>
      <c r="G1449" s="2"/>
      <c r="H1449" s="2"/>
    </row>
    <row r="1450" spans="1:8" x14ac:dyDescent="0.25">
      <c r="A1450" s="1"/>
      <c r="B1450" s="1" t="s">
        <v>9010</v>
      </c>
      <c r="C1450" s="1" t="s">
        <v>9011</v>
      </c>
      <c r="D1450" s="22" t="str">
        <f>HYPERLINK("https://rhld.insurance.arkansas.gov/NPILookup?Npi=1437811916","1437811916")</f>
        <v>1437811916</v>
      </c>
      <c r="E1450" s="1" t="s">
        <v>9021</v>
      </c>
      <c r="F1450" s="2"/>
      <c r="G1450" s="2"/>
      <c r="H1450" s="2"/>
    </row>
    <row r="1451" spans="1:8" x14ac:dyDescent="0.25">
      <c r="A1451" s="1"/>
      <c r="B1451" s="1" t="s">
        <v>9010</v>
      </c>
      <c r="C1451" s="1" t="s">
        <v>9011</v>
      </c>
      <c r="D1451" s="22" t="str">
        <f>HYPERLINK("https://rhld.insurance.arkansas.gov/NPILookup?Npi=1447432612","1447432612")</f>
        <v>1447432612</v>
      </c>
      <c r="E1451" s="1" t="s">
        <v>15493</v>
      </c>
      <c r="F1451" s="2"/>
      <c r="G1451" s="2"/>
      <c r="H1451" s="2"/>
    </row>
    <row r="1452" spans="1:8" x14ac:dyDescent="0.25">
      <c r="A1452" s="1"/>
      <c r="B1452" s="1" t="s">
        <v>9010</v>
      </c>
      <c r="C1452" s="1" t="s">
        <v>9011</v>
      </c>
      <c r="D1452" s="22" t="str">
        <f>HYPERLINK("https://rhld.insurance.arkansas.gov/NPILookup?Npi=1447530464","1447530464")</f>
        <v>1447530464</v>
      </c>
      <c r="E1452" s="1" t="s">
        <v>9022</v>
      </c>
      <c r="F1452" s="2"/>
      <c r="G1452" s="2"/>
      <c r="H1452" s="2"/>
    </row>
    <row r="1453" spans="1:8" x14ac:dyDescent="0.25">
      <c r="A1453" s="1"/>
      <c r="B1453" s="1" t="s">
        <v>9010</v>
      </c>
      <c r="C1453" s="1" t="s">
        <v>9011</v>
      </c>
      <c r="D1453" s="22" t="str">
        <f>HYPERLINK("https://rhld.insurance.arkansas.gov/NPILookup?Npi=1447731401","1447731401")</f>
        <v>1447731401</v>
      </c>
      <c r="E1453" s="1" t="s">
        <v>1442</v>
      </c>
      <c r="F1453" s="2"/>
      <c r="G1453" s="2"/>
      <c r="H1453" s="2"/>
    </row>
    <row r="1454" spans="1:8" x14ac:dyDescent="0.25">
      <c r="A1454" s="1"/>
      <c r="B1454" s="1" t="s">
        <v>9010</v>
      </c>
      <c r="C1454" s="1" t="s">
        <v>9011</v>
      </c>
      <c r="D1454" s="22" t="str">
        <f>HYPERLINK("https://rhld.insurance.arkansas.gov/NPILookup?Npi=1447733480","1447733480")</f>
        <v>1447733480</v>
      </c>
      <c r="E1454" s="1" t="s">
        <v>15494</v>
      </c>
      <c r="F1454" s="2"/>
      <c r="G1454" s="2"/>
      <c r="H1454" s="2"/>
    </row>
    <row r="1455" spans="1:8" x14ac:dyDescent="0.25">
      <c r="A1455" s="1"/>
      <c r="B1455" s="1" t="s">
        <v>9010</v>
      </c>
      <c r="C1455" s="1" t="s">
        <v>9011</v>
      </c>
      <c r="D1455" s="22" t="str">
        <f>HYPERLINK("https://rhld.insurance.arkansas.gov/NPILookup?Npi=1457669640","1457669640")</f>
        <v>1457669640</v>
      </c>
      <c r="E1455" s="1" t="s">
        <v>15495</v>
      </c>
      <c r="F1455" s="2"/>
      <c r="G1455" s="2"/>
      <c r="H1455" s="2"/>
    </row>
    <row r="1456" spans="1:8" x14ac:dyDescent="0.25">
      <c r="A1456" s="1"/>
      <c r="B1456" s="1" t="s">
        <v>9010</v>
      </c>
      <c r="C1456" s="1" t="s">
        <v>9011</v>
      </c>
      <c r="D1456" s="22" t="str">
        <f>HYPERLINK("https://rhld.insurance.arkansas.gov/NPILookup?Npi=1457725293","1457725293")</f>
        <v>1457725293</v>
      </c>
      <c r="E1456" s="1" t="s">
        <v>15496</v>
      </c>
      <c r="F1456" s="2"/>
      <c r="G1456" s="2"/>
      <c r="H1456" s="2"/>
    </row>
    <row r="1457" spans="1:8" x14ac:dyDescent="0.25">
      <c r="A1457" s="1"/>
      <c r="B1457" s="1" t="s">
        <v>9010</v>
      </c>
      <c r="C1457" s="1" t="s">
        <v>9011</v>
      </c>
      <c r="D1457" s="22" t="str">
        <f>HYPERLINK("https://rhld.insurance.arkansas.gov/NPILookup?Npi=1467099523","1467099523")</f>
        <v>1467099523</v>
      </c>
      <c r="E1457" s="1" t="s">
        <v>2544</v>
      </c>
      <c r="F1457" s="2"/>
      <c r="G1457" s="2"/>
      <c r="H1457" s="2"/>
    </row>
    <row r="1458" spans="1:8" x14ac:dyDescent="0.25">
      <c r="A1458" s="1"/>
      <c r="B1458" s="1" t="s">
        <v>9010</v>
      </c>
      <c r="C1458" s="1" t="s">
        <v>9011</v>
      </c>
      <c r="D1458" s="22" t="str">
        <f>HYPERLINK("https://rhld.insurance.arkansas.gov/NPILookup?Npi=1467501775","1467501775")</f>
        <v>1467501775</v>
      </c>
      <c r="E1458" s="1" t="s">
        <v>9023</v>
      </c>
      <c r="F1458" s="2"/>
      <c r="G1458" s="2"/>
      <c r="H1458" s="2"/>
    </row>
    <row r="1459" spans="1:8" x14ac:dyDescent="0.25">
      <c r="A1459" s="1"/>
      <c r="B1459" s="1" t="s">
        <v>9010</v>
      </c>
      <c r="C1459" s="1" t="s">
        <v>9011</v>
      </c>
      <c r="D1459" s="22" t="str">
        <f>HYPERLINK("https://rhld.insurance.arkansas.gov/NPILookup?Npi=1467731174","1467731174")</f>
        <v>1467731174</v>
      </c>
      <c r="E1459" s="1" t="s">
        <v>9690</v>
      </c>
      <c r="F1459" s="2"/>
      <c r="G1459" s="2"/>
      <c r="H1459" s="2"/>
    </row>
    <row r="1460" spans="1:8" x14ac:dyDescent="0.25">
      <c r="A1460" s="1"/>
      <c r="B1460" s="1" t="s">
        <v>9010</v>
      </c>
      <c r="C1460" s="1" t="s">
        <v>9011</v>
      </c>
      <c r="D1460" s="22" t="str">
        <f>HYPERLINK("https://rhld.insurance.arkansas.gov/NPILookup?Npi=1467934364","1467934364")</f>
        <v>1467934364</v>
      </c>
      <c r="E1460" s="1" t="s">
        <v>15497</v>
      </c>
      <c r="F1460" s="2"/>
      <c r="G1460" s="2"/>
      <c r="H1460" s="2"/>
    </row>
    <row r="1461" spans="1:8" x14ac:dyDescent="0.25">
      <c r="A1461" s="1"/>
      <c r="B1461" s="1" t="s">
        <v>9010</v>
      </c>
      <c r="C1461" s="1" t="s">
        <v>9011</v>
      </c>
      <c r="D1461" s="22" t="str">
        <f>HYPERLINK("https://rhld.insurance.arkansas.gov/NPILookup?Npi=1477008779","1477008779")</f>
        <v>1477008779</v>
      </c>
      <c r="E1461" s="1" t="s">
        <v>15498</v>
      </c>
      <c r="F1461" s="2"/>
      <c r="G1461" s="2"/>
      <c r="H1461" s="2"/>
    </row>
    <row r="1462" spans="1:8" x14ac:dyDescent="0.25">
      <c r="A1462" s="1"/>
      <c r="B1462" s="1" t="s">
        <v>9010</v>
      </c>
      <c r="C1462" s="1" t="s">
        <v>9011</v>
      </c>
      <c r="D1462" s="22" t="str">
        <f>HYPERLINK("https://rhld.insurance.arkansas.gov/NPILookup?Npi=1477201937","1477201937")</f>
        <v>1477201937</v>
      </c>
      <c r="E1462" s="1" t="s">
        <v>5337</v>
      </c>
      <c r="F1462" s="2"/>
      <c r="G1462" s="2"/>
      <c r="H1462" s="2"/>
    </row>
    <row r="1463" spans="1:8" x14ac:dyDescent="0.25">
      <c r="A1463" s="1"/>
      <c r="B1463" s="1" t="s">
        <v>9010</v>
      </c>
      <c r="C1463" s="1" t="s">
        <v>9011</v>
      </c>
      <c r="D1463" s="22" t="str">
        <f>HYPERLINK("https://rhld.insurance.arkansas.gov/NPILookup?Npi=1477897130","1477897130")</f>
        <v>1477897130</v>
      </c>
      <c r="E1463" s="1" t="s">
        <v>969</v>
      </c>
      <c r="F1463" s="2"/>
      <c r="G1463" s="2"/>
      <c r="H1463" s="2"/>
    </row>
    <row r="1464" spans="1:8" x14ac:dyDescent="0.25">
      <c r="A1464" s="1"/>
      <c r="B1464" s="1" t="s">
        <v>9010</v>
      </c>
      <c r="C1464" s="1" t="s">
        <v>9011</v>
      </c>
      <c r="D1464" s="22" t="str">
        <f>HYPERLINK("https://rhld.insurance.arkansas.gov/NPILookup?Npi=1487038154","1487038154")</f>
        <v>1487038154</v>
      </c>
      <c r="E1464" s="1" t="s">
        <v>9691</v>
      </c>
      <c r="F1464" s="2"/>
      <c r="G1464" s="2"/>
      <c r="H1464" s="2"/>
    </row>
    <row r="1465" spans="1:8" x14ac:dyDescent="0.25">
      <c r="A1465" s="1"/>
      <c r="B1465" s="1" t="s">
        <v>9010</v>
      </c>
      <c r="C1465" s="1" t="s">
        <v>9011</v>
      </c>
      <c r="D1465" s="22" t="str">
        <f>HYPERLINK("https://rhld.insurance.arkansas.gov/NPILookup?Npi=1487070058","1487070058")</f>
        <v>1487070058</v>
      </c>
      <c r="E1465" s="1" t="s">
        <v>15499</v>
      </c>
      <c r="F1465" s="2"/>
      <c r="G1465" s="2"/>
      <c r="H1465" s="2"/>
    </row>
    <row r="1466" spans="1:8" x14ac:dyDescent="0.25">
      <c r="A1466" s="1"/>
      <c r="B1466" s="1" t="s">
        <v>9010</v>
      </c>
      <c r="C1466" s="1" t="s">
        <v>9011</v>
      </c>
      <c r="D1466" s="22" t="str">
        <f>HYPERLINK("https://rhld.insurance.arkansas.gov/NPILookup?Npi=1487122669","1487122669")</f>
        <v>1487122669</v>
      </c>
      <c r="E1466" s="1" t="s">
        <v>15500</v>
      </c>
      <c r="F1466" s="2"/>
      <c r="G1466" s="2"/>
      <c r="H1466" s="2"/>
    </row>
    <row r="1467" spans="1:8" x14ac:dyDescent="0.25">
      <c r="A1467" s="1"/>
      <c r="B1467" s="1" t="s">
        <v>9010</v>
      </c>
      <c r="C1467" s="1" t="s">
        <v>9011</v>
      </c>
      <c r="D1467" s="22" t="str">
        <f>HYPERLINK("https://rhld.insurance.arkansas.gov/NPILookup?Npi=1487138954","1487138954")</f>
        <v>1487138954</v>
      </c>
      <c r="E1467" s="1" t="s">
        <v>15501</v>
      </c>
      <c r="F1467" s="2"/>
      <c r="G1467" s="2"/>
      <c r="H1467" s="2"/>
    </row>
    <row r="1468" spans="1:8" x14ac:dyDescent="0.25">
      <c r="A1468" s="1"/>
      <c r="B1468" s="1" t="s">
        <v>9010</v>
      </c>
      <c r="C1468" s="1" t="s">
        <v>9011</v>
      </c>
      <c r="D1468" s="22" t="str">
        <f>HYPERLINK("https://rhld.insurance.arkansas.gov/NPILookup?Npi=1487178794","1487178794")</f>
        <v>1487178794</v>
      </c>
      <c r="E1468" s="1" t="s">
        <v>15502</v>
      </c>
      <c r="F1468" s="2"/>
      <c r="G1468" s="2"/>
      <c r="H1468" s="2"/>
    </row>
    <row r="1469" spans="1:8" x14ac:dyDescent="0.25">
      <c r="A1469" s="1"/>
      <c r="B1469" s="1" t="s">
        <v>9010</v>
      </c>
      <c r="C1469" s="1" t="s">
        <v>9011</v>
      </c>
      <c r="D1469" s="22" t="str">
        <f>HYPERLINK("https://rhld.insurance.arkansas.gov/NPILookup?Npi=1487383964","1487383964")</f>
        <v>1487383964</v>
      </c>
      <c r="E1469" s="1" t="s">
        <v>15503</v>
      </c>
      <c r="F1469" s="2"/>
      <c r="G1469" s="2"/>
      <c r="H1469" s="2"/>
    </row>
    <row r="1470" spans="1:8" x14ac:dyDescent="0.25">
      <c r="A1470" s="1"/>
      <c r="B1470" s="1" t="s">
        <v>9010</v>
      </c>
      <c r="C1470" s="1" t="s">
        <v>9011</v>
      </c>
      <c r="D1470" s="22" t="str">
        <f>HYPERLINK("https://rhld.insurance.arkansas.gov/NPILookup?Npi=1487667655","1487667655")</f>
        <v>1487667655</v>
      </c>
      <c r="E1470" s="1" t="s">
        <v>15504</v>
      </c>
      <c r="F1470" s="2"/>
      <c r="G1470" s="2"/>
      <c r="H1470" s="2"/>
    </row>
    <row r="1471" spans="1:8" x14ac:dyDescent="0.25">
      <c r="A1471" s="1"/>
      <c r="B1471" s="1" t="s">
        <v>9010</v>
      </c>
      <c r="C1471" s="1" t="s">
        <v>9011</v>
      </c>
      <c r="D1471" s="22" t="str">
        <f>HYPERLINK("https://rhld.insurance.arkansas.gov/NPILookup?Npi=1487958328","1487958328")</f>
        <v>1487958328</v>
      </c>
      <c r="E1471" s="1" t="s">
        <v>2238</v>
      </c>
      <c r="F1471" s="2"/>
      <c r="G1471" s="2"/>
      <c r="H1471" s="2"/>
    </row>
    <row r="1472" spans="1:8" x14ac:dyDescent="0.25">
      <c r="A1472" s="1"/>
      <c r="B1472" s="1" t="s">
        <v>9010</v>
      </c>
      <c r="C1472" s="1" t="s">
        <v>9011</v>
      </c>
      <c r="D1472" s="22" t="str">
        <f>HYPERLINK("https://rhld.insurance.arkansas.gov/NPILookup?Npi=1487958534","1487958534")</f>
        <v>1487958534</v>
      </c>
      <c r="E1472" s="1" t="s">
        <v>9024</v>
      </c>
      <c r="F1472" s="2"/>
      <c r="G1472" s="2"/>
      <c r="H1472" s="2"/>
    </row>
    <row r="1473" spans="1:8" x14ac:dyDescent="0.25">
      <c r="A1473" s="1"/>
      <c r="B1473" s="1" t="s">
        <v>9010</v>
      </c>
      <c r="C1473" s="1" t="s">
        <v>9011</v>
      </c>
      <c r="D1473" s="22" t="str">
        <f>HYPERLINK("https://rhld.insurance.arkansas.gov/NPILookup?Npi=1497246979","1497246979")</f>
        <v>1497246979</v>
      </c>
      <c r="E1473" s="1" t="s">
        <v>2239</v>
      </c>
      <c r="F1473" s="2"/>
      <c r="G1473" s="2"/>
      <c r="H1473" s="2"/>
    </row>
    <row r="1474" spans="1:8" x14ac:dyDescent="0.25">
      <c r="A1474" s="1"/>
      <c r="B1474" s="1" t="s">
        <v>9010</v>
      </c>
      <c r="C1474" s="1" t="s">
        <v>9011</v>
      </c>
      <c r="D1474" s="22" t="str">
        <f>HYPERLINK("https://rhld.insurance.arkansas.gov/NPILookup?Npi=1497466031","1497466031")</f>
        <v>1497466031</v>
      </c>
      <c r="E1474" s="1" t="s">
        <v>9025</v>
      </c>
      <c r="F1474" s="2"/>
      <c r="G1474" s="2"/>
      <c r="H1474" s="2"/>
    </row>
    <row r="1475" spans="1:8" x14ac:dyDescent="0.25">
      <c r="A1475" s="1"/>
      <c r="B1475" s="1" t="s">
        <v>9010</v>
      </c>
      <c r="C1475" s="1" t="s">
        <v>9011</v>
      </c>
      <c r="D1475" s="22" t="str">
        <f>HYPERLINK("https://rhld.insurance.arkansas.gov/NPILookup?Npi=1497712335","1497712335")</f>
        <v>1497712335</v>
      </c>
      <c r="E1475" s="1" t="s">
        <v>15505</v>
      </c>
      <c r="F1475" s="2"/>
      <c r="G1475" s="2"/>
      <c r="H1475" s="2"/>
    </row>
    <row r="1476" spans="1:8" x14ac:dyDescent="0.25">
      <c r="A1476" s="1"/>
      <c r="B1476" s="1" t="s">
        <v>9010</v>
      </c>
      <c r="C1476" s="1" t="s">
        <v>9011</v>
      </c>
      <c r="D1476" s="22" t="str">
        <f>HYPERLINK("https://rhld.insurance.arkansas.gov/NPILookup?Npi=1497790042","1497790042")</f>
        <v>1497790042</v>
      </c>
      <c r="E1476" s="1" t="s">
        <v>9630</v>
      </c>
      <c r="F1476" s="2"/>
      <c r="G1476" s="2"/>
      <c r="H1476" s="2"/>
    </row>
    <row r="1477" spans="1:8" x14ac:dyDescent="0.25">
      <c r="A1477" s="1"/>
      <c r="B1477" s="1" t="s">
        <v>9010</v>
      </c>
      <c r="C1477" s="1" t="s">
        <v>9011</v>
      </c>
      <c r="D1477" s="22" t="str">
        <f>HYPERLINK("https://rhld.insurance.arkansas.gov/NPILookup?Npi=1497803787","1497803787")</f>
        <v>1497803787</v>
      </c>
      <c r="E1477" s="1" t="s">
        <v>15506</v>
      </c>
      <c r="F1477" s="2"/>
      <c r="G1477" s="2"/>
      <c r="H1477" s="2"/>
    </row>
    <row r="1478" spans="1:8" x14ac:dyDescent="0.25">
      <c r="A1478" s="1"/>
      <c r="B1478" s="1" t="s">
        <v>9010</v>
      </c>
      <c r="C1478" s="1" t="s">
        <v>9011</v>
      </c>
      <c r="D1478" s="22" t="str">
        <f>HYPERLINK("https://rhld.insurance.arkansas.gov/NPILookup?Npi=1508011206","1508011206")</f>
        <v>1508011206</v>
      </c>
      <c r="E1478" s="1" t="s">
        <v>1268</v>
      </c>
      <c r="F1478" s="2"/>
      <c r="G1478" s="2"/>
      <c r="H1478" s="2"/>
    </row>
    <row r="1479" spans="1:8" x14ac:dyDescent="0.25">
      <c r="A1479" s="1"/>
      <c r="B1479" s="1" t="s">
        <v>9010</v>
      </c>
      <c r="C1479" s="1" t="s">
        <v>9011</v>
      </c>
      <c r="D1479" s="22" t="str">
        <f>HYPERLINK("https://rhld.insurance.arkansas.gov/NPILookup?Npi=1508322249","1508322249")</f>
        <v>1508322249</v>
      </c>
      <c r="E1479" s="1" t="s">
        <v>15507</v>
      </c>
      <c r="F1479" s="2"/>
      <c r="G1479" s="2"/>
      <c r="H1479" s="2"/>
    </row>
    <row r="1480" spans="1:8" x14ac:dyDescent="0.25">
      <c r="A1480" s="1"/>
      <c r="B1480" s="1" t="s">
        <v>9010</v>
      </c>
      <c r="C1480" s="1" t="s">
        <v>9011</v>
      </c>
      <c r="D1480" s="22" t="str">
        <f>HYPERLINK("https://rhld.insurance.arkansas.gov/NPILookup?Npi=1508441460","1508441460")</f>
        <v>1508441460</v>
      </c>
      <c r="E1480" s="1" t="s">
        <v>1905</v>
      </c>
      <c r="F1480" s="2"/>
      <c r="G1480" s="2"/>
      <c r="H1480" s="2"/>
    </row>
    <row r="1481" spans="1:8" x14ac:dyDescent="0.25">
      <c r="A1481" s="1"/>
      <c r="B1481" s="1" t="s">
        <v>9010</v>
      </c>
      <c r="C1481" s="1" t="s">
        <v>9011</v>
      </c>
      <c r="D1481" s="22" t="str">
        <f>HYPERLINK("https://rhld.insurance.arkansas.gov/NPILookup?Npi=1518112630","1518112630")</f>
        <v>1518112630</v>
      </c>
      <c r="E1481" s="1" t="s">
        <v>15508</v>
      </c>
      <c r="F1481" s="2"/>
      <c r="G1481" s="2"/>
      <c r="H1481" s="2"/>
    </row>
    <row r="1482" spans="1:8" x14ac:dyDescent="0.25">
      <c r="A1482" s="1"/>
      <c r="B1482" s="1" t="s">
        <v>9010</v>
      </c>
      <c r="C1482" s="1" t="s">
        <v>9011</v>
      </c>
      <c r="D1482" s="22" t="str">
        <f>HYPERLINK("https://rhld.insurance.arkansas.gov/NPILookup?Npi=1518341288","1518341288")</f>
        <v>1518341288</v>
      </c>
      <c r="E1482" s="1" t="s">
        <v>15509</v>
      </c>
      <c r="F1482" s="2"/>
      <c r="G1482" s="2"/>
      <c r="H1482" s="2"/>
    </row>
    <row r="1483" spans="1:8" x14ac:dyDescent="0.25">
      <c r="A1483" s="1"/>
      <c r="B1483" s="1" t="s">
        <v>9010</v>
      </c>
      <c r="C1483" s="1" t="s">
        <v>9011</v>
      </c>
      <c r="D1483" s="22" t="str">
        <f>HYPERLINK("https://rhld.insurance.arkansas.gov/NPILookup?Npi=1518953819","1518953819")</f>
        <v>1518953819</v>
      </c>
      <c r="E1483" s="1" t="s">
        <v>3467</v>
      </c>
      <c r="F1483" s="2"/>
      <c r="G1483" s="2"/>
      <c r="H1483" s="2"/>
    </row>
    <row r="1484" spans="1:8" x14ac:dyDescent="0.25">
      <c r="A1484" s="1"/>
      <c r="B1484" s="1" t="s">
        <v>9010</v>
      </c>
      <c r="C1484" s="1" t="s">
        <v>9011</v>
      </c>
      <c r="D1484" s="22" t="str">
        <f>HYPERLINK("https://rhld.insurance.arkansas.gov/NPILookup?Npi=1518953892","1518953892")</f>
        <v>1518953892</v>
      </c>
      <c r="E1484" s="1" t="s">
        <v>970</v>
      </c>
      <c r="F1484" s="2"/>
      <c r="G1484" s="2"/>
      <c r="H1484" s="2"/>
    </row>
    <row r="1485" spans="1:8" x14ac:dyDescent="0.25">
      <c r="A1485" s="1"/>
      <c r="B1485" s="1" t="s">
        <v>9010</v>
      </c>
      <c r="C1485" s="1" t="s">
        <v>9011</v>
      </c>
      <c r="D1485" s="22" t="str">
        <f>HYPERLINK("https://rhld.insurance.arkansas.gov/NPILookup?Npi=1528001146","1528001146")</f>
        <v>1528001146</v>
      </c>
      <c r="E1485" s="1" t="s">
        <v>15510</v>
      </c>
      <c r="F1485" s="2"/>
      <c r="G1485" s="2"/>
      <c r="H1485" s="2"/>
    </row>
    <row r="1486" spans="1:8" x14ac:dyDescent="0.25">
      <c r="A1486" s="1"/>
      <c r="B1486" s="1" t="s">
        <v>9010</v>
      </c>
      <c r="C1486" s="1" t="s">
        <v>9011</v>
      </c>
      <c r="D1486" s="22" t="str">
        <f>HYPERLINK("https://rhld.insurance.arkansas.gov/NPILookup?Npi=1528213642","1528213642")</f>
        <v>1528213642</v>
      </c>
      <c r="E1486" s="1" t="s">
        <v>15511</v>
      </c>
      <c r="F1486" s="2"/>
      <c r="G1486" s="2"/>
      <c r="H1486" s="2"/>
    </row>
    <row r="1487" spans="1:8" x14ac:dyDescent="0.25">
      <c r="A1487" s="1"/>
      <c r="B1487" s="1" t="s">
        <v>9010</v>
      </c>
      <c r="C1487" s="1" t="s">
        <v>9011</v>
      </c>
      <c r="D1487" s="22" t="str">
        <f>HYPERLINK("https://rhld.insurance.arkansas.gov/NPILookup?Npi=1528442258","1528442258")</f>
        <v>1528442258</v>
      </c>
      <c r="E1487" s="1" t="s">
        <v>15512</v>
      </c>
      <c r="F1487" s="2"/>
      <c r="G1487" s="2"/>
      <c r="H1487" s="2"/>
    </row>
    <row r="1488" spans="1:8" x14ac:dyDescent="0.25">
      <c r="A1488" s="1"/>
      <c r="B1488" s="1" t="s">
        <v>9010</v>
      </c>
      <c r="C1488" s="1" t="s">
        <v>9011</v>
      </c>
      <c r="D1488" s="22" t="str">
        <f>HYPERLINK("https://rhld.insurance.arkansas.gov/NPILookup?Npi=1528484177","1528484177")</f>
        <v>1528484177</v>
      </c>
      <c r="E1488" s="1" t="s">
        <v>971</v>
      </c>
      <c r="F1488" s="2"/>
      <c r="G1488" s="2"/>
      <c r="H1488" s="2"/>
    </row>
    <row r="1489" spans="1:8" x14ac:dyDescent="0.25">
      <c r="A1489" s="1"/>
      <c r="B1489" s="1" t="s">
        <v>9010</v>
      </c>
      <c r="C1489" s="1" t="s">
        <v>9011</v>
      </c>
      <c r="D1489" s="22" t="str">
        <f>HYPERLINK("https://rhld.insurance.arkansas.gov/NPILookup?Npi=1528715216","1528715216")</f>
        <v>1528715216</v>
      </c>
      <c r="E1489" s="1" t="s">
        <v>9692</v>
      </c>
      <c r="F1489" s="2"/>
      <c r="G1489" s="2"/>
      <c r="H1489" s="2"/>
    </row>
    <row r="1490" spans="1:8" x14ac:dyDescent="0.25">
      <c r="A1490" s="1"/>
      <c r="B1490" s="1" t="s">
        <v>9010</v>
      </c>
      <c r="C1490" s="1" t="s">
        <v>9011</v>
      </c>
      <c r="D1490" s="22" t="str">
        <f>HYPERLINK("https://rhld.insurance.arkansas.gov/NPILookup?Npi=1538115944","1538115944")</f>
        <v>1538115944</v>
      </c>
      <c r="E1490" s="1" t="s">
        <v>9693</v>
      </c>
      <c r="F1490" s="2"/>
      <c r="G1490" s="2"/>
      <c r="H1490" s="2"/>
    </row>
    <row r="1491" spans="1:8" x14ac:dyDescent="0.25">
      <c r="A1491" s="1"/>
      <c r="B1491" s="1" t="s">
        <v>9010</v>
      </c>
      <c r="C1491" s="1" t="s">
        <v>9011</v>
      </c>
      <c r="D1491" s="22" t="str">
        <f>HYPERLINK("https://rhld.insurance.arkansas.gov/NPILookup?Npi=1548256878","1548256878")</f>
        <v>1548256878</v>
      </c>
      <c r="E1491" s="1" t="s">
        <v>3468</v>
      </c>
      <c r="F1491" s="2"/>
      <c r="G1491" s="2"/>
      <c r="H1491" s="2"/>
    </row>
    <row r="1492" spans="1:8" x14ac:dyDescent="0.25">
      <c r="A1492" s="1"/>
      <c r="B1492" s="1" t="s">
        <v>9010</v>
      </c>
      <c r="C1492" s="1" t="s">
        <v>9011</v>
      </c>
      <c r="D1492" s="22" t="str">
        <f>HYPERLINK("https://rhld.insurance.arkansas.gov/NPILookup?Npi=1548578735","1548578735")</f>
        <v>1548578735</v>
      </c>
      <c r="E1492" s="1" t="s">
        <v>9694</v>
      </c>
      <c r="F1492" s="2"/>
      <c r="G1492" s="2"/>
      <c r="H1492" s="2"/>
    </row>
    <row r="1493" spans="1:8" x14ac:dyDescent="0.25">
      <c r="A1493" s="1"/>
      <c r="B1493" s="1" t="s">
        <v>9010</v>
      </c>
      <c r="C1493" s="1" t="s">
        <v>9011</v>
      </c>
      <c r="D1493" s="22" t="str">
        <f>HYPERLINK("https://rhld.insurance.arkansas.gov/NPILookup?Npi=1548807431","1548807431")</f>
        <v>1548807431</v>
      </c>
      <c r="E1493" s="1" t="s">
        <v>1530</v>
      </c>
      <c r="F1493" s="2"/>
      <c r="G1493" s="2"/>
      <c r="H1493" s="2"/>
    </row>
    <row r="1494" spans="1:8" x14ac:dyDescent="0.25">
      <c r="A1494" s="1"/>
      <c r="B1494" s="1" t="s">
        <v>9010</v>
      </c>
      <c r="C1494" s="1" t="s">
        <v>9011</v>
      </c>
      <c r="D1494" s="22" t="str">
        <f>HYPERLINK("https://rhld.insurance.arkansas.gov/NPILookup?Npi=1558357814","1558357814")</f>
        <v>1558357814</v>
      </c>
      <c r="E1494" s="1" t="s">
        <v>1269</v>
      </c>
      <c r="F1494" s="2"/>
      <c r="G1494" s="2"/>
      <c r="H1494" s="2"/>
    </row>
    <row r="1495" spans="1:8" x14ac:dyDescent="0.25">
      <c r="A1495" s="1"/>
      <c r="B1495" s="1" t="s">
        <v>9010</v>
      </c>
      <c r="C1495" s="1" t="s">
        <v>9011</v>
      </c>
      <c r="D1495" s="22" t="str">
        <f>HYPERLINK("https://rhld.insurance.arkansas.gov/NPILookup?Npi=1558676353","1558676353")</f>
        <v>1558676353</v>
      </c>
      <c r="E1495" s="1" t="s">
        <v>9695</v>
      </c>
      <c r="F1495" s="2"/>
      <c r="G1495" s="2"/>
      <c r="H1495" s="2"/>
    </row>
    <row r="1496" spans="1:8" x14ac:dyDescent="0.25">
      <c r="A1496" s="1"/>
      <c r="B1496" s="1" t="s">
        <v>9010</v>
      </c>
      <c r="C1496" s="1" t="s">
        <v>9011</v>
      </c>
      <c r="D1496" s="22" t="str">
        <f>HYPERLINK("https://rhld.insurance.arkansas.gov/NPILookup?Npi=1568039436","1568039436")</f>
        <v>1568039436</v>
      </c>
      <c r="E1496" s="1" t="s">
        <v>15513</v>
      </c>
      <c r="F1496" s="2"/>
      <c r="G1496" s="2"/>
      <c r="H1496" s="2"/>
    </row>
    <row r="1497" spans="1:8" x14ac:dyDescent="0.25">
      <c r="A1497" s="1"/>
      <c r="B1497" s="1" t="s">
        <v>9010</v>
      </c>
      <c r="C1497" s="1" t="s">
        <v>9011</v>
      </c>
      <c r="D1497" s="22" t="str">
        <f>HYPERLINK("https://rhld.insurance.arkansas.gov/NPILookup?Npi=1568433480","1568433480")</f>
        <v>1568433480</v>
      </c>
      <c r="E1497" s="1" t="s">
        <v>9631</v>
      </c>
      <c r="F1497" s="2"/>
      <c r="G1497" s="2"/>
      <c r="H1497" s="2"/>
    </row>
    <row r="1498" spans="1:8" x14ac:dyDescent="0.25">
      <c r="A1498" s="1"/>
      <c r="B1498" s="1" t="s">
        <v>9010</v>
      </c>
      <c r="C1498" s="1" t="s">
        <v>9011</v>
      </c>
      <c r="D1498" s="22" t="str">
        <f>HYPERLINK("https://rhld.insurance.arkansas.gov/NPILookup?Npi=1568755635","1568755635")</f>
        <v>1568755635</v>
      </c>
      <c r="E1498" s="1" t="s">
        <v>15514</v>
      </c>
      <c r="F1498" s="2"/>
      <c r="G1498" s="2"/>
      <c r="H1498" s="2"/>
    </row>
    <row r="1499" spans="1:8" x14ac:dyDescent="0.25">
      <c r="A1499" s="1"/>
      <c r="B1499" s="1" t="s">
        <v>9010</v>
      </c>
      <c r="C1499" s="1" t="s">
        <v>9011</v>
      </c>
      <c r="D1499" s="22" t="str">
        <f>HYPERLINK("https://rhld.insurance.arkansas.gov/NPILookup?Npi=1568946937","1568946937")</f>
        <v>1568946937</v>
      </c>
      <c r="E1499" s="1" t="s">
        <v>15515</v>
      </c>
      <c r="F1499" s="2"/>
      <c r="G1499" s="2"/>
      <c r="H1499" s="2"/>
    </row>
    <row r="1500" spans="1:8" x14ac:dyDescent="0.25">
      <c r="A1500" s="1"/>
      <c r="B1500" s="1" t="s">
        <v>9010</v>
      </c>
      <c r="C1500" s="1" t="s">
        <v>9011</v>
      </c>
      <c r="D1500" s="22" t="str">
        <f>HYPERLINK("https://rhld.insurance.arkansas.gov/NPILookup?Npi=1568970820","1568970820")</f>
        <v>1568970820</v>
      </c>
      <c r="E1500" s="1" t="s">
        <v>15516</v>
      </c>
      <c r="F1500" s="2"/>
      <c r="G1500" s="2"/>
      <c r="H1500" s="2"/>
    </row>
    <row r="1501" spans="1:8" x14ac:dyDescent="0.25">
      <c r="A1501" s="1"/>
      <c r="B1501" s="1" t="s">
        <v>9010</v>
      </c>
      <c r="C1501" s="1" t="s">
        <v>9011</v>
      </c>
      <c r="D1501" s="22" t="str">
        <f>HYPERLINK("https://rhld.insurance.arkansas.gov/NPILookup?Npi=1578099784","1578099784")</f>
        <v>1578099784</v>
      </c>
      <c r="E1501" s="1" t="s">
        <v>9026</v>
      </c>
      <c r="F1501" s="2"/>
      <c r="G1501" s="2"/>
      <c r="H1501" s="2"/>
    </row>
    <row r="1502" spans="1:8" x14ac:dyDescent="0.25">
      <c r="A1502" s="1"/>
      <c r="B1502" s="1" t="s">
        <v>9010</v>
      </c>
      <c r="C1502" s="1" t="s">
        <v>9011</v>
      </c>
      <c r="D1502" s="22" t="str">
        <f>HYPERLINK("https://rhld.insurance.arkansas.gov/NPILookup?Npi=1578518262","1578518262")</f>
        <v>1578518262</v>
      </c>
      <c r="E1502" s="1" t="s">
        <v>15517</v>
      </c>
      <c r="F1502" s="2"/>
      <c r="G1502" s="2"/>
      <c r="H1502" s="2"/>
    </row>
    <row r="1503" spans="1:8" x14ac:dyDescent="0.25">
      <c r="A1503" s="1"/>
      <c r="B1503" s="1" t="s">
        <v>9010</v>
      </c>
      <c r="C1503" s="1" t="s">
        <v>9011</v>
      </c>
      <c r="D1503" s="22" t="str">
        <f>HYPERLINK("https://rhld.insurance.arkansas.gov/NPILookup?Npi=1578559803","1578559803")</f>
        <v>1578559803</v>
      </c>
      <c r="E1503" s="1" t="s">
        <v>973</v>
      </c>
      <c r="F1503" s="2"/>
      <c r="G1503" s="2"/>
      <c r="H1503" s="2"/>
    </row>
    <row r="1504" spans="1:8" x14ac:dyDescent="0.25">
      <c r="A1504" s="1"/>
      <c r="B1504" s="1" t="s">
        <v>9010</v>
      </c>
      <c r="C1504" s="1" t="s">
        <v>9011</v>
      </c>
      <c r="D1504" s="22" t="str">
        <f>HYPERLINK("https://rhld.insurance.arkansas.gov/NPILookup?Npi=1578617791","1578617791")</f>
        <v>1578617791</v>
      </c>
      <c r="E1504" s="1" t="s">
        <v>9027</v>
      </c>
      <c r="F1504" s="2"/>
      <c r="G1504" s="2"/>
      <c r="H1504" s="2"/>
    </row>
    <row r="1505" spans="1:8" x14ac:dyDescent="0.25">
      <c r="A1505" s="1"/>
      <c r="B1505" s="1" t="s">
        <v>9010</v>
      </c>
      <c r="C1505" s="1" t="s">
        <v>9011</v>
      </c>
      <c r="D1505" s="22" t="str">
        <f>HYPERLINK("https://rhld.insurance.arkansas.gov/NPILookup?Npi=1578682472","1578682472")</f>
        <v>1578682472</v>
      </c>
      <c r="E1505" s="1" t="s">
        <v>9696</v>
      </c>
      <c r="F1505" s="2"/>
      <c r="G1505" s="2"/>
      <c r="H1505" s="2"/>
    </row>
    <row r="1506" spans="1:8" x14ac:dyDescent="0.25">
      <c r="A1506" s="1"/>
      <c r="B1506" s="1" t="s">
        <v>9010</v>
      </c>
      <c r="C1506" s="1" t="s">
        <v>9011</v>
      </c>
      <c r="D1506" s="22" t="str">
        <f>HYPERLINK("https://rhld.insurance.arkansas.gov/NPILookup?Npi=1598546723","1598546723")</f>
        <v>1598546723</v>
      </c>
      <c r="E1506" s="1" t="s">
        <v>9028</v>
      </c>
      <c r="F1506" s="2"/>
      <c r="G1506" s="2"/>
      <c r="H1506" s="2"/>
    </row>
    <row r="1507" spans="1:8" x14ac:dyDescent="0.25">
      <c r="A1507" s="1"/>
      <c r="B1507" s="1" t="s">
        <v>9010</v>
      </c>
      <c r="C1507" s="1" t="s">
        <v>9011</v>
      </c>
      <c r="D1507" s="22" t="str">
        <f>HYPERLINK("https://rhld.insurance.arkansas.gov/NPILookup?Npi=1598710808","1598710808")</f>
        <v>1598710808</v>
      </c>
      <c r="E1507" s="1" t="s">
        <v>798</v>
      </c>
      <c r="F1507" s="2"/>
      <c r="G1507" s="2"/>
      <c r="H1507" s="2"/>
    </row>
    <row r="1508" spans="1:8" x14ac:dyDescent="0.25">
      <c r="A1508" s="1"/>
      <c r="B1508" s="1" t="s">
        <v>9010</v>
      </c>
      <c r="C1508" s="1" t="s">
        <v>9011</v>
      </c>
      <c r="D1508" s="22" t="str">
        <f>HYPERLINK("https://rhld.insurance.arkansas.gov/NPILookup?Npi=1609864578","1609864578")</f>
        <v>1609864578</v>
      </c>
      <c r="E1508" s="1" t="s">
        <v>15518</v>
      </c>
      <c r="F1508" s="2"/>
      <c r="G1508" s="2"/>
      <c r="H1508" s="2"/>
    </row>
    <row r="1509" spans="1:8" x14ac:dyDescent="0.25">
      <c r="A1509" s="1"/>
      <c r="B1509" s="1" t="s">
        <v>9010</v>
      </c>
      <c r="C1509" s="1" t="s">
        <v>9011</v>
      </c>
      <c r="D1509" s="22" t="str">
        <f>HYPERLINK("https://rhld.insurance.arkansas.gov/NPILookup?Npi=1609870658","1609870658")</f>
        <v>1609870658</v>
      </c>
      <c r="E1509" s="1" t="s">
        <v>9697</v>
      </c>
      <c r="F1509" s="2"/>
      <c r="G1509" s="2"/>
      <c r="H1509" s="2"/>
    </row>
    <row r="1510" spans="1:8" x14ac:dyDescent="0.25">
      <c r="A1510" s="1"/>
      <c r="B1510" s="1" t="s">
        <v>9010</v>
      </c>
      <c r="C1510" s="1" t="s">
        <v>9011</v>
      </c>
      <c r="D1510" s="22" t="str">
        <f>HYPERLINK("https://rhld.insurance.arkansas.gov/NPILookup?Npi=1619921061","1619921061")</f>
        <v>1619921061</v>
      </c>
      <c r="E1510" s="1" t="s">
        <v>1443</v>
      </c>
      <c r="F1510" s="2"/>
      <c r="G1510" s="2"/>
      <c r="H1510" s="2"/>
    </row>
    <row r="1511" spans="1:8" x14ac:dyDescent="0.25">
      <c r="A1511" s="1"/>
      <c r="B1511" s="1" t="s">
        <v>9010</v>
      </c>
      <c r="C1511" s="1" t="s">
        <v>9011</v>
      </c>
      <c r="D1511" s="22" t="str">
        <f>HYPERLINK("https://rhld.insurance.arkansas.gov/NPILookup?Npi=1629395850","1629395850")</f>
        <v>1629395850</v>
      </c>
      <c r="E1511" s="1" t="s">
        <v>9029</v>
      </c>
      <c r="F1511" s="2"/>
      <c r="G1511" s="2"/>
      <c r="H1511" s="2"/>
    </row>
    <row r="1512" spans="1:8" x14ac:dyDescent="0.25">
      <c r="A1512" s="1"/>
      <c r="B1512" s="1" t="s">
        <v>9010</v>
      </c>
      <c r="C1512" s="1" t="s">
        <v>9011</v>
      </c>
      <c r="D1512" s="22" t="str">
        <f>HYPERLINK("https://rhld.insurance.arkansas.gov/NPILookup?Npi=1629508346","1629508346")</f>
        <v>1629508346</v>
      </c>
      <c r="E1512" s="1" t="s">
        <v>9030</v>
      </c>
      <c r="F1512" s="2"/>
      <c r="G1512" s="2"/>
      <c r="H1512" s="2"/>
    </row>
    <row r="1513" spans="1:8" x14ac:dyDescent="0.25">
      <c r="A1513" s="1"/>
      <c r="B1513" s="1" t="s">
        <v>9010</v>
      </c>
      <c r="C1513" s="1" t="s">
        <v>9011</v>
      </c>
      <c r="D1513" s="22" t="str">
        <f>HYPERLINK("https://rhld.insurance.arkansas.gov/NPILookup?Npi=1629653589","1629653589")</f>
        <v>1629653589</v>
      </c>
      <c r="E1513" s="1" t="s">
        <v>2240</v>
      </c>
      <c r="F1513" s="2"/>
      <c r="G1513" s="2"/>
      <c r="H1513" s="2"/>
    </row>
    <row r="1514" spans="1:8" x14ac:dyDescent="0.25">
      <c r="A1514" s="1"/>
      <c r="B1514" s="1" t="s">
        <v>9010</v>
      </c>
      <c r="C1514" s="1" t="s">
        <v>9011</v>
      </c>
      <c r="D1514" s="22" t="str">
        <f>HYPERLINK("https://rhld.insurance.arkansas.gov/NPILookup?Npi=1639165020","1639165020")</f>
        <v>1639165020</v>
      </c>
      <c r="E1514" s="1" t="s">
        <v>9031</v>
      </c>
      <c r="F1514" s="2"/>
      <c r="G1514" s="2"/>
      <c r="H1514" s="2"/>
    </row>
    <row r="1515" spans="1:8" x14ac:dyDescent="0.25">
      <c r="A1515" s="1"/>
      <c r="B1515" s="1" t="s">
        <v>9010</v>
      </c>
      <c r="C1515" s="1" t="s">
        <v>9011</v>
      </c>
      <c r="D1515" s="22" t="str">
        <f>HYPERLINK("https://rhld.insurance.arkansas.gov/NPILookup?Npi=1639569734","1639569734")</f>
        <v>1639569734</v>
      </c>
      <c r="E1515" s="1" t="s">
        <v>9032</v>
      </c>
      <c r="F1515" s="2"/>
      <c r="G1515" s="2"/>
      <c r="H1515" s="2"/>
    </row>
    <row r="1516" spans="1:8" x14ac:dyDescent="0.25">
      <c r="A1516" s="1"/>
      <c r="B1516" s="1" t="s">
        <v>9010</v>
      </c>
      <c r="C1516" s="1" t="s">
        <v>9011</v>
      </c>
      <c r="D1516" s="22" t="str">
        <f>HYPERLINK("https://rhld.insurance.arkansas.gov/NPILookup?Npi=1639652506","1639652506")</f>
        <v>1639652506</v>
      </c>
      <c r="E1516" s="1" t="s">
        <v>9033</v>
      </c>
      <c r="F1516" s="2"/>
      <c r="G1516" s="2"/>
      <c r="H1516" s="2"/>
    </row>
    <row r="1517" spans="1:8" x14ac:dyDescent="0.25">
      <c r="A1517" s="1"/>
      <c r="B1517" s="1" t="s">
        <v>9010</v>
      </c>
      <c r="C1517" s="1" t="s">
        <v>9011</v>
      </c>
      <c r="D1517" s="22" t="str">
        <f>HYPERLINK("https://rhld.insurance.arkansas.gov/NPILookup?Npi=1639666274","1639666274")</f>
        <v>1639666274</v>
      </c>
      <c r="E1517" s="1" t="s">
        <v>15519</v>
      </c>
      <c r="F1517" s="2"/>
      <c r="G1517" s="2"/>
      <c r="H1517" s="2"/>
    </row>
    <row r="1518" spans="1:8" x14ac:dyDescent="0.25">
      <c r="A1518" s="1"/>
      <c r="B1518" s="1" t="s">
        <v>9010</v>
      </c>
      <c r="C1518" s="1" t="s">
        <v>9011</v>
      </c>
      <c r="D1518" s="22" t="str">
        <f>HYPERLINK("https://rhld.insurance.arkansas.gov/NPILookup?Npi=1649443144","1649443144")</f>
        <v>1649443144</v>
      </c>
      <c r="E1518" s="1" t="s">
        <v>2546</v>
      </c>
      <c r="F1518" s="2"/>
      <c r="G1518" s="2"/>
      <c r="H1518" s="2"/>
    </row>
    <row r="1519" spans="1:8" x14ac:dyDescent="0.25">
      <c r="A1519" s="1"/>
      <c r="B1519" s="1" t="s">
        <v>9010</v>
      </c>
      <c r="C1519" s="1" t="s">
        <v>9011</v>
      </c>
      <c r="D1519" s="22" t="str">
        <f>HYPERLINK("https://rhld.insurance.arkansas.gov/NPILookup?Npi=1649972704","1649972704")</f>
        <v>1649972704</v>
      </c>
      <c r="E1519" s="1" t="s">
        <v>9034</v>
      </c>
      <c r="F1519" s="2"/>
      <c r="G1519" s="2"/>
      <c r="H1519" s="2"/>
    </row>
    <row r="1520" spans="1:8" x14ac:dyDescent="0.25">
      <c r="A1520" s="1"/>
      <c r="B1520" s="1" t="s">
        <v>9010</v>
      </c>
      <c r="C1520" s="1" t="s">
        <v>9011</v>
      </c>
      <c r="D1520" s="22" t="str">
        <f>HYPERLINK("https://rhld.insurance.arkansas.gov/NPILookup?Npi=1659369130","1659369130")</f>
        <v>1659369130</v>
      </c>
      <c r="E1520" s="1" t="s">
        <v>15520</v>
      </c>
      <c r="F1520" s="2"/>
      <c r="G1520" s="2"/>
      <c r="H1520" s="2"/>
    </row>
    <row r="1521" spans="1:8" x14ac:dyDescent="0.25">
      <c r="A1521" s="1"/>
      <c r="B1521" s="1" t="s">
        <v>9010</v>
      </c>
      <c r="C1521" s="1" t="s">
        <v>9011</v>
      </c>
      <c r="D1521" s="22" t="str">
        <f>HYPERLINK("https://rhld.insurance.arkansas.gov/NPILookup?Npi=1659526762","1659526762")</f>
        <v>1659526762</v>
      </c>
      <c r="E1521" s="1" t="s">
        <v>1684</v>
      </c>
      <c r="F1521" s="2"/>
      <c r="G1521" s="2"/>
      <c r="H1521" s="2"/>
    </row>
    <row r="1522" spans="1:8" x14ac:dyDescent="0.25">
      <c r="A1522" s="1"/>
      <c r="B1522" s="1" t="s">
        <v>9010</v>
      </c>
      <c r="C1522" s="1" t="s">
        <v>9011</v>
      </c>
      <c r="D1522" s="22" t="str">
        <f>HYPERLINK("https://rhld.insurance.arkansas.gov/NPILookup?Npi=1659745180","1659745180")</f>
        <v>1659745180</v>
      </c>
      <c r="E1522" s="1" t="s">
        <v>1610</v>
      </c>
      <c r="F1522" s="2"/>
      <c r="G1522" s="2"/>
      <c r="H1522" s="2"/>
    </row>
    <row r="1523" spans="1:8" x14ac:dyDescent="0.25">
      <c r="A1523" s="1"/>
      <c r="B1523" s="1" t="s">
        <v>9010</v>
      </c>
      <c r="C1523" s="1" t="s">
        <v>9011</v>
      </c>
      <c r="D1523" s="22" t="str">
        <f>HYPERLINK("https://rhld.insurance.arkansas.gov/NPILookup?Npi=1659858348","1659858348")</f>
        <v>1659858348</v>
      </c>
      <c r="E1523" s="1" t="s">
        <v>2547</v>
      </c>
      <c r="F1523" s="2"/>
      <c r="G1523" s="2"/>
      <c r="H1523" s="2"/>
    </row>
    <row r="1524" spans="1:8" x14ac:dyDescent="0.25">
      <c r="A1524" s="1"/>
      <c r="B1524" s="1" t="s">
        <v>9010</v>
      </c>
      <c r="C1524" s="1" t="s">
        <v>9011</v>
      </c>
      <c r="D1524" s="22" t="str">
        <f>HYPERLINK("https://rhld.insurance.arkansas.gov/NPILookup?Npi=1669100160","1669100160")</f>
        <v>1669100160</v>
      </c>
      <c r="E1524" s="1" t="s">
        <v>9674</v>
      </c>
      <c r="F1524" s="2"/>
      <c r="G1524" s="2"/>
      <c r="H1524" s="2"/>
    </row>
    <row r="1525" spans="1:8" x14ac:dyDescent="0.25">
      <c r="A1525" s="1"/>
      <c r="B1525" s="1" t="s">
        <v>9010</v>
      </c>
      <c r="C1525" s="1" t="s">
        <v>9011</v>
      </c>
      <c r="D1525" s="22" t="str">
        <f>HYPERLINK("https://rhld.insurance.arkansas.gov/NPILookup?Npi=1669101143","1669101143")</f>
        <v>1669101143</v>
      </c>
      <c r="E1525" s="1" t="s">
        <v>2548</v>
      </c>
      <c r="F1525" s="2"/>
      <c r="G1525" s="2"/>
      <c r="H1525" s="2"/>
    </row>
    <row r="1526" spans="1:8" x14ac:dyDescent="0.25">
      <c r="A1526" s="1"/>
      <c r="B1526" s="1" t="s">
        <v>9010</v>
      </c>
      <c r="C1526" s="1" t="s">
        <v>9011</v>
      </c>
      <c r="D1526" s="22" t="str">
        <f>HYPERLINK("https://rhld.insurance.arkansas.gov/NPILookup?Npi=1669560447","1669560447")</f>
        <v>1669560447</v>
      </c>
      <c r="E1526" s="1" t="s">
        <v>15521</v>
      </c>
      <c r="F1526" s="2"/>
      <c r="G1526" s="2"/>
      <c r="H1526" s="2"/>
    </row>
    <row r="1527" spans="1:8" x14ac:dyDescent="0.25">
      <c r="A1527" s="1"/>
      <c r="B1527" s="1" t="s">
        <v>9010</v>
      </c>
      <c r="C1527" s="1" t="s">
        <v>9011</v>
      </c>
      <c r="D1527" s="22" t="str">
        <f>HYPERLINK("https://rhld.insurance.arkansas.gov/NPILookup?Npi=1669876322","1669876322")</f>
        <v>1669876322</v>
      </c>
      <c r="E1527" s="1" t="s">
        <v>2549</v>
      </c>
      <c r="F1527" s="2"/>
      <c r="G1527" s="2"/>
      <c r="H1527" s="2"/>
    </row>
    <row r="1528" spans="1:8" x14ac:dyDescent="0.25">
      <c r="A1528" s="1"/>
      <c r="B1528" s="1" t="s">
        <v>9010</v>
      </c>
      <c r="C1528" s="1" t="s">
        <v>9011</v>
      </c>
      <c r="D1528" s="22" t="str">
        <f>HYPERLINK("https://rhld.insurance.arkansas.gov/NPILookup?Npi=1679057137","1679057137")</f>
        <v>1679057137</v>
      </c>
      <c r="E1528" s="1" t="s">
        <v>1351</v>
      </c>
      <c r="F1528" s="2"/>
      <c r="G1528" s="2"/>
      <c r="H1528" s="2"/>
    </row>
    <row r="1529" spans="1:8" x14ac:dyDescent="0.25">
      <c r="A1529" s="1"/>
      <c r="B1529" s="1" t="s">
        <v>9010</v>
      </c>
      <c r="C1529" s="1" t="s">
        <v>9011</v>
      </c>
      <c r="D1529" s="22" t="str">
        <f>HYPERLINK("https://rhld.insurance.arkansas.gov/NPILookup?Npi=1679146609","1679146609")</f>
        <v>1679146609</v>
      </c>
      <c r="E1529" s="1" t="s">
        <v>9698</v>
      </c>
      <c r="F1529" s="2"/>
      <c r="G1529" s="2"/>
      <c r="H1529" s="2"/>
    </row>
    <row r="1530" spans="1:8" x14ac:dyDescent="0.25">
      <c r="A1530" s="1"/>
      <c r="B1530" s="1" t="s">
        <v>9010</v>
      </c>
      <c r="C1530" s="1" t="s">
        <v>9011</v>
      </c>
      <c r="D1530" s="22" t="str">
        <f>HYPERLINK("https://rhld.insurance.arkansas.gov/NPILookup?Npi=1679291850","1679291850")</f>
        <v>1679291850</v>
      </c>
      <c r="E1530" s="1" t="s">
        <v>15522</v>
      </c>
      <c r="F1530" s="2"/>
      <c r="G1530" s="2"/>
      <c r="H1530" s="2"/>
    </row>
    <row r="1531" spans="1:8" x14ac:dyDescent="0.25">
      <c r="A1531" s="1"/>
      <c r="B1531" s="1" t="s">
        <v>9010</v>
      </c>
      <c r="C1531" s="1" t="s">
        <v>9011</v>
      </c>
      <c r="D1531" s="22" t="str">
        <f>HYPERLINK("https://rhld.insurance.arkansas.gov/NPILookup?Npi=1679574727","1679574727")</f>
        <v>1679574727</v>
      </c>
      <c r="E1531" s="1" t="s">
        <v>1352</v>
      </c>
      <c r="F1531" s="2"/>
      <c r="G1531" s="2"/>
      <c r="H1531" s="2"/>
    </row>
    <row r="1532" spans="1:8" x14ac:dyDescent="0.25">
      <c r="A1532" s="1"/>
      <c r="B1532" s="1" t="s">
        <v>9010</v>
      </c>
      <c r="C1532" s="1" t="s">
        <v>9011</v>
      </c>
      <c r="D1532" s="22" t="str">
        <f>HYPERLINK("https://rhld.insurance.arkansas.gov/NPILookup?Npi=1689628232","1689628232")</f>
        <v>1689628232</v>
      </c>
      <c r="E1532" s="1" t="s">
        <v>15224</v>
      </c>
      <c r="F1532" s="2"/>
      <c r="G1532" s="2"/>
      <c r="H1532" s="2"/>
    </row>
    <row r="1533" spans="1:8" x14ac:dyDescent="0.25">
      <c r="A1533" s="1"/>
      <c r="B1533" s="1" t="s">
        <v>9010</v>
      </c>
      <c r="C1533" s="1" t="s">
        <v>9011</v>
      </c>
      <c r="D1533" s="22" t="str">
        <f>HYPERLINK("https://rhld.insurance.arkansas.gov/NPILookup?Npi=1689973273","1689973273")</f>
        <v>1689973273</v>
      </c>
      <c r="E1533" s="1" t="s">
        <v>656</v>
      </c>
      <c r="F1533" s="2"/>
      <c r="G1533" s="2"/>
      <c r="H1533" s="2"/>
    </row>
    <row r="1534" spans="1:8" x14ac:dyDescent="0.25">
      <c r="A1534" s="1"/>
      <c r="B1534" s="1" t="s">
        <v>9010</v>
      </c>
      <c r="C1534" s="1" t="s">
        <v>9011</v>
      </c>
      <c r="D1534" s="22" t="str">
        <f>HYPERLINK("https://rhld.insurance.arkansas.gov/NPILookup?Npi=1699097758","1699097758")</f>
        <v>1699097758</v>
      </c>
      <c r="E1534" s="1" t="s">
        <v>15523</v>
      </c>
      <c r="F1534" s="2"/>
      <c r="G1534" s="2"/>
      <c r="H1534" s="2"/>
    </row>
    <row r="1535" spans="1:8" x14ac:dyDescent="0.25">
      <c r="A1535" s="1"/>
      <c r="B1535" s="1" t="s">
        <v>9010</v>
      </c>
      <c r="C1535" s="1" t="s">
        <v>9011</v>
      </c>
      <c r="D1535" s="22" t="str">
        <f>HYPERLINK("https://rhld.insurance.arkansas.gov/NPILookup?Npi=1699221457","1699221457")</f>
        <v>1699221457</v>
      </c>
      <c r="E1535" s="1" t="s">
        <v>15524</v>
      </c>
      <c r="F1535" s="2"/>
      <c r="G1535" s="2"/>
      <c r="H1535" s="2"/>
    </row>
    <row r="1536" spans="1:8" x14ac:dyDescent="0.25">
      <c r="A1536" s="1"/>
      <c r="B1536" s="1" t="s">
        <v>9010</v>
      </c>
      <c r="C1536" s="1" t="s">
        <v>9011</v>
      </c>
      <c r="D1536" s="22" t="str">
        <f>HYPERLINK("https://rhld.insurance.arkansas.gov/NPILookup?Npi=1699414318","1699414318")</f>
        <v>1699414318</v>
      </c>
      <c r="E1536" s="1" t="s">
        <v>1442</v>
      </c>
      <c r="F1536" s="2"/>
      <c r="G1536" s="2"/>
      <c r="H1536" s="2"/>
    </row>
    <row r="1537" spans="1:8" x14ac:dyDescent="0.25">
      <c r="A1537" s="1"/>
      <c r="B1537" s="1" t="s">
        <v>9010</v>
      </c>
      <c r="C1537" s="1" t="s">
        <v>9011</v>
      </c>
      <c r="D1537" s="22" t="str">
        <f>HYPERLINK("https://rhld.insurance.arkansas.gov/NPILookup?Npi=1700360120","1700360120")</f>
        <v>1700360120</v>
      </c>
      <c r="E1537" s="1" t="s">
        <v>9699</v>
      </c>
      <c r="F1537" s="2"/>
      <c r="G1537" s="2"/>
      <c r="H1537" s="2"/>
    </row>
    <row r="1538" spans="1:8" x14ac:dyDescent="0.25">
      <c r="A1538" s="1"/>
      <c r="B1538" s="1" t="s">
        <v>9010</v>
      </c>
      <c r="C1538" s="1" t="s">
        <v>9011</v>
      </c>
      <c r="D1538" s="22" t="str">
        <f>HYPERLINK("https://rhld.insurance.arkansas.gov/NPILookup?Npi=1700407541","1700407541")</f>
        <v>1700407541</v>
      </c>
      <c r="E1538" s="1" t="s">
        <v>1162</v>
      </c>
      <c r="F1538" s="2"/>
      <c r="G1538" s="2"/>
      <c r="H1538" s="2"/>
    </row>
    <row r="1539" spans="1:8" x14ac:dyDescent="0.25">
      <c r="A1539" s="1"/>
      <c r="B1539" s="1" t="s">
        <v>9010</v>
      </c>
      <c r="C1539" s="1" t="s">
        <v>9011</v>
      </c>
      <c r="D1539" s="22" t="str">
        <f>HYPERLINK("https://rhld.insurance.arkansas.gov/NPILookup?Npi=1700850054","1700850054")</f>
        <v>1700850054</v>
      </c>
      <c r="E1539" s="1" t="s">
        <v>15525</v>
      </c>
      <c r="F1539" s="2"/>
      <c r="G1539" s="2"/>
      <c r="H1539" s="2"/>
    </row>
    <row r="1540" spans="1:8" x14ac:dyDescent="0.25">
      <c r="A1540" s="1"/>
      <c r="B1540" s="1" t="s">
        <v>9010</v>
      </c>
      <c r="C1540" s="1" t="s">
        <v>9011</v>
      </c>
      <c r="D1540" s="22" t="str">
        <f>HYPERLINK("https://rhld.insurance.arkansas.gov/NPILookup?Npi=1700874666","1700874666")</f>
        <v>1700874666</v>
      </c>
      <c r="E1540" s="1" t="s">
        <v>15526</v>
      </c>
      <c r="F1540" s="2"/>
      <c r="G1540" s="2"/>
      <c r="H1540" s="2"/>
    </row>
    <row r="1541" spans="1:8" x14ac:dyDescent="0.25">
      <c r="A1541" s="1"/>
      <c r="B1541" s="1" t="s">
        <v>9010</v>
      </c>
      <c r="C1541" s="1" t="s">
        <v>9011</v>
      </c>
      <c r="D1541" s="22" t="str">
        <f>HYPERLINK("https://rhld.insurance.arkansas.gov/NPILookup?Npi=1710295902","1710295902")</f>
        <v>1710295902</v>
      </c>
      <c r="E1541" s="1" t="s">
        <v>9700</v>
      </c>
      <c r="F1541" s="2"/>
      <c r="G1541" s="2"/>
      <c r="H1541" s="2"/>
    </row>
    <row r="1542" spans="1:8" x14ac:dyDescent="0.25">
      <c r="A1542" s="1"/>
      <c r="B1542" s="1" t="s">
        <v>9010</v>
      </c>
      <c r="C1542" s="1" t="s">
        <v>9011</v>
      </c>
      <c r="D1542" s="22" t="str">
        <f>HYPERLINK("https://rhld.insurance.arkansas.gov/NPILookup?Npi=1710351259","1710351259")</f>
        <v>1710351259</v>
      </c>
      <c r="E1542" s="1" t="s">
        <v>15527</v>
      </c>
      <c r="F1542" s="2"/>
      <c r="G1542" s="2"/>
      <c r="H1542" s="2"/>
    </row>
    <row r="1543" spans="1:8" x14ac:dyDescent="0.25">
      <c r="A1543" s="1"/>
      <c r="B1543" s="1" t="s">
        <v>9010</v>
      </c>
      <c r="C1543" s="1" t="s">
        <v>9011</v>
      </c>
      <c r="D1543" s="22" t="str">
        <f>HYPERLINK("https://rhld.insurance.arkansas.gov/NPILookup?Npi=1710524871","1710524871")</f>
        <v>1710524871</v>
      </c>
      <c r="E1543" s="1" t="s">
        <v>1531</v>
      </c>
      <c r="F1543" s="2"/>
      <c r="G1543" s="2"/>
      <c r="H1543" s="2"/>
    </row>
    <row r="1544" spans="1:8" x14ac:dyDescent="0.25">
      <c r="A1544" s="1"/>
      <c r="B1544" s="1" t="s">
        <v>9010</v>
      </c>
      <c r="C1544" s="1" t="s">
        <v>9011</v>
      </c>
      <c r="D1544" s="22" t="str">
        <f>HYPERLINK("https://rhld.insurance.arkansas.gov/NPILookup?Npi=1710562640","1710562640")</f>
        <v>1710562640</v>
      </c>
      <c r="E1544" s="1" t="s">
        <v>1908</v>
      </c>
      <c r="F1544" s="2"/>
      <c r="G1544" s="2"/>
      <c r="H1544" s="2"/>
    </row>
    <row r="1545" spans="1:8" x14ac:dyDescent="0.25">
      <c r="A1545" s="1"/>
      <c r="B1545" s="1" t="s">
        <v>9010</v>
      </c>
      <c r="C1545" s="1" t="s">
        <v>9011</v>
      </c>
      <c r="D1545" s="22" t="str">
        <f>HYPERLINK("https://rhld.insurance.arkansas.gov/NPILookup?Npi=1710562673","1710562673")</f>
        <v>1710562673</v>
      </c>
      <c r="E1545" s="1" t="s">
        <v>1909</v>
      </c>
      <c r="F1545" s="2"/>
      <c r="G1545" s="2"/>
      <c r="H1545" s="2"/>
    </row>
    <row r="1546" spans="1:8" x14ac:dyDescent="0.25">
      <c r="A1546" s="1"/>
      <c r="B1546" s="1" t="s">
        <v>9010</v>
      </c>
      <c r="C1546" s="1" t="s">
        <v>9011</v>
      </c>
      <c r="D1546" s="22" t="str">
        <f>HYPERLINK("https://rhld.insurance.arkansas.gov/NPILookup?Npi=1710573662","1710573662")</f>
        <v>1710573662</v>
      </c>
      <c r="E1546" s="1" t="s">
        <v>15528</v>
      </c>
      <c r="F1546" s="2"/>
      <c r="G1546" s="2"/>
      <c r="H1546" s="2"/>
    </row>
    <row r="1547" spans="1:8" x14ac:dyDescent="0.25">
      <c r="A1547" s="1"/>
      <c r="B1547" s="1" t="s">
        <v>9010</v>
      </c>
      <c r="C1547" s="1" t="s">
        <v>9011</v>
      </c>
      <c r="D1547" s="22" t="str">
        <f>HYPERLINK("https://rhld.insurance.arkansas.gov/NPILookup?Npi=1710931985","1710931985")</f>
        <v>1710931985</v>
      </c>
      <c r="E1547" s="1" t="s">
        <v>15232</v>
      </c>
      <c r="F1547" s="2"/>
      <c r="G1547" s="2"/>
      <c r="H1547" s="2"/>
    </row>
    <row r="1548" spans="1:8" x14ac:dyDescent="0.25">
      <c r="A1548" s="1"/>
      <c r="B1548" s="1" t="s">
        <v>9010</v>
      </c>
      <c r="C1548" s="1" t="s">
        <v>9011</v>
      </c>
      <c r="D1548" s="22" t="str">
        <f>HYPERLINK("https://rhld.insurance.arkansas.gov/NPILookup?Npi=1710943881","1710943881")</f>
        <v>1710943881</v>
      </c>
      <c r="E1548" s="1" t="s">
        <v>654</v>
      </c>
      <c r="F1548" s="2"/>
      <c r="G1548" s="2"/>
      <c r="H1548" s="2"/>
    </row>
    <row r="1549" spans="1:8" x14ac:dyDescent="0.25">
      <c r="A1549" s="1"/>
      <c r="B1549" s="1" t="s">
        <v>9010</v>
      </c>
      <c r="C1549" s="1" t="s">
        <v>9011</v>
      </c>
      <c r="D1549" s="22" t="str">
        <f>HYPERLINK("https://rhld.insurance.arkansas.gov/NPILookup?Npi=1710958574","1710958574")</f>
        <v>1710958574</v>
      </c>
      <c r="E1549" s="1" t="s">
        <v>3469</v>
      </c>
      <c r="F1549" s="2"/>
      <c r="G1549" s="2"/>
      <c r="H1549" s="2"/>
    </row>
    <row r="1550" spans="1:8" x14ac:dyDescent="0.25">
      <c r="A1550" s="1"/>
      <c r="B1550" s="1" t="s">
        <v>9010</v>
      </c>
      <c r="C1550" s="1" t="s">
        <v>9011</v>
      </c>
      <c r="D1550" s="22" t="str">
        <f>HYPERLINK("https://rhld.insurance.arkansas.gov/NPILookup?Npi=1710971809","1710971809")</f>
        <v>1710971809</v>
      </c>
      <c r="E1550" s="1" t="s">
        <v>1353</v>
      </c>
      <c r="F1550" s="2"/>
      <c r="G1550" s="2"/>
      <c r="H1550" s="2"/>
    </row>
    <row r="1551" spans="1:8" x14ac:dyDescent="0.25">
      <c r="A1551" s="1"/>
      <c r="B1551" s="1" t="s">
        <v>9010</v>
      </c>
      <c r="C1551" s="1" t="s">
        <v>9011</v>
      </c>
      <c r="D1551" s="22" t="str">
        <f>HYPERLINK("https://rhld.insurance.arkansas.gov/NPILookup?Npi=1710973086","1710973086")</f>
        <v>1710973086</v>
      </c>
      <c r="E1551" s="1" t="s">
        <v>15529</v>
      </c>
      <c r="F1551" s="2"/>
      <c r="G1551" s="2"/>
      <c r="H1551" s="2"/>
    </row>
    <row r="1552" spans="1:8" x14ac:dyDescent="0.25">
      <c r="A1552" s="1"/>
      <c r="B1552" s="1" t="s">
        <v>9010</v>
      </c>
      <c r="C1552" s="1" t="s">
        <v>9011</v>
      </c>
      <c r="D1552" s="22" t="str">
        <f>HYPERLINK("https://rhld.insurance.arkansas.gov/NPILookup?Npi=1720561699","1720561699")</f>
        <v>1720561699</v>
      </c>
      <c r="E1552" s="1" t="s">
        <v>1910</v>
      </c>
      <c r="F1552" s="2"/>
      <c r="G1552" s="2"/>
      <c r="H1552" s="2"/>
    </row>
    <row r="1553" spans="1:8" x14ac:dyDescent="0.25">
      <c r="A1553" s="1"/>
      <c r="B1553" s="1" t="s">
        <v>9010</v>
      </c>
      <c r="C1553" s="1" t="s">
        <v>9011</v>
      </c>
      <c r="D1553" s="22" t="str">
        <f>HYPERLINK("https://rhld.insurance.arkansas.gov/NPILookup?Npi=1720657224","1720657224")</f>
        <v>1720657224</v>
      </c>
      <c r="E1553" s="1" t="s">
        <v>15530</v>
      </c>
      <c r="F1553" s="2"/>
      <c r="G1553" s="2"/>
      <c r="H1553" s="2"/>
    </row>
    <row r="1554" spans="1:8" x14ac:dyDescent="0.25">
      <c r="A1554" s="1"/>
      <c r="B1554" s="1" t="s">
        <v>9010</v>
      </c>
      <c r="C1554" s="1" t="s">
        <v>9011</v>
      </c>
      <c r="D1554" s="22" t="str">
        <f>HYPERLINK("https://rhld.insurance.arkansas.gov/NPILookup?Npi=1720716251","1720716251")</f>
        <v>1720716251</v>
      </c>
      <c r="E1554" s="1" t="s">
        <v>15531</v>
      </c>
      <c r="F1554" s="2"/>
      <c r="G1554" s="2"/>
      <c r="H1554" s="2"/>
    </row>
    <row r="1555" spans="1:8" x14ac:dyDescent="0.25">
      <c r="A1555" s="1"/>
      <c r="B1555" s="1" t="s">
        <v>9010</v>
      </c>
      <c r="C1555" s="1" t="s">
        <v>9011</v>
      </c>
      <c r="D1555" s="22" t="str">
        <f>HYPERLINK("https://rhld.insurance.arkansas.gov/NPILookup?Npi=1720735426","1720735426")</f>
        <v>1720735426</v>
      </c>
      <c r="E1555" s="1" t="s">
        <v>9035</v>
      </c>
      <c r="F1555" s="2"/>
      <c r="G1555" s="2"/>
      <c r="H1555" s="2"/>
    </row>
    <row r="1556" spans="1:8" x14ac:dyDescent="0.25">
      <c r="A1556" s="1"/>
      <c r="B1556" s="1" t="s">
        <v>9010</v>
      </c>
      <c r="C1556" s="1" t="s">
        <v>9011</v>
      </c>
      <c r="D1556" s="22" t="str">
        <f>HYPERLINK("https://rhld.insurance.arkansas.gov/NPILookup?Npi=1730826066","1730826066")</f>
        <v>1730826066</v>
      </c>
      <c r="E1556" s="1" t="s">
        <v>9701</v>
      </c>
      <c r="F1556" s="2"/>
      <c r="G1556" s="2"/>
      <c r="H1556" s="2"/>
    </row>
    <row r="1557" spans="1:8" x14ac:dyDescent="0.25">
      <c r="A1557" s="1"/>
      <c r="B1557" s="1" t="s">
        <v>9010</v>
      </c>
      <c r="C1557" s="1" t="s">
        <v>9011</v>
      </c>
      <c r="D1557" s="22" t="str">
        <f>HYPERLINK("https://rhld.insurance.arkansas.gov/NPILookup?Npi=1730836412","1730836412")</f>
        <v>1730836412</v>
      </c>
      <c r="E1557" s="1" t="s">
        <v>15532</v>
      </c>
      <c r="F1557" s="2"/>
      <c r="G1557" s="2"/>
      <c r="H1557" s="2"/>
    </row>
    <row r="1558" spans="1:8" x14ac:dyDescent="0.25">
      <c r="A1558" s="1"/>
      <c r="B1558" s="1" t="s">
        <v>9010</v>
      </c>
      <c r="C1558" s="1" t="s">
        <v>9011</v>
      </c>
      <c r="D1558" s="22" t="str">
        <f>HYPERLINK("https://rhld.insurance.arkansas.gov/NPILookup?Npi=1740228204","1740228204")</f>
        <v>1740228204</v>
      </c>
      <c r="E1558" s="1" t="s">
        <v>9702</v>
      </c>
      <c r="F1558" s="2"/>
      <c r="G1558" s="2"/>
      <c r="H1558" s="2"/>
    </row>
    <row r="1559" spans="1:8" x14ac:dyDescent="0.25">
      <c r="A1559" s="1"/>
      <c r="B1559" s="1" t="s">
        <v>9010</v>
      </c>
      <c r="C1559" s="1" t="s">
        <v>9011</v>
      </c>
      <c r="D1559" s="22" t="str">
        <f>HYPERLINK("https://rhld.insurance.arkansas.gov/NPILookup?Npi=1740236777","1740236777")</f>
        <v>1740236777</v>
      </c>
      <c r="E1559" s="1" t="s">
        <v>15533</v>
      </c>
      <c r="F1559" s="2"/>
      <c r="G1559" s="2"/>
      <c r="H1559" s="2"/>
    </row>
    <row r="1560" spans="1:8" x14ac:dyDescent="0.25">
      <c r="A1560" s="1"/>
      <c r="B1560" s="1" t="s">
        <v>9010</v>
      </c>
      <c r="C1560" s="1" t="s">
        <v>9011</v>
      </c>
      <c r="D1560" s="22" t="str">
        <f>HYPERLINK("https://rhld.insurance.arkansas.gov/NPILookup?Npi=1740524404","1740524404")</f>
        <v>1740524404</v>
      </c>
      <c r="E1560" s="1" t="s">
        <v>15534</v>
      </c>
      <c r="F1560" s="2"/>
      <c r="G1560" s="2"/>
      <c r="H1560" s="2"/>
    </row>
    <row r="1561" spans="1:8" x14ac:dyDescent="0.25">
      <c r="A1561" s="1"/>
      <c r="B1561" s="1" t="s">
        <v>9010</v>
      </c>
      <c r="C1561" s="1" t="s">
        <v>9011</v>
      </c>
      <c r="D1561" s="22" t="str">
        <f>HYPERLINK("https://rhld.insurance.arkansas.gov/NPILookup?Npi=1740654185","1740654185")</f>
        <v>1740654185</v>
      </c>
      <c r="E1561" s="1" t="s">
        <v>15535</v>
      </c>
      <c r="F1561" s="2"/>
      <c r="G1561" s="2"/>
      <c r="H1561" s="2"/>
    </row>
    <row r="1562" spans="1:8" x14ac:dyDescent="0.25">
      <c r="A1562" s="1"/>
      <c r="B1562" s="1" t="s">
        <v>9010</v>
      </c>
      <c r="C1562" s="1" t="s">
        <v>9011</v>
      </c>
      <c r="D1562" s="22" t="str">
        <f>HYPERLINK("https://rhld.insurance.arkansas.gov/NPILookup?Npi=1740735422","1740735422")</f>
        <v>1740735422</v>
      </c>
      <c r="E1562" s="1" t="s">
        <v>9036</v>
      </c>
      <c r="F1562" s="2"/>
      <c r="G1562" s="2"/>
      <c r="H1562" s="2"/>
    </row>
    <row r="1563" spans="1:8" x14ac:dyDescent="0.25">
      <c r="A1563" s="1"/>
      <c r="B1563" s="1" t="s">
        <v>9010</v>
      </c>
      <c r="C1563" s="1" t="s">
        <v>9011</v>
      </c>
      <c r="D1563" s="22" t="str">
        <f>HYPERLINK("https://rhld.insurance.arkansas.gov/NPILookup?Npi=1750435426","1750435426")</f>
        <v>1750435426</v>
      </c>
      <c r="E1563" s="1" t="s">
        <v>1354</v>
      </c>
      <c r="F1563" s="2"/>
      <c r="G1563" s="2"/>
      <c r="H1563" s="2"/>
    </row>
    <row r="1564" spans="1:8" x14ac:dyDescent="0.25">
      <c r="A1564" s="1"/>
      <c r="B1564" s="1" t="s">
        <v>9010</v>
      </c>
      <c r="C1564" s="1" t="s">
        <v>9011</v>
      </c>
      <c r="D1564" s="22" t="str">
        <f>HYPERLINK("https://rhld.insurance.arkansas.gov/NPILookup?Npi=1750928644","1750928644")</f>
        <v>1750928644</v>
      </c>
      <c r="E1564" s="1" t="s">
        <v>15536</v>
      </c>
      <c r="F1564" s="2"/>
      <c r="G1564" s="2"/>
      <c r="H1564" s="2"/>
    </row>
    <row r="1565" spans="1:8" x14ac:dyDescent="0.25">
      <c r="A1565" s="1"/>
      <c r="B1565" s="1" t="s">
        <v>9010</v>
      </c>
      <c r="C1565" s="1" t="s">
        <v>9011</v>
      </c>
      <c r="D1565" s="22" t="str">
        <f>HYPERLINK("https://rhld.insurance.arkansas.gov/NPILookup?Npi=1760511745","1760511745")</f>
        <v>1760511745</v>
      </c>
      <c r="E1565" s="1" t="s">
        <v>1355</v>
      </c>
      <c r="F1565" s="2"/>
      <c r="G1565" s="2"/>
      <c r="H1565" s="2"/>
    </row>
    <row r="1566" spans="1:8" x14ac:dyDescent="0.25">
      <c r="A1566" s="1"/>
      <c r="B1566" s="1" t="s">
        <v>9010</v>
      </c>
      <c r="C1566" s="1" t="s">
        <v>9011</v>
      </c>
      <c r="D1566" s="22" t="str">
        <f>HYPERLINK("https://rhld.insurance.arkansas.gov/NPILookup?Npi=1760520936","1760520936")</f>
        <v>1760520936</v>
      </c>
      <c r="E1566" s="1" t="s">
        <v>1444</v>
      </c>
      <c r="F1566" s="2"/>
      <c r="G1566" s="2"/>
      <c r="H1566" s="2"/>
    </row>
    <row r="1567" spans="1:8" x14ac:dyDescent="0.25">
      <c r="A1567" s="1"/>
      <c r="B1567" s="1" t="s">
        <v>9010</v>
      </c>
      <c r="C1567" s="1" t="s">
        <v>9011</v>
      </c>
      <c r="D1567" s="22" t="str">
        <f>HYPERLINK("https://rhld.insurance.arkansas.gov/NPILookup?Npi=1760631121","1760631121")</f>
        <v>1760631121</v>
      </c>
      <c r="E1567" s="1" t="s">
        <v>650</v>
      </c>
      <c r="F1567" s="2"/>
      <c r="G1567" s="2"/>
      <c r="H1567" s="2"/>
    </row>
    <row r="1568" spans="1:8" x14ac:dyDescent="0.25">
      <c r="A1568" s="1"/>
      <c r="B1568" s="1" t="s">
        <v>9010</v>
      </c>
      <c r="C1568" s="1" t="s">
        <v>9011</v>
      </c>
      <c r="D1568" s="22" t="str">
        <f>HYPERLINK("https://rhld.insurance.arkansas.gov/NPILookup?Npi=1760898415","1760898415")</f>
        <v>1760898415</v>
      </c>
      <c r="E1568" s="1" t="s">
        <v>1270</v>
      </c>
      <c r="F1568" s="2"/>
      <c r="G1568" s="2"/>
      <c r="H1568" s="2"/>
    </row>
    <row r="1569" spans="1:8" x14ac:dyDescent="0.25">
      <c r="A1569" s="1"/>
      <c r="B1569" s="1" t="s">
        <v>9010</v>
      </c>
      <c r="C1569" s="1" t="s">
        <v>9011</v>
      </c>
      <c r="D1569" s="22" t="str">
        <f>HYPERLINK("https://rhld.insurance.arkansas.gov/NPILookup?Npi=1770089716","1770089716")</f>
        <v>1770089716</v>
      </c>
      <c r="E1569" s="1" t="s">
        <v>1911</v>
      </c>
      <c r="F1569" s="2"/>
      <c r="G1569" s="2"/>
      <c r="H1569" s="2"/>
    </row>
    <row r="1570" spans="1:8" x14ac:dyDescent="0.25">
      <c r="A1570" s="1"/>
      <c r="B1570" s="1" t="s">
        <v>9010</v>
      </c>
      <c r="C1570" s="1" t="s">
        <v>9011</v>
      </c>
      <c r="D1570" s="22" t="str">
        <f>HYPERLINK("https://rhld.insurance.arkansas.gov/NPILookup?Npi=1770091357","1770091357")</f>
        <v>1770091357</v>
      </c>
      <c r="E1570" s="1" t="s">
        <v>1356</v>
      </c>
      <c r="F1570" s="2"/>
      <c r="G1570" s="2"/>
      <c r="H1570" s="2"/>
    </row>
    <row r="1571" spans="1:8" x14ac:dyDescent="0.25">
      <c r="A1571" s="1"/>
      <c r="B1571" s="1" t="s">
        <v>9010</v>
      </c>
      <c r="C1571" s="1" t="s">
        <v>9011</v>
      </c>
      <c r="D1571" s="22" t="str">
        <f>HYPERLINK("https://rhld.insurance.arkansas.gov/NPILookup?Npi=1770220006","1770220006")</f>
        <v>1770220006</v>
      </c>
      <c r="E1571" s="1" t="s">
        <v>2545</v>
      </c>
      <c r="F1571" s="2"/>
      <c r="G1571" s="2"/>
      <c r="H1571" s="2"/>
    </row>
    <row r="1572" spans="1:8" x14ac:dyDescent="0.25">
      <c r="A1572" s="1"/>
      <c r="B1572" s="1" t="s">
        <v>9010</v>
      </c>
      <c r="C1572" s="1" t="s">
        <v>9011</v>
      </c>
      <c r="D1572" s="22" t="str">
        <f>HYPERLINK("https://rhld.insurance.arkansas.gov/NPILookup?Npi=1770957581","1770957581")</f>
        <v>1770957581</v>
      </c>
      <c r="E1572" s="1" t="s">
        <v>1357</v>
      </c>
      <c r="F1572" s="2"/>
      <c r="G1572" s="2"/>
      <c r="H1572" s="2"/>
    </row>
    <row r="1573" spans="1:8" x14ac:dyDescent="0.25">
      <c r="A1573" s="1"/>
      <c r="B1573" s="1" t="s">
        <v>9010</v>
      </c>
      <c r="C1573" s="1" t="s">
        <v>9011</v>
      </c>
      <c r="D1573" s="22" t="str">
        <f>HYPERLINK("https://rhld.insurance.arkansas.gov/NPILookup?Npi=1780160408","1780160408")</f>
        <v>1780160408</v>
      </c>
      <c r="E1573" s="1" t="s">
        <v>15537</v>
      </c>
      <c r="F1573" s="2"/>
      <c r="G1573" s="2"/>
      <c r="H1573" s="2"/>
    </row>
    <row r="1574" spans="1:8" x14ac:dyDescent="0.25">
      <c r="A1574" s="1"/>
      <c r="B1574" s="1" t="s">
        <v>9010</v>
      </c>
      <c r="C1574" s="1" t="s">
        <v>9011</v>
      </c>
      <c r="D1574" s="22" t="str">
        <f>HYPERLINK("https://rhld.insurance.arkansas.gov/NPILookup?Npi=1780166561","1780166561")</f>
        <v>1780166561</v>
      </c>
      <c r="E1574" s="1" t="s">
        <v>15538</v>
      </c>
      <c r="F1574" s="2"/>
      <c r="G1574" s="2"/>
      <c r="H1574" s="2"/>
    </row>
    <row r="1575" spans="1:8" x14ac:dyDescent="0.25">
      <c r="A1575" s="1"/>
      <c r="B1575" s="1" t="s">
        <v>9010</v>
      </c>
      <c r="C1575" s="1" t="s">
        <v>9011</v>
      </c>
      <c r="D1575" s="22" t="str">
        <f>HYPERLINK("https://rhld.insurance.arkansas.gov/NPILookup?Npi=1780286062","1780286062")</f>
        <v>1780286062</v>
      </c>
      <c r="E1575" s="1" t="s">
        <v>9703</v>
      </c>
      <c r="F1575" s="2"/>
      <c r="G1575" s="2"/>
      <c r="H1575" s="2"/>
    </row>
    <row r="1576" spans="1:8" x14ac:dyDescent="0.25">
      <c r="A1576" s="1"/>
      <c r="B1576" s="1" t="s">
        <v>9010</v>
      </c>
      <c r="C1576" s="1" t="s">
        <v>9011</v>
      </c>
      <c r="D1576" s="22" t="str">
        <f>HYPERLINK("https://rhld.insurance.arkansas.gov/NPILookup?Npi=1780633222","1780633222")</f>
        <v>1780633222</v>
      </c>
      <c r="E1576" s="1" t="s">
        <v>15539</v>
      </c>
      <c r="F1576" s="2"/>
      <c r="G1576" s="2"/>
      <c r="H1576" s="2"/>
    </row>
    <row r="1577" spans="1:8" x14ac:dyDescent="0.25">
      <c r="A1577" s="1"/>
      <c r="B1577" s="1" t="s">
        <v>9010</v>
      </c>
      <c r="C1577" s="1" t="s">
        <v>9011</v>
      </c>
      <c r="D1577" s="22" t="str">
        <f>HYPERLINK("https://rhld.insurance.arkansas.gov/NPILookup?Npi=1790197945","1790197945")</f>
        <v>1790197945</v>
      </c>
      <c r="E1577" s="1" t="s">
        <v>9650</v>
      </c>
      <c r="F1577" s="2"/>
      <c r="G1577" s="2"/>
      <c r="H1577" s="2"/>
    </row>
    <row r="1578" spans="1:8" x14ac:dyDescent="0.25">
      <c r="A1578" s="1"/>
      <c r="B1578" s="1" t="s">
        <v>9010</v>
      </c>
      <c r="C1578" s="1" t="s">
        <v>9011</v>
      </c>
      <c r="D1578" s="22" t="str">
        <f>HYPERLINK("https://rhld.insurance.arkansas.gov/NPILookup?Npi=1790771020","1790771020")</f>
        <v>1790771020</v>
      </c>
      <c r="E1578" s="1" t="s">
        <v>15540</v>
      </c>
      <c r="F1578" s="2"/>
      <c r="G1578" s="2"/>
      <c r="H1578" s="2"/>
    </row>
    <row r="1579" spans="1:8" x14ac:dyDescent="0.25">
      <c r="A1579" s="1"/>
      <c r="B1579" s="1" t="s">
        <v>9010</v>
      </c>
      <c r="C1579" s="1" t="s">
        <v>9011</v>
      </c>
      <c r="D1579" s="22" t="str">
        <f>HYPERLINK("https://rhld.insurance.arkansas.gov/NPILookup?Npi=1790774495","1790774495")</f>
        <v>1790774495</v>
      </c>
      <c r="E1579" s="1" t="s">
        <v>9704</v>
      </c>
      <c r="F1579" s="2"/>
      <c r="G1579" s="2"/>
      <c r="H1579" s="2"/>
    </row>
    <row r="1580" spans="1:8" x14ac:dyDescent="0.25">
      <c r="A1580" s="1"/>
      <c r="B1580" s="1" t="s">
        <v>9010</v>
      </c>
      <c r="C1580" s="1" t="s">
        <v>9011</v>
      </c>
      <c r="D1580" s="22" t="str">
        <f>HYPERLINK("https://rhld.insurance.arkansas.gov/NPILookup?Npi=1790779452","1790779452")</f>
        <v>1790779452</v>
      </c>
      <c r="E1580" s="1" t="s">
        <v>9705</v>
      </c>
      <c r="F1580" s="2"/>
      <c r="G1580" s="2"/>
      <c r="H1580" s="2"/>
    </row>
    <row r="1581" spans="1:8" x14ac:dyDescent="0.25">
      <c r="A1581" s="1"/>
      <c r="B1581" s="1" t="s">
        <v>9010</v>
      </c>
      <c r="C1581" s="1" t="s">
        <v>9011</v>
      </c>
      <c r="D1581" s="22" t="str">
        <f>HYPERLINK("https://rhld.insurance.arkansas.gov/NPILookup?Npi=1801122387","1801122387")</f>
        <v>1801122387</v>
      </c>
      <c r="E1581" s="1" t="s">
        <v>15541</v>
      </c>
      <c r="F1581" s="2"/>
      <c r="G1581" s="2"/>
      <c r="H1581" s="2"/>
    </row>
    <row r="1582" spans="1:8" x14ac:dyDescent="0.25">
      <c r="A1582" s="1"/>
      <c r="B1582" s="1" t="s">
        <v>9010</v>
      </c>
      <c r="C1582" s="1" t="s">
        <v>9011</v>
      </c>
      <c r="D1582" s="22" t="str">
        <f>HYPERLINK("https://rhld.insurance.arkansas.gov/NPILookup?Npi=1801341896","1801341896")</f>
        <v>1801341896</v>
      </c>
      <c r="E1582" s="1" t="s">
        <v>9037</v>
      </c>
      <c r="F1582" s="2"/>
      <c r="G1582" s="2"/>
      <c r="H1582" s="2"/>
    </row>
    <row r="1583" spans="1:8" x14ac:dyDescent="0.25">
      <c r="A1583" s="1"/>
      <c r="B1583" s="1" t="s">
        <v>9010</v>
      </c>
      <c r="C1583" s="1" t="s">
        <v>9011</v>
      </c>
      <c r="D1583" s="22" t="str">
        <f>HYPERLINK("https://rhld.insurance.arkansas.gov/NPILookup?Npi=1801885488","1801885488")</f>
        <v>1801885488</v>
      </c>
      <c r="E1583" s="1" t="s">
        <v>9706</v>
      </c>
      <c r="F1583" s="2"/>
      <c r="G1583" s="2"/>
      <c r="H1583" s="2"/>
    </row>
    <row r="1584" spans="1:8" x14ac:dyDescent="0.25">
      <c r="A1584" s="1"/>
      <c r="B1584" s="1" t="s">
        <v>9010</v>
      </c>
      <c r="C1584" s="1" t="s">
        <v>9011</v>
      </c>
      <c r="D1584" s="22" t="str">
        <f>HYPERLINK("https://rhld.insurance.arkansas.gov/NPILookup?Npi=1811470784","1811470784")</f>
        <v>1811470784</v>
      </c>
      <c r="E1584" s="1" t="s">
        <v>1532</v>
      </c>
      <c r="F1584" s="2"/>
      <c r="G1584" s="2"/>
      <c r="H1584" s="2"/>
    </row>
    <row r="1585" spans="1:8" x14ac:dyDescent="0.25">
      <c r="A1585" s="1"/>
      <c r="B1585" s="1" t="s">
        <v>9010</v>
      </c>
      <c r="C1585" s="1" t="s">
        <v>9011</v>
      </c>
      <c r="D1585" s="22" t="str">
        <f>HYPERLINK("https://rhld.insurance.arkansas.gov/NPILookup?Npi=1811534977","1811534977")</f>
        <v>1811534977</v>
      </c>
      <c r="E1585" s="1" t="s">
        <v>9038</v>
      </c>
      <c r="F1585" s="2"/>
      <c r="G1585" s="2"/>
      <c r="H1585" s="2"/>
    </row>
    <row r="1586" spans="1:8" x14ac:dyDescent="0.25">
      <c r="A1586" s="1"/>
      <c r="B1586" s="1" t="s">
        <v>9010</v>
      </c>
      <c r="C1586" s="1" t="s">
        <v>9011</v>
      </c>
      <c r="D1586" s="22" t="str">
        <f>HYPERLINK("https://rhld.insurance.arkansas.gov/NPILookup?Npi=1811625338","1811625338")</f>
        <v>1811625338</v>
      </c>
      <c r="E1586" s="1" t="s">
        <v>15542</v>
      </c>
      <c r="F1586" s="2"/>
      <c r="G1586" s="2"/>
      <c r="H1586" s="2"/>
    </row>
    <row r="1587" spans="1:8" x14ac:dyDescent="0.25">
      <c r="A1587" s="1"/>
      <c r="B1587" s="1" t="s">
        <v>9010</v>
      </c>
      <c r="C1587" s="1" t="s">
        <v>9011</v>
      </c>
      <c r="D1587" s="22" t="str">
        <f>HYPERLINK("https://rhld.insurance.arkansas.gov/NPILookup?Npi=1821169517","1821169517")</f>
        <v>1821169517</v>
      </c>
      <c r="E1587" s="1" t="s">
        <v>9707</v>
      </c>
      <c r="F1587" s="2"/>
      <c r="G1587" s="2"/>
      <c r="H1587" s="2"/>
    </row>
    <row r="1588" spans="1:8" x14ac:dyDescent="0.25">
      <c r="A1588" s="1"/>
      <c r="B1588" s="1" t="s">
        <v>9010</v>
      </c>
      <c r="C1588" s="1" t="s">
        <v>9011</v>
      </c>
      <c r="D1588" s="22" t="str">
        <f>HYPERLINK("https://rhld.insurance.arkansas.gov/NPILookup?Npi=1821313313","1821313313")</f>
        <v>1821313313</v>
      </c>
      <c r="E1588" s="1" t="s">
        <v>3470</v>
      </c>
      <c r="F1588" s="2"/>
      <c r="G1588" s="2"/>
      <c r="H1588" s="2"/>
    </row>
    <row r="1589" spans="1:8" x14ac:dyDescent="0.25">
      <c r="A1589" s="1"/>
      <c r="B1589" s="1" t="s">
        <v>9010</v>
      </c>
      <c r="C1589" s="1" t="s">
        <v>9011</v>
      </c>
      <c r="D1589" s="22" t="str">
        <f>HYPERLINK("https://rhld.insurance.arkansas.gov/NPILookup?Npi=1821571795","1821571795")</f>
        <v>1821571795</v>
      </c>
      <c r="E1589" s="1" t="s">
        <v>15543</v>
      </c>
      <c r="F1589" s="2"/>
      <c r="G1589" s="2"/>
      <c r="H1589" s="2"/>
    </row>
    <row r="1590" spans="1:8" x14ac:dyDescent="0.25">
      <c r="A1590" s="1"/>
      <c r="B1590" s="1" t="s">
        <v>9010</v>
      </c>
      <c r="C1590" s="1" t="s">
        <v>9011</v>
      </c>
      <c r="D1590" s="22" t="str">
        <f>HYPERLINK("https://rhld.insurance.arkansas.gov/NPILookup?Npi=1831344233","1831344233")</f>
        <v>1831344233</v>
      </c>
      <c r="E1590" s="1" t="s">
        <v>9039</v>
      </c>
      <c r="F1590" s="2"/>
      <c r="G1590" s="2"/>
      <c r="H1590" s="2"/>
    </row>
    <row r="1591" spans="1:8" x14ac:dyDescent="0.25">
      <c r="A1591" s="1"/>
      <c r="B1591" s="1" t="s">
        <v>9010</v>
      </c>
      <c r="C1591" s="1" t="s">
        <v>9011</v>
      </c>
      <c r="D1591" s="22" t="str">
        <f>HYPERLINK("https://rhld.insurance.arkansas.gov/NPILookup?Npi=1831380120","1831380120")</f>
        <v>1831380120</v>
      </c>
      <c r="E1591" s="1" t="s">
        <v>1271</v>
      </c>
      <c r="F1591" s="2"/>
      <c r="G1591" s="2"/>
      <c r="H1591" s="2"/>
    </row>
    <row r="1592" spans="1:8" x14ac:dyDescent="0.25">
      <c r="A1592" s="1"/>
      <c r="B1592" s="1" t="s">
        <v>9010</v>
      </c>
      <c r="C1592" s="1" t="s">
        <v>9011</v>
      </c>
      <c r="D1592" s="22" t="str">
        <f>HYPERLINK("https://rhld.insurance.arkansas.gov/NPILookup?Npi=1831433598","1831433598")</f>
        <v>1831433598</v>
      </c>
      <c r="E1592" s="1" t="s">
        <v>9708</v>
      </c>
      <c r="F1592" s="2"/>
      <c r="G1592" s="2"/>
      <c r="H1592" s="2"/>
    </row>
    <row r="1593" spans="1:8" x14ac:dyDescent="0.25">
      <c r="A1593" s="1"/>
      <c r="B1593" s="1" t="s">
        <v>9010</v>
      </c>
      <c r="C1593" s="1" t="s">
        <v>9011</v>
      </c>
      <c r="D1593" s="22" t="str">
        <f>HYPERLINK("https://rhld.insurance.arkansas.gov/NPILookup?Npi=1831746676","1831746676")</f>
        <v>1831746676</v>
      </c>
      <c r="E1593" s="1" t="s">
        <v>1607</v>
      </c>
      <c r="F1593" s="2"/>
      <c r="G1593" s="2"/>
      <c r="H1593" s="2"/>
    </row>
    <row r="1594" spans="1:8" x14ac:dyDescent="0.25">
      <c r="A1594" s="1"/>
      <c r="B1594" s="1" t="s">
        <v>9010</v>
      </c>
      <c r="C1594" s="1" t="s">
        <v>9011</v>
      </c>
      <c r="D1594" s="22" t="str">
        <f>HYPERLINK("https://rhld.insurance.arkansas.gov/NPILookup?Npi=1841241833","1841241833")</f>
        <v>1841241833</v>
      </c>
      <c r="E1594" s="1" t="s">
        <v>655</v>
      </c>
      <c r="F1594" s="2"/>
      <c r="G1594" s="2"/>
      <c r="H1594" s="2"/>
    </row>
    <row r="1595" spans="1:8" x14ac:dyDescent="0.25">
      <c r="A1595" s="1"/>
      <c r="B1595" s="1" t="s">
        <v>9010</v>
      </c>
      <c r="C1595" s="1" t="s">
        <v>9011</v>
      </c>
      <c r="D1595" s="22" t="str">
        <f>HYPERLINK("https://rhld.insurance.arkansas.gov/NPILookup?Npi=1841288727","1841288727")</f>
        <v>1841288727</v>
      </c>
      <c r="E1595" s="1" t="s">
        <v>9709</v>
      </c>
      <c r="F1595" s="2"/>
      <c r="G1595" s="2"/>
      <c r="H1595" s="2"/>
    </row>
    <row r="1596" spans="1:8" x14ac:dyDescent="0.25">
      <c r="A1596" s="1"/>
      <c r="B1596" s="1" t="s">
        <v>9010</v>
      </c>
      <c r="C1596" s="1" t="s">
        <v>9011</v>
      </c>
      <c r="D1596" s="22" t="str">
        <f>HYPERLINK("https://rhld.insurance.arkansas.gov/NPILookup?Npi=1841627627","1841627627")</f>
        <v>1841627627</v>
      </c>
      <c r="E1596" s="1" t="s">
        <v>15544</v>
      </c>
      <c r="F1596" s="2"/>
      <c r="G1596" s="2"/>
      <c r="H1596" s="2"/>
    </row>
    <row r="1597" spans="1:8" x14ac:dyDescent="0.25">
      <c r="A1597" s="1"/>
      <c r="B1597" s="1" t="s">
        <v>9010</v>
      </c>
      <c r="C1597" s="1" t="s">
        <v>9011</v>
      </c>
      <c r="D1597" s="22" t="str">
        <f>HYPERLINK("https://rhld.insurance.arkansas.gov/NPILookup?Npi=1851093017","1851093017")</f>
        <v>1851093017</v>
      </c>
      <c r="E1597" s="1" t="s">
        <v>9040</v>
      </c>
      <c r="F1597" s="2"/>
      <c r="G1597" s="2"/>
      <c r="H1597" s="2"/>
    </row>
    <row r="1598" spans="1:8" x14ac:dyDescent="0.25">
      <c r="A1598" s="1"/>
      <c r="B1598" s="1" t="s">
        <v>9010</v>
      </c>
      <c r="C1598" s="1" t="s">
        <v>9011</v>
      </c>
      <c r="D1598" s="22" t="str">
        <f>HYPERLINK("https://rhld.insurance.arkansas.gov/NPILookup?Npi=1851387187","1851387187")</f>
        <v>1851387187</v>
      </c>
      <c r="E1598" s="1" t="s">
        <v>15545</v>
      </c>
      <c r="F1598" s="2"/>
      <c r="G1598" s="2"/>
      <c r="H1598" s="2"/>
    </row>
    <row r="1599" spans="1:8" x14ac:dyDescent="0.25">
      <c r="A1599" s="1"/>
      <c r="B1599" s="1" t="s">
        <v>9010</v>
      </c>
      <c r="C1599" s="1" t="s">
        <v>9011</v>
      </c>
      <c r="D1599" s="22" t="str">
        <f>HYPERLINK("https://rhld.insurance.arkansas.gov/NPILookup?Npi=1851765382","1851765382")</f>
        <v>1851765382</v>
      </c>
      <c r="E1599" s="1" t="s">
        <v>15546</v>
      </c>
      <c r="F1599" s="2"/>
      <c r="G1599" s="2"/>
      <c r="H1599" s="2"/>
    </row>
    <row r="1600" spans="1:8" x14ac:dyDescent="0.25">
      <c r="A1600" s="1"/>
      <c r="B1600" s="1" t="s">
        <v>9010</v>
      </c>
      <c r="C1600" s="1" t="s">
        <v>9011</v>
      </c>
      <c r="D1600" s="22" t="str">
        <f>HYPERLINK("https://rhld.insurance.arkansas.gov/NPILookup?Npi=1851812176","1851812176")</f>
        <v>1851812176</v>
      </c>
      <c r="E1600" s="1" t="s">
        <v>658</v>
      </c>
      <c r="F1600" s="2"/>
      <c r="G1600" s="2"/>
      <c r="H1600" s="2"/>
    </row>
    <row r="1601" spans="1:8" x14ac:dyDescent="0.25">
      <c r="A1601" s="1"/>
      <c r="B1601" s="1" t="s">
        <v>9010</v>
      </c>
      <c r="C1601" s="1" t="s">
        <v>9011</v>
      </c>
      <c r="D1601" s="22" t="str">
        <f>HYPERLINK("https://rhld.insurance.arkansas.gov/NPILookup?Npi=1851874804","1851874804")</f>
        <v>1851874804</v>
      </c>
      <c r="E1601" s="1" t="s">
        <v>15547</v>
      </c>
      <c r="F1601" s="2"/>
      <c r="G1601" s="2"/>
      <c r="H1601" s="2"/>
    </row>
    <row r="1602" spans="1:8" x14ac:dyDescent="0.25">
      <c r="A1602" s="1"/>
      <c r="B1602" s="1" t="s">
        <v>9010</v>
      </c>
      <c r="C1602" s="1" t="s">
        <v>9011</v>
      </c>
      <c r="D1602" s="22" t="str">
        <f>HYPERLINK("https://rhld.insurance.arkansas.gov/NPILookup?Npi=1851993125","1851993125")</f>
        <v>1851993125</v>
      </c>
      <c r="E1602" s="1" t="s">
        <v>9710</v>
      </c>
      <c r="F1602" s="2"/>
      <c r="G1602" s="2"/>
      <c r="H1602" s="2"/>
    </row>
    <row r="1603" spans="1:8" x14ac:dyDescent="0.25">
      <c r="A1603" s="1"/>
      <c r="B1603" s="1" t="s">
        <v>9010</v>
      </c>
      <c r="C1603" s="1" t="s">
        <v>9011</v>
      </c>
      <c r="D1603" s="22" t="str">
        <f>HYPERLINK("https://rhld.insurance.arkansas.gov/NPILookup?Npi=1861456469","1861456469")</f>
        <v>1861456469</v>
      </c>
      <c r="E1603" s="1" t="s">
        <v>9711</v>
      </c>
      <c r="F1603" s="2"/>
      <c r="G1603" s="2"/>
      <c r="H1603" s="2"/>
    </row>
    <row r="1604" spans="1:8" x14ac:dyDescent="0.25">
      <c r="A1604" s="1"/>
      <c r="B1604" s="1" t="s">
        <v>9010</v>
      </c>
      <c r="C1604" s="1" t="s">
        <v>9011</v>
      </c>
      <c r="D1604" s="22" t="str">
        <f>HYPERLINK("https://rhld.insurance.arkansas.gov/NPILookup?Npi=1861462749","1861462749")</f>
        <v>1861462749</v>
      </c>
      <c r="E1604" s="1" t="s">
        <v>9712</v>
      </c>
      <c r="F1604" s="2"/>
      <c r="G1604" s="2"/>
      <c r="H1604" s="2"/>
    </row>
    <row r="1605" spans="1:8" x14ac:dyDescent="0.25">
      <c r="A1605" s="1"/>
      <c r="B1605" s="1" t="s">
        <v>9010</v>
      </c>
      <c r="C1605" s="1" t="s">
        <v>9011</v>
      </c>
      <c r="D1605" s="22" t="str">
        <f>HYPERLINK("https://rhld.insurance.arkansas.gov/NPILookup?Npi=1861519548","1861519548")</f>
        <v>1861519548</v>
      </c>
      <c r="E1605" s="1" t="s">
        <v>15292</v>
      </c>
      <c r="F1605" s="2"/>
      <c r="G1605" s="2"/>
      <c r="H1605" s="2"/>
    </row>
    <row r="1606" spans="1:8" x14ac:dyDescent="0.25">
      <c r="A1606" s="1"/>
      <c r="B1606" s="1" t="s">
        <v>9010</v>
      </c>
      <c r="C1606" s="1" t="s">
        <v>9011</v>
      </c>
      <c r="D1606" s="22" t="str">
        <f>HYPERLINK("https://rhld.insurance.arkansas.gov/NPILookup?Npi=1861674038","1861674038")</f>
        <v>1861674038</v>
      </c>
      <c r="E1606" s="1" t="s">
        <v>15548</v>
      </c>
      <c r="F1606" s="2"/>
      <c r="G1606" s="2"/>
      <c r="H1606" s="2"/>
    </row>
    <row r="1607" spans="1:8" x14ac:dyDescent="0.25">
      <c r="A1607" s="1"/>
      <c r="B1607" s="1" t="s">
        <v>9010</v>
      </c>
      <c r="C1607" s="1" t="s">
        <v>9011</v>
      </c>
      <c r="D1607" s="22" t="str">
        <f>HYPERLINK("https://rhld.insurance.arkansas.gov/NPILookup?Npi=1861708885","1861708885")</f>
        <v>1861708885</v>
      </c>
      <c r="E1607" s="1" t="s">
        <v>15549</v>
      </c>
      <c r="F1607" s="2"/>
      <c r="G1607" s="2"/>
      <c r="H1607" s="2"/>
    </row>
    <row r="1608" spans="1:8" x14ac:dyDescent="0.25">
      <c r="A1608" s="1"/>
      <c r="B1608" s="1" t="s">
        <v>9010</v>
      </c>
      <c r="C1608" s="1" t="s">
        <v>9011</v>
      </c>
      <c r="D1608" s="22" t="str">
        <f>HYPERLINK("https://rhld.insurance.arkansas.gov/NPILookup?Npi=1871897041","1871897041")</f>
        <v>1871897041</v>
      </c>
      <c r="E1608" s="1" t="s">
        <v>15550</v>
      </c>
      <c r="F1608" s="2"/>
      <c r="G1608" s="2"/>
      <c r="H1608" s="2"/>
    </row>
    <row r="1609" spans="1:8" x14ac:dyDescent="0.25">
      <c r="A1609" s="1"/>
      <c r="B1609" s="1" t="s">
        <v>9010</v>
      </c>
      <c r="C1609" s="1" t="s">
        <v>9011</v>
      </c>
      <c r="D1609" s="22" t="str">
        <f>HYPERLINK("https://rhld.insurance.arkansas.gov/NPILookup?Npi=1881191450","1881191450")</f>
        <v>1881191450</v>
      </c>
      <c r="E1609" s="1" t="s">
        <v>15551</v>
      </c>
      <c r="F1609" s="2"/>
      <c r="G1609" s="2"/>
      <c r="H1609" s="2"/>
    </row>
    <row r="1610" spans="1:8" x14ac:dyDescent="0.25">
      <c r="A1610" s="1"/>
      <c r="B1610" s="1" t="s">
        <v>9010</v>
      </c>
      <c r="C1610" s="1" t="s">
        <v>9011</v>
      </c>
      <c r="D1610" s="22" t="str">
        <f>HYPERLINK("https://rhld.insurance.arkansas.gov/NPILookup?Npi=1881256493","1881256493")</f>
        <v>1881256493</v>
      </c>
      <c r="E1610" s="1" t="s">
        <v>15552</v>
      </c>
      <c r="F1610" s="2"/>
      <c r="G1610" s="2"/>
      <c r="H1610" s="2"/>
    </row>
    <row r="1611" spans="1:8" x14ac:dyDescent="0.25">
      <c r="A1611" s="1"/>
      <c r="B1611" s="1" t="s">
        <v>9010</v>
      </c>
      <c r="C1611" s="1" t="s">
        <v>9011</v>
      </c>
      <c r="D1611" s="22" t="str">
        <f>HYPERLINK("https://rhld.insurance.arkansas.gov/NPILookup?Npi=1881279743","1881279743")</f>
        <v>1881279743</v>
      </c>
      <c r="E1611" s="1" t="s">
        <v>15553</v>
      </c>
      <c r="F1611" s="2"/>
      <c r="G1611" s="2"/>
      <c r="H1611" s="2"/>
    </row>
    <row r="1612" spans="1:8" x14ac:dyDescent="0.25">
      <c r="A1612" s="1"/>
      <c r="B1612" s="1" t="s">
        <v>9010</v>
      </c>
      <c r="C1612" s="1" t="s">
        <v>9011</v>
      </c>
      <c r="D1612" s="22" t="str">
        <f>HYPERLINK("https://rhld.insurance.arkansas.gov/NPILookup?Npi=1891179560","1891179560")</f>
        <v>1891179560</v>
      </c>
      <c r="E1612" s="1" t="s">
        <v>1609</v>
      </c>
      <c r="F1612" s="2"/>
      <c r="G1612" s="2"/>
      <c r="H1612" s="2"/>
    </row>
    <row r="1613" spans="1:8" x14ac:dyDescent="0.25">
      <c r="A1613" s="1"/>
      <c r="B1613" s="1" t="s">
        <v>9010</v>
      </c>
      <c r="C1613" s="1" t="s">
        <v>9011</v>
      </c>
      <c r="D1613" s="22" t="str">
        <f>HYPERLINK("https://rhld.insurance.arkansas.gov/NPILookup?Npi=1891279212","1891279212")</f>
        <v>1891279212</v>
      </c>
      <c r="E1613" s="1" t="s">
        <v>15554</v>
      </c>
      <c r="F1613" s="2"/>
      <c r="G1613" s="2"/>
      <c r="H1613" s="2"/>
    </row>
    <row r="1614" spans="1:8" x14ac:dyDescent="0.25">
      <c r="A1614" s="1"/>
      <c r="B1614" s="1" t="s">
        <v>9010</v>
      </c>
      <c r="C1614" s="1" t="s">
        <v>9011</v>
      </c>
      <c r="D1614" s="22" t="str">
        <f>HYPERLINK("https://rhld.insurance.arkansas.gov/NPILookup?Npi=1902066202","1902066202")</f>
        <v>1902066202</v>
      </c>
      <c r="E1614" s="1" t="s">
        <v>15555</v>
      </c>
      <c r="F1614" s="2"/>
      <c r="G1614" s="2"/>
      <c r="H1614" s="2"/>
    </row>
    <row r="1615" spans="1:8" x14ac:dyDescent="0.25">
      <c r="A1615" s="1"/>
      <c r="B1615" s="1" t="s">
        <v>9010</v>
      </c>
      <c r="C1615" s="1" t="s">
        <v>9011</v>
      </c>
      <c r="D1615" s="22" t="str">
        <f>HYPERLINK("https://rhld.insurance.arkansas.gov/NPILookup?Npi=1902280662","1902280662")</f>
        <v>1902280662</v>
      </c>
      <c r="E1615" s="1" t="s">
        <v>15556</v>
      </c>
      <c r="F1615" s="2"/>
      <c r="G1615" s="2"/>
      <c r="H1615" s="2"/>
    </row>
    <row r="1616" spans="1:8" x14ac:dyDescent="0.25">
      <c r="A1616" s="1"/>
      <c r="B1616" s="1" t="s">
        <v>9010</v>
      </c>
      <c r="C1616" s="1" t="s">
        <v>9011</v>
      </c>
      <c r="D1616" s="22" t="str">
        <f>HYPERLINK("https://rhld.insurance.arkansas.gov/NPILookup?Npi=1902842255","1902842255")</f>
        <v>1902842255</v>
      </c>
      <c r="E1616" s="1" t="s">
        <v>8899</v>
      </c>
      <c r="F1616" s="2"/>
      <c r="G1616" s="2"/>
      <c r="H1616" s="2"/>
    </row>
    <row r="1617" spans="1:8" x14ac:dyDescent="0.25">
      <c r="A1617" s="1"/>
      <c r="B1617" s="1" t="s">
        <v>9010</v>
      </c>
      <c r="C1617" s="1" t="s">
        <v>9011</v>
      </c>
      <c r="D1617" s="22" t="str">
        <f>HYPERLINK("https://rhld.insurance.arkansas.gov/NPILookup?Npi=1902868391","1902868391")</f>
        <v>1902868391</v>
      </c>
      <c r="E1617" s="1" t="s">
        <v>709</v>
      </c>
      <c r="F1617" s="2"/>
      <c r="G1617" s="2"/>
      <c r="H1617" s="2"/>
    </row>
    <row r="1618" spans="1:8" x14ac:dyDescent="0.25">
      <c r="A1618" s="1"/>
      <c r="B1618" s="1" t="s">
        <v>9010</v>
      </c>
      <c r="C1618" s="1" t="s">
        <v>9011</v>
      </c>
      <c r="D1618" s="22" t="str">
        <f>HYPERLINK("https://rhld.insurance.arkansas.gov/NPILookup?Npi=1912084450","1912084450")</f>
        <v>1912084450</v>
      </c>
      <c r="E1618" s="1" t="s">
        <v>2550</v>
      </c>
      <c r="F1618" s="2"/>
      <c r="G1618" s="2"/>
      <c r="H1618" s="2"/>
    </row>
    <row r="1619" spans="1:8" x14ac:dyDescent="0.25">
      <c r="A1619" s="1"/>
      <c r="B1619" s="1" t="s">
        <v>9010</v>
      </c>
      <c r="C1619" s="1" t="s">
        <v>9011</v>
      </c>
      <c r="D1619" s="22" t="str">
        <f>HYPERLINK("https://rhld.insurance.arkansas.gov/NPILookup?Npi=1912453986","1912453986")</f>
        <v>1912453986</v>
      </c>
      <c r="E1619" s="1" t="s">
        <v>15557</v>
      </c>
      <c r="F1619" s="2"/>
      <c r="G1619" s="2"/>
      <c r="H1619" s="2"/>
    </row>
    <row r="1620" spans="1:8" x14ac:dyDescent="0.25">
      <c r="A1620" s="1"/>
      <c r="B1620" s="1" t="s">
        <v>9010</v>
      </c>
      <c r="C1620" s="1" t="s">
        <v>9011</v>
      </c>
      <c r="D1620" s="22" t="str">
        <f>HYPERLINK("https://rhld.insurance.arkansas.gov/NPILookup?Npi=1912480880","1912480880")</f>
        <v>1912480880</v>
      </c>
      <c r="E1620" s="1" t="s">
        <v>15558</v>
      </c>
      <c r="F1620" s="2"/>
      <c r="G1620" s="2"/>
      <c r="H1620" s="2"/>
    </row>
    <row r="1621" spans="1:8" x14ac:dyDescent="0.25">
      <c r="A1621" s="1"/>
      <c r="B1621" s="1" t="s">
        <v>9010</v>
      </c>
      <c r="C1621" s="1" t="s">
        <v>9011</v>
      </c>
      <c r="D1621" s="22" t="str">
        <f>HYPERLINK("https://rhld.insurance.arkansas.gov/NPILookup?Npi=1912582891","1912582891")</f>
        <v>1912582891</v>
      </c>
      <c r="E1621" s="1" t="s">
        <v>15559</v>
      </c>
      <c r="F1621" s="2"/>
      <c r="G1621" s="2"/>
      <c r="H1621" s="2"/>
    </row>
    <row r="1622" spans="1:8" x14ac:dyDescent="0.25">
      <c r="A1622" s="1"/>
      <c r="B1622" s="1" t="s">
        <v>9010</v>
      </c>
      <c r="C1622" s="1" t="s">
        <v>9011</v>
      </c>
      <c r="D1622" s="22" t="str">
        <f>HYPERLINK("https://rhld.insurance.arkansas.gov/NPILookup?Npi=1912932534","1912932534")</f>
        <v>1912932534</v>
      </c>
      <c r="E1622" s="1" t="s">
        <v>15560</v>
      </c>
      <c r="F1622" s="2"/>
      <c r="G1622" s="2"/>
      <c r="H1622" s="2"/>
    </row>
    <row r="1623" spans="1:8" x14ac:dyDescent="0.25">
      <c r="A1623" s="1"/>
      <c r="B1623" s="1" t="s">
        <v>9010</v>
      </c>
      <c r="C1623" s="1" t="s">
        <v>9011</v>
      </c>
      <c r="D1623" s="22" t="str">
        <f>HYPERLINK("https://rhld.insurance.arkansas.gov/NPILookup?Npi=1912978685","1912978685")</f>
        <v>1912978685</v>
      </c>
      <c r="E1623" s="1" t="s">
        <v>652</v>
      </c>
      <c r="F1623" s="2"/>
      <c r="G1623" s="2"/>
      <c r="H1623" s="2"/>
    </row>
    <row r="1624" spans="1:8" x14ac:dyDescent="0.25">
      <c r="A1624" s="1"/>
      <c r="B1624" s="1" t="s">
        <v>9010</v>
      </c>
      <c r="C1624" s="1" t="s">
        <v>9011</v>
      </c>
      <c r="D1624" s="22" t="str">
        <f>HYPERLINK("https://rhld.insurance.arkansas.gov/NPILookup?Npi=1922016872","1922016872")</f>
        <v>1922016872</v>
      </c>
      <c r="E1624" s="1" t="s">
        <v>9713</v>
      </c>
      <c r="F1624" s="2"/>
      <c r="G1624" s="2"/>
      <c r="H1624" s="2"/>
    </row>
    <row r="1625" spans="1:8" x14ac:dyDescent="0.25">
      <c r="A1625" s="1"/>
      <c r="B1625" s="1" t="s">
        <v>9010</v>
      </c>
      <c r="C1625" s="1" t="s">
        <v>9011</v>
      </c>
      <c r="D1625" s="22" t="str">
        <f>HYPERLINK("https://rhld.insurance.arkansas.gov/NPILookup?Npi=1922300649","1922300649")</f>
        <v>1922300649</v>
      </c>
      <c r="E1625" s="1" t="s">
        <v>3471</v>
      </c>
      <c r="F1625" s="2"/>
      <c r="G1625" s="2"/>
      <c r="H1625" s="2"/>
    </row>
    <row r="1626" spans="1:8" x14ac:dyDescent="0.25">
      <c r="A1626" s="1"/>
      <c r="B1626" s="1" t="s">
        <v>9010</v>
      </c>
      <c r="C1626" s="1" t="s">
        <v>9011</v>
      </c>
      <c r="D1626" s="22" t="str">
        <f>HYPERLINK("https://rhld.insurance.arkansas.gov/NPILookup?Npi=1922342682","1922342682")</f>
        <v>1922342682</v>
      </c>
      <c r="E1626" s="1" t="s">
        <v>9714</v>
      </c>
      <c r="F1626" s="2"/>
      <c r="G1626" s="2"/>
      <c r="H1626" s="2"/>
    </row>
    <row r="1627" spans="1:8" x14ac:dyDescent="0.25">
      <c r="A1627" s="1"/>
      <c r="B1627" s="1" t="s">
        <v>9010</v>
      </c>
      <c r="C1627" s="1" t="s">
        <v>9011</v>
      </c>
      <c r="D1627" s="22" t="str">
        <f>HYPERLINK("https://rhld.insurance.arkansas.gov/NPILookup?Npi=1922677129","1922677129")</f>
        <v>1922677129</v>
      </c>
      <c r="E1627" s="1" t="s">
        <v>9041</v>
      </c>
      <c r="F1627" s="2"/>
      <c r="G1627" s="2"/>
      <c r="H1627" s="2"/>
    </row>
    <row r="1628" spans="1:8" x14ac:dyDescent="0.25">
      <c r="A1628" s="1"/>
      <c r="B1628" s="1" t="s">
        <v>9010</v>
      </c>
      <c r="C1628" s="1" t="s">
        <v>9011</v>
      </c>
      <c r="D1628" s="22" t="str">
        <f>HYPERLINK("https://rhld.insurance.arkansas.gov/NPILookup?Npi=1932235025","1932235025")</f>
        <v>1932235025</v>
      </c>
      <c r="E1628" s="1" t="s">
        <v>974</v>
      </c>
      <c r="F1628" s="2"/>
      <c r="G1628" s="2"/>
      <c r="H1628" s="2"/>
    </row>
    <row r="1629" spans="1:8" x14ac:dyDescent="0.25">
      <c r="A1629" s="1"/>
      <c r="B1629" s="1" t="s">
        <v>9010</v>
      </c>
      <c r="C1629" s="1" t="s">
        <v>9011</v>
      </c>
      <c r="D1629" s="22" t="str">
        <f>HYPERLINK("https://rhld.insurance.arkansas.gov/NPILookup?Npi=1932361607","1932361607")</f>
        <v>1932361607</v>
      </c>
      <c r="E1629" s="1" t="s">
        <v>15561</v>
      </c>
      <c r="F1629" s="2"/>
      <c r="G1629" s="2"/>
      <c r="H1629" s="2"/>
    </row>
    <row r="1630" spans="1:8" x14ac:dyDescent="0.25">
      <c r="A1630" s="1"/>
      <c r="B1630" s="1" t="s">
        <v>9010</v>
      </c>
      <c r="C1630" s="1" t="s">
        <v>9011</v>
      </c>
      <c r="D1630" s="22" t="str">
        <f>HYPERLINK("https://rhld.insurance.arkansas.gov/NPILookup?Npi=1942200852","1942200852")</f>
        <v>1942200852</v>
      </c>
      <c r="E1630" s="1" t="s">
        <v>9042</v>
      </c>
      <c r="F1630" s="2"/>
      <c r="G1630" s="2"/>
      <c r="H1630" s="2"/>
    </row>
    <row r="1631" spans="1:8" x14ac:dyDescent="0.25">
      <c r="A1631" s="1"/>
      <c r="B1631" s="1" t="s">
        <v>9010</v>
      </c>
      <c r="C1631" s="1" t="s">
        <v>9011</v>
      </c>
      <c r="D1631" s="22" t="str">
        <f>HYPERLINK("https://rhld.insurance.arkansas.gov/NPILookup?Npi=1942939426","1942939426")</f>
        <v>1942939426</v>
      </c>
      <c r="E1631" s="1" t="s">
        <v>2551</v>
      </c>
      <c r="F1631" s="2"/>
      <c r="G1631" s="2"/>
      <c r="H1631" s="2"/>
    </row>
    <row r="1632" spans="1:8" x14ac:dyDescent="0.25">
      <c r="A1632" s="1"/>
      <c r="B1632" s="1" t="s">
        <v>9010</v>
      </c>
      <c r="C1632" s="1" t="s">
        <v>9011</v>
      </c>
      <c r="D1632" s="22" t="str">
        <f>HYPERLINK("https://rhld.insurance.arkansas.gov/NPILookup?Npi=1952302788","1952302788")</f>
        <v>1952302788</v>
      </c>
      <c r="E1632" s="1" t="s">
        <v>3472</v>
      </c>
      <c r="F1632" s="2"/>
      <c r="G1632" s="2"/>
      <c r="H1632" s="2"/>
    </row>
    <row r="1633" spans="1:8" x14ac:dyDescent="0.25">
      <c r="A1633" s="1"/>
      <c r="B1633" s="1" t="s">
        <v>9010</v>
      </c>
      <c r="C1633" s="1" t="s">
        <v>9011</v>
      </c>
      <c r="D1633" s="22" t="str">
        <f>HYPERLINK("https://rhld.insurance.arkansas.gov/NPILookup?Npi=1952705618","1952705618")</f>
        <v>1952705618</v>
      </c>
      <c r="E1633" s="1" t="s">
        <v>2242</v>
      </c>
      <c r="F1633" s="2"/>
      <c r="G1633" s="2"/>
      <c r="H1633" s="2"/>
    </row>
    <row r="1634" spans="1:8" x14ac:dyDescent="0.25">
      <c r="A1634" s="1"/>
      <c r="B1634" s="1" t="s">
        <v>9010</v>
      </c>
      <c r="C1634" s="1" t="s">
        <v>9011</v>
      </c>
      <c r="D1634" s="22" t="str">
        <f>HYPERLINK("https://rhld.insurance.arkansas.gov/NPILookup?Npi=1952727521","1952727521")</f>
        <v>1952727521</v>
      </c>
      <c r="E1634" s="1" t="s">
        <v>975</v>
      </c>
      <c r="F1634" s="2"/>
      <c r="G1634" s="2"/>
      <c r="H1634" s="2"/>
    </row>
    <row r="1635" spans="1:8" x14ac:dyDescent="0.25">
      <c r="A1635" s="1"/>
      <c r="B1635" s="1" t="s">
        <v>9010</v>
      </c>
      <c r="C1635" s="1" t="s">
        <v>9011</v>
      </c>
      <c r="D1635" s="22" t="str">
        <f>HYPERLINK("https://rhld.insurance.arkansas.gov/NPILookup?Npi=1962071464","1962071464")</f>
        <v>1962071464</v>
      </c>
      <c r="E1635" s="1" t="s">
        <v>9043</v>
      </c>
      <c r="F1635" s="2"/>
      <c r="G1635" s="2"/>
      <c r="H1635" s="2"/>
    </row>
    <row r="1636" spans="1:8" x14ac:dyDescent="0.25">
      <c r="A1636" s="1"/>
      <c r="B1636" s="1" t="s">
        <v>9010</v>
      </c>
      <c r="C1636" s="1" t="s">
        <v>9011</v>
      </c>
      <c r="D1636" s="22" t="str">
        <f>HYPERLINK("https://rhld.insurance.arkansas.gov/NPILookup?Npi=1962087825","1962087825")</f>
        <v>1962087825</v>
      </c>
      <c r="E1636" s="1" t="s">
        <v>2243</v>
      </c>
      <c r="F1636" s="2"/>
      <c r="G1636" s="2"/>
      <c r="H1636" s="2"/>
    </row>
    <row r="1637" spans="1:8" x14ac:dyDescent="0.25">
      <c r="A1637" s="1"/>
      <c r="B1637" s="1" t="s">
        <v>9010</v>
      </c>
      <c r="C1637" s="1" t="s">
        <v>9011</v>
      </c>
      <c r="D1637" s="22" t="str">
        <f>HYPERLINK("https://rhld.insurance.arkansas.gov/NPILookup?Npi=1962457325","1962457325")</f>
        <v>1962457325</v>
      </c>
      <c r="E1637" s="1" t="s">
        <v>799</v>
      </c>
      <c r="F1637" s="2"/>
      <c r="G1637" s="2"/>
      <c r="H1637" s="2"/>
    </row>
    <row r="1638" spans="1:8" x14ac:dyDescent="0.25">
      <c r="A1638" s="1"/>
      <c r="B1638" s="1" t="s">
        <v>9010</v>
      </c>
      <c r="C1638" s="1" t="s">
        <v>9011</v>
      </c>
      <c r="D1638" s="22" t="str">
        <f>HYPERLINK("https://rhld.insurance.arkansas.gov/NPILookup?Npi=1962851568","1962851568")</f>
        <v>1962851568</v>
      </c>
      <c r="E1638" s="1" t="s">
        <v>1272</v>
      </c>
      <c r="F1638" s="2"/>
      <c r="G1638" s="2"/>
      <c r="H1638" s="2"/>
    </row>
    <row r="1639" spans="1:8" x14ac:dyDescent="0.25">
      <c r="A1639" s="1"/>
      <c r="B1639" s="1" t="s">
        <v>9010</v>
      </c>
      <c r="C1639" s="1" t="s">
        <v>9011</v>
      </c>
      <c r="D1639" s="22" t="str">
        <f>HYPERLINK("https://rhld.insurance.arkansas.gov/NPILookup?Npi=1962860445","1962860445")</f>
        <v>1962860445</v>
      </c>
      <c r="E1639" s="1" t="s">
        <v>9715</v>
      </c>
      <c r="F1639" s="2"/>
      <c r="G1639" s="2"/>
      <c r="H1639" s="2"/>
    </row>
    <row r="1640" spans="1:8" x14ac:dyDescent="0.25">
      <c r="A1640" s="1"/>
      <c r="B1640" s="1" t="s">
        <v>9010</v>
      </c>
      <c r="C1640" s="1" t="s">
        <v>9011</v>
      </c>
      <c r="D1640" s="22" t="str">
        <f>HYPERLINK("https://rhld.insurance.arkansas.gov/NPILookup?Npi=1972539567","1972539567")</f>
        <v>1972539567</v>
      </c>
      <c r="E1640" s="1" t="s">
        <v>9636</v>
      </c>
      <c r="F1640" s="2"/>
      <c r="G1640" s="2"/>
      <c r="H1640" s="2"/>
    </row>
    <row r="1641" spans="1:8" x14ac:dyDescent="0.25">
      <c r="A1641" s="1"/>
      <c r="B1641" s="1" t="s">
        <v>9010</v>
      </c>
      <c r="C1641" s="1" t="s">
        <v>9011</v>
      </c>
      <c r="D1641" s="22" t="str">
        <f>HYPERLINK("https://rhld.insurance.arkansas.gov/NPILookup?Npi=1972578631","1972578631")</f>
        <v>1972578631</v>
      </c>
      <c r="E1641" s="1" t="s">
        <v>9044</v>
      </c>
      <c r="F1641" s="2"/>
      <c r="G1641" s="2"/>
      <c r="H1641" s="2"/>
    </row>
    <row r="1642" spans="1:8" x14ac:dyDescent="0.25">
      <c r="A1642" s="1"/>
      <c r="B1642" s="1" t="s">
        <v>9010</v>
      </c>
      <c r="C1642" s="1" t="s">
        <v>9011</v>
      </c>
      <c r="D1642" s="22" t="str">
        <f>HYPERLINK("https://rhld.insurance.arkansas.gov/NPILookup?Npi=1972586238","1972586238")</f>
        <v>1972586238</v>
      </c>
      <c r="E1642" s="1" t="s">
        <v>15319</v>
      </c>
      <c r="F1642" s="2"/>
      <c r="G1642" s="2"/>
      <c r="H1642" s="2"/>
    </row>
    <row r="1643" spans="1:8" x14ac:dyDescent="0.25">
      <c r="A1643" s="1"/>
      <c r="B1643" s="1" t="s">
        <v>9010</v>
      </c>
      <c r="C1643" s="1" t="s">
        <v>9011</v>
      </c>
      <c r="D1643" s="22" t="str">
        <f>HYPERLINK("https://rhld.insurance.arkansas.gov/NPILookup?Npi=1982206264","1982206264")</f>
        <v>1982206264</v>
      </c>
      <c r="E1643" s="1" t="s">
        <v>15562</v>
      </c>
      <c r="F1643" s="2"/>
      <c r="G1643" s="2"/>
      <c r="H1643" s="2"/>
    </row>
    <row r="1644" spans="1:8" x14ac:dyDescent="0.25">
      <c r="A1644" s="1"/>
      <c r="B1644" s="1" t="s">
        <v>9010</v>
      </c>
      <c r="C1644" s="1" t="s">
        <v>9011</v>
      </c>
      <c r="D1644" s="22" t="str">
        <f>HYPERLINK("https://rhld.insurance.arkansas.gov/NPILookup?Npi=1992013189","1992013189")</f>
        <v>1992013189</v>
      </c>
      <c r="E1644" s="1" t="s">
        <v>1912</v>
      </c>
      <c r="F1644" s="2"/>
      <c r="G1644" s="2"/>
      <c r="H1644" s="2"/>
    </row>
    <row r="1645" spans="1:8" x14ac:dyDescent="0.25">
      <c r="A1645" s="1"/>
      <c r="B1645" s="1" t="s">
        <v>9010</v>
      </c>
      <c r="C1645" s="1" t="s">
        <v>9011</v>
      </c>
      <c r="D1645" s="22" t="str">
        <f>HYPERLINK("https://rhld.insurance.arkansas.gov/NPILookup?Npi=1992185789","1992185789")</f>
        <v>1992185789</v>
      </c>
      <c r="E1645" s="1" t="s">
        <v>15563</v>
      </c>
      <c r="F1645" s="2"/>
      <c r="G1645" s="2"/>
      <c r="H1645" s="2"/>
    </row>
    <row r="1646" spans="1:8" x14ac:dyDescent="0.25">
      <c r="A1646" s="1"/>
      <c r="B1646" s="1" t="s">
        <v>9010</v>
      </c>
      <c r="C1646" s="1" t="s">
        <v>9011</v>
      </c>
      <c r="D1646" s="22" t="str">
        <f>HYPERLINK("https://rhld.insurance.arkansas.gov/NPILookup?Npi=1992317291","1992317291")</f>
        <v>1992317291</v>
      </c>
      <c r="E1646" s="1" t="s">
        <v>9045</v>
      </c>
      <c r="F1646" s="2"/>
      <c r="G1646" s="2"/>
      <c r="H1646" s="2"/>
    </row>
    <row r="1647" spans="1:8" x14ac:dyDescent="0.25">
      <c r="A1647" s="1"/>
      <c r="B1647" s="1" t="s">
        <v>9010</v>
      </c>
      <c r="C1647" s="1" t="s">
        <v>9011</v>
      </c>
      <c r="D1647" s="22" t="str">
        <f>HYPERLINK("https://rhld.insurance.arkansas.gov/NPILookup?Npi=1992737985","1992737985")</f>
        <v>1992737985</v>
      </c>
      <c r="E1647" s="1" t="s">
        <v>1445</v>
      </c>
      <c r="F1647" s="2"/>
      <c r="G1647" s="2"/>
      <c r="H1647" s="2"/>
    </row>
    <row r="1648" spans="1:8" x14ac:dyDescent="0.25">
      <c r="A1648" s="1"/>
      <c r="B1648" s="1" t="s">
        <v>9010</v>
      </c>
      <c r="C1648" s="1" t="s">
        <v>9011</v>
      </c>
      <c r="D1648" s="22" t="str">
        <f>HYPERLINK("https://rhld.insurance.arkansas.gov/NPILookup?Npi=1992750772","1992750772")</f>
        <v>1992750772</v>
      </c>
      <c r="E1648" s="1" t="s">
        <v>9716</v>
      </c>
      <c r="F1648" s="2"/>
      <c r="G1648" s="2"/>
      <c r="H1648" s="2"/>
    </row>
    <row r="1649" spans="1:8" x14ac:dyDescent="0.25">
      <c r="A1649" s="1"/>
      <c r="B1649" s="1" t="s">
        <v>9046</v>
      </c>
      <c r="C1649" s="1" t="s">
        <v>9047</v>
      </c>
      <c r="D1649" s="22" t="str">
        <f>HYPERLINK("https://rhld.insurance.arkansas.gov/NPILookup?Npi=1003031600","1003031600")</f>
        <v>1003031600</v>
      </c>
      <c r="E1649" s="1" t="s">
        <v>15564</v>
      </c>
      <c r="F1649" s="2"/>
      <c r="G1649" s="2"/>
      <c r="H1649" s="2"/>
    </row>
    <row r="1650" spans="1:8" x14ac:dyDescent="0.25">
      <c r="A1650" s="1"/>
      <c r="B1650" s="1" t="s">
        <v>9046</v>
      </c>
      <c r="C1650" s="1" t="s">
        <v>9047</v>
      </c>
      <c r="D1650" s="22" t="str">
        <f>HYPERLINK("https://rhld.insurance.arkansas.gov/NPILookup?Npi=1003180035","1003180035")</f>
        <v>1003180035</v>
      </c>
      <c r="E1650" s="1" t="s">
        <v>15298</v>
      </c>
      <c r="F1650" s="2"/>
      <c r="G1650" s="2"/>
      <c r="H1650" s="2"/>
    </row>
    <row r="1651" spans="1:8" x14ac:dyDescent="0.25">
      <c r="A1651" s="1"/>
      <c r="B1651" s="1" t="s">
        <v>9046</v>
      </c>
      <c r="C1651" s="1" t="s">
        <v>9047</v>
      </c>
      <c r="D1651" s="22" t="str">
        <f>HYPERLINK("https://rhld.insurance.arkansas.gov/NPILookup?Npi=1003835141","1003835141")</f>
        <v>1003835141</v>
      </c>
      <c r="E1651" s="1" t="s">
        <v>15565</v>
      </c>
      <c r="F1651" s="2"/>
      <c r="G1651" s="2"/>
      <c r="H1651" s="2"/>
    </row>
    <row r="1652" spans="1:8" x14ac:dyDescent="0.25">
      <c r="A1652" s="1"/>
      <c r="B1652" s="1" t="s">
        <v>9046</v>
      </c>
      <c r="C1652" s="1" t="s">
        <v>9047</v>
      </c>
      <c r="D1652" s="22" t="str">
        <f>HYPERLINK("https://rhld.insurance.arkansas.gov/NPILookup?Npi=1003871104","1003871104")</f>
        <v>1003871104</v>
      </c>
      <c r="E1652" s="1" t="s">
        <v>9717</v>
      </c>
      <c r="F1652" s="2"/>
      <c r="G1652" s="2"/>
      <c r="H1652" s="2"/>
    </row>
    <row r="1653" spans="1:8" x14ac:dyDescent="0.25">
      <c r="A1653" s="1"/>
      <c r="B1653" s="1" t="s">
        <v>9046</v>
      </c>
      <c r="C1653" s="1" t="s">
        <v>9047</v>
      </c>
      <c r="D1653" s="22" t="str">
        <f>HYPERLINK("https://rhld.insurance.arkansas.gov/NPILookup?Npi=1003898313","1003898313")</f>
        <v>1003898313</v>
      </c>
      <c r="E1653" s="1" t="s">
        <v>1161</v>
      </c>
      <c r="F1653" s="2"/>
      <c r="G1653" s="2"/>
      <c r="H1653" s="2"/>
    </row>
    <row r="1654" spans="1:8" x14ac:dyDescent="0.25">
      <c r="A1654" s="1"/>
      <c r="B1654" s="1" t="s">
        <v>9046</v>
      </c>
      <c r="C1654" s="1" t="s">
        <v>9047</v>
      </c>
      <c r="D1654" s="22" t="str">
        <f>HYPERLINK("https://rhld.insurance.arkansas.gov/NPILookup?Npi=1013522127","1013522127")</f>
        <v>1013522127</v>
      </c>
      <c r="E1654" s="1" t="s">
        <v>15566</v>
      </c>
      <c r="F1654" s="2"/>
      <c r="G1654" s="2"/>
      <c r="H1654" s="2"/>
    </row>
    <row r="1655" spans="1:8" x14ac:dyDescent="0.25">
      <c r="A1655" s="1"/>
      <c r="B1655" s="1" t="s">
        <v>9046</v>
      </c>
      <c r="C1655" s="1" t="s">
        <v>9047</v>
      </c>
      <c r="D1655" s="22" t="str">
        <f>HYPERLINK("https://rhld.insurance.arkansas.gov/NPILookup?Npi=1013979301","1013979301")</f>
        <v>1013979301</v>
      </c>
      <c r="E1655" s="1" t="s">
        <v>15299</v>
      </c>
      <c r="F1655" s="2"/>
      <c r="G1655" s="2"/>
      <c r="H1655" s="2"/>
    </row>
    <row r="1656" spans="1:8" x14ac:dyDescent="0.25">
      <c r="A1656" s="1"/>
      <c r="B1656" s="1" t="s">
        <v>9046</v>
      </c>
      <c r="C1656" s="1" t="s">
        <v>9047</v>
      </c>
      <c r="D1656" s="22" t="str">
        <f>HYPERLINK("https://rhld.insurance.arkansas.gov/NPILookup?Npi=1023039195","1023039195")</f>
        <v>1023039195</v>
      </c>
      <c r="E1656" s="1" t="s">
        <v>15567</v>
      </c>
      <c r="F1656" s="2"/>
      <c r="G1656" s="2"/>
      <c r="H1656" s="2"/>
    </row>
    <row r="1657" spans="1:8" x14ac:dyDescent="0.25">
      <c r="A1657" s="1"/>
      <c r="B1657" s="1" t="s">
        <v>9046</v>
      </c>
      <c r="C1657" s="1" t="s">
        <v>9047</v>
      </c>
      <c r="D1657" s="22" t="str">
        <f>HYPERLINK("https://rhld.insurance.arkansas.gov/NPILookup?Npi=1023057916","1023057916")</f>
        <v>1023057916</v>
      </c>
      <c r="E1657" s="1" t="s">
        <v>9048</v>
      </c>
      <c r="F1657" s="2"/>
      <c r="G1657" s="2"/>
      <c r="H1657" s="2"/>
    </row>
    <row r="1658" spans="1:8" x14ac:dyDescent="0.25">
      <c r="A1658" s="1"/>
      <c r="B1658" s="1" t="s">
        <v>9046</v>
      </c>
      <c r="C1658" s="1" t="s">
        <v>9047</v>
      </c>
      <c r="D1658" s="22" t="str">
        <f>HYPERLINK("https://rhld.insurance.arkansas.gov/NPILookup?Npi=1023182581","1023182581")</f>
        <v>1023182581</v>
      </c>
      <c r="E1658" s="1" t="s">
        <v>9049</v>
      </c>
      <c r="F1658" s="2"/>
      <c r="G1658" s="2"/>
      <c r="H1658" s="2"/>
    </row>
    <row r="1659" spans="1:8" x14ac:dyDescent="0.25">
      <c r="A1659" s="1"/>
      <c r="B1659" s="1" t="s">
        <v>9046</v>
      </c>
      <c r="C1659" s="1" t="s">
        <v>9047</v>
      </c>
      <c r="D1659" s="22" t="str">
        <f>HYPERLINK("https://rhld.insurance.arkansas.gov/NPILookup?Npi=1023620739","1023620739")</f>
        <v>1023620739</v>
      </c>
      <c r="E1659" s="1" t="s">
        <v>9050</v>
      </c>
      <c r="F1659" s="2"/>
      <c r="G1659" s="2"/>
      <c r="H1659" s="2"/>
    </row>
    <row r="1660" spans="1:8" x14ac:dyDescent="0.25">
      <c r="A1660" s="1"/>
      <c r="B1660" s="1" t="s">
        <v>9046</v>
      </c>
      <c r="C1660" s="1" t="s">
        <v>9047</v>
      </c>
      <c r="D1660" s="22" t="str">
        <f>HYPERLINK("https://rhld.insurance.arkansas.gov/NPILookup?Npi=1033112230","1033112230")</f>
        <v>1033112230</v>
      </c>
      <c r="E1660" s="1" t="s">
        <v>15273</v>
      </c>
      <c r="F1660" s="2"/>
      <c r="G1660" s="2"/>
      <c r="H1660" s="2"/>
    </row>
    <row r="1661" spans="1:8" x14ac:dyDescent="0.25">
      <c r="A1661" s="1"/>
      <c r="B1661" s="1" t="s">
        <v>9046</v>
      </c>
      <c r="C1661" s="1" t="s">
        <v>9047</v>
      </c>
      <c r="D1661" s="22" t="str">
        <f>HYPERLINK("https://rhld.insurance.arkansas.gov/NPILookup?Npi=1033147921","1033147921")</f>
        <v>1033147921</v>
      </c>
      <c r="E1661" s="1" t="s">
        <v>15089</v>
      </c>
      <c r="F1661" s="2"/>
      <c r="G1661" s="2"/>
      <c r="H1661" s="2"/>
    </row>
    <row r="1662" spans="1:8" x14ac:dyDescent="0.25">
      <c r="A1662" s="1"/>
      <c r="B1662" s="1" t="s">
        <v>9046</v>
      </c>
      <c r="C1662" s="1" t="s">
        <v>9047</v>
      </c>
      <c r="D1662" s="22" t="str">
        <f>HYPERLINK("https://rhld.insurance.arkansas.gov/NPILookup?Npi=1033160049","1033160049")</f>
        <v>1033160049</v>
      </c>
      <c r="E1662" s="1" t="s">
        <v>972</v>
      </c>
      <c r="F1662" s="2"/>
      <c r="G1662" s="2"/>
      <c r="H1662" s="2"/>
    </row>
    <row r="1663" spans="1:8" x14ac:dyDescent="0.25">
      <c r="A1663" s="1"/>
      <c r="B1663" s="1" t="s">
        <v>9046</v>
      </c>
      <c r="C1663" s="1" t="s">
        <v>9047</v>
      </c>
      <c r="D1663" s="22" t="str">
        <f>HYPERLINK("https://rhld.insurance.arkansas.gov/NPILookup?Npi=1033235619","1033235619")</f>
        <v>1033235619</v>
      </c>
      <c r="E1663" s="1" t="s">
        <v>15568</v>
      </c>
      <c r="F1663" s="2"/>
      <c r="G1663" s="2"/>
      <c r="H1663" s="2"/>
    </row>
    <row r="1664" spans="1:8" x14ac:dyDescent="0.25">
      <c r="A1664" s="1"/>
      <c r="B1664" s="1" t="s">
        <v>9046</v>
      </c>
      <c r="C1664" s="1" t="s">
        <v>9047</v>
      </c>
      <c r="D1664" s="22" t="str">
        <f>HYPERLINK("https://rhld.insurance.arkansas.gov/NPILookup?Npi=1033404199","1033404199")</f>
        <v>1033404199</v>
      </c>
      <c r="E1664" s="1" t="s">
        <v>9718</v>
      </c>
      <c r="F1664" s="2"/>
      <c r="G1664" s="2"/>
      <c r="H1664" s="2"/>
    </row>
    <row r="1665" spans="1:8" x14ac:dyDescent="0.25">
      <c r="A1665" s="1"/>
      <c r="B1665" s="1" t="s">
        <v>9046</v>
      </c>
      <c r="C1665" s="1" t="s">
        <v>9047</v>
      </c>
      <c r="D1665" s="22" t="str">
        <f>HYPERLINK("https://rhld.insurance.arkansas.gov/NPILookup?Npi=1043208283","1043208283")</f>
        <v>1043208283</v>
      </c>
      <c r="E1665" s="1" t="s">
        <v>15569</v>
      </c>
      <c r="F1665" s="2"/>
      <c r="G1665" s="2"/>
      <c r="H1665" s="2"/>
    </row>
    <row r="1666" spans="1:8" x14ac:dyDescent="0.25">
      <c r="A1666" s="1"/>
      <c r="B1666" s="1" t="s">
        <v>9046</v>
      </c>
      <c r="C1666" s="1" t="s">
        <v>9047</v>
      </c>
      <c r="D1666" s="22" t="str">
        <f>HYPERLINK("https://rhld.insurance.arkansas.gov/NPILookup?Npi=1043240682","1043240682")</f>
        <v>1043240682</v>
      </c>
      <c r="E1666" s="1" t="s">
        <v>15095</v>
      </c>
      <c r="F1666" s="2"/>
      <c r="G1666" s="2"/>
      <c r="H1666" s="2"/>
    </row>
    <row r="1667" spans="1:8" x14ac:dyDescent="0.25">
      <c r="A1667" s="1"/>
      <c r="B1667" s="1" t="s">
        <v>9046</v>
      </c>
      <c r="C1667" s="1" t="s">
        <v>9047</v>
      </c>
      <c r="D1667" s="22" t="str">
        <f>HYPERLINK("https://rhld.insurance.arkansas.gov/NPILookup?Npi=1043565542","1043565542")</f>
        <v>1043565542</v>
      </c>
      <c r="E1667" s="1" t="s">
        <v>9719</v>
      </c>
      <c r="F1667" s="2"/>
      <c r="G1667" s="2"/>
      <c r="H1667" s="2"/>
    </row>
    <row r="1668" spans="1:8" x14ac:dyDescent="0.25">
      <c r="A1668" s="1"/>
      <c r="B1668" s="1" t="s">
        <v>9046</v>
      </c>
      <c r="C1668" s="1" t="s">
        <v>9047</v>
      </c>
      <c r="D1668" s="22" t="str">
        <f>HYPERLINK("https://rhld.insurance.arkansas.gov/NPILookup?Npi=1043625221","1043625221")</f>
        <v>1043625221</v>
      </c>
      <c r="E1668" s="1" t="s">
        <v>9051</v>
      </c>
      <c r="F1668" s="2"/>
      <c r="G1668" s="2"/>
      <c r="H1668" s="2"/>
    </row>
    <row r="1669" spans="1:8" x14ac:dyDescent="0.25">
      <c r="A1669" s="1"/>
      <c r="B1669" s="1" t="s">
        <v>9046</v>
      </c>
      <c r="C1669" s="1" t="s">
        <v>9047</v>
      </c>
      <c r="D1669" s="22" t="str">
        <f>HYPERLINK("https://rhld.insurance.arkansas.gov/NPILookup?Npi=1053301473","1053301473")</f>
        <v>1053301473</v>
      </c>
      <c r="E1669" s="1" t="s">
        <v>9052</v>
      </c>
      <c r="F1669" s="2"/>
      <c r="G1669" s="2"/>
      <c r="H1669" s="2"/>
    </row>
    <row r="1670" spans="1:8" x14ac:dyDescent="0.25">
      <c r="A1670" s="1"/>
      <c r="B1670" s="1" t="s">
        <v>9046</v>
      </c>
      <c r="C1670" s="1" t="s">
        <v>9047</v>
      </c>
      <c r="D1670" s="22" t="str">
        <f>HYPERLINK("https://rhld.insurance.arkansas.gov/NPILookup?Npi=1053346064","1053346064")</f>
        <v>1053346064</v>
      </c>
      <c r="E1670" s="1" t="s">
        <v>9114</v>
      </c>
      <c r="F1670" s="2"/>
      <c r="G1670" s="2"/>
      <c r="H1670" s="2"/>
    </row>
    <row r="1671" spans="1:8" x14ac:dyDescent="0.25">
      <c r="A1671" s="1"/>
      <c r="B1671" s="1" t="s">
        <v>9046</v>
      </c>
      <c r="C1671" s="1" t="s">
        <v>9047</v>
      </c>
      <c r="D1671" s="22" t="str">
        <f>HYPERLINK("https://rhld.insurance.arkansas.gov/NPILookup?Npi=1053685677","1053685677")</f>
        <v>1053685677</v>
      </c>
      <c r="E1671" s="1" t="s">
        <v>15570</v>
      </c>
      <c r="F1671" s="2"/>
      <c r="G1671" s="2"/>
      <c r="H1671" s="2"/>
    </row>
    <row r="1672" spans="1:8" x14ac:dyDescent="0.25">
      <c r="A1672" s="1"/>
      <c r="B1672" s="1" t="s">
        <v>9046</v>
      </c>
      <c r="C1672" s="1" t="s">
        <v>9047</v>
      </c>
      <c r="D1672" s="22" t="str">
        <f>HYPERLINK("https://rhld.insurance.arkansas.gov/NPILookup?Npi=1063415891","1063415891")</f>
        <v>1063415891</v>
      </c>
      <c r="E1672" s="1" t="s">
        <v>9115</v>
      </c>
      <c r="F1672" s="2"/>
      <c r="G1672" s="2"/>
      <c r="H1672" s="2"/>
    </row>
    <row r="1673" spans="1:8" x14ac:dyDescent="0.25">
      <c r="A1673" s="1"/>
      <c r="B1673" s="1" t="s">
        <v>9046</v>
      </c>
      <c r="C1673" s="1" t="s">
        <v>9047</v>
      </c>
      <c r="D1673" s="22" t="str">
        <f>HYPERLINK("https://rhld.insurance.arkansas.gov/NPILookup?Npi=1063464964","1063464964")</f>
        <v>1063464964</v>
      </c>
      <c r="E1673" s="1" t="s">
        <v>9720</v>
      </c>
      <c r="F1673" s="2"/>
      <c r="G1673" s="2"/>
      <c r="H1673" s="2"/>
    </row>
    <row r="1674" spans="1:8" x14ac:dyDescent="0.25">
      <c r="A1674" s="1"/>
      <c r="B1674" s="1" t="s">
        <v>9046</v>
      </c>
      <c r="C1674" s="1" t="s">
        <v>9047</v>
      </c>
      <c r="D1674" s="22" t="str">
        <f>HYPERLINK("https://rhld.insurance.arkansas.gov/NPILookup?Npi=1063470730","1063470730")</f>
        <v>1063470730</v>
      </c>
      <c r="E1674" s="1" t="s">
        <v>9053</v>
      </c>
      <c r="F1674" s="2"/>
      <c r="G1674" s="2"/>
      <c r="H1674" s="2"/>
    </row>
    <row r="1675" spans="1:8" x14ac:dyDescent="0.25">
      <c r="A1675" s="1"/>
      <c r="B1675" s="1" t="s">
        <v>9046</v>
      </c>
      <c r="C1675" s="1" t="s">
        <v>9047</v>
      </c>
      <c r="D1675" s="22" t="str">
        <f>HYPERLINK("https://rhld.insurance.arkansas.gov/NPILookup?Npi=1063695120","1063695120")</f>
        <v>1063695120</v>
      </c>
      <c r="E1675" s="1" t="s">
        <v>1563</v>
      </c>
      <c r="F1675" s="2"/>
      <c r="G1675" s="2"/>
      <c r="H1675" s="2"/>
    </row>
    <row r="1676" spans="1:8" x14ac:dyDescent="0.25">
      <c r="A1676" s="1"/>
      <c r="B1676" s="1" t="s">
        <v>9046</v>
      </c>
      <c r="C1676" s="1" t="s">
        <v>9047</v>
      </c>
      <c r="D1676" s="22" t="str">
        <f>HYPERLINK("https://rhld.insurance.arkansas.gov/NPILookup?Npi=1073079596","1073079596")</f>
        <v>1073079596</v>
      </c>
      <c r="E1676" s="1" t="s">
        <v>15571</v>
      </c>
      <c r="F1676" s="2"/>
      <c r="G1676" s="2"/>
      <c r="H1676" s="2"/>
    </row>
    <row r="1677" spans="1:8" x14ac:dyDescent="0.25">
      <c r="A1677" s="1"/>
      <c r="B1677" s="1" t="s">
        <v>9046</v>
      </c>
      <c r="C1677" s="1" t="s">
        <v>9047</v>
      </c>
      <c r="D1677" s="22" t="str">
        <f>HYPERLINK("https://rhld.insurance.arkansas.gov/NPILookup?Npi=1073509733","1073509733")</f>
        <v>1073509733</v>
      </c>
      <c r="E1677" s="1" t="s">
        <v>9721</v>
      </c>
      <c r="F1677" s="2"/>
      <c r="G1677" s="2"/>
      <c r="H1677" s="2"/>
    </row>
    <row r="1678" spans="1:8" x14ac:dyDescent="0.25">
      <c r="A1678" s="1"/>
      <c r="B1678" s="1" t="s">
        <v>9046</v>
      </c>
      <c r="C1678" s="1" t="s">
        <v>9047</v>
      </c>
      <c r="D1678" s="22" t="str">
        <f>HYPERLINK("https://rhld.insurance.arkansas.gov/NPILookup?Npi=1073743399","1073743399")</f>
        <v>1073743399</v>
      </c>
      <c r="E1678" s="1" t="s">
        <v>15572</v>
      </c>
      <c r="F1678" s="2"/>
      <c r="G1678" s="2"/>
      <c r="H1678" s="2"/>
    </row>
    <row r="1679" spans="1:8" x14ac:dyDescent="0.25">
      <c r="A1679" s="1"/>
      <c r="B1679" s="1" t="s">
        <v>9046</v>
      </c>
      <c r="C1679" s="1" t="s">
        <v>9047</v>
      </c>
      <c r="D1679" s="22" t="str">
        <f>HYPERLINK("https://rhld.insurance.arkansas.gov/NPILookup?Npi=1073748406","1073748406")</f>
        <v>1073748406</v>
      </c>
      <c r="E1679" s="1" t="s">
        <v>5178</v>
      </c>
      <c r="F1679" s="2"/>
      <c r="G1679" s="2"/>
      <c r="H1679" s="2"/>
    </row>
    <row r="1680" spans="1:8" x14ac:dyDescent="0.25">
      <c r="A1680" s="1"/>
      <c r="B1680" s="1" t="s">
        <v>9046</v>
      </c>
      <c r="C1680" s="1" t="s">
        <v>9047</v>
      </c>
      <c r="D1680" s="22" t="str">
        <f>HYPERLINK("https://rhld.insurance.arkansas.gov/NPILookup?Npi=1073763652","1073763652")</f>
        <v>1073763652</v>
      </c>
      <c r="E1680" s="1" t="s">
        <v>9054</v>
      </c>
      <c r="F1680" s="2"/>
      <c r="G1680" s="2"/>
      <c r="H1680" s="2"/>
    </row>
    <row r="1681" spans="1:8" x14ac:dyDescent="0.25">
      <c r="A1681" s="1"/>
      <c r="B1681" s="1" t="s">
        <v>9046</v>
      </c>
      <c r="C1681" s="1" t="s">
        <v>9047</v>
      </c>
      <c r="D1681" s="22" t="str">
        <f>HYPERLINK("https://rhld.insurance.arkansas.gov/NPILookup?Npi=1083206866","1083206866")</f>
        <v>1083206866</v>
      </c>
      <c r="E1681" s="1" t="s">
        <v>9055</v>
      </c>
      <c r="F1681" s="2"/>
      <c r="G1681" s="2"/>
      <c r="H1681" s="2"/>
    </row>
    <row r="1682" spans="1:8" x14ac:dyDescent="0.25">
      <c r="A1682" s="1"/>
      <c r="B1682" s="1" t="s">
        <v>9046</v>
      </c>
      <c r="C1682" s="1" t="s">
        <v>9047</v>
      </c>
      <c r="D1682" s="22" t="str">
        <f>HYPERLINK("https://rhld.insurance.arkansas.gov/NPILookup?Npi=1083609150","1083609150")</f>
        <v>1083609150</v>
      </c>
      <c r="E1682" s="1" t="s">
        <v>15106</v>
      </c>
      <c r="F1682" s="2"/>
      <c r="G1682" s="2"/>
      <c r="H1682" s="2"/>
    </row>
    <row r="1683" spans="1:8" x14ac:dyDescent="0.25">
      <c r="A1683" s="1"/>
      <c r="B1683" s="1" t="s">
        <v>9046</v>
      </c>
      <c r="C1683" s="1" t="s">
        <v>9047</v>
      </c>
      <c r="D1683" s="22" t="str">
        <f>HYPERLINK("https://rhld.insurance.arkansas.gov/NPILookup?Npi=1083778302","1083778302")</f>
        <v>1083778302</v>
      </c>
      <c r="E1683" s="1" t="s">
        <v>15274</v>
      </c>
      <c r="F1683" s="2"/>
      <c r="G1683" s="2"/>
      <c r="H1683" s="2"/>
    </row>
    <row r="1684" spans="1:8" x14ac:dyDescent="0.25">
      <c r="A1684" s="1"/>
      <c r="B1684" s="1" t="s">
        <v>9046</v>
      </c>
      <c r="C1684" s="1" t="s">
        <v>9047</v>
      </c>
      <c r="D1684" s="22" t="str">
        <f>HYPERLINK("https://rhld.insurance.arkansas.gov/NPILookup?Npi=1083898605","1083898605")</f>
        <v>1083898605</v>
      </c>
      <c r="E1684" s="1" t="s">
        <v>15573</v>
      </c>
      <c r="F1684" s="2"/>
      <c r="G1684" s="2"/>
      <c r="H1684" s="2"/>
    </row>
    <row r="1685" spans="1:8" x14ac:dyDescent="0.25">
      <c r="A1685" s="1"/>
      <c r="B1685" s="1" t="s">
        <v>9046</v>
      </c>
      <c r="C1685" s="1" t="s">
        <v>9047</v>
      </c>
      <c r="D1685" s="22" t="str">
        <f>HYPERLINK("https://rhld.insurance.arkansas.gov/NPILookup?Npi=1093795031","1093795031")</f>
        <v>1093795031</v>
      </c>
      <c r="E1685" s="1" t="s">
        <v>9057</v>
      </c>
      <c r="F1685" s="2"/>
      <c r="G1685" s="2"/>
      <c r="H1685" s="2"/>
    </row>
    <row r="1686" spans="1:8" x14ac:dyDescent="0.25">
      <c r="A1686" s="1"/>
      <c r="B1686" s="1" t="s">
        <v>9046</v>
      </c>
      <c r="C1686" s="1" t="s">
        <v>9047</v>
      </c>
      <c r="D1686" s="22" t="str">
        <f>HYPERLINK("https://rhld.insurance.arkansas.gov/NPILookup?Npi=1093799405","1093799405")</f>
        <v>1093799405</v>
      </c>
      <c r="E1686" s="1" t="s">
        <v>15574</v>
      </c>
      <c r="F1686" s="2"/>
      <c r="G1686" s="2"/>
      <c r="H1686" s="2"/>
    </row>
    <row r="1687" spans="1:8" x14ac:dyDescent="0.25">
      <c r="A1687" s="1"/>
      <c r="B1687" s="1" t="s">
        <v>9046</v>
      </c>
      <c r="C1687" s="1" t="s">
        <v>9047</v>
      </c>
      <c r="D1687" s="22" t="str">
        <f>HYPERLINK("https://rhld.insurance.arkansas.gov/NPILookup?Npi=1093907339","1093907339")</f>
        <v>1093907339</v>
      </c>
      <c r="E1687" s="1" t="s">
        <v>15575</v>
      </c>
      <c r="F1687" s="2"/>
      <c r="G1687" s="2"/>
      <c r="H1687" s="2"/>
    </row>
    <row r="1688" spans="1:8" x14ac:dyDescent="0.25">
      <c r="A1688" s="1"/>
      <c r="B1688" s="1" t="s">
        <v>9046</v>
      </c>
      <c r="C1688" s="1" t="s">
        <v>9047</v>
      </c>
      <c r="D1688" s="22" t="str">
        <f>HYPERLINK("https://rhld.insurance.arkansas.gov/NPILookup?Npi=1093950925","1093950925")</f>
        <v>1093950925</v>
      </c>
      <c r="E1688" s="1" t="s">
        <v>15576</v>
      </c>
      <c r="F1688" s="2"/>
      <c r="G1688" s="2"/>
      <c r="H1688" s="2"/>
    </row>
    <row r="1689" spans="1:8" x14ac:dyDescent="0.25">
      <c r="A1689" s="1"/>
      <c r="B1689" s="1" t="s">
        <v>9046</v>
      </c>
      <c r="C1689" s="1" t="s">
        <v>9047</v>
      </c>
      <c r="D1689" s="22" t="str">
        <f>HYPERLINK("https://rhld.insurance.arkansas.gov/NPILookup?Npi=1114294139","1114294139")</f>
        <v>1114294139</v>
      </c>
      <c r="E1689" s="1" t="s">
        <v>9058</v>
      </c>
      <c r="F1689" s="2"/>
      <c r="G1689" s="2"/>
      <c r="H1689" s="2"/>
    </row>
    <row r="1690" spans="1:8" x14ac:dyDescent="0.25">
      <c r="A1690" s="1"/>
      <c r="B1690" s="1" t="s">
        <v>9046</v>
      </c>
      <c r="C1690" s="1" t="s">
        <v>9047</v>
      </c>
      <c r="D1690" s="22" t="str">
        <f>HYPERLINK("https://rhld.insurance.arkansas.gov/NPILookup?Npi=1114903523","1114903523")</f>
        <v>1114903523</v>
      </c>
      <c r="E1690" s="1" t="s">
        <v>2139</v>
      </c>
      <c r="F1690" s="2"/>
      <c r="G1690" s="2"/>
      <c r="H1690" s="2"/>
    </row>
    <row r="1691" spans="1:8" x14ac:dyDescent="0.25">
      <c r="A1691" s="1"/>
      <c r="B1691" s="1" t="s">
        <v>9046</v>
      </c>
      <c r="C1691" s="1" t="s">
        <v>9047</v>
      </c>
      <c r="D1691" s="22" t="str">
        <f>HYPERLINK("https://rhld.insurance.arkansas.gov/NPILookup?Npi=1114906393","1114906393")</f>
        <v>1114906393</v>
      </c>
      <c r="E1691" s="1" t="s">
        <v>15577</v>
      </c>
      <c r="F1691" s="2"/>
      <c r="G1691" s="2"/>
      <c r="H1691" s="2"/>
    </row>
    <row r="1692" spans="1:8" x14ac:dyDescent="0.25">
      <c r="A1692" s="1"/>
      <c r="B1692" s="1" t="s">
        <v>9046</v>
      </c>
      <c r="C1692" s="1" t="s">
        <v>9047</v>
      </c>
      <c r="D1692" s="22" t="str">
        <f>HYPERLINK("https://rhld.insurance.arkansas.gov/NPILookup?Npi=1124021811","1124021811")</f>
        <v>1124021811</v>
      </c>
      <c r="E1692" s="1" t="s">
        <v>8888</v>
      </c>
      <c r="F1692" s="2"/>
      <c r="G1692" s="2"/>
      <c r="H1692" s="2"/>
    </row>
    <row r="1693" spans="1:8" x14ac:dyDescent="0.25">
      <c r="A1693" s="1"/>
      <c r="B1693" s="1" t="s">
        <v>9046</v>
      </c>
      <c r="C1693" s="1" t="s">
        <v>9047</v>
      </c>
      <c r="D1693" s="22" t="str">
        <f>HYPERLINK("https://rhld.insurance.arkansas.gov/NPILookup?Npi=1134116049","1134116049")</f>
        <v>1134116049</v>
      </c>
      <c r="E1693" s="1" t="s">
        <v>15116</v>
      </c>
      <c r="F1693" s="2"/>
      <c r="G1693" s="2"/>
      <c r="H1693" s="2"/>
    </row>
    <row r="1694" spans="1:8" x14ac:dyDescent="0.25">
      <c r="A1694" s="1"/>
      <c r="B1694" s="1" t="s">
        <v>9046</v>
      </c>
      <c r="C1694" s="1" t="s">
        <v>9047</v>
      </c>
      <c r="D1694" s="22" t="str">
        <f>HYPERLINK("https://rhld.insurance.arkansas.gov/NPILookup?Npi=1134176480","1134176480")</f>
        <v>1134176480</v>
      </c>
      <c r="E1694" s="1" t="s">
        <v>15430</v>
      </c>
      <c r="F1694" s="2"/>
      <c r="G1694" s="2"/>
      <c r="H1694" s="2"/>
    </row>
    <row r="1695" spans="1:8" x14ac:dyDescent="0.25">
      <c r="A1695" s="1"/>
      <c r="B1695" s="1" t="s">
        <v>9046</v>
      </c>
      <c r="C1695" s="1" t="s">
        <v>9047</v>
      </c>
      <c r="D1695" s="22" t="str">
        <f>HYPERLINK("https://rhld.insurance.arkansas.gov/NPILookup?Npi=1134177256","1134177256")</f>
        <v>1134177256</v>
      </c>
      <c r="E1695" s="1" t="s">
        <v>15578</v>
      </c>
      <c r="F1695" s="2"/>
      <c r="G1695" s="2"/>
      <c r="H1695" s="2"/>
    </row>
    <row r="1696" spans="1:8" x14ac:dyDescent="0.25">
      <c r="A1696" s="1"/>
      <c r="B1696" s="1" t="s">
        <v>9046</v>
      </c>
      <c r="C1696" s="1" t="s">
        <v>9047</v>
      </c>
      <c r="D1696" s="22" t="str">
        <f>HYPERLINK("https://rhld.insurance.arkansas.gov/NPILookup?Npi=1134720592","1134720592")</f>
        <v>1134720592</v>
      </c>
      <c r="E1696" s="1" t="s">
        <v>8890</v>
      </c>
      <c r="F1696" s="2"/>
      <c r="G1696" s="2"/>
      <c r="H1696" s="2"/>
    </row>
    <row r="1697" spans="1:8" x14ac:dyDescent="0.25">
      <c r="A1697" s="1"/>
      <c r="B1697" s="1" t="s">
        <v>9046</v>
      </c>
      <c r="C1697" s="1" t="s">
        <v>9047</v>
      </c>
      <c r="D1697" s="22" t="str">
        <f>HYPERLINK("https://rhld.insurance.arkansas.gov/NPILookup?Npi=1144213117","1144213117")</f>
        <v>1144213117</v>
      </c>
      <c r="E1697" s="1" t="s">
        <v>1688</v>
      </c>
      <c r="F1697" s="2"/>
      <c r="G1697" s="2"/>
      <c r="H1697" s="2"/>
    </row>
    <row r="1698" spans="1:8" x14ac:dyDescent="0.25">
      <c r="A1698" s="1"/>
      <c r="B1698" s="1" t="s">
        <v>9046</v>
      </c>
      <c r="C1698" s="1" t="s">
        <v>9047</v>
      </c>
      <c r="D1698" s="22" t="str">
        <f>HYPERLINK("https://rhld.insurance.arkansas.gov/NPILookup?Npi=1144590522","1144590522")</f>
        <v>1144590522</v>
      </c>
      <c r="E1698" s="1" t="s">
        <v>15275</v>
      </c>
      <c r="F1698" s="2"/>
      <c r="G1698" s="2"/>
      <c r="H1698" s="2"/>
    </row>
    <row r="1699" spans="1:8" x14ac:dyDescent="0.25">
      <c r="A1699" s="1"/>
      <c r="B1699" s="1" t="s">
        <v>9046</v>
      </c>
      <c r="C1699" s="1" t="s">
        <v>9047</v>
      </c>
      <c r="D1699" s="22" t="str">
        <f>HYPERLINK("https://rhld.insurance.arkansas.gov/NPILookup?Npi=1154807584","1154807584")</f>
        <v>1154807584</v>
      </c>
      <c r="E1699" s="1" t="s">
        <v>3465</v>
      </c>
      <c r="F1699" s="2"/>
      <c r="G1699" s="2"/>
      <c r="H1699" s="2"/>
    </row>
    <row r="1700" spans="1:8" x14ac:dyDescent="0.25">
      <c r="A1700" s="1"/>
      <c r="B1700" s="1" t="s">
        <v>9046</v>
      </c>
      <c r="C1700" s="1" t="s">
        <v>9047</v>
      </c>
      <c r="D1700" s="22" t="str">
        <f>HYPERLINK("https://rhld.insurance.arkansas.gov/NPILookup?Npi=1164458634","1164458634")</f>
        <v>1164458634</v>
      </c>
      <c r="E1700" s="1" t="s">
        <v>9722</v>
      </c>
      <c r="F1700" s="2"/>
      <c r="G1700" s="2"/>
      <c r="H1700" s="2"/>
    </row>
    <row r="1701" spans="1:8" x14ac:dyDescent="0.25">
      <c r="A1701" s="1"/>
      <c r="B1701" s="1" t="s">
        <v>9046</v>
      </c>
      <c r="C1701" s="1" t="s">
        <v>9047</v>
      </c>
      <c r="D1701" s="22" t="str">
        <f>HYPERLINK("https://rhld.insurance.arkansas.gov/NPILookup?Npi=1164734232","1164734232")</f>
        <v>1164734232</v>
      </c>
      <c r="E1701" s="1" t="s">
        <v>9056</v>
      </c>
      <c r="F1701" s="2"/>
      <c r="G1701" s="2"/>
      <c r="H1701" s="2"/>
    </row>
    <row r="1702" spans="1:8" x14ac:dyDescent="0.25">
      <c r="A1702" s="1"/>
      <c r="B1702" s="1" t="s">
        <v>9046</v>
      </c>
      <c r="C1702" s="1" t="s">
        <v>9047</v>
      </c>
      <c r="D1702" s="22" t="str">
        <f>HYPERLINK("https://rhld.insurance.arkansas.gov/NPILookup?Npi=1164779989","1164779989")</f>
        <v>1164779989</v>
      </c>
      <c r="E1702" s="1" t="s">
        <v>1076</v>
      </c>
      <c r="F1702" s="2"/>
      <c r="G1702" s="2"/>
      <c r="H1702" s="2"/>
    </row>
    <row r="1703" spans="1:8" x14ac:dyDescent="0.25">
      <c r="A1703" s="1"/>
      <c r="B1703" s="1" t="s">
        <v>9046</v>
      </c>
      <c r="C1703" s="1" t="s">
        <v>9047</v>
      </c>
      <c r="D1703" s="22" t="str">
        <f>HYPERLINK("https://rhld.insurance.arkansas.gov/NPILookup?Npi=1174582621","1174582621")</f>
        <v>1174582621</v>
      </c>
      <c r="E1703" s="1" t="s">
        <v>15579</v>
      </c>
      <c r="F1703" s="2"/>
      <c r="G1703" s="2"/>
      <c r="H1703" s="2"/>
    </row>
    <row r="1704" spans="1:8" x14ac:dyDescent="0.25">
      <c r="A1704" s="1"/>
      <c r="B1704" s="1" t="s">
        <v>9046</v>
      </c>
      <c r="C1704" s="1" t="s">
        <v>9047</v>
      </c>
      <c r="D1704" s="22" t="str">
        <f>HYPERLINK("https://rhld.insurance.arkansas.gov/NPILookup?Npi=1174938344","1174938344")</f>
        <v>1174938344</v>
      </c>
      <c r="E1704" s="1" t="s">
        <v>9059</v>
      </c>
      <c r="F1704" s="2"/>
      <c r="G1704" s="2"/>
      <c r="H1704" s="2"/>
    </row>
    <row r="1705" spans="1:8" x14ac:dyDescent="0.25">
      <c r="A1705" s="1"/>
      <c r="B1705" s="1" t="s">
        <v>9046</v>
      </c>
      <c r="C1705" s="1" t="s">
        <v>9047</v>
      </c>
      <c r="D1705" s="22" t="str">
        <f>HYPERLINK("https://rhld.insurance.arkansas.gov/NPILookup?Npi=1174947618","1174947618")</f>
        <v>1174947618</v>
      </c>
      <c r="E1705" s="1" t="s">
        <v>6931</v>
      </c>
      <c r="F1705" s="2"/>
      <c r="G1705" s="2"/>
      <c r="H1705" s="2"/>
    </row>
    <row r="1706" spans="1:8" x14ac:dyDescent="0.25">
      <c r="A1706" s="1"/>
      <c r="B1706" s="1" t="s">
        <v>9046</v>
      </c>
      <c r="C1706" s="1" t="s">
        <v>9047</v>
      </c>
      <c r="D1706" s="22" t="str">
        <f>HYPERLINK("https://rhld.insurance.arkansas.gov/NPILookup?Npi=1174952212","1174952212")</f>
        <v>1174952212</v>
      </c>
      <c r="E1706" s="1" t="s">
        <v>8928</v>
      </c>
      <c r="F1706" s="2"/>
      <c r="G1706" s="2"/>
      <c r="H1706" s="2"/>
    </row>
    <row r="1707" spans="1:8" x14ac:dyDescent="0.25">
      <c r="A1707" s="1"/>
      <c r="B1707" s="1" t="s">
        <v>9046</v>
      </c>
      <c r="C1707" s="1" t="s">
        <v>9047</v>
      </c>
      <c r="D1707" s="22" t="str">
        <f>HYPERLINK("https://rhld.insurance.arkansas.gov/NPILookup?Npi=1184679292","1184679292")</f>
        <v>1184679292</v>
      </c>
      <c r="E1707" s="1" t="s">
        <v>9067</v>
      </c>
      <c r="F1707" s="2"/>
      <c r="G1707" s="2"/>
      <c r="H1707" s="2"/>
    </row>
    <row r="1708" spans="1:8" x14ac:dyDescent="0.25">
      <c r="A1708" s="1"/>
      <c r="B1708" s="1" t="s">
        <v>9046</v>
      </c>
      <c r="C1708" s="1" t="s">
        <v>9047</v>
      </c>
      <c r="D1708" s="22" t="str">
        <f>HYPERLINK("https://rhld.insurance.arkansas.gov/NPILookup?Npi=1184869943","1184869943")</f>
        <v>1184869943</v>
      </c>
      <c r="E1708" s="1" t="s">
        <v>15580</v>
      </c>
      <c r="F1708" s="2"/>
      <c r="G1708" s="2"/>
      <c r="H1708" s="2"/>
    </row>
    <row r="1709" spans="1:8" x14ac:dyDescent="0.25">
      <c r="A1709" s="1"/>
      <c r="B1709" s="1" t="s">
        <v>9046</v>
      </c>
      <c r="C1709" s="1" t="s">
        <v>9047</v>
      </c>
      <c r="D1709" s="22" t="str">
        <f>HYPERLINK("https://rhld.insurance.arkansas.gov/NPILookup?Npi=1194209437","1194209437")</f>
        <v>1194209437</v>
      </c>
      <c r="E1709" s="1" t="s">
        <v>9723</v>
      </c>
      <c r="F1709" s="2"/>
      <c r="G1709" s="2"/>
      <c r="H1709" s="2"/>
    </row>
    <row r="1710" spans="1:8" x14ac:dyDescent="0.25">
      <c r="A1710" s="1"/>
      <c r="B1710" s="1" t="s">
        <v>9046</v>
      </c>
      <c r="C1710" s="1" t="s">
        <v>9047</v>
      </c>
      <c r="D1710" s="22" t="str">
        <f>HYPERLINK("https://rhld.insurance.arkansas.gov/NPILookup?Npi=1194730077","1194730077")</f>
        <v>1194730077</v>
      </c>
      <c r="E1710" s="1" t="s">
        <v>9060</v>
      </c>
      <c r="F1710" s="2"/>
      <c r="G1710" s="2"/>
      <c r="H1710" s="2"/>
    </row>
    <row r="1711" spans="1:8" x14ac:dyDescent="0.25">
      <c r="A1711" s="1"/>
      <c r="B1711" s="1" t="s">
        <v>9046</v>
      </c>
      <c r="C1711" s="1" t="s">
        <v>9047</v>
      </c>
      <c r="D1711" s="22" t="str">
        <f>HYPERLINK("https://rhld.insurance.arkansas.gov/NPILookup?Npi=1194741611","1194741611")</f>
        <v>1194741611</v>
      </c>
      <c r="E1711" s="1" t="s">
        <v>636</v>
      </c>
      <c r="F1711" s="2"/>
      <c r="G1711" s="2"/>
      <c r="H1711" s="2"/>
    </row>
    <row r="1712" spans="1:8" x14ac:dyDescent="0.25">
      <c r="A1712" s="1"/>
      <c r="B1712" s="1" t="s">
        <v>9046</v>
      </c>
      <c r="C1712" s="1" t="s">
        <v>9047</v>
      </c>
      <c r="D1712" s="22" t="str">
        <f>HYPERLINK("https://rhld.insurance.arkansas.gov/NPILookup?Npi=1194776757","1194776757")</f>
        <v>1194776757</v>
      </c>
      <c r="E1712" s="1" t="s">
        <v>683</v>
      </c>
      <c r="F1712" s="2"/>
      <c r="G1712" s="2"/>
      <c r="H1712" s="2"/>
    </row>
    <row r="1713" spans="1:8" x14ac:dyDescent="0.25">
      <c r="A1713" s="1"/>
      <c r="B1713" s="1" t="s">
        <v>9046</v>
      </c>
      <c r="C1713" s="1" t="s">
        <v>9047</v>
      </c>
      <c r="D1713" s="22" t="str">
        <f>HYPERLINK("https://rhld.insurance.arkansas.gov/NPILookup?Npi=1194789818","1194789818")</f>
        <v>1194789818</v>
      </c>
      <c r="E1713" s="1" t="s">
        <v>15127</v>
      </c>
      <c r="F1713" s="2"/>
      <c r="G1713" s="2"/>
      <c r="H1713" s="2"/>
    </row>
    <row r="1714" spans="1:8" x14ac:dyDescent="0.25">
      <c r="A1714" s="1"/>
      <c r="B1714" s="1" t="s">
        <v>9046</v>
      </c>
      <c r="C1714" s="1" t="s">
        <v>9047</v>
      </c>
      <c r="D1714" s="22" t="str">
        <f>HYPERLINK("https://rhld.insurance.arkansas.gov/NPILookup?Npi=1205266632","1205266632")</f>
        <v>1205266632</v>
      </c>
      <c r="E1714" s="1" t="s">
        <v>9061</v>
      </c>
      <c r="F1714" s="2"/>
      <c r="G1714" s="2"/>
      <c r="H1714" s="2"/>
    </row>
    <row r="1715" spans="1:8" x14ac:dyDescent="0.25">
      <c r="A1715" s="1"/>
      <c r="B1715" s="1" t="s">
        <v>9046</v>
      </c>
      <c r="C1715" s="1" t="s">
        <v>9047</v>
      </c>
      <c r="D1715" s="22" t="str">
        <f>HYPERLINK("https://rhld.insurance.arkansas.gov/NPILookup?Npi=1205978780","1205978780")</f>
        <v>1205978780</v>
      </c>
      <c r="E1715" s="1" t="s">
        <v>9724</v>
      </c>
      <c r="F1715" s="2"/>
      <c r="G1715" s="2"/>
      <c r="H1715" s="2"/>
    </row>
    <row r="1716" spans="1:8" x14ac:dyDescent="0.25">
      <c r="A1716" s="1"/>
      <c r="B1716" s="1" t="s">
        <v>9046</v>
      </c>
      <c r="C1716" s="1" t="s">
        <v>9047</v>
      </c>
      <c r="D1716" s="22" t="str">
        <f>HYPERLINK("https://rhld.insurance.arkansas.gov/NPILookup?Npi=1215102702","1215102702")</f>
        <v>1215102702</v>
      </c>
      <c r="E1716" s="1" t="s">
        <v>9062</v>
      </c>
      <c r="F1716" s="2"/>
      <c r="G1716" s="2"/>
      <c r="H1716" s="2"/>
    </row>
    <row r="1717" spans="1:8" x14ac:dyDescent="0.25">
      <c r="A1717" s="1"/>
      <c r="B1717" s="1" t="s">
        <v>9046</v>
      </c>
      <c r="C1717" s="1" t="s">
        <v>9047</v>
      </c>
      <c r="D1717" s="22" t="str">
        <f>HYPERLINK("https://rhld.insurance.arkansas.gov/NPILookup?Npi=1215398706","1215398706")</f>
        <v>1215398706</v>
      </c>
      <c r="E1717" s="1" t="s">
        <v>9063</v>
      </c>
      <c r="F1717" s="2"/>
      <c r="G1717" s="2"/>
      <c r="H1717" s="2"/>
    </row>
    <row r="1718" spans="1:8" x14ac:dyDescent="0.25">
      <c r="A1718" s="1"/>
      <c r="B1718" s="1" t="s">
        <v>9046</v>
      </c>
      <c r="C1718" s="1" t="s">
        <v>9047</v>
      </c>
      <c r="D1718" s="22" t="str">
        <f>HYPERLINK("https://rhld.insurance.arkansas.gov/NPILookup?Npi=1215919329","1215919329")</f>
        <v>1215919329</v>
      </c>
      <c r="E1718" s="1" t="s">
        <v>9064</v>
      </c>
      <c r="F1718" s="2"/>
      <c r="G1718" s="2"/>
      <c r="H1718" s="2"/>
    </row>
    <row r="1719" spans="1:8" x14ac:dyDescent="0.25">
      <c r="A1719" s="1"/>
      <c r="B1719" s="1" t="s">
        <v>9046</v>
      </c>
      <c r="C1719" s="1" t="s">
        <v>9047</v>
      </c>
      <c r="D1719" s="22" t="str">
        <f>HYPERLINK("https://rhld.insurance.arkansas.gov/NPILookup?Npi=1215994280","1215994280")</f>
        <v>1215994280</v>
      </c>
      <c r="E1719" s="1" t="s">
        <v>9065</v>
      </c>
      <c r="F1719" s="2"/>
      <c r="G1719" s="2"/>
      <c r="H1719" s="2"/>
    </row>
    <row r="1720" spans="1:8" x14ac:dyDescent="0.25">
      <c r="A1720" s="1"/>
      <c r="B1720" s="1" t="s">
        <v>9046</v>
      </c>
      <c r="C1720" s="1" t="s">
        <v>9047</v>
      </c>
      <c r="D1720" s="22" t="str">
        <f>HYPERLINK("https://rhld.insurance.arkansas.gov/NPILookup?Npi=1225629652","1225629652")</f>
        <v>1225629652</v>
      </c>
      <c r="E1720" s="1" t="s">
        <v>15581</v>
      </c>
      <c r="F1720" s="2"/>
      <c r="G1720" s="2"/>
      <c r="H1720" s="2"/>
    </row>
    <row r="1721" spans="1:8" x14ac:dyDescent="0.25">
      <c r="A1721" s="1"/>
      <c r="B1721" s="1" t="s">
        <v>9046</v>
      </c>
      <c r="C1721" s="1" t="s">
        <v>9047</v>
      </c>
      <c r="D1721" s="22" t="str">
        <f>HYPERLINK("https://rhld.insurance.arkansas.gov/NPILookup?Npi=1225674302","1225674302")</f>
        <v>1225674302</v>
      </c>
      <c r="E1721" s="1" t="s">
        <v>9066</v>
      </c>
      <c r="F1721" s="2"/>
      <c r="G1721" s="2"/>
      <c r="H1721" s="2"/>
    </row>
    <row r="1722" spans="1:8" x14ac:dyDescent="0.25">
      <c r="A1722" s="1"/>
      <c r="B1722" s="1" t="s">
        <v>9046</v>
      </c>
      <c r="C1722" s="1" t="s">
        <v>9047</v>
      </c>
      <c r="D1722" s="22" t="str">
        <f>HYPERLINK("https://rhld.insurance.arkansas.gov/NPILookup?Npi=1235111071","1235111071")</f>
        <v>1235111071</v>
      </c>
      <c r="E1722" s="1" t="s">
        <v>1563</v>
      </c>
      <c r="F1722" s="2"/>
      <c r="G1722" s="2"/>
      <c r="H1722" s="2"/>
    </row>
    <row r="1723" spans="1:8" x14ac:dyDescent="0.25">
      <c r="A1723" s="1"/>
      <c r="B1723" s="1" t="s">
        <v>9046</v>
      </c>
      <c r="C1723" s="1" t="s">
        <v>9047</v>
      </c>
      <c r="D1723" s="22" t="str">
        <f>HYPERLINK("https://rhld.insurance.arkansas.gov/NPILookup?Npi=1235376104","1235376104")</f>
        <v>1235376104</v>
      </c>
      <c r="E1723" s="1" t="s">
        <v>15582</v>
      </c>
      <c r="F1723" s="2"/>
      <c r="G1723" s="2"/>
      <c r="H1723" s="2"/>
    </row>
    <row r="1724" spans="1:8" x14ac:dyDescent="0.25">
      <c r="A1724" s="1"/>
      <c r="B1724" s="1" t="s">
        <v>9046</v>
      </c>
      <c r="C1724" s="1" t="s">
        <v>9047</v>
      </c>
      <c r="D1724" s="22" t="str">
        <f>HYPERLINK("https://rhld.insurance.arkansas.gov/NPILookup?Npi=1245248699","1245248699")</f>
        <v>1245248699</v>
      </c>
      <c r="E1724" s="1" t="s">
        <v>9725</v>
      </c>
      <c r="F1724" s="2"/>
      <c r="G1724" s="2"/>
      <c r="H1724" s="2"/>
    </row>
    <row r="1725" spans="1:8" x14ac:dyDescent="0.25">
      <c r="A1725" s="1"/>
      <c r="B1725" s="1" t="s">
        <v>9046</v>
      </c>
      <c r="C1725" s="1" t="s">
        <v>9047</v>
      </c>
      <c r="D1725" s="22" t="str">
        <f>HYPERLINK("https://rhld.insurance.arkansas.gov/NPILookup?Npi=1245277631","1245277631")</f>
        <v>1245277631</v>
      </c>
      <c r="E1725" s="1" t="s">
        <v>15583</v>
      </c>
      <c r="F1725" s="2"/>
      <c r="G1725" s="2"/>
      <c r="H1725" s="2"/>
    </row>
    <row r="1726" spans="1:8" x14ac:dyDescent="0.25">
      <c r="A1726" s="1"/>
      <c r="B1726" s="1" t="s">
        <v>9046</v>
      </c>
      <c r="C1726" s="1" t="s">
        <v>9047</v>
      </c>
      <c r="D1726" s="22" t="str">
        <f>HYPERLINK("https://rhld.insurance.arkansas.gov/NPILookup?Npi=1245284769","1245284769")</f>
        <v>1245284769</v>
      </c>
      <c r="E1726" s="1" t="s">
        <v>1620</v>
      </c>
      <c r="F1726" s="2"/>
      <c r="G1726" s="2"/>
      <c r="H1726" s="2"/>
    </row>
    <row r="1727" spans="1:8" x14ac:dyDescent="0.25">
      <c r="A1727" s="1"/>
      <c r="B1727" s="1" t="s">
        <v>9046</v>
      </c>
      <c r="C1727" s="1" t="s">
        <v>9047</v>
      </c>
      <c r="D1727" s="22" t="str">
        <f>HYPERLINK("https://rhld.insurance.arkansas.gov/NPILookup?Npi=1245297829","1245297829")</f>
        <v>1245297829</v>
      </c>
      <c r="E1727" s="1" t="s">
        <v>9068</v>
      </c>
      <c r="F1727" s="2"/>
      <c r="G1727" s="2"/>
      <c r="H1727" s="2"/>
    </row>
    <row r="1728" spans="1:8" x14ac:dyDescent="0.25">
      <c r="A1728" s="1"/>
      <c r="B1728" s="1" t="s">
        <v>9046</v>
      </c>
      <c r="C1728" s="1" t="s">
        <v>9047</v>
      </c>
      <c r="D1728" s="22" t="str">
        <f>HYPERLINK("https://rhld.insurance.arkansas.gov/NPILookup?Npi=1245357912","1245357912")</f>
        <v>1245357912</v>
      </c>
      <c r="E1728" s="1" t="s">
        <v>636</v>
      </c>
      <c r="F1728" s="2"/>
      <c r="G1728" s="2"/>
      <c r="H1728" s="2"/>
    </row>
    <row r="1729" spans="1:8" x14ac:dyDescent="0.25">
      <c r="A1729" s="1"/>
      <c r="B1729" s="1" t="s">
        <v>9046</v>
      </c>
      <c r="C1729" s="1" t="s">
        <v>9047</v>
      </c>
      <c r="D1729" s="22" t="str">
        <f>HYPERLINK("https://rhld.insurance.arkansas.gov/NPILookup?Npi=1255377420","1255377420")</f>
        <v>1255377420</v>
      </c>
      <c r="E1729" s="1" t="s">
        <v>8903</v>
      </c>
      <c r="F1729" s="2"/>
      <c r="G1729" s="2"/>
      <c r="H1729" s="2"/>
    </row>
    <row r="1730" spans="1:8" x14ac:dyDescent="0.25">
      <c r="A1730" s="1"/>
      <c r="B1730" s="1" t="s">
        <v>9046</v>
      </c>
      <c r="C1730" s="1" t="s">
        <v>9047</v>
      </c>
      <c r="D1730" s="22" t="str">
        <f>HYPERLINK("https://rhld.insurance.arkansas.gov/NPILookup?Npi=1255602587","1255602587")</f>
        <v>1255602587</v>
      </c>
      <c r="E1730" s="1" t="s">
        <v>15584</v>
      </c>
      <c r="F1730" s="2"/>
      <c r="G1730" s="2"/>
      <c r="H1730" s="2"/>
    </row>
    <row r="1731" spans="1:8" x14ac:dyDescent="0.25">
      <c r="A1731" s="1"/>
      <c r="B1731" s="1" t="s">
        <v>9046</v>
      </c>
      <c r="C1731" s="1" t="s">
        <v>9047</v>
      </c>
      <c r="D1731" s="22" t="str">
        <f>HYPERLINK("https://rhld.insurance.arkansas.gov/NPILookup?Npi=1255870853","1255870853")</f>
        <v>1255870853</v>
      </c>
      <c r="E1731" s="1" t="s">
        <v>15276</v>
      </c>
      <c r="F1731" s="2"/>
      <c r="G1731" s="2"/>
      <c r="H1731" s="2"/>
    </row>
    <row r="1732" spans="1:8" x14ac:dyDescent="0.25">
      <c r="A1732" s="1"/>
      <c r="B1732" s="1" t="s">
        <v>9046</v>
      </c>
      <c r="C1732" s="1" t="s">
        <v>9047</v>
      </c>
      <c r="D1732" s="22" t="str">
        <f>HYPERLINK("https://rhld.insurance.arkansas.gov/NPILookup?Npi=1255875746","1255875746")</f>
        <v>1255875746</v>
      </c>
      <c r="E1732" s="1" t="s">
        <v>15277</v>
      </c>
      <c r="F1732" s="2"/>
      <c r="G1732" s="2"/>
      <c r="H1732" s="2"/>
    </row>
    <row r="1733" spans="1:8" x14ac:dyDescent="0.25">
      <c r="A1733" s="1"/>
      <c r="B1733" s="1" t="s">
        <v>9046</v>
      </c>
      <c r="C1733" s="1" t="s">
        <v>9047</v>
      </c>
      <c r="D1733" s="22" t="str">
        <f>HYPERLINK("https://rhld.insurance.arkansas.gov/NPILookup?Npi=1265404669","1265404669")</f>
        <v>1265404669</v>
      </c>
      <c r="E1733" s="1" t="s">
        <v>15585</v>
      </c>
      <c r="F1733" s="2"/>
      <c r="G1733" s="2"/>
      <c r="H1733" s="2"/>
    </row>
    <row r="1734" spans="1:8" x14ac:dyDescent="0.25">
      <c r="A1734" s="1"/>
      <c r="B1734" s="1" t="s">
        <v>9046</v>
      </c>
      <c r="C1734" s="1" t="s">
        <v>9047</v>
      </c>
      <c r="D1734" s="22" t="str">
        <f>HYPERLINK("https://rhld.insurance.arkansas.gov/NPILookup?Npi=1265439632","1265439632")</f>
        <v>1265439632</v>
      </c>
      <c r="E1734" s="1" t="s">
        <v>9069</v>
      </c>
      <c r="F1734" s="2"/>
      <c r="G1734" s="2"/>
      <c r="H1734" s="2"/>
    </row>
    <row r="1735" spans="1:8" x14ac:dyDescent="0.25">
      <c r="A1735" s="1"/>
      <c r="B1735" s="1" t="s">
        <v>9046</v>
      </c>
      <c r="C1735" s="1" t="s">
        <v>9047</v>
      </c>
      <c r="D1735" s="22" t="str">
        <f>HYPERLINK("https://rhld.insurance.arkansas.gov/NPILookup?Npi=1275016941","1275016941")</f>
        <v>1275016941</v>
      </c>
      <c r="E1735" s="1" t="s">
        <v>9070</v>
      </c>
      <c r="F1735" s="2"/>
      <c r="G1735" s="2"/>
      <c r="H1735" s="2"/>
    </row>
    <row r="1736" spans="1:8" x14ac:dyDescent="0.25">
      <c r="A1736" s="1"/>
      <c r="B1736" s="1" t="s">
        <v>9046</v>
      </c>
      <c r="C1736" s="1" t="s">
        <v>9047</v>
      </c>
      <c r="D1736" s="22" t="str">
        <f>HYPERLINK("https://rhld.insurance.arkansas.gov/NPILookup?Npi=1275023095","1275023095")</f>
        <v>1275023095</v>
      </c>
      <c r="E1736" s="1" t="s">
        <v>15278</v>
      </c>
      <c r="F1736" s="2"/>
      <c r="G1736" s="2"/>
      <c r="H1736" s="2"/>
    </row>
    <row r="1737" spans="1:8" x14ac:dyDescent="0.25">
      <c r="A1737" s="1"/>
      <c r="B1737" s="1" t="s">
        <v>9046</v>
      </c>
      <c r="C1737" s="1" t="s">
        <v>9047</v>
      </c>
      <c r="D1737" s="22" t="str">
        <f>HYPERLINK("https://rhld.insurance.arkansas.gov/NPILookup?Npi=1275523912","1275523912")</f>
        <v>1275523912</v>
      </c>
      <c r="E1737" s="1" t="s">
        <v>15141</v>
      </c>
      <c r="F1737" s="2"/>
      <c r="G1737" s="2"/>
      <c r="H1737" s="2"/>
    </row>
    <row r="1738" spans="1:8" x14ac:dyDescent="0.25">
      <c r="A1738" s="1"/>
      <c r="B1738" s="1" t="s">
        <v>9046</v>
      </c>
      <c r="C1738" s="1" t="s">
        <v>9047</v>
      </c>
      <c r="D1738" s="22" t="str">
        <f>HYPERLINK("https://rhld.insurance.arkansas.gov/NPILookup?Npi=1275574154","1275574154")</f>
        <v>1275574154</v>
      </c>
      <c r="E1738" s="1" t="s">
        <v>9071</v>
      </c>
      <c r="F1738" s="2"/>
      <c r="G1738" s="2"/>
      <c r="H1738" s="2"/>
    </row>
    <row r="1739" spans="1:8" x14ac:dyDescent="0.25">
      <c r="A1739" s="1"/>
      <c r="B1739" s="1" t="s">
        <v>9046</v>
      </c>
      <c r="C1739" s="1" t="s">
        <v>9047</v>
      </c>
      <c r="D1739" s="22" t="str">
        <f>HYPERLINK("https://rhld.insurance.arkansas.gov/NPILookup?Npi=1275595746","1275595746")</f>
        <v>1275595746</v>
      </c>
      <c r="E1739" s="1" t="s">
        <v>9726</v>
      </c>
      <c r="F1739" s="2"/>
      <c r="G1739" s="2"/>
      <c r="H1739" s="2"/>
    </row>
    <row r="1740" spans="1:8" x14ac:dyDescent="0.25">
      <c r="A1740" s="1"/>
      <c r="B1740" s="1" t="s">
        <v>9046</v>
      </c>
      <c r="C1740" s="1" t="s">
        <v>9047</v>
      </c>
      <c r="D1740" s="22" t="str">
        <f>HYPERLINK("https://rhld.insurance.arkansas.gov/NPILookup?Npi=1275649063","1275649063")</f>
        <v>1275649063</v>
      </c>
      <c r="E1740" s="1" t="s">
        <v>9727</v>
      </c>
      <c r="F1740" s="2"/>
      <c r="G1740" s="2"/>
      <c r="H1740" s="2"/>
    </row>
    <row r="1741" spans="1:8" x14ac:dyDescent="0.25">
      <c r="A1741" s="1"/>
      <c r="B1741" s="1" t="s">
        <v>9046</v>
      </c>
      <c r="C1741" s="1" t="s">
        <v>9047</v>
      </c>
      <c r="D1741" s="22" t="str">
        <f>HYPERLINK("https://rhld.insurance.arkansas.gov/NPILookup?Npi=1285005140","1285005140")</f>
        <v>1285005140</v>
      </c>
      <c r="E1741" s="1" t="s">
        <v>3572</v>
      </c>
      <c r="F1741" s="2"/>
      <c r="G1741" s="2"/>
      <c r="H1741" s="2"/>
    </row>
    <row r="1742" spans="1:8" x14ac:dyDescent="0.25">
      <c r="A1742" s="1"/>
      <c r="B1742" s="1" t="s">
        <v>9046</v>
      </c>
      <c r="C1742" s="1" t="s">
        <v>9047</v>
      </c>
      <c r="D1742" s="22" t="str">
        <f>HYPERLINK("https://rhld.insurance.arkansas.gov/NPILookup?Npi=1285042028","1285042028")</f>
        <v>1285042028</v>
      </c>
      <c r="E1742" s="1" t="s">
        <v>15336</v>
      </c>
      <c r="F1742" s="2"/>
      <c r="G1742" s="2"/>
      <c r="H1742" s="2"/>
    </row>
    <row r="1743" spans="1:8" x14ac:dyDescent="0.25">
      <c r="A1743" s="1"/>
      <c r="B1743" s="1" t="s">
        <v>9046</v>
      </c>
      <c r="C1743" s="1" t="s">
        <v>9047</v>
      </c>
      <c r="D1743" s="22" t="str">
        <f>HYPERLINK("https://rhld.insurance.arkansas.gov/NPILookup?Npi=1285283432","1285283432")</f>
        <v>1285283432</v>
      </c>
      <c r="E1743" s="1" t="s">
        <v>9072</v>
      </c>
      <c r="F1743" s="2"/>
      <c r="G1743" s="2"/>
      <c r="H1743" s="2"/>
    </row>
    <row r="1744" spans="1:8" x14ac:dyDescent="0.25">
      <c r="A1744" s="1"/>
      <c r="B1744" s="1" t="s">
        <v>9046</v>
      </c>
      <c r="C1744" s="1" t="s">
        <v>9047</v>
      </c>
      <c r="D1744" s="22" t="str">
        <f>HYPERLINK("https://rhld.insurance.arkansas.gov/NPILookup?Npi=1285603100","1285603100")</f>
        <v>1285603100</v>
      </c>
      <c r="E1744" s="1" t="s">
        <v>9073</v>
      </c>
      <c r="F1744" s="2"/>
      <c r="G1744" s="2"/>
      <c r="H1744" s="2"/>
    </row>
    <row r="1745" spans="1:8" x14ac:dyDescent="0.25">
      <c r="A1745" s="1"/>
      <c r="B1745" s="1" t="s">
        <v>9046</v>
      </c>
      <c r="C1745" s="1" t="s">
        <v>9047</v>
      </c>
      <c r="D1745" s="22" t="str">
        <f>HYPERLINK("https://rhld.insurance.arkansas.gov/NPILookup?Npi=1285622845","1285622845")</f>
        <v>1285622845</v>
      </c>
      <c r="E1745" s="1" t="s">
        <v>15586</v>
      </c>
      <c r="F1745" s="2"/>
      <c r="G1745" s="2"/>
      <c r="H1745" s="2"/>
    </row>
    <row r="1746" spans="1:8" x14ac:dyDescent="0.25">
      <c r="A1746" s="1"/>
      <c r="B1746" s="1" t="s">
        <v>9046</v>
      </c>
      <c r="C1746" s="1" t="s">
        <v>9047</v>
      </c>
      <c r="D1746" s="22" t="str">
        <f>HYPERLINK("https://rhld.insurance.arkansas.gov/NPILookup?Npi=1285739581","1285739581")</f>
        <v>1285739581</v>
      </c>
      <c r="E1746" s="1" t="s">
        <v>9634</v>
      </c>
      <c r="F1746" s="2"/>
      <c r="G1746" s="2"/>
      <c r="H1746" s="2"/>
    </row>
    <row r="1747" spans="1:8" x14ac:dyDescent="0.25">
      <c r="A1747" s="1"/>
      <c r="B1747" s="1" t="s">
        <v>9046</v>
      </c>
      <c r="C1747" s="1" t="s">
        <v>9047</v>
      </c>
      <c r="D1747" s="22" t="str">
        <f>HYPERLINK("https://rhld.insurance.arkansas.gov/NPILookup?Npi=1295223279","1295223279")</f>
        <v>1295223279</v>
      </c>
      <c r="E1747" s="1" t="s">
        <v>9642</v>
      </c>
      <c r="F1747" s="2"/>
      <c r="G1747" s="2"/>
      <c r="H1747" s="2"/>
    </row>
    <row r="1748" spans="1:8" x14ac:dyDescent="0.25">
      <c r="A1748" s="1"/>
      <c r="B1748" s="1" t="s">
        <v>9046</v>
      </c>
      <c r="C1748" s="1" t="s">
        <v>9047</v>
      </c>
      <c r="D1748" s="22" t="str">
        <f>HYPERLINK("https://rhld.insurance.arkansas.gov/NPILookup?Npi=1295258002","1295258002")</f>
        <v>1295258002</v>
      </c>
      <c r="E1748" s="1" t="s">
        <v>15433</v>
      </c>
      <c r="F1748" s="2"/>
      <c r="G1748" s="2"/>
      <c r="H1748" s="2"/>
    </row>
    <row r="1749" spans="1:8" x14ac:dyDescent="0.25">
      <c r="A1749" s="1"/>
      <c r="B1749" s="1" t="s">
        <v>9046</v>
      </c>
      <c r="C1749" s="1" t="s">
        <v>9047</v>
      </c>
      <c r="D1749" s="22" t="str">
        <f>HYPERLINK("https://rhld.insurance.arkansas.gov/NPILookup?Npi=1295736734","1295736734")</f>
        <v>1295736734</v>
      </c>
      <c r="E1749" s="1" t="s">
        <v>8894</v>
      </c>
      <c r="F1749" s="2"/>
      <c r="G1749" s="2"/>
      <c r="H1749" s="2"/>
    </row>
    <row r="1750" spans="1:8" x14ac:dyDescent="0.25">
      <c r="A1750" s="1"/>
      <c r="B1750" s="1" t="s">
        <v>9046</v>
      </c>
      <c r="C1750" s="1" t="s">
        <v>9047</v>
      </c>
      <c r="D1750" s="22" t="str">
        <f>HYPERLINK("https://rhld.insurance.arkansas.gov/NPILookup?Npi=1295817260","1295817260")</f>
        <v>1295817260</v>
      </c>
      <c r="E1750" s="1" t="s">
        <v>654</v>
      </c>
      <c r="F1750" s="2"/>
      <c r="G1750" s="2"/>
      <c r="H1750" s="2"/>
    </row>
    <row r="1751" spans="1:8" x14ac:dyDescent="0.25">
      <c r="A1751" s="1"/>
      <c r="B1751" s="1" t="s">
        <v>9046</v>
      </c>
      <c r="C1751" s="1" t="s">
        <v>9047</v>
      </c>
      <c r="D1751" s="22" t="str">
        <f>HYPERLINK("https://rhld.insurance.arkansas.gov/NPILookup?Npi=1295851137","1295851137")</f>
        <v>1295851137</v>
      </c>
      <c r="E1751" s="1" t="s">
        <v>9728</v>
      </c>
      <c r="F1751" s="2"/>
      <c r="G1751" s="2"/>
      <c r="H1751" s="2"/>
    </row>
    <row r="1752" spans="1:8" x14ac:dyDescent="0.25">
      <c r="A1752" s="1"/>
      <c r="B1752" s="1" t="s">
        <v>9046</v>
      </c>
      <c r="C1752" s="1" t="s">
        <v>9047</v>
      </c>
      <c r="D1752" s="22" t="str">
        <f>HYPERLINK("https://rhld.insurance.arkansas.gov/NPILookup?Npi=1295862647","1295862647")</f>
        <v>1295862647</v>
      </c>
      <c r="E1752" s="1" t="s">
        <v>1278</v>
      </c>
      <c r="F1752" s="2"/>
      <c r="G1752" s="2"/>
      <c r="H1752" s="2"/>
    </row>
    <row r="1753" spans="1:8" x14ac:dyDescent="0.25">
      <c r="A1753" s="1"/>
      <c r="B1753" s="1" t="s">
        <v>9046</v>
      </c>
      <c r="C1753" s="1" t="s">
        <v>9047</v>
      </c>
      <c r="D1753" s="22" t="str">
        <f>HYPERLINK("https://rhld.insurance.arkansas.gov/NPILookup?Npi=1306826029","1306826029")</f>
        <v>1306826029</v>
      </c>
      <c r="E1753" s="1" t="s">
        <v>1349</v>
      </c>
      <c r="F1753" s="2"/>
      <c r="G1753" s="2"/>
      <c r="H1753" s="2"/>
    </row>
    <row r="1754" spans="1:8" x14ac:dyDescent="0.25">
      <c r="A1754" s="1"/>
      <c r="B1754" s="1" t="s">
        <v>9046</v>
      </c>
      <c r="C1754" s="1" t="s">
        <v>9047</v>
      </c>
      <c r="D1754" s="22" t="str">
        <f>HYPERLINK("https://rhld.insurance.arkansas.gov/NPILookup?Npi=1306921887","1306921887")</f>
        <v>1306921887</v>
      </c>
      <c r="E1754" s="1" t="s">
        <v>2292</v>
      </c>
      <c r="F1754" s="2"/>
      <c r="G1754" s="2"/>
      <c r="H1754" s="2"/>
    </row>
    <row r="1755" spans="1:8" x14ac:dyDescent="0.25">
      <c r="A1755" s="1"/>
      <c r="B1755" s="1" t="s">
        <v>9046</v>
      </c>
      <c r="C1755" s="1" t="s">
        <v>9047</v>
      </c>
      <c r="D1755" s="22" t="str">
        <f>HYPERLINK("https://rhld.insurance.arkansas.gov/NPILookup?Npi=1306928379","1306928379")</f>
        <v>1306928379</v>
      </c>
      <c r="E1755" s="1" t="s">
        <v>15279</v>
      </c>
      <c r="F1755" s="2"/>
      <c r="G1755" s="2"/>
      <c r="H1755" s="2"/>
    </row>
    <row r="1756" spans="1:8" x14ac:dyDescent="0.25">
      <c r="A1756" s="1"/>
      <c r="B1756" s="1" t="s">
        <v>9046</v>
      </c>
      <c r="C1756" s="1" t="s">
        <v>9047</v>
      </c>
      <c r="D1756" s="22" t="str">
        <f>HYPERLINK("https://rhld.insurance.arkansas.gov/NPILookup?Npi=1316388416","1316388416")</f>
        <v>1316388416</v>
      </c>
      <c r="E1756" s="1" t="s">
        <v>9074</v>
      </c>
      <c r="F1756" s="2"/>
      <c r="G1756" s="2"/>
      <c r="H1756" s="2"/>
    </row>
    <row r="1757" spans="1:8" x14ac:dyDescent="0.25">
      <c r="A1757" s="1"/>
      <c r="B1757" s="1" t="s">
        <v>9046</v>
      </c>
      <c r="C1757" s="1" t="s">
        <v>9047</v>
      </c>
      <c r="D1757" s="22" t="str">
        <f>HYPERLINK("https://rhld.insurance.arkansas.gov/NPILookup?Npi=1316901937","1316901937")</f>
        <v>1316901937</v>
      </c>
      <c r="E1757" s="1" t="s">
        <v>15152</v>
      </c>
      <c r="F1757" s="2"/>
      <c r="G1757" s="2"/>
      <c r="H1757" s="2"/>
    </row>
    <row r="1758" spans="1:8" x14ac:dyDescent="0.25">
      <c r="A1758" s="1"/>
      <c r="B1758" s="1" t="s">
        <v>9046</v>
      </c>
      <c r="C1758" s="1" t="s">
        <v>9047</v>
      </c>
      <c r="D1758" s="22" t="str">
        <f>HYPERLINK("https://rhld.insurance.arkansas.gov/NPILookup?Npi=1316902414","1316902414")</f>
        <v>1316902414</v>
      </c>
      <c r="E1758" s="1" t="s">
        <v>15153</v>
      </c>
      <c r="F1758" s="2"/>
      <c r="G1758" s="2"/>
      <c r="H1758" s="2"/>
    </row>
    <row r="1759" spans="1:8" x14ac:dyDescent="0.25">
      <c r="A1759" s="1"/>
      <c r="B1759" s="1" t="s">
        <v>9046</v>
      </c>
      <c r="C1759" s="1" t="s">
        <v>9047</v>
      </c>
      <c r="D1759" s="22" t="str">
        <f>HYPERLINK("https://rhld.insurance.arkansas.gov/NPILookup?Npi=1326016684","1326016684")</f>
        <v>1326016684</v>
      </c>
      <c r="E1759" s="1" t="s">
        <v>9625</v>
      </c>
      <c r="F1759" s="2"/>
      <c r="G1759" s="2"/>
      <c r="H1759" s="2"/>
    </row>
    <row r="1760" spans="1:8" x14ac:dyDescent="0.25">
      <c r="A1760" s="1"/>
      <c r="B1760" s="1" t="s">
        <v>9046</v>
      </c>
      <c r="C1760" s="1" t="s">
        <v>9047</v>
      </c>
      <c r="D1760" s="22" t="str">
        <f>HYPERLINK("https://rhld.insurance.arkansas.gov/NPILookup?Npi=1326228370","1326228370")</f>
        <v>1326228370</v>
      </c>
      <c r="E1760" s="1" t="s">
        <v>15587</v>
      </c>
      <c r="F1760" s="2"/>
      <c r="G1760" s="2"/>
      <c r="H1760" s="2"/>
    </row>
    <row r="1761" spans="1:8" x14ac:dyDescent="0.25">
      <c r="A1761" s="1"/>
      <c r="B1761" s="1" t="s">
        <v>9046</v>
      </c>
      <c r="C1761" s="1" t="s">
        <v>9047</v>
      </c>
      <c r="D1761" s="22" t="str">
        <f>HYPERLINK("https://rhld.insurance.arkansas.gov/NPILookup?Npi=1336155167","1336155167")</f>
        <v>1336155167</v>
      </c>
      <c r="E1761" s="1" t="s">
        <v>9075</v>
      </c>
      <c r="F1761" s="2"/>
      <c r="G1761" s="2"/>
      <c r="H1761" s="2"/>
    </row>
    <row r="1762" spans="1:8" x14ac:dyDescent="0.25">
      <c r="A1762" s="1"/>
      <c r="B1762" s="1" t="s">
        <v>9046</v>
      </c>
      <c r="C1762" s="1" t="s">
        <v>9047</v>
      </c>
      <c r="D1762" s="22" t="str">
        <f>HYPERLINK("https://rhld.insurance.arkansas.gov/NPILookup?Npi=1346230968","1346230968")</f>
        <v>1346230968</v>
      </c>
      <c r="E1762" s="1" t="s">
        <v>15280</v>
      </c>
      <c r="F1762" s="2"/>
      <c r="G1762" s="2"/>
      <c r="H1762" s="2"/>
    </row>
    <row r="1763" spans="1:8" x14ac:dyDescent="0.25">
      <c r="A1763" s="1"/>
      <c r="B1763" s="1" t="s">
        <v>9046</v>
      </c>
      <c r="C1763" s="1" t="s">
        <v>9047</v>
      </c>
      <c r="D1763" s="22" t="str">
        <f>HYPERLINK("https://rhld.insurance.arkansas.gov/NPILookup?Npi=1346354826","1346354826")</f>
        <v>1346354826</v>
      </c>
      <c r="E1763" s="1" t="s">
        <v>1620</v>
      </c>
      <c r="F1763" s="2"/>
      <c r="G1763" s="2"/>
      <c r="H1763" s="2"/>
    </row>
    <row r="1764" spans="1:8" x14ac:dyDescent="0.25">
      <c r="A1764" s="1"/>
      <c r="B1764" s="1" t="s">
        <v>9046</v>
      </c>
      <c r="C1764" s="1" t="s">
        <v>9047</v>
      </c>
      <c r="D1764" s="22" t="str">
        <f>HYPERLINK("https://rhld.insurance.arkansas.gov/NPILookup?Npi=1346623352","1346623352")</f>
        <v>1346623352</v>
      </c>
      <c r="E1764" s="1" t="s">
        <v>15281</v>
      </c>
      <c r="F1764" s="2"/>
      <c r="G1764" s="2"/>
      <c r="H1764" s="2"/>
    </row>
    <row r="1765" spans="1:8" x14ac:dyDescent="0.25">
      <c r="A1765" s="1"/>
      <c r="B1765" s="1" t="s">
        <v>9046</v>
      </c>
      <c r="C1765" s="1" t="s">
        <v>9047</v>
      </c>
      <c r="D1765" s="22" t="str">
        <f>HYPERLINK("https://rhld.insurance.arkansas.gov/NPILookup?Npi=1346878303","1346878303")</f>
        <v>1346878303</v>
      </c>
      <c r="E1765" s="1" t="s">
        <v>9076</v>
      </c>
      <c r="F1765" s="2"/>
      <c r="G1765" s="2"/>
      <c r="H1765" s="2"/>
    </row>
    <row r="1766" spans="1:8" x14ac:dyDescent="0.25">
      <c r="A1766" s="1"/>
      <c r="B1766" s="1" t="s">
        <v>9046</v>
      </c>
      <c r="C1766" s="1" t="s">
        <v>9047</v>
      </c>
      <c r="D1766" s="22" t="str">
        <f>HYPERLINK("https://rhld.insurance.arkansas.gov/NPILookup?Npi=1356312292","1356312292")</f>
        <v>1356312292</v>
      </c>
      <c r="E1766" s="1" t="s">
        <v>15282</v>
      </c>
      <c r="F1766" s="2"/>
      <c r="G1766" s="2"/>
      <c r="H1766" s="2"/>
    </row>
    <row r="1767" spans="1:8" x14ac:dyDescent="0.25">
      <c r="A1767" s="1"/>
      <c r="B1767" s="1" t="s">
        <v>9046</v>
      </c>
      <c r="C1767" s="1" t="s">
        <v>9047</v>
      </c>
      <c r="D1767" s="22" t="str">
        <f>HYPERLINK("https://rhld.insurance.arkansas.gov/NPILookup?Npi=1356817910","1356817910")</f>
        <v>1356817910</v>
      </c>
      <c r="E1767" s="1" t="s">
        <v>9077</v>
      </c>
      <c r="F1767" s="2"/>
      <c r="G1767" s="2"/>
      <c r="H1767" s="2"/>
    </row>
    <row r="1768" spans="1:8" x14ac:dyDescent="0.25">
      <c r="A1768" s="1"/>
      <c r="B1768" s="1" t="s">
        <v>9046</v>
      </c>
      <c r="C1768" s="1" t="s">
        <v>9047</v>
      </c>
      <c r="D1768" s="22" t="str">
        <f>HYPERLINK("https://rhld.insurance.arkansas.gov/NPILookup?Npi=1366229247","1366229247")</f>
        <v>1366229247</v>
      </c>
      <c r="E1768" s="1" t="s">
        <v>9078</v>
      </c>
      <c r="F1768" s="2"/>
      <c r="G1768" s="2"/>
      <c r="H1768" s="2"/>
    </row>
    <row r="1769" spans="1:8" x14ac:dyDescent="0.25">
      <c r="A1769" s="1"/>
      <c r="B1769" s="1" t="s">
        <v>9046</v>
      </c>
      <c r="C1769" s="1" t="s">
        <v>9047</v>
      </c>
      <c r="D1769" s="22" t="str">
        <f>HYPERLINK("https://rhld.insurance.arkansas.gov/NPILookup?Npi=1366422370","1366422370")</f>
        <v>1366422370</v>
      </c>
      <c r="E1769" s="1" t="s">
        <v>15588</v>
      </c>
      <c r="F1769" s="2"/>
      <c r="G1769" s="2"/>
      <c r="H1769" s="2"/>
    </row>
    <row r="1770" spans="1:8" x14ac:dyDescent="0.25">
      <c r="A1770" s="1"/>
      <c r="B1770" s="1" t="s">
        <v>9046</v>
      </c>
      <c r="C1770" s="1" t="s">
        <v>9047</v>
      </c>
      <c r="D1770" s="22" t="str">
        <f>HYPERLINK("https://rhld.insurance.arkansas.gov/NPILookup?Npi=1376092205","1376092205")</f>
        <v>1376092205</v>
      </c>
      <c r="E1770" s="1" t="s">
        <v>15589</v>
      </c>
      <c r="F1770" s="2"/>
      <c r="G1770" s="2"/>
      <c r="H1770" s="2"/>
    </row>
    <row r="1771" spans="1:8" x14ac:dyDescent="0.25">
      <c r="A1771" s="1"/>
      <c r="B1771" s="1" t="s">
        <v>9046</v>
      </c>
      <c r="C1771" s="1" t="s">
        <v>9047</v>
      </c>
      <c r="D1771" s="22" t="str">
        <f>HYPERLINK("https://rhld.insurance.arkansas.gov/NPILookup?Npi=1386177376","1386177376")</f>
        <v>1386177376</v>
      </c>
      <c r="E1771" s="1" t="s">
        <v>15590</v>
      </c>
      <c r="F1771" s="2"/>
      <c r="G1771" s="2"/>
      <c r="H1771" s="2"/>
    </row>
    <row r="1772" spans="1:8" x14ac:dyDescent="0.25">
      <c r="A1772" s="1"/>
      <c r="B1772" s="1" t="s">
        <v>9046</v>
      </c>
      <c r="C1772" s="1" t="s">
        <v>9047</v>
      </c>
      <c r="D1772" s="22" t="str">
        <f>HYPERLINK("https://rhld.insurance.arkansas.gov/NPILookup?Npi=1386268555","1386268555")</f>
        <v>1386268555</v>
      </c>
      <c r="E1772" s="1" t="s">
        <v>9079</v>
      </c>
      <c r="F1772" s="2"/>
      <c r="G1772" s="2"/>
      <c r="H1772" s="2"/>
    </row>
    <row r="1773" spans="1:8" x14ac:dyDescent="0.25">
      <c r="A1773" s="1"/>
      <c r="B1773" s="1" t="s">
        <v>9046</v>
      </c>
      <c r="C1773" s="1" t="s">
        <v>9047</v>
      </c>
      <c r="D1773" s="22" t="str">
        <f>HYPERLINK("https://rhld.insurance.arkansas.gov/NPILookup?Npi=1386361178","1386361178")</f>
        <v>1386361178</v>
      </c>
      <c r="E1773" s="1" t="s">
        <v>9080</v>
      </c>
      <c r="F1773" s="2"/>
      <c r="G1773" s="2"/>
      <c r="H1773" s="2"/>
    </row>
    <row r="1774" spans="1:8" x14ac:dyDescent="0.25">
      <c r="A1774" s="1"/>
      <c r="B1774" s="1" t="s">
        <v>9046</v>
      </c>
      <c r="C1774" s="1" t="s">
        <v>9047</v>
      </c>
      <c r="D1774" s="22" t="str">
        <f>HYPERLINK("https://rhld.insurance.arkansas.gov/NPILookup?Npi=1386602050","1386602050")</f>
        <v>1386602050</v>
      </c>
      <c r="E1774" s="1" t="s">
        <v>9638</v>
      </c>
      <c r="F1774" s="2"/>
      <c r="G1774" s="2"/>
      <c r="H1774" s="2"/>
    </row>
    <row r="1775" spans="1:8" x14ac:dyDescent="0.25">
      <c r="A1775" s="1"/>
      <c r="B1775" s="1" t="s">
        <v>9046</v>
      </c>
      <c r="C1775" s="1" t="s">
        <v>9047</v>
      </c>
      <c r="D1775" s="22" t="str">
        <f>HYPERLINK("https://rhld.insurance.arkansas.gov/NPILookup?Npi=1386699353","1386699353")</f>
        <v>1386699353</v>
      </c>
      <c r="E1775" s="1" t="s">
        <v>9628</v>
      </c>
      <c r="F1775" s="2"/>
      <c r="G1775" s="2"/>
      <c r="H1775" s="2"/>
    </row>
    <row r="1776" spans="1:8" x14ac:dyDescent="0.25">
      <c r="A1776" s="1"/>
      <c r="B1776" s="1" t="s">
        <v>9046</v>
      </c>
      <c r="C1776" s="1" t="s">
        <v>9047</v>
      </c>
      <c r="D1776" s="22" t="str">
        <f>HYPERLINK("https://rhld.insurance.arkansas.gov/NPILookup?Npi=1386737021","1386737021")</f>
        <v>1386737021</v>
      </c>
      <c r="E1776" s="1" t="s">
        <v>15591</v>
      </c>
      <c r="F1776" s="2"/>
      <c r="G1776" s="2"/>
      <c r="H1776" s="2"/>
    </row>
    <row r="1777" spans="1:8" x14ac:dyDescent="0.25">
      <c r="A1777" s="1"/>
      <c r="B1777" s="1" t="s">
        <v>9046</v>
      </c>
      <c r="C1777" s="1" t="s">
        <v>9047</v>
      </c>
      <c r="D1777" s="22" t="str">
        <f>HYPERLINK("https://rhld.insurance.arkansas.gov/NPILookup?Npi=1386802023","1386802023")</f>
        <v>1386802023</v>
      </c>
      <c r="E1777" s="1" t="s">
        <v>15304</v>
      </c>
      <c r="F1777" s="2"/>
      <c r="G1777" s="2"/>
      <c r="H1777" s="2"/>
    </row>
    <row r="1778" spans="1:8" x14ac:dyDescent="0.25">
      <c r="A1778" s="1"/>
      <c r="B1778" s="1" t="s">
        <v>9046</v>
      </c>
      <c r="C1778" s="1" t="s">
        <v>9047</v>
      </c>
      <c r="D1778" s="22" t="str">
        <f>HYPERLINK("https://rhld.insurance.arkansas.gov/NPILookup?Npi=1396719563","1396719563")</f>
        <v>1396719563</v>
      </c>
      <c r="E1778" s="1" t="s">
        <v>15592</v>
      </c>
      <c r="F1778" s="2"/>
      <c r="G1778" s="2"/>
      <c r="H1778" s="2"/>
    </row>
    <row r="1779" spans="1:8" x14ac:dyDescent="0.25">
      <c r="A1779" s="1"/>
      <c r="B1779" s="1" t="s">
        <v>9046</v>
      </c>
      <c r="C1779" s="1" t="s">
        <v>9047</v>
      </c>
      <c r="D1779" s="22" t="str">
        <f>HYPERLINK("https://rhld.insurance.arkansas.gov/NPILookup?Npi=1396727418","1396727418")</f>
        <v>1396727418</v>
      </c>
      <c r="E1779" s="1" t="s">
        <v>9081</v>
      </c>
      <c r="F1779" s="2"/>
      <c r="G1779" s="2"/>
      <c r="H1779" s="2"/>
    </row>
    <row r="1780" spans="1:8" x14ac:dyDescent="0.25">
      <c r="A1780" s="1"/>
      <c r="B1780" s="1" t="s">
        <v>9046</v>
      </c>
      <c r="C1780" s="1" t="s">
        <v>9047</v>
      </c>
      <c r="D1780" s="22" t="str">
        <f>HYPERLINK("https://rhld.insurance.arkansas.gov/NPILookup?Npi=1396767158","1396767158")</f>
        <v>1396767158</v>
      </c>
      <c r="E1780" s="1" t="s">
        <v>15305</v>
      </c>
      <c r="F1780" s="2"/>
      <c r="G1780" s="2"/>
      <c r="H1780" s="2"/>
    </row>
    <row r="1781" spans="1:8" x14ac:dyDescent="0.25">
      <c r="A1781" s="1"/>
      <c r="B1781" s="1" t="s">
        <v>9046</v>
      </c>
      <c r="C1781" s="1" t="s">
        <v>9047</v>
      </c>
      <c r="D1781" s="22" t="str">
        <f>HYPERLINK("https://rhld.insurance.arkansas.gov/NPILookup?Npi=1396828323","1396828323")</f>
        <v>1396828323</v>
      </c>
      <c r="E1781" s="1" t="s">
        <v>15593</v>
      </c>
      <c r="F1781" s="2"/>
      <c r="G1781" s="2"/>
      <c r="H1781" s="2"/>
    </row>
    <row r="1782" spans="1:8" x14ac:dyDescent="0.25">
      <c r="A1782" s="1"/>
      <c r="B1782" s="1" t="s">
        <v>9046</v>
      </c>
      <c r="C1782" s="1" t="s">
        <v>9047</v>
      </c>
      <c r="D1782" s="22" t="str">
        <f>HYPERLINK("https://rhld.insurance.arkansas.gov/NPILookup?Npi=1396897260","1396897260")</f>
        <v>1396897260</v>
      </c>
      <c r="E1782" s="1" t="s">
        <v>9082</v>
      </c>
      <c r="F1782" s="2"/>
      <c r="G1782" s="2"/>
      <c r="H1782" s="2"/>
    </row>
    <row r="1783" spans="1:8" x14ac:dyDescent="0.25">
      <c r="A1783" s="1"/>
      <c r="B1783" s="1" t="s">
        <v>9046</v>
      </c>
      <c r="C1783" s="1" t="s">
        <v>9047</v>
      </c>
      <c r="D1783" s="22" t="str">
        <f>HYPERLINK("https://rhld.insurance.arkansas.gov/NPILookup?Npi=1407152689","1407152689")</f>
        <v>1407152689</v>
      </c>
      <c r="E1783" s="1" t="s">
        <v>15306</v>
      </c>
      <c r="F1783" s="2"/>
      <c r="G1783" s="2"/>
      <c r="H1783" s="2"/>
    </row>
    <row r="1784" spans="1:8" x14ac:dyDescent="0.25">
      <c r="A1784" s="1"/>
      <c r="B1784" s="1" t="s">
        <v>9046</v>
      </c>
      <c r="C1784" s="1" t="s">
        <v>9047</v>
      </c>
      <c r="D1784" s="22" t="str">
        <f>HYPERLINK("https://rhld.insurance.arkansas.gov/NPILookup?Npi=1417024662","1417024662")</f>
        <v>1417024662</v>
      </c>
      <c r="E1784" s="1" t="s">
        <v>15169</v>
      </c>
      <c r="F1784" s="2"/>
      <c r="G1784" s="2"/>
      <c r="H1784" s="2"/>
    </row>
    <row r="1785" spans="1:8" x14ac:dyDescent="0.25">
      <c r="A1785" s="1"/>
      <c r="B1785" s="1" t="s">
        <v>9046</v>
      </c>
      <c r="C1785" s="1" t="s">
        <v>9047</v>
      </c>
      <c r="D1785" s="22" t="str">
        <f>HYPERLINK("https://rhld.insurance.arkansas.gov/NPILookup?Npi=1427018704","1427018704")</f>
        <v>1427018704</v>
      </c>
      <c r="E1785" s="1" t="s">
        <v>15594</v>
      </c>
      <c r="F1785" s="2"/>
      <c r="G1785" s="2"/>
      <c r="H1785" s="2"/>
    </row>
    <row r="1786" spans="1:8" x14ac:dyDescent="0.25">
      <c r="A1786" s="1"/>
      <c r="B1786" s="1" t="s">
        <v>9046</v>
      </c>
      <c r="C1786" s="1" t="s">
        <v>9047</v>
      </c>
      <c r="D1786" s="22" t="str">
        <f>HYPERLINK("https://rhld.insurance.arkansas.gov/NPILookup?Npi=1427151497","1427151497")</f>
        <v>1427151497</v>
      </c>
      <c r="E1786" s="1" t="s">
        <v>9729</v>
      </c>
      <c r="F1786" s="2"/>
      <c r="G1786" s="2"/>
      <c r="H1786" s="2"/>
    </row>
    <row r="1787" spans="1:8" x14ac:dyDescent="0.25">
      <c r="A1787" s="1"/>
      <c r="B1787" s="1" t="s">
        <v>9046</v>
      </c>
      <c r="C1787" s="1" t="s">
        <v>9047</v>
      </c>
      <c r="D1787" s="22" t="str">
        <f>HYPERLINK("https://rhld.insurance.arkansas.gov/NPILookup?Npi=1427317908","1427317908")</f>
        <v>1427317908</v>
      </c>
      <c r="E1787" s="1" t="s">
        <v>15307</v>
      </c>
      <c r="F1787" s="2"/>
      <c r="G1787" s="2"/>
      <c r="H1787" s="2"/>
    </row>
    <row r="1788" spans="1:8" x14ac:dyDescent="0.25">
      <c r="A1788" s="1"/>
      <c r="B1788" s="1" t="s">
        <v>9046</v>
      </c>
      <c r="C1788" s="1" t="s">
        <v>9047</v>
      </c>
      <c r="D1788" s="22" t="str">
        <f>HYPERLINK("https://rhld.insurance.arkansas.gov/NPILookup?Npi=1427662345","1427662345")</f>
        <v>1427662345</v>
      </c>
      <c r="E1788" s="1" t="s">
        <v>9730</v>
      </c>
      <c r="F1788" s="2"/>
      <c r="G1788" s="2"/>
      <c r="H1788" s="2"/>
    </row>
    <row r="1789" spans="1:8" x14ac:dyDescent="0.25">
      <c r="A1789" s="1"/>
      <c r="B1789" s="1" t="s">
        <v>9046</v>
      </c>
      <c r="C1789" s="1" t="s">
        <v>9047</v>
      </c>
      <c r="D1789" s="22" t="str">
        <f>HYPERLINK("https://rhld.insurance.arkansas.gov/NPILookup?Npi=1437110293","1437110293")</f>
        <v>1437110293</v>
      </c>
      <c r="E1789" s="1" t="s">
        <v>15595</v>
      </c>
      <c r="F1789" s="2"/>
      <c r="G1789" s="2"/>
      <c r="H1789" s="2"/>
    </row>
    <row r="1790" spans="1:8" x14ac:dyDescent="0.25">
      <c r="A1790" s="1"/>
      <c r="B1790" s="1" t="s">
        <v>9046</v>
      </c>
      <c r="C1790" s="1" t="s">
        <v>9047</v>
      </c>
      <c r="D1790" s="22" t="str">
        <f>HYPERLINK("https://rhld.insurance.arkansas.gov/NPILookup?Npi=1437155207","1437155207")</f>
        <v>1437155207</v>
      </c>
      <c r="E1790" s="1" t="s">
        <v>9731</v>
      </c>
      <c r="F1790" s="2"/>
      <c r="G1790" s="2"/>
      <c r="H1790" s="2"/>
    </row>
    <row r="1791" spans="1:8" x14ac:dyDescent="0.25">
      <c r="A1791" s="1"/>
      <c r="B1791" s="1" t="s">
        <v>9046</v>
      </c>
      <c r="C1791" s="1" t="s">
        <v>9047</v>
      </c>
      <c r="D1791" s="22" t="str">
        <f>HYPERLINK("https://rhld.insurance.arkansas.gov/NPILookup?Npi=1437188216","1437188216")</f>
        <v>1437188216</v>
      </c>
      <c r="E1791" s="1" t="s">
        <v>1455</v>
      </c>
      <c r="F1791" s="2"/>
      <c r="G1791" s="2"/>
      <c r="H1791" s="2"/>
    </row>
    <row r="1792" spans="1:8" x14ac:dyDescent="0.25">
      <c r="A1792" s="1"/>
      <c r="B1792" s="1" t="s">
        <v>9046</v>
      </c>
      <c r="C1792" s="1" t="s">
        <v>9047</v>
      </c>
      <c r="D1792" s="22" t="str">
        <f>HYPERLINK("https://rhld.insurance.arkansas.gov/NPILookup?Npi=1437222312","1437222312")</f>
        <v>1437222312</v>
      </c>
      <c r="E1792" s="1" t="s">
        <v>8904</v>
      </c>
      <c r="F1792" s="2"/>
      <c r="G1792" s="2"/>
      <c r="H1792" s="2"/>
    </row>
    <row r="1793" spans="1:8" x14ac:dyDescent="0.25">
      <c r="A1793" s="1"/>
      <c r="B1793" s="1" t="s">
        <v>9046</v>
      </c>
      <c r="C1793" s="1" t="s">
        <v>9047</v>
      </c>
      <c r="D1793" s="22" t="str">
        <f>HYPERLINK("https://rhld.insurance.arkansas.gov/NPILookup?Npi=1447212204","1447212204")</f>
        <v>1447212204</v>
      </c>
      <c r="E1793" s="1" t="s">
        <v>9083</v>
      </c>
      <c r="F1793" s="2"/>
      <c r="G1793" s="2"/>
      <c r="H1793" s="2"/>
    </row>
    <row r="1794" spans="1:8" x14ac:dyDescent="0.25">
      <c r="A1794" s="1"/>
      <c r="B1794" s="1" t="s">
        <v>9046</v>
      </c>
      <c r="C1794" s="1" t="s">
        <v>9047</v>
      </c>
      <c r="D1794" s="22" t="str">
        <f>HYPERLINK("https://rhld.insurance.arkansas.gov/NPILookup?Npi=1447225503","1447225503")</f>
        <v>1447225503</v>
      </c>
      <c r="E1794" s="1" t="s">
        <v>9084</v>
      </c>
      <c r="F1794" s="2"/>
      <c r="G1794" s="2"/>
      <c r="H1794" s="2"/>
    </row>
    <row r="1795" spans="1:8" x14ac:dyDescent="0.25">
      <c r="A1795" s="1"/>
      <c r="B1795" s="1" t="s">
        <v>9046</v>
      </c>
      <c r="C1795" s="1" t="s">
        <v>9047</v>
      </c>
      <c r="D1795" s="22" t="str">
        <f>HYPERLINK("https://rhld.insurance.arkansas.gov/NPILookup?Npi=1447276605","1447276605")</f>
        <v>1447276605</v>
      </c>
      <c r="E1795" s="1" t="s">
        <v>15345</v>
      </c>
      <c r="F1795" s="2"/>
      <c r="G1795" s="2"/>
      <c r="H1795" s="2"/>
    </row>
    <row r="1796" spans="1:8" x14ac:dyDescent="0.25">
      <c r="A1796" s="1"/>
      <c r="B1796" s="1" t="s">
        <v>9046</v>
      </c>
      <c r="C1796" s="1" t="s">
        <v>9047</v>
      </c>
      <c r="D1796" s="22" t="str">
        <f>HYPERLINK("https://rhld.insurance.arkansas.gov/NPILookup?Npi=1447329990","1447329990")</f>
        <v>1447329990</v>
      </c>
      <c r="E1796" s="1" t="s">
        <v>15596</v>
      </c>
      <c r="F1796" s="2"/>
      <c r="G1796" s="2"/>
      <c r="H1796" s="2"/>
    </row>
    <row r="1797" spans="1:8" x14ac:dyDescent="0.25">
      <c r="A1797" s="1"/>
      <c r="B1797" s="1" t="s">
        <v>9046</v>
      </c>
      <c r="C1797" s="1" t="s">
        <v>9047</v>
      </c>
      <c r="D1797" s="22" t="str">
        <f>HYPERLINK("https://rhld.insurance.arkansas.gov/NPILookup?Npi=1447417605","1447417605")</f>
        <v>1447417605</v>
      </c>
      <c r="E1797" s="1" t="s">
        <v>9085</v>
      </c>
      <c r="F1797" s="2"/>
      <c r="G1797" s="2"/>
      <c r="H1797" s="2"/>
    </row>
    <row r="1798" spans="1:8" x14ac:dyDescent="0.25">
      <c r="A1798" s="1"/>
      <c r="B1798" s="1" t="s">
        <v>9046</v>
      </c>
      <c r="C1798" s="1" t="s">
        <v>9047</v>
      </c>
      <c r="D1798" s="22" t="str">
        <f>HYPERLINK("https://rhld.insurance.arkansas.gov/NPILookup?Npi=1447439708","1447439708")</f>
        <v>1447439708</v>
      </c>
      <c r="E1798" s="1" t="s">
        <v>15283</v>
      </c>
      <c r="F1798" s="2"/>
      <c r="G1798" s="2"/>
      <c r="H1798" s="2"/>
    </row>
    <row r="1799" spans="1:8" x14ac:dyDescent="0.25">
      <c r="A1799" s="1"/>
      <c r="B1799" s="1" t="s">
        <v>9046</v>
      </c>
      <c r="C1799" s="1" t="s">
        <v>9047</v>
      </c>
      <c r="D1799" s="22" t="str">
        <f>HYPERLINK("https://rhld.insurance.arkansas.gov/NPILookup?Npi=1447597265","1447597265")</f>
        <v>1447597265</v>
      </c>
      <c r="E1799" s="1" t="s">
        <v>3170</v>
      </c>
      <c r="F1799" s="2"/>
      <c r="G1799" s="2"/>
      <c r="H1799" s="2"/>
    </row>
    <row r="1800" spans="1:8" x14ac:dyDescent="0.25">
      <c r="A1800" s="1"/>
      <c r="B1800" s="1" t="s">
        <v>9046</v>
      </c>
      <c r="C1800" s="1" t="s">
        <v>9047</v>
      </c>
      <c r="D1800" s="22" t="str">
        <f>HYPERLINK("https://rhld.insurance.arkansas.gov/NPILookup?Npi=1447609367","1447609367")</f>
        <v>1447609367</v>
      </c>
      <c r="E1800" s="1" t="s">
        <v>15597</v>
      </c>
      <c r="F1800" s="2"/>
      <c r="G1800" s="2"/>
      <c r="H1800" s="2"/>
    </row>
    <row r="1801" spans="1:8" x14ac:dyDescent="0.25">
      <c r="A1801" s="1"/>
      <c r="B1801" s="1" t="s">
        <v>9046</v>
      </c>
      <c r="C1801" s="1" t="s">
        <v>9047</v>
      </c>
      <c r="D1801" s="22" t="str">
        <f>HYPERLINK("https://rhld.insurance.arkansas.gov/NPILookup?Npi=1457077174","1457077174")</f>
        <v>1457077174</v>
      </c>
      <c r="E1801" s="1" t="s">
        <v>9086</v>
      </c>
      <c r="F1801" s="2"/>
      <c r="G1801" s="2"/>
      <c r="H1801" s="2"/>
    </row>
    <row r="1802" spans="1:8" x14ac:dyDescent="0.25">
      <c r="A1802" s="1"/>
      <c r="B1802" s="1" t="s">
        <v>9046</v>
      </c>
      <c r="C1802" s="1" t="s">
        <v>9047</v>
      </c>
      <c r="D1802" s="22" t="str">
        <f>HYPERLINK("https://rhld.insurance.arkansas.gov/NPILookup?Npi=1457379364","1457379364")</f>
        <v>1457379364</v>
      </c>
      <c r="E1802" s="1" t="s">
        <v>15598</v>
      </c>
      <c r="F1802" s="2"/>
      <c r="G1802" s="2"/>
      <c r="H1802" s="2"/>
    </row>
    <row r="1803" spans="1:8" x14ac:dyDescent="0.25">
      <c r="A1803" s="1"/>
      <c r="B1803" s="1" t="s">
        <v>9046</v>
      </c>
      <c r="C1803" s="1" t="s">
        <v>9047</v>
      </c>
      <c r="D1803" s="22" t="str">
        <f>HYPERLINK("https://rhld.insurance.arkansas.gov/NPILookup?Npi=1457531089","1457531089")</f>
        <v>1457531089</v>
      </c>
      <c r="E1803" s="1" t="s">
        <v>9087</v>
      </c>
      <c r="F1803" s="2"/>
      <c r="G1803" s="2"/>
      <c r="H1803" s="2"/>
    </row>
    <row r="1804" spans="1:8" x14ac:dyDescent="0.25">
      <c r="A1804" s="1"/>
      <c r="B1804" s="1" t="s">
        <v>9046</v>
      </c>
      <c r="C1804" s="1" t="s">
        <v>9047</v>
      </c>
      <c r="D1804" s="22" t="str">
        <f>HYPERLINK("https://rhld.insurance.arkansas.gov/NPILookup?Npi=1457557027","1457557027")</f>
        <v>1457557027</v>
      </c>
      <c r="E1804" s="1" t="s">
        <v>15599</v>
      </c>
      <c r="F1804" s="2"/>
      <c r="G1804" s="2"/>
      <c r="H1804" s="2"/>
    </row>
    <row r="1805" spans="1:8" x14ac:dyDescent="0.25">
      <c r="A1805" s="1"/>
      <c r="B1805" s="1" t="s">
        <v>9046</v>
      </c>
      <c r="C1805" s="1" t="s">
        <v>9047</v>
      </c>
      <c r="D1805" s="22" t="str">
        <f>HYPERLINK("https://rhld.insurance.arkansas.gov/NPILookup?Npi=1467089599","1467089599")</f>
        <v>1467089599</v>
      </c>
      <c r="E1805" s="1" t="s">
        <v>9088</v>
      </c>
      <c r="F1805" s="2"/>
      <c r="G1805" s="2"/>
      <c r="H1805" s="2"/>
    </row>
    <row r="1806" spans="1:8" x14ac:dyDescent="0.25">
      <c r="A1806" s="1"/>
      <c r="B1806" s="1" t="s">
        <v>9046</v>
      </c>
      <c r="C1806" s="1" t="s">
        <v>9047</v>
      </c>
      <c r="D1806" s="22" t="str">
        <f>HYPERLINK("https://rhld.insurance.arkansas.gov/NPILookup?Npi=1477039782","1477039782")</f>
        <v>1477039782</v>
      </c>
      <c r="E1806" s="1" t="s">
        <v>2450</v>
      </c>
      <c r="F1806" s="2"/>
      <c r="G1806" s="2"/>
      <c r="H1806" s="2"/>
    </row>
    <row r="1807" spans="1:8" x14ac:dyDescent="0.25">
      <c r="A1807" s="1"/>
      <c r="B1807" s="1" t="s">
        <v>9046</v>
      </c>
      <c r="C1807" s="1" t="s">
        <v>9047</v>
      </c>
      <c r="D1807" s="22" t="str">
        <f>HYPERLINK("https://rhld.insurance.arkansas.gov/NPILookup?Npi=1477178879","1477178879")</f>
        <v>1477178879</v>
      </c>
      <c r="E1807" s="1" t="s">
        <v>15600</v>
      </c>
      <c r="F1807" s="2"/>
      <c r="G1807" s="2"/>
      <c r="H1807" s="2"/>
    </row>
    <row r="1808" spans="1:8" x14ac:dyDescent="0.25">
      <c r="A1808" s="1"/>
      <c r="B1808" s="1" t="s">
        <v>9046</v>
      </c>
      <c r="C1808" s="1" t="s">
        <v>9047</v>
      </c>
      <c r="D1808" s="22" t="str">
        <f>HYPERLINK("https://rhld.insurance.arkansas.gov/NPILookup?Npi=1477201937","1477201937")</f>
        <v>1477201937</v>
      </c>
      <c r="E1808" s="1" t="s">
        <v>5337</v>
      </c>
      <c r="F1808" s="2"/>
      <c r="G1808" s="2"/>
      <c r="H1808" s="2"/>
    </row>
    <row r="1809" spans="1:8" x14ac:dyDescent="0.25">
      <c r="A1809" s="1"/>
      <c r="B1809" s="1" t="s">
        <v>9046</v>
      </c>
      <c r="C1809" s="1" t="s">
        <v>9047</v>
      </c>
      <c r="D1809" s="22" t="str">
        <f>HYPERLINK("https://rhld.insurance.arkansas.gov/NPILookup?Npi=1477549756","1477549756")</f>
        <v>1477549756</v>
      </c>
      <c r="E1809" s="1" t="s">
        <v>15185</v>
      </c>
      <c r="F1809" s="2"/>
      <c r="G1809" s="2"/>
      <c r="H1809" s="2"/>
    </row>
    <row r="1810" spans="1:8" x14ac:dyDescent="0.25">
      <c r="A1810" s="1"/>
      <c r="B1810" s="1" t="s">
        <v>9046</v>
      </c>
      <c r="C1810" s="1" t="s">
        <v>9047</v>
      </c>
      <c r="D1810" s="22" t="str">
        <f>HYPERLINK("https://rhld.insurance.arkansas.gov/NPILookup?Npi=1477561983","1477561983")</f>
        <v>1477561983</v>
      </c>
      <c r="E1810" s="1" t="s">
        <v>683</v>
      </c>
      <c r="F1810" s="2"/>
      <c r="G1810" s="2"/>
      <c r="H1810" s="2"/>
    </row>
    <row r="1811" spans="1:8" x14ac:dyDescent="0.25">
      <c r="A1811" s="1"/>
      <c r="B1811" s="1" t="s">
        <v>9046</v>
      </c>
      <c r="C1811" s="1" t="s">
        <v>9047</v>
      </c>
      <c r="D1811" s="22" t="str">
        <f>HYPERLINK("https://rhld.insurance.arkansas.gov/NPILookup?Npi=1477571891","1477571891")</f>
        <v>1477571891</v>
      </c>
      <c r="E1811" s="1" t="s">
        <v>15347</v>
      </c>
      <c r="F1811" s="2"/>
      <c r="G1811" s="2"/>
      <c r="H1811" s="2"/>
    </row>
    <row r="1812" spans="1:8" x14ac:dyDescent="0.25">
      <c r="A1812" s="1"/>
      <c r="B1812" s="1" t="s">
        <v>9046</v>
      </c>
      <c r="C1812" s="1" t="s">
        <v>9047</v>
      </c>
      <c r="D1812" s="22" t="str">
        <f>HYPERLINK("https://rhld.insurance.arkansas.gov/NPILookup?Npi=1477822567","1477822567")</f>
        <v>1477822567</v>
      </c>
      <c r="E1812" s="1" t="s">
        <v>8911</v>
      </c>
      <c r="F1812" s="2"/>
      <c r="G1812" s="2"/>
      <c r="H1812" s="2"/>
    </row>
    <row r="1813" spans="1:8" x14ac:dyDescent="0.25">
      <c r="A1813" s="1"/>
      <c r="B1813" s="1" t="s">
        <v>9046</v>
      </c>
      <c r="C1813" s="1" t="s">
        <v>9047</v>
      </c>
      <c r="D1813" s="22" t="str">
        <f>HYPERLINK("https://rhld.insurance.arkansas.gov/NPILookup?Npi=1487122669","1487122669")</f>
        <v>1487122669</v>
      </c>
      <c r="E1813" s="1" t="s">
        <v>15500</v>
      </c>
      <c r="F1813" s="2"/>
      <c r="G1813" s="2"/>
      <c r="H1813" s="2"/>
    </row>
    <row r="1814" spans="1:8" x14ac:dyDescent="0.25">
      <c r="A1814" s="1"/>
      <c r="B1814" s="1" t="s">
        <v>9046</v>
      </c>
      <c r="C1814" s="1" t="s">
        <v>9047</v>
      </c>
      <c r="D1814" s="22" t="str">
        <f>HYPERLINK("https://rhld.insurance.arkansas.gov/NPILookup?Npi=1487385241","1487385241")</f>
        <v>1487385241</v>
      </c>
      <c r="E1814" s="1" t="s">
        <v>9089</v>
      </c>
      <c r="F1814" s="2"/>
      <c r="G1814" s="2"/>
      <c r="H1814" s="2"/>
    </row>
    <row r="1815" spans="1:8" x14ac:dyDescent="0.25">
      <c r="A1815" s="1"/>
      <c r="B1815" s="1" t="s">
        <v>9046</v>
      </c>
      <c r="C1815" s="1" t="s">
        <v>9047</v>
      </c>
      <c r="D1815" s="22" t="str">
        <f>HYPERLINK("https://rhld.insurance.arkansas.gov/NPILookup?Npi=1487684908","1487684908")</f>
        <v>1487684908</v>
      </c>
      <c r="E1815" s="1" t="s">
        <v>9639</v>
      </c>
      <c r="F1815" s="2"/>
      <c r="G1815" s="2"/>
      <c r="H1815" s="2"/>
    </row>
    <row r="1816" spans="1:8" x14ac:dyDescent="0.25">
      <c r="A1816" s="1"/>
      <c r="B1816" s="1" t="s">
        <v>9046</v>
      </c>
      <c r="C1816" s="1" t="s">
        <v>9047</v>
      </c>
      <c r="D1816" s="22" t="str">
        <f>HYPERLINK("https://rhld.insurance.arkansas.gov/NPILookup?Npi=1487776365","1487776365")</f>
        <v>1487776365</v>
      </c>
      <c r="E1816" s="1" t="s">
        <v>9090</v>
      </c>
      <c r="F1816" s="2"/>
      <c r="G1816" s="2"/>
      <c r="H1816" s="2"/>
    </row>
    <row r="1817" spans="1:8" x14ac:dyDescent="0.25">
      <c r="A1817" s="1"/>
      <c r="B1817" s="1" t="s">
        <v>9046</v>
      </c>
      <c r="C1817" s="1" t="s">
        <v>9047</v>
      </c>
      <c r="D1817" s="22" t="str">
        <f>HYPERLINK("https://rhld.insurance.arkansas.gov/NPILookup?Npi=1497770424","1497770424")</f>
        <v>1497770424</v>
      </c>
      <c r="E1817" s="1" t="s">
        <v>15189</v>
      </c>
      <c r="F1817" s="2"/>
      <c r="G1817" s="2"/>
      <c r="H1817" s="2"/>
    </row>
    <row r="1818" spans="1:8" x14ac:dyDescent="0.25">
      <c r="A1818" s="1"/>
      <c r="B1818" s="1" t="s">
        <v>9046</v>
      </c>
      <c r="C1818" s="1" t="s">
        <v>9047</v>
      </c>
      <c r="D1818" s="22" t="str">
        <f>HYPERLINK("https://rhld.insurance.arkansas.gov/NPILookup?Npi=1497790042","1497790042")</f>
        <v>1497790042</v>
      </c>
      <c r="E1818" s="1" t="s">
        <v>9630</v>
      </c>
      <c r="F1818" s="2"/>
      <c r="G1818" s="2"/>
      <c r="H1818" s="2"/>
    </row>
    <row r="1819" spans="1:8" x14ac:dyDescent="0.25">
      <c r="A1819" s="1"/>
      <c r="B1819" s="1" t="s">
        <v>9046</v>
      </c>
      <c r="C1819" s="1" t="s">
        <v>9047</v>
      </c>
      <c r="D1819" s="22" t="str">
        <f>HYPERLINK("https://rhld.insurance.arkansas.gov/NPILookup?Npi=1497812903","1497812903")</f>
        <v>1497812903</v>
      </c>
      <c r="E1819" s="1" t="s">
        <v>9091</v>
      </c>
      <c r="F1819" s="2"/>
      <c r="G1819" s="2"/>
      <c r="H1819" s="2"/>
    </row>
    <row r="1820" spans="1:8" x14ac:dyDescent="0.25">
      <c r="A1820" s="1"/>
      <c r="B1820" s="1" t="s">
        <v>9046</v>
      </c>
      <c r="C1820" s="1" t="s">
        <v>9047</v>
      </c>
      <c r="D1820" s="22" t="str">
        <f>HYPERLINK("https://rhld.insurance.arkansas.gov/NPILookup?Npi=1508450339","1508450339")</f>
        <v>1508450339</v>
      </c>
      <c r="E1820" s="1" t="s">
        <v>15309</v>
      </c>
      <c r="F1820" s="2"/>
      <c r="G1820" s="2"/>
      <c r="H1820" s="2"/>
    </row>
    <row r="1821" spans="1:8" x14ac:dyDescent="0.25">
      <c r="A1821" s="1"/>
      <c r="B1821" s="1" t="s">
        <v>9046</v>
      </c>
      <c r="C1821" s="1" t="s">
        <v>9047</v>
      </c>
      <c r="D1821" s="22" t="str">
        <f>HYPERLINK("https://rhld.insurance.arkansas.gov/NPILookup?Npi=1508862160","1508862160")</f>
        <v>1508862160</v>
      </c>
      <c r="E1821" s="1" t="s">
        <v>9092</v>
      </c>
      <c r="F1821" s="2"/>
      <c r="G1821" s="2"/>
      <c r="H1821" s="2"/>
    </row>
    <row r="1822" spans="1:8" x14ac:dyDescent="0.25">
      <c r="A1822" s="1"/>
      <c r="B1822" s="1" t="s">
        <v>9046</v>
      </c>
      <c r="C1822" s="1" t="s">
        <v>9047</v>
      </c>
      <c r="D1822" s="22" t="str">
        <f>HYPERLINK("https://rhld.insurance.arkansas.gov/NPILookup?Npi=1518591809","1518591809")</f>
        <v>1518591809</v>
      </c>
      <c r="E1822" s="1" t="s">
        <v>15153</v>
      </c>
      <c r="F1822" s="2"/>
      <c r="G1822" s="2"/>
      <c r="H1822" s="2"/>
    </row>
    <row r="1823" spans="1:8" x14ac:dyDescent="0.25">
      <c r="A1823" s="1"/>
      <c r="B1823" s="1" t="s">
        <v>9046</v>
      </c>
      <c r="C1823" s="1" t="s">
        <v>9047</v>
      </c>
      <c r="D1823" s="22" t="str">
        <f>HYPERLINK("https://rhld.insurance.arkansas.gov/NPILookup?Npi=1518982008","1518982008")</f>
        <v>1518982008</v>
      </c>
      <c r="E1823" s="1" t="s">
        <v>9093</v>
      </c>
      <c r="F1823" s="2"/>
      <c r="G1823" s="2"/>
      <c r="H1823" s="2"/>
    </row>
    <row r="1824" spans="1:8" x14ac:dyDescent="0.25">
      <c r="A1824" s="1"/>
      <c r="B1824" s="1" t="s">
        <v>9046</v>
      </c>
      <c r="C1824" s="1" t="s">
        <v>9047</v>
      </c>
      <c r="D1824" s="22" t="str">
        <f>HYPERLINK("https://rhld.insurance.arkansas.gov/NPILookup?Npi=1528009453","1528009453")</f>
        <v>1528009453</v>
      </c>
      <c r="E1824" s="1" t="s">
        <v>15601</v>
      </c>
      <c r="F1824" s="2"/>
      <c r="G1824" s="2"/>
      <c r="H1824" s="2"/>
    </row>
    <row r="1825" spans="1:8" x14ac:dyDescent="0.25">
      <c r="A1825" s="1"/>
      <c r="B1825" s="1" t="s">
        <v>9046</v>
      </c>
      <c r="C1825" s="1" t="s">
        <v>9047</v>
      </c>
      <c r="D1825" s="22" t="str">
        <f>HYPERLINK("https://rhld.insurance.arkansas.gov/NPILookup?Npi=1528360989","1528360989")</f>
        <v>1528360989</v>
      </c>
      <c r="E1825" s="1" t="s">
        <v>15296</v>
      </c>
      <c r="F1825" s="2"/>
      <c r="G1825" s="2"/>
      <c r="H1825" s="2"/>
    </row>
    <row r="1826" spans="1:8" x14ac:dyDescent="0.25">
      <c r="A1826" s="1"/>
      <c r="B1826" s="1" t="s">
        <v>9046</v>
      </c>
      <c r="C1826" s="1" t="s">
        <v>9047</v>
      </c>
      <c r="D1826" s="22" t="str">
        <f>HYPERLINK("https://rhld.insurance.arkansas.gov/NPILookup?Npi=1528478849","1528478849")</f>
        <v>1528478849</v>
      </c>
      <c r="E1826" s="1" t="s">
        <v>9094</v>
      </c>
      <c r="F1826" s="2"/>
      <c r="G1826" s="2"/>
      <c r="H1826" s="2"/>
    </row>
    <row r="1827" spans="1:8" x14ac:dyDescent="0.25">
      <c r="A1827" s="1"/>
      <c r="B1827" s="1" t="s">
        <v>9046</v>
      </c>
      <c r="C1827" s="1" t="s">
        <v>9047</v>
      </c>
      <c r="D1827" s="22" t="str">
        <f>HYPERLINK("https://rhld.insurance.arkansas.gov/NPILookup?Npi=1538226923","1538226923")</f>
        <v>1538226923</v>
      </c>
      <c r="E1827" s="1" t="s">
        <v>15602</v>
      </c>
      <c r="F1827" s="2"/>
      <c r="G1827" s="2"/>
      <c r="H1827" s="2"/>
    </row>
    <row r="1828" spans="1:8" x14ac:dyDescent="0.25">
      <c r="A1828" s="1"/>
      <c r="B1828" s="1" t="s">
        <v>9046</v>
      </c>
      <c r="C1828" s="1" t="s">
        <v>9047</v>
      </c>
      <c r="D1828" s="22" t="str">
        <f>HYPERLINK("https://rhld.insurance.arkansas.gov/NPILookup?Npi=1538460662","1538460662")</f>
        <v>1538460662</v>
      </c>
      <c r="E1828" s="1" t="s">
        <v>15603</v>
      </c>
      <c r="F1828" s="2"/>
      <c r="G1828" s="2"/>
      <c r="H1828" s="2"/>
    </row>
    <row r="1829" spans="1:8" x14ac:dyDescent="0.25">
      <c r="A1829" s="1"/>
      <c r="B1829" s="1" t="s">
        <v>9046</v>
      </c>
      <c r="C1829" s="1" t="s">
        <v>9047</v>
      </c>
      <c r="D1829" s="22" t="str">
        <f>HYPERLINK("https://rhld.insurance.arkansas.gov/NPILookup?Npi=1538561436","1538561436")</f>
        <v>1538561436</v>
      </c>
      <c r="E1829" s="1" t="s">
        <v>9732</v>
      </c>
      <c r="F1829" s="2"/>
      <c r="G1829" s="2"/>
      <c r="H1829" s="2"/>
    </row>
    <row r="1830" spans="1:8" x14ac:dyDescent="0.25">
      <c r="A1830" s="1"/>
      <c r="B1830" s="1" t="s">
        <v>9046</v>
      </c>
      <c r="C1830" s="1" t="s">
        <v>9047</v>
      </c>
      <c r="D1830" s="22" t="str">
        <f>HYPERLINK("https://rhld.insurance.arkansas.gov/NPILookup?Npi=1538635859","1538635859")</f>
        <v>1538635859</v>
      </c>
      <c r="E1830" s="1" t="s">
        <v>15604</v>
      </c>
      <c r="F1830" s="2"/>
      <c r="G1830" s="2"/>
      <c r="H1830" s="2"/>
    </row>
    <row r="1831" spans="1:8" x14ac:dyDescent="0.25">
      <c r="A1831" s="1"/>
      <c r="B1831" s="1" t="s">
        <v>9046</v>
      </c>
      <c r="C1831" s="1" t="s">
        <v>9047</v>
      </c>
      <c r="D1831" s="22" t="str">
        <f>HYPERLINK("https://rhld.insurance.arkansas.gov/NPILookup?Npi=1548256365","1548256365")</f>
        <v>1548256365</v>
      </c>
      <c r="E1831" s="1" t="s">
        <v>9095</v>
      </c>
      <c r="F1831" s="2"/>
      <c r="G1831" s="2"/>
      <c r="H1831" s="2"/>
    </row>
    <row r="1832" spans="1:8" x14ac:dyDescent="0.25">
      <c r="A1832" s="1"/>
      <c r="B1832" s="1" t="s">
        <v>9046</v>
      </c>
      <c r="C1832" s="1" t="s">
        <v>9047</v>
      </c>
      <c r="D1832" s="22" t="str">
        <f>HYPERLINK("https://rhld.insurance.arkansas.gov/NPILookup?Npi=1548333438","1548333438")</f>
        <v>1548333438</v>
      </c>
      <c r="E1832" s="1" t="s">
        <v>15285</v>
      </c>
      <c r="F1832" s="2"/>
      <c r="G1832" s="2"/>
      <c r="H1832" s="2"/>
    </row>
    <row r="1833" spans="1:8" x14ac:dyDescent="0.25">
      <c r="A1833" s="1"/>
      <c r="B1833" s="1" t="s">
        <v>9046</v>
      </c>
      <c r="C1833" s="1" t="s">
        <v>9047</v>
      </c>
      <c r="D1833" s="22" t="str">
        <f>HYPERLINK("https://rhld.insurance.arkansas.gov/NPILookup?Npi=1548359037","1548359037")</f>
        <v>1548359037</v>
      </c>
      <c r="E1833" s="1" t="s">
        <v>15605</v>
      </c>
      <c r="F1833" s="2"/>
      <c r="G1833" s="2"/>
      <c r="H1833" s="2"/>
    </row>
    <row r="1834" spans="1:8" x14ac:dyDescent="0.25">
      <c r="A1834" s="1"/>
      <c r="B1834" s="1" t="s">
        <v>9046</v>
      </c>
      <c r="C1834" s="1" t="s">
        <v>9047</v>
      </c>
      <c r="D1834" s="22" t="str">
        <f>HYPERLINK("https://rhld.insurance.arkansas.gov/NPILookup?Npi=1548712227","1548712227")</f>
        <v>1548712227</v>
      </c>
      <c r="E1834" s="1" t="s">
        <v>15606</v>
      </c>
      <c r="F1834" s="2"/>
      <c r="G1834" s="2"/>
      <c r="H1834" s="2"/>
    </row>
    <row r="1835" spans="1:8" x14ac:dyDescent="0.25">
      <c r="A1835" s="1"/>
      <c r="B1835" s="1" t="s">
        <v>9046</v>
      </c>
      <c r="C1835" s="1" t="s">
        <v>9047</v>
      </c>
      <c r="D1835" s="22" t="str">
        <f>HYPERLINK("https://rhld.insurance.arkansas.gov/NPILookup?Npi=1558333864","1558333864")</f>
        <v>1558333864</v>
      </c>
      <c r="E1835" s="1" t="s">
        <v>15607</v>
      </c>
      <c r="F1835" s="2"/>
      <c r="G1835" s="2"/>
      <c r="H1835" s="2"/>
    </row>
    <row r="1836" spans="1:8" x14ac:dyDescent="0.25">
      <c r="A1836" s="1"/>
      <c r="B1836" s="1" t="s">
        <v>9046</v>
      </c>
      <c r="C1836" s="1" t="s">
        <v>9047</v>
      </c>
      <c r="D1836" s="22" t="str">
        <f>HYPERLINK("https://rhld.insurance.arkansas.gov/NPILookup?Npi=1558506816","1558506816")</f>
        <v>1558506816</v>
      </c>
      <c r="E1836" s="1" t="s">
        <v>15608</v>
      </c>
      <c r="F1836" s="2"/>
      <c r="G1836" s="2"/>
      <c r="H1836" s="2"/>
    </row>
    <row r="1837" spans="1:8" x14ac:dyDescent="0.25">
      <c r="A1837" s="1"/>
      <c r="B1837" s="1" t="s">
        <v>9046</v>
      </c>
      <c r="C1837" s="1" t="s">
        <v>9047</v>
      </c>
      <c r="D1837" s="22" t="str">
        <f>HYPERLINK("https://rhld.insurance.arkansas.gov/NPILookup?Npi=1558647628","1558647628")</f>
        <v>1558647628</v>
      </c>
      <c r="E1837" s="1" t="s">
        <v>5362</v>
      </c>
      <c r="F1837" s="2"/>
      <c r="G1837" s="2"/>
      <c r="H1837" s="2"/>
    </row>
    <row r="1838" spans="1:8" x14ac:dyDescent="0.25">
      <c r="A1838" s="1"/>
      <c r="B1838" s="1" t="s">
        <v>9046</v>
      </c>
      <c r="C1838" s="1" t="s">
        <v>9047</v>
      </c>
      <c r="D1838" s="22" t="str">
        <f>HYPERLINK("https://rhld.insurance.arkansas.gov/NPILookup?Npi=1558653212","1558653212")</f>
        <v>1558653212</v>
      </c>
      <c r="E1838" s="1" t="s">
        <v>15286</v>
      </c>
      <c r="F1838" s="2"/>
      <c r="G1838" s="2"/>
      <c r="H1838" s="2"/>
    </row>
    <row r="1839" spans="1:8" x14ac:dyDescent="0.25">
      <c r="A1839" s="1"/>
      <c r="B1839" s="1" t="s">
        <v>9046</v>
      </c>
      <c r="C1839" s="1" t="s">
        <v>9047</v>
      </c>
      <c r="D1839" s="22" t="str">
        <f>HYPERLINK("https://rhld.insurance.arkansas.gov/NPILookup?Npi=1568083491","1568083491")</f>
        <v>1568083491</v>
      </c>
      <c r="E1839" s="1" t="s">
        <v>9096</v>
      </c>
      <c r="F1839" s="2"/>
      <c r="G1839" s="2"/>
      <c r="H1839" s="2"/>
    </row>
    <row r="1840" spans="1:8" x14ac:dyDescent="0.25">
      <c r="A1840" s="1"/>
      <c r="B1840" s="1" t="s">
        <v>9046</v>
      </c>
      <c r="C1840" s="1" t="s">
        <v>9047</v>
      </c>
      <c r="D1840" s="22" t="str">
        <f>HYPERLINK("https://rhld.insurance.arkansas.gov/NPILookup?Npi=1568406536","1568406536")</f>
        <v>1568406536</v>
      </c>
      <c r="E1840" s="1" t="s">
        <v>10103</v>
      </c>
      <c r="F1840" s="2"/>
      <c r="G1840" s="2"/>
      <c r="H1840" s="2"/>
    </row>
    <row r="1841" spans="1:8" x14ac:dyDescent="0.25">
      <c r="A1841" s="1"/>
      <c r="B1841" s="1" t="s">
        <v>9046</v>
      </c>
      <c r="C1841" s="1" t="s">
        <v>9047</v>
      </c>
      <c r="D1841" s="22" t="str">
        <f>HYPERLINK("https://rhld.insurance.arkansas.gov/NPILookup?Npi=1568433480","1568433480")</f>
        <v>1568433480</v>
      </c>
      <c r="E1841" s="1" t="s">
        <v>9631</v>
      </c>
      <c r="F1841" s="2"/>
      <c r="G1841" s="2"/>
      <c r="H1841" s="2"/>
    </row>
    <row r="1842" spans="1:8" x14ac:dyDescent="0.25">
      <c r="A1842" s="1"/>
      <c r="B1842" s="1" t="s">
        <v>9046</v>
      </c>
      <c r="C1842" s="1" t="s">
        <v>9047</v>
      </c>
      <c r="D1842" s="22" t="str">
        <f>HYPERLINK("https://rhld.insurance.arkansas.gov/NPILookup?Npi=1578527172","1578527172")</f>
        <v>1578527172</v>
      </c>
      <c r="E1842" s="1" t="s">
        <v>8896</v>
      </c>
      <c r="F1842" s="2"/>
      <c r="G1842" s="2"/>
      <c r="H1842" s="2"/>
    </row>
    <row r="1843" spans="1:8" x14ac:dyDescent="0.25">
      <c r="A1843" s="1"/>
      <c r="B1843" s="1" t="s">
        <v>9046</v>
      </c>
      <c r="C1843" s="1" t="s">
        <v>9047</v>
      </c>
      <c r="D1843" s="22" t="str">
        <f>HYPERLINK("https://rhld.insurance.arkansas.gov/NPILookup?Npi=1578608477","1578608477")</f>
        <v>1578608477</v>
      </c>
      <c r="E1843" s="1" t="s">
        <v>5372</v>
      </c>
      <c r="F1843" s="2"/>
      <c r="G1843" s="2"/>
      <c r="H1843" s="2"/>
    </row>
    <row r="1844" spans="1:8" x14ac:dyDescent="0.25">
      <c r="A1844" s="1"/>
      <c r="B1844" s="1" t="s">
        <v>9046</v>
      </c>
      <c r="C1844" s="1" t="s">
        <v>9047</v>
      </c>
      <c r="D1844" s="22" t="str">
        <f>HYPERLINK("https://rhld.insurance.arkansas.gov/NPILookup?Npi=1578643607","1578643607")</f>
        <v>1578643607</v>
      </c>
      <c r="E1844" s="1" t="s">
        <v>15609</v>
      </c>
      <c r="F1844" s="2"/>
      <c r="G1844" s="2"/>
      <c r="H1844" s="2"/>
    </row>
    <row r="1845" spans="1:8" x14ac:dyDescent="0.25">
      <c r="A1845" s="1"/>
      <c r="B1845" s="1" t="s">
        <v>9046</v>
      </c>
      <c r="C1845" s="1" t="s">
        <v>9047</v>
      </c>
      <c r="D1845" s="22" t="str">
        <f>HYPERLINK("https://rhld.insurance.arkansas.gov/NPILookup?Npi=1588603351","1588603351")</f>
        <v>1588603351</v>
      </c>
      <c r="E1845" s="1" t="s">
        <v>9048</v>
      </c>
      <c r="F1845" s="2"/>
      <c r="G1845" s="2"/>
      <c r="H1845" s="2"/>
    </row>
    <row r="1846" spans="1:8" x14ac:dyDescent="0.25">
      <c r="A1846" s="1"/>
      <c r="B1846" s="1" t="s">
        <v>9046</v>
      </c>
      <c r="C1846" s="1" t="s">
        <v>9047</v>
      </c>
      <c r="D1846" s="22" t="str">
        <f>HYPERLINK("https://rhld.insurance.arkansas.gov/NPILookup?Npi=1588802987","1588802987")</f>
        <v>1588802987</v>
      </c>
      <c r="E1846" s="1" t="s">
        <v>9097</v>
      </c>
      <c r="F1846" s="2"/>
      <c r="G1846" s="2"/>
      <c r="H1846" s="2"/>
    </row>
    <row r="1847" spans="1:8" x14ac:dyDescent="0.25">
      <c r="A1847" s="1"/>
      <c r="B1847" s="1" t="s">
        <v>9046</v>
      </c>
      <c r="C1847" s="1" t="s">
        <v>9047</v>
      </c>
      <c r="D1847" s="22" t="str">
        <f>HYPERLINK("https://rhld.insurance.arkansas.gov/NPILookup?Npi=1588876817","1588876817")</f>
        <v>1588876817</v>
      </c>
      <c r="E1847" s="1" t="s">
        <v>9098</v>
      </c>
      <c r="F1847" s="2"/>
      <c r="G1847" s="2"/>
      <c r="H1847" s="2"/>
    </row>
    <row r="1848" spans="1:8" x14ac:dyDescent="0.25">
      <c r="A1848" s="1"/>
      <c r="B1848" s="1" t="s">
        <v>9046</v>
      </c>
      <c r="C1848" s="1" t="s">
        <v>9047</v>
      </c>
      <c r="D1848" s="22" t="str">
        <f>HYPERLINK("https://rhld.insurance.arkansas.gov/NPILookup?Npi=1598068306","1598068306")</f>
        <v>1598068306</v>
      </c>
      <c r="E1848" s="1" t="s">
        <v>9099</v>
      </c>
      <c r="F1848" s="2"/>
      <c r="G1848" s="2"/>
      <c r="H1848" s="2"/>
    </row>
    <row r="1849" spans="1:8" x14ac:dyDescent="0.25">
      <c r="A1849" s="1"/>
      <c r="B1849" s="1" t="s">
        <v>9046</v>
      </c>
      <c r="C1849" s="1" t="s">
        <v>9047</v>
      </c>
      <c r="D1849" s="22" t="str">
        <f>HYPERLINK("https://rhld.insurance.arkansas.gov/NPILookup?Npi=1598373359","1598373359")</f>
        <v>1598373359</v>
      </c>
      <c r="E1849" s="1" t="s">
        <v>5381</v>
      </c>
      <c r="F1849" s="2"/>
      <c r="G1849" s="2"/>
      <c r="H1849" s="2"/>
    </row>
    <row r="1850" spans="1:8" x14ac:dyDescent="0.25">
      <c r="A1850" s="1"/>
      <c r="B1850" s="1" t="s">
        <v>9046</v>
      </c>
      <c r="C1850" s="1" t="s">
        <v>9047</v>
      </c>
      <c r="D1850" s="22" t="str">
        <f>HYPERLINK("https://rhld.insurance.arkansas.gov/NPILookup?Npi=1598710147","1598710147")</f>
        <v>1598710147</v>
      </c>
      <c r="E1850" s="1" t="s">
        <v>15311</v>
      </c>
      <c r="F1850" s="2"/>
      <c r="G1850" s="2"/>
      <c r="H1850" s="2"/>
    </row>
    <row r="1851" spans="1:8" x14ac:dyDescent="0.25">
      <c r="A1851" s="1"/>
      <c r="B1851" s="1" t="s">
        <v>9046</v>
      </c>
      <c r="C1851" s="1" t="s">
        <v>9047</v>
      </c>
      <c r="D1851" s="22" t="str">
        <f>HYPERLINK("https://rhld.insurance.arkansas.gov/NPILookup?Npi=1598758153","1598758153")</f>
        <v>1598758153</v>
      </c>
      <c r="E1851" s="1" t="s">
        <v>9733</v>
      </c>
      <c r="F1851" s="2"/>
      <c r="G1851" s="2"/>
      <c r="H1851" s="2"/>
    </row>
    <row r="1852" spans="1:8" x14ac:dyDescent="0.25">
      <c r="A1852" s="1"/>
      <c r="B1852" s="1" t="s">
        <v>9046</v>
      </c>
      <c r="C1852" s="1" t="s">
        <v>9047</v>
      </c>
      <c r="D1852" s="22" t="str">
        <f>HYPERLINK("https://rhld.insurance.arkansas.gov/NPILookup?Npi=1598773079","1598773079")</f>
        <v>1598773079</v>
      </c>
      <c r="E1852" s="1" t="s">
        <v>15287</v>
      </c>
      <c r="F1852" s="2"/>
      <c r="G1852" s="2"/>
      <c r="H1852" s="2"/>
    </row>
    <row r="1853" spans="1:8" x14ac:dyDescent="0.25">
      <c r="A1853" s="1"/>
      <c r="B1853" s="1" t="s">
        <v>9046</v>
      </c>
      <c r="C1853" s="1" t="s">
        <v>9047</v>
      </c>
      <c r="D1853" s="22" t="str">
        <f>HYPERLINK("https://rhld.insurance.arkansas.gov/NPILookup?Npi=1609399963","1609399963")</f>
        <v>1609399963</v>
      </c>
      <c r="E1853" s="1" t="s">
        <v>15610</v>
      </c>
      <c r="F1853" s="2"/>
      <c r="G1853" s="2"/>
      <c r="H1853" s="2"/>
    </row>
    <row r="1854" spans="1:8" x14ac:dyDescent="0.25">
      <c r="A1854" s="1"/>
      <c r="B1854" s="1" t="s">
        <v>9046</v>
      </c>
      <c r="C1854" s="1" t="s">
        <v>9047</v>
      </c>
      <c r="D1854" s="22" t="str">
        <f>HYPERLINK("https://rhld.insurance.arkansas.gov/NPILookup?Npi=1619037066","1619037066")</f>
        <v>1619037066</v>
      </c>
      <c r="E1854" s="1" t="s">
        <v>9100</v>
      </c>
      <c r="F1854" s="2"/>
      <c r="G1854" s="2"/>
      <c r="H1854" s="2"/>
    </row>
    <row r="1855" spans="1:8" x14ac:dyDescent="0.25">
      <c r="A1855" s="1"/>
      <c r="B1855" s="1" t="s">
        <v>9046</v>
      </c>
      <c r="C1855" s="1" t="s">
        <v>9047</v>
      </c>
      <c r="D1855" s="22" t="str">
        <f>HYPERLINK("https://rhld.insurance.arkansas.gov/NPILookup?Npi=1619487782","1619487782")</f>
        <v>1619487782</v>
      </c>
      <c r="E1855" s="1" t="s">
        <v>15611</v>
      </c>
      <c r="F1855" s="2"/>
      <c r="G1855" s="2"/>
      <c r="H1855" s="2"/>
    </row>
    <row r="1856" spans="1:8" x14ac:dyDescent="0.25">
      <c r="A1856" s="1"/>
      <c r="B1856" s="1" t="s">
        <v>9046</v>
      </c>
      <c r="C1856" s="1" t="s">
        <v>9047</v>
      </c>
      <c r="D1856" s="22" t="str">
        <f>HYPERLINK("https://rhld.insurance.arkansas.gov/NPILookup?Npi=1619923661","1619923661")</f>
        <v>1619923661</v>
      </c>
      <c r="E1856" s="1" t="s">
        <v>9734</v>
      </c>
      <c r="F1856" s="2"/>
      <c r="G1856" s="2"/>
      <c r="H1856" s="2"/>
    </row>
    <row r="1857" spans="1:8" x14ac:dyDescent="0.25">
      <c r="A1857" s="1"/>
      <c r="B1857" s="1" t="s">
        <v>9046</v>
      </c>
      <c r="C1857" s="1" t="s">
        <v>9047</v>
      </c>
      <c r="D1857" s="22" t="str">
        <f>HYPERLINK("https://rhld.insurance.arkansas.gov/NPILookup?Npi=1629011002","1629011002")</f>
        <v>1629011002</v>
      </c>
      <c r="E1857" s="1" t="s">
        <v>15212</v>
      </c>
      <c r="F1857" s="2"/>
      <c r="G1857" s="2"/>
      <c r="H1857" s="2"/>
    </row>
    <row r="1858" spans="1:8" x14ac:dyDescent="0.25">
      <c r="A1858" s="1"/>
      <c r="B1858" s="1" t="s">
        <v>9046</v>
      </c>
      <c r="C1858" s="1" t="s">
        <v>9047</v>
      </c>
      <c r="D1858" s="22" t="str">
        <f>HYPERLINK("https://rhld.insurance.arkansas.gov/NPILookup?Npi=1629108949","1629108949")</f>
        <v>1629108949</v>
      </c>
      <c r="E1858" s="1" t="s">
        <v>15612</v>
      </c>
      <c r="F1858" s="2"/>
      <c r="G1858" s="2"/>
      <c r="H1858" s="2"/>
    </row>
    <row r="1859" spans="1:8" x14ac:dyDescent="0.25">
      <c r="A1859" s="1"/>
      <c r="B1859" s="1" t="s">
        <v>9046</v>
      </c>
      <c r="C1859" s="1" t="s">
        <v>9047</v>
      </c>
      <c r="D1859" s="22" t="str">
        <f>HYPERLINK("https://rhld.insurance.arkansas.gov/NPILookup?Npi=1629132949","1629132949")</f>
        <v>1629132949</v>
      </c>
      <c r="E1859" s="1" t="s">
        <v>15288</v>
      </c>
      <c r="F1859" s="2"/>
      <c r="G1859" s="2"/>
      <c r="H1859" s="2"/>
    </row>
    <row r="1860" spans="1:8" x14ac:dyDescent="0.25">
      <c r="A1860" s="1"/>
      <c r="B1860" s="1" t="s">
        <v>9046</v>
      </c>
      <c r="C1860" s="1" t="s">
        <v>9047</v>
      </c>
      <c r="D1860" s="22" t="str">
        <f>HYPERLINK("https://rhld.insurance.arkansas.gov/NPILookup?Npi=1629404918","1629404918")</f>
        <v>1629404918</v>
      </c>
      <c r="E1860" s="1" t="s">
        <v>9101</v>
      </c>
      <c r="F1860" s="2"/>
      <c r="G1860" s="2"/>
      <c r="H1860" s="2"/>
    </row>
    <row r="1861" spans="1:8" x14ac:dyDescent="0.25">
      <c r="A1861" s="1"/>
      <c r="B1861" s="1" t="s">
        <v>9046</v>
      </c>
      <c r="C1861" s="1" t="s">
        <v>9047</v>
      </c>
      <c r="D1861" s="22" t="str">
        <f>HYPERLINK("https://rhld.insurance.arkansas.gov/NPILookup?Npi=1629675285","1629675285")</f>
        <v>1629675285</v>
      </c>
      <c r="E1861" s="1" t="s">
        <v>15613</v>
      </c>
      <c r="F1861" s="2"/>
      <c r="G1861" s="2"/>
      <c r="H1861" s="2"/>
    </row>
    <row r="1862" spans="1:8" x14ac:dyDescent="0.25">
      <c r="A1862" s="1"/>
      <c r="B1862" s="1" t="s">
        <v>9046</v>
      </c>
      <c r="C1862" s="1" t="s">
        <v>9047</v>
      </c>
      <c r="D1862" s="22" t="str">
        <f>HYPERLINK("https://rhld.insurance.arkansas.gov/NPILookup?Npi=1639566318","1639566318")</f>
        <v>1639566318</v>
      </c>
      <c r="E1862" s="1" t="s">
        <v>9102</v>
      </c>
      <c r="F1862" s="2"/>
      <c r="G1862" s="2"/>
      <c r="H1862" s="2"/>
    </row>
    <row r="1863" spans="1:8" x14ac:dyDescent="0.25">
      <c r="A1863" s="1"/>
      <c r="B1863" s="1" t="s">
        <v>9046</v>
      </c>
      <c r="C1863" s="1" t="s">
        <v>9047</v>
      </c>
      <c r="D1863" s="22" t="str">
        <f>HYPERLINK("https://rhld.insurance.arkansas.gov/NPILookup?Npi=1639615297","1639615297")</f>
        <v>1639615297</v>
      </c>
      <c r="E1863" s="1" t="s">
        <v>9103</v>
      </c>
      <c r="F1863" s="2"/>
      <c r="G1863" s="2"/>
      <c r="H1863" s="2"/>
    </row>
    <row r="1864" spans="1:8" x14ac:dyDescent="0.25">
      <c r="A1864" s="1"/>
      <c r="B1864" s="1" t="s">
        <v>9046</v>
      </c>
      <c r="C1864" s="1" t="s">
        <v>9047</v>
      </c>
      <c r="D1864" s="22" t="str">
        <f>HYPERLINK("https://rhld.insurance.arkansas.gov/NPILookup?Npi=1649211418","1649211418")</f>
        <v>1649211418</v>
      </c>
      <c r="E1864" s="1" t="s">
        <v>9104</v>
      </c>
      <c r="F1864" s="2"/>
      <c r="G1864" s="2"/>
      <c r="H1864" s="2"/>
    </row>
    <row r="1865" spans="1:8" x14ac:dyDescent="0.25">
      <c r="A1865" s="1"/>
      <c r="B1865" s="1" t="s">
        <v>9046</v>
      </c>
      <c r="C1865" s="1" t="s">
        <v>9047</v>
      </c>
      <c r="D1865" s="22" t="str">
        <f>HYPERLINK("https://rhld.insurance.arkansas.gov/NPILookup?Npi=1659340404","1659340404")</f>
        <v>1659340404</v>
      </c>
      <c r="E1865" s="1" t="s">
        <v>9105</v>
      </c>
      <c r="F1865" s="2"/>
      <c r="G1865" s="2"/>
      <c r="H1865" s="2"/>
    </row>
    <row r="1866" spans="1:8" x14ac:dyDescent="0.25">
      <c r="A1866" s="1"/>
      <c r="B1866" s="1" t="s">
        <v>9046</v>
      </c>
      <c r="C1866" s="1" t="s">
        <v>9047</v>
      </c>
      <c r="D1866" s="22" t="str">
        <f>HYPERLINK("https://rhld.insurance.arkansas.gov/NPILookup?Npi=1659750214","1659750214")</f>
        <v>1659750214</v>
      </c>
      <c r="E1866" s="1" t="s">
        <v>15614</v>
      </c>
      <c r="F1866" s="2"/>
      <c r="G1866" s="2"/>
      <c r="H1866" s="2"/>
    </row>
    <row r="1867" spans="1:8" x14ac:dyDescent="0.25">
      <c r="A1867" s="1"/>
      <c r="B1867" s="1" t="s">
        <v>9046</v>
      </c>
      <c r="C1867" s="1" t="s">
        <v>9047</v>
      </c>
      <c r="D1867" s="22" t="str">
        <f>HYPERLINK("https://rhld.insurance.arkansas.gov/NPILookup?Npi=1669424339","1669424339")</f>
        <v>1669424339</v>
      </c>
      <c r="E1867" s="1" t="s">
        <v>15615</v>
      </c>
      <c r="F1867" s="2"/>
      <c r="G1867" s="2"/>
      <c r="H1867" s="2"/>
    </row>
    <row r="1868" spans="1:8" x14ac:dyDescent="0.25">
      <c r="A1868" s="1"/>
      <c r="B1868" s="1" t="s">
        <v>9046</v>
      </c>
      <c r="C1868" s="1" t="s">
        <v>9047</v>
      </c>
      <c r="D1868" s="22" t="str">
        <f>HYPERLINK("https://rhld.insurance.arkansas.gov/NPILookup?Npi=1669458907","1669458907")</f>
        <v>1669458907</v>
      </c>
      <c r="E1868" s="1" t="s">
        <v>15357</v>
      </c>
      <c r="F1868" s="2"/>
      <c r="G1868" s="2"/>
      <c r="H1868" s="2"/>
    </row>
    <row r="1869" spans="1:8" x14ac:dyDescent="0.25">
      <c r="A1869" s="1"/>
      <c r="B1869" s="1" t="s">
        <v>9046</v>
      </c>
      <c r="C1869" s="1" t="s">
        <v>9047</v>
      </c>
      <c r="D1869" s="22" t="str">
        <f>HYPERLINK("https://rhld.insurance.arkansas.gov/NPILookup?Npi=1669959151","1669959151")</f>
        <v>1669959151</v>
      </c>
      <c r="E1869" s="1" t="s">
        <v>9106</v>
      </c>
      <c r="F1869" s="2"/>
      <c r="G1869" s="2"/>
      <c r="H1869" s="2"/>
    </row>
    <row r="1870" spans="1:8" x14ac:dyDescent="0.25">
      <c r="A1870" s="1"/>
      <c r="B1870" s="1" t="s">
        <v>9046</v>
      </c>
      <c r="C1870" s="1" t="s">
        <v>9047</v>
      </c>
      <c r="D1870" s="22" t="str">
        <f>HYPERLINK("https://rhld.insurance.arkansas.gov/NPILookup?Npi=1679001028","1679001028")</f>
        <v>1679001028</v>
      </c>
      <c r="E1870" s="1" t="s">
        <v>15616</v>
      </c>
      <c r="F1870" s="2"/>
      <c r="G1870" s="2"/>
      <c r="H1870" s="2"/>
    </row>
    <row r="1871" spans="1:8" x14ac:dyDescent="0.25">
      <c r="A1871" s="1"/>
      <c r="B1871" s="1" t="s">
        <v>9046</v>
      </c>
      <c r="C1871" s="1" t="s">
        <v>9047</v>
      </c>
      <c r="D1871" s="22" t="str">
        <f>HYPERLINK("https://rhld.insurance.arkansas.gov/NPILookup?Npi=1689132193","1689132193")</f>
        <v>1689132193</v>
      </c>
      <c r="E1871" s="1" t="s">
        <v>9107</v>
      </c>
      <c r="F1871" s="2"/>
      <c r="G1871" s="2"/>
      <c r="H1871" s="2"/>
    </row>
    <row r="1872" spans="1:8" x14ac:dyDescent="0.25">
      <c r="A1872" s="1"/>
      <c r="B1872" s="1" t="s">
        <v>9046</v>
      </c>
      <c r="C1872" s="1" t="s">
        <v>9047</v>
      </c>
      <c r="D1872" s="22" t="str">
        <f>HYPERLINK("https://rhld.insurance.arkansas.gov/NPILookup?Npi=1699312009","1699312009")</f>
        <v>1699312009</v>
      </c>
      <c r="E1872" s="1" t="s">
        <v>9108</v>
      </c>
      <c r="F1872" s="2"/>
      <c r="G1872" s="2"/>
      <c r="H1872" s="2"/>
    </row>
    <row r="1873" spans="1:8" x14ac:dyDescent="0.25">
      <c r="A1873" s="1"/>
      <c r="B1873" s="1" t="s">
        <v>9046</v>
      </c>
      <c r="C1873" s="1" t="s">
        <v>9047</v>
      </c>
      <c r="D1873" s="22" t="str">
        <f>HYPERLINK("https://rhld.insurance.arkansas.gov/NPILookup?Npi=1699385021","1699385021")</f>
        <v>1699385021</v>
      </c>
      <c r="E1873" s="1" t="s">
        <v>9109</v>
      </c>
      <c r="F1873" s="2"/>
      <c r="G1873" s="2"/>
      <c r="H1873" s="2"/>
    </row>
    <row r="1874" spans="1:8" x14ac:dyDescent="0.25">
      <c r="A1874" s="1"/>
      <c r="B1874" s="1" t="s">
        <v>9046</v>
      </c>
      <c r="C1874" s="1" t="s">
        <v>9047</v>
      </c>
      <c r="D1874" s="22" t="str">
        <f>HYPERLINK("https://rhld.insurance.arkansas.gov/NPILookup?Npi=1699726695","1699726695")</f>
        <v>1699726695</v>
      </c>
      <c r="E1874" s="1" t="s">
        <v>15226</v>
      </c>
      <c r="F1874" s="2"/>
      <c r="G1874" s="2"/>
      <c r="H1874" s="2"/>
    </row>
    <row r="1875" spans="1:8" x14ac:dyDescent="0.25">
      <c r="A1875" s="1"/>
      <c r="B1875" s="1" t="s">
        <v>9046</v>
      </c>
      <c r="C1875" s="1" t="s">
        <v>9047</v>
      </c>
      <c r="D1875" s="22" t="str">
        <f>HYPERLINK("https://rhld.insurance.arkansas.gov/NPILookup?Npi=1700287885","1700287885")</f>
        <v>1700287885</v>
      </c>
      <c r="E1875" s="1" t="s">
        <v>15617</v>
      </c>
      <c r="F1875" s="2"/>
      <c r="G1875" s="2"/>
      <c r="H1875" s="2"/>
    </row>
    <row r="1876" spans="1:8" x14ac:dyDescent="0.25">
      <c r="A1876" s="1"/>
      <c r="B1876" s="1" t="s">
        <v>9046</v>
      </c>
      <c r="C1876" s="1" t="s">
        <v>9047</v>
      </c>
      <c r="D1876" s="22" t="str">
        <f>HYPERLINK("https://rhld.insurance.arkansas.gov/NPILookup?Npi=1700297033","1700297033")</f>
        <v>1700297033</v>
      </c>
      <c r="E1876" s="1" t="s">
        <v>9735</v>
      </c>
      <c r="F1876" s="2"/>
      <c r="G1876" s="2"/>
      <c r="H1876" s="2"/>
    </row>
    <row r="1877" spans="1:8" x14ac:dyDescent="0.25">
      <c r="A1877" s="1"/>
      <c r="B1877" s="1" t="s">
        <v>9046</v>
      </c>
      <c r="C1877" s="1" t="s">
        <v>9047</v>
      </c>
      <c r="D1877" s="22" t="str">
        <f>HYPERLINK("https://rhld.insurance.arkansas.gov/NPILookup?Npi=1700407541","1700407541")</f>
        <v>1700407541</v>
      </c>
      <c r="E1877" s="1" t="s">
        <v>1162</v>
      </c>
      <c r="F1877" s="2"/>
      <c r="G1877" s="2"/>
      <c r="H1877" s="2"/>
    </row>
    <row r="1878" spans="1:8" x14ac:dyDescent="0.25">
      <c r="A1878" s="1"/>
      <c r="B1878" s="1" t="s">
        <v>9046</v>
      </c>
      <c r="C1878" s="1" t="s">
        <v>9047</v>
      </c>
      <c r="D1878" s="22" t="str">
        <f>HYPERLINK("https://rhld.insurance.arkansas.gov/NPILookup?Npi=1700831724","1700831724")</f>
        <v>1700831724</v>
      </c>
      <c r="E1878" s="1" t="s">
        <v>662</v>
      </c>
      <c r="F1878" s="2"/>
      <c r="G1878" s="2"/>
      <c r="H1878" s="2"/>
    </row>
    <row r="1879" spans="1:8" x14ac:dyDescent="0.25">
      <c r="A1879" s="1"/>
      <c r="B1879" s="1" t="s">
        <v>9046</v>
      </c>
      <c r="C1879" s="1" t="s">
        <v>9047</v>
      </c>
      <c r="D1879" s="22" t="str">
        <f>HYPERLINK("https://rhld.insurance.arkansas.gov/NPILookup?Npi=1710463146","1710463146")</f>
        <v>1710463146</v>
      </c>
      <c r="E1879" s="1" t="s">
        <v>2450</v>
      </c>
      <c r="F1879" s="2"/>
      <c r="G1879" s="2"/>
      <c r="H1879" s="2"/>
    </row>
    <row r="1880" spans="1:8" x14ac:dyDescent="0.25">
      <c r="A1880" s="1"/>
      <c r="B1880" s="1" t="s">
        <v>9046</v>
      </c>
      <c r="C1880" s="1" t="s">
        <v>9047</v>
      </c>
      <c r="D1880" s="22" t="str">
        <f>HYPERLINK("https://rhld.insurance.arkansas.gov/NPILookup?Npi=1710591060","1710591060")</f>
        <v>1710591060</v>
      </c>
      <c r="E1880" s="1" t="s">
        <v>9056</v>
      </c>
      <c r="F1880" s="2"/>
      <c r="G1880" s="2"/>
      <c r="H1880" s="2"/>
    </row>
    <row r="1881" spans="1:8" x14ac:dyDescent="0.25">
      <c r="A1881" s="1"/>
      <c r="B1881" s="1" t="s">
        <v>9046</v>
      </c>
      <c r="C1881" s="1" t="s">
        <v>9047</v>
      </c>
      <c r="D1881" s="22" t="str">
        <f>HYPERLINK("https://rhld.insurance.arkansas.gov/NPILookup?Npi=1710931134","1710931134")</f>
        <v>1710931134</v>
      </c>
      <c r="E1881" s="1" t="s">
        <v>15618</v>
      </c>
      <c r="F1881" s="2"/>
      <c r="G1881" s="2"/>
      <c r="H1881" s="2"/>
    </row>
    <row r="1882" spans="1:8" x14ac:dyDescent="0.25">
      <c r="A1882" s="1"/>
      <c r="B1882" s="1" t="s">
        <v>9046</v>
      </c>
      <c r="C1882" s="1" t="s">
        <v>9047</v>
      </c>
      <c r="D1882" s="22" t="str">
        <f>HYPERLINK("https://rhld.insurance.arkansas.gov/NPILookup?Npi=1710931985","1710931985")</f>
        <v>1710931985</v>
      </c>
      <c r="E1882" s="1" t="s">
        <v>15232</v>
      </c>
      <c r="F1882" s="2"/>
      <c r="G1882" s="2"/>
      <c r="H1882" s="2"/>
    </row>
    <row r="1883" spans="1:8" x14ac:dyDescent="0.25">
      <c r="A1883" s="1"/>
      <c r="B1883" s="1" t="s">
        <v>9046</v>
      </c>
      <c r="C1883" s="1" t="s">
        <v>9047</v>
      </c>
      <c r="D1883" s="22" t="str">
        <f>HYPERLINK("https://rhld.insurance.arkansas.gov/NPILookup?Npi=1710943881","1710943881")</f>
        <v>1710943881</v>
      </c>
      <c r="E1883" s="1" t="s">
        <v>654</v>
      </c>
      <c r="F1883" s="2"/>
      <c r="G1883" s="2"/>
      <c r="H1883" s="2"/>
    </row>
    <row r="1884" spans="1:8" x14ac:dyDescent="0.25">
      <c r="A1884" s="1"/>
      <c r="B1884" s="1" t="s">
        <v>9046</v>
      </c>
      <c r="C1884" s="1" t="s">
        <v>9047</v>
      </c>
      <c r="D1884" s="22" t="str">
        <f>HYPERLINK("https://rhld.insurance.arkansas.gov/NPILookup?Npi=1720001928","1720001928")</f>
        <v>1720001928</v>
      </c>
      <c r="E1884" s="1" t="s">
        <v>9110</v>
      </c>
      <c r="F1884" s="2"/>
      <c r="G1884" s="2"/>
      <c r="H1884" s="2"/>
    </row>
    <row r="1885" spans="1:8" x14ac:dyDescent="0.25">
      <c r="A1885" s="1"/>
      <c r="B1885" s="1" t="s">
        <v>9046</v>
      </c>
      <c r="C1885" s="1" t="s">
        <v>9047</v>
      </c>
      <c r="D1885" s="22" t="str">
        <f>HYPERLINK("https://rhld.insurance.arkansas.gov/NPILookup?Npi=1720080823","1720080823")</f>
        <v>1720080823</v>
      </c>
      <c r="E1885" s="1" t="s">
        <v>9111</v>
      </c>
      <c r="F1885" s="2"/>
      <c r="G1885" s="2"/>
      <c r="H1885" s="2"/>
    </row>
    <row r="1886" spans="1:8" x14ac:dyDescent="0.25">
      <c r="A1886" s="1"/>
      <c r="B1886" s="1" t="s">
        <v>9046</v>
      </c>
      <c r="C1886" s="1" t="s">
        <v>9047</v>
      </c>
      <c r="D1886" s="22" t="str">
        <f>HYPERLINK("https://rhld.insurance.arkansas.gov/NPILookup?Npi=1720096027","1720096027")</f>
        <v>1720096027</v>
      </c>
      <c r="E1886" s="1" t="s">
        <v>15619</v>
      </c>
      <c r="F1886" s="2"/>
      <c r="G1886" s="2"/>
      <c r="H1886" s="2"/>
    </row>
    <row r="1887" spans="1:8" x14ac:dyDescent="0.25">
      <c r="A1887" s="1"/>
      <c r="B1887" s="1" t="s">
        <v>9046</v>
      </c>
      <c r="C1887" s="1" t="s">
        <v>9047</v>
      </c>
      <c r="D1887" s="22" t="str">
        <f>HYPERLINK("https://rhld.insurance.arkansas.gov/NPILookup?Npi=1730131731","1730131731")</f>
        <v>1730131731</v>
      </c>
      <c r="E1887" s="1" t="s">
        <v>9112</v>
      </c>
      <c r="F1887" s="2"/>
      <c r="G1887" s="2"/>
      <c r="H1887" s="2"/>
    </row>
    <row r="1888" spans="1:8" x14ac:dyDescent="0.25">
      <c r="A1888" s="1"/>
      <c r="B1888" s="1" t="s">
        <v>9046</v>
      </c>
      <c r="C1888" s="1" t="s">
        <v>9047</v>
      </c>
      <c r="D1888" s="22" t="str">
        <f>HYPERLINK("https://rhld.insurance.arkansas.gov/NPILookup?Npi=1730132853","1730132853")</f>
        <v>1730132853</v>
      </c>
      <c r="E1888" s="1" t="s">
        <v>9113</v>
      </c>
      <c r="F1888" s="2"/>
      <c r="G1888" s="2"/>
      <c r="H1888" s="2"/>
    </row>
    <row r="1889" spans="1:8" x14ac:dyDescent="0.25">
      <c r="A1889" s="1"/>
      <c r="B1889" s="1" t="s">
        <v>9046</v>
      </c>
      <c r="C1889" s="1" t="s">
        <v>9047</v>
      </c>
      <c r="D1889" s="22" t="str">
        <f>HYPERLINK("https://rhld.insurance.arkansas.gov/NPILookup?Npi=1730153073","1730153073")</f>
        <v>1730153073</v>
      </c>
      <c r="E1889" s="1" t="s">
        <v>9114</v>
      </c>
      <c r="F1889" s="2"/>
      <c r="G1889" s="2"/>
      <c r="H1889" s="2"/>
    </row>
    <row r="1890" spans="1:8" x14ac:dyDescent="0.25">
      <c r="A1890" s="1"/>
      <c r="B1890" s="1" t="s">
        <v>9046</v>
      </c>
      <c r="C1890" s="1" t="s">
        <v>9047</v>
      </c>
      <c r="D1890" s="22" t="str">
        <f>HYPERLINK("https://rhld.insurance.arkansas.gov/NPILookup?Npi=1740217884","1740217884")</f>
        <v>1740217884</v>
      </c>
      <c r="E1890" s="1" t="s">
        <v>15290</v>
      </c>
      <c r="F1890" s="2"/>
      <c r="G1890" s="2"/>
      <c r="H1890" s="2"/>
    </row>
    <row r="1891" spans="1:8" x14ac:dyDescent="0.25">
      <c r="A1891" s="1"/>
      <c r="B1891" s="1" t="s">
        <v>9046</v>
      </c>
      <c r="C1891" s="1" t="s">
        <v>9047</v>
      </c>
      <c r="D1891" s="22" t="str">
        <f>HYPERLINK("https://rhld.insurance.arkansas.gov/NPILookup?Npi=1740398445","1740398445")</f>
        <v>1740398445</v>
      </c>
      <c r="E1891" s="1" t="s">
        <v>9115</v>
      </c>
      <c r="F1891" s="2"/>
      <c r="G1891" s="2"/>
      <c r="H1891" s="2"/>
    </row>
    <row r="1892" spans="1:8" x14ac:dyDescent="0.25">
      <c r="A1892" s="1"/>
      <c r="B1892" s="1" t="s">
        <v>9046</v>
      </c>
      <c r="C1892" s="1" t="s">
        <v>9047</v>
      </c>
      <c r="D1892" s="22" t="str">
        <f>HYPERLINK("https://rhld.insurance.arkansas.gov/NPILookup?Npi=1750333795","1750333795")</f>
        <v>1750333795</v>
      </c>
      <c r="E1892" s="1" t="s">
        <v>9737</v>
      </c>
      <c r="F1892" s="2"/>
      <c r="G1892" s="2"/>
      <c r="H1892" s="2"/>
    </row>
    <row r="1893" spans="1:8" x14ac:dyDescent="0.25">
      <c r="A1893" s="1"/>
      <c r="B1893" s="1" t="s">
        <v>9046</v>
      </c>
      <c r="C1893" s="1" t="s">
        <v>9047</v>
      </c>
      <c r="D1893" s="22" t="str">
        <f>HYPERLINK("https://rhld.insurance.arkansas.gov/NPILookup?Npi=1750651857","1750651857")</f>
        <v>1750651857</v>
      </c>
      <c r="E1893" s="1" t="s">
        <v>15620</v>
      </c>
      <c r="F1893" s="2"/>
      <c r="G1893" s="2"/>
      <c r="H1893" s="2"/>
    </row>
    <row r="1894" spans="1:8" x14ac:dyDescent="0.25">
      <c r="A1894" s="1"/>
      <c r="B1894" s="1" t="s">
        <v>9046</v>
      </c>
      <c r="C1894" s="1" t="s">
        <v>9047</v>
      </c>
      <c r="D1894" s="22" t="str">
        <f>HYPERLINK("https://rhld.insurance.arkansas.gov/NPILookup?Npi=1750856043","1750856043")</f>
        <v>1750856043</v>
      </c>
      <c r="E1894" s="1" t="s">
        <v>15312</v>
      </c>
      <c r="F1894" s="2"/>
      <c r="G1894" s="2"/>
      <c r="H1894" s="2"/>
    </row>
    <row r="1895" spans="1:8" x14ac:dyDescent="0.25">
      <c r="A1895" s="1"/>
      <c r="B1895" s="1" t="s">
        <v>9046</v>
      </c>
      <c r="C1895" s="1" t="s">
        <v>9047</v>
      </c>
      <c r="D1895" s="22" t="str">
        <f>HYPERLINK("https://rhld.insurance.arkansas.gov/NPILookup?Npi=1760447015","1760447015")</f>
        <v>1760447015</v>
      </c>
      <c r="E1895" s="1" t="s">
        <v>9738</v>
      </c>
      <c r="F1895" s="2"/>
      <c r="G1895" s="2"/>
      <c r="H1895" s="2"/>
    </row>
    <row r="1896" spans="1:8" x14ac:dyDescent="0.25">
      <c r="A1896" s="1"/>
      <c r="B1896" s="1" t="s">
        <v>9046</v>
      </c>
      <c r="C1896" s="1" t="s">
        <v>9047</v>
      </c>
      <c r="D1896" s="22" t="str">
        <f>HYPERLINK("https://rhld.insurance.arkansas.gov/NPILookup?Npi=1760467732","1760467732")</f>
        <v>1760467732</v>
      </c>
      <c r="E1896" s="1" t="s">
        <v>15621</v>
      </c>
      <c r="F1896" s="2"/>
      <c r="G1896" s="2"/>
      <c r="H1896" s="2"/>
    </row>
    <row r="1897" spans="1:8" x14ac:dyDescent="0.25">
      <c r="A1897" s="1"/>
      <c r="B1897" s="1" t="s">
        <v>9046</v>
      </c>
      <c r="C1897" s="1" t="s">
        <v>9047</v>
      </c>
      <c r="D1897" s="22" t="str">
        <f>HYPERLINK("https://rhld.insurance.arkansas.gov/NPILookup?Npi=1760483846","1760483846")</f>
        <v>1760483846</v>
      </c>
      <c r="E1897" s="1" t="s">
        <v>9002</v>
      </c>
      <c r="F1897" s="2"/>
      <c r="G1897" s="2"/>
      <c r="H1897" s="2"/>
    </row>
    <row r="1898" spans="1:8" x14ac:dyDescent="0.25">
      <c r="A1898" s="1"/>
      <c r="B1898" s="1" t="s">
        <v>9046</v>
      </c>
      <c r="C1898" s="1" t="s">
        <v>9047</v>
      </c>
      <c r="D1898" s="22" t="str">
        <f>HYPERLINK("https://rhld.insurance.arkansas.gov/NPILookup?Npi=1770087371","1770087371")</f>
        <v>1770087371</v>
      </c>
      <c r="E1898" s="1" t="s">
        <v>8945</v>
      </c>
      <c r="F1898" s="2"/>
      <c r="G1898" s="2"/>
      <c r="H1898" s="2"/>
    </row>
    <row r="1899" spans="1:8" x14ac:dyDescent="0.25">
      <c r="A1899" s="1"/>
      <c r="B1899" s="1" t="s">
        <v>9046</v>
      </c>
      <c r="C1899" s="1" t="s">
        <v>9047</v>
      </c>
      <c r="D1899" s="22" t="str">
        <f>HYPERLINK("https://rhld.insurance.arkansas.gov/NPILookup?Npi=1770149304","1770149304")</f>
        <v>1770149304</v>
      </c>
      <c r="E1899" s="1" t="s">
        <v>15622</v>
      </c>
      <c r="F1899" s="2"/>
      <c r="G1899" s="2"/>
      <c r="H1899" s="2"/>
    </row>
    <row r="1900" spans="1:8" x14ac:dyDescent="0.25">
      <c r="A1900" s="1"/>
      <c r="B1900" s="1" t="s">
        <v>9046</v>
      </c>
      <c r="C1900" s="1" t="s">
        <v>9047</v>
      </c>
      <c r="D1900" s="22" t="str">
        <f>HYPERLINK("https://rhld.insurance.arkansas.gov/NPILookup?Npi=1770163305","1770163305")</f>
        <v>1770163305</v>
      </c>
      <c r="E1900" s="1" t="s">
        <v>9116</v>
      </c>
      <c r="F1900" s="2"/>
      <c r="G1900" s="2"/>
      <c r="H1900" s="2"/>
    </row>
    <row r="1901" spans="1:8" x14ac:dyDescent="0.25">
      <c r="A1901" s="1"/>
      <c r="B1901" s="1" t="s">
        <v>9046</v>
      </c>
      <c r="C1901" s="1" t="s">
        <v>9047</v>
      </c>
      <c r="D1901" s="22" t="str">
        <f>HYPERLINK("https://rhld.insurance.arkansas.gov/NPILookup?Npi=1770802217","1770802217")</f>
        <v>1770802217</v>
      </c>
      <c r="E1901" s="1" t="s">
        <v>667</v>
      </c>
      <c r="F1901" s="2"/>
      <c r="G1901" s="2"/>
      <c r="H1901" s="2"/>
    </row>
    <row r="1902" spans="1:8" x14ac:dyDescent="0.25">
      <c r="A1902" s="1"/>
      <c r="B1902" s="1" t="s">
        <v>9046</v>
      </c>
      <c r="C1902" s="1" t="s">
        <v>9047</v>
      </c>
      <c r="D1902" s="22" t="str">
        <f>HYPERLINK("https://rhld.insurance.arkansas.gov/NPILookup?Npi=1770846826","1770846826")</f>
        <v>1770846826</v>
      </c>
      <c r="E1902" s="1" t="s">
        <v>2354</v>
      </c>
      <c r="F1902" s="2"/>
      <c r="G1902" s="2"/>
      <c r="H1902" s="2"/>
    </row>
    <row r="1903" spans="1:8" x14ac:dyDescent="0.25">
      <c r="A1903" s="1"/>
      <c r="B1903" s="1" t="s">
        <v>9046</v>
      </c>
      <c r="C1903" s="1" t="s">
        <v>9047</v>
      </c>
      <c r="D1903" s="22" t="str">
        <f>HYPERLINK("https://rhld.insurance.arkansas.gov/NPILookup?Npi=1780218289","1780218289")</f>
        <v>1780218289</v>
      </c>
      <c r="E1903" s="1" t="s">
        <v>9117</v>
      </c>
      <c r="F1903" s="2"/>
      <c r="G1903" s="2"/>
      <c r="H1903" s="2"/>
    </row>
    <row r="1904" spans="1:8" x14ac:dyDescent="0.25">
      <c r="A1904" s="1"/>
      <c r="B1904" s="1" t="s">
        <v>9046</v>
      </c>
      <c r="C1904" s="1" t="s">
        <v>9047</v>
      </c>
      <c r="D1904" s="22" t="str">
        <f>HYPERLINK("https://rhld.insurance.arkansas.gov/NPILookup?Npi=1780375592","1780375592")</f>
        <v>1780375592</v>
      </c>
      <c r="E1904" s="1" t="s">
        <v>8889</v>
      </c>
      <c r="F1904" s="2"/>
      <c r="G1904" s="2"/>
      <c r="H1904" s="2"/>
    </row>
    <row r="1905" spans="1:8" x14ac:dyDescent="0.25">
      <c r="A1905" s="1"/>
      <c r="B1905" s="1" t="s">
        <v>9046</v>
      </c>
      <c r="C1905" s="1" t="s">
        <v>9047</v>
      </c>
      <c r="D1905" s="22" t="str">
        <f>HYPERLINK("https://rhld.insurance.arkansas.gov/NPILookup?Npi=1780658245","1780658245")</f>
        <v>1780658245</v>
      </c>
      <c r="E1905" s="1" t="s">
        <v>9739</v>
      </c>
      <c r="F1905" s="2"/>
      <c r="G1905" s="2"/>
      <c r="H1905" s="2"/>
    </row>
    <row r="1906" spans="1:8" x14ac:dyDescent="0.25">
      <c r="A1906" s="1"/>
      <c r="B1906" s="1" t="s">
        <v>9046</v>
      </c>
      <c r="C1906" s="1" t="s">
        <v>9047</v>
      </c>
      <c r="D1906" s="22" t="str">
        <f>HYPERLINK("https://rhld.insurance.arkansas.gov/NPILookup?Npi=1780676650","1780676650")</f>
        <v>1780676650</v>
      </c>
      <c r="E1906" s="1" t="s">
        <v>15364</v>
      </c>
      <c r="F1906" s="2"/>
      <c r="G1906" s="2"/>
      <c r="H1906" s="2"/>
    </row>
    <row r="1907" spans="1:8" x14ac:dyDescent="0.25">
      <c r="A1907" s="1"/>
      <c r="B1907" s="1" t="s">
        <v>9046</v>
      </c>
      <c r="C1907" s="1" t="s">
        <v>9047</v>
      </c>
      <c r="D1907" s="22" t="str">
        <f>HYPERLINK("https://rhld.insurance.arkansas.gov/NPILookup?Npi=1780684431","1780684431")</f>
        <v>1780684431</v>
      </c>
      <c r="E1907" s="1" t="s">
        <v>9662</v>
      </c>
      <c r="F1907" s="2"/>
      <c r="G1907" s="2"/>
      <c r="H1907" s="2"/>
    </row>
    <row r="1908" spans="1:8" x14ac:dyDescent="0.25">
      <c r="A1908" s="1"/>
      <c r="B1908" s="1" t="s">
        <v>9046</v>
      </c>
      <c r="C1908" s="1" t="s">
        <v>9047</v>
      </c>
      <c r="D1908" s="22" t="str">
        <f>HYPERLINK("https://rhld.insurance.arkansas.gov/NPILookup?Npi=1780767673","1780767673")</f>
        <v>1780767673</v>
      </c>
      <c r="E1908" s="1" t="s">
        <v>15623</v>
      </c>
      <c r="F1908" s="2"/>
      <c r="G1908" s="2"/>
      <c r="H1908" s="2"/>
    </row>
    <row r="1909" spans="1:8" x14ac:dyDescent="0.25">
      <c r="A1909" s="1"/>
      <c r="B1909" s="1" t="s">
        <v>9046</v>
      </c>
      <c r="C1909" s="1" t="s">
        <v>9047</v>
      </c>
      <c r="D1909" s="22" t="str">
        <f>HYPERLINK("https://rhld.insurance.arkansas.gov/NPILookup?Npi=1790701134","1790701134")</f>
        <v>1790701134</v>
      </c>
      <c r="E1909" s="1" t="s">
        <v>8947</v>
      </c>
      <c r="F1909" s="2"/>
      <c r="G1909" s="2"/>
      <c r="H1909" s="2"/>
    </row>
    <row r="1910" spans="1:8" x14ac:dyDescent="0.25">
      <c r="A1910" s="1"/>
      <c r="B1910" s="1" t="s">
        <v>9046</v>
      </c>
      <c r="C1910" s="1" t="s">
        <v>9047</v>
      </c>
      <c r="D1910" s="22" t="str">
        <f>HYPERLINK("https://rhld.insurance.arkansas.gov/NPILookup?Npi=1790742328","1790742328")</f>
        <v>1790742328</v>
      </c>
      <c r="E1910" s="1" t="s">
        <v>15624</v>
      </c>
      <c r="F1910" s="2"/>
      <c r="G1910" s="2"/>
      <c r="H1910" s="2"/>
    </row>
    <row r="1911" spans="1:8" x14ac:dyDescent="0.25">
      <c r="A1911" s="1"/>
      <c r="B1911" s="1" t="s">
        <v>9046</v>
      </c>
      <c r="C1911" s="1" t="s">
        <v>9047</v>
      </c>
      <c r="D1911" s="22" t="str">
        <f>HYPERLINK("https://rhld.insurance.arkansas.gov/NPILookup?Npi=1790756328","1790756328")</f>
        <v>1790756328</v>
      </c>
      <c r="E1911" s="1" t="s">
        <v>15625</v>
      </c>
      <c r="F1911" s="2"/>
      <c r="G1911" s="2"/>
      <c r="H1911" s="2"/>
    </row>
    <row r="1912" spans="1:8" x14ac:dyDescent="0.25">
      <c r="A1912" s="1"/>
      <c r="B1912" s="1" t="s">
        <v>9046</v>
      </c>
      <c r="C1912" s="1" t="s">
        <v>9047</v>
      </c>
      <c r="D1912" s="22" t="str">
        <f>HYPERLINK("https://rhld.insurance.arkansas.gov/NPILookup?Npi=1790773158","1790773158")</f>
        <v>1790773158</v>
      </c>
      <c r="E1912" s="1" t="s">
        <v>9633</v>
      </c>
      <c r="F1912" s="2"/>
      <c r="G1912" s="2"/>
      <c r="H1912" s="2"/>
    </row>
    <row r="1913" spans="1:8" x14ac:dyDescent="0.25">
      <c r="A1913" s="1"/>
      <c r="B1913" s="1" t="s">
        <v>9046</v>
      </c>
      <c r="C1913" s="1" t="s">
        <v>9047</v>
      </c>
      <c r="D1913" s="22" t="str">
        <f>HYPERLINK("https://rhld.insurance.arkansas.gov/NPILookup?Npi=1790775229","1790775229")</f>
        <v>1790775229</v>
      </c>
      <c r="E1913" s="1" t="s">
        <v>657</v>
      </c>
      <c r="F1913" s="2"/>
      <c r="G1913" s="2"/>
      <c r="H1913" s="2"/>
    </row>
    <row r="1914" spans="1:8" x14ac:dyDescent="0.25">
      <c r="A1914" s="1"/>
      <c r="B1914" s="1" t="s">
        <v>9046</v>
      </c>
      <c r="C1914" s="1" t="s">
        <v>9047</v>
      </c>
      <c r="D1914" s="22" t="str">
        <f>HYPERLINK("https://rhld.insurance.arkansas.gov/NPILookup?Npi=1790844132","1790844132")</f>
        <v>1790844132</v>
      </c>
      <c r="E1914" s="1" t="s">
        <v>9740</v>
      </c>
      <c r="F1914" s="2"/>
      <c r="G1914" s="2"/>
      <c r="H1914" s="2"/>
    </row>
    <row r="1915" spans="1:8" x14ac:dyDescent="0.25">
      <c r="A1915" s="1"/>
      <c r="B1915" s="1" t="s">
        <v>9046</v>
      </c>
      <c r="C1915" s="1" t="s">
        <v>9047</v>
      </c>
      <c r="D1915" s="22" t="str">
        <f>HYPERLINK("https://rhld.insurance.arkansas.gov/NPILookup?Npi=1811065477","1811065477")</f>
        <v>1811065477</v>
      </c>
      <c r="E1915" s="1" t="s">
        <v>15367</v>
      </c>
      <c r="F1915" s="2"/>
      <c r="G1915" s="2"/>
      <c r="H1915" s="2"/>
    </row>
    <row r="1916" spans="1:8" x14ac:dyDescent="0.25">
      <c r="A1916" s="1"/>
      <c r="B1916" s="1" t="s">
        <v>9046</v>
      </c>
      <c r="C1916" s="1" t="s">
        <v>9047</v>
      </c>
      <c r="D1916" s="22" t="str">
        <f>HYPERLINK("https://rhld.insurance.arkansas.gov/NPILookup?Npi=1821293051","1821293051")</f>
        <v>1821293051</v>
      </c>
      <c r="E1916" s="1" t="s">
        <v>15626</v>
      </c>
      <c r="F1916" s="2"/>
      <c r="G1916" s="2"/>
      <c r="H1916" s="2"/>
    </row>
    <row r="1917" spans="1:8" x14ac:dyDescent="0.25">
      <c r="A1917" s="1"/>
      <c r="B1917" s="1" t="s">
        <v>9046</v>
      </c>
      <c r="C1917" s="1" t="s">
        <v>9047</v>
      </c>
      <c r="D1917" s="22" t="str">
        <f>HYPERLINK("https://rhld.insurance.arkansas.gov/NPILookup?Npi=1821370891","1821370891")</f>
        <v>1821370891</v>
      </c>
      <c r="E1917" s="1" t="s">
        <v>15627</v>
      </c>
      <c r="F1917" s="2"/>
      <c r="G1917" s="2"/>
      <c r="H1917" s="2"/>
    </row>
    <row r="1918" spans="1:8" x14ac:dyDescent="0.25">
      <c r="A1918" s="1"/>
      <c r="B1918" s="1" t="s">
        <v>9046</v>
      </c>
      <c r="C1918" s="1" t="s">
        <v>9047</v>
      </c>
      <c r="D1918" s="22" t="str">
        <f>HYPERLINK("https://rhld.insurance.arkansas.gov/NPILookup?Npi=1831312461","1831312461")</f>
        <v>1831312461</v>
      </c>
      <c r="E1918" s="1" t="s">
        <v>15313</v>
      </c>
      <c r="F1918" s="2"/>
      <c r="G1918" s="2"/>
      <c r="H1918" s="2"/>
    </row>
    <row r="1919" spans="1:8" x14ac:dyDescent="0.25">
      <c r="A1919" s="1"/>
      <c r="B1919" s="1" t="s">
        <v>9046</v>
      </c>
      <c r="C1919" s="1" t="s">
        <v>9047</v>
      </c>
      <c r="D1919" s="22" t="str">
        <f>HYPERLINK("https://rhld.insurance.arkansas.gov/NPILookup?Npi=1831387117","1831387117")</f>
        <v>1831387117</v>
      </c>
      <c r="E1919" s="1" t="s">
        <v>15438</v>
      </c>
      <c r="F1919" s="2"/>
      <c r="G1919" s="2"/>
      <c r="H1919" s="2"/>
    </row>
    <row r="1920" spans="1:8" x14ac:dyDescent="0.25">
      <c r="A1920" s="1"/>
      <c r="B1920" s="1" t="s">
        <v>9046</v>
      </c>
      <c r="C1920" s="1" t="s">
        <v>9047</v>
      </c>
      <c r="D1920" s="22" t="str">
        <f>HYPERLINK("https://rhld.insurance.arkansas.gov/NPILookup?Npi=1841241833","1841241833")</f>
        <v>1841241833</v>
      </c>
      <c r="E1920" s="1" t="s">
        <v>655</v>
      </c>
      <c r="F1920" s="2"/>
      <c r="G1920" s="2"/>
      <c r="H1920" s="2"/>
    </row>
    <row r="1921" spans="1:8" x14ac:dyDescent="0.25">
      <c r="A1921" s="1"/>
      <c r="B1921" s="1" t="s">
        <v>9046</v>
      </c>
      <c r="C1921" s="1" t="s">
        <v>9047</v>
      </c>
      <c r="D1921" s="22" t="str">
        <f>HYPERLINK("https://rhld.insurance.arkansas.gov/NPILookup?Npi=1841437175","1841437175")</f>
        <v>1841437175</v>
      </c>
      <c r="E1921" s="1" t="s">
        <v>9118</v>
      </c>
      <c r="F1921" s="2"/>
      <c r="G1921" s="2"/>
      <c r="H1921" s="2"/>
    </row>
    <row r="1922" spans="1:8" x14ac:dyDescent="0.25">
      <c r="A1922" s="1"/>
      <c r="B1922" s="1" t="s">
        <v>9046</v>
      </c>
      <c r="C1922" s="1" t="s">
        <v>9047</v>
      </c>
      <c r="D1922" s="22" t="str">
        <f>HYPERLINK("https://rhld.insurance.arkansas.gov/NPILookup?Npi=1841602810","1841602810")</f>
        <v>1841602810</v>
      </c>
      <c r="E1922" s="1" t="s">
        <v>9119</v>
      </c>
      <c r="F1922" s="2"/>
      <c r="G1922" s="2"/>
      <c r="H1922" s="2"/>
    </row>
    <row r="1923" spans="1:8" x14ac:dyDescent="0.25">
      <c r="A1923" s="1"/>
      <c r="B1923" s="1" t="s">
        <v>9046</v>
      </c>
      <c r="C1923" s="1" t="s">
        <v>9047</v>
      </c>
      <c r="D1923" s="22" t="str">
        <f>HYPERLINK("https://rhld.insurance.arkansas.gov/NPILookup?Npi=1841799707","1841799707")</f>
        <v>1841799707</v>
      </c>
      <c r="E1923" s="1" t="s">
        <v>9120</v>
      </c>
      <c r="F1923" s="2"/>
      <c r="G1923" s="2"/>
      <c r="H1923" s="2"/>
    </row>
    <row r="1924" spans="1:8" x14ac:dyDescent="0.25">
      <c r="A1924" s="1"/>
      <c r="B1924" s="1" t="s">
        <v>9046</v>
      </c>
      <c r="C1924" s="1" t="s">
        <v>9047</v>
      </c>
      <c r="D1924" s="22" t="str">
        <f>HYPERLINK("https://rhld.insurance.arkansas.gov/NPILookup?Npi=1841898293","1841898293")</f>
        <v>1841898293</v>
      </c>
      <c r="E1924" s="1" t="s">
        <v>15291</v>
      </c>
      <c r="F1924" s="2"/>
      <c r="G1924" s="2"/>
      <c r="H1924" s="2"/>
    </row>
    <row r="1925" spans="1:8" x14ac:dyDescent="0.25">
      <c r="A1925" s="1"/>
      <c r="B1925" s="1" t="s">
        <v>9046</v>
      </c>
      <c r="C1925" s="1" t="s">
        <v>9047</v>
      </c>
      <c r="D1925" s="22" t="str">
        <f>HYPERLINK("https://rhld.insurance.arkansas.gov/NPILookup?Npi=1851620249","1851620249")</f>
        <v>1851620249</v>
      </c>
      <c r="E1925" s="1" t="s">
        <v>15371</v>
      </c>
      <c r="F1925" s="2"/>
      <c r="G1925" s="2"/>
      <c r="H1925" s="2"/>
    </row>
    <row r="1926" spans="1:8" x14ac:dyDescent="0.25">
      <c r="A1926" s="1"/>
      <c r="B1926" s="1" t="s">
        <v>9046</v>
      </c>
      <c r="C1926" s="1" t="s">
        <v>9047</v>
      </c>
      <c r="D1926" s="22" t="str">
        <f>HYPERLINK("https://rhld.insurance.arkansas.gov/NPILookup?Npi=1851865794","1851865794")</f>
        <v>1851865794</v>
      </c>
      <c r="E1926" s="1" t="s">
        <v>8951</v>
      </c>
      <c r="F1926" s="2"/>
      <c r="G1926" s="2"/>
      <c r="H1926" s="2"/>
    </row>
    <row r="1927" spans="1:8" x14ac:dyDescent="0.25">
      <c r="A1927" s="1"/>
      <c r="B1927" s="1" t="s">
        <v>9046</v>
      </c>
      <c r="C1927" s="1" t="s">
        <v>9047</v>
      </c>
      <c r="D1927" s="22" t="str">
        <f>HYPERLINK("https://rhld.insurance.arkansas.gov/NPILookup?Npi=1861449639","1861449639")</f>
        <v>1861449639</v>
      </c>
      <c r="E1927" s="1" t="s">
        <v>15257</v>
      </c>
      <c r="F1927" s="2"/>
      <c r="G1927" s="2"/>
      <c r="H1927" s="2"/>
    </row>
    <row r="1928" spans="1:8" x14ac:dyDescent="0.25">
      <c r="A1928" s="1"/>
      <c r="B1928" s="1" t="s">
        <v>9046</v>
      </c>
      <c r="C1928" s="1" t="s">
        <v>9047</v>
      </c>
      <c r="D1928" s="22" t="str">
        <f>HYPERLINK("https://rhld.insurance.arkansas.gov/NPILookup?Npi=1861488587","1861488587")</f>
        <v>1861488587</v>
      </c>
      <c r="E1928" s="1" t="s">
        <v>15628</v>
      </c>
      <c r="F1928" s="2"/>
      <c r="G1928" s="2"/>
      <c r="H1928" s="2"/>
    </row>
    <row r="1929" spans="1:8" x14ac:dyDescent="0.25">
      <c r="A1929" s="1"/>
      <c r="B1929" s="1" t="s">
        <v>9046</v>
      </c>
      <c r="C1929" s="1" t="s">
        <v>9047</v>
      </c>
      <c r="D1929" s="22" t="str">
        <f>HYPERLINK("https://rhld.insurance.arkansas.gov/NPILookup?Npi=1861519548","1861519548")</f>
        <v>1861519548</v>
      </c>
      <c r="E1929" s="1" t="s">
        <v>15292</v>
      </c>
      <c r="F1929" s="2"/>
      <c r="G1929" s="2"/>
      <c r="H1929" s="2"/>
    </row>
    <row r="1930" spans="1:8" x14ac:dyDescent="0.25">
      <c r="A1930" s="1"/>
      <c r="B1930" s="1" t="s">
        <v>9046</v>
      </c>
      <c r="C1930" s="1" t="s">
        <v>9047</v>
      </c>
      <c r="D1930" s="22" t="str">
        <f>HYPERLINK("https://rhld.insurance.arkansas.gov/NPILookup?Npi=1861711301","1861711301")</f>
        <v>1861711301</v>
      </c>
      <c r="E1930" s="1" t="s">
        <v>9641</v>
      </c>
      <c r="F1930" s="2"/>
      <c r="G1930" s="2"/>
      <c r="H1930" s="2"/>
    </row>
    <row r="1931" spans="1:8" x14ac:dyDescent="0.25">
      <c r="A1931" s="1"/>
      <c r="B1931" s="1" t="s">
        <v>9046</v>
      </c>
      <c r="C1931" s="1" t="s">
        <v>9047</v>
      </c>
      <c r="D1931" s="22" t="str">
        <f>HYPERLINK("https://rhld.insurance.arkansas.gov/NPILookup?Npi=1871553073","1871553073")</f>
        <v>1871553073</v>
      </c>
      <c r="E1931" s="1" t="s">
        <v>15315</v>
      </c>
      <c r="F1931" s="2"/>
      <c r="G1931" s="2"/>
      <c r="H1931" s="2"/>
    </row>
    <row r="1932" spans="1:8" x14ac:dyDescent="0.25">
      <c r="A1932" s="1"/>
      <c r="B1932" s="1" t="s">
        <v>9046</v>
      </c>
      <c r="C1932" s="1" t="s">
        <v>9047</v>
      </c>
      <c r="D1932" s="22" t="str">
        <f>HYPERLINK("https://rhld.insurance.arkansas.gov/NPILookup?Npi=1871555185","1871555185")</f>
        <v>1871555185</v>
      </c>
      <c r="E1932" s="1" t="s">
        <v>8897</v>
      </c>
      <c r="F1932" s="2"/>
      <c r="G1932" s="2"/>
      <c r="H1932" s="2"/>
    </row>
    <row r="1933" spans="1:8" x14ac:dyDescent="0.25">
      <c r="A1933" s="1"/>
      <c r="B1933" s="1" t="s">
        <v>9046</v>
      </c>
      <c r="C1933" s="1" t="s">
        <v>9047</v>
      </c>
      <c r="D1933" s="22" t="str">
        <f>HYPERLINK("https://rhld.insurance.arkansas.gov/NPILookup?Npi=1871738161","1871738161")</f>
        <v>1871738161</v>
      </c>
      <c r="E1933" s="1" t="s">
        <v>15629</v>
      </c>
      <c r="F1933" s="2"/>
      <c r="G1933" s="2"/>
      <c r="H1933" s="2"/>
    </row>
    <row r="1934" spans="1:8" x14ac:dyDescent="0.25">
      <c r="A1934" s="1"/>
      <c r="B1934" s="1" t="s">
        <v>9046</v>
      </c>
      <c r="C1934" s="1" t="s">
        <v>9047</v>
      </c>
      <c r="D1934" s="22" t="str">
        <f>HYPERLINK("https://rhld.insurance.arkansas.gov/NPILookup?Npi=1871839613","1871839613")</f>
        <v>1871839613</v>
      </c>
      <c r="E1934" s="1" t="s">
        <v>15293</v>
      </c>
      <c r="F1934" s="2"/>
      <c r="G1934" s="2"/>
      <c r="H1934" s="2"/>
    </row>
    <row r="1935" spans="1:8" x14ac:dyDescent="0.25">
      <c r="A1935" s="1"/>
      <c r="B1935" s="1" t="s">
        <v>9046</v>
      </c>
      <c r="C1935" s="1" t="s">
        <v>9047</v>
      </c>
      <c r="D1935" s="22" t="str">
        <f>HYPERLINK("https://rhld.insurance.arkansas.gov/NPILookup?Npi=1871866038","1871866038")</f>
        <v>1871866038</v>
      </c>
      <c r="E1935" s="1" t="s">
        <v>15373</v>
      </c>
      <c r="F1935" s="2"/>
      <c r="G1935" s="2"/>
      <c r="H1935" s="2"/>
    </row>
    <row r="1936" spans="1:8" x14ac:dyDescent="0.25">
      <c r="A1936" s="1"/>
      <c r="B1936" s="1" t="s">
        <v>9046</v>
      </c>
      <c r="C1936" s="1" t="s">
        <v>9047</v>
      </c>
      <c r="D1936" s="22" t="str">
        <f>HYPERLINK("https://rhld.insurance.arkansas.gov/NPILookup?Npi=1881276319","1881276319")</f>
        <v>1881276319</v>
      </c>
      <c r="E1936" s="1" t="s">
        <v>9121</v>
      </c>
      <c r="F1936" s="2"/>
      <c r="G1936" s="2"/>
      <c r="H1936" s="2"/>
    </row>
    <row r="1937" spans="1:8" x14ac:dyDescent="0.25">
      <c r="A1937" s="1"/>
      <c r="B1937" s="1" t="s">
        <v>9046</v>
      </c>
      <c r="C1937" s="1" t="s">
        <v>9047</v>
      </c>
      <c r="D1937" s="22" t="str">
        <f>HYPERLINK("https://rhld.insurance.arkansas.gov/NPILookup?Npi=1881640118","1881640118")</f>
        <v>1881640118</v>
      </c>
      <c r="E1937" s="1" t="s">
        <v>15316</v>
      </c>
      <c r="F1937" s="2"/>
      <c r="G1937" s="2"/>
      <c r="H1937" s="2"/>
    </row>
    <row r="1938" spans="1:8" x14ac:dyDescent="0.25">
      <c r="A1938" s="1"/>
      <c r="B1938" s="1" t="s">
        <v>9046</v>
      </c>
      <c r="C1938" s="1" t="s">
        <v>9047</v>
      </c>
      <c r="D1938" s="22" t="str">
        <f>HYPERLINK("https://rhld.insurance.arkansas.gov/NPILookup?Npi=1881642767","1881642767")</f>
        <v>1881642767</v>
      </c>
      <c r="E1938" s="1" t="s">
        <v>15630</v>
      </c>
      <c r="F1938" s="2"/>
      <c r="G1938" s="2"/>
      <c r="H1938" s="2"/>
    </row>
    <row r="1939" spans="1:8" x14ac:dyDescent="0.25">
      <c r="A1939" s="1"/>
      <c r="B1939" s="1" t="s">
        <v>9046</v>
      </c>
      <c r="C1939" s="1" t="s">
        <v>9047</v>
      </c>
      <c r="D1939" s="22" t="str">
        <f>HYPERLINK("https://rhld.insurance.arkansas.gov/NPILookup?Npi=1881788933","1881788933")</f>
        <v>1881788933</v>
      </c>
      <c r="E1939" s="1" t="s">
        <v>2141</v>
      </c>
      <c r="F1939" s="2"/>
      <c r="G1939" s="2"/>
      <c r="H1939" s="2"/>
    </row>
    <row r="1940" spans="1:8" x14ac:dyDescent="0.25">
      <c r="A1940" s="1"/>
      <c r="B1940" s="1" t="s">
        <v>9046</v>
      </c>
      <c r="C1940" s="1" t="s">
        <v>9047</v>
      </c>
      <c r="D1940" s="22" t="str">
        <f>HYPERLINK("https://rhld.insurance.arkansas.gov/NPILookup?Npi=1881960771","1881960771")</f>
        <v>1881960771</v>
      </c>
      <c r="E1940" s="1" t="s">
        <v>9741</v>
      </c>
      <c r="F1940" s="2"/>
      <c r="G1940" s="2"/>
      <c r="H1940" s="2"/>
    </row>
    <row r="1941" spans="1:8" x14ac:dyDescent="0.25">
      <c r="A1941" s="1"/>
      <c r="B1941" s="1" t="s">
        <v>9046</v>
      </c>
      <c r="C1941" s="1" t="s">
        <v>9047</v>
      </c>
      <c r="D1941" s="22" t="str">
        <f>HYPERLINK("https://rhld.insurance.arkansas.gov/NPILookup?Npi=1891907754","1891907754")</f>
        <v>1891907754</v>
      </c>
      <c r="E1941" s="1" t="s">
        <v>9122</v>
      </c>
      <c r="F1941" s="2"/>
      <c r="G1941" s="2"/>
      <c r="H1941" s="2"/>
    </row>
    <row r="1942" spans="1:8" x14ac:dyDescent="0.25">
      <c r="A1942" s="1"/>
      <c r="B1942" s="1" t="s">
        <v>9046</v>
      </c>
      <c r="C1942" s="1" t="s">
        <v>9047</v>
      </c>
      <c r="D1942" s="22" t="str">
        <f>HYPERLINK("https://rhld.insurance.arkansas.gov/NPILookup?Npi=1902051816","1902051816")</f>
        <v>1902051816</v>
      </c>
      <c r="E1942" s="1" t="s">
        <v>15259</v>
      </c>
      <c r="F1942" s="2"/>
      <c r="G1942" s="2"/>
      <c r="H1942" s="2"/>
    </row>
    <row r="1943" spans="1:8" x14ac:dyDescent="0.25">
      <c r="A1943" s="1"/>
      <c r="B1943" s="1" t="s">
        <v>9046</v>
      </c>
      <c r="C1943" s="1" t="s">
        <v>9047</v>
      </c>
      <c r="D1943" s="22" t="str">
        <f>HYPERLINK("https://rhld.insurance.arkansas.gov/NPILookup?Npi=1902073620","1902073620")</f>
        <v>1902073620</v>
      </c>
      <c r="E1943" s="1" t="s">
        <v>15318</v>
      </c>
      <c r="F1943" s="2"/>
      <c r="G1943" s="2"/>
      <c r="H1943" s="2"/>
    </row>
    <row r="1944" spans="1:8" x14ac:dyDescent="0.25">
      <c r="A1944" s="1"/>
      <c r="B1944" s="1" t="s">
        <v>9046</v>
      </c>
      <c r="C1944" s="1" t="s">
        <v>9047</v>
      </c>
      <c r="D1944" s="22" t="str">
        <f>HYPERLINK("https://rhld.insurance.arkansas.gov/NPILookup?Npi=1902472715","1902472715")</f>
        <v>1902472715</v>
      </c>
      <c r="E1944" s="1" t="s">
        <v>9123</v>
      </c>
      <c r="F1944" s="2"/>
      <c r="G1944" s="2"/>
      <c r="H1944" s="2"/>
    </row>
    <row r="1945" spans="1:8" x14ac:dyDescent="0.25">
      <c r="A1945" s="1"/>
      <c r="B1945" s="1" t="s">
        <v>9046</v>
      </c>
      <c r="C1945" s="1" t="s">
        <v>9047</v>
      </c>
      <c r="D1945" s="22" t="str">
        <f>HYPERLINK("https://rhld.insurance.arkansas.gov/NPILookup?Npi=1902842255","1902842255")</f>
        <v>1902842255</v>
      </c>
      <c r="E1945" s="1" t="s">
        <v>8899</v>
      </c>
      <c r="F1945" s="2"/>
      <c r="G1945" s="2"/>
      <c r="H1945" s="2"/>
    </row>
    <row r="1946" spans="1:8" x14ac:dyDescent="0.25">
      <c r="A1946" s="1"/>
      <c r="B1946" s="1" t="s">
        <v>9046</v>
      </c>
      <c r="C1946" s="1" t="s">
        <v>9047</v>
      </c>
      <c r="D1946" s="22" t="str">
        <f>HYPERLINK("https://rhld.insurance.arkansas.gov/NPILookup?Npi=1902860679","1902860679")</f>
        <v>1902860679</v>
      </c>
      <c r="E1946" s="1" t="s">
        <v>9124</v>
      </c>
      <c r="F1946" s="2"/>
      <c r="G1946" s="2"/>
      <c r="H1946" s="2"/>
    </row>
    <row r="1947" spans="1:8" x14ac:dyDescent="0.25">
      <c r="A1947" s="1"/>
      <c r="B1947" s="1" t="s">
        <v>9046</v>
      </c>
      <c r="C1947" s="1" t="s">
        <v>9047</v>
      </c>
      <c r="D1947" s="22" t="str">
        <f>HYPERLINK("https://rhld.insurance.arkansas.gov/NPILookup?Npi=1902868391","1902868391")</f>
        <v>1902868391</v>
      </c>
      <c r="E1947" s="1" t="s">
        <v>709</v>
      </c>
      <c r="F1947" s="2"/>
      <c r="G1947" s="2"/>
      <c r="H1947" s="2"/>
    </row>
    <row r="1948" spans="1:8" x14ac:dyDescent="0.25">
      <c r="A1948" s="1"/>
      <c r="B1948" s="1" t="s">
        <v>9046</v>
      </c>
      <c r="C1948" s="1" t="s">
        <v>9047</v>
      </c>
      <c r="D1948" s="22" t="str">
        <f>HYPERLINK("https://rhld.insurance.arkansas.gov/NPILookup?Npi=1902877426","1902877426")</f>
        <v>1902877426</v>
      </c>
      <c r="E1948" s="1" t="s">
        <v>15374</v>
      </c>
      <c r="F1948" s="2"/>
      <c r="G1948" s="2"/>
      <c r="H1948" s="2"/>
    </row>
    <row r="1949" spans="1:8" x14ac:dyDescent="0.25">
      <c r="A1949" s="1"/>
      <c r="B1949" s="1" t="s">
        <v>9046</v>
      </c>
      <c r="C1949" s="1" t="s">
        <v>9047</v>
      </c>
      <c r="D1949" s="22" t="str">
        <f>HYPERLINK("https://rhld.insurance.arkansas.gov/NPILookup?Npi=1912544958","1912544958")</f>
        <v>1912544958</v>
      </c>
      <c r="E1949" s="1" t="s">
        <v>8915</v>
      </c>
      <c r="F1949" s="2"/>
      <c r="G1949" s="2"/>
      <c r="H1949" s="2"/>
    </row>
    <row r="1950" spans="1:8" x14ac:dyDescent="0.25">
      <c r="A1950" s="1"/>
      <c r="B1950" s="1" t="s">
        <v>9046</v>
      </c>
      <c r="C1950" s="1" t="s">
        <v>9047</v>
      </c>
      <c r="D1950" s="22" t="str">
        <f>HYPERLINK("https://rhld.insurance.arkansas.gov/NPILookup?Npi=1912964081","1912964081")</f>
        <v>1912964081</v>
      </c>
      <c r="E1950" s="1" t="s">
        <v>15264</v>
      </c>
      <c r="F1950" s="2"/>
      <c r="G1950" s="2"/>
      <c r="H1950" s="2"/>
    </row>
    <row r="1951" spans="1:8" x14ac:dyDescent="0.25">
      <c r="A1951" s="1"/>
      <c r="B1951" s="1" t="s">
        <v>9046</v>
      </c>
      <c r="C1951" s="1" t="s">
        <v>9047</v>
      </c>
      <c r="D1951" s="22" t="str">
        <f>HYPERLINK("https://rhld.insurance.arkansas.gov/NPILookup?Npi=1922016898","1922016898")</f>
        <v>1922016898</v>
      </c>
      <c r="E1951" s="1" t="s">
        <v>9125</v>
      </c>
      <c r="F1951" s="2"/>
      <c r="G1951" s="2"/>
      <c r="H1951" s="2"/>
    </row>
    <row r="1952" spans="1:8" x14ac:dyDescent="0.25">
      <c r="A1952" s="1"/>
      <c r="B1952" s="1" t="s">
        <v>9046</v>
      </c>
      <c r="C1952" s="1" t="s">
        <v>9047</v>
      </c>
      <c r="D1952" s="22" t="str">
        <f>HYPERLINK("https://rhld.insurance.arkansas.gov/NPILookup?Npi=1922043686","1922043686")</f>
        <v>1922043686</v>
      </c>
      <c r="E1952" s="1" t="s">
        <v>1543</v>
      </c>
      <c r="F1952" s="2"/>
      <c r="G1952" s="2"/>
      <c r="H1952" s="2"/>
    </row>
    <row r="1953" spans="1:8" x14ac:dyDescent="0.25">
      <c r="A1953" s="1"/>
      <c r="B1953" s="1" t="s">
        <v>9046</v>
      </c>
      <c r="C1953" s="1" t="s">
        <v>9047</v>
      </c>
      <c r="D1953" s="22" t="str">
        <f>HYPERLINK("https://rhld.insurance.arkansas.gov/NPILookup?Npi=1922068295","1922068295")</f>
        <v>1922068295</v>
      </c>
      <c r="E1953" s="1" t="s">
        <v>9742</v>
      </c>
      <c r="F1953" s="2"/>
      <c r="G1953" s="2"/>
      <c r="H1953" s="2"/>
    </row>
    <row r="1954" spans="1:8" x14ac:dyDescent="0.25">
      <c r="A1954" s="1"/>
      <c r="B1954" s="1" t="s">
        <v>9046</v>
      </c>
      <c r="C1954" s="1" t="s">
        <v>9047</v>
      </c>
      <c r="D1954" s="22" t="str">
        <f>HYPERLINK("https://rhld.insurance.arkansas.gov/NPILookup?Npi=1922070911","1922070911")</f>
        <v>1922070911</v>
      </c>
      <c r="E1954" s="1" t="s">
        <v>15631</v>
      </c>
      <c r="F1954" s="2"/>
      <c r="G1954" s="2"/>
      <c r="H1954" s="2"/>
    </row>
    <row r="1955" spans="1:8" x14ac:dyDescent="0.25">
      <c r="A1955" s="1"/>
      <c r="B1955" s="1" t="s">
        <v>9046</v>
      </c>
      <c r="C1955" s="1" t="s">
        <v>9047</v>
      </c>
      <c r="D1955" s="22" t="str">
        <f>HYPERLINK("https://rhld.insurance.arkansas.gov/NPILookup?Npi=1922187103","1922187103")</f>
        <v>1922187103</v>
      </c>
      <c r="E1955" s="1" t="s">
        <v>15632</v>
      </c>
      <c r="F1955" s="2"/>
      <c r="G1955" s="2"/>
      <c r="H1955" s="2"/>
    </row>
    <row r="1956" spans="1:8" x14ac:dyDescent="0.25">
      <c r="A1956" s="1"/>
      <c r="B1956" s="1" t="s">
        <v>9046</v>
      </c>
      <c r="C1956" s="1" t="s">
        <v>9047</v>
      </c>
      <c r="D1956" s="22" t="str">
        <f>HYPERLINK("https://rhld.insurance.arkansas.gov/NPILookup?Npi=1922353754","1922353754")</f>
        <v>1922353754</v>
      </c>
      <c r="E1956" s="1" t="s">
        <v>1076</v>
      </c>
      <c r="F1956" s="2"/>
      <c r="G1956" s="2"/>
      <c r="H1956" s="2"/>
    </row>
    <row r="1957" spans="1:8" x14ac:dyDescent="0.25">
      <c r="A1957" s="1"/>
      <c r="B1957" s="1" t="s">
        <v>9046</v>
      </c>
      <c r="C1957" s="1" t="s">
        <v>9047</v>
      </c>
      <c r="D1957" s="22" t="str">
        <f>HYPERLINK("https://rhld.insurance.arkansas.gov/NPILookup?Npi=1922745470","1922745470")</f>
        <v>1922745470</v>
      </c>
      <c r="E1957" s="1" t="s">
        <v>9126</v>
      </c>
      <c r="F1957" s="2"/>
      <c r="G1957" s="2"/>
      <c r="H1957" s="2"/>
    </row>
    <row r="1958" spans="1:8" x14ac:dyDescent="0.25">
      <c r="A1958" s="1"/>
      <c r="B1958" s="1" t="s">
        <v>9046</v>
      </c>
      <c r="C1958" s="1" t="s">
        <v>9047</v>
      </c>
      <c r="D1958" s="22" t="str">
        <f>HYPERLINK("https://rhld.insurance.arkansas.gov/NPILookup?Npi=1932261013","1932261013")</f>
        <v>1932261013</v>
      </c>
      <c r="E1958" s="1" t="s">
        <v>8954</v>
      </c>
      <c r="F1958" s="2"/>
      <c r="G1958" s="2"/>
      <c r="H1958" s="2"/>
    </row>
    <row r="1959" spans="1:8" x14ac:dyDescent="0.25">
      <c r="A1959" s="1"/>
      <c r="B1959" s="1" t="s">
        <v>9046</v>
      </c>
      <c r="C1959" s="1" t="s">
        <v>9047</v>
      </c>
      <c r="D1959" s="22" t="str">
        <f>HYPERLINK("https://rhld.insurance.arkansas.gov/NPILookup?Npi=1942260609","1942260609")</f>
        <v>1942260609</v>
      </c>
      <c r="E1959" s="1" t="s">
        <v>9635</v>
      </c>
      <c r="F1959" s="2"/>
      <c r="G1959" s="2"/>
      <c r="H1959" s="2"/>
    </row>
    <row r="1960" spans="1:8" x14ac:dyDescent="0.25">
      <c r="A1960" s="1"/>
      <c r="B1960" s="1" t="s">
        <v>9046</v>
      </c>
      <c r="C1960" s="1" t="s">
        <v>9047</v>
      </c>
      <c r="D1960" s="22" t="str">
        <f>HYPERLINK("https://rhld.insurance.arkansas.gov/NPILookup?Npi=1942414750","1942414750")</f>
        <v>1942414750</v>
      </c>
      <c r="E1960" s="1" t="s">
        <v>15633</v>
      </c>
      <c r="F1960" s="2"/>
      <c r="G1960" s="2"/>
      <c r="H1960" s="2"/>
    </row>
    <row r="1961" spans="1:8" x14ac:dyDescent="0.25">
      <c r="A1961" s="1"/>
      <c r="B1961" s="1" t="s">
        <v>9046</v>
      </c>
      <c r="C1961" s="1" t="s">
        <v>9047</v>
      </c>
      <c r="D1961" s="22" t="str">
        <f>HYPERLINK("https://rhld.insurance.arkansas.gov/NPILookup?Npi=1942498167","1942498167")</f>
        <v>1942498167</v>
      </c>
      <c r="E1961" s="1" t="s">
        <v>9127</v>
      </c>
      <c r="F1961" s="2"/>
      <c r="G1961" s="2"/>
      <c r="H1961" s="2"/>
    </row>
    <row r="1962" spans="1:8" x14ac:dyDescent="0.25">
      <c r="A1962" s="1"/>
      <c r="B1962" s="1" t="s">
        <v>9046</v>
      </c>
      <c r="C1962" s="1" t="s">
        <v>9047</v>
      </c>
      <c r="D1962" s="22" t="str">
        <f>HYPERLINK("https://rhld.insurance.arkansas.gov/NPILookup?Npi=1952922981","1952922981")</f>
        <v>1952922981</v>
      </c>
      <c r="E1962" s="1" t="s">
        <v>9128</v>
      </c>
      <c r="F1962" s="2"/>
      <c r="G1962" s="2"/>
      <c r="H1962" s="2"/>
    </row>
    <row r="1963" spans="1:8" x14ac:dyDescent="0.25">
      <c r="A1963" s="1"/>
      <c r="B1963" s="1" t="s">
        <v>9046</v>
      </c>
      <c r="C1963" s="1" t="s">
        <v>9047</v>
      </c>
      <c r="D1963" s="22" t="str">
        <f>HYPERLINK("https://rhld.insurance.arkansas.gov/NPILookup?Npi=1962478115","1962478115")</f>
        <v>1962478115</v>
      </c>
      <c r="E1963" s="1" t="s">
        <v>9129</v>
      </c>
      <c r="F1963" s="2"/>
      <c r="G1963" s="2"/>
      <c r="H1963" s="2"/>
    </row>
    <row r="1964" spans="1:8" x14ac:dyDescent="0.25">
      <c r="A1964" s="1"/>
      <c r="B1964" s="1" t="s">
        <v>9046</v>
      </c>
      <c r="C1964" s="1" t="s">
        <v>9047</v>
      </c>
      <c r="D1964" s="22" t="str">
        <f>HYPERLINK("https://rhld.insurance.arkansas.gov/NPILookup?Npi=1962569244","1962569244")</f>
        <v>1962569244</v>
      </c>
      <c r="E1964" s="1" t="s">
        <v>9130</v>
      </c>
      <c r="F1964" s="2"/>
      <c r="G1964" s="2"/>
      <c r="H1964" s="2"/>
    </row>
    <row r="1965" spans="1:8" x14ac:dyDescent="0.25">
      <c r="A1965" s="1"/>
      <c r="B1965" s="1" t="s">
        <v>9046</v>
      </c>
      <c r="C1965" s="1" t="s">
        <v>9047</v>
      </c>
      <c r="D1965" s="22" t="str">
        <f>HYPERLINK("https://rhld.insurance.arkansas.gov/NPILookup?Npi=1962727271","1962727271")</f>
        <v>1962727271</v>
      </c>
      <c r="E1965" s="1" t="s">
        <v>3574</v>
      </c>
      <c r="F1965" s="2"/>
      <c r="G1965" s="2"/>
      <c r="H1965" s="2"/>
    </row>
    <row r="1966" spans="1:8" x14ac:dyDescent="0.25">
      <c r="A1966" s="1"/>
      <c r="B1966" s="1" t="s">
        <v>9046</v>
      </c>
      <c r="C1966" s="1" t="s">
        <v>9047</v>
      </c>
      <c r="D1966" s="22" t="str">
        <f>HYPERLINK("https://rhld.insurance.arkansas.gov/NPILookup?Npi=1962772871","1962772871")</f>
        <v>1962772871</v>
      </c>
      <c r="E1966" s="1" t="s">
        <v>9743</v>
      </c>
      <c r="F1966" s="2"/>
      <c r="G1966" s="2"/>
      <c r="H1966" s="2"/>
    </row>
    <row r="1967" spans="1:8" x14ac:dyDescent="0.25">
      <c r="A1967" s="1"/>
      <c r="B1967" s="1" t="s">
        <v>9046</v>
      </c>
      <c r="C1967" s="1" t="s">
        <v>9047</v>
      </c>
      <c r="D1967" s="22" t="str">
        <f>HYPERLINK("https://rhld.insurance.arkansas.gov/NPILookup?Npi=1962784835","1962784835")</f>
        <v>1962784835</v>
      </c>
      <c r="E1967" s="1" t="s">
        <v>9008</v>
      </c>
      <c r="F1967" s="2"/>
      <c r="G1967" s="2"/>
      <c r="H1967" s="2"/>
    </row>
    <row r="1968" spans="1:8" x14ac:dyDescent="0.25">
      <c r="A1968" s="1"/>
      <c r="B1968" s="1" t="s">
        <v>9046</v>
      </c>
      <c r="C1968" s="1" t="s">
        <v>9047</v>
      </c>
      <c r="D1968" s="22" t="str">
        <f>HYPERLINK("https://rhld.insurance.arkansas.gov/NPILookup?Npi=1962829747","1962829747")</f>
        <v>1962829747</v>
      </c>
      <c r="E1968" s="1" t="s">
        <v>9744</v>
      </c>
      <c r="F1968" s="2"/>
      <c r="G1968" s="2"/>
      <c r="H1968" s="2"/>
    </row>
    <row r="1969" spans="1:8" x14ac:dyDescent="0.25">
      <c r="A1969" s="1"/>
      <c r="B1969" s="1" t="s">
        <v>9046</v>
      </c>
      <c r="C1969" s="1" t="s">
        <v>9047</v>
      </c>
      <c r="D1969" s="22" t="str">
        <f>HYPERLINK("https://rhld.insurance.arkansas.gov/NPILookup?Npi=1972539567","1972539567")</f>
        <v>1972539567</v>
      </c>
      <c r="E1969" s="1" t="s">
        <v>9636</v>
      </c>
      <c r="F1969" s="2"/>
      <c r="G1969" s="2"/>
      <c r="H1969" s="2"/>
    </row>
    <row r="1970" spans="1:8" x14ac:dyDescent="0.25">
      <c r="A1970" s="1"/>
      <c r="B1970" s="1" t="s">
        <v>9046</v>
      </c>
      <c r="C1970" s="1" t="s">
        <v>9047</v>
      </c>
      <c r="D1970" s="22" t="str">
        <f>HYPERLINK("https://rhld.insurance.arkansas.gov/NPILookup?Npi=1972620649","1972620649")</f>
        <v>1972620649</v>
      </c>
      <c r="E1970" s="1" t="s">
        <v>15294</v>
      </c>
      <c r="F1970" s="2"/>
      <c r="G1970" s="2"/>
      <c r="H1970" s="2"/>
    </row>
    <row r="1971" spans="1:8" x14ac:dyDescent="0.25">
      <c r="A1971" s="1"/>
      <c r="B1971" s="1" t="s">
        <v>9046</v>
      </c>
      <c r="C1971" s="1" t="s">
        <v>9047</v>
      </c>
      <c r="D1971" s="22" t="str">
        <f>HYPERLINK("https://rhld.insurance.arkansas.gov/NPILookup?Npi=1972635639","1972635639")</f>
        <v>1972635639</v>
      </c>
      <c r="E1971" s="1" t="s">
        <v>9131</v>
      </c>
      <c r="F1971" s="2"/>
      <c r="G1971" s="2"/>
      <c r="H1971" s="2"/>
    </row>
    <row r="1972" spans="1:8" x14ac:dyDescent="0.25">
      <c r="A1972" s="1"/>
      <c r="B1972" s="1" t="s">
        <v>9046</v>
      </c>
      <c r="C1972" s="1" t="s">
        <v>9047</v>
      </c>
      <c r="D1972" s="22" t="str">
        <f>HYPERLINK("https://rhld.insurance.arkansas.gov/NPILookup?Npi=1972791978","1972791978")</f>
        <v>1972791978</v>
      </c>
      <c r="E1972" s="1" t="s">
        <v>15634</v>
      </c>
      <c r="F1972" s="2"/>
      <c r="G1972" s="2"/>
      <c r="H1972" s="2"/>
    </row>
    <row r="1973" spans="1:8" x14ac:dyDescent="0.25">
      <c r="A1973" s="1"/>
      <c r="B1973" s="1" t="s">
        <v>9046</v>
      </c>
      <c r="C1973" s="1" t="s">
        <v>9047</v>
      </c>
      <c r="D1973" s="22" t="str">
        <f>HYPERLINK("https://rhld.insurance.arkansas.gov/NPILookup?Npi=1982157020","1982157020")</f>
        <v>1982157020</v>
      </c>
      <c r="E1973" s="1" t="s">
        <v>15296</v>
      </c>
      <c r="F1973" s="2"/>
      <c r="G1973" s="2"/>
      <c r="H1973" s="2"/>
    </row>
    <row r="1974" spans="1:8" x14ac:dyDescent="0.25">
      <c r="A1974" s="1"/>
      <c r="B1974" s="1" t="s">
        <v>9046</v>
      </c>
      <c r="C1974" s="1" t="s">
        <v>9047</v>
      </c>
      <c r="D1974" s="22" t="str">
        <f>HYPERLINK("https://rhld.insurance.arkansas.gov/NPILookup?Npi=1982684825","1982684825")</f>
        <v>1982684825</v>
      </c>
      <c r="E1974" s="1" t="s">
        <v>9629</v>
      </c>
      <c r="F1974" s="2"/>
      <c r="G1974" s="2"/>
      <c r="H1974" s="2"/>
    </row>
    <row r="1975" spans="1:8" x14ac:dyDescent="0.25">
      <c r="A1975" s="1"/>
      <c r="B1975" s="1" t="s">
        <v>9046</v>
      </c>
      <c r="C1975" s="1" t="s">
        <v>9047</v>
      </c>
      <c r="D1975" s="22" t="str">
        <f>HYPERLINK("https://rhld.insurance.arkansas.gov/NPILookup?Npi=1982876140","1982876140")</f>
        <v>1982876140</v>
      </c>
      <c r="E1975" s="1" t="s">
        <v>9132</v>
      </c>
      <c r="F1975" s="2"/>
      <c r="G1975" s="2"/>
      <c r="H1975" s="2"/>
    </row>
    <row r="1976" spans="1:8" x14ac:dyDescent="0.25">
      <c r="A1976" s="1"/>
      <c r="B1976" s="1" t="s">
        <v>9046</v>
      </c>
      <c r="C1976" s="1" t="s">
        <v>9047</v>
      </c>
      <c r="D1976" s="22" t="str">
        <f>HYPERLINK("https://rhld.insurance.arkansas.gov/NPILookup?Npi=1982913125","1982913125")</f>
        <v>1982913125</v>
      </c>
      <c r="E1976" s="1" t="s">
        <v>9133</v>
      </c>
      <c r="F1976" s="2"/>
      <c r="G1976" s="2"/>
      <c r="H1976" s="2"/>
    </row>
    <row r="1977" spans="1:8" x14ac:dyDescent="0.25">
      <c r="A1977" s="1"/>
      <c r="B1977" s="1" t="s">
        <v>9046</v>
      </c>
      <c r="C1977" s="1" t="s">
        <v>9047</v>
      </c>
      <c r="D1977" s="22" t="str">
        <f>HYPERLINK("https://rhld.insurance.arkansas.gov/NPILookup?Npi=1992034763","1992034763")</f>
        <v>1992034763</v>
      </c>
      <c r="E1977" s="1" t="s">
        <v>9745</v>
      </c>
      <c r="F1977" s="2"/>
      <c r="G1977" s="2"/>
      <c r="H1977" s="2"/>
    </row>
    <row r="1978" spans="1:8" x14ac:dyDescent="0.25">
      <c r="A1978" s="1"/>
      <c r="B1978" s="1" t="s">
        <v>9046</v>
      </c>
      <c r="C1978" s="1" t="s">
        <v>9047</v>
      </c>
      <c r="D1978" s="22" t="str">
        <f>HYPERLINK("https://rhld.insurance.arkansas.gov/NPILookup?Npi=1992069538","1992069538")</f>
        <v>1992069538</v>
      </c>
      <c r="E1978" s="1" t="s">
        <v>15635</v>
      </c>
      <c r="F1978" s="2"/>
      <c r="G1978" s="2"/>
      <c r="H1978" s="2"/>
    </row>
    <row r="1979" spans="1:8" x14ac:dyDescent="0.25">
      <c r="A1979" s="1"/>
      <c r="B1979" s="1" t="s">
        <v>9046</v>
      </c>
      <c r="C1979" s="1" t="s">
        <v>9047</v>
      </c>
      <c r="D1979" s="22" t="str">
        <f>HYPERLINK("https://rhld.insurance.arkansas.gov/NPILookup?Npi=1992125850","1992125850")</f>
        <v>1992125850</v>
      </c>
      <c r="E1979" s="1" t="s">
        <v>15446</v>
      </c>
      <c r="F1979" s="2"/>
      <c r="G1979" s="2"/>
      <c r="H1979" s="2"/>
    </row>
    <row r="1980" spans="1:8" x14ac:dyDescent="0.25">
      <c r="A1980" s="1"/>
      <c r="B1980" s="1" t="s">
        <v>9046</v>
      </c>
      <c r="C1980" s="1" t="s">
        <v>9047</v>
      </c>
      <c r="D1980" s="22" t="str">
        <f>HYPERLINK("https://rhld.insurance.arkansas.gov/NPILookup?Npi=1992774814","1992774814")</f>
        <v>1992774814</v>
      </c>
      <c r="E1980" s="1" t="s">
        <v>15636</v>
      </c>
      <c r="F1980" s="2"/>
      <c r="G1980" s="2"/>
      <c r="H1980" s="2"/>
    </row>
    <row r="1981" spans="1:8" x14ac:dyDescent="0.25">
      <c r="A1981" s="1"/>
      <c r="B1981" s="1" t="s">
        <v>9134</v>
      </c>
      <c r="C1981" s="1" t="s">
        <v>9135</v>
      </c>
      <c r="D1981" s="22" t="str">
        <f>HYPERLINK("https://rhld.insurance.arkansas.gov/NPILookup?Npi=1003318593","1003318593")</f>
        <v>1003318593</v>
      </c>
      <c r="E1981" s="1" t="s">
        <v>15637</v>
      </c>
      <c r="F1981" s="2"/>
      <c r="G1981" s="2"/>
      <c r="H1981" s="2"/>
    </row>
    <row r="1982" spans="1:8" x14ac:dyDescent="0.25">
      <c r="A1982" s="1"/>
      <c r="B1982" s="1" t="s">
        <v>9134</v>
      </c>
      <c r="C1982" s="1" t="s">
        <v>9135</v>
      </c>
      <c r="D1982" s="22" t="str">
        <f>HYPERLINK("https://rhld.insurance.arkansas.gov/NPILookup?Npi=1003898313","1003898313")</f>
        <v>1003898313</v>
      </c>
      <c r="E1982" s="1" t="s">
        <v>1161</v>
      </c>
      <c r="F1982" s="2"/>
      <c r="G1982" s="2"/>
      <c r="H1982" s="2"/>
    </row>
    <row r="1983" spans="1:8" x14ac:dyDescent="0.25">
      <c r="A1983" s="1"/>
      <c r="B1983" s="1" t="s">
        <v>9134</v>
      </c>
      <c r="C1983" s="1" t="s">
        <v>9135</v>
      </c>
      <c r="D1983" s="22" t="str">
        <f>HYPERLINK("https://rhld.insurance.arkansas.gov/NPILookup?Npi=1033160049","1033160049")</f>
        <v>1033160049</v>
      </c>
      <c r="E1983" s="1" t="s">
        <v>972</v>
      </c>
      <c r="F1983" s="2"/>
      <c r="G1983" s="2"/>
      <c r="H1983" s="2"/>
    </row>
    <row r="1984" spans="1:8" x14ac:dyDescent="0.25">
      <c r="A1984" s="1"/>
      <c r="B1984" s="1" t="s">
        <v>9134</v>
      </c>
      <c r="C1984" s="1" t="s">
        <v>9135</v>
      </c>
      <c r="D1984" s="22" t="str">
        <f>HYPERLINK("https://rhld.insurance.arkansas.gov/NPILookup?Npi=1073004891","1073004891")</f>
        <v>1073004891</v>
      </c>
      <c r="E1984" s="1" t="s">
        <v>9136</v>
      </c>
      <c r="F1984" s="2"/>
      <c r="G1984" s="2"/>
      <c r="H1984" s="2"/>
    </row>
    <row r="1985" spans="1:8" x14ac:dyDescent="0.25">
      <c r="A1985" s="1"/>
      <c r="B1985" s="1" t="s">
        <v>9134</v>
      </c>
      <c r="C1985" s="1" t="s">
        <v>9135</v>
      </c>
      <c r="D1985" s="22" t="str">
        <f>HYPERLINK("https://rhld.insurance.arkansas.gov/NPILookup?Npi=1073272795","1073272795")</f>
        <v>1073272795</v>
      </c>
      <c r="E1985" s="1" t="s">
        <v>9137</v>
      </c>
      <c r="F1985" s="2"/>
      <c r="G1985" s="2"/>
      <c r="H1985" s="2"/>
    </row>
    <row r="1986" spans="1:8" x14ac:dyDescent="0.25">
      <c r="A1986" s="1"/>
      <c r="B1986" s="1" t="s">
        <v>9134</v>
      </c>
      <c r="C1986" s="1" t="s">
        <v>9135</v>
      </c>
      <c r="D1986" s="22" t="str">
        <f>HYPERLINK("https://rhld.insurance.arkansas.gov/NPILookup?Npi=1083609150","1083609150")</f>
        <v>1083609150</v>
      </c>
      <c r="E1986" s="1" t="s">
        <v>15106</v>
      </c>
      <c r="F1986" s="2"/>
      <c r="G1986" s="2"/>
      <c r="H1986" s="2"/>
    </row>
    <row r="1987" spans="1:8" x14ac:dyDescent="0.25">
      <c r="A1987" s="1"/>
      <c r="B1987" s="1" t="s">
        <v>9134</v>
      </c>
      <c r="C1987" s="1" t="s">
        <v>9135</v>
      </c>
      <c r="D1987" s="22" t="str">
        <f>HYPERLINK("https://rhld.insurance.arkansas.gov/NPILookup?Npi=1114903523","1114903523")</f>
        <v>1114903523</v>
      </c>
      <c r="E1987" s="1" t="s">
        <v>2139</v>
      </c>
      <c r="F1987" s="2"/>
      <c r="G1987" s="2"/>
      <c r="H1987" s="2"/>
    </row>
    <row r="1988" spans="1:8" x14ac:dyDescent="0.25">
      <c r="A1988" s="1"/>
      <c r="B1988" s="1" t="s">
        <v>9134</v>
      </c>
      <c r="C1988" s="1" t="s">
        <v>9135</v>
      </c>
      <c r="D1988" s="22" t="str">
        <f>HYPERLINK("https://rhld.insurance.arkansas.gov/NPILookup?Npi=1124021811","1124021811")</f>
        <v>1124021811</v>
      </c>
      <c r="E1988" s="1" t="s">
        <v>8888</v>
      </c>
      <c r="F1988" s="2"/>
      <c r="G1988" s="2"/>
      <c r="H1988" s="2"/>
    </row>
    <row r="1989" spans="1:8" x14ac:dyDescent="0.25">
      <c r="A1989" s="1"/>
      <c r="B1989" s="1" t="s">
        <v>9134</v>
      </c>
      <c r="C1989" s="1" t="s">
        <v>9135</v>
      </c>
      <c r="D1989" s="22" t="str">
        <f>HYPERLINK("https://rhld.insurance.arkansas.gov/NPILookup?Npi=1124277967","1124277967")</f>
        <v>1124277967</v>
      </c>
      <c r="E1989" s="1" t="s">
        <v>15638</v>
      </c>
      <c r="F1989" s="2"/>
      <c r="G1989" s="2"/>
      <c r="H1989" s="2"/>
    </row>
    <row r="1990" spans="1:8" x14ac:dyDescent="0.25">
      <c r="A1990" s="1"/>
      <c r="B1990" s="1" t="s">
        <v>9134</v>
      </c>
      <c r="C1990" s="1" t="s">
        <v>9135</v>
      </c>
      <c r="D1990" s="22" t="str">
        <f>HYPERLINK("https://rhld.insurance.arkansas.gov/NPILookup?Npi=1134116049","1134116049")</f>
        <v>1134116049</v>
      </c>
      <c r="E1990" s="1" t="s">
        <v>15116</v>
      </c>
      <c r="F1990" s="2"/>
      <c r="G1990" s="2"/>
      <c r="H1990" s="2"/>
    </row>
    <row r="1991" spans="1:8" x14ac:dyDescent="0.25">
      <c r="A1991" s="1"/>
      <c r="B1991" s="1" t="s">
        <v>9134</v>
      </c>
      <c r="C1991" s="1" t="s">
        <v>9135</v>
      </c>
      <c r="D1991" s="22" t="str">
        <f>HYPERLINK("https://rhld.insurance.arkansas.gov/NPILookup?Npi=1134452865","1134452865")</f>
        <v>1134452865</v>
      </c>
      <c r="E1991" s="1" t="s">
        <v>15639</v>
      </c>
      <c r="F1991" s="2"/>
      <c r="G1991" s="2"/>
      <c r="H1991" s="2"/>
    </row>
    <row r="1992" spans="1:8" x14ac:dyDescent="0.25">
      <c r="A1992" s="1"/>
      <c r="B1992" s="1" t="s">
        <v>9134</v>
      </c>
      <c r="C1992" s="1" t="s">
        <v>9135</v>
      </c>
      <c r="D1992" s="22" t="str">
        <f>HYPERLINK("https://rhld.insurance.arkansas.gov/NPILookup?Npi=1154022689","1154022689")</f>
        <v>1154022689</v>
      </c>
      <c r="E1992" s="1" t="s">
        <v>9138</v>
      </c>
      <c r="F1992" s="2"/>
      <c r="G1992" s="2"/>
      <c r="H1992" s="2"/>
    </row>
    <row r="1993" spans="1:8" x14ac:dyDescent="0.25">
      <c r="A1993" s="1"/>
      <c r="B1993" s="1" t="s">
        <v>9134</v>
      </c>
      <c r="C1993" s="1" t="s">
        <v>9135</v>
      </c>
      <c r="D1993" s="22" t="str">
        <f>HYPERLINK("https://rhld.insurance.arkansas.gov/NPILookup?Npi=1154488393","1154488393")</f>
        <v>1154488393</v>
      </c>
      <c r="E1993" s="1" t="s">
        <v>15640</v>
      </c>
      <c r="F1993" s="2"/>
      <c r="G1993" s="2"/>
      <c r="H1993" s="2"/>
    </row>
    <row r="1994" spans="1:8" x14ac:dyDescent="0.25">
      <c r="A1994" s="1"/>
      <c r="B1994" s="1" t="s">
        <v>9134</v>
      </c>
      <c r="C1994" s="1" t="s">
        <v>9135</v>
      </c>
      <c r="D1994" s="22" t="str">
        <f>HYPERLINK("https://rhld.insurance.arkansas.gov/NPILookup?Npi=1154807584","1154807584")</f>
        <v>1154807584</v>
      </c>
      <c r="E1994" s="1" t="s">
        <v>3465</v>
      </c>
      <c r="F1994" s="2"/>
      <c r="G1994" s="2"/>
      <c r="H1994" s="2"/>
    </row>
    <row r="1995" spans="1:8" x14ac:dyDescent="0.25">
      <c r="A1995" s="1"/>
      <c r="B1995" s="1" t="s">
        <v>9134</v>
      </c>
      <c r="C1995" s="1" t="s">
        <v>9135</v>
      </c>
      <c r="D1995" s="22" t="str">
        <f>HYPERLINK("https://rhld.insurance.arkansas.gov/NPILookup?Npi=1174553796","1174553796")</f>
        <v>1174553796</v>
      </c>
      <c r="E1995" s="1" t="s">
        <v>15641</v>
      </c>
      <c r="F1995" s="2"/>
      <c r="G1995" s="2"/>
      <c r="H1995" s="2"/>
    </row>
    <row r="1996" spans="1:8" x14ac:dyDescent="0.25">
      <c r="A1996" s="1"/>
      <c r="B1996" s="1" t="s">
        <v>9134</v>
      </c>
      <c r="C1996" s="1" t="s">
        <v>9135</v>
      </c>
      <c r="D1996" s="22" t="str">
        <f>HYPERLINK("https://rhld.insurance.arkansas.gov/NPILookup?Npi=1184629594","1184629594")</f>
        <v>1184629594</v>
      </c>
      <c r="E1996" s="1" t="s">
        <v>9646</v>
      </c>
      <c r="F1996" s="2"/>
      <c r="G1996" s="2"/>
      <c r="H1996" s="2"/>
    </row>
    <row r="1997" spans="1:8" x14ac:dyDescent="0.25">
      <c r="A1997" s="1"/>
      <c r="B1997" s="1" t="s">
        <v>9134</v>
      </c>
      <c r="C1997" s="1" t="s">
        <v>9135</v>
      </c>
      <c r="D1997" s="22" t="str">
        <f>HYPERLINK("https://rhld.insurance.arkansas.gov/NPILookup?Npi=1194724658","1194724658")</f>
        <v>1194724658</v>
      </c>
      <c r="E1997" s="1" t="s">
        <v>1562</v>
      </c>
      <c r="F1997" s="2"/>
      <c r="G1997" s="2"/>
      <c r="H1997" s="2"/>
    </row>
    <row r="1998" spans="1:8" x14ac:dyDescent="0.25">
      <c r="A1998" s="1"/>
      <c r="B1998" s="1" t="s">
        <v>9134</v>
      </c>
      <c r="C1998" s="1" t="s">
        <v>9135</v>
      </c>
      <c r="D1998" s="22" t="str">
        <f>HYPERLINK("https://rhld.insurance.arkansas.gov/NPILookup?Npi=1194741611","1194741611")</f>
        <v>1194741611</v>
      </c>
      <c r="E1998" s="1" t="s">
        <v>636</v>
      </c>
      <c r="F1998" s="2"/>
      <c r="G1998" s="2"/>
      <c r="H1998" s="2"/>
    </row>
    <row r="1999" spans="1:8" x14ac:dyDescent="0.25">
      <c r="A1999" s="1"/>
      <c r="B1999" s="1" t="s">
        <v>9134</v>
      </c>
      <c r="C1999" s="1" t="s">
        <v>9135</v>
      </c>
      <c r="D1999" s="22" t="str">
        <f>HYPERLINK("https://rhld.insurance.arkansas.gov/NPILookup?Npi=1194776757","1194776757")</f>
        <v>1194776757</v>
      </c>
      <c r="E1999" s="1" t="s">
        <v>683</v>
      </c>
      <c r="F1999" s="2"/>
      <c r="G1999" s="2"/>
      <c r="H1999" s="2"/>
    </row>
    <row r="2000" spans="1:8" x14ac:dyDescent="0.25">
      <c r="A2000" s="1"/>
      <c r="B2000" s="1" t="s">
        <v>9134</v>
      </c>
      <c r="C2000" s="1" t="s">
        <v>9135</v>
      </c>
      <c r="D2000" s="22" t="str">
        <f>HYPERLINK("https://rhld.insurance.arkansas.gov/NPILookup?Npi=1194789818","1194789818")</f>
        <v>1194789818</v>
      </c>
      <c r="E2000" s="1" t="s">
        <v>15127</v>
      </c>
      <c r="F2000" s="2"/>
      <c r="G2000" s="2"/>
      <c r="H2000" s="2"/>
    </row>
    <row r="2001" spans="1:8" x14ac:dyDescent="0.25">
      <c r="A2001" s="1"/>
      <c r="B2001" s="1" t="s">
        <v>9134</v>
      </c>
      <c r="C2001" s="1" t="s">
        <v>9135</v>
      </c>
      <c r="D2001" s="22" t="str">
        <f>HYPERLINK("https://rhld.insurance.arkansas.gov/NPILookup?Npi=1194839241","1194839241")</f>
        <v>1194839241</v>
      </c>
      <c r="E2001" s="1" t="s">
        <v>9139</v>
      </c>
      <c r="F2001" s="2"/>
      <c r="G2001" s="2"/>
      <c r="H2001" s="2"/>
    </row>
    <row r="2002" spans="1:8" x14ac:dyDescent="0.25">
      <c r="A2002" s="1"/>
      <c r="B2002" s="1" t="s">
        <v>9134</v>
      </c>
      <c r="C2002" s="1" t="s">
        <v>9135</v>
      </c>
      <c r="D2002" s="22" t="str">
        <f>HYPERLINK("https://rhld.insurance.arkansas.gov/NPILookup?Npi=1215206016","1215206016")</f>
        <v>1215206016</v>
      </c>
      <c r="E2002" s="1" t="s">
        <v>15642</v>
      </c>
      <c r="F2002" s="2"/>
      <c r="G2002" s="2"/>
      <c r="H2002" s="2"/>
    </row>
    <row r="2003" spans="1:8" x14ac:dyDescent="0.25">
      <c r="A2003" s="1"/>
      <c r="B2003" s="1" t="s">
        <v>9134</v>
      </c>
      <c r="C2003" s="1" t="s">
        <v>9135</v>
      </c>
      <c r="D2003" s="22" t="str">
        <f>HYPERLINK("https://rhld.insurance.arkansas.gov/NPILookup?Npi=1235111071","1235111071")</f>
        <v>1235111071</v>
      </c>
      <c r="E2003" s="1" t="s">
        <v>1563</v>
      </c>
      <c r="F2003" s="2"/>
      <c r="G2003" s="2"/>
      <c r="H2003" s="2"/>
    </row>
    <row r="2004" spans="1:8" x14ac:dyDescent="0.25">
      <c r="A2004" s="1"/>
      <c r="B2004" s="1" t="s">
        <v>9134</v>
      </c>
      <c r="C2004" s="1" t="s">
        <v>9135</v>
      </c>
      <c r="D2004" s="22" t="str">
        <f>HYPERLINK("https://rhld.insurance.arkansas.gov/NPILookup?Npi=1235411547","1235411547")</f>
        <v>1235411547</v>
      </c>
      <c r="E2004" s="1" t="s">
        <v>9140</v>
      </c>
      <c r="F2004" s="2"/>
      <c r="G2004" s="2"/>
      <c r="H2004" s="2"/>
    </row>
    <row r="2005" spans="1:8" x14ac:dyDescent="0.25">
      <c r="A2005" s="1"/>
      <c r="B2005" s="1" t="s">
        <v>9134</v>
      </c>
      <c r="C2005" s="1" t="s">
        <v>9135</v>
      </c>
      <c r="D2005" s="22" t="str">
        <f>HYPERLINK("https://rhld.insurance.arkansas.gov/NPILookup?Npi=1235453192","1235453192")</f>
        <v>1235453192</v>
      </c>
      <c r="E2005" s="1" t="s">
        <v>664</v>
      </c>
      <c r="F2005" s="2"/>
      <c r="G2005" s="2"/>
      <c r="H2005" s="2"/>
    </row>
    <row r="2006" spans="1:8" x14ac:dyDescent="0.25">
      <c r="A2006" s="1"/>
      <c r="B2006" s="1" t="s">
        <v>9134</v>
      </c>
      <c r="C2006" s="1" t="s">
        <v>9135</v>
      </c>
      <c r="D2006" s="22" t="str">
        <f>HYPERLINK("https://rhld.insurance.arkansas.gov/NPILookup?Npi=1235633793","1235633793")</f>
        <v>1235633793</v>
      </c>
      <c r="E2006" s="1" t="s">
        <v>9141</v>
      </c>
      <c r="F2006" s="2"/>
      <c r="G2006" s="2"/>
      <c r="H2006" s="2"/>
    </row>
    <row r="2007" spans="1:8" x14ac:dyDescent="0.25">
      <c r="A2007" s="1"/>
      <c r="B2007" s="1" t="s">
        <v>9134</v>
      </c>
      <c r="C2007" s="1" t="s">
        <v>9135</v>
      </c>
      <c r="D2007" s="22" t="str">
        <f>HYPERLINK("https://rhld.insurance.arkansas.gov/NPILookup?Npi=1245277631","1245277631")</f>
        <v>1245277631</v>
      </c>
      <c r="E2007" s="1" t="s">
        <v>15583</v>
      </c>
      <c r="F2007" s="2"/>
      <c r="G2007" s="2"/>
      <c r="H2007" s="2"/>
    </row>
    <row r="2008" spans="1:8" x14ac:dyDescent="0.25">
      <c r="A2008" s="1"/>
      <c r="B2008" s="1" t="s">
        <v>9134</v>
      </c>
      <c r="C2008" s="1" t="s">
        <v>9135</v>
      </c>
      <c r="D2008" s="22" t="str">
        <f>HYPERLINK("https://rhld.insurance.arkansas.gov/NPILookup?Npi=1245284769","1245284769")</f>
        <v>1245284769</v>
      </c>
      <c r="E2008" s="1" t="s">
        <v>1620</v>
      </c>
      <c r="F2008" s="2"/>
      <c r="G2008" s="2"/>
      <c r="H2008" s="2"/>
    </row>
    <row r="2009" spans="1:8" x14ac:dyDescent="0.25">
      <c r="A2009" s="1"/>
      <c r="B2009" s="1" t="s">
        <v>9134</v>
      </c>
      <c r="C2009" s="1" t="s">
        <v>9135</v>
      </c>
      <c r="D2009" s="22" t="str">
        <f>HYPERLINK("https://rhld.insurance.arkansas.gov/NPILookup?Npi=1245360148","1245360148")</f>
        <v>1245360148</v>
      </c>
      <c r="E2009" s="1" t="s">
        <v>9142</v>
      </c>
      <c r="F2009" s="2"/>
      <c r="G2009" s="2"/>
      <c r="H2009" s="2"/>
    </row>
    <row r="2010" spans="1:8" x14ac:dyDescent="0.25">
      <c r="A2010" s="1"/>
      <c r="B2010" s="1" t="s">
        <v>9134</v>
      </c>
      <c r="C2010" s="1" t="s">
        <v>9135</v>
      </c>
      <c r="D2010" s="22" t="str">
        <f>HYPERLINK("https://rhld.insurance.arkansas.gov/NPILookup?Npi=1245770254","1245770254")</f>
        <v>1245770254</v>
      </c>
      <c r="E2010" s="1" t="s">
        <v>9751</v>
      </c>
      <c r="F2010" s="2"/>
      <c r="G2010" s="2"/>
      <c r="H2010" s="2"/>
    </row>
    <row r="2011" spans="1:8" x14ac:dyDescent="0.25">
      <c r="A2011" s="1"/>
      <c r="B2011" s="1" t="s">
        <v>9134</v>
      </c>
      <c r="C2011" s="1" t="s">
        <v>9135</v>
      </c>
      <c r="D2011" s="22" t="str">
        <f>HYPERLINK("https://rhld.insurance.arkansas.gov/NPILookup?Npi=1255727897","1255727897")</f>
        <v>1255727897</v>
      </c>
      <c r="E2011" s="1" t="s">
        <v>15643</v>
      </c>
      <c r="F2011" s="2"/>
      <c r="G2011" s="2"/>
      <c r="H2011" s="2"/>
    </row>
    <row r="2012" spans="1:8" x14ac:dyDescent="0.25">
      <c r="A2012" s="1"/>
      <c r="B2012" s="1" t="s">
        <v>9134</v>
      </c>
      <c r="C2012" s="1" t="s">
        <v>9135</v>
      </c>
      <c r="D2012" s="22" t="str">
        <f>HYPERLINK("https://rhld.insurance.arkansas.gov/NPILookup?Npi=1255875746","1255875746")</f>
        <v>1255875746</v>
      </c>
      <c r="E2012" s="1" t="s">
        <v>15277</v>
      </c>
      <c r="F2012" s="2"/>
      <c r="G2012" s="2"/>
      <c r="H2012" s="2"/>
    </row>
    <row r="2013" spans="1:8" x14ac:dyDescent="0.25">
      <c r="A2013" s="1"/>
      <c r="B2013" s="1" t="s">
        <v>9134</v>
      </c>
      <c r="C2013" s="1" t="s">
        <v>9135</v>
      </c>
      <c r="D2013" s="22" t="str">
        <f>HYPERLINK("https://rhld.insurance.arkansas.gov/NPILookup?Npi=1265407001","1265407001")</f>
        <v>1265407001</v>
      </c>
      <c r="E2013" s="1" t="s">
        <v>1920</v>
      </c>
      <c r="F2013" s="2"/>
      <c r="G2013" s="2"/>
      <c r="H2013" s="2"/>
    </row>
    <row r="2014" spans="1:8" x14ac:dyDescent="0.25">
      <c r="A2014" s="1"/>
      <c r="B2014" s="1" t="s">
        <v>9134</v>
      </c>
      <c r="C2014" s="1" t="s">
        <v>9135</v>
      </c>
      <c r="D2014" s="22" t="str">
        <f>HYPERLINK("https://rhld.insurance.arkansas.gov/NPILookup?Npi=1275504128","1275504128")</f>
        <v>1275504128</v>
      </c>
      <c r="E2014" s="1" t="s">
        <v>15303</v>
      </c>
      <c r="F2014" s="2"/>
      <c r="G2014" s="2"/>
      <c r="H2014" s="2"/>
    </row>
    <row r="2015" spans="1:8" x14ac:dyDescent="0.25">
      <c r="A2015" s="1"/>
      <c r="B2015" s="1" t="s">
        <v>9134</v>
      </c>
      <c r="C2015" s="1" t="s">
        <v>9135</v>
      </c>
      <c r="D2015" s="22" t="str">
        <f>HYPERLINK("https://rhld.insurance.arkansas.gov/NPILookup?Npi=1275523912","1275523912")</f>
        <v>1275523912</v>
      </c>
      <c r="E2015" s="1" t="s">
        <v>15141</v>
      </c>
      <c r="F2015" s="2"/>
      <c r="G2015" s="2"/>
      <c r="H2015" s="2"/>
    </row>
    <row r="2016" spans="1:8" x14ac:dyDescent="0.25">
      <c r="A2016" s="1"/>
      <c r="B2016" s="1" t="s">
        <v>9134</v>
      </c>
      <c r="C2016" s="1" t="s">
        <v>9135</v>
      </c>
      <c r="D2016" s="22" t="str">
        <f>HYPERLINK("https://rhld.insurance.arkansas.gov/NPILookup?Npi=1275708885","1275708885")</f>
        <v>1275708885</v>
      </c>
      <c r="E2016" s="1" t="s">
        <v>1349</v>
      </c>
      <c r="F2016" s="2"/>
      <c r="G2016" s="2"/>
      <c r="H2016" s="2"/>
    </row>
    <row r="2017" spans="1:8" x14ac:dyDescent="0.25">
      <c r="A2017" s="1"/>
      <c r="B2017" s="1" t="s">
        <v>9134</v>
      </c>
      <c r="C2017" s="1" t="s">
        <v>9135</v>
      </c>
      <c r="D2017" s="22" t="str">
        <f>HYPERLINK("https://rhld.insurance.arkansas.gov/NPILookup?Npi=1285005140","1285005140")</f>
        <v>1285005140</v>
      </c>
      <c r="E2017" s="1" t="s">
        <v>3572</v>
      </c>
      <c r="F2017" s="2"/>
      <c r="G2017" s="2"/>
      <c r="H2017" s="2"/>
    </row>
    <row r="2018" spans="1:8" x14ac:dyDescent="0.25">
      <c r="A2018" s="1"/>
      <c r="B2018" s="1" t="s">
        <v>9134</v>
      </c>
      <c r="C2018" s="1" t="s">
        <v>9135</v>
      </c>
      <c r="D2018" s="22" t="str">
        <f>HYPERLINK("https://rhld.insurance.arkansas.gov/NPILookup?Npi=1285047688","1285047688")</f>
        <v>1285047688</v>
      </c>
      <c r="E2018" s="1" t="s">
        <v>15644</v>
      </c>
      <c r="F2018" s="2"/>
      <c r="G2018" s="2"/>
      <c r="H2018" s="2"/>
    </row>
    <row r="2019" spans="1:8" x14ac:dyDescent="0.25">
      <c r="A2019" s="1"/>
      <c r="B2019" s="1" t="s">
        <v>9134</v>
      </c>
      <c r="C2019" s="1" t="s">
        <v>9135</v>
      </c>
      <c r="D2019" s="22" t="str">
        <f>HYPERLINK("https://rhld.insurance.arkansas.gov/NPILookup?Npi=1285676932","1285676932")</f>
        <v>1285676932</v>
      </c>
      <c r="E2019" s="1" t="s">
        <v>666</v>
      </c>
      <c r="F2019" s="2"/>
      <c r="G2019" s="2"/>
      <c r="H2019" s="2"/>
    </row>
    <row r="2020" spans="1:8" x14ac:dyDescent="0.25">
      <c r="A2020" s="1"/>
      <c r="B2020" s="1" t="s">
        <v>9134</v>
      </c>
      <c r="C2020" s="1" t="s">
        <v>9135</v>
      </c>
      <c r="D2020" s="22" t="str">
        <f>HYPERLINK("https://rhld.insurance.arkansas.gov/NPILookup?Npi=1295767689","1295767689")</f>
        <v>1295767689</v>
      </c>
      <c r="E2020" s="1" t="s">
        <v>637</v>
      </c>
      <c r="F2020" s="2"/>
      <c r="G2020" s="2"/>
      <c r="H2020" s="2"/>
    </row>
    <row r="2021" spans="1:8" x14ac:dyDescent="0.25">
      <c r="A2021" s="1"/>
      <c r="B2021" s="1" t="s">
        <v>9134</v>
      </c>
      <c r="C2021" s="1" t="s">
        <v>9135</v>
      </c>
      <c r="D2021" s="22" t="str">
        <f>HYPERLINK("https://rhld.insurance.arkansas.gov/NPILookup?Npi=1295862647","1295862647")</f>
        <v>1295862647</v>
      </c>
      <c r="E2021" s="1" t="s">
        <v>1278</v>
      </c>
      <c r="F2021" s="2"/>
      <c r="G2021" s="2"/>
      <c r="H2021" s="2"/>
    </row>
    <row r="2022" spans="1:8" x14ac:dyDescent="0.25">
      <c r="A2022" s="1"/>
      <c r="B2022" s="1" t="s">
        <v>9134</v>
      </c>
      <c r="C2022" s="1" t="s">
        <v>9135</v>
      </c>
      <c r="D2022" s="22" t="str">
        <f>HYPERLINK("https://rhld.insurance.arkansas.gov/NPILookup?Npi=1306826029","1306826029")</f>
        <v>1306826029</v>
      </c>
      <c r="E2022" s="1" t="s">
        <v>1349</v>
      </c>
      <c r="F2022" s="2"/>
      <c r="G2022" s="2"/>
      <c r="H2022" s="2"/>
    </row>
    <row r="2023" spans="1:8" x14ac:dyDescent="0.25">
      <c r="A2023" s="1"/>
      <c r="B2023" s="1" t="s">
        <v>9134</v>
      </c>
      <c r="C2023" s="1" t="s">
        <v>9135</v>
      </c>
      <c r="D2023" s="22" t="str">
        <f>HYPERLINK("https://rhld.insurance.arkansas.gov/NPILookup?Npi=1306921887","1306921887")</f>
        <v>1306921887</v>
      </c>
      <c r="E2023" s="1" t="s">
        <v>2292</v>
      </c>
      <c r="F2023" s="2"/>
      <c r="G2023" s="2"/>
      <c r="H2023" s="2"/>
    </row>
    <row r="2024" spans="1:8" x14ac:dyDescent="0.25">
      <c r="A2024" s="1"/>
      <c r="B2024" s="1" t="s">
        <v>9134</v>
      </c>
      <c r="C2024" s="1" t="s">
        <v>9135</v>
      </c>
      <c r="D2024" s="22" t="str">
        <f>HYPERLINK("https://rhld.insurance.arkansas.gov/NPILookup?Npi=1316180748","1316180748")</f>
        <v>1316180748</v>
      </c>
      <c r="E2024" s="1" t="s">
        <v>661</v>
      </c>
      <c r="F2024" s="2"/>
      <c r="G2024" s="2"/>
      <c r="H2024" s="2"/>
    </row>
    <row r="2025" spans="1:8" x14ac:dyDescent="0.25">
      <c r="A2025" s="1"/>
      <c r="B2025" s="1" t="s">
        <v>9134</v>
      </c>
      <c r="C2025" s="1" t="s">
        <v>9135</v>
      </c>
      <c r="D2025" s="22" t="str">
        <f>HYPERLINK("https://rhld.insurance.arkansas.gov/NPILookup?Npi=1316902414","1316902414")</f>
        <v>1316902414</v>
      </c>
      <c r="E2025" s="1" t="s">
        <v>15153</v>
      </c>
      <c r="F2025" s="2"/>
      <c r="G2025" s="2"/>
      <c r="H2025" s="2"/>
    </row>
    <row r="2026" spans="1:8" x14ac:dyDescent="0.25">
      <c r="A2026" s="1"/>
      <c r="B2026" s="1" t="s">
        <v>9134</v>
      </c>
      <c r="C2026" s="1" t="s">
        <v>9135</v>
      </c>
      <c r="D2026" s="22" t="str">
        <f>HYPERLINK("https://rhld.insurance.arkansas.gov/NPILookup?Npi=1326040007","1326040007")</f>
        <v>1326040007</v>
      </c>
      <c r="E2026" s="1" t="s">
        <v>1279</v>
      </c>
      <c r="F2026" s="2"/>
      <c r="G2026" s="2"/>
      <c r="H2026" s="2"/>
    </row>
    <row r="2027" spans="1:8" x14ac:dyDescent="0.25">
      <c r="A2027" s="1"/>
      <c r="B2027" s="1" t="s">
        <v>9134</v>
      </c>
      <c r="C2027" s="1" t="s">
        <v>9135</v>
      </c>
      <c r="D2027" s="22" t="str">
        <f>HYPERLINK("https://rhld.insurance.arkansas.gov/NPILookup?Npi=1326152455","1326152455")</f>
        <v>1326152455</v>
      </c>
      <c r="E2027" s="1" t="s">
        <v>9143</v>
      </c>
      <c r="F2027" s="2"/>
      <c r="G2027" s="2"/>
      <c r="H2027" s="2"/>
    </row>
    <row r="2028" spans="1:8" x14ac:dyDescent="0.25">
      <c r="A2028" s="1"/>
      <c r="B2028" s="1" t="s">
        <v>9134</v>
      </c>
      <c r="C2028" s="1" t="s">
        <v>9135</v>
      </c>
      <c r="D2028" s="22" t="str">
        <f>HYPERLINK("https://rhld.insurance.arkansas.gov/NPILookup?Npi=1356773493","1356773493")</f>
        <v>1356773493</v>
      </c>
      <c r="E2028" s="1" t="s">
        <v>9677</v>
      </c>
      <c r="F2028" s="2"/>
      <c r="G2028" s="2"/>
      <c r="H2028" s="2"/>
    </row>
    <row r="2029" spans="1:8" x14ac:dyDescent="0.25">
      <c r="A2029" s="1"/>
      <c r="B2029" s="1" t="s">
        <v>9134</v>
      </c>
      <c r="C2029" s="1" t="s">
        <v>9135</v>
      </c>
      <c r="D2029" s="22" t="str">
        <f>HYPERLINK("https://rhld.insurance.arkansas.gov/NPILookup?Npi=1366404014","1366404014")</f>
        <v>1366404014</v>
      </c>
      <c r="E2029" s="1" t="s">
        <v>709</v>
      </c>
      <c r="F2029" s="2"/>
      <c r="G2029" s="2"/>
      <c r="H2029" s="2"/>
    </row>
    <row r="2030" spans="1:8" x14ac:dyDescent="0.25">
      <c r="A2030" s="1"/>
      <c r="B2030" s="1" t="s">
        <v>9134</v>
      </c>
      <c r="C2030" s="1" t="s">
        <v>9135</v>
      </c>
      <c r="D2030" s="22" t="str">
        <f>HYPERLINK("https://rhld.insurance.arkansas.gov/NPILookup?Npi=1366644361","1366644361")</f>
        <v>1366644361</v>
      </c>
      <c r="E2030" s="1" t="s">
        <v>15645</v>
      </c>
      <c r="F2030" s="2"/>
      <c r="G2030" s="2"/>
      <c r="H2030" s="2"/>
    </row>
    <row r="2031" spans="1:8" x14ac:dyDescent="0.25">
      <c r="A2031" s="1"/>
      <c r="B2031" s="1" t="s">
        <v>9134</v>
      </c>
      <c r="C2031" s="1" t="s">
        <v>9135</v>
      </c>
      <c r="D2031" s="22" t="str">
        <f>HYPERLINK("https://rhld.insurance.arkansas.gov/NPILookup?Npi=1366685992","1366685992")</f>
        <v>1366685992</v>
      </c>
      <c r="E2031" s="1" t="s">
        <v>648</v>
      </c>
      <c r="F2031" s="2"/>
      <c r="G2031" s="2"/>
      <c r="H2031" s="2"/>
    </row>
    <row r="2032" spans="1:8" x14ac:dyDescent="0.25">
      <c r="A2032" s="1"/>
      <c r="B2032" s="1" t="s">
        <v>9134</v>
      </c>
      <c r="C2032" s="1" t="s">
        <v>9135</v>
      </c>
      <c r="D2032" s="22" t="str">
        <f>HYPERLINK("https://rhld.insurance.arkansas.gov/NPILookup?Npi=1366922320","1366922320")</f>
        <v>1366922320</v>
      </c>
      <c r="E2032" s="1" t="s">
        <v>9753</v>
      </c>
      <c r="F2032" s="2"/>
      <c r="G2032" s="2"/>
      <c r="H2032" s="2"/>
    </row>
    <row r="2033" spans="1:8" x14ac:dyDescent="0.25">
      <c r="A2033" s="1"/>
      <c r="B2033" s="1" t="s">
        <v>9134</v>
      </c>
      <c r="C2033" s="1" t="s">
        <v>9135</v>
      </c>
      <c r="D2033" s="22" t="str">
        <f>HYPERLINK("https://rhld.insurance.arkansas.gov/NPILookup?Npi=1386699353","1386699353")</f>
        <v>1386699353</v>
      </c>
      <c r="E2033" s="1" t="s">
        <v>9628</v>
      </c>
      <c r="F2033" s="2"/>
      <c r="G2033" s="2"/>
      <c r="H2033" s="2"/>
    </row>
    <row r="2034" spans="1:8" x14ac:dyDescent="0.25">
      <c r="A2034" s="1"/>
      <c r="B2034" s="1" t="s">
        <v>9134</v>
      </c>
      <c r="C2034" s="1" t="s">
        <v>9135</v>
      </c>
      <c r="D2034" s="22" t="str">
        <f>HYPERLINK("https://rhld.insurance.arkansas.gov/NPILookup?Npi=1396173514","1396173514")</f>
        <v>1396173514</v>
      </c>
      <c r="E2034" s="1" t="s">
        <v>9144</v>
      </c>
      <c r="F2034" s="2"/>
      <c r="G2034" s="2"/>
      <c r="H2034" s="2"/>
    </row>
    <row r="2035" spans="1:8" x14ac:dyDescent="0.25">
      <c r="A2035" s="1"/>
      <c r="B2035" s="1" t="s">
        <v>9134</v>
      </c>
      <c r="C2035" s="1" t="s">
        <v>9135</v>
      </c>
      <c r="D2035" s="22" t="str">
        <f>HYPERLINK("https://rhld.insurance.arkansas.gov/NPILookup?Npi=1396767158","1396767158")</f>
        <v>1396767158</v>
      </c>
      <c r="E2035" s="1" t="s">
        <v>15305</v>
      </c>
      <c r="F2035" s="2"/>
      <c r="G2035" s="2"/>
      <c r="H2035" s="2"/>
    </row>
    <row r="2036" spans="1:8" x14ac:dyDescent="0.25">
      <c r="A2036" s="1"/>
      <c r="B2036" s="1" t="s">
        <v>9134</v>
      </c>
      <c r="C2036" s="1" t="s">
        <v>9135</v>
      </c>
      <c r="D2036" s="22" t="str">
        <f>HYPERLINK("https://rhld.insurance.arkansas.gov/NPILookup?Npi=1417913419","1417913419")</f>
        <v>1417913419</v>
      </c>
      <c r="E2036" s="1" t="s">
        <v>651</v>
      </c>
      <c r="F2036" s="2"/>
      <c r="G2036" s="2"/>
      <c r="H2036" s="2"/>
    </row>
    <row r="2037" spans="1:8" x14ac:dyDescent="0.25">
      <c r="A2037" s="1"/>
      <c r="B2037" s="1" t="s">
        <v>9134</v>
      </c>
      <c r="C2037" s="1" t="s">
        <v>9135</v>
      </c>
      <c r="D2037" s="22" t="str">
        <f>HYPERLINK("https://rhld.insurance.arkansas.gov/NPILookup?Npi=1437222312","1437222312")</f>
        <v>1437222312</v>
      </c>
      <c r="E2037" s="1" t="s">
        <v>8904</v>
      </c>
      <c r="F2037" s="2"/>
      <c r="G2037" s="2"/>
      <c r="H2037" s="2"/>
    </row>
    <row r="2038" spans="1:8" x14ac:dyDescent="0.25">
      <c r="A2038" s="1"/>
      <c r="B2038" s="1" t="s">
        <v>9134</v>
      </c>
      <c r="C2038" s="1" t="s">
        <v>9135</v>
      </c>
      <c r="D2038" s="22" t="str">
        <f>HYPERLINK("https://rhld.insurance.arkansas.gov/NPILookup?Npi=1437589157","1437589157")</f>
        <v>1437589157</v>
      </c>
      <c r="E2038" s="1" t="s">
        <v>15646</v>
      </c>
      <c r="F2038" s="2"/>
      <c r="G2038" s="2"/>
      <c r="H2038" s="2"/>
    </row>
    <row r="2039" spans="1:8" x14ac:dyDescent="0.25">
      <c r="A2039" s="1"/>
      <c r="B2039" s="1" t="s">
        <v>9134</v>
      </c>
      <c r="C2039" s="1" t="s">
        <v>9135</v>
      </c>
      <c r="D2039" s="22" t="str">
        <f>HYPERLINK("https://rhld.insurance.arkansas.gov/NPILookup?Npi=1437634524","1437634524")</f>
        <v>1437634524</v>
      </c>
      <c r="E2039" s="1" t="s">
        <v>15175</v>
      </c>
      <c r="F2039" s="2"/>
      <c r="G2039" s="2"/>
      <c r="H2039" s="2"/>
    </row>
    <row r="2040" spans="1:8" x14ac:dyDescent="0.25">
      <c r="A2040" s="1"/>
      <c r="B2040" s="1" t="s">
        <v>9134</v>
      </c>
      <c r="C2040" s="1" t="s">
        <v>9135</v>
      </c>
      <c r="D2040" s="22" t="str">
        <f>HYPERLINK("https://rhld.insurance.arkansas.gov/NPILookup?Npi=1447769559","1447769559")</f>
        <v>1447769559</v>
      </c>
      <c r="E2040" s="1" t="s">
        <v>15647</v>
      </c>
      <c r="F2040" s="2"/>
      <c r="G2040" s="2"/>
      <c r="H2040" s="2"/>
    </row>
    <row r="2041" spans="1:8" x14ac:dyDescent="0.25">
      <c r="A2041" s="1"/>
      <c r="B2041" s="1" t="s">
        <v>9134</v>
      </c>
      <c r="C2041" s="1" t="s">
        <v>9135</v>
      </c>
      <c r="D2041" s="22" t="str">
        <f>HYPERLINK("https://rhld.insurance.arkansas.gov/NPILookup?Npi=1457306326","1457306326")</f>
        <v>1457306326</v>
      </c>
      <c r="E2041" s="1" t="s">
        <v>15295</v>
      </c>
      <c r="F2041" s="2"/>
      <c r="G2041" s="2"/>
      <c r="H2041" s="2"/>
    </row>
    <row r="2042" spans="1:8" x14ac:dyDescent="0.25">
      <c r="A2042" s="1"/>
      <c r="B2042" s="1" t="s">
        <v>9134</v>
      </c>
      <c r="C2042" s="1" t="s">
        <v>9135</v>
      </c>
      <c r="D2042" s="22" t="str">
        <f>HYPERLINK("https://rhld.insurance.arkansas.gov/NPILookup?Npi=1518274927","1518274927")</f>
        <v>1518274927</v>
      </c>
      <c r="E2042" s="1" t="s">
        <v>9756</v>
      </c>
      <c r="F2042" s="2"/>
      <c r="G2042" s="2"/>
      <c r="H2042" s="2"/>
    </row>
    <row r="2043" spans="1:8" x14ac:dyDescent="0.25">
      <c r="A2043" s="1"/>
      <c r="B2043" s="1" t="s">
        <v>9134</v>
      </c>
      <c r="C2043" s="1" t="s">
        <v>9135</v>
      </c>
      <c r="D2043" s="22" t="str">
        <f>HYPERLINK("https://rhld.insurance.arkansas.gov/NPILookup?Npi=1518377837","1518377837")</f>
        <v>1518377837</v>
      </c>
      <c r="E2043" s="1" t="s">
        <v>9145</v>
      </c>
      <c r="F2043" s="2"/>
      <c r="G2043" s="2"/>
      <c r="H2043" s="2"/>
    </row>
    <row r="2044" spans="1:8" x14ac:dyDescent="0.25">
      <c r="A2044" s="1"/>
      <c r="B2044" s="1" t="s">
        <v>9134</v>
      </c>
      <c r="C2044" s="1" t="s">
        <v>9135</v>
      </c>
      <c r="D2044" s="22" t="str">
        <f>HYPERLINK("https://rhld.insurance.arkansas.gov/NPILookup?Npi=1528360989","1528360989")</f>
        <v>1528360989</v>
      </c>
      <c r="E2044" s="1" t="s">
        <v>15296</v>
      </c>
      <c r="F2044" s="2"/>
      <c r="G2044" s="2"/>
      <c r="H2044" s="2"/>
    </row>
    <row r="2045" spans="1:8" x14ac:dyDescent="0.25">
      <c r="A2045" s="1"/>
      <c r="B2045" s="1" t="s">
        <v>9134</v>
      </c>
      <c r="C2045" s="1" t="s">
        <v>9135</v>
      </c>
      <c r="D2045" s="22" t="str">
        <f>HYPERLINK("https://rhld.insurance.arkansas.gov/NPILookup?Npi=1568406536","1568406536")</f>
        <v>1568406536</v>
      </c>
      <c r="E2045" s="1" t="s">
        <v>10103</v>
      </c>
      <c r="F2045" s="2"/>
      <c r="G2045" s="2"/>
      <c r="H2045" s="2"/>
    </row>
    <row r="2046" spans="1:8" x14ac:dyDescent="0.25">
      <c r="A2046" s="1"/>
      <c r="B2046" s="1" t="s">
        <v>9134</v>
      </c>
      <c r="C2046" s="1" t="s">
        <v>9135</v>
      </c>
      <c r="D2046" s="22" t="str">
        <f>HYPERLINK("https://rhld.insurance.arkansas.gov/NPILookup?Npi=1568433480","1568433480")</f>
        <v>1568433480</v>
      </c>
      <c r="E2046" s="1" t="s">
        <v>9631</v>
      </c>
      <c r="F2046" s="2"/>
      <c r="G2046" s="2"/>
      <c r="H2046" s="2"/>
    </row>
    <row r="2047" spans="1:8" x14ac:dyDescent="0.25">
      <c r="A2047" s="1"/>
      <c r="B2047" s="1" t="s">
        <v>9134</v>
      </c>
      <c r="C2047" s="1" t="s">
        <v>9135</v>
      </c>
      <c r="D2047" s="22" t="str">
        <f>HYPERLINK("https://rhld.insurance.arkansas.gov/NPILookup?Npi=1568601425","1568601425")</f>
        <v>1568601425</v>
      </c>
      <c r="E2047" s="1" t="s">
        <v>15648</v>
      </c>
      <c r="F2047" s="2"/>
      <c r="G2047" s="2"/>
      <c r="H2047" s="2"/>
    </row>
    <row r="2048" spans="1:8" x14ac:dyDescent="0.25">
      <c r="A2048" s="1"/>
      <c r="B2048" s="1" t="s">
        <v>9134</v>
      </c>
      <c r="C2048" s="1" t="s">
        <v>9135</v>
      </c>
      <c r="D2048" s="22" t="str">
        <f>HYPERLINK("https://rhld.insurance.arkansas.gov/NPILookup?Npi=1578527172","1578527172")</f>
        <v>1578527172</v>
      </c>
      <c r="E2048" s="1" t="s">
        <v>8896</v>
      </c>
      <c r="F2048" s="2"/>
      <c r="G2048" s="2"/>
      <c r="H2048" s="2"/>
    </row>
    <row r="2049" spans="1:8" x14ac:dyDescent="0.25">
      <c r="A2049" s="1"/>
      <c r="B2049" s="1" t="s">
        <v>9134</v>
      </c>
      <c r="C2049" s="1" t="s">
        <v>9135</v>
      </c>
      <c r="D2049" s="22" t="str">
        <f>HYPERLINK("https://rhld.insurance.arkansas.gov/NPILookup?Npi=1578984357","1578984357")</f>
        <v>1578984357</v>
      </c>
      <c r="E2049" s="1" t="s">
        <v>15649</v>
      </c>
      <c r="F2049" s="2"/>
      <c r="G2049" s="2"/>
      <c r="H2049" s="2"/>
    </row>
    <row r="2050" spans="1:8" x14ac:dyDescent="0.25">
      <c r="A2050" s="1"/>
      <c r="B2050" s="1" t="s">
        <v>9134</v>
      </c>
      <c r="C2050" s="1" t="s">
        <v>9135</v>
      </c>
      <c r="D2050" s="22" t="str">
        <f>HYPERLINK("https://rhld.insurance.arkansas.gov/NPILookup?Npi=1598373359","1598373359")</f>
        <v>1598373359</v>
      </c>
      <c r="E2050" s="1" t="s">
        <v>5381</v>
      </c>
      <c r="F2050" s="2"/>
      <c r="G2050" s="2"/>
      <c r="H2050" s="2"/>
    </row>
    <row r="2051" spans="1:8" x14ac:dyDescent="0.25">
      <c r="A2051" s="1"/>
      <c r="B2051" s="1" t="s">
        <v>9134</v>
      </c>
      <c r="C2051" s="1" t="s">
        <v>9135</v>
      </c>
      <c r="D2051" s="22" t="str">
        <f>HYPERLINK("https://rhld.insurance.arkansas.gov/NPILookup?Npi=1609804822","1609804822")</f>
        <v>1609804822</v>
      </c>
      <c r="E2051" s="1" t="s">
        <v>15297</v>
      </c>
      <c r="F2051" s="2"/>
      <c r="G2051" s="2"/>
      <c r="H2051" s="2"/>
    </row>
    <row r="2052" spans="1:8" x14ac:dyDescent="0.25">
      <c r="A2052" s="1"/>
      <c r="B2052" s="1" t="s">
        <v>9134</v>
      </c>
      <c r="C2052" s="1" t="s">
        <v>9135</v>
      </c>
      <c r="D2052" s="22" t="str">
        <f>HYPERLINK("https://rhld.insurance.arkansas.gov/NPILookup?Npi=1619133394","1619133394")</f>
        <v>1619133394</v>
      </c>
      <c r="E2052" s="1" t="s">
        <v>9146</v>
      </c>
      <c r="F2052" s="2"/>
      <c r="G2052" s="2"/>
      <c r="H2052" s="2"/>
    </row>
    <row r="2053" spans="1:8" x14ac:dyDescent="0.25">
      <c r="A2053" s="1"/>
      <c r="B2053" s="1" t="s">
        <v>9134</v>
      </c>
      <c r="C2053" s="1" t="s">
        <v>9135</v>
      </c>
      <c r="D2053" s="22" t="str">
        <f>HYPERLINK("https://rhld.insurance.arkansas.gov/NPILookup?Npi=1619365079","1619365079")</f>
        <v>1619365079</v>
      </c>
      <c r="E2053" s="1" t="s">
        <v>1721</v>
      </c>
      <c r="F2053" s="2"/>
      <c r="G2053" s="2"/>
      <c r="H2053" s="2"/>
    </row>
    <row r="2054" spans="1:8" x14ac:dyDescent="0.25">
      <c r="A2054" s="1"/>
      <c r="B2054" s="1" t="s">
        <v>9134</v>
      </c>
      <c r="C2054" s="1" t="s">
        <v>9135</v>
      </c>
      <c r="D2054" s="22" t="str">
        <f>HYPERLINK("https://rhld.insurance.arkansas.gov/NPILookup?Npi=1629011002","1629011002")</f>
        <v>1629011002</v>
      </c>
      <c r="E2054" s="1" t="s">
        <v>15212</v>
      </c>
      <c r="F2054" s="2"/>
      <c r="G2054" s="2"/>
      <c r="H2054" s="2"/>
    </row>
    <row r="2055" spans="1:8" x14ac:dyDescent="0.25">
      <c r="A2055" s="1"/>
      <c r="B2055" s="1" t="s">
        <v>9134</v>
      </c>
      <c r="C2055" s="1" t="s">
        <v>9135</v>
      </c>
      <c r="D2055" s="22" t="str">
        <f>HYPERLINK("https://rhld.insurance.arkansas.gov/NPILookup?Npi=1629164512","1629164512")</f>
        <v>1629164512</v>
      </c>
      <c r="E2055" s="1" t="s">
        <v>9147</v>
      </c>
      <c r="F2055" s="2"/>
      <c r="G2055" s="2"/>
      <c r="H2055" s="2"/>
    </row>
    <row r="2056" spans="1:8" x14ac:dyDescent="0.25">
      <c r="A2056" s="1"/>
      <c r="B2056" s="1" t="s">
        <v>9134</v>
      </c>
      <c r="C2056" s="1" t="s">
        <v>9135</v>
      </c>
      <c r="D2056" s="22" t="str">
        <f>HYPERLINK("https://rhld.insurance.arkansas.gov/NPILookup?Npi=1629604434","1629604434")</f>
        <v>1629604434</v>
      </c>
      <c r="E2056" s="1" t="s">
        <v>15650</v>
      </c>
      <c r="F2056" s="2"/>
      <c r="G2056" s="2"/>
      <c r="H2056" s="2"/>
    </row>
    <row r="2057" spans="1:8" x14ac:dyDescent="0.25">
      <c r="A2057" s="1"/>
      <c r="B2057" s="1" t="s">
        <v>9134</v>
      </c>
      <c r="C2057" s="1" t="s">
        <v>9135</v>
      </c>
      <c r="D2057" s="22" t="str">
        <f>HYPERLINK("https://rhld.insurance.arkansas.gov/NPILookup?Npi=1689628232","1689628232")</f>
        <v>1689628232</v>
      </c>
      <c r="E2057" s="1" t="s">
        <v>15224</v>
      </c>
      <c r="F2057" s="2"/>
      <c r="G2057" s="2"/>
      <c r="H2057" s="2"/>
    </row>
    <row r="2058" spans="1:8" x14ac:dyDescent="0.25">
      <c r="A2058" s="1"/>
      <c r="B2058" s="1" t="s">
        <v>9134</v>
      </c>
      <c r="C2058" s="1" t="s">
        <v>9135</v>
      </c>
      <c r="D2058" s="22" t="str">
        <f>HYPERLINK("https://rhld.insurance.arkansas.gov/NPILookup?Npi=1700407541","1700407541")</f>
        <v>1700407541</v>
      </c>
      <c r="E2058" s="1" t="s">
        <v>1162</v>
      </c>
      <c r="F2058" s="2"/>
      <c r="G2058" s="2"/>
      <c r="H2058" s="2"/>
    </row>
    <row r="2059" spans="1:8" x14ac:dyDescent="0.25">
      <c r="A2059" s="1"/>
      <c r="B2059" s="1" t="s">
        <v>9134</v>
      </c>
      <c r="C2059" s="1" t="s">
        <v>9135</v>
      </c>
      <c r="D2059" s="22" t="str">
        <f>HYPERLINK("https://rhld.insurance.arkansas.gov/NPILookup?Npi=1710463146","1710463146")</f>
        <v>1710463146</v>
      </c>
      <c r="E2059" s="1" t="s">
        <v>2450</v>
      </c>
      <c r="F2059" s="2"/>
      <c r="G2059" s="2"/>
      <c r="H2059" s="2"/>
    </row>
    <row r="2060" spans="1:8" x14ac:dyDescent="0.25">
      <c r="A2060" s="1"/>
      <c r="B2060" s="1" t="s">
        <v>9134</v>
      </c>
      <c r="C2060" s="1" t="s">
        <v>9135</v>
      </c>
      <c r="D2060" s="22" t="str">
        <f>HYPERLINK("https://rhld.insurance.arkansas.gov/NPILookup?Npi=1710931985","1710931985")</f>
        <v>1710931985</v>
      </c>
      <c r="E2060" s="1" t="s">
        <v>15232</v>
      </c>
      <c r="F2060" s="2"/>
      <c r="G2060" s="2"/>
      <c r="H2060" s="2"/>
    </row>
    <row r="2061" spans="1:8" x14ac:dyDescent="0.25">
      <c r="A2061" s="1"/>
      <c r="B2061" s="1" t="s">
        <v>9134</v>
      </c>
      <c r="C2061" s="1" t="s">
        <v>9135</v>
      </c>
      <c r="D2061" s="22" t="str">
        <f>HYPERLINK("https://rhld.insurance.arkansas.gov/NPILookup?Npi=1710943881","1710943881")</f>
        <v>1710943881</v>
      </c>
      <c r="E2061" s="1" t="s">
        <v>654</v>
      </c>
      <c r="F2061" s="2"/>
      <c r="G2061" s="2"/>
      <c r="H2061" s="2"/>
    </row>
    <row r="2062" spans="1:8" x14ac:dyDescent="0.25">
      <c r="A2062" s="1"/>
      <c r="B2062" s="1" t="s">
        <v>9134</v>
      </c>
      <c r="C2062" s="1" t="s">
        <v>9135</v>
      </c>
      <c r="D2062" s="22" t="str">
        <f>HYPERLINK("https://rhld.insurance.arkansas.gov/NPILookup?Npi=1720003643","1720003643")</f>
        <v>1720003643</v>
      </c>
      <c r="E2062" s="1" t="s">
        <v>3573</v>
      </c>
      <c r="F2062" s="2"/>
      <c r="G2062" s="2"/>
      <c r="H2062" s="2"/>
    </row>
    <row r="2063" spans="1:8" x14ac:dyDescent="0.25">
      <c r="A2063" s="1"/>
      <c r="B2063" s="1" t="s">
        <v>9134</v>
      </c>
      <c r="C2063" s="1" t="s">
        <v>9135</v>
      </c>
      <c r="D2063" s="22" t="str">
        <f>HYPERLINK("https://rhld.insurance.arkansas.gov/NPILookup?Npi=1750828968","1750828968")</f>
        <v>1750828968</v>
      </c>
      <c r="E2063" s="1" t="s">
        <v>9148</v>
      </c>
      <c r="F2063" s="2"/>
      <c r="G2063" s="2"/>
      <c r="H2063" s="2"/>
    </row>
    <row r="2064" spans="1:8" x14ac:dyDescent="0.25">
      <c r="A2064" s="1"/>
      <c r="B2064" s="1" t="s">
        <v>9134</v>
      </c>
      <c r="C2064" s="1" t="s">
        <v>9135</v>
      </c>
      <c r="D2064" s="22" t="str">
        <f>HYPERLINK("https://rhld.insurance.arkansas.gov/NPILookup?Npi=1770802217","1770802217")</f>
        <v>1770802217</v>
      </c>
      <c r="E2064" s="1" t="s">
        <v>667</v>
      </c>
      <c r="F2064" s="2"/>
      <c r="G2064" s="2"/>
      <c r="H2064" s="2"/>
    </row>
    <row r="2065" spans="1:8" x14ac:dyDescent="0.25">
      <c r="A2065" s="1"/>
      <c r="B2065" s="1" t="s">
        <v>9134</v>
      </c>
      <c r="C2065" s="1" t="s">
        <v>9135</v>
      </c>
      <c r="D2065" s="22" t="str">
        <f>HYPERLINK("https://rhld.insurance.arkansas.gov/NPILookup?Npi=1780684431","1780684431")</f>
        <v>1780684431</v>
      </c>
      <c r="E2065" s="1" t="s">
        <v>9662</v>
      </c>
      <c r="F2065" s="2"/>
      <c r="G2065" s="2"/>
      <c r="H2065" s="2"/>
    </row>
    <row r="2066" spans="1:8" x14ac:dyDescent="0.25">
      <c r="A2066" s="1"/>
      <c r="B2066" s="1" t="s">
        <v>9134</v>
      </c>
      <c r="C2066" s="1" t="s">
        <v>9135</v>
      </c>
      <c r="D2066" s="22" t="str">
        <f>HYPERLINK("https://rhld.insurance.arkansas.gov/NPILookup?Npi=1790206910","1790206910")</f>
        <v>1790206910</v>
      </c>
      <c r="E2066" s="1" t="s">
        <v>15651</v>
      </c>
      <c r="F2066" s="2"/>
      <c r="G2066" s="2"/>
      <c r="H2066" s="2"/>
    </row>
    <row r="2067" spans="1:8" x14ac:dyDescent="0.25">
      <c r="A2067" s="1"/>
      <c r="B2067" s="1" t="s">
        <v>9134</v>
      </c>
      <c r="C2067" s="1" t="s">
        <v>9135</v>
      </c>
      <c r="D2067" s="22" t="str">
        <f>HYPERLINK("https://rhld.insurance.arkansas.gov/NPILookup?Npi=1790773158","1790773158")</f>
        <v>1790773158</v>
      </c>
      <c r="E2067" s="1" t="s">
        <v>9633</v>
      </c>
      <c r="F2067" s="2"/>
      <c r="G2067" s="2"/>
      <c r="H2067" s="2"/>
    </row>
    <row r="2068" spans="1:8" x14ac:dyDescent="0.25">
      <c r="A2068" s="1"/>
      <c r="B2068" s="1" t="s">
        <v>9134</v>
      </c>
      <c r="C2068" s="1" t="s">
        <v>9135</v>
      </c>
      <c r="D2068" s="22" t="str">
        <f>HYPERLINK("https://rhld.insurance.arkansas.gov/NPILookup?Npi=1790775229","1790775229")</f>
        <v>1790775229</v>
      </c>
      <c r="E2068" s="1" t="s">
        <v>657</v>
      </c>
      <c r="F2068" s="2"/>
      <c r="G2068" s="2"/>
      <c r="H2068" s="2"/>
    </row>
    <row r="2069" spans="1:8" x14ac:dyDescent="0.25">
      <c r="A2069" s="1"/>
      <c r="B2069" s="1" t="s">
        <v>9134</v>
      </c>
      <c r="C2069" s="1" t="s">
        <v>9135</v>
      </c>
      <c r="D2069" s="22" t="str">
        <f>HYPERLINK("https://rhld.insurance.arkansas.gov/NPILookup?Npi=1821272501","1821272501")</f>
        <v>1821272501</v>
      </c>
      <c r="E2069" s="1" t="s">
        <v>15652</v>
      </c>
      <c r="F2069" s="2"/>
      <c r="G2069" s="2"/>
      <c r="H2069" s="2"/>
    </row>
    <row r="2070" spans="1:8" x14ac:dyDescent="0.25">
      <c r="A2070" s="1"/>
      <c r="B2070" s="1" t="s">
        <v>9134</v>
      </c>
      <c r="C2070" s="1" t="s">
        <v>9135</v>
      </c>
      <c r="D2070" s="22" t="str">
        <f>HYPERLINK("https://rhld.insurance.arkansas.gov/NPILookup?Npi=1831436286","1831436286")</f>
        <v>1831436286</v>
      </c>
      <c r="E2070" s="1" t="s">
        <v>15653</v>
      </c>
      <c r="F2070" s="2"/>
      <c r="G2070" s="2"/>
      <c r="H2070" s="2"/>
    </row>
    <row r="2071" spans="1:8" x14ac:dyDescent="0.25">
      <c r="A2071" s="1"/>
      <c r="B2071" s="1" t="s">
        <v>9134</v>
      </c>
      <c r="C2071" s="1" t="s">
        <v>9135</v>
      </c>
      <c r="D2071" s="22" t="str">
        <f>HYPERLINK("https://rhld.insurance.arkansas.gov/NPILookup?Npi=1841241833","1841241833")</f>
        <v>1841241833</v>
      </c>
      <c r="E2071" s="1" t="s">
        <v>655</v>
      </c>
      <c r="F2071" s="2"/>
      <c r="G2071" s="2"/>
      <c r="H2071" s="2"/>
    </row>
    <row r="2072" spans="1:8" x14ac:dyDescent="0.25">
      <c r="A2072" s="1"/>
      <c r="B2072" s="1" t="s">
        <v>9134</v>
      </c>
      <c r="C2072" s="1" t="s">
        <v>9135</v>
      </c>
      <c r="D2072" s="22" t="str">
        <f>HYPERLINK("https://rhld.insurance.arkansas.gov/NPILookup?Npi=1841898293","1841898293")</f>
        <v>1841898293</v>
      </c>
      <c r="E2072" s="1" t="s">
        <v>15291</v>
      </c>
      <c r="F2072" s="2"/>
      <c r="G2072" s="2"/>
      <c r="H2072" s="2"/>
    </row>
    <row r="2073" spans="1:8" x14ac:dyDescent="0.25">
      <c r="A2073" s="1"/>
      <c r="B2073" s="1" t="s">
        <v>9134</v>
      </c>
      <c r="C2073" s="1" t="s">
        <v>9135</v>
      </c>
      <c r="D2073" s="22" t="str">
        <f>HYPERLINK("https://rhld.insurance.arkansas.gov/NPILookup?Npi=1851484695","1851484695")</f>
        <v>1851484695</v>
      </c>
      <c r="E2073" s="1" t="s">
        <v>9759</v>
      </c>
      <c r="F2073" s="2"/>
      <c r="G2073" s="2"/>
      <c r="H2073" s="2"/>
    </row>
    <row r="2074" spans="1:8" x14ac:dyDescent="0.25">
      <c r="A2074" s="1"/>
      <c r="B2074" s="1" t="s">
        <v>9134</v>
      </c>
      <c r="C2074" s="1" t="s">
        <v>9135</v>
      </c>
      <c r="D2074" s="22" t="str">
        <f>HYPERLINK("https://rhld.insurance.arkansas.gov/NPILookup?Npi=1851490841","1851490841")</f>
        <v>1851490841</v>
      </c>
      <c r="E2074" s="1" t="s">
        <v>15654</v>
      </c>
      <c r="F2074" s="2"/>
      <c r="G2074" s="2"/>
      <c r="H2074" s="2"/>
    </row>
    <row r="2075" spans="1:8" x14ac:dyDescent="0.25">
      <c r="A2075" s="1"/>
      <c r="B2075" s="1" t="s">
        <v>9134</v>
      </c>
      <c r="C2075" s="1" t="s">
        <v>9135</v>
      </c>
      <c r="D2075" s="22" t="str">
        <f>HYPERLINK("https://rhld.insurance.arkansas.gov/NPILookup?Npi=1851796676","1851796676")</f>
        <v>1851796676</v>
      </c>
      <c r="E2075" s="1" t="s">
        <v>9149</v>
      </c>
      <c r="F2075" s="2"/>
      <c r="G2075" s="2"/>
      <c r="H2075" s="2"/>
    </row>
    <row r="2076" spans="1:8" x14ac:dyDescent="0.25">
      <c r="A2076" s="1"/>
      <c r="B2076" s="1" t="s">
        <v>9134</v>
      </c>
      <c r="C2076" s="1" t="s">
        <v>9135</v>
      </c>
      <c r="D2076" s="22" t="str">
        <f>HYPERLINK("https://rhld.insurance.arkansas.gov/NPILookup?Npi=1851812176","1851812176")</f>
        <v>1851812176</v>
      </c>
      <c r="E2076" s="1" t="s">
        <v>658</v>
      </c>
      <c r="F2076" s="2"/>
      <c r="G2076" s="2"/>
      <c r="H2076" s="2"/>
    </row>
    <row r="2077" spans="1:8" x14ac:dyDescent="0.25">
      <c r="A2077" s="1"/>
      <c r="B2077" s="1" t="s">
        <v>9134</v>
      </c>
      <c r="C2077" s="1" t="s">
        <v>9135</v>
      </c>
      <c r="D2077" s="22" t="str">
        <f>HYPERLINK("https://rhld.insurance.arkansas.gov/NPILookup?Npi=1881788933","1881788933")</f>
        <v>1881788933</v>
      </c>
      <c r="E2077" s="1" t="s">
        <v>2141</v>
      </c>
      <c r="F2077" s="2"/>
      <c r="G2077" s="2"/>
      <c r="H2077" s="2"/>
    </row>
    <row r="2078" spans="1:8" x14ac:dyDescent="0.25">
      <c r="A2078" s="1"/>
      <c r="B2078" s="1" t="s">
        <v>9134</v>
      </c>
      <c r="C2078" s="1" t="s">
        <v>9135</v>
      </c>
      <c r="D2078" s="22" t="str">
        <f>HYPERLINK("https://rhld.insurance.arkansas.gov/NPILookup?Npi=1891781837","1891781837")</f>
        <v>1891781837</v>
      </c>
      <c r="E2078" s="1" t="s">
        <v>628</v>
      </c>
      <c r="F2078" s="2"/>
      <c r="G2078" s="2"/>
      <c r="H2078" s="2"/>
    </row>
    <row r="2079" spans="1:8" x14ac:dyDescent="0.25">
      <c r="A2079" s="1"/>
      <c r="B2079" s="1" t="s">
        <v>9134</v>
      </c>
      <c r="C2079" s="1" t="s">
        <v>9135</v>
      </c>
      <c r="D2079" s="22" t="str">
        <f>HYPERLINK("https://rhld.insurance.arkansas.gov/NPILookup?Npi=1902051816","1902051816")</f>
        <v>1902051816</v>
      </c>
      <c r="E2079" s="1" t="s">
        <v>15259</v>
      </c>
      <c r="F2079" s="2"/>
      <c r="G2079" s="2"/>
      <c r="H2079" s="2"/>
    </row>
    <row r="2080" spans="1:8" x14ac:dyDescent="0.25">
      <c r="A2080" s="1"/>
      <c r="B2080" s="1" t="s">
        <v>9134</v>
      </c>
      <c r="C2080" s="1" t="s">
        <v>9135</v>
      </c>
      <c r="D2080" s="22" t="str">
        <f>HYPERLINK("https://rhld.insurance.arkansas.gov/NPILookup?Npi=1902073620","1902073620")</f>
        <v>1902073620</v>
      </c>
      <c r="E2080" s="1" t="s">
        <v>15318</v>
      </c>
      <c r="F2080" s="2"/>
      <c r="G2080" s="2"/>
      <c r="H2080" s="2"/>
    </row>
    <row r="2081" spans="1:8" x14ac:dyDescent="0.25">
      <c r="A2081" s="1"/>
      <c r="B2081" s="1" t="s">
        <v>9134</v>
      </c>
      <c r="C2081" s="1" t="s">
        <v>9135</v>
      </c>
      <c r="D2081" s="22" t="str">
        <f>HYPERLINK("https://rhld.insurance.arkansas.gov/NPILookup?Npi=1902842255","1902842255")</f>
        <v>1902842255</v>
      </c>
      <c r="E2081" s="1" t="s">
        <v>8899</v>
      </c>
      <c r="F2081" s="2"/>
      <c r="G2081" s="2"/>
      <c r="H2081" s="2"/>
    </row>
    <row r="2082" spans="1:8" x14ac:dyDescent="0.25">
      <c r="A2082" s="1"/>
      <c r="B2082" s="1" t="s">
        <v>9134</v>
      </c>
      <c r="C2082" s="1" t="s">
        <v>9135</v>
      </c>
      <c r="D2082" s="22" t="str">
        <f>HYPERLINK("https://rhld.insurance.arkansas.gov/NPILookup?Npi=1902972375","1902972375")</f>
        <v>1902972375</v>
      </c>
      <c r="E2082" s="1" t="s">
        <v>9150</v>
      </c>
      <c r="F2082" s="2"/>
      <c r="G2082" s="2"/>
      <c r="H2082" s="2"/>
    </row>
    <row r="2083" spans="1:8" x14ac:dyDescent="0.25">
      <c r="A2083" s="1"/>
      <c r="B2083" s="1" t="s">
        <v>9134</v>
      </c>
      <c r="C2083" s="1" t="s">
        <v>9135</v>
      </c>
      <c r="D2083" s="22" t="str">
        <f>HYPERLINK("https://rhld.insurance.arkansas.gov/NPILookup?Npi=1912481649","1912481649")</f>
        <v>1912481649</v>
      </c>
      <c r="E2083" s="1" t="s">
        <v>9151</v>
      </c>
      <c r="F2083" s="2"/>
      <c r="G2083" s="2"/>
      <c r="H2083" s="2"/>
    </row>
    <row r="2084" spans="1:8" x14ac:dyDescent="0.25">
      <c r="A2084" s="1"/>
      <c r="B2084" s="1" t="s">
        <v>9134</v>
      </c>
      <c r="C2084" s="1" t="s">
        <v>9135</v>
      </c>
      <c r="D2084" s="22" t="str">
        <f>HYPERLINK("https://rhld.insurance.arkansas.gov/NPILookup?Npi=1912914912","1912914912")</f>
        <v>1912914912</v>
      </c>
      <c r="E2084" s="1" t="s">
        <v>14343</v>
      </c>
      <c r="F2084" s="2"/>
      <c r="G2084" s="2"/>
      <c r="H2084" s="2"/>
    </row>
    <row r="2085" spans="1:8" x14ac:dyDescent="0.25">
      <c r="A2085" s="1"/>
      <c r="B2085" s="1" t="s">
        <v>9134</v>
      </c>
      <c r="C2085" s="1" t="s">
        <v>9135</v>
      </c>
      <c r="D2085" s="22" t="str">
        <f>HYPERLINK("https://rhld.insurance.arkansas.gov/NPILookup?Npi=1912978875","1912978875")</f>
        <v>1912978875</v>
      </c>
      <c r="E2085" s="1" t="s">
        <v>652</v>
      </c>
      <c r="F2085" s="2"/>
      <c r="G2085" s="2"/>
      <c r="H2085" s="2"/>
    </row>
    <row r="2086" spans="1:8" x14ac:dyDescent="0.25">
      <c r="A2086" s="1"/>
      <c r="B2086" s="1" t="s">
        <v>9134</v>
      </c>
      <c r="C2086" s="1" t="s">
        <v>9135</v>
      </c>
      <c r="D2086" s="22" t="str">
        <f>HYPERLINK("https://rhld.insurance.arkansas.gov/NPILookup?Npi=1922043686","1922043686")</f>
        <v>1922043686</v>
      </c>
      <c r="E2086" s="1" t="s">
        <v>1543</v>
      </c>
      <c r="F2086" s="2"/>
      <c r="G2086" s="2"/>
      <c r="H2086" s="2"/>
    </row>
    <row r="2087" spans="1:8" x14ac:dyDescent="0.25">
      <c r="A2087" s="1"/>
      <c r="B2087" s="1" t="s">
        <v>9134</v>
      </c>
      <c r="C2087" s="1" t="s">
        <v>9135</v>
      </c>
      <c r="D2087" s="22" t="str">
        <f>HYPERLINK("https://rhld.insurance.arkansas.gov/NPILookup?Npi=1922353754","1922353754")</f>
        <v>1922353754</v>
      </c>
      <c r="E2087" s="1" t="s">
        <v>1076</v>
      </c>
      <c r="F2087" s="2"/>
      <c r="G2087" s="2"/>
      <c r="H2087" s="2"/>
    </row>
    <row r="2088" spans="1:8" x14ac:dyDescent="0.25">
      <c r="A2088" s="1"/>
      <c r="B2088" s="1" t="s">
        <v>9134</v>
      </c>
      <c r="C2088" s="1" t="s">
        <v>9135</v>
      </c>
      <c r="D2088" s="22" t="str">
        <f>HYPERLINK("https://rhld.insurance.arkansas.gov/NPILookup?Npi=1922519289","1922519289")</f>
        <v>1922519289</v>
      </c>
      <c r="E2088" s="1" t="s">
        <v>15655</v>
      </c>
      <c r="F2088" s="2"/>
      <c r="G2088" s="2"/>
      <c r="H2088" s="2"/>
    </row>
    <row r="2089" spans="1:8" x14ac:dyDescent="0.25">
      <c r="A2089" s="1"/>
      <c r="B2089" s="1" t="s">
        <v>9134</v>
      </c>
      <c r="C2089" s="1" t="s">
        <v>9135</v>
      </c>
      <c r="D2089" s="22" t="str">
        <f>HYPERLINK("https://rhld.insurance.arkansas.gov/NPILookup?Npi=1922789676","1922789676")</f>
        <v>1922789676</v>
      </c>
      <c r="E2089" s="1" t="s">
        <v>9152</v>
      </c>
      <c r="F2089" s="2"/>
      <c r="G2089" s="2"/>
      <c r="H2089" s="2"/>
    </row>
    <row r="2090" spans="1:8" x14ac:dyDescent="0.25">
      <c r="A2090" s="1"/>
      <c r="B2090" s="1" t="s">
        <v>9134</v>
      </c>
      <c r="C2090" s="1" t="s">
        <v>9135</v>
      </c>
      <c r="D2090" s="22" t="str">
        <f>HYPERLINK("https://rhld.insurance.arkansas.gov/NPILookup?Npi=1942260609","1942260609")</f>
        <v>1942260609</v>
      </c>
      <c r="E2090" s="1" t="s">
        <v>9635</v>
      </c>
      <c r="F2090" s="2"/>
      <c r="G2090" s="2"/>
      <c r="H2090" s="2"/>
    </row>
    <row r="2091" spans="1:8" x14ac:dyDescent="0.25">
      <c r="A2091" s="1"/>
      <c r="B2091" s="1" t="s">
        <v>9134</v>
      </c>
      <c r="C2091" s="1" t="s">
        <v>9135</v>
      </c>
      <c r="D2091" s="22" t="str">
        <f>HYPERLINK("https://rhld.insurance.arkansas.gov/NPILookup?Npi=1972586238","1972586238")</f>
        <v>1972586238</v>
      </c>
      <c r="E2091" s="1" t="s">
        <v>15319</v>
      </c>
      <c r="F2091" s="2"/>
      <c r="G2091" s="2"/>
      <c r="H2091" s="2"/>
    </row>
    <row r="2092" spans="1:8" x14ac:dyDescent="0.25">
      <c r="A2092" s="1"/>
      <c r="B2092" s="1" t="s">
        <v>9134</v>
      </c>
      <c r="C2092" s="1" t="s">
        <v>9135</v>
      </c>
      <c r="D2092" s="22" t="str">
        <f>HYPERLINK("https://rhld.insurance.arkansas.gov/NPILookup?Npi=1982975504","1982975504")</f>
        <v>1982975504</v>
      </c>
      <c r="E2092" s="1" t="s">
        <v>9153</v>
      </c>
      <c r="F2092" s="2"/>
      <c r="G2092" s="2"/>
      <c r="H2092" s="2"/>
    </row>
    <row r="2093" spans="1:8" x14ac:dyDescent="0.25">
      <c r="A2093" s="1"/>
      <c r="B2093" s="1" t="s">
        <v>9134</v>
      </c>
      <c r="C2093" s="1" t="s">
        <v>9135</v>
      </c>
      <c r="D2093" s="22" t="str">
        <f>HYPERLINK("https://rhld.insurance.arkansas.gov/NPILookup?Npi=1992041370","1992041370")</f>
        <v>1992041370</v>
      </c>
      <c r="E2093" s="1" t="s">
        <v>15656</v>
      </c>
      <c r="F2093" s="2"/>
      <c r="G2093" s="2"/>
      <c r="H2093" s="2"/>
    </row>
    <row r="2094" spans="1:8" x14ac:dyDescent="0.25">
      <c r="A2094" s="1"/>
      <c r="B2094" s="1" t="s">
        <v>9134</v>
      </c>
      <c r="C2094" s="1" t="s">
        <v>9135</v>
      </c>
      <c r="D2094" s="22" t="str">
        <f>HYPERLINK("https://rhld.insurance.arkansas.gov/NPILookup?Npi=1992133714","1992133714")</f>
        <v>1992133714</v>
      </c>
      <c r="E2094" s="1" t="s">
        <v>663</v>
      </c>
      <c r="F2094" s="2"/>
      <c r="G2094" s="2"/>
      <c r="H2094" s="2"/>
    </row>
    <row r="2095" spans="1:8" x14ac:dyDescent="0.25">
      <c r="A2095" s="1"/>
      <c r="B2095" s="1" t="s">
        <v>9134</v>
      </c>
      <c r="C2095" s="1" t="s">
        <v>9135</v>
      </c>
      <c r="D2095" s="22" t="str">
        <f>HYPERLINK("https://rhld.insurance.arkansas.gov/NPILookup?Npi=1992433510","1992433510")</f>
        <v>1992433510</v>
      </c>
      <c r="E2095" s="1" t="s">
        <v>9153</v>
      </c>
      <c r="F2095" s="2"/>
      <c r="G2095" s="2"/>
      <c r="H2095" s="2"/>
    </row>
    <row r="2096" spans="1:8" x14ac:dyDescent="0.25">
      <c r="A2096" s="1"/>
      <c r="B2096" s="1" t="s">
        <v>9134</v>
      </c>
      <c r="C2096" s="1" t="s">
        <v>9135</v>
      </c>
      <c r="D2096" s="22" t="str">
        <f>HYPERLINK("https://rhld.insurance.arkansas.gov/NPILookup?Npi=1992760342","1992760342")</f>
        <v>1992760342</v>
      </c>
      <c r="E2096" s="1" t="s">
        <v>9637</v>
      </c>
      <c r="F2096" s="2"/>
      <c r="G2096" s="2"/>
      <c r="H2096" s="2"/>
    </row>
    <row r="2097" spans="1:8" x14ac:dyDescent="0.25">
      <c r="A2097" s="1"/>
      <c r="B2097" s="1" t="s">
        <v>3736</v>
      </c>
      <c r="C2097" s="1" t="s">
        <v>3737</v>
      </c>
      <c r="D2097" s="22" t="str">
        <f>HYPERLINK("https://rhld.insurance.arkansas.gov/NPILookup?Npi=1003812462","1003812462")</f>
        <v>1003812462</v>
      </c>
      <c r="E2097" s="1" t="s">
        <v>3738</v>
      </c>
      <c r="F2097" s="2"/>
      <c r="G2097" s="2"/>
      <c r="H2097" s="2"/>
    </row>
    <row r="2098" spans="1:8" x14ac:dyDescent="0.25">
      <c r="A2098" s="1"/>
      <c r="B2098" s="1" t="s">
        <v>3736</v>
      </c>
      <c r="C2098" s="1" t="s">
        <v>3737</v>
      </c>
      <c r="D2098" s="22" t="str">
        <f>HYPERLINK("https://rhld.insurance.arkansas.gov/NPILookup?Npi=1003896580","1003896580")</f>
        <v>1003896580</v>
      </c>
      <c r="E2098" s="1" t="s">
        <v>9761</v>
      </c>
      <c r="F2098" s="2"/>
      <c r="G2098" s="2"/>
      <c r="H2098" s="2"/>
    </row>
    <row r="2099" spans="1:8" x14ac:dyDescent="0.25">
      <c r="A2099" s="1"/>
      <c r="B2099" s="1" t="s">
        <v>3736</v>
      </c>
      <c r="C2099" s="1" t="s">
        <v>3737</v>
      </c>
      <c r="D2099" s="22" t="str">
        <f>HYPERLINK("https://rhld.insurance.arkansas.gov/NPILookup?Npi=1003896630","1003896630")</f>
        <v>1003896630</v>
      </c>
      <c r="E2099" s="1" t="s">
        <v>15657</v>
      </c>
      <c r="F2099" s="2"/>
      <c r="G2099" s="2"/>
      <c r="H2099" s="2"/>
    </row>
    <row r="2100" spans="1:8" x14ac:dyDescent="0.25">
      <c r="A2100" s="1"/>
      <c r="B2100" s="1" t="s">
        <v>3736</v>
      </c>
      <c r="C2100" s="1" t="s">
        <v>3737</v>
      </c>
      <c r="D2100" s="22" t="str">
        <f>HYPERLINK("https://rhld.insurance.arkansas.gov/NPILookup?Npi=1023001781","1023001781")</f>
        <v>1023001781</v>
      </c>
      <c r="E2100" s="1" t="s">
        <v>3739</v>
      </c>
      <c r="F2100" s="2"/>
      <c r="G2100" s="2"/>
      <c r="H2100" s="2"/>
    </row>
    <row r="2101" spans="1:8" x14ac:dyDescent="0.25">
      <c r="A2101" s="1"/>
      <c r="B2101" s="1" t="s">
        <v>3736</v>
      </c>
      <c r="C2101" s="1" t="s">
        <v>3737</v>
      </c>
      <c r="D2101" s="22" t="str">
        <f>HYPERLINK("https://rhld.insurance.arkansas.gov/NPILookup?Npi=1023122322","1023122322")</f>
        <v>1023122322</v>
      </c>
      <c r="E2101" s="1" t="s">
        <v>15658</v>
      </c>
      <c r="F2101" s="2"/>
      <c r="G2101" s="2"/>
      <c r="H2101" s="2"/>
    </row>
    <row r="2102" spans="1:8" x14ac:dyDescent="0.25">
      <c r="A2102" s="1"/>
      <c r="B2102" s="1" t="s">
        <v>3736</v>
      </c>
      <c r="C2102" s="1" t="s">
        <v>3737</v>
      </c>
      <c r="D2102" s="22" t="str">
        <f>HYPERLINK("https://rhld.insurance.arkansas.gov/NPILookup?Npi=1023462868","1023462868")</f>
        <v>1023462868</v>
      </c>
      <c r="E2102" s="1" t="s">
        <v>15659</v>
      </c>
      <c r="F2102" s="2"/>
      <c r="G2102" s="2"/>
      <c r="H2102" s="2"/>
    </row>
    <row r="2103" spans="1:8" x14ac:dyDescent="0.25">
      <c r="A2103" s="1"/>
      <c r="B2103" s="1" t="s">
        <v>3736</v>
      </c>
      <c r="C2103" s="1" t="s">
        <v>3737</v>
      </c>
      <c r="D2103" s="22" t="str">
        <f>HYPERLINK("https://rhld.insurance.arkansas.gov/NPILookup?Npi=1033216148","1033216148")</f>
        <v>1033216148</v>
      </c>
      <c r="E2103" s="1" t="s">
        <v>3740</v>
      </c>
      <c r="F2103" s="2"/>
      <c r="G2103" s="2"/>
      <c r="H2103" s="2"/>
    </row>
    <row r="2104" spans="1:8" x14ac:dyDescent="0.25">
      <c r="A2104" s="1"/>
      <c r="B2104" s="1" t="s">
        <v>3736</v>
      </c>
      <c r="C2104" s="1" t="s">
        <v>3737</v>
      </c>
      <c r="D2104" s="22" t="str">
        <f>HYPERLINK("https://rhld.insurance.arkansas.gov/NPILookup?Npi=1043204548","1043204548")</f>
        <v>1043204548</v>
      </c>
      <c r="E2104" s="1" t="s">
        <v>3741</v>
      </c>
      <c r="F2104" s="2"/>
      <c r="G2104" s="2"/>
      <c r="H2104" s="2"/>
    </row>
    <row r="2105" spans="1:8" x14ac:dyDescent="0.25">
      <c r="A2105" s="1"/>
      <c r="B2105" s="1" t="s">
        <v>3736</v>
      </c>
      <c r="C2105" s="1" t="s">
        <v>3737</v>
      </c>
      <c r="D2105" s="22" t="str">
        <f>HYPERLINK("https://rhld.insurance.arkansas.gov/NPILookup?Npi=1083833313","1083833313")</f>
        <v>1083833313</v>
      </c>
      <c r="E2105" s="1" t="s">
        <v>15660</v>
      </c>
      <c r="F2105" s="2"/>
      <c r="G2105" s="2"/>
      <c r="H2105" s="2"/>
    </row>
    <row r="2106" spans="1:8" x14ac:dyDescent="0.25">
      <c r="A2106" s="1"/>
      <c r="B2106" s="1" t="s">
        <v>3736</v>
      </c>
      <c r="C2106" s="1" t="s">
        <v>3737</v>
      </c>
      <c r="D2106" s="22" t="str">
        <f>HYPERLINK("https://rhld.insurance.arkansas.gov/NPILookup?Npi=1083972293","1083972293")</f>
        <v>1083972293</v>
      </c>
      <c r="E2106" s="1" t="s">
        <v>15661</v>
      </c>
      <c r="F2106" s="2"/>
      <c r="G2106" s="2"/>
      <c r="H2106" s="2"/>
    </row>
    <row r="2107" spans="1:8" x14ac:dyDescent="0.25">
      <c r="A2107" s="1"/>
      <c r="B2107" s="1" t="s">
        <v>3736</v>
      </c>
      <c r="C2107" s="1" t="s">
        <v>3737</v>
      </c>
      <c r="D2107" s="22" t="str">
        <f>HYPERLINK("https://rhld.insurance.arkansas.gov/NPILookup?Npi=1093707176","1093707176")</f>
        <v>1093707176</v>
      </c>
      <c r="E2107" s="1" t="s">
        <v>9762</v>
      </c>
      <c r="F2107" s="2"/>
      <c r="G2107" s="2"/>
      <c r="H2107" s="2"/>
    </row>
    <row r="2108" spans="1:8" x14ac:dyDescent="0.25">
      <c r="A2108" s="1"/>
      <c r="B2108" s="1" t="s">
        <v>3736</v>
      </c>
      <c r="C2108" s="1" t="s">
        <v>3737</v>
      </c>
      <c r="D2108" s="22" t="str">
        <f>HYPERLINK("https://rhld.insurance.arkansas.gov/NPILookup?Npi=1104346980","1104346980")</f>
        <v>1104346980</v>
      </c>
      <c r="E2108" s="1" t="s">
        <v>15662</v>
      </c>
      <c r="F2108" s="2"/>
      <c r="G2108" s="2"/>
      <c r="H2108" s="2"/>
    </row>
    <row r="2109" spans="1:8" x14ac:dyDescent="0.25">
      <c r="A2109" s="1"/>
      <c r="B2109" s="1" t="s">
        <v>3736</v>
      </c>
      <c r="C2109" s="1" t="s">
        <v>3737</v>
      </c>
      <c r="D2109" s="22" t="str">
        <f>HYPERLINK("https://rhld.insurance.arkansas.gov/NPILookup?Npi=1114997814","1114997814")</f>
        <v>1114997814</v>
      </c>
      <c r="E2109" s="1" t="s">
        <v>9763</v>
      </c>
      <c r="F2109" s="2"/>
      <c r="G2109" s="2"/>
      <c r="H2109" s="2"/>
    </row>
    <row r="2110" spans="1:8" x14ac:dyDescent="0.25">
      <c r="A2110" s="1"/>
      <c r="B2110" s="1" t="s">
        <v>3736</v>
      </c>
      <c r="C2110" s="1" t="s">
        <v>3737</v>
      </c>
      <c r="D2110" s="22" t="str">
        <f>HYPERLINK("https://rhld.insurance.arkansas.gov/NPILookup?Npi=1154324366","1154324366")</f>
        <v>1154324366</v>
      </c>
      <c r="E2110" s="1" t="s">
        <v>9764</v>
      </c>
      <c r="F2110" s="2"/>
      <c r="G2110" s="2"/>
      <c r="H2110" s="2"/>
    </row>
    <row r="2111" spans="1:8" x14ac:dyDescent="0.25">
      <c r="A2111" s="1"/>
      <c r="B2111" s="1" t="s">
        <v>3736</v>
      </c>
      <c r="C2111" s="1" t="s">
        <v>3737</v>
      </c>
      <c r="D2111" s="22" t="str">
        <f>HYPERLINK("https://rhld.insurance.arkansas.gov/NPILookup?Npi=1154535953","1154535953")</f>
        <v>1154535953</v>
      </c>
      <c r="E2111" s="1" t="s">
        <v>9765</v>
      </c>
      <c r="F2111" s="2"/>
      <c r="G2111" s="2"/>
      <c r="H2111" s="2"/>
    </row>
    <row r="2112" spans="1:8" x14ac:dyDescent="0.25">
      <c r="A2112" s="1"/>
      <c r="B2112" s="1" t="s">
        <v>3736</v>
      </c>
      <c r="C2112" s="1" t="s">
        <v>3737</v>
      </c>
      <c r="D2112" s="22" t="str">
        <f>HYPERLINK("https://rhld.insurance.arkansas.gov/NPILookup?Npi=1164482725","1164482725")</f>
        <v>1164482725</v>
      </c>
      <c r="E2112" s="1" t="s">
        <v>9766</v>
      </c>
      <c r="F2112" s="2"/>
      <c r="G2112" s="2"/>
      <c r="H2112" s="2"/>
    </row>
    <row r="2113" spans="1:8" x14ac:dyDescent="0.25">
      <c r="A2113" s="1"/>
      <c r="B2113" s="1" t="s">
        <v>3736</v>
      </c>
      <c r="C2113" s="1" t="s">
        <v>3737</v>
      </c>
      <c r="D2113" s="22" t="str">
        <f>HYPERLINK("https://rhld.insurance.arkansas.gov/NPILookup?Npi=1164714762","1164714762")</f>
        <v>1164714762</v>
      </c>
      <c r="E2113" s="1" t="s">
        <v>3742</v>
      </c>
      <c r="F2113" s="2"/>
      <c r="G2113" s="2"/>
      <c r="H2113" s="2"/>
    </row>
    <row r="2114" spans="1:8" x14ac:dyDescent="0.25">
      <c r="A2114" s="1"/>
      <c r="B2114" s="1" t="s">
        <v>3736</v>
      </c>
      <c r="C2114" s="1" t="s">
        <v>3737</v>
      </c>
      <c r="D2114" s="22" t="str">
        <f>HYPERLINK("https://rhld.insurance.arkansas.gov/NPILookup?Npi=1164840112","1164840112")</f>
        <v>1164840112</v>
      </c>
      <c r="E2114" s="1" t="s">
        <v>15663</v>
      </c>
      <c r="F2114" s="2"/>
      <c r="G2114" s="2"/>
      <c r="H2114" s="2"/>
    </row>
    <row r="2115" spans="1:8" x14ac:dyDescent="0.25">
      <c r="A2115" s="1"/>
      <c r="B2115" s="1" t="s">
        <v>3736</v>
      </c>
      <c r="C2115" s="1" t="s">
        <v>3737</v>
      </c>
      <c r="D2115" s="22" t="str">
        <f>HYPERLINK("https://rhld.insurance.arkansas.gov/NPILookup?Npi=1174559116","1174559116")</f>
        <v>1174559116</v>
      </c>
      <c r="E2115" s="1" t="s">
        <v>15664</v>
      </c>
      <c r="F2115" s="2"/>
      <c r="G2115" s="2"/>
      <c r="H2115" s="2"/>
    </row>
    <row r="2116" spans="1:8" x14ac:dyDescent="0.25">
      <c r="A2116" s="1"/>
      <c r="B2116" s="1" t="s">
        <v>3736</v>
      </c>
      <c r="C2116" s="1" t="s">
        <v>3737</v>
      </c>
      <c r="D2116" s="22" t="str">
        <f>HYPERLINK("https://rhld.insurance.arkansas.gov/NPILookup?Npi=1225256613","1225256613")</f>
        <v>1225256613</v>
      </c>
      <c r="E2116" s="1" t="s">
        <v>15665</v>
      </c>
      <c r="F2116" s="2"/>
      <c r="G2116" s="2"/>
      <c r="H2116" s="2"/>
    </row>
    <row r="2117" spans="1:8" x14ac:dyDescent="0.25">
      <c r="A2117" s="1"/>
      <c r="B2117" s="1" t="s">
        <v>3736</v>
      </c>
      <c r="C2117" s="1" t="s">
        <v>3737</v>
      </c>
      <c r="D2117" s="22" t="str">
        <f>HYPERLINK("https://rhld.insurance.arkansas.gov/NPILookup?Npi=1255487849","1255487849")</f>
        <v>1255487849</v>
      </c>
      <c r="E2117" s="1" t="s">
        <v>15667</v>
      </c>
      <c r="F2117" s="2"/>
      <c r="G2117" s="2"/>
      <c r="H2117" s="2"/>
    </row>
    <row r="2118" spans="1:8" x14ac:dyDescent="0.25">
      <c r="A2118" s="1"/>
      <c r="B2118" s="1" t="s">
        <v>3736</v>
      </c>
      <c r="C2118" s="1" t="s">
        <v>3737</v>
      </c>
      <c r="D2118" s="22" t="str">
        <f>HYPERLINK("https://rhld.insurance.arkansas.gov/NPILookup?Npi=1265433213","1265433213")</f>
        <v>1265433213</v>
      </c>
      <c r="E2118" s="1" t="s">
        <v>9767</v>
      </c>
      <c r="F2118" s="2"/>
      <c r="G2118" s="2"/>
      <c r="H2118" s="2"/>
    </row>
    <row r="2119" spans="1:8" x14ac:dyDescent="0.25">
      <c r="A2119" s="1"/>
      <c r="B2119" s="1" t="s">
        <v>3736</v>
      </c>
      <c r="C2119" s="1" t="s">
        <v>3737</v>
      </c>
      <c r="D2119" s="22" t="str">
        <f>HYPERLINK("https://rhld.insurance.arkansas.gov/NPILookup?Npi=1346330834","1346330834")</f>
        <v>1346330834</v>
      </c>
      <c r="E2119" s="1" t="s">
        <v>15668</v>
      </c>
      <c r="F2119" s="2"/>
      <c r="G2119" s="2"/>
      <c r="H2119" s="2"/>
    </row>
    <row r="2120" spans="1:8" x14ac:dyDescent="0.25">
      <c r="A2120" s="1"/>
      <c r="B2120" s="1" t="s">
        <v>3736</v>
      </c>
      <c r="C2120" s="1" t="s">
        <v>3737</v>
      </c>
      <c r="D2120" s="22" t="str">
        <f>HYPERLINK("https://rhld.insurance.arkansas.gov/NPILookup?Npi=1366408072","1366408072")</f>
        <v>1366408072</v>
      </c>
      <c r="E2120" s="1" t="s">
        <v>15670</v>
      </c>
      <c r="F2120" s="2"/>
      <c r="G2120" s="2"/>
      <c r="H2120" s="2"/>
    </row>
    <row r="2121" spans="1:8" x14ac:dyDescent="0.25">
      <c r="A2121" s="1"/>
      <c r="B2121" s="1" t="s">
        <v>3736</v>
      </c>
      <c r="C2121" s="1" t="s">
        <v>3737</v>
      </c>
      <c r="D2121" s="22" t="str">
        <f>HYPERLINK("https://rhld.insurance.arkansas.gov/NPILookup?Npi=1376689729","1376689729")</f>
        <v>1376689729</v>
      </c>
      <c r="E2121" s="1" t="s">
        <v>15671</v>
      </c>
      <c r="F2121" s="2"/>
      <c r="G2121" s="2"/>
      <c r="H2121" s="2"/>
    </row>
    <row r="2122" spans="1:8" x14ac:dyDescent="0.25">
      <c r="A2122" s="1"/>
      <c r="B2122" s="1" t="s">
        <v>3736</v>
      </c>
      <c r="C2122" s="1" t="s">
        <v>3737</v>
      </c>
      <c r="D2122" s="22" t="str">
        <f>HYPERLINK("https://rhld.insurance.arkansas.gov/NPILookup?Npi=1376962902","1376962902")</f>
        <v>1376962902</v>
      </c>
      <c r="E2122" s="1" t="s">
        <v>9768</v>
      </c>
      <c r="F2122" s="2"/>
      <c r="G2122" s="2"/>
      <c r="H2122" s="2"/>
    </row>
    <row r="2123" spans="1:8" x14ac:dyDescent="0.25">
      <c r="A2123" s="1"/>
      <c r="B2123" s="1" t="s">
        <v>3736</v>
      </c>
      <c r="C2123" s="1" t="s">
        <v>3737</v>
      </c>
      <c r="D2123" s="22" t="str">
        <f>HYPERLINK("https://rhld.insurance.arkansas.gov/NPILookup?Npi=1396835898","1396835898")</f>
        <v>1396835898</v>
      </c>
      <c r="E2123" s="1" t="s">
        <v>15672</v>
      </c>
      <c r="F2123" s="2"/>
      <c r="G2123" s="2"/>
      <c r="H2123" s="2"/>
    </row>
    <row r="2124" spans="1:8" x14ac:dyDescent="0.25">
      <c r="A2124" s="1"/>
      <c r="B2124" s="1" t="s">
        <v>3736</v>
      </c>
      <c r="C2124" s="1" t="s">
        <v>3737</v>
      </c>
      <c r="D2124" s="22" t="str">
        <f>HYPERLINK("https://rhld.insurance.arkansas.gov/NPILookup?Npi=1407877004","1407877004")</f>
        <v>1407877004</v>
      </c>
      <c r="E2124" s="1" t="s">
        <v>15673</v>
      </c>
      <c r="F2124" s="2"/>
      <c r="G2124" s="2"/>
      <c r="H2124" s="2"/>
    </row>
    <row r="2125" spans="1:8" x14ac:dyDescent="0.25">
      <c r="A2125" s="1"/>
      <c r="B2125" s="1" t="s">
        <v>3736</v>
      </c>
      <c r="C2125" s="1" t="s">
        <v>3737</v>
      </c>
      <c r="D2125" s="22" t="str">
        <f>HYPERLINK("https://rhld.insurance.arkansas.gov/NPILookup?Npi=1407892805","1407892805")</f>
        <v>1407892805</v>
      </c>
      <c r="E2125" s="1" t="s">
        <v>15674</v>
      </c>
      <c r="F2125" s="2"/>
      <c r="G2125" s="2"/>
      <c r="H2125" s="2"/>
    </row>
    <row r="2126" spans="1:8" x14ac:dyDescent="0.25">
      <c r="A2126" s="1"/>
      <c r="B2126" s="1" t="s">
        <v>3736</v>
      </c>
      <c r="C2126" s="1" t="s">
        <v>3737</v>
      </c>
      <c r="D2126" s="22" t="str">
        <f>HYPERLINK("https://rhld.insurance.arkansas.gov/NPILookup?Npi=1437470978","1437470978")</f>
        <v>1437470978</v>
      </c>
      <c r="E2126" s="1" t="s">
        <v>15675</v>
      </c>
      <c r="F2126" s="2"/>
      <c r="G2126" s="2"/>
      <c r="H2126" s="2"/>
    </row>
    <row r="2127" spans="1:8" x14ac:dyDescent="0.25">
      <c r="A2127" s="1"/>
      <c r="B2127" s="1" t="s">
        <v>3736</v>
      </c>
      <c r="C2127" s="1" t="s">
        <v>3737</v>
      </c>
      <c r="D2127" s="22" t="str">
        <f>HYPERLINK("https://rhld.insurance.arkansas.gov/NPILookup?Npi=1467418186","1467418186")</f>
        <v>1467418186</v>
      </c>
      <c r="E2127" s="1" t="s">
        <v>3744</v>
      </c>
      <c r="F2127" s="2"/>
      <c r="G2127" s="2"/>
      <c r="H2127" s="2"/>
    </row>
    <row r="2128" spans="1:8" x14ac:dyDescent="0.25">
      <c r="A2128" s="1"/>
      <c r="B2128" s="1" t="s">
        <v>3736</v>
      </c>
      <c r="C2128" s="1" t="s">
        <v>3737</v>
      </c>
      <c r="D2128" s="22" t="str">
        <f>HYPERLINK("https://rhld.insurance.arkansas.gov/NPILookup?Npi=1467497461","1467497461")</f>
        <v>1467497461</v>
      </c>
      <c r="E2128" s="1" t="s">
        <v>15676</v>
      </c>
      <c r="F2128" s="2"/>
      <c r="G2128" s="2"/>
      <c r="H2128" s="2"/>
    </row>
    <row r="2129" spans="1:8" x14ac:dyDescent="0.25">
      <c r="A2129" s="1"/>
      <c r="B2129" s="1" t="s">
        <v>3736</v>
      </c>
      <c r="C2129" s="1" t="s">
        <v>3737</v>
      </c>
      <c r="D2129" s="22" t="str">
        <f>HYPERLINK("https://rhld.insurance.arkansas.gov/NPILookup?Npi=1497118814","1497118814")</f>
        <v>1497118814</v>
      </c>
      <c r="E2129" s="1" t="s">
        <v>15678</v>
      </c>
      <c r="F2129" s="2"/>
      <c r="G2129" s="2"/>
      <c r="H2129" s="2"/>
    </row>
    <row r="2130" spans="1:8" x14ac:dyDescent="0.25">
      <c r="A2130" s="1"/>
      <c r="B2130" s="1" t="s">
        <v>3736</v>
      </c>
      <c r="C2130" s="1" t="s">
        <v>3737</v>
      </c>
      <c r="D2130" s="22" t="str">
        <f>HYPERLINK("https://rhld.insurance.arkansas.gov/NPILookup?Npi=1508182213","1508182213")</f>
        <v>1508182213</v>
      </c>
      <c r="E2130" s="1" t="s">
        <v>15679</v>
      </c>
      <c r="F2130" s="2"/>
      <c r="G2130" s="2"/>
      <c r="H2130" s="2"/>
    </row>
    <row r="2131" spans="1:8" x14ac:dyDescent="0.25">
      <c r="A2131" s="1"/>
      <c r="B2131" s="1" t="s">
        <v>3736</v>
      </c>
      <c r="C2131" s="1" t="s">
        <v>3737</v>
      </c>
      <c r="D2131" s="22" t="str">
        <f>HYPERLINK("https://rhld.insurance.arkansas.gov/NPILookup?Npi=1518959691","1518959691")</f>
        <v>1518959691</v>
      </c>
      <c r="E2131" s="1" t="s">
        <v>9770</v>
      </c>
      <c r="F2131" s="2"/>
      <c r="G2131" s="2"/>
      <c r="H2131" s="2"/>
    </row>
    <row r="2132" spans="1:8" x14ac:dyDescent="0.25">
      <c r="A2132" s="1"/>
      <c r="B2132" s="1" t="s">
        <v>3736</v>
      </c>
      <c r="C2132" s="1" t="s">
        <v>3737</v>
      </c>
      <c r="D2132" s="22" t="str">
        <f>HYPERLINK("https://rhld.insurance.arkansas.gov/NPILookup?Npi=1548347214","1548347214")</f>
        <v>1548347214</v>
      </c>
      <c r="E2132" s="1" t="s">
        <v>3745</v>
      </c>
      <c r="F2132" s="2"/>
      <c r="G2132" s="2"/>
      <c r="H2132" s="2"/>
    </row>
    <row r="2133" spans="1:8" x14ac:dyDescent="0.25">
      <c r="A2133" s="1"/>
      <c r="B2133" s="1" t="s">
        <v>3736</v>
      </c>
      <c r="C2133" s="1" t="s">
        <v>3737</v>
      </c>
      <c r="D2133" s="22" t="str">
        <f>HYPERLINK("https://rhld.insurance.arkansas.gov/NPILookup?Npi=1578663456","1578663456")</f>
        <v>1578663456</v>
      </c>
      <c r="E2133" s="1" t="s">
        <v>15681</v>
      </c>
      <c r="F2133" s="2"/>
      <c r="G2133" s="2"/>
      <c r="H2133" s="2"/>
    </row>
    <row r="2134" spans="1:8" x14ac:dyDescent="0.25">
      <c r="A2134" s="1"/>
      <c r="B2134" s="1" t="s">
        <v>3736</v>
      </c>
      <c r="C2134" s="1" t="s">
        <v>3737</v>
      </c>
      <c r="D2134" s="22" t="str">
        <f>HYPERLINK("https://rhld.insurance.arkansas.gov/NPILookup?Npi=1578917233","1578917233")</f>
        <v>1578917233</v>
      </c>
      <c r="E2134" s="1" t="s">
        <v>9771</v>
      </c>
      <c r="F2134" s="2"/>
      <c r="G2134" s="2"/>
      <c r="H2134" s="2"/>
    </row>
    <row r="2135" spans="1:8" x14ac:dyDescent="0.25">
      <c r="A2135" s="1"/>
      <c r="B2135" s="1" t="s">
        <v>3736</v>
      </c>
      <c r="C2135" s="1" t="s">
        <v>3737</v>
      </c>
      <c r="D2135" s="22" t="str">
        <f>HYPERLINK("https://rhld.insurance.arkansas.gov/NPILookup?Npi=1598744625","1598744625")</f>
        <v>1598744625</v>
      </c>
      <c r="E2135" s="1" t="s">
        <v>15682</v>
      </c>
      <c r="F2135" s="2"/>
      <c r="G2135" s="2"/>
      <c r="H2135" s="2"/>
    </row>
    <row r="2136" spans="1:8" x14ac:dyDescent="0.25">
      <c r="A2136" s="1"/>
      <c r="B2136" s="1" t="s">
        <v>3736</v>
      </c>
      <c r="C2136" s="1" t="s">
        <v>3737</v>
      </c>
      <c r="D2136" s="22" t="str">
        <f>HYPERLINK("https://rhld.insurance.arkansas.gov/NPILookup?Npi=1598989758","1598989758")</f>
        <v>1598989758</v>
      </c>
      <c r="E2136" s="1" t="s">
        <v>15683</v>
      </c>
      <c r="F2136" s="2"/>
      <c r="G2136" s="2"/>
      <c r="H2136" s="2"/>
    </row>
    <row r="2137" spans="1:8" x14ac:dyDescent="0.25">
      <c r="A2137" s="1"/>
      <c r="B2137" s="1" t="s">
        <v>3736</v>
      </c>
      <c r="C2137" s="1" t="s">
        <v>3737</v>
      </c>
      <c r="D2137" s="22" t="str">
        <f>HYPERLINK("https://rhld.insurance.arkansas.gov/NPILookup?Npi=1609166990","1609166990")</f>
        <v>1609166990</v>
      </c>
      <c r="E2137" s="1" t="s">
        <v>3746</v>
      </c>
      <c r="F2137" s="2"/>
      <c r="G2137" s="2"/>
      <c r="H2137" s="2"/>
    </row>
    <row r="2138" spans="1:8" x14ac:dyDescent="0.25">
      <c r="A2138" s="1"/>
      <c r="B2138" s="1" t="s">
        <v>3736</v>
      </c>
      <c r="C2138" s="1" t="s">
        <v>3737</v>
      </c>
      <c r="D2138" s="22" t="str">
        <f>HYPERLINK("https://rhld.insurance.arkansas.gov/NPILookup?Npi=1609801000","1609801000")</f>
        <v>1609801000</v>
      </c>
      <c r="E2138" s="1" t="s">
        <v>15685</v>
      </c>
      <c r="F2138" s="2"/>
      <c r="G2138" s="2"/>
      <c r="H2138" s="2"/>
    </row>
    <row r="2139" spans="1:8" x14ac:dyDescent="0.25">
      <c r="A2139" s="1"/>
      <c r="B2139" s="1" t="s">
        <v>3736</v>
      </c>
      <c r="C2139" s="1" t="s">
        <v>3737</v>
      </c>
      <c r="D2139" s="22" t="str">
        <f>HYPERLINK("https://rhld.insurance.arkansas.gov/NPILookup?Npi=1669978243","1669978243")</f>
        <v>1669978243</v>
      </c>
      <c r="E2139" s="1" t="s">
        <v>15686</v>
      </c>
      <c r="F2139" s="2"/>
      <c r="G2139" s="2"/>
      <c r="H2139" s="2"/>
    </row>
    <row r="2140" spans="1:8" x14ac:dyDescent="0.25">
      <c r="A2140" s="1"/>
      <c r="B2140" s="1" t="s">
        <v>3736</v>
      </c>
      <c r="C2140" s="1" t="s">
        <v>3737</v>
      </c>
      <c r="D2140" s="22" t="str">
        <f>HYPERLINK("https://rhld.insurance.arkansas.gov/NPILookup?Npi=1689803918","1689803918")</f>
        <v>1689803918</v>
      </c>
      <c r="E2140" s="1" t="s">
        <v>3748</v>
      </c>
      <c r="F2140" s="2"/>
      <c r="G2140" s="2"/>
      <c r="H2140" s="2"/>
    </row>
    <row r="2141" spans="1:8" x14ac:dyDescent="0.25">
      <c r="A2141" s="1"/>
      <c r="B2141" s="1" t="s">
        <v>3736</v>
      </c>
      <c r="C2141" s="1" t="s">
        <v>3737</v>
      </c>
      <c r="D2141" s="22" t="str">
        <f>HYPERLINK("https://rhld.insurance.arkansas.gov/NPILookup?Npi=1740555952","1740555952")</f>
        <v>1740555952</v>
      </c>
      <c r="E2141" s="1" t="s">
        <v>15687</v>
      </c>
      <c r="F2141" s="2"/>
      <c r="G2141" s="2"/>
      <c r="H2141" s="2"/>
    </row>
    <row r="2142" spans="1:8" x14ac:dyDescent="0.25">
      <c r="A2142" s="1"/>
      <c r="B2142" s="1" t="s">
        <v>3736</v>
      </c>
      <c r="C2142" s="1" t="s">
        <v>3737</v>
      </c>
      <c r="D2142" s="22" t="str">
        <f>HYPERLINK("https://rhld.insurance.arkansas.gov/NPILookup?Npi=1750380051","1750380051")</f>
        <v>1750380051</v>
      </c>
      <c r="E2142" s="1" t="s">
        <v>15688</v>
      </c>
      <c r="F2142" s="2"/>
      <c r="G2142" s="2"/>
      <c r="H2142" s="2"/>
    </row>
    <row r="2143" spans="1:8" x14ac:dyDescent="0.25">
      <c r="A2143" s="1"/>
      <c r="B2143" s="1" t="s">
        <v>3736</v>
      </c>
      <c r="C2143" s="1" t="s">
        <v>3737</v>
      </c>
      <c r="D2143" s="22" t="str">
        <f>HYPERLINK("https://rhld.insurance.arkansas.gov/NPILookup?Npi=1770673337","1770673337")</f>
        <v>1770673337</v>
      </c>
      <c r="E2143" s="1" t="s">
        <v>15689</v>
      </c>
      <c r="F2143" s="2"/>
      <c r="G2143" s="2"/>
      <c r="H2143" s="2"/>
    </row>
    <row r="2144" spans="1:8" x14ac:dyDescent="0.25">
      <c r="A2144" s="1"/>
      <c r="B2144" s="1" t="s">
        <v>3736</v>
      </c>
      <c r="C2144" s="1" t="s">
        <v>3737</v>
      </c>
      <c r="D2144" s="22" t="str">
        <f>HYPERLINK("https://rhld.insurance.arkansas.gov/NPILookup?Npi=1790720795","1790720795")</f>
        <v>1790720795</v>
      </c>
      <c r="E2144" s="1" t="s">
        <v>15690</v>
      </c>
      <c r="F2144" s="2"/>
      <c r="G2144" s="2"/>
      <c r="H2144" s="2"/>
    </row>
    <row r="2145" spans="1:8" x14ac:dyDescent="0.25">
      <c r="A2145" s="1"/>
      <c r="B2145" s="1" t="s">
        <v>3736</v>
      </c>
      <c r="C2145" s="1" t="s">
        <v>3737</v>
      </c>
      <c r="D2145" s="22" t="str">
        <f>HYPERLINK("https://rhld.insurance.arkansas.gov/NPILookup?Npi=1790812246","1790812246")</f>
        <v>1790812246</v>
      </c>
      <c r="E2145" s="1" t="s">
        <v>15691</v>
      </c>
      <c r="F2145" s="2"/>
      <c r="G2145" s="2"/>
      <c r="H2145" s="2"/>
    </row>
    <row r="2146" spans="1:8" x14ac:dyDescent="0.25">
      <c r="A2146" s="1"/>
      <c r="B2146" s="1" t="s">
        <v>3736</v>
      </c>
      <c r="C2146" s="1" t="s">
        <v>3737</v>
      </c>
      <c r="D2146" s="22" t="str">
        <f>HYPERLINK("https://rhld.insurance.arkansas.gov/NPILookup?Npi=1821265000","1821265000")</f>
        <v>1821265000</v>
      </c>
      <c r="E2146" s="1" t="s">
        <v>3749</v>
      </c>
      <c r="F2146" s="2"/>
      <c r="G2146" s="2"/>
      <c r="H2146" s="2"/>
    </row>
    <row r="2147" spans="1:8" x14ac:dyDescent="0.25">
      <c r="A2147" s="1"/>
      <c r="B2147" s="1" t="s">
        <v>3736</v>
      </c>
      <c r="C2147" s="1" t="s">
        <v>3737</v>
      </c>
      <c r="D2147" s="22" t="str">
        <f>HYPERLINK("https://rhld.insurance.arkansas.gov/NPILookup?Npi=1851707616","1851707616")</f>
        <v>1851707616</v>
      </c>
      <c r="E2147" s="1" t="s">
        <v>9772</v>
      </c>
      <c r="F2147" s="2"/>
      <c r="G2147" s="2"/>
      <c r="H2147" s="2"/>
    </row>
    <row r="2148" spans="1:8" x14ac:dyDescent="0.25">
      <c r="A2148" s="1"/>
      <c r="B2148" s="1" t="s">
        <v>3736</v>
      </c>
      <c r="C2148" s="1" t="s">
        <v>3737</v>
      </c>
      <c r="D2148" s="22" t="str">
        <f>HYPERLINK("https://rhld.insurance.arkansas.gov/NPILookup?Npi=1851852032","1851852032")</f>
        <v>1851852032</v>
      </c>
      <c r="E2148" s="1" t="s">
        <v>15692</v>
      </c>
      <c r="F2148" s="2"/>
      <c r="G2148" s="2"/>
      <c r="H2148" s="2"/>
    </row>
    <row r="2149" spans="1:8" x14ac:dyDescent="0.25">
      <c r="A2149" s="1"/>
      <c r="B2149" s="1" t="s">
        <v>3736</v>
      </c>
      <c r="C2149" s="1" t="s">
        <v>3737</v>
      </c>
      <c r="D2149" s="22" t="str">
        <f>HYPERLINK("https://rhld.insurance.arkansas.gov/NPILookup?Npi=1861607368","1861607368")</f>
        <v>1861607368</v>
      </c>
      <c r="E2149" s="1" t="s">
        <v>9773</v>
      </c>
      <c r="F2149" s="2"/>
      <c r="G2149" s="2"/>
      <c r="H2149" s="2"/>
    </row>
    <row r="2150" spans="1:8" x14ac:dyDescent="0.25">
      <c r="A2150" s="1"/>
      <c r="B2150" s="1" t="s">
        <v>3736</v>
      </c>
      <c r="C2150" s="1" t="s">
        <v>3737</v>
      </c>
      <c r="D2150" s="22" t="str">
        <f>HYPERLINK("https://rhld.insurance.arkansas.gov/NPILookup?Npi=1871533026","1871533026")</f>
        <v>1871533026</v>
      </c>
      <c r="E2150" s="1" t="s">
        <v>15693</v>
      </c>
      <c r="F2150" s="2"/>
      <c r="G2150" s="2"/>
      <c r="H2150" s="2"/>
    </row>
    <row r="2151" spans="1:8" x14ac:dyDescent="0.25">
      <c r="A2151" s="1"/>
      <c r="B2151" s="1" t="s">
        <v>3736</v>
      </c>
      <c r="C2151" s="1" t="s">
        <v>3737</v>
      </c>
      <c r="D2151" s="22" t="str">
        <f>HYPERLINK("https://rhld.insurance.arkansas.gov/NPILookup?Npi=1871585950","1871585950")</f>
        <v>1871585950</v>
      </c>
      <c r="E2151" s="1" t="s">
        <v>9774</v>
      </c>
      <c r="F2151" s="2"/>
      <c r="G2151" s="2"/>
      <c r="H2151" s="2"/>
    </row>
    <row r="2152" spans="1:8" x14ac:dyDescent="0.25">
      <c r="A2152" s="1"/>
      <c r="B2152" s="1" t="s">
        <v>3736</v>
      </c>
      <c r="C2152" s="1" t="s">
        <v>3737</v>
      </c>
      <c r="D2152" s="22" t="str">
        <f>HYPERLINK("https://rhld.insurance.arkansas.gov/NPILookup?Npi=1871717033","1871717033")</f>
        <v>1871717033</v>
      </c>
      <c r="E2152" s="1" t="s">
        <v>15694</v>
      </c>
      <c r="F2152" s="2"/>
      <c r="G2152" s="2"/>
      <c r="H2152" s="2"/>
    </row>
    <row r="2153" spans="1:8" x14ac:dyDescent="0.25">
      <c r="A2153" s="1"/>
      <c r="B2153" s="1" t="s">
        <v>3736</v>
      </c>
      <c r="C2153" s="1" t="s">
        <v>3737</v>
      </c>
      <c r="D2153" s="22" t="str">
        <f>HYPERLINK("https://rhld.insurance.arkansas.gov/NPILookup?Npi=1891739660","1891739660")</f>
        <v>1891739660</v>
      </c>
      <c r="E2153" s="1" t="s">
        <v>3750</v>
      </c>
      <c r="F2153" s="2"/>
      <c r="G2153" s="2"/>
      <c r="H2153" s="2"/>
    </row>
    <row r="2154" spans="1:8" x14ac:dyDescent="0.25">
      <c r="A2154" s="1"/>
      <c r="B2154" s="1" t="s">
        <v>3736</v>
      </c>
      <c r="C2154" s="1" t="s">
        <v>3737</v>
      </c>
      <c r="D2154" s="22" t="str">
        <f>HYPERLINK("https://rhld.insurance.arkansas.gov/NPILookup?Npi=1902292329","1902292329")</f>
        <v>1902292329</v>
      </c>
      <c r="E2154" s="1" t="s">
        <v>15695</v>
      </c>
      <c r="F2154" s="2"/>
      <c r="G2154" s="2"/>
      <c r="H2154" s="2"/>
    </row>
    <row r="2155" spans="1:8" x14ac:dyDescent="0.25">
      <c r="A2155" s="1"/>
      <c r="B2155" s="1" t="s">
        <v>3736</v>
      </c>
      <c r="C2155" s="1" t="s">
        <v>3737</v>
      </c>
      <c r="D2155" s="22" t="str">
        <f>HYPERLINK("https://rhld.insurance.arkansas.gov/NPILookup?Npi=1932188067","1932188067")</f>
        <v>1932188067</v>
      </c>
      <c r="E2155" s="1" t="s">
        <v>15696</v>
      </c>
      <c r="F2155" s="2"/>
      <c r="G2155" s="2"/>
      <c r="H2155" s="2"/>
    </row>
    <row r="2156" spans="1:8" x14ac:dyDescent="0.25">
      <c r="A2156" s="1"/>
      <c r="B2156" s="1" t="s">
        <v>3736</v>
      </c>
      <c r="C2156" s="1" t="s">
        <v>3737</v>
      </c>
      <c r="D2156" s="22" t="str">
        <f>HYPERLINK("https://rhld.insurance.arkansas.gov/NPILookup?Npi=1932605607","1932605607")</f>
        <v>1932605607</v>
      </c>
      <c r="E2156" s="1" t="s">
        <v>3751</v>
      </c>
      <c r="F2156" s="2"/>
      <c r="G2156" s="2"/>
      <c r="H2156" s="2"/>
    </row>
    <row r="2157" spans="1:8" x14ac:dyDescent="0.25">
      <c r="A2157" s="1"/>
      <c r="B2157" s="1" t="s">
        <v>3736</v>
      </c>
      <c r="C2157" s="1" t="s">
        <v>3737</v>
      </c>
      <c r="D2157" s="22" t="str">
        <f>HYPERLINK("https://rhld.insurance.arkansas.gov/NPILookup?Npi=1952415424","1952415424")</f>
        <v>1952415424</v>
      </c>
      <c r="E2157" s="1" t="s">
        <v>3752</v>
      </c>
      <c r="F2157" s="2"/>
      <c r="G2157" s="2"/>
      <c r="H2157" s="2"/>
    </row>
    <row r="2158" spans="1:8" x14ac:dyDescent="0.25">
      <c r="A2158" s="1"/>
      <c r="B2158" s="1" t="s">
        <v>3736</v>
      </c>
      <c r="C2158" s="1" t="s">
        <v>3737</v>
      </c>
      <c r="D2158" s="22" t="str">
        <f>HYPERLINK("https://rhld.insurance.arkansas.gov/NPILookup?Npi=1972008431","1972008431")</f>
        <v>1972008431</v>
      </c>
      <c r="E2158" s="1" t="s">
        <v>9775</v>
      </c>
      <c r="F2158" s="2"/>
      <c r="G2158" s="2"/>
      <c r="H2158" s="2"/>
    </row>
    <row r="2159" spans="1:8" x14ac:dyDescent="0.25">
      <c r="A2159" s="1"/>
      <c r="B2159" s="1" t="s">
        <v>3736</v>
      </c>
      <c r="C2159" s="1" t="s">
        <v>3737</v>
      </c>
      <c r="D2159" s="22" t="str">
        <f>HYPERLINK("https://rhld.insurance.arkansas.gov/NPILookup?Npi=1992705883","1992705883")</f>
        <v>1992705883</v>
      </c>
      <c r="E2159" s="1" t="s">
        <v>3753</v>
      </c>
      <c r="F2159" s="2"/>
      <c r="G2159" s="2"/>
      <c r="H2159" s="2"/>
    </row>
    <row r="2160" spans="1:8" x14ac:dyDescent="0.25">
      <c r="A2160" s="1"/>
      <c r="B2160" s="1" t="s">
        <v>3736</v>
      </c>
      <c r="C2160" s="1" t="s">
        <v>3737</v>
      </c>
      <c r="D2160" s="22" t="str">
        <f>HYPERLINK("https://rhld.insurance.arkansas.gov/NPILookup?Npi=1992764260","1992764260")</f>
        <v>1992764260</v>
      </c>
      <c r="E2160" s="1" t="s">
        <v>9776</v>
      </c>
      <c r="F2160" s="2"/>
      <c r="G2160" s="2"/>
      <c r="H2160" s="2"/>
    </row>
    <row r="2161" spans="1:8" x14ac:dyDescent="0.25">
      <c r="A2161" s="1"/>
      <c r="B2161" s="1" t="s">
        <v>3754</v>
      </c>
      <c r="C2161" s="1" t="s">
        <v>3755</v>
      </c>
      <c r="D2161" s="22" t="str">
        <f>HYPERLINK("https://rhld.insurance.arkansas.gov/NPILookup?Npi=1003048943","1003048943")</f>
        <v>1003048943</v>
      </c>
      <c r="E2161" s="1" t="s">
        <v>15697</v>
      </c>
      <c r="F2161" s="2"/>
      <c r="G2161" s="2"/>
      <c r="H2161" s="2"/>
    </row>
    <row r="2162" spans="1:8" x14ac:dyDescent="0.25">
      <c r="A2162" s="1"/>
      <c r="B2162" s="1" t="s">
        <v>3754</v>
      </c>
      <c r="C2162" s="1" t="s">
        <v>3755</v>
      </c>
      <c r="D2162" s="22" t="str">
        <f>HYPERLINK("https://rhld.insurance.arkansas.gov/NPILookup?Npi=1003066846","1003066846")</f>
        <v>1003066846</v>
      </c>
      <c r="E2162" s="1" t="s">
        <v>9777</v>
      </c>
      <c r="F2162" s="2"/>
      <c r="G2162" s="2"/>
      <c r="H2162" s="2"/>
    </row>
    <row r="2163" spans="1:8" x14ac:dyDescent="0.25">
      <c r="A2163" s="1"/>
      <c r="B2163" s="1" t="s">
        <v>3754</v>
      </c>
      <c r="C2163" s="1" t="s">
        <v>3755</v>
      </c>
      <c r="D2163" s="22" t="str">
        <f>HYPERLINK("https://rhld.insurance.arkansas.gov/NPILookup?Npi=1003070129","1003070129")</f>
        <v>1003070129</v>
      </c>
      <c r="E2163" s="1" t="s">
        <v>1611</v>
      </c>
      <c r="F2163" s="2"/>
      <c r="G2163" s="2"/>
      <c r="H2163" s="2"/>
    </row>
    <row r="2164" spans="1:8" x14ac:dyDescent="0.25">
      <c r="A2164" s="1"/>
      <c r="B2164" s="1" t="s">
        <v>3754</v>
      </c>
      <c r="C2164" s="1" t="s">
        <v>3755</v>
      </c>
      <c r="D2164" s="22" t="str">
        <f>HYPERLINK("https://rhld.insurance.arkansas.gov/NPILookup?Npi=1003097593","1003097593")</f>
        <v>1003097593</v>
      </c>
      <c r="E2164" s="1" t="s">
        <v>2244</v>
      </c>
      <c r="F2164" s="2"/>
      <c r="G2164" s="2"/>
      <c r="H2164" s="2"/>
    </row>
    <row r="2165" spans="1:8" x14ac:dyDescent="0.25">
      <c r="A2165" s="1"/>
      <c r="B2165" s="1" t="s">
        <v>3754</v>
      </c>
      <c r="C2165" s="1" t="s">
        <v>3755</v>
      </c>
      <c r="D2165" s="22" t="str">
        <f>HYPERLINK("https://rhld.insurance.arkansas.gov/NPILookup?Npi=1003256157","1003256157")</f>
        <v>1003256157</v>
      </c>
      <c r="E2165" s="1" t="s">
        <v>3756</v>
      </c>
      <c r="F2165" s="2"/>
      <c r="G2165" s="2"/>
      <c r="H2165" s="2"/>
    </row>
    <row r="2166" spans="1:8" x14ac:dyDescent="0.25">
      <c r="A2166" s="1"/>
      <c r="B2166" s="1" t="s">
        <v>3754</v>
      </c>
      <c r="C2166" s="1" t="s">
        <v>3755</v>
      </c>
      <c r="D2166" s="22" t="str">
        <f>HYPERLINK("https://rhld.insurance.arkansas.gov/NPILookup?Npi=1003801796","1003801796")</f>
        <v>1003801796</v>
      </c>
      <c r="E2166" s="1" t="s">
        <v>3757</v>
      </c>
      <c r="F2166" s="2"/>
      <c r="G2166" s="2"/>
      <c r="H2166" s="2"/>
    </row>
    <row r="2167" spans="1:8" x14ac:dyDescent="0.25">
      <c r="A2167" s="1"/>
      <c r="B2167" s="1" t="s">
        <v>3754</v>
      </c>
      <c r="C2167" s="1" t="s">
        <v>3755</v>
      </c>
      <c r="D2167" s="22" t="str">
        <f>HYPERLINK("https://rhld.insurance.arkansas.gov/NPILookup?Npi=1003812504","1003812504")</f>
        <v>1003812504</v>
      </c>
      <c r="E2167" s="1" t="s">
        <v>15698</v>
      </c>
      <c r="F2167" s="2"/>
      <c r="G2167" s="2"/>
      <c r="H2167" s="2"/>
    </row>
    <row r="2168" spans="1:8" x14ac:dyDescent="0.25">
      <c r="A2168" s="1"/>
      <c r="B2168" s="1" t="s">
        <v>3754</v>
      </c>
      <c r="C2168" s="1" t="s">
        <v>3755</v>
      </c>
      <c r="D2168" s="22" t="str">
        <f>HYPERLINK("https://rhld.insurance.arkansas.gov/NPILookup?Npi=1003887589","1003887589")</f>
        <v>1003887589</v>
      </c>
      <c r="E2168" s="1" t="s">
        <v>15699</v>
      </c>
      <c r="F2168" s="2"/>
      <c r="G2168" s="2"/>
      <c r="H2168" s="2"/>
    </row>
    <row r="2169" spans="1:8" x14ac:dyDescent="0.25">
      <c r="A2169" s="1"/>
      <c r="B2169" s="1" t="s">
        <v>3754</v>
      </c>
      <c r="C2169" s="1" t="s">
        <v>3755</v>
      </c>
      <c r="D2169" s="22" t="str">
        <f>HYPERLINK("https://rhld.insurance.arkansas.gov/NPILookup?Npi=1003991902","1003991902")</f>
        <v>1003991902</v>
      </c>
      <c r="E2169" s="1" t="s">
        <v>15700</v>
      </c>
      <c r="F2169" s="2"/>
      <c r="G2169" s="2"/>
      <c r="H2169" s="2"/>
    </row>
    <row r="2170" spans="1:8" x14ac:dyDescent="0.25">
      <c r="A2170" s="1"/>
      <c r="B2170" s="1" t="s">
        <v>3754</v>
      </c>
      <c r="C2170" s="1" t="s">
        <v>3755</v>
      </c>
      <c r="D2170" s="22" t="str">
        <f>HYPERLINK("https://rhld.insurance.arkansas.gov/NPILookup?Npi=1013276187","1013276187")</f>
        <v>1013276187</v>
      </c>
      <c r="E2170" s="1" t="s">
        <v>9778</v>
      </c>
      <c r="F2170" s="2"/>
      <c r="G2170" s="2"/>
      <c r="H2170" s="2"/>
    </row>
    <row r="2171" spans="1:8" x14ac:dyDescent="0.25">
      <c r="A2171" s="1"/>
      <c r="B2171" s="1" t="s">
        <v>3754</v>
      </c>
      <c r="C2171" s="1" t="s">
        <v>3755</v>
      </c>
      <c r="D2171" s="22" t="str">
        <f>HYPERLINK("https://rhld.insurance.arkansas.gov/NPILookup?Npi=1013295179","1013295179")</f>
        <v>1013295179</v>
      </c>
      <c r="E2171" s="1" t="s">
        <v>3758</v>
      </c>
      <c r="F2171" s="2"/>
      <c r="G2171" s="2"/>
      <c r="H2171" s="2"/>
    </row>
    <row r="2172" spans="1:8" x14ac:dyDescent="0.25">
      <c r="A2172" s="1"/>
      <c r="B2172" s="1" t="s">
        <v>3754</v>
      </c>
      <c r="C2172" s="1" t="s">
        <v>3755</v>
      </c>
      <c r="D2172" s="22" t="str">
        <f>HYPERLINK("https://rhld.insurance.arkansas.gov/NPILookup?Npi=1013446285","1013446285")</f>
        <v>1013446285</v>
      </c>
      <c r="E2172" s="1" t="s">
        <v>3759</v>
      </c>
      <c r="F2172" s="2"/>
      <c r="G2172" s="2"/>
      <c r="H2172" s="2"/>
    </row>
    <row r="2173" spans="1:8" x14ac:dyDescent="0.25">
      <c r="A2173" s="1"/>
      <c r="B2173" s="1" t="s">
        <v>3754</v>
      </c>
      <c r="C2173" s="1" t="s">
        <v>3755</v>
      </c>
      <c r="D2173" s="22" t="str">
        <f>HYPERLINK("https://rhld.insurance.arkansas.gov/NPILookup?Npi=1013974062","1013974062")</f>
        <v>1013974062</v>
      </c>
      <c r="E2173" s="1" t="s">
        <v>15702</v>
      </c>
      <c r="F2173" s="2"/>
      <c r="G2173" s="2"/>
      <c r="H2173" s="2"/>
    </row>
    <row r="2174" spans="1:8" x14ac:dyDescent="0.25">
      <c r="A2174" s="1"/>
      <c r="B2174" s="1" t="s">
        <v>3754</v>
      </c>
      <c r="C2174" s="1" t="s">
        <v>3755</v>
      </c>
      <c r="D2174" s="22" t="str">
        <f>HYPERLINK("https://rhld.insurance.arkansas.gov/NPILookup?Npi=1013984517","1013984517")</f>
        <v>1013984517</v>
      </c>
      <c r="E2174" s="1" t="s">
        <v>9779</v>
      </c>
      <c r="F2174" s="2"/>
      <c r="G2174" s="2"/>
      <c r="H2174" s="2"/>
    </row>
    <row r="2175" spans="1:8" x14ac:dyDescent="0.25">
      <c r="A2175" s="1"/>
      <c r="B2175" s="1" t="s">
        <v>3754</v>
      </c>
      <c r="C2175" s="1" t="s">
        <v>3755</v>
      </c>
      <c r="D2175" s="22" t="str">
        <f>HYPERLINK("https://rhld.insurance.arkansas.gov/NPILookup?Npi=1023009040","1023009040")</f>
        <v>1023009040</v>
      </c>
      <c r="E2175" s="1" t="s">
        <v>15703</v>
      </c>
      <c r="F2175" s="2"/>
      <c r="G2175" s="2"/>
      <c r="H2175" s="2"/>
    </row>
    <row r="2176" spans="1:8" x14ac:dyDescent="0.25">
      <c r="A2176" s="1"/>
      <c r="B2176" s="1" t="s">
        <v>3754</v>
      </c>
      <c r="C2176" s="1" t="s">
        <v>3755</v>
      </c>
      <c r="D2176" s="22" t="str">
        <f>HYPERLINK("https://rhld.insurance.arkansas.gov/NPILookup?Npi=1023011194","1023011194")</f>
        <v>1023011194</v>
      </c>
      <c r="E2176" s="1" t="s">
        <v>2245</v>
      </c>
      <c r="F2176" s="2"/>
      <c r="G2176" s="2"/>
      <c r="H2176" s="2"/>
    </row>
    <row r="2177" spans="1:8" x14ac:dyDescent="0.25">
      <c r="A2177" s="1"/>
      <c r="B2177" s="1" t="s">
        <v>3754</v>
      </c>
      <c r="C2177" s="1" t="s">
        <v>3755</v>
      </c>
      <c r="D2177" s="22" t="str">
        <f>HYPERLINK("https://rhld.insurance.arkansas.gov/NPILookup?Npi=1023029550","1023029550")</f>
        <v>1023029550</v>
      </c>
      <c r="E2177" s="1" t="s">
        <v>9780</v>
      </c>
      <c r="F2177" s="2"/>
      <c r="G2177" s="2"/>
      <c r="H2177" s="2"/>
    </row>
    <row r="2178" spans="1:8" x14ac:dyDescent="0.25">
      <c r="A2178" s="1"/>
      <c r="B2178" s="1" t="s">
        <v>3754</v>
      </c>
      <c r="C2178" s="1" t="s">
        <v>3755</v>
      </c>
      <c r="D2178" s="22" t="str">
        <f>HYPERLINK("https://rhld.insurance.arkansas.gov/NPILookup?Npi=1023061850","1023061850")</f>
        <v>1023061850</v>
      </c>
      <c r="E2178" s="1" t="s">
        <v>118</v>
      </c>
      <c r="F2178" s="2"/>
      <c r="G2178" s="2"/>
      <c r="H2178" s="2"/>
    </row>
    <row r="2179" spans="1:8" x14ac:dyDescent="0.25">
      <c r="A2179" s="1"/>
      <c r="B2179" s="1" t="s">
        <v>3754</v>
      </c>
      <c r="C2179" s="1" t="s">
        <v>3755</v>
      </c>
      <c r="D2179" s="22" t="str">
        <f>HYPERLINK("https://rhld.insurance.arkansas.gov/NPILookup?Npi=1023070711","1023070711")</f>
        <v>1023070711</v>
      </c>
      <c r="E2179" s="1" t="s">
        <v>9781</v>
      </c>
      <c r="F2179" s="2"/>
      <c r="G2179" s="2"/>
      <c r="H2179" s="2"/>
    </row>
    <row r="2180" spans="1:8" x14ac:dyDescent="0.25">
      <c r="A2180" s="1"/>
      <c r="B2180" s="1" t="s">
        <v>3754</v>
      </c>
      <c r="C2180" s="1" t="s">
        <v>3755</v>
      </c>
      <c r="D2180" s="22" t="str">
        <f>HYPERLINK("https://rhld.insurance.arkansas.gov/NPILookup?Npi=1023072808","1023072808")</f>
        <v>1023072808</v>
      </c>
      <c r="E2180" s="1" t="s">
        <v>15704</v>
      </c>
      <c r="F2180" s="2"/>
      <c r="G2180" s="2"/>
      <c r="H2180" s="2"/>
    </row>
    <row r="2181" spans="1:8" x14ac:dyDescent="0.25">
      <c r="A2181" s="1"/>
      <c r="B2181" s="1" t="s">
        <v>3754</v>
      </c>
      <c r="C2181" s="1" t="s">
        <v>3755</v>
      </c>
      <c r="D2181" s="22" t="str">
        <f>HYPERLINK("https://rhld.insurance.arkansas.gov/NPILookup?Npi=1033108196","1033108196")</f>
        <v>1033108196</v>
      </c>
      <c r="E2181" s="1" t="s">
        <v>433</v>
      </c>
      <c r="F2181" s="2"/>
      <c r="G2181" s="2"/>
      <c r="H2181" s="2"/>
    </row>
    <row r="2182" spans="1:8" x14ac:dyDescent="0.25">
      <c r="A2182" s="1"/>
      <c r="B2182" s="1" t="s">
        <v>3754</v>
      </c>
      <c r="C2182" s="1" t="s">
        <v>3755</v>
      </c>
      <c r="D2182" s="22" t="str">
        <f>HYPERLINK("https://rhld.insurance.arkansas.gov/NPILookup?Npi=1033119474","1033119474")</f>
        <v>1033119474</v>
      </c>
      <c r="E2182" s="1" t="s">
        <v>15706</v>
      </c>
      <c r="F2182" s="2"/>
      <c r="G2182" s="2"/>
      <c r="H2182" s="2"/>
    </row>
    <row r="2183" spans="1:8" x14ac:dyDescent="0.25">
      <c r="A2183" s="1"/>
      <c r="B2183" s="1" t="s">
        <v>3754</v>
      </c>
      <c r="C2183" s="1" t="s">
        <v>3755</v>
      </c>
      <c r="D2183" s="22" t="str">
        <f>HYPERLINK("https://rhld.insurance.arkansas.gov/NPILookup?Npi=1033153614","1033153614")</f>
        <v>1033153614</v>
      </c>
      <c r="E2183" s="1" t="s">
        <v>15707</v>
      </c>
      <c r="F2183" s="2"/>
      <c r="G2183" s="2"/>
      <c r="H2183" s="2"/>
    </row>
    <row r="2184" spans="1:8" x14ac:dyDescent="0.25">
      <c r="A2184" s="1"/>
      <c r="B2184" s="1" t="s">
        <v>3754</v>
      </c>
      <c r="C2184" s="1" t="s">
        <v>3755</v>
      </c>
      <c r="D2184" s="22" t="str">
        <f>HYPERLINK("https://rhld.insurance.arkansas.gov/NPILookup?Npi=1033297031","1033297031")</f>
        <v>1033297031</v>
      </c>
      <c r="E2184" s="1" t="s">
        <v>9782</v>
      </c>
      <c r="F2184" s="2"/>
      <c r="G2184" s="2"/>
      <c r="H2184" s="2"/>
    </row>
    <row r="2185" spans="1:8" x14ac:dyDescent="0.25">
      <c r="A2185" s="1"/>
      <c r="B2185" s="1" t="s">
        <v>3754</v>
      </c>
      <c r="C2185" s="1" t="s">
        <v>3755</v>
      </c>
      <c r="D2185" s="22" t="str">
        <f>HYPERLINK("https://rhld.insurance.arkansas.gov/NPILookup?Npi=1033313671","1033313671")</f>
        <v>1033313671</v>
      </c>
      <c r="E2185" s="1" t="s">
        <v>31317</v>
      </c>
      <c r="F2185" s="2"/>
      <c r="G2185" s="2"/>
      <c r="H2185" s="2"/>
    </row>
    <row r="2186" spans="1:8" x14ac:dyDescent="0.25">
      <c r="A2186" s="1"/>
      <c r="B2186" s="1" t="s">
        <v>3754</v>
      </c>
      <c r="C2186" s="1" t="s">
        <v>3755</v>
      </c>
      <c r="D2186" s="22" t="str">
        <f>HYPERLINK("https://rhld.insurance.arkansas.gov/NPILookup?Npi=1033473285","1033473285")</f>
        <v>1033473285</v>
      </c>
      <c r="E2186" s="1" t="s">
        <v>15708</v>
      </c>
      <c r="F2186" s="2"/>
      <c r="G2186" s="2"/>
      <c r="H2186" s="2"/>
    </row>
    <row r="2187" spans="1:8" x14ac:dyDescent="0.25">
      <c r="A2187" s="1"/>
      <c r="B2187" s="1" t="s">
        <v>3754</v>
      </c>
      <c r="C2187" s="1" t="s">
        <v>3755</v>
      </c>
      <c r="D2187" s="22" t="str">
        <f>HYPERLINK("https://rhld.insurance.arkansas.gov/NPILookup?Npi=1033497888","1033497888")</f>
        <v>1033497888</v>
      </c>
      <c r="E2187" s="1" t="s">
        <v>3760</v>
      </c>
      <c r="F2187" s="2"/>
      <c r="G2187" s="2"/>
      <c r="H2187" s="2"/>
    </row>
    <row r="2188" spans="1:8" x14ac:dyDescent="0.25">
      <c r="A2188" s="1"/>
      <c r="B2188" s="1" t="s">
        <v>3754</v>
      </c>
      <c r="C2188" s="1" t="s">
        <v>3755</v>
      </c>
      <c r="D2188" s="22" t="str">
        <f>HYPERLINK("https://rhld.insurance.arkansas.gov/NPILookup?Npi=1043214323","1043214323")</f>
        <v>1043214323</v>
      </c>
      <c r="E2188" s="1" t="s">
        <v>15709</v>
      </c>
      <c r="F2188" s="2"/>
      <c r="G2188" s="2"/>
      <c r="H2188" s="2"/>
    </row>
    <row r="2189" spans="1:8" x14ac:dyDescent="0.25">
      <c r="A2189" s="1"/>
      <c r="B2189" s="1" t="s">
        <v>3754</v>
      </c>
      <c r="C2189" s="1" t="s">
        <v>3755</v>
      </c>
      <c r="D2189" s="22" t="str">
        <f>HYPERLINK("https://rhld.insurance.arkansas.gov/NPILookup?Npi=1043215023","1043215023")</f>
        <v>1043215023</v>
      </c>
      <c r="E2189" s="1" t="s">
        <v>9784</v>
      </c>
      <c r="F2189" s="2"/>
      <c r="G2189" s="2"/>
      <c r="H2189" s="2"/>
    </row>
    <row r="2190" spans="1:8" x14ac:dyDescent="0.25">
      <c r="A2190" s="1"/>
      <c r="B2190" s="1" t="s">
        <v>3754</v>
      </c>
      <c r="C2190" s="1" t="s">
        <v>3755</v>
      </c>
      <c r="D2190" s="22" t="str">
        <f>HYPERLINK("https://rhld.insurance.arkansas.gov/NPILookup?Npi=1043253511","1043253511")</f>
        <v>1043253511</v>
      </c>
      <c r="E2190" s="1" t="s">
        <v>1358</v>
      </c>
      <c r="F2190" s="2"/>
      <c r="G2190" s="2"/>
      <c r="H2190" s="2"/>
    </row>
    <row r="2191" spans="1:8" x14ac:dyDescent="0.25">
      <c r="A2191" s="1"/>
      <c r="B2191" s="1" t="s">
        <v>3754</v>
      </c>
      <c r="C2191" s="1" t="s">
        <v>3755</v>
      </c>
      <c r="D2191" s="22" t="str">
        <f>HYPERLINK("https://rhld.insurance.arkansas.gov/NPILookup?Npi=1043290836","1043290836")</f>
        <v>1043290836</v>
      </c>
      <c r="E2191" s="1" t="s">
        <v>9785</v>
      </c>
      <c r="F2191" s="2"/>
      <c r="G2191" s="2"/>
      <c r="H2191" s="2"/>
    </row>
    <row r="2192" spans="1:8" x14ac:dyDescent="0.25">
      <c r="A2192" s="1"/>
      <c r="B2192" s="1" t="s">
        <v>3754</v>
      </c>
      <c r="C2192" s="1" t="s">
        <v>3755</v>
      </c>
      <c r="D2192" s="22" t="str">
        <f>HYPERLINK("https://rhld.insurance.arkansas.gov/NPILookup?Npi=1043477136","1043477136")</f>
        <v>1043477136</v>
      </c>
      <c r="E2192" s="1" t="s">
        <v>9786</v>
      </c>
      <c r="F2192" s="2"/>
      <c r="G2192" s="2"/>
      <c r="H2192" s="2"/>
    </row>
    <row r="2193" spans="1:8" x14ac:dyDescent="0.25">
      <c r="A2193" s="1"/>
      <c r="B2193" s="1" t="s">
        <v>3754</v>
      </c>
      <c r="C2193" s="1" t="s">
        <v>3755</v>
      </c>
      <c r="D2193" s="22" t="str">
        <f>HYPERLINK("https://rhld.insurance.arkansas.gov/NPILookup?Npi=1043571029","1043571029")</f>
        <v>1043571029</v>
      </c>
      <c r="E2193" s="1" t="s">
        <v>3761</v>
      </c>
      <c r="F2193" s="2"/>
      <c r="G2193" s="2"/>
      <c r="H2193" s="2"/>
    </row>
    <row r="2194" spans="1:8" x14ac:dyDescent="0.25">
      <c r="A2194" s="1"/>
      <c r="B2194" s="1" t="s">
        <v>3754</v>
      </c>
      <c r="C2194" s="1" t="s">
        <v>3755</v>
      </c>
      <c r="D2194" s="22" t="str">
        <f>HYPERLINK("https://rhld.insurance.arkansas.gov/NPILookup?Npi=1053305466","1053305466")</f>
        <v>1053305466</v>
      </c>
      <c r="E2194" s="1" t="s">
        <v>3762</v>
      </c>
      <c r="F2194" s="2"/>
      <c r="G2194" s="2"/>
      <c r="H2194" s="2"/>
    </row>
    <row r="2195" spans="1:8" x14ac:dyDescent="0.25">
      <c r="A2195" s="1"/>
      <c r="B2195" s="1" t="s">
        <v>3754</v>
      </c>
      <c r="C2195" s="1" t="s">
        <v>3755</v>
      </c>
      <c r="D2195" s="22" t="str">
        <f>HYPERLINK("https://rhld.insurance.arkansas.gov/NPILookup?Npi=1053350256","1053350256")</f>
        <v>1053350256</v>
      </c>
      <c r="E2195" s="1" t="s">
        <v>1533</v>
      </c>
      <c r="F2195" s="2"/>
      <c r="G2195" s="2"/>
      <c r="H2195" s="2"/>
    </row>
    <row r="2196" spans="1:8" x14ac:dyDescent="0.25">
      <c r="A2196" s="1"/>
      <c r="B2196" s="1" t="s">
        <v>3754</v>
      </c>
      <c r="C2196" s="1" t="s">
        <v>3755</v>
      </c>
      <c r="D2196" s="22" t="str">
        <f>HYPERLINK("https://rhld.insurance.arkansas.gov/NPILookup?Npi=1053375857","1053375857")</f>
        <v>1053375857</v>
      </c>
      <c r="E2196" s="1" t="s">
        <v>9787</v>
      </c>
      <c r="F2196" s="2"/>
      <c r="G2196" s="2"/>
      <c r="H2196" s="2"/>
    </row>
    <row r="2197" spans="1:8" x14ac:dyDescent="0.25">
      <c r="A2197" s="1"/>
      <c r="B2197" s="1" t="s">
        <v>3754</v>
      </c>
      <c r="C2197" s="1" t="s">
        <v>3755</v>
      </c>
      <c r="D2197" s="22" t="str">
        <f>HYPERLINK("https://rhld.insurance.arkansas.gov/NPILookup?Npi=1053382473","1053382473")</f>
        <v>1053382473</v>
      </c>
      <c r="E2197" s="1" t="s">
        <v>15710</v>
      </c>
      <c r="F2197" s="2"/>
      <c r="G2197" s="2"/>
      <c r="H2197" s="2"/>
    </row>
    <row r="2198" spans="1:8" x14ac:dyDescent="0.25">
      <c r="A2198" s="1"/>
      <c r="B2198" s="1" t="s">
        <v>3754</v>
      </c>
      <c r="C2198" s="1" t="s">
        <v>3755</v>
      </c>
      <c r="D2198" s="22" t="str">
        <f>HYPERLINK("https://rhld.insurance.arkansas.gov/NPILookup?Npi=1053384974","1053384974")</f>
        <v>1053384974</v>
      </c>
      <c r="E2198" s="1" t="s">
        <v>9788</v>
      </c>
      <c r="F2198" s="2"/>
      <c r="G2198" s="2"/>
      <c r="H2198" s="2"/>
    </row>
    <row r="2199" spans="1:8" x14ac:dyDescent="0.25">
      <c r="A2199" s="1"/>
      <c r="B2199" s="1" t="s">
        <v>3754</v>
      </c>
      <c r="C2199" s="1" t="s">
        <v>3755</v>
      </c>
      <c r="D2199" s="22" t="str">
        <f>HYPERLINK("https://rhld.insurance.arkansas.gov/NPILookup?Npi=1063442572","1063442572")</f>
        <v>1063442572</v>
      </c>
      <c r="E2199" s="1" t="s">
        <v>15711</v>
      </c>
      <c r="F2199" s="2"/>
      <c r="G2199" s="2"/>
      <c r="H2199" s="2"/>
    </row>
    <row r="2200" spans="1:8" x14ac:dyDescent="0.25">
      <c r="A2200" s="1"/>
      <c r="B2200" s="1" t="s">
        <v>3754</v>
      </c>
      <c r="C2200" s="1" t="s">
        <v>3755</v>
      </c>
      <c r="D2200" s="22" t="str">
        <f>HYPERLINK("https://rhld.insurance.arkansas.gov/NPILookup?Npi=1063532828","1063532828")</f>
        <v>1063532828</v>
      </c>
      <c r="E2200" s="1" t="s">
        <v>31318</v>
      </c>
      <c r="F2200" s="2"/>
      <c r="G2200" s="2"/>
      <c r="H2200" s="2"/>
    </row>
    <row r="2201" spans="1:8" x14ac:dyDescent="0.25">
      <c r="A2201" s="1"/>
      <c r="B2201" s="1" t="s">
        <v>3754</v>
      </c>
      <c r="C2201" s="1" t="s">
        <v>3755</v>
      </c>
      <c r="D2201" s="22" t="str">
        <f>HYPERLINK("https://rhld.insurance.arkansas.gov/NPILookup?Npi=1063655637","1063655637")</f>
        <v>1063655637</v>
      </c>
      <c r="E2201" s="1" t="s">
        <v>441</v>
      </c>
      <c r="F2201" s="2"/>
      <c r="G2201" s="2"/>
      <c r="H2201" s="2"/>
    </row>
    <row r="2202" spans="1:8" x14ac:dyDescent="0.25">
      <c r="A2202" s="1"/>
      <c r="B2202" s="1" t="s">
        <v>3754</v>
      </c>
      <c r="C2202" s="1" t="s">
        <v>3755</v>
      </c>
      <c r="D2202" s="22" t="str">
        <f>HYPERLINK("https://rhld.insurance.arkansas.gov/NPILookup?Npi=1063905602","1063905602")</f>
        <v>1063905602</v>
      </c>
      <c r="E2202" s="1" t="s">
        <v>15712</v>
      </c>
      <c r="F2202" s="2"/>
      <c r="G2202" s="2"/>
      <c r="H2202" s="2"/>
    </row>
    <row r="2203" spans="1:8" x14ac:dyDescent="0.25">
      <c r="A2203" s="1"/>
      <c r="B2203" s="1" t="s">
        <v>3754</v>
      </c>
      <c r="C2203" s="1" t="s">
        <v>3755</v>
      </c>
      <c r="D2203" s="22" t="str">
        <f>HYPERLINK("https://rhld.insurance.arkansas.gov/NPILookup?Npi=1073513008","1073513008")</f>
        <v>1073513008</v>
      </c>
      <c r="E2203" s="1" t="s">
        <v>15713</v>
      </c>
      <c r="F2203" s="2"/>
      <c r="G2203" s="2"/>
      <c r="H2203" s="2"/>
    </row>
    <row r="2204" spans="1:8" x14ac:dyDescent="0.25">
      <c r="A2204" s="1"/>
      <c r="B2204" s="1" t="s">
        <v>3754</v>
      </c>
      <c r="C2204" s="1" t="s">
        <v>3755</v>
      </c>
      <c r="D2204" s="22" t="str">
        <f>HYPERLINK("https://rhld.insurance.arkansas.gov/NPILookup?Npi=1073525515","1073525515")</f>
        <v>1073525515</v>
      </c>
      <c r="E2204" s="1" t="s">
        <v>3763</v>
      </c>
      <c r="F2204" s="2"/>
      <c r="G2204" s="2"/>
      <c r="H2204" s="2"/>
    </row>
    <row r="2205" spans="1:8" x14ac:dyDescent="0.25">
      <c r="A2205" s="1"/>
      <c r="B2205" s="1" t="s">
        <v>3754</v>
      </c>
      <c r="C2205" s="1" t="s">
        <v>3755</v>
      </c>
      <c r="D2205" s="22" t="str">
        <f>HYPERLINK("https://rhld.insurance.arkansas.gov/NPILookup?Npi=1073538534","1073538534")</f>
        <v>1073538534</v>
      </c>
      <c r="E2205" s="1" t="s">
        <v>3764</v>
      </c>
      <c r="F2205" s="2"/>
      <c r="G2205" s="2"/>
      <c r="H2205" s="2"/>
    </row>
    <row r="2206" spans="1:8" x14ac:dyDescent="0.25">
      <c r="A2206" s="1"/>
      <c r="B2206" s="1" t="s">
        <v>3754</v>
      </c>
      <c r="C2206" s="1" t="s">
        <v>3755</v>
      </c>
      <c r="D2206" s="22" t="str">
        <f>HYPERLINK("https://rhld.insurance.arkansas.gov/NPILookup?Npi=1073538823","1073538823")</f>
        <v>1073538823</v>
      </c>
      <c r="E2206" s="1" t="s">
        <v>3765</v>
      </c>
      <c r="F2206" s="2"/>
      <c r="G2206" s="2"/>
      <c r="H2206" s="2"/>
    </row>
    <row r="2207" spans="1:8" x14ac:dyDescent="0.25">
      <c r="A2207" s="1"/>
      <c r="B2207" s="1" t="s">
        <v>3754</v>
      </c>
      <c r="C2207" s="1" t="s">
        <v>3755</v>
      </c>
      <c r="D2207" s="22" t="str">
        <f>HYPERLINK("https://rhld.insurance.arkansas.gov/NPILookup?Npi=1073557922","1073557922")</f>
        <v>1073557922</v>
      </c>
      <c r="E2207" s="1" t="s">
        <v>3766</v>
      </c>
      <c r="F2207" s="2"/>
      <c r="G2207" s="2"/>
      <c r="H2207" s="2"/>
    </row>
    <row r="2208" spans="1:8" x14ac:dyDescent="0.25">
      <c r="A2208" s="1"/>
      <c r="B2208" s="1" t="s">
        <v>3754</v>
      </c>
      <c r="C2208" s="1" t="s">
        <v>3755</v>
      </c>
      <c r="D2208" s="22" t="str">
        <f>HYPERLINK("https://rhld.insurance.arkansas.gov/NPILookup?Npi=1073576625","1073576625")</f>
        <v>1073576625</v>
      </c>
      <c r="E2208" s="1" t="s">
        <v>9789</v>
      </c>
      <c r="F2208" s="2"/>
      <c r="G2208" s="2"/>
      <c r="H2208" s="2"/>
    </row>
    <row r="2209" spans="1:8" x14ac:dyDescent="0.25">
      <c r="A2209" s="1"/>
      <c r="B2209" s="1" t="s">
        <v>3754</v>
      </c>
      <c r="C2209" s="1" t="s">
        <v>3755</v>
      </c>
      <c r="D2209" s="22" t="str">
        <f>HYPERLINK("https://rhld.insurance.arkansas.gov/NPILookup?Npi=1073617775","1073617775")</f>
        <v>1073617775</v>
      </c>
      <c r="E2209" s="1" t="s">
        <v>2246</v>
      </c>
      <c r="F2209" s="2"/>
      <c r="G2209" s="2"/>
      <c r="H2209" s="2"/>
    </row>
    <row r="2210" spans="1:8" x14ac:dyDescent="0.25">
      <c r="A2210" s="1"/>
      <c r="B2210" s="1" t="s">
        <v>3754</v>
      </c>
      <c r="C2210" s="1" t="s">
        <v>3755</v>
      </c>
      <c r="D2210" s="22" t="str">
        <f>HYPERLINK("https://rhld.insurance.arkansas.gov/NPILookup?Npi=1073635132","1073635132")</f>
        <v>1073635132</v>
      </c>
      <c r="E2210" s="1" t="s">
        <v>3767</v>
      </c>
      <c r="F2210" s="2"/>
      <c r="G2210" s="2"/>
      <c r="H2210" s="2"/>
    </row>
    <row r="2211" spans="1:8" x14ac:dyDescent="0.25">
      <c r="A2211" s="1"/>
      <c r="B2211" s="1" t="s">
        <v>3754</v>
      </c>
      <c r="C2211" s="1" t="s">
        <v>3755</v>
      </c>
      <c r="D2211" s="22" t="str">
        <f>HYPERLINK("https://rhld.insurance.arkansas.gov/NPILookup?Npi=1073731592","1073731592")</f>
        <v>1073731592</v>
      </c>
      <c r="E2211" s="1" t="s">
        <v>15714</v>
      </c>
      <c r="F2211" s="2"/>
      <c r="G2211" s="2"/>
      <c r="H2211" s="2"/>
    </row>
    <row r="2212" spans="1:8" x14ac:dyDescent="0.25">
      <c r="A2212" s="1"/>
      <c r="B2212" s="1" t="s">
        <v>3754</v>
      </c>
      <c r="C2212" s="1" t="s">
        <v>3755</v>
      </c>
      <c r="D2212" s="22" t="str">
        <f>HYPERLINK("https://rhld.insurance.arkansas.gov/NPILookup?Npi=1073736682","1073736682")</f>
        <v>1073736682</v>
      </c>
      <c r="E2212" s="1" t="s">
        <v>15715</v>
      </c>
      <c r="F2212" s="2"/>
      <c r="G2212" s="2"/>
      <c r="H2212" s="2"/>
    </row>
    <row r="2213" spans="1:8" x14ac:dyDescent="0.25">
      <c r="A2213" s="1"/>
      <c r="B2213" s="1" t="s">
        <v>3754</v>
      </c>
      <c r="C2213" s="1" t="s">
        <v>3755</v>
      </c>
      <c r="D2213" s="22" t="str">
        <f>HYPERLINK("https://rhld.insurance.arkansas.gov/NPILookup?Npi=1073806618","1073806618")</f>
        <v>1073806618</v>
      </c>
      <c r="E2213" s="1" t="s">
        <v>15716</v>
      </c>
      <c r="F2213" s="2"/>
      <c r="G2213" s="2"/>
      <c r="H2213" s="2"/>
    </row>
    <row r="2214" spans="1:8" x14ac:dyDescent="0.25">
      <c r="A2214" s="1"/>
      <c r="B2214" s="1" t="s">
        <v>3754</v>
      </c>
      <c r="C2214" s="1" t="s">
        <v>3755</v>
      </c>
      <c r="D2214" s="22" t="str">
        <f>HYPERLINK("https://rhld.insurance.arkansas.gov/NPILookup?Npi=1083001382","1083001382")</f>
        <v>1083001382</v>
      </c>
      <c r="E2214" s="1" t="s">
        <v>15717</v>
      </c>
      <c r="F2214" s="2"/>
      <c r="G2214" s="2"/>
      <c r="H2214" s="2"/>
    </row>
    <row r="2215" spans="1:8" x14ac:dyDescent="0.25">
      <c r="A2215" s="1"/>
      <c r="B2215" s="1" t="s">
        <v>3754</v>
      </c>
      <c r="C2215" s="1" t="s">
        <v>3755</v>
      </c>
      <c r="D2215" s="22" t="str">
        <f>HYPERLINK("https://rhld.insurance.arkansas.gov/NPILookup?Npi=1083024970","1083024970")</f>
        <v>1083024970</v>
      </c>
      <c r="E2215" s="1" t="s">
        <v>3768</v>
      </c>
      <c r="F2215" s="2"/>
      <c r="G2215" s="2"/>
      <c r="H2215" s="2"/>
    </row>
    <row r="2216" spans="1:8" x14ac:dyDescent="0.25">
      <c r="A2216" s="1"/>
      <c r="B2216" s="1" t="s">
        <v>3754</v>
      </c>
      <c r="C2216" s="1" t="s">
        <v>3755</v>
      </c>
      <c r="D2216" s="22" t="str">
        <f>HYPERLINK("https://rhld.insurance.arkansas.gov/NPILookup?Npi=1083033757","1083033757")</f>
        <v>1083033757</v>
      </c>
      <c r="E2216" s="1" t="s">
        <v>3769</v>
      </c>
      <c r="F2216" s="2"/>
      <c r="G2216" s="2"/>
      <c r="H2216" s="2"/>
    </row>
    <row r="2217" spans="1:8" x14ac:dyDescent="0.25">
      <c r="A2217" s="1"/>
      <c r="B2217" s="1" t="s">
        <v>3754</v>
      </c>
      <c r="C2217" s="1" t="s">
        <v>3755</v>
      </c>
      <c r="D2217" s="22" t="str">
        <f>HYPERLINK("https://rhld.insurance.arkansas.gov/NPILookup?Npi=1083055214","1083055214")</f>
        <v>1083055214</v>
      </c>
      <c r="E2217" s="1" t="s">
        <v>15718</v>
      </c>
      <c r="F2217" s="2"/>
      <c r="G2217" s="2"/>
      <c r="H2217" s="2"/>
    </row>
    <row r="2218" spans="1:8" x14ac:dyDescent="0.25">
      <c r="A2218" s="1"/>
      <c r="B2218" s="1" t="s">
        <v>3754</v>
      </c>
      <c r="C2218" s="1" t="s">
        <v>3755</v>
      </c>
      <c r="D2218" s="22" t="str">
        <f>HYPERLINK("https://rhld.insurance.arkansas.gov/NPILookup?Npi=1083608889","1083608889")</f>
        <v>1083608889</v>
      </c>
      <c r="E2218" s="1" t="s">
        <v>15719</v>
      </c>
      <c r="F2218" s="2"/>
      <c r="G2218" s="2"/>
      <c r="H2218" s="2"/>
    </row>
    <row r="2219" spans="1:8" x14ac:dyDescent="0.25">
      <c r="A2219" s="1"/>
      <c r="B2219" s="1" t="s">
        <v>3754</v>
      </c>
      <c r="C2219" s="1" t="s">
        <v>3755</v>
      </c>
      <c r="D2219" s="22" t="str">
        <f>HYPERLINK("https://rhld.insurance.arkansas.gov/NPILookup?Npi=1083658132","1083658132")</f>
        <v>1083658132</v>
      </c>
      <c r="E2219" s="1" t="s">
        <v>15720</v>
      </c>
      <c r="F2219" s="2"/>
      <c r="G2219" s="2"/>
      <c r="H2219" s="2"/>
    </row>
    <row r="2220" spans="1:8" x14ac:dyDescent="0.25">
      <c r="A2220" s="1"/>
      <c r="B2220" s="1" t="s">
        <v>3754</v>
      </c>
      <c r="C2220" s="1" t="s">
        <v>3755</v>
      </c>
      <c r="D2220" s="22" t="str">
        <f>HYPERLINK("https://rhld.insurance.arkansas.gov/NPILookup?Npi=1083703904","1083703904")</f>
        <v>1083703904</v>
      </c>
      <c r="E2220" s="1" t="s">
        <v>3473</v>
      </c>
      <c r="F2220" s="2"/>
      <c r="G2220" s="2"/>
      <c r="H2220" s="2"/>
    </row>
    <row r="2221" spans="1:8" x14ac:dyDescent="0.25">
      <c r="A2221" s="1"/>
      <c r="B2221" s="1" t="s">
        <v>3754</v>
      </c>
      <c r="C2221" s="1" t="s">
        <v>3755</v>
      </c>
      <c r="D2221" s="22" t="str">
        <f>HYPERLINK("https://rhld.insurance.arkansas.gov/NPILookup?Npi=1083799985","1083799985")</f>
        <v>1083799985</v>
      </c>
      <c r="E2221" s="1" t="s">
        <v>15721</v>
      </c>
      <c r="F2221" s="2"/>
      <c r="G2221" s="2"/>
      <c r="H2221" s="2"/>
    </row>
    <row r="2222" spans="1:8" x14ac:dyDescent="0.25">
      <c r="A2222" s="1"/>
      <c r="B2222" s="1" t="s">
        <v>3754</v>
      </c>
      <c r="C2222" s="1" t="s">
        <v>3755</v>
      </c>
      <c r="D2222" s="22" t="str">
        <f>HYPERLINK("https://rhld.insurance.arkansas.gov/NPILookup?Npi=1093014441","1093014441")</f>
        <v>1093014441</v>
      </c>
      <c r="E2222" s="1" t="s">
        <v>15722</v>
      </c>
      <c r="F2222" s="2"/>
      <c r="G2222" s="2"/>
      <c r="H2222" s="2"/>
    </row>
    <row r="2223" spans="1:8" x14ac:dyDescent="0.25">
      <c r="A2223" s="1"/>
      <c r="B2223" s="1" t="s">
        <v>3754</v>
      </c>
      <c r="C2223" s="1" t="s">
        <v>3755</v>
      </c>
      <c r="D2223" s="22" t="str">
        <f>HYPERLINK("https://rhld.insurance.arkansas.gov/NPILookup?Npi=1093100976","1093100976")</f>
        <v>1093100976</v>
      </c>
      <c r="E2223" s="1" t="s">
        <v>9790</v>
      </c>
      <c r="F2223" s="2"/>
      <c r="G2223" s="2"/>
      <c r="H2223" s="2"/>
    </row>
    <row r="2224" spans="1:8" x14ac:dyDescent="0.25">
      <c r="A2224" s="1"/>
      <c r="B2224" s="1" t="s">
        <v>3754</v>
      </c>
      <c r="C2224" s="1" t="s">
        <v>3755</v>
      </c>
      <c r="D2224" s="22" t="str">
        <f>HYPERLINK("https://rhld.insurance.arkansas.gov/NPILookup?Npi=1093734949","1093734949")</f>
        <v>1093734949</v>
      </c>
      <c r="E2224" s="1" t="s">
        <v>9791</v>
      </c>
      <c r="F2224" s="2"/>
      <c r="G2224" s="2"/>
      <c r="H2224" s="2"/>
    </row>
    <row r="2225" spans="1:8" x14ac:dyDescent="0.25">
      <c r="A2225" s="1"/>
      <c r="B2225" s="1" t="s">
        <v>3754</v>
      </c>
      <c r="C2225" s="1" t="s">
        <v>3755</v>
      </c>
      <c r="D2225" s="22" t="str">
        <f>HYPERLINK("https://rhld.insurance.arkansas.gov/NPILookup?Npi=1093805657","1093805657")</f>
        <v>1093805657</v>
      </c>
      <c r="E2225" s="1" t="s">
        <v>15723</v>
      </c>
      <c r="F2225" s="2"/>
      <c r="G2225" s="2"/>
      <c r="H2225" s="2"/>
    </row>
    <row r="2226" spans="1:8" x14ac:dyDescent="0.25">
      <c r="A2226" s="1"/>
      <c r="B2226" s="1" t="s">
        <v>3754</v>
      </c>
      <c r="C2226" s="1" t="s">
        <v>3755</v>
      </c>
      <c r="D2226" s="22" t="str">
        <f>HYPERLINK("https://rhld.insurance.arkansas.gov/NPILookup?Npi=1093891269","1093891269")</f>
        <v>1093891269</v>
      </c>
      <c r="E2226" s="1" t="s">
        <v>15724</v>
      </c>
      <c r="F2226" s="2"/>
      <c r="G2226" s="2"/>
      <c r="H2226" s="2"/>
    </row>
    <row r="2227" spans="1:8" x14ac:dyDescent="0.25">
      <c r="A2227" s="1"/>
      <c r="B2227" s="1" t="s">
        <v>3754</v>
      </c>
      <c r="C2227" s="1" t="s">
        <v>3755</v>
      </c>
      <c r="D2227" s="22" t="str">
        <f>HYPERLINK("https://rhld.insurance.arkansas.gov/NPILookup?Npi=1093921090","1093921090")</f>
        <v>1093921090</v>
      </c>
      <c r="E2227" s="1" t="s">
        <v>3771</v>
      </c>
      <c r="F2227" s="2"/>
      <c r="G2227" s="2"/>
      <c r="H2227" s="2"/>
    </row>
    <row r="2228" spans="1:8" x14ac:dyDescent="0.25">
      <c r="A2228" s="1"/>
      <c r="B2228" s="1" t="s">
        <v>3754</v>
      </c>
      <c r="C2228" s="1" t="s">
        <v>3755</v>
      </c>
      <c r="D2228" s="22" t="str">
        <f>HYPERLINK("https://rhld.insurance.arkansas.gov/NPILookup?Npi=1093980526","1093980526")</f>
        <v>1093980526</v>
      </c>
      <c r="E2228" s="1" t="s">
        <v>15725</v>
      </c>
      <c r="F2228" s="2"/>
      <c r="G2228" s="2"/>
      <c r="H2228" s="2"/>
    </row>
    <row r="2229" spans="1:8" x14ac:dyDescent="0.25">
      <c r="A2229" s="1"/>
      <c r="B2229" s="1" t="s">
        <v>3754</v>
      </c>
      <c r="C2229" s="1" t="s">
        <v>3755</v>
      </c>
      <c r="D2229" s="22" t="str">
        <f>HYPERLINK("https://rhld.insurance.arkansas.gov/NPILookup?Npi=1104237007","1104237007")</f>
        <v>1104237007</v>
      </c>
      <c r="E2229" s="1" t="s">
        <v>3772</v>
      </c>
      <c r="F2229" s="2"/>
      <c r="G2229" s="2"/>
      <c r="H2229" s="2"/>
    </row>
    <row r="2230" spans="1:8" x14ac:dyDescent="0.25">
      <c r="A2230" s="1"/>
      <c r="B2230" s="1" t="s">
        <v>3754</v>
      </c>
      <c r="C2230" s="1" t="s">
        <v>3755</v>
      </c>
      <c r="D2230" s="22" t="str">
        <f>HYPERLINK("https://rhld.insurance.arkansas.gov/NPILookup?Npi=1104287747","1104287747")</f>
        <v>1104287747</v>
      </c>
      <c r="E2230" s="1" t="s">
        <v>3773</v>
      </c>
      <c r="F2230" s="2"/>
      <c r="G2230" s="2"/>
      <c r="H2230" s="2"/>
    </row>
    <row r="2231" spans="1:8" x14ac:dyDescent="0.25">
      <c r="A2231" s="1"/>
      <c r="B2231" s="1" t="s">
        <v>3754</v>
      </c>
      <c r="C2231" s="1" t="s">
        <v>3755</v>
      </c>
      <c r="D2231" s="22" t="str">
        <f>HYPERLINK("https://rhld.insurance.arkansas.gov/NPILookup?Npi=1104862200","1104862200")</f>
        <v>1104862200</v>
      </c>
      <c r="E2231" s="1" t="s">
        <v>15726</v>
      </c>
      <c r="F2231" s="2"/>
      <c r="G2231" s="2"/>
      <c r="H2231" s="2"/>
    </row>
    <row r="2232" spans="1:8" x14ac:dyDescent="0.25">
      <c r="A2232" s="1"/>
      <c r="B2232" s="1" t="s">
        <v>3754</v>
      </c>
      <c r="C2232" s="1" t="s">
        <v>3755</v>
      </c>
      <c r="D2232" s="22" t="str">
        <f>HYPERLINK("https://rhld.insurance.arkansas.gov/NPILookup?Npi=1104871433","1104871433")</f>
        <v>1104871433</v>
      </c>
      <c r="E2232" s="1" t="s">
        <v>3774</v>
      </c>
      <c r="F2232" s="2"/>
      <c r="G2232" s="2"/>
      <c r="H2232" s="2"/>
    </row>
    <row r="2233" spans="1:8" x14ac:dyDescent="0.25">
      <c r="A2233" s="1"/>
      <c r="B2233" s="1" t="s">
        <v>3754</v>
      </c>
      <c r="C2233" s="1" t="s">
        <v>3755</v>
      </c>
      <c r="D2233" s="22" t="str">
        <f>HYPERLINK("https://rhld.insurance.arkansas.gov/NPILookup?Npi=1104893858","1104893858")</f>
        <v>1104893858</v>
      </c>
      <c r="E2233" s="1" t="s">
        <v>9792</v>
      </c>
      <c r="F2233" s="2"/>
      <c r="G2233" s="2"/>
      <c r="H2233" s="2"/>
    </row>
    <row r="2234" spans="1:8" x14ac:dyDescent="0.25">
      <c r="A2234" s="1"/>
      <c r="B2234" s="1" t="s">
        <v>3754</v>
      </c>
      <c r="C2234" s="1" t="s">
        <v>3755</v>
      </c>
      <c r="D2234" s="22" t="str">
        <f>HYPERLINK("https://rhld.insurance.arkansas.gov/NPILookup?Npi=1104896497","1104896497")</f>
        <v>1104896497</v>
      </c>
      <c r="E2234" s="1" t="s">
        <v>9793</v>
      </c>
      <c r="F2234" s="2"/>
      <c r="G2234" s="2"/>
      <c r="H2234" s="2"/>
    </row>
    <row r="2235" spans="1:8" x14ac:dyDescent="0.25">
      <c r="A2235" s="1"/>
      <c r="B2235" s="1" t="s">
        <v>3754</v>
      </c>
      <c r="C2235" s="1" t="s">
        <v>3755</v>
      </c>
      <c r="D2235" s="22" t="str">
        <f>HYPERLINK("https://rhld.insurance.arkansas.gov/NPILookup?Npi=1104916600","1104916600")</f>
        <v>1104916600</v>
      </c>
      <c r="E2235" s="1" t="s">
        <v>442</v>
      </c>
      <c r="F2235" s="2"/>
      <c r="G2235" s="2"/>
      <c r="H2235" s="2"/>
    </row>
    <row r="2236" spans="1:8" x14ac:dyDescent="0.25">
      <c r="A2236" s="1"/>
      <c r="B2236" s="1" t="s">
        <v>3754</v>
      </c>
      <c r="C2236" s="1" t="s">
        <v>3755</v>
      </c>
      <c r="D2236" s="22" t="str">
        <f>HYPERLINK("https://rhld.insurance.arkansas.gov/NPILookup?Npi=1104919182","1104919182")</f>
        <v>1104919182</v>
      </c>
      <c r="E2236" s="1" t="s">
        <v>225</v>
      </c>
      <c r="F2236" s="2"/>
      <c r="G2236" s="2"/>
      <c r="H2236" s="2"/>
    </row>
    <row r="2237" spans="1:8" x14ac:dyDescent="0.25">
      <c r="A2237" s="1"/>
      <c r="B2237" s="1" t="s">
        <v>3754</v>
      </c>
      <c r="C2237" s="1" t="s">
        <v>3755</v>
      </c>
      <c r="D2237" s="22" t="str">
        <f>HYPERLINK("https://rhld.insurance.arkansas.gov/NPILookup?Npi=1104939636","1104939636")</f>
        <v>1104939636</v>
      </c>
      <c r="E2237" s="1" t="s">
        <v>15727</v>
      </c>
      <c r="F2237" s="2"/>
      <c r="G2237" s="2"/>
      <c r="H2237" s="2"/>
    </row>
    <row r="2238" spans="1:8" x14ac:dyDescent="0.25">
      <c r="A2238" s="1"/>
      <c r="B2238" s="1" t="s">
        <v>3754</v>
      </c>
      <c r="C2238" s="1" t="s">
        <v>3755</v>
      </c>
      <c r="D2238" s="22" t="str">
        <f>HYPERLINK("https://rhld.insurance.arkansas.gov/NPILookup?Npi=1114098043","1114098043")</f>
        <v>1114098043</v>
      </c>
      <c r="E2238" s="1" t="s">
        <v>15728</v>
      </c>
      <c r="F2238" s="2"/>
      <c r="G2238" s="2"/>
      <c r="H2238" s="2"/>
    </row>
    <row r="2239" spans="1:8" x14ac:dyDescent="0.25">
      <c r="A2239" s="1"/>
      <c r="B2239" s="1" t="s">
        <v>3754</v>
      </c>
      <c r="C2239" s="1" t="s">
        <v>3755</v>
      </c>
      <c r="D2239" s="22" t="str">
        <f>HYPERLINK("https://rhld.insurance.arkansas.gov/NPILookup?Npi=1114241619","1114241619")</f>
        <v>1114241619</v>
      </c>
      <c r="E2239" s="1" t="s">
        <v>31319</v>
      </c>
      <c r="F2239" s="2"/>
      <c r="G2239" s="2"/>
      <c r="H2239" s="2"/>
    </row>
    <row r="2240" spans="1:8" x14ac:dyDescent="0.25">
      <c r="A2240" s="1"/>
      <c r="B2240" s="1" t="s">
        <v>3754</v>
      </c>
      <c r="C2240" s="1" t="s">
        <v>3755</v>
      </c>
      <c r="D2240" s="22" t="str">
        <f>HYPERLINK("https://rhld.insurance.arkansas.gov/NPILookup?Npi=1114919107","1114919107")</f>
        <v>1114919107</v>
      </c>
      <c r="E2240" s="1" t="s">
        <v>3474</v>
      </c>
      <c r="F2240" s="2"/>
      <c r="G2240" s="2"/>
      <c r="H2240" s="2"/>
    </row>
    <row r="2241" spans="1:8" x14ac:dyDescent="0.25">
      <c r="A2241" s="1"/>
      <c r="B2241" s="1" t="s">
        <v>3754</v>
      </c>
      <c r="C2241" s="1" t="s">
        <v>3755</v>
      </c>
      <c r="D2241" s="22" t="str">
        <f>HYPERLINK("https://rhld.insurance.arkansas.gov/NPILookup?Npi=1124015243","1124015243")</f>
        <v>1124015243</v>
      </c>
      <c r="E2241" s="1" t="s">
        <v>15729</v>
      </c>
      <c r="F2241" s="2"/>
      <c r="G2241" s="2"/>
      <c r="H2241" s="2"/>
    </row>
    <row r="2242" spans="1:8" x14ac:dyDescent="0.25">
      <c r="A2242" s="1"/>
      <c r="B2242" s="1" t="s">
        <v>3754</v>
      </c>
      <c r="C2242" s="1" t="s">
        <v>3755</v>
      </c>
      <c r="D2242" s="22" t="str">
        <f>HYPERLINK("https://rhld.insurance.arkansas.gov/NPILookup?Npi=1124023056","1124023056")</f>
        <v>1124023056</v>
      </c>
      <c r="E2242" s="1" t="s">
        <v>15730</v>
      </c>
      <c r="F2242" s="2"/>
      <c r="G2242" s="2"/>
      <c r="H2242" s="2"/>
    </row>
    <row r="2243" spans="1:8" x14ac:dyDescent="0.25">
      <c r="A2243" s="1"/>
      <c r="B2243" s="1" t="s">
        <v>3754</v>
      </c>
      <c r="C2243" s="1" t="s">
        <v>3755</v>
      </c>
      <c r="D2243" s="22" t="str">
        <f>HYPERLINK("https://rhld.insurance.arkansas.gov/NPILookup?Npi=1124030002","1124030002")</f>
        <v>1124030002</v>
      </c>
      <c r="E2243" s="1" t="s">
        <v>1156</v>
      </c>
      <c r="F2243" s="2"/>
      <c r="G2243" s="2"/>
      <c r="H2243" s="2"/>
    </row>
    <row r="2244" spans="1:8" x14ac:dyDescent="0.25">
      <c r="A2244" s="1"/>
      <c r="B2244" s="1" t="s">
        <v>3754</v>
      </c>
      <c r="C2244" s="1" t="s">
        <v>3755</v>
      </c>
      <c r="D2244" s="22" t="str">
        <f>HYPERLINK("https://rhld.insurance.arkansas.gov/NPILookup?Npi=1124122700","1124122700")</f>
        <v>1124122700</v>
      </c>
      <c r="E2244" s="1" t="s">
        <v>2247</v>
      </c>
      <c r="F2244" s="2"/>
      <c r="G2244" s="2"/>
      <c r="H2244" s="2"/>
    </row>
    <row r="2245" spans="1:8" x14ac:dyDescent="0.25">
      <c r="A2245" s="1"/>
      <c r="B2245" s="1" t="s">
        <v>3754</v>
      </c>
      <c r="C2245" s="1" t="s">
        <v>3755</v>
      </c>
      <c r="D2245" s="22" t="str">
        <f>HYPERLINK("https://rhld.insurance.arkansas.gov/NPILookup?Npi=1124156633","1124156633")</f>
        <v>1124156633</v>
      </c>
      <c r="E2245" s="1" t="s">
        <v>9794</v>
      </c>
      <c r="F2245" s="2"/>
      <c r="G2245" s="2"/>
      <c r="H2245" s="2"/>
    </row>
    <row r="2246" spans="1:8" x14ac:dyDescent="0.25">
      <c r="A2246" s="1"/>
      <c r="B2246" s="1" t="s">
        <v>3754</v>
      </c>
      <c r="C2246" s="1" t="s">
        <v>3755</v>
      </c>
      <c r="D2246" s="22" t="str">
        <f>HYPERLINK("https://rhld.insurance.arkansas.gov/NPILookup?Npi=1124209663","1124209663")</f>
        <v>1124209663</v>
      </c>
      <c r="E2246" s="1" t="s">
        <v>15731</v>
      </c>
      <c r="F2246" s="2"/>
      <c r="G2246" s="2"/>
      <c r="H2246" s="2"/>
    </row>
    <row r="2247" spans="1:8" x14ac:dyDescent="0.25">
      <c r="A2247" s="1"/>
      <c r="B2247" s="1" t="s">
        <v>3754</v>
      </c>
      <c r="C2247" s="1" t="s">
        <v>3755</v>
      </c>
      <c r="D2247" s="22" t="str">
        <f>HYPERLINK("https://rhld.insurance.arkansas.gov/NPILookup?Npi=1124317854","1124317854")</f>
        <v>1124317854</v>
      </c>
      <c r="E2247" s="1" t="s">
        <v>2248</v>
      </c>
      <c r="F2247" s="2"/>
      <c r="G2247" s="2"/>
      <c r="H2247" s="2"/>
    </row>
    <row r="2248" spans="1:8" x14ac:dyDescent="0.25">
      <c r="A2248" s="1"/>
      <c r="B2248" s="1" t="s">
        <v>3754</v>
      </c>
      <c r="C2248" s="1" t="s">
        <v>3755</v>
      </c>
      <c r="D2248" s="22" t="str">
        <f>HYPERLINK("https://rhld.insurance.arkansas.gov/NPILookup?Npi=1134184633","1134184633")</f>
        <v>1134184633</v>
      </c>
      <c r="E2248" s="1" t="s">
        <v>15732</v>
      </c>
      <c r="F2248" s="2"/>
      <c r="G2248" s="2"/>
      <c r="H2248" s="2"/>
    </row>
    <row r="2249" spans="1:8" x14ac:dyDescent="0.25">
      <c r="A2249" s="1"/>
      <c r="B2249" s="1" t="s">
        <v>3754</v>
      </c>
      <c r="C2249" s="1" t="s">
        <v>3755</v>
      </c>
      <c r="D2249" s="22" t="str">
        <f>HYPERLINK("https://rhld.insurance.arkansas.gov/NPILookup?Npi=1134304512","1134304512")</f>
        <v>1134304512</v>
      </c>
      <c r="E2249" s="1" t="s">
        <v>3775</v>
      </c>
      <c r="F2249" s="2"/>
      <c r="G2249" s="2"/>
      <c r="H2249" s="2"/>
    </row>
    <row r="2250" spans="1:8" x14ac:dyDescent="0.25">
      <c r="A2250" s="1"/>
      <c r="B2250" s="1" t="s">
        <v>3754</v>
      </c>
      <c r="C2250" s="1" t="s">
        <v>3755</v>
      </c>
      <c r="D2250" s="22" t="str">
        <f>HYPERLINK("https://rhld.insurance.arkansas.gov/NPILookup?Npi=1134314511","1134314511")</f>
        <v>1134314511</v>
      </c>
      <c r="E2250" s="1" t="s">
        <v>15733</v>
      </c>
      <c r="F2250" s="2"/>
      <c r="G2250" s="2"/>
      <c r="H2250" s="2"/>
    </row>
    <row r="2251" spans="1:8" x14ac:dyDescent="0.25">
      <c r="A2251" s="1"/>
      <c r="B2251" s="1" t="s">
        <v>3754</v>
      </c>
      <c r="C2251" s="1" t="s">
        <v>3755</v>
      </c>
      <c r="D2251" s="22" t="str">
        <f>HYPERLINK("https://rhld.insurance.arkansas.gov/NPILookup?Npi=1134469935","1134469935")</f>
        <v>1134469935</v>
      </c>
      <c r="E2251" s="1" t="s">
        <v>1273</v>
      </c>
      <c r="F2251" s="2"/>
      <c r="G2251" s="2"/>
      <c r="H2251" s="2"/>
    </row>
    <row r="2252" spans="1:8" x14ac:dyDescent="0.25">
      <c r="A2252" s="1"/>
      <c r="B2252" s="1" t="s">
        <v>3754</v>
      </c>
      <c r="C2252" s="1" t="s">
        <v>3755</v>
      </c>
      <c r="D2252" s="22" t="str">
        <f>HYPERLINK("https://rhld.insurance.arkansas.gov/NPILookup?Npi=1134564891","1134564891")</f>
        <v>1134564891</v>
      </c>
      <c r="E2252" s="1" t="s">
        <v>15734</v>
      </c>
      <c r="F2252" s="2"/>
      <c r="G2252" s="2"/>
      <c r="H2252" s="2"/>
    </row>
    <row r="2253" spans="1:8" x14ac:dyDescent="0.25">
      <c r="A2253" s="1"/>
      <c r="B2253" s="1" t="s">
        <v>3754</v>
      </c>
      <c r="C2253" s="1" t="s">
        <v>3755</v>
      </c>
      <c r="D2253" s="22" t="str">
        <f>HYPERLINK("https://rhld.insurance.arkansas.gov/NPILookup?Npi=1134570872","1134570872")</f>
        <v>1134570872</v>
      </c>
      <c r="E2253" s="1" t="s">
        <v>15735</v>
      </c>
      <c r="F2253" s="2"/>
      <c r="G2253" s="2"/>
      <c r="H2253" s="2"/>
    </row>
    <row r="2254" spans="1:8" x14ac:dyDescent="0.25">
      <c r="A2254" s="1"/>
      <c r="B2254" s="1" t="s">
        <v>3754</v>
      </c>
      <c r="C2254" s="1" t="s">
        <v>3755</v>
      </c>
      <c r="D2254" s="22" t="str">
        <f>HYPERLINK("https://rhld.insurance.arkansas.gov/NPILookup?Npi=1144231820","1144231820")</f>
        <v>1144231820</v>
      </c>
      <c r="E2254" s="1" t="s">
        <v>687</v>
      </c>
      <c r="F2254" s="2"/>
      <c r="G2254" s="2"/>
      <c r="H2254" s="2"/>
    </row>
    <row r="2255" spans="1:8" x14ac:dyDescent="0.25">
      <c r="A2255" s="1"/>
      <c r="B2255" s="1" t="s">
        <v>3754</v>
      </c>
      <c r="C2255" s="1" t="s">
        <v>3755</v>
      </c>
      <c r="D2255" s="22" t="str">
        <f>HYPERLINK("https://rhld.insurance.arkansas.gov/NPILookup?Npi=1144255928","1144255928")</f>
        <v>1144255928</v>
      </c>
      <c r="E2255" s="1" t="s">
        <v>15736</v>
      </c>
      <c r="F2255" s="2"/>
      <c r="G2255" s="2"/>
      <c r="H2255" s="2"/>
    </row>
    <row r="2256" spans="1:8" x14ac:dyDescent="0.25">
      <c r="A2256" s="1"/>
      <c r="B2256" s="1" t="s">
        <v>3754</v>
      </c>
      <c r="C2256" s="1" t="s">
        <v>3755</v>
      </c>
      <c r="D2256" s="22" t="str">
        <f>HYPERLINK("https://rhld.insurance.arkansas.gov/NPILookup?Npi=1144269978","1144269978")</f>
        <v>1144269978</v>
      </c>
      <c r="E2256" s="1" t="s">
        <v>3475</v>
      </c>
      <c r="F2256" s="2"/>
      <c r="G2256" s="2"/>
      <c r="H2256" s="2"/>
    </row>
    <row r="2257" spans="1:8" x14ac:dyDescent="0.25">
      <c r="A2257" s="1"/>
      <c r="B2257" s="1" t="s">
        <v>3754</v>
      </c>
      <c r="C2257" s="1" t="s">
        <v>3755</v>
      </c>
      <c r="D2257" s="22" t="str">
        <f>HYPERLINK("https://rhld.insurance.arkansas.gov/NPILookup?Npi=1144399718","1144399718")</f>
        <v>1144399718</v>
      </c>
      <c r="E2257" s="1" t="s">
        <v>15737</v>
      </c>
      <c r="F2257" s="2"/>
      <c r="G2257" s="2"/>
      <c r="H2257" s="2"/>
    </row>
    <row r="2258" spans="1:8" x14ac:dyDescent="0.25">
      <c r="A2258" s="1"/>
      <c r="B2258" s="1" t="s">
        <v>3754</v>
      </c>
      <c r="C2258" s="1" t="s">
        <v>3755</v>
      </c>
      <c r="D2258" s="22" t="str">
        <f>HYPERLINK("https://rhld.insurance.arkansas.gov/NPILookup?Npi=1144435728","1144435728")</f>
        <v>1144435728</v>
      </c>
      <c r="E2258" s="1" t="s">
        <v>15738</v>
      </c>
      <c r="F2258" s="2"/>
      <c r="G2258" s="2"/>
      <c r="H2258" s="2"/>
    </row>
    <row r="2259" spans="1:8" x14ac:dyDescent="0.25">
      <c r="A2259" s="1"/>
      <c r="B2259" s="1" t="s">
        <v>3754</v>
      </c>
      <c r="C2259" s="1" t="s">
        <v>3755</v>
      </c>
      <c r="D2259" s="22" t="str">
        <f>HYPERLINK("https://rhld.insurance.arkansas.gov/NPILookup?Npi=1144459686","1144459686")</f>
        <v>1144459686</v>
      </c>
      <c r="E2259" s="1" t="s">
        <v>3476</v>
      </c>
      <c r="F2259" s="2"/>
      <c r="G2259" s="2"/>
      <c r="H2259" s="2"/>
    </row>
    <row r="2260" spans="1:8" x14ac:dyDescent="0.25">
      <c r="A2260" s="1"/>
      <c r="B2260" s="1" t="s">
        <v>3754</v>
      </c>
      <c r="C2260" s="1" t="s">
        <v>3755</v>
      </c>
      <c r="D2260" s="22" t="str">
        <f>HYPERLINK("https://rhld.insurance.arkansas.gov/NPILookup?Npi=1144461880","1144461880")</f>
        <v>1144461880</v>
      </c>
      <c r="E2260" s="1" t="s">
        <v>15739</v>
      </c>
      <c r="F2260" s="2"/>
      <c r="G2260" s="2"/>
      <c r="H2260" s="2"/>
    </row>
    <row r="2261" spans="1:8" x14ac:dyDescent="0.25">
      <c r="A2261" s="1"/>
      <c r="B2261" s="1" t="s">
        <v>3754</v>
      </c>
      <c r="C2261" s="1" t="s">
        <v>3755</v>
      </c>
      <c r="D2261" s="22" t="str">
        <f>HYPERLINK("https://rhld.insurance.arkansas.gov/NPILookup?Npi=1144575283","1144575283")</f>
        <v>1144575283</v>
      </c>
      <c r="E2261" s="1" t="s">
        <v>15740</v>
      </c>
      <c r="F2261" s="2"/>
      <c r="G2261" s="2"/>
      <c r="H2261" s="2"/>
    </row>
    <row r="2262" spans="1:8" x14ac:dyDescent="0.25">
      <c r="A2262" s="1"/>
      <c r="B2262" s="1" t="s">
        <v>3754</v>
      </c>
      <c r="C2262" s="1" t="s">
        <v>3755</v>
      </c>
      <c r="D2262" s="22" t="str">
        <f>HYPERLINK("https://rhld.insurance.arkansas.gov/NPILookup?Npi=1144664491","1144664491")</f>
        <v>1144664491</v>
      </c>
      <c r="E2262" s="1" t="s">
        <v>3776</v>
      </c>
      <c r="F2262" s="2"/>
      <c r="G2262" s="2"/>
      <c r="H2262" s="2"/>
    </row>
    <row r="2263" spans="1:8" x14ac:dyDescent="0.25">
      <c r="A2263" s="1"/>
      <c r="B2263" s="1" t="s">
        <v>3754</v>
      </c>
      <c r="C2263" s="1" t="s">
        <v>3755</v>
      </c>
      <c r="D2263" s="22" t="str">
        <f>HYPERLINK("https://rhld.insurance.arkansas.gov/NPILookup?Npi=1144666025","1144666025")</f>
        <v>1144666025</v>
      </c>
      <c r="E2263" s="1" t="s">
        <v>3777</v>
      </c>
      <c r="F2263" s="2"/>
      <c r="G2263" s="2"/>
      <c r="H2263" s="2"/>
    </row>
    <row r="2264" spans="1:8" x14ac:dyDescent="0.25">
      <c r="A2264" s="1"/>
      <c r="B2264" s="1" t="s">
        <v>3754</v>
      </c>
      <c r="C2264" s="1" t="s">
        <v>3755</v>
      </c>
      <c r="D2264" s="22" t="str">
        <f>HYPERLINK("https://rhld.insurance.arkansas.gov/NPILookup?Npi=1154324895","1154324895")</f>
        <v>1154324895</v>
      </c>
      <c r="E2264" s="1" t="s">
        <v>3778</v>
      </c>
      <c r="F2264" s="2"/>
      <c r="G2264" s="2"/>
      <c r="H2264" s="2"/>
    </row>
    <row r="2265" spans="1:8" x14ac:dyDescent="0.25">
      <c r="A2265" s="1"/>
      <c r="B2265" s="1" t="s">
        <v>3754</v>
      </c>
      <c r="C2265" s="1" t="s">
        <v>3755</v>
      </c>
      <c r="D2265" s="22" t="str">
        <f>HYPERLINK("https://rhld.insurance.arkansas.gov/NPILookup?Npi=1154356764","1154356764")</f>
        <v>1154356764</v>
      </c>
      <c r="E2265" s="1" t="s">
        <v>15741</v>
      </c>
      <c r="F2265" s="2"/>
      <c r="G2265" s="2"/>
      <c r="H2265" s="2"/>
    </row>
    <row r="2266" spans="1:8" x14ac:dyDescent="0.25">
      <c r="A2266" s="1"/>
      <c r="B2266" s="1" t="s">
        <v>3754</v>
      </c>
      <c r="C2266" s="1" t="s">
        <v>3755</v>
      </c>
      <c r="D2266" s="22" t="str">
        <f>HYPERLINK("https://rhld.insurance.arkansas.gov/NPILookup?Npi=1154367332","1154367332")</f>
        <v>1154367332</v>
      </c>
      <c r="E2266" s="1" t="s">
        <v>3477</v>
      </c>
      <c r="F2266" s="2"/>
      <c r="G2266" s="2"/>
      <c r="H2266" s="2"/>
    </row>
    <row r="2267" spans="1:8" x14ac:dyDescent="0.25">
      <c r="A2267" s="1"/>
      <c r="B2267" s="1" t="s">
        <v>3754</v>
      </c>
      <c r="C2267" s="1" t="s">
        <v>3755</v>
      </c>
      <c r="D2267" s="22" t="str">
        <f>HYPERLINK("https://rhld.insurance.arkansas.gov/NPILookup?Npi=1154369932","1154369932")</f>
        <v>1154369932</v>
      </c>
      <c r="E2267" s="1" t="s">
        <v>15742</v>
      </c>
      <c r="F2267" s="2"/>
      <c r="G2267" s="2"/>
      <c r="H2267" s="2"/>
    </row>
    <row r="2268" spans="1:8" x14ac:dyDescent="0.25">
      <c r="A2268" s="1"/>
      <c r="B2268" s="1" t="s">
        <v>3754</v>
      </c>
      <c r="C2268" s="1" t="s">
        <v>3755</v>
      </c>
      <c r="D2268" s="22" t="str">
        <f>HYPERLINK("https://rhld.insurance.arkansas.gov/NPILookup?Npi=1154513752","1154513752")</f>
        <v>1154513752</v>
      </c>
      <c r="E2268" s="1" t="s">
        <v>15743</v>
      </c>
      <c r="F2268" s="2"/>
      <c r="G2268" s="2"/>
      <c r="H2268" s="2"/>
    </row>
    <row r="2269" spans="1:8" x14ac:dyDescent="0.25">
      <c r="A2269" s="1"/>
      <c r="B2269" s="1" t="s">
        <v>3754</v>
      </c>
      <c r="C2269" s="1" t="s">
        <v>3755</v>
      </c>
      <c r="D2269" s="22" t="str">
        <f>HYPERLINK("https://rhld.insurance.arkansas.gov/NPILookup?Npi=1154545309","1154545309")</f>
        <v>1154545309</v>
      </c>
      <c r="E2269" s="1" t="s">
        <v>2249</v>
      </c>
      <c r="F2269" s="2"/>
      <c r="G2269" s="2"/>
      <c r="H2269" s="2"/>
    </row>
    <row r="2270" spans="1:8" x14ac:dyDescent="0.25">
      <c r="A2270" s="1"/>
      <c r="B2270" s="1" t="s">
        <v>3754</v>
      </c>
      <c r="C2270" s="1" t="s">
        <v>3755</v>
      </c>
      <c r="D2270" s="22" t="str">
        <f>HYPERLINK("https://rhld.insurance.arkansas.gov/NPILookup?Npi=1154634095","1154634095")</f>
        <v>1154634095</v>
      </c>
      <c r="E2270" s="1" t="s">
        <v>15744</v>
      </c>
      <c r="F2270" s="2"/>
      <c r="G2270" s="2"/>
      <c r="H2270" s="2"/>
    </row>
    <row r="2271" spans="1:8" x14ac:dyDescent="0.25">
      <c r="A2271" s="1"/>
      <c r="B2271" s="1" t="s">
        <v>3754</v>
      </c>
      <c r="C2271" s="1" t="s">
        <v>3755</v>
      </c>
      <c r="D2271" s="22" t="str">
        <f>HYPERLINK("https://rhld.insurance.arkansas.gov/NPILookup?Npi=1154738722","1154738722")</f>
        <v>1154738722</v>
      </c>
      <c r="E2271" s="1" t="s">
        <v>15745</v>
      </c>
      <c r="F2271" s="2"/>
      <c r="G2271" s="2"/>
      <c r="H2271" s="2"/>
    </row>
    <row r="2272" spans="1:8" x14ac:dyDescent="0.25">
      <c r="A2272" s="1"/>
      <c r="B2272" s="1" t="s">
        <v>3754</v>
      </c>
      <c r="C2272" s="1" t="s">
        <v>3755</v>
      </c>
      <c r="D2272" s="22" t="str">
        <f>HYPERLINK("https://rhld.insurance.arkansas.gov/NPILookup?Npi=1154763449","1154763449")</f>
        <v>1154763449</v>
      </c>
      <c r="E2272" s="1" t="s">
        <v>15746</v>
      </c>
      <c r="F2272" s="2"/>
      <c r="G2272" s="2"/>
      <c r="H2272" s="2"/>
    </row>
    <row r="2273" spans="1:8" x14ac:dyDescent="0.25">
      <c r="A2273" s="1"/>
      <c r="B2273" s="1" t="s">
        <v>3754</v>
      </c>
      <c r="C2273" s="1" t="s">
        <v>3755</v>
      </c>
      <c r="D2273" s="22" t="str">
        <f>HYPERLINK("https://rhld.insurance.arkansas.gov/NPILookup?Npi=1164404331","1164404331")</f>
        <v>1164404331</v>
      </c>
      <c r="E2273" s="1" t="s">
        <v>1157</v>
      </c>
      <c r="F2273" s="2"/>
      <c r="G2273" s="2"/>
      <c r="H2273" s="2"/>
    </row>
    <row r="2274" spans="1:8" x14ac:dyDescent="0.25">
      <c r="A2274" s="1"/>
      <c r="B2274" s="1" t="s">
        <v>3754</v>
      </c>
      <c r="C2274" s="1" t="s">
        <v>3755</v>
      </c>
      <c r="D2274" s="22" t="str">
        <f>HYPERLINK("https://rhld.insurance.arkansas.gov/NPILookup?Npi=1164795381","1164795381")</f>
        <v>1164795381</v>
      </c>
      <c r="E2274" s="1" t="s">
        <v>3478</v>
      </c>
      <c r="F2274" s="2"/>
      <c r="G2274" s="2"/>
      <c r="H2274" s="2"/>
    </row>
    <row r="2275" spans="1:8" x14ac:dyDescent="0.25">
      <c r="A2275" s="1"/>
      <c r="B2275" s="1" t="s">
        <v>3754</v>
      </c>
      <c r="C2275" s="1" t="s">
        <v>3755</v>
      </c>
      <c r="D2275" s="22" t="str">
        <f>HYPERLINK("https://rhld.insurance.arkansas.gov/NPILookup?Npi=1174567812","1174567812")</f>
        <v>1174567812</v>
      </c>
      <c r="E2275" s="1" t="s">
        <v>4645</v>
      </c>
      <c r="F2275" s="2"/>
      <c r="G2275" s="2"/>
      <c r="H2275" s="2"/>
    </row>
    <row r="2276" spans="1:8" x14ac:dyDescent="0.25">
      <c r="A2276" s="1"/>
      <c r="B2276" s="1" t="s">
        <v>3754</v>
      </c>
      <c r="C2276" s="1" t="s">
        <v>3755</v>
      </c>
      <c r="D2276" s="22" t="str">
        <f>HYPERLINK("https://rhld.insurance.arkansas.gov/NPILookup?Npi=1174752554","1174752554")</f>
        <v>1174752554</v>
      </c>
      <c r="E2276" s="1" t="s">
        <v>9795</v>
      </c>
      <c r="F2276" s="2"/>
      <c r="G2276" s="2"/>
      <c r="H2276" s="2"/>
    </row>
    <row r="2277" spans="1:8" x14ac:dyDescent="0.25">
      <c r="A2277" s="1"/>
      <c r="B2277" s="1" t="s">
        <v>3754</v>
      </c>
      <c r="C2277" s="1" t="s">
        <v>3755</v>
      </c>
      <c r="D2277" s="22" t="str">
        <f>HYPERLINK("https://rhld.insurance.arkansas.gov/NPILookup?Npi=1184088924","1184088924")</f>
        <v>1184088924</v>
      </c>
      <c r="E2277" s="1" t="s">
        <v>3779</v>
      </c>
      <c r="F2277" s="2"/>
      <c r="G2277" s="2"/>
      <c r="H2277" s="2"/>
    </row>
    <row r="2278" spans="1:8" x14ac:dyDescent="0.25">
      <c r="A2278" s="1"/>
      <c r="B2278" s="1" t="s">
        <v>3754</v>
      </c>
      <c r="C2278" s="1" t="s">
        <v>3755</v>
      </c>
      <c r="D2278" s="22" t="str">
        <f>HYPERLINK("https://rhld.insurance.arkansas.gov/NPILookup?Npi=1184656217","1184656217")</f>
        <v>1184656217</v>
      </c>
      <c r="E2278" s="1" t="s">
        <v>3780</v>
      </c>
      <c r="F2278" s="2"/>
      <c r="G2278" s="2"/>
      <c r="H2278" s="2"/>
    </row>
    <row r="2279" spans="1:8" x14ac:dyDescent="0.25">
      <c r="A2279" s="1"/>
      <c r="B2279" s="1" t="s">
        <v>3754</v>
      </c>
      <c r="C2279" s="1" t="s">
        <v>3755</v>
      </c>
      <c r="D2279" s="22" t="str">
        <f>HYPERLINK("https://rhld.insurance.arkansas.gov/NPILookup?Npi=1184714743","1184714743")</f>
        <v>1184714743</v>
      </c>
      <c r="E2279" s="1" t="s">
        <v>9796</v>
      </c>
      <c r="F2279" s="2"/>
      <c r="G2279" s="2"/>
      <c r="H2279" s="2"/>
    </row>
    <row r="2280" spans="1:8" x14ac:dyDescent="0.25">
      <c r="A2280" s="1"/>
      <c r="B2280" s="1" t="s">
        <v>3754</v>
      </c>
      <c r="C2280" s="1" t="s">
        <v>3755</v>
      </c>
      <c r="D2280" s="22" t="str">
        <f>HYPERLINK("https://rhld.insurance.arkansas.gov/NPILookup?Npi=1184883852","1184883852")</f>
        <v>1184883852</v>
      </c>
      <c r="E2280" s="1" t="s">
        <v>2250</v>
      </c>
      <c r="F2280" s="2"/>
      <c r="G2280" s="2"/>
      <c r="H2280" s="2"/>
    </row>
    <row r="2281" spans="1:8" x14ac:dyDescent="0.25">
      <c r="A2281" s="1"/>
      <c r="B2281" s="1" t="s">
        <v>3754</v>
      </c>
      <c r="C2281" s="1" t="s">
        <v>3755</v>
      </c>
      <c r="D2281" s="22" t="str">
        <f>HYPERLINK("https://rhld.insurance.arkansas.gov/NPILookup?Npi=1194055137","1194055137")</f>
        <v>1194055137</v>
      </c>
      <c r="E2281" s="1" t="s">
        <v>3781</v>
      </c>
      <c r="F2281" s="2"/>
      <c r="G2281" s="2"/>
      <c r="H2281" s="2"/>
    </row>
    <row r="2282" spans="1:8" x14ac:dyDescent="0.25">
      <c r="A2282" s="1"/>
      <c r="B2282" s="1" t="s">
        <v>3754</v>
      </c>
      <c r="C2282" s="1" t="s">
        <v>3755</v>
      </c>
      <c r="D2282" s="22" t="str">
        <f>HYPERLINK("https://rhld.insurance.arkansas.gov/NPILookup?Npi=1194109249","1194109249")</f>
        <v>1194109249</v>
      </c>
      <c r="E2282" s="1" t="s">
        <v>15747</v>
      </c>
      <c r="F2282" s="2"/>
      <c r="G2282" s="2"/>
      <c r="H2282" s="2"/>
    </row>
    <row r="2283" spans="1:8" x14ac:dyDescent="0.25">
      <c r="A2283" s="1"/>
      <c r="B2283" s="1" t="s">
        <v>3754</v>
      </c>
      <c r="C2283" s="1" t="s">
        <v>3755</v>
      </c>
      <c r="D2283" s="22" t="str">
        <f>HYPERLINK("https://rhld.insurance.arkansas.gov/NPILookup?Npi=1194763870","1194763870")</f>
        <v>1194763870</v>
      </c>
      <c r="E2283" s="1" t="s">
        <v>15748</v>
      </c>
      <c r="F2283" s="2"/>
      <c r="G2283" s="2"/>
      <c r="H2283" s="2"/>
    </row>
    <row r="2284" spans="1:8" x14ac:dyDescent="0.25">
      <c r="A2284" s="1"/>
      <c r="B2284" s="1" t="s">
        <v>3754</v>
      </c>
      <c r="C2284" s="1" t="s">
        <v>3755</v>
      </c>
      <c r="D2284" s="22" t="str">
        <f>HYPERLINK("https://rhld.insurance.arkansas.gov/NPILookup?Npi=1194772954","1194772954")</f>
        <v>1194772954</v>
      </c>
      <c r="E2284" s="1" t="s">
        <v>3782</v>
      </c>
      <c r="F2284" s="2"/>
      <c r="G2284" s="2"/>
      <c r="H2284" s="2"/>
    </row>
    <row r="2285" spans="1:8" x14ac:dyDescent="0.25">
      <c r="A2285" s="1"/>
      <c r="B2285" s="1" t="s">
        <v>3754</v>
      </c>
      <c r="C2285" s="1" t="s">
        <v>3755</v>
      </c>
      <c r="D2285" s="22" t="str">
        <f>HYPERLINK("https://rhld.insurance.arkansas.gov/NPILookup?Npi=1194805440","1194805440")</f>
        <v>1194805440</v>
      </c>
      <c r="E2285" s="1" t="s">
        <v>15749</v>
      </c>
      <c r="F2285" s="2"/>
      <c r="G2285" s="2"/>
      <c r="H2285" s="2"/>
    </row>
    <row r="2286" spans="1:8" x14ac:dyDescent="0.25">
      <c r="A2286" s="1"/>
      <c r="B2286" s="1" t="s">
        <v>3754</v>
      </c>
      <c r="C2286" s="1" t="s">
        <v>3755</v>
      </c>
      <c r="D2286" s="22" t="str">
        <f>HYPERLINK("https://rhld.insurance.arkansas.gov/NPILookup?Npi=1194815696","1194815696")</f>
        <v>1194815696</v>
      </c>
      <c r="E2286" s="1" t="s">
        <v>9797</v>
      </c>
      <c r="F2286" s="2"/>
      <c r="G2286" s="2"/>
      <c r="H2286" s="2"/>
    </row>
    <row r="2287" spans="1:8" x14ac:dyDescent="0.25">
      <c r="A2287" s="1"/>
      <c r="B2287" s="1" t="s">
        <v>3754</v>
      </c>
      <c r="C2287" s="1" t="s">
        <v>3755</v>
      </c>
      <c r="D2287" s="22" t="str">
        <f>HYPERLINK("https://rhld.insurance.arkansas.gov/NPILookup?Npi=1194827089","1194827089")</f>
        <v>1194827089</v>
      </c>
      <c r="E2287" s="1" t="s">
        <v>9798</v>
      </c>
      <c r="F2287" s="2"/>
      <c r="G2287" s="2"/>
      <c r="H2287" s="2"/>
    </row>
    <row r="2288" spans="1:8" x14ac:dyDescent="0.25">
      <c r="A2288" s="1"/>
      <c r="B2288" s="1" t="s">
        <v>3754</v>
      </c>
      <c r="C2288" s="1" t="s">
        <v>3755</v>
      </c>
      <c r="D2288" s="22" t="str">
        <f>HYPERLINK("https://rhld.insurance.arkansas.gov/NPILookup?Npi=1194836684","1194836684")</f>
        <v>1194836684</v>
      </c>
      <c r="E2288" s="1" t="s">
        <v>9799</v>
      </c>
      <c r="F2288" s="2"/>
      <c r="G2288" s="2"/>
      <c r="H2288" s="2"/>
    </row>
    <row r="2289" spans="1:8" x14ac:dyDescent="0.25">
      <c r="A2289" s="1"/>
      <c r="B2289" s="1" t="s">
        <v>3754</v>
      </c>
      <c r="C2289" s="1" t="s">
        <v>3755</v>
      </c>
      <c r="D2289" s="22" t="str">
        <f>HYPERLINK("https://rhld.insurance.arkansas.gov/NPILookup?Npi=1194905000","1194905000")</f>
        <v>1194905000</v>
      </c>
      <c r="E2289" s="1" t="s">
        <v>3783</v>
      </c>
      <c r="F2289" s="2"/>
      <c r="G2289" s="2"/>
      <c r="H2289" s="2"/>
    </row>
    <row r="2290" spans="1:8" x14ac:dyDescent="0.25">
      <c r="A2290" s="1"/>
      <c r="B2290" s="1" t="s">
        <v>3754</v>
      </c>
      <c r="C2290" s="1" t="s">
        <v>3755</v>
      </c>
      <c r="D2290" s="22" t="str">
        <f>HYPERLINK("https://rhld.insurance.arkansas.gov/NPILookup?Npi=1205000296","1205000296")</f>
        <v>1205000296</v>
      </c>
      <c r="E2290" s="1" t="s">
        <v>9800</v>
      </c>
      <c r="F2290" s="2"/>
      <c r="G2290" s="2"/>
      <c r="H2290" s="2"/>
    </row>
    <row r="2291" spans="1:8" x14ac:dyDescent="0.25">
      <c r="A2291" s="1"/>
      <c r="B2291" s="1" t="s">
        <v>3754</v>
      </c>
      <c r="C2291" s="1" t="s">
        <v>3755</v>
      </c>
      <c r="D2291" s="22" t="str">
        <f>HYPERLINK("https://rhld.insurance.arkansas.gov/NPILookup?Npi=1205001799","1205001799")</f>
        <v>1205001799</v>
      </c>
      <c r="E2291" s="1" t="s">
        <v>15750</v>
      </c>
      <c r="F2291" s="2"/>
      <c r="G2291" s="2"/>
      <c r="H2291" s="2"/>
    </row>
    <row r="2292" spans="1:8" x14ac:dyDescent="0.25">
      <c r="A2292" s="1"/>
      <c r="B2292" s="1" t="s">
        <v>3754</v>
      </c>
      <c r="C2292" s="1" t="s">
        <v>3755</v>
      </c>
      <c r="D2292" s="22" t="str">
        <f>HYPERLINK("https://rhld.insurance.arkansas.gov/NPILookup?Npi=1205147105","1205147105")</f>
        <v>1205147105</v>
      </c>
      <c r="E2292" s="1" t="s">
        <v>15751</v>
      </c>
      <c r="F2292" s="2"/>
      <c r="G2292" s="2"/>
      <c r="H2292" s="2"/>
    </row>
    <row r="2293" spans="1:8" x14ac:dyDescent="0.25">
      <c r="A2293" s="1"/>
      <c r="B2293" s="1" t="s">
        <v>3754</v>
      </c>
      <c r="C2293" s="1" t="s">
        <v>3755</v>
      </c>
      <c r="D2293" s="22" t="str">
        <f>HYPERLINK("https://rhld.insurance.arkansas.gov/NPILookup?Npi=1205188760","1205188760")</f>
        <v>1205188760</v>
      </c>
      <c r="E2293" s="1" t="s">
        <v>3479</v>
      </c>
      <c r="F2293" s="2"/>
      <c r="G2293" s="2"/>
      <c r="H2293" s="2"/>
    </row>
    <row r="2294" spans="1:8" x14ac:dyDescent="0.25">
      <c r="A2294" s="1"/>
      <c r="B2294" s="1" t="s">
        <v>3754</v>
      </c>
      <c r="C2294" s="1" t="s">
        <v>3755</v>
      </c>
      <c r="D2294" s="22" t="str">
        <f>HYPERLINK("https://rhld.insurance.arkansas.gov/NPILookup?Npi=1205800380","1205800380")</f>
        <v>1205800380</v>
      </c>
      <c r="E2294" s="1" t="s">
        <v>15752</v>
      </c>
      <c r="F2294" s="2"/>
      <c r="G2294" s="2"/>
      <c r="H2294" s="2"/>
    </row>
    <row r="2295" spans="1:8" x14ac:dyDescent="0.25">
      <c r="A2295" s="1"/>
      <c r="B2295" s="1" t="s">
        <v>3754</v>
      </c>
      <c r="C2295" s="1" t="s">
        <v>3755</v>
      </c>
      <c r="D2295" s="22" t="str">
        <f>HYPERLINK("https://rhld.insurance.arkansas.gov/NPILookup?Npi=1215027792","1215027792")</f>
        <v>1215027792</v>
      </c>
      <c r="E2295" s="1" t="s">
        <v>9801</v>
      </c>
      <c r="F2295" s="2"/>
      <c r="G2295" s="2"/>
      <c r="H2295" s="2"/>
    </row>
    <row r="2296" spans="1:8" x14ac:dyDescent="0.25">
      <c r="A2296" s="1"/>
      <c r="B2296" s="1" t="s">
        <v>3754</v>
      </c>
      <c r="C2296" s="1" t="s">
        <v>3755</v>
      </c>
      <c r="D2296" s="22" t="str">
        <f>HYPERLINK("https://rhld.insurance.arkansas.gov/NPILookup?Npi=1215113154","1215113154")</f>
        <v>1215113154</v>
      </c>
      <c r="E2296" s="1" t="s">
        <v>230</v>
      </c>
      <c r="F2296" s="2"/>
      <c r="G2296" s="2"/>
      <c r="H2296" s="2"/>
    </row>
    <row r="2297" spans="1:8" x14ac:dyDescent="0.25">
      <c r="A2297" s="1"/>
      <c r="B2297" s="1" t="s">
        <v>3754</v>
      </c>
      <c r="C2297" s="1" t="s">
        <v>3755</v>
      </c>
      <c r="D2297" s="22" t="str">
        <f>HYPERLINK("https://rhld.insurance.arkansas.gov/NPILookup?Npi=1215314877","1215314877")</f>
        <v>1215314877</v>
      </c>
      <c r="E2297" s="1" t="s">
        <v>15753</v>
      </c>
      <c r="F2297" s="2"/>
      <c r="G2297" s="2"/>
      <c r="H2297" s="2"/>
    </row>
    <row r="2298" spans="1:8" x14ac:dyDescent="0.25">
      <c r="A2298" s="1"/>
      <c r="B2298" s="1" t="s">
        <v>3754</v>
      </c>
      <c r="C2298" s="1" t="s">
        <v>3755</v>
      </c>
      <c r="D2298" s="22" t="str">
        <f>HYPERLINK("https://rhld.insurance.arkansas.gov/NPILookup?Npi=1215342241","1215342241")</f>
        <v>1215342241</v>
      </c>
      <c r="E2298" s="1" t="s">
        <v>3784</v>
      </c>
      <c r="F2298" s="2"/>
      <c r="G2298" s="2"/>
      <c r="H2298" s="2"/>
    </row>
    <row r="2299" spans="1:8" x14ac:dyDescent="0.25">
      <c r="A2299" s="1"/>
      <c r="B2299" s="1" t="s">
        <v>3754</v>
      </c>
      <c r="C2299" s="1" t="s">
        <v>3755</v>
      </c>
      <c r="D2299" s="22" t="str">
        <f>HYPERLINK("https://rhld.insurance.arkansas.gov/NPILookup?Npi=1215949599","1215949599")</f>
        <v>1215949599</v>
      </c>
      <c r="E2299" s="1" t="s">
        <v>15754</v>
      </c>
      <c r="F2299" s="2"/>
      <c r="G2299" s="2"/>
      <c r="H2299" s="2"/>
    </row>
    <row r="2300" spans="1:8" x14ac:dyDescent="0.25">
      <c r="A2300" s="1"/>
      <c r="B2300" s="1" t="s">
        <v>3754</v>
      </c>
      <c r="C2300" s="1" t="s">
        <v>3755</v>
      </c>
      <c r="D2300" s="22" t="str">
        <f>HYPERLINK("https://rhld.insurance.arkansas.gov/NPILookup?Npi=1225015712","1225015712")</f>
        <v>1225015712</v>
      </c>
      <c r="E2300" s="1" t="s">
        <v>15755</v>
      </c>
      <c r="F2300" s="2"/>
      <c r="G2300" s="2"/>
      <c r="H2300" s="2"/>
    </row>
    <row r="2301" spans="1:8" x14ac:dyDescent="0.25">
      <c r="A2301" s="1"/>
      <c r="B2301" s="1" t="s">
        <v>3754</v>
      </c>
      <c r="C2301" s="1" t="s">
        <v>3755</v>
      </c>
      <c r="D2301" s="22" t="str">
        <f>HYPERLINK("https://rhld.insurance.arkansas.gov/NPILookup?Npi=1225091812","1225091812")</f>
        <v>1225091812</v>
      </c>
      <c r="E2301" s="1" t="s">
        <v>3785</v>
      </c>
      <c r="F2301" s="2"/>
      <c r="G2301" s="2"/>
      <c r="H2301" s="2"/>
    </row>
    <row r="2302" spans="1:8" x14ac:dyDescent="0.25">
      <c r="A2302" s="1"/>
      <c r="B2302" s="1" t="s">
        <v>3754</v>
      </c>
      <c r="C2302" s="1" t="s">
        <v>3755</v>
      </c>
      <c r="D2302" s="22" t="str">
        <f>HYPERLINK("https://rhld.insurance.arkansas.gov/NPILookup?Npi=1225126626","1225126626")</f>
        <v>1225126626</v>
      </c>
      <c r="E2302" s="1" t="s">
        <v>976</v>
      </c>
      <c r="F2302" s="2"/>
      <c r="G2302" s="2"/>
      <c r="H2302" s="2"/>
    </row>
    <row r="2303" spans="1:8" x14ac:dyDescent="0.25">
      <c r="A2303" s="1"/>
      <c r="B2303" s="1" t="s">
        <v>3754</v>
      </c>
      <c r="C2303" s="1" t="s">
        <v>3755</v>
      </c>
      <c r="D2303" s="22" t="str">
        <f>HYPERLINK("https://rhld.insurance.arkansas.gov/NPILookup?Npi=1225135148","1225135148")</f>
        <v>1225135148</v>
      </c>
      <c r="E2303" s="1" t="s">
        <v>9803</v>
      </c>
      <c r="F2303" s="2"/>
      <c r="G2303" s="2"/>
      <c r="H2303" s="2"/>
    </row>
    <row r="2304" spans="1:8" x14ac:dyDescent="0.25">
      <c r="A2304" s="1"/>
      <c r="B2304" s="1" t="s">
        <v>3754</v>
      </c>
      <c r="C2304" s="1" t="s">
        <v>3755</v>
      </c>
      <c r="D2304" s="22" t="str">
        <f>HYPERLINK("https://rhld.insurance.arkansas.gov/NPILookup?Npi=1225418445","1225418445")</f>
        <v>1225418445</v>
      </c>
      <c r="E2304" s="1" t="s">
        <v>9804</v>
      </c>
      <c r="F2304" s="2"/>
      <c r="G2304" s="2"/>
      <c r="H2304" s="2"/>
    </row>
    <row r="2305" spans="1:8" x14ac:dyDescent="0.25">
      <c r="A2305" s="1"/>
      <c r="B2305" s="1" t="s">
        <v>3754</v>
      </c>
      <c r="C2305" s="1" t="s">
        <v>3755</v>
      </c>
      <c r="D2305" s="22" t="str">
        <f>HYPERLINK("https://rhld.insurance.arkansas.gov/NPILookup?Npi=1225478472","1225478472")</f>
        <v>1225478472</v>
      </c>
      <c r="E2305" s="1" t="s">
        <v>2709</v>
      </c>
      <c r="F2305" s="2"/>
      <c r="G2305" s="2"/>
      <c r="H2305" s="2"/>
    </row>
    <row r="2306" spans="1:8" x14ac:dyDescent="0.25">
      <c r="A2306" s="1"/>
      <c r="B2306" s="1" t="s">
        <v>3754</v>
      </c>
      <c r="C2306" s="1" t="s">
        <v>3755</v>
      </c>
      <c r="D2306" s="22" t="str">
        <f>HYPERLINK("https://rhld.insurance.arkansas.gov/NPILookup?Npi=1235151861","1235151861")</f>
        <v>1235151861</v>
      </c>
      <c r="E2306" s="1" t="s">
        <v>3786</v>
      </c>
      <c r="F2306" s="2"/>
      <c r="G2306" s="2"/>
      <c r="H2306" s="2"/>
    </row>
    <row r="2307" spans="1:8" x14ac:dyDescent="0.25">
      <c r="A2307" s="1"/>
      <c r="B2307" s="1" t="s">
        <v>3754</v>
      </c>
      <c r="C2307" s="1" t="s">
        <v>3755</v>
      </c>
      <c r="D2307" s="22" t="str">
        <f>HYPERLINK("https://rhld.insurance.arkansas.gov/NPILookup?Npi=1235295908","1235295908")</f>
        <v>1235295908</v>
      </c>
      <c r="E2307" s="1" t="s">
        <v>3480</v>
      </c>
      <c r="F2307" s="2"/>
      <c r="G2307" s="2"/>
      <c r="H2307" s="2"/>
    </row>
    <row r="2308" spans="1:8" x14ac:dyDescent="0.25">
      <c r="A2308" s="1"/>
      <c r="B2308" s="1" t="s">
        <v>3754</v>
      </c>
      <c r="C2308" s="1" t="s">
        <v>3755</v>
      </c>
      <c r="D2308" s="22" t="str">
        <f>HYPERLINK("https://rhld.insurance.arkansas.gov/NPILookup?Npi=1235318056","1235318056")</f>
        <v>1235318056</v>
      </c>
      <c r="E2308" s="1" t="s">
        <v>3787</v>
      </c>
      <c r="F2308" s="2"/>
      <c r="G2308" s="2"/>
      <c r="H2308" s="2"/>
    </row>
    <row r="2309" spans="1:8" x14ac:dyDescent="0.25">
      <c r="A2309" s="1"/>
      <c r="B2309" s="1" t="s">
        <v>3754</v>
      </c>
      <c r="C2309" s="1" t="s">
        <v>3755</v>
      </c>
      <c r="D2309" s="22" t="str">
        <f>HYPERLINK("https://rhld.insurance.arkansas.gov/NPILookup?Npi=1235354242","1235354242")</f>
        <v>1235354242</v>
      </c>
      <c r="E2309" s="1" t="s">
        <v>9805</v>
      </c>
      <c r="F2309" s="2"/>
      <c r="G2309" s="2"/>
      <c r="H2309" s="2"/>
    </row>
    <row r="2310" spans="1:8" x14ac:dyDescent="0.25">
      <c r="A2310" s="1"/>
      <c r="B2310" s="1" t="s">
        <v>3754</v>
      </c>
      <c r="C2310" s="1" t="s">
        <v>3755</v>
      </c>
      <c r="D2310" s="22" t="str">
        <f>HYPERLINK("https://rhld.insurance.arkansas.gov/NPILookup?Npi=1235516279","1235516279")</f>
        <v>1235516279</v>
      </c>
      <c r="E2310" s="1" t="s">
        <v>15756</v>
      </c>
      <c r="F2310" s="2"/>
      <c r="G2310" s="2"/>
      <c r="H2310" s="2"/>
    </row>
    <row r="2311" spans="1:8" x14ac:dyDescent="0.25">
      <c r="A2311" s="1"/>
      <c r="B2311" s="1" t="s">
        <v>3754</v>
      </c>
      <c r="C2311" s="1" t="s">
        <v>3755</v>
      </c>
      <c r="D2311" s="22" t="str">
        <f>HYPERLINK("https://rhld.insurance.arkansas.gov/NPILookup?Npi=1245215243","1245215243")</f>
        <v>1245215243</v>
      </c>
      <c r="E2311" s="1" t="s">
        <v>15757</v>
      </c>
      <c r="F2311" s="2"/>
      <c r="G2311" s="2"/>
      <c r="H2311" s="2"/>
    </row>
    <row r="2312" spans="1:8" x14ac:dyDescent="0.25">
      <c r="A2312" s="1"/>
      <c r="B2312" s="1" t="s">
        <v>3754</v>
      </c>
      <c r="C2312" s="1" t="s">
        <v>3755</v>
      </c>
      <c r="D2312" s="22" t="str">
        <f>HYPERLINK("https://rhld.insurance.arkansas.gov/NPILookup?Npi=1245224625","1245224625")</f>
        <v>1245224625</v>
      </c>
      <c r="E2312" s="1" t="s">
        <v>3481</v>
      </c>
      <c r="F2312" s="2"/>
      <c r="G2312" s="2"/>
      <c r="H2312" s="2"/>
    </row>
    <row r="2313" spans="1:8" x14ac:dyDescent="0.25">
      <c r="A2313" s="1"/>
      <c r="B2313" s="1" t="s">
        <v>3754</v>
      </c>
      <c r="C2313" s="1" t="s">
        <v>3755</v>
      </c>
      <c r="D2313" s="22" t="str">
        <f>HYPERLINK("https://rhld.insurance.arkansas.gov/NPILookup?Npi=1245232768","1245232768")</f>
        <v>1245232768</v>
      </c>
      <c r="E2313" s="1" t="s">
        <v>9806</v>
      </c>
      <c r="F2313" s="2"/>
      <c r="G2313" s="2"/>
      <c r="H2313" s="2"/>
    </row>
    <row r="2314" spans="1:8" x14ac:dyDescent="0.25">
      <c r="A2314" s="1"/>
      <c r="B2314" s="1" t="s">
        <v>3754</v>
      </c>
      <c r="C2314" s="1" t="s">
        <v>3755</v>
      </c>
      <c r="D2314" s="22" t="str">
        <f>HYPERLINK("https://rhld.insurance.arkansas.gov/NPILookup?Npi=1245248335","1245248335")</f>
        <v>1245248335</v>
      </c>
      <c r="E2314" s="1" t="s">
        <v>3788</v>
      </c>
      <c r="F2314" s="2"/>
      <c r="G2314" s="2"/>
      <c r="H2314" s="2"/>
    </row>
    <row r="2315" spans="1:8" x14ac:dyDescent="0.25">
      <c r="A2315" s="1"/>
      <c r="B2315" s="1" t="s">
        <v>3754</v>
      </c>
      <c r="C2315" s="1" t="s">
        <v>3755</v>
      </c>
      <c r="D2315" s="22" t="str">
        <f>HYPERLINK("https://rhld.insurance.arkansas.gov/NPILookup?Npi=1245299924","1245299924")</f>
        <v>1245299924</v>
      </c>
      <c r="E2315" s="1" t="s">
        <v>437</v>
      </c>
      <c r="F2315" s="2"/>
      <c r="G2315" s="2"/>
      <c r="H2315" s="2"/>
    </row>
    <row r="2316" spans="1:8" x14ac:dyDescent="0.25">
      <c r="A2316" s="1"/>
      <c r="B2316" s="1" t="s">
        <v>3754</v>
      </c>
      <c r="C2316" s="1" t="s">
        <v>3755</v>
      </c>
      <c r="D2316" s="22" t="str">
        <f>HYPERLINK("https://rhld.insurance.arkansas.gov/NPILookup?Npi=1245387737","1245387737")</f>
        <v>1245387737</v>
      </c>
      <c r="E2316" s="1" t="s">
        <v>9807</v>
      </c>
      <c r="F2316" s="2"/>
      <c r="G2316" s="2"/>
      <c r="H2316" s="2"/>
    </row>
    <row r="2317" spans="1:8" x14ac:dyDescent="0.25">
      <c r="A2317" s="1"/>
      <c r="B2317" s="1" t="s">
        <v>3754</v>
      </c>
      <c r="C2317" s="1" t="s">
        <v>3755</v>
      </c>
      <c r="D2317" s="22" t="str">
        <f>HYPERLINK("https://rhld.insurance.arkansas.gov/NPILookup?Npi=1245434836","1245434836")</f>
        <v>1245434836</v>
      </c>
      <c r="E2317" s="1" t="s">
        <v>15758</v>
      </c>
      <c r="F2317" s="2"/>
      <c r="G2317" s="2"/>
      <c r="H2317" s="2"/>
    </row>
    <row r="2318" spans="1:8" x14ac:dyDescent="0.25">
      <c r="A2318" s="1"/>
      <c r="B2318" s="1" t="s">
        <v>3754</v>
      </c>
      <c r="C2318" s="1" t="s">
        <v>3755</v>
      </c>
      <c r="D2318" s="22" t="str">
        <f>HYPERLINK("https://rhld.insurance.arkansas.gov/NPILookup?Npi=1245486547","1245486547")</f>
        <v>1245486547</v>
      </c>
      <c r="E2318" s="1" t="s">
        <v>1634</v>
      </c>
      <c r="F2318" s="2"/>
      <c r="G2318" s="2"/>
      <c r="H2318" s="2"/>
    </row>
    <row r="2319" spans="1:8" x14ac:dyDescent="0.25">
      <c r="A2319" s="1"/>
      <c r="B2319" s="1" t="s">
        <v>3754</v>
      </c>
      <c r="C2319" s="1" t="s">
        <v>3755</v>
      </c>
      <c r="D2319" s="22" t="str">
        <f>HYPERLINK("https://rhld.insurance.arkansas.gov/NPILookup?Npi=1255336194","1255336194")</f>
        <v>1255336194</v>
      </c>
      <c r="E2319" s="1" t="s">
        <v>31320</v>
      </c>
      <c r="F2319" s="2"/>
      <c r="G2319" s="2"/>
      <c r="H2319" s="2"/>
    </row>
    <row r="2320" spans="1:8" x14ac:dyDescent="0.25">
      <c r="A2320" s="1"/>
      <c r="B2320" s="1" t="s">
        <v>3754</v>
      </c>
      <c r="C2320" s="1" t="s">
        <v>3755</v>
      </c>
      <c r="D2320" s="22" t="str">
        <f>HYPERLINK("https://rhld.insurance.arkansas.gov/NPILookup?Npi=1255359931","1255359931")</f>
        <v>1255359931</v>
      </c>
      <c r="E2320" s="1" t="s">
        <v>15666</v>
      </c>
      <c r="F2320" s="2"/>
      <c r="G2320" s="2"/>
      <c r="H2320" s="2"/>
    </row>
    <row r="2321" spans="1:8" x14ac:dyDescent="0.25">
      <c r="A2321" s="1"/>
      <c r="B2321" s="1" t="s">
        <v>3754</v>
      </c>
      <c r="C2321" s="1" t="s">
        <v>3755</v>
      </c>
      <c r="D2321" s="22" t="str">
        <f>HYPERLINK("https://rhld.insurance.arkansas.gov/NPILookup?Npi=1255515037","1255515037")</f>
        <v>1255515037</v>
      </c>
      <c r="E2321" s="1" t="s">
        <v>2251</v>
      </c>
      <c r="F2321" s="2"/>
      <c r="G2321" s="2"/>
      <c r="H2321" s="2"/>
    </row>
    <row r="2322" spans="1:8" x14ac:dyDescent="0.25">
      <c r="A2322" s="1"/>
      <c r="B2322" s="1" t="s">
        <v>3754</v>
      </c>
      <c r="C2322" s="1" t="s">
        <v>3755</v>
      </c>
      <c r="D2322" s="22" t="str">
        <f>HYPERLINK("https://rhld.insurance.arkansas.gov/NPILookup?Npi=1255538898","1255538898")</f>
        <v>1255538898</v>
      </c>
      <c r="E2322" s="1" t="s">
        <v>9809</v>
      </c>
      <c r="F2322" s="2"/>
      <c r="G2322" s="2"/>
      <c r="H2322" s="2"/>
    </row>
    <row r="2323" spans="1:8" x14ac:dyDescent="0.25">
      <c r="A2323" s="1"/>
      <c r="B2323" s="1" t="s">
        <v>3754</v>
      </c>
      <c r="C2323" s="1" t="s">
        <v>3755</v>
      </c>
      <c r="D2323" s="22" t="str">
        <f>HYPERLINK("https://rhld.insurance.arkansas.gov/NPILookup?Npi=1255607164","1255607164")</f>
        <v>1255607164</v>
      </c>
      <c r="E2323" s="1" t="s">
        <v>15759</v>
      </c>
      <c r="F2323" s="2"/>
      <c r="G2323" s="2"/>
      <c r="H2323" s="2"/>
    </row>
    <row r="2324" spans="1:8" x14ac:dyDescent="0.25">
      <c r="A2324" s="1"/>
      <c r="B2324" s="1" t="s">
        <v>3754</v>
      </c>
      <c r="C2324" s="1" t="s">
        <v>3755</v>
      </c>
      <c r="D2324" s="22" t="str">
        <f>HYPERLINK("https://rhld.insurance.arkansas.gov/NPILookup?Npi=1255728747","1255728747")</f>
        <v>1255728747</v>
      </c>
      <c r="E2324" s="1" t="s">
        <v>15760</v>
      </c>
      <c r="F2324" s="2"/>
      <c r="G2324" s="2"/>
      <c r="H2324" s="2"/>
    </row>
    <row r="2325" spans="1:8" x14ac:dyDescent="0.25">
      <c r="A2325" s="1"/>
      <c r="B2325" s="1" t="s">
        <v>3754</v>
      </c>
      <c r="C2325" s="1" t="s">
        <v>3755</v>
      </c>
      <c r="D2325" s="22" t="str">
        <f>HYPERLINK("https://rhld.insurance.arkansas.gov/NPILookup?Npi=1255770061","1255770061")</f>
        <v>1255770061</v>
      </c>
      <c r="E2325" s="1" t="s">
        <v>15761</v>
      </c>
      <c r="F2325" s="2"/>
      <c r="G2325" s="2"/>
      <c r="H2325" s="2"/>
    </row>
    <row r="2326" spans="1:8" x14ac:dyDescent="0.25">
      <c r="A2326" s="1"/>
      <c r="B2326" s="1" t="s">
        <v>3754</v>
      </c>
      <c r="C2326" s="1" t="s">
        <v>3755</v>
      </c>
      <c r="D2326" s="22" t="str">
        <f>HYPERLINK("https://rhld.insurance.arkansas.gov/NPILookup?Npi=1255862330","1255862330")</f>
        <v>1255862330</v>
      </c>
      <c r="E2326" s="1" t="s">
        <v>15762</v>
      </c>
      <c r="F2326" s="2"/>
      <c r="G2326" s="2"/>
      <c r="H2326" s="2"/>
    </row>
    <row r="2327" spans="1:8" x14ac:dyDescent="0.25">
      <c r="A2327" s="1"/>
      <c r="B2327" s="1" t="s">
        <v>3754</v>
      </c>
      <c r="C2327" s="1" t="s">
        <v>3755</v>
      </c>
      <c r="D2327" s="22" t="str">
        <f>HYPERLINK("https://rhld.insurance.arkansas.gov/NPILookup?Npi=1265412506","1265412506")</f>
        <v>1265412506</v>
      </c>
      <c r="E2327" s="1" t="s">
        <v>2710</v>
      </c>
      <c r="F2327" s="2"/>
      <c r="G2327" s="2"/>
      <c r="H2327" s="2"/>
    </row>
    <row r="2328" spans="1:8" x14ac:dyDescent="0.25">
      <c r="A2328" s="1"/>
      <c r="B2328" s="1" t="s">
        <v>3754</v>
      </c>
      <c r="C2328" s="1" t="s">
        <v>3755</v>
      </c>
      <c r="D2328" s="22" t="str">
        <f>HYPERLINK("https://rhld.insurance.arkansas.gov/NPILookup?Npi=1265451769","1265451769")</f>
        <v>1265451769</v>
      </c>
      <c r="E2328" s="1" t="s">
        <v>332</v>
      </c>
      <c r="F2328" s="2"/>
      <c r="G2328" s="2"/>
      <c r="H2328" s="2"/>
    </row>
    <row r="2329" spans="1:8" x14ac:dyDescent="0.25">
      <c r="A2329" s="1"/>
      <c r="B2329" s="1" t="s">
        <v>3754</v>
      </c>
      <c r="C2329" s="1" t="s">
        <v>3755</v>
      </c>
      <c r="D2329" s="22" t="str">
        <f>HYPERLINK("https://rhld.insurance.arkansas.gov/NPILookup?Npi=1265467609","1265467609")</f>
        <v>1265467609</v>
      </c>
      <c r="E2329" s="1" t="s">
        <v>3483</v>
      </c>
      <c r="F2329" s="2"/>
      <c r="G2329" s="2"/>
      <c r="H2329" s="2"/>
    </row>
    <row r="2330" spans="1:8" x14ac:dyDescent="0.25">
      <c r="A2330" s="1"/>
      <c r="B2330" s="1" t="s">
        <v>3754</v>
      </c>
      <c r="C2330" s="1" t="s">
        <v>3755</v>
      </c>
      <c r="D2330" s="22" t="str">
        <f>HYPERLINK("https://rhld.insurance.arkansas.gov/NPILookup?Npi=1265478390","1265478390")</f>
        <v>1265478390</v>
      </c>
      <c r="E2330" s="1" t="s">
        <v>1913</v>
      </c>
      <c r="F2330" s="2"/>
      <c r="G2330" s="2"/>
      <c r="H2330" s="2"/>
    </row>
    <row r="2331" spans="1:8" x14ac:dyDescent="0.25">
      <c r="A2331" s="1"/>
      <c r="B2331" s="1" t="s">
        <v>3754</v>
      </c>
      <c r="C2331" s="1" t="s">
        <v>3755</v>
      </c>
      <c r="D2331" s="22" t="str">
        <f>HYPERLINK("https://rhld.insurance.arkansas.gov/NPILookup?Npi=1265481170","1265481170")</f>
        <v>1265481170</v>
      </c>
      <c r="E2331" s="1" t="s">
        <v>15763</v>
      </c>
      <c r="F2331" s="2"/>
      <c r="G2331" s="2"/>
      <c r="H2331" s="2"/>
    </row>
    <row r="2332" spans="1:8" x14ac:dyDescent="0.25">
      <c r="A2332" s="1"/>
      <c r="B2332" s="1" t="s">
        <v>3754</v>
      </c>
      <c r="C2332" s="1" t="s">
        <v>3755</v>
      </c>
      <c r="D2332" s="22" t="str">
        <f>HYPERLINK("https://rhld.insurance.arkansas.gov/NPILookup?Npi=1265489348","1265489348")</f>
        <v>1265489348</v>
      </c>
      <c r="E2332" s="1" t="s">
        <v>233</v>
      </c>
      <c r="F2332" s="2"/>
      <c r="G2332" s="2"/>
      <c r="H2332" s="2"/>
    </row>
    <row r="2333" spans="1:8" x14ac:dyDescent="0.25">
      <c r="A2333" s="1"/>
      <c r="B2333" s="1" t="s">
        <v>3754</v>
      </c>
      <c r="C2333" s="1" t="s">
        <v>3755</v>
      </c>
      <c r="D2333" s="22" t="str">
        <f>HYPERLINK("https://rhld.insurance.arkansas.gov/NPILookup?Npi=1265494231","1265494231")</f>
        <v>1265494231</v>
      </c>
      <c r="E2333" s="1" t="s">
        <v>9810</v>
      </c>
      <c r="F2333" s="2"/>
      <c r="G2333" s="2"/>
      <c r="H2333" s="2"/>
    </row>
    <row r="2334" spans="1:8" x14ac:dyDescent="0.25">
      <c r="A2334" s="1"/>
      <c r="B2334" s="1" t="s">
        <v>3754</v>
      </c>
      <c r="C2334" s="1" t="s">
        <v>3755</v>
      </c>
      <c r="D2334" s="22" t="str">
        <f>HYPERLINK("https://rhld.insurance.arkansas.gov/NPILookup?Npi=1265498752","1265498752")</f>
        <v>1265498752</v>
      </c>
      <c r="E2334" s="1" t="s">
        <v>429</v>
      </c>
      <c r="F2334" s="2"/>
      <c r="G2334" s="2"/>
      <c r="H2334" s="2"/>
    </row>
    <row r="2335" spans="1:8" x14ac:dyDescent="0.25">
      <c r="A2335" s="1"/>
      <c r="B2335" s="1" t="s">
        <v>3754</v>
      </c>
      <c r="C2335" s="1" t="s">
        <v>3755</v>
      </c>
      <c r="D2335" s="22" t="str">
        <f>HYPERLINK("https://rhld.insurance.arkansas.gov/NPILookup?Npi=1265656672","1265656672")</f>
        <v>1265656672</v>
      </c>
      <c r="E2335" s="1" t="s">
        <v>15764</v>
      </c>
      <c r="F2335" s="2"/>
      <c r="G2335" s="2"/>
      <c r="H2335" s="2"/>
    </row>
    <row r="2336" spans="1:8" x14ac:dyDescent="0.25">
      <c r="A2336" s="1"/>
      <c r="B2336" s="1" t="s">
        <v>3754</v>
      </c>
      <c r="C2336" s="1" t="s">
        <v>3755</v>
      </c>
      <c r="D2336" s="22" t="str">
        <f>HYPERLINK("https://rhld.insurance.arkansas.gov/NPILookup?Npi=1265691976","1265691976")</f>
        <v>1265691976</v>
      </c>
      <c r="E2336" s="1" t="s">
        <v>15765</v>
      </c>
      <c r="F2336" s="2"/>
      <c r="G2336" s="2"/>
      <c r="H2336" s="2"/>
    </row>
    <row r="2337" spans="1:8" x14ac:dyDescent="0.25">
      <c r="A2337" s="1"/>
      <c r="B2337" s="1" t="s">
        <v>3754</v>
      </c>
      <c r="C2337" s="1" t="s">
        <v>3755</v>
      </c>
      <c r="D2337" s="22" t="str">
        <f>HYPERLINK("https://rhld.insurance.arkansas.gov/NPILookup?Npi=1265729537","1265729537")</f>
        <v>1265729537</v>
      </c>
      <c r="E2337" s="1" t="s">
        <v>15766</v>
      </c>
      <c r="F2337" s="2"/>
      <c r="G2337" s="2"/>
      <c r="H2337" s="2"/>
    </row>
    <row r="2338" spans="1:8" x14ac:dyDescent="0.25">
      <c r="A2338" s="1"/>
      <c r="B2338" s="1" t="s">
        <v>3754</v>
      </c>
      <c r="C2338" s="1" t="s">
        <v>3755</v>
      </c>
      <c r="D2338" s="22" t="str">
        <f>HYPERLINK("https://rhld.insurance.arkansas.gov/NPILookup?Npi=1275530065","1275530065")</f>
        <v>1275530065</v>
      </c>
      <c r="E2338" s="1" t="s">
        <v>3484</v>
      </c>
      <c r="F2338" s="2"/>
      <c r="G2338" s="2"/>
      <c r="H2338" s="2"/>
    </row>
    <row r="2339" spans="1:8" x14ac:dyDescent="0.25">
      <c r="A2339" s="1"/>
      <c r="B2339" s="1" t="s">
        <v>3754</v>
      </c>
      <c r="C2339" s="1" t="s">
        <v>3755</v>
      </c>
      <c r="D2339" s="22" t="str">
        <f>HYPERLINK("https://rhld.insurance.arkansas.gov/NPILookup?Npi=1275637654","1275637654")</f>
        <v>1275637654</v>
      </c>
      <c r="E2339" s="1" t="s">
        <v>3485</v>
      </c>
      <c r="F2339" s="2"/>
      <c r="G2339" s="2"/>
      <c r="H2339" s="2"/>
    </row>
    <row r="2340" spans="1:8" x14ac:dyDescent="0.25">
      <c r="A2340" s="1"/>
      <c r="B2340" s="1" t="s">
        <v>3754</v>
      </c>
      <c r="C2340" s="1" t="s">
        <v>3755</v>
      </c>
      <c r="D2340" s="22" t="str">
        <f>HYPERLINK("https://rhld.insurance.arkansas.gov/NPILookup?Npi=1275690729","1275690729")</f>
        <v>1275690729</v>
      </c>
      <c r="E2340" s="1" t="s">
        <v>3789</v>
      </c>
      <c r="F2340" s="2"/>
      <c r="G2340" s="2"/>
      <c r="H2340" s="2"/>
    </row>
    <row r="2341" spans="1:8" x14ac:dyDescent="0.25">
      <c r="A2341" s="1"/>
      <c r="B2341" s="1" t="s">
        <v>3754</v>
      </c>
      <c r="C2341" s="1" t="s">
        <v>3755</v>
      </c>
      <c r="D2341" s="22" t="str">
        <f>HYPERLINK("https://rhld.insurance.arkansas.gov/NPILookup?Npi=1275757437","1275757437")</f>
        <v>1275757437</v>
      </c>
      <c r="E2341" s="1" t="s">
        <v>15767</v>
      </c>
      <c r="F2341" s="2"/>
      <c r="G2341" s="2"/>
      <c r="H2341" s="2"/>
    </row>
    <row r="2342" spans="1:8" x14ac:dyDescent="0.25">
      <c r="A2342" s="1"/>
      <c r="B2342" s="1" t="s">
        <v>3754</v>
      </c>
      <c r="C2342" s="1" t="s">
        <v>3755</v>
      </c>
      <c r="D2342" s="22" t="str">
        <f>HYPERLINK("https://rhld.insurance.arkansas.gov/NPILookup?Npi=1275763757","1275763757")</f>
        <v>1275763757</v>
      </c>
      <c r="E2342" s="1" t="s">
        <v>3486</v>
      </c>
      <c r="F2342" s="2"/>
      <c r="G2342" s="2"/>
      <c r="H2342" s="2"/>
    </row>
    <row r="2343" spans="1:8" x14ac:dyDescent="0.25">
      <c r="A2343" s="1"/>
      <c r="B2343" s="1" t="s">
        <v>3754</v>
      </c>
      <c r="C2343" s="1" t="s">
        <v>3755</v>
      </c>
      <c r="D2343" s="22" t="str">
        <f>HYPERLINK("https://rhld.insurance.arkansas.gov/NPILookup?Npi=1285011643","1285011643")</f>
        <v>1285011643</v>
      </c>
      <c r="E2343" s="1" t="s">
        <v>15768</v>
      </c>
      <c r="F2343" s="2"/>
      <c r="G2343" s="2"/>
      <c r="H2343" s="2"/>
    </row>
    <row r="2344" spans="1:8" x14ac:dyDescent="0.25">
      <c r="A2344" s="1"/>
      <c r="B2344" s="1" t="s">
        <v>3754</v>
      </c>
      <c r="C2344" s="1" t="s">
        <v>3755</v>
      </c>
      <c r="D2344" s="22" t="str">
        <f>HYPERLINK("https://rhld.insurance.arkansas.gov/NPILookup?Npi=1285628065","1285628065")</f>
        <v>1285628065</v>
      </c>
      <c r="E2344" s="1" t="s">
        <v>15769</v>
      </c>
      <c r="F2344" s="2"/>
      <c r="G2344" s="2"/>
      <c r="H2344" s="2"/>
    </row>
    <row r="2345" spans="1:8" x14ac:dyDescent="0.25">
      <c r="A2345" s="1"/>
      <c r="B2345" s="1" t="s">
        <v>3754</v>
      </c>
      <c r="C2345" s="1" t="s">
        <v>3755</v>
      </c>
      <c r="D2345" s="22" t="str">
        <f>HYPERLINK("https://rhld.insurance.arkansas.gov/NPILookup?Npi=1285670596","1285670596")</f>
        <v>1285670596</v>
      </c>
      <c r="E2345" s="1" t="s">
        <v>15770</v>
      </c>
      <c r="F2345" s="2"/>
      <c r="G2345" s="2"/>
      <c r="H2345" s="2"/>
    </row>
    <row r="2346" spans="1:8" x14ac:dyDescent="0.25">
      <c r="A2346" s="1"/>
      <c r="B2346" s="1" t="s">
        <v>3754</v>
      </c>
      <c r="C2346" s="1" t="s">
        <v>3755</v>
      </c>
      <c r="D2346" s="22" t="str">
        <f>HYPERLINK("https://rhld.insurance.arkansas.gov/NPILookup?Npi=1285684845","1285684845")</f>
        <v>1285684845</v>
      </c>
      <c r="E2346" s="1" t="s">
        <v>3790</v>
      </c>
      <c r="F2346" s="2"/>
      <c r="G2346" s="2"/>
      <c r="H2346" s="2"/>
    </row>
    <row r="2347" spans="1:8" x14ac:dyDescent="0.25">
      <c r="A2347" s="1"/>
      <c r="B2347" s="1" t="s">
        <v>3754</v>
      </c>
      <c r="C2347" s="1" t="s">
        <v>3755</v>
      </c>
      <c r="D2347" s="22" t="str">
        <f>HYPERLINK("https://rhld.insurance.arkansas.gov/NPILookup?Npi=1285724849","1285724849")</f>
        <v>1285724849</v>
      </c>
      <c r="E2347" s="1" t="s">
        <v>9811</v>
      </c>
      <c r="F2347" s="2"/>
      <c r="G2347" s="2"/>
      <c r="H2347" s="2"/>
    </row>
    <row r="2348" spans="1:8" x14ac:dyDescent="0.25">
      <c r="A2348" s="1"/>
      <c r="B2348" s="1" t="s">
        <v>3754</v>
      </c>
      <c r="C2348" s="1" t="s">
        <v>3755</v>
      </c>
      <c r="D2348" s="22" t="str">
        <f>HYPERLINK("https://rhld.insurance.arkansas.gov/NPILookup?Npi=1285803353","1285803353")</f>
        <v>1285803353</v>
      </c>
      <c r="E2348" s="1" t="s">
        <v>1534</v>
      </c>
      <c r="F2348" s="2"/>
      <c r="G2348" s="2"/>
      <c r="H2348" s="2"/>
    </row>
    <row r="2349" spans="1:8" x14ac:dyDescent="0.25">
      <c r="A2349" s="1"/>
      <c r="B2349" s="1" t="s">
        <v>3754</v>
      </c>
      <c r="C2349" s="1" t="s">
        <v>3755</v>
      </c>
      <c r="D2349" s="22" t="str">
        <f>HYPERLINK("https://rhld.insurance.arkansas.gov/NPILookup?Npi=1285858449","1285858449")</f>
        <v>1285858449</v>
      </c>
      <c r="E2349" s="1" t="s">
        <v>15771</v>
      </c>
      <c r="F2349" s="2"/>
      <c r="G2349" s="2"/>
      <c r="H2349" s="2"/>
    </row>
    <row r="2350" spans="1:8" x14ac:dyDescent="0.25">
      <c r="A2350" s="1"/>
      <c r="B2350" s="1" t="s">
        <v>3754</v>
      </c>
      <c r="C2350" s="1" t="s">
        <v>3755</v>
      </c>
      <c r="D2350" s="22" t="str">
        <f>HYPERLINK("https://rhld.insurance.arkansas.gov/NPILookup?Npi=1285869099","1285869099")</f>
        <v>1285869099</v>
      </c>
      <c r="E2350" s="1" t="s">
        <v>3791</v>
      </c>
      <c r="F2350" s="2"/>
      <c r="G2350" s="2"/>
      <c r="H2350" s="2"/>
    </row>
    <row r="2351" spans="1:8" x14ac:dyDescent="0.25">
      <c r="A2351" s="1"/>
      <c r="B2351" s="1" t="s">
        <v>3754</v>
      </c>
      <c r="C2351" s="1" t="s">
        <v>3755</v>
      </c>
      <c r="D2351" s="22" t="str">
        <f>HYPERLINK("https://rhld.insurance.arkansas.gov/NPILookup?Npi=1285876607","1285876607")</f>
        <v>1285876607</v>
      </c>
      <c r="E2351" s="1" t="s">
        <v>9812</v>
      </c>
      <c r="F2351" s="2"/>
      <c r="G2351" s="2"/>
      <c r="H2351" s="2"/>
    </row>
    <row r="2352" spans="1:8" x14ac:dyDescent="0.25">
      <c r="A2352" s="1"/>
      <c r="B2352" s="1" t="s">
        <v>3754</v>
      </c>
      <c r="C2352" s="1" t="s">
        <v>3755</v>
      </c>
      <c r="D2352" s="22" t="str">
        <f>HYPERLINK("https://rhld.insurance.arkansas.gov/NPILookup?Npi=1285936625","1285936625")</f>
        <v>1285936625</v>
      </c>
      <c r="E2352" s="1" t="s">
        <v>31321</v>
      </c>
      <c r="F2352" s="2"/>
      <c r="G2352" s="2"/>
      <c r="H2352" s="2"/>
    </row>
    <row r="2353" spans="1:8" x14ac:dyDescent="0.25">
      <c r="A2353" s="1"/>
      <c r="B2353" s="1" t="s">
        <v>3754</v>
      </c>
      <c r="C2353" s="1" t="s">
        <v>3755</v>
      </c>
      <c r="D2353" s="22" t="str">
        <f>HYPERLINK("https://rhld.insurance.arkansas.gov/NPILookup?Npi=1295180248","1295180248")</f>
        <v>1295180248</v>
      </c>
      <c r="E2353" s="1" t="s">
        <v>15772</v>
      </c>
      <c r="F2353" s="2"/>
      <c r="G2353" s="2"/>
      <c r="H2353" s="2"/>
    </row>
    <row r="2354" spans="1:8" x14ac:dyDescent="0.25">
      <c r="A2354" s="1"/>
      <c r="B2354" s="1" t="s">
        <v>3754</v>
      </c>
      <c r="C2354" s="1" t="s">
        <v>3755</v>
      </c>
      <c r="D2354" s="22" t="str">
        <f>HYPERLINK("https://rhld.insurance.arkansas.gov/NPILookup?Npi=1295198836","1295198836")</f>
        <v>1295198836</v>
      </c>
      <c r="E2354" s="1" t="s">
        <v>3792</v>
      </c>
      <c r="F2354" s="2"/>
      <c r="G2354" s="2"/>
      <c r="H2354" s="2"/>
    </row>
    <row r="2355" spans="1:8" x14ac:dyDescent="0.25">
      <c r="A2355" s="1"/>
      <c r="B2355" s="1" t="s">
        <v>3754</v>
      </c>
      <c r="C2355" s="1" t="s">
        <v>3755</v>
      </c>
      <c r="D2355" s="22" t="str">
        <f>HYPERLINK("https://rhld.insurance.arkansas.gov/NPILookup?Npi=1295702595","1295702595")</f>
        <v>1295702595</v>
      </c>
      <c r="E2355" s="1" t="s">
        <v>2252</v>
      </c>
      <c r="F2355" s="2"/>
      <c r="G2355" s="2"/>
      <c r="H2355" s="2"/>
    </row>
    <row r="2356" spans="1:8" x14ac:dyDescent="0.25">
      <c r="A2356" s="1"/>
      <c r="B2356" s="1" t="s">
        <v>3754</v>
      </c>
      <c r="C2356" s="1" t="s">
        <v>3755</v>
      </c>
      <c r="D2356" s="22" t="str">
        <f>HYPERLINK("https://rhld.insurance.arkansas.gov/NPILookup?Npi=1295799443","1295799443")</f>
        <v>1295799443</v>
      </c>
      <c r="E2356" s="1" t="s">
        <v>2253</v>
      </c>
      <c r="F2356" s="2"/>
      <c r="G2356" s="2"/>
      <c r="H2356" s="2"/>
    </row>
    <row r="2357" spans="1:8" x14ac:dyDescent="0.25">
      <c r="A2357" s="1"/>
      <c r="B2357" s="1" t="s">
        <v>3754</v>
      </c>
      <c r="C2357" s="1" t="s">
        <v>3755</v>
      </c>
      <c r="D2357" s="22" t="str">
        <f>HYPERLINK("https://rhld.insurance.arkansas.gov/NPILookup?Npi=1295807733","1295807733")</f>
        <v>1295807733</v>
      </c>
      <c r="E2357" s="1" t="s">
        <v>15773</v>
      </c>
      <c r="F2357" s="2"/>
      <c r="G2357" s="2"/>
      <c r="H2357" s="2"/>
    </row>
    <row r="2358" spans="1:8" x14ac:dyDescent="0.25">
      <c r="A2358" s="1"/>
      <c r="B2358" s="1" t="s">
        <v>3754</v>
      </c>
      <c r="C2358" s="1" t="s">
        <v>3755</v>
      </c>
      <c r="D2358" s="22" t="str">
        <f>HYPERLINK("https://rhld.insurance.arkansas.gov/NPILookup?Npi=1295990570","1295990570")</f>
        <v>1295990570</v>
      </c>
      <c r="E2358" s="1" t="s">
        <v>3793</v>
      </c>
      <c r="F2358" s="2"/>
      <c r="G2358" s="2"/>
      <c r="H2358" s="2"/>
    </row>
    <row r="2359" spans="1:8" x14ac:dyDescent="0.25">
      <c r="A2359" s="1"/>
      <c r="B2359" s="1" t="s">
        <v>3754</v>
      </c>
      <c r="C2359" s="1" t="s">
        <v>3755</v>
      </c>
      <c r="D2359" s="22" t="str">
        <f>HYPERLINK("https://rhld.insurance.arkansas.gov/NPILookup?Npi=1306827571","1306827571")</f>
        <v>1306827571</v>
      </c>
      <c r="E2359" s="1" t="s">
        <v>15774</v>
      </c>
      <c r="F2359" s="2"/>
      <c r="G2359" s="2"/>
      <c r="H2359" s="2"/>
    </row>
    <row r="2360" spans="1:8" x14ac:dyDescent="0.25">
      <c r="A2360" s="1"/>
      <c r="B2360" s="1" t="s">
        <v>3754</v>
      </c>
      <c r="C2360" s="1" t="s">
        <v>3755</v>
      </c>
      <c r="D2360" s="22" t="str">
        <f>HYPERLINK("https://rhld.insurance.arkansas.gov/NPILookup?Npi=1306856851","1306856851")</f>
        <v>1306856851</v>
      </c>
      <c r="E2360" s="1" t="s">
        <v>15775</v>
      </c>
      <c r="F2360" s="2"/>
      <c r="G2360" s="2"/>
      <c r="H2360" s="2"/>
    </row>
    <row r="2361" spans="1:8" x14ac:dyDescent="0.25">
      <c r="A2361" s="1"/>
      <c r="B2361" s="1" t="s">
        <v>3754</v>
      </c>
      <c r="C2361" s="1" t="s">
        <v>3755</v>
      </c>
      <c r="D2361" s="22" t="str">
        <f>HYPERLINK("https://rhld.insurance.arkansas.gov/NPILookup?Npi=1316009731","1316009731")</f>
        <v>1316009731</v>
      </c>
      <c r="E2361" s="1" t="s">
        <v>15776</v>
      </c>
      <c r="F2361" s="2"/>
      <c r="G2361" s="2"/>
      <c r="H2361" s="2"/>
    </row>
    <row r="2362" spans="1:8" x14ac:dyDescent="0.25">
      <c r="A2362" s="1"/>
      <c r="B2362" s="1" t="s">
        <v>3754</v>
      </c>
      <c r="C2362" s="1" t="s">
        <v>3755</v>
      </c>
      <c r="D2362" s="22" t="str">
        <f>HYPERLINK("https://rhld.insurance.arkansas.gov/NPILookup?Npi=1316162332","1316162332")</f>
        <v>1316162332</v>
      </c>
      <c r="E2362" s="1" t="s">
        <v>15777</v>
      </c>
      <c r="F2362" s="2"/>
      <c r="G2362" s="2"/>
      <c r="H2362" s="2"/>
    </row>
    <row r="2363" spans="1:8" x14ac:dyDescent="0.25">
      <c r="A2363" s="1"/>
      <c r="B2363" s="1" t="s">
        <v>3754</v>
      </c>
      <c r="C2363" s="1" t="s">
        <v>3755</v>
      </c>
      <c r="D2363" s="22" t="str">
        <f>HYPERLINK("https://rhld.insurance.arkansas.gov/NPILookup?Npi=1316904048","1316904048")</f>
        <v>1316904048</v>
      </c>
      <c r="E2363" s="1" t="s">
        <v>15778</v>
      </c>
      <c r="F2363" s="2"/>
      <c r="G2363" s="2"/>
      <c r="H2363" s="2"/>
    </row>
    <row r="2364" spans="1:8" x14ac:dyDescent="0.25">
      <c r="A2364" s="1"/>
      <c r="B2364" s="1" t="s">
        <v>3754</v>
      </c>
      <c r="C2364" s="1" t="s">
        <v>3755</v>
      </c>
      <c r="D2364" s="22" t="str">
        <f>HYPERLINK("https://rhld.insurance.arkansas.gov/NPILookup?Npi=1316915424","1316915424")</f>
        <v>1316915424</v>
      </c>
      <c r="E2364" s="1" t="s">
        <v>140</v>
      </c>
      <c r="F2364" s="2"/>
      <c r="G2364" s="2"/>
      <c r="H2364" s="2"/>
    </row>
    <row r="2365" spans="1:8" x14ac:dyDescent="0.25">
      <c r="A2365" s="1"/>
      <c r="B2365" s="1" t="s">
        <v>3754</v>
      </c>
      <c r="C2365" s="1" t="s">
        <v>3755</v>
      </c>
      <c r="D2365" s="22" t="str">
        <f>HYPERLINK("https://rhld.insurance.arkansas.gov/NPILookup?Npi=1316923329","1316923329")</f>
        <v>1316923329</v>
      </c>
      <c r="E2365" s="1" t="s">
        <v>3487</v>
      </c>
      <c r="F2365" s="2"/>
      <c r="G2365" s="2"/>
      <c r="H2365" s="2"/>
    </row>
    <row r="2366" spans="1:8" x14ac:dyDescent="0.25">
      <c r="A2366" s="1"/>
      <c r="B2366" s="1" t="s">
        <v>3754</v>
      </c>
      <c r="C2366" s="1" t="s">
        <v>3755</v>
      </c>
      <c r="D2366" s="22" t="str">
        <f>HYPERLINK("https://rhld.insurance.arkansas.gov/NPILookup?Npi=1316995137","1316995137")</f>
        <v>1316995137</v>
      </c>
      <c r="E2366" s="1" t="s">
        <v>2254</v>
      </c>
      <c r="F2366" s="2"/>
      <c r="G2366" s="2"/>
      <c r="H2366" s="2"/>
    </row>
    <row r="2367" spans="1:8" x14ac:dyDescent="0.25">
      <c r="A2367" s="1"/>
      <c r="B2367" s="1" t="s">
        <v>3754</v>
      </c>
      <c r="C2367" s="1" t="s">
        <v>3755</v>
      </c>
      <c r="D2367" s="22" t="str">
        <f>HYPERLINK("https://rhld.insurance.arkansas.gov/NPILookup?Npi=1326048877","1326048877")</f>
        <v>1326048877</v>
      </c>
      <c r="E2367" s="1" t="s">
        <v>15779</v>
      </c>
      <c r="F2367" s="2"/>
      <c r="G2367" s="2"/>
      <c r="H2367" s="2"/>
    </row>
    <row r="2368" spans="1:8" x14ac:dyDescent="0.25">
      <c r="A2368" s="1"/>
      <c r="B2368" s="1" t="s">
        <v>3754</v>
      </c>
      <c r="C2368" s="1" t="s">
        <v>3755</v>
      </c>
      <c r="D2368" s="22" t="str">
        <f>HYPERLINK("https://rhld.insurance.arkansas.gov/NPILookup?Npi=1326082454","1326082454")</f>
        <v>1326082454</v>
      </c>
      <c r="E2368" s="1" t="s">
        <v>15780</v>
      </c>
      <c r="F2368" s="2"/>
      <c r="G2368" s="2"/>
      <c r="H2368" s="2"/>
    </row>
    <row r="2369" spans="1:8" x14ac:dyDescent="0.25">
      <c r="A2369" s="1"/>
      <c r="B2369" s="1" t="s">
        <v>3754</v>
      </c>
      <c r="C2369" s="1" t="s">
        <v>3755</v>
      </c>
      <c r="D2369" s="22" t="str">
        <f>HYPERLINK("https://rhld.insurance.arkansas.gov/NPILookup?Npi=1326274952","1326274952")</f>
        <v>1326274952</v>
      </c>
      <c r="E2369" s="1" t="s">
        <v>15781</v>
      </c>
      <c r="F2369" s="2"/>
      <c r="G2369" s="2"/>
      <c r="H2369" s="2"/>
    </row>
    <row r="2370" spans="1:8" x14ac:dyDescent="0.25">
      <c r="A2370" s="1"/>
      <c r="B2370" s="1" t="s">
        <v>3754</v>
      </c>
      <c r="C2370" s="1" t="s">
        <v>3755</v>
      </c>
      <c r="D2370" s="22" t="str">
        <f>HYPERLINK("https://rhld.insurance.arkansas.gov/NPILookup?Npi=1326455841","1326455841")</f>
        <v>1326455841</v>
      </c>
      <c r="E2370" s="1" t="s">
        <v>15782</v>
      </c>
      <c r="F2370" s="2"/>
      <c r="G2370" s="2"/>
      <c r="H2370" s="2"/>
    </row>
    <row r="2371" spans="1:8" x14ac:dyDescent="0.25">
      <c r="A2371" s="1"/>
      <c r="B2371" s="1" t="s">
        <v>3754</v>
      </c>
      <c r="C2371" s="1" t="s">
        <v>3755</v>
      </c>
      <c r="D2371" s="22" t="str">
        <f>HYPERLINK("https://rhld.insurance.arkansas.gov/NPILookup?Npi=1336327295","1336327295")</f>
        <v>1336327295</v>
      </c>
      <c r="E2371" s="1" t="s">
        <v>15783</v>
      </c>
      <c r="F2371" s="2"/>
      <c r="G2371" s="2"/>
      <c r="H2371" s="2"/>
    </row>
    <row r="2372" spans="1:8" x14ac:dyDescent="0.25">
      <c r="A2372" s="1"/>
      <c r="B2372" s="1" t="s">
        <v>3754</v>
      </c>
      <c r="C2372" s="1" t="s">
        <v>3755</v>
      </c>
      <c r="D2372" s="22" t="str">
        <f>HYPERLINK("https://rhld.insurance.arkansas.gov/NPILookup?Npi=1336590363","1336590363")</f>
        <v>1336590363</v>
      </c>
      <c r="E2372" s="1" t="s">
        <v>3795</v>
      </c>
      <c r="F2372" s="2"/>
      <c r="G2372" s="2"/>
      <c r="H2372" s="2"/>
    </row>
    <row r="2373" spans="1:8" x14ac:dyDescent="0.25">
      <c r="A2373" s="1"/>
      <c r="B2373" s="1" t="s">
        <v>3754</v>
      </c>
      <c r="C2373" s="1" t="s">
        <v>3755</v>
      </c>
      <c r="D2373" s="22" t="str">
        <f>HYPERLINK("https://rhld.insurance.arkansas.gov/NPILookup?Npi=1336645225","1336645225")</f>
        <v>1336645225</v>
      </c>
      <c r="E2373" s="1" t="s">
        <v>15784</v>
      </c>
      <c r="F2373" s="2"/>
      <c r="G2373" s="2"/>
      <c r="H2373" s="2"/>
    </row>
    <row r="2374" spans="1:8" x14ac:dyDescent="0.25">
      <c r="A2374" s="1"/>
      <c r="B2374" s="1" t="s">
        <v>3754</v>
      </c>
      <c r="C2374" s="1" t="s">
        <v>3755</v>
      </c>
      <c r="D2374" s="22" t="str">
        <f>HYPERLINK("https://rhld.insurance.arkansas.gov/NPILookup?Npi=1346218070","1346218070")</f>
        <v>1346218070</v>
      </c>
      <c r="E2374" s="1" t="s">
        <v>3796</v>
      </c>
      <c r="F2374" s="2"/>
      <c r="G2374" s="2"/>
      <c r="H2374" s="2"/>
    </row>
    <row r="2375" spans="1:8" x14ac:dyDescent="0.25">
      <c r="A2375" s="1"/>
      <c r="B2375" s="1" t="s">
        <v>3754</v>
      </c>
      <c r="C2375" s="1" t="s">
        <v>3755</v>
      </c>
      <c r="D2375" s="22" t="str">
        <f>HYPERLINK("https://rhld.insurance.arkansas.gov/NPILookup?Npi=1346336815","1346336815")</f>
        <v>1346336815</v>
      </c>
      <c r="E2375" s="1" t="s">
        <v>15786</v>
      </c>
      <c r="F2375" s="2"/>
      <c r="G2375" s="2"/>
      <c r="H2375" s="2"/>
    </row>
    <row r="2376" spans="1:8" x14ac:dyDescent="0.25">
      <c r="A2376" s="1"/>
      <c r="B2376" s="1" t="s">
        <v>3754</v>
      </c>
      <c r="C2376" s="1" t="s">
        <v>3755</v>
      </c>
      <c r="D2376" s="22" t="str">
        <f>HYPERLINK("https://rhld.insurance.arkansas.gov/NPILookup?Npi=1346506409","1346506409")</f>
        <v>1346506409</v>
      </c>
      <c r="E2376" s="1" t="s">
        <v>15787</v>
      </c>
      <c r="F2376" s="2"/>
      <c r="G2376" s="2"/>
      <c r="H2376" s="2"/>
    </row>
    <row r="2377" spans="1:8" x14ac:dyDescent="0.25">
      <c r="A2377" s="1"/>
      <c r="B2377" s="1" t="s">
        <v>3754</v>
      </c>
      <c r="C2377" s="1" t="s">
        <v>3755</v>
      </c>
      <c r="D2377" s="22" t="str">
        <f>HYPERLINK("https://rhld.insurance.arkansas.gov/NPILookup?Npi=1346582590","1346582590")</f>
        <v>1346582590</v>
      </c>
      <c r="E2377" s="1" t="s">
        <v>9813</v>
      </c>
      <c r="F2377" s="2"/>
      <c r="G2377" s="2"/>
      <c r="H2377" s="2"/>
    </row>
    <row r="2378" spans="1:8" x14ac:dyDescent="0.25">
      <c r="A2378" s="1"/>
      <c r="B2378" s="1" t="s">
        <v>3754</v>
      </c>
      <c r="C2378" s="1" t="s">
        <v>3755</v>
      </c>
      <c r="D2378" s="22" t="str">
        <f>HYPERLINK("https://rhld.insurance.arkansas.gov/NPILookup?Npi=1346594470","1346594470")</f>
        <v>1346594470</v>
      </c>
      <c r="E2378" s="1" t="s">
        <v>9814</v>
      </c>
      <c r="F2378" s="2"/>
      <c r="G2378" s="2"/>
      <c r="H2378" s="2"/>
    </row>
    <row r="2379" spans="1:8" x14ac:dyDescent="0.25">
      <c r="A2379" s="1"/>
      <c r="B2379" s="1" t="s">
        <v>3754</v>
      </c>
      <c r="C2379" s="1" t="s">
        <v>3755</v>
      </c>
      <c r="D2379" s="22" t="str">
        <f>HYPERLINK("https://rhld.insurance.arkansas.gov/NPILookup?Npi=1346660727","1346660727")</f>
        <v>1346660727</v>
      </c>
      <c r="E2379" s="1" t="s">
        <v>15788</v>
      </c>
      <c r="F2379" s="2"/>
      <c r="G2379" s="2"/>
      <c r="H2379" s="2"/>
    </row>
    <row r="2380" spans="1:8" x14ac:dyDescent="0.25">
      <c r="A2380" s="1"/>
      <c r="B2380" s="1" t="s">
        <v>3754</v>
      </c>
      <c r="C2380" s="1" t="s">
        <v>3755</v>
      </c>
      <c r="D2380" s="22" t="str">
        <f>HYPERLINK("https://rhld.insurance.arkansas.gov/NPILookup?Npi=1346773116","1346773116")</f>
        <v>1346773116</v>
      </c>
      <c r="E2380" s="1" t="s">
        <v>15789</v>
      </c>
      <c r="F2380" s="2"/>
      <c r="G2380" s="2"/>
      <c r="H2380" s="2"/>
    </row>
    <row r="2381" spans="1:8" x14ac:dyDescent="0.25">
      <c r="A2381" s="1"/>
      <c r="B2381" s="1" t="s">
        <v>3754</v>
      </c>
      <c r="C2381" s="1" t="s">
        <v>3755</v>
      </c>
      <c r="D2381" s="22" t="str">
        <f>HYPERLINK("https://rhld.insurance.arkansas.gov/NPILookup?Npi=1356443451","1356443451")</f>
        <v>1356443451</v>
      </c>
      <c r="E2381" s="1" t="s">
        <v>15790</v>
      </c>
      <c r="F2381" s="2"/>
      <c r="G2381" s="2"/>
      <c r="H2381" s="2"/>
    </row>
    <row r="2382" spans="1:8" x14ac:dyDescent="0.25">
      <c r="A2382" s="1"/>
      <c r="B2382" s="1" t="s">
        <v>3754</v>
      </c>
      <c r="C2382" s="1" t="s">
        <v>3755</v>
      </c>
      <c r="D2382" s="22" t="str">
        <f>HYPERLINK("https://rhld.insurance.arkansas.gov/NPILookup?Npi=1356454193","1356454193")</f>
        <v>1356454193</v>
      </c>
      <c r="E2382" s="1" t="s">
        <v>192</v>
      </c>
      <c r="F2382" s="2"/>
      <c r="G2382" s="2"/>
      <c r="H2382" s="2"/>
    </row>
    <row r="2383" spans="1:8" x14ac:dyDescent="0.25">
      <c r="A2383" s="1"/>
      <c r="B2383" s="1" t="s">
        <v>3754</v>
      </c>
      <c r="C2383" s="1" t="s">
        <v>3755</v>
      </c>
      <c r="D2383" s="22" t="str">
        <f>HYPERLINK("https://rhld.insurance.arkansas.gov/NPILookup?Npi=1356521421","1356521421")</f>
        <v>1356521421</v>
      </c>
      <c r="E2383" s="1" t="s">
        <v>9815</v>
      </c>
      <c r="F2383" s="2"/>
      <c r="G2383" s="2"/>
      <c r="H2383" s="2"/>
    </row>
    <row r="2384" spans="1:8" x14ac:dyDescent="0.25">
      <c r="A2384" s="1"/>
      <c r="B2384" s="1" t="s">
        <v>3754</v>
      </c>
      <c r="C2384" s="1" t="s">
        <v>3755</v>
      </c>
      <c r="D2384" s="22" t="str">
        <f>HYPERLINK("https://rhld.insurance.arkansas.gov/NPILookup?Npi=1356528442","1356528442")</f>
        <v>1356528442</v>
      </c>
      <c r="E2384" s="1" t="s">
        <v>15791</v>
      </c>
      <c r="F2384" s="2"/>
      <c r="G2384" s="2"/>
      <c r="H2384" s="2"/>
    </row>
    <row r="2385" spans="1:8" x14ac:dyDescent="0.25">
      <c r="A2385" s="1"/>
      <c r="B2385" s="1" t="s">
        <v>3754</v>
      </c>
      <c r="C2385" s="1" t="s">
        <v>3755</v>
      </c>
      <c r="D2385" s="22" t="str">
        <f>HYPERLINK("https://rhld.insurance.arkansas.gov/NPILookup?Npi=1356750624","1356750624")</f>
        <v>1356750624</v>
      </c>
      <c r="E2385" s="1" t="s">
        <v>15792</v>
      </c>
      <c r="F2385" s="2"/>
      <c r="G2385" s="2"/>
      <c r="H2385" s="2"/>
    </row>
    <row r="2386" spans="1:8" x14ac:dyDescent="0.25">
      <c r="A2386" s="1"/>
      <c r="B2386" s="1" t="s">
        <v>3754</v>
      </c>
      <c r="C2386" s="1" t="s">
        <v>3755</v>
      </c>
      <c r="D2386" s="22" t="str">
        <f>HYPERLINK("https://rhld.insurance.arkansas.gov/NPILookup?Npi=1356761696","1356761696")</f>
        <v>1356761696</v>
      </c>
      <c r="E2386" s="1" t="s">
        <v>15669</v>
      </c>
      <c r="F2386" s="2"/>
      <c r="G2386" s="2"/>
      <c r="H2386" s="2"/>
    </row>
    <row r="2387" spans="1:8" x14ac:dyDescent="0.25">
      <c r="A2387" s="1"/>
      <c r="B2387" s="1" t="s">
        <v>3754</v>
      </c>
      <c r="C2387" s="1" t="s">
        <v>3755</v>
      </c>
      <c r="D2387" s="22" t="str">
        <f>HYPERLINK("https://rhld.insurance.arkansas.gov/NPILookup?Npi=1366436750","1366436750")</f>
        <v>1366436750</v>
      </c>
      <c r="E2387" s="1" t="s">
        <v>2255</v>
      </c>
      <c r="F2387" s="2"/>
      <c r="G2387" s="2"/>
      <c r="H2387" s="2"/>
    </row>
    <row r="2388" spans="1:8" x14ac:dyDescent="0.25">
      <c r="A2388" s="1"/>
      <c r="B2388" s="1" t="s">
        <v>3754</v>
      </c>
      <c r="C2388" s="1" t="s">
        <v>3755</v>
      </c>
      <c r="D2388" s="22" t="str">
        <f>HYPERLINK("https://rhld.insurance.arkansas.gov/NPILookup?Npi=1366485237","1366485237")</f>
        <v>1366485237</v>
      </c>
      <c r="E2388" s="1" t="s">
        <v>3488</v>
      </c>
      <c r="F2388" s="2"/>
      <c r="G2388" s="2"/>
      <c r="H2388" s="2"/>
    </row>
    <row r="2389" spans="1:8" x14ac:dyDescent="0.25">
      <c r="A2389" s="1"/>
      <c r="B2389" s="1" t="s">
        <v>3754</v>
      </c>
      <c r="C2389" s="1" t="s">
        <v>3755</v>
      </c>
      <c r="D2389" s="22" t="str">
        <f>HYPERLINK("https://rhld.insurance.arkansas.gov/NPILookup?Npi=1366602880","1366602880")</f>
        <v>1366602880</v>
      </c>
      <c r="E2389" s="1" t="s">
        <v>9817</v>
      </c>
      <c r="F2389" s="2"/>
      <c r="G2389" s="2"/>
      <c r="H2389" s="2"/>
    </row>
    <row r="2390" spans="1:8" x14ac:dyDescent="0.25">
      <c r="A2390" s="1"/>
      <c r="B2390" s="1" t="s">
        <v>3754</v>
      </c>
      <c r="C2390" s="1" t="s">
        <v>3755</v>
      </c>
      <c r="D2390" s="22" t="str">
        <f>HYPERLINK("https://rhld.insurance.arkansas.gov/NPILookup?Npi=1366606972","1366606972")</f>
        <v>1366606972</v>
      </c>
      <c r="E2390" s="1" t="s">
        <v>3798</v>
      </c>
      <c r="F2390" s="2"/>
      <c r="G2390" s="2"/>
      <c r="H2390" s="2"/>
    </row>
    <row r="2391" spans="1:8" x14ac:dyDescent="0.25">
      <c r="A2391" s="1"/>
      <c r="B2391" s="1" t="s">
        <v>3754</v>
      </c>
      <c r="C2391" s="1" t="s">
        <v>3755</v>
      </c>
      <c r="D2391" s="22" t="str">
        <f>HYPERLINK("https://rhld.insurance.arkansas.gov/NPILookup?Npi=1366622508","1366622508")</f>
        <v>1366622508</v>
      </c>
      <c r="E2391" s="1" t="s">
        <v>15793</v>
      </c>
      <c r="F2391" s="2"/>
      <c r="G2391" s="2"/>
      <c r="H2391" s="2"/>
    </row>
    <row r="2392" spans="1:8" x14ac:dyDescent="0.25">
      <c r="A2392" s="1"/>
      <c r="B2392" s="1" t="s">
        <v>3754</v>
      </c>
      <c r="C2392" s="1" t="s">
        <v>3755</v>
      </c>
      <c r="D2392" s="22" t="str">
        <f>HYPERLINK("https://rhld.insurance.arkansas.gov/NPILookup?Npi=1366691552","1366691552")</f>
        <v>1366691552</v>
      </c>
      <c r="E2392" s="1" t="s">
        <v>3090</v>
      </c>
      <c r="F2392" s="2"/>
      <c r="G2392" s="2"/>
      <c r="H2392" s="2"/>
    </row>
    <row r="2393" spans="1:8" x14ac:dyDescent="0.25">
      <c r="A2393" s="1"/>
      <c r="B2393" s="1" t="s">
        <v>3754</v>
      </c>
      <c r="C2393" s="1" t="s">
        <v>3755</v>
      </c>
      <c r="D2393" s="22" t="str">
        <f>HYPERLINK("https://rhld.insurance.arkansas.gov/NPILookup?Npi=1366838856","1366838856")</f>
        <v>1366838856</v>
      </c>
      <c r="E2393" s="1" t="s">
        <v>15794</v>
      </c>
      <c r="F2393" s="2"/>
      <c r="G2393" s="2"/>
      <c r="H2393" s="2"/>
    </row>
    <row r="2394" spans="1:8" x14ac:dyDescent="0.25">
      <c r="A2394" s="1"/>
      <c r="B2394" s="1" t="s">
        <v>3754</v>
      </c>
      <c r="C2394" s="1" t="s">
        <v>3755</v>
      </c>
      <c r="D2394" s="22" t="str">
        <f>HYPERLINK("https://rhld.insurance.arkansas.gov/NPILookup?Npi=1376500108","1376500108")</f>
        <v>1376500108</v>
      </c>
      <c r="E2394" s="1" t="s">
        <v>15795</v>
      </c>
      <c r="F2394" s="2"/>
      <c r="G2394" s="2"/>
      <c r="H2394" s="2"/>
    </row>
    <row r="2395" spans="1:8" x14ac:dyDescent="0.25">
      <c r="A2395" s="1"/>
      <c r="B2395" s="1" t="s">
        <v>3754</v>
      </c>
      <c r="C2395" s="1" t="s">
        <v>3755</v>
      </c>
      <c r="D2395" s="22" t="str">
        <f>HYPERLINK("https://rhld.insurance.arkansas.gov/NPILookup?Npi=1376586214","1376586214")</f>
        <v>1376586214</v>
      </c>
      <c r="E2395" s="1" t="s">
        <v>3799</v>
      </c>
      <c r="F2395" s="2"/>
      <c r="G2395" s="2"/>
      <c r="H2395" s="2"/>
    </row>
    <row r="2396" spans="1:8" x14ac:dyDescent="0.25">
      <c r="A2396" s="1"/>
      <c r="B2396" s="1" t="s">
        <v>3754</v>
      </c>
      <c r="C2396" s="1" t="s">
        <v>3755</v>
      </c>
      <c r="D2396" s="22" t="str">
        <f>HYPERLINK("https://rhld.insurance.arkansas.gov/NPILookup?Npi=1376716290","1376716290")</f>
        <v>1376716290</v>
      </c>
      <c r="E2396" s="1" t="s">
        <v>15796</v>
      </c>
      <c r="F2396" s="2"/>
      <c r="G2396" s="2"/>
      <c r="H2396" s="2"/>
    </row>
    <row r="2397" spans="1:8" x14ac:dyDescent="0.25">
      <c r="A2397" s="1"/>
      <c r="B2397" s="1" t="s">
        <v>3754</v>
      </c>
      <c r="C2397" s="1" t="s">
        <v>3755</v>
      </c>
      <c r="D2397" s="22" t="str">
        <f>HYPERLINK("https://rhld.insurance.arkansas.gov/NPILookup?Npi=1376804609","1376804609")</f>
        <v>1376804609</v>
      </c>
      <c r="E2397" s="1" t="s">
        <v>9818</v>
      </c>
      <c r="F2397" s="2"/>
      <c r="G2397" s="2"/>
      <c r="H2397" s="2"/>
    </row>
    <row r="2398" spans="1:8" x14ac:dyDescent="0.25">
      <c r="A2398" s="1"/>
      <c r="B2398" s="1" t="s">
        <v>3754</v>
      </c>
      <c r="C2398" s="1" t="s">
        <v>3755</v>
      </c>
      <c r="D2398" s="22" t="str">
        <f>HYPERLINK("https://rhld.insurance.arkansas.gov/NPILookup?Npi=1376864504","1376864504")</f>
        <v>1376864504</v>
      </c>
      <c r="E2398" s="1" t="s">
        <v>15797</v>
      </c>
      <c r="F2398" s="2"/>
      <c r="G2398" s="2"/>
      <c r="H2398" s="2"/>
    </row>
    <row r="2399" spans="1:8" x14ac:dyDescent="0.25">
      <c r="A2399" s="1"/>
      <c r="B2399" s="1" t="s">
        <v>3754</v>
      </c>
      <c r="C2399" s="1" t="s">
        <v>3755</v>
      </c>
      <c r="D2399" s="22" t="str">
        <f>HYPERLINK("https://rhld.insurance.arkansas.gov/NPILookup?Npi=1386668929","1386668929")</f>
        <v>1386668929</v>
      </c>
      <c r="E2399" s="1" t="s">
        <v>15798</v>
      </c>
      <c r="F2399" s="2"/>
      <c r="G2399" s="2"/>
      <c r="H2399" s="2"/>
    </row>
    <row r="2400" spans="1:8" x14ac:dyDescent="0.25">
      <c r="A2400" s="1"/>
      <c r="B2400" s="1" t="s">
        <v>3754</v>
      </c>
      <c r="C2400" s="1" t="s">
        <v>3755</v>
      </c>
      <c r="D2400" s="22" t="str">
        <f>HYPERLINK("https://rhld.insurance.arkansas.gov/NPILookup?Npi=1386734887","1386734887")</f>
        <v>1386734887</v>
      </c>
      <c r="E2400" s="1" t="s">
        <v>15799</v>
      </c>
      <c r="F2400" s="2"/>
      <c r="G2400" s="2"/>
      <c r="H2400" s="2"/>
    </row>
    <row r="2401" spans="1:8" x14ac:dyDescent="0.25">
      <c r="A2401" s="1"/>
      <c r="B2401" s="1" t="s">
        <v>3754</v>
      </c>
      <c r="C2401" s="1" t="s">
        <v>3755</v>
      </c>
      <c r="D2401" s="22" t="str">
        <f>HYPERLINK("https://rhld.insurance.arkansas.gov/NPILookup?Npi=1386736379","1386736379")</f>
        <v>1386736379</v>
      </c>
      <c r="E2401" s="1" t="s">
        <v>3800</v>
      </c>
      <c r="F2401" s="2"/>
      <c r="G2401" s="2"/>
      <c r="H2401" s="2"/>
    </row>
    <row r="2402" spans="1:8" x14ac:dyDescent="0.25">
      <c r="A2402" s="1"/>
      <c r="B2402" s="1" t="s">
        <v>3754</v>
      </c>
      <c r="C2402" s="1" t="s">
        <v>3755</v>
      </c>
      <c r="D2402" s="22" t="str">
        <f>HYPERLINK("https://rhld.insurance.arkansas.gov/NPILookup?Npi=1386824290","1386824290")</f>
        <v>1386824290</v>
      </c>
      <c r="E2402" s="1" t="s">
        <v>699</v>
      </c>
      <c r="F2402" s="2"/>
      <c r="G2402" s="2"/>
      <c r="H2402" s="2"/>
    </row>
    <row r="2403" spans="1:8" x14ac:dyDescent="0.25">
      <c r="A2403" s="1"/>
      <c r="B2403" s="1" t="s">
        <v>3754</v>
      </c>
      <c r="C2403" s="1" t="s">
        <v>3755</v>
      </c>
      <c r="D2403" s="22" t="str">
        <f>HYPERLINK("https://rhld.insurance.arkansas.gov/NPILookup?Npi=1386932978","1386932978")</f>
        <v>1386932978</v>
      </c>
      <c r="E2403" s="1" t="s">
        <v>3801</v>
      </c>
      <c r="F2403" s="2"/>
      <c r="G2403" s="2"/>
      <c r="H2403" s="2"/>
    </row>
    <row r="2404" spans="1:8" x14ac:dyDescent="0.25">
      <c r="A2404" s="1"/>
      <c r="B2404" s="1" t="s">
        <v>3754</v>
      </c>
      <c r="C2404" s="1" t="s">
        <v>3755</v>
      </c>
      <c r="D2404" s="22" t="str">
        <f>HYPERLINK("https://rhld.insurance.arkansas.gov/NPILookup?Npi=1396710737","1396710737")</f>
        <v>1396710737</v>
      </c>
      <c r="E2404" s="1" t="s">
        <v>1158</v>
      </c>
      <c r="F2404" s="2"/>
      <c r="G2404" s="2"/>
      <c r="H2404" s="2"/>
    </row>
    <row r="2405" spans="1:8" x14ac:dyDescent="0.25">
      <c r="A2405" s="1"/>
      <c r="B2405" s="1" t="s">
        <v>3754</v>
      </c>
      <c r="C2405" s="1" t="s">
        <v>3755</v>
      </c>
      <c r="D2405" s="22" t="str">
        <f>HYPERLINK("https://rhld.insurance.arkansas.gov/NPILookup?Npi=1396795928","1396795928")</f>
        <v>1396795928</v>
      </c>
      <c r="E2405" s="1" t="s">
        <v>3802</v>
      </c>
      <c r="F2405" s="2"/>
      <c r="G2405" s="2"/>
      <c r="H2405" s="2"/>
    </row>
    <row r="2406" spans="1:8" x14ac:dyDescent="0.25">
      <c r="A2406" s="1"/>
      <c r="B2406" s="1" t="s">
        <v>3754</v>
      </c>
      <c r="C2406" s="1" t="s">
        <v>3755</v>
      </c>
      <c r="D2406" s="22" t="str">
        <f>HYPERLINK("https://rhld.insurance.arkansas.gov/NPILookup?Npi=1396951687","1396951687")</f>
        <v>1396951687</v>
      </c>
      <c r="E2406" s="1" t="s">
        <v>15800</v>
      </c>
      <c r="F2406" s="2"/>
      <c r="G2406" s="2"/>
      <c r="H2406" s="2"/>
    </row>
    <row r="2407" spans="1:8" x14ac:dyDescent="0.25">
      <c r="A2407" s="1"/>
      <c r="B2407" s="1" t="s">
        <v>3754</v>
      </c>
      <c r="C2407" s="1" t="s">
        <v>3755</v>
      </c>
      <c r="D2407" s="22" t="str">
        <f>HYPERLINK("https://rhld.insurance.arkansas.gov/NPILookup?Npi=1407122989","1407122989")</f>
        <v>1407122989</v>
      </c>
      <c r="E2407" s="1" t="s">
        <v>15801</v>
      </c>
      <c r="F2407" s="2"/>
      <c r="G2407" s="2"/>
      <c r="H2407" s="2"/>
    </row>
    <row r="2408" spans="1:8" x14ac:dyDescent="0.25">
      <c r="A2408" s="1"/>
      <c r="B2408" s="1" t="s">
        <v>3754</v>
      </c>
      <c r="C2408" s="1" t="s">
        <v>3755</v>
      </c>
      <c r="D2408" s="22" t="str">
        <f>HYPERLINK("https://rhld.insurance.arkansas.gov/NPILookup?Npi=1407218779","1407218779")</f>
        <v>1407218779</v>
      </c>
      <c r="E2408" s="1" t="s">
        <v>3803</v>
      </c>
      <c r="F2408" s="2"/>
      <c r="G2408" s="2"/>
      <c r="H2408" s="2"/>
    </row>
    <row r="2409" spans="1:8" x14ac:dyDescent="0.25">
      <c r="A2409" s="1"/>
      <c r="B2409" s="1" t="s">
        <v>3754</v>
      </c>
      <c r="C2409" s="1" t="s">
        <v>3755</v>
      </c>
      <c r="D2409" s="22" t="str">
        <f>HYPERLINK("https://rhld.insurance.arkansas.gov/NPILookup?Npi=1407805567","1407805567")</f>
        <v>1407805567</v>
      </c>
      <c r="E2409" s="1" t="s">
        <v>9783</v>
      </c>
      <c r="F2409" s="2"/>
      <c r="G2409" s="2"/>
      <c r="H2409" s="2"/>
    </row>
    <row r="2410" spans="1:8" x14ac:dyDescent="0.25">
      <c r="A2410" s="1"/>
      <c r="B2410" s="1" t="s">
        <v>3754</v>
      </c>
      <c r="C2410" s="1" t="s">
        <v>3755</v>
      </c>
      <c r="D2410" s="22" t="str">
        <f>HYPERLINK("https://rhld.insurance.arkansas.gov/NPILookup?Npi=1407833965","1407833965")</f>
        <v>1407833965</v>
      </c>
      <c r="E2410" s="1" t="s">
        <v>1685</v>
      </c>
      <c r="F2410" s="2"/>
      <c r="G2410" s="2"/>
      <c r="H2410" s="2"/>
    </row>
    <row r="2411" spans="1:8" x14ac:dyDescent="0.25">
      <c r="A2411" s="1"/>
      <c r="B2411" s="1" t="s">
        <v>3754</v>
      </c>
      <c r="C2411" s="1" t="s">
        <v>3755</v>
      </c>
      <c r="D2411" s="22" t="str">
        <f>HYPERLINK("https://rhld.insurance.arkansas.gov/NPILookup?Npi=1407840101","1407840101")</f>
        <v>1407840101</v>
      </c>
      <c r="E2411" s="1" t="s">
        <v>15802</v>
      </c>
      <c r="F2411" s="2"/>
      <c r="G2411" s="2"/>
      <c r="H2411" s="2"/>
    </row>
    <row r="2412" spans="1:8" x14ac:dyDescent="0.25">
      <c r="A2412" s="1"/>
      <c r="B2412" s="1" t="s">
        <v>3754</v>
      </c>
      <c r="C2412" s="1" t="s">
        <v>3755</v>
      </c>
      <c r="D2412" s="22" t="str">
        <f>HYPERLINK("https://rhld.insurance.arkansas.gov/NPILookup?Npi=1417912460","1417912460")</f>
        <v>1417912460</v>
      </c>
      <c r="E2412" s="1" t="s">
        <v>3804</v>
      </c>
      <c r="F2412" s="2"/>
      <c r="G2412" s="2"/>
      <c r="H2412" s="2"/>
    </row>
    <row r="2413" spans="1:8" x14ac:dyDescent="0.25">
      <c r="A2413" s="1"/>
      <c r="B2413" s="1" t="s">
        <v>3754</v>
      </c>
      <c r="C2413" s="1" t="s">
        <v>3755</v>
      </c>
      <c r="D2413" s="22" t="str">
        <f>HYPERLINK("https://rhld.insurance.arkansas.gov/NPILookup?Npi=1417968314","1417968314")</f>
        <v>1417968314</v>
      </c>
      <c r="E2413" s="1" t="s">
        <v>15803</v>
      </c>
      <c r="F2413" s="2"/>
      <c r="G2413" s="2"/>
      <c r="H2413" s="2"/>
    </row>
    <row r="2414" spans="1:8" x14ac:dyDescent="0.25">
      <c r="A2414" s="1"/>
      <c r="B2414" s="1" t="s">
        <v>3754</v>
      </c>
      <c r="C2414" s="1" t="s">
        <v>3755</v>
      </c>
      <c r="D2414" s="22" t="str">
        <f>HYPERLINK("https://rhld.insurance.arkansas.gov/NPILookup?Npi=1427060581","1427060581")</f>
        <v>1427060581</v>
      </c>
      <c r="E2414" s="1" t="s">
        <v>15804</v>
      </c>
      <c r="F2414" s="2"/>
      <c r="G2414" s="2"/>
      <c r="H2414" s="2"/>
    </row>
    <row r="2415" spans="1:8" x14ac:dyDescent="0.25">
      <c r="A2415" s="1"/>
      <c r="B2415" s="1" t="s">
        <v>3754</v>
      </c>
      <c r="C2415" s="1" t="s">
        <v>3755</v>
      </c>
      <c r="D2415" s="22" t="str">
        <f>HYPERLINK("https://rhld.insurance.arkansas.gov/NPILookup?Npi=1427139476","1427139476")</f>
        <v>1427139476</v>
      </c>
      <c r="E2415" s="1" t="s">
        <v>434</v>
      </c>
      <c r="F2415" s="2"/>
      <c r="G2415" s="2"/>
      <c r="H2415" s="2"/>
    </row>
    <row r="2416" spans="1:8" x14ac:dyDescent="0.25">
      <c r="A2416" s="1"/>
      <c r="B2416" s="1" t="s">
        <v>3754</v>
      </c>
      <c r="C2416" s="1" t="s">
        <v>3755</v>
      </c>
      <c r="D2416" s="22" t="str">
        <f>HYPERLINK("https://rhld.insurance.arkansas.gov/NPILookup?Npi=1427159672","1427159672")</f>
        <v>1427159672</v>
      </c>
      <c r="E2416" s="1" t="s">
        <v>9819</v>
      </c>
      <c r="F2416" s="2"/>
      <c r="G2416" s="2"/>
      <c r="H2416" s="2"/>
    </row>
    <row r="2417" spans="1:8" x14ac:dyDescent="0.25">
      <c r="A2417" s="1"/>
      <c r="B2417" s="1" t="s">
        <v>3754</v>
      </c>
      <c r="C2417" s="1" t="s">
        <v>3755</v>
      </c>
      <c r="D2417" s="22" t="str">
        <f>HYPERLINK("https://rhld.insurance.arkansas.gov/NPILookup?Npi=1427273432","1427273432")</f>
        <v>1427273432</v>
      </c>
      <c r="E2417" s="1" t="s">
        <v>15805</v>
      </c>
      <c r="F2417" s="2"/>
      <c r="G2417" s="2"/>
      <c r="H2417" s="2"/>
    </row>
    <row r="2418" spans="1:8" x14ac:dyDescent="0.25">
      <c r="A2418" s="1"/>
      <c r="B2418" s="1" t="s">
        <v>3754</v>
      </c>
      <c r="C2418" s="1" t="s">
        <v>3755</v>
      </c>
      <c r="D2418" s="22" t="str">
        <f>HYPERLINK("https://rhld.insurance.arkansas.gov/NPILookup?Npi=1427343185","1427343185")</f>
        <v>1427343185</v>
      </c>
      <c r="E2418" s="1" t="s">
        <v>15806</v>
      </c>
      <c r="F2418" s="2"/>
      <c r="G2418" s="2"/>
      <c r="H2418" s="2"/>
    </row>
    <row r="2419" spans="1:8" x14ac:dyDescent="0.25">
      <c r="A2419" s="1"/>
      <c r="B2419" s="1" t="s">
        <v>3754</v>
      </c>
      <c r="C2419" s="1" t="s">
        <v>3755</v>
      </c>
      <c r="D2419" s="22" t="str">
        <f>HYPERLINK("https://rhld.insurance.arkansas.gov/NPILookup?Npi=1427362011","1427362011")</f>
        <v>1427362011</v>
      </c>
      <c r="E2419" s="1" t="s">
        <v>15807</v>
      </c>
      <c r="F2419" s="2"/>
      <c r="G2419" s="2"/>
      <c r="H2419" s="2"/>
    </row>
    <row r="2420" spans="1:8" x14ac:dyDescent="0.25">
      <c r="A2420" s="1"/>
      <c r="B2420" s="1" t="s">
        <v>3754</v>
      </c>
      <c r="C2420" s="1" t="s">
        <v>3755</v>
      </c>
      <c r="D2420" s="22" t="str">
        <f>HYPERLINK("https://rhld.insurance.arkansas.gov/NPILookup?Npi=1437154036","1437154036")</f>
        <v>1437154036</v>
      </c>
      <c r="E2420" s="1" t="s">
        <v>3489</v>
      </c>
      <c r="F2420" s="2"/>
      <c r="G2420" s="2"/>
      <c r="H2420" s="2"/>
    </row>
    <row r="2421" spans="1:8" x14ac:dyDescent="0.25">
      <c r="A2421" s="1"/>
      <c r="B2421" s="1" t="s">
        <v>3754</v>
      </c>
      <c r="C2421" s="1" t="s">
        <v>3755</v>
      </c>
      <c r="D2421" s="22" t="str">
        <f>HYPERLINK("https://rhld.insurance.arkansas.gov/NPILookup?Npi=1437193109","1437193109")</f>
        <v>1437193109</v>
      </c>
      <c r="E2421" s="1" t="s">
        <v>15808</v>
      </c>
      <c r="F2421" s="2"/>
      <c r="G2421" s="2"/>
      <c r="H2421" s="2"/>
    </row>
    <row r="2422" spans="1:8" x14ac:dyDescent="0.25">
      <c r="A2422" s="1"/>
      <c r="B2422" s="1" t="s">
        <v>3754</v>
      </c>
      <c r="C2422" s="1" t="s">
        <v>3755</v>
      </c>
      <c r="D2422" s="22" t="str">
        <f>HYPERLINK("https://rhld.insurance.arkansas.gov/NPILookup?Npi=1437193612","1437193612")</f>
        <v>1437193612</v>
      </c>
      <c r="E2422" s="1" t="s">
        <v>15809</v>
      </c>
      <c r="F2422" s="2"/>
      <c r="G2422" s="2"/>
      <c r="H2422" s="2"/>
    </row>
    <row r="2423" spans="1:8" x14ac:dyDescent="0.25">
      <c r="A2423" s="1"/>
      <c r="B2423" s="1" t="s">
        <v>3754</v>
      </c>
      <c r="C2423" s="1" t="s">
        <v>3755</v>
      </c>
      <c r="D2423" s="22" t="str">
        <f>HYPERLINK("https://rhld.insurance.arkansas.gov/NPILookup?Npi=1437376548","1437376548")</f>
        <v>1437376548</v>
      </c>
      <c r="E2423" s="1" t="s">
        <v>15810</v>
      </c>
      <c r="F2423" s="2"/>
      <c r="G2423" s="2"/>
      <c r="H2423" s="2"/>
    </row>
    <row r="2424" spans="1:8" x14ac:dyDescent="0.25">
      <c r="A2424" s="1"/>
      <c r="B2424" s="1" t="s">
        <v>3754</v>
      </c>
      <c r="C2424" s="1" t="s">
        <v>3755</v>
      </c>
      <c r="D2424" s="22" t="str">
        <f>HYPERLINK("https://rhld.insurance.arkansas.gov/NPILookup?Npi=1437380904","1437380904")</f>
        <v>1437380904</v>
      </c>
      <c r="E2424" s="1" t="s">
        <v>15811</v>
      </c>
      <c r="F2424" s="2"/>
      <c r="G2424" s="2"/>
      <c r="H2424" s="2"/>
    </row>
    <row r="2425" spans="1:8" x14ac:dyDescent="0.25">
      <c r="A2425" s="1"/>
      <c r="B2425" s="1" t="s">
        <v>3754</v>
      </c>
      <c r="C2425" s="1" t="s">
        <v>3755</v>
      </c>
      <c r="D2425" s="22" t="str">
        <f>HYPERLINK("https://rhld.insurance.arkansas.gov/NPILookup?Npi=1437437498","1437437498")</f>
        <v>1437437498</v>
      </c>
      <c r="E2425" s="1" t="s">
        <v>9822</v>
      </c>
      <c r="F2425" s="2"/>
      <c r="G2425" s="2"/>
      <c r="H2425" s="2"/>
    </row>
    <row r="2426" spans="1:8" x14ac:dyDescent="0.25">
      <c r="A2426" s="1"/>
      <c r="B2426" s="1" t="s">
        <v>3754</v>
      </c>
      <c r="C2426" s="1" t="s">
        <v>3755</v>
      </c>
      <c r="D2426" s="22" t="str">
        <f>HYPERLINK("https://rhld.insurance.arkansas.gov/NPILookup?Npi=1437477783","1437477783")</f>
        <v>1437477783</v>
      </c>
      <c r="E2426" s="1" t="s">
        <v>977</v>
      </c>
      <c r="F2426" s="2"/>
      <c r="G2426" s="2"/>
      <c r="H2426" s="2"/>
    </row>
    <row r="2427" spans="1:8" x14ac:dyDescent="0.25">
      <c r="A2427" s="1"/>
      <c r="B2427" s="1" t="s">
        <v>3754</v>
      </c>
      <c r="C2427" s="1" t="s">
        <v>3755</v>
      </c>
      <c r="D2427" s="22" t="str">
        <f>HYPERLINK("https://rhld.insurance.arkansas.gov/NPILookup?Npi=1447239561","1447239561")</f>
        <v>1447239561</v>
      </c>
      <c r="E2427" s="1" t="s">
        <v>15812</v>
      </c>
      <c r="F2427" s="2"/>
      <c r="G2427" s="2"/>
      <c r="H2427" s="2"/>
    </row>
    <row r="2428" spans="1:8" x14ac:dyDescent="0.25">
      <c r="A2428" s="1"/>
      <c r="B2428" s="1" t="s">
        <v>3754</v>
      </c>
      <c r="C2428" s="1" t="s">
        <v>3755</v>
      </c>
      <c r="D2428" s="22" t="str">
        <f>HYPERLINK("https://rhld.insurance.arkansas.gov/NPILookup?Npi=1447269659","1447269659")</f>
        <v>1447269659</v>
      </c>
      <c r="E2428" s="1" t="s">
        <v>15813</v>
      </c>
      <c r="F2428" s="2"/>
      <c r="G2428" s="2"/>
      <c r="H2428" s="2"/>
    </row>
    <row r="2429" spans="1:8" x14ac:dyDescent="0.25">
      <c r="A2429" s="1"/>
      <c r="B2429" s="1" t="s">
        <v>3754</v>
      </c>
      <c r="C2429" s="1" t="s">
        <v>3755</v>
      </c>
      <c r="D2429" s="22" t="str">
        <f>HYPERLINK("https://rhld.insurance.arkansas.gov/NPILookup?Npi=1447331152","1447331152")</f>
        <v>1447331152</v>
      </c>
      <c r="E2429" s="1" t="s">
        <v>15814</v>
      </c>
      <c r="F2429" s="2"/>
      <c r="G2429" s="2"/>
      <c r="H2429" s="2"/>
    </row>
    <row r="2430" spans="1:8" x14ac:dyDescent="0.25">
      <c r="A2430" s="1"/>
      <c r="B2430" s="1" t="s">
        <v>3754</v>
      </c>
      <c r="C2430" s="1" t="s">
        <v>3755</v>
      </c>
      <c r="D2430" s="22" t="str">
        <f>HYPERLINK("https://rhld.insurance.arkansas.gov/NPILookup?Npi=1447342811","1447342811")</f>
        <v>1447342811</v>
      </c>
      <c r="E2430" s="1" t="s">
        <v>15815</v>
      </c>
      <c r="F2430" s="2"/>
      <c r="G2430" s="2"/>
      <c r="H2430" s="2"/>
    </row>
    <row r="2431" spans="1:8" x14ac:dyDescent="0.25">
      <c r="A2431" s="1"/>
      <c r="B2431" s="1" t="s">
        <v>3754</v>
      </c>
      <c r="C2431" s="1" t="s">
        <v>3755</v>
      </c>
      <c r="D2431" s="22" t="str">
        <f>HYPERLINK("https://rhld.insurance.arkansas.gov/NPILookup?Npi=1447495569","1447495569")</f>
        <v>1447495569</v>
      </c>
      <c r="E2431" s="1" t="s">
        <v>15816</v>
      </c>
      <c r="F2431" s="2"/>
      <c r="G2431" s="2"/>
      <c r="H2431" s="2"/>
    </row>
    <row r="2432" spans="1:8" x14ac:dyDescent="0.25">
      <c r="A2432" s="1"/>
      <c r="B2432" s="1" t="s">
        <v>3754</v>
      </c>
      <c r="C2432" s="1" t="s">
        <v>3755</v>
      </c>
      <c r="D2432" s="22" t="str">
        <f>HYPERLINK("https://rhld.insurance.arkansas.gov/NPILookup?Npi=1457538548","1457538548")</f>
        <v>1457538548</v>
      </c>
      <c r="E2432" s="1" t="s">
        <v>2256</v>
      </c>
      <c r="F2432" s="2"/>
      <c r="G2432" s="2"/>
      <c r="H2432" s="2"/>
    </row>
    <row r="2433" spans="1:8" x14ac:dyDescent="0.25">
      <c r="A2433" s="1"/>
      <c r="B2433" s="1" t="s">
        <v>3754</v>
      </c>
      <c r="C2433" s="1" t="s">
        <v>3755</v>
      </c>
      <c r="D2433" s="22" t="str">
        <f>HYPERLINK("https://rhld.insurance.arkansas.gov/NPILookup?Npi=1457619884","1457619884")</f>
        <v>1457619884</v>
      </c>
      <c r="E2433" s="1" t="s">
        <v>9823</v>
      </c>
      <c r="F2433" s="2"/>
      <c r="G2433" s="2"/>
      <c r="H2433" s="2"/>
    </row>
    <row r="2434" spans="1:8" x14ac:dyDescent="0.25">
      <c r="A2434" s="1"/>
      <c r="B2434" s="1" t="s">
        <v>3754</v>
      </c>
      <c r="C2434" s="1" t="s">
        <v>3755</v>
      </c>
      <c r="D2434" s="22" t="str">
        <f>HYPERLINK("https://rhld.insurance.arkansas.gov/NPILookup?Npi=1467456954","1467456954")</f>
        <v>1467456954</v>
      </c>
      <c r="E2434" s="1" t="s">
        <v>15817</v>
      </c>
      <c r="F2434" s="2"/>
      <c r="G2434" s="2"/>
      <c r="H2434" s="2"/>
    </row>
    <row r="2435" spans="1:8" x14ac:dyDescent="0.25">
      <c r="A2435" s="1"/>
      <c r="B2435" s="1" t="s">
        <v>3754</v>
      </c>
      <c r="C2435" s="1" t="s">
        <v>3755</v>
      </c>
      <c r="D2435" s="22" t="str">
        <f>HYPERLINK("https://rhld.insurance.arkansas.gov/NPILookup?Npi=1467457358","1467457358")</f>
        <v>1467457358</v>
      </c>
      <c r="E2435" s="1" t="s">
        <v>15818</v>
      </c>
      <c r="F2435" s="2"/>
      <c r="G2435" s="2"/>
      <c r="H2435" s="2"/>
    </row>
    <row r="2436" spans="1:8" x14ac:dyDescent="0.25">
      <c r="A2436" s="1"/>
      <c r="B2436" s="1" t="s">
        <v>3754</v>
      </c>
      <c r="C2436" s="1" t="s">
        <v>3755</v>
      </c>
      <c r="D2436" s="22" t="str">
        <f>HYPERLINK("https://rhld.insurance.arkansas.gov/NPILookup?Npi=1467624619","1467624619")</f>
        <v>1467624619</v>
      </c>
      <c r="E2436" s="1" t="s">
        <v>3805</v>
      </c>
      <c r="F2436" s="2"/>
      <c r="G2436" s="2"/>
      <c r="H2436" s="2"/>
    </row>
    <row r="2437" spans="1:8" x14ac:dyDescent="0.25">
      <c r="A2437" s="1"/>
      <c r="B2437" s="1" t="s">
        <v>3754</v>
      </c>
      <c r="C2437" s="1" t="s">
        <v>3755</v>
      </c>
      <c r="D2437" s="22" t="str">
        <f>HYPERLINK("https://rhld.insurance.arkansas.gov/NPILookup?Npi=1467681486","1467681486")</f>
        <v>1467681486</v>
      </c>
      <c r="E2437" s="1" t="s">
        <v>9824</v>
      </c>
      <c r="F2437" s="2"/>
      <c r="G2437" s="2"/>
      <c r="H2437" s="2"/>
    </row>
    <row r="2438" spans="1:8" x14ac:dyDescent="0.25">
      <c r="A2438" s="1"/>
      <c r="B2438" s="1" t="s">
        <v>3754</v>
      </c>
      <c r="C2438" s="1" t="s">
        <v>3755</v>
      </c>
      <c r="D2438" s="22" t="str">
        <f>HYPERLINK("https://rhld.insurance.arkansas.gov/NPILookup?Npi=1467688044","1467688044")</f>
        <v>1467688044</v>
      </c>
      <c r="E2438" s="1" t="s">
        <v>9825</v>
      </c>
      <c r="F2438" s="2"/>
      <c r="G2438" s="2"/>
      <c r="H2438" s="2"/>
    </row>
    <row r="2439" spans="1:8" x14ac:dyDescent="0.25">
      <c r="A2439" s="1"/>
      <c r="B2439" s="1" t="s">
        <v>3754</v>
      </c>
      <c r="C2439" s="1" t="s">
        <v>3755</v>
      </c>
      <c r="D2439" s="22" t="str">
        <f>HYPERLINK("https://rhld.insurance.arkansas.gov/NPILookup?Npi=1467820928","1467820928")</f>
        <v>1467820928</v>
      </c>
      <c r="E2439" s="1" t="s">
        <v>15819</v>
      </c>
      <c r="F2439" s="2"/>
      <c r="G2439" s="2"/>
      <c r="H2439" s="2"/>
    </row>
    <row r="2440" spans="1:8" x14ac:dyDescent="0.25">
      <c r="A2440" s="1"/>
      <c r="B2440" s="1" t="s">
        <v>3754</v>
      </c>
      <c r="C2440" s="1" t="s">
        <v>3755</v>
      </c>
      <c r="D2440" s="22" t="str">
        <f>HYPERLINK("https://rhld.insurance.arkansas.gov/NPILookup?Npi=1467865279","1467865279")</f>
        <v>1467865279</v>
      </c>
      <c r="E2440" s="1" t="s">
        <v>15820</v>
      </c>
      <c r="F2440" s="2"/>
      <c r="G2440" s="2"/>
      <c r="H2440" s="2"/>
    </row>
    <row r="2441" spans="1:8" x14ac:dyDescent="0.25">
      <c r="A2441" s="1"/>
      <c r="B2441" s="1" t="s">
        <v>3754</v>
      </c>
      <c r="C2441" s="1" t="s">
        <v>3755</v>
      </c>
      <c r="D2441" s="22" t="str">
        <f>HYPERLINK("https://rhld.insurance.arkansas.gov/NPILookup?Npi=1467891705","1467891705")</f>
        <v>1467891705</v>
      </c>
      <c r="E2441" s="1" t="s">
        <v>15821</v>
      </c>
      <c r="F2441" s="2"/>
      <c r="G2441" s="2"/>
      <c r="H2441" s="2"/>
    </row>
    <row r="2442" spans="1:8" x14ac:dyDescent="0.25">
      <c r="A2442" s="1"/>
      <c r="B2442" s="1" t="s">
        <v>3754</v>
      </c>
      <c r="C2442" s="1" t="s">
        <v>3755</v>
      </c>
      <c r="D2442" s="22" t="str">
        <f>HYPERLINK("https://rhld.insurance.arkansas.gov/NPILookup?Npi=1477503340","1477503340")</f>
        <v>1477503340</v>
      </c>
      <c r="E2442" s="1" t="s">
        <v>2257</v>
      </c>
      <c r="F2442" s="2"/>
      <c r="G2442" s="2"/>
      <c r="H2442" s="2"/>
    </row>
    <row r="2443" spans="1:8" x14ac:dyDescent="0.25">
      <c r="A2443" s="1"/>
      <c r="B2443" s="1" t="s">
        <v>3754</v>
      </c>
      <c r="C2443" s="1" t="s">
        <v>3755</v>
      </c>
      <c r="D2443" s="22" t="str">
        <f>HYPERLINK("https://rhld.insurance.arkansas.gov/NPILookup?Npi=1477513778","1477513778")</f>
        <v>1477513778</v>
      </c>
      <c r="E2443" s="1" t="s">
        <v>3806</v>
      </c>
      <c r="F2443" s="2"/>
      <c r="G2443" s="2"/>
      <c r="H2443" s="2"/>
    </row>
    <row r="2444" spans="1:8" x14ac:dyDescent="0.25">
      <c r="A2444" s="1"/>
      <c r="B2444" s="1" t="s">
        <v>3754</v>
      </c>
      <c r="C2444" s="1" t="s">
        <v>3755</v>
      </c>
      <c r="D2444" s="22" t="str">
        <f>HYPERLINK("https://rhld.insurance.arkansas.gov/NPILookup?Npi=1477585768","1477585768")</f>
        <v>1477585768</v>
      </c>
      <c r="E2444" s="1" t="s">
        <v>15823</v>
      </c>
      <c r="F2444" s="2"/>
      <c r="G2444" s="2"/>
      <c r="H2444" s="2"/>
    </row>
    <row r="2445" spans="1:8" x14ac:dyDescent="0.25">
      <c r="A2445" s="1"/>
      <c r="B2445" s="1" t="s">
        <v>3754</v>
      </c>
      <c r="C2445" s="1" t="s">
        <v>3755</v>
      </c>
      <c r="D2445" s="22" t="str">
        <f>HYPERLINK("https://rhld.insurance.arkansas.gov/NPILookup?Npi=1477635027","1477635027")</f>
        <v>1477635027</v>
      </c>
      <c r="E2445" s="1" t="s">
        <v>430</v>
      </c>
      <c r="F2445" s="2"/>
      <c r="G2445" s="2"/>
      <c r="H2445" s="2"/>
    </row>
    <row r="2446" spans="1:8" x14ac:dyDescent="0.25">
      <c r="A2446" s="1"/>
      <c r="B2446" s="1" t="s">
        <v>3754</v>
      </c>
      <c r="C2446" s="1" t="s">
        <v>3755</v>
      </c>
      <c r="D2446" s="22" t="str">
        <f>HYPERLINK("https://rhld.insurance.arkansas.gov/NPILookup?Npi=1477654630","1477654630")</f>
        <v>1477654630</v>
      </c>
      <c r="E2446" s="1" t="s">
        <v>800</v>
      </c>
      <c r="F2446" s="2"/>
      <c r="G2446" s="2"/>
      <c r="H2446" s="2"/>
    </row>
    <row r="2447" spans="1:8" x14ac:dyDescent="0.25">
      <c r="A2447" s="1"/>
      <c r="B2447" s="1" t="s">
        <v>3754</v>
      </c>
      <c r="C2447" s="1" t="s">
        <v>3755</v>
      </c>
      <c r="D2447" s="22" t="str">
        <f>HYPERLINK("https://rhld.insurance.arkansas.gov/NPILookup?Npi=1477656536","1477656536")</f>
        <v>1477656536</v>
      </c>
      <c r="E2447" s="1" t="s">
        <v>15824</v>
      </c>
      <c r="F2447" s="2"/>
      <c r="G2447" s="2"/>
      <c r="H2447" s="2"/>
    </row>
    <row r="2448" spans="1:8" x14ac:dyDescent="0.25">
      <c r="A2448" s="1"/>
      <c r="B2448" s="1" t="s">
        <v>3754</v>
      </c>
      <c r="C2448" s="1" t="s">
        <v>3755</v>
      </c>
      <c r="D2448" s="22" t="str">
        <f>HYPERLINK("https://rhld.insurance.arkansas.gov/NPILookup?Npi=1477930295","1477930295")</f>
        <v>1477930295</v>
      </c>
      <c r="E2448" s="1" t="s">
        <v>15825</v>
      </c>
      <c r="F2448" s="2"/>
      <c r="G2448" s="2"/>
      <c r="H2448" s="2"/>
    </row>
    <row r="2449" spans="1:8" x14ac:dyDescent="0.25">
      <c r="A2449" s="1"/>
      <c r="B2449" s="1" t="s">
        <v>3754</v>
      </c>
      <c r="C2449" s="1" t="s">
        <v>3755</v>
      </c>
      <c r="D2449" s="22" t="str">
        <f>HYPERLINK("https://rhld.insurance.arkansas.gov/NPILookup?Npi=1477993103","1477993103")</f>
        <v>1477993103</v>
      </c>
      <c r="E2449" s="1" t="s">
        <v>15826</v>
      </c>
      <c r="F2449" s="2"/>
      <c r="G2449" s="2"/>
      <c r="H2449" s="2"/>
    </row>
    <row r="2450" spans="1:8" x14ac:dyDescent="0.25">
      <c r="A2450" s="1"/>
      <c r="B2450" s="1" t="s">
        <v>3754</v>
      </c>
      <c r="C2450" s="1" t="s">
        <v>3755</v>
      </c>
      <c r="D2450" s="22" t="str">
        <f>HYPERLINK("https://rhld.insurance.arkansas.gov/NPILookup?Npi=1487038477","1487038477")</f>
        <v>1487038477</v>
      </c>
      <c r="E2450" s="1" t="s">
        <v>15827</v>
      </c>
      <c r="F2450" s="2"/>
      <c r="G2450" s="2"/>
      <c r="H2450" s="2"/>
    </row>
    <row r="2451" spans="1:8" x14ac:dyDescent="0.25">
      <c r="A2451" s="1"/>
      <c r="B2451" s="1" t="s">
        <v>3754</v>
      </c>
      <c r="C2451" s="1" t="s">
        <v>3755</v>
      </c>
      <c r="D2451" s="22" t="str">
        <f>HYPERLINK("https://rhld.insurance.arkansas.gov/NPILookup?Npi=1487647806","1487647806")</f>
        <v>1487647806</v>
      </c>
      <c r="E2451" s="1" t="s">
        <v>15828</v>
      </c>
      <c r="F2451" s="2"/>
      <c r="G2451" s="2"/>
      <c r="H2451" s="2"/>
    </row>
    <row r="2452" spans="1:8" x14ac:dyDescent="0.25">
      <c r="A2452" s="1"/>
      <c r="B2452" s="1" t="s">
        <v>3754</v>
      </c>
      <c r="C2452" s="1" t="s">
        <v>3755</v>
      </c>
      <c r="D2452" s="22" t="str">
        <f>HYPERLINK("https://rhld.insurance.arkansas.gov/NPILookup?Npi=1487648879","1487648879")</f>
        <v>1487648879</v>
      </c>
      <c r="E2452" s="1" t="s">
        <v>3490</v>
      </c>
      <c r="F2452" s="2"/>
      <c r="G2452" s="2"/>
      <c r="H2452" s="2"/>
    </row>
    <row r="2453" spans="1:8" x14ac:dyDescent="0.25">
      <c r="A2453" s="1"/>
      <c r="B2453" s="1" t="s">
        <v>3754</v>
      </c>
      <c r="C2453" s="1" t="s">
        <v>3755</v>
      </c>
      <c r="D2453" s="22" t="str">
        <f>HYPERLINK("https://rhld.insurance.arkansas.gov/NPILookup?Npi=1487699864","1487699864")</f>
        <v>1487699864</v>
      </c>
      <c r="E2453" s="1" t="s">
        <v>9826</v>
      </c>
      <c r="F2453" s="2"/>
      <c r="G2453" s="2"/>
      <c r="H2453" s="2"/>
    </row>
    <row r="2454" spans="1:8" x14ac:dyDescent="0.25">
      <c r="A2454" s="1"/>
      <c r="B2454" s="1" t="s">
        <v>3754</v>
      </c>
      <c r="C2454" s="1" t="s">
        <v>3755</v>
      </c>
      <c r="D2454" s="22" t="str">
        <f>HYPERLINK("https://rhld.insurance.arkansas.gov/NPILookup?Npi=1487744983","1487744983")</f>
        <v>1487744983</v>
      </c>
      <c r="E2454" s="1" t="s">
        <v>435</v>
      </c>
      <c r="F2454" s="2"/>
      <c r="G2454" s="2"/>
      <c r="H2454" s="2"/>
    </row>
    <row r="2455" spans="1:8" x14ac:dyDescent="0.25">
      <c r="A2455" s="1"/>
      <c r="B2455" s="1" t="s">
        <v>3754</v>
      </c>
      <c r="C2455" s="1" t="s">
        <v>3755</v>
      </c>
      <c r="D2455" s="22" t="str">
        <f>HYPERLINK("https://rhld.insurance.arkansas.gov/NPILookup?Npi=1487829156","1487829156")</f>
        <v>1487829156</v>
      </c>
      <c r="E2455" s="1" t="s">
        <v>31322</v>
      </c>
      <c r="F2455" s="2"/>
      <c r="G2455" s="2"/>
      <c r="H2455" s="2"/>
    </row>
    <row r="2456" spans="1:8" x14ac:dyDescent="0.25">
      <c r="A2456" s="1"/>
      <c r="B2456" s="1" t="s">
        <v>3754</v>
      </c>
      <c r="C2456" s="1" t="s">
        <v>3755</v>
      </c>
      <c r="D2456" s="22" t="str">
        <f>HYPERLINK("https://rhld.insurance.arkansas.gov/NPILookup?Npi=1497041982","1497041982")</f>
        <v>1497041982</v>
      </c>
      <c r="E2456" s="1" t="s">
        <v>15831</v>
      </c>
      <c r="F2456" s="2"/>
      <c r="G2456" s="2"/>
      <c r="H2456" s="2"/>
    </row>
    <row r="2457" spans="1:8" x14ac:dyDescent="0.25">
      <c r="A2457" s="1"/>
      <c r="B2457" s="1" t="s">
        <v>3754</v>
      </c>
      <c r="C2457" s="1" t="s">
        <v>3755</v>
      </c>
      <c r="D2457" s="22" t="str">
        <f>HYPERLINK("https://rhld.insurance.arkansas.gov/NPILookup?Npi=1497076327","1497076327")</f>
        <v>1497076327</v>
      </c>
      <c r="E2457" s="1" t="s">
        <v>15832</v>
      </c>
      <c r="F2457" s="2"/>
      <c r="G2457" s="2"/>
      <c r="H2457" s="2"/>
    </row>
    <row r="2458" spans="1:8" x14ac:dyDescent="0.25">
      <c r="A2458" s="1"/>
      <c r="B2458" s="1" t="s">
        <v>3754</v>
      </c>
      <c r="C2458" s="1" t="s">
        <v>3755</v>
      </c>
      <c r="D2458" s="22" t="str">
        <f>HYPERLINK("https://rhld.insurance.arkansas.gov/NPILookup?Npi=1497160386","1497160386")</f>
        <v>1497160386</v>
      </c>
      <c r="E2458" s="1" t="s">
        <v>9827</v>
      </c>
      <c r="F2458" s="2"/>
      <c r="G2458" s="2"/>
      <c r="H2458" s="2"/>
    </row>
    <row r="2459" spans="1:8" x14ac:dyDescent="0.25">
      <c r="A2459" s="1"/>
      <c r="B2459" s="1" t="s">
        <v>3754</v>
      </c>
      <c r="C2459" s="1" t="s">
        <v>3755</v>
      </c>
      <c r="D2459" s="22" t="str">
        <f>HYPERLINK("https://rhld.insurance.arkansas.gov/NPILookup?Npi=1497717128","1497717128")</f>
        <v>1497717128</v>
      </c>
      <c r="E2459" s="1" t="s">
        <v>3491</v>
      </c>
      <c r="F2459" s="2"/>
      <c r="G2459" s="2"/>
      <c r="H2459" s="2"/>
    </row>
    <row r="2460" spans="1:8" x14ac:dyDescent="0.25">
      <c r="A2460" s="1"/>
      <c r="B2460" s="1" t="s">
        <v>3754</v>
      </c>
      <c r="C2460" s="1" t="s">
        <v>3755</v>
      </c>
      <c r="D2460" s="22" t="str">
        <f>HYPERLINK("https://rhld.insurance.arkansas.gov/NPILookup?Npi=1497756076","1497756076")</f>
        <v>1497756076</v>
      </c>
      <c r="E2460" s="1" t="s">
        <v>2258</v>
      </c>
      <c r="F2460" s="2"/>
      <c r="G2460" s="2"/>
      <c r="H2460" s="2"/>
    </row>
    <row r="2461" spans="1:8" x14ac:dyDescent="0.25">
      <c r="A2461" s="1"/>
      <c r="B2461" s="1" t="s">
        <v>3754</v>
      </c>
      <c r="C2461" s="1" t="s">
        <v>3755</v>
      </c>
      <c r="D2461" s="22" t="str">
        <f>HYPERLINK("https://rhld.insurance.arkansas.gov/NPILookup?Npi=1497847867","1497847867")</f>
        <v>1497847867</v>
      </c>
      <c r="E2461" s="1" t="s">
        <v>15833</v>
      </c>
      <c r="F2461" s="2"/>
      <c r="G2461" s="2"/>
      <c r="H2461" s="2"/>
    </row>
    <row r="2462" spans="1:8" x14ac:dyDescent="0.25">
      <c r="A2462" s="1"/>
      <c r="B2462" s="1" t="s">
        <v>3754</v>
      </c>
      <c r="C2462" s="1" t="s">
        <v>3755</v>
      </c>
      <c r="D2462" s="22" t="str">
        <f>HYPERLINK("https://rhld.insurance.arkansas.gov/NPILookup?Npi=1497878474","1497878474")</f>
        <v>1497878474</v>
      </c>
      <c r="E2462" s="1" t="s">
        <v>9828</v>
      </c>
      <c r="F2462" s="2"/>
      <c r="G2462" s="2"/>
      <c r="H2462" s="2"/>
    </row>
    <row r="2463" spans="1:8" x14ac:dyDescent="0.25">
      <c r="A2463" s="1"/>
      <c r="B2463" s="1" t="s">
        <v>3754</v>
      </c>
      <c r="C2463" s="1" t="s">
        <v>3755</v>
      </c>
      <c r="D2463" s="22" t="str">
        <f>HYPERLINK("https://rhld.insurance.arkansas.gov/NPILookup?Npi=1497956601","1497956601")</f>
        <v>1497956601</v>
      </c>
      <c r="E2463" s="1" t="s">
        <v>15834</v>
      </c>
      <c r="F2463" s="2"/>
      <c r="G2463" s="2"/>
      <c r="H2463" s="2"/>
    </row>
    <row r="2464" spans="1:8" x14ac:dyDescent="0.25">
      <c r="A2464" s="1"/>
      <c r="B2464" s="1" t="s">
        <v>3754</v>
      </c>
      <c r="C2464" s="1" t="s">
        <v>3755</v>
      </c>
      <c r="D2464" s="22" t="str">
        <f>HYPERLINK("https://rhld.insurance.arkansas.gov/NPILookup?Npi=1508023425","1508023425")</f>
        <v>1508023425</v>
      </c>
      <c r="E2464" s="1" t="s">
        <v>9829</v>
      </c>
      <c r="F2464" s="2"/>
      <c r="G2464" s="2"/>
      <c r="H2464" s="2"/>
    </row>
    <row r="2465" spans="1:8" x14ac:dyDescent="0.25">
      <c r="A2465" s="1"/>
      <c r="B2465" s="1" t="s">
        <v>3754</v>
      </c>
      <c r="C2465" s="1" t="s">
        <v>3755</v>
      </c>
      <c r="D2465" s="22" t="str">
        <f>HYPERLINK("https://rhld.insurance.arkansas.gov/NPILookup?Npi=1508038597","1508038597")</f>
        <v>1508038597</v>
      </c>
      <c r="E2465" s="1" t="s">
        <v>9830</v>
      </c>
      <c r="F2465" s="2"/>
      <c r="G2465" s="2"/>
      <c r="H2465" s="2"/>
    </row>
    <row r="2466" spans="1:8" x14ac:dyDescent="0.25">
      <c r="A2466" s="1"/>
      <c r="B2466" s="1" t="s">
        <v>3754</v>
      </c>
      <c r="C2466" s="1" t="s">
        <v>3755</v>
      </c>
      <c r="D2466" s="22" t="str">
        <f>HYPERLINK("https://rhld.insurance.arkansas.gov/NPILookup?Npi=1508088162","1508088162")</f>
        <v>1508088162</v>
      </c>
      <c r="E2466" s="1" t="s">
        <v>15835</v>
      </c>
      <c r="F2466" s="2"/>
      <c r="G2466" s="2"/>
      <c r="H2466" s="2"/>
    </row>
    <row r="2467" spans="1:8" x14ac:dyDescent="0.25">
      <c r="A2467" s="1"/>
      <c r="B2467" s="1" t="s">
        <v>3754</v>
      </c>
      <c r="C2467" s="1" t="s">
        <v>3755</v>
      </c>
      <c r="D2467" s="22" t="str">
        <f>HYPERLINK("https://rhld.insurance.arkansas.gov/NPILookup?Npi=1508276932","1508276932")</f>
        <v>1508276932</v>
      </c>
      <c r="E2467" s="1" t="s">
        <v>15836</v>
      </c>
      <c r="F2467" s="2"/>
      <c r="G2467" s="2"/>
      <c r="H2467" s="2"/>
    </row>
    <row r="2468" spans="1:8" x14ac:dyDescent="0.25">
      <c r="A2468" s="1"/>
      <c r="B2468" s="1" t="s">
        <v>3754</v>
      </c>
      <c r="C2468" s="1" t="s">
        <v>3755</v>
      </c>
      <c r="D2468" s="22" t="str">
        <f>HYPERLINK("https://rhld.insurance.arkansas.gov/NPILookup?Npi=1508801366","1508801366")</f>
        <v>1508801366</v>
      </c>
      <c r="E2468" s="1" t="s">
        <v>3807</v>
      </c>
      <c r="F2468" s="2"/>
      <c r="G2468" s="2"/>
      <c r="H2468" s="2"/>
    </row>
    <row r="2469" spans="1:8" x14ac:dyDescent="0.25">
      <c r="A2469" s="1"/>
      <c r="B2469" s="1" t="s">
        <v>3754</v>
      </c>
      <c r="C2469" s="1" t="s">
        <v>3755</v>
      </c>
      <c r="D2469" s="22" t="str">
        <f>HYPERLINK("https://rhld.insurance.arkansas.gov/NPILookup?Npi=1508822594","1508822594")</f>
        <v>1508822594</v>
      </c>
      <c r="E2469" s="1" t="s">
        <v>9831</v>
      </c>
      <c r="F2469" s="2"/>
      <c r="G2469" s="2"/>
      <c r="H2469" s="2"/>
    </row>
    <row r="2470" spans="1:8" x14ac:dyDescent="0.25">
      <c r="A2470" s="1"/>
      <c r="B2470" s="1" t="s">
        <v>3754</v>
      </c>
      <c r="C2470" s="1" t="s">
        <v>3755</v>
      </c>
      <c r="D2470" s="22" t="str">
        <f>HYPERLINK("https://rhld.insurance.arkansas.gov/NPILookup?Npi=1508825647","1508825647")</f>
        <v>1508825647</v>
      </c>
      <c r="E2470" s="1" t="s">
        <v>15837</v>
      </c>
      <c r="F2470" s="2"/>
      <c r="G2470" s="2"/>
      <c r="H2470" s="2"/>
    </row>
    <row r="2471" spans="1:8" x14ac:dyDescent="0.25">
      <c r="A2471" s="1"/>
      <c r="B2471" s="1" t="s">
        <v>3754</v>
      </c>
      <c r="C2471" s="1" t="s">
        <v>3755</v>
      </c>
      <c r="D2471" s="22" t="str">
        <f>HYPERLINK("https://rhld.insurance.arkansas.gov/NPILookup?Npi=1508851510","1508851510")</f>
        <v>1508851510</v>
      </c>
      <c r="E2471" s="1" t="s">
        <v>440</v>
      </c>
      <c r="F2471" s="2"/>
      <c r="G2471" s="2"/>
      <c r="H2471" s="2"/>
    </row>
    <row r="2472" spans="1:8" x14ac:dyDescent="0.25">
      <c r="A2472" s="1"/>
      <c r="B2472" s="1" t="s">
        <v>3754</v>
      </c>
      <c r="C2472" s="1" t="s">
        <v>3755</v>
      </c>
      <c r="D2472" s="22" t="str">
        <f>HYPERLINK("https://rhld.insurance.arkansas.gov/NPILookup?Npi=1518261171","1518261171")</f>
        <v>1518261171</v>
      </c>
      <c r="E2472" s="1" t="s">
        <v>31323</v>
      </c>
      <c r="F2472" s="2"/>
      <c r="G2472" s="2"/>
      <c r="H2472" s="2"/>
    </row>
    <row r="2473" spans="1:8" x14ac:dyDescent="0.25">
      <c r="A2473" s="1"/>
      <c r="B2473" s="1" t="s">
        <v>3754</v>
      </c>
      <c r="C2473" s="1" t="s">
        <v>3755</v>
      </c>
      <c r="D2473" s="22" t="str">
        <f>HYPERLINK("https://rhld.insurance.arkansas.gov/NPILookup?Npi=1518304534","1518304534")</f>
        <v>1518304534</v>
      </c>
      <c r="E2473" s="1" t="s">
        <v>1535</v>
      </c>
      <c r="F2473" s="2"/>
      <c r="G2473" s="2"/>
      <c r="H2473" s="2"/>
    </row>
    <row r="2474" spans="1:8" x14ac:dyDescent="0.25">
      <c r="A2474" s="1"/>
      <c r="B2474" s="1" t="s">
        <v>3754</v>
      </c>
      <c r="C2474" s="1" t="s">
        <v>3755</v>
      </c>
      <c r="D2474" s="22" t="str">
        <f>HYPERLINK("https://rhld.insurance.arkansas.gov/NPILookup?Npi=1518907807","1518907807")</f>
        <v>1518907807</v>
      </c>
      <c r="E2474" s="1" t="s">
        <v>15839</v>
      </c>
      <c r="F2474" s="2"/>
      <c r="G2474" s="2"/>
      <c r="H2474" s="2"/>
    </row>
    <row r="2475" spans="1:8" x14ac:dyDescent="0.25">
      <c r="A2475" s="1"/>
      <c r="B2475" s="1" t="s">
        <v>3754</v>
      </c>
      <c r="C2475" s="1" t="s">
        <v>3755</v>
      </c>
      <c r="D2475" s="22" t="str">
        <f>HYPERLINK("https://rhld.insurance.arkansas.gov/NPILookup?Npi=1528148491","1528148491")</f>
        <v>1528148491</v>
      </c>
      <c r="E2475" s="1" t="s">
        <v>3808</v>
      </c>
      <c r="F2475" s="2"/>
      <c r="G2475" s="2"/>
      <c r="H2475" s="2"/>
    </row>
    <row r="2476" spans="1:8" x14ac:dyDescent="0.25">
      <c r="A2476" s="1"/>
      <c r="B2476" s="1" t="s">
        <v>3754</v>
      </c>
      <c r="C2476" s="1" t="s">
        <v>3755</v>
      </c>
      <c r="D2476" s="22" t="str">
        <f>HYPERLINK("https://rhld.insurance.arkansas.gov/NPILookup?Npi=1528220050","1528220050")</f>
        <v>1528220050</v>
      </c>
      <c r="E2476" s="1" t="s">
        <v>1789</v>
      </c>
      <c r="F2476" s="2"/>
      <c r="G2476" s="2"/>
      <c r="H2476" s="2"/>
    </row>
    <row r="2477" spans="1:8" x14ac:dyDescent="0.25">
      <c r="A2477" s="1"/>
      <c r="B2477" s="1" t="s">
        <v>3754</v>
      </c>
      <c r="C2477" s="1" t="s">
        <v>3755</v>
      </c>
      <c r="D2477" s="22" t="str">
        <f>HYPERLINK("https://rhld.insurance.arkansas.gov/NPILookup?Npi=1528227667","1528227667")</f>
        <v>1528227667</v>
      </c>
      <c r="E2477" s="1" t="s">
        <v>15841</v>
      </c>
      <c r="F2477" s="2"/>
      <c r="G2477" s="2"/>
      <c r="H2477" s="2"/>
    </row>
    <row r="2478" spans="1:8" x14ac:dyDescent="0.25">
      <c r="A2478" s="1"/>
      <c r="B2478" s="1" t="s">
        <v>3754</v>
      </c>
      <c r="C2478" s="1" t="s">
        <v>3755</v>
      </c>
      <c r="D2478" s="22" t="str">
        <f>HYPERLINK("https://rhld.insurance.arkansas.gov/NPILookup?Npi=1528260460","1528260460")</f>
        <v>1528260460</v>
      </c>
      <c r="E2478" s="1" t="s">
        <v>438</v>
      </c>
      <c r="F2478" s="2"/>
      <c r="G2478" s="2"/>
      <c r="H2478" s="2"/>
    </row>
    <row r="2479" spans="1:8" x14ac:dyDescent="0.25">
      <c r="A2479" s="1"/>
      <c r="B2479" s="1" t="s">
        <v>3754</v>
      </c>
      <c r="C2479" s="1" t="s">
        <v>3755</v>
      </c>
      <c r="D2479" s="22" t="str">
        <f>HYPERLINK("https://rhld.insurance.arkansas.gov/NPILookup?Npi=1528486438","1528486438")</f>
        <v>1528486438</v>
      </c>
      <c r="E2479" s="1" t="s">
        <v>15842</v>
      </c>
      <c r="F2479" s="2"/>
      <c r="G2479" s="2"/>
      <c r="H2479" s="2"/>
    </row>
    <row r="2480" spans="1:8" x14ac:dyDescent="0.25">
      <c r="A2480" s="1"/>
      <c r="B2480" s="1" t="s">
        <v>3754</v>
      </c>
      <c r="C2480" s="1" t="s">
        <v>3755</v>
      </c>
      <c r="D2480" s="22" t="str">
        <f>HYPERLINK("https://rhld.insurance.arkansas.gov/NPILookup?Npi=1538357470","1538357470")</f>
        <v>1538357470</v>
      </c>
      <c r="E2480" s="1" t="s">
        <v>15843</v>
      </c>
      <c r="F2480" s="2"/>
      <c r="G2480" s="2"/>
      <c r="H2480" s="2"/>
    </row>
    <row r="2481" spans="1:8" x14ac:dyDescent="0.25">
      <c r="A2481" s="1"/>
      <c r="B2481" s="1" t="s">
        <v>3754</v>
      </c>
      <c r="C2481" s="1" t="s">
        <v>3755</v>
      </c>
      <c r="D2481" s="22" t="str">
        <f>HYPERLINK("https://rhld.insurance.arkansas.gov/NPILookup?Npi=1538391446","1538391446")</f>
        <v>1538391446</v>
      </c>
      <c r="E2481" s="1" t="s">
        <v>3809</v>
      </c>
      <c r="F2481" s="2"/>
      <c r="G2481" s="2"/>
      <c r="H2481" s="2"/>
    </row>
    <row r="2482" spans="1:8" x14ac:dyDescent="0.25">
      <c r="A2482" s="1"/>
      <c r="B2482" s="1" t="s">
        <v>3754</v>
      </c>
      <c r="C2482" s="1" t="s">
        <v>3755</v>
      </c>
      <c r="D2482" s="22" t="str">
        <f>HYPERLINK("https://rhld.insurance.arkansas.gov/NPILookup?Npi=1538574975","1538574975")</f>
        <v>1538574975</v>
      </c>
      <c r="E2482" s="1" t="s">
        <v>15844</v>
      </c>
      <c r="F2482" s="2"/>
      <c r="G2482" s="2"/>
      <c r="H2482" s="2"/>
    </row>
    <row r="2483" spans="1:8" x14ac:dyDescent="0.25">
      <c r="A2483" s="1"/>
      <c r="B2483" s="1" t="s">
        <v>3754</v>
      </c>
      <c r="C2483" s="1" t="s">
        <v>3755</v>
      </c>
      <c r="D2483" s="22" t="str">
        <f>HYPERLINK("https://rhld.insurance.arkansas.gov/NPILookup?Npi=1538577333","1538577333")</f>
        <v>1538577333</v>
      </c>
      <c r="E2483" s="1" t="s">
        <v>15845</v>
      </c>
      <c r="F2483" s="2"/>
      <c r="G2483" s="2"/>
      <c r="H2483" s="2"/>
    </row>
    <row r="2484" spans="1:8" x14ac:dyDescent="0.25">
      <c r="A2484" s="1"/>
      <c r="B2484" s="1" t="s">
        <v>3754</v>
      </c>
      <c r="C2484" s="1" t="s">
        <v>3755</v>
      </c>
      <c r="D2484" s="22" t="str">
        <f>HYPERLINK("https://rhld.insurance.arkansas.gov/NPILookup?Npi=1548216138","1548216138")</f>
        <v>1548216138</v>
      </c>
      <c r="E2484" s="1" t="s">
        <v>3492</v>
      </c>
      <c r="F2484" s="2"/>
      <c r="G2484" s="2"/>
      <c r="H2484" s="2"/>
    </row>
    <row r="2485" spans="1:8" x14ac:dyDescent="0.25">
      <c r="A2485" s="1"/>
      <c r="B2485" s="1" t="s">
        <v>3754</v>
      </c>
      <c r="C2485" s="1" t="s">
        <v>3755</v>
      </c>
      <c r="D2485" s="22" t="str">
        <f>HYPERLINK("https://rhld.insurance.arkansas.gov/NPILookup?Npi=1548239585","1548239585")</f>
        <v>1548239585</v>
      </c>
      <c r="E2485" s="1" t="s">
        <v>15846</v>
      </c>
      <c r="F2485" s="2"/>
      <c r="G2485" s="2"/>
      <c r="H2485" s="2"/>
    </row>
    <row r="2486" spans="1:8" x14ac:dyDescent="0.25">
      <c r="A2486" s="1"/>
      <c r="B2486" s="1" t="s">
        <v>3754</v>
      </c>
      <c r="C2486" s="1" t="s">
        <v>3755</v>
      </c>
      <c r="D2486" s="22" t="str">
        <f>HYPERLINK("https://rhld.insurance.arkansas.gov/NPILookup?Npi=1548292386","1548292386")</f>
        <v>1548292386</v>
      </c>
      <c r="E2486" s="1" t="s">
        <v>15847</v>
      </c>
      <c r="F2486" s="2"/>
      <c r="G2486" s="2"/>
      <c r="H2486" s="2"/>
    </row>
    <row r="2487" spans="1:8" x14ac:dyDescent="0.25">
      <c r="A2487" s="1"/>
      <c r="B2487" s="1" t="s">
        <v>3754</v>
      </c>
      <c r="C2487" s="1" t="s">
        <v>3755</v>
      </c>
      <c r="D2487" s="22" t="str">
        <f>HYPERLINK("https://rhld.insurance.arkansas.gov/NPILookup?Npi=1548440522","1548440522")</f>
        <v>1548440522</v>
      </c>
      <c r="E2487" s="1" t="s">
        <v>431</v>
      </c>
      <c r="F2487" s="2"/>
      <c r="G2487" s="2"/>
      <c r="H2487" s="2"/>
    </row>
    <row r="2488" spans="1:8" x14ac:dyDescent="0.25">
      <c r="A2488" s="1"/>
      <c r="B2488" s="1" t="s">
        <v>3754</v>
      </c>
      <c r="C2488" s="1" t="s">
        <v>3755</v>
      </c>
      <c r="D2488" s="22" t="str">
        <f>HYPERLINK("https://rhld.insurance.arkansas.gov/NPILookup?Npi=1548611817","1548611817")</f>
        <v>1548611817</v>
      </c>
      <c r="E2488" s="1" t="s">
        <v>3810</v>
      </c>
      <c r="F2488" s="2"/>
      <c r="G2488" s="2"/>
      <c r="H2488" s="2"/>
    </row>
    <row r="2489" spans="1:8" x14ac:dyDescent="0.25">
      <c r="A2489" s="1"/>
      <c r="B2489" s="1" t="s">
        <v>3754</v>
      </c>
      <c r="C2489" s="1" t="s">
        <v>3755</v>
      </c>
      <c r="D2489" s="22" t="str">
        <f>HYPERLINK("https://rhld.insurance.arkansas.gov/NPILookup?Npi=1548674583","1548674583")</f>
        <v>1548674583</v>
      </c>
      <c r="E2489" s="1" t="s">
        <v>15848</v>
      </c>
      <c r="F2489" s="2"/>
      <c r="G2489" s="2"/>
      <c r="H2489" s="2"/>
    </row>
    <row r="2490" spans="1:8" x14ac:dyDescent="0.25">
      <c r="A2490" s="1"/>
      <c r="B2490" s="1" t="s">
        <v>3754</v>
      </c>
      <c r="C2490" s="1" t="s">
        <v>3755</v>
      </c>
      <c r="D2490" s="22" t="str">
        <f>HYPERLINK("https://rhld.insurance.arkansas.gov/NPILookup?Npi=1558319962","1558319962")</f>
        <v>1558319962</v>
      </c>
      <c r="E2490" s="1" t="s">
        <v>2552</v>
      </c>
      <c r="F2490" s="2"/>
      <c r="G2490" s="2"/>
      <c r="H2490" s="2"/>
    </row>
    <row r="2491" spans="1:8" x14ac:dyDescent="0.25">
      <c r="A2491" s="1"/>
      <c r="B2491" s="1" t="s">
        <v>3754</v>
      </c>
      <c r="C2491" s="1" t="s">
        <v>3755</v>
      </c>
      <c r="D2491" s="22" t="str">
        <f>HYPERLINK("https://rhld.insurance.arkansas.gov/NPILookup?Npi=1558325324","1558325324")</f>
        <v>1558325324</v>
      </c>
      <c r="E2491" s="1" t="s">
        <v>15849</v>
      </c>
      <c r="F2491" s="2"/>
      <c r="G2491" s="2"/>
      <c r="H2491" s="2"/>
    </row>
    <row r="2492" spans="1:8" x14ac:dyDescent="0.25">
      <c r="A2492" s="1"/>
      <c r="B2492" s="1" t="s">
        <v>3754</v>
      </c>
      <c r="C2492" s="1" t="s">
        <v>3755</v>
      </c>
      <c r="D2492" s="22" t="str">
        <f>HYPERLINK("https://rhld.insurance.arkansas.gov/NPILookup?Npi=1558333617","1558333617")</f>
        <v>1558333617</v>
      </c>
      <c r="E2492" s="1" t="s">
        <v>15850</v>
      </c>
      <c r="F2492" s="2"/>
      <c r="G2492" s="2"/>
      <c r="H2492" s="2"/>
    </row>
    <row r="2493" spans="1:8" x14ac:dyDescent="0.25">
      <c r="A2493" s="1"/>
      <c r="B2493" s="1" t="s">
        <v>3754</v>
      </c>
      <c r="C2493" s="1" t="s">
        <v>3755</v>
      </c>
      <c r="D2493" s="22" t="str">
        <f>HYPERLINK("https://rhld.insurance.arkansas.gov/NPILookup?Npi=1558363622","1558363622")</f>
        <v>1558363622</v>
      </c>
      <c r="E2493" s="1" t="s">
        <v>15851</v>
      </c>
      <c r="F2493" s="2"/>
      <c r="G2493" s="2"/>
      <c r="H2493" s="2"/>
    </row>
    <row r="2494" spans="1:8" x14ac:dyDescent="0.25">
      <c r="A2494" s="1"/>
      <c r="B2494" s="1" t="s">
        <v>3754</v>
      </c>
      <c r="C2494" s="1" t="s">
        <v>3755</v>
      </c>
      <c r="D2494" s="22" t="str">
        <f>HYPERLINK("https://rhld.insurance.arkansas.gov/NPILookup?Npi=1558366443","1558366443")</f>
        <v>1558366443</v>
      </c>
      <c r="E2494" s="1" t="s">
        <v>9833</v>
      </c>
      <c r="F2494" s="2"/>
      <c r="G2494" s="2"/>
      <c r="H2494" s="2"/>
    </row>
    <row r="2495" spans="1:8" x14ac:dyDescent="0.25">
      <c r="A2495" s="1"/>
      <c r="B2495" s="1" t="s">
        <v>3754</v>
      </c>
      <c r="C2495" s="1" t="s">
        <v>3755</v>
      </c>
      <c r="D2495" s="22" t="str">
        <f>HYPERLINK("https://rhld.insurance.arkansas.gov/NPILookup?Npi=1558429522","1558429522")</f>
        <v>1558429522</v>
      </c>
      <c r="E2495" s="1" t="s">
        <v>3493</v>
      </c>
      <c r="F2495" s="2"/>
      <c r="G2495" s="2"/>
      <c r="H2495" s="2"/>
    </row>
    <row r="2496" spans="1:8" x14ac:dyDescent="0.25">
      <c r="A2496" s="1"/>
      <c r="B2496" s="1" t="s">
        <v>3754</v>
      </c>
      <c r="C2496" s="1" t="s">
        <v>3755</v>
      </c>
      <c r="D2496" s="22" t="str">
        <f>HYPERLINK("https://rhld.insurance.arkansas.gov/NPILookup?Npi=1558572552","1558572552")</f>
        <v>1558572552</v>
      </c>
      <c r="E2496" s="1" t="s">
        <v>3494</v>
      </c>
      <c r="F2496" s="2"/>
      <c r="G2496" s="2"/>
      <c r="H2496" s="2"/>
    </row>
    <row r="2497" spans="1:8" x14ac:dyDescent="0.25">
      <c r="A2497" s="1"/>
      <c r="B2497" s="1" t="s">
        <v>3754</v>
      </c>
      <c r="C2497" s="1" t="s">
        <v>3755</v>
      </c>
      <c r="D2497" s="22" t="str">
        <f>HYPERLINK("https://rhld.insurance.arkansas.gov/NPILookup?Npi=1558898064","1558898064")</f>
        <v>1558898064</v>
      </c>
      <c r="E2497" s="1" t="s">
        <v>15852</v>
      </c>
      <c r="F2497" s="2"/>
      <c r="G2497" s="2"/>
      <c r="H2497" s="2"/>
    </row>
    <row r="2498" spans="1:8" x14ac:dyDescent="0.25">
      <c r="A2498" s="1"/>
      <c r="B2498" s="1" t="s">
        <v>3754</v>
      </c>
      <c r="C2498" s="1" t="s">
        <v>3755</v>
      </c>
      <c r="D2498" s="22" t="str">
        <f>HYPERLINK("https://rhld.insurance.arkansas.gov/NPILookup?Npi=1568404622","1568404622")</f>
        <v>1568404622</v>
      </c>
      <c r="E2498" s="1" t="s">
        <v>1612</v>
      </c>
      <c r="F2498" s="2"/>
      <c r="G2498" s="2"/>
      <c r="H2498" s="2"/>
    </row>
    <row r="2499" spans="1:8" x14ac:dyDescent="0.25">
      <c r="A2499" s="1"/>
      <c r="B2499" s="1" t="s">
        <v>3754</v>
      </c>
      <c r="C2499" s="1" t="s">
        <v>3755</v>
      </c>
      <c r="D2499" s="22" t="str">
        <f>HYPERLINK("https://rhld.insurance.arkansas.gov/NPILookup?Npi=1568465482","1568465482")</f>
        <v>1568465482</v>
      </c>
      <c r="E2499" s="1" t="s">
        <v>3495</v>
      </c>
      <c r="F2499" s="2"/>
      <c r="G2499" s="2"/>
      <c r="H2499" s="2"/>
    </row>
    <row r="2500" spans="1:8" x14ac:dyDescent="0.25">
      <c r="A2500" s="1"/>
      <c r="B2500" s="1" t="s">
        <v>3754</v>
      </c>
      <c r="C2500" s="1" t="s">
        <v>3755</v>
      </c>
      <c r="D2500" s="22" t="str">
        <f>HYPERLINK("https://rhld.insurance.arkansas.gov/NPILookup?Npi=1568490118","1568490118")</f>
        <v>1568490118</v>
      </c>
      <c r="E2500" s="1" t="s">
        <v>15853</v>
      </c>
      <c r="F2500" s="2"/>
      <c r="G2500" s="2"/>
      <c r="H2500" s="2"/>
    </row>
    <row r="2501" spans="1:8" x14ac:dyDescent="0.25">
      <c r="A2501" s="1"/>
      <c r="B2501" s="1" t="s">
        <v>3754</v>
      </c>
      <c r="C2501" s="1" t="s">
        <v>3755</v>
      </c>
      <c r="D2501" s="22" t="str">
        <f>HYPERLINK("https://rhld.insurance.arkansas.gov/NPILookup?Npi=1568620540","1568620540")</f>
        <v>1568620540</v>
      </c>
      <c r="E2501" s="1" t="s">
        <v>15854</v>
      </c>
      <c r="F2501" s="2"/>
      <c r="G2501" s="2"/>
      <c r="H2501" s="2"/>
    </row>
    <row r="2502" spans="1:8" x14ac:dyDescent="0.25">
      <c r="A2502" s="1"/>
      <c r="B2502" s="1" t="s">
        <v>3754</v>
      </c>
      <c r="C2502" s="1" t="s">
        <v>3755</v>
      </c>
      <c r="D2502" s="22" t="str">
        <f>HYPERLINK("https://rhld.insurance.arkansas.gov/NPILookup?Npi=1568625200","1568625200")</f>
        <v>1568625200</v>
      </c>
      <c r="E2502" s="1" t="s">
        <v>15855</v>
      </c>
      <c r="F2502" s="2"/>
      <c r="G2502" s="2"/>
      <c r="H2502" s="2"/>
    </row>
    <row r="2503" spans="1:8" x14ac:dyDescent="0.25">
      <c r="A2503" s="1"/>
      <c r="B2503" s="1" t="s">
        <v>3754</v>
      </c>
      <c r="C2503" s="1" t="s">
        <v>3755</v>
      </c>
      <c r="D2503" s="22" t="str">
        <f>HYPERLINK("https://rhld.insurance.arkansas.gov/NPILookup?Npi=1568782811","1568782811")</f>
        <v>1568782811</v>
      </c>
      <c r="E2503" s="1" t="s">
        <v>15856</v>
      </c>
      <c r="F2503" s="2"/>
      <c r="G2503" s="2"/>
      <c r="H2503" s="2"/>
    </row>
    <row r="2504" spans="1:8" x14ac:dyDescent="0.25">
      <c r="A2504" s="1"/>
      <c r="B2504" s="1" t="s">
        <v>3754</v>
      </c>
      <c r="C2504" s="1" t="s">
        <v>3755</v>
      </c>
      <c r="D2504" s="22" t="str">
        <f>HYPERLINK("https://rhld.insurance.arkansas.gov/NPILookup?Npi=1568823912","1568823912")</f>
        <v>1568823912</v>
      </c>
      <c r="E2504" s="1" t="s">
        <v>2553</v>
      </c>
      <c r="F2504" s="2"/>
      <c r="G2504" s="2"/>
      <c r="H2504" s="2"/>
    </row>
    <row r="2505" spans="1:8" x14ac:dyDescent="0.25">
      <c r="A2505" s="1"/>
      <c r="B2505" s="1" t="s">
        <v>3754</v>
      </c>
      <c r="C2505" s="1" t="s">
        <v>3755</v>
      </c>
      <c r="D2505" s="22" t="str">
        <f>HYPERLINK("https://rhld.insurance.arkansas.gov/NPILookup?Npi=1568825677","1568825677")</f>
        <v>1568825677</v>
      </c>
      <c r="E2505" s="1" t="s">
        <v>3812</v>
      </c>
      <c r="F2505" s="2"/>
      <c r="G2505" s="2"/>
      <c r="H2505" s="2"/>
    </row>
    <row r="2506" spans="1:8" x14ac:dyDescent="0.25">
      <c r="A2506" s="1"/>
      <c r="B2506" s="1" t="s">
        <v>3754</v>
      </c>
      <c r="C2506" s="1" t="s">
        <v>3755</v>
      </c>
      <c r="D2506" s="22" t="str">
        <f>HYPERLINK("https://rhld.insurance.arkansas.gov/NPILookup?Npi=1578529970","1578529970")</f>
        <v>1578529970</v>
      </c>
      <c r="E2506" s="1" t="s">
        <v>3813</v>
      </c>
      <c r="F2506" s="2"/>
      <c r="G2506" s="2"/>
      <c r="H2506" s="2"/>
    </row>
    <row r="2507" spans="1:8" x14ac:dyDescent="0.25">
      <c r="A2507" s="1"/>
      <c r="B2507" s="1" t="s">
        <v>3754</v>
      </c>
      <c r="C2507" s="1" t="s">
        <v>3755</v>
      </c>
      <c r="D2507" s="22" t="str">
        <f>HYPERLINK("https://rhld.insurance.arkansas.gov/NPILookup?Npi=1578653077","1578653077")</f>
        <v>1578653077</v>
      </c>
      <c r="E2507" s="1" t="s">
        <v>15858</v>
      </c>
      <c r="F2507" s="2"/>
      <c r="G2507" s="2"/>
      <c r="H2507" s="2"/>
    </row>
    <row r="2508" spans="1:8" x14ac:dyDescent="0.25">
      <c r="A2508" s="1"/>
      <c r="B2508" s="1" t="s">
        <v>3754</v>
      </c>
      <c r="C2508" s="1" t="s">
        <v>3755</v>
      </c>
      <c r="D2508" s="22" t="str">
        <f>HYPERLINK("https://rhld.insurance.arkansas.gov/NPILookup?Npi=1578679395","1578679395")</f>
        <v>1578679395</v>
      </c>
      <c r="E2508" s="1" t="s">
        <v>15859</v>
      </c>
      <c r="F2508" s="2"/>
      <c r="G2508" s="2"/>
      <c r="H2508" s="2"/>
    </row>
    <row r="2509" spans="1:8" x14ac:dyDescent="0.25">
      <c r="A2509" s="1"/>
      <c r="B2509" s="1" t="s">
        <v>3754</v>
      </c>
      <c r="C2509" s="1" t="s">
        <v>3755</v>
      </c>
      <c r="D2509" s="22" t="str">
        <f>HYPERLINK("https://rhld.insurance.arkansas.gov/NPILookup?Npi=1578772604","1578772604")</f>
        <v>1578772604</v>
      </c>
      <c r="E2509" s="1" t="s">
        <v>15860</v>
      </c>
      <c r="F2509" s="2"/>
      <c r="G2509" s="2"/>
      <c r="H2509" s="2"/>
    </row>
    <row r="2510" spans="1:8" x14ac:dyDescent="0.25">
      <c r="A2510" s="1"/>
      <c r="B2510" s="1" t="s">
        <v>3754</v>
      </c>
      <c r="C2510" s="1" t="s">
        <v>3755</v>
      </c>
      <c r="D2510" s="22" t="str">
        <f>HYPERLINK("https://rhld.insurance.arkansas.gov/NPILookup?Npi=1578842910","1578842910")</f>
        <v>1578842910</v>
      </c>
      <c r="E2510" s="1" t="s">
        <v>15861</v>
      </c>
      <c r="F2510" s="2"/>
      <c r="G2510" s="2"/>
      <c r="H2510" s="2"/>
    </row>
    <row r="2511" spans="1:8" x14ac:dyDescent="0.25">
      <c r="A2511" s="1"/>
      <c r="B2511" s="1" t="s">
        <v>3754</v>
      </c>
      <c r="C2511" s="1" t="s">
        <v>3755</v>
      </c>
      <c r="D2511" s="22" t="str">
        <f>HYPERLINK("https://rhld.insurance.arkansas.gov/NPILookup?Npi=1588005078","1588005078")</f>
        <v>1588005078</v>
      </c>
      <c r="E2511" s="1" t="s">
        <v>3814</v>
      </c>
      <c r="F2511" s="2"/>
      <c r="G2511" s="2"/>
      <c r="H2511" s="2"/>
    </row>
    <row r="2512" spans="1:8" x14ac:dyDescent="0.25">
      <c r="A2512" s="1"/>
      <c r="B2512" s="1" t="s">
        <v>3754</v>
      </c>
      <c r="C2512" s="1" t="s">
        <v>3755</v>
      </c>
      <c r="D2512" s="22" t="str">
        <f>HYPERLINK("https://rhld.insurance.arkansas.gov/NPILookup?Npi=1588010813","1588010813")</f>
        <v>1588010813</v>
      </c>
      <c r="E2512" s="1" t="s">
        <v>2554</v>
      </c>
      <c r="F2512" s="2"/>
      <c r="G2512" s="2"/>
      <c r="H2512" s="2"/>
    </row>
    <row r="2513" spans="1:8" x14ac:dyDescent="0.25">
      <c r="A2513" s="1"/>
      <c r="B2513" s="1" t="s">
        <v>3754</v>
      </c>
      <c r="C2513" s="1" t="s">
        <v>3755</v>
      </c>
      <c r="D2513" s="22" t="str">
        <f>HYPERLINK("https://rhld.insurance.arkansas.gov/NPILookup?Npi=1588613194","1588613194")</f>
        <v>1588613194</v>
      </c>
      <c r="E2513" s="1" t="s">
        <v>15862</v>
      </c>
      <c r="F2513" s="2"/>
      <c r="G2513" s="2"/>
      <c r="H2513" s="2"/>
    </row>
    <row r="2514" spans="1:8" x14ac:dyDescent="0.25">
      <c r="A2514" s="1"/>
      <c r="B2514" s="1" t="s">
        <v>3754</v>
      </c>
      <c r="C2514" s="1" t="s">
        <v>3755</v>
      </c>
      <c r="D2514" s="22" t="str">
        <f>HYPERLINK("https://rhld.insurance.arkansas.gov/NPILookup?Npi=1588641526","1588641526")</f>
        <v>1588641526</v>
      </c>
      <c r="E2514" s="1" t="s">
        <v>15863</v>
      </c>
      <c r="F2514" s="2"/>
      <c r="G2514" s="2"/>
      <c r="H2514" s="2"/>
    </row>
    <row r="2515" spans="1:8" x14ac:dyDescent="0.25">
      <c r="A2515" s="1"/>
      <c r="B2515" s="1" t="s">
        <v>3754</v>
      </c>
      <c r="C2515" s="1" t="s">
        <v>3755</v>
      </c>
      <c r="D2515" s="22" t="str">
        <f>HYPERLINK("https://rhld.insurance.arkansas.gov/NPILookup?Npi=1588657811","1588657811")</f>
        <v>1588657811</v>
      </c>
      <c r="E2515" s="1" t="s">
        <v>15864</v>
      </c>
      <c r="F2515" s="2"/>
      <c r="G2515" s="2"/>
      <c r="H2515" s="2"/>
    </row>
    <row r="2516" spans="1:8" x14ac:dyDescent="0.25">
      <c r="A2516" s="1"/>
      <c r="B2516" s="1" t="s">
        <v>3754</v>
      </c>
      <c r="C2516" s="1" t="s">
        <v>3755</v>
      </c>
      <c r="D2516" s="22" t="str">
        <f>HYPERLINK("https://rhld.insurance.arkansas.gov/NPILookup?Npi=1588658983","1588658983")</f>
        <v>1588658983</v>
      </c>
      <c r="E2516" s="1" t="s">
        <v>15865</v>
      </c>
      <c r="F2516" s="2"/>
      <c r="G2516" s="2"/>
      <c r="H2516" s="2"/>
    </row>
    <row r="2517" spans="1:8" x14ac:dyDescent="0.25">
      <c r="A2517" s="1"/>
      <c r="B2517" s="1" t="s">
        <v>3754</v>
      </c>
      <c r="C2517" s="1" t="s">
        <v>3755</v>
      </c>
      <c r="D2517" s="22" t="str">
        <f>HYPERLINK("https://rhld.insurance.arkansas.gov/NPILookup?Npi=1588664080","1588664080")</f>
        <v>1588664080</v>
      </c>
      <c r="E2517" s="1" t="s">
        <v>15866</v>
      </c>
      <c r="F2517" s="2"/>
      <c r="G2517" s="2"/>
      <c r="H2517" s="2"/>
    </row>
    <row r="2518" spans="1:8" x14ac:dyDescent="0.25">
      <c r="A2518" s="1"/>
      <c r="B2518" s="1" t="s">
        <v>3754</v>
      </c>
      <c r="C2518" s="1" t="s">
        <v>3755</v>
      </c>
      <c r="D2518" s="22" t="str">
        <f>HYPERLINK("https://rhld.insurance.arkansas.gov/NPILookup?Npi=1588743868","1588743868")</f>
        <v>1588743868</v>
      </c>
      <c r="E2518" s="1" t="s">
        <v>1159</v>
      </c>
      <c r="F2518" s="2"/>
      <c r="G2518" s="2"/>
      <c r="H2518" s="2"/>
    </row>
    <row r="2519" spans="1:8" x14ac:dyDescent="0.25">
      <c r="A2519" s="1"/>
      <c r="B2519" s="1" t="s">
        <v>3754</v>
      </c>
      <c r="C2519" s="1" t="s">
        <v>3755</v>
      </c>
      <c r="D2519" s="22" t="str">
        <f>HYPERLINK("https://rhld.insurance.arkansas.gov/NPILookup?Npi=1588753727","1588753727")</f>
        <v>1588753727</v>
      </c>
      <c r="E2519" s="1" t="s">
        <v>15867</v>
      </c>
      <c r="F2519" s="2"/>
      <c r="G2519" s="2"/>
      <c r="H2519" s="2"/>
    </row>
    <row r="2520" spans="1:8" x14ac:dyDescent="0.25">
      <c r="A2520" s="1"/>
      <c r="B2520" s="1" t="s">
        <v>3754</v>
      </c>
      <c r="C2520" s="1" t="s">
        <v>3755</v>
      </c>
      <c r="D2520" s="22" t="str">
        <f>HYPERLINK("https://rhld.insurance.arkansas.gov/NPILookup?Npi=1588825087","1588825087")</f>
        <v>1588825087</v>
      </c>
      <c r="E2520" s="1" t="s">
        <v>15868</v>
      </c>
      <c r="F2520" s="2"/>
      <c r="G2520" s="2"/>
      <c r="H2520" s="2"/>
    </row>
    <row r="2521" spans="1:8" x14ac:dyDescent="0.25">
      <c r="A2521" s="1"/>
      <c r="B2521" s="1" t="s">
        <v>3754</v>
      </c>
      <c r="C2521" s="1" t="s">
        <v>3755</v>
      </c>
      <c r="D2521" s="22" t="str">
        <f>HYPERLINK("https://rhld.insurance.arkansas.gov/NPILookup?Npi=1588841340","1588841340")</f>
        <v>1588841340</v>
      </c>
      <c r="E2521" s="1" t="s">
        <v>15869</v>
      </c>
      <c r="F2521" s="2"/>
      <c r="G2521" s="2"/>
      <c r="H2521" s="2"/>
    </row>
    <row r="2522" spans="1:8" x14ac:dyDescent="0.25">
      <c r="A2522" s="1"/>
      <c r="B2522" s="1" t="s">
        <v>3754</v>
      </c>
      <c r="C2522" s="1" t="s">
        <v>3755</v>
      </c>
      <c r="D2522" s="22" t="str">
        <f>HYPERLINK("https://rhld.insurance.arkansas.gov/NPILookup?Npi=1598022675","1598022675")</f>
        <v>1598022675</v>
      </c>
      <c r="E2522" s="1" t="s">
        <v>15870</v>
      </c>
      <c r="F2522" s="2"/>
      <c r="G2522" s="2"/>
      <c r="H2522" s="2"/>
    </row>
    <row r="2523" spans="1:8" x14ac:dyDescent="0.25">
      <c r="A2523" s="1"/>
      <c r="B2523" s="1" t="s">
        <v>3754</v>
      </c>
      <c r="C2523" s="1" t="s">
        <v>3755</v>
      </c>
      <c r="D2523" s="22" t="str">
        <f>HYPERLINK("https://rhld.insurance.arkansas.gov/NPILookup?Npi=1598148611","1598148611")</f>
        <v>1598148611</v>
      </c>
      <c r="E2523" s="1" t="s">
        <v>3496</v>
      </c>
      <c r="F2523" s="2"/>
      <c r="G2523" s="2"/>
      <c r="H2523" s="2"/>
    </row>
    <row r="2524" spans="1:8" x14ac:dyDescent="0.25">
      <c r="A2524" s="1"/>
      <c r="B2524" s="1" t="s">
        <v>3754</v>
      </c>
      <c r="C2524" s="1" t="s">
        <v>3755</v>
      </c>
      <c r="D2524" s="22" t="str">
        <f>HYPERLINK("https://rhld.insurance.arkansas.gov/NPILookup?Npi=1598250599","1598250599")</f>
        <v>1598250599</v>
      </c>
      <c r="E2524" s="1" t="s">
        <v>15871</v>
      </c>
      <c r="F2524" s="2"/>
      <c r="G2524" s="2"/>
      <c r="H2524" s="2"/>
    </row>
    <row r="2525" spans="1:8" x14ac:dyDescent="0.25">
      <c r="A2525" s="1"/>
      <c r="B2525" s="1" t="s">
        <v>3754</v>
      </c>
      <c r="C2525" s="1" t="s">
        <v>3755</v>
      </c>
      <c r="D2525" s="22" t="str">
        <f>HYPERLINK("https://rhld.insurance.arkansas.gov/NPILookup?Npi=1598737835","1598737835")</f>
        <v>1598737835</v>
      </c>
      <c r="E2525" s="1" t="s">
        <v>3815</v>
      </c>
      <c r="F2525" s="2"/>
      <c r="G2525" s="2"/>
      <c r="H2525" s="2"/>
    </row>
    <row r="2526" spans="1:8" x14ac:dyDescent="0.25">
      <c r="A2526" s="1"/>
      <c r="B2526" s="1" t="s">
        <v>3754</v>
      </c>
      <c r="C2526" s="1" t="s">
        <v>3755</v>
      </c>
      <c r="D2526" s="22" t="str">
        <f>HYPERLINK("https://rhld.insurance.arkansas.gov/NPILookup?Npi=1609004233","1609004233")</f>
        <v>1609004233</v>
      </c>
      <c r="E2526" s="1" t="s">
        <v>1613</v>
      </c>
      <c r="F2526" s="2"/>
      <c r="G2526" s="2"/>
      <c r="H2526" s="2"/>
    </row>
    <row r="2527" spans="1:8" x14ac:dyDescent="0.25">
      <c r="A2527" s="1"/>
      <c r="B2527" s="1" t="s">
        <v>3754</v>
      </c>
      <c r="C2527" s="1" t="s">
        <v>3755</v>
      </c>
      <c r="D2527" s="22" t="str">
        <f>HYPERLINK("https://rhld.insurance.arkansas.gov/NPILookup?Npi=1609060334","1609060334")</f>
        <v>1609060334</v>
      </c>
      <c r="E2527" s="1" t="s">
        <v>3497</v>
      </c>
      <c r="F2527" s="2"/>
      <c r="G2527" s="2"/>
      <c r="H2527" s="2"/>
    </row>
    <row r="2528" spans="1:8" x14ac:dyDescent="0.25">
      <c r="A2528" s="1"/>
      <c r="B2528" s="1" t="s">
        <v>3754</v>
      </c>
      <c r="C2528" s="1" t="s">
        <v>3755</v>
      </c>
      <c r="D2528" s="22" t="str">
        <f>HYPERLINK("https://rhld.insurance.arkansas.gov/NPILookup?Npi=1609162817","1609162817")</f>
        <v>1609162817</v>
      </c>
      <c r="E2528" s="1" t="s">
        <v>3816</v>
      </c>
      <c r="F2528" s="2"/>
      <c r="G2528" s="2"/>
      <c r="H2528" s="2"/>
    </row>
    <row r="2529" spans="1:8" x14ac:dyDescent="0.25">
      <c r="A2529" s="1"/>
      <c r="B2529" s="1" t="s">
        <v>3754</v>
      </c>
      <c r="C2529" s="1" t="s">
        <v>3755</v>
      </c>
      <c r="D2529" s="22" t="str">
        <f>HYPERLINK("https://rhld.insurance.arkansas.gov/NPILookup?Npi=1609876036","1609876036")</f>
        <v>1609876036</v>
      </c>
      <c r="E2529" s="1" t="s">
        <v>2555</v>
      </c>
      <c r="F2529" s="2"/>
      <c r="G2529" s="2"/>
      <c r="H2529" s="2"/>
    </row>
    <row r="2530" spans="1:8" x14ac:dyDescent="0.25">
      <c r="A2530" s="1"/>
      <c r="B2530" s="1" t="s">
        <v>3754</v>
      </c>
      <c r="C2530" s="1" t="s">
        <v>3755</v>
      </c>
      <c r="D2530" s="22" t="str">
        <f>HYPERLINK("https://rhld.insurance.arkansas.gov/NPILookup?Npi=1609887124","1609887124")</f>
        <v>1609887124</v>
      </c>
      <c r="E2530" s="1" t="s">
        <v>15872</v>
      </c>
      <c r="F2530" s="2"/>
      <c r="G2530" s="2"/>
      <c r="H2530" s="2"/>
    </row>
    <row r="2531" spans="1:8" x14ac:dyDescent="0.25">
      <c r="A2531" s="1"/>
      <c r="B2531" s="1" t="s">
        <v>3754</v>
      </c>
      <c r="C2531" s="1" t="s">
        <v>3755</v>
      </c>
      <c r="D2531" s="22" t="str">
        <f>HYPERLINK("https://rhld.insurance.arkansas.gov/NPILookup?Npi=1619075363","1619075363")</f>
        <v>1619075363</v>
      </c>
      <c r="E2531" s="1" t="s">
        <v>6924</v>
      </c>
      <c r="F2531" s="2"/>
      <c r="G2531" s="2"/>
      <c r="H2531" s="2"/>
    </row>
    <row r="2532" spans="1:8" x14ac:dyDescent="0.25">
      <c r="A2532" s="1"/>
      <c r="B2532" s="1" t="s">
        <v>3754</v>
      </c>
      <c r="C2532" s="1" t="s">
        <v>3755</v>
      </c>
      <c r="D2532" s="22" t="str">
        <f>HYPERLINK("https://rhld.insurance.arkansas.gov/NPILookup?Npi=1619136165","1619136165")</f>
        <v>1619136165</v>
      </c>
      <c r="E2532" s="1" t="s">
        <v>9834</v>
      </c>
      <c r="F2532" s="2"/>
      <c r="G2532" s="2"/>
      <c r="H2532" s="2"/>
    </row>
    <row r="2533" spans="1:8" x14ac:dyDescent="0.25">
      <c r="A2533" s="1"/>
      <c r="B2533" s="1" t="s">
        <v>3754</v>
      </c>
      <c r="C2533" s="1" t="s">
        <v>3755</v>
      </c>
      <c r="D2533" s="22" t="str">
        <f>HYPERLINK("https://rhld.insurance.arkansas.gov/NPILookup?Npi=1619318029","1619318029")</f>
        <v>1619318029</v>
      </c>
      <c r="E2533" s="1" t="s">
        <v>3498</v>
      </c>
      <c r="F2533" s="2"/>
      <c r="G2533" s="2"/>
      <c r="H2533" s="2"/>
    </row>
    <row r="2534" spans="1:8" x14ac:dyDescent="0.25">
      <c r="A2534" s="1"/>
      <c r="B2534" s="1" t="s">
        <v>3754</v>
      </c>
      <c r="C2534" s="1" t="s">
        <v>3755</v>
      </c>
      <c r="D2534" s="22" t="str">
        <f>HYPERLINK("https://rhld.insurance.arkansas.gov/NPILookup?Npi=1619322765","1619322765")</f>
        <v>1619322765</v>
      </c>
      <c r="E2534" s="1" t="s">
        <v>9835</v>
      </c>
      <c r="F2534" s="2"/>
      <c r="G2534" s="2"/>
      <c r="H2534" s="2"/>
    </row>
    <row r="2535" spans="1:8" x14ac:dyDescent="0.25">
      <c r="A2535" s="1"/>
      <c r="B2535" s="1" t="s">
        <v>3754</v>
      </c>
      <c r="C2535" s="1" t="s">
        <v>3755</v>
      </c>
      <c r="D2535" s="22" t="str">
        <f>HYPERLINK("https://rhld.insurance.arkansas.gov/NPILookup?Npi=1619695244","1619695244")</f>
        <v>1619695244</v>
      </c>
      <c r="E2535" s="1" t="s">
        <v>3817</v>
      </c>
      <c r="F2535" s="2"/>
      <c r="G2535" s="2"/>
      <c r="H2535" s="2"/>
    </row>
    <row r="2536" spans="1:8" x14ac:dyDescent="0.25">
      <c r="A2536" s="1"/>
      <c r="B2536" s="1" t="s">
        <v>3754</v>
      </c>
      <c r="C2536" s="1" t="s">
        <v>3755</v>
      </c>
      <c r="D2536" s="22" t="str">
        <f>HYPERLINK("https://rhld.insurance.arkansas.gov/NPILookup?Npi=1619948700","1619948700")</f>
        <v>1619948700</v>
      </c>
      <c r="E2536" s="1" t="s">
        <v>9836</v>
      </c>
      <c r="F2536" s="2"/>
      <c r="G2536" s="2"/>
      <c r="H2536" s="2"/>
    </row>
    <row r="2537" spans="1:8" x14ac:dyDescent="0.25">
      <c r="A2537" s="1"/>
      <c r="B2537" s="1" t="s">
        <v>3754</v>
      </c>
      <c r="C2537" s="1" t="s">
        <v>3755</v>
      </c>
      <c r="D2537" s="22" t="str">
        <f>HYPERLINK("https://rhld.insurance.arkansas.gov/NPILookup?Npi=1619966330","1619966330")</f>
        <v>1619966330</v>
      </c>
      <c r="E2537" s="1" t="s">
        <v>3818</v>
      </c>
      <c r="F2537" s="2"/>
      <c r="G2537" s="2"/>
      <c r="H2537" s="2"/>
    </row>
    <row r="2538" spans="1:8" x14ac:dyDescent="0.25">
      <c r="A2538" s="1"/>
      <c r="B2538" s="1" t="s">
        <v>3754</v>
      </c>
      <c r="C2538" s="1" t="s">
        <v>3755</v>
      </c>
      <c r="D2538" s="22" t="str">
        <f>HYPERLINK("https://rhld.insurance.arkansas.gov/NPILookup?Npi=1619977188","1619977188")</f>
        <v>1619977188</v>
      </c>
      <c r="E2538" s="1" t="s">
        <v>9837</v>
      </c>
      <c r="F2538" s="2"/>
      <c r="G2538" s="2"/>
      <c r="H2538" s="2"/>
    </row>
    <row r="2539" spans="1:8" x14ac:dyDescent="0.25">
      <c r="A2539" s="1"/>
      <c r="B2539" s="1" t="s">
        <v>3754</v>
      </c>
      <c r="C2539" s="1" t="s">
        <v>3755</v>
      </c>
      <c r="D2539" s="22" t="str">
        <f>HYPERLINK("https://rhld.insurance.arkansas.gov/NPILookup?Npi=1629010012","1629010012")</f>
        <v>1629010012</v>
      </c>
      <c r="E2539" s="1" t="s">
        <v>15873</v>
      </c>
      <c r="F2539" s="2"/>
      <c r="G2539" s="2"/>
      <c r="H2539" s="2"/>
    </row>
    <row r="2540" spans="1:8" x14ac:dyDescent="0.25">
      <c r="A2540" s="1"/>
      <c r="B2540" s="1" t="s">
        <v>3754</v>
      </c>
      <c r="C2540" s="1" t="s">
        <v>3755</v>
      </c>
      <c r="D2540" s="22" t="str">
        <f>HYPERLINK("https://rhld.insurance.arkansas.gov/NPILookup?Npi=1629078324","1629078324")</f>
        <v>1629078324</v>
      </c>
      <c r="E2540" s="1" t="s">
        <v>15874</v>
      </c>
      <c r="F2540" s="2"/>
      <c r="G2540" s="2"/>
      <c r="H2540" s="2"/>
    </row>
    <row r="2541" spans="1:8" x14ac:dyDescent="0.25">
      <c r="A2541" s="1"/>
      <c r="B2541" s="1" t="s">
        <v>3754</v>
      </c>
      <c r="C2541" s="1" t="s">
        <v>3755</v>
      </c>
      <c r="D2541" s="22" t="str">
        <f>HYPERLINK("https://rhld.insurance.arkansas.gov/NPILookup?Npi=1629268693","1629268693")</f>
        <v>1629268693</v>
      </c>
      <c r="E2541" s="1" t="s">
        <v>15875</v>
      </c>
      <c r="F2541" s="2"/>
      <c r="G2541" s="2"/>
      <c r="H2541" s="2"/>
    </row>
    <row r="2542" spans="1:8" x14ac:dyDescent="0.25">
      <c r="A2542" s="1"/>
      <c r="B2542" s="1" t="s">
        <v>3754</v>
      </c>
      <c r="C2542" s="1" t="s">
        <v>3755</v>
      </c>
      <c r="D2542" s="22" t="str">
        <f>HYPERLINK("https://rhld.insurance.arkansas.gov/NPILookup?Npi=1629292883","1629292883")</f>
        <v>1629292883</v>
      </c>
      <c r="E2542" s="1" t="s">
        <v>432</v>
      </c>
      <c r="F2542" s="2"/>
      <c r="G2542" s="2"/>
      <c r="H2542" s="2"/>
    </row>
    <row r="2543" spans="1:8" x14ac:dyDescent="0.25">
      <c r="A2543" s="1"/>
      <c r="B2543" s="1" t="s">
        <v>3754</v>
      </c>
      <c r="C2543" s="1" t="s">
        <v>3755</v>
      </c>
      <c r="D2543" s="22" t="str">
        <f>HYPERLINK("https://rhld.insurance.arkansas.gov/NPILookup?Npi=1639122054","1639122054")</f>
        <v>1639122054</v>
      </c>
      <c r="E2543" s="1" t="s">
        <v>9838</v>
      </c>
      <c r="F2543" s="2"/>
      <c r="G2543" s="2"/>
      <c r="H2543" s="2"/>
    </row>
    <row r="2544" spans="1:8" x14ac:dyDescent="0.25">
      <c r="A2544" s="1"/>
      <c r="B2544" s="1" t="s">
        <v>3754</v>
      </c>
      <c r="C2544" s="1" t="s">
        <v>3755</v>
      </c>
      <c r="D2544" s="22" t="str">
        <f>HYPERLINK("https://rhld.insurance.arkansas.gov/NPILookup?Npi=1639125222","1639125222")</f>
        <v>1639125222</v>
      </c>
      <c r="E2544" s="1" t="s">
        <v>9839</v>
      </c>
      <c r="F2544" s="2"/>
      <c r="G2544" s="2"/>
      <c r="H2544" s="2"/>
    </row>
    <row r="2545" spans="1:8" x14ac:dyDescent="0.25">
      <c r="A2545" s="1"/>
      <c r="B2545" s="1" t="s">
        <v>3754</v>
      </c>
      <c r="C2545" s="1" t="s">
        <v>3755</v>
      </c>
      <c r="D2545" s="22" t="str">
        <f>HYPERLINK("https://rhld.insurance.arkansas.gov/NPILookup?Npi=1639129133","1639129133")</f>
        <v>1639129133</v>
      </c>
      <c r="E2545" s="1" t="s">
        <v>9840</v>
      </c>
      <c r="F2545" s="2"/>
      <c r="G2545" s="2"/>
      <c r="H2545" s="2"/>
    </row>
    <row r="2546" spans="1:8" x14ac:dyDescent="0.25">
      <c r="A2546" s="1"/>
      <c r="B2546" s="1" t="s">
        <v>3754</v>
      </c>
      <c r="C2546" s="1" t="s">
        <v>3755</v>
      </c>
      <c r="D2546" s="22" t="str">
        <f>HYPERLINK("https://rhld.insurance.arkansas.gov/NPILookup?Npi=1639165608","1639165608")</f>
        <v>1639165608</v>
      </c>
      <c r="E2546" s="1" t="s">
        <v>15876</v>
      </c>
      <c r="F2546" s="2"/>
      <c r="G2546" s="2"/>
      <c r="H2546" s="2"/>
    </row>
    <row r="2547" spans="1:8" x14ac:dyDescent="0.25">
      <c r="A2547" s="1"/>
      <c r="B2547" s="1" t="s">
        <v>3754</v>
      </c>
      <c r="C2547" s="1" t="s">
        <v>3755</v>
      </c>
      <c r="D2547" s="22" t="str">
        <f>HYPERLINK("https://rhld.insurance.arkansas.gov/NPILookup?Npi=1639186406","1639186406")</f>
        <v>1639186406</v>
      </c>
      <c r="E2547" s="1" t="s">
        <v>31324</v>
      </c>
      <c r="F2547" s="2"/>
      <c r="G2547" s="2"/>
      <c r="H2547" s="2"/>
    </row>
    <row r="2548" spans="1:8" x14ac:dyDescent="0.25">
      <c r="A2548" s="1"/>
      <c r="B2548" s="1" t="s">
        <v>3754</v>
      </c>
      <c r="C2548" s="1" t="s">
        <v>3755</v>
      </c>
      <c r="D2548" s="22" t="str">
        <f>HYPERLINK("https://rhld.insurance.arkansas.gov/NPILookup?Npi=1639198591","1639198591")</f>
        <v>1639198591</v>
      </c>
      <c r="E2548" s="1" t="s">
        <v>15877</v>
      </c>
      <c r="F2548" s="2"/>
      <c r="G2548" s="2"/>
      <c r="H2548" s="2"/>
    </row>
    <row r="2549" spans="1:8" x14ac:dyDescent="0.25">
      <c r="A2549" s="1"/>
      <c r="B2549" s="1" t="s">
        <v>3754</v>
      </c>
      <c r="C2549" s="1" t="s">
        <v>3755</v>
      </c>
      <c r="D2549" s="22" t="str">
        <f>HYPERLINK("https://rhld.insurance.arkansas.gov/NPILookup?Npi=1639261001","1639261001")</f>
        <v>1639261001</v>
      </c>
      <c r="E2549" s="1" t="s">
        <v>1536</v>
      </c>
      <c r="F2549" s="2"/>
      <c r="G2549" s="2"/>
      <c r="H2549" s="2"/>
    </row>
    <row r="2550" spans="1:8" x14ac:dyDescent="0.25">
      <c r="A2550" s="1"/>
      <c r="B2550" s="1" t="s">
        <v>3754</v>
      </c>
      <c r="C2550" s="1" t="s">
        <v>3755</v>
      </c>
      <c r="D2550" s="22" t="str">
        <f>HYPERLINK("https://rhld.insurance.arkansas.gov/NPILookup?Npi=1639370851","1639370851")</f>
        <v>1639370851</v>
      </c>
      <c r="E2550" s="1" t="s">
        <v>13996</v>
      </c>
      <c r="F2550" s="2"/>
      <c r="G2550" s="2"/>
      <c r="H2550" s="2"/>
    </row>
    <row r="2551" spans="1:8" x14ac:dyDescent="0.25">
      <c r="A2551" s="1"/>
      <c r="B2551" s="1" t="s">
        <v>3754</v>
      </c>
      <c r="C2551" s="1" t="s">
        <v>3755</v>
      </c>
      <c r="D2551" s="22" t="str">
        <f>HYPERLINK("https://rhld.insurance.arkansas.gov/NPILookup?Npi=1639408586","1639408586")</f>
        <v>1639408586</v>
      </c>
      <c r="E2551" s="1" t="s">
        <v>9841</v>
      </c>
      <c r="F2551" s="2"/>
      <c r="G2551" s="2"/>
      <c r="H2551" s="2"/>
    </row>
    <row r="2552" spans="1:8" x14ac:dyDescent="0.25">
      <c r="A2552" s="1"/>
      <c r="B2552" s="1" t="s">
        <v>3754</v>
      </c>
      <c r="C2552" s="1" t="s">
        <v>3755</v>
      </c>
      <c r="D2552" s="22" t="str">
        <f>HYPERLINK("https://rhld.insurance.arkansas.gov/NPILookup?Npi=1649241258","1649241258")</f>
        <v>1649241258</v>
      </c>
      <c r="E2552" s="1" t="s">
        <v>3820</v>
      </c>
      <c r="F2552" s="2"/>
      <c r="G2552" s="2"/>
      <c r="H2552" s="2"/>
    </row>
    <row r="2553" spans="1:8" x14ac:dyDescent="0.25">
      <c r="A2553" s="1"/>
      <c r="B2553" s="1" t="s">
        <v>3754</v>
      </c>
      <c r="C2553" s="1" t="s">
        <v>3755</v>
      </c>
      <c r="D2553" s="22" t="str">
        <f>HYPERLINK("https://rhld.insurance.arkansas.gov/NPILookup?Npi=1649273715","1649273715")</f>
        <v>1649273715</v>
      </c>
      <c r="E2553" s="1" t="s">
        <v>15878</v>
      </c>
      <c r="F2553" s="2"/>
      <c r="G2553" s="2"/>
      <c r="H2553" s="2"/>
    </row>
    <row r="2554" spans="1:8" x14ac:dyDescent="0.25">
      <c r="A2554" s="1"/>
      <c r="B2554" s="1" t="s">
        <v>3754</v>
      </c>
      <c r="C2554" s="1" t="s">
        <v>3755</v>
      </c>
      <c r="D2554" s="22" t="str">
        <f>HYPERLINK("https://rhld.insurance.arkansas.gov/NPILookup?Npi=1649275629","1649275629")</f>
        <v>1649275629</v>
      </c>
      <c r="E2554" s="1" t="s">
        <v>15879</v>
      </c>
      <c r="F2554" s="2"/>
      <c r="G2554" s="2"/>
      <c r="H2554" s="2"/>
    </row>
    <row r="2555" spans="1:8" x14ac:dyDescent="0.25">
      <c r="A2555" s="1"/>
      <c r="B2555" s="1" t="s">
        <v>3754</v>
      </c>
      <c r="C2555" s="1" t="s">
        <v>3755</v>
      </c>
      <c r="D2555" s="22" t="str">
        <f>HYPERLINK("https://rhld.insurance.arkansas.gov/NPILookup?Npi=1649369661","1649369661")</f>
        <v>1649369661</v>
      </c>
      <c r="E2555" s="1" t="s">
        <v>15880</v>
      </c>
      <c r="F2555" s="2"/>
      <c r="G2555" s="2"/>
      <c r="H2555" s="2"/>
    </row>
    <row r="2556" spans="1:8" x14ac:dyDescent="0.25">
      <c r="A2556" s="1"/>
      <c r="B2556" s="1" t="s">
        <v>3754</v>
      </c>
      <c r="C2556" s="1" t="s">
        <v>3755</v>
      </c>
      <c r="D2556" s="22" t="str">
        <f>HYPERLINK("https://rhld.insurance.arkansas.gov/NPILookup?Npi=1649583923","1649583923")</f>
        <v>1649583923</v>
      </c>
      <c r="E2556" s="1" t="s">
        <v>15881</v>
      </c>
      <c r="F2556" s="2"/>
      <c r="G2556" s="2"/>
      <c r="H2556" s="2"/>
    </row>
    <row r="2557" spans="1:8" x14ac:dyDescent="0.25">
      <c r="A2557" s="1"/>
      <c r="B2557" s="1" t="s">
        <v>3754</v>
      </c>
      <c r="C2557" s="1" t="s">
        <v>3755</v>
      </c>
      <c r="D2557" s="22" t="str">
        <f>HYPERLINK("https://rhld.insurance.arkansas.gov/NPILookup?Npi=1659355477","1659355477")</f>
        <v>1659355477</v>
      </c>
      <c r="E2557" s="1" t="s">
        <v>15882</v>
      </c>
      <c r="F2557" s="2"/>
      <c r="G2557" s="2"/>
      <c r="H2557" s="2"/>
    </row>
    <row r="2558" spans="1:8" x14ac:dyDescent="0.25">
      <c r="A2558" s="1"/>
      <c r="B2558" s="1" t="s">
        <v>3754</v>
      </c>
      <c r="C2558" s="1" t="s">
        <v>3755</v>
      </c>
      <c r="D2558" s="22" t="str">
        <f>HYPERLINK("https://rhld.insurance.arkansas.gov/NPILookup?Npi=1659371235","1659371235")</f>
        <v>1659371235</v>
      </c>
      <c r="E2558" s="1" t="s">
        <v>9842</v>
      </c>
      <c r="F2558" s="2"/>
      <c r="G2558" s="2"/>
      <c r="H2558" s="2"/>
    </row>
    <row r="2559" spans="1:8" x14ac:dyDescent="0.25">
      <c r="A2559" s="1"/>
      <c r="B2559" s="1" t="s">
        <v>3754</v>
      </c>
      <c r="C2559" s="1" t="s">
        <v>3755</v>
      </c>
      <c r="D2559" s="22" t="str">
        <f>HYPERLINK("https://rhld.insurance.arkansas.gov/NPILookup?Npi=1659417855","1659417855")</f>
        <v>1659417855</v>
      </c>
      <c r="E2559" s="1" t="s">
        <v>15883</v>
      </c>
      <c r="F2559" s="2"/>
      <c r="G2559" s="2"/>
      <c r="H2559" s="2"/>
    </row>
    <row r="2560" spans="1:8" x14ac:dyDescent="0.25">
      <c r="A2560" s="1"/>
      <c r="B2560" s="1" t="s">
        <v>3754</v>
      </c>
      <c r="C2560" s="1" t="s">
        <v>3755</v>
      </c>
      <c r="D2560" s="22" t="str">
        <f>HYPERLINK("https://rhld.insurance.arkansas.gov/NPILookup?Npi=1659549681","1659549681")</f>
        <v>1659549681</v>
      </c>
      <c r="E2560" s="1" t="s">
        <v>3821</v>
      </c>
      <c r="F2560" s="2"/>
      <c r="G2560" s="2"/>
      <c r="H2560" s="2"/>
    </row>
    <row r="2561" spans="1:8" x14ac:dyDescent="0.25">
      <c r="A2561" s="1"/>
      <c r="B2561" s="1" t="s">
        <v>3754</v>
      </c>
      <c r="C2561" s="1" t="s">
        <v>3755</v>
      </c>
      <c r="D2561" s="22" t="str">
        <f>HYPERLINK("https://rhld.insurance.arkansas.gov/NPILookup?Npi=1659767820","1659767820")</f>
        <v>1659767820</v>
      </c>
      <c r="E2561" s="1" t="s">
        <v>9843</v>
      </c>
      <c r="F2561" s="2"/>
      <c r="G2561" s="2"/>
      <c r="H2561" s="2"/>
    </row>
    <row r="2562" spans="1:8" x14ac:dyDescent="0.25">
      <c r="A2562" s="1"/>
      <c r="B2562" s="1" t="s">
        <v>3754</v>
      </c>
      <c r="C2562" s="1" t="s">
        <v>3755</v>
      </c>
      <c r="D2562" s="22" t="str">
        <f>HYPERLINK("https://rhld.insurance.arkansas.gov/NPILookup?Npi=1669483293","1669483293")</f>
        <v>1669483293</v>
      </c>
      <c r="E2562" s="1" t="s">
        <v>15884</v>
      </c>
      <c r="F2562" s="2"/>
      <c r="G2562" s="2"/>
      <c r="H2562" s="2"/>
    </row>
    <row r="2563" spans="1:8" x14ac:dyDescent="0.25">
      <c r="A2563" s="1"/>
      <c r="B2563" s="1" t="s">
        <v>3754</v>
      </c>
      <c r="C2563" s="1" t="s">
        <v>3755</v>
      </c>
      <c r="D2563" s="22" t="str">
        <f>HYPERLINK("https://rhld.insurance.arkansas.gov/NPILookup?Npi=1669710018","1669710018")</f>
        <v>1669710018</v>
      </c>
      <c r="E2563" s="1" t="s">
        <v>9844</v>
      </c>
      <c r="F2563" s="2"/>
      <c r="G2563" s="2"/>
      <c r="H2563" s="2"/>
    </row>
    <row r="2564" spans="1:8" x14ac:dyDescent="0.25">
      <c r="A2564" s="1"/>
      <c r="B2564" s="1" t="s">
        <v>3754</v>
      </c>
      <c r="C2564" s="1" t="s">
        <v>3755</v>
      </c>
      <c r="D2564" s="22" t="str">
        <f>HYPERLINK("https://rhld.insurance.arkansas.gov/NPILookup?Npi=1669764106","1669764106")</f>
        <v>1669764106</v>
      </c>
      <c r="E2564" s="1" t="s">
        <v>31325</v>
      </c>
      <c r="F2564" s="2"/>
      <c r="G2564" s="2"/>
      <c r="H2564" s="2"/>
    </row>
    <row r="2565" spans="1:8" x14ac:dyDescent="0.25">
      <c r="A2565" s="1"/>
      <c r="B2565" s="1" t="s">
        <v>3754</v>
      </c>
      <c r="C2565" s="1" t="s">
        <v>3755</v>
      </c>
      <c r="D2565" s="22" t="str">
        <f>HYPERLINK("https://rhld.insurance.arkansas.gov/NPILookup?Npi=1669770145","1669770145")</f>
        <v>1669770145</v>
      </c>
      <c r="E2565" s="1" t="s">
        <v>3823</v>
      </c>
      <c r="F2565" s="2"/>
      <c r="G2565" s="2"/>
      <c r="H2565" s="2"/>
    </row>
    <row r="2566" spans="1:8" x14ac:dyDescent="0.25">
      <c r="A2566" s="1"/>
      <c r="B2566" s="1" t="s">
        <v>3754</v>
      </c>
      <c r="C2566" s="1" t="s">
        <v>3755</v>
      </c>
      <c r="D2566" s="22" t="str">
        <f>HYPERLINK("https://rhld.insurance.arkansas.gov/NPILookup?Npi=1679506547","1679506547")</f>
        <v>1679506547</v>
      </c>
      <c r="E2566" s="1" t="s">
        <v>3824</v>
      </c>
      <c r="F2566" s="2"/>
      <c r="G2566" s="2"/>
      <c r="H2566" s="2"/>
    </row>
    <row r="2567" spans="1:8" x14ac:dyDescent="0.25">
      <c r="A2567" s="1"/>
      <c r="B2567" s="1" t="s">
        <v>3754</v>
      </c>
      <c r="C2567" s="1" t="s">
        <v>3755</v>
      </c>
      <c r="D2567" s="22" t="str">
        <f>HYPERLINK("https://rhld.insurance.arkansas.gov/NPILookup?Npi=1679511026","1679511026")</f>
        <v>1679511026</v>
      </c>
      <c r="E2567" s="1" t="s">
        <v>15885</v>
      </c>
      <c r="F2567" s="2"/>
      <c r="G2567" s="2"/>
      <c r="H2567" s="2"/>
    </row>
    <row r="2568" spans="1:8" x14ac:dyDescent="0.25">
      <c r="A2568" s="1"/>
      <c r="B2568" s="1" t="s">
        <v>3754</v>
      </c>
      <c r="C2568" s="1" t="s">
        <v>3755</v>
      </c>
      <c r="D2568" s="22" t="str">
        <f>HYPERLINK("https://rhld.insurance.arkansas.gov/NPILookup?Npi=1679550818","1679550818")</f>
        <v>1679550818</v>
      </c>
      <c r="E2568" s="1" t="s">
        <v>15886</v>
      </c>
      <c r="F2568" s="2"/>
      <c r="G2568" s="2"/>
      <c r="H2568" s="2"/>
    </row>
    <row r="2569" spans="1:8" x14ac:dyDescent="0.25">
      <c r="A2569" s="1"/>
      <c r="B2569" s="1" t="s">
        <v>3754</v>
      </c>
      <c r="C2569" s="1" t="s">
        <v>3755</v>
      </c>
      <c r="D2569" s="22" t="str">
        <f>HYPERLINK("https://rhld.insurance.arkansas.gov/NPILookup?Npi=1679560288","1679560288")</f>
        <v>1679560288</v>
      </c>
      <c r="E2569" s="1" t="s">
        <v>3499</v>
      </c>
      <c r="F2569" s="2"/>
      <c r="G2569" s="2"/>
      <c r="H2569" s="2"/>
    </row>
    <row r="2570" spans="1:8" x14ac:dyDescent="0.25">
      <c r="A2570" s="1"/>
      <c r="B2570" s="1" t="s">
        <v>3754</v>
      </c>
      <c r="C2570" s="1" t="s">
        <v>3755</v>
      </c>
      <c r="D2570" s="22" t="str">
        <f>HYPERLINK("https://rhld.insurance.arkansas.gov/NPILookup?Npi=1679574255","1679574255")</f>
        <v>1679574255</v>
      </c>
      <c r="E2570" s="1" t="s">
        <v>1329</v>
      </c>
      <c r="F2570" s="2"/>
      <c r="G2570" s="2"/>
      <c r="H2570" s="2"/>
    </row>
    <row r="2571" spans="1:8" x14ac:dyDescent="0.25">
      <c r="A2571" s="1"/>
      <c r="B2571" s="1" t="s">
        <v>3754</v>
      </c>
      <c r="C2571" s="1" t="s">
        <v>3755</v>
      </c>
      <c r="D2571" s="22" t="str">
        <f>HYPERLINK("https://rhld.insurance.arkansas.gov/NPILookup?Npi=1679730329","1679730329")</f>
        <v>1679730329</v>
      </c>
      <c r="E2571" s="1" t="s">
        <v>3825</v>
      </c>
      <c r="F2571" s="2"/>
      <c r="G2571" s="2"/>
      <c r="H2571" s="2"/>
    </row>
    <row r="2572" spans="1:8" x14ac:dyDescent="0.25">
      <c r="A2572" s="1"/>
      <c r="B2572" s="1" t="s">
        <v>3754</v>
      </c>
      <c r="C2572" s="1" t="s">
        <v>3755</v>
      </c>
      <c r="D2572" s="22" t="str">
        <f>HYPERLINK("https://rhld.insurance.arkansas.gov/NPILookup?Npi=1679738538","1679738538")</f>
        <v>1679738538</v>
      </c>
      <c r="E2572" s="1" t="s">
        <v>151</v>
      </c>
      <c r="F2572" s="2"/>
      <c r="G2572" s="2"/>
      <c r="H2572" s="2"/>
    </row>
    <row r="2573" spans="1:8" x14ac:dyDescent="0.25">
      <c r="A2573" s="1"/>
      <c r="B2573" s="1" t="s">
        <v>3754</v>
      </c>
      <c r="C2573" s="1" t="s">
        <v>3755</v>
      </c>
      <c r="D2573" s="22" t="str">
        <f>HYPERLINK("https://rhld.insurance.arkansas.gov/NPILookup?Npi=1679779979","1679779979")</f>
        <v>1679779979</v>
      </c>
      <c r="E2573" s="1" t="s">
        <v>15887</v>
      </c>
      <c r="F2573" s="2"/>
      <c r="G2573" s="2"/>
      <c r="H2573" s="2"/>
    </row>
    <row r="2574" spans="1:8" x14ac:dyDescent="0.25">
      <c r="A2574" s="1"/>
      <c r="B2574" s="1" t="s">
        <v>3754</v>
      </c>
      <c r="C2574" s="1" t="s">
        <v>3755</v>
      </c>
      <c r="D2574" s="22" t="str">
        <f>HYPERLINK("https://rhld.insurance.arkansas.gov/NPILookup?Npi=1679786594","1679786594")</f>
        <v>1679786594</v>
      </c>
      <c r="E2574" s="1" t="s">
        <v>15888</v>
      </c>
      <c r="F2574" s="2"/>
      <c r="G2574" s="2"/>
      <c r="H2574" s="2"/>
    </row>
    <row r="2575" spans="1:8" x14ac:dyDescent="0.25">
      <c r="A2575" s="1"/>
      <c r="B2575" s="1" t="s">
        <v>3754</v>
      </c>
      <c r="C2575" s="1" t="s">
        <v>3755</v>
      </c>
      <c r="D2575" s="22" t="str">
        <f>HYPERLINK("https://rhld.insurance.arkansas.gov/NPILookup?Npi=1679875017","1679875017")</f>
        <v>1679875017</v>
      </c>
      <c r="E2575" s="1" t="s">
        <v>2048</v>
      </c>
      <c r="F2575" s="2"/>
      <c r="G2575" s="2"/>
      <c r="H2575" s="2"/>
    </row>
    <row r="2576" spans="1:8" x14ac:dyDescent="0.25">
      <c r="A2576" s="1"/>
      <c r="B2576" s="1" t="s">
        <v>3754</v>
      </c>
      <c r="C2576" s="1" t="s">
        <v>3755</v>
      </c>
      <c r="D2576" s="22" t="str">
        <f>HYPERLINK("https://rhld.insurance.arkansas.gov/NPILookup?Npi=1679988604","1679988604")</f>
        <v>1679988604</v>
      </c>
      <c r="E2576" s="1" t="s">
        <v>15889</v>
      </c>
      <c r="F2576" s="2"/>
      <c r="G2576" s="2"/>
      <c r="H2576" s="2"/>
    </row>
    <row r="2577" spans="1:8" x14ac:dyDescent="0.25">
      <c r="A2577" s="1"/>
      <c r="B2577" s="1" t="s">
        <v>3754</v>
      </c>
      <c r="C2577" s="1" t="s">
        <v>3755</v>
      </c>
      <c r="D2577" s="22" t="str">
        <f>HYPERLINK("https://rhld.insurance.arkansas.gov/NPILookup?Npi=1689620890","1689620890")</f>
        <v>1689620890</v>
      </c>
      <c r="E2577" s="1" t="s">
        <v>3826</v>
      </c>
      <c r="F2577" s="2"/>
      <c r="G2577" s="2"/>
      <c r="H2577" s="2"/>
    </row>
    <row r="2578" spans="1:8" x14ac:dyDescent="0.25">
      <c r="A2578" s="1"/>
      <c r="B2578" s="1" t="s">
        <v>3754</v>
      </c>
      <c r="C2578" s="1" t="s">
        <v>3755</v>
      </c>
      <c r="D2578" s="22" t="str">
        <f>HYPERLINK("https://rhld.insurance.arkansas.gov/NPILookup?Npi=1689634982","1689634982")</f>
        <v>1689634982</v>
      </c>
      <c r="E2578" s="1" t="s">
        <v>15891</v>
      </c>
      <c r="F2578" s="2"/>
      <c r="G2578" s="2"/>
      <c r="H2578" s="2"/>
    </row>
    <row r="2579" spans="1:8" x14ac:dyDescent="0.25">
      <c r="A2579" s="1"/>
      <c r="B2579" s="1" t="s">
        <v>3754</v>
      </c>
      <c r="C2579" s="1" t="s">
        <v>3755</v>
      </c>
      <c r="D2579" s="22" t="str">
        <f>HYPERLINK("https://rhld.insurance.arkansas.gov/NPILookup?Npi=1689642415","1689642415")</f>
        <v>1689642415</v>
      </c>
      <c r="E2579" s="1" t="s">
        <v>9845</v>
      </c>
      <c r="F2579" s="2"/>
      <c r="G2579" s="2"/>
      <c r="H2579" s="2"/>
    </row>
    <row r="2580" spans="1:8" x14ac:dyDescent="0.25">
      <c r="A2580" s="1"/>
      <c r="B2580" s="1" t="s">
        <v>3754</v>
      </c>
      <c r="C2580" s="1" t="s">
        <v>3755</v>
      </c>
      <c r="D2580" s="22" t="str">
        <f>HYPERLINK("https://rhld.insurance.arkansas.gov/NPILookup?Npi=1689651036","1689651036")</f>
        <v>1689651036</v>
      </c>
      <c r="E2580" s="1" t="s">
        <v>15892</v>
      </c>
      <c r="F2580" s="2"/>
      <c r="G2580" s="2"/>
      <c r="H2580" s="2"/>
    </row>
    <row r="2581" spans="1:8" x14ac:dyDescent="0.25">
      <c r="A2581" s="1"/>
      <c r="B2581" s="1" t="s">
        <v>3754</v>
      </c>
      <c r="C2581" s="1" t="s">
        <v>3755</v>
      </c>
      <c r="D2581" s="22" t="str">
        <f>HYPERLINK("https://rhld.insurance.arkansas.gov/NPILookup?Npi=1689822678","1689822678")</f>
        <v>1689822678</v>
      </c>
      <c r="E2581" s="1" t="s">
        <v>3500</v>
      </c>
      <c r="F2581" s="2"/>
      <c r="G2581" s="2"/>
      <c r="H2581" s="2"/>
    </row>
    <row r="2582" spans="1:8" x14ac:dyDescent="0.25">
      <c r="A2582" s="1"/>
      <c r="B2582" s="1" t="s">
        <v>3754</v>
      </c>
      <c r="C2582" s="1" t="s">
        <v>3755</v>
      </c>
      <c r="D2582" s="22" t="str">
        <f>HYPERLINK("https://rhld.insurance.arkansas.gov/NPILookup?Npi=1689874166","1689874166")</f>
        <v>1689874166</v>
      </c>
      <c r="E2582" s="1" t="s">
        <v>978</v>
      </c>
      <c r="F2582" s="2"/>
      <c r="G2582" s="2"/>
      <c r="H2582" s="2"/>
    </row>
    <row r="2583" spans="1:8" x14ac:dyDescent="0.25">
      <c r="A2583" s="1"/>
      <c r="B2583" s="1" t="s">
        <v>3754</v>
      </c>
      <c r="C2583" s="1" t="s">
        <v>3755</v>
      </c>
      <c r="D2583" s="22" t="str">
        <f>HYPERLINK("https://rhld.insurance.arkansas.gov/NPILookup?Npi=1689893919","1689893919")</f>
        <v>1689893919</v>
      </c>
      <c r="E2583" s="1" t="s">
        <v>15893</v>
      </c>
      <c r="F2583" s="2"/>
      <c r="G2583" s="2"/>
      <c r="H2583" s="2"/>
    </row>
    <row r="2584" spans="1:8" x14ac:dyDescent="0.25">
      <c r="A2584" s="1"/>
      <c r="B2584" s="1" t="s">
        <v>3754</v>
      </c>
      <c r="C2584" s="1" t="s">
        <v>3755</v>
      </c>
      <c r="D2584" s="22" t="str">
        <f>HYPERLINK("https://rhld.insurance.arkansas.gov/NPILookup?Npi=1689917163","1689917163")</f>
        <v>1689917163</v>
      </c>
      <c r="E2584" s="1" t="s">
        <v>2404</v>
      </c>
      <c r="F2584" s="2"/>
      <c r="G2584" s="2"/>
      <c r="H2584" s="2"/>
    </row>
    <row r="2585" spans="1:8" x14ac:dyDescent="0.25">
      <c r="A2585" s="1"/>
      <c r="B2585" s="1" t="s">
        <v>3754</v>
      </c>
      <c r="C2585" s="1" t="s">
        <v>3755</v>
      </c>
      <c r="D2585" s="22" t="str">
        <f>HYPERLINK("https://rhld.insurance.arkansas.gov/NPILookup?Npi=1689937781","1689937781")</f>
        <v>1689937781</v>
      </c>
      <c r="E2585" s="1" t="s">
        <v>15894</v>
      </c>
      <c r="F2585" s="2"/>
      <c r="G2585" s="2"/>
      <c r="H2585" s="2"/>
    </row>
    <row r="2586" spans="1:8" x14ac:dyDescent="0.25">
      <c r="A2586" s="1"/>
      <c r="B2586" s="1" t="s">
        <v>3754</v>
      </c>
      <c r="C2586" s="1" t="s">
        <v>3755</v>
      </c>
      <c r="D2586" s="22" t="str">
        <f>HYPERLINK("https://rhld.insurance.arkansas.gov/NPILookup?Npi=1699114330","1699114330")</f>
        <v>1699114330</v>
      </c>
      <c r="E2586" s="1" t="s">
        <v>3501</v>
      </c>
      <c r="F2586" s="2"/>
      <c r="G2586" s="2"/>
      <c r="H2586" s="2"/>
    </row>
    <row r="2587" spans="1:8" x14ac:dyDescent="0.25">
      <c r="A2587" s="1"/>
      <c r="B2587" s="1" t="s">
        <v>3754</v>
      </c>
      <c r="C2587" s="1" t="s">
        <v>3755</v>
      </c>
      <c r="D2587" s="22" t="str">
        <f>HYPERLINK("https://rhld.insurance.arkansas.gov/NPILookup?Npi=1699724294","1699724294")</f>
        <v>1699724294</v>
      </c>
      <c r="E2587" s="1" t="s">
        <v>15895</v>
      </c>
      <c r="F2587" s="2"/>
      <c r="G2587" s="2"/>
      <c r="H2587" s="2"/>
    </row>
    <row r="2588" spans="1:8" x14ac:dyDescent="0.25">
      <c r="A2588" s="1"/>
      <c r="B2588" s="1" t="s">
        <v>3754</v>
      </c>
      <c r="C2588" s="1" t="s">
        <v>3755</v>
      </c>
      <c r="D2588" s="22" t="str">
        <f>HYPERLINK("https://rhld.insurance.arkansas.gov/NPILookup?Npi=1699740035","1699740035")</f>
        <v>1699740035</v>
      </c>
      <c r="E2588" s="1" t="s">
        <v>9846</v>
      </c>
      <c r="F2588" s="2"/>
      <c r="G2588" s="2"/>
      <c r="H2588" s="2"/>
    </row>
    <row r="2589" spans="1:8" x14ac:dyDescent="0.25">
      <c r="A2589" s="1"/>
      <c r="B2589" s="1" t="s">
        <v>3754</v>
      </c>
      <c r="C2589" s="1" t="s">
        <v>3755</v>
      </c>
      <c r="D2589" s="22" t="str">
        <f>HYPERLINK("https://rhld.insurance.arkansas.gov/NPILookup?Npi=1699745026","1699745026")</f>
        <v>1699745026</v>
      </c>
      <c r="E2589" s="1" t="s">
        <v>3827</v>
      </c>
      <c r="F2589" s="2"/>
      <c r="G2589" s="2"/>
      <c r="H2589" s="2"/>
    </row>
    <row r="2590" spans="1:8" x14ac:dyDescent="0.25">
      <c r="A2590" s="1"/>
      <c r="B2590" s="1" t="s">
        <v>3754</v>
      </c>
      <c r="C2590" s="1" t="s">
        <v>3755</v>
      </c>
      <c r="D2590" s="22" t="str">
        <f>HYPERLINK("https://rhld.insurance.arkansas.gov/NPILookup?Npi=1699748806","1699748806")</f>
        <v>1699748806</v>
      </c>
      <c r="E2590" s="1" t="s">
        <v>15896</v>
      </c>
      <c r="F2590" s="2"/>
      <c r="G2590" s="2"/>
      <c r="H2590" s="2"/>
    </row>
    <row r="2591" spans="1:8" x14ac:dyDescent="0.25">
      <c r="A2591" s="1"/>
      <c r="B2591" s="1" t="s">
        <v>3754</v>
      </c>
      <c r="C2591" s="1" t="s">
        <v>3755</v>
      </c>
      <c r="D2591" s="22" t="str">
        <f>HYPERLINK("https://rhld.insurance.arkansas.gov/NPILookup?Npi=1699770271","1699770271")</f>
        <v>1699770271</v>
      </c>
      <c r="E2591" s="1" t="s">
        <v>9847</v>
      </c>
      <c r="F2591" s="2"/>
      <c r="G2591" s="2"/>
      <c r="H2591" s="2"/>
    </row>
    <row r="2592" spans="1:8" x14ac:dyDescent="0.25">
      <c r="A2592" s="1"/>
      <c r="B2592" s="1" t="s">
        <v>3754</v>
      </c>
      <c r="C2592" s="1" t="s">
        <v>3755</v>
      </c>
      <c r="D2592" s="22" t="str">
        <f>HYPERLINK("https://rhld.insurance.arkansas.gov/NPILookup?Npi=1699776104","1699776104")</f>
        <v>1699776104</v>
      </c>
      <c r="E2592" s="1" t="s">
        <v>15897</v>
      </c>
      <c r="F2592" s="2"/>
      <c r="G2592" s="2"/>
      <c r="H2592" s="2"/>
    </row>
    <row r="2593" spans="1:8" x14ac:dyDescent="0.25">
      <c r="A2593" s="1"/>
      <c r="B2593" s="1" t="s">
        <v>3754</v>
      </c>
      <c r="C2593" s="1" t="s">
        <v>3755</v>
      </c>
      <c r="D2593" s="22" t="str">
        <f>HYPERLINK("https://rhld.insurance.arkansas.gov/NPILookup?Npi=1699776195","1699776195")</f>
        <v>1699776195</v>
      </c>
      <c r="E2593" s="1" t="s">
        <v>15898</v>
      </c>
      <c r="F2593" s="2"/>
      <c r="G2593" s="2"/>
      <c r="H2593" s="2"/>
    </row>
    <row r="2594" spans="1:8" x14ac:dyDescent="0.25">
      <c r="A2594" s="1"/>
      <c r="B2594" s="1" t="s">
        <v>3754</v>
      </c>
      <c r="C2594" s="1" t="s">
        <v>3755</v>
      </c>
      <c r="D2594" s="22" t="str">
        <f>HYPERLINK("https://rhld.insurance.arkansas.gov/NPILookup?Npi=1699779314","1699779314")</f>
        <v>1699779314</v>
      </c>
      <c r="E2594" s="1" t="s">
        <v>15899</v>
      </c>
      <c r="F2594" s="2"/>
      <c r="G2594" s="2"/>
      <c r="H2594" s="2"/>
    </row>
    <row r="2595" spans="1:8" x14ac:dyDescent="0.25">
      <c r="A2595" s="1"/>
      <c r="B2595" s="1" t="s">
        <v>3754</v>
      </c>
      <c r="C2595" s="1" t="s">
        <v>3755</v>
      </c>
      <c r="D2595" s="22" t="str">
        <f>HYPERLINK("https://rhld.insurance.arkansas.gov/NPILookup?Npi=1699865857","1699865857")</f>
        <v>1699865857</v>
      </c>
      <c r="E2595" s="1" t="s">
        <v>9848</v>
      </c>
      <c r="F2595" s="2"/>
      <c r="G2595" s="2"/>
      <c r="H2595" s="2"/>
    </row>
    <row r="2596" spans="1:8" x14ac:dyDescent="0.25">
      <c r="A2596" s="1"/>
      <c r="B2596" s="1" t="s">
        <v>3754</v>
      </c>
      <c r="C2596" s="1" t="s">
        <v>3755</v>
      </c>
      <c r="D2596" s="22" t="str">
        <f>HYPERLINK("https://rhld.insurance.arkansas.gov/NPILookup?Npi=1699983635","1699983635")</f>
        <v>1699983635</v>
      </c>
      <c r="E2596" s="1" t="s">
        <v>9849</v>
      </c>
      <c r="F2596" s="2"/>
      <c r="G2596" s="2"/>
      <c r="H2596" s="2"/>
    </row>
    <row r="2597" spans="1:8" x14ac:dyDescent="0.25">
      <c r="A2597" s="1"/>
      <c r="B2597" s="1" t="s">
        <v>3754</v>
      </c>
      <c r="C2597" s="1" t="s">
        <v>3755</v>
      </c>
      <c r="D2597" s="22" t="str">
        <f>HYPERLINK("https://rhld.insurance.arkansas.gov/NPILookup?Npi=1700020872","1700020872")</f>
        <v>1700020872</v>
      </c>
      <c r="E2597" s="1" t="s">
        <v>9850</v>
      </c>
      <c r="F2597" s="2"/>
      <c r="G2597" s="2"/>
      <c r="H2597" s="2"/>
    </row>
    <row r="2598" spans="1:8" x14ac:dyDescent="0.25">
      <c r="A2598" s="1"/>
      <c r="B2598" s="1" t="s">
        <v>3754</v>
      </c>
      <c r="C2598" s="1" t="s">
        <v>3755</v>
      </c>
      <c r="D2598" s="22" t="str">
        <f>HYPERLINK("https://rhld.insurance.arkansas.gov/NPILookup?Npi=1700226768","1700226768")</f>
        <v>1700226768</v>
      </c>
      <c r="E2598" s="1" t="s">
        <v>15900</v>
      </c>
      <c r="F2598" s="2"/>
      <c r="G2598" s="2"/>
      <c r="H2598" s="2"/>
    </row>
    <row r="2599" spans="1:8" x14ac:dyDescent="0.25">
      <c r="A2599" s="1"/>
      <c r="B2599" s="1" t="s">
        <v>3754</v>
      </c>
      <c r="C2599" s="1" t="s">
        <v>3755</v>
      </c>
      <c r="D2599" s="22" t="str">
        <f>HYPERLINK("https://rhld.insurance.arkansas.gov/NPILookup?Npi=1700229515","1700229515")</f>
        <v>1700229515</v>
      </c>
      <c r="E2599" s="1" t="s">
        <v>15901</v>
      </c>
      <c r="F2599" s="2"/>
      <c r="G2599" s="2"/>
      <c r="H2599" s="2"/>
    </row>
    <row r="2600" spans="1:8" x14ac:dyDescent="0.25">
      <c r="A2600" s="1"/>
      <c r="B2600" s="1" t="s">
        <v>3754</v>
      </c>
      <c r="C2600" s="1" t="s">
        <v>3755</v>
      </c>
      <c r="D2600" s="22" t="str">
        <f>HYPERLINK("https://rhld.insurance.arkansas.gov/NPILookup?Npi=1700237880","1700237880")</f>
        <v>1700237880</v>
      </c>
      <c r="E2600" s="1" t="s">
        <v>15902</v>
      </c>
      <c r="F2600" s="2"/>
      <c r="G2600" s="2"/>
      <c r="H2600" s="2"/>
    </row>
    <row r="2601" spans="1:8" x14ac:dyDescent="0.25">
      <c r="A2601" s="1"/>
      <c r="B2601" s="1" t="s">
        <v>3754</v>
      </c>
      <c r="C2601" s="1" t="s">
        <v>3755</v>
      </c>
      <c r="D2601" s="22" t="str">
        <f>HYPERLINK("https://rhld.insurance.arkansas.gov/NPILookup?Npi=1700267713","1700267713")</f>
        <v>1700267713</v>
      </c>
      <c r="E2601" s="1" t="s">
        <v>15903</v>
      </c>
      <c r="F2601" s="2"/>
      <c r="G2601" s="2"/>
      <c r="H2601" s="2"/>
    </row>
    <row r="2602" spans="1:8" x14ac:dyDescent="0.25">
      <c r="A2602" s="1"/>
      <c r="B2602" s="1" t="s">
        <v>3754</v>
      </c>
      <c r="C2602" s="1" t="s">
        <v>3755</v>
      </c>
      <c r="D2602" s="22" t="str">
        <f>HYPERLINK("https://rhld.insurance.arkansas.gov/NPILookup?Npi=1700269768","1700269768")</f>
        <v>1700269768</v>
      </c>
      <c r="E2602" s="1" t="s">
        <v>15904</v>
      </c>
      <c r="F2602" s="2"/>
      <c r="G2602" s="2"/>
      <c r="H2602" s="2"/>
    </row>
    <row r="2603" spans="1:8" x14ac:dyDescent="0.25">
      <c r="A2603" s="1"/>
      <c r="B2603" s="1" t="s">
        <v>3754</v>
      </c>
      <c r="C2603" s="1" t="s">
        <v>3755</v>
      </c>
      <c r="D2603" s="22" t="str">
        <f>HYPERLINK("https://rhld.insurance.arkansas.gov/NPILookup?Npi=1700833902","1700833902")</f>
        <v>1700833902</v>
      </c>
      <c r="E2603" s="1" t="s">
        <v>3828</v>
      </c>
      <c r="F2603" s="2"/>
      <c r="G2603" s="2"/>
      <c r="H2603" s="2"/>
    </row>
    <row r="2604" spans="1:8" x14ac:dyDescent="0.25">
      <c r="A2604" s="1"/>
      <c r="B2604" s="1" t="s">
        <v>3754</v>
      </c>
      <c r="C2604" s="1" t="s">
        <v>3755</v>
      </c>
      <c r="D2604" s="22" t="str">
        <f>HYPERLINK("https://rhld.insurance.arkansas.gov/NPILookup?Npi=1700845427","1700845427")</f>
        <v>1700845427</v>
      </c>
      <c r="E2604" s="1" t="s">
        <v>15905</v>
      </c>
      <c r="F2604" s="2"/>
      <c r="G2604" s="2"/>
      <c r="H2604" s="2"/>
    </row>
    <row r="2605" spans="1:8" x14ac:dyDescent="0.25">
      <c r="A2605" s="1"/>
      <c r="B2605" s="1" t="s">
        <v>3754</v>
      </c>
      <c r="C2605" s="1" t="s">
        <v>3755</v>
      </c>
      <c r="D2605" s="22" t="str">
        <f>HYPERLINK("https://rhld.insurance.arkansas.gov/NPILookup?Npi=1700855921","1700855921")</f>
        <v>1700855921</v>
      </c>
      <c r="E2605" s="1" t="s">
        <v>15906</v>
      </c>
      <c r="F2605" s="2"/>
      <c r="G2605" s="2"/>
      <c r="H2605" s="2"/>
    </row>
    <row r="2606" spans="1:8" x14ac:dyDescent="0.25">
      <c r="A2606" s="1"/>
      <c r="B2606" s="1" t="s">
        <v>3754</v>
      </c>
      <c r="C2606" s="1" t="s">
        <v>3755</v>
      </c>
      <c r="D2606" s="22" t="str">
        <f>HYPERLINK("https://rhld.insurance.arkansas.gov/NPILookup?Npi=1700895497","1700895497")</f>
        <v>1700895497</v>
      </c>
      <c r="E2606" s="1" t="s">
        <v>9851</v>
      </c>
      <c r="F2606" s="2"/>
      <c r="G2606" s="2"/>
      <c r="H2606" s="2"/>
    </row>
    <row r="2607" spans="1:8" x14ac:dyDescent="0.25">
      <c r="A2607" s="1"/>
      <c r="B2607" s="1" t="s">
        <v>3754</v>
      </c>
      <c r="C2607" s="1" t="s">
        <v>3755</v>
      </c>
      <c r="D2607" s="22" t="str">
        <f>HYPERLINK("https://rhld.insurance.arkansas.gov/NPILookup?Npi=1710032008","1710032008")</f>
        <v>1710032008</v>
      </c>
      <c r="E2607" s="1" t="s">
        <v>15907</v>
      </c>
      <c r="F2607" s="2"/>
      <c r="G2607" s="2"/>
      <c r="H2607" s="2"/>
    </row>
    <row r="2608" spans="1:8" x14ac:dyDescent="0.25">
      <c r="A2608" s="1"/>
      <c r="B2608" s="1" t="s">
        <v>3754</v>
      </c>
      <c r="C2608" s="1" t="s">
        <v>3755</v>
      </c>
      <c r="D2608" s="22" t="str">
        <f>HYPERLINK("https://rhld.insurance.arkansas.gov/NPILookup?Npi=1710076708","1710076708")</f>
        <v>1710076708</v>
      </c>
      <c r="E2608" s="1" t="s">
        <v>9852</v>
      </c>
      <c r="F2608" s="2"/>
      <c r="G2608" s="2"/>
      <c r="H2608" s="2"/>
    </row>
    <row r="2609" spans="1:8" x14ac:dyDescent="0.25">
      <c r="A2609" s="1"/>
      <c r="B2609" s="1" t="s">
        <v>3754</v>
      </c>
      <c r="C2609" s="1" t="s">
        <v>3755</v>
      </c>
      <c r="D2609" s="22" t="str">
        <f>HYPERLINK("https://rhld.insurance.arkansas.gov/NPILookup?Npi=1710151204","1710151204")</f>
        <v>1710151204</v>
      </c>
      <c r="E2609" s="1" t="s">
        <v>15908</v>
      </c>
      <c r="F2609" s="2"/>
      <c r="G2609" s="2"/>
      <c r="H2609" s="2"/>
    </row>
    <row r="2610" spans="1:8" x14ac:dyDescent="0.25">
      <c r="A2610" s="1"/>
      <c r="B2610" s="1" t="s">
        <v>3754</v>
      </c>
      <c r="C2610" s="1" t="s">
        <v>3755</v>
      </c>
      <c r="D2610" s="22" t="str">
        <f>HYPERLINK("https://rhld.insurance.arkansas.gov/NPILookup?Npi=1710922125","1710922125")</f>
        <v>1710922125</v>
      </c>
      <c r="E2610" s="1" t="s">
        <v>15909</v>
      </c>
      <c r="F2610" s="2"/>
      <c r="G2610" s="2"/>
      <c r="H2610" s="2"/>
    </row>
    <row r="2611" spans="1:8" x14ac:dyDescent="0.25">
      <c r="A2611" s="1"/>
      <c r="B2611" s="1" t="s">
        <v>3754</v>
      </c>
      <c r="C2611" s="1" t="s">
        <v>3755</v>
      </c>
      <c r="D2611" s="22" t="str">
        <f>HYPERLINK("https://rhld.insurance.arkansas.gov/NPILookup?Npi=1710934153","1710934153")</f>
        <v>1710934153</v>
      </c>
      <c r="E2611" s="1" t="s">
        <v>15910</v>
      </c>
      <c r="F2611" s="2"/>
      <c r="G2611" s="2"/>
      <c r="H2611" s="2"/>
    </row>
    <row r="2612" spans="1:8" x14ac:dyDescent="0.25">
      <c r="A2612" s="1"/>
      <c r="B2612" s="1" t="s">
        <v>3754</v>
      </c>
      <c r="C2612" s="1" t="s">
        <v>3755</v>
      </c>
      <c r="D2612" s="22" t="str">
        <f>HYPERLINK("https://rhld.insurance.arkansas.gov/NPILookup?Npi=1710970637","1710970637")</f>
        <v>1710970637</v>
      </c>
      <c r="E2612" s="1" t="s">
        <v>3503</v>
      </c>
      <c r="F2612" s="2"/>
      <c r="G2612" s="2"/>
      <c r="H2612" s="2"/>
    </row>
    <row r="2613" spans="1:8" x14ac:dyDescent="0.25">
      <c r="A2613" s="1"/>
      <c r="B2613" s="1" t="s">
        <v>3754</v>
      </c>
      <c r="C2613" s="1" t="s">
        <v>3755</v>
      </c>
      <c r="D2613" s="22" t="str">
        <f>HYPERLINK("https://rhld.insurance.arkansas.gov/NPILookup?Npi=1720003031","1720003031")</f>
        <v>1720003031</v>
      </c>
      <c r="E2613" s="1" t="s">
        <v>15911</v>
      </c>
      <c r="F2613" s="2"/>
      <c r="G2613" s="2"/>
      <c r="H2613" s="2"/>
    </row>
    <row r="2614" spans="1:8" x14ac:dyDescent="0.25">
      <c r="A2614" s="1"/>
      <c r="B2614" s="1" t="s">
        <v>3754</v>
      </c>
      <c r="C2614" s="1" t="s">
        <v>3755</v>
      </c>
      <c r="D2614" s="22" t="str">
        <f>HYPERLINK("https://rhld.insurance.arkansas.gov/NPILookup?Npi=1720018179","1720018179")</f>
        <v>1720018179</v>
      </c>
      <c r="E2614" s="1" t="s">
        <v>15912</v>
      </c>
      <c r="F2614" s="2"/>
      <c r="G2614" s="2"/>
      <c r="H2614" s="2"/>
    </row>
    <row r="2615" spans="1:8" x14ac:dyDescent="0.25">
      <c r="A2615" s="1"/>
      <c r="B2615" s="1" t="s">
        <v>3754</v>
      </c>
      <c r="C2615" s="1" t="s">
        <v>3755</v>
      </c>
      <c r="D2615" s="22" t="str">
        <f>HYPERLINK("https://rhld.insurance.arkansas.gov/NPILookup?Npi=1720034317","1720034317")</f>
        <v>1720034317</v>
      </c>
      <c r="E2615" s="1" t="s">
        <v>15913</v>
      </c>
      <c r="F2615" s="2"/>
      <c r="G2615" s="2"/>
      <c r="H2615" s="2"/>
    </row>
    <row r="2616" spans="1:8" x14ac:dyDescent="0.25">
      <c r="A2616" s="1"/>
      <c r="B2616" s="1" t="s">
        <v>3754</v>
      </c>
      <c r="C2616" s="1" t="s">
        <v>3755</v>
      </c>
      <c r="D2616" s="22" t="str">
        <f>HYPERLINK("https://rhld.insurance.arkansas.gov/NPILookup?Npi=1720072176","1720072176")</f>
        <v>1720072176</v>
      </c>
      <c r="E2616" s="1" t="s">
        <v>15914</v>
      </c>
      <c r="F2616" s="2"/>
      <c r="G2616" s="2"/>
      <c r="H2616" s="2"/>
    </row>
    <row r="2617" spans="1:8" x14ac:dyDescent="0.25">
      <c r="A2617" s="1"/>
      <c r="B2617" s="1" t="s">
        <v>3754</v>
      </c>
      <c r="C2617" s="1" t="s">
        <v>3755</v>
      </c>
      <c r="D2617" s="22" t="str">
        <f>HYPERLINK("https://rhld.insurance.arkansas.gov/NPILookup?Npi=1720088297","1720088297")</f>
        <v>1720088297</v>
      </c>
      <c r="E2617" s="1" t="s">
        <v>15915</v>
      </c>
      <c r="F2617" s="2"/>
      <c r="G2617" s="2"/>
      <c r="H2617" s="2"/>
    </row>
    <row r="2618" spans="1:8" x14ac:dyDescent="0.25">
      <c r="A2618" s="1"/>
      <c r="B2618" s="1" t="s">
        <v>3754</v>
      </c>
      <c r="C2618" s="1" t="s">
        <v>3755</v>
      </c>
      <c r="D2618" s="22" t="str">
        <f>HYPERLINK("https://rhld.insurance.arkansas.gov/NPILookup?Npi=1720104516","1720104516")</f>
        <v>1720104516</v>
      </c>
      <c r="E2618" s="1" t="s">
        <v>9853</v>
      </c>
      <c r="F2618" s="2"/>
      <c r="G2618" s="2"/>
      <c r="H2618" s="2"/>
    </row>
    <row r="2619" spans="1:8" x14ac:dyDescent="0.25">
      <c r="A2619" s="1"/>
      <c r="B2619" s="1" t="s">
        <v>3754</v>
      </c>
      <c r="C2619" s="1" t="s">
        <v>3755</v>
      </c>
      <c r="D2619" s="22" t="str">
        <f>HYPERLINK("https://rhld.insurance.arkansas.gov/NPILookup?Npi=1720109598","1720109598")</f>
        <v>1720109598</v>
      </c>
      <c r="E2619" s="1" t="s">
        <v>1446</v>
      </c>
      <c r="F2619" s="2"/>
      <c r="G2619" s="2"/>
      <c r="H2619" s="2"/>
    </row>
    <row r="2620" spans="1:8" x14ac:dyDescent="0.25">
      <c r="A2620" s="1"/>
      <c r="B2620" s="1" t="s">
        <v>3754</v>
      </c>
      <c r="C2620" s="1" t="s">
        <v>3755</v>
      </c>
      <c r="D2620" s="22" t="str">
        <f>HYPERLINK("https://rhld.insurance.arkansas.gov/NPILookup?Npi=1720180433","1720180433")</f>
        <v>1720180433</v>
      </c>
      <c r="E2620" s="1" t="s">
        <v>15916</v>
      </c>
      <c r="F2620" s="2"/>
      <c r="G2620" s="2"/>
      <c r="H2620" s="2"/>
    </row>
    <row r="2621" spans="1:8" x14ac:dyDescent="0.25">
      <c r="A2621" s="1"/>
      <c r="B2621" s="1" t="s">
        <v>3754</v>
      </c>
      <c r="C2621" s="1" t="s">
        <v>3755</v>
      </c>
      <c r="D2621" s="22" t="str">
        <f>HYPERLINK("https://rhld.insurance.arkansas.gov/NPILookup?Npi=1720247802","1720247802")</f>
        <v>1720247802</v>
      </c>
      <c r="E2621" s="1" t="s">
        <v>15917</v>
      </c>
      <c r="F2621" s="2"/>
      <c r="G2621" s="2"/>
      <c r="H2621" s="2"/>
    </row>
    <row r="2622" spans="1:8" x14ac:dyDescent="0.25">
      <c r="A2622" s="1"/>
      <c r="B2622" s="1" t="s">
        <v>3754</v>
      </c>
      <c r="C2622" s="1" t="s">
        <v>3755</v>
      </c>
      <c r="D2622" s="22" t="str">
        <f>HYPERLINK("https://rhld.insurance.arkansas.gov/NPILookup?Npi=1720294440","1720294440")</f>
        <v>1720294440</v>
      </c>
      <c r="E2622" s="1" t="s">
        <v>3829</v>
      </c>
      <c r="F2622" s="2"/>
      <c r="G2622" s="2"/>
      <c r="H2622" s="2"/>
    </row>
    <row r="2623" spans="1:8" x14ac:dyDescent="0.25">
      <c r="A2623" s="1"/>
      <c r="B2623" s="1" t="s">
        <v>3754</v>
      </c>
      <c r="C2623" s="1" t="s">
        <v>3755</v>
      </c>
      <c r="D2623" s="22" t="str">
        <f>HYPERLINK("https://rhld.insurance.arkansas.gov/NPILookup?Npi=1720296940","1720296940")</f>
        <v>1720296940</v>
      </c>
      <c r="E2623" s="1" t="s">
        <v>15918</v>
      </c>
      <c r="F2623" s="2"/>
      <c r="G2623" s="2"/>
      <c r="H2623" s="2"/>
    </row>
    <row r="2624" spans="1:8" x14ac:dyDescent="0.25">
      <c r="A2624" s="1"/>
      <c r="B2624" s="1" t="s">
        <v>3754</v>
      </c>
      <c r="C2624" s="1" t="s">
        <v>3755</v>
      </c>
      <c r="D2624" s="22" t="str">
        <f>HYPERLINK("https://rhld.insurance.arkansas.gov/NPILookup?Npi=1720390578","1720390578")</f>
        <v>1720390578</v>
      </c>
      <c r="E2624" s="1" t="s">
        <v>3830</v>
      </c>
      <c r="F2624" s="2"/>
      <c r="G2624" s="2"/>
      <c r="H2624" s="2"/>
    </row>
    <row r="2625" spans="1:8" x14ac:dyDescent="0.25">
      <c r="A2625" s="1"/>
      <c r="B2625" s="1" t="s">
        <v>3754</v>
      </c>
      <c r="C2625" s="1" t="s">
        <v>3755</v>
      </c>
      <c r="D2625" s="22" t="str">
        <f>HYPERLINK("https://rhld.insurance.arkansas.gov/NPILookup?Npi=1730130956","1730130956")</f>
        <v>1730130956</v>
      </c>
      <c r="E2625" s="1" t="s">
        <v>3831</v>
      </c>
      <c r="F2625" s="2"/>
      <c r="G2625" s="2"/>
      <c r="H2625" s="2"/>
    </row>
    <row r="2626" spans="1:8" x14ac:dyDescent="0.25">
      <c r="A2626" s="1"/>
      <c r="B2626" s="1" t="s">
        <v>3754</v>
      </c>
      <c r="C2626" s="1" t="s">
        <v>3755</v>
      </c>
      <c r="D2626" s="22" t="str">
        <f>HYPERLINK("https://rhld.insurance.arkansas.gov/NPILookup?Npi=1730133448","1730133448")</f>
        <v>1730133448</v>
      </c>
      <c r="E2626" s="1" t="s">
        <v>9854</v>
      </c>
      <c r="F2626" s="2"/>
      <c r="G2626" s="2"/>
      <c r="H2626" s="2"/>
    </row>
    <row r="2627" spans="1:8" x14ac:dyDescent="0.25">
      <c r="A2627" s="1"/>
      <c r="B2627" s="1" t="s">
        <v>3754</v>
      </c>
      <c r="C2627" s="1" t="s">
        <v>3755</v>
      </c>
      <c r="D2627" s="22" t="str">
        <f>HYPERLINK("https://rhld.insurance.arkansas.gov/NPILookup?Npi=1730278664","1730278664")</f>
        <v>1730278664</v>
      </c>
      <c r="E2627" s="1" t="s">
        <v>15919</v>
      </c>
      <c r="F2627" s="2"/>
      <c r="G2627" s="2"/>
      <c r="H2627" s="2"/>
    </row>
    <row r="2628" spans="1:8" x14ac:dyDescent="0.25">
      <c r="A2628" s="1"/>
      <c r="B2628" s="1" t="s">
        <v>3754</v>
      </c>
      <c r="C2628" s="1" t="s">
        <v>3755</v>
      </c>
      <c r="D2628" s="22" t="str">
        <f>HYPERLINK("https://rhld.insurance.arkansas.gov/NPILookup?Npi=1730404120","1730404120")</f>
        <v>1730404120</v>
      </c>
      <c r="E2628" s="1" t="s">
        <v>3504</v>
      </c>
      <c r="F2628" s="2"/>
      <c r="G2628" s="2"/>
      <c r="H2628" s="2"/>
    </row>
    <row r="2629" spans="1:8" x14ac:dyDescent="0.25">
      <c r="A2629" s="1"/>
      <c r="B2629" s="1" t="s">
        <v>3754</v>
      </c>
      <c r="C2629" s="1" t="s">
        <v>3755</v>
      </c>
      <c r="D2629" s="22" t="str">
        <f>HYPERLINK("https://rhld.insurance.arkansas.gov/NPILookup?Npi=1740216514","1740216514")</f>
        <v>1740216514</v>
      </c>
      <c r="E2629" s="1" t="s">
        <v>3505</v>
      </c>
      <c r="F2629" s="2"/>
      <c r="G2629" s="2"/>
      <c r="H2629" s="2"/>
    </row>
    <row r="2630" spans="1:8" x14ac:dyDescent="0.25">
      <c r="A2630" s="1"/>
      <c r="B2630" s="1" t="s">
        <v>3754</v>
      </c>
      <c r="C2630" s="1" t="s">
        <v>3755</v>
      </c>
      <c r="D2630" s="22" t="str">
        <f>HYPERLINK("https://rhld.insurance.arkansas.gov/NPILookup?Npi=1740266998","1740266998")</f>
        <v>1740266998</v>
      </c>
      <c r="E2630" s="1" t="s">
        <v>9855</v>
      </c>
      <c r="F2630" s="2"/>
      <c r="G2630" s="2"/>
      <c r="H2630" s="2"/>
    </row>
    <row r="2631" spans="1:8" x14ac:dyDescent="0.25">
      <c r="A2631" s="1"/>
      <c r="B2631" s="1" t="s">
        <v>3754</v>
      </c>
      <c r="C2631" s="1" t="s">
        <v>3755</v>
      </c>
      <c r="D2631" s="22" t="str">
        <f>HYPERLINK("https://rhld.insurance.arkansas.gov/NPILookup?Npi=1740273184","1740273184")</f>
        <v>1740273184</v>
      </c>
      <c r="E2631" s="1" t="s">
        <v>707</v>
      </c>
      <c r="F2631" s="2"/>
      <c r="G2631" s="2"/>
      <c r="H2631" s="2"/>
    </row>
    <row r="2632" spans="1:8" x14ac:dyDescent="0.25">
      <c r="A2632" s="1"/>
      <c r="B2632" s="1" t="s">
        <v>3754</v>
      </c>
      <c r="C2632" s="1" t="s">
        <v>3755</v>
      </c>
      <c r="D2632" s="22" t="str">
        <f>HYPERLINK("https://rhld.insurance.arkansas.gov/NPILookup?Npi=1740621457","1740621457")</f>
        <v>1740621457</v>
      </c>
      <c r="E2632" s="1" t="s">
        <v>9856</v>
      </c>
      <c r="F2632" s="2"/>
      <c r="G2632" s="2"/>
      <c r="H2632" s="2"/>
    </row>
    <row r="2633" spans="1:8" x14ac:dyDescent="0.25">
      <c r="A2633" s="1"/>
      <c r="B2633" s="1" t="s">
        <v>3754</v>
      </c>
      <c r="C2633" s="1" t="s">
        <v>3755</v>
      </c>
      <c r="D2633" s="22" t="str">
        <f>HYPERLINK("https://rhld.insurance.arkansas.gov/NPILookup?Npi=1740721950","1740721950")</f>
        <v>1740721950</v>
      </c>
      <c r="E2633" s="1" t="s">
        <v>15920</v>
      </c>
      <c r="F2633" s="2"/>
      <c r="G2633" s="2"/>
      <c r="H2633" s="2"/>
    </row>
    <row r="2634" spans="1:8" x14ac:dyDescent="0.25">
      <c r="A2634" s="1"/>
      <c r="B2634" s="1" t="s">
        <v>3754</v>
      </c>
      <c r="C2634" s="1" t="s">
        <v>3755</v>
      </c>
      <c r="D2634" s="22" t="str">
        <f>HYPERLINK("https://rhld.insurance.arkansas.gov/NPILookup?Npi=1750355103","1750355103")</f>
        <v>1750355103</v>
      </c>
      <c r="E2634" s="1" t="s">
        <v>15921</v>
      </c>
      <c r="F2634" s="2"/>
      <c r="G2634" s="2"/>
      <c r="H2634" s="2"/>
    </row>
    <row r="2635" spans="1:8" x14ac:dyDescent="0.25">
      <c r="A2635" s="1"/>
      <c r="B2635" s="1" t="s">
        <v>3754</v>
      </c>
      <c r="C2635" s="1" t="s">
        <v>3755</v>
      </c>
      <c r="D2635" s="22" t="str">
        <f>HYPERLINK("https://rhld.insurance.arkansas.gov/NPILookup?Npi=1750381430","1750381430")</f>
        <v>1750381430</v>
      </c>
      <c r="E2635" s="1" t="s">
        <v>15922</v>
      </c>
      <c r="F2635" s="2"/>
      <c r="G2635" s="2"/>
      <c r="H2635" s="2"/>
    </row>
    <row r="2636" spans="1:8" x14ac:dyDescent="0.25">
      <c r="A2636" s="1"/>
      <c r="B2636" s="1" t="s">
        <v>3754</v>
      </c>
      <c r="C2636" s="1" t="s">
        <v>3755</v>
      </c>
      <c r="D2636" s="22" t="str">
        <f>HYPERLINK("https://rhld.insurance.arkansas.gov/NPILookup?Npi=1750461166","1750461166")</f>
        <v>1750461166</v>
      </c>
      <c r="E2636" s="1" t="s">
        <v>15923</v>
      </c>
      <c r="F2636" s="2"/>
      <c r="G2636" s="2"/>
      <c r="H2636" s="2"/>
    </row>
    <row r="2637" spans="1:8" x14ac:dyDescent="0.25">
      <c r="A2637" s="1"/>
      <c r="B2637" s="1" t="s">
        <v>3754</v>
      </c>
      <c r="C2637" s="1" t="s">
        <v>3755</v>
      </c>
      <c r="D2637" s="22" t="str">
        <f>HYPERLINK("https://rhld.insurance.arkansas.gov/NPILookup?Npi=1750461620","1750461620")</f>
        <v>1750461620</v>
      </c>
      <c r="E2637" s="1" t="s">
        <v>31326</v>
      </c>
      <c r="F2637" s="2"/>
      <c r="G2637" s="2"/>
      <c r="H2637" s="2"/>
    </row>
    <row r="2638" spans="1:8" x14ac:dyDescent="0.25">
      <c r="A2638" s="1"/>
      <c r="B2638" s="1" t="s">
        <v>3754</v>
      </c>
      <c r="C2638" s="1" t="s">
        <v>3755</v>
      </c>
      <c r="D2638" s="22" t="str">
        <f>HYPERLINK("https://rhld.insurance.arkansas.gov/NPILookup?Npi=1750465506","1750465506")</f>
        <v>1750465506</v>
      </c>
      <c r="E2638" s="1" t="s">
        <v>3832</v>
      </c>
      <c r="F2638" s="2"/>
      <c r="G2638" s="2"/>
      <c r="H2638" s="2"/>
    </row>
    <row r="2639" spans="1:8" x14ac:dyDescent="0.25">
      <c r="A2639" s="1"/>
      <c r="B2639" s="1" t="s">
        <v>3754</v>
      </c>
      <c r="C2639" s="1" t="s">
        <v>3755</v>
      </c>
      <c r="D2639" s="22" t="str">
        <f>HYPERLINK("https://rhld.insurance.arkansas.gov/NPILookup?Npi=1750505582","1750505582")</f>
        <v>1750505582</v>
      </c>
      <c r="E2639" s="1" t="s">
        <v>3506</v>
      </c>
      <c r="F2639" s="2"/>
      <c r="G2639" s="2"/>
      <c r="H2639" s="2"/>
    </row>
    <row r="2640" spans="1:8" x14ac:dyDescent="0.25">
      <c r="A2640" s="1"/>
      <c r="B2640" s="1" t="s">
        <v>3754</v>
      </c>
      <c r="C2640" s="1" t="s">
        <v>3755</v>
      </c>
      <c r="D2640" s="22" t="str">
        <f>HYPERLINK("https://rhld.insurance.arkansas.gov/NPILookup?Npi=1750679916","1750679916")</f>
        <v>1750679916</v>
      </c>
      <c r="E2640" s="1" t="s">
        <v>3833</v>
      </c>
      <c r="F2640" s="2"/>
      <c r="G2640" s="2"/>
      <c r="H2640" s="2"/>
    </row>
    <row r="2641" spans="1:8" x14ac:dyDescent="0.25">
      <c r="A2641" s="1"/>
      <c r="B2641" s="1" t="s">
        <v>3754</v>
      </c>
      <c r="C2641" s="1" t="s">
        <v>3755</v>
      </c>
      <c r="D2641" s="22" t="str">
        <f>HYPERLINK("https://rhld.insurance.arkansas.gov/NPILookup?Npi=1760426670","1760426670")</f>
        <v>1760426670</v>
      </c>
      <c r="E2641" s="1" t="s">
        <v>9857</v>
      </c>
      <c r="F2641" s="2"/>
      <c r="G2641" s="2"/>
      <c r="H2641" s="2"/>
    </row>
    <row r="2642" spans="1:8" x14ac:dyDescent="0.25">
      <c r="A2642" s="1"/>
      <c r="B2642" s="1" t="s">
        <v>3754</v>
      </c>
      <c r="C2642" s="1" t="s">
        <v>3755</v>
      </c>
      <c r="D2642" s="22" t="str">
        <f>HYPERLINK("https://rhld.insurance.arkansas.gov/NPILookup?Npi=1760824627","1760824627")</f>
        <v>1760824627</v>
      </c>
      <c r="E2642" s="1" t="s">
        <v>3835</v>
      </c>
      <c r="F2642" s="2"/>
      <c r="G2642" s="2"/>
      <c r="H2642" s="2"/>
    </row>
    <row r="2643" spans="1:8" x14ac:dyDescent="0.25">
      <c r="A2643" s="1"/>
      <c r="B2643" s="1" t="s">
        <v>3754</v>
      </c>
      <c r="C2643" s="1" t="s">
        <v>3755</v>
      </c>
      <c r="D2643" s="22" t="str">
        <f>HYPERLINK("https://rhld.insurance.arkansas.gov/NPILookup?Npi=1760898373","1760898373")</f>
        <v>1760898373</v>
      </c>
      <c r="E2643" s="1" t="s">
        <v>15924</v>
      </c>
      <c r="F2643" s="2"/>
      <c r="G2643" s="2"/>
      <c r="H2643" s="2"/>
    </row>
    <row r="2644" spans="1:8" x14ac:dyDescent="0.25">
      <c r="A2644" s="1"/>
      <c r="B2644" s="1" t="s">
        <v>3754</v>
      </c>
      <c r="C2644" s="1" t="s">
        <v>3755</v>
      </c>
      <c r="D2644" s="22" t="str">
        <f>HYPERLINK("https://rhld.insurance.arkansas.gov/NPILookup?Npi=1770583049","1770583049")</f>
        <v>1770583049</v>
      </c>
      <c r="E2644" s="1" t="s">
        <v>3507</v>
      </c>
      <c r="F2644" s="2"/>
      <c r="G2644" s="2"/>
      <c r="H2644" s="2"/>
    </row>
    <row r="2645" spans="1:8" x14ac:dyDescent="0.25">
      <c r="A2645" s="1"/>
      <c r="B2645" s="1" t="s">
        <v>3754</v>
      </c>
      <c r="C2645" s="1" t="s">
        <v>3755</v>
      </c>
      <c r="D2645" s="22" t="str">
        <f>HYPERLINK("https://rhld.insurance.arkansas.gov/NPILookup?Npi=1770583239","1770583239")</f>
        <v>1770583239</v>
      </c>
      <c r="E2645" s="1" t="s">
        <v>3508</v>
      </c>
      <c r="F2645" s="2"/>
      <c r="G2645" s="2"/>
      <c r="H2645" s="2"/>
    </row>
    <row r="2646" spans="1:8" x14ac:dyDescent="0.25">
      <c r="A2646" s="1"/>
      <c r="B2646" s="1" t="s">
        <v>3754</v>
      </c>
      <c r="C2646" s="1" t="s">
        <v>3755</v>
      </c>
      <c r="D2646" s="22" t="str">
        <f>HYPERLINK("https://rhld.insurance.arkansas.gov/NPILookup?Npi=1770635047","1770635047")</f>
        <v>1770635047</v>
      </c>
      <c r="E2646" s="1" t="s">
        <v>439</v>
      </c>
      <c r="F2646" s="2"/>
      <c r="G2646" s="2"/>
      <c r="H2646" s="2"/>
    </row>
    <row r="2647" spans="1:8" x14ac:dyDescent="0.25">
      <c r="A2647" s="1"/>
      <c r="B2647" s="1" t="s">
        <v>3754</v>
      </c>
      <c r="C2647" s="1" t="s">
        <v>3755</v>
      </c>
      <c r="D2647" s="22" t="str">
        <f>HYPERLINK("https://rhld.insurance.arkansas.gov/NPILookup?Npi=1770691107","1770691107")</f>
        <v>1770691107</v>
      </c>
      <c r="E2647" s="1" t="s">
        <v>3836</v>
      </c>
      <c r="F2647" s="2"/>
      <c r="G2647" s="2"/>
      <c r="H2647" s="2"/>
    </row>
    <row r="2648" spans="1:8" x14ac:dyDescent="0.25">
      <c r="A2648" s="1"/>
      <c r="B2648" s="1" t="s">
        <v>3754</v>
      </c>
      <c r="C2648" s="1" t="s">
        <v>3755</v>
      </c>
      <c r="D2648" s="22" t="str">
        <f>HYPERLINK("https://rhld.insurance.arkansas.gov/NPILookup?Npi=1770891970","1770891970")</f>
        <v>1770891970</v>
      </c>
      <c r="E2648" s="1" t="s">
        <v>15925</v>
      </c>
      <c r="F2648" s="2"/>
      <c r="G2648" s="2"/>
      <c r="H2648" s="2"/>
    </row>
    <row r="2649" spans="1:8" x14ac:dyDescent="0.25">
      <c r="A2649" s="1"/>
      <c r="B2649" s="1" t="s">
        <v>3754</v>
      </c>
      <c r="C2649" s="1" t="s">
        <v>3755</v>
      </c>
      <c r="D2649" s="22" t="str">
        <f>HYPERLINK("https://rhld.insurance.arkansas.gov/NPILookup?Npi=1770901142","1770901142")</f>
        <v>1770901142</v>
      </c>
      <c r="E2649" s="1" t="s">
        <v>15926</v>
      </c>
      <c r="F2649" s="2"/>
      <c r="G2649" s="2"/>
      <c r="H2649" s="2"/>
    </row>
    <row r="2650" spans="1:8" x14ac:dyDescent="0.25">
      <c r="A2650" s="1"/>
      <c r="B2650" s="1" t="s">
        <v>3754</v>
      </c>
      <c r="C2650" s="1" t="s">
        <v>3755</v>
      </c>
      <c r="D2650" s="22" t="str">
        <f>HYPERLINK("https://rhld.insurance.arkansas.gov/NPILookup?Npi=1780672014","1780672014")</f>
        <v>1780672014</v>
      </c>
      <c r="E2650" s="1" t="s">
        <v>15927</v>
      </c>
      <c r="F2650" s="2"/>
      <c r="G2650" s="2"/>
      <c r="H2650" s="2"/>
    </row>
    <row r="2651" spans="1:8" x14ac:dyDescent="0.25">
      <c r="A2651" s="1"/>
      <c r="B2651" s="1" t="s">
        <v>3754</v>
      </c>
      <c r="C2651" s="1" t="s">
        <v>3755</v>
      </c>
      <c r="D2651" s="22" t="str">
        <f>HYPERLINK("https://rhld.insurance.arkansas.gov/NPILookup?Npi=1780675546","1780675546")</f>
        <v>1780675546</v>
      </c>
      <c r="E2651" s="1" t="s">
        <v>15928</v>
      </c>
      <c r="F2651" s="2"/>
      <c r="G2651" s="2"/>
      <c r="H2651" s="2"/>
    </row>
    <row r="2652" spans="1:8" x14ac:dyDescent="0.25">
      <c r="A2652" s="1"/>
      <c r="B2652" s="1" t="s">
        <v>3754</v>
      </c>
      <c r="C2652" s="1" t="s">
        <v>3755</v>
      </c>
      <c r="D2652" s="22" t="str">
        <f>HYPERLINK("https://rhld.insurance.arkansas.gov/NPILookup?Npi=1780689844","1780689844")</f>
        <v>1780689844</v>
      </c>
      <c r="E2652" s="1" t="s">
        <v>9858</v>
      </c>
      <c r="F2652" s="2"/>
      <c r="G2652" s="2"/>
      <c r="H2652" s="2"/>
    </row>
    <row r="2653" spans="1:8" x14ac:dyDescent="0.25">
      <c r="A2653" s="1"/>
      <c r="B2653" s="1" t="s">
        <v>3754</v>
      </c>
      <c r="C2653" s="1" t="s">
        <v>3755</v>
      </c>
      <c r="D2653" s="22" t="str">
        <f>HYPERLINK("https://rhld.insurance.arkansas.gov/NPILookup?Npi=1780840298","1780840298")</f>
        <v>1780840298</v>
      </c>
      <c r="E2653" s="1" t="s">
        <v>9859</v>
      </c>
      <c r="F2653" s="2"/>
      <c r="G2653" s="2"/>
      <c r="H2653" s="2"/>
    </row>
    <row r="2654" spans="1:8" x14ac:dyDescent="0.25">
      <c r="A2654" s="1"/>
      <c r="B2654" s="1" t="s">
        <v>3754</v>
      </c>
      <c r="C2654" s="1" t="s">
        <v>3755</v>
      </c>
      <c r="D2654" s="22" t="str">
        <f>HYPERLINK("https://rhld.insurance.arkansas.gov/NPILookup?Npi=1780981670","1780981670")</f>
        <v>1780981670</v>
      </c>
      <c r="E2654" s="1" t="s">
        <v>15929</v>
      </c>
      <c r="F2654" s="2"/>
      <c r="G2654" s="2"/>
      <c r="H2654" s="2"/>
    </row>
    <row r="2655" spans="1:8" x14ac:dyDescent="0.25">
      <c r="A2655" s="1"/>
      <c r="B2655" s="1" t="s">
        <v>3754</v>
      </c>
      <c r="C2655" s="1" t="s">
        <v>3755</v>
      </c>
      <c r="D2655" s="22" t="str">
        <f>HYPERLINK("https://rhld.insurance.arkansas.gov/NPILookup?Npi=1790103216","1790103216")</f>
        <v>1790103216</v>
      </c>
      <c r="E2655" s="1" t="s">
        <v>3509</v>
      </c>
      <c r="F2655" s="2"/>
      <c r="G2655" s="2"/>
      <c r="H2655" s="2"/>
    </row>
    <row r="2656" spans="1:8" x14ac:dyDescent="0.25">
      <c r="A2656" s="1"/>
      <c r="B2656" s="1" t="s">
        <v>3754</v>
      </c>
      <c r="C2656" s="1" t="s">
        <v>3755</v>
      </c>
      <c r="D2656" s="22" t="str">
        <f>HYPERLINK("https://rhld.insurance.arkansas.gov/NPILookup?Npi=1790191039","1790191039")</f>
        <v>1790191039</v>
      </c>
      <c r="E2656" s="1" t="s">
        <v>2262</v>
      </c>
      <c r="F2656" s="2"/>
      <c r="G2656" s="2"/>
      <c r="H2656" s="2"/>
    </row>
    <row r="2657" spans="1:8" x14ac:dyDescent="0.25">
      <c r="A2657" s="1"/>
      <c r="B2657" s="1" t="s">
        <v>3754</v>
      </c>
      <c r="C2657" s="1" t="s">
        <v>3755</v>
      </c>
      <c r="D2657" s="22" t="str">
        <f>HYPERLINK("https://rhld.insurance.arkansas.gov/NPILookup?Npi=1790192672","1790192672")</f>
        <v>1790192672</v>
      </c>
      <c r="E2657" s="1" t="s">
        <v>15930</v>
      </c>
      <c r="F2657" s="2"/>
      <c r="G2657" s="2"/>
      <c r="H2657" s="2"/>
    </row>
    <row r="2658" spans="1:8" x14ac:dyDescent="0.25">
      <c r="A2658" s="1"/>
      <c r="B2658" s="1" t="s">
        <v>3754</v>
      </c>
      <c r="C2658" s="1" t="s">
        <v>3755</v>
      </c>
      <c r="D2658" s="22" t="str">
        <f>HYPERLINK("https://rhld.insurance.arkansas.gov/NPILookup?Npi=1790714269","1790714269")</f>
        <v>1790714269</v>
      </c>
      <c r="E2658" s="1" t="s">
        <v>9860</v>
      </c>
      <c r="F2658" s="2"/>
      <c r="G2658" s="2"/>
      <c r="H2658" s="2"/>
    </row>
    <row r="2659" spans="1:8" x14ac:dyDescent="0.25">
      <c r="A2659" s="1"/>
      <c r="B2659" s="1" t="s">
        <v>3754</v>
      </c>
      <c r="C2659" s="1" t="s">
        <v>3755</v>
      </c>
      <c r="D2659" s="22" t="str">
        <f>HYPERLINK("https://rhld.insurance.arkansas.gov/NPILookup?Npi=1790728178","1790728178")</f>
        <v>1790728178</v>
      </c>
      <c r="E2659" s="1" t="s">
        <v>15931</v>
      </c>
      <c r="F2659" s="2"/>
      <c r="G2659" s="2"/>
      <c r="H2659" s="2"/>
    </row>
    <row r="2660" spans="1:8" x14ac:dyDescent="0.25">
      <c r="A2660" s="1"/>
      <c r="B2660" s="1" t="s">
        <v>3754</v>
      </c>
      <c r="C2660" s="1" t="s">
        <v>3755</v>
      </c>
      <c r="D2660" s="22" t="str">
        <f>HYPERLINK("https://rhld.insurance.arkansas.gov/NPILookup?Npi=1790749638","1790749638")</f>
        <v>1790749638</v>
      </c>
      <c r="E2660" s="1" t="s">
        <v>15932</v>
      </c>
      <c r="F2660" s="2"/>
      <c r="G2660" s="2"/>
      <c r="H2660" s="2"/>
    </row>
    <row r="2661" spans="1:8" x14ac:dyDescent="0.25">
      <c r="A2661" s="1"/>
      <c r="B2661" s="1" t="s">
        <v>3754</v>
      </c>
      <c r="C2661" s="1" t="s">
        <v>3755</v>
      </c>
      <c r="D2661" s="22" t="str">
        <f>HYPERLINK("https://rhld.insurance.arkansas.gov/NPILookup?Npi=1790752566","1790752566")</f>
        <v>1790752566</v>
      </c>
      <c r="E2661" s="1" t="s">
        <v>15933</v>
      </c>
      <c r="F2661" s="2"/>
      <c r="G2661" s="2"/>
      <c r="H2661" s="2"/>
    </row>
    <row r="2662" spans="1:8" x14ac:dyDescent="0.25">
      <c r="A2662" s="1"/>
      <c r="B2662" s="1" t="s">
        <v>3754</v>
      </c>
      <c r="C2662" s="1" t="s">
        <v>3755</v>
      </c>
      <c r="D2662" s="22" t="str">
        <f>HYPERLINK("https://rhld.insurance.arkansas.gov/NPILookup?Npi=1790769586","1790769586")</f>
        <v>1790769586</v>
      </c>
      <c r="E2662" s="1" t="s">
        <v>15934</v>
      </c>
      <c r="F2662" s="2"/>
      <c r="G2662" s="2"/>
      <c r="H2662" s="2"/>
    </row>
    <row r="2663" spans="1:8" x14ac:dyDescent="0.25">
      <c r="A2663" s="1"/>
      <c r="B2663" s="1" t="s">
        <v>3754</v>
      </c>
      <c r="C2663" s="1" t="s">
        <v>3755</v>
      </c>
      <c r="D2663" s="22" t="str">
        <f>HYPERLINK("https://rhld.insurance.arkansas.gov/NPILookup?Npi=1790855534","1790855534")</f>
        <v>1790855534</v>
      </c>
      <c r="E2663" s="1" t="s">
        <v>243</v>
      </c>
      <c r="F2663" s="2"/>
      <c r="G2663" s="2"/>
      <c r="H2663" s="2"/>
    </row>
    <row r="2664" spans="1:8" x14ac:dyDescent="0.25">
      <c r="A2664" s="1"/>
      <c r="B2664" s="1" t="s">
        <v>3754</v>
      </c>
      <c r="C2664" s="1" t="s">
        <v>3755</v>
      </c>
      <c r="D2664" s="22" t="str">
        <f>HYPERLINK("https://rhld.insurance.arkansas.gov/NPILookup?Npi=1790907418","1790907418")</f>
        <v>1790907418</v>
      </c>
      <c r="E2664" s="1" t="s">
        <v>15935</v>
      </c>
      <c r="F2664" s="2"/>
      <c r="G2664" s="2"/>
      <c r="H2664" s="2"/>
    </row>
    <row r="2665" spans="1:8" x14ac:dyDescent="0.25">
      <c r="A2665" s="1"/>
      <c r="B2665" s="1" t="s">
        <v>3754</v>
      </c>
      <c r="C2665" s="1" t="s">
        <v>3755</v>
      </c>
      <c r="D2665" s="22" t="str">
        <f>HYPERLINK("https://rhld.insurance.arkansas.gov/NPILookup?Npi=1790914372","1790914372")</f>
        <v>1790914372</v>
      </c>
      <c r="E2665" s="1" t="s">
        <v>15936</v>
      </c>
      <c r="F2665" s="2"/>
      <c r="G2665" s="2"/>
      <c r="H2665" s="2"/>
    </row>
    <row r="2666" spans="1:8" x14ac:dyDescent="0.25">
      <c r="A2666" s="1"/>
      <c r="B2666" s="1" t="s">
        <v>3754</v>
      </c>
      <c r="C2666" s="1" t="s">
        <v>3755</v>
      </c>
      <c r="D2666" s="22" t="str">
        <f>HYPERLINK("https://rhld.insurance.arkansas.gov/NPILookup?Npi=1790990562","1790990562")</f>
        <v>1790990562</v>
      </c>
      <c r="E2666" s="1" t="s">
        <v>3510</v>
      </c>
      <c r="F2666" s="2"/>
      <c r="G2666" s="2"/>
      <c r="H2666" s="2"/>
    </row>
    <row r="2667" spans="1:8" x14ac:dyDescent="0.25">
      <c r="A2667" s="1"/>
      <c r="B2667" s="1" t="s">
        <v>3754</v>
      </c>
      <c r="C2667" s="1" t="s">
        <v>3755</v>
      </c>
      <c r="D2667" s="22" t="str">
        <f>HYPERLINK("https://rhld.insurance.arkansas.gov/NPILookup?Npi=1801051909","1801051909")</f>
        <v>1801051909</v>
      </c>
      <c r="E2667" s="1" t="s">
        <v>9862</v>
      </c>
      <c r="F2667" s="2"/>
      <c r="G2667" s="2"/>
      <c r="H2667" s="2"/>
    </row>
    <row r="2668" spans="1:8" x14ac:dyDescent="0.25">
      <c r="A2668" s="1"/>
      <c r="B2668" s="1" t="s">
        <v>3754</v>
      </c>
      <c r="C2668" s="1" t="s">
        <v>3755</v>
      </c>
      <c r="D2668" s="22" t="str">
        <f>HYPERLINK("https://rhld.insurance.arkansas.gov/NPILookup?Npi=1801099775","1801099775")</f>
        <v>1801099775</v>
      </c>
      <c r="E2668" s="1" t="s">
        <v>9863</v>
      </c>
      <c r="F2668" s="2"/>
      <c r="G2668" s="2"/>
      <c r="H2668" s="2"/>
    </row>
    <row r="2669" spans="1:8" x14ac:dyDescent="0.25">
      <c r="A2669" s="1"/>
      <c r="B2669" s="1" t="s">
        <v>3754</v>
      </c>
      <c r="C2669" s="1" t="s">
        <v>3755</v>
      </c>
      <c r="D2669" s="22" t="str">
        <f>HYPERLINK("https://rhld.insurance.arkansas.gov/NPILookup?Npi=1801150214","1801150214")</f>
        <v>1801150214</v>
      </c>
      <c r="E2669" s="1" t="s">
        <v>15937</v>
      </c>
      <c r="F2669" s="2"/>
      <c r="G2669" s="2"/>
      <c r="H2669" s="2"/>
    </row>
    <row r="2670" spans="1:8" x14ac:dyDescent="0.25">
      <c r="A2670" s="1"/>
      <c r="B2670" s="1" t="s">
        <v>3754</v>
      </c>
      <c r="C2670" s="1" t="s">
        <v>3755</v>
      </c>
      <c r="D2670" s="22" t="str">
        <f>HYPERLINK("https://rhld.insurance.arkansas.gov/NPILookup?Npi=1801209614","1801209614")</f>
        <v>1801209614</v>
      </c>
      <c r="E2670" s="1" t="s">
        <v>15938</v>
      </c>
      <c r="F2670" s="2"/>
      <c r="G2670" s="2"/>
      <c r="H2670" s="2"/>
    </row>
    <row r="2671" spans="1:8" x14ac:dyDescent="0.25">
      <c r="A2671" s="1"/>
      <c r="B2671" s="1" t="s">
        <v>3754</v>
      </c>
      <c r="C2671" s="1" t="s">
        <v>3755</v>
      </c>
      <c r="D2671" s="22" t="str">
        <f>HYPERLINK("https://rhld.insurance.arkansas.gov/NPILookup?Npi=1801835897","1801835897")</f>
        <v>1801835897</v>
      </c>
      <c r="E2671" s="1" t="s">
        <v>2556</v>
      </c>
      <c r="F2671" s="2"/>
      <c r="G2671" s="2"/>
      <c r="H2671" s="2"/>
    </row>
    <row r="2672" spans="1:8" x14ac:dyDescent="0.25">
      <c r="A2672" s="1"/>
      <c r="B2672" s="1" t="s">
        <v>3754</v>
      </c>
      <c r="C2672" s="1" t="s">
        <v>3755</v>
      </c>
      <c r="D2672" s="22" t="str">
        <f>HYPERLINK("https://rhld.insurance.arkansas.gov/NPILookup?Npi=1811931090","1811931090")</f>
        <v>1811931090</v>
      </c>
      <c r="E2672" s="1" t="s">
        <v>9865</v>
      </c>
      <c r="F2672" s="2"/>
      <c r="G2672" s="2"/>
      <c r="H2672" s="2"/>
    </row>
    <row r="2673" spans="1:8" x14ac:dyDescent="0.25">
      <c r="A2673" s="1"/>
      <c r="B2673" s="1" t="s">
        <v>3754</v>
      </c>
      <c r="C2673" s="1" t="s">
        <v>3755</v>
      </c>
      <c r="D2673" s="22" t="str">
        <f>HYPERLINK("https://rhld.insurance.arkansas.gov/NPILookup?Npi=1811943400","1811943400")</f>
        <v>1811943400</v>
      </c>
      <c r="E2673" s="1" t="s">
        <v>15939</v>
      </c>
      <c r="F2673" s="2"/>
      <c r="G2673" s="2"/>
      <c r="H2673" s="2"/>
    </row>
    <row r="2674" spans="1:8" x14ac:dyDescent="0.25">
      <c r="A2674" s="1"/>
      <c r="B2674" s="1" t="s">
        <v>3754</v>
      </c>
      <c r="C2674" s="1" t="s">
        <v>3755</v>
      </c>
      <c r="D2674" s="22" t="str">
        <f>HYPERLINK("https://rhld.insurance.arkansas.gov/NPILookup?Npi=1811958689","1811958689")</f>
        <v>1811958689</v>
      </c>
      <c r="E2674" s="1" t="s">
        <v>15940</v>
      </c>
      <c r="F2674" s="2"/>
      <c r="G2674" s="2"/>
      <c r="H2674" s="2"/>
    </row>
    <row r="2675" spans="1:8" x14ac:dyDescent="0.25">
      <c r="A2675" s="1"/>
      <c r="B2675" s="1" t="s">
        <v>3754</v>
      </c>
      <c r="C2675" s="1" t="s">
        <v>3755</v>
      </c>
      <c r="D2675" s="22" t="str">
        <f>HYPERLINK("https://rhld.insurance.arkansas.gov/NPILookup?Npi=1821009341","1821009341")</f>
        <v>1821009341</v>
      </c>
      <c r="E2675" s="1" t="s">
        <v>15941</v>
      </c>
      <c r="F2675" s="2"/>
      <c r="G2675" s="2"/>
      <c r="H2675" s="2"/>
    </row>
    <row r="2676" spans="1:8" x14ac:dyDescent="0.25">
      <c r="A2676" s="1"/>
      <c r="B2676" s="1" t="s">
        <v>3754</v>
      </c>
      <c r="C2676" s="1" t="s">
        <v>3755</v>
      </c>
      <c r="D2676" s="22" t="str">
        <f>HYPERLINK("https://rhld.insurance.arkansas.gov/NPILookup?Npi=1821062548","1821062548")</f>
        <v>1821062548</v>
      </c>
      <c r="E2676" s="1" t="s">
        <v>15942</v>
      </c>
      <c r="F2676" s="2"/>
      <c r="G2676" s="2"/>
      <c r="H2676" s="2"/>
    </row>
    <row r="2677" spans="1:8" x14ac:dyDescent="0.25">
      <c r="A2677" s="1"/>
      <c r="B2677" s="1" t="s">
        <v>3754</v>
      </c>
      <c r="C2677" s="1" t="s">
        <v>3755</v>
      </c>
      <c r="D2677" s="22" t="str">
        <f>HYPERLINK("https://rhld.insurance.arkansas.gov/NPILookup?Npi=1821121955","1821121955")</f>
        <v>1821121955</v>
      </c>
      <c r="E2677" s="1" t="s">
        <v>9866</v>
      </c>
      <c r="F2677" s="2"/>
      <c r="G2677" s="2"/>
      <c r="H2677" s="2"/>
    </row>
    <row r="2678" spans="1:8" x14ac:dyDescent="0.25">
      <c r="A2678" s="1"/>
      <c r="B2678" s="1" t="s">
        <v>3754</v>
      </c>
      <c r="C2678" s="1" t="s">
        <v>3755</v>
      </c>
      <c r="D2678" s="22" t="str">
        <f>HYPERLINK("https://rhld.insurance.arkansas.gov/NPILookup?Npi=1821288085","1821288085")</f>
        <v>1821288085</v>
      </c>
      <c r="E2678" s="1" t="s">
        <v>3837</v>
      </c>
      <c r="F2678" s="2"/>
      <c r="G2678" s="2"/>
      <c r="H2678" s="2"/>
    </row>
    <row r="2679" spans="1:8" x14ac:dyDescent="0.25">
      <c r="A2679" s="1"/>
      <c r="B2679" s="1" t="s">
        <v>3754</v>
      </c>
      <c r="C2679" s="1" t="s">
        <v>3755</v>
      </c>
      <c r="D2679" s="22" t="str">
        <f>HYPERLINK("https://rhld.insurance.arkansas.gov/NPILookup?Npi=1821352220","1821352220")</f>
        <v>1821352220</v>
      </c>
      <c r="E2679" s="1" t="s">
        <v>15943</v>
      </c>
      <c r="F2679" s="2"/>
      <c r="G2679" s="2"/>
      <c r="H2679" s="2"/>
    </row>
    <row r="2680" spans="1:8" x14ac:dyDescent="0.25">
      <c r="A2680" s="1"/>
      <c r="B2680" s="1" t="s">
        <v>3754</v>
      </c>
      <c r="C2680" s="1" t="s">
        <v>3755</v>
      </c>
      <c r="D2680" s="22" t="str">
        <f>HYPERLINK("https://rhld.insurance.arkansas.gov/NPILookup?Npi=1821435876","1821435876")</f>
        <v>1821435876</v>
      </c>
      <c r="E2680" s="1" t="s">
        <v>15944</v>
      </c>
      <c r="F2680" s="2"/>
      <c r="G2680" s="2"/>
      <c r="H2680" s="2"/>
    </row>
    <row r="2681" spans="1:8" x14ac:dyDescent="0.25">
      <c r="A2681" s="1"/>
      <c r="B2681" s="1" t="s">
        <v>3754</v>
      </c>
      <c r="C2681" s="1" t="s">
        <v>3755</v>
      </c>
      <c r="D2681" s="22" t="str">
        <f>HYPERLINK("https://rhld.insurance.arkansas.gov/NPILookup?Npi=1821575069","1821575069")</f>
        <v>1821575069</v>
      </c>
      <c r="E2681" s="1" t="s">
        <v>3838</v>
      </c>
      <c r="F2681" s="2"/>
      <c r="G2681" s="2"/>
      <c r="H2681" s="2"/>
    </row>
    <row r="2682" spans="1:8" x14ac:dyDescent="0.25">
      <c r="A2682" s="1"/>
      <c r="B2682" s="1" t="s">
        <v>3754</v>
      </c>
      <c r="C2682" s="1" t="s">
        <v>3755</v>
      </c>
      <c r="D2682" s="22" t="str">
        <f>HYPERLINK("https://rhld.insurance.arkansas.gov/NPILookup?Npi=1831308048","1831308048")</f>
        <v>1831308048</v>
      </c>
      <c r="E2682" s="1" t="s">
        <v>15945</v>
      </c>
      <c r="F2682" s="2"/>
      <c r="G2682" s="2"/>
      <c r="H2682" s="2"/>
    </row>
    <row r="2683" spans="1:8" x14ac:dyDescent="0.25">
      <c r="A2683" s="1"/>
      <c r="B2683" s="1" t="s">
        <v>3754</v>
      </c>
      <c r="C2683" s="1" t="s">
        <v>3755</v>
      </c>
      <c r="D2683" s="22" t="str">
        <f>HYPERLINK("https://rhld.insurance.arkansas.gov/NPILookup?Npi=1831332626","1831332626")</f>
        <v>1831332626</v>
      </c>
      <c r="E2683" s="1" t="s">
        <v>15946</v>
      </c>
      <c r="F2683" s="2"/>
      <c r="G2683" s="2"/>
      <c r="H2683" s="2"/>
    </row>
    <row r="2684" spans="1:8" x14ac:dyDescent="0.25">
      <c r="A2684" s="1"/>
      <c r="B2684" s="1" t="s">
        <v>3754</v>
      </c>
      <c r="C2684" s="1" t="s">
        <v>3755</v>
      </c>
      <c r="D2684" s="22" t="str">
        <f>HYPERLINK("https://rhld.insurance.arkansas.gov/NPILookup?Npi=1831362300","1831362300")</f>
        <v>1831362300</v>
      </c>
      <c r="E2684" s="1" t="s">
        <v>15947</v>
      </c>
      <c r="F2684" s="2"/>
      <c r="G2684" s="2"/>
      <c r="H2684" s="2"/>
    </row>
    <row r="2685" spans="1:8" x14ac:dyDescent="0.25">
      <c r="A2685" s="1"/>
      <c r="B2685" s="1" t="s">
        <v>3754</v>
      </c>
      <c r="C2685" s="1" t="s">
        <v>3755</v>
      </c>
      <c r="D2685" s="22" t="str">
        <f>HYPERLINK("https://rhld.insurance.arkansas.gov/NPILookup?Npi=1831386556","1831386556")</f>
        <v>1831386556</v>
      </c>
      <c r="E2685" s="1" t="s">
        <v>15948</v>
      </c>
      <c r="F2685" s="2"/>
      <c r="G2685" s="2"/>
      <c r="H2685" s="2"/>
    </row>
    <row r="2686" spans="1:8" x14ac:dyDescent="0.25">
      <c r="A2686" s="1"/>
      <c r="B2686" s="1" t="s">
        <v>3754</v>
      </c>
      <c r="C2686" s="1" t="s">
        <v>3755</v>
      </c>
      <c r="D2686" s="22" t="str">
        <f>HYPERLINK("https://rhld.insurance.arkansas.gov/NPILookup?Npi=1831549104","1831549104")</f>
        <v>1831549104</v>
      </c>
      <c r="E2686" s="1" t="s">
        <v>3839</v>
      </c>
      <c r="F2686" s="2"/>
      <c r="G2686" s="2"/>
      <c r="H2686" s="2"/>
    </row>
    <row r="2687" spans="1:8" x14ac:dyDescent="0.25">
      <c r="A2687" s="1"/>
      <c r="B2687" s="1" t="s">
        <v>3754</v>
      </c>
      <c r="C2687" s="1" t="s">
        <v>3755</v>
      </c>
      <c r="D2687" s="22" t="str">
        <f>HYPERLINK("https://rhld.insurance.arkansas.gov/NPILookup?Npi=1831553700","1831553700")</f>
        <v>1831553700</v>
      </c>
      <c r="E2687" s="1" t="s">
        <v>3840</v>
      </c>
      <c r="F2687" s="2"/>
      <c r="G2687" s="2"/>
      <c r="H2687" s="2"/>
    </row>
    <row r="2688" spans="1:8" x14ac:dyDescent="0.25">
      <c r="A2688" s="1"/>
      <c r="B2688" s="1" t="s">
        <v>3754</v>
      </c>
      <c r="C2688" s="1" t="s">
        <v>3755</v>
      </c>
      <c r="D2688" s="22" t="str">
        <f>HYPERLINK("https://rhld.insurance.arkansas.gov/NPILookup?Npi=1831630110","1831630110")</f>
        <v>1831630110</v>
      </c>
      <c r="E2688" s="1" t="s">
        <v>15949</v>
      </c>
      <c r="F2688" s="2"/>
      <c r="G2688" s="2"/>
      <c r="H2688" s="2"/>
    </row>
    <row r="2689" spans="1:8" x14ac:dyDescent="0.25">
      <c r="A2689" s="1"/>
      <c r="B2689" s="1" t="s">
        <v>3754</v>
      </c>
      <c r="C2689" s="1" t="s">
        <v>3755</v>
      </c>
      <c r="D2689" s="22" t="str">
        <f>HYPERLINK("https://rhld.insurance.arkansas.gov/NPILookup?Npi=1841224300","1841224300")</f>
        <v>1841224300</v>
      </c>
      <c r="E2689" s="1" t="s">
        <v>9867</v>
      </c>
      <c r="F2689" s="2"/>
      <c r="G2689" s="2"/>
      <c r="H2689" s="2"/>
    </row>
    <row r="2690" spans="1:8" x14ac:dyDescent="0.25">
      <c r="A2690" s="1"/>
      <c r="B2690" s="1" t="s">
        <v>3754</v>
      </c>
      <c r="C2690" s="1" t="s">
        <v>3755</v>
      </c>
      <c r="D2690" s="22" t="str">
        <f>HYPERLINK("https://rhld.insurance.arkansas.gov/NPILookup?Npi=1841237286","1841237286")</f>
        <v>1841237286</v>
      </c>
      <c r="E2690" s="1" t="s">
        <v>15950</v>
      </c>
      <c r="F2690" s="2"/>
      <c r="G2690" s="2"/>
      <c r="H2690" s="2"/>
    </row>
    <row r="2691" spans="1:8" x14ac:dyDescent="0.25">
      <c r="A2691" s="1"/>
      <c r="B2691" s="1" t="s">
        <v>3754</v>
      </c>
      <c r="C2691" s="1" t="s">
        <v>3755</v>
      </c>
      <c r="D2691" s="22" t="str">
        <f>HYPERLINK("https://rhld.insurance.arkansas.gov/NPILookup?Npi=1841258266","1841258266")</f>
        <v>1841258266</v>
      </c>
      <c r="E2691" s="1" t="s">
        <v>9868</v>
      </c>
      <c r="F2691" s="2"/>
      <c r="G2691" s="2"/>
      <c r="H2691" s="2"/>
    </row>
    <row r="2692" spans="1:8" x14ac:dyDescent="0.25">
      <c r="A2692" s="1"/>
      <c r="B2692" s="1" t="s">
        <v>3754</v>
      </c>
      <c r="C2692" s="1" t="s">
        <v>3755</v>
      </c>
      <c r="D2692" s="22" t="str">
        <f>HYPERLINK("https://rhld.insurance.arkansas.gov/NPILookup?Npi=1841267846","1841267846")</f>
        <v>1841267846</v>
      </c>
      <c r="E2692" s="1" t="s">
        <v>15951</v>
      </c>
      <c r="F2692" s="2"/>
      <c r="G2692" s="2"/>
      <c r="H2692" s="2"/>
    </row>
    <row r="2693" spans="1:8" x14ac:dyDescent="0.25">
      <c r="A2693" s="1"/>
      <c r="B2693" s="1" t="s">
        <v>3754</v>
      </c>
      <c r="C2693" s="1" t="s">
        <v>3755</v>
      </c>
      <c r="D2693" s="22" t="str">
        <f>HYPERLINK("https://rhld.insurance.arkansas.gov/NPILookup?Npi=1841277308","1841277308")</f>
        <v>1841277308</v>
      </c>
      <c r="E2693" s="1" t="s">
        <v>15952</v>
      </c>
      <c r="F2693" s="2"/>
      <c r="G2693" s="2"/>
      <c r="H2693" s="2"/>
    </row>
    <row r="2694" spans="1:8" x14ac:dyDescent="0.25">
      <c r="A2694" s="1"/>
      <c r="B2694" s="1" t="s">
        <v>3754</v>
      </c>
      <c r="C2694" s="1" t="s">
        <v>3755</v>
      </c>
      <c r="D2694" s="22" t="str">
        <f>HYPERLINK("https://rhld.insurance.arkansas.gov/NPILookup?Npi=1841370475","1841370475")</f>
        <v>1841370475</v>
      </c>
      <c r="E2694" s="1" t="s">
        <v>9869</v>
      </c>
      <c r="F2694" s="2"/>
      <c r="G2694" s="2"/>
      <c r="H2694" s="2"/>
    </row>
    <row r="2695" spans="1:8" x14ac:dyDescent="0.25">
      <c r="A2695" s="1"/>
      <c r="B2695" s="1" t="s">
        <v>3754</v>
      </c>
      <c r="C2695" s="1" t="s">
        <v>3755</v>
      </c>
      <c r="D2695" s="22" t="str">
        <f>HYPERLINK("https://rhld.insurance.arkansas.gov/NPILookup?Npi=1841511052","1841511052")</f>
        <v>1841511052</v>
      </c>
      <c r="E2695" s="1" t="s">
        <v>3841</v>
      </c>
      <c r="F2695" s="2"/>
      <c r="G2695" s="2"/>
      <c r="H2695" s="2"/>
    </row>
    <row r="2696" spans="1:8" x14ac:dyDescent="0.25">
      <c r="A2696" s="1"/>
      <c r="B2696" s="1" t="s">
        <v>3754</v>
      </c>
      <c r="C2696" s="1" t="s">
        <v>3755</v>
      </c>
      <c r="D2696" s="22" t="str">
        <f>HYPERLINK("https://rhld.insurance.arkansas.gov/NPILookup?Npi=1841622008","1841622008")</f>
        <v>1841622008</v>
      </c>
      <c r="E2696" s="1" t="s">
        <v>15953</v>
      </c>
      <c r="F2696" s="2"/>
      <c r="G2696" s="2"/>
      <c r="H2696" s="2"/>
    </row>
    <row r="2697" spans="1:8" x14ac:dyDescent="0.25">
      <c r="A2697" s="1"/>
      <c r="B2697" s="1" t="s">
        <v>3754</v>
      </c>
      <c r="C2697" s="1" t="s">
        <v>3755</v>
      </c>
      <c r="D2697" s="22" t="str">
        <f>HYPERLINK("https://rhld.insurance.arkansas.gov/NPILookup?Npi=1841630894","1841630894")</f>
        <v>1841630894</v>
      </c>
      <c r="E2697" s="1" t="s">
        <v>15954</v>
      </c>
      <c r="F2697" s="2"/>
      <c r="G2697" s="2"/>
      <c r="H2697" s="2"/>
    </row>
    <row r="2698" spans="1:8" x14ac:dyDescent="0.25">
      <c r="A2698" s="1"/>
      <c r="B2698" s="1" t="s">
        <v>3754</v>
      </c>
      <c r="C2698" s="1" t="s">
        <v>3755</v>
      </c>
      <c r="D2698" s="22" t="str">
        <f>HYPERLINK("https://rhld.insurance.arkansas.gov/NPILookup?Npi=1841837788","1841837788")</f>
        <v>1841837788</v>
      </c>
      <c r="E2698" s="1" t="s">
        <v>15955</v>
      </c>
      <c r="F2698" s="2"/>
      <c r="G2698" s="2"/>
      <c r="H2698" s="2"/>
    </row>
    <row r="2699" spans="1:8" x14ac:dyDescent="0.25">
      <c r="A2699" s="1"/>
      <c r="B2699" s="1" t="s">
        <v>3754</v>
      </c>
      <c r="C2699" s="1" t="s">
        <v>3755</v>
      </c>
      <c r="D2699" s="22" t="str">
        <f>HYPERLINK("https://rhld.insurance.arkansas.gov/NPILookup?Npi=1851324446","1851324446")</f>
        <v>1851324446</v>
      </c>
      <c r="E2699" s="1" t="s">
        <v>3842</v>
      </c>
      <c r="F2699" s="2"/>
      <c r="G2699" s="2"/>
      <c r="H2699" s="2"/>
    </row>
    <row r="2700" spans="1:8" x14ac:dyDescent="0.25">
      <c r="A2700" s="1"/>
      <c r="B2700" s="1" t="s">
        <v>3754</v>
      </c>
      <c r="C2700" s="1" t="s">
        <v>3755</v>
      </c>
      <c r="D2700" s="22" t="str">
        <f>HYPERLINK("https://rhld.insurance.arkansas.gov/NPILookup?Npi=1851496194","1851496194")</f>
        <v>1851496194</v>
      </c>
      <c r="E2700" s="1" t="s">
        <v>3511</v>
      </c>
      <c r="F2700" s="2"/>
      <c r="G2700" s="2"/>
      <c r="H2700" s="2"/>
    </row>
    <row r="2701" spans="1:8" x14ac:dyDescent="0.25">
      <c r="A2701" s="1"/>
      <c r="B2701" s="1" t="s">
        <v>3754</v>
      </c>
      <c r="C2701" s="1" t="s">
        <v>3755</v>
      </c>
      <c r="D2701" s="22" t="str">
        <f>HYPERLINK("https://rhld.insurance.arkansas.gov/NPILookup?Npi=1851644256","1851644256")</f>
        <v>1851644256</v>
      </c>
      <c r="E2701" s="1" t="s">
        <v>9870</v>
      </c>
      <c r="F2701" s="2"/>
      <c r="G2701" s="2"/>
      <c r="H2701" s="2"/>
    </row>
    <row r="2702" spans="1:8" x14ac:dyDescent="0.25">
      <c r="A2702" s="1"/>
      <c r="B2702" s="1" t="s">
        <v>3754</v>
      </c>
      <c r="C2702" s="1" t="s">
        <v>3755</v>
      </c>
      <c r="D2702" s="22" t="str">
        <f>HYPERLINK("https://rhld.insurance.arkansas.gov/NPILookup?Npi=1851824270","1851824270")</f>
        <v>1851824270</v>
      </c>
      <c r="E2702" s="1" t="s">
        <v>3843</v>
      </c>
      <c r="F2702" s="2"/>
      <c r="G2702" s="2"/>
      <c r="H2702" s="2"/>
    </row>
    <row r="2703" spans="1:8" x14ac:dyDescent="0.25">
      <c r="A2703" s="1"/>
      <c r="B2703" s="1" t="s">
        <v>3754</v>
      </c>
      <c r="C2703" s="1" t="s">
        <v>3755</v>
      </c>
      <c r="D2703" s="22" t="str">
        <f>HYPERLINK("https://rhld.insurance.arkansas.gov/NPILookup?Npi=1861402778","1861402778")</f>
        <v>1861402778</v>
      </c>
      <c r="E2703" s="1" t="s">
        <v>469</v>
      </c>
      <c r="F2703" s="2"/>
      <c r="G2703" s="2"/>
      <c r="H2703" s="2"/>
    </row>
    <row r="2704" spans="1:8" x14ac:dyDescent="0.25">
      <c r="A2704" s="1"/>
      <c r="B2704" s="1" t="s">
        <v>3754</v>
      </c>
      <c r="C2704" s="1" t="s">
        <v>3755</v>
      </c>
      <c r="D2704" s="22" t="str">
        <f>HYPERLINK("https://rhld.insurance.arkansas.gov/NPILookup?Npi=1861485302","1861485302")</f>
        <v>1861485302</v>
      </c>
      <c r="E2704" s="1" t="s">
        <v>15956</v>
      </c>
      <c r="F2704" s="2"/>
      <c r="G2704" s="2"/>
      <c r="H2704" s="2"/>
    </row>
    <row r="2705" spans="1:8" x14ac:dyDescent="0.25">
      <c r="A2705" s="1"/>
      <c r="B2705" s="1" t="s">
        <v>3754</v>
      </c>
      <c r="C2705" s="1" t="s">
        <v>3755</v>
      </c>
      <c r="D2705" s="22" t="str">
        <f>HYPERLINK("https://rhld.insurance.arkansas.gov/NPILookup?Npi=1861497349","1861497349")</f>
        <v>1861497349</v>
      </c>
      <c r="E2705" s="1" t="s">
        <v>15957</v>
      </c>
      <c r="F2705" s="2"/>
      <c r="G2705" s="2"/>
      <c r="H2705" s="2"/>
    </row>
    <row r="2706" spans="1:8" x14ac:dyDescent="0.25">
      <c r="A2706" s="1"/>
      <c r="B2706" s="1" t="s">
        <v>3754</v>
      </c>
      <c r="C2706" s="1" t="s">
        <v>3755</v>
      </c>
      <c r="D2706" s="22" t="str">
        <f>HYPERLINK("https://rhld.insurance.arkansas.gov/NPILookup?Npi=1861686354","1861686354")</f>
        <v>1861686354</v>
      </c>
      <c r="E2706" s="1" t="s">
        <v>15958</v>
      </c>
      <c r="F2706" s="2"/>
      <c r="G2706" s="2"/>
      <c r="H2706" s="2"/>
    </row>
    <row r="2707" spans="1:8" x14ac:dyDescent="0.25">
      <c r="A2707" s="1"/>
      <c r="B2707" s="1" t="s">
        <v>3754</v>
      </c>
      <c r="C2707" s="1" t="s">
        <v>3755</v>
      </c>
      <c r="D2707" s="22" t="str">
        <f>HYPERLINK("https://rhld.insurance.arkansas.gov/NPILookup?Npi=1861706046","1861706046")</f>
        <v>1861706046</v>
      </c>
      <c r="E2707" s="1" t="s">
        <v>15959</v>
      </c>
      <c r="F2707" s="2"/>
      <c r="G2707" s="2"/>
      <c r="H2707" s="2"/>
    </row>
    <row r="2708" spans="1:8" x14ac:dyDescent="0.25">
      <c r="A2708" s="1"/>
      <c r="B2708" s="1" t="s">
        <v>3754</v>
      </c>
      <c r="C2708" s="1" t="s">
        <v>3755</v>
      </c>
      <c r="D2708" s="22" t="str">
        <f>HYPERLINK("https://rhld.insurance.arkansas.gov/NPILookup?Npi=1871515452","1871515452")</f>
        <v>1871515452</v>
      </c>
      <c r="E2708" s="1" t="s">
        <v>3844</v>
      </c>
      <c r="F2708" s="2"/>
      <c r="G2708" s="2"/>
      <c r="H2708" s="2"/>
    </row>
    <row r="2709" spans="1:8" x14ac:dyDescent="0.25">
      <c r="A2709" s="1"/>
      <c r="B2709" s="1" t="s">
        <v>3754</v>
      </c>
      <c r="C2709" s="1" t="s">
        <v>3755</v>
      </c>
      <c r="D2709" s="22" t="str">
        <f>HYPERLINK("https://rhld.insurance.arkansas.gov/NPILookup?Npi=1871518522","1871518522")</f>
        <v>1871518522</v>
      </c>
      <c r="E2709" s="1" t="s">
        <v>9871</v>
      </c>
      <c r="F2709" s="2"/>
      <c r="G2709" s="2"/>
      <c r="H2709" s="2"/>
    </row>
    <row r="2710" spans="1:8" x14ac:dyDescent="0.25">
      <c r="A2710" s="1"/>
      <c r="B2710" s="1" t="s">
        <v>3754</v>
      </c>
      <c r="C2710" s="1" t="s">
        <v>3755</v>
      </c>
      <c r="D2710" s="22" t="str">
        <f>HYPERLINK("https://rhld.insurance.arkansas.gov/NPILookup?Npi=1871539890","1871539890")</f>
        <v>1871539890</v>
      </c>
      <c r="E2710" s="1" t="s">
        <v>15960</v>
      </c>
      <c r="F2710" s="2"/>
      <c r="G2710" s="2"/>
      <c r="H2710" s="2"/>
    </row>
    <row r="2711" spans="1:8" x14ac:dyDescent="0.25">
      <c r="A2711" s="1"/>
      <c r="B2711" s="1" t="s">
        <v>3754</v>
      </c>
      <c r="C2711" s="1" t="s">
        <v>3755</v>
      </c>
      <c r="D2711" s="22" t="str">
        <f>HYPERLINK("https://rhld.insurance.arkansas.gov/NPILookup?Npi=1871547828","1871547828")</f>
        <v>1871547828</v>
      </c>
      <c r="E2711" s="1" t="s">
        <v>9872</v>
      </c>
      <c r="F2711" s="2"/>
      <c r="G2711" s="2"/>
      <c r="H2711" s="2"/>
    </row>
    <row r="2712" spans="1:8" x14ac:dyDescent="0.25">
      <c r="A2712" s="1"/>
      <c r="B2712" s="1" t="s">
        <v>3754</v>
      </c>
      <c r="C2712" s="1" t="s">
        <v>3755</v>
      </c>
      <c r="D2712" s="22" t="str">
        <f>HYPERLINK("https://rhld.insurance.arkansas.gov/NPILookup?Npi=1871908616","1871908616")</f>
        <v>1871908616</v>
      </c>
      <c r="E2712" s="1" t="s">
        <v>15961</v>
      </c>
      <c r="F2712" s="2"/>
      <c r="G2712" s="2"/>
      <c r="H2712" s="2"/>
    </row>
    <row r="2713" spans="1:8" x14ac:dyDescent="0.25">
      <c r="A2713" s="1"/>
      <c r="B2713" s="1" t="s">
        <v>3754</v>
      </c>
      <c r="C2713" s="1" t="s">
        <v>3755</v>
      </c>
      <c r="D2713" s="22" t="str">
        <f>HYPERLINK("https://rhld.insurance.arkansas.gov/NPILookup?Npi=1871944413","1871944413")</f>
        <v>1871944413</v>
      </c>
      <c r="E2713" s="1" t="s">
        <v>3845</v>
      </c>
      <c r="F2713" s="2"/>
      <c r="G2713" s="2"/>
      <c r="H2713" s="2"/>
    </row>
    <row r="2714" spans="1:8" x14ac:dyDescent="0.25">
      <c r="A2714" s="1"/>
      <c r="B2714" s="1" t="s">
        <v>3754</v>
      </c>
      <c r="C2714" s="1" t="s">
        <v>3755</v>
      </c>
      <c r="D2714" s="22" t="str">
        <f>HYPERLINK("https://rhld.insurance.arkansas.gov/NPILookup?Npi=1871978676","1871978676")</f>
        <v>1871978676</v>
      </c>
      <c r="E2714" s="1" t="s">
        <v>3846</v>
      </c>
      <c r="F2714" s="2"/>
      <c r="G2714" s="2"/>
      <c r="H2714" s="2"/>
    </row>
    <row r="2715" spans="1:8" x14ac:dyDescent="0.25">
      <c r="A2715" s="1"/>
      <c r="B2715" s="1" t="s">
        <v>3754</v>
      </c>
      <c r="C2715" s="1" t="s">
        <v>3755</v>
      </c>
      <c r="D2715" s="22" t="str">
        <f>HYPERLINK("https://rhld.insurance.arkansas.gov/NPILookup?Npi=1881037414","1881037414")</f>
        <v>1881037414</v>
      </c>
      <c r="E2715" s="1" t="s">
        <v>3847</v>
      </c>
      <c r="F2715" s="2"/>
      <c r="G2715" s="2"/>
      <c r="H2715" s="2"/>
    </row>
    <row r="2716" spans="1:8" x14ac:dyDescent="0.25">
      <c r="A2716" s="1"/>
      <c r="B2716" s="1" t="s">
        <v>3754</v>
      </c>
      <c r="C2716" s="1" t="s">
        <v>3755</v>
      </c>
      <c r="D2716" s="22" t="str">
        <f>HYPERLINK("https://rhld.insurance.arkansas.gov/NPILookup?Npi=1881699767","1881699767")</f>
        <v>1881699767</v>
      </c>
      <c r="E2716" s="1" t="s">
        <v>15962</v>
      </c>
      <c r="F2716" s="2"/>
      <c r="G2716" s="2"/>
      <c r="H2716" s="2"/>
    </row>
    <row r="2717" spans="1:8" x14ac:dyDescent="0.25">
      <c r="A2717" s="1"/>
      <c r="B2717" s="1" t="s">
        <v>3754</v>
      </c>
      <c r="C2717" s="1" t="s">
        <v>3755</v>
      </c>
      <c r="D2717" s="22" t="str">
        <f>HYPERLINK("https://rhld.insurance.arkansas.gov/NPILookup?Npi=1881784346","1881784346")</f>
        <v>1881784346</v>
      </c>
      <c r="E2717" s="1" t="s">
        <v>2263</v>
      </c>
      <c r="F2717" s="2"/>
      <c r="G2717" s="2"/>
      <c r="H2717" s="2"/>
    </row>
    <row r="2718" spans="1:8" x14ac:dyDescent="0.25">
      <c r="A2718" s="1"/>
      <c r="B2718" s="1" t="s">
        <v>3754</v>
      </c>
      <c r="C2718" s="1" t="s">
        <v>3755</v>
      </c>
      <c r="D2718" s="22" t="str">
        <f>HYPERLINK("https://rhld.insurance.arkansas.gov/NPILookup?Npi=1881855930","1881855930")</f>
        <v>1881855930</v>
      </c>
      <c r="E2718" s="1" t="s">
        <v>15963</v>
      </c>
      <c r="F2718" s="2"/>
      <c r="G2718" s="2"/>
      <c r="H2718" s="2"/>
    </row>
    <row r="2719" spans="1:8" x14ac:dyDescent="0.25">
      <c r="A2719" s="1"/>
      <c r="B2719" s="1" t="s">
        <v>3754</v>
      </c>
      <c r="C2719" s="1" t="s">
        <v>3755</v>
      </c>
      <c r="D2719" s="22" t="str">
        <f>HYPERLINK("https://rhld.insurance.arkansas.gov/NPILookup?Npi=1891100335","1891100335")</f>
        <v>1891100335</v>
      </c>
      <c r="E2719" s="1" t="s">
        <v>15964</v>
      </c>
      <c r="F2719" s="2"/>
      <c r="G2719" s="2"/>
      <c r="H2719" s="2"/>
    </row>
    <row r="2720" spans="1:8" x14ac:dyDescent="0.25">
      <c r="A2720" s="1"/>
      <c r="B2720" s="1" t="s">
        <v>3754</v>
      </c>
      <c r="C2720" s="1" t="s">
        <v>3755</v>
      </c>
      <c r="D2720" s="22" t="str">
        <f>HYPERLINK("https://rhld.insurance.arkansas.gov/NPILookup?Npi=1891719084","1891719084")</f>
        <v>1891719084</v>
      </c>
      <c r="E2720" s="1" t="s">
        <v>15965</v>
      </c>
      <c r="F2720" s="2"/>
      <c r="G2720" s="2"/>
      <c r="H2720" s="2"/>
    </row>
    <row r="2721" spans="1:8" x14ac:dyDescent="0.25">
      <c r="A2721" s="1"/>
      <c r="B2721" s="1" t="s">
        <v>3754</v>
      </c>
      <c r="C2721" s="1" t="s">
        <v>3755</v>
      </c>
      <c r="D2721" s="22" t="str">
        <f>HYPERLINK("https://rhld.insurance.arkansas.gov/NPILookup?Npi=1891737870","1891737870")</f>
        <v>1891737870</v>
      </c>
      <c r="E2721" s="1" t="s">
        <v>3848</v>
      </c>
      <c r="F2721" s="2"/>
      <c r="G2721" s="2"/>
      <c r="H2721" s="2"/>
    </row>
    <row r="2722" spans="1:8" x14ac:dyDescent="0.25">
      <c r="A2722" s="1"/>
      <c r="B2722" s="1" t="s">
        <v>3754</v>
      </c>
      <c r="C2722" s="1" t="s">
        <v>3755</v>
      </c>
      <c r="D2722" s="22" t="str">
        <f>HYPERLINK("https://rhld.insurance.arkansas.gov/NPILookup?Npi=1891893020","1891893020")</f>
        <v>1891893020</v>
      </c>
      <c r="E2722" s="1" t="s">
        <v>9873</v>
      </c>
      <c r="F2722" s="2"/>
      <c r="G2722" s="2"/>
      <c r="H2722" s="2"/>
    </row>
    <row r="2723" spans="1:8" x14ac:dyDescent="0.25">
      <c r="A2723" s="1"/>
      <c r="B2723" s="1" t="s">
        <v>3754</v>
      </c>
      <c r="C2723" s="1" t="s">
        <v>3755</v>
      </c>
      <c r="D2723" s="22" t="str">
        <f>HYPERLINK("https://rhld.insurance.arkansas.gov/NPILookup?Npi=1902086119","1902086119")</f>
        <v>1902086119</v>
      </c>
      <c r="E2723" s="1" t="s">
        <v>15966</v>
      </c>
      <c r="F2723" s="2"/>
      <c r="G2723" s="2"/>
      <c r="H2723" s="2"/>
    </row>
    <row r="2724" spans="1:8" x14ac:dyDescent="0.25">
      <c r="A2724" s="1"/>
      <c r="B2724" s="1" t="s">
        <v>3754</v>
      </c>
      <c r="C2724" s="1" t="s">
        <v>3755</v>
      </c>
      <c r="D2724" s="22" t="str">
        <f>HYPERLINK("https://rhld.insurance.arkansas.gov/NPILookup?Npi=1902852593","1902852593")</f>
        <v>1902852593</v>
      </c>
      <c r="E2724" s="1" t="s">
        <v>15967</v>
      </c>
      <c r="F2724" s="2"/>
      <c r="G2724" s="2"/>
      <c r="H2724" s="2"/>
    </row>
    <row r="2725" spans="1:8" x14ac:dyDescent="0.25">
      <c r="A2725" s="1"/>
      <c r="B2725" s="1" t="s">
        <v>3754</v>
      </c>
      <c r="C2725" s="1" t="s">
        <v>3755</v>
      </c>
      <c r="D2725" s="22" t="str">
        <f>HYPERLINK("https://rhld.insurance.arkansas.gov/NPILookup?Npi=1902883481","1902883481")</f>
        <v>1902883481</v>
      </c>
      <c r="E2725" s="1" t="s">
        <v>15968</v>
      </c>
      <c r="F2725" s="2"/>
      <c r="G2725" s="2"/>
      <c r="H2725" s="2"/>
    </row>
    <row r="2726" spans="1:8" x14ac:dyDescent="0.25">
      <c r="A2726" s="1"/>
      <c r="B2726" s="1" t="s">
        <v>3754</v>
      </c>
      <c r="C2726" s="1" t="s">
        <v>3755</v>
      </c>
      <c r="D2726" s="22" t="str">
        <f>HYPERLINK("https://rhld.insurance.arkansas.gov/NPILookup?Npi=1902935729","1902935729")</f>
        <v>1902935729</v>
      </c>
      <c r="E2726" s="1" t="s">
        <v>15969</v>
      </c>
      <c r="F2726" s="2"/>
      <c r="G2726" s="2"/>
      <c r="H2726" s="2"/>
    </row>
    <row r="2727" spans="1:8" x14ac:dyDescent="0.25">
      <c r="A2727" s="1"/>
      <c r="B2727" s="1" t="s">
        <v>3754</v>
      </c>
      <c r="C2727" s="1" t="s">
        <v>3755</v>
      </c>
      <c r="D2727" s="22" t="str">
        <f>HYPERLINK("https://rhld.insurance.arkansas.gov/NPILookup?Npi=1912097411","1912097411")</f>
        <v>1912097411</v>
      </c>
      <c r="E2727" s="1" t="s">
        <v>9875</v>
      </c>
      <c r="F2727" s="2"/>
      <c r="G2727" s="2"/>
      <c r="H2727" s="2"/>
    </row>
    <row r="2728" spans="1:8" x14ac:dyDescent="0.25">
      <c r="A2728" s="1"/>
      <c r="B2728" s="1" t="s">
        <v>3754</v>
      </c>
      <c r="C2728" s="1" t="s">
        <v>3755</v>
      </c>
      <c r="D2728" s="22" t="str">
        <f>HYPERLINK("https://rhld.insurance.arkansas.gov/NPILookup?Npi=1912190323","1912190323")</f>
        <v>1912190323</v>
      </c>
      <c r="E2728" s="1" t="s">
        <v>436</v>
      </c>
      <c r="F2728" s="2"/>
      <c r="G2728" s="2"/>
      <c r="H2728" s="2"/>
    </row>
    <row r="2729" spans="1:8" x14ac:dyDescent="0.25">
      <c r="A2729" s="1"/>
      <c r="B2729" s="1" t="s">
        <v>3754</v>
      </c>
      <c r="C2729" s="1" t="s">
        <v>3755</v>
      </c>
      <c r="D2729" s="22" t="str">
        <f>HYPERLINK("https://rhld.insurance.arkansas.gov/NPILookup?Npi=1912299967","1912299967")</f>
        <v>1912299967</v>
      </c>
      <c r="E2729" s="1" t="s">
        <v>9876</v>
      </c>
      <c r="F2729" s="2"/>
      <c r="G2729" s="2"/>
      <c r="H2729" s="2"/>
    </row>
    <row r="2730" spans="1:8" x14ac:dyDescent="0.25">
      <c r="A2730" s="1"/>
      <c r="B2730" s="1" t="s">
        <v>3754</v>
      </c>
      <c r="C2730" s="1" t="s">
        <v>3755</v>
      </c>
      <c r="D2730" s="22" t="str">
        <f>HYPERLINK("https://rhld.insurance.arkansas.gov/NPILookup?Npi=1912905092","1912905092")</f>
        <v>1912905092</v>
      </c>
      <c r="E2730" s="1" t="s">
        <v>979</v>
      </c>
      <c r="F2730" s="2"/>
      <c r="G2730" s="2"/>
      <c r="H2730" s="2"/>
    </row>
    <row r="2731" spans="1:8" x14ac:dyDescent="0.25">
      <c r="A2731" s="1"/>
      <c r="B2731" s="1" t="s">
        <v>3754</v>
      </c>
      <c r="C2731" s="1" t="s">
        <v>3755</v>
      </c>
      <c r="D2731" s="22" t="str">
        <f>HYPERLINK("https://rhld.insurance.arkansas.gov/NPILookup?Npi=1912991381","1912991381")</f>
        <v>1912991381</v>
      </c>
      <c r="E2731" s="1" t="s">
        <v>3512</v>
      </c>
      <c r="F2731" s="2"/>
      <c r="G2731" s="2"/>
      <c r="H2731" s="2"/>
    </row>
    <row r="2732" spans="1:8" x14ac:dyDescent="0.25">
      <c r="A2732" s="1"/>
      <c r="B2732" s="1" t="s">
        <v>3754</v>
      </c>
      <c r="C2732" s="1" t="s">
        <v>3755</v>
      </c>
      <c r="D2732" s="22" t="str">
        <f>HYPERLINK("https://rhld.insurance.arkansas.gov/NPILookup?Npi=1922003037","1922003037")</f>
        <v>1922003037</v>
      </c>
      <c r="E2732" s="1" t="s">
        <v>9877</v>
      </c>
      <c r="F2732" s="2"/>
      <c r="G2732" s="2"/>
      <c r="H2732" s="2"/>
    </row>
    <row r="2733" spans="1:8" x14ac:dyDescent="0.25">
      <c r="A2733" s="1"/>
      <c r="B2733" s="1" t="s">
        <v>3754</v>
      </c>
      <c r="C2733" s="1" t="s">
        <v>3755</v>
      </c>
      <c r="D2733" s="22" t="str">
        <f>HYPERLINK("https://rhld.insurance.arkansas.gov/NPILookup?Npi=1922118173","1922118173")</f>
        <v>1922118173</v>
      </c>
      <c r="E2733" s="1" t="s">
        <v>3850</v>
      </c>
      <c r="F2733" s="2"/>
      <c r="G2733" s="2"/>
      <c r="H2733" s="2"/>
    </row>
    <row r="2734" spans="1:8" x14ac:dyDescent="0.25">
      <c r="A2734" s="1"/>
      <c r="B2734" s="1" t="s">
        <v>3754</v>
      </c>
      <c r="C2734" s="1" t="s">
        <v>3755</v>
      </c>
      <c r="D2734" s="22" t="str">
        <f>HYPERLINK("https://rhld.insurance.arkansas.gov/NPILookup?Npi=1922190396","1922190396")</f>
        <v>1922190396</v>
      </c>
      <c r="E2734" s="1" t="s">
        <v>15970</v>
      </c>
      <c r="F2734" s="2"/>
      <c r="G2734" s="2"/>
      <c r="H2734" s="2"/>
    </row>
    <row r="2735" spans="1:8" x14ac:dyDescent="0.25">
      <c r="A2735" s="1"/>
      <c r="B2735" s="1" t="s">
        <v>3754</v>
      </c>
      <c r="C2735" s="1" t="s">
        <v>3755</v>
      </c>
      <c r="D2735" s="22" t="str">
        <f>HYPERLINK("https://rhld.insurance.arkansas.gov/NPILookup?Npi=1922268986","1922268986")</f>
        <v>1922268986</v>
      </c>
      <c r="E2735" s="1" t="s">
        <v>15971</v>
      </c>
      <c r="F2735" s="2"/>
      <c r="G2735" s="2"/>
      <c r="H2735" s="2"/>
    </row>
    <row r="2736" spans="1:8" x14ac:dyDescent="0.25">
      <c r="A2736" s="1"/>
      <c r="B2736" s="1" t="s">
        <v>3754</v>
      </c>
      <c r="C2736" s="1" t="s">
        <v>3755</v>
      </c>
      <c r="D2736" s="22" t="str">
        <f>HYPERLINK("https://rhld.insurance.arkansas.gov/NPILookup?Npi=1932429719","1932429719")</f>
        <v>1932429719</v>
      </c>
      <c r="E2736" s="1" t="s">
        <v>9878</v>
      </c>
      <c r="F2736" s="2"/>
      <c r="G2736" s="2"/>
      <c r="H2736" s="2"/>
    </row>
    <row r="2737" spans="1:8" x14ac:dyDescent="0.25">
      <c r="A2737" s="1"/>
      <c r="B2737" s="1" t="s">
        <v>3754</v>
      </c>
      <c r="C2737" s="1" t="s">
        <v>3755</v>
      </c>
      <c r="D2737" s="22" t="str">
        <f>HYPERLINK("https://rhld.insurance.arkansas.gov/NPILookup?Npi=1942262571","1942262571")</f>
        <v>1942262571</v>
      </c>
      <c r="E2737" s="1" t="s">
        <v>15972</v>
      </c>
      <c r="F2737" s="2"/>
      <c r="G2737" s="2"/>
      <c r="H2737" s="2"/>
    </row>
    <row r="2738" spans="1:8" x14ac:dyDescent="0.25">
      <c r="A2738" s="1"/>
      <c r="B2738" s="1" t="s">
        <v>3754</v>
      </c>
      <c r="C2738" s="1" t="s">
        <v>3755</v>
      </c>
      <c r="D2738" s="22" t="str">
        <f>HYPERLINK("https://rhld.insurance.arkansas.gov/NPILookup?Npi=1942265541","1942265541")</f>
        <v>1942265541</v>
      </c>
      <c r="E2738" s="1" t="s">
        <v>3851</v>
      </c>
      <c r="F2738" s="2"/>
      <c r="G2738" s="2"/>
      <c r="H2738" s="2"/>
    </row>
    <row r="2739" spans="1:8" x14ac:dyDescent="0.25">
      <c r="A2739" s="1"/>
      <c r="B2739" s="1" t="s">
        <v>3754</v>
      </c>
      <c r="C2739" s="1" t="s">
        <v>3755</v>
      </c>
      <c r="D2739" s="22" t="str">
        <f>HYPERLINK("https://rhld.insurance.arkansas.gov/NPILookup?Npi=1942315379","1942315379")</f>
        <v>1942315379</v>
      </c>
      <c r="E2739" s="1" t="s">
        <v>15973</v>
      </c>
      <c r="F2739" s="2"/>
      <c r="G2739" s="2"/>
      <c r="H2739" s="2"/>
    </row>
    <row r="2740" spans="1:8" x14ac:dyDescent="0.25">
      <c r="A2740" s="1"/>
      <c r="B2740" s="1" t="s">
        <v>3754</v>
      </c>
      <c r="C2740" s="1" t="s">
        <v>3755</v>
      </c>
      <c r="D2740" s="22" t="str">
        <f>HYPERLINK("https://rhld.insurance.arkansas.gov/NPILookup?Npi=1942422696","1942422696")</f>
        <v>1942422696</v>
      </c>
      <c r="E2740" s="1" t="s">
        <v>15974</v>
      </c>
      <c r="F2740" s="2"/>
      <c r="G2740" s="2"/>
      <c r="H2740" s="2"/>
    </row>
    <row r="2741" spans="1:8" x14ac:dyDescent="0.25">
      <c r="A2741" s="1"/>
      <c r="B2741" s="1" t="s">
        <v>3754</v>
      </c>
      <c r="C2741" s="1" t="s">
        <v>3755</v>
      </c>
      <c r="D2741" s="22" t="str">
        <f>HYPERLINK("https://rhld.insurance.arkansas.gov/NPILookup?Npi=1942538335","1942538335")</f>
        <v>1942538335</v>
      </c>
      <c r="E2741" s="1" t="s">
        <v>15975</v>
      </c>
      <c r="F2741" s="2"/>
      <c r="G2741" s="2"/>
      <c r="H2741" s="2"/>
    </row>
    <row r="2742" spans="1:8" x14ac:dyDescent="0.25">
      <c r="A2742" s="1"/>
      <c r="B2742" s="1" t="s">
        <v>3754</v>
      </c>
      <c r="C2742" s="1" t="s">
        <v>3755</v>
      </c>
      <c r="D2742" s="22" t="str">
        <f>HYPERLINK("https://rhld.insurance.arkansas.gov/NPILookup?Npi=1942668082","1942668082")</f>
        <v>1942668082</v>
      </c>
      <c r="E2742" s="1" t="s">
        <v>15976</v>
      </c>
      <c r="F2742" s="2"/>
      <c r="G2742" s="2"/>
      <c r="H2742" s="2"/>
    </row>
    <row r="2743" spans="1:8" x14ac:dyDescent="0.25">
      <c r="A2743" s="1"/>
      <c r="B2743" s="1" t="s">
        <v>3754</v>
      </c>
      <c r="C2743" s="1" t="s">
        <v>3755</v>
      </c>
      <c r="D2743" s="22" t="str">
        <f>HYPERLINK("https://rhld.insurance.arkansas.gov/NPILookup?Npi=1942796875","1942796875")</f>
        <v>1942796875</v>
      </c>
      <c r="E2743" s="1" t="s">
        <v>15977</v>
      </c>
      <c r="F2743" s="2"/>
      <c r="G2743" s="2"/>
      <c r="H2743" s="2"/>
    </row>
    <row r="2744" spans="1:8" x14ac:dyDescent="0.25">
      <c r="A2744" s="1"/>
      <c r="B2744" s="1" t="s">
        <v>3754</v>
      </c>
      <c r="C2744" s="1" t="s">
        <v>3755</v>
      </c>
      <c r="D2744" s="22" t="str">
        <f>HYPERLINK("https://rhld.insurance.arkansas.gov/NPILookup?Npi=1952344301","1952344301")</f>
        <v>1952344301</v>
      </c>
      <c r="E2744" s="1" t="s">
        <v>9879</v>
      </c>
      <c r="F2744" s="2"/>
      <c r="G2744" s="2"/>
      <c r="H2744" s="2"/>
    </row>
    <row r="2745" spans="1:8" x14ac:dyDescent="0.25">
      <c r="A2745" s="1"/>
      <c r="B2745" s="1" t="s">
        <v>3754</v>
      </c>
      <c r="C2745" s="1" t="s">
        <v>3755</v>
      </c>
      <c r="D2745" s="22" t="str">
        <f>HYPERLINK("https://rhld.insurance.arkansas.gov/NPILookup?Npi=1952615007","1952615007")</f>
        <v>1952615007</v>
      </c>
      <c r="E2745" s="1" t="s">
        <v>15978</v>
      </c>
      <c r="F2745" s="2"/>
      <c r="G2745" s="2"/>
      <c r="H2745" s="2"/>
    </row>
    <row r="2746" spans="1:8" x14ac:dyDescent="0.25">
      <c r="A2746" s="1"/>
      <c r="B2746" s="1" t="s">
        <v>3754</v>
      </c>
      <c r="C2746" s="1" t="s">
        <v>3755</v>
      </c>
      <c r="D2746" s="22" t="str">
        <f>HYPERLINK("https://rhld.insurance.arkansas.gov/NPILookup?Npi=1962402487","1962402487")</f>
        <v>1962402487</v>
      </c>
      <c r="E2746" s="1" t="s">
        <v>3513</v>
      </c>
      <c r="F2746" s="2"/>
      <c r="G2746" s="2"/>
      <c r="H2746" s="2"/>
    </row>
    <row r="2747" spans="1:8" x14ac:dyDescent="0.25">
      <c r="A2747" s="1"/>
      <c r="B2747" s="1" t="s">
        <v>3754</v>
      </c>
      <c r="C2747" s="1" t="s">
        <v>3755</v>
      </c>
      <c r="D2747" s="22" t="str">
        <f>HYPERLINK("https://rhld.insurance.arkansas.gov/NPILookup?Npi=1962407940","1962407940")</f>
        <v>1962407940</v>
      </c>
      <c r="E2747" s="1" t="s">
        <v>15979</v>
      </c>
      <c r="F2747" s="2"/>
      <c r="G2747" s="2"/>
      <c r="H2747" s="2"/>
    </row>
    <row r="2748" spans="1:8" x14ac:dyDescent="0.25">
      <c r="A2748" s="1"/>
      <c r="B2748" s="1" t="s">
        <v>3754</v>
      </c>
      <c r="C2748" s="1" t="s">
        <v>3755</v>
      </c>
      <c r="D2748" s="22" t="str">
        <f>HYPERLINK("https://rhld.insurance.arkansas.gov/NPILookup?Npi=1962440685","1962440685")</f>
        <v>1962440685</v>
      </c>
      <c r="E2748" s="1" t="s">
        <v>2264</v>
      </c>
      <c r="F2748" s="2"/>
      <c r="G2748" s="2"/>
      <c r="H2748" s="2"/>
    </row>
    <row r="2749" spans="1:8" x14ac:dyDescent="0.25">
      <c r="A2749" s="1"/>
      <c r="B2749" s="1" t="s">
        <v>3754</v>
      </c>
      <c r="C2749" s="1" t="s">
        <v>3755</v>
      </c>
      <c r="D2749" s="22" t="str">
        <f>HYPERLINK("https://rhld.insurance.arkansas.gov/NPILookup?Npi=1962449728","1962449728")</f>
        <v>1962449728</v>
      </c>
      <c r="E2749" s="1" t="s">
        <v>15980</v>
      </c>
      <c r="F2749" s="2"/>
      <c r="G2749" s="2"/>
      <c r="H2749" s="2"/>
    </row>
    <row r="2750" spans="1:8" x14ac:dyDescent="0.25">
      <c r="A2750" s="1"/>
      <c r="B2750" s="1" t="s">
        <v>3754</v>
      </c>
      <c r="C2750" s="1" t="s">
        <v>3755</v>
      </c>
      <c r="D2750" s="22" t="str">
        <f>HYPERLINK("https://rhld.insurance.arkansas.gov/NPILookup?Npi=1962502898","1962502898")</f>
        <v>1962502898</v>
      </c>
      <c r="E2750" s="1" t="s">
        <v>15981</v>
      </c>
      <c r="F2750" s="2"/>
      <c r="G2750" s="2"/>
      <c r="H2750" s="2"/>
    </row>
    <row r="2751" spans="1:8" x14ac:dyDescent="0.25">
      <c r="A2751" s="1"/>
      <c r="B2751" s="1" t="s">
        <v>3754</v>
      </c>
      <c r="C2751" s="1" t="s">
        <v>3755</v>
      </c>
      <c r="D2751" s="22" t="str">
        <f>HYPERLINK("https://rhld.insurance.arkansas.gov/NPILookup?Npi=1962695668","1962695668")</f>
        <v>1962695668</v>
      </c>
      <c r="E2751" s="1" t="s">
        <v>15982</v>
      </c>
      <c r="F2751" s="2"/>
      <c r="G2751" s="2"/>
      <c r="H2751" s="2"/>
    </row>
    <row r="2752" spans="1:8" x14ac:dyDescent="0.25">
      <c r="A2752" s="1"/>
      <c r="B2752" s="1" t="s">
        <v>3754</v>
      </c>
      <c r="C2752" s="1" t="s">
        <v>3755</v>
      </c>
      <c r="D2752" s="22" t="str">
        <f>HYPERLINK("https://rhld.insurance.arkansas.gov/NPILookup?Npi=1962714600","1962714600")</f>
        <v>1962714600</v>
      </c>
      <c r="E2752" s="1" t="s">
        <v>3852</v>
      </c>
      <c r="F2752" s="2"/>
      <c r="G2752" s="2"/>
      <c r="H2752" s="2"/>
    </row>
    <row r="2753" spans="1:8" x14ac:dyDescent="0.25">
      <c r="A2753" s="1"/>
      <c r="B2753" s="1" t="s">
        <v>3754</v>
      </c>
      <c r="C2753" s="1" t="s">
        <v>3755</v>
      </c>
      <c r="D2753" s="22" t="str">
        <f>HYPERLINK("https://rhld.insurance.arkansas.gov/NPILookup?Npi=1972523801","1972523801")</f>
        <v>1972523801</v>
      </c>
      <c r="E2753" s="1" t="s">
        <v>9880</v>
      </c>
      <c r="F2753" s="2"/>
      <c r="G2753" s="2"/>
      <c r="H2753" s="2"/>
    </row>
    <row r="2754" spans="1:8" x14ac:dyDescent="0.25">
      <c r="A2754" s="1"/>
      <c r="B2754" s="1" t="s">
        <v>3754</v>
      </c>
      <c r="C2754" s="1" t="s">
        <v>3755</v>
      </c>
      <c r="D2754" s="22" t="str">
        <f>HYPERLINK("https://rhld.insurance.arkansas.gov/NPILookup?Npi=1972564359","1972564359")</f>
        <v>1972564359</v>
      </c>
      <c r="E2754" s="1" t="s">
        <v>15984</v>
      </c>
      <c r="F2754" s="2"/>
      <c r="G2754" s="2"/>
      <c r="H2754" s="2"/>
    </row>
    <row r="2755" spans="1:8" x14ac:dyDescent="0.25">
      <c r="A2755" s="1"/>
      <c r="B2755" s="1" t="s">
        <v>3754</v>
      </c>
      <c r="C2755" s="1" t="s">
        <v>3755</v>
      </c>
      <c r="D2755" s="22" t="str">
        <f>HYPERLINK("https://rhld.insurance.arkansas.gov/NPILookup?Npi=1972613487","1972613487")</f>
        <v>1972613487</v>
      </c>
      <c r="E2755" s="1" t="s">
        <v>31327</v>
      </c>
      <c r="F2755" s="2"/>
      <c r="G2755" s="2"/>
      <c r="H2755" s="2"/>
    </row>
    <row r="2756" spans="1:8" x14ac:dyDescent="0.25">
      <c r="A2756" s="1"/>
      <c r="B2756" s="1" t="s">
        <v>3754</v>
      </c>
      <c r="C2756" s="1" t="s">
        <v>3755</v>
      </c>
      <c r="D2756" s="22" t="str">
        <f>HYPERLINK("https://rhld.insurance.arkansas.gov/NPILookup?Npi=1972659480","1972659480")</f>
        <v>1972659480</v>
      </c>
      <c r="E2756" s="1" t="s">
        <v>15985</v>
      </c>
      <c r="F2756" s="2"/>
      <c r="G2756" s="2"/>
      <c r="H2756" s="2"/>
    </row>
    <row r="2757" spans="1:8" x14ac:dyDescent="0.25">
      <c r="A2757" s="1"/>
      <c r="B2757" s="1" t="s">
        <v>3754</v>
      </c>
      <c r="C2757" s="1" t="s">
        <v>3755</v>
      </c>
      <c r="D2757" s="22" t="str">
        <f>HYPERLINK("https://rhld.insurance.arkansas.gov/NPILookup?Npi=1972867422","1972867422")</f>
        <v>1972867422</v>
      </c>
      <c r="E2757" s="1" t="s">
        <v>1359</v>
      </c>
      <c r="F2757" s="2"/>
      <c r="G2757" s="2"/>
      <c r="H2757" s="2"/>
    </row>
    <row r="2758" spans="1:8" x14ac:dyDescent="0.25">
      <c r="A2758" s="1"/>
      <c r="B2758" s="1" t="s">
        <v>3754</v>
      </c>
      <c r="C2758" s="1" t="s">
        <v>3755</v>
      </c>
      <c r="D2758" s="22" t="str">
        <f>HYPERLINK("https://rhld.insurance.arkansas.gov/NPILookup?Npi=1982040580","1982040580")</f>
        <v>1982040580</v>
      </c>
      <c r="E2758" s="1" t="s">
        <v>9881</v>
      </c>
      <c r="F2758" s="2"/>
      <c r="G2758" s="2"/>
      <c r="H2758" s="2"/>
    </row>
    <row r="2759" spans="1:8" x14ac:dyDescent="0.25">
      <c r="A2759" s="1"/>
      <c r="B2759" s="1" t="s">
        <v>3754</v>
      </c>
      <c r="C2759" s="1" t="s">
        <v>3755</v>
      </c>
      <c r="D2759" s="22" t="str">
        <f>HYPERLINK("https://rhld.insurance.arkansas.gov/NPILookup?Npi=1982763462","1982763462")</f>
        <v>1982763462</v>
      </c>
      <c r="E2759" s="1" t="s">
        <v>15986</v>
      </c>
      <c r="F2759" s="2"/>
      <c r="G2759" s="2"/>
      <c r="H2759" s="2"/>
    </row>
    <row r="2760" spans="1:8" x14ac:dyDescent="0.25">
      <c r="A2760" s="1"/>
      <c r="B2760" s="1" t="s">
        <v>3754</v>
      </c>
      <c r="C2760" s="1" t="s">
        <v>3755</v>
      </c>
      <c r="D2760" s="22" t="str">
        <f>HYPERLINK("https://rhld.insurance.arkansas.gov/NPILookup?Npi=1982814935","1982814935")</f>
        <v>1982814935</v>
      </c>
      <c r="E2760" s="1" t="s">
        <v>3853</v>
      </c>
      <c r="F2760" s="2"/>
      <c r="G2760" s="2"/>
      <c r="H2760" s="2"/>
    </row>
    <row r="2761" spans="1:8" x14ac:dyDescent="0.25">
      <c r="A2761" s="1"/>
      <c r="B2761" s="1" t="s">
        <v>3754</v>
      </c>
      <c r="C2761" s="1" t="s">
        <v>3755</v>
      </c>
      <c r="D2761" s="22" t="str">
        <f>HYPERLINK("https://rhld.insurance.arkansas.gov/NPILookup?Npi=1982870119","1982870119")</f>
        <v>1982870119</v>
      </c>
      <c r="E2761" s="1" t="s">
        <v>2265</v>
      </c>
      <c r="F2761" s="2"/>
      <c r="G2761" s="2"/>
      <c r="H2761" s="2"/>
    </row>
    <row r="2762" spans="1:8" x14ac:dyDescent="0.25">
      <c r="A2762" s="1"/>
      <c r="B2762" s="1" t="s">
        <v>3754</v>
      </c>
      <c r="C2762" s="1" t="s">
        <v>3755</v>
      </c>
      <c r="D2762" s="22" t="str">
        <f>HYPERLINK("https://rhld.insurance.arkansas.gov/NPILookup?Npi=1982921391","1982921391")</f>
        <v>1982921391</v>
      </c>
      <c r="E2762" s="1" t="s">
        <v>15988</v>
      </c>
      <c r="F2762" s="2"/>
      <c r="G2762" s="2"/>
      <c r="H2762" s="2"/>
    </row>
    <row r="2763" spans="1:8" x14ac:dyDescent="0.25">
      <c r="A2763" s="1"/>
      <c r="B2763" s="1" t="s">
        <v>3754</v>
      </c>
      <c r="C2763" s="1" t="s">
        <v>3755</v>
      </c>
      <c r="D2763" s="22" t="str">
        <f>HYPERLINK("https://rhld.insurance.arkansas.gov/NPILookup?Npi=1982984951","1982984951")</f>
        <v>1982984951</v>
      </c>
      <c r="E2763" s="1" t="s">
        <v>801</v>
      </c>
      <c r="F2763" s="2"/>
      <c r="G2763" s="2"/>
      <c r="H2763" s="2"/>
    </row>
    <row r="2764" spans="1:8" x14ac:dyDescent="0.25">
      <c r="A2764" s="1"/>
      <c r="B2764" s="1" t="s">
        <v>3754</v>
      </c>
      <c r="C2764" s="1" t="s">
        <v>3755</v>
      </c>
      <c r="D2764" s="22" t="str">
        <f>HYPERLINK("https://rhld.insurance.arkansas.gov/NPILookup?Npi=1982998837","1982998837")</f>
        <v>1982998837</v>
      </c>
      <c r="E2764" s="1" t="s">
        <v>15989</v>
      </c>
      <c r="F2764" s="2"/>
      <c r="G2764" s="2"/>
      <c r="H2764" s="2"/>
    </row>
    <row r="2765" spans="1:8" x14ac:dyDescent="0.25">
      <c r="A2765" s="1"/>
      <c r="B2765" s="1" t="s">
        <v>3754</v>
      </c>
      <c r="C2765" s="1" t="s">
        <v>3755</v>
      </c>
      <c r="D2765" s="22" t="str">
        <f>HYPERLINK("https://rhld.insurance.arkansas.gov/NPILookup?Npi=1992716732","1992716732")</f>
        <v>1992716732</v>
      </c>
      <c r="E2765" s="1" t="s">
        <v>1447</v>
      </c>
      <c r="F2765" s="2"/>
      <c r="G2765" s="2"/>
      <c r="H2765" s="2"/>
    </row>
    <row r="2766" spans="1:8" x14ac:dyDescent="0.25">
      <c r="A2766" s="1"/>
      <c r="B2766" s="1" t="s">
        <v>3754</v>
      </c>
      <c r="C2766" s="1" t="s">
        <v>3755</v>
      </c>
      <c r="D2766" s="22" t="str">
        <f>HYPERLINK("https://rhld.insurance.arkansas.gov/NPILookup?Npi=1992735641","1992735641")</f>
        <v>1992735641</v>
      </c>
      <c r="E2766" s="1" t="s">
        <v>3514</v>
      </c>
      <c r="F2766" s="2"/>
      <c r="G2766" s="2"/>
      <c r="H2766" s="2"/>
    </row>
    <row r="2767" spans="1:8" x14ac:dyDescent="0.25">
      <c r="A2767" s="1"/>
      <c r="B2767" s="1" t="s">
        <v>3754</v>
      </c>
      <c r="C2767" s="1" t="s">
        <v>3755</v>
      </c>
      <c r="D2767" s="22" t="str">
        <f>HYPERLINK("https://rhld.insurance.arkansas.gov/NPILookup?Npi=1992754360","1992754360")</f>
        <v>1992754360</v>
      </c>
      <c r="E2767" s="1" t="s">
        <v>2266</v>
      </c>
      <c r="F2767" s="2"/>
      <c r="G2767" s="2"/>
      <c r="H2767" s="2"/>
    </row>
    <row r="2768" spans="1:8" x14ac:dyDescent="0.25">
      <c r="A2768" s="1"/>
      <c r="B2768" s="1" t="s">
        <v>3754</v>
      </c>
      <c r="C2768" s="1" t="s">
        <v>3755</v>
      </c>
      <c r="D2768" s="22" t="str">
        <f>HYPERLINK("https://rhld.insurance.arkansas.gov/NPILookup?Npi=1992994396","1992994396")</f>
        <v>1992994396</v>
      </c>
      <c r="E2768" s="1" t="s">
        <v>15990</v>
      </c>
      <c r="F2768" s="2"/>
      <c r="G2768" s="2"/>
      <c r="H2768" s="2"/>
    </row>
    <row r="2769" spans="1:8" x14ac:dyDescent="0.25">
      <c r="A2769" s="1"/>
      <c r="B2769" s="1" t="s">
        <v>3854</v>
      </c>
      <c r="C2769" s="1" t="s">
        <v>3855</v>
      </c>
      <c r="D2769" s="22" t="str">
        <f>HYPERLINK("https://rhld.insurance.arkansas.gov/NPILookup?Npi=1023009040","1023009040")</f>
        <v>1023009040</v>
      </c>
      <c r="E2769" s="1" t="s">
        <v>15703</v>
      </c>
      <c r="F2769" s="2"/>
      <c r="G2769" s="2"/>
      <c r="H2769" s="2"/>
    </row>
    <row r="2770" spans="1:8" x14ac:dyDescent="0.25">
      <c r="A2770" s="1"/>
      <c r="B2770" s="1" t="s">
        <v>3854</v>
      </c>
      <c r="C2770" s="1" t="s">
        <v>3855</v>
      </c>
      <c r="D2770" s="22" t="str">
        <f>HYPERLINK("https://rhld.insurance.arkansas.gov/NPILookup?Npi=1023087764","1023087764")</f>
        <v>1023087764</v>
      </c>
      <c r="E2770" s="1" t="s">
        <v>15991</v>
      </c>
      <c r="F2770" s="2"/>
      <c r="G2770" s="2"/>
      <c r="H2770" s="2"/>
    </row>
    <row r="2771" spans="1:8" x14ac:dyDescent="0.25">
      <c r="A2771" s="1"/>
      <c r="B2771" s="1" t="s">
        <v>3854</v>
      </c>
      <c r="C2771" s="1" t="s">
        <v>3855</v>
      </c>
      <c r="D2771" s="22" t="str">
        <f>HYPERLINK("https://rhld.insurance.arkansas.gov/NPILookup?Npi=1033295878","1033295878")</f>
        <v>1033295878</v>
      </c>
      <c r="E2771" s="1" t="s">
        <v>15992</v>
      </c>
      <c r="F2771" s="2"/>
      <c r="G2771" s="2"/>
      <c r="H2771" s="2"/>
    </row>
    <row r="2772" spans="1:8" x14ac:dyDescent="0.25">
      <c r="A2772" s="1"/>
      <c r="B2772" s="1" t="s">
        <v>3854</v>
      </c>
      <c r="C2772" s="1" t="s">
        <v>3855</v>
      </c>
      <c r="D2772" s="22" t="str">
        <f>HYPERLINK("https://rhld.insurance.arkansas.gov/NPILookup?Npi=1043390164","1043390164")</f>
        <v>1043390164</v>
      </c>
      <c r="E2772" s="1" t="s">
        <v>9883</v>
      </c>
      <c r="F2772" s="2"/>
      <c r="G2772" s="2"/>
      <c r="H2772" s="2"/>
    </row>
    <row r="2773" spans="1:8" x14ac:dyDescent="0.25">
      <c r="A2773" s="1"/>
      <c r="B2773" s="1" t="s">
        <v>3854</v>
      </c>
      <c r="C2773" s="1" t="s">
        <v>3855</v>
      </c>
      <c r="D2773" s="22" t="str">
        <f>HYPERLINK("https://rhld.insurance.arkansas.gov/NPILookup?Npi=1073506648","1073506648")</f>
        <v>1073506648</v>
      </c>
      <c r="E2773" s="1" t="s">
        <v>3856</v>
      </c>
      <c r="F2773" s="2"/>
      <c r="G2773" s="2"/>
      <c r="H2773" s="2"/>
    </row>
    <row r="2774" spans="1:8" x14ac:dyDescent="0.25">
      <c r="A2774" s="1"/>
      <c r="B2774" s="1" t="s">
        <v>3854</v>
      </c>
      <c r="C2774" s="1" t="s">
        <v>3855</v>
      </c>
      <c r="D2774" s="22" t="str">
        <f>HYPERLINK("https://rhld.insurance.arkansas.gov/NPILookup?Npi=1073538823","1073538823")</f>
        <v>1073538823</v>
      </c>
      <c r="E2774" s="1" t="s">
        <v>3765</v>
      </c>
      <c r="F2774" s="2"/>
      <c r="G2774" s="2"/>
      <c r="H2774" s="2"/>
    </row>
    <row r="2775" spans="1:8" x14ac:dyDescent="0.25">
      <c r="A2775" s="1"/>
      <c r="B2775" s="1" t="s">
        <v>3854</v>
      </c>
      <c r="C2775" s="1" t="s">
        <v>3855</v>
      </c>
      <c r="D2775" s="22" t="str">
        <f>HYPERLINK("https://rhld.insurance.arkansas.gov/NPILookup?Npi=1104076439","1104076439")</f>
        <v>1104076439</v>
      </c>
      <c r="E2775" s="1" t="s">
        <v>9884</v>
      </c>
      <c r="F2775" s="2"/>
      <c r="G2775" s="2"/>
      <c r="H2775" s="2"/>
    </row>
    <row r="2776" spans="1:8" x14ac:dyDescent="0.25">
      <c r="A2776" s="1"/>
      <c r="B2776" s="1" t="s">
        <v>3854</v>
      </c>
      <c r="C2776" s="1" t="s">
        <v>3855</v>
      </c>
      <c r="D2776" s="22" t="str">
        <f>HYPERLINK("https://rhld.insurance.arkansas.gov/NPILookup?Npi=1104805498","1104805498")</f>
        <v>1104805498</v>
      </c>
      <c r="E2776" s="1" t="s">
        <v>15993</v>
      </c>
      <c r="F2776" s="2"/>
      <c r="G2776" s="2"/>
      <c r="H2776" s="2"/>
    </row>
    <row r="2777" spans="1:8" x14ac:dyDescent="0.25">
      <c r="A2777" s="1"/>
      <c r="B2777" s="1" t="s">
        <v>3854</v>
      </c>
      <c r="C2777" s="1" t="s">
        <v>3855</v>
      </c>
      <c r="D2777" s="22" t="str">
        <f>HYPERLINK("https://rhld.insurance.arkansas.gov/NPILookup?Npi=1114993060","1114993060")</f>
        <v>1114993060</v>
      </c>
      <c r="E2777" s="1" t="s">
        <v>15994</v>
      </c>
      <c r="F2777" s="2"/>
      <c r="G2777" s="2"/>
      <c r="H2777" s="2"/>
    </row>
    <row r="2778" spans="1:8" x14ac:dyDescent="0.25">
      <c r="A2778" s="1"/>
      <c r="B2778" s="1" t="s">
        <v>3854</v>
      </c>
      <c r="C2778" s="1" t="s">
        <v>3855</v>
      </c>
      <c r="D2778" s="22" t="str">
        <f>HYPERLINK("https://rhld.insurance.arkansas.gov/NPILookup?Npi=1124061551","1124061551")</f>
        <v>1124061551</v>
      </c>
      <c r="E2778" s="1" t="s">
        <v>3857</v>
      </c>
      <c r="F2778" s="2"/>
      <c r="G2778" s="2"/>
      <c r="H2778" s="2"/>
    </row>
    <row r="2779" spans="1:8" x14ac:dyDescent="0.25">
      <c r="A2779" s="1"/>
      <c r="B2779" s="1" t="s">
        <v>3854</v>
      </c>
      <c r="C2779" s="1" t="s">
        <v>3855</v>
      </c>
      <c r="D2779" s="22" t="str">
        <f>HYPERLINK("https://rhld.insurance.arkansas.gov/NPILookup?Npi=1124415583","1124415583")</f>
        <v>1124415583</v>
      </c>
      <c r="E2779" s="1" t="s">
        <v>15995</v>
      </c>
      <c r="F2779" s="2"/>
      <c r="G2779" s="2"/>
      <c r="H2779" s="2"/>
    </row>
    <row r="2780" spans="1:8" x14ac:dyDescent="0.25">
      <c r="A2780" s="1"/>
      <c r="B2780" s="1" t="s">
        <v>3854</v>
      </c>
      <c r="C2780" s="1" t="s">
        <v>3855</v>
      </c>
      <c r="D2780" s="22" t="str">
        <f>HYPERLINK("https://rhld.insurance.arkansas.gov/NPILookup?Npi=1134171713","1134171713")</f>
        <v>1134171713</v>
      </c>
      <c r="E2780" s="1" t="s">
        <v>15996</v>
      </c>
      <c r="F2780" s="2"/>
      <c r="G2780" s="2"/>
      <c r="H2780" s="2"/>
    </row>
    <row r="2781" spans="1:8" x14ac:dyDescent="0.25">
      <c r="A2781" s="1"/>
      <c r="B2781" s="1" t="s">
        <v>3854</v>
      </c>
      <c r="C2781" s="1" t="s">
        <v>3855</v>
      </c>
      <c r="D2781" s="22" t="str">
        <f>HYPERLINK("https://rhld.insurance.arkansas.gov/NPILookup?Npi=1134209273","1134209273")</f>
        <v>1134209273</v>
      </c>
      <c r="E2781" s="1" t="s">
        <v>9885</v>
      </c>
      <c r="F2781" s="2"/>
      <c r="G2781" s="2"/>
      <c r="H2781" s="2"/>
    </row>
    <row r="2782" spans="1:8" x14ac:dyDescent="0.25">
      <c r="A2782" s="1"/>
      <c r="B2782" s="1" t="s">
        <v>3854</v>
      </c>
      <c r="C2782" s="1" t="s">
        <v>3855</v>
      </c>
      <c r="D2782" s="22" t="str">
        <f>HYPERLINK("https://rhld.insurance.arkansas.gov/NPILookup?Npi=1144403387","1144403387")</f>
        <v>1144403387</v>
      </c>
      <c r="E2782" s="1" t="s">
        <v>15997</v>
      </c>
      <c r="F2782" s="2"/>
      <c r="G2782" s="2"/>
      <c r="H2782" s="2"/>
    </row>
    <row r="2783" spans="1:8" x14ac:dyDescent="0.25">
      <c r="A2783" s="1"/>
      <c r="B2783" s="1" t="s">
        <v>3854</v>
      </c>
      <c r="C2783" s="1" t="s">
        <v>3855</v>
      </c>
      <c r="D2783" s="22" t="str">
        <f>HYPERLINK("https://rhld.insurance.arkansas.gov/NPILookup?Npi=1154497717","1154497717")</f>
        <v>1154497717</v>
      </c>
      <c r="E2783" s="1" t="s">
        <v>3858</v>
      </c>
      <c r="F2783" s="2"/>
      <c r="G2783" s="2"/>
      <c r="H2783" s="2"/>
    </row>
    <row r="2784" spans="1:8" x14ac:dyDescent="0.25">
      <c r="A2784" s="1"/>
      <c r="B2784" s="1" t="s">
        <v>3854</v>
      </c>
      <c r="C2784" s="1" t="s">
        <v>3855</v>
      </c>
      <c r="D2784" s="22" t="str">
        <f>HYPERLINK("https://rhld.insurance.arkansas.gov/NPILookup?Npi=1164515318","1164515318")</f>
        <v>1164515318</v>
      </c>
      <c r="E2784" s="1" t="s">
        <v>15998</v>
      </c>
      <c r="F2784" s="2"/>
      <c r="G2784" s="2"/>
      <c r="H2784" s="2"/>
    </row>
    <row r="2785" spans="1:8" x14ac:dyDescent="0.25">
      <c r="A2785" s="1"/>
      <c r="B2785" s="1" t="s">
        <v>3854</v>
      </c>
      <c r="C2785" s="1" t="s">
        <v>3855</v>
      </c>
      <c r="D2785" s="22" t="str">
        <f>HYPERLINK("https://rhld.insurance.arkansas.gov/NPILookup?Npi=1174558001","1174558001")</f>
        <v>1174558001</v>
      </c>
      <c r="E2785" s="1" t="s">
        <v>15999</v>
      </c>
      <c r="F2785" s="2"/>
      <c r="G2785" s="2"/>
      <c r="H2785" s="2"/>
    </row>
    <row r="2786" spans="1:8" x14ac:dyDescent="0.25">
      <c r="A2786" s="1"/>
      <c r="B2786" s="1" t="s">
        <v>3854</v>
      </c>
      <c r="C2786" s="1" t="s">
        <v>3855</v>
      </c>
      <c r="D2786" s="22" t="str">
        <f>HYPERLINK("https://rhld.insurance.arkansas.gov/NPILookup?Npi=1194704387","1194704387")</f>
        <v>1194704387</v>
      </c>
      <c r="E2786" s="1" t="s">
        <v>31328</v>
      </c>
      <c r="F2786" s="2"/>
      <c r="G2786" s="2"/>
      <c r="H2786" s="2"/>
    </row>
    <row r="2787" spans="1:8" x14ac:dyDescent="0.25">
      <c r="A2787" s="1"/>
      <c r="B2787" s="1" t="s">
        <v>3854</v>
      </c>
      <c r="C2787" s="1" t="s">
        <v>3855</v>
      </c>
      <c r="D2787" s="22" t="str">
        <f>HYPERLINK("https://rhld.insurance.arkansas.gov/NPILookup?Npi=1205929262","1205929262")</f>
        <v>1205929262</v>
      </c>
      <c r="E2787" s="1" t="s">
        <v>1201</v>
      </c>
      <c r="F2787" s="2"/>
      <c r="G2787" s="2"/>
      <c r="H2787" s="2"/>
    </row>
    <row r="2788" spans="1:8" x14ac:dyDescent="0.25">
      <c r="A2788" s="1"/>
      <c r="B2788" s="1" t="s">
        <v>3854</v>
      </c>
      <c r="C2788" s="1" t="s">
        <v>3855</v>
      </c>
      <c r="D2788" s="22" t="str">
        <f>HYPERLINK("https://rhld.insurance.arkansas.gov/NPILookup?Npi=1205977634","1205977634")</f>
        <v>1205977634</v>
      </c>
      <c r="E2788" s="1" t="s">
        <v>16000</v>
      </c>
      <c r="F2788" s="2"/>
      <c r="G2788" s="2"/>
      <c r="H2788" s="2"/>
    </row>
    <row r="2789" spans="1:8" x14ac:dyDescent="0.25">
      <c r="A2789" s="1"/>
      <c r="B2789" s="1" t="s">
        <v>3854</v>
      </c>
      <c r="C2789" s="1" t="s">
        <v>3855</v>
      </c>
      <c r="D2789" s="22" t="str">
        <f>HYPERLINK("https://rhld.insurance.arkansas.gov/NPILookup?Npi=1225039720","1225039720")</f>
        <v>1225039720</v>
      </c>
      <c r="E2789" s="1" t="s">
        <v>3859</v>
      </c>
      <c r="F2789" s="2"/>
      <c r="G2789" s="2"/>
      <c r="H2789" s="2"/>
    </row>
    <row r="2790" spans="1:8" x14ac:dyDescent="0.25">
      <c r="A2790" s="1"/>
      <c r="B2790" s="1" t="s">
        <v>3854</v>
      </c>
      <c r="C2790" s="1" t="s">
        <v>3855</v>
      </c>
      <c r="D2790" s="22" t="str">
        <f>HYPERLINK("https://rhld.insurance.arkansas.gov/NPILookup?Npi=1225095094","1225095094")</f>
        <v>1225095094</v>
      </c>
      <c r="E2790" s="1" t="s">
        <v>9802</v>
      </c>
      <c r="F2790" s="2"/>
      <c r="G2790" s="2"/>
      <c r="H2790" s="2"/>
    </row>
    <row r="2791" spans="1:8" x14ac:dyDescent="0.25">
      <c r="A2791" s="1"/>
      <c r="B2791" s="1" t="s">
        <v>3854</v>
      </c>
      <c r="C2791" s="1" t="s">
        <v>3855</v>
      </c>
      <c r="D2791" s="22" t="str">
        <f>HYPERLINK("https://rhld.insurance.arkansas.gov/NPILookup?Npi=1225097488","1225097488")</f>
        <v>1225097488</v>
      </c>
      <c r="E2791" s="1" t="s">
        <v>16001</v>
      </c>
      <c r="F2791" s="2"/>
      <c r="G2791" s="2"/>
      <c r="H2791" s="2"/>
    </row>
    <row r="2792" spans="1:8" x14ac:dyDescent="0.25">
      <c r="A2792" s="1"/>
      <c r="B2792" s="1" t="s">
        <v>3854</v>
      </c>
      <c r="C2792" s="1" t="s">
        <v>3855</v>
      </c>
      <c r="D2792" s="22" t="str">
        <f>HYPERLINK("https://rhld.insurance.arkansas.gov/NPILookup?Npi=1245248335","1245248335")</f>
        <v>1245248335</v>
      </c>
      <c r="E2792" s="1" t="s">
        <v>3788</v>
      </c>
      <c r="F2792" s="2"/>
      <c r="G2792" s="2"/>
      <c r="H2792" s="2"/>
    </row>
    <row r="2793" spans="1:8" x14ac:dyDescent="0.25">
      <c r="A2793" s="1"/>
      <c r="B2793" s="1" t="s">
        <v>3854</v>
      </c>
      <c r="C2793" s="1" t="s">
        <v>3855</v>
      </c>
      <c r="D2793" s="22" t="str">
        <f>HYPERLINK("https://rhld.insurance.arkansas.gov/NPILookup?Npi=1245421247","1245421247")</f>
        <v>1245421247</v>
      </c>
      <c r="E2793" s="1" t="s">
        <v>31329</v>
      </c>
      <c r="F2793" s="2"/>
      <c r="G2793" s="2"/>
      <c r="H2793" s="2"/>
    </row>
    <row r="2794" spans="1:8" x14ac:dyDescent="0.25">
      <c r="A2794" s="1"/>
      <c r="B2794" s="1" t="s">
        <v>3854</v>
      </c>
      <c r="C2794" s="1" t="s">
        <v>3855</v>
      </c>
      <c r="D2794" s="22" t="str">
        <f>HYPERLINK("https://rhld.insurance.arkansas.gov/NPILookup?Npi=1255330957","1255330957")</f>
        <v>1255330957</v>
      </c>
      <c r="E2794" s="1" t="s">
        <v>9808</v>
      </c>
      <c r="F2794" s="2"/>
      <c r="G2794" s="2"/>
      <c r="H2794" s="2"/>
    </row>
    <row r="2795" spans="1:8" x14ac:dyDescent="0.25">
      <c r="A2795" s="1"/>
      <c r="B2795" s="1" t="s">
        <v>3854</v>
      </c>
      <c r="C2795" s="1" t="s">
        <v>3855</v>
      </c>
      <c r="D2795" s="22" t="str">
        <f>HYPERLINK("https://rhld.insurance.arkansas.gov/NPILookup?Npi=1255621009","1255621009")</f>
        <v>1255621009</v>
      </c>
      <c r="E2795" s="1" t="s">
        <v>9886</v>
      </c>
      <c r="F2795" s="2"/>
      <c r="G2795" s="2"/>
      <c r="H2795" s="2"/>
    </row>
    <row r="2796" spans="1:8" x14ac:dyDescent="0.25">
      <c r="A2796" s="1"/>
      <c r="B2796" s="1" t="s">
        <v>3854</v>
      </c>
      <c r="C2796" s="1" t="s">
        <v>3855</v>
      </c>
      <c r="D2796" s="22" t="str">
        <f>HYPERLINK("https://rhld.insurance.arkansas.gov/NPILookup?Npi=1265435085","1265435085")</f>
        <v>1265435085</v>
      </c>
      <c r="E2796" s="1" t="s">
        <v>3861</v>
      </c>
      <c r="F2796" s="2"/>
      <c r="G2796" s="2"/>
      <c r="H2796" s="2"/>
    </row>
    <row r="2797" spans="1:8" x14ac:dyDescent="0.25">
      <c r="A2797" s="1"/>
      <c r="B2797" s="1" t="s">
        <v>3854</v>
      </c>
      <c r="C2797" s="1" t="s">
        <v>3855</v>
      </c>
      <c r="D2797" s="22" t="str">
        <f>HYPERLINK("https://rhld.insurance.arkansas.gov/NPILookup?Npi=1265437222","1265437222")</f>
        <v>1265437222</v>
      </c>
      <c r="E2797" s="1" t="s">
        <v>9887</v>
      </c>
      <c r="F2797" s="2"/>
      <c r="G2797" s="2"/>
      <c r="H2797" s="2"/>
    </row>
    <row r="2798" spans="1:8" x14ac:dyDescent="0.25">
      <c r="A2798" s="1"/>
      <c r="B2798" s="1" t="s">
        <v>3854</v>
      </c>
      <c r="C2798" s="1" t="s">
        <v>3855</v>
      </c>
      <c r="D2798" s="22" t="str">
        <f>HYPERLINK("https://rhld.insurance.arkansas.gov/NPILookup?Npi=1275758450","1275758450")</f>
        <v>1275758450</v>
      </c>
      <c r="E2798" s="1" t="s">
        <v>16002</v>
      </c>
      <c r="F2798" s="2"/>
      <c r="G2798" s="2"/>
      <c r="H2798" s="2"/>
    </row>
    <row r="2799" spans="1:8" x14ac:dyDescent="0.25">
      <c r="A2799" s="1"/>
      <c r="B2799" s="1" t="s">
        <v>3854</v>
      </c>
      <c r="C2799" s="1" t="s">
        <v>3855</v>
      </c>
      <c r="D2799" s="22" t="str">
        <f>HYPERLINK("https://rhld.insurance.arkansas.gov/NPILookup?Npi=1336137546","1336137546")</f>
        <v>1336137546</v>
      </c>
      <c r="E2799" s="1" t="s">
        <v>9889</v>
      </c>
      <c r="F2799" s="2"/>
      <c r="G2799" s="2"/>
      <c r="H2799" s="2"/>
    </row>
    <row r="2800" spans="1:8" x14ac:dyDescent="0.25">
      <c r="A2800" s="1"/>
      <c r="B2800" s="1" t="s">
        <v>3854</v>
      </c>
      <c r="C2800" s="1" t="s">
        <v>3855</v>
      </c>
      <c r="D2800" s="22" t="str">
        <f>HYPERLINK("https://rhld.insurance.arkansas.gov/NPILookup?Npi=1336184936","1336184936")</f>
        <v>1336184936</v>
      </c>
      <c r="E2800" s="1" t="s">
        <v>16005</v>
      </c>
      <c r="F2800" s="2"/>
      <c r="G2800" s="2"/>
      <c r="H2800" s="2"/>
    </row>
    <row r="2801" spans="1:8" x14ac:dyDescent="0.25">
      <c r="A2801" s="1"/>
      <c r="B2801" s="1" t="s">
        <v>3854</v>
      </c>
      <c r="C2801" s="1" t="s">
        <v>3855</v>
      </c>
      <c r="D2801" s="22" t="str">
        <f>HYPERLINK("https://rhld.insurance.arkansas.gov/NPILookup?Npi=1346311404","1346311404")</f>
        <v>1346311404</v>
      </c>
      <c r="E2801" s="1" t="s">
        <v>15785</v>
      </c>
      <c r="F2801" s="2"/>
      <c r="G2801" s="2"/>
      <c r="H2801" s="2"/>
    </row>
    <row r="2802" spans="1:8" x14ac:dyDescent="0.25">
      <c r="A2802" s="1"/>
      <c r="B2802" s="1" t="s">
        <v>3854</v>
      </c>
      <c r="C2802" s="1" t="s">
        <v>3855</v>
      </c>
      <c r="D2802" s="22" t="str">
        <f>HYPERLINK("https://rhld.insurance.arkansas.gov/NPILookup?Npi=1346551314","1346551314")</f>
        <v>1346551314</v>
      </c>
      <c r="E2802" s="1" t="s">
        <v>9890</v>
      </c>
      <c r="F2802" s="2"/>
      <c r="G2802" s="2"/>
      <c r="H2802" s="2"/>
    </row>
    <row r="2803" spans="1:8" x14ac:dyDescent="0.25">
      <c r="A2803" s="1"/>
      <c r="B2803" s="1" t="s">
        <v>3854</v>
      </c>
      <c r="C2803" s="1" t="s">
        <v>3855</v>
      </c>
      <c r="D2803" s="22" t="str">
        <f>HYPERLINK("https://rhld.insurance.arkansas.gov/NPILookup?Npi=1366421653","1366421653")</f>
        <v>1366421653</v>
      </c>
      <c r="E2803" s="1" t="s">
        <v>9816</v>
      </c>
      <c r="F2803" s="2"/>
      <c r="G2803" s="2"/>
      <c r="H2803" s="2"/>
    </row>
    <row r="2804" spans="1:8" x14ac:dyDescent="0.25">
      <c r="A2804" s="1"/>
      <c r="B2804" s="1" t="s">
        <v>3854</v>
      </c>
      <c r="C2804" s="1" t="s">
        <v>3855</v>
      </c>
      <c r="D2804" s="22" t="str">
        <f>HYPERLINK("https://rhld.insurance.arkansas.gov/NPILookup?Npi=1366486821","1366486821")</f>
        <v>1366486821</v>
      </c>
      <c r="E2804" s="1" t="s">
        <v>3797</v>
      </c>
      <c r="F2804" s="2"/>
      <c r="G2804" s="2"/>
      <c r="H2804" s="2"/>
    </row>
    <row r="2805" spans="1:8" x14ac:dyDescent="0.25">
      <c r="A2805" s="1"/>
      <c r="B2805" s="1" t="s">
        <v>3854</v>
      </c>
      <c r="C2805" s="1" t="s">
        <v>3855</v>
      </c>
      <c r="D2805" s="22" t="str">
        <f>HYPERLINK("https://rhld.insurance.arkansas.gov/NPILookup?Npi=1376529826","1376529826")</f>
        <v>1376529826</v>
      </c>
      <c r="E2805" s="1" t="s">
        <v>16006</v>
      </c>
      <c r="F2805" s="2"/>
      <c r="G2805" s="2"/>
      <c r="H2805" s="2"/>
    </row>
    <row r="2806" spans="1:8" x14ac:dyDescent="0.25">
      <c r="A2806" s="1"/>
      <c r="B2806" s="1" t="s">
        <v>3854</v>
      </c>
      <c r="C2806" s="1" t="s">
        <v>3855</v>
      </c>
      <c r="D2806" s="22" t="str">
        <f>HYPERLINK("https://rhld.insurance.arkansas.gov/NPILookup?Npi=1386872695","1386872695")</f>
        <v>1386872695</v>
      </c>
      <c r="E2806" s="1" t="s">
        <v>3862</v>
      </c>
      <c r="F2806" s="2"/>
      <c r="G2806" s="2"/>
      <c r="H2806" s="2"/>
    </row>
    <row r="2807" spans="1:8" x14ac:dyDescent="0.25">
      <c r="A2807" s="1"/>
      <c r="B2807" s="1" t="s">
        <v>3854</v>
      </c>
      <c r="C2807" s="1" t="s">
        <v>3855</v>
      </c>
      <c r="D2807" s="22" t="str">
        <f>HYPERLINK("https://rhld.insurance.arkansas.gov/NPILookup?Npi=1407053036","1407053036")</f>
        <v>1407053036</v>
      </c>
      <c r="E2807" s="1" t="s">
        <v>31330</v>
      </c>
      <c r="F2807" s="2"/>
      <c r="G2807" s="2"/>
      <c r="H2807" s="2"/>
    </row>
    <row r="2808" spans="1:8" x14ac:dyDescent="0.25">
      <c r="A2808" s="1"/>
      <c r="B2808" s="1" t="s">
        <v>3854</v>
      </c>
      <c r="C2808" s="1" t="s">
        <v>3855</v>
      </c>
      <c r="D2808" s="22" t="str">
        <f>HYPERLINK("https://rhld.insurance.arkansas.gov/NPILookup?Npi=1417121591","1417121591")</f>
        <v>1417121591</v>
      </c>
      <c r="E2808" s="1" t="s">
        <v>9891</v>
      </c>
      <c r="F2808" s="2"/>
      <c r="G2808" s="2"/>
      <c r="H2808" s="2"/>
    </row>
    <row r="2809" spans="1:8" x14ac:dyDescent="0.25">
      <c r="A2809" s="1"/>
      <c r="B2809" s="1" t="s">
        <v>3854</v>
      </c>
      <c r="C2809" s="1" t="s">
        <v>3855</v>
      </c>
      <c r="D2809" s="22" t="str">
        <f>HYPERLINK("https://rhld.insurance.arkansas.gov/NPILookup?Npi=1417364779","1417364779")</f>
        <v>1417364779</v>
      </c>
      <c r="E2809" s="1" t="s">
        <v>3863</v>
      </c>
      <c r="F2809" s="2"/>
      <c r="G2809" s="2"/>
      <c r="H2809" s="2"/>
    </row>
    <row r="2810" spans="1:8" x14ac:dyDescent="0.25">
      <c r="A2810" s="1"/>
      <c r="B2810" s="1" t="s">
        <v>3854</v>
      </c>
      <c r="C2810" s="1" t="s">
        <v>3855</v>
      </c>
      <c r="D2810" s="22" t="str">
        <f>HYPERLINK("https://rhld.insurance.arkansas.gov/NPILookup?Npi=1437106440","1437106440")</f>
        <v>1437106440</v>
      </c>
      <c r="E2810" s="1" t="s">
        <v>3864</v>
      </c>
      <c r="F2810" s="2"/>
      <c r="G2810" s="2"/>
      <c r="H2810" s="2"/>
    </row>
    <row r="2811" spans="1:8" x14ac:dyDescent="0.25">
      <c r="A2811" s="1"/>
      <c r="B2811" s="1" t="s">
        <v>3854</v>
      </c>
      <c r="C2811" s="1" t="s">
        <v>3855</v>
      </c>
      <c r="D2811" s="22" t="str">
        <f>HYPERLINK("https://rhld.insurance.arkansas.gov/NPILookup?Npi=1447495569","1447495569")</f>
        <v>1447495569</v>
      </c>
      <c r="E2811" s="1" t="s">
        <v>15816</v>
      </c>
      <c r="F2811" s="2"/>
      <c r="G2811" s="2"/>
      <c r="H2811" s="2"/>
    </row>
    <row r="2812" spans="1:8" x14ac:dyDescent="0.25">
      <c r="A2812" s="1"/>
      <c r="B2812" s="1" t="s">
        <v>3854</v>
      </c>
      <c r="C2812" s="1" t="s">
        <v>3855</v>
      </c>
      <c r="D2812" s="22" t="str">
        <f>HYPERLINK("https://rhld.insurance.arkansas.gov/NPILookup?Npi=1477513778","1477513778")</f>
        <v>1477513778</v>
      </c>
      <c r="E2812" s="1" t="s">
        <v>3806</v>
      </c>
      <c r="F2812" s="2"/>
      <c r="G2812" s="2"/>
      <c r="H2812" s="2"/>
    </row>
    <row r="2813" spans="1:8" x14ac:dyDescent="0.25">
      <c r="A2813" s="1"/>
      <c r="B2813" s="1" t="s">
        <v>3854</v>
      </c>
      <c r="C2813" s="1" t="s">
        <v>3855</v>
      </c>
      <c r="D2813" s="22" t="str">
        <f>HYPERLINK("https://rhld.insurance.arkansas.gov/NPILookup?Npi=1477558955","1477558955")</f>
        <v>1477558955</v>
      </c>
      <c r="E2813" s="1" t="s">
        <v>15822</v>
      </c>
      <c r="F2813" s="2"/>
      <c r="G2813" s="2"/>
      <c r="H2813" s="2"/>
    </row>
    <row r="2814" spans="1:8" x14ac:dyDescent="0.25">
      <c r="A2814" s="1"/>
      <c r="B2814" s="1" t="s">
        <v>3854</v>
      </c>
      <c r="C2814" s="1" t="s">
        <v>3855</v>
      </c>
      <c r="D2814" s="22" t="str">
        <f>HYPERLINK("https://rhld.insurance.arkansas.gov/NPILookup?Npi=1487690186","1487690186")</f>
        <v>1487690186</v>
      </c>
      <c r="E2814" s="1" t="s">
        <v>15829</v>
      </c>
      <c r="F2814" s="2"/>
      <c r="G2814" s="2"/>
      <c r="H2814" s="2"/>
    </row>
    <row r="2815" spans="1:8" x14ac:dyDescent="0.25">
      <c r="A2815" s="1"/>
      <c r="B2815" s="1" t="s">
        <v>3854</v>
      </c>
      <c r="C2815" s="1" t="s">
        <v>3855</v>
      </c>
      <c r="D2815" s="22" t="str">
        <f>HYPERLINK("https://rhld.insurance.arkansas.gov/NPILookup?Npi=1487814273","1487814273")</f>
        <v>1487814273</v>
      </c>
      <c r="E2815" s="1" t="s">
        <v>15830</v>
      </c>
      <c r="F2815" s="2"/>
      <c r="G2815" s="2"/>
      <c r="H2815" s="2"/>
    </row>
    <row r="2816" spans="1:8" x14ac:dyDescent="0.25">
      <c r="A2816" s="1"/>
      <c r="B2816" s="1" t="s">
        <v>3854</v>
      </c>
      <c r="C2816" s="1" t="s">
        <v>3855</v>
      </c>
      <c r="D2816" s="22" t="str">
        <f>HYPERLINK("https://rhld.insurance.arkansas.gov/NPILookup?Npi=1508800905","1508800905")</f>
        <v>1508800905</v>
      </c>
      <c r="E2816" s="1" t="s">
        <v>16009</v>
      </c>
      <c r="F2816" s="2"/>
      <c r="G2816" s="2"/>
      <c r="H2816" s="2"/>
    </row>
    <row r="2817" spans="1:8" x14ac:dyDescent="0.25">
      <c r="A2817" s="1"/>
      <c r="B2817" s="1" t="s">
        <v>3854</v>
      </c>
      <c r="C2817" s="1" t="s">
        <v>3855</v>
      </c>
      <c r="D2817" s="22" t="str">
        <f>HYPERLINK("https://rhld.insurance.arkansas.gov/NPILookup?Npi=1518030535","1518030535")</f>
        <v>1518030535</v>
      </c>
      <c r="E2817" s="1" t="s">
        <v>16010</v>
      </c>
      <c r="F2817" s="2"/>
      <c r="G2817" s="2"/>
      <c r="H2817" s="2"/>
    </row>
    <row r="2818" spans="1:8" x14ac:dyDescent="0.25">
      <c r="A2818" s="1"/>
      <c r="B2818" s="1" t="s">
        <v>3854</v>
      </c>
      <c r="C2818" s="1" t="s">
        <v>3855</v>
      </c>
      <c r="D2818" s="22" t="str">
        <f>HYPERLINK("https://rhld.insurance.arkansas.gov/NPILookup?Npi=1518922772","1518922772")</f>
        <v>1518922772</v>
      </c>
      <c r="E2818" s="1" t="s">
        <v>3865</v>
      </c>
      <c r="F2818" s="2"/>
      <c r="G2818" s="2"/>
      <c r="H2818" s="2"/>
    </row>
    <row r="2819" spans="1:8" x14ac:dyDescent="0.25">
      <c r="A2819" s="1"/>
      <c r="B2819" s="1" t="s">
        <v>3854</v>
      </c>
      <c r="C2819" s="1" t="s">
        <v>3855</v>
      </c>
      <c r="D2819" s="22" t="str">
        <f>HYPERLINK("https://rhld.insurance.arkansas.gov/NPILookup?Npi=1528083888","1528083888")</f>
        <v>1528083888</v>
      </c>
      <c r="E2819" s="1" t="s">
        <v>16011</v>
      </c>
      <c r="F2819" s="2"/>
      <c r="G2819" s="2"/>
      <c r="H2819" s="2"/>
    </row>
    <row r="2820" spans="1:8" x14ac:dyDescent="0.25">
      <c r="A2820" s="1"/>
      <c r="B2820" s="1" t="s">
        <v>3854</v>
      </c>
      <c r="C2820" s="1" t="s">
        <v>3855</v>
      </c>
      <c r="D2820" s="22" t="str">
        <f>HYPERLINK("https://rhld.insurance.arkansas.gov/NPILookup?Npi=1568605905","1568605905")</f>
        <v>1568605905</v>
      </c>
      <c r="E2820" s="1" t="s">
        <v>3811</v>
      </c>
      <c r="F2820" s="2"/>
      <c r="G2820" s="2"/>
      <c r="H2820" s="2"/>
    </row>
    <row r="2821" spans="1:8" x14ac:dyDescent="0.25">
      <c r="A2821" s="1"/>
      <c r="B2821" s="1" t="s">
        <v>3854</v>
      </c>
      <c r="C2821" s="1" t="s">
        <v>3855</v>
      </c>
      <c r="D2821" s="22" t="str">
        <f>HYPERLINK("https://rhld.insurance.arkansas.gov/NPILookup?Npi=1578509659","1578509659")</f>
        <v>1578509659</v>
      </c>
      <c r="E2821" s="1" t="s">
        <v>9892</v>
      </c>
      <c r="F2821" s="2"/>
      <c r="G2821" s="2"/>
      <c r="H2821" s="2"/>
    </row>
    <row r="2822" spans="1:8" x14ac:dyDescent="0.25">
      <c r="A2822" s="1"/>
      <c r="B2822" s="1" t="s">
        <v>3854</v>
      </c>
      <c r="C2822" s="1" t="s">
        <v>3855</v>
      </c>
      <c r="D2822" s="22" t="str">
        <f>HYPERLINK("https://rhld.insurance.arkansas.gov/NPILookup?Npi=1578521662","1578521662")</f>
        <v>1578521662</v>
      </c>
      <c r="E2822" s="1" t="s">
        <v>16013</v>
      </c>
      <c r="F2822" s="2"/>
      <c r="G2822" s="2"/>
      <c r="H2822" s="2"/>
    </row>
    <row r="2823" spans="1:8" x14ac:dyDescent="0.25">
      <c r="A2823" s="1"/>
      <c r="B2823" s="1" t="s">
        <v>3854</v>
      </c>
      <c r="C2823" s="1" t="s">
        <v>3855</v>
      </c>
      <c r="D2823" s="22" t="str">
        <f>HYPERLINK("https://rhld.insurance.arkansas.gov/NPILookup?Npi=1578768339","1578768339")</f>
        <v>1578768339</v>
      </c>
      <c r="E2823" s="1" t="s">
        <v>9893</v>
      </c>
      <c r="F2823" s="2"/>
      <c r="G2823" s="2"/>
      <c r="H2823" s="2"/>
    </row>
    <row r="2824" spans="1:8" x14ac:dyDescent="0.25">
      <c r="A2824" s="1"/>
      <c r="B2824" s="1" t="s">
        <v>3854</v>
      </c>
      <c r="C2824" s="1" t="s">
        <v>3855</v>
      </c>
      <c r="D2824" s="22" t="str">
        <f>HYPERLINK("https://rhld.insurance.arkansas.gov/NPILookup?Npi=1598795288","1598795288")</f>
        <v>1598795288</v>
      </c>
      <c r="E2824" s="1" t="s">
        <v>3866</v>
      </c>
      <c r="F2824" s="2"/>
      <c r="G2824" s="2"/>
      <c r="H2824" s="2"/>
    </row>
    <row r="2825" spans="1:8" x14ac:dyDescent="0.25">
      <c r="A2825" s="1"/>
      <c r="B2825" s="1" t="s">
        <v>3854</v>
      </c>
      <c r="C2825" s="1" t="s">
        <v>3855</v>
      </c>
      <c r="D2825" s="22" t="str">
        <f>HYPERLINK("https://rhld.insurance.arkansas.gov/NPILookup?Npi=1609211572","1609211572")</f>
        <v>1609211572</v>
      </c>
      <c r="E2825" s="1" t="s">
        <v>16015</v>
      </c>
      <c r="F2825" s="2"/>
      <c r="G2825" s="2"/>
      <c r="H2825" s="2"/>
    </row>
    <row r="2826" spans="1:8" x14ac:dyDescent="0.25">
      <c r="A2826" s="1"/>
      <c r="B2826" s="1" t="s">
        <v>3854</v>
      </c>
      <c r="C2826" s="1" t="s">
        <v>3855</v>
      </c>
      <c r="D2826" s="22" t="str">
        <f>HYPERLINK("https://rhld.insurance.arkansas.gov/NPILookup?Npi=1609876739","1609876739")</f>
        <v>1609876739</v>
      </c>
      <c r="E2826" s="1" t="s">
        <v>16016</v>
      </c>
      <c r="F2826" s="2"/>
      <c r="G2826" s="2"/>
      <c r="H2826" s="2"/>
    </row>
    <row r="2827" spans="1:8" x14ac:dyDescent="0.25">
      <c r="A2827" s="1"/>
      <c r="B2827" s="1" t="s">
        <v>3854</v>
      </c>
      <c r="C2827" s="1" t="s">
        <v>3855</v>
      </c>
      <c r="D2827" s="22" t="str">
        <f>HYPERLINK("https://rhld.insurance.arkansas.gov/NPILookup?Npi=1629017587","1629017587")</f>
        <v>1629017587</v>
      </c>
      <c r="E2827" s="1" t="s">
        <v>9894</v>
      </c>
      <c r="F2827" s="2"/>
      <c r="G2827" s="2"/>
      <c r="H2827" s="2"/>
    </row>
    <row r="2828" spans="1:8" x14ac:dyDescent="0.25">
      <c r="A2828" s="1"/>
      <c r="B2828" s="1" t="s">
        <v>3854</v>
      </c>
      <c r="C2828" s="1" t="s">
        <v>3855</v>
      </c>
      <c r="D2828" s="22" t="str">
        <f>HYPERLINK("https://rhld.insurance.arkansas.gov/NPILookup?Npi=1629424478","1629424478")</f>
        <v>1629424478</v>
      </c>
      <c r="E2828" s="1" t="s">
        <v>16017</v>
      </c>
      <c r="F2828" s="2"/>
      <c r="G2828" s="2"/>
      <c r="H2828" s="2"/>
    </row>
    <row r="2829" spans="1:8" x14ac:dyDescent="0.25">
      <c r="A2829" s="1"/>
      <c r="B2829" s="1" t="s">
        <v>3854</v>
      </c>
      <c r="C2829" s="1" t="s">
        <v>3855</v>
      </c>
      <c r="D2829" s="22" t="str">
        <f>HYPERLINK("https://rhld.insurance.arkansas.gov/NPILookup?Npi=1629491246","1629491246")</f>
        <v>1629491246</v>
      </c>
      <c r="E2829" s="1" t="s">
        <v>31331</v>
      </c>
      <c r="F2829" s="2"/>
      <c r="G2829" s="2"/>
      <c r="H2829" s="2"/>
    </row>
    <row r="2830" spans="1:8" x14ac:dyDescent="0.25">
      <c r="A2830" s="1"/>
      <c r="B2830" s="1" t="s">
        <v>3854</v>
      </c>
      <c r="C2830" s="1" t="s">
        <v>3855</v>
      </c>
      <c r="D2830" s="22" t="str">
        <f>HYPERLINK("https://rhld.insurance.arkansas.gov/NPILookup?Npi=1639165608","1639165608")</f>
        <v>1639165608</v>
      </c>
      <c r="E2830" s="1" t="s">
        <v>15876</v>
      </c>
      <c r="F2830" s="2"/>
      <c r="G2830" s="2"/>
      <c r="H2830" s="2"/>
    </row>
    <row r="2831" spans="1:8" x14ac:dyDescent="0.25">
      <c r="A2831" s="1"/>
      <c r="B2831" s="1" t="s">
        <v>3854</v>
      </c>
      <c r="C2831" s="1" t="s">
        <v>3855</v>
      </c>
      <c r="D2831" s="22" t="str">
        <f>HYPERLINK("https://rhld.insurance.arkansas.gov/NPILookup?Npi=1649202979","1649202979")</f>
        <v>1649202979</v>
      </c>
      <c r="E2831" s="1" t="s">
        <v>3867</v>
      </c>
      <c r="F2831" s="2"/>
      <c r="G2831" s="2"/>
      <c r="H2831" s="2"/>
    </row>
    <row r="2832" spans="1:8" x14ac:dyDescent="0.25">
      <c r="A2832" s="1"/>
      <c r="B2832" s="1" t="s">
        <v>3854</v>
      </c>
      <c r="C2832" s="1" t="s">
        <v>3855</v>
      </c>
      <c r="D2832" s="22" t="str">
        <f>HYPERLINK("https://rhld.insurance.arkansas.gov/NPILookup?Npi=1659560597","1659560597")</f>
        <v>1659560597</v>
      </c>
      <c r="E2832" s="1" t="s">
        <v>16018</v>
      </c>
      <c r="F2832" s="2"/>
      <c r="G2832" s="2"/>
      <c r="H2832" s="2"/>
    </row>
    <row r="2833" spans="1:8" x14ac:dyDescent="0.25">
      <c r="A2833" s="1"/>
      <c r="B2833" s="1" t="s">
        <v>3854</v>
      </c>
      <c r="C2833" s="1" t="s">
        <v>3855</v>
      </c>
      <c r="D2833" s="22" t="str">
        <f>HYPERLINK("https://rhld.insurance.arkansas.gov/NPILookup?Npi=1669471157","1669471157")</f>
        <v>1669471157</v>
      </c>
      <c r="E2833" s="1" t="s">
        <v>3822</v>
      </c>
      <c r="F2833" s="2"/>
      <c r="G2833" s="2"/>
      <c r="H2833" s="2"/>
    </row>
    <row r="2834" spans="1:8" x14ac:dyDescent="0.25">
      <c r="A2834" s="1"/>
      <c r="B2834" s="1" t="s">
        <v>3854</v>
      </c>
      <c r="C2834" s="1" t="s">
        <v>3855</v>
      </c>
      <c r="D2834" s="22" t="str">
        <f>HYPERLINK("https://rhld.insurance.arkansas.gov/NPILookup?Npi=1679531453","1679531453")</f>
        <v>1679531453</v>
      </c>
      <c r="E2834" s="1" t="s">
        <v>9895</v>
      </c>
      <c r="F2834" s="2"/>
      <c r="G2834" s="2"/>
      <c r="H2834" s="2"/>
    </row>
    <row r="2835" spans="1:8" x14ac:dyDescent="0.25">
      <c r="A2835" s="1"/>
      <c r="B2835" s="1" t="s">
        <v>3854</v>
      </c>
      <c r="C2835" s="1" t="s">
        <v>3855</v>
      </c>
      <c r="D2835" s="22" t="str">
        <f>HYPERLINK("https://rhld.insurance.arkansas.gov/NPILookup?Npi=1679577639","1679577639")</f>
        <v>1679577639</v>
      </c>
      <c r="E2835" s="1" t="s">
        <v>3868</v>
      </c>
      <c r="F2835" s="2"/>
      <c r="G2835" s="2"/>
      <c r="H2835" s="2"/>
    </row>
    <row r="2836" spans="1:8" x14ac:dyDescent="0.25">
      <c r="A2836" s="1"/>
      <c r="B2836" s="1" t="s">
        <v>3854</v>
      </c>
      <c r="C2836" s="1" t="s">
        <v>3855</v>
      </c>
      <c r="D2836" s="22" t="str">
        <f>HYPERLINK("https://rhld.insurance.arkansas.gov/NPILookup?Npi=1689614828","1689614828")</f>
        <v>1689614828</v>
      </c>
      <c r="E2836" s="1" t="s">
        <v>15890</v>
      </c>
      <c r="F2836" s="2"/>
      <c r="G2836" s="2"/>
      <c r="H2836" s="2"/>
    </row>
    <row r="2837" spans="1:8" x14ac:dyDescent="0.25">
      <c r="A2837" s="1"/>
      <c r="B2837" s="1" t="s">
        <v>3854</v>
      </c>
      <c r="C2837" s="1" t="s">
        <v>3855</v>
      </c>
      <c r="D2837" s="22" t="str">
        <f>HYPERLINK("https://rhld.insurance.arkansas.gov/NPILookup?Npi=1689800872","1689800872")</f>
        <v>1689800872</v>
      </c>
      <c r="E2837" s="1" t="s">
        <v>16020</v>
      </c>
      <c r="F2837" s="2"/>
      <c r="G2837" s="2"/>
      <c r="H2837" s="2"/>
    </row>
    <row r="2838" spans="1:8" x14ac:dyDescent="0.25">
      <c r="A2838" s="1"/>
      <c r="B2838" s="1" t="s">
        <v>3854</v>
      </c>
      <c r="C2838" s="1" t="s">
        <v>3855</v>
      </c>
      <c r="D2838" s="22" t="str">
        <f>HYPERLINK("https://rhld.insurance.arkansas.gov/NPILookup?Npi=1699851436","1699851436")</f>
        <v>1699851436</v>
      </c>
      <c r="E2838" s="1" t="s">
        <v>16021</v>
      </c>
      <c r="F2838" s="2"/>
      <c r="G2838" s="2"/>
      <c r="H2838" s="2"/>
    </row>
    <row r="2839" spans="1:8" x14ac:dyDescent="0.25">
      <c r="A2839" s="1"/>
      <c r="B2839" s="1" t="s">
        <v>3854</v>
      </c>
      <c r="C2839" s="1" t="s">
        <v>3855</v>
      </c>
      <c r="D2839" s="22" t="str">
        <f>HYPERLINK("https://rhld.insurance.arkansas.gov/NPILookup?Npi=1700952462","1700952462")</f>
        <v>1700952462</v>
      </c>
      <c r="E2839" s="1" t="s">
        <v>16022</v>
      </c>
      <c r="F2839" s="2"/>
      <c r="G2839" s="2"/>
      <c r="H2839" s="2"/>
    </row>
    <row r="2840" spans="1:8" x14ac:dyDescent="0.25">
      <c r="A2840" s="1"/>
      <c r="B2840" s="1" t="s">
        <v>3854</v>
      </c>
      <c r="C2840" s="1" t="s">
        <v>3855</v>
      </c>
      <c r="D2840" s="22" t="str">
        <f>HYPERLINK("https://rhld.insurance.arkansas.gov/NPILookup?Npi=1710048822","1710048822")</f>
        <v>1710048822</v>
      </c>
      <c r="E2840" s="1" t="s">
        <v>16023</v>
      </c>
      <c r="F2840" s="2"/>
      <c r="G2840" s="2"/>
      <c r="H2840" s="2"/>
    </row>
    <row r="2841" spans="1:8" x14ac:dyDescent="0.25">
      <c r="A2841" s="1"/>
      <c r="B2841" s="1" t="s">
        <v>3854</v>
      </c>
      <c r="C2841" s="1" t="s">
        <v>3855</v>
      </c>
      <c r="D2841" s="22" t="str">
        <f>HYPERLINK("https://rhld.insurance.arkansas.gov/NPILookup?Npi=1710996624","1710996624")</f>
        <v>1710996624</v>
      </c>
      <c r="E2841" s="1" t="s">
        <v>16024</v>
      </c>
      <c r="F2841" s="2"/>
      <c r="G2841" s="2"/>
      <c r="H2841" s="2"/>
    </row>
    <row r="2842" spans="1:8" x14ac:dyDescent="0.25">
      <c r="A2842" s="1"/>
      <c r="B2842" s="1" t="s">
        <v>3854</v>
      </c>
      <c r="C2842" s="1" t="s">
        <v>3855</v>
      </c>
      <c r="D2842" s="22" t="str">
        <f>HYPERLINK("https://rhld.insurance.arkansas.gov/NPILookup?Npi=1730143975","1730143975")</f>
        <v>1730143975</v>
      </c>
      <c r="E2842" s="1" t="s">
        <v>3869</v>
      </c>
      <c r="F2842" s="2"/>
      <c r="G2842" s="2"/>
      <c r="H2842" s="2"/>
    </row>
    <row r="2843" spans="1:8" x14ac:dyDescent="0.25">
      <c r="A2843" s="1"/>
      <c r="B2843" s="1" t="s">
        <v>3854</v>
      </c>
      <c r="C2843" s="1" t="s">
        <v>3855</v>
      </c>
      <c r="D2843" s="22" t="str">
        <f>HYPERLINK("https://rhld.insurance.arkansas.gov/NPILookup?Npi=1750356614","1750356614")</f>
        <v>1750356614</v>
      </c>
      <c r="E2843" s="1" t="s">
        <v>16025</v>
      </c>
      <c r="F2843" s="2"/>
      <c r="G2843" s="2"/>
      <c r="H2843" s="2"/>
    </row>
    <row r="2844" spans="1:8" x14ac:dyDescent="0.25">
      <c r="A2844" s="1"/>
      <c r="B2844" s="1" t="s">
        <v>3854</v>
      </c>
      <c r="C2844" s="1" t="s">
        <v>3855</v>
      </c>
      <c r="D2844" s="22" t="str">
        <f>HYPERLINK("https://rhld.insurance.arkansas.gov/NPILookup?Npi=1750474144","1750474144")</f>
        <v>1750474144</v>
      </c>
      <c r="E2844" s="1" t="s">
        <v>16026</v>
      </c>
      <c r="F2844" s="2"/>
      <c r="G2844" s="2"/>
      <c r="H2844" s="2"/>
    </row>
    <row r="2845" spans="1:8" x14ac:dyDescent="0.25">
      <c r="A2845" s="1"/>
      <c r="B2845" s="1" t="s">
        <v>3854</v>
      </c>
      <c r="C2845" s="1" t="s">
        <v>3855</v>
      </c>
      <c r="D2845" s="22" t="str">
        <f>HYPERLINK("https://rhld.insurance.arkansas.gov/NPILookup?Npi=1760459747","1760459747")</f>
        <v>1760459747</v>
      </c>
      <c r="E2845" s="1" t="s">
        <v>3870</v>
      </c>
      <c r="F2845" s="2"/>
      <c r="G2845" s="2"/>
      <c r="H2845" s="2"/>
    </row>
    <row r="2846" spans="1:8" x14ac:dyDescent="0.25">
      <c r="A2846" s="1"/>
      <c r="B2846" s="1" t="s">
        <v>3854</v>
      </c>
      <c r="C2846" s="1" t="s">
        <v>3855</v>
      </c>
      <c r="D2846" s="22" t="str">
        <f>HYPERLINK("https://rhld.insurance.arkansas.gov/NPILookup?Npi=1760491989","1760491989")</f>
        <v>1760491989</v>
      </c>
      <c r="E2846" s="1" t="s">
        <v>3834</v>
      </c>
      <c r="F2846" s="2"/>
      <c r="G2846" s="2"/>
      <c r="H2846" s="2"/>
    </row>
    <row r="2847" spans="1:8" x14ac:dyDescent="0.25">
      <c r="A2847" s="1"/>
      <c r="B2847" s="1" t="s">
        <v>3854</v>
      </c>
      <c r="C2847" s="1" t="s">
        <v>3855</v>
      </c>
      <c r="D2847" s="22" t="str">
        <f>HYPERLINK("https://rhld.insurance.arkansas.gov/NPILookup?Npi=1790744811","1790744811")</f>
        <v>1790744811</v>
      </c>
      <c r="E2847" s="1" t="s">
        <v>3871</v>
      </c>
      <c r="F2847" s="2"/>
      <c r="G2847" s="2"/>
      <c r="H2847" s="2"/>
    </row>
    <row r="2848" spans="1:8" x14ac:dyDescent="0.25">
      <c r="A2848" s="1"/>
      <c r="B2848" s="1" t="s">
        <v>3854</v>
      </c>
      <c r="C2848" s="1" t="s">
        <v>3855</v>
      </c>
      <c r="D2848" s="22" t="str">
        <f>HYPERLINK("https://rhld.insurance.arkansas.gov/NPILookup?Npi=1790797421","1790797421")</f>
        <v>1790797421</v>
      </c>
      <c r="E2848" s="1" t="s">
        <v>16027</v>
      </c>
      <c r="F2848" s="2"/>
      <c r="G2848" s="2"/>
      <c r="H2848" s="2"/>
    </row>
    <row r="2849" spans="1:8" x14ac:dyDescent="0.25">
      <c r="A2849" s="1"/>
      <c r="B2849" s="1" t="s">
        <v>3854</v>
      </c>
      <c r="C2849" s="1" t="s">
        <v>3855</v>
      </c>
      <c r="D2849" s="22" t="str">
        <f>HYPERLINK("https://rhld.insurance.arkansas.gov/NPILookup?Npi=1861440430","1861440430")</f>
        <v>1861440430</v>
      </c>
      <c r="E2849" s="1" t="s">
        <v>9896</v>
      </c>
      <c r="F2849" s="2"/>
      <c r="G2849" s="2"/>
      <c r="H2849" s="2"/>
    </row>
    <row r="2850" spans="1:8" x14ac:dyDescent="0.25">
      <c r="A2850" s="1"/>
      <c r="B2850" s="1" t="s">
        <v>3854</v>
      </c>
      <c r="C2850" s="1" t="s">
        <v>3855</v>
      </c>
      <c r="D2850" s="22" t="str">
        <f>HYPERLINK("https://rhld.insurance.arkansas.gov/NPILookup?Npi=1861697815","1861697815")</f>
        <v>1861697815</v>
      </c>
      <c r="E2850" s="1" t="s">
        <v>16029</v>
      </c>
      <c r="F2850" s="2"/>
      <c r="G2850" s="2"/>
      <c r="H2850" s="2"/>
    </row>
    <row r="2851" spans="1:8" x14ac:dyDescent="0.25">
      <c r="A2851" s="1"/>
      <c r="B2851" s="1" t="s">
        <v>3854</v>
      </c>
      <c r="C2851" s="1" t="s">
        <v>3855</v>
      </c>
      <c r="D2851" s="22" t="str">
        <f>HYPERLINK("https://rhld.insurance.arkansas.gov/NPILookup?Npi=1871573097","1871573097")</f>
        <v>1871573097</v>
      </c>
      <c r="E2851" s="1" t="s">
        <v>9897</v>
      </c>
      <c r="F2851" s="2"/>
      <c r="G2851" s="2"/>
      <c r="H2851" s="2"/>
    </row>
    <row r="2852" spans="1:8" x14ac:dyDescent="0.25">
      <c r="A2852" s="1"/>
      <c r="B2852" s="1" t="s">
        <v>3854</v>
      </c>
      <c r="C2852" s="1" t="s">
        <v>3855</v>
      </c>
      <c r="D2852" s="22" t="str">
        <f>HYPERLINK("https://rhld.insurance.arkansas.gov/NPILookup?Npi=1891131850","1891131850")</f>
        <v>1891131850</v>
      </c>
      <c r="E2852" s="1" t="s">
        <v>16030</v>
      </c>
      <c r="F2852" s="2"/>
      <c r="G2852" s="2"/>
      <c r="H2852" s="2"/>
    </row>
    <row r="2853" spans="1:8" x14ac:dyDescent="0.25">
      <c r="A2853" s="1"/>
      <c r="B2853" s="1" t="s">
        <v>3854</v>
      </c>
      <c r="C2853" s="1" t="s">
        <v>3855</v>
      </c>
      <c r="D2853" s="22" t="str">
        <f>HYPERLINK("https://rhld.insurance.arkansas.gov/NPILookup?Npi=1891957320","1891957320")</f>
        <v>1891957320</v>
      </c>
      <c r="E2853" s="1" t="s">
        <v>3227</v>
      </c>
      <c r="F2853" s="2"/>
      <c r="G2853" s="2"/>
      <c r="H2853" s="2"/>
    </row>
    <row r="2854" spans="1:8" x14ac:dyDescent="0.25">
      <c r="A2854" s="1"/>
      <c r="B2854" s="1" t="s">
        <v>3854</v>
      </c>
      <c r="C2854" s="1" t="s">
        <v>3855</v>
      </c>
      <c r="D2854" s="22" t="str">
        <f>HYPERLINK("https://rhld.insurance.arkansas.gov/NPILookup?Npi=1902865678","1902865678")</f>
        <v>1902865678</v>
      </c>
      <c r="E2854" s="1" t="s">
        <v>3873</v>
      </c>
      <c r="F2854" s="2"/>
      <c r="G2854" s="2"/>
      <c r="H2854" s="2"/>
    </row>
    <row r="2855" spans="1:8" x14ac:dyDescent="0.25">
      <c r="A2855" s="1"/>
      <c r="B2855" s="1" t="s">
        <v>3854</v>
      </c>
      <c r="C2855" s="1" t="s">
        <v>3855</v>
      </c>
      <c r="D2855" s="22" t="str">
        <f>HYPERLINK("https://rhld.insurance.arkansas.gov/NPILookup?Npi=1902982754","1902982754")</f>
        <v>1902982754</v>
      </c>
      <c r="E2855" s="1" t="s">
        <v>16031</v>
      </c>
      <c r="F2855" s="2"/>
      <c r="G2855" s="2"/>
      <c r="H2855" s="2"/>
    </row>
    <row r="2856" spans="1:8" x14ac:dyDescent="0.25">
      <c r="A2856" s="1"/>
      <c r="B2856" s="1" t="s">
        <v>3854</v>
      </c>
      <c r="C2856" s="1" t="s">
        <v>3855</v>
      </c>
      <c r="D2856" s="22" t="str">
        <f>HYPERLINK("https://rhld.insurance.arkansas.gov/NPILookup?Npi=1922076272","1922076272")</f>
        <v>1922076272</v>
      </c>
      <c r="E2856" s="1" t="s">
        <v>16032</v>
      </c>
      <c r="F2856" s="2"/>
      <c r="G2856" s="2"/>
      <c r="H2856" s="2"/>
    </row>
    <row r="2857" spans="1:8" x14ac:dyDescent="0.25">
      <c r="A2857" s="1"/>
      <c r="B2857" s="1" t="s">
        <v>3854</v>
      </c>
      <c r="C2857" s="1" t="s">
        <v>3855</v>
      </c>
      <c r="D2857" s="22" t="str">
        <f>HYPERLINK("https://rhld.insurance.arkansas.gov/NPILookup?Npi=1922171966","1922171966")</f>
        <v>1922171966</v>
      </c>
      <c r="E2857" s="1" t="s">
        <v>9898</v>
      </c>
      <c r="F2857" s="2"/>
      <c r="G2857" s="2"/>
      <c r="H2857" s="2"/>
    </row>
    <row r="2858" spans="1:8" x14ac:dyDescent="0.25">
      <c r="A2858" s="1"/>
      <c r="B2858" s="1" t="s">
        <v>3854</v>
      </c>
      <c r="C2858" s="1" t="s">
        <v>3855</v>
      </c>
      <c r="D2858" s="22" t="str">
        <f>HYPERLINK("https://rhld.insurance.arkansas.gov/NPILookup?Npi=1942562186","1942562186")</f>
        <v>1942562186</v>
      </c>
      <c r="E2858" s="1" t="s">
        <v>16034</v>
      </c>
      <c r="F2858" s="2"/>
      <c r="G2858" s="2"/>
      <c r="H2858" s="2"/>
    </row>
    <row r="2859" spans="1:8" x14ac:dyDescent="0.25">
      <c r="A2859" s="1"/>
      <c r="B2859" s="1" t="s">
        <v>3854</v>
      </c>
      <c r="C2859" s="1" t="s">
        <v>3855</v>
      </c>
      <c r="D2859" s="22" t="str">
        <f>HYPERLINK("https://rhld.insurance.arkansas.gov/NPILookup?Npi=1952361818","1952361818")</f>
        <v>1952361818</v>
      </c>
      <c r="E2859" s="1" t="s">
        <v>3875</v>
      </c>
      <c r="F2859" s="2"/>
      <c r="G2859" s="2"/>
      <c r="H2859" s="2"/>
    </row>
    <row r="2860" spans="1:8" x14ac:dyDescent="0.25">
      <c r="A2860" s="1"/>
      <c r="B2860" s="1" t="s">
        <v>3854</v>
      </c>
      <c r="C2860" s="1" t="s">
        <v>3855</v>
      </c>
      <c r="D2860" s="22" t="str">
        <f>HYPERLINK("https://rhld.insurance.arkansas.gov/NPILookup?Npi=1962500900","1962500900")</f>
        <v>1962500900</v>
      </c>
      <c r="E2860" s="1" t="s">
        <v>5658</v>
      </c>
      <c r="F2860" s="2"/>
      <c r="G2860" s="2"/>
      <c r="H2860" s="2"/>
    </row>
    <row r="2861" spans="1:8" x14ac:dyDescent="0.25">
      <c r="A2861" s="1"/>
      <c r="B2861" s="1" t="s">
        <v>3854</v>
      </c>
      <c r="C2861" s="1" t="s">
        <v>3855</v>
      </c>
      <c r="D2861" s="22" t="str">
        <f>HYPERLINK("https://rhld.insurance.arkansas.gov/NPILookup?Npi=1982846101","1982846101")</f>
        <v>1982846101</v>
      </c>
      <c r="E2861" s="1" t="s">
        <v>15987</v>
      </c>
      <c r="F2861" s="2"/>
      <c r="G2861" s="2"/>
      <c r="H2861" s="2"/>
    </row>
    <row r="2862" spans="1:8" x14ac:dyDescent="0.25">
      <c r="A2862" s="1"/>
      <c r="B2862" s="1" t="s">
        <v>3854</v>
      </c>
      <c r="C2862" s="1" t="s">
        <v>3855</v>
      </c>
      <c r="D2862" s="22" t="str">
        <f>HYPERLINK("https://rhld.insurance.arkansas.gov/NPILookup?Npi=1992703938","1992703938")</f>
        <v>1992703938</v>
      </c>
      <c r="E2862" s="1" t="s">
        <v>16035</v>
      </c>
      <c r="F2862" s="2"/>
      <c r="G2862" s="2"/>
      <c r="H2862" s="2"/>
    </row>
    <row r="2863" spans="1:8" x14ac:dyDescent="0.25">
      <c r="A2863" s="1"/>
      <c r="B2863" s="1" t="s">
        <v>3854</v>
      </c>
      <c r="C2863" s="1" t="s">
        <v>3855</v>
      </c>
      <c r="D2863" s="22" t="str">
        <f>HYPERLINK("https://rhld.insurance.arkansas.gov/NPILookup?Npi=1992733224","1992733224")</f>
        <v>1992733224</v>
      </c>
      <c r="E2863" s="1" t="s">
        <v>31332</v>
      </c>
      <c r="F2863" s="2"/>
      <c r="G2863" s="2"/>
      <c r="H2863" s="2"/>
    </row>
    <row r="2864" spans="1:8" x14ac:dyDescent="0.25">
      <c r="A2864" s="1"/>
      <c r="B2864" s="1" t="s">
        <v>3854</v>
      </c>
      <c r="C2864" s="1" t="s">
        <v>3855</v>
      </c>
      <c r="D2864" s="22" t="str">
        <f>HYPERLINK("https://rhld.insurance.arkansas.gov/NPILookup?Npi=1992735922","1992735922")</f>
        <v>1992735922</v>
      </c>
      <c r="E2864" s="1" t="s">
        <v>9882</v>
      </c>
      <c r="F2864" s="2"/>
      <c r="G2864" s="2"/>
      <c r="H2864" s="2"/>
    </row>
    <row r="2865" spans="1:8" x14ac:dyDescent="0.25">
      <c r="A2865" s="1"/>
      <c r="B2865" s="1" t="s">
        <v>3876</v>
      </c>
      <c r="C2865" s="1" t="s">
        <v>3877</v>
      </c>
      <c r="D2865" s="22" t="str">
        <f>HYPERLINK("https://rhld.insurance.arkansas.gov/NPILookup?Npi=1003274812","1003274812")</f>
        <v>1003274812</v>
      </c>
      <c r="E2865" s="1" t="s">
        <v>3878</v>
      </c>
      <c r="F2865" s="2"/>
      <c r="G2865" s="2"/>
      <c r="H2865" s="2"/>
    </row>
    <row r="2866" spans="1:8" x14ac:dyDescent="0.25">
      <c r="A2866" s="1"/>
      <c r="B2866" s="1" t="s">
        <v>3876</v>
      </c>
      <c r="C2866" s="1" t="s">
        <v>3877</v>
      </c>
      <c r="D2866" s="22" t="str">
        <f>HYPERLINK("https://rhld.insurance.arkansas.gov/NPILookup?Npi=1003413857","1003413857")</f>
        <v>1003413857</v>
      </c>
      <c r="E2866" s="1" t="s">
        <v>9899</v>
      </c>
      <c r="F2866" s="2"/>
      <c r="G2866" s="2"/>
      <c r="H2866" s="2"/>
    </row>
    <row r="2867" spans="1:8" x14ac:dyDescent="0.25">
      <c r="A2867" s="1"/>
      <c r="B2867" s="1" t="s">
        <v>3876</v>
      </c>
      <c r="C2867" s="1" t="s">
        <v>3877</v>
      </c>
      <c r="D2867" s="22" t="str">
        <f>HYPERLINK("https://rhld.insurance.arkansas.gov/NPILookup?Npi=1003826850","1003826850")</f>
        <v>1003826850</v>
      </c>
      <c r="E2867" s="1" t="s">
        <v>16037</v>
      </c>
      <c r="F2867" s="2"/>
      <c r="G2867" s="2"/>
      <c r="H2867" s="2"/>
    </row>
    <row r="2868" spans="1:8" x14ac:dyDescent="0.25">
      <c r="A2868" s="1"/>
      <c r="B2868" s="1" t="s">
        <v>3876</v>
      </c>
      <c r="C2868" s="1" t="s">
        <v>3877</v>
      </c>
      <c r="D2868" s="22" t="str">
        <f>HYPERLINK("https://rhld.insurance.arkansas.gov/NPILookup?Npi=1003889148","1003889148")</f>
        <v>1003889148</v>
      </c>
      <c r="E2868" s="1" t="s">
        <v>16038</v>
      </c>
      <c r="F2868" s="2"/>
      <c r="G2868" s="2"/>
      <c r="H2868" s="2"/>
    </row>
    <row r="2869" spans="1:8" x14ac:dyDescent="0.25">
      <c r="A2869" s="1"/>
      <c r="B2869" s="1" t="s">
        <v>3876</v>
      </c>
      <c r="C2869" s="1" t="s">
        <v>3877</v>
      </c>
      <c r="D2869" s="22" t="str">
        <f>HYPERLINK("https://rhld.insurance.arkansas.gov/NPILookup?Npi=1013171248","1013171248")</f>
        <v>1013171248</v>
      </c>
      <c r="E2869" s="1" t="s">
        <v>16039</v>
      </c>
      <c r="F2869" s="2"/>
      <c r="G2869" s="2"/>
      <c r="H2869" s="2"/>
    </row>
    <row r="2870" spans="1:8" x14ac:dyDescent="0.25">
      <c r="A2870" s="1"/>
      <c r="B2870" s="1" t="s">
        <v>3876</v>
      </c>
      <c r="C2870" s="1" t="s">
        <v>3877</v>
      </c>
      <c r="D2870" s="22" t="str">
        <f>HYPERLINK("https://rhld.insurance.arkansas.gov/NPILookup?Npi=1013213271","1013213271")</f>
        <v>1013213271</v>
      </c>
      <c r="E2870" s="1" t="s">
        <v>9900</v>
      </c>
      <c r="F2870" s="2"/>
      <c r="G2870" s="2"/>
      <c r="H2870" s="2"/>
    </row>
    <row r="2871" spans="1:8" x14ac:dyDescent="0.25">
      <c r="A2871" s="1"/>
      <c r="B2871" s="1" t="s">
        <v>3876</v>
      </c>
      <c r="C2871" s="1" t="s">
        <v>3877</v>
      </c>
      <c r="D2871" s="22" t="str">
        <f>HYPERLINK("https://rhld.insurance.arkansas.gov/NPILookup?Npi=1013454669","1013454669")</f>
        <v>1013454669</v>
      </c>
      <c r="E2871" s="1" t="s">
        <v>3880</v>
      </c>
      <c r="F2871" s="2"/>
      <c r="G2871" s="2"/>
      <c r="H2871" s="2"/>
    </row>
    <row r="2872" spans="1:8" x14ac:dyDescent="0.25">
      <c r="A2872" s="1"/>
      <c r="B2872" s="1" t="s">
        <v>3876</v>
      </c>
      <c r="C2872" s="1" t="s">
        <v>3877</v>
      </c>
      <c r="D2872" s="22" t="str">
        <f>HYPERLINK("https://rhld.insurance.arkansas.gov/NPILookup?Npi=1013668912","1013668912")</f>
        <v>1013668912</v>
      </c>
      <c r="E2872" s="1" t="s">
        <v>16040</v>
      </c>
      <c r="F2872" s="2"/>
      <c r="G2872" s="2"/>
      <c r="H2872" s="2"/>
    </row>
    <row r="2873" spans="1:8" x14ac:dyDescent="0.25">
      <c r="A2873" s="1"/>
      <c r="B2873" s="1" t="s">
        <v>3876</v>
      </c>
      <c r="C2873" s="1" t="s">
        <v>3877</v>
      </c>
      <c r="D2873" s="22" t="str">
        <f>HYPERLINK("https://rhld.insurance.arkansas.gov/NPILookup?Npi=1013906437","1013906437")</f>
        <v>1013906437</v>
      </c>
      <c r="E2873" s="1" t="s">
        <v>16041</v>
      </c>
      <c r="F2873" s="2"/>
      <c r="G2873" s="2"/>
      <c r="H2873" s="2"/>
    </row>
    <row r="2874" spans="1:8" x14ac:dyDescent="0.25">
      <c r="A2874" s="1"/>
      <c r="B2874" s="1" t="s">
        <v>3876</v>
      </c>
      <c r="C2874" s="1" t="s">
        <v>3877</v>
      </c>
      <c r="D2874" s="22" t="str">
        <f>HYPERLINK("https://rhld.insurance.arkansas.gov/NPILookup?Npi=1023023702","1023023702")</f>
        <v>1023023702</v>
      </c>
      <c r="E2874" s="1" t="s">
        <v>9901</v>
      </c>
      <c r="F2874" s="2"/>
      <c r="G2874" s="2"/>
      <c r="H2874" s="2"/>
    </row>
    <row r="2875" spans="1:8" x14ac:dyDescent="0.25">
      <c r="A2875" s="1"/>
      <c r="B2875" s="1" t="s">
        <v>3876</v>
      </c>
      <c r="C2875" s="1" t="s">
        <v>3877</v>
      </c>
      <c r="D2875" s="22" t="str">
        <f>HYPERLINK("https://rhld.insurance.arkansas.gov/NPILookup?Npi=1023058625","1023058625")</f>
        <v>1023058625</v>
      </c>
      <c r="E2875" s="1" t="s">
        <v>16042</v>
      </c>
      <c r="F2875" s="2"/>
      <c r="G2875" s="2"/>
      <c r="H2875" s="2"/>
    </row>
    <row r="2876" spans="1:8" x14ac:dyDescent="0.25">
      <c r="A2876" s="1"/>
      <c r="B2876" s="1" t="s">
        <v>3876</v>
      </c>
      <c r="C2876" s="1" t="s">
        <v>3877</v>
      </c>
      <c r="D2876" s="22" t="str">
        <f>HYPERLINK("https://rhld.insurance.arkansas.gov/NPILookup?Npi=1023350733","1023350733")</f>
        <v>1023350733</v>
      </c>
      <c r="E2876" s="1" t="s">
        <v>16043</v>
      </c>
      <c r="F2876" s="2"/>
      <c r="G2876" s="2"/>
      <c r="H2876" s="2"/>
    </row>
    <row r="2877" spans="1:8" x14ac:dyDescent="0.25">
      <c r="A2877" s="1"/>
      <c r="B2877" s="1" t="s">
        <v>3876</v>
      </c>
      <c r="C2877" s="1" t="s">
        <v>3877</v>
      </c>
      <c r="D2877" s="22" t="str">
        <f>HYPERLINK("https://rhld.insurance.arkansas.gov/NPILookup?Npi=1023501657","1023501657")</f>
        <v>1023501657</v>
      </c>
      <c r="E2877" s="1" t="s">
        <v>16044</v>
      </c>
      <c r="F2877" s="2"/>
      <c r="G2877" s="2"/>
      <c r="H2877" s="2"/>
    </row>
    <row r="2878" spans="1:8" x14ac:dyDescent="0.25">
      <c r="A2878" s="1"/>
      <c r="B2878" s="1" t="s">
        <v>3876</v>
      </c>
      <c r="C2878" s="1" t="s">
        <v>3877</v>
      </c>
      <c r="D2878" s="22" t="str">
        <f>HYPERLINK("https://rhld.insurance.arkansas.gov/NPILookup?Npi=1023744729","1023744729")</f>
        <v>1023744729</v>
      </c>
      <c r="E2878" s="1" t="s">
        <v>3881</v>
      </c>
      <c r="F2878" s="2"/>
      <c r="G2878" s="2"/>
      <c r="H2878" s="2"/>
    </row>
    <row r="2879" spans="1:8" x14ac:dyDescent="0.25">
      <c r="A2879" s="1"/>
      <c r="B2879" s="1" t="s">
        <v>3876</v>
      </c>
      <c r="C2879" s="1" t="s">
        <v>3877</v>
      </c>
      <c r="D2879" s="22" t="str">
        <f>HYPERLINK("https://rhld.insurance.arkansas.gov/NPILookup?Npi=1033110804","1033110804")</f>
        <v>1033110804</v>
      </c>
      <c r="E2879" s="1" t="s">
        <v>16045</v>
      </c>
      <c r="F2879" s="2"/>
      <c r="G2879" s="2"/>
      <c r="H2879" s="2"/>
    </row>
    <row r="2880" spans="1:8" x14ac:dyDescent="0.25">
      <c r="A2880" s="1"/>
      <c r="B2880" s="1" t="s">
        <v>3876</v>
      </c>
      <c r="C2880" s="1" t="s">
        <v>3877</v>
      </c>
      <c r="D2880" s="22" t="str">
        <f>HYPERLINK("https://rhld.insurance.arkansas.gov/NPILookup?Npi=1033151022","1033151022")</f>
        <v>1033151022</v>
      </c>
      <c r="E2880" s="1" t="s">
        <v>2658</v>
      </c>
      <c r="F2880" s="2"/>
      <c r="G2880" s="2"/>
      <c r="H2880" s="2"/>
    </row>
    <row r="2881" spans="1:8" x14ac:dyDescent="0.25">
      <c r="A2881" s="1"/>
      <c r="B2881" s="1" t="s">
        <v>3876</v>
      </c>
      <c r="C2881" s="1" t="s">
        <v>3877</v>
      </c>
      <c r="D2881" s="22" t="str">
        <f>HYPERLINK("https://rhld.insurance.arkansas.gov/NPILookup?Npi=1033213335","1033213335")</f>
        <v>1033213335</v>
      </c>
      <c r="E2881" s="1" t="s">
        <v>16046</v>
      </c>
      <c r="F2881" s="2"/>
      <c r="G2881" s="2"/>
      <c r="H2881" s="2"/>
    </row>
    <row r="2882" spans="1:8" x14ac:dyDescent="0.25">
      <c r="A2882" s="1"/>
      <c r="B2882" s="1" t="s">
        <v>3876</v>
      </c>
      <c r="C2882" s="1" t="s">
        <v>3877</v>
      </c>
      <c r="D2882" s="22" t="str">
        <f>HYPERLINK("https://rhld.insurance.arkansas.gov/NPILookup?Npi=1033367610","1033367610")</f>
        <v>1033367610</v>
      </c>
      <c r="E2882" s="1" t="s">
        <v>3882</v>
      </c>
      <c r="F2882" s="2"/>
      <c r="G2882" s="2"/>
      <c r="H2882" s="2"/>
    </row>
    <row r="2883" spans="1:8" x14ac:dyDescent="0.25">
      <c r="A2883" s="1"/>
      <c r="B2883" s="1" t="s">
        <v>3876</v>
      </c>
      <c r="C2883" s="1" t="s">
        <v>3877</v>
      </c>
      <c r="D2883" s="22" t="str">
        <f>HYPERLINK("https://rhld.insurance.arkansas.gov/NPILookup?Npi=1033582432","1033582432")</f>
        <v>1033582432</v>
      </c>
      <c r="E2883" s="1" t="s">
        <v>9902</v>
      </c>
      <c r="F2883" s="2"/>
      <c r="G2883" s="2"/>
      <c r="H2883" s="2"/>
    </row>
    <row r="2884" spans="1:8" x14ac:dyDescent="0.25">
      <c r="A2884" s="1"/>
      <c r="B2884" s="1" t="s">
        <v>3876</v>
      </c>
      <c r="C2884" s="1" t="s">
        <v>3877</v>
      </c>
      <c r="D2884" s="22" t="str">
        <f>HYPERLINK("https://rhld.insurance.arkansas.gov/NPILookup?Npi=1033867999","1033867999")</f>
        <v>1033867999</v>
      </c>
      <c r="E2884" s="1" t="s">
        <v>16047</v>
      </c>
      <c r="F2884" s="2"/>
      <c r="G2884" s="2"/>
      <c r="H2884" s="2"/>
    </row>
    <row r="2885" spans="1:8" x14ac:dyDescent="0.25">
      <c r="A2885" s="1"/>
      <c r="B2885" s="1" t="s">
        <v>3876</v>
      </c>
      <c r="C2885" s="1" t="s">
        <v>3877</v>
      </c>
      <c r="D2885" s="22" t="str">
        <f>HYPERLINK("https://rhld.insurance.arkansas.gov/NPILookup?Npi=1033947536","1033947536")</f>
        <v>1033947536</v>
      </c>
      <c r="E2885" s="1" t="s">
        <v>16048</v>
      </c>
      <c r="F2885" s="2"/>
      <c r="G2885" s="2"/>
      <c r="H2885" s="2"/>
    </row>
    <row r="2886" spans="1:8" x14ac:dyDescent="0.25">
      <c r="A2886" s="1"/>
      <c r="B2886" s="1" t="s">
        <v>3876</v>
      </c>
      <c r="C2886" s="1" t="s">
        <v>3877</v>
      </c>
      <c r="D2886" s="22" t="str">
        <f>HYPERLINK("https://rhld.insurance.arkansas.gov/NPILookup?Npi=1043245509","1043245509")</f>
        <v>1043245509</v>
      </c>
      <c r="E2886" s="1" t="s">
        <v>3884</v>
      </c>
      <c r="F2886" s="2"/>
      <c r="G2886" s="2"/>
      <c r="H2886" s="2"/>
    </row>
    <row r="2887" spans="1:8" x14ac:dyDescent="0.25">
      <c r="A2887" s="1"/>
      <c r="B2887" s="1" t="s">
        <v>3876</v>
      </c>
      <c r="C2887" s="1" t="s">
        <v>3877</v>
      </c>
      <c r="D2887" s="22" t="str">
        <f>HYPERLINK("https://rhld.insurance.arkansas.gov/NPILookup?Npi=1043259120","1043259120")</f>
        <v>1043259120</v>
      </c>
      <c r="E2887" s="1" t="s">
        <v>16049</v>
      </c>
      <c r="F2887" s="2"/>
      <c r="G2887" s="2"/>
      <c r="H2887" s="2"/>
    </row>
    <row r="2888" spans="1:8" x14ac:dyDescent="0.25">
      <c r="A2888" s="1"/>
      <c r="B2888" s="1" t="s">
        <v>3876</v>
      </c>
      <c r="C2888" s="1" t="s">
        <v>3877</v>
      </c>
      <c r="D2888" s="22" t="str">
        <f>HYPERLINK("https://rhld.insurance.arkansas.gov/NPILookup?Npi=1043298383","1043298383")</f>
        <v>1043298383</v>
      </c>
      <c r="E2888" s="1" t="s">
        <v>3885</v>
      </c>
      <c r="F2888" s="2"/>
      <c r="G2888" s="2"/>
      <c r="H2888" s="2"/>
    </row>
    <row r="2889" spans="1:8" x14ac:dyDescent="0.25">
      <c r="A2889" s="1"/>
      <c r="B2889" s="1" t="s">
        <v>3876</v>
      </c>
      <c r="C2889" s="1" t="s">
        <v>3877</v>
      </c>
      <c r="D2889" s="22" t="str">
        <f>HYPERLINK("https://rhld.insurance.arkansas.gov/NPILookup?Npi=1043711187","1043711187")</f>
        <v>1043711187</v>
      </c>
      <c r="E2889" s="1" t="s">
        <v>3886</v>
      </c>
      <c r="F2889" s="2"/>
      <c r="G2889" s="2"/>
      <c r="H2889" s="2"/>
    </row>
    <row r="2890" spans="1:8" x14ac:dyDescent="0.25">
      <c r="A2890" s="1"/>
      <c r="B2890" s="1" t="s">
        <v>3876</v>
      </c>
      <c r="C2890" s="1" t="s">
        <v>3877</v>
      </c>
      <c r="D2890" s="22" t="str">
        <f>HYPERLINK("https://rhld.insurance.arkansas.gov/NPILookup?Npi=1043819303","1043819303")</f>
        <v>1043819303</v>
      </c>
      <c r="E2890" s="1" t="s">
        <v>31333</v>
      </c>
      <c r="F2890" s="2"/>
      <c r="G2890" s="2"/>
      <c r="H2890" s="2"/>
    </row>
    <row r="2891" spans="1:8" x14ac:dyDescent="0.25">
      <c r="A2891" s="1"/>
      <c r="B2891" s="1" t="s">
        <v>3876</v>
      </c>
      <c r="C2891" s="1" t="s">
        <v>3877</v>
      </c>
      <c r="D2891" s="22" t="str">
        <f>HYPERLINK("https://rhld.insurance.arkansas.gov/NPILookup?Npi=1053067272","1053067272")</f>
        <v>1053067272</v>
      </c>
      <c r="E2891" s="1" t="s">
        <v>16050</v>
      </c>
      <c r="F2891" s="2"/>
      <c r="G2891" s="2"/>
      <c r="H2891" s="2"/>
    </row>
    <row r="2892" spans="1:8" x14ac:dyDescent="0.25">
      <c r="A2892" s="1"/>
      <c r="B2892" s="1" t="s">
        <v>3876</v>
      </c>
      <c r="C2892" s="1" t="s">
        <v>3877</v>
      </c>
      <c r="D2892" s="22" t="str">
        <f>HYPERLINK("https://rhld.insurance.arkansas.gov/NPILookup?Npi=1053107185","1053107185")</f>
        <v>1053107185</v>
      </c>
      <c r="E2892" s="1" t="s">
        <v>31334</v>
      </c>
      <c r="F2892" s="2"/>
      <c r="G2892" s="2"/>
      <c r="H2892" s="2"/>
    </row>
    <row r="2893" spans="1:8" x14ac:dyDescent="0.25">
      <c r="A2893" s="1"/>
      <c r="B2893" s="1" t="s">
        <v>3876</v>
      </c>
      <c r="C2893" s="1" t="s">
        <v>3877</v>
      </c>
      <c r="D2893" s="22" t="str">
        <f>HYPERLINK("https://rhld.insurance.arkansas.gov/NPILookup?Npi=1053394346","1053394346")</f>
        <v>1053394346</v>
      </c>
      <c r="E2893" s="1" t="s">
        <v>16051</v>
      </c>
      <c r="F2893" s="2"/>
      <c r="G2893" s="2"/>
      <c r="H2893" s="2"/>
    </row>
    <row r="2894" spans="1:8" x14ac:dyDescent="0.25">
      <c r="A2894" s="1"/>
      <c r="B2894" s="1" t="s">
        <v>3876</v>
      </c>
      <c r="C2894" s="1" t="s">
        <v>3877</v>
      </c>
      <c r="D2894" s="22" t="str">
        <f>HYPERLINK("https://rhld.insurance.arkansas.gov/NPILookup?Npi=1053492132","1053492132")</f>
        <v>1053492132</v>
      </c>
      <c r="E2894" s="1" t="s">
        <v>16052</v>
      </c>
      <c r="F2894" s="2"/>
      <c r="G2894" s="2"/>
      <c r="H2894" s="2"/>
    </row>
    <row r="2895" spans="1:8" x14ac:dyDescent="0.25">
      <c r="A2895" s="1"/>
      <c r="B2895" s="1" t="s">
        <v>3876</v>
      </c>
      <c r="C2895" s="1" t="s">
        <v>3877</v>
      </c>
      <c r="D2895" s="22" t="str">
        <f>HYPERLINK("https://rhld.insurance.arkansas.gov/NPILookup?Npi=1063147080","1063147080")</f>
        <v>1063147080</v>
      </c>
      <c r="E2895" s="1" t="s">
        <v>16053</v>
      </c>
      <c r="F2895" s="2"/>
      <c r="G2895" s="2"/>
      <c r="H2895" s="2"/>
    </row>
    <row r="2896" spans="1:8" x14ac:dyDescent="0.25">
      <c r="A2896" s="1"/>
      <c r="B2896" s="1" t="s">
        <v>3876</v>
      </c>
      <c r="C2896" s="1" t="s">
        <v>3877</v>
      </c>
      <c r="D2896" s="22" t="str">
        <f>HYPERLINK("https://rhld.insurance.arkansas.gov/NPILookup?Npi=1063470334","1063470334")</f>
        <v>1063470334</v>
      </c>
      <c r="E2896" s="1" t="s">
        <v>9903</v>
      </c>
      <c r="F2896" s="2"/>
      <c r="G2896" s="2"/>
      <c r="H2896" s="2"/>
    </row>
    <row r="2897" spans="1:8" x14ac:dyDescent="0.25">
      <c r="A2897" s="1"/>
      <c r="B2897" s="1" t="s">
        <v>3876</v>
      </c>
      <c r="C2897" s="1" t="s">
        <v>3877</v>
      </c>
      <c r="D2897" s="22" t="str">
        <f>HYPERLINK("https://rhld.insurance.arkansas.gov/NPILookup?Npi=1063477479","1063477479")</f>
        <v>1063477479</v>
      </c>
      <c r="E2897" s="1" t="s">
        <v>16054</v>
      </c>
      <c r="F2897" s="2"/>
      <c r="G2897" s="2"/>
      <c r="H2897" s="2"/>
    </row>
    <row r="2898" spans="1:8" x14ac:dyDescent="0.25">
      <c r="A2898" s="1"/>
      <c r="B2898" s="1" t="s">
        <v>3876</v>
      </c>
      <c r="C2898" s="1" t="s">
        <v>3877</v>
      </c>
      <c r="D2898" s="22" t="str">
        <f>HYPERLINK("https://rhld.insurance.arkansas.gov/NPILookup?Npi=1063483766","1063483766")</f>
        <v>1063483766</v>
      </c>
      <c r="E2898" s="1" t="s">
        <v>16055</v>
      </c>
      <c r="F2898" s="2"/>
      <c r="G2898" s="2"/>
      <c r="H2898" s="2"/>
    </row>
    <row r="2899" spans="1:8" x14ac:dyDescent="0.25">
      <c r="A2899" s="1"/>
      <c r="B2899" s="1" t="s">
        <v>3876</v>
      </c>
      <c r="C2899" s="1" t="s">
        <v>3877</v>
      </c>
      <c r="D2899" s="22" t="str">
        <f>HYPERLINK("https://rhld.insurance.arkansas.gov/NPILookup?Npi=1063492403","1063492403")</f>
        <v>1063492403</v>
      </c>
      <c r="E2899" s="1" t="s">
        <v>16056</v>
      </c>
      <c r="F2899" s="2"/>
      <c r="G2899" s="2"/>
      <c r="H2899" s="2"/>
    </row>
    <row r="2900" spans="1:8" x14ac:dyDescent="0.25">
      <c r="A2900" s="1"/>
      <c r="B2900" s="1" t="s">
        <v>3876</v>
      </c>
      <c r="C2900" s="1" t="s">
        <v>3877</v>
      </c>
      <c r="D2900" s="22" t="str">
        <f>HYPERLINK("https://rhld.insurance.arkansas.gov/NPILookup?Npi=1063498244","1063498244")</f>
        <v>1063498244</v>
      </c>
      <c r="E2900" s="1" t="s">
        <v>16057</v>
      </c>
      <c r="F2900" s="2"/>
      <c r="G2900" s="2"/>
      <c r="H2900" s="2"/>
    </row>
    <row r="2901" spans="1:8" x14ac:dyDescent="0.25">
      <c r="A2901" s="1"/>
      <c r="B2901" s="1" t="s">
        <v>3876</v>
      </c>
      <c r="C2901" s="1" t="s">
        <v>3877</v>
      </c>
      <c r="D2901" s="22" t="str">
        <f>HYPERLINK("https://rhld.insurance.arkansas.gov/NPILookup?Npi=1073108767","1073108767")</f>
        <v>1073108767</v>
      </c>
      <c r="E2901" s="1" t="s">
        <v>16058</v>
      </c>
      <c r="F2901" s="2"/>
      <c r="G2901" s="2"/>
      <c r="H2901" s="2"/>
    </row>
    <row r="2902" spans="1:8" x14ac:dyDescent="0.25">
      <c r="A2902" s="1"/>
      <c r="B2902" s="1" t="s">
        <v>3876</v>
      </c>
      <c r="C2902" s="1" t="s">
        <v>3877</v>
      </c>
      <c r="D2902" s="22" t="str">
        <f>HYPERLINK("https://rhld.insurance.arkansas.gov/NPILookup?Npi=1083683882","1083683882")</f>
        <v>1083683882</v>
      </c>
      <c r="E2902" s="1" t="s">
        <v>3887</v>
      </c>
      <c r="F2902" s="2"/>
      <c r="G2902" s="2"/>
      <c r="H2902" s="2"/>
    </row>
    <row r="2903" spans="1:8" x14ac:dyDescent="0.25">
      <c r="A2903" s="1"/>
      <c r="B2903" s="1" t="s">
        <v>3876</v>
      </c>
      <c r="C2903" s="1" t="s">
        <v>3877</v>
      </c>
      <c r="D2903" s="22" t="str">
        <f>HYPERLINK("https://rhld.insurance.arkansas.gov/NPILookup?Npi=1083711600","1083711600")</f>
        <v>1083711600</v>
      </c>
      <c r="E2903" s="1" t="s">
        <v>16059</v>
      </c>
      <c r="F2903" s="2"/>
      <c r="G2903" s="2"/>
      <c r="H2903" s="2"/>
    </row>
    <row r="2904" spans="1:8" x14ac:dyDescent="0.25">
      <c r="A2904" s="1"/>
      <c r="B2904" s="1" t="s">
        <v>3876</v>
      </c>
      <c r="C2904" s="1" t="s">
        <v>3877</v>
      </c>
      <c r="D2904" s="22" t="str">
        <f>HYPERLINK("https://rhld.insurance.arkansas.gov/NPILookup?Npi=1083778625","1083778625")</f>
        <v>1083778625</v>
      </c>
      <c r="E2904" s="1" t="s">
        <v>16060</v>
      </c>
      <c r="F2904" s="2"/>
      <c r="G2904" s="2"/>
      <c r="H2904" s="2"/>
    </row>
    <row r="2905" spans="1:8" x14ac:dyDescent="0.25">
      <c r="A2905" s="1"/>
      <c r="B2905" s="1" t="s">
        <v>3876</v>
      </c>
      <c r="C2905" s="1" t="s">
        <v>3877</v>
      </c>
      <c r="D2905" s="22" t="str">
        <f>HYPERLINK("https://rhld.insurance.arkansas.gov/NPILookup?Npi=1083933014","1083933014")</f>
        <v>1083933014</v>
      </c>
      <c r="E2905" s="1" t="s">
        <v>3888</v>
      </c>
      <c r="F2905" s="2"/>
      <c r="G2905" s="2"/>
      <c r="H2905" s="2"/>
    </row>
    <row r="2906" spans="1:8" x14ac:dyDescent="0.25">
      <c r="A2906" s="1"/>
      <c r="B2906" s="1" t="s">
        <v>3876</v>
      </c>
      <c r="C2906" s="1" t="s">
        <v>3877</v>
      </c>
      <c r="D2906" s="22" t="str">
        <f>HYPERLINK("https://rhld.insurance.arkansas.gov/NPILookup?Npi=1093053530","1093053530")</f>
        <v>1093053530</v>
      </c>
      <c r="E2906" s="1" t="s">
        <v>9904</v>
      </c>
      <c r="F2906" s="2"/>
      <c r="G2906" s="2"/>
      <c r="H2906" s="2"/>
    </row>
    <row r="2907" spans="1:8" x14ac:dyDescent="0.25">
      <c r="A2907" s="1"/>
      <c r="B2907" s="1" t="s">
        <v>3876</v>
      </c>
      <c r="C2907" s="1" t="s">
        <v>3877</v>
      </c>
      <c r="D2907" s="22" t="str">
        <f>HYPERLINK("https://rhld.insurance.arkansas.gov/NPILookup?Npi=1093308066","1093308066")</f>
        <v>1093308066</v>
      </c>
      <c r="E2907" s="1" t="s">
        <v>16061</v>
      </c>
      <c r="F2907" s="2"/>
      <c r="G2907" s="2"/>
      <c r="H2907" s="2"/>
    </row>
    <row r="2908" spans="1:8" x14ac:dyDescent="0.25">
      <c r="A2908" s="1"/>
      <c r="B2908" s="1" t="s">
        <v>3876</v>
      </c>
      <c r="C2908" s="1" t="s">
        <v>3877</v>
      </c>
      <c r="D2908" s="22" t="str">
        <f>HYPERLINK("https://rhld.insurance.arkansas.gov/NPILookup?Npi=1093328585","1093328585")</f>
        <v>1093328585</v>
      </c>
      <c r="E2908" s="1" t="s">
        <v>3889</v>
      </c>
      <c r="F2908" s="2"/>
      <c r="G2908" s="2"/>
      <c r="H2908" s="2"/>
    </row>
    <row r="2909" spans="1:8" x14ac:dyDescent="0.25">
      <c r="A2909" s="1"/>
      <c r="B2909" s="1" t="s">
        <v>3876</v>
      </c>
      <c r="C2909" s="1" t="s">
        <v>3877</v>
      </c>
      <c r="D2909" s="22" t="str">
        <f>HYPERLINK("https://rhld.insurance.arkansas.gov/NPILookup?Npi=1093510760","1093510760")</f>
        <v>1093510760</v>
      </c>
      <c r="E2909" s="1" t="s">
        <v>31335</v>
      </c>
      <c r="F2909" s="2"/>
      <c r="G2909" s="2"/>
      <c r="H2909" s="2"/>
    </row>
    <row r="2910" spans="1:8" x14ac:dyDescent="0.25">
      <c r="A2910" s="1"/>
      <c r="B2910" s="1" t="s">
        <v>3876</v>
      </c>
      <c r="C2910" s="1" t="s">
        <v>3877</v>
      </c>
      <c r="D2910" s="22" t="str">
        <f>HYPERLINK("https://rhld.insurance.arkansas.gov/NPILookup?Npi=1093579542","1093579542")</f>
        <v>1093579542</v>
      </c>
      <c r="E2910" s="1" t="s">
        <v>16062</v>
      </c>
      <c r="F2910" s="2"/>
      <c r="G2910" s="2"/>
      <c r="H2910" s="2"/>
    </row>
    <row r="2911" spans="1:8" x14ac:dyDescent="0.25">
      <c r="A2911" s="1"/>
      <c r="B2911" s="1" t="s">
        <v>3876</v>
      </c>
      <c r="C2911" s="1" t="s">
        <v>3877</v>
      </c>
      <c r="D2911" s="22" t="str">
        <f>HYPERLINK("https://rhld.insurance.arkansas.gov/NPILookup?Npi=1093840001","1093840001")</f>
        <v>1093840001</v>
      </c>
      <c r="E2911" s="1" t="s">
        <v>3890</v>
      </c>
      <c r="F2911" s="2"/>
      <c r="G2911" s="2"/>
      <c r="H2911" s="2"/>
    </row>
    <row r="2912" spans="1:8" x14ac:dyDescent="0.25">
      <c r="A2912" s="1"/>
      <c r="B2912" s="1" t="s">
        <v>3876</v>
      </c>
      <c r="C2912" s="1" t="s">
        <v>3877</v>
      </c>
      <c r="D2912" s="22" t="str">
        <f>HYPERLINK("https://rhld.insurance.arkansas.gov/NPILookup?Npi=1093874976","1093874976")</f>
        <v>1093874976</v>
      </c>
      <c r="E2912" s="1" t="s">
        <v>16063</v>
      </c>
      <c r="F2912" s="2"/>
      <c r="G2912" s="2"/>
      <c r="H2912" s="2"/>
    </row>
    <row r="2913" spans="1:8" x14ac:dyDescent="0.25">
      <c r="A2913" s="1"/>
      <c r="B2913" s="1" t="s">
        <v>3876</v>
      </c>
      <c r="C2913" s="1" t="s">
        <v>3877</v>
      </c>
      <c r="D2913" s="22" t="str">
        <f>HYPERLINK("https://rhld.insurance.arkansas.gov/NPILookup?Npi=1093899940","1093899940")</f>
        <v>1093899940</v>
      </c>
      <c r="E2913" s="1" t="s">
        <v>16064</v>
      </c>
      <c r="F2913" s="2"/>
      <c r="G2913" s="2"/>
      <c r="H2913" s="2"/>
    </row>
    <row r="2914" spans="1:8" x14ac:dyDescent="0.25">
      <c r="A2914" s="1"/>
      <c r="B2914" s="1" t="s">
        <v>3876</v>
      </c>
      <c r="C2914" s="1" t="s">
        <v>3877</v>
      </c>
      <c r="D2914" s="22" t="str">
        <f>HYPERLINK("https://rhld.insurance.arkansas.gov/NPILookup?Npi=1104326412","1104326412")</f>
        <v>1104326412</v>
      </c>
      <c r="E2914" s="1" t="s">
        <v>16065</v>
      </c>
      <c r="F2914" s="2"/>
      <c r="G2914" s="2"/>
      <c r="H2914" s="2"/>
    </row>
    <row r="2915" spans="1:8" x14ac:dyDescent="0.25">
      <c r="A2915" s="1"/>
      <c r="B2915" s="1" t="s">
        <v>3876</v>
      </c>
      <c r="C2915" s="1" t="s">
        <v>3877</v>
      </c>
      <c r="D2915" s="22" t="str">
        <f>HYPERLINK("https://rhld.insurance.arkansas.gov/NPILookup?Npi=1104485325","1104485325")</f>
        <v>1104485325</v>
      </c>
      <c r="E2915" s="1" t="s">
        <v>9905</v>
      </c>
      <c r="F2915" s="2"/>
      <c r="G2915" s="2"/>
      <c r="H2915" s="2"/>
    </row>
    <row r="2916" spans="1:8" x14ac:dyDescent="0.25">
      <c r="A2916" s="1"/>
      <c r="B2916" s="1" t="s">
        <v>3876</v>
      </c>
      <c r="C2916" s="1" t="s">
        <v>3877</v>
      </c>
      <c r="D2916" s="22" t="str">
        <f>HYPERLINK("https://rhld.insurance.arkansas.gov/NPILookup?Npi=1104838259","1104838259")</f>
        <v>1104838259</v>
      </c>
      <c r="E2916" s="1" t="s">
        <v>3891</v>
      </c>
      <c r="F2916" s="2"/>
      <c r="G2916" s="2"/>
      <c r="H2916" s="2"/>
    </row>
    <row r="2917" spans="1:8" x14ac:dyDescent="0.25">
      <c r="A2917" s="1"/>
      <c r="B2917" s="1" t="s">
        <v>3876</v>
      </c>
      <c r="C2917" s="1" t="s">
        <v>3877</v>
      </c>
      <c r="D2917" s="22" t="str">
        <f>HYPERLINK("https://rhld.insurance.arkansas.gov/NPILookup?Npi=1114064037","1114064037")</f>
        <v>1114064037</v>
      </c>
      <c r="E2917" s="1" t="s">
        <v>9906</v>
      </c>
      <c r="F2917" s="2"/>
      <c r="G2917" s="2"/>
      <c r="H2917" s="2"/>
    </row>
    <row r="2918" spans="1:8" x14ac:dyDescent="0.25">
      <c r="A2918" s="1"/>
      <c r="B2918" s="1" t="s">
        <v>3876</v>
      </c>
      <c r="C2918" s="1" t="s">
        <v>3877</v>
      </c>
      <c r="D2918" s="22" t="str">
        <f>HYPERLINK("https://rhld.insurance.arkansas.gov/NPILookup?Npi=1114110194","1114110194")</f>
        <v>1114110194</v>
      </c>
      <c r="E2918" s="1" t="s">
        <v>16066</v>
      </c>
      <c r="F2918" s="2"/>
      <c r="G2918" s="2"/>
      <c r="H2918" s="2"/>
    </row>
    <row r="2919" spans="1:8" x14ac:dyDescent="0.25">
      <c r="A2919" s="1"/>
      <c r="B2919" s="1" t="s">
        <v>3876</v>
      </c>
      <c r="C2919" s="1" t="s">
        <v>3877</v>
      </c>
      <c r="D2919" s="22" t="str">
        <f>HYPERLINK("https://rhld.insurance.arkansas.gov/NPILookup?Npi=1114671468","1114671468")</f>
        <v>1114671468</v>
      </c>
      <c r="E2919" s="1" t="s">
        <v>16067</v>
      </c>
      <c r="F2919" s="2"/>
      <c r="G2919" s="2"/>
      <c r="H2919" s="2"/>
    </row>
    <row r="2920" spans="1:8" x14ac:dyDescent="0.25">
      <c r="A2920" s="1"/>
      <c r="B2920" s="1" t="s">
        <v>3876</v>
      </c>
      <c r="C2920" s="1" t="s">
        <v>3877</v>
      </c>
      <c r="D2920" s="22" t="str">
        <f>HYPERLINK("https://rhld.insurance.arkansas.gov/NPILookup?Npi=1114907854","1114907854")</f>
        <v>1114907854</v>
      </c>
      <c r="E2920" s="1" t="s">
        <v>16068</v>
      </c>
      <c r="F2920" s="2"/>
      <c r="G2920" s="2"/>
      <c r="H2920" s="2"/>
    </row>
    <row r="2921" spans="1:8" x14ac:dyDescent="0.25">
      <c r="A2921" s="1"/>
      <c r="B2921" s="1" t="s">
        <v>3876</v>
      </c>
      <c r="C2921" s="1" t="s">
        <v>3877</v>
      </c>
      <c r="D2921" s="22" t="str">
        <f>HYPERLINK("https://rhld.insurance.arkansas.gov/NPILookup?Npi=1124025234","1124025234")</f>
        <v>1124025234</v>
      </c>
      <c r="E2921" s="1" t="s">
        <v>16069</v>
      </c>
      <c r="F2921" s="2"/>
      <c r="G2921" s="2"/>
      <c r="H2921" s="2"/>
    </row>
    <row r="2922" spans="1:8" x14ac:dyDescent="0.25">
      <c r="A2922" s="1"/>
      <c r="B2922" s="1" t="s">
        <v>3876</v>
      </c>
      <c r="C2922" s="1" t="s">
        <v>3877</v>
      </c>
      <c r="D2922" s="22" t="str">
        <f>HYPERLINK("https://rhld.insurance.arkansas.gov/NPILookup?Npi=1124049952","1124049952")</f>
        <v>1124049952</v>
      </c>
      <c r="E2922" s="1" t="s">
        <v>16070</v>
      </c>
      <c r="F2922" s="2"/>
      <c r="G2922" s="2"/>
      <c r="H2922" s="2"/>
    </row>
    <row r="2923" spans="1:8" x14ac:dyDescent="0.25">
      <c r="A2923" s="1"/>
      <c r="B2923" s="1" t="s">
        <v>3876</v>
      </c>
      <c r="C2923" s="1" t="s">
        <v>3877</v>
      </c>
      <c r="D2923" s="22" t="str">
        <f>HYPERLINK("https://rhld.insurance.arkansas.gov/NPILookup?Npi=1124082961","1124082961")</f>
        <v>1124082961</v>
      </c>
      <c r="E2923" s="1" t="s">
        <v>3892</v>
      </c>
      <c r="F2923" s="2"/>
      <c r="G2923" s="2"/>
      <c r="H2923" s="2"/>
    </row>
    <row r="2924" spans="1:8" x14ac:dyDescent="0.25">
      <c r="A2924" s="1"/>
      <c r="B2924" s="1" t="s">
        <v>3876</v>
      </c>
      <c r="C2924" s="1" t="s">
        <v>3877</v>
      </c>
      <c r="D2924" s="22" t="str">
        <f>HYPERLINK("https://rhld.insurance.arkansas.gov/NPILookup?Npi=1124160536","1124160536")</f>
        <v>1124160536</v>
      </c>
      <c r="E2924" s="1" t="s">
        <v>16071</v>
      </c>
      <c r="F2924" s="2"/>
      <c r="G2924" s="2"/>
      <c r="H2924" s="2"/>
    </row>
    <row r="2925" spans="1:8" x14ac:dyDescent="0.25">
      <c r="A2925" s="1"/>
      <c r="B2925" s="1" t="s">
        <v>3876</v>
      </c>
      <c r="C2925" s="1" t="s">
        <v>3877</v>
      </c>
      <c r="D2925" s="22" t="str">
        <f>HYPERLINK("https://rhld.insurance.arkansas.gov/NPILookup?Npi=1124268016","1124268016")</f>
        <v>1124268016</v>
      </c>
      <c r="E2925" s="1" t="s">
        <v>16072</v>
      </c>
      <c r="F2925" s="2"/>
      <c r="G2925" s="2"/>
      <c r="H2925" s="2"/>
    </row>
    <row r="2926" spans="1:8" x14ac:dyDescent="0.25">
      <c r="A2926" s="1"/>
      <c r="B2926" s="1" t="s">
        <v>3876</v>
      </c>
      <c r="C2926" s="1" t="s">
        <v>3877</v>
      </c>
      <c r="D2926" s="22" t="str">
        <f>HYPERLINK("https://rhld.insurance.arkansas.gov/NPILookup?Npi=1124672100","1124672100")</f>
        <v>1124672100</v>
      </c>
      <c r="E2926" s="1" t="s">
        <v>16073</v>
      </c>
      <c r="F2926" s="2"/>
      <c r="G2926" s="2"/>
      <c r="H2926" s="2"/>
    </row>
    <row r="2927" spans="1:8" x14ac:dyDescent="0.25">
      <c r="A2927" s="1"/>
      <c r="B2927" s="1" t="s">
        <v>3876</v>
      </c>
      <c r="C2927" s="1" t="s">
        <v>3877</v>
      </c>
      <c r="D2927" s="22" t="str">
        <f>HYPERLINK("https://rhld.insurance.arkansas.gov/NPILookup?Npi=1124798285","1124798285")</f>
        <v>1124798285</v>
      </c>
      <c r="E2927" s="1" t="s">
        <v>3893</v>
      </c>
      <c r="F2927" s="2"/>
      <c r="G2927" s="2"/>
      <c r="H2927" s="2"/>
    </row>
    <row r="2928" spans="1:8" x14ac:dyDescent="0.25">
      <c r="A2928" s="1"/>
      <c r="B2928" s="1" t="s">
        <v>3876</v>
      </c>
      <c r="C2928" s="1" t="s">
        <v>3877</v>
      </c>
      <c r="D2928" s="22" t="str">
        <f>HYPERLINK("https://rhld.insurance.arkansas.gov/NPILookup?Npi=1134140601","1134140601")</f>
        <v>1134140601</v>
      </c>
      <c r="E2928" s="1" t="s">
        <v>16074</v>
      </c>
      <c r="F2928" s="2"/>
      <c r="G2928" s="2"/>
      <c r="H2928" s="2"/>
    </row>
    <row r="2929" spans="1:8" x14ac:dyDescent="0.25">
      <c r="A2929" s="1"/>
      <c r="B2929" s="1" t="s">
        <v>3876</v>
      </c>
      <c r="C2929" s="1" t="s">
        <v>3877</v>
      </c>
      <c r="D2929" s="22" t="str">
        <f>HYPERLINK("https://rhld.insurance.arkansas.gov/NPILookup?Npi=1134196488","1134196488")</f>
        <v>1134196488</v>
      </c>
      <c r="E2929" s="1" t="s">
        <v>16075</v>
      </c>
      <c r="F2929" s="2"/>
      <c r="G2929" s="2"/>
      <c r="H2929" s="2"/>
    </row>
    <row r="2930" spans="1:8" x14ac:dyDescent="0.25">
      <c r="A2930" s="1"/>
      <c r="B2930" s="1" t="s">
        <v>3876</v>
      </c>
      <c r="C2930" s="1" t="s">
        <v>3877</v>
      </c>
      <c r="D2930" s="22" t="str">
        <f>HYPERLINK("https://rhld.insurance.arkansas.gov/NPILookup?Npi=1134344526","1134344526")</f>
        <v>1134344526</v>
      </c>
      <c r="E2930" s="1" t="s">
        <v>16076</v>
      </c>
      <c r="F2930" s="2"/>
      <c r="G2930" s="2"/>
      <c r="H2930" s="2"/>
    </row>
    <row r="2931" spans="1:8" x14ac:dyDescent="0.25">
      <c r="A2931" s="1"/>
      <c r="B2931" s="1" t="s">
        <v>3876</v>
      </c>
      <c r="C2931" s="1" t="s">
        <v>3877</v>
      </c>
      <c r="D2931" s="22" t="str">
        <f>HYPERLINK("https://rhld.insurance.arkansas.gov/NPILookup?Npi=1134585144","1134585144")</f>
        <v>1134585144</v>
      </c>
      <c r="E2931" s="1" t="s">
        <v>3894</v>
      </c>
      <c r="F2931" s="2"/>
      <c r="G2931" s="2"/>
      <c r="H2931" s="2"/>
    </row>
    <row r="2932" spans="1:8" x14ac:dyDescent="0.25">
      <c r="A2932" s="1"/>
      <c r="B2932" s="1" t="s">
        <v>3876</v>
      </c>
      <c r="C2932" s="1" t="s">
        <v>3877</v>
      </c>
      <c r="D2932" s="22" t="str">
        <f>HYPERLINK("https://rhld.insurance.arkansas.gov/NPILookup?Npi=1134693583","1134693583")</f>
        <v>1134693583</v>
      </c>
      <c r="E2932" s="1" t="s">
        <v>9907</v>
      </c>
      <c r="F2932" s="2"/>
      <c r="G2932" s="2"/>
      <c r="H2932" s="2"/>
    </row>
    <row r="2933" spans="1:8" x14ac:dyDescent="0.25">
      <c r="A2933" s="1"/>
      <c r="B2933" s="1" t="s">
        <v>3876</v>
      </c>
      <c r="C2933" s="1" t="s">
        <v>3877</v>
      </c>
      <c r="D2933" s="22" t="str">
        <f>HYPERLINK("https://rhld.insurance.arkansas.gov/NPILookup?Npi=1134693609","1134693609")</f>
        <v>1134693609</v>
      </c>
      <c r="E2933" s="1" t="s">
        <v>3895</v>
      </c>
      <c r="F2933" s="2"/>
      <c r="G2933" s="2"/>
      <c r="H2933" s="2"/>
    </row>
    <row r="2934" spans="1:8" x14ac:dyDescent="0.25">
      <c r="A2934" s="1"/>
      <c r="B2934" s="1" t="s">
        <v>3876</v>
      </c>
      <c r="C2934" s="1" t="s">
        <v>3877</v>
      </c>
      <c r="D2934" s="22" t="str">
        <f>HYPERLINK("https://rhld.insurance.arkansas.gov/NPILookup?Npi=1134835135","1134835135")</f>
        <v>1134835135</v>
      </c>
      <c r="E2934" s="1" t="s">
        <v>3896</v>
      </c>
      <c r="F2934" s="2"/>
      <c r="G2934" s="2"/>
      <c r="H2934" s="2"/>
    </row>
    <row r="2935" spans="1:8" x14ac:dyDescent="0.25">
      <c r="A2935" s="1"/>
      <c r="B2935" s="1" t="s">
        <v>3876</v>
      </c>
      <c r="C2935" s="1" t="s">
        <v>3877</v>
      </c>
      <c r="D2935" s="22" t="str">
        <f>HYPERLINK("https://rhld.insurance.arkansas.gov/NPILookup?Npi=1134997083","1134997083")</f>
        <v>1134997083</v>
      </c>
      <c r="E2935" s="1" t="s">
        <v>16077</v>
      </c>
      <c r="F2935" s="2"/>
      <c r="G2935" s="2"/>
      <c r="H2935" s="2"/>
    </row>
    <row r="2936" spans="1:8" x14ac:dyDescent="0.25">
      <c r="A2936" s="1"/>
      <c r="B2936" s="1" t="s">
        <v>3876</v>
      </c>
      <c r="C2936" s="1" t="s">
        <v>3877</v>
      </c>
      <c r="D2936" s="22" t="str">
        <f>HYPERLINK("https://rhld.insurance.arkansas.gov/NPILookup?Npi=1144207556","1144207556")</f>
        <v>1144207556</v>
      </c>
      <c r="E2936" s="1" t="s">
        <v>3897</v>
      </c>
      <c r="F2936" s="2"/>
      <c r="G2936" s="2"/>
      <c r="H2936" s="2"/>
    </row>
    <row r="2937" spans="1:8" x14ac:dyDescent="0.25">
      <c r="A2937" s="1"/>
      <c r="B2937" s="1" t="s">
        <v>3876</v>
      </c>
      <c r="C2937" s="1" t="s">
        <v>3877</v>
      </c>
      <c r="D2937" s="22" t="str">
        <f>HYPERLINK("https://rhld.insurance.arkansas.gov/NPILookup?Npi=1144230798","1144230798")</f>
        <v>1144230798</v>
      </c>
      <c r="E2937" s="1" t="s">
        <v>3898</v>
      </c>
      <c r="F2937" s="2"/>
      <c r="G2937" s="2"/>
      <c r="H2937" s="2"/>
    </row>
    <row r="2938" spans="1:8" x14ac:dyDescent="0.25">
      <c r="A2938" s="1"/>
      <c r="B2938" s="1" t="s">
        <v>3876</v>
      </c>
      <c r="C2938" s="1" t="s">
        <v>3877</v>
      </c>
      <c r="D2938" s="22" t="str">
        <f>HYPERLINK("https://rhld.insurance.arkansas.gov/NPILookup?Npi=1144285487","1144285487")</f>
        <v>1144285487</v>
      </c>
      <c r="E2938" s="1" t="s">
        <v>16078</v>
      </c>
      <c r="F2938" s="2"/>
      <c r="G2938" s="2"/>
      <c r="H2938" s="2"/>
    </row>
    <row r="2939" spans="1:8" x14ac:dyDescent="0.25">
      <c r="A2939" s="1"/>
      <c r="B2939" s="1" t="s">
        <v>3876</v>
      </c>
      <c r="C2939" s="1" t="s">
        <v>3877</v>
      </c>
      <c r="D2939" s="22" t="str">
        <f>HYPERLINK("https://rhld.insurance.arkansas.gov/NPILookup?Npi=1144295833","1144295833")</f>
        <v>1144295833</v>
      </c>
      <c r="E2939" s="1" t="s">
        <v>2653</v>
      </c>
      <c r="F2939" s="2"/>
      <c r="G2939" s="2"/>
      <c r="H2939" s="2"/>
    </row>
    <row r="2940" spans="1:8" x14ac:dyDescent="0.25">
      <c r="A2940" s="1"/>
      <c r="B2940" s="1" t="s">
        <v>3876</v>
      </c>
      <c r="C2940" s="1" t="s">
        <v>3877</v>
      </c>
      <c r="D2940" s="22" t="str">
        <f>HYPERLINK("https://rhld.insurance.arkansas.gov/NPILookup?Npi=1144337346","1144337346")</f>
        <v>1144337346</v>
      </c>
      <c r="E2940" s="1" t="s">
        <v>16079</v>
      </c>
      <c r="F2940" s="2"/>
      <c r="G2940" s="2"/>
      <c r="H2940" s="2"/>
    </row>
    <row r="2941" spans="1:8" x14ac:dyDescent="0.25">
      <c r="A2941" s="1"/>
      <c r="B2941" s="1" t="s">
        <v>3876</v>
      </c>
      <c r="C2941" s="1" t="s">
        <v>3877</v>
      </c>
      <c r="D2941" s="22" t="str">
        <f>HYPERLINK("https://rhld.insurance.arkansas.gov/NPILookup?Npi=1144549437","1144549437")</f>
        <v>1144549437</v>
      </c>
      <c r="E2941" s="1" t="s">
        <v>3899</v>
      </c>
      <c r="F2941" s="2"/>
      <c r="G2941" s="2"/>
      <c r="H2941" s="2"/>
    </row>
    <row r="2942" spans="1:8" x14ac:dyDescent="0.25">
      <c r="A2942" s="1"/>
      <c r="B2942" s="1" t="s">
        <v>3876</v>
      </c>
      <c r="C2942" s="1" t="s">
        <v>3877</v>
      </c>
      <c r="D2942" s="22" t="str">
        <f>HYPERLINK("https://rhld.insurance.arkansas.gov/NPILookup?Npi=1144950502","1144950502")</f>
        <v>1144950502</v>
      </c>
      <c r="E2942" s="1" t="s">
        <v>31336</v>
      </c>
      <c r="F2942" s="2"/>
      <c r="G2942" s="2"/>
      <c r="H2942" s="2"/>
    </row>
    <row r="2943" spans="1:8" x14ac:dyDescent="0.25">
      <c r="A2943" s="1"/>
      <c r="B2943" s="1" t="s">
        <v>3876</v>
      </c>
      <c r="C2943" s="1" t="s">
        <v>3877</v>
      </c>
      <c r="D2943" s="22" t="str">
        <f>HYPERLINK("https://rhld.insurance.arkansas.gov/NPILookup?Npi=1154373421","1154373421")</f>
        <v>1154373421</v>
      </c>
      <c r="E2943" s="1" t="s">
        <v>9908</v>
      </c>
      <c r="F2943" s="2"/>
      <c r="G2943" s="2"/>
      <c r="H2943" s="2"/>
    </row>
    <row r="2944" spans="1:8" x14ac:dyDescent="0.25">
      <c r="A2944" s="1"/>
      <c r="B2944" s="1" t="s">
        <v>3876</v>
      </c>
      <c r="C2944" s="1" t="s">
        <v>3877</v>
      </c>
      <c r="D2944" s="22" t="str">
        <f>HYPERLINK("https://rhld.insurance.arkansas.gov/NPILookup?Npi=1154402006","1154402006")</f>
        <v>1154402006</v>
      </c>
      <c r="E2944" s="1" t="s">
        <v>3900</v>
      </c>
      <c r="F2944" s="2"/>
      <c r="G2944" s="2"/>
      <c r="H2944" s="2"/>
    </row>
    <row r="2945" spans="1:8" x14ac:dyDescent="0.25">
      <c r="A2945" s="1"/>
      <c r="B2945" s="1" t="s">
        <v>3876</v>
      </c>
      <c r="C2945" s="1" t="s">
        <v>3877</v>
      </c>
      <c r="D2945" s="22" t="str">
        <f>HYPERLINK("https://rhld.insurance.arkansas.gov/NPILookup?Npi=1154429157","1154429157")</f>
        <v>1154429157</v>
      </c>
      <c r="E2945" s="1" t="s">
        <v>16080</v>
      </c>
      <c r="F2945" s="2"/>
      <c r="G2945" s="2"/>
      <c r="H2945" s="2"/>
    </row>
    <row r="2946" spans="1:8" x14ac:dyDescent="0.25">
      <c r="A2946" s="1"/>
      <c r="B2946" s="1" t="s">
        <v>3876</v>
      </c>
      <c r="C2946" s="1" t="s">
        <v>3877</v>
      </c>
      <c r="D2946" s="22" t="str">
        <f>HYPERLINK("https://rhld.insurance.arkansas.gov/NPILookup?Npi=1154565794","1154565794")</f>
        <v>1154565794</v>
      </c>
      <c r="E2946" s="1" t="s">
        <v>16081</v>
      </c>
      <c r="F2946" s="2"/>
      <c r="G2946" s="2"/>
      <c r="H2946" s="2"/>
    </row>
    <row r="2947" spans="1:8" x14ac:dyDescent="0.25">
      <c r="A2947" s="1"/>
      <c r="B2947" s="1" t="s">
        <v>3876</v>
      </c>
      <c r="C2947" s="1" t="s">
        <v>3877</v>
      </c>
      <c r="D2947" s="22" t="str">
        <f>HYPERLINK("https://rhld.insurance.arkansas.gov/NPILookup?Npi=1154701480","1154701480")</f>
        <v>1154701480</v>
      </c>
      <c r="E2947" s="1" t="s">
        <v>403</v>
      </c>
      <c r="F2947" s="2"/>
      <c r="G2947" s="2"/>
      <c r="H2947" s="2"/>
    </row>
    <row r="2948" spans="1:8" x14ac:dyDescent="0.25">
      <c r="A2948" s="1"/>
      <c r="B2948" s="1" t="s">
        <v>3876</v>
      </c>
      <c r="C2948" s="1" t="s">
        <v>3877</v>
      </c>
      <c r="D2948" s="22" t="str">
        <f>HYPERLINK("https://rhld.insurance.arkansas.gov/NPILookup?Npi=1154984516","1154984516")</f>
        <v>1154984516</v>
      </c>
      <c r="E2948" s="1" t="s">
        <v>3901</v>
      </c>
      <c r="F2948" s="2"/>
      <c r="G2948" s="2"/>
      <c r="H2948" s="2"/>
    </row>
    <row r="2949" spans="1:8" x14ac:dyDescent="0.25">
      <c r="A2949" s="1"/>
      <c r="B2949" s="1" t="s">
        <v>3876</v>
      </c>
      <c r="C2949" s="1" t="s">
        <v>3877</v>
      </c>
      <c r="D2949" s="22" t="str">
        <f>HYPERLINK("https://rhld.insurance.arkansas.gov/NPILookup?Npi=1164011144","1164011144")</f>
        <v>1164011144</v>
      </c>
      <c r="E2949" s="1" t="s">
        <v>3902</v>
      </c>
      <c r="F2949" s="2"/>
      <c r="G2949" s="2"/>
      <c r="H2949" s="2"/>
    </row>
    <row r="2950" spans="1:8" x14ac:dyDescent="0.25">
      <c r="A2950" s="1"/>
      <c r="B2950" s="1" t="s">
        <v>3876</v>
      </c>
      <c r="C2950" s="1" t="s">
        <v>3877</v>
      </c>
      <c r="D2950" s="22" t="str">
        <f>HYPERLINK("https://rhld.insurance.arkansas.gov/NPILookup?Npi=1164065330","1164065330")</f>
        <v>1164065330</v>
      </c>
      <c r="E2950" s="1" t="s">
        <v>16082</v>
      </c>
      <c r="F2950" s="2"/>
      <c r="G2950" s="2"/>
      <c r="H2950" s="2"/>
    </row>
    <row r="2951" spans="1:8" x14ac:dyDescent="0.25">
      <c r="A2951" s="1"/>
      <c r="B2951" s="1" t="s">
        <v>3876</v>
      </c>
      <c r="C2951" s="1" t="s">
        <v>3877</v>
      </c>
      <c r="D2951" s="22" t="str">
        <f>HYPERLINK("https://rhld.insurance.arkansas.gov/NPILookup?Npi=1164149951","1164149951")</f>
        <v>1164149951</v>
      </c>
      <c r="E2951" s="1" t="s">
        <v>16083</v>
      </c>
      <c r="F2951" s="2"/>
      <c r="G2951" s="2"/>
      <c r="H2951" s="2"/>
    </row>
    <row r="2952" spans="1:8" x14ac:dyDescent="0.25">
      <c r="A2952" s="1"/>
      <c r="B2952" s="1" t="s">
        <v>3876</v>
      </c>
      <c r="C2952" s="1" t="s">
        <v>3877</v>
      </c>
      <c r="D2952" s="22" t="str">
        <f>HYPERLINK("https://rhld.insurance.arkansas.gov/NPILookup?Npi=1164406070","1164406070")</f>
        <v>1164406070</v>
      </c>
      <c r="E2952" s="1" t="s">
        <v>16084</v>
      </c>
      <c r="F2952" s="2"/>
      <c r="G2952" s="2"/>
      <c r="H2952" s="2"/>
    </row>
    <row r="2953" spans="1:8" x14ac:dyDescent="0.25">
      <c r="A2953" s="1"/>
      <c r="B2953" s="1" t="s">
        <v>3876</v>
      </c>
      <c r="C2953" s="1" t="s">
        <v>3877</v>
      </c>
      <c r="D2953" s="22" t="str">
        <f>HYPERLINK("https://rhld.insurance.arkansas.gov/NPILookup?Npi=1164859203","1164859203")</f>
        <v>1164859203</v>
      </c>
      <c r="E2953" s="1" t="s">
        <v>16085</v>
      </c>
      <c r="F2953" s="2"/>
      <c r="G2953" s="2"/>
      <c r="H2953" s="2"/>
    </row>
    <row r="2954" spans="1:8" x14ac:dyDescent="0.25">
      <c r="A2954" s="1"/>
      <c r="B2954" s="1" t="s">
        <v>3876</v>
      </c>
      <c r="C2954" s="1" t="s">
        <v>3877</v>
      </c>
      <c r="D2954" s="22" t="str">
        <f>HYPERLINK("https://rhld.insurance.arkansas.gov/NPILookup?Npi=1174095665","1174095665")</f>
        <v>1174095665</v>
      </c>
      <c r="E2954" s="1" t="s">
        <v>3903</v>
      </c>
      <c r="F2954" s="2"/>
      <c r="G2954" s="2"/>
      <c r="H2954" s="2"/>
    </row>
    <row r="2955" spans="1:8" x14ac:dyDescent="0.25">
      <c r="A2955" s="1"/>
      <c r="B2955" s="1" t="s">
        <v>3876</v>
      </c>
      <c r="C2955" s="1" t="s">
        <v>3877</v>
      </c>
      <c r="D2955" s="22" t="str">
        <f>HYPERLINK("https://rhld.insurance.arkansas.gov/NPILookup?Npi=1174247498","1174247498")</f>
        <v>1174247498</v>
      </c>
      <c r="E2955" s="1" t="s">
        <v>3904</v>
      </c>
      <c r="F2955" s="2"/>
      <c r="G2955" s="2"/>
      <c r="H2955" s="2"/>
    </row>
    <row r="2956" spans="1:8" x14ac:dyDescent="0.25">
      <c r="A2956" s="1"/>
      <c r="B2956" s="1" t="s">
        <v>3876</v>
      </c>
      <c r="C2956" s="1" t="s">
        <v>3877</v>
      </c>
      <c r="D2956" s="22" t="str">
        <f>HYPERLINK("https://rhld.insurance.arkansas.gov/NPILookup?Npi=1174248256","1174248256")</f>
        <v>1174248256</v>
      </c>
      <c r="E2956" s="1" t="s">
        <v>1923</v>
      </c>
      <c r="F2956" s="2"/>
      <c r="G2956" s="2"/>
      <c r="H2956" s="2"/>
    </row>
    <row r="2957" spans="1:8" x14ac:dyDescent="0.25">
      <c r="A2957" s="1"/>
      <c r="B2957" s="1" t="s">
        <v>3876</v>
      </c>
      <c r="C2957" s="1" t="s">
        <v>3877</v>
      </c>
      <c r="D2957" s="22" t="str">
        <f>HYPERLINK("https://rhld.insurance.arkansas.gov/NPILookup?Npi=1174583280","1174583280")</f>
        <v>1174583280</v>
      </c>
      <c r="E2957" s="1" t="s">
        <v>16086</v>
      </c>
      <c r="F2957" s="2"/>
      <c r="G2957" s="2"/>
      <c r="H2957" s="2"/>
    </row>
    <row r="2958" spans="1:8" x14ac:dyDescent="0.25">
      <c r="A2958" s="1"/>
      <c r="B2958" s="1" t="s">
        <v>3876</v>
      </c>
      <c r="C2958" s="1" t="s">
        <v>3877</v>
      </c>
      <c r="D2958" s="22" t="str">
        <f>HYPERLINK("https://rhld.insurance.arkansas.gov/NPILookup?Npi=1174604268","1174604268")</f>
        <v>1174604268</v>
      </c>
      <c r="E2958" s="1" t="s">
        <v>3905</v>
      </c>
      <c r="F2958" s="2"/>
      <c r="G2958" s="2"/>
      <c r="H2958" s="2"/>
    </row>
    <row r="2959" spans="1:8" x14ac:dyDescent="0.25">
      <c r="A2959" s="1"/>
      <c r="B2959" s="1" t="s">
        <v>3876</v>
      </c>
      <c r="C2959" s="1" t="s">
        <v>3877</v>
      </c>
      <c r="D2959" s="22" t="str">
        <f>HYPERLINK("https://rhld.insurance.arkansas.gov/NPILookup?Npi=1174627814","1174627814")</f>
        <v>1174627814</v>
      </c>
      <c r="E2959" s="1" t="s">
        <v>3906</v>
      </c>
      <c r="F2959" s="2"/>
      <c r="G2959" s="2"/>
      <c r="H2959" s="2"/>
    </row>
    <row r="2960" spans="1:8" x14ac:dyDescent="0.25">
      <c r="A2960" s="1"/>
      <c r="B2960" s="1" t="s">
        <v>3876</v>
      </c>
      <c r="C2960" s="1" t="s">
        <v>3877</v>
      </c>
      <c r="D2960" s="22" t="str">
        <f>HYPERLINK("https://rhld.insurance.arkansas.gov/NPILookup?Npi=1174755383","1174755383")</f>
        <v>1174755383</v>
      </c>
      <c r="E2960" s="1" t="s">
        <v>3907</v>
      </c>
      <c r="F2960" s="2"/>
      <c r="G2960" s="2"/>
      <c r="H2960" s="2"/>
    </row>
    <row r="2961" spans="1:8" x14ac:dyDescent="0.25">
      <c r="A2961" s="1"/>
      <c r="B2961" s="1" t="s">
        <v>3876</v>
      </c>
      <c r="C2961" s="1" t="s">
        <v>3877</v>
      </c>
      <c r="D2961" s="22" t="str">
        <f>HYPERLINK("https://rhld.insurance.arkansas.gov/NPILookup?Npi=1184326910","1184326910")</f>
        <v>1184326910</v>
      </c>
      <c r="E2961" s="1" t="s">
        <v>3908</v>
      </c>
      <c r="F2961" s="2"/>
      <c r="G2961" s="2"/>
      <c r="H2961" s="2"/>
    </row>
    <row r="2962" spans="1:8" x14ac:dyDescent="0.25">
      <c r="A2962" s="1"/>
      <c r="B2962" s="1" t="s">
        <v>3876</v>
      </c>
      <c r="C2962" s="1" t="s">
        <v>3877</v>
      </c>
      <c r="D2962" s="22" t="str">
        <f>HYPERLINK("https://rhld.insurance.arkansas.gov/NPILookup?Npi=1184604761","1184604761")</f>
        <v>1184604761</v>
      </c>
      <c r="E2962" s="1" t="s">
        <v>9909</v>
      </c>
      <c r="F2962" s="2"/>
      <c r="G2962" s="2"/>
      <c r="H2962" s="2"/>
    </row>
    <row r="2963" spans="1:8" x14ac:dyDescent="0.25">
      <c r="A2963" s="1"/>
      <c r="B2963" s="1" t="s">
        <v>3876</v>
      </c>
      <c r="C2963" s="1" t="s">
        <v>3877</v>
      </c>
      <c r="D2963" s="22" t="str">
        <f>HYPERLINK("https://rhld.insurance.arkansas.gov/NPILookup?Npi=1184605131","1184605131")</f>
        <v>1184605131</v>
      </c>
      <c r="E2963" s="1" t="s">
        <v>3909</v>
      </c>
      <c r="F2963" s="2"/>
      <c r="G2963" s="2"/>
      <c r="H2963" s="2"/>
    </row>
    <row r="2964" spans="1:8" x14ac:dyDescent="0.25">
      <c r="A2964" s="1"/>
      <c r="B2964" s="1" t="s">
        <v>3876</v>
      </c>
      <c r="C2964" s="1" t="s">
        <v>3877</v>
      </c>
      <c r="D2964" s="22" t="str">
        <f>HYPERLINK("https://rhld.insurance.arkansas.gov/NPILookup?Npi=1184796567","1184796567")</f>
        <v>1184796567</v>
      </c>
      <c r="E2964" s="1" t="s">
        <v>3910</v>
      </c>
      <c r="F2964" s="2"/>
      <c r="G2964" s="2"/>
      <c r="H2964" s="2"/>
    </row>
    <row r="2965" spans="1:8" x14ac:dyDescent="0.25">
      <c r="A2965" s="1"/>
      <c r="B2965" s="1" t="s">
        <v>3876</v>
      </c>
      <c r="C2965" s="1" t="s">
        <v>3877</v>
      </c>
      <c r="D2965" s="22" t="str">
        <f>HYPERLINK("https://rhld.insurance.arkansas.gov/NPILookup?Npi=1194003772","1194003772")</f>
        <v>1194003772</v>
      </c>
      <c r="E2965" s="1" t="s">
        <v>9910</v>
      </c>
      <c r="F2965" s="2"/>
      <c r="G2965" s="2"/>
      <c r="H2965" s="2"/>
    </row>
    <row r="2966" spans="1:8" x14ac:dyDescent="0.25">
      <c r="A2966" s="1"/>
      <c r="B2966" s="1" t="s">
        <v>3876</v>
      </c>
      <c r="C2966" s="1" t="s">
        <v>3877</v>
      </c>
      <c r="D2966" s="22" t="str">
        <f>HYPERLINK("https://rhld.insurance.arkansas.gov/NPILookup?Npi=1194140012","1194140012")</f>
        <v>1194140012</v>
      </c>
      <c r="E2966" s="1" t="s">
        <v>9911</v>
      </c>
      <c r="F2966" s="2"/>
      <c r="G2966" s="2"/>
      <c r="H2966" s="2"/>
    </row>
    <row r="2967" spans="1:8" x14ac:dyDescent="0.25">
      <c r="A2967" s="1"/>
      <c r="B2967" s="1" t="s">
        <v>3876</v>
      </c>
      <c r="C2967" s="1" t="s">
        <v>3877</v>
      </c>
      <c r="D2967" s="22" t="str">
        <f>HYPERLINK("https://rhld.insurance.arkansas.gov/NPILookup?Npi=1194388959","1194388959")</f>
        <v>1194388959</v>
      </c>
      <c r="E2967" s="1" t="s">
        <v>16087</v>
      </c>
      <c r="F2967" s="2"/>
      <c r="G2967" s="2"/>
      <c r="H2967" s="2"/>
    </row>
    <row r="2968" spans="1:8" x14ac:dyDescent="0.25">
      <c r="A2968" s="1"/>
      <c r="B2968" s="1" t="s">
        <v>3876</v>
      </c>
      <c r="C2968" s="1" t="s">
        <v>3877</v>
      </c>
      <c r="D2968" s="22" t="str">
        <f>HYPERLINK("https://rhld.insurance.arkansas.gov/NPILookup?Npi=1194826610","1194826610")</f>
        <v>1194826610</v>
      </c>
      <c r="E2968" s="1" t="s">
        <v>16088</v>
      </c>
      <c r="F2968" s="2"/>
      <c r="G2968" s="2"/>
      <c r="H2968" s="2"/>
    </row>
    <row r="2969" spans="1:8" x14ac:dyDescent="0.25">
      <c r="A2969" s="1"/>
      <c r="B2969" s="1" t="s">
        <v>3876</v>
      </c>
      <c r="C2969" s="1" t="s">
        <v>3877</v>
      </c>
      <c r="D2969" s="22" t="str">
        <f>HYPERLINK("https://rhld.insurance.arkansas.gov/NPILookup?Npi=1205250453","1205250453")</f>
        <v>1205250453</v>
      </c>
      <c r="E2969" s="1" t="s">
        <v>3911</v>
      </c>
      <c r="F2969" s="2"/>
      <c r="G2969" s="2"/>
      <c r="H2969" s="2"/>
    </row>
    <row r="2970" spans="1:8" x14ac:dyDescent="0.25">
      <c r="A2970" s="1"/>
      <c r="B2970" s="1" t="s">
        <v>3876</v>
      </c>
      <c r="C2970" s="1" t="s">
        <v>3877</v>
      </c>
      <c r="D2970" s="22" t="str">
        <f>HYPERLINK("https://rhld.insurance.arkansas.gov/NPILookup?Npi=1205385085","1205385085")</f>
        <v>1205385085</v>
      </c>
      <c r="E2970" s="1" t="s">
        <v>3912</v>
      </c>
      <c r="F2970" s="2"/>
      <c r="G2970" s="2"/>
      <c r="H2970" s="2"/>
    </row>
    <row r="2971" spans="1:8" x14ac:dyDescent="0.25">
      <c r="A2971" s="1"/>
      <c r="B2971" s="1" t="s">
        <v>3876</v>
      </c>
      <c r="C2971" s="1" t="s">
        <v>3877</v>
      </c>
      <c r="D2971" s="22" t="str">
        <f>HYPERLINK("https://rhld.insurance.arkansas.gov/NPILookup?Npi=1205806635","1205806635")</f>
        <v>1205806635</v>
      </c>
      <c r="E2971" s="1" t="s">
        <v>16089</v>
      </c>
      <c r="F2971" s="2"/>
      <c r="G2971" s="2"/>
      <c r="H2971" s="2"/>
    </row>
    <row r="2972" spans="1:8" x14ac:dyDescent="0.25">
      <c r="A2972" s="1"/>
      <c r="B2972" s="1" t="s">
        <v>3876</v>
      </c>
      <c r="C2972" s="1" t="s">
        <v>3877</v>
      </c>
      <c r="D2972" s="22" t="str">
        <f>HYPERLINK("https://rhld.insurance.arkansas.gov/NPILookup?Npi=1205845955","1205845955")</f>
        <v>1205845955</v>
      </c>
      <c r="E2972" s="1" t="s">
        <v>16090</v>
      </c>
      <c r="F2972" s="2"/>
      <c r="G2972" s="2"/>
      <c r="H2972" s="2"/>
    </row>
    <row r="2973" spans="1:8" x14ac:dyDescent="0.25">
      <c r="A2973" s="1"/>
      <c r="B2973" s="1" t="s">
        <v>3876</v>
      </c>
      <c r="C2973" s="1" t="s">
        <v>3877</v>
      </c>
      <c r="D2973" s="22" t="str">
        <f>HYPERLINK("https://rhld.insurance.arkansas.gov/NPILookup?Npi=1215033543","1215033543")</f>
        <v>1215033543</v>
      </c>
      <c r="E2973" s="1" t="s">
        <v>3913</v>
      </c>
      <c r="F2973" s="2"/>
      <c r="G2973" s="2"/>
      <c r="H2973" s="2"/>
    </row>
    <row r="2974" spans="1:8" x14ac:dyDescent="0.25">
      <c r="A2974" s="1"/>
      <c r="B2974" s="1" t="s">
        <v>3876</v>
      </c>
      <c r="C2974" s="1" t="s">
        <v>3877</v>
      </c>
      <c r="D2974" s="22" t="str">
        <f>HYPERLINK("https://rhld.insurance.arkansas.gov/NPILookup?Npi=1215664032","1215664032")</f>
        <v>1215664032</v>
      </c>
      <c r="E2974" s="1" t="s">
        <v>16091</v>
      </c>
      <c r="F2974" s="2"/>
      <c r="G2974" s="2"/>
      <c r="H2974" s="2"/>
    </row>
    <row r="2975" spans="1:8" x14ac:dyDescent="0.25">
      <c r="A2975" s="1"/>
      <c r="B2975" s="1" t="s">
        <v>3876</v>
      </c>
      <c r="C2975" s="1" t="s">
        <v>3877</v>
      </c>
      <c r="D2975" s="22" t="str">
        <f>HYPERLINK("https://rhld.insurance.arkansas.gov/NPILookup?Npi=1215698923","1215698923")</f>
        <v>1215698923</v>
      </c>
      <c r="E2975" s="1" t="s">
        <v>9912</v>
      </c>
      <c r="F2975" s="2"/>
      <c r="G2975" s="2"/>
      <c r="H2975" s="2"/>
    </row>
    <row r="2976" spans="1:8" x14ac:dyDescent="0.25">
      <c r="A2976" s="1"/>
      <c r="B2976" s="1" t="s">
        <v>3876</v>
      </c>
      <c r="C2976" s="1" t="s">
        <v>3877</v>
      </c>
      <c r="D2976" s="22" t="str">
        <f>HYPERLINK("https://rhld.insurance.arkansas.gov/NPILookup?Npi=1215702147","1215702147")</f>
        <v>1215702147</v>
      </c>
      <c r="E2976" s="1" t="s">
        <v>3914</v>
      </c>
      <c r="F2976" s="2"/>
      <c r="G2976" s="2"/>
      <c r="H2976" s="2"/>
    </row>
    <row r="2977" spans="1:8" x14ac:dyDescent="0.25">
      <c r="A2977" s="1"/>
      <c r="B2977" s="1" t="s">
        <v>3876</v>
      </c>
      <c r="C2977" s="1" t="s">
        <v>3877</v>
      </c>
      <c r="D2977" s="22" t="str">
        <f>HYPERLINK("https://rhld.insurance.arkansas.gov/NPILookup?Npi=1215765854","1215765854")</f>
        <v>1215765854</v>
      </c>
      <c r="E2977" s="1" t="s">
        <v>31337</v>
      </c>
      <c r="F2977" s="2"/>
      <c r="G2977" s="2"/>
      <c r="H2977" s="2"/>
    </row>
    <row r="2978" spans="1:8" x14ac:dyDescent="0.25">
      <c r="A2978" s="1"/>
      <c r="B2978" s="1" t="s">
        <v>3876</v>
      </c>
      <c r="C2978" s="1" t="s">
        <v>3877</v>
      </c>
      <c r="D2978" s="22" t="str">
        <f>HYPERLINK("https://rhld.insurance.arkansas.gov/NPILookup?Npi=1215962311","1215962311")</f>
        <v>1215962311</v>
      </c>
      <c r="E2978" s="1" t="s">
        <v>3915</v>
      </c>
      <c r="F2978" s="2"/>
      <c r="G2978" s="2"/>
      <c r="H2978" s="2"/>
    </row>
    <row r="2979" spans="1:8" x14ac:dyDescent="0.25">
      <c r="A2979" s="1"/>
      <c r="B2979" s="1" t="s">
        <v>3876</v>
      </c>
      <c r="C2979" s="1" t="s">
        <v>3877</v>
      </c>
      <c r="D2979" s="22" t="str">
        <f>HYPERLINK("https://rhld.insurance.arkansas.gov/NPILookup?Npi=1225003205","1225003205")</f>
        <v>1225003205</v>
      </c>
      <c r="E2979" s="1" t="s">
        <v>16092</v>
      </c>
      <c r="F2979" s="2"/>
      <c r="G2979" s="2"/>
      <c r="H2979" s="2"/>
    </row>
    <row r="2980" spans="1:8" x14ac:dyDescent="0.25">
      <c r="A2980" s="1"/>
      <c r="B2980" s="1" t="s">
        <v>3876</v>
      </c>
      <c r="C2980" s="1" t="s">
        <v>3877</v>
      </c>
      <c r="D2980" s="22" t="str">
        <f>HYPERLINK("https://rhld.insurance.arkansas.gov/NPILookup?Npi=1225017494","1225017494")</f>
        <v>1225017494</v>
      </c>
      <c r="E2980" s="1" t="s">
        <v>16093</v>
      </c>
      <c r="F2980" s="2"/>
      <c r="G2980" s="2"/>
      <c r="H2980" s="2"/>
    </row>
    <row r="2981" spans="1:8" x14ac:dyDescent="0.25">
      <c r="A2981" s="1"/>
      <c r="B2981" s="1" t="s">
        <v>3876</v>
      </c>
      <c r="C2981" s="1" t="s">
        <v>3877</v>
      </c>
      <c r="D2981" s="22" t="str">
        <f>HYPERLINK("https://rhld.insurance.arkansas.gov/NPILookup?Npi=1225158892","1225158892")</f>
        <v>1225158892</v>
      </c>
      <c r="E2981" s="1" t="s">
        <v>3916</v>
      </c>
      <c r="F2981" s="2"/>
      <c r="G2981" s="2"/>
      <c r="H2981" s="2"/>
    </row>
    <row r="2982" spans="1:8" x14ac:dyDescent="0.25">
      <c r="A2982" s="1"/>
      <c r="B2982" s="1" t="s">
        <v>3876</v>
      </c>
      <c r="C2982" s="1" t="s">
        <v>3877</v>
      </c>
      <c r="D2982" s="22" t="str">
        <f>HYPERLINK("https://rhld.insurance.arkansas.gov/NPILookup?Npi=1225654379","1225654379")</f>
        <v>1225654379</v>
      </c>
      <c r="E2982" s="1" t="s">
        <v>16094</v>
      </c>
      <c r="F2982" s="2"/>
      <c r="G2982" s="2"/>
      <c r="H2982" s="2"/>
    </row>
    <row r="2983" spans="1:8" x14ac:dyDescent="0.25">
      <c r="A2983" s="1"/>
      <c r="B2983" s="1" t="s">
        <v>3876</v>
      </c>
      <c r="C2983" s="1" t="s">
        <v>3877</v>
      </c>
      <c r="D2983" s="22" t="str">
        <f>HYPERLINK("https://rhld.insurance.arkansas.gov/NPILookup?Npi=1235115551","1235115551")</f>
        <v>1235115551</v>
      </c>
      <c r="E2983" s="1" t="s">
        <v>16095</v>
      </c>
      <c r="F2983" s="2"/>
      <c r="G2983" s="2"/>
      <c r="H2983" s="2"/>
    </row>
    <row r="2984" spans="1:8" x14ac:dyDescent="0.25">
      <c r="A2984" s="1"/>
      <c r="B2984" s="1" t="s">
        <v>3876</v>
      </c>
      <c r="C2984" s="1" t="s">
        <v>3877</v>
      </c>
      <c r="D2984" s="22" t="str">
        <f>HYPERLINK("https://rhld.insurance.arkansas.gov/NPILookup?Npi=1235145111","1235145111")</f>
        <v>1235145111</v>
      </c>
      <c r="E2984" s="1" t="s">
        <v>9913</v>
      </c>
      <c r="F2984" s="2"/>
      <c r="G2984" s="2"/>
      <c r="H2984" s="2"/>
    </row>
    <row r="2985" spans="1:8" x14ac:dyDescent="0.25">
      <c r="A2985" s="1"/>
      <c r="B2985" s="1" t="s">
        <v>3876</v>
      </c>
      <c r="C2985" s="1" t="s">
        <v>3877</v>
      </c>
      <c r="D2985" s="22" t="str">
        <f>HYPERLINK("https://rhld.insurance.arkansas.gov/NPILookup?Npi=1235145251","1235145251")</f>
        <v>1235145251</v>
      </c>
      <c r="E2985" s="1" t="s">
        <v>16096</v>
      </c>
      <c r="F2985" s="2"/>
      <c r="G2985" s="2"/>
      <c r="H2985" s="2"/>
    </row>
    <row r="2986" spans="1:8" x14ac:dyDescent="0.25">
      <c r="A2986" s="1"/>
      <c r="B2986" s="1" t="s">
        <v>3876</v>
      </c>
      <c r="C2986" s="1" t="s">
        <v>3877</v>
      </c>
      <c r="D2986" s="22" t="str">
        <f>HYPERLINK("https://rhld.insurance.arkansas.gov/NPILookup?Npi=1235465865","1235465865")</f>
        <v>1235465865</v>
      </c>
      <c r="E2986" s="1" t="s">
        <v>16097</v>
      </c>
      <c r="F2986" s="2"/>
      <c r="G2986" s="2"/>
      <c r="H2986" s="2"/>
    </row>
    <row r="2987" spans="1:8" x14ac:dyDescent="0.25">
      <c r="A2987" s="1"/>
      <c r="B2987" s="1" t="s">
        <v>3876</v>
      </c>
      <c r="C2987" s="1" t="s">
        <v>3877</v>
      </c>
      <c r="D2987" s="22" t="str">
        <f>HYPERLINK("https://rhld.insurance.arkansas.gov/NPILookup?Npi=1245201813","1245201813")</f>
        <v>1245201813</v>
      </c>
      <c r="E2987" s="1" t="s">
        <v>9914</v>
      </c>
      <c r="F2987" s="2"/>
      <c r="G2987" s="2"/>
      <c r="H2987" s="2"/>
    </row>
    <row r="2988" spans="1:8" x14ac:dyDescent="0.25">
      <c r="A2988" s="1"/>
      <c r="B2988" s="1" t="s">
        <v>3876</v>
      </c>
      <c r="C2988" s="1" t="s">
        <v>3877</v>
      </c>
      <c r="D2988" s="22" t="str">
        <f>HYPERLINK("https://rhld.insurance.arkansas.gov/NPILookup?Npi=1245558550","1245558550")</f>
        <v>1245558550</v>
      </c>
      <c r="E2988" s="1" t="s">
        <v>16098</v>
      </c>
      <c r="F2988" s="2"/>
      <c r="G2988" s="2"/>
      <c r="H2988" s="2"/>
    </row>
    <row r="2989" spans="1:8" x14ac:dyDescent="0.25">
      <c r="A2989" s="1"/>
      <c r="B2989" s="1" t="s">
        <v>3876</v>
      </c>
      <c r="C2989" s="1" t="s">
        <v>3877</v>
      </c>
      <c r="D2989" s="22" t="str">
        <f>HYPERLINK("https://rhld.insurance.arkansas.gov/NPILookup?Npi=1245606433","1245606433")</f>
        <v>1245606433</v>
      </c>
      <c r="E2989" s="1" t="s">
        <v>16099</v>
      </c>
      <c r="F2989" s="2"/>
      <c r="G2989" s="2"/>
      <c r="H2989" s="2"/>
    </row>
    <row r="2990" spans="1:8" x14ac:dyDescent="0.25">
      <c r="A2990" s="1"/>
      <c r="B2990" s="1" t="s">
        <v>3876</v>
      </c>
      <c r="C2990" s="1" t="s">
        <v>3877</v>
      </c>
      <c r="D2990" s="22" t="str">
        <f>HYPERLINK("https://rhld.insurance.arkansas.gov/NPILookup?Npi=1255326724","1255326724")</f>
        <v>1255326724</v>
      </c>
      <c r="E2990" s="1" t="s">
        <v>16100</v>
      </c>
      <c r="F2990" s="2"/>
      <c r="G2990" s="2"/>
      <c r="H2990" s="2"/>
    </row>
    <row r="2991" spans="1:8" x14ac:dyDescent="0.25">
      <c r="A2991" s="1"/>
      <c r="B2991" s="1" t="s">
        <v>3876</v>
      </c>
      <c r="C2991" s="1" t="s">
        <v>3877</v>
      </c>
      <c r="D2991" s="22" t="str">
        <f>HYPERLINK("https://rhld.insurance.arkansas.gov/NPILookup?Npi=1255375788","1255375788")</f>
        <v>1255375788</v>
      </c>
      <c r="E2991" s="1" t="s">
        <v>16101</v>
      </c>
      <c r="F2991" s="2"/>
      <c r="G2991" s="2"/>
      <c r="H2991" s="2"/>
    </row>
    <row r="2992" spans="1:8" x14ac:dyDescent="0.25">
      <c r="A2992" s="1"/>
      <c r="B2992" s="1" t="s">
        <v>3876</v>
      </c>
      <c r="C2992" s="1" t="s">
        <v>3877</v>
      </c>
      <c r="D2992" s="22" t="str">
        <f>HYPERLINK("https://rhld.insurance.arkansas.gov/NPILookup?Npi=1255391751","1255391751")</f>
        <v>1255391751</v>
      </c>
      <c r="E2992" s="1" t="s">
        <v>9915</v>
      </c>
      <c r="F2992" s="2"/>
      <c r="G2992" s="2"/>
      <c r="H2992" s="2"/>
    </row>
    <row r="2993" spans="1:8" x14ac:dyDescent="0.25">
      <c r="A2993" s="1"/>
      <c r="B2993" s="1" t="s">
        <v>3876</v>
      </c>
      <c r="C2993" s="1" t="s">
        <v>3877</v>
      </c>
      <c r="D2993" s="22" t="str">
        <f>HYPERLINK("https://rhld.insurance.arkansas.gov/NPILookup?Npi=1255805966","1255805966")</f>
        <v>1255805966</v>
      </c>
      <c r="E2993" s="1" t="s">
        <v>16102</v>
      </c>
      <c r="F2993" s="2"/>
      <c r="G2993" s="2"/>
      <c r="H2993" s="2"/>
    </row>
    <row r="2994" spans="1:8" x14ac:dyDescent="0.25">
      <c r="A2994" s="1"/>
      <c r="B2994" s="1" t="s">
        <v>3876</v>
      </c>
      <c r="C2994" s="1" t="s">
        <v>3877</v>
      </c>
      <c r="D2994" s="22" t="str">
        <f>HYPERLINK("https://rhld.insurance.arkansas.gov/NPILookup?Npi=1255814984","1255814984")</f>
        <v>1255814984</v>
      </c>
      <c r="E2994" s="1" t="s">
        <v>3917</v>
      </c>
      <c r="F2994" s="2"/>
      <c r="G2994" s="2"/>
      <c r="H2994" s="2"/>
    </row>
    <row r="2995" spans="1:8" x14ac:dyDescent="0.25">
      <c r="A2995" s="1"/>
      <c r="B2995" s="1" t="s">
        <v>3876</v>
      </c>
      <c r="C2995" s="1" t="s">
        <v>3877</v>
      </c>
      <c r="D2995" s="22" t="str">
        <f>HYPERLINK("https://rhld.insurance.arkansas.gov/NPILookup?Npi=1265411680","1265411680")</f>
        <v>1265411680</v>
      </c>
      <c r="E2995" s="1" t="s">
        <v>3918</v>
      </c>
      <c r="F2995" s="2"/>
      <c r="G2995" s="2"/>
      <c r="H2995" s="2"/>
    </row>
    <row r="2996" spans="1:8" x14ac:dyDescent="0.25">
      <c r="A2996" s="1"/>
      <c r="B2996" s="1" t="s">
        <v>3876</v>
      </c>
      <c r="C2996" s="1" t="s">
        <v>3877</v>
      </c>
      <c r="D2996" s="22" t="str">
        <f>HYPERLINK("https://rhld.insurance.arkansas.gov/NPILookup?Npi=1265490734","1265490734")</f>
        <v>1265490734</v>
      </c>
      <c r="E2996" s="1" t="s">
        <v>3919</v>
      </c>
      <c r="F2996" s="2"/>
      <c r="G2996" s="2"/>
      <c r="H2996" s="2"/>
    </row>
    <row r="2997" spans="1:8" x14ac:dyDescent="0.25">
      <c r="A2997" s="1"/>
      <c r="B2997" s="1" t="s">
        <v>3876</v>
      </c>
      <c r="C2997" s="1" t="s">
        <v>3877</v>
      </c>
      <c r="D2997" s="22" t="str">
        <f>HYPERLINK("https://rhld.insurance.arkansas.gov/NPILookup?Npi=1265584296","1265584296")</f>
        <v>1265584296</v>
      </c>
      <c r="E2997" s="1" t="s">
        <v>16103</v>
      </c>
      <c r="F2997" s="2"/>
      <c r="G2997" s="2"/>
      <c r="H2997" s="2"/>
    </row>
    <row r="2998" spans="1:8" x14ac:dyDescent="0.25">
      <c r="A2998" s="1"/>
      <c r="B2998" s="1" t="s">
        <v>3876</v>
      </c>
      <c r="C2998" s="1" t="s">
        <v>3877</v>
      </c>
      <c r="D2998" s="22" t="str">
        <f>HYPERLINK("https://rhld.insurance.arkansas.gov/NPILookup?Npi=1265704118","1265704118")</f>
        <v>1265704118</v>
      </c>
      <c r="E2998" s="1" t="s">
        <v>9916</v>
      </c>
      <c r="F2998" s="2"/>
      <c r="G2998" s="2"/>
      <c r="H2998" s="2"/>
    </row>
    <row r="2999" spans="1:8" x14ac:dyDescent="0.25">
      <c r="A2999" s="1"/>
      <c r="B2999" s="1" t="s">
        <v>3876</v>
      </c>
      <c r="C2999" s="1" t="s">
        <v>3877</v>
      </c>
      <c r="D2999" s="22" t="str">
        <f>HYPERLINK("https://rhld.insurance.arkansas.gov/NPILookup?Npi=1265755607","1265755607")</f>
        <v>1265755607</v>
      </c>
      <c r="E2999" s="1" t="s">
        <v>16104</v>
      </c>
      <c r="F2999" s="2"/>
      <c r="G2999" s="2"/>
      <c r="H2999" s="2"/>
    </row>
    <row r="3000" spans="1:8" x14ac:dyDescent="0.25">
      <c r="A3000" s="1"/>
      <c r="B3000" s="1" t="s">
        <v>3876</v>
      </c>
      <c r="C3000" s="1" t="s">
        <v>3877</v>
      </c>
      <c r="D3000" s="22" t="str">
        <f>HYPERLINK("https://rhld.insurance.arkansas.gov/NPILookup?Npi=1265837033","1265837033")</f>
        <v>1265837033</v>
      </c>
      <c r="E3000" s="1" t="s">
        <v>3920</v>
      </c>
      <c r="F3000" s="2"/>
      <c r="G3000" s="2"/>
      <c r="H3000" s="2"/>
    </row>
    <row r="3001" spans="1:8" x14ac:dyDescent="0.25">
      <c r="A3001" s="1"/>
      <c r="B3001" s="1" t="s">
        <v>3876</v>
      </c>
      <c r="C3001" s="1" t="s">
        <v>3877</v>
      </c>
      <c r="D3001" s="22" t="str">
        <f>HYPERLINK("https://rhld.insurance.arkansas.gov/NPILookup?Npi=1265899041","1265899041")</f>
        <v>1265899041</v>
      </c>
      <c r="E3001" s="1" t="s">
        <v>9917</v>
      </c>
      <c r="F3001" s="2"/>
      <c r="G3001" s="2"/>
      <c r="H3001" s="2"/>
    </row>
    <row r="3002" spans="1:8" x14ac:dyDescent="0.25">
      <c r="A3002" s="1"/>
      <c r="B3002" s="1" t="s">
        <v>3876</v>
      </c>
      <c r="C3002" s="1" t="s">
        <v>3877</v>
      </c>
      <c r="D3002" s="22" t="str">
        <f>HYPERLINK("https://rhld.insurance.arkansas.gov/NPILookup?Npi=1275148918","1275148918")</f>
        <v>1275148918</v>
      </c>
      <c r="E3002" s="1" t="s">
        <v>3921</v>
      </c>
      <c r="F3002" s="2"/>
      <c r="G3002" s="2"/>
      <c r="H3002" s="2"/>
    </row>
    <row r="3003" spans="1:8" x14ac:dyDescent="0.25">
      <c r="A3003" s="1"/>
      <c r="B3003" s="1" t="s">
        <v>3876</v>
      </c>
      <c r="C3003" s="1" t="s">
        <v>3877</v>
      </c>
      <c r="D3003" s="22" t="str">
        <f>HYPERLINK("https://rhld.insurance.arkansas.gov/NPILookup?Npi=1275581902","1275581902")</f>
        <v>1275581902</v>
      </c>
      <c r="E3003" s="1" t="s">
        <v>16105</v>
      </c>
      <c r="F3003" s="2"/>
      <c r="G3003" s="2"/>
      <c r="H3003" s="2"/>
    </row>
    <row r="3004" spans="1:8" x14ac:dyDescent="0.25">
      <c r="A3004" s="1"/>
      <c r="B3004" s="1" t="s">
        <v>3876</v>
      </c>
      <c r="C3004" s="1" t="s">
        <v>3877</v>
      </c>
      <c r="D3004" s="22" t="str">
        <f>HYPERLINK("https://rhld.insurance.arkansas.gov/NPILookup?Npi=1275593204","1275593204")</f>
        <v>1275593204</v>
      </c>
      <c r="E3004" s="1" t="s">
        <v>16106</v>
      </c>
      <c r="F3004" s="2"/>
      <c r="G3004" s="2"/>
      <c r="H3004" s="2"/>
    </row>
    <row r="3005" spans="1:8" x14ac:dyDescent="0.25">
      <c r="A3005" s="1"/>
      <c r="B3005" s="1" t="s">
        <v>3876</v>
      </c>
      <c r="C3005" s="1" t="s">
        <v>3877</v>
      </c>
      <c r="D3005" s="22" t="str">
        <f>HYPERLINK("https://rhld.insurance.arkansas.gov/NPILookup?Npi=1275723728","1275723728")</f>
        <v>1275723728</v>
      </c>
      <c r="E3005" s="1" t="s">
        <v>16107</v>
      </c>
      <c r="F3005" s="2"/>
      <c r="G3005" s="2"/>
      <c r="H3005" s="2"/>
    </row>
    <row r="3006" spans="1:8" x14ac:dyDescent="0.25">
      <c r="A3006" s="1"/>
      <c r="B3006" s="1" t="s">
        <v>3876</v>
      </c>
      <c r="C3006" s="1" t="s">
        <v>3877</v>
      </c>
      <c r="D3006" s="22" t="str">
        <f>HYPERLINK("https://rhld.insurance.arkansas.gov/NPILookup?Npi=1285498972","1285498972")</f>
        <v>1285498972</v>
      </c>
      <c r="E3006" s="1" t="s">
        <v>16108</v>
      </c>
      <c r="F3006" s="2"/>
      <c r="G3006" s="2"/>
      <c r="H3006" s="2"/>
    </row>
    <row r="3007" spans="1:8" x14ac:dyDescent="0.25">
      <c r="A3007" s="1"/>
      <c r="B3007" s="1" t="s">
        <v>3876</v>
      </c>
      <c r="C3007" s="1" t="s">
        <v>3877</v>
      </c>
      <c r="D3007" s="22" t="str">
        <f>HYPERLINK("https://rhld.insurance.arkansas.gov/NPILookup?Npi=1285712026","1285712026")</f>
        <v>1285712026</v>
      </c>
      <c r="E3007" s="1" t="s">
        <v>3922</v>
      </c>
      <c r="F3007" s="2"/>
      <c r="G3007" s="2"/>
      <c r="H3007" s="2"/>
    </row>
    <row r="3008" spans="1:8" x14ac:dyDescent="0.25">
      <c r="A3008" s="1"/>
      <c r="B3008" s="1" t="s">
        <v>3876</v>
      </c>
      <c r="C3008" s="1" t="s">
        <v>3877</v>
      </c>
      <c r="D3008" s="22" t="str">
        <f>HYPERLINK("https://rhld.insurance.arkansas.gov/NPILookup?Npi=1285811778","1285811778")</f>
        <v>1285811778</v>
      </c>
      <c r="E3008" s="1" t="s">
        <v>16109</v>
      </c>
      <c r="F3008" s="2"/>
      <c r="G3008" s="2"/>
      <c r="H3008" s="2"/>
    </row>
    <row r="3009" spans="1:8" x14ac:dyDescent="0.25">
      <c r="A3009" s="1"/>
      <c r="B3009" s="1" t="s">
        <v>3876</v>
      </c>
      <c r="C3009" s="1" t="s">
        <v>3877</v>
      </c>
      <c r="D3009" s="22" t="str">
        <f>HYPERLINK("https://rhld.insurance.arkansas.gov/NPILookup?Npi=1295184307","1295184307")</f>
        <v>1295184307</v>
      </c>
      <c r="E3009" s="1" t="s">
        <v>3923</v>
      </c>
      <c r="F3009" s="2"/>
      <c r="G3009" s="2"/>
      <c r="H3009" s="2"/>
    </row>
    <row r="3010" spans="1:8" x14ac:dyDescent="0.25">
      <c r="A3010" s="1"/>
      <c r="B3010" s="1" t="s">
        <v>3876</v>
      </c>
      <c r="C3010" s="1" t="s">
        <v>3877</v>
      </c>
      <c r="D3010" s="22" t="str">
        <f>HYPERLINK("https://rhld.insurance.arkansas.gov/NPILookup?Npi=1295733756","1295733756")</f>
        <v>1295733756</v>
      </c>
      <c r="E3010" s="1" t="s">
        <v>9918</v>
      </c>
      <c r="F3010" s="2"/>
      <c r="G3010" s="2"/>
      <c r="H3010" s="2"/>
    </row>
    <row r="3011" spans="1:8" x14ac:dyDescent="0.25">
      <c r="A3011" s="1"/>
      <c r="B3011" s="1" t="s">
        <v>3876</v>
      </c>
      <c r="C3011" s="1" t="s">
        <v>3877</v>
      </c>
      <c r="D3011" s="22" t="str">
        <f>HYPERLINK("https://rhld.insurance.arkansas.gov/NPILookup?Npi=1295771293","1295771293")</f>
        <v>1295771293</v>
      </c>
      <c r="E3011" s="1" t="s">
        <v>3924</v>
      </c>
      <c r="F3011" s="2"/>
      <c r="G3011" s="2"/>
      <c r="H3011" s="2"/>
    </row>
    <row r="3012" spans="1:8" x14ac:dyDescent="0.25">
      <c r="A3012" s="1"/>
      <c r="B3012" s="1" t="s">
        <v>3876</v>
      </c>
      <c r="C3012" s="1" t="s">
        <v>3877</v>
      </c>
      <c r="D3012" s="22" t="str">
        <f>HYPERLINK("https://rhld.insurance.arkansas.gov/NPILookup?Npi=1295817179","1295817179")</f>
        <v>1295817179</v>
      </c>
      <c r="E3012" s="1" t="s">
        <v>3925</v>
      </c>
      <c r="F3012" s="2"/>
      <c r="G3012" s="2"/>
      <c r="H3012" s="2"/>
    </row>
    <row r="3013" spans="1:8" x14ac:dyDescent="0.25">
      <c r="A3013" s="1"/>
      <c r="B3013" s="1" t="s">
        <v>3876</v>
      </c>
      <c r="C3013" s="1" t="s">
        <v>3877</v>
      </c>
      <c r="D3013" s="22" t="str">
        <f>HYPERLINK("https://rhld.insurance.arkansas.gov/NPILookup?Npi=1295986818","1295986818")</f>
        <v>1295986818</v>
      </c>
      <c r="E3013" s="1" t="s">
        <v>3926</v>
      </c>
      <c r="F3013" s="2"/>
      <c r="G3013" s="2"/>
      <c r="H3013" s="2"/>
    </row>
    <row r="3014" spans="1:8" x14ac:dyDescent="0.25">
      <c r="A3014" s="1"/>
      <c r="B3014" s="1" t="s">
        <v>3876</v>
      </c>
      <c r="C3014" s="1" t="s">
        <v>3877</v>
      </c>
      <c r="D3014" s="22" t="str">
        <f>HYPERLINK("https://rhld.insurance.arkansas.gov/NPILookup?Npi=1306038799","1306038799")</f>
        <v>1306038799</v>
      </c>
      <c r="E3014" s="1" t="s">
        <v>3927</v>
      </c>
      <c r="F3014" s="2"/>
      <c r="G3014" s="2"/>
      <c r="H3014" s="2"/>
    </row>
    <row r="3015" spans="1:8" x14ac:dyDescent="0.25">
      <c r="A3015" s="1"/>
      <c r="B3015" s="1" t="s">
        <v>3876</v>
      </c>
      <c r="C3015" s="1" t="s">
        <v>3877</v>
      </c>
      <c r="D3015" s="22" t="str">
        <f>HYPERLINK("https://rhld.insurance.arkansas.gov/NPILookup?Npi=1306120258","1306120258")</f>
        <v>1306120258</v>
      </c>
      <c r="E3015" s="1" t="s">
        <v>16110</v>
      </c>
      <c r="F3015" s="2"/>
      <c r="G3015" s="2"/>
      <c r="H3015" s="2"/>
    </row>
    <row r="3016" spans="1:8" x14ac:dyDescent="0.25">
      <c r="A3016" s="1"/>
      <c r="B3016" s="1" t="s">
        <v>3876</v>
      </c>
      <c r="C3016" s="1" t="s">
        <v>3877</v>
      </c>
      <c r="D3016" s="22" t="str">
        <f>HYPERLINK("https://rhld.insurance.arkansas.gov/NPILookup?Npi=1306327879","1306327879")</f>
        <v>1306327879</v>
      </c>
      <c r="E3016" s="1" t="s">
        <v>16111</v>
      </c>
      <c r="F3016" s="2"/>
      <c r="G3016" s="2"/>
      <c r="H3016" s="2"/>
    </row>
    <row r="3017" spans="1:8" x14ac:dyDescent="0.25">
      <c r="A3017" s="1"/>
      <c r="B3017" s="1" t="s">
        <v>3876</v>
      </c>
      <c r="C3017" s="1" t="s">
        <v>3877</v>
      </c>
      <c r="D3017" s="22" t="str">
        <f>HYPERLINK("https://rhld.insurance.arkansas.gov/NPILookup?Npi=1306512488","1306512488")</f>
        <v>1306512488</v>
      </c>
      <c r="E3017" s="1" t="s">
        <v>3928</v>
      </c>
      <c r="F3017" s="2"/>
      <c r="G3017" s="2"/>
      <c r="H3017" s="2"/>
    </row>
    <row r="3018" spans="1:8" x14ac:dyDescent="0.25">
      <c r="A3018" s="1"/>
      <c r="B3018" s="1" t="s">
        <v>3876</v>
      </c>
      <c r="C3018" s="1" t="s">
        <v>3877</v>
      </c>
      <c r="D3018" s="22" t="str">
        <f>HYPERLINK("https://rhld.insurance.arkansas.gov/NPILookup?Npi=1306515192","1306515192")</f>
        <v>1306515192</v>
      </c>
      <c r="E3018" s="1" t="s">
        <v>9919</v>
      </c>
      <c r="F3018" s="2"/>
      <c r="G3018" s="2"/>
      <c r="H3018" s="2"/>
    </row>
    <row r="3019" spans="1:8" x14ac:dyDescent="0.25">
      <c r="A3019" s="1"/>
      <c r="B3019" s="1" t="s">
        <v>3876</v>
      </c>
      <c r="C3019" s="1" t="s">
        <v>3877</v>
      </c>
      <c r="D3019" s="22" t="str">
        <f>HYPERLINK("https://rhld.insurance.arkansas.gov/NPILookup?Npi=1306657127","1306657127")</f>
        <v>1306657127</v>
      </c>
      <c r="E3019" s="1" t="s">
        <v>31338</v>
      </c>
      <c r="F3019" s="2"/>
      <c r="G3019" s="2"/>
      <c r="H3019" s="2"/>
    </row>
    <row r="3020" spans="1:8" x14ac:dyDescent="0.25">
      <c r="A3020" s="1"/>
      <c r="B3020" s="1" t="s">
        <v>3876</v>
      </c>
      <c r="C3020" s="1" t="s">
        <v>3877</v>
      </c>
      <c r="D3020" s="22" t="str">
        <f>HYPERLINK("https://rhld.insurance.arkansas.gov/NPILookup?Npi=1306815303","1306815303")</f>
        <v>1306815303</v>
      </c>
      <c r="E3020" s="1" t="s">
        <v>3929</v>
      </c>
      <c r="F3020" s="2"/>
      <c r="G3020" s="2"/>
      <c r="H3020" s="2"/>
    </row>
    <row r="3021" spans="1:8" x14ac:dyDescent="0.25">
      <c r="A3021" s="1"/>
      <c r="B3021" s="1" t="s">
        <v>3876</v>
      </c>
      <c r="C3021" s="1" t="s">
        <v>3877</v>
      </c>
      <c r="D3021" s="22" t="str">
        <f>HYPERLINK("https://rhld.insurance.arkansas.gov/NPILookup?Npi=1306854625","1306854625")</f>
        <v>1306854625</v>
      </c>
      <c r="E3021" s="1" t="s">
        <v>3930</v>
      </c>
      <c r="F3021" s="2"/>
      <c r="G3021" s="2"/>
      <c r="H3021" s="2"/>
    </row>
    <row r="3022" spans="1:8" x14ac:dyDescent="0.25">
      <c r="A3022" s="1"/>
      <c r="B3022" s="1" t="s">
        <v>3876</v>
      </c>
      <c r="C3022" s="1" t="s">
        <v>3877</v>
      </c>
      <c r="D3022" s="22" t="str">
        <f>HYPERLINK("https://rhld.insurance.arkansas.gov/NPILookup?Npi=1316132616","1316132616")</f>
        <v>1316132616</v>
      </c>
      <c r="E3022" s="1" t="s">
        <v>16112</v>
      </c>
      <c r="F3022" s="2"/>
      <c r="G3022" s="2"/>
      <c r="H3022" s="2"/>
    </row>
    <row r="3023" spans="1:8" x14ac:dyDescent="0.25">
      <c r="A3023" s="1"/>
      <c r="B3023" s="1" t="s">
        <v>3876</v>
      </c>
      <c r="C3023" s="1" t="s">
        <v>3877</v>
      </c>
      <c r="D3023" s="22" t="str">
        <f>HYPERLINK("https://rhld.insurance.arkansas.gov/NPILookup?Npi=1316354087","1316354087")</f>
        <v>1316354087</v>
      </c>
      <c r="E3023" s="1" t="s">
        <v>3931</v>
      </c>
      <c r="F3023" s="2"/>
      <c r="G3023" s="2"/>
      <c r="H3023" s="2"/>
    </row>
    <row r="3024" spans="1:8" x14ac:dyDescent="0.25">
      <c r="A3024" s="1"/>
      <c r="B3024" s="1" t="s">
        <v>3876</v>
      </c>
      <c r="C3024" s="1" t="s">
        <v>3877</v>
      </c>
      <c r="D3024" s="22" t="str">
        <f>HYPERLINK("https://rhld.insurance.arkansas.gov/NPILookup?Npi=1316650518","1316650518")</f>
        <v>1316650518</v>
      </c>
      <c r="E3024" s="1" t="s">
        <v>16113</v>
      </c>
      <c r="F3024" s="2"/>
      <c r="G3024" s="2"/>
      <c r="H3024" s="2"/>
    </row>
    <row r="3025" spans="1:8" x14ac:dyDescent="0.25">
      <c r="A3025" s="1"/>
      <c r="B3025" s="1" t="s">
        <v>3876</v>
      </c>
      <c r="C3025" s="1" t="s">
        <v>3877</v>
      </c>
      <c r="D3025" s="22" t="str">
        <f>HYPERLINK("https://rhld.insurance.arkansas.gov/NPILookup?Npi=1316927833","1316927833")</f>
        <v>1316927833</v>
      </c>
      <c r="E3025" s="1" t="s">
        <v>16114</v>
      </c>
      <c r="F3025" s="2"/>
      <c r="G3025" s="2"/>
      <c r="H3025" s="2"/>
    </row>
    <row r="3026" spans="1:8" x14ac:dyDescent="0.25">
      <c r="A3026" s="1"/>
      <c r="B3026" s="1" t="s">
        <v>3876</v>
      </c>
      <c r="C3026" s="1" t="s">
        <v>3877</v>
      </c>
      <c r="D3026" s="22" t="str">
        <f>HYPERLINK("https://rhld.insurance.arkansas.gov/NPILookup?Npi=1316989213","1316989213")</f>
        <v>1316989213</v>
      </c>
      <c r="E3026" s="1" t="s">
        <v>9920</v>
      </c>
      <c r="F3026" s="2"/>
      <c r="G3026" s="2"/>
      <c r="H3026" s="2"/>
    </row>
    <row r="3027" spans="1:8" x14ac:dyDescent="0.25">
      <c r="A3027" s="1"/>
      <c r="B3027" s="1" t="s">
        <v>3876</v>
      </c>
      <c r="C3027" s="1" t="s">
        <v>3877</v>
      </c>
      <c r="D3027" s="22" t="str">
        <f>HYPERLINK("https://rhld.insurance.arkansas.gov/NPILookup?Npi=1326040320","1326040320")</f>
        <v>1326040320</v>
      </c>
      <c r="E3027" s="1" t="s">
        <v>16115</v>
      </c>
      <c r="F3027" s="2"/>
      <c r="G3027" s="2"/>
      <c r="H3027" s="2"/>
    </row>
    <row r="3028" spans="1:8" x14ac:dyDescent="0.25">
      <c r="A3028" s="1"/>
      <c r="B3028" s="1" t="s">
        <v>3876</v>
      </c>
      <c r="C3028" s="1" t="s">
        <v>3877</v>
      </c>
      <c r="D3028" s="22" t="str">
        <f>HYPERLINK("https://rhld.insurance.arkansas.gov/NPILookup?Npi=1326043928","1326043928")</f>
        <v>1326043928</v>
      </c>
      <c r="E3028" s="1" t="s">
        <v>16116</v>
      </c>
      <c r="F3028" s="2"/>
      <c r="G3028" s="2"/>
      <c r="H3028" s="2"/>
    </row>
    <row r="3029" spans="1:8" x14ac:dyDescent="0.25">
      <c r="A3029" s="1"/>
      <c r="B3029" s="1" t="s">
        <v>3876</v>
      </c>
      <c r="C3029" s="1" t="s">
        <v>3877</v>
      </c>
      <c r="D3029" s="22" t="str">
        <f>HYPERLINK("https://rhld.insurance.arkansas.gov/NPILookup?Npi=1326059411","1326059411")</f>
        <v>1326059411</v>
      </c>
      <c r="E3029" s="1" t="s">
        <v>3932</v>
      </c>
      <c r="F3029" s="2"/>
      <c r="G3029" s="2"/>
      <c r="H3029" s="2"/>
    </row>
    <row r="3030" spans="1:8" x14ac:dyDescent="0.25">
      <c r="A3030" s="1"/>
      <c r="B3030" s="1" t="s">
        <v>3876</v>
      </c>
      <c r="C3030" s="1" t="s">
        <v>3877</v>
      </c>
      <c r="D3030" s="22" t="str">
        <f>HYPERLINK("https://rhld.insurance.arkansas.gov/NPILookup?Npi=1326066937","1326066937")</f>
        <v>1326066937</v>
      </c>
      <c r="E3030" s="1" t="s">
        <v>16117</v>
      </c>
      <c r="F3030" s="2"/>
      <c r="G3030" s="2"/>
      <c r="H3030" s="2"/>
    </row>
    <row r="3031" spans="1:8" x14ac:dyDescent="0.25">
      <c r="A3031" s="1"/>
      <c r="B3031" s="1" t="s">
        <v>3876</v>
      </c>
      <c r="C3031" s="1" t="s">
        <v>3877</v>
      </c>
      <c r="D3031" s="22" t="str">
        <f>HYPERLINK("https://rhld.insurance.arkansas.gov/NPILookup?Npi=1326185638","1326185638")</f>
        <v>1326185638</v>
      </c>
      <c r="E3031" s="1" t="s">
        <v>9921</v>
      </c>
      <c r="F3031" s="2"/>
      <c r="G3031" s="2"/>
      <c r="H3031" s="2"/>
    </row>
    <row r="3032" spans="1:8" x14ac:dyDescent="0.25">
      <c r="A3032" s="1"/>
      <c r="B3032" s="1" t="s">
        <v>3876</v>
      </c>
      <c r="C3032" s="1" t="s">
        <v>3877</v>
      </c>
      <c r="D3032" s="22" t="str">
        <f>HYPERLINK("https://rhld.insurance.arkansas.gov/NPILookup?Npi=1326190059","1326190059")</f>
        <v>1326190059</v>
      </c>
      <c r="E3032" s="1" t="s">
        <v>3064</v>
      </c>
      <c r="F3032" s="2"/>
      <c r="G3032" s="2"/>
      <c r="H3032" s="2"/>
    </row>
    <row r="3033" spans="1:8" x14ac:dyDescent="0.25">
      <c r="A3033" s="1"/>
      <c r="B3033" s="1" t="s">
        <v>3876</v>
      </c>
      <c r="C3033" s="1" t="s">
        <v>3877</v>
      </c>
      <c r="D3033" s="22" t="str">
        <f>HYPERLINK("https://rhld.insurance.arkansas.gov/NPILookup?Npi=1326225640","1326225640")</f>
        <v>1326225640</v>
      </c>
      <c r="E3033" s="1" t="s">
        <v>16118</v>
      </c>
      <c r="F3033" s="2"/>
      <c r="G3033" s="2"/>
      <c r="H3033" s="2"/>
    </row>
    <row r="3034" spans="1:8" x14ac:dyDescent="0.25">
      <c r="A3034" s="1"/>
      <c r="B3034" s="1" t="s">
        <v>3876</v>
      </c>
      <c r="C3034" s="1" t="s">
        <v>3877</v>
      </c>
      <c r="D3034" s="22" t="str">
        <f>HYPERLINK("https://rhld.insurance.arkansas.gov/NPILookup?Npi=1326348178","1326348178")</f>
        <v>1326348178</v>
      </c>
      <c r="E3034" s="1" t="s">
        <v>3933</v>
      </c>
      <c r="F3034" s="2"/>
      <c r="G3034" s="2"/>
      <c r="H3034" s="2"/>
    </row>
    <row r="3035" spans="1:8" x14ac:dyDescent="0.25">
      <c r="A3035" s="1"/>
      <c r="B3035" s="1" t="s">
        <v>3876</v>
      </c>
      <c r="C3035" s="1" t="s">
        <v>3877</v>
      </c>
      <c r="D3035" s="22" t="str">
        <f>HYPERLINK("https://rhld.insurance.arkansas.gov/NPILookup?Npi=1326414517","1326414517")</f>
        <v>1326414517</v>
      </c>
      <c r="E3035" s="1" t="s">
        <v>983</v>
      </c>
      <c r="F3035" s="2"/>
      <c r="G3035" s="2"/>
      <c r="H3035" s="2"/>
    </row>
    <row r="3036" spans="1:8" x14ac:dyDescent="0.25">
      <c r="A3036" s="1"/>
      <c r="B3036" s="1" t="s">
        <v>3876</v>
      </c>
      <c r="C3036" s="1" t="s">
        <v>3877</v>
      </c>
      <c r="D3036" s="22" t="str">
        <f>HYPERLINK("https://rhld.insurance.arkansas.gov/NPILookup?Npi=1326584681","1326584681")</f>
        <v>1326584681</v>
      </c>
      <c r="E3036" s="1" t="s">
        <v>3934</v>
      </c>
      <c r="F3036" s="2"/>
      <c r="G3036" s="2"/>
      <c r="H3036" s="2"/>
    </row>
    <row r="3037" spans="1:8" x14ac:dyDescent="0.25">
      <c r="A3037" s="1"/>
      <c r="B3037" s="1" t="s">
        <v>3876</v>
      </c>
      <c r="C3037" s="1" t="s">
        <v>3877</v>
      </c>
      <c r="D3037" s="22" t="str">
        <f>HYPERLINK("https://rhld.insurance.arkansas.gov/NPILookup?Npi=1336268812","1336268812")</f>
        <v>1336268812</v>
      </c>
      <c r="E3037" s="1" t="s">
        <v>3935</v>
      </c>
      <c r="F3037" s="2"/>
      <c r="G3037" s="2"/>
      <c r="H3037" s="2"/>
    </row>
    <row r="3038" spans="1:8" x14ac:dyDescent="0.25">
      <c r="A3038" s="1"/>
      <c r="B3038" s="1" t="s">
        <v>3876</v>
      </c>
      <c r="C3038" s="1" t="s">
        <v>3877</v>
      </c>
      <c r="D3038" s="22" t="str">
        <f>HYPERLINK("https://rhld.insurance.arkansas.gov/NPILookup?Npi=1336288414","1336288414")</f>
        <v>1336288414</v>
      </c>
      <c r="E3038" s="1" t="s">
        <v>3936</v>
      </c>
      <c r="F3038" s="2"/>
      <c r="G3038" s="2"/>
      <c r="H3038" s="2"/>
    </row>
    <row r="3039" spans="1:8" x14ac:dyDescent="0.25">
      <c r="A3039" s="1"/>
      <c r="B3039" s="1" t="s">
        <v>3876</v>
      </c>
      <c r="C3039" s="1" t="s">
        <v>3877</v>
      </c>
      <c r="D3039" s="22" t="str">
        <f>HYPERLINK("https://rhld.insurance.arkansas.gov/NPILookup?Npi=1336295385","1336295385")</f>
        <v>1336295385</v>
      </c>
      <c r="E3039" s="1" t="s">
        <v>3937</v>
      </c>
      <c r="F3039" s="2"/>
      <c r="G3039" s="2"/>
      <c r="H3039" s="2"/>
    </row>
    <row r="3040" spans="1:8" x14ac:dyDescent="0.25">
      <c r="A3040" s="1"/>
      <c r="B3040" s="1" t="s">
        <v>3876</v>
      </c>
      <c r="C3040" s="1" t="s">
        <v>3877</v>
      </c>
      <c r="D3040" s="22" t="str">
        <f>HYPERLINK("https://rhld.insurance.arkansas.gov/NPILookup?Npi=1336295765","1336295765")</f>
        <v>1336295765</v>
      </c>
      <c r="E3040" s="1" t="s">
        <v>16119</v>
      </c>
      <c r="F3040" s="2"/>
      <c r="G3040" s="2"/>
      <c r="H3040" s="2"/>
    </row>
    <row r="3041" spans="1:8" x14ac:dyDescent="0.25">
      <c r="A3041" s="1"/>
      <c r="B3041" s="1" t="s">
        <v>3876</v>
      </c>
      <c r="C3041" s="1" t="s">
        <v>3877</v>
      </c>
      <c r="D3041" s="22" t="str">
        <f>HYPERLINK("https://rhld.insurance.arkansas.gov/NPILookup?Npi=1336684083","1336684083")</f>
        <v>1336684083</v>
      </c>
      <c r="E3041" s="1" t="s">
        <v>16120</v>
      </c>
      <c r="F3041" s="2"/>
      <c r="G3041" s="2"/>
      <c r="H3041" s="2"/>
    </row>
    <row r="3042" spans="1:8" x14ac:dyDescent="0.25">
      <c r="A3042" s="1"/>
      <c r="B3042" s="1" t="s">
        <v>3876</v>
      </c>
      <c r="C3042" s="1" t="s">
        <v>3877</v>
      </c>
      <c r="D3042" s="22" t="str">
        <f>HYPERLINK("https://rhld.insurance.arkansas.gov/NPILookup?Npi=1346350741","1346350741")</f>
        <v>1346350741</v>
      </c>
      <c r="E3042" s="1" t="s">
        <v>16121</v>
      </c>
      <c r="F3042" s="2"/>
      <c r="G3042" s="2"/>
      <c r="H3042" s="2"/>
    </row>
    <row r="3043" spans="1:8" x14ac:dyDescent="0.25">
      <c r="A3043" s="1"/>
      <c r="B3043" s="1" t="s">
        <v>3876</v>
      </c>
      <c r="C3043" s="1" t="s">
        <v>3877</v>
      </c>
      <c r="D3043" s="22" t="str">
        <f>HYPERLINK("https://rhld.insurance.arkansas.gov/NPILookup?Npi=1346471661","1346471661")</f>
        <v>1346471661</v>
      </c>
      <c r="E3043" s="1" t="s">
        <v>3938</v>
      </c>
      <c r="F3043" s="2"/>
      <c r="G3043" s="2"/>
      <c r="H3043" s="2"/>
    </row>
    <row r="3044" spans="1:8" x14ac:dyDescent="0.25">
      <c r="A3044" s="1"/>
      <c r="B3044" s="1" t="s">
        <v>3876</v>
      </c>
      <c r="C3044" s="1" t="s">
        <v>3877</v>
      </c>
      <c r="D3044" s="22" t="str">
        <f>HYPERLINK("https://rhld.insurance.arkansas.gov/NPILookup?Npi=1346902376","1346902376")</f>
        <v>1346902376</v>
      </c>
      <c r="E3044" s="1" t="s">
        <v>9922</v>
      </c>
      <c r="F3044" s="2"/>
      <c r="G3044" s="2"/>
      <c r="H3044" s="2"/>
    </row>
    <row r="3045" spans="1:8" x14ac:dyDescent="0.25">
      <c r="A3045" s="1"/>
      <c r="B3045" s="1" t="s">
        <v>3876</v>
      </c>
      <c r="C3045" s="1" t="s">
        <v>3877</v>
      </c>
      <c r="D3045" s="22" t="str">
        <f>HYPERLINK("https://rhld.insurance.arkansas.gov/NPILookup?Npi=1356351563","1356351563")</f>
        <v>1356351563</v>
      </c>
      <c r="E3045" s="1" t="s">
        <v>16122</v>
      </c>
      <c r="F3045" s="2"/>
      <c r="G3045" s="2"/>
      <c r="H3045" s="2"/>
    </row>
    <row r="3046" spans="1:8" x14ac:dyDescent="0.25">
      <c r="A3046" s="1"/>
      <c r="B3046" s="1" t="s">
        <v>3876</v>
      </c>
      <c r="C3046" s="1" t="s">
        <v>3877</v>
      </c>
      <c r="D3046" s="22" t="str">
        <f>HYPERLINK("https://rhld.insurance.arkansas.gov/NPILookup?Npi=1356442479","1356442479")</f>
        <v>1356442479</v>
      </c>
      <c r="E3046" s="1" t="s">
        <v>16123</v>
      </c>
      <c r="F3046" s="2"/>
      <c r="G3046" s="2"/>
      <c r="H3046" s="2"/>
    </row>
    <row r="3047" spans="1:8" x14ac:dyDescent="0.25">
      <c r="A3047" s="1"/>
      <c r="B3047" s="1" t="s">
        <v>3876</v>
      </c>
      <c r="C3047" s="1" t="s">
        <v>3877</v>
      </c>
      <c r="D3047" s="22" t="str">
        <f>HYPERLINK("https://rhld.insurance.arkansas.gov/NPILookup?Npi=1356690564","1356690564")</f>
        <v>1356690564</v>
      </c>
      <c r="E3047" s="1" t="s">
        <v>9923</v>
      </c>
      <c r="F3047" s="2"/>
      <c r="G3047" s="2"/>
      <c r="H3047" s="2"/>
    </row>
    <row r="3048" spans="1:8" x14ac:dyDescent="0.25">
      <c r="A3048" s="1"/>
      <c r="B3048" s="1" t="s">
        <v>3876</v>
      </c>
      <c r="C3048" s="1" t="s">
        <v>3877</v>
      </c>
      <c r="D3048" s="22" t="str">
        <f>HYPERLINK("https://rhld.insurance.arkansas.gov/NPILookup?Npi=1356834998","1356834998")</f>
        <v>1356834998</v>
      </c>
      <c r="E3048" s="1" t="s">
        <v>3939</v>
      </c>
      <c r="F3048" s="2"/>
      <c r="G3048" s="2"/>
      <c r="H3048" s="2"/>
    </row>
    <row r="3049" spans="1:8" x14ac:dyDescent="0.25">
      <c r="A3049" s="1"/>
      <c r="B3049" s="1" t="s">
        <v>3876</v>
      </c>
      <c r="C3049" s="1" t="s">
        <v>3877</v>
      </c>
      <c r="D3049" s="22" t="str">
        <f>HYPERLINK("https://rhld.insurance.arkansas.gov/NPILookup?Npi=1356887764","1356887764")</f>
        <v>1356887764</v>
      </c>
      <c r="E3049" s="1" t="s">
        <v>16124</v>
      </c>
      <c r="F3049" s="2"/>
      <c r="G3049" s="2"/>
      <c r="H3049" s="2"/>
    </row>
    <row r="3050" spans="1:8" x14ac:dyDescent="0.25">
      <c r="A3050" s="1"/>
      <c r="B3050" s="1" t="s">
        <v>3876</v>
      </c>
      <c r="C3050" s="1" t="s">
        <v>3877</v>
      </c>
      <c r="D3050" s="22" t="str">
        <f>HYPERLINK("https://rhld.insurance.arkansas.gov/NPILookup?Npi=1366031825","1366031825")</f>
        <v>1366031825</v>
      </c>
      <c r="E3050" s="1" t="s">
        <v>3940</v>
      </c>
      <c r="F3050" s="2"/>
      <c r="G3050" s="2"/>
      <c r="H3050" s="2"/>
    </row>
    <row r="3051" spans="1:8" x14ac:dyDescent="0.25">
      <c r="A3051" s="1"/>
      <c r="B3051" s="1" t="s">
        <v>3876</v>
      </c>
      <c r="C3051" s="1" t="s">
        <v>3877</v>
      </c>
      <c r="D3051" s="22" t="str">
        <f>HYPERLINK("https://rhld.insurance.arkansas.gov/NPILookup?Npi=1366158859","1366158859")</f>
        <v>1366158859</v>
      </c>
      <c r="E3051" s="1" t="s">
        <v>16125</v>
      </c>
      <c r="F3051" s="2"/>
      <c r="G3051" s="2"/>
      <c r="H3051" s="2"/>
    </row>
    <row r="3052" spans="1:8" x14ac:dyDescent="0.25">
      <c r="A3052" s="1"/>
      <c r="B3052" s="1" t="s">
        <v>3876</v>
      </c>
      <c r="C3052" s="1" t="s">
        <v>3877</v>
      </c>
      <c r="D3052" s="22" t="str">
        <f>HYPERLINK("https://rhld.insurance.arkansas.gov/NPILookup?Npi=1366412447","1366412447")</f>
        <v>1366412447</v>
      </c>
      <c r="E3052" s="1" t="s">
        <v>9924</v>
      </c>
      <c r="F3052" s="2"/>
      <c r="G3052" s="2"/>
      <c r="H3052" s="2"/>
    </row>
    <row r="3053" spans="1:8" x14ac:dyDescent="0.25">
      <c r="A3053" s="1"/>
      <c r="B3053" s="1" t="s">
        <v>3876</v>
      </c>
      <c r="C3053" s="1" t="s">
        <v>3877</v>
      </c>
      <c r="D3053" s="22" t="str">
        <f>HYPERLINK("https://rhld.insurance.arkansas.gov/NPILookup?Npi=1366440182","1366440182")</f>
        <v>1366440182</v>
      </c>
      <c r="E3053" s="1" t="s">
        <v>16126</v>
      </c>
      <c r="F3053" s="2"/>
      <c r="G3053" s="2"/>
      <c r="H3053" s="2"/>
    </row>
    <row r="3054" spans="1:8" x14ac:dyDescent="0.25">
      <c r="A3054" s="1"/>
      <c r="B3054" s="1" t="s">
        <v>3876</v>
      </c>
      <c r="C3054" s="1" t="s">
        <v>3877</v>
      </c>
      <c r="D3054" s="22" t="str">
        <f>HYPERLINK("https://rhld.insurance.arkansas.gov/NPILookup?Npi=1366523524","1366523524")</f>
        <v>1366523524</v>
      </c>
      <c r="E3054" s="1" t="s">
        <v>9925</v>
      </c>
      <c r="F3054" s="2"/>
      <c r="G3054" s="2"/>
      <c r="H3054" s="2"/>
    </row>
    <row r="3055" spans="1:8" x14ac:dyDescent="0.25">
      <c r="A3055" s="1"/>
      <c r="B3055" s="1" t="s">
        <v>3876</v>
      </c>
      <c r="C3055" s="1" t="s">
        <v>3877</v>
      </c>
      <c r="D3055" s="22" t="str">
        <f>HYPERLINK("https://rhld.insurance.arkansas.gov/NPILookup?Npi=1366546400","1366546400")</f>
        <v>1366546400</v>
      </c>
      <c r="E3055" s="1" t="s">
        <v>16127</v>
      </c>
      <c r="F3055" s="2"/>
      <c r="G3055" s="2"/>
      <c r="H3055" s="2"/>
    </row>
    <row r="3056" spans="1:8" x14ac:dyDescent="0.25">
      <c r="A3056" s="1"/>
      <c r="B3056" s="1" t="s">
        <v>3876</v>
      </c>
      <c r="C3056" s="1" t="s">
        <v>3877</v>
      </c>
      <c r="D3056" s="22" t="str">
        <f>HYPERLINK("https://rhld.insurance.arkansas.gov/NPILookup?Npi=1366636169","1366636169")</f>
        <v>1366636169</v>
      </c>
      <c r="E3056" s="1" t="s">
        <v>16128</v>
      </c>
      <c r="F3056" s="2"/>
      <c r="G3056" s="2"/>
      <c r="H3056" s="2"/>
    </row>
    <row r="3057" spans="1:8" x14ac:dyDescent="0.25">
      <c r="A3057" s="1"/>
      <c r="B3057" s="1" t="s">
        <v>3876</v>
      </c>
      <c r="C3057" s="1" t="s">
        <v>3877</v>
      </c>
      <c r="D3057" s="22" t="str">
        <f>HYPERLINK("https://rhld.insurance.arkansas.gov/NPILookup?Npi=1366797847","1366797847")</f>
        <v>1366797847</v>
      </c>
      <c r="E3057" s="1" t="s">
        <v>9926</v>
      </c>
      <c r="F3057" s="2"/>
      <c r="G3057" s="2"/>
      <c r="H3057" s="2"/>
    </row>
    <row r="3058" spans="1:8" x14ac:dyDescent="0.25">
      <c r="A3058" s="1"/>
      <c r="B3058" s="1" t="s">
        <v>3876</v>
      </c>
      <c r="C3058" s="1" t="s">
        <v>3877</v>
      </c>
      <c r="D3058" s="22" t="str">
        <f>HYPERLINK("https://rhld.insurance.arkansas.gov/NPILookup?Npi=1376375915","1376375915")</f>
        <v>1376375915</v>
      </c>
      <c r="E3058" s="1" t="s">
        <v>31339</v>
      </c>
      <c r="F3058" s="2"/>
      <c r="G3058" s="2"/>
      <c r="H3058" s="2"/>
    </row>
    <row r="3059" spans="1:8" x14ac:dyDescent="0.25">
      <c r="A3059" s="1"/>
      <c r="B3059" s="1" t="s">
        <v>3876</v>
      </c>
      <c r="C3059" s="1" t="s">
        <v>3877</v>
      </c>
      <c r="D3059" s="22" t="str">
        <f>HYPERLINK("https://rhld.insurance.arkansas.gov/NPILookup?Npi=1376600916","1376600916")</f>
        <v>1376600916</v>
      </c>
      <c r="E3059" s="1" t="s">
        <v>9927</v>
      </c>
      <c r="F3059" s="2"/>
      <c r="G3059" s="2"/>
      <c r="H3059" s="2"/>
    </row>
    <row r="3060" spans="1:8" x14ac:dyDescent="0.25">
      <c r="A3060" s="1"/>
      <c r="B3060" s="1" t="s">
        <v>3876</v>
      </c>
      <c r="C3060" s="1" t="s">
        <v>3877</v>
      </c>
      <c r="D3060" s="22" t="str">
        <f>HYPERLINK("https://rhld.insurance.arkansas.gov/NPILookup?Npi=1376613273","1376613273")</f>
        <v>1376613273</v>
      </c>
      <c r="E3060" s="1" t="s">
        <v>3941</v>
      </c>
      <c r="F3060" s="2"/>
      <c r="G3060" s="2"/>
      <c r="H3060" s="2"/>
    </row>
    <row r="3061" spans="1:8" x14ac:dyDescent="0.25">
      <c r="A3061" s="1"/>
      <c r="B3061" s="1" t="s">
        <v>3876</v>
      </c>
      <c r="C3061" s="1" t="s">
        <v>3877</v>
      </c>
      <c r="D3061" s="22" t="str">
        <f>HYPERLINK("https://rhld.insurance.arkansas.gov/NPILookup?Npi=1376698662","1376698662")</f>
        <v>1376698662</v>
      </c>
      <c r="E3061" s="1" t="s">
        <v>9928</v>
      </c>
      <c r="F3061" s="2"/>
      <c r="G3061" s="2"/>
      <c r="H3061" s="2"/>
    </row>
    <row r="3062" spans="1:8" x14ac:dyDescent="0.25">
      <c r="A3062" s="1"/>
      <c r="B3062" s="1" t="s">
        <v>3876</v>
      </c>
      <c r="C3062" s="1" t="s">
        <v>3877</v>
      </c>
      <c r="D3062" s="22" t="str">
        <f>HYPERLINK("https://rhld.insurance.arkansas.gov/NPILookup?Npi=1376755413","1376755413")</f>
        <v>1376755413</v>
      </c>
      <c r="E3062" s="1" t="s">
        <v>1579</v>
      </c>
      <c r="F3062" s="2"/>
      <c r="G3062" s="2"/>
      <c r="H3062" s="2"/>
    </row>
    <row r="3063" spans="1:8" x14ac:dyDescent="0.25">
      <c r="A3063" s="1"/>
      <c r="B3063" s="1" t="s">
        <v>3876</v>
      </c>
      <c r="C3063" s="1" t="s">
        <v>3877</v>
      </c>
      <c r="D3063" s="22" t="str">
        <f>HYPERLINK("https://rhld.insurance.arkansas.gov/NPILookup?Npi=1386037463","1386037463")</f>
        <v>1386037463</v>
      </c>
      <c r="E3063" s="1" t="s">
        <v>3942</v>
      </c>
      <c r="F3063" s="2"/>
      <c r="G3063" s="2"/>
      <c r="H3063" s="2"/>
    </row>
    <row r="3064" spans="1:8" x14ac:dyDescent="0.25">
      <c r="A3064" s="1"/>
      <c r="B3064" s="1" t="s">
        <v>3876</v>
      </c>
      <c r="C3064" s="1" t="s">
        <v>3877</v>
      </c>
      <c r="D3064" s="22" t="str">
        <f>HYPERLINK("https://rhld.insurance.arkansas.gov/NPILookup?Npi=1386068443","1386068443")</f>
        <v>1386068443</v>
      </c>
      <c r="E3064" s="1" t="s">
        <v>3943</v>
      </c>
      <c r="F3064" s="2"/>
      <c r="G3064" s="2"/>
      <c r="H3064" s="2"/>
    </row>
    <row r="3065" spans="1:8" x14ac:dyDescent="0.25">
      <c r="A3065" s="1"/>
      <c r="B3065" s="1" t="s">
        <v>3876</v>
      </c>
      <c r="C3065" s="1" t="s">
        <v>3877</v>
      </c>
      <c r="D3065" s="22" t="str">
        <f>HYPERLINK("https://rhld.insurance.arkansas.gov/NPILookup?Npi=1386102242","1386102242")</f>
        <v>1386102242</v>
      </c>
      <c r="E3065" s="1" t="s">
        <v>9929</v>
      </c>
      <c r="F3065" s="2"/>
      <c r="G3065" s="2"/>
      <c r="H3065" s="2"/>
    </row>
    <row r="3066" spans="1:8" x14ac:dyDescent="0.25">
      <c r="A3066" s="1"/>
      <c r="B3066" s="1" t="s">
        <v>3876</v>
      </c>
      <c r="C3066" s="1" t="s">
        <v>3877</v>
      </c>
      <c r="D3066" s="22" t="str">
        <f>HYPERLINK("https://rhld.insurance.arkansas.gov/NPILookup?Npi=1386311199","1386311199")</f>
        <v>1386311199</v>
      </c>
      <c r="E3066" s="1" t="s">
        <v>31340</v>
      </c>
      <c r="F3066" s="2"/>
      <c r="G3066" s="2"/>
      <c r="H3066" s="2"/>
    </row>
    <row r="3067" spans="1:8" x14ac:dyDescent="0.25">
      <c r="A3067" s="1"/>
      <c r="B3067" s="1" t="s">
        <v>3876</v>
      </c>
      <c r="C3067" s="1" t="s">
        <v>3877</v>
      </c>
      <c r="D3067" s="22" t="str">
        <f>HYPERLINK("https://rhld.insurance.arkansas.gov/NPILookup?Npi=1386325926","1386325926")</f>
        <v>1386325926</v>
      </c>
      <c r="E3067" s="1" t="s">
        <v>9930</v>
      </c>
      <c r="F3067" s="2"/>
      <c r="G3067" s="2"/>
      <c r="H3067" s="2"/>
    </row>
    <row r="3068" spans="1:8" x14ac:dyDescent="0.25">
      <c r="A3068" s="1"/>
      <c r="B3068" s="1" t="s">
        <v>3876</v>
      </c>
      <c r="C3068" s="1" t="s">
        <v>3877</v>
      </c>
      <c r="D3068" s="22" t="str">
        <f>HYPERLINK("https://rhld.insurance.arkansas.gov/NPILookup?Npi=1386615979","1386615979")</f>
        <v>1386615979</v>
      </c>
      <c r="E3068" s="1" t="s">
        <v>9931</v>
      </c>
      <c r="F3068" s="2"/>
      <c r="G3068" s="2"/>
      <c r="H3068" s="2"/>
    </row>
    <row r="3069" spans="1:8" x14ac:dyDescent="0.25">
      <c r="A3069" s="1"/>
      <c r="B3069" s="1" t="s">
        <v>3876</v>
      </c>
      <c r="C3069" s="1" t="s">
        <v>3877</v>
      </c>
      <c r="D3069" s="22" t="str">
        <f>HYPERLINK("https://rhld.insurance.arkansas.gov/NPILookup?Npi=1386980951","1386980951")</f>
        <v>1386980951</v>
      </c>
      <c r="E3069" s="1" t="s">
        <v>9932</v>
      </c>
      <c r="F3069" s="2"/>
      <c r="G3069" s="2"/>
      <c r="H3069" s="2"/>
    </row>
    <row r="3070" spans="1:8" x14ac:dyDescent="0.25">
      <c r="A3070" s="1"/>
      <c r="B3070" s="1" t="s">
        <v>3876</v>
      </c>
      <c r="C3070" s="1" t="s">
        <v>3877</v>
      </c>
      <c r="D3070" s="22" t="str">
        <f>HYPERLINK("https://rhld.insurance.arkansas.gov/NPILookup?Npi=1396096988","1396096988")</f>
        <v>1396096988</v>
      </c>
      <c r="E3070" s="1" t="s">
        <v>9933</v>
      </c>
      <c r="F3070" s="2"/>
      <c r="G3070" s="2"/>
      <c r="H3070" s="2"/>
    </row>
    <row r="3071" spans="1:8" x14ac:dyDescent="0.25">
      <c r="A3071" s="1"/>
      <c r="B3071" s="1" t="s">
        <v>3876</v>
      </c>
      <c r="C3071" s="1" t="s">
        <v>3877</v>
      </c>
      <c r="D3071" s="22" t="str">
        <f>HYPERLINK("https://rhld.insurance.arkansas.gov/NPILookup?Npi=1396249603","1396249603")</f>
        <v>1396249603</v>
      </c>
      <c r="E3071" s="1" t="s">
        <v>3944</v>
      </c>
      <c r="F3071" s="2"/>
      <c r="G3071" s="2"/>
      <c r="H3071" s="2"/>
    </row>
    <row r="3072" spans="1:8" x14ac:dyDescent="0.25">
      <c r="A3072" s="1"/>
      <c r="B3072" s="1" t="s">
        <v>3876</v>
      </c>
      <c r="C3072" s="1" t="s">
        <v>3877</v>
      </c>
      <c r="D3072" s="22" t="str">
        <f>HYPERLINK("https://rhld.insurance.arkansas.gov/NPILookup?Npi=1396441564","1396441564")</f>
        <v>1396441564</v>
      </c>
      <c r="E3072" s="1" t="s">
        <v>3945</v>
      </c>
      <c r="F3072" s="2"/>
      <c r="G3072" s="2"/>
      <c r="H3072" s="2"/>
    </row>
    <row r="3073" spans="1:8" x14ac:dyDescent="0.25">
      <c r="A3073" s="1"/>
      <c r="B3073" s="1" t="s">
        <v>3876</v>
      </c>
      <c r="C3073" s="1" t="s">
        <v>3877</v>
      </c>
      <c r="D3073" s="22" t="str">
        <f>HYPERLINK("https://rhld.insurance.arkansas.gov/NPILookup?Npi=1396566675","1396566675")</f>
        <v>1396566675</v>
      </c>
      <c r="E3073" s="1" t="s">
        <v>23260</v>
      </c>
      <c r="F3073" s="2"/>
      <c r="G3073" s="2"/>
      <c r="H3073" s="2"/>
    </row>
    <row r="3074" spans="1:8" x14ac:dyDescent="0.25">
      <c r="A3074" s="1"/>
      <c r="B3074" s="1" t="s">
        <v>3876</v>
      </c>
      <c r="C3074" s="1" t="s">
        <v>3877</v>
      </c>
      <c r="D3074" s="22" t="str">
        <f>HYPERLINK("https://rhld.insurance.arkansas.gov/NPILookup?Npi=1396743845","1396743845")</f>
        <v>1396743845</v>
      </c>
      <c r="E3074" s="1" t="s">
        <v>16129</v>
      </c>
      <c r="F3074" s="2"/>
      <c r="G3074" s="2"/>
      <c r="H3074" s="2"/>
    </row>
    <row r="3075" spans="1:8" x14ac:dyDescent="0.25">
      <c r="A3075" s="1"/>
      <c r="B3075" s="1" t="s">
        <v>3876</v>
      </c>
      <c r="C3075" s="1" t="s">
        <v>3877</v>
      </c>
      <c r="D3075" s="22" t="str">
        <f>HYPERLINK("https://rhld.insurance.arkansas.gov/NPILookup?Npi=1396805578","1396805578")</f>
        <v>1396805578</v>
      </c>
      <c r="E3075" s="1" t="s">
        <v>9934</v>
      </c>
      <c r="F3075" s="2"/>
      <c r="G3075" s="2"/>
      <c r="H3075" s="2"/>
    </row>
    <row r="3076" spans="1:8" x14ac:dyDescent="0.25">
      <c r="A3076" s="1"/>
      <c r="B3076" s="1" t="s">
        <v>3876</v>
      </c>
      <c r="C3076" s="1" t="s">
        <v>3877</v>
      </c>
      <c r="D3076" s="22" t="str">
        <f>HYPERLINK("https://rhld.insurance.arkansas.gov/NPILookup?Npi=1396838157","1396838157")</f>
        <v>1396838157</v>
      </c>
      <c r="E3076" s="1" t="s">
        <v>9935</v>
      </c>
      <c r="F3076" s="2"/>
      <c r="G3076" s="2"/>
      <c r="H3076" s="2"/>
    </row>
    <row r="3077" spans="1:8" x14ac:dyDescent="0.25">
      <c r="A3077" s="1"/>
      <c r="B3077" s="1" t="s">
        <v>3876</v>
      </c>
      <c r="C3077" s="1" t="s">
        <v>3877</v>
      </c>
      <c r="D3077" s="22" t="str">
        <f>HYPERLINK("https://rhld.insurance.arkansas.gov/NPILookup?Npi=1396848495","1396848495")</f>
        <v>1396848495</v>
      </c>
      <c r="E3077" s="1" t="s">
        <v>16130</v>
      </c>
      <c r="F3077" s="2"/>
      <c r="G3077" s="2"/>
      <c r="H3077" s="2"/>
    </row>
    <row r="3078" spans="1:8" x14ac:dyDescent="0.25">
      <c r="A3078" s="1"/>
      <c r="B3078" s="1" t="s">
        <v>3876</v>
      </c>
      <c r="C3078" s="1" t="s">
        <v>3877</v>
      </c>
      <c r="D3078" s="22" t="str">
        <f>HYPERLINK("https://rhld.insurance.arkansas.gov/NPILookup?Npi=1396855011","1396855011")</f>
        <v>1396855011</v>
      </c>
      <c r="E3078" s="1" t="s">
        <v>16131</v>
      </c>
      <c r="F3078" s="2"/>
      <c r="G3078" s="2"/>
      <c r="H3078" s="2"/>
    </row>
    <row r="3079" spans="1:8" x14ac:dyDescent="0.25">
      <c r="A3079" s="1"/>
      <c r="B3079" s="1" t="s">
        <v>3876</v>
      </c>
      <c r="C3079" s="1" t="s">
        <v>3877</v>
      </c>
      <c r="D3079" s="22" t="str">
        <f>HYPERLINK("https://rhld.insurance.arkansas.gov/NPILookup?Npi=1407260425","1407260425")</f>
        <v>1407260425</v>
      </c>
      <c r="E3079" s="1" t="s">
        <v>16132</v>
      </c>
      <c r="F3079" s="2"/>
      <c r="G3079" s="2"/>
      <c r="H3079" s="2"/>
    </row>
    <row r="3080" spans="1:8" x14ac:dyDescent="0.25">
      <c r="A3080" s="1"/>
      <c r="B3080" s="1" t="s">
        <v>3876</v>
      </c>
      <c r="C3080" s="1" t="s">
        <v>3877</v>
      </c>
      <c r="D3080" s="22" t="str">
        <f>HYPERLINK("https://rhld.insurance.arkansas.gov/NPILookup?Npi=1407260631","1407260631")</f>
        <v>1407260631</v>
      </c>
      <c r="E3080" s="1" t="s">
        <v>3946</v>
      </c>
      <c r="F3080" s="2"/>
      <c r="G3080" s="2"/>
      <c r="H3080" s="2"/>
    </row>
    <row r="3081" spans="1:8" x14ac:dyDescent="0.25">
      <c r="A3081" s="1"/>
      <c r="B3081" s="1" t="s">
        <v>3876</v>
      </c>
      <c r="C3081" s="1" t="s">
        <v>3877</v>
      </c>
      <c r="D3081" s="22" t="str">
        <f>HYPERLINK("https://rhld.insurance.arkansas.gov/NPILookup?Npi=1407832801","1407832801")</f>
        <v>1407832801</v>
      </c>
      <c r="E3081" s="1" t="s">
        <v>9936</v>
      </c>
      <c r="F3081" s="2"/>
      <c r="G3081" s="2"/>
      <c r="H3081" s="2"/>
    </row>
    <row r="3082" spans="1:8" x14ac:dyDescent="0.25">
      <c r="A3082" s="1"/>
      <c r="B3082" s="1" t="s">
        <v>3876</v>
      </c>
      <c r="C3082" s="1" t="s">
        <v>3877</v>
      </c>
      <c r="D3082" s="22" t="str">
        <f>HYPERLINK("https://rhld.insurance.arkansas.gov/NPILookup?Npi=1407872427","1407872427")</f>
        <v>1407872427</v>
      </c>
      <c r="E3082" s="1" t="s">
        <v>2753</v>
      </c>
      <c r="F3082" s="2"/>
      <c r="G3082" s="2"/>
      <c r="H3082" s="2"/>
    </row>
    <row r="3083" spans="1:8" x14ac:dyDescent="0.25">
      <c r="A3083" s="1"/>
      <c r="B3083" s="1" t="s">
        <v>3876</v>
      </c>
      <c r="C3083" s="1" t="s">
        <v>3877</v>
      </c>
      <c r="D3083" s="22" t="str">
        <f>HYPERLINK("https://rhld.insurance.arkansas.gov/NPILookup?Npi=1407931744","1407931744")</f>
        <v>1407931744</v>
      </c>
      <c r="E3083" s="1" t="s">
        <v>9937</v>
      </c>
      <c r="F3083" s="2"/>
      <c r="G3083" s="2"/>
      <c r="H3083" s="2"/>
    </row>
    <row r="3084" spans="1:8" x14ac:dyDescent="0.25">
      <c r="A3084" s="1"/>
      <c r="B3084" s="1" t="s">
        <v>3876</v>
      </c>
      <c r="C3084" s="1" t="s">
        <v>3877</v>
      </c>
      <c r="D3084" s="22" t="str">
        <f>HYPERLINK("https://rhld.insurance.arkansas.gov/NPILookup?Npi=1417099631","1417099631")</f>
        <v>1417099631</v>
      </c>
      <c r="E3084" s="1" t="s">
        <v>3947</v>
      </c>
      <c r="F3084" s="2"/>
      <c r="G3084" s="2"/>
      <c r="H3084" s="2"/>
    </row>
    <row r="3085" spans="1:8" x14ac:dyDescent="0.25">
      <c r="A3085" s="1"/>
      <c r="B3085" s="1" t="s">
        <v>3876</v>
      </c>
      <c r="C3085" s="1" t="s">
        <v>3877</v>
      </c>
      <c r="D3085" s="22" t="str">
        <f>HYPERLINK("https://rhld.insurance.arkansas.gov/NPILookup?Npi=1417144163","1417144163")</f>
        <v>1417144163</v>
      </c>
      <c r="E3085" s="1" t="s">
        <v>3948</v>
      </c>
      <c r="F3085" s="2"/>
      <c r="G3085" s="2"/>
      <c r="H3085" s="2"/>
    </row>
    <row r="3086" spans="1:8" x14ac:dyDescent="0.25">
      <c r="A3086" s="1"/>
      <c r="B3086" s="1" t="s">
        <v>3876</v>
      </c>
      <c r="C3086" s="1" t="s">
        <v>3877</v>
      </c>
      <c r="D3086" s="22" t="str">
        <f>HYPERLINK("https://rhld.insurance.arkansas.gov/NPILookup?Npi=1417312919","1417312919")</f>
        <v>1417312919</v>
      </c>
      <c r="E3086" s="1" t="s">
        <v>10273</v>
      </c>
      <c r="F3086" s="2"/>
      <c r="G3086" s="2"/>
      <c r="H3086" s="2"/>
    </row>
    <row r="3087" spans="1:8" x14ac:dyDescent="0.25">
      <c r="A3087" s="1"/>
      <c r="B3087" s="1" t="s">
        <v>3876</v>
      </c>
      <c r="C3087" s="1" t="s">
        <v>3877</v>
      </c>
      <c r="D3087" s="22" t="str">
        <f>HYPERLINK("https://rhld.insurance.arkansas.gov/NPILookup?Npi=1417641036","1417641036")</f>
        <v>1417641036</v>
      </c>
      <c r="E3087" s="1" t="s">
        <v>3949</v>
      </c>
      <c r="F3087" s="2"/>
      <c r="G3087" s="2"/>
      <c r="H3087" s="2"/>
    </row>
    <row r="3088" spans="1:8" x14ac:dyDescent="0.25">
      <c r="A3088" s="1"/>
      <c r="B3088" s="1" t="s">
        <v>3876</v>
      </c>
      <c r="C3088" s="1" t="s">
        <v>3877</v>
      </c>
      <c r="D3088" s="22" t="str">
        <f>HYPERLINK("https://rhld.insurance.arkansas.gov/NPILookup?Npi=1417785296","1417785296")</f>
        <v>1417785296</v>
      </c>
      <c r="E3088" s="1" t="s">
        <v>31341</v>
      </c>
      <c r="F3088" s="2"/>
      <c r="G3088" s="2"/>
      <c r="H3088" s="2"/>
    </row>
    <row r="3089" spans="1:8" x14ac:dyDescent="0.25">
      <c r="A3089" s="1"/>
      <c r="B3089" s="1" t="s">
        <v>3876</v>
      </c>
      <c r="C3089" s="1" t="s">
        <v>3877</v>
      </c>
      <c r="D3089" s="22" t="str">
        <f>HYPERLINK("https://rhld.insurance.arkansas.gov/NPILookup?Npi=1417912759","1417912759")</f>
        <v>1417912759</v>
      </c>
      <c r="E3089" s="1" t="s">
        <v>9938</v>
      </c>
      <c r="F3089" s="2"/>
      <c r="G3089" s="2"/>
      <c r="H3089" s="2"/>
    </row>
    <row r="3090" spans="1:8" x14ac:dyDescent="0.25">
      <c r="A3090" s="1"/>
      <c r="B3090" s="1" t="s">
        <v>3876</v>
      </c>
      <c r="C3090" s="1" t="s">
        <v>3877</v>
      </c>
      <c r="D3090" s="22" t="str">
        <f>HYPERLINK("https://rhld.insurance.arkansas.gov/NPILookup?Npi=1417962721","1417962721")</f>
        <v>1417962721</v>
      </c>
      <c r="E3090" s="1" t="s">
        <v>16133</v>
      </c>
      <c r="F3090" s="2"/>
      <c r="G3090" s="2"/>
      <c r="H3090" s="2"/>
    </row>
    <row r="3091" spans="1:8" x14ac:dyDescent="0.25">
      <c r="A3091" s="1"/>
      <c r="B3091" s="1" t="s">
        <v>3876</v>
      </c>
      <c r="C3091" s="1" t="s">
        <v>3877</v>
      </c>
      <c r="D3091" s="22" t="str">
        <f>HYPERLINK("https://rhld.insurance.arkansas.gov/NPILookup?Npi=1417989260","1417989260")</f>
        <v>1417989260</v>
      </c>
      <c r="E3091" s="1" t="s">
        <v>16134</v>
      </c>
      <c r="F3091" s="2"/>
      <c r="G3091" s="2"/>
      <c r="H3091" s="2"/>
    </row>
    <row r="3092" spans="1:8" x14ac:dyDescent="0.25">
      <c r="A3092" s="1"/>
      <c r="B3092" s="1" t="s">
        <v>3876</v>
      </c>
      <c r="C3092" s="1" t="s">
        <v>3877</v>
      </c>
      <c r="D3092" s="22" t="str">
        <f>HYPERLINK("https://rhld.insurance.arkansas.gov/NPILookup?Npi=1417992165","1417992165")</f>
        <v>1417992165</v>
      </c>
      <c r="E3092" s="1" t="s">
        <v>16135</v>
      </c>
      <c r="F3092" s="2"/>
      <c r="G3092" s="2"/>
      <c r="H3092" s="2"/>
    </row>
    <row r="3093" spans="1:8" x14ac:dyDescent="0.25">
      <c r="A3093" s="1"/>
      <c r="B3093" s="1" t="s">
        <v>3876</v>
      </c>
      <c r="C3093" s="1" t="s">
        <v>3877</v>
      </c>
      <c r="D3093" s="22" t="str">
        <f>HYPERLINK("https://rhld.insurance.arkansas.gov/NPILookup?Npi=1427028513","1427028513")</f>
        <v>1427028513</v>
      </c>
      <c r="E3093" s="1" t="s">
        <v>9939</v>
      </c>
      <c r="F3093" s="2"/>
      <c r="G3093" s="2"/>
      <c r="H3093" s="2"/>
    </row>
    <row r="3094" spans="1:8" x14ac:dyDescent="0.25">
      <c r="A3094" s="1"/>
      <c r="B3094" s="1" t="s">
        <v>3876</v>
      </c>
      <c r="C3094" s="1" t="s">
        <v>3877</v>
      </c>
      <c r="D3094" s="22" t="str">
        <f>HYPERLINK("https://rhld.insurance.arkansas.gov/NPILookup?Npi=1427195411","1427195411")</f>
        <v>1427195411</v>
      </c>
      <c r="E3094" s="1" t="s">
        <v>9940</v>
      </c>
      <c r="F3094" s="2"/>
      <c r="G3094" s="2"/>
      <c r="H3094" s="2"/>
    </row>
    <row r="3095" spans="1:8" x14ac:dyDescent="0.25">
      <c r="A3095" s="1"/>
      <c r="B3095" s="1" t="s">
        <v>3876</v>
      </c>
      <c r="C3095" s="1" t="s">
        <v>3877</v>
      </c>
      <c r="D3095" s="22" t="str">
        <f>HYPERLINK("https://rhld.insurance.arkansas.gov/NPILookup?Npi=1427453844","1427453844")</f>
        <v>1427453844</v>
      </c>
      <c r="E3095" s="1" t="s">
        <v>16136</v>
      </c>
      <c r="F3095" s="2"/>
      <c r="G3095" s="2"/>
      <c r="H3095" s="2"/>
    </row>
    <row r="3096" spans="1:8" x14ac:dyDescent="0.25">
      <c r="A3096" s="1"/>
      <c r="B3096" s="1" t="s">
        <v>3876</v>
      </c>
      <c r="C3096" s="1" t="s">
        <v>3877</v>
      </c>
      <c r="D3096" s="22" t="str">
        <f>HYPERLINK("https://rhld.insurance.arkansas.gov/NPILookup?Npi=1437117702","1437117702")</f>
        <v>1437117702</v>
      </c>
      <c r="E3096" s="1" t="s">
        <v>16137</v>
      </c>
      <c r="F3096" s="2"/>
      <c r="G3096" s="2"/>
      <c r="H3096" s="2"/>
    </row>
    <row r="3097" spans="1:8" x14ac:dyDescent="0.25">
      <c r="A3097" s="1"/>
      <c r="B3097" s="1" t="s">
        <v>3876</v>
      </c>
      <c r="C3097" s="1" t="s">
        <v>3877</v>
      </c>
      <c r="D3097" s="22" t="str">
        <f>HYPERLINK("https://rhld.insurance.arkansas.gov/NPILookup?Npi=1437278272","1437278272")</f>
        <v>1437278272</v>
      </c>
      <c r="E3097" s="1" t="s">
        <v>16138</v>
      </c>
      <c r="F3097" s="2"/>
      <c r="G3097" s="2"/>
      <c r="H3097" s="2"/>
    </row>
    <row r="3098" spans="1:8" x14ac:dyDescent="0.25">
      <c r="A3098" s="1"/>
      <c r="B3098" s="1" t="s">
        <v>3876</v>
      </c>
      <c r="C3098" s="1" t="s">
        <v>3877</v>
      </c>
      <c r="D3098" s="22" t="str">
        <f>HYPERLINK("https://rhld.insurance.arkansas.gov/NPILookup?Npi=1437334364","1437334364")</f>
        <v>1437334364</v>
      </c>
      <c r="E3098" s="1" t="s">
        <v>16139</v>
      </c>
      <c r="F3098" s="2"/>
      <c r="G3098" s="2"/>
      <c r="H3098" s="2"/>
    </row>
    <row r="3099" spans="1:8" x14ac:dyDescent="0.25">
      <c r="A3099" s="1"/>
      <c r="B3099" s="1" t="s">
        <v>3876</v>
      </c>
      <c r="C3099" s="1" t="s">
        <v>3877</v>
      </c>
      <c r="D3099" s="22" t="str">
        <f>HYPERLINK("https://rhld.insurance.arkansas.gov/NPILookup?Npi=1437792801","1437792801")</f>
        <v>1437792801</v>
      </c>
      <c r="E3099" s="1" t="s">
        <v>16140</v>
      </c>
      <c r="F3099" s="2"/>
      <c r="G3099" s="2"/>
      <c r="H3099" s="2"/>
    </row>
    <row r="3100" spans="1:8" x14ac:dyDescent="0.25">
      <c r="A3100" s="1"/>
      <c r="B3100" s="1" t="s">
        <v>3876</v>
      </c>
      <c r="C3100" s="1" t="s">
        <v>3877</v>
      </c>
      <c r="D3100" s="22" t="str">
        <f>HYPERLINK("https://rhld.insurance.arkansas.gov/NPILookup?Npi=1437911088","1437911088")</f>
        <v>1437911088</v>
      </c>
      <c r="E3100" s="1" t="s">
        <v>16141</v>
      </c>
      <c r="F3100" s="2"/>
      <c r="G3100" s="2"/>
      <c r="H3100" s="2"/>
    </row>
    <row r="3101" spans="1:8" x14ac:dyDescent="0.25">
      <c r="A3101" s="1"/>
      <c r="B3101" s="1" t="s">
        <v>3876</v>
      </c>
      <c r="C3101" s="1" t="s">
        <v>3877</v>
      </c>
      <c r="D3101" s="22" t="str">
        <f>HYPERLINK("https://rhld.insurance.arkansas.gov/NPILookup?Npi=1447289061","1447289061")</f>
        <v>1447289061</v>
      </c>
      <c r="E3101" s="1" t="s">
        <v>469</v>
      </c>
      <c r="F3101" s="2"/>
      <c r="G3101" s="2"/>
      <c r="H3101" s="2"/>
    </row>
    <row r="3102" spans="1:8" x14ac:dyDescent="0.25">
      <c r="A3102" s="1"/>
      <c r="B3102" s="1" t="s">
        <v>3876</v>
      </c>
      <c r="C3102" s="1" t="s">
        <v>3877</v>
      </c>
      <c r="D3102" s="22" t="str">
        <f>HYPERLINK("https://rhld.insurance.arkansas.gov/NPILookup?Npi=1447590096","1447590096")</f>
        <v>1447590096</v>
      </c>
      <c r="E3102" s="1" t="s">
        <v>16142</v>
      </c>
      <c r="F3102" s="2"/>
      <c r="G3102" s="2"/>
      <c r="H3102" s="2"/>
    </row>
    <row r="3103" spans="1:8" x14ac:dyDescent="0.25">
      <c r="A3103" s="1"/>
      <c r="B3103" s="1" t="s">
        <v>3876</v>
      </c>
      <c r="C3103" s="1" t="s">
        <v>3877</v>
      </c>
      <c r="D3103" s="22" t="str">
        <f>HYPERLINK("https://rhld.insurance.arkansas.gov/NPILookup?Npi=1457048928","1457048928")</f>
        <v>1457048928</v>
      </c>
      <c r="E3103" s="1" t="s">
        <v>3951</v>
      </c>
      <c r="F3103" s="2"/>
      <c r="G3103" s="2"/>
      <c r="H3103" s="2"/>
    </row>
    <row r="3104" spans="1:8" x14ac:dyDescent="0.25">
      <c r="A3104" s="1"/>
      <c r="B3104" s="1" t="s">
        <v>3876</v>
      </c>
      <c r="C3104" s="1" t="s">
        <v>3877</v>
      </c>
      <c r="D3104" s="22" t="str">
        <f>HYPERLINK("https://rhld.insurance.arkansas.gov/NPILookup?Npi=1457070088","1457070088")</f>
        <v>1457070088</v>
      </c>
      <c r="E3104" s="1" t="s">
        <v>3952</v>
      </c>
      <c r="F3104" s="2"/>
      <c r="G3104" s="2"/>
      <c r="H3104" s="2"/>
    </row>
    <row r="3105" spans="1:8" x14ac:dyDescent="0.25">
      <c r="A3105" s="1"/>
      <c r="B3105" s="1" t="s">
        <v>3876</v>
      </c>
      <c r="C3105" s="1" t="s">
        <v>3877</v>
      </c>
      <c r="D3105" s="22" t="str">
        <f>HYPERLINK("https://rhld.insurance.arkansas.gov/NPILookup?Npi=1457364846","1457364846")</f>
        <v>1457364846</v>
      </c>
      <c r="E3105" s="1" t="s">
        <v>9941</v>
      </c>
      <c r="F3105" s="2"/>
      <c r="G3105" s="2"/>
      <c r="H3105" s="2"/>
    </row>
    <row r="3106" spans="1:8" x14ac:dyDescent="0.25">
      <c r="A3106" s="1"/>
      <c r="B3106" s="1" t="s">
        <v>3876</v>
      </c>
      <c r="C3106" s="1" t="s">
        <v>3877</v>
      </c>
      <c r="D3106" s="22" t="str">
        <f>HYPERLINK("https://rhld.insurance.arkansas.gov/NPILookup?Npi=1457376337","1457376337")</f>
        <v>1457376337</v>
      </c>
      <c r="E3106" s="1" t="s">
        <v>16143</v>
      </c>
      <c r="F3106" s="2"/>
      <c r="G3106" s="2"/>
      <c r="H3106" s="2"/>
    </row>
    <row r="3107" spans="1:8" x14ac:dyDescent="0.25">
      <c r="A3107" s="1"/>
      <c r="B3107" s="1" t="s">
        <v>3876</v>
      </c>
      <c r="C3107" s="1" t="s">
        <v>3877</v>
      </c>
      <c r="D3107" s="22" t="str">
        <f>HYPERLINK("https://rhld.insurance.arkansas.gov/NPILookup?Npi=1457431652","1457431652")</f>
        <v>1457431652</v>
      </c>
      <c r="E3107" s="1" t="s">
        <v>16144</v>
      </c>
      <c r="F3107" s="2"/>
      <c r="G3107" s="2"/>
      <c r="H3107" s="2"/>
    </row>
    <row r="3108" spans="1:8" x14ac:dyDescent="0.25">
      <c r="A3108" s="1"/>
      <c r="B3108" s="1" t="s">
        <v>3876</v>
      </c>
      <c r="C3108" s="1" t="s">
        <v>3877</v>
      </c>
      <c r="D3108" s="22" t="str">
        <f>HYPERLINK("https://rhld.insurance.arkansas.gov/NPILookup?Npi=1457478174","1457478174")</f>
        <v>1457478174</v>
      </c>
      <c r="E3108" s="1" t="s">
        <v>3953</v>
      </c>
      <c r="F3108" s="2"/>
      <c r="G3108" s="2"/>
      <c r="H3108" s="2"/>
    </row>
    <row r="3109" spans="1:8" x14ac:dyDescent="0.25">
      <c r="A3109" s="1"/>
      <c r="B3109" s="1" t="s">
        <v>3876</v>
      </c>
      <c r="C3109" s="1" t="s">
        <v>3877</v>
      </c>
      <c r="D3109" s="22" t="str">
        <f>HYPERLINK("https://rhld.insurance.arkansas.gov/NPILookup?Npi=1457711723","1457711723")</f>
        <v>1457711723</v>
      </c>
      <c r="E3109" s="1" t="s">
        <v>16145</v>
      </c>
      <c r="F3109" s="2"/>
      <c r="G3109" s="2"/>
      <c r="H3109" s="2"/>
    </row>
    <row r="3110" spans="1:8" x14ac:dyDescent="0.25">
      <c r="A3110" s="1"/>
      <c r="B3110" s="1" t="s">
        <v>3876</v>
      </c>
      <c r="C3110" s="1" t="s">
        <v>3877</v>
      </c>
      <c r="D3110" s="22" t="str">
        <f>HYPERLINK("https://rhld.insurance.arkansas.gov/NPILookup?Npi=1457832743","1457832743")</f>
        <v>1457832743</v>
      </c>
      <c r="E3110" s="1" t="s">
        <v>31342</v>
      </c>
      <c r="F3110" s="2"/>
      <c r="G3110" s="2"/>
      <c r="H3110" s="2"/>
    </row>
    <row r="3111" spans="1:8" x14ac:dyDescent="0.25">
      <c r="A3111" s="1"/>
      <c r="B3111" s="1" t="s">
        <v>3876</v>
      </c>
      <c r="C3111" s="1" t="s">
        <v>3877</v>
      </c>
      <c r="D3111" s="22" t="str">
        <f>HYPERLINK("https://rhld.insurance.arkansas.gov/NPILookup?Npi=1467117770","1467117770")</f>
        <v>1467117770</v>
      </c>
      <c r="E3111" s="1" t="s">
        <v>16146</v>
      </c>
      <c r="F3111" s="2"/>
      <c r="G3111" s="2"/>
      <c r="H3111" s="2"/>
    </row>
    <row r="3112" spans="1:8" x14ac:dyDescent="0.25">
      <c r="A3112" s="1"/>
      <c r="B3112" s="1" t="s">
        <v>3876</v>
      </c>
      <c r="C3112" s="1" t="s">
        <v>3877</v>
      </c>
      <c r="D3112" s="22" t="str">
        <f>HYPERLINK("https://rhld.insurance.arkansas.gov/NPILookup?Npi=1467119958","1467119958")</f>
        <v>1467119958</v>
      </c>
      <c r="E3112" s="1" t="s">
        <v>16147</v>
      </c>
      <c r="F3112" s="2"/>
      <c r="G3112" s="2"/>
      <c r="H3112" s="2"/>
    </row>
    <row r="3113" spans="1:8" x14ac:dyDescent="0.25">
      <c r="A3113" s="1"/>
      <c r="B3113" s="1" t="s">
        <v>3876</v>
      </c>
      <c r="C3113" s="1" t="s">
        <v>3877</v>
      </c>
      <c r="D3113" s="22" t="str">
        <f>HYPERLINK("https://rhld.insurance.arkansas.gov/NPILookup?Npi=1467431650","1467431650")</f>
        <v>1467431650</v>
      </c>
      <c r="E3113" s="1" t="s">
        <v>16148</v>
      </c>
      <c r="F3113" s="2"/>
      <c r="G3113" s="2"/>
      <c r="H3113" s="2"/>
    </row>
    <row r="3114" spans="1:8" x14ac:dyDescent="0.25">
      <c r="A3114" s="1"/>
      <c r="B3114" s="1" t="s">
        <v>3876</v>
      </c>
      <c r="C3114" s="1" t="s">
        <v>3877</v>
      </c>
      <c r="D3114" s="22" t="str">
        <f>HYPERLINK("https://rhld.insurance.arkansas.gov/NPILookup?Npi=1467489831","1467489831")</f>
        <v>1467489831</v>
      </c>
      <c r="E3114" s="1" t="s">
        <v>16149</v>
      </c>
      <c r="F3114" s="2"/>
      <c r="G3114" s="2"/>
      <c r="H3114" s="2"/>
    </row>
    <row r="3115" spans="1:8" x14ac:dyDescent="0.25">
      <c r="A3115" s="1"/>
      <c r="B3115" s="1" t="s">
        <v>3876</v>
      </c>
      <c r="C3115" s="1" t="s">
        <v>3877</v>
      </c>
      <c r="D3115" s="22" t="str">
        <f>HYPERLINK("https://rhld.insurance.arkansas.gov/NPILookup?Npi=1467550467","1467550467")</f>
        <v>1467550467</v>
      </c>
      <c r="E3115" s="1" t="s">
        <v>16150</v>
      </c>
      <c r="F3115" s="2"/>
      <c r="G3115" s="2"/>
      <c r="H3115" s="2"/>
    </row>
    <row r="3116" spans="1:8" x14ac:dyDescent="0.25">
      <c r="A3116" s="1"/>
      <c r="B3116" s="1" t="s">
        <v>3876</v>
      </c>
      <c r="C3116" s="1" t="s">
        <v>3877</v>
      </c>
      <c r="D3116" s="22" t="str">
        <f>HYPERLINK("https://rhld.insurance.arkansas.gov/NPILookup?Npi=1467600759","1467600759")</f>
        <v>1467600759</v>
      </c>
      <c r="E3116" s="1" t="s">
        <v>16151</v>
      </c>
      <c r="F3116" s="2"/>
      <c r="G3116" s="2"/>
      <c r="H3116" s="2"/>
    </row>
    <row r="3117" spans="1:8" x14ac:dyDescent="0.25">
      <c r="A3117" s="1"/>
      <c r="B3117" s="1" t="s">
        <v>3876</v>
      </c>
      <c r="C3117" s="1" t="s">
        <v>3877</v>
      </c>
      <c r="D3117" s="22" t="str">
        <f>HYPERLINK("https://rhld.insurance.arkansas.gov/NPILookup?Npi=1467661629","1467661629")</f>
        <v>1467661629</v>
      </c>
      <c r="E3117" s="1" t="s">
        <v>3954</v>
      </c>
      <c r="F3117" s="2"/>
      <c r="G3117" s="2"/>
      <c r="H3117" s="2"/>
    </row>
    <row r="3118" spans="1:8" x14ac:dyDescent="0.25">
      <c r="A3118" s="1"/>
      <c r="B3118" s="1" t="s">
        <v>3876</v>
      </c>
      <c r="C3118" s="1" t="s">
        <v>3877</v>
      </c>
      <c r="D3118" s="22" t="str">
        <f>HYPERLINK("https://rhld.insurance.arkansas.gov/NPILookup?Npi=1477035459","1477035459")</f>
        <v>1477035459</v>
      </c>
      <c r="E3118" s="1" t="s">
        <v>9942</v>
      </c>
      <c r="F3118" s="2"/>
      <c r="G3118" s="2"/>
      <c r="H3118" s="2"/>
    </row>
    <row r="3119" spans="1:8" x14ac:dyDescent="0.25">
      <c r="A3119" s="1"/>
      <c r="B3119" s="1" t="s">
        <v>3876</v>
      </c>
      <c r="C3119" s="1" t="s">
        <v>3877</v>
      </c>
      <c r="D3119" s="22" t="str">
        <f>HYPERLINK("https://rhld.insurance.arkansas.gov/NPILookup?Npi=1477661882","1477661882")</f>
        <v>1477661882</v>
      </c>
      <c r="E3119" s="1" t="s">
        <v>9943</v>
      </c>
      <c r="F3119" s="2"/>
      <c r="G3119" s="2"/>
      <c r="H3119" s="2"/>
    </row>
    <row r="3120" spans="1:8" x14ac:dyDescent="0.25">
      <c r="A3120" s="1"/>
      <c r="B3120" s="1" t="s">
        <v>3876</v>
      </c>
      <c r="C3120" s="1" t="s">
        <v>3877</v>
      </c>
      <c r="D3120" s="22" t="str">
        <f>HYPERLINK("https://rhld.insurance.arkansas.gov/NPILookup?Npi=1477669976","1477669976")</f>
        <v>1477669976</v>
      </c>
      <c r="E3120" s="1" t="s">
        <v>9944</v>
      </c>
      <c r="F3120" s="2"/>
      <c r="G3120" s="2"/>
      <c r="H3120" s="2"/>
    </row>
    <row r="3121" spans="1:8" x14ac:dyDescent="0.25">
      <c r="A3121" s="1"/>
      <c r="B3121" s="1" t="s">
        <v>3876</v>
      </c>
      <c r="C3121" s="1" t="s">
        <v>3877</v>
      </c>
      <c r="D3121" s="22" t="str">
        <f>HYPERLINK("https://rhld.insurance.arkansas.gov/NPILookup?Npi=1487155529","1487155529")</f>
        <v>1487155529</v>
      </c>
      <c r="E3121" s="1" t="s">
        <v>16152</v>
      </c>
      <c r="F3121" s="2"/>
      <c r="G3121" s="2"/>
      <c r="H3121" s="2"/>
    </row>
    <row r="3122" spans="1:8" x14ac:dyDescent="0.25">
      <c r="A3122" s="1"/>
      <c r="B3122" s="1" t="s">
        <v>3876</v>
      </c>
      <c r="C3122" s="1" t="s">
        <v>3877</v>
      </c>
      <c r="D3122" s="22" t="str">
        <f>HYPERLINK("https://rhld.insurance.arkansas.gov/NPILookup?Npi=1487466959","1487466959")</f>
        <v>1487466959</v>
      </c>
      <c r="E3122" s="1" t="s">
        <v>31343</v>
      </c>
      <c r="F3122" s="2"/>
      <c r="G3122" s="2"/>
      <c r="H3122" s="2"/>
    </row>
    <row r="3123" spans="1:8" x14ac:dyDescent="0.25">
      <c r="A3123" s="1"/>
      <c r="B3123" s="1" t="s">
        <v>3876</v>
      </c>
      <c r="C3123" s="1" t="s">
        <v>3877</v>
      </c>
      <c r="D3123" s="22" t="str">
        <f>HYPERLINK("https://rhld.insurance.arkansas.gov/NPILookup?Npi=1487493664","1487493664")</f>
        <v>1487493664</v>
      </c>
      <c r="E3123" s="1" t="s">
        <v>16153</v>
      </c>
      <c r="F3123" s="2"/>
      <c r="G3123" s="2"/>
      <c r="H3123" s="2"/>
    </row>
    <row r="3124" spans="1:8" x14ac:dyDescent="0.25">
      <c r="A3124" s="1"/>
      <c r="B3124" s="1" t="s">
        <v>3876</v>
      </c>
      <c r="C3124" s="1" t="s">
        <v>3877</v>
      </c>
      <c r="D3124" s="22" t="str">
        <f>HYPERLINK("https://rhld.insurance.arkansas.gov/NPILookup?Npi=1487615373","1487615373")</f>
        <v>1487615373</v>
      </c>
      <c r="E3124" s="1" t="s">
        <v>16154</v>
      </c>
      <c r="F3124" s="2"/>
      <c r="G3124" s="2"/>
      <c r="H3124" s="2"/>
    </row>
    <row r="3125" spans="1:8" x14ac:dyDescent="0.25">
      <c r="A3125" s="1"/>
      <c r="B3125" s="1" t="s">
        <v>3876</v>
      </c>
      <c r="C3125" s="1" t="s">
        <v>3877</v>
      </c>
      <c r="D3125" s="22" t="str">
        <f>HYPERLINK("https://rhld.insurance.arkansas.gov/NPILookup?Npi=1487654901","1487654901")</f>
        <v>1487654901</v>
      </c>
      <c r="E3125" s="1" t="s">
        <v>16155</v>
      </c>
      <c r="F3125" s="2"/>
      <c r="G3125" s="2"/>
      <c r="H3125" s="2"/>
    </row>
    <row r="3126" spans="1:8" x14ac:dyDescent="0.25">
      <c r="A3126" s="1"/>
      <c r="B3126" s="1" t="s">
        <v>3876</v>
      </c>
      <c r="C3126" s="1" t="s">
        <v>3877</v>
      </c>
      <c r="D3126" s="22" t="str">
        <f>HYPERLINK("https://rhld.insurance.arkansas.gov/NPILookup?Npi=1487836128","1487836128")</f>
        <v>1487836128</v>
      </c>
      <c r="E3126" s="1" t="s">
        <v>16156</v>
      </c>
      <c r="F3126" s="2"/>
      <c r="G3126" s="2"/>
      <c r="H3126" s="2"/>
    </row>
    <row r="3127" spans="1:8" x14ac:dyDescent="0.25">
      <c r="A3127" s="1"/>
      <c r="B3127" s="1" t="s">
        <v>3876</v>
      </c>
      <c r="C3127" s="1" t="s">
        <v>3877</v>
      </c>
      <c r="D3127" s="22" t="str">
        <f>HYPERLINK("https://rhld.insurance.arkansas.gov/NPILookup?Npi=1487930947","1487930947")</f>
        <v>1487930947</v>
      </c>
      <c r="E3127" s="1" t="s">
        <v>3955</v>
      </c>
      <c r="F3127" s="2"/>
      <c r="G3127" s="2"/>
      <c r="H3127" s="2"/>
    </row>
    <row r="3128" spans="1:8" x14ac:dyDescent="0.25">
      <c r="A3128" s="1"/>
      <c r="B3128" s="1" t="s">
        <v>3876</v>
      </c>
      <c r="C3128" s="1" t="s">
        <v>3877</v>
      </c>
      <c r="D3128" s="22" t="str">
        <f>HYPERLINK("https://rhld.insurance.arkansas.gov/NPILookup?Npi=1487961322","1487961322")</f>
        <v>1487961322</v>
      </c>
      <c r="E3128" s="1" t="s">
        <v>16157</v>
      </c>
      <c r="F3128" s="2"/>
      <c r="G3128" s="2"/>
      <c r="H3128" s="2"/>
    </row>
    <row r="3129" spans="1:8" x14ac:dyDescent="0.25">
      <c r="A3129" s="1"/>
      <c r="B3129" s="1" t="s">
        <v>3876</v>
      </c>
      <c r="C3129" s="1" t="s">
        <v>3877</v>
      </c>
      <c r="D3129" s="22" t="str">
        <f>HYPERLINK("https://rhld.insurance.arkansas.gov/NPILookup?Npi=1487992566","1487992566")</f>
        <v>1487992566</v>
      </c>
      <c r="E3129" s="1" t="s">
        <v>3956</v>
      </c>
      <c r="F3129" s="2"/>
      <c r="G3129" s="2"/>
      <c r="H3129" s="2"/>
    </row>
    <row r="3130" spans="1:8" x14ac:dyDescent="0.25">
      <c r="A3130" s="1"/>
      <c r="B3130" s="1" t="s">
        <v>3876</v>
      </c>
      <c r="C3130" s="1" t="s">
        <v>3877</v>
      </c>
      <c r="D3130" s="22" t="str">
        <f>HYPERLINK("https://rhld.insurance.arkansas.gov/NPILookup?Npi=1497019723","1497019723")</f>
        <v>1497019723</v>
      </c>
      <c r="E3130" s="1" t="s">
        <v>3957</v>
      </c>
      <c r="F3130" s="2"/>
      <c r="G3130" s="2"/>
      <c r="H3130" s="2"/>
    </row>
    <row r="3131" spans="1:8" x14ac:dyDescent="0.25">
      <c r="A3131" s="1"/>
      <c r="B3131" s="1" t="s">
        <v>3876</v>
      </c>
      <c r="C3131" s="1" t="s">
        <v>3877</v>
      </c>
      <c r="D3131" s="22" t="str">
        <f>HYPERLINK("https://rhld.insurance.arkansas.gov/NPILookup?Npi=1497740179","1497740179")</f>
        <v>1497740179</v>
      </c>
      <c r="E3131" s="1" t="s">
        <v>16158</v>
      </c>
      <c r="F3131" s="2"/>
      <c r="G3131" s="2"/>
      <c r="H3131" s="2"/>
    </row>
    <row r="3132" spans="1:8" x14ac:dyDescent="0.25">
      <c r="A3132" s="1"/>
      <c r="B3132" s="1" t="s">
        <v>3876</v>
      </c>
      <c r="C3132" s="1" t="s">
        <v>3877</v>
      </c>
      <c r="D3132" s="22" t="str">
        <f>HYPERLINK("https://rhld.insurance.arkansas.gov/NPILookup?Npi=1497793681","1497793681")</f>
        <v>1497793681</v>
      </c>
      <c r="E3132" s="1" t="s">
        <v>3958</v>
      </c>
      <c r="F3132" s="2"/>
      <c r="G3132" s="2"/>
      <c r="H3132" s="2"/>
    </row>
    <row r="3133" spans="1:8" x14ac:dyDescent="0.25">
      <c r="A3133" s="1"/>
      <c r="B3133" s="1" t="s">
        <v>3876</v>
      </c>
      <c r="C3133" s="1" t="s">
        <v>3877</v>
      </c>
      <c r="D3133" s="22" t="str">
        <f>HYPERLINK("https://rhld.insurance.arkansas.gov/NPILookup?Npi=1497862775","1497862775")</f>
        <v>1497862775</v>
      </c>
      <c r="E3133" s="1" t="s">
        <v>3959</v>
      </c>
      <c r="F3133" s="2"/>
      <c r="G3133" s="2"/>
      <c r="H3133" s="2"/>
    </row>
    <row r="3134" spans="1:8" x14ac:dyDescent="0.25">
      <c r="A3134" s="1"/>
      <c r="B3134" s="1" t="s">
        <v>3876</v>
      </c>
      <c r="C3134" s="1" t="s">
        <v>3877</v>
      </c>
      <c r="D3134" s="22" t="str">
        <f>HYPERLINK("https://rhld.insurance.arkansas.gov/NPILookup?Npi=1508105974","1508105974")</f>
        <v>1508105974</v>
      </c>
      <c r="E3134" s="1" t="s">
        <v>3960</v>
      </c>
      <c r="F3134" s="2"/>
      <c r="G3134" s="2"/>
      <c r="H3134" s="2"/>
    </row>
    <row r="3135" spans="1:8" x14ac:dyDescent="0.25">
      <c r="A3135" s="1"/>
      <c r="B3135" s="1" t="s">
        <v>3876</v>
      </c>
      <c r="C3135" s="1" t="s">
        <v>3877</v>
      </c>
      <c r="D3135" s="22" t="str">
        <f>HYPERLINK("https://rhld.insurance.arkansas.gov/NPILookup?Npi=1508162298","1508162298")</f>
        <v>1508162298</v>
      </c>
      <c r="E3135" s="1" t="s">
        <v>6622</v>
      </c>
      <c r="F3135" s="2"/>
      <c r="G3135" s="2"/>
      <c r="H3135" s="2"/>
    </row>
    <row r="3136" spans="1:8" x14ac:dyDescent="0.25">
      <c r="A3136" s="1"/>
      <c r="B3136" s="1" t="s">
        <v>3876</v>
      </c>
      <c r="C3136" s="1" t="s">
        <v>3877</v>
      </c>
      <c r="D3136" s="22" t="str">
        <f>HYPERLINK("https://rhld.insurance.arkansas.gov/NPILookup?Npi=1508845785","1508845785")</f>
        <v>1508845785</v>
      </c>
      <c r="E3136" s="1" t="s">
        <v>16159</v>
      </c>
      <c r="F3136" s="2"/>
      <c r="G3136" s="2"/>
      <c r="H3136" s="2"/>
    </row>
    <row r="3137" spans="1:8" x14ac:dyDescent="0.25">
      <c r="A3137" s="1"/>
      <c r="B3137" s="1" t="s">
        <v>3876</v>
      </c>
      <c r="C3137" s="1" t="s">
        <v>3877</v>
      </c>
      <c r="D3137" s="22" t="str">
        <f>HYPERLINK("https://rhld.insurance.arkansas.gov/NPILookup?Npi=1518305853","1518305853")</f>
        <v>1518305853</v>
      </c>
      <c r="E3137" s="1" t="s">
        <v>9945</v>
      </c>
      <c r="F3137" s="2"/>
      <c r="G3137" s="2"/>
      <c r="H3137" s="2"/>
    </row>
    <row r="3138" spans="1:8" x14ac:dyDescent="0.25">
      <c r="A3138" s="1"/>
      <c r="B3138" s="1" t="s">
        <v>3876</v>
      </c>
      <c r="C3138" s="1" t="s">
        <v>3877</v>
      </c>
      <c r="D3138" s="22" t="str">
        <f>HYPERLINK("https://rhld.insurance.arkansas.gov/NPILookup?Npi=1518320803","1518320803")</f>
        <v>1518320803</v>
      </c>
      <c r="E3138" s="1" t="s">
        <v>3961</v>
      </c>
      <c r="F3138" s="2"/>
      <c r="G3138" s="2"/>
      <c r="H3138" s="2"/>
    </row>
    <row r="3139" spans="1:8" x14ac:dyDescent="0.25">
      <c r="A3139" s="1"/>
      <c r="B3139" s="1" t="s">
        <v>3876</v>
      </c>
      <c r="C3139" s="1" t="s">
        <v>3877</v>
      </c>
      <c r="D3139" s="22" t="str">
        <f>HYPERLINK("https://rhld.insurance.arkansas.gov/NPILookup?Npi=1518974914","1518974914")</f>
        <v>1518974914</v>
      </c>
      <c r="E3139" s="1" t="s">
        <v>3962</v>
      </c>
      <c r="F3139" s="2"/>
      <c r="G3139" s="2"/>
      <c r="H3139" s="2"/>
    </row>
    <row r="3140" spans="1:8" x14ac:dyDescent="0.25">
      <c r="A3140" s="1"/>
      <c r="B3140" s="1" t="s">
        <v>3876</v>
      </c>
      <c r="C3140" s="1" t="s">
        <v>3877</v>
      </c>
      <c r="D3140" s="22" t="str">
        <f>HYPERLINK("https://rhld.insurance.arkansas.gov/NPILookup?Npi=1528017704","1528017704")</f>
        <v>1528017704</v>
      </c>
      <c r="E3140" s="1" t="s">
        <v>16160</v>
      </c>
      <c r="F3140" s="2"/>
      <c r="G3140" s="2"/>
      <c r="H3140" s="2"/>
    </row>
    <row r="3141" spans="1:8" x14ac:dyDescent="0.25">
      <c r="A3141" s="1"/>
      <c r="B3141" s="1" t="s">
        <v>3876</v>
      </c>
      <c r="C3141" s="1" t="s">
        <v>3877</v>
      </c>
      <c r="D3141" s="22" t="str">
        <f>HYPERLINK("https://rhld.insurance.arkansas.gov/NPILookup?Npi=1528037728","1528037728")</f>
        <v>1528037728</v>
      </c>
      <c r="E3141" s="1" t="s">
        <v>16161</v>
      </c>
      <c r="F3141" s="2"/>
      <c r="G3141" s="2"/>
      <c r="H3141" s="2"/>
    </row>
    <row r="3142" spans="1:8" x14ac:dyDescent="0.25">
      <c r="A3142" s="1"/>
      <c r="B3142" s="1" t="s">
        <v>3876</v>
      </c>
      <c r="C3142" s="1" t="s">
        <v>3877</v>
      </c>
      <c r="D3142" s="22" t="str">
        <f>HYPERLINK("https://rhld.insurance.arkansas.gov/NPILookup?Npi=1528050887","1528050887")</f>
        <v>1528050887</v>
      </c>
      <c r="E3142" s="1" t="s">
        <v>9946</v>
      </c>
      <c r="F3142" s="2"/>
      <c r="G3142" s="2"/>
      <c r="H3142" s="2"/>
    </row>
    <row r="3143" spans="1:8" x14ac:dyDescent="0.25">
      <c r="A3143" s="1"/>
      <c r="B3143" s="1" t="s">
        <v>3876</v>
      </c>
      <c r="C3143" s="1" t="s">
        <v>3877</v>
      </c>
      <c r="D3143" s="22" t="str">
        <f>HYPERLINK("https://rhld.insurance.arkansas.gov/NPILookup?Npi=1528177599","1528177599")</f>
        <v>1528177599</v>
      </c>
      <c r="E3143" s="1" t="s">
        <v>3963</v>
      </c>
      <c r="F3143" s="2"/>
      <c r="G3143" s="2"/>
      <c r="H3143" s="2"/>
    </row>
    <row r="3144" spans="1:8" x14ac:dyDescent="0.25">
      <c r="A3144" s="1"/>
      <c r="B3144" s="1" t="s">
        <v>3876</v>
      </c>
      <c r="C3144" s="1" t="s">
        <v>3877</v>
      </c>
      <c r="D3144" s="22" t="str">
        <f>HYPERLINK("https://rhld.insurance.arkansas.gov/NPILookup?Npi=1528448685","1528448685")</f>
        <v>1528448685</v>
      </c>
      <c r="E3144" s="1" t="s">
        <v>3964</v>
      </c>
      <c r="F3144" s="2"/>
      <c r="G3144" s="2"/>
      <c r="H3144" s="2"/>
    </row>
    <row r="3145" spans="1:8" x14ac:dyDescent="0.25">
      <c r="A3145" s="1"/>
      <c r="B3145" s="1" t="s">
        <v>3876</v>
      </c>
      <c r="C3145" s="1" t="s">
        <v>3877</v>
      </c>
      <c r="D3145" s="22" t="str">
        <f>HYPERLINK("https://rhld.insurance.arkansas.gov/NPILookup?Npi=1538120951","1538120951")</f>
        <v>1538120951</v>
      </c>
      <c r="E3145" s="1" t="s">
        <v>9947</v>
      </c>
      <c r="F3145" s="2"/>
      <c r="G3145" s="2"/>
      <c r="H3145" s="2"/>
    </row>
    <row r="3146" spans="1:8" x14ac:dyDescent="0.25">
      <c r="A3146" s="1"/>
      <c r="B3146" s="1" t="s">
        <v>3876</v>
      </c>
      <c r="C3146" s="1" t="s">
        <v>3877</v>
      </c>
      <c r="D3146" s="22" t="str">
        <f>HYPERLINK("https://rhld.insurance.arkansas.gov/NPILookup?Npi=1538197736","1538197736")</f>
        <v>1538197736</v>
      </c>
      <c r="E3146" s="1" t="s">
        <v>3965</v>
      </c>
      <c r="F3146" s="2"/>
      <c r="G3146" s="2"/>
      <c r="H3146" s="2"/>
    </row>
    <row r="3147" spans="1:8" x14ac:dyDescent="0.25">
      <c r="A3147" s="1"/>
      <c r="B3147" s="1" t="s">
        <v>3876</v>
      </c>
      <c r="C3147" s="1" t="s">
        <v>3877</v>
      </c>
      <c r="D3147" s="22" t="str">
        <f>HYPERLINK("https://rhld.insurance.arkansas.gov/NPILookup?Npi=1538273040","1538273040")</f>
        <v>1538273040</v>
      </c>
      <c r="E3147" s="1" t="s">
        <v>16162</v>
      </c>
      <c r="F3147" s="2"/>
      <c r="G3147" s="2"/>
      <c r="H3147" s="2"/>
    </row>
    <row r="3148" spans="1:8" x14ac:dyDescent="0.25">
      <c r="A3148" s="1"/>
      <c r="B3148" s="1" t="s">
        <v>3876</v>
      </c>
      <c r="C3148" s="1" t="s">
        <v>3877</v>
      </c>
      <c r="D3148" s="22" t="str">
        <f>HYPERLINK("https://rhld.insurance.arkansas.gov/NPILookup?Npi=1538430442","1538430442")</f>
        <v>1538430442</v>
      </c>
      <c r="E3148" s="1" t="s">
        <v>4437</v>
      </c>
      <c r="F3148" s="2"/>
      <c r="G3148" s="2"/>
      <c r="H3148" s="2"/>
    </row>
    <row r="3149" spans="1:8" x14ac:dyDescent="0.25">
      <c r="A3149" s="1"/>
      <c r="B3149" s="1" t="s">
        <v>3876</v>
      </c>
      <c r="C3149" s="1" t="s">
        <v>3877</v>
      </c>
      <c r="D3149" s="22" t="str">
        <f>HYPERLINK("https://rhld.insurance.arkansas.gov/NPILookup?Npi=1538469382","1538469382")</f>
        <v>1538469382</v>
      </c>
      <c r="E3149" s="1" t="s">
        <v>16163</v>
      </c>
      <c r="F3149" s="2"/>
      <c r="G3149" s="2"/>
      <c r="H3149" s="2"/>
    </row>
    <row r="3150" spans="1:8" x14ac:dyDescent="0.25">
      <c r="A3150" s="1"/>
      <c r="B3150" s="1" t="s">
        <v>3876</v>
      </c>
      <c r="C3150" s="1" t="s">
        <v>3877</v>
      </c>
      <c r="D3150" s="22" t="str">
        <f>HYPERLINK("https://rhld.insurance.arkansas.gov/NPILookup?Npi=1538526801","1538526801")</f>
        <v>1538526801</v>
      </c>
      <c r="E3150" s="1" t="s">
        <v>9948</v>
      </c>
      <c r="F3150" s="2"/>
      <c r="G3150" s="2"/>
      <c r="H3150" s="2"/>
    </row>
    <row r="3151" spans="1:8" x14ac:dyDescent="0.25">
      <c r="A3151" s="1"/>
      <c r="B3151" s="1" t="s">
        <v>3876</v>
      </c>
      <c r="C3151" s="1" t="s">
        <v>3877</v>
      </c>
      <c r="D3151" s="22" t="str">
        <f>HYPERLINK("https://rhld.insurance.arkansas.gov/NPILookup?Npi=1538627088","1538627088")</f>
        <v>1538627088</v>
      </c>
      <c r="E3151" s="1" t="s">
        <v>16164</v>
      </c>
      <c r="F3151" s="2"/>
      <c r="G3151" s="2"/>
      <c r="H3151" s="2"/>
    </row>
    <row r="3152" spans="1:8" x14ac:dyDescent="0.25">
      <c r="A3152" s="1"/>
      <c r="B3152" s="1" t="s">
        <v>3876</v>
      </c>
      <c r="C3152" s="1" t="s">
        <v>3877</v>
      </c>
      <c r="D3152" s="22" t="str">
        <f>HYPERLINK("https://rhld.insurance.arkansas.gov/NPILookup?Npi=1548234115","1548234115")</f>
        <v>1548234115</v>
      </c>
      <c r="E3152" s="1" t="s">
        <v>16165</v>
      </c>
      <c r="F3152" s="2"/>
      <c r="G3152" s="2"/>
      <c r="H3152" s="2"/>
    </row>
    <row r="3153" spans="1:8" x14ac:dyDescent="0.25">
      <c r="A3153" s="1"/>
      <c r="B3153" s="1" t="s">
        <v>3876</v>
      </c>
      <c r="C3153" s="1" t="s">
        <v>3877</v>
      </c>
      <c r="D3153" s="22" t="str">
        <f>HYPERLINK("https://rhld.insurance.arkansas.gov/NPILookup?Npi=1548277957","1548277957")</f>
        <v>1548277957</v>
      </c>
      <c r="E3153" s="1" t="s">
        <v>3967</v>
      </c>
      <c r="F3153" s="2"/>
      <c r="G3153" s="2"/>
      <c r="H3153" s="2"/>
    </row>
    <row r="3154" spans="1:8" x14ac:dyDescent="0.25">
      <c r="A3154" s="1"/>
      <c r="B3154" s="1" t="s">
        <v>3876</v>
      </c>
      <c r="C3154" s="1" t="s">
        <v>3877</v>
      </c>
      <c r="D3154" s="22" t="str">
        <f>HYPERLINK("https://rhld.insurance.arkansas.gov/NPILookup?Npi=1548429772","1548429772")</f>
        <v>1548429772</v>
      </c>
      <c r="E3154" s="1" t="s">
        <v>3968</v>
      </c>
      <c r="F3154" s="2"/>
      <c r="G3154" s="2"/>
      <c r="H3154" s="2"/>
    </row>
    <row r="3155" spans="1:8" x14ac:dyDescent="0.25">
      <c r="A3155" s="1"/>
      <c r="B3155" s="1" t="s">
        <v>3876</v>
      </c>
      <c r="C3155" s="1" t="s">
        <v>3877</v>
      </c>
      <c r="D3155" s="22" t="str">
        <f>HYPERLINK("https://rhld.insurance.arkansas.gov/NPILookup?Npi=1548627813","1548627813")</f>
        <v>1548627813</v>
      </c>
      <c r="E3155" s="1" t="s">
        <v>16166</v>
      </c>
      <c r="F3155" s="2"/>
      <c r="G3155" s="2"/>
      <c r="H3155" s="2"/>
    </row>
    <row r="3156" spans="1:8" x14ac:dyDescent="0.25">
      <c r="A3156" s="1"/>
      <c r="B3156" s="1" t="s">
        <v>3876</v>
      </c>
      <c r="C3156" s="1" t="s">
        <v>3877</v>
      </c>
      <c r="D3156" s="22" t="str">
        <f>HYPERLINK("https://rhld.insurance.arkansas.gov/NPILookup?Npi=1558008250","1558008250")</f>
        <v>1558008250</v>
      </c>
      <c r="E3156" s="1" t="s">
        <v>16167</v>
      </c>
      <c r="F3156" s="2"/>
      <c r="G3156" s="2"/>
      <c r="H3156" s="2"/>
    </row>
    <row r="3157" spans="1:8" x14ac:dyDescent="0.25">
      <c r="A3157" s="1"/>
      <c r="B3157" s="1" t="s">
        <v>3876</v>
      </c>
      <c r="C3157" s="1" t="s">
        <v>3877</v>
      </c>
      <c r="D3157" s="22" t="str">
        <f>HYPERLINK("https://rhld.insurance.arkansas.gov/NPILookup?Npi=1558367078","1558367078")</f>
        <v>1558367078</v>
      </c>
      <c r="E3157" s="1" t="s">
        <v>9949</v>
      </c>
      <c r="F3157" s="2"/>
      <c r="G3157" s="2"/>
      <c r="H3157" s="2"/>
    </row>
    <row r="3158" spans="1:8" x14ac:dyDescent="0.25">
      <c r="A3158" s="1"/>
      <c r="B3158" s="1" t="s">
        <v>3876</v>
      </c>
      <c r="C3158" s="1" t="s">
        <v>3877</v>
      </c>
      <c r="D3158" s="22" t="str">
        <f>HYPERLINK("https://rhld.insurance.arkansas.gov/NPILookup?Npi=1558535328","1558535328")</f>
        <v>1558535328</v>
      </c>
      <c r="E3158" s="1" t="s">
        <v>16168</v>
      </c>
      <c r="F3158" s="2"/>
      <c r="G3158" s="2"/>
      <c r="H3158" s="2"/>
    </row>
    <row r="3159" spans="1:8" x14ac:dyDescent="0.25">
      <c r="A3159" s="1"/>
      <c r="B3159" s="1" t="s">
        <v>3876</v>
      </c>
      <c r="C3159" s="1" t="s">
        <v>3877</v>
      </c>
      <c r="D3159" s="22" t="str">
        <f>HYPERLINK("https://rhld.insurance.arkansas.gov/NPILookup?Npi=1568092567","1568092567")</f>
        <v>1568092567</v>
      </c>
      <c r="E3159" s="1" t="s">
        <v>16169</v>
      </c>
      <c r="F3159" s="2"/>
      <c r="G3159" s="2"/>
      <c r="H3159" s="2"/>
    </row>
    <row r="3160" spans="1:8" x14ac:dyDescent="0.25">
      <c r="A3160" s="1"/>
      <c r="B3160" s="1" t="s">
        <v>3876</v>
      </c>
      <c r="C3160" s="1" t="s">
        <v>3877</v>
      </c>
      <c r="D3160" s="22" t="str">
        <f>HYPERLINK("https://rhld.insurance.arkansas.gov/NPILookup?Npi=1568415362","1568415362")</f>
        <v>1568415362</v>
      </c>
      <c r="E3160" s="1" t="s">
        <v>16170</v>
      </c>
      <c r="F3160" s="2"/>
      <c r="G3160" s="2"/>
      <c r="H3160" s="2"/>
    </row>
    <row r="3161" spans="1:8" x14ac:dyDescent="0.25">
      <c r="A3161" s="1"/>
      <c r="B3161" s="1" t="s">
        <v>3876</v>
      </c>
      <c r="C3161" s="1" t="s">
        <v>3877</v>
      </c>
      <c r="D3161" s="22" t="str">
        <f>HYPERLINK("https://rhld.insurance.arkansas.gov/NPILookup?Npi=1568508620","1568508620")</f>
        <v>1568508620</v>
      </c>
      <c r="E3161" s="1" t="s">
        <v>16171</v>
      </c>
      <c r="F3161" s="2"/>
      <c r="G3161" s="2"/>
      <c r="H3161" s="2"/>
    </row>
    <row r="3162" spans="1:8" x14ac:dyDescent="0.25">
      <c r="A3162" s="1"/>
      <c r="B3162" s="1" t="s">
        <v>3876</v>
      </c>
      <c r="C3162" s="1" t="s">
        <v>3877</v>
      </c>
      <c r="D3162" s="22" t="str">
        <f>HYPERLINK("https://rhld.insurance.arkansas.gov/NPILookup?Npi=1568870061","1568870061")</f>
        <v>1568870061</v>
      </c>
      <c r="E3162" s="1" t="s">
        <v>9950</v>
      </c>
      <c r="F3162" s="2"/>
      <c r="G3162" s="2"/>
      <c r="H3162" s="2"/>
    </row>
    <row r="3163" spans="1:8" x14ac:dyDescent="0.25">
      <c r="A3163" s="1"/>
      <c r="B3163" s="1" t="s">
        <v>3876</v>
      </c>
      <c r="C3163" s="1" t="s">
        <v>3877</v>
      </c>
      <c r="D3163" s="22" t="str">
        <f>HYPERLINK("https://rhld.insurance.arkansas.gov/NPILookup?Npi=1568972966","1568972966")</f>
        <v>1568972966</v>
      </c>
      <c r="E3163" s="1" t="s">
        <v>16172</v>
      </c>
      <c r="F3163" s="2"/>
      <c r="G3163" s="2"/>
      <c r="H3163" s="2"/>
    </row>
    <row r="3164" spans="1:8" x14ac:dyDescent="0.25">
      <c r="A3164" s="1"/>
      <c r="B3164" s="1" t="s">
        <v>3876</v>
      </c>
      <c r="C3164" s="1" t="s">
        <v>3877</v>
      </c>
      <c r="D3164" s="22" t="str">
        <f>HYPERLINK("https://rhld.insurance.arkansas.gov/NPILookup?Npi=1578243861","1578243861")</f>
        <v>1578243861</v>
      </c>
      <c r="E3164" s="1" t="s">
        <v>3969</v>
      </c>
      <c r="F3164" s="2"/>
      <c r="G3164" s="2"/>
      <c r="H3164" s="2"/>
    </row>
    <row r="3165" spans="1:8" x14ac:dyDescent="0.25">
      <c r="A3165" s="1"/>
      <c r="B3165" s="1" t="s">
        <v>3876</v>
      </c>
      <c r="C3165" s="1" t="s">
        <v>3877</v>
      </c>
      <c r="D3165" s="22" t="str">
        <f>HYPERLINK("https://rhld.insurance.arkansas.gov/NPILookup?Npi=1578738423","1578738423")</f>
        <v>1578738423</v>
      </c>
      <c r="E3165" s="1" t="s">
        <v>9951</v>
      </c>
      <c r="F3165" s="2"/>
      <c r="G3165" s="2"/>
      <c r="H3165" s="2"/>
    </row>
    <row r="3166" spans="1:8" x14ac:dyDescent="0.25">
      <c r="A3166" s="1"/>
      <c r="B3166" s="1" t="s">
        <v>3876</v>
      </c>
      <c r="C3166" s="1" t="s">
        <v>3877</v>
      </c>
      <c r="D3166" s="22" t="str">
        <f>HYPERLINK("https://rhld.insurance.arkansas.gov/NPILookup?Npi=1578971875","1578971875")</f>
        <v>1578971875</v>
      </c>
      <c r="E3166" s="1" t="s">
        <v>16173</v>
      </c>
      <c r="F3166" s="2"/>
      <c r="G3166" s="2"/>
      <c r="H3166" s="2"/>
    </row>
    <row r="3167" spans="1:8" x14ac:dyDescent="0.25">
      <c r="A3167" s="1"/>
      <c r="B3167" s="1" t="s">
        <v>3876</v>
      </c>
      <c r="C3167" s="1" t="s">
        <v>3877</v>
      </c>
      <c r="D3167" s="22" t="str">
        <f>HYPERLINK("https://rhld.insurance.arkansas.gov/NPILookup?Npi=1588156590","1588156590")</f>
        <v>1588156590</v>
      </c>
      <c r="E3167" s="1" t="s">
        <v>16174</v>
      </c>
      <c r="F3167" s="2"/>
      <c r="G3167" s="2"/>
      <c r="H3167" s="2"/>
    </row>
    <row r="3168" spans="1:8" x14ac:dyDescent="0.25">
      <c r="A3168" s="1"/>
      <c r="B3168" s="1" t="s">
        <v>3876</v>
      </c>
      <c r="C3168" s="1" t="s">
        <v>3877</v>
      </c>
      <c r="D3168" s="22" t="str">
        <f>HYPERLINK("https://rhld.insurance.arkansas.gov/NPILookup?Npi=1588309884","1588309884")</f>
        <v>1588309884</v>
      </c>
      <c r="E3168" s="1" t="s">
        <v>16175</v>
      </c>
      <c r="F3168" s="2"/>
      <c r="G3168" s="2"/>
      <c r="H3168" s="2"/>
    </row>
    <row r="3169" spans="1:8" x14ac:dyDescent="0.25">
      <c r="A3169" s="1"/>
      <c r="B3169" s="1" t="s">
        <v>3876</v>
      </c>
      <c r="C3169" s="1" t="s">
        <v>3877</v>
      </c>
      <c r="D3169" s="22" t="str">
        <f>HYPERLINK("https://rhld.insurance.arkansas.gov/NPILookup?Npi=1588607477","1588607477")</f>
        <v>1588607477</v>
      </c>
      <c r="E3169" s="1" t="s">
        <v>16176</v>
      </c>
      <c r="F3169" s="2"/>
      <c r="G3169" s="2"/>
      <c r="H3169" s="2"/>
    </row>
    <row r="3170" spans="1:8" x14ac:dyDescent="0.25">
      <c r="A3170" s="1"/>
      <c r="B3170" s="1" t="s">
        <v>3876</v>
      </c>
      <c r="C3170" s="1" t="s">
        <v>3877</v>
      </c>
      <c r="D3170" s="22" t="str">
        <f>HYPERLINK("https://rhld.insurance.arkansas.gov/NPILookup?Npi=1588625115","1588625115")</f>
        <v>1588625115</v>
      </c>
      <c r="E3170" s="1" t="s">
        <v>16177</v>
      </c>
      <c r="F3170" s="2"/>
      <c r="G3170" s="2"/>
      <c r="H3170" s="2"/>
    </row>
    <row r="3171" spans="1:8" x14ac:dyDescent="0.25">
      <c r="A3171" s="1"/>
      <c r="B3171" s="1" t="s">
        <v>3876</v>
      </c>
      <c r="C3171" s="1" t="s">
        <v>3877</v>
      </c>
      <c r="D3171" s="22" t="str">
        <f>HYPERLINK("https://rhld.insurance.arkansas.gov/NPILookup?Npi=1588714620","1588714620")</f>
        <v>1588714620</v>
      </c>
      <c r="E3171" s="1" t="s">
        <v>16178</v>
      </c>
      <c r="F3171" s="2"/>
      <c r="G3171" s="2"/>
      <c r="H3171" s="2"/>
    </row>
    <row r="3172" spans="1:8" x14ac:dyDescent="0.25">
      <c r="A3172" s="1"/>
      <c r="B3172" s="1" t="s">
        <v>3876</v>
      </c>
      <c r="C3172" s="1" t="s">
        <v>3877</v>
      </c>
      <c r="D3172" s="22" t="str">
        <f>HYPERLINK("https://rhld.insurance.arkansas.gov/NPILookup?Npi=1588733471","1588733471")</f>
        <v>1588733471</v>
      </c>
      <c r="E3172" s="1" t="s">
        <v>16179</v>
      </c>
      <c r="F3172" s="2"/>
      <c r="G3172" s="2"/>
      <c r="H3172" s="2"/>
    </row>
    <row r="3173" spans="1:8" x14ac:dyDescent="0.25">
      <c r="A3173" s="1"/>
      <c r="B3173" s="1" t="s">
        <v>3876</v>
      </c>
      <c r="C3173" s="1" t="s">
        <v>3877</v>
      </c>
      <c r="D3173" s="22" t="str">
        <f>HYPERLINK("https://rhld.insurance.arkansas.gov/NPILookup?Npi=1588894828","1588894828")</f>
        <v>1588894828</v>
      </c>
      <c r="E3173" s="1" t="s">
        <v>16180</v>
      </c>
      <c r="F3173" s="2"/>
      <c r="G3173" s="2"/>
      <c r="H3173" s="2"/>
    </row>
    <row r="3174" spans="1:8" x14ac:dyDescent="0.25">
      <c r="A3174" s="1"/>
      <c r="B3174" s="1" t="s">
        <v>3876</v>
      </c>
      <c r="C3174" s="1" t="s">
        <v>3877</v>
      </c>
      <c r="D3174" s="22" t="str">
        <f>HYPERLINK("https://rhld.insurance.arkansas.gov/NPILookup?Npi=1588934244","1588934244")</f>
        <v>1588934244</v>
      </c>
      <c r="E3174" s="1" t="s">
        <v>9952</v>
      </c>
      <c r="F3174" s="2"/>
      <c r="G3174" s="2"/>
      <c r="H3174" s="2"/>
    </row>
    <row r="3175" spans="1:8" x14ac:dyDescent="0.25">
      <c r="A3175" s="1"/>
      <c r="B3175" s="1" t="s">
        <v>3876</v>
      </c>
      <c r="C3175" s="1" t="s">
        <v>3877</v>
      </c>
      <c r="D3175" s="22" t="str">
        <f>HYPERLINK("https://rhld.insurance.arkansas.gov/NPILookup?Npi=1598107989","1598107989")</f>
        <v>1598107989</v>
      </c>
      <c r="E3175" s="1" t="s">
        <v>16181</v>
      </c>
      <c r="F3175" s="2"/>
      <c r="G3175" s="2"/>
      <c r="H3175" s="2"/>
    </row>
    <row r="3176" spans="1:8" x14ac:dyDescent="0.25">
      <c r="A3176" s="1"/>
      <c r="B3176" s="1" t="s">
        <v>3876</v>
      </c>
      <c r="C3176" s="1" t="s">
        <v>3877</v>
      </c>
      <c r="D3176" s="22" t="str">
        <f>HYPERLINK("https://rhld.insurance.arkansas.gov/NPILookup?Npi=1598129959","1598129959")</f>
        <v>1598129959</v>
      </c>
      <c r="E3176" s="1" t="s">
        <v>3970</v>
      </c>
      <c r="F3176" s="2"/>
      <c r="G3176" s="2"/>
      <c r="H3176" s="2"/>
    </row>
    <row r="3177" spans="1:8" x14ac:dyDescent="0.25">
      <c r="A3177" s="1"/>
      <c r="B3177" s="1" t="s">
        <v>3876</v>
      </c>
      <c r="C3177" s="1" t="s">
        <v>3877</v>
      </c>
      <c r="D3177" s="22" t="str">
        <f>HYPERLINK("https://rhld.insurance.arkansas.gov/NPILookup?Npi=1598156523","1598156523")</f>
        <v>1598156523</v>
      </c>
      <c r="E3177" s="1" t="s">
        <v>3971</v>
      </c>
      <c r="F3177" s="2"/>
      <c r="G3177" s="2"/>
      <c r="H3177" s="2"/>
    </row>
    <row r="3178" spans="1:8" x14ac:dyDescent="0.25">
      <c r="A3178" s="1"/>
      <c r="B3178" s="1" t="s">
        <v>3876</v>
      </c>
      <c r="C3178" s="1" t="s">
        <v>3877</v>
      </c>
      <c r="D3178" s="22" t="str">
        <f>HYPERLINK("https://rhld.insurance.arkansas.gov/NPILookup?Npi=1598190027","1598190027")</f>
        <v>1598190027</v>
      </c>
      <c r="E3178" s="1" t="s">
        <v>3972</v>
      </c>
      <c r="F3178" s="2"/>
      <c r="G3178" s="2"/>
      <c r="H3178" s="2"/>
    </row>
    <row r="3179" spans="1:8" x14ac:dyDescent="0.25">
      <c r="A3179" s="1"/>
      <c r="B3179" s="1" t="s">
        <v>3876</v>
      </c>
      <c r="C3179" s="1" t="s">
        <v>3877</v>
      </c>
      <c r="D3179" s="22" t="str">
        <f>HYPERLINK("https://rhld.insurance.arkansas.gov/NPILookup?Npi=1598310112","1598310112")</f>
        <v>1598310112</v>
      </c>
      <c r="E3179" s="1" t="s">
        <v>16182</v>
      </c>
      <c r="F3179" s="2"/>
      <c r="G3179" s="2"/>
      <c r="H3179" s="2"/>
    </row>
    <row r="3180" spans="1:8" x14ac:dyDescent="0.25">
      <c r="A3180" s="1"/>
      <c r="B3180" s="1" t="s">
        <v>3876</v>
      </c>
      <c r="C3180" s="1" t="s">
        <v>3877</v>
      </c>
      <c r="D3180" s="22" t="str">
        <f>HYPERLINK("https://rhld.insurance.arkansas.gov/NPILookup?Npi=1598706178","1598706178")</f>
        <v>1598706178</v>
      </c>
      <c r="E3180" s="1" t="s">
        <v>16183</v>
      </c>
      <c r="F3180" s="2"/>
      <c r="G3180" s="2"/>
      <c r="H3180" s="2"/>
    </row>
    <row r="3181" spans="1:8" x14ac:dyDescent="0.25">
      <c r="A3181" s="1"/>
      <c r="B3181" s="1" t="s">
        <v>3876</v>
      </c>
      <c r="C3181" s="1" t="s">
        <v>3877</v>
      </c>
      <c r="D3181" s="22" t="str">
        <f>HYPERLINK("https://rhld.insurance.arkansas.gov/NPILookup?Npi=1598801003","1598801003")</f>
        <v>1598801003</v>
      </c>
      <c r="E3181" s="1" t="s">
        <v>3973</v>
      </c>
      <c r="F3181" s="2"/>
      <c r="G3181" s="2"/>
      <c r="H3181" s="2"/>
    </row>
    <row r="3182" spans="1:8" x14ac:dyDescent="0.25">
      <c r="A3182" s="1"/>
      <c r="B3182" s="1" t="s">
        <v>3876</v>
      </c>
      <c r="C3182" s="1" t="s">
        <v>3877</v>
      </c>
      <c r="D3182" s="22" t="str">
        <f>HYPERLINK("https://rhld.insurance.arkansas.gov/NPILookup?Npi=1598828709","1598828709")</f>
        <v>1598828709</v>
      </c>
      <c r="E3182" s="1" t="s">
        <v>3974</v>
      </c>
      <c r="F3182" s="2"/>
      <c r="G3182" s="2"/>
      <c r="H3182" s="2"/>
    </row>
    <row r="3183" spans="1:8" x14ac:dyDescent="0.25">
      <c r="A3183" s="1"/>
      <c r="B3183" s="1" t="s">
        <v>3876</v>
      </c>
      <c r="C3183" s="1" t="s">
        <v>3877</v>
      </c>
      <c r="D3183" s="22" t="str">
        <f>HYPERLINK("https://rhld.insurance.arkansas.gov/NPILookup?Npi=1598898314","1598898314")</f>
        <v>1598898314</v>
      </c>
      <c r="E3183" s="1" t="s">
        <v>16184</v>
      </c>
      <c r="F3183" s="2"/>
      <c r="G3183" s="2"/>
      <c r="H3183" s="2"/>
    </row>
    <row r="3184" spans="1:8" x14ac:dyDescent="0.25">
      <c r="A3184" s="1"/>
      <c r="B3184" s="1" t="s">
        <v>3876</v>
      </c>
      <c r="C3184" s="1" t="s">
        <v>3877</v>
      </c>
      <c r="D3184" s="22" t="str">
        <f>HYPERLINK("https://rhld.insurance.arkansas.gov/NPILookup?Npi=1609332691","1609332691")</f>
        <v>1609332691</v>
      </c>
      <c r="E3184" s="1" t="s">
        <v>16185</v>
      </c>
      <c r="F3184" s="2"/>
      <c r="G3184" s="2"/>
      <c r="H3184" s="2"/>
    </row>
    <row r="3185" spans="1:8" x14ac:dyDescent="0.25">
      <c r="A3185" s="1"/>
      <c r="B3185" s="1" t="s">
        <v>3876</v>
      </c>
      <c r="C3185" s="1" t="s">
        <v>3877</v>
      </c>
      <c r="D3185" s="22" t="str">
        <f>HYPERLINK("https://rhld.insurance.arkansas.gov/NPILookup?Npi=1609539402","1609539402")</f>
        <v>1609539402</v>
      </c>
      <c r="E3185" s="1" t="s">
        <v>16186</v>
      </c>
      <c r="F3185" s="2"/>
      <c r="G3185" s="2"/>
      <c r="H3185" s="2"/>
    </row>
    <row r="3186" spans="1:8" x14ac:dyDescent="0.25">
      <c r="A3186" s="1"/>
      <c r="B3186" s="1" t="s">
        <v>3876</v>
      </c>
      <c r="C3186" s="1" t="s">
        <v>3877</v>
      </c>
      <c r="D3186" s="22" t="str">
        <f>HYPERLINK("https://rhld.insurance.arkansas.gov/NPILookup?Npi=1609811652","1609811652")</f>
        <v>1609811652</v>
      </c>
      <c r="E3186" s="1" t="s">
        <v>16187</v>
      </c>
      <c r="F3186" s="2"/>
      <c r="G3186" s="2"/>
      <c r="H3186" s="2"/>
    </row>
    <row r="3187" spans="1:8" x14ac:dyDescent="0.25">
      <c r="A3187" s="1"/>
      <c r="B3187" s="1" t="s">
        <v>3876</v>
      </c>
      <c r="C3187" s="1" t="s">
        <v>3877</v>
      </c>
      <c r="D3187" s="22" t="str">
        <f>HYPERLINK("https://rhld.insurance.arkansas.gov/NPILookup?Npi=1609927839","1609927839")</f>
        <v>1609927839</v>
      </c>
      <c r="E3187" s="1" t="s">
        <v>16188</v>
      </c>
      <c r="F3187" s="2"/>
      <c r="G3187" s="2"/>
      <c r="H3187" s="2"/>
    </row>
    <row r="3188" spans="1:8" x14ac:dyDescent="0.25">
      <c r="A3188" s="1"/>
      <c r="B3188" s="1" t="s">
        <v>3876</v>
      </c>
      <c r="C3188" s="1" t="s">
        <v>3877</v>
      </c>
      <c r="D3188" s="22" t="str">
        <f>HYPERLINK("https://rhld.insurance.arkansas.gov/NPILookup?Npi=1609940436","1609940436")</f>
        <v>1609940436</v>
      </c>
      <c r="E3188" s="1" t="s">
        <v>16189</v>
      </c>
      <c r="F3188" s="2"/>
      <c r="G3188" s="2"/>
      <c r="H3188" s="2"/>
    </row>
    <row r="3189" spans="1:8" x14ac:dyDescent="0.25">
      <c r="A3189" s="1"/>
      <c r="B3189" s="1" t="s">
        <v>3876</v>
      </c>
      <c r="C3189" s="1" t="s">
        <v>3877</v>
      </c>
      <c r="D3189" s="22" t="str">
        <f>HYPERLINK("https://rhld.insurance.arkansas.gov/NPILookup?Npi=1619281185","1619281185")</f>
        <v>1619281185</v>
      </c>
      <c r="E3189" s="1" t="s">
        <v>16190</v>
      </c>
      <c r="F3189" s="2"/>
      <c r="G3189" s="2"/>
      <c r="H3189" s="2"/>
    </row>
    <row r="3190" spans="1:8" x14ac:dyDescent="0.25">
      <c r="A3190" s="1"/>
      <c r="B3190" s="1" t="s">
        <v>3876</v>
      </c>
      <c r="C3190" s="1" t="s">
        <v>3877</v>
      </c>
      <c r="D3190" s="22" t="str">
        <f>HYPERLINK("https://rhld.insurance.arkansas.gov/NPILookup?Npi=1619938487","1619938487")</f>
        <v>1619938487</v>
      </c>
      <c r="E3190" s="1" t="s">
        <v>16191</v>
      </c>
      <c r="F3190" s="2"/>
      <c r="G3190" s="2"/>
      <c r="H3190" s="2"/>
    </row>
    <row r="3191" spans="1:8" x14ac:dyDescent="0.25">
      <c r="A3191" s="1"/>
      <c r="B3191" s="1" t="s">
        <v>3876</v>
      </c>
      <c r="C3191" s="1" t="s">
        <v>3877</v>
      </c>
      <c r="D3191" s="22" t="str">
        <f>HYPERLINK("https://rhld.insurance.arkansas.gov/NPILookup?Npi=1619949625","1619949625")</f>
        <v>1619949625</v>
      </c>
      <c r="E3191" s="1" t="s">
        <v>16192</v>
      </c>
      <c r="F3191" s="2"/>
      <c r="G3191" s="2"/>
      <c r="H3191" s="2"/>
    </row>
    <row r="3192" spans="1:8" x14ac:dyDescent="0.25">
      <c r="A3192" s="1"/>
      <c r="B3192" s="1" t="s">
        <v>3876</v>
      </c>
      <c r="C3192" s="1" t="s">
        <v>3877</v>
      </c>
      <c r="D3192" s="22" t="str">
        <f>HYPERLINK("https://rhld.insurance.arkansas.gov/NPILookup?Npi=1629068580","1629068580")</f>
        <v>1629068580</v>
      </c>
      <c r="E3192" s="1" t="s">
        <v>9953</v>
      </c>
      <c r="F3192" s="2"/>
      <c r="G3192" s="2"/>
      <c r="H3192" s="2"/>
    </row>
    <row r="3193" spans="1:8" x14ac:dyDescent="0.25">
      <c r="A3193" s="1"/>
      <c r="B3193" s="1" t="s">
        <v>3876</v>
      </c>
      <c r="C3193" s="1" t="s">
        <v>3877</v>
      </c>
      <c r="D3193" s="22" t="str">
        <f>HYPERLINK("https://rhld.insurance.arkansas.gov/NPILookup?Npi=1629085931","1629085931")</f>
        <v>1629085931</v>
      </c>
      <c r="E3193" s="1" t="s">
        <v>16193</v>
      </c>
      <c r="F3193" s="2"/>
      <c r="G3193" s="2"/>
      <c r="H3193" s="2"/>
    </row>
    <row r="3194" spans="1:8" x14ac:dyDescent="0.25">
      <c r="A3194" s="1"/>
      <c r="B3194" s="1" t="s">
        <v>3876</v>
      </c>
      <c r="C3194" s="1" t="s">
        <v>3877</v>
      </c>
      <c r="D3194" s="22" t="str">
        <f>HYPERLINK("https://rhld.insurance.arkansas.gov/NPILookup?Npi=1629295902","1629295902")</f>
        <v>1629295902</v>
      </c>
      <c r="E3194" s="1" t="s">
        <v>3975</v>
      </c>
      <c r="F3194" s="2"/>
      <c r="G3194" s="2"/>
      <c r="H3194" s="2"/>
    </row>
    <row r="3195" spans="1:8" x14ac:dyDescent="0.25">
      <c r="A3195" s="1"/>
      <c r="B3195" s="1" t="s">
        <v>3876</v>
      </c>
      <c r="C3195" s="1" t="s">
        <v>3877</v>
      </c>
      <c r="D3195" s="22" t="str">
        <f>HYPERLINK("https://rhld.insurance.arkansas.gov/NPILookup?Npi=1629296975","1629296975")</f>
        <v>1629296975</v>
      </c>
      <c r="E3195" s="1" t="s">
        <v>3976</v>
      </c>
      <c r="F3195" s="2"/>
      <c r="G3195" s="2"/>
      <c r="H3195" s="2"/>
    </row>
    <row r="3196" spans="1:8" x14ac:dyDescent="0.25">
      <c r="A3196" s="1"/>
      <c r="B3196" s="1" t="s">
        <v>3876</v>
      </c>
      <c r="C3196" s="1" t="s">
        <v>3877</v>
      </c>
      <c r="D3196" s="22" t="str">
        <f>HYPERLINK("https://rhld.insurance.arkansas.gov/NPILookup?Npi=1629528112","1629528112")</f>
        <v>1629528112</v>
      </c>
      <c r="E3196" s="1" t="s">
        <v>3977</v>
      </c>
      <c r="F3196" s="2"/>
      <c r="G3196" s="2"/>
      <c r="H3196" s="2"/>
    </row>
    <row r="3197" spans="1:8" x14ac:dyDescent="0.25">
      <c r="A3197" s="1"/>
      <c r="B3197" s="1" t="s">
        <v>3876</v>
      </c>
      <c r="C3197" s="1" t="s">
        <v>3877</v>
      </c>
      <c r="D3197" s="22" t="str">
        <f>HYPERLINK("https://rhld.insurance.arkansas.gov/NPILookup?Npi=1629720768","1629720768")</f>
        <v>1629720768</v>
      </c>
      <c r="E3197" s="1" t="s">
        <v>9954</v>
      </c>
      <c r="F3197" s="2"/>
      <c r="G3197" s="2"/>
      <c r="H3197" s="2"/>
    </row>
    <row r="3198" spans="1:8" x14ac:dyDescent="0.25">
      <c r="A3198" s="1"/>
      <c r="B3198" s="1" t="s">
        <v>3876</v>
      </c>
      <c r="C3198" s="1" t="s">
        <v>3877</v>
      </c>
      <c r="D3198" s="22" t="str">
        <f>HYPERLINK("https://rhld.insurance.arkansas.gov/NPILookup?Npi=1639457708","1639457708")</f>
        <v>1639457708</v>
      </c>
      <c r="E3198" s="1" t="s">
        <v>16194</v>
      </c>
      <c r="F3198" s="2"/>
      <c r="G3198" s="2"/>
      <c r="H3198" s="2"/>
    </row>
    <row r="3199" spans="1:8" x14ac:dyDescent="0.25">
      <c r="A3199" s="1"/>
      <c r="B3199" s="1" t="s">
        <v>3876</v>
      </c>
      <c r="C3199" s="1" t="s">
        <v>3877</v>
      </c>
      <c r="D3199" s="22" t="str">
        <f>HYPERLINK("https://rhld.insurance.arkansas.gov/NPILookup?Npi=1639506355","1639506355")</f>
        <v>1639506355</v>
      </c>
      <c r="E3199" s="1" t="s">
        <v>16195</v>
      </c>
      <c r="F3199" s="2"/>
      <c r="G3199" s="2"/>
      <c r="H3199" s="2"/>
    </row>
    <row r="3200" spans="1:8" x14ac:dyDescent="0.25">
      <c r="A3200" s="1"/>
      <c r="B3200" s="1" t="s">
        <v>3876</v>
      </c>
      <c r="C3200" s="1" t="s">
        <v>3877</v>
      </c>
      <c r="D3200" s="22" t="str">
        <f>HYPERLINK("https://rhld.insurance.arkansas.gov/NPILookup?Npi=1639517089","1639517089")</f>
        <v>1639517089</v>
      </c>
      <c r="E3200" s="1" t="s">
        <v>16196</v>
      </c>
      <c r="F3200" s="2"/>
      <c r="G3200" s="2"/>
      <c r="H3200" s="2"/>
    </row>
    <row r="3201" spans="1:8" x14ac:dyDescent="0.25">
      <c r="A3201" s="1"/>
      <c r="B3201" s="1" t="s">
        <v>3876</v>
      </c>
      <c r="C3201" s="1" t="s">
        <v>3877</v>
      </c>
      <c r="D3201" s="22" t="str">
        <f>HYPERLINK("https://rhld.insurance.arkansas.gov/NPILookup?Npi=1639649411","1639649411")</f>
        <v>1639649411</v>
      </c>
      <c r="E3201" s="1" t="s">
        <v>3978</v>
      </c>
      <c r="F3201" s="2"/>
      <c r="G3201" s="2"/>
      <c r="H3201" s="2"/>
    </row>
    <row r="3202" spans="1:8" x14ac:dyDescent="0.25">
      <c r="A3202" s="1"/>
      <c r="B3202" s="1" t="s">
        <v>3876</v>
      </c>
      <c r="C3202" s="1" t="s">
        <v>3877</v>
      </c>
      <c r="D3202" s="22" t="str">
        <f>HYPERLINK("https://rhld.insurance.arkansas.gov/NPILookup?Npi=1639815509","1639815509")</f>
        <v>1639815509</v>
      </c>
      <c r="E3202" s="1" t="s">
        <v>16197</v>
      </c>
      <c r="F3202" s="2"/>
      <c r="G3202" s="2"/>
      <c r="H3202" s="2"/>
    </row>
    <row r="3203" spans="1:8" x14ac:dyDescent="0.25">
      <c r="A3203" s="1"/>
      <c r="B3203" s="1" t="s">
        <v>3876</v>
      </c>
      <c r="C3203" s="1" t="s">
        <v>3877</v>
      </c>
      <c r="D3203" s="22" t="str">
        <f>HYPERLINK("https://rhld.insurance.arkansas.gov/NPILookup?Npi=1649002213","1649002213")</f>
        <v>1649002213</v>
      </c>
      <c r="E3203" s="1" t="s">
        <v>31344</v>
      </c>
      <c r="F3203" s="2"/>
      <c r="G3203" s="2"/>
      <c r="H3203" s="2"/>
    </row>
    <row r="3204" spans="1:8" x14ac:dyDescent="0.25">
      <c r="A3204" s="1"/>
      <c r="B3204" s="1" t="s">
        <v>3876</v>
      </c>
      <c r="C3204" s="1" t="s">
        <v>3877</v>
      </c>
      <c r="D3204" s="22" t="str">
        <f>HYPERLINK("https://rhld.insurance.arkansas.gov/NPILookup?Npi=1649059247","1649059247")</f>
        <v>1649059247</v>
      </c>
      <c r="E3204" s="1" t="s">
        <v>16198</v>
      </c>
      <c r="F3204" s="2"/>
      <c r="G3204" s="2"/>
      <c r="H3204" s="2"/>
    </row>
    <row r="3205" spans="1:8" x14ac:dyDescent="0.25">
      <c r="A3205" s="1"/>
      <c r="B3205" s="1" t="s">
        <v>3876</v>
      </c>
      <c r="C3205" s="1" t="s">
        <v>3877</v>
      </c>
      <c r="D3205" s="22" t="str">
        <f>HYPERLINK("https://rhld.insurance.arkansas.gov/NPILookup?Npi=1649274358","1649274358")</f>
        <v>1649274358</v>
      </c>
      <c r="E3205" s="1" t="s">
        <v>16199</v>
      </c>
      <c r="F3205" s="2"/>
      <c r="G3205" s="2"/>
      <c r="H3205" s="2"/>
    </row>
    <row r="3206" spans="1:8" x14ac:dyDescent="0.25">
      <c r="A3206" s="1"/>
      <c r="B3206" s="1" t="s">
        <v>3876</v>
      </c>
      <c r="C3206" s="1" t="s">
        <v>3877</v>
      </c>
      <c r="D3206" s="22" t="str">
        <f>HYPERLINK("https://rhld.insurance.arkansas.gov/NPILookup?Npi=1649367277","1649367277")</f>
        <v>1649367277</v>
      </c>
      <c r="E3206" s="1" t="s">
        <v>3980</v>
      </c>
      <c r="F3206" s="2"/>
      <c r="G3206" s="2"/>
      <c r="H3206" s="2"/>
    </row>
    <row r="3207" spans="1:8" x14ac:dyDescent="0.25">
      <c r="A3207" s="1"/>
      <c r="B3207" s="1" t="s">
        <v>3876</v>
      </c>
      <c r="C3207" s="1" t="s">
        <v>3877</v>
      </c>
      <c r="D3207" s="22" t="str">
        <f>HYPERLINK("https://rhld.insurance.arkansas.gov/NPILookup?Npi=1649471988","1649471988")</f>
        <v>1649471988</v>
      </c>
      <c r="E3207" s="1" t="s">
        <v>9955</v>
      </c>
      <c r="F3207" s="2"/>
      <c r="G3207" s="2"/>
      <c r="H3207" s="2"/>
    </row>
    <row r="3208" spans="1:8" x14ac:dyDescent="0.25">
      <c r="A3208" s="1"/>
      <c r="B3208" s="1" t="s">
        <v>3876</v>
      </c>
      <c r="C3208" s="1" t="s">
        <v>3877</v>
      </c>
      <c r="D3208" s="22" t="str">
        <f>HYPERLINK("https://rhld.insurance.arkansas.gov/NPILookup?Npi=1649497439","1649497439")</f>
        <v>1649497439</v>
      </c>
      <c r="E3208" s="1" t="s">
        <v>3981</v>
      </c>
      <c r="F3208" s="2"/>
      <c r="G3208" s="2"/>
      <c r="H3208" s="2"/>
    </row>
    <row r="3209" spans="1:8" x14ac:dyDescent="0.25">
      <c r="A3209" s="1"/>
      <c r="B3209" s="1" t="s">
        <v>3876</v>
      </c>
      <c r="C3209" s="1" t="s">
        <v>3877</v>
      </c>
      <c r="D3209" s="22" t="str">
        <f>HYPERLINK("https://rhld.insurance.arkansas.gov/NPILookup?Npi=1649922683","1649922683")</f>
        <v>1649922683</v>
      </c>
      <c r="E3209" s="1" t="s">
        <v>16200</v>
      </c>
      <c r="F3209" s="2"/>
      <c r="G3209" s="2"/>
      <c r="H3209" s="2"/>
    </row>
    <row r="3210" spans="1:8" x14ac:dyDescent="0.25">
      <c r="A3210" s="1"/>
      <c r="B3210" s="1" t="s">
        <v>3876</v>
      </c>
      <c r="C3210" s="1" t="s">
        <v>3877</v>
      </c>
      <c r="D3210" s="22" t="str">
        <f>HYPERLINK("https://rhld.insurance.arkansas.gov/NPILookup?Npi=1649978149","1649978149")</f>
        <v>1649978149</v>
      </c>
      <c r="E3210" s="1" t="s">
        <v>3982</v>
      </c>
      <c r="F3210" s="2"/>
      <c r="G3210" s="2"/>
      <c r="H3210" s="2"/>
    </row>
    <row r="3211" spans="1:8" x14ac:dyDescent="0.25">
      <c r="A3211" s="1"/>
      <c r="B3211" s="1" t="s">
        <v>3876</v>
      </c>
      <c r="C3211" s="1" t="s">
        <v>3877</v>
      </c>
      <c r="D3211" s="22" t="str">
        <f>HYPERLINK("https://rhld.insurance.arkansas.gov/NPILookup?Npi=1659502482","1659502482")</f>
        <v>1659502482</v>
      </c>
      <c r="E3211" s="1" t="s">
        <v>16201</v>
      </c>
      <c r="F3211" s="2"/>
      <c r="G3211" s="2"/>
      <c r="H3211" s="2"/>
    </row>
    <row r="3212" spans="1:8" x14ac:dyDescent="0.25">
      <c r="A3212" s="1"/>
      <c r="B3212" s="1" t="s">
        <v>3876</v>
      </c>
      <c r="C3212" s="1" t="s">
        <v>3877</v>
      </c>
      <c r="D3212" s="22" t="str">
        <f>HYPERLINK("https://rhld.insurance.arkansas.gov/NPILookup?Npi=1659559821","1659559821")</f>
        <v>1659559821</v>
      </c>
      <c r="E3212" s="1" t="s">
        <v>16202</v>
      </c>
      <c r="F3212" s="2"/>
      <c r="G3212" s="2"/>
      <c r="H3212" s="2"/>
    </row>
    <row r="3213" spans="1:8" x14ac:dyDescent="0.25">
      <c r="A3213" s="1"/>
      <c r="B3213" s="1" t="s">
        <v>3876</v>
      </c>
      <c r="C3213" s="1" t="s">
        <v>3877</v>
      </c>
      <c r="D3213" s="22" t="str">
        <f>HYPERLINK("https://rhld.insurance.arkansas.gov/NPILookup?Npi=1659562106","1659562106")</f>
        <v>1659562106</v>
      </c>
      <c r="E3213" s="1" t="s">
        <v>3983</v>
      </c>
      <c r="F3213" s="2"/>
      <c r="G3213" s="2"/>
      <c r="H3213" s="2"/>
    </row>
    <row r="3214" spans="1:8" x14ac:dyDescent="0.25">
      <c r="A3214" s="1"/>
      <c r="B3214" s="1" t="s">
        <v>3876</v>
      </c>
      <c r="C3214" s="1" t="s">
        <v>3877</v>
      </c>
      <c r="D3214" s="22" t="str">
        <f>HYPERLINK("https://rhld.insurance.arkansas.gov/NPILookup?Npi=1659708568","1659708568")</f>
        <v>1659708568</v>
      </c>
      <c r="E3214" s="1" t="s">
        <v>9956</v>
      </c>
      <c r="F3214" s="2"/>
      <c r="G3214" s="2"/>
      <c r="H3214" s="2"/>
    </row>
    <row r="3215" spans="1:8" x14ac:dyDescent="0.25">
      <c r="A3215" s="1"/>
      <c r="B3215" s="1" t="s">
        <v>3876</v>
      </c>
      <c r="C3215" s="1" t="s">
        <v>3877</v>
      </c>
      <c r="D3215" s="22" t="str">
        <f>HYPERLINK("https://rhld.insurance.arkansas.gov/NPILookup?Npi=1659895605","1659895605")</f>
        <v>1659895605</v>
      </c>
      <c r="E3215" s="1" t="s">
        <v>16203</v>
      </c>
      <c r="F3215" s="2"/>
      <c r="G3215" s="2"/>
      <c r="H3215" s="2"/>
    </row>
    <row r="3216" spans="1:8" x14ac:dyDescent="0.25">
      <c r="A3216" s="1"/>
      <c r="B3216" s="1" t="s">
        <v>3876</v>
      </c>
      <c r="C3216" s="1" t="s">
        <v>3877</v>
      </c>
      <c r="D3216" s="22" t="str">
        <f>HYPERLINK("https://rhld.insurance.arkansas.gov/NPILookup?Npi=1659941201","1659941201")</f>
        <v>1659941201</v>
      </c>
      <c r="E3216" s="1" t="s">
        <v>3984</v>
      </c>
      <c r="F3216" s="2"/>
      <c r="G3216" s="2"/>
      <c r="H3216" s="2"/>
    </row>
    <row r="3217" spans="1:8" x14ac:dyDescent="0.25">
      <c r="A3217" s="1"/>
      <c r="B3217" s="1" t="s">
        <v>3876</v>
      </c>
      <c r="C3217" s="1" t="s">
        <v>3877</v>
      </c>
      <c r="D3217" s="22" t="str">
        <f>HYPERLINK("https://rhld.insurance.arkansas.gov/NPILookup?Npi=1669120101","1669120101")</f>
        <v>1669120101</v>
      </c>
      <c r="E3217" s="1" t="s">
        <v>3985</v>
      </c>
      <c r="F3217" s="2"/>
      <c r="G3217" s="2"/>
      <c r="H3217" s="2"/>
    </row>
    <row r="3218" spans="1:8" x14ac:dyDescent="0.25">
      <c r="A3218" s="1"/>
      <c r="B3218" s="1" t="s">
        <v>3876</v>
      </c>
      <c r="C3218" s="1" t="s">
        <v>3877</v>
      </c>
      <c r="D3218" s="22" t="str">
        <f>HYPERLINK("https://rhld.insurance.arkansas.gov/NPILookup?Npi=1669283354","1669283354")</f>
        <v>1669283354</v>
      </c>
      <c r="E3218" s="1" t="s">
        <v>31345</v>
      </c>
      <c r="F3218" s="2"/>
      <c r="G3218" s="2"/>
      <c r="H3218" s="2"/>
    </row>
    <row r="3219" spans="1:8" x14ac:dyDescent="0.25">
      <c r="A3219" s="1"/>
      <c r="B3219" s="1" t="s">
        <v>3876</v>
      </c>
      <c r="C3219" s="1" t="s">
        <v>3877</v>
      </c>
      <c r="D3219" s="22" t="str">
        <f>HYPERLINK("https://rhld.insurance.arkansas.gov/NPILookup?Npi=1669464947","1669464947")</f>
        <v>1669464947</v>
      </c>
      <c r="E3219" s="1" t="s">
        <v>16204</v>
      </c>
      <c r="F3219" s="2"/>
      <c r="G3219" s="2"/>
      <c r="H3219" s="2"/>
    </row>
    <row r="3220" spans="1:8" x14ac:dyDescent="0.25">
      <c r="A3220" s="1"/>
      <c r="B3220" s="1" t="s">
        <v>3876</v>
      </c>
      <c r="C3220" s="1" t="s">
        <v>3877</v>
      </c>
      <c r="D3220" s="22" t="str">
        <f>HYPERLINK("https://rhld.insurance.arkansas.gov/NPILookup?Npi=1669601936","1669601936")</f>
        <v>1669601936</v>
      </c>
      <c r="E3220" s="1" t="s">
        <v>16205</v>
      </c>
      <c r="F3220" s="2"/>
      <c r="G3220" s="2"/>
      <c r="H3220" s="2"/>
    </row>
    <row r="3221" spans="1:8" x14ac:dyDescent="0.25">
      <c r="A3221" s="1"/>
      <c r="B3221" s="1" t="s">
        <v>3876</v>
      </c>
      <c r="C3221" s="1" t="s">
        <v>3877</v>
      </c>
      <c r="D3221" s="22" t="str">
        <f>HYPERLINK("https://rhld.insurance.arkansas.gov/NPILookup?Npi=1669679585","1669679585")</f>
        <v>1669679585</v>
      </c>
      <c r="E3221" s="1" t="s">
        <v>16206</v>
      </c>
      <c r="F3221" s="2"/>
      <c r="G3221" s="2"/>
      <c r="H3221" s="2"/>
    </row>
    <row r="3222" spans="1:8" x14ac:dyDescent="0.25">
      <c r="A3222" s="1"/>
      <c r="B3222" s="1" t="s">
        <v>3876</v>
      </c>
      <c r="C3222" s="1" t="s">
        <v>3877</v>
      </c>
      <c r="D3222" s="22" t="str">
        <f>HYPERLINK("https://rhld.insurance.arkansas.gov/NPILookup?Npi=1669799904","1669799904")</f>
        <v>1669799904</v>
      </c>
      <c r="E3222" s="1" t="s">
        <v>3987</v>
      </c>
      <c r="F3222" s="2"/>
      <c r="G3222" s="2"/>
      <c r="H3222" s="2"/>
    </row>
    <row r="3223" spans="1:8" x14ac:dyDescent="0.25">
      <c r="A3223" s="1"/>
      <c r="B3223" s="1" t="s">
        <v>3876</v>
      </c>
      <c r="C3223" s="1" t="s">
        <v>3877</v>
      </c>
      <c r="D3223" s="22" t="str">
        <f>HYPERLINK("https://rhld.insurance.arkansas.gov/NPILookup?Npi=1679200109","1679200109")</f>
        <v>1679200109</v>
      </c>
      <c r="E3223" s="1" t="s">
        <v>16207</v>
      </c>
      <c r="F3223" s="2"/>
      <c r="G3223" s="2"/>
      <c r="H3223" s="2"/>
    </row>
    <row r="3224" spans="1:8" x14ac:dyDescent="0.25">
      <c r="A3224" s="1"/>
      <c r="B3224" s="1" t="s">
        <v>3876</v>
      </c>
      <c r="C3224" s="1" t="s">
        <v>3877</v>
      </c>
      <c r="D3224" s="22" t="str">
        <f>HYPERLINK("https://rhld.insurance.arkansas.gov/NPILookup?Npi=1679357081","1679357081")</f>
        <v>1679357081</v>
      </c>
      <c r="E3224" s="1" t="s">
        <v>16208</v>
      </c>
      <c r="F3224" s="2"/>
      <c r="G3224" s="2"/>
      <c r="H3224" s="2"/>
    </row>
    <row r="3225" spans="1:8" x14ac:dyDescent="0.25">
      <c r="A3225" s="1"/>
      <c r="B3225" s="1" t="s">
        <v>3876</v>
      </c>
      <c r="C3225" s="1" t="s">
        <v>3877</v>
      </c>
      <c r="D3225" s="22" t="str">
        <f>HYPERLINK("https://rhld.insurance.arkansas.gov/NPILookup?Npi=1679552814","1679552814")</f>
        <v>1679552814</v>
      </c>
      <c r="E3225" s="1" t="s">
        <v>3988</v>
      </c>
      <c r="F3225" s="2"/>
      <c r="G3225" s="2"/>
      <c r="H3225" s="2"/>
    </row>
    <row r="3226" spans="1:8" x14ac:dyDescent="0.25">
      <c r="A3226" s="1"/>
      <c r="B3226" s="1" t="s">
        <v>3876</v>
      </c>
      <c r="C3226" s="1" t="s">
        <v>3877</v>
      </c>
      <c r="D3226" s="22" t="str">
        <f>HYPERLINK("https://rhld.insurance.arkansas.gov/NPILookup?Npi=1679657522","1679657522")</f>
        <v>1679657522</v>
      </c>
      <c r="E3226" s="1" t="s">
        <v>9957</v>
      </c>
      <c r="F3226" s="2"/>
      <c r="G3226" s="2"/>
      <c r="H3226" s="2"/>
    </row>
    <row r="3227" spans="1:8" x14ac:dyDescent="0.25">
      <c r="A3227" s="1"/>
      <c r="B3227" s="1" t="s">
        <v>3876</v>
      </c>
      <c r="C3227" s="1" t="s">
        <v>3877</v>
      </c>
      <c r="D3227" s="22" t="str">
        <f>HYPERLINK("https://rhld.insurance.arkansas.gov/NPILookup?Npi=1679713564","1679713564")</f>
        <v>1679713564</v>
      </c>
      <c r="E3227" s="1" t="s">
        <v>16209</v>
      </c>
      <c r="F3227" s="2"/>
      <c r="G3227" s="2"/>
      <c r="H3227" s="2"/>
    </row>
    <row r="3228" spans="1:8" x14ac:dyDescent="0.25">
      <c r="A3228" s="1"/>
      <c r="B3228" s="1" t="s">
        <v>3876</v>
      </c>
      <c r="C3228" s="1" t="s">
        <v>3877</v>
      </c>
      <c r="D3228" s="22" t="str">
        <f>HYPERLINK("https://rhld.insurance.arkansas.gov/NPILookup?Npi=1689054728","1689054728")</f>
        <v>1689054728</v>
      </c>
      <c r="E3228" s="1" t="s">
        <v>9958</v>
      </c>
      <c r="F3228" s="2"/>
      <c r="G3228" s="2"/>
      <c r="H3228" s="2"/>
    </row>
    <row r="3229" spans="1:8" x14ac:dyDescent="0.25">
      <c r="A3229" s="1"/>
      <c r="B3229" s="1" t="s">
        <v>3876</v>
      </c>
      <c r="C3229" s="1" t="s">
        <v>3877</v>
      </c>
      <c r="D3229" s="22" t="str">
        <f>HYPERLINK("https://rhld.insurance.arkansas.gov/NPILookup?Npi=1689222069","1689222069")</f>
        <v>1689222069</v>
      </c>
      <c r="E3229" s="1" t="s">
        <v>16210</v>
      </c>
      <c r="F3229" s="2"/>
      <c r="G3229" s="2"/>
      <c r="H3229" s="2"/>
    </row>
    <row r="3230" spans="1:8" x14ac:dyDescent="0.25">
      <c r="A3230" s="1"/>
      <c r="B3230" s="1" t="s">
        <v>3876</v>
      </c>
      <c r="C3230" s="1" t="s">
        <v>3877</v>
      </c>
      <c r="D3230" s="22" t="str">
        <f>HYPERLINK("https://rhld.insurance.arkansas.gov/NPILookup?Npi=1689379208","1689379208")</f>
        <v>1689379208</v>
      </c>
      <c r="E3230" s="1" t="s">
        <v>3989</v>
      </c>
      <c r="F3230" s="2"/>
      <c r="G3230" s="2"/>
      <c r="H3230" s="2"/>
    </row>
    <row r="3231" spans="1:8" x14ac:dyDescent="0.25">
      <c r="A3231" s="1"/>
      <c r="B3231" s="1" t="s">
        <v>3876</v>
      </c>
      <c r="C3231" s="1" t="s">
        <v>3877</v>
      </c>
      <c r="D3231" s="22" t="str">
        <f>HYPERLINK("https://rhld.insurance.arkansas.gov/NPILookup?Npi=1689607723","1689607723")</f>
        <v>1689607723</v>
      </c>
      <c r="E3231" s="1" t="s">
        <v>3990</v>
      </c>
      <c r="F3231" s="2"/>
      <c r="G3231" s="2"/>
      <c r="H3231" s="2"/>
    </row>
    <row r="3232" spans="1:8" x14ac:dyDescent="0.25">
      <c r="A3232" s="1"/>
      <c r="B3232" s="1" t="s">
        <v>3876</v>
      </c>
      <c r="C3232" s="1" t="s">
        <v>3877</v>
      </c>
      <c r="D3232" s="22" t="str">
        <f>HYPERLINK("https://rhld.insurance.arkansas.gov/NPILookup?Npi=1689614497","1689614497")</f>
        <v>1689614497</v>
      </c>
      <c r="E3232" s="1" t="s">
        <v>3991</v>
      </c>
      <c r="F3232" s="2"/>
      <c r="G3232" s="2"/>
      <c r="H3232" s="2"/>
    </row>
    <row r="3233" spans="1:8" x14ac:dyDescent="0.25">
      <c r="A3233" s="1"/>
      <c r="B3233" s="1" t="s">
        <v>3876</v>
      </c>
      <c r="C3233" s="1" t="s">
        <v>3877</v>
      </c>
      <c r="D3233" s="22" t="str">
        <f>HYPERLINK("https://rhld.insurance.arkansas.gov/NPILookup?Npi=1689759938","1689759938")</f>
        <v>1689759938</v>
      </c>
      <c r="E3233" s="1" t="s">
        <v>16211</v>
      </c>
      <c r="F3233" s="2"/>
      <c r="G3233" s="2"/>
      <c r="H3233" s="2"/>
    </row>
    <row r="3234" spans="1:8" x14ac:dyDescent="0.25">
      <c r="A3234" s="1"/>
      <c r="B3234" s="1" t="s">
        <v>3876</v>
      </c>
      <c r="C3234" s="1" t="s">
        <v>3877</v>
      </c>
      <c r="D3234" s="22" t="str">
        <f>HYPERLINK("https://rhld.insurance.arkansas.gov/NPILookup?Npi=1689812844","1689812844")</f>
        <v>1689812844</v>
      </c>
      <c r="E3234" s="1" t="s">
        <v>16212</v>
      </c>
      <c r="F3234" s="2"/>
      <c r="G3234" s="2"/>
      <c r="H3234" s="2"/>
    </row>
    <row r="3235" spans="1:8" x14ac:dyDescent="0.25">
      <c r="A3235" s="1"/>
      <c r="B3235" s="1" t="s">
        <v>3876</v>
      </c>
      <c r="C3235" s="1" t="s">
        <v>3877</v>
      </c>
      <c r="D3235" s="22" t="str">
        <f>HYPERLINK("https://rhld.insurance.arkansas.gov/NPILookup?Npi=1699013680","1699013680")</f>
        <v>1699013680</v>
      </c>
      <c r="E3235" s="1" t="s">
        <v>16213</v>
      </c>
      <c r="F3235" s="2"/>
      <c r="G3235" s="2"/>
      <c r="H3235" s="2"/>
    </row>
    <row r="3236" spans="1:8" x14ac:dyDescent="0.25">
      <c r="A3236" s="1"/>
      <c r="B3236" s="1" t="s">
        <v>3876</v>
      </c>
      <c r="C3236" s="1" t="s">
        <v>3877</v>
      </c>
      <c r="D3236" s="22" t="str">
        <f>HYPERLINK("https://rhld.insurance.arkansas.gov/NPILookup?Npi=1699138123","1699138123")</f>
        <v>1699138123</v>
      </c>
      <c r="E3236" s="1" t="s">
        <v>16214</v>
      </c>
      <c r="F3236" s="2"/>
      <c r="G3236" s="2"/>
      <c r="H3236" s="2"/>
    </row>
    <row r="3237" spans="1:8" x14ac:dyDescent="0.25">
      <c r="A3237" s="1"/>
      <c r="B3237" s="1" t="s">
        <v>3876</v>
      </c>
      <c r="C3237" s="1" t="s">
        <v>3877</v>
      </c>
      <c r="D3237" s="22" t="str">
        <f>HYPERLINK("https://rhld.insurance.arkansas.gov/NPILookup?Npi=1699786921","1699786921")</f>
        <v>1699786921</v>
      </c>
      <c r="E3237" s="1" t="s">
        <v>16215</v>
      </c>
      <c r="F3237" s="2"/>
      <c r="G3237" s="2"/>
      <c r="H3237" s="2"/>
    </row>
    <row r="3238" spans="1:8" x14ac:dyDescent="0.25">
      <c r="A3238" s="1"/>
      <c r="B3238" s="1" t="s">
        <v>3876</v>
      </c>
      <c r="C3238" s="1" t="s">
        <v>3877</v>
      </c>
      <c r="D3238" s="22" t="str">
        <f>HYPERLINK("https://rhld.insurance.arkansas.gov/NPILookup?Npi=1699876565","1699876565")</f>
        <v>1699876565</v>
      </c>
      <c r="E3238" s="1" t="s">
        <v>16216</v>
      </c>
      <c r="F3238" s="2"/>
      <c r="G3238" s="2"/>
      <c r="H3238" s="2"/>
    </row>
    <row r="3239" spans="1:8" x14ac:dyDescent="0.25">
      <c r="A3239" s="1"/>
      <c r="B3239" s="1" t="s">
        <v>3876</v>
      </c>
      <c r="C3239" s="1" t="s">
        <v>3877</v>
      </c>
      <c r="D3239" s="22" t="str">
        <f>HYPERLINK("https://rhld.insurance.arkansas.gov/NPILookup?Npi=1699881995","1699881995")</f>
        <v>1699881995</v>
      </c>
      <c r="E3239" s="1" t="s">
        <v>3992</v>
      </c>
      <c r="F3239" s="2"/>
      <c r="G3239" s="2"/>
      <c r="H3239" s="2"/>
    </row>
    <row r="3240" spans="1:8" x14ac:dyDescent="0.25">
      <c r="A3240" s="1"/>
      <c r="B3240" s="1" t="s">
        <v>3876</v>
      </c>
      <c r="C3240" s="1" t="s">
        <v>3877</v>
      </c>
      <c r="D3240" s="22" t="str">
        <f>HYPERLINK("https://rhld.insurance.arkansas.gov/NPILookup?Npi=1700330750","1700330750")</f>
        <v>1700330750</v>
      </c>
      <c r="E3240" s="1" t="s">
        <v>16217</v>
      </c>
      <c r="F3240" s="2"/>
      <c r="G3240" s="2"/>
      <c r="H3240" s="2"/>
    </row>
    <row r="3241" spans="1:8" x14ac:dyDescent="0.25">
      <c r="A3241" s="1"/>
      <c r="B3241" s="1" t="s">
        <v>3876</v>
      </c>
      <c r="C3241" s="1" t="s">
        <v>3877</v>
      </c>
      <c r="D3241" s="22" t="str">
        <f>HYPERLINK("https://rhld.insurance.arkansas.gov/NPILookup?Npi=1700350378","1700350378")</f>
        <v>1700350378</v>
      </c>
      <c r="E3241" s="1" t="s">
        <v>16218</v>
      </c>
      <c r="F3241" s="2"/>
      <c r="G3241" s="2"/>
      <c r="H3241" s="2"/>
    </row>
    <row r="3242" spans="1:8" x14ac:dyDescent="0.25">
      <c r="A3242" s="1"/>
      <c r="B3242" s="1" t="s">
        <v>3876</v>
      </c>
      <c r="C3242" s="1" t="s">
        <v>3877</v>
      </c>
      <c r="D3242" s="22" t="str">
        <f>HYPERLINK("https://rhld.insurance.arkansas.gov/NPILookup?Npi=1700426152","1700426152")</f>
        <v>1700426152</v>
      </c>
      <c r="E3242" s="1" t="s">
        <v>16219</v>
      </c>
      <c r="F3242" s="2"/>
      <c r="G3242" s="2"/>
      <c r="H3242" s="2"/>
    </row>
    <row r="3243" spans="1:8" x14ac:dyDescent="0.25">
      <c r="A3243" s="1"/>
      <c r="B3243" s="1" t="s">
        <v>3876</v>
      </c>
      <c r="C3243" s="1" t="s">
        <v>3877</v>
      </c>
      <c r="D3243" s="22" t="str">
        <f>HYPERLINK("https://rhld.insurance.arkansas.gov/NPILookup?Npi=1700429990","1700429990")</f>
        <v>1700429990</v>
      </c>
      <c r="E3243" s="1" t="s">
        <v>3993</v>
      </c>
      <c r="F3243" s="2"/>
      <c r="G3243" s="2"/>
      <c r="H3243" s="2"/>
    </row>
    <row r="3244" spans="1:8" x14ac:dyDescent="0.25">
      <c r="A3244" s="1"/>
      <c r="B3244" s="1" t="s">
        <v>3876</v>
      </c>
      <c r="C3244" s="1" t="s">
        <v>3877</v>
      </c>
      <c r="D3244" s="22" t="str">
        <f>HYPERLINK("https://rhld.insurance.arkansas.gov/NPILookup?Npi=1700538899","1700538899")</f>
        <v>1700538899</v>
      </c>
      <c r="E3244" s="1" t="s">
        <v>16220</v>
      </c>
      <c r="F3244" s="2"/>
      <c r="G3244" s="2"/>
      <c r="H3244" s="2"/>
    </row>
    <row r="3245" spans="1:8" x14ac:dyDescent="0.25">
      <c r="A3245" s="1"/>
      <c r="B3245" s="1" t="s">
        <v>3876</v>
      </c>
      <c r="C3245" s="1" t="s">
        <v>3877</v>
      </c>
      <c r="D3245" s="22" t="str">
        <f>HYPERLINK("https://rhld.insurance.arkansas.gov/NPILookup?Npi=1700551165","1700551165")</f>
        <v>1700551165</v>
      </c>
      <c r="E3245" s="1" t="s">
        <v>16221</v>
      </c>
      <c r="F3245" s="2"/>
      <c r="G3245" s="2"/>
      <c r="H3245" s="2"/>
    </row>
    <row r="3246" spans="1:8" x14ac:dyDescent="0.25">
      <c r="A3246" s="1"/>
      <c r="B3246" s="1" t="s">
        <v>3876</v>
      </c>
      <c r="C3246" s="1" t="s">
        <v>3877</v>
      </c>
      <c r="D3246" s="22" t="str">
        <f>HYPERLINK("https://rhld.insurance.arkansas.gov/NPILookup?Npi=1700566999","1700566999")</f>
        <v>1700566999</v>
      </c>
      <c r="E3246" s="1" t="s">
        <v>3994</v>
      </c>
      <c r="F3246" s="2"/>
      <c r="G3246" s="2"/>
      <c r="H3246" s="2"/>
    </row>
    <row r="3247" spans="1:8" x14ac:dyDescent="0.25">
      <c r="A3247" s="1"/>
      <c r="B3247" s="1" t="s">
        <v>3876</v>
      </c>
      <c r="C3247" s="1" t="s">
        <v>3877</v>
      </c>
      <c r="D3247" s="22" t="str">
        <f>HYPERLINK("https://rhld.insurance.arkansas.gov/NPILookup?Npi=1700892627","1700892627")</f>
        <v>1700892627</v>
      </c>
      <c r="E3247" s="1" t="s">
        <v>16222</v>
      </c>
      <c r="F3247" s="2"/>
      <c r="G3247" s="2"/>
      <c r="H3247" s="2"/>
    </row>
    <row r="3248" spans="1:8" x14ac:dyDescent="0.25">
      <c r="A3248" s="1"/>
      <c r="B3248" s="1" t="s">
        <v>3876</v>
      </c>
      <c r="C3248" s="1" t="s">
        <v>3877</v>
      </c>
      <c r="D3248" s="22" t="str">
        <f>HYPERLINK("https://rhld.insurance.arkansas.gov/NPILookup?Npi=1700923257","1700923257")</f>
        <v>1700923257</v>
      </c>
      <c r="E3248" s="1" t="s">
        <v>3995</v>
      </c>
      <c r="F3248" s="2"/>
      <c r="G3248" s="2"/>
      <c r="H3248" s="2"/>
    </row>
    <row r="3249" spans="1:8" x14ac:dyDescent="0.25">
      <c r="A3249" s="1"/>
      <c r="B3249" s="1" t="s">
        <v>3876</v>
      </c>
      <c r="C3249" s="1" t="s">
        <v>3877</v>
      </c>
      <c r="D3249" s="22" t="str">
        <f>HYPERLINK("https://rhld.insurance.arkansas.gov/NPILookup?Npi=1710081823","1710081823")</f>
        <v>1710081823</v>
      </c>
      <c r="E3249" s="1" t="s">
        <v>16223</v>
      </c>
      <c r="F3249" s="2"/>
      <c r="G3249" s="2"/>
      <c r="H3249" s="2"/>
    </row>
    <row r="3250" spans="1:8" x14ac:dyDescent="0.25">
      <c r="A3250" s="1"/>
      <c r="B3250" s="1" t="s">
        <v>3876</v>
      </c>
      <c r="C3250" s="1" t="s">
        <v>3877</v>
      </c>
      <c r="D3250" s="22" t="str">
        <f>HYPERLINK("https://rhld.insurance.arkansas.gov/NPILookup?Npi=1710293618","1710293618")</f>
        <v>1710293618</v>
      </c>
      <c r="E3250" s="1" t="s">
        <v>16224</v>
      </c>
      <c r="F3250" s="2"/>
      <c r="G3250" s="2"/>
      <c r="H3250" s="2"/>
    </row>
    <row r="3251" spans="1:8" x14ac:dyDescent="0.25">
      <c r="A3251" s="1"/>
      <c r="B3251" s="1" t="s">
        <v>3876</v>
      </c>
      <c r="C3251" s="1" t="s">
        <v>3877</v>
      </c>
      <c r="D3251" s="22" t="str">
        <f>HYPERLINK("https://rhld.insurance.arkansas.gov/NPILookup?Npi=1710608211","1710608211")</f>
        <v>1710608211</v>
      </c>
      <c r="E3251" s="1" t="s">
        <v>16225</v>
      </c>
      <c r="F3251" s="2"/>
      <c r="G3251" s="2"/>
      <c r="H3251" s="2"/>
    </row>
    <row r="3252" spans="1:8" x14ac:dyDescent="0.25">
      <c r="A3252" s="1"/>
      <c r="B3252" s="1" t="s">
        <v>3876</v>
      </c>
      <c r="C3252" s="1" t="s">
        <v>3877</v>
      </c>
      <c r="D3252" s="22" t="str">
        <f>HYPERLINK("https://rhld.insurance.arkansas.gov/NPILookup?Npi=1710950118","1710950118")</f>
        <v>1710950118</v>
      </c>
      <c r="E3252" s="1" t="s">
        <v>16226</v>
      </c>
      <c r="F3252" s="2"/>
      <c r="G3252" s="2"/>
      <c r="H3252" s="2"/>
    </row>
    <row r="3253" spans="1:8" x14ac:dyDescent="0.25">
      <c r="A3253" s="1"/>
      <c r="B3253" s="1" t="s">
        <v>3876</v>
      </c>
      <c r="C3253" s="1" t="s">
        <v>3877</v>
      </c>
      <c r="D3253" s="22" t="str">
        <f>HYPERLINK("https://rhld.insurance.arkansas.gov/NPILookup?Npi=1720046550","1720046550")</f>
        <v>1720046550</v>
      </c>
      <c r="E3253" s="1" t="s">
        <v>3996</v>
      </c>
      <c r="F3253" s="2"/>
      <c r="G3253" s="2"/>
      <c r="H3253" s="2"/>
    </row>
    <row r="3254" spans="1:8" x14ac:dyDescent="0.25">
      <c r="A3254" s="1"/>
      <c r="B3254" s="1" t="s">
        <v>3876</v>
      </c>
      <c r="C3254" s="1" t="s">
        <v>3877</v>
      </c>
      <c r="D3254" s="22" t="str">
        <f>HYPERLINK("https://rhld.insurance.arkansas.gov/NPILookup?Npi=1720092364","1720092364")</f>
        <v>1720092364</v>
      </c>
      <c r="E3254" s="1" t="s">
        <v>16227</v>
      </c>
      <c r="F3254" s="2"/>
      <c r="G3254" s="2"/>
      <c r="H3254" s="2"/>
    </row>
    <row r="3255" spans="1:8" x14ac:dyDescent="0.25">
      <c r="A3255" s="1"/>
      <c r="B3255" s="1" t="s">
        <v>3876</v>
      </c>
      <c r="C3255" s="1" t="s">
        <v>3877</v>
      </c>
      <c r="D3255" s="22" t="str">
        <f>HYPERLINK("https://rhld.insurance.arkansas.gov/NPILookup?Npi=1720209448","1720209448")</f>
        <v>1720209448</v>
      </c>
      <c r="E3255" s="1" t="s">
        <v>16228</v>
      </c>
      <c r="F3255" s="2"/>
      <c r="G3255" s="2"/>
      <c r="H3255" s="2"/>
    </row>
    <row r="3256" spans="1:8" x14ac:dyDescent="0.25">
      <c r="A3256" s="1"/>
      <c r="B3256" s="1" t="s">
        <v>3876</v>
      </c>
      <c r="C3256" s="1" t="s">
        <v>3877</v>
      </c>
      <c r="D3256" s="22" t="str">
        <f>HYPERLINK("https://rhld.insurance.arkansas.gov/NPILookup?Npi=1720260987","1720260987")</f>
        <v>1720260987</v>
      </c>
      <c r="E3256" s="1" t="s">
        <v>9959</v>
      </c>
      <c r="F3256" s="2"/>
      <c r="G3256" s="2"/>
      <c r="H3256" s="2"/>
    </row>
    <row r="3257" spans="1:8" x14ac:dyDescent="0.25">
      <c r="A3257" s="1"/>
      <c r="B3257" s="1" t="s">
        <v>3876</v>
      </c>
      <c r="C3257" s="1" t="s">
        <v>3877</v>
      </c>
      <c r="D3257" s="22" t="str">
        <f>HYPERLINK("https://rhld.insurance.arkansas.gov/NPILookup?Npi=1720486699","1720486699")</f>
        <v>1720486699</v>
      </c>
      <c r="E3257" s="1" t="s">
        <v>31346</v>
      </c>
      <c r="F3257" s="2"/>
      <c r="G3257" s="2"/>
      <c r="H3257" s="2"/>
    </row>
    <row r="3258" spans="1:8" x14ac:dyDescent="0.25">
      <c r="A3258" s="1"/>
      <c r="B3258" s="1" t="s">
        <v>3876</v>
      </c>
      <c r="C3258" s="1" t="s">
        <v>3877</v>
      </c>
      <c r="D3258" s="22" t="str">
        <f>HYPERLINK("https://rhld.insurance.arkansas.gov/NPILookup?Npi=1730192162","1730192162")</f>
        <v>1730192162</v>
      </c>
      <c r="E3258" s="1" t="s">
        <v>16229</v>
      </c>
      <c r="F3258" s="2"/>
      <c r="G3258" s="2"/>
      <c r="H3258" s="2"/>
    </row>
    <row r="3259" spans="1:8" x14ac:dyDescent="0.25">
      <c r="A3259" s="1"/>
      <c r="B3259" s="1" t="s">
        <v>3876</v>
      </c>
      <c r="C3259" s="1" t="s">
        <v>3877</v>
      </c>
      <c r="D3259" s="22" t="str">
        <f>HYPERLINK("https://rhld.insurance.arkansas.gov/NPILookup?Npi=1740244003","1740244003")</f>
        <v>1740244003</v>
      </c>
      <c r="E3259" s="1" t="s">
        <v>16230</v>
      </c>
      <c r="F3259" s="2"/>
      <c r="G3259" s="2"/>
      <c r="H3259" s="2"/>
    </row>
    <row r="3260" spans="1:8" x14ac:dyDescent="0.25">
      <c r="A3260" s="1"/>
      <c r="B3260" s="1" t="s">
        <v>3876</v>
      </c>
      <c r="C3260" s="1" t="s">
        <v>3877</v>
      </c>
      <c r="D3260" s="22" t="str">
        <f>HYPERLINK("https://rhld.insurance.arkansas.gov/NPILookup?Npi=1740295609","1740295609")</f>
        <v>1740295609</v>
      </c>
      <c r="E3260" s="1" t="s">
        <v>3997</v>
      </c>
      <c r="F3260" s="2"/>
      <c r="G3260" s="2"/>
      <c r="H3260" s="2"/>
    </row>
    <row r="3261" spans="1:8" x14ac:dyDescent="0.25">
      <c r="A3261" s="1"/>
      <c r="B3261" s="1" t="s">
        <v>3876</v>
      </c>
      <c r="C3261" s="1" t="s">
        <v>3877</v>
      </c>
      <c r="D3261" s="22" t="str">
        <f>HYPERLINK("https://rhld.insurance.arkansas.gov/NPILookup?Npi=1740362235","1740362235")</f>
        <v>1740362235</v>
      </c>
      <c r="E3261" s="1" t="s">
        <v>16231</v>
      </c>
      <c r="F3261" s="2"/>
      <c r="G3261" s="2"/>
      <c r="H3261" s="2"/>
    </row>
    <row r="3262" spans="1:8" x14ac:dyDescent="0.25">
      <c r="A3262" s="1"/>
      <c r="B3262" s="1" t="s">
        <v>3876</v>
      </c>
      <c r="C3262" s="1" t="s">
        <v>3877</v>
      </c>
      <c r="D3262" s="22" t="str">
        <f>HYPERLINK("https://rhld.insurance.arkansas.gov/NPILookup?Npi=1740491448","1740491448")</f>
        <v>1740491448</v>
      </c>
      <c r="E3262" s="1" t="s">
        <v>9960</v>
      </c>
      <c r="F3262" s="2"/>
      <c r="G3262" s="2"/>
      <c r="H3262" s="2"/>
    </row>
    <row r="3263" spans="1:8" x14ac:dyDescent="0.25">
      <c r="A3263" s="1"/>
      <c r="B3263" s="1" t="s">
        <v>3876</v>
      </c>
      <c r="C3263" s="1" t="s">
        <v>3877</v>
      </c>
      <c r="D3263" s="22" t="str">
        <f>HYPERLINK("https://rhld.insurance.arkansas.gov/NPILookup?Npi=1740746049","1740746049")</f>
        <v>1740746049</v>
      </c>
      <c r="E3263" s="1" t="s">
        <v>16232</v>
      </c>
      <c r="F3263" s="2"/>
      <c r="G3263" s="2"/>
      <c r="H3263" s="2"/>
    </row>
    <row r="3264" spans="1:8" x14ac:dyDescent="0.25">
      <c r="A3264" s="1"/>
      <c r="B3264" s="1" t="s">
        <v>3876</v>
      </c>
      <c r="C3264" s="1" t="s">
        <v>3877</v>
      </c>
      <c r="D3264" s="22" t="str">
        <f>HYPERLINK("https://rhld.insurance.arkansas.gov/NPILookup?Npi=1750005450","1750005450")</f>
        <v>1750005450</v>
      </c>
      <c r="E3264" s="1" t="s">
        <v>16233</v>
      </c>
      <c r="F3264" s="2"/>
      <c r="G3264" s="2"/>
      <c r="H3264" s="2"/>
    </row>
    <row r="3265" spans="1:8" x14ac:dyDescent="0.25">
      <c r="A3265" s="1"/>
      <c r="B3265" s="1" t="s">
        <v>3876</v>
      </c>
      <c r="C3265" s="1" t="s">
        <v>3877</v>
      </c>
      <c r="D3265" s="22" t="str">
        <f>HYPERLINK("https://rhld.insurance.arkansas.gov/NPILookup?Npi=1750024279","1750024279")</f>
        <v>1750024279</v>
      </c>
      <c r="E3265" s="1" t="s">
        <v>9961</v>
      </c>
      <c r="F3265" s="2"/>
      <c r="G3265" s="2"/>
      <c r="H3265" s="2"/>
    </row>
    <row r="3266" spans="1:8" x14ac:dyDescent="0.25">
      <c r="A3266" s="1"/>
      <c r="B3266" s="1" t="s">
        <v>3876</v>
      </c>
      <c r="C3266" s="1" t="s">
        <v>3877</v>
      </c>
      <c r="D3266" s="22" t="str">
        <f>HYPERLINK("https://rhld.insurance.arkansas.gov/NPILookup?Npi=1750367736","1750367736")</f>
        <v>1750367736</v>
      </c>
      <c r="E3266" s="1" t="s">
        <v>9962</v>
      </c>
      <c r="F3266" s="2"/>
      <c r="G3266" s="2"/>
      <c r="H3266" s="2"/>
    </row>
    <row r="3267" spans="1:8" x14ac:dyDescent="0.25">
      <c r="A3267" s="1"/>
      <c r="B3267" s="1" t="s">
        <v>3876</v>
      </c>
      <c r="C3267" s="1" t="s">
        <v>3877</v>
      </c>
      <c r="D3267" s="22" t="str">
        <f>HYPERLINK("https://rhld.insurance.arkansas.gov/NPILookup?Npi=1750505392","1750505392")</f>
        <v>1750505392</v>
      </c>
      <c r="E3267" s="1" t="s">
        <v>16234</v>
      </c>
      <c r="F3267" s="2"/>
      <c r="G3267" s="2"/>
      <c r="H3267" s="2"/>
    </row>
    <row r="3268" spans="1:8" x14ac:dyDescent="0.25">
      <c r="A3268" s="1"/>
      <c r="B3268" s="1" t="s">
        <v>3876</v>
      </c>
      <c r="C3268" s="1" t="s">
        <v>3877</v>
      </c>
      <c r="D3268" s="22" t="str">
        <f>HYPERLINK("https://rhld.insurance.arkansas.gov/NPILookup?Npi=1750653572","1750653572")</f>
        <v>1750653572</v>
      </c>
      <c r="E3268" s="1" t="s">
        <v>16235</v>
      </c>
      <c r="F3268" s="2"/>
      <c r="G3268" s="2"/>
      <c r="H3268" s="2"/>
    </row>
    <row r="3269" spans="1:8" x14ac:dyDescent="0.25">
      <c r="A3269" s="1"/>
      <c r="B3269" s="1" t="s">
        <v>3876</v>
      </c>
      <c r="C3269" s="1" t="s">
        <v>3877</v>
      </c>
      <c r="D3269" s="22" t="str">
        <f>HYPERLINK("https://rhld.insurance.arkansas.gov/NPILookup?Npi=1750750667","1750750667")</f>
        <v>1750750667</v>
      </c>
      <c r="E3269" s="1" t="s">
        <v>3999</v>
      </c>
      <c r="F3269" s="2"/>
      <c r="G3269" s="2"/>
      <c r="H3269" s="2"/>
    </row>
    <row r="3270" spans="1:8" x14ac:dyDescent="0.25">
      <c r="A3270" s="1"/>
      <c r="B3270" s="1" t="s">
        <v>3876</v>
      </c>
      <c r="C3270" s="1" t="s">
        <v>3877</v>
      </c>
      <c r="D3270" s="22" t="str">
        <f>HYPERLINK("https://rhld.insurance.arkansas.gov/NPILookup?Npi=1750857116","1750857116")</f>
        <v>1750857116</v>
      </c>
      <c r="E3270" s="1" t="s">
        <v>4000</v>
      </c>
      <c r="F3270" s="2"/>
      <c r="G3270" s="2"/>
      <c r="H3270" s="2"/>
    </row>
    <row r="3271" spans="1:8" x14ac:dyDescent="0.25">
      <c r="A3271" s="1"/>
      <c r="B3271" s="1" t="s">
        <v>3876</v>
      </c>
      <c r="C3271" s="1" t="s">
        <v>3877</v>
      </c>
      <c r="D3271" s="22" t="str">
        <f>HYPERLINK("https://rhld.insurance.arkansas.gov/NPILookup?Npi=1760255053","1760255053")</f>
        <v>1760255053</v>
      </c>
      <c r="E3271" s="1" t="s">
        <v>4001</v>
      </c>
      <c r="F3271" s="2"/>
      <c r="G3271" s="2"/>
      <c r="H3271" s="2"/>
    </row>
    <row r="3272" spans="1:8" x14ac:dyDescent="0.25">
      <c r="A3272" s="1"/>
      <c r="B3272" s="1" t="s">
        <v>3876</v>
      </c>
      <c r="C3272" s="1" t="s">
        <v>3877</v>
      </c>
      <c r="D3272" s="22" t="str">
        <f>HYPERLINK("https://rhld.insurance.arkansas.gov/NPILookup?Npi=1760410484","1760410484")</f>
        <v>1760410484</v>
      </c>
      <c r="E3272" s="1" t="s">
        <v>16236</v>
      </c>
      <c r="F3272" s="2"/>
      <c r="G3272" s="2"/>
      <c r="H3272" s="2"/>
    </row>
    <row r="3273" spans="1:8" x14ac:dyDescent="0.25">
      <c r="A3273" s="1"/>
      <c r="B3273" s="1" t="s">
        <v>3876</v>
      </c>
      <c r="C3273" s="1" t="s">
        <v>3877</v>
      </c>
      <c r="D3273" s="22" t="str">
        <f>HYPERLINK("https://rhld.insurance.arkansas.gov/NPILookup?Npi=1760474795","1760474795")</f>
        <v>1760474795</v>
      </c>
      <c r="E3273" s="1" t="s">
        <v>4002</v>
      </c>
      <c r="F3273" s="2"/>
      <c r="G3273" s="2"/>
      <c r="H3273" s="2"/>
    </row>
    <row r="3274" spans="1:8" x14ac:dyDescent="0.25">
      <c r="A3274" s="1"/>
      <c r="B3274" s="1" t="s">
        <v>3876</v>
      </c>
      <c r="C3274" s="1" t="s">
        <v>3877</v>
      </c>
      <c r="D3274" s="22" t="str">
        <f>HYPERLINK("https://rhld.insurance.arkansas.gov/NPILookup?Npi=1760755052","1760755052")</f>
        <v>1760755052</v>
      </c>
      <c r="E3274" s="1" t="s">
        <v>16237</v>
      </c>
      <c r="F3274" s="2"/>
      <c r="G3274" s="2"/>
      <c r="H3274" s="2"/>
    </row>
    <row r="3275" spans="1:8" x14ac:dyDescent="0.25">
      <c r="A3275" s="1"/>
      <c r="B3275" s="1" t="s">
        <v>3876</v>
      </c>
      <c r="C3275" s="1" t="s">
        <v>3877</v>
      </c>
      <c r="D3275" s="22" t="str">
        <f>HYPERLINK("https://rhld.insurance.arkansas.gov/NPILookup?Npi=1770129314","1770129314")</f>
        <v>1770129314</v>
      </c>
      <c r="E3275" s="1" t="s">
        <v>16238</v>
      </c>
      <c r="F3275" s="2"/>
      <c r="G3275" s="2"/>
      <c r="H3275" s="2"/>
    </row>
    <row r="3276" spans="1:8" x14ac:dyDescent="0.25">
      <c r="A3276" s="1"/>
      <c r="B3276" s="1" t="s">
        <v>3876</v>
      </c>
      <c r="C3276" s="1" t="s">
        <v>3877</v>
      </c>
      <c r="D3276" s="22" t="str">
        <f>HYPERLINK("https://rhld.insurance.arkansas.gov/NPILookup?Npi=1770265514","1770265514")</f>
        <v>1770265514</v>
      </c>
      <c r="E3276" s="1" t="s">
        <v>16239</v>
      </c>
      <c r="F3276" s="2"/>
      <c r="G3276" s="2"/>
      <c r="H3276" s="2"/>
    </row>
    <row r="3277" spans="1:8" x14ac:dyDescent="0.25">
      <c r="A3277" s="1"/>
      <c r="B3277" s="1" t="s">
        <v>3876</v>
      </c>
      <c r="C3277" s="1" t="s">
        <v>3877</v>
      </c>
      <c r="D3277" s="22" t="str">
        <f>HYPERLINK("https://rhld.insurance.arkansas.gov/NPILookup?Npi=1770533473","1770533473")</f>
        <v>1770533473</v>
      </c>
      <c r="E3277" s="1" t="s">
        <v>4003</v>
      </c>
      <c r="F3277" s="2"/>
      <c r="G3277" s="2"/>
      <c r="H3277" s="2"/>
    </row>
    <row r="3278" spans="1:8" x14ac:dyDescent="0.25">
      <c r="A3278" s="1"/>
      <c r="B3278" s="1" t="s">
        <v>3876</v>
      </c>
      <c r="C3278" s="1" t="s">
        <v>3877</v>
      </c>
      <c r="D3278" s="22" t="str">
        <f>HYPERLINK("https://rhld.insurance.arkansas.gov/NPILookup?Npi=1770582710","1770582710")</f>
        <v>1770582710</v>
      </c>
      <c r="E3278" s="1" t="s">
        <v>16240</v>
      </c>
      <c r="F3278" s="2"/>
      <c r="G3278" s="2"/>
      <c r="H3278" s="2"/>
    </row>
    <row r="3279" spans="1:8" x14ac:dyDescent="0.25">
      <c r="A3279" s="1"/>
      <c r="B3279" s="1" t="s">
        <v>3876</v>
      </c>
      <c r="C3279" s="1" t="s">
        <v>3877</v>
      </c>
      <c r="D3279" s="22" t="str">
        <f>HYPERLINK("https://rhld.insurance.arkansas.gov/NPILookup?Npi=1770588451","1770588451")</f>
        <v>1770588451</v>
      </c>
      <c r="E3279" s="1" t="s">
        <v>4004</v>
      </c>
      <c r="F3279" s="2"/>
      <c r="G3279" s="2"/>
      <c r="H3279" s="2"/>
    </row>
    <row r="3280" spans="1:8" x14ac:dyDescent="0.25">
      <c r="A3280" s="1"/>
      <c r="B3280" s="1" t="s">
        <v>3876</v>
      </c>
      <c r="C3280" s="1" t="s">
        <v>3877</v>
      </c>
      <c r="D3280" s="22" t="str">
        <f>HYPERLINK("https://rhld.insurance.arkansas.gov/NPILookup?Npi=1770655797","1770655797")</f>
        <v>1770655797</v>
      </c>
      <c r="E3280" s="1" t="s">
        <v>16241</v>
      </c>
      <c r="F3280" s="2"/>
      <c r="G3280" s="2"/>
      <c r="H3280" s="2"/>
    </row>
    <row r="3281" spans="1:8" x14ac:dyDescent="0.25">
      <c r="A3281" s="1"/>
      <c r="B3281" s="1" t="s">
        <v>3876</v>
      </c>
      <c r="C3281" s="1" t="s">
        <v>3877</v>
      </c>
      <c r="D3281" s="22" t="str">
        <f>HYPERLINK("https://rhld.insurance.arkansas.gov/NPILookup?Npi=1770667602","1770667602")</f>
        <v>1770667602</v>
      </c>
      <c r="E3281" s="1" t="s">
        <v>9963</v>
      </c>
      <c r="F3281" s="2"/>
      <c r="G3281" s="2"/>
      <c r="H3281" s="2"/>
    </row>
    <row r="3282" spans="1:8" x14ac:dyDescent="0.25">
      <c r="A3282" s="1"/>
      <c r="B3282" s="1" t="s">
        <v>3876</v>
      </c>
      <c r="C3282" s="1" t="s">
        <v>3877</v>
      </c>
      <c r="D3282" s="22" t="str">
        <f>HYPERLINK("https://rhld.insurance.arkansas.gov/NPILookup?Npi=1780157248","1780157248")</f>
        <v>1780157248</v>
      </c>
      <c r="E3282" s="1" t="s">
        <v>16242</v>
      </c>
      <c r="F3282" s="2"/>
      <c r="G3282" s="2"/>
      <c r="H3282" s="2"/>
    </row>
    <row r="3283" spans="1:8" x14ac:dyDescent="0.25">
      <c r="A3283" s="1"/>
      <c r="B3283" s="1" t="s">
        <v>3876</v>
      </c>
      <c r="C3283" s="1" t="s">
        <v>3877</v>
      </c>
      <c r="D3283" s="22" t="str">
        <f>HYPERLINK("https://rhld.insurance.arkansas.gov/NPILookup?Npi=1780308213","1780308213")</f>
        <v>1780308213</v>
      </c>
      <c r="E3283" s="1" t="s">
        <v>16243</v>
      </c>
      <c r="F3283" s="2"/>
      <c r="G3283" s="2"/>
      <c r="H3283" s="2"/>
    </row>
    <row r="3284" spans="1:8" x14ac:dyDescent="0.25">
      <c r="A3284" s="1"/>
      <c r="B3284" s="1" t="s">
        <v>3876</v>
      </c>
      <c r="C3284" s="1" t="s">
        <v>3877</v>
      </c>
      <c r="D3284" s="22" t="str">
        <f>HYPERLINK("https://rhld.insurance.arkansas.gov/NPILookup?Npi=1780309013","1780309013")</f>
        <v>1780309013</v>
      </c>
      <c r="E3284" s="1" t="s">
        <v>4005</v>
      </c>
      <c r="F3284" s="2"/>
      <c r="G3284" s="2"/>
      <c r="H3284" s="2"/>
    </row>
    <row r="3285" spans="1:8" x14ac:dyDescent="0.25">
      <c r="A3285" s="1"/>
      <c r="B3285" s="1" t="s">
        <v>3876</v>
      </c>
      <c r="C3285" s="1" t="s">
        <v>3877</v>
      </c>
      <c r="D3285" s="22" t="str">
        <f>HYPERLINK("https://rhld.insurance.arkansas.gov/NPILookup?Npi=1780651240","1780651240")</f>
        <v>1780651240</v>
      </c>
      <c r="E3285" s="1" t="s">
        <v>16244</v>
      </c>
      <c r="F3285" s="2"/>
      <c r="G3285" s="2"/>
      <c r="H3285" s="2"/>
    </row>
    <row r="3286" spans="1:8" x14ac:dyDescent="0.25">
      <c r="A3286" s="1"/>
      <c r="B3286" s="1" t="s">
        <v>3876</v>
      </c>
      <c r="C3286" s="1" t="s">
        <v>3877</v>
      </c>
      <c r="D3286" s="22" t="str">
        <f>HYPERLINK("https://rhld.insurance.arkansas.gov/NPILookup?Npi=1780656553","1780656553")</f>
        <v>1780656553</v>
      </c>
      <c r="E3286" s="1" t="s">
        <v>4006</v>
      </c>
      <c r="F3286" s="2"/>
      <c r="G3286" s="2"/>
      <c r="H3286" s="2"/>
    </row>
    <row r="3287" spans="1:8" x14ac:dyDescent="0.25">
      <c r="A3287" s="1"/>
      <c r="B3287" s="1" t="s">
        <v>3876</v>
      </c>
      <c r="C3287" s="1" t="s">
        <v>3877</v>
      </c>
      <c r="D3287" s="22" t="str">
        <f>HYPERLINK("https://rhld.insurance.arkansas.gov/NPILookup?Npi=1780705905","1780705905")</f>
        <v>1780705905</v>
      </c>
      <c r="E3287" s="1" t="s">
        <v>998</v>
      </c>
      <c r="F3287" s="2"/>
      <c r="G3287" s="2"/>
      <c r="H3287" s="2"/>
    </row>
    <row r="3288" spans="1:8" x14ac:dyDescent="0.25">
      <c r="A3288" s="1"/>
      <c r="B3288" s="1" t="s">
        <v>3876</v>
      </c>
      <c r="C3288" s="1" t="s">
        <v>3877</v>
      </c>
      <c r="D3288" s="22" t="str">
        <f>HYPERLINK("https://rhld.insurance.arkansas.gov/NPILookup?Npi=1780765073","1780765073")</f>
        <v>1780765073</v>
      </c>
      <c r="E3288" s="1" t="s">
        <v>16245</v>
      </c>
      <c r="F3288" s="2"/>
      <c r="G3288" s="2"/>
      <c r="H3288" s="2"/>
    </row>
    <row r="3289" spans="1:8" x14ac:dyDescent="0.25">
      <c r="A3289" s="1"/>
      <c r="B3289" s="1" t="s">
        <v>3876</v>
      </c>
      <c r="C3289" s="1" t="s">
        <v>3877</v>
      </c>
      <c r="D3289" s="22" t="str">
        <f>HYPERLINK("https://rhld.insurance.arkansas.gov/NPILookup?Npi=1780854018","1780854018")</f>
        <v>1780854018</v>
      </c>
      <c r="E3289" s="1" t="s">
        <v>16246</v>
      </c>
      <c r="F3289" s="2"/>
      <c r="G3289" s="2"/>
      <c r="H3289" s="2"/>
    </row>
    <row r="3290" spans="1:8" x14ac:dyDescent="0.25">
      <c r="A3290" s="1"/>
      <c r="B3290" s="1" t="s">
        <v>3876</v>
      </c>
      <c r="C3290" s="1" t="s">
        <v>3877</v>
      </c>
      <c r="D3290" s="22" t="str">
        <f>HYPERLINK("https://rhld.insurance.arkansas.gov/NPILookup?Npi=1790030054","1790030054")</f>
        <v>1790030054</v>
      </c>
      <c r="E3290" s="1" t="s">
        <v>4007</v>
      </c>
      <c r="F3290" s="2"/>
      <c r="G3290" s="2"/>
      <c r="H3290" s="2"/>
    </row>
    <row r="3291" spans="1:8" x14ac:dyDescent="0.25">
      <c r="A3291" s="1"/>
      <c r="B3291" s="1" t="s">
        <v>3876</v>
      </c>
      <c r="C3291" s="1" t="s">
        <v>3877</v>
      </c>
      <c r="D3291" s="22" t="str">
        <f>HYPERLINK("https://rhld.insurance.arkansas.gov/NPILookup?Npi=1790034106","1790034106")</f>
        <v>1790034106</v>
      </c>
      <c r="E3291" s="1" t="s">
        <v>16247</v>
      </c>
      <c r="F3291" s="2"/>
      <c r="G3291" s="2"/>
      <c r="H3291" s="2"/>
    </row>
    <row r="3292" spans="1:8" x14ac:dyDescent="0.25">
      <c r="A3292" s="1"/>
      <c r="B3292" s="1" t="s">
        <v>3876</v>
      </c>
      <c r="C3292" s="1" t="s">
        <v>3877</v>
      </c>
      <c r="D3292" s="22" t="str">
        <f>HYPERLINK("https://rhld.insurance.arkansas.gov/NPILookup?Npi=1790057842","1790057842")</f>
        <v>1790057842</v>
      </c>
      <c r="E3292" s="1" t="s">
        <v>16248</v>
      </c>
      <c r="F3292" s="2"/>
      <c r="G3292" s="2"/>
      <c r="H3292" s="2"/>
    </row>
    <row r="3293" spans="1:8" x14ac:dyDescent="0.25">
      <c r="A3293" s="1"/>
      <c r="B3293" s="1" t="s">
        <v>3876</v>
      </c>
      <c r="C3293" s="1" t="s">
        <v>3877</v>
      </c>
      <c r="D3293" s="22" t="str">
        <f>HYPERLINK("https://rhld.insurance.arkansas.gov/NPILookup?Npi=1790411494","1790411494")</f>
        <v>1790411494</v>
      </c>
      <c r="E3293" s="1" t="s">
        <v>16249</v>
      </c>
      <c r="F3293" s="2"/>
      <c r="G3293" s="2"/>
      <c r="H3293" s="2"/>
    </row>
    <row r="3294" spans="1:8" x14ac:dyDescent="0.25">
      <c r="A3294" s="1"/>
      <c r="B3294" s="1" t="s">
        <v>3876</v>
      </c>
      <c r="C3294" s="1" t="s">
        <v>3877</v>
      </c>
      <c r="D3294" s="22" t="str">
        <f>HYPERLINK("https://rhld.insurance.arkansas.gov/NPILookup?Npi=1790720340","1790720340")</f>
        <v>1790720340</v>
      </c>
      <c r="E3294" s="1" t="s">
        <v>16250</v>
      </c>
      <c r="F3294" s="2"/>
      <c r="G3294" s="2"/>
      <c r="H3294" s="2"/>
    </row>
    <row r="3295" spans="1:8" x14ac:dyDescent="0.25">
      <c r="A3295" s="1"/>
      <c r="B3295" s="1" t="s">
        <v>3876</v>
      </c>
      <c r="C3295" s="1" t="s">
        <v>3877</v>
      </c>
      <c r="D3295" s="22" t="str">
        <f>HYPERLINK("https://rhld.insurance.arkansas.gov/NPILookup?Npi=1790759504","1790759504")</f>
        <v>1790759504</v>
      </c>
      <c r="E3295" s="1" t="s">
        <v>16251</v>
      </c>
      <c r="F3295" s="2"/>
      <c r="G3295" s="2"/>
      <c r="H3295" s="2"/>
    </row>
    <row r="3296" spans="1:8" x14ac:dyDescent="0.25">
      <c r="A3296" s="1"/>
      <c r="B3296" s="1" t="s">
        <v>3876</v>
      </c>
      <c r="C3296" s="1" t="s">
        <v>3877</v>
      </c>
      <c r="D3296" s="22" t="str">
        <f>HYPERLINK("https://rhld.insurance.arkansas.gov/NPILookup?Npi=1790783967","1790783967")</f>
        <v>1790783967</v>
      </c>
      <c r="E3296" s="1" t="s">
        <v>9964</v>
      </c>
      <c r="F3296" s="2"/>
      <c r="G3296" s="2"/>
      <c r="H3296" s="2"/>
    </row>
    <row r="3297" spans="1:8" x14ac:dyDescent="0.25">
      <c r="A3297" s="1"/>
      <c r="B3297" s="1" t="s">
        <v>3876</v>
      </c>
      <c r="C3297" s="1" t="s">
        <v>3877</v>
      </c>
      <c r="D3297" s="22" t="str">
        <f>HYPERLINK("https://rhld.insurance.arkansas.gov/NPILookup?Npi=1801044292","1801044292")</f>
        <v>1801044292</v>
      </c>
      <c r="E3297" s="1" t="s">
        <v>4008</v>
      </c>
      <c r="F3297" s="2"/>
      <c r="G3297" s="2"/>
      <c r="H3297" s="2"/>
    </row>
    <row r="3298" spans="1:8" x14ac:dyDescent="0.25">
      <c r="A3298" s="1"/>
      <c r="B3298" s="1" t="s">
        <v>3876</v>
      </c>
      <c r="C3298" s="1" t="s">
        <v>3877</v>
      </c>
      <c r="D3298" s="22" t="str">
        <f>HYPERLINK("https://rhld.insurance.arkansas.gov/NPILookup?Npi=1801287636","1801287636")</f>
        <v>1801287636</v>
      </c>
      <c r="E3298" s="1" t="s">
        <v>16252</v>
      </c>
      <c r="F3298" s="2"/>
      <c r="G3298" s="2"/>
      <c r="H3298" s="2"/>
    </row>
    <row r="3299" spans="1:8" x14ac:dyDescent="0.25">
      <c r="A3299" s="1"/>
      <c r="B3299" s="1" t="s">
        <v>3876</v>
      </c>
      <c r="C3299" s="1" t="s">
        <v>3877</v>
      </c>
      <c r="D3299" s="22" t="str">
        <f>HYPERLINK("https://rhld.insurance.arkansas.gov/NPILookup?Npi=1801421409","1801421409")</f>
        <v>1801421409</v>
      </c>
      <c r="E3299" s="1" t="s">
        <v>4791</v>
      </c>
      <c r="F3299" s="2"/>
      <c r="G3299" s="2"/>
      <c r="H3299" s="2"/>
    </row>
    <row r="3300" spans="1:8" x14ac:dyDescent="0.25">
      <c r="A3300" s="1"/>
      <c r="B3300" s="1" t="s">
        <v>3876</v>
      </c>
      <c r="C3300" s="1" t="s">
        <v>3877</v>
      </c>
      <c r="D3300" s="22" t="str">
        <f>HYPERLINK("https://rhld.insurance.arkansas.gov/NPILookup?Npi=1801434642","1801434642")</f>
        <v>1801434642</v>
      </c>
      <c r="E3300" s="1" t="s">
        <v>4009</v>
      </c>
      <c r="F3300" s="2"/>
      <c r="G3300" s="2"/>
      <c r="H3300" s="2"/>
    </row>
    <row r="3301" spans="1:8" x14ac:dyDescent="0.25">
      <c r="A3301" s="1"/>
      <c r="B3301" s="1" t="s">
        <v>3876</v>
      </c>
      <c r="C3301" s="1" t="s">
        <v>3877</v>
      </c>
      <c r="D3301" s="22" t="str">
        <f>HYPERLINK("https://rhld.insurance.arkansas.gov/NPILookup?Npi=1801566765","1801566765")</f>
        <v>1801566765</v>
      </c>
      <c r="E3301" s="1" t="s">
        <v>16253</v>
      </c>
      <c r="F3301" s="2"/>
      <c r="G3301" s="2"/>
      <c r="H3301" s="2"/>
    </row>
    <row r="3302" spans="1:8" x14ac:dyDescent="0.25">
      <c r="A3302" s="1"/>
      <c r="B3302" s="1" t="s">
        <v>3876</v>
      </c>
      <c r="C3302" s="1" t="s">
        <v>3877</v>
      </c>
      <c r="D3302" s="22" t="str">
        <f>HYPERLINK("https://rhld.insurance.arkansas.gov/NPILookup?Npi=1801823224","1801823224")</f>
        <v>1801823224</v>
      </c>
      <c r="E3302" s="1" t="s">
        <v>9965</v>
      </c>
      <c r="F3302" s="2"/>
      <c r="G3302" s="2"/>
      <c r="H3302" s="2"/>
    </row>
    <row r="3303" spans="1:8" x14ac:dyDescent="0.25">
      <c r="A3303" s="1"/>
      <c r="B3303" s="1" t="s">
        <v>3876</v>
      </c>
      <c r="C3303" s="1" t="s">
        <v>3877</v>
      </c>
      <c r="D3303" s="22" t="str">
        <f>HYPERLINK("https://rhld.insurance.arkansas.gov/NPILookup?Npi=1801978325","1801978325")</f>
        <v>1801978325</v>
      </c>
      <c r="E3303" s="1" t="s">
        <v>4010</v>
      </c>
      <c r="F3303" s="2"/>
      <c r="G3303" s="2"/>
      <c r="H3303" s="2"/>
    </row>
    <row r="3304" spans="1:8" x14ac:dyDescent="0.25">
      <c r="A3304" s="1"/>
      <c r="B3304" s="1" t="s">
        <v>3876</v>
      </c>
      <c r="C3304" s="1" t="s">
        <v>3877</v>
      </c>
      <c r="D3304" s="22" t="str">
        <f>HYPERLINK("https://rhld.insurance.arkansas.gov/NPILookup?Npi=1801985098","1801985098")</f>
        <v>1801985098</v>
      </c>
      <c r="E3304" s="1" t="s">
        <v>16254</v>
      </c>
      <c r="F3304" s="2"/>
      <c r="G3304" s="2"/>
      <c r="H3304" s="2"/>
    </row>
    <row r="3305" spans="1:8" x14ac:dyDescent="0.25">
      <c r="A3305" s="1"/>
      <c r="B3305" s="1" t="s">
        <v>3876</v>
      </c>
      <c r="C3305" s="1" t="s">
        <v>3877</v>
      </c>
      <c r="D3305" s="22" t="str">
        <f>HYPERLINK("https://rhld.insurance.arkansas.gov/NPILookup?Npi=1811048754","1811048754")</f>
        <v>1811048754</v>
      </c>
      <c r="E3305" s="1" t="s">
        <v>16255</v>
      </c>
      <c r="F3305" s="2"/>
      <c r="G3305" s="2"/>
      <c r="H3305" s="2"/>
    </row>
    <row r="3306" spans="1:8" x14ac:dyDescent="0.25">
      <c r="A3306" s="1"/>
      <c r="B3306" s="1" t="s">
        <v>3876</v>
      </c>
      <c r="C3306" s="1" t="s">
        <v>3877</v>
      </c>
      <c r="D3306" s="22" t="str">
        <f>HYPERLINK("https://rhld.insurance.arkansas.gov/NPILookup?Npi=1811055023","1811055023")</f>
        <v>1811055023</v>
      </c>
      <c r="E3306" s="1" t="s">
        <v>16256</v>
      </c>
      <c r="F3306" s="2"/>
      <c r="G3306" s="2"/>
      <c r="H3306" s="2"/>
    </row>
    <row r="3307" spans="1:8" x14ac:dyDescent="0.25">
      <c r="A3307" s="1"/>
      <c r="B3307" s="1" t="s">
        <v>3876</v>
      </c>
      <c r="C3307" s="1" t="s">
        <v>3877</v>
      </c>
      <c r="D3307" s="22" t="str">
        <f>HYPERLINK("https://rhld.insurance.arkansas.gov/NPILookup?Npi=1811135171","1811135171")</f>
        <v>1811135171</v>
      </c>
      <c r="E3307" s="1" t="s">
        <v>16257</v>
      </c>
      <c r="F3307" s="2"/>
      <c r="G3307" s="2"/>
      <c r="H3307" s="2"/>
    </row>
    <row r="3308" spans="1:8" x14ac:dyDescent="0.25">
      <c r="A3308" s="1"/>
      <c r="B3308" s="1" t="s">
        <v>3876</v>
      </c>
      <c r="C3308" s="1" t="s">
        <v>3877</v>
      </c>
      <c r="D3308" s="22" t="str">
        <f>HYPERLINK("https://rhld.insurance.arkansas.gov/NPILookup?Npi=1811442577","1811442577")</f>
        <v>1811442577</v>
      </c>
      <c r="E3308" s="1" t="s">
        <v>4011</v>
      </c>
      <c r="F3308" s="2"/>
      <c r="G3308" s="2"/>
      <c r="H3308" s="2"/>
    </row>
    <row r="3309" spans="1:8" x14ac:dyDescent="0.25">
      <c r="A3309" s="1"/>
      <c r="B3309" s="1" t="s">
        <v>3876</v>
      </c>
      <c r="C3309" s="1" t="s">
        <v>3877</v>
      </c>
      <c r="D3309" s="22" t="str">
        <f>HYPERLINK("https://rhld.insurance.arkansas.gov/NPILookup?Npi=1811759699","1811759699")</f>
        <v>1811759699</v>
      </c>
      <c r="E3309" s="1" t="s">
        <v>16258</v>
      </c>
      <c r="F3309" s="2"/>
      <c r="G3309" s="2"/>
      <c r="H3309" s="2"/>
    </row>
    <row r="3310" spans="1:8" x14ac:dyDescent="0.25">
      <c r="A3310" s="1"/>
      <c r="B3310" s="1" t="s">
        <v>3876</v>
      </c>
      <c r="C3310" s="1" t="s">
        <v>3877</v>
      </c>
      <c r="D3310" s="22" t="str">
        <f>HYPERLINK("https://rhld.insurance.arkansas.gov/NPILookup?Npi=1811974173","1811974173")</f>
        <v>1811974173</v>
      </c>
      <c r="E3310" s="1" t="s">
        <v>16259</v>
      </c>
      <c r="F3310" s="2"/>
      <c r="G3310" s="2"/>
      <c r="H3310" s="2"/>
    </row>
    <row r="3311" spans="1:8" x14ac:dyDescent="0.25">
      <c r="A3311" s="1"/>
      <c r="B3311" s="1" t="s">
        <v>3876</v>
      </c>
      <c r="C3311" s="1" t="s">
        <v>3877</v>
      </c>
      <c r="D3311" s="22" t="str">
        <f>HYPERLINK("https://rhld.insurance.arkansas.gov/NPILookup?Npi=1821017559","1821017559")</f>
        <v>1821017559</v>
      </c>
      <c r="E3311" s="1" t="s">
        <v>9966</v>
      </c>
      <c r="F3311" s="2"/>
      <c r="G3311" s="2"/>
      <c r="H3311" s="2"/>
    </row>
    <row r="3312" spans="1:8" x14ac:dyDescent="0.25">
      <c r="A3312" s="1"/>
      <c r="B3312" s="1" t="s">
        <v>3876</v>
      </c>
      <c r="C3312" s="1" t="s">
        <v>3877</v>
      </c>
      <c r="D3312" s="22" t="str">
        <f>HYPERLINK("https://rhld.insurance.arkansas.gov/NPILookup?Npi=1821094277","1821094277")</f>
        <v>1821094277</v>
      </c>
      <c r="E3312" s="1" t="s">
        <v>9967</v>
      </c>
      <c r="F3312" s="2"/>
      <c r="G3312" s="2"/>
      <c r="H3312" s="2"/>
    </row>
    <row r="3313" spans="1:8" x14ac:dyDescent="0.25">
      <c r="A3313" s="1"/>
      <c r="B3313" s="1" t="s">
        <v>3876</v>
      </c>
      <c r="C3313" s="1" t="s">
        <v>3877</v>
      </c>
      <c r="D3313" s="22" t="str">
        <f>HYPERLINK("https://rhld.insurance.arkansas.gov/NPILookup?Npi=1821381781","1821381781")</f>
        <v>1821381781</v>
      </c>
      <c r="E3313" s="1" t="s">
        <v>16260</v>
      </c>
      <c r="F3313" s="2"/>
      <c r="G3313" s="2"/>
      <c r="H3313" s="2"/>
    </row>
    <row r="3314" spans="1:8" x14ac:dyDescent="0.25">
      <c r="A3314" s="1"/>
      <c r="B3314" s="1" t="s">
        <v>3876</v>
      </c>
      <c r="C3314" s="1" t="s">
        <v>3877</v>
      </c>
      <c r="D3314" s="22" t="str">
        <f>HYPERLINK("https://rhld.insurance.arkansas.gov/NPILookup?Npi=1821689605","1821689605")</f>
        <v>1821689605</v>
      </c>
      <c r="E3314" s="1" t="s">
        <v>4012</v>
      </c>
      <c r="F3314" s="2"/>
      <c r="G3314" s="2"/>
      <c r="H3314" s="2"/>
    </row>
    <row r="3315" spans="1:8" x14ac:dyDescent="0.25">
      <c r="A3315" s="1"/>
      <c r="B3315" s="1" t="s">
        <v>3876</v>
      </c>
      <c r="C3315" s="1" t="s">
        <v>3877</v>
      </c>
      <c r="D3315" s="22" t="str">
        <f>HYPERLINK("https://rhld.insurance.arkansas.gov/NPILookup?Npi=1821828609","1821828609")</f>
        <v>1821828609</v>
      </c>
      <c r="E3315" s="1" t="s">
        <v>16261</v>
      </c>
      <c r="F3315" s="2"/>
      <c r="G3315" s="2"/>
      <c r="H3315" s="2"/>
    </row>
    <row r="3316" spans="1:8" x14ac:dyDescent="0.25">
      <c r="A3316" s="1"/>
      <c r="B3316" s="1" t="s">
        <v>3876</v>
      </c>
      <c r="C3316" s="1" t="s">
        <v>3877</v>
      </c>
      <c r="D3316" s="22" t="str">
        <f>HYPERLINK("https://rhld.insurance.arkansas.gov/NPILookup?Npi=1831399393","1831399393")</f>
        <v>1831399393</v>
      </c>
      <c r="E3316" s="1" t="s">
        <v>9968</v>
      </c>
      <c r="F3316" s="2"/>
      <c r="G3316" s="2"/>
      <c r="H3316" s="2"/>
    </row>
    <row r="3317" spans="1:8" x14ac:dyDescent="0.25">
      <c r="A3317" s="1"/>
      <c r="B3317" s="1" t="s">
        <v>3876</v>
      </c>
      <c r="C3317" s="1" t="s">
        <v>3877</v>
      </c>
      <c r="D3317" s="22" t="str">
        <f>HYPERLINK("https://rhld.insurance.arkansas.gov/NPILookup?Npi=1831702182","1831702182")</f>
        <v>1831702182</v>
      </c>
      <c r="E3317" s="1" t="s">
        <v>4013</v>
      </c>
      <c r="F3317" s="2"/>
      <c r="G3317" s="2"/>
      <c r="H3317" s="2"/>
    </row>
    <row r="3318" spans="1:8" x14ac:dyDescent="0.25">
      <c r="A3318" s="1"/>
      <c r="B3318" s="1" t="s">
        <v>3876</v>
      </c>
      <c r="C3318" s="1" t="s">
        <v>3877</v>
      </c>
      <c r="D3318" s="22" t="str">
        <f>HYPERLINK("https://rhld.insurance.arkansas.gov/NPILookup?Npi=1831794726","1831794726")</f>
        <v>1831794726</v>
      </c>
      <c r="E3318" s="1" t="s">
        <v>16262</v>
      </c>
      <c r="F3318" s="2"/>
      <c r="G3318" s="2"/>
      <c r="H3318" s="2"/>
    </row>
    <row r="3319" spans="1:8" x14ac:dyDescent="0.25">
      <c r="A3319" s="1"/>
      <c r="B3319" s="1" t="s">
        <v>3876</v>
      </c>
      <c r="C3319" s="1" t="s">
        <v>3877</v>
      </c>
      <c r="D3319" s="22" t="str">
        <f>HYPERLINK("https://rhld.insurance.arkansas.gov/NPILookup?Npi=1841235249","1841235249")</f>
        <v>1841235249</v>
      </c>
      <c r="E3319" s="1" t="s">
        <v>9969</v>
      </c>
      <c r="F3319" s="2"/>
      <c r="G3319" s="2"/>
      <c r="H3319" s="2"/>
    </row>
    <row r="3320" spans="1:8" x14ac:dyDescent="0.25">
      <c r="A3320" s="1"/>
      <c r="B3320" s="1" t="s">
        <v>3876</v>
      </c>
      <c r="C3320" s="1" t="s">
        <v>3877</v>
      </c>
      <c r="D3320" s="22" t="str">
        <f>HYPERLINK("https://rhld.insurance.arkansas.gov/NPILookup?Npi=1841608205","1841608205")</f>
        <v>1841608205</v>
      </c>
      <c r="E3320" s="1" t="s">
        <v>16263</v>
      </c>
      <c r="F3320" s="2"/>
      <c r="G3320" s="2"/>
      <c r="H3320" s="2"/>
    </row>
    <row r="3321" spans="1:8" x14ac:dyDescent="0.25">
      <c r="A3321" s="1"/>
      <c r="B3321" s="1" t="s">
        <v>3876</v>
      </c>
      <c r="C3321" s="1" t="s">
        <v>3877</v>
      </c>
      <c r="D3321" s="22" t="str">
        <f>HYPERLINK("https://rhld.insurance.arkansas.gov/NPILookup?Npi=1841958865","1841958865")</f>
        <v>1841958865</v>
      </c>
      <c r="E3321" s="1" t="s">
        <v>16264</v>
      </c>
      <c r="F3321" s="2"/>
      <c r="G3321" s="2"/>
      <c r="H3321" s="2"/>
    </row>
    <row r="3322" spans="1:8" x14ac:dyDescent="0.25">
      <c r="A3322" s="1"/>
      <c r="B3322" s="1" t="s">
        <v>3876</v>
      </c>
      <c r="C3322" s="1" t="s">
        <v>3877</v>
      </c>
      <c r="D3322" s="22" t="str">
        <f>HYPERLINK("https://rhld.insurance.arkansas.gov/NPILookup?Npi=1851323729","1851323729")</f>
        <v>1851323729</v>
      </c>
      <c r="E3322" s="1" t="s">
        <v>16265</v>
      </c>
      <c r="F3322" s="2"/>
      <c r="G3322" s="2"/>
      <c r="H3322" s="2"/>
    </row>
    <row r="3323" spans="1:8" x14ac:dyDescent="0.25">
      <c r="A3323" s="1"/>
      <c r="B3323" s="1" t="s">
        <v>3876</v>
      </c>
      <c r="C3323" s="1" t="s">
        <v>3877</v>
      </c>
      <c r="D3323" s="22" t="str">
        <f>HYPERLINK("https://rhld.insurance.arkansas.gov/NPILookup?Npi=1851350003","1851350003")</f>
        <v>1851350003</v>
      </c>
      <c r="E3323" s="1" t="s">
        <v>16266</v>
      </c>
      <c r="F3323" s="2"/>
      <c r="G3323" s="2"/>
      <c r="H3323" s="2"/>
    </row>
    <row r="3324" spans="1:8" x14ac:dyDescent="0.25">
      <c r="A3324" s="1"/>
      <c r="B3324" s="1" t="s">
        <v>3876</v>
      </c>
      <c r="C3324" s="1" t="s">
        <v>3877</v>
      </c>
      <c r="D3324" s="22" t="str">
        <f>HYPERLINK("https://rhld.insurance.arkansas.gov/NPILookup?Npi=1851429021","1851429021")</f>
        <v>1851429021</v>
      </c>
      <c r="E3324" s="1" t="s">
        <v>16267</v>
      </c>
      <c r="F3324" s="2"/>
      <c r="G3324" s="2"/>
      <c r="H3324" s="2"/>
    </row>
    <row r="3325" spans="1:8" x14ac:dyDescent="0.25">
      <c r="A3325" s="1"/>
      <c r="B3325" s="1" t="s">
        <v>3876</v>
      </c>
      <c r="C3325" s="1" t="s">
        <v>3877</v>
      </c>
      <c r="D3325" s="22" t="str">
        <f>HYPERLINK("https://rhld.insurance.arkansas.gov/NPILookup?Npi=1851480099","1851480099")</f>
        <v>1851480099</v>
      </c>
      <c r="E3325" s="1" t="s">
        <v>4014</v>
      </c>
      <c r="F3325" s="2"/>
      <c r="G3325" s="2"/>
      <c r="H3325" s="2"/>
    </row>
    <row r="3326" spans="1:8" x14ac:dyDescent="0.25">
      <c r="A3326" s="1"/>
      <c r="B3326" s="1" t="s">
        <v>3876</v>
      </c>
      <c r="C3326" s="1" t="s">
        <v>3877</v>
      </c>
      <c r="D3326" s="22" t="str">
        <f>HYPERLINK("https://rhld.insurance.arkansas.gov/NPILookup?Npi=1851746747","1851746747")</f>
        <v>1851746747</v>
      </c>
      <c r="E3326" s="1" t="s">
        <v>9970</v>
      </c>
      <c r="F3326" s="2"/>
      <c r="G3326" s="2"/>
      <c r="H3326" s="2"/>
    </row>
    <row r="3327" spans="1:8" x14ac:dyDescent="0.25">
      <c r="A3327" s="1"/>
      <c r="B3327" s="1" t="s">
        <v>3876</v>
      </c>
      <c r="C3327" s="1" t="s">
        <v>3877</v>
      </c>
      <c r="D3327" s="22" t="str">
        <f>HYPERLINK("https://rhld.insurance.arkansas.gov/NPILookup?Npi=1851845895","1851845895")</f>
        <v>1851845895</v>
      </c>
      <c r="E3327" s="1" t="s">
        <v>9971</v>
      </c>
      <c r="F3327" s="2"/>
      <c r="G3327" s="2"/>
      <c r="H3327" s="2"/>
    </row>
    <row r="3328" spans="1:8" x14ac:dyDescent="0.25">
      <c r="A3328" s="1"/>
      <c r="B3328" s="1" t="s">
        <v>3876</v>
      </c>
      <c r="C3328" s="1" t="s">
        <v>3877</v>
      </c>
      <c r="D3328" s="22" t="str">
        <f>HYPERLINK("https://rhld.insurance.arkansas.gov/NPILookup?Npi=1861604886","1861604886")</f>
        <v>1861604886</v>
      </c>
      <c r="E3328" s="1" t="s">
        <v>2506</v>
      </c>
      <c r="F3328" s="2"/>
      <c r="G3328" s="2"/>
      <c r="H3328" s="2"/>
    </row>
    <row r="3329" spans="1:8" x14ac:dyDescent="0.25">
      <c r="A3329" s="1"/>
      <c r="B3329" s="1" t="s">
        <v>3876</v>
      </c>
      <c r="C3329" s="1" t="s">
        <v>3877</v>
      </c>
      <c r="D3329" s="22" t="str">
        <f>HYPERLINK("https://rhld.insurance.arkansas.gov/NPILookup?Npi=1861705360","1861705360")</f>
        <v>1861705360</v>
      </c>
      <c r="E3329" s="1" t="s">
        <v>16268</v>
      </c>
      <c r="F3329" s="2"/>
      <c r="G3329" s="2"/>
      <c r="H3329" s="2"/>
    </row>
    <row r="3330" spans="1:8" x14ac:dyDescent="0.25">
      <c r="A3330" s="1"/>
      <c r="B3330" s="1" t="s">
        <v>3876</v>
      </c>
      <c r="C3330" s="1" t="s">
        <v>3877</v>
      </c>
      <c r="D3330" s="22" t="str">
        <f>HYPERLINK("https://rhld.insurance.arkansas.gov/NPILookup?Npi=1861813818","1861813818")</f>
        <v>1861813818</v>
      </c>
      <c r="E3330" s="1" t="s">
        <v>9972</v>
      </c>
      <c r="F3330" s="2"/>
      <c r="G3330" s="2"/>
      <c r="H3330" s="2"/>
    </row>
    <row r="3331" spans="1:8" x14ac:dyDescent="0.25">
      <c r="A3331" s="1"/>
      <c r="B3331" s="1" t="s">
        <v>3876</v>
      </c>
      <c r="C3331" s="1" t="s">
        <v>3877</v>
      </c>
      <c r="D3331" s="22" t="str">
        <f>HYPERLINK("https://rhld.insurance.arkansas.gov/NPILookup?Npi=1871504118","1871504118")</f>
        <v>1871504118</v>
      </c>
      <c r="E3331" s="1" t="s">
        <v>16269</v>
      </c>
      <c r="F3331" s="2"/>
      <c r="G3331" s="2"/>
      <c r="H3331" s="2"/>
    </row>
    <row r="3332" spans="1:8" x14ac:dyDescent="0.25">
      <c r="A3332" s="1"/>
      <c r="B3332" s="1" t="s">
        <v>3876</v>
      </c>
      <c r="C3332" s="1" t="s">
        <v>3877</v>
      </c>
      <c r="D3332" s="22" t="str">
        <f>HYPERLINK("https://rhld.insurance.arkansas.gov/NPILookup?Npi=1871563635","1871563635")</f>
        <v>1871563635</v>
      </c>
      <c r="E3332" s="1" t="s">
        <v>16270</v>
      </c>
      <c r="F3332" s="2"/>
      <c r="G3332" s="2"/>
      <c r="H3332" s="2"/>
    </row>
    <row r="3333" spans="1:8" x14ac:dyDescent="0.25">
      <c r="A3333" s="1"/>
      <c r="B3333" s="1" t="s">
        <v>3876</v>
      </c>
      <c r="C3333" s="1" t="s">
        <v>3877</v>
      </c>
      <c r="D3333" s="22" t="str">
        <f>HYPERLINK("https://rhld.insurance.arkansas.gov/NPILookup?Npi=1871664235","1871664235")</f>
        <v>1871664235</v>
      </c>
      <c r="E3333" s="1" t="s">
        <v>4015</v>
      </c>
      <c r="F3333" s="2"/>
      <c r="G3333" s="2"/>
      <c r="H3333" s="2"/>
    </row>
    <row r="3334" spans="1:8" x14ac:dyDescent="0.25">
      <c r="A3334" s="1"/>
      <c r="B3334" s="1" t="s">
        <v>3876</v>
      </c>
      <c r="C3334" s="1" t="s">
        <v>3877</v>
      </c>
      <c r="D3334" s="22" t="str">
        <f>HYPERLINK("https://rhld.insurance.arkansas.gov/NPILookup?Npi=1871783464","1871783464")</f>
        <v>1871783464</v>
      </c>
      <c r="E3334" s="1" t="s">
        <v>3998</v>
      </c>
      <c r="F3334" s="2"/>
      <c r="G3334" s="2"/>
      <c r="H3334" s="2"/>
    </row>
    <row r="3335" spans="1:8" x14ac:dyDescent="0.25">
      <c r="A3335" s="1"/>
      <c r="B3335" s="1" t="s">
        <v>3876</v>
      </c>
      <c r="C3335" s="1" t="s">
        <v>3877</v>
      </c>
      <c r="D3335" s="22" t="str">
        <f>HYPERLINK("https://rhld.insurance.arkansas.gov/NPILookup?Npi=1871812362","1871812362")</f>
        <v>1871812362</v>
      </c>
      <c r="E3335" s="1" t="s">
        <v>16271</v>
      </c>
      <c r="F3335" s="2"/>
      <c r="G3335" s="2"/>
      <c r="H3335" s="2"/>
    </row>
    <row r="3336" spans="1:8" x14ac:dyDescent="0.25">
      <c r="A3336" s="1"/>
      <c r="B3336" s="1" t="s">
        <v>3876</v>
      </c>
      <c r="C3336" s="1" t="s">
        <v>3877</v>
      </c>
      <c r="D3336" s="22" t="str">
        <f>HYPERLINK("https://rhld.insurance.arkansas.gov/NPILookup?Npi=1871833244","1871833244")</f>
        <v>1871833244</v>
      </c>
      <c r="E3336" s="1" t="s">
        <v>16272</v>
      </c>
      <c r="F3336" s="2"/>
      <c r="G3336" s="2"/>
      <c r="H3336" s="2"/>
    </row>
    <row r="3337" spans="1:8" x14ac:dyDescent="0.25">
      <c r="A3337" s="1"/>
      <c r="B3337" s="1" t="s">
        <v>3876</v>
      </c>
      <c r="C3337" s="1" t="s">
        <v>3877</v>
      </c>
      <c r="D3337" s="22" t="str">
        <f>HYPERLINK("https://rhld.insurance.arkansas.gov/NPILookup?Npi=1881256741","1881256741")</f>
        <v>1881256741</v>
      </c>
      <c r="E3337" s="1" t="s">
        <v>16273</v>
      </c>
      <c r="F3337" s="2"/>
      <c r="G3337" s="2"/>
      <c r="H3337" s="2"/>
    </row>
    <row r="3338" spans="1:8" x14ac:dyDescent="0.25">
      <c r="A3338" s="1"/>
      <c r="B3338" s="1" t="s">
        <v>3876</v>
      </c>
      <c r="C3338" s="1" t="s">
        <v>3877</v>
      </c>
      <c r="D3338" s="22" t="str">
        <f>HYPERLINK("https://rhld.insurance.arkansas.gov/NPILookup?Npi=1881343143","1881343143")</f>
        <v>1881343143</v>
      </c>
      <c r="E3338" s="1" t="s">
        <v>16274</v>
      </c>
      <c r="F3338" s="2"/>
      <c r="G3338" s="2"/>
      <c r="H3338" s="2"/>
    </row>
    <row r="3339" spans="1:8" x14ac:dyDescent="0.25">
      <c r="A3339" s="1"/>
      <c r="B3339" s="1" t="s">
        <v>3876</v>
      </c>
      <c r="C3339" s="1" t="s">
        <v>3877</v>
      </c>
      <c r="D3339" s="22" t="str">
        <f>HYPERLINK("https://rhld.insurance.arkansas.gov/NPILookup?Npi=1881346914","1881346914")</f>
        <v>1881346914</v>
      </c>
      <c r="E3339" s="1" t="s">
        <v>16275</v>
      </c>
      <c r="F3339" s="2"/>
      <c r="G3339" s="2"/>
      <c r="H3339" s="2"/>
    </row>
    <row r="3340" spans="1:8" x14ac:dyDescent="0.25">
      <c r="A3340" s="1"/>
      <c r="B3340" s="1" t="s">
        <v>3876</v>
      </c>
      <c r="C3340" s="1" t="s">
        <v>3877</v>
      </c>
      <c r="D3340" s="22" t="str">
        <f>HYPERLINK("https://rhld.insurance.arkansas.gov/NPILookup?Npi=1881367803","1881367803")</f>
        <v>1881367803</v>
      </c>
      <c r="E3340" s="1" t="s">
        <v>16276</v>
      </c>
      <c r="F3340" s="2"/>
      <c r="G3340" s="2"/>
      <c r="H3340" s="2"/>
    </row>
    <row r="3341" spans="1:8" x14ac:dyDescent="0.25">
      <c r="A3341" s="1"/>
      <c r="B3341" s="1" t="s">
        <v>3876</v>
      </c>
      <c r="C3341" s="1" t="s">
        <v>3877</v>
      </c>
      <c r="D3341" s="22" t="str">
        <f>HYPERLINK("https://rhld.insurance.arkansas.gov/NPILookup?Npi=1881423721","1881423721")</f>
        <v>1881423721</v>
      </c>
      <c r="E3341" s="1" t="s">
        <v>31347</v>
      </c>
      <c r="F3341" s="2"/>
      <c r="G3341" s="2"/>
      <c r="H3341" s="2"/>
    </row>
    <row r="3342" spans="1:8" x14ac:dyDescent="0.25">
      <c r="A3342" s="1"/>
      <c r="B3342" s="1" t="s">
        <v>3876</v>
      </c>
      <c r="C3342" s="1" t="s">
        <v>3877</v>
      </c>
      <c r="D3342" s="22" t="str">
        <f>HYPERLINK("https://rhld.insurance.arkansas.gov/NPILookup?Npi=1881660637","1881660637")</f>
        <v>1881660637</v>
      </c>
      <c r="E3342" s="1" t="s">
        <v>4016</v>
      </c>
      <c r="F3342" s="2"/>
      <c r="G3342" s="2"/>
      <c r="H3342" s="2"/>
    </row>
    <row r="3343" spans="1:8" x14ac:dyDescent="0.25">
      <c r="A3343" s="1"/>
      <c r="B3343" s="1" t="s">
        <v>3876</v>
      </c>
      <c r="C3343" s="1" t="s">
        <v>3877</v>
      </c>
      <c r="D3343" s="22" t="str">
        <f>HYPERLINK("https://rhld.insurance.arkansas.gov/NPILookup?Npi=1881886893","1881886893")</f>
        <v>1881886893</v>
      </c>
      <c r="E3343" s="1" t="s">
        <v>16277</v>
      </c>
      <c r="F3343" s="2"/>
      <c r="G3343" s="2"/>
      <c r="H3343" s="2"/>
    </row>
    <row r="3344" spans="1:8" x14ac:dyDescent="0.25">
      <c r="A3344" s="1"/>
      <c r="B3344" s="1" t="s">
        <v>3876</v>
      </c>
      <c r="C3344" s="1" t="s">
        <v>3877</v>
      </c>
      <c r="D3344" s="22" t="str">
        <f>HYPERLINK("https://rhld.insurance.arkansas.gov/NPILookup?Npi=1891165395","1891165395")</f>
        <v>1891165395</v>
      </c>
      <c r="E3344" s="1" t="s">
        <v>16278</v>
      </c>
      <c r="F3344" s="2"/>
      <c r="G3344" s="2"/>
      <c r="H3344" s="2"/>
    </row>
    <row r="3345" spans="1:8" x14ac:dyDescent="0.25">
      <c r="A3345" s="1"/>
      <c r="B3345" s="1" t="s">
        <v>3876</v>
      </c>
      <c r="C3345" s="1" t="s">
        <v>3877</v>
      </c>
      <c r="D3345" s="22" t="str">
        <f>HYPERLINK("https://rhld.insurance.arkansas.gov/NPILookup?Npi=1891421350","1891421350")</f>
        <v>1891421350</v>
      </c>
      <c r="E3345" s="1" t="s">
        <v>4017</v>
      </c>
      <c r="F3345" s="2"/>
      <c r="G3345" s="2"/>
      <c r="H3345" s="2"/>
    </row>
    <row r="3346" spans="1:8" x14ac:dyDescent="0.25">
      <c r="A3346" s="1"/>
      <c r="B3346" s="1" t="s">
        <v>3876</v>
      </c>
      <c r="C3346" s="1" t="s">
        <v>3877</v>
      </c>
      <c r="D3346" s="22" t="str">
        <f>HYPERLINK("https://rhld.insurance.arkansas.gov/NPILookup?Npi=1891865358","1891865358")</f>
        <v>1891865358</v>
      </c>
      <c r="E3346" s="1" t="s">
        <v>16279</v>
      </c>
      <c r="F3346" s="2"/>
      <c r="G3346" s="2"/>
      <c r="H3346" s="2"/>
    </row>
    <row r="3347" spans="1:8" x14ac:dyDescent="0.25">
      <c r="A3347" s="1"/>
      <c r="B3347" s="1" t="s">
        <v>3876</v>
      </c>
      <c r="C3347" s="1" t="s">
        <v>3877</v>
      </c>
      <c r="D3347" s="22" t="str">
        <f>HYPERLINK("https://rhld.insurance.arkansas.gov/NPILookup?Npi=1891897401","1891897401")</f>
        <v>1891897401</v>
      </c>
      <c r="E3347" s="1" t="s">
        <v>16280</v>
      </c>
      <c r="F3347" s="2"/>
      <c r="G3347" s="2"/>
      <c r="H3347" s="2"/>
    </row>
    <row r="3348" spans="1:8" x14ac:dyDescent="0.25">
      <c r="A3348" s="1"/>
      <c r="B3348" s="1" t="s">
        <v>3876</v>
      </c>
      <c r="C3348" s="1" t="s">
        <v>3877</v>
      </c>
      <c r="D3348" s="22" t="str">
        <f>HYPERLINK("https://rhld.insurance.arkansas.gov/NPILookup?Npi=1902804743","1902804743")</f>
        <v>1902804743</v>
      </c>
      <c r="E3348" s="1" t="s">
        <v>16281</v>
      </c>
      <c r="F3348" s="2"/>
      <c r="G3348" s="2"/>
      <c r="H3348" s="2"/>
    </row>
    <row r="3349" spans="1:8" x14ac:dyDescent="0.25">
      <c r="A3349" s="1"/>
      <c r="B3349" s="1" t="s">
        <v>3876</v>
      </c>
      <c r="C3349" s="1" t="s">
        <v>3877</v>
      </c>
      <c r="D3349" s="22" t="str">
        <f>HYPERLINK("https://rhld.insurance.arkansas.gov/NPILookup?Npi=1902846959","1902846959")</f>
        <v>1902846959</v>
      </c>
      <c r="E3349" s="1" t="s">
        <v>16282</v>
      </c>
      <c r="F3349" s="2"/>
      <c r="G3349" s="2"/>
      <c r="H3349" s="2"/>
    </row>
    <row r="3350" spans="1:8" x14ac:dyDescent="0.25">
      <c r="A3350" s="1"/>
      <c r="B3350" s="1" t="s">
        <v>3876</v>
      </c>
      <c r="C3350" s="1" t="s">
        <v>3877</v>
      </c>
      <c r="D3350" s="22" t="str">
        <f>HYPERLINK("https://rhld.insurance.arkansas.gov/NPILookup?Npi=1902849896","1902849896")</f>
        <v>1902849896</v>
      </c>
      <c r="E3350" s="1" t="s">
        <v>4018</v>
      </c>
      <c r="F3350" s="2"/>
      <c r="G3350" s="2"/>
      <c r="H3350" s="2"/>
    </row>
    <row r="3351" spans="1:8" x14ac:dyDescent="0.25">
      <c r="A3351" s="1"/>
      <c r="B3351" s="1" t="s">
        <v>3876</v>
      </c>
      <c r="C3351" s="1" t="s">
        <v>3877</v>
      </c>
      <c r="D3351" s="22" t="str">
        <f>HYPERLINK("https://rhld.insurance.arkansas.gov/NPILookup?Npi=1902859176","1902859176")</f>
        <v>1902859176</v>
      </c>
      <c r="E3351" s="1" t="s">
        <v>16283</v>
      </c>
      <c r="F3351" s="2"/>
      <c r="G3351" s="2"/>
      <c r="H3351" s="2"/>
    </row>
    <row r="3352" spans="1:8" x14ac:dyDescent="0.25">
      <c r="A3352" s="1"/>
      <c r="B3352" s="1" t="s">
        <v>3876</v>
      </c>
      <c r="C3352" s="1" t="s">
        <v>3877</v>
      </c>
      <c r="D3352" s="22" t="str">
        <f>HYPERLINK("https://rhld.insurance.arkansas.gov/NPILookup?Npi=1902859267","1902859267")</f>
        <v>1902859267</v>
      </c>
      <c r="E3352" s="1" t="s">
        <v>16284</v>
      </c>
      <c r="F3352" s="2"/>
      <c r="G3352" s="2"/>
      <c r="H3352" s="2"/>
    </row>
    <row r="3353" spans="1:8" x14ac:dyDescent="0.25">
      <c r="A3353" s="1"/>
      <c r="B3353" s="1" t="s">
        <v>3876</v>
      </c>
      <c r="C3353" s="1" t="s">
        <v>3877</v>
      </c>
      <c r="D3353" s="22" t="str">
        <f>HYPERLINK("https://rhld.insurance.arkansas.gov/NPILookup?Npi=1912306259","1912306259")</f>
        <v>1912306259</v>
      </c>
      <c r="E3353" s="1" t="s">
        <v>16285</v>
      </c>
      <c r="F3353" s="2"/>
      <c r="G3353" s="2"/>
      <c r="H3353" s="2"/>
    </row>
    <row r="3354" spans="1:8" x14ac:dyDescent="0.25">
      <c r="A3354" s="1"/>
      <c r="B3354" s="1" t="s">
        <v>3876</v>
      </c>
      <c r="C3354" s="1" t="s">
        <v>3877</v>
      </c>
      <c r="D3354" s="22" t="str">
        <f>HYPERLINK("https://rhld.insurance.arkansas.gov/NPILookup?Npi=1912324047","1912324047")</f>
        <v>1912324047</v>
      </c>
      <c r="E3354" s="1" t="s">
        <v>16286</v>
      </c>
      <c r="F3354" s="2"/>
      <c r="G3354" s="2"/>
      <c r="H3354" s="2"/>
    </row>
    <row r="3355" spans="1:8" x14ac:dyDescent="0.25">
      <c r="A3355" s="1"/>
      <c r="B3355" s="1" t="s">
        <v>3876</v>
      </c>
      <c r="C3355" s="1" t="s">
        <v>3877</v>
      </c>
      <c r="D3355" s="22" t="str">
        <f>HYPERLINK("https://rhld.insurance.arkansas.gov/NPILookup?Npi=1912329897","1912329897")</f>
        <v>1912329897</v>
      </c>
      <c r="E3355" s="1" t="s">
        <v>4019</v>
      </c>
      <c r="F3355" s="2"/>
      <c r="G3355" s="2"/>
      <c r="H3355" s="2"/>
    </row>
    <row r="3356" spans="1:8" x14ac:dyDescent="0.25">
      <c r="A3356" s="1"/>
      <c r="B3356" s="1" t="s">
        <v>3876</v>
      </c>
      <c r="C3356" s="1" t="s">
        <v>3877</v>
      </c>
      <c r="D3356" s="22" t="str">
        <f>HYPERLINK("https://rhld.insurance.arkansas.gov/NPILookup?Npi=1912411976","1912411976")</f>
        <v>1912411976</v>
      </c>
      <c r="E3356" s="1" t="s">
        <v>4020</v>
      </c>
      <c r="F3356" s="2"/>
      <c r="G3356" s="2"/>
      <c r="H3356" s="2"/>
    </row>
    <row r="3357" spans="1:8" x14ac:dyDescent="0.25">
      <c r="A3357" s="1"/>
      <c r="B3357" s="1" t="s">
        <v>3876</v>
      </c>
      <c r="C3357" s="1" t="s">
        <v>3877</v>
      </c>
      <c r="D3357" s="22" t="str">
        <f>HYPERLINK("https://rhld.insurance.arkansas.gov/NPILookup?Npi=1912436825","1912436825")</f>
        <v>1912436825</v>
      </c>
      <c r="E3357" s="1" t="s">
        <v>16287</v>
      </c>
      <c r="F3357" s="2"/>
      <c r="G3357" s="2"/>
      <c r="H3357" s="2"/>
    </row>
    <row r="3358" spans="1:8" x14ac:dyDescent="0.25">
      <c r="A3358" s="1"/>
      <c r="B3358" s="1" t="s">
        <v>3876</v>
      </c>
      <c r="C3358" s="1" t="s">
        <v>3877</v>
      </c>
      <c r="D3358" s="22" t="str">
        <f>HYPERLINK("https://rhld.insurance.arkansas.gov/NPILookup?Npi=1912906520","1912906520")</f>
        <v>1912906520</v>
      </c>
      <c r="E3358" s="1" t="s">
        <v>4021</v>
      </c>
      <c r="F3358" s="2"/>
      <c r="G3358" s="2"/>
      <c r="H3358" s="2"/>
    </row>
    <row r="3359" spans="1:8" x14ac:dyDescent="0.25">
      <c r="A3359" s="1"/>
      <c r="B3359" s="1" t="s">
        <v>3876</v>
      </c>
      <c r="C3359" s="1" t="s">
        <v>3877</v>
      </c>
      <c r="D3359" s="22" t="str">
        <f>HYPERLINK("https://rhld.insurance.arkansas.gov/NPILookup?Npi=1912926171","1912926171")</f>
        <v>1912926171</v>
      </c>
      <c r="E3359" s="1" t="s">
        <v>16288</v>
      </c>
      <c r="F3359" s="2"/>
      <c r="G3359" s="2"/>
      <c r="H3359" s="2"/>
    </row>
    <row r="3360" spans="1:8" x14ac:dyDescent="0.25">
      <c r="A3360" s="1"/>
      <c r="B3360" s="1" t="s">
        <v>3876</v>
      </c>
      <c r="C3360" s="1" t="s">
        <v>3877</v>
      </c>
      <c r="D3360" s="22" t="str">
        <f>HYPERLINK("https://rhld.insurance.arkansas.gov/NPILookup?Npi=1912932252","1912932252")</f>
        <v>1912932252</v>
      </c>
      <c r="E3360" s="1" t="s">
        <v>16289</v>
      </c>
      <c r="F3360" s="2"/>
      <c r="G3360" s="2"/>
      <c r="H3360" s="2"/>
    </row>
    <row r="3361" spans="1:8" x14ac:dyDescent="0.25">
      <c r="A3361" s="1"/>
      <c r="B3361" s="1" t="s">
        <v>3876</v>
      </c>
      <c r="C3361" s="1" t="s">
        <v>3877</v>
      </c>
      <c r="D3361" s="22" t="str">
        <f>HYPERLINK("https://rhld.insurance.arkansas.gov/NPILookup?Npi=1922006964","1922006964")</f>
        <v>1922006964</v>
      </c>
      <c r="E3361" s="1" t="s">
        <v>16290</v>
      </c>
      <c r="F3361" s="2"/>
      <c r="G3361" s="2"/>
      <c r="H3361" s="2"/>
    </row>
    <row r="3362" spans="1:8" x14ac:dyDescent="0.25">
      <c r="A3362" s="1"/>
      <c r="B3362" s="1" t="s">
        <v>3876</v>
      </c>
      <c r="C3362" s="1" t="s">
        <v>3877</v>
      </c>
      <c r="D3362" s="22" t="str">
        <f>HYPERLINK("https://rhld.insurance.arkansas.gov/NPILookup?Npi=1922078245","1922078245")</f>
        <v>1922078245</v>
      </c>
      <c r="E3362" s="1" t="s">
        <v>14075</v>
      </c>
      <c r="F3362" s="2"/>
      <c r="G3362" s="2"/>
      <c r="H3362" s="2"/>
    </row>
    <row r="3363" spans="1:8" x14ac:dyDescent="0.25">
      <c r="A3363" s="1"/>
      <c r="B3363" s="1" t="s">
        <v>3876</v>
      </c>
      <c r="C3363" s="1" t="s">
        <v>3877</v>
      </c>
      <c r="D3363" s="22" t="str">
        <f>HYPERLINK("https://rhld.insurance.arkansas.gov/NPILookup?Npi=1922078963","1922078963")</f>
        <v>1922078963</v>
      </c>
      <c r="E3363" s="1" t="s">
        <v>16291</v>
      </c>
      <c r="F3363" s="2"/>
      <c r="G3363" s="2"/>
      <c r="H3363" s="2"/>
    </row>
    <row r="3364" spans="1:8" x14ac:dyDescent="0.25">
      <c r="A3364" s="1"/>
      <c r="B3364" s="1" t="s">
        <v>3876</v>
      </c>
      <c r="C3364" s="1" t="s">
        <v>3877</v>
      </c>
      <c r="D3364" s="22" t="str">
        <f>HYPERLINK("https://rhld.insurance.arkansas.gov/NPILookup?Npi=1922108000","1922108000")</f>
        <v>1922108000</v>
      </c>
      <c r="E3364" s="1" t="s">
        <v>16292</v>
      </c>
      <c r="F3364" s="2"/>
      <c r="G3364" s="2"/>
      <c r="H3364" s="2"/>
    </row>
    <row r="3365" spans="1:8" x14ac:dyDescent="0.25">
      <c r="A3365" s="1"/>
      <c r="B3365" s="1" t="s">
        <v>3876</v>
      </c>
      <c r="C3365" s="1" t="s">
        <v>3877</v>
      </c>
      <c r="D3365" s="22" t="str">
        <f>HYPERLINK("https://rhld.insurance.arkansas.gov/NPILookup?Npi=1922111897","1922111897")</f>
        <v>1922111897</v>
      </c>
      <c r="E3365" s="1" t="s">
        <v>4022</v>
      </c>
      <c r="F3365" s="2"/>
      <c r="G3365" s="2"/>
      <c r="H3365" s="2"/>
    </row>
    <row r="3366" spans="1:8" x14ac:dyDescent="0.25">
      <c r="A3366" s="1"/>
      <c r="B3366" s="1" t="s">
        <v>3876</v>
      </c>
      <c r="C3366" s="1" t="s">
        <v>3877</v>
      </c>
      <c r="D3366" s="22" t="str">
        <f>HYPERLINK("https://rhld.insurance.arkansas.gov/NPILookup?Npi=1922166958","1922166958")</f>
        <v>1922166958</v>
      </c>
      <c r="E3366" s="1" t="s">
        <v>16293</v>
      </c>
      <c r="F3366" s="2"/>
      <c r="G3366" s="2"/>
      <c r="H3366" s="2"/>
    </row>
    <row r="3367" spans="1:8" x14ac:dyDescent="0.25">
      <c r="A3367" s="1"/>
      <c r="B3367" s="1" t="s">
        <v>3876</v>
      </c>
      <c r="C3367" s="1" t="s">
        <v>3877</v>
      </c>
      <c r="D3367" s="22" t="str">
        <f>HYPERLINK("https://rhld.insurance.arkansas.gov/NPILookup?Npi=1922386507","1922386507")</f>
        <v>1922386507</v>
      </c>
      <c r="E3367" s="1" t="s">
        <v>16294</v>
      </c>
      <c r="F3367" s="2"/>
      <c r="G3367" s="2"/>
      <c r="H3367" s="2"/>
    </row>
    <row r="3368" spans="1:8" x14ac:dyDescent="0.25">
      <c r="A3368" s="1"/>
      <c r="B3368" s="1" t="s">
        <v>3876</v>
      </c>
      <c r="C3368" s="1" t="s">
        <v>3877</v>
      </c>
      <c r="D3368" s="22" t="str">
        <f>HYPERLINK("https://rhld.insurance.arkansas.gov/NPILookup?Npi=1922424035","1922424035")</f>
        <v>1922424035</v>
      </c>
      <c r="E3368" s="1" t="s">
        <v>16295</v>
      </c>
      <c r="F3368" s="2"/>
      <c r="G3368" s="2"/>
      <c r="H3368" s="2"/>
    </row>
    <row r="3369" spans="1:8" x14ac:dyDescent="0.25">
      <c r="A3369" s="1"/>
      <c r="B3369" s="1" t="s">
        <v>3876</v>
      </c>
      <c r="C3369" s="1" t="s">
        <v>3877</v>
      </c>
      <c r="D3369" s="22" t="str">
        <f>HYPERLINK("https://rhld.insurance.arkansas.gov/NPILookup?Npi=1922436864","1922436864")</f>
        <v>1922436864</v>
      </c>
      <c r="E3369" s="1" t="s">
        <v>9973</v>
      </c>
      <c r="F3369" s="2"/>
      <c r="G3369" s="2"/>
      <c r="H3369" s="2"/>
    </row>
    <row r="3370" spans="1:8" x14ac:dyDescent="0.25">
      <c r="A3370" s="1"/>
      <c r="B3370" s="1" t="s">
        <v>3876</v>
      </c>
      <c r="C3370" s="1" t="s">
        <v>3877</v>
      </c>
      <c r="D3370" s="22" t="str">
        <f>HYPERLINK("https://rhld.insurance.arkansas.gov/NPILookup?Npi=1922547116","1922547116")</f>
        <v>1922547116</v>
      </c>
      <c r="E3370" s="1" t="s">
        <v>16296</v>
      </c>
      <c r="F3370" s="2"/>
      <c r="G3370" s="2"/>
      <c r="H3370" s="2"/>
    </row>
    <row r="3371" spans="1:8" x14ac:dyDescent="0.25">
      <c r="A3371" s="1"/>
      <c r="B3371" s="1" t="s">
        <v>3876</v>
      </c>
      <c r="C3371" s="1" t="s">
        <v>3877</v>
      </c>
      <c r="D3371" s="22" t="str">
        <f>HYPERLINK("https://rhld.insurance.arkansas.gov/NPILookup?Npi=1922638303","1922638303")</f>
        <v>1922638303</v>
      </c>
      <c r="E3371" s="1" t="s">
        <v>4023</v>
      </c>
      <c r="F3371" s="2"/>
      <c r="G3371" s="2"/>
      <c r="H3371" s="2"/>
    </row>
    <row r="3372" spans="1:8" x14ac:dyDescent="0.25">
      <c r="A3372" s="1"/>
      <c r="B3372" s="1" t="s">
        <v>3876</v>
      </c>
      <c r="C3372" s="1" t="s">
        <v>3877</v>
      </c>
      <c r="D3372" s="22" t="str">
        <f>HYPERLINK("https://rhld.insurance.arkansas.gov/NPILookup?Npi=1922697119","1922697119")</f>
        <v>1922697119</v>
      </c>
      <c r="E3372" s="1" t="s">
        <v>16297</v>
      </c>
      <c r="F3372" s="2"/>
      <c r="G3372" s="2"/>
      <c r="H3372" s="2"/>
    </row>
    <row r="3373" spans="1:8" x14ac:dyDescent="0.25">
      <c r="A3373" s="1"/>
      <c r="B3373" s="1" t="s">
        <v>3876</v>
      </c>
      <c r="C3373" s="1" t="s">
        <v>3877</v>
      </c>
      <c r="D3373" s="22" t="str">
        <f>HYPERLINK("https://rhld.insurance.arkansas.gov/NPILookup?Npi=1932103892","1932103892")</f>
        <v>1932103892</v>
      </c>
      <c r="E3373" s="1" t="s">
        <v>9974</v>
      </c>
      <c r="F3373" s="2"/>
      <c r="G3373" s="2"/>
      <c r="H3373" s="2"/>
    </row>
    <row r="3374" spans="1:8" x14ac:dyDescent="0.25">
      <c r="A3374" s="1"/>
      <c r="B3374" s="1" t="s">
        <v>3876</v>
      </c>
      <c r="C3374" s="1" t="s">
        <v>3877</v>
      </c>
      <c r="D3374" s="22" t="str">
        <f>HYPERLINK("https://rhld.insurance.arkansas.gov/NPILookup?Npi=1932143252","1932143252")</f>
        <v>1932143252</v>
      </c>
      <c r="E3374" s="1" t="s">
        <v>16298</v>
      </c>
      <c r="F3374" s="2"/>
      <c r="G3374" s="2"/>
      <c r="H3374" s="2"/>
    </row>
    <row r="3375" spans="1:8" x14ac:dyDescent="0.25">
      <c r="A3375" s="1"/>
      <c r="B3375" s="1" t="s">
        <v>3876</v>
      </c>
      <c r="C3375" s="1" t="s">
        <v>3877</v>
      </c>
      <c r="D3375" s="22" t="str">
        <f>HYPERLINK("https://rhld.insurance.arkansas.gov/NPILookup?Npi=1932194081","1932194081")</f>
        <v>1932194081</v>
      </c>
      <c r="E3375" s="1" t="s">
        <v>4024</v>
      </c>
      <c r="F3375" s="2"/>
      <c r="G3375" s="2"/>
      <c r="H3375" s="2"/>
    </row>
    <row r="3376" spans="1:8" x14ac:dyDescent="0.25">
      <c r="A3376" s="1"/>
      <c r="B3376" s="1" t="s">
        <v>3876</v>
      </c>
      <c r="C3376" s="1" t="s">
        <v>3877</v>
      </c>
      <c r="D3376" s="22" t="str">
        <f>HYPERLINK("https://rhld.insurance.arkansas.gov/NPILookup?Npi=1932282662","1932282662")</f>
        <v>1932282662</v>
      </c>
      <c r="E3376" s="1" t="s">
        <v>3986</v>
      </c>
      <c r="F3376" s="2"/>
      <c r="G3376" s="2"/>
      <c r="H3376" s="2"/>
    </row>
    <row r="3377" spans="1:8" x14ac:dyDescent="0.25">
      <c r="A3377" s="1"/>
      <c r="B3377" s="1" t="s">
        <v>3876</v>
      </c>
      <c r="C3377" s="1" t="s">
        <v>3877</v>
      </c>
      <c r="D3377" s="22" t="str">
        <f>HYPERLINK("https://rhld.insurance.arkansas.gov/NPILookup?Npi=1932474160","1932474160")</f>
        <v>1932474160</v>
      </c>
      <c r="E3377" s="1" t="s">
        <v>16299</v>
      </c>
      <c r="F3377" s="2"/>
      <c r="G3377" s="2"/>
      <c r="H3377" s="2"/>
    </row>
    <row r="3378" spans="1:8" x14ac:dyDescent="0.25">
      <c r="A3378" s="1"/>
      <c r="B3378" s="1" t="s">
        <v>3876</v>
      </c>
      <c r="C3378" s="1" t="s">
        <v>3877</v>
      </c>
      <c r="D3378" s="22" t="str">
        <f>HYPERLINK("https://rhld.insurance.arkansas.gov/NPILookup?Npi=1932686722","1932686722")</f>
        <v>1932686722</v>
      </c>
      <c r="E3378" s="1" t="s">
        <v>9975</v>
      </c>
      <c r="F3378" s="2"/>
      <c r="G3378" s="2"/>
      <c r="H3378" s="2"/>
    </row>
    <row r="3379" spans="1:8" x14ac:dyDescent="0.25">
      <c r="A3379" s="1"/>
      <c r="B3379" s="1" t="s">
        <v>3876</v>
      </c>
      <c r="C3379" s="1" t="s">
        <v>3877</v>
      </c>
      <c r="D3379" s="22" t="str">
        <f>HYPERLINK("https://rhld.insurance.arkansas.gov/NPILookup?Npi=1942207964","1942207964")</f>
        <v>1942207964</v>
      </c>
      <c r="E3379" s="1" t="s">
        <v>16300</v>
      </c>
      <c r="F3379" s="2"/>
      <c r="G3379" s="2"/>
      <c r="H3379" s="2"/>
    </row>
    <row r="3380" spans="1:8" x14ac:dyDescent="0.25">
      <c r="A3380" s="1"/>
      <c r="B3380" s="1" t="s">
        <v>3876</v>
      </c>
      <c r="C3380" s="1" t="s">
        <v>3877</v>
      </c>
      <c r="D3380" s="22" t="str">
        <f>HYPERLINK("https://rhld.insurance.arkansas.gov/NPILookup?Npi=1942208996","1942208996")</f>
        <v>1942208996</v>
      </c>
      <c r="E3380" s="1" t="s">
        <v>16301</v>
      </c>
      <c r="F3380" s="2"/>
      <c r="G3380" s="2"/>
      <c r="H3380" s="2"/>
    </row>
    <row r="3381" spans="1:8" x14ac:dyDescent="0.25">
      <c r="A3381" s="1"/>
      <c r="B3381" s="1" t="s">
        <v>3876</v>
      </c>
      <c r="C3381" s="1" t="s">
        <v>3877</v>
      </c>
      <c r="D3381" s="22" t="str">
        <f>HYPERLINK("https://rhld.insurance.arkansas.gov/NPILookup?Npi=1942260658","1942260658")</f>
        <v>1942260658</v>
      </c>
      <c r="E3381" s="1" t="s">
        <v>16302</v>
      </c>
      <c r="F3381" s="2"/>
      <c r="G3381" s="2"/>
      <c r="H3381" s="2"/>
    </row>
    <row r="3382" spans="1:8" x14ac:dyDescent="0.25">
      <c r="A3382" s="1"/>
      <c r="B3382" s="1" t="s">
        <v>3876</v>
      </c>
      <c r="C3382" s="1" t="s">
        <v>3877</v>
      </c>
      <c r="D3382" s="22" t="str">
        <f>HYPERLINK("https://rhld.insurance.arkansas.gov/NPILookup?Npi=1942276217","1942276217")</f>
        <v>1942276217</v>
      </c>
      <c r="E3382" s="1" t="s">
        <v>4025</v>
      </c>
      <c r="F3382" s="2"/>
      <c r="G3382" s="2"/>
      <c r="H3382" s="2"/>
    </row>
    <row r="3383" spans="1:8" x14ac:dyDescent="0.25">
      <c r="A3383" s="1"/>
      <c r="B3383" s="1" t="s">
        <v>3876</v>
      </c>
      <c r="C3383" s="1" t="s">
        <v>3877</v>
      </c>
      <c r="D3383" s="22" t="str">
        <f>HYPERLINK("https://rhld.insurance.arkansas.gov/NPILookup?Npi=1942354709","1942354709")</f>
        <v>1942354709</v>
      </c>
      <c r="E3383" s="1" t="s">
        <v>16303</v>
      </c>
      <c r="F3383" s="2"/>
      <c r="G3383" s="2"/>
      <c r="H3383" s="2"/>
    </row>
    <row r="3384" spans="1:8" x14ac:dyDescent="0.25">
      <c r="A3384" s="1"/>
      <c r="B3384" s="1" t="s">
        <v>3876</v>
      </c>
      <c r="C3384" s="1" t="s">
        <v>3877</v>
      </c>
      <c r="D3384" s="22" t="str">
        <f>HYPERLINK("https://rhld.insurance.arkansas.gov/NPILookup?Npi=1942383765","1942383765")</f>
        <v>1942383765</v>
      </c>
      <c r="E3384" s="1" t="s">
        <v>4026</v>
      </c>
      <c r="F3384" s="2"/>
      <c r="G3384" s="2"/>
      <c r="H3384" s="2"/>
    </row>
    <row r="3385" spans="1:8" x14ac:dyDescent="0.25">
      <c r="A3385" s="1"/>
      <c r="B3385" s="1" t="s">
        <v>3876</v>
      </c>
      <c r="C3385" s="1" t="s">
        <v>3877</v>
      </c>
      <c r="D3385" s="22" t="str">
        <f>HYPERLINK("https://rhld.insurance.arkansas.gov/NPILookup?Npi=1942460779","1942460779")</f>
        <v>1942460779</v>
      </c>
      <c r="E3385" s="1" t="s">
        <v>16304</v>
      </c>
      <c r="F3385" s="2"/>
      <c r="G3385" s="2"/>
      <c r="H3385" s="2"/>
    </row>
    <row r="3386" spans="1:8" x14ac:dyDescent="0.25">
      <c r="A3386" s="1"/>
      <c r="B3386" s="1" t="s">
        <v>3876</v>
      </c>
      <c r="C3386" s="1" t="s">
        <v>3877</v>
      </c>
      <c r="D3386" s="22" t="str">
        <f>HYPERLINK("https://rhld.insurance.arkansas.gov/NPILookup?Npi=1942529433","1942529433")</f>
        <v>1942529433</v>
      </c>
      <c r="E3386" s="1" t="s">
        <v>16305</v>
      </c>
      <c r="F3386" s="2"/>
      <c r="G3386" s="2"/>
      <c r="H3386" s="2"/>
    </row>
    <row r="3387" spans="1:8" x14ac:dyDescent="0.25">
      <c r="A3387" s="1"/>
      <c r="B3387" s="1" t="s">
        <v>3876</v>
      </c>
      <c r="C3387" s="1" t="s">
        <v>3877</v>
      </c>
      <c r="D3387" s="22" t="str">
        <f>HYPERLINK("https://rhld.insurance.arkansas.gov/NPILookup?Npi=1942611439","1942611439")</f>
        <v>1942611439</v>
      </c>
      <c r="E3387" s="1" t="s">
        <v>4027</v>
      </c>
      <c r="F3387" s="2"/>
      <c r="G3387" s="2"/>
      <c r="H3387" s="2"/>
    </row>
    <row r="3388" spans="1:8" x14ac:dyDescent="0.25">
      <c r="A3388" s="1"/>
      <c r="B3388" s="1" t="s">
        <v>3876</v>
      </c>
      <c r="C3388" s="1" t="s">
        <v>3877</v>
      </c>
      <c r="D3388" s="22" t="str">
        <f>HYPERLINK("https://rhld.insurance.arkansas.gov/NPILookup?Npi=1942655600","1942655600")</f>
        <v>1942655600</v>
      </c>
      <c r="E3388" s="1" t="s">
        <v>4028</v>
      </c>
      <c r="F3388" s="2"/>
      <c r="G3388" s="2"/>
      <c r="H3388" s="2"/>
    </row>
    <row r="3389" spans="1:8" x14ac:dyDescent="0.25">
      <c r="A3389" s="1"/>
      <c r="B3389" s="1" t="s">
        <v>3876</v>
      </c>
      <c r="C3389" s="1" t="s">
        <v>3877</v>
      </c>
      <c r="D3389" s="22" t="str">
        <f>HYPERLINK("https://rhld.insurance.arkansas.gov/NPILookup?Npi=1942896998","1942896998")</f>
        <v>1942896998</v>
      </c>
      <c r="E3389" s="1" t="s">
        <v>31348</v>
      </c>
      <c r="F3389" s="2"/>
      <c r="G3389" s="2"/>
      <c r="H3389" s="2"/>
    </row>
    <row r="3390" spans="1:8" x14ac:dyDescent="0.25">
      <c r="A3390" s="1"/>
      <c r="B3390" s="1" t="s">
        <v>3876</v>
      </c>
      <c r="C3390" s="1" t="s">
        <v>3877</v>
      </c>
      <c r="D3390" s="22" t="str">
        <f>HYPERLINK("https://rhld.insurance.arkansas.gov/NPILookup?Npi=1952311359","1952311359")</f>
        <v>1952311359</v>
      </c>
      <c r="E3390" s="1" t="s">
        <v>16306</v>
      </c>
      <c r="F3390" s="2"/>
      <c r="G3390" s="2"/>
      <c r="H3390" s="2"/>
    </row>
    <row r="3391" spans="1:8" x14ac:dyDescent="0.25">
      <c r="A3391" s="1"/>
      <c r="B3391" s="1" t="s">
        <v>3876</v>
      </c>
      <c r="C3391" s="1" t="s">
        <v>3877</v>
      </c>
      <c r="D3391" s="22" t="str">
        <f>HYPERLINK("https://rhld.insurance.arkansas.gov/NPILookup?Npi=1952415473","1952415473")</f>
        <v>1952415473</v>
      </c>
      <c r="E3391" s="1" t="s">
        <v>16307</v>
      </c>
      <c r="F3391" s="2"/>
      <c r="G3391" s="2"/>
      <c r="H3391" s="2"/>
    </row>
    <row r="3392" spans="1:8" x14ac:dyDescent="0.25">
      <c r="A3392" s="1"/>
      <c r="B3392" s="1" t="s">
        <v>3876</v>
      </c>
      <c r="C3392" s="1" t="s">
        <v>3877</v>
      </c>
      <c r="D3392" s="22" t="str">
        <f>HYPERLINK("https://rhld.insurance.arkansas.gov/NPILookup?Npi=1962147512","1962147512")</f>
        <v>1962147512</v>
      </c>
      <c r="E3392" s="1" t="s">
        <v>16308</v>
      </c>
      <c r="F3392" s="2"/>
      <c r="G3392" s="2"/>
      <c r="H3392" s="2"/>
    </row>
    <row r="3393" spans="1:8" x14ac:dyDescent="0.25">
      <c r="A3393" s="1"/>
      <c r="B3393" s="1" t="s">
        <v>3876</v>
      </c>
      <c r="C3393" s="1" t="s">
        <v>3877</v>
      </c>
      <c r="D3393" s="22" t="str">
        <f>HYPERLINK("https://rhld.insurance.arkansas.gov/NPILookup?Npi=1962274522","1962274522")</f>
        <v>1962274522</v>
      </c>
      <c r="E3393" s="1" t="s">
        <v>4029</v>
      </c>
      <c r="F3393" s="2"/>
      <c r="G3393" s="2"/>
      <c r="H3393" s="2"/>
    </row>
    <row r="3394" spans="1:8" x14ac:dyDescent="0.25">
      <c r="A3394" s="1"/>
      <c r="B3394" s="1" t="s">
        <v>3876</v>
      </c>
      <c r="C3394" s="1" t="s">
        <v>3877</v>
      </c>
      <c r="D3394" s="22" t="str">
        <f>HYPERLINK("https://rhld.insurance.arkansas.gov/NPILookup?Npi=1962462903","1962462903")</f>
        <v>1962462903</v>
      </c>
      <c r="E3394" s="1" t="s">
        <v>9976</v>
      </c>
      <c r="F3394" s="2"/>
      <c r="G3394" s="2"/>
      <c r="H3394" s="2"/>
    </row>
    <row r="3395" spans="1:8" x14ac:dyDescent="0.25">
      <c r="A3395" s="1"/>
      <c r="B3395" s="1" t="s">
        <v>3876</v>
      </c>
      <c r="C3395" s="1" t="s">
        <v>3877</v>
      </c>
      <c r="D3395" s="22" t="str">
        <f>HYPERLINK("https://rhld.insurance.arkansas.gov/NPILookup?Npi=1962488361","1962488361")</f>
        <v>1962488361</v>
      </c>
      <c r="E3395" s="1" t="s">
        <v>9977</v>
      </c>
      <c r="F3395" s="2"/>
      <c r="G3395" s="2"/>
      <c r="H3395" s="2"/>
    </row>
    <row r="3396" spans="1:8" x14ac:dyDescent="0.25">
      <c r="A3396" s="1"/>
      <c r="B3396" s="1" t="s">
        <v>3876</v>
      </c>
      <c r="C3396" s="1" t="s">
        <v>3877</v>
      </c>
      <c r="D3396" s="22" t="str">
        <f>HYPERLINK("https://rhld.insurance.arkansas.gov/NPILookup?Npi=1962585885","1962585885")</f>
        <v>1962585885</v>
      </c>
      <c r="E3396" s="1" t="s">
        <v>4030</v>
      </c>
      <c r="F3396" s="2"/>
      <c r="G3396" s="2"/>
      <c r="H3396" s="2"/>
    </row>
    <row r="3397" spans="1:8" x14ac:dyDescent="0.25">
      <c r="A3397" s="1"/>
      <c r="B3397" s="1" t="s">
        <v>3876</v>
      </c>
      <c r="C3397" s="1" t="s">
        <v>3877</v>
      </c>
      <c r="D3397" s="22" t="str">
        <f>HYPERLINK("https://rhld.insurance.arkansas.gov/NPILookup?Npi=1972677268","1972677268")</f>
        <v>1972677268</v>
      </c>
      <c r="E3397" s="1" t="s">
        <v>4031</v>
      </c>
      <c r="F3397" s="2"/>
      <c r="G3397" s="2"/>
      <c r="H3397" s="2"/>
    </row>
    <row r="3398" spans="1:8" x14ac:dyDescent="0.25">
      <c r="A3398" s="1"/>
      <c r="B3398" s="1" t="s">
        <v>3876</v>
      </c>
      <c r="C3398" s="1" t="s">
        <v>3877</v>
      </c>
      <c r="D3398" s="22" t="str">
        <f>HYPERLINK("https://rhld.insurance.arkansas.gov/NPILookup?Npi=1982028270","1982028270")</f>
        <v>1982028270</v>
      </c>
      <c r="E3398" s="1" t="s">
        <v>16309</v>
      </c>
      <c r="F3398" s="2"/>
      <c r="G3398" s="2"/>
      <c r="H3398" s="2"/>
    </row>
    <row r="3399" spans="1:8" x14ac:dyDescent="0.25">
      <c r="A3399" s="1"/>
      <c r="B3399" s="1" t="s">
        <v>3876</v>
      </c>
      <c r="C3399" s="1" t="s">
        <v>3877</v>
      </c>
      <c r="D3399" s="22" t="str">
        <f>HYPERLINK("https://rhld.insurance.arkansas.gov/NPILookup?Npi=1982053765","1982053765")</f>
        <v>1982053765</v>
      </c>
      <c r="E3399" s="1" t="s">
        <v>9978</v>
      </c>
      <c r="F3399" s="2"/>
      <c r="G3399" s="2"/>
      <c r="H3399" s="2"/>
    </row>
    <row r="3400" spans="1:8" x14ac:dyDescent="0.25">
      <c r="A3400" s="1"/>
      <c r="B3400" s="1" t="s">
        <v>3876</v>
      </c>
      <c r="C3400" s="1" t="s">
        <v>3877</v>
      </c>
      <c r="D3400" s="22" t="str">
        <f>HYPERLINK("https://rhld.insurance.arkansas.gov/NPILookup?Npi=1982111043","1982111043")</f>
        <v>1982111043</v>
      </c>
      <c r="E3400" s="1" t="s">
        <v>16310</v>
      </c>
      <c r="F3400" s="2"/>
      <c r="G3400" s="2"/>
      <c r="H3400" s="2"/>
    </row>
    <row r="3401" spans="1:8" x14ac:dyDescent="0.25">
      <c r="A3401" s="1"/>
      <c r="B3401" s="1" t="s">
        <v>3876</v>
      </c>
      <c r="C3401" s="1" t="s">
        <v>3877</v>
      </c>
      <c r="D3401" s="22" t="str">
        <f>HYPERLINK("https://rhld.insurance.arkansas.gov/NPILookup?Npi=1982112793","1982112793")</f>
        <v>1982112793</v>
      </c>
      <c r="E3401" s="1" t="s">
        <v>4032</v>
      </c>
      <c r="F3401" s="2"/>
      <c r="G3401" s="2"/>
      <c r="H3401" s="2"/>
    </row>
    <row r="3402" spans="1:8" x14ac:dyDescent="0.25">
      <c r="A3402" s="1"/>
      <c r="B3402" s="1" t="s">
        <v>3876</v>
      </c>
      <c r="C3402" s="1" t="s">
        <v>3877</v>
      </c>
      <c r="D3402" s="22" t="str">
        <f>HYPERLINK("https://rhld.insurance.arkansas.gov/NPILookup?Npi=1982162103","1982162103")</f>
        <v>1982162103</v>
      </c>
      <c r="E3402" s="1" t="s">
        <v>4033</v>
      </c>
      <c r="F3402" s="2"/>
      <c r="G3402" s="2"/>
      <c r="H3402" s="2"/>
    </row>
    <row r="3403" spans="1:8" x14ac:dyDescent="0.25">
      <c r="A3403" s="1"/>
      <c r="B3403" s="1" t="s">
        <v>3876</v>
      </c>
      <c r="C3403" s="1" t="s">
        <v>3877</v>
      </c>
      <c r="D3403" s="22" t="str">
        <f>HYPERLINK("https://rhld.insurance.arkansas.gov/NPILookup?Npi=1982318606","1982318606")</f>
        <v>1982318606</v>
      </c>
      <c r="E3403" s="1" t="s">
        <v>16311</v>
      </c>
      <c r="F3403" s="2"/>
      <c r="G3403" s="2"/>
      <c r="H3403" s="2"/>
    </row>
    <row r="3404" spans="1:8" x14ac:dyDescent="0.25">
      <c r="A3404" s="1"/>
      <c r="B3404" s="1" t="s">
        <v>3876</v>
      </c>
      <c r="C3404" s="1" t="s">
        <v>3877</v>
      </c>
      <c r="D3404" s="22" t="str">
        <f>HYPERLINK("https://rhld.insurance.arkansas.gov/NPILookup?Npi=1982370110","1982370110")</f>
        <v>1982370110</v>
      </c>
      <c r="E3404" s="1" t="s">
        <v>16312</v>
      </c>
      <c r="F3404" s="2"/>
      <c r="G3404" s="2"/>
      <c r="H3404" s="2"/>
    </row>
    <row r="3405" spans="1:8" x14ac:dyDescent="0.25">
      <c r="A3405" s="1"/>
      <c r="B3405" s="1" t="s">
        <v>3876</v>
      </c>
      <c r="C3405" s="1" t="s">
        <v>3877</v>
      </c>
      <c r="D3405" s="22" t="str">
        <f>HYPERLINK("https://rhld.insurance.arkansas.gov/NPILookup?Npi=1982753331","1982753331")</f>
        <v>1982753331</v>
      </c>
      <c r="E3405" s="1" t="s">
        <v>16313</v>
      </c>
      <c r="F3405" s="2"/>
      <c r="G3405" s="2"/>
      <c r="H3405" s="2"/>
    </row>
    <row r="3406" spans="1:8" x14ac:dyDescent="0.25">
      <c r="A3406" s="1"/>
      <c r="B3406" s="1" t="s">
        <v>3876</v>
      </c>
      <c r="C3406" s="1" t="s">
        <v>3877</v>
      </c>
      <c r="D3406" s="22" t="str">
        <f>HYPERLINK("https://rhld.insurance.arkansas.gov/NPILookup?Npi=1982941316","1982941316")</f>
        <v>1982941316</v>
      </c>
      <c r="E3406" s="1" t="s">
        <v>16314</v>
      </c>
      <c r="F3406" s="2"/>
      <c r="G3406" s="2"/>
      <c r="H3406" s="2"/>
    </row>
    <row r="3407" spans="1:8" x14ac:dyDescent="0.25">
      <c r="A3407" s="1"/>
      <c r="B3407" s="1" t="s">
        <v>3876</v>
      </c>
      <c r="C3407" s="1" t="s">
        <v>3877</v>
      </c>
      <c r="D3407" s="22" t="str">
        <f>HYPERLINK("https://rhld.insurance.arkansas.gov/NPILookup?Npi=1982991295","1982991295")</f>
        <v>1982991295</v>
      </c>
      <c r="E3407" s="1" t="s">
        <v>16315</v>
      </c>
      <c r="F3407" s="2"/>
      <c r="G3407" s="2"/>
      <c r="H3407" s="2"/>
    </row>
    <row r="3408" spans="1:8" x14ac:dyDescent="0.25">
      <c r="A3408" s="1"/>
      <c r="B3408" s="1" t="s">
        <v>3876</v>
      </c>
      <c r="C3408" s="1" t="s">
        <v>3877</v>
      </c>
      <c r="D3408" s="22" t="str">
        <f>HYPERLINK("https://rhld.insurance.arkansas.gov/NPILookup?Npi=1992197180","1992197180")</f>
        <v>1992197180</v>
      </c>
      <c r="E3408" s="1" t="s">
        <v>4034</v>
      </c>
      <c r="F3408" s="2"/>
      <c r="G3408" s="2"/>
      <c r="H3408" s="2"/>
    </row>
    <row r="3409" spans="1:8" x14ac:dyDescent="0.25">
      <c r="A3409" s="1"/>
      <c r="B3409" s="1" t="s">
        <v>3876</v>
      </c>
      <c r="C3409" s="1" t="s">
        <v>3877</v>
      </c>
      <c r="D3409" s="22" t="str">
        <f>HYPERLINK("https://rhld.insurance.arkansas.gov/NPILookup?Npi=1992487888","1992487888")</f>
        <v>1992487888</v>
      </c>
      <c r="E3409" s="1" t="s">
        <v>4035</v>
      </c>
      <c r="F3409" s="2"/>
      <c r="G3409" s="2"/>
      <c r="H3409" s="2"/>
    </row>
    <row r="3410" spans="1:8" x14ac:dyDescent="0.25">
      <c r="A3410" s="1"/>
      <c r="B3410" s="1" t="s">
        <v>3876</v>
      </c>
      <c r="C3410" s="1" t="s">
        <v>3877</v>
      </c>
      <c r="D3410" s="22" t="str">
        <f>HYPERLINK("https://rhld.insurance.arkansas.gov/NPILookup?Npi=1992737803","1992737803")</f>
        <v>1992737803</v>
      </c>
      <c r="E3410" s="1" t="s">
        <v>9979</v>
      </c>
      <c r="F3410" s="2"/>
      <c r="G3410" s="2"/>
      <c r="H3410" s="2"/>
    </row>
    <row r="3411" spans="1:8" x14ac:dyDescent="0.25">
      <c r="A3411" s="1"/>
      <c r="B3411" s="1" t="s">
        <v>3876</v>
      </c>
      <c r="C3411" s="1" t="s">
        <v>3877</v>
      </c>
      <c r="D3411" s="22" t="str">
        <f>HYPERLINK("https://rhld.insurance.arkansas.gov/NPILookup?Npi=1992767875","1992767875")</f>
        <v>1992767875</v>
      </c>
      <c r="E3411" s="1" t="s">
        <v>4037</v>
      </c>
      <c r="F3411" s="2"/>
      <c r="G3411" s="2"/>
      <c r="H3411" s="2"/>
    </row>
    <row r="3412" spans="1:8" x14ac:dyDescent="0.25">
      <c r="A3412" s="1"/>
      <c r="B3412" s="1" t="s">
        <v>3876</v>
      </c>
      <c r="C3412" s="1" t="s">
        <v>3877</v>
      </c>
      <c r="D3412" s="22" t="str">
        <f>HYPERLINK("https://rhld.insurance.arkansas.gov/NPILookup?Npi=1992783427","1992783427")</f>
        <v>1992783427</v>
      </c>
      <c r="E3412" s="1" t="s">
        <v>1923</v>
      </c>
      <c r="F3412" s="2"/>
      <c r="G3412" s="2"/>
      <c r="H3412" s="2"/>
    </row>
    <row r="3413" spans="1:8" x14ac:dyDescent="0.25">
      <c r="A3413" s="1"/>
      <c r="B3413" s="1" t="s">
        <v>3876</v>
      </c>
      <c r="C3413" s="1" t="s">
        <v>3877</v>
      </c>
      <c r="D3413" s="22" t="str">
        <f>HYPERLINK("https://rhld.insurance.arkansas.gov/NPILookup?Npi=1992811285","1992811285")</f>
        <v>1992811285</v>
      </c>
      <c r="E3413" s="1" t="s">
        <v>16316</v>
      </c>
      <c r="F3413" s="2"/>
      <c r="G3413" s="2"/>
      <c r="H3413" s="2"/>
    </row>
    <row r="3414" spans="1:8" x14ac:dyDescent="0.25">
      <c r="A3414" s="1"/>
      <c r="B3414" s="1" t="s">
        <v>3876</v>
      </c>
      <c r="C3414" s="1" t="s">
        <v>3877</v>
      </c>
      <c r="D3414" s="22" t="str">
        <f>HYPERLINK("https://rhld.insurance.arkansas.gov/NPILookup?Npi=1992862619","1992862619")</f>
        <v>1992862619</v>
      </c>
      <c r="E3414" s="1" t="s">
        <v>4038</v>
      </c>
      <c r="F3414" s="2"/>
      <c r="G3414" s="2"/>
      <c r="H3414" s="2"/>
    </row>
    <row r="3415" spans="1:8" x14ac:dyDescent="0.25">
      <c r="A3415" s="1"/>
      <c r="B3415" s="1" t="s">
        <v>4039</v>
      </c>
      <c r="C3415" s="1" t="s">
        <v>4040</v>
      </c>
      <c r="D3415" s="22" t="str">
        <f>HYPERLINK("https://rhld.insurance.arkansas.gov/NPILookup?Npi=1003392218","1003392218")</f>
        <v>1003392218</v>
      </c>
      <c r="E3415" s="1" t="s">
        <v>1283</v>
      </c>
      <c r="F3415" s="2"/>
      <c r="G3415" s="2"/>
      <c r="H3415" s="2"/>
    </row>
    <row r="3416" spans="1:8" x14ac:dyDescent="0.25">
      <c r="A3416" s="1"/>
      <c r="B3416" s="1" t="s">
        <v>4039</v>
      </c>
      <c r="C3416" s="1" t="s">
        <v>4040</v>
      </c>
      <c r="D3416" s="22" t="str">
        <f>HYPERLINK("https://rhld.insurance.arkansas.gov/NPILookup?Npi=1003477746","1003477746")</f>
        <v>1003477746</v>
      </c>
      <c r="E3416" s="1" t="s">
        <v>1458</v>
      </c>
      <c r="F3416" s="2"/>
      <c r="G3416" s="2"/>
      <c r="H3416" s="2"/>
    </row>
    <row r="3417" spans="1:8" x14ac:dyDescent="0.25">
      <c r="A3417" s="1"/>
      <c r="B3417" s="1" t="s">
        <v>4039</v>
      </c>
      <c r="C3417" s="1" t="s">
        <v>4040</v>
      </c>
      <c r="D3417" s="22" t="str">
        <f>HYPERLINK("https://rhld.insurance.arkansas.gov/NPILookup?Npi=1003548686","1003548686")</f>
        <v>1003548686</v>
      </c>
      <c r="E3417" s="1" t="s">
        <v>4041</v>
      </c>
      <c r="F3417" s="2"/>
      <c r="G3417" s="2"/>
      <c r="H3417" s="2"/>
    </row>
    <row r="3418" spans="1:8" x14ac:dyDescent="0.25">
      <c r="A3418" s="1"/>
      <c r="B3418" s="1" t="s">
        <v>4039</v>
      </c>
      <c r="C3418" s="1" t="s">
        <v>4040</v>
      </c>
      <c r="D3418" s="22" t="str">
        <f>HYPERLINK("https://rhld.insurance.arkansas.gov/NPILookup?Npi=1003554973","1003554973")</f>
        <v>1003554973</v>
      </c>
      <c r="E3418" s="1" t="s">
        <v>16317</v>
      </c>
      <c r="F3418" s="2"/>
      <c r="G3418" s="2"/>
      <c r="H3418" s="2"/>
    </row>
    <row r="3419" spans="1:8" x14ac:dyDescent="0.25">
      <c r="A3419" s="1"/>
      <c r="B3419" s="1" t="s">
        <v>4039</v>
      </c>
      <c r="C3419" s="1" t="s">
        <v>4040</v>
      </c>
      <c r="D3419" s="22" t="str">
        <f>HYPERLINK("https://rhld.insurance.arkansas.gov/NPILookup?Npi=1003826314","1003826314")</f>
        <v>1003826314</v>
      </c>
      <c r="E3419" s="1" t="s">
        <v>540</v>
      </c>
      <c r="F3419" s="2"/>
      <c r="G3419" s="2"/>
      <c r="H3419" s="2"/>
    </row>
    <row r="3420" spans="1:8" x14ac:dyDescent="0.25">
      <c r="A3420" s="1"/>
      <c r="B3420" s="1" t="s">
        <v>4039</v>
      </c>
      <c r="C3420" s="1" t="s">
        <v>4040</v>
      </c>
      <c r="D3420" s="22" t="str">
        <f>HYPERLINK("https://rhld.insurance.arkansas.gov/NPILookup?Npi=1003851189","1003851189")</f>
        <v>1003851189</v>
      </c>
      <c r="E3420" s="1" t="s">
        <v>9980</v>
      </c>
      <c r="F3420" s="2"/>
      <c r="G3420" s="2"/>
      <c r="H3420" s="2"/>
    </row>
    <row r="3421" spans="1:8" x14ac:dyDescent="0.25">
      <c r="A3421" s="1"/>
      <c r="B3421" s="1" t="s">
        <v>4039</v>
      </c>
      <c r="C3421" s="1" t="s">
        <v>4040</v>
      </c>
      <c r="D3421" s="22" t="str">
        <f>HYPERLINK("https://rhld.insurance.arkansas.gov/NPILookup?Npi=1003910159","1003910159")</f>
        <v>1003910159</v>
      </c>
      <c r="E3421" s="1" t="s">
        <v>16318</v>
      </c>
      <c r="F3421" s="2"/>
      <c r="G3421" s="2"/>
      <c r="H3421" s="2"/>
    </row>
    <row r="3422" spans="1:8" x14ac:dyDescent="0.25">
      <c r="A3422" s="1"/>
      <c r="B3422" s="1" t="s">
        <v>4039</v>
      </c>
      <c r="C3422" s="1" t="s">
        <v>4040</v>
      </c>
      <c r="D3422" s="22" t="str">
        <f>HYPERLINK("https://rhld.insurance.arkansas.gov/NPILookup?Npi=1003941857","1003941857")</f>
        <v>1003941857</v>
      </c>
      <c r="E3422" s="1" t="s">
        <v>675</v>
      </c>
      <c r="F3422" s="2"/>
      <c r="G3422" s="2"/>
      <c r="H3422" s="2"/>
    </row>
    <row r="3423" spans="1:8" x14ac:dyDescent="0.25">
      <c r="A3423" s="1"/>
      <c r="B3423" s="1" t="s">
        <v>4039</v>
      </c>
      <c r="C3423" s="1" t="s">
        <v>4040</v>
      </c>
      <c r="D3423" s="22" t="str">
        <f>HYPERLINK("https://rhld.insurance.arkansas.gov/NPILookup?Npi=1003963075","1003963075")</f>
        <v>1003963075</v>
      </c>
      <c r="E3423" s="1" t="s">
        <v>506</v>
      </c>
      <c r="F3423" s="2"/>
      <c r="G3423" s="2"/>
      <c r="H3423" s="2"/>
    </row>
    <row r="3424" spans="1:8" x14ac:dyDescent="0.25">
      <c r="A3424" s="1"/>
      <c r="B3424" s="1" t="s">
        <v>4039</v>
      </c>
      <c r="C3424" s="1" t="s">
        <v>4040</v>
      </c>
      <c r="D3424" s="22" t="str">
        <f>HYPERLINK("https://rhld.insurance.arkansas.gov/NPILookup?Npi=1003981283","1003981283")</f>
        <v>1003981283</v>
      </c>
      <c r="E3424" s="1" t="s">
        <v>9981</v>
      </c>
      <c r="F3424" s="2"/>
      <c r="G3424" s="2"/>
      <c r="H3424" s="2"/>
    </row>
    <row r="3425" spans="1:8" x14ac:dyDescent="0.25">
      <c r="A3425" s="1"/>
      <c r="B3425" s="1" t="s">
        <v>4039</v>
      </c>
      <c r="C3425" s="1" t="s">
        <v>4040</v>
      </c>
      <c r="D3425" s="22" t="str">
        <f>HYPERLINK("https://rhld.insurance.arkansas.gov/NPILookup?Npi=1003984360","1003984360")</f>
        <v>1003984360</v>
      </c>
      <c r="E3425" s="1" t="s">
        <v>9982</v>
      </c>
      <c r="F3425" s="2"/>
      <c r="G3425" s="2"/>
      <c r="H3425" s="2"/>
    </row>
    <row r="3426" spans="1:8" x14ac:dyDescent="0.25">
      <c r="A3426" s="1"/>
      <c r="B3426" s="1" t="s">
        <v>4039</v>
      </c>
      <c r="C3426" s="1" t="s">
        <v>4040</v>
      </c>
      <c r="D3426" s="22" t="str">
        <f>HYPERLINK("https://rhld.insurance.arkansas.gov/NPILookup?Npi=1013015338","1013015338")</f>
        <v>1013015338</v>
      </c>
      <c r="E3426" s="1" t="s">
        <v>2577</v>
      </c>
      <c r="F3426" s="2"/>
      <c r="G3426" s="2"/>
      <c r="H3426" s="2"/>
    </row>
    <row r="3427" spans="1:8" x14ac:dyDescent="0.25">
      <c r="A3427" s="1"/>
      <c r="B3427" s="1" t="s">
        <v>4039</v>
      </c>
      <c r="C3427" s="1" t="s">
        <v>4040</v>
      </c>
      <c r="D3427" s="22" t="str">
        <f>HYPERLINK("https://rhld.insurance.arkansas.gov/NPILookup?Npi=1013062249","1013062249")</f>
        <v>1013062249</v>
      </c>
      <c r="E3427" s="1" t="s">
        <v>1169</v>
      </c>
      <c r="F3427" s="2"/>
      <c r="G3427" s="2"/>
      <c r="H3427" s="2"/>
    </row>
    <row r="3428" spans="1:8" x14ac:dyDescent="0.25">
      <c r="A3428" s="1"/>
      <c r="B3428" s="1" t="s">
        <v>4039</v>
      </c>
      <c r="C3428" s="1" t="s">
        <v>4040</v>
      </c>
      <c r="D3428" s="22" t="str">
        <f>HYPERLINK("https://rhld.insurance.arkansas.gov/NPILookup?Npi=1013064310","1013064310")</f>
        <v>1013064310</v>
      </c>
      <c r="E3428" s="1" t="s">
        <v>16319</v>
      </c>
      <c r="F3428" s="2"/>
      <c r="G3428" s="2"/>
      <c r="H3428" s="2"/>
    </row>
    <row r="3429" spans="1:8" x14ac:dyDescent="0.25">
      <c r="A3429" s="1"/>
      <c r="B3429" s="1" t="s">
        <v>4039</v>
      </c>
      <c r="C3429" s="1" t="s">
        <v>4040</v>
      </c>
      <c r="D3429" s="22" t="str">
        <f>HYPERLINK("https://rhld.insurance.arkansas.gov/NPILookup?Npi=1013076397","1013076397")</f>
        <v>1013076397</v>
      </c>
      <c r="E3429" s="1" t="s">
        <v>9983</v>
      </c>
      <c r="F3429" s="2"/>
      <c r="G3429" s="2"/>
      <c r="H3429" s="2"/>
    </row>
    <row r="3430" spans="1:8" x14ac:dyDescent="0.25">
      <c r="A3430" s="1"/>
      <c r="B3430" s="1" t="s">
        <v>4039</v>
      </c>
      <c r="C3430" s="1" t="s">
        <v>4040</v>
      </c>
      <c r="D3430" s="22" t="str">
        <f>HYPERLINK("https://rhld.insurance.arkansas.gov/NPILookup?Npi=1013117274","1013117274")</f>
        <v>1013117274</v>
      </c>
      <c r="E3430" s="1" t="s">
        <v>16320</v>
      </c>
      <c r="F3430" s="2"/>
      <c r="G3430" s="2"/>
      <c r="H3430" s="2"/>
    </row>
    <row r="3431" spans="1:8" x14ac:dyDescent="0.25">
      <c r="A3431" s="1"/>
      <c r="B3431" s="1" t="s">
        <v>4039</v>
      </c>
      <c r="C3431" s="1" t="s">
        <v>4040</v>
      </c>
      <c r="D3431" s="22" t="str">
        <f>HYPERLINK("https://rhld.insurance.arkansas.gov/NPILookup?Npi=1013119676","1013119676")</f>
        <v>1013119676</v>
      </c>
      <c r="E3431" s="1" t="s">
        <v>16321</v>
      </c>
      <c r="F3431" s="2"/>
      <c r="G3431" s="2"/>
      <c r="H3431" s="2"/>
    </row>
    <row r="3432" spans="1:8" x14ac:dyDescent="0.25">
      <c r="A3432" s="1"/>
      <c r="B3432" s="1" t="s">
        <v>4039</v>
      </c>
      <c r="C3432" s="1" t="s">
        <v>4040</v>
      </c>
      <c r="D3432" s="22" t="str">
        <f>HYPERLINK("https://rhld.insurance.arkansas.gov/NPILookup?Npi=1013144195","1013144195")</f>
        <v>1013144195</v>
      </c>
      <c r="E3432" s="1" t="s">
        <v>16322</v>
      </c>
      <c r="F3432" s="2"/>
      <c r="G3432" s="2"/>
      <c r="H3432" s="2"/>
    </row>
    <row r="3433" spans="1:8" x14ac:dyDescent="0.25">
      <c r="A3433" s="1"/>
      <c r="B3433" s="1" t="s">
        <v>4039</v>
      </c>
      <c r="C3433" s="1" t="s">
        <v>4040</v>
      </c>
      <c r="D3433" s="22" t="str">
        <f>HYPERLINK("https://rhld.insurance.arkansas.gov/NPILookup?Npi=1013159557","1013159557")</f>
        <v>1013159557</v>
      </c>
      <c r="E3433" s="1" t="s">
        <v>16323</v>
      </c>
      <c r="F3433" s="2"/>
      <c r="G3433" s="2"/>
      <c r="H3433" s="2"/>
    </row>
    <row r="3434" spans="1:8" x14ac:dyDescent="0.25">
      <c r="A3434" s="1"/>
      <c r="B3434" s="1" t="s">
        <v>4039</v>
      </c>
      <c r="C3434" s="1" t="s">
        <v>4040</v>
      </c>
      <c r="D3434" s="22" t="str">
        <f>HYPERLINK("https://rhld.insurance.arkansas.gov/NPILookup?Npi=1013159979","1013159979")</f>
        <v>1013159979</v>
      </c>
      <c r="E3434" s="1" t="s">
        <v>611</v>
      </c>
      <c r="F3434" s="2"/>
      <c r="G3434" s="2"/>
      <c r="H3434" s="2"/>
    </row>
    <row r="3435" spans="1:8" x14ac:dyDescent="0.25">
      <c r="A3435" s="1"/>
      <c r="B3435" s="1" t="s">
        <v>4039</v>
      </c>
      <c r="C3435" s="1" t="s">
        <v>4040</v>
      </c>
      <c r="D3435" s="22" t="str">
        <f>HYPERLINK("https://rhld.insurance.arkansas.gov/NPILookup?Npi=1013358316","1013358316")</f>
        <v>1013358316</v>
      </c>
      <c r="E3435" s="1" t="s">
        <v>1009</v>
      </c>
      <c r="F3435" s="2"/>
      <c r="G3435" s="2"/>
      <c r="H3435" s="2"/>
    </row>
    <row r="3436" spans="1:8" x14ac:dyDescent="0.25">
      <c r="A3436" s="1"/>
      <c r="B3436" s="1" t="s">
        <v>4039</v>
      </c>
      <c r="C3436" s="1" t="s">
        <v>4040</v>
      </c>
      <c r="D3436" s="22" t="str">
        <f>HYPERLINK("https://rhld.insurance.arkansas.gov/NPILookup?Npi=1013366434","1013366434")</f>
        <v>1013366434</v>
      </c>
      <c r="E3436" s="1" t="s">
        <v>11304</v>
      </c>
      <c r="F3436" s="2"/>
      <c r="G3436" s="2"/>
      <c r="H3436" s="2"/>
    </row>
    <row r="3437" spans="1:8" x14ac:dyDescent="0.25">
      <c r="A3437" s="1"/>
      <c r="B3437" s="1" t="s">
        <v>4039</v>
      </c>
      <c r="C3437" s="1" t="s">
        <v>4040</v>
      </c>
      <c r="D3437" s="22" t="str">
        <f>HYPERLINK("https://rhld.insurance.arkansas.gov/NPILookup?Npi=1013401900","1013401900")</f>
        <v>1013401900</v>
      </c>
      <c r="E3437" s="1" t="s">
        <v>9984</v>
      </c>
      <c r="F3437" s="2"/>
      <c r="G3437" s="2"/>
      <c r="H3437" s="2"/>
    </row>
    <row r="3438" spans="1:8" x14ac:dyDescent="0.25">
      <c r="A3438" s="1"/>
      <c r="B3438" s="1" t="s">
        <v>4039</v>
      </c>
      <c r="C3438" s="1" t="s">
        <v>4040</v>
      </c>
      <c r="D3438" s="22" t="str">
        <f>HYPERLINK("https://rhld.insurance.arkansas.gov/NPILookup?Npi=1013490218","1013490218")</f>
        <v>1013490218</v>
      </c>
      <c r="E3438" s="1" t="s">
        <v>2320</v>
      </c>
      <c r="F3438" s="2"/>
      <c r="G3438" s="2"/>
      <c r="H3438" s="2"/>
    </row>
    <row r="3439" spans="1:8" x14ac:dyDescent="0.25">
      <c r="A3439" s="1"/>
      <c r="B3439" s="1" t="s">
        <v>4039</v>
      </c>
      <c r="C3439" s="1" t="s">
        <v>4040</v>
      </c>
      <c r="D3439" s="22" t="str">
        <f>HYPERLINK("https://rhld.insurance.arkansas.gov/NPILookup?Npi=1013588052","1013588052")</f>
        <v>1013588052</v>
      </c>
      <c r="E3439" s="1" t="s">
        <v>16324</v>
      </c>
      <c r="F3439" s="2"/>
      <c r="G3439" s="2"/>
      <c r="H3439" s="2"/>
    </row>
    <row r="3440" spans="1:8" x14ac:dyDescent="0.25">
      <c r="A3440" s="1"/>
      <c r="B3440" s="1" t="s">
        <v>4039</v>
      </c>
      <c r="C3440" s="1" t="s">
        <v>4040</v>
      </c>
      <c r="D3440" s="22" t="str">
        <f>HYPERLINK("https://rhld.insurance.arkansas.gov/NPILookup?Npi=1013930163","1013930163")</f>
        <v>1013930163</v>
      </c>
      <c r="E3440" s="1" t="s">
        <v>3657</v>
      </c>
      <c r="F3440" s="2"/>
      <c r="G3440" s="2"/>
      <c r="H3440" s="2"/>
    </row>
    <row r="3441" spans="1:8" x14ac:dyDescent="0.25">
      <c r="A3441" s="1"/>
      <c r="B3441" s="1" t="s">
        <v>4039</v>
      </c>
      <c r="C3441" s="1" t="s">
        <v>4040</v>
      </c>
      <c r="D3441" s="22" t="str">
        <f>HYPERLINK("https://rhld.insurance.arkansas.gov/NPILookup?Npi=1013959089","1013959089")</f>
        <v>1013959089</v>
      </c>
      <c r="E3441" s="1" t="s">
        <v>16325</v>
      </c>
      <c r="F3441" s="2"/>
      <c r="G3441" s="2"/>
      <c r="H3441" s="2"/>
    </row>
    <row r="3442" spans="1:8" x14ac:dyDescent="0.25">
      <c r="A3442" s="1"/>
      <c r="B3442" s="1" t="s">
        <v>4039</v>
      </c>
      <c r="C3442" s="1" t="s">
        <v>4040</v>
      </c>
      <c r="D3442" s="22" t="str">
        <f>HYPERLINK("https://rhld.insurance.arkansas.gov/NPILookup?Npi=1013993492","1013993492")</f>
        <v>1013993492</v>
      </c>
      <c r="E3442" s="1" t="s">
        <v>16326</v>
      </c>
      <c r="F3442" s="2"/>
      <c r="G3442" s="2"/>
      <c r="H3442" s="2"/>
    </row>
    <row r="3443" spans="1:8" x14ac:dyDescent="0.25">
      <c r="A3443" s="1"/>
      <c r="B3443" s="1" t="s">
        <v>4039</v>
      </c>
      <c r="C3443" s="1" t="s">
        <v>4040</v>
      </c>
      <c r="D3443" s="22" t="str">
        <f>HYPERLINK("https://rhld.insurance.arkansas.gov/NPILookup?Npi=1023032802","1023032802")</f>
        <v>1023032802</v>
      </c>
      <c r="E3443" s="1" t="s">
        <v>3658</v>
      </c>
      <c r="F3443" s="2"/>
      <c r="G3443" s="2"/>
      <c r="H3443" s="2"/>
    </row>
    <row r="3444" spans="1:8" x14ac:dyDescent="0.25">
      <c r="A3444" s="1"/>
      <c r="B3444" s="1" t="s">
        <v>4039</v>
      </c>
      <c r="C3444" s="1" t="s">
        <v>4040</v>
      </c>
      <c r="D3444" s="22" t="str">
        <f>HYPERLINK("https://rhld.insurance.arkansas.gov/NPILookup?Npi=1023110558","1023110558")</f>
        <v>1023110558</v>
      </c>
      <c r="E3444" s="1" t="s">
        <v>16327</v>
      </c>
      <c r="F3444" s="2"/>
      <c r="G3444" s="2"/>
      <c r="H3444" s="2"/>
    </row>
    <row r="3445" spans="1:8" x14ac:dyDescent="0.25">
      <c r="A3445" s="1"/>
      <c r="B3445" s="1" t="s">
        <v>4039</v>
      </c>
      <c r="C3445" s="1" t="s">
        <v>4040</v>
      </c>
      <c r="D3445" s="22" t="str">
        <f>HYPERLINK("https://rhld.insurance.arkansas.gov/NPILookup?Npi=1023116936","1023116936")</f>
        <v>1023116936</v>
      </c>
      <c r="E3445" s="1" t="s">
        <v>16328</v>
      </c>
      <c r="F3445" s="2"/>
      <c r="G3445" s="2"/>
      <c r="H3445" s="2"/>
    </row>
    <row r="3446" spans="1:8" x14ac:dyDescent="0.25">
      <c r="A3446" s="1"/>
      <c r="B3446" s="1" t="s">
        <v>4039</v>
      </c>
      <c r="C3446" s="1" t="s">
        <v>4040</v>
      </c>
      <c r="D3446" s="22" t="str">
        <f>HYPERLINK("https://rhld.insurance.arkansas.gov/NPILookup?Npi=1023171808","1023171808")</f>
        <v>1023171808</v>
      </c>
      <c r="E3446" s="1" t="s">
        <v>542</v>
      </c>
      <c r="F3446" s="2"/>
      <c r="G3446" s="2"/>
      <c r="H3446" s="2"/>
    </row>
    <row r="3447" spans="1:8" x14ac:dyDescent="0.25">
      <c r="A3447" s="1"/>
      <c r="B3447" s="1" t="s">
        <v>4039</v>
      </c>
      <c r="C3447" s="1" t="s">
        <v>4040</v>
      </c>
      <c r="D3447" s="22" t="str">
        <f>HYPERLINK("https://rhld.insurance.arkansas.gov/NPILookup?Npi=1023183050","1023183050")</f>
        <v>1023183050</v>
      </c>
      <c r="E3447" s="1" t="s">
        <v>9985</v>
      </c>
      <c r="F3447" s="2"/>
      <c r="G3447" s="2"/>
      <c r="H3447" s="2"/>
    </row>
    <row r="3448" spans="1:8" x14ac:dyDescent="0.25">
      <c r="A3448" s="1"/>
      <c r="B3448" s="1" t="s">
        <v>4039</v>
      </c>
      <c r="C3448" s="1" t="s">
        <v>4040</v>
      </c>
      <c r="D3448" s="22" t="str">
        <f>HYPERLINK("https://rhld.insurance.arkansas.gov/NPILookup?Npi=1023196086","1023196086")</f>
        <v>1023196086</v>
      </c>
      <c r="E3448" s="1" t="s">
        <v>9986</v>
      </c>
      <c r="F3448" s="2"/>
      <c r="G3448" s="2"/>
      <c r="H3448" s="2"/>
    </row>
    <row r="3449" spans="1:8" x14ac:dyDescent="0.25">
      <c r="A3449" s="1"/>
      <c r="B3449" s="1" t="s">
        <v>4039</v>
      </c>
      <c r="C3449" s="1" t="s">
        <v>4040</v>
      </c>
      <c r="D3449" s="22" t="str">
        <f>HYPERLINK("https://rhld.insurance.arkansas.gov/NPILookup?Npi=1023265493","1023265493")</f>
        <v>1023265493</v>
      </c>
      <c r="E3449" s="1" t="s">
        <v>16329</v>
      </c>
      <c r="F3449" s="2"/>
      <c r="G3449" s="2"/>
      <c r="H3449" s="2"/>
    </row>
    <row r="3450" spans="1:8" x14ac:dyDescent="0.25">
      <c r="A3450" s="1"/>
      <c r="B3450" s="1" t="s">
        <v>4039</v>
      </c>
      <c r="C3450" s="1" t="s">
        <v>4040</v>
      </c>
      <c r="D3450" s="22" t="str">
        <f>HYPERLINK("https://rhld.insurance.arkansas.gov/NPILookup?Npi=1023311065","1023311065")</f>
        <v>1023311065</v>
      </c>
      <c r="E3450" s="1" t="s">
        <v>16330</v>
      </c>
      <c r="F3450" s="2"/>
      <c r="G3450" s="2"/>
      <c r="H3450" s="2"/>
    </row>
    <row r="3451" spans="1:8" x14ac:dyDescent="0.25">
      <c r="A3451" s="1"/>
      <c r="B3451" s="1" t="s">
        <v>4039</v>
      </c>
      <c r="C3451" s="1" t="s">
        <v>4040</v>
      </c>
      <c r="D3451" s="22" t="str">
        <f>HYPERLINK("https://rhld.insurance.arkansas.gov/NPILookup?Npi=1023322765","1023322765")</f>
        <v>1023322765</v>
      </c>
      <c r="E3451" s="1" t="s">
        <v>16331</v>
      </c>
      <c r="F3451" s="2"/>
      <c r="G3451" s="2"/>
      <c r="H3451" s="2"/>
    </row>
    <row r="3452" spans="1:8" x14ac:dyDescent="0.25">
      <c r="A3452" s="1"/>
      <c r="B3452" s="1" t="s">
        <v>4039</v>
      </c>
      <c r="C3452" s="1" t="s">
        <v>4040</v>
      </c>
      <c r="D3452" s="22" t="str">
        <f>HYPERLINK("https://rhld.insurance.arkansas.gov/NPILookup?Npi=1023334315","1023334315")</f>
        <v>1023334315</v>
      </c>
      <c r="E3452" s="1" t="s">
        <v>16332</v>
      </c>
      <c r="F3452" s="2"/>
      <c r="G3452" s="2"/>
      <c r="H3452" s="2"/>
    </row>
    <row r="3453" spans="1:8" x14ac:dyDescent="0.25">
      <c r="A3453" s="1"/>
      <c r="B3453" s="1" t="s">
        <v>4039</v>
      </c>
      <c r="C3453" s="1" t="s">
        <v>4040</v>
      </c>
      <c r="D3453" s="22" t="str">
        <f>HYPERLINK("https://rhld.insurance.arkansas.gov/NPILookup?Npi=1023498359","1023498359")</f>
        <v>1023498359</v>
      </c>
      <c r="E3453" s="1" t="s">
        <v>507</v>
      </c>
      <c r="F3453" s="2"/>
      <c r="G3453" s="2"/>
      <c r="H3453" s="2"/>
    </row>
    <row r="3454" spans="1:8" x14ac:dyDescent="0.25">
      <c r="A3454" s="1"/>
      <c r="B3454" s="1" t="s">
        <v>4039</v>
      </c>
      <c r="C3454" s="1" t="s">
        <v>4040</v>
      </c>
      <c r="D3454" s="22" t="str">
        <f>HYPERLINK("https://rhld.insurance.arkansas.gov/NPILookup?Npi=1023498482","1023498482")</f>
        <v>1023498482</v>
      </c>
      <c r="E3454" s="1" t="s">
        <v>669</v>
      </c>
      <c r="F3454" s="2"/>
      <c r="G3454" s="2"/>
      <c r="H3454" s="2"/>
    </row>
    <row r="3455" spans="1:8" x14ac:dyDescent="0.25">
      <c r="A3455" s="1"/>
      <c r="B3455" s="1" t="s">
        <v>4039</v>
      </c>
      <c r="C3455" s="1" t="s">
        <v>4040</v>
      </c>
      <c r="D3455" s="22" t="str">
        <f>HYPERLINK("https://rhld.insurance.arkansas.gov/NPILookup?Npi=1023748076","1023748076")</f>
        <v>1023748076</v>
      </c>
      <c r="E3455" s="1" t="s">
        <v>4042</v>
      </c>
      <c r="F3455" s="2"/>
      <c r="G3455" s="2"/>
      <c r="H3455" s="2"/>
    </row>
    <row r="3456" spans="1:8" x14ac:dyDescent="0.25">
      <c r="A3456" s="1"/>
      <c r="B3456" s="1" t="s">
        <v>4039</v>
      </c>
      <c r="C3456" s="1" t="s">
        <v>4040</v>
      </c>
      <c r="D3456" s="22" t="str">
        <f>HYPERLINK("https://rhld.insurance.arkansas.gov/NPILookup?Npi=1023756251","1023756251")</f>
        <v>1023756251</v>
      </c>
      <c r="E3456" s="1" t="s">
        <v>3659</v>
      </c>
      <c r="F3456" s="2"/>
      <c r="G3456" s="2"/>
      <c r="H3456" s="2"/>
    </row>
    <row r="3457" spans="1:8" x14ac:dyDescent="0.25">
      <c r="A3457" s="1"/>
      <c r="B3457" s="1" t="s">
        <v>4039</v>
      </c>
      <c r="C3457" s="1" t="s">
        <v>4040</v>
      </c>
      <c r="D3457" s="22" t="str">
        <f>HYPERLINK("https://rhld.insurance.arkansas.gov/NPILookup?Npi=1033121512","1033121512")</f>
        <v>1033121512</v>
      </c>
      <c r="E3457" s="1" t="s">
        <v>16333</v>
      </c>
      <c r="F3457" s="2"/>
      <c r="G3457" s="2"/>
      <c r="H3457" s="2"/>
    </row>
    <row r="3458" spans="1:8" x14ac:dyDescent="0.25">
      <c r="A3458" s="1"/>
      <c r="B3458" s="1" t="s">
        <v>4039</v>
      </c>
      <c r="C3458" s="1" t="s">
        <v>4040</v>
      </c>
      <c r="D3458" s="22" t="str">
        <f>HYPERLINK("https://rhld.insurance.arkansas.gov/NPILookup?Npi=1033157995","1033157995")</f>
        <v>1033157995</v>
      </c>
      <c r="E3458" s="1" t="s">
        <v>487</v>
      </c>
      <c r="F3458" s="2"/>
      <c r="G3458" s="2"/>
      <c r="H3458" s="2"/>
    </row>
    <row r="3459" spans="1:8" x14ac:dyDescent="0.25">
      <c r="A3459" s="1"/>
      <c r="B3459" s="1" t="s">
        <v>4039</v>
      </c>
      <c r="C3459" s="1" t="s">
        <v>4040</v>
      </c>
      <c r="D3459" s="22" t="str">
        <f>HYPERLINK("https://rhld.insurance.arkansas.gov/NPILookup?Npi=1033226485","1033226485")</f>
        <v>1033226485</v>
      </c>
      <c r="E3459" s="1" t="s">
        <v>16334</v>
      </c>
      <c r="F3459" s="2"/>
      <c r="G3459" s="2"/>
      <c r="H3459" s="2"/>
    </row>
    <row r="3460" spans="1:8" x14ac:dyDescent="0.25">
      <c r="A3460" s="1"/>
      <c r="B3460" s="1" t="s">
        <v>4039</v>
      </c>
      <c r="C3460" s="1" t="s">
        <v>4040</v>
      </c>
      <c r="D3460" s="22" t="str">
        <f>HYPERLINK("https://rhld.insurance.arkansas.gov/NPILookup?Npi=1033246434","1033246434")</f>
        <v>1033246434</v>
      </c>
      <c r="E3460" s="1" t="s">
        <v>16335</v>
      </c>
      <c r="F3460" s="2"/>
      <c r="G3460" s="2"/>
      <c r="H3460" s="2"/>
    </row>
    <row r="3461" spans="1:8" x14ac:dyDescent="0.25">
      <c r="A3461" s="1"/>
      <c r="B3461" s="1" t="s">
        <v>4039</v>
      </c>
      <c r="C3461" s="1" t="s">
        <v>4040</v>
      </c>
      <c r="D3461" s="22" t="str">
        <f>HYPERLINK("https://rhld.insurance.arkansas.gov/NPILookup?Npi=1033300348","1033300348")</f>
        <v>1033300348</v>
      </c>
      <c r="E3461" s="1" t="s">
        <v>1170</v>
      </c>
      <c r="F3461" s="2"/>
      <c r="G3461" s="2"/>
      <c r="H3461" s="2"/>
    </row>
    <row r="3462" spans="1:8" x14ac:dyDescent="0.25">
      <c r="A3462" s="1"/>
      <c r="B3462" s="1" t="s">
        <v>4039</v>
      </c>
      <c r="C3462" s="1" t="s">
        <v>4040</v>
      </c>
      <c r="D3462" s="22" t="str">
        <f>HYPERLINK("https://rhld.insurance.arkansas.gov/NPILookup?Npi=1033318068","1033318068")</f>
        <v>1033318068</v>
      </c>
      <c r="E3462" s="1" t="s">
        <v>16336</v>
      </c>
      <c r="F3462" s="2"/>
      <c r="G3462" s="2"/>
      <c r="H3462" s="2"/>
    </row>
    <row r="3463" spans="1:8" x14ac:dyDescent="0.25">
      <c r="A3463" s="1"/>
      <c r="B3463" s="1" t="s">
        <v>4039</v>
      </c>
      <c r="C3463" s="1" t="s">
        <v>4040</v>
      </c>
      <c r="D3463" s="22" t="str">
        <f>HYPERLINK("https://rhld.insurance.arkansas.gov/NPILookup?Npi=1033366539","1033366539")</f>
        <v>1033366539</v>
      </c>
      <c r="E3463" s="1" t="s">
        <v>2325</v>
      </c>
      <c r="F3463" s="2"/>
      <c r="G3463" s="2"/>
      <c r="H3463" s="2"/>
    </row>
    <row r="3464" spans="1:8" x14ac:dyDescent="0.25">
      <c r="A3464" s="1"/>
      <c r="B3464" s="1" t="s">
        <v>4039</v>
      </c>
      <c r="C3464" s="1" t="s">
        <v>4040</v>
      </c>
      <c r="D3464" s="22" t="str">
        <f>HYPERLINK("https://rhld.insurance.arkansas.gov/NPILookup?Npi=1033472535","1033472535")</f>
        <v>1033472535</v>
      </c>
      <c r="E3464" s="1" t="s">
        <v>16337</v>
      </c>
      <c r="F3464" s="2"/>
      <c r="G3464" s="2"/>
      <c r="H3464" s="2"/>
    </row>
    <row r="3465" spans="1:8" x14ac:dyDescent="0.25">
      <c r="A3465" s="1"/>
      <c r="B3465" s="1" t="s">
        <v>4039</v>
      </c>
      <c r="C3465" s="1" t="s">
        <v>4040</v>
      </c>
      <c r="D3465" s="22" t="str">
        <f>HYPERLINK("https://rhld.insurance.arkansas.gov/NPILookup?Npi=1033516034","1033516034")</f>
        <v>1033516034</v>
      </c>
      <c r="E3465" s="1" t="s">
        <v>9988</v>
      </c>
      <c r="F3465" s="2"/>
      <c r="G3465" s="2"/>
      <c r="H3465" s="2"/>
    </row>
    <row r="3466" spans="1:8" x14ac:dyDescent="0.25">
      <c r="A3466" s="1"/>
      <c r="B3466" s="1" t="s">
        <v>4039</v>
      </c>
      <c r="C3466" s="1" t="s">
        <v>4040</v>
      </c>
      <c r="D3466" s="22" t="str">
        <f>HYPERLINK("https://rhld.insurance.arkansas.gov/NPILookup?Npi=1033529037","1033529037")</f>
        <v>1033529037</v>
      </c>
      <c r="E3466" s="1" t="s">
        <v>1171</v>
      </c>
      <c r="F3466" s="2"/>
      <c r="G3466" s="2"/>
      <c r="H3466" s="2"/>
    </row>
    <row r="3467" spans="1:8" x14ac:dyDescent="0.25">
      <c r="A3467" s="1"/>
      <c r="B3467" s="1" t="s">
        <v>4039</v>
      </c>
      <c r="C3467" s="1" t="s">
        <v>4040</v>
      </c>
      <c r="D3467" s="22" t="str">
        <f>HYPERLINK("https://rhld.insurance.arkansas.gov/NPILookup?Npi=1033559737","1033559737")</f>
        <v>1033559737</v>
      </c>
      <c r="E3467" s="1" t="s">
        <v>9989</v>
      </c>
      <c r="F3467" s="2"/>
      <c r="G3467" s="2"/>
      <c r="H3467" s="2"/>
    </row>
    <row r="3468" spans="1:8" x14ac:dyDescent="0.25">
      <c r="A3468" s="1"/>
      <c r="B3468" s="1" t="s">
        <v>4039</v>
      </c>
      <c r="C3468" s="1" t="s">
        <v>4040</v>
      </c>
      <c r="D3468" s="22" t="str">
        <f>HYPERLINK("https://rhld.insurance.arkansas.gov/NPILookup?Npi=1033560412","1033560412")</f>
        <v>1033560412</v>
      </c>
      <c r="E3468" s="1" t="s">
        <v>16338</v>
      </c>
      <c r="F3468" s="2"/>
      <c r="G3468" s="2"/>
      <c r="H3468" s="2"/>
    </row>
    <row r="3469" spans="1:8" x14ac:dyDescent="0.25">
      <c r="A3469" s="1"/>
      <c r="B3469" s="1" t="s">
        <v>4039</v>
      </c>
      <c r="C3469" s="1" t="s">
        <v>4040</v>
      </c>
      <c r="D3469" s="22" t="str">
        <f>HYPERLINK("https://rhld.insurance.arkansas.gov/NPILookup?Npi=1033593793","1033593793")</f>
        <v>1033593793</v>
      </c>
      <c r="E3469" s="1" t="s">
        <v>2326</v>
      </c>
      <c r="F3469" s="2"/>
      <c r="G3469" s="2"/>
      <c r="H3469" s="2"/>
    </row>
    <row r="3470" spans="1:8" x14ac:dyDescent="0.25">
      <c r="A3470" s="1"/>
      <c r="B3470" s="1" t="s">
        <v>4039</v>
      </c>
      <c r="C3470" s="1" t="s">
        <v>4040</v>
      </c>
      <c r="D3470" s="22" t="str">
        <f>HYPERLINK("https://rhld.insurance.arkansas.gov/NPILookup?Npi=1033690375","1033690375")</f>
        <v>1033690375</v>
      </c>
      <c r="E3470" s="1" t="s">
        <v>16339</v>
      </c>
      <c r="F3470" s="2"/>
      <c r="G3470" s="2"/>
      <c r="H3470" s="2"/>
    </row>
    <row r="3471" spans="1:8" x14ac:dyDescent="0.25">
      <c r="A3471" s="1"/>
      <c r="B3471" s="1" t="s">
        <v>4039</v>
      </c>
      <c r="C3471" s="1" t="s">
        <v>4040</v>
      </c>
      <c r="D3471" s="22" t="str">
        <f>HYPERLINK("https://rhld.insurance.arkansas.gov/NPILookup?Npi=1033737507","1033737507")</f>
        <v>1033737507</v>
      </c>
      <c r="E3471" s="1" t="s">
        <v>16340</v>
      </c>
      <c r="F3471" s="2"/>
      <c r="G3471" s="2"/>
      <c r="H3471" s="2"/>
    </row>
    <row r="3472" spans="1:8" x14ac:dyDescent="0.25">
      <c r="A3472" s="1"/>
      <c r="B3472" s="1" t="s">
        <v>4039</v>
      </c>
      <c r="C3472" s="1" t="s">
        <v>4040</v>
      </c>
      <c r="D3472" s="22" t="str">
        <f>HYPERLINK("https://rhld.insurance.arkansas.gov/NPILookup?Npi=1033779897","1033779897")</f>
        <v>1033779897</v>
      </c>
      <c r="E3472" s="1" t="s">
        <v>16341</v>
      </c>
      <c r="F3472" s="2"/>
      <c r="G3472" s="2"/>
      <c r="H3472" s="2"/>
    </row>
    <row r="3473" spans="1:8" x14ac:dyDescent="0.25">
      <c r="A3473" s="1"/>
      <c r="B3473" s="1" t="s">
        <v>4039</v>
      </c>
      <c r="C3473" s="1" t="s">
        <v>4040</v>
      </c>
      <c r="D3473" s="22" t="str">
        <f>HYPERLINK("https://rhld.insurance.arkansas.gov/NPILookup?Npi=1033782495","1033782495")</f>
        <v>1033782495</v>
      </c>
      <c r="E3473" s="1" t="s">
        <v>1929</v>
      </c>
      <c r="F3473" s="2"/>
      <c r="G3473" s="2"/>
      <c r="H3473" s="2"/>
    </row>
    <row r="3474" spans="1:8" x14ac:dyDescent="0.25">
      <c r="A3474" s="1"/>
      <c r="B3474" s="1" t="s">
        <v>4039</v>
      </c>
      <c r="C3474" s="1" t="s">
        <v>4040</v>
      </c>
      <c r="D3474" s="22" t="str">
        <f>HYPERLINK("https://rhld.insurance.arkansas.gov/NPILookup?Npi=1033802269","1033802269")</f>
        <v>1033802269</v>
      </c>
      <c r="E3474" s="1" t="s">
        <v>4043</v>
      </c>
      <c r="F3474" s="2"/>
      <c r="G3474" s="2"/>
      <c r="H3474" s="2"/>
    </row>
    <row r="3475" spans="1:8" x14ac:dyDescent="0.25">
      <c r="A3475" s="1"/>
      <c r="B3475" s="1" t="s">
        <v>4039</v>
      </c>
      <c r="C3475" s="1" t="s">
        <v>4040</v>
      </c>
      <c r="D3475" s="22" t="str">
        <f>HYPERLINK("https://rhld.insurance.arkansas.gov/NPILookup?Npi=1033947858","1033947858")</f>
        <v>1033947858</v>
      </c>
      <c r="E3475" s="1" t="s">
        <v>16342</v>
      </c>
      <c r="F3475" s="2"/>
      <c r="G3475" s="2"/>
      <c r="H3475" s="2"/>
    </row>
    <row r="3476" spans="1:8" x14ac:dyDescent="0.25">
      <c r="A3476" s="1"/>
      <c r="B3476" s="1" t="s">
        <v>4039</v>
      </c>
      <c r="C3476" s="1" t="s">
        <v>4040</v>
      </c>
      <c r="D3476" s="22" t="str">
        <f>HYPERLINK("https://rhld.insurance.arkansas.gov/NPILookup?Npi=1043215056","1043215056")</f>
        <v>1043215056</v>
      </c>
      <c r="E3476" s="1" t="s">
        <v>16343</v>
      </c>
      <c r="F3476" s="2"/>
      <c r="G3476" s="2"/>
      <c r="H3476" s="2"/>
    </row>
    <row r="3477" spans="1:8" x14ac:dyDescent="0.25">
      <c r="A3477" s="1"/>
      <c r="B3477" s="1" t="s">
        <v>4039</v>
      </c>
      <c r="C3477" s="1" t="s">
        <v>4040</v>
      </c>
      <c r="D3477" s="22" t="str">
        <f>HYPERLINK("https://rhld.insurance.arkansas.gov/NPILookup?Npi=1043233950","1043233950")</f>
        <v>1043233950</v>
      </c>
      <c r="E3477" s="1" t="s">
        <v>16344</v>
      </c>
      <c r="F3477" s="2"/>
      <c r="G3477" s="2"/>
      <c r="H3477" s="2"/>
    </row>
    <row r="3478" spans="1:8" x14ac:dyDescent="0.25">
      <c r="A3478" s="1"/>
      <c r="B3478" s="1" t="s">
        <v>4039</v>
      </c>
      <c r="C3478" s="1" t="s">
        <v>4040</v>
      </c>
      <c r="D3478" s="22" t="str">
        <f>HYPERLINK("https://rhld.insurance.arkansas.gov/NPILookup?Npi=1043284888","1043284888")</f>
        <v>1043284888</v>
      </c>
      <c r="E3478" s="1" t="s">
        <v>16345</v>
      </c>
      <c r="F3478" s="2"/>
      <c r="G3478" s="2"/>
      <c r="H3478" s="2"/>
    </row>
    <row r="3479" spans="1:8" x14ac:dyDescent="0.25">
      <c r="A3479" s="1"/>
      <c r="B3479" s="1" t="s">
        <v>4039</v>
      </c>
      <c r="C3479" s="1" t="s">
        <v>4040</v>
      </c>
      <c r="D3479" s="22" t="str">
        <f>HYPERLINK("https://rhld.insurance.arkansas.gov/NPILookup?Npi=1043325145","1043325145")</f>
        <v>1043325145</v>
      </c>
      <c r="E3479" s="1" t="s">
        <v>16346</v>
      </c>
      <c r="F3479" s="2"/>
      <c r="G3479" s="2"/>
      <c r="H3479" s="2"/>
    </row>
    <row r="3480" spans="1:8" x14ac:dyDescent="0.25">
      <c r="A3480" s="1"/>
      <c r="B3480" s="1" t="s">
        <v>4039</v>
      </c>
      <c r="C3480" s="1" t="s">
        <v>4040</v>
      </c>
      <c r="D3480" s="22" t="str">
        <f>HYPERLINK("https://rhld.insurance.arkansas.gov/NPILookup?Npi=1043370331","1043370331")</f>
        <v>1043370331</v>
      </c>
      <c r="E3480" s="1" t="s">
        <v>16347</v>
      </c>
      <c r="F3480" s="2"/>
      <c r="G3480" s="2"/>
      <c r="H3480" s="2"/>
    </row>
    <row r="3481" spans="1:8" x14ac:dyDescent="0.25">
      <c r="A3481" s="1"/>
      <c r="B3481" s="1" t="s">
        <v>4039</v>
      </c>
      <c r="C3481" s="1" t="s">
        <v>4040</v>
      </c>
      <c r="D3481" s="22" t="str">
        <f>HYPERLINK("https://rhld.insurance.arkansas.gov/NPILookup?Npi=1043396823","1043396823")</f>
        <v>1043396823</v>
      </c>
      <c r="E3481" s="1" t="s">
        <v>16348</v>
      </c>
      <c r="F3481" s="2"/>
      <c r="G3481" s="2"/>
      <c r="H3481" s="2"/>
    </row>
    <row r="3482" spans="1:8" x14ac:dyDescent="0.25">
      <c r="A3482" s="1"/>
      <c r="B3482" s="1" t="s">
        <v>4039</v>
      </c>
      <c r="C3482" s="1" t="s">
        <v>4040</v>
      </c>
      <c r="D3482" s="22" t="str">
        <f>HYPERLINK("https://rhld.insurance.arkansas.gov/NPILookup?Npi=1043396948","1043396948")</f>
        <v>1043396948</v>
      </c>
      <c r="E3482" s="1" t="s">
        <v>16349</v>
      </c>
      <c r="F3482" s="2"/>
      <c r="G3482" s="2"/>
      <c r="H3482" s="2"/>
    </row>
    <row r="3483" spans="1:8" x14ac:dyDescent="0.25">
      <c r="A3483" s="1"/>
      <c r="B3483" s="1" t="s">
        <v>4039</v>
      </c>
      <c r="C3483" s="1" t="s">
        <v>4040</v>
      </c>
      <c r="D3483" s="22" t="str">
        <f>HYPERLINK("https://rhld.insurance.arkansas.gov/NPILookup?Npi=1043447550","1043447550")</f>
        <v>1043447550</v>
      </c>
      <c r="E3483" s="1" t="s">
        <v>561</v>
      </c>
      <c r="F3483" s="2"/>
      <c r="G3483" s="2"/>
      <c r="H3483" s="2"/>
    </row>
    <row r="3484" spans="1:8" x14ac:dyDescent="0.25">
      <c r="A3484" s="1"/>
      <c r="B3484" s="1" t="s">
        <v>4039</v>
      </c>
      <c r="C3484" s="1" t="s">
        <v>4040</v>
      </c>
      <c r="D3484" s="22" t="str">
        <f>HYPERLINK("https://rhld.insurance.arkansas.gov/NPILookup?Npi=1043658669","1043658669")</f>
        <v>1043658669</v>
      </c>
      <c r="E3484" s="1" t="s">
        <v>16350</v>
      </c>
      <c r="F3484" s="2"/>
      <c r="G3484" s="2"/>
      <c r="H3484" s="2"/>
    </row>
    <row r="3485" spans="1:8" x14ac:dyDescent="0.25">
      <c r="A3485" s="1"/>
      <c r="B3485" s="1" t="s">
        <v>4039</v>
      </c>
      <c r="C3485" s="1" t="s">
        <v>4040</v>
      </c>
      <c r="D3485" s="22" t="str">
        <f>HYPERLINK("https://rhld.insurance.arkansas.gov/NPILookup?Npi=1043662455","1043662455")</f>
        <v>1043662455</v>
      </c>
      <c r="E3485" s="1" t="s">
        <v>4044</v>
      </c>
      <c r="F3485" s="2"/>
      <c r="G3485" s="2"/>
      <c r="H3485" s="2"/>
    </row>
    <row r="3486" spans="1:8" x14ac:dyDescent="0.25">
      <c r="A3486" s="1"/>
      <c r="B3486" s="1" t="s">
        <v>4039</v>
      </c>
      <c r="C3486" s="1" t="s">
        <v>4040</v>
      </c>
      <c r="D3486" s="22" t="str">
        <f>HYPERLINK("https://rhld.insurance.arkansas.gov/NPILookup?Npi=1043703085","1043703085")</f>
        <v>1043703085</v>
      </c>
      <c r="E3486" s="1" t="s">
        <v>4045</v>
      </c>
      <c r="F3486" s="2"/>
      <c r="G3486" s="2"/>
      <c r="H3486" s="2"/>
    </row>
    <row r="3487" spans="1:8" x14ac:dyDescent="0.25">
      <c r="A3487" s="1"/>
      <c r="B3487" s="1" t="s">
        <v>4039</v>
      </c>
      <c r="C3487" s="1" t="s">
        <v>4040</v>
      </c>
      <c r="D3487" s="22" t="str">
        <f>HYPERLINK("https://rhld.insurance.arkansas.gov/NPILookup?Npi=1043828221","1043828221")</f>
        <v>1043828221</v>
      </c>
      <c r="E3487" s="1" t="s">
        <v>16351</v>
      </c>
      <c r="F3487" s="2"/>
      <c r="G3487" s="2"/>
      <c r="H3487" s="2"/>
    </row>
    <row r="3488" spans="1:8" x14ac:dyDescent="0.25">
      <c r="A3488" s="1"/>
      <c r="B3488" s="1" t="s">
        <v>4039</v>
      </c>
      <c r="C3488" s="1" t="s">
        <v>4040</v>
      </c>
      <c r="D3488" s="22" t="str">
        <f>HYPERLINK("https://rhld.insurance.arkansas.gov/NPILookup?Npi=1053000885","1053000885")</f>
        <v>1053000885</v>
      </c>
      <c r="E3488" s="1" t="s">
        <v>31349</v>
      </c>
      <c r="F3488" s="2"/>
      <c r="G3488" s="2"/>
      <c r="H3488" s="2"/>
    </row>
    <row r="3489" spans="1:8" x14ac:dyDescent="0.25">
      <c r="A3489" s="1"/>
      <c r="B3489" s="1" t="s">
        <v>4039</v>
      </c>
      <c r="C3489" s="1" t="s">
        <v>4040</v>
      </c>
      <c r="D3489" s="22" t="str">
        <f>HYPERLINK("https://rhld.insurance.arkansas.gov/NPILookup?Npi=1053037234","1053037234")</f>
        <v>1053037234</v>
      </c>
      <c r="E3489" s="1" t="s">
        <v>4046</v>
      </c>
      <c r="F3489" s="2"/>
      <c r="G3489" s="2"/>
      <c r="H3489" s="2"/>
    </row>
    <row r="3490" spans="1:8" x14ac:dyDescent="0.25">
      <c r="A3490" s="1"/>
      <c r="B3490" s="1" t="s">
        <v>4039</v>
      </c>
      <c r="C3490" s="1" t="s">
        <v>4040</v>
      </c>
      <c r="D3490" s="22" t="str">
        <f>HYPERLINK("https://rhld.insurance.arkansas.gov/NPILookup?Npi=1053040600","1053040600")</f>
        <v>1053040600</v>
      </c>
      <c r="E3490" s="1" t="s">
        <v>16352</v>
      </c>
      <c r="F3490" s="2"/>
      <c r="G3490" s="2"/>
      <c r="H3490" s="2"/>
    </row>
    <row r="3491" spans="1:8" x14ac:dyDescent="0.25">
      <c r="A3491" s="1"/>
      <c r="B3491" s="1" t="s">
        <v>4039</v>
      </c>
      <c r="C3491" s="1" t="s">
        <v>4040</v>
      </c>
      <c r="D3491" s="22" t="str">
        <f>HYPERLINK("https://rhld.insurance.arkansas.gov/NPILookup?Npi=1053040667","1053040667")</f>
        <v>1053040667</v>
      </c>
      <c r="E3491" s="1" t="s">
        <v>16353</v>
      </c>
      <c r="F3491" s="2"/>
      <c r="G3491" s="2"/>
      <c r="H3491" s="2"/>
    </row>
    <row r="3492" spans="1:8" x14ac:dyDescent="0.25">
      <c r="A3492" s="1"/>
      <c r="B3492" s="1" t="s">
        <v>4039</v>
      </c>
      <c r="C3492" s="1" t="s">
        <v>4040</v>
      </c>
      <c r="D3492" s="22" t="str">
        <f>HYPERLINK("https://rhld.insurance.arkansas.gov/NPILookup?Npi=1053429613","1053429613")</f>
        <v>1053429613</v>
      </c>
      <c r="E3492" s="1" t="s">
        <v>9990</v>
      </c>
      <c r="F3492" s="2"/>
      <c r="G3492" s="2"/>
      <c r="H3492" s="2"/>
    </row>
    <row r="3493" spans="1:8" x14ac:dyDescent="0.25">
      <c r="A3493" s="1"/>
      <c r="B3493" s="1" t="s">
        <v>4039</v>
      </c>
      <c r="C3493" s="1" t="s">
        <v>4040</v>
      </c>
      <c r="D3493" s="22" t="str">
        <f>HYPERLINK("https://rhld.insurance.arkansas.gov/NPILookup?Npi=1053460790","1053460790")</f>
        <v>1053460790</v>
      </c>
      <c r="E3493" s="1" t="s">
        <v>16354</v>
      </c>
      <c r="F3493" s="2"/>
      <c r="G3493" s="2"/>
      <c r="H3493" s="2"/>
    </row>
    <row r="3494" spans="1:8" x14ac:dyDescent="0.25">
      <c r="A3494" s="1"/>
      <c r="B3494" s="1" t="s">
        <v>4039</v>
      </c>
      <c r="C3494" s="1" t="s">
        <v>4040</v>
      </c>
      <c r="D3494" s="22" t="str">
        <f>HYPERLINK("https://rhld.insurance.arkansas.gov/NPILookup?Npi=1053486134","1053486134")</f>
        <v>1053486134</v>
      </c>
      <c r="E3494" s="1" t="s">
        <v>9991</v>
      </c>
      <c r="F3494" s="2"/>
      <c r="G3494" s="2"/>
      <c r="H3494" s="2"/>
    </row>
    <row r="3495" spans="1:8" x14ac:dyDescent="0.25">
      <c r="A3495" s="1"/>
      <c r="B3495" s="1" t="s">
        <v>4039</v>
      </c>
      <c r="C3495" s="1" t="s">
        <v>4040</v>
      </c>
      <c r="D3495" s="22" t="str">
        <f>HYPERLINK("https://rhld.insurance.arkansas.gov/NPILookup?Npi=1053500975","1053500975")</f>
        <v>1053500975</v>
      </c>
      <c r="E3495" s="1" t="s">
        <v>16355</v>
      </c>
      <c r="F3495" s="2"/>
      <c r="G3495" s="2"/>
      <c r="H3495" s="2"/>
    </row>
    <row r="3496" spans="1:8" x14ac:dyDescent="0.25">
      <c r="A3496" s="1"/>
      <c r="B3496" s="1" t="s">
        <v>4039</v>
      </c>
      <c r="C3496" s="1" t="s">
        <v>4040</v>
      </c>
      <c r="D3496" s="22" t="str">
        <f>HYPERLINK("https://rhld.insurance.arkansas.gov/NPILookup?Npi=1053533968","1053533968")</f>
        <v>1053533968</v>
      </c>
      <c r="E3496" s="1" t="s">
        <v>562</v>
      </c>
      <c r="F3496" s="2"/>
      <c r="G3496" s="2"/>
      <c r="H3496" s="2"/>
    </row>
    <row r="3497" spans="1:8" x14ac:dyDescent="0.25">
      <c r="A3497" s="1"/>
      <c r="B3497" s="1" t="s">
        <v>4039</v>
      </c>
      <c r="C3497" s="1" t="s">
        <v>4040</v>
      </c>
      <c r="D3497" s="22" t="str">
        <f>HYPERLINK("https://rhld.insurance.arkansas.gov/NPILookup?Npi=1053545665","1053545665")</f>
        <v>1053545665</v>
      </c>
      <c r="E3497" s="1" t="s">
        <v>16356</v>
      </c>
      <c r="F3497" s="2"/>
      <c r="G3497" s="2"/>
      <c r="H3497" s="2"/>
    </row>
    <row r="3498" spans="1:8" x14ac:dyDescent="0.25">
      <c r="A3498" s="1"/>
      <c r="B3498" s="1" t="s">
        <v>4039</v>
      </c>
      <c r="C3498" s="1" t="s">
        <v>4040</v>
      </c>
      <c r="D3498" s="22" t="str">
        <f>HYPERLINK("https://rhld.insurance.arkansas.gov/NPILookup?Npi=1053606624","1053606624")</f>
        <v>1053606624</v>
      </c>
      <c r="E3498" s="1" t="s">
        <v>9992</v>
      </c>
      <c r="F3498" s="2"/>
      <c r="G3498" s="2"/>
      <c r="H3498" s="2"/>
    </row>
    <row r="3499" spans="1:8" x14ac:dyDescent="0.25">
      <c r="A3499" s="1"/>
      <c r="B3499" s="1" t="s">
        <v>4039</v>
      </c>
      <c r="C3499" s="1" t="s">
        <v>4040</v>
      </c>
      <c r="D3499" s="22" t="str">
        <f>HYPERLINK("https://rhld.insurance.arkansas.gov/NPILookup?Npi=1053620864","1053620864")</f>
        <v>1053620864</v>
      </c>
      <c r="E3499" s="1" t="s">
        <v>16357</v>
      </c>
      <c r="F3499" s="2"/>
      <c r="G3499" s="2"/>
      <c r="H3499" s="2"/>
    </row>
    <row r="3500" spans="1:8" x14ac:dyDescent="0.25">
      <c r="A3500" s="1"/>
      <c r="B3500" s="1" t="s">
        <v>4039</v>
      </c>
      <c r="C3500" s="1" t="s">
        <v>4040</v>
      </c>
      <c r="D3500" s="22" t="str">
        <f>HYPERLINK("https://rhld.insurance.arkansas.gov/NPILookup?Npi=1053674481","1053674481")</f>
        <v>1053674481</v>
      </c>
      <c r="E3500" s="1" t="s">
        <v>4047</v>
      </c>
      <c r="F3500" s="2"/>
      <c r="G3500" s="2"/>
      <c r="H3500" s="2"/>
    </row>
    <row r="3501" spans="1:8" x14ac:dyDescent="0.25">
      <c r="A3501" s="1"/>
      <c r="B3501" s="1" t="s">
        <v>4039</v>
      </c>
      <c r="C3501" s="1" t="s">
        <v>4040</v>
      </c>
      <c r="D3501" s="22" t="str">
        <f>HYPERLINK("https://rhld.insurance.arkansas.gov/NPILookup?Npi=1053842716","1053842716")</f>
        <v>1053842716</v>
      </c>
      <c r="E3501" s="1" t="s">
        <v>16358</v>
      </c>
      <c r="F3501" s="2"/>
      <c r="G3501" s="2"/>
      <c r="H3501" s="2"/>
    </row>
    <row r="3502" spans="1:8" x14ac:dyDescent="0.25">
      <c r="A3502" s="1"/>
      <c r="B3502" s="1" t="s">
        <v>4039</v>
      </c>
      <c r="C3502" s="1" t="s">
        <v>4040</v>
      </c>
      <c r="D3502" s="22" t="str">
        <f>HYPERLINK("https://rhld.insurance.arkansas.gov/NPILookup?Npi=1053948901","1053948901")</f>
        <v>1053948901</v>
      </c>
      <c r="E3502" s="1" t="s">
        <v>16359</v>
      </c>
      <c r="F3502" s="2"/>
      <c r="G3502" s="2"/>
      <c r="H3502" s="2"/>
    </row>
    <row r="3503" spans="1:8" x14ac:dyDescent="0.25">
      <c r="A3503" s="1"/>
      <c r="B3503" s="1" t="s">
        <v>4039</v>
      </c>
      <c r="C3503" s="1" t="s">
        <v>4040</v>
      </c>
      <c r="D3503" s="22" t="str">
        <f>HYPERLINK("https://rhld.insurance.arkansas.gov/NPILookup?Npi=1053964445","1053964445")</f>
        <v>1053964445</v>
      </c>
      <c r="E3503" s="1" t="s">
        <v>4048</v>
      </c>
      <c r="F3503" s="2"/>
      <c r="G3503" s="2"/>
      <c r="H3503" s="2"/>
    </row>
    <row r="3504" spans="1:8" x14ac:dyDescent="0.25">
      <c r="A3504" s="1"/>
      <c r="B3504" s="1" t="s">
        <v>4039</v>
      </c>
      <c r="C3504" s="1" t="s">
        <v>4040</v>
      </c>
      <c r="D3504" s="22" t="str">
        <f>HYPERLINK("https://rhld.insurance.arkansas.gov/NPILookup?Npi=1063023554","1063023554")</f>
        <v>1063023554</v>
      </c>
      <c r="E3504" s="1" t="s">
        <v>9993</v>
      </c>
      <c r="F3504" s="2"/>
      <c r="G3504" s="2"/>
      <c r="H3504" s="2"/>
    </row>
    <row r="3505" spans="1:8" x14ac:dyDescent="0.25">
      <c r="A3505" s="1"/>
      <c r="B3505" s="1" t="s">
        <v>4039</v>
      </c>
      <c r="C3505" s="1" t="s">
        <v>4040</v>
      </c>
      <c r="D3505" s="22" t="str">
        <f>HYPERLINK("https://rhld.insurance.arkansas.gov/NPILookup?Npi=1063142701","1063142701")</f>
        <v>1063142701</v>
      </c>
      <c r="E3505" s="1" t="s">
        <v>4049</v>
      </c>
      <c r="F3505" s="2"/>
      <c r="G3505" s="2"/>
      <c r="H3505" s="2"/>
    </row>
    <row r="3506" spans="1:8" x14ac:dyDescent="0.25">
      <c r="A3506" s="1"/>
      <c r="B3506" s="1" t="s">
        <v>4039</v>
      </c>
      <c r="C3506" s="1" t="s">
        <v>4040</v>
      </c>
      <c r="D3506" s="22" t="str">
        <f>HYPERLINK("https://rhld.insurance.arkansas.gov/NPILookup?Npi=1063190734","1063190734")</f>
        <v>1063190734</v>
      </c>
      <c r="E3506" s="1" t="s">
        <v>31350</v>
      </c>
      <c r="F3506" s="2"/>
      <c r="G3506" s="2"/>
      <c r="H3506" s="2"/>
    </row>
    <row r="3507" spans="1:8" x14ac:dyDescent="0.25">
      <c r="A3507" s="1"/>
      <c r="B3507" s="1" t="s">
        <v>4039</v>
      </c>
      <c r="C3507" s="1" t="s">
        <v>4040</v>
      </c>
      <c r="D3507" s="22" t="str">
        <f>HYPERLINK("https://rhld.insurance.arkansas.gov/NPILookup?Npi=1063259828","1063259828")</f>
        <v>1063259828</v>
      </c>
      <c r="E3507" s="1" t="s">
        <v>16360</v>
      </c>
      <c r="F3507" s="2"/>
      <c r="G3507" s="2"/>
      <c r="H3507" s="2"/>
    </row>
    <row r="3508" spans="1:8" x14ac:dyDescent="0.25">
      <c r="A3508" s="1"/>
      <c r="B3508" s="1" t="s">
        <v>4039</v>
      </c>
      <c r="C3508" s="1" t="s">
        <v>4040</v>
      </c>
      <c r="D3508" s="22" t="str">
        <f>HYPERLINK("https://rhld.insurance.arkansas.gov/NPILookup?Npi=1063449528","1063449528")</f>
        <v>1063449528</v>
      </c>
      <c r="E3508" s="1" t="s">
        <v>410</v>
      </c>
      <c r="F3508" s="2"/>
      <c r="G3508" s="2"/>
      <c r="H3508" s="2"/>
    </row>
    <row r="3509" spans="1:8" x14ac:dyDescent="0.25">
      <c r="A3509" s="1"/>
      <c r="B3509" s="1" t="s">
        <v>4039</v>
      </c>
      <c r="C3509" s="1" t="s">
        <v>4040</v>
      </c>
      <c r="D3509" s="22" t="str">
        <f>HYPERLINK("https://rhld.insurance.arkansas.gov/NPILookup?Npi=1063503126","1063503126")</f>
        <v>1063503126</v>
      </c>
      <c r="E3509" s="1" t="s">
        <v>16361</v>
      </c>
      <c r="F3509" s="2"/>
      <c r="G3509" s="2"/>
      <c r="H3509" s="2"/>
    </row>
    <row r="3510" spans="1:8" x14ac:dyDescent="0.25">
      <c r="A3510" s="1"/>
      <c r="B3510" s="1" t="s">
        <v>4039</v>
      </c>
      <c r="C3510" s="1" t="s">
        <v>4040</v>
      </c>
      <c r="D3510" s="22" t="str">
        <f>HYPERLINK("https://rhld.insurance.arkansas.gov/NPILookup?Npi=1063517977","1063517977")</f>
        <v>1063517977</v>
      </c>
      <c r="E3510" s="1" t="s">
        <v>4050</v>
      </c>
      <c r="F3510" s="2"/>
      <c r="G3510" s="2"/>
      <c r="H3510" s="2"/>
    </row>
    <row r="3511" spans="1:8" x14ac:dyDescent="0.25">
      <c r="A3511" s="1"/>
      <c r="B3511" s="1" t="s">
        <v>4039</v>
      </c>
      <c r="C3511" s="1" t="s">
        <v>4040</v>
      </c>
      <c r="D3511" s="22" t="str">
        <f>HYPERLINK("https://rhld.insurance.arkansas.gov/NPILookup?Npi=1063519676","1063519676")</f>
        <v>1063519676</v>
      </c>
      <c r="E3511" s="1" t="s">
        <v>743</v>
      </c>
      <c r="F3511" s="2"/>
      <c r="G3511" s="2"/>
      <c r="H3511" s="2"/>
    </row>
    <row r="3512" spans="1:8" x14ac:dyDescent="0.25">
      <c r="A3512" s="1"/>
      <c r="B3512" s="1" t="s">
        <v>4039</v>
      </c>
      <c r="C3512" s="1" t="s">
        <v>4040</v>
      </c>
      <c r="D3512" s="22" t="str">
        <f>HYPERLINK("https://rhld.insurance.arkansas.gov/NPILookup?Npi=1063540193","1063540193")</f>
        <v>1063540193</v>
      </c>
      <c r="E3512" s="1" t="s">
        <v>16362</v>
      </c>
      <c r="F3512" s="2"/>
      <c r="G3512" s="2"/>
      <c r="H3512" s="2"/>
    </row>
    <row r="3513" spans="1:8" x14ac:dyDescent="0.25">
      <c r="A3513" s="1"/>
      <c r="B3513" s="1" t="s">
        <v>4039</v>
      </c>
      <c r="C3513" s="1" t="s">
        <v>4040</v>
      </c>
      <c r="D3513" s="22" t="str">
        <f>HYPERLINK("https://rhld.insurance.arkansas.gov/NPILookup?Npi=1063555415","1063555415")</f>
        <v>1063555415</v>
      </c>
      <c r="E3513" s="1" t="s">
        <v>16363</v>
      </c>
      <c r="F3513" s="2"/>
      <c r="G3513" s="2"/>
      <c r="H3513" s="2"/>
    </row>
    <row r="3514" spans="1:8" x14ac:dyDescent="0.25">
      <c r="A3514" s="1"/>
      <c r="B3514" s="1" t="s">
        <v>4039</v>
      </c>
      <c r="C3514" s="1" t="s">
        <v>4040</v>
      </c>
      <c r="D3514" s="22" t="str">
        <f>HYPERLINK("https://rhld.insurance.arkansas.gov/NPILookup?Npi=1063573780","1063573780")</f>
        <v>1063573780</v>
      </c>
      <c r="E3514" s="1" t="s">
        <v>16364</v>
      </c>
      <c r="F3514" s="2"/>
      <c r="G3514" s="2"/>
      <c r="H3514" s="2"/>
    </row>
    <row r="3515" spans="1:8" x14ac:dyDescent="0.25">
      <c r="A3515" s="1"/>
      <c r="B3515" s="1" t="s">
        <v>4039</v>
      </c>
      <c r="C3515" s="1" t="s">
        <v>4040</v>
      </c>
      <c r="D3515" s="22" t="str">
        <f>HYPERLINK("https://rhld.insurance.arkansas.gov/NPILookup?Npi=1063641736","1063641736")</f>
        <v>1063641736</v>
      </c>
      <c r="E3515" s="1" t="s">
        <v>676</v>
      </c>
      <c r="F3515" s="2"/>
      <c r="G3515" s="2"/>
      <c r="H3515" s="2"/>
    </row>
    <row r="3516" spans="1:8" x14ac:dyDescent="0.25">
      <c r="A3516" s="1"/>
      <c r="B3516" s="1" t="s">
        <v>4039</v>
      </c>
      <c r="C3516" s="1" t="s">
        <v>4040</v>
      </c>
      <c r="D3516" s="22" t="str">
        <f>HYPERLINK("https://rhld.insurance.arkansas.gov/NPILookup?Npi=1063706802","1063706802")</f>
        <v>1063706802</v>
      </c>
      <c r="E3516" s="1" t="s">
        <v>16365</v>
      </c>
      <c r="F3516" s="2"/>
      <c r="G3516" s="2"/>
      <c r="H3516" s="2"/>
    </row>
    <row r="3517" spans="1:8" x14ac:dyDescent="0.25">
      <c r="A3517" s="1"/>
      <c r="B3517" s="1" t="s">
        <v>4039</v>
      </c>
      <c r="C3517" s="1" t="s">
        <v>4040</v>
      </c>
      <c r="D3517" s="22" t="str">
        <f>HYPERLINK("https://rhld.insurance.arkansas.gov/NPILookup?Npi=1063769594","1063769594")</f>
        <v>1063769594</v>
      </c>
      <c r="E3517" s="1" t="s">
        <v>4051</v>
      </c>
      <c r="F3517" s="2"/>
      <c r="G3517" s="2"/>
      <c r="H3517" s="2"/>
    </row>
    <row r="3518" spans="1:8" x14ac:dyDescent="0.25">
      <c r="A3518" s="1"/>
      <c r="B3518" s="1" t="s">
        <v>4039</v>
      </c>
      <c r="C3518" s="1" t="s">
        <v>4040</v>
      </c>
      <c r="D3518" s="22" t="str">
        <f>HYPERLINK("https://rhld.insurance.arkansas.gov/NPILookup?Npi=1063856912","1063856912")</f>
        <v>1063856912</v>
      </c>
      <c r="E3518" s="1" t="s">
        <v>2327</v>
      </c>
      <c r="F3518" s="2"/>
      <c r="G3518" s="2"/>
      <c r="H3518" s="2"/>
    </row>
    <row r="3519" spans="1:8" x14ac:dyDescent="0.25">
      <c r="A3519" s="1"/>
      <c r="B3519" s="1" t="s">
        <v>4039</v>
      </c>
      <c r="C3519" s="1" t="s">
        <v>4040</v>
      </c>
      <c r="D3519" s="22" t="str">
        <f>HYPERLINK("https://rhld.insurance.arkansas.gov/NPILookup?Npi=1063861086","1063861086")</f>
        <v>1063861086</v>
      </c>
      <c r="E3519" s="1" t="s">
        <v>16366</v>
      </c>
      <c r="F3519" s="2"/>
      <c r="G3519" s="2"/>
      <c r="H3519" s="2"/>
    </row>
    <row r="3520" spans="1:8" x14ac:dyDescent="0.25">
      <c r="A3520" s="1"/>
      <c r="B3520" s="1" t="s">
        <v>4039</v>
      </c>
      <c r="C3520" s="1" t="s">
        <v>4040</v>
      </c>
      <c r="D3520" s="22" t="str">
        <f>HYPERLINK("https://rhld.insurance.arkansas.gov/NPILookup?Npi=1063863009","1063863009")</f>
        <v>1063863009</v>
      </c>
      <c r="E3520" s="1" t="s">
        <v>1722</v>
      </c>
      <c r="F3520" s="2"/>
      <c r="G3520" s="2"/>
      <c r="H3520" s="2"/>
    </row>
    <row r="3521" spans="1:8" x14ac:dyDescent="0.25">
      <c r="A3521" s="1"/>
      <c r="B3521" s="1" t="s">
        <v>4039</v>
      </c>
      <c r="C3521" s="1" t="s">
        <v>4040</v>
      </c>
      <c r="D3521" s="22" t="str">
        <f>HYPERLINK("https://rhld.insurance.arkansas.gov/NPILookup?Npi=1063867604","1063867604")</f>
        <v>1063867604</v>
      </c>
      <c r="E3521" s="1" t="s">
        <v>4052</v>
      </c>
      <c r="F3521" s="2"/>
      <c r="G3521" s="2"/>
      <c r="H3521" s="2"/>
    </row>
    <row r="3522" spans="1:8" x14ac:dyDescent="0.25">
      <c r="A3522" s="1"/>
      <c r="B3522" s="1" t="s">
        <v>4039</v>
      </c>
      <c r="C3522" s="1" t="s">
        <v>4040</v>
      </c>
      <c r="D3522" s="22" t="str">
        <f>HYPERLINK("https://rhld.insurance.arkansas.gov/NPILookup?Npi=1063932655","1063932655")</f>
        <v>1063932655</v>
      </c>
      <c r="E3522" s="1" t="s">
        <v>16367</v>
      </c>
      <c r="F3522" s="2"/>
      <c r="G3522" s="2"/>
      <c r="H3522" s="2"/>
    </row>
    <row r="3523" spans="1:8" x14ac:dyDescent="0.25">
      <c r="A3523" s="1"/>
      <c r="B3523" s="1" t="s">
        <v>4039</v>
      </c>
      <c r="C3523" s="1" t="s">
        <v>4040</v>
      </c>
      <c r="D3523" s="22" t="str">
        <f>HYPERLINK("https://rhld.insurance.arkansas.gov/NPILookup?Npi=1063954139","1063954139")</f>
        <v>1063954139</v>
      </c>
      <c r="E3523" s="1" t="s">
        <v>9994</v>
      </c>
      <c r="F3523" s="2"/>
      <c r="G3523" s="2"/>
      <c r="H3523" s="2"/>
    </row>
    <row r="3524" spans="1:8" x14ac:dyDescent="0.25">
      <c r="A3524" s="1"/>
      <c r="B3524" s="1" t="s">
        <v>4039</v>
      </c>
      <c r="C3524" s="1" t="s">
        <v>4040</v>
      </c>
      <c r="D3524" s="22" t="str">
        <f>HYPERLINK("https://rhld.insurance.arkansas.gov/NPILookup?Npi=1063982957","1063982957")</f>
        <v>1063982957</v>
      </c>
      <c r="E3524" s="1" t="s">
        <v>9995</v>
      </c>
      <c r="F3524" s="2"/>
      <c r="G3524" s="2"/>
      <c r="H3524" s="2"/>
    </row>
    <row r="3525" spans="1:8" x14ac:dyDescent="0.25">
      <c r="A3525" s="1"/>
      <c r="B3525" s="1" t="s">
        <v>4039</v>
      </c>
      <c r="C3525" s="1" t="s">
        <v>4040</v>
      </c>
      <c r="D3525" s="22" t="str">
        <f>HYPERLINK("https://rhld.insurance.arkansas.gov/NPILookup?Npi=1073106001","1073106001")</f>
        <v>1073106001</v>
      </c>
      <c r="E3525" s="1" t="s">
        <v>4053</v>
      </c>
      <c r="F3525" s="2"/>
      <c r="G3525" s="2"/>
      <c r="H3525" s="2"/>
    </row>
    <row r="3526" spans="1:8" x14ac:dyDescent="0.25">
      <c r="A3526" s="1"/>
      <c r="B3526" s="1" t="s">
        <v>4039</v>
      </c>
      <c r="C3526" s="1" t="s">
        <v>4040</v>
      </c>
      <c r="D3526" s="22" t="str">
        <f>HYPERLINK("https://rhld.insurance.arkansas.gov/NPILookup?Npi=1073139143","1073139143")</f>
        <v>1073139143</v>
      </c>
      <c r="E3526" s="1" t="s">
        <v>1623</v>
      </c>
      <c r="F3526" s="2"/>
      <c r="G3526" s="2"/>
      <c r="H3526" s="2"/>
    </row>
    <row r="3527" spans="1:8" x14ac:dyDescent="0.25">
      <c r="A3527" s="1"/>
      <c r="B3527" s="1" t="s">
        <v>4039</v>
      </c>
      <c r="C3527" s="1" t="s">
        <v>4040</v>
      </c>
      <c r="D3527" s="22" t="str">
        <f>HYPERLINK("https://rhld.insurance.arkansas.gov/NPILookup?Npi=1073182143","1073182143")</f>
        <v>1073182143</v>
      </c>
      <c r="E3527" s="1" t="s">
        <v>3660</v>
      </c>
      <c r="F3527" s="2"/>
      <c r="G3527" s="2"/>
      <c r="H3527" s="2"/>
    </row>
    <row r="3528" spans="1:8" x14ac:dyDescent="0.25">
      <c r="A3528" s="1"/>
      <c r="B3528" s="1" t="s">
        <v>4039</v>
      </c>
      <c r="C3528" s="1" t="s">
        <v>4040</v>
      </c>
      <c r="D3528" s="22" t="str">
        <f>HYPERLINK("https://rhld.insurance.arkansas.gov/NPILookup?Npi=1073383691","1073383691")</f>
        <v>1073383691</v>
      </c>
      <c r="E3528" s="1" t="s">
        <v>16368</v>
      </c>
      <c r="F3528" s="2"/>
      <c r="G3528" s="2"/>
      <c r="H3528" s="2"/>
    </row>
    <row r="3529" spans="1:8" x14ac:dyDescent="0.25">
      <c r="A3529" s="1"/>
      <c r="B3529" s="1" t="s">
        <v>4039</v>
      </c>
      <c r="C3529" s="1" t="s">
        <v>4040</v>
      </c>
      <c r="D3529" s="22" t="str">
        <f>HYPERLINK("https://rhld.insurance.arkansas.gov/NPILookup?Npi=1073520300","1073520300")</f>
        <v>1073520300</v>
      </c>
      <c r="E3529" s="1" t="s">
        <v>16369</v>
      </c>
      <c r="F3529" s="2"/>
      <c r="G3529" s="2"/>
      <c r="H3529" s="2"/>
    </row>
    <row r="3530" spans="1:8" x14ac:dyDescent="0.25">
      <c r="A3530" s="1"/>
      <c r="B3530" s="1" t="s">
        <v>4039</v>
      </c>
      <c r="C3530" s="1" t="s">
        <v>4040</v>
      </c>
      <c r="D3530" s="22" t="str">
        <f>HYPERLINK("https://rhld.insurance.arkansas.gov/NPILookup?Npi=1073601753","1073601753")</f>
        <v>1073601753</v>
      </c>
      <c r="E3530" s="1" t="s">
        <v>16370</v>
      </c>
      <c r="F3530" s="2"/>
      <c r="G3530" s="2"/>
      <c r="H3530" s="2"/>
    </row>
    <row r="3531" spans="1:8" x14ac:dyDescent="0.25">
      <c r="A3531" s="1"/>
      <c r="B3531" s="1" t="s">
        <v>4039</v>
      </c>
      <c r="C3531" s="1" t="s">
        <v>4040</v>
      </c>
      <c r="D3531" s="22" t="str">
        <f>HYPERLINK("https://rhld.insurance.arkansas.gov/NPILookup?Npi=1073601969","1073601969")</f>
        <v>1073601969</v>
      </c>
      <c r="E3531" s="1" t="s">
        <v>4054</v>
      </c>
      <c r="F3531" s="2"/>
      <c r="G3531" s="2"/>
      <c r="H3531" s="2"/>
    </row>
    <row r="3532" spans="1:8" x14ac:dyDescent="0.25">
      <c r="A3532" s="1"/>
      <c r="B3532" s="1" t="s">
        <v>4039</v>
      </c>
      <c r="C3532" s="1" t="s">
        <v>4040</v>
      </c>
      <c r="D3532" s="22" t="str">
        <f>HYPERLINK("https://rhld.insurance.arkansas.gov/NPILookup?Npi=1073613204","1073613204")</f>
        <v>1073613204</v>
      </c>
      <c r="E3532" s="1" t="s">
        <v>16371</v>
      </c>
      <c r="F3532" s="2"/>
      <c r="G3532" s="2"/>
      <c r="H3532" s="2"/>
    </row>
    <row r="3533" spans="1:8" x14ac:dyDescent="0.25">
      <c r="A3533" s="1"/>
      <c r="B3533" s="1" t="s">
        <v>4039</v>
      </c>
      <c r="C3533" s="1" t="s">
        <v>4040</v>
      </c>
      <c r="D3533" s="22" t="str">
        <f>HYPERLINK("https://rhld.insurance.arkansas.gov/NPILookup?Npi=1073616298","1073616298")</f>
        <v>1073616298</v>
      </c>
      <c r="E3533" s="1" t="s">
        <v>250</v>
      </c>
      <c r="F3533" s="2"/>
      <c r="G3533" s="2"/>
      <c r="H3533" s="2"/>
    </row>
    <row r="3534" spans="1:8" x14ac:dyDescent="0.25">
      <c r="A3534" s="1"/>
      <c r="B3534" s="1" t="s">
        <v>4039</v>
      </c>
      <c r="C3534" s="1" t="s">
        <v>4040</v>
      </c>
      <c r="D3534" s="22" t="str">
        <f>HYPERLINK("https://rhld.insurance.arkansas.gov/NPILookup?Npi=1073620043","1073620043")</f>
        <v>1073620043</v>
      </c>
      <c r="E3534" s="1" t="s">
        <v>16372</v>
      </c>
      <c r="F3534" s="2"/>
      <c r="G3534" s="2"/>
      <c r="H3534" s="2"/>
    </row>
    <row r="3535" spans="1:8" x14ac:dyDescent="0.25">
      <c r="A3535" s="1"/>
      <c r="B3535" s="1" t="s">
        <v>4039</v>
      </c>
      <c r="C3535" s="1" t="s">
        <v>4040</v>
      </c>
      <c r="D3535" s="22" t="str">
        <f>HYPERLINK("https://rhld.insurance.arkansas.gov/NPILookup?Npi=1073644753","1073644753")</f>
        <v>1073644753</v>
      </c>
      <c r="E3535" s="1" t="s">
        <v>16373</v>
      </c>
      <c r="F3535" s="2"/>
      <c r="G3535" s="2"/>
      <c r="H3535" s="2"/>
    </row>
    <row r="3536" spans="1:8" x14ac:dyDescent="0.25">
      <c r="A3536" s="1"/>
      <c r="B3536" s="1" t="s">
        <v>4039</v>
      </c>
      <c r="C3536" s="1" t="s">
        <v>4040</v>
      </c>
      <c r="D3536" s="22" t="str">
        <f>HYPERLINK("https://rhld.insurance.arkansas.gov/NPILookup?Npi=1073676359","1073676359")</f>
        <v>1073676359</v>
      </c>
      <c r="E3536" s="1" t="s">
        <v>16374</v>
      </c>
      <c r="F3536" s="2"/>
      <c r="G3536" s="2"/>
      <c r="H3536" s="2"/>
    </row>
    <row r="3537" spans="1:8" x14ac:dyDescent="0.25">
      <c r="A3537" s="1"/>
      <c r="B3537" s="1" t="s">
        <v>4039</v>
      </c>
      <c r="C3537" s="1" t="s">
        <v>4040</v>
      </c>
      <c r="D3537" s="22" t="str">
        <f>HYPERLINK("https://rhld.insurance.arkansas.gov/NPILookup?Npi=1073684825","1073684825")</f>
        <v>1073684825</v>
      </c>
      <c r="E3537" s="1" t="s">
        <v>9996</v>
      </c>
      <c r="F3537" s="2"/>
      <c r="G3537" s="2"/>
      <c r="H3537" s="2"/>
    </row>
    <row r="3538" spans="1:8" x14ac:dyDescent="0.25">
      <c r="A3538" s="1"/>
      <c r="B3538" s="1" t="s">
        <v>4039</v>
      </c>
      <c r="C3538" s="1" t="s">
        <v>4040</v>
      </c>
      <c r="D3538" s="22" t="str">
        <f>HYPERLINK("https://rhld.insurance.arkansas.gov/NPILookup?Npi=1073687141","1073687141")</f>
        <v>1073687141</v>
      </c>
      <c r="E3538" s="1" t="s">
        <v>804</v>
      </c>
      <c r="F3538" s="2"/>
      <c r="G3538" s="2"/>
      <c r="H3538" s="2"/>
    </row>
    <row r="3539" spans="1:8" x14ac:dyDescent="0.25">
      <c r="A3539" s="1"/>
      <c r="B3539" s="1" t="s">
        <v>4039</v>
      </c>
      <c r="C3539" s="1" t="s">
        <v>4040</v>
      </c>
      <c r="D3539" s="22" t="str">
        <f>HYPERLINK("https://rhld.insurance.arkansas.gov/NPILookup?Npi=1073698379","1073698379")</f>
        <v>1073698379</v>
      </c>
      <c r="E3539" s="1" t="s">
        <v>5889</v>
      </c>
      <c r="F3539" s="2"/>
      <c r="G3539" s="2"/>
      <c r="H3539" s="2"/>
    </row>
    <row r="3540" spans="1:8" x14ac:dyDescent="0.25">
      <c r="A3540" s="1"/>
      <c r="B3540" s="1" t="s">
        <v>4039</v>
      </c>
      <c r="C3540" s="1" t="s">
        <v>4040</v>
      </c>
      <c r="D3540" s="22" t="str">
        <f>HYPERLINK("https://rhld.insurance.arkansas.gov/NPILookup?Npi=1073699542","1073699542")</f>
        <v>1073699542</v>
      </c>
      <c r="E3540" s="1" t="s">
        <v>9997</v>
      </c>
      <c r="F3540" s="2"/>
      <c r="G3540" s="2"/>
      <c r="H3540" s="2"/>
    </row>
    <row r="3541" spans="1:8" x14ac:dyDescent="0.25">
      <c r="A3541" s="1"/>
      <c r="B3541" s="1" t="s">
        <v>4039</v>
      </c>
      <c r="C3541" s="1" t="s">
        <v>4040</v>
      </c>
      <c r="D3541" s="22" t="str">
        <f>HYPERLINK("https://rhld.insurance.arkansas.gov/NPILookup?Npi=1073714770","1073714770")</f>
        <v>1073714770</v>
      </c>
      <c r="E3541" s="1" t="s">
        <v>16375</v>
      </c>
      <c r="F3541" s="2"/>
      <c r="G3541" s="2"/>
      <c r="H3541" s="2"/>
    </row>
    <row r="3542" spans="1:8" x14ac:dyDescent="0.25">
      <c r="A3542" s="1"/>
      <c r="B3542" s="1" t="s">
        <v>4039</v>
      </c>
      <c r="C3542" s="1" t="s">
        <v>4040</v>
      </c>
      <c r="D3542" s="22" t="str">
        <f>HYPERLINK("https://rhld.insurance.arkansas.gov/NPILookup?Npi=1073718706","1073718706")</f>
        <v>1073718706</v>
      </c>
      <c r="E3542" s="1" t="s">
        <v>1172</v>
      </c>
      <c r="F3542" s="2"/>
      <c r="G3542" s="2"/>
      <c r="H3542" s="2"/>
    </row>
    <row r="3543" spans="1:8" x14ac:dyDescent="0.25">
      <c r="A3543" s="1"/>
      <c r="B3543" s="1" t="s">
        <v>4039</v>
      </c>
      <c r="C3543" s="1" t="s">
        <v>4040</v>
      </c>
      <c r="D3543" s="22" t="str">
        <f>HYPERLINK("https://rhld.insurance.arkansas.gov/NPILookup?Npi=1073743878","1073743878")</f>
        <v>1073743878</v>
      </c>
      <c r="E3543" s="1" t="s">
        <v>16376</v>
      </c>
      <c r="F3543" s="2"/>
      <c r="G3543" s="2"/>
      <c r="H3543" s="2"/>
    </row>
    <row r="3544" spans="1:8" x14ac:dyDescent="0.25">
      <c r="A3544" s="1"/>
      <c r="B3544" s="1" t="s">
        <v>4039</v>
      </c>
      <c r="C3544" s="1" t="s">
        <v>4040</v>
      </c>
      <c r="D3544" s="22" t="str">
        <f>HYPERLINK("https://rhld.insurance.arkansas.gov/NPILookup?Npi=1073744876","1073744876")</f>
        <v>1073744876</v>
      </c>
      <c r="E3544" s="1" t="s">
        <v>9998</v>
      </c>
      <c r="F3544" s="2"/>
      <c r="G3544" s="2"/>
      <c r="H3544" s="2"/>
    </row>
    <row r="3545" spans="1:8" x14ac:dyDescent="0.25">
      <c r="A3545" s="1"/>
      <c r="B3545" s="1" t="s">
        <v>4039</v>
      </c>
      <c r="C3545" s="1" t="s">
        <v>4040</v>
      </c>
      <c r="D3545" s="22" t="str">
        <f>HYPERLINK("https://rhld.insurance.arkansas.gov/NPILookup?Npi=1073775045","1073775045")</f>
        <v>1073775045</v>
      </c>
      <c r="E3545" s="1" t="s">
        <v>16377</v>
      </c>
      <c r="F3545" s="2"/>
      <c r="G3545" s="2"/>
      <c r="H3545" s="2"/>
    </row>
    <row r="3546" spans="1:8" x14ac:dyDescent="0.25">
      <c r="A3546" s="1"/>
      <c r="B3546" s="1" t="s">
        <v>4039</v>
      </c>
      <c r="C3546" s="1" t="s">
        <v>4040</v>
      </c>
      <c r="D3546" s="22" t="str">
        <f>HYPERLINK("https://rhld.insurance.arkansas.gov/NPILookup?Npi=1073966917","1073966917")</f>
        <v>1073966917</v>
      </c>
      <c r="E3546" s="1" t="s">
        <v>16378</v>
      </c>
      <c r="F3546" s="2"/>
      <c r="G3546" s="2"/>
      <c r="H3546" s="2"/>
    </row>
    <row r="3547" spans="1:8" x14ac:dyDescent="0.25">
      <c r="A3547" s="1"/>
      <c r="B3547" s="1" t="s">
        <v>4039</v>
      </c>
      <c r="C3547" s="1" t="s">
        <v>4040</v>
      </c>
      <c r="D3547" s="22" t="str">
        <f>HYPERLINK("https://rhld.insurance.arkansas.gov/NPILookup?Npi=1073995585","1073995585")</f>
        <v>1073995585</v>
      </c>
      <c r="E3547" s="1" t="s">
        <v>9999</v>
      </c>
      <c r="F3547" s="2"/>
      <c r="G3547" s="2"/>
      <c r="H3547" s="2"/>
    </row>
    <row r="3548" spans="1:8" x14ac:dyDescent="0.25">
      <c r="A3548" s="1"/>
      <c r="B3548" s="1" t="s">
        <v>4039</v>
      </c>
      <c r="C3548" s="1" t="s">
        <v>4040</v>
      </c>
      <c r="D3548" s="22" t="str">
        <f>HYPERLINK("https://rhld.insurance.arkansas.gov/NPILookup?Npi=1083006357","1083006357")</f>
        <v>1083006357</v>
      </c>
      <c r="E3548" s="1" t="s">
        <v>16379</v>
      </c>
      <c r="F3548" s="2"/>
      <c r="G3548" s="2"/>
      <c r="H3548" s="2"/>
    </row>
    <row r="3549" spans="1:8" x14ac:dyDescent="0.25">
      <c r="A3549" s="1"/>
      <c r="B3549" s="1" t="s">
        <v>4039</v>
      </c>
      <c r="C3549" s="1" t="s">
        <v>4040</v>
      </c>
      <c r="D3549" s="22" t="str">
        <f>HYPERLINK("https://rhld.insurance.arkansas.gov/NPILookup?Npi=1083055701","1083055701")</f>
        <v>1083055701</v>
      </c>
      <c r="E3549" s="1" t="s">
        <v>3661</v>
      </c>
      <c r="F3549" s="2"/>
      <c r="G3549" s="2"/>
      <c r="H3549" s="2"/>
    </row>
    <row r="3550" spans="1:8" x14ac:dyDescent="0.25">
      <c r="A3550" s="1"/>
      <c r="B3550" s="1" t="s">
        <v>4039</v>
      </c>
      <c r="C3550" s="1" t="s">
        <v>4040</v>
      </c>
      <c r="D3550" s="22" t="str">
        <f>HYPERLINK("https://rhld.insurance.arkansas.gov/NPILookup?Npi=1083160980","1083160980")</f>
        <v>1083160980</v>
      </c>
      <c r="E3550" s="1" t="s">
        <v>1072</v>
      </c>
      <c r="F3550" s="2"/>
      <c r="G3550" s="2"/>
      <c r="H3550" s="2"/>
    </row>
    <row r="3551" spans="1:8" x14ac:dyDescent="0.25">
      <c r="A3551" s="1"/>
      <c r="B3551" s="1" t="s">
        <v>4039</v>
      </c>
      <c r="C3551" s="1" t="s">
        <v>4040</v>
      </c>
      <c r="D3551" s="22" t="str">
        <f>HYPERLINK("https://rhld.insurance.arkansas.gov/NPILookup?Npi=1083266225","1083266225")</f>
        <v>1083266225</v>
      </c>
      <c r="E3551" s="1" t="s">
        <v>3662</v>
      </c>
      <c r="F3551" s="2"/>
      <c r="G3551" s="2"/>
      <c r="H3551" s="2"/>
    </row>
    <row r="3552" spans="1:8" x14ac:dyDescent="0.25">
      <c r="A3552" s="1"/>
      <c r="B3552" s="1" t="s">
        <v>4039</v>
      </c>
      <c r="C3552" s="1" t="s">
        <v>4040</v>
      </c>
      <c r="D3552" s="22" t="str">
        <f>HYPERLINK("https://rhld.insurance.arkansas.gov/NPILookup?Npi=1083274823","1083274823")</f>
        <v>1083274823</v>
      </c>
      <c r="E3552" s="1" t="s">
        <v>2578</v>
      </c>
      <c r="F3552" s="2"/>
      <c r="G3552" s="2"/>
      <c r="H3552" s="2"/>
    </row>
    <row r="3553" spans="1:8" x14ac:dyDescent="0.25">
      <c r="A3553" s="1"/>
      <c r="B3553" s="1" t="s">
        <v>4039</v>
      </c>
      <c r="C3553" s="1" t="s">
        <v>4040</v>
      </c>
      <c r="D3553" s="22" t="str">
        <f>HYPERLINK("https://rhld.insurance.arkansas.gov/NPILookup?Npi=1083306468","1083306468")</f>
        <v>1083306468</v>
      </c>
      <c r="E3553" s="1" t="s">
        <v>16380</v>
      </c>
      <c r="F3553" s="2"/>
      <c r="G3553" s="2"/>
      <c r="H3553" s="2"/>
    </row>
    <row r="3554" spans="1:8" x14ac:dyDescent="0.25">
      <c r="A3554" s="1"/>
      <c r="B3554" s="1" t="s">
        <v>4039</v>
      </c>
      <c r="C3554" s="1" t="s">
        <v>4040</v>
      </c>
      <c r="D3554" s="22" t="str">
        <f>HYPERLINK("https://rhld.insurance.arkansas.gov/NPILookup?Npi=1083628796","1083628796")</f>
        <v>1083628796</v>
      </c>
      <c r="E3554" s="1" t="s">
        <v>563</v>
      </c>
      <c r="F3554" s="2"/>
      <c r="G3554" s="2"/>
      <c r="H3554" s="2"/>
    </row>
    <row r="3555" spans="1:8" x14ac:dyDescent="0.25">
      <c r="A3555" s="1"/>
      <c r="B3555" s="1" t="s">
        <v>4039</v>
      </c>
      <c r="C3555" s="1" t="s">
        <v>4040</v>
      </c>
      <c r="D3555" s="22" t="str">
        <f>HYPERLINK("https://rhld.insurance.arkansas.gov/NPILookup?Npi=1083728232","1083728232")</f>
        <v>1083728232</v>
      </c>
      <c r="E3555" s="1" t="s">
        <v>3663</v>
      </c>
      <c r="F3555" s="2"/>
      <c r="G3555" s="2"/>
      <c r="H3555" s="2"/>
    </row>
    <row r="3556" spans="1:8" x14ac:dyDescent="0.25">
      <c r="A3556" s="1"/>
      <c r="B3556" s="1" t="s">
        <v>4039</v>
      </c>
      <c r="C3556" s="1" t="s">
        <v>4040</v>
      </c>
      <c r="D3556" s="22" t="str">
        <f>HYPERLINK("https://rhld.insurance.arkansas.gov/NPILookup?Npi=1083742928","1083742928")</f>
        <v>1083742928</v>
      </c>
      <c r="E3556" s="1" t="s">
        <v>508</v>
      </c>
      <c r="F3556" s="2"/>
      <c r="G3556" s="2"/>
      <c r="H3556" s="2"/>
    </row>
    <row r="3557" spans="1:8" x14ac:dyDescent="0.25">
      <c r="A3557" s="1"/>
      <c r="B3557" s="1" t="s">
        <v>4039</v>
      </c>
      <c r="C3557" s="1" t="s">
        <v>4040</v>
      </c>
      <c r="D3557" s="22" t="str">
        <f>HYPERLINK("https://rhld.insurance.arkansas.gov/NPILookup?Npi=1083761878","1083761878")</f>
        <v>1083761878</v>
      </c>
      <c r="E3557" s="1" t="s">
        <v>744</v>
      </c>
      <c r="F3557" s="2"/>
      <c r="G3557" s="2"/>
      <c r="H3557" s="2"/>
    </row>
    <row r="3558" spans="1:8" x14ac:dyDescent="0.25">
      <c r="A3558" s="1"/>
      <c r="B3558" s="1" t="s">
        <v>4039</v>
      </c>
      <c r="C3558" s="1" t="s">
        <v>4040</v>
      </c>
      <c r="D3558" s="22" t="str">
        <f>HYPERLINK("https://rhld.insurance.arkansas.gov/NPILookup?Npi=1083771638","1083771638")</f>
        <v>1083771638</v>
      </c>
      <c r="E3558" s="1" t="s">
        <v>31351</v>
      </c>
      <c r="F3558" s="2"/>
      <c r="G3558" s="2"/>
      <c r="H3558" s="2"/>
    </row>
    <row r="3559" spans="1:8" x14ac:dyDescent="0.25">
      <c r="A3559" s="1"/>
      <c r="B3559" s="1" t="s">
        <v>4039</v>
      </c>
      <c r="C3559" s="1" t="s">
        <v>4040</v>
      </c>
      <c r="D3559" s="22" t="str">
        <f>HYPERLINK("https://rhld.insurance.arkansas.gov/NPILookup?Npi=1083787550","1083787550")</f>
        <v>1083787550</v>
      </c>
      <c r="E3559" s="1" t="s">
        <v>16381</v>
      </c>
      <c r="F3559" s="2"/>
      <c r="G3559" s="2"/>
      <c r="H3559" s="2"/>
    </row>
    <row r="3560" spans="1:8" x14ac:dyDescent="0.25">
      <c r="A3560" s="1"/>
      <c r="B3560" s="1" t="s">
        <v>4039</v>
      </c>
      <c r="C3560" s="1" t="s">
        <v>4040</v>
      </c>
      <c r="D3560" s="22" t="str">
        <f>HYPERLINK("https://rhld.insurance.arkansas.gov/NPILookup?Npi=1083787683","1083787683")</f>
        <v>1083787683</v>
      </c>
      <c r="E3560" s="1" t="s">
        <v>10000</v>
      </c>
      <c r="F3560" s="2"/>
      <c r="G3560" s="2"/>
      <c r="H3560" s="2"/>
    </row>
    <row r="3561" spans="1:8" x14ac:dyDescent="0.25">
      <c r="A3561" s="1"/>
      <c r="B3561" s="1" t="s">
        <v>4039</v>
      </c>
      <c r="C3561" s="1" t="s">
        <v>4040</v>
      </c>
      <c r="D3561" s="22" t="str">
        <f>HYPERLINK("https://rhld.insurance.arkansas.gov/NPILookup?Npi=1093026031","1093026031")</f>
        <v>1093026031</v>
      </c>
      <c r="E3561" s="1" t="s">
        <v>16382</v>
      </c>
      <c r="F3561" s="2"/>
      <c r="G3561" s="2"/>
      <c r="H3561" s="2"/>
    </row>
    <row r="3562" spans="1:8" x14ac:dyDescent="0.25">
      <c r="A3562" s="1"/>
      <c r="B3562" s="1" t="s">
        <v>4039</v>
      </c>
      <c r="C3562" s="1" t="s">
        <v>4040</v>
      </c>
      <c r="D3562" s="22" t="str">
        <f>HYPERLINK("https://rhld.insurance.arkansas.gov/NPILookup?Npi=1093086043","1093086043")</f>
        <v>1093086043</v>
      </c>
      <c r="E3562" s="1" t="s">
        <v>16383</v>
      </c>
      <c r="F3562" s="2"/>
      <c r="G3562" s="2"/>
      <c r="H3562" s="2"/>
    </row>
    <row r="3563" spans="1:8" x14ac:dyDescent="0.25">
      <c r="A3563" s="1"/>
      <c r="B3563" s="1" t="s">
        <v>4039</v>
      </c>
      <c r="C3563" s="1" t="s">
        <v>4040</v>
      </c>
      <c r="D3563" s="22" t="str">
        <f>HYPERLINK("https://rhld.insurance.arkansas.gov/NPILookup?Npi=1093120727","1093120727")</f>
        <v>1093120727</v>
      </c>
      <c r="E3563" s="1" t="s">
        <v>509</v>
      </c>
      <c r="F3563" s="2"/>
      <c r="G3563" s="2"/>
      <c r="H3563" s="2"/>
    </row>
    <row r="3564" spans="1:8" x14ac:dyDescent="0.25">
      <c r="A3564" s="1"/>
      <c r="B3564" s="1" t="s">
        <v>4039</v>
      </c>
      <c r="C3564" s="1" t="s">
        <v>4040</v>
      </c>
      <c r="D3564" s="22" t="str">
        <f>HYPERLINK("https://rhld.insurance.arkansas.gov/NPILookup?Npi=1093136327","1093136327")</f>
        <v>1093136327</v>
      </c>
      <c r="E3564" s="1" t="s">
        <v>16384</v>
      </c>
      <c r="F3564" s="2"/>
      <c r="G3564" s="2"/>
      <c r="H3564" s="2"/>
    </row>
    <row r="3565" spans="1:8" x14ac:dyDescent="0.25">
      <c r="A3565" s="1"/>
      <c r="B3565" s="1" t="s">
        <v>4039</v>
      </c>
      <c r="C3565" s="1" t="s">
        <v>4040</v>
      </c>
      <c r="D3565" s="22" t="str">
        <f>HYPERLINK("https://rhld.insurance.arkansas.gov/NPILookup?Npi=1093332728","1093332728")</f>
        <v>1093332728</v>
      </c>
      <c r="E3565" s="1" t="s">
        <v>4056</v>
      </c>
      <c r="F3565" s="2"/>
      <c r="G3565" s="2"/>
      <c r="H3565" s="2"/>
    </row>
    <row r="3566" spans="1:8" x14ac:dyDescent="0.25">
      <c r="A3566" s="1"/>
      <c r="B3566" s="1" t="s">
        <v>4039</v>
      </c>
      <c r="C3566" s="1" t="s">
        <v>4040</v>
      </c>
      <c r="D3566" s="22" t="str">
        <f>HYPERLINK("https://rhld.insurance.arkansas.gov/NPILookup?Npi=1093367591","1093367591")</f>
        <v>1093367591</v>
      </c>
      <c r="E3566" s="1" t="s">
        <v>16385</v>
      </c>
      <c r="F3566" s="2"/>
      <c r="G3566" s="2"/>
      <c r="H3566" s="2"/>
    </row>
    <row r="3567" spans="1:8" x14ac:dyDescent="0.25">
      <c r="A3567" s="1"/>
      <c r="B3567" s="1" t="s">
        <v>4039</v>
      </c>
      <c r="C3567" s="1" t="s">
        <v>4040</v>
      </c>
      <c r="D3567" s="22" t="str">
        <f>HYPERLINK("https://rhld.insurance.arkansas.gov/NPILookup?Npi=1093831760","1093831760")</f>
        <v>1093831760</v>
      </c>
      <c r="E3567" s="1" t="s">
        <v>16386</v>
      </c>
      <c r="F3567" s="2"/>
      <c r="G3567" s="2"/>
      <c r="H3567" s="2"/>
    </row>
    <row r="3568" spans="1:8" x14ac:dyDescent="0.25">
      <c r="A3568" s="1"/>
      <c r="B3568" s="1" t="s">
        <v>4039</v>
      </c>
      <c r="C3568" s="1" t="s">
        <v>4040</v>
      </c>
      <c r="D3568" s="22" t="str">
        <f>HYPERLINK("https://rhld.insurance.arkansas.gov/NPILookup?Npi=1093841868","1093841868")</f>
        <v>1093841868</v>
      </c>
      <c r="E3568" s="1" t="s">
        <v>16387</v>
      </c>
      <c r="F3568" s="2"/>
      <c r="G3568" s="2"/>
      <c r="H3568" s="2"/>
    </row>
    <row r="3569" spans="1:8" x14ac:dyDescent="0.25">
      <c r="A3569" s="1"/>
      <c r="B3569" s="1" t="s">
        <v>4039</v>
      </c>
      <c r="C3569" s="1" t="s">
        <v>4040</v>
      </c>
      <c r="D3569" s="22" t="str">
        <f>HYPERLINK("https://rhld.insurance.arkansas.gov/NPILookup?Npi=1093889883","1093889883")</f>
        <v>1093889883</v>
      </c>
      <c r="E3569" s="1" t="s">
        <v>16388</v>
      </c>
      <c r="F3569" s="2"/>
      <c r="G3569" s="2"/>
      <c r="H3569" s="2"/>
    </row>
    <row r="3570" spans="1:8" x14ac:dyDescent="0.25">
      <c r="A3570" s="1"/>
      <c r="B3570" s="1" t="s">
        <v>4039</v>
      </c>
      <c r="C3570" s="1" t="s">
        <v>4040</v>
      </c>
      <c r="D3570" s="22" t="str">
        <f>HYPERLINK("https://rhld.insurance.arkansas.gov/NPILookup?Npi=1093921926","1093921926")</f>
        <v>1093921926</v>
      </c>
      <c r="E3570" s="1" t="s">
        <v>16389</v>
      </c>
      <c r="F3570" s="2"/>
      <c r="G3570" s="2"/>
      <c r="H3570" s="2"/>
    </row>
    <row r="3571" spans="1:8" x14ac:dyDescent="0.25">
      <c r="A3571" s="1"/>
      <c r="B3571" s="1" t="s">
        <v>4039</v>
      </c>
      <c r="C3571" s="1" t="s">
        <v>4040</v>
      </c>
      <c r="D3571" s="22" t="str">
        <f>HYPERLINK("https://rhld.insurance.arkansas.gov/NPILookup?Npi=1093979254","1093979254")</f>
        <v>1093979254</v>
      </c>
      <c r="E3571" s="1" t="s">
        <v>16390</v>
      </c>
      <c r="F3571" s="2"/>
      <c r="G3571" s="2"/>
      <c r="H3571" s="2"/>
    </row>
    <row r="3572" spans="1:8" x14ac:dyDescent="0.25">
      <c r="A3572" s="1"/>
      <c r="B3572" s="1" t="s">
        <v>4039</v>
      </c>
      <c r="C3572" s="1" t="s">
        <v>4040</v>
      </c>
      <c r="D3572" s="22" t="str">
        <f>HYPERLINK("https://rhld.insurance.arkansas.gov/NPILookup?Npi=1104009364","1104009364")</f>
        <v>1104009364</v>
      </c>
      <c r="E3572" s="1" t="s">
        <v>1459</v>
      </c>
      <c r="F3572" s="2"/>
      <c r="G3572" s="2"/>
      <c r="H3572" s="2"/>
    </row>
    <row r="3573" spans="1:8" x14ac:dyDescent="0.25">
      <c r="A3573" s="1"/>
      <c r="B3573" s="1" t="s">
        <v>4039</v>
      </c>
      <c r="C3573" s="1" t="s">
        <v>4040</v>
      </c>
      <c r="D3573" s="22" t="str">
        <f>HYPERLINK("https://rhld.insurance.arkansas.gov/NPILookup?Npi=1104044767","1104044767")</f>
        <v>1104044767</v>
      </c>
      <c r="E3573" s="1" t="s">
        <v>10001</v>
      </c>
      <c r="F3573" s="2"/>
      <c r="G3573" s="2"/>
      <c r="H3573" s="2"/>
    </row>
    <row r="3574" spans="1:8" x14ac:dyDescent="0.25">
      <c r="A3574" s="1"/>
      <c r="B3574" s="1" t="s">
        <v>4039</v>
      </c>
      <c r="C3574" s="1" t="s">
        <v>4040</v>
      </c>
      <c r="D3574" s="22" t="str">
        <f>HYPERLINK("https://rhld.insurance.arkansas.gov/NPILookup?Npi=1104047067","1104047067")</f>
        <v>1104047067</v>
      </c>
      <c r="E3574" s="1" t="s">
        <v>16391</v>
      </c>
      <c r="F3574" s="2"/>
      <c r="G3574" s="2"/>
      <c r="H3574" s="2"/>
    </row>
    <row r="3575" spans="1:8" x14ac:dyDescent="0.25">
      <c r="A3575" s="1"/>
      <c r="B3575" s="1" t="s">
        <v>4039</v>
      </c>
      <c r="C3575" s="1" t="s">
        <v>4040</v>
      </c>
      <c r="D3575" s="22" t="str">
        <f>HYPERLINK("https://rhld.insurance.arkansas.gov/NPILookup?Npi=1104048941","1104048941")</f>
        <v>1104048941</v>
      </c>
      <c r="E3575" s="1" t="s">
        <v>1173</v>
      </c>
      <c r="F3575" s="2"/>
      <c r="G3575" s="2"/>
      <c r="H3575" s="2"/>
    </row>
    <row r="3576" spans="1:8" x14ac:dyDescent="0.25">
      <c r="A3576" s="1"/>
      <c r="B3576" s="1" t="s">
        <v>4039</v>
      </c>
      <c r="C3576" s="1" t="s">
        <v>4040</v>
      </c>
      <c r="D3576" s="22" t="str">
        <f>HYPERLINK("https://rhld.insurance.arkansas.gov/NPILookup?Npi=1104188366","1104188366")</f>
        <v>1104188366</v>
      </c>
      <c r="E3576" s="1" t="s">
        <v>564</v>
      </c>
      <c r="F3576" s="2"/>
      <c r="G3576" s="2"/>
      <c r="H3576" s="2"/>
    </row>
    <row r="3577" spans="1:8" x14ac:dyDescent="0.25">
      <c r="A3577" s="1"/>
      <c r="B3577" s="1" t="s">
        <v>4039</v>
      </c>
      <c r="C3577" s="1" t="s">
        <v>4040</v>
      </c>
      <c r="D3577" s="22" t="str">
        <f>HYPERLINK("https://rhld.insurance.arkansas.gov/NPILookup?Npi=1104346816","1104346816")</f>
        <v>1104346816</v>
      </c>
      <c r="E3577" s="1" t="s">
        <v>1930</v>
      </c>
      <c r="F3577" s="2"/>
      <c r="G3577" s="2"/>
      <c r="H3577" s="2"/>
    </row>
    <row r="3578" spans="1:8" x14ac:dyDescent="0.25">
      <c r="A3578" s="1"/>
      <c r="B3578" s="1" t="s">
        <v>4039</v>
      </c>
      <c r="C3578" s="1" t="s">
        <v>4040</v>
      </c>
      <c r="D3578" s="22" t="str">
        <f>HYPERLINK("https://rhld.insurance.arkansas.gov/NPILookup?Npi=1104355122","1104355122")</f>
        <v>1104355122</v>
      </c>
      <c r="E3578" s="1" t="s">
        <v>16392</v>
      </c>
      <c r="F3578" s="2"/>
      <c r="G3578" s="2"/>
      <c r="H3578" s="2"/>
    </row>
    <row r="3579" spans="1:8" x14ac:dyDescent="0.25">
      <c r="A3579" s="1"/>
      <c r="B3579" s="1" t="s">
        <v>4039</v>
      </c>
      <c r="C3579" s="1" t="s">
        <v>4040</v>
      </c>
      <c r="D3579" s="22" t="str">
        <f>HYPERLINK("https://rhld.insurance.arkansas.gov/NPILookup?Npi=1104371160","1104371160")</f>
        <v>1104371160</v>
      </c>
      <c r="E3579" s="1" t="s">
        <v>16393</v>
      </c>
      <c r="F3579" s="2"/>
      <c r="G3579" s="2"/>
      <c r="H3579" s="2"/>
    </row>
    <row r="3580" spans="1:8" x14ac:dyDescent="0.25">
      <c r="A3580" s="1"/>
      <c r="B3580" s="1" t="s">
        <v>4039</v>
      </c>
      <c r="C3580" s="1" t="s">
        <v>4040</v>
      </c>
      <c r="D3580" s="22" t="str">
        <f>HYPERLINK("https://rhld.insurance.arkansas.gov/NPILookup?Npi=1104513134","1104513134")</f>
        <v>1104513134</v>
      </c>
      <c r="E3580" s="1" t="s">
        <v>4057</v>
      </c>
      <c r="F3580" s="2"/>
      <c r="G3580" s="2"/>
      <c r="H3580" s="2"/>
    </row>
    <row r="3581" spans="1:8" x14ac:dyDescent="0.25">
      <c r="A3581" s="1"/>
      <c r="B3581" s="1" t="s">
        <v>4039</v>
      </c>
      <c r="C3581" s="1" t="s">
        <v>4040</v>
      </c>
      <c r="D3581" s="22" t="str">
        <f>HYPERLINK("https://rhld.insurance.arkansas.gov/NPILookup?Npi=1104712579","1104712579")</f>
        <v>1104712579</v>
      </c>
      <c r="E3581" s="1" t="s">
        <v>31352</v>
      </c>
      <c r="F3581" s="2"/>
      <c r="G3581" s="2"/>
      <c r="H3581" s="2"/>
    </row>
    <row r="3582" spans="1:8" x14ac:dyDescent="0.25">
      <c r="A3582" s="1"/>
      <c r="B3582" s="1" t="s">
        <v>4039</v>
      </c>
      <c r="C3582" s="1" t="s">
        <v>4040</v>
      </c>
      <c r="D3582" s="22" t="str">
        <f>HYPERLINK("https://rhld.insurance.arkansas.gov/NPILookup?Npi=1104820778","1104820778")</f>
        <v>1104820778</v>
      </c>
      <c r="E3582" s="1" t="s">
        <v>4058</v>
      </c>
      <c r="F3582" s="2"/>
      <c r="G3582" s="2"/>
      <c r="H3582" s="2"/>
    </row>
    <row r="3583" spans="1:8" x14ac:dyDescent="0.25">
      <c r="A3583" s="1"/>
      <c r="B3583" s="1" t="s">
        <v>4039</v>
      </c>
      <c r="C3583" s="1" t="s">
        <v>4040</v>
      </c>
      <c r="D3583" s="22" t="str">
        <f>HYPERLINK("https://rhld.insurance.arkansas.gov/NPILookup?Npi=1104908128","1104908128")</f>
        <v>1104908128</v>
      </c>
      <c r="E3583" s="1" t="s">
        <v>16394</v>
      </c>
      <c r="F3583" s="2"/>
      <c r="G3583" s="2"/>
      <c r="H3583" s="2"/>
    </row>
    <row r="3584" spans="1:8" x14ac:dyDescent="0.25">
      <c r="A3584" s="1"/>
      <c r="B3584" s="1" t="s">
        <v>4039</v>
      </c>
      <c r="C3584" s="1" t="s">
        <v>4040</v>
      </c>
      <c r="D3584" s="22" t="str">
        <f>HYPERLINK("https://rhld.insurance.arkansas.gov/NPILookup?Npi=1104923648","1104923648")</f>
        <v>1104923648</v>
      </c>
      <c r="E3584" s="1" t="s">
        <v>16395</v>
      </c>
      <c r="F3584" s="2"/>
      <c r="G3584" s="2"/>
      <c r="H3584" s="2"/>
    </row>
    <row r="3585" spans="1:8" x14ac:dyDescent="0.25">
      <c r="A3585" s="1"/>
      <c r="B3585" s="1" t="s">
        <v>4039</v>
      </c>
      <c r="C3585" s="1" t="s">
        <v>4040</v>
      </c>
      <c r="D3585" s="22" t="str">
        <f>HYPERLINK("https://rhld.insurance.arkansas.gov/NPILookup?Npi=1104935642","1104935642")</f>
        <v>1104935642</v>
      </c>
      <c r="E3585" s="1" t="s">
        <v>3660</v>
      </c>
      <c r="F3585" s="2"/>
      <c r="G3585" s="2"/>
      <c r="H3585" s="2"/>
    </row>
    <row r="3586" spans="1:8" x14ac:dyDescent="0.25">
      <c r="A3586" s="1"/>
      <c r="B3586" s="1" t="s">
        <v>4039</v>
      </c>
      <c r="C3586" s="1" t="s">
        <v>4040</v>
      </c>
      <c r="D3586" s="22" t="str">
        <f>HYPERLINK("https://rhld.insurance.arkansas.gov/NPILookup?Npi=1104936491","1104936491")</f>
        <v>1104936491</v>
      </c>
      <c r="E3586" s="1" t="s">
        <v>3664</v>
      </c>
      <c r="F3586" s="2"/>
      <c r="G3586" s="2"/>
      <c r="H3586" s="2"/>
    </row>
    <row r="3587" spans="1:8" x14ac:dyDescent="0.25">
      <c r="A3587" s="1"/>
      <c r="B3587" s="1" t="s">
        <v>4039</v>
      </c>
      <c r="C3587" s="1" t="s">
        <v>4040</v>
      </c>
      <c r="D3587" s="22" t="str">
        <f>HYPERLINK("https://rhld.insurance.arkansas.gov/NPILookup?Npi=1104951284","1104951284")</f>
        <v>1104951284</v>
      </c>
      <c r="E3587" s="1" t="s">
        <v>10002</v>
      </c>
      <c r="F3587" s="2"/>
      <c r="G3587" s="2"/>
      <c r="H3587" s="2"/>
    </row>
    <row r="3588" spans="1:8" x14ac:dyDescent="0.25">
      <c r="A3588" s="1"/>
      <c r="B3588" s="1" t="s">
        <v>4039</v>
      </c>
      <c r="C3588" s="1" t="s">
        <v>4040</v>
      </c>
      <c r="D3588" s="22" t="str">
        <f>HYPERLINK("https://rhld.insurance.arkansas.gov/NPILookup?Npi=1104995786","1104995786")</f>
        <v>1104995786</v>
      </c>
      <c r="E3588" s="1" t="s">
        <v>10003</v>
      </c>
      <c r="F3588" s="2"/>
      <c r="G3588" s="2"/>
      <c r="H3588" s="2"/>
    </row>
    <row r="3589" spans="1:8" x14ac:dyDescent="0.25">
      <c r="A3589" s="1"/>
      <c r="B3589" s="1" t="s">
        <v>4039</v>
      </c>
      <c r="C3589" s="1" t="s">
        <v>4040</v>
      </c>
      <c r="D3589" s="22" t="str">
        <f>HYPERLINK("https://rhld.insurance.arkansas.gov/NPILookup?Npi=1114009636","1114009636")</f>
        <v>1114009636</v>
      </c>
      <c r="E3589" s="1" t="s">
        <v>16396</v>
      </c>
      <c r="F3589" s="2"/>
      <c r="G3589" s="2"/>
      <c r="H3589" s="2"/>
    </row>
    <row r="3590" spans="1:8" x14ac:dyDescent="0.25">
      <c r="A3590" s="1"/>
      <c r="B3590" s="1" t="s">
        <v>4039</v>
      </c>
      <c r="C3590" s="1" t="s">
        <v>4040</v>
      </c>
      <c r="D3590" s="22" t="str">
        <f>HYPERLINK("https://rhld.insurance.arkansas.gov/NPILookup?Npi=1114013067","1114013067")</f>
        <v>1114013067</v>
      </c>
      <c r="E3590" s="1" t="s">
        <v>16397</v>
      </c>
      <c r="F3590" s="2"/>
      <c r="G3590" s="2"/>
      <c r="H3590" s="2"/>
    </row>
    <row r="3591" spans="1:8" x14ac:dyDescent="0.25">
      <c r="A3591" s="1"/>
      <c r="B3591" s="1" t="s">
        <v>4039</v>
      </c>
      <c r="C3591" s="1" t="s">
        <v>4040</v>
      </c>
      <c r="D3591" s="22" t="str">
        <f>HYPERLINK("https://rhld.insurance.arkansas.gov/NPILookup?Npi=1114035706","1114035706")</f>
        <v>1114035706</v>
      </c>
      <c r="E3591" s="1" t="s">
        <v>3665</v>
      </c>
      <c r="F3591" s="2"/>
      <c r="G3591" s="2"/>
      <c r="H3591" s="2"/>
    </row>
    <row r="3592" spans="1:8" x14ac:dyDescent="0.25">
      <c r="A3592" s="1"/>
      <c r="B3592" s="1" t="s">
        <v>4039</v>
      </c>
      <c r="C3592" s="1" t="s">
        <v>4040</v>
      </c>
      <c r="D3592" s="22" t="str">
        <f>HYPERLINK("https://rhld.insurance.arkansas.gov/NPILookup?Npi=1114085024","1114085024")</f>
        <v>1114085024</v>
      </c>
      <c r="E3592" s="1" t="s">
        <v>16398</v>
      </c>
      <c r="F3592" s="2"/>
      <c r="G3592" s="2"/>
      <c r="H3592" s="2"/>
    </row>
    <row r="3593" spans="1:8" x14ac:dyDescent="0.25">
      <c r="A3593" s="1"/>
      <c r="B3593" s="1" t="s">
        <v>4039</v>
      </c>
      <c r="C3593" s="1" t="s">
        <v>4040</v>
      </c>
      <c r="D3593" s="22" t="str">
        <f>HYPERLINK("https://rhld.insurance.arkansas.gov/NPILookup?Npi=1114115219","1114115219")</f>
        <v>1114115219</v>
      </c>
      <c r="E3593" s="1" t="s">
        <v>607</v>
      </c>
      <c r="F3593" s="2"/>
      <c r="G3593" s="2"/>
      <c r="H3593" s="2"/>
    </row>
    <row r="3594" spans="1:8" x14ac:dyDescent="0.25">
      <c r="A3594" s="1"/>
      <c r="B3594" s="1" t="s">
        <v>4039</v>
      </c>
      <c r="C3594" s="1" t="s">
        <v>4040</v>
      </c>
      <c r="D3594" s="22" t="str">
        <f>HYPERLINK("https://rhld.insurance.arkansas.gov/NPILookup?Npi=1114117702","1114117702")</f>
        <v>1114117702</v>
      </c>
      <c r="E3594" s="1" t="s">
        <v>16399</v>
      </c>
      <c r="F3594" s="2"/>
      <c r="G3594" s="2"/>
      <c r="H3594" s="2"/>
    </row>
    <row r="3595" spans="1:8" x14ac:dyDescent="0.25">
      <c r="A3595" s="1"/>
      <c r="B3595" s="1" t="s">
        <v>4039</v>
      </c>
      <c r="C3595" s="1" t="s">
        <v>4040</v>
      </c>
      <c r="D3595" s="22" t="str">
        <f>HYPERLINK("https://rhld.insurance.arkansas.gov/NPILookup?Npi=1114141231","1114141231")</f>
        <v>1114141231</v>
      </c>
      <c r="E3595" s="1" t="s">
        <v>4059</v>
      </c>
      <c r="F3595" s="2"/>
      <c r="G3595" s="2"/>
      <c r="H3595" s="2"/>
    </row>
    <row r="3596" spans="1:8" x14ac:dyDescent="0.25">
      <c r="A3596" s="1"/>
      <c r="B3596" s="1" t="s">
        <v>4039</v>
      </c>
      <c r="C3596" s="1" t="s">
        <v>4040</v>
      </c>
      <c r="D3596" s="22" t="str">
        <f>HYPERLINK("https://rhld.insurance.arkansas.gov/NPILookup?Npi=1114248655","1114248655")</f>
        <v>1114248655</v>
      </c>
      <c r="E3596" s="1" t="s">
        <v>16400</v>
      </c>
      <c r="F3596" s="2"/>
      <c r="G3596" s="2"/>
      <c r="H3596" s="2"/>
    </row>
    <row r="3597" spans="1:8" x14ac:dyDescent="0.25">
      <c r="A3597" s="1"/>
      <c r="B3597" s="1" t="s">
        <v>4039</v>
      </c>
      <c r="C3597" s="1" t="s">
        <v>4040</v>
      </c>
      <c r="D3597" s="22" t="str">
        <f>HYPERLINK("https://rhld.insurance.arkansas.gov/NPILookup?Npi=1114339868","1114339868")</f>
        <v>1114339868</v>
      </c>
      <c r="E3597" s="1" t="s">
        <v>4060</v>
      </c>
      <c r="F3597" s="2"/>
      <c r="G3597" s="2"/>
      <c r="H3597" s="2"/>
    </row>
    <row r="3598" spans="1:8" x14ac:dyDescent="0.25">
      <c r="A3598" s="1"/>
      <c r="B3598" s="1" t="s">
        <v>4039</v>
      </c>
      <c r="C3598" s="1" t="s">
        <v>4040</v>
      </c>
      <c r="D3598" s="22" t="str">
        <f>HYPERLINK("https://rhld.insurance.arkansas.gov/NPILookup?Npi=1114339926","1114339926")</f>
        <v>1114339926</v>
      </c>
      <c r="E3598" s="1" t="s">
        <v>16401</v>
      </c>
      <c r="F3598" s="2"/>
      <c r="G3598" s="2"/>
      <c r="H3598" s="2"/>
    </row>
    <row r="3599" spans="1:8" x14ac:dyDescent="0.25">
      <c r="A3599" s="1"/>
      <c r="B3599" s="1" t="s">
        <v>4039</v>
      </c>
      <c r="C3599" s="1" t="s">
        <v>4040</v>
      </c>
      <c r="D3599" s="22" t="str">
        <f>HYPERLINK("https://rhld.insurance.arkansas.gov/NPILookup?Npi=1114362043","1114362043")</f>
        <v>1114362043</v>
      </c>
      <c r="E3599" s="1" t="s">
        <v>16402</v>
      </c>
      <c r="F3599" s="2"/>
      <c r="G3599" s="2"/>
      <c r="H3599" s="2"/>
    </row>
    <row r="3600" spans="1:8" x14ac:dyDescent="0.25">
      <c r="A3600" s="1"/>
      <c r="B3600" s="1" t="s">
        <v>4039</v>
      </c>
      <c r="C3600" s="1" t="s">
        <v>4040</v>
      </c>
      <c r="D3600" s="22" t="str">
        <f>HYPERLINK("https://rhld.insurance.arkansas.gov/NPILookup?Npi=1114419744","1114419744")</f>
        <v>1114419744</v>
      </c>
      <c r="E3600" s="1" t="s">
        <v>16403</v>
      </c>
      <c r="F3600" s="2"/>
      <c r="G3600" s="2"/>
      <c r="H3600" s="2"/>
    </row>
    <row r="3601" spans="1:8" x14ac:dyDescent="0.25">
      <c r="A3601" s="1"/>
      <c r="B3601" s="1" t="s">
        <v>4039</v>
      </c>
      <c r="C3601" s="1" t="s">
        <v>4040</v>
      </c>
      <c r="D3601" s="22" t="str">
        <f>HYPERLINK("https://rhld.insurance.arkansas.gov/NPILookup?Npi=1114445517","1114445517")</f>
        <v>1114445517</v>
      </c>
      <c r="E3601" s="1" t="s">
        <v>16404</v>
      </c>
      <c r="F3601" s="2"/>
      <c r="G3601" s="2"/>
      <c r="H3601" s="2"/>
    </row>
    <row r="3602" spans="1:8" x14ac:dyDescent="0.25">
      <c r="A3602" s="1"/>
      <c r="B3602" s="1" t="s">
        <v>4039</v>
      </c>
      <c r="C3602" s="1" t="s">
        <v>4040</v>
      </c>
      <c r="D3602" s="22" t="str">
        <f>HYPERLINK("https://rhld.insurance.arkansas.gov/NPILookup?Npi=1114447216","1114447216")</f>
        <v>1114447216</v>
      </c>
      <c r="E3602" s="1" t="s">
        <v>31353</v>
      </c>
      <c r="F3602" s="2"/>
      <c r="G3602" s="2"/>
      <c r="H3602" s="2"/>
    </row>
    <row r="3603" spans="1:8" x14ac:dyDescent="0.25">
      <c r="A3603" s="1"/>
      <c r="B3603" s="1" t="s">
        <v>4039</v>
      </c>
      <c r="C3603" s="1" t="s">
        <v>4040</v>
      </c>
      <c r="D3603" s="22" t="str">
        <f>HYPERLINK("https://rhld.insurance.arkansas.gov/NPILookup?Npi=1114453214","1114453214")</f>
        <v>1114453214</v>
      </c>
      <c r="E3603" s="1" t="s">
        <v>10004</v>
      </c>
      <c r="F3603" s="2"/>
      <c r="G3603" s="2"/>
      <c r="H3603" s="2"/>
    </row>
    <row r="3604" spans="1:8" x14ac:dyDescent="0.25">
      <c r="A3604" s="1"/>
      <c r="B3604" s="1" t="s">
        <v>4039</v>
      </c>
      <c r="C3604" s="1" t="s">
        <v>4040</v>
      </c>
      <c r="D3604" s="22" t="str">
        <f>HYPERLINK("https://rhld.insurance.arkansas.gov/NPILookup?Npi=1114666948","1114666948")</f>
        <v>1114666948</v>
      </c>
      <c r="E3604" s="1" t="s">
        <v>16405</v>
      </c>
      <c r="F3604" s="2"/>
      <c r="G3604" s="2"/>
      <c r="H3604" s="2"/>
    </row>
    <row r="3605" spans="1:8" x14ac:dyDescent="0.25">
      <c r="A3605" s="1"/>
      <c r="B3605" s="1" t="s">
        <v>4039</v>
      </c>
      <c r="C3605" s="1" t="s">
        <v>4040</v>
      </c>
      <c r="D3605" s="22" t="str">
        <f>HYPERLINK("https://rhld.insurance.arkansas.gov/NPILookup?Npi=1114760949","1114760949")</f>
        <v>1114760949</v>
      </c>
      <c r="E3605" s="1" t="s">
        <v>16406</v>
      </c>
      <c r="F3605" s="2"/>
      <c r="G3605" s="2"/>
      <c r="H3605" s="2"/>
    </row>
    <row r="3606" spans="1:8" x14ac:dyDescent="0.25">
      <c r="A3606" s="1"/>
      <c r="B3606" s="1" t="s">
        <v>4039</v>
      </c>
      <c r="C3606" s="1" t="s">
        <v>4040</v>
      </c>
      <c r="D3606" s="22" t="str">
        <f>HYPERLINK("https://rhld.insurance.arkansas.gov/NPILookup?Npi=1114946811","1114946811")</f>
        <v>1114946811</v>
      </c>
      <c r="E3606" s="1" t="s">
        <v>16407</v>
      </c>
      <c r="F3606" s="2"/>
      <c r="G3606" s="2"/>
      <c r="H3606" s="2"/>
    </row>
    <row r="3607" spans="1:8" x14ac:dyDescent="0.25">
      <c r="A3607" s="1"/>
      <c r="B3607" s="1" t="s">
        <v>4039</v>
      </c>
      <c r="C3607" s="1" t="s">
        <v>4040</v>
      </c>
      <c r="D3607" s="22" t="str">
        <f>HYPERLINK("https://rhld.insurance.arkansas.gov/NPILookup?Npi=1124032362","1124032362")</f>
        <v>1124032362</v>
      </c>
      <c r="E3607" s="1" t="s">
        <v>603</v>
      </c>
      <c r="F3607" s="2"/>
      <c r="G3607" s="2"/>
      <c r="H3607" s="2"/>
    </row>
    <row r="3608" spans="1:8" x14ac:dyDescent="0.25">
      <c r="A3608" s="1"/>
      <c r="B3608" s="1" t="s">
        <v>4039</v>
      </c>
      <c r="C3608" s="1" t="s">
        <v>4040</v>
      </c>
      <c r="D3608" s="22" t="str">
        <f>HYPERLINK("https://rhld.insurance.arkansas.gov/NPILookup?Npi=1124074695","1124074695")</f>
        <v>1124074695</v>
      </c>
      <c r="E3608" s="1" t="s">
        <v>16408</v>
      </c>
      <c r="F3608" s="2"/>
      <c r="G3608" s="2"/>
      <c r="H3608" s="2"/>
    </row>
    <row r="3609" spans="1:8" x14ac:dyDescent="0.25">
      <c r="A3609" s="1"/>
      <c r="B3609" s="1" t="s">
        <v>4039</v>
      </c>
      <c r="C3609" s="1" t="s">
        <v>4040</v>
      </c>
      <c r="D3609" s="22" t="str">
        <f>HYPERLINK("https://rhld.insurance.arkansas.gov/NPILookup?Npi=1124100243","1124100243")</f>
        <v>1124100243</v>
      </c>
      <c r="E3609" s="1" t="s">
        <v>1174</v>
      </c>
      <c r="F3609" s="2"/>
      <c r="G3609" s="2"/>
      <c r="H3609" s="2"/>
    </row>
    <row r="3610" spans="1:8" x14ac:dyDescent="0.25">
      <c r="A3610" s="1"/>
      <c r="B3610" s="1" t="s">
        <v>4039</v>
      </c>
      <c r="C3610" s="1" t="s">
        <v>4040</v>
      </c>
      <c r="D3610" s="22" t="str">
        <f>HYPERLINK("https://rhld.insurance.arkansas.gov/NPILookup?Npi=1124119656","1124119656")</f>
        <v>1124119656</v>
      </c>
      <c r="E3610" s="1" t="s">
        <v>489</v>
      </c>
      <c r="F3610" s="2"/>
      <c r="G3610" s="2"/>
      <c r="H3610" s="2"/>
    </row>
    <row r="3611" spans="1:8" x14ac:dyDescent="0.25">
      <c r="A3611" s="1"/>
      <c r="B3611" s="1" t="s">
        <v>4039</v>
      </c>
      <c r="C3611" s="1" t="s">
        <v>4040</v>
      </c>
      <c r="D3611" s="22" t="str">
        <f>HYPERLINK("https://rhld.insurance.arkansas.gov/NPILookup?Npi=1124149059","1124149059")</f>
        <v>1124149059</v>
      </c>
      <c r="E3611" s="1" t="s">
        <v>10005</v>
      </c>
      <c r="F3611" s="2"/>
      <c r="G3611" s="2"/>
      <c r="H3611" s="2"/>
    </row>
    <row r="3612" spans="1:8" x14ac:dyDescent="0.25">
      <c r="A3612" s="1"/>
      <c r="B3612" s="1" t="s">
        <v>4039</v>
      </c>
      <c r="C3612" s="1" t="s">
        <v>4040</v>
      </c>
      <c r="D3612" s="22" t="str">
        <f>HYPERLINK("https://rhld.insurance.arkansas.gov/NPILookup?Npi=1124158258","1124158258")</f>
        <v>1124158258</v>
      </c>
      <c r="E3612" s="1" t="s">
        <v>16409</v>
      </c>
      <c r="F3612" s="2"/>
      <c r="G3612" s="2"/>
      <c r="H3612" s="2"/>
    </row>
    <row r="3613" spans="1:8" x14ac:dyDescent="0.25">
      <c r="A3613" s="1"/>
      <c r="B3613" s="1" t="s">
        <v>4039</v>
      </c>
      <c r="C3613" s="1" t="s">
        <v>4040</v>
      </c>
      <c r="D3613" s="22" t="str">
        <f>HYPERLINK("https://rhld.insurance.arkansas.gov/NPILookup?Npi=1124225230","1124225230")</f>
        <v>1124225230</v>
      </c>
      <c r="E3613" s="1" t="s">
        <v>2579</v>
      </c>
      <c r="F3613" s="2"/>
      <c r="G3613" s="2"/>
      <c r="H3613" s="2"/>
    </row>
    <row r="3614" spans="1:8" x14ac:dyDescent="0.25">
      <c r="A3614" s="1"/>
      <c r="B3614" s="1" t="s">
        <v>4039</v>
      </c>
      <c r="C3614" s="1" t="s">
        <v>4040</v>
      </c>
      <c r="D3614" s="22" t="str">
        <f>HYPERLINK("https://rhld.insurance.arkansas.gov/NPILookup?Npi=1124287693","1124287693")</f>
        <v>1124287693</v>
      </c>
      <c r="E3614" s="1" t="s">
        <v>16410</v>
      </c>
      <c r="F3614" s="2"/>
      <c r="G3614" s="2"/>
      <c r="H3614" s="2"/>
    </row>
    <row r="3615" spans="1:8" x14ac:dyDescent="0.25">
      <c r="A3615" s="1"/>
      <c r="B3615" s="1" t="s">
        <v>4039</v>
      </c>
      <c r="C3615" s="1" t="s">
        <v>4040</v>
      </c>
      <c r="D3615" s="22" t="str">
        <f>HYPERLINK("https://rhld.insurance.arkansas.gov/NPILookup?Npi=1124289210","1124289210")</f>
        <v>1124289210</v>
      </c>
      <c r="E3615" s="1" t="s">
        <v>490</v>
      </c>
      <c r="F3615" s="2"/>
      <c r="G3615" s="2"/>
      <c r="H3615" s="2"/>
    </row>
    <row r="3616" spans="1:8" x14ac:dyDescent="0.25">
      <c r="A3616" s="1"/>
      <c r="B3616" s="1" t="s">
        <v>4039</v>
      </c>
      <c r="C3616" s="1" t="s">
        <v>4040</v>
      </c>
      <c r="D3616" s="22" t="str">
        <f>HYPERLINK("https://rhld.insurance.arkansas.gov/NPILookup?Npi=1124330246","1124330246")</f>
        <v>1124330246</v>
      </c>
      <c r="E3616" s="1" t="s">
        <v>16411</v>
      </c>
      <c r="F3616" s="2"/>
      <c r="G3616" s="2"/>
      <c r="H3616" s="2"/>
    </row>
    <row r="3617" spans="1:8" x14ac:dyDescent="0.25">
      <c r="A3617" s="1"/>
      <c r="B3617" s="1" t="s">
        <v>4039</v>
      </c>
      <c r="C3617" s="1" t="s">
        <v>4040</v>
      </c>
      <c r="D3617" s="22" t="str">
        <f>HYPERLINK("https://rhld.insurance.arkansas.gov/NPILookup?Npi=1124401336","1124401336")</f>
        <v>1124401336</v>
      </c>
      <c r="E3617" s="1" t="s">
        <v>16412</v>
      </c>
      <c r="F3617" s="2"/>
      <c r="G3617" s="2"/>
      <c r="H3617" s="2"/>
    </row>
    <row r="3618" spans="1:8" x14ac:dyDescent="0.25">
      <c r="A3618" s="1"/>
      <c r="B3618" s="1" t="s">
        <v>4039</v>
      </c>
      <c r="C3618" s="1" t="s">
        <v>4040</v>
      </c>
      <c r="D3618" s="22" t="str">
        <f>HYPERLINK("https://rhld.insurance.arkansas.gov/NPILookup?Npi=1124434709","1124434709")</f>
        <v>1124434709</v>
      </c>
      <c r="E3618" s="1" t="s">
        <v>16413</v>
      </c>
      <c r="F3618" s="2"/>
      <c r="G3618" s="2"/>
      <c r="H3618" s="2"/>
    </row>
    <row r="3619" spans="1:8" x14ac:dyDescent="0.25">
      <c r="A3619" s="1"/>
      <c r="B3619" s="1" t="s">
        <v>4039</v>
      </c>
      <c r="C3619" s="1" t="s">
        <v>4040</v>
      </c>
      <c r="D3619" s="22" t="str">
        <f>HYPERLINK("https://rhld.insurance.arkansas.gov/NPILookup?Npi=1124479738","1124479738")</f>
        <v>1124479738</v>
      </c>
      <c r="E3619" s="1" t="s">
        <v>16414</v>
      </c>
      <c r="F3619" s="2"/>
      <c r="G3619" s="2"/>
      <c r="H3619" s="2"/>
    </row>
    <row r="3620" spans="1:8" x14ac:dyDescent="0.25">
      <c r="A3620" s="1"/>
      <c r="B3620" s="1" t="s">
        <v>4039</v>
      </c>
      <c r="C3620" s="1" t="s">
        <v>4040</v>
      </c>
      <c r="D3620" s="22" t="str">
        <f>HYPERLINK("https://rhld.insurance.arkansas.gov/NPILookup?Npi=1124519350","1124519350")</f>
        <v>1124519350</v>
      </c>
      <c r="E3620" s="1" t="s">
        <v>16415</v>
      </c>
      <c r="F3620" s="2"/>
      <c r="G3620" s="2"/>
      <c r="H3620" s="2"/>
    </row>
    <row r="3621" spans="1:8" x14ac:dyDescent="0.25">
      <c r="A3621" s="1"/>
      <c r="B3621" s="1" t="s">
        <v>4039</v>
      </c>
      <c r="C3621" s="1" t="s">
        <v>4040</v>
      </c>
      <c r="D3621" s="22" t="str">
        <f>HYPERLINK("https://rhld.insurance.arkansas.gov/NPILookup?Npi=1124540828","1124540828")</f>
        <v>1124540828</v>
      </c>
      <c r="E3621" s="1" t="s">
        <v>10006</v>
      </c>
      <c r="F3621" s="2"/>
      <c r="G3621" s="2"/>
      <c r="H3621" s="2"/>
    </row>
    <row r="3622" spans="1:8" x14ac:dyDescent="0.25">
      <c r="A3622" s="1"/>
      <c r="B3622" s="1" t="s">
        <v>4039</v>
      </c>
      <c r="C3622" s="1" t="s">
        <v>4040</v>
      </c>
      <c r="D3622" s="22" t="str">
        <f>HYPERLINK("https://rhld.insurance.arkansas.gov/NPILookup?Npi=1124703780","1124703780")</f>
        <v>1124703780</v>
      </c>
      <c r="E3622" s="1" t="s">
        <v>4061</v>
      </c>
      <c r="F3622" s="2"/>
      <c r="G3622" s="2"/>
      <c r="H3622" s="2"/>
    </row>
    <row r="3623" spans="1:8" x14ac:dyDescent="0.25">
      <c r="A3623" s="1"/>
      <c r="B3623" s="1" t="s">
        <v>4039</v>
      </c>
      <c r="C3623" s="1" t="s">
        <v>4040</v>
      </c>
      <c r="D3623" s="22" t="str">
        <f>HYPERLINK("https://rhld.insurance.arkansas.gov/NPILookup?Npi=1124711148","1124711148")</f>
        <v>1124711148</v>
      </c>
      <c r="E3623" s="1" t="s">
        <v>16416</v>
      </c>
      <c r="F3623" s="2"/>
      <c r="G3623" s="2"/>
      <c r="H3623" s="2"/>
    </row>
    <row r="3624" spans="1:8" x14ac:dyDescent="0.25">
      <c r="A3624" s="1"/>
      <c r="B3624" s="1" t="s">
        <v>4039</v>
      </c>
      <c r="C3624" s="1" t="s">
        <v>4040</v>
      </c>
      <c r="D3624" s="22" t="str">
        <f>HYPERLINK("https://rhld.insurance.arkansas.gov/NPILookup?Npi=1124717327","1124717327")</f>
        <v>1124717327</v>
      </c>
      <c r="E3624" s="1" t="s">
        <v>31354</v>
      </c>
      <c r="F3624" s="2"/>
      <c r="G3624" s="2"/>
      <c r="H3624" s="2"/>
    </row>
    <row r="3625" spans="1:8" x14ac:dyDescent="0.25">
      <c r="A3625" s="1"/>
      <c r="B3625" s="1" t="s">
        <v>4039</v>
      </c>
      <c r="C3625" s="1" t="s">
        <v>4040</v>
      </c>
      <c r="D3625" s="22" t="str">
        <f>HYPERLINK("https://rhld.insurance.arkansas.gov/NPILookup?Npi=1134134703","1134134703")</f>
        <v>1134134703</v>
      </c>
      <c r="E3625" s="1" t="s">
        <v>16417</v>
      </c>
      <c r="F3625" s="2"/>
      <c r="G3625" s="2"/>
      <c r="H3625" s="2"/>
    </row>
    <row r="3626" spans="1:8" x14ac:dyDescent="0.25">
      <c r="A3626" s="1"/>
      <c r="B3626" s="1" t="s">
        <v>4039</v>
      </c>
      <c r="C3626" s="1" t="s">
        <v>4040</v>
      </c>
      <c r="D3626" s="22" t="str">
        <f>HYPERLINK("https://rhld.insurance.arkansas.gov/NPILookup?Npi=1134165335","1134165335")</f>
        <v>1134165335</v>
      </c>
      <c r="E3626" s="1" t="s">
        <v>16418</v>
      </c>
      <c r="F3626" s="2"/>
      <c r="G3626" s="2"/>
      <c r="H3626" s="2"/>
    </row>
    <row r="3627" spans="1:8" x14ac:dyDescent="0.25">
      <c r="A3627" s="1"/>
      <c r="B3627" s="1" t="s">
        <v>4039</v>
      </c>
      <c r="C3627" s="1" t="s">
        <v>4040</v>
      </c>
      <c r="D3627" s="22" t="str">
        <f>HYPERLINK("https://rhld.insurance.arkansas.gov/NPILookup?Npi=1134174428","1134174428")</f>
        <v>1134174428</v>
      </c>
      <c r="E3627" s="1" t="s">
        <v>782</v>
      </c>
      <c r="F3627" s="2"/>
      <c r="G3627" s="2"/>
      <c r="H3627" s="2"/>
    </row>
    <row r="3628" spans="1:8" x14ac:dyDescent="0.25">
      <c r="A3628" s="1"/>
      <c r="B3628" s="1" t="s">
        <v>4039</v>
      </c>
      <c r="C3628" s="1" t="s">
        <v>4040</v>
      </c>
      <c r="D3628" s="22" t="str">
        <f>HYPERLINK("https://rhld.insurance.arkansas.gov/NPILookup?Npi=1134229008","1134229008")</f>
        <v>1134229008</v>
      </c>
      <c r="E3628" s="1" t="s">
        <v>4062</v>
      </c>
      <c r="F3628" s="2"/>
      <c r="G3628" s="2"/>
      <c r="H3628" s="2"/>
    </row>
    <row r="3629" spans="1:8" x14ac:dyDescent="0.25">
      <c r="A3629" s="1"/>
      <c r="B3629" s="1" t="s">
        <v>4039</v>
      </c>
      <c r="C3629" s="1" t="s">
        <v>4040</v>
      </c>
      <c r="D3629" s="22" t="str">
        <f>HYPERLINK("https://rhld.insurance.arkansas.gov/NPILookup?Npi=1134298441","1134298441")</f>
        <v>1134298441</v>
      </c>
      <c r="E3629" s="1" t="s">
        <v>11984</v>
      </c>
      <c r="F3629" s="2"/>
      <c r="G3629" s="2"/>
      <c r="H3629" s="2"/>
    </row>
    <row r="3630" spans="1:8" x14ac:dyDescent="0.25">
      <c r="A3630" s="1"/>
      <c r="B3630" s="1" t="s">
        <v>4039</v>
      </c>
      <c r="C3630" s="1" t="s">
        <v>4040</v>
      </c>
      <c r="D3630" s="22" t="str">
        <f>HYPERLINK("https://rhld.insurance.arkansas.gov/NPILookup?Npi=1134416407","1134416407")</f>
        <v>1134416407</v>
      </c>
      <c r="E3630" s="1" t="s">
        <v>805</v>
      </c>
      <c r="F3630" s="2"/>
      <c r="G3630" s="2"/>
      <c r="H3630" s="2"/>
    </row>
    <row r="3631" spans="1:8" x14ac:dyDescent="0.25">
      <c r="A3631" s="1"/>
      <c r="B3631" s="1" t="s">
        <v>4039</v>
      </c>
      <c r="C3631" s="1" t="s">
        <v>4040</v>
      </c>
      <c r="D3631" s="22" t="str">
        <f>HYPERLINK("https://rhld.insurance.arkansas.gov/NPILookup?Npi=1134502206","1134502206")</f>
        <v>1134502206</v>
      </c>
      <c r="E3631" s="1" t="s">
        <v>16419</v>
      </c>
      <c r="F3631" s="2"/>
      <c r="G3631" s="2"/>
      <c r="H3631" s="2"/>
    </row>
    <row r="3632" spans="1:8" x14ac:dyDescent="0.25">
      <c r="A3632" s="1"/>
      <c r="B3632" s="1" t="s">
        <v>4039</v>
      </c>
      <c r="C3632" s="1" t="s">
        <v>4040</v>
      </c>
      <c r="D3632" s="22" t="str">
        <f>HYPERLINK("https://rhld.insurance.arkansas.gov/NPILookup?Npi=1134502628","1134502628")</f>
        <v>1134502628</v>
      </c>
      <c r="E3632" s="1" t="s">
        <v>16420</v>
      </c>
      <c r="F3632" s="2"/>
      <c r="G3632" s="2"/>
      <c r="H3632" s="2"/>
    </row>
    <row r="3633" spans="1:8" x14ac:dyDescent="0.25">
      <c r="A3633" s="1"/>
      <c r="B3633" s="1" t="s">
        <v>4039</v>
      </c>
      <c r="C3633" s="1" t="s">
        <v>4040</v>
      </c>
      <c r="D3633" s="22" t="str">
        <f>HYPERLINK("https://rhld.insurance.arkansas.gov/NPILookup?Npi=1134610975","1134610975")</f>
        <v>1134610975</v>
      </c>
      <c r="E3633" s="1" t="s">
        <v>16421</v>
      </c>
      <c r="F3633" s="2"/>
      <c r="G3633" s="2"/>
      <c r="H3633" s="2"/>
    </row>
    <row r="3634" spans="1:8" x14ac:dyDescent="0.25">
      <c r="A3634" s="1"/>
      <c r="B3634" s="1" t="s">
        <v>4039</v>
      </c>
      <c r="C3634" s="1" t="s">
        <v>4040</v>
      </c>
      <c r="D3634" s="22" t="str">
        <f>HYPERLINK("https://rhld.insurance.arkansas.gov/NPILookup?Npi=1134780307","1134780307")</f>
        <v>1134780307</v>
      </c>
      <c r="E3634" s="1" t="s">
        <v>3666</v>
      </c>
      <c r="F3634" s="2"/>
      <c r="G3634" s="2"/>
      <c r="H3634" s="2"/>
    </row>
    <row r="3635" spans="1:8" x14ac:dyDescent="0.25">
      <c r="A3635" s="1"/>
      <c r="B3635" s="1" t="s">
        <v>4039</v>
      </c>
      <c r="C3635" s="1" t="s">
        <v>4040</v>
      </c>
      <c r="D3635" s="22" t="str">
        <f>HYPERLINK("https://rhld.insurance.arkansas.gov/NPILookup?Npi=1134806524","1134806524")</f>
        <v>1134806524</v>
      </c>
      <c r="E3635" s="1" t="s">
        <v>4211</v>
      </c>
      <c r="F3635" s="2"/>
      <c r="G3635" s="2"/>
      <c r="H3635" s="2"/>
    </row>
    <row r="3636" spans="1:8" x14ac:dyDescent="0.25">
      <c r="A3636" s="1"/>
      <c r="B3636" s="1" t="s">
        <v>4039</v>
      </c>
      <c r="C3636" s="1" t="s">
        <v>4040</v>
      </c>
      <c r="D3636" s="22" t="str">
        <f>HYPERLINK("https://rhld.insurance.arkansas.gov/NPILookup?Npi=1144088246","1144088246")</f>
        <v>1144088246</v>
      </c>
      <c r="E3636" s="1" t="s">
        <v>16422</v>
      </c>
      <c r="F3636" s="2"/>
      <c r="G3636" s="2"/>
      <c r="H3636" s="2"/>
    </row>
    <row r="3637" spans="1:8" x14ac:dyDescent="0.25">
      <c r="A3637" s="1"/>
      <c r="B3637" s="1" t="s">
        <v>4039</v>
      </c>
      <c r="C3637" s="1" t="s">
        <v>4040</v>
      </c>
      <c r="D3637" s="22" t="str">
        <f>HYPERLINK("https://rhld.insurance.arkansas.gov/NPILookup?Npi=1144234261","1144234261")</f>
        <v>1144234261</v>
      </c>
      <c r="E3637" s="1" t="s">
        <v>2580</v>
      </c>
      <c r="F3637" s="2"/>
      <c r="G3637" s="2"/>
      <c r="H3637" s="2"/>
    </row>
    <row r="3638" spans="1:8" x14ac:dyDescent="0.25">
      <c r="A3638" s="1"/>
      <c r="B3638" s="1" t="s">
        <v>4039</v>
      </c>
      <c r="C3638" s="1" t="s">
        <v>4040</v>
      </c>
      <c r="D3638" s="22" t="str">
        <f>HYPERLINK("https://rhld.insurance.arkansas.gov/NPILookup?Npi=1144260209","1144260209")</f>
        <v>1144260209</v>
      </c>
      <c r="E3638" s="1" t="s">
        <v>677</v>
      </c>
      <c r="F3638" s="2"/>
      <c r="G3638" s="2"/>
      <c r="H3638" s="2"/>
    </row>
    <row r="3639" spans="1:8" x14ac:dyDescent="0.25">
      <c r="A3639" s="1"/>
      <c r="B3639" s="1" t="s">
        <v>4039</v>
      </c>
      <c r="C3639" s="1" t="s">
        <v>4040</v>
      </c>
      <c r="D3639" s="22" t="str">
        <f>HYPERLINK("https://rhld.insurance.arkansas.gov/NPILookup?Npi=1144312950","1144312950")</f>
        <v>1144312950</v>
      </c>
      <c r="E3639" s="1" t="s">
        <v>16423</v>
      </c>
      <c r="F3639" s="2"/>
      <c r="G3639" s="2"/>
      <c r="H3639" s="2"/>
    </row>
    <row r="3640" spans="1:8" x14ac:dyDescent="0.25">
      <c r="A3640" s="1"/>
      <c r="B3640" s="1" t="s">
        <v>4039</v>
      </c>
      <c r="C3640" s="1" t="s">
        <v>4040</v>
      </c>
      <c r="D3640" s="22" t="str">
        <f>HYPERLINK("https://rhld.insurance.arkansas.gov/NPILookup?Npi=1144337445","1144337445")</f>
        <v>1144337445</v>
      </c>
      <c r="E3640" s="1" t="s">
        <v>16424</v>
      </c>
      <c r="F3640" s="2"/>
      <c r="G3640" s="2"/>
      <c r="H3640" s="2"/>
    </row>
    <row r="3641" spans="1:8" x14ac:dyDescent="0.25">
      <c r="A3641" s="1"/>
      <c r="B3641" s="1" t="s">
        <v>4039</v>
      </c>
      <c r="C3641" s="1" t="s">
        <v>4040</v>
      </c>
      <c r="D3641" s="22" t="str">
        <f>HYPERLINK("https://rhld.insurance.arkansas.gov/NPILookup?Npi=1144348582","1144348582")</f>
        <v>1144348582</v>
      </c>
      <c r="E3641" s="1" t="s">
        <v>16425</v>
      </c>
      <c r="F3641" s="2"/>
      <c r="G3641" s="2"/>
      <c r="H3641" s="2"/>
    </row>
    <row r="3642" spans="1:8" x14ac:dyDescent="0.25">
      <c r="A3642" s="1"/>
      <c r="B3642" s="1" t="s">
        <v>4039</v>
      </c>
      <c r="C3642" s="1" t="s">
        <v>4040</v>
      </c>
      <c r="D3642" s="22" t="str">
        <f>HYPERLINK("https://rhld.insurance.arkansas.gov/NPILookup?Npi=1144359829","1144359829")</f>
        <v>1144359829</v>
      </c>
      <c r="E3642" s="1" t="s">
        <v>16426</v>
      </c>
      <c r="F3642" s="2"/>
      <c r="G3642" s="2"/>
      <c r="H3642" s="2"/>
    </row>
    <row r="3643" spans="1:8" x14ac:dyDescent="0.25">
      <c r="A3643" s="1"/>
      <c r="B3643" s="1" t="s">
        <v>4039</v>
      </c>
      <c r="C3643" s="1" t="s">
        <v>4040</v>
      </c>
      <c r="D3643" s="22" t="str">
        <f>HYPERLINK("https://rhld.insurance.arkansas.gov/NPILookup?Npi=1144365446","1144365446")</f>
        <v>1144365446</v>
      </c>
      <c r="E3643" s="1" t="s">
        <v>16427</v>
      </c>
      <c r="F3643" s="2"/>
      <c r="G3643" s="2"/>
      <c r="H3643" s="2"/>
    </row>
    <row r="3644" spans="1:8" x14ac:dyDescent="0.25">
      <c r="A3644" s="1"/>
      <c r="B3644" s="1" t="s">
        <v>4039</v>
      </c>
      <c r="C3644" s="1" t="s">
        <v>4040</v>
      </c>
      <c r="D3644" s="22" t="str">
        <f>HYPERLINK("https://rhld.insurance.arkansas.gov/NPILookup?Npi=1144392788","1144392788")</f>
        <v>1144392788</v>
      </c>
      <c r="E3644" s="1" t="s">
        <v>16428</v>
      </c>
      <c r="F3644" s="2"/>
      <c r="G3644" s="2"/>
      <c r="H3644" s="2"/>
    </row>
    <row r="3645" spans="1:8" x14ac:dyDescent="0.25">
      <c r="A3645" s="1"/>
      <c r="B3645" s="1" t="s">
        <v>4039</v>
      </c>
      <c r="C3645" s="1" t="s">
        <v>4040</v>
      </c>
      <c r="D3645" s="22" t="str">
        <f>HYPERLINK("https://rhld.insurance.arkansas.gov/NPILookup?Npi=1144476250","1144476250")</f>
        <v>1144476250</v>
      </c>
      <c r="E3645" s="1" t="s">
        <v>543</v>
      </c>
      <c r="F3645" s="2"/>
      <c r="G3645" s="2"/>
      <c r="H3645" s="2"/>
    </row>
    <row r="3646" spans="1:8" x14ac:dyDescent="0.25">
      <c r="A3646" s="1"/>
      <c r="B3646" s="1" t="s">
        <v>4039</v>
      </c>
      <c r="C3646" s="1" t="s">
        <v>4040</v>
      </c>
      <c r="D3646" s="22" t="str">
        <f>HYPERLINK("https://rhld.insurance.arkansas.gov/NPILookup?Npi=1144524810","1144524810")</f>
        <v>1144524810</v>
      </c>
      <c r="E3646" s="1" t="s">
        <v>2328</v>
      </c>
      <c r="F3646" s="2"/>
      <c r="G3646" s="2"/>
      <c r="H3646" s="2"/>
    </row>
    <row r="3647" spans="1:8" x14ac:dyDescent="0.25">
      <c r="A3647" s="1"/>
      <c r="B3647" s="1" t="s">
        <v>4039</v>
      </c>
      <c r="C3647" s="1" t="s">
        <v>4040</v>
      </c>
      <c r="D3647" s="22" t="str">
        <f>HYPERLINK("https://rhld.insurance.arkansas.gov/NPILookup?Npi=1144634429","1144634429")</f>
        <v>1144634429</v>
      </c>
      <c r="E3647" s="1" t="s">
        <v>3667</v>
      </c>
      <c r="F3647" s="2"/>
      <c r="G3647" s="2"/>
      <c r="H3647" s="2"/>
    </row>
    <row r="3648" spans="1:8" x14ac:dyDescent="0.25">
      <c r="A3648" s="1"/>
      <c r="B3648" s="1" t="s">
        <v>4039</v>
      </c>
      <c r="C3648" s="1" t="s">
        <v>4040</v>
      </c>
      <c r="D3648" s="22" t="str">
        <f>HYPERLINK("https://rhld.insurance.arkansas.gov/NPILookup?Npi=1144670126","1144670126")</f>
        <v>1144670126</v>
      </c>
      <c r="E3648" s="1" t="s">
        <v>745</v>
      </c>
      <c r="F3648" s="2"/>
      <c r="G3648" s="2"/>
      <c r="H3648" s="2"/>
    </row>
    <row r="3649" spans="1:8" x14ac:dyDescent="0.25">
      <c r="A3649" s="1"/>
      <c r="B3649" s="1" t="s">
        <v>4039</v>
      </c>
      <c r="C3649" s="1" t="s">
        <v>4040</v>
      </c>
      <c r="D3649" s="22" t="str">
        <f>HYPERLINK("https://rhld.insurance.arkansas.gov/NPILookup?Npi=1144848490","1144848490")</f>
        <v>1144848490</v>
      </c>
      <c r="E3649" s="1" t="s">
        <v>10007</v>
      </c>
      <c r="F3649" s="2"/>
      <c r="G3649" s="2"/>
      <c r="H3649" s="2"/>
    </row>
    <row r="3650" spans="1:8" x14ac:dyDescent="0.25">
      <c r="A3650" s="1"/>
      <c r="B3650" s="1" t="s">
        <v>4039</v>
      </c>
      <c r="C3650" s="1" t="s">
        <v>4040</v>
      </c>
      <c r="D3650" s="22" t="str">
        <f>HYPERLINK("https://rhld.insurance.arkansas.gov/NPILookup?Npi=1144880154","1144880154")</f>
        <v>1144880154</v>
      </c>
      <c r="E3650" s="1" t="s">
        <v>16429</v>
      </c>
      <c r="F3650" s="2"/>
      <c r="G3650" s="2"/>
      <c r="H3650" s="2"/>
    </row>
    <row r="3651" spans="1:8" x14ac:dyDescent="0.25">
      <c r="A3651" s="1"/>
      <c r="B3651" s="1" t="s">
        <v>4039</v>
      </c>
      <c r="C3651" s="1" t="s">
        <v>4040</v>
      </c>
      <c r="D3651" s="22" t="str">
        <f>HYPERLINK("https://rhld.insurance.arkansas.gov/NPILookup?Npi=1144920471","1144920471")</f>
        <v>1144920471</v>
      </c>
      <c r="E3651" s="1" t="s">
        <v>10008</v>
      </c>
      <c r="F3651" s="2"/>
      <c r="G3651" s="2"/>
      <c r="H3651" s="2"/>
    </row>
    <row r="3652" spans="1:8" x14ac:dyDescent="0.25">
      <c r="A3652" s="1"/>
      <c r="B3652" s="1" t="s">
        <v>4039</v>
      </c>
      <c r="C3652" s="1" t="s">
        <v>4040</v>
      </c>
      <c r="D3652" s="22" t="str">
        <f>HYPERLINK("https://rhld.insurance.arkansas.gov/NPILookup?Npi=1154015808","1154015808")</f>
        <v>1154015808</v>
      </c>
      <c r="E3652" s="1" t="s">
        <v>16430</v>
      </c>
      <c r="F3652" s="2"/>
      <c r="G3652" s="2"/>
      <c r="H3652" s="2"/>
    </row>
    <row r="3653" spans="1:8" x14ac:dyDescent="0.25">
      <c r="A3653" s="1"/>
      <c r="B3653" s="1" t="s">
        <v>4039</v>
      </c>
      <c r="C3653" s="1" t="s">
        <v>4040</v>
      </c>
      <c r="D3653" s="22" t="str">
        <f>HYPERLINK("https://rhld.insurance.arkansas.gov/NPILookup?Npi=1154072999","1154072999")</f>
        <v>1154072999</v>
      </c>
      <c r="E3653" s="1" t="s">
        <v>4063</v>
      </c>
      <c r="F3653" s="2"/>
      <c r="G3653" s="2"/>
      <c r="H3653" s="2"/>
    </row>
    <row r="3654" spans="1:8" x14ac:dyDescent="0.25">
      <c r="A3654" s="1"/>
      <c r="B3654" s="1" t="s">
        <v>4039</v>
      </c>
      <c r="C3654" s="1" t="s">
        <v>4040</v>
      </c>
      <c r="D3654" s="22" t="str">
        <f>HYPERLINK("https://rhld.insurance.arkansas.gov/NPILookup?Npi=1154214294","1154214294")</f>
        <v>1154214294</v>
      </c>
      <c r="E3654" s="1" t="s">
        <v>31355</v>
      </c>
      <c r="F3654" s="2"/>
      <c r="G3654" s="2"/>
      <c r="H3654" s="2"/>
    </row>
    <row r="3655" spans="1:8" x14ac:dyDescent="0.25">
      <c r="A3655" s="1"/>
      <c r="B3655" s="1" t="s">
        <v>4039</v>
      </c>
      <c r="C3655" s="1" t="s">
        <v>4040</v>
      </c>
      <c r="D3655" s="22" t="str">
        <f>HYPERLINK("https://rhld.insurance.arkansas.gov/NPILookup?Npi=1154328441","1154328441")</f>
        <v>1154328441</v>
      </c>
      <c r="E3655" s="1" t="s">
        <v>3668</v>
      </c>
      <c r="F3655" s="2"/>
      <c r="G3655" s="2"/>
      <c r="H3655" s="2"/>
    </row>
    <row r="3656" spans="1:8" x14ac:dyDescent="0.25">
      <c r="A3656" s="1"/>
      <c r="B3656" s="1" t="s">
        <v>4039</v>
      </c>
      <c r="C3656" s="1" t="s">
        <v>4040</v>
      </c>
      <c r="D3656" s="22" t="str">
        <f>HYPERLINK("https://rhld.insurance.arkansas.gov/NPILookup?Npi=1154338960","1154338960")</f>
        <v>1154338960</v>
      </c>
      <c r="E3656" s="1" t="s">
        <v>16431</v>
      </c>
      <c r="F3656" s="2"/>
      <c r="G3656" s="2"/>
      <c r="H3656" s="2"/>
    </row>
    <row r="3657" spans="1:8" x14ac:dyDescent="0.25">
      <c r="A3657" s="1"/>
      <c r="B3657" s="1" t="s">
        <v>4039</v>
      </c>
      <c r="C3657" s="1" t="s">
        <v>4040</v>
      </c>
      <c r="D3657" s="22" t="str">
        <f>HYPERLINK("https://rhld.insurance.arkansas.gov/NPILookup?Npi=1154384063","1154384063")</f>
        <v>1154384063</v>
      </c>
      <c r="E3657" s="1" t="s">
        <v>10009</v>
      </c>
      <c r="F3657" s="2"/>
      <c r="G3657" s="2"/>
      <c r="H3657" s="2"/>
    </row>
    <row r="3658" spans="1:8" x14ac:dyDescent="0.25">
      <c r="A3658" s="1"/>
      <c r="B3658" s="1" t="s">
        <v>4039</v>
      </c>
      <c r="C3658" s="1" t="s">
        <v>4040</v>
      </c>
      <c r="D3658" s="22" t="str">
        <f>HYPERLINK("https://rhld.insurance.arkansas.gov/NPILookup?Npi=1154434710","1154434710")</f>
        <v>1154434710</v>
      </c>
      <c r="E3658" s="1" t="s">
        <v>10010</v>
      </c>
      <c r="F3658" s="2"/>
      <c r="G3658" s="2"/>
      <c r="H3658" s="2"/>
    </row>
    <row r="3659" spans="1:8" x14ac:dyDescent="0.25">
      <c r="A3659" s="1"/>
      <c r="B3659" s="1" t="s">
        <v>4039</v>
      </c>
      <c r="C3659" s="1" t="s">
        <v>4040</v>
      </c>
      <c r="D3659" s="22" t="str">
        <f>HYPERLINK("https://rhld.insurance.arkansas.gov/NPILookup?Npi=1154437788","1154437788")</f>
        <v>1154437788</v>
      </c>
      <c r="E3659" s="1" t="s">
        <v>16432</v>
      </c>
      <c r="F3659" s="2"/>
      <c r="G3659" s="2"/>
      <c r="H3659" s="2"/>
    </row>
    <row r="3660" spans="1:8" x14ac:dyDescent="0.25">
      <c r="A3660" s="1"/>
      <c r="B3660" s="1" t="s">
        <v>4039</v>
      </c>
      <c r="C3660" s="1" t="s">
        <v>4040</v>
      </c>
      <c r="D3660" s="22" t="str">
        <f>HYPERLINK("https://rhld.insurance.arkansas.gov/NPILookup?Npi=1154481109","1154481109")</f>
        <v>1154481109</v>
      </c>
      <c r="E3660" s="1" t="s">
        <v>4064</v>
      </c>
      <c r="F3660" s="2"/>
      <c r="G3660" s="2"/>
      <c r="H3660" s="2"/>
    </row>
    <row r="3661" spans="1:8" x14ac:dyDescent="0.25">
      <c r="A3661" s="1"/>
      <c r="B3661" s="1" t="s">
        <v>4039</v>
      </c>
      <c r="C3661" s="1" t="s">
        <v>4040</v>
      </c>
      <c r="D3661" s="22" t="str">
        <f>HYPERLINK("https://rhld.insurance.arkansas.gov/NPILookup?Npi=1154542033","1154542033")</f>
        <v>1154542033</v>
      </c>
      <c r="E3661" s="1" t="s">
        <v>16433</v>
      </c>
      <c r="F3661" s="2"/>
      <c r="G3661" s="2"/>
      <c r="H3661" s="2"/>
    </row>
    <row r="3662" spans="1:8" x14ac:dyDescent="0.25">
      <c r="A3662" s="1"/>
      <c r="B3662" s="1" t="s">
        <v>4039</v>
      </c>
      <c r="C3662" s="1" t="s">
        <v>4040</v>
      </c>
      <c r="D3662" s="22" t="str">
        <f>HYPERLINK("https://rhld.insurance.arkansas.gov/NPILookup?Npi=1154550382","1154550382")</f>
        <v>1154550382</v>
      </c>
      <c r="E3662" s="1" t="s">
        <v>10011</v>
      </c>
      <c r="F3662" s="2"/>
      <c r="G3662" s="2"/>
      <c r="H3662" s="2"/>
    </row>
    <row r="3663" spans="1:8" x14ac:dyDescent="0.25">
      <c r="A3663" s="1"/>
      <c r="B3663" s="1" t="s">
        <v>4039</v>
      </c>
      <c r="C3663" s="1" t="s">
        <v>4040</v>
      </c>
      <c r="D3663" s="22" t="str">
        <f>HYPERLINK("https://rhld.insurance.arkansas.gov/NPILookup?Npi=1154580066","1154580066")</f>
        <v>1154580066</v>
      </c>
      <c r="E3663" s="1" t="s">
        <v>10012</v>
      </c>
      <c r="F3663" s="2"/>
      <c r="G3663" s="2"/>
      <c r="H3663" s="2"/>
    </row>
    <row r="3664" spans="1:8" x14ac:dyDescent="0.25">
      <c r="A3664" s="1"/>
      <c r="B3664" s="1" t="s">
        <v>4039</v>
      </c>
      <c r="C3664" s="1" t="s">
        <v>4040</v>
      </c>
      <c r="D3664" s="22" t="str">
        <f>HYPERLINK("https://rhld.insurance.arkansas.gov/NPILookup?Npi=1154684165","1154684165")</f>
        <v>1154684165</v>
      </c>
      <c r="E3664" s="1" t="s">
        <v>12056</v>
      </c>
      <c r="F3664" s="2"/>
      <c r="G3664" s="2"/>
      <c r="H3664" s="2"/>
    </row>
    <row r="3665" spans="1:8" x14ac:dyDescent="0.25">
      <c r="A3665" s="1"/>
      <c r="B3665" s="1" t="s">
        <v>4039</v>
      </c>
      <c r="C3665" s="1" t="s">
        <v>4040</v>
      </c>
      <c r="D3665" s="22" t="str">
        <f>HYPERLINK("https://rhld.insurance.arkansas.gov/NPILookup?Npi=1154761393","1154761393")</f>
        <v>1154761393</v>
      </c>
      <c r="E3665" s="1" t="s">
        <v>10013</v>
      </c>
      <c r="F3665" s="2"/>
      <c r="G3665" s="2"/>
      <c r="H3665" s="2"/>
    </row>
    <row r="3666" spans="1:8" x14ac:dyDescent="0.25">
      <c r="A3666" s="1"/>
      <c r="B3666" s="1" t="s">
        <v>4039</v>
      </c>
      <c r="C3666" s="1" t="s">
        <v>4040</v>
      </c>
      <c r="D3666" s="22" t="str">
        <f>HYPERLINK("https://rhld.insurance.arkansas.gov/NPILookup?Npi=1154841252","1154841252")</f>
        <v>1154841252</v>
      </c>
      <c r="E3666" s="1" t="s">
        <v>16434</v>
      </c>
      <c r="F3666" s="2"/>
      <c r="G3666" s="2"/>
      <c r="H3666" s="2"/>
    </row>
    <row r="3667" spans="1:8" x14ac:dyDescent="0.25">
      <c r="A3667" s="1"/>
      <c r="B3667" s="1" t="s">
        <v>4039</v>
      </c>
      <c r="C3667" s="1" t="s">
        <v>4040</v>
      </c>
      <c r="D3667" s="22" t="str">
        <f>HYPERLINK("https://rhld.insurance.arkansas.gov/NPILookup?Npi=1154973303","1154973303")</f>
        <v>1154973303</v>
      </c>
      <c r="E3667" s="1" t="s">
        <v>16435</v>
      </c>
      <c r="F3667" s="2"/>
      <c r="G3667" s="2"/>
      <c r="H3667" s="2"/>
    </row>
    <row r="3668" spans="1:8" x14ac:dyDescent="0.25">
      <c r="A3668" s="1"/>
      <c r="B3668" s="1" t="s">
        <v>4039</v>
      </c>
      <c r="C3668" s="1" t="s">
        <v>4040</v>
      </c>
      <c r="D3668" s="22" t="str">
        <f>HYPERLINK("https://rhld.insurance.arkansas.gov/NPILookup?Npi=1154982338","1154982338")</f>
        <v>1154982338</v>
      </c>
      <c r="E3668" s="1" t="s">
        <v>10014</v>
      </c>
      <c r="F3668" s="2"/>
      <c r="G3668" s="2"/>
      <c r="H3668" s="2"/>
    </row>
    <row r="3669" spans="1:8" x14ac:dyDescent="0.25">
      <c r="A3669" s="1"/>
      <c r="B3669" s="1" t="s">
        <v>4039</v>
      </c>
      <c r="C3669" s="1" t="s">
        <v>4040</v>
      </c>
      <c r="D3669" s="22" t="str">
        <f>HYPERLINK("https://rhld.insurance.arkansas.gov/NPILookup?Npi=1164001533","1164001533")</f>
        <v>1164001533</v>
      </c>
      <c r="E3669" s="1" t="s">
        <v>31356</v>
      </c>
      <c r="F3669" s="2"/>
      <c r="G3669" s="2"/>
      <c r="H3669" s="2"/>
    </row>
    <row r="3670" spans="1:8" x14ac:dyDescent="0.25">
      <c r="A3670" s="1"/>
      <c r="B3670" s="1" t="s">
        <v>4039</v>
      </c>
      <c r="C3670" s="1" t="s">
        <v>4040</v>
      </c>
      <c r="D3670" s="22" t="str">
        <f>HYPERLINK("https://rhld.insurance.arkansas.gov/NPILookup?Npi=1164090346","1164090346")</f>
        <v>1164090346</v>
      </c>
      <c r="E3670" s="1" t="s">
        <v>4065</v>
      </c>
      <c r="F3670" s="2"/>
      <c r="G3670" s="2"/>
      <c r="H3670" s="2"/>
    </row>
    <row r="3671" spans="1:8" x14ac:dyDescent="0.25">
      <c r="A3671" s="1"/>
      <c r="B3671" s="1" t="s">
        <v>4039</v>
      </c>
      <c r="C3671" s="1" t="s">
        <v>4040</v>
      </c>
      <c r="D3671" s="22" t="str">
        <f>HYPERLINK("https://rhld.insurance.arkansas.gov/NPILookup?Npi=1164093043","1164093043")</f>
        <v>1164093043</v>
      </c>
      <c r="E3671" s="1" t="s">
        <v>16436</v>
      </c>
      <c r="F3671" s="2"/>
      <c r="G3671" s="2"/>
      <c r="H3671" s="2"/>
    </row>
    <row r="3672" spans="1:8" x14ac:dyDescent="0.25">
      <c r="A3672" s="1"/>
      <c r="B3672" s="1" t="s">
        <v>4039</v>
      </c>
      <c r="C3672" s="1" t="s">
        <v>4040</v>
      </c>
      <c r="D3672" s="22" t="str">
        <f>HYPERLINK("https://rhld.insurance.arkansas.gov/NPILookup?Npi=1164432340","1164432340")</f>
        <v>1164432340</v>
      </c>
      <c r="E3672" s="1" t="s">
        <v>10015</v>
      </c>
      <c r="F3672" s="2"/>
      <c r="G3672" s="2"/>
      <c r="H3672" s="2"/>
    </row>
    <row r="3673" spans="1:8" x14ac:dyDescent="0.25">
      <c r="A3673" s="1"/>
      <c r="B3673" s="1" t="s">
        <v>4039</v>
      </c>
      <c r="C3673" s="1" t="s">
        <v>4040</v>
      </c>
      <c r="D3673" s="22" t="str">
        <f>HYPERLINK("https://rhld.insurance.arkansas.gov/NPILookup?Npi=1164465399","1164465399")</f>
        <v>1164465399</v>
      </c>
      <c r="E3673" s="1" t="s">
        <v>1175</v>
      </c>
      <c r="F3673" s="2"/>
      <c r="G3673" s="2"/>
      <c r="H3673" s="2"/>
    </row>
    <row r="3674" spans="1:8" x14ac:dyDescent="0.25">
      <c r="A3674" s="1"/>
      <c r="B3674" s="1" t="s">
        <v>4039</v>
      </c>
      <c r="C3674" s="1" t="s">
        <v>4040</v>
      </c>
      <c r="D3674" s="22" t="str">
        <f>HYPERLINK("https://rhld.insurance.arkansas.gov/NPILookup?Npi=1164491155","1164491155")</f>
        <v>1164491155</v>
      </c>
      <c r="E3674" s="1" t="s">
        <v>16437</v>
      </c>
      <c r="F3674" s="2"/>
      <c r="G3674" s="2"/>
      <c r="H3674" s="2"/>
    </row>
    <row r="3675" spans="1:8" x14ac:dyDescent="0.25">
      <c r="A3675" s="1"/>
      <c r="B3675" s="1" t="s">
        <v>4039</v>
      </c>
      <c r="C3675" s="1" t="s">
        <v>4040</v>
      </c>
      <c r="D3675" s="22" t="str">
        <f>HYPERLINK("https://rhld.insurance.arkansas.gov/NPILookup?Npi=1164505764","1164505764")</f>
        <v>1164505764</v>
      </c>
      <c r="E3675" s="1" t="s">
        <v>16438</v>
      </c>
      <c r="F3675" s="2"/>
      <c r="G3675" s="2"/>
      <c r="H3675" s="2"/>
    </row>
    <row r="3676" spans="1:8" x14ac:dyDescent="0.25">
      <c r="A3676" s="1"/>
      <c r="B3676" s="1" t="s">
        <v>4039</v>
      </c>
      <c r="C3676" s="1" t="s">
        <v>4040</v>
      </c>
      <c r="D3676" s="22" t="str">
        <f>HYPERLINK("https://rhld.insurance.arkansas.gov/NPILookup?Npi=1164516662","1164516662")</f>
        <v>1164516662</v>
      </c>
      <c r="E3676" s="1" t="s">
        <v>16439</v>
      </c>
      <c r="F3676" s="2"/>
      <c r="G3676" s="2"/>
      <c r="H3676" s="2"/>
    </row>
    <row r="3677" spans="1:8" x14ac:dyDescent="0.25">
      <c r="A3677" s="1"/>
      <c r="B3677" s="1" t="s">
        <v>4039</v>
      </c>
      <c r="C3677" s="1" t="s">
        <v>4040</v>
      </c>
      <c r="D3677" s="22" t="str">
        <f>HYPERLINK("https://rhld.insurance.arkansas.gov/NPILookup?Npi=1164530580","1164530580")</f>
        <v>1164530580</v>
      </c>
      <c r="E3677" s="1" t="s">
        <v>1001</v>
      </c>
      <c r="F3677" s="2"/>
      <c r="G3677" s="2"/>
      <c r="H3677" s="2"/>
    </row>
    <row r="3678" spans="1:8" x14ac:dyDescent="0.25">
      <c r="A3678" s="1"/>
      <c r="B3678" s="1" t="s">
        <v>4039</v>
      </c>
      <c r="C3678" s="1" t="s">
        <v>4040</v>
      </c>
      <c r="D3678" s="22" t="str">
        <f>HYPERLINK("https://rhld.insurance.arkansas.gov/NPILookup?Npi=1164541348","1164541348")</f>
        <v>1164541348</v>
      </c>
      <c r="E3678" s="1" t="s">
        <v>16440</v>
      </c>
      <c r="F3678" s="2"/>
      <c r="G3678" s="2"/>
      <c r="H3678" s="2"/>
    </row>
    <row r="3679" spans="1:8" x14ac:dyDescent="0.25">
      <c r="A3679" s="1"/>
      <c r="B3679" s="1" t="s">
        <v>4039</v>
      </c>
      <c r="C3679" s="1" t="s">
        <v>4040</v>
      </c>
      <c r="D3679" s="22" t="str">
        <f>HYPERLINK("https://rhld.insurance.arkansas.gov/NPILookup?Npi=1164643011","1164643011")</f>
        <v>1164643011</v>
      </c>
      <c r="E3679" s="1" t="s">
        <v>1567</v>
      </c>
      <c r="F3679" s="2"/>
      <c r="G3679" s="2"/>
      <c r="H3679" s="2"/>
    </row>
    <row r="3680" spans="1:8" x14ac:dyDescent="0.25">
      <c r="A3680" s="1"/>
      <c r="B3680" s="1" t="s">
        <v>4039</v>
      </c>
      <c r="C3680" s="1" t="s">
        <v>4040</v>
      </c>
      <c r="D3680" s="22" t="str">
        <f>HYPERLINK("https://rhld.insurance.arkansas.gov/NPILookup?Npi=1164734182","1164734182")</f>
        <v>1164734182</v>
      </c>
      <c r="E3680" s="1" t="s">
        <v>806</v>
      </c>
      <c r="F3680" s="2"/>
      <c r="G3680" s="2"/>
      <c r="H3680" s="2"/>
    </row>
    <row r="3681" spans="1:8" x14ac:dyDescent="0.25">
      <c r="A3681" s="1"/>
      <c r="B3681" s="1" t="s">
        <v>4039</v>
      </c>
      <c r="C3681" s="1" t="s">
        <v>4040</v>
      </c>
      <c r="D3681" s="22" t="str">
        <f>HYPERLINK("https://rhld.insurance.arkansas.gov/NPILookup?Npi=1164805511","1164805511")</f>
        <v>1164805511</v>
      </c>
      <c r="E3681" s="1" t="s">
        <v>670</v>
      </c>
      <c r="F3681" s="2"/>
      <c r="G3681" s="2"/>
      <c r="H3681" s="2"/>
    </row>
    <row r="3682" spans="1:8" x14ac:dyDescent="0.25">
      <c r="A3682" s="1"/>
      <c r="B3682" s="1" t="s">
        <v>4039</v>
      </c>
      <c r="C3682" s="1" t="s">
        <v>4040</v>
      </c>
      <c r="D3682" s="22" t="str">
        <f>HYPERLINK("https://rhld.insurance.arkansas.gov/NPILookup?Npi=1164884243","1164884243")</f>
        <v>1164884243</v>
      </c>
      <c r="E3682" s="1" t="s">
        <v>16441</v>
      </c>
      <c r="F3682" s="2"/>
      <c r="G3682" s="2"/>
      <c r="H3682" s="2"/>
    </row>
    <row r="3683" spans="1:8" x14ac:dyDescent="0.25">
      <c r="A3683" s="1"/>
      <c r="B3683" s="1" t="s">
        <v>4039</v>
      </c>
      <c r="C3683" s="1" t="s">
        <v>4040</v>
      </c>
      <c r="D3683" s="22" t="str">
        <f>HYPERLINK("https://rhld.insurance.arkansas.gov/NPILookup?Npi=1164928883","1164928883")</f>
        <v>1164928883</v>
      </c>
      <c r="E3683" s="1" t="s">
        <v>16442</v>
      </c>
      <c r="F3683" s="2"/>
      <c r="G3683" s="2"/>
      <c r="H3683" s="2"/>
    </row>
    <row r="3684" spans="1:8" x14ac:dyDescent="0.25">
      <c r="A3684" s="1"/>
      <c r="B3684" s="1" t="s">
        <v>4039</v>
      </c>
      <c r="C3684" s="1" t="s">
        <v>4040</v>
      </c>
      <c r="D3684" s="22" t="str">
        <f>HYPERLINK("https://rhld.insurance.arkansas.gov/NPILookup?Npi=1174141667","1174141667")</f>
        <v>1174141667</v>
      </c>
      <c r="E3684" s="1" t="s">
        <v>16443</v>
      </c>
      <c r="F3684" s="2"/>
      <c r="G3684" s="2"/>
      <c r="H3684" s="2"/>
    </row>
    <row r="3685" spans="1:8" x14ac:dyDescent="0.25">
      <c r="A3685" s="1"/>
      <c r="B3685" s="1" t="s">
        <v>4039</v>
      </c>
      <c r="C3685" s="1" t="s">
        <v>4040</v>
      </c>
      <c r="D3685" s="22" t="str">
        <f>HYPERLINK("https://rhld.insurance.arkansas.gov/NPILookup?Npi=1174184923","1174184923")</f>
        <v>1174184923</v>
      </c>
      <c r="E3685" s="1" t="s">
        <v>10016</v>
      </c>
      <c r="F3685" s="2"/>
      <c r="G3685" s="2"/>
      <c r="H3685" s="2"/>
    </row>
    <row r="3686" spans="1:8" x14ac:dyDescent="0.25">
      <c r="A3686" s="1"/>
      <c r="B3686" s="1" t="s">
        <v>4039</v>
      </c>
      <c r="C3686" s="1" t="s">
        <v>4040</v>
      </c>
      <c r="D3686" s="22" t="str">
        <f>HYPERLINK("https://rhld.insurance.arkansas.gov/NPILookup?Npi=1174193809","1174193809")</f>
        <v>1174193809</v>
      </c>
      <c r="E3686" s="1" t="s">
        <v>1931</v>
      </c>
      <c r="F3686" s="2"/>
      <c r="G3686" s="2"/>
      <c r="H3686" s="2"/>
    </row>
    <row r="3687" spans="1:8" x14ac:dyDescent="0.25">
      <c r="A3687" s="1"/>
      <c r="B3687" s="1" t="s">
        <v>4039</v>
      </c>
      <c r="C3687" s="1" t="s">
        <v>4040</v>
      </c>
      <c r="D3687" s="22" t="str">
        <f>HYPERLINK("https://rhld.insurance.arkansas.gov/NPILookup?Npi=1174207047","1174207047")</f>
        <v>1174207047</v>
      </c>
      <c r="E3687" s="1" t="s">
        <v>4066</v>
      </c>
      <c r="F3687" s="2"/>
      <c r="G3687" s="2"/>
      <c r="H3687" s="2"/>
    </row>
    <row r="3688" spans="1:8" x14ac:dyDescent="0.25">
      <c r="A3688" s="1"/>
      <c r="B3688" s="1" t="s">
        <v>4039</v>
      </c>
      <c r="C3688" s="1" t="s">
        <v>4040</v>
      </c>
      <c r="D3688" s="22" t="str">
        <f>HYPERLINK("https://rhld.insurance.arkansas.gov/NPILookup?Npi=1174212989","1174212989")</f>
        <v>1174212989</v>
      </c>
      <c r="E3688" s="1" t="s">
        <v>16444</v>
      </c>
      <c r="F3688" s="2"/>
      <c r="G3688" s="2"/>
      <c r="H3688" s="2"/>
    </row>
    <row r="3689" spans="1:8" x14ac:dyDescent="0.25">
      <c r="A3689" s="1"/>
      <c r="B3689" s="1" t="s">
        <v>4039</v>
      </c>
      <c r="C3689" s="1" t="s">
        <v>4040</v>
      </c>
      <c r="D3689" s="22" t="str">
        <f>HYPERLINK("https://rhld.insurance.arkansas.gov/NPILookup?Npi=1174213474","1174213474")</f>
        <v>1174213474</v>
      </c>
      <c r="E3689" s="1" t="s">
        <v>16445</v>
      </c>
      <c r="F3689" s="2"/>
      <c r="G3689" s="2"/>
      <c r="H3689" s="2"/>
    </row>
    <row r="3690" spans="1:8" x14ac:dyDescent="0.25">
      <c r="A3690" s="1"/>
      <c r="B3690" s="1" t="s">
        <v>4039</v>
      </c>
      <c r="C3690" s="1" t="s">
        <v>4040</v>
      </c>
      <c r="D3690" s="22" t="str">
        <f>HYPERLINK("https://rhld.insurance.arkansas.gov/NPILookup?Npi=1174502736","1174502736")</f>
        <v>1174502736</v>
      </c>
      <c r="E3690" s="1" t="s">
        <v>16446</v>
      </c>
      <c r="F3690" s="2"/>
      <c r="G3690" s="2"/>
      <c r="H3690" s="2"/>
    </row>
    <row r="3691" spans="1:8" x14ac:dyDescent="0.25">
      <c r="A3691" s="1"/>
      <c r="B3691" s="1" t="s">
        <v>4039</v>
      </c>
      <c r="C3691" s="1" t="s">
        <v>4040</v>
      </c>
      <c r="D3691" s="22" t="str">
        <f>HYPERLINK("https://rhld.insurance.arkansas.gov/NPILookup?Npi=1174526768","1174526768")</f>
        <v>1174526768</v>
      </c>
      <c r="E3691" s="1" t="s">
        <v>1200</v>
      </c>
      <c r="F3691" s="2"/>
      <c r="G3691" s="2"/>
      <c r="H3691" s="2"/>
    </row>
    <row r="3692" spans="1:8" x14ac:dyDescent="0.25">
      <c r="A3692" s="1"/>
      <c r="B3692" s="1" t="s">
        <v>4039</v>
      </c>
      <c r="C3692" s="1" t="s">
        <v>4040</v>
      </c>
      <c r="D3692" s="22" t="str">
        <f>HYPERLINK("https://rhld.insurance.arkansas.gov/NPILookup?Npi=1174631097","1174631097")</f>
        <v>1174631097</v>
      </c>
      <c r="E3692" s="1" t="s">
        <v>2329</v>
      </c>
      <c r="F3692" s="2"/>
      <c r="G3692" s="2"/>
      <c r="H3692" s="2"/>
    </row>
    <row r="3693" spans="1:8" x14ac:dyDescent="0.25">
      <c r="A3693" s="1"/>
      <c r="B3693" s="1" t="s">
        <v>4039</v>
      </c>
      <c r="C3693" s="1" t="s">
        <v>4040</v>
      </c>
      <c r="D3693" s="22" t="str">
        <f>HYPERLINK("https://rhld.insurance.arkansas.gov/NPILookup?Npi=1174698823","1174698823")</f>
        <v>1174698823</v>
      </c>
      <c r="E3693" s="1" t="s">
        <v>16447</v>
      </c>
      <c r="F3693" s="2"/>
      <c r="G3693" s="2"/>
      <c r="H3693" s="2"/>
    </row>
    <row r="3694" spans="1:8" x14ac:dyDescent="0.25">
      <c r="A3694" s="1"/>
      <c r="B3694" s="1" t="s">
        <v>4039</v>
      </c>
      <c r="C3694" s="1" t="s">
        <v>4040</v>
      </c>
      <c r="D3694" s="22" t="str">
        <f>HYPERLINK("https://rhld.insurance.arkansas.gov/NPILookup?Npi=1174717805","1174717805")</f>
        <v>1174717805</v>
      </c>
      <c r="E3694" s="1" t="s">
        <v>10017</v>
      </c>
      <c r="F3694" s="2"/>
      <c r="G3694" s="2"/>
      <c r="H3694" s="2"/>
    </row>
    <row r="3695" spans="1:8" x14ac:dyDescent="0.25">
      <c r="A3695" s="1"/>
      <c r="B3695" s="1" t="s">
        <v>4039</v>
      </c>
      <c r="C3695" s="1" t="s">
        <v>4040</v>
      </c>
      <c r="D3695" s="22" t="str">
        <f>HYPERLINK("https://rhld.insurance.arkansas.gov/NPILookup?Npi=1174742456","1174742456")</f>
        <v>1174742456</v>
      </c>
      <c r="E3695" s="1" t="s">
        <v>10018</v>
      </c>
      <c r="F3695" s="2"/>
      <c r="G3695" s="2"/>
      <c r="H3695" s="2"/>
    </row>
    <row r="3696" spans="1:8" x14ac:dyDescent="0.25">
      <c r="A3696" s="1"/>
      <c r="B3696" s="1" t="s">
        <v>4039</v>
      </c>
      <c r="C3696" s="1" t="s">
        <v>4040</v>
      </c>
      <c r="D3696" s="22" t="str">
        <f>HYPERLINK("https://rhld.insurance.arkansas.gov/NPILookup?Npi=1174836159","1174836159")</f>
        <v>1174836159</v>
      </c>
      <c r="E3696" s="1" t="s">
        <v>16448</v>
      </c>
      <c r="F3696" s="2"/>
      <c r="G3696" s="2"/>
      <c r="H3696" s="2"/>
    </row>
    <row r="3697" spans="1:8" x14ac:dyDescent="0.25">
      <c r="A3697" s="1"/>
      <c r="B3697" s="1" t="s">
        <v>4039</v>
      </c>
      <c r="C3697" s="1" t="s">
        <v>4040</v>
      </c>
      <c r="D3697" s="22" t="str">
        <f>HYPERLINK("https://rhld.insurance.arkansas.gov/NPILookup?Npi=1174875249","1174875249")</f>
        <v>1174875249</v>
      </c>
      <c r="E3697" s="1" t="s">
        <v>10019</v>
      </c>
      <c r="F3697" s="2"/>
      <c r="G3697" s="2"/>
      <c r="H3697" s="2"/>
    </row>
    <row r="3698" spans="1:8" x14ac:dyDescent="0.25">
      <c r="A3698" s="1"/>
      <c r="B3698" s="1" t="s">
        <v>4039</v>
      </c>
      <c r="C3698" s="1" t="s">
        <v>4040</v>
      </c>
      <c r="D3698" s="22" t="str">
        <f>HYPERLINK("https://rhld.insurance.arkansas.gov/NPILookup?Npi=1174907323","1174907323")</f>
        <v>1174907323</v>
      </c>
      <c r="E3698" s="1" t="s">
        <v>16449</v>
      </c>
      <c r="F3698" s="2"/>
      <c r="G3698" s="2"/>
      <c r="H3698" s="2"/>
    </row>
    <row r="3699" spans="1:8" x14ac:dyDescent="0.25">
      <c r="A3699" s="1"/>
      <c r="B3699" s="1" t="s">
        <v>4039</v>
      </c>
      <c r="C3699" s="1" t="s">
        <v>4040</v>
      </c>
      <c r="D3699" s="22" t="str">
        <f>HYPERLINK("https://rhld.insurance.arkansas.gov/NPILookup?Npi=1184039174","1184039174")</f>
        <v>1184039174</v>
      </c>
      <c r="E3699" s="1" t="s">
        <v>16450</v>
      </c>
      <c r="F3699" s="2"/>
      <c r="G3699" s="2"/>
      <c r="H3699" s="2"/>
    </row>
    <row r="3700" spans="1:8" x14ac:dyDescent="0.25">
      <c r="A3700" s="1"/>
      <c r="B3700" s="1" t="s">
        <v>4039</v>
      </c>
      <c r="C3700" s="1" t="s">
        <v>4040</v>
      </c>
      <c r="D3700" s="22" t="str">
        <f>HYPERLINK("https://rhld.insurance.arkansas.gov/NPILookup?Npi=1184156234","1184156234")</f>
        <v>1184156234</v>
      </c>
      <c r="E3700" s="1" t="s">
        <v>113</v>
      </c>
      <c r="F3700" s="2"/>
      <c r="G3700" s="2"/>
      <c r="H3700" s="2"/>
    </row>
    <row r="3701" spans="1:8" x14ac:dyDescent="0.25">
      <c r="A3701" s="1"/>
      <c r="B3701" s="1" t="s">
        <v>4039</v>
      </c>
      <c r="C3701" s="1" t="s">
        <v>4040</v>
      </c>
      <c r="D3701" s="22" t="str">
        <f>HYPERLINK("https://rhld.insurance.arkansas.gov/NPILookup?Npi=1184172124","1184172124")</f>
        <v>1184172124</v>
      </c>
      <c r="E3701" s="1" t="s">
        <v>1284</v>
      </c>
      <c r="F3701" s="2"/>
      <c r="G3701" s="2"/>
      <c r="H3701" s="2"/>
    </row>
    <row r="3702" spans="1:8" x14ac:dyDescent="0.25">
      <c r="A3702" s="1"/>
      <c r="B3702" s="1" t="s">
        <v>4039</v>
      </c>
      <c r="C3702" s="1" t="s">
        <v>4040</v>
      </c>
      <c r="D3702" s="22" t="str">
        <f>HYPERLINK("https://rhld.insurance.arkansas.gov/NPILookup?Npi=1184186777","1184186777")</f>
        <v>1184186777</v>
      </c>
      <c r="E3702" s="1" t="s">
        <v>10020</v>
      </c>
      <c r="F3702" s="2"/>
      <c r="G3702" s="2"/>
      <c r="H3702" s="2"/>
    </row>
    <row r="3703" spans="1:8" x14ac:dyDescent="0.25">
      <c r="A3703" s="1"/>
      <c r="B3703" s="1" t="s">
        <v>4039</v>
      </c>
      <c r="C3703" s="1" t="s">
        <v>4040</v>
      </c>
      <c r="D3703" s="22" t="str">
        <f>HYPERLINK("https://rhld.insurance.arkansas.gov/NPILookup?Npi=1184456766","1184456766")</f>
        <v>1184456766</v>
      </c>
      <c r="E3703" s="1" t="s">
        <v>16451</v>
      </c>
      <c r="F3703" s="2"/>
      <c r="G3703" s="2"/>
      <c r="H3703" s="2"/>
    </row>
    <row r="3704" spans="1:8" x14ac:dyDescent="0.25">
      <c r="A3704" s="1"/>
      <c r="B3704" s="1" t="s">
        <v>4039</v>
      </c>
      <c r="C3704" s="1" t="s">
        <v>4040</v>
      </c>
      <c r="D3704" s="22" t="str">
        <f>HYPERLINK("https://rhld.insurance.arkansas.gov/NPILookup?Npi=1184632762","1184632762")</f>
        <v>1184632762</v>
      </c>
      <c r="E3704" s="1" t="s">
        <v>1932</v>
      </c>
      <c r="F3704" s="2"/>
      <c r="G3704" s="2"/>
      <c r="H3704" s="2"/>
    </row>
    <row r="3705" spans="1:8" x14ac:dyDescent="0.25">
      <c r="A3705" s="1"/>
      <c r="B3705" s="1" t="s">
        <v>4039</v>
      </c>
      <c r="C3705" s="1" t="s">
        <v>4040</v>
      </c>
      <c r="D3705" s="22" t="str">
        <f>HYPERLINK("https://rhld.insurance.arkansas.gov/NPILookup?Npi=1184647653","1184647653")</f>
        <v>1184647653</v>
      </c>
      <c r="E3705" s="1" t="s">
        <v>10021</v>
      </c>
      <c r="F3705" s="2"/>
      <c r="G3705" s="2"/>
      <c r="H3705" s="2"/>
    </row>
    <row r="3706" spans="1:8" x14ac:dyDescent="0.25">
      <c r="A3706" s="1"/>
      <c r="B3706" s="1" t="s">
        <v>4039</v>
      </c>
      <c r="C3706" s="1" t="s">
        <v>4040</v>
      </c>
      <c r="D3706" s="22" t="str">
        <f>HYPERLINK("https://rhld.insurance.arkansas.gov/NPILookup?Npi=1184662140","1184662140")</f>
        <v>1184662140</v>
      </c>
      <c r="E3706" s="1" t="s">
        <v>16452</v>
      </c>
      <c r="F3706" s="2"/>
      <c r="G3706" s="2"/>
      <c r="H3706" s="2"/>
    </row>
    <row r="3707" spans="1:8" x14ac:dyDescent="0.25">
      <c r="A3707" s="1"/>
      <c r="B3707" s="1" t="s">
        <v>4039</v>
      </c>
      <c r="C3707" s="1" t="s">
        <v>4040</v>
      </c>
      <c r="D3707" s="22" t="str">
        <f>HYPERLINK("https://rhld.insurance.arkansas.gov/NPILookup?Npi=1184680324","1184680324")</f>
        <v>1184680324</v>
      </c>
      <c r="E3707" s="1" t="s">
        <v>16453</v>
      </c>
      <c r="F3707" s="2"/>
      <c r="G3707" s="2"/>
      <c r="H3707" s="2"/>
    </row>
    <row r="3708" spans="1:8" x14ac:dyDescent="0.25">
      <c r="A3708" s="1"/>
      <c r="B3708" s="1" t="s">
        <v>4039</v>
      </c>
      <c r="C3708" s="1" t="s">
        <v>4040</v>
      </c>
      <c r="D3708" s="22" t="str">
        <f>HYPERLINK("https://rhld.insurance.arkansas.gov/NPILookup?Npi=1184700494","1184700494")</f>
        <v>1184700494</v>
      </c>
      <c r="E3708" s="1" t="s">
        <v>16454</v>
      </c>
      <c r="F3708" s="2"/>
      <c r="G3708" s="2"/>
      <c r="H3708" s="2"/>
    </row>
    <row r="3709" spans="1:8" x14ac:dyDescent="0.25">
      <c r="A3709" s="1"/>
      <c r="B3709" s="1" t="s">
        <v>4039</v>
      </c>
      <c r="C3709" s="1" t="s">
        <v>4040</v>
      </c>
      <c r="D3709" s="22" t="str">
        <f>HYPERLINK("https://rhld.insurance.arkansas.gov/NPILookup?Npi=1184713133","1184713133")</f>
        <v>1184713133</v>
      </c>
      <c r="E3709" s="1" t="s">
        <v>3669</v>
      </c>
      <c r="F3709" s="2"/>
      <c r="G3709" s="2"/>
      <c r="H3709" s="2"/>
    </row>
    <row r="3710" spans="1:8" x14ac:dyDescent="0.25">
      <c r="A3710" s="1"/>
      <c r="B3710" s="1" t="s">
        <v>4039</v>
      </c>
      <c r="C3710" s="1" t="s">
        <v>4040</v>
      </c>
      <c r="D3710" s="22" t="str">
        <f>HYPERLINK("https://rhld.insurance.arkansas.gov/NPILookup?Npi=1184715807","1184715807")</f>
        <v>1184715807</v>
      </c>
      <c r="E3710" s="1" t="s">
        <v>10022</v>
      </c>
      <c r="F3710" s="2"/>
      <c r="G3710" s="2"/>
      <c r="H3710" s="2"/>
    </row>
    <row r="3711" spans="1:8" x14ac:dyDescent="0.25">
      <c r="A3711" s="1"/>
      <c r="B3711" s="1" t="s">
        <v>4039</v>
      </c>
      <c r="C3711" s="1" t="s">
        <v>4040</v>
      </c>
      <c r="D3711" s="22" t="str">
        <f>HYPERLINK("https://rhld.insurance.arkansas.gov/NPILookup?Npi=1184730285","1184730285")</f>
        <v>1184730285</v>
      </c>
      <c r="E3711" s="1" t="s">
        <v>1002</v>
      </c>
      <c r="F3711" s="2"/>
      <c r="G3711" s="2"/>
      <c r="H3711" s="2"/>
    </row>
    <row r="3712" spans="1:8" x14ac:dyDescent="0.25">
      <c r="A3712" s="1"/>
      <c r="B3712" s="1" t="s">
        <v>4039</v>
      </c>
      <c r="C3712" s="1" t="s">
        <v>4040</v>
      </c>
      <c r="D3712" s="22" t="str">
        <f>HYPERLINK("https://rhld.insurance.arkansas.gov/NPILookup?Npi=1184732638","1184732638")</f>
        <v>1184732638</v>
      </c>
      <c r="E3712" s="1" t="s">
        <v>16455</v>
      </c>
      <c r="F3712" s="2"/>
      <c r="G3712" s="2"/>
      <c r="H3712" s="2"/>
    </row>
    <row r="3713" spans="1:8" x14ac:dyDescent="0.25">
      <c r="A3713" s="1"/>
      <c r="B3713" s="1" t="s">
        <v>4039</v>
      </c>
      <c r="C3713" s="1" t="s">
        <v>4040</v>
      </c>
      <c r="D3713" s="22" t="str">
        <f>HYPERLINK("https://rhld.insurance.arkansas.gov/NPILookup?Npi=1184761470","1184761470")</f>
        <v>1184761470</v>
      </c>
      <c r="E3713" s="1" t="s">
        <v>510</v>
      </c>
      <c r="F3713" s="2"/>
      <c r="G3713" s="2"/>
      <c r="H3713" s="2"/>
    </row>
    <row r="3714" spans="1:8" x14ac:dyDescent="0.25">
      <c r="A3714" s="1"/>
      <c r="B3714" s="1" t="s">
        <v>4039</v>
      </c>
      <c r="C3714" s="1" t="s">
        <v>4040</v>
      </c>
      <c r="D3714" s="22" t="str">
        <f>HYPERLINK("https://rhld.insurance.arkansas.gov/NPILookup?Npi=1184796955","1184796955")</f>
        <v>1184796955</v>
      </c>
      <c r="E3714" s="1" t="s">
        <v>16456</v>
      </c>
      <c r="F3714" s="2"/>
      <c r="G3714" s="2"/>
      <c r="H3714" s="2"/>
    </row>
    <row r="3715" spans="1:8" x14ac:dyDescent="0.25">
      <c r="A3715" s="1"/>
      <c r="B3715" s="1" t="s">
        <v>4039</v>
      </c>
      <c r="C3715" s="1" t="s">
        <v>4040</v>
      </c>
      <c r="D3715" s="22" t="str">
        <f>HYPERLINK("https://rhld.insurance.arkansas.gov/NPILookup?Npi=1194138503","1194138503")</f>
        <v>1194138503</v>
      </c>
      <c r="E3715" s="1" t="s">
        <v>1176</v>
      </c>
      <c r="F3715" s="2"/>
      <c r="G3715" s="2"/>
      <c r="H3715" s="2"/>
    </row>
    <row r="3716" spans="1:8" x14ac:dyDescent="0.25">
      <c r="A3716" s="1"/>
      <c r="B3716" s="1" t="s">
        <v>4039</v>
      </c>
      <c r="C3716" s="1" t="s">
        <v>4040</v>
      </c>
      <c r="D3716" s="22" t="str">
        <f>HYPERLINK("https://rhld.insurance.arkansas.gov/NPILookup?Npi=1194165480","1194165480")</f>
        <v>1194165480</v>
      </c>
      <c r="E3716" s="1" t="s">
        <v>159</v>
      </c>
      <c r="F3716" s="2"/>
      <c r="G3716" s="2"/>
      <c r="H3716" s="2"/>
    </row>
    <row r="3717" spans="1:8" x14ac:dyDescent="0.25">
      <c r="A3717" s="1"/>
      <c r="B3717" s="1" t="s">
        <v>4039</v>
      </c>
      <c r="C3717" s="1" t="s">
        <v>4040</v>
      </c>
      <c r="D3717" s="22" t="str">
        <f>HYPERLINK("https://rhld.insurance.arkansas.gov/NPILookup?Npi=1194358507","1194358507")</f>
        <v>1194358507</v>
      </c>
      <c r="E3717" s="1" t="s">
        <v>16457</v>
      </c>
      <c r="F3717" s="2"/>
      <c r="G3717" s="2"/>
      <c r="H3717" s="2"/>
    </row>
    <row r="3718" spans="1:8" x14ac:dyDescent="0.25">
      <c r="A3718" s="1"/>
      <c r="B3718" s="1" t="s">
        <v>4039</v>
      </c>
      <c r="C3718" s="1" t="s">
        <v>4040</v>
      </c>
      <c r="D3718" s="22" t="str">
        <f>HYPERLINK("https://rhld.insurance.arkansas.gov/NPILookup?Npi=1194418830","1194418830")</f>
        <v>1194418830</v>
      </c>
      <c r="E3718" s="1" t="s">
        <v>16458</v>
      </c>
      <c r="F3718" s="2"/>
      <c r="G3718" s="2"/>
      <c r="H3718" s="2"/>
    </row>
    <row r="3719" spans="1:8" x14ac:dyDescent="0.25">
      <c r="A3719" s="1"/>
      <c r="B3719" s="1" t="s">
        <v>4039</v>
      </c>
      <c r="C3719" s="1" t="s">
        <v>4040</v>
      </c>
      <c r="D3719" s="22" t="str">
        <f>HYPERLINK("https://rhld.insurance.arkansas.gov/NPILookup?Npi=1194463679","1194463679")</f>
        <v>1194463679</v>
      </c>
      <c r="E3719" s="1" t="s">
        <v>31357</v>
      </c>
      <c r="F3719" s="2"/>
      <c r="G3719" s="2"/>
      <c r="H3719" s="2"/>
    </row>
    <row r="3720" spans="1:8" x14ac:dyDescent="0.25">
      <c r="A3720" s="1"/>
      <c r="B3720" s="1" t="s">
        <v>4039</v>
      </c>
      <c r="C3720" s="1" t="s">
        <v>4040</v>
      </c>
      <c r="D3720" s="22" t="str">
        <f>HYPERLINK("https://rhld.insurance.arkansas.gov/NPILookup?Npi=1194464818","1194464818")</f>
        <v>1194464818</v>
      </c>
      <c r="E3720" s="1" t="s">
        <v>16459</v>
      </c>
      <c r="F3720" s="2"/>
      <c r="G3720" s="2"/>
      <c r="H3720" s="2"/>
    </row>
    <row r="3721" spans="1:8" x14ac:dyDescent="0.25">
      <c r="A3721" s="1"/>
      <c r="B3721" s="1" t="s">
        <v>4039</v>
      </c>
      <c r="C3721" s="1" t="s">
        <v>4040</v>
      </c>
      <c r="D3721" s="22" t="str">
        <f>HYPERLINK("https://rhld.insurance.arkansas.gov/NPILookup?Npi=1194744961","1194744961")</f>
        <v>1194744961</v>
      </c>
      <c r="E3721" s="1" t="s">
        <v>511</v>
      </c>
      <c r="F3721" s="2"/>
      <c r="G3721" s="2"/>
      <c r="H3721" s="2"/>
    </row>
    <row r="3722" spans="1:8" x14ac:dyDescent="0.25">
      <c r="A3722" s="1"/>
      <c r="B3722" s="1" t="s">
        <v>4039</v>
      </c>
      <c r="C3722" s="1" t="s">
        <v>4040</v>
      </c>
      <c r="D3722" s="22" t="str">
        <f>HYPERLINK("https://rhld.insurance.arkansas.gov/NPILookup?Npi=1194745745","1194745745")</f>
        <v>1194745745</v>
      </c>
      <c r="E3722" s="1" t="s">
        <v>16460</v>
      </c>
      <c r="F3722" s="2"/>
      <c r="G3722" s="2"/>
      <c r="H3722" s="2"/>
    </row>
    <row r="3723" spans="1:8" x14ac:dyDescent="0.25">
      <c r="A3723" s="1"/>
      <c r="B3723" s="1" t="s">
        <v>4039</v>
      </c>
      <c r="C3723" s="1" t="s">
        <v>4040</v>
      </c>
      <c r="D3723" s="22" t="str">
        <f>HYPERLINK("https://rhld.insurance.arkansas.gov/NPILookup?Npi=1194770362","1194770362")</f>
        <v>1194770362</v>
      </c>
      <c r="E3723" s="1" t="s">
        <v>2330</v>
      </c>
      <c r="F3723" s="2"/>
      <c r="G3723" s="2"/>
      <c r="H3723" s="2"/>
    </row>
    <row r="3724" spans="1:8" x14ac:dyDescent="0.25">
      <c r="A3724" s="1"/>
      <c r="B3724" s="1" t="s">
        <v>4039</v>
      </c>
      <c r="C3724" s="1" t="s">
        <v>4040</v>
      </c>
      <c r="D3724" s="22" t="str">
        <f>HYPERLINK("https://rhld.insurance.arkansas.gov/NPILookup?Npi=1194803148","1194803148")</f>
        <v>1194803148</v>
      </c>
      <c r="E3724" s="1" t="s">
        <v>3670</v>
      </c>
      <c r="F3724" s="2"/>
      <c r="G3724" s="2"/>
      <c r="H3724" s="2"/>
    </row>
    <row r="3725" spans="1:8" x14ac:dyDescent="0.25">
      <c r="A3725" s="1"/>
      <c r="B3725" s="1" t="s">
        <v>4039</v>
      </c>
      <c r="C3725" s="1" t="s">
        <v>4040</v>
      </c>
      <c r="D3725" s="22" t="str">
        <f>HYPERLINK("https://rhld.insurance.arkansas.gov/NPILookup?Npi=1194809517","1194809517")</f>
        <v>1194809517</v>
      </c>
      <c r="E3725" s="1" t="s">
        <v>16461</v>
      </c>
      <c r="F3725" s="2"/>
      <c r="G3725" s="2"/>
      <c r="H3725" s="2"/>
    </row>
    <row r="3726" spans="1:8" x14ac:dyDescent="0.25">
      <c r="A3726" s="1"/>
      <c r="B3726" s="1" t="s">
        <v>4039</v>
      </c>
      <c r="C3726" s="1" t="s">
        <v>4040</v>
      </c>
      <c r="D3726" s="22" t="str">
        <f>HYPERLINK("https://rhld.insurance.arkansas.gov/NPILookup?Npi=1194814897","1194814897")</f>
        <v>1194814897</v>
      </c>
      <c r="E3726" s="1" t="s">
        <v>565</v>
      </c>
      <c r="F3726" s="2"/>
      <c r="G3726" s="2"/>
      <c r="H3726" s="2"/>
    </row>
    <row r="3727" spans="1:8" x14ac:dyDescent="0.25">
      <c r="A3727" s="1"/>
      <c r="B3727" s="1" t="s">
        <v>4039</v>
      </c>
      <c r="C3727" s="1" t="s">
        <v>4040</v>
      </c>
      <c r="D3727" s="22" t="str">
        <f>HYPERLINK("https://rhld.insurance.arkansas.gov/NPILookup?Npi=1194839340","1194839340")</f>
        <v>1194839340</v>
      </c>
      <c r="E3727" s="1" t="s">
        <v>16462</v>
      </c>
      <c r="F3727" s="2"/>
      <c r="G3727" s="2"/>
      <c r="H3727" s="2"/>
    </row>
    <row r="3728" spans="1:8" x14ac:dyDescent="0.25">
      <c r="A3728" s="1"/>
      <c r="B3728" s="1" t="s">
        <v>4039</v>
      </c>
      <c r="C3728" s="1" t="s">
        <v>4040</v>
      </c>
      <c r="D3728" s="22" t="str">
        <f>HYPERLINK("https://rhld.insurance.arkansas.gov/NPILookup?Npi=1194909549","1194909549")</f>
        <v>1194909549</v>
      </c>
      <c r="E3728" s="1" t="s">
        <v>16463</v>
      </c>
      <c r="F3728" s="2"/>
      <c r="G3728" s="2"/>
      <c r="H3728" s="2"/>
    </row>
    <row r="3729" spans="1:8" x14ac:dyDescent="0.25">
      <c r="A3729" s="1"/>
      <c r="B3729" s="1" t="s">
        <v>4039</v>
      </c>
      <c r="C3729" s="1" t="s">
        <v>4040</v>
      </c>
      <c r="D3729" s="22" t="str">
        <f>HYPERLINK("https://rhld.insurance.arkansas.gov/NPILookup?Npi=1194949198","1194949198")</f>
        <v>1194949198</v>
      </c>
      <c r="E3729" s="1" t="s">
        <v>16464</v>
      </c>
      <c r="F3729" s="2"/>
      <c r="G3729" s="2"/>
      <c r="H3729" s="2"/>
    </row>
    <row r="3730" spans="1:8" x14ac:dyDescent="0.25">
      <c r="A3730" s="1"/>
      <c r="B3730" s="1" t="s">
        <v>4039</v>
      </c>
      <c r="C3730" s="1" t="s">
        <v>4040</v>
      </c>
      <c r="D3730" s="22" t="str">
        <f>HYPERLINK("https://rhld.insurance.arkansas.gov/NPILookup?Npi=1205197886","1205197886")</f>
        <v>1205197886</v>
      </c>
      <c r="E3730" s="1" t="s">
        <v>671</v>
      </c>
      <c r="F3730" s="2"/>
      <c r="G3730" s="2"/>
      <c r="H3730" s="2"/>
    </row>
    <row r="3731" spans="1:8" x14ac:dyDescent="0.25">
      <c r="A3731" s="1"/>
      <c r="B3731" s="1" t="s">
        <v>4039</v>
      </c>
      <c r="C3731" s="1" t="s">
        <v>4040</v>
      </c>
      <c r="D3731" s="22" t="str">
        <f>HYPERLINK("https://rhld.insurance.arkansas.gov/NPILookup?Npi=1205270360","1205270360")</f>
        <v>1205270360</v>
      </c>
      <c r="E3731" s="1" t="s">
        <v>16465</v>
      </c>
      <c r="F3731" s="2"/>
      <c r="G3731" s="2"/>
      <c r="H3731" s="2"/>
    </row>
    <row r="3732" spans="1:8" x14ac:dyDescent="0.25">
      <c r="A3732" s="1"/>
      <c r="B3732" s="1" t="s">
        <v>4039</v>
      </c>
      <c r="C3732" s="1" t="s">
        <v>4040</v>
      </c>
      <c r="D3732" s="22" t="str">
        <f>HYPERLINK("https://rhld.insurance.arkansas.gov/NPILookup?Npi=1205276391","1205276391")</f>
        <v>1205276391</v>
      </c>
      <c r="E3732" s="1" t="s">
        <v>544</v>
      </c>
      <c r="F3732" s="2"/>
      <c r="G3732" s="2"/>
      <c r="H3732" s="2"/>
    </row>
    <row r="3733" spans="1:8" x14ac:dyDescent="0.25">
      <c r="A3733" s="1"/>
      <c r="B3733" s="1" t="s">
        <v>4039</v>
      </c>
      <c r="C3733" s="1" t="s">
        <v>4040</v>
      </c>
      <c r="D3733" s="22" t="str">
        <f>HYPERLINK("https://rhld.insurance.arkansas.gov/NPILookup?Npi=1205313889","1205313889")</f>
        <v>1205313889</v>
      </c>
      <c r="E3733" s="1" t="s">
        <v>3671</v>
      </c>
      <c r="F3733" s="2"/>
      <c r="G3733" s="2"/>
      <c r="H3733" s="2"/>
    </row>
    <row r="3734" spans="1:8" x14ac:dyDescent="0.25">
      <c r="A3734" s="1"/>
      <c r="B3734" s="1" t="s">
        <v>4039</v>
      </c>
      <c r="C3734" s="1" t="s">
        <v>4040</v>
      </c>
      <c r="D3734" s="22" t="str">
        <f>HYPERLINK("https://rhld.insurance.arkansas.gov/NPILookup?Npi=1205560497","1205560497")</f>
        <v>1205560497</v>
      </c>
      <c r="E3734" s="1" t="s">
        <v>16466</v>
      </c>
      <c r="F3734" s="2"/>
      <c r="G3734" s="2"/>
      <c r="H3734" s="2"/>
    </row>
    <row r="3735" spans="1:8" x14ac:dyDescent="0.25">
      <c r="A3735" s="1"/>
      <c r="B3735" s="1" t="s">
        <v>4039</v>
      </c>
      <c r="C3735" s="1" t="s">
        <v>4040</v>
      </c>
      <c r="D3735" s="22" t="str">
        <f>HYPERLINK("https://rhld.insurance.arkansas.gov/NPILookup?Npi=1205816733","1205816733")</f>
        <v>1205816733</v>
      </c>
      <c r="E3735" s="1" t="s">
        <v>16467</v>
      </c>
      <c r="F3735" s="2"/>
      <c r="G3735" s="2"/>
      <c r="H3735" s="2"/>
    </row>
    <row r="3736" spans="1:8" x14ac:dyDescent="0.25">
      <c r="A3736" s="1"/>
      <c r="B3736" s="1" t="s">
        <v>4039</v>
      </c>
      <c r="C3736" s="1" t="s">
        <v>4040</v>
      </c>
      <c r="D3736" s="22" t="str">
        <f>HYPERLINK("https://rhld.insurance.arkansas.gov/NPILookup?Npi=1205830130","1205830130")</f>
        <v>1205830130</v>
      </c>
      <c r="E3736" s="1" t="s">
        <v>16468</v>
      </c>
      <c r="F3736" s="2"/>
      <c r="G3736" s="2"/>
      <c r="H3736" s="2"/>
    </row>
    <row r="3737" spans="1:8" x14ac:dyDescent="0.25">
      <c r="A3737" s="1"/>
      <c r="B3737" s="1" t="s">
        <v>4039</v>
      </c>
      <c r="C3737" s="1" t="s">
        <v>4040</v>
      </c>
      <c r="D3737" s="22" t="str">
        <f>HYPERLINK("https://rhld.insurance.arkansas.gov/NPILookup?Npi=1215001839","1215001839")</f>
        <v>1215001839</v>
      </c>
      <c r="E3737" s="1" t="s">
        <v>1723</v>
      </c>
      <c r="F3737" s="2"/>
      <c r="G3737" s="2"/>
      <c r="H3737" s="2"/>
    </row>
    <row r="3738" spans="1:8" x14ac:dyDescent="0.25">
      <c r="A3738" s="1"/>
      <c r="B3738" s="1" t="s">
        <v>4039</v>
      </c>
      <c r="C3738" s="1" t="s">
        <v>4040</v>
      </c>
      <c r="D3738" s="22" t="str">
        <f>HYPERLINK("https://rhld.insurance.arkansas.gov/NPILookup?Npi=1215035076","1215035076")</f>
        <v>1215035076</v>
      </c>
      <c r="E3738" s="1" t="s">
        <v>3672</v>
      </c>
      <c r="F3738" s="2"/>
      <c r="G3738" s="2"/>
      <c r="H3738" s="2"/>
    </row>
    <row r="3739" spans="1:8" x14ac:dyDescent="0.25">
      <c r="A3739" s="1"/>
      <c r="B3739" s="1" t="s">
        <v>4039</v>
      </c>
      <c r="C3739" s="1" t="s">
        <v>4040</v>
      </c>
      <c r="D3739" s="22" t="str">
        <f>HYPERLINK("https://rhld.insurance.arkansas.gov/NPILookup?Npi=1215043328","1215043328")</f>
        <v>1215043328</v>
      </c>
      <c r="E3739" s="1" t="s">
        <v>16469</v>
      </c>
      <c r="F3739" s="2"/>
      <c r="G3739" s="2"/>
      <c r="H3739" s="2"/>
    </row>
    <row r="3740" spans="1:8" x14ac:dyDescent="0.25">
      <c r="A3740" s="1"/>
      <c r="B3740" s="1" t="s">
        <v>4039</v>
      </c>
      <c r="C3740" s="1" t="s">
        <v>4040</v>
      </c>
      <c r="D3740" s="22" t="str">
        <f>HYPERLINK("https://rhld.insurance.arkansas.gov/NPILookup?Npi=1215140777","1215140777")</f>
        <v>1215140777</v>
      </c>
      <c r="E3740" s="1" t="s">
        <v>16470</v>
      </c>
      <c r="F3740" s="2"/>
      <c r="G3740" s="2"/>
      <c r="H3740" s="2"/>
    </row>
    <row r="3741" spans="1:8" x14ac:dyDescent="0.25">
      <c r="A3741" s="1"/>
      <c r="B3741" s="1" t="s">
        <v>4039</v>
      </c>
      <c r="C3741" s="1" t="s">
        <v>4040</v>
      </c>
      <c r="D3741" s="22" t="str">
        <f>HYPERLINK("https://rhld.insurance.arkansas.gov/NPILookup?Npi=1215192000","1215192000")</f>
        <v>1215192000</v>
      </c>
      <c r="E3741" s="1" t="s">
        <v>807</v>
      </c>
      <c r="F3741" s="2"/>
      <c r="G3741" s="2"/>
      <c r="H3741" s="2"/>
    </row>
    <row r="3742" spans="1:8" x14ac:dyDescent="0.25">
      <c r="A3742" s="1"/>
      <c r="B3742" s="1" t="s">
        <v>4039</v>
      </c>
      <c r="C3742" s="1" t="s">
        <v>4040</v>
      </c>
      <c r="D3742" s="22" t="str">
        <f>HYPERLINK("https://rhld.insurance.arkansas.gov/NPILookup?Npi=1215310289","1215310289")</f>
        <v>1215310289</v>
      </c>
      <c r="E3742" s="1" t="s">
        <v>16471</v>
      </c>
      <c r="F3742" s="2"/>
      <c r="G3742" s="2"/>
      <c r="H3742" s="2"/>
    </row>
    <row r="3743" spans="1:8" x14ac:dyDescent="0.25">
      <c r="A3743" s="1"/>
      <c r="B3743" s="1" t="s">
        <v>4039</v>
      </c>
      <c r="C3743" s="1" t="s">
        <v>4040</v>
      </c>
      <c r="D3743" s="22" t="str">
        <f>HYPERLINK("https://rhld.insurance.arkansas.gov/NPILookup?Npi=1215422019","1215422019")</f>
        <v>1215422019</v>
      </c>
      <c r="E3743" s="1" t="s">
        <v>1285</v>
      </c>
      <c r="F3743" s="2"/>
      <c r="G3743" s="2"/>
      <c r="H3743" s="2"/>
    </row>
    <row r="3744" spans="1:8" x14ac:dyDescent="0.25">
      <c r="A3744" s="1"/>
      <c r="B3744" s="1" t="s">
        <v>4039</v>
      </c>
      <c r="C3744" s="1" t="s">
        <v>4040</v>
      </c>
      <c r="D3744" s="22" t="str">
        <f>HYPERLINK("https://rhld.insurance.arkansas.gov/NPILookup?Npi=1215463187","1215463187")</f>
        <v>1215463187</v>
      </c>
      <c r="E3744" s="1" t="s">
        <v>16472</v>
      </c>
      <c r="F3744" s="2"/>
      <c r="G3744" s="2"/>
      <c r="H3744" s="2"/>
    </row>
    <row r="3745" spans="1:8" x14ac:dyDescent="0.25">
      <c r="A3745" s="1"/>
      <c r="B3745" s="1" t="s">
        <v>4039</v>
      </c>
      <c r="C3745" s="1" t="s">
        <v>4040</v>
      </c>
      <c r="D3745" s="22" t="str">
        <f>HYPERLINK("https://rhld.insurance.arkansas.gov/NPILookup?Npi=1215490164","1215490164")</f>
        <v>1215490164</v>
      </c>
      <c r="E3745" s="1" t="s">
        <v>1736</v>
      </c>
      <c r="F3745" s="2"/>
      <c r="G3745" s="2"/>
      <c r="H3745" s="2"/>
    </row>
    <row r="3746" spans="1:8" x14ac:dyDescent="0.25">
      <c r="A3746" s="1"/>
      <c r="B3746" s="1" t="s">
        <v>4039</v>
      </c>
      <c r="C3746" s="1" t="s">
        <v>4040</v>
      </c>
      <c r="D3746" s="22" t="str">
        <f>HYPERLINK("https://rhld.insurance.arkansas.gov/NPILookup?Npi=1215545710","1215545710")</f>
        <v>1215545710</v>
      </c>
      <c r="E3746" s="1" t="s">
        <v>10023</v>
      </c>
      <c r="F3746" s="2"/>
      <c r="G3746" s="2"/>
      <c r="H3746" s="2"/>
    </row>
    <row r="3747" spans="1:8" x14ac:dyDescent="0.25">
      <c r="A3747" s="1"/>
      <c r="B3747" s="1" t="s">
        <v>4039</v>
      </c>
      <c r="C3747" s="1" t="s">
        <v>4040</v>
      </c>
      <c r="D3747" s="22" t="str">
        <f>HYPERLINK("https://rhld.insurance.arkansas.gov/NPILookup?Npi=1215552286","1215552286")</f>
        <v>1215552286</v>
      </c>
      <c r="E3747" s="1" t="s">
        <v>16473</v>
      </c>
      <c r="F3747" s="2"/>
      <c r="G3747" s="2"/>
      <c r="H3747" s="2"/>
    </row>
    <row r="3748" spans="1:8" x14ac:dyDescent="0.25">
      <c r="A3748" s="1"/>
      <c r="B3748" s="1" t="s">
        <v>4039</v>
      </c>
      <c r="C3748" s="1" t="s">
        <v>4040</v>
      </c>
      <c r="D3748" s="22" t="str">
        <f>HYPERLINK("https://rhld.insurance.arkansas.gov/NPILookup?Npi=1215964580","1215964580")</f>
        <v>1215964580</v>
      </c>
      <c r="E3748" s="1" t="s">
        <v>512</v>
      </c>
      <c r="F3748" s="2"/>
      <c r="G3748" s="2"/>
      <c r="H3748" s="2"/>
    </row>
    <row r="3749" spans="1:8" x14ac:dyDescent="0.25">
      <c r="A3749" s="1"/>
      <c r="B3749" s="1" t="s">
        <v>4039</v>
      </c>
      <c r="C3749" s="1" t="s">
        <v>4040</v>
      </c>
      <c r="D3749" s="22" t="str">
        <f>HYPERLINK("https://rhld.insurance.arkansas.gov/NPILookup?Npi=1225052392","1225052392")</f>
        <v>1225052392</v>
      </c>
      <c r="E3749" s="1" t="s">
        <v>1933</v>
      </c>
      <c r="F3749" s="2"/>
      <c r="G3749" s="2"/>
      <c r="H3749" s="2"/>
    </row>
    <row r="3750" spans="1:8" x14ac:dyDescent="0.25">
      <c r="A3750" s="1"/>
      <c r="B3750" s="1" t="s">
        <v>4039</v>
      </c>
      <c r="C3750" s="1" t="s">
        <v>4040</v>
      </c>
      <c r="D3750" s="22" t="str">
        <f>HYPERLINK("https://rhld.insurance.arkansas.gov/NPILookup?Npi=1225124035","1225124035")</f>
        <v>1225124035</v>
      </c>
      <c r="E3750" s="1" t="s">
        <v>3673</v>
      </c>
      <c r="F3750" s="2"/>
      <c r="G3750" s="2"/>
      <c r="H3750" s="2"/>
    </row>
    <row r="3751" spans="1:8" x14ac:dyDescent="0.25">
      <c r="A3751" s="1"/>
      <c r="B3751" s="1" t="s">
        <v>4039</v>
      </c>
      <c r="C3751" s="1" t="s">
        <v>4040</v>
      </c>
      <c r="D3751" s="22" t="str">
        <f>HYPERLINK("https://rhld.insurance.arkansas.gov/NPILookup?Npi=1225135239","1225135239")</f>
        <v>1225135239</v>
      </c>
      <c r="E3751" s="1" t="s">
        <v>10024</v>
      </c>
      <c r="F3751" s="2"/>
      <c r="G3751" s="2"/>
      <c r="H3751" s="2"/>
    </row>
    <row r="3752" spans="1:8" x14ac:dyDescent="0.25">
      <c r="A3752" s="1"/>
      <c r="B3752" s="1" t="s">
        <v>4039</v>
      </c>
      <c r="C3752" s="1" t="s">
        <v>4040</v>
      </c>
      <c r="D3752" s="22" t="str">
        <f>HYPERLINK("https://rhld.insurance.arkansas.gov/NPILookup?Npi=1225136823","1225136823")</f>
        <v>1225136823</v>
      </c>
      <c r="E3752" s="1" t="s">
        <v>16474</v>
      </c>
      <c r="F3752" s="2"/>
      <c r="G3752" s="2"/>
      <c r="H3752" s="2"/>
    </row>
    <row r="3753" spans="1:8" x14ac:dyDescent="0.25">
      <c r="A3753" s="1"/>
      <c r="B3753" s="1" t="s">
        <v>4039</v>
      </c>
      <c r="C3753" s="1" t="s">
        <v>4040</v>
      </c>
      <c r="D3753" s="22" t="str">
        <f>HYPERLINK("https://rhld.insurance.arkansas.gov/NPILookup?Npi=1225137318","1225137318")</f>
        <v>1225137318</v>
      </c>
      <c r="E3753" s="1" t="s">
        <v>513</v>
      </c>
      <c r="F3753" s="2"/>
      <c r="G3753" s="2"/>
      <c r="H3753" s="2"/>
    </row>
    <row r="3754" spans="1:8" x14ac:dyDescent="0.25">
      <c r="A3754" s="1"/>
      <c r="B3754" s="1" t="s">
        <v>4039</v>
      </c>
      <c r="C3754" s="1" t="s">
        <v>4040</v>
      </c>
      <c r="D3754" s="22" t="str">
        <f>HYPERLINK("https://rhld.insurance.arkansas.gov/NPILookup?Npi=1225141880","1225141880")</f>
        <v>1225141880</v>
      </c>
      <c r="E3754" s="1" t="s">
        <v>16475</v>
      </c>
      <c r="F3754" s="2"/>
      <c r="G3754" s="2"/>
      <c r="H3754" s="2"/>
    </row>
    <row r="3755" spans="1:8" x14ac:dyDescent="0.25">
      <c r="A3755" s="1"/>
      <c r="B3755" s="1" t="s">
        <v>4039</v>
      </c>
      <c r="C3755" s="1" t="s">
        <v>4040</v>
      </c>
      <c r="D3755" s="22" t="str">
        <f>HYPERLINK("https://rhld.insurance.arkansas.gov/NPILookup?Npi=1225211196","1225211196")</f>
        <v>1225211196</v>
      </c>
      <c r="E3755" s="1" t="s">
        <v>541</v>
      </c>
      <c r="F3755" s="2"/>
      <c r="G3755" s="2"/>
      <c r="H3755" s="2"/>
    </row>
    <row r="3756" spans="1:8" x14ac:dyDescent="0.25">
      <c r="A3756" s="1"/>
      <c r="B3756" s="1" t="s">
        <v>4039</v>
      </c>
      <c r="C3756" s="1" t="s">
        <v>4040</v>
      </c>
      <c r="D3756" s="22" t="str">
        <f>HYPERLINK("https://rhld.insurance.arkansas.gov/NPILookup?Npi=1225221567","1225221567")</f>
        <v>1225221567</v>
      </c>
      <c r="E3756" s="1" t="s">
        <v>16476</v>
      </c>
      <c r="F3756" s="2"/>
      <c r="G3756" s="2"/>
      <c r="H3756" s="2"/>
    </row>
    <row r="3757" spans="1:8" x14ac:dyDescent="0.25">
      <c r="A3757" s="1"/>
      <c r="B3757" s="1" t="s">
        <v>4039</v>
      </c>
      <c r="C3757" s="1" t="s">
        <v>4040</v>
      </c>
      <c r="D3757" s="22" t="str">
        <f>HYPERLINK("https://rhld.insurance.arkansas.gov/NPILookup?Npi=1225568264","1225568264")</f>
        <v>1225568264</v>
      </c>
      <c r="E3757" s="1" t="s">
        <v>16477</v>
      </c>
      <c r="F3757" s="2"/>
      <c r="G3757" s="2"/>
      <c r="H3757" s="2"/>
    </row>
    <row r="3758" spans="1:8" x14ac:dyDescent="0.25">
      <c r="A3758" s="1"/>
      <c r="B3758" s="1" t="s">
        <v>4039</v>
      </c>
      <c r="C3758" s="1" t="s">
        <v>4040</v>
      </c>
      <c r="D3758" s="22" t="str">
        <f>HYPERLINK("https://rhld.insurance.arkansas.gov/NPILookup?Npi=1225568363","1225568363")</f>
        <v>1225568363</v>
      </c>
      <c r="E3758" s="1" t="s">
        <v>2331</v>
      </c>
      <c r="F3758" s="2"/>
      <c r="G3758" s="2"/>
      <c r="H3758" s="2"/>
    </row>
    <row r="3759" spans="1:8" x14ac:dyDescent="0.25">
      <c r="A3759" s="1"/>
      <c r="B3759" s="1" t="s">
        <v>4039</v>
      </c>
      <c r="C3759" s="1" t="s">
        <v>4040</v>
      </c>
      <c r="D3759" s="22" t="str">
        <f>HYPERLINK("https://rhld.insurance.arkansas.gov/NPILookup?Npi=1225581606","1225581606")</f>
        <v>1225581606</v>
      </c>
      <c r="E3759" s="1" t="s">
        <v>808</v>
      </c>
      <c r="F3759" s="2"/>
      <c r="G3759" s="2"/>
      <c r="H3759" s="2"/>
    </row>
    <row r="3760" spans="1:8" x14ac:dyDescent="0.25">
      <c r="A3760" s="1"/>
      <c r="B3760" s="1" t="s">
        <v>4039</v>
      </c>
      <c r="C3760" s="1" t="s">
        <v>4040</v>
      </c>
      <c r="D3760" s="22" t="str">
        <f>HYPERLINK("https://rhld.insurance.arkansas.gov/NPILookup?Npi=1225652670","1225652670")</f>
        <v>1225652670</v>
      </c>
      <c r="E3760" s="1" t="s">
        <v>4067</v>
      </c>
      <c r="F3760" s="2"/>
      <c r="G3760" s="2"/>
      <c r="H3760" s="2"/>
    </row>
    <row r="3761" spans="1:8" x14ac:dyDescent="0.25">
      <c r="A3761" s="1"/>
      <c r="B3761" s="1" t="s">
        <v>4039</v>
      </c>
      <c r="C3761" s="1" t="s">
        <v>4040</v>
      </c>
      <c r="D3761" s="22" t="str">
        <f>HYPERLINK("https://rhld.insurance.arkansas.gov/NPILookup?Npi=1225697196","1225697196")</f>
        <v>1225697196</v>
      </c>
      <c r="E3761" s="1" t="s">
        <v>16478</v>
      </c>
      <c r="F3761" s="2"/>
      <c r="G3761" s="2"/>
      <c r="H3761" s="2"/>
    </row>
    <row r="3762" spans="1:8" x14ac:dyDescent="0.25">
      <c r="A3762" s="1"/>
      <c r="B3762" s="1" t="s">
        <v>4039</v>
      </c>
      <c r="C3762" s="1" t="s">
        <v>4040</v>
      </c>
      <c r="D3762" s="22" t="str">
        <f>HYPERLINK("https://rhld.insurance.arkansas.gov/NPILookup?Npi=1225706898","1225706898")</f>
        <v>1225706898</v>
      </c>
      <c r="E3762" s="1" t="s">
        <v>16479</v>
      </c>
      <c r="F3762" s="2"/>
      <c r="G3762" s="2"/>
      <c r="H3762" s="2"/>
    </row>
    <row r="3763" spans="1:8" x14ac:dyDescent="0.25">
      <c r="A3763" s="1"/>
      <c r="B3763" s="1" t="s">
        <v>4039</v>
      </c>
      <c r="C3763" s="1" t="s">
        <v>4040</v>
      </c>
      <c r="D3763" s="22" t="str">
        <f>HYPERLINK("https://rhld.insurance.arkansas.gov/NPILookup?Npi=1225714686","1225714686")</f>
        <v>1225714686</v>
      </c>
      <c r="E3763" s="1" t="s">
        <v>4068</v>
      </c>
      <c r="F3763" s="2"/>
      <c r="G3763" s="2"/>
      <c r="H3763" s="2"/>
    </row>
    <row r="3764" spans="1:8" x14ac:dyDescent="0.25">
      <c r="A3764" s="1"/>
      <c r="B3764" s="1" t="s">
        <v>4039</v>
      </c>
      <c r="C3764" s="1" t="s">
        <v>4040</v>
      </c>
      <c r="D3764" s="22" t="str">
        <f>HYPERLINK("https://rhld.insurance.arkansas.gov/NPILookup?Npi=1225820632","1225820632")</f>
        <v>1225820632</v>
      </c>
      <c r="E3764" s="1" t="s">
        <v>31358</v>
      </c>
      <c r="F3764" s="2"/>
      <c r="G3764" s="2"/>
      <c r="H3764" s="2"/>
    </row>
    <row r="3765" spans="1:8" x14ac:dyDescent="0.25">
      <c r="A3765" s="1"/>
      <c r="B3765" s="1" t="s">
        <v>4039</v>
      </c>
      <c r="C3765" s="1" t="s">
        <v>4040</v>
      </c>
      <c r="D3765" s="22" t="str">
        <f>HYPERLINK("https://rhld.insurance.arkansas.gov/NPILookup?Npi=1235146382","1235146382")</f>
        <v>1235146382</v>
      </c>
      <c r="E3765" s="1" t="s">
        <v>3674</v>
      </c>
      <c r="F3765" s="2"/>
      <c r="G3765" s="2"/>
      <c r="H3765" s="2"/>
    </row>
    <row r="3766" spans="1:8" x14ac:dyDescent="0.25">
      <c r="A3766" s="1"/>
      <c r="B3766" s="1" t="s">
        <v>4039</v>
      </c>
      <c r="C3766" s="1" t="s">
        <v>4040</v>
      </c>
      <c r="D3766" s="22" t="str">
        <f>HYPERLINK("https://rhld.insurance.arkansas.gov/NPILookup?Npi=1235205568","1235205568")</f>
        <v>1235205568</v>
      </c>
      <c r="E3766" s="1" t="s">
        <v>2332</v>
      </c>
      <c r="F3766" s="2"/>
      <c r="G3766" s="2"/>
      <c r="H3766" s="2"/>
    </row>
    <row r="3767" spans="1:8" x14ac:dyDescent="0.25">
      <c r="A3767" s="1"/>
      <c r="B3767" s="1" t="s">
        <v>4039</v>
      </c>
      <c r="C3767" s="1" t="s">
        <v>4040</v>
      </c>
      <c r="D3767" s="22" t="str">
        <f>HYPERLINK("https://rhld.insurance.arkansas.gov/NPILookup?Npi=1235231580","1235231580")</f>
        <v>1235231580</v>
      </c>
      <c r="E3767" s="1" t="s">
        <v>1177</v>
      </c>
      <c r="F3767" s="2"/>
      <c r="G3767" s="2"/>
      <c r="H3767" s="2"/>
    </row>
    <row r="3768" spans="1:8" x14ac:dyDescent="0.25">
      <c r="A3768" s="1"/>
      <c r="B3768" s="1" t="s">
        <v>4039</v>
      </c>
      <c r="C3768" s="1" t="s">
        <v>4040</v>
      </c>
      <c r="D3768" s="22" t="str">
        <f>HYPERLINK("https://rhld.insurance.arkansas.gov/NPILookup?Npi=1235249640","1235249640")</f>
        <v>1235249640</v>
      </c>
      <c r="E3768" s="1" t="s">
        <v>16480</v>
      </c>
      <c r="F3768" s="2"/>
      <c r="G3768" s="2"/>
      <c r="H3768" s="2"/>
    </row>
    <row r="3769" spans="1:8" x14ac:dyDescent="0.25">
      <c r="A3769" s="1"/>
      <c r="B3769" s="1" t="s">
        <v>4039</v>
      </c>
      <c r="C3769" s="1" t="s">
        <v>4040</v>
      </c>
      <c r="D3769" s="22" t="str">
        <f>HYPERLINK("https://rhld.insurance.arkansas.gov/NPILookup?Npi=1235250689","1235250689")</f>
        <v>1235250689</v>
      </c>
      <c r="E3769" s="1" t="s">
        <v>1178</v>
      </c>
      <c r="F3769" s="2"/>
      <c r="G3769" s="2"/>
      <c r="H3769" s="2"/>
    </row>
    <row r="3770" spans="1:8" x14ac:dyDescent="0.25">
      <c r="A3770" s="1"/>
      <c r="B3770" s="1" t="s">
        <v>4039</v>
      </c>
      <c r="C3770" s="1" t="s">
        <v>4040</v>
      </c>
      <c r="D3770" s="22" t="str">
        <f>HYPERLINK("https://rhld.insurance.arkansas.gov/NPILookup?Npi=1235269168","1235269168")</f>
        <v>1235269168</v>
      </c>
      <c r="E3770" s="1" t="s">
        <v>16481</v>
      </c>
      <c r="F3770" s="2"/>
      <c r="G3770" s="2"/>
      <c r="H3770" s="2"/>
    </row>
    <row r="3771" spans="1:8" x14ac:dyDescent="0.25">
      <c r="A3771" s="1"/>
      <c r="B3771" s="1" t="s">
        <v>4039</v>
      </c>
      <c r="C3771" s="1" t="s">
        <v>4040</v>
      </c>
      <c r="D3771" s="22" t="str">
        <f>HYPERLINK("https://rhld.insurance.arkansas.gov/NPILookup?Npi=1235320417","1235320417")</f>
        <v>1235320417</v>
      </c>
      <c r="E3771" s="1" t="s">
        <v>480</v>
      </c>
      <c r="F3771" s="2"/>
      <c r="G3771" s="2"/>
      <c r="H3771" s="2"/>
    </row>
    <row r="3772" spans="1:8" x14ac:dyDescent="0.25">
      <c r="A3772" s="1"/>
      <c r="B3772" s="1" t="s">
        <v>4039</v>
      </c>
      <c r="C3772" s="1" t="s">
        <v>4040</v>
      </c>
      <c r="D3772" s="22" t="str">
        <f>HYPERLINK("https://rhld.insurance.arkansas.gov/NPILookup?Npi=1235335761","1235335761")</f>
        <v>1235335761</v>
      </c>
      <c r="E3772" s="1" t="s">
        <v>3675</v>
      </c>
      <c r="F3772" s="2"/>
      <c r="G3772" s="2"/>
      <c r="H3772" s="2"/>
    </row>
    <row r="3773" spans="1:8" x14ac:dyDescent="0.25">
      <c r="A3773" s="1"/>
      <c r="B3773" s="1" t="s">
        <v>4039</v>
      </c>
      <c r="C3773" s="1" t="s">
        <v>4040</v>
      </c>
      <c r="D3773" s="22" t="str">
        <f>HYPERLINK("https://rhld.insurance.arkansas.gov/NPILookup?Npi=1235589961","1235589961")</f>
        <v>1235589961</v>
      </c>
      <c r="E3773" s="1" t="s">
        <v>1624</v>
      </c>
      <c r="F3773" s="2"/>
      <c r="G3773" s="2"/>
      <c r="H3773" s="2"/>
    </row>
    <row r="3774" spans="1:8" x14ac:dyDescent="0.25">
      <c r="A3774" s="1"/>
      <c r="B3774" s="1" t="s">
        <v>4039</v>
      </c>
      <c r="C3774" s="1" t="s">
        <v>4040</v>
      </c>
      <c r="D3774" s="22" t="str">
        <f>HYPERLINK("https://rhld.insurance.arkansas.gov/NPILookup?Npi=1235624966","1235624966")</f>
        <v>1235624966</v>
      </c>
      <c r="E3774" s="1" t="s">
        <v>16482</v>
      </c>
      <c r="F3774" s="2"/>
      <c r="G3774" s="2"/>
      <c r="H3774" s="2"/>
    </row>
    <row r="3775" spans="1:8" x14ac:dyDescent="0.25">
      <c r="A3775" s="1"/>
      <c r="B3775" s="1" t="s">
        <v>4039</v>
      </c>
      <c r="C3775" s="1" t="s">
        <v>4040</v>
      </c>
      <c r="D3775" s="22" t="str">
        <f>HYPERLINK("https://rhld.insurance.arkansas.gov/NPILookup?Npi=1235743352","1235743352")</f>
        <v>1235743352</v>
      </c>
      <c r="E3775" s="1" t="s">
        <v>16483</v>
      </c>
      <c r="F3775" s="2"/>
      <c r="G3775" s="2"/>
      <c r="H3775" s="2"/>
    </row>
    <row r="3776" spans="1:8" x14ac:dyDescent="0.25">
      <c r="A3776" s="1"/>
      <c r="B3776" s="1" t="s">
        <v>4039</v>
      </c>
      <c r="C3776" s="1" t="s">
        <v>4040</v>
      </c>
      <c r="D3776" s="22" t="str">
        <f>HYPERLINK("https://rhld.insurance.arkansas.gov/NPILookup?Npi=1245086958","1245086958")</f>
        <v>1245086958</v>
      </c>
      <c r="E3776" s="1" t="s">
        <v>2271</v>
      </c>
      <c r="F3776" s="2"/>
      <c r="G3776" s="2"/>
      <c r="H3776" s="2"/>
    </row>
    <row r="3777" spans="1:8" x14ac:dyDescent="0.25">
      <c r="A3777" s="1"/>
      <c r="B3777" s="1" t="s">
        <v>4039</v>
      </c>
      <c r="C3777" s="1" t="s">
        <v>4040</v>
      </c>
      <c r="D3777" s="22" t="str">
        <f>HYPERLINK("https://rhld.insurance.arkansas.gov/NPILookup?Npi=1245305721","1245305721")</f>
        <v>1245305721</v>
      </c>
      <c r="E3777" s="1" t="s">
        <v>114</v>
      </c>
      <c r="F3777" s="2"/>
      <c r="G3777" s="2"/>
      <c r="H3777" s="2"/>
    </row>
    <row r="3778" spans="1:8" x14ac:dyDescent="0.25">
      <c r="A3778" s="1"/>
      <c r="B3778" s="1" t="s">
        <v>4039</v>
      </c>
      <c r="C3778" s="1" t="s">
        <v>4040</v>
      </c>
      <c r="D3778" s="22" t="str">
        <f>HYPERLINK("https://rhld.insurance.arkansas.gov/NPILookup?Npi=1245329531","1245329531")</f>
        <v>1245329531</v>
      </c>
      <c r="E3778" s="1" t="s">
        <v>16484</v>
      </c>
      <c r="F3778" s="2"/>
      <c r="G3778" s="2"/>
      <c r="H3778" s="2"/>
    </row>
    <row r="3779" spans="1:8" x14ac:dyDescent="0.25">
      <c r="A3779" s="1"/>
      <c r="B3779" s="1" t="s">
        <v>4039</v>
      </c>
      <c r="C3779" s="1" t="s">
        <v>4040</v>
      </c>
      <c r="D3779" s="22" t="str">
        <f>HYPERLINK("https://rhld.insurance.arkansas.gov/NPILookup?Npi=1245385285","1245385285")</f>
        <v>1245385285</v>
      </c>
      <c r="E3779" s="1" t="s">
        <v>3676</v>
      </c>
      <c r="F3779" s="2"/>
      <c r="G3779" s="2"/>
      <c r="H3779" s="2"/>
    </row>
    <row r="3780" spans="1:8" x14ac:dyDescent="0.25">
      <c r="A3780" s="1"/>
      <c r="B3780" s="1" t="s">
        <v>4039</v>
      </c>
      <c r="C3780" s="1" t="s">
        <v>4040</v>
      </c>
      <c r="D3780" s="22" t="str">
        <f>HYPERLINK("https://rhld.insurance.arkansas.gov/NPILookup?Npi=1245392653","1245392653")</f>
        <v>1245392653</v>
      </c>
      <c r="E3780" s="1" t="s">
        <v>10025</v>
      </c>
      <c r="F3780" s="2"/>
      <c r="G3780" s="2"/>
      <c r="H3780" s="2"/>
    </row>
    <row r="3781" spans="1:8" x14ac:dyDescent="0.25">
      <c r="A3781" s="1"/>
      <c r="B3781" s="1" t="s">
        <v>4039</v>
      </c>
      <c r="C3781" s="1" t="s">
        <v>4040</v>
      </c>
      <c r="D3781" s="22" t="str">
        <f>HYPERLINK("https://rhld.insurance.arkansas.gov/NPILookup?Npi=1245418292","1245418292")</f>
        <v>1245418292</v>
      </c>
      <c r="E3781" s="1" t="s">
        <v>3724</v>
      </c>
      <c r="F3781" s="2"/>
      <c r="G3781" s="2"/>
      <c r="H3781" s="2"/>
    </row>
    <row r="3782" spans="1:8" x14ac:dyDescent="0.25">
      <c r="A3782" s="1"/>
      <c r="B3782" s="1" t="s">
        <v>4039</v>
      </c>
      <c r="C3782" s="1" t="s">
        <v>4040</v>
      </c>
      <c r="D3782" s="22" t="str">
        <f>HYPERLINK("https://rhld.insurance.arkansas.gov/NPILookup?Npi=1245441526","1245441526")</f>
        <v>1245441526</v>
      </c>
      <c r="E3782" s="1" t="s">
        <v>1689</v>
      </c>
      <c r="F3782" s="2"/>
      <c r="G3782" s="2"/>
      <c r="H3782" s="2"/>
    </row>
    <row r="3783" spans="1:8" x14ac:dyDescent="0.25">
      <c r="A3783" s="1"/>
      <c r="B3783" s="1" t="s">
        <v>4039</v>
      </c>
      <c r="C3783" s="1" t="s">
        <v>4040</v>
      </c>
      <c r="D3783" s="22" t="str">
        <f>HYPERLINK("https://rhld.insurance.arkansas.gov/NPILookup?Npi=1245474402","1245474402")</f>
        <v>1245474402</v>
      </c>
      <c r="E3783" s="1" t="s">
        <v>16485</v>
      </c>
      <c r="F3783" s="2"/>
      <c r="G3783" s="2"/>
      <c r="H3783" s="2"/>
    </row>
    <row r="3784" spans="1:8" x14ac:dyDescent="0.25">
      <c r="A3784" s="1"/>
      <c r="B3784" s="1" t="s">
        <v>4039</v>
      </c>
      <c r="C3784" s="1" t="s">
        <v>4040</v>
      </c>
      <c r="D3784" s="22" t="str">
        <f>HYPERLINK("https://rhld.insurance.arkansas.gov/NPILookup?Npi=1245935451","1245935451")</f>
        <v>1245935451</v>
      </c>
      <c r="E3784" s="1" t="s">
        <v>31359</v>
      </c>
      <c r="F3784" s="2"/>
      <c r="G3784" s="2"/>
      <c r="H3784" s="2"/>
    </row>
    <row r="3785" spans="1:8" x14ac:dyDescent="0.25">
      <c r="A3785" s="1"/>
      <c r="B3785" s="1" t="s">
        <v>4039</v>
      </c>
      <c r="C3785" s="1" t="s">
        <v>4040</v>
      </c>
      <c r="D3785" s="22" t="str">
        <f>HYPERLINK("https://rhld.insurance.arkansas.gov/NPILookup?Npi=1245978287","1245978287")</f>
        <v>1245978287</v>
      </c>
      <c r="E3785" s="1" t="s">
        <v>16486</v>
      </c>
      <c r="F3785" s="2"/>
      <c r="G3785" s="2"/>
      <c r="H3785" s="2"/>
    </row>
    <row r="3786" spans="1:8" x14ac:dyDescent="0.25">
      <c r="A3786" s="1"/>
      <c r="B3786" s="1" t="s">
        <v>4039</v>
      </c>
      <c r="C3786" s="1" t="s">
        <v>4040</v>
      </c>
      <c r="D3786" s="22" t="str">
        <f>HYPERLINK("https://rhld.insurance.arkansas.gov/NPILookup?Npi=1255018883","1255018883")</f>
        <v>1255018883</v>
      </c>
      <c r="E3786" s="1" t="s">
        <v>4069</v>
      </c>
      <c r="F3786" s="2"/>
      <c r="G3786" s="2"/>
      <c r="H3786" s="2"/>
    </row>
    <row r="3787" spans="1:8" x14ac:dyDescent="0.25">
      <c r="A3787" s="1"/>
      <c r="B3787" s="1" t="s">
        <v>4039</v>
      </c>
      <c r="C3787" s="1" t="s">
        <v>4040</v>
      </c>
      <c r="D3787" s="22" t="str">
        <f>HYPERLINK("https://rhld.insurance.arkansas.gov/NPILookup?Npi=1255171013","1255171013")</f>
        <v>1255171013</v>
      </c>
      <c r="E3787" s="1" t="s">
        <v>16487</v>
      </c>
      <c r="F3787" s="2"/>
      <c r="G3787" s="2"/>
      <c r="H3787" s="2"/>
    </row>
    <row r="3788" spans="1:8" x14ac:dyDescent="0.25">
      <c r="A3788" s="1"/>
      <c r="B3788" s="1" t="s">
        <v>4039</v>
      </c>
      <c r="C3788" s="1" t="s">
        <v>4040</v>
      </c>
      <c r="D3788" s="22" t="str">
        <f>HYPERLINK("https://rhld.insurance.arkansas.gov/NPILookup?Npi=1255227609","1255227609")</f>
        <v>1255227609</v>
      </c>
      <c r="E3788" s="1" t="s">
        <v>31360</v>
      </c>
      <c r="F3788" s="2"/>
      <c r="G3788" s="2"/>
      <c r="H3788" s="2"/>
    </row>
    <row r="3789" spans="1:8" x14ac:dyDescent="0.25">
      <c r="A3789" s="1"/>
      <c r="B3789" s="1" t="s">
        <v>4039</v>
      </c>
      <c r="C3789" s="1" t="s">
        <v>4040</v>
      </c>
      <c r="D3789" s="22" t="str">
        <f>HYPERLINK("https://rhld.insurance.arkansas.gov/NPILookup?Npi=1255342028","1255342028")</f>
        <v>1255342028</v>
      </c>
      <c r="E3789" s="1" t="s">
        <v>16488</v>
      </c>
      <c r="F3789" s="2"/>
      <c r="G3789" s="2"/>
      <c r="H3789" s="2"/>
    </row>
    <row r="3790" spans="1:8" x14ac:dyDescent="0.25">
      <c r="A3790" s="1"/>
      <c r="B3790" s="1" t="s">
        <v>4039</v>
      </c>
      <c r="C3790" s="1" t="s">
        <v>4040</v>
      </c>
      <c r="D3790" s="22" t="str">
        <f>HYPERLINK("https://rhld.insurance.arkansas.gov/NPILookup?Npi=1255414884","1255414884")</f>
        <v>1255414884</v>
      </c>
      <c r="E3790" s="1" t="s">
        <v>16489</v>
      </c>
      <c r="F3790" s="2"/>
      <c r="G3790" s="2"/>
      <c r="H3790" s="2"/>
    </row>
    <row r="3791" spans="1:8" x14ac:dyDescent="0.25">
      <c r="A3791" s="1"/>
      <c r="B3791" s="1" t="s">
        <v>4039</v>
      </c>
      <c r="C3791" s="1" t="s">
        <v>4040</v>
      </c>
      <c r="D3791" s="22" t="str">
        <f>HYPERLINK("https://rhld.insurance.arkansas.gov/NPILookup?Npi=1255415568","1255415568")</f>
        <v>1255415568</v>
      </c>
      <c r="E3791" s="1" t="s">
        <v>10026</v>
      </c>
      <c r="F3791" s="2"/>
      <c r="G3791" s="2"/>
      <c r="H3791" s="2"/>
    </row>
    <row r="3792" spans="1:8" x14ac:dyDescent="0.25">
      <c r="A3792" s="1"/>
      <c r="B3792" s="1" t="s">
        <v>4039</v>
      </c>
      <c r="C3792" s="1" t="s">
        <v>4040</v>
      </c>
      <c r="D3792" s="22" t="str">
        <f>HYPERLINK("https://rhld.insurance.arkansas.gov/NPILookup?Npi=1255416459","1255416459")</f>
        <v>1255416459</v>
      </c>
      <c r="E3792" s="1" t="s">
        <v>16490</v>
      </c>
      <c r="F3792" s="2"/>
      <c r="G3792" s="2"/>
      <c r="H3792" s="2"/>
    </row>
    <row r="3793" spans="1:8" x14ac:dyDescent="0.25">
      <c r="A3793" s="1"/>
      <c r="B3793" s="1" t="s">
        <v>4039</v>
      </c>
      <c r="C3793" s="1" t="s">
        <v>4040</v>
      </c>
      <c r="D3793" s="22" t="str">
        <f>HYPERLINK("https://rhld.insurance.arkansas.gov/NPILookup?Npi=1255423059","1255423059")</f>
        <v>1255423059</v>
      </c>
      <c r="E3793" s="1" t="s">
        <v>16491</v>
      </c>
      <c r="F3793" s="2"/>
      <c r="G3793" s="2"/>
      <c r="H3793" s="2"/>
    </row>
    <row r="3794" spans="1:8" x14ac:dyDescent="0.25">
      <c r="A3794" s="1"/>
      <c r="B3794" s="1" t="s">
        <v>4039</v>
      </c>
      <c r="C3794" s="1" t="s">
        <v>4040</v>
      </c>
      <c r="D3794" s="22" t="str">
        <f>HYPERLINK("https://rhld.insurance.arkansas.gov/NPILookup?Npi=1255439055","1255439055")</f>
        <v>1255439055</v>
      </c>
      <c r="E3794" s="1" t="s">
        <v>16492</v>
      </c>
      <c r="F3794" s="2"/>
      <c r="G3794" s="2"/>
      <c r="H3794" s="2"/>
    </row>
    <row r="3795" spans="1:8" x14ac:dyDescent="0.25">
      <c r="A3795" s="1"/>
      <c r="B3795" s="1" t="s">
        <v>4039</v>
      </c>
      <c r="C3795" s="1" t="s">
        <v>4040</v>
      </c>
      <c r="D3795" s="22" t="str">
        <f>HYPERLINK("https://rhld.insurance.arkansas.gov/NPILookup?Npi=1255462925","1255462925")</f>
        <v>1255462925</v>
      </c>
      <c r="E3795" s="1" t="s">
        <v>10027</v>
      </c>
      <c r="F3795" s="2"/>
      <c r="G3795" s="2"/>
      <c r="H3795" s="2"/>
    </row>
    <row r="3796" spans="1:8" x14ac:dyDescent="0.25">
      <c r="A3796" s="1"/>
      <c r="B3796" s="1" t="s">
        <v>4039</v>
      </c>
      <c r="C3796" s="1" t="s">
        <v>4040</v>
      </c>
      <c r="D3796" s="22" t="str">
        <f>HYPERLINK("https://rhld.insurance.arkansas.gov/NPILookup?Npi=1255497715","1255497715")</f>
        <v>1255497715</v>
      </c>
      <c r="E3796" s="1" t="s">
        <v>16493</v>
      </c>
      <c r="F3796" s="2"/>
      <c r="G3796" s="2"/>
      <c r="H3796" s="2"/>
    </row>
    <row r="3797" spans="1:8" x14ac:dyDescent="0.25">
      <c r="A3797" s="1"/>
      <c r="B3797" s="1" t="s">
        <v>4039</v>
      </c>
      <c r="C3797" s="1" t="s">
        <v>4040</v>
      </c>
      <c r="D3797" s="22" t="str">
        <f>HYPERLINK("https://rhld.insurance.arkansas.gov/NPILookup?Npi=1255662680","1255662680")</f>
        <v>1255662680</v>
      </c>
      <c r="E3797" s="1" t="s">
        <v>3677</v>
      </c>
      <c r="F3797" s="2"/>
      <c r="G3797" s="2"/>
      <c r="H3797" s="2"/>
    </row>
    <row r="3798" spans="1:8" x14ac:dyDescent="0.25">
      <c r="A3798" s="1"/>
      <c r="B3798" s="1" t="s">
        <v>4039</v>
      </c>
      <c r="C3798" s="1" t="s">
        <v>4040</v>
      </c>
      <c r="D3798" s="22" t="str">
        <f>HYPERLINK("https://rhld.insurance.arkansas.gov/NPILookup?Npi=1255746806","1255746806")</f>
        <v>1255746806</v>
      </c>
      <c r="E3798" s="1" t="s">
        <v>16494</v>
      </c>
      <c r="F3798" s="2"/>
      <c r="G3798" s="2"/>
      <c r="H3798" s="2"/>
    </row>
    <row r="3799" spans="1:8" x14ac:dyDescent="0.25">
      <c r="A3799" s="1"/>
      <c r="B3799" s="1" t="s">
        <v>4039</v>
      </c>
      <c r="C3799" s="1" t="s">
        <v>4040</v>
      </c>
      <c r="D3799" s="22" t="str">
        <f>HYPERLINK("https://rhld.insurance.arkansas.gov/NPILookup?Npi=1255851846","1255851846")</f>
        <v>1255851846</v>
      </c>
      <c r="E3799" s="1" t="s">
        <v>1003</v>
      </c>
      <c r="F3799" s="2"/>
      <c r="G3799" s="2"/>
      <c r="H3799" s="2"/>
    </row>
    <row r="3800" spans="1:8" x14ac:dyDescent="0.25">
      <c r="A3800" s="1"/>
      <c r="B3800" s="1" t="s">
        <v>4039</v>
      </c>
      <c r="C3800" s="1" t="s">
        <v>4040</v>
      </c>
      <c r="D3800" s="22" t="str">
        <f>HYPERLINK("https://rhld.insurance.arkansas.gov/NPILookup?Npi=1255991832","1255991832")</f>
        <v>1255991832</v>
      </c>
      <c r="E3800" s="1" t="s">
        <v>16495</v>
      </c>
      <c r="F3800" s="2"/>
      <c r="G3800" s="2"/>
      <c r="H3800" s="2"/>
    </row>
    <row r="3801" spans="1:8" x14ac:dyDescent="0.25">
      <c r="A3801" s="1"/>
      <c r="B3801" s="1" t="s">
        <v>4039</v>
      </c>
      <c r="C3801" s="1" t="s">
        <v>4040</v>
      </c>
      <c r="D3801" s="22" t="str">
        <f>HYPERLINK("https://rhld.insurance.arkansas.gov/NPILookup?Npi=1265327407","1265327407")</f>
        <v>1265327407</v>
      </c>
      <c r="E3801" s="1" t="s">
        <v>31361</v>
      </c>
      <c r="F3801" s="2"/>
      <c r="G3801" s="2"/>
      <c r="H3801" s="2"/>
    </row>
    <row r="3802" spans="1:8" x14ac:dyDescent="0.25">
      <c r="A3802" s="1"/>
      <c r="B3802" s="1" t="s">
        <v>4039</v>
      </c>
      <c r="C3802" s="1" t="s">
        <v>4040</v>
      </c>
      <c r="D3802" s="22" t="str">
        <f>HYPERLINK("https://rhld.insurance.arkansas.gov/NPILookup?Npi=1265448484","1265448484")</f>
        <v>1265448484</v>
      </c>
      <c r="E3802" s="1" t="s">
        <v>491</v>
      </c>
      <c r="F3802" s="2"/>
      <c r="G3802" s="2"/>
      <c r="H3802" s="2"/>
    </row>
    <row r="3803" spans="1:8" x14ac:dyDescent="0.25">
      <c r="A3803" s="1"/>
      <c r="B3803" s="1" t="s">
        <v>4039</v>
      </c>
      <c r="C3803" s="1" t="s">
        <v>4040</v>
      </c>
      <c r="D3803" s="22" t="str">
        <f>HYPERLINK("https://rhld.insurance.arkansas.gov/NPILookup?Npi=1265517213","1265517213")</f>
        <v>1265517213</v>
      </c>
      <c r="E3803" s="1" t="s">
        <v>16496</v>
      </c>
      <c r="F3803" s="2"/>
      <c r="G3803" s="2"/>
      <c r="H3803" s="2"/>
    </row>
    <row r="3804" spans="1:8" x14ac:dyDescent="0.25">
      <c r="A3804" s="1"/>
      <c r="B3804" s="1" t="s">
        <v>4039</v>
      </c>
      <c r="C3804" s="1" t="s">
        <v>4040</v>
      </c>
      <c r="D3804" s="22" t="str">
        <f>HYPERLINK("https://rhld.insurance.arkansas.gov/NPILookup?Npi=1265549802","1265549802")</f>
        <v>1265549802</v>
      </c>
      <c r="E3804" s="1" t="s">
        <v>16497</v>
      </c>
      <c r="F3804" s="2"/>
      <c r="G3804" s="2"/>
      <c r="H3804" s="2"/>
    </row>
    <row r="3805" spans="1:8" x14ac:dyDescent="0.25">
      <c r="A3805" s="1"/>
      <c r="B3805" s="1" t="s">
        <v>4039</v>
      </c>
      <c r="C3805" s="1" t="s">
        <v>4040</v>
      </c>
      <c r="D3805" s="22" t="str">
        <f>HYPERLINK("https://rhld.insurance.arkansas.gov/NPILookup?Npi=1265567366","1265567366")</f>
        <v>1265567366</v>
      </c>
      <c r="E3805" s="1" t="s">
        <v>16498</v>
      </c>
      <c r="F3805" s="2"/>
      <c r="G3805" s="2"/>
      <c r="H3805" s="2"/>
    </row>
    <row r="3806" spans="1:8" x14ac:dyDescent="0.25">
      <c r="A3806" s="1"/>
      <c r="B3806" s="1" t="s">
        <v>4039</v>
      </c>
      <c r="C3806" s="1" t="s">
        <v>4040</v>
      </c>
      <c r="D3806" s="22" t="str">
        <f>HYPERLINK("https://rhld.insurance.arkansas.gov/NPILookup?Npi=1265569750","1265569750")</f>
        <v>1265569750</v>
      </c>
      <c r="E3806" s="1" t="s">
        <v>16499</v>
      </c>
      <c r="F3806" s="2"/>
      <c r="G3806" s="2"/>
      <c r="H3806" s="2"/>
    </row>
    <row r="3807" spans="1:8" x14ac:dyDescent="0.25">
      <c r="A3807" s="1"/>
      <c r="B3807" s="1" t="s">
        <v>4039</v>
      </c>
      <c r="C3807" s="1" t="s">
        <v>4040</v>
      </c>
      <c r="D3807" s="22" t="str">
        <f>HYPERLINK("https://rhld.insurance.arkansas.gov/NPILookup?Npi=1265620603","1265620603")</f>
        <v>1265620603</v>
      </c>
      <c r="E3807" s="1" t="s">
        <v>566</v>
      </c>
      <c r="F3807" s="2"/>
      <c r="G3807" s="2"/>
      <c r="H3807" s="2"/>
    </row>
    <row r="3808" spans="1:8" x14ac:dyDescent="0.25">
      <c r="A3808" s="1"/>
      <c r="B3808" s="1" t="s">
        <v>4039</v>
      </c>
      <c r="C3808" s="1" t="s">
        <v>4040</v>
      </c>
      <c r="D3808" s="22" t="str">
        <f>HYPERLINK("https://rhld.insurance.arkansas.gov/NPILookup?Npi=1265630677","1265630677")</f>
        <v>1265630677</v>
      </c>
      <c r="E3808" s="1" t="s">
        <v>16500</v>
      </c>
      <c r="F3808" s="2"/>
      <c r="G3808" s="2"/>
      <c r="H3808" s="2"/>
    </row>
    <row r="3809" spans="1:8" x14ac:dyDescent="0.25">
      <c r="A3809" s="1"/>
      <c r="B3809" s="1" t="s">
        <v>4039</v>
      </c>
      <c r="C3809" s="1" t="s">
        <v>4040</v>
      </c>
      <c r="D3809" s="22" t="str">
        <f>HYPERLINK("https://rhld.insurance.arkansas.gov/NPILookup?Npi=1265635676","1265635676")</f>
        <v>1265635676</v>
      </c>
      <c r="E3809" s="1" t="s">
        <v>16501</v>
      </c>
      <c r="F3809" s="2"/>
      <c r="G3809" s="2"/>
      <c r="H3809" s="2"/>
    </row>
    <row r="3810" spans="1:8" x14ac:dyDescent="0.25">
      <c r="A3810" s="1"/>
      <c r="B3810" s="1" t="s">
        <v>4039</v>
      </c>
      <c r="C3810" s="1" t="s">
        <v>4040</v>
      </c>
      <c r="D3810" s="22" t="str">
        <f>HYPERLINK("https://rhld.insurance.arkansas.gov/NPILookup?Npi=1265729644","1265729644")</f>
        <v>1265729644</v>
      </c>
      <c r="E3810" s="1" t="s">
        <v>545</v>
      </c>
      <c r="F3810" s="2"/>
      <c r="G3810" s="2"/>
      <c r="H3810" s="2"/>
    </row>
    <row r="3811" spans="1:8" x14ac:dyDescent="0.25">
      <c r="A3811" s="1"/>
      <c r="B3811" s="1" t="s">
        <v>4039</v>
      </c>
      <c r="C3811" s="1" t="s">
        <v>4040</v>
      </c>
      <c r="D3811" s="22" t="str">
        <f>HYPERLINK("https://rhld.insurance.arkansas.gov/NPILookup?Npi=1265729735","1265729735")</f>
        <v>1265729735</v>
      </c>
      <c r="E3811" s="1" t="s">
        <v>16502</v>
      </c>
      <c r="F3811" s="2"/>
      <c r="G3811" s="2"/>
      <c r="H3811" s="2"/>
    </row>
    <row r="3812" spans="1:8" x14ac:dyDescent="0.25">
      <c r="A3812" s="1"/>
      <c r="B3812" s="1" t="s">
        <v>4039</v>
      </c>
      <c r="C3812" s="1" t="s">
        <v>4040</v>
      </c>
      <c r="D3812" s="22" t="str">
        <f>HYPERLINK("https://rhld.insurance.arkansas.gov/NPILookup?Npi=1265808349","1265808349")</f>
        <v>1265808349</v>
      </c>
      <c r="E3812" s="1" t="s">
        <v>16503</v>
      </c>
      <c r="F3812" s="2"/>
      <c r="G3812" s="2"/>
      <c r="H3812" s="2"/>
    </row>
    <row r="3813" spans="1:8" x14ac:dyDescent="0.25">
      <c r="A3813" s="1"/>
      <c r="B3813" s="1" t="s">
        <v>4039</v>
      </c>
      <c r="C3813" s="1" t="s">
        <v>4040</v>
      </c>
      <c r="D3813" s="22" t="str">
        <f>HYPERLINK("https://rhld.insurance.arkansas.gov/NPILookup?Npi=1265812911","1265812911")</f>
        <v>1265812911</v>
      </c>
      <c r="E3813" s="1" t="s">
        <v>492</v>
      </c>
      <c r="F3813" s="2"/>
      <c r="G3813" s="2"/>
      <c r="H3813" s="2"/>
    </row>
    <row r="3814" spans="1:8" x14ac:dyDescent="0.25">
      <c r="A3814" s="1"/>
      <c r="B3814" s="1" t="s">
        <v>4039</v>
      </c>
      <c r="C3814" s="1" t="s">
        <v>4040</v>
      </c>
      <c r="D3814" s="22" t="str">
        <f>HYPERLINK("https://rhld.insurance.arkansas.gov/NPILookup?Npi=1265993125","1265993125")</f>
        <v>1265993125</v>
      </c>
      <c r="E3814" s="1" t="s">
        <v>4070</v>
      </c>
      <c r="F3814" s="2"/>
      <c r="G3814" s="2"/>
      <c r="H3814" s="2"/>
    </row>
    <row r="3815" spans="1:8" x14ac:dyDescent="0.25">
      <c r="A3815" s="1"/>
      <c r="B3815" s="1" t="s">
        <v>4039</v>
      </c>
      <c r="C3815" s="1" t="s">
        <v>4040</v>
      </c>
      <c r="D3815" s="22" t="str">
        <f>HYPERLINK("https://rhld.insurance.arkansas.gov/NPILookup?Npi=1275056640","1275056640")</f>
        <v>1275056640</v>
      </c>
      <c r="E3815" s="1" t="s">
        <v>16504</v>
      </c>
      <c r="F3815" s="2"/>
      <c r="G3815" s="2"/>
      <c r="H3815" s="2"/>
    </row>
    <row r="3816" spans="1:8" x14ac:dyDescent="0.25">
      <c r="A3816" s="1"/>
      <c r="B3816" s="1" t="s">
        <v>4039</v>
      </c>
      <c r="C3816" s="1" t="s">
        <v>4040</v>
      </c>
      <c r="D3816" s="22" t="str">
        <f>HYPERLINK("https://rhld.insurance.arkansas.gov/NPILookup?Npi=1275140998","1275140998")</f>
        <v>1275140998</v>
      </c>
      <c r="E3816" s="1" t="s">
        <v>4071</v>
      </c>
      <c r="F3816" s="2"/>
      <c r="G3816" s="2"/>
      <c r="H3816" s="2"/>
    </row>
    <row r="3817" spans="1:8" x14ac:dyDescent="0.25">
      <c r="A3817" s="1"/>
      <c r="B3817" s="1" t="s">
        <v>4039</v>
      </c>
      <c r="C3817" s="1" t="s">
        <v>4040</v>
      </c>
      <c r="D3817" s="22" t="str">
        <f>HYPERLINK("https://rhld.insurance.arkansas.gov/NPILookup?Npi=1275161432","1275161432")</f>
        <v>1275161432</v>
      </c>
      <c r="E3817" s="1" t="s">
        <v>16505</v>
      </c>
      <c r="F3817" s="2"/>
      <c r="G3817" s="2"/>
      <c r="H3817" s="2"/>
    </row>
    <row r="3818" spans="1:8" x14ac:dyDescent="0.25">
      <c r="A3818" s="1"/>
      <c r="B3818" s="1" t="s">
        <v>4039</v>
      </c>
      <c r="C3818" s="1" t="s">
        <v>4040</v>
      </c>
      <c r="D3818" s="22" t="str">
        <f>HYPERLINK("https://rhld.insurance.arkansas.gov/NPILookup?Npi=1275233785","1275233785")</f>
        <v>1275233785</v>
      </c>
      <c r="E3818" s="1" t="s">
        <v>4072</v>
      </c>
      <c r="F3818" s="2"/>
      <c r="G3818" s="2"/>
      <c r="H3818" s="2"/>
    </row>
    <row r="3819" spans="1:8" x14ac:dyDescent="0.25">
      <c r="A3819" s="1"/>
      <c r="B3819" s="1" t="s">
        <v>4039</v>
      </c>
      <c r="C3819" s="1" t="s">
        <v>4040</v>
      </c>
      <c r="D3819" s="22" t="str">
        <f>HYPERLINK("https://rhld.insurance.arkansas.gov/NPILookup?Npi=1275377822","1275377822")</f>
        <v>1275377822</v>
      </c>
      <c r="E3819" s="1" t="s">
        <v>16506</v>
      </c>
      <c r="F3819" s="2"/>
      <c r="G3819" s="2"/>
      <c r="H3819" s="2"/>
    </row>
    <row r="3820" spans="1:8" x14ac:dyDescent="0.25">
      <c r="A3820" s="1"/>
      <c r="B3820" s="1" t="s">
        <v>4039</v>
      </c>
      <c r="C3820" s="1" t="s">
        <v>4040</v>
      </c>
      <c r="D3820" s="22" t="str">
        <f>HYPERLINK("https://rhld.insurance.arkansas.gov/NPILookup?Npi=1275559577","1275559577")</f>
        <v>1275559577</v>
      </c>
      <c r="E3820" s="1" t="s">
        <v>16507</v>
      </c>
      <c r="F3820" s="2"/>
      <c r="G3820" s="2"/>
      <c r="H3820" s="2"/>
    </row>
    <row r="3821" spans="1:8" x14ac:dyDescent="0.25">
      <c r="A3821" s="1"/>
      <c r="B3821" s="1" t="s">
        <v>4039</v>
      </c>
      <c r="C3821" s="1" t="s">
        <v>4040</v>
      </c>
      <c r="D3821" s="22" t="str">
        <f>HYPERLINK("https://rhld.insurance.arkansas.gov/NPILookup?Npi=1275573917","1275573917")</f>
        <v>1275573917</v>
      </c>
      <c r="E3821" s="1" t="s">
        <v>10028</v>
      </c>
      <c r="F3821" s="2"/>
      <c r="G3821" s="2"/>
      <c r="H3821" s="2"/>
    </row>
    <row r="3822" spans="1:8" x14ac:dyDescent="0.25">
      <c r="A3822" s="1"/>
      <c r="B3822" s="1" t="s">
        <v>4039</v>
      </c>
      <c r="C3822" s="1" t="s">
        <v>4040</v>
      </c>
      <c r="D3822" s="22" t="str">
        <f>HYPERLINK("https://rhld.insurance.arkansas.gov/NPILookup?Npi=1275582801","1275582801")</f>
        <v>1275582801</v>
      </c>
      <c r="E3822" s="1" t="s">
        <v>16508</v>
      </c>
      <c r="F3822" s="2"/>
      <c r="G3822" s="2"/>
      <c r="H3822" s="2"/>
    </row>
    <row r="3823" spans="1:8" x14ac:dyDescent="0.25">
      <c r="A3823" s="1"/>
      <c r="B3823" s="1" t="s">
        <v>4039</v>
      </c>
      <c r="C3823" s="1" t="s">
        <v>4040</v>
      </c>
      <c r="D3823" s="22" t="str">
        <f>HYPERLINK("https://rhld.insurance.arkansas.gov/NPILookup?Npi=1275602716","1275602716")</f>
        <v>1275602716</v>
      </c>
      <c r="E3823" s="1" t="s">
        <v>10029</v>
      </c>
      <c r="F3823" s="2"/>
      <c r="G3823" s="2"/>
      <c r="H3823" s="2"/>
    </row>
    <row r="3824" spans="1:8" x14ac:dyDescent="0.25">
      <c r="A3824" s="1"/>
      <c r="B3824" s="1" t="s">
        <v>4039</v>
      </c>
      <c r="C3824" s="1" t="s">
        <v>4040</v>
      </c>
      <c r="D3824" s="22" t="str">
        <f>HYPERLINK("https://rhld.insurance.arkansas.gov/NPILookup?Npi=1275611428","1275611428")</f>
        <v>1275611428</v>
      </c>
      <c r="E3824" s="1" t="s">
        <v>515</v>
      </c>
      <c r="F3824" s="2"/>
      <c r="G3824" s="2"/>
      <c r="H3824" s="2"/>
    </row>
    <row r="3825" spans="1:8" x14ac:dyDescent="0.25">
      <c r="A3825" s="1"/>
      <c r="B3825" s="1" t="s">
        <v>4039</v>
      </c>
      <c r="C3825" s="1" t="s">
        <v>4040</v>
      </c>
      <c r="D3825" s="22" t="str">
        <f>HYPERLINK("https://rhld.insurance.arkansas.gov/NPILookup?Npi=1275616922","1275616922")</f>
        <v>1275616922</v>
      </c>
      <c r="E3825" s="1" t="s">
        <v>16509</v>
      </c>
      <c r="F3825" s="2"/>
      <c r="G3825" s="2"/>
      <c r="H3825" s="2"/>
    </row>
    <row r="3826" spans="1:8" x14ac:dyDescent="0.25">
      <c r="A3826" s="1"/>
      <c r="B3826" s="1" t="s">
        <v>4039</v>
      </c>
      <c r="C3826" s="1" t="s">
        <v>4040</v>
      </c>
      <c r="D3826" s="22" t="str">
        <f>HYPERLINK("https://rhld.insurance.arkansas.gov/NPILookup?Npi=1275636417","1275636417")</f>
        <v>1275636417</v>
      </c>
      <c r="E3826" s="1" t="s">
        <v>567</v>
      </c>
      <c r="F3826" s="2"/>
      <c r="G3826" s="2"/>
      <c r="H3826" s="2"/>
    </row>
    <row r="3827" spans="1:8" x14ac:dyDescent="0.25">
      <c r="A3827" s="1"/>
      <c r="B3827" s="1" t="s">
        <v>4039</v>
      </c>
      <c r="C3827" s="1" t="s">
        <v>4040</v>
      </c>
      <c r="D3827" s="22" t="str">
        <f>HYPERLINK("https://rhld.insurance.arkansas.gov/NPILookup?Npi=1275695207","1275695207")</f>
        <v>1275695207</v>
      </c>
      <c r="E3827" s="1" t="s">
        <v>16510</v>
      </c>
      <c r="F3827" s="2"/>
      <c r="G3827" s="2"/>
      <c r="H3827" s="2"/>
    </row>
    <row r="3828" spans="1:8" x14ac:dyDescent="0.25">
      <c r="A3828" s="1"/>
      <c r="B3828" s="1" t="s">
        <v>4039</v>
      </c>
      <c r="C3828" s="1" t="s">
        <v>4040</v>
      </c>
      <c r="D3828" s="22" t="str">
        <f>HYPERLINK("https://rhld.insurance.arkansas.gov/NPILookup?Npi=1275697203","1275697203")</f>
        <v>1275697203</v>
      </c>
      <c r="E3828" s="1" t="s">
        <v>3678</v>
      </c>
      <c r="F3828" s="2"/>
      <c r="G3828" s="2"/>
      <c r="H3828" s="2"/>
    </row>
    <row r="3829" spans="1:8" x14ac:dyDescent="0.25">
      <c r="A3829" s="1"/>
      <c r="B3829" s="1" t="s">
        <v>4039</v>
      </c>
      <c r="C3829" s="1" t="s">
        <v>4040</v>
      </c>
      <c r="D3829" s="22" t="str">
        <f>HYPERLINK("https://rhld.insurance.arkansas.gov/NPILookup?Npi=1275793390","1275793390")</f>
        <v>1275793390</v>
      </c>
      <c r="E3829" s="1" t="s">
        <v>4073</v>
      </c>
      <c r="F3829" s="2"/>
      <c r="G3829" s="2"/>
      <c r="H3829" s="2"/>
    </row>
    <row r="3830" spans="1:8" x14ac:dyDescent="0.25">
      <c r="A3830" s="1"/>
      <c r="B3830" s="1" t="s">
        <v>4039</v>
      </c>
      <c r="C3830" s="1" t="s">
        <v>4040</v>
      </c>
      <c r="D3830" s="22" t="str">
        <f>HYPERLINK("https://rhld.insurance.arkansas.gov/NPILookup?Npi=1285073635","1285073635")</f>
        <v>1285073635</v>
      </c>
      <c r="E3830" s="1" t="s">
        <v>2333</v>
      </c>
      <c r="F3830" s="2"/>
      <c r="G3830" s="2"/>
      <c r="H3830" s="2"/>
    </row>
    <row r="3831" spans="1:8" x14ac:dyDescent="0.25">
      <c r="A3831" s="1"/>
      <c r="B3831" s="1" t="s">
        <v>4039</v>
      </c>
      <c r="C3831" s="1" t="s">
        <v>4040</v>
      </c>
      <c r="D3831" s="22" t="str">
        <f>HYPERLINK("https://rhld.insurance.arkansas.gov/NPILookup?Npi=1285292193","1285292193")</f>
        <v>1285292193</v>
      </c>
      <c r="E3831" s="1" t="s">
        <v>16511</v>
      </c>
      <c r="F3831" s="2"/>
      <c r="G3831" s="2"/>
      <c r="H3831" s="2"/>
    </row>
    <row r="3832" spans="1:8" x14ac:dyDescent="0.25">
      <c r="A3832" s="1"/>
      <c r="B3832" s="1" t="s">
        <v>4039</v>
      </c>
      <c r="C3832" s="1" t="s">
        <v>4040</v>
      </c>
      <c r="D3832" s="22" t="str">
        <f>HYPERLINK("https://rhld.insurance.arkansas.gov/NPILookup?Npi=1285636027","1285636027")</f>
        <v>1285636027</v>
      </c>
      <c r="E3832" s="1" t="s">
        <v>1934</v>
      </c>
      <c r="F3832" s="2"/>
      <c r="G3832" s="2"/>
      <c r="H3832" s="2"/>
    </row>
    <row r="3833" spans="1:8" x14ac:dyDescent="0.25">
      <c r="A3833" s="1"/>
      <c r="B3833" s="1" t="s">
        <v>4039</v>
      </c>
      <c r="C3833" s="1" t="s">
        <v>4040</v>
      </c>
      <c r="D3833" s="22" t="str">
        <f>HYPERLINK("https://rhld.insurance.arkansas.gov/NPILookup?Npi=1285642819","1285642819")</f>
        <v>1285642819</v>
      </c>
      <c r="E3833" s="1" t="s">
        <v>16512</v>
      </c>
      <c r="F3833" s="2"/>
      <c r="G3833" s="2"/>
      <c r="H3833" s="2"/>
    </row>
    <row r="3834" spans="1:8" x14ac:dyDescent="0.25">
      <c r="A3834" s="1"/>
      <c r="B3834" s="1" t="s">
        <v>4039</v>
      </c>
      <c r="C3834" s="1" t="s">
        <v>4040</v>
      </c>
      <c r="D3834" s="22" t="str">
        <f>HYPERLINK("https://rhld.insurance.arkansas.gov/NPILookup?Npi=1285666750","1285666750")</f>
        <v>1285666750</v>
      </c>
      <c r="E3834" s="1" t="s">
        <v>16513</v>
      </c>
      <c r="F3834" s="2"/>
      <c r="G3834" s="2"/>
      <c r="H3834" s="2"/>
    </row>
    <row r="3835" spans="1:8" x14ac:dyDescent="0.25">
      <c r="A3835" s="1"/>
      <c r="B3835" s="1" t="s">
        <v>4039</v>
      </c>
      <c r="C3835" s="1" t="s">
        <v>4040</v>
      </c>
      <c r="D3835" s="22" t="str">
        <f>HYPERLINK("https://rhld.insurance.arkansas.gov/NPILookup?Npi=1285729194","1285729194")</f>
        <v>1285729194</v>
      </c>
      <c r="E3835" s="1" t="s">
        <v>516</v>
      </c>
      <c r="F3835" s="2"/>
      <c r="G3835" s="2"/>
      <c r="H3835" s="2"/>
    </row>
    <row r="3836" spans="1:8" x14ac:dyDescent="0.25">
      <c r="A3836" s="1"/>
      <c r="B3836" s="1" t="s">
        <v>4039</v>
      </c>
      <c r="C3836" s="1" t="s">
        <v>4040</v>
      </c>
      <c r="D3836" s="22" t="str">
        <f>HYPERLINK("https://rhld.insurance.arkansas.gov/NPILookup?Npi=1285735704","1285735704")</f>
        <v>1285735704</v>
      </c>
      <c r="E3836" s="1" t="s">
        <v>3679</v>
      </c>
      <c r="F3836" s="2"/>
      <c r="G3836" s="2"/>
      <c r="H3836" s="2"/>
    </row>
    <row r="3837" spans="1:8" x14ac:dyDescent="0.25">
      <c r="A3837" s="1"/>
      <c r="B3837" s="1" t="s">
        <v>4039</v>
      </c>
      <c r="C3837" s="1" t="s">
        <v>4040</v>
      </c>
      <c r="D3837" s="22" t="str">
        <f>HYPERLINK("https://rhld.insurance.arkansas.gov/NPILookup?Npi=1285817981","1285817981")</f>
        <v>1285817981</v>
      </c>
      <c r="E3837" s="1" t="s">
        <v>16514</v>
      </c>
      <c r="F3837" s="2"/>
      <c r="G3837" s="2"/>
      <c r="H3837" s="2"/>
    </row>
    <row r="3838" spans="1:8" x14ac:dyDescent="0.25">
      <c r="A3838" s="1"/>
      <c r="B3838" s="1" t="s">
        <v>4039</v>
      </c>
      <c r="C3838" s="1" t="s">
        <v>4040</v>
      </c>
      <c r="D3838" s="22" t="str">
        <f>HYPERLINK("https://rhld.insurance.arkansas.gov/NPILookup?Npi=1285848697","1285848697")</f>
        <v>1285848697</v>
      </c>
      <c r="E3838" s="1" t="s">
        <v>16515</v>
      </c>
      <c r="F3838" s="2"/>
      <c r="G3838" s="2"/>
      <c r="H3838" s="2"/>
    </row>
    <row r="3839" spans="1:8" x14ac:dyDescent="0.25">
      <c r="A3839" s="1"/>
      <c r="B3839" s="1" t="s">
        <v>4039</v>
      </c>
      <c r="C3839" s="1" t="s">
        <v>4040</v>
      </c>
      <c r="D3839" s="22" t="str">
        <f>HYPERLINK("https://rhld.insurance.arkansas.gov/NPILookup?Npi=1285861104","1285861104")</f>
        <v>1285861104</v>
      </c>
      <c r="E3839" s="1" t="s">
        <v>16516</v>
      </c>
      <c r="F3839" s="2"/>
      <c r="G3839" s="2"/>
      <c r="H3839" s="2"/>
    </row>
    <row r="3840" spans="1:8" x14ac:dyDescent="0.25">
      <c r="A3840" s="1"/>
      <c r="B3840" s="1" t="s">
        <v>4039</v>
      </c>
      <c r="C3840" s="1" t="s">
        <v>4040</v>
      </c>
      <c r="D3840" s="22" t="str">
        <f>HYPERLINK("https://rhld.insurance.arkansas.gov/NPILookup?Npi=1295026813","1295026813")</f>
        <v>1295026813</v>
      </c>
      <c r="E3840" s="1" t="s">
        <v>10030</v>
      </c>
      <c r="F3840" s="2"/>
      <c r="G3840" s="2"/>
      <c r="H3840" s="2"/>
    </row>
    <row r="3841" spans="1:8" x14ac:dyDescent="0.25">
      <c r="A3841" s="1"/>
      <c r="B3841" s="1" t="s">
        <v>4039</v>
      </c>
      <c r="C3841" s="1" t="s">
        <v>4040</v>
      </c>
      <c r="D3841" s="22" t="str">
        <f>HYPERLINK("https://rhld.insurance.arkansas.gov/NPILookup?Npi=1295029056","1295029056")</f>
        <v>1295029056</v>
      </c>
      <c r="E3841" s="1" t="s">
        <v>1460</v>
      </c>
      <c r="F3841" s="2"/>
      <c r="G3841" s="2"/>
      <c r="H3841" s="2"/>
    </row>
    <row r="3842" spans="1:8" x14ac:dyDescent="0.25">
      <c r="A3842" s="1"/>
      <c r="B3842" s="1" t="s">
        <v>4039</v>
      </c>
      <c r="C3842" s="1" t="s">
        <v>4040</v>
      </c>
      <c r="D3842" s="22" t="str">
        <f>HYPERLINK("https://rhld.insurance.arkansas.gov/NPILookup?Npi=1295098226","1295098226")</f>
        <v>1295098226</v>
      </c>
      <c r="E3842" s="1" t="s">
        <v>4074</v>
      </c>
      <c r="F3842" s="2"/>
      <c r="G3842" s="2"/>
      <c r="H3842" s="2"/>
    </row>
    <row r="3843" spans="1:8" x14ac:dyDescent="0.25">
      <c r="A3843" s="1"/>
      <c r="B3843" s="1" t="s">
        <v>4039</v>
      </c>
      <c r="C3843" s="1" t="s">
        <v>4040</v>
      </c>
      <c r="D3843" s="22" t="str">
        <f>HYPERLINK("https://rhld.insurance.arkansas.gov/NPILookup?Npi=1295178119","1295178119")</f>
        <v>1295178119</v>
      </c>
      <c r="E3843" s="1" t="s">
        <v>1935</v>
      </c>
      <c r="F3843" s="2"/>
      <c r="G3843" s="2"/>
      <c r="H3843" s="2"/>
    </row>
    <row r="3844" spans="1:8" x14ac:dyDescent="0.25">
      <c r="A3844" s="1"/>
      <c r="B3844" s="1" t="s">
        <v>4039</v>
      </c>
      <c r="C3844" s="1" t="s">
        <v>4040</v>
      </c>
      <c r="D3844" s="22" t="str">
        <f>HYPERLINK("https://rhld.insurance.arkansas.gov/NPILookup?Npi=1295184026","1295184026")</f>
        <v>1295184026</v>
      </c>
      <c r="E3844" s="1" t="s">
        <v>16517</v>
      </c>
      <c r="F3844" s="2"/>
      <c r="G3844" s="2"/>
      <c r="H3844" s="2"/>
    </row>
    <row r="3845" spans="1:8" x14ac:dyDescent="0.25">
      <c r="A3845" s="1"/>
      <c r="B3845" s="1" t="s">
        <v>4039</v>
      </c>
      <c r="C3845" s="1" t="s">
        <v>4040</v>
      </c>
      <c r="D3845" s="22" t="str">
        <f>HYPERLINK("https://rhld.insurance.arkansas.gov/NPILookup?Npi=1295226959","1295226959")</f>
        <v>1295226959</v>
      </c>
      <c r="E3845" s="1" t="s">
        <v>16518</v>
      </c>
      <c r="F3845" s="2"/>
      <c r="G3845" s="2"/>
      <c r="H3845" s="2"/>
    </row>
    <row r="3846" spans="1:8" x14ac:dyDescent="0.25">
      <c r="A3846" s="1"/>
      <c r="B3846" s="1" t="s">
        <v>4039</v>
      </c>
      <c r="C3846" s="1" t="s">
        <v>4040</v>
      </c>
      <c r="D3846" s="22" t="str">
        <f>HYPERLINK("https://rhld.insurance.arkansas.gov/NPILookup?Npi=1295414928","1295414928")</f>
        <v>1295414928</v>
      </c>
      <c r="E3846" s="1" t="s">
        <v>4075</v>
      </c>
      <c r="F3846" s="2"/>
      <c r="G3846" s="2"/>
      <c r="H3846" s="2"/>
    </row>
    <row r="3847" spans="1:8" x14ac:dyDescent="0.25">
      <c r="A3847" s="1"/>
      <c r="B3847" s="1" t="s">
        <v>4039</v>
      </c>
      <c r="C3847" s="1" t="s">
        <v>4040</v>
      </c>
      <c r="D3847" s="22" t="str">
        <f>HYPERLINK("https://rhld.insurance.arkansas.gov/NPILookup?Npi=1295430304","1295430304")</f>
        <v>1295430304</v>
      </c>
      <c r="E3847" s="1" t="s">
        <v>16519</v>
      </c>
      <c r="F3847" s="2"/>
      <c r="G3847" s="2"/>
      <c r="H3847" s="2"/>
    </row>
    <row r="3848" spans="1:8" x14ac:dyDescent="0.25">
      <c r="A3848" s="1"/>
      <c r="B3848" s="1" t="s">
        <v>4039</v>
      </c>
      <c r="C3848" s="1" t="s">
        <v>4040</v>
      </c>
      <c r="D3848" s="22" t="str">
        <f>HYPERLINK("https://rhld.insurance.arkansas.gov/NPILookup?Npi=1295584092","1295584092")</f>
        <v>1295584092</v>
      </c>
      <c r="E3848" s="1" t="s">
        <v>31362</v>
      </c>
      <c r="F3848" s="2"/>
      <c r="G3848" s="2"/>
      <c r="H3848" s="2"/>
    </row>
    <row r="3849" spans="1:8" x14ac:dyDescent="0.25">
      <c r="A3849" s="1"/>
      <c r="B3849" s="1" t="s">
        <v>4039</v>
      </c>
      <c r="C3849" s="1" t="s">
        <v>4040</v>
      </c>
      <c r="D3849" s="22" t="str">
        <f>HYPERLINK("https://rhld.insurance.arkansas.gov/NPILookup?Npi=1295702207","1295702207")</f>
        <v>1295702207</v>
      </c>
      <c r="E3849" s="1" t="s">
        <v>16520</v>
      </c>
      <c r="F3849" s="2"/>
      <c r="G3849" s="2"/>
      <c r="H3849" s="2"/>
    </row>
    <row r="3850" spans="1:8" x14ac:dyDescent="0.25">
      <c r="A3850" s="1"/>
      <c r="B3850" s="1" t="s">
        <v>4039</v>
      </c>
      <c r="C3850" s="1" t="s">
        <v>4040</v>
      </c>
      <c r="D3850" s="22" t="str">
        <f>HYPERLINK("https://rhld.insurance.arkansas.gov/NPILookup?Npi=1295719532","1295719532")</f>
        <v>1295719532</v>
      </c>
      <c r="E3850" s="1" t="s">
        <v>16521</v>
      </c>
      <c r="F3850" s="2"/>
      <c r="G3850" s="2"/>
      <c r="H3850" s="2"/>
    </row>
    <row r="3851" spans="1:8" x14ac:dyDescent="0.25">
      <c r="A3851" s="1"/>
      <c r="B3851" s="1" t="s">
        <v>4039</v>
      </c>
      <c r="C3851" s="1" t="s">
        <v>4040</v>
      </c>
      <c r="D3851" s="22" t="str">
        <f>HYPERLINK("https://rhld.insurance.arkansas.gov/NPILookup?Npi=1295730562","1295730562")</f>
        <v>1295730562</v>
      </c>
      <c r="E3851" s="1" t="s">
        <v>16522</v>
      </c>
      <c r="F3851" s="2"/>
      <c r="G3851" s="2"/>
      <c r="H3851" s="2"/>
    </row>
    <row r="3852" spans="1:8" x14ac:dyDescent="0.25">
      <c r="A3852" s="1"/>
      <c r="B3852" s="1" t="s">
        <v>4039</v>
      </c>
      <c r="C3852" s="1" t="s">
        <v>4040</v>
      </c>
      <c r="D3852" s="22" t="str">
        <f>HYPERLINK("https://rhld.insurance.arkansas.gov/NPILookup?Npi=1295806768","1295806768")</f>
        <v>1295806768</v>
      </c>
      <c r="E3852" s="1" t="s">
        <v>16523</v>
      </c>
      <c r="F3852" s="2"/>
      <c r="G3852" s="2"/>
      <c r="H3852" s="2"/>
    </row>
    <row r="3853" spans="1:8" x14ac:dyDescent="0.25">
      <c r="A3853" s="1"/>
      <c r="B3853" s="1" t="s">
        <v>4039</v>
      </c>
      <c r="C3853" s="1" t="s">
        <v>4040</v>
      </c>
      <c r="D3853" s="22" t="str">
        <f>HYPERLINK("https://rhld.insurance.arkansas.gov/NPILookup?Npi=1295845139","1295845139")</f>
        <v>1295845139</v>
      </c>
      <c r="E3853" s="1" t="s">
        <v>16524</v>
      </c>
      <c r="F3853" s="2"/>
      <c r="G3853" s="2"/>
      <c r="H3853" s="2"/>
    </row>
    <row r="3854" spans="1:8" x14ac:dyDescent="0.25">
      <c r="A3854" s="1"/>
      <c r="B3854" s="1" t="s">
        <v>4039</v>
      </c>
      <c r="C3854" s="1" t="s">
        <v>4040</v>
      </c>
      <c r="D3854" s="22" t="str">
        <f>HYPERLINK("https://rhld.insurance.arkansas.gov/NPILookup?Npi=1295932473","1295932473")</f>
        <v>1295932473</v>
      </c>
      <c r="E3854" s="1" t="s">
        <v>16525</v>
      </c>
      <c r="F3854" s="2"/>
      <c r="G3854" s="2"/>
      <c r="H3854" s="2"/>
    </row>
    <row r="3855" spans="1:8" x14ac:dyDescent="0.25">
      <c r="A3855" s="1"/>
      <c r="B3855" s="1" t="s">
        <v>4039</v>
      </c>
      <c r="C3855" s="1" t="s">
        <v>4040</v>
      </c>
      <c r="D3855" s="22" t="str">
        <f>HYPERLINK("https://rhld.insurance.arkansas.gov/NPILookup?Npi=1295963726","1295963726")</f>
        <v>1295963726</v>
      </c>
      <c r="E3855" s="1" t="s">
        <v>16526</v>
      </c>
      <c r="F3855" s="2"/>
      <c r="G3855" s="2"/>
      <c r="H3855" s="2"/>
    </row>
    <row r="3856" spans="1:8" x14ac:dyDescent="0.25">
      <c r="A3856" s="1"/>
      <c r="B3856" s="1" t="s">
        <v>4039</v>
      </c>
      <c r="C3856" s="1" t="s">
        <v>4040</v>
      </c>
      <c r="D3856" s="22" t="str">
        <f>HYPERLINK("https://rhld.insurance.arkansas.gov/NPILookup?Npi=1306133202","1306133202")</f>
        <v>1306133202</v>
      </c>
      <c r="E3856" s="1" t="s">
        <v>546</v>
      </c>
      <c r="F3856" s="2"/>
      <c r="G3856" s="2"/>
      <c r="H3856" s="2"/>
    </row>
    <row r="3857" spans="1:8" x14ac:dyDescent="0.25">
      <c r="A3857" s="1"/>
      <c r="B3857" s="1" t="s">
        <v>4039</v>
      </c>
      <c r="C3857" s="1" t="s">
        <v>4040</v>
      </c>
      <c r="D3857" s="22" t="str">
        <f>HYPERLINK("https://rhld.insurance.arkansas.gov/NPILookup?Npi=1306152434","1306152434")</f>
        <v>1306152434</v>
      </c>
      <c r="E3857" s="1" t="s">
        <v>16527</v>
      </c>
      <c r="F3857" s="2"/>
      <c r="G3857" s="2"/>
      <c r="H3857" s="2"/>
    </row>
    <row r="3858" spans="1:8" x14ac:dyDescent="0.25">
      <c r="A3858" s="1"/>
      <c r="B3858" s="1" t="s">
        <v>4039</v>
      </c>
      <c r="C3858" s="1" t="s">
        <v>4040</v>
      </c>
      <c r="D3858" s="22" t="str">
        <f>HYPERLINK("https://rhld.insurance.arkansas.gov/NPILookup?Npi=1306205976","1306205976")</f>
        <v>1306205976</v>
      </c>
      <c r="E3858" s="1" t="s">
        <v>3725</v>
      </c>
      <c r="F3858" s="2"/>
      <c r="G3858" s="2"/>
      <c r="H3858" s="2"/>
    </row>
    <row r="3859" spans="1:8" x14ac:dyDescent="0.25">
      <c r="A3859" s="1"/>
      <c r="B3859" s="1" t="s">
        <v>4039</v>
      </c>
      <c r="C3859" s="1" t="s">
        <v>4040</v>
      </c>
      <c r="D3859" s="22" t="str">
        <f>HYPERLINK("https://rhld.insurance.arkansas.gov/NPILookup?Npi=1306250295","1306250295")</f>
        <v>1306250295</v>
      </c>
      <c r="E3859" s="1" t="s">
        <v>16333</v>
      </c>
      <c r="F3859" s="2"/>
      <c r="G3859" s="2"/>
      <c r="H3859" s="2"/>
    </row>
    <row r="3860" spans="1:8" x14ac:dyDescent="0.25">
      <c r="A3860" s="1"/>
      <c r="B3860" s="1" t="s">
        <v>4039</v>
      </c>
      <c r="C3860" s="1" t="s">
        <v>4040</v>
      </c>
      <c r="D3860" s="22" t="str">
        <f>HYPERLINK("https://rhld.insurance.arkansas.gov/NPILookup?Npi=1306403704","1306403704")</f>
        <v>1306403704</v>
      </c>
      <c r="E3860" s="1" t="s">
        <v>16528</v>
      </c>
      <c r="F3860" s="2"/>
      <c r="G3860" s="2"/>
      <c r="H3860" s="2"/>
    </row>
    <row r="3861" spans="1:8" x14ac:dyDescent="0.25">
      <c r="A3861" s="1"/>
      <c r="B3861" s="1" t="s">
        <v>4039</v>
      </c>
      <c r="C3861" s="1" t="s">
        <v>4040</v>
      </c>
      <c r="D3861" s="22" t="str">
        <f>HYPERLINK("https://rhld.insurance.arkansas.gov/NPILookup?Npi=1306404363","1306404363")</f>
        <v>1306404363</v>
      </c>
      <c r="E3861" s="1" t="s">
        <v>10031</v>
      </c>
      <c r="F3861" s="2"/>
      <c r="G3861" s="2"/>
      <c r="H3861" s="2"/>
    </row>
    <row r="3862" spans="1:8" x14ac:dyDescent="0.25">
      <c r="A3862" s="1"/>
      <c r="B3862" s="1" t="s">
        <v>4039</v>
      </c>
      <c r="C3862" s="1" t="s">
        <v>4040</v>
      </c>
      <c r="D3862" s="22" t="str">
        <f>HYPERLINK("https://rhld.insurance.arkansas.gov/NPILookup?Npi=1306412895","1306412895")</f>
        <v>1306412895</v>
      </c>
      <c r="E3862" s="1" t="s">
        <v>10032</v>
      </c>
      <c r="F3862" s="2"/>
      <c r="G3862" s="2"/>
      <c r="H3862" s="2"/>
    </row>
    <row r="3863" spans="1:8" x14ac:dyDescent="0.25">
      <c r="A3863" s="1"/>
      <c r="B3863" s="1" t="s">
        <v>4039</v>
      </c>
      <c r="C3863" s="1" t="s">
        <v>4040</v>
      </c>
      <c r="D3863" s="22" t="str">
        <f>HYPERLINK("https://rhld.insurance.arkansas.gov/NPILookup?Npi=1306475157","1306475157")</f>
        <v>1306475157</v>
      </c>
      <c r="E3863" s="1" t="s">
        <v>16529</v>
      </c>
      <c r="F3863" s="2"/>
      <c r="G3863" s="2"/>
      <c r="H3863" s="2"/>
    </row>
    <row r="3864" spans="1:8" x14ac:dyDescent="0.25">
      <c r="A3864" s="1"/>
      <c r="B3864" s="1" t="s">
        <v>4039</v>
      </c>
      <c r="C3864" s="1" t="s">
        <v>4040</v>
      </c>
      <c r="D3864" s="22" t="str">
        <f>HYPERLINK("https://rhld.insurance.arkansas.gov/NPILookup?Npi=1306855754","1306855754")</f>
        <v>1306855754</v>
      </c>
      <c r="E3864" s="1" t="s">
        <v>10033</v>
      </c>
      <c r="F3864" s="2"/>
      <c r="G3864" s="2"/>
      <c r="H3864" s="2"/>
    </row>
    <row r="3865" spans="1:8" x14ac:dyDescent="0.25">
      <c r="A3865" s="1"/>
      <c r="B3865" s="1" t="s">
        <v>4039</v>
      </c>
      <c r="C3865" s="1" t="s">
        <v>4040</v>
      </c>
      <c r="D3865" s="22" t="str">
        <f>HYPERLINK("https://rhld.insurance.arkansas.gov/NPILookup?Npi=1306857644","1306857644")</f>
        <v>1306857644</v>
      </c>
      <c r="E3865" s="1" t="s">
        <v>16530</v>
      </c>
      <c r="F3865" s="2"/>
      <c r="G3865" s="2"/>
      <c r="H3865" s="2"/>
    </row>
    <row r="3866" spans="1:8" x14ac:dyDescent="0.25">
      <c r="A3866" s="1"/>
      <c r="B3866" s="1" t="s">
        <v>4039</v>
      </c>
      <c r="C3866" s="1" t="s">
        <v>4040</v>
      </c>
      <c r="D3866" s="22" t="str">
        <f>HYPERLINK("https://rhld.insurance.arkansas.gov/NPILookup?Npi=1306860234","1306860234")</f>
        <v>1306860234</v>
      </c>
      <c r="E3866" s="1" t="s">
        <v>11841</v>
      </c>
      <c r="F3866" s="2"/>
      <c r="G3866" s="2"/>
      <c r="H3866" s="2"/>
    </row>
    <row r="3867" spans="1:8" x14ac:dyDescent="0.25">
      <c r="A3867" s="1"/>
      <c r="B3867" s="1" t="s">
        <v>4039</v>
      </c>
      <c r="C3867" s="1" t="s">
        <v>4040</v>
      </c>
      <c r="D3867" s="22" t="str">
        <f>HYPERLINK("https://rhld.insurance.arkansas.gov/NPILookup?Npi=1306867767","1306867767")</f>
        <v>1306867767</v>
      </c>
      <c r="E3867" s="1" t="s">
        <v>809</v>
      </c>
      <c r="F3867" s="2"/>
      <c r="G3867" s="2"/>
      <c r="H3867" s="2"/>
    </row>
    <row r="3868" spans="1:8" x14ac:dyDescent="0.25">
      <c r="A3868" s="1"/>
      <c r="B3868" s="1" t="s">
        <v>4039</v>
      </c>
      <c r="C3868" s="1" t="s">
        <v>4040</v>
      </c>
      <c r="D3868" s="22" t="str">
        <f>HYPERLINK("https://rhld.insurance.arkansas.gov/NPILookup?Npi=1306912373","1306912373")</f>
        <v>1306912373</v>
      </c>
      <c r="E3868" s="1" t="s">
        <v>10034</v>
      </c>
      <c r="F3868" s="2"/>
      <c r="G3868" s="2"/>
      <c r="H3868" s="2"/>
    </row>
    <row r="3869" spans="1:8" x14ac:dyDescent="0.25">
      <c r="A3869" s="1"/>
      <c r="B3869" s="1" t="s">
        <v>4039</v>
      </c>
      <c r="C3869" s="1" t="s">
        <v>4040</v>
      </c>
      <c r="D3869" s="22" t="str">
        <f>HYPERLINK("https://rhld.insurance.arkansas.gov/NPILookup?Npi=1306934583","1306934583")</f>
        <v>1306934583</v>
      </c>
      <c r="E3869" s="1" t="s">
        <v>16531</v>
      </c>
      <c r="F3869" s="2"/>
      <c r="G3869" s="2"/>
      <c r="H3869" s="2"/>
    </row>
    <row r="3870" spans="1:8" x14ac:dyDescent="0.25">
      <c r="A3870" s="1"/>
      <c r="B3870" s="1" t="s">
        <v>4039</v>
      </c>
      <c r="C3870" s="1" t="s">
        <v>4040</v>
      </c>
      <c r="D3870" s="22" t="str">
        <f>HYPERLINK("https://rhld.insurance.arkansas.gov/NPILookup?Npi=1306935788","1306935788")</f>
        <v>1306935788</v>
      </c>
      <c r="E3870" s="1" t="s">
        <v>16532</v>
      </c>
      <c r="F3870" s="2"/>
      <c r="G3870" s="2"/>
      <c r="H3870" s="2"/>
    </row>
    <row r="3871" spans="1:8" x14ac:dyDescent="0.25">
      <c r="A3871" s="1"/>
      <c r="B3871" s="1" t="s">
        <v>4039</v>
      </c>
      <c r="C3871" s="1" t="s">
        <v>4040</v>
      </c>
      <c r="D3871" s="22" t="str">
        <f>HYPERLINK("https://rhld.insurance.arkansas.gov/NPILookup?Npi=1306960737","1306960737")</f>
        <v>1306960737</v>
      </c>
      <c r="E3871" s="1" t="s">
        <v>3680</v>
      </c>
      <c r="F3871" s="2"/>
      <c r="G3871" s="2"/>
      <c r="H3871" s="2"/>
    </row>
    <row r="3872" spans="1:8" x14ac:dyDescent="0.25">
      <c r="A3872" s="1"/>
      <c r="B3872" s="1" t="s">
        <v>4039</v>
      </c>
      <c r="C3872" s="1" t="s">
        <v>4040</v>
      </c>
      <c r="D3872" s="22" t="str">
        <f>HYPERLINK("https://rhld.insurance.arkansas.gov/NPILookup?Npi=1306979125","1306979125")</f>
        <v>1306979125</v>
      </c>
      <c r="E3872" s="1" t="s">
        <v>3681</v>
      </c>
      <c r="F3872" s="2"/>
      <c r="G3872" s="2"/>
      <c r="H3872" s="2"/>
    </row>
    <row r="3873" spans="1:8" x14ac:dyDescent="0.25">
      <c r="A3873" s="1"/>
      <c r="B3873" s="1" t="s">
        <v>4039</v>
      </c>
      <c r="C3873" s="1" t="s">
        <v>4040</v>
      </c>
      <c r="D3873" s="22" t="str">
        <f>HYPERLINK("https://rhld.insurance.arkansas.gov/NPILookup?Npi=1316015126","1316015126")</f>
        <v>1316015126</v>
      </c>
      <c r="E3873" s="1" t="s">
        <v>3682</v>
      </c>
      <c r="F3873" s="2"/>
      <c r="G3873" s="2"/>
      <c r="H3873" s="2"/>
    </row>
    <row r="3874" spans="1:8" x14ac:dyDescent="0.25">
      <c r="A3874" s="1"/>
      <c r="B3874" s="1" t="s">
        <v>4039</v>
      </c>
      <c r="C3874" s="1" t="s">
        <v>4040</v>
      </c>
      <c r="D3874" s="22" t="str">
        <f>HYPERLINK("https://rhld.insurance.arkansas.gov/NPILookup?Npi=1316067473","1316067473")</f>
        <v>1316067473</v>
      </c>
      <c r="E3874" s="1" t="s">
        <v>16533</v>
      </c>
      <c r="F3874" s="2"/>
      <c r="G3874" s="2"/>
      <c r="H3874" s="2"/>
    </row>
    <row r="3875" spans="1:8" x14ac:dyDescent="0.25">
      <c r="A3875" s="1"/>
      <c r="B3875" s="1" t="s">
        <v>4039</v>
      </c>
      <c r="C3875" s="1" t="s">
        <v>4040</v>
      </c>
      <c r="D3875" s="22" t="str">
        <f>HYPERLINK("https://rhld.insurance.arkansas.gov/NPILookup?Npi=1316087794","1316087794")</f>
        <v>1316087794</v>
      </c>
      <c r="E3875" s="1" t="s">
        <v>16534</v>
      </c>
      <c r="F3875" s="2"/>
      <c r="G3875" s="2"/>
      <c r="H3875" s="2"/>
    </row>
    <row r="3876" spans="1:8" x14ac:dyDescent="0.25">
      <c r="A3876" s="1"/>
      <c r="B3876" s="1" t="s">
        <v>4039</v>
      </c>
      <c r="C3876" s="1" t="s">
        <v>4040</v>
      </c>
      <c r="D3876" s="22" t="str">
        <f>HYPERLINK("https://rhld.insurance.arkansas.gov/NPILookup?Npi=1316091390","1316091390")</f>
        <v>1316091390</v>
      </c>
      <c r="E3876" s="1" t="s">
        <v>16535</v>
      </c>
      <c r="F3876" s="2"/>
      <c r="G3876" s="2"/>
      <c r="H3876" s="2"/>
    </row>
    <row r="3877" spans="1:8" x14ac:dyDescent="0.25">
      <c r="A3877" s="1"/>
      <c r="B3877" s="1" t="s">
        <v>4039</v>
      </c>
      <c r="C3877" s="1" t="s">
        <v>4040</v>
      </c>
      <c r="D3877" s="22" t="str">
        <f>HYPERLINK("https://rhld.insurance.arkansas.gov/NPILookup?Npi=1316102312","1316102312")</f>
        <v>1316102312</v>
      </c>
      <c r="E3877" s="1" t="s">
        <v>810</v>
      </c>
      <c r="F3877" s="2"/>
      <c r="G3877" s="2"/>
      <c r="H3877" s="2"/>
    </row>
    <row r="3878" spans="1:8" x14ac:dyDescent="0.25">
      <c r="A3878" s="1"/>
      <c r="B3878" s="1" t="s">
        <v>4039</v>
      </c>
      <c r="C3878" s="1" t="s">
        <v>4040</v>
      </c>
      <c r="D3878" s="22" t="str">
        <f>HYPERLINK("https://rhld.insurance.arkansas.gov/NPILookup?Npi=1316152481","1316152481")</f>
        <v>1316152481</v>
      </c>
      <c r="E3878" s="1" t="s">
        <v>16536</v>
      </c>
      <c r="F3878" s="2"/>
      <c r="G3878" s="2"/>
      <c r="H3878" s="2"/>
    </row>
    <row r="3879" spans="1:8" x14ac:dyDescent="0.25">
      <c r="A3879" s="1"/>
      <c r="B3879" s="1" t="s">
        <v>4039</v>
      </c>
      <c r="C3879" s="1" t="s">
        <v>4040</v>
      </c>
      <c r="D3879" s="22" t="str">
        <f>HYPERLINK("https://rhld.insurance.arkansas.gov/NPILookup?Npi=1316258338","1316258338")</f>
        <v>1316258338</v>
      </c>
      <c r="E3879" s="1" t="s">
        <v>10035</v>
      </c>
      <c r="F3879" s="2"/>
      <c r="G3879" s="2"/>
      <c r="H3879" s="2"/>
    </row>
    <row r="3880" spans="1:8" x14ac:dyDescent="0.25">
      <c r="A3880" s="1"/>
      <c r="B3880" s="1" t="s">
        <v>4039</v>
      </c>
      <c r="C3880" s="1" t="s">
        <v>4040</v>
      </c>
      <c r="D3880" s="22" t="str">
        <f>HYPERLINK("https://rhld.insurance.arkansas.gov/NPILookup?Npi=1316293145","1316293145")</f>
        <v>1316293145</v>
      </c>
      <c r="E3880" s="1" t="s">
        <v>16537</v>
      </c>
      <c r="F3880" s="2"/>
      <c r="G3880" s="2"/>
      <c r="H3880" s="2"/>
    </row>
    <row r="3881" spans="1:8" x14ac:dyDescent="0.25">
      <c r="A3881" s="1"/>
      <c r="B3881" s="1" t="s">
        <v>4039</v>
      </c>
      <c r="C3881" s="1" t="s">
        <v>4040</v>
      </c>
      <c r="D3881" s="22" t="str">
        <f>HYPERLINK("https://rhld.insurance.arkansas.gov/NPILookup?Npi=1316326028","1316326028")</f>
        <v>1316326028</v>
      </c>
      <c r="E3881" s="1" t="s">
        <v>547</v>
      </c>
      <c r="F3881" s="2"/>
      <c r="G3881" s="2"/>
      <c r="H3881" s="2"/>
    </row>
    <row r="3882" spans="1:8" x14ac:dyDescent="0.25">
      <c r="A3882" s="1"/>
      <c r="B3882" s="1" t="s">
        <v>4039</v>
      </c>
      <c r="C3882" s="1" t="s">
        <v>4040</v>
      </c>
      <c r="D3882" s="22" t="str">
        <f>HYPERLINK("https://rhld.insurance.arkansas.gov/NPILookup?Npi=1316329543","1316329543")</f>
        <v>1316329543</v>
      </c>
      <c r="E3882" s="1" t="s">
        <v>548</v>
      </c>
      <c r="F3882" s="2"/>
      <c r="G3882" s="2"/>
      <c r="H3882" s="2"/>
    </row>
    <row r="3883" spans="1:8" x14ac:dyDescent="0.25">
      <c r="A3883" s="1"/>
      <c r="B3883" s="1" t="s">
        <v>4039</v>
      </c>
      <c r="C3883" s="1" t="s">
        <v>4040</v>
      </c>
      <c r="D3883" s="22" t="str">
        <f>HYPERLINK("https://rhld.insurance.arkansas.gov/NPILookup?Npi=1316430655","1316430655")</f>
        <v>1316430655</v>
      </c>
      <c r="E3883" s="1" t="s">
        <v>1461</v>
      </c>
      <c r="F3883" s="2"/>
      <c r="G3883" s="2"/>
      <c r="H3883" s="2"/>
    </row>
    <row r="3884" spans="1:8" x14ac:dyDescent="0.25">
      <c r="A3884" s="1"/>
      <c r="B3884" s="1" t="s">
        <v>4039</v>
      </c>
      <c r="C3884" s="1" t="s">
        <v>4040</v>
      </c>
      <c r="D3884" s="22" t="str">
        <f>HYPERLINK("https://rhld.insurance.arkansas.gov/NPILookup?Npi=1316506884","1316506884")</f>
        <v>1316506884</v>
      </c>
      <c r="E3884" s="1" t="s">
        <v>16538</v>
      </c>
      <c r="F3884" s="2"/>
      <c r="G3884" s="2"/>
      <c r="H3884" s="2"/>
    </row>
    <row r="3885" spans="1:8" x14ac:dyDescent="0.25">
      <c r="A3885" s="1"/>
      <c r="B3885" s="1" t="s">
        <v>4039</v>
      </c>
      <c r="C3885" s="1" t="s">
        <v>4040</v>
      </c>
      <c r="D3885" s="22" t="str">
        <f>HYPERLINK("https://rhld.insurance.arkansas.gov/NPILookup?Npi=1316559495","1316559495")</f>
        <v>1316559495</v>
      </c>
      <c r="E3885" s="1" t="s">
        <v>4076</v>
      </c>
      <c r="F3885" s="2"/>
      <c r="G3885" s="2"/>
      <c r="H3885" s="2"/>
    </row>
    <row r="3886" spans="1:8" x14ac:dyDescent="0.25">
      <c r="A3886" s="1"/>
      <c r="B3886" s="1" t="s">
        <v>4039</v>
      </c>
      <c r="C3886" s="1" t="s">
        <v>4040</v>
      </c>
      <c r="D3886" s="22" t="str">
        <f>HYPERLINK("https://rhld.insurance.arkansas.gov/NPILookup?Npi=1316630817","1316630817")</f>
        <v>1316630817</v>
      </c>
      <c r="E3886" s="1" t="s">
        <v>10036</v>
      </c>
      <c r="F3886" s="2"/>
      <c r="G3886" s="2"/>
      <c r="H3886" s="2"/>
    </row>
    <row r="3887" spans="1:8" x14ac:dyDescent="0.25">
      <c r="A3887" s="1"/>
      <c r="B3887" s="1" t="s">
        <v>4039</v>
      </c>
      <c r="C3887" s="1" t="s">
        <v>4040</v>
      </c>
      <c r="D3887" s="22" t="str">
        <f>HYPERLINK("https://rhld.insurance.arkansas.gov/NPILookup?Npi=1316679095","1316679095")</f>
        <v>1316679095</v>
      </c>
      <c r="E3887" s="1" t="s">
        <v>10037</v>
      </c>
      <c r="F3887" s="2"/>
      <c r="G3887" s="2"/>
      <c r="H3887" s="2"/>
    </row>
    <row r="3888" spans="1:8" x14ac:dyDescent="0.25">
      <c r="A3888" s="1"/>
      <c r="B3888" s="1" t="s">
        <v>4039</v>
      </c>
      <c r="C3888" s="1" t="s">
        <v>4040</v>
      </c>
      <c r="D3888" s="22" t="str">
        <f>HYPERLINK("https://rhld.insurance.arkansas.gov/NPILookup?Npi=1316932353","1316932353")</f>
        <v>1316932353</v>
      </c>
      <c r="E3888" s="1" t="s">
        <v>16539</v>
      </c>
      <c r="F3888" s="2"/>
      <c r="G3888" s="2"/>
      <c r="H3888" s="2"/>
    </row>
    <row r="3889" spans="1:8" x14ac:dyDescent="0.25">
      <c r="A3889" s="1"/>
      <c r="B3889" s="1" t="s">
        <v>4039</v>
      </c>
      <c r="C3889" s="1" t="s">
        <v>4040</v>
      </c>
      <c r="D3889" s="22" t="str">
        <f>HYPERLINK("https://rhld.insurance.arkansas.gov/NPILookup?Npi=1316954126","1316954126")</f>
        <v>1316954126</v>
      </c>
      <c r="E3889" s="1" t="s">
        <v>16540</v>
      </c>
      <c r="F3889" s="2"/>
      <c r="G3889" s="2"/>
      <c r="H3889" s="2"/>
    </row>
    <row r="3890" spans="1:8" x14ac:dyDescent="0.25">
      <c r="A3890" s="1"/>
      <c r="B3890" s="1" t="s">
        <v>4039</v>
      </c>
      <c r="C3890" s="1" t="s">
        <v>4040</v>
      </c>
      <c r="D3890" s="22" t="str">
        <f>HYPERLINK("https://rhld.insurance.arkansas.gov/NPILookup?Npi=1316992688","1316992688")</f>
        <v>1316992688</v>
      </c>
      <c r="E3890" s="1" t="s">
        <v>3211</v>
      </c>
      <c r="F3890" s="2"/>
      <c r="G3890" s="2"/>
      <c r="H3890" s="2"/>
    </row>
    <row r="3891" spans="1:8" x14ac:dyDescent="0.25">
      <c r="A3891" s="1"/>
      <c r="B3891" s="1" t="s">
        <v>4039</v>
      </c>
      <c r="C3891" s="1" t="s">
        <v>4040</v>
      </c>
      <c r="D3891" s="22" t="str">
        <f>HYPERLINK("https://rhld.insurance.arkansas.gov/NPILookup?Npi=1326059122","1326059122")</f>
        <v>1326059122</v>
      </c>
      <c r="E3891" s="1" t="s">
        <v>16541</v>
      </c>
      <c r="F3891" s="2"/>
      <c r="G3891" s="2"/>
      <c r="H3891" s="2"/>
    </row>
    <row r="3892" spans="1:8" x14ac:dyDescent="0.25">
      <c r="A3892" s="1"/>
      <c r="B3892" s="1" t="s">
        <v>4039</v>
      </c>
      <c r="C3892" s="1" t="s">
        <v>4040</v>
      </c>
      <c r="D3892" s="22" t="str">
        <f>HYPERLINK("https://rhld.insurance.arkansas.gov/NPILookup?Npi=1326062357","1326062357")</f>
        <v>1326062357</v>
      </c>
      <c r="E3892" s="1" t="s">
        <v>16542</v>
      </c>
      <c r="F3892" s="2"/>
      <c r="G3892" s="2"/>
      <c r="H3892" s="2"/>
    </row>
    <row r="3893" spans="1:8" x14ac:dyDescent="0.25">
      <c r="A3893" s="1"/>
      <c r="B3893" s="1" t="s">
        <v>4039</v>
      </c>
      <c r="C3893" s="1" t="s">
        <v>4040</v>
      </c>
      <c r="D3893" s="22" t="str">
        <f>HYPERLINK("https://rhld.insurance.arkansas.gov/NPILookup?Npi=1326106220","1326106220")</f>
        <v>1326106220</v>
      </c>
      <c r="E3893" s="1" t="s">
        <v>1724</v>
      </c>
      <c r="F3893" s="2"/>
      <c r="G3893" s="2"/>
      <c r="H3893" s="2"/>
    </row>
    <row r="3894" spans="1:8" x14ac:dyDescent="0.25">
      <c r="A3894" s="1"/>
      <c r="B3894" s="1" t="s">
        <v>4039</v>
      </c>
      <c r="C3894" s="1" t="s">
        <v>4040</v>
      </c>
      <c r="D3894" s="22" t="str">
        <f>HYPERLINK("https://rhld.insurance.arkansas.gov/NPILookup?Npi=1326106428","1326106428")</f>
        <v>1326106428</v>
      </c>
      <c r="E3894" s="1" t="s">
        <v>517</v>
      </c>
      <c r="F3894" s="2"/>
      <c r="G3894" s="2"/>
      <c r="H3894" s="2"/>
    </row>
    <row r="3895" spans="1:8" x14ac:dyDescent="0.25">
      <c r="A3895" s="1"/>
      <c r="B3895" s="1" t="s">
        <v>4039</v>
      </c>
      <c r="C3895" s="1" t="s">
        <v>4040</v>
      </c>
      <c r="D3895" s="22" t="str">
        <f>HYPERLINK("https://rhld.insurance.arkansas.gov/NPILookup?Npi=1326137654","1326137654")</f>
        <v>1326137654</v>
      </c>
      <c r="E3895" s="1" t="s">
        <v>16543</v>
      </c>
      <c r="F3895" s="2"/>
      <c r="G3895" s="2"/>
      <c r="H3895" s="2"/>
    </row>
    <row r="3896" spans="1:8" x14ac:dyDescent="0.25">
      <c r="A3896" s="1"/>
      <c r="B3896" s="1" t="s">
        <v>4039</v>
      </c>
      <c r="C3896" s="1" t="s">
        <v>4040</v>
      </c>
      <c r="D3896" s="22" t="str">
        <f>HYPERLINK("https://rhld.insurance.arkansas.gov/NPILookup?Npi=1326192832","1326192832")</f>
        <v>1326192832</v>
      </c>
      <c r="E3896" s="1" t="s">
        <v>10038</v>
      </c>
      <c r="F3896" s="2"/>
      <c r="G3896" s="2"/>
      <c r="H3896" s="2"/>
    </row>
    <row r="3897" spans="1:8" x14ac:dyDescent="0.25">
      <c r="A3897" s="1"/>
      <c r="B3897" s="1" t="s">
        <v>4039</v>
      </c>
      <c r="C3897" s="1" t="s">
        <v>4040</v>
      </c>
      <c r="D3897" s="22" t="str">
        <f>HYPERLINK("https://rhld.insurance.arkansas.gov/NPILookup?Npi=1326275991","1326275991")</f>
        <v>1326275991</v>
      </c>
      <c r="E3897" s="1" t="s">
        <v>326</v>
      </c>
      <c r="F3897" s="2"/>
      <c r="G3897" s="2"/>
      <c r="H3897" s="2"/>
    </row>
    <row r="3898" spans="1:8" x14ac:dyDescent="0.25">
      <c r="A3898" s="1"/>
      <c r="B3898" s="1" t="s">
        <v>4039</v>
      </c>
      <c r="C3898" s="1" t="s">
        <v>4040</v>
      </c>
      <c r="D3898" s="22" t="str">
        <f>HYPERLINK("https://rhld.insurance.arkansas.gov/NPILookup?Npi=1326311903","1326311903")</f>
        <v>1326311903</v>
      </c>
      <c r="E3898" s="1" t="s">
        <v>16544</v>
      </c>
      <c r="F3898" s="2"/>
      <c r="G3898" s="2"/>
      <c r="H3898" s="2"/>
    </row>
    <row r="3899" spans="1:8" x14ac:dyDescent="0.25">
      <c r="A3899" s="1"/>
      <c r="B3899" s="1" t="s">
        <v>4039</v>
      </c>
      <c r="C3899" s="1" t="s">
        <v>4040</v>
      </c>
      <c r="D3899" s="22" t="str">
        <f>HYPERLINK("https://rhld.insurance.arkansas.gov/NPILookup?Npi=1326345323","1326345323")</f>
        <v>1326345323</v>
      </c>
      <c r="E3899" s="1" t="s">
        <v>1289</v>
      </c>
      <c r="F3899" s="2"/>
      <c r="G3899" s="2"/>
      <c r="H3899" s="2"/>
    </row>
    <row r="3900" spans="1:8" x14ac:dyDescent="0.25">
      <c r="A3900" s="1"/>
      <c r="B3900" s="1" t="s">
        <v>4039</v>
      </c>
      <c r="C3900" s="1" t="s">
        <v>4040</v>
      </c>
      <c r="D3900" s="22" t="str">
        <f>HYPERLINK("https://rhld.insurance.arkansas.gov/NPILookup?Npi=1326487737","1326487737")</f>
        <v>1326487737</v>
      </c>
      <c r="E3900" s="1" t="s">
        <v>16545</v>
      </c>
      <c r="F3900" s="2"/>
      <c r="G3900" s="2"/>
      <c r="H3900" s="2"/>
    </row>
    <row r="3901" spans="1:8" x14ac:dyDescent="0.25">
      <c r="A3901" s="1"/>
      <c r="B3901" s="1" t="s">
        <v>4039</v>
      </c>
      <c r="C3901" s="1" t="s">
        <v>4040</v>
      </c>
      <c r="D3901" s="22" t="str">
        <f>HYPERLINK("https://rhld.insurance.arkansas.gov/NPILookup?Npi=1326499369","1326499369")</f>
        <v>1326499369</v>
      </c>
      <c r="E3901" s="1" t="s">
        <v>16546</v>
      </c>
      <c r="F3901" s="2"/>
      <c r="G3901" s="2"/>
      <c r="H3901" s="2"/>
    </row>
    <row r="3902" spans="1:8" x14ac:dyDescent="0.25">
      <c r="A3902" s="1"/>
      <c r="B3902" s="1" t="s">
        <v>4039</v>
      </c>
      <c r="C3902" s="1" t="s">
        <v>4040</v>
      </c>
      <c r="D3902" s="22" t="str">
        <f>HYPERLINK("https://rhld.insurance.arkansas.gov/NPILookup?Npi=1326517376","1326517376")</f>
        <v>1326517376</v>
      </c>
      <c r="E3902" s="1" t="s">
        <v>16547</v>
      </c>
      <c r="F3902" s="2"/>
      <c r="G3902" s="2"/>
      <c r="H3902" s="2"/>
    </row>
    <row r="3903" spans="1:8" x14ac:dyDescent="0.25">
      <c r="A3903" s="1"/>
      <c r="B3903" s="1" t="s">
        <v>4039</v>
      </c>
      <c r="C3903" s="1" t="s">
        <v>4040</v>
      </c>
      <c r="D3903" s="22" t="str">
        <f>HYPERLINK("https://rhld.insurance.arkansas.gov/NPILookup?Npi=1326569070","1326569070")</f>
        <v>1326569070</v>
      </c>
      <c r="E3903" s="1" t="s">
        <v>16548</v>
      </c>
      <c r="F3903" s="2"/>
      <c r="G3903" s="2"/>
      <c r="H3903" s="2"/>
    </row>
    <row r="3904" spans="1:8" x14ac:dyDescent="0.25">
      <c r="A3904" s="1"/>
      <c r="B3904" s="1" t="s">
        <v>4039</v>
      </c>
      <c r="C3904" s="1" t="s">
        <v>4040</v>
      </c>
      <c r="D3904" s="22" t="str">
        <f>HYPERLINK("https://rhld.insurance.arkansas.gov/NPILookup?Npi=1326577347","1326577347")</f>
        <v>1326577347</v>
      </c>
      <c r="E3904" s="1" t="s">
        <v>16549</v>
      </c>
      <c r="F3904" s="2"/>
      <c r="G3904" s="2"/>
      <c r="H3904" s="2"/>
    </row>
    <row r="3905" spans="1:8" x14ac:dyDescent="0.25">
      <c r="A3905" s="1"/>
      <c r="B3905" s="1" t="s">
        <v>4039</v>
      </c>
      <c r="C3905" s="1" t="s">
        <v>4040</v>
      </c>
      <c r="D3905" s="22" t="str">
        <f>HYPERLINK("https://rhld.insurance.arkansas.gov/NPILookup?Npi=1326580051","1326580051")</f>
        <v>1326580051</v>
      </c>
      <c r="E3905" s="1" t="s">
        <v>16550</v>
      </c>
      <c r="F3905" s="2"/>
      <c r="G3905" s="2"/>
      <c r="H3905" s="2"/>
    </row>
    <row r="3906" spans="1:8" x14ac:dyDescent="0.25">
      <c r="A3906" s="1"/>
      <c r="B3906" s="1" t="s">
        <v>4039</v>
      </c>
      <c r="C3906" s="1" t="s">
        <v>4040</v>
      </c>
      <c r="D3906" s="22" t="str">
        <f>HYPERLINK("https://rhld.insurance.arkansas.gov/NPILookup?Npi=1326676602","1326676602")</f>
        <v>1326676602</v>
      </c>
      <c r="E3906" s="1" t="s">
        <v>16551</v>
      </c>
      <c r="F3906" s="2"/>
      <c r="G3906" s="2"/>
      <c r="H3906" s="2"/>
    </row>
    <row r="3907" spans="1:8" x14ac:dyDescent="0.25">
      <c r="A3907" s="1"/>
      <c r="B3907" s="1" t="s">
        <v>4039</v>
      </c>
      <c r="C3907" s="1" t="s">
        <v>4040</v>
      </c>
      <c r="D3907" s="22" t="str">
        <f>HYPERLINK("https://rhld.insurance.arkansas.gov/NPILookup?Npi=1326888470","1326888470")</f>
        <v>1326888470</v>
      </c>
      <c r="E3907" s="1" t="s">
        <v>16552</v>
      </c>
      <c r="F3907" s="2"/>
      <c r="G3907" s="2"/>
      <c r="H3907" s="2"/>
    </row>
    <row r="3908" spans="1:8" x14ac:dyDescent="0.25">
      <c r="A3908" s="1"/>
      <c r="B3908" s="1" t="s">
        <v>4039</v>
      </c>
      <c r="C3908" s="1" t="s">
        <v>4040</v>
      </c>
      <c r="D3908" s="22" t="str">
        <f>HYPERLINK("https://rhld.insurance.arkansas.gov/NPILookup?Npi=1336155225","1336155225")</f>
        <v>1336155225</v>
      </c>
      <c r="E3908" s="1" t="s">
        <v>2158</v>
      </c>
      <c r="F3908" s="2"/>
      <c r="G3908" s="2"/>
      <c r="H3908" s="2"/>
    </row>
    <row r="3909" spans="1:8" x14ac:dyDescent="0.25">
      <c r="A3909" s="1"/>
      <c r="B3909" s="1" t="s">
        <v>4039</v>
      </c>
      <c r="C3909" s="1" t="s">
        <v>4040</v>
      </c>
      <c r="D3909" s="22" t="str">
        <f>HYPERLINK("https://rhld.insurance.arkansas.gov/NPILookup?Npi=1336163542","1336163542")</f>
        <v>1336163542</v>
      </c>
      <c r="E3909" s="1" t="s">
        <v>4077</v>
      </c>
      <c r="F3909" s="2"/>
      <c r="G3909" s="2"/>
      <c r="H3909" s="2"/>
    </row>
    <row r="3910" spans="1:8" x14ac:dyDescent="0.25">
      <c r="A3910" s="1"/>
      <c r="B3910" s="1" t="s">
        <v>4039</v>
      </c>
      <c r="C3910" s="1" t="s">
        <v>4040</v>
      </c>
      <c r="D3910" s="22" t="str">
        <f>HYPERLINK("https://rhld.insurance.arkansas.gov/NPILookup?Npi=1336236082","1336236082")</f>
        <v>1336236082</v>
      </c>
      <c r="E3910" s="1" t="s">
        <v>16388</v>
      </c>
      <c r="F3910" s="2"/>
      <c r="G3910" s="2"/>
      <c r="H3910" s="2"/>
    </row>
    <row r="3911" spans="1:8" x14ac:dyDescent="0.25">
      <c r="A3911" s="1"/>
      <c r="B3911" s="1" t="s">
        <v>4039</v>
      </c>
      <c r="C3911" s="1" t="s">
        <v>4040</v>
      </c>
      <c r="D3911" s="22" t="str">
        <f>HYPERLINK("https://rhld.insurance.arkansas.gov/NPILookup?Npi=1336252980","1336252980")</f>
        <v>1336252980</v>
      </c>
      <c r="E3911" s="1" t="s">
        <v>16553</v>
      </c>
      <c r="F3911" s="2"/>
      <c r="G3911" s="2"/>
      <c r="H3911" s="2"/>
    </row>
    <row r="3912" spans="1:8" x14ac:dyDescent="0.25">
      <c r="A3912" s="1"/>
      <c r="B3912" s="1" t="s">
        <v>4039</v>
      </c>
      <c r="C3912" s="1" t="s">
        <v>4040</v>
      </c>
      <c r="D3912" s="22" t="str">
        <f>HYPERLINK("https://rhld.insurance.arkansas.gov/NPILookup?Npi=1336260801","1336260801")</f>
        <v>1336260801</v>
      </c>
      <c r="E3912" s="1" t="s">
        <v>1179</v>
      </c>
      <c r="F3912" s="2"/>
      <c r="G3912" s="2"/>
      <c r="H3912" s="2"/>
    </row>
    <row r="3913" spans="1:8" x14ac:dyDescent="0.25">
      <c r="A3913" s="1"/>
      <c r="B3913" s="1" t="s">
        <v>4039</v>
      </c>
      <c r="C3913" s="1" t="s">
        <v>4040</v>
      </c>
      <c r="D3913" s="22" t="str">
        <f>HYPERLINK("https://rhld.insurance.arkansas.gov/NPILookup?Npi=1336282599","1336282599")</f>
        <v>1336282599</v>
      </c>
      <c r="E3913" s="1" t="s">
        <v>3683</v>
      </c>
      <c r="F3913" s="2"/>
      <c r="G3913" s="2"/>
      <c r="H3913" s="2"/>
    </row>
    <row r="3914" spans="1:8" x14ac:dyDescent="0.25">
      <c r="A3914" s="1"/>
      <c r="B3914" s="1" t="s">
        <v>4039</v>
      </c>
      <c r="C3914" s="1" t="s">
        <v>4040</v>
      </c>
      <c r="D3914" s="22" t="str">
        <f>HYPERLINK("https://rhld.insurance.arkansas.gov/NPILookup?Npi=1336294008","1336294008")</f>
        <v>1336294008</v>
      </c>
      <c r="E3914" s="1" t="s">
        <v>3684</v>
      </c>
      <c r="F3914" s="2"/>
      <c r="G3914" s="2"/>
      <c r="H3914" s="2"/>
    </row>
    <row r="3915" spans="1:8" x14ac:dyDescent="0.25">
      <c r="A3915" s="1"/>
      <c r="B3915" s="1" t="s">
        <v>4039</v>
      </c>
      <c r="C3915" s="1" t="s">
        <v>4040</v>
      </c>
      <c r="D3915" s="22" t="str">
        <f>HYPERLINK("https://rhld.insurance.arkansas.gov/NPILookup?Npi=1336306869","1336306869")</f>
        <v>1336306869</v>
      </c>
      <c r="E3915" s="1" t="s">
        <v>568</v>
      </c>
      <c r="F3915" s="2"/>
      <c r="G3915" s="2"/>
      <c r="H3915" s="2"/>
    </row>
    <row r="3916" spans="1:8" x14ac:dyDescent="0.25">
      <c r="A3916" s="1"/>
      <c r="B3916" s="1" t="s">
        <v>4039</v>
      </c>
      <c r="C3916" s="1" t="s">
        <v>4040</v>
      </c>
      <c r="D3916" s="22" t="str">
        <f>HYPERLINK("https://rhld.insurance.arkansas.gov/NPILookup?Npi=1336349752","1336349752")</f>
        <v>1336349752</v>
      </c>
      <c r="E3916" s="1" t="s">
        <v>16554</v>
      </c>
      <c r="F3916" s="2"/>
      <c r="G3916" s="2"/>
      <c r="H3916" s="2"/>
    </row>
    <row r="3917" spans="1:8" x14ac:dyDescent="0.25">
      <c r="A3917" s="1"/>
      <c r="B3917" s="1" t="s">
        <v>4039</v>
      </c>
      <c r="C3917" s="1" t="s">
        <v>4040</v>
      </c>
      <c r="D3917" s="22" t="str">
        <f>HYPERLINK("https://rhld.insurance.arkansas.gov/NPILookup?Npi=1336369123","1336369123")</f>
        <v>1336369123</v>
      </c>
      <c r="E3917" s="1" t="s">
        <v>10039</v>
      </c>
      <c r="F3917" s="2"/>
      <c r="G3917" s="2"/>
      <c r="H3917" s="2"/>
    </row>
    <row r="3918" spans="1:8" x14ac:dyDescent="0.25">
      <c r="A3918" s="1"/>
      <c r="B3918" s="1" t="s">
        <v>4039</v>
      </c>
      <c r="C3918" s="1" t="s">
        <v>4040</v>
      </c>
      <c r="D3918" s="22" t="str">
        <f>HYPERLINK("https://rhld.insurance.arkansas.gov/NPILookup?Npi=1336376847","1336376847")</f>
        <v>1336376847</v>
      </c>
      <c r="E3918" s="1" t="s">
        <v>710</v>
      </c>
      <c r="F3918" s="2"/>
      <c r="G3918" s="2"/>
      <c r="H3918" s="2"/>
    </row>
    <row r="3919" spans="1:8" x14ac:dyDescent="0.25">
      <c r="A3919" s="1"/>
      <c r="B3919" s="1" t="s">
        <v>4039</v>
      </c>
      <c r="C3919" s="1" t="s">
        <v>4040</v>
      </c>
      <c r="D3919" s="22" t="str">
        <f>HYPERLINK("https://rhld.insurance.arkansas.gov/NPILookup?Npi=1336466283","1336466283")</f>
        <v>1336466283</v>
      </c>
      <c r="E3919" s="1" t="s">
        <v>10040</v>
      </c>
      <c r="F3919" s="2"/>
      <c r="G3919" s="2"/>
      <c r="H3919" s="2"/>
    </row>
    <row r="3920" spans="1:8" x14ac:dyDescent="0.25">
      <c r="A3920" s="1"/>
      <c r="B3920" s="1" t="s">
        <v>4039</v>
      </c>
      <c r="C3920" s="1" t="s">
        <v>4040</v>
      </c>
      <c r="D3920" s="22" t="str">
        <f>HYPERLINK("https://rhld.insurance.arkansas.gov/NPILookup?Npi=1336555846","1336555846")</f>
        <v>1336555846</v>
      </c>
      <c r="E3920" s="1" t="s">
        <v>16555</v>
      </c>
      <c r="F3920" s="2"/>
      <c r="G3920" s="2"/>
      <c r="H3920" s="2"/>
    </row>
    <row r="3921" spans="1:8" x14ac:dyDescent="0.25">
      <c r="A3921" s="1"/>
      <c r="B3921" s="1" t="s">
        <v>4039</v>
      </c>
      <c r="C3921" s="1" t="s">
        <v>4040</v>
      </c>
      <c r="D3921" s="22" t="str">
        <f>HYPERLINK("https://rhld.insurance.arkansas.gov/NPILookup?Npi=1336631084","1336631084")</f>
        <v>1336631084</v>
      </c>
      <c r="E3921" s="1" t="s">
        <v>1286</v>
      </c>
      <c r="F3921" s="2"/>
      <c r="G3921" s="2"/>
      <c r="H3921" s="2"/>
    </row>
    <row r="3922" spans="1:8" x14ac:dyDescent="0.25">
      <c r="A3922" s="1"/>
      <c r="B3922" s="1" t="s">
        <v>4039</v>
      </c>
      <c r="C3922" s="1" t="s">
        <v>4040</v>
      </c>
      <c r="D3922" s="22" t="str">
        <f>HYPERLINK("https://rhld.insurance.arkansas.gov/NPILookup?Npi=1336708254","1336708254")</f>
        <v>1336708254</v>
      </c>
      <c r="E3922" s="1" t="s">
        <v>3685</v>
      </c>
      <c r="F3922" s="2"/>
      <c r="G3922" s="2"/>
      <c r="H3922" s="2"/>
    </row>
    <row r="3923" spans="1:8" x14ac:dyDescent="0.25">
      <c r="A3923" s="1"/>
      <c r="B3923" s="1" t="s">
        <v>4039</v>
      </c>
      <c r="C3923" s="1" t="s">
        <v>4040</v>
      </c>
      <c r="D3923" s="22" t="str">
        <f>HYPERLINK("https://rhld.insurance.arkansas.gov/NPILookup?Npi=1336712421","1336712421")</f>
        <v>1336712421</v>
      </c>
      <c r="E3923" s="1" t="s">
        <v>16556</v>
      </c>
      <c r="F3923" s="2"/>
      <c r="G3923" s="2"/>
      <c r="H3923" s="2"/>
    </row>
    <row r="3924" spans="1:8" x14ac:dyDescent="0.25">
      <c r="A3924" s="1"/>
      <c r="B3924" s="1" t="s">
        <v>4039</v>
      </c>
      <c r="C3924" s="1" t="s">
        <v>4040</v>
      </c>
      <c r="D3924" s="22" t="str">
        <f>HYPERLINK("https://rhld.insurance.arkansas.gov/NPILookup?Npi=1336716091","1336716091")</f>
        <v>1336716091</v>
      </c>
      <c r="E3924" s="1" t="s">
        <v>16557</v>
      </c>
      <c r="F3924" s="2"/>
      <c r="G3924" s="2"/>
      <c r="H3924" s="2"/>
    </row>
    <row r="3925" spans="1:8" x14ac:dyDescent="0.25">
      <c r="A3925" s="1"/>
      <c r="B3925" s="1" t="s">
        <v>4039</v>
      </c>
      <c r="C3925" s="1" t="s">
        <v>4040</v>
      </c>
      <c r="D3925" s="22" t="str">
        <f>HYPERLINK("https://rhld.insurance.arkansas.gov/NPILookup?Npi=1336839075","1336839075")</f>
        <v>1336839075</v>
      </c>
      <c r="E3925" s="1" t="s">
        <v>31363</v>
      </c>
      <c r="F3925" s="2"/>
      <c r="G3925" s="2"/>
      <c r="H3925" s="2"/>
    </row>
    <row r="3926" spans="1:8" x14ac:dyDescent="0.25">
      <c r="A3926" s="1"/>
      <c r="B3926" s="1" t="s">
        <v>4039</v>
      </c>
      <c r="C3926" s="1" t="s">
        <v>4040</v>
      </c>
      <c r="D3926" s="22" t="str">
        <f>HYPERLINK("https://rhld.insurance.arkansas.gov/NPILookup?Npi=1336880913","1336880913")</f>
        <v>1336880913</v>
      </c>
      <c r="E3926" s="1" t="s">
        <v>16558</v>
      </c>
      <c r="F3926" s="2"/>
      <c r="G3926" s="2"/>
      <c r="H3926" s="2"/>
    </row>
    <row r="3927" spans="1:8" x14ac:dyDescent="0.25">
      <c r="A3927" s="1"/>
      <c r="B3927" s="1" t="s">
        <v>4039</v>
      </c>
      <c r="C3927" s="1" t="s">
        <v>4040</v>
      </c>
      <c r="D3927" s="22" t="str">
        <f>HYPERLINK("https://rhld.insurance.arkansas.gov/NPILookup?Npi=1346137791","1346137791")</f>
        <v>1346137791</v>
      </c>
      <c r="E3927" s="1" t="s">
        <v>31364</v>
      </c>
      <c r="F3927" s="2"/>
      <c r="G3927" s="2"/>
      <c r="H3927" s="2"/>
    </row>
    <row r="3928" spans="1:8" x14ac:dyDescent="0.25">
      <c r="A3928" s="1"/>
      <c r="B3928" s="1" t="s">
        <v>4039</v>
      </c>
      <c r="C3928" s="1" t="s">
        <v>4040</v>
      </c>
      <c r="D3928" s="22" t="str">
        <f>HYPERLINK("https://rhld.insurance.arkansas.gov/NPILookup?Npi=1346203395","1346203395")</f>
        <v>1346203395</v>
      </c>
      <c r="E3928" s="1" t="s">
        <v>746</v>
      </c>
      <c r="F3928" s="2"/>
      <c r="G3928" s="2"/>
      <c r="H3928" s="2"/>
    </row>
    <row r="3929" spans="1:8" x14ac:dyDescent="0.25">
      <c r="A3929" s="1"/>
      <c r="B3929" s="1" t="s">
        <v>4039</v>
      </c>
      <c r="C3929" s="1" t="s">
        <v>4040</v>
      </c>
      <c r="D3929" s="22" t="str">
        <f>HYPERLINK("https://rhld.insurance.arkansas.gov/NPILookup?Npi=1346248572","1346248572")</f>
        <v>1346248572</v>
      </c>
      <c r="E3929" s="1" t="s">
        <v>10041</v>
      </c>
      <c r="F3929" s="2"/>
      <c r="G3929" s="2"/>
      <c r="H3929" s="2"/>
    </row>
    <row r="3930" spans="1:8" x14ac:dyDescent="0.25">
      <c r="A3930" s="1"/>
      <c r="B3930" s="1" t="s">
        <v>4039</v>
      </c>
      <c r="C3930" s="1" t="s">
        <v>4040</v>
      </c>
      <c r="D3930" s="22" t="str">
        <f>HYPERLINK("https://rhld.insurance.arkansas.gov/NPILookup?Npi=1346275690","1346275690")</f>
        <v>1346275690</v>
      </c>
      <c r="E3930" s="1" t="s">
        <v>16559</v>
      </c>
      <c r="F3930" s="2"/>
      <c r="G3930" s="2"/>
      <c r="H3930" s="2"/>
    </row>
    <row r="3931" spans="1:8" x14ac:dyDescent="0.25">
      <c r="A3931" s="1"/>
      <c r="B3931" s="1" t="s">
        <v>4039</v>
      </c>
      <c r="C3931" s="1" t="s">
        <v>4040</v>
      </c>
      <c r="D3931" s="22" t="str">
        <f>HYPERLINK("https://rhld.insurance.arkansas.gov/NPILookup?Npi=1346291580","1346291580")</f>
        <v>1346291580</v>
      </c>
      <c r="E3931" s="1" t="s">
        <v>1180</v>
      </c>
      <c r="F3931" s="2"/>
      <c r="G3931" s="2"/>
      <c r="H3931" s="2"/>
    </row>
    <row r="3932" spans="1:8" x14ac:dyDescent="0.25">
      <c r="A3932" s="1"/>
      <c r="B3932" s="1" t="s">
        <v>4039</v>
      </c>
      <c r="C3932" s="1" t="s">
        <v>4040</v>
      </c>
      <c r="D3932" s="22" t="str">
        <f>HYPERLINK("https://rhld.insurance.arkansas.gov/NPILookup?Npi=1346308129","1346308129")</f>
        <v>1346308129</v>
      </c>
      <c r="E3932" s="1" t="s">
        <v>3686</v>
      </c>
      <c r="F3932" s="2"/>
      <c r="G3932" s="2"/>
      <c r="H3932" s="2"/>
    </row>
    <row r="3933" spans="1:8" x14ac:dyDescent="0.25">
      <c r="A3933" s="1"/>
      <c r="B3933" s="1" t="s">
        <v>4039</v>
      </c>
      <c r="C3933" s="1" t="s">
        <v>4040</v>
      </c>
      <c r="D3933" s="22" t="str">
        <f>HYPERLINK("https://rhld.insurance.arkansas.gov/NPILookup?Npi=1346320819","1346320819")</f>
        <v>1346320819</v>
      </c>
      <c r="E3933" s="1" t="s">
        <v>16560</v>
      </c>
      <c r="F3933" s="2"/>
      <c r="G3933" s="2"/>
      <c r="H3933" s="2"/>
    </row>
    <row r="3934" spans="1:8" x14ac:dyDescent="0.25">
      <c r="A3934" s="1"/>
      <c r="B3934" s="1" t="s">
        <v>4039</v>
      </c>
      <c r="C3934" s="1" t="s">
        <v>4040</v>
      </c>
      <c r="D3934" s="22" t="str">
        <f>HYPERLINK("https://rhld.insurance.arkansas.gov/NPILookup?Npi=1346326568","1346326568")</f>
        <v>1346326568</v>
      </c>
      <c r="E3934" s="1" t="s">
        <v>16561</v>
      </c>
      <c r="F3934" s="2"/>
      <c r="G3934" s="2"/>
      <c r="H3934" s="2"/>
    </row>
    <row r="3935" spans="1:8" x14ac:dyDescent="0.25">
      <c r="A3935" s="1"/>
      <c r="B3935" s="1" t="s">
        <v>4039</v>
      </c>
      <c r="C3935" s="1" t="s">
        <v>4040</v>
      </c>
      <c r="D3935" s="22" t="str">
        <f>HYPERLINK("https://rhld.insurance.arkansas.gov/NPILookup?Npi=1346347671","1346347671")</f>
        <v>1346347671</v>
      </c>
      <c r="E3935" s="1" t="s">
        <v>16562</v>
      </c>
      <c r="F3935" s="2"/>
      <c r="G3935" s="2"/>
      <c r="H3935" s="2"/>
    </row>
    <row r="3936" spans="1:8" x14ac:dyDescent="0.25">
      <c r="A3936" s="1"/>
      <c r="B3936" s="1" t="s">
        <v>4039</v>
      </c>
      <c r="C3936" s="1" t="s">
        <v>4040</v>
      </c>
      <c r="D3936" s="22" t="str">
        <f>HYPERLINK("https://rhld.insurance.arkansas.gov/NPILookup?Npi=1346368180","1346368180")</f>
        <v>1346368180</v>
      </c>
      <c r="E3936" s="1" t="s">
        <v>16563</v>
      </c>
      <c r="F3936" s="2"/>
      <c r="G3936" s="2"/>
      <c r="H3936" s="2"/>
    </row>
    <row r="3937" spans="1:8" x14ac:dyDescent="0.25">
      <c r="A3937" s="1"/>
      <c r="B3937" s="1" t="s">
        <v>4039</v>
      </c>
      <c r="C3937" s="1" t="s">
        <v>4040</v>
      </c>
      <c r="D3937" s="22" t="str">
        <f>HYPERLINK("https://rhld.insurance.arkansas.gov/NPILookup?Npi=1346454865","1346454865")</f>
        <v>1346454865</v>
      </c>
      <c r="E3937" s="1" t="s">
        <v>16564</v>
      </c>
      <c r="F3937" s="2"/>
      <c r="G3937" s="2"/>
      <c r="H3937" s="2"/>
    </row>
    <row r="3938" spans="1:8" x14ac:dyDescent="0.25">
      <c r="A3938" s="1"/>
      <c r="B3938" s="1" t="s">
        <v>4039</v>
      </c>
      <c r="C3938" s="1" t="s">
        <v>4040</v>
      </c>
      <c r="D3938" s="22" t="str">
        <f>HYPERLINK("https://rhld.insurance.arkansas.gov/NPILookup?Npi=1346467131","1346467131")</f>
        <v>1346467131</v>
      </c>
      <c r="E3938" s="1" t="s">
        <v>16565</v>
      </c>
      <c r="F3938" s="2"/>
      <c r="G3938" s="2"/>
      <c r="H3938" s="2"/>
    </row>
    <row r="3939" spans="1:8" x14ac:dyDescent="0.25">
      <c r="A3939" s="1"/>
      <c r="B3939" s="1" t="s">
        <v>4039</v>
      </c>
      <c r="C3939" s="1" t="s">
        <v>4040</v>
      </c>
      <c r="D3939" s="22" t="str">
        <f>HYPERLINK("https://rhld.insurance.arkansas.gov/NPILookup?Npi=1346468915","1346468915")</f>
        <v>1346468915</v>
      </c>
      <c r="E3939" s="1" t="s">
        <v>3708</v>
      </c>
      <c r="F3939" s="2"/>
      <c r="G3939" s="2"/>
      <c r="H3939" s="2"/>
    </row>
    <row r="3940" spans="1:8" x14ac:dyDescent="0.25">
      <c r="A3940" s="1"/>
      <c r="B3940" s="1" t="s">
        <v>4039</v>
      </c>
      <c r="C3940" s="1" t="s">
        <v>4040</v>
      </c>
      <c r="D3940" s="22" t="str">
        <f>HYPERLINK("https://rhld.insurance.arkansas.gov/NPILookup?Npi=1346478195","1346478195")</f>
        <v>1346478195</v>
      </c>
      <c r="E3940" s="1" t="s">
        <v>16566</v>
      </c>
      <c r="F3940" s="2"/>
      <c r="G3940" s="2"/>
      <c r="H3940" s="2"/>
    </row>
    <row r="3941" spans="1:8" x14ac:dyDescent="0.25">
      <c r="A3941" s="1"/>
      <c r="B3941" s="1" t="s">
        <v>4039</v>
      </c>
      <c r="C3941" s="1" t="s">
        <v>4040</v>
      </c>
      <c r="D3941" s="22" t="str">
        <f>HYPERLINK("https://rhld.insurance.arkansas.gov/NPILookup?Npi=1346529815","1346529815")</f>
        <v>1346529815</v>
      </c>
      <c r="E3941" s="1" t="s">
        <v>16567</v>
      </c>
      <c r="F3941" s="2"/>
      <c r="G3941" s="2"/>
      <c r="H3941" s="2"/>
    </row>
    <row r="3942" spans="1:8" x14ac:dyDescent="0.25">
      <c r="A3942" s="1"/>
      <c r="B3942" s="1" t="s">
        <v>4039</v>
      </c>
      <c r="C3942" s="1" t="s">
        <v>4040</v>
      </c>
      <c r="D3942" s="22" t="str">
        <f>HYPERLINK("https://rhld.insurance.arkansas.gov/NPILookup?Npi=1346634813","1346634813")</f>
        <v>1346634813</v>
      </c>
      <c r="E3942" s="1" t="s">
        <v>10042</v>
      </c>
      <c r="F3942" s="2"/>
      <c r="G3942" s="2"/>
      <c r="H3942" s="2"/>
    </row>
    <row r="3943" spans="1:8" x14ac:dyDescent="0.25">
      <c r="A3943" s="1"/>
      <c r="B3943" s="1" t="s">
        <v>4039</v>
      </c>
      <c r="C3943" s="1" t="s">
        <v>4040</v>
      </c>
      <c r="D3943" s="22" t="str">
        <f>HYPERLINK("https://rhld.insurance.arkansas.gov/NPILookup?Npi=1346658242","1346658242")</f>
        <v>1346658242</v>
      </c>
      <c r="E3943" s="1" t="s">
        <v>16568</v>
      </c>
      <c r="F3943" s="2"/>
      <c r="G3943" s="2"/>
      <c r="H3943" s="2"/>
    </row>
    <row r="3944" spans="1:8" x14ac:dyDescent="0.25">
      <c r="A3944" s="1"/>
      <c r="B3944" s="1" t="s">
        <v>4039</v>
      </c>
      <c r="C3944" s="1" t="s">
        <v>4040</v>
      </c>
      <c r="D3944" s="22" t="str">
        <f>HYPERLINK("https://rhld.insurance.arkansas.gov/NPILookup?Npi=1346693249","1346693249")</f>
        <v>1346693249</v>
      </c>
      <c r="E3944" s="1" t="s">
        <v>10043</v>
      </c>
      <c r="F3944" s="2"/>
      <c r="G3944" s="2"/>
      <c r="H3944" s="2"/>
    </row>
    <row r="3945" spans="1:8" x14ac:dyDescent="0.25">
      <c r="A3945" s="1"/>
      <c r="B3945" s="1" t="s">
        <v>4039</v>
      </c>
      <c r="C3945" s="1" t="s">
        <v>4040</v>
      </c>
      <c r="D3945" s="22" t="str">
        <f>HYPERLINK("https://rhld.insurance.arkansas.gov/NPILookup?Npi=1346955119","1346955119")</f>
        <v>1346955119</v>
      </c>
      <c r="E3945" s="1" t="s">
        <v>4078</v>
      </c>
      <c r="F3945" s="2"/>
      <c r="G3945" s="2"/>
      <c r="H3945" s="2"/>
    </row>
    <row r="3946" spans="1:8" x14ac:dyDescent="0.25">
      <c r="A3946" s="1"/>
      <c r="B3946" s="1" t="s">
        <v>4039</v>
      </c>
      <c r="C3946" s="1" t="s">
        <v>4040</v>
      </c>
      <c r="D3946" s="22" t="str">
        <f>HYPERLINK("https://rhld.insurance.arkansas.gov/NPILookup?Npi=1356358170","1356358170")</f>
        <v>1356358170</v>
      </c>
      <c r="E3946" s="1" t="s">
        <v>16569</v>
      </c>
      <c r="F3946" s="2"/>
      <c r="G3946" s="2"/>
      <c r="H3946" s="2"/>
    </row>
    <row r="3947" spans="1:8" x14ac:dyDescent="0.25">
      <c r="A3947" s="1"/>
      <c r="B3947" s="1" t="s">
        <v>4039</v>
      </c>
      <c r="C3947" s="1" t="s">
        <v>4040</v>
      </c>
      <c r="D3947" s="22" t="str">
        <f>HYPERLINK("https://rhld.insurance.arkansas.gov/NPILookup?Npi=1356408173","1356408173")</f>
        <v>1356408173</v>
      </c>
      <c r="E3947" s="1" t="s">
        <v>16570</v>
      </c>
      <c r="F3947" s="2"/>
      <c r="G3947" s="2"/>
      <c r="H3947" s="2"/>
    </row>
    <row r="3948" spans="1:8" x14ac:dyDescent="0.25">
      <c r="A3948" s="1"/>
      <c r="B3948" s="1" t="s">
        <v>4039</v>
      </c>
      <c r="C3948" s="1" t="s">
        <v>4040</v>
      </c>
      <c r="D3948" s="22" t="str">
        <f>HYPERLINK("https://rhld.insurance.arkansas.gov/NPILookup?Npi=1356412902","1356412902")</f>
        <v>1356412902</v>
      </c>
      <c r="E3948" s="1" t="s">
        <v>1181</v>
      </c>
      <c r="F3948" s="2"/>
      <c r="G3948" s="2"/>
      <c r="H3948" s="2"/>
    </row>
    <row r="3949" spans="1:8" x14ac:dyDescent="0.25">
      <c r="A3949" s="1"/>
      <c r="B3949" s="1" t="s">
        <v>4039</v>
      </c>
      <c r="C3949" s="1" t="s">
        <v>4040</v>
      </c>
      <c r="D3949" s="22" t="str">
        <f>HYPERLINK("https://rhld.insurance.arkansas.gov/NPILookup?Npi=1356421481","1356421481")</f>
        <v>1356421481</v>
      </c>
      <c r="E3949" s="1" t="s">
        <v>1462</v>
      </c>
      <c r="F3949" s="2"/>
      <c r="G3949" s="2"/>
      <c r="H3949" s="2"/>
    </row>
    <row r="3950" spans="1:8" x14ac:dyDescent="0.25">
      <c r="A3950" s="1"/>
      <c r="B3950" s="1" t="s">
        <v>4039</v>
      </c>
      <c r="C3950" s="1" t="s">
        <v>4040</v>
      </c>
      <c r="D3950" s="22" t="str">
        <f>HYPERLINK("https://rhld.insurance.arkansas.gov/NPILookup?Npi=1356443907","1356443907")</f>
        <v>1356443907</v>
      </c>
      <c r="E3950" s="1" t="s">
        <v>10044</v>
      </c>
      <c r="F3950" s="2"/>
      <c r="G3950" s="2"/>
      <c r="H3950" s="2"/>
    </row>
    <row r="3951" spans="1:8" x14ac:dyDescent="0.25">
      <c r="A3951" s="1"/>
      <c r="B3951" s="1" t="s">
        <v>4039</v>
      </c>
      <c r="C3951" s="1" t="s">
        <v>4040</v>
      </c>
      <c r="D3951" s="22" t="str">
        <f>HYPERLINK("https://rhld.insurance.arkansas.gov/NPILookup?Npi=1356483192","1356483192")</f>
        <v>1356483192</v>
      </c>
      <c r="E3951" s="1" t="s">
        <v>10045</v>
      </c>
      <c r="F3951" s="2"/>
      <c r="G3951" s="2"/>
      <c r="H3951" s="2"/>
    </row>
    <row r="3952" spans="1:8" x14ac:dyDescent="0.25">
      <c r="A3952" s="1"/>
      <c r="B3952" s="1" t="s">
        <v>4039</v>
      </c>
      <c r="C3952" s="1" t="s">
        <v>4040</v>
      </c>
      <c r="D3952" s="22" t="str">
        <f>HYPERLINK("https://rhld.insurance.arkansas.gov/NPILookup?Npi=1356538656","1356538656")</f>
        <v>1356538656</v>
      </c>
      <c r="E3952" s="1" t="s">
        <v>16571</v>
      </c>
      <c r="F3952" s="2"/>
      <c r="G3952" s="2"/>
      <c r="H3952" s="2"/>
    </row>
    <row r="3953" spans="1:8" x14ac:dyDescent="0.25">
      <c r="A3953" s="1"/>
      <c r="B3953" s="1" t="s">
        <v>4039</v>
      </c>
      <c r="C3953" s="1" t="s">
        <v>4040</v>
      </c>
      <c r="D3953" s="22" t="str">
        <f>HYPERLINK("https://rhld.insurance.arkansas.gov/NPILookup?Npi=1356561344","1356561344")</f>
        <v>1356561344</v>
      </c>
      <c r="E3953" s="1" t="s">
        <v>16572</v>
      </c>
      <c r="F3953" s="2"/>
      <c r="G3953" s="2"/>
      <c r="H3953" s="2"/>
    </row>
    <row r="3954" spans="1:8" x14ac:dyDescent="0.25">
      <c r="A3954" s="1"/>
      <c r="B3954" s="1" t="s">
        <v>4039</v>
      </c>
      <c r="C3954" s="1" t="s">
        <v>4040</v>
      </c>
      <c r="D3954" s="22" t="str">
        <f>HYPERLINK("https://rhld.insurance.arkansas.gov/NPILookup?Npi=1356579080","1356579080")</f>
        <v>1356579080</v>
      </c>
      <c r="E3954" s="1" t="s">
        <v>16573</v>
      </c>
      <c r="F3954" s="2"/>
      <c r="G3954" s="2"/>
      <c r="H3954" s="2"/>
    </row>
    <row r="3955" spans="1:8" x14ac:dyDescent="0.25">
      <c r="A3955" s="1"/>
      <c r="B3955" s="1" t="s">
        <v>4039</v>
      </c>
      <c r="C3955" s="1" t="s">
        <v>4040</v>
      </c>
      <c r="D3955" s="22" t="str">
        <f>HYPERLINK("https://rhld.insurance.arkansas.gov/NPILookup?Npi=1356701486","1356701486")</f>
        <v>1356701486</v>
      </c>
      <c r="E3955" s="1" t="s">
        <v>3726</v>
      </c>
      <c r="F3955" s="2"/>
      <c r="G3955" s="2"/>
      <c r="H3955" s="2"/>
    </row>
    <row r="3956" spans="1:8" x14ac:dyDescent="0.25">
      <c r="A3956" s="1"/>
      <c r="B3956" s="1" t="s">
        <v>4039</v>
      </c>
      <c r="C3956" s="1" t="s">
        <v>4040</v>
      </c>
      <c r="D3956" s="22" t="str">
        <f>HYPERLINK("https://rhld.insurance.arkansas.gov/NPILookup?Npi=1356742498","1356742498")</f>
        <v>1356742498</v>
      </c>
      <c r="E3956" s="1" t="s">
        <v>16574</v>
      </c>
      <c r="F3956" s="2"/>
      <c r="G3956" s="2"/>
      <c r="H3956" s="2"/>
    </row>
    <row r="3957" spans="1:8" x14ac:dyDescent="0.25">
      <c r="A3957" s="1"/>
      <c r="B3957" s="1" t="s">
        <v>4039</v>
      </c>
      <c r="C3957" s="1" t="s">
        <v>4040</v>
      </c>
      <c r="D3957" s="22" t="str">
        <f>HYPERLINK("https://rhld.insurance.arkansas.gov/NPILookup?Npi=1356748784","1356748784")</f>
        <v>1356748784</v>
      </c>
      <c r="E3957" s="1" t="s">
        <v>4079</v>
      </c>
      <c r="F3957" s="2"/>
      <c r="G3957" s="2"/>
      <c r="H3957" s="2"/>
    </row>
    <row r="3958" spans="1:8" x14ac:dyDescent="0.25">
      <c r="A3958" s="1"/>
      <c r="B3958" s="1" t="s">
        <v>4039</v>
      </c>
      <c r="C3958" s="1" t="s">
        <v>4040</v>
      </c>
      <c r="D3958" s="22" t="str">
        <f>HYPERLINK("https://rhld.insurance.arkansas.gov/NPILookup?Npi=1356780399","1356780399")</f>
        <v>1356780399</v>
      </c>
      <c r="E3958" s="1" t="s">
        <v>16575</v>
      </c>
      <c r="F3958" s="2"/>
      <c r="G3958" s="2"/>
      <c r="H3958" s="2"/>
    </row>
    <row r="3959" spans="1:8" x14ac:dyDescent="0.25">
      <c r="A3959" s="1"/>
      <c r="B3959" s="1" t="s">
        <v>4039</v>
      </c>
      <c r="C3959" s="1" t="s">
        <v>4040</v>
      </c>
      <c r="D3959" s="22" t="str">
        <f>HYPERLINK("https://rhld.insurance.arkansas.gov/NPILookup?Npi=1356809677","1356809677")</f>
        <v>1356809677</v>
      </c>
      <c r="E3959" s="1" t="s">
        <v>1725</v>
      </c>
      <c r="F3959" s="2"/>
      <c r="G3959" s="2"/>
      <c r="H3959" s="2"/>
    </row>
    <row r="3960" spans="1:8" x14ac:dyDescent="0.25">
      <c r="A3960" s="1"/>
      <c r="B3960" s="1" t="s">
        <v>4039</v>
      </c>
      <c r="C3960" s="1" t="s">
        <v>4040</v>
      </c>
      <c r="D3960" s="22" t="str">
        <f>HYPERLINK("https://rhld.insurance.arkansas.gov/NPILookup?Npi=1356871180","1356871180")</f>
        <v>1356871180</v>
      </c>
      <c r="E3960" s="1" t="s">
        <v>1004</v>
      </c>
      <c r="F3960" s="2"/>
      <c r="G3960" s="2"/>
      <c r="H3960" s="2"/>
    </row>
    <row r="3961" spans="1:8" x14ac:dyDescent="0.25">
      <c r="A3961" s="1"/>
      <c r="B3961" s="1" t="s">
        <v>4039</v>
      </c>
      <c r="C3961" s="1" t="s">
        <v>4040</v>
      </c>
      <c r="D3961" s="22" t="str">
        <f>HYPERLINK("https://rhld.insurance.arkansas.gov/NPILookup?Npi=1356925986","1356925986")</f>
        <v>1356925986</v>
      </c>
      <c r="E3961" s="1" t="s">
        <v>16576</v>
      </c>
      <c r="F3961" s="2"/>
      <c r="G3961" s="2"/>
      <c r="H3961" s="2"/>
    </row>
    <row r="3962" spans="1:8" x14ac:dyDescent="0.25">
      <c r="A3962" s="1"/>
      <c r="B3962" s="1" t="s">
        <v>4039</v>
      </c>
      <c r="C3962" s="1" t="s">
        <v>4040</v>
      </c>
      <c r="D3962" s="22" t="str">
        <f>HYPERLINK("https://rhld.insurance.arkansas.gov/NPILookup?Npi=1366015349","1366015349")</f>
        <v>1366015349</v>
      </c>
      <c r="E3962" s="1" t="s">
        <v>16577</v>
      </c>
      <c r="F3962" s="2"/>
      <c r="G3962" s="2"/>
      <c r="H3962" s="2"/>
    </row>
    <row r="3963" spans="1:8" x14ac:dyDescent="0.25">
      <c r="A3963" s="1"/>
      <c r="B3963" s="1" t="s">
        <v>4039</v>
      </c>
      <c r="C3963" s="1" t="s">
        <v>4040</v>
      </c>
      <c r="D3963" s="22" t="str">
        <f>HYPERLINK("https://rhld.insurance.arkansas.gov/NPILookup?Npi=1366094153","1366094153")</f>
        <v>1366094153</v>
      </c>
      <c r="E3963" s="1" t="s">
        <v>16578</v>
      </c>
      <c r="F3963" s="2"/>
      <c r="G3963" s="2"/>
      <c r="H3963" s="2"/>
    </row>
    <row r="3964" spans="1:8" x14ac:dyDescent="0.25">
      <c r="A3964" s="1"/>
      <c r="B3964" s="1" t="s">
        <v>4039</v>
      </c>
      <c r="C3964" s="1" t="s">
        <v>4040</v>
      </c>
      <c r="D3964" s="22" t="str">
        <f>HYPERLINK("https://rhld.insurance.arkansas.gov/NPILookup?Npi=1366173270","1366173270")</f>
        <v>1366173270</v>
      </c>
      <c r="E3964" s="1" t="s">
        <v>16579</v>
      </c>
      <c r="F3964" s="2"/>
      <c r="G3964" s="2"/>
      <c r="H3964" s="2"/>
    </row>
    <row r="3965" spans="1:8" x14ac:dyDescent="0.25">
      <c r="A3965" s="1"/>
      <c r="B3965" s="1" t="s">
        <v>4039</v>
      </c>
      <c r="C3965" s="1" t="s">
        <v>4040</v>
      </c>
      <c r="D3965" s="22" t="str">
        <f>HYPERLINK("https://rhld.insurance.arkansas.gov/NPILookup?Npi=1366252371","1366252371")</f>
        <v>1366252371</v>
      </c>
      <c r="E3965" s="1" t="s">
        <v>31365</v>
      </c>
      <c r="F3965" s="2"/>
      <c r="G3965" s="2"/>
      <c r="H3965" s="2"/>
    </row>
    <row r="3966" spans="1:8" x14ac:dyDescent="0.25">
      <c r="A3966" s="1"/>
      <c r="B3966" s="1" t="s">
        <v>4039</v>
      </c>
      <c r="C3966" s="1" t="s">
        <v>4040</v>
      </c>
      <c r="D3966" s="22" t="str">
        <f>HYPERLINK("https://rhld.insurance.arkansas.gov/NPILookup?Npi=1366463283","1366463283")</f>
        <v>1366463283</v>
      </c>
      <c r="E3966" s="1" t="s">
        <v>612</v>
      </c>
      <c r="F3966" s="2"/>
      <c r="G3966" s="2"/>
      <c r="H3966" s="2"/>
    </row>
    <row r="3967" spans="1:8" x14ac:dyDescent="0.25">
      <c r="A3967" s="1"/>
      <c r="B3967" s="1" t="s">
        <v>4039</v>
      </c>
      <c r="C3967" s="1" t="s">
        <v>4040</v>
      </c>
      <c r="D3967" s="22" t="str">
        <f>HYPERLINK("https://rhld.insurance.arkansas.gov/NPILookup?Npi=1366525172","1366525172")</f>
        <v>1366525172</v>
      </c>
      <c r="E3967" s="1" t="s">
        <v>3687</v>
      </c>
      <c r="F3967" s="2"/>
      <c r="G3967" s="2"/>
      <c r="H3967" s="2"/>
    </row>
    <row r="3968" spans="1:8" x14ac:dyDescent="0.25">
      <c r="A3968" s="1"/>
      <c r="B3968" s="1" t="s">
        <v>4039</v>
      </c>
      <c r="C3968" s="1" t="s">
        <v>4040</v>
      </c>
      <c r="D3968" s="22" t="str">
        <f>HYPERLINK("https://rhld.insurance.arkansas.gov/NPILookup?Npi=1366772287","1366772287")</f>
        <v>1366772287</v>
      </c>
      <c r="E3968" s="1" t="s">
        <v>16580</v>
      </c>
      <c r="F3968" s="2"/>
      <c r="G3968" s="2"/>
      <c r="H3968" s="2"/>
    </row>
    <row r="3969" spans="1:8" x14ac:dyDescent="0.25">
      <c r="A3969" s="1"/>
      <c r="B3969" s="1" t="s">
        <v>4039</v>
      </c>
      <c r="C3969" s="1" t="s">
        <v>4040</v>
      </c>
      <c r="D3969" s="22" t="str">
        <f>HYPERLINK("https://rhld.insurance.arkansas.gov/NPILookup?Npi=1366824500","1366824500")</f>
        <v>1366824500</v>
      </c>
      <c r="E3969" s="1" t="s">
        <v>16581</v>
      </c>
      <c r="F3969" s="2"/>
      <c r="G3969" s="2"/>
      <c r="H3969" s="2"/>
    </row>
    <row r="3970" spans="1:8" x14ac:dyDescent="0.25">
      <c r="A3970" s="1"/>
      <c r="B3970" s="1" t="s">
        <v>4039</v>
      </c>
      <c r="C3970" s="1" t="s">
        <v>4040</v>
      </c>
      <c r="D3970" s="22" t="str">
        <f>HYPERLINK("https://rhld.insurance.arkansas.gov/NPILookup?Npi=1366937906","1366937906")</f>
        <v>1366937906</v>
      </c>
      <c r="E3970" s="1" t="s">
        <v>1489</v>
      </c>
      <c r="F3970" s="2"/>
      <c r="G3970" s="2"/>
      <c r="H3970" s="2"/>
    </row>
    <row r="3971" spans="1:8" x14ac:dyDescent="0.25">
      <c r="A3971" s="1"/>
      <c r="B3971" s="1" t="s">
        <v>4039</v>
      </c>
      <c r="C3971" s="1" t="s">
        <v>4040</v>
      </c>
      <c r="D3971" s="22" t="str">
        <f>HYPERLINK("https://rhld.insurance.arkansas.gov/NPILookup?Npi=1366995201","1366995201")</f>
        <v>1366995201</v>
      </c>
      <c r="E3971" s="1" t="s">
        <v>1182</v>
      </c>
      <c r="F3971" s="2"/>
      <c r="G3971" s="2"/>
      <c r="H3971" s="2"/>
    </row>
    <row r="3972" spans="1:8" x14ac:dyDescent="0.25">
      <c r="A3972" s="1"/>
      <c r="B3972" s="1" t="s">
        <v>4039</v>
      </c>
      <c r="C3972" s="1" t="s">
        <v>4040</v>
      </c>
      <c r="D3972" s="22" t="str">
        <f>HYPERLINK("https://rhld.insurance.arkansas.gov/NPILookup?Npi=1376029397","1376029397")</f>
        <v>1376029397</v>
      </c>
      <c r="E3972" s="1" t="s">
        <v>10046</v>
      </c>
      <c r="F3972" s="2"/>
      <c r="G3972" s="2"/>
      <c r="H3972" s="2"/>
    </row>
    <row r="3973" spans="1:8" x14ac:dyDescent="0.25">
      <c r="A3973" s="1"/>
      <c r="B3973" s="1" t="s">
        <v>4039</v>
      </c>
      <c r="C3973" s="1" t="s">
        <v>4040</v>
      </c>
      <c r="D3973" s="22" t="str">
        <f>HYPERLINK("https://rhld.insurance.arkansas.gov/NPILookup?Npi=1376063610","1376063610")</f>
        <v>1376063610</v>
      </c>
      <c r="E3973" s="1" t="s">
        <v>4080</v>
      </c>
      <c r="F3973" s="2"/>
      <c r="G3973" s="2"/>
      <c r="H3973" s="2"/>
    </row>
    <row r="3974" spans="1:8" x14ac:dyDescent="0.25">
      <c r="A3974" s="1"/>
      <c r="B3974" s="1" t="s">
        <v>4039</v>
      </c>
      <c r="C3974" s="1" t="s">
        <v>4040</v>
      </c>
      <c r="D3974" s="22" t="str">
        <f>HYPERLINK("https://rhld.insurance.arkansas.gov/NPILookup?Npi=1376071498","1376071498")</f>
        <v>1376071498</v>
      </c>
      <c r="E3974" s="1" t="s">
        <v>3688</v>
      </c>
      <c r="F3974" s="2"/>
      <c r="G3974" s="2"/>
      <c r="H3974" s="2"/>
    </row>
    <row r="3975" spans="1:8" x14ac:dyDescent="0.25">
      <c r="A3975" s="1"/>
      <c r="B3975" s="1" t="s">
        <v>4039</v>
      </c>
      <c r="C3975" s="1" t="s">
        <v>4040</v>
      </c>
      <c r="D3975" s="22" t="str">
        <f>HYPERLINK("https://rhld.insurance.arkansas.gov/NPILookup?Npi=1376102228","1376102228")</f>
        <v>1376102228</v>
      </c>
      <c r="E3975" s="1" t="s">
        <v>1463</v>
      </c>
      <c r="F3975" s="2"/>
      <c r="G3975" s="2"/>
      <c r="H3975" s="2"/>
    </row>
    <row r="3976" spans="1:8" x14ac:dyDescent="0.25">
      <c r="A3976" s="1"/>
      <c r="B3976" s="1" t="s">
        <v>4039</v>
      </c>
      <c r="C3976" s="1" t="s">
        <v>4040</v>
      </c>
      <c r="D3976" s="22" t="str">
        <f>HYPERLINK("https://rhld.insurance.arkansas.gov/NPILookup?Npi=1376108571","1376108571")</f>
        <v>1376108571</v>
      </c>
      <c r="E3976" s="1" t="s">
        <v>16582</v>
      </c>
      <c r="F3976" s="2"/>
      <c r="G3976" s="2"/>
      <c r="H3976" s="2"/>
    </row>
    <row r="3977" spans="1:8" x14ac:dyDescent="0.25">
      <c r="A3977" s="1"/>
      <c r="B3977" s="1" t="s">
        <v>4039</v>
      </c>
      <c r="C3977" s="1" t="s">
        <v>4040</v>
      </c>
      <c r="D3977" s="22" t="str">
        <f>HYPERLINK("https://rhld.insurance.arkansas.gov/NPILookup?Npi=1376195800","1376195800")</f>
        <v>1376195800</v>
      </c>
      <c r="E3977" s="1" t="s">
        <v>16583</v>
      </c>
      <c r="F3977" s="2"/>
      <c r="G3977" s="2"/>
      <c r="H3977" s="2"/>
    </row>
    <row r="3978" spans="1:8" x14ac:dyDescent="0.25">
      <c r="A3978" s="1"/>
      <c r="B3978" s="1" t="s">
        <v>4039</v>
      </c>
      <c r="C3978" s="1" t="s">
        <v>4040</v>
      </c>
      <c r="D3978" s="22" t="str">
        <f>HYPERLINK("https://rhld.insurance.arkansas.gov/NPILookup?Npi=1376227694","1376227694")</f>
        <v>1376227694</v>
      </c>
      <c r="E3978" s="1" t="s">
        <v>16584</v>
      </c>
      <c r="F3978" s="2"/>
      <c r="G3978" s="2"/>
      <c r="H3978" s="2"/>
    </row>
    <row r="3979" spans="1:8" x14ac:dyDescent="0.25">
      <c r="A3979" s="1"/>
      <c r="B3979" s="1" t="s">
        <v>4039</v>
      </c>
      <c r="C3979" s="1" t="s">
        <v>4040</v>
      </c>
      <c r="D3979" s="22" t="str">
        <f>HYPERLINK("https://rhld.insurance.arkansas.gov/NPILookup?Npi=1376514356","1376514356")</f>
        <v>1376514356</v>
      </c>
      <c r="E3979" s="1" t="s">
        <v>1183</v>
      </c>
      <c r="F3979" s="2"/>
      <c r="G3979" s="2"/>
      <c r="H3979" s="2"/>
    </row>
    <row r="3980" spans="1:8" x14ac:dyDescent="0.25">
      <c r="A3980" s="1"/>
      <c r="B3980" s="1" t="s">
        <v>4039</v>
      </c>
      <c r="C3980" s="1" t="s">
        <v>4040</v>
      </c>
      <c r="D3980" s="22" t="str">
        <f>HYPERLINK("https://rhld.insurance.arkansas.gov/NPILookup?Npi=1376606046","1376606046")</f>
        <v>1376606046</v>
      </c>
      <c r="E3980" s="1" t="s">
        <v>2722</v>
      </c>
      <c r="F3980" s="2"/>
      <c r="G3980" s="2"/>
      <c r="H3980" s="2"/>
    </row>
    <row r="3981" spans="1:8" x14ac:dyDescent="0.25">
      <c r="A3981" s="1"/>
      <c r="B3981" s="1" t="s">
        <v>4039</v>
      </c>
      <c r="C3981" s="1" t="s">
        <v>4040</v>
      </c>
      <c r="D3981" s="22" t="str">
        <f>HYPERLINK("https://rhld.insurance.arkansas.gov/NPILookup?Npi=1376616664","1376616664")</f>
        <v>1376616664</v>
      </c>
      <c r="E3981" s="1" t="s">
        <v>16585</v>
      </c>
      <c r="F3981" s="2"/>
      <c r="G3981" s="2"/>
      <c r="H3981" s="2"/>
    </row>
    <row r="3982" spans="1:8" x14ac:dyDescent="0.25">
      <c r="A3982" s="1"/>
      <c r="B3982" s="1" t="s">
        <v>4039</v>
      </c>
      <c r="C3982" s="1" t="s">
        <v>4040</v>
      </c>
      <c r="D3982" s="22" t="str">
        <f>HYPERLINK("https://rhld.insurance.arkansas.gov/NPILookup?Npi=1376616946","1376616946")</f>
        <v>1376616946</v>
      </c>
      <c r="E3982" s="1" t="s">
        <v>10047</v>
      </c>
      <c r="F3982" s="2"/>
      <c r="G3982" s="2"/>
      <c r="H3982" s="2"/>
    </row>
    <row r="3983" spans="1:8" x14ac:dyDescent="0.25">
      <c r="A3983" s="1"/>
      <c r="B3983" s="1" t="s">
        <v>4039</v>
      </c>
      <c r="C3983" s="1" t="s">
        <v>4040</v>
      </c>
      <c r="D3983" s="22" t="str">
        <f>HYPERLINK("https://rhld.insurance.arkansas.gov/NPILookup?Npi=1376617662","1376617662")</f>
        <v>1376617662</v>
      </c>
      <c r="E3983" s="1" t="s">
        <v>493</v>
      </c>
      <c r="F3983" s="2"/>
      <c r="G3983" s="2"/>
      <c r="H3983" s="2"/>
    </row>
    <row r="3984" spans="1:8" x14ac:dyDescent="0.25">
      <c r="A3984" s="1"/>
      <c r="B3984" s="1" t="s">
        <v>4039</v>
      </c>
      <c r="C3984" s="1" t="s">
        <v>4040</v>
      </c>
      <c r="D3984" s="22" t="str">
        <f>HYPERLINK("https://rhld.insurance.arkansas.gov/NPILookup?Npi=1376634006","1376634006")</f>
        <v>1376634006</v>
      </c>
      <c r="E3984" s="1" t="s">
        <v>518</v>
      </c>
      <c r="F3984" s="2"/>
      <c r="G3984" s="2"/>
      <c r="H3984" s="2"/>
    </row>
    <row r="3985" spans="1:8" x14ac:dyDescent="0.25">
      <c r="A3985" s="1"/>
      <c r="B3985" s="1" t="s">
        <v>4039</v>
      </c>
      <c r="C3985" s="1" t="s">
        <v>4040</v>
      </c>
      <c r="D3985" s="22" t="str">
        <f>HYPERLINK("https://rhld.insurance.arkansas.gov/NPILookup?Npi=1376635375","1376635375")</f>
        <v>1376635375</v>
      </c>
      <c r="E3985" s="1" t="s">
        <v>16586</v>
      </c>
      <c r="F3985" s="2"/>
      <c r="G3985" s="2"/>
      <c r="H3985" s="2"/>
    </row>
    <row r="3986" spans="1:8" x14ac:dyDescent="0.25">
      <c r="A3986" s="1"/>
      <c r="B3986" s="1" t="s">
        <v>4039</v>
      </c>
      <c r="C3986" s="1" t="s">
        <v>4040</v>
      </c>
      <c r="D3986" s="22" t="str">
        <f>HYPERLINK("https://rhld.insurance.arkansas.gov/NPILookup?Npi=1376637587","1376637587")</f>
        <v>1376637587</v>
      </c>
      <c r="E3986" s="1" t="s">
        <v>13529</v>
      </c>
      <c r="F3986" s="2"/>
      <c r="G3986" s="2"/>
      <c r="H3986" s="2"/>
    </row>
    <row r="3987" spans="1:8" x14ac:dyDescent="0.25">
      <c r="A3987" s="1"/>
      <c r="B3987" s="1" t="s">
        <v>4039</v>
      </c>
      <c r="C3987" s="1" t="s">
        <v>4040</v>
      </c>
      <c r="D3987" s="22" t="str">
        <f>HYPERLINK("https://rhld.insurance.arkansas.gov/NPILookup?Npi=1376740142","1376740142")</f>
        <v>1376740142</v>
      </c>
      <c r="E3987" s="1" t="s">
        <v>16587</v>
      </c>
      <c r="F3987" s="2"/>
      <c r="G3987" s="2"/>
      <c r="H3987" s="2"/>
    </row>
    <row r="3988" spans="1:8" x14ac:dyDescent="0.25">
      <c r="A3988" s="1"/>
      <c r="B3988" s="1" t="s">
        <v>4039</v>
      </c>
      <c r="C3988" s="1" t="s">
        <v>4040</v>
      </c>
      <c r="D3988" s="22" t="str">
        <f>HYPERLINK("https://rhld.insurance.arkansas.gov/NPILookup?Npi=1376807537","1376807537")</f>
        <v>1376807537</v>
      </c>
      <c r="E3988" s="1" t="s">
        <v>494</v>
      </c>
      <c r="F3988" s="2"/>
      <c r="G3988" s="2"/>
      <c r="H3988" s="2"/>
    </row>
    <row r="3989" spans="1:8" x14ac:dyDescent="0.25">
      <c r="A3989" s="1"/>
      <c r="B3989" s="1" t="s">
        <v>4039</v>
      </c>
      <c r="C3989" s="1" t="s">
        <v>4040</v>
      </c>
      <c r="D3989" s="22" t="str">
        <f>HYPERLINK("https://rhld.insurance.arkansas.gov/NPILookup?Npi=1376821181","1376821181")</f>
        <v>1376821181</v>
      </c>
      <c r="E3989" s="1" t="s">
        <v>16588</v>
      </c>
      <c r="F3989" s="2"/>
      <c r="G3989" s="2"/>
      <c r="H3989" s="2"/>
    </row>
    <row r="3990" spans="1:8" x14ac:dyDescent="0.25">
      <c r="A3990" s="1"/>
      <c r="B3990" s="1" t="s">
        <v>4039</v>
      </c>
      <c r="C3990" s="1" t="s">
        <v>4040</v>
      </c>
      <c r="D3990" s="22" t="str">
        <f>HYPERLINK("https://rhld.insurance.arkansas.gov/NPILookup?Npi=1376863035","1376863035")</f>
        <v>1376863035</v>
      </c>
      <c r="E3990" s="1" t="s">
        <v>549</v>
      </c>
      <c r="F3990" s="2"/>
      <c r="G3990" s="2"/>
      <c r="H3990" s="2"/>
    </row>
    <row r="3991" spans="1:8" x14ac:dyDescent="0.25">
      <c r="A3991" s="1"/>
      <c r="B3991" s="1" t="s">
        <v>4039</v>
      </c>
      <c r="C3991" s="1" t="s">
        <v>4040</v>
      </c>
      <c r="D3991" s="22" t="str">
        <f>HYPERLINK("https://rhld.insurance.arkansas.gov/NPILookup?Npi=1376953737","1376953737")</f>
        <v>1376953737</v>
      </c>
      <c r="E3991" s="1" t="s">
        <v>16589</v>
      </c>
      <c r="F3991" s="2"/>
      <c r="G3991" s="2"/>
      <c r="H3991" s="2"/>
    </row>
    <row r="3992" spans="1:8" x14ac:dyDescent="0.25">
      <c r="A3992" s="1"/>
      <c r="B3992" s="1" t="s">
        <v>4039</v>
      </c>
      <c r="C3992" s="1" t="s">
        <v>4040</v>
      </c>
      <c r="D3992" s="22" t="str">
        <f>HYPERLINK("https://rhld.insurance.arkansas.gov/NPILookup?Npi=1376980706","1376980706")</f>
        <v>1376980706</v>
      </c>
      <c r="E3992" s="1" t="s">
        <v>16590</v>
      </c>
      <c r="F3992" s="2"/>
      <c r="G3992" s="2"/>
      <c r="H3992" s="2"/>
    </row>
    <row r="3993" spans="1:8" x14ac:dyDescent="0.25">
      <c r="A3993" s="1"/>
      <c r="B3993" s="1" t="s">
        <v>4039</v>
      </c>
      <c r="C3993" s="1" t="s">
        <v>4040</v>
      </c>
      <c r="D3993" s="22" t="str">
        <f>HYPERLINK("https://rhld.insurance.arkansas.gov/NPILookup?Npi=1376994434","1376994434")</f>
        <v>1376994434</v>
      </c>
      <c r="E3993" s="1" t="s">
        <v>811</v>
      </c>
      <c r="F3993" s="2"/>
      <c r="G3993" s="2"/>
      <c r="H3993" s="2"/>
    </row>
    <row r="3994" spans="1:8" x14ac:dyDescent="0.25">
      <c r="A3994" s="1"/>
      <c r="B3994" s="1" t="s">
        <v>4039</v>
      </c>
      <c r="C3994" s="1" t="s">
        <v>4040</v>
      </c>
      <c r="D3994" s="22" t="str">
        <f>HYPERLINK("https://rhld.insurance.arkansas.gov/NPILookup?Npi=1386121655","1386121655")</f>
        <v>1386121655</v>
      </c>
      <c r="E3994" s="1" t="s">
        <v>16591</v>
      </c>
      <c r="F3994" s="2"/>
      <c r="G3994" s="2"/>
      <c r="H3994" s="2"/>
    </row>
    <row r="3995" spans="1:8" x14ac:dyDescent="0.25">
      <c r="A3995" s="1"/>
      <c r="B3995" s="1" t="s">
        <v>4039</v>
      </c>
      <c r="C3995" s="1" t="s">
        <v>4040</v>
      </c>
      <c r="D3995" s="22" t="str">
        <f>HYPERLINK("https://rhld.insurance.arkansas.gov/NPILookup?Npi=1386318285","1386318285")</f>
        <v>1386318285</v>
      </c>
      <c r="E3995" s="1" t="s">
        <v>4081</v>
      </c>
      <c r="F3995" s="2"/>
      <c r="G3995" s="2"/>
      <c r="H3995" s="2"/>
    </row>
    <row r="3996" spans="1:8" x14ac:dyDescent="0.25">
      <c r="A3996" s="1"/>
      <c r="B3996" s="1" t="s">
        <v>4039</v>
      </c>
      <c r="C3996" s="1" t="s">
        <v>4040</v>
      </c>
      <c r="D3996" s="22" t="str">
        <f>HYPERLINK("https://rhld.insurance.arkansas.gov/NPILookup?Npi=1386704385","1386704385")</f>
        <v>1386704385</v>
      </c>
      <c r="E3996" s="1" t="s">
        <v>3727</v>
      </c>
      <c r="F3996" s="2"/>
      <c r="G3996" s="2"/>
      <c r="H3996" s="2"/>
    </row>
    <row r="3997" spans="1:8" x14ac:dyDescent="0.25">
      <c r="A3997" s="1"/>
      <c r="B3997" s="1" t="s">
        <v>4039</v>
      </c>
      <c r="C3997" s="1" t="s">
        <v>4040</v>
      </c>
      <c r="D3997" s="22" t="str">
        <f>HYPERLINK("https://rhld.insurance.arkansas.gov/NPILookup?Npi=1386740686","1386740686")</f>
        <v>1386740686</v>
      </c>
      <c r="E3997" s="1" t="s">
        <v>16592</v>
      </c>
      <c r="F3997" s="2"/>
      <c r="G3997" s="2"/>
      <c r="H3997" s="2"/>
    </row>
    <row r="3998" spans="1:8" x14ac:dyDescent="0.25">
      <c r="A3998" s="1"/>
      <c r="B3998" s="1" t="s">
        <v>4039</v>
      </c>
      <c r="C3998" s="1" t="s">
        <v>4040</v>
      </c>
      <c r="D3998" s="22" t="str">
        <f>HYPERLINK("https://rhld.insurance.arkansas.gov/NPILookup?Npi=1386849362","1386849362")</f>
        <v>1386849362</v>
      </c>
      <c r="E3998" s="1" t="s">
        <v>16593</v>
      </c>
      <c r="F3998" s="2"/>
      <c r="G3998" s="2"/>
      <c r="H3998" s="2"/>
    </row>
    <row r="3999" spans="1:8" x14ac:dyDescent="0.25">
      <c r="A3999" s="1"/>
      <c r="B3999" s="1" t="s">
        <v>4039</v>
      </c>
      <c r="C3999" s="1" t="s">
        <v>4040</v>
      </c>
      <c r="D3999" s="22" t="str">
        <f>HYPERLINK("https://rhld.insurance.arkansas.gov/NPILookup?Npi=1386863595","1386863595")</f>
        <v>1386863595</v>
      </c>
      <c r="E3999" s="1" t="s">
        <v>382</v>
      </c>
      <c r="F3999" s="2"/>
      <c r="G3999" s="2"/>
      <c r="H3999" s="2"/>
    </row>
    <row r="4000" spans="1:8" x14ac:dyDescent="0.25">
      <c r="A4000" s="1"/>
      <c r="B4000" s="1" t="s">
        <v>4039</v>
      </c>
      <c r="C4000" s="1" t="s">
        <v>4040</v>
      </c>
      <c r="D4000" s="22" t="str">
        <f>HYPERLINK("https://rhld.insurance.arkansas.gov/NPILookup?Npi=1386932143","1386932143")</f>
        <v>1386932143</v>
      </c>
      <c r="E4000" s="1" t="s">
        <v>3689</v>
      </c>
      <c r="F4000" s="2"/>
      <c r="G4000" s="2"/>
      <c r="H4000" s="2"/>
    </row>
    <row r="4001" spans="1:8" x14ac:dyDescent="0.25">
      <c r="A4001" s="1"/>
      <c r="B4001" s="1" t="s">
        <v>4039</v>
      </c>
      <c r="C4001" s="1" t="s">
        <v>4040</v>
      </c>
      <c r="D4001" s="22" t="str">
        <f>HYPERLINK("https://rhld.insurance.arkansas.gov/NPILookup?Npi=1386993525","1386993525")</f>
        <v>1386993525</v>
      </c>
      <c r="E4001" s="1" t="s">
        <v>1569</v>
      </c>
      <c r="F4001" s="2"/>
      <c r="G4001" s="2"/>
      <c r="H4001" s="2"/>
    </row>
    <row r="4002" spans="1:8" x14ac:dyDescent="0.25">
      <c r="A4002" s="1"/>
      <c r="B4002" s="1" t="s">
        <v>4039</v>
      </c>
      <c r="C4002" s="1" t="s">
        <v>4040</v>
      </c>
      <c r="D4002" s="22" t="str">
        <f>HYPERLINK("https://rhld.insurance.arkansas.gov/NPILookup?Npi=1396024881","1396024881")</f>
        <v>1396024881</v>
      </c>
      <c r="E4002" s="1" t="s">
        <v>495</v>
      </c>
      <c r="F4002" s="2"/>
      <c r="G4002" s="2"/>
      <c r="H4002" s="2"/>
    </row>
    <row r="4003" spans="1:8" x14ac:dyDescent="0.25">
      <c r="A4003" s="1"/>
      <c r="B4003" s="1" t="s">
        <v>4039</v>
      </c>
      <c r="C4003" s="1" t="s">
        <v>4040</v>
      </c>
      <c r="D4003" s="22" t="str">
        <f>HYPERLINK("https://rhld.insurance.arkansas.gov/NPILookup?Npi=1396056545","1396056545")</f>
        <v>1396056545</v>
      </c>
      <c r="E4003" s="1" t="s">
        <v>3690</v>
      </c>
      <c r="F4003" s="2"/>
      <c r="G4003" s="2"/>
      <c r="H4003" s="2"/>
    </row>
    <row r="4004" spans="1:8" x14ac:dyDescent="0.25">
      <c r="A4004" s="1"/>
      <c r="B4004" s="1" t="s">
        <v>4039</v>
      </c>
      <c r="C4004" s="1" t="s">
        <v>4040</v>
      </c>
      <c r="D4004" s="22" t="str">
        <f>HYPERLINK("https://rhld.insurance.arkansas.gov/NPILookup?Npi=1396069878","1396069878")</f>
        <v>1396069878</v>
      </c>
      <c r="E4004" s="1" t="s">
        <v>16594</v>
      </c>
      <c r="F4004" s="2"/>
      <c r="G4004" s="2"/>
      <c r="H4004" s="2"/>
    </row>
    <row r="4005" spans="1:8" x14ac:dyDescent="0.25">
      <c r="A4005" s="1"/>
      <c r="B4005" s="1" t="s">
        <v>4039</v>
      </c>
      <c r="C4005" s="1" t="s">
        <v>4040</v>
      </c>
      <c r="D4005" s="22" t="str">
        <f>HYPERLINK("https://rhld.insurance.arkansas.gov/NPILookup?Npi=1396165965","1396165965")</f>
        <v>1396165965</v>
      </c>
      <c r="E4005" s="1" t="s">
        <v>2348</v>
      </c>
      <c r="F4005" s="2"/>
      <c r="G4005" s="2"/>
      <c r="H4005" s="2"/>
    </row>
    <row r="4006" spans="1:8" x14ac:dyDescent="0.25">
      <c r="A4006" s="1"/>
      <c r="B4006" s="1" t="s">
        <v>4039</v>
      </c>
      <c r="C4006" s="1" t="s">
        <v>4040</v>
      </c>
      <c r="D4006" s="22" t="str">
        <f>HYPERLINK("https://rhld.insurance.arkansas.gov/NPILookup?Npi=1396167102","1396167102")</f>
        <v>1396167102</v>
      </c>
      <c r="E4006" s="1" t="s">
        <v>16595</v>
      </c>
      <c r="F4006" s="2"/>
      <c r="G4006" s="2"/>
      <c r="H4006" s="2"/>
    </row>
    <row r="4007" spans="1:8" x14ac:dyDescent="0.25">
      <c r="A4007" s="1"/>
      <c r="B4007" s="1" t="s">
        <v>4039</v>
      </c>
      <c r="C4007" s="1" t="s">
        <v>4040</v>
      </c>
      <c r="D4007" s="22" t="str">
        <f>HYPERLINK("https://rhld.insurance.arkansas.gov/NPILookup?Npi=1396188116","1396188116")</f>
        <v>1396188116</v>
      </c>
      <c r="E4007" s="1" t="s">
        <v>31366</v>
      </c>
      <c r="F4007" s="2"/>
      <c r="G4007" s="2"/>
      <c r="H4007" s="2"/>
    </row>
    <row r="4008" spans="1:8" x14ac:dyDescent="0.25">
      <c r="A4008" s="1"/>
      <c r="B4008" s="1" t="s">
        <v>4039</v>
      </c>
      <c r="C4008" s="1" t="s">
        <v>4040</v>
      </c>
      <c r="D4008" s="22" t="str">
        <f>HYPERLINK("https://rhld.insurance.arkansas.gov/NPILookup?Npi=1396324927","1396324927")</f>
        <v>1396324927</v>
      </c>
      <c r="E4008" s="1" t="s">
        <v>16596</v>
      </c>
      <c r="F4008" s="2"/>
      <c r="G4008" s="2"/>
      <c r="H4008" s="2"/>
    </row>
    <row r="4009" spans="1:8" x14ac:dyDescent="0.25">
      <c r="A4009" s="1"/>
      <c r="B4009" s="1" t="s">
        <v>4039</v>
      </c>
      <c r="C4009" s="1" t="s">
        <v>4040</v>
      </c>
      <c r="D4009" s="22" t="str">
        <f>HYPERLINK("https://rhld.insurance.arkansas.gov/NPILookup?Npi=1396435483","1396435483")</f>
        <v>1396435483</v>
      </c>
      <c r="E4009" s="1" t="s">
        <v>4082</v>
      </c>
      <c r="F4009" s="2"/>
      <c r="G4009" s="2"/>
      <c r="H4009" s="2"/>
    </row>
    <row r="4010" spans="1:8" x14ac:dyDescent="0.25">
      <c r="A4010" s="1"/>
      <c r="B4010" s="1" t="s">
        <v>4039</v>
      </c>
      <c r="C4010" s="1" t="s">
        <v>4040</v>
      </c>
      <c r="D4010" s="22" t="str">
        <f>HYPERLINK("https://rhld.insurance.arkansas.gov/NPILookup?Npi=1396474011","1396474011")</f>
        <v>1396474011</v>
      </c>
      <c r="E4010" s="1" t="s">
        <v>16597</v>
      </c>
      <c r="F4010" s="2"/>
      <c r="G4010" s="2"/>
      <c r="H4010" s="2"/>
    </row>
    <row r="4011" spans="1:8" x14ac:dyDescent="0.25">
      <c r="A4011" s="1"/>
      <c r="B4011" s="1" t="s">
        <v>4039</v>
      </c>
      <c r="C4011" s="1" t="s">
        <v>4040</v>
      </c>
      <c r="D4011" s="22" t="str">
        <f>HYPERLINK("https://rhld.insurance.arkansas.gov/NPILookup?Npi=1396721882","1396721882")</f>
        <v>1396721882</v>
      </c>
      <c r="E4011" s="1" t="s">
        <v>16598</v>
      </c>
      <c r="F4011" s="2"/>
      <c r="G4011" s="2"/>
      <c r="H4011" s="2"/>
    </row>
    <row r="4012" spans="1:8" x14ac:dyDescent="0.25">
      <c r="A4012" s="1"/>
      <c r="B4012" s="1" t="s">
        <v>4039</v>
      </c>
      <c r="C4012" s="1" t="s">
        <v>4040</v>
      </c>
      <c r="D4012" s="22" t="str">
        <f>HYPERLINK("https://rhld.insurance.arkansas.gov/NPILookup?Npi=1396842456","1396842456")</f>
        <v>1396842456</v>
      </c>
      <c r="E4012" s="1" t="s">
        <v>16599</v>
      </c>
      <c r="F4012" s="2"/>
      <c r="G4012" s="2"/>
      <c r="H4012" s="2"/>
    </row>
    <row r="4013" spans="1:8" x14ac:dyDescent="0.25">
      <c r="A4013" s="1"/>
      <c r="B4013" s="1" t="s">
        <v>4039</v>
      </c>
      <c r="C4013" s="1" t="s">
        <v>4040</v>
      </c>
      <c r="D4013" s="22" t="str">
        <f>HYPERLINK("https://rhld.insurance.arkansas.gov/NPILookup?Npi=1396854014","1396854014")</f>
        <v>1396854014</v>
      </c>
      <c r="E4013" s="1" t="s">
        <v>569</v>
      </c>
      <c r="F4013" s="2"/>
      <c r="G4013" s="2"/>
      <c r="H4013" s="2"/>
    </row>
    <row r="4014" spans="1:8" x14ac:dyDescent="0.25">
      <c r="A4014" s="1"/>
      <c r="B4014" s="1" t="s">
        <v>4039</v>
      </c>
      <c r="C4014" s="1" t="s">
        <v>4040</v>
      </c>
      <c r="D4014" s="22" t="str">
        <f>HYPERLINK("https://rhld.insurance.arkansas.gov/NPILookup?Npi=1396881421","1396881421")</f>
        <v>1396881421</v>
      </c>
      <c r="E4014" s="1" t="s">
        <v>16600</v>
      </c>
      <c r="F4014" s="2"/>
      <c r="G4014" s="2"/>
      <c r="H4014" s="2"/>
    </row>
    <row r="4015" spans="1:8" x14ac:dyDescent="0.25">
      <c r="A4015" s="1"/>
      <c r="B4015" s="1" t="s">
        <v>4039</v>
      </c>
      <c r="C4015" s="1" t="s">
        <v>4040</v>
      </c>
      <c r="D4015" s="22" t="str">
        <f>HYPERLINK("https://rhld.insurance.arkansas.gov/NPILookup?Npi=1396896536","1396896536")</f>
        <v>1396896536</v>
      </c>
      <c r="E4015" s="1" t="s">
        <v>16601</v>
      </c>
      <c r="F4015" s="2"/>
      <c r="G4015" s="2"/>
      <c r="H4015" s="2"/>
    </row>
    <row r="4016" spans="1:8" x14ac:dyDescent="0.25">
      <c r="A4016" s="1"/>
      <c r="B4016" s="1" t="s">
        <v>4039</v>
      </c>
      <c r="C4016" s="1" t="s">
        <v>4040</v>
      </c>
      <c r="D4016" s="22" t="str">
        <f>HYPERLINK("https://rhld.insurance.arkansas.gov/NPILookup?Npi=1396915534","1396915534")</f>
        <v>1396915534</v>
      </c>
      <c r="E4016" s="1" t="s">
        <v>16602</v>
      </c>
      <c r="F4016" s="2"/>
      <c r="G4016" s="2"/>
      <c r="H4016" s="2"/>
    </row>
    <row r="4017" spans="1:8" x14ac:dyDescent="0.25">
      <c r="A4017" s="1"/>
      <c r="B4017" s="1" t="s">
        <v>4039</v>
      </c>
      <c r="C4017" s="1" t="s">
        <v>4040</v>
      </c>
      <c r="D4017" s="22" t="str">
        <f>HYPERLINK("https://rhld.insurance.arkansas.gov/NPILookup?Npi=1396932158","1396932158")</f>
        <v>1396932158</v>
      </c>
      <c r="E4017" s="1" t="s">
        <v>1464</v>
      </c>
      <c r="F4017" s="2"/>
      <c r="G4017" s="2"/>
      <c r="H4017" s="2"/>
    </row>
    <row r="4018" spans="1:8" x14ac:dyDescent="0.25">
      <c r="A4018" s="1"/>
      <c r="B4018" s="1" t="s">
        <v>4039</v>
      </c>
      <c r="C4018" s="1" t="s">
        <v>4040</v>
      </c>
      <c r="D4018" s="22" t="str">
        <f>HYPERLINK("https://rhld.insurance.arkansas.gov/NPILookup?Npi=1407069370","1407069370")</f>
        <v>1407069370</v>
      </c>
      <c r="E4018" s="1" t="s">
        <v>16603</v>
      </c>
      <c r="F4018" s="2"/>
      <c r="G4018" s="2"/>
      <c r="H4018" s="2"/>
    </row>
    <row r="4019" spans="1:8" x14ac:dyDescent="0.25">
      <c r="A4019" s="1"/>
      <c r="B4019" s="1" t="s">
        <v>4039</v>
      </c>
      <c r="C4019" s="1" t="s">
        <v>4040</v>
      </c>
      <c r="D4019" s="22" t="str">
        <f>HYPERLINK("https://rhld.insurance.arkansas.gov/NPILookup?Npi=1407076144","1407076144")</f>
        <v>1407076144</v>
      </c>
      <c r="E4019" s="1" t="s">
        <v>3691</v>
      </c>
      <c r="F4019" s="2"/>
      <c r="G4019" s="2"/>
      <c r="H4019" s="2"/>
    </row>
    <row r="4020" spans="1:8" x14ac:dyDescent="0.25">
      <c r="A4020" s="1"/>
      <c r="B4020" s="1" t="s">
        <v>4039</v>
      </c>
      <c r="C4020" s="1" t="s">
        <v>4040</v>
      </c>
      <c r="D4020" s="22" t="str">
        <f>HYPERLINK("https://rhld.insurance.arkansas.gov/NPILookup?Npi=1407086366","1407086366")</f>
        <v>1407086366</v>
      </c>
      <c r="E4020" s="1" t="s">
        <v>16582</v>
      </c>
      <c r="F4020" s="2"/>
      <c r="G4020" s="2"/>
      <c r="H4020" s="2"/>
    </row>
    <row r="4021" spans="1:8" x14ac:dyDescent="0.25">
      <c r="A4021" s="1"/>
      <c r="B4021" s="1" t="s">
        <v>4039</v>
      </c>
      <c r="C4021" s="1" t="s">
        <v>4040</v>
      </c>
      <c r="D4021" s="22" t="str">
        <f>HYPERLINK("https://rhld.insurance.arkansas.gov/NPILookup?Npi=1407203177","1407203177")</f>
        <v>1407203177</v>
      </c>
      <c r="E4021" s="1" t="s">
        <v>16604</v>
      </c>
      <c r="F4021" s="2"/>
      <c r="G4021" s="2"/>
      <c r="H4021" s="2"/>
    </row>
    <row r="4022" spans="1:8" x14ac:dyDescent="0.25">
      <c r="A4022" s="1"/>
      <c r="B4022" s="1" t="s">
        <v>4039</v>
      </c>
      <c r="C4022" s="1" t="s">
        <v>4040</v>
      </c>
      <c r="D4022" s="22" t="str">
        <f>HYPERLINK("https://rhld.insurance.arkansas.gov/NPILookup?Npi=1407231251","1407231251")</f>
        <v>1407231251</v>
      </c>
      <c r="E4022" s="1" t="s">
        <v>16605</v>
      </c>
      <c r="F4022" s="2"/>
      <c r="G4022" s="2"/>
      <c r="H4022" s="2"/>
    </row>
    <row r="4023" spans="1:8" x14ac:dyDescent="0.25">
      <c r="A4023" s="1"/>
      <c r="B4023" s="1" t="s">
        <v>4039</v>
      </c>
      <c r="C4023" s="1" t="s">
        <v>4040</v>
      </c>
      <c r="D4023" s="22" t="str">
        <f>HYPERLINK("https://rhld.insurance.arkansas.gov/NPILookup?Npi=1407236383","1407236383")</f>
        <v>1407236383</v>
      </c>
      <c r="E4023" s="1" t="s">
        <v>16606</v>
      </c>
      <c r="F4023" s="2"/>
      <c r="G4023" s="2"/>
      <c r="H4023" s="2"/>
    </row>
    <row r="4024" spans="1:8" x14ac:dyDescent="0.25">
      <c r="A4024" s="1"/>
      <c r="B4024" s="1" t="s">
        <v>4039</v>
      </c>
      <c r="C4024" s="1" t="s">
        <v>4040</v>
      </c>
      <c r="D4024" s="22" t="str">
        <f>HYPERLINK("https://rhld.insurance.arkansas.gov/NPILookup?Npi=1407393812","1407393812")</f>
        <v>1407393812</v>
      </c>
      <c r="E4024" s="1" t="s">
        <v>16607</v>
      </c>
      <c r="F4024" s="2"/>
      <c r="G4024" s="2"/>
      <c r="H4024" s="2"/>
    </row>
    <row r="4025" spans="1:8" x14ac:dyDescent="0.25">
      <c r="A4025" s="1"/>
      <c r="B4025" s="1" t="s">
        <v>4039</v>
      </c>
      <c r="C4025" s="1" t="s">
        <v>4040</v>
      </c>
      <c r="D4025" s="22" t="str">
        <f>HYPERLINK("https://rhld.insurance.arkansas.gov/NPILookup?Npi=1407429376","1407429376")</f>
        <v>1407429376</v>
      </c>
      <c r="E4025" s="1" t="s">
        <v>16608</v>
      </c>
      <c r="F4025" s="2"/>
      <c r="G4025" s="2"/>
      <c r="H4025" s="2"/>
    </row>
    <row r="4026" spans="1:8" x14ac:dyDescent="0.25">
      <c r="A4026" s="1"/>
      <c r="B4026" s="1" t="s">
        <v>4039</v>
      </c>
      <c r="C4026" s="1" t="s">
        <v>4040</v>
      </c>
      <c r="D4026" s="22" t="str">
        <f>HYPERLINK("https://rhld.insurance.arkansas.gov/NPILookup?Npi=1407825656","1407825656")</f>
        <v>1407825656</v>
      </c>
      <c r="E4026" s="1" t="s">
        <v>16609</v>
      </c>
      <c r="F4026" s="2"/>
      <c r="G4026" s="2"/>
      <c r="H4026" s="2"/>
    </row>
    <row r="4027" spans="1:8" x14ac:dyDescent="0.25">
      <c r="A4027" s="1"/>
      <c r="B4027" s="1" t="s">
        <v>4039</v>
      </c>
      <c r="C4027" s="1" t="s">
        <v>4040</v>
      </c>
      <c r="D4027" s="22" t="str">
        <f>HYPERLINK("https://rhld.insurance.arkansas.gov/NPILookup?Npi=1407869399","1407869399")</f>
        <v>1407869399</v>
      </c>
      <c r="E4027" s="1" t="s">
        <v>16610</v>
      </c>
      <c r="F4027" s="2"/>
      <c r="G4027" s="2"/>
      <c r="H4027" s="2"/>
    </row>
    <row r="4028" spans="1:8" x14ac:dyDescent="0.25">
      <c r="A4028" s="1"/>
      <c r="B4028" s="1" t="s">
        <v>4039</v>
      </c>
      <c r="C4028" s="1" t="s">
        <v>4040</v>
      </c>
      <c r="D4028" s="22" t="str">
        <f>HYPERLINK("https://rhld.insurance.arkansas.gov/NPILookup?Npi=1407878697","1407878697")</f>
        <v>1407878697</v>
      </c>
      <c r="E4028" s="1" t="s">
        <v>16611</v>
      </c>
      <c r="F4028" s="2"/>
      <c r="G4028" s="2"/>
      <c r="H4028" s="2"/>
    </row>
    <row r="4029" spans="1:8" x14ac:dyDescent="0.25">
      <c r="A4029" s="1"/>
      <c r="B4029" s="1" t="s">
        <v>4039</v>
      </c>
      <c r="C4029" s="1" t="s">
        <v>4040</v>
      </c>
      <c r="D4029" s="22" t="str">
        <f>HYPERLINK("https://rhld.insurance.arkansas.gov/NPILookup?Npi=1407905698","1407905698")</f>
        <v>1407905698</v>
      </c>
      <c r="E4029" s="1" t="s">
        <v>3692</v>
      </c>
      <c r="F4029" s="2"/>
      <c r="G4029" s="2"/>
      <c r="H4029" s="2"/>
    </row>
    <row r="4030" spans="1:8" x14ac:dyDescent="0.25">
      <c r="A4030" s="1"/>
      <c r="B4030" s="1" t="s">
        <v>4039</v>
      </c>
      <c r="C4030" s="1" t="s">
        <v>4040</v>
      </c>
      <c r="D4030" s="22" t="str">
        <f>HYPERLINK("https://rhld.insurance.arkansas.gov/NPILookup?Npi=1407907165","1407907165")</f>
        <v>1407907165</v>
      </c>
      <c r="E4030" s="1" t="s">
        <v>16612</v>
      </c>
      <c r="F4030" s="2"/>
      <c r="G4030" s="2"/>
      <c r="H4030" s="2"/>
    </row>
    <row r="4031" spans="1:8" x14ac:dyDescent="0.25">
      <c r="A4031" s="1"/>
      <c r="B4031" s="1" t="s">
        <v>4039</v>
      </c>
      <c r="C4031" s="1" t="s">
        <v>4040</v>
      </c>
      <c r="D4031" s="22" t="str">
        <f>HYPERLINK("https://rhld.insurance.arkansas.gov/NPILookup?Npi=1407915515","1407915515")</f>
        <v>1407915515</v>
      </c>
      <c r="E4031" s="1" t="s">
        <v>596</v>
      </c>
      <c r="F4031" s="2"/>
      <c r="G4031" s="2"/>
      <c r="H4031" s="2"/>
    </row>
    <row r="4032" spans="1:8" x14ac:dyDescent="0.25">
      <c r="A4032" s="1"/>
      <c r="B4032" s="1" t="s">
        <v>4039</v>
      </c>
      <c r="C4032" s="1" t="s">
        <v>4040</v>
      </c>
      <c r="D4032" s="22" t="str">
        <f>HYPERLINK("https://rhld.insurance.arkansas.gov/NPILookup?Npi=1407942998","1407942998")</f>
        <v>1407942998</v>
      </c>
      <c r="E4032" s="1" t="s">
        <v>16613</v>
      </c>
      <c r="F4032" s="2"/>
      <c r="G4032" s="2"/>
      <c r="H4032" s="2"/>
    </row>
    <row r="4033" spans="1:8" x14ac:dyDescent="0.25">
      <c r="A4033" s="1"/>
      <c r="B4033" s="1" t="s">
        <v>4039</v>
      </c>
      <c r="C4033" s="1" t="s">
        <v>4040</v>
      </c>
      <c r="D4033" s="22" t="str">
        <f>HYPERLINK("https://rhld.insurance.arkansas.gov/NPILookup?Npi=1407963762","1407963762")</f>
        <v>1407963762</v>
      </c>
      <c r="E4033" s="1" t="s">
        <v>10048</v>
      </c>
      <c r="F4033" s="2"/>
      <c r="G4033" s="2"/>
      <c r="H4033" s="2"/>
    </row>
    <row r="4034" spans="1:8" x14ac:dyDescent="0.25">
      <c r="A4034" s="1"/>
      <c r="B4034" s="1" t="s">
        <v>4039</v>
      </c>
      <c r="C4034" s="1" t="s">
        <v>4040</v>
      </c>
      <c r="D4034" s="22" t="str">
        <f>HYPERLINK("https://rhld.insurance.arkansas.gov/NPILookup?Npi=1407996697","1407996697")</f>
        <v>1407996697</v>
      </c>
      <c r="E4034" s="1" t="s">
        <v>16614</v>
      </c>
      <c r="F4034" s="2"/>
      <c r="G4034" s="2"/>
      <c r="H4034" s="2"/>
    </row>
    <row r="4035" spans="1:8" x14ac:dyDescent="0.25">
      <c r="A4035" s="1"/>
      <c r="B4035" s="1" t="s">
        <v>4039</v>
      </c>
      <c r="C4035" s="1" t="s">
        <v>4040</v>
      </c>
      <c r="D4035" s="22" t="str">
        <f>HYPERLINK("https://rhld.insurance.arkansas.gov/NPILookup?Npi=1417035395","1417035395")</f>
        <v>1417035395</v>
      </c>
      <c r="E4035" s="1" t="s">
        <v>16615</v>
      </c>
      <c r="F4035" s="2"/>
      <c r="G4035" s="2"/>
      <c r="H4035" s="2"/>
    </row>
    <row r="4036" spans="1:8" x14ac:dyDescent="0.25">
      <c r="A4036" s="1"/>
      <c r="B4036" s="1" t="s">
        <v>4039</v>
      </c>
      <c r="C4036" s="1" t="s">
        <v>4040</v>
      </c>
      <c r="D4036" s="22" t="str">
        <f>HYPERLINK("https://rhld.insurance.arkansas.gov/NPILookup?Npi=1417052945","1417052945")</f>
        <v>1417052945</v>
      </c>
      <c r="E4036" s="1" t="s">
        <v>16616</v>
      </c>
      <c r="F4036" s="2"/>
      <c r="G4036" s="2"/>
      <c r="H4036" s="2"/>
    </row>
    <row r="4037" spans="1:8" x14ac:dyDescent="0.25">
      <c r="A4037" s="1"/>
      <c r="B4037" s="1" t="s">
        <v>4039</v>
      </c>
      <c r="C4037" s="1" t="s">
        <v>4040</v>
      </c>
      <c r="D4037" s="22" t="str">
        <f>HYPERLINK("https://rhld.insurance.arkansas.gov/NPILookup?Npi=1417074857","1417074857")</f>
        <v>1417074857</v>
      </c>
      <c r="E4037" s="1" t="s">
        <v>16617</v>
      </c>
      <c r="F4037" s="2"/>
      <c r="G4037" s="2"/>
      <c r="H4037" s="2"/>
    </row>
    <row r="4038" spans="1:8" x14ac:dyDescent="0.25">
      <c r="A4038" s="1"/>
      <c r="B4038" s="1" t="s">
        <v>4039</v>
      </c>
      <c r="C4038" s="1" t="s">
        <v>4040</v>
      </c>
      <c r="D4038" s="22" t="str">
        <f>HYPERLINK("https://rhld.insurance.arkansas.gov/NPILookup?Npi=1417166539","1417166539")</f>
        <v>1417166539</v>
      </c>
      <c r="E4038" s="1" t="s">
        <v>496</v>
      </c>
      <c r="F4038" s="2"/>
      <c r="G4038" s="2"/>
      <c r="H4038" s="2"/>
    </row>
    <row r="4039" spans="1:8" x14ac:dyDescent="0.25">
      <c r="A4039" s="1"/>
      <c r="B4039" s="1" t="s">
        <v>4039</v>
      </c>
      <c r="C4039" s="1" t="s">
        <v>4040</v>
      </c>
      <c r="D4039" s="22" t="str">
        <f>HYPERLINK("https://rhld.insurance.arkansas.gov/NPILookup?Npi=1417172206","1417172206")</f>
        <v>1417172206</v>
      </c>
      <c r="E4039" s="1" t="s">
        <v>16618</v>
      </c>
      <c r="F4039" s="2"/>
      <c r="G4039" s="2"/>
      <c r="H4039" s="2"/>
    </row>
    <row r="4040" spans="1:8" x14ac:dyDescent="0.25">
      <c r="A4040" s="1"/>
      <c r="B4040" s="1" t="s">
        <v>4039</v>
      </c>
      <c r="C4040" s="1" t="s">
        <v>4040</v>
      </c>
      <c r="D4040" s="22" t="str">
        <f>HYPERLINK("https://rhld.insurance.arkansas.gov/NPILookup?Npi=1417211848","1417211848")</f>
        <v>1417211848</v>
      </c>
      <c r="E4040" s="1" t="s">
        <v>16619</v>
      </c>
      <c r="F4040" s="2"/>
      <c r="G4040" s="2"/>
      <c r="H4040" s="2"/>
    </row>
    <row r="4041" spans="1:8" x14ac:dyDescent="0.25">
      <c r="A4041" s="1"/>
      <c r="B4041" s="1" t="s">
        <v>4039</v>
      </c>
      <c r="C4041" s="1" t="s">
        <v>4040</v>
      </c>
      <c r="D4041" s="22" t="str">
        <f>HYPERLINK("https://rhld.insurance.arkansas.gov/NPILookup?Npi=1417242835","1417242835")</f>
        <v>1417242835</v>
      </c>
      <c r="E4041" s="1" t="s">
        <v>16620</v>
      </c>
      <c r="F4041" s="2"/>
      <c r="G4041" s="2"/>
      <c r="H4041" s="2"/>
    </row>
    <row r="4042" spans="1:8" x14ac:dyDescent="0.25">
      <c r="A4042" s="1"/>
      <c r="B4042" s="1" t="s">
        <v>4039</v>
      </c>
      <c r="C4042" s="1" t="s">
        <v>4040</v>
      </c>
      <c r="D4042" s="22" t="str">
        <f>HYPERLINK("https://rhld.insurance.arkansas.gov/NPILookup?Npi=1417300674","1417300674")</f>
        <v>1417300674</v>
      </c>
      <c r="E4042" s="1" t="s">
        <v>16621</v>
      </c>
      <c r="F4042" s="2"/>
      <c r="G4042" s="2"/>
      <c r="H4042" s="2"/>
    </row>
    <row r="4043" spans="1:8" x14ac:dyDescent="0.25">
      <c r="A4043" s="1"/>
      <c r="B4043" s="1" t="s">
        <v>4039</v>
      </c>
      <c r="C4043" s="1" t="s">
        <v>4040</v>
      </c>
      <c r="D4043" s="22" t="str">
        <f>HYPERLINK("https://rhld.insurance.arkansas.gov/NPILookup?Npi=1417434739","1417434739")</f>
        <v>1417434739</v>
      </c>
      <c r="E4043" s="1" t="s">
        <v>10049</v>
      </c>
      <c r="F4043" s="2"/>
      <c r="G4043" s="2"/>
      <c r="H4043" s="2"/>
    </row>
    <row r="4044" spans="1:8" x14ac:dyDescent="0.25">
      <c r="A4044" s="1"/>
      <c r="B4044" s="1" t="s">
        <v>4039</v>
      </c>
      <c r="C4044" s="1" t="s">
        <v>4040</v>
      </c>
      <c r="D4044" s="22" t="str">
        <f>HYPERLINK("https://rhld.insurance.arkansas.gov/NPILookup?Npi=1417486192","1417486192")</f>
        <v>1417486192</v>
      </c>
      <c r="E4044" s="1" t="s">
        <v>1936</v>
      </c>
      <c r="F4044" s="2"/>
      <c r="G4044" s="2"/>
      <c r="H4044" s="2"/>
    </row>
    <row r="4045" spans="1:8" x14ac:dyDescent="0.25">
      <c r="A4045" s="1"/>
      <c r="B4045" s="1" t="s">
        <v>4039</v>
      </c>
      <c r="C4045" s="1" t="s">
        <v>4040</v>
      </c>
      <c r="D4045" s="22" t="str">
        <f>HYPERLINK("https://rhld.insurance.arkansas.gov/NPILookup?Npi=1417486754","1417486754")</f>
        <v>1417486754</v>
      </c>
      <c r="E4045" s="1" t="s">
        <v>10050</v>
      </c>
      <c r="F4045" s="2"/>
      <c r="G4045" s="2"/>
      <c r="H4045" s="2"/>
    </row>
    <row r="4046" spans="1:8" x14ac:dyDescent="0.25">
      <c r="A4046" s="1"/>
      <c r="B4046" s="1" t="s">
        <v>4039</v>
      </c>
      <c r="C4046" s="1" t="s">
        <v>4040</v>
      </c>
      <c r="D4046" s="22" t="str">
        <f>HYPERLINK("https://rhld.insurance.arkansas.gov/NPILookup?Npi=1417486887","1417486887")</f>
        <v>1417486887</v>
      </c>
      <c r="E4046" s="1" t="s">
        <v>16622</v>
      </c>
      <c r="F4046" s="2"/>
      <c r="G4046" s="2"/>
      <c r="H4046" s="2"/>
    </row>
    <row r="4047" spans="1:8" x14ac:dyDescent="0.25">
      <c r="A4047" s="1"/>
      <c r="B4047" s="1" t="s">
        <v>4039</v>
      </c>
      <c r="C4047" s="1" t="s">
        <v>4040</v>
      </c>
      <c r="D4047" s="22" t="str">
        <f>HYPERLINK("https://rhld.insurance.arkansas.gov/NPILookup?Npi=1417565482","1417565482")</f>
        <v>1417565482</v>
      </c>
      <c r="E4047" s="1" t="s">
        <v>4083</v>
      </c>
      <c r="F4047" s="2"/>
      <c r="G4047" s="2"/>
      <c r="H4047" s="2"/>
    </row>
    <row r="4048" spans="1:8" x14ac:dyDescent="0.25">
      <c r="A4048" s="1"/>
      <c r="B4048" s="1" t="s">
        <v>4039</v>
      </c>
      <c r="C4048" s="1" t="s">
        <v>4040</v>
      </c>
      <c r="D4048" s="22" t="str">
        <f>HYPERLINK("https://rhld.insurance.arkansas.gov/NPILookup?Npi=1417570425","1417570425")</f>
        <v>1417570425</v>
      </c>
      <c r="E4048" s="1" t="s">
        <v>16623</v>
      </c>
      <c r="F4048" s="2"/>
      <c r="G4048" s="2"/>
      <c r="H4048" s="2"/>
    </row>
    <row r="4049" spans="1:8" x14ac:dyDescent="0.25">
      <c r="A4049" s="1"/>
      <c r="B4049" s="1" t="s">
        <v>4039</v>
      </c>
      <c r="C4049" s="1" t="s">
        <v>4040</v>
      </c>
      <c r="D4049" s="22" t="str">
        <f>HYPERLINK("https://rhld.insurance.arkansas.gov/NPILookup?Npi=1417629817","1417629817")</f>
        <v>1417629817</v>
      </c>
      <c r="E4049" s="1" t="s">
        <v>4084</v>
      </c>
      <c r="F4049" s="2"/>
      <c r="G4049" s="2"/>
      <c r="H4049" s="2"/>
    </row>
    <row r="4050" spans="1:8" x14ac:dyDescent="0.25">
      <c r="A4050" s="1"/>
      <c r="B4050" s="1" t="s">
        <v>4039</v>
      </c>
      <c r="C4050" s="1" t="s">
        <v>4040</v>
      </c>
      <c r="D4050" s="22" t="str">
        <f>HYPERLINK("https://rhld.insurance.arkansas.gov/NPILookup?Npi=1417732405","1417732405")</f>
        <v>1417732405</v>
      </c>
      <c r="E4050" s="1" t="s">
        <v>4085</v>
      </c>
      <c r="F4050" s="2"/>
      <c r="G4050" s="2"/>
      <c r="H4050" s="2"/>
    </row>
    <row r="4051" spans="1:8" x14ac:dyDescent="0.25">
      <c r="A4051" s="1"/>
      <c r="B4051" s="1" t="s">
        <v>4039</v>
      </c>
      <c r="C4051" s="1" t="s">
        <v>4040</v>
      </c>
      <c r="D4051" s="22" t="str">
        <f>HYPERLINK("https://rhld.insurance.arkansas.gov/NPILookup?Npi=1417792839","1417792839")</f>
        <v>1417792839</v>
      </c>
      <c r="E4051" s="1" t="s">
        <v>31367</v>
      </c>
      <c r="F4051" s="2"/>
      <c r="G4051" s="2"/>
      <c r="H4051" s="2"/>
    </row>
    <row r="4052" spans="1:8" x14ac:dyDescent="0.25">
      <c r="A4052" s="1"/>
      <c r="B4052" s="1" t="s">
        <v>4039</v>
      </c>
      <c r="C4052" s="1" t="s">
        <v>4040</v>
      </c>
      <c r="D4052" s="22" t="str">
        <f>HYPERLINK("https://rhld.insurance.arkansas.gov/NPILookup?Npi=1417943259","1417943259")</f>
        <v>1417943259</v>
      </c>
      <c r="E4052" s="1" t="s">
        <v>4086</v>
      </c>
      <c r="F4052" s="2"/>
      <c r="G4052" s="2"/>
      <c r="H4052" s="2"/>
    </row>
    <row r="4053" spans="1:8" x14ac:dyDescent="0.25">
      <c r="A4053" s="1"/>
      <c r="B4053" s="1" t="s">
        <v>4039</v>
      </c>
      <c r="C4053" s="1" t="s">
        <v>4040</v>
      </c>
      <c r="D4053" s="22" t="str">
        <f>HYPERLINK("https://rhld.insurance.arkansas.gov/NPILookup?Npi=1417964099","1417964099")</f>
        <v>1417964099</v>
      </c>
      <c r="E4053" s="1" t="s">
        <v>16624</v>
      </c>
      <c r="F4053" s="2"/>
      <c r="G4053" s="2"/>
      <c r="H4053" s="2"/>
    </row>
    <row r="4054" spans="1:8" x14ac:dyDescent="0.25">
      <c r="A4054" s="1"/>
      <c r="B4054" s="1" t="s">
        <v>4039</v>
      </c>
      <c r="C4054" s="1" t="s">
        <v>4040</v>
      </c>
      <c r="D4054" s="22" t="str">
        <f>HYPERLINK("https://rhld.insurance.arkansas.gov/NPILookup?Npi=1417964669","1417964669")</f>
        <v>1417964669</v>
      </c>
      <c r="E4054" s="1" t="s">
        <v>597</v>
      </c>
      <c r="F4054" s="2"/>
      <c r="G4054" s="2"/>
      <c r="H4054" s="2"/>
    </row>
    <row r="4055" spans="1:8" x14ac:dyDescent="0.25">
      <c r="A4055" s="1"/>
      <c r="B4055" s="1" t="s">
        <v>4039</v>
      </c>
      <c r="C4055" s="1" t="s">
        <v>4040</v>
      </c>
      <c r="D4055" s="22" t="str">
        <f>HYPERLINK("https://rhld.insurance.arkansas.gov/NPILookup?Npi=1417976275","1417976275")</f>
        <v>1417976275</v>
      </c>
      <c r="E4055" s="1" t="s">
        <v>16625</v>
      </c>
      <c r="F4055" s="2"/>
      <c r="G4055" s="2"/>
      <c r="H4055" s="2"/>
    </row>
    <row r="4056" spans="1:8" x14ac:dyDescent="0.25">
      <c r="A4056" s="1"/>
      <c r="B4056" s="1" t="s">
        <v>4039</v>
      </c>
      <c r="C4056" s="1" t="s">
        <v>4040</v>
      </c>
      <c r="D4056" s="22" t="str">
        <f>HYPERLINK("https://rhld.insurance.arkansas.gov/NPILookup?Npi=1417989112","1417989112")</f>
        <v>1417989112</v>
      </c>
      <c r="E4056" s="1" t="s">
        <v>16626</v>
      </c>
      <c r="F4056" s="2"/>
      <c r="G4056" s="2"/>
      <c r="H4056" s="2"/>
    </row>
    <row r="4057" spans="1:8" x14ac:dyDescent="0.25">
      <c r="A4057" s="1"/>
      <c r="B4057" s="1" t="s">
        <v>4039</v>
      </c>
      <c r="C4057" s="1" t="s">
        <v>4040</v>
      </c>
      <c r="D4057" s="22" t="str">
        <f>HYPERLINK("https://rhld.insurance.arkansas.gov/NPILookup?Npi=1427038116","1427038116")</f>
        <v>1427038116</v>
      </c>
      <c r="E4057" s="1" t="s">
        <v>10051</v>
      </c>
      <c r="F4057" s="2"/>
      <c r="G4057" s="2"/>
      <c r="H4057" s="2"/>
    </row>
    <row r="4058" spans="1:8" x14ac:dyDescent="0.25">
      <c r="A4058" s="1"/>
      <c r="B4058" s="1" t="s">
        <v>4039</v>
      </c>
      <c r="C4058" s="1" t="s">
        <v>4040</v>
      </c>
      <c r="D4058" s="22" t="str">
        <f>HYPERLINK("https://rhld.insurance.arkansas.gov/NPILookup?Npi=1427087352","1427087352")</f>
        <v>1427087352</v>
      </c>
      <c r="E4058" s="1" t="s">
        <v>16627</v>
      </c>
      <c r="F4058" s="2"/>
      <c r="G4058" s="2"/>
      <c r="H4058" s="2"/>
    </row>
    <row r="4059" spans="1:8" x14ac:dyDescent="0.25">
      <c r="A4059" s="1"/>
      <c r="B4059" s="1" t="s">
        <v>4039</v>
      </c>
      <c r="C4059" s="1" t="s">
        <v>4040</v>
      </c>
      <c r="D4059" s="22" t="str">
        <f>HYPERLINK("https://rhld.insurance.arkansas.gov/NPILookup?Npi=1427107879","1427107879")</f>
        <v>1427107879</v>
      </c>
      <c r="E4059" s="1" t="s">
        <v>16628</v>
      </c>
      <c r="F4059" s="2"/>
      <c r="G4059" s="2"/>
      <c r="H4059" s="2"/>
    </row>
    <row r="4060" spans="1:8" x14ac:dyDescent="0.25">
      <c r="A4060" s="1"/>
      <c r="B4060" s="1" t="s">
        <v>4039</v>
      </c>
      <c r="C4060" s="1" t="s">
        <v>4040</v>
      </c>
      <c r="D4060" s="22" t="str">
        <f>HYPERLINK("https://rhld.insurance.arkansas.gov/NPILookup?Npi=1427115146","1427115146")</f>
        <v>1427115146</v>
      </c>
      <c r="E4060" s="1" t="s">
        <v>16629</v>
      </c>
      <c r="F4060" s="2"/>
      <c r="G4060" s="2"/>
      <c r="H4060" s="2"/>
    </row>
    <row r="4061" spans="1:8" x14ac:dyDescent="0.25">
      <c r="A4061" s="1"/>
      <c r="B4061" s="1" t="s">
        <v>4039</v>
      </c>
      <c r="C4061" s="1" t="s">
        <v>4040</v>
      </c>
      <c r="D4061" s="22" t="str">
        <f>HYPERLINK("https://rhld.insurance.arkansas.gov/NPILookup?Npi=1427118983","1427118983")</f>
        <v>1427118983</v>
      </c>
      <c r="E4061" s="1" t="s">
        <v>16630</v>
      </c>
      <c r="F4061" s="2"/>
      <c r="G4061" s="2"/>
      <c r="H4061" s="2"/>
    </row>
    <row r="4062" spans="1:8" x14ac:dyDescent="0.25">
      <c r="A4062" s="1"/>
      <c r="B4062" s="1" t="s">
        <v>4039</v>
      </c>
      <c r="C4062" s="1" t="s">
        <v>4040</v>
      </c>
      <c r="D4062" s="22" t="str">
        <f>HYPERLINK("https://rhld.insurance.arkansas.gov/NPILookup?Npi=1427122522","1427122522")</f>
        <v>1427122522</v>
      </c>
      <c r="E4062" s="1" t="s">
        <v>10052</v>
      </c>
      <c r="F4062" s="2"/>
      <c r="G4062" s="2"/>
      <c r="H4062" s="2"/>
    </row>
    <row r="4063" spans="1:8" x14ac:dyDescent="0.25">
      <c r="A4063" s="1"/>
      <c r="B4063" s="1" t="s">
        <v>4039</v>
      </c>
      <c r="C4063" s="1" t="s">
        <v>4040</v>
      </c>
      <c r="D4063" s="22" t="str">
        <f>HYPERLINK("https://rhld.insurance.arkansas.gov/NPILookup?Npi=1427126135","1427126135")</f>
        <v>1427126135</v>
      </c>
      <c r="E4063" s="1" t="s">
        <v>16631</v>
      </c>
      <c r="F4063" s="2"/>
      <c r="G4063" s="2"/>
      <c r="H4063" s="2"/>
    </row>
    <row r="4064" spans="1:8" x14ac:dyDescent="0.25">
      <c r="A4064" s="1"/>
      <c r="B4064" s="1" t="s">
        <v>4039</v>
      </c>
      <c r="C4064" s="1" t="s">
        <v>4040</v>
      </c>
      <c r="D4064" s="22" t="str">
        <f>HYPERLINK("https://rhld.insurance.arkansas.gov/NPILookup?Npi=1427146364","1427146364")</f>
        <v>1427146364</v>
      </c>
      <c r="E4064" s="1" t="s">
        <v>16632</v>
      </c>
      <c r="F4064" s="2"/>
      <c r="G4064" s="2"/>
      <c r="H4064" s="2"/>
    </row>
    <row r="4065" spans="1:8" x14ac:dyDescent="0.25">
      <c r="A4065" s="1"/>
      <c r="B4065" s="1" t="s">
        <v>4039</v>
      </c>
      <c r="C4065" s="1" t="s">
        <v>4040</v>
      </c>
      <c r="D4065" s="22" t="str">
        <f>HYPERLINK("https://rhld.insurance.arkansas.gov/NPILookup?Npi=1427174556","1427174556")</f>
        <v>1427174556</v>
      </c>
      <c r="E4065" s="1" t="s">
        <v>16633</v>
      </c>
      <c r="F4065" s="2"/>
      <c r="G4065" s="2"/>
      <c r="H4065" s="2"/>
    </row>
    <row r="4066" spans="1:8" x14ac:dyDescent="0.25">
      <c r="A4066" s="1"/>
      <c r="B4066" s="1" t="s">
        <v>4039</v>
      </c>
      <c r="C4066" s="1" t="s">
        <v>4040</v>
      </c>
      <c r="D4066" s="22" t="str">
        <f>HYPERLINK("https://rhld.insurance.arkansas.gov/NPILookup?Npi=1427262161","1427262161")</f>
        <v>1427262161</v>
      </c>
      <c r="E4066" s="1" t="s">
        <v>16634</v>
      </c>
      <c r="F4066" s="2"/>
      <c r="G4066" s="2"/>
      <c r="H4066" s="2"/>
    </row>
    <row r="4067" spans="1:8" x14ac:dyDescent="0.25">
      <c r="A4067" s="1"/>
      <c r="B4067" s="1" t="s">
        <v>4039</v>
      </c>
      <c r="C4067" s="1" t="s">
        <v>4040</v>
      </c>
      <c r="D4067" s="22" t="str">
        <f>HYPERLINK("https://rhld.insurance.arkansas.gov/NPILookup?Npi=1427272624","1427272624")</f>
        <v>1427272624</v>
      </c>
      <c r="E4067" s="1" t="s">
        <v>570</v>
      </c>
      <c r="F4067" s="2"/>
      <c r="G4067" s="2"/>
      <c r="H4067" s="2"/>
    </row>
    <row r="4068" spans="1:8" x14ac:dyDescent="0.25">
      <c r="A4068" s="1"/>
      <c r="B4068" s="1" t="s">
        <v>4039</v>
      </c>
      <c r="C4068" s="1" t="s">
        <v>4040</v>
      </c>
      <c r="D4068" s="22" t="str">
        <f>HYPERLINK("https://rhld.insurance.arkansas.gov/NPILookup?Npi=1427476191","1427476191")</f>
        <v>1427476191</v>
      </c>
      <c r="E4068" s="1" t="s">
        <v>3728</v>
      </c>
      <c r="F4068" s="2"/>
      <c r="G4068" s="2"/>
      <c r="H4068" s="2"/>
    </row>
    <row r="4069" spans="1:8" x14ac:dyDescent="0.25">
      <c r="A4069" s="1"/>
      <c r="B4069" s="1" t="s">
        <v>4039</v>
      </c>
      <c r="C4069" s="1" t="s">
        <v>4040</v>
      </c>
      <c r="D4069" s="22" t="str">
        <f>HYPERLINK("https://rhld.insurance.arkansas.gov/NPILookup?Npi=1427493055","1427493055")</f>
        <v>1427493055</v>
      </c>
      <c r="E4069" s="1" t="s">
        <v>16635</v>
      </c>
      <c r="F4069" s="2"/>
      <c r="G4069" s="2"/>
      <c r="H4069" s="2"/>
    </row>
    <row r="4070" spans="1:8" x14ac:dyDescent="0.25">
      <c r="A4070" s="1"/>
      <c r="B4070" s="1" t="s">
        <v>4039</v>
      </c>
      <c r="C4070" s="1" t="s">
        <v>4040</v>
      </c>
      <c r="D4070" s="22" t="str">
        <f>HYPERLINK("https://rhld.insurance.arkansas.gov/NPILookup?Npi=1427540111","1427540111")</f>
        <v>1427540111</v>
      </c>
      <c r="E4070" s="1" t="s">
        <v>16636</v>
      </c>
      <c r="F4070" s="2"/>
      <c r="G4070" s="2"/>
      <c r="H4070" s="2"/>
    </row>
    <row r="4071" spans="1:8" x14ac:dyDescent="0.25">
      <c r="A4071" s="1"/>
      <c r="B4071" s="1" t="s">
        <v>4039</v>
      </c>
      <c r="C4071" s="1" t="s">
        <v>4040</v>
      </c>
      <c r="D4071" s="22" t="str">
        <f>HYPERLINK("https://rhld.insurance.arkansas.gov/NPILookup?Npi=1427627223","1427627223")</f>
        <v>1427627223</v>
      </c>
      <c r="E4071" s="1" t="s">
        <v>4087</v>
      </c>
      <c r="F4071" s="2"/>
      <c r="G4071" s="2"/>
      <c r="H4071" s="2"/>
    </row>
    <row r="4072" spans="1:8" x14ac:dyDescent="0.25">
      <c r="A4072" s="1"/>
      <c r="B4072" s="1" t="s">
        <v>4039</v>
      </c>
      <c r="C4072" s="1" t="s">
        <v>4040</v>
      </c>
      <c r="D4072" s="22" t="str">
        <f>HYPERLINK("https://rhld.insurance.arkansas.gov/NPILookup?Npi=1427642909","1427642909")</f>
        <v>1427642909</v>
      </c>
      <c r="E4072" s="1" t="s">
        <v>4088</v>
      </c>
      <c r="F4072" s="2"/>
      <c r="G4072" s="2"/>
      <c r="H4072" s="2"/>
    </row>
    <row r="4073" spans="1:8" x14ac:dyDescent="0.25">
      <c r="A4073" s="1"/>
      <c r="B4073" s="1" t="s">
        <v>4039</v>
      </c>
      <c r="C4073" s="1" t="s">
        <v>4040</v>
      </c>
      <c r="D4073" s="22" t="str">
        <f>HYPERLINK("https://rhld.insurance.arkansas.gov/NPILookup?Npi=1427758432","1427758432")</f>
        <v>1427758432</v>
      </c>
      <c r="E4073" s="1" t="s">
        <v>16637</v>
      </c>
      <c r="F4073" s="2"/>
      <c r="G4073" s="2"/>
      <c r="H4073" s="2"/>
    </row>
    <row r="4074" spans="1:8" x14ac:dyDescent="0.25">
      <c r="A4074" s="1"/>
      <c r="B4074" s="1" t="s">
        <v>4039</v>
      </c>
      <c r="C4074" s="1" t="s">
        <v>4040</v>
      </c>
      <c r="D4074" s="22" t="str">
        <f>HYPERLINK("https://rhld.insurance.arkansas.gov/NPILookup?Npi=1437163599","1437163599")</f>
        <v>1437163599</v>
      </c>
      <c r="E4074" s="1" t="s">
        <v>13043</v>
      </c>
      <c r="F4074" s="2"/>
      <c r="G4074" s="2"/>
      <c r="H4074" s="2"/>
    </row>
    <row r="4075" spans="1:8" x14ac:dyDescent="0.25">
      <c r="A4075" s="1"/>
      <c r="B4075" s="1" t="s">
        <v>4039</v>
      </c>
      <c r="C4075" s="1" t="s">
        <v>4040</v>
      </c>
      <c r="D4075" s="22" t="str">
        <f>HYPERLINK("https://rhld.insurance.arkansas.gov/NPILookup?Npi=1437166758","1437166758")</f>
        <v>1437166758</v>
      </c>
      <c r="E4075" s="1" t="s">
        <v>1937</v>
      </c>
      <c r="F4075" s="2"/>
      <c r="G4075" s="2"/>
      <c r="H4075" s="2"/>
    </row>
    <row r="4076" spans="1:8" x14ac:dyDescent="0.25">
      <c r="A4076" s="1"/>
      <c r="B4076" s="1" t="s">
        <v>4039</v>
      </c>
      <c r="C4076" s="1" t="s">
        <v>4040</v>
      </c>
      <c r="D4076" s="22" t="str">
        <f>HYPERLINK("https://rhld.insurance.arkansas.gov/NPILookup?Npi=1437169869","1437169869")</f>
        <v>1437169869</v>
      </c>
      <c r="E4076" s="1" t="s">
        <v>16638</v>
      </c>
      <c r="F4076" s="2"/>
      <c r="G4076" s="2"/>
      <c r="H4076" s="2"/>
    </row>
    <row r="4077" spans="1:8" x14ac:dyDescent="0.25">
      <c r="A4077" s="1"/>
      <c r="B4077" s="1" t="s">
        <v>4039</v>
      </c>
      <c r="C4077" s="1" t="s">
        <v>4040</v>
      </c>
      <c r="D4077" s="22" t="str">
        <f>HYPERLINK("https://rhld.insurance.arkansas.gov/NPILookup?Npi=1437185766","1437185766")</f>
        <v>1437185766</v>
      </c>
      <c r="E4077" s="1" t="s">
        <v>608</v>
      </c>
      <c r="F4077" s="2"/>
      <c r="G4077" s="2"/>
      <c r="H4077" s="2"/>
    </row>
    <row r="4078" spans="1:8" x14ac:dyDescent="0.25">
      <c r="A4078" s="1"/>
      <c r="B4078" s="1" t="s">
        <v>4039</v>
      </c>
      <c r="C4078" s="1" t="s">
        <v>4040</v>
      </c>
      <c r="D4078" s="22" t="str">
        <f>HYPERLINK("https://rhld.insurance.arkansas.gov/NPILookup?Npi=1437237302","1437237302")</f>
        <v>1437237302</v>
      </c>
      <c r="E4078" s="1" t="s">
        <v>16639</v>
      </c>
      <c r="F4078" s="2"/>
      <c r="G4078" s="2"/>
      <c r="H4078" s="2"/>
    </row>
    <row r="4079" spans="1:8" x14ac:dyDescent="0.25">
      <c r="A4079" s="1"/>
      <c r="B4079" s="1" t="s">
        <v>4039</v>
      </c>
      <c r="C4079" s="1" t="s">
        <v>4040</v>
      </c>
      <c r="D4079" s="22" t="str">
        <f>HYPERLINK("https://rhld.insurance.arkansas.gov/NPILookup?Npi=1437292463","1437292463")</f>
        <v>1437292463</v>
      </c>
      <c r="E4079" s="1" t="s">
        <v>1287</v>
      </c>
      <c r="F4079" s="2"/>
      <c r="G4079" s="2"/>
      <c r="H4079" s="2"/>
    </row>
    <row r="4080" spans="1:8" x14ac:dyDescent="0.25">
      <c r="A4080" s="1"/>
      <c r="B4080" s="1" t="s">
        <v>4039</v>
      </c>
      <c r="C4080" s="1" t="s">
        <v>4040</v>
      </c>
      <c r="D4080" s="22" t="str">
        <f>HYPERLINK("https://rhld.insurance.arkansas.gov/NPILookup?Npi=1437332160","1437332160")</f>
        <v>1437332160</v>
      </c>
      <c r="E4080" s="1" t="s">
        <v>16640</v>
      </c>
      <c r="F4080" s="2"/>
      <c r="G4080" s="2"/>
      <c r="H4080" s="2"/>
    </row>
    <row r="4081" spans="1:8" x14ac:dyDescent="0.25">
      <c r="A4081" s="1"/>
      <c r="B4081" s="1" t="s">
        <v>4039</v>
      </c>
      <c r="C4081" s="1" t="s">
        <v>4040</v>
      </c>
      <c r="D4081" s="22" t="str">
        <f>HYPERLINK("https://rhld.insurance.arkansas.gov/NPILookup?Npi=1437445400","1437445400")</f>
        <v>1437445400</v>
      </c>
      <c r="E4081" s="1" t="s">
        <v>4089</v>
      </c>
      <c r="F4081" s="2"/>
      <c r="G4081" s="2"/>
      <c r="H4081" s="2"/>
    </row>
    <row r="4082" spans="1:8" x14ac:dyDescent="0.25">
      <c r="A4082" s="1"/>
      <c r="B4082" s="1" t="s">
        <v>4039</v>
      </c>
      <c r="C4082" s="1" t="s">
        <v>4040</v>
      </c>
      <c r="D4082" s="22" t="str">
        <f>HYPERLINK("https://rhld.insurance.arkansas.gov/NPILookup?Npi=1437445996","1437445996")</f>
        <v>1437445996</v>
      </c>
      <c r="E4082" s="1" t="s">
        <v>10053</v>
      </c>
      <c r="F4082" s="2"/>
      <c r="G4082" s="2"/>
      <c r="H4082" s="2"/>
    </row>
    <row r="4083" spans="1:8" x14ac:dyDescent="0.25">
      <c r="A4083" s="1"/>
      <c r="B4083" s="1" t="s">
        <v>4039</v>
      </c>
      <c r="C4083" s="1" t="s">
        <v>4040</v>
      </c>
      <c r="D4083" s="22" t="str">
        <f>HYPERLINK("https://rhld.insurance.arkansas.gov/NPILookup?Npi=1437602141","1437602141")</f>
        <v>1437602141</v>
      </c>
      <c r="E4083" s="1" t="s">
        <v>16641</v>
      </c>
      <c r="F4083" s="2"/>
      <c r="G4083" s="2"/>
      <c r="H4083" s="2"/>
    </row>
    <row r="4084" spans="1:8" x14ac:dyDescent="0.25">
      <c r="A4084" s="1"/>
      <c r="B4084" s="1" t="s">
        <v>4039</v>
      </c>
      <c r="C4084" s="1" t="s">
        <v>4040</v>
      </c>
      <c r="D4084" s="22" t="str">
        <f>HYPERLINK("https://rhld.insurance.arkansas.gov/NPILookup?Npi=1437670601","1437670601")</f>
        <v>1437670601</v>
      </c>
      <c r="E4084" s="1" t="s">
        <v>10054</v>
      </c>
      <c r="F4084" s="2"/>
      <c r="G4084" s="2"/>
      <c r="H4084" s="2"/>
    </row>
    <row r="4085" spans="1:8" x14ac:dyDescent="0.25">
      <c r="A4085" s="1"/>
      <c r="B4085" s="1" t="s">
        <v>4039</v>
      </c>
      <c r="C4085" s="1" t="s">
        <v>4040</v>
      </c>
      <c r="D4085" s="22" t="str">
        <f>HYPERLINK("https://rhld.insurance.arkansas.gov/NPILookup?Npi=1437871407","1437871407")</f>
        <v>1437871407</v>
      </c>
      <c r="E4085" s="1" t="s">
        <v>16642</v>
      </c>
      <c r="F4085" s="2"/>
      <c r="G4085" s="2"/>
      <c r="H4085" s="2"/>
    </row>
    <row r="4086" spans="1:8" x14ac:dyDescent="0.25">
      <c r="A4086" s="1"/>
      <c r="B4086" s="1" t="s">
        <v>4039</v>
      </c>
      <c r="C4086" s="1" t="s">
        <v>4040</v>
      </c>
      <c r="D4086" s="22" t="str">
        <f>HYPERLINK("https://rhld.insurance.arkansas.gov/NPILookup?Npi=1437876943","1437876943")</f>
        <v>1437876943</v>
      </c>
      <c r="E4086" s="1" t="s">
        <v>16643</v>
      </c>
      <c r="F4086" s="2"/>
      <c r="G4086" s="2"/>
      <c r="H4086" s="2"/>
    </row>
    <row r="4087" spans="1:8" x14ac:dyDescent="0.25">
      <c r="A4087" s="1"/>
      <c r="B4087" s="1" t="s">
        <v>4039</v>
      </c>
      <c r="C4087" s="1" t="s">
        <v>4040</v>
      </c>
      <c r="D4087" s="22" t="str">
        <f>HYPERLINK("https://rhld.insurance.arkansas.gov/NPILookup?Npi=1447260930","1447260930")</f>
        <v>1447260930</v>
      </c>
      <c r="E4087" s="1" t="s">
        <v>16645</v>
      </c>
      <c r="F4087" s="2"/>
      <c r="G4087" s="2"/>
      <c r="H4087" s="2"/>
    </row>
    <row r="4088" spans="1:8" x14ac:dyDescent="0.25">
      <c r="A4088" s="1"/>
      <c r="B4088" s="1" t="s">
        <v>4039</v>
      </c>
      <c r="C4088" s="1" t="s">
        <v>4040</v>
      </c>
      <c r="D4088" s="22" t="str">
        <f>HYPERLINK("https://rhld.insurance.arkansas.gov/NPILookup?Npi=1447276944","1447276944")</f>
        <v>1447276944</v>
      </c>
      <c r="E4088" s="1" t="s">
        <v>10055</v>
      </c>
      <c r="F4088" s="2"/>
      <c r="G4088" s="2"/>
      <c r="H4088" s="2"/>
    </row>
    <row r="4089" spans="1:8" x14ac:dyDescent="0.25">
      <c r="A4089" s="1"/>
      <c r="B4089" s="1" t="s">
        <v>4039</v>
      </c>
      <c r="C4089" s="1" t="s">
        <v>4040</v>
      </c>
      <c r="D4089" s="22" t="str">
        <f>HYPERLINK("https://rhld.insurance.arkansas.gov/NPILookup?Npi=1447306972","1447306972")</f>
        <v>1447306972</v>
      </c>
      <c r="E4089" s="1" t="s">
        <v>16646</v>
      </c>
      <c r="F4089" s="2"/>
      <c r="G4089" s="2"/>
      <c r="H4089" s="2"/>
    </row>
    <row r="4090" spans="1:8" x14ac:dyDescent="0.25">
      <c r="A4090" s="1"/>
      <c r="B4090" s="1" t="s">
        <v>4039</v>
      </c>
      <c r="C4090" s="1" t="s">
        <v>4040</v>
      </c>
      <c r="D4090" s="22" t="str">
        <f>HYPERLINK("https://rhld.insurance.arkansas.gov/NPILookup?Npi=1447309364","1447309364")</f>
        <v>1447309364</v>
      </c>
      <c r="E4090" s="1" t="s">
        <v>16647</v>
      </c>
      <c r="F4090" s="2"/>
      <c r="G4090" s="2"/>
      <c r="H4090" s="2"/>
    </row>
    <row r="4091" spans="1:8" x14ac:dyDescent="0.25">
      <c r="A4091" s="1"/>
      <c r="B4091" s="1" t="s">
        <v>4039</v>
      </c>
      <c r="C4091" s="1" t="s">
        <v>4040</v>
      </c>
      <c r="D4091" s="22" t="str">
        <f>HYPERLINK("https://rhld.insurance.arkansas.gov/NPILookup?Npi=1447318464","1447318464")</f>
        <v>1447318464</v>
      </c>
      <c r="E4091" s="1" t="s">
        <v>16648</v>
      </c>
      <c r="F4091" s="2"/>
      <c r="G4091" s="2"/>
      <c r="H4091" s="2"/>
    </row>
    <row r="4092" spans="1:8" x14ac:dyDescent="0.25">
      <c r="A4092" s="1"/>
      <c r="B4092" s="1" t="s">
        <v>4039</v>
      </c>
      <c r="C4092" s="1" t="s">
        <v>4040</v>
      </c>
      <c r="D4092" s="22" t="str">
        <f>HYPERLINK("https://rhld.insurance.arkansas.gov/NPILookup?Npi=1447319561","1447319561")</f>
        <v>1447319561</v>
      </c>
      <c r="E4092" s="1" t="s">
        <v>16649</v>
      </c>
      <c r="F4092" s="2"/>
      <c r="G4092" s="2"/>
      <c r="H4092" s="2"/>
    </row>
    <row r="4093" spans="1:8" x14ac:dyDescent="0.25">
      <c r="A4093" s="1"/>
      <c r="B4093" s="1" t="s">
        <v>4039</v>
      </c>
      <c r="C4093" s="1" t="s">
        <v>4040</v>
      </c>
      <c r="D4093" s="22" t="str">
        <f>HYPERLINK("https://rhld.insurance.arkansas.gov/NPILookup?Npi=1447321708","1447321708")</f>
        <v>1447321708</v>
      </c>
      <c r="E4093" s="1" t="s">
        <v>16650</v>
      </c>
      <c r="F4093" s="2"/>
      <c r="G4093" s="2"/>
      <c r="H4093" s="2"/>
    </row>
    <row r="4094" spans="1:8" x14ac:dyDescent="0.25">
      <c r="A4094" s="1"/>
      <c r="B4094" s="1" t="s">
        <v>4039</v>
      </c>
      <c r="C4094" s="1" t="s">
        <v>4040</v>
      </c>
      <c r="D4094" s="22" t="str">
        <f>HYPERLINK("https://rhld.insurance.arkansas.gov/NPILookup?Npi=1447366547","1447366547")</f>
        <v>1447366547</v>
      </c>
      <c r="E4094" s="1" t="s">
        <v>3693</v>
      </c>
      <c r="F4094" s="2"/>
      <c r="G4094" s="2"/>
      <c r="H4094" s="2"/>
    </row>
    <row r="4095" spans="1:8" x14ac:dyDescent="0.25">
      <c r="A4095" s="1"/>
      <c r="B4095" s="1" t="s">
        <v>4039</v>
      </c>
      <c r="C4095" s="1" t="s">
        <v>4040</v>
      </c>
      <c r="D4095" s="22" t="str">
        <f>HYPERLINK("https://rhld.insurance.arkansas.gov/NPILookup?Npi=1447383526","1447383526")</f>
        <v>1447383526</v>
      </c>
      <c r="E4095" s="1" t="s">
        <v>16651</v>
      </c>
      <c r="F4095" s="2"/>
      <c r="G4095" s="2"/>
      <c r="H4095" s="2"/>
    </row>
    <row r="4096" spans="1:8" x14ac:dyDescent="0.25">
      <c r="A4096" s="1"/>
      <c r="B4096" s="1" t="s">
        <v>4039</v>
      </c>
      <c r="C4096" s="1" t="s">
        <v>4040</v>
      </c>
      <c r="D4096" s="22" t="str">
        <f>HYPERLINK("https://rhld.insurance.arkansas.gov/NPILookup?Npi=1447384417","1447384417")</f>
        <v>1447384417</v>
      </c>
      <c r="E4096" s="1" t="s">
        <v>10056</v>
      </c>
      <c r="F4096" s="2"/>
      <c r="G4096" s="2"/>
      <c r="H4096" s="2"/>
    </row>
    <row r="4097" spans="1:8" x14ac:dyDescent="0.25">
      <c r="A4097" s="1"/>
      <c r="B4097" s="1" t="s">
        <v>4039</v>
      </c>
      <c r="C4097" s="1" t="s">
        <v>4040</v>
      </c>
      <c r="D4097" s="22" t="str">
        <f>HYPERLINK("https://rhld.insurance.arkansas.gov/NPILookup?Npi=1447419080","1447419080")</f>
        <v>1447419080</v>
      </c>
      <c r="E4097" s="1" t="s">
        <v>16652</v>
      </c>
      <c r="F4097" s="2"/>
      <c r="G4097" s="2"/>
      <c r="H4097" s="2"/>
    </row>
    <row r="4098" spans="1:8" x14ac:dyDescent="0.25">
      <c r="A4098" s="1"/>
      <c r="B4098" s="1" t="s">
        <v>4039</v>
      </c>
      <c r="C4098" s="1" t="s">
        <v>4040</v>
      </c>
      <c r="D4098" s="22" t="str">
        <f>HYPERLINK("https://rhld.insurance.arkansas.gov/NPILookup?Npi=1447441241","1447441241")</f>
        <v>1447441241</v>
      </c>
      <c r="E4098" s="1" t="s">
        <v>678</v>
      </c>
      <c r="F4098" s="2"/>
      <c r="G4098" s="2"/>
      <c r="H4098" s="2"/>
    </row>
    <row r="4099" spans="1:8" x14ac:dyDescent="0.25">
      <c r="A4099" s="1"/>
      <c r="B4099" s="1" t="s">
        <v>4039</v>
      </c>
      <c r="C4099" s="1" t="s">
        <v>4040</v>
      </c>
      <c r="D4099" s="22" t="str">
        <f>HYPERLINK("https://rhld.insurance.arkansas.gov/NPILookup?Npi=1447482120","1447482120")</f>
        <v>1447482120</v>
      </c>
      <c r="E4099" s="1" t="s">
        <v>10057</v>
      </c>
      <c r="F4099" s="2"/>
      <c r="G4099" s="2"/>
      <c r="H4099" s="2"/>
    </row>
    <row r="4100" spans="1:8" x14ac:dyDescent="0.25">
      <c r="A4100" s="1"/>
      <c r="B4100" s="1" t="s">
        <v>4039</v>
      </c>
      <c r="C4100" s="1" t="s">
        <v>4040</v>
      </c>
      <c r="D4100" s="22" t="str">
        <f>HYPERLINK("https://rhld.insurance.arkansas.gov/NPILookup?Npi=1447515770","1447515770")</f>
        <v>1447515770</v>
      </c>
      <c r="E4100" s="1" t="s">
        <v>550</v>
      </c>
      <c r="F4100" s="2"/>
      <c r="G4100" s="2"/>
      <c r="H4100" s="2"/>
    </row>
    <row r="4101" spans="1:8" x14ac:dyDescent="0.25">
      <c r="A4101" s="1"/>
      <c r="B4101" s="1" t="s">
        <v>4039</v>
      </c>
      <c r="C4101" s="1" t="s">
        <v>4040</v>
      </c>
      <c r="D4101" s="22" t="str">
        <f>HYPERLINK("https://rhld.insurance.arkansas.gov/NPILookup?Npi=1447664347","1447664347")</f>
        <v>1447664347</v>
      </c>
      <c r="E4101" s="1" t="s">
        <v>16653</v>
      </c>
      <c r="F4101" s="2"/>
      <c r="G4101" s="2"/>
      <c r="H4101" s="2"/>
    </row>
    <row r="4102" spans="1:8" x14ac:dyDescent="0.25">
      <c r="A4102" s="1"/>
      <c r="B4102" s="1" t="s">
        <v>4039</v>
      </c>
      <c r="C4102" s="1" t="s">
        <v>4040</v>
      </c>
      <c r="D4102" s="22" t="str">
        <f>HYPERLINK("https://rhld.insurance.arkansas.gov/NPILookup?Npi=1447789045","1447789045")</f>
        <v>1447789045</v>
      </c>
      <c r="E4102" s="1" t="s">
        <v>16654</v>
      </c>
      <c r="F4102" s="2"/>
      <c r="G4102" s="2"/>
      <c r="H4102" s="2"/>
    </row>
    <row r="4103" spans="1:8" x14ac:dyDescent="0.25">
      <c r="A4103" s="1"/>
      <c r="B4103" s="1" t="s">
        <v>4039</v>
      </c>
      <c r="C4103" s="1" t="s">
        <v>4040</v>
      </c>
      <c r="D4103" s="22" t="str">
        <f>HYPERLINK("https://rhld.insurance.arkansas.gov/NPILookup?Npi=1447863147","1447863147")</f>
        <v>1447863147</v>
      </c>
      <c r="E4103" s="1" t="s">
        <v>4090</v>
      </c>
      <c r="F4103" s="2"/>
      <c r="G4103" s="2"/>
      <c r="H4103" s="2"/>
    </row>
    <row r="4104" spans="1:8" x14ac:dyDescent="0.25">
      <c r="A4104" s="1"/>
      <c r="B4104" s="1" t="s">
        <v>4039</v>
      </c>
      <c r="C4104" s="1" t="s">
        <v>4040</v>
      </c>
      <c r="D4104" s="22" t="str">
        <f>HYPERLINK("https://rhld.insurance.arkansas.gov/NPILookup?Npi=1447924691","1447924691")</f>
        <v>1447924691</v>
      </c>
      <c r="E4104" s="1" t="s">
        <v>16655</v>
      </c>
      <c r="F4104" s="2"/>
      <c r="G4104" s="2"/>
      <c r="H4104" s="2"/>
    </row>
    <row r="4105" spans="1:8" x14ac:dyDescent="0.25">
      <c r="A4105" s="1"/>
      <c r="B4105" s="1" t="s">
        <v>4039</v>
      </c>
      <c r="C4105" s="1" t="s">
        <v>4040</v>
      </c>
      <c r="D4105" s="22" t="str">
        <f>HYPERLINK("https://rhld.insurance.arkansas.gov/NPILookup?Npi=1457192155","1457192155")</f>
        <v>1457192155</v>
      </c>
      <c r="E4105" s="1" t="s">
        <v>16656</v>
      </c>
      <c r="F4105" s="2"/>
      <c r="G4105" s="2"/>
      <c r="H4105" s="2"/>
    </row>
    <row r="4106" spans="1:8" x14ac:dyDescent="0.25">
      <c r="A4106" s="1"/>
      <c r="B4106" s="1" t="s">
        <v>4039</v>
      </c>
      <c r="C4106" s="1" t="s">
        <v>4040</v>
      </c>
      <c r="D4106" s="22" t="str">
        <f>HYPERLINK("https://rhld.insurance.arkansas.gov/NPILookup?Npi=1457194995","1457194995")</f>
        <v>1457194995</v>
      </c>
      <c r="E4106" s="1" t="s">
        <v>16657</v>
      </c>
      <c r="F4106" s="2"/>
      <c r="G4106" s="2"/>
      <c r="H4106" s="2"/>
    </row>
    <row r="4107" spans="1:8" x14ac:dyDescent="0.25">
      <c r="A4107" s="1"/>
      <c r="B4107" s="1" t="s">
        <v>4039</v>
      </c>
      <c r="C4107" s="1" t="s">
        <v>4040</v>
      </c>
      <c r="D4107" s="22" t="str">
        <f>HYPERLINK("https://rhld.insurance.arkansas.gov/NPILookup?Npi=1457360257","1457360257")</f>
        <v>1457360257</v>
      </c>
      <c r="E4107" s="1" t="s">
        <v>16658</v>
      </c>
      <c r="F4107" s="2"/>
      <c r="G4107" s="2"/>
      <c r="H4107" s="2"/>
    </row>
    <row r="4108" spans="1:8" x14ac:dyDescent="0.25">
      <c r="A4108" s="1"/>
      <c r="B4108" s="1" t="s">
        <v>4039</v>
      </c>
      <c r="C4108" s="1" t="s">
        <v>4040</v>
      </c>
      <c r="D4108" s="22" t="str">
        <f>HYPERLINK("https://rhld.insurance.arkansas.gov/NPILookup?Npi=1457365165","1457365165")</f>
        <v>1457365165</v>
      </c>
      <c r="E4108" s="1" t="s">
        <v>16659</v>
      </c>
      <c r="F4108" s="2"/>
      <c r="G4108" s="2"/>
      <c r="H4108" s="2"/>
    </row>
    <row r="4109" spans="1:8" x14ac:dyDescent="0.25">
      <c r="A4109" s="1"/>
      <c r="B4109" s="1" t="s">
        <v>4039</v>
      </c>
      <c r="C4109" s="1" t="s">
        <v>4040</v>
      </c>
      <c r="D4109" s="22" t="str">
        <f>HYPERLINK("https://rhld.insurance.arkansas.gov/NPILookup?Npi=1457369092","1457369092")</f>
        <v>1457369092</v>
      </c>
      <c r="E4109" s="1" t="s">
        <v>3694</v>
      </c>
      <c r="F4109" s="2"/>
      <c r="G4109" s="2"/>
      <c r="H4109" s="2"/>
    </row>
    <row r="4110" spans="1:8" x14ac:dyDescent="0.25">
      <c r="A4110" s="1"/>
      <c r="B4110" s="1" t="s">
        <v>4039</v>
      </c>
      <c r="C4110" s="1" t="s">
        <v>4040</v>
      </c>
      <c r="D4110" s="22" t="str">
        <f>HYPERLINK("https://rhld.insurance.arkansas.gov/NPILookup?Npi=1457376246","1457376246")</f>
        <v>1457376246</v>
      </c>
      <c r="E4110" s="1" t="s">
        <v>3695</v>
      </c>
      <c r="F4110" s="2"/>
      <c r="G4110" s="2"/>
      <c r="H4110" s="2"/>
    </row>
    <row r="4111" spans="1:8" x14ac:dyDescent="0.25">
      <c r="A4111" s="1"/>
      <c r="B4111" s="1" t="s">
        <v>4039</v>
      </c>
      <c r="C4111" s="1" t="s">
        <v>4040</v>
      </c>
      <c r="D4111" s="22" t="str">
        <f>HYPERLINK("https://rhld.insurance.arkansas.gov/NPILookup?Npi=1457377012","1457377012")</f>
        <v>1457377012</v>
      </c>
      <c r="E4111" s="1" t="s">
        <v>571</v>
      </c>
      <c r="F4111" s="2"/>
      <c r="G4111" s="2"/>
      <c r="H4111" s="2"/>
    </row>
    <row r="4112" spans="1:8" x14ac:dyDescent="0.25">
      <c r="A4112" s="1"/>
      <c r="B4112" s="1" t="s">
        <v>4039</v>
      </c>
      <c r="C4112" s="1" t="s">
        <v>4040</v>
      </c>
      <c r="D4112" s="22" t="str">
        <f>HYPERLINK("https://rhld.insurance.arkansas.gov/NPILookup?Npi=1457426991","1457426991")</f>
        <v>1457426991</v>
      </c>
      <c r="E4112" s="1" t="s">
        <v>4091</v>
      </c>
      <c r="F4112" s="2"/>
      <c r="G4112" s="2"/>
      <c r="H4112" s="2"/>
    </row>
    <row r="4113" spans="1:8" x14ac:dyDescent="0.25">
      <c r="A4113" s="1"/>
      <c r="B4113" s="1" t="s">
        <v>4039</v>
      </c>
      <c r="C4113" s="1" t="s">
        <v>4040</v>
      </c>
      <c r="D4113" s="22" t="str">
        <f>HYPERLINK("https://rhld.insurance.arkansas.gov/NPILookup?Npi=1457437642","1457437642")</f>
        <v>1457437642</v>
      </c>
      <c r="E4113" s="1" t="s">
        <v>10058</v>
      </c>
      <c r="F4113" s="2"/>
      <c r="G4113" s="2"/>
      <c r="H4113" s="2"/>
    </row>
    <row r="4114" spans="1:8" x14ac:dyDescent="0.25">
      <c r="A4114" s="1"/>
      <c r="B4114" s="1" t="s">
        <v>4039</v>
      </c>
      <c r="C4114" s="1" t="s">
        <v>4040</v>
      </c>
      <c r="D4114" s="22" t="str">
        <f>HYPERLINK("https://rhld.insurance.arkansas.gov/NPILookup?Npi=1457509887","1457509887")</f>
        <v>1457509887</v>
      </c>
      <c r="E4114" s="1" t="s">
        <v>10059</v>
      </c>
      <c r="F4114" s="2"/>
      <c r="G4114" s="2"/>
      <c r="H4114" s="2"/>
    </row>
    <row r="4115" spans="1:8" x14ac:dyDescent="0.25">
      <c r="A4115" s="1"/>
      <c r="B4115" s="1" t="s">
        <v>4039</v>
      </c>
      <c r="C4115" s="1" t="s">
        <v>4040</v>
      </c>
      <c r="D4115" s="22" t="str">
        <f>HYPERLINK("https://rhld.insurance.arkansas.gov/NPILookup?Npi=1457517062","1457517062")</f>
        <v>1457517062</v>
      </c>
      <c r="E4115" s="1" t="s">
        <v>16660</v>
      </c>
      <c r="F4115" s="2"/>
      <c r="G4115" s="2"/>
      <c r="H4115" s="2"/>
    </row>
    <row r="4116" spans="1:8" x14ac:dyDescent="0.25">
      <c r="A4116" s="1"/>
      <c r="B4116" s="1" t="s">
        <v>4039</v>
      </c>
      <c r="C4116" s="1" t="s">
        <v>4040</v>
      </c>
      <c r="D4116" s="22" t="str">
        <f>HYPERLINK("https://rhld.insurance.arkansas.gov/NPILookup?Npi=1457626806","1457626806")</f>
        <v>1457626806</v>
      </c>
      <c r="E4116" s="1" t="s">
        <v>16661</v>
      </c>
      <c r="F4116" s="2"/>
      <c r="G4116" s="2"/>
      <c r="H4116" s="2"/>
    </row>
    <row r="4117" spans="1:8" x14ac:dyDescent="0.25">
      <c r="A4117" s="1"/>
      <c r="B4117" s="1" t="s">
        <v>4039</v>
      </c>
      <c r="C4117" s="1" t="s">
        <v>4040</v>
      </c>
      <c r="D4117" s="22" t="str">
        <f>HYPERLINK("https://rhld.insurance.arkansas.gov/NPILookup?Npi=1457652125","1457652125")</f>
        <v>1457652125</v>
      </c>
      <c r="E4117" s="1" t="s">
        <v>4093</v>
      </c>
      <c r="F4117" s="2"/>
      <c r="G4117" s="2"/>
      <c r="H4117" s="2"/>
    </row>
    <row r="4118" spans="1:8" x14ac:dyDescent="0.25">
      <c r="A4118" s="1"/>
      <c r="B4118" s="1" t="s">
        <v>4039</v>
      </c>
      <c r="C4118" s="1" t="s">
        <v>4040</v>
      </c>
      <c r="D4118" s="22" t="str">
        <f>HYPERLINK("https://rhld.insurance.arkansas.gov/NPILookup?Npi=1457763377","1457763377")</f>
        <v>1457763377</v>
      </c>
      <c r="E4118" s="1" t="s">
        <v>16662</v>
      </c>
      <c r="F4118" s="2"/>
      <c r="G4118" s="2"/>
      <c r="H4118" s="2"/>
    </row>
    <row r="4119" spans="1:8" x14ac:dyDescent="0.25">
      <c r="A4119" s="1"/>
      <c r="B4119" s="1" t="s">
        <v>4039</v>
      </c>
      <c r="C4119" s="1" t="s">
        <v>4040</v>
      </c>
      <c r="D4119" s="22" t="str">
        <f>HYPERLINK("https://rhld.insurance.arkansas.gov/NPILookup?Npi=1457765349","1457765349")</f>
        <v>1457765349</v>
      </c>
      <c r="E4119" s="1" t="s">
        <v>16663</v>
      </c>
      <c r="F4119" s="2"/>
      <c r="G4119" s="2"/>
      <c r="H4119" s="2"/>
    </row>
    <row r="4120" spans="1:8" x14ac:dyDescent="0.25">
      <c r="A4120" s="1"/>
      <c r="B4120" s="1" t="s">
        <v>4039</v>
      </c>
      <c r="C4120" s="1" t="s">
        <v>4040</v>
      </c>
      <c r="D4120" s="22" t="str">
        <f>HYPERLINK("https://rhld.insurance.arkansas.gov/NPILookup?Npi=1457880361","1457880361")</f>
        <v>1457880361</v>
      </c>
      <c r="E4120" s="1" t="s">
        <v>16664</v>
      </c>
      <c r="F4120" s="2"/>
      <c r="G4120" s="2"/>
      <c r="H4120" s="2"/>
    </row>
    <row r="4121" spans="1:8" x14ac:dyDescent="0.25">
      <c r="A4121" s="1"/>
      <c r="B4121" s="1" t="s">
        <v>4039</v>
      </c>
      <c r="C4121" s="1" t="s">
        <v>4040</v>
      </c>
      <c r="D4121" s="22" t="str">
        <f>HYPERLINK("https://rhld.insurance.arkansas.gov/NPILookup?Npi=1457889453","1457889453")</f>
        <v>1457889453</v>
      </c>
      <c r="E4121" s="1" t="s">
        <v>16665</v>
      </c>
      <c r="F4121" s="2"/>
      <c r="G4121" s="2"/>
      <c r="H4121" s="2"/>
    </row>
    <row r="4122" spans="1:8" x14ac:dyDescent="0.25">
      <c r="A4122" s="1"/>
      <c r="B4122" s="1" t="s">
        <v>4039</v>
      </c>
      <c r="C4122" s="1" t="s">
        <v>4040</v>
      </c>
      <c r="D4122" s="22" t="str">
        <f>HYPERLINK("https://rhld.insurance.arkansas.gov/NPILookup?Npi=1457889842","1457889842")</f>
        <v>1457889842</v>
      </c>
      <c r="E4122" s="1" t="s">
        <v>1073</v>
      </c>
      <c r="F4122" s="2"/>
      <c r="G4122" s="2"/>
      <c r="H4122" s="2"/>
    </row>
    <row r="4123" spans="1:8" x14ac:dyDescent="0.25">
      <c r="A4123" s="1"/>
      <c r="B4123" s="1" t="s">
        <v>4039</v>
      </c>
      <c r="C4123" s="1" t="s">
        <v>4040</v>
      </c>
      <c r="D4123" s="22" t="str">
        <f>HYPERLINK("https://rhld.insurance.arkansas.gov/NPILookup?Npi=1467021394","1467021394")</f>
        <v>1467021394</v>
      </c>
      <c r="E4123" s="1" t="s">
        <v>10060</v>
      </c>
      <c r="F4123" s="2"/>
      <c r="G4123" s="2"/>
      <c r="H4123" s="2"/>
    </row>
    <row r="4124" spans="1:8" x14ac:dyDescent="0.25">
      <c r="A4124" s="1"/>
      <c r="B4124" s="1" t="s">
        <v>4039</v>
      </c>
      <c r="C4124" s="1" t="s">
        <v>4040</v>
      </c>
      <c r="D4124" s="22" t="str">
        <f>HYPERLINK("https://rhld.insurance.arkansas.gov/NPILookup?Npi=1467137968","1467137968")</f>
        <v>1467137968</v>
      </c>
      <c r="E4124" s="1" t="s">
        <v>10061</v>
      </c>
      <c r="F4124" s="2"/>
      <c r="G4124" s="2"/>
      <c r="H4124" s="2"/>
    </row>
    <row r="4125" spans="1:8" x14ac:dyDescent="0.25">
      <c r="A4125" s="1"/>
      <c r="B4125" s="1" t="s">
        <v>4039</v>
      </c>
      <c r="C4125" s="1" t="s">
        <v>4040</v>
      </c>
      <c r="D4125" s="22" t="str">
        <f>HYPERLINK("https://rhld.insurance.arkansas.gov/NPILookup?Npi=1467198598","1467198598")</f>
        <v>1467198598</v>
      </c>
      <c r="E4125" s="1" t="s">
        <v>16666</v>
      </c>
      <c r="F4125" s="2"/>
      <c r="G4125" s="2"/>
      <c r="H4125" s="2"/>
    </row>
    <row r="4126" spans="1:8" x14ac:dyDescent="0.25">
      <c r="A4126" s="1"/>
      <c r="B4126" s="1" t="s">
        <v>4039</v>
      </c>
      <c r="C4126" s="1" t="s">
        <v>4040</v>
      </c>
      <c r="D4126" s="22" t="str">
        <f>HYPERLINK("https://rhld.insurance.arkansas.gov/NPILookup?Npi=1467443390","1467443390")</f>
        <v>1467443390</v>
      </c>
      <c r="E4126" s="1" t="s">
        <v>16667</v>
      </c>
      <c r="F4126" s="2"/>
      <c r="G4126" s="2"/>
      <c r="H4126" s="2"/>
    </row>
    <row r="4127" spans="1:8" x14ac:dyDescent="0.25">
      <c r="A4127" s="1"/>
      <c r="B4127" s="1" t="s">
        <v>4039</v>
      </c>
      <c r="C4127" s="1" t="s">
        <v>4040</v>
      </c>
      <c r="D4127" s="22" t="str">
        <f>HYPERLINK("https://rhld.insurance.arkansas.gov/NPILookup?Npi=1467474791","1467474791")</f>
        <v>1467474791</v>
      </c>
      <c r="E4127" s="1" t="s">
        <v>31368</v>
      </c>
      <c r="F4127" s="2"/>
      <c r="G4127" s="2"/>
      <c r="H4127" s="2"/>
    </row>
    <row r="4128" spans="1:8" x14ac:dyDescent="0.25">
      <c r="A4128" s="1"/>
      <c r="B4128" s="1" t="s">
        <v>4039</v>
      </c>
      <c r="C4128" s="1" t="s">
        <v>4040</v>
      </c>
      <c r="D4128" s="22" t="str">
        <f>HYPERLINK("https://rhld.insurance.arkansas.gov/NPILookup?Npi=1467476564","1467476564")</f>
        <v>1467476564</v>
      </c>
      <c r="E4128" s="1" t="s">
        <v>520</v>
      </c>
      <c r="F4128" s="2"/>
      <c r="G4128" s="2"/>
      <c r="H4128" s="2"/>
    </row>
    <row r="4129" spans="1:8" x14ac:dyDescent="0.25">
      <c r="A4129" s="1"/>
      <c r="B4129" s="1" t="s">
        <v>4039</v>
      </c>
      <c r="C4129" s="1" t="s">
        <v>4040</v>
      </c>
      <c r="D4129" s="22" t="str">
        <f>HYPERLINK("https://rhld.insurance.arkansas.gov/NPILookup?Npi=1467509984","1467509984")</f>
        <v>1467509984</v>
      </c>
      <c r="E4129" s="1" t="s">
        <v>16668</v>
      </c>
      <c r="F4129" s="2"/>
      <c r="G4129" s="2"/>
      <c r="H4129" s="2"/>
    </row>
    <row r="4130" spans="1:8" x14ac:dyDescent="0.25">
      <c r="A4130" s="1"/>
      <c r="B4130" s="1" t="s">
        <v>4039</v>
      </c>
      <c r="C4130" s="1" t="s">
        <v>4040</v>
      </c>
      <c r="D4130" s="22" t="str">
        <f>HYPERLINK("https://rhld.insurance.arkansas.gov/NPILookup?Npi=1467512079","1467512079")</f>
        <v>1467512079</v>
      </c>
      <c r="E4130" s="1" t="s">
        <v>10062</v>
      </c>
      <c r="F4130" s="2"/>
      <c r="G4130" s="2"/>
      <c r="H4130" s="2"/>
    </row>
    <row r="4131" spans="1:8" x14ac:dyDescent="0.25">
      <c r="A4131" s="1"/>
      <c r="B4131" s="1" t="s">
        <v>4039</v>
      </c>
      <c r="C4131" s="1" t="s">
        <v>4040</v>
      </c>
      <c r="D4131" s="22" t="str">
        <f>HYPERLINK("https://rhld.insurance.arkansas.gov/NPILookup?Npi=1467531731","1467531731")</f>
        <v>1467531731</v>
      </c>
      <c r="E4131" s="1" t="s">
        <v>2334</v>
      </c>
      <c r="F4131" s="2"/>
      <c r="G4131" s="2"/>
      <c r="H4131" s="2"/>
    </row>
    <row r="4132" spans="1:8" x14ac:dyDescent="0.25">
      <c r="A4132" s="1"/>
      <c r="B4132" s="1" t="s">
        <v>4039</v>
      </c>
      <c r="C4132" s="1" t="s">
        <v>4040</v>
      </c>
      <c r="D4132" s="22" t="str">
        <f>HYPERLINK("https://rhld.insurance.arkansas.gov/NPILookup?Npi=1467585281","1467585281")</f>
        <v>1467585281</v>
      </c>
      <c r="E4132" s="1" t="s">
        <v>16669</v>
      </c>
      <c r="F4132" s="2"/>
      <c r="G4132" s="2"/>
      <c r="H4132" s="2"/>
    </row>
    <row r="4133" spans="1:8" x14ac:dyDescent="0.25">
      <c r="A4133" s="1"/>
      <c r="B4133" s="1" t="s">
        <v>4039</v>
      </c>
      <c r="C4133" s="1" t="s">
        <v>4040</v>
      </c>
      <c r="D4133" s="22" t="str">
        <f>HYPERLINK("https://rhld.insurance.arkansas.gov/NPILookup?Npi=1467602052","1467602052")</f>
        <v>1467602052</v>
      </c>
      <c r="E4133" s="1" t="s">
        <v>1184</v>
      </c>
      <c r="F4133" s="2"/>
      <c r="G4133" s="2"/>
      <c r="H4133" s="2"/>
    </row>
    <row r="4134" spans="1:8" x14ac:dyDescent="0.25">
      <c r="A4134" s="1"/>
      <c r="B4134" s="1" t="s">
        <v>4039</v>
      </c>
      <c r="C4134" s="1" t="s">
        <v>4040</v>
      </c>
      <c r="D4134" s="22" t="str">
        <f>HYPERLINK("https://rhld.insurance.arkansas.gov/NPILookup?Npi=1467612465","1467612465")</f>
        <v>1467612465</v>
      </c>
      <c r="E4134" s="1" t="s">
        <v>16670</v>
      </c>
      <c r="F4134" s="2"/>
      <c r="G4134" s="2"/>
      <c r="H4134" s="2"/>
    </row>
    <row r="4135" spans="1:8" x14ac:dyDescent="0.25">
      <c r="A4135" s="1"/>
      <c r="B4135" s="1" t="s">
        <v>4039</v>
      </c>
      <c r="C4135" s="1" t="s">
        <v>4040</v>
      </c>
      <c r="D4135" s="22" t="str">
        <f>HYPERLINK("https://rhld.insurance.arkansas.gov/NPILookup?Npi=1467650747","1467650747")</f>
        <v>1467650747</v>
      </c>
      <c r="E4135" s="1" t="s">
        <v>1185</v>
      </c>
      <c r="F4135" s="2"/>
      <c r="G4135" s="2"/>
      <c r="H4135" s="2"/>
    </row>
    <row r="4136" spans="1:8" x14ac:dyDescent="0.25">
      <c r="A4136" s="1"/>
      <c r="B4136" s="1" t="s">
        <v>4039</v>
      </c>
      <c r="C4136" s="1" t="s">
        <v>4040</v>
      </c>
      <c r="D4136" s="22" t="str">
        <f>HYPERLINK("https://rhld.insurance.arkansas.gov/NPILookup?Npi=1467664656","1467664656")</f>
        <v>1467664656</v>
      </c>
      <c r="E4136" s="1" t="s">
        <v>16671</v>
      </c>
      <c r="F4136" s="2"/>
      <c r="G4136" s="2"/>
      <c r="H4136" s="2"/>
    </row>
    <row r="4137" spans="1:8" x14ac:dyDescent="0.25">
      <c r="A4137" s="1"/>
      <c r="B4137" s="1" t="s">
        <v>4039</v>
      </c>
      <c r="C4137" s="1" t="s">
        <v>4040</v>
      </c>
      <c r="D4137" s="22" t="str">
        <f>HYPERLINK("https://rhld.insurance.arkansas.gov/NPILookup?Npi=1467672972","1467672972")</f>
        <v>1467672972</v>
      </c>
      <c r="E4137" s="1" t="s">
        <v>613</v>
      </c>
      <c r="F4137" s="2"/>
      <c r="G4137" s="2"/>
      <c r="H4137" s="2"/>
    </row>
    <row r="4138" spans="1:8" x14ac:dyDescent="0.25">
      <c r="A4138" s="1"/>
      <c r="B4138" s="1" t="s">
        <v>4039</v>
      </c>
      <c r="C4138" s="1" t="s">
        <v>4040</v>
      </c>
      <c r="D4138" s="22" t="str">
        <f>HYPERLINK("https://rhld.insurance.arkansas.gov/NPILookup?Npi=1467693283","1467693283")</f>
        <v>1467693283</v>
      </c>
      <c r="E4138" s="1" t="s">
        <v>16672</v>
      </c>
      <c r="F4138" s="2"/>
      <c r="G4138" s="2"/>
      <c r="H4138" s="2"/>
    </row>
    <row r="4139" spans="1:8" x14ac:dyDescent="0.25">
      <c r="A4139" s="1"/>
      <c r="B4139" s="1" t="s">
        <v>4039</v>
      </c>
      <c r="C4139" s="1" t="s">
        <v>4040</v>
      </c>
      <c r="D4139" s="22" t="str">
        <f>HYPERLINK("https://rhld.insurance.arkansas.gov/NPILookup?Npi=1467697144","1467697144")</f>
        <v>1467697144</v>
      </c>
      <c r="E4139" s="1" t="s">
        <v>16673</v>
      </c>
      <c r="F4139" s="2"/>
      <c r="G4139" s="2"/>
      <c r="H4139" s="2"/>
    </row>
    <row r="4140" spans="1:8" x14ac:dyDescent="0.25">
      <c r="A4140" s="1"/>
      <c r="B4140" s="1" t="s">
        <v>4039</v>
      </c>
      <c r="C4140" s="1" t="s">
        <v>4040</v>
      </c>
      <c r="D4140" s="22" t="str">
        <f>HYPERLINK("https://rhld.insurance.arkansas.gov/NPILookup?Npi=1467801233","1467801233")</f>
        <v>1467801233</v>
      </c>
      <c r="E4140" s="1" t="s">
        <v>812</v>
      </c>
      <c r="F4140" s="2"/>
      <c r="G4140" s="2"/>
      <c r="H4140" s="2"/>
    </row>
    <row r="4141" spans="1:8" x14ac:dyDescent="0.25">
      <c r="A4141" s="1"/>
      <c r="B4141" s="1" t="s">
        <v>4039</v>
      </c>
      <c r="C4141" s="1" t="s">
        <v>4040</v>
      </c>
      <c r="D4141" s="22" t="str">
        <f>HYPERLINK("https://rhld.insurance.arkansas.gov/NPILookup?Npi=1467803361","1467803361")</f>
        <v>1467803361</v>
      </c>
      <c r="E4141" s="1" t="s">
        <v>10063</v>
      </c>
      <c r="F4141" s="2"/>
      <c r="G4141" s="2"/>
      <c r="H4141" s="2"/>
    </row>
    <row r="4142" spans="1:8" x14ac:dyDescent="0.25">
      <c r="A4142" s="1"/>
      <c r="B4142" s="1" t="s">
        <v>4039</v>
      </c>
      <c r="C4142" s="1" t="s">
        <v>4040</v>
      </c>
      <c r="D4142" s="22" t="str">
        <f>HYPERLINK("https://rhld.insurance.arkansas.gov/NPILookup?Npi=1467891606","1467891606")</f>
        <v>1467891606</v>
      </c>
      <c r="E4142" s="1" t="s">
        <v>16674</v>
      </c>
      <c r="F4142" s="2"/>
      <c r="G4142" s="2"/>
      <c r="H4142" s="2"/>
    </row>
    <row r="4143" spans="1:8" x14ac:dyDescent="0.25">
      <c r="A4143" s="1"/>
      <c r="B4143" s="1" t="s">
        <v>4039</v>
      </c>
      <c r="C4143" s="1" t="s">
        <v>4040</v>
      </c>
      <c r="D4143" s="22" t="str">
        <f>HYPERLINK("https://rhld.insurance.arkansas.gov/NPILookup?Npi=1467945964","1467945964")</f>
        <v>1467945964</v>
      </c>
      <c r="E4143" s="1" t="s">
        <v>16675</v>
      </c>
      <c r="F4143" s="2"/>
      <c r="G4143" s="2"/>
      <c r="H4143" s="2"/>
    </row>
    <row r="4144" spans="1:8" x14ac:dyDescent="0.25">
      <c r="A4144" s="1"/>
      <c r="B4144" s="1" t="s">
        <v>4039</v>
      </c>
      <c r="C4144" s="1" t="s">
        <v>4040</v>
      </c>
      <c r="D4144" s="22" t="str">
        <f>HYPERLINK("https://rhld.insurance.arkansas.gov/NPILookup?Npi=1467976126","1467976126")</f>
        <v>1467976126</v>
      </c>
      <c r="E4144" s="1" t="s">
        <v>16676</v>
      </c>
      <c r="F4144" s="2"/>
      <c r="G4144" s="2"/>
      <c r="H4144" s="2"/>
    </row>
    <row r="4145" spans="1:8" x14ac:dyDescent="0.25">
      <c r="A4145" s="1"/>
      <c r="B4145" s="1" t="s">
        <v>4039</v>
      </c>
      <c r="C4145" s="1" t="s">
        <v>4040</v>
      </c>
      <c r="D4145" s="22" t="str">
        <f>HYPERLINK("https://rhld.insurance.arkansas.gov/NPILookup?Npi=1477064004","1477064004")</f>
        <v>1477064004</v>
      </c>
      <c r="E4145" s="1" t="s">
        <v>514</v>
      </c>
      <c r="F4145" s="2"/>
      <c r="G4145" s="2"/>
      <c r="H4145" s="2"/>
    </row>
    <row r="4146" spans="1:8" x14ac:dyDescent="0.25">
      <c r="A4146" s="1"/>
      <c r="B4146" s="1" t="s">
        <v>4039</v>
      </c>
      <c r="C4146" s="1" t="s">
        <v>4040</v>
      </c>
      <c r="D4146" s="22" t="str">
        <f>HYPERLINK("https://rhld.insurance.arkansas.gov/NPILookup?Npi=1477091932","1477091932")</f>
        <v>1477091932</v>
      </c>
      <c r="E4146" s="1" t="s">
        <v>16677</v>
      </c>
      <c r="F4146" s="2"/>
      <c r="G4146" s="2"/>
      <c r="H4146" s="2"/>
    </row>
    <row r="4147" spans="1:8" x14ac:dyDescent="0.25">
      <c r="A4147" s="1"/>
      <c r="B4147" s="1" t="s">
        <v>4039</v>
      </c>
      <c r="C4147" s="1" t="s">
        <v>4040</v>
      </c>
      <c r="D4147" s="22" t="str">
        <f>HYPERLINK("https://rhld.insurance.arkansas.gov/NPILookup?Npi=1477094605","1477094605")</f>
        <v>1477094605</v>
      </c>
      <c r="E4147" s="1" t="s">
        <v>1726</v>
      </c>
      <c r="F4147" s="2"/>
      <c r="G4147" s="2"/>
      <c r="H4147" s="2"/>
    </row>
    <row r="4148" spans="1:8" x14ac:dyDescent="0.25">
      <c r="A4148" s="1"/>
      <c r="B4148" s="1" t="s">
        <v>4039</v>
      </c>
      <c r="C4148" s="1" t="s">
        <v>4040</v>
      </c>
      <c r="D4148" s="22" t="str">
        <f>HYPERLINK("https://rhld.insurance.arkansas.gov/NPILookup?Npi=1477237998","1477237998")</f>
        <v>1477237998</v>
      </c>
      <c r="E4148" s="1" t="s">
        <v>4094</v>
      </c>
      <c r="F4148" s="2"/>
      <c r="G4148" s="2"/>
      <c r="H4148" s="2"/>
    </row>
    <row r="4149" spans="1:8" x14ac:dyDescent="0.25">
      <c r="A4149" s="1"/>
      <c r="B4149" s="1" t="s">
        <v>4039</v>
      </c>
      <c r="C4149" s="1" t="s">
        <v>4040</v>
      </c>
      <c r="D4149" s="22" t="str">
        <f>HYPERLINK("https://rhld.insurance.arkansas.gov/NPILookup?Npi=1477253763","1477253763")</f>
        <v>1477253763</v>
      </c>
      <c r="E4149" s="1" t="s">
        <v>16678</v>
      </c>
      <c r="F4149" s="2"/>
      <c r="G4149" s="2"/>
      <c r="H4149" s="2"/>
    </row>
    <row r="4150" spans="1:8" x14ac:dyDescent="0.25">
      <c r="A4150" s="1"/>
      <c r="B4150" s="1" t="s">
        <v>4039</v>
      </c>
      <c r="C4150" s="1" t="s">
        <v>4040</v>
      </c>
      <c r="D4150" s="22" t="str">
        <f>HYPERLINK("https://rhld.insurance.arkansas.gov/NPILookup?Npi=1477510246","1477510246")</f>
        <v>1477510246</v>
      </c>
      <c r="E4150" s="1" t="s">
        <v>497</v>
      </c>
      <c r="F4150" s="2"/>
      <c r="G4150" s="2"/>
      <c r="H4150" s="2"/>
    </row>
    <row r="4151" spans="1:8" x14ac:dyDescent="0.25">
      <c r="A4151" s="1"/>
      <c r="B4151" s="1" t="s">
        <v>4039</v>
      </c>
      <c r="C4151" s="1" t="s">
        <v>4040</v>
      </c>
      <c r="D4151" s="22" t="str">
        <f>HYPERLINK("https://rhld.insurance.arkansas.gov/NPILookup?Npi=1477618114","1477618114")</f>
        <v>1477618114</v>
      </c>
      <c r="E4151" s="1" t="s">
        <v>16679</v>
      </c>
      <c r="F4151" s="2"/>
      <c r="G4151" s="2"/>
      <c r="H4151" s="2"/>
    </row>
    <row r="4152" spans="1:8" x14ac:dyDescent="0.25">
      <c r="A4152" s="1"/>
      <c r="B4152" s="1" t="s">
        <v>4039</v>
      </c>
      <c r="C4152" s="1" t="s">
        <v>4040</v>
      </c>
      <c r="D4152" s="22" t="str">
        <f>HYPERLINK("https://rhld.insurance.arkansas.gov/NPILookup?Npi=1477655561","1477655561")</f>
        <v>1477655561</v>
      </c>
      <c r="E4152" s="1" t="s">
        <v>16680</v>
      </c>
      <c r="F4152" s="2"/>
      <c r="G4152" s="2"/>
      <c r="H4152" s="2"/>
    </row>
    <row r="4153" spans="1:8" x14ac:dyDescent="0.25">
      <c r="A4153" s="1"/>
      <c r="B4153" s="1" t="s">
        <v>4039</v>
      </c>
      <c r="C4153" s="1" t="s">
        <v>4040</v>
      </c>
      <c r="D4153" s="22" t="str">
        <f>HYPERLINK("https://rhld.insurance.arkansas.gov/NPILookup?Npi=1477693018","1477693018")</f>
        <v>1477693018</v>
      </c>
      <c r="E4153" s="1" t="s">
        <v>16681</v>
      </c>
      <c r="F4153" s="2"/>
      <c r="G4153" s="2"/>
      <c r="H4153" s="2"/>
    </row>
    <row r="4154" spans="1:8" x14ac:dyDescent="0.25">
      <c r="A4154" s="1"/>
      <c r="B4154" s="1" t="s">
        <v>4039</v>
      </c>
      <c r="C4154" s="1" t="s">
        <v>4040</v>
      </c>
      <c r="D4154" s="22" t="str">
        <f>HYPERLINK("https://rhld.insurance.arkansas.gov/NPILookup?Npi=1477707032","1477707032")</f>
        <v>1477707032</v>
      </c>
      <c r="E4154" s="1" t="s">
        <v>3696</v>
      </c>
      <c r="F4154" s="2"/>
      <c r="G4154" s="2"/>
      <c r="H4154" s="2"/>
    </row>
    <row r="4155" spans="1:8" x14ac:dyDescent="0.25">
      <c r="A4155" s="1"/>
      <c r="B4155" s="1" t="s">
        <v>4039</v>
      </c>
      <c r="C4155" s="1" t="s">
        <v>4040</v>
      </c>
      <c r="D4155" s="22" t="str">
        <f>HYPERLINK("https://rhld.insurance.arkansas.gov/NPILookup?Npi=1477757292","1477757292")</f>
        <v>1477757292</v>
      </c>
      <c r="E4155" s="1" t="s">
        <v>498</v>
      </c>
      <c r="F4155" s="2"/>
      <c r="G4155" s="2"/>
      <c r="H4155" s="2"/>
    </row>
    <row r="4156" spans="1:8" x14ac:dyDescent="0.25">
      <c r="A4156" s="1"/>
      <c r="B4156" s="1" t="s">
        <v>4039</v>
      </c>
      <c r="C4156" s="1" t="s">
        <v>4040</v>
      </c>
      <c r="D4156" s="22" t="str">
        <f>HYPERLINK("https://rhld.insurance.arkansas.gov/NPILookup?Npi=1477805836","1477805836")</f>
        <v>1477805836</v>
      </c>
      <c r="E4156" s="1" t="s">
        <v>16682</v>
      </c>
      <c r="F4156" s="2"/>
      <c r="G4156" s="2"/>
      <c r="H4156" s="2"/>
    </row>
    <row r="4157" spans="1:8" x14ac:dyDescent="0.25">
      <c r="A4157" s="1"/>
      <c r="B4157" s="1" t="s">
        <v>4039</v>
      </c>
      <c r="C4157" s="1" t="s">
        <v>4040</v>
      </c>
      <c r="D4157" s="22" t="str">
        <f>HYPERLINK("https://rhld.insurance.arkansas.gov/NPILookup?Npi=1477860526","1477860526")</f>
        <v>1477860526</v>
      </c>
      <c r="E4157" s="1" t="s">
        <v>16683</v>
      </c>
      <c r="F4157" s="2"/>
      <c r="G4157" s="2"/>
      <c r="H4157" s="2"/>
    </row>
    <row r="4158" spans="1:8" x14ac:dyDescent="0.25">
      <c r="A4158" s="1"/>
      <c r="B4158" s="1" t="s">
        <v>4039</v>
      </c>
      <c r="C4158" s="1" t="s">
        <v>4040</v>
      </c>
      <c r="D4158" s="22" t="str">
        <f>HYPERLINK("https://rhld.insurance.arkansas.gov/NPILookup?Npi=1477902856","1477902856")</f>
        <v>1477902856</v>
      </c>
      <c r="E4158" s="1" t="s">
        <v>12756</v>
      </c>
      <c r="F4158" s="2"/>
      <c r="G4158" s="2"/>
      <c r="H4158" s="2"/>
    </row>
    <row r="4159" spans="1:8" x14ac:dyDescent="0.25">
      <c r="A4159" s="1"/>
      <c r="B4159" s="1" t="s">
        <v>4039</v>
      </c>
      <c r="C4159" s="1" t="s">
        <v>4040</v>
      </c>
      <c r="D4159" s="22" t="str">
        <f>HYPERLINK("https://rhld.insurance.arkansas.gov/NPILookup?Npi=1477903052","1477903052")</f>
        <v>1477903052</v>
      </c>
      <c r="E4159" s="1" t="s">
        <v>3697</v>
      </c>
      <c r="F4159" s="2"/>
      <c r="G4159" s="2"/>
      <c r="H4159" s="2"/>
    </row>
    <row r="4160" spans="1:8" x14ac:dyDescent="0.25">
      <c r="A4160" s="1"/>
      <c r="B4160" s="1" t="s">
        <v>4039</v>
      </c>
      <c r="C4160" s="1" t="s">
        <v>4040</v>
      </c>
      <c r="D4160" s="22" t="str">
        <f>HYPERLINK("https://rhld.insurance.arkansas.gov/NPILookup?Npi=1477991065","1477991065")</f>
        <v>1477991065</v>
      </c>
      <c r="E4160" s="1" t="s">
        <v>16684</v>
      </c>
      <c r="F4160" s="2"/>
      <c r="G4160" s="2"/>
      <c r="H4160" s="2"/>
    </row>
    <row r="4161" spans="1:8" x14ac:dyDescent="0.25">
      <c r="A4161" s="1"/>
      <c r="B4161" s="1" t="s">
        <v>4039</v>
      </c>
      <c r="C4161" s="1" t="s">
        <v>4040</v>
      </c>
      <c r="D4161" s="22" t="str">
        <f>HYPERLINK("https://rhld.insurance.arkansas.gov/NPILookup?Npi=1487004925","1487004925")</f>
        <v>1487004925</v>
      </c>
      <c r="E4161" s="1" t="s">
        <v>813</v>
      </c>
      <c r="F4161" s="2"/>
      <c r="G4161" s="2"/>
      <c r="H4161" s="2"/>
    </row>
    <row r="4162" spans="1:8" x14ac:dyDescent="0.25">
      <c r="A4162" s="1"/>
      <c r="B4162" s="1" t="s">
        <v>4039</v>
      </c>
      <c r="C4162" s="1" t="s">
        <v>4040</v>
      </c>
      <c r="D4162" s="22" t="str">
        <f>HYPERLINK("https://rhld.insurance.arkansas.gov/NPILookup?Npi=1487063053","1487063053")</f>
        <v>1487063053</v>
      </c>
      <c r="E4162" s="1" t="s">
        <v>1187</v>
      </c>
      <c r="F4162" s="2"/>
      <c r="G4162" s="2"/>
      <c r="H4162" s="2"/>
    </row>
    <row r="4163" spans="1:8" x14ac:dyDescent="0.25">
      <c r="A4163" s="1"/>
      <c r="B4163" s="1" t="s">
        <v>4039</v>
      </c>
      <c r="C4163" s="1" t="s">
        <v>4040</v>
      </c>
      <c r="D4163" s="22" t="str">
        <f>HYPERLINK("https://rhld.insurance.arkansas.gov/NPILookup?Npi=1487093019","1487093019")</f>
        <v>1487093019</v>
      </c>
      <c r="E4163" s="1" t="s">
        <v>3183</v>
      </c>
      <c r="F4163" s="2"/>
      <c r="G4163" s="2"/>
      <c r="H4163" s="2"/>
    </row>
    <row r="4164" spans="1:8" x14ac:dyDescent="0.25">
      <c r="A4164" s="1"/>
      <c r="B4164" s="1" t="s">
        <v>4039</v>
      </c>
      <c r="C4164" s="1" t="s">
        <v>4040</v>
      </c>
      <c r="D4164" s="22" t="str">
        <f>HYPERLINK("https://rhld.insurance.arkansas.gov/NPILookup?Npi=1487130969","1487130969")</f>
        <v>1487130969</v>
      </c>
      <c r="E4164" s="1" t="s">
        <v>31369</v>
      </c>
      <c r="F4164" s="2"/>
      <c r="G4164" s="2"/>
      <c r="H4164" s="2"/>
    </row>
    <row r="4165" spans="1:8" x14ac:dyDescent="0.25">
      <c r="A4165" s="1"/>
      <c r="B4165" s="1" t="s">
        <v>4039</v>
      </c>
      <c r="C4165" s="1" t="s">
        <v>4040</v>
      </c>
      <c r="D4165" s="22" t="str">
        <f>HYPERLINK("https://rhld.insurance.arkansas.gov/NPILookup?Npi=1487215828","1487215828")</f>
        <v>1487215828</v>
      </c>
      <c r="E4165" s="1" t="s">
        <v>16685</v>
      </c>
      <c r="F4165" s="2"/>
      <c r="G4165" s="2"/>
      <c r="H4165" s="2"/>
    </row>
    <row r="4166" spans="1:8" x14ac:dyDescent="0.25">
      <c r="A4166" s="1"/>
      <c r="B4166" s="1" t="s">
        <v>4039</v>
      </c>
      <c r="C4166" s="1" t="s">
        <v>4040</v>
      </c>
      <c r="D4166" s="22" t="str">
        <f>HYPERLINK("https://rhld.insurance.arkansas.gov/NPILookup?Npi=1487282760","1487282760")</f>
        <v>1487282760</v>
      </c>
      <c r="E4166" s="1" t="s">
        <v>4095</v>
      </c>
      <c r="F4166" s="2"/>
      <c r="G4166" s="2"/>
      <c r="H4166" s="2"/>
    </row>
    <row r="4167" spans="1:8" x14ac:dyDescent="0.25">
      <c r="A4167" s="1"/>
      <c r="B4167" s="1" t="s">
        <v>4039</v>
      </c>
      <c r="C4167" s="1" t="s">
        <v>4040</v>
      </c>
      <c r="D4167" s="22" t="str">
        <f>HYPERLINK("https://rhld.insurance.arkansas.gov/NPILookup?Npi=1487375085","1487375085")</f>
        <v>1487375085</v>
      </c>
      <c r="E4167" s="1" t="s">
        <v>4096</v>
      </c>
      <c r="F4167" s="2"/>
      <c r="G4167" s="2"/>
      <c r="H4167" s="2"/>
    </row>
    <row r="4168" spans="1:8" x14ac:dyDescent="0.25">
      <c r="A4168" s="1"/>
      <c r="B4168" s="1" t="s">
        <v>4039</v>
      </c>
      <c r="C4168" s="1" t="s">
        <v>4040</v>
      </c>
      <c r="D4168" s="22" t="str">
        <f>HYPERLINK("https://rhld.insurance.arkansas.gov/NPILookup?Npi=1487385340","1487385340")</f>
        <v>1487385340</v>
      </c>
      <c r="E4168" s="1" t="s">
        <v>16686</v>
      </c>
      <c r="F4168" s="2"/>
      <c r="G4168" s="2"/>
      <c r="H4168" s="2"/>
    </row>
    <row r="4169" spans="1:8" x14ac:dyDescent="0.25">
      <c r="A4169" s="1"/>
      <c r="B4169" s="1" t="s">
        <v>4039</v>
      </c>
      <c r="C4169" s="1" t="s">
        <v>4040</v>
      </c>
      <c r="D4169" s="22" t="str">
        <f>HYPERLINK("https://rhld.insurance.arkansas.gov/NPILookup?Npi=1487490231","1487490231")</f>
        <v>1487490231</v>
      </c>
      <c r="E4169" s="1" t="s">
        <v>16687</v>
      </c>
      <c r="F4169" s="2"/>
      <c r="G4169" s="2"/>
      <c r="H4169" s="2"/>
    </row>
    <row r="4170" spans="1:8" x14ac:dyDescent="0.25">
      <c r="A4170" s="1"/>
      <c r="B4170" s="1" t="s">
        <v>4039</v>
      </c>
      <c r="C4170" s="1" t="s">
        <v>4040</v>
      </c>
      <c r="D4170" s="22" t="str">
        <f>HYPERLINK("https://rhld.insurance.arkansas.gov/NPILookup?Npi=1487646022","1487646022")</f>
        <v>1487646022</v>
      </c>
      <c r="E4170" s="1" t="s">
        <v>10065</v>
      </c>
      <c r="F4170" s="2"/>
      <c r="G4170" s="2"/>
      <c r="H4170" s="2"/>
    </row>
    <row r="4171" spans="1:8" x14ac:dyDescent="0.25">
      <c r="A4171" s="1"/>
      <c r="B4171" s="1" t="s">
        <v>4039</v>
      </c>
      <c r="C4171" s="1" t="s">
        <v>4040</v>
      </c>
      <c r="D4171" s="22" t="str">
        <f>HYPERLINK("https://rhld.insurance.arkansas.gov/NPILookup?Npi=1487702015","1487702015")</f>
        <v>1487702015</v>
      </c>
      <c r="E4171" s="1" t="s">
        <v>403</v>
      </c>
      <c r="F4171" s="2"/>
      <c r="G4171" s="2"/>
      <c r="H4171" s="2"/>
    </row>
    <row r="4172" spans="1:8" x14ac:dyDescent="0.25">
      <c r="A4172" s="1"/>
      <c r="B4172" s="1" t="s">
        <v>4039</v>
      </c>
      <c r="C4172" s="1" t="s">
        <v>4040</v>
      </c>
      <c r="D4172" s="22" t="str">
        <f>HYPERLINK("https://rhld.insurance.arkansas.gov/NPILookup?Npi=1487713681","1487713681")</f>
        <v>1487713681</v>
      </c>
      <c r="E4172" s="1" t="s">
        <v>10066</v>
      </c>
      <c r="F4172" s="2"/>
      <c r="G4172" s="2"/>
      <c r="H4172" s="2"/>
    </row>
    <row r="4173" spans="1:8" x14ac:dyDescent="0.25">
      <c r="A4173" s="1"/>
      <c r="B4173" s="1" t="s">
        <v>4039</v>
      </c>
      <c r="C4173" s="1" t="s">
        <v>4040</v>
      </c>
      <c r="D4173" s="22" t="str">
        <f>HYPERLINK("https://rhld.insurance.arkansas.gov/NPILookup?Npi=1487742060","1487742060")</f>
        <v>1487742060</v>
      </c>
      <c r="E4173" s="1" t="s">
        <v>519</v>
      </c>
      <c r="F4173" s="2"/>
      <c r="G4173" s="2"/>
      <c r="H4173" s="2"/>
    </row>
    <row r="4174" spans="1:8" x14ac:dyDescent="0.25">
      <c r="A4174" s="1"/>
      <c r="B4174" s="1" t="s">
        <v>4039</v>
      </c>
      <c r="C4174" s="1" t="s">
        <v>4040</v>
      </c>
      <c r="D4174" s="22" t="str">
        <f>HYPERLINK("https://rhld.insurance.arkansas.gov/NPILookup?Npi=1487826806","1487826806")</f>
        <v>1487826806</v>
      </c>
      <c r="E4174" s="1" t="s">
        <v>16688</v>
      </c>
      <c r="F4174" s="2"/>
      <c r="G4174" s="2"/>
      <c r="H4174" s="2"/>
    </row>
    <row r="4175" spans="1:8" x14ac:dyDescent="0.25">
      <c r="A4175" s="1"/>
      <c r="B4175" s="1" t="s">
        <v>4039</v>
      </c>
      <c r="C4175" s="1" t="s">
        <v>4040</v>
      </c>
      <c r="D4175" s="22" t="str">
        <f>HYPERLINK("https://rhld.insurance.arkansas.gov/NPILookup?Npi=1487880324","1487880324")</f>
        <v>1487880324</v>
      </c>
      <c r="E4175" s="1" t="s">
        <v>16689</v>
      </c>
      <c r="F4175" s="2"/>
      <c r="G4175" s="2"/>
      <c r="H4175" s="2"/>
    </row>
    <row r="4176" spans="1:8" x14ac:dyDescent="0.25">
      <c r="A4176" s="1"/>
      <c r="B4176" s="1" t="s">
        <v>4039</v>
      </c>
      <c r="C4176" s="1" t="s">
        <v>4040</v>
      </c>
      <c r="D4176" s="22" t="str">
        <f>HYPERLINK("https://rhld.insurance.arkansas.gov/NPILookup?Npi=1487917001","1487917001")</f>
        <v>1487917001</v>
      </c>
      <c r="E4176" s="1" t="s">
        <v>16690</v>
      </c>
      <c r="F4176" s="2"/>
      <c r="G4176" s="2"/>
      <c r="H4176" s="2"/>
    </row>
    <row r="4177" spans="1:8" x14ac:dyDescent="0.25">
      <c r="A4177" s="1"/>
      <c r="B4177" s="1" t="s">
        <v>4039</v>
      </c>
      <c r="C4177" s="1" t="s">
        <v>4040</v>
      </c>
      <c r="D4177" s="22" t="str">
        <f>HYPERLINK("https://rhld.insurance.arkansas.gov/NPILookup?Npi=1487934543","1487934543")</f>
        <v>1487934543</v>
      </c>
      <c r="E4177" s="1" t="s">
        <v>10067</v>
      </c>
      <c r="F4177" s="2"/>
      <c r="G4177" s="2"/>
      <c r="H4177" s="2"/>
    </row>
    <row r="4178" spans="1:8" x14ac:dyDescent="0.25">
      <c r="A4178" s="1"/>
      <c r="B4178" s="1" t="s">
        <v>4039</v>
      </c>
      <c r="C4178" s="1" t="s">
        <v>4040</v>
      </c>
      <c r="D4178" s="22" t="str">
        <f>HYPERLINK("https://rhld.insurance.arkansas.gov/NPILookup?Npi=1497076715","1497076715")</f>
        <v>1497076715</v>
      </c>
      <c r="E4178" s="1" t="s">
        <v>551</v>
      </c>
      <c r="F4178" s="2"/>
      <c r="G4178" s="2"/>
      <c r="H4178" s="2"/>
    </row>
    <row r="4179" spans="1:8" x14ac:dyDescent="0.25">
      <c r="A4179" s="1"/>
      <c r="B4179" s="1" t="s">
        <v>4039</v>
      </c>
      <c r="C4179" s="1" t="s">
        <v>4040</v>
      </c>
      <c r="D4179" s="22" t="str">
        <f>HYPERLINK("https://rhld.insurance.arkansas.gov/NPILookup?Npi=1497083471","1497083471")</f>
        <v>1497083471</v>
      </c>
      <c r="E4179" s="1" t="s">
        <v>4098</v>
      </c>
      <c r="F4179" s="2"/>
      <c r="G4179" s="2"/>
      <c r="H4179" s="2"/>
    </row>
    <row r="4180" spans="1:8" x14ac:dyDescent="0.25">
      <c r="A4180" s="1"/>
      <c r="B4180" s="1" t="s">
        <v>4039</v>
      </c>
      <c r="C4180" s="1" t="s">
        <v>4040</v>
      </c>
      <c r="D4180" s="22" t="str">
        <f>HYPERLINK("https://rhld.insurance.arkansas.gov/NPILookup?Npi=1497084057","1497084057")</f>
        <v>1497084057</v>
      </c>
      <c r="E4180" s="1" t="s">
        <v>16691</v>
      </c>
      <c r="F4180" s="2"/>
      <c r="G4180" s="2"/>
      <c r="H4180" s="2"/>
    </row>
    <row r="4181" spans="1:8" x14ac:dyDescent="0.25">
      <c r="A4181" s="1"/>
      <c r="B4181" s="1" t="s">
        <v>4039</v>
      </c>
      <c r="C4181" s="1" t="s">
        <v>4040</v>
      </c>
      <c r="D4181" s="22" t="str">
        <f>HYPERLINK("https://rhld.insurance.arkansas.gov/NPILookup?Npi=1497249031","1497249031")</f>
        <v>1497249031</v>
      </c>
      <c r="E4181" s="1" t="s">
        <v>10068</v>
      </c>
      <c r="F4181" s="2"/>
      <c r="G4181" s="2"/>
      <c r="H4181" s="2"/>
    </row>
    <row r="4182" spans="1:8" x14ac:dyDescent="0.25">
      <c r="A4182" s="1"/>
      <c r="B4182" s="1" t="s">
        <v>4039</v>
      </c>
      <c r="C4182" s="1" t="s">
        <v>4040</v>
      </c>
      <c r="D4182" s="22" t="str">
        <f>HYPERLINK("https://rhld.insurance.arkansas.gov/NPILookup?Npi=1497280358","1497280358")</f>
        <v>1497280358</v>
      </c>
      <c r="E4182" s="1" t="s">
        <v>2335</v>
      </c>
      <c r="F4182" s="2"/>
      <c r="G4182" s="2"/>
      <c r="H4182" s="2"/>
    </row>
    <row r="4183" spans="1:8" x14ac:dyDescent="0.25">
      <c r="A4183" s="1"/>
      <c r="B4183" s="1" t="s">
        <v>4039</v>
      </c>
      <c r="C4183" s="1" t="s">
        <v>4040</v>
      </c>
      <c r="D4183" s="22" t="str">
        <f>HYPERLINK("https://rhld.insurance.arkansas.gov/NPILookup?Npi=1497283691","1497283691")</f>
        <v>1497283691</v>
      </c>
      <c r="E4183" s="1" t="s">
        <v>4489</v>
      </c>
      <c r="F4183" s="2"/>
      <c r="G4183" s="2"/>
      <c r="H4183" s="2"/>
    </row>
    <row r="4184" spans="1:8" x14ac:dyDescent="0.25">
      <c r="A4184" s="1"/>
      <c r="B4184" s="1" t="s">
        <v>4039</v>
      </c>
      <c r="C4184" s="1" t="s">
        <v>4040</v>
      </c>
      <c r="D4184" s="22" t="str">
        <f>HYPERLINK("https://rhld.insurance.arkansas.gov/NPILookup?Npi=1497287817","1497287817")</f>
        <v>1497287817</v>
      </c>
      <c r="E4184" s="1" t="s">
        <v>10069</v>
      </c>
      <c r="F4184" s="2"/>
      <c r="G4184" s="2"/>
      <c r="H4184" s="2"/>
    </row>
    <row r="4185" spans="1:8" x14ac:dyDescent="0.25">
      <c r="A4185" s="1"/>
      <c r="B4185" s="1" t="s">
        <v>4039</v>
      </c>
      <c r="C4185" s="1" t="s">
        <v>4040</v>
      </c>
      <c r="D4185" s="22" t="str">
        <f>HYPERLINK("https://rhld.insurance.arkansas.gov/NPILookup?Npi=1497310288","1497310288")</f>
        <v>1497310288</v>
      </c>
      <c r="E4185" s="1" t="s">
        <v>16692</v>
      </c>
      <c r="F4185" s="2"/>
      <c r="G4185" s="2"/>
      <c r="H4185" s="2"/>
    </row>
    <row r="4186" spans="1:8" x14ac:dyDescent="0.25">
      <c r="A4186" s="1"/>
      <c r="B4186" s="1" t="s">
        <v>4039</v>
      </c>
      <c r="C4186" s="1" t="s">
        <v>4040</v>
      </c>
      <c r="D4186" s="22" t="str">
        <f>HYPERLINK("https://rhld.insurance.arkansas.gov/NPILookup?Npi=1497312797","1497312797")</f>
        <v>1497312797</v>
      </c>
      <c r="E4186" s="1" t="s">
        <v>4099</v>
      </c>
      <c r="F4186" s="2"/>
      <c r="G4186" s="2"/>
      <c r="H4186" s="2"/>
    </row>
    <row r="4187" spans="1:8" x14ac:dyDescent="0.25">
      <c r="A4187" s="1"/>
      <c r="B4187" s="1" t="s">
        <v>4039</v>
      </c>
      <c r="C4187" s="1" t="s">
        <v>4040</v>
      </c>
      <c r="D4187" s="22" t="str">
        <f>HYPERLINK("https://rhld.insurance.arkansas.gov/NPILookup?Npi=1497434823","1497434823")</f>
        <v>1497434823</v>
      </c>
      <c r="E4187" s="1" t="s">
        <v>16693</v>
      </c>
      <c r="F4187" s="2"/>
      <c r="G4187" s="2"/>
      <c r="H4187" s="2"/>
    </row>
    <row r="4188" spans="1:8" x14ac:dyDescent="0.25">
      <c r="A4188" s="1"/>
      <c r="B4188" s="1" t="s">
        <v>4039</v>
      </c>
      <c r="C4188" s="1" t="s">
        <v>4040</v>
      </c>
      <c r="D4188" s="22" t="str">
        <f>HYPERLINK("https://rhld.insurance.arkansas.gov/NPILookup?Npi=1497447197","1497447197")</f>
        <v>1497447197</v>
      </c>
      <c r="E4188" s="1" t="s">
        <v>10070</v>
      </c>
      <c r="F4188" s="2"/>
      <c r="G4188" s="2"/>
      <c r="H4188" s="2"/>
    </row>
    <row r="4189" spans="1:8" x14ac:dyDescent="0.25">
      <c r="A4189" s="1"/>
      <c r="B4189" s="1" t="s">
        <v>4039</v>
      </c>
      <c r="C4189" s="1" t="s">
        <v>4040</v>
      </c>
      <c r="D4189" s="22" t="str">
        <f>HYPERLINK("https://rhld.insurance.arkansas.gov/NPILookup?Npi=1497485502","1497485502")</f>
        <v>1497485502</v>
      </c>
      <c r="E4189" s="1" t="s">
        <v>16694</v>
      </c>
      <c r="F4189" s="2"/>
      <c r="G4189" s="2"/>
      <c r="H4189" s="2"/>
    </row>
    <row r="4190" spans="1:8" x14ac:dyDescent="0.25">
      <c r="A4190" s="1"/>
      <c r="B4190" s="1" t="s">
        <v>4039</v>
      </c>
      <c r="C4190" s="1" t="s">
        <v>4040</v>
      </c>
      <c r="D4190" s="22" t="str">
        <f>HYPERLINK("https://rhld.insurance.arkansas.gov/NPILookup?Npi=1497765903","1497765903")</f>
        <v>1497765903</v>
      </c>
      <c r="E4190" s="1" t="s">
        <v>16695</v>
      </c>
      <c r="F4190" s="2"/>
      <c r="G4190" s="2"/>
      <c r="H4190" s="2"/>
    </row>
    <row r="4191" spans="1:8" x14ac:dyDescent="0.25">
      <c r="A4191" s="1"/>
      <c r="B4191" s="1" t="s">
        <v>4039</v>
      </c>
      <c r="C4191" s="1" t="s">
        <v>4040</v>
      </c>
      <c r="D4191" s="22" t="str">
        <f>HYPERLINK("https://rhld.insurance.arkansas.gov/NPILookup?Npi=1497767073","1497767073")</f>
        <v>1497767073</v>
      </c>
      <c r="E4191" s="1" t="s">
        <v>6479</v>
      </c>
      <c r="F4191" s="2"/>
      <c r="G4191" s="2"/>
      <c r="H4191" s="2"/>
    </row>
    <row r="4192" spans="1:8" x14ac:dyDescent="0.25">
      <c r="A4192" s="1"/>
      <c r="B4192" s="1" t="s">
        <v>4039</v>
      </c>
      <c r="C4192" s="1" t="s">
        <v>4040</v>
      </c>
      <c r="D4192" s="22" t="str">
        <f>HYPERLINK("https://rhld.insurance.arkansas.gov/NPILookup?Npi=1497783906","1497783906")</f>
        <v>1497783906</v>
      </c>
      <c r="E4192" s="1" t="s">
        <v>9980</v>
      </c>
      <c r="F4192" s="2"/>
      <c r="G4192" s="2"/>
      <c r="H4192" s="2"/>
    </row>
    <row r="4193" spans="1:8" x14ac:dyDescent="0.25">
      <c r="A4193" s="1"/>
      <c r="B4193" s="1" t="s">
        <v>4039</v>
      </c>
      <c r="C4193" s="1" t="s">
        <v>4040</v>
      </c>
      <c r="D4193" s="22" t="str">
        <f>HYPERLINK("https://rhld.insurance.arkansas.gov/NPILookup?Npi=1497851240","1497851240")</f>
        <v>1497851240</v>
      </c>
      <c r="E4193" s="1" t="s">
        <v>672</v>
      </c>
      <c r="F4193" s="2"/>
      <c r="G4193" s="2"/>
      <c r="H4193" s="2"/>
    </row>
    <row r="4194" spans="1:8" x14ac:dyDescent="0.25">
      <c r="A4194" s="1"/>
      <c r="B4194" s="1" t="s">
        <v>4039</v>
      </c>
      <c r="C4194" s="1" t="s">
        <v>4040</v>
      </c>
      <c r="D4194" s="22" t="str">
        <f>HYPERLINK("https://rhld.insurance.arkansas.gov/NPILookup?Npi=1497852495","1497852495")</f>
        <v>1497852495</v>
      </c>
      <c r="E4194" s="1" t="s">
        <v>3729</v>
      </c>
      <c r="F4194" s="2"/>
      <c r="G4194" s="2"/>
      <c r="H4194" s="2"/>
    </row>
    <row r="4195" spans="1:8" x14ac:dyDescent="0.25">
      <c r="A4195" s="1"/>
      <c r="B4195" s="1" t="s">
        <v>4039</v>
      </c>
      <c r="C4195" s="1" t="s">
        <v>4040</v>
      </c>
      <c r="D4195" s="22" t="str">
        <f>HYPERLINK("https://rhld.insurance.arkansas.gov/NPILookup?Npi=1497886808","1497886808")</f>
        <v>1497886808</v>
      </c>
      <c r="E4195" s="1" t="s">
        <v>679</v>
      </c>
      <c r="F4195" s="2"/>
      <c r="G4195" s="2"/>
      <c r="H4195" s="2"/>
    </row>
    <row r="4196" spans="1:8" x14ac:dyDescent="0.25">
      <c r="A4196" s="1"/>
      <c r="B4196" s="1" t="s">
        <v>4039</v>
      </c>
      <c r="C4196" s="1" t="s">
        <v>4040</v>
      </c>
      <c r="D4196" s="22" t="str">
        <f>HYPERLINK("https://rhld.insurance.arkansas.gov/NPILookup?Npi=1497912927","1497912927")</f>
        <v>1497912927</v>
      </c>
      <c r="E4196" s="1" t="s">
        <v>16696</v>
      </c>
      <c r="F4196" s="2"/>
      <c r="G4196" s="2"/>
      <c r="H4196" s="2"/>
    </row>
    <row r="4197" spans="1:8" x14ac:dyDescent="0.25">
      <c r="A4197" s="1"/>
      <c r="B4197" s="1" t="s">
        <v>4039</v>
      </c>
      <c r="C4197" s="1" t="s">
        <v>4040</v>
      </c>
      <c r="D4197" s="22" t="str">
        <f>HYPERLINK("https://rhld.insurance.arkansas.gov/NPILookup?Npi=1497928485","1497928485")</f>
        <v>1497928485</v>
      </c>
      <c r="E4197" s="1" t="s">
        <v>16697</v>
      </c>
      <c r="F4197" s="2"/>
      <c r="G4197" s="2"/>
      <c r="H4197" s="2"/>
    </row>
    <row r="4198" spans="1:8" x14ac:dyDescent="0.25">
      <c r="A4198" s="1"/>
      <c r="B4198" s="1" t="s">
        <v>4039</v>
      </c>
      <c r="C4198" s="1" t="s">
        <v>4040</v>
      </c>
      <c r="D4198" s="22" t="str">
        <f>HYPERLINK("https://rhld.insurance.arkansas.gov/NPILookup?Npi=1497942262","1497942262")</f>
        <v>1497942262</v>
      </c>
      <c r="E4198" s="1" t="s">
        <v>10071</v>
      </c>
      <c r="F4198" s="2"/>
      <c r="G4198" s="2"/>
      <c r="H4198" s="2"/>
    </row>
    <row r="4199" spans="1:8" x14ac:dyDescent="0.25">
      <c r="A4199" s="1"/>
      <c r="B4199" s="1" t="s">
        <v>4039</v>
      </c>
      <c r="C4199" s="1" t="s">
        <v>4040</v>
      </c>
      <c r="D4199" s="22" t="str">
        <f>HYPERLINK("https://rhld.insurance.arkansas.gov/NPILookup?Npi=1497976427","1497976427")</f>
        <v>1497976427</v>
      </c>
      <c r="E4199" s="1" t="s">
        <v>16698</v>
      </c>
      <c r="F4199" s="2"/>
      <c r="G4199" s="2"/>
      <c r="H4199" s="2"/>
    </row>
    <row r="4200" spans="1:8" x14ac:dyDescent="0.25">
      <c r="A4200" s="1"/>
      <c r="B4200" s="1" t="s">
        <v>4039</v>
      </c>
      <c r="C4200" s="1" t="s">
        <v>4040</v>
      </c>
      <c r="D4200" s="22" t="str">
        <f>HYPERLINK("https://rhld.insurance.arkansas.gov/NPILookup?Npi=1508187626","1508187626")</f>
        <v>1508187626</v>
      </c>
      <c r="E4200" s="1" t="s">
        <v>16699</v>
      </c>
      <c r="F4200" s="2"/>
      <c r="G4200" s="2"/>
      <c r="H4200" s="2"/>
    </row>
    <row r="4201" spans="1:8" x14ac:dyDescent="0.25">
      <c r="A4201" s="1"/>
      <c r="B4201" s="1" t="s">
        <v>4039</v>
      </c>
      <c r="C4201" s="1" t="s">
        <v>4040</v>
      </c>
      <c r="D4201" s="22" t="str">
        <f>HYPERLINK("https://rhld.insurance.arkansas.gov/NPILookup?Npi=1508207283","1508207283")</f>
        <v>1508207283</v>
      </c>
      <c r="E4201" s="1" t="s">
        <v>572</v>
      </c>
      <c r="F4201" s="2"/>
      <c r="G4201" s="2"/>
      <c r="H4201" s="2"/>
    </row>
    <row r="4202" spans="1:8" x14ac:dyDescent="0.25">
      <c r="A4202" s="1"/>
      <c r="B4202" s="1" t="s">
        <v>4039</v>
      </c>
      <c r="C4202" s="1" t="s">
        <v>4040</v>
      </c>
      <c r="D4202" s="22" t="str">
        <f>HYPERLINK("https://rhld.insurance.arkansas.gov/NPILookup?Npi=1508210949","1508210949")</f>
        <v>1508210949</v>
      </c>
      <c r="E4202" s="1" t="s">
        <v>16700</v>
      </c>
      <c r="F4202" s="2"/>
      <c r="G4202" s="2"/>
      <c r="H4202" s="2"/>
    </row>
    <row r="4203" spans="1:8" x14ac:dyDescent="0.25">
      <c r="A4203" s="1"/>
      <c r="B4203" s="1" t="s">
        <v>4039</v>
      </c>
      <c r="C4203" s="1" t="s">
        <v>4040</v>
      </c>
      <c r="D4203" s="22" t="str">
        <f>HYPERLINK("https://rhld.insurance.arkansas.gov/NPILookup?Npi=1508234436","1508234436")</f>
        <v>1508234436</v>
      </c>
      <c r="E4203" s="1" t="s">
        <v>10072</v>
      </c>
      <c r="F4203" s="2"/>
      <c r="G4203" s="2"/>
      <c r="H4203" s="2"/>
    </row>
    <row r="4204" spans="1:8" x14ac:dyDescent="0.25">
      <c r="A4204" s="1"/>
      <c r="B4204" s="1" t="s">
        <v>4039</v>
      </c>
      <c r="C4204" s="1" t="s">
        <v>4040</v>
      </c>
      <c r="D4204" s="22" t="str">
        <f>HYPERLINK("https://rhld.insurance.arkansas.gov/NPILookup?Npi=1508444035","1508444035")</f>
        <v>1508444035</v>
      </c>
      <c r="E4204" s="1" t="s">
        <v>4100</v>
      </c>
      <c r="F4204" s="2"/>
      <c r="G4204" s="2"/>
      <c r="H4204" s="2"/>
    </row>
    <row r="4205" spans="1:8" x14ac:dyDescent="0.25">
      <c r="A4205" s="1"/>
      <c r="B4205" s="1" t="s">
        <v>4039</v>
      </c>
      <c r="C4205" s="1" t="s">
        <v>4040</v>
      </c>
      <c r="D4205" s="22" t="str">
        <f>HYPERLINK("https://rhld.insurance.arkansas.gov/NPILookup?Npi=1508533654","1508533654")</f>
        <v>1508533654</v>
      </c>
      <c r="E4205" s="1" t="s">
        <v>10073</v>
      </c>
      <c r="F4205" s="2"/>
      <c r="G4205" s="2"/>
      <c r="H4205" s="2"/>
    </row>
    <row r="4206" spans="1:8" x14ac:dyDescent="0.25">
      <c r="A4206" s="1"/>
      <c r="B4206" s="1" t="s">
        <v>4039</v>
      </c>
      <c r="C4206" s="1" t="s">
        <v>4040</v>
      </c>
      <c r="D4206" s="22" t="str">
        <f>HYPERLINK("https://rhld.insurance.arkansas.gov/NPILookup?Npi=1508564774","1508564774")</f>
        <v>1508564774</v>
      </c>
      <c r="E4206" s="1" t="s">
        <v>31370</v>
      </c>
      <c r="F4206" s="2"/>
      <c r="G4206" s="2"/>
      <c r="H4206" s="2"/>
    </row>
    <row r="4207" spans="1:8" x14ac:dyDescent="0.25">
      <c r="A4207" s="1"/>
      <c r="B4207" s="1" t="s">
        <v>4039</v>
      </c>
      <c r="C4207" s="1" t="s">
        <v>4040</v>
      </c>
      <c r="D4207" s="22" t="str">
        <f>HYPERLINK("https://rhld.insurance.arkansas.gov/NPILookup?Npi=1508824590","1508824590")</f>
        <v>1508824590</v>
      </c>
      <c r="E4207" s="1" t="s">
        <v>16701</v>
      </c>
      <c r="F4207" s="2"/>
      <c r="G4207" s="2"/>
      <c r="H4207" s="2"/>
    </row>
    <row r="4208" spans="1:8" x14ac:dyDescent="0.25">
      <c r="A4208" s="1"/>
      <c r="B4208" s="1" t="s">
        <v>4039</v>
      </c>
      <c r="C4208" s="1" t="s">
        <v>4040</v>
      </c>
      <c r="D4208" s="22" t="str">
        <f>HYPERLINK("https://rhld.insurance.arkansas.gov/NPILookup?Npi=1508826934","1508826934")</f>
        <v>1508826934</v>
      </c>
      <c r="E4208" s="1" t="s">
        <v>573</v>
      </c>
      <c r="F4208" s="2"/>
      <c r="G4208" s="2"/>
      <c r="H4208" s="2"/>
    </row>
    <row r="4209" spans="1:8" x14ac:dyDescent="0.25">
      <c r="A4209" s="1"/>
      <c r="B4209" s="1" t="s">
        <v>4039</v>
      </c>
      <c r="C4209" s="1" t="s">
        <v>4040</v>
      </c>
      <c r="D4209" s="22" t="str">
        <f>HYPERLINK("https://rhld.insurance.arkansas.gov/NPILookup?Npi=1508882465","1508882465")</f>
        <v>1508882465</v>
      </c>
      <c r="E4209" s="1" t="s">
        <v>16702</v>
      </c>
      <c r="F4209" s="2"/>
      <c r="G4209" s="2"/>
      <c r="H4209" s="2"/>
    </row>
    <row r="4210" spans="1:8" x14ac:dyDescent="0.25">
      <c r="A4210" s="1"/>
      <c r="B4210" s="1" t="s">
        <v>4039</v>
      </c>
      <c r="C4210" s="1" t="s">
        <v>4040</v>
      </c>
      <c r="D4210" s="22" t="str">
        <f>HYPERLINK("https://rhld.insurance.arkansas.gov/NPILookup?Npi=1508896242","1508896242")</f>
        <v>1508896242</v>
      </c>
      <c r="E4210" s="1" t="s">
        <v>680</v>
      </c>
      <c r="F4210" s="2"/>
      <c r="G4210" s="2"/>
      <c r="H4210" s="2"/>
    </row>
    <row r="4211" spans="1:8" x14ac:dyDescent="0.25">
      <c r="A4211" s="1"/>
      <c r="B4211" s="1" t="s">
        <v>4039</v>
      </c>
      <c r="C4211" s="1" t="s">
        <v>4040</v>
      </c>
      <c r="D4211" s="22" t="str">
        <f>HYPERLINK("https://rhld.insurance.arkansas.gov/NPILookup?Npi=1508924903","1508924903")</f>
        <v>1508924903</v>
      </c>
      <c r="E4211" s="1" t="s">
        <v>16703</v>
      </c>
      <c r="F4211" s="2"/>
      <c r="G4211" s="2"/>
      <c r="H4211" s="2"/>
    </row>
    <row r="4212" spans="1:8" x14ac:dyDescent="0.25">
      <c r="A4212" s="1"/>
      <c r="B4212" s="1" t="s">
        <v>4039</v>
      </c>
      <c r="C4212" s="1" t="s">
        <v>4040</v>
      </c>
      <c r="D4212" s="22" t="str">
        <f>HYPERLINK("https://rhld.insurance.arkansas.gov/NPILookup?Npi=1508927500","1508927500")</f>
        <v>1508927500</v>
      </c>
      <c r="E4212" s="1" t="s">
        <v>2337</v>
      </c>
      <c r="F4212" s="2"/>
      <c r="G4212" s="2"/>
      <c r="H4212" s="2"/>
    </row>
    <row r="4213" spans="1:8" x14ac:dyDescent="0.25">
      <c r="A4213" s="1"/>
      <c r="B4213" s="1" t="s">
        <v>4039</v>
      </c>
      <c r="C4213" s="1" t="s">
        <v>4040</v>
      </c>
      <c r="D4213" s="22" t="str">
        <f>HYPERLINK("https://rhld.insurance.arkansas.gov/NPILookup?Npi=1508940404","1508940404")</f>
        <v>1508940404</v>
      </c>
      <c r="E4213" s="1" t="s">
        <v>3698</v>
      </c>
      <c r="F4213" s="2"/>
      <c r="G4213" s="2"/>
      <c r="H4213" s="2"/>
    </row>
    <row r="4214" spans="1:8" x14ac:dyDescent="0.25">
      <c r="A4214" s="1"/>
      <c r="B4214" s="1" t="s">
        <v>4039</v>
      </c>
      <c r="C4214" s="1" t="s">
        <v>4040</v>
      </c>
      <c r="D4214" s="22" t="str">
        <f>HYPERLINK("https://rhld.insurance.arkansas.gov/NPILookup?Npi=1508984188","1508984188")</f>
        <v>1508984188</v>
      </c>
      <c r="E4214" s="1" t="s">
        <v>2933</v>
      </c>
      <c r="F4214" s="2"/>
      <c r="G4214" s="2"/>
      <c r="H4214" s="2"/>
    </row>
    <row r="4215" spans="1:8" x14ac:dyDescent="0.25">
      <c r="A4215" s="1"/>
      <c r="B4215" s="1" t="s">
        <v>4039</v>
      </c>
      <c r="C4215" s="1" t="s">
        <v>4040</v>
      </c>
      <c r="D4215" s="22" t="str">
        <f>HYPERLINK("https://rhld.insurance.arkansas.gov/NPILookup?Npi=1508991365","1508991365")</f>
        <v>1508991365</v>
      </c>
      <c r="E4215" s="1" t="s">
        <v>3699</v>
      </c>
      <c r="F4215" s="2"/>
      <c r="G4215" s="2"/>
      <c r="H4215" s="2"/>
    </row>
    <row r="4216" spans="1:8" x14ac:dyDescent="0.25">
      <c r="A4216" s="1"/>
      <c r="B4216" s="1" t="s">
        <v>4039</v>
      </c>
      <c r="C4216" s="1" t="s">
        <v>4040</v>
      </c>
      <c r="D4216" s="22" t="str">
        <f>HYPERLINK("https://rhld.insurance.arkansas.gov/NPILookup?Npi=1518033018","1518033018")</f>
        <v>1518033018</v>
      </c>
      <c r="E4216" s="1" t="s">
        <v>16704</v>
      </c>
      <c r="F4216" s="2"/>
      <c r="G4216" s="2"/>
      <c r="H4216" s="2"/>
    </row>
    <row r="4217" spans="1:8" x14ac:dyDescent="0.25">
      <c r="A4217" s="1"/>
      <c r="B4217" s="1" t="s">
        <v>4039</v>
      </c>
      <c r="C4217" s="1" t="s">
        <v>4040</v>
      </c>
      <c r="D4217" s="22" t="str">
        <f>HYPERLINK("https://rhld.insurance.arkansas.gov/NPILookup?Npi=1518080381","1518080381")</f>
        <v>1518080381</v>
      </c>
      <c r="E4217" s="1" t="s">
        <v>16705</v>
      </c>
      <c r="F4217" s="2"/>
      <c r="G4217" s="2"/>
      <c r="H4217" s="2"/>
    </row>
    <row r="4218" spans="1:8" x14ac:dyDescent="0.25">
      <c r="A4218" s="1"/>
      <c r="B4218" s="1" t="s">
        <v>4039</v>
      </c>
      <c r="C4218" s="1" t="s">
        <v>4040</v>
      </c>
      <c r="D4218" s="22" t="str">
        <f>HYPERLINK("https://rhld.insurance.arkansas.gov/NPILookup?Npi=1518162635","1518162635")</f>
        <v>1518162635</v>
      </c>
      <c r="E4218" s="1" t="s">
        <v>4101</v>
      </c>
      <c r="F4218" s="2"/>
      <c r="G4218" s="2"/>
      <c r="H4218" s="2"/>
    </row>
    <row r="4219" spans="1:8" x14ac:dyDescent="0.25">
      <c r="A4219" s="1"/>
      <c r="B4219" s="1" t="s">
        <v>4039</v>
      </c>
      <c r="C4219" s="1" t="s">
        <v>4040</v>
      </c>
      <c r="D4219" s="22" t="str">
        <f>HYPERLINK("https://rhld.insurance.arkansas.gov/NPILookup?Npi=1518196815","1518196815")</f>
        <v>1518196815</v>
      </c>
      <c r="E4219" s="1" t="s">
        <v>231</v>
      </c>
      <c r="F4219" s="2"/>
      <c r="G4219" s="2"/>
      <c r="H4219" s="2"/>
    </row>
    <row r="4220" spans="1:8" x14ac:dyDescent="0.25">
      <c r="A4220" s="1"/>
      <c r="B4220" s="1" t="s">
        <v>4039</v>
      </c>
      <c r="C4220" s="1" t="s">
        <v>4040</v>
      </c>
      <c r="D4220" s="22" t="str">
        <f>HYPERLINK("https://rhld.insurance.arkansas.gov/NPILookup?Npi=1518232727","1518232727")</f>
        <v>1518232727</v>
      </c>
      <c r="E4220" s="1" t="s">
        <v>16706</v>
      </c>
      <c r="F4220" s="2"/>
      <c r="G4220" s="2"/>
      <c r="H4220" s="2"/>
    </row>
    <row r="4221" spans="1:8" x14ac:dyDescent="0.25">
      <c r="A4221" s="1"/>
      <c r="B4221" s="1" t="s">
        <v>4039</v>
      </c>
      <c r="C4221" s="1" t="s">
        <v>4040</v>
      </c>
      <c r="D4221" s="22" t="str">
        <f>HYPERLINK("https://rhld.insurance.arkansas.gov/NPILookup?Npi=1518307834","1518307834")</f>
        <v>1518307834</v>
      </c>
      <c r="E4221" s="1" t="s">
        <v>598</v>
      </c>
      <c r="F4221" s="2"/>
      <c r="G4221" s="2"/>
      <c r="H4221" s="2"/>
    </row>
    <row r="4222" spans="1:8" x14ac:dyDescent="0.25">
      <c r="A4222" s="1"/>
      <c r="B4222" s="1" t="s">
        <v>4039</v>
      </c>
      <c r="C4222" s="1" t="s">
        <v>4040</v>
      </c>
      <c r="D4222" s="22" t="str">
        <f>HYPERLINK("https://rhld.insurance.arkansas.gov/NPILookup?Npi=1518341130","1518341130")</f>
        <v>1518341130</v>
      </c>
      <c r="E4222" s="1" t="s">
        <v>16707</v>
      </c>
      <c r="F4222" s="2"/>
      <c r="G4222" s="2"/>
      <c r="H4222" s="2"/>
    </row>
    <row r="4223" spans="1:8" x14ac:dyDescent="0.25">
      <c r="A4223" s="1"/>
      <c r="B4223" s="1" t="s">
        <v>4039</v>
      </c>
      <c r="C4223" s="1" t="s">
        <v>4040</v>
      </c>
      <c r="D4223" s="22" t="str">
        <f>HYPERLINK("https://rhld.insurance.arkansas.gov/NPILookup?Npi=1518372861","1518372861")</f>
        <v>1518372861</v>
      </c>
      <c r="E4223" s="1" t="s">
        <v>4102</v>
      </c>
      <c r="F4223" s="2"/>
      <c r="G4223" s="2"/>
      <c r="H4223" s="2"/>
    </row>
    <row r="4224" spans="1:8" x14ac:dyDescent="0.25">
      <c r="A4224" s="1"/>
      <c r="B4224" s="1" t="s">
        <v>4039</v>
      </c>
      <c r="C4224" s="1" t="s">
        <v>4040</v>
      </c>
      <c r="D4224" s="22" t="str">
        <f>HYPERLINK("https://rhld.insurance.arkansas.gov/NPILookup?Npi=1518496215","1518496215")</f>
        <v>1518496215</v>
      </c>
      <c r="E4224" s="1" t="s">
        <v>16708</v>
      </c>
      <c r="F4224" s="2"/>
      <c r="G4224" s="2"/>
      <c r="H4224" s="2"/>
    </row>
    <row r="4225" spans="1:8" x14ac:dyDescent="0.25">
      <c r="A4225" s="1"/>
      <c r="B4225" s="1" t="s">
        <v>4039</v>
      </c>
      <c r="C4225" s="1" t="s">
        <v>4040</v>
      </c>
      <c r="D4225" s="22" t="str">
        <f>HYPERLINK("https://rhld.insurance.arkansas.gov/NPILookup?Npi=1518528769","1518528769")</f>
        <v>1518528769</v>
      </c>
      <c r="E4225" s="1" t="s">
        <v>10074</v>
      </c>
      <c r="F4225" s="2"/>
      <c r="G4225" s="2"/>
      <c r="H4225" s="2"/>
    </row>
    <row r="4226" spans="1:8" x14ac:dyDescent="0.25">
      <c r="A4226" s="1"/>
      <c r="B4226" s="1" t="s">
        <v>4039</v>
      </c>
      <c r="C4226" s="1" t="s">
        <v>4040</v>
      </c>
      <c r="D4226" s="22" t="str">
        <f>HYPERLINK("https://rhld.insurance.arkansas.gov/NPILookup?Npi=1518642966","1518642966")</f>
        <v>1518642966</v>
      </c>
      <c r="E4226" s="1" t="s">
        <v>4103</v>
      </c>
      <c r="F4226" s="2"/>
      <c r="G4226" s="2"/>
      <c r="H4226" s="2"/>
    </row>
    <row r="4227" spans="1:8" x14ac:dyDescent="0.25">
      <c r="A4227" s="1"/>
      <c r="B4227" s="1" t="s">
        <v>4039</v>
      </c>
      <c r="C4227" s="1" t="s">
        <v>4040</v>
      </c>
      <c r="D4227" s="22" t="str">
        <f>HYPERLINK("https://rhld.insurance.arkansas.gov/NPILookup?Npi=1518703123","1518703123")</f>
        <v>1518703123</v>
      </c>
      <c r="E4227" s="1" t="s">
        <v>16709</v>
      </c>
      <c r="F4227" s="2"/>
      <c r="G4227" s="2"/>
      <c r="H4227" s="2"/>
    </row>
    <row r="4228" spans="1:8" x14ac:dyDescent="0.25">
      <c r="A4228" s="1"/>
      <c r="B4228" s="1" t="s">
        <v>4039</v>
      </c>
      <c r="C4228" s="1" t="s">
        <v>4040</v>
      </c>
      <c r="D4228" s="22" t="str">
        <f>HYPERLINK("https://rhld.insurance.arkansas.gov/NPILookup?Npi=1518798982","1518798982")</f>
        <v>1518798982</v>
      </c>
      <c r="E4228" s="1" t="s">
        <v>16710</v>
      </c>
      <c r="F4228" s="2"/>
      <c r="G4228" s="2"/>
      <c r="H4228" s="2"/>
    </row>
    <row r="4229" spans="1:8" x14ac:dyDescent="0.25">
      <c r="A4229" s="1"/>
      <c r="B4229" s="1" t="s">
        <v>4039</v>
      </c>
      <c r="C4229" s="1" t="s">
        <v>4040</v>
      </c>
      <c r="D4229" s="22" t="str">
        <f>HYPERLINK("https://rhld.insurance.arkansas.gov/NPILookup?Npi=1518924620","1518924620")</f>
        <v>1518924620</v>
      </c>
      <c r="E4229" s="1" t="s">
        <v>16711</v>
      </c>
      <c r="F4229" s="2"/>
      <c r="G4229" s="2"/>
      <c r="H4229" s="2"/>
    </row>
    <row r="4230" spans="1:8" x14ac:dyDescent="0.25">
      <c r="A4230" s="1"/>
      <c r="B4230" s="1" t="s">
        <v>4039</v>
      </c>
      <c r="C4230" s="1" t="s">
        <v>4040</v>
      </c>
      <c r="D4230" s="22" t="str">
        <f>HYPERLINK("https://rhld.insurance.arkansas.gov/NPILookup?Npi=1518993401","1518993401")</f>
        <v>1518993401</v>
      </c>
      <c r="E4230" s="1" t="s">
        <v>16712</v>
      </c>
      <c r="F4230" s="2"/>
      <c r="G4230" s="2"/>
      <c r="H4230" s="2"/>
    </row>
    <row r="4231" spans="1:8" x14ac:dyDescent="0.25">
      <c r="A4231" s="1"/>
      <c r="B4231" s="1" t="s">
        <v>4039</v>
      </c>
      <c r="C4231" s="1" t="s">
        <v>4040</v>
      </c>
      <c r="D4231" s="22" t="str">
        <f>HYPERLINK("https://rhld.insurance.arkansas.gov/NPILookup?Npi=1528101672","1528101672")</f>
        <v>1528101672</v>
      </c>
      <c r="E4231" s="1" t="s">
        <v>574</v>
      </c>
      <c r="F4231" s="2"/>
      <c r="G4231" s="2"/>
      <c r="H4231" s="2"/>
    </row>
    <row r="4232" spans="1:8" x14ac:dyDescent="0.25">
      <c r="A4232" s="1"/>
      <c r="B4232" s="1" t="s">
        <v>4039</v>
      </c>
      <c r="C4232" s="1" t="s">
        <v>4040</v>
      </c>
      <c r="D4232" s="22" t="str">
        <f>HYPERLINK("https://rhld.insurance.arkansas.gov/NPILookup?Npi=1528113289","1528113289")</f>
        <v>1528113289</v>
      </c>
      <c r="E4232" s="1" t="s">
        <v>575</v>
      </c>
      <c r="F4232" s="2"/>
      <c r="G4232" s="2"/>
      <c r="H4232" s="2"/>
    </row>
    <row r="4233" spans="1:8" x14ac:dyDescent="0.25">
      <c r="A4233" s="1"/>
      <c r="B4233" s="1" t="s">
        <v>4039</v>
      </c>
      <c r="C4233" s="1" t="s">
        <v>4040</v>
      </c>
      <c r="D4233" s="22" t="str">
        <f>HYPERLINK("https://rhld.insurance.arkansas.gov/NPILookup?Npi=1528131414","1528131414")</f>
        <v>1528131414</v>
      </c>
      <c r="E4233" s="1" t="s">
        <v>16713</v>
      </c>
      <c r="F4233" s="2"/>
      <c r="G4233" s="2"/>
      <c r="H4233" s="2"/>
    </row>
    <row r="4234" spans="1:8" x14ac:dyDescent="0.25">
      <c r="A4234" s="1"/>
      <c r="B4234" s="1" t="s">
        <v>4039</v>
      </c>
      <c r="C4234" s="1" t="s">
        <v>4040</v>
      </c>
      <c r="D4234" s="22" t="str">
        <f>HYPERLINK("https://rhld.insurance.arkansas.gov/NPILookup?Npi=1528157310","1528157310")</f>
        <v>1528157310</v>
      </c>
      <c r="E4234" s="1" t="s">
        <v>16714</v>
      </c>
      <c r="F4234" s="2"/>
      <c r="G4234" s="2"/>
      <c r="H4234" s="2"/>
    </row>
    <row r="4235" spans="1:8" x14ac:dyDescent="0.25">
      <c r="A4235" s="1"/>
      <c r="B4235" s="1" t="s">
        <v>4039</v>
      </c>
      <c r="C4235" s="1" t="s">
        <v>4040</v>
      </c>
      <c r="D4235" s="22" t="str">
        <f>HYPERLINK("https://rhld.insurance.arkansas.gov/NPILookup?Npi=1528158607","1528158607")</f>
        <v>1528158607</v>
      </c>
      <c r="E4235" s="1" t="s">
        <v>16715</v>
      </c>
      <c r="F4235" s="2"/>
      <c r="G4235" s="2"/>
      <c r="H4235" s="2"/>
    </row>
    <row r="4236" spans="1:8" x14ac:dyDescent="0.25">
      <c r="A4236" s="1"/>
      <c r="B4236" s="1" t="s">
        <v>4039</v>
      </c>
      <c r="C4236" s="1" t="s">
        <v>4040</v>
      </c>
      <c r="D4236" s="22" t="str">
        <f>HYPERLINK("https://rhld.insurance.arkansas.gov/NPILookup?Npi=1528229960","1528229960")</f>
        <v>1528229960</v>
      </c>
      <c r="E4236" s="1" t="s">
        <v>499</v>
      </c>
      <c r="F4236" s="2"/>
      <c r="G4236" s="2"/>
      <c r="H4236" s="2"/>
    </row>
    <row r="4237" spans="1:8" x14ac:dyDescent="0.25">
      <c r="A4237" s="1"/>
      <c r="B4237" s="1" t="s">
        <v>4039</v>
      </c>
      <c r="C4237" s="1" t="s">
        <v>4040</v>
      </c>
      <c r="D4237" s="22" t="str">
        <f>HYPERLINK("https://rhld.insurance.arkansas.gov/NPILookup?Npi=1528251964","1528251964")</f>
        <v>1528251964</v>
      </c>
      <c r="E4237" s="1" t="s">
        <v>16716</v>
      </c>
      <c r="F4237" s="2"/>
      <c r="G4237" s="2"/>
      <c r="H4237" s="2"/>
    </row>
    <row r="4238" spans="1:8" x14ac:dyDescent="0.25">
      <c r="A4238" s="1"/>
      <c r="B4238" s="1" t="s">
        <v>4039</v>
      </c>
      <c r="C4238" s="1" t="s">
        <v>4040</v>
      </c>
      <c r="D4238" s="22" t="str">
        <f>HYPERLINK("https://rhld.insurance.arkansas.gov/NPILookup?Npi=1528264280","1528264280")</f>
        <v>1528264280</v>
      </c>
      <c r="E4238" s="1" t="s">
        <v>1010</v>
      </c>
      <c r="F4238" s="2"/>
      <c r="G4238" s="2"/>
      <c r="H4238" s="2"/>
    </row>
    <row r="4239" spans="1:8" x14ac:dyDescent="0.25">
      <c r="A4239" s="1"/>
      <c r="B4239" s="1" t="s">
        <v>4039</v>
      </c>
      <c r="C4239" s="1" t="s">
        <v>4040</v>
      </c>
      <c r="D4239" s="22" t="str">
        <f>HYPERLINK("https://rhld.insurance.arkansas.gov/NPILookup?Npi=1528322005","1528322005")</f>
        <v>1528322005</v>
      </c>
      <c r="E4239" s="1" t="s">
        <v>10075</v>
      </c>
      <c r="F4239" s="2"/>
      <c r="G4239" s="2"/>
      <c r="H4239" s="2"/>
    </row>
    <row r="4240" spans="1:8" x14ac:dyDescent="0.25">
      <c r="A4240" s="1"/>
      <c r="B4240" s="1" t="s">
        <v>4039</v>
      </c>
      <c r="C4240" s="1" t="s">
        <v>4040</v>
      </c>
      <c r="D4240" s="22" t="str">
        <f>HYPERLINK("https://rhld.insurance.arkansas.gov/NPILookup?Npi=1528355187","1528355187")</f>
        <v>1528355187</v>
      </c>
      <c r="E4240" s="1" t="s">
        <v>16717</v>
      </c>
      <c r="F4240" s="2"/>
      <c r="G4240" s="2"/>
      <c r="H4240" s="2"/>
    </row>
    <row r="4241" spans="1:8" x14ac:dyDescent="0.25">
      <c r="A4241" s="1"/>
      <c r="B4241" s="1" t="s">
        <v>4039</v>
      </c>
      <c r="C4241" s="1" t="s">
        <v>4040</v>
      </c>
      <c r="D4241" s="22" t="str">
        <f>HYPERLINK("https://rhld.insurance.arkansas.gov/NPILookup?Npi=1528477536","1528477536")</f>
        <v>1528477536</v>
      </c>
      <c r="E4241" s="1" t="s">
        <v>1188</v>
      </c>
      <c r="F4241" s="2"/>
      <c r="G4241" s="2"/>
      <c r="H4241" s="2"/>
    </row>
    <row r="4242" spans="1:8" x14ac:dyDescent="0.25">
      <c r="A4242" s="1"/>
      <c r="B4242" s="1" t="s">
        <v>4039</v>
      </c>
      <c r="C4242" s="1" t="s">
        <v>4040</v>
      </c>
      <c r="D4242" s="22" t="str">
        <f>HYPERLINK("https://rhld.insurance.arkansas.gov/NPILookup?Npi=1528707577","1528707577")</f>
        <v>1528707577</v>
      </c>
      <c r="E4242" s="1" t="s">
        <v>16718</v>
      </c>
      <c r="F4242" s="2"/>
      <c r="G4242" s="2"/>
      <c r="H4242" s="2"/>
    </row>
    <row r="4243" spans="1:8" x14ac:dyDescent="0.25">
      <c r="A4243" s="1"/>
      <c r="B4243" s="1" t="s">
        <v>4039</v>
      </c>
      <c r="C4243" s="1" t="s">
        <v>4040</v>
      </c>
      <c r="D4243" s="22" t="str">
        <f>HYPERLINK("https://rhld.insurance.arkansas.gov/NPILookup?Npi=1538251277","1538251277")</f>
        <v>1538251277</v>
      </c>
      <c r="E4243" s="1" t="s">
        <v>16719</v>
      </c>
      <c r="F4243" s="2"/>
      <c r="G4243" s="2"/>
      <c r="H4243" s="2"/>
    </row>
    <row r="4244" spans="1:8" x14ac:dyDescent="0.25">
      <c r="A4244" s="1"/>
      <c r="B4244" s="1" t="s">
        <v>4039</v>
      </c>
      <c r="C4244" s="1" t="s">
        <v>4040</v>
      </c>
      <c r="D4244" s="22" t="str">
        <f>HYPERLINK("https://rhld.insurance.arkansas.gov/NPILookup?Npi=1538288907","1538288907")</f>
        <v>1538288907</v>
      </c>
      <c r="E4244" s="1" t="s">
        <v>10076</v>
      </c>
      <c r="F4244" s="2"/>
      <c r="G4244" s="2"/>
      <c r="H4244" s="2"/>
    </row>
    <row r="4245" spans="1:8" x14ac:dyDescent="0.25">
      <c r="A4245" s="1"/>
      <c r="B4245" s="1" t="s">
        <v>4039</v>
      </c>
      <c r="C4245" s="1" t="s">
        <v>4040</v>
      </c>
      <c r="D4245" s="22" t="str">
        <f>HYPERLINK("https://rhld.insurance.arkansas.gov/NPILookup?Npi=1538315411","1538315411")</f>
        <v>1538315411</v>
      </c>
      <c r="E4245" s="1" t="s">
        <v>16720</v>
      </c>
      <c r="F4245" s="2"/>
      <c r="G4245" s="2"/>
      <c r="H4245" s="2"/>
    </row>
    <row r="4246" spans="1:8" x14ac:dyDescent="0.25">
      <c r="A4246" s="1"/>
      <c r="B4246" s="1" t="s">
        <v>4039</v>
      </c>
      <c r="C4246" s="1" t="s">
        <v>4040</v>
      </c>
      <c r="D4246" s="22" t="str">
        <f>HYPERLINK("https://rhld.insurance.arkansas.gov/NPILookup?Npi=1538720669","1538720669")</f>
        <v>1538720669</v>
      </c>
      <c r="E4246" s="1" t="s">
        <v>3700</v>
      </c>
      <c r="F4246" s="2"/>
      <c r="G4246" s="2"/>
      <c r="H4246" s="2"/>
    </row>
    <row r="4247" spans="1:8" x14ac:dyDescent="0.25">
      <c r="A4247" s="1"/>
      <c r="B4247" s="1" t="s">
        <v>4039</v>
      </c>
      <c r="C4247" s="1" t="s">
        <v>4040</v>
      </c>
      <c r="D4247" s="22" t="str">
        <f>HYPERLINK("https://rhld.insurance.arkansas.gov/NPILookup?Npi=1538729389","1538729389")</f>
        <v>1538729389</v>
      </c>
      <c r="E4247" s="1" t="s">
        <v>1727</v>
      </c>
      <c r="F4247" s="2"/>
      <c r="G4247" s="2"/>
      <c r="H4247" s="2"/>
    </row>
    <row r="4248" spans="1:8" x14ac:dyDescent="0.25">
      <c r="A4248" s="1"/>
      <c r="B4248" s="1" t="s">
        <v>4039</v>
      </c>
      <c r="C4248" s="1" t="s">
        <v>4040</v>
      </c>
      <c r="D4248" s="22" t="str">
        <f>HYPERLINK("https://rhld.insurance.arkansas.gov/NPILookup?Npi=1538736178","1538736178")</f>
        <v>1538736178</v>
      </c>
      <c r="E4248" s="1" t="s">
        <v>10077</v>
      </c>
      <c r="F4248" s="2"/>
      <c r="G4248" s="2"/>
      <c r="H4248" s="2"/>
    </row>
    <row r="4249" spans="1:8" x14ac:dyDescent="0.25">
      <c r="A4249" s="1"/>
      <c r="B4249" s="1" t="s">
        <v>4039</v>
      </c>
      <c r="C4249" s="1" t="s">
        <v>4040</v>
      </c>
      <c r="D4249" s="22" t="str">
        <f>HYPERLINK("https://rhld.insurance.arkansas.gov/NPILookup?Npi=1538853643","1538853643")</f>
        <v>1538853643</v>
      </c>
      <c r="E4249" s="1" t="s">
        <v>16721</v>
      </c>
      <c r="F4249" s="2"/>
      <c r="G4249" s="2"/>
      <c r="H4249" s="2"/>
    </row>
    <row r="4250" spans="1:8" x14ac:dyDescent="0.25">
      <c r="A4250" s="1"/>
      <c r="B4250" s="1" t="s">
        <v>4039</v>
      </c>
      <c r="C4250" s="1" t="s">
        <v>4040</v>
      </c>
      <c r="D4250" s="22" t="str">
        <f>HYPERLINK("https://rhld.insurance.arkansas.gov/NPILookup?Npi=1538858675","1538858675")</f>
        <v>1538858675</v>
      </c>
      <c r="E4250" s="1" t="s">
        <v>16722</v>
      </c>
      <c r="F4250" s="2"/>
      <c r="G4250" s="2"/>
      <c r="H4250" s="2"/>
    </row>
    <row r="4251" spans="1:8" x14ac:dyDescent="0.25">
      <c r="A4251" s="1"/>
      <c r="B4251" s="1" t="s">
        <v>4039</v>
      </c>
      <c r="C4251" s="1" t="s">
        <v>4040</v>
      </c>
      <c r="D4251" s="22" t="str">
        <f>HYPERLINK("https://rhld.insurance.arkansas.gov/NPILookup?Npi=1538895966","1538895966")</f>
        <v>1538895966</v>
      </c>
      <c r="E4251" s="1" t="s">
        <v>16723</v>
      </c>
      <c r="F4251" s="2"/>
      <c r="G4251" s="2"/>
      <c r="H4251" s="2"/>
    </row>
    <row r="4252" spans="1:8" x14ac:dyDescent="0.25">
      <c r="A4252" s="1"/>
      <c r="B4252" s="1" t="s">
        <v>4039</v>
      </c>
      <c r="C4252" s="1" t="s">
        <v>4040</v>
      </c>
      <c r="D4252" s="22" t="str">
        <f>HYPERLINK("https://rhld.insurance.arkansas.gov/NPILookup?Npi=1548060593","1548060593")</f>
        <v>1548060593</v>
      </c>
      <c r="E4252" s="1" t="s">
        <v>31371</v>
      </c>
      <c r="F4252" s="2"/>
      <c r="G4252" s="2"/>
      <c r="H4252" s="2"/>
    </row>
    <row r="4253" spans="1:8" x14ac:dyDescent="0.25">
      <c r="A4253" s="1"/>
      <c r="B4253" s="1" t="s">
        <v>4039</v>
      </c>
      <c r="C4253" s="1" t="s">
        <v>4040</v>
      </c>
      <c r="D4253" s="22" t="str">
        <f>HYPERLINK("https://rhld.insurance.arkansas.gov/NPILookup?Npi=1548090475","1548090475")</f>
        <v>1548090475</v>
      </c>
      <c r="E4253" s="1" t="s">
        <v>16724</v>
      </c>
      <c r="F4253" s="2"/>
      <c r="G4253" s="2"/>
      <c r="H4253" s="2"/>
    </row>
    <row r="4254" spans="1:8" x14ac:dyDescent="0.25">
      <c r="A4254" s="1"/>
      <c r="B4254" s="1" t="s">
        <v>4039</v>
      </c>
      <c r="C4254" s="1" t="s">
        <v>4040</v>
      </c>
      <c r="D4254" s="22" t="str">
        <f>HYPERLINK("https://rhld.insurance.arkansas.gov/NPILookup?Npi=1548202856","1548202856")</f>
        <v>1548202856</v>
      </c>
      <c r="E4254" s="1" t="s">
        <v>681</v>
      </c>
      <c r="F4254" s="2"/>
      <c r="G4254" s="2"/>
      <c r="H4254" s="2"/>
    </row>
    <row r="4255" spans="1:8" x14ac:dyDescent="0.25">
      <c r="A4255" s="1"/>
      <c r="B4255" s="1" t="s">
        <v>4039</v>
      </c>
      <c r="C4255" s="1" t="s">
        <v>4040</v>
      </c>
      <c r="D4255" s="22" t="str">
        <f>HYPERLINK("https://rhld.insurance.arkansas.gov/NPILookup?Npi=1548296445","1548296445")</f>
        <v>1548296445</v>
      </c>
      <c r="E4255" s="1" t="s">
        <v>16725</v>
      </c>
      <c r="F4255" s="2"/>
      <c r="G4255" s="2"/>
      <c r="H4255" s="2"/>
    </row>
    <row r="4256" spans="1:8" x14ac:dyDescent="0.25">
      <c r="A4256" s="1"/>
      <c r="B4256" s="1" t="s">
        <v>4039</v>
      </c>
      <c r="C4256" s="1" t="s">
        <v>4040</v>
      </c>
      <c r="D4256" s="22" t="str">
        <f>HYPERLINK("https://rhld.insurance.arkansas.gov/NPILookup?Npi=1548319627","1548319627")</f>
        <v>1548319627</v>
      </c>
      <c r="E4256" s="1" t="s">
        <v>16726</v>
      </c>
      <c r="F4256" s="2"/>
      <c r="G4256" s="2"/>
      <c r="H4256" s="2"/>
    </row>
    <row r="4257" spans="1:8" x14ac:dyDescent="0.25">
      <c r="A4257" s="1"/>
      <c r="B4257" s="1" t="s">
        <v>4039</v>
      </c>
      <c r="C4257" s="1" t="s">
        <v>4040</v>
      </c>
      <c r="D4257" s="22" t="str">
        <f>HYPERLINK("https://rhld.insurance.arkansas.gov/NPILookup?Npi=1548333404","1548333404")</f>
        <v>1548333404</v>
      </c>
      <c r="E4257" s="1" t="s">
        <v>16727</v>
      </c>
      <c r="F4257" s="2"/>
      <c r="G4257" s="2"/>
      <c r="H4257" s="2"/>
    </row>
    <row r="4258" spans="1:8" x14ac:dyDescent="0.25">
      <c r="A4258" s="1"/>
      <c r="B4258" s="1" t="s">
        <v>4039</v>
      </c>
      <c r="C4258" s="1" t="s">
        <v>4040</v>
      </c>
      <c r="D4258" s="22" t="str">
        <f>HYPERLINK("https://rhld.insurance.arkansas.gov/NPILookup?Npi=1548353733","1548353733")</f>
        <v>1548353733</v>
      </c>
      <c r="E4258" s="1" t="s">
        <v>576</v>
      </c>
      <c r="F4258" s="2"/>
      <c r="G4258" s="2"/>
      <c r="H4258" s="2"/>
    </row>
    <row r="4259" spans="1:8" x14ac:dyDescent="0.25">
      <c r="A4259" s="1"/>
      <c r="B4259" s="1" t="s">
        <v>4039</v>
      </c>
      <c r="C4259" s="1" t="s">
        <v>4040</v>
      </c>
      <c r="D4259" s="22" t="str">
        <f>HYPERLINK("https://rhld.insurance.arkansas.gov/NPILookup?Npi=1548397029","1548397029")</f>
        <v>1548397029</v>
      </c>
      <c r="E4259" s="1" t="s">
        <v>16728</v>
      </c>
      <c r="F4259" s="2"/>
      <c r="G4259" s="2"/>
      <c r="H4259" s="2"/>
    </row>
    <row r="4260" spans="1:8" x14ac:dyDescent="0.25">
      <c r="A4260" s="1"/>
      <c r="B4260" s="1" t="s">
        <v>4039</v>
      </c>
      <c r="C4260" s="1" t="s">
        <v>4040</v>
      </c>
      <c r="D4260" s="22" t="str">
        <f>HYPERLINK("https://rhld.insurance.arkansas.gov/NPILookup?Npi=1548487465","1548487465")</f>
        <v>1548487465</v>
      </c>
      <c r="E4260" s="1" t="s">
        <v>521</v>
      </c>
      <c r="F4260" s="2"/>
      <c r="G4260" s="2"/>
      <c r="H4260" s="2"/>
    </row>
    <row r="4261" spans="1:8" x14ac:dyDescent="0.25">
      <c r="A4261" s="1"/>
      <c r="B4261" s="1" t="s">
        <v>4039</v>
      </c>
      <c r="C4261" s="1" t="s">
        <v>4040</v>
      </c>
      <c r="D4261" s="22" t="str">
        <f>HYPERLINK("https://rhld.insurance.arkansas.gov/NPILookup?Npi=1548610926","1548610926")</f>
        <v>1548610926</v>
      </c>
      <c r="E4261" s="1" t="s">
        <v>10078</v>
      </c>
      <c r="F4261" s="2"/>
      <c r="G4261" s="2"/>
      <c r="H4261" s="2"/>
    </row>
    <row r="4262" spans="1:8" x14ac:dyDescent="0.25">
      <c r="A4262" s="1"/>
      <c r="B4262" s="1" t="s">
        <v>4039</v>
      </c>
      <c r="C4262" s="1" t="s">
        <v>4040</v>
      </c>
      <c r="D4262" s="22" t="str">
        <f>HYPERLINK("https://rhld.insurance.arkansas.gov/NPILookup?Npi=1548610942","1548610942")</f>
        <v>1548610942</v>
      </c>
      <c r="E4262" s="1" t="s">
        <v>16729</v>
      </c>
      <c r="F4262" s="2"/>
      <c r="G4262" s="2"/>
      <c r="H4262" s="2"/>
    </row>
    <row r="4263" spans="1:8" x14ac:dyDescent="0.25">
      <c r="A4263" s="1"/>
      <c r="B4263" s="1" t="s">
        <v>4039</v>
      </c>
      <c r="C4263" s="1" t="s">
        <v>4040</v>
      </c>
      <c r="D4263" s="22" t="str">
        <f>HYPERLINK("https://rhld.insurance.arkansas.gov/NPILookup?Npi=1548872997","1548872997")</f>
        <v>1548872997</v>
      </c>
      <c r="E4263" s="1" t="s">
        <v>16730</v>
      </c>
      <c r="F4263" s="2"/>
      <c r="G4263" s="2"/>
      <c r="H4263" s="2"/>
    </row>
    <row r="4264" spans="1:8" x14ac:dyDescent="0.25">
      <c r="A4264" s="1"/>
      <c r="B4264" s="1" t="s">
        <v>4039</v>
      </c>
      <c r="C4264" s="1" t="s">
        <v>4040</v>
      </c>
      <c r="D4264" s="22" t="str">
        <f>HYPERLINK("https://rhld.insurance.arkansas.gov/NPILookup?Npi=1548941412","1548941412")</f>
        <v>1548941412</v>
      </c>
      <c r="E4264" s="1" t="s">
        <v>16731</v>
      </c>
      <c r="F4264" s="2"/>
      <c r="G4264" s="2"/>
      <c r="H4264" s="2"/>
    </row>
    <row r="4265" spans="1:8" x14ac:dyDescent="0.25">
      <c r="A4265" s="1"/>
      <c r="B4265" s="1" t="s">
        <v>4039</v>
      </c>
      <c r="C4265" s="1" t="s">
        <v>4040</v>
      </c>
      <c r="D4265" s="22" t="str">
        <f>HYPERLINK("https://rhld.insurance.arkansas.gov/NPILookup?Npi=1548965270","1548965270")</f>
        <v>1548965270</v>
      </c>
      <c r="E4265" s="1" t="s">
        <v>16732</v>
      </c>
      <c r="F4265" s="2"/>
      <c r="G4265" s="2"/>
      <c r="H4265" s="2"/>
    </row>
    <row r="4266" spans="1:8" x14ac:dyDescent="0.25">
      <c r="A4266" s="1"/>
      <c r="B4266" s="1" t="s">
        <v>4039</v>
      </c>
      <c r="C4266" s="1" t="s">
        <v>4040</v>
      </c>
      <c r="D4266" s="22" t="str">
        <f>HYPERLINK("https://rhld.insurance.arkansas.gov/NPILookup?Npi=1558051797","1558051797")</f>
        <v>1558051797</v>
      </c>
      <c r="E4266" s="1" t="s">
        <v>31372</v>
      </c>
      <c r="F4266" s="2"/>
      <c r="G4266" s="2"/>
      <c r="H4266" s="2"/>
    </row>
    <row r="4267" spans="1:8" x14ac:dyDescent="0.25">
      <c r="A4267" s="1"/>
      <c r="B4267" s="1" t="s">
        <v>4039</v>
      </c>
      <c r="C4267" s="1" t="s">
        <v>4040</v>
      </c>
      <c r="D4267" s="22" t="str">
        <f>HYPERLINK("https://rhld.insurance.arkansas.gov/NPILookup?Npi=1558092544","1558092544")</f>
        <v>1558092544</v>
      </c>
      <c r="E4267" s="1" t="s">
        <v>16733</v>
      </c>
      <c r="F4267" s="2"/>
      <c r="G4267" s="2"/>
      <c r="H4267" s="2"/>
    </row>
    <row r="4268" spans="1:8" x14ac:dyDescent="0.25">
      <c r="A4268" s="1"/>
      <c r="B4268" s="1" t="s">
        <v>4039</v>
      </c>
      <c r="C4268" s="1" t="s">
        <v>4040</v>
      </c>
      <c r="D4268" s="22" t="str">
        <f>HYPERLINK("https://rhld.insurance.arkansas.gov/NPILookup?Npi=1558301309","1558301309")</f>
        <v>1558301309</v>
      </c>
      <c r="E4268" s="1" t="s">
        <v>16734</v>
      </c>
      <c r="F4268" s="2"/>
      <c r="G4268" s="2"/>
      <c r="H4268" s="2"/>
    </row>
    <row r="4269" spans="1:8" x14ac:dyDescent="0.25">
      <c r="A4269" s="1"/>
      <c r="B4269" s="1" t="s">
        <v>4039</v>
      </c>
      <c r="C4269" s="1" t="s">
        <v>4040</v>
      </c>
      <c r="D4269" s="22" t="str">
        <f>HYPERLINK("https://rhld.insurance.arkansas.gov/NPILookup?Npi=1558303032","1558303032")</f>
        <v>1558303032</v>
      </c>
      <c r="E4269" s="1" t="s">
        <v>522</v>
      </c>
      <c r="F4269" s="2"/>
      <c r="G4269" s="2"/>
      <c r="H4269" s="2"/>
    </row>
    <row r="4270" spans="1:8" x14ac:dyDescent="0.25">
      <c r="A4270" s="1"/>
      <c r="B4270" s="1" t="s">
        <v>4039</v>
      </c>
      <c r="C4270" s="1" t="s">
        <v>4040</v>
      </c>
      <c r="D4270" s="22" t="str">
        <f>HYPERLINK("https://rhld.insurance.arkansas.gov/NPILookup?Npi=1558346981","1558346981")</f>
        <v>1558346981</v>
      </c>
      <c r="E4270" s="1" t="s">
        <v>16735</v>
      </c>
      <c r="F4270" s="2"/>
      <c r="G4270" s="2"/>
      <c r="H4270" s="2"/>
    </row>
    <row r="4271" spans="1:8" x14ac:dyDescent="0.25">
      <c r="A4271" s="1"/>
      <c r="B4271" s="1" t="s">
        <v>4039</v>
      </c>
      <c r="C4271" s="1" t="s">
        <v>4040</v>
      </c>
      <c r="D4271" s="22" t="str">
        <f>HYPERLINK("https://rhld.insurance.arkansas.gov/NPILookup?Npi=1558381962","1558381962")</f>
        <v>1558381962</v>
      </c>
      <c r="E4271" s="1" t="s">
        <v>500</v>
      </c>
      <c r="F4271" s="2"/>
      <c r="G4271" s="2"/>
      <c r="H4271" s="2"/>
    </row>
    <row r="4272" spans="1:8" x14ac:dyDescent="0.25">
      <c r="A4272" s="1"/>
      <c r="B4272" s="1" t="s">
        <v>4039</v>
      </c>
      <c r="C4272" s="1" t="s">
        <v>4040</v>
      </c>
      <c r="D4272" s="22" t="str">
        <f>HYPERLINK("https://rhld.insurance.arkansas.gov/NPILookup?Npi=1558396119","1558396119")</f>
        <v>1558396119</v>
      </c>
      <c r="E4272" s="1" t="s">
        <v>16736</v>
      </c>
      <c r="F4272" s="2"/>
      <c r="G4272" s="2"/>
      <c r="H4272" s="2"/>
    </row>
    <row r="4273" spans="1:8" x14ac:dyDescent="0.25">
      <c r="A4273" s="1"/>
      <c r="B4273" s="1" t="s">
        <v>4039</v>
      </c>
      <c r="C4273" s="1" t="s">
        <v>4040</v>
      </c>
      <c r="D4273" s="22" t="str">
        <f>HYPERLINK("https://rhld.insurance.arkansas.gov/NPILookup?Npi=1558412452","1558412452")</f>
        <v>1558412452</v>
      </c>
      <c r="E4273" s="1" t="s">
        <v>3701</v>
      </c>
      <c r="F4273" s="2"/>
      <c r="G4273" s="2"/>
      <c r="H4273" s="2"/>
    </row>
    <row r="4274" spans="1:8" x14ac:dyDescent="0.25">
      <c r="A4274" s="1"/>
      <c r="B4274" s="1" t="s">
        <v>4039</v>
      </c>
      <c r="C4274" s="1" t="s">
        <v>4040</v>
      </c>
      <c r="D4274" s="22" t="str">
        <f>HYPERLINK("https://rhld.insurance.arkansas.gov/NPILookup?Npi=1558423061","1558423061")</f>
        <v>1558423061</v>
      </c>
      <c r="E4274" s="1" t="s">
        <v>577</v>
      </c>
      <c r="F4274" s="2"/>
      <c r="G4274" s="2"/>
      <c r="H4274" s="2"/>
    </row>
    <row r="4275" spans="1:8" x14ac:dyDescent="0.25">
      <c r="A4275" s="1"/>
      <c r="B4275" s="1" t="s">
        <v>4039</v>
      </c>
      <c r="C4275" s="1" t="s">
        <v>4040</v>
      </c>
      <c r="D4275" s="22" t="str">
        <f>HYPERLINK("https://rhld.insurance.arkansas.gov/NPILookup?Npi=1558472134","1558472134")</f>
        <v>1558472134</v>
      </c>
      <c r="E4275" s="1" t="s">
        <v>10079</v>
      </c>
      <c r="F4275" s="2"/>
      <c r="G4275" s="2"/>
      <c r="H4275" s="2"/>
    </row>
    <row r="4276" spans="1:8" x14ac:dyDescent="0.25">
      <c r="A4276" s="1"/>
      <c r="B4276" s="1" t="s">
        <v>4039</v>
      </c>
      <c r="C4276" s="1" t="s">
        <v>4040</v>
      </c>
      <c r="D4276" s="22" t="str">
        <f>HYPERLINK("https://rhld.insurance.arkansas.gov/NPILookup?Npi=1558484600","1558484600")</f>
        <v>1558484600</v>
      </c>
      <c r="E4276" s="1" t="s">
        <v>16737</v>
      </c>
      <c r="F4276" s="2"/>
      <c r="G4276" s="2"/>
      <c r="H4276" s="2"/>
    </row>
    <row r="4277" spans="1:8" x14ac:dyDescent="0.25">
      <c r="A4277" s="1"/>
      <c r="B4277" s="1" t="s">
        <v>4039</v>
      </c>
      <c r="C4277" s="1" t="s">
        <v>4040</v>
      </c>
      <c r="D4277" s="22" t="str">
        <f>HYPERLINK("https://rhld.insurance.arkansas.gov/NPILookup?Npi=1558486274","1558486274")</f>
        <v>1558486274</v>
      </c>
      <c r="E4277" s="1" t="s">
        <v>2339</v>
      </c>
      <c r="F4277" s="2"/>
      <c r="G4277" s="2"/>
      <c r="H4277" s="2"/>
    </row>
    <row r="4278" spans="1:8" x14ac:dyDescent="0.25">
      <c r="A4278" s="1"/>
      <c r="B4278" s="1" t="s">
        <v>4039</v>
      </c>
      <c r="C4278" s="1" t="s">
        <v>4040</v>
      </c>
      <c r="D4278" s="22" t="str">
        <f>HYPERLINK("https://rhld.insurance.arkansas.gov/NPILookup?Npi=1558712166","1558712166")</f>
        <v>1558712166</v>
      </c>
      <c r="E4278" s="1" t="s">
        <v>814</v>
      </c>
      <c r="F4278" s="2"/>
      <c r="G4278" s="2"/>
      <c r="H4278" s="2"/>
    </row>
    <row r="4279" spans="1:8" x14ac:dyDescent="0.25">
      <c r="A4279" s="1"/>
      <c r="B4279" s="1" t="s">
        <v>4039</v>
      </c>
      <c r="C4279" s="1" t="s">
        <v>4040</v>
      </c>
      <c r="D4279" s="22" t="str">
        <f>HYPERLINK("https://rhld.insurance.arkansas.gov/NPILookup?Npi=1558742049","1558742049")</f>
        <v>1558742049</v>
      </c>
      <c r="E4279" s="1" t="s">
        <v>10080</v>
      </c>
      <c r="F4279" s="2"/>
      <c r="G4279" s="2"/>
      <c r="H4279" s="2"/>
    </row>
    <row r="4280" spans="1:8" x14ac:dyDescent="0.25">
      <c r="A4280" s="1"/>
      <c r="B4280" s="1" t="s">
        <v>4039</v>
      </c>
      <c r="C4280" s="1" t="s">
        <v>4040</v>
      </c>
      <c r="D4280" s="22" t="str">
        <f>HYPERLINK("https://rhld.insurance.arkansas.gov/NPILookup?Npi=1558853671","1558853671")</f>
        <v>1558853671</v>
      </c>
      <c r="E4280" s="1" t="s">
        <v>4104</v>
      </c>
      <c r="F4280" s="2"/>
      <c r="G4280" s="2"/>
      <c r="H4280" s="2"/>
    </row>
    <row r="4281" spans="1:8" x14ac:dyDescent="0.25">
      <c r="A4281" s="1"/>
      <c r="B4281" s="1" t="s">
        <v>4039</v>
      </c>
      <c r="C4281" s="1" t="s">
        <v>4040</v>
      </c>
      <c r="D4281" s="22" t="str">
        <f>HYPERLINK("https://rhld.insurance.arkansas.gov/NPILookup?Npi=1558854588","1558854588")</f>
        <v>1558854588</v>
      </c>
      <c r="E4281" s="1" t="s">
        <v>16738</v>
      </c>
      <c r="F4281" s="2"/>
      <c r="G4281" s="2"/>
      <c r="H4281" s="2"/>
    </row>
    <row r="4282" spans="1:8" x14ac:dyDescent="0.25">
      <c r="A4282" s="1"/>
      <c r="B4282" s="1" t="s">
        <v>4039</v>
      </c>
      <c r="C4282" s="1" t="s">
        <v>4040</v>
      </c>
      <c r="D4282" s="22" t="str">
        <f>HYPERLINK("https://rhld.insurance.arkansas.gov/NPILookup?Npi=1558906248","1558906248")</f>
        <v>1558906248</v>
      </c>
      <c r="E4282" s="1" t="s">
        <v>1545</v>
      </c>
      <c r="F4282" s="2"/>
      <c r="G4282" s="2"/>
      <c r="H4282" s="2"/>
    </row>
    <row r="4283" spans="1:8" x14ac:dyDescent="0.25">
      <c r="A4283" s="1"/>
      <c r="B4283" s="1" t="s">
        <v>4039</v>
      </c>
      <c r="C4283" s="1" t="s">
        <v>4040</v>
      </c>
      <c r="D4283" s="22" t="str">
        <f>HYPERLINK("https://rhld.insurance.arkansas.gov/NPILookup?Npi=1558989749","1558989749")</f>
        <v>1558989749</v>
      </c>
      <c r="E4283" s="1" t="s">
        <v>16739</v>
      </c>
      <c r="F4283" s="2"/>
      <c r="G4283" s="2"/>
      <c r="H4283" s="2"/>
    </row>
    <row r="4284" spans="1:8" x14ac:dyDescent="0.25">
      <c r="A4284" s="1"/>
      <c r="B4284" s="1" t="s">
        <v>4039</v>
      </c>
      <c r="C4284" s="1" t="s">
        <v>4040</v>
      </c>
      <c r="D4284" s="22" t="str">
        <f>HYPERLINK("https://rhld.insurance.arkansas.gov/NPILookup?Npi=1568033355","1568033355")</f>
        <v>1568033355</v>
      </c>
      <c r="E4284" s="1" t="s">
        <v>16740</v>
      </c>
      <c r="F4284" s="2"/>
      <c r="G4284" s="2"/>
      <c r="H4284" s="2"/>
    </row>
    <row r="4285" spans="1:8" x14ac:dyDescent="0.25">
      <c r="A4285" s="1"/>
      <c r="B4285" s="1" t="s">
        <v>4039</v>
      </c>
      <c r="C4285" s="1" t="s">
        <v>4040</v>
      </c>
      <c r="D4285" s="22" t="str">
        <f>HYPERLINK("https://rhld.insurance.arkansas.gov/NPILookup?Npi=1568071595","1568071595")</f>
        <v>1568071595</v>
      </c>
      <c r="E4285" s="1" t="s">
        <v>16741</v>
      </c>
      <c r="F4285" s="2"/>
      <c r="G4285" s="2"/>
      <c r="H4285" s="2"/>
    </row>
    <row r="4286" spans="1:8" x14ac:dyDescent="0.25">
      <c r="A4286" s="1"/>
      <c r="B4286" s="1" t="s">
        <v>4039</v>
      </c>
      <c r="C4286" s="1" t="s">
        <v>4040</v>
      </c>
      <c r="D4286" s="22" t="str">
        <f>HYPERLINK("https://rhld.insurance.arkansas.gov/NPILookup?Npi=1568442788","1568442788")</f>
        <v>1568442788</v>
      </c>
      <c r="E4286" s="1" t="s">
        <v>16742</v>
      </c>
      <c r="F4286" s="2"/>
      <c r="G4286" s="2"/>
      <c r="H4286" s="2"/>
    </row>
    <row r="4287" spans="1:8" x14ac:dyDescent="0.25">
      <c r="A4287" s="1"/>
      <c r="B4287" s="1" t="s">
        <v>4039</v>
      </c>
      <c r="C4287" s="1" t="s">
        <v>4040</v>
      </c>
      <c r="D4287" s="22" t="str">
        <f>HYPERLINK("https://rhld.insurance.arkansas.gov/NPILookup?Npi=1568479004","1568479004")</f>
        <v>1568479004</v>
      </c>
      <c r="E4287" s="1" t="s">
        <v>523</v>
      </c>
      <c r="F4287" s="2"/>
      <c r="G4287" s="2"/>
      <c r="H4287" s="2"/>
    </row>
    <row r="4288" spans="1:8" x14ac:dyDescent="0.25">
      <c r="A4288" s="1"/>
      <c r="B4288" s="1" t="s">
        <v>4039</v>
      </c>
      <c r="C4288" s="1" t="s">
        <v>4040</v>
      </c>
      <c r="D4288" s="22" t="str">
        <f>HYPERLINK("https://rhld.insurance.arkansas.gov/NPILookup?Npi=1568507770","1568507770")</f>
        <v>1568507770</v>
      </c>
      <c r="E4288" s="1" t="s">
        <v>524</v>
      </c>
      <c r="F4288" s="2"/>
      <c r="G4288" s="2"/>
      <c r="H4288" s="2"/>
    </row>
    <row r="4289" spans="1:8" x14ac:dyDescent="0.25">
      <c r="A4289" s="1"/>
      <c r="B4289" s="1" t="s">
        <v>4039</v>
      </c>
      <c r="C4289" s="1" t="s">
        <v>4040</v>
      </c>
      <c r="D4289" s="22" t="str">
        <f>HYPERLINK("https://rhld.insurance.arkansas.gov/NPILookup?Npi=1568521755","1568521755")</f>
        <v>1568521755</v>
      </c>
      <c r="E4289" s="1" t="s">
        <v>10081</v>
      </c>
      <c r="F4289" s="2"/>
      <c r="G4289" s="2"/>
      <c r="H4289" s="2"/>
    </row>
    <row r="4290" spans="1:8" x14ac:dyDescent="0.25">
      <c r="A4290" s="1"/>
      <c r="B4290" s="1" t="s">
        <v>4039</v>
      </c>
      <c r="C4290" s="1" t="s">
        <v>4040</v>
      </c>
      <c r="D4290" s="22" t="str">
        <f>HYPERLINK("https://rhld.insurance.arkansas.gov/NPILookup?Npi=1568524056","1568524056")</f>
        <v>1568524056</v>
      </c>
      <c r="E4290" s="1" t="s">
        <v>525</v>
      </c>
      <c r="F4290" s="2"/>
      <c r="G4290" s="2"/>
      <c r="H4290" s="2"/>
    </row>
    <row r="4291" spans="1:8" x14ac:dyDescent="0.25">
      <c r="A4291" s="1"/>
      <c r="B4291" s="1" t="s">
        <v>4039</v>
      </c>
      <c r="C4291" s="1" t="s">
        <v>4040</v>
      </c>
      <c r="D4291" s="22" t="str">
        <f>HYPERLINK("https://rhld.insurance.arkansas.gov/NPILookup?Npi=1568525731","1568525731")</f>
        <v>1568525731</v>
      </c>
      <c r="E4291" s="1" t="s">
        <v>3702</v>
      </c>
      <c r="F4291" s="2"/>
      <c r="G4291" s="2"/>
      <c r="H4291" s="2"/>
    </row>
    <row r="4292" spans="1:8" x14ac:dyDescent="0.25">
      <c r="A4292" s="1"/>
      <c r="B4292" s="1" t="s">
        <v>4039</v>
      </c>
      <c r="C4292" s="1" t="s">
        <v>4040</v>
      </c>
      <c r="D4292" s="22" t="str">
        <f>HYPERLINK("https://rhld.insurance.arkansas.gov/NPILookup?Npi=1568557247","1568557247")</f>
        <v>1568557247</v>
      </c>
      <c r="E4292" s="1" t="s">
        <v>16743</v>
      </c>
      <c r="F4292" s="2"/>
      <c r="G4292" s="2"/>
      <c r="H4292" s="2"/>
    </row>
    <row r="4293" spans="1:8" x14ac:dyDescent="0.25">
      <c r="A4293" s="1"/>
      <c r="B4293" s="1" t="s">
        <v>4039</v>
      </c>
      <c r="C4293" s="1" t="s">
        <v>4040</v>
      </c>
      <c r="D4293" s="22" t="str">
        <f>HYPERLINK("https://rhld.insurance.arkansas.gov/NPILookup?Npi=1568590099","1568590099")</f>
        <v>1568590099</v>
      </c>
      <c r="E4293" s="1" t="s">
        <v>16744</v>
      </c>
      <c r="F4293" s="2"/>
      <c r="G4293" s="2"/>
      <c r="H4293" s="2"/>
    </row>
    <row r="4294" spans="1:8" x14ac:dyDescent="0.25">
      <c r="A4294" s="1"/>
      <c r="B4294" s="1" t="s">
        <v>4039</v>
      </c>
      <c r="C4294" s="1" t="s">
        <v>4040</v>
      </c>
      <c r="D4294" s="22" t="str">
        <f>HYPERLINK("https://rhld.insurance.arkansas.gov/NPILookup?Npi=1568681930","1568681930")</f>
        <v>1568681930</v>
      </c>
      <c r="E4294" s="1" t="s">
        <v>16745</v>
      </c>
      <c r="F4294" s="2"/>
      <c r="G4294" s="2"/>
      <c r="H4294" s="2"/>
    </row>
    <row r="4295" spans="1:8" x14ac:dyDescent="0.25">
      <c r="A4295" s="1"/>
      <c r="B4295" s="1" t="s">
        <v>4039</v>
      </c>
      <c r="C4295" s="1" t="s">
        <v>4040</v>
      </c>
      <c r="D4295" s="22" t="str">
        <f>HYPERLINK("https://rhld.insurance.arkansas.gov/NPILookup?Npi=1568876530","1568876530")</f>
        <v>1568876530</v>
      </c>
      <c r="E4295" s="1" t="s">
        <v>16746</v>
      </c>
      <c r="F4295" s="2"/>
      <c r="G4295" s="2"/>
      <c r="H4295" s="2"/>
    </row>
    <row r="4296" spans="1:8" x14ac:dyDescent="0.25">
      <c r="A4296" s="1"/>
      <c r="B4296" s="1" t="s">
        <v>4039</v>
      </c>
      <c r="C4296" s="1" t="s">
        <v>4040</v>
      </c>
      <c r="D4296" s="22" t="str">
        <f>HYPERLINK("https://rhld.insurance.arkansas.gov/NPILookup?Npi=1568925113","1568925113")</f>
        <v>1568925113</v>
      </c>
      <c r="E4296" s="1" t="s">
        <v>10082</v>
      </c>
      <c r="F4296" s="2"/>
      <c r="G4296" s="2"/>
      <c r="H4296" s="2"/>
    </row>
    <row r="4297" spans="1:8" x14ac:dyDescent="0.25">
      <c r="A4297" s="1"/>
      <c r="B4297" s="1" t="s">
        <v>4039</v>
      </c>
      <c r="C4297" s="1" t="s">
        <v>4040</v>
      </c>
      <c r="D4297" s="22" t="str">
        <f>HYPERLINK("https://rhld.insurance.arkansas.gov/NPILookup?Npi=1578217212","1578217212")</f>
        <v>1578217212</v>
      </c>
      <c r="E4297" s="1" t="s">
        <v>7826</v>
      </c>
      <c r="F4297" s="2"/>
      <c r="G4297" s="2"/>
      <c r="H4297" s="2"/>
    </row>
    <row r="4298" spans="1:8" x14ac:dyDescent="0.25">
      <c r="A4298" s="1"/>
      <c r="B4298" s="1" t="s">
        <v>4039</v>
      </c>
      <c r="C4298" s="1" t="s">
        <v>4040</v>
      </c>
      <c r="D4298" s="22" t="str">
        <f>HYPERLINK("https://rhld.insurance.arkansas.gov/NPILookup?Npi=1578292116","1578292116")</f>
        <v>1578292116</v>
      </c>
      <c r="E4298" s="1" t="s">
        <v>16747</v>
      </c>
      <c r="F4298" s="2"/>
      <c r="G4298" s="2"/>
      <c r="H4298" s="2"/>
    </row>
    <row r="4299" spans="1:8" x14ac:dyDescent="0.25">
      <c r="A4299" s="1"/>
      <c r="B4299" s="1" t="s">
        <v>4039</v>
      </c>
      <c r="C4299" s="1" t="s">
        <v>4040</v>
      </c>
      <c r="D4299" s="22" t="str">
        <f>HYPERLINK("https://rhld.insurance.arkansas.gov/NPILookup?Npi=1578458675","1578458675")</f>
        <v>1578458675</v>
      </c>
      <c r="E4299" s="1" t="s">
        <v>31373</v>
      </c>
      <c r="F4299" s="2"/>
      <c r="G4299" s="2"/>
      <c r="H4299" s="2"/>
    </row>
    <row r="4300" spans="1:8" x14ac:dyDescent="0.25">
      <c r="A4300" s="1"/>
      <c r="B4300" s="1" t="s">
        <v>4039</v>
      </c>
      <c r="C4300" s="1" t="s">
        <v>4040</v>
      </c>
      <c r="D4300" s="22" t="str">
        <f>HYPERLINK("https://rhld.insurance.arkansas.gov/NPILookup?Npi=1578500773","1578500773")</f>
        <v>1578500773</v>
      </c>
      <c r="E4300" s="1" t="s">
        <v>16748</v>
      </c>
      <c r="F4300" s="2"/>
      <c r="G4300" s="2"/>
      <c r="H4300" s="2"/>
    </row>
    <row r="4301" spans="1:8" x14ac:dyDescent="0.25">
      <c r="A4301" s="1"/>
      <c r="B4301" s="1" t="s">
        <v>4039</v>
      </c>
      <c r="C4301" s="1" t="s">
        <v>4040</v>
      </c>
      <c r="D4301" s="22" t="str">
        <f>HYPERLINK("https://rhld.insurance.arkansas.gov/NPILookup?Npi=1578570610","1578570610")</f>
        <v>1578570610</v>
      </c>
      <c r="E4301" s="1" t="s">
        <v>578</v>
      </c>
      <c r="F4301" s="2"/>
      <c r="G4301" s="2"/>
      <c r="H4301" s="2"/>
    </row>
    <row r="4302" spans="1:8" x14ac:dyDescent="0.25">
      <c r="A4302" s="1"/>
      <c r="B4302" s="1" t="s">
        <v>4039</v>
      </c>
      <c r="C4302" s="1" t="s">
        <v>4040</v>
      </c>
      <c r="D4302" s="22" t="str">
        <f>HYPERLINK("https://rhld.insurance.arkansas.gov/NPILookup?Npi=1578614160","1578614160")</f>
        <v>1578614160</v>
      </c>
      <c r="E4302" s="1" t="s">
        <v>10083</v>
      </c>
      <c r="F4302" s="2"/>
      <c r="G4302" s="2"/>
      <c r="H4302" s="2"/>
    </row>
    <row r="4303" spans="1:8" x14ac:dyDescent="0.25">
      <c r="A4303" s="1"/>
      <c r="B4303" s="1" t="s">
        <v>4039</v>
      </c>
      <c r="C4303" s="1" t="s">
        <v>4040</v>
      </c>
      <c r="D4303" s="22" t="str">
        <f>HYPERLINK("https://rhld.insurance.arkansas.gov/NPILookup?Npi=1578635157","1578635157")</f>
        <v>1578635157</v>
      </c>
      <c r="E4303" s="1" t="s">
        <v>10084</v>
      </c>
      <c r="F4303" s="2"/>
      <c r="G4303" s="2"/>
      <c r="H4303" s="2"/>
    </row>
    <row r="4304" spans="1:8" x14ac:dyDescent="0.25">
      <c r="A4304" s="1"/>
      <c r="B4304" s="1" t="s">
        <v>4039</v>
      </c>
      <c r="C4304" s="1" t="s">
        <v>4040</v>
      </c>
      <c r="D4304" s="22" t="str">
        <f>HYPERLINK("https://rhld.insurance.arkansas.gov/NPILookup?Npi=1578655742","1578655742")</f>
        <v>1578655742</v>
      </c>
      <c r="E4304" s="1" t="s">
        <v>16749</v>
      </c>
      <c r="F4304" s="2"/>
      <c r="G4304" s="2"/>
      <c r="H4304" s="2"/>
    </row>
    <row r="4305" spans="1:8" x14ac:dyDescent="0.25">
      <c r="A4305" s="1"/>
      <c r="B4305" s="1" t="s">
        <v>4039</v>
      </c>
      <c r="C4305" s="1" t="s">
        <v>4040</v>
      </c>
      <c r="D4305" s="22" t="str">
        <f>HYPERLINK("https://rhld.insurance.arkansas.gov/NPILookup?Npi=1578661476","1578661476")</f>
        <v>1578661476</v>
      </c>
      <c r="E4305" s="1" t="s">
        <v>552</v>
      </c>
      <c r="F4305" s="2"/>
      <c r="G4305" s="2"/>
      <c r="H4305" s="2"/>
    </row>
    <row r="4306" spans="1:8" x14ac:dyDescent="0.25">
      <c r="A4306" s="1"/>
      <c r="B4306" s="1" t="s">
        <v>4039</v>
      </c>
      <c r="C4306" s="1" t="s">
        <v>4040</v>
      </c>
      <c r="D4306" s="22" t="str">
        <f>HYPERLINK("https://rhld.insurance.arkansas.gov/NPILookup?Npi=1578797114","1578797114")</f>
        <v>1578797114</v>
      </c>
      <c r="E4306" s="1" t="s">
        <v>501</v>
      </c>
      <c r="F4306" s="2"/>
      <c r="G4306" s="2"/>
      <c r="H4306" s="2"/>
    </row>
    <row r="4307" spans="1:8" x14ac:dyDescent="0.25">
      <c r="A4307" s="1"/>
      <c r="B4307" s="1" t="s">
        <v>4039</v>
      </c>
      <c r="C4307" s="1" t="s">
        <v>4040</v>
      </c>
      <c r="D4307" s="22" t="str">
        <f>HYPERLINK("https://rhld.insurance.arkansas.gov/NPILookup?Npi=1588010433","1588010433")</f>
        <v>1588010433</v>
      </c>
      <c r="E4307" s="1" t="s">
        <v>16750</v>
      </c>
      <c r="F4307" s="2"/>
      <c r="G4307" s="2"/>
      <c r="H4307" s="2"/>
    </row>
    <row r="4308" spans="1:8" x14ac:dyDescent="0.25">
      <c r="A4308" s="1"/>
      <c r="B4308" s="1" t="s">
        <v>4039</v>
      </c>
      <c r="C4308" s="1" t="s">
        <v>4040</v>
      </c>
      <c r="D4308" s="22" t="str">
        <f>HYPERLINK("https://rhld.insurance.arkansas.gov/NPILookup?Npi=1588193353","1588193353")</f>
        <v>1588193353</v>
      </c>
      <c r="E4308" s="1" t="s">
        <v>1728</v>
      </c>
      <c r="F4308" s="2"/>
      <c r="G4308" s="2"/>
      <c r="H4308" s="2"/>
    </row>
    <row r="4309" spans="1:8" x14ac:dyDescent="0.25">
      <c r="A4309" s="1"/>
      <c r="B4309" s="1" t="s">
        <v>4039</v>
      </c>
      <c r="C4309" s="1" t="s">
        <v>4040</v>
      </c>
      <c r="D4309" s="22" t="str">
        <f>HYPERLINK("https://rhld.insurance.arkansas.gov/NPILookup?Npi=1588194369","1588194369")</f>
        <v>1588194369</v>
      </c>
      <c r="E4309" s="1" t="s">
        <v>4105</v>
      </c>
      <c r="F4309" s="2"/>
      <c r="G4309" s="2"/>
      <c r="H4309" s="2"/>
    </row>
    <row r="4310" spans="1:8" x14ac:dyDescent="0.25">
      <c r="A4310" s="1"/>
      <c r="B4310" s="1" t="s">
        <v>4039</v>
      </c>
      <c r="C4310" s="1" t="s">
        <v>4040</v>
      </c>
      <c r="D4310" s="22" t="str">
        <f>HYPERLINK("https://rhld.insurance.arkansas.gov/NPILookup?Npi=1588206098","1588206098")</f>
        <v>1588206098</v>
      </c>
      <c r="E4310" s="1" t="s">
        <v>1546</v>
      </c>
      <c r="F4310" s="2"/>
      <c r="G4310" s="2"/>
      <c r="H4310" s="2"/>
    </row>
    <row r="4311" spans="1:8" x14ac:dyDescent="0.25">
      <c r="A4311" s="1"/>
      <c r="B4311" s="1" t="s">
        <v>4039</v>
      </c>
      <c r="C4311" s="1" t="s">
        <v>4040</v>
      </c>
      <c r="D4311" s="22" t="str">
        <f>HYPERLINK("https://rhld.insurance.arkansas.gov/NPILookup?Npi=1588272850","1588272850")</f>
        <v>1588272850</v>
      </c>
      <c r="E4311" s="1" t="s">
        <v>16751</v>
      </c>
      <c r="F4311" s="2"/>
      <c r="G4311" s="2"/>
      <c r="H4311" s="2"/>
    </row>
    <row r="4312" spans="1:8" x14ac:dyDescent="0.25">
      <c r="A4312" s="1"/>
      <c r="B4312" s="1" t="s">
        <v>4039</v>
      </c>
      <c r="C4312" s="1" t="s">
        <v>4040</v>
      </c>
      <c r="D4312" s="22" t="str">
        <f>HYPERLINK("https://rhld.insurance.arkansas.gov/NPILookup?Npi=1588274757","1588274757")</f>
        <v>1588274757</v>
      </c>
      <c r="E4312" s="1" t="s">
        <v>16752</v>
      </c>
      <c r="F4312" s="2"/>
      <c r="G4312" s="2"/>
      <c r="H4312" s="2"/>
    </row>
    <row r="4313" spans="1:8" x14ac:dyDescent="0.25">
      <c r="A4313" s="1"/>
      <c r="B4313" s="1" t="s">
        <v>4039</v>
      </c>
      <c r="C4313" s="1" t="s">
        <v>4040</v>
      </c>
      <c r="D4313" s="22" t="str">
        <f>HYPERLINK("https://rhld.insurance.arkansas.gov/NPILookup?Npi=1588407860","1588407860")</f>
        <v>1588407860</v>
      </c>
      <c r="E4313" s="1" t="s">
        <v>16753</v>
      </c>
      <c r="F4313" s="2"/>
      <c r="G4313" s="2"/>
      <c r="H4313" s="2"/>
    </row>
    <row r="4314" spans="1:8" x14ac:dyDescent="0.25">
      <c r="A4314" s="1"/>
      <c r="B4314" s="1" t="s">
        <v>4039</v>
      </c>
      <c r="C4314" s="1" t="s">
        <v>4040</v>
      </c>
      <c r="D4314" s="22" t="str">
        <f>HYPERLINK("https://rhld.insurance.arkansas.gov/NPILookup?Npi=1588683700","1588683700")</f>
        <v>1588683700</v>
      </c>
      <c r="E4314" s="1" t="s">
        <v>579</v>
      </c>
      <c r="F4314" s="2"/>
      <c r="G4314" s="2"/>
      <c r="H4314" s="2"/>
    </row>
    <row r="4315" spans="1:8" x14ac:dyDescent="0.25">
      <c r="A4315" s="1"/>
      <c r="B4315" s="1" t="s">
        <v>4039</v>
      </c>
      <c r="C4315" s="1" t="s">
        <v>4040</v>
      </c>
      <c r="D4315" s="22" t="str">
        <f>HYPERLINK("https://rhld.insurance.arkansas.gov/NPILookup?Npi=1588725204","1588725204")</f>
        <v>1588725204</v>
      </c>
      <c r="E4315" s="1" t="s">
        <v>526</v>
      </c>
      <c r="F4315" s="2"/>
      <c r="G4315" s="2"/>
      <c r="H4315" s="2"/>
    </row>
    <row r="4316" spans="1:8" x14ac:dyDescent="0.25">
      <c r="A4316" s="1"/>
      <c r="B4316" s="1" t="s">
        <v>4039</v>
      </c>
      <c r="C4316" s="1" t="s">
        <v>4040</v>
      </c>
      <c r="D4316" s="22" t="str">
        <f>HYPERLINK("https://rhld.insurance.arkansas.gov/NPILookup?Npi=1588770291","1588770291")</f>
        <v>1588770291</v>
      </c>
      <c r="E4316" s="1" t="s">
        <v>16754</v>
      </c>
      <c r="F4316" s="2"/>
      <c r="G4316" s="2"/>
      <c r="H4316" s="2"/>
    </row>
    <row r="4317" spans="1:8" x14ac:dyDescent="0.25">
      <c r="A4317" s="1"/>
      <c r="B4317" s="1" t="s">
        <v>4039</v>
      </c>
      <c r="C4317" s="1" t="s">
        <v>4040</v>
      </c>
      <c r="D4317" s="22" t="str">
        <f>HYPERLINK("https://rhld.insurance.arkansas.gov/NPILookup?Npi=1588773436","1588773436")</f>
        <v>1588773436</v>
      </c>
      <c r="E4317" s="1" t="s">
        <v>16755</v>
      </c>
      <c r="F4317" s="2"/>
      <c r="G4317" s="2"/>
      <c r="H4317" s="2"/>
    </row>
    <row r="4318" spans="1:8" x14ac:dyDescent="0.25">
      <c r="A4318" s="1"/>
      <c r="B4318" s="1" t="s">
        <v>4039</v>
      </c>
      <c r="C4318" s="1" t="s">
        <v>4040</v>
      </c>
      <c r="D4318" s="22" t="str">
        <f>HYPERLINK("https://rhld.insurance.arkansas.gov/NPILookup?Npi=1588799753","1588799753")</f>
        <v>1588799753</v>
      </c>
      <c r="E4318" s="1" t="s">
        <v>2627</v>
      </c>
      <c r="F4318" s="2"/>
      <c r="G4318" s="2"/>
      <c r="H4318" s="2"/>
    </row>
    <row r="4319" spans="1:8" x14ac:dyDescent="0.25">
      <c r="A4319" s="1"/>
      <c r="B4319" s="1" t="s">
        <v>4039</v>
      </c>
      <c r="C4319" s="1" t="s">
        <v>4040</v>
      </c>
      <c r="D4319" s="22" t="str">
        <f>HYPERLINK("https://rhld.insurance.arkansas.gov/NPILookup?Npi=1588824643","1588824643")</f>
        <v>1588824643</v>
      </c>
      <c r="E4319" s="1" t="s">
        <v>10085</v>
      </c>
      <c r="F4319" s="2"/>
      <c r="G4319" s="2"/>
      <c r="H4319" s="2"/>
    </row>
    <row r="4320" spans="1:8" x14ac:dyDescent="0.25">
      <c r="A4320" s="1"/>
      <c r="B4320" s="1" t="s">
        <v>4039</v>
      </c>
      <c r="C4320" s="1" t="s">
        <v>4040</v>
      </c>
      <c r="D4320" s="22" t="str">
        <f>HYPERLINK("https://rhld.insurance.arkansas.gov/NPILookup?Npi=1588927941","1588927941")</f>
        <v>1588927941</v>
      </c>
      <c r="E4320" s="1" t="s">
        <v>243</v>
      </c>
      <c r="F4320" s="2"/>
      <c r="G4320" s="2"/>
      <c r="H4320" s="2"/>
    </row>
    <row r="4321" spans="1:8" x14ac:dyDescent="0.25">
      <c r="A4321" s="1"/>
      <c r="B4321" s="1" t="s">
        <v>4039</v>
      </c>
      <c r="C4321" s="1" t="s">
        <v>4040</v>
      </c>
      <c r="D4321" s="22" t="str">
        <f>HYPERLINK("https://rhld.insurance.arkansas.gov/NPILookup?Npi=1588952949","1588952949")</f>
        <v>1588952949</v>
      </c>
      <c r="E4321" s="1" t="s">
        <v>16756</v>
      </c>
      <c r="F4321" s="2"/>
      <c r="G4321" s="2"/>
      <c r="H4321" s="2"/>
    </row>
    <row r="4322" spans="1:8" x14ac:dyDescent="0.25">
      <c r="A4322" s="1"/>
      <c r="B4322" s="1" t="s">
        <v>4039</v>
      </c>
      <c r="C4322" s="1" t="s">
        <v>4040</v>
      </c>
      <c r="D4322" s="22" t="str">
        <f>HYPERLINK("https://rhld.insurance.arkansas.gov/NPILookup?Npi=1598085318","1598085318")</f>
        <v>1598085318</v>
      </c>
      <c r="E4322" s="1" t="s">
        <v>16757</v>
      </c>
      <c r="F4322" s="2"/>
      <c r="G4322" s="2"/>
      <c r="H4322" s="2"/>
    </row>
    <row r="4323" spans="1:8" x14ac:dyDescent="0.25">
      <c r="A4323" s="1"/>
      <c r="B4323" s="1" t="s">
        <v>4039</v>
      </c>
      <c r="C4323" s="1" t="s">
        <v>4040</v>
      </c>
      <c r="D4323" s="22" t="str">
        <f>HYPERLINK("https://rhld.insurance.arkansas.gov/NPILookup?Npi=1598116667","1598116667")</f>
        <v>1598116667</v>
      </c>
      <c r="E4323" s="1" t="s">
        <v>748</v>
      </c>
      <c r="F4323" s="2"/>
      <c r="G4323" s="2"/>
      <c r="H4323" s="2"/>
    </row>
    <row r="4324" spans="1:8" x14ac:dyDescent="0.25">
      <c r="A4324" s="1"/>
      <c r="B4324" s="1" t="s">
        <v>4039</v>
      </c>
      <c r="C4324" s="1" t="s">
        <v>4040</v>
      </c>
      <c r="D4324" s="22" t="str">
        <f>HYPERLINK("https://rhld.insurance.arkansas.gov/NPILookup?Npi=1598190142","1598190142")</f>
        <v>1598190142</v>
      </c>
      <c r="E4324" s="1" t="s">
        <v>3307</v>
      </c>
      <c r="F4324" s="2"/>
      <c r="G4324" s="2"/>
      <c r="H4324" s="2"/>
    </row>
    <row r="4325" spans="1:8" x14ac:dyDescent="0.25">
      <c r="A4325" s="1"/>
      <c r="B4325" s="1" t="s">
        <v>4039</v>
      </c>
      <c r="C4325" s="1" t="s">
        <v>4040</v>
      </c>
      <c r="D4325" s="22" t="str">
        <f>HYPERLINK("https://rhld.insurance.arkansas.gov/NPILookup?Npi=1598217069","1598217069")</f>
        <v>1598217069</v>
      </c>
      <c r="E4325" s="1" t="s">
        <v>31374</v>
      </c>
      <c r="F4325" s="2"/>
      <c r="G4325" s="2"/>
      <c r="H4325" s="2"/>
    </row>
    <row r="4326" spans="1:8" x14ac:dyDescent="0.25">
      <c r="A4326" s="1"/>
      <c r="B4326" s="1" t="s">
        <v>4039</v>
      </c>
      <c r="C4326" s="1" t="s">
        <v>4040</v>
      </c>
      <c r="D4326" s="22" t="str">
        <f>HYPERLINK("https://rhld.insurance.arkansas.gov/NPILookup?Npi=1598255358","1598255358")</f>
        <v>1598255358</v>
      </c>
      <c r="E4326" s="1" t="s">
        <v>1626</v>
      </c>
      <c r="F4326" s="2"/>
      <c r="G4326" s="2"/>
      <c r="H4326" s="2"/>
    </row>
    <row r="4327" spans="1:8" x14ac:dyDescent="0.25">
      <c r="A4327" s="1"/>
      <c r="B4327" s="1" t="s">
        <v>4039</v>
      </c>
      <c r="C4327" s="1" t="s">
        <v>4040</v>
      </c>
      <c r="D4327" s="22" t="str">
        <f>HYPERLINK("https://rhld.insurance.arkansas.gov/NPILookup?Npi=1598409377","1598409377")</f>
        <v>1598409377</v>
      </c>
      <c r="E4327" s="1" t="s">
        <v>4106</v>
      </c>
      <c r="F4327" s="2"/>
      <c r="G4327" s="2"/>
      <c r="H4327" s="2"/>
    </row>
    <row r="4328" spans="1:8" x14ac:dyDescent="0.25">
      <c r="A4328" s="1"/>
      <c r="B4328" s="1" t="s">
        <v>4039</v>
      </c>
      <c r="C4328" s="1" t="s">
        <v>4040</v>
      </c>
      <c r="D4328" s="22" t="str">
        <f>HYPERLINK("https://rhld.insurance.arkansas.gov/NPILookup?Npi=1598707531","1598707531")</f>
        <v>1598707531</v>
      </c>
      <c r="E4328" s="1" t="s">
        <v>3703</v>
      </c>
      <c r="F4328" s="2"/>
      <c r="G4328" s="2"/>
      <c r="H4328" s="2"/>
    </row>
    <row r="4329" spans="1:8" x14ac:dyDescent="0.25">
      <c r="A4329" s="1"/>
      <c r="B4329" s="1" t="s">
        <v>4039</v>
      </c>
      <c r="C4329" s="1" t="s">
        <v>4040</v>
      </c>
      <c r="D4329" s="22" t="str">
        <f>HYPERLINK("https://rhld.insurance.arkansas.gov/NPILookup?Npi=1598744377","1598744377")</f>
        <v>1598744377</v>
      </c>
      <c r="E4329" s="1" t="s">
        <v>4107</v>
      </c>
      <c r="F4329" s="2"/>
      <c r="G4329" s="2"/>
      <c r="H4329" s="2"/>
    </row>
    <row r="4330" spans="1:8" x14ac:dyDescent="0.25">
      <c r="A4330" s="1"/>
      <c r="B4330" s="1" t="s">
        <v>4039</v>
      </c>
      <c r="C4330" s="1" t="s">
        <v>4040</v>
      </c>
      <c r="D4330" s="22" t="str">
        <f>HYPERLINK("https://rhld.insurance.arkansas.gov/NPILookup?Npi=1598758591","1598758591")</f>
        <v>1598758591</v>
      </c>
      <c r="E4330" s="1" t="s">
        <v>10086</v>
      </c>
      <c r="F4330" s="2"/>
      <c r="G4330" s="2"/>
      <c r="H4330" s="2"/>
    </row>
    <row r="4331" spans="1:8" x14ac:dyDescent="0.25">
      <c r="A4331" s="1"/>
      <c r="B4331" s="1" t="s">
        <v>4039</v>
      </c>
      <c r="C4331" s="1" t="s">
        <v>4040</v>
      </c>
      <c r="D4331" s="22" t="str">
        <f>HYPERLINK("https://rhld.insurance.arkansas.gov/NPILookup?Npi=1598771560","1598771560")</f>
        <v>1598771560</v>
      </c>
      <c r="E4331" s="1" t="s">
        <v>580</v>
      </c>
      <c r="F4331" s="2"/>
      <c r="G4331" s="2"/>
      <c r="H4331" s="2"/>
    </row>
    <row r="4332" spans="1:8" x14ac:dyDescent="0.25">
      <c r="A4332" s="1"/>
      <c r="B4332" s="1" t="s">
        <v>4039</v>
      </c>
      <c r="C4332" s="1" t="s">
        <v>4040</v>
      </c>
      <c r="D4332" s="22" t="str">
        <f>HYPERLINK("https://rhld.insurance.arkansas.gov/NPILookup?Npi=1598791667","1598791667")</f>
        <v>1598791667</v>
      </c>
      <c r="E4332" s="1" t="s">
        <v>3704</v>
      </c>
      <c r="F4332" s="2"/>
      <c r="G4332" s="2"/>
      <c r="H4332" s="2"/>
    </row>
    <row r="4333" spans="1:8" x14ac:dyDescent="0.25">
      <c r="A4333" s="1"/>
      <c r="B4333" s="1" t="s">
        <v>4039</v>
      </c>
      <c r="C4333" s="1" t="s">
        <v>4040</v>
      </c>
      <c r="D4333" s="22" t="str">
        <f>HYPERLINK("https://rhld.insurance.arkansas.gov/NPILookup?Npi=1598801268","1598801268")</f>
        <v>1598801268</v>
      </c>
      <c r="E4333" s="1" t="s">
        <v>16758</v>
      </c>
      <c r="F4333" s="2"/>
      <c r="G4333" s="2"/>
      <c r="H4333" s="2"/>
    </row>
    <row r="4334" spans="1:8" x14ac:dyDescent="0.25">
      <c r="A4334" s="1"/>
      <c r="B4334" s="1" t="s">
        <v>4039</v>
      </c>
      <c r="C4334" s="1" t="s">
        <v>4040</v>
      </c>
      <c r="D4334" s="22" t="str">
        <f>HYPERLINK("https://rhld.insurance.arkansas.gov/NPILookup?Npi=1598829392","1598829392")</f>
        <v>1598829392</v>
      </c>
      <c r="E4334" s="1" t="s">
        <v>16759</v>
      </c>
      <c r="F4334" s="2"/>
      <c r="G4334" s="2"/>
      <c r="H4334" s="2"/>
    </row>
    <row r="4335" spans="1:8" x14ac:dyDescent="0.25">
      <c r="A4335" s="1"/>
      <c r="B4335" s="1" t="s">
        <v>4039</v>
      </c>
      <c r="C4335" s="1" t="s">
        <v>4040</v>
      </c>
      <c r="D4335" s="22" t="str">
        <f>HYPERLINK("https://rhld.insurance.arkansas.gov/NPILookup?Npi=1598835357","1598835357")</f>
        <v>1598835357</v>
      </c>
      <c r="E4335" s="1" t="s">
        <v>16760</v>
      </c>
      <c r="F4335" s="2"/>
      <c r="G4335" s="2"/>
      <c r="H4335" s="2"/>
    </row>
    <row r="4336" spans="1:8" x14ac:dyDescent="0.25">
      <c r="A4336" s="1"/>
      <c r="B4336" s="1" t="s">
        <v>4039</v>
      </c>
      <c r="C4336" s="1" t="s">
        <v>4040</v>
      </c>
      <c r="D4336" s="22" t="str">
        <f>HYPERLINK("https://rhld.insurance.arkansas.gov/NPILookup?Npi=1598840340","1598840340")</f>
        <v>1598840340</v>
      </c>
      <c r="E4336" s="1" t="s">
        <v>16761</v>
      </c>
      <c r="F4336" s="2"/>
      <c r="G4336" s="2"/>
      <c r="H4336" s="2"/>
    </row>
    <row r="4337" spans="1:8" x14ac:dyDescent="0.25">
      <c r="A4337" s="1"/>
      <c r="B4337" s="1" t="s">
        <v>4039</v>
      </c>
      <c r="C4337" s="1" t="s">
        <v>4040</v>
      </c>
      <c r="D4337" s="22" t="str">
        <f>HYPERLINK("https://rhld.insurance.arkansas.gov/NPILookup?Npi=1598851156","1598851156")</f>
        <v>1598851156</v>
      </c>
      <c r="E4337" s="1" t="s">
        <v>16762</v>
      </c>
      <c r="F4337" s="2"/>
      <c r="G4337" s="2"/>
      <c r="H4337" s="2"/>
    </row>
    <row r="4338" spans="1:8" x14ac:dyDescent="0.25">
      <c r="A4338" s="1"/>
      <c r="B4338" s="1" t="s">
        <v>4039</v>
      </c>
      <c r="C4338" s="1" t="s">
        <v>4040</v>
      </c>
      <c r="D4338" s="22" t="str">
        <f>HYPERLINK("https://rhld.insurance.arkansas.gov/NPILookup?Npi=1598863789","1598863789")</f>
        <v>1598863789</v>
      </c>
      <c r="E4338" s="1" t="s">
        <v>581</v>
      </c>
      <c r="F4338" s="2"/>
      <c r="G4338" s="2"/>
      <c r="H4338" s="2"/>
    </row>
    <row r="4339" spans="1:8" x14ac:dyDescent="0.25">
      <c r="A4339" s="1"/>
      <c r="B4339" s="1" t="s">
        <v>4039</v>
      </c>
      <c r="C4339" s="1" t="s">
        <v>4040</v>
      </c>
      <c r="D4339" s="22" t="str">
        <f>HYPERLINK("https://rhld.insurance.arkansas.gov/NPILookup?Npi=1598926081","1598926081")</f>
        <v>1598926081</v>
      </c>
      <c r="E4339" s="1" t="s">
        <v>10087</v>
      </c>
      <c r="F4339" s="2"/>
      <c r="G4339" s="2"/>
      <c r="H4339" s="2"/>
    </row>
    <row r="4340" spans="1:8" x14ac:dyDescent="0.25">
      <c r="A4340" s="1"/>
      <c r="B4340" s="1" t="s">
        <v>4039</v>
      </c>
      <c r="C4340" s="1" t="s">
        <v>4040</v>
      </c>
      <c r="D4340" s="22" t="str">
        <f>HYPERLINK("https://rhld.insurance.arkansas.gov/NPILookup?Npi=1598992588","1598992588")</f>
        <v>1598992588</v>
      </c>
      <c r="E4340" s="1" t="s">
        <v>6445</v>
      </c>
      <c r="F4340" s="2"/>
      <c r="G4340" s="2"/>
      <c r="H4340" s="2"/>
    </row>
    <row r="4341" spans="1:8" x14ac:dyDescent="0.25">
      <c r="A4341" s="1"/>
      <c r="B4341" s="1" t="s">
        <v>4039</v>
      </c>
      <c r="C4341" s="1" t="s">
        <v>4040</v>
      </c>
      <c r="D4341" s="22" t="str">
        <f>HYPERLINK("https://rhld.insurance.arkansas.gov/NPILookup?Npi=1609003037","1609003037")</f>
        <v>1609003037</v>
      </c>
      <c r="E4341" s="1" t="s">
        <v>16763</v>
      </c>
      <c r="F4341" s="2"/>
      <c r="G4341" s="2"/>
      <c r="H4341" s="2"/>
    </row>
    <row r="4342" spans="1:8" x14ac:dyDescent="0.25">
      <c r="A4342" s="1"/>
      <c r="B4342" s="1" t="s">
        <v>4039</v>
      </c>
      <c r="C4342" s="1" t="s">
        <v>4040</v>
      </c>
      <c r="D4342" s="22" t="str">
        <f>HYPERLINK("https://rhld.insurance.arkansas.gov/NPILookup?Npi=1609124114","1609124114")</f>
        <v>1609124114</v>
      </c>
      <c r="E4342" s="1" t="s">
        <v>3730</v>
      </c>
      <c r="F4342" s="2"/>
      <c r="G4342" s="2"/>
      <c r="H4342" s="2"/>
    </row>
    <row r="4343" spans="1:8" x14ac:dyDescent="0.25">
      <c r="A4343" s="1"/>
      <c r="B4343" s="1" t="s">
        <v>4039</v>
      </c>
      <c r="C4343" s="1" t="s">
        <v>4040</v>
      </c>
      <c r="D4343" s="22" t="str">
        <f>HYPERLINK("https://rhld.insurance.arkansas.gov/NPILookup?Npi=1609131473","1609131473")</f>
        <v>1609131473</v>
      </c>
      <c r="E4343" s="1" t="s">
        <v>1005</v>
      </c>
      <c r="F4343" s="2"/>
      <c r="G4343" s="2"/>
      <c r="H4343" s="2"/>
    </row>
    <row r="4344" spans="1:8" x14ac:dyDescent="0.25">
      <c r="A4344" s="1"/>
      <c r="B4344" s="1" t="s">
        <v>4039</v>
      </c>
      <c r="C4344" s="1" t="s">
        <v>4040</v>
      </c>
      <c r="D4344" s="22" t="str">
        <f>HYPERLINK("https://rhld.insurance.arkansas.gov/NPILookup?Npi=1609138569","1609138569")</f>
        <v>1609138569</v>
      </c>
      <c r="E4344" s="1" t="s">
        <v>10088</v>
      </c>
      <c r="F4344" s="2"/>
      <c r="G4344" s="2"/>
      <c r="H4344" s="2"/>
    </row>
    <row r="4345" spans="1:8" x14ac:dyDescent="0.25">
      <c r="A4345" s="1"/>
      <c r="B4345" s="1" t="s">
        <v>4039</v>
      </c>
      <c r="C4345" s="1" t="s">
        <v>4040</v>
      </c>
      <c r="D4345" s="22" t="str">
        <f>HYPERLINK("https://rhld.insurance.arkansas.gov/NPILookup?Npi=1609191352","1609191352")</f>
        <v>1609191352</v>
      </c>
      <c r="E4345" s="1" t="s">
        <v>10089</v>
      </c>
      <c r="F4345" s="2"/>
      <c r="G4345" s="2"/>
      <c r="H4345" s="2"/>
    </row>
    <row r="4346" spans="1:8" x14ac:dyDescent="0.25">
      <c r="A4346" s="1"/>
      <c r="B4346" s="1" t="s">
        <v>4039</v>
      </c>
      <c r="C4346" s="1" t="s">
        <v>4040</v>
      </c>
      <c r="D4346" s="22" t="str">
        <f>HYPERLINK("https://rhld.insurance.arkansas.gov/NPILookup?Npi=1609238807","1609238807")</f>
        <v>1609238807</v>
      </c>
      <c r="E4346" s="1" t="s">
        <v>16764</v>
      </c>
      <c r="F4346" s="2"/>
      <c r="G4346" s="2"/>
      <c r="H4346" s="2"/>
    </row>
    <row r="4347" spans="1:8" x14ac:dyDescent="0.25">
      <c r="A4347" s="1"/>
      <c r="B4347" s="1" t="s">
        <v>4039</v>
      </c>
      <c r="C4347" s="1" t="s">
        <v>4040</v>
      </c>
      <c r="D4347" s="22" t="str">
        <f>HYPERLINK("https://rhld.insurance.arkansas.gov/NPILookup?Npi=1609567486","1609567486")</f>
        <v>1609567486</v>
      </c>
      <c r="E4347" s="1" t="s">
        <v>31375</v>
      </c>
      <c r="F4347" s="2"/>
      <c r="G4347" s="2"/>
      <c r="H4347" s="2"/>
    </row>
    <row r="4348" spans="1:8" x14ac:dyDescent="0.25">
      <c r="A4348" s="1"/>
      <c r="B4348" s="1" t="s">
        <v>4039</v>
      </c>
      <c r="C4348" s="1" t="s">
        <v>4040</v>
      </c>
      <c r="D4348" s="22" t="str">
        <f>HYPERLINK("https://rhld.insurance.arkansas.gov/NPILookup?Npi=1609938034","1609938034")</f>
        <v>1609938034</v>
      </c>
      <c r="E4348" s="1" t="s">
        <v>16765</v>
      </c>
      <c r="F4348" s="2"/>
      <c r="G4348" s="2"/>
      <c r="H4348" s="2"/>
    </row>
    <row r="4349" spans="1:8" x14ac:dyDescent="0.25">
      <c r="A4349" s="1"/>
      <c r="B4349" s="1" t="s">
        <v>4039</v>
      </c>
      <c r="C4349" s="1" t="s">
        <v>4040</v>
      </c>
      <c r="D4349" s="22" t="str">
        <f>HYPERLINK("https://rhld.insurance.arkansas.gov/NPILookup?Npi=1609980242","1609980242")</f>
        <v>1609980242</v>
      </c>
      <c r="E4349" s="1" t="s">
        <v>609</v>
      </c>
      <c r="F4349" s="2"/>
      <c r="G4349" s="2"/>
      <c r="H4349" s="2"/>
    </row>
    <row r="4350" spans="1:8" x14ac:dyDescent="0.25">
      <c r="A4350" s="1"/>
      <c r="B4350" s="1" t="s">
        <v>4039</v>
      </c>
      <c r="C4350" s="1" t="s">
        <v>4040</v>
      </c>
      <c r="D4350" s="22" t="str">
        <f>HYPERLINK("https://rhld.insurance.arkansas.gov/NPILookup?Npi=1619003225","1619003225")</f>
        <v>1619003225</v>
      </c>
      <c r="E4350" s="1" t="s">
        <v>16766</v>
      </c>
      <c r="F4350" s="2"/>
      <c r="G4350" s="2"/>
      <c r="H4350" s="2"/>
    </row>
    <row r="4351" spans="1:8" x14ac:dyDescent="0.25">
      <c r="A4351" s="1"/>
      <c r="B4351" s="1" t="s">
        <v>4039</v>
      </c>
      <c r="C4351" s="1" t="s">
        <v>4040</v>
      </c>
      <c r="D4351" s="22" t="str">
        <f>HYPERLINK("https://rhld.insurance.arkansas.gov/NPILookup?Npi=1619038098","1619038098")</f>
        <v>1619038098</v>
      </c>
      <c r="E4351" s="1" t="s">
        <v>10090</v>
      </c>
      <c r="F4351" s="2"/>
      <c r="G4351" s="2"/>
      <c r="H4351" s="2"/>
    </row>
    <row r="4352" spans="1:8" x14ac:dyDescent="0.25">
      <c r="A4352" s="1"/>
      <c r="B4352" s="1" t="s">
        <v>4039</v>
      </c>
      <c r="C4352" s="1" t="s">
        <v>4040</v>
      </c>
      <c r="D4352" s="22" t="str">
        <f>HYPERLINK("https://rhld.insurance.arkansas.gov/NPILookup?Npi=1619062601","1619062601")</f>
        <v>1619062601</v>
      </c>
      <c r="E4352" s="1" t="s">
        <v>16767</v>
      </c>
      <c r="F4352" s="2"/>
      <c r="G4352" s="2"/>
      <c r="H4352" s="2"/>
    </row>
    <row r="4353" spans="1:8" x14ac:dyDescent="0.25">
      <c r="A4353" s="1"/>
      <c r="B4353" s="1" t="s">
        <v>4039</v>
      </c>
      <c r="C4353" s="1" t="s">
        <v>4040</v>
      </c>
      <c r="D4353" s="22" t="str">
        <f>HYPERLINK("https://rhld.insurance.arkansas.gov/NPILookup?Npi=1619063781","1619063781")</f>
        <v>1619063781</v>
      </c>
      <c r="E4353" s="1" t="s">
        <v>16768</v>
      </c>
      <c r="F4353" s="2"/>
      <c r="G4353" s="2"/>
      <c r="H4353" s="2"/>
    </row>
    <row r="4354" spans="1:8" x14ac:dyDescent="0.25">
      <c r="A4354" s="1"/>
      <c r="B4354" s="1" t="s">
        <v>4039</v>
      </c>
      <c r="C4354" s="1" t="s">
        <v>4040</v>
      </c>
      <c r="D4354" s="22" t="str">
        <f>HYPERLINK("https://rhld.insurance.arkansas.gov/NPILookup?Npi=1619151248","1619151248")</f>
        <v>1619151248</v>
      </c>
      <c r="E4354" s="1" t="s">
        <v>31376</v>
      </c>
      <c r="F4354" s="2"/>
      <c r="G4354" s="2"/>
      <c r="H4354" s="2"/>
    </row>
    <row r="4355" spans="1:8" x14ac:dyDescent="0.25">
      <c r="A4355" s="1"/>
      <c r="B4355" s="1" t="s">
        <v>4039</v>
      </c>
      <c r="C4355" s="1" t="s">
        <v>4040</v>
      </c>
      <c r="D4355" s="22" t="str">
        <f>HYPERLINK("https://rhld.insurance.arkansas.gov/NPILookup?Npi=1619248036","1619248036")</f>
        <v>1619248036</v>
      </c>
      <c r="E4355" s="1" t="s">
        <v>488</v>
      </c>
      <c r="F4355" s="2"/>
      <c r="G4355" s="2"/>
      <c r="H4355" s="2"/>
    </row>
    <row r="4356" spans="1:8" x14ac:dyDescent="0.25">
      <c r="A4356" s="1"/>
      <c r="B4356" s="1" t="s">
        <v>4039</v>
      </c>
      <c r="C4356" s="1" t="s">
        <v>4040</v>
      </c>
      <c r="D4356" s="22" t="str">
        <f>HYPERLINK("https://rhld.insurance.arkansas.gov/NPILookup?Npi=1619403615","1619403615")</f>
        <v>1619403615</v>
      </c>
      <c r="E4356" s="1" t="s">
        <v>1628</v>
      </c>
      <c r="F4356" s="2"/>
      <c r="G4356" s="2"/>
      <c r="H4356" s="2"/>
    </row>
    <row r="4357" spans="1:8" x14ac:dyDescent="0.25">
      <c r="A4357" s="1"/>
      <c r="B4357" s="1" t="s">
        <v>4039</v>
      </c>
      <c r="C4357" s="1" t="s">
        <v>4040</v>
      </c>
      <c r="D4357" s="22" t="str">
        <f>HYPERLINK("https://rhld.insurance.arkansas.gov/NPILookup?Npi=1619547072","1619547072")</f>
        <v>1619547072</v>
      </c>
      <c r="E4357" s="1" t="s">
        <v>1938</v>
      </c>
      <c r="F4357" s="2"/>
      <c r="G4357" s="2"/>
      <c r="H4357" s="2"/>
    </row>
    <row r="4358" spans="1:8" x14ac:dyDescent="0.25">
      <c r="A4358" s="1"/>
      <c r="B4358" s="1" t="s">
        <v>4039</v>
      </c>
      <c r="C4358" s="1" t="s">
        <v>4040</v>
      </c>
      <c r="D4358" s="22" t="str">
        <f>HYPERLINK("https://rhld.insurance.arkansas.gov/NPILookup?Npi=1619590064","1619590064")</f>
        <v>1619590064</v>
      </c>
      <c r="E4358" s="1" t="s">
        <v>16769</v>
      </c>
      <c r="F4358" s="2"/>
      <c r="G4358" s="2"/>
      <c r="H4358" s="2"/>
    </row>
    <row r="4359" spans="1:8" x14ac:dyDescent="0.25">
      <c r="A4359" s="1"/>
      <c r="B4359" s="1" t="s">
        <v>4039</v>
      </c>
      <c r="C4359" s="1" t="s">
        <v>4040</v>
      </c>
      <c r="D4359" s="22" t="str">
        <f>HYPERLINK("https://rhld.insurance.arkansas.gov/NPILookup?Npi=1619672631","1619672631")</f>
        <v>1619672631</v>
      </c>
      <c r="E4359" s="1" t="s">
        <v>16770</v>
      </c>
      <c r="F4359" s="2"/>
      <c r="G4359" s="2"/>
      <c r="H4359" s="2"/>
    </row>
    <row r="4360" spans="1:8" x14ac:dyDescent="0.25">
      <c r="A4360" s="1"/>
      <c r="B4360" s="1" t="s">
        <v>4039</v>
      </c>
      <c r="C4360" s="1" t="s">
        <v>4040</v>
      </c>
      <c r="D4360" s="22" t="str">
        <f>HYPERLINK("https://rhld.insurance.arkansas.gov/NPILookup?Npi=1619712619","1619712619")</f>
        <v>1619712619</v>
      </c>
      <c r="E4360" s="1" t="s">
        <v>16771</v>
      </c>
      <c r="F4360" s="2"/>
      <c r="G4360" s="2"/>
      <c r="H4360" s="2"/>
    </row>
    <row r="4361" spans="1:8" x14ac:dyDescent="0.25">
      <c r="A4361" s="1"/>
      <c r="B4361" s="1" t="s">
        <v>4039</v>
      </c>
      <c r="C4361" s="1" t="s">
        <v>4040</v>
      </c>
      <c r="D4361" s="22" t="str">
        <f>HYPERLINK("https://rhld.insurance.arkansas.gov/NPILookup?Npi=1619866910","1619866910")</f>
        <v>1619866910</v>
      </c>
      <c r="E4361" s="1" t="s">
        <v>31377</v>
      </c>
      <c r="F4361" s="2"/>
      <c r="G4361" s="2"/>
      <c r="H4361" s="2"/>
    </row>
    <row r="4362" spans="1:8" x14ac:dyDescent="0.25">
      <c r="A4362" s="1"/>
      <c r="B4362" s="1" t="s">
        <v>4039</v>
      </c>
      <c r="C4362" s="1" t="s">
        <v>4040</v>
      </c>
      <c r="D4362" s="22" t="str">
        <f>HYPERLINK("https://rhld.insurance.arkansas.gov/NPILookup?Npi=1619972569","1619972569")</f>
        <v>1619972569</v>
      </c>
      <c r="E4362" s="1" t="s">
        <v>3705</v>
      </c>
      <c r="F4362" s="2"/>
      <c r="G4362" s="2"/>
      <c r="H4362" s="2"/>
    </row>
    <row r="4363" spans="1:8" x14ac:dyDescent="0.25">
      <c r="A4363" s="1"/>
      <c r="B4363" s="1" t="s">
        <v>4039</v>
      </c>
      <c r="C4363" s="1" t="s">
        <v>4040</v>
      </c>
      <c r="D4363" s="22" t="str">
        <f>HYPERLINK("https://rhld.insurance.arkansas.gov/NPILookup?Npi=1619975406","1619975406")</f>
        <v>1619975406</v>
      </c>
      <c r="E4363" s="1" t="s">
        <v>16772</v>
      </c>
      <c r="F4363" s="2"/>
      <c r="G4363" s="2"/>
      <c r="H4363" s="2"/>
    </row>
    <row r="4364" spans="1:8" x14ac:dyDescent="0.25">
      <c r="A4364" s="1"/>
      <c r="B4364" s="1" t="s">
        <v>4039</v>
      </c>
      <c r="C4364" s="1" t="s">
        <v>4040</v>
      </c>
      <c r="D4364" s="22" t="str">
        <f>HYPERLINK("https://rhld.insurance.arkansas.gov/NPILookup?Npi=1619981396","1619981396")</f>
        <v>1619981396</v>
      </c>
      <c r="E4364" s="1" t="s">
        <v>582</v>
      </c>
      <c r="F4364" s="2"/>
      <c r="G4364" s="2"/>
      <c r="H4364" s="2"/>
    </row>
    <row r="4365" spans="1:8" x14ac:dyDescent="0.25">
      <c r="A4365" s="1"/>
      <c r="B4365" s="1" t="s">
        <v>4039</v>
      </c>
      <c r="C4365" s="1" t="s">
        <v>4040</v>
      </c>
      <c r="D4365" s="22" t="str">
        <f>HYPERLINK("https://rhld.insurance.arkansas.gov/NPILookup?Npi=1619985884","1619985884")</f>
        <v>1619985884</v>
      </c>
      <c r="E4365" s="1" t="s">
        <v>3706</v>
      </c>
      <c r="F4365" s="2"/>
      <c r="G4365" s="2"/>
      <c r="H4365" s="2"/>
    </row>
    <row r="4366" spans="1:8" x14ac:dyDescent="0.25">
      <c r="A4366" s="1"/>
      <c r="B4366" s="1" t="s">
        <v>4039</v>
      </c>
      <c r="C4366" s="1" t="s">
        <v>4040</v>
      </c>
      <c r="D4366" s="22" t="str">
        <f>HYPERLINK("https://rhld.insurance.arkansas.gov/NPILookup?Npi=1629076500","1629076500")</f>
        <v>1629076500</v>
      </c>
      <c r="E4366" s="1" t="s">
        <v>1729</v>
      </c>
      <c r="F4366" s="2"/>
      <c r="G4366" s="2"/>
      <c r="H4366" s="2"/>
    </row>
    <row r="4367" spans="1:8" x14ac:dyDescent="0.25">
      <c r="A4367" s="1"/>
      <c r="B4367" s="1" t="s">
        <v>4039</v>
      </c>
      <c r="C4367" s="1" t="s">
        <v>4040</v>
      </c>
      <c r="D4367" s="22" t="str">
        <f>HYPERLINK("https://rhld.insurance.arkansas.gov/NPILookup?Npi=1629091178","1629091178")</f>
        <v>1629091178</v>
      </c>
      <c r="E4367" s="1" t="s">
        <v>16773</v>
      </c>
      <c r="F4367" s="2"/>
      <c r="G4367" s="2"/>
      <c r="H4367" s="2"/>
    </row>
    <row r="4368" spans="1:8" x14ac:dyDescent="0.25">
      <c r="A4368" s="1"/>
      <c r="B4368" s="1" t="s">
        <v>4039</v>
      </c>
      <c r="C4368" s="1" t="s">
        <v>4040</v>
      </c>
      <c r="D4368" s="22" t="str">
        <f>HYPERLINK("https://rhld.insurance.arkansas.gov/NPILookup?Npi=1629135686","1629135686")</f>
        <v>1629135686</v>
      </c>
      <c r="E4368" s="1" t="s">
        <v>3707</v>
      </c>
      <c r="F4368" s="2"/>
      <c r="G4368" s="2"/>
      <c r="H4368" s="2"/>
    </row>
    <row r="4369" spans="1:8" x14ac:dyDescent="0.25">
      <c r="A4369" s="1"/>
      <c r="B4369" s="1" t="s">
        <v>4039</v>
      </c>
      <c r="C4369" s="1" t="s">
        <v>4040</v>
      </c>
      <c r="D4369" s="22" t="str">
        <f>HYPERLINK("https://rhld.insurance.arkansas.gov/NPILookup?Npi=1629143789","1629143789")</f>
        <v>1629143789</v>
      </c>
      <c r="E4369" s="1" t="s">
        <v>528</v>
      </c>
      <c r="F4369" s="2"/>
      <c r="G4369" s="2"/>
      <c r="H4369" s="2"/>
    </row>
    <row r="4370" spans="1:8" x14ac:dyDescent="0.25">
      <c r="A4370" s="1"/>
      <c r="B4370" s="1" t="s">
        <v>4039</v>
      </c>
      <c r="C4370" s="1" t="s">
        <v>4040</v>
      </c>
      <c r="D4370" s="22" t="str">
        <f>HYPERLINK("https://rhld.insurance.arkansas.gov/NPILookup?Npi=1629153945","1629153945")</f>
        <v>1629153945</v>
      </c>
      <c r="E4370" s="1" t="s">
        <v>16774</v>
      </c>
      <c r="F4370" s="2"/>
      <c r="G4370" s="2"/>
      <c r="H4370" s="2"/>
    </row>
    <row r="4371" spans="1:8" x14ac:dyDescent="0.25">
      <c r="A4371" s="1"/>
      <c r="B4371" s="1" t="s">
        <v>4039</v>
      </c>
      <c r="C4371" s="1" t="s">
        <v>4040</v>
      </c>
      <c r="D4371" s="22" t="str">
        <f>HYPERLINK("https://rhld.insurance.arkansas.gov/NPILookup?Npi=1629332416","1629332416")</f>
        <v>1629332416</v>
      </c>
      <c r="E4371" s="1" t="s">
        <v>16775</v>
      </c>
      <c r="F4371" s="2"/>
      <c r="G4371" s="2"/>
      <c r="H4371" s="2"/>
    </row>
    <row r="4372" spans="1:8" x14ac:dyDescent="0.25">
      <c r="A4372" s="1"/>
      <c r="B4372" s="1" t="s">
        <v>4039</v>
      </c>
      <c r="C4372" s="1" t="s">
        <v>4040</v>
      </c>
      <c r="D4372" s="22" t="str">
        <f>HYPERLINK("https://rhld.insurance.arkansas.gov/NPILookup?Npi=1629419213","1629419213")</f>
        <v>1629419213</v>
      </c>
      <c r="E4372" s="1" t="s">
        <v>673</v>
      </c>
      <c r="F4372" s="2"/>
      <c r="G4372" s="2"/>
      <c r="H4372" s="2"/>
    </row>
    <row r="4373" spans="1:8" x14ac:dyDescent="0.25">
      <c r="A4373" s="1"/>
      <c r="B4373" s="1" t="s">
        <v>4039</v>
      </c>
      <c r="C4373" s="1" t="s">
        <v>4040</v>
      </c>
      <c r="D4373" s="22" t="str">
        <f>HYPERLINK("https://rhld.insurance.arkansas.gov/NPILookup?Npi=1629539580","1629539580")</f>
        <v>1629539580</v>
      </c>
      <c r="E4373" s="1" t="s">
        <v>4109</v>
      </c>
      <c r="F4373" s="2"/>
      <c r="G4373" s="2"/>
      <c r="H4373" s="2"/>
    </row>
    <row r="4374" spans="1:8" x14ac:dyDescent="0.25">
      <c r="A4374" s="1"/>
      <c r="B4374" s="1" t="s">
        <v>4039</v>
      </c>
      <c r="C4374" s="1" t="s">
        <v>4040</v>
      </c>
      <c r="D4374" s="22" t="str">
        <f>HYPERLINK("https://rhld.insurance.arkansas.gov/NPILookup?Npi=1629602982","1629602982")</f>
        <v>1629602982</v>
      </c>
      <c r="E4374" s="1" t="s">
        <v>16776</v>
      </c>
      <c r="F4374" s="2"/>
      <c r="G4374" s="2"/>
      <c r="H4374" s="2"/>
    </row>
    <row r="4375" spans="1:8" x14ac:dyDescent="0.25">
      <c r="A4375" s="1"/>
      <c r="B4375" s="1" t="s">
        <v>4039</v>
      </c>
      <c r="C4375" s="1" t="s">
        <v>4040</v>
      </c>
      <c r="D4375" s="22" t="str">
        <f>HYPERLINK("https://rhld.insurance.arkansas.gov/NPILookup?Npi=1629717335","1629717335")</f>
        <v>1629717335</v>
      </c>
      <c r="E4375" s="1" t="s">
        <v>16777</v>
      </c>
      <c r="F4375" s="2"/>
      <c r="G4375" s="2"/>
      <c r="H4375" s="2"/>
    </row>
    <row r="4376" spans="1:8" x14ac:dyDescent="0.25">
      <c r="A4376" s="1"/>
      <c r="B4376" s="1" t="s">
        <v>4039</v>
      </c>
      <c r="C4376" s="1" t="s">
        <v>4040</v>
      </c>
      <c r="D4376" s="22" t="str">
        <f>HYPERLINK("https://rhld.insurance.arkansas.gov/NPILookup?Npi=1639064454","1639064454")</f>
        <v>1639064454</v>
      </c>
      <c r="E4376" s="1" t="s">
        <v>31378</v>
      </c>
      <c r="F4376" s="2"/>
      <c r="G4376" s="2"/>
      <c r="H4376" s="2"/>
    </row>
    <row r="4377" spans="1:8" x14ac:dyDescent="0.25">
      <c r="A4377" s="1"/>
      <c r="B4377" s="1" t="s">
        <v>4039</v>
      </c>
      <c r="C4377" s="1" t="s">
        <v>4040</v>
      </c>
      <c r="D4377" s="22" t="str">
        <f>HYPERLINK("https://rhld.insurance.arkansas.gov/NPILookup?Npi=1639101843","1639101843")</f>
        <v>1639101843</v>
      </c>
      <c r="E4377" s="1" t="s">
        <v>16778</v>
      </c>
      <c r="F4377" s="2"/>
      <c r="G4377" s="2"/>
      <c r="H4377" s="2"/>
    </row>
    <row r="4378" spans="1:8" x14ac:dyDescent="0.25">
      <c r="A4378" s="1"/>
      <c r="B4378" s="1" t="s">
        <v>4039</v>
      </c>
      <c r="C4378" s="1" t="s">
        <v>4040</v>
      </c>
      <c r="D4378" s="22" t="str">
        <f>HYPERLINK("https://rhld.insurance.arkansas.gov/NPILookup?Npi=1639186984","1639186984")</f>
        <v>1639186984</v>
      </c>
      <c r="E4378" s="1" t="s">
        <v>16779</v>
      </c>
      <c r="F4378" s="2"/>
      <c r="G4378" s="2"/>
      <c r="H4378" s="2"/>
    </row>
    <row r="4379" spans="1:8" x14ac:dyDescent="0.25">
      <c r="A4379" s="1"/>
      <c r="B4379" s="1" t="s">
        <v>4039</v>
      </c>
      <c r="C4379" s="1" t="s">
        <v>4040</v>
      </c>
      <c r="D4379" s="22" t="str">
        <f>HYPERLINK("https://rhld.insurance.arkansas.gov/NPILookup?Npi=1639207293","1639207293")</f>
        <v>1639207293</v>
      </c>
      <c r="E4379" s="1" t="s">
        <v>16780</v>
      </c>
      <c r="F4379" s="2"/>
      <c r="G4379" s="2"/>
      <c r="H4379" s="2"/>
    </row>
    <row r="4380" spans="1:8" x14ac:dyDescent="0.25">
      <c r="A4380" s="1"/>
      <c r="B4380" s="1" t="s">
        <v>4039</v>
      </c>
      <c r="C4380" s="1" t="s">
        <v>4040</v>
      </c>
      <c r="D4380" s="22" t="str">
        <f>HYPERLINK("https://rhld.insurance.arkansas.gov/NPILookup?Npi=1639216989","1639216989")</f>
        <v>1639216989</v>
      </c>
      <c r="E4380" s="1" t="s">
        <v>4110</v>
      </c>
      <c r="F4380" s="2"/>
      <c r="G4380" s="2"/>
      <c r="H4380" s="2"/>
    </row>
    <row r="4381" spans="1:8" x14ac:dyDescent="0.25">
      <c r="A4381" s="1"/>
      <c r="B4381" s="1" t="s">
        <v>4039</v>
      </c>
      <c r="C4381" s="1" t="s">
        <v>4040</v>
      </c>
      <c r="D4381" s="22" t="str">
        <f>HYPERLINK("https://rhld.insurance.arkansas.gov/NPILookup?Npi=1639230170","1639230170")</f>
        <v>1639230170</v>
      </c>
      <c r="E4381" s="1" t="s">
        <v>16781</v>
      </c>
      <c r="F4381" s="2"/>
      <c r="G4381" s="2"/>
      <c r="H4381" s="2"/>
    </row>
    <row r="4382" spans="1:8" x14ac:dyDescent="0.25">
      <c r="A4382" s="1"/>
      <c r="B4382" s="1" t="s">
        <v>4039</v>
      </c>
      <c r="C4382" s="1" t="s">
        <v>4040</v>
      </c>
      <c r="D4382" s="22" t="str">
        <f>HYPERLINK("https://rhld.insurance.arkansas.gov/NPILookup?Npi=1639248024","1639248024")</f>
        <v>1639248024</v>
      </c>
      <c r="E4382" s="1" t="s">
        <v>16782</v>
      </c>
      <c r="F4382" s="2"/>
      <c r="G4382" s="2"/>
      <c r="H4382" s="2"/>
    </row>
    <row r="4383" spans="1:8" x14ac:dyDescent="0.25">
      <c r="A4383" s="1"/>
      <c r="B4383" s="1" t="s">
        <v>4039</v>
      </c>
      <c r="C4383" s="1" t="s">
        <v>4040</v>
      </c>
      <c r="D4383" s="22" t="str">
        <f>HYPERLINK("https://rhld.insurance.arkansas.gov/NPILookup?Npi=1639289788","1639289788")</f>
        <v>1639289788</v>
      </c>
      <c r="E4383" s="1" t="s">
        <v>1000</v>
      </c>
      <c r="F4383" s="2"/>
      <c r="G4383" s="2"/>
      <c r="H4383" s="2"/>
    </row>
    <row r="4384" spans="1:8" x14ac:dyDescent="0.25">
      <c r="A4384" s="1"/>
      <c r="B4384" s="1" t="s">
        <v>4039</v>
      </c>
      <c r="C4384" s="1" t="s">
        <v>4040</v>
      </c>
      <c r="D4384" s="22" t="str">
        <f>HYPERLINK("https://rhld.insurance.arkansas.gov/NPILookup?Npi=1639293293","1639293293")</f>
        <v>1639293293</v>
      </c>
      <c r="E4384" s="1" t="s">
        <v>10091</v>
      </c>
      <c r="F4384" s="2"/>
      <c r="G4384" s="2"/>
      <c r="H4384" s="2"/>
    </row>
    <row r="4385" spans="1:8" x14ac:dyDescent="0.25">
      <c r="A4385" s="1"/>
      <c r="B4385" s="1" t="s">
        <v>4039</v>
      </c>
      <c r="C4385" s="1" t="s">
        <v>4040</v>
      </c>
      <c r="D4385" s="22" t="str">
        <f>HYPERLINK("https://rhld.insurance.arkansas.gov/NPILookup?Npi=1639589005","1639589005")</f>
        <v>1639589005</v>
      </c>
      <c r="E4385" s="1" t="s">
        <v>16783</v>
      </c>
      <c r="F4385" s="2"/>
      <c r="G4385" s="2"/>
      <c r="H4385" s="2"/>
    </row>
    <row r="4386" spans="1:8" x14ac:dyDescent="0.25">
      <c r="A4386" s="1"/>
      <c r="B4386" s="1" t="s">
        <v>4039</v>
      </c>
      <c r="C4386" s="1" t="s">
        <v>4040</v>
      </c>
      <c r="D4386" s="22" t="str">
        <f>HYPERLINK("https://rhld.insurance.arkansas.gov/NPILookup?Npi=1639608607","1639608607")</f>
        <v>1639608607</v>
      </c>
      <c r="E4386" s="1" t="s">
        <v>10092</v>
      </c>
      <c r="F4386" s="2"/>
      <c r="G4386" s="2"/>
      <c r="H4386" s="2"/>
    </row>
    <row r="4387" spans="1:8" x14ac:dyDescent="0.25">
      <c r="A4387" s="1"/>
      <c r="B4387" s="1" t="s">
        <v>4039</v>
      </c>
      <c r="C4387" s="1" t="s">
        <v>4040</v>
      </c>
      <c r="D4387" s="22" t="str">
        <f>HYPERLINK("https://rhld.insurance.arkansas.gov/NPILookup?Npi=1639741721","1639741721")</f>
        <v>1639741721</v>
      </c>
      <c r="E4387" s="1" t="s">
        <v>10093</v>
      </c>
      <c r="F4387" s="2"/>
      <c r="G4387" s="2"/>
      <c r="H4387" s="2"/>
    </row>
    <row r="4388" spans="1:8" x14ac:dyDescent="0.25">
      <c r="A4388" s="1"/>
      <c r="B4388" s="1" t="s">
        <v>4039</v>
      </c>
      <c r="C4388" s="1" t="s">
        <v>4040</v>
      </c>
      <c r="D4388" s="22" t="str">
        <f>HYPERLINK("https://rhld.insurance.arkansas.gov/NPILookup?Npi=1649287889","1649287889")</f>
        <v>1649287889</v>
      </c>
      <c r="E4388" s="1" t="s">
        <v>10094</v>
      </c>
      <c r="F4388" s="2"/>
      <c r="G4388" s="2"/>
      <c r="H4388" s="2"/>
    </row>
    <row r="4389" spans="1:8" x14ac:dyDescent="0.25">
      <c r="A4389" s="1"/>
      <c r="B4389" s="1" t="s">
        <v>4039</v>
      </c>
      <c r="C4389" s="1" t="s">
        <v>4040</v>
      </c>
      <c r="D4389" s="22" t="str">
        <f>HYPERLINK("https://rhld.insurance.arkansas.gov/NPILookup?Npi=1649311416","1649311416")</f>
        <v>1649311416</v>
      </c>
      <c r="E4389" s="1" t="s">
        <v>16784</v>
      </c>
      <c r="F4389" s="2"/>
      <c r="G4389" s="2"/>
      <c r="H4389" s="2"/>
    </row>
    <row r="4390" spans="1:8" x14ac:dyDescent="0.25">
      <c r="A4390" s="1"/>
      <c r="B4390" s="1" t="s">
        <v>4039</v>
      </c>
      <c r="C4390" s="1" t="s">
        <v>4040</v>
      </c>
      <c r="D4390" s="22" t="str">
        <f>HYPERLINK("https://rhld.insurance.arkansas.gov/NPILookup?Npi=1649347634","1649347634")</f>
        <v>1649347634</v>
      </c>
      <c r="E4390" s="1" t="s">
        <v>4112</v>
      </c>
      <c r="F4390" s="2"/>
      <c r="G4390" s="2"/>
      <c r="H4390" s="2"/>
    </row>
    <row r="4391" spans="1:8" x14ac:dyDescent="0.25">
      <c r="A4391" s="1"/>
      <c r="B4391" s="1" t="s">
        <v>4039</v>
      </c>
      <c r="C4391" s="1" t="s">
        <v>4040</v>
      </c>
      <c r="D4391" s="22" t="str">
        <f>HYPERLINK("https://rhld.insurance.arkansas.gov/NPILookup?Npi=1649391830","1649391830")</f>
        <v>1649391830</v>
      </c>
      <c r="E4391" s="1" t="s">
        <v>10095</v>
      </c>
      <c r="F4391" s="2"/>
      <c r="G4391" s="2"/>
      <c r="H4391" s="2"/>
    </row>
    <row r="4392" spans="1:8" x14ac:dyDescent="0.25">
      <c r="A4392" s="1"/>
      <c r="B4392" s="1" t="s">
        <v>4039</v>
      </c>
      <c r="C4392" s="1" t="s">
        <v>4040</v>
      </c>
      <c r="D4392" s="22" t="str">
        <f>HYPERLINK("https://rhld.insurance.arkansas.gov/NPILookup?Npi=1649401597","1649401597")</f>
        <v>1649401597</v>
      </c>
      <c r="E4392" s="1" t="s">
        <v>145</v>
      </c>
      <c r="F4392" s="2"/>
      <c r="G4392" s="2"/>
      <c r="H4392" s="2"/>
    </row>
    <row r="4393" spans="1:8" x14ac:dyDescent="0.25">
      <c r="A4393" s="1"/>
      <c r="B4393" s="1" t="s">
        <v>4039</v>
      </c>
      <c r="C4393" s="1" t="s">
        <v>4040</v>
      </c>
      <c r="D4393" s="22" t="str">
        <f>HYPERLINK("https://rhld.insurance.arkansas.gov/NPILookup?Npi=1649591256","1649591256")</f>
        <v>1649591256</v>
      </c>
      <c r="E4393" s="1" t="s">
        <v>10096</v>
      </c>
      <c r="F4393" s="2"/>
      <c r="G4393" s="2"/>
      <c r="H4393" s="2"/>
    </row>
    <row r="4394" spans="1:8" x14ac:dyDescent="0.25">
      <c r="A4394" s="1"/>
      <c r="B4394" s="1" t="s">
        <v>4039</v>
      </c>
      <c r="C4394" s="1" t="s">
        <v>4040</v>
      </c>
      <c r="D4394" s="22" t="str">
        <f>HYPERLINK("https://rhld.insurance.arkansas.gov/NPILookup?Npi=1649623281","1649623281")</f>
        <v>1649623281</v>
      </c>
      <c r="E4394" s="1" t="s">
        <v>16785</v>
      </c>
      <c r="F4394" s="2"/>
      <c r="G4394" s="2"/>
      <c r="H4394" s="2"/>
    </row>
    <row r="4395" spans="1:8" x14ac:dyDescent="0.25">
      <c r="A4395" s="1"/>
      <c r="B4395" s="1" t="s">
        <v>4039</v>
      </c>
      <c r="C4395" s="1" t="s">
        <v>4040</v>
      </c>
      <c r="D4395" s="22" t="str">
        <f>HYPERLINK("https://rhld.insurance.arkansas.gov/NPILookup?Npi=1649763723","1649763723")</f>
        <v>1649763723</v>
      </c>
      <c r="E4395" s="1" t="s">
        <v>16786</v>
      </c>
      <c r="F4395" s="2"/>
      <c r="G4395" s="2"/>
      <c r="H4395" s="2"/>
    </row>
    <row r="4396" spans="1:8" x14ac:dyDescent="0.25">
      <c r="A4396" s="1"/>
      <c r="B4396" s="1" t="s">
        <v>4039</v>
      </c>
      <c r="C4396" s="1" t="s">
        <v>4040</v>
      </c>
      <c r="D4396" s="22" t="str">
        <f>HYPERLINK("https://rhld.insurance.arkansas.gov/NPILookup?Npi=1649971110","1649971110")</f>
        <v>1649971110</v>
      </c>
      <c r="E4396" s="1" t="s">
        <v>16787</v>
      </c>
      <c r="F4396" s="2"/>
      <c r="G4396" s="2"/>
      <c r="H4396" s="2"/>
    </row>
    <row r="4397" spans="1:8" x14ac:dyDescent="0.25">
      <c r="A4397" s="1"/>
      <c r="B4397" s="1" t="s">
        <v>4039</v>
      </c>
      <c r="C4397" s="1" t="s">
        <v>4040</v>
      </c>
      <c r="D4397" s="22" t="str">
        <f>HYPERLINK("https://rhld.insurance.arkansas.gov/NPILookup?Npi=1659384238","1659384238")</f>
        <v>1659384238</v>
      </c>
      <c r="E4397" s="1" t="s">
        <v>2581</v>
      </c>
      <c r="F4397" s="2"/>
      <c r="G4397" s="2"/>
      <c r="H4397" s="2"/>
    </row>
    <row r="4398" spans="1:8" x14ac:dyDescent="0.25">
      <c r="A4398" s="1"/>
      <c r="B4398" s="1" t="s">
        <v>4039</v>
      </c>
      <c r="C4398" s="1" t="s">
        <v>4040</v>
      </c>
      <c r="D4398" s="22" t="str">
        <f>HYPERLINK("https://rhld.insurance.arkansas.gov/NPILookup?Npi=1659395648","1659395648")</f>
        <v>1659395648</v>
      </c>
      <c r="E4398" s="1" t="s">
        <v>3708</v>
      </c>
      <c r="F4398" s="2"/>
      <c r="G4398" s="2"/>
      <c r="H4398" s="2"/>
    </row>
    <row r="4399" spans="1:8" x14ac:dyDescent="0.25">
      <c r="A4399" s="1"/>
      <c r="B4399" s="1" t="s">
        <v>4039</v>
      </c>
      <c r="C4399" s="1" t="s">
        <v>4040</v>
      </c>
      <c r="D4399" s="22" t="str">
        <f>HYPERLINK("https://rhld.insurance.arkansas.gov/NPILookup?Npi=1659568921","1659568921")</f>
        <v>1659568921</v>
      </c>
      <c r="E4399" s="1" t="s">
        <v>4113</v>
      </c>
      <c r="F4399" s="2"/>
      <c r="G4399" s="2"/>
      <c r="H4399" s="2"/>
    </row>
    <row r="4400" spans="1:8" x14ac:dyDescent="0.25">
      <c r="A4400" s="1"/>
      <c r="B4400" s="1" t="s">
        <v>4039</v>
      </c>
      <c r="C4400" s="1" t="s">
        <v>4040</v>
      </c>
      <c r="D4400" s="22" t="str">
        <f>HYPERLINK("https://rhld.insurance.arkansas.gov/NPILookup?Npi=1659667251","1659667251")</f>
        <v>1659667251</v>
      </c>
      <c r="E4400" s="1" t="s">
        <v>10097</v>
      </c>
      <c r="F4400" s="2"/>
      <c r="G4400" s="2"/>
      <c r="H4400" s="2"/>
    </row>
    <row r="4401" spans="1:8" x14ac:dyDescent="0.25">
      <c r="A4401" s="1"/>
      <c r="B4401" s="1" t="s">
        <v>4039</v>
      </c>
      <c r="C4401" s="1" t="s">
        <v>4040</v>
      </c>
      <c r="D4401" s="22" t="str">
        <f>HYPERLINK("https://rhld.insurance.arkansas.gov/NPILookup?Npi=1659711497","1659711497")</f>
        <v>1659711497</v>
      </c>
      <c r="E4401" s="1" t="s">
        <v>16788</v>
      </c>
      <c r="F4401" s="2"/>
      <c r="G4401" s="2"/>
      <c r="H4401" s="2"/>
    </row>
    <row r="4402" spans="1:8" x14ac:dyDescent="0.25">
      <c r="A4402" s="1"/>
      <c r="B4402" s="1" t="s">
        <v>4039</v>
      </c>
      <c r="C4402" s="1" t="s">
        <v>4040</v>
      </c>
      <c r="D4402" s="22" t="str">
        <f>HYPERLINK("https://rhld.insurance.arkansas.gov/NPILookup?Npi=1659722106","1659722106")</f>
        <v>1659722106</v>
      </c>
      <c r="E4402" s="1" t="s">
        <v>10098</v>
      </c>
      <c r="F4402" s="2"/>
      <c r="G4402" s="2"/>
      <c r="H4402" s="2"/>
    </row>
    <row r="4403" spans="1:8" x14ac:dyDescent="0.25">
      <c r="A4403" s="1"/>
      <c r="B4403" s="1" t="s">
        <v>4039</v>
      </c>
      <c r="C4403" s="1" t="s">
        <v>4040</v>
      </c>
      <c r="D4403" s="22" t="str">
        <f>HYPERLINK("https://rhld.insurance.arkansas.gov/NPILookup?Npi=1669016796","1669016796")</f>
        <v>1669016796</v>
      </c>
      <c r="E4403" s="1" t="s">
        <v>10099</v>
      </c>
      <c r="F4403" s="2"/>
      <c r="G4403" s="2"/>
      <c r="H4403" s="2"/>
    </row>
    <row r="4404" spans="1:8" x14ac:dyDescent="0.25">
      <c r="A4404" s="1"/>
      <c r="B4404" s="1" t="s">
        <v>4039</v>
      </c>
      <c r="C4404" s="1" t="s">
        <v>4040</v>
      </c>
      <c r="D4404" s="22" t="str">
        <f>HYPERLINK("https://rhld.insurance.arkansas.gov/NPILookup?Npi=1669021564","1669021564")</f>
        <v>1669021564</v>
      </c>
      <c r="E4404" s="1" t="s">
        <v>829</v>
      </c>
      <c r="F4404" s="2"/>
      <c r="G4404" s="2"/>
      <c r="H4404" s="2"/>
    </row>
    <row r="4405" spans="1:8" x14ac:dyDescent="0.25">
      <c r="A4405" s="1"/>
      <c r="B4405" s="1" t="s">
        <v>4039</v>
      </c>
      <c r="C4405" s="1" t="s">
        <v>4040</v>
      </c>
      <c r="D4405" s="22" t="str">
        <f>HYPERLINK("https://rhld.insurance.arkansas.gov/NPILookup?Npi=1669482063","1669482063")</f>
        <v>1669482063</v>
      </c>
      <c r="E4405" s="1" t="s">
        <v>3731</v>
      </c>
      <c r="F4405" s="2"/>
      <c r="G4405" s="2"/>
      <c r="H4405" s="2"/>
    </row>
    <row r="4406" spans="1:8" x14ac:dyDescent="0.25">
      <c r="A4406" s="1"/>
      <c r="B4406" s="1" t="s">
        <v>4039</v>
      </c>
      <c r="C4406" s="1" t="s">
        <v>4040</v>
      </c>
      <c r="D4406" s="22" t="str">
        <f>HYPERLINK("https://rhld.insurance.arkansas.gov/NPILookup?Npi=1669501706","1669501706")</f>
        <v>1669501706</v>
      </c>
      <c r="E4406" s="1" t="s">
        <v>16789</v>
      </c>
      <c r="F4406" s="2"/>
      <c r="G4406" s="2"/>
      <c r="H4406" s="2"/>
    </row>
    <row r="4407" spans="1:8" x14ac:dyDescent="0.25">
      <c r="A4407" s="1"/>
      <c r="B4407" s="1" t="s">
        <v>4039</v>
      </c>
      <c r="C4407" s="1" t="s">
        <v>4040</v>
      </c>
      <c r="D4407" s="22" t="str">
        <f>HYPERLINK("https://rhld.insurance.arkansas.gov/NPILookup?Npi=1669586327","1669586327")</f>
        <v>1669586327</v>
      </c>
      <c r="E4407" s="1" t="s">
        <v>4114</v>
      </c>
      <c r="F4407" s="2"/>
      <c r="G4407" s="2"/>
      <c r="H4407" s="2"/>
    </row>
    <row r="4408" spans="1:8" x14ac:dyDescent="0.25">
      <c r="A4408" s="1"/>
      <c r="B4408" s="1" t="s">
        <v>4039</v>
      </c>
      <c r="C4408" s="1" t="s">
        <v>4040</v>
      </c>
      <c r="D4408" s="22" t="str">
        <f>HYPERLINK("https://rhld.insurance.arkansas.gov/NPILookup?Npi=1669631776","1669631776")</f>
        <v>1669631776</v>
      </c>
      <c r="E4408" s="1" t="s">
        <v>3709</v>
      </c>
      <c r="F4408" s="2"/>
      <c r="G4408" s="2"/>
      <c r="H4408" s="2"/>
    </row>
    <row r="4409" spans="1:8" x14ac:dyDescent="0.25">
      <c r="A4409" s="1"/>
      <c r="B4409" s="1" t="s">
        <v>4039</v>
      </c>
      <c r="C4409" s="1" t="s">
        <v>4040</v>
      </c>
      <c r="D4409" s="22" t="str">
        <f>HYPERLINK("https://rhld.insurance.arkansas.gov/NPILookup?Npi=1669632741","1669632741")</f>
        <v>1669632741</v>
      </c>
      <c r="E4409" s="1" t="s">
        <v>16790</v>
      </c>
      <c r="F4409" s="2"/>
      <c r="G4409" s="2"/>
      <c r="H4409" s="2"/>
    </row>
    <row r="4410" spans="1:8" x14ac:dyDescent="0.25">
      <c r="A4410" s="1"/>
      <c r="B4410" s="1" t="s">
        <v>4039</v>
      </c>
      <c r="C4410" s="1" t="s">
        <v>4040</v>
      </c>
      <c r="D4410" s="22" t="str">
        <f>HYPERLINK("https://rhld.insurance.arkansas.gov/NPILookup?Npi=1669677506","1669677506")</f>
        <v>1669677506</v>
      </c>
      <c r="E4410" s="1" t="s">
        <v>31379</v>
      </c>
      <c r="F4410" s="2"/>
      <c r="G4410" s="2"/>
      <c r="H4410" s="2"/>
    </row>
    <row r="4411" spans="1:8" x14ac:dyDescent="0.25">
      <c r="A4411" s="1"/>
      <c r="B4411" s="1" t="s">
        <v>4039</v>
      </c>
      <c r="C4411" s="1" t="s">
        <v>4040</v>
      </c>
      <c r="D4411" s="22" t="str">
        <f>HYPERLINK("https://rhld.insurance.arkansas.gov/NPILookup?Npi=1669736336","1669736336")</f>
        <v>1669736336</v>
      </c>
      <c r="E4411" s="1" t="s">
        <v>16791</v>
      </c>
      <c r="F4411" s="2"/>
      <c r="G4411" s="2"/>
      <c r="H4411" s="2"/>
    </row>
    <row r="4412" spans="1:8" x14ac:dyDescent="0.25">
      <c r="A4412" s="1"/>
      <c r="B4412" s="1" t="s">
        <v>4039</v>
      </c>
      <c r="C4412" s="1" t="s">
        <v>4040</v>
      </c>
      <c r="D4412" s="22" t="str">
        <f>HYPERLINK("https://rhld.insurance.arkansas.gov/NPILookup?Npi=1669766937","1669766937")</f>
        <v>1669766937</v>
      </c>
      <c r="E4412" s="1" t="s">
        <v>4115</v>
      </c>
      <c r="F4412" s="2"/>
      <c r="G4412" s="2"/>
      <c r="H4412" s="2"/>
    </row>
    <row r="4413" spans="1:8" x14ac:dyDescent="0.25">
      <c r="A4413" s="1"/>
      <c r="B4413" s="1" t="s">
        <v>4039</v>
      </c>
      <c r="C4413" s="1" t="s">
        <v>4040</v>
      </c>
      <c r="D4413" s="22" t="str">
        <f>HYPERLINK("https://rhld.insurance.arkansas.gov/NPILookup?Npi=1669786224","1669786224")</f>
        <v>1669786224</v>
      </c>
      <c r="E4413" s="1" t="s">
        <v>16792</v>
      </c>
      <c r="F4413" s="2"/>
      <c r="G4413" s="2"/>
      <c r="H4413" s="2"/>
    </row>
    <row r="4414" spans="1:8" x14ac:dyDescent="0.25">
      <c r="A4414" s="1"/>
      <c r="B4414" s="1" t="s">
        <v>4039</v>
      </c>
      <c r="C4414" s="1" t="s">
        <v>4040</v>
      </c>
      <c r="D4414" s="22" t="str">
        <f>HYPERLINK("https://rhld.insurance.arkansas.gov/NPILookup?Npi=1669827465","1669827465")</f>
        <v>1669827465</v>
      </c>
      <c r="E4414" s="1" t="s">
        <v>2349</v>
      </c>
      <c r="F4414" s="2"/>
      <c r="G4414" s="2"/>
      <c r="H4414" s="2"/>
    </row>
    <row r="4415" spans="1:8" x14ac:dyDescent="0.25">
      <c r="A4415" s="1"/>
      <c r="B4415" s="1" t="s">
        <v>4039</v>
      </c>
      <c r="C4415" s="1" t="s">
        <v>4040</v>
      </c>
      <c r="D4415" s="22" t="str">
        <f>HYPERLINK("https://rhld.insurance.arkansas.gov/NPILookup?Npi=1669854493","1669854493")</f>
        <v>1669854493</v>
      </c>
      <c r="E4415" s="1" t="s">
        <v>16793</v>
      </c>
      <c r="F4415" s="2"/>
      <c r="G4415" s="2"/>
      <c r="H4415" s="2"/>
    </row>
    <row r="4416" spans="1:8" x14ac:dyDescent="0.25">
      <c r="A4416" s="1"/>
      <c r="B4416" s="1" t="s">
        <v>4039</v>
      </c>
      <c r="C4416" s="1" t="s">
        <v>4040</v>
      </c>
      <c r="D4416" s="22" t="str">
        <f>HYPERLINK("https://rhld.insurance.arkansas.gov/NPILookup?Npi=1669908216","1669908216")</f>
        <v>1669908216</v>
      </c>
      <c r="E4416" s="1" t="s">
        <v>16794</v>
      </c>
      <c r="F4416" s="2"/>
      <c r="G4416" s="2"/>
      <c r="H4416" s="2"/>
    </row>
    <row r="4417" spans="1:8" x14ac:dyDescent="0.25">
      <c r="A4417" s="1"/>
      <c r="B4417" s="1" t="s">
        <v>4039</v>
      </c>
      <c r="C4417" s="1" t="s">
        <v>4040</v>
      </c>
      <c r="D4417" s="22" t="str">
        <f>HYPERLINK("https://rhld.insurance.arkansas.gov/NPILookup?Npi=1679003909","1679003909")</f>
        <v>1679003909</v>
      </c>
      <c r="E4417" s="1" t="s">
        <v>10100</v>
      </c>
      <c r="F4417" s="2"/>
      <c r="G4417" s="2"/>
      <c r="H4417" s="2"/>
    </row>
    <row r="4418" spans="1:8" x14ac:dyDescent="0.25">
      <c r="A4418" s="1"/>
      <c r="B4418" s="1" t="s">
        <v>4039</v>
      </c>
      <c r="C4418" s="1" t="s">
        <v>4040</v>
      </c>
      <c r="D4418" s="22" t="str">
        <f>HYPERLINK("https://rhld.insurance.arkansas.gov/NPILookup?Npi=1679167092","1679167092")</f>
        <v>1679167092</v>
      </c>
      <c r="E4418" s="1" t="s">
        <v>10101</v>
      </c>
      <c r="F4418" s="2"/>
      <c r="G4418" s="2"/>
      <c r="H4418" s="2"/>
    </row>
    <row r="4419" spans="1:8" x14ac:dyDescent="0.25">
      <c r="A4419" s="1"/>
      <c r="B4419" s="1" t="s">
        <v>4039</v>
      </c>
      <c r="C4419" s="1" t="s">
        <v>4040</v>
      </c>
      <c r="D4419" s="22" t="str">
        <f>HYPERLINK("https://rhld.insurance.arkansas.gov/NPILookup?Npi=1679191795","1679191795")</f>
        <v>1679191795</v>
      </c>
      <c r="E4419" s="1" t="s">
        <v>16795</v>
      </c>
      <c r="F4419" s="2"/>
      <c r="G4419" s="2"/>
      <c r="H4419" s="2"/>
    </row>
    <row r="4420" spans="1:8" x14ac:dyDescent="0.25">
      <c r="A4420" s="1"/>
      <c r="B4420" s="1" t="s">
        <v>4039</v>
      </c>
      <c r="C4420" s="1" t="s">
        <v>4040</v>
      </c>
      <c r="D4420" s="22" t="str">
        <f>HYPERLINK("https://rhld.insurance.arkansas.gov/NPILookup?Npi=1679202295","1679202295")</f>
        <v>1679202295</v>
      </c>
      <c r="E4420" s="1" t="s">
        <v>4116</v>
      </c>
      <c r="F4420" s="2"/>
      <c r="G4420" s="2"/>
      <c r="H4420" s="2"/>
    </row>
    <row r="4421" spans="1:8" x14ac:dyDescent="0.25">
      <c r="A4421" s="1"/>
      <c r="B4421" s="1" t="s">
        <v>4039</v>
      </c>
      <c r="C4421" s="1" t="s">
        <v>4040</v>
      </c>
      <c r="D4421" s="22" t="str">
        <f>HYPERLINK("https://rhld.insurance.arkansas.gov/NPILookup?Npi=1679317994","1679317994")</f>
        <v>1679317994</v>
      </c>
      <c r="E4421" s="1" t="s">
        <v>16796</v>
      </c>
      <c r="F4421" s="2"/>
      <c r="G4421" s="2"/>
      <c r="H4421" s="2"/>
    </row>
    <row r="4422" spans="1:8" x14ac:dyDescent="0.25">
      <c r="A4422" s="1"/>
      <c r="B4422" s="1" t="s">
        <v>4039</v>
      </c>
      <c r="C4422" s="1" t="s">
        <v>4040</v>
      </c>
      <c r="D4422" s="22" t="str">
        <f>HYPERLINK("https://rhld.insurance.arkansas.gov/NPILookup?Npi=1679341911","1679341911")</f>
        <v>1679341911</v>
      </c>
      <c r="E4422" s="1" t="s">
        <v>4117</v>
      </c>
      <c r="F4422" s="2"/>
      <c r="G4422" s="2"/>
      <c r="H4422" s="2"/>
    </row>
    <row r="4423" spans="1:8" x14ac:dyDescent="0.25">
      <c r="A4423" s="1"/>
      <c r="B4423" s="1" t="s">
        <v>4039</v>
      </c>
      <c r="C4423" s="1" t="s">
        <v>4040</v>
      </c>
      <c r="D4423" s="22" t="str">
        <f>HYPERLINK("https://rhld.insurance.arkansas.gov/NPILookup?Npi=1679622047","1679622047")</f>
        <v>1679622047</v>
      </c>
      <c r="E4423" s="1" t="s">
        <v>10102</v>
      </c>
      <c r="F4423" s="2"/>
      <c r="G4423" s="2"/>
      <c r="H4423" s="2"/>
    </row>
    <row r="4424" spans="1:8" x14ac:dyDescent="0.25">
      <c r="A4424" s="1"/>
      <c r="B4424" s="1" t="s">
        <v>4039</v>
      </c>
      <c r="C4424" s="1" t="s">
        <v>4040</v>
      </c>
      <c r="D4424" s="22" t="str">
        <f>HYPERLINK("https://rhld.insurance.arkansas.gov/NPILookup?Npi=1679659841","1679659841")</f>
        <v>1679659841</v>
      </c>
      <c r="E4424" s="1" t="s">
        <v>16797</v>
      </c>
      <c r="F4424" s="2"/>
      <c r="G4424" s="2"/>
      <c r="H4424" s="2"/>
    </row>
    <row r="4425" spans="1:8" x14ac:dyDescent="0.25">
      <c r="A4425" s="1"/>
      <c r="B4425" s="1" t="s">
        <v>4039</v>
      </c>
      <c r="C4425" s="1" t="s">
        <v>4040</v>
      </c>
      <c r="D4425" s="22" t="str">
        <f>HYPERLINK("https://rhld.insurance.arkansas.gov/NPILookup?Npi=1679687248","1679687248")</f>
        <v>1679687248</v>
      </c>
      <c r="E4425" s="1" t="s">
        <v>16798</v>
      </c>
      <c r="F4425" s="2"/>
      <c r="G4425" s="2"/>
      <c r="H4425" s="2"/>
    </row>
    <row r="4426" spans="1:8" x14ac:dyDescent="0.25">
      <c r="A4426" s="1"/>
      <c r="B4426" s="1" t="s">
        <v>4039</v>
      </c>
      <c r="C4426" s="1" t="s">
        <v>4040</v>
      </c>
      <c r="D4426" s="22" t="str">
        <f>HYPERLINK("https://rhld.insurance.arkansas.gov/NPILookup?Npi=1679788426","1679788426")</f>
        <v>1679788426</v>
      </c>
      <c r="E4426" s="1" t="s">
        <v>3732</v>
      </c>
      <c r="F4426" s="2"/>
      <c r="G4426" s="2"/>
      <c r="H4426" s="2"/>
    </row>
    <row r="4427" spans="1:8" x14ac:dyDescent="0.25">
      <c r="A4427" s="1"/>
      <c r="B4427" s="1" t="s">
        <v>4039</v>
      </c>
      <c r="C4427" s="1" t="s">
        <v>4040</v>
      </c>
      <c r="D4427" s="22" t="str">
        <f>HYPERLINK("https://rhld.insurance.arkansas.gov/NPILookup?Npi=1679799357","1679799357")</f>
        <v>1679799357</v>
      </c>
      <c r="E4427" s="1" t="s">
        <v>16799</v>
      </c>
      <c r="F4427" s="2"/>
      <c r="G4427" s="2"/>
      <c r="H4427" s="2"/>
    </row>
    <row r="4428" spans="1:8" x14ac:dyDescent="0.25">
      <c r="A4428" s="1"/>
      <c r="B4428" s="1" t="s">
        <v>4039</v>
      </c>
      <c r="C4428" s="1" t="s">
        <v>4040</v>
      </c>
      <c r="D4428" s="22" t="str">
        <f>HYPERLINK("https://rhld.insurance.arkansas.gov/NPILookup?Npi=1679910400","1679910400")</f>
        <v>1679910400</v>
      </c>
      <c r="E4428" s="1" t="s">
        <v>10104</v>
      </c>
      <c r="F4428" s="2"/>
      <c r="G4428" s="2"/>
      <c r="H4428" s="2"/>
    </row>
    <row r="4429" spans="1:8" x14ac:dyDescent="0.25">
      <c r="A4429" s="1"/>
      <c r="B4429" s="1" t="s">
        <v>4039</v>
      </c>
      <c r="C4429" s="1" t="s">
        <v>4040</v>
      </c>
      <c r="D4429" s="22" t="str">
        <f>HYPERLINK("https://rhld.insurance.arkansas.gov/NPILookup?Npi=1679912679","1679912679")</f>
        <v>1679912679</v>
      </c>
      <c r="E4429" s="1" t="s">
        <v>16800</v>
      </c>
      <c r="F4429" s="2"/>
      <c r="G4429" s="2"/>
      <c r="H4429" s="2"/>
    </row>
    <row r="4430" spans="1:8" x14ac:dyDescent="0.25">
      <c r="A4430" s="1"/>
      <c r="B4430" s="1" t="s">
        <v>4039</v>
      </c>
      <c r="C4430" s="1" t="s">
        <v>4040</v>
      </c>
      <c r="D4430" s="22" t="str">
        <f>HYPERLINK("https://rhld.insurance.arkansas.gov/NPILookup?Npi=1679955975","1679955975")</f>
        <v>1679955975</v>
      </c>
      <c r="E4430" s="1" t="s">
        <v>16801</v>
      </c>
      <c r="F4430" s="2"/>
      <c r="G4430" s="2"/>
      <c r="H4430" s="2"/>
    </row>
    <row r="4431" spans="1:8" x14ac:dyDescent="0.25">
      <c r="A4431" s="1"/>
      <c r="B4431" s="1" t="s">
        <v>4039</v>
      </c>
      <c r="C4431" s="1" t="s">
        <v>4040</v>
      </c>
      <c r="D4431" s="22" t="str">
        <f>HYPERLINK("https://rhld.insurance.arkansas.gov/NPILookup?Npi=1679967467","1679967467")</f>
        <v>1679967467</v>
      </c>
      <c r="E4431" s="1" t="s">
        <v>16802</v>
      </c>
      <c r="F4431" s="2"/>
      <c r="G4431" s="2"/>
      <c r="H4431" s="2"/>
    </row>
    <row r="4432" spans="1:8" x14ac:dyDescent="0.25">
      <c r="A4432" s="1"/>
      <c r="B4432" s="1" t="s">
        <v>4039</v>
      </c>
      <c r="C4432" s="1" t="s">
        <v>4040</v>
      </c>
      <c r="D4432" s="22" t="str">
        <f>HYPERLINK("https://rhld.insurance.arkansas.gov/NPILookup?Npi=1679973697","1679973697")</f>
        <v>1679973697</v>
      </c>
      <c r="E4432" s="1" t="s">
        <v>16803</v>
      </c>
      <c r="F4432" s="2"/>
      <c r="G4432" s="2"/>
      <c r="H4432" s="2"/>
    </row>
    <row r="4433" spans="1:8" x14ac:dyDescent="0.25">
      <c r="A4433" s="1"/>
      <c r="B4433" s="1" t="s">
        <v>4039</v>
      </c>
      <c r="C4433" s="1" t="s">
        <v>4040</v>
      </c>
      <c r="D4433" s="22" t="str">
        <f>HYPERLINK("https://rhld.insurance.arkansas.gov/NPILookup?Npi=1689045346","1689045346")</f>
        <v>1689045346</v>
      </c>
      <c r="E4433" s="1" t="s">
        <v>4118</v>
      </c>
      <c r="F4433" s="2"/>
      <c r="G4433" s="2"/>
      <c r="H4433" s="2"/>
    </row>
    <row r="4434" spans="1:8" x14ac:dyDescent="0.25">
      <c r="A4434" s="1"/>
      <c r="B4434" s="1" t="s">
        <v>4039</v>
      </c>
      <c r="C4434" s="1" t="s">
        <v>4040</v>
      </c>
      <c r="D4434" s="22" t="str">
        <f>HYPERLINK("https://rhld.insurance.arkansas.gov/NPILookup?Npi=1689057150","1689057150")</f>
        <v>1689057150</v>
      </c>
      <c r="E4434" s="1" t="s">
        <v>16804</v>
      </c>
      <c r="F4434" s="2"/>
      <c r="G4434" s="2"/>
      <c r="H4434" s="2"/>
    </row>
    <row r="4435" spans="1:8" x14ac:dyDescent="0.25">
      <c r="A4435" s="1"/>
      <c r="B4435" s="1" t="s">
        <v>4039</v>
      </c>
      <c r="C4435" s="1" t="s">
        <v>4040</v>
      </c>
      <c r="D4435" s="22" t="str">
        <f>HYPERLINK("https://rhld.insurance.arkansas.gov/NPILookup?Npi=1689103038","1689103038")</f>
        <v>1689103038</v>
      </c>
      <c r="E4435" s="1" t="s">
        <v>2584</v>
      </c>
      <c r="F4435" s="2"/>
      <c r="G4435" s="2"/>
      <c r="H4435" s="2"/>
    </row>
    <row r="4436" spans="1:8" x14ac:dyDescent="0.25">
      <c r="A4436" s="1"/>
      <c r="B4436" s="1" t="s">
        <v>4039</v>
      </c>
      <c r="C4436" s="1" t="s">
        <v>4040</v>
      </c>
      <c r="D4436" s="22" t="str">
        <f>HYPERLINK("https://rhld.insurance.arkansas.gov/NPILookup?Npi=1689129447","1689129447")</f>
        <v>1689129447</v>
      </c>
      <c r="E4436" s="1" t="s">
        <v>16805</v>
      </c>
      <c r="F4436" s="2"/>
      <c r="G4436" s="2"/>
      <c r="H4436" s="2"/>
    </row>
    <row r="4437" spans="1:8" x14ac:dyDescent="0.25">
      <c r="A4437" s="1"/>
      <c r="B4437" s="1" t="s">
        <v>4039</v>
      </c>
      <c r="C4437" s="1" t="s">
        <v>4040</v>
      </c>
      <c r="D4437" s="22" t="str">
        <f>HYPERLINK("https://rhld.insurance.arkansas.gov/NPILookup?Npi=1689167116","1689167116")</f>
        <v>1689167116</v>
      </c>
      <c r="E4437" s="1" t="s">
        <v>16806</v>
      </c>
      <c r="F4437" s="2"/>
      <c r="G4437" s="2"/>
      <c r="H4437" s="2"/>
    </row>
    <row r="4438" spans="1:8" x14ac:dyDescent="0.25">
      <c r="A4438" s="1"/>
      <c r="B4438" s="1" t="s">
        <v>4039</v>
      </c>
      <c r="C4438" s="1" t="s">
        <v>4040</v>
      </c>
      <c r="D4438" s="22" t="str">
        <f>HYPERLINK("https://rhld.insurance.arkansas.gov/NPILookup?Npi=1689167272","1689167272")</f>
        <v>1689167272</v>
      </c>
      <c r="E4438" s="1" t="s">
        <v>1730</v>
      </c>
      <c r="F4438" s="2"/>
      <c r="G4438" s="2"/>
      <c r="H4438" s="2"/>
    </row>
    <row r="4439" spans="1:8" x14ac:dyDescent="0.25">
      <c r="A4439" s="1"/>
      <c r="B4439" s="1" t="s">
        <v>4039</v>
      </c>
      <c r="C4439" s="1" t="s">
        <v>4040</v>
      </c>
      <c r="D4439" s="22" t="str">
        <f>HYPERLINK("https://rhld.insurance.arkansas.gov/NPILookup?Npi=1689190647","1689190647")</f>
        <v>1689190647</v>
      </c>
      <c r="E4439" s="1" t="s">
        <v>16807</v>
      </c>
      <c r="F4439" s="2"/>
      <c r="G4439" s="2"/>
      <c r="H4439" s="2"/>
    </row>
    <row r="4440" spans="1:8" x14ac:dyDescent="0.25">
      <c r="A4440" s="1"/>
      <c r="B4440" s="1" t="s">
        <v>4039</v>
      </c>
      <c r="C4440" s="1" t="s">
        <v>4040</v>
      </c>
      <c r="D4440" s="22" t="str">
        <f>HYPERLINK("https://rhld.insurance.arkansas.gov/NPILookup?Npi=1689305393","1689305393")</f>
        <v>1689305393</v>
      </c>
      <c r="E4440" s="1" t="s">
        <v>3710</v>
      </c>
      <c r="F4440" s="2"/>
      <c r="G4440" s="2"/>
      <c r="H4440" s="2"/>
    </row>
    <row r="4441" spans="1:8" x14ac:dyDescent="0.25">
      <c r="A4441" s="1"/>
      <c r="B4441" s="1" t="s">
        <v>4039</v>
      </c>
      <c r="C4441" s="1" t="s">
        <v>4040</v>
      </c>
      <c r="D4441" s="22" t="str">
        <f>HYPERLINK("https://rhld.insurance.arkansas.gov/NPILookup?Npi=1689407116","1689407116")</f>
        <v>1689407116</v>
      </c>
      <c r="E4441" s="1" t="s">
        <v>16808</v>
      </c>
      <c r="F4441" s="2"/>
      <c r="G4441" s="2"/>
      <c r="H4441" s="2"/>
    </row>
    <row r="4442" spans="1:8" x14ac:dyDescent="0.25">
      <c r="A4442" s="1"/>
      <c r="B4442" s="1" t="s">
        <v>4039</v>
      </c>
      <c r="C4442" s="1" t="s">
        <v>4040</v>
      </c>
      <c r="D4442" s="22" t="str">
        <f>HYPERLINK("https://rhld.insurance.arkansas.gov/NPILookup?Npi=1689424509","1689424509")</f>
        <v>1689424509</v>
      </c>
      <c r="E4442" s="1" t="s">
        <v>31380</v>
      </c>
      <c r="F4442" s="2"/>
      <c r="G4442" s="2"/>
      <c r="H4442" s="2"/>
    </row>
    <row r="4443" spans="1:8" x14ac:dyDescent="0.25">
      <c r="A4443" s="1"/>
      <c r="B4443" s="1" t="s">
        <v>4039</v>
      </c>
      <c r="C4443" s="1" t="s">
        <v>4040</v>
      </c>
      <c r="D4443" s="22" t="str">
        <f>HYPERLINK("https://rhld.insurance.arkansas.gov/NPILookup?Npi=1689569139","1689569139")</f>
        <v>1689569139</v>
      </c>
      <c r="E4443" s="1" t="s">
        <v>31381</v>
      </c>
      <c r="F4443" s="2"/>
      <c r="G4443" s="2"/>
      <c r="H4443" s="2"/>
    </row>
    <row r="4444" spans="1:8" x14ac:dyDescent="0.25">
      <c r="A4444" s="1"/>
      <c r="B4444" s="1" t="s">
        <v>4039</v>
      </c>
      <c r="C4444" s="1" t="s">
        <v>4040</v>
      </c>
      <c r="D4444" s="22" t="str">
        <f>HYPERLINK("https://rhld.insurance.arkansas.gov/NPILookup?Npi=1689601015","1689601015")</f>
        <v>1689601015</v>
      </c>
      <c r="E4444" s="1" t="s">
        <v>11507</v>
      </c>
      <c r="F4444" s="2"/>
      <c r="G4444" s="2"/>
      <c r="H4444" s="2"/>
    </row>
    <row r="4445" spans="1:8" x14ac:dyDescent="0.25">
      <c r="A4445" s="1"/>
      <c r="B4445" s="1" t="s">
        <v>4039</v>
      </c>
      <c r="C4445" s="1" t="s">
        <v>4040</v>
      </c>
      <c r="D4445" s="22" t="str">
        <f>HYPERLINK("https://rhld.insurance.arkansas.gov/NPILookup?Npi=1689626269","1689626269")</f>
        <v>1689626269</v>
      </c>
      <c r="E4445" s="1" t="s">
        <v>10105</v>
      </c>
      <c r="F4445" s="2"/>
      <c r="G4445" s="2"/>
      <c r="H4445" s="2"/>
    </row>
    <row r="4446" spans="1:8" x14ac:dyDescent="0.25">
      <c r="A4446" s="1"/>
      <c r="B4446" s="1" t="s">
        <v>4039</v>
      </c>
      <c r="C4446" s="1" t="s">
        <v>4040</v>
      </c>
      <c r="D4446" s="22" t="str">
        <f>HYPERLINK("https://rhld.insurance.arkansas.gov/NPILookup?Npi=1689687014","1689687014")</f>
        <v>1689687014</v>
      </c>
      <c r="E4446" s="1" t="s">
        <v>16809</v>
      </c>
      <c r="F4446" s="2"/>
      <c r="G4446" s="2"/>
      <c r="H4446" s="2"/>
    </row>
    <row r="4447" spans="1:8" x14ac:dyDescent="0.25">
      <c r="A4447" s="1"/>
      <c r="B4447" s="1" t="s">
        <v>4039</v>
      </c>
      <c r="C4447" s="1" t="s">
        <v>4040</v>
      </c>
      <c r="D4447" s="22" t="str">
        <f>HYPERLINK("https://rhld.insurance.arkansas.gov/NPILookup?Npi=1689687584","1689687584")</f>
        <v>1689687584</v>
      </c>
      <c r="E4447" s="1" t="s">
        <v>610</v>
      </c>
      <c r="F4447" s="2"/>
      <c r="G4447" s="2"/>
      <c r="H4447" s="2"/>
    </row>
    <row r="4448" spans="1:8" x14ac:dyDescent="0.25">
      <c r="A4448" s="1"/>
      <c r="B4448" s="1" t="s">
        <v>4039</v>
      </c>
      <c r="C4448" s="1" t="s">
        <v>4040</v>
      </c>
      <c r="D4448" s="22" t="str">
        <f>HYPERLINK("https://rhld.insurance.arkansas.gov/NPILookup?Npi=1689801243","1689801243")</f>
        <v>1689801243</v>
      </c>
      <c r="E4448" s="1" t="s">
        <v>16810</v>
      </c>
      <c r="F4448" s="2"/>
      <c r="G4448" s="2"/>
      <c r="H4448" s="2"/>
    </row>
    <row r="4449" spans="1:8" x14ac:dyDescent="0.25">
      <c r="A4449" s="1"/>
      <c r="B4449" s="1" t="s">
        <v>4039</v>
      </c>
      <c r="C4449" s="1" t="s">
        <v>4040</v>
      </c>
      <c r="D4449" s="22" t="str">
        <f>HYPERLINK("https://rhld.insurance.arkansas.gov/NPILookup?Npi=1689864498","1689864498")</f>
        <v>1689864498</v>
      </c>
      <c r="E4449" s="1" t="s">
        <v>1006</v>
      </c>
      <c r="F4449" s="2"/>
      <c r="G4449" s="2"/>
      <c r="H4449" s="2"/>
    </row>
    <row r="4450" spans="1:8" x14ac:dyDescent="0.25">
      <c r="A4450" s="1"/>
      <c r="B4450" s="1" t="s">
        <v>4039</v>
      </c>
      <c r="C4450" s="1" t="s">
        <v>4040</v>
      </c>
      <c r="D4450" s="22" t="str">
        <f>HYPERLINK("https://rhld.insurance.arkansas.gov/NPILookup?Npi=1689884306","1689884306")</f>
        <v>1689884306</v>
      </c>
      <c r="E4450" s="1" t="s">
        <v>529</v>
      </c>
      <c r="F4450" s="2"/>
      <c r="G4450" s="2"/>
      <c r="H4450" s="2"/>
    </row>
    <row r="4451" spans="1:8" x14ac:dyDescent="0.25">
      <c r="A4451" s="1"/>
      <c r="B4451" s="1" t="s">
        <v>4039</v>
      </c>
      <c r="C4451" s="1" t="s">
        <v>4040</v>
      </c>
      <c r="D4451" s="22" t="str">
        <f>HYPERLINK("https://rhld.insurance.arkansas.gov/NPILookup?Npi=1689898850","1689898850")</f>
        <v>1689898850</v>
      </c>
      <c r="E4451" s="1" t="s">
        <v>2350</v>
      </c>
      <c r="F4451" s="2"/>
      <c r="G4451" s="2"/>
      <c r="H4451" s="2"/>
    </row>
    <row r="4452" spans="1:8" x14ac:dyDescent="0.25">
      <c r="A4452" s="1"/>
      <c r="B4452" s="1" t="s">
        <v>4039</v>
      </c>
      <c r="C4452" s="1" t="s">
        <v>4040</v>
      </c>
      <c r="D4452" s="22" t="str">
        <f>HYPERLINK("https://rhld.insurance.arkansas.gov/NPILookup?Npi=1689974362","1689974362")</f>
        <v>1689974362</v>
      </c>
      <c r="E4452" s="1" t="s">
        <v>16811</v>
      </c>
      <c r="F4452" s="2"/>
      <c r="G4452" s="2"/>
      <c r="H4452" s="2"/>
    </row>
    <row r="4453" spans="1:8" x14ac:dyDescent="0.25">
      <c r="A4453" s="1"/>
      <c r="B4453" s="1" t="s">
        <v>4039</v>
      </c>
      <c r="C4453" s="1" t="s">
        <v>4040</v>
      </c>
      <c r="D4453" s="22" t="str">
        <f>HYPERLINK("https://rhld.insurance.arkansas.gov/NPILookup?Npi=1699094714","1699094714")</f>
        <v>1699094714</v>
      </c>
      <c r="E4453" s="1" t="s">
        <v>16812</v>
      </c>
      <c r="F4453" s="2"/>
      <c r="G4453" s="2"/>
      <c r="H4453" s="2"/>
    </row>
    <row r="4454" spans="1:8" x14ac:dyDescent="0.25">
      <c r="A4454" s="1"/>
      <c r="B4454" s="1" t="s">
        <v>4039</v>
      </c>
      <c r="C4454" s="1" t="s">
        <v>4040</v>
      </c>
      <c r="D4454" s="22" t="str">
        <f>HYPERLINK("https://rhld.insurance.arkansas.gov/NPILookup?Npi=1699096818","1699096818")</f>
        <v>1699096818</v>
      </c>
      <c r="E4454" s="1" t="s">
        <v>3711</v>
      </c>
      <c r="F4454" s="2"/>
      <c r="G4454" s="2"/>
      <c r="H4454" s="2"/>
    </row>
    <row r="4455" spans="1:8" x14ac:dyDescent="0.25">
      <c r="A4455" s="1"/>
      <c r="B4455" s="1" t="s">
        <v>4039</v>
      </c>
      <c r="C4455" s="1" t="s">
        <v>4040</v>
      </c>
      <c r="D4455" s="22" t="str">
        <f>HYPERLINK("https://rhld.insurance.arkansas.gov/NPILookup?Npi=1699155523","1699155523")</f>
        <v>1699155523</v>
      </c>
      <c r="E4455" s="1" t="s">
        <v>16813</v>
      </c>
      <c r="F4455" s="2"/>
      <c r="G4455" s="2"/>
      <c r="H4455" s="2"/>
    </row>
    <row r="4456" spans="1:8" x14ac:dyDescent="0.25">
      <c r="A4456" s="1"/>
      <c r="B4456" s="1" t="s">
        <v>4039</v>
      </c>
      <c r="C4456" s="1" t="s">
        <v>4040</v>
      </c>
      <c r="D4456" s="22" t="str">
        <f>HYPERLINK("https://rhld.insurance.arkansas.gov/NPILookup?Npi=1699178376","1699178376")</f>
        <v>1699178376</v>
      </c>
      <c r="E4456" s="1" t="s">
        <v>16814</v>
      </c>
      <c r="F4456" s="2"/>
      <c r="G4456" s="2"/>
      <c r="H4456" s="2"/>
    </row>
    <row r="4457" spans="1:8" x14ac:dyDescent="0.25">
      <c r="A4457" s="1"/>
      <c r="B4457" s="1" t="s">
        <v>4039</v>
      </c>
      <c r="C4457" s="1" t="s">
        <v>4040</v>
      </c>
      <c r="D4457" s="22" t="str">
        <f>HYPERLINK("https://rhld.insurance.arkansas.gov/NPILookup?Npi=1699181248","1699181248")</f>
        <v>1699181248</v>
      </c>
      <c r="E4457" s="1" t="s">
        <v>4119</v>
      </c>
      <c r="F4457" s="2"/>
      <c r="G4457" s="2"/>
      <c r="H4457" s="2"/>
    </row>
    <row r="4458" spans="1:8" x14ac:dyDescent="0.25">
      <c r="A4458" s="1"/>
      <c r="B4458" s="1" t="s">
        <v>4039</v>
      </c>
      <c r="C4458" s="1" t="s">
        <v>4040</v>
      </c>
      <c r="D4458" s="22" t="str">
        <f>HYPERLINK("https://rhld.insurance.arkansas.gov/NPILookup?Npi=1699188482","1699188482")</f>
        <v>1699188482</v>
      </c>
      <c r="E4458" s="1" t="s">
        <v>16815</v>
      </c>
      <c r="F4458" s="2"/>
      <c r="G4458" s="2"/>
      <c r="H4458" s="2"/>
    </row>
    <row r="4459" spans="1:8" x14ac:dyDescent="0.25">
      <c r="A4459" s="1"/>
      <c r="B4459" s="1" t="s">
        <v>4039</v>
      </c>
      <c r="C4459" s="1" t="s">
        <v>4040</v>
      </c>
      <c r="D4459" s="22" t="str">
        <f>HYPERLINK("https://rhld.insurance.arkansas.gov/NPILookup?Npi=1699205583","1699205583")</f>
        <v>1699205583</v>
      </c>
      <c r="E4459" s="1" t="s">
        <v>10107</v>
      </c>
      <c r="F4459" s="2"/>
      <c r="G4459" s="2"/>
      <c r="H4459" s="2"/>
    </row>
    <row r="4460" spans="1:8" x14ac:dyDescent="0.25">
      <c r="A4460" s="1"/>
      <c r="B4460" s="1" t="s">
        <v>4039</v>
      </c>
      <c r="C4460" s="1" t="s">
        <v>4040</v>
      </c>
      <c r="D4460" s="22" t="str">
        <f>HYPERLINK("https://rhld.insurance.arkansas.gov/NPILookup?Npi=1699266338","1699266338")</f>
        <v>1699266338</v>
      </c>
      <c r="E4460" s="1" t="s">
        <v>10108</v>
      </c>
      <c r="F4460" s="2"/>
      <c r="G4460" s="2"/>
      <c r="H4460" s="2"/>
    </row>
    <row r="4461" spans="1:8" x14ac:dyDescent="0.25">
      <c r="A4461" s="1"/>
      <c r="B4461" s="1" t="s">
        <v>4039</v>
      </c>
      <c r="C4461" s="1" t="s">
        <v>4040</v>
      </c>
      <c r="D4461" s="22" t="str">
        <f>HYPERLINK("https://rhld.insurance.arkansas.gov/NPILookup?Npi=1699295147","1699295147")</f>
        <v>1699295147</v>
      </c>
      <c r="E4461" s="1" t="s">
        <v>16816</v>
      </c>
      <c r="F4461" s="2"/>
      <c r="G4461" s="2"/>
      <c r="H4461" s="2"/>
    </row>
    <row r="4462" spans="1:8" x14ac:dyDescent="0.25">
      <c r="A4462" s="1"/>
      <c r="B4462" s="1" t="s">
        <v>4039</v>
      </c>
      <c r="C4462" s="1" t="s">
        <v>4040</v>
      </c>
      <c r="D4462" s="22" t="str">
        <f>HYPERLINK("https://rhld.insurance.arkansas.gov/NPILookup?Npi=1699419150","1699419150")</f>
        <v>1699419150</v>
      </c>
      <c r="E4462" s="1" t="s">
        <v>4120</v>
      </c>
      <c r="F4462" s="2"/>
      <c r="G4462" s="2"/>
      <c r="H4462" s="2"/>
    </row>
    <row r="4463" spans="1:8" x14ac:dyDescent="0.25">
      <c r="A4463" s="1"/>
      <c r="B4463" s="1" t="s">
        <v>4039</v>
      </c>
      <c r="C4463" s="1" t="s">
        <v>4040</v>
      </c>
      <c r="D4463" s="22" t="str">
        <f>HYPERLINK("https://rhld.insurance.arkansas.gov/NPILookup?Npi=1699707661","1699707661")</f>
        <v>1699707661</v>
      </c>
      <c r="E4463" s="1" t="s">
        <v>3361</v>
      </c>
      <c r="F4463" s="2"/>
      <c r="G4463" s="2"/>
      <c r="H4463" s="2"/>
    </row>
    <row r="4464" spans="1:8" x14ac:dyDescent="0.25">
      <c r="A4464" s="1"/>
      <c r="B4464" s="1" t="s">
        <v>4039</v>
      </c>
      <c r="C4464" s="1" t="s">
        <v>4040</v>
      </c>
      <c r="D4464" s="22" t="str">
        <f>HYPERLINK("https://rhld.insurance.arkansas.gov/NPILookup?Npi=1699757500","1699757500")</f>
        <v>1699757500</v>
      </c>
      <c r="E4464" s="1" t="s">
        <v>16817</v>
      </c>
      <c r="F4464" s="2"/>
      <c r="G4464" s="2"/>
      <c r="H4464" s="2"/>
    </row>
    <row r="4465" spans="1:8" x14ac:dyDescent="0.25">
      <c r="A4465" s="1"/>
      <c r="B4465" s="1" t="s">
        <v>4039</v>
      </c>
      <c r="C4465" s="1" t="s">
        <v>4040</v>
      </c>
      <c r="D4465" s="22" t="str">
        <f>HYPERLINK("https://rhld.insurance.arkansas.gov/NPILookup?Npi=1699759175","1699759175")</f>
        <v>1699759175</v>
      </c>
      <c r="E4465" s="1" t="s">
        <v>3411</v>
      </c>
      <c r="F4465" s="2"/>
      <c r="G4465" s="2"/>
      <c r="H4465" s="2"/>
    </row>
    <row r="4466" spans="1:8" x14ac:dyDescent="0.25">
      <c r="A4466" s="1"/>
      <c r="B4466" s="1" t="s">
        <v>4039</v>
      </c>
      <c r="C4466" s="1" t="s">
        <v>4040</v>
      </c>
      <c r="D4466" s="22" t="str">
        <f>HYPERLINK("https://rhld.insurance.arkansas.gov/NPILookup?Npi=1699782128","1699782128")</f>
        <v>1699782128</v>
      </c>
      <c r="E4466" s="1" t="s">
        <v>583</v>
      </c>
      <c r="F4466" s="2"/>
      <c r="G4466" s="2"/>
      <c r="H4466" s="2"/>
    </row>
    <row r="4467" spans="1:8" x14ac:dyDescent="0.25">
      <c r="A4467" s="1"/>
      <c r="B4467" s="1" t="s">
        <v>4039</v>
      </c>
      <c r="C4467" s="1" t="s">
        <v>4040</v>
      </c>
      <c r="D4467" s="22" t="str">
        <f>HYPERLINK("https://rhld.insurance.arkansas.gov/NPILookup?Npi=1699789172","1699789172")</f>
        <v>1699789172</v>
      </c>
      <c r="E4467" s="1" t="s">
        <v>10109</v>
      </c>
      <c r="F4467" s="2"/>
      <c r="G4467" s="2"/>
      <c r="H4467" s="2"/>
    </row>
    <row r="4468" spans="1:8" x14ac:dyDescent="0.25">
      <c r="A4468" s="1"/>
      <c r="B4468" s="1" t="s">
        <v>4039</v>
      </c>
      <c r="C4468" s="1" t="s">
        <v>4040</v>
      </c>
      <c r="D4468" s="22" t="str">
        <f>HYPERLINK("https://rhld.insurance.arkansas.gov/NPILookup?Npi=1699811539","1699811539")</f>
        <v>1699811539</v>
      </c>
      <c r="E4468" s="1" t="s">
        <v>502</v>
      </c>
      <c r="F4468" s="2"/>
      <c r="G4468" s="2"/>
      <c r="H4468" s="2"/>
    </row>
    <row r="4469" spans="1:8" x14ac:dyDescent="0.25">
      <c r="A4469" s="1"/>
      <c r="B4469" s="1" t="s">
        <v>4039</v>
      </c>
      <c r="C4469" s="1" t="s">
        <v>4040</v>
      </c>
      <c r="D4469" s="22" t="str">
        <f>HYPERLINK("https://rhld.insurance.arkansas.gov/NPILookup?Npi=1699823948","1699823948")</f>
        <v>1699823948</v>
      </c>
      <c r="E4469" s="1" t="s">
        <v>749</v>
      </c>
      <c r="F4469" s="2"/>
      <c r="G4469" s="2"/>
      <c r="H4469" s="2"/>
    </row>
    <row r="4470" spans="1:8" x14ac:dyDescent="0.25">
      <c r="A4470" s="1"/>
      <c r="B4470" s="1" t="s">
        <v>4039</v>
      </c>
      <c r="C4470" s="1" t="s">
        <v>4040</v>
      </c>
      <c r="D4470" s="22" t="str">
        <f>HYPERLINK("https://rhld.insurance.arkansas.gov/NPILookup?Npi=1699845834","1699845834")</f>
        <v>1699845834</v>
      </c>
      <c r="E4470" s="1" t="s">
        <v>16818</v>
      </c>
      <c r="F4470" s="2"/>
      <c r="G4470" s="2"/>
      <c r="H4470" s="2"/>
    </row>
    <row r="4471" spans="1:8" x14ac:dyDescent="0.25">
      <c r="A4471" s="1"/>
      <c r="B4471" s="1" t="s">
        <v>4039</v>
      </c>
      <c r="C4471" s="1" t="s">
        <v>4040</v>
      </c>
      <c r="D4471" s="22" t="str">
        <f>HYPERLINK("https://rhld.insurance.arkansas.gov/NPILookup?Npi=1699857383","1699857383")</f>
        <v>1699857383</v>
      </c>
      <c r="E4471" s="1" t="s">
        <v>16819</v>
      </c>
      <c r="F4471" s="2"/>
      <c r="G4471" s="2"/>
      <c r="H4471" s="2"/>
    </row>
    <row r="4472" spans="1:8" x14ac:dyDescent="0.25">
      <c r="A4472" s="1"/>
      <c r="B4472" s="1" t="s">
        <v>4039</v>
      </c>
      <c r="C4472" s="1" t="s">
        <v>4040</v>
      </c>
      <c r="D4472" s="22" t="str">
        <f>HYPERLINK("https://rhld.insurance.arkansas.gov/NPILookup?Npi=1699875294","1699875294")</f>
        <v>1699875294</v>
      </c>
      <c r="E4472" s="1" t="s">
        <v>2340</v>
      </c>
      <c r="F4472" s="2"/>
      <c r="G4472" s="2"/>
      <c r="H4472" s="2"/>
    </row>
    <row r="4473" spans="1:8" x14ac:dyDescent="0.25">
      <c r="A4473" s="1"/>
      <c r="B4473" s="1" t="s">
        <v>4039</v>
      </c>
      <c r="C4473" s="1" t="s">
        <v>4040</v>
      </c>
      <c r="D4473" s="22" t="str">
        <f>HYPERLINK("https://rhld.insurance.arkansas.gov/NPILookup?Npi=1699951996","1699951996")</f>
        <v>1699951996</v>
      </c>
      <c r="E4473" s="1" t="s">
        <v>16820</v>
      </c>
      <c r="F4473" s="2"/>
      <c r="G4473" s="2"/>
      <c r="H4473" s="2"/>
    </row>
    <row r="4474" spans="1:8" x14ac:dyDescent="0.25">
      <c r="A4474" s="1"/>
      <c r="B4474" s="1" t="s">
        <v>4039</v>
      </c>
      <c r="C4474" s="1" t="s">
        <v>4040</v>
      </c>
      <c r="D4474" s="22" t="str">
        <f>HYPERLINK("https://rhld.insurance.arkansas.gov/NPILookup?Npi=1700111440","1700111440")</f>
        <v>1700111440</v>
      </c>
      <c r="E4474" s="1" t="s">
        <v>16821</v>
      </c>
      <c r="F4474" s="2"/>
      <c r="G4474" s="2"/>
      <c r="H4474" s="2"/>
    </row>
    <row r="4475" spans="1:8" x14ac:dyDescent="0.25">
      <c r="A4475" s="1"/>
      <c r="B4475" s="1" t="s">
        <v>4039</v>
      </c>
      <c r="C4475" s="1" t="s">
        <v>4040</v>
      </c>
      <c r="D4475" s="22" t="str">
        <f>HYPERLINK("https://rhld.insurance.arkansas.gov/NPILookup?Npi=1700343001","1700343001")</f>
        <v>1700343001</v>
      </c>
      <c r="E4475" s="1" t="s">
        <v>10110</v>
      </c>
      <c r="F4475" s="2"/>
      <c r="G4475" s="2"/>
      <c r="H4475" s="2"/>
    </row>
    <row r="4476" spans="1:8" x14ac:dyDescent="0.25">
      <c r="A4476" s="1"/>
      <c r="B4476" s="1" t="s">
        <v>4039</v>
      </c>
      <c r="C4476" s="1" t="s">
        <v>4040</v>
      </c>
      <c r="D4476" s="22" t="str">
        <f>HYPERLINK("https://rhld.insurance.arkansas.gov/NPILookup?Npi=1700445038","1700445038")</f>
        <v>1700445038</v>
      </c>
      <c r="E4476" s="1" t="s">
        <v>1731</v>
      </c>
      <c r="F4476" s="2"/>
      <c r="G4476" s="2"/>
      <c r="H4476" s="2"/>
    </row>
    <row r="4477" spans="1:8" x14ac:dyDescent="0.25">
      <c r="A4477" s="1"/>
      <c r="B4477" s="1" t="s">
        <v>4039</v>
      </c>
      <c r="C4477" s="1" t="s">
        <v>4040</v>
      </c>
      <c r="D4477" s="22" t="str">
        <f>HYPERLINK("https://rhld.insurance.arkansas.gov/NPILookup?Npi=1700525276","1700525276")</f>
        <v>1700525276</v>
      </c>
      <c r="E4477" s="1" t="s">
        <v>4121</v>
      </c>
      <c r="F4477" s="2"/>
      <c r="G4477" s="2"/>
      <c r="H4477" s="2"/>
    </row>
    <row r="4478" spans="1:8" x14ac:dyDescent="0.25">
      <c r="A4478" s="1"/>
      <c r="B4478" s="1" t="s">
        <v>4039</v>
      </c>
      <c r="C4478" s="1" t="s">
        <v>4040</v>
      </c>
      <c r="D4478" s="22" t="str">
        <f>HYPERLINK("https://rhld.insurance.arkansas.gov/NPILookup?Npi=1700525284","1700525284")</f>
        <v>1700525284</v>
      </c>
      <c r="E4478" s="1" t="s">
        <v>2582</v>
      </c>
      <c r="F4478" s="2"/>
      <c r="G4478" s="2"/>
      <c r="H4478" s="2"/>
    </row>
    <row r="4479" spans="1:8" x14ac:dyDescent="0.25">
      <c r="A4479" s="1"/>
      <c r="B4479" s="1" t="s">
        <v>4039</v>
      </c>
      <c r="C4479" s="1" t="s">
        <v>4040</v>
      </c>
      <c r="D4479" s="22" t="str">
        <f>HYPERLINK("https://rhld.insurance.arkansas.gov/NPILookup?Npi=1700570140","1700570140")</f>
        <v>1700570140</v>
      </c>
      <c r="E4479" s="1" t="s">
        <v>16822</v>
      </c>
      <c r="F4479" s="2"/>
      <c r="G4479" s="2"/>
      <c r="H4479" s="2"/>
    </row>
    <row r="4480" spans="1:8" x14ac:dyDescent="0.25">
      <c r="A4480" s="1"/>
      <c r="B4480" s="1" t="s">
        <v>4039</v>
      </c>
      <c r="C4480" s="1" t="s">
        <v>4040</v>
      </c>
      <c r="D4480" s="22" t="str">
        <f>HYPERLINK("https://rhld.insurance.arkansas.gov/NPILookup?Npi=1700934874","1700934874")</f>
        <v>1700934874</v>
      </c>
      <c r="E4480" s="1" t="s">
        <v>16823</v>
      </c>
      <c r="F4480" s="2"/>
      <c r="G4480" s="2"/>
      <c r="H4480" s="2"/>
    </row>
    <row r="4481" spans="1:8" x14ac:dyDescent="0.25">
      <c r="A4481" s="1"/>
      <c r="B4481" s="1" t="s">
        <v>4039</v>
      </c>
      <c r="C4481" s="1" t="s">
        <v>4040</v>
      </c>
      <c r="D4481" s="22" t="str">
        <f>HYPERLINK("https://rhld.insurance.arkansas.gov/NPILookup?Npi=1700944824","1700944824")</f>
        <v>1700944824</v>
      </c>
      <c r="E4481" s="1" t="s">
        <v>16824</v>
      </c>
      <c r="F4481" s="2"/>
      <c r="G4481" s="2"/>
      <c r="H4481" s="2"/>
    </row>
    <row r="4482" spans="1:8" x14ac:dyDescent="0.25">
      <c r="A4482" s="1"/>
      <c r="B4482" s="1" t="s">
        <v>4039</v>
      </c>
      <c r="C4482" s="1" t="s">
        <v>4040</v>
      </c>
      <c r="D4482" s="22" t="str">
        <f>HYPERLINK("https://rhld.insurance.arkansas.gov/NPILookup?Npi=1700959079","1700959079")</f>
        <v>1700959079</v>
      </c>
      <c r="E4482" s="1" t="s">
        <v>16825</v>
      </c>
      <c r="F4482" s="2"/>
      <c r="G4482" s="2"/>
      <c r="H4482" s="2"/>
    </row>
    <row r="4483" spans="1:8" x14ac:dyDescent="0.25">
      <c r="A4483" s="1"/>
      <c r="B4483" s="1" t="s">
        <v>4039</v>
      </c>
      <c r="C4483" s="1" t="s">
        <v>4040</v>
      </c>
      <c r="D4483" s="22" t="str">
        <f>HYPERLINK("https://rhld.insurance.arkansas.gov/NPILookup?Npi=1710032479","1710032479")</f>
        <v>1710032479</v>
      </c>
      <c r="E4483" s="1" t="s">
        <v>16826</v>
      </c>
      <c r="F4483" s="2"/>
      <c r="G4483" s="2"/>
      <c r="H4483" s="2"/>
    </row>
    <row r="4484" spans="1:8" x14ac:dyDescent="0.25">
      <c r="A4484" s="1"/>
      <c r="B4484" s="1" t="s">
        <v>4039</v>
      </c>
      <c r="C4484" s="1" t="s">
        <v>4040</v>
      </c>
      <c r="D4484" s="22" t="str">
        <f>HYPERLINK("https://rhld.insurance.arkansas.gov/NPILookup?Npi=1710072277","1710072277")</f>
        <v>1710072277</v>
      </c>
      <c r="E4484" s="1" t="s">
        <v>10111</v>
      </c>
      <c r="F4484" s="2"/>
      <c r="G4484" s="2"/>
      <c r="H4484" s="2"/>
    </row>
    <row r="4485" spans="1:8" x14ac:dyDescent="0.25">
      <c r="A4485" s="1"/>
      <c r="B4485" s="1" t="s">
        <v>4039</v>
      </c>
      <c r="C4485" s="1" t="s">
        <v>4040</v>
      </c>
      <c r="D4485" s="22" t="str">
        <f>HYPERLINK("https://rhld.insurance.arkansas.gov/NPILookup?Npi=1710085907","1710085907")</f>
        <v>1710085907</v>
      </c>
      <c r="E4485" s="1" t="s">
        <v>1547</v>
      </c>
      <c r="F4485" s="2"/>
      <c r="G4485" s="2"/>
      <c r="H4485" s="2"/>
    </row>
    <row r="4486" spans="1:8" x14ac:dyDescent="0.25">
      <c r="A4486" s="1"/>
      <c r="B4486" s="1" t="s">
        <v>4039</v>
      </c>
      <c r="C4486" s="1" t="s">
        <v>4040</v>
      </c>
      <c r="D4486" s="22" t="str">
        <f>HYPERLINK("https://rhld.insurance.arkansas.gov/NPILookup?Npi=1710099387","1710099387")</f>
        <v>1710099387</v>
      </c>
      <c r="E4486" s="1" t="s">
        <v>16827</v>
      </c>
      <c r="F4486" s="2"/>
      <c r="G4486" s="2"/>
      <c r="H4486" s="2"/>
    </row>
    <row r="4487" spans="1:8" x14ac:dyDescent="0.25">
      <c r="A4487" s="1"/>
      <c r="B4487" s="1" t="s">
        <v>4039</v>
      </c>
      <c r="C4487" s="1" t="s">
        <v>4040</v>
      </c>
      <c r="D4487" s="22" t="str">
        <f>HYPERLINK("https://rhld.insurance.arkansas.gov/NPILookup?Npi=1710100896","1710100896")</f>
        <v>1710100896</v>
      </c>
      <c r="E4487" s="1" t="s">
        <v>10112</v>
      </c>
      <c r="F4487" s="2"/>
      <c r="G4487" s="2"/>
      <c r="H4487" s="2"/>
    </row>
    <row r="4488" spans="1:8" x14ac:dyDescent="0.25">
      <c r="A4488" s="1"/>
      <c r="B4488" s="1" t="s">
        <v>4039</v>
      </c>
      <c r="C4488" s="1" t="s">
        <v>4040</v>
      </c>
      <c r="D4488" s="22" t="str">
        <f>HYPERLINK("https://rhld.insurance.arkansas.gov/NPILookup?Npi=1710100995","1710100995")</f>
        <v>1710100995</v>
      </c>
      <c r="E4488" s="1" t="s">
        <v>16828</v>
      </c>
      <c r="F4488" s="2"/>
      <c r="G4488" s="2"/>
      <c r="H4488" s="2"/>
    </row>
    <row r="4489" spans="1:8" x14ac:dyDescent="0.25">
      <c r="A4489" s="1"/>
      <c r="B4489" s="1" t="s">
        <v>4039</v>
      </c>
      <c r="C4489" s="1" t="s">
        <v>4040</v>
      </c>
      <c r="D4489" s="22" t="str">
        <f>HYPERLINK("https://rhld.insurance.arkansas.gov/NPILookup?Npi=1710116934","1710116934")</f>
        <v>1710116934</v>
      </c>
      <c r="E4489" s="1" t="s">
        <v>816</v>
      </c>
      <c r="F4489" s="2"/>
      <c r="G4489" s="2"/>
      <c r="H4489" s="2"/>
    </row>
    <row r="4490" spans="1:8" x14ac:dyDescent="0.25">
      <c r="A4490" s="1"/>
      <c r="B4490" s="1" t="s">
        <v>4039</v>
      </c>
      <c r="C4490" s="1" t="s">
        <v>4040</v>
      </c>
      <c r="D4490" s="22" t="str">
        <f>HYPERLINK("https://rhld.insurance.arkansas.gov/NPILookup?Npi=1710149521","1710149521")</f>
        <v>1710149521</v>
      </c>
      <c r="E4490" s="1" t="s">
        <v>674</v>
      </c>
      <c r="F4490" s="2"/>
      <c r="G4490" s="2"/>
      <c r="H4490" s="2"/>
    </row>
    <row r="4491" spans="1:8" x14ac:dyDescent="0.25">
      <c r="A4491" s="1"/>
      <c r="B4491" s="1" t="s">
        <v>4039</v>
      </c>
      <c r="C4491" s="1" t="s">
        <v>4040</v>
      </c>
      <c r="D4491" s="22" t="str">
        <f>HYPERLINK("https://rhld.insurance.arkansas.gov/NPILookup?Npi=1710214200","1710214200")</f>
        <v>1710214200</v>
      </c>
      <c r="E4491" s="1" t="s">
        <v>1732</v>
      </c>
      <c r="F4491" s="2"/>
      <c r="G4491" s="2"/>
      <c r="H4491" s="2"/>
    </row>
    <row r="4492" spans="1:8" x14ac:dyDescent="0.25">
      <c r="A4492" s="1"/>
      <c r="B4492" s="1" t="s">
        <v>4039</v>
      </c>
      <c r="C4492" s="1" t="s">
        <v>4040</v>
      </c>
      <c r="D4492" s="22" t="str">
        <f>HYPERLINK("https://rhld.insurance.arkansas.gov/NPILookup?Npi=1710253539","1710253539")</f>
        <v>1710253539</v>
      </c>
      <c r="E4492" s="1" t="s">
        <v>1550</v>
      </c>
      <c r="F4492" s="2"/>
      <c r="G4492" s="2"/>
      <c r="H4492" s="2"/>
    </row>
    <row r="4493" spans="1:8" x14ac:dyDescent="0.25">
      <c r="A4493" s="1"/>
      <c r="B4493" s="1" t="s">
        <v>4039</v>
      </c>
      <c r="C4493" s="1" t="s">
        <v>4040</v>
      </c>
      <c r="D4493" s="22" t="str">
        <f>HYPERLINK("https://rhld.insurance.arkansas.gov/NPILookup?Npi=1710310032","1710310032")</f>
        <v>1710310032</v>
      </c>
      <c r="E4493" s="1" t="s">
        <v>1189</v>
      </c>
      <c r="F4493" s="2"/>
      <c r="G4493" s="2"/>
      <c r="H4493" s="2"/>
    </row>
    <row r="4494" spans="1:8" x14ac:dyDescent="0.25">
      <c r="A4494" s="1"/>
      <c r="B4494" s="1" t="s">
        <v>4039</v>
      </c>
      <c r="C4494" s="1" t="s">
        <v>4040</v>
      </c>
      <c r="D4494" s="22" t="str">
        <f>HYPERLINK("https://rhld.insurance.arkansas.gov/NPILookup?Npi=1710393517","1710393517")</f>
        <v>1710393517</v>
      </c>
      <c r="E4494" s="1" t="s">
        <v>16829</v>
      </c>
      <c r="F4494" s="2"/>
      <c r="G4494" s="2"/>
      <c r="H4494" s="2"/>
    </row>
    <row r="4495" spans="1:8" x14ac:dyDescent="0.25">
      <c r="A4495" s="1"/>
      <c r="B4495" s="1" t="s">
        <v>4039</v>
      </c>
      <c r="C4495" s="1" t="s">
        <v>4040</v>
      </c>
      <c r="D4495" s="22" t="str">
        <f>HYPERLINK("https://rhld.insurance.arkansas.gov/NPILookup?Npi=1710413745","1710413745")</f>
        <v>1710413745</v>
      </c>
      <c r="E4495" s="1" t="s">
        <v>16830</v>
      </c>
      <c r="F4495" s="2"/>
      <c r="G4495" s="2"/>
      <c r="H4495" s="2"/>
    </row>
    <row r="4496" spans="1:8" x14ac:dyDescent="0.25">
      <c r="A4496" s="1"/>
      <c r="B4496" s="1" t="s">
        <v>4039</v>
      </c>
      <c r="C4496" s="1" t="s">
        <v>4040</v>
      </c>
      <c r="D4496" s="22" t="str">
        <f>HYPERLINK("https://rhld.insurance.arkansas.gov/NPILookup?Npi=1720029200","1720029200")</f>
        <v>1720029200</v>
      </c>
      <c r="E4496" s="1" t="s">
        <v>1939</v>
      </c>
      <c r="F4496" s="2"/>
      <c r="G4496" s="2"/>
      <c r="H4496" s="2"/>
    </row>
    <row r="4497" spans="1:8" x14ac:dyDescent="0.25">
      <c r="A4497" s="1"/>
      <c r="B4497" s="1" t="s">
        <v>4039</v>
      </c>
      <c r="C4497" s="1" t="s">
        <v>4040</v>
      </c>
      <c r="D4497" s="22" t="str">
        <f>HYPERLINK("https://rhld.insurance.arkansas.gov/NPILookup?Npi=1720082373","1720082373")</f>
        <v>1720082373</v>
      </c>
      <c r="E4497" s="1" t="s">
        <v>10113</v>
      </c>
      <c r="F4497" s="2"/>
      <c r="G4497" s="2"/>
      <c r="H4497" s="2"/>
    </row>
    <row r="4498" spans="1:8" x14ac:dyDescent="0.25">
      <c r="A4498" s="1"/>
      <c r="B4498" s="1" t="s">
        <v>4039</v>
      </c>
      <c r="C4498" s="1" t="s">
        <v>4040</v>
      </c>
      <c r="D4498" s="22" t="str">
        <f>HYPERLINK("https://rhld.insurance.arkansas.gov/NPILookup?Npi=1720093479","1720093479")</f>
        <v>1720093479</v>
      </c>
      <c r="E4498" s="1" t="s">
        <v>10114</v>
      </c>
      <c r="F4498" s="2"/>
      <c r="G4498" s="2"/>
      <c r="H4498" s="2"/>
    </row>
    <row r="4499" spans="1:8" x14ac:dyDescent="0.25">
      <c r="A4499" s="1"/>
      <c r="B4499" s="1" t="s">
        <v>4039</v>
      </c>
      <c r="C4499" s="1" t="s">
        <v>4040</v>
      </c>
      <c r="D4499" s="22" t="str">
        <f>HYPERLINK("https://rhld.insurance.arkansas.gov/NPILookup?Npi=1720093578","1720093578")</f>
        <v>1720093578</v>
      </c>
      <c r="E4499" s="1" t="s">
        <v>16831</v>
      </c>
      <c r="F4499" s="2"/>
      <c r="G4499" s="2"/>
      <c r="H4499" s="2"/>
    </row>
    <row r="4500" spans="1:8" x14ac:dyDescent="0.25">
      <c r="A4500" s="1"/>
      <c r="B4500" s="1" t="s">
        <v>4039</v>
      </c>
      <c r="C4500" s="1" t="s">
        <v>4040</v>
      </c>
      <c r="D4500" s="22" t="str">
        <f>HYPERLINK("https://rhld.insurance.arkansas.gov/NPILookup?Npi=1720094766","1720094766")</f>
        <v>1720094766</v>
      </c>
      <c r="E4500" s="1" t="s">
        <v>10115</v>
      </c>
      <c r="F4500" s="2"/>
      <c r="G4500" s="2"/>
      <c r="H4500" s="2"/>
    </row>
    <row r="4501" spans="1:8" x14ac:dyDescent="0.25">
      <c r="A4501" s="1"/>
      <c r="B4501" s="1" t="s">
        <v>4039</v>
      </c>
      <c r="C4501" s="1" t="s">
        <v>4040</v>
      </c>
      <c r="D4501" s="22" t="str">
        <f>HYPERLINK("https://rhld.insurance.arkansas.gov/NPILookup?Npi=1720098999","1720098999")</f>
        <v>1720098999</v>
      </c>
      <c r="E4501" s="1" t="s">
        <v>16832</v>
      </c>
      <c r="F4501" s="2"/>
      <c r="G4501" s="2"/>
      <c r="H4501" s="2"/>
    </row>
    <row r="4502" spans="1:8" x14ac:dyDescent="0.25">
      <c r="A4502" s="1"/>
      <c r="B4502" s="1" t="s">
        <v>4039</v>
      </c>
      <c r="C4502" s="1" t="s">
        <v>4040</v>
      </c>
      <c r="D4502" s="22" t="str">
        <f>HYPERLINK("https://rhld.insurance.arkansas.gov/NPILookup?Npi=1720113202","1720113202")</f>
        <v>1720113202</v>
      </c>
      <c r="E4502" s="1" t="s">
        <v>530</v>
      </c>
      <c r="F4502" s="2"/>
      <c r="G4502" s="2"/>
      <c r="H4502" s="2"/>
    </row>
    <row r="4503" spans="1:8" x14ac:dyDescent="0.25">
      <c r="A4503" s="1"/>
      <c r="B4503" s="1" t="s">
        <v>4039</v>
      </c>
      <c r="C4503" s="1" t="s">
        <v>4040</v>
      </c>
      <c r="D4503" s="22" t="str">
        <f>HYPERLINK("https://rhld.insurance.arkansas.gov/NPILookup?Npi=1720146525","1720146525")</f>
        <v>1720146525</v>
      </c>
      <c r="E4503" s="1" t="s">
        <v>16833</v>
      </c>
      <c r="F4503" s="2"/>
      <c r="G4503" s="2"/>
      <c r="H4503" s="2"/>
    </row>
    <row r="4504" spans="1:8" x14ac:dyDescent="0.25">
      <c r="A4504" s="1"/>
      <c r="B4504" s="1" t="s">
        <v>4039</v>
      </c>
      <c r="C4504" s="1" t="s">
        <v>4040</v>
      </c>
      <c r="D4504" s="22" t="str">
        <f>HYPERLINK("https://rhld.insurance.arkansas.gov/NPILookup?Npi=1720146590","1720146590")</f>
        <v>1720146590</v>
      </c>
      <c r="E4504" s="1" t="s">
        <v>465</v>
      </c>
      <c r="F4504" s="2"/>
      <c r="G4504" s="2"/>
      <c r="H4504" s="2"/>
    </row>
    <row r="4505" spans="1:8" x14ac:dyDescent="0.25">
      <c r="A4505" s="1"/>
      <c r="B4505" s="1" t="s">
        <v>4039</v>
      </c>
      <c r="C4505" s="1" t="s">
        <v>4040</v>
      </c>
      <c r="D4505" s="22" t="str">
        <f>HYPERLINK("https://rhld.insurance.arkansas.gov/NPILookup?Npi=1720182884","1720182884")</f>
        <v>1720182884</v>
      </c>
      <c r="E4505" s="1" t="s">
        <v>16834</v>
      </c>
      <c r="F4505" s="2"/>
      <c r="G4505" s="2"/>
      <c r="H4505" s="2"/>
    </row>
    <row r="4506" spans="1:8" x14ac:dyDescent="0.25">
      <c r="A4506" s="1"/>
      <c r="B4506" s="1" t="s">
        <v>4039</v>
      </c>
      <c r="C4506" s="1" t="s">
        <v>4040</v>
      </c>
      <c r="D4506" s="22" t="str">
        <f>HYPERLINK("https://rhld.insurance.arkansas.gov/NPILookup?Npi=1720240591","1720240591")</f>
        <v>1720240591</v>
      </c>
      <c r="E4506" s="1" t="s">
        <v>555</v>
      </c>
      <c r="F4506" s="2"/>
      <c r="G4506" s="2"/>
      <c r="H4506" s="2"/>
    </row>
    <row r="4507" spans="1:8" x14ac:dyDescent="0.25">
      <c r="A4507" s="1"/>
      <c r="B4507" s="1" t="s">
        <v>4039</v>
      </c>
      <c r="C4507" s="1" t="s">
        <v>4040</v>
      </c>
      <c r="D4507" s="22" t="str">
        <f>HYPERLINK("https://rhld.insurance.arkansas.gov/NPILookup?Npi=1720242167","1720242167")</f>
        <v>1720242167</v>
      </c>
      <c r="E4507" s="1" t="s">
        <v>16835</v>
      </c>
      <c r="F4507" s="2"/>
      <c r="G4507" s="2"/>
      <c r="H4507" s="2"/>
    </row>
    <row r="4508" spans="1:8" x14ac:dyDescent="0.25">
      <c r="A4508" s="1"/>
      <c r="B4508" s="1" t="s">
        <v>4039</v>
      </c>
      <c r="C4508" s="1" t="s">
        <v>4040</v>
      </c>
      <c r="D4508" s="22" t="str">
        <f>HYPERLINK("https://rhld.insurance.arkansas.gov/NPILookup?Npi=1720251424","1720251424")</f>
        <v>1720251424</v>
      </c>
      <c r="E4508" s="1" t="s">
        <v>10116</v>
      </c>
      <c r="F4508" s="2"/>
      <c r="G4508" s="2"/>
      <c r="H4508" s="2"/>
    </row>
    <row r="4509" spans="1:8" x14ac:dyDescent="0.25">
      <c r="A4509" s="1"/>
      <c r="B4509" s="1" t="s">
        <v>4039</v>
      </c>
      <c r="C4509" s="1" t="s">
        <v>4040</v>
      </c>
      <c r="D4509" s="22" t="str">
        <f>HYPERLINK("https://rhld.insurance.arkansas.gov/NPILookup?Npi=1720403801","1720403801")</f>
        <v>1720403801</v>
      </c>
      <c r="E4509" s="1" t="s">
        <v>1733</v>
      </c>
      <c r="F4509" s="2"/>
      <c r="G4509" s="2"/>
      <c r="H4509" s="2"/>
    </row>
    <row r="4510" spans="1:8" x14ac:dyDescent="0.25">
      <c r="A4510" s="1"/>
      <c r="B4510" s="1" t="s">
        <v>4039</v>
      </c>
      <c r="C4510" s="1" t="s">
        <v>4040</v>
      </c>
      <c r="D4510" s="22" t="str">
        <f>HYPERLINK("https://rhld.insurance.arkansas.gov/NPILookup?Npi=1720410806","1720410806")</f>
        <v>1720410806</v>
      </c>
      <c r="E4510" s="1" t="s">
        <v>16836</v>
      </c>
      <c r="F4510" s="2"/>
      <c r="G4510" s="2"/>
      <c r="H4510" s="2"/>
    </row>
    <row r="4511" spans="1:8" x14ac:dyDescent="0.25">
      <c r="A4511" s="1"/>
      <c r="B4511" s="1" t="s">
        <v>4039</v>
      </c>
      <c r="C4511" s="1" t="s">
        <v>4040</v>
      </c>
      <c r="D4511" s="22" t="str">
        <f>HYPERLINK("https://rhld.insurance.arkansas.gov/NPILookup?Npi=1720429269","1720429269")</f>
        <v>1720429269</v>
      </c>
      <c r="E4511" s="1" t="s">
        <v>16837</v>
      </c>
      <c r="F4511" s="2"/>
      <c r="G4511" s="2"/>
      <c r="H4511" s="2"/>
    </row>
    <row r="4512" spans="1:8" x14ac:dyDescent="0.25">
      <c r="A4512" s="1"/>
      <c r="B4512" s="1" t="s">
        <v>4039</v>
      </c>
      <c r="C4512" s="1" t="s">
        <v>4040</v>
      </c>
      <c r="D4512" s="22" t="str">
        <f>HYPERLINK("https://rhld.insurance.arkansas.gov/NPILookup?Npi=1720439169","1720439169")</f>
        <v>1720439169</v>
      </c>
      <c r="E4512" s="1" t="s">
        <v>16838</v>
      </c>
      <c r="F4512" s="2"/>
      <c r="G4512" s="2"/>
      <c r="H4512" s="2"/>
    </row>
    <row r="4513" spans="1:8" x14ac:dyDescent="0.25">
      <c r="A4513" s="1"/>
      <c r="B4513" s="1" t="s">
        <v>4039</v>
      </c>
      <c r="C4513" s="1" t="s">
        <v>4040</v>
      </c>
      <c r="D4513" s="22" t="str">
        <f>HYPERLINK("https://rhld.insurance.arkansas.gov/NPILookup?Npi=1720579873","1720579873")</f>
        <v>1720579873</v>
      </c>
      <c r="E4513" s="1" t="s">
        <v>16839</v>
      </c>
      <c r="F4513" s="2"/>
      <c r="G4513" s="2"/>
      <c r="H4513" s="2"/>
    </row>
    <row r="4514" spans="1:8" x14ac:dyDescent="0.25">
      <c r="A4514" s="1"/>
      <c r="B4514" s="1" t="s">
        <v>4039</v>
      </c>
      <c r="C4514" s="1" t="s">
        <v>4040</v>
      </c>
      <c r="D4514" s="22" t="str">
        <f>HYPERLINK("https://rhld.insurance.arkansas.gov/NPILookup?Npi=1720596737","1720596737")</f>
        <v>1720596737</v>
      </c>
      <c r="E4514" s="1" t="s">
        <v>4122</v>
      </c>
      <c r="F4514" s="2"/>
      <c r="G4514" s="2"/>
      <c r="H4514" s="2"/>
    </row>
    <row r="4515" spans="1:8" x14ac:dyDescent="0.25">
      <c r="A4515" s="1"/>
      <c r="B4515" s="1" t="s">
        <v>4039</v>
      </c>
      <c r="C4515" s="1" t="s">
        <v>4040</v>
      </c>
      <c r="D4515" s="22" t="str">
        <f>HYPERLINK("https://rhld.insurance.arkansas.gov/NPILookup?Npi=1720717267","1720717267")</f>
        <v>1720717267</v>
      </c>
      <c r="E4515" s="1" t="s">
        <v>4123</v>
      </c>
      <c r="F4515" s="2"/>
      <c r="G4515" s="2"/>
      <c r="H4515" s="2"/>
    </row>
    <row r="4516" spans="1:8" x14ac:dyDescent="0.25">
      <c r="A4516" s="1"/>
      <c r="B4516" s="1" t="s">
        <v>4039</v>
      </c>
      <c r="C4516" s="1" t="s">
        <v>4040</v>
      </c>
      <c r="D4516" s="22" t="str">
        <f>HYPERLINK("https://rhld.insurance.arkansas.gov/NPILookup?Npi=1720816788","1720816788")</f>
        <v>1720816788</v>
      </c>
      <c r="E4516" s="1" t="s">
        <v>31382</v>
      </c>
      <c r="F4516" s="2"/>
      <c r="G4516" s="2"/>
      <c r="H4516" s="2"/>
    </row>
    <row r="4517" spans="1:8" x14ac:dyDescent="0.25">
      <c r="A4517" s="1"/>
      <c r="B4517" s="1" t="s">
        <v>4039</v>
      </c>
      <c r="C4517" s="1" t="s">
        <v>4040</v>
      </c>
      <c r="D4517" s="22" t="str">
        <f>HYPERLINK("https://rhld.insurance.arkansas.gov/NPILookup?Npi=1730268020","1730268020")</f>
        <v>1730268020</v>
      </c>
      <c r="E4517" s="1" t="s">
        <v>16840</v>
      </c>
      <c r="F4517" s="2"/>
      <c r="G4517" s="2"/>
      <c r="H4517" s="2"/>
    </row>
    <row r="4518" spans="1:8" x14ac:dyDescent="0.25">
      <c r="A4518" s="1"/>
      <c r="B4518" s="1" t="s">
        <v>4039</v>
      </c>
      <c r="C4518" s="1" t="s">
        <v>4040</v>
      </c>
      <c r="D4518" s="22" t="str">
        <f>HYPERLINK("https://rhld.insurance.arkansas.gov/NPILookup?Npi=1730282047","1730282047")</f>
        <v>1730282047</v>
      </c>
      <c r="E4518" s="1" t="s">
        <v>16841</v>
      </c>
      <c r="F4518" s="2"/>
      <c r="G4518" s="2"/>
      <c r="H4518" s="2"/>
    </row>
    <row r="4519" spans="1:8" x14ac:dyDescent="0.25">
      <c r="A4519" s="1"/>
      <c r="B4519" s="1" t="s">
        <v>4039</v>
      </c>
      <c r="C4519" s="1" t="s">
        <v>4040</v>
      </c>
      <c r="D4519" s="22" t="str">
        <f>HYPERLINK("https://rhld.insurance.arkansas.gov/NPILookup?Npi=1730283334","1730283334")</f>
        <v>1730283334</v>
      </c>
      <c r="E4519" s="1" t="s">
        <v>599</v>
      </c>
      <c r="F4519" s="2"/>
      <c r="G4519" s="2"/>
      <c r="H4519" s="2"/>
    </row>
    <row r="4520" spans="1:8" x14ac:dyDescent="0.25">
      <c r="A4520" s="1"/>
      <c r="B4520" s="1" t="s">
        <v>4039</v>
      </c>
      <c r="C4520" s="1" t="s">
        <v>4040</v>
      </c>
      <c r="D4520" s="22" t="str">
        <f>HYPERLINK("https://rhld.insurance.arkansas.gov/NPILookup?Npi=1730299587","1730299587")</f>
        <v>1730299587</v>
      </c>
      <c r="E4520" s="1" t="s">
        <v>16842</v>
      </c>
      <c r="F4520" s="2"/>
      <c r="G4520" s="2"/>
      <c r="H4520" s="2"/>
    </row>
    <row r="4521" spans="1:8" x14ac:dyDescent="0.25">
      <c r="A4521" s="1"/>
      <c r="B4521" s="1" t="s">
        <v>4039</v>
      </c>
      <c r="C4521" s="1" t="s">
        <v>4040</v>
      </c>
      <c r="D4521" s="22" t="str">
        <f>HYPERLINK("https://rhld.insurance.arkansas.gov/NPILookup?Npi=1730400326","1730400326")</f>
        <v>1730400326</v>
      </c>
      <c r="E4521" s="1" t="s">
        <v>531</v>
      </c>
      <c r="F4521" s="2"/>
      <c r="G4521" s="2"/>
      <c r="H4521" s="2"/>
    </row>
    <row r="4522" spans="1:8" x14ac:dyDescent="0.25">
      <c r="A4522" s="1"/>
      <c r="B4522" s="1" t="s">
        <v>4039</v>
      </c>
      <c r="C4522" s="1" t="s">
        <v>4040</v>
      </c>
      <c r="D4522" s="22" t="str">
        <f>HYPERLINK("https://rhld.insurance.arkansas.gov/NPILookup?Npi=1730525809","1730525809")</f>
        <v>1730525809</v>
      </c>
      <c r="E4522" s="1" t="s">
        <v>16843</v>
      </c>
      <c r="F4522" s="2"/>
      <c r="G4522" s="2"/>
      <c r="H4522" s="2"/>
    </row>
    <row r="4523" spans="1:8" x14ac:dyDescent="0.25">
      <c r="A4523" s="1"/>
      <c r="B4523" s="1" t="s">
        <v>4039</v>
      </c>
      <c r="C4523" s="1" t="s">
        <v>4040</v>
      </c>
      <c r="D4523" s="22" t="str">
        <f>HYPERLINK("https://rhld.insurance.arkansas.gov/NPILookup?Npi=1730685306","1730685306")</f>
        <v>1730685306</v>
      </c>
      <c r="E4523" s="1" t="s">
        <v>16844</v>
      </c>
      <c r="F4523" s="2"/>
      <c r="G4523" s="2"/>
      <c r="H4523" s="2"/>
    </row>
    <row r="4524" spans="1:8" x14ac:dyDescent="0.25">
      <c r="A4524" s="1"/>
      <c r="B4524" s="1" t="s">
        <v>4039</v>
      </c>
      <c r="C4524" s="1" t="s">
        <v>4040</v>
      </c>
      <c r="D4524" s="22" t="str">
        <f>HYPERLINK("https://rhld.insurance.arkansas.gov/NPILookup?Npi=1730685868","1730685868")</f>
        <v>1730685868</v>
      </c>
      <c r="E4524" s="1" t="s">
        <v>16845</v>
      </c>
      <c r="F4524" s="2"/>
      <c r="G4524" s="2"/>
      <c r="H4524" s="2"/>
    </row>
    <row r="4525" spans="1:8" x14ac:dyDescent="0.25">
      <c r="A4525" s="1"/>
      <c r="B4525" s="1" t="s">
        <v>4039</v>
      </c>
      <c r="C4525" s="1" t="s">
        <v>4040</v>
      </c>
      <c r="D4525" s="22" t="str">
        <f>HYPERLINK("https://rhld.insurance.arkansas.gov/NPILookup?Npi=1730797341","1730797341")</f>
        <v>1730797341</v>
      </c>
      <c r="E4525" s="1" t="s">
        <v>4124</v>
      </c>
      <c r="F4525" s="2"/>
      <c r="G4525" s="2"/>
      <c r="H4525" s="2"/>
    </row>
    <row r="4526" spans="1:8" x14ac:dyDescent="0.25">
      <c r="A4526" s="1"/>
      <c r="B4526" s="1" t="s">
        <v>4039</v>
      </c>
      <c r="C4526" s="1" t="s">
        <v>4040</v>
      </c>
      <c r="D4526" s="22" t="str">
        <f>HYPERLINK("https://rhld.insurance.arkansas.gov/NPILookup?Npi=1730812702","1730812702")</f>
        <v>1730812702</v>
      </c>
      <c r="E4526" s="1" t="s">
        <v>16846</v>
      </c>
      <c r="F4526" s="2"/>
      <c r="G4526" s="2"/>
      <c r="H4526" s="2"/>
    </row>
    <row r="4527" spans="1:8" x14ac:dyDescent="0.25">
      <c r="A4527" s="1"/>
      <c r="B4527" s="1" t="s">
        <v>4039</v>
      </c>
      <c r="C4527" s="1" t="s">
        <v>4040</v>
      </c>
      <c r="D4527" s="22" t="str">
        <f>HYPERLINK("https://rhld.insurance.arkansas.gov/NPILookup?Npi=1730921511","1730921511")</f>
        <v>1730921511</v>
      </c>
      <c r="E4527" s="1" t="s">
        <v>16847</v>
      </c>
      <c r="F4527" s="2"/>
      <c r="G4527" s="2"/>
      <c r="H4527" s="2"/>
    </row>
    <row r="4528" spans="1:8" x14ac:dyDescent="0.25">
      <c r="A4528" s="1"/>
      <c r="B4528" s="1" t="s">
        <v>4039</v>
      </c>
      <c r="C4528" s="1" t="s">
        <v>4040</v>
      </c>
      <c r="D4528" s="22" t="str">
        <f>HYPERLINK("https://rhld.insurance.arkansas.gov/NPILookup?Npi=1740020338","1740020338")</f>
        <v>1740020338</v>
      </c>
      <c r="E4528" s="1" t="s">
        <v>16848</v>
      </c>
      <c r="F4528" s="2"/>
      <c r="G4528" s="2"/>
      <c r="H4528" s="2"/>
    </row>
    <row r="4529" spans="1:8" x14ac:dyDescent="0.25">
      <c r="A4529" s="1"/>
      <c r="B4529" s="1" t="s">
        <v>4039</v>
      </c>
      <c r="C4529" s="1" t="s">
        <v>4040</v>
      </c>
      <c r="D4529" s="22" t="str">
        <f>HYPERLINK("https://rhld.insurance.arkansas.gov/NPILookup?Npi=1740296631","1740296631")</f>
        <v>1740296631</v>
      </c>
      <c r="E4529" s="1" t="s">
        <v>584</v>
      </c>
      <c r="F4529" s="2"/>
      <c r="G4529" s="2"/>
      <c r="H4529" s="2"/>
    </row>
    <row r="4530" spans="1:8" x14ac:dyDescent="0.25">
      <c r="A4530" s="1"/>
      <c r="B4530" s="1" t="s">
        <v>4039</v>
      </c>
      <c r="C4530" s="1" t="s">
        <v>4040</v>
      </c>
      <c r="D4530" s="22" t="str">
        <f>HYPERLINK("https://rhld.insurance.arkansas.gov/NPILookup?Npi=1740297365","1740297365")</f>
        <v>1740297365</v>
      </c>
      <c r="E4530" s="1" t="s">
        <v>16849</v>
      </c>
      <c r="F4530" s="2"/>
      <c r="G4530" s="2"/>
      <c r="H4530" s="2"/>
    </row>
    <row r="4531" spans="1:8" x14ac:dyDescent="0.25">
      <c r="A4531" s="1"/>
      <c r="B4531" s="1" t="s">
        <v>4039</v>
      </c>
      <c r="C4531" s="1" t="s">
        <v>4040</v>
      </c>
      <c r="D4531" s="22" t="str">
        <f>HYPERLINK("https://rhld.insurance.arkansas.gov/NPILookup?Npi=1740328046","1740328046")</f>
        <v>1740328046</v>
      </c>
      <c r="E4531" s="1" t="s">
        <v>585</v>
      </c>
      <c r="F4531" s="2"/>
      <c r="G4531" s="2"/>
      <c r="H4531" s="2"/>
    </row>
    <row r="4532" spans="1:8" x14ac:dyDescent="0.25">
      <c r="A4532" s="1"/>
      <c r="B4532" s="1" t="s">
        <v>4039</v>
      </c>
      <c r="C4532" s="1" t="s">
        <v>4040</v>
      </c>
      <c r="D4532" s="22" t="str">
        <f>HYPERLINK("https://rhld.insurance.arkansas.gov/NPILookup?Npi=1740331917","1740331917")</f>
        <v>1740331917</v>
      </c>
      <c r="E4532" s="1" t="s">
        <v>16850</v>
      </c>
      <c r="F4532" s="2"/>
      <c r="G4532" s="2"/>
      <c r="H4532" s="2"/>
    </row>
    <row r="4533" spans="1:8" x14ac:dyDescent="0.25">
      <c r="A4533" s="1"/>
      <c r="B4533" s="1" t="s">
        <v>4039</v>
      </c>
      <c r="C4533" s="1" t="s">
        <v>4040</v>
      </c>
      <c r="D4533" s="22" t="str">
        <f>HYPERLINK("https://rhld.insurance.arkansas.gov/NPILookup?Npi=1740344944","1740344944")</f>
        <v>1740344944</v>
      </c>
      <c r="E4533" s="1" t="s">
        <v>586</v>
      </c>
      <c r="F4533" s="2"/>
      <c r="G4533" s="2"/>
      <c r="H4533" s="2"/>
    </row>
    <row r="4534" spans="1:8" x14ac:dyDescent="0.25">
      <c r="A4534" s="1"/>
      <c r="B4534" s="1" t="s">
        <v>4039</v>
      </c>
      <c r="C4534" s="1" t="s">
        <v>4040</v>
      </c>
      <c r="D4534" s="22" t="str">
        <f>HYPERLINK("https://rhld.insurance.arkansas.gov/NPILookup?Npi=1740385202","1740385202")</f>
        <v>1740385202</v>
      </c>
      <c r="E4534" s="1" t="s">
        <v>16851</v>
      </c>
      <c r="F4534" s="2"/>
      <c r="G4534" s="2"/>
      <c r="H4534" s="2"/>
    </row>
    <row r="4535" spans="1:8" x14ac:dyDescent="0.25">
      <c r="A4535" s="1"/>
      <c r="B4535" s="1" t="s">
        <v>4039</v>
      </c>
      <c r="C4535" s="1" t="s">
        <v>4040</v>
      </c>
      <c r="D4535" s="22" t="str">
        <f>HYPERLINK("https://rhld.insurance.arkansas.gov/NPILookup?Npi=1740453240","1740453240")</f>
        <v>1740453240</v>
      </c>
      <c r="E4535" s="1" t="s">
        <v>16852</v>
      </c>
      <c r="F4535" s="2"/>
      <c r="G4535" s="2"/>
      <c r="H4535" s="2"/>
    </row>
    <row r="4536" spans="1:8" x14ac:dyDescent="0.25">
      <c r="A4536" s="1"/>
      <c r="B4536" s="1" t="s">
        <v>4039</v>
      </c>
      <c r="C4536" s="1" t="s">
        <v>4040</v>
      </c>
      <c r="D4536" s="22" t="str">
        <f>HYPERLINK("https://rhld.insurance.arkansas.gov/NPILookup?Npi=1740508217","1740508217")</f>
        <v>1740508217</v>
      </c>
      <c r="E4536" s="1" t="s">
        <v>600</v>
      </c>
      <c r="F4536" s="2"/>
      <c r="G4536" s="2"/>
      <c r="H4536" s="2"/>
    </row>
    <row r="4537" spans="1:8" x14ac:dyDescent="0.25">
      <c r="A4537" s="1"/>
      <c r="B4537" s="1" t="s">
        <v>4039</v>
      </c>
      <c r="C4537" s="1" t="s">
        <v>4040</v>
      </c>
      <c r="D4537" s="22" t="str">
        <f>HYPERLINK("https://rhld.insurance.arkansas.gov/NPILookup?Npi=1740594456","1740594456")</f>
        <v>1740594456</v>
      </c>
      <c r="E4537" s="1" t="s">
        <v>16853</v>
      </c>
      <c r="F4537" s="2"/>
      <c r="G4537" s="2"/>
      <c r="H4537" s="2"/>
    </row>
    <row r="4538" spans="1:8" x14ac:dyDescent="0.25">
      <c r="A4538" s="1"/>
      <c r="B4538" s="1" t="s">
        <v>4039</v>
      </c>
      <c r="C4538" s="1" t="s">
        <v>4040</v>
      </c>
      <c r="D4538" s="22" t="str">
        <f>HYPERLINK("https://rhld.insurance.arkansas.gov/NPILookup?Npi=1740742105","1740742105")</f>
        <v>1740742105</v>
      </c>
      <c r="E4538" s="1" t="s">
        <v>16854</v>
      </c>
      <c r="F4538" s="2"/>
      <c r="G4538" s="2"/>
      <c r="H4538" s="2"/>
    </row>
    <row r="4539" spans="1:8" x14ac:dyDescent="0.25">
      <c r="A4539" s="1"/>
      <c r="B4539" s="1" t="s">
        <v>4039</v>
      </c>
      <c r="C4539" s="1" t="s">
        <v>4040</v>
      </c>
      <c r="D4539" s="22" t="str">
        <f>HYPERLINK("https://rhld.insurance.arkansas.gov/NPILookup?Npi=1740754753","1740754753")</f>
        <v>1740754753</v>
      </c>
      <c r="E4539" s="1" t="s">
        <v>16855</v>
      </c>
      <c r="F4539" s="2"/>
      <c r="G4539" s="2"/>
      <c r="H4539" s="2"/>
    </row>
    <row r="4540" spans="1:8" x14ac:dyDescent="0.25">
      <c r="A4540" s="1"/>
      <c r="B4540" s="1" t="s">
        <v>4039</v>
      </c>
      <c r="C4540" s="1" t="s">
        <v>4040</v>
      </c>
      <c r="D4540" s="22" t="str">
        <f>HYPERLINK("https://rhld.insurance.arkansas.gov/NPILookup?Npi=1740835529","1740835529")</f>
        <v>1740835529</v>
      </c>
      <c r="E4540" s="1" t="s">
        <v>16856</v>
      </c>
      <c r="F4540" s="2"/>
      <c r="G4540" s="2"/>
      <c r="H4540" s="2"/>
    </row>
    <row r="4541" spans="1:8" x14ac:dyDescent="0.25">
      <c r="A4541" s="1"/>
      <c r="B4541" s="1" t="s">
        <v>4039</v>
      </c>
      <c r="C4541" s="1" t="s">
        <v>4040</v>
      </c>
      <c r="D4541" s="22" t="str">
        <f>HYPERLINK("https://rhld.insurance.arkansas.gov/NPILookup?Npi=1740845734","1740845734")</f>
        <v>1740845734</v>
      </c>
      <c r="E4541" s="1" t="s">
        <v>16857</v>
      </c>
      <c r="F4541" s="2"/>
      <c r="G4541" s="2"/>
      <c r="H4541" s="2"/>
    </row>
    <row r="4542" spans="1:8" x14ac:dyDescent="0.25">
      <c r="A4542" s="1"/>
      <c r="B4542" s="1" t="s">
        <v>4039</v>
      </c>
      <c r="C4542" s="1" t="s">
        <v>4040</v>
      </c>
      <c r="D4542" s="22" t="str">
        <f>HYPERLINK("https://rhld.insurance.arkansas.gov/NPILookup?Npi=1740950575","1740950575")</f>
        <v>1740950575</v>
      </c>
      <c r="E4542" s="1" t="s">
        <v>16858</v>
      </c>
      <c r="F4542" s="2"/>
      <c r="G4542" s="2"/>
      <c r="H4542" s="2"/>
    </row>
    <row r="4543" spans="1:8" x14ac:dyDescent="0.25">
      <c r="A4543" s="1"/>
      <c r="B4543" s="1" t="s">
        <v>4039</v>
      </c>
      <c r="C4543" s="1" t="s">
        <v>4040</v>
      </c>
      <c r="D4543" s="22" t="str">
        <f>HYPERLINK("https://rhld.insurance.arkansas.gov/NPILookup?Npi=1750125399","1750125399")</f>
        <v>1750125399</v>
      </c>
      <c r="E4543" s="1" t="s">
        <v>31383</v>
      </c>
      <c r="F4543" s="2"/>
      <c r="G4543" s="2"/>
      <c r="H4543" s="2"/>
    </row>
    <row r="4544" spans="1:8" x14ac:dyDescent="0.25">
      <c r="A4544" s="1"/>
      <c r="B4544" s="1" t="s">
        <v>4039</v>
      </c>
      <c r="C4544" s="1" t="s">
        <v>4040</v>
      </c>
      <c r="D4544" s="22" t="str">
        <f>HYPERLINK("https://rhld.insurance.arkansas.gov/NPILookup?Npi=1750397881","1750397881")</f>
        <v>1750397881</v>
      </c>
      <c r="E4544" s="1" t="s">
        <v>16859</v>
      </c>
      <c r="F4544" s="2"/>
      <c r="G4544" s="2"/>
      <c r="H4544" s="2"/>
    </row>
    <row r="4545" spans="1:8" x14ac:dyDescent="0.25">
      <c r="A4545" s="1"/>
      <c r="B4545" s="1" t="s">
        <v>4039</v>
      </c>
      <c r="C4545" s="1" t="s">
        <v>4040</v>
      </c>
      <c r="D4545" s="22" t="str">
        <f>HYPERLINK("https://rhld.insurance.arkansas.gov/NPILookup?Npi=1750403648","1750403648")</f>
        <v>1750403648</v>
      </c>
      <c r="E4545" s="1" t="s">
        <v>16860</v>
      </c>
      <c r="F4545" s="2"/>
      <c r="G4545" s="2"/>
      <c r="H4545" s="2"/>
    </row>
    <row r="4546" spans="1:8" x14ac:dyDescent="0.25">
      <c r="A4546" s="1"/>
      <c r="B4546" s="1" t="s">
        <v>4039</v>
      </c>
      <c r="C4546" s="1" t="s">
        <v>4040</v>
      </c>
      <c r="D4546" s="22" t="str">
        <f>HYPERLINK("https://rhld.insurance.arkansas.gov/NPILookup?Npi=1750468724","1750468724")</f>
        <v>1750468724</v>
      </c>
      <c r="E4546" s="1" t="s">
        <v>587</v>
      </c>
      <c r="F4546" s="2"/>
      <c r="G4546" s="2"/>
      <c r="H4546" s="2"/>
    </row>
    <row r="4547" spans="1:8" x14ac:dyDescent="0.25">
      <c r="A4547" s="1"/>
      <c r="B4547" s="1" t="s">
        <v>4039</v>
      </c>
      <c r="C4547" s="1" t="s">
        <v>4040</v>
      </c>
      <c r="D4547" s="22" t="str">
        <f>HYPERLINK("https://rhld.insurance.arkansas.gov/NPILookup?Npi=1750476099","1750476099")</f>
        <v>1750476099</v>
      </c>
      <c r="E4547" s="1" t="s">
        <v>10117</v>
      </c>
      <c r="F4547" s="2"/>
      <c r="G4547" s="2"/>
      <c r="H4547" s="2"/>
    </row>
    <row r="4548" spans="1:8" x14ac:dyDescent="0.25">
      <c r="A4548" s="1"/>
      <c r="B4548" s="1" t="s">
        <v>4039</v>
      </c>
      <c r="C4548" s="1" t="s">
        <v>4040</v>
      </c>
      <c r="D4548" s="22" t="str">
        <f>HYPERLINK("https://rhld.insurance.arkansas.gov/NPILookup?Npi=1750479671","1750479671")</f>
        <v>1750479671</v>
      </c>
      <c r="E4548" s="1" t="s">
        <v>10118</v>
      </c>
      <c r="F4548" s="2"/>
      <c r="G4548" s="2"/>
      <c r="H4548" s="2"/>
    </row>
    <row r="4549" spans="1:8" x14ac:dyDescent="0.25">
      <c r="A4549" s="1"/>
      <c r="B4549" s="1" t="s">
        <v>4039</v>
      </c>
      <c r="C4549" s="1" t="s">
        <v>4040</v>
      </c>
      <c r="D4549" s="22" t="str">
        <f>HYPERLINK("https://rhld.insurance.arkansas.gov/NPILookup?Npi=1750499547","1750499547")</f>
        <v>1750499547</v>
      </c>
      <c r="E4549" s="1" t="s">
        <v>10119</v>
      </c>
      <c r="F4549" s="2"/>
      <c r="G4549" s="2"/>
      <c r="H4549" s="2"/>
    </row>
    <row r="4550" spans="1:8" x14ac:dyDescent="0.25">
      <c r="A4550" s="1"/>
      <c r="B4550" s="1" t="s">
        <v>4039</v>
      </c>
      <c r="C4550" s="1" t="s">
        <v>4040</v>
      </c>
      <c r="D4550" s="22" t="str">
        <f>HYPERLINK("https://rhld.insurance.arkansas.gov/NPILookup?Npi=1750544607","1750544607")</f>
        <v>1750544607</v>
      </c>
      <c r="E4550" s="1" t="s">
        <v>16861</v>
      </c>
      <c r="F4550" s="2"/>
      <c r="G4550" s="2"/>
      <c r="H4550" s="2"/>
    </row>
    <row r="4551" spans="1:8" x14ac:dyDescent="0.25">
      <c r="A4551" s="1"/>
      <c r="B4551" s="1" t="s">
        <v>4039</v>
      </c>
      <c r="C4551" s="1" t="s">
        <v>4040</v>
      </c>
      <c r="D4551" s="22" t="str">
        <f>HYPERLINK("https://rhld.insurance.arkansas.gov/NPILookup?Npi=1750617486","1750617486")</f>
        <v>1750617486</v>
      </c>
      <c r="E4551" s="1" t="s">
        <v>16862</v>
      </c>
      <c r="F4551" s="2"/>
      <c r="G4551" s="2"/>
      <c r="H4551" s="2"/>
    </row>
    <row r="4552" spans="1:8" x14ac:dyDescent="0.25">
      <c r="A4552" s="1"/>
      <c r="B4552" s="1" t="s">
        <v>4039</v>
      </c>
      <c r="C4552" s="1" t="s">
        <v>4040</v>
      </c>
      <c r="D4552" s="22" t="str">
        <f>HYPERLINK("https://rhld.insurance.arkansas.gov/NPILookup?Npi=1750638284","1750638284")</f>
        <v>1750638284</v>
      </c>
      <c r="E4552" s="1" t="s">
        <v>532</v>
      </c>
      <c r="F4552" s="2"/>
      <c r="G4552" s="2"/>
      <c r="H4552" s="2"/>
    </row>
    <row r="4553" spans="1:8" x14ac:dyDescent="0.25">
      <c r="A4553" s="1"/>
      <c r="B4553" s="1" t="s">
        <v>4039</v>
      </c>
      <c r="C4553" s="1" t="s">
        <v>4040</v>
      </c>
      <c r="D4553" s="22" t="str">
        <f>HYPERLINK("https://rhld.insurance.arkansas.gov/NPILookup?Npi=1750720694","1750720694")</f>
        <v>1750720694</v>
      </c>
      <c r="E4553" s="1" t="s">
        <v>16863</v>
      </c>
      <c r="F4553" s="2"/>
      <c r="G4553" s="2"/>
      <c r="H4553" s="2"/>
    </row>
    <row r="4554" spans="1:8" x14ac:dyDescent="0.25">
      <c r="A4554" s="1"/>
      <c r="B4554" s="1" t="s">
        <v>4039</v>
      </c>
      <c r="C4554" s="1" t="s">
        <v>4040</v>
      </c>
      <c r="D4554" s="22" t="str">
        <f>HYPERLINK("https://rhld.insurance.arkansas.gov/NPILookup?Npi=1750731741","1750731741")</f>
        <v>1750731741</v>
      </c>
      <c r="E4554" s="1" t="s">
        <v>2583</v>
      </c>
      <c r="F4554" s="2"/>
      <c r="G4554" s="2"/>
      <c r="H4554" s="2"/>
    </row>
    <row r="4555" spans="1:8" x14ac:dyDescent="0.25">
      <c r="A4555" s="1"/>
      <c r="B4555" s="1" t="s">
        <v>4039</v>
      </c>
      <c r="C4555" s="1" t="s">
        <v>4040</v>
      </c>
      <c r="D4555" s="22" t="str">
        <f>HYPERLINK("https://rhld.insurance.arkansas.gov/NPILookup?Npi=1750796322","1750796322")</f>
        <v>1750796322</v>
      </c>
      <c r="E4555" s="1" t="s">
        <v>16864</v>
      </c>
      <c r="F4555" s="2"/>
      <c r="G4555" s="2"/>
      <c r="H4555" s="2"/>
    </row>
    <row r="4556" spans="1:8" x14ac:dyDescent="0.25">
      <c r="A4556" s="1"/>
      <c r="B4556" s="1" t="s">
        <v>4039</v>
      </c>
      <c r="C4556" s="1" t="s">
        <v>4040</v>
      </c>
      <c r="D4556" s="22" t="str">
        <f>HYPERLINK("https://rhld.insurance.arkansas.gov/NPILookup?Npi=1750857066","1750857066")</f>
        <v>1750857066</v>
      </c>
      <c r="E4556" s="1" t="s">
        <v>1424</v>
      </c>
      <c r="F4556" s="2"/>
      <c r="G4556" s="2"/>
      <c r="H4556" s="2"/>
    </row>
    <row r="4557" spans="1:8" x14ac:dyDescent="0.25">
      <c r="A4557" s="1"/>
      <c r="B4557" s="1" t="s">
        <v>4039</v>
      </c>
      <c r="C4557" s="1" t="s">
        <v>4040</v>
      </c>
      <c r="D4557" s="22" t="str">
        <f>HYPERLINK("https://rhld.insurance.arkansas.gov/NPILookup?Npi=1750884938","1750884938")</f>
        <v>1750884938</v>
      </c>
      <c r="E4557" s="1" t="s">
        <v>6934</v>
      </c>
      <c r="F4557" s="2"/>
      <c r="G4557" s="2"/>
      <c r="H4557" s="2"/>
    </row>
    <row r="4558" spans="1:8" x14ac:dyDescent="0.25">
      <c r="A4558" s="1"/>
      <c r="B4558" s="1" t="s">
        <v>4039</v>
      </c>
      <c r="C4558" s="1" t="s">
        <v>4040</v>
      </c>
      <c r="D4558" s="22" t="str">
        <f>HYPERLINK("https://rhld.insurance.arkansas.gov/NPILookup?Npi=1760041248","1760041248")</f>
        <v>1760041248</v>
      </c>
      <c r="E4558" s="1" t="s">
        <v>16865</v>
      </c>
      <c r="F4558" s="2"/>
      <c r="G4558" s="2"/>
      <c r="H4558" s="2"/>
    </row>
    <row r="4559" spans="1:8" x14ac:dyDescent="0.25">
      <c r="A4559" s="1"/>
      <c r="B4559" s="1" t="s">
        <v>4039</v>
      </c>
      <c r="C4559" s="1" t="s">
        <v>4040</v>
      </c>
      <c r="D4559" s="22" t="str">
        <f>HYPERLINK("https://rhld.insurance.arkansas.gov/NPILookup?Npi=1760041362","1760041362")</f>
        <v>1760041362</v>
      </c>
      <c r="E4559" s="1" t="s">
        <v>1465</v>
      </c>
      <c r="F4559" s="2"/>
      <c r="G4559" s="2"/>
      <c r="H4559" s="2"/>
    </row>
    <row r="4560" spans="1:8" x14ac:dyDescent="0.25">
      <c r="A4560" s="1"/>
      <c r="B4560" s="1" t="s">
        <v>4039</v>
      </c>
      <c r="C4560" s="1" t="s">
        <v>4040</v>
      </c>
      <c r="D4560" s="22" t="str">
        <f>HYPERLINK("https://rhld.insurance.arkansas.gov/NPILookup?Npi=1760166631","1760166631")</f>
        <v>1760166631</v>
      </c>
      <c r="E4560" s="1" t="s">
        <v>16866</v>
      </c>
      <c r="F4560" s="2"/>
      <c r="G4560" s="2"/>
      <c r="H4560" s="2"/>
    </row>
    <row r="4561" spans="1:8" x14ac:dyDescent="0.25">
      <c r="A4561" s="1"/>
      <c r="B4561" s="1" t="s">
        <v>4039</v>
      </c>
      <c r="C4561" s="1" t="s">
        <v>4040</v>
      </c>
      <c r="D4561" s="22" t="str">
        <f>HYPERLINK("https://rhld.insurance.arkansas.gov/NPILookup?Npi=1760492953","1760492953")</f>
        <v>1760492953</v>
      </c>
      <c r="E4561" s="1" t="s">
        <v>16867</v>
      </c>
      <c r="F4561" s="2"/>
      <c r="G4561" s="2"/>
      <c r="H4561" s="2"/>
    </row>
    <row r="4562" spans="1:8" x14ac:dyDescent="0.25">
      <c r="A4562" s="1"/>
      <c r="B4562" s="1" t="s">
        <v>4039</v>
      </c>
      <c r="C4562" s="1" t="s">
        <v>4040</v>
      </c>
      <c r="D4562" s="22" t="str">
        <f>HYPERLINK("https://rhld.insurance.arkansas.gov/NPILookup?Npi=1760499602","1760499602")</f>
        <v>1760499602</v>
      </c>
      <c r="E4562" s="1" t="s">
        <v>16868</v>
      </c>
      <c r="F4562" s="2"/>
      <c r="G4562" s="2"/>
      <c r="H4562" s="2"/>
    </row>
    <row r="4563" spans="1:8" x14ac:dyDescent="0.25">
      <c r="A4563" s="1"/>
      <c r="B4563" s="1" t="s">
        <v>4039</v>
      </c>
      <c r="C4563" s="1" t="s">
        <v>4040</v>
      </c>
      <c r="D4563" s="22" t="str">
        <f>HYPERLINK("https://rhld.insurance.arkansas.gov/NPILookup?Npi=1760534226","1760534226")</f>
        <v>1760534226</v>
      </c>
      <c r="E4563" s="1" t="s">
        <v>16869</v>
      </c>
      <c r="F4563" s="2"/>
      <c r="G4563" s="2"/>
      <c r="H4563" s="2"/>
    </row>
    <row r="4564" spans="1:8" x14ac:dyDescent="0.25">
      <c r="A4564" s="1"/>
      <c r="B4564" s="1" t="s">
        <v>4039</v>
      </c>
      <c r="C4564" s="1" t="s">
        <v>4040</v>
      </c>
      <c r="D4564" s="22" t="str">
        <f>HYPERLINK("https://rhld.insurance.arkansas.gov/NPILookup?Npi=1760560965","1760560965")</f>
        <v>1760560965</v>
      </c>
      <c r="E4564" s="1" t="s">
        <v>1190</v>
      </c>
      <c r="F4564" s="2"/>
      <c r="G4564" s="2"/>
      <c r="H4564" s="2"/>
    </row>
    <row r="4565" spans="1:8" x14ac:dyDescent="0.25">
      <c r="A4565" s="1"/>
      <c r="B4565" s="1" t="s">
        <v>4039</v>
      </c>
      <c r="C4565" s="1" t="s">
        <v>4040</v>
      </c>
      <c r="D4565" s="22" t="str">
        <f>HYPERLINK("https://rhld.insurance.arkansas.gov/NPILookup?Npi=1760563787","1760563787")</f>
        <v>1760563787</v>
      </c>
      <c r="E4565" s="1" t="s">
        <v>3712</v>
      </c>
      <c r="F4565" s="2"/>
      <c r="G4565" s="2"/>
      <c r="H4565" s="2"/>
    </row>
    <row r="4566" spans="1:8" x14ac:dyDescent="0.25">
      <c r="A4566" s="1"/>
      <c r="B4566" s="1" t="s">
        <v>4039</v>
      </c>
      <c r="C4566" s="1" t="s">
        <v>4040</v>
      </c>
      <c r="D4566" s="22" t="str">
        <f>HYPERLINK("https://rhld.insurance.arkansas.gov/NPILookup?Npi=1760587208","1760587208")</f>
        <v>1760587208</v>
      </c>
      <c r="E4566" s="1" t="s">
        <v>1191</v>
      </c>
      <c r="F4566" s="2"/>
      <c r="G4566" s="2"/>
      <c r="H4566" s="2"/>
    </row>
    <row r="4567" spans="1:8" x14ac:dyDescent="0.25">
      <c r="A4567" s="1"/>
      <c r="B4567" s="1" t="s">
        <v>4039</v>
      </c>
      <c r="C4567" s="1" t="s">
        <v>4040</v>
      </c>
      <c r="D4567" s="22" t="str">
        <f>HYPERLINK("https://rhld.insurance.arkansas.gov/NPILookup?Npi=1760681423","1760681423")</f>
        <v>1760681423</v>
      </c>
      <c r="E4567" s="1" t="s">
        <v>16870</v>
      </c>
      <c r="F4567" s="2"/>
      <c r="G4567" s="2"/>
      <c r="H4567" s="2"/>
    </row>
    <row r="4568" spans="1:8" x14ac:dyDescent="0.25">
      <c r="A4568" s="1"/>
      <c r="B4568" s="1" t="s">
        <v>4039</v>
      </c>
      <c r="C4568" s="1" t="s">
        <v>4040</v>
      </c>
      <c r="D4568" s="22" t="str">
        <f>HYPERLINK("https://rhld.insurance.arkansas.gov/NPILookup?Npi=1760737209","1760737209")</f>
        <v>1760737209</v>
      </c>
      <c r="E4568" s="1" t="s">
        <v>31384</v>
      </c>
      <c r="F4568" s="2"/>
      <c r="G4568" s="2"/>
      <c r="H4568" s="2"/>
    </row>
    <row r="4569" spans="1:8" x14ac:dyDescent="0.25">
      <c r="A4569" s="1"/>
      <c r="B4569" s="1" t="s">
        <v>4039</v>
      </c>
      <c r="C4569" s="1" t="s">
        <v>4040</v>
      </c>
      <c r="D4569" s="22" t="str">
        <f>HYPERLINK("https://rhld.insurance.arkansas.gov/NPILookup?Npi=1760739288","1760739288")</f>
        <v>1760739288</v>
      </c>
      <c r="E4569" s="1" t="s">
        <v>16871</v>
      </c>
      <c r="F4569" s="2"/>
      <c r="G4569" s="2"/>
      <c r="H4569" s="2"/>
    </row>
    <row r="4570" spans="1:8" x14ac:dyDescent="0.25">
      <c r="A4570" s="1"/>
      <c r="B4570" s="1" t="s">
        <v>4039</v>
      </c>
      <c r="C4570" s="1" t="s">
        <v>4040</v>
      </c>
      <c r="D4570" s="22" t="str">
        <f>HYPERLINK("https://rhld.insurance.arkansas.gov/NPILookup?Npi=1760902902","1760902902")</f>
        <v>1760902902</v>
      </c>
      <c r="E4570" s="1" t="s">
        <v>1548</v>
      </c>
      <c r="F4570" s="2"/>
      <c r="G4570" s="2"/>
      <c r="H4570" s="2"/>
    </row>
    <row r="4571" spans="1:8" x14ac:dyDescent="0.25">
      <c r="A4571" s="1"/>
      <c r="B4571" s="1" t="s">
        <v>4039</v>
      </c>
      <c r="C4571" s="1" t="s">
        <v>4040</v>
      </c>
      <c r="D4571" s="22" t="str">
        <f>HYPERLINK("https://rhld.insurance.arkansas.gov/NPILookup?Npi=1760917561","1760917561")</f>
        <v>1760917561</v>
      </c>
      <c r="E4571" s="1" t="s">
        <v>16872</v>
      </c>
      <c r="F4571" s="2"/>
      <c r="G4571" s="2"/>
      <c r="H4571" s="2"/>
    </row>
    <row r="4572" spans="1:8" x14ac:dyDescent="0.25">
      <c r="A4572" s="1"/>
      <c r="B4572" s="1" t="s">
        <v>4039</v>
      </c>
      <c r="C4572" s="1" t="s">
        <v>4040</v>
      </c>
      <c r="D4572" s="22" t="str">
        <f>HYPERLINK("https://rhld.insurance.arkansas.gov/NPILookup?Npi=1760993414","1760993414")</f>
        <v>1760993414</v>
      </c>
      <c r="E4572" s="1" t="s">
        <v>16873</v>
      </c>
      <c r="F4572" s="2"/>
      <c r="G4572" s="2"/>
      <c r="H4572" s="2"/>
    </row>
    <row r="4573" spans="1:8" x14ac:dyDescent="0.25">
      <c r="A4573" s="1"/>
      <c r="B4573" s="1" t="s">
        <v>4039</v>
      </c>
      <c r="C4573" s="1" t="s">
        <v>4040</v>
      </c>
      <c r="D4573" s="22" t="str">
        <f>HYPERLINK("https://rhld.insurance.arkansas.gov/NPILookup?Npi=1770003170","1770003170")</f>
        <v>1770003170</v>
      </c>
      <c r="E4573" s="1" t="s">
        <v>16874</v>
      </c>
      <c r="F4573" s="2"/>
      <c r="G4573" s="2"/>
      <c r="H4573" s="2"/>
    </row>
    <row r="4574" spans="1:8" x14ac:dyDescent="0.25">
      <c r="A4574" s="1"/>
      <c r="B4574" s="1" t="s">
        <v>4039</v>
      </c>
      <c r="C4574" s="1" t="s">
        <v>4040</v>
      </c>
      <c r="D4574" s="22" t="str">
        <f>HYPERLINK("https://rhld.insurance.arkansas.gov/NPILookup?Npi=1770107641","1770107641")</f>
        <v>1770107641</v>
      </c>
      <c r="E4574" s="1" t="s">
        <v>16875</v>
      </c>
      <c r="F4574" s="2"/>
      <c r="G4574" s="2"/>
      <c r="H4574" s="2"/>
    </row>
    <row r="4575" spans="1:8" x14ac:dyDescent="0.25">
      <c r="A4575" s="1"/>
      <c r="B4575" s="1" t="s">
        <v>4039</v>
      </c>
      <c r="C4575" s="1" t="s">
        <v>4040</v>
      </c>
      <c r="D4575" s="22" t="str">
        <f>HYPERLINK("https://rhld.insurance.arkansas.gov/NPILookup?Npi=1770152597","1770152597")</f>
        <v>1770152597</v>
      </c>
      <c r="E4575" s="1" t="s">
        <v>4125</v>
      </c>
      <c r="F4575" s="2"/>
      <c r="G4575" s="2"/>
      <c r="H4575" s="2"/>
    </row>
    <row r="4576" spans="1:8" x14ac:dyDescent="0.25">
      <c r="A4576" s="1"/>
      <c r="B4576" s="1" t="s">
        <v>4039</v>
      </c>
      <c r="C4576" s="1" t="s">
        <v>4040</v>
      </c>
      <c r="D4576" s="22" t="str">
        <f>HYPERLINK("https://rhld.insurance.arkansas.gov/NPILookup?Npi=1770228405","1770228405")</f>
        <v>1770228405</v>
      </c>
      <c r="E4576" s="1" t="s">
        <v>4126</v>
      </c>
      <c r="F4576" s="2"/>
      <c r="G4576" s="2"/>
      <c r="H4576" s="2"/>
    </row>
    <row r="4577" spans="1:8" x14ac:dyDescent="0.25">
      <c r="A4577" s="1"/>
      <c r="B4577" s="1" t="s">
        <v>4039</v>
      </c>
      <c r="C4577" s="1" t="s">
        <v>4040</v>
      </c>
      <c r="D4577" s="22" t="str">
        <f>HYPERLINK("https://rhld.insurance.arkansas.gov/NPILookup?Npi=1770274532","1770274532")</f>
        <v>1770274532</v>
      </c>
      <c r="E4577" s="1" t="s">
        <v>10120</v>
      </c>
      <c r="F4577" s="2"/>
      <c r="G4577" s="2"/>
      <c r="H4577" s="2"/>
    </row>
    <row r="4578" spans="1:8" x14ac:dyDescent="0.25">
      <c r="A4578" s="1"/>
      <c r="B4578" s="1" t="s">
        <v>4039</v>
      </c>
      <c r="C4578" s="1" t="s">
        <v>4040</v>
      </c>
      <c r="D4578" s="22" t="str">
        <f>HYPERLINK("https://rhld.insurance.arkansas.gov/NPILookup?Npi=1770284283","1770284283")</f>
        <v>1770284283</v>
      </c>
      <c r="E4578" s="1" t="s">
        <v>16876</v>
      </c>
      <c r="F4578" s="2"/>
      <c r="G4578" s="2"/>
      <c r="H4578" s="2"/>
    </row>
    <row r="4579" spans="1:8" x14ac:dyDescent="0.25">
      <c r="A4579" s="1"/>
      <c r="B4579" s="1" t="s">
        <v>4039</v>
      </c>
      <c r="C4579" s="1" t="s">
        <v>4040</v>
      </c>
      <c r="D4579" s="22" t="str">
        <f>HYPERLINK("https://rhld.insurance.arkansas.gov/NPILookup?Npi=1770507642","1770507642")</f>
        <v>1770507642</v>
      </c>
      <c r="E4579" s="1" t="s">
        <v>16877</v>
      </c>
      <c r="F4579" s="2"/>
      <c r="G4579" s="2"/>
      <c r="H4579" s="2"/>
    </row>
    <row r="4580" spans="1:8" x14ac:dyDescent="0.25">
      <c r="A4580" s="1"/>
      <c r="B4580" s="1" t="s">
        <v>4039</v>
      </c>
      <c r="C4580" s="1" t="s">
        <v>4040</v>
      </c>
      <c r="D4580" s="22" t="str">
        <f>HYPERLINK("https://rhld.insurance.arkansas.gov/NPILookup?Npi=1770508491","1770508491")</f>
        <v>1770508491</v>
      </c>
      <c r="E4580" s="1" t="s">
        <v>10121</v>
      </c>
      <c r="F4580" s="2"/>
      <c r="G4580" s="2"/>
      <c r="H4580" s="2"/>
    </row>
    <row r="4581" spans="1:8" x14ac:dyDescent="0.25">
      <c r="A4581" s="1"/>
      <c r="B4581" s="1" t="s">
        <v>4039</v>
      </c>
      <c r="C4581" s="1" t="s">
        <v>4040</v>
      </c>
      <c r="D4581" s="22" t="str">
        <f>HYPERLINK("https://rhld.insurance.arkansas.gov/NPILookup?Npi=1770527475","1770527475")</f>
        <v>1770527475</v>
      </c>
      <c r="E4581" s="1" t="s">
        <v>16878</v>
      </c>
      <c r="F4581" s="2"/>
      <c r="G4581" s="2"/>
      <c r="H4581" s="2"/>
    </row>
    <row r="4582" spans="1:8" x14ac:dyDescent="0.25">
      <c r="A4582" s="1"/>
      <c r="B4582" s="1" t="s">
        <v>4039</v>
      </c>
      <c r="C4582" s="1" t="s">
        <v>4040</v>
      </c>
      <c r="D4582" s="22" t="str">
        <f>HYPERLINK("https://rhld.insurance.arkansas.gov/NPILookup?Npi=1770550386","1770550386")</f>
        <v>1770550386</v>
      </c>
      <c r="E4582" s="1" t="s">
        <v>217</v>
      </c>
      <c r="F4582" s="2"/>
      <c r="G4582" s="2"/>
      <c r="H4582" s="2"/>
    </row>
    <row r="4583" spans="1:8" x14ac:dyDescent="0.25">
      <c r="A4583" s="1"/>
      <c r="B4583" s="1" t="s">
        <v>4039</v>
      </c>
      <c r="C4583" s="1" t="s">
        <v>4040</v>
      </c>
      <c r="D4583" s="22" t="str">
        <f>HYPERLINK("https://rhld.insurance.arkansas.gov/NPILookup?Npi=1770565921","1770565921")</f>
        <v>1770565921</v>
      </c>
      <c r="E4583" s="1" t="s">
        <v>16879</v>
      </c>
      <c r="F4583" s="2"/>
      <c r="G4583" s="2"/>
      <c r="H4583" s="2"/>
    </row>
    <row r="4584" spans="1:8" x14ac:dyDescent="0.25">
      <c r="A4584" s="1"/>
      <c r="B4584" s="1" t="s">
        <v>4039</v>
      </c>
      <c r="C4584" s="1" t="s">
        <v>4040</v>
      </c>
      <c r="D4584" s="22" t="str">
        <f>HYPERLINK("https://rhld.insurance.arkansas.gov/NPILookup?Npi=1770596744","1770596744")</f>
        <v>1770596744</v>
      </c>
      <c r="E4584" s="1" t="s">
        <v>16880</v>
      </c>
      <c r="F4584" s="2"/>
      <c r="G4584" s="2"/>
      <c r="H4584" s="2"/>
    </row>
    <row r="4585" spans="1:8" x14ac:dyDescent="0.25">
      <c r="A4585" s="1"/>
      <c r="B4585" s="1" t="s">
        <v>4039</v>
      </c>
      <c r="C4585" s="1" t="s">
        <v>4040</v>
      </c>
      <c r="D4585" s="22" t="str">
        <f>HYPERLINK("https://rhld.insurance.arkansas.gov/NPILookup?Npi=1770607137","1770607137")</f>
        <v>1770607137</v>
      </c>
      <c r="E4585" s="1" t="s">
        <v>527</v>
      </c>
      <c r="F4585" s="2"/>
      <c r="G4585" s="2"/>
      <c r="H4585" s="2"/>
    </row>
    <row r="4586" spans="1:8" x14ac:dyDescent="0.25">
      <c r="A4586" s="1"/>
      <c r="B4586" s="1" t="s">
        <v>4039</v>
      </c>
      <c r="C4586" s="1" t="s">
        <v>4040</v>
      </c>
      <c r="D4586" s="22" t="str">
        <f>HYPERLINK("https://rhld.insurance.arkansas.gov/NPILookup?Npi=1770630501","1770630501")</f>
        <v>1770630501</v>
      </c>
      <c r="E4586" s="1" t="s">
        <v>16881</v>
      </c>
      <c r="F4586" s="2"/>
      <c r="G4586" s="2"/>
      <c r="H4586" s="2"/>
    </row>
    <row r="4587" spans="1:8" x14ac:dyDescent="0.25">
      <c r="A4587" s="1"/>
      <c r="B4587" s="1" t="s">
        <v>4039</v>
      </c>
      <c r="C4587" s="1" t="s">
        <v>4040</v>
      </c>
      <c r="D4587" s="22" t="str">
        <f>HYPERLINK("https://rhld.insurance.arkansas.gov/NPILookup?Npi=1770646606","1770646606")</f>
        <v>1770646606</v>
      </c>
      <c r="E4587" s="1" t="s">
        <v>16882</v>
      </c>
      <c r="F4587" s="2"/>
      <c r="G4587" s="2"/>
      <c r="H4587" s="2"/>
    </row>
    <row r="4588" spans="1:8" x14ac:dyDescent="0.25">
      <c r="A4588" s="1"/>
      <c r="B4588" s="1" t="s">
        <v>4039</v>
      </c>
      <c r="C4588" s="1" t="s">
        <v>4040</v>
      </c>
      <c r="D4588" s="22" t="str">
        <f>HYPERLINK("https://rhld.insurance.arkansas.gov/NPILookup?Npi=1770655185","1770655185")</f>
        <v>1770655185</v>
      </c>
      <c r="E4588" s="1" t="s">
        <v>2341</v>
      </c>
      <c r="F4588" s="2"/>
      <c r="G4588" s="2"/>
      <c r="H4588" s="2"/>
    </row>
    <row r="4589" spans="1:8" x14ac:dyDescent="0.25">
      <c r="A4589" s="1"/>
      <c r="B4589" s="1" t="s">
        <v>4039</v>
      </c>
      <c r="C4589" s="1" t="s">
        <v>4040</v>
      </c>
      <c r="D4589" s="22" t="str">
        <f>HYPERLINK("https://rhld.insurance.arkansas.gov/NPILookup?Npi=1770687790","1770687790")</f>
        <v>1770687790</v>
      </c>
      <c r="E4589" s="1" t="s">
        <v>10122</v>
      </c>
      <c r="F4589" s="2"/>
      <c r="G4589" s="2"/>
      <c r="H4589" s="2"/>
    </row>
    <row r="4590" spans="1:8" x14ac:dyDescent="0.25">
      <c r="A4590" s="1"/>
      <c r="B4590" s="1" t="s">
        <v>4039</v>
      </c>
      <c r="C4590" s="1" t="s">
        <v>4040</v>
      </c>
      <c r="D4590" s="22" t="str">
        <f>HYPERLINK("https://rhld.insurance.arkansas.gov/NPILookup?Npi=1770766388","1770766388")</f>
        <v>1770766388</v>
      </c>
      <c r="E4590" s="1" t="s">
        <v>16883</v>
      </c>
      <c r="F4590" s="2"/>
      <c r="G4590" s="2"/>
      <c r="H4590" s="2"/>
    </row>
    <row r="4591" spans="1:8" x14ac:dyDescent="0.25">
      <c r="A4591" s="1"/>
      <c r="B4591" s="1" t="s">
        <v>4039</v>
      </c>
      <c r="C4591" s="1" t="s">
        <v>4040</v>
      </c>
      <c r="D4591" s="22" t="str">
        <f>HYPERLINK("https://rhld.insurance.arkansas.gov/NPILookup?Npi=1770795254","1770795254")</f>
        <v>1770795254</v>
      </c>
      <c r="E4591" s="1" t="s">
        <v>16884</v>
      </c>
      <c r="F4591" s="2"/>
      <c r="G4591" s="2"/>
      <c r="H4591" s="2"/>
    </row>
    <row r="4592" spans="1:8" x14ac:dyDescent="0.25">
      <c r="A4592" s="1"/>
      <c r="B4592" s="1" t="s">
        <v>4039</v>
      </c>
      <c r="C4592" s="1" t="s">
        <v>4040</v>
      </c>
      <c r="D4592" s="22" t="str">
        <f>HYPERLINK("https://rhld.insurance.arkansas.gov/NPILookup?Npi=1770928442","1770928442")</f>
        <v>1770928442</v>
      </c>
      <c r="E4592" s="1" t="s">
        <v>16885</v>
      </c>
      <c r="F4592" s="2"/>
      <c r="G4592" s="2"/>
      <c r="H4592" s="2"/>
    </row>
    <row r="4593" spans="1:8" x14ac:dyDescent="0.25">
      <c r="A4593" s="1"/>
      <c r="B4593" s="1" t="s">
        <v>4039</v>
      </c>
      <c r="C4593" s="1" t="s">
        <v>4040</v>
      </c>
      <c r="D4593" s="22" t="str">
        <f>HYPERLINK("https://rhld.insurance.arkansas.gov/NPILookup?Npi=1770932808","1770932808")</f>
        <v>1770932808</v>
      </c>
      <c r="E4593" s="1" t="s">
        <v>1570</v>
      </c>
      <c r="F4593" s="2"/>
      <c r="G4593" s="2"/>
      <c r="H4593" s="2"/>
    </row>
    <row r="4594" spans="1:8" x14ac:dyDescent="0.25">
      <c r="A4594" s="1"/>
      <c r="B4594" s="1" t="s">
        <v>4039</v>
      </c>
      <c r="C4594" s="1" t="s">
        <v>4040</v>
      </c>
      <c r="D4594" s="22" t="str">
        <f>HYPERLINK("https://rhld.insurance.arkansas.gov/NPILookup?Npi=1780034173","1780034173")</f>
        <v>1780034173</v>
      </c>
      <c r="E4594" s="1" t="s">
        <v>750</v>
      </c>
      <c r="F4594" s="2"/>
      <c r="G4594" s="2"/>
      <c r="H4594" s="2"/>
    </row>
    <row r="4595" spans="1:8" x14ac:dyDescent="0.25">
      <c r="A4595" s="1"/>
      <c r="B4595" s="1" t="s">
        <v>4039</v>
      </c>
      <c r="C4595" s="1" t="s">
        <v>4040</v>
      </c>
      <c r="D4595" s="22" t="str">
        <f>HYPERLINK("https://rhld.insurance.arkansas.gov/NPILookup?Npi=1780302166","1780302166")</f>
        <v>1780302166</v>
      </c>
      <c r="E4595" s="1" t="s">
        <v>4127</v>
      </c>
      <c r="F4595" s="2"/>
      <c r="G4595" s="2"/>
      <c r="H4595" s="2"/>
    </row>
    <row r="4596" spans="1:8" x14ac:dyDescent="0.25">
      <c r="A4596" s="1"/>
      <c r="B4596" s="1" t="s">
        <v>4039</v>
      </c>
      <c r="C4596" s="1" t="s">
        <v>4040</v>
      </c>
      <c r="D4596" s="22" t="str">
        <f>HYPERLINK("https://rhld.insurance.arkansas.gov/NPILookup?Npi=1780690065","1780690065")</f>
        <v>1780690065</v>
      </c>
      <c r="E4596" s="1" t="s">
        <v>16886</v>
      </c>
      <c r="F4596" s="2"/>
      <c r="G4596" s="2"/>
      <c r="H4596" s="2"/>
    </row>
    <row r="4597" spans="1:8" x14ac:dyDescent="0.25">
      <c r="A4597" s="1"/>
      <c r="B4597" s="1" t="s">
        <v>4039</v>
      </c>
      <c r="C4597" s="1" t="s">
        <v>4040</v>
      </c>
      <c r="D4597" s="22" t="str">
        <f>HYPERLINK("https://rhld.insurance.arkansas.gov/NPILookup?Npi=1780719088","1780719088")</f>
        <v>1780719088</v>
      </c>
      <c r="E4597" s="1" t="s">
        <v>1192</v>
      </c>
      <c r="F4597" s="2"/>
      <c r="G4597" s="2"/>
      <c r="H4597" s="2"/>
    </row>
    <row r="4598" spans="1:8" x14ac:dyDescent="0.25">
      <c r="A4598" s="1"/>
      <c r="B4598" s="1" t="s">
        <v>4039</v>
      </c>
      <c r="C4598" s="1" t="s">
        <v>4040</v>
      </c>
      <c r="D4598" s="22" t="str">
        <f>HYPERLINK("https://rhld.insurance.arkansas.gov/NPILookup?Npi=1780742023","1780742023")</f>
        <v>1780742023</v>
      </c>
      <c r="E4598" s="1" t="s">
        <v>3733</v>
      </c>
      <c r="F4598" s="2"/>
      <c r="G4598" s="2"/>
      <c r="H4598" s="2"/>
    </row>
    <row r="4599" spans="1:8" x14ac:dyDescent="0.25">
      <c r="A4599" s="1"/>
      <c r="B4599" s="1" t="s">
        <v>4039</v>
      </c>
      <c r="C4599" s="1" t="s">
        <v>4040</v>
      </c>
      <c r="D4599" s="22" t="str">
        <f>HYPERLINK("https://rhld.insurance.arkansas.gov/NPILookup?Npi=1780754036","1780754036")</f>
        <v>1780754036</v>
      </c>
      <c r="E4599" s="1" t="s">
        <v>533</v>
      </c>
      <c r="F4599" s="2"/>
      <c r="G4599" s="2"/>
      <c r="H4599" s="2"/>
    </row>
    <row r="4600" spans="1:8" x14ac:dyDescent="0.25">
      <c r="A4600" s="1"/>
      <c r="B4600" s="1" t="s">
        <v>4039</v>
      </c>
      <c r="C4600" s="1" t="s">
        <v>4040</v>
      </c>
      <c r="D4600" s="22" t="str">
        <f>HYPERLINK("https://rhld.insurance.arkansas.gov/NPILookup?Npi=1780769844","1780769844")</f>
        <v>1780769844</v>
      </c>
      <c r="E4600" s="1" t="s">
        <v>16887</v>
      </c>
      <c r="F4600" s="2"/>
      <c r="G4600" s="2"/>
      <c r="H4600" s="2"/>
    </row>
    <row r="4601" spans="1:8" x14ac:dyDescent="0.25">
      <c r="A4601" s="1"/>
      <c r="B4601" s="1" t="s">
        <v>4039</v>
      </c>
      <c r="C4601" s="1" t="s">
        <v>4040</v>
      </c>
      <c r="D4601" s="22" t="str">
        <f>HYPERLINK("https://rhld.insurance.arkansas.gov/NPILookup?Npi=1780772962","1780772962")</f>
        <v>1780772962</v>
      </c>
      <c r="E4601" s="1" t="s">
        <v>682</v>
      </c>
      <c r="F4601" s="2"/>
      <c r="G4601" s="2"/>
      <c r="H4601" s="2"/>
    </row>
    <row r="4602" spans="1:8" x14ac:dyDescent="0.25">
      <c r="A4602" s="1"/>
      <c r="B4602" s="1" t="s">
        <v>4039</v>
      </c>
      <c r="C4602" s="1" t="s">
        <v>4040</v>
      </c>
      <c r="D4602" s="22" t="str">
        <f>HYPERLINK("https://rhld.insurance.arkansas.gov/NPILookup?Npi=1780798454","1780798454")</f>
        <v>1780798454</v>
      </c>
      <c r="E4602" s="1" t="s">
        <v>10123</v>
      </c>
      <c r="F4602" s="2"/>
      <c r="G4602" s="2"/>
      <c r="H4602" s="2"/>
    </row>
    <row r="4603" spans="1:8" x14ac:dyDescent="0.25">
      <c r="A4603" s="1"/>
      <c r="B4603" s="1" t="s">
        <v>4039</v>
      </c>
      <c r="C4603" s="1" t="s">
        <v>4040</v>
      </c>
      <c r="D4603" s="22" t="str">
        <f>HYPERLINK("https://rhld.insurance.arkansas.gov/NPILookup?Npi=1780941757","1780941757")</f>
        <v>1780941757</v>
      </c>
      <c r="E4603" s="1" t="s">
        <v>1549</v>
      </c>
      <c r="F4603" s="2"/>
      <c r="G4603" s="2"/>
      <c r="H4603" s="2"/>
    </row>
    <row r="4604" spans="1:8" x14ac:dyDescent="0.25">
      <c r="A4604" s="1"/>
      <c r="B4604" s="1" t="s">
        <v>4039</v>
      </c>
      <c r="C4604" s="1" t="s">
        <v>4040</v>
      </c>
      <c r="D4604" s="22" t="str">
        <f>HYPERLINK("https://rhld.insurance.arkansas.gov/NPILookup?Npi=1790214468","1790214468")</f>
        <v>1790214468</v>
      </c>
      <c r="E4604" s="1" t="s">
        <v>16888</v>
      </c>
      <c r="F4604" s="2"/>
      <c r="G4604" s="2"/>
      <c r="H4604" s="2"/>
    </row>
    <row r="4605" spans="1:8" x14ac:dyDescent="0.25">
      <c r="A4605" s="1"/>
      <c r="B4605" s="1" t="s">
        <v>4039</v>
      </c>
      <c r="C4605" s="1" t="s">
        <v>4040</v>
      </c>
      <c r="D4605" s="22" t="str">
        <f>HYPERLINK("https://rhld.insurance.arkansas.gov/NPILookup?Npi=1790356095","1790356095")</f>
        <v>1790356095</v>
      </c>
      <c r="E4605" s="1" t="s">
        <v>4128</v>
      </c>
      <c r="F4605" s="2"/>
      <c r="G4605" s="2"/>
      <c r="H4605" s="2"/>
    </row>
    <row r="4606" spans="1:8" x14ac:dyDescent="0.25">
      <c r="A4606" s="1"/>
      <c r="B4606" s="1" t="s">
        <v>4039</v>
      </c>
      <c r="C4606" s="1" t="s">
        <v>4040</v>
      </c>
      <c r="D4606" s="22" t="str">
        <f>HYPERLINK("https://rhld.insurance.arkansas.gov/NPILookup?Npi=1790365427","1790365427")</f>
        <v>1790365427</v>
      </c>
      <c r="E4606" s="1" t="s">
        <v>2342</v>
      </c>
      <c r="F4606" s="2"/>
      <c r="G4606" s="2"/>
      <c r="H4606" s="2"/>
    </row>
    <row r="4607" spans="1:8" x14ac:dyDescent="0.25">
      <c r="A4607" s="1"/>
      <c r="B4607" s="1" t="s">
        <v>4039</v>
      </c>
      <c r="C4607" s="1" t="s">
        <v>4040</v>
      </c>
      <c r="D4607" s="22" t="str">
        <f>HYPERLINK("https://rhld.insurance.arkansas.gov/NPILookup?Npi=1790462653","1790462653")</f>
        <v>1790462653</v>
      </c>
      <c r="E4607" s="1" t="s">
        <v>31385</v>
      </c>
      <c r="F4607" s="2"/>
      <c r="G4607" s="2"/>
      <c r="H4607" s="2"/>
    </row>
    <row r="4608" spans="1:8" x14ac:dyDescent="0.25">
      <c r="A4608" s="1"/>
      <c r="B4608" s="1" t="s">
        <v>4039</v>
      </c>
      <c r="C4608" s="1" t="s">
        <v>4040</v>
      </c>
      <c r="D4608" s="22" t="str">
        <f>HYPERLINK("https://rhld.insurance.arkansas.gov/NPILookup?Npi=1790463339","1790463339")</f>
        <v>1790463339</v>
      </c>
      <c r="E4608" s="1" t="s">
        <v>16405</v>
      </c>
      <c r="F4608" s="2"/>
      <c r="G4608" s="2"/>
      <c r="H4608" s="2"/>
    </row>
    <row r="4609" spans="1:8" x14ac:dyDescent="0.25">
      <c r="A4609" s="1"/>
      <c r="B4609" s="1" t="s">
        <v>4039</v>
      </c>
      <c r="C4609" s="1" t="s">
        <v>4040</v>
      </c>
      <c r="D4609" s="22" t="str">
        <f>HYPERLINK("https://rhld.insurance.arkansas.gov/NPILookup?Npi=1790529337","1790529337")</f>
        <v>1790529337</v>
      </c>
      <c r="E4609" s="1" t="s">
        <v>31386</v>
      </c>
      <c r="F4609" s="2"/>
      <c r="G4609" s="2"/>
      <c r="H4609" s="2"/>
    </row>
    <row r="4610" spans="1:8" x14ac:dyDescent="0.25">
      <c r="A4610" s="1"/>
      <c r="B4610" s="1" t="s">
        <v>4039</v>
      </c>
      <c r="C4610" s="1" t="s">
        <v>4040</v>
      </c>
      <c r="D4610" s="22" t="str">
        <f>HYPERLINK("https://rhld.insurance.arkansas.gov/NPILookup?Npi=1790828499","1790828499")</f>
        <v>1790828499</v>
      </c>
      <c r="E4610" s="1" t="s">
        <v>16889</v>
      </c>
      <c r="F4610" s="2"/>
      <c r="G4610" s="2"/>
      <c r="H4610" s="2"/>
    </row>
    <row r="4611" spans="1:8" x14ac:dyDescent="0.25">
      <c r="A4611" s="1"/>
      <c r="B4611" s="1" t="s">
        <v>4039</v>
      </c>
      <c r="C4611" s="1" t="s">
        <v>4040</v>
      </c>
      <c r="D4611" s="22" t="str">
        <f>HYPERLINK("https://rhld.insurance.arkansas.gov/NPILookup?Npi=1790848497","1790848497")</f>
        <v>1790848497</v>
      </c>
      <c r="E4611" s="1" t="s">
        <v>16890</v>
      </c>
      <c r="F4611" s="2"/>
      <c r="G4611" s="2"/>
      <c r="H4611" s="2"/>
    </row>
    <row r="4612" spans="1:8" x14ac:dyDescent="0.25">
      <c r="A4612" s="1"/>
      <c r="B4612" s="1" t="s">
        <v>4039</v>
      </c>
      <c r="C4612" s="1" t="s">
        <v>4040</v>
      </c>
      <c r="D4612" s="22" t="str">
        <f>HYPERLINK("https://rhld.insurance.arkansas.gov/NPILookup?Npi=1790852838","1790852838")</f>
        <v>1790852838</v>
      </c>
      <c r="E4612" s="1" t="s">
        <v>16891</v>
      </c>
      <c r="F4612" s="2"/>
      <c r="G4612" s="2"/>
      <c r="H4612" s="2"/>
    </row>
    <row r="4613" spans="1:8" x14ac:dyDescent="0.25">
      <c r="A4613" s="1"/>
      <c r="B4613" s="1" t="s">
        <v>4039</v>
      </c>
      <c r="C4613" s="1" t="s">
        <v>4040</v>
      </c>
      <c r="D4613" s="22" t="str">
        <f>HYPERLINK("https://rhld.insurance.arkansas.gov/NPILookup?Npi=1790881845","1790881845")</f>
        <v>1790881845</v>
      </c>
      <c r="E4613" s="1" t="s">
        <v>1734</v>
      </c>
      <c r="F4613" s="2"/>
      <c r="G4613" s="2"/>
      <c r="H4613" s="2"/>
    </row>
    <row r="4614" spans="1:8" x14ac:dyDescent="0.25">
      <c r="A4614" s="1"/>
      <c r="B4614" s="1" t="s">
        <v>4039</v>
      </c>
      <c r="C4614" s="1" t="s">
        <v>4040</v>
      </c>
      <c r="D4614" s="22" t="str">
        <f>HYPERLINK("https://rhld.insurance.arkansas.gov/NPILookup?Npi=1801056999","1801056999")</f>
        <v>1801056999</v>
      </c>
      <c r="E4614" s="1" t="s">
        <v>16892</v>
      </c>
      <c r="F4614" s="2"/>
      <c r="G4614" s="2"/>
      <c r="H4614" s="2"/>
    </row>
    <row r="4615" spans="1:8" x14ac:dyDescent="0.25">
      <c r="A4615" s="1"/>
      <c r="B4615" s="1" t="s">
        <v>4039</v>
      </c>
      <c r="C4615" s="1" t="s">
        <v>4040</v>
      </c>
      <c r="D4615" s="22" t="str">
        <f>HYPERLINK("https://rhld.insurance.arkansas.gov/NPILookup?Npi=1801091012","1801091012")</f>
        <v>1801091012</v>
      </c>
      <c r="E4615" s="1" t="s">
        <v>1942</v>
      </c>
      <c r="F4615" s="2"/>
      <c r="G4615" s="2"/>
      <c r="H4615" s="2"/>
    </row>
    <row r="4616" spans="1:8" x14ac:dyDescent="0.25">
      <c r="A4616" s="1"/>
      <c r="B4616" s="1" t="s">
        <v>4039</v>
      </c>
      <c r="C4616" s="1" t="s">
        <v>4040</v>
      </c>
      <c r="D4616" s="22" t="str">
        <f>HYPERLINK("https://rhld.insurance.arkansas.gov/NPILookup?Npi=1801181672","1801181672")</f>
        <v>1801181672</v>
      </c>
      <c r="E4616" s="1" t="s">
        <v>817</v>
      </c>
      <c r="F4616" s="2"/>
      <c r="G4616" s="2"/>
      <c r="H4616" s="2"/>
    </row>
    <row r="4617" spans="1:8" x14ac:dyDescent="0.25">
      <c r="A4617" s="1"/>
      <c r="B4617" s="1" t="s">
        <v>4039</v>
      </c>
      <c r="C4617" s="1" t="s">
        <v>4040</v>
      </c>
      <c r="D4617" s="22" t="str">
        <f>HYPERLINK("https://rhld.insurance.arkansas.gov/NPILookup?Npi=1801298617","1801298617")</f>
        <v>1801298617</v>
      </c>
      <c r="E4617" s="1" t="s">
        <v>1365</v>
      </c>
      <c r="F4617" s="2"/>
      <c r="G4617" s="2"/>
      <c r="H4617" s="2"/>
    </row>
    <row r="4618" spans="1:8" x14ac:dyDescent="0.25">
      <c r="A4618" s="1"/>
      <c r="B4618" s="1" t="s">
        <v>4039</v>
      </c>
      <c r="C4618" s="1" t="s">
        <v>4040</v>
      </c>
      <c r="D4618" s="22" t="str">
        <f>HYPERLINK("https://rhld.insurance.arkansas.gov/NPILookup?Npi=1801328240","1801328240")</f>
        <v>1801328240</v>
      </c>
      <c r="E4618" s="1" t="s">
        <v>16893</v>
      </c>
      <c r="F4618" s="2"/>
      <c r="G4618" s="2"/>
      <c r="H4618" s="2"/>
    </row>
    <row r="4619" spans="1:8" x14ac:dyDescent="0.25">
      <c r="A4619" s="1"/>
      <c r="B4619" s="1" t="s">
        <v>4039</v>
      </c>
      <c r="C4619" s="1" t="s">
        <v>4040</v>
      </c>
      <c r="D4619" s="22" t="str">
        <f>HYPERLINK("https://rhld.insurance.arkansas.gov/NPILookup?Npi=1801380258","1801380258")</f>
        <v>1801380258</v>
      </c>
      <c r="E4619" s="1" t="s">
        <v>16894</v>
      </c>
      <c r="F4619" s="2"/>
      <c r="G4619" s="2"/>
      <c r="H4619" s="2"/>
    </row>
    <row r="4620" spans="1:8" x14ac:dyDescent="0.25">
      <c r="A4620" s="1"/>
      <c r="B4620" s="1" t="s">
        <v>4039</v>
      </c>
      <c r="C4620" s="1" t="s">
        <v>4040</v>
      </c>
      <c r="D4620" s="22" t="str">
        <f>HYPERLINK("https://rhld.insurance.arkansas.gov/NPILookup?Npi=1801527122","1801527122")</f>
        <v>1801527122</v>
      </c>
      <c r="E4620" s="1" t="s">
        <v>4129</v>
      </c>
      <c r="F4620" s="2"/>
      <c r="G4620" s="2"/>
      <c r="H4620" s="2"/>
    </row>
    <row r="4621" spans="1:8" x14ac:dyDescent="0.25">
      <c r="A4621" s="1"/>
      <c r="B4621" s="1" t="s">
        <v>4039</v>
      </c>
      <c r="C4621" s="1" t="s">
        <v>4040</v>
      </c>
      <c r="D4621" s="22" t="str">
        <f>HYPERLINK("https://rhld.insurance.arkansas.gov/NPILookup?Npi=1801529821","1801529821")</f>
        <v>1801529821</v>
      </c>
      <c r="E4621" s="1" t="s">
        <v>16895</v>
      </c>
      <c r="F4621" s="2"/>
      <c r="G4621" s="2"/>
      <c r="H4621" s="2"/>
    </row>
    <row r="4622" spans="1:8" x14ac:dyDescent="0.25">
      <c r="A4622" s="1"/>
      <c r="B4622" s="1" t="s">
        <v>4039</v>
      </c>
      <c r="C4622" s="1" t="s">
        <v>4040</v>
      </c>
      <c r="D4622" s="22" t="str">
        <f>HYPERLINK("https://rhld.insurance.arkansas.gov/NPILookup?Npi=1801596184","1801596184")</f>
        <v>1801596184</v>
      </c>
      <c r="E4622" s="1" t="s">
        <v>4130</v>
      </c>
      <c r="F4622" s="2"/>
      <c r="G4622" s="2"/>
      <c r="H4622" s="2"/>
    </row>
    <row r="4623" spans="1:8" x14ac:dyDescent="0.25">
      <c r="A4623" s="1"/>
      <c r="B4623" s="1" t="s">
        <v>4039</v>
      </c>
      <c r="C4623" s="1" t="s">
        <v>4040</v>
      </c>
      <c r="D4623" s="22" t="str">
        <f>HYPERLINK("https://rhld.insurance.arkansas.gov/NPILookup?Npi=1801800578","1801800578")</f>
        <v>1801800578</v>
      </c>
      <c r="E4623" s="1" t="s">
        <v>10124</v>
      </c>
      <c r="F4623" s="2"/>
      <c r="G4623" s="2"/>
      <c r="H4623" s="2"/>
    </row>
    <row r="4624" spans="1:8" x14ac:dyDescent="0.25">
      <c r="A4624" s="1"/>
      <c r="B4624" s="1" t="s">
        <v>4039</v>
      </c>
      <c r="C4624" s="1" t="s">
        <v>4040</v>
      </c>
      <c r="D4624" s="22" t="str">
        <f>HYPERLINK("https://rhld.insurance.arkansas.gov/NPILookup?Npi=1801906250","1801906250")</f>
        <v>1801906250</v>
      </c>
      <c r="E4624" s="1" t="s">
        <v>16896</v>
      </c>
      <c r="F4624" s="2"/>
      <c r="G4624" s="2"/>
      <c r="H4624" s="2"/>
    </row>
    <row r="4625" spans="1:8" x14ac:dyDescent="0.25">
      <c r="A4625" s="1"/>
      <c r="B4625" s="1" t="s">
        <v>4039</v>
      </c>
      <c r="C4625" s="1" t="s">
        <v>4040</v>
      </c>
      <c r="D4625" s="22" t="str">
        <f>HYPERLINK("https://rhld.insurance.arkansas.gov/NPILookup?Npi=1801924345","1801924345")</f>
        <v>1801924345</v>
      </c>
      <c r="E4625" s="1" t="s">
        <v>3713</v>
      </c>
      <c r="F4625" s="2"/>
      <c r="G4625" s="2"/>
      <c r="H4625" s="2"/>
    </row>
    <row r="4626" spans="1:8" x14ac:dyDescent="0.25">
      <c r="A4626" s="1"/>
      <c r="B4626" s="1" t="s">
        <v>4039</v>
      </c>
      <c r="C4626" s="1" t="s">
        <v>4040</v>
      </c>
      <c r="D4626" s="22" t="str">
        <f>HYPERLINK("https://rhld.insurance.arkansas.gov/NPILookup?Npi=1801932173","1801932173")</f>
        <v>1801932173</v>
      </c>
      <c r="E4626" s="1" t="s">
        <v>12067</v>
      </c>
      <c r="F4626" s="2"/>
      <c r="G4626" s="2"/>
      <c r="H4626" s="2"/>
    </row>
    <row r="4627" spans="1:8" x14ac:dyDescent="0.25">
      <c r="A4627" s="1"/>
      <c r="B4627" s="1" t="s">
        <v>4039</v>
      </c>
      <c r="C4627" s="1" t="s">
        <v>4040</v>
      </c>
      <c r="D4627" s="22" t="str">
        <f>HYPERLINK("https://rhld.insurance.arkansas.gov/NPILookup?Npi=1801962543","1801962543")</f>
        <v>1801962543</v>
      </c>
      <c r="E4627" s="1" t="s">
        <v>1193</v>
      </c>
      <c r="F4627" s="2"/>
      <c r="G4627" s="2"/>
      <c r="H4627" s="2"/>
    </row>
    <row r="4628" spans="1:8" x14ac:dyDescent="0.25">
      <c r="A4628" s="1"/>
      <c r="B4628" s="1" t="s">
        <v>4039</v>
      </c>
      <c r="C4628" s="1" t="s">
        <v>4040</v>
      </c>
      <c r="D4628" s="22" t="str">
        <f>HYPERLINK("https://rhld.insurance.arkansas.gov/NPILookup?Npi=1801984216","1801984216")</f>
        <v>1801984216</v>
      </c>
      <c r="E4628" s="1" t="s">
        <v>146</v>
      </c>
      <c r="F4628" s="2"/>
      <c r="G4628" s="2"/>
      <c r="H4628" s="2"/>
    </row>
    <row r="4629" spans="1:8" x14ac:dyDescent="0.25">
      <c r="A4629" s="1"/>
      <c r="B4629" s="1" t="s">
        <v>4039</v>
      </c>
      <c r="C4629" s="1" t="s">
        <v>4040</v>
      </c>
      <c r="D4629" s="22" t="str">
        <f>HYPERLINK("https://rhld.insurance.arkansas.gov/NPILookup?Npi=1801992623","1801992623")</f>
        <v>1801992623</v>
      </c>
      <c r="E4629" s="1" t="s">
        <v>16897</v>
      </c>
      <c r="F4629" s="2"/>
      <c r="G4629" s="2"/>
      <c r="H4629" s="2"/>
    </row>
    <row r="4630" spans="1:8" x14ac:dyDescent="0.25">
      <c r="A4630" s="1"/>
      <c r="B4630" s="1" t="s">
        <v>4039</v>
      </c>
      <c r="C4630" s="1" t="s">
        <v>4040</v>
      </c>
      <c r="D4630" s="22" t="str">
        <f>HYPERLINK("https://rhld.insurance.arkansas.gov/NPILookup?Npi=1811096126","1811096126")</f>
        <v>1811096126</v>
      </c>
      <c r="E4630" s="1" t="s">
        <v>16898</v>
      </c>
      <c r="F4630" s="2"/>
      <c r="G4630" s="2"/>
      <c r="H4630" s="2"/>
    </row>
    <row r="4631" spans="1:8" x14ac:dyDescent="0.25">
      <c r="A4631" s="1"/>
      <c r="B4631" s="1" t="s">
        <v>4039</v>
      </c>
      <c r="C4631" s="1" t="s">
        <v>4040</v>
      </c>
      <c r="D4631" s="22" t="str">
        <f>HYPERLINK("https://rhld.insurance.arkansas.gov/NPILookup?Npi=1811329329","1811329329")</f>
        <v>1811329329</v>
      </c>
      <c r="E4631" s="1" t="s">
        <v>10126</v>
      </c>
      <c r="F4631" s="2"/>
      <c r="G4631" s="2"/>
      <c r="H4631" s="2"/>
    </row>
    <row r="4632" spans="1:8" x14ac:dyDescent="0.25">
      <c r="A4632" s="1"/>
      <c r="B4632" s="1" t="s">
        <v>4039</v>
      </c>
      <c r="C4632" s="1" t="s">
        <v>4040</v>
      </c>
      <c r="D4632" s="22" t="str">
        <f>HYPERLINK("https://rhld.insurance.arkansas.gov/NPILookup?Npi=1811336704","1811336704")</f>
        <v>1811336704</v>
      </c>
      <c r="E4632" s="1" t="s">
        <v>16899</v>
      </c>
      <c r="F4632" s="2"/>
      <c r="G4632" s="2"/>
      <c r="H4632" s="2"/>
    </row>
    <row r="4633" spans="1:8" x14ac:dyDescent="0.25">
      <c r="A4633" s="1"/>
      <c r="B4633" s="1" t="s">
        <v>4039</v>
      </c>
      <c r="C4633" s="1" t="s">
        <v>4040</v>
      </c>
      <c r="D4633" s="22" t="str">
        <f>HYPERLINK("https://rhld.insurance.arkansas.gov/NPILookup?Npi=1811474703","1811474703")</f>
        <v>1811474703</v>
      </c>
      <c r="E4633" s="1" t="s">
        <v>31387</v>
      </c>
      <c r="F4633" s="2"/>
      <c r="G4633" s="2"/>
      <c r="H4633" s="2"/>
    </row>
    <row r="4634" spans="1:8" x14ac:dyDescent="0.25">
      <c r="A4634" s="1"/>
      <c r="B4634" s="1" t="s">
        <v>4039</v>
      </c>
      <c r="C4634" s="1" t="s">
        <v>4040</v>
      </c>
      <c r="D4634" s="22" t="str">
        <f>HYPERLINK("https://rhld.insurance.arkansas.gov/NPILookup?Npi=1811626898","1811626898")</f>
        <v>1811626898</v>
      </c>
      <c r="E4634" s="1" t="s">
        <v>10127</v>
      </c>
      <c r="F4634" s="2"/>
      <c r="G4634" s="2"/>
      <c r="H4634" s="2"/>
    </row>
    <row r="4635" spans="1:8" x14ac:dyDescent="0.25">
      <c r="A4635" s="1"/>
      <c r="B4635" s="1" t="s">
        <v>4039</v>
      </c>
      <c r="C4635" s="1" t="s">
        <v>4040</v>
      </c>
      <c r="D4635" s="22" t="str">
        <f>HYPERLINK("https://rhld.insurance.arkansas.gov/NPILookup?Npi=1811666464","1811666464")</f>
        <v>1811666464</v>
      </c>
      <c r="E4635" s="1" t="s">
        <v>16900</v>
      </c>
      <c r="F4635" s="2"/>
      <c r="G4635" s="2"/>
      <c r="H4635" s="2"/>
    </row>
    <row r="4636" spans="1:8" x14ac:dyDescent="0.25">
      <c r="A4636" s="1"/>
      <c r="B4636" s="1" t="s">
        <v>4039</v>
      </c>
      <c r="C4636" s="1" t="s">
        <v>4040</v>
      </c>
      <c r="D4636" s="22" t="str">
        <f>HYPERLINK("https://rhld.insurance.arkansas.gov/NPILookup?Npi=1811911100","1811911100")</f>
        <v>1811911100</v>
      </c>
      <c r="E4636" s="1" t="s">
        <v>16901</v>
      </c>
      <c r="F4636" s="2"/>
      <c r="G4636" s="2"/>
      <c r="H4636" s="2"/>
    </row>
    <row r="4637" spans="1:8" x14ac:dyDescent="0.25">
      <c r="A4637" s="1"/>
      <c r="B4637" s="1" t="s">
        <v>4039</v>
      </c>
      <c r="C4637" s="1" t="s">
        <v>4040</v>
      </c>
      <c r="D4637" s="22" t="str">
        <f>HYPERLINK("https://rhld.insurance.arkansas.gov/NPILookup?Npi=1811913999","1811913999")</f>
        <v>1811913999</v>
      </c>
      <c r="E4637" s="1" t="s">
        <v>16902</v>
      </c>
      <c r="F4637" s="2"/>
      <c r="G4637" s="2"/>
      <c r="H4637" s="2"/>
    </row>
    <row r="4638" spans="1:8" x14ac:dyDescent="0.25">
      <c r="A4638" s="1"/>
      <c r="B4638" s="1" t="s">
        <v>4039</v>
      </c>
      <c r="C4638" s="1" t="s">
        <v>4040</v>
      </c>
      <c r="D4638" s="22" t="str">
        <f>HYPERLINK("https://rhld.insurance.arkansas.gov/NPILookup?Npi=1811987258","1811987258")</f>
        <v>1811987258</v>
      </c>
      <c r="E4638" s="1" t="s">
        <v>818</v>
      </c>
      <c r="F4638" s="2"/>
      <c r="G4638" s="2"/>
      <c r="H4638" s="2"/>
    </row>
    <row r="4639" spans="1:8" x14ac:dyDescent="0.25">
      <c r="A4639" s="1"/>
      <c r="B4639" s="1" t="s">
        <v>4039</v>
      </c>
      <c r="C4639" s="1" t="s">
        <v>4040</v>
      </c>
      <c r="D4639" s="22" t="str">
        <f>HYPERLINK("https://rhld.insurance.arkansas.gov/NPILookup?Npi=1821007469","1821007469")</f>
        <v>1821007469</v>
      </c>
      <c r="E4639" s="1" t="s">
        <v>16903</v>
      </c>
      <c r="F4639" s="2"/>
      <c r="G4639" s="2"/>
      <c r="H4639" s="2"/>
    </row>
    <row r="4640" spans="1:8" x14ac:dyDescent="0.25">
      <c r="A4640" s="1"/>
      <c r="B4640" s="1" t="s">
        <v>4039</v>
      </c>
      <c r="C4640" s="1" t="s">
        <v>4040</v>
      </c>
      <c r="D4640" s="22" t="str">
        <f>HYPERLINK("https://rhld.insurance.arkansas.gov/NPILookup?Npi=1821010018","1821010018")</f>
        <v>1821010018</v>
      </c>
      <c r="E4640" s="1" t="s">
        <v>3714</v>
      </c>
      <c r="F4640" s="2"/>
      <c r="G4640" s="2"/>
      <c r="H4640" s="2"/>
    </row>
    <row r="4641" spans="1:8" x14ac:dyDescent="0.25">
      <c r="A4641" s="1"/>
      <c r="B4641" s="1" t="s">
        <v>4039</v>
      </c>
      <c r="C4641" s="1" t="s">
        <v>4040</v>
      </c>
      <c r="D4641" s="22" t="str">
        <f>HYPERLINK("https://rhld.insurance.arkansas.gov/NPILookup?Npi=1821060096","1821060096")</f>
        <v>1821060096</v>
      </c>
      <c r="E4641" s="1" t="s">
        <v>16904</v>
      </c>
      <c r="F4641" s="2"/>
      <c r="G4641" s="2"/>
      <c r="H4641" s="2"/>
    </row>
    <row r="4642" spans="1:8" x14ac:dyDescent="0.25">
      <c r="A4642" s="1"/>
      <c r="B4642" s="1" t="s">
        <v>4039</v>
      </c>
      <c r="C4642" s="1" t="s">
        <v>4040</v>
      </c>
      <c r="D4642" s="22" t="str">
        <f>HYPERLINK("https://rhld.insurance.arkansas.gov/NPILookup?Npi=1821062696","1821062696")</f>
        <v>1821062696</v>
      </c>
      <c r="E4642" s="1" t="s">
        <v>12377</v>
      </c>
      <c r="F4642" s="2"/>
      <c r="G4642" s="2"/>
      <c r="H4642" s="2"/>
    </row>
    <row r="4643" spans="1:8" x14ac:dyDescent="0.25">
      <c r="A4643" s="1"/>
      <c r="B4643" s="1" t="s">
        <v>4039</v>
      </c>
      <c r="C4643" s="1" t="s">
        <v>4040</v>
      </c>
      <c r="D4643" s="22" t="str">
        <f>HYPERLINK("https://rhld.insurance.arkansas.gov/NPILookup?Npi=1821123589","1821123589")</f>
        <v>1821123589</v>
      </c>
      <c r="E4643" s="1" t="s">
        <v>10128</v>
      </c>
      <c r="F4643" s="2"/>
      <c r="G4643" s="2"/>
      <c r="H4643" s="2"/>
    </row>
    <row r="4644" spans="1:8" x14ac:dyDescent="0.25">
      <c r="A4644" s="1"/>
      <c r="B4644" s="1" t="s">
        <v>4039</v>
      </c>
      <c r="C4644" s="1" t="s">
        <v>4040</v>
      </c>
      <c r="D4644" s="22" t="str">
        <f>HYPERLINK("https://rhld.insurance.arkansas.gov/NPILookup?Npi=1821131285","1821131285")</f>
        <v>1821131285</v>
      </c>
      <c r="E4644" s="1" t="s">
        <v>10129</v>
      </c>
      <c r="F4644" s="2"/>
      <c r="G4644" s="2"/>
      <c r="H4644" s="2"/>
    </row>
    <row r="4645" spans="1:8" x14ac:dyDescent="0.25">
      <c r="A4645" s="1"/>
      <c r="B4645" s="1" t="s">
        <v>4039</v>
      </c>
      <c r="C4645" s="1" t="s">
        <v>4040</v>
      </c>
      <c r="D4645" s="22" t="str">
        <f>HYPERLINK("https://rhld.insurance.arkansas.gov/NPILookup?Npi=1821149337","1821149337")</f>
        <v>1821149337</v>
      </c>
      <c r="E4645" s="1" t="s">
        <v>16905</v>
      </c>
      <c r="F4645" s="2"/>
      <c r="G4645" s="2"/>
      <c r="H4645" s="2"/>
    </row>
    <row r="4646" spans="1:8" x14ac:dyDescent="0.25">
      <c r="A4646" s="1"/>
      <c r="B4646" s="1" t="s">
        <v>4039</v>
      </c>
      <c r="C4646" s="1" t="s">
        <v>4040</v>
      </c>
      <c r="D4646" s="22" t="str">
        <f>HYPERLINK("https://rhld.insurance.arkansas.gov/NPILookup?Npi=1821150251","1821150251")</f>
        <v>1821150251</v>
      </c>
      <c r="E4646" s="1" t="s">
        <v>711</v>
      </c>
      <c r="F4646" s="2"/>
      <c r="G4646" s="2"/>
      <c r="H4646" s="2"/>
    </row>
    <row r="4647" spans="1:8" x14ac:dyDescent="0.25">
      <c r="A4647" s="1"/>
      <c r="B4647" s="1" t="s">
        <v>4039</v>
      </c>
      <c r="C4647" s="1" t="s">
        <v>4040</v>
      </c>
      <c r="D4647" s="22" t="str">
        <f>HYPERLINK("https://rhld.insurance.arkansas.gov/NPILookup?Npi=1821150293","1821150293")</f>
        <v>1821150293</v>
      </c>
      <c r="E4647" s="1" t="s">
        <v>1194</v>
      </c>
      <c r="F4647" s="2"/>
      <c r="G4647" s="2"/>
      <c r="H4647" s="2"/>
    </row>
    <row r="4648" spans="1:8" x14ac:dyDescent="0.25">
      <c r="A4648" s="1"/>
      <c r="B4648" s="1" t="s">
        <v>4039</v>
      </c>
      <c r="C4648" s="1" t="s">
        <v>4040</v>
      </c>
      <c r="D4648" s="22" t="str">
        <f>HYPERLINK("https://rhld.insurance.arkansas.gov/NPILookup?Npi=1821182577","1821182577")</f>
        <v>1821182577</v>
      </c>
      <c r="E4648" s="1" t="s">
        <v>16906</v>
      </c>
      <c r="F4648" s="2"/>
      <c r="G4648" s="2"/>
      <c r="H4648" s="2"/>
    </row>
    <row r="4649" spans="1:8" x14ac:dyDescent="0.25">
      <c r="A4649" s="1"/>
      <c r="B4649" s="1" t="s">
        <v>4039</v>
      </c>
      <c r="C4649" s="1" t="s">
        <v>4040</v>
      </c>
      <c r="D4649" s="22" t="str">
        <f>HYPERLINK("https://rhld.insurance.arkansas.gov/NPILookup?Npi=1821206004","1821206004")</f>
        <v>1821206004</v>
      </c>
      <c r="E4649" s="1" t="s">
        <v>1195</v>
      </c>
      <c r="F4649" s="2"/>
      <c r="G4649" s="2"/>
      <c r="H4649" s="2"/>
    </row>
    <row r="4650" spans="1:8" x14ac:dyDescent="0.25">
      <c r="A4650" s="1"/>
      <c r="B4650" s="1" t="s">
        <v>4039</v>
      </c>
      <c r="C4650" s="1" t="s">
        <v>4040</v>
      </c>
      <c r="D4650" s="22" t="str">
        <f>HYPERLINK("https://rhld.insurance.arkansas.gov/NPILookup?Npi=1821384900","1821384900")</f>
        <v>1821384900</v>
      </c>
      <c r="E4650" s="1" t="s">
        <v>10130</v>
      </c>
      <c r="F4650" s="2"/>
      <c r="G4650" s="2"/>
      <c r="H4650" s="2"/>
    </row>
    <row r="4651" spans="1:8" x14ac:dyDescent="0.25">
      <c r="A4651" s="1"/>
      <c r="B4651" s="1" t="s">
        <v>4039</v>
      </c>
      <c r="C4651" s="1" t="s">
        <v>4040</v>
      </c>
      <c r="D4651" s="22" t="str">
        <f>HYPERLINK("https://rhld.insurance.arkansas.gov/NPILookup?Npi=1821519240","1821519240")</f>
        <v>1821519240</v>
      </c>
      <c r="E4651" s="1" t="s">
        <v>16907</v>
      </c>
      <c r="F4651" s="2"/>
      <c r="G4651" s="2"/>
      <c r="H4651" s="2"/>
    </row>
    <row r="4652" spans="1:8" x14ac:dyDescent="0.25">
      <c r="A4652" s="1"/>
      <c r="B4652" s="1" t="s">
        <v>4039</v>
      </c>
      <c r="C4652" s="1" t="s">
        <v>4040</v>
      </c>
      <c r="D4652" s="22" t="str">
        <f>HYPERLINK("https://rhld.insurance.arkansas.gov/NPILookup?Npi=1821539628","1821539628")</f>
        <v>1821539628</v>
      </c>
      <c r="E4652" s="1" t="s">
        <v>10131</v>
      </c>
      <c r="F4652" s="2"/>
      <c r="G4652" s="2"/>
      <c r="H4652" s="2"/>
    </row>
    <row r="4653" spans="1:8" x14ac:dyDescent="0.25">
      <c r="A4653" s="1"/>
      <c r="B4653" s="1" t="s">
        <v>4039</v>
      </c>
      <c r="C4653" s="1" t="s">
        <v>4040</v>
      </c>
      <c r="D4653" s="22" t="str">
        <f>HYPERLINK("https://rhld.insurance.arkansas.gov/NPILookup?Npi=1821582842","1821582842")</f>
        <v>1821582842</v>
      </c>
      <c r="E4653" s="1" t="s">
        <v>16908</v>
      </c>
      <c r="F4653" s="2"/>
      <c r="G4653" s="2"/>
      <c r="H4653" s="2"/>
    </row>
    <row r="4654" spans="1:8" x14ac:dyDescent="0.25">
      <c r="A4654" s="1"/>
      <c r="B4654" s="1" t="s">
        <v>4039</v>
      </c>
      <c r="C4654" s="1" t="s">
        <v>4040</v>
      </c>
      <c r="D4654" s="22" t="str">
        <f>HYPERLINK("https://rhld.insurance.arkansas.gov/NPILookup?Npi=1821643206","1821643206")</f>
        <v>1821643206</v>
      </c>
      <c r="E4654" s="1" t="s">
        <v>1940</v>
      </c>
      <c r="F4654" s="2"/>
      <c r="G4654" s="2"/>
      <c r="H4654" s="2"/>
    </row>
    <row r="4655" spans="1:8" x14ac:dyDescent="0.25">
      <c r="A4655" s="1"/>
      <c r="B4655" s="1" t="s">
        <v>4039</v>
      </c>
      <c r="C4655" s="1" t="s">
        <v>4040</v>
      </c>
      <c r="D4655" s="22" t="str">
        <f>HYPERLINK("https://rhld.insurance.arkansas.gov/NPILookup?Npi=1821670860","1821670860")</f>
        <v>1821670860</v>
      </c>
      <c r="E4655" s="1" t="s">
        <v>16909</v>
      </c>
      <c r="F4655" s="2"/>
      <c r="G4655" s="2"/>
      <c r="H4655" s="2"/>
    </row>
    <row r="4656" spans="1:8" x14ac:dyDescent="0.25">
      <c r="A4656" s="1"/>
      <c r="B4656" s="1" t="s">
        <v>4039</v>
      </c>
      <c r="C4656" s="1" t="s">
        <v>4040</v>
      </c>
      <c r="D4656" s="22" t="str">
        <f>HYPERLINK("https://rhld.insurance.arkansas.gov/NPILookup?Npi=1821718222","1821718222")</f>
        <v>1821718222</v>
      </c>
      <c r="E4656" s="1" t="s">
        <v>16910</v>
      </c>
      <c r="F4656" s="2"/>
      <c r="G4656" s="2"/>
      <c r="H4656" s="2"/>
    </row>
    <row r="4657" spans="1:8" x14ac:dyDescent="0.25">
      <c r="A4657" s="1"/>
      <c r="B4657" s="1" t="s">
        <v>4039</v>
      </c>
      <c r="C4657" s="1" t="s">
        <v>4040</v>
      </c>
      <c r="D4657" s="22" t="str">
        <f>HYPERLINK("https://rhld.insurance.arkansas.gov/NPILookup?Npi=1821739087","1821739087")</f>
        <v>1821739087</v>
      </c>
      <c r="E4657" s="1" t="s">
        <v>16911</v>
      </c>
      <c r="F4657" s="2"/>
      <c r="G4657" s="2"/>
      <c r="H4657" s="2"/>
    </row>
    <row r="4658" spans="1:8" x14ac:dyDescent="0.25">
      <c r="A4658" s="1"/>
      <c r="B4658" s="1" t="s">
        <v>4039</v>
      </c>
      <c r="C4658" s="1" t="s">
        <v>4040</v>
      </c>
      <c r="D4658" s="22" t="str">
        <f>HYPERLINK("https://rhld.insurance.arkansas.gov/NPILookup?Npi=1821773599","1821773599")</f>
        <v>1821773599</v>
      </c>
      <c r="E4658" s="1" t="s">
        <v>10132</v>
      </c>
      <c r="F4658" s="2"/>
      <c r="G4658" s="2"/>
      <c r="H4658" s="2"/>
    </row>
    <row r="4659" spans="1:8" x14ac:dyDescent="0.25">
      <c r="A4659" s="1"/>
      <c r="B4659" s="1" t="s">
        <v>4039</v>
      </c>
      <c r="C4659" s="1" t="s">
        <v>4040</v>
      </c>
      <c r="D4659" s="22" t="str">
        <f>HYPERLINK("https://rhld.insurance.arkansas.gov/NPILookup?Npi=1821787599","1821787599")</f>
        <v>1821787599</v>
      </c>
      <c r="E4659" s="1" t="s">
        <v>16912</v>
      </c>
      <c r="F4659" s="2"/>
      <c r="G4659" s="2"/>
      <c r="H4659" s="2"/>
    </row>
    <row r="4660" spans="1:8" x14ac:dyDescent="0.25">
      <c r="A4660" s="1"/>
      <c r="B4660" s="1" t="s">
        <v>4039</v>
      </c>
      <c r="C4660" s="1" t="s">
        <v>4040</v>
      </c>
      <c r="D4660" s="22" t="str">
        <f>HYPERLINK("https://rhld.insurance.arkansas.gov/NPILookup?Npi=1821788092","1821788092")</f>
        <v>1821788092</v>
      </c>
      <c r="E4660" s="1" t="s">
        <v>16913</v>
      </c>
      <c r="F4660" s="2"/>
      <c r="G4660" s="2"/>
      <c r="H4660" s="2"/>
    </row>
    <row r="4661" spans="1:8" x14ac:dyDescent="0.25">
      <c r="A4661" s="1"/>
      <c r="B4661" s="1" t="s">
        <v>4039</v>
      </c>
      <c r="C4661" s="1" t="s">
        <v>4040</v>
      </c>
      <c r="D4661" s="22" t="str">
        <f>HYPERLINK("https://rhld.insurance.arkansas.gov/NPILookup?Npi=1821984402","1821984402")</f>
        <v>1821984402</v>
      </c>
      <c r="E4661" s="1" t="s">
        <v>31388</v>
      </c>
      <c r="F4661" s="2"/>
      <c r="G4661" s="2"/>
      <c r="H4661" s="2"/>
    </row>
    <row r="4662" spans="1:8" x14ac:dyDescent="0.25">
      <c r="A4662" s="1"/>
      <c r="B4662" s="1" t="s">
        <v>4039</v>
      </c>
      <c r="C4662" s="1" t="s">
        <v>4040</v>
      </c>
      <c r="D4662" s="22" t="str">
        <f>HYPERLINK("https://rhld.insurance.arkansas.gov/NPILookup?Npi=1831106434","1831106434")</f>
        <v>1831106434</v>
      </c>
      <c r="E4662" s="1" t="s">
        <v>556</v>
      </c>
      <c r="F4662" s="2"/>
      <c r="G4662" s="2"/>
      <c r="H4662" s="2"/>
    </row>
    <row r="4663" spans="1:8" x14ac:dyDescent="0.25">
      <c r="A4663" s="1"/>
      <c r="B4663" s="1" t="s">
        <v>4039</v>
      </c>
      <c r="C4663" s="1" t="s">
        <v>4040</v>
      </c>
      <c r="D4663" s="22" t="str">
        <f>HYPERLINK("https://rhld.insurance.arkansas.gov/NPILookup?Npi=1831166750","1831166750")</f>
        <v>1831166750</v>
      </c>
      <c r="E4663" s="1" t="s">
        <v>11903</v>
      </c>
      <c r="F4663" s="2"/>
      <c r="G4663" s="2"/>
      <c r="H4663" s="2"/>
    </row>
    <row r="4664" spans="1:8" x14ac:dyDescent="0.25">
      <c r="A4664" s="1"/>
      <c r="B4664" s="1" t="s">
        <v>4039</v>
      </c>
      <c r="C4664" s="1" t="s">
        <v>4040</v>
      </c>
      <c r="D4664" s="22" t="str">
        <f>HYPERLINK("https://rhld.insurance.arkansas.gov/NPILookup?Npi=1831250752","1831250752")</f>
        <v>1831250752</v>
      </c>
      <c r="E4664" s="1" t="s">
        <v>16914</v>
      </c>
      <c r="F4664" s="2"/>
      <c r="G4664" s="2"/>
      <c r="H4664" s="2"/>
    </row>
    <row r="4665" spans="1:8" x14ac:dyDescent="0.25">
      <c r="A4665" s="1"/>
      <c r="B4665" s="1" t="s">
        <v>4039</v>
      </c>
      <c r="C4665" s="1" t="s">
        <v>4040</v>
      </c>
      <c r="D4665" s="22" t="str">
        <f>HYPERLINK("https://rhld.insurance.arkansas.gov/NPILookup?Npi=1831257245","1831257245")</f>
        <v>1831257245</v>
      </c>
      <c r="E4665" s="1" t="s">
        <v>16915</v>
      </c>
      <c r="F4665" s="2"/>
      <c r="G4665" s="2"/>
      <c r="H4665" s="2"/>
    </row>
    <row r="4666" spans="1:8" x14ac:dyDescent="0.25">
      <c r="A4666" s="1"/>
      <c r="B4666" s="1" t="s">
        <v>4039</v>
      </c>
      <c r="C4666" s="1" t="s">
        <v>4040</v>
      </c>
      <c r="D4666" s="22" t="str">
        <f>HYPERLINK("https://rhld.insurance.arkansas.gov/NPILookup?Npi=1831263821","1831263821")</f>
        <v>1831263821</v>
      </c>
      <c r="E4666" s="1" t="s">
        <v>588</v>
      </c>
      <c r="F4666" s="2"/>
      <c r="G4666" s="2"/>
      <c r="H4666" s="2"/>
    </row>
    <row r="4667" spans="1:8" x14ac:dyDescent="0.25">
      <c r="A4667" s="1"/>
      <c r="B4667" s="1" t="s">
        <v>4039</v>
      </c>
      <c r="C4667" s="1" t="s">
        <v>4040</v>
      </c>
      <c r="D4667" s="22" t="str">
        <f>HYPERLINK("https://rhld.insurance.arkansas.gov/NPILookup?Npi=1831301951","1831301951")</f>
        <v>1831301951</v>
      </c>
      <c r="E4667" s="1" t="s">
        <v>601</v>
      </c>
      <c r="F4667" s="2"/>
      <c r="G4667" s="2"/>
      <c r="H4667" s="2"/>
    </row>
    <row r="4668" spans="1:8" x14ac:dyDescent="0.25">
      <c r="A4668" s="1"/>
      <c r="B4668" s="1" t="s">
        <v>4039</v>
      </c>
      <c r="C4668" s="1" t="s">
        <v>4040</v>
      </c>
      <c r="D4668" s="22" t="str">
        <f>HYPERLINK("https://rhld.insurance.arkansas.gov/NPILookup?Npi=1831314574","1831314574")</f>
        <v>1831314574</v>
      </c>
      <c r="E4668" s="1" t="s">
        <v>16916</v>
      </c>
      <c r="F4668" s="2"/>
      <c r="G4668" s="2"/>
      <c r="H4668" s="2"/>
    </row>
    <row r="4669" spans="1:8" x14ac:dyDescent="0.25">
      <c r="A4669" s="1"/>
      <c r="B4669" s="1" t="s">
        <v>4039</v>
      </c>
      <c r="C4669" s="1" t="s">
        <v>4040</v>
      </c>
      <c r="D4669" s="22" t="str">
        <f>HYPERLINK("https://rhld.insurance.arkansas.gov/NPILookup?Npi=1831350651","1831350651")</f>
        <v>1831350651</v>
      </c>
      <c r="E4669" s="1" t="s">
        <v>604</v>
      </c>
      <c r="F4669" s="2"/>
      <c r="G4669" s="2"/>
      <c r="H4669" s="2"/>
    </row>
    <row r="4670" spans="1:8" x14ac:dyDescent="0.25">
      <c r="A4670" s="1"/>
      <c r="B4670" s="1" t="s">
        <v>4039</v>
      </c>
      <c r="C4670" s="1" t="s">
        <v>4040</v>
      </c>
      <c r="D4670" s="22" t="str">
        <f>HYPERLINK("https://rhld.insurance.arkansas.gov/NPILookup?Npi=1831567189","1831567189")</f>
        <v>1831567189</v>
      </c>
      <c r="E4670" s="1" t="s">
        <v>2343</v>
      </c>
      <c r="F4670" s="2"/>
      <c r="G4670" s="2"/>
      <c r="H4670" s="2"/>
    </row>
    <row r="4671" spans="1:8" x14ac:dyDescent="0.25">
      <c r="A4671" s="1"/>
      <c r="B4671" s="1" t="s">
        <v>4039</v>
      </c>
      <c r="C4671" s="1" t="s">
        <v>4040</v>
      </c>
      <c r="D4671" s="22" t="str">
        <f>HYPERLINK("https://rhld.insurance.arkansas.gov/NPILookup?Npi=1831641877","1831641877")</f>
        <v>1831641877</v>
      </c>
      <c r="E4671" s="1" t="s">
        <v>10133</v>
      </c>
      <c r="F4671" s="2"/>
      <c r="G4671" s="2"/>
      <c r="H4671" s="2"/>
    </row>
    <row r="4672" spans="1:8" x14ac:dyDescent="0.25">
      <c r="A4672" s="1"/>
      <c r="B4672" s="1" t="s">
        <v>4039</v>
      </c>
      <c r="C4672" s="1" t="s">
        <v>4040</v>
      </c>
      <c r="D4672" s="22" t="str">
        <f>HYPERLINK("https://rhld.insurance.arkansas.gov/NPILookup?Npi=1831684513","1831684513")</f>
        <v>1831684513</v>
      </c>
      <c r="E4672" s="1" t="s">
        <v>16917</v>
      </c>
      <c r="F4672" s="2"/>
      <c r="G4672" s="2"/>
      <c r="H4672" s="2"/>
    </row>
    <row r="4673" spans="1:8" x14ac:dyDescent="0.25">
      <c r="A4673" s="1"/>
      <c r="B4673" s="1" t="s">
        <v>4039</v>
      </c>
      <c r="C4673" s="1" t="s">
        <v>4040</v>
      </c>
      <c r="D4673" s="22" t="str">
        <f>HYPERLINK("https://rhld.insurance.arkansas.gov/NPILookup?Npi=1831709633","1831709633")</f>
        <v>1831709633</v>
      </c>
      <c r="E4673" s="1" t="s">
        <v>10134</v>
      </c>
      <c r="F4673" s="2"/>
      <c r="G4673" s="2"/>
      <c r="H4673" s="2"/>
    </row>
    <row r="4674" spans="1:8" x14ac:dyDescent="0.25">
      <c r="A4674" s="1"/>
      <c r="B4674" s="1" t="s">
        <v>4039</v>
      </c>
      <c r="C4674" s="1" t="s">
        <v>4040</v>
      </c>
      <c r="D4674" s="22" t="str">
        <f>HYPERLINK("https://rhld.insurance.arkansas.gov/NPILookup?Npi=1831767656","1831767656")</f>
        <v>1831767656</v>
      </c>
      <c r="E4674" s="1" t="s">
        <v>16918</v>
      </c>
      <c r="F4674" s="2"/>
      <c r="G4674" s="2"/>
      <c r="H4674" s="2"/>
    </row>
    <row r="4675" spans="1:8" x14ac:dyDescent="0.25">
      <c r="A4675" s="1"/>
      <c r="B4675" s="1" t="s">
        <v>4039</v>
      </c>
      <c r="C4675" s="1" t="s">
        <v>4040</v>
      </c>
      <c r="D4675" s="22" t="str">
        <f>HYPERLINK("https://rhld.insurance.arkansas.gov/NPILookup?Npi=1831930452","1831930452")</f>
        <v>1831930452</v>
      </c>
      <c r="E4675" s="1" t="s">
        <v>31389</v>
      </c>
      <c r="F4675" s="2"/>
      <c r="G4675" s="2"/>
      <c r="H4675" s="2"/>
    </row>
    <row r="4676" spans="1:8" x14ac:dyDescent="0.25">
      <c r="A4676" s="1"/>
      <c r="B4676" s="1" t="s">
        <v>4039</v>
      </c>
      <c r="C4676" s="1" t="s">
        <v>4040</v>
      </c>
      <c r="D4676" s="22" t="str">
        <f>HYPERLINK("https://rhld.insurance.arkansas.gov/NPILookup?Npi=1841034824","1841034824")</f>
        <v>1841034824</v>
      </c>
      <c r="E4676" s="1" t="s">
        <v>16919</v>
      </c>
      <c r="F4676" s="2"/>
      <c r="G4676" s="2"/>
      <c r="H4676" s="2"/>
    </row>
    <row r="4677" spans="1:8" x14ac:dyDescent="0.25">
      <c r="A4677" s="1"/>
      <c r="B4677" s="1" t="s">
        <v>4039</v>
      </c>
      <c r="C4677" s="1" t="s">
        <v>4040</v>
      </c>
      <c r="D4677" s="22" t="str">
        <f>HYPERLINK("https://rhld.insurance.arkansas.gov/NPILookup?Npi=1841049236","1841049236")</f>
        <v>1841049236</v>
      </c>
      <c r="E4677" s="1" t="s">
        <v>31390</v>
      </c>
      <c r="F4677" s="2"/>
      <c r="G4677" s="2"/>
      <c r="H4677" s="2"/>
    </row>
    <row r="4678" spans="1:8" x14ac:dyDescent="0.25">
      <c r="A4678" s="1"/>
      <c r="B4678" s="1" t="s">
        <v>4039</v>
      </c>
      <c r="C4678" s="1" t="s">
        <v>4040</v>
      </c>
      <c r="D4678" s="22" t="str">
        <f>HYPERLINK("https://rhld.insurance.arkansas.gov/NPILookup?Npi=1841339942","1841339942")</f>
        <v>1841339942</v>
      </c>
      <c r="E4678" s="1" t="s">
        <v>1196</v>
      </c>
      <c r="F4678" s="2"/>
      <c r="G4678" s="2"/>
      <c r="H4678" s="2"/>
    </row>
    <row r="4679" spans="1:8" x14ac:dyDescent="0.25">
      <c r="A4679" s="1"/>
      <c r="B4679" s="1" t="s">
        <v>4039</v>
      </c>
      <c r="C4679" s="1" t="s">
        <v>4040</v>
      </c>
      <c r="D4679" s="22" t="str">
        <f>HYPERLINK("https://rhld.insurance.arkansas.gov/NPILookup?Npi=1841346764","1841346764")</f>
        <v>1841346764</v>
      </c>
      <c r="E4679" s="1" t="s">
        <v>589</v>
      </c>
      <c r="F4679" s="2"/>
      <c r="G4679" s="2"/>
      <c r="H4679" s="2"/>
    </row>
    <row r="4680" spans="1:8" x14ac:dyDescent="0.25">
      <c r="A4680" s="1"/>
      <c r="B4680" s="1" t="s">
        <v>4039</v>
      </c>
      <c r="C4680" s="1" t="s">
        <v>4040</v>
      </c>
      <c r="D4680" s="22" t="str">
        <f>HYPERLINK("https://rhld.insurance.arkansas.gov/NPILookup?Npi=1841356987","1841356987")</f>
        <v>1841356987</v>
      </c>
      <c r="E4680" s="1" t="s">
        <v>217</v>
      </c>
      <c r="F4680" s="2"/>
      <c r="G4680" s="2"/>
      <c r="H4680" s="2"/>
    </row>
    <row r="4681" spans="1:8" x14ac:dyDescent="0.25">
      <c r="A4681" s="1"/>
      <c r="B4681" s="1" t="s">
        <v>4039</v>
      </c>
      <c r="C4681" s="1" t="s">
        <v>4040</v>
      </c>
      <c r="D4681" s="22" t="str">
        <f>HYPERLINK("https://rhld.insurance.arkansas.gov/NPILookup?Npi=1841405917","1841405917")</f>
        <v>1841405917</v>
      </c>
      <c r="E4681" s="1" t="s">
        <v>16920</v>
      </c>
      <c r="F4681" s="2"/>
      <c r="G4681" s="2"/>
      <c r="H4681" s="2"/>
    </row>
    <row r="4682" spans="1:8" x14ac:dyDescent="0.25">
      <c r="A4682" s="1"/>
      <c r="B4682" s="1" t="s">
        <v>4039</v>
      </c>
      <c r="C4682" s="1" t="s">
        <v>4040</v>
      </c>
      <c r="D4682" s="22" t="str">
        <f>HYPERLINK("https://rhld.insurance.arkansas.gov/NPILookup?Npi=1841428117","1841428117")</f>
        <v>1841428117</v>
      </c>
      <c r="E4682" s="1" t="s">
        <v>590</v>
      </c>
      <c r="F4682" s="2"/>
      <c r="G4682" s="2"/>
      <c r="H4682" s="2"/>
    </row>
    <row r="4683" spans="1:8" x14ac:dyDescent="0.25">
      <c r="A4683" s="1"/>
      <c r="B4683" s="1" t="s">
        <v>4039</v>
      </c>
      <c r="C4683" s="1" t="s">
        <v>4040</v>
      </c>
      <c r="D4683" s="22" t="str">
        <f>HYPERLINK("https://rhld.insurance.arkansas.gov/NPILookup?Npi=1841585965","1841585965")</f>
        <v>1841585965</v>
      </c>
      <c r="E4683" s="1" t="s">
        <v>16921</v>
      </c>
      <c r="F4683" s="2"/>
      <c r="G4683" s="2"/>
      <c r="H4683" s="2"/>
    </row>
    <row r="4684" spans="1:8" x14ac:dyDescent="0.25">
      <c r="A4684" s="1"/>
      <c r="B4684" s="1" t="s">
        <v>4039</v>
      </c>
      <c r="C4684" s="1" t="s">
        <v>4040</v>
      </c>
      <c r="D4684" s="22" t="str">
        <f>HYPERLINK("https://rhld.insurance.arkansas.gov/NPILookup?Npi=1841628559","1841628559")</f>
        <v>1841628559</v>
      </c>
      <c r="E4684" s="1" t="s">
        <v>16922</v>
      </c>
      <c r="F4684" s="2"/>
      <c r="G4684" s="2"/>
      <c r="H4684" s="2"/>
    </row>
    <row r="4685" spans="1:8" x14ac:dyDescent="0.25">
      <c r="A4685" s="1"/>
      <c r="B4685" s="1" t="s">
        <v>4039</v>
      </c>
      <c r="C4685" s="1" t="s">
        <v>4040</v>
      </c>
      <c r="D4685" s="22" t="str">
        <f>HYPERLINK("https://rhld.insurance.arkansas.gov/NPILookup?Npi=1841641560","1841641560")</f>
        <v>1841641560</v>
      </c>
      <c r="E4685" s="1" t="s">
        <v>16923</v>
      </c>
      <c r="F4685" s="2"/>
      <c r="G4685" s="2"/>
      <c r="H4685" s="2"/>
    </row>
    <row r="4686" spans="1:8" x14ac:dyDescent="0.25">
      <c r="A4686" s="1"/>
      <c r="B4686" s="1" t="s">
        <v>4039</v>
      </c>
      <c r="C4686" s="1" t="s">
        <v>4040</v>
      </c>
      <c r="D4686" s="22" t="str">
        <f>HYPERLINK("https://rhld.insurance.arkansas.gov/NPILookup?Npi=1841720620","1841720620")</f>
        <v>1841720620</v>
      </c>
      <c r="E4686" s="1" t="s">
        <v>16924</v>
      </c>
      <c r="F4686" s="2"/>
      <c r="G4686" s="2"/>
      <c r="H4686" s="2"/>
    </row>
    <row r="4687" spans="1:8" x14ac:dyDescent="0.25">
      <c r="A4687" s="1"/>
      <c r="B4687" s="1" t="s">
        <v>4039</v>
      </c>
      <c r="C4687" s="1" t="s">
        <v>4040</v>
      </c>
      <c r="D4687" s="22" t="str">
        <f>HYPERLINK("https://rhld.insurance.arkansas.gov/NPILookup?Npi=1841728235","1841728235")</f>
        <v>1841728235</v>
      </c>
      <c r="E4687" s="1" t="s">
        <v>1625</v>
      </c>
      <c r="F4687" s="2"/>
      <c r="G4687" s="2"/>
      <c r="H4687" s="2"/>
    </row>
    <row r="4688" spans="1:8" x14ac:dyDescent="0.25">
      <c r="A4688" s="1"/>
      <c r="B4688" s="1" t="s">
        <v>4039</v>
      </c>
      <c r="C4688" s="1" t="s">
        <v>4040</v>
      </c>
      <c r="D4688" s="22" t="str">
        <f>HYPERLINK("https://rhld.insurance.arkansas.gov/NPILookup?Npi=1841753795","1841753795")</f>
        <v>1841753795</v>
      </c>
      <c r="E4688" s="1" t="s">
        <v>16925</v>
      </c>
      <c r="F4688" s="2"/>
      <c r="G4688" s="2"/>
      <c r="H4688" s="2"/>
    </row>
    <row r="4689" spans="1:8" x14ac:dyDescent="0.25">
      <c r="A4689" s="1"/>
      <c r="B4689" s="1" t="s">
        <v>4039</v>
      </c>
      <c r="C4689" s="1" t="s">
        <v>4040</v>
      </c>
      <c r="D4689" s="22" t="str">
        <f>HYPERLINK("https://rhld.insurance.arkansas.gov/NPILookup?Npi=1841782281","1841782281")</f>
        <v>1841782281</v>
      </c>
      <c r="E4689" s="1" t="s">
        <v>16926</v>
      </c>
      <c r="F4689" s="2"/>
      <c r="G4689" s="2"/>
      <c r="H4689" s="2"/>
    </row>
    <row r="4690" spans="1:8" x14ac:dyDescent="0.25">
      <c r="A4690" s="1"/>
      <c r="B4690" s="1" t="s">
        <v>4039</v>
      </c>
      <c r="C4690" s="1" t="s">
        <v>4040</v>
      </c>
      <c r="D4690" s="22" t="str">
        <f>HYPERLINK("https://rhld.insurance.arkansas.gov/NPILookup?Npi=1841851458","1841851458")</f>
        <v>1841851458</v>
      </c>
      <c r="E4690" s="1" t="s">
        <v>4131</v>
      </c>
      <c r="F4690" s="2"/>
      <c r="G4690" s="2"/>
      <c r="H4690" s="2"/>
    </row>
    <row r="4691" spans="1:8" x14ac:dyDescent="0.25">
      <c r="A4691" s="1"/>
      <c r="B4691" s="1" t="s">
        <v>4039</v>
      </c>
      <c r="C4691" s="1" t="s">
        <v>4040</v>
      </c>
      <c r="D4691" s="22" t="str">
        <f>HYPERLINK("https://rhld.insurance.arkansas.gov/NPILookup?Npi=1851023717","1851023717")</f>
        <v>1851023717</v>
      </c>
      <c r="E4691" s="1" t="s">
        <v>16927</v>
      </c>
      <c r="F4691" s="2"/>
      <c r="G4691" s="2"/>
      <c r="H4691" s="2"/>
    </row>
    <row r="4692" spans="1:8" x14ac:dyDescent="0.25">
      <c r="A4692" s="1"/>
      <c r="B4692" s="1" t="s">
        <v>4039</v>
      </c>
      <c r="C4692" s="1" t="s">
        <v>4040</v>
      </c>
      <c r="D4692" s="22" t="str">
        <f>HYPERLINK("https://rhld.insurance.arkansas.gov/NPILookup?Npi=1851025738","1851025738")</f>
        <v>1851025738</v>
      </c>
      <c r="E4692" s="1" t="s">
        <v>3715</v>
      </c>
      <c r="F4692" s="2"/>
      <c r="G4692" s="2"/>
      <c r="H4692" s="2"/>
    </row>
    <row r="4693" spans="1:8" x14ac:dyDescent="0.25">
      <c r="A4693" s="1"/>
      <c r="B4693" s="1" t="s">
        <v>4039</v>
      </c>
      <c r="C4693" s="1" t="s">
        <v>4040</v>
      </c>
      <c r="D4693" s="22" t="str">
        <f>HYPERLINK("https://rhld.insurance.arkansas.gov/NPILookup?Npi=1851311591","1851311591")</f>
        <v>1851311591</v>
      </c>
      <c r="E4693" s="1" t="s">
        <v>16928</v>
      </c>
      <c r="F4693" s="2"/>
      <c r="G4693" s="2"/>
      <c r="H4693" s="2"/>
    </row>
    <row r="4694" spans="1:8" x14ac:dyDescent="0.25">
      <c r="A4694" s="1"/>
      <c r="B4694" s="1" t="s">
        <v>4039</v>
      </c>
      <c r="C4694" s="1" t="s">
        <v>4040</v>
      </c>
      <c r="D4694" s="22" t="str">
        <f>HYPERLINK("https://rhld.insurance.arkansas.gov/NPILookup?Npi=1851334023","1851334023")</f>
        <v>1851334023</v>
      </c>
      <c r="E4694" s="1" t="s">
        <v>10135</v>
      </c>
      <c r="F4694" s="2"/>
      <c r="G4694" s="2"/>
      <c r="H4694" s="2"/>
    </row>
    <row r="4695" spans="1:8" x14ac:dyDescent="0.25">
      <c r="A4695" s="1"/>
      <c r="B4695" s="1" t="s">
        <v>4039</v>
      </c>
      <c r="C4695" s="1" t="s">
        <v>4040</v>
      </c>
      <c r="D4695" s="22" t="str">
        <f>HYPERLINK("https://rhld.insurance.arkansas.gov/NPILookup?Npi=1851468128","1851468128")</f>
        <v>1851468128</v>
      </c>
      <c r="E4695" s="1" t="s">
        <v>16929</v>
      </c>
      <c r="F4695" s="2"/>
      <c r="G4695" s="2"/>
      <c r="H4695" s="2"/>
    </row>
    <row r="4696" spans="1:8" x14ac:dyDescent="0.25">
      <c r="A4696" s="1"/>
      <c r="B4696" s="1" t="s">
        <v>4039</v>
      </c>
      <c r="C4696" s="1" t="s">
        <v>4040</v>
      </c>
      <c r="D4696" s="22" t="str">
        <f>HYPERLINK("https://rhld.insurance.arkansas.gov/NPILookup?Npi=1851473326","1851473326")</f>
        <v>1851473326</v>
      </c>
      <c r="E4696" s="1" t="s">
        <v>16930</v>
      </c>
      <c r="F4696" s="2"/>
      <c r="G4696" s="2"/>
      <c r="H4696" s="2"/>
    </row>
    <row r="4697" spans="1:8" x14ac:dyDescent="0.25">
      <c r="A4697" s="1"/>
      <c r="B4697" s="1" t="s">
        <v>4039</v>
      </c>
      <c r="C4697" s="1" t="s">
        <v>4040</v>
      </c>
      <c r="D4697" s="22" t="str">
        <f>HYPERLINK("https://rhld.insurance.arkansas.gov/NPILookup?Npi=1861074593","1861074593")</f>
        <v>1861074593</v>
      </c>
      <c r="E4697" s="1" t="s">
        <v>16931</v>
      </c>
      <c r="F4697" s="2"/>
      <c r="G4697" s="2"/>
      <c r="H4697" s="2"/>
    </row>
    <row r="4698" spans="1:8" x14ac:dyDescent="0.25">
      <c r="A4698" s="1"/>
      <c r="B4698" s="1" t="s">
        <v>4039</v>
      </c>
      <c r="C4698" s="1" t="s">
        <v>4040</v>
      </c>
      <c r="D4698" s="22" t="str">
        <f>HYPERLINK("https://rhld.insurance.arkansas.gov/NPILookup?Npi=1861198251","1861198251")</f>
        <v>1861198251</v>
      </c>
      <c r="E4698" s="1" t="s">
        <v>31391</v>
      </c>
      <c r="F4698" s="2"/>
      <c r="G4698" s="2"/>
      <c r="H4698" s="2"/>
    </row>
    <row r="4699" spans="1:8" x14ac:dyDescent="0.25">
      <c r="A4699" s="1"/>
      <c r="B4699" s="1" t="s">
        <v>4039</v>
      </c>
      <c r="C4699" s="1" t="s">
        <v>4040</v>
      </c>
      <c r="D4699" s="22" t="str">
        <f>HYPERLINK("https://rhld.insurance.arkansas.gov/NPILookup?Npi=1861242778","1861242778")</f>
        <v>1861242778</v>
      </c>
      <c r="E4699" s="1" t="s">
        <v>31392</v>
      </c>
      <c r="F4699" s="2"/>
      <c r="G4699" s="2"/>
      <c r="H4699" s="2"/>
    </row>
    <row r="4700" spans="1:8" x14ac:dyDescent="0.25">
      <c r="A4700" s="1"/>
      <c r="B4700" s="1" t="s">
        <v>4039</v>
      </c>
      <c r="C4700" s="1" t="s">
        <v>4040</v>
      </c>
      <c r="D4700" s="22" t="str">
        <f>HYPERLINK("https://rhld.insurance.arkansas.gov/NPILookup?Npi=1861412082","1861412082")</f>
        <v>1861412082</v>
      </c>
      <c r="E4700" s="1" t="s">
        <v>591</v>
      </c>
      <c r="F4700" s="2"/>
      <c r="G4700" s="2"/>
      <c r="H4700" s="2"/>
    </row>
    <row r="4701" spans="1:8" x14ac:dyDescent="0.25">
      <c r="A4701" s="1"/>
      <c r="B4701" s="1" t="s">
        <v>4039</v>
      </c>
      <c r="C4701" s="1" t="s">
        <v>4040</v>
      </c>
      <c r="D4701" s="22" t="str">
        <f>HYPERLINK("https://rhld.insurance.arkansas.gov/NPILookup?Npi=1861433344","1861433344")</f>
        <v>1861433344</v>
      </c>
      <c r="E4701" s="1" t="s">
        <v>1941</v>
      </c>
      <c r="F4701" s="2"/>
      <c r="G4701" s="2"/>
      <c r="H4701" s="2"/>
    </row>
    <row r="4702" spans="1:8" x14ac:dyDescent="0.25">
      <c r="A4702" s="1"/>
      <c r="B4702" s="1" t="s">
        <v>4039</v>
      </c>
      <c r="C4702" s="1" t="s">
        <v>4040</v>
      </c>
      <c r="D4702" s="22" t="str">
        <f>HYPERLINK("https://rhld.insurance.arkansas.gov/NPILookup?Npi=1861508327","1861508327")</f>
        <v>1861508327</v>
      </c>
      <c r="E4702" s="1" t="s">
        <v>16932</v>
      </c>
      <c r="F4702" s="2"/>
      <c r="G4702" s="2"/>
      <c r="H4702" s="2"/>
    </row>
    <row r="4703" spans="1:8" x14ac:dyDescent="0.25">
      <c r="A4703" s="1"/>
      <c r="B4703" s="1" t="s">
        <v>4039</v>
      </c>
      <c r="C4703" s="1" t="s">
        <v>4040</v>
      </c>
      <c r="D4703" s="22" t="str">
        <f>HYPERLINK("https://rhld.insurance.arkansas.gov/NPILookup?Npi=1861574097","1861574097")</f>
        <v>1861574097</v>
      </c>
      <c r="E4703" s="1" t="s">
        <v>10136</v>
      </c>
      <c r="F4703" s="2"/>
      <c r="G4703" s="2"/>
      <c r="H4703" s="2"/>
    </row>
    <row r="4704" spans="1:8" x14ac:dyDescent="0.25">
      <c r="A4704" s="1"/>
      <c r="B4704" s="1" t="s">
        <v>4039</v>
      </c>
      <c r="C4704" s="1" t="s">
        <v>4040</v>
      </c>
      <c r="D4704" s="22" t="str">
        <f>HYPERLINK("https://rhld.insurance.arkansas.gov/NPILookup?Npi=1861584781","1861584781")</f>
        <v>1861584781</v>
      </c>
      <c r="E4704" s="1" t="s">
        <v>16933</v>
      </c>
      <c r="F4704" s="2"/>
      <c r="G4704" s="2"/>
      <c r="H4704" s="2"/>
    </row>
    <row r="4705" spans="1:8" x14ac:dyDescent="0.25">
      <c r="A4705" s="1"/>
      <c r="B4705" s="1" t="s">
        <v>4039</v>
      </c>
      <c r="C4705" s="1" t="s">
        <v>4040</v>
      </c>
      <c r="D4705" s="22" t="str">
        <f>HYPERLINK("https://rhld.insurance.arkansas.gov/NPILookup?Npi=1861588501","1861588501")</f>
        <v>1861588501</v>
      </c>
      <c r="E4705" s="1" t="s">
        <v>16934</v>
      </c>
      <c r="F4705" s="2"/>
      <c r="G4705" s="2"/>
      <c r="H4705" s="2"/>
    </row>
    <row r="4706" spans="1:8" x14ac:dyDescent="0.25">
      <c r="A4706" s="1"/>
      <c r="B4706" s="1" t="s">
        <v>4039</v>
      </c>
      <c r="C4706" s="1" t="s">
        <v>4040</v>
      </c>
      <c r="D4706" s="22" t="str">
        <f>HYPERLINK("https://rhld.insurance.arkansas.gov/NPILookup?Npi=1861589533","1861589533")</f>
        <v>1861589533</v>
      </c>
      <c r="E4706" s="1" t="s">
        <v>4132</v>
      </c>
      <c r="F4706" s="2"/>
      <c r="G4706" s="2"/>
      <c r="H4706" s="2"/>
    </row>
    <row r="4707" spans="1:8" x14ac:dyDescent="0.25">
      <c r="A4707" s="1"/>
      <c r="B4707" s="1" t="s">
        <v>4039</v>
      </c>
      <c r="C4707" s="1" t="s">
        <v>4040</v>
      </c>
      <c r="D4707" s="22" t="str">
        <f>HYPERLINK("https://rhld.insurance.arkansas.gov/NPILookup?Npi=1861609547","1861609547")</f>
        <v>1861609547</v>
      </c>
      <c r="E4707" s="1" t="s">
        <v>16935</v>
      </c>
      <c r="F4707" s="2"/>
      <c r="G4707" s="2"/>
      <c r="H4707" s="2"/>
    </row>
    <row r="4708" spans="1:8" x14ac:dyDescent="0.25">
      <c r="A4708" s="1"/>
      <c r="B4708" s="1" t="s">
        <v>4039</v>
      </c>
      <c r="C4708" s="1" t="s">
        <v>4040</v>
      </c>
      <c r="D4708" s="22" t="str">
        <f>HYPERLINK("https://rhld.insurance.arkansas.gov/NPILookup?Npi=1861611311","1861611311")</f>
        <v>1861611311</v>
      </c>
      <c r="E4708" s="1" t="s">
        <v>4133</v>
      </c>
      <c r="F4708" s="2"/>
      <c r="G4708" s="2"/>
      <c r="H4708" s="2"/>
    </row>
    <row r="4709" spans="1:8" x14ac:dyDescent="0.25">
      <c r="A4709" s="1"/>
      <c r="B4709" s="1" t="s">
        <v>4039</v>
      </c>
      <c r="C4709" s="1" t="s">
        <v>4040</v>
      </c>
      <c r="D4709" s="22" t="str">
        <f>HYPERLINK("https://rhld.insurance.arkansas.gov/NPILookup?Npi=1861718025","1861718025")</f>
        <v>1861718025</v>
      </c>
      <c r="E4709" s="1" t="s">
        <v>16936</v>
      </c>
      <c r="F4709" s="2"/>
      <c r="G4709" s="2"/>
      <c r="H4709" s="2"/>
    </row>
    <row r="4710" spans="1:8" x14ac:dyDescent="0.25">
      <c r="A4710" s="1"/>
      <c r="B4710" s="1" t="s">
        <v>4039</v>
      </c>
      <c r="C4710" s="1" t="s">
        <v>4040</v>
      </c>
      <c r="D4710" s="22" t="str">
        <f>HYPERLINK("https://rhld.insurance.arkansas.gov/NPILookup?Npi=1871055939","1871055939")</f>
        <v>1871055939</v>
      </c>
      <c r="E4710" s="1" t="s">
        <v>16938</v>
      </c>
      <c r="F4710" s="2"/>
      <c r="G4710" s="2"/>
      <c r="H4710" s="2"/>
    </row>
    <row r="4711" spans="1:8" x14ac:dyDescent="0.25">
      <c r="A4711" s="1"/>
      <c r="B4711" s="1" t="s">
        <v>4039</v>
      </c>
      <c r="C4711" s="1" t="s">
        <v>4040</v>
      </c>
      <c r="D4711" s="22" t="str">
        <f>HYPERLINK("https://rhld.insurance.arkansas.gov/NPILookup?Npi=1871145664","1871145664")</f>
        <v>1871145664</v>
      </c>
      <c r="E4711" s="1" t="s">
        <v>16939</v>
      </c>
      <c r="F4711" s="2"/>
      <c r="G4711" s="2"/>
      <c r="H4711" s="2"/>
    </row>
    <row r="4712" spans="1:8" x14ac:dyDescent="0.25">
      <c r="A4712" s="1"/>
      <c r="B4712" s="1" t="s">
        <v>4039</v>
      </c>
      <c r="C4712" s="1" t="s">
        <v>4040</v>
      </c>
      <c r="D4712" s="22" t="str">
        <f>HYPERLINK("https://rhld.insurance.arkansas.gov/NPILookup?Npi=1871283010","1871283010")</f>
        <v>1871283010</v>
      </c>
      <c r="E4712" s="1" t="s">
        <v>10138</v>
      </c>
      <c r="F4712" s="2"/>
      <c r="G4712" s="2"/>
      <c r="H4712" s="2"/>
    </row>
    <row r="4713" spans="1:8" x14ac:dyDescent="0.25">
      <c r="A4713" s="1"/>
      <c r="B4713" s="1" t="s">
        <v>4039</v>
      </c>
      <c r="C4713" s="1" t="s">
        <v>4040</v>
      </c>
      <c r="D4713" s="22" t="str">
        <f>HYPERLINK("https://rhld.insurance.arkansas.gov/NPILookup?Npi=1871519751","1871519751")</f>
        <v>1871519751</v>
      </c>
      <c r="E4713" s="1" t="s">
        <v>10139</v>
      </c>
      <c r="F4713" s="2"/>
      <c r="G4713" s="2"/>
      <c r="H4713" s="2"/>
    </row>
    <row r="4714" spans="1:8" x14ac:dyDescent="0.25">
      <c r="A4714" s="1"/>
      <c r="B4714" s="1" t="s">
        <v>4039</v>
      </c>
      <c r="C4714" s="1" t="s">
        <v>4040</v>
      </c>
      <c r="D4714" s="22" t="str">
        <f>HYPERLINK("https://rhld.insurance.arkansas.gov/NPILookup?Npi=1871553958","1871553958")</f>
        <v>1871553958</v>
      </c>
      <c r="E4714" s="1" t="s">
        <v>16940</v>
      </c>
      <c r="F4714" s="2"/>
      <c r="G4714" s="2"/>
      <c r="H4714" s="2"/>
    </row>
    <row r="4715" spans="1:8" x14ac:dyDescent="0.25">
      <c r="A4715" s="1"/>
      <c r="B4715" s="1" t="s">
        <v>4039</v>
      </c>
      <c r="C4715" s="1" t="s">
        <v>4040</v>
      </c>
      <c r="D4715" s="22" t="str">
        <f>HYPERLINK("https://rhld.insurance.arkansas.gov/NPILookup?Npi=1871635359","1871635359")</f>
        <v>1871635359</v>
      </c>
      <c r="E4715" s="1" t="s">
        <v>16941</v>
      </c>
      <c r="F4715" s="2"/>
      <c r="G4715" s="2"/>
      <c r="H4715" s="2"/>
    </row>
    <row r="4716" spans="1:8" x14ac:dyDescent="0.25">
      <c r="A4716" s="1"/>
      <c r="B4716" s="1" t="s">
        <v>4039</v>
      </c>
      <c r="C4716" s="1" t="s">
        <v>4040</v>
      </c>
      <c r="D4716" s="22" t="str">
        <f>HYPERLINK("https://rhld.insurance.arkansas.gov/NPILookup?Npi=1871690727","1871690727")</f>
        <v>1871690727</v>
      </c>
      <c r="E4716" s="1" t="s">
        <v>10140</v>
      </c>
      <c r="F4716" s="2"/>
      <c r="G4716" s="2"/>
      <c r="H4716" s="2"/>
    </row>
    <row r="4717" spans="1:8" x14ac:dyDescent="0.25">
      <c r="A4717" s="1"/>
      <c r="B4717" s="1" t="s">
        <v>4039</v>
      </c>
      <c r="C4717" s="1" t="s">
        <v>4040</v>
      </c>
      <c r="D4717" s="22" t="str">
        <f>HYPERLINK("https://rhld.insurance.arkansas.gov/NPILookup?Npi=1871698548","1871698548")</f>
        <v>1871698548</v>
      </c>
      <c r="E4717" s="1" t="s">
        <v>16942</v>
      </c>
      <c r="F4717" s="2"/>
      <c r="G4717" s="2"/>
      <c r="H4717" s="2"/>
    </row>
    <row r="4718" spans="1:8" x14ac:dyDescent="0.25">
      <c r="A4718" s="1"/>
      <c r="B4718" s="1" t="s">
        <v>4039</v>
      </c>
      <c r="C4718" s="1" t="s">
        <v>4040</v>
      </c>
      <c r="D4718" s="22" t="str">
        <f>HYPERLINK("https://rhld.insurance.arkansas.gov/NPILookup?Npi=1871721357","1871721357")</f>
        <v>1871721357</v>
      </c>
      <c r="E4718" s="1" t="s">
        <v>16943</v>
      </c>
      <c r="F4718" s="2"/>
      <c r="G4718" s="2"/>
      <c r="H4718" s="2"/>
    </row>
    <row r="4719" spans="1:8" x14ac:dyDescent="0.25">
      <c r="A4719" s="1"/>
      <c r="B4719" s="1" t="s">
        <v>4039</v>
      </c>
      <c r="C4719" s="1" t="s">
        <v>4040</v>
      </c>
      <c r="D4719" s="22" t="str">
        <f>HYPERLINK("https://rhld.insurance.arkansas.gov/NPILookup?Npi=1871721605","1871721605")</f>
        <v>1871721605</v>
      </c>
      <c r="E4719" s="1" t="s">
        <v>503</v>
      </c>
      <c r="F4719" s="2"/>
      <c r="G4719" s="2"/>
      <c r="H4719" s="2"/>
    </row>
    <row r="4720" spans="1:8" x14ac:dyDescent="0.25">
      <c r="A4720" s="1"/>
      <c r="B4720" s="1" t="s">
        <v>4039</v>
      </c>
      <c r="C4720" s="1" t="s">
        <v>4040</v>
      </c>
      <c r="D4720" s="22" t="str">
        <f>HYPERLINK("https://rhld.insurance.arkansas.gov/NPILookup?Npi=1871801795","1871801795")</f>
        <v>1871801795</v>
      </c>
      <c r="E4720" s="1" t="s">
        <v>16944</v>
      </c>
      <c r="F4720" s="2"/>
      <c r="G4720" s="2"/>
      <c r="H4720" s="2"/>
    </row>
    <row r="4721" spans="1:8" x14ac:dyDescent="0.25">
      <c r="A4721" s="1"/>
      <c r="B4721" s="1" t="s">
        <v>4039</v>
      </c>
      <c r="C4721" s="1" t="s">
        <v>4040</v>
      </c>
      <c r="D4721" s="22" t="str">
        <f>HYPERLINK("https://rhld.insurance.arkansas.gov/NPILookup?Npi=1871887422","1871887422")</f>
        <v>1871887422</v>
      </c>
      <c r="E4721" s="1" t="s">
        <v>16945</v>
      </c>
      <c r="F4721" s="2"/>
      <c r="G4721" s="2"/>
      <c r="H4721" s="2"/>
    </row>
    <row r="4722" spans="1:8" x14ac:dyDescent="0.25">
      <c r="A4722" s="1"/>
      <c r="B4722" s="1" t="s">
        <v>4039</v>
      </c>
      <c r="C4722" s="1" t="s">
        <v>4040</v>
      </c>
      <c r="D4722" s="22" t="str">
        <f>HYPERLINK("https://rhld.insurance.arkansas.gov/NPILookup?Npi=1881022499","1881022499")</f>
        <v>1881022499</v>
      </c>
      <c r="E4722" s="1" t="s">
        <v>16946</v>
      </c>
      <c r="F4722" s="2"/>
      <c r="G4722" s="2"/>
      <c r="H4722" s="2"/>
    </row>
    <row r="4723" spans="1:8" x14ac:dyDescent="0.25">
      <c r="A4723" s="1"/>
      <c r="B4723" s="1" t="s">
        <v>4039</v>
      </c>
      <c r="C4723" s="1" t="s">
        <v>4040</v>
      </c>
      <c r="D4723" s="22" t="str">
        <f>HYPERLINK("https://rhld.insurance.arkansas.gov/NPILookup?Npi=1881032639","1881032639")</f>
        <v>1881032639</v>
      </c>
      <c r="E4723" s="1" t="s">
        <v>1197</v>
      </c>
      <c r="F4723" s="2"/>
      <c r="G4723" s="2"/>
      <c r="H4723" s="2"/>
    </row>
    <row r="4724" spans="1:8" x14ac:dyDescent="0.25">
      <c r="A4724" s="1"/>
      <c r="B4724" s="1" t="s">
        <v>4039</v>
      </c>
      <c r="C4724" s="1" t="s">
        <v>4040</v>
      </c>
      <c r="D4724" s="22" t="str">
        <f>HYPERLINK("https://rhld.insurance.arkansas.gov/NPILookup?Npi=1881034890","1881034890")</f>
        <v>1881034890</v>
      </c>
      <c r="E4724" s="1" t="s">
        <v>1198</v>
      </c>
      <c r="F4724" s="2"/>
      <c r="G4724" s="2"/>
      <c r="H4724" s="2"/>
    </row>
    <row r="4725" spans="1:8" x14ac:dyDescent="0.25">
      <c r="A4725" s="1"/>
      <c r="B4725" s="1" t="s">
        <v>4039</v>
      </c>
      <c r="C4725" s="1" t="s">
        <v>4040</v>
      </c>
      <c r="D4725" s="22" t="str">
        <f>HYPERLINK("https://rhld.insurance.arkansas.gov/NPILookup?Npi=1881158301","1881158301")</f>
        <v>1881158301</v>
      </c>
      <c r="E4725" s="1" t="s">
        <v>4134</v>
      </c>
      <c r="F4725" s="2"/>
      <c r="G4725" s="2"/>
      <c r="H4725" s="2"/>
    </row>
    <row r="4726" spans="1:8" x14ac:dyDescent="0.25">
      <c r="A4726" s="1"/>
      <c r="B4726" s="1" t="s">
        <v>4039</v>
      </c>
      <c r="C4726" s="1" t="s">
        <v>4040</v>
      </c>
      <c r="D4726" s="22" t="str">
        <f>HYPERLINK("https://rhld.insurance.arkansas.gov/NPILookup?Npi=1881329142","1881329142")</f>
        <v>1881329142</v>
      </c>
      <c r="E4726" s="1" t="s">
        <v>16947</v>
      </c>
      <c r="F4726" s="2"/>
      <c r="G4726" s="2"/>
      <c r="H4726" s="2"/>
    </row>
    <row r="4727" spans="1:8" x14ac:dyDescent="0.25">
      <c r="A4727" s="1"/>
      <c r="B4727" s="1" t="s">
        <v>4039</v>
      </c>
      <c r="C4727" s="1" t="s">
        <v>4040</v>
      </c>
      <c r="D4727" s="22" t="str">
        <f>HYPERLINK("https://rhld.insurance.arkansas.gov/NPILookup?Npi=1881333524","1881333524")</f>
        <v>1881333524</v>
      </c>
      <c r="E4727" s="1" t="s">
        <v>10141</v>
      </c>
      <c r="F4727" s="2"/>
      <c r="G4727" s="2"/>
      <c r="H4727" s="2"/>
    </row>
    <row r="4728" spans="1:8" x14ac:dyDescent="0.25">
      <c r="A4728" s="1"/>
      <c r="B4728" s="1" t="s">
        <v>4039</v>
      </c>
      <c r="C4728" s="1" t="s">
        <v>4040</v>
      </c>
      <c r="D4728" s="22" t="str">
        <f>HYPERLINK("https://rhld.insurance.arkansas.gov/NPILookup?Npi=1881388171","1881388171")</f>
        <v>1881388171</v>
      </c>
      <c r="E4728" s="1" t="s">
        <v>16948</v>
      </c>
      <c r="F4728" s="2"/>
      <c r="G4728" s="2"/>
      <c r="H4728" s="2"/>
    </row>
    <row r="4729" spans="1:8" x14ac:dyDescent="0.25">
      <c r="A4729" s="1"/>
      <c r="B4729" s="1" t="s">
        <v>4039</v>
      </c>
      <c r="C4729" s="1" t="s">
        <v>4040</v>
      </c>
      <c r="D4729" s="22" t="str">
        <f>HYPERLINK("https://rhld.insurance.arkansas.gov/NPILookup?Npi=1881665206","1881665206")</f>
        <v>1881665206</v>
      </c>
      <c r="E4729" s="1" t="s">
        <v>1363</v>
      </c>
      <c r="F4729" s="2"/>
      <c r="G4729" s="2"/>
      <c r="H4729" s="2"/>
    </row>
    <row r="4730" spans="1:8" x14ac:dyDescent="0.25">
      <c r="A4730" s="1"/>
      <c r="B4730" s="1" t="s">
        <v>4039</v>
      </c>
      <c r="C4730" s="1" t="s">
        <v>4040</v>
      </c>
      <c r="D4730" s="22" t="str">
        <f>HYPERLINK("https://rhld.insurance.arkansas.gov/NPILookup?Npi=1881710945","1881710945")</f>
        <v>1881710945</v>
      </c>
      <c r="E4730" s="1" t="s">
        <v>3734</v>
      </c>
      <c r="F4730" s="2"/>
      <c r="G4730" s="2"/>
      <c r="H4730" s="2"/>
    </row>
    <row r="4731" spans="1:8" x14ac:dyDescent="0.25">
      <c r="A4731" s="1"/>
      <c r="B4731" s="1" t="s">
        <v>4039</v>
      </c>
      <c r="C4731" s="1" t="s">
        <v>4040</v>
      </c>
      <c r="D4731" s="22" t="str">
        <f>HYPERLINK("https://rhld.insurance.arkansas.gov/NPILookup?Npi=1881752079","1881752079")</f>
        <v>1881752079</v>
      </c>
      <c r="E4731" s="1" t="s">
        <v>16949</v>
      </c>
      <c r="F4731" s="2"/>
      <c r="G4731" s="2"/>
      <c r="H4731" s="2"/>
    </row>
    <row r="4732" spans="1:8" x14ac:dyDescent="0.25">
      <c r="A4732" s="1"/>
      <c r="B4732" s="1" t="s">
        <v>4039</v>
      </c>
      <c r="C4732" s="1" t="s">
        <v>4040</v>
      </c>
      <c r="D4732" s="22" t="str">
        <f>HYPERLINK("https://rhld.insurance.arkansas.gov/NPILookup?Npi=1881797447","1881797447")</f>
        <v>1881797447</v>
      </c>
      <c r="E4732" s="1" t="s">
        <v>99</v>
      </c>
      <c r="F4732" s="2"/>
      <c r="G4732" s="2"/>
      <c r="H4732" s="2"/>
    </row>
    <row r="4733" spans="1:8" x14ac:dyDescent="0.25">
      <c r="A4733" s="1"/>
      <c r="B4733" s="1" t="s">
        <v>4039</v>
      </c>
      <c r="C4733" s="1" t="s">
        <v>4040</v>
      </c>
      <c r="D4733" s="22" t="str">
        <f>HYPERLINK("https://rhld.insurance.arkansas.gov/NPILookup?Npi=1881798957","1881798957")</f>
        <v>1881798957</v>
      </c>
      <c r="E4733" s="1" t="s">
        <v>2344</v>
      </c>
      <c r="F4733" s="2"/>
      <c r="G4733" s="2"/>
      <c r="H4733" s="2"/>
    </row>
    <row r="4734" spans="1:8" x14ac:dyDescent="0.25">
      <c r="A4734" s="1"/>
      <c r="B4734" s="1" t="s">
        <v>4039</v>
      </c>
      <c r="C4734" s="1" t="s">
        <v>4040</v>
      </c>
      <c r="D4734" s="22" t="str">
        <f>HYPERLINK("https://rhld.insurance.arkansas.gov/NPILookup?Npi=1881852499","1881852499")</f>
        <v>1881852499</v>
      </c>
      <c r="E4734" s="1" t="s">
        <v>1364</v>
      </c>
      <c r="F4734" s="2"/>
      <c r="G4734" s="2"/>
      <c r="H4734" s="2"/>
    </row>
    <row r="4735" spans="1:8" x14ac:dyDescent="0.25">
      <c r="A4735" s="1"/>
      <c r="B4735" s="1" t="s">
        <v>4039</v>
      </c>
      <c r="C4735" s="1" t="s">
        <v>4040</v>
      </c>
      <c r="D4735" s="22" t="str">
        <f>HYPERLINK("https://rhld.insurance.arkansas.gov/NPILookup?Npi=1881898039","1881898039")</f>
        <v>1881898039</v>
      </c>
      <c r="E4735" s="1" t="s">
        <v>16950</v>
      </c>
      <c r="F4735" s="2"/>
      <c r="G4735" s="2"/>
      <c r="H4735" s="2"/>
    </row>
    <row r="4736" spans="1:8" x14ac:dyDescent="0.25">
      <c r="A4736" s="1"/>
      <c r="B4736" s="1" t="s">
        <v>4039</v>
      </c>
      <c r="C4736" s="1" t="s">
        <v>4040</v>
      </c>
      <c r="D4736" s="22" t="str">
        <f>HYPERLINK("https://rhld.insurance.arkansas.gov/NPILookup?Npi=1891073557","1891073557")</f>
        <v>1891073557</v>
      </c>
      <c r="E4736" s="1" t="s">
        <v>16951</v>
      </c>
      <c r="F4736" s="2"/>
      <c r="G4736" s="2"/>
      <c r="H4736" s="2"/>
    </row>
    <row r="4737" spans="1:8" x14ac:dyDescent="0.25">
      <c r="A4737" s="1"/>
      <c r="B4737" s="1" t="s">
        <v>4039</v>
      </c>
      <c r="C4737" s="1" t="s">
        <v>4040</v>
      </c>
      <c r="D4737" s="22" t="str">
        <f>HYPERLINK("https://rhld.insurance.arkansas.gov/NPILookup?Npi=1891075404","1891075404")</f>
        <v>1891075404</v>
      </c>
      <c r="E4737" s="1" t="s">
        <v>16952</v>
      </c>
      <c r="F4737" s="2"/>
      <c r="G4737" s="2"/>
      <c r="H4737" s="2"/>
    </row>
    <row r="4738" spans="1:8" x14ac:dyDescent="0.25">
      <c r="A4738" s="1"/>
      <c r="B4738" s="1" t="s">
        <v>4039</v>
      </c>
      <c r="C4738" s="1" t="s">
        <v>4040</v>
      </c>
      <c r="D4738" s="22" t="str">
        <f>HYPERLINK("https://rhld.insurance.arkansas.gov/NPILookup?Npi=1891079521","1891079521")</f>
        <v>1891079521</v>
      </c>
      <c r="E4738" s="1" t="s">
        <v>16953</v>
      </c>
      <c r="F4738" s="2"/>
      <c r="G4738" s="2"/>
      <c r="H4738" s="2"/>
    </row>
    <row r="4739" spans="1:8" x14ac:dyDescent="0.25">
      <c r="A4739" s="1"/>
      <c r="B4739" s="1" t="s">
        <v>4039</v>
      </c>
      <c r="C4739" s="1" t="s">
        <v>4040</v>
      </c>
      <c r="D4739" s="22" t="str">
        <f>HYPERLINK("https://rhld.insurance.arkansas.gov/NPILookup?Npi=1891133708","1891133708")</f>
        <v>1891133708</v>
      </c>
      <c r="E4739" s="1" t="s">
        <v>504</v>
      </c>
      <c r="F4739" s="2"/>
      <c r="G4739" s="2"/>
      <c r="H4739" s="2"/>
    </row>
    <row r="4740" spans="1:8" x14ac:dyDescent="0.25">
      <c r="A4740" s="1"/>
      <c r="B4740" s="1" t="s">
        <v>4039</v>
      </c>
      <c r="C4740" s="1" t="s">
        <v>4040</v>
      </c>
      <c r="D4740" s="22" t="str">
        <f>HYPERLINK("https://rhld.insurance.arkansas.gov/NPILookup?Npi=1891303509","1891303509")</f>
        <v>1891303509</v>
      </c>
      <c r="E4740" s="1" t="s">
        <v>16954</v>
      </c>
      <c r="F4740" s="2"/>
      <c r="G4740" s="2"/>
      <c r="H4740" s="2"/>
    </row>
    <row r="4741" spans="1:8" x14ac:dyDescent="0.25">
      <c r="A4741" s="1"/>
      <c r="B4741" s="1" t="s">
        <v>4039</v>
      </c>
      <c r="C4741" s="1" t="s">
        <v>4040</v>
      </c>
      <c r="D4741" s="22" t="str">
        <f>HYPERLINK("https://rhld.insurance.arkansas.gov/NPILookup?Npi=1891349874","1891349874")</f>
        <v>1891349874</v>
      </c>
      <c r="E4741" s="1" t="s">
        <v>1627</v>
      </c>
      <c r="F4741" s="2"/>
      <c r="G4741" s="2"/>
      <c r="H4741" s="2"/>
    </row>
    <row r="4742" spans="1:8" x14ac:dyDescent="0.25">
      <c r="A4742" s="1"/>
      <c r="B4742" s="1" t="s">
        <v>4039</v>
      </c>
      <c r="C4742" s="1" t="s">
        <v>4040</v>
      </c>
      <c r="D4742" s="22" t="str">
        <f>HYPERLINK("https://rhld.insurance.arkansas.gov/NPILookup?Npi=1891507737","1891507737")</f>
        <v>1891507737</v>
      </c>
      <c r="E4742" s="1" t="s">
        <v>31393</v>
      </c>
      <c r="F4742" s="2"/>
      <c r="G4742" s="2"/>
      <c r="H4742" s="2"/>
    </row>
    <row r="4743" spans="1:8" x14ac:dyDescent="0.25">
      <c r="A4743" s="1"/>
      <c r="B4743" s="1" t="s">
        <v>4039</v>
      </c>
      <c r="C4743" s="1" t="s">
        <v>4040</v>
      </c>
      <c r="D4743" s="22" t="str">
        <f>HYPERLINK("https://rhld.insurance.arkansas.gov/NPILookup?Npi=1891716031","1891716031")</f>
        <v>1891716031</v>
      </c>
      <c r="E4743" s="1" t="s">
        <v>534</v>
      </c>
      <c r="F4743" s="2"/>
      <c r="G4743" s="2"/>
      <c r="H4743" s="2"/>
    </row>
    <row r="4744" spans="1:8" x14ac:dyDescent="0.25">
      <c r="A4744" s="1"/>
      <c r="B4744" s="1" t="s">
        <v>4039</v>
      </c>
      <c r="C4744" s="1" t="s">
        <v>4040</v>
      </c>
      <c r="D4744" s="22" t="str">
        <f>HYPERLINK("https://rhld.insurance.arkansas.gov/NPILookup?Npi=1891827895","1891827895")</f>
        <v>1891827895</v>
      </c>
      <c r="E4744" s="1" t="s">
        <v>10142</v>
      </c>
      <c r="F4744" s="2"/>
      <c r="G4744" s="2"/>
      <c r="H4744" s="2"/>
    </row>
    <row r="4745" spans="1:8" x14ac:dyDescent="0.25">
      <c r="A4745" s="1"/>
      <c r="B4745" s="1" t="s">
        <v>4039</v>
      </c>
      <c r="C4745" s="1" t="s">
        <v>4040</v>
      </c>
      <c r="D4745" s="22" t="str">
        <f>HYPERLINK("https://rhld.insurance.arkansas.gov/NPILookup?Npi=1891855789","1891855789")</f>
        <v>1891855789</v>
      </c>
      <c r="E4745" s="1" t="s">
        <v>16955</v>
      </c>
      <c r="F4745" s="2"/>
      <c r="G4745" s="2"/>
      <c r="H4745" s="2"/>
    </row>
    <row r="4746" spans="1:8" x14ac:dyDescent="0.25">
      <c r="A4746" s="1"/>
      <c r="B4746" s="1" t="s">
        <v>4039</v>
      </c>
      <c r="C4746" s="1" t="s">
        <v>4040</v>
      </c>
      <c r="D4746" s="22" t="str">
        <f>HYPERLINK("https://rhld.insurance.arkansas.gov/NPILookup?Npi=1891875738","1891875738")</f>
        <v>1891875738</v>
      </c>
      <c r="E4746" s="1" t="s">
        <v>16956</v>
      </c>
      <c r="F4746" s="2"/>
      <c r="G4746" s="2"/>
      <c r="H4746" s="2"/>
    </row>
    <row r="4747" spans="1:8" x14ac:dyDescent="0.25">
      <c r="A4747" s="1"/>
      <c r="B4747" s="1" t="s">
        <v>4039</v>
      </c>
      <c r="C4747" s="1" t="s">
        <v>4040</v>
      </c>
      <c r="D4747" s="22" t="str">
        <f>HYPERLINK("https://rhld.insurance.arkansas.gov/NPILookup?Npi=1891877544","1891877544")</f>
        <v>1891877544</v>
      </c>
      <c r="E4747" s="1" t="s">
        <v>3716</v>
      </c>
      <c r="F4747" s="2"/>
      <c r="G4747" s="2"/>
      <c r="H4747" s="2"/>
    </row>
    <row r="4748" spans="1:8" x14ac:dyDescent="0.25">
      <c r="A4748" s="1"/>
      <c r="B4748" s="1" t="s">
        <v>4039</v>
      </c>
      <c r="C4748" s="1" t="s">
        <v>4040</v>
      </c>
      <c r="D4748" s="22" t="str">
        <f>HYPERLINK("https://rhld.insurance.arkansas.gov/NPILookup?Npi=1891899811","1891899811")</f>
        <v>1891899811</v>
      </c>
      <c r="E4748" s="1" t="s">
        <v>10143</v>
      </c>
      <c r="F4748" s="2"/>
      <c r="G4748" s="2"/>
      <c r="H4748" s="2"/>
    </row>
    <row r="4749" spans="1:8" x14ac:dyDescent="0.25">
      <c r="A4749" s="1"/>
      <c r="B4749" s="1" t="s">
        <v>4039</v>
      </c>
      <c r="C4749" s="1" t="s">
        <v>4040</v>
      </c>
      <c r="D4749" s="22" t="str">
        <f>HYPERLINK("https://rhld.insurance.arkansas.gov/NPILookup?Npi=1902033558","1902033558")</f>
        <v>1902033558</v>
      </c>
      <c r="E4749" s="1" t="s">
        <v>712</v>
      </c>
      <c r="F4749" s="2"/>
      <c r="G4749" s="2"/>
      <c r="H4749" s="2"/>
    </row>
    <row r="4750" spans="1:8" x14ac:dyDescent="0.25">
      <c r="A4750" s="1"/>
      <c r="B4750" s="1" t="s">
        <v>4039</v>
      </c>
      <c r="C4750" s="1" t="s">
        <v>4040</v>
      </c>
      <c r="D4750" s="22" t="str">
        <f>HYPERLINK("https://rhld.insurance.arkansas.gov/NPILookup?Npi=1902077050","1902077050")</f>
        <v>1902077050</v>
      </c>
      <c r="E4750" s="1" t="s">
        <v>10144</v>
      </c>
      <c r="F4750" s="2"/>
      <c r="G4750" s="2"/>
      <c r="H4750" s="2"/>
    </row>
    <row r="4751" spans="1:8" x14ac:dyDescent="0.25">
      <c r="A4751" s="1"/>
      <c r="B4751" s="1" t="s">
        <v>4039</v>
      </c>
      <c r="C4751" s="1" t="s">
        <v>4040</v>
      </c>
      <c r="D4751" s="22" t="str">
        <f>HYPERLINK("https://rhld.insurance.arkansas.gov/NPILookup?Npi=1902257090","1902257090")</f>
        <v>1902257090</v>
      </c>
      <c r="E4751" s="1" t="s">
        <v>10145</v>
      </c>
      <c r="F4751" s="2"/>
      <c r="G4751" s="2"/>
      <c r="H4751" s="2"/>
    </row>
    <row r="4752" spans="1:8" x14ac:dyDescent="0.25">
      <c r="A4752" s="1"/>
      <c r="B4752" s="1" t="s">
        <v>4039</v>
      </c>
      <c r="C4752" s="1" t="s">
        <v>4040</v>
      </c>
      <c r="D4752" s="22" t="str">
        <f>HYPERLINK("https://rhld.insurance.arkansas.gov/NPILookup?Npi=1902286453","1902286453")</f>
        <v>1902286453</v>
      </c>
      <c r="E4752" s="1" t="s">
        <v>16957</v>
      </c>
      <c r="F4752" s="2"/>
      <c r="G4752" s="2"/>
      <c r="H4752" s="2"/>
    </row>
    <row r="4753" spans="1:8" x14ac:dyDescent="0.25">
      <c r="A4753" s="1"/>
      <c r="B4753" s="1" t="s">
        <v>4039</v>
      </c>
      <c r="C4753" s="1" t="s">
        <v>4040</v>
      </c>
      <c r="D4753" s="22" t="str">
        <f>HYPERLINK("https://rhld.insurance.arkansas.gov/NPILookup?Npi=1902515901","1902515901")</f>
        <v>1902515901</v>
      </c>
      <c r="E4753" s="1" t="s">
        <v>4135</v>
      </c>
      <c r="F4753" s="2"/>
      <c r="G4753" s="2"/>
      <c r="H4753" s="2"/>
    </row>
    <row r="4754" spans="1:8" x14ac:dyDescent="0.25">
      <c r="A4754" s="1"/>
      <c r="B4754" s="1" t="s">
        <v>4039</v>
      </c>
      <c r="C4754" s="1" t="s">
        <v>4040</v>
      </c>
      <c r="D4754" s="22" t="str">
        <f>HYPERLINK("https://rhld.insurance.arkansas.gov/NPILookup?Npi=1902547037","1902547037")</f>
        <v>1902547037</v>
      </c>
      <c r="E4754" s="1" t="s">
        <v>10146</v>
      </c>
      <c r="F4754" s="2"/>
      <c r="G4754" s="2"/>
      <c r="H4754" s="2"/>
    </row>
    <row r="4755" spans="1:8" x14ac:dyDescent="0.25">
      <c r="A4755" s="1"/>
      <c r="B4755" s="1" t="s">
        <v>4039</v>
      </c>
      <c r="C4755" s="1" t="s">
        <v>4040</v>
      </c>
      <c r="D4755" s="22" t="str">
        <f>HYPERLINK("https://rhld.insurance.arkansas.gov/NPILookup?Npi=1902557176","1902557176")</f>
        <v>1902557176</v>
      </c>
      <c r="E4755" s="1" t="s">
        <v>31394</v>
      </c>
      <c r="F4755" s="2"/>
      <c r="G4755" s="2"/>
      <c r="H4755" s="2"/>
    </row>
    <row r="4756" spans="1:8" x14ac:dyDescent="0.25">
      <c r="A4756" s="1"/>
      <c r="B4756" s="1" t="s">
        <v>4039</v>
      </c>
      <c r="C4756" s="1" t="s">
        <v>4040</v>
      </c>
      <c r="D4756" s="22" t="str">
        <f>HYPERLINK("https://rhld.insurance.arkansas.gov/NPILookup?Npi=1902641053","1902641053")</f>
        <v>1902641053</v>
      </c>
      <c r="E4756" s="1" t="s">
        <v>16958</v>
      </c>
      <c r="F4756" s="2"/>
      <c r="G4756" s="2"/>
      <c r="H4756" s="2"/>
    </row>
    <row r="4757" spans="1:8" x14ac:dyDescent="0.25">
      <c r="A4757" s="1"/>
      <c r="B4757" s="1" t="s">
        <v>4039</v>
      </c>
      <c r="C4757" s="1" t="s">
        <v>4040</v>
      </c>
      <c r="D4757" s="22" t="str">
        <f>HYPERLINK("https://rhld.insurance.arkansas.gov/NPILookup?Npi=1902812852","1902812852")</f>
        <v>1902812852</v>
      </c>
      <c r="E4757" s="1" t="s">
        <v>121</v>
      </c>
      <c r="F4757" s="2"/>
      <c r="G4757" s="2"/>
      <c r="H4757" s="2"/>
    </row>
    <row r="4758" spans="1:8" x14ac:dyDescent="0.25">
      <c r="A4758" s="1"/>
      <c r="B4758" s="1" t="s">
        <v>4039</v>
      </c>
      <c r="C4758" s="1" t="s">
        <v>4040</v>
      </c>
      <c r="D4758" s="22" t="str">
        <f>HYPERLINK("https://rhld.insurance.arkansas.gov/NPILookup?Npi=1902820863","1902820863")</f>
        <v>1902820863</v>
      </c>
      <c r="E4758" s="1" t="s">
        <v>16959</v>
      </c>
      <c r="F4758" s="2"/>
      <c r="G4758" s="2"/>
      <c r="H4758" s="2"/>
    </row>
    <row r="4759" spans="1:8" x14ac:dyDescent="0.25">
      <c r="A4759" s="1"/>
      <c r="B4759" s="1" t="s">
        <v>4039</v>
      </c>
      <c r="C4759" s="1" t="s">
        <v>4040</v>
      </c>
      <c r="D4759" s="22" t="str">
        <f>HYPERLINK("https://rhld.insurance.arkansas.gov/NPILookup?Npi=1902828239","1902828239")</f>
        <v>1902828239</v>
      </c>
      <c r="E4759" s="1" t="s">
        <v>4136</v>
      </c>
      <c r="F4759" s="2"/>
      <c r="G4759" s="2"/>
      <c r="H4759" s="2"/>
    </row>
    <row r="4760" spans="1:8" x14ac:dyDescent="0.25">
      <c r="A4760" s="1"/>
      <c r="B4760" s="1" t="s">
        <v>4039</v>
      </c>
      <c r="C4760" s="1" t="s">
        <v>4040</v>
      </c>
      <c r="D4760" s="22" t="str">
        <f>HYPERLINK("https://rhld.insurance.arkansas.gov/NPILookup?Npi=1902830722","1902830722")</f>
        <v>1902830722</v>
      </c>
      <c r="E4760" s="1" t="s">
        <v>16665</v>
      </c>
      <c r="F4760" s="2"/>
      <c r="G4760" s="2"/>
      <c r="H4760" s="2"/>
    </row>
    <row r="4761" spans="1:8" x14ac:dyDescent="0.25">
      <c r="A4761" s="1"/>
      <c r="B4761" s="1" t="s">
        <v>4039</v>
      </c>
      <c r="C4761" s="1" t="s">
        <v>4040</v>
      </c>
      <c r="D4761" s="22" t="str">
        <f>HYPERLINK("https://rhld.insurance.arkansas.gov/NPILookup?Npi=1902863145","1902863145")</f>
        <v>1902863145</v>
      </c>
      <c r="E4761" s="1" t="s">
        <v>16960</v>
      </c>
      <c r="F4761" s="2"/>
      <c r="G4761" s="2"/>
      <c r="H4761" s="2"/>
    </row>
    <row r="4762" spans="1:8" x14ac:dyDescent="0.25">
      <c r="A4762" s="1"/>
      <c r="B4762" s="1" t="s">
        <v>4039</v>
      </c>
      <c r="C4762" s="1" t="s">
        <v>4040</v>
      </c>
      <c r="D4762" s="22" t="str">
        <f>HYPERLINK("https://rhld.insurance.arkansas.gov/NPILookup?Npi=1902890791","1902890791")</f>
        <v>1902890791</v>
      </c>
      <c r="E4762" s="1" t="s">
        <v>3717</v>
      </c>
      <c r="F4762" s="2"/>
      <c r="G4762" s="2"/>
      <c r="H4762" s="2"/>
    </row>
    <row r="4763" spans="1:8" x14ac:dyDescent="0.25">
      <c r="A4763" s="1"/>
      <c r="B4763" s="1" t="s">
        <v>4039</v>
      </c>
      <c r="C4763" s="1" t="s">
        <v>4040</v>
      </c>
      <c r="D4763" s="22" t="str">
        <f>HYPERLINK("https://rhld.insurance.arkansas.gov/NPILookup?Npi=1902931082","1902931082")</f>
        <v>1902931082</v>
      </c>
      <c r="E4763" s="1" t="s">
        <v>592</v>
      </c>
      <c r="F4763" s="2"/>
      <c r="G4763" s="2"/>
      <c r="H4763" s="2"/>
    </row>
    <row r="4764" spans="1:8" x14ac:dyDescent="0.25">
      <c r="A4764" s="1"/>
      <c r="B4764" s="1" t="s">
        <v>4039</v>
      </c>
      <c r="C4764" s="1" t="s">
        <v>4040</v>
      </c>
      <c r="D4764" s="22" t="str">
        <f>HYPERLINK("https://rhld.insurance.arkansas.gov/NPILookup?Npi=1902966229","1902966229")</f>
        <v>1902966229</v>
      </c>
      <c r="E4764" s="1" t="s">
        <v>16961</v>
      </c>
      <c r="F4764" s="2"/>
      <c r="G4764" s="2"/>
      <c r="H4764" s="2"/>
    </row>
    <row r="4765" spans="1:8" x14ac:dyDescent="0.25">
      <c r="A4765" s="1"/>
      <c r="B4765" s="1" t="s">
        <v>4039</v>
      </c>
      <c r="C4765" s="1" t="s">
        <v>4040</v>
      </c>
      <c r="D4765" s="22" t="str">
        <f>HYPERLINK("https://rhld.insurance.arkansas.gov/NPILookup?Npi=1902971708","1902971708")</f>
        <v>1902971708</v>
      </c>
      <c r="E4765" s="1" t="s">
        <v>16962</v>
      </c>
      <c r="F4765" s="2"/>
      <c r="G4765" s="2"/>
      <c r="H4765" s="2"/>
    </row>
    <row r="4766" spans="1:8" x14ac:dyDescent="0.25">
      <c r="A4766" s="1"/>
      <c r="B4766" s="1" t="s">
        <v>4039</v>
      </c>
      <c r="C4766" s="1" t="s">
        <v>4040</v>
      </c>
      <c r="D4766" s="22" t="str">
        <f>HYPERLINK("https://rhld.insurance.arkansas.gov/NPILookup?Npi=1902986045","1902986045")</f>
        <v>1902986045</v>
      </c>
      <c r="E4766" s="1" t="s">
        <v>16963</v>
      </c>
      <c r="F4766" s="2"/>
      <c r="G4766" s="2"/>
      <c r="H4766" s="2"/>
    </row>
    <row r="4767" spans="1:8" x14ac:dyDescent="0.25">
      <c r="A4767" s="1"/>
      <c r="B4767" s="1" t="s">
        <v>4039</v>
      </c>
      <c r="C4767" s="1" t="s">
        <v>4040</v>
      </c>
      <c r="D4767" s="22" t="str">
        <f>HYPERLINK("https://rhld.insurance.arkansas.gov/NPILookup?Npi=1902989460","1902989460")</f>
        <v>1902989460</v>
      </c>
      <c r="E4767" s="1" t="s">
        <v>10147</v>
      </c>
      <c r="F4767" s="2"/>
      <c r="G4767" s="2"/>
      <c r="H4767" s="2"/>
    </row>
    <row r="4768" spans="1:8" x14ac:dyDescent="0.25">
      <c r="A4768" s="1"/>
      <c r="B4768" s="1" t="s">
        <v>4039</v>
      </c>
      <c r="C4768" s="1" t="s">
        <v>4040</v>
      </c>
      <c r="D4768" s="22" t="str">
        <f>HYPERLINK("https://rhld.insurance.arkansas.gov/NPILookup?Npi=1912015348","1912015348")</f>
        <v>1912015348</v>
      </c>
      <c r="E4768" s="1" t="s">
        <v>4137</v>
      </c>
      <c r="F4768" s="2"/>
      <c r="G4768" s="2"/>
      <c r="H4768" s="2"/>
    </row>
    <row r="4769" spans="1:8" x14ac:dyDescent="0.25">
      <c r="A4769" s="1"/>
      <c r="B4769" s="1" t="s">
        <v>4039</v>
      </c>
      <c r="C4769" s="1" t="s">
        <v>4040</v>
      </c>
      <c r="D4769" s="22" t="str">
        <f>HYPERLINK("https://rhld.insurance.arkansas.gov/NPILookup?Npi=1912025578","1912025578")</f>
        <v>1912025578</v>
      </c>
      <c r="E4769" s="1" t="s">
        <v>16964</v>
      </c>
      <c r="F4769" s="2"/>
      <c r="G4769" s="2"/>
      <c r="H4769" s="2"/>
    </row>
    <row r="4770" spans="1:8" x14ac:dyDescent="0.25">
      <c r="A4770" s="1"/>
      <c r="B4770" s="1" t="s">
        <v>4039</v>
      </c>
      <c r="C4770" s="1" t="s">
        <v>4040</v>
      </c>
      <c r="D4770" s="22" t="str">
        <f>HYPERLINK("https://rhld.insurance.arkansas.gov/NPILookup?Npi=1912034810","1912034810")</f>
        <v>1912034810</v>
      </c>
      <c r="E4770" s="1" t="s">
        <v>16965</v>
      </c>
      <c r="F4770" s="2"/>
      <c r="G4770" s="2"/>
      <c r="H4770" s="2"/>
    </row>
    <row r="4771" spans="1:8" x14ac:dyDescent="0.25">
      <c r="A4771" s="1"/>
      <c r="B4771" s="1" t="s">
        <v>4039</v>
      </c>
      <c r="C4771" s="1" t="s">
        <v>4040</v>
      </c>
      <c r="D4771" s="22" t="str">
        <f>HYPERLINK("https://rhld.insurance.arkansas.gov/NPILookup?Npi=1912060849","1912060849")</f>
        <v>1912060849</v>
      </c>
      <c r="E4771" s="1" t="s">
        <v>16966</v>
      </c>
      <c r="F4771" s="2"/>
      <c r="G4771" s="2"/>
      <c r="H4771" s="2"/>
    </row>
    <row r="4772" spans="1:8" x14ac:dyDescent="0.25">
      <c r="A4772" s="1"/>
      <c r="B4772" s="1" t="s">
        <v>4039</v>
      </c>
      <c r="C4772" s="1" t="s">
        <v>4040</v>
      </c>
      <c r="D4772" s="22" t="str">
        <f>HYPERLINK("https://rhld.insurance.arkansas.gov/NPILookup?Npi=1912067448","1912067448")</f>
        <v>1912067448</v>
      </c>
      <c r="E4772" s="1" t="s">
        <v>3718</v>
      </c>
      <c r="F4772" s="2"/>
      <c r="G4772" s="2"/>
      <c r="H4772" s="2"/>
    </row>
    <row r="4773" spans="1:8" x14ac:dyDescent="0.25">
      <c r="A4773" s="1"/>
      <c r="B4773" s="1" t="s">
        <v>4039</v>
      </c>
      <c r="C4773" s="1" t="s">
        <v>4040</v>
      </c>
      <c r="D4773" s="22" t="str">
        <f>HYPERLINK("https://rhld.insurance.arkansas.gov/NPILookup?Npi=1912082983","1912082983")</f>
        <v>1912082983</v>
      </c>
      <c r="E4773" s="1" t="s">
        <v>10148</v>
      </c>
      <c r="F4773" s="2"/>
      <c r="G4773" s="2"/>
      <c r="H4773" s="2"/>
    </row>
    <row r="4774" spans="1:8" x14ac:dyDescent="0.25">
      <c r="A4774" s="1"/>
      <c r="B4774" s="1" t="s">
        <v>4039</v>
      </c>
      <c r="C4774" s="1" t="s">
        <v>4040</v>
      </c>
      <c r="D4774" s="22" t="str">
        <f>HYPERLINK("https://rhld.insurance.arkansas.gov/NPILookup?Npi=1912402868","1912402868")</f>
        <v>1912402868</v>
      </c>
      <c r="E4774" s="1" t="s">
        <v>2555</v>
      </c>
      <c r="F4774" s="2"/>
      <c r="G4774" s="2"/>
      <c r="H4774" s="2"/>
    </row>
    <row r="4775" spans="1:8" x14ac:dyDescent="0.25">
      <c r="A4775" s="1"/>
      <c r="B4775" s="1" t="s">
        <v>4039</v>
      </c>
      <c r="C4775" s="1" t="s">
        <v>4040</v>
      </c>
      <c r="D4775" s="22" t="str">
        <f>HYPERLINK("https://rhld.insurance.arkansas.gov/NPILookup?Npi=1912437781","1912437781")</f>
        <v>1912437781</v>
      </c>
      <c r="E4775" s="1" t="s">
        <v>16967</v>
      </c>
      <c r="F4775" s="2"/>
      <c r="G4775" s="2"/>
      <c r="H4775" s="2"/>
    </row>
    <row r="4776" spans="1:8" x14ac:dyDescent="0.25">
      <c r="A4776" s="1"/>
      <c r="B4776" s="1" t="s">
        <v>4039</v>
      </c>
      <c r="C4776" s="1" t="s">
        <v>4040</v>
      </c>
      <c r="D4776" s="22" t="str">
        <f>HYPERLINK("https://rhld.insurance.arkansas.gov/NPILookup?Npi=1912524026","1912524026")</f>
        <v>1912524026</v>
      </c>
      <c r="E4776" s="1" t="s">
        <v>16968</v>
      </c>
      <c r="F4776" s="2"/>
      <c r="G4776" s="2"/>
      <c r="H4776" s="2"/>
    </row>
    <row r="4777" spans="1:8" x14ac:dyDescent="0.25">
      <c r="A4777" s="1"/>
      <c r="B4777" s="1" t="s">
        <v>4039</v>
      </c>
      <c r="C4777" s="1" t="s">
        <v>4040</v>
      </c>
      <c r="D4777" s="22" t="str">
        <f>HYPERLINK("https://rhld.insurance.arkansas.gov/NPILookup?Npi=1912531583","1912531583")</f>
        <v>1912531583</v>
      </c>
      <c r="E4777" s="1" t="s">
        <v>4138</v>
      </c>
      <c r="F4777" s="2"/>
      <c r="G4777" s="2"/>
      <c r="H4777" s="2"/>
    </row>
    <row r="4778" spans="1:8" x14ac:dyDescent="0.25">
      <c r="A4778" s="1"/>
      <c r="B4778" s="1" t="s">
        <v>4039</v>
      </c>
      <c r="C4778" s="1" t="s">
        <v>4040</v>
      </c>
      <c r="D4778" s="22" t="str">
        <f>HYPERLINK("https://rhld.insurance.arkansas.gov/NPILookup?Npi=1912562869","1912562869")</f>
        <v>1912562869</v>
      </c>
      <c r="E4778" s="1" t="s">
        <v>16969</v>
      </c>
      <c r="F4778" s="2"/>
      <c r="G4778" s="2"/>
      <c r="H4778" s="2"/>
    </row>
    <row r="4779" spans="1:8" x14ac:dyDescent="0.25">
      <c r="A4779" s="1"/>
      <c r="B4779" s="1" t="s">
        <v>4039</v>
      </c>
      <c r="C4779" s="1" t="s">
        <v>4040</v>
      </c>
      <c r="D4779" s="22" t="str">
        <f>HYPERLINK("https://rhld.insurance.arkansas.gov/NPILookup?Npi=1912900390","1912900390")</f>
        <v>1912900390</v>
      </c>
      <c r="E4779" s="1" t="s">
        <v>31395</v>
      </c>
      <c r="F4779" s="2"/>
      <c r="G4779" s="2"/>
      <c r="H4779" s="2"/>
    </row>
    <row r="4780" spans="1:8" x14ac:dyDescent="0.25">
      <c r="A4780" s="1"/>
      <c r="B4780" s="1" t="s">
        <v>4039</v>
      </c>
      <c r="C4780" s="1" t="s">
        <v>4040</v>
      </c>
      <c r="D4780" s="22" t="str">
        <f>HYPERLINK("https://rhld.insurance.arkansas.gov/NPILookup?Npi=1912939273","1912939273")</f>
        <v>1912939273</v>
      </c>
      <c r="E4780" s="1" t="s">
        <v>2345</v>
      </c>
      <c r="F4780" s="2"/>
      <c r="G4780" s="2"/>
      <c r="H4780" s="2"/>
    </row>
    <row r="4781" spans="1:8" x14ac:dyDescent="0.25">
      <c r="A4781" s="1"/>
      <c r="B4781" s="1" t="s">
        <v>4039</v>
      </c>
      <c r="C4781" s="1" t="s">
        <v>4040</v>
      </c>
      <c r="D4781" s="22" t="str">
        <f>HYPERLINK("https://rhld.insurance.arkansas.gov/NPILookup?Npi=1912967431","1912967431")</f>
        <v>1912967431</v>
      </c>
      <c r="E4781" s="1" t="s">
        <v>16970</v>
      </c>
      <c r="F4781" s="2"/>
      <c r="G4781" s="2"/>
      <c r="H4781" s="2"/>
    </row>
    <row r="4782" spans="1:8" x14ac:dyDescent="0.25">
      <c r="A4782" s="1"/>
      <c r="B4782" s="1" t="s">
        <v>4039</v>
      </c>
      <c r="C4782" s="1" t="s">
        <v>4040</v>
      </c>
      <c r="D4782" s="22" t="str">
        <f>HYPERLINK("https://rhld.insurance.arkansas.gov/NPILookup?Npi=1922000595","1922000595")</f>
        <v>1922000595</v>
      </c>
      <c r="E4782" s="1" t="s">
        <v>16971</v>
      </c>
      <c r="F4782" s="2"/>
      <c r="G4782" s="2"/>
      <c r="H4782" s="2"/>
    </row>
    <row r="4783" spans="1:8" x14ac:dyDescent="0.25">
      <c r="A4783" s="1"/>
      <c r="B4783" s="1" t="s">
        <v>4039</v>
      </c>
      <c r="C4783" s="1" t="s">
        <v>4040</v>
      </c>
      <c r="D4783" s="22" t="str">
        <f>HYPERLINK("https://rhld.insurance.arkansas.gov/NPILookup?Npi=1922044247","1922044247")</f>
        <v>1922044247</v>
      </c>
      <c r="E4783" s="1" t="s">
        <v>16972</v>
      </c>
      <c r="F4783" s="2"/>
      <c r="G4783" s="2"/>
      <c r="H4783" s="2"/>
    </row>
    <row r="4784" spans="1:8" x14ac:dyDescent="0.25">
      <c r="A4784" s="1"/>
      <c r="B4784" s="1" t="s">
        <v>4039</v>
      </c>
      <c r="C4784" s="1" t="s">
        <v>4040</v>
      </c>
      <c r="D4784" s="22" t="str">
        <f>HYPERLINK("https://rhld.insurance.arkansas.gov/NPILookup?Npi=1922137108","1922137108")</f>
        <v>1922137108</v>
      </c>
      <c r="E4784" s="1" t="s">
        <v>2346</v>
      </c>
      <c r="F4784" s="2"/>
      <c r="G4784" s="2"/>
      <c r="H4784" s="2"/>
    </row>
    <row r="4785" spans="1:8" x14ac:dyDescent="0.25">
      <c r="A4785" s="1"/>
      <c r="B4785" s="1" t="s">
        <v>4039</v>
      </c>
      <c r="C4785" s="1" t="s">
        <v>4040</v>
      </c>
      <c r="D4785" s="22" t="str">
        <f>HYPERLINK("https://rhld.insurance.arkansas.gov/NPILookup?Npi=1922193937","1922193937")</f>
        <v>1922193937</v>
      </c>
      <c r="E4785" s="1" t="s">
        <v>16973</v>
      </c>
      <c r="F4785" s="2"/>
      <c r="G4785" s="2"/>
      <c r="H4785" s="2"/>
    </row>
    <row r="4786" spans="1:8" x14ac:dyDescent="0.25">
      <c r="A4786" s="1"/>
      <c r="B4786" s="1" t="s">
        <v>4039</v>
      </c>
      <c r="C4786" s="1" t="s">
        <v>4040</v>
      </c>
      <c r="D4786" s="22" t="str">
        <f>HYPERLINK("https://rhld.insurance.arkansas.gov/NPILookup?Npi=1922247667","1922247667")</f>
        <v>1922247667</v>
      </c>
      <c r="E4786" s="1" t="s">
        <v>16974</v>
      </c>
      <c r="F4786" s="2"/>
      <c r="G4786" s="2"/>
      <c r="H4786" s="2"/>
    </row>
    <row r="4787" spans="1:8" x14ac:dyDescent="0.25">
      <c r="A4787" s="1"/>
      <c r="B4787" s="1" t="s">
        <v>4039</v>
      </c>
      <c r="C4787" s="1" t="s">
        <v>4040</v>
      </c>
      <c r="D4787" s="22" t="str">
        <f>HYPERLINK("https://rhld.insurance.arkansas.gov/NPILookup?Npi=1922361211","1922361211")</f>
        <v>1922361211</v>
      </c>
      <c r="E4787" s="1" t="s">
        <v>16975</v>
      </c>
      <c r="F4787" s="2"/>
      <c r="G4787" s="2"/>
      <c r="H4787" s="2"/>
    </row>
    <row r="4788" spans="1:8" x14ac:dyDescent="0.25">
      <c r="A4788" s="1"/>
      <c r="B4788" s="1" t="s">
        <v>4039</v>
      </c>
      <c r="C4788" s="1" t="s">
        <v>4040</v>
      </c>
      <c r="D4788" s="22" t="str">
        <f>HYPERLINK("https://rhld.insurance.arkansas.gov/NPILookup?Npi=1922362508","1922362508")</f>
        <v>1922362508</v>
      </c>
      <c r="E4788" s="1" t="s">
        <v>593</v>
      </c>
      <c r="F4788" s="2"/>
      <c r="G4788" s="2"/>
      <c r="H4788" s="2"/>
    </row>
    <row r="4789" spans="1:8" x14ac:dyDescent="0.25">
      <c r="A4789" s="1"/>
      <c r="B4789" s="1" t="s">
        <v>4039</v>
      </c>
      <c r="C4789" s="1" t="s">
        <v>4040</v>
      </c>
      <c r="D4789" s="22" t="str">
        <f>HYPERLINK("https://rhld.insurance.arkansas.gov/NPILookup?Npi=1922451822","1922451822")</f>
        <v>1922451822</v>
      </c>
      <c r="E4789" s="1" t="s">
        <v>10149</v>
      </c>
      <c r="F4789" s="2"/>
      <c r="G4789" s="2"/>
      <c r="H4789" s="2"/>
    </row>
    <row r="4790" spans="1:8" x14ac:dyDescent="0.25">
      <c r="A4790" s="1"/>
      <c r="B4790" s="1" t="s">
        <v>4039</v>
      </c>
      <c r="C4790" s="1" t="s">
        <v>4040</v>
      </c>
      <c r="D4790" s="22" t="str">
        <f>HYPERLINK("https://rhld.insurance.arkansas.gov/NPILookup?Npi=1922457332","1922457332")</f>
        <v>1922457332</v>
      </c>
      <c r="E4790" s="1" t="s">
        <v>819</v>
      </c>
      <c r="F4790" s="2"/>
      <c r="G4790" s="2"/>
      <c r="H4790" s="2"/>
    </row>
    <row r="4791" spans="1:8" x14ac:dyDescent="0.25">
      <c r="A4791" s="1"/>
      <c r="B4791" s="1" t="s">
        <v>4039</v>
      </c>
      <c r="C4791" s="1" t="s">
        <v>4040</v>
      </c>
      <c r="D4791" s="22" t="str">
        <f>HYPERLINK("https://rhld.insurance.arkansas.gov/NPILookup?Npi=1922458090","1922458090")</f>
        <v>1922458090</v>
      </c>
      <c r="E4791" s="1" t="s">
        <v>16976</v>
      </c>
      <c r="F4791" s="2"/>
      <c r="G4791" s="2"/>
      <c r="H4791" s="2"/>
    </row>
    <row r="4792" spans="1:8" x14ac:dyDescent="0.25">
      <c r="A4792" s="1"/>
      <c r="B4792" s="1" t="s">
        <v>4039</v>
      </c>
      <c r="C4792" s="1" t="s">
        <v>4040</v>
      </c>
      <c r="D4792" s="22" t="str">
        <f>HYPERLINK("https://rhld.insurance.arkansas.gov/NPILookup?Npi=1922502780","1922502780")</f>
        <v>1922502780</v>
      </c>
      <c r="E4792" s="1" t="s">
        <v>16977</v>
      </c>
      <c r="F4792" s="2"/>
      <c r="G4792" s="2"/>
      <c r="H4792" s="2"/>
    </row>
    <row r="4793" spans="1:8" x14ac:dyDescent="0.25">
      <c r="A4793" s="1"/>
      <c r="B4793" s="1" t="s">
        <v>4039</v>
      </c>
      <c r="C4793" s="1" t="s">
        <v>4040</v>
      </c>
      <c r="D4793" s="22" t="str">
        <f>HYPERLINK("https://rhld.insurance.arkansas.gov/NPILookup?Npi=1922593433","1922593433")</f>
        <v>1922593433</v>
      </c>
      <c r="E4793" s="1" t="s">
        <v>3719</v>
      </c>
      <c r="F4793" s="2"/>
      <c r="G4793" s="2"/>
      <c r="H4793" s="2"/>
    </row>
    <row r="4794" spans="1:8" x14ac:dyDescent="0.25">
      <c r="A4794" s="1"/>
      <c r="B4794" s="1" t="s">
        <v>4039</v>
      </c>
      <c r="C4794" s="1" t="s">
        <v>4040</v>
      </c>
      <c r="D4794" s="22" t="str">
        <f>HYPERLINK("https://rhld.insurance.arkansas.gov/NPILookup?Npi=1922671791","1922671791")</f>
        <v>1922671791</v>
      </c>
      <c r="E4794" s="1" t="s">
        <v>4139</v>
      </c>
      <c r="F4794" s="2"/>
      <c r="G4794" s="2"/>
      <c r="H4794" s="2"/>
    </row>
    <row r="4795" spans="1:8" x14ac:dyDescent="0.25">
      <c r="A4795" s="1"/>
      <c r="B4795" s="1" t="s">
        <v>4039</v>
      </c>
      <c r="C4795" s="1" t="s">
        <v>4040</v>
      </c>
      <c r="D4795" s="22" t="str">
        <f>HYPERLINK("https://rhld.insurance.arkansas.gov/NPILookup?Npi=1922799865","1922799865")</f>
        <v>1922799865</v>
      </c>
      <c r="E4795" s="1" t="s">
        <v>31396</v>
      </c>
      <c r="F4795" s="2"/>
      <c r="G4795" s="2"/>
      <c r="H4795" s="2"/>
    </row>
    <row r="4796" spans="1:8" x14ac:dyDescent="0.25">
      <c r="A4796" s="1"/>
      <c r="B4796" s="1" t="s">
        <v>4039</v>
      </c>
      <c r="C4796" s="1" t="s">
        <v>4040</v>
      </c>
      <c r="D4796" s="22" t="str">
        <f>HYPERLINK("https://rhld.insurance.arkansas.gov/NPILookup?Npi=1922839604","1922839604")</f>
        <v>1922839604</v>
      </c>
      <c r="E4796" s="1" t="s">
        <v>16978</v>
      </c>
      <c r="F4796" s="2"/>
      <c r="G4796" s="2"/>
      <c r="H4796" s="2"/>
    </row>
    <row r="4797" spans="1:8" x14ac:dyDescent="0.25">
      <c r="A4797" s="1"/>
      <c r="B4797" s="1" t="s">
        <v>4039</v>
      </c>
      <c r="C4797" s="1" t="s">
        <v>4040</v>
      </c>
      <c r="D4797" s="22" t="str">
        <f>HYPERLINK("https://rhld.insurance.arkansas.gov/NPILookup?Npi=1932093572","1932093572")</f>
        <v>1932093572</v>
      </c>
      <c r="E4797" s="1" t="s">
        <v>31397</v>
      </c>
      <c r="F4797" s="2"/>
      <c r="G4797" s="2"/>
      <c r="H4797" s="2"/>
    </row>
    <row r="4798" spans="1:8" x14ac:dyDescent="0.25">
      <c r="A4798" s="1"/>
      <c r="B4798" s="1" t="s">
        <v>4039</v>
      </c>
      <c r="C4798" s="1" t="s">
        <v>4040</v>
      </c>
      <c r="D4798" s="22" t="str">
        <f>HYPERLINK("https://rhld.insurance.arkansas.gov/NPILookup?Npi=1932116167","1932116167")</f>
        <v>1932116167</v>
      </c>
      <c r="E4798" s="1" t="s">
        <v>535</v>
      </c>
      <c r="F4798" s="2"/>
      <c r="G4798" s="2"/>
      <c r="H4798" s="2"/>
    </row>
    <row r="4799" spans="1:8" x14ac:dyDescent="0.25">
      <c r="A4799" s="1"/>
      <c r="B4799" s="1" t="s">
        <v>4039</v>
      </c>
      <c r="C4799" s="1" t="s">
        <v>4040</v>
      </c>
      <c r="D4799" s="22" t="str">
        <f>HYPERLINK("https://rhld.insurance.arkansas.gov/NPILookup?Npi=1932119054","1932119054")</f>
        <v>1932119054</v>
      </c>
      <c r="E4799" s="1" t="s">
        <v>9786</v>
      </c>
      <c r="F4799" s="2"/>
      <c r="G4799" s="2"/>
      <c r="H4799" s="2"/>
    </row>
    <row r="4800" spans="1:8" x14ac:dyDescent="0.25">
      <c r="A4800" s="1"/>
      <c r="B4800" s="1" t="s">
        <v>4039</v>
      </c>
      <c r="C4800" s="1" t="s">
        <v>4040</v>
      </c>
      <c r="D4800" s="22" t="str">
        <f>HYPERLINK("https://rhld.insurance.arkansas.gov/NPILookup?Npi=1932150042","1932150042")</f>
        <v>1932150042</v>
      </c>
      <c r="E4800" s="1" t="s">
        <v>1735</v>
      </c>
      <c r="F4800" s="2"/>
      <c r="G4800" s="2"/>
      <c r="H4800" s="2"/>
    </row>
    <row r="4801" spans="1:8" x14ac:dyDescent="0.25">
      <c r="A4801" s="1"/>
      <c r="B4801" s="1" t="s">
        <v>4039</v>
      </c>
      <c r="C4801" s="1" t="s">
        <v>4040</v>
      </c>
      <c r="D4801" s="22" t="str">
        <f>HYPERLINK("https://rhld.insurance.arkansas.gov/NPILookup?Npi=1932243094","1932243094")</f>
        <v>1932243094</v>
      </c>
      <c r="E4801" s="1" t="s">
        <v>16980</v>
      </c>
      <c r="F4801" s="2"/>
      <c r="G4801" s="2"/>
      <c r="H4801" s="2"/>
    </row>
    <row r="4802" spans="1:8" x14ac:dyDescent="0.25">
      <c r="A4802" s="1"/>
      <c r="B4802" s="1" t="s">
        <v>4039</v>
      </c>
      <c r="C4802" s="1" t="s">
        <v>4040</v>
      </c>
      <c r="D4802" s="22" t="str">
        <f>HYPERLINK("https://rhld.insurance.arkansas.gov/NPILookup?Npi=1932291382","1932291382")</f>
        <v>1932291382</v>
      </c>
      <c r="E4802" s="1" t="s">
        <v>16981</v>
      </c>
      <c r="F4802" s="2"/>
      <c r="G4802" s="2"/>
      <c r="H4802" s="2"/>
    </row>
    <row r="4803" spans="1:8" x14ac:dyDescent="0.25">
      <c r="A4803" s="1"/>
      <c r="B4803" s="1" t="s">
        <v>4039</v>
      </c>
      <c r="C4803" s="1" t="s">
        <v>4040</v>
      </c>
      <c r="D4803" s="22" t="str">
        <f>HYPERLINK("https://rhld.insurance.arkansas.gov/NPILookup?Npi=1932398799","1932398799")</f>
        <v>1932398799</v>
      </c>
      <c r="E4803" s="1" t="s">
        <v>557</v>
      </c>
      <c r="F4803" s="2"/>
      <c r="G4803" s="2"/>
      <c r="H4803" s="2"/>
    </row>
    <row r="4804" spans="1:8" x14ac:dyDescent="0.25">
      <c r="A4804" s="1"/>
      <c r="B4804" s="1" t="s">
        <v>4039</v>
      </c>
      <c r="C4804" s="1" t="s">
        <v>4040</v>
      </c>
      <c r="D4804" s="22" t="str">
        <f>HYPERLINK("https://rhld.insurance.arkansas.gov/NPILookup?Npi=1932497096","1932497096")</f>
        <v>1932497096</v>
      </c>
      <c r="E4804" s="1" t="s">
        <v>820</v>
      </c>
      <c r="F4804" s="2"/>
      <c r="G4804" s="2"/>
      <c r="H4804" s="2"/>
    </row>
    <row r="4805" spans="1:8" x14ac:dyDescent="0.25">
      <c r="A4805" s="1"/>
      <c r="B4805" s="1" t="s">
        <v>4039</v>
      </c>
      <c r="C4805" s="1" t="s">
        <v>4040</v>
      </c>
      <c r="D4805" s="22" t="str">
        <f>HYPERLINK("https://rhld.insurance.arkansas.gov/NPILookup?Npi=1932525813","1932525813")</f>
        <v>1932525813</v>
      </c>
      <c r="E4805" s="1" t="s">
        <v>10150</v>
      </c>
      <c r="F4805" s="2"/>
      <c r="G4805" s="2"/>
      <c r="H4805" s="2"/>
    </row>
    <row r="4806" spans="1:8" x14ac:dyDescent="0.25">
      <c r="A4806" s="1"/>
      <c r="B4806" s="1" t="s">
        <v>4039</v>
      </c>
      <c r="C4806" s="1" t="s">
        <v>4040</v>
      </c>
      <c r="D4806" s="22" t="str">
        <f>HYPERLINK("https://rhld.insurance.arkansas.gov/NPILookup?Npi=1932756608","1932756608")</f>
        <v>1932756608</v>
      </c>
      <c r="E4806" s="1" t="s">
        <v>16982</v>
      </c>
      <c r="F4806" s="2"/>
      <c r="G4806" s="2"/>
      <c r="H4806" s="2"/>
    </row>
    <row r="4807" spans="1:8" x14ac:dyDescent="0.25">
      <c r="A4807" s="1"/>
      <c r="B4807" s="1" t="s">
        <v>4039</v>
      </c>
      <c r="C4807" s="1" t="s">
        <v>4040</v>
      </c>
      <c r="D4807" s="22" t="str">
        <f>HYPERLINK("https://rhld.insurance.arkansas.gov/NPILookup?Npi=1932761848","1932761848")</f>
        <v>1932761848</v>
      </c>
      <c r="E4807" s="1" t="s">
        <v>16983</v>
      </c>
      <c r="F4807" s="2"/>
      <c r="G4807" s="2"/>
      <c r="H4807" s="2"/>
    </row>
    <row r="4808" spans="1:8" x14ac:dyDescent="0.25">
      <c r="A4808" s="1"/>
      <c r="B4808" s="1" t="s">
        <v>4039</v>
      </c>
      <c r="C4808" s="1" t="s">
        <v>4040</v>
      </c>
      <c r="D4808" s="22" t="str">
        <f>HYPERLINK("https://rhld.insurance.arkansas.gov/NPILookup?Npi=1932783586","1932783586")</f>
        <v>1932783586</v>
      </c>
      <c r="E4808" s="1" t="s">
        <v>4140</v>
      </c>
      <c r="F4808" s="2"/>
      <c r="G4808" s="2"/>
      <c r="H4808" s="2"/>
    </row>
    <row r="4809" spans="1:8" x14ac:dyDescent="0.25">
      <c r="A4809" s="1"/>
      <c r="B4809" s="1" t="s">
        <v>4039</v>
      </c>
      <c r="C4809" s="1" t="s">
        <v>4040</v>
      </c>
      <c r="D4809" s="22" t="str">
        <f>HYPERLINK("https://rhld.insurance.arkansas.gov/NPILookup?Npi=1932830767","1932830767")</f>
        <v>1932830767</v>
      </c>
      <c r="E4809" s="1" t="s">
        <v>16984</v>
      </c>
      <c r="F4809" s="2"/>
      <c r="G4809" s="2"/>
      <c r="H4809" s="2"/>
    </row>
    <row r="4810" spans="1:8" x14ac:dyDescent="0.25">
      <c r="A4810" s="1"/>
      <c r="B4810" s="1" t="s">
        <v>4039</v>
      </c>
      <c r="C4810" s="1" t="s">
        <v>4040</v>
      </c>
      <c r="D4810" s="22" t="str">
        <f>HYPERLINK("https://rhld.insurance.arkansas.gov/NPILookup?Npi=1932834231","1932834231")</f>
        <v>1932834231</v>
      </c>
      <c r="E4810" s="1" t="s">
        <v>4141</v>
      </c>
      <c r="F4810" s="2"/>
      <c r="G4810" s="2"/>
      <c r="H4810" s="2"/>
    </row>
    <row r="4811" spans="1:8" x14ac:dyDescent="0.25">
      <c r="A4811" s="1"/>
      <c r="B4811" s="1" t="s">
        <v>4039</v>
      </c>
      <c r="C4811" s="1" t="s">
        <v>4040</v>
      </c>
      <c r="D4811" s="22" t="str">
        <f>HYPERLINK("https://rhld.insurance.arkansas.gov/NPILookup?Npi=1932890886","1932890886")</f>
        <v>1932890886</v>
      </c>
      <c r="E4811" s="1" t="s">
        <v>31398</v>
      </c>
      <c r="F4811" s="2"/>
      <c r="G4811" s="2"/>
      <c r="H4811" s="2"/>
    </row>
    <row r="4812" spans="1:8" x14ac:dyDescent="0.25">
      <c r="A4812" s="1"/>
      <c r="B4812" s="1" t="s">
        <v>4039</v>
      </c>
      <c r="C4812" s="1" t="s">
        <v>4040</v>
      </c>
      <c r="D4812" s="22" t="str">
        <f>HYPERLINK("https://rhld.insurance.arkansas.gov/NPILookup?Npi=1932943362","1932943362")</f>
        <v>1932943362</v>
      </c>
      <c r="E4812" s="1" t="s">
        <v>16985</v>
      </c>
      <c r="F4812" s="2"/>
      <c r="G4812" s="2"/>
      <c r="H4812" s="2"/>
    </row>
    <row r="4813" spans="1:8" x14ac:dyDescent="0.25">
      <c r="A4813" s="1"/>
      <c r="B4813" s="1" t="s">
        <v>4039</v>
      </c>
      <c r="C4813" s="1" t="s">
        <v>4040</v>
      </c>
      <c r="D4813" s="22" t="str">
        <f>HYPERLINK("https://rhld.insurance.arkansas.gov/NPILookup?Npi=1942212915","1942212915")</f>
        <v>1942212915</v>
      </c>
      <c r="E4813" s="1" t="s">
        <v>2695</v>
      </c>
      <c r="F4813" s="2"/>
      <c r="G4813" s="2"/>
      <c r="H4813" s="2"/>
    </row>
    <row r="4814" spans="1:8" x14ac:dyDescent="0.25">
      <c r="A4814" s="1"/>
      <c r="B4814" s="1" t="s">
        <v>4039</v>
      </c>
      <c r="C4814" s="1" t="s">
        <v>4040</v>
      </c>
      <c r="D4814" s="22" t="str">
        <f>HYPERLINK("https://rhld.insurance.arkansas.gov/NPILookup?Npi=1942236823","1942236823")</f>
        <v>1942236823</v>
      </c>
      <c r="E4814" s="1" t="s">
        <v>10151</v>
      </c>
      <c r="F4814" s="2"/>
      <c r="G4814" s="2"/>
      <c r="H4814" s="2"/>
    </row>
    <row r="4815" spans="1:8" x14ac:dyDescent="0.25">
      <c r="A4815" s="1"/>
      <c r="B4815" s="1" t="s">
        <v>4039</v>
      </c>
      <c r="C4815" s="1" t="s">
        <v>4040</v>
      </c>
      <c r="D4815" s="22" t="str">
        <f>HYPERLINK("https://rhld.insurance.arkansas.gov/NPILookup?Npi=1942243639","1942243639")</f>
        <v>1942243639</v>
      </c>
      <c r="E4815" s="1" t="s">
        <v>16986</v>
      </c>
      <c r="F4815" s="2"/>
      <c r="G4815" s="2"/>
      <c r="H4815" s="2"/>
    </row>
    <row r="4816" spans="1:8" x14ac:dyDescent="0.25">
      <c r="A4816" s="1"/>
      <c r="B4816" s="1" t="s">
        <v>4039</v>
      </c>
      <c r="C4816" s="1" t="s">
        <v>4040</v>
      </c>
      <c r="D4816" s="22" t="str">
        <f>HYPERLINK("https://rhld.insurance.arkansas.gov/NPILookup?Npi=1942280888","1942280888")</f>
        <v>1942280888</v>
      </c>
      <c r="E4816" s="1" t="s">
        <v>1011</v>
      </c>
      <c r="F4816" s="2"/>
      <c r="G4816" s="2"/>
      <c r="H4816" s="2"/>
    </row>
    <row r="4817" spans="1:8" x14ac:dyDescent="0.25">
      <c r="A4817" s="1"/>
      <c r="B4817" s="1" t="s">
        <v>4039</v>
      </c>
      <c r="C4817" s="1" t="s">
        <v>4040</v>
      </c>
      <c r="D4817" s="22" t="str">
        <f>HYPERLINK("https://rhld.insurance.arkansas.gov/NPILookup?Npi=1942308176","1942308176")</f>
        <v>1942308176</v>
      </c>
      <c r="E4817" s="1" t="s">
        <v>16987</v>
      </c>
      <c r="F4817" s="2"/>
      <c r="G4817" s="2"/>
      <c r="H4817" s="2"/>
    </row>
    <row r="4818" spans="1:8" x14ac:dyDescent="0.25">
      <c r="A4818" s="1"/>
      <c r="B4818" s="1" t="s">
        <v>4039</v>
      </c>
      <c r="C4818" s="1" t="s">
        <v>4040</v>
      </c>
      <c r="D4818" s="22" t="str">
        <f>HYPERLINK("https://rhld.insurance.arkansas.gov/NPILookup?Npi=1942319769","1942319769")</f>
        <v>1942319769</v>
      </c>
      <c r="E4818" s="1" t="s">
        <v>355</v>
      </c>
      <c r="F4818" s="2"/>
      <c r="G4818" s="2"/>
      <c r="H4818" s="2"/>
    </row>
    <row r="4819" spans="1:8" x14ac:dyDescent="0.25">
      <c r="A4819" s="1"/>
      <c r="B4819" s="1" t="s">
        <v>4039</v>
      </c>
      <c r="C4819" s="1" t="s">
        <v>4040</v>
      </c>
      <c r="D4819" s="22" t="str">
        <f>HYPERLINK("https://rhld.insurance.arkansas.gov/NPILookup?Npi=1942330618","1942330618")</f>
        <v>1942330618</v>
      </c>
      <c r="E4819" s="1" t="s">
        <v>1008</v>
      </c>
      <c r="F4819" s="2"/>
      <c r="G4819" s="2"/>
      <c r="H4819" s="2"/>
    </row>
    <row r="4820" spans="1:8" x14ac:dyDescent="0.25">
      <c r="A4820" s="1"/>
      <c r="B4820" s="1" t="s">
        <v>4039</v>
      </c>
      <c r="C4820" s="1" t="s">
        <v>4040</v>
      </c>
      <c r="D4820" s="22" t="str">
        <f>HYPERLINK("https://rhld.insurance.arkansas.gov/NPILookup?Npi=1942372065","1942372065")</f>
        <v>1942372065</v>
      </c>
      <c r="E4820" s="1" t="s">
        <v>3720</v>
      </c>
      <c r="F4820" s="2"/>
      <c r="G4820" s="2"/>
      <c r="H4820" s="2"/>
    </row>
    <row r="4821" spans="1:8" x14ac:dyDescent="0.25">
      <c r="A4821" s="1"/>
      <c r="B4821" s="1" t="s">
        <v>4039</v>
      </c>
      <c r="C4821" s="1" t="s">
        <v>4040</v>
      </c>
      <c r="D4821" s="22" t="str">
        <f>HYPERLINK("https://rhld.insurance.arkansas.gov/NPILookup?Npi=1942383245","1942383245")</f>
        <v>1942383245</v>
      </c>
      <c r="E4821" s="1" t="s">
        <v>16988</v>
      </c>
      <c r="F4821" s="2"/>
      <c r="G4821" s="2"/>
      <c r="H4821" s="2"/>
    </row>
    <row r="4822" spans="1:8" x14ac:dyDescent="0.25">
      <c r="A4822" s="1"/>
      <c r="B4822" s="1" t="s">
        <v>4039</v>
      </c>
      <c r="C4822" s="1" t="s">
        <v>4040</v>
      </c>
      <c r="D4822" s="22" t="str">
        <f>HYPERLINK("https://rhld.insurance.arkansas.gov/NPILookup?Npi=1942414461","1942414461")</f>
        <v>1942414461</v>
      </c>
      <c r="E4822" s="1" t="s">
        <v>10152</v>
      </c>
      <c r="F4822" s="2"/>
      <c r="G4822" s="2"/>
      <c r="H4822" s="2"/>
    </row>
    <row r="4823" spans="1:8" x14ac:dyDescent="0.25">
      <c r="A4823" s="1"/>
      <c r="B4823" s="1" t="s">
        <v>4039</v>
      </c>
      <c r="C4823" s="1" t="s">
        <v>4040</v>
      </c>
      <c r="D4823" s="22" t="str">
        <f>HYPERLINK("https://rhld.insurance.arkansas.gov/NPILookup?Npi=1942430012","1942430012")</f>
        <v>1942430012</v>
      </c>
      <c r="E4823" s="1" t="s">
        <v>10153</v>
      </c>
      <c r="F4823" s="2"/>
      <c r="G4823" s="2"/>
      <c r="H4823" s="2"/>
    </row>
    <row r="4824" spans="1:8" x14ac:dyDescent="0.25">
      <c r="A4824" s="1"/>
      <c r="B4824" s="1" t="s">
        <v>4039</v>
      </c>
      <c r="C4824" s="1" t="s">
        <v>4040</v>
      </c>
      <c r="D4824" s="22" t="str">
        <f>HYPERLINK("https://rhld.insurance.arkansas.gov/NPILookup?Npi=1942432729","1942432729")</f>
        <v>1942432729</v>
      </c>
      <c r="E4824" s="1" t="s">
        <v>16989</v>
      </c>
      <c r="F4824" s="2"/>
      <c r="G4824" s="2"/>
      <c r="H4824" s="2"/>
    </row>
    <row r="4825" spans="1:8" x14ac:dyDescent="0.25">
      <c r="A4825" s="1"/>
      <c r="B4825" s="1" t="s">
        <v>4039</v>
      </c>
      <c r="C4825" s="1" t="s">
        <v>4040</v>
      </c>
      <c r="D4825" s="22" t="str">
        <f>HYPERLINK("https://rhld.insurance.arkansas.gov/NPILookup?Npi=1942471271","1942471271")</f>
        <v>1942471271</v>
      </c>
      <c r="E4825" s="1" t="s">
        <v>16990</v>
      </c>
      <c r="F4825" s="2"/>
      <c r="G4825" s="2"/>
      <c r="H4825" s="2"/>
    </row>
    <row r="4826" spans="1:8" x14ac:dyDescent="0.25">
      <c r="A4826" s="1"/>
      <c r="B4826" s="1" t="s">
        <v>4039</v>
      </c>
      <c r="C4826" s="1" t="s">
        <v>4040</v>
      </c>
      <c r="D4826" s="22" t="str">
        <f>HYPERLINK("https://rhld.insurance.arkansas.gov/NPILookup?Npi=1942486022","1942486022")</f>
        <v>1942486022</v>
      </c>
      <c r="E4826" s="1" t="s">
        <v>16991</v>
      </c>
      <c r="F4826" s="2"/>
      <c r="G4826" s="2"/>
      <c r="H4826" s="2"/>
    </row>
    <row r="4827" spans="1:8" x14ac:dyDescent="0.25">
      <c r="A4827" s="1"/>
      <c r="B4827" s="1" t="s">
        <v>4039</v>
      </c>
      <c r="C4827" s="1" t="s">
        <v>4040</v>
      </c>
      <c r="D4827" s="22" t="str">
        <f>HYPERLINK("https://rhld.insurance.arkansas.gov/NPILookup?Npi=1942500970","1942500970")</f>
        <v>1942500970</v>
      </c>
      <c r="E4827" s="1" t="s">
        <v>16992</v>
      </c>
      <c r="F4827" s="2"/>
      <c r="G4827" s="2"/>
      <c r="H4827" s="2"/>
    </row>
    <row r="4828" spans="1:8" x14ac:dyDescent="0.25">
      <c r="A4828" s="1"/>
      <c r="B4828" s="1" t="s">
        <v>4039</v>
      </c>
      <c r="C4828" s="1" t="s">
        <v>4040</v>
      </c>
      <c r="D4828" s="22" t="str">
        <f>HYPERLINK("https://rhld.insurance.arkansas.gov/NPILookup?Npi=1942536677","1942536677")</f>
        <v>1942536677</v>
      </c>
      <c r="E4828" s="1" t="s">
        <v>16993</v>
      </c>
      <c r="F4828" s="2"/>
      <c r="G4828" s="2"/>
      <c r="H4828" s="2"/>
    </row>
    <row r="4829" spans="1:8" x14ac:dyDescent="0.25">
      <c r="A4829" s="1"/>
      <c r="B4829" s="1" t="s">
        <v>4039</v>
      </c>
      <c r="C4829" s="1" t="s">
        <v>4040</v>
      </c>
      <c r="D4829" s="22" t="str">
        <f>HYPERLINK("https://rhld.insurance.arkansas.gov/NPILookup?Npi=1942692686","1942692686")</f>
        <v>1942692686</v>
      </c>
      <c r="E4829" s="1" t="s">
        <v>3721</v>
      </c>
      <c r="F4829" s="2"/>
      <c r="G4829" s="2"/>
      <c r="H4829" s="2"/>
    </row>
    <row r="4830" spans="1:8" x14ac:dyDescent="0.25">
      <c r="A4830" s="1"/>
      <c r="B4830" s="1" t="s">
        <v>4039</v>
      </c>
      <c r="C4830" s="1" t="s">
        <v>4040</v>
      </c>
      <c r="D4830" s="22" t="str">
        <f>HYPERLINK("https://rhld.insurance.arkansas.gov/NPILookup?Npi=1942950498","1942950498")</f>
        <v>1942950498</v>
      </c>
      <c r="E4830" s="1" t="s">
        <v>16994</v>
      </c>
      <c r="F4830" s="2"/>
      <c r="G4830" s="2"/>
      <c r="H4830" s="2"/>
    </row>
    <row r="4831" spans="1:8" x14ac:dyDescent="0.25">
      <c r="A4831" s="1"/>
      <c r="B4831" s="1" t="s">
        <v>4039</v>
      </c>
      <c r="C4831" s="1" t="s">
        <v>4040</v>
      </c>
      <c r="D4831" s="22" t="str">
        <f>HYPERLINK("https://rhld.insurance.arkansas.gov/NPILookup?Npi=1952306425","1952306425")</f>
        <v>1952306425</v>
      </c>
      <c r="E4831" s="1" t="s">
        <v>10154</v>
      </c>
      <c r="F4831" s="2"/>
      <c r="G4831" s="2"/>
      <c r="H4831" s="2"/>
    </row>
    <row r="4832" spans="1:8" x14ac:dyDescent="0.25">
      <c r="A4832" s="1"/>
      <c r="B4832" s="1" t="s">
        <v>4039</v>
      </c>
      <c r="C4832" s="1" t="s">
        <v>4040</v>
      </c>
      <c r="D4832" s="22" t="str">
        <f>HYPERLINK("https://rhld.insurance.arkansas.gov/NPILookup?Npi=1952400079","1952400079")</f>
        <v>1952400079</v>
      </c>
      <c r="E4832" s="1" t="s">
        <v>16995</v>
      </c>
      <c r="F4832" s="2"/>
      <c r="G4832" s="2"/>
      <c r="H4832" s="2"/>
    </row>
    <row r="4833" spans="1:8" x14ac:dyDescent="0.25">
      <c r="A4833" s="1"/>
      <c r="B4833" s="1" t="s">
        <v>4039</v>
      </c>
      <c r="C4833" s="1" t="s">
        <v>4040</v>
      </c>
      <c r="D4833" s="22" t="str">
        <f>HYPERLINK("https://rhld.insurance.arkansas.gov/NPILookup?Npi=1952412850","1952412850")</f>
        <v>1952412850</v>
      </c>
      <c r="E4833" s="1" t="s">
        <v>751</v>
      </c>
      <c r="F4833" s="2"/>
      <c r="G4833" s="2"/>
      <c r="H4833" s="2"/>
    </row>
    <row r="4834" spans="1:8" x14ac:dyDescent="0.25">
      <c r="A4834" s="1"/>
      <c r="B4834" s="1" t="s">
        <v>4039</v>
      </c>
      <c r="C4834" s="1" t="s">
        <v>4040</v>
      </c>
      <c r="D4834" s="22" t="str">
        <f>HYPERLINK("https://rhld.insurance.arkansas.gov/NPILookup?Npi=1952421836","1952421836")</f>
        <v>1952421836</v>
      </c>
      <c r="E4834" s="1" t="s">
        <v>16996</v>
      </c>
      <c r="F4834" s="2"/>
      <c r="G4834" s="2"/>
      <c r="H4834" s="2"/>
    </row>
    <row r="4835" spans="1:8" x14ac:dyDescent="0.25">
      <c r="A4835" s="1"/>
      <c r="B4835" s="1" t="s">
        <v>4039</v>
      </c>
      <c r="C4835" s="1" t="s">
        <v>4040</v>
      </c>
      <c r="D4835" s="22" t="str">
        <f>HYPERLINK("https://rhld.insurance.arkansas.gov/NPILookup?Npi=1952469991","1952469991")</f>
        <v>1952469991</v>
      </c>
      <c r="E4835" s="1" t="s">
        <v>16997</v>
      </c>
      <c r="F4835" s="2"/>
      <c r="G4835" s="2"/>
      <c r="H4835" s="2"/>
    </row>
    <row r="4836" spans="1:8" x14ac:dyDescent="0.25">
      <c r="A4836" s="1"/>
      <c r="B4836" s="1" t="s">
        <v>4039</v>
      </c>
      <c r="C4836" s="1" t="s">
        <v>4040</v>
      </c>
      <c r="D4836" s="22" t="str">
        <f>HYPERLINK("https://rhld.insurance.arkansas.gov/NPILookup?Npi=1952471575","1952471575")</f>
        <v>1952471575</v>
      </c>
      <c r="E4836" s="1" t="s">
        <v>537</v>
      </c>
      <c r="F4836" s="2"/>
      <c r="G4836" s="2"/>
      <c r="H4836" s="2"/>
    </row>
    <row r="4837" spans="1:8" x14ac:dyDescent="0.25">
      <c r="A4837" s="1"/>
      <c r="B4837" s="1" t="s">
        <v>4039</v>
      </c>
      <c r="C4837" s="1" t="s">
        <v>4040</v>
      </c>
      <c r="D4837" s="22" t="str">
        <f>HYPERLINK("https://rhld.insurance.arkansas.gov/NPILookup?Npi=1952474454","1952474454")</f>
        <v>1952474454</v>
      </c>
      <c r="E4837" s="1" t="s">
        <v>16998</v>
      </c>
      <c r="F4837" s="2"/>
      <c r="G4837" s="2"/>
      <c r="H4837" s="2"/>
    </row>
    <row r="4838" spans="1:8" x14ac:dyDescent="0.25">
      <c r="A4838" s="1"/>
      <c r="B4838" s="1" t="s">
        <v>4039</v>
      </c>
      <c r="C4838" s="1" t="s">
        <v>4040</v>
      </c>
      <c r="D4838" s="22" t="str">
        <f>HYPERLINK("https://rhld.insurance.arkansas.gov/NPILookup?Npi=1952497620","1952497620")</f>
        <v>1952497620</v>
      </c>
      <c r="E4838" s="1" t="s">
        <v>16999</v>
      </c>
      <c r="F4838" s="2"/>
      <c r="G4838" s="2"/>
      <c r="H4838" s="2"/>
    </row>
    <row r="4839" spans="1:8" x14ac:dyDescent="0.25">
      <c r="A4839" s="1"/>
      <c r="B4839" s="1" t="s">
        <v>4039</v>
      </c>
      <c r="C4839" s="1" t="s">
        <v>4040</v>
      </c>
      <c r="D4839" s="22" t="str">
        <f>HYPERLINK("https://rhld.insurance.arkansas.gov/NPILookup?Npi=1952508327","1952508327")</f>
        <v>1952508327</v>
      </c>
      <c r="E4839" s="1" t="s">
        <v>17000</v>
      </c>
      <c r="F4839" s="2"/>
      <c r="G4839" s="2"/>
      <c r="H4839" s="2"/>
    </row>
    <row r="4840" spans="1:8" x14ac:dyDescent="0.25">
      <c r="A4840" s="1"/>
      <c r="B4840" s="1" t="s">
        <v>4039</v>
      </c>
      <c r="C4840" s="1" t="s">
        <v>4040</v>
      </c>
      <c r="D4840" s="22" t="str">
        <f>HYPERLINK("https://rhld.insurance.arkansas.gov/NPILookup?Npi=1952749517","1952749517")</f>
        <v>1952749517</v>
      </c>
      <c r="E4840" s="1" t="s">
        <v>17001</v>
      </c>
      <c r="F4840" s="2"/>
      <c r="G4840" s="2"/>
      <c r="H4840" s="2"/>
    </row>
    <row r="4841" spans="1:8" x14ac:dyDescent="0.25">
      <c r="A4841" s="1"/>
      <c r="B4841" s="1" t="s">
        <v>4039</v>
      </c>
      <c r="C4841" s="1" t="s">
        <v>4040</v>
      </c>
      <c r="D4841" s="22" t="str">
        <f>HYPERLINK("https://rhld.insurance.arkansas.gov/NPILookup?Npi=1952784159","1952784159")</f>
        <v>1952784159</v>
      </c>
      <c r="E4841" s="1" t="s">
        <v>17002</v>
      </c>
      <c r="F4841" s="2"/>
      <c r="G4841" s="2"/>
      <c r="H4841" s="2"/>
    </row>
    <row r="4842" spans="1:8" x14ac:dyDescent="0.25">
      <c r="A4842" s="1"/>
      <c r="B4842" s="1" t="s">
        <v>4039</v>
      </c>
      <c r="C4842" s="1" t="s">
        <v>4040</v>
      </c>
      <c r="D4842" s="22" t="str">
        <f>HYPERLINK("https://rhld.insurance.arkansas.gov/NPILookup?Npi=1952973026","1952973026")</f>
        <v>1952973026</v>
      </c>
      <c r="E4842" s="1" t="s">
        <v>10155</v>
      </c>
      <c r="F4842" s="2"/>
      <c r="G4842" s="2"/>
      <c r="H4842" s="2"/>
    </row>
    <row r="4843" spans="1:8" x14ac:dyDescent="0.25">
      <c r="A4843" s="1"/>
      <c r="B4843" s="1" t="s">
        <v>4039</v>
      </c>
      <c r="C4843" s="1" t="s">
        <v>4040</v>
      </c>
      <c r="D4843" s="22" t="str">
        <f>HYPERLINK("https://rhld.insurance.arkansas.gov/NPILookup?Npi=1952979841","1952979841")</f>
        <v>1952979841</v>
      </c>
      <c r="E4843" s="1" t="s">
        <v>17003</v>
      </c>
      <c r="F4843" s="2"/>
      <c r="G4843" s="2"/>
      <c r="H4843" s="2"/>
    </row>
    <row r="4844" spans="1:8" x14ac:dyDescent="0.25">
      <c r="A4844" s="1"/>
      <c r="B4844" s="1" t="s">
        <v>4039</v>
      </c>
      <c r="C4844" s="1" t="s">
        <v>4040</v>
      </c>
      <c r="D4844" s="22" t="str">
        <f>HYPERLINK("https://rhld.insurance.arkansas.gov/NPILookup?Npi=1952998627","1952998627")</f>
        <v>1952998627</v>
      </c>
      <c r="E4844" s="1" t="s">
        <v>4142</v>
      </c>
      <c r="F4844" s="2"/>
      <c r="G4844" s="2"/>
      <c r="H4844" s="2"/>
    </row>
    <row r="4845" spans="1:8" x14ac:dyDescent="0.25">
      <c r="A4845" s="1"/>
      <c r="B4845" s="1" t="s">
        <v>4039</v>
      </c>
      <c r="C4845" s="1" t="s">
        <v>4040</v>
      </c>
      <c r="D4845" s="22" t="str">
        <f>HYPERLINK("https://rhld.insurance.arkansas.gov/NPILookup?Npi=1962054411","1962054411")</f>
        <v>1962054411</v>
      </c>
      <c r="E4845" s="1" t="s">
        <v>17004</v>
      </c>
      <c r="F4845" s="2"/>
      <c r="G4845" s="2"/>
      <c r="H4845" s="2"/>
    </row>
    <row r="4846" spans="1:8" x14ac:dyDescent="0.25">
      <c r="A4846" s="1"/>
      <c r="B4846" s="1" t="s">
        <v>4039</v>
      </c>
      <c r="C4846" s="1" t="s">
        <v>4040</v>
      </c>
      <c r="D4846" s="22" t="str">
        <f>HYPERLINK("https://rhld.insurance.arkansas.gov/NPILookup?Npi=1962071936","1962071936")</f>
        <v>1962071936</v>
      </c>
      <c r="E4846" s="1" t="s">
        <v>17005</v>
      </c>
      <c r="F4846" s="2"/>
      <c r="G4846" s="2"/>
      <c r="H4846" s="2"/>
    </row>
    <row r="4847" spans="1:8" x14ac:dyDescent="0.25">
      <c r="A4847" s="1"/>
      <c r="B4847" s="1" t="s">
        <v>4039</v>
      </c>
      <c r="C4847" s="1" t="s">
        <v>4040</v>
      </c>
      <c r="D4847" s="22" t="str">
        <f>HYPERLINK("https://rhld.insurance.arkansas.gov/NPILookup?Npi=1962072058","1962072058")</f>
        <v>1962072058</v>
      </c>
      <c r="E4847" s="1" t="s">
        <v>17006</v>
      </c>
      <c r="F4847" s="2"/>
      <c r="G4847" s="2"/>
      <c r="H4847" s="2"/>
    </row>
    <row r="4848" spans="1:8" x14ac:dyDescent="0.25">
      <c r="A4848" s="1"/>
      <c r="B4848" s="1" t="s">
        <v>4039</v>
      </c>
      <c r="C4848" s="1" t="s">
        <v>4040</v>
      </c>
      <c r="D4848" s="22" t="str">
        <f>HYPERLINK("https://rhld.insurance.arkansas.gov/NPILookup?Npi=1962074294","1962074294")</f>
        <v>1962074294</v>
      </c>
      <c r="E4848" s="1" t="s">
        <v>17007</v>
      </c>
      <c r="F4848" s="2"/>
      <c r="G4848" s="2"/>
      <c r="H4848" s="2"/>
    </row>
    <row r="4849" spans="1:8" x14ac:dyDescent="0.25">
      <c r="A4849" s="1"/>
      <c r="B4849" s="1" t="s">
        <v>4039</v>
      </c>
      <c r="C4849" s="1" t="s">
        <v>4040</v>
      </c>
      <c r="D4849" s="22" t="str">
        <f>HYPERLINK("https://rhld.insurance.arkansas.gov/NPILookup?Npi=1962102764","1962102764")</f>
        <v>1962102764</v>
      </c>
      <c r="E4849" s="1" t="s">
        <v>4143</v>
      </c>
      <c r="F4849" s="2"/>
      <c r="G4849" s="2"/>
      <c r="H4849" s="2"/>
    </row>
    <row r="4850" spans="1:8" x14ac:dyDescent="0.25">
      <c r="A4850" s="1"/>
      <c r="B4850" s="1" t="s">
        <v>4039</v>
      </c>
      <c r="C4850" s="1" t="s">
        <v>4040</v>
      </c>
      <c r="D4850" s="22" t="str">
        <f>HYPERLINK("https://rhld.insurance.arkansas.gov/NPILookup?Npi=1962133561","1962133561")</f>
        <v>1962133561</v>
      </c>
      <c r="E4850" s="1" t="s">
        <v>17008</v>
      </c>
      <c r="F4850" s="2"/>
      <c r="G4850" s="2"/>
      <c r="H4850" s="2"/>
    </row>
    <row r="4851" spans="1:8" x14ac:dyDescent="0.25">
      <c r="A4851" s="1"/>
      <c r="B4851" s="1" t="s">
        <v>4039</v>
      </c>
      <c r="C4851" s="1" t="s">
        <v>4040</v>
      </c>
      <c r="D4851" s="22" t="str">
        <f>HYPERLINK("https://rhld.insurance.arkansas.gov/NPILookup?Npi=1962170829","1962170829")</f>
        <v>1962170829</v>
      </c>
      <c r="E4851" s="1" t="s">
        <v>17009</v>
      </c>
      <c r="F4851" s="2"/>
      <c r="G4851" s="2"/>
      <c r="H4851" s="2"/>
    </row>
    <row r="4852" spans="1:8" x14ac:dyDescent="0.25">
      <c r="A4852" s="1"/>
      <c r="B4852" s="1" t="s">
        <v>4039</v>
      </c>
      <c r="C4852" s="1" t="s">
        <v>4040</v>
      </c>
      <c r="D4852" s="22" t="str">
        <f>HYPERLINK("https://rhld.insurance.arkansas.gov/NPILookup?Npi=1962177485","1962177485")</f>
        <v>1962177485</v>
      </c>
      <c r="E4852" s="1" t="s">
        <v>17010</v>
      </c>
      <c r="F4852" s="2"/>
      <c r="G4852" s="2"/>
      <c r="H4852" s="2"/>
    </row>
    <row r="4853" spans="1:8" x14ac:dyDescent="0.25">
      <c r="A4853" s="1"/>
      <c r="B4853" s="1" t="s">
        <v>4039</v>
      </c>
      <c r="C4853" s="1" t="s">
        <v>4040</v>
      </c>
      <c r="D4853" s="22" t="str">
        <f>HYPERLINK("https://rhld.insurance.arkansas.gov/NPILookup?Npi=1962416016","1962416016")</f>
        <v>1962416016</v>
      </c>
      <c r="E4853" s="1" t="s">
        <v>17011</v>
      </c>
      <c r="F4853" s="2"/>
      <c r="G4853" s="2"/>
      <c r="H4853" s="2"/>
    </row>
    <row r="4854" spans="1:8" x14ac:dyDescent="0.25">
      <c r="A4854" s="1"/>
      <c r="B4854" s="1" t="s">
        <v>4039</v>
      </c>
      <c r="C4854" s="1" t="s">
        <v>4040</v>
      </c>
      <c r="D4854" s="22" t="str">
        <f>HYPERLINK("https://rhld.insurance.arkansas.gov/NPILookup?Npi=1962480673","1962480673")</f>
        <v>1962480673</v>
      </c>
      <c r="E4854" s="1" t="s">
        <v>17012</v>
      </c>
      <c r="F4854" s="2"/>
      <c r="G4854" s="2"/>
      <c r="H4854" s="2"/>
    </row>
    <row r="4855" spans="1:8" x14ac:dyDescent="0.25">
      <c r="A4855" s="1"/>
      <c r="B4855" s="1" t="s">
        <v>4039</v>
      </c>
      <c r="C4855" s="1" t="s">
        <v>4040</v>
      </c>
      <c r="D4855" s="22" t="str">
        <f>HYPERLINK("https://rhld.insurance.arkansas.gov/NPILookup?Npi=1962500215","1962500215")</f>
        <v>1962500215</v>
      </c>
      <c r="E4855" s="1" t="s">
        <v>558</v>
      </c>
      <c r="F4855" s="2"/>
      <c r="G4855" s="2"/>
      <c r="H4855" s="2"/>
    </row>
    <row r="4856" spans="1:8" x14ac:dyDescent="0.25">
      <c r="A4856" s="1"/>
      <c r="B4856" s="1" t="s">
        <v>4039</v>
      </c>
      <c r="C4856" s="1" t="s">
        <v>4040</v>
      </c>
      <c r="D4856" s="22" t="str">
        <f>HYPERLINK("https://rhld.insurance.arkansas.gov/NPILookup?Npi=1962543876","1962543876")</f>
        <v>1962543876</v>
      </c>
      <c r="E4856" s="1" t="s">
        <v>17013</v>
      </c>
      <c r="F4856" s="2"/>
      <c r="G4856" s="2"/>
      <c r="H4856" s="2"/>
    </row>
    <row r="4857" spans="1:8" x14ac:dyDescent="0.25">
      <c r="A4857" s="1"/>
      <c r="B4857" s="1" t="s">
        <v>4039</v>
      </c>
      <c r="C4857" s="1" t="s">
        <v>4040</v>
      </c>
      <c r="D4857" s="22" t="str">
        <f>HYPERLINK("https://rhld.insurance.arkansas.gov/NPILookup?Npi=1962561290","1962561290")</f>
        <v>1962561290</v>
      </c>
      <c r="E4857" s="1" t="s">
        <v>17014</v>
      </c>
      <c r="F4857" s="2"/>
      <c r="G4857" s="2"/>
      <c r="H4857" s="2"/>
    </row>
    <row r="4858" spans="1:8" x14ac:dyDescent="0.25">
      <c r="A4858" s="1"/>
      <c r="B4858" s="1" t="s">
        <v>4039</v>
      </c>
      <c r="C4858" s="1" t="s">
        <v>4040</v>
      </c>
      <c r="D4858" s="22" t="str">
        <f>HYPERLINK("https://rhld.insurance.arkansas.gov/NPILookup?Npi=1962563973","1962563973")</f>
        <v>1962563973</v>
      </c>
      <c r="E4858" s="1" t="s">
        <v>2337</v>
      </c>
      <c r="F4858" s="2"/>
      <c r="G4858" s="2"/>
      <c r="H4858" s="2"/>
    </row>
    <row r="4859" spans="1:8" x14ac:dyDescent="0.25">
      <c r="A4859" s="1"/>
      <c r="B4859" s="1" t="s">
        <v>4039</v>
      </c>
      <c r="C4859" s="1" t="s">
        <v>4040</v>
      </c>
      <c r="D4859" s="22" t="str">
        <f>HYPERLINK("https://rhld.insurance.arkansas.gov/NPILookup?Npi=1962589788","1962589788")</f>
        <v>1962589788</v>
      </c>
      <c r="E4859" s="1" t="s">
        <v>594</v>
      </c>
      <c r="F4859" s="2"/>
      <c r="G4859" s="2"/>
      <c r="H4859" s="2"/>
    </row>
    <row r="4860" spans="1:8" x14ac:dyDescent="0.25">
      <c r="A4860" s="1"/>
      <c r="B4860" s="1" t="s">
        <v>4039</v>
      </c>
      <c r="C4860" s="1" t="s">
        <v>4040</v>
      </c>
      <c r="D4860" s="22" t="str">
        <f>HYPERLINK("https://rhld.insurance.arkansas.gov/NPILookup?Npi=1962679563","1962679563")</f>
        <v>1962679563</v>
      </c>
      <c r="E4860" s="1" t="s">
        <v>17015</v>
      </c>
      <c r="F4860" s="2"/>
      <c r="G4860" s="2"/>
      <c r="H4860" s="2"/>
    </row>
    <row r="4861" spans="1:8" x14ac:dyDescent="0.25">
      <c r="A4861" s="1"/>
      <c r="B4861" s="1" t="s">
        <v>4039</v>
      </c>
      <c r="C4861" s="1" t="s">
        <v>4040</v>
      </c>
      <c r="D4861" s="22" t="str">
        <f>HYPERLINK("https://rhld.insurance.arkansas.gov/NPILookup?Npi=1962718536","1962718536")</f>
        <v>1962718536</v>
      </c>
      <c r="E4861" s="1" t="s">
        <v>10156</v>
      </c>
      <c r="F4861" s="2"/>
      <c r="G4861" s="2"/>
      <c r="H4861" s="2"/>
    </row>
    <row r="4862" spans="1:8" x14ac:dyDescent="0.25">
      <c r="A4862" s="1"/>
      <c r="B4862" s="1" t="s">
        <v>4039</v>
      </c>
      <c r="C4862" s="1" t="s">
        <v>4040</v>
      </c>
      <c r="D4862" s="22" t="str">
        <f>HYPERLINK("https://rhld.insurance.arkansas.gov/NPILookup?Npi=1962817304","1962817304")</f>
        <v>1962817304</v>
      </c>
      <c r="E4862" s="1" t="s">
        <v>559</v>
      </c>
      <c r="F4862" s="2"/>
      <c r="G4862" s="2"/>
      <c r="H4862" s="2"/>
    </row>
    <row r="4863" spans="1:8" x14ac:dyDescent="0.25">
      <c r="A4863" s="1"/>
      <c r="B4863" s="1" t="s">
        <v>4039</v>
      </c>
      <c r="C4863" s="1" t="s">
        <v>4040</v>
      </c>
      <c r="D4863" s="22" t="str">
        <f>HYPERLINK("https://rhld.insurance.arkansas.gov/NPILookup?Npi=1972063386","1972063386")</f>
        <v>1972063386</v>
      </c>
      <c r="E4863" s="1" t="s">
        <v>4144</v>
      </c>
      <c r="F4863" s="2"/>
      <c r="G4863" s="2"/>
      <c r="H4863" s="2"/>
    </row>
    <row r="4864" spans="1:8" x14ac:dyDescent="0.25">
      <c r="A4864" s="1"/>
      <c r="B4864" s="1" t="s">
        <v>4039</v>
      </c>
      <c r="C4864" s="1" t="s">
        <v>4040</v>
      </c>
      <c r="D4864" s="22" t="str">
        <f>HYPERLINK("https://rhld.insurance.arkansas.gov/NPILookup?Npi=1972121499","1972121499")</f>
        <v>1972121499</v>
      </c>
      <c r="E4864" s="1" t="s">
        <v>10157</v>
      </c>
      <c r="F4864" s="2"/>
      <c r="G4864" s="2"/>
      <c r="H4864" s="2"/>
    </row>
    <row r="4865" spans="1:8" x14ac:dyDescent="0.25">
      <c r="A4865" s="1"/>
      <c r="B4865" s="1" t="s">
        <v>4039</v>
      </c>
      <c r="C4865" s="1" t="s">
        <v>4040</v>
      </c>
      <c r="D4865" s="22" t="str">
        <f>HYPERLINK("https://rhld.insurance.arkansas.gov/NPILookup?Npi=1972162162","1972162162")</f>
        <v>1972162162</v>
      </c>
      <c r="E4865" s="1" t="s">
        <v>3722</v>
      </c>
      <c r="F4865" s="2"/>
      <c r="G4865" s="2"/>
      <c r="H4865" s="2"/>
    </row>
    <row r="4866" spans="1:8" x14ac:dyDescent="0.25">
      <c r="A4866" s="1"/>
      <c r="B4866" s="1" t="s">
        <v>4039</v>
      </c>
      <c r="C4866" s="1" t="s">
        <v>4040</v>
      </c>
      <c r="D4866" s="22" t="str">
        <f>HYPERLINK("https://rhld.insurance.arkansas.gov/NPILookup?Npi=1972163400","1972163400")</f>
        <v>1972163400</v>
      </c>
      <c r="E4866" s="1" t="s">
        <v>17016</v>
      </c>
      <c r="F4866" s="2"/>
      <c r="G4866" s="2"/>
      <c r="H4866" s="2"/>
    </row>
    <row r="4867" spans="1:8" x14ac:dyDescent="0.25">
      <c r="A4867" s="1"/>
      <c r="B4867" s="1" t="s">
        <v>4039</v>
      </c>
      <c r="C4867" s="1" t="s">
        <v>4040</v>
      </c>
      <c r="D4867" s="22" t="str">
        <f>HYPERLINK("https://rhld.insurance.arkansas.gov/NPILookup?Npi=1972241164","1972241164")</f>
        <v>1972241164</v>
      </c>
      <c r="E4867" s="1" t="s">
        <v>17017</v>
      </c>
      <c r="F4867" s="2"/>
      <c r="G4867" s="2"/>
      <c r="H4867" s="2"/>
    </row>
    <row r="4868" spans="1:8" x14ac:dyDescent="0.25">
      <c r="A4868" s="1"/>
      <c r="B4868" s="1" t="s">
        <v>4039</v>
      </c>
      <c r="C4868" s="1" t="s">
        <v>4040</v>
      </c>
      <c r="D4868" s="22" t="str">
        <f>HYPERLINK("https://rhld.insurance.arkansas.gov/NPILookup?Npi=1972510709","1972510709")</f>
        <v>1972510709</v>
      </c>
      <c r="E4868" s="1" t="s">
        <v>17018</v>
      </c>
      <c r="F4868" s="2"/>
      <c r="G4868" s="2"/>
      <c r="H4868" s="2"/>
    </row>
    <row r="4869" spans="1:8" x14ac:dyDescent="0.25">
      <c r="A4869" s="1"/>
      <c r="B4869" s="1" t="s">
        <v>4039</v>
      </c>
      <c r="C4869" s="1" t="s">
        <v>4040</v>
      </c>
      <c r="D4869" s="22" t="str">
        <f>HYPERLINK("https://rhld.insurance.arkansas.gov/NPILookup?Npi=1972614295","1972614295")</f>
        <v>1972614295</v>
      </c>
      <c r="E4869" s="1" t="s">
        <v>10158</v>
      </c>
      <c r="F4869" s="2"/>
      <c r="G4869" s="2"/>
      <c r="H4869" s="2"/>
    </row>
    <row r="4870" spans="1:8" x14ac:dyDescent="0.25">
      <c r="A4870" s="1"/>
      <c r="B4870" s="1" t="s">
        <v>4039</v>
      </c>
      <c r="C4870" s="1" t="s">
        <v>4040</v>
      </c>
      <c r="D4870" s="22" t="str">
        <f>HYPERLINK("https://rhld.insurance.arkansas.gov/NPILookup?Npi=1972664860","1972664860")</f>
        <v>1972664860</v>
      </c>
      <c r="E4870" s="1" t="s">
        <v>595</v>
      </c>
      <c r="F4870" s="2"/>
      <c r="G4870" s="2"/>
      <c r="H4870" s="2"/>
    </row>
    <row r="4871" spans="1:8" x14ac:dyDescent="0.25">
      <c r="A4871" s="1"/>
      <c r="B4871" s="1" t="s">
        <v>4039</v>
      </c>
      <c r="C4871" s="1" t="s">
        <v>4040</v>
      </c>
      <c r="D4871" s="22" t="str">
        <f>HYPERLINK("https://rhld.insurance.arkansas.gov/NPILookup?Npi=1972687994","1972687994")</f>
        <v>1972687994</v>
      </c>
      <c r="E4871" s="1" t="s">
        <v>10159</v>
      </c>
      <c r="F4871" s="2"/>
      <c r="G4871" s="2"/>
      <c r="H4871" s="2"/>
    </row>
    <row r="4872" spans="1:8" x14ac:dyDescent="0.25">
      <c r="A4872" s="1"/>
      <c r="B4872" s="1" t="s">
        <v>4039</v>
      </c>
      <c r="C4872" s="1" t="s">
        <v>4040</v>
      </c>
      <c r="D4872" s="22" t="str">
        <f>HYPERLINK("https://rhld.insurance.arkansas.gov/NPILookup?Npi=1972704799","1972704799")</f>
        <v>1972704799</v>
      </c>
      <c r="E4872" s="1" t="s">
        <v>10160</v>
      </c>
      <c r="F4872" s="2"/>
      <c r="G4872" s="2"/>
      <c r="H4872" s="2"/>
    </row>
    <row r="4873" spans="1:8" x14ac:dyDescent="0.25">
      <c r="A4873" s="1"/>
      <c r="B4873" s="1" t="s">
        <v>4039</v>
      </c>
      <c r="C4873" s="1" t="s">
        <v>4040</v>
      </c>
      <c r="D4873" s="22" t="str">
        <f>HYPERLINK("https://rhld.insurance.arkansas.gov/NPILookup?Npi=1972750362","1972750362")</f>
        <v>1972750362</v>
      </c>
      <c r="E4873" s="1" t="s">
        <v>4145</v>
      </c>
      <c r="F4873" s="2"/>
      <c r="G4873" s="2"/>
      <c r="H4873" s="2"/>
    </row>
    <row r="4874" spans="1:8" x14ac:dyDescent="0.25">
      <c r="A4874" s="1"/>
      <c r="B4874" s="1" t="s">
        <v>4039</v>
      </c>
      <c r="C4874" s="1" t="s">
        <v>4040</v>
      </c>
      <c r="D4874" s="22" t="str">
        <f>HYPERLINK("https://rhld.insurance.arkansas.gov/NPILookup?Npi=1972964195","1972964195")</f>
        <v>1972964195</v>
      </c>
      <c r="E4874" s="1" t="s">
        <v>5926</v>
      </c>
      <c r="F4874" s="2"/>
      <c r="G4874" s="2"/>
      <c r="H4874" s="2"/>
    </row>
    <row r="4875" spans="1:8" x14ac:dyDescent="0.25">
      <c r="A4875" s="1"/>
      <c r="B4875" s="1" t="s">
        <v>4039</v>
      </c>
      <c r="C4875" s="1" t="s">
        <v>4040</v>
      </c>
      <c r="D4875" s="22" t="str">
        <f>HYPERLINK("https://rhld.insurance.arkansas.gov/NPILookup?Npi=1972979912","1972979912")</f>
        <v>1972979912</v>
      </c>
      <c r="E4875" s="1" t="s">
        <v>17019</v>
      </c>
      <c r="F4875" s="2"/>
      <c r="G4875" s="2"/>
      <c r="H4875" s="2"/>
    </row>
    <row r="4876" spans="1:8" x14ac:dyDescent="0.25">
      <c r="A4876" s="1"/>
      <c r="B4876" s="1" t="s">
        <v>4039</v>
      </c>
      <c r="C4876" s="1" t="s">
        <v>4040</v>
      </c>
      <c r="D4876" s="22" t="str">
        <f>HYPERLINK("https://rhld.insurance.arkansas.gov/NPILookup?Npi=1982042537","1982042537")</f>
        <v>1982042537</v>
      </c>
      <c r="E4876" s="1" t="s">
        <v>10161</v>
      </c>
      <c r="F4876" s="2"/>
      <c r="G4876" s="2"/>
      <c r="H4876" s="2"/>
    </row>
    <row r="4877" spans="1:8" x14ac:dyDescent="0.25">
      <c r="A4877" s="1"/>
      <c r="B4877" s="1" t="s">
        <v>4039</v>
      </c>
      <c r="C4877" s="1" t="s">
        <v>4040</v>
      </c>
      <c r="D4877" s="22" t="str">
        <f>HYPERLINK("https://rhld.insurance.arkansas.gov/NPILookup?Npi=1982087722","1982087722")</f>
        <v>1982087722</v>
      </c>
      <c r="E4877" s="1" t="s">
        <v>17020</v>
      </c>
      <c r="F4877" s="2"/>
      <c r="G4877" s="2"/>
      <c r="H4877" s="2"/>
    </row>
    <row r="4878" spans="1:8" x14ac:dyDescent="0.25">
      <c r="A4878" s="1"/>
      <c r="B4878" s="1" t="s">
        <v>4039</v>
      </c>
      <c r="C4878" s="1" t="s">
        <v>4040</v>
      </c>
      <c r="D4878" s="22" t="str">
        <f>HYPERLINK("https://rhld.insurance.arkansas.gov/NPILookup?Npi=1982157038","1982157038")</f>
        <v>1982157038</v>
      </c>
      <c r="E4878" s="1" t="s">
        <v>821</v>
      </c>
      <c r="F4878" s="2"/>
      <c r="G4878" s="2"/>
      <c r="H4878" s="2"/>
    </row>
    <row r="4879" spans="1:8" x14ac:dyDescent="0.25">
      <c r="A4879" s="1"/>
      <c r="B4879" s="1" t="s">
        <v>4039</v>
      </c>
      <c r="C4879" s="1" t="s">
        <v>4040</v>
      </c>
      <c r="D4879" s="22" t="str">
        <f>HYPERLINK("https://rhld.insurance.arkansas.gov/NPILookup?Npi=1982263943","1982263943")</f>
        <v>1982263943</v>
      </c>
      <c r="E4879" s="1" t="s">
        <v>17021</v>
      </c>
      <c r="F4879" s="2"/>
      <c r="G4879" s="2"/>
      <c r="H4879" s="2"/>
    </row>
    <row r="4880" spans="1:8" x14ac:dyDescent="0.25">
      <c r="A4880" s="1"/>
      <c r="B4880" s="1" t="s">
        <v>4039</v>
      </c>
      <c r="C4880" s="1" t="s">
        <v>4040</v>
      </c>
      <c r="D4880" s="22" t="str">
        <f>HYPERLINK("https://rhld.insurance.arkansas.gov/NPILookup?Npi=1982354734","1982354734")</f>
        <v>1982354734</v>
      </c>
      <c r="E4880" s="1" t="s">
        <v>4146</v>
      </c>
      <c r="F4880" s="2"/>
      <c r="G4880" s="2"/>
      <c r="H4880" s="2"/>
    </row>
    <row r="4881" spans="1:8" x14ac:dyDescent="0.25">
      <c r="A4881" s="1"/>
      <c r="B4881" s="1" t="s">
        <v>4039</v>
      </c>
      <c r="C4881" s="1" t="s">
        <v>4040</v>
      </c>
      <c r="D4881" s="22" t="str">
        <f>HYPERLINK("https://rhld.insurance.arkansas.gov/NPILookup?Npi=1982434957","1982434957")</f>
        <v>1982434957</v>
      </c>
      <c r="E4881" s="1" t="s">
        <v>17022</v>
      </c>
      <c r="F4881" s="2"/>
      <c r="G4881" s="2"/>
      <c r="H4881" s="2"/>
    </row>
    <row r="4882" spans="1:8" x14ac:dyDescent="0.25">
      <c r="A4882" s="1"/>
      <c r="B4882" s="1" t="s">
        <v>4039</v>
      </c>
      <c r="C4882" s="1" t="s">
        <v>4040</v>
      </c>
      <c r="D4882" s="22" t="str">
        <f>HYPERLINK("https://rhld.insurance.arkansas.gov/NPILookup?Npi=1982446449","1982446449")</f>
        <v>1982446449</v>
      </c>
      <c r="E4882" s="1" t="s">
        <v>17023</v>
      </c>
      <c r="F4882" s="2"/>
      <c r="G4882" s="2"/>
      <c r="H4882" s="2"/>
    </row>
    <row r="4883" spans="1:8" x14ac:dyDescent="0.25">
      <c r="A4883" s="1"/>
      <c r="B4883" s="1" t="s">
        <v>4039</v>
      </c>
      <c r="C4883" s="1" t="s">
        <v>4040</v>
      </c>
      <c r="D4883" s="22" t="str">
        <f>HYPERLINK("https://rhld.insurance.arkansas.gov/NPILookup?Npi=1982791851","1982791851")</f>
        <v>1982791851</v>
      </c>
      <c r="E4883" s="1" t="s">
        <v>538</v>
      </c>
      <c r="F4883" s="2"/>
      <c r="G4883" s="2"/>
      <c r="H4883" s="2"/>
    </row>
    <row r="4884" spans="1:8" x14ac:dyDescent="0.25">
      <c r="A4884" s="1"/>
      <c r="B4884" s="1" t="s">
        <v>4039</v>
      </c>
      <c r="C4884" s="1" t="s">
        <v>4040</v>
      </c>
      <c r="D4884" s="22" t="str">
        <f>HYPERLINK("https://rhld.insurance.arkansas.gov/NPILookup?Npi=1982807137","1982807137")</f>
        <v>1982807137</v>
      </c>
      <c r="E4884" s="1" t="s">
        <v>3723</v>
      </c>
      <c r="F4884" s="2"/>
      <c r="G4884" s="2"/>
      <c r="H4884" s="2"/>
    </row>
    <row r="4885" spans="1:8" x14ac:dyDescent="0.25">
      <c r="A4885" s="1"/>
      <c r="B4885" s="1" t="s">
        <v>4039</v>
      </c>
      <c r="C4885" s="1" t="s">
        <v>4040</v>
      </c>
      <c r="D4885" s="22" t="str">
        <f>HYPERLINK("https://rhld.insurance.arkansas.gov/NPILookup?Npi=1982832002","1982832002")</f>
        <v>1982832002</v>
      </c>
      <c r="E4885" s="1" t="s">
        <v>10162</v>
      </c>
      <c r="F4885" s="2"/>
      <c r="G4885" s="2"/>
      <c r="H4885" s="2"/>
    </row>
    <row r="4886" spans="1:8" x14ac:dyDescent="0.25">
      <c r="A4886" s="1"/>
      <c r="B4886" s="1" t="s">
        <v>4039</v>
      </c>
      <c r="C4886" s="1" t="s">
        <v>4040</v>
      </c>
      <c r="D4886" s="22" t="str">
        <f>HYPERLINK("https://rhld.insurance.arkansas.gov/NPILookup?Npi=1982921920","1982921920")</f>
        <v>1982921920</v>
      </c>
      <c r="E4886" s="1" t="s">
        <v>10163</v>
      </c>
      <c r="F4886" s="2"/>
      <c r="G4886" s="2"/>
      <c r="H4886" s="2"/>
    </row>
    <row r="4887" spans="1:8" x14ac:dyDescent="0.25">
      <c r="A4887" s="1"/>
      <c r="B4887" s="1" t="s">
        <v>4039</v>
      </c>
      <c r="C4887" s="1" t="s">
        <v>4040</v>
      </c>
      <c r="D4887" s="22" t="str">
        <f>HYPERLINK("https://rhld.insurance.arkansas.gov/NPILookup?Npi=1982968822","1982968822")</f>
        <v>1982968822</v>
      </c>
      <c r="E4887" s="1" t="s">
        <v>2347</v>
      </c>
      <c r="F4887" s="2"/>
      <c r="G4887" s="2"/>
      <c r="H4887" s="2"/>
    </row>
    <row r="4888" spans="1:8" x14ac:dyDescent="0.25">
      <c r="A4888" s="1"/>
      <c r="B4888" s="1" t="s">
        <v>4039</v>
      </c>
      <c r="C4888" s="1" t="s">
        <v>4040</v>
      </c>
      <c r="D4888" s="22" t="str">
        <f>HYPERLINK("https://rhld.insurance.arkansas.gov/NPILookup?Npi=1982969853","1982969853")</f>
        <v>1982969853</v>
      </c>
      <c r="E4888" s="1" t="s">
        <v>1568</v>
      </c>
      <c r="F4888" s="2"/>
      <c r="G4888" s="2"/>
      <c r="H4888" s="2"/>
    </row>
    <row r="4889" spans="1:8" x14ac:dyDescent="0.25">
      <c r="A4889" s="1"/>
      <c r="B4889" s="1" t="s">
        <v>4039</v>
      </c>
      <c r="C4889" s="1" t="s">
        <v>4040</v>
      </c>
      <c r="D4889" s="22" t="str">
        <f>HYPERLINK("https://rhld.insurance.arkansas.gov/NPILookup?Npi=1992017180","1992017180")</f>
        <v>1992017180</v>
      </c>
      <c r="E4889" s="1" t="s">
        <v>1074</v>
      </c>
      <c r="F4889" s="2"/>
      <c r="G4889" s="2"/>
      <c r="H4889" s="2"/>
    </row>
    <row r="4890" spans="1:8" x14ac:dyDescent="0.25">
      <c r="A4890" s="1"/>
      <c r="B4890" s="1" t="s">
        <v>4039</v>
      </c>
      <c r="C4890" s="1" t="s">
        <v>4040</v>
      </c>
      <c r="D4890" s="22" t="str">
        <f>HYPERLINK("https://rhld.insurance.arkansas.gov/NPILookup?Npi=1992362784","1992362784")</f>
        <v>1992362784</v>
      </c>
      <c r="E4890" s="1" t="s">
        <v>31399</v>
      </c>
      <c r="F4890" s="2"/>
      <c r="G4890" s="2"/>
      <c r="H4890" s="2"/>
    </row>
    <row r="4891" spans="1:8" x14ac:dyDescent="0.25">
      <c r="A4891" s="1"/>
      <c r="B4891" s="1" t="s">
        <v>4039</v>
      </c>
      <c r="C4891" s="1" t="s">
        <v>4040</v>
      </c>
      <c r="D4891" s="22" t="str">
        <f>HYPERLINK("https://rhld.insurance.arkansas.gov/NPILookup?Npi=1992364871","1992364871")</f>
        <v>1992364871</v>
      </c>
      <c r="E4891" s="1" t="s">
        <v>4147</v>
      </c>
      <c r="F4891" s="2"/>
      <c r="G4891" s="2"/>
      <c r="H4891" s="2"/>
    </row>
    <row r="4892" spans="1:8" x14ac:dyDescent="0.25">
      <c r="A4892" s="1"/>
      <c r="B4892" s="1" t="s">
        <v>4039</v>
      </c>
      <c r="C4892" s="1" t="s">
        <v>4040</v>
      </c>
      <c r="D4892" s="22" t="str">
        <f>HYPERLINK("https://rhld.insurance.arkansas.gov/NPILookup?Npi=1992365845","1992365845")</f>
        <v>1992365845</v>
      </c>
      <c r="E4892" s="1" t="s">
        <v>17024</v>
      </c>
      <c r="F4892" s="2"/>
      <c r="G4892" s="2"/>
      <c r="H4892" s="2"/>
    </row>
    <row r="4893" spans="1:8" x14ac:dyDescent="0.25">
      <c r="A4893" s="1"/>
      <c r="B4893" s="1" t="s">
        <v>4039</v>
      </c>
      <c r="C4893" s="1" t="s">
        <v>4040</v>
      </c>
      <c r="D4893" s="22" t="str">
        <f>HYPERLINK("https://rhld.insurance.arkansas.gov/NPILookup?Npi=1992709877","1992709877")</f>
        <v>1992709877</v>
      </c>
      <c r="E4893" s="1" t="s">
        <v>752</v>
      </c>
      <c r="F4893" s="2"/>
      <c r="G4893" s="2"/>
      <c r="H4893" s="2"/>
    </row>
    <row r="4894" spans="1:8" x14ac:dyDescent="0.25">
      <c r="A4894" s="1"/>
      <c r="B4894" s="1" t="s">
        <v>4039</v>
      </c>
      <c r="C4894" s="1" t="s">
        <v>4040</v>
      </c>
      <c r="D4894" s="22" t="str">
        <f>HYPERLINK("https://rhld.insurance.arkansas.gov/NPILookup?Npi=1992715205","1992715205")</f>
        <v>1992715205</v>
      </c>
      <c r="E4894" s="1" t="s">
        <v>10164</v>
      </c>
      <c r="F4894" s="2"/>
      <c r="G4894" s="2"/>
      <c r="H4894" s="2"/>
    </row>
    <row r="4895" spans="1:8" x14ac:dyDescent="0.25">
      <c r="A4895" s="1"/>
      <c r="B4895" s="1" t="s">
        <v>4039</v>
      </c>
      <c r="C4895" s="1" t="s">
        <v>4040</v>
      </c>
      <c r="D4895" s="22" t="str">
        <f>HYPERLINK("https://rhld.insurance.arkansas.gov/NPILookup?Npi=1992804140","1992804140")</f>
        <v>1992804140</v>
      </c>
      <c r="E4895" s="1" t="s">
        <v>10165</v>
      </c>
      <c r="F4895" s="2"/>
      <c r="G4895" s="2"/>
      <c r="H4895" s="2"/>
    </row>
    <row r="4896" spans="1:8" x14ac:dyDescent="0.25">
      <c r="A4896" s="1"/>
      <c r="B4896" s="1" t="s">
        <v>4039</v>
      </c>
      <c r="C4896" s="1" t="s">
        <v>4040</v>
      </c>
      <c r="D4896" s="22" t="str">
        <f>HYPERLINK("https://rhld.insurance.arkansas.gov/NPILookup?Npi=1992811673","1992811673")</f>
        <v>1992811673</v>
      </c>
      <c r="E4896" s="1" t="s">
        <v>1075</v>
      </c>
      <c r="F4896" s="2"/>
      <c r="G4896" s="2"/>
      <c r="H4896" s="2"/>
    </row>
    <row r="4897" spans="1:8" x14ac:dyDescent="0.25">
      <c r="A4897" s="1"/>
      <c r="B4897" s="1" t="s">
        <v>4039</v>
      </c>
      <c r="C4897" s="1" t="s">
        <v>4040</v>
      </c>
      <c r="D4897" s="22" t="str">
        <f>HYPERLINK("https://rhld.insurance.arkansas.gov/NPILookup?Npi=1992854558","1992854558")</f>
        <v>1992854558</v>
      </c>
      <c r="E4897" s="1" t="s">
        <v>550</v>
      </c>
      <c r="F4897" s="2"/>
      <c r="G4897" s="2"/>
      <c r="H4897" s="2"/>
    </row>
    <row r="4898" spans="1:8" x14ac:dyDescent="0.25">
      <c r="A4898" s="1"/>
      <c r="B4898" s="1" t="s">
        <v>4039</v>
      </c>
      <c r="C4898" s="1" t="s">
        <v>4040</v>
      </c>
      <c r="D4898" s="22" t="str">
        <f>HYPERLINK("https://rhld.insurance.arkansas.gov/NPILookup?Npi=1992889513","1992889513")</f>
        <v>1992889513</v>
      </c>
      <c r="E4898" s="1" t="s">
        <v>560</v>
      </c>
      <c r="F4898" s="2"/>
      <c r="G4898" s="2"/>
      <c r="H4898" s="2"/>
    </row>
    <row r="4899" spans="1:8" x14ac:dyDescent="0.25">
      <c r="A4899" s="1"/>
      <c r="B4899" s="1" t="s">
        <v>4148</v>
      </c>
      <c r="C4899" s="1" t="s">
        <v>4149</v>
      </c>
      <c r="D4899" s="22" t="str">
        <f>HYPERLINK("https://rhld.insurance.arkansas.gov/NPILookup?Npi=1003013384","1003013384")</f>
        <v>1003013384</v>
      </c>
      <c r="E4899" s="1" t="s">
        <v>4150</v>
      </c>
      <c r="F4899" s="2"/>
      <c r="G4899" s="2"/>
      <c r="H4899" s="2"/>
    </row>
    <row r="4900" spans="1:8" x14ac:dyDescent="0.25">
      <c r="A4900" s="1"/>
      <c r="B4900" s="1" t="s">
        <v>4148</v>
      </c>
      <c r="C4900" s="1" t="s">
        <v>4149</v>
      </c>
      <c r="D4900" s="22" t="str">
        <f>HYPERLINK("https://rhld.insurance.arkansas.gov/NPILookup?Npi=1013545318","1013545318")</f>
        <v>1013545318</v>
      </c>
      <c r="E4900" s="1" t="s">
        <v>17025</v>
      </c>
      <c r="F4900" s="2"/>
      <c r="G4900" s="2"/>
      <c r="H4900" s="2"/>
    </row>
    <row r="4901" spans="1:8" x14ac:dyDescent="0.25">
      <c r="A4901" s="1"/>
      <c r="B4901" s="1" t="s">
        <v>4148</v>
      </c>
      <c r="C4901" s="1" t="s">
        <v>4149</v>
      </c>
      <c r="D4901" s="22" t="str">
        <f>HYPERLINK("https://rhld.insurance.arkansas.gov/NPILookup?Npi=1033198510","1033198510")</f>
        <v>1033198510</v>
      </c>
      <c r="E4901" s="1" t="s">
        <v>10166</v>
      </c>
      <c r="F4901" s="2"/>
      <c r="G4901" s="2"/>
      <c r="H4901" s="2"/>
    </row>
    <row r="4902" spans="1:8" x14ac:dyDescent="0.25">
      <c r="A4902" s="1"/>
      <c r="B4902" s="1" t="s">
        <v>4148</v>
      </c>
      <c r="C4902" s="1" t="s">
        <v>4149</v>
      </c>
      <c r="D4902" s="22" t="str">
        <f>HYPERLINK("https://rhld.insurance.arkansas.gov/NPILookup?Npi=1033319686","1033319686")</f>
        <v>1033319686</v>
      </c>
      <c r="E4902" s="1" t="s">
        <v>17026</v>
      </c>
      <c r="F4902" s="2"/>
      <c r="G4902" s="2"/>
      <c r="H4902" s="2"/>
    </row>
    <row r="4903" spans="1:8" x14ac:dyDescent="0.25">
      <c r="A4903" s="1"/>
      <c r="B4903" s="1" t="s">
        <v>4148</v>
      </c>
      <c r="C4903" s="1" t="s">
        <v>4149</v>
      </c>
      <c r="D4903" s="22" t="str">
        <f>HYPERLINK("https://rhld.insurance.arkansas.gov/NPILookup?Npi=1033643390","1033643390")</f>
        <v>1033643390</v>
      </c>
      <c r="E4903" s="1" t="s">
        <v>17027</v>
      </c>
      <c r="F4903" s="2"/>
      <c r="G4903" s="2"/>
      <c r="H4903" s="2"/>
    </row>
    <row r="4904" spans="1:8" x14ac:dyDescent="0.25">
      <c r="A4904" s="1"/>
      <c r="B4904" s="1" t="s">
        <v>4148</v>
      </c>
      <c r="C4904" s="1" t="s">
        <v>4149</v>
      </c>
      <c r="D4904" s="22" t="str">
        <f>HYPERLINK("https://rhld.insurance.arkansas.gov/NPILookup?Npi=1053536060","1053536060")</f>
        <v>1053536060</v>
      </c>
      <c r="E4904" s="1" t="s">
        <v>17028</v>
      </c>
      <c r="F4904" s="2"/>
      <c r="G4904" s="2"/>
      <c r="H4904" s="2"/>
    </row>
    <row r="4905" spans="1:8" x14ac:dyDescent="0.25">
      <c r="A4905" s="1"/>
      <c r="B4905" s="1" t="s">
        <v>4148</v>
      </c>
      <c r="C4905" s="1" t="s">
        <v>4149</v>
      </c>
      <c r="D4905" s="22" t="str">
        <f>HYPERLINK("https://rhld.insurance.arkansas.gov/NPILookup?Npi=1063419307","1063419307")</f>
        <v>1063419307</v>
      </c>
      <c r="E4905" s="1" t="s">
        <v>17029</v>
      </c>
      <c r="F4905" s="2"/>
      <c r="G4905" s="2"/>
      <c r="H4905" s="2"/>
    </row>
    <row r="4906" spans="1:8" x14ac:dyDescent="0.25">
      <c r="A4906" s="1"/>
      <c r="B4906" s="1" t="s">
        <v>4148</v>
      </c>
      <c r="C4906" s="1" t="s">
        <v>4149</v>
      </c>
      <c r="D4906" s="22" t="str">
        <f>HYPERLINK("https://rhld.insurance.arkansas.gov/NPILookup?Npi=1063685816","1063685816")</f>
        <v>1063685816</v>
      </c>
      <c r="E4906" s="1" t="s">
        <v>17030</v>
      </c>
      <c r="F4906" s="2"/>
      <c r="G4906" s="2"/>
      <c r="H4906" s="2"/>
    </row>
    <row r="4907" spans="1:8" x14ac:dyDescent="0.25">
      <c r="A4907" s="1"/>
      <c r="B4907" s="1" t="s">
        <v>4148</v>
      </c>
      <c r="C4907" s="1" t="s">
        <v>4149</v>
      </c>
      <c r="D4907" s="22" t="str">
        <f>HYPERLINK("https://rhld.insurance.arkansas.gov/NPILookup?Npi=1073824561","1073824561")</f>
        <v>1073824561</v>
      </c>
      <c r="E4907" s="1" t="s">
        <v>4151</v>
      </c>
      <c r="F4907" s="2"/>
      <c r="G4907" s="2"/>
      <c r="H4907" s="2"/>
    </row>
    <row r="4908" spans="1:8" x14ac:dyDescent="0.25">
      <c r="A4908" s="1"/>
      <c r="B4908" s="1" t="s">
        <v>4148</v>
      </c>
      <c r="C4908" s="1" t="s">
        <v>4149</v>
      </c>
      <c r="D4908" s="22" t="str">
        <f>HYPERLINK("https://rhld.insurance.arkansas.gov/NPILookup?Npi=1083853006","1083853006")</f>
        <v>1083853006</v>
      </c>
      <c r="E4908" s="1" t="s">
        <v>17031</v>
      </c>
      <c r="F4908" s="2"/>
      <c r="G4908" s="2"/>
      <c r="H4908" s="2"/>
    </row>
    <row r="4909" spans="1:8" x14ac:dyDescent="0.25">
      <c r="A4909" s="1"/>
      <c r="B4909" s="1" t="s">
        <v>4148</v>
      </c>
      <c r="C4909" s="1" t="s">
        <v>4149</v>
      </c>
      <c r="D4909" s="22" t="str">
        <f>HYPERLINK("https://rhld.insurance.arkansas.gov/NPILookup?Npi=1093007767","1093007767")</f>
        <v>1093007767</v>
      </c>
      <c r="E4909" s="1" t="s">
        <v>17032</v>
      </c>
      <c r="F4909" s="2"/>
      <c r="G4909" s="2"/>
      <c r="H4909" s="2"/>
    </row>
    <row r="4910" spans="1:8" x14ac:dyDescent="0.25">
      <c r="A4910" s="1"/>
      <c r="B4910" s="1" t="s">
        <v>4148</v>
      </c>
      <c r="C4910" s="1" t="s">
        <v>4149</v>
      </c>
      <c r="D4910" s="22" t="str">
        <f>HYPERLINK("https://rhld.insurance.arkansas.gov/NPILookup?Npi=1093036204","1093036204")</f>
        <v>1093036204</v>
      </c>
      <c r="E4910" s="1" t="s">
        <v>17033</v>
      </c>
      <c r="F4910" s="2"/>
      <c r="G4910" s="2"/>
      <c r="H4910" s="2"/>
    </row>
    <row r="4911" spans="1:8" x14ac:dyDescent="0.25">
      <c r="A4911" s="1"/>
      <c r="B4911" s="1" t="s">
        <v>4148</v>
      </c>
      <c r="C4911" s="1" t="s">
        <v>4149</v>
      </c>
      <c r="D4911" s="22" t="str">
        <f>HYPERLINK("https://rhld.insurance.arkansas.gov/NPILookup?Npi=1093129397","1093129397")</f>
        <v>1093129397</v>
      </c>
      <c r="E4911" s="1" t="s">
        <v>17034</v>
      </c>
      <c r="F4911" s="2"/>
      <c r="G4911" s="2"/>
      <c r="H4911" s="2"/>
    </row>
    <row r="4912" spans="1:8" x14ac:dyDescent="0.25">
      <c r="A4912" s="1"/>
      <c r="B4912" s="1" t="s">
        <v>4148</v>
      </c>
      <c r="C4912" s="1" t="s">
        <v>4149</v>
      </c>
      <c r="D4912" s="22" t="str">
        <f>HYPERLINK("https://rhld.insurance.arkansas.gov/NPILookup?Npi=1093715047","1093715047")</f>
        <v>1093715047</v>
      </c>
      <c r="E4912" s="1" t="s">
        <v>17035</v>
      </c>
      <c r="F4912" s="2"/>
      <c r="G4912" s="2"/>
      <c r="H4912" s="2"/>
    </row>
    <row r="4913" spans="1:8" x14ac:dyDescent="0.25">
      <c r="A4913" s="1"/>
      <c r="B4913" s="1" t="s">
        <v>4148</v>
      </c>
      <c r="C4913" s="1" t="s">
        <v>4149</v>
      </c>
      <c r="D4913" s="22" t="str">
        <f>HYPERLINK("https://rhld.insurance.arkansas.gov/NPILookup?Npi=1093830150","1093830150")</f>
        <v>1093830150</v>
      </c>
      <c r="E4913" s="1" t="s">
        <v>10167</v>
      </c>
      <c r="F4913" s="2"/>
      <c r="G4913" s="2"/>
      <c r="H4913" s="2"/>
    </row>
    <row r="4914" spans="1:8" x14ac:dyDescent="0.25">
      <c r="A4914" s="1"/>
      <c r="B4914" s="1" t="s">
        <v>4148</v>
      </c>
      <c r="C4914" s="1" t="s">
        <v>4149</v>
      </c>
      <c r="D4914" s="22" t="str">
        <f>HYPERLINK("https://rhld.insurance.arkansas.gov/NPILookup?Npi=1093888661","1093888661")</f>
        <v>1093888661</v>
      </c>
      <c r="E4914" s="1" t="s">
        <v>4152</v>
      </c>
      <c r="F4914" s="2"/>
      <c r="G4914" s="2"/>
      <c r="H4914" s="2"/>
    </row>
    <row r="4915" spans="1:8" x14ac:dyDescent="0.25">
      <c r="A4915" s="1"/>
      <c r="B4915" s="1" t="s">
        <v>4148</v>
      </c>
      <c r="C4915" s="1" t="s">
        <v>4149</v>
      </c>
      <c r="D4915" s="22" t="str">
        <f>HYPERLINK("https://rhld.insurance.arkansas.gov/NPILookup?Npi=1114023611","1114023611")</f>
        <v>1114023611</v>
      </c>
      <c r="E4915" s="1" t="s">
        <v>17036</v>
      </c>
      <c r="F4915" s="2"/>
      <c r="G4915" s="2"/>
      <c r="H4915" s="2"/>
    </row>
    <row r="4916" spans="1:8" x14ac:dyDescent="0.25">
      <c r="A4916" s="1"/>
      <c r="B4916" s="1" t="s">
        <v>4148</v>
      </c>
      <c r="C4916" s="1" t="s">
        <v>4149</v>
      </c>
      <c r="D4916" s="22" t="str">
        <f>HYPERLINK("https://rhld.insurance.arkansas.gov/NPILookup?Npi=1124002175","1124002175")</f>
        <v>1124002175</v>
      </c>
      <c r="E4916" s="1" t="s">
        <v>17037</v>
      </c>
      <c r="F4916" s="2"/>
      <c r="G4916" s="2"/>
      <c r="H4916" s="2"/>
    </row>
    <row r="4917" spans="1:8" x14ac:dyDescent="0.25">
      <c r="A4917" s="1"/>
      <c r="B4917" s="1" t="s">
        <v>4148</v>
      </c>
      <c r="C4917" s="1" t="s">
        <v>4149</v>
      </c>
      <c r="D4917" s="22" t="str">
        <f>HYPERLINK("https://rhld.insurance.arkansas.gov/NPILookup?Npi=1124081849","1124081849")</f>
        <v>1124081849</v>
      </c>
      <c r="E4917" s="1" t="s">
        <v>17038</v>
      </c>
      <c r="F4917" s="2"/>
      <c r="G4917" s="2"/>
      <c r="H4917" s="2"/>
    </row>
    <row r="4918" spans="1:8" x14ac:dyDescent="0.25">
      <c r="A4918" s="1"/>
      <c r="B4918" s="1" t="s">
        <v>4148</v>
      </c>
      <c r="C4918" s="1" t="s">
        <v>4149</v>
      </c>
      <c r="D4918" s="22" t="str">
        <f>HYPERLINK("https://rhld.insurance.arkansas.gov/NPILookup?Npi=1134105042","1134105042")</f>
        <v>1134105042</v>
      </c>
      <c r="E4918" s="1" t="s">
        <v>10168</v>
      </c>
      <c r="F4918" s="2"/>
      <c r="G4918" s="2"/>
      <c r="H4918" s="2"/>
    </row>
    <row r="4919" spans="1:8" x14ac:dyDescent="0.25">
      <c r="A4919" s="1"/>
      <c r="B4919" s="1" t="s">
        <v>4148</v>
      </c>
      <c r="C4919" s="1" t="s">
        <v>4149</v>
      </c>
      <c r="D4919" s="22" t="str">
        <f>HYPERLINK("https://rhld.insurance.arkansas.gov/NPILookup?Npi=1134141484","1134141484")</f>
        <v>1134141484</v>
      </c>
      <c r="E4919" s="1" t="s">
        <v>17039</v>
      </c>
      <c r="F4919" s="2"/>
      <c r="G4919" s="2"/>
      <c r="H4919" s="2"/>
    </row>
    <row r="4920" spans="1:8" x14ac:dyDescent="0.25">
      <c r="A4920" s="1"/>
      <c r="B4920" s="1" t="s">
        <v>4148</v>
      </c>
      <c r="C4920" s="1" t="s">
        <v>4149</v>
      </c>
      <c r="D4920" s="22" t="str">
        <f>HYPERLINK("https://rhld.insurance.arkansas.gov/NPILookup?Npi=1134346430","1134346430")</f>
        <v>1134346430</v>
      </c>
      <c r="E4920" s="1" t="s">
        <v>17040</v>
      </c>
      <c r="F4920" s="2"/>
      <c r="G4920" s="2"/>
      <c r="H4920" s="2"/>
    </row>
    <row r="4921" spans="1:8" x14ac:dyDescent="0.25">
      <c r="A4921" s="1"/>
      <c r="B4921" s="1" t="s">
        <v>4148</v>
      </c>
      <c r="C4921" s="1" t="s">
        <v>4149</v>
      </c>
      <c r="D4921" s="22" t="str">
        <f>HYPERLINK("https://rhld.insurance.arkansas.gov/NPILookup?Npi=1154313591","1154313591")</f>
        <v>1154313591</v>
      </c>
      <c r="E4921" s="1" t="s">
        <v>17041</v>
      </c>
      <c r="F4921" s="2"/>
      <c r="G4921" s="2"/>
      <c r="H4921" s="2"/>
    </row>
    <row r="4922" spans="1:8" x14ac:dyDescent="0.25">
      <c r="A4922" s="1"/>
      <c r="B4922" s="1" t="s">
        <v>4148</v>
      </c>
      <c r="C4922" s="1" t="s">
        <v>4149</v>
      </c>
      <c r="D4922" s="22" t="str">
        <f>HYPERLINK("https://rhld.insurance.arkansas.gov/NPILookup?Npi=1174637433","1174637433")</f>
        <v>1174637433</v>
      </c>
      <c r="E4922" s="1" t="s">
        <v>10169</v>
      </c>
      <c r="F4922" s="2"/>
      <c r="G4922" s="2"/>
      <c r="H4922" s="2"/>
    </row>
    <row r="4923" spans="1:8" x14ac:dyDescent="0.25">
      <c r="A4923" s="1"/>
      <c r="B4923" s="1" t="s">
        <v>4148</v>
      </c>
      <c r="C4923" s="1" t="s">
        <v>4149</v>
      </c>
      <c r="D4923" s="22" t="str">
        <f>HYPERLINK("https://rhld.insurance.arkansas.gov/NPILookup?Npi=1174942528","1174942528")</f>
        <v>1174942528</v>
      </c>
      <c r="E4923" s="1" t="s">
        <v>10170</v>
      </c>
      <c r="F4923" s="2"/>
      <c r="G4923" s="2"/>
      <c r="H4923" s="2"/>
    </row>
    <row r="4924" spans="1:8" x14ac:dyDescent="0.25">
      <c r="A4924" s="1"/>
      <c r="B4924" s="1" t="s">
        <v>4148</v>
      </c>
      <c r="C4924" s="1" t="s">
        <v>4149</v>
      </c>
      <c r="D4924" s="22" t="str">
        <f>HYPERLINK("https://rhld.insurance.arkansas.gov/NPILookup?Npi=1184711236","1184711236")</f>
        <v>1184711236</v>
      </c>
      <c r="E4924" s="1" t="s">
        <v>4153</v>
      </c>
      <c r="F4924" s="2"/>
      <c r="G4924" s="2"/>
      <c r="H4924" s="2"/>
    </row>
    <row r="4925" spans="1:8" x14ac:dyDescent="0.25">
      <c r="A4925" s="1"/>
      <c r="B4925" s="1" t="s">
        <v>4148</v>
      </c>
      <c r="C4925" s="1" t="s">
        <v>4149</v>
      </c>
      <c r="D4925" s="22" t="str">
        <f>HYPERLINK("https://rhld.insurance.arkansas.gov/NPILookup?Npi=1194037408","1194037408")</f>
        <v>1194037408</v>
      </c>
      <c r="E4925" s="1" t="s">
        <v>17044</v>
      </c>
      <c r="F4925" s="2"/>
      <c r="G4925" s="2"/>
      <c r="H4925" s="2"/>
    </row>
    <row r="4926" spans="1:8" x14ac:dyDescent="0.25">
      <c r="A4926" s="1"/>
      <c r="B4926" s="1" t="s">
        <v>4148</v>
      </c>
      <c r="C4926" s="1" t="s">
        <v>4149</v>
      </c>
      <c r="D4926" s="22" t="str">
        <f>HYPERLINK("https://rhld.insurance.arkansas.gov/NPILookup?Npi=1194082057","1194082057")</f>
        <v>1194082057</v>
      </c>
      <c r="E4926" s="1" t="s">
        <v>17045</v>
      </c>
      <c r="F4926" s="2"/>
      <c r="G4926" s="2"/>
      <c r="H4926" s="2"/>
    </row>
    <row r="4927" spans="1:8" x14ac:dyDescent="0.25">
      <c r="A4927" s="1"/>
      <c r="B4927" s="1" t="s">
        <v>4148</v>
      </c>
      <c r="C4927" s="1" t="s">
        <v>4149</v>
      </c>
      <c r="D4927" s="22" t="str">
        <f>HYPERLINK("https://rhld.insurance.arkansas.gov/NPILookup?Npi=1205221629","1205221629")</f>
        <v>1205221629</v>
      </c>
      <c r="E4927" s="1" t="s">
        <v>4154</v>
      </c>
      <c r="F4927" s="2"/>
      <c r="G4927" s="2"/>
      <c r="H4927" s="2"/>
    </row>
    <row r="4928" spans="1:8" x14ac:dyDescent="0.25">
      <c r="A4928" s="1"/>
      <c r="B4928" s="1" t="s">
        <v>4148</v>
      </c>
      <c r="C4928" s="1" t="s">
        <v>4149</v>
      </c>
      <c r="D4928" s="22" t="str">
        <f>HYPERLINK("https://rhld.insurance.arkansas.gov/NPILookup?Npi=1205829298","1205829298")</f>
        <v>1205829298</v>
      </c>
      <c r="E4928" s="1" t="s">
        <v>4155</v>
      </c>
      <c r="F4928" s="2"/>
      <c r="G4928" s="2"/>
      <c r="H4928" s="2"/>
    </row>
    <row r="4929" spans="1:8" x14ac:dyDescent="0.25">
      <c r="A4929" s="1"/>
      <c r="B4929" s="1" t="s">
        <v>4148</v>
      </c>
      <c r="C4929" s="1" t="s">
        <v>4149</v>
      </c>
      <c r="D4929" s="22" t="str">
        <f>HYPERLINK("https://rhld.insurance.arkansas.gov/NPILookup?Npi=1215490644","1215490644")</f>
        <v>1215490644</v>
      </c>
      <c r="E4929" s="1" t="s">
        <v>17046</v>
      </c>
      <c r="F4929" s="2"/>
      <c r="G4929" s="2"/>
      <c r="H4929" s="2"/>
    </row>
    <row r="4930" spans="1:8" x14ac:dyDescent="0.25">
      <c r="A4930" s="1"/>
      <c r="B4930" s="1" t="s">
        <v>4148</v>
      </c>
      <c r="C4930" s="1" t="s">
        <v>4149</v>
      </c>
      <c r="D4930" s="22" t="str">
        <f>HYPERLINK("https://rhld.insurance.arkansas.gov/NPILookup?Npi=1215904602","1215904602")</f>
        <v>1215904602</v>
      </c>
      <c r="E4930" s="1" t="s">
        <v>17047</v>
      </c>
      <c r="F4930" s="2"/>
      <c r="G4930" s="2"/>
      <c r="H4930" s="2"/>
    </row>
    <row r="4931" spans="1:8" x14ac:dyDescent="0.25">
      <c r="A4931" s="1"/>
      <c r="B4931" s="1" t="s">
        <v>4148</v>
      </c>
      <c r="C4931" s="1" t="s">
        <v>4149</v>
      </c>
      <c r="D4931" s="22" t="str">
        <f>HYPERLINK("https://rhld.insurance.arkansas.gov/NPILookup?Npi=1215934062","1215934062")</f>
        <v>1215934062</v>
      </c>
      <c r="E4931" s="1" t="s">
        <v>17048</v>
      </c>
      <c r="F4931" s="2"/>
      <c r="G4931" s="2"/>
      <c r="H4931" s="2"/>
    </row>
    <row r="4932" spans="1:8" x14ac:dyDescent="0.25">
      <c r="A4932" s="1"/>
      <c r="B4932" s="1" t="s">
        <v>4148</v>
      </c>
      <c r="C4932" s="1" t="s">
        <v>4149</v>
      </c>
      <c r="D4932" s="22" t="str">
        <f>HYPERLINK("https://rhld.insurance.arkansas.gov/NPILookup?Npi=1225023773","1225023773")</f>
        <v>1225023773</v>
      </c>
      <c r="E4932" s="1" t="s">
        <v>17049</v>
      </c>
      <c r="F4932" s="2"/>
      <c r="G4932" s="2"/>
      <c r="H4932" s="2"/>
    </row>
    <row r="4933" spans="1:8" x14ac:dyDescent="0.25">
      <c r="A4933" s="1"/>
      <c r="B4933" s="1" t="s">
        <v>4148</v>
      </c>
      <c r="C4933" s="1" t="s">
        <v>4149</v>
      </c>
      <c r="D4933" s="22" t="str">
        <f>HYPERLINK("https://rhld.insurance.arkansas.gov/NPILookup?Npi=1225052731","1225052731")</f>
        <v>1225052731</v>
      </c>
      <c r="E4933" s="1" t="s">
        <v>17050</v>
      </c>
      <c r="F4933" s="2"/>
      <c r="G4933" s="2"/>
      <c r="H4933" s="2"/>
    </row>
    <row r="4934" spans="1:8" x14ac:dyDescent="0.25">
      <c r="A4934" s="1"/>
      <c r="B4934" s="1" t="s">
        <v>4148</v>
      </c>
      <c r="C4934" s="1" t="s">
        <v>4149</v>
      </c>
      <c r="D4934" s="22" t="str">
        <f>HYPERLINK("https://rhld.insurance.arkansas.gov/NPILookup?Npi=1225230915","1225230915")</f>
        <v>1225230915</v>
      </c>
      <c r="E4934" s="1" t="s">
        <v>17051</v>
      </c>
      <c r="F4934" s="2"/>
      <c r="G4934" s="2"/>
      <c r="H4934" s="2"/>
    </row>
    <row r="4935" spans="1:8" x14ac:dyDescent="0.25">
      <c r="A4935" s="1"/>
      <c r="B4935" s="1" t="s">
        <v>4148</v>
      </c>
      <c r="C4935" s="1" t="s">
        <v>4149</v>
      </c>
      <c r="D4935" s="22" t="str">
        <f>HYPERLINK("https://rhld.insurance.arkansas.gov/NPILookup?Npi=1225327422","1225327422")</f>
        <v>1225327422</v>
      </c>
      <c r="E4935" s="1" t="s">
        <v>4156</v>
      </c>
      <c r="F4935" s="2"/>
      <c r="G4935" s="2"/>
      <c r="H4935" s="2"/>
    </row>
    <row r="4936" spans="1:8" x14ac:dyDescent="0.25">
      <c r="A4936" s="1"/>
      <c r="B4936" s="1" t="s">
        <v>4148</v>
      </c>
      <c r="C4936" s="1" t="s">
        <v>4149</v>
      </c>
      <c r="D4936" s="22" t="str">
        <f>HYPERLINK("https://rhld.insurance.arkansas.gov/NPILookup?Npi=1245454149","1245454149")</f>
        <v>1245454149</v>
      </c>
      <c r="E4936" s="1" t="s">
        <v>4157</v>
      </c>
      <c r="F4936" s="2"/>
      <c r="G4936" s="2"/>
      <c r="H4936" s="2"/>
    </row>
    <row r="4937" spans="1:8" x14ac:dyDescent="0.25">
      <c r="A4937" s="1"/>
      <c r="B4937" s="1" t="s">
        <v>4148</v>
      </c>
      <c r="C4937" s="1" t="s">
        <v>4149</v>
      </c>
      <c r="D4937" s="22" t="str">
        <f>HYPERLINK("https://rhld.insurance.arkansas.gov/NPILookup?Npi=1255523296","1255523296")</f>
        <v>1255523296</v>
      </c>
      <c r="E4937" s="1" t="s">
        <v>4158</v>
      </c>
      <c r="F4937" s="2"/>
      <c r="G4937" s="2"/>
      <c r="H4937" s="2"/>
    </row>
    <row r="4938" spans="1:8" x14ac:dyDescent="0.25">
      <c r="A4938" s="1"/>
      <c r="B4938" s="1" t="s">
        <v>4148</v>
      </c>
      <c r="C4938" s="1" t="s">
        <v>4149</v>
      </c>
      <c r="D4938" s="22" t="str">
        <f>HYPERLINK("https://rhld.insurance.arkansas.gov/NPILookup?Npi=1255788352","1255788352")</f>
        <v>1255788352</v>
      </c>
      <c r="E4938" s="1" t="s">
        <v>10171</v>
      </c>
      <c r="F4938" s="2"/>
      <c r="G4938" s="2"/>
      <c r="H4938" s="2"/>
    </row>
    <row r="4939" spans="1:8" x14ac:dyDescent="0.25">
      <c r="A4939" s="1"/>
      <c r="B4939" s="1" t="s">
        <v>4148</v>
      </c>
      <c r="C4939" s="1" t="s">
        <v>4149</v>
      </c>
      <c r="D4939" s="22" t="str">
        <f>HYPERLINK("https://rhld.insurance.arkansas.gov/NPILookup?Npi=1265849053","1265849053")</f>
        <v>1265849053</v>
      </c>
      <c r="E4939" s="1" t="s">
        <v>17052</v>
      </c>
      <c r="F4939" s="2"/>
      <c r="G4939" s="2"/>
      <c r="H4939" s="2"/>
    </row>
    <row r="4940" spans="1:8" x14ac:dyDescent="0.25">
      <c r="A4940" s="1"/>
      <c r="B4940" s="1" t="s">
        <v>4148</v>
      </c>
      <c r="C4940" s="1" t="s">
        <v>4149</v>
      </c>
      <c r="D4940" s="22" t="str">
        <f>HYPERLINK("https://rhld.insurance.arkansas.gov/NPILookup?Npi=1275641169","1275641169")</f>
        <v>1275641169</v>
      </c>
      <c r="E4940" s="1" t="s">
        <v>17053</v>
      </c>
      <c r="F4940" s="2"/>
      <c r="G4940" s="2"/>
      <c r="H4940" s="2"/>
    </row>
    <row r="4941" spans="1:8" x14ac:dyDescent="0.25">
      <c r="A4941" s="1"/>
      <c r="B4941" s="1" t="s">
        <v>4148</v>
      </c>
      <c r="C4941" s="1" t="s">
        <v>4149</v>
      </c>
      <c r="D4941" s="22" t="str">
        <f>HYPERLINK("https://rhld.insurance.arkansas.gov/NPILookup?Npi=1285838847","1285838847")</f>
        <v>1285838847</v>
      </c>
      <c r="E4941" s="1" t="s">
        <v>17054</v>
      </c>
      <c r="F4941" s="2"/>
      <c r="G4941" s="2"/>
      <c r="H4941" s="2"/>
    </row>
    <row r="4942" spans="1:8" x14ac:dyDescent="0.25">
      <c r="A4942" s="1"/>
      <c r="B4942" s="1" t="s">
        <v>4148</v>
      </c>
      <c r="C4942" s="1" t="s">
        <v>4149</v>
      </c>
      <c r="D4942" s="22" t="str">
        <f>HYPERLINK("https://rhld.insurance.arkansas.gov/NPILookup?Npi=1295098440","1295098440")</f>
        <v>1295098440</v>
      </c>
      <c r="E4942" s="1" t="s">
        <v>17056</v>
      </c>
      <c r="F4942" s="2"/>
      <c r="G4942" s="2"/>
      <c r="H4942" s="2"/>
    </row>
    <row r="4943" spans="1:8" x14ac:dyDescent="0.25">
      <c r="A4943" s="1"/>
      <c r="B4943" s="1" t="s">
        <v>4148</v>
      </c>
      <c r="C4943" s="1" t="s">
        <v>4149</v>
      </c>
      <c r="D4943" s="22" t="str">
        <f>HYPERLINK("https://rhld.insurance.arkansas.gov/NPILookup?Npi=1316474471","1316474471")</f>
        <v>1316474471</v>
      </c>
      <c r="E4943" s="1" t="s">
        <v>4159</v>
      </c>
      <c r="F4943" s="2"/>
      <c r="G4943" s="2"/>
      <c r="H4943" s="2"/>
    </row>
    <row r="4944" spans="1:8" x14ac:dyDescent="0.25">
      <c r="A4944" s="1"/>
      <c r="B4944" s="1" t="s">
        <v>4148</v>
      </c>
      <c r="C4944" s="1" t="s">
        <v>4149</v>
      </c>
      <c r="D4944" s="22" t="str">
        <f>HYPERLINK("https://rhld.insurance.arkansas.gov/NPILookup?Npi=1316909724","1316909724")</f>
        <v>1316909724</v>
      </c>
      <c r="E4944" s="1" t="s">
        <v>17057</v>
      </c>
      <c r="F4944" s="2"/>
      <c r="G4944" s="2"/>
      <c r="H4944" s="2"/>
    </row>
    <row r="4945" spans="1:8" x14ac:dyDescent="0.25">
      <c r="A4945" s="1"/>
      <c r="B4945" s="1" t="s">
        <v>4148</v>
      </c>
      <c r="C4945" s="1" t="s">
        <v>4149</v>
      </c>
      <c r="D4945" s="22" t="str">
        <f>HYPERLINK("https://rhld.insurance.arkansas.gov/NPILookup?Npi=1316955578","1316955578")</f>
        <v>1316955578</v>
      </c>
      <c r="E4945" s="1" t="s">
        <v>17058</v>
      </c>
      <c r="F4945" s="2"/>
      <c r="G4945" s="2"/>
      <c r="H4945" s="2"/>
    </row>
    <row r="4946" spans="1:8" x14ac:dyDescent="0.25">
      <c r="A4946" s="1"/>
      <c r="B4946" s="1" t="s">
        <v>4148</v>
      </c>
      <c r="C4946" s="1" t="s">
        <v>4149</v>
      </c>
      <c r="D4946" s="22" t="str">
        <f>HYPERLINK("https://rhld.insurance.arkansas.gov/NPILookup?Npi=1326365735","1326365735")</f>
        <v>1326365735</v>
      </c>
      <c r="E4946" s="1" t="s">
        <v>4160</v>
      </c>
      <c r="F4946" s="2"/>
      <c r="G4946" s="2"/>
      <c r="H4946" s="2"/>
    </row>
    <row r="4947" spans="1:8" x14ac:dyDescent="0.25">
      <c r="A4947" s="1"/>
      <c r="B4947" s="1" t="s">
        <v>4148</v>
      </c>
      <c r="C4947" s="1" t="s">
        <v>4149</v>
      </c>
      <c r="D4947" s="22" t="str">
        <f>HYPERLINK("https://rhld.insurance.arkansas.gov/NPILookup?Npi=1326492869","1326492869")</f>
        <v>1326492869</v>
      </c>
      <c r="E4947" s="1" t="s">
        <v>17059</v>
      </c>
      <c r="F4947" s="2"/>
      <c r="G4947" s="2"/>
      <c r="H4947" s="2"/>
    </row>
    <row r="4948" spans="1:8" x14ac:dyDescent="0.25">
      <c r="A4948" s="1"/>
      <c r="B4948" s="1" t="s">
        <v>4148</v>
      </c>
      <c r="C4948" s="1" t="s">
        <v>4149</v>
      </c>
      <c r="D4948" s="22" t="str">
        <f>HYPERLINK("https://rhld.insurance.arkansas.gov/NPILookup?Npi=1336267509","1336267509")</f>
        <v>1336267509</v>
      </c>
      <c r="E4948" s="1" t="s">
        <v>17060</v>
      </c>
      <c r="F4948" s="2"/>
      <c r="G4948" s="2"/>
      <c r="H4948" s="2"/>
    </row>
    <row r="4949" spans="1:8" x14ac:dyDescent="0.25">
      <c r="A4949" s="1"/>
      <c r="B4949" s="1" t="s">
        <v>4148</v>
      </c>
      <c r="C4949" s="1" t="s">
        <v>4149</v>
      </c>
      <c r="D4949" s="22" t="str">
        <f>HYPERLINK("https://rhld.insurance.arkansas.gov/NPILookup?Npi=1346229796","1346229796")</f>
        <v>1346229796</v>
      </c>
      <c r="E4949" s="1" t="s">
        <v>17061</v>
      </c>
      <c r="F4949" s="2"/>
      <c r="G4949" s="2"/>
      <c r="H4949" s="2"/>
    </row>
    <row r="4950" spans="1:8" x14ac:dyDescent="0.25">
      <c r="A4950" s="1"/>
      <c r="B4950" s="1" t="s">
        <v>4148</v>
      </c>
      <c r="C4950" s="1" t="s">
        <v>4149</v>
      </c>
      <c r="D4950" s="22" t="str">
        <f>HYPERLINK("https://rhld.insurance.arkansas.gov/NPILookup?Npi=1356464838","1356464838")</f>
        <v>1356464838</v>
      </c>
      <c r="E4950" s="1" t="s">
        <v>17062</v>
      </c>
      <c r="F4950" s="2"/>
      <c r="G4950" s="2"/>
      <c r="H4950" s="2"/>
    </row>
    <row r="4951" spans="1:8" x14ac:dyDescent="0.25">
      <c r="A4951" s="1"/>
      <c r="B4951" s="1" t="s">
        <v>4148</v>
      </c>
      <c r="C4951" s="1" t="s">
        <v>4149</v>
      </c>
      <c r="D4951" s="22" t="str">
        <f>HYPERLINK("https://rhld.insurance.arkansas.gov/NPILookup?Npi=1366547713","1366547713")</f>
        <v>1366547713</v>
      </c>
      <c r="E4951" s="1" t="s">
        <v>4161</v>
      </c>
      <c r="F4951" s="2"/>
      <c r="G4951" s="2"/>
      <c r="H4951" s="2"/>
    </row>
    <row r="4952" spans="1:8" x14ac:dyDescent="0.25">
      <c r="A4952" s="1"/>
      <c r="B4952" s="1" t="s">
        <v>4148</v>
      </c>
      <c r="C4952" s="1" t="s">
        <v>4149</v>
      </c>
      <c r="D4952" s="22" t="str">
        <f>HYPERLINK("https://rhld.insurance.arkansas.gov/NPILookup?Npi=1366709255","1366709255")</f>
        <v>1366709255</v>
      </c>
      <c r="E4952" s="1" t="s">
        <v>17063</v>
      </c>
      <c r="F4952" s="2"/>
      <c r="G4952" s="2"/>
      <c r="H4952" s="2"/>
    </row>
    <row r="4953" spans="1:8" x14ac:dyDescent="0.25">
      <c r="A4953" s="1"/>
      <c r="B4953" s="1" t="s">
        <v>4148</v>
      </c>
      <c r="C4953" s="1" t="s">
        <v>4149</v>
      </c>
      <c r="D4953" s="22" t="str">
        <f>HYPERLINK("https://rhld.insurance.arkansas.gov/NPILookup?Npi=1376800979","1376800979")</f>
        <v>1376800979</v>
      </c>
      <c r="E4953" s="1" t="s">
        <v>17064</v>
      </c>
      <c r="F4953" s="2"/>
      <c r="G4953" s="2"/>
      <c r="H4953" s="2"/>
    </row>
    <row r="4954" spans="1:8" x14ac:dyDescent="0.25">
      <c r="A4954" s="1"/>
      <c r="B4954" s="1" t="s">
        <v>4148</v>
      </c>
      <c r="C4954" s="1" t="s">
        <v>4149</v>
      </c>
      <c r="D4954" s="22" t="str">
        <f>HYPERLINK("https://rhld.insurance.arkansas.gov/NPILookup?Npi=1376892950","1376892950")</f>
        <v>1376892950</v>
      </c>
      <c r="E4954" s="1" t="s">
        <v>17065</v>
      </c>
      <c r="F4954" s="2"/>
      <c r="G4954" s="2"/>
      <c r="H4954" s="2"/>
    </row>
    <row r="4955" spans="1:8" x14ac:dyDescent="0.25">
      <c r="A4955" s="1"/>
      <c r="B4955" s="1" t="s">
        <v>4148</v>
      </c>
      <c r="C4955" s="1" t="s">
        <v>4149</v>
      </c>
      <c r="D4955" s="22" t="str">
        <f>HYPERLINK("https://rhld.insurance.arkansas.gov/NPILookup?Npi=1376907402","1376907402")</f>
        <v>1376907402</v>
      </c>
      <c r="E4955" s="1" t="s">
        <v>17066</v>
      </c>
      <c r="F4955" s="2"/>
      <c r="G4955" s="2"/>
      <c r="H4955" s="2"/>
    </row>
    <row r="4956" spans="1:8" x14ac:dyDescent="0.25">
      <c r="A4956" s="1"/>
      <c r="B4956" s="1" t="s">
        <v>4148</v>
      </c>
      <c r="C4956" s="1" t="s">
        <v>4149</v>
      </c>
      <c r="D4956" s="22" t="str">
        <f>HYPERLINK("https://rhld.insurance.arkansas.gov/NPILookup?Npi=1396025060","1396025060")</f>
        <v>1396025060</v>
      </c>
      <c r="E4956" s="1" t="s">
        <v>4163</v>
      </c>
      <c r="F4956" s="2"/>
      <c r="G4956" s="2"/>
      <c r="H4956" s="2"/>
    </row>
    <row r="4957" spans="1:8" x14ac:dyDescent="0.25">
      <c r="A4957" s="1"/>
      <c r="B4957" s="1" t="s">
        <v>4148</v>
      </c>
      <c r="C4957" s="1" t="s">
        <v>4149</v>
      </c>
      <c r="D4957" s="22" t="str">
        <f>HYPERLINK("https://rhld.insurance.arkansas.gov/NPILookup?Npi=1396722765","1396722765")</f>
        <v>1396722765</v>
      </c>
      <c r="E4957" s="1" t="s">
        <v>4164</v>
      </c>
      <c r="F4957" s="2"/>
      <c r="G4957" s="2"/>
      <c r="H4957" s="2"/>
    </row>
    <row r="4958" spans="1:8" x14ac:dyDescent="0.25">
      <c r="A4958" s="1"/>
      <c r="B4958" s="1" t="s">
        <v>4148</v>
      </c>
      <c r="C4958" s="1" t="s">
        <v>4149</v>
      </c>
      <c r="D4958" s="22" t="str">
        <f>HYPERLINK("https://rhld.insurance.arkansas.gov/NPILookup?Npi=1396784443","1396784443")</f>
        <v>1396784443</v>
      </c>
      <c r="E4958" s="1" t="s">
        <v>4165</v>
      </c>
      <c r="F4958" s="2"/>
      <c r="G4958" s="2"/>
      <c r="H4958" s="2"/>
    </row>
    <row r="4959" spans="1:8" x14ac:dyDescent="0.25">
      <c r="A4959" s="1"/>
      <c r="B4959" s="1" t="s">
        <v>4148</v>
      </c>
      <c r="C4959" s="1" t="s">
        <v>4149</v>
      </c>
      <c r="D4959" s="22" t="str">
        <f>HYPERLINK("https://rhld.insurance.arkansas.gov/NPILookup?Npi=1417034984","1417034984")</f>
        <v>1417034984</v>
      </c>
      <c r="E4959" s="1" t="s">
        <v>4166</v>
      </c>
      <c r="F4959" s="2"/>
      <c r="G4959" s="2"/>
      <c r="H4959" s="2"/>
    </row>
    <row r="4960" spans="1:8" x14ac:dyDescent="0.25">
      <c r="A4960" s="1"/>
      <c r="B4960" s="1" t="s">
        <v>4148</v>
      </c>
      <c r="C4960" s="1" t="s">
        <v>4149</v>
      </c>
      <c r="D4960" s="22" t="str">
        <f>HYPERLINK("https://rhld.insurance.arkansas.gov/NPILookup?Npi=1417445180","1417445180")</f>
        <v>1417445180</v>
      </c>
      <c r="E4960" s="1" t="s">
        <v>17067</v>
      </c>
      <c r="F4960" s="2"/>
      <c r="G4960" s="2"/>
      <c r="H4960" s="2"/>
    </row>
    <row r="4961" spans="1:8" x14ac:dyDescent="0.25">
      <c r="A4961" s="1"/>
      <c r="B4961" s="1" t="s">
        <v>4148</v>
      </c>
      <c r="C4961" s="1" t="s">
        <v>4149</v>
      </c>
      <c r="D4961" s="22" t="str">
        <f>HYPERLINK("https://rhld.insurance.arkansas.gov/NPILookup?Npi=1417978958","1417978958")</f>
        <v>1417978958</v>
      </c>
      <c r="E4961" s="1" t="s">
        <v>17068</v>
      </c>
      <c r="F4961" s="2"/>
      <c r="G4961" s="2"/>
      <c r="H4961" s="2"/>
    </row>
    <row r="4962" spans="1:8" x14ac:dyDescent="0.25">
      <c r="A4962" s="1"/>
      <c r="B4962" s="1" t="s">
        <v>4148</v>
      </c>
      <c r="C4962" s="1" t="s">
        <v>4149</v>
      </c>
      <c r="D4962" s="22" t="str">
        <f>HYPERLINK("https://rhld.insurance.arkansas.gov/NPILookup?Npi=1427043595","1427043595")</f>
        <v>1427043595</v>
      </c>
      <c r="E4962" s="1" t="s">
        <v>17069</v>
      </c>
      <c r="F4962" s="2"/>
      <c r="G4962" s="2"/>
      <c r="H4962" s="2"/>
    </row>
    <row r="4963" spans="1:8" x14ac:dyDescent="0.25">
      <c r="A4963" s="1"/>
      <c r="B4963" s="1" t="s">
        <v>4148</v>
      </c>
      <c r="C4963" s="1" t="s">
        <v>4149</v>
      </c>
      <c r="D4963" s="22" t="str">
        <f>HYPERLINK("https://rhld.insurance.arkansas.gov/NPILookup?Npi=1427081025","1427081025")</f>
        <v>1427081025</v>
      </c>
      <c r="E4963" s="1" t="s">
        <v>4167</v>
      </c>
      <c r="F4963" s="2"/>
      <c r="G4963" s="2"/>
      <c r="H4963" s="2"/>
    </row>
    <row r="4964" spans="1:8" x14ac:dyDescent="0.25">
      <c r="A4964" s="1"/>
      <c r="B4964" s="1" t="s">
        <v>4148</v>
      </c>
      <c r="C4964" s="1" t="s">
        <v>4149</v>
      </c>
      <c r="D4964" s="22" t="str">
        <f>HYPERLINK("https://rhld.insurance.arkansas.gov/NPILookup?Npi=1427221704","1427221704")</f>
        <v>1427221704</v>
      </c>
      <c r="E4964" s="1" t="s">
        <v>4168</v>
      </c>
      <c r="F4964" s="2"/>
      <c r="G4964" s="2"/>
      <c r="H4964" s="2"/>
    </row>
    <row r="4965" spans="1:8" x14ac:dyDescent="0.25">
      <c r="A4965" s="1"/>
      <c r="B4965" s="1" t="s">
        <v>4148</v>
      </c>
      <c r="C4965" s="1" t="s">
        <v>4149</v>
      </c>
      <c r="D4965" s="22" t="str">
        <f>HYPERLINK("https://rhld.insurance.arkansas.gov/NPILookup?Npi=1427287614","1427287614")</f>
        <v>1427287614</v>
      </c>
      <c r="E4965" s="1" t="s">
        <v>17071</v>
      </c>
      <c r="F4965" s="2"/>
      <c r="G4965" s="2"/>
      <c r="H4965" s="2"/>
    </row>
    <row r="4966" spans="1:8" x14ac:dyDescent="0.25">
      <c r="A4966" s="1"/>
      <c r="B4966" s="1" t="s">
        <v>4148</v>
      </c>
      <c r="C4966" s="1" t="s">
        <v>4149</v>
      </c>
      <c r="D4966" s="22" t="str">
        <f>HYPERLINK("https://rhld.insurance.arkansas.gov/NPILookup?Npi=1437237567","1437237567")</f>
        <v>1437237567</v>
      </c>
      <c r="E4966" s="1" t="s">
        <v>17072</v>
      </c>
      <c r="F4966" s="2"/>
      <c r="G4966" s="2"/>
      <c r="H4966" s="2"/>
    </row>
    <row r="4967" spans="1:8" x14ac:dyDescent="0.25">
      <c r="A4967" s="1"/>
      <c r="B4967" s="1" t="s">
        <v>4148</v>
      </c>
      <c r="C4967" s="1" t="s">
        <v>4149</v>
      </c>
      <c r="D4967" s="22" t="str">
        <f>HYPERLINK("https://rhld.insurance.arkansas.gov/NPILookup?Npi=1437448594","1437448594")</f>
        <v>1437448594</v>
      </c>
      <c r="E4967" s="1" t="s">
        <v>4169</v>
      </c>
      <c r="F4967" s="2"/>
      <c r="G4967" s="2"/>
      <c r="H4967" s="2"/>
    </row>
    <row r="4968" spans="1:8" x14ac:dyDescent="0.25">
      <c r="A4968" s="1"/>
      <c r="B4968" s="1" t="s">
        <v>4148</v>
      </c>
      <c r="C4968" s="1" t="s">
        <v>4149</v>
      </c>
      <c r="D4968" s="22" t="str">
        <f>HYPERLINK("https://rhld.insurance.arkansas.gov/NPILookup?Npi=1437475746","1437475746")</f>
        <v>1437475746</v>
      </c>
      <c r="E4968" s="1" t="s">
        <v>17073</v>
      </c>
      <c r="F4968" s="2"/>
      <c r="G4968" s="2"/>
      <c r="H4968" s="2"/>
    </row>
    <row r="4969" spans="1:8" x14ac:dyDescent="0.25">
      <c r="A4969" s="1"/>
      <c r="B4969" s="1" t="s">
        <v>4148</v>
      </c>
      <c r="C4969" s="1" t="s">
        <v>4149</v>
      </c>
      <c r="D4969" s="22" t="str">
        <f>HYPERLINK("https://rhld.insurance.arkansas.gov/NPILookup?Npi=1447204490","1447204490")</f>
        <v>1447204490</v>
      </c>
      <c r="E4969" s="1" t="s">
        <v>17074</v>
      </c>
      <c r="F4969" s="2"/>
      <c r="G4969" s="2"/>
      <c r="H4969" s="2"/>
    </row>
    <row r="4970" spans="1:8" x14ac:dyDescent="0.25">
      <c r="A4970" s="1"/>
      <c r="B4970" s="1" t="s">
        <v>4148</v>
      </c>
      <c r="C4970" s="1" t="s">
        <v>4149</v>
      </c>
      <c r="D4970" s="22" t="str">
        <f>HYPERLINK("https://rhld.insurance.arkansas.gov/NPILookup?Npi=1447256102","1447256102")</f>
        <v>1447256102</v>
      </c>
      <c r="E4970" s="1" t="s">
        <v>17075</v>
      </c>
      <c r="F4970" s="2"/>
      <c r="G4970" s="2"/>
      <c r="H4970" s="2"/>
    </row>
    <row r="4971" spans="1:8" x14ac:dyDescent="0.25">
      <c r="A4971" s="1"/>
      <c r="B4971" s="1" t="s">
        <v>4148</v>
      </c>
      <c r="C4971" s="1" t="s">
        <v>4149</v>
      </c>
      <c r="D4971" s="22" t="str">
        <f>HYPERLINK("https://rhld.insurance.arkansas.gov/NPILookup?Npi=1447286711","1447286711")</f>
        <v>1447286711</v>
      </c>
      <c r="E4971" s="1" t="s">
        <v>17076</v>
      </c>
      <c r="F4971" s="2"/>
      <c r="G4971" s="2"/>
      <c r="H4971" s="2"/>
    </row>
    <row r="4972" spans="1:8" x14ac:dyDescent="0.25">
      <c r="A4972" s="1"/>
      <c r="B4972" s="1" t="s">
        <v>4148</v>
      </c>
      <c r="C4972" s="1" t="s">
        <v>4149</v>
      </c>
      <c r="D4972" s="22" t="str">
        <f>HYPERLINK("https://rhld.insurance.arkansas.gov/NPILookup?Npi=1457330011","1457330011")</f>
        <v>1457330011</v>
      </c>
      <c r="E4972" s="1" t="s">
        <v>17077</v>
      </c>
      <c r="F4972" s="2"/>
      <c r="G4972" s="2"/>
      <c r="H4972" s="2"/>
    </row>
    <row r="4973" spans="1:8" x14ac:dyDescent="0.25">
      <c r="A4973" s="1"/>
      <c r="B4973" s="1" t="s">
        <v>4148</v>
      </c>
      <c r="C4973" s="1" t="s">
        <v>4149</v>
      </c>
      <c r="D4973" s="22" t="str">
        <f>HYPERLINK("https://rhld.insurance.arkansas.gov/NPILookup?Npi=1467411843","1467411843")</f>
        <v>1467411843</v>
      </c>
      <c r="E4973" s="1" t="s">
        <v>10173</v>
      </c>
      <c r="F4973" s="2"/>
      <c r="G4973" s="2"/>
      <c r="H4973" s="2"/>
    </row>
    <row r="4974" spans="1:8" x14ac:dyDescent="0.25">
      <c r="A4974" s="1"/>
      <c r="B4974" s="1" t="s">
        <v>4148</v>
      </c>
      <c r="C4974" s="1" t="s">
        <v>4149</v>
      </c>
      <c r="D4974" s="22" t="str">
        <f>HYPERLINK("https://rhld.insurance.arkansas.gov/NPILookup?Npi=1467495101","1467495101")</f>
        <v>1467495101</v>
      </c>
      <c r="E4974" s="1" t="s">
        <v>4170</v>
      </c>
      <c r="F4974" s="2"/>
      <c r="G4974" s="2"/>
      <c r="H4974" s="2"/>
    </row>
    <row r="4975" spans="1:8" x14ac:dyDescent="0.25">
      <c r="A4975" s="1"/>
      <c r="B4975" s="1" t="s">
        <v>4148</v>
      </c>
      <c r="C4975" s="1" t="s">
        <v>4149</v>
      </c>
      <c r="D4975" s="22" t="str">
        <f>HYPERLINK("https://rhld.insurance.arkansas.gov/NPILookup?Npi=1477878221","1477878221")</f>
        <v>1477878221</v>
      </c>
      <c r="E4975" s="1" t="s">
        <v>4172</v>
      </c>
      <c r="F4975" s="2"/>
      <c r="G4975" s="2"/>
      <c r="H4975" s="2"/>
    </row>
    <row r="4976" spans="1:8" x14ac:dyDescent="0.25">
      <c r="A4976" s="1"/>
      <c r="B4976" s="1" t="s">
        <v>4148</v>
      </c>
      <c r="C4976" s="1" t="s">
        <v>4149</v>
      </c>
      <c r="D4976" s="22" t="str">
        <f>HYPERLINK("https://rhld.insurance.arkansas.gov/NPILookup?Npi=1487064473","1487064473")</f>
        <v>1487064473</v>
      </c>
      <c r="E4976" s="1" t="s">
        <v>4173</v>
      </c>
      <c r="F4976" s="2"/>
      <c r="G4976" s="2"/>
      <c r="H4976" s="2"/>
    </row>
    <row r="4977" spans="1:8" x14ac:dyDescent="0.25">
      <c r="A4977" s="1"/>
      <c r="B4977" s="1" t="s">
        <v>4148</v>
      </c>
      <c r="C4977" s="1" t="s">
        <v>4149</v>
      </c>
      <c r="D4977" s="22" t="str">
        <f>HYPERLINK("https://rhld.insurance.arkansas.gov/NPILookup?Npi=1487712295","1487712295")</f>
        <v>1487712295</v>
      </c>
      <c r="E4977" s="1" t="s">
        <v>4174</v>
      </c>
      <c r="F4977" s="2"/>
      <c r="G4977" s="2"/>
      <c r="H4977" s="2"/>
    </row>
    <row r="4978" spans="1:8" x14ac:dyDescent="0.25">
      <c r="A4978" s="1"/>
      <c r="B4978" s="1" t="s">
        <v>4148</v>
      </c>
      <c r="C4978" s="1" t="s">
        <v>4149</v>
      </c>
      <c r="D4978" s="22" t="str">
        <f>HYPERLINK("https://rhld.insurance.arkansas.gov/NPILookup?Npi=1497947550","1497947550")</f>
        <v>1497947550</v>
      </c>
      <c r="E4978" s="1" t="s">
        <v>10174</v>
      </c>
      <c r="F4978" s="2"/>
      <c r="G4978" s="2"/>
      <c r="H4978" s="2"/>
    </row>
    <row r="4979" spans="1:8" x14ac:dyDescent="0.25">
      <c r="A4979" s="1"/>
      <c r="B4979" s="1" t="s">
        <v>4148</v>
      </c>
      <c r="C4979" s="1" t="s">
        <v>4149</v>
      </c>
      <c r="D4979" s="22" t="str">
        <f>HYPERLINK("https://rhld.insurance.arkansas.gov/NPILookup?Npi=1497978340","1497978340")</f>
        <v>1497978340</v>
      </c>
      <c r="E4979" s="1" t="s">
        <v>17078</v>
      </c>
      <c r="F4979" s="2"/>
      <c r="G4979" s="2"/>
      <c r="H4979" s="2"/>
    </row>
    <row r="4980" spans="1:8" x14ac:dyDescent="0.25">
      <c r="A4980" s="1"/>
      <c r="B4980" s="1" t="s">
        <v>4148</v>
      </c>
      <c r="C4980" s="1" t="s">
        <v>4149</v>
      </c>
      <c r="D4980" s="22" t="str">
        <f>HYPERLINK("https://rhld.insurance.arkansas.gov/NPILookup?Npi=1508995390","1508995390")</f>
        <v>1508995390</v>
      </c>
      <c r="E4980" s="1" t="s">
        <v>4175</v>
      </c>
      <c r="F4980" s="2"/>
      <c r="G4980" s="2"/>
      <c r="H4980" s="2"/>
    </row>
    <row r="4981" spans="1:8" x14ac:dyDescent="0.25">
      <c r="A4981" s="1"/>
      <c r="B4981" s="1" t="s">
        <v>4148</v>
      </c>
      <c r="C4981" s="1" t="s">
        <v>4149</v>
      </c>
      <c r="D4981" s="22" t="str">
        <f>HYPERLINK("https://rhld.insurance.arkansas.gov/NPILookup?Npi=1518222082","1518222082")</f>
        <v>1518222082</v>
      </c>
      <c r="E4981" s="1" t="s">
        <v>17079</v>
      </c>
      <c r="F4981" s="2"/>
      <c r="G4981" s="2"/>
      <c r="H4981" s="2"/>
    </row>
    <row r="4982" spans="1:8" x14ac:dyDescent="0.25">
      <c r="A4982" s="1"/>
      <c r="B4982" s="1" t="s">
        <v>4148</v>
      </c>
      <c r="C4982" s="1" t="s">
        <v>4149</v>
      </c>
      <c r="D4982" s="22" t="str">
        <f>HYPERLINK("https://rhld.insurance.arkansas.gov/NPILookup?Npi=1518916386","1518916386")</f>
        <v>1518916386</v>
      </c>
      <c r="E4982" s="1" t="s">
        <v>10175</v>
      </c>
      <c r="F4982" s="2"/>
      <c r="G4982" s="2"/>
      <c r="H4982" s="2"/>
    </row>
    <row r="4983" spans="1:8" x14ac:dyDescent="0.25">
      <c r="A4983" s="1"/>
      <c r="B4983" s="1" t="s">
        <v>4148</v>
      </c>
      <c r="C4983" s="1" t="s">
        <v>4149</v>
      </c>
      <c r="D4983" s="22" t="str">
        <f>HYPERLINK("https://rhld.insurance.arkansas.gov/NPILookup?Npi=1528145588","1528145588")</f>
        <v>1528145588</v>
      </c>
      <c r="E4983" s="1" t="s">
        <v>17080</v>
      </c>
      <c r="F4983" s="2"/>
      <c r="G4983" s="2"/>
      <c r="H4983" s="2"/>
    </row>
    <row r="4984" spans="1:8" x14ac:dyDescent="0.25">
      <c r="A4984" s="1"/>
      <c r="B4984" s="1" t="s">
        <v>4148</v>
      </c>
      <c r="C4984" s="1" t="s">
        <v>4149</v>
      </c>
      <c r="D4984" s="22" t="str">
        <f>HYPERLINK("https://rhld.insurance.arkansas.gov/NPILookup?Npi=1538110630","1538110630")</f>
        <v>1538110630</v>
      </c>
      <c r="E4984" s="1" t="s">
        <v>10176</v>
      </c>
      <c r="F4984" s="2"/>
      <c r="G4984" s="2"/>
      <c r="H4984" s="2"/>
    </row>
    <row r="4985" spans="1:8" x14ac:dyDescent="0.25">
      <c r="A4985" s="1"/>
      <c r="B4985" s="1" t="s">
        <v>4148</v>
      </c>
      <c r="C4985" s="1" t="s">
        <v>4149</v>
      </c>
      <c r="D4985" s="22" t="str">
        <f>HYPERLINK("https://rhld.insurance.arkansas.gov/NPILookup?Npi=1538165295","1538165295")</f>
        <v>1538165295</v>
      </c>
      <c r="E4985" s="1" t="s">
        <v>3024</v>
      </c>
      <c r="F4985" s="2"/>
      <c r="G4985" s="2"/>
      <c r="H4985" s="2"/>
    </row>
    <row r="4986" spans="1:8" x14ac:dyDescent="0.25">
      <c r="A4986" s="1"/>
      <c r="B4986" s="1" t="s">
        <v>4148</v>
      </c>
      <c r="C4986" s="1" t="s">
        <v>4149</v>
      </c>
      <c r="D4986" s="22" t="str">
        <f>HYPERLINK("https://rhld.insurance.arkansas.gov/NPILookup?Npi=1548238348","1548238348")</f>
        <v>1548238348</v>
      </c>
      <c r="E4986" s="1" t="s">
        <v>17081</v>
      </c>
      <c r="F4986" s="2"/>
      <c r="G4986" s="2"/>
      <c r="H4986" s="2"/>
    </row>
    <row r="4987" spans="1:8" x14ac:dyDescent="0.25">
      <c r="A4987" s="1"/>
      <c r="B4987" s="1" t="s">
        <v>4148</v>
      </c>
      <c r="C4987" s="1" t="s">
        <v>4149</v>
      </c>
      <c r="D4987" s="22" t="str">
        <f>HYPERLINK("https://rhld.insurance.arkansas.gov/NPILookup?Npi=1548471071","1548471071")</f>
        <v>1548471071</v>
      </c>
      <c r="E4987" s="1" t="s">
        <v>17082</v>
      </c>
      <c r="F4987" s="2"/>
      <c r="G4987" s="2"/>
      <c r="H4987" s="2"/>
    </row>
    <row r="4988" spans="1:8" x14ac:dyDescent="0.25">
      <c r="A4988" s="1"/>
      <c r="B4988" s="1" t="s">
        <v>4148</v>
      </c>
      <c r="C4988" s="1" t="s">
        <v>4149</v>
      </c>
      <c r="D4988" s="22" t="str">
        <f>HYPERLINK("https://rhld.insurance.arkansas.gov/NPILookup?Npi=1558304600","1558304600")</f>
        <v>1558304600</v>
      </c>
      <c r="E4988" s="1" t="s">
        <v>10177</v>
      </c>
      <c r="F4988" s="2"/>
      <c r="G4988" s="2"/>
      <c r="H4988" s="2"/>
    </row>
    <row r="4989" spans="1:8" x14ac:dyDescent="0.25">
      <c r="A4989" s="1"/>
      <c r="B4989" s="1" t="s">
        <v>4148</v>
      </c>
      <c r="C4989" s="1" t="s">
        <v>4149</v>
      </c>
      <c r="D4989" s="22" t="str">
        <f>HYPERLINK("https://rhld.insurance.arkansas.gov/NPILookup?Npi=1558356360","1558356360")</f>
        <v>1558356360</v>
      </c>
      <c r="E4989" s="1" t="s">
        <v>4176</v>
      </c>
      <c r="F4989" s="2"/>
      <c r="G4989" s="2"/>
      <c r="H4989" s="2"/>
    </row>
    <row r="4990" spans="1:8" x14ac:dyDescent="0.25">
      <c r="A4990" s="1"/>
      <c r="B4990" s="1" t="s">
        <v>4148</v>
      </c>
      <c r="C4990" s="1" t="s">
        <v>4149</v>
      </c>
      <c r="D4990" s="22" t="str">
        <f>HYPERLINK("https://rhld.insurance.arkansas.gov/NPILookup?Npi=1558361345","1558361345")</f>
        <v>1558361345</v>
      </c>
      <c r="E4990" s="1" t="s">
        <v>10178</v>
      </c>
      <c r="F4990" s="2"/>
      <c r="G4990" s="2"/>
      <c r="H4990" s="2"/>
    </row>
    <row r="4991" spans="1:8" x14ac:dyDescent="0.25">
      <c r="A4991" s="1"/>
      <c r="B4991" s="1" t="s">
        <v>4148</v>
      </c>
      <c r="C4991" s="1" t="s">
        <v>4149</v>
      </c>
      <c r="D4991" s="22" t="str">
        <f>HYPERLINK("https://rhld.insurance.arkansas.gov/NPILookup?Npi=1558367763","1558367763")</f>
        <v>1558367763</v>
      </c>
      <c r="E4991" s="1" t="s">
        <v>17083</v>
      </c>
      <c r="F4991" s="2"/>
      <c r="G4991" s="2"/>
      <c r="H4991" s="2"/>
    </row>
    <row r="4992" spans="1:8" x14ac:dyDescent="0.25">
      <c r="A4992" s="1"/>
      <c r="B4992" s="1" t="s">
        <v>4148</v>
      </c>
      <c r="C4992" s="1" t="s">
        <v>4149</v>
      </c>
      <c r="D4992" s="22" t="str">
        <f>HYPERLINK("https://rhld.insurance.arkansas.gov/NPILookup?Npi=1578068425","1578068425")</f>
        <v>1578068425</v>
      </c>
      <c r="E4992" s="1" t="s">
        <v>17084</v>
      </c>
      <c r="F4992" s="2"/>
      <c r="G4992" s="2"/>
      <c r="H4992" s="2"/>
    </row>
    <row r="4993" spans="1:8" x14ac:dyDescent="0.25">
      <c r="A4993" s="1"/>
      <c r="B4993" s="1" t="s">
        <v>4148</v>
      </c>
      <c r="C4993" s="1" t="s">
        <v>4149</v>
      </c>
      <c r="D4993" s="22" t="str">
        <f>HYPERLINK("https://rhld.insurance.arkansas.gov/NPILookup?Npi=1578506218","1578506218")</f>
        <v>1578506218</v>
      </c>
      <c r="E4993" s="1" t="s">
        <v>17085</v>
      </c>
      <c r="F4993" s="2"/>
      <c r="G4993" s="2"/>
      <c r="H4993" s="2"/>
    </row>
    <row r="4994" spans="1:8" x14ac:dyDescent="0.25">
      <c r="A4994" s="1"/>
      <c r="B4994" s="1" t="s">
        <v>4148</v>
      </c>
      <c r="C4994" s="1" t="s">
        <v>4149</v>
      </c>
      <c r="D4994" s="22" t="str">
        <f>HYPERLINK("https://rhld.insurance.arkansas.gov/NPILookup?Npi=1578852455","1578852455")</f>
        <v>1578852455</v>
      </c>
      <c r="E4994" s="1" t="s">
        <v>17086</v>
      </c>
      <c r="F4994" s="2"/>
      <c r="G4994" s="2"/>
      <c r="H4994" s="2"/>
    </row>
    <row r="4995" spans="1:8" x14ac:dyDescent="0.25">
      <c r="A4995" s="1"/>
      <c r="B4995" s="1" t="s">
        <v>4148</v>
      </c>
      <c r="C4995" s="1" t="s">
        <v>4149</v>
      </c>
      <c r="D4995" s="22" t="str">
        <f>HYPERLINK("https://rhld.insurance.arkansas.gov/NPILookup?Npi=1578958716","1578958716")</f>
        <v>1578958716</v>
      </c>
      <c r="E4995" s="1" t="s">
        <v>17087</v>
      </c>
      <c r="F4995" s="2"/>
      <c r="G4995" s="2"/>
      <c r="H4995" s="2"/>
    </row>
    <row r="4996" spans="1:8" x14ac:dyDescent="0.25">
      <c r="A4996" s="1"/>
      <c r="B4996" s="1" t="s">
        <v>4148</v>
      </c>
      <c r="C4996" s="1" t="s">
        <v>4149</v>
      </c>
      <c r="D4996" s="22" t="str">
        <f>HYPERLINK("https://rhld.insurance.arkansas.gov/NPILookup?Npi=1588643563","1588643563")</f>
        <v>1588643563</v>
      </c>
      <c r="E4996" s="1" t="s">
        <v>17088</v>
      </c>
      <c r="F4996" s="2"/>
      <c r="G4996" s="2"/>
      <c r="H4996" s="2"/>
    </row>
    <row r="4997" spans="1:8" x14ac:dyDescent="0.25">
      <c r="A4997" s="1"/>
      <c r="B4997" s="1" t="s">
        <v>4148</v>
      </c>
      <c r="C4997" s="1" t="s">
        <v>4149</v>
      </c>
      <c r="D4997" s="22" t="str">
        <f>HYPERLINK("https://rhld.insurance.arkansas.gov/NPILookup?Npi=1609998582","1609998582")</f>
        <v>1609998582</v>
      </c>
      <c r="E4997" s="1" t="s">
        <v>17089</v>
      </c>
      <c r="F4997" s="2"/>
      <c r="G4997" s="2"/>
      <c r="H4997" s="2"/>
    </row>
    <row r="4998" spans="1:8" x14ac:dyDescent="0.25">
      <c r="A4998" s="1"/>
      <c r="B4998" s="1" t="s">
        <v>4148</v>
      </c>
      <c r="C4998" s="1" t="s">
        <v>4149</v>
      </c>
      <c r="D4998" s="22" t="str">
        <f>HYPERLINK("https://rhld.insurance.arkansas.gov/NPILookup?Npi=1619313756","1619313756")</f>
        <v>1619313756</v>
      </c>
      <c r="E4998" s="1" t="s">
        <v>10179</v>
      </c>
      <c r="F4998" s="2"/>
      <c r="G4998" s="2"/>
      <c r="H4998" s="2"/>
    </row>
    <row r="4999" spans="1:8" x14ac:dyDescent="0.25">
      <c r="A4999" s="1"/>
      <c r="B4999" s="1" t="s">
        <v>4148</v>
      </c>
      <c r="C4999" s="1" t="s">
        <v>4149</v>
      </c>
      <c r="D4999" s="22" t="str">
        <f>HYPERLINK("https://rhld.insurance.arkansas.gov/NPILookup?Npi=1629140223","1629140223")</f>
        <v>1629140223</v>
      </c>
      <c r="E4999" s="1" t="s">
        <v>17090</v>
      </c>
      <c r="F4999" s="2"/>
      <c r="G4999" s="2"/>
      <c r="H4999" s="2"/>
    </row>
    <row r="5000" spans="1:8" x14ac:dyDescent="0.25">
      <c r="A5000" s="1"/>
      <c r="B5000" s="1" t="s">
        <v>4148</v>
      </c>
      <c r="C5000" s="1" t="s">
        <v>4149</v>
      </c>
      <c r="D5000" s="22" t="str">
        <f>HYPERLINK("https://rhld.insurance.arkansas.gov/NPILookup?Npi=1629422571","1629422571")</f>
        <v>1629422571</v>
      </c>
      <c r="E5000" s="1" t="s">
        <v>10180</v>
      </c>
      <c r="F5000" s="2"/>
      <c r="G5000" s="2"/>
      <c r="H5000" s="2"/>
    </row>
    <row r="5001" spans="1:8" x14ac:dyDescent="0.25">
      <c r="A5001" s="1"/>
      <c r="B5001" s="1" t="s">
        <v>4148</v>
      </c>
      <c r="C5001" s="1" t="s">
        <v>4149</v>
      </c>
      <c r="D5001" s="22" t="str">
        <f>HYPERLINK("https://rhld.insurance.arkansas.gov/NPILookup?Npi=1629497185","1629497185")</f>
        <v>1629497185</v>
      </c>
      <c r="E5001" s="1" t="s">
        <v>17091</v>
      </c>
      <c r="F5001" s="2"/>
      <c r="G5001" s="2"/>
      <c r="H5001" s="2"/>
    </row>
    <row r="5002" spans="1:8" x14ac:dyDescent="0.25">
      <c r="A5002" s="1"/>
      <c r="B5002" s="1" t="s">
        <v>4148</v>
      </c>
      <c r="C5002" s="1" t="s">
        <v>4149</v>
      </c>
      <c r="D5002" s="22" t="str">
        <f>HYPERLINK("https://rhld.insurance.arkansas.gov/NPILookup?Npi=1639390701","1639390701")</f>
        <v>1639390701</v>
      </c>
      <c r="E5002" s="1" t="s">
        <v>4177</v>
      </c>
      <c r="F5002" s="2"/>
      <c r="G5002" s="2"/>
      <c r="H5002" s="2"/>
    </row>
    <row r="5003" spans="1:8" x14ac:dyDescent="0.25">
      <c r="A5003" s="1"/>
      <c r="B5003" s="1" t="s">
        <v>4148</v>
      </c>
      <c r="C5003" s="1" t="s">
        <v>4149</v>
      </c>
      <c r="D5003" s="22" t="str">
        <f>HYPERLINK("https://rhld.insurance.arkansas.gov/NPILookup?Npi=1649493123","1649493123")</f>
        <v>1649493123</v>
      </c>
      <c r="E5003" s="1" t="s">
        <v>4178</v>
      </c>
      <c r="F5003" s="2"/>
      <c r="G5003" s="2"/>
      <c r="H5003" s="2"/>
    </row>
    <row r="5004" spans="1:8" x14ac:dyDescent="0.25">
      <c r="A5004" s="1"/>
      <c r="B5004" s="1" t="s">
        <v>4148</v>
      </c>
      <c r="C5004" s="1" t="s">
        <v>4149</v>
      </c>
      <c r="D5004" s="22" t="str">
        <f>HYPERLINK("https://rhld.insurance.arkansas.gov/NPILookup?Npi=1659303444","1659303444")</f>
        <v>1659303444</v>
      </c>
      <c r="E5004" s="1" t="s">
        <v>10181</v>
      </c>
      <c r="F5004" s="2"/>
      <c r="G5004" s="2"/>
      <c r="H5004" s="2"/>
    </row>
    <row r="5005" spans="1:8" x14ac:dyDescent="0.25">
      <c r="A5005" s="1"/>
      <c r="B5005" s="1" t="s">
        <v>4148</v>
      </c>
      <c r="C5005" s="1" t="s">
        <v>4149</v>
      </c>
      <c r="D5005" s="22" t="str">
        <f>HYPERLINK("https://rhld.insurance.arkansas.gov/NPILookup?Npi=1659360352","1659360352")</f>
        <v>1659360352</v>
      </c>
      <c r="E5005" s="1" t="s">
        <v>4179</v>
      </c>
      <c r="F5005" s="2"/>
      <c r="G5005" s="2"/>
      <c r="H5005" s="2"/>
    </row>
    <row r="5006" spans="1:8" x14ac:dyDescent="0.25">
      <c r="A5006" s="1"/>
      <c r="B5006" s="1" t="s">
        <v>4148</v>
      </c>
      <c r="C5006" s="1" t="s">
        <v>4149</v>
      </c>
      <c r="D5006" s="22" t="str">
        <f>HYPERLINK("https://rhld.insurance.arkansas.gov/NPILookup?Npi=1669823357","1669823357")</f>
        <v>1669823357</v>
      </c>
      <c r="E5006" s="1" t="s">
        <v>17092</v>
      </c>
      <c r="F5006" s="2"/>
      <c r="G5006" s="2"/>
      <c r="H5006" s="2"/>
    </row>
    <row r="5007" spans="1:8" x14ac:dyDescent="0.25">
      <c r="A5007" s="1"/>
      <c r="B5007" s="1" t="s">
        <v>4148</v>
      </c>
      <c r="C5007" s="1" t="s">
        <v>4149</v>
      </c>
      <c r="D5007" s="22" t="str">
        <f>HYPERLINK("https://rhld.insurance.arkansas.gov/NPILookup?Npi=1679006522","1679006522")</f>
        <v>1679006522</v>
      </c>
      <c r="E5007" s="1" t="s">
        <v>4180</v>
      </c>
      <c r="F5007" s="2"/>
      <c r="G5007" s="2"/>
      <c r="H5007" s="2"/>
    </row>
    <row r="5008" spans="1:8" x14ac:dyDescent="0.25">
      <c r="A5008" s="1"/>
      <c r="B5008" s="1" t="s">
        <v>4148</v>
      </c>
      <c r="C5008" s="1" t="s">
        <v>4149</v>
      </c>
      <c r="D5008" s="22" t="str">
        <f>HYPERLINK("https://rhld.insurance.arkansas.gov/NPILookup?Npi=1679521405","1679521405")</f>
        <v>1679521405</v>
      </c>
      <c r="E5008" s="1" t="s">
        <v>4181</v>
      </c>
      <c r="F5008" s="2"/>
      <c r="G5008" s="2"/>
      <c r="H5008" s="2"/>
    </row>
    <row r="5009" spans="1:8" x14ac:dyDescent="0.25">
      <c r="A5009" s="1"/>
      <c r="B5009" s="1" t="s">
        <v>4148</v>
      </c>
      <c r="C5009" s="1" t="s">
        <v>4149</v>
      </c>
      <c r="D5009" s="22" t="str">
        <f>HYPERLINK("https://rhld.insurance.arkansas.gov/NPILookup?Npi=1679682520","1679682520")</f>
        <v>1679682520</v>
      </c>
      <c r="E5009" s="1" t="s">
        <v>10182</v>
      </c>
      <c r="F5009" s="2"/>
      <c r="G5009" s="2"/>
      <c r="H5009" s="2"/>
    </row>
    <row r="5010" spans="1:8" x14ac:dyDescent="0.25">
      <c r="A5010" s="1"/>
      <c r="B5010" s="1" t="s">
        <v>4148</v>
      </c>
      <c r="C5010" s="1" t="s">
        <v>4149</v>
      </c>
      <c r="D5010" s="22" t="str">
        <f>HYPERLINK("https://rhld.insurance.arkansas.gov/NPILookup?Npi=1679937999","1679937999")</f>
        <v>1679937999</v>
      </c>
      <c r="E5010" s="1" t="s">
        <v>10183</v>
      </c>
      <c r="F5010" s="2"/>
      <c r="G5010" s="2"/>
      <c r="H5010" s="2"/>
    </row>
    <row r="5011" spans="1:8" x14ac:dyDescent="0.25">
      <c r="A5011" s="1"/>
      <c r="B5011" s="1" t="s">
        <v>4148</v>
      </c>
      <c r="C5011" s="1" t="s">
        <v>4149</v>
      </c>
      <c r="D5011" s="22" t="str">
        <f>HYPERLINK("https://rhld.insurance.arkansas.gov/NPILookup?Npi=1699119719","1699119719")</f>
        <v>1699119719</v>
      </c>
      <c r="E5011" s="1" t="s">
        <v>4182</v>
      </c>
      <c r="F5011" s="2"/>
      <c r="G5011" s="2"/>
      <c r="H5011" s="2"/>
    </row>
    <row r="5012" spans="1:8" x14ac:dyDescent="0.25">
      <c r="A5012" s="1"/>
      <c r="B5012" s="1" t="s">
        <v>4148</v>
      </c>
      <c r="C5012" s="1" t="s">
        <v>4149</v>
      </c>
      <c r="D5012" s="22" t="str">
        <f>HYPERLINK("https://rhld.insurance.arkansas.gov/NPILookup?Npi=1699122507","1699122507")</f>
        <v>1699122507</v>
      </c>
      <c r="E5012" s="1" t="s">
        <v>17093</v>
      </c>
      <c r="F5012" s="2"/>
      <c r="G5012" s="2"/>
      <c r="H5012" s="2"/>
    </row>
    <row r="5013" spans="1:8" x14ac:dyDescent="0.25">
      <c r="A5013" s="1"/>
      <c r="B5013" s="1" t="s">
        <v>4148</v>
      </c>
      <c r="C5013" s="1" t="s">
        <v>4149</v>
      </c>
      <c r="D5013" s="22" t="str">
        <f>HYPERLINK("https://rhld.insurance.arkansas.gov/NPILookup?Npi=1699124768","1699124768")</f>
        <v>1699124768</v>
      </c>
      <c r="E5013" s="1" t="s">
        <v>17094</v>
      </c>
      <c r="F5013" s="2"/>
      <c r="G5013" s="2"/>
      <c r="H5013" s="2"/>
    </row>
    <row r="5014" spans="1:8" x14ac:dyDescent="0.25">
      <c r="A5014" s="1"/>
      <c r="B5014" s="1" t="s">
        <v>4148</v>
      </c>
      <c r="C5014" s="1" t="s">
        <v>4149</v>
      </c>
      <c r="D5014" s="22" t="str">
        <f>HYPERLINK("https://rhld.insurance.arkansas.gov/NPILookup?Npi=1699711978","1699711978")</f>
        <v>1699711978</v>
      </c>
      <c r="E5014" s="1" t="s">
        <v>10184</v>
      </c>
      <c r="F5014" s="2"/>
      <c r="G5014" s="2"/>
      <c r="H5014" s="2"/>
    </row>
    <row r="5015" spans="1:8" x14ac:dyDescent="0.25">
      <c r="A5015" s="1"/>
      <c r="B5015" s="1" t="s">
        <v>4148</v>
      </c>
      <c r="C5015" s="1" t="s">
        <v>4149</v>
      </c>
      <c r="D5015" s="22" t="str">
        <f>HYPERLINK("https://rhld.insurance.arkansas.gov/NPILookup?Npi=1699746370","1699746370")</f>
        <v>1699746370</v>
      </c>
      <c r="E5015" s="1" t="s">
        <v>4183</v>
      </c>
      <c r="F5015" s="2"/>
      <c r="G5015" s="2"/>
      <c r="H5015" s="2"/>
    </row>
    <row r="5016" spans="1:8" x14ac:dyDescent="0.25">
      <c r="A5016" s="1"/>
      <c r="B5016" s="1" t="s">
        <v>4148</v>
      </c>
      <c r="C5016" s="1" t="s">
        <v>4149</v>
      </c>
      <c r="D5016" s="22" t="str">
        <f>HYPERLINK("https://rhld.insurance.arkansas.gov/NPILookup?Npi=1699804138","1699804138")</f>
        <v>1699804138</v>
      </c>
      <c r="E5016" s="1" t="s">
        <v>4184</v>
      </c>
      <c r="F5016" s="2"/>
      <c r="G5016" s="2"/>
      <c r="H5016" s="2"/>
    </row>
    <row r="5017" spans="1:8" x14ac:dyDescent="0.25">
      <c r="A5017" s="1"/>
      <c r="B5017" s="1" t="s">
        <v>4148</v>
      </c>
      <c r="C5017" s="1" t="s">
        <v>4149</v>
      </c>
      <c r="D5017" s="22" t="str">
        <f>HYPERLINK("https://rhld.insurance.arkansas.gov/NPILookup?Npi=1699948901","1699948901")</f>
        <v>1699948901</v>
      </c>
      <c r="E5017" s="1" t="s">
        <v>4185</v>
      </c>
      <c r="F5017" s="2"/>
      <c r="G5017" s="2"/>
      <c r="H5017" s="2"/>
    </row>
    <row r="5018" spans="1:8" x14ac:dyDescent="0.25">
      <c r="A5018" s="1"/>
      <c r="B5018" s="1" t="s">
        <v>4148</v>
      </c>
      <c r="C5018" s="1" t="s">
        <v>4149</v>
      </c>
      <c r="D5018" s="22" t="str">
        <f>HYPERLINK("https://rhld.insurance.arkansas.gov/NPILookup?Npi=1700853520","1700853520")</f>
        <v>1700853520</v>
      </c>
      <c r="E5018" s="1" t="s">
        <v>4186</v>
      </c>
      <c r="F5018" s="2"/>
      <c r="G5018" s="2"/>
      <c r="H5018" s="2"/>
    </row>
    <row r="5019" spans="1:8" x14ac:dyDescent="0.25">
      <c r="A5019" s="1"/>
      <c r="B5019" s="1" t="s">
        <v>4148</v>
      </c>
      <c r="C5019" s="1" t="s">
        <v>4149</v>
      </c>
      <c r="D5019" s="22" t="str">
        <f>HYPERLINK("https://rhld.insurance.arkansas.gov/NPILookup?Npi=1710229141","1710229141")</f>
        <v>1710229141</v>
      </c>
      <c r="E5019" s="1" t="s">
        <v>17095</v>
      </c>
      <c r="F5019" s="2"/>
      <c r="G5019" s="2"/>
      <c r="H5019" s="2"/>
    </row>
    <row r="5020" spans="1:8" x14ac:dyDescent="0.25">
      <c r="A5020" s="1"/>
      <c r="B5020" s="1" t="s">
        <v>4148</v>
      </c>
      <c r="C5020" s="1" t="s">
        <v>4149</v>
      </c>
      <c r="D5020" s="22" t="str">
        <f>HYPERLINK("https://rhld.insurance.arkansas.gov/NPILookup?Npi=1720333990","1720333990")</f>
        <v>1720333990</v>
      </c>
      <c r="E5020" s="1" t="s">
        <v>17096</v>
      </c>
      <c r="F5020" s="2"/>
      <c r="G5020" s="2"/>
      <c r="H5020" s="2"/>
    </row>
    <row r="5021" spans="1:8" x14ac:dyDescent="0.25">
      <c r="A5021" s="1"/>
      <c r="B5021" s="1" t="s">
        <v>4148</v>
      </c>
      <c r="C5021" s="1" t="s">
        <v>4149</v>
      </c>
      <c r="D5021" s="22" t="str">
        <f>HYPERLINK("https://rhld.insurance.arkansas.gov/NPILookup?Npi=1740415777","1740415777")</f>
        <v>1740415777</v>
      </c>
      <c r="E5021" s="1" t="s">
        <v>17097</v>
      </c>
      <c r="F5021" s="2"/>
      <c r="G5021" s="2"/>
      <c r="H5021" s="2"/>
    </row>
    <row r="5022" spans="1:8" x14ac:dyDescent="0.25">
      <c r="A5022" s="1"/>
      <c r="B5022" s="1" t="s">
        <v>4148</v>
      </c>
      <c r="C5022" s="1" t="s">
        <v>4149</v>
      </c>
      <c r="D5022" s="22" t="str">
        <f>HYPERLINK("https://rhld.insurance.arkansas.gov/NPILookup?Npi=1740741024","1740741024")</f>
        <v>1740741024</v>
      </c>
      <c r="E5022" s="1" t="s">
        <v>4187</v>
      </c>
      <c r="F5022" s="2"/>
      <c r="G5022" s="2"/>
      <c r="H5022" s="2"/>
    </row>
    <row r="5023" spans="1:8" x14ac:dyDescent="0.25">
      <c r="A5023" s="1"/>
      <c r="B5023" s="1" t="s">
        <v>4148</v>
      </c>
      <c r="C5023" s="1" t="s">
        <v>4149</v>
      </c>
      <c r="D5023" s="22" t="str">
        <f>HYPERLINK("https://rhld.insurance.arkansas.gov/NPILookup?Npi=1750359543","1750359543")</f>
        <v>1750359543</v>
      </c>
      <c r="E5023" s="1" t="s">
        <v>17098</v>
      </c>
      <c r="F5023" s="2"/>
      <c r="G5023" s="2"/>
      <c r="H5023" s="2"/>
    </row>
    <row r="5024" spans="1:8" x14ac:dyDescent="0.25">
      <c r="A5024" s="1"/>
      <c r="B5024" s="1" t="s">
        <v>4148</v>
      </c>
      <c r="C5024" s="1" t="s">
        <v>4149</v>
      </c>
      <c r="D5024" s="22" t="str">
        <f>HYPERLINK("https://rhld.insurance.arkansas.gov/NPILookup?Npi=1760429039","1760429039")</f>
        <v>1760429039</v>
      </c>
      <c r="E5024" s="1" t="s">
        <v>10185</v>
      </c>
      <c r="F5024" s="2"/>
      <c r="G5024" s="2"/>
      <c r="H5024" s="2"/>
    </row>
    <row r="5025" spans="1:8" x14ac:dyDescent="0.25">
      <c r="A5025" s="1"/>
      <c r="B5025" s="1" t="s">
        <v>4148</v>
      </c>
      <c r="C5025" s="1" t="s">
        <v>4149</v>
      </c>
      <c r="D5025" s="22" t="str">
        <f>HYPERLINK("https://rhld.insurance.arkansas.gov/NPILookup?Npi=1760459069","1760459069")</f>
        <v>1760459069</v>
      </c>
      <c r="E5025" s="1" t="s">
        <v>17099</v>
      </c>
      <c r="F5025" s="2"/>
      <c r="G5025" s="2"/>
      <c r="H5025" s="2"/>
    </row>
    <row r="5026" spans="1:8" x14ac:dyDescent="0.25">
      <c r="A5026" s="1"/>
      <c r="B5026" s="1" t="s">
        <v>4148</v>
      </c>
      <c r="C5026" s="1" t="s">
        <v>4149</v>
      </c>
      <c r="D5026" s="22" t="str">
        <f>HYPERLINK("https://rhld.insurance.arkansas.gov/NPILookup?Npi=1760476378","1760476378")</f>
        <v>1760476378</v>
      </c>
      <c r="E5026" s="1" t="s">
        <v>17100</v>
      </c>
      <c r="F5026" s="2"/>
      <c r="G5026" s="2"/>
      <c r="H5026" s="2"/>
    </row>
    <row r="5027" spans="1:8" x14ac:dyDescent="0.25">
      <c r="A5027" s="1"/>
      <c r="B5027" s="1" t="s">
        <v>4148</v>
      </c>
      <c r="C5027" s="1" t="s">
        <v>4149</v>
      </c>
      <c r="D5027" s="22" t="str">
        <f>HYPERLINK("https://rhld.insurance.arkansas.gov/NPILookup?Npi=1770550659","1770550659")</f>
        <v>1770550659</v>
      </c>
      <c r="E5027" s="1" t="s">
        <v>17101</v>
      </c>
      <c r="F5027" s="2"/>
      <c r="G5027" s="2"/>
      <c r="H5027" s="2"/>
    </row>
    <row r="5028" spans="1:8" x14ac:dyDescent="0.25">
      <c r="A5028" s="1"/>
      <c r="B5028" s="1" t="s">
        <v>4148</v>
      </c>
      <c r="C5028" s="1" t="s">
        <v>4149</v>
      </c>
      <c r="D5028" s="22" t="str">
        <f>HYPERLINK("https://rhld.insurance.arkansas.gov/NPILookup?Npi=1770781650","1770781650")</f>
        <v>1770781650</v>
      </c>
      <c r="E5028" s="1" t="s">
        <v>10186</v>
      </c>
      <c r="F5028" s="2"/>
      <c r="G5028" s="2"/>
      <c r="H5028" s="2"/>
    </row>
    <row r="5029" spans="1:8" x14ac:dyDescent="0.25">
      <c r="A5029" s="1"/>
      <c r="B5029" s="1" t="s">
        <v>4148</v>
      </c>
      <c r="C5029" s="1" t="s">
        <v>4149</v>
      </c>
      <c r="D5029" s="22" t="str">
        <f>HYPERLINK("https://rhld.insurance.arkansas.gov/NPILookup?Npi=1790751444","1790751444")</f>
        <v>1790751444</v>
      </c>
      <c r="E5029" s="1" t="s">
        <v>17102</v>
      </c>
      <c r="F5029" s="2"/>
      <c r="G5029" s="2"/>
      <c r="H5029" s="2"/>
    </row>
    <row r="5030" spans="1:8" x14ac:dyDescent="0.25">
      <c r="A5030" s="1"/>
      <c r="B5030" s="1" t="s">
        <v>4148</v>
      </c>
      <c r="C5030" s="1" t="s">
        <v>4149</v>
      </c>
      <c r="D5030" s="22" t="str">
        <f>HYPERLINK("https://rhld.insurance.arkansas.gov/NPILookup?Npi=1790855518","1790855518")</f>
        <v>1790855518</v>
      </c>
      <c r="E5030" s="1" t="s">
        <v>17103</v>
      </c>
      <c r="F5030" s="2"/>
      <c r="G5030" s="2"/>
      <c r="H5030" s="2"/>
    </row>
    <row r="5031" spans="1:8" x14ac:dyDescent="0.25">
      <c r="A5031" s="1"/>
      <c r="B5031" s="1" t="s">
        <v>4148</v>
      </c>
      <c r="C5031" s="1" t="s">
        <v>4149</v>
      </c>
      <c r="D5031" s="22" t="str">
        <f>HYPERLINK("https://rhld.insurance.arkansas.gov/NPILookup?Npi=1801242292","1801242292")</f>
        <v>1801242292</v>
      </c>
      <c r="E5031" s="1" t="s">
        <v>4188</v>
      </c>
      <c r="F5031" s="2"/>
      <c r="G5031" s="2"/>
      <c r="H5031" s="2"/>
    </row>
    <row r="5032" spans="1:8" x14ac:dyDescent="0.25">
      <c r="A5032" s="1"/>
      <c r="B5032" s="1" t="s">
        <v>4148</v>
      </c>
      <c r="C5032" s="1" t="s">
        <v>4149</v>
      </c>
      <c r="D5032" s="22" t="str">
        <f>HYPERLINK("https://rhld.insurance.arkansas.gov/NPILookup?Npi=1801355862","1801355862")</f>
        <v>1801355862</v>
      </c>
      <c r="E5032" s="1" t="s">
        <v>17104</v>
      </c>
      <c r="F5032" s="2"/>
      <c r="G5032" s="2"/>
      <c r="H5032" s="2"/>
    </row>
    <row r="5033" spans="1:8" x14ac:dyDescent="0.25">
      <c r="A5033" s="1"/>
      <c r="B5033" s="1" t="s">
        <v>4148</v>
      </c>
      <c r="C5033" s="1" t="s">
        <v>4149</v>
      </c>
      <c r="D5033" s="22" t="str">
        <f>HYPERLINK("https://rhld.insurance.arkansas.gov/NPILookup?Npi=1801885629","1801885629")</f>
        <v>1801885629</v>
      </c>
      <c r="E5033" s="1" t="s">
        <v>10187</v>
      </c>
      <c r="F5033" s="2"/>
      <c r="G5033" s="2"/>
      <c r="H5033" s="2"/>
    </row>
    <row r="5034" spans="1:8" x14ac:dyDescent="0.25">
      <c r="A5034" s="1"/>
      <c r="B5034" s="1" t="s">
        <v>4148</v>
      </c>
      <c r="C5034" s="1" t="s">
        <v>4149</v>
      </c>
      <c r="D5034" s="22" t="str">
        <f>HYPERLINK("https://rhld.insurance.arkansas.gov/NPILookup?Npi=1801973870","1801973870")</f>
        <v>1801973870</v>
      </c>
      <c r="E5034" s="1" t="s">
        <v>4189</v>
      </c>
      <c r="F5034" s="2"/>
      <c r="G5034" s="2"/>
      <c r="H5034" s="2"/>
    </row>
    <row r="5035" spans="1:8" x14ac:dyDescent="0.25">
      <c r="A5035" s="1"/>
      <c r="B5035" s="1" t="s">
        <v>4148</v>
      </c>
      <c r="C5035" s="1" t="s">
        <v>4149</v>
      </c>
      <c r="D5035" s="22" t="str">
        <f>HYPERLINK("https://rhld.insurance.arkansas.gov/NPILookup?Npi=1811304009","1811304009")</f>
        <v>1811304009</v>
      </c>
      <c r="E5035" s="1" t="s">
        <v>17105</v>
      </c>
      <c r="F5035" s="2"/>
      <c r="G5035" s="2"/>
      <c r="H5035" s="2"/>
    </row>
    <row r="5036" spans="1:8" x14ac:dyDescent="0.25">
      <c r="A5036" s="1"/>
      <c r="B5036" s="1" t="s">
        <v>4148</v>
      </c>
      <c r="C5036" s="1" t="s">
        <v>4149</v>
      </c>
      <c r="D5036" s="22" t="str">
        <f>HYPERLINK("https://rhld.insurance.arkansas.gov/NPILookup?Npi=1821085887","1821085887")</f>
        <v>1821085887</v>
      </c>
      <c r="E5036" s="1" t="s">
        <v>17106</v>
      </c>
      <c r="F5036" s="2"/>
      <c r="G5036" s="2"/>
      <c r="H5036" s="2"/>
    </row>
    <row r="5037" spans="1:8" x14ac:dyDescent="0.25">
      <c r="A5037" s="1"/>
      <c r="B5037" s="1" t="s">
        <v>4148</v>
      </c>
      <c r="C5037" s="1" t="s">
        <v>4149</v>
      </c>
      <c r="D5037" s="22" t="str">
        <f>HYPERLINK("https://rhld.insurance.arkansas.gov/NPILookup?Npi=1831199884","1831199884")</f>
        <v>1831199884</v>
      </c>
      <c r="E5037" s="1" t="s">
        <v>4190</v>
      </c>
      <c r="F5037" s="2"/>
      <c r="G5037" s="2"/>
      <c r="H5037" s="2"/>
    </row>
    <row r="5038" spans="1:8" x14ac:dyDescent="0.25">
      <c r="A5038" s="1"/>
      <c r="B5038" s="1" t="s">
        <v>4148</v>
      </c>
      <c r="C5038" s="1" t="s">
        <v>4149</v>
      </c>
      <c r="D5038" s="22" t="str">
        <f>HYPERLINK("https://rhld.insurance.arkansas.gov/NPILookup?Npi=1851317465","1851317465")</f>
        <v>1851317465</v>
      </c>
      <c r="E5038" s="1" t="s">
        <v>10188</v>
      </c>
      <c r="F5038" s="2"/>
      <c r="G5038" s="2"/>
      <c r="H5038" s="2"/>
    </row>
    <row r="5039" spans="1:8" x14ac:dyDescent="0.25">
      <c r="A5039" s="1"/>
      <c r="B5039" s="1" t="s">
        <v>4148</v>
      </c>
      <c r="C5039" s="1" t="s">
        <v>4149</v>
      </c>
      <c r="D5039" s="22" t="str">
        <f>HYPERLINK("https://rhld.insurance.arkansas.gov/NPILookup?Npi=1851370829","1851370829")</f>
        <v>1851370829</v>
      </c>
      <c r="E5039" s="1" t="s">
        <v>17107</v>
      </c>
      <c r="F5039" s="2"/>
      <c r="G5039" s="2"/>
      <c r="H5039" s="2"/>
    </row>
    <row r="5040" spans="1:8" x14ac:dyDescent="0.25">
      <c r="A5040" s="1"/>
      <c r="B5040" s="1" t="s">
        <v>4148</v>
      </c>
      <c r="C5040" s="1" t="s">
        <v>4149</v>
      </c>
      <c r="D5040" s="22" t="str">
        <f>HYPERLINK("https://rhld.insurance.arkansas.gov/NPILookup?Npi=1861791238","1861791238")</f>
        <v>1861791238</v>
      </c>
      <c r="E5040" s="1" t="s">
        <v>4191</v>
      </c>
      <c r="F5040" s="2"/>
      <c r="G5040" s="2"/>
      <c r="H5040" s="2"/>
    </row>
    <row r="5041" spans="1:8" x14ac:dyDescent="0.25">
      <c r="A5041" s="1"/>
      <c r="B5041" s="1" t="s">
        <v>4148</v>
      </c>
      <c r="C5041" s="1" t="s">
        <v>4149</v>
      </c>
      <c r="D5041" s="22" t="str">
        <f>HYPERLINK("https://rhld.insurance.arkansas.gov/NPILookup?Npi=1891882072","1891882072")</f>
        <v>1891882072</v>
      </c>
      <c r="E5041" s="1" t="s">
        <v>17108</v>
      </c>
      <c r="F5041" s="2"/>
      <c r="G5041" s="2"/>
      <c r="H5041" s="2"/>
    </row>
    <row r="5042" spans="1:8" x14ac:dyDescent="0.25">
      <c r="A5042" s="1"/>
      <c r="B5042" s="1" t="s">
        <v>4148</v>
      </c>
      <c r="C5042" s="1" t="s">
        <v>4149</v>
      </c>
      <c r="D5042" s="22" t="str">
        <f>HYPERLINK("https://rhld.insurance.arkansas.gov/NPILookup?Npi=1902069073","1902069073")</f>
        <v>1902069073</v>
      </c>
      <c r="E5042" s="1" t="s">
        <v>4193</v>
      </c>
      <c r="F5042" s="2"/>
      <c r="G5042" s="2"/>
      <c r="H5042" s="2"/>
    </row>
    <row r="5043" spans="1:8" x14ac:dyDescent="0.25">
      <c r="A5043" s="1"/>
      <c r="B5043" s="1" t="s">
        <v>4148</v>
      </c>
      <c r="C5043" s="1" t="s">
        <v>4149</v>
      </c>
      <c r="D5043" s="22" t="str">
        <f>HYPERLINK("https://rhld.insurance.arkansas.gov/NPILookup?Npi=1912125204","1912125204")</f>
        <v>1912125204</v>
      </c>
      <c r="E5043" s="1" t="s">
        <v>4194</v>
      </c>
      <c r="F5043" s="2"/>
      <c r="G5043" s="2"/>
      <c r="H5043" s="2"/>
    </row>
    <row r="5044" spans="1:8" x14ac:dyDescent="0.25">
      <c r="A5044" s="1"/>
      <c r="B5044" s="1" t="s">
        <v>4148</v>
      </c>
      <c r="C5044" s="1" t="s">
        <v>4149</v>
      </c>
      <c r="D5044" s="22" t="str">
        <f>HYPERLINK("https://rhld.insurance.arkansas.gov/NPILookup?Npi=1912173766","1912173766")</f>
        <v>1912173766</v>
      </c>
      <c r="E5044" s="1" t="s">
        <v>4195</v>
      </c>
      <c r="F5044" s="2"/>
      <c r="G5044" s="2"/>
      <c r="H5044" s="2"/>
    </row>
    <row r="5045" spans="1:8" x14ac:dyDescent="0.25">
      <c r="A5045" s="1"/>
      <c r="B5045" s="1" t="s">
        <v>4148</v>
      </c>
      <c r="C5045" s="1" t="s">
        <v>4149</v>
      </c>
      <c r="D5045" s="22" t="str">
        <f>HYPERLINK("https://rhld.insurance.arkansas.gov/NPILookup?Npi=1912439720","1912439720")</f>
        <v>1912439720</v>
      </c>
      <c r="E5045" s="1" t="s">
        <v>4196</v>
      </c>
      <c r="F5045" s="2"/>
      <c r="G5045" s="2"/>
      <c r="H5045" s="2"/>
    </row>
    <row r="5046" spans="1:8" x14ac:dyDescent="0.25">
      <c r="A5046" s="1"/>
      <c r="B5046" s="1" t="s">
        <v>4148</v>
      </c>
      <c r="C5046" s="1" t="s">
        <v>4149</v>
      </c>
      <c r="D5046" s="22" t="str">
        <f>HYPERLINK("https://rhld.insurance.arkansas.gov/NPILookup?Npi=1912992843","1912992843")</f>
        <v>1912992843</v>
      </c>
      <c r="E5046" s="1" t="s">
        <v>471</v>
      </c>
      <c r="F5046" s="2"/>
      <c r="G5046" s="2"/>
      <c r="H5046" s="2"/>
    </row>
    <row r="5047" spans="1:8" x14ac:dyDescent="0.25">
      <c r="A5047" s="1"/>
      <c r="B5047" s="1" t="s">
        <v>4148</v>
      </c>
      <c r="C5047" s="1" t="s">
        <v>4149</v>
      </c>
      <c r="D5047" s="22" t="str">
        <f>HYPERLINK("https://rhld.insurance.arkansas.gov/NPILookup?Npi=1922065044","1922065044")</f>
        <v>1922065044</v>
      </c>
      <c r="E5047" s="1" t="s">
        <v>17109</v>
      </c>
      <c r="F5047" s="2"/>
      <c r="G5047" s="2"/>
      <c r="H5047" s="2"/>
    </row>
    <row r="5048" spans="1:8" x14ac:dyDescent="0.25">
      <c r="A5048" s="1"/>
      <c r="B5048" s="1" t="s">
        <v>4148</v>
      </c>
      <c r="C5048" s="1" t="s">
        <v>4149</v>
      </c>
      <c r="D5048" s="22" t="str">
        <f>HYPERLINK("https://rhld.insurance.arkansas.gov/NPILookup?Npi=1922398577","1922398577")</f>
        <v>1922398577</v>
      </c>
      <c r="E5048" s="1" t="s">
        <v>17110</v>
      </c>
      <c r="F5048" s="2"/>
      <c r="G5048" s="2"/>
      <c r="H5048" s="2"/>
    </row>
    <row r="5049" spans="1:8" x14ac:dyDescent="0.25">
      <c r="A5049" s="1"/>
      <c r="B5049" s="1" t="s">
        <v>4148</v>
      </c>
      <c r="C5049" s="1" t="s">
        <v>4149</v>
      </c>
      <c r="D5049" s="22" t="str">
        <f>HYPERLINK("https://rhld.insurance.arkansas.gov/NPILookup?Npi=1922452515","1922452515")</f>
        <v>1922452515</v>
      </c>
      <c r="E5049" s="1" t="s">
        <v>17111</v>
      </c>
      <c r="F5049" s="2"/>
      <c r="G5049" s="2"/>
      <c r="H5049" s="2"/>
    </row>
    <row r="5050" spans="1:8" x14ac:dyDescent="0.25">
      <c r="A5050" s="1"/>
      <c r="B5050" s="1" t="s">
        <v>4148</v>
      </c>
      <c r="C5050" s="1" t="s">
        <v>4149</v>
      </c>
      <c r="D5050" s="22" t="str">
        <f>HYPERLINK("https://rhld.insurance.arkansas.gov/NPILookup?Npi=1922539477","1922539477")</f>
        <v>1922539477</v>
      </c>
      <c r="E5050" s="1" t="s">
        <v>17112</v>
      </c>
      <c r="F5050" s="2"/>
      <c r="G5050" s="2"/>
      <c r="H5050" s="2"/>
    </row>
    <row r="5051" spans="1:8" x14ac:dyDescent="0.25">
      <c r="A5051" s="1"/>
      <c r="B5051" s="1" t="s">
        <v>4148</v>
      </c>
      <c r="C5051" s="1" t="s">
        <v>4149</v>
      </c>
      <c r="D5051" s="22" t="str">
        <f>HYPERLINK("https://rhld.insurance.arkansas.gov/NPILookup?Npi=1942731674","1942731674")</f>
        <v>1942731674</v>
      </c>
      <c r="E5051" s="1" t="s">
        <v>4197</v>
      </c>
      <c r="F5051" s="2"/>
      <c r="G5051" s="2"/>
      <c r="H5051" s="2"/>
    </row>
    <row r="5052" spans="1:8" x14ac:dyDescent="0.25">
      <c r="A5052" s="1"/>
      <c r="B5052" s="1" t="s">
        <v>4148</v>
      </c>
      <c r="C5052" s="1" t="s">
        <v>4149</v>
      </c>
      <c r="D5052" s="22" t="str">
        <f>HYPERLINK("https://rhld.insurance.arkansas.gov/NPILookup?Npi=1952326951","1952326951")</f>
        <v>1952326951</v>
      </c>
      <c r="E5052" s="1" t="s">
        <v>17113</v>
      </c>
      <c r="F5052" s="2"/>
      <c r="G5052" s="2"/>
      <c r="H5052" s="2"/>
    </row>
    <row r="5053" spans="1:8" x14ac:dyDescent="0.25">
      <c r="A5053" s="1"/>
      <c r="B5053" s="1" t="s">
        <v>4148</v>
      </c>
      <c r="C5053" s="1" t="s">
        <v>4149</v>
      </c>
      <c r="D5053" s="22" t="str">
        <f>HYPERLINK("https://rhld.insurance.arkansas.gov/NPILookup?Npi=1952362725","1952362725")</f>
        <v>1952362725</v>
      </c>
      <c r="E5053" s="1" t="s">
        <v>17114</v>
      </c>
      <c r="F5053" s="2"/>
      <c r="G5053" s="2"/>
      <c r="H5053" s="2"/>
    </row>
    <row r="5054" spans="1:8" x14ac:dyDescent="0.25">
      <c r="A5054" s="1"/>
      <c r="B5054" s="1" t="s">
        <v>4148</v>
      </c>
      <c r="C5054" s="1" t="s">
        <v>4149</v>
      </c>
      <c r="D5054" s="22" t="str">
        <f>HYPERLINK("https://rhld.insurance.arkansas.gov/NPILookup?Npi=1962644039","1962644039")</f>
        <v>1962644039</v>
      </c>
      <c r="E5054" s="1" t="s">
        <v>10190</v>
      </c>
      <c r="F5054" s="2"/>
      <c r="G5054" s="2"/>
      <c r="H5054" s="2"/>
    </row>
    <row r="5055" spans="1:8" x14ac:dyDescent="0.25">
      <c r="A5055" s="1"/>
      <c r="B5055" s="1" t="s">
        <v>4148</v>
      </c>
      <c r="C5055" s="1" t="s">
        <v>4149</v>
      </c>
      <c r="D5055" s="22" t="str">
        <f>HYPERLINK("https://rhld.insurance.arkansas.gov/NPILookup?Npi=1972607158","1972607158")</f>
        <v>1972607158</v>
      </c>
      <c r="E5055" s="1" t="s">
        <v>4198</v>
      </c>
      <c r="F5055" s="2"/>
      <c r="G5055" s="2"/>
      <c r="H5055" s="2"/>
    </row>
    <row r="5056" spans="1:8" x14ac:dyDescent="0.25">
      <c r="A5056" s="1"/>
      <c r="B5056" s="1" t="s">
        <v>4148</v>
      </c>
      <c r="C5056" s="1" t="s">
        <v>4149</v>
      </c>
      <c r="D5056" s="22" t="str">
        <f>HYPERLINK("https://rhld.insurance.arkansas.gov/NPILookup?Npi=1992119770","1992119770")</f>
        <v>1992119770</v>
      </c>
      <c r="E5056" s="1" t="s">
        <v>4199</v>
      </c>
      <c r="F5056" s="2"/>
      <c r="G5056" s="2"/>
      <c r="H5056" s="2"/>
    </row>
    <row r="5057" spans="1:8" x14ac:dyDescent="0.25">
      <c r="A5057" s="1"/>
      <c r="B5057" s="1" t="s">
        <v>4148</v>
      </c>
      <c r="C5057" s="1" t="s">
        <v>4149</v>
      </c>
      <c r="D5057" s="22" t="str">
        <f>HYPERLINK("https://rhld.insurance.arkansas.gov/NPILookup?Npi=1992159156","1992159156")</f>
        <v>1992159156</v>
      </c>
      <c r="E5057" s="1" t="s">
        <v>4200</v>
      </c>
      <c r="F5057" s="2"/>
      <c r="G5057" s="2"/>
      <c r="H5057" s="2"/>
    </row>
    <row r="5058" spans="1:8" x14ac:dyDescent="0.25">
      <c r="A5058" s="1"/>
      <c r="B5058" s="1" t="s">
        <v>4148</v>
      </c>
      <c r="C5058" s="1" t="s">
        <v>4149</v>
      </c>
      <c r="D5058" s="22" t="str">
        <f>HYPERLINK("https://rhld.insurance.arkansas.gov/NPILookup?Npi=1992334197","1992334197")</f>
        <v>1992334197</v>
      </c>
      <c r="E5058" s="1" t="s">
        <v>17116</v>
      </c>
      <c r="F5058" s="2"/>
      <c r="G5058" s="2"/>
      <c r="H5058" s="2"/>
    </row>
    <row r="5059" spans="1:8" x14ac:dyDescent="0.25">
      <c r="A5059" s="1"/>
      <c r="B5059" s="1" t="s">
        <v>4148</v>
      </c>
      <c r="C5059" s="1" t="s">
        <v>4149</v>
      </c>
      <c r="D5059" s="22" t="str">
        <f>HYPERLINK("https://rhld.insurance.arkansas.gov/NPILookup?Npi=1992927214","1992927214")</f>
        <v>1992927214</v>
      </c>
      <c r="E5059" s="1" t="s">
        <v>4201</v>
      </c>
      <c r="F5059" s="2"/>
      <c r="G5059" s="2"/>
      <c r="H5059" s="2"/>
    </row>
    <row r="5060" spans="1:8" x14ac:dyDescent="0.25">
      <c r="A5060" s="1"/>
      <c r="B5060" s="1" t="s">
        <v>4202</v>
      </c>
      <c r="C5060" s="1" t="s">
        <v>4203</v>
      </c>
      <c r="D5060" s="22" t="str">
        <f>HYPERLINK("https://rhld.insurance.arkansas.gov/NPILookup?Npi=1003027947","1003027947")</f>
        <v>1003027947</v>
      </c>
      <c r="E5060" s="1" t="s">
        <v>4204</v>
      </c>
      <c r="F5060" s="2"/>
      <c r="G5060" s="2"/>
      <c r="H5060" s="2"/>
    </row>
    <row r="5061" spans="1:8" x14ac:dyDescent="0.25">
      <c r="A5061" s="1"/>
      <c r="B5061" s="1" t="s">
        <v>4202</v>
      </c>
      <c r="C5061" s="1" t="s">
        <v>4203</v>
      </c>
      <c r="D5061" s="22" t="str">
        <f>HYPERLINK("https://rhld.insurance.arkansas.gov/NPILookup?Npi=1003133828","1003133828")</f>
        <v>1003133828</v>
      </c>
      <c r="E5061" s="1" t="s">
        <v>17117</v>
      </c>
      <c r="F5061" s="2"/>
      <c r="G5061" s="2"/>
      <c r="H5061" s="2"/>
    </row>
    <row r="5062" spans="1:8" x14ac:dyDescent="0.25">
      <c r="A5062" s="1"/>
      <c r="B5062" s="1" t="s">
        <v>4202</v>
      </c>
      <c r="C5062" s="1" t="s">
        <v>4203</v>
      </c>
      <c r="D5062" s="22" t="str">
        <f>HYPERLINK("https://rhld.insurance.arkansas.gov/NPILookup?Npi=1003133877","1003133877")</f>
        <v>1003133877</v>
      </c>
      <c r="E5062" s="1" t="s">
        <v>10191</v>
      </c>
      <c r="F5062" s="2"/>
      <c r="G5062" s="2"/>
      <c r="H5062" s="2"/>
    </row>
    <row r="5063" spans="1:8" x14ac:dyDescent="0.25">
      <c r="A5063" s="1"/>
      <c r="B5063" s="1" t="s">
        <v>4202</v>
      </c>
      <c r="C5063" s="1" t="s">
        <v>4203</v>
      </c>
      <c r="D5063" s="22" t="str">
        <f>HYPERLINK("https://rhld.insurance.arkansas.gov/NPILookup?Npi=1003442153","1003442153")</f>
        <v>1003442153</v>
      </c>
      <c r="E5063" s="1" t="s">
        <v>10192</v>
      </c>
      <c r="F5063" s="2"/>
      <c r="G5063" s="2"/>
      <c r="H5063" s="2"/>
    </row>
    <row r="5064" spans="1:8" x14ac:dyDescent="0.25">
      <c r="A5064" s="1"/>
      <c r="B5064" s="1" t="s">
        <v>4202</v>
      </c>
      <c r="C5064" s="1" t="s">
        <v>4203</v>
      </c>
      <c r="D5064" s="22" t="str">
        <f>HYPERLINK("https://rhld.insurance.arkansas.gov/NPILookup?Npi=1003850009","1003850009")</f>
        <v>1003850009</v>
      </c>
      <c r="E5064" s="1" t="s">
        <v>17119</v>
      </c>
      <c r="F5064" s="2"/>
      <c r="G5064" s="2"/>
      <c r="H5064" s="2"/>
    </row>
    <row r="5065" spans="1:8" x14ac:dyDescent="0.25">
      <c r="A5065" s="1"/>
      <c r="B5065" s="1" t="s">
        <v>4202</v>
      </c>
      <c r="C5065" s="1" t="s">
        <v>4203</v>
      </c>
      <c r="D5065" s="22" t="str">
        <f>HYPERLINK("https://rhld.insurance.arkansas.gov/NPILookup?Npi=1003853862","1003853862")</f>
        <v>1003853862</v>
      </c>
      <c r="E5065" s="1" t="s">
        <v>17120</v>
      </c>
      <c r="F5065" s="2"/>
      <c r="G5065" s="2"/>
      <c r="H5065" s="2"/>
    </row>
    <row r="5066" spans="1:8" x14ac:dyDescent="0.25">
      <c r="A5066" s="1"/>
      <c r="B5066" s="1" t="s">
        <v>4202</v>
      </c>
      <c r="C5066" s="1" t="s">
        <v>4203</v>
      </c>
      <c r="D5066" s="22" t="str">
        <f>HYPERLINK("https://rhld.insurance.arkansas.gov/NPILookup?Npi=1003870932","1003870932")</f>
        <v>1003870932</v>
      </c>
      <c r="E5066" s="1" t="s">
        <v>10193</v>
      </c>
      <c r="F5066" s="2"/>
      <c r="G5066" s="2"/>
      <c r="H5066" s="2"/>
    </row>
    <row r="5067" spans="1:8" x14ac:dyDescent="0.25">
      <c r="A5067" s="1"/>
      <c r="B5067" s="1" t="s">
        <v>4202</v>
      </c>
      <c r="C5067" s="1" t="s">
        <v>4203</v>
      </c>
      <c r="D5067" s="22" t="str">
        <f>HYPERLINK("https://rhld.insurance.arkansas.gov/NPILookup?Npi=1003871658","1003871658")</f>
        <v>1003871658</v>
      </c>
      <c r="E5067" s="1" t="s">
        <v>17121</v>
      </c>
      <c r="F5067" s="2"/>
      <c r="G5067" s="2"/>
      <c r="H5067" s="2"/>
    </row>
    <row r="5068" spans="1:8" x14ac:dyDescent="0.25">
      <c r="A5068" s="1"/>
      <c r="B5068" s="1" t="s">
        <v>4202</v>
      </c>
      <c r="C5068" s="1" t="s">
        <v>4203</v>
      </c>
      <c r="D5068" s="22" t="str">
        <f>HYPERLINK("https://rhld.insurance.arkansas.gov/NPILookup?Npi=1003925975","1003925975")</f>
        <v>1003925975</v>
      </c>
      <c r="E5068" s="1" t="s">
        <v>17123</v>
      </c>
      <c r="F5068" s="2"/>
      <c r="G5068" s="2"/>
      <c r="H5068" s="2"/>
    </row>
    <row r="5069" spans="1:8" x14ac:dyDescent="0.25">
      <c r="A5069" s="1"/>
      <c r="B5069" s="1" t="s">
        <v>4202</v>
      </c>
      <c r="C5069" s="1" t="s">
        <v>4203</v>
      </c>
      <c r="D5069" s="22" t="str">
        <f>HYPERLINK("https://rhld.insurance.arkansas.gov/NPILookup?Npi=1003929555","1003929555")</f>
        <v>1003929555</v>
      </c>
      <c r="E5069" s="1" t="s">
        <v>17124</v>
      </c>
      <c r="F5069" s="2"/>
      <c r="G5069" s="2"/>
      <c r="H5069" s="2"/>
    </row>
    <row r="5070" spans="1:8" x14ac:dyDescent="0.25">
      <c r="A5070" s="1"/>
      <c r="B5070" s="1" t="s">
        <v>4202</v>
      </c>
      <c r="C5070" s="1" t="s">
        <v>4203</v>
      </c>
      <c r="D5070" s="22" t="str">
        <f>HYPERLINK("https://rhld.insurance.arkansas.gov/NPILookup?Npi=1013075977","1013075977")</f>
        <v>1013075977</v>
      </c>
      <c r="E5070" s="1" t="s">
        <v>31400</v>
      </c>
      <c r="F5070" s="2"/>
      <c r="G5070" s="2"/>
      <c r="H5070" s="2"/>
    </row>
    <row r="5071" spans="1:8" x14ac:dyDescent="0.25">
      <c r="A5071" s="1"/>
      <c r="B5071" s="1" t="s">
        <v>4202</v>
      </c>
      <c r="C5071" s="1" t="s">
        <v>4203</v>
      </c>
      <c r="D5071" s="22" t="str">
        <f>HYPERLINK("https://rhld.insurance.arkansas.gov/NPILookup?Npi=1013206416","1013206416")</f>
        <v>1013206416</v>
      </c>
      <c r="E5071" s="1" t="s">
        <v>10194</v>
      </c>
      <c r="F5071" s="2"/>
      <c r="G5071" s="2"/>
      <c r="H5071" s="2"/>
    </row>
    <row r="5072" spans="1:8" x14ac:dyDescent="0.25">
      <c r="A5072" s="1"/>
      <c r="B5072" s="1" t="s">
        <v>4202</v>
      </c>
      <c r="C5072" s="1" t="s">
        <v>4203</v>
      </c>
      <c r="D5072" s="22" t="str">
        <f>HYPERLINK("https://rhld.insurance.arkansas.gov/NPILookup?Npi=1013232362","1013232362")</f>
        <v>1013232362</v>
      </c>
      <c r="E5072" s="1" t="s">
        <v>17127</v>
      </c>
      <c r="F5072" s="2"/>
      <c r="G5072" s="2"/>
      <c r="H5072" s="2"/>
    </row>
    <row r="5073" spans="1:8" x14ac:dyDescent="0.25">
      <c r="A5073" s="1"/>
      <c r="B5073" s="1" t="s">
        <v>4202</v>
      </c>
      <c r="C5073" s="1" t="s">
        <v>4203</v>
      </c>
      <c r="D5073" s="22" t="str">
        <f>HYPERLINK("https://rhld.insurance.arkansas.gov/NPILookup?Npi=1013271485","1013271485")</f>
        <v>1013271485</v>
      </c>
      <c r="E5073" s="1" t="s">
        <v>2352</v>
      </c>
      <c r="F5073" s="2"/>
      <c r="G5073" s="2"/>
      <c r="H5073" s="2"/>
    </row>
    <row r="5074" spans="1:8" x14ac:dyDescent="0.25">
      <c r="A5074" s="1"/>
      <c r="B5074" s="1" t="s">
        <v>4202</v>
      </c>
      <c r="C5074" s="1" t="s">
        <v>4203</v>
      </c>
      <c r="D5074" s="22" t="str">
        <f>HYPERLINK("https://rhld.insurance.arkansas.gov/NPILookup?Npi=1013304393","1013304393")</f>
        <v>1013304393</v>
      </c>
      <c r="E5074" s="1" t="s">
        <v>10195</v>
      </c>
      <c r="F5074" s="2"/>
      <c r="G5074" s="2"/>
      <c r="H5074" s="2"/>
    </row>
    <row r="5075" spans="1:8" x14ac:dyDescent="0.25">
      <c r="A5075" s="1"/>
      <c r="B5075" s="1" t="s">
        <v>4202</v>
      </c>
      <c r="C5075" s="1" t="s">
        <v>4203</v>
      </c>
      <c r="D5075" s="22" t="str">
        <f>HYPERLINK("https://rhld.insurance.arkansas.gov/NPILookup?Npi=1013330919","1013330919")</f>
        <v>1013330919</v>
      </c>
      <c r="E5075" s="1" t="s">
        <v>17129</v>
      </c>
      <c r="F5075" s="2"/>
      <c r="G5075" s="2"/>
      <c r="H5075" s="2"/>
    </row>
    <row r="5076" spans="1:8" x14ac:dyDescent="0.25">
      <c r="A5076" s="1"/>
      <c r="B5076" s="1" t="s">
        <v>4202</v>
      </c>
      <c r="C5076" s="1" t="s">
        <v>4203</v>
      </c>
      <c r="D5076" s="22" t="str">
        <f>HYPERLINK("https://rhld.insurance.arkansas.gov/NPILookup?Npi=1013350255","1013350255")</f>
        <v>1013350255</v>
      </c>
      <c r="E5076" s="1" t="s">
        <v>17130</v>
      </c>
      <c r="F5076" s="2"/>
      <c r="G5076" s="2"/>
      <c r="H5076" s="2"/>
    </row>
    <row r="5077" spans="1:8" x14ac:dyDescent="0.25">
      <c r="A5077" s="1"/>
      <c r="B5077" s="1" t="s">
        <v>4202</v>
      </c>
      <c r="C5077" s="1" t="s">
        <v>4203</v>
      </c>
      <c r="D5077" s="22" t="str">
        <f>HYPERLINK("https://rhld.insurance.arkansas.gov/NPILookup?Npi=1013413046","1013413046")</f>
        <v>1013413046</v>
      </c>
      <c r="E5077" s="1" t="s">
        <v>17131</v>
      </c>
      <c r="F5077" s="2"/>
      <c r="G5077" s="2"/>
      <c r="H5077" s="2"/>
    </row>
    <row r="5078" spans="1:8" x14ac:dyDescent="0.25">
      <c r="A5078" s="1"/>
      <c r="B5078" s="1" t="s">
        <v>4202</v>
      </c>
      <c r="C5078" s="1" t="s">
        <v>4203</v>
      </c>
      <c r="D5078" s="22" t="str">
        <f>HYPERLINK("https://rhld.insurance.arkansas.gov/NPILookup?Npi=1013943034","1013943034")</f>
        <v>1013943034</v>
      </c>
      <c r="E5078" s="1" t="s">
        <v>17132</v>
      </c>
      <c r="F5078" s="2"/>
      <c r="G5078" s="2"/>
      <c r="H5078" s="2"/>
    </row>
    <row r="5079" spans="1:8" x14ac:dyDescent="0.25">
      <c r="A5079" s="1"/>
      <c r="B5079" s="1" t="s">
        <v>4202</v>
      </c>
      <c r="C5079" s="1" t="s">
        <v>4203</v>
      </c>
      <c r="D5079" s="22" t="str">
        <f>HYPERLINK("https://rhld.insurance.arkansas.gov/NPILookup?Npi=1013958248","1013958248")</f>
        <v>1013958248</v>
      </c>
      <c r="E5079" s="1" t="s">
        <v>4205</v>
      </c>
      <c r="F5079" s="2"/>
      <c r="G5079" s="2"/>
      <c r="H5079" s="2"/>
    </row>
    <row r="5080" spans="1:8" x14ac:dyDescent="0.25">
      <c r="A5080" s="1"/>
      <c r="B5080" s="1" t="s">
        <v>4202</v>
      </c>
      <c r="C5080" s="1" t="s">
        <v>4203</v>
      </c>
      <c r="D5080" s="22" t="str">
        <f>HYPERLINK("https://rhld.insurance.arkansas.gov/NPILookup?Npi=1013974468","1013974468")</f>
        <v>1013974468</v>
      </c>
      <c r="E5080" s="1" t="s">
        <v>31401</v>
      </c>
      <c r="F5080" s="2"/>
      <c r="G5080" s="2"/>
      <c r="H5080" s="2"/>
    </row>
    <row r="5081" spans="1:8" x14ac:dyDescent="0.25">
      <c r="A5081" s="1"/>
      <c r="B5081" s="1" t="s">
        <v>4202</v>
      </c>
      <c r="C5081" s="1" t="s">
        <v>4203</v>
      </c>
      <c r="D5081" s="22" t="str">
        <f>HYPERLINK("https://rhld.insurance.arkansas.gov/NPILookup?Npi=1013981901","1013981901")</f>
        <v>1013981901</v>
      </c>
      <c r="E5081" s="1" t="s">
        <v>17134</v>
      </c>
      <c r="F5081" s="2"/>
      <c r="G5081" s="2"/>
      <c r="H5081" s="2"/>
    </row>
    <row r="5082" spans="1:8" x14ac:dyDescent="0.25">
      <c r="A5082" s="1"/>
      <c r="B5082" s="1" t="s">
        <v>4202</v>
      </c>
      <c r="C5082" s="1" t="s">
        <v>4203</v>
      </c>
      <c r="D5082" s="22" t="str">
        <f>HYPERLINK("https://rhld.insurance.arkansas.gov/NPILookup?Npi=1023026366","1023026366")</f>
        <v>1023026366</v>
      </c>
      <c r="E5082" s="1" t="s">
        <v>17136</v>
      </c>
      <c r="F5082" s="2"/>
      <c r="G5082" s="2"/>
      <c r="H5082" s="2"/>
    </row>
    <row r="5083" spans="1:8" x14ac:dyDescent="0.25">
      <c r="A5083" s="1"/>
      <c r="B5083" s="1" t="s">
        <v>4202</v>
      </c>
      <c r="C5083" s="1" t="s">
        <v>4203</v>
      </c>
      <c r="D5083" s="22" t="str">
        <f>HYPERLINK("https://rhld.insurance.arkansas.gov/NPILookup?Npi=1023042504","1023042504")</f>
        <v>1023042504</v>
      </c>
      <c r="E5083" s="1" t="s">
        <v>17138</v>
      </c>
      <c r="F5083" s="2"/>
      <c r="G5083" s="2"/>
      <c r="H5083" s="2"/>
    </row>
    <row r="5084" spans="1:8" x14ac:dyDescent="0.25">
      <c r="A5084" s="1"/>
      <c r="B5084" s="1" t="s">
        <v>4202</v>
      </c>
      <c r="C5084" s="1" t="s">
        <v>4203</v>
      </c>
      <c r="D5084" s="22" t="str">
        <f>HYPERLINK("https://rhld.insurance.arkansas.gov/NPILookup?Npi=1023107935","1023107935")</f>
        <v>1023107935</v>
      </c>
      <c r="E5084" s="1" t="s">
        <v>17139</v>
      </c>
      <c r="F5084" s="2"/>
      <c r="G5084" s="2"/>
      <c r="H5084" s="2"/>
    </row>
    <row r="5085" spans="1:8" x14ac:dyDescent="0.25">
      <c r="A5085" s="1"/>
      <c r="B5085" s="1" t="s">
        <v>4202</v>
      </c>
      <c r="C5085" s="1" t="s">
        <v>4203</v>
      </c>
      <c r="D5085" s="22" t="str">
        <f>HYPERLINK("https://rhld.insurance.arkansas.gov/NPILookup?Npi=1023116373","1023116373")</f>
        <v>1023116373</v>
      </c>
      <c r="E5085" s="1" t="s">
        <v>31402</v>
      </c>
      <c r="F5085" s="2"/>
      <c r="G5085" s="2"/>
      <c r="H5085" s="2"/>
    </row>
    <row r="5086" spans="1:8" x14ac:dyDescent="0.25">
      <c r="A5086" s="1"/>
      <c r="B5086" s="1" t="s">
        <v>4202</v>
      </c>
      <c r="C5086" s="1" t="s">
        <v>4203</v>
      </c>
      <c r="D5086" s="22" t="str">
        <f>HYPERLINK("https://rhld.insurance.arkansas.gov/NPILookup?Npi=1023122603","1023122603")</f>
        <v>1023122603</v>
      </c>
      <c r="E5086" s="1" t="s">
        <v>17140</v>
      </c>
      <c r="F5086" s="2"/>
      <c r="G5086" s="2"/>
      <c r="H5086" s="2"/>
    </row>
    <row r="5087" spans="1:8" x14ac:dyDescent="0.25">
      <c r="A5087" s="1"/>
      <c r="B5087" s="1" t="s">
        <v>4202</v>
      </c>
      <c r="C5087" s="1" t="s">
        <v>4203</v>
      </c>
      <c r="D5087" s="22" t="str">
        <f>HYPERLINK("https://rhld.insurance.arkansas.gov/NPILookup?Npi=1023247566","1023247566")</f>
        <v>1023247566</v>
      </c>
      <c r="E5087" s="1" t="s">
        <v>2597</v>
      </c>
      <c r="F5087" s="2"/>
      <c r="G5087" s="2"/>
      <c r="H5087" s="2"/>
    </row>
    <row r="5088" spans="1:8" x14ac:dyDescent="0.25">
      <c r="A5088" s="1"/>
      <c r="B5088" s="1" t="s">
        <v>4202</v>
      </c>
      <c r="C5088" s="1" t="s">
        <v>4203</v>
      </c>
      <c r="D5088" s="22" t="str">
        <f>HYPERLINK("https://rhld.insurance.arkansas.gov/NPILookup?Npi=1023280062","1023280062")</f>
        <v>1023280062</v>
      </c>
      <c r="E5088" s="1" t="s">
        <v>1814</v>
      </c>
      <c r="F5088" s="2"/>
      <c r="G5088" s="2"/>
      <c r="H5088" s="2"/>
    </row>
    <row r="5089" spans="1:8" x14ac:dyDescent="0.25">
      <c r="A5089" s="1"/>
      <c r="B5089" s="1" t="s">
        <v>4202</v>
      </c>
      <c r="C5089" s="1" t="s">
        <v>4203</v>
      </c>
      <c r="D5089" s="22" t="str">
        <f>HYPERLINK("https://rhld.insurance.arkansas.gov/NPILookup?Npi=1023500444","1023500444")</f>
        <v>1023500444</v>
      </c>
      <c r="E5089" s="1" t="s">
        <v>4206</v>
      </c>
      <c r="F5089" s="2"/>
      <c r="G5089" s="2"/>
      <c r="H5089" s="2"/>
    </row>
    <row r="5090" spans="1:8" x14ac:dyDescent="0.25">
      <c r="A5090" s="1"/>
      <c r="B5090" s="1" t="s">
        <v>4202</v>
      </c>
      <c r="C5090" s="1" t="s">
        <v>4203</v>
      </c>
      <c r="D5090" s="22" t="str">
        <f>HYPERLINK("https://rhld.insurance.arkansas.gov/NPILookup?Npi=1023506292","1023506292")</f>
        <v>1023506292</v>
      </c>
      <c r="E5090" s="1" t="s">
        <v>4207</v>
      </c>
      <c r="F5090" s="2"/>
      <c r="G5090" s="2"/>
      <c r="H5090" s="2"/>
    </row>
    <row r="5091" spans="1:8" x14ac:dyDescent="0.25">
      <c r="A5091" s="1"/>
      <c r="B5091" s="1" t="s">
        <v>4202</v>
      </c>
      <c r="C5091" s="1" t="s">
        <v>4203</v>
      </c>
      <c r="D5091" s="22" t="str">
        <f>HYPERLINK("https://rhld.insurance.arkansas.gov/NPILookup?Npi=1023540655","1023540655")</f>
        <v>1023540655</v>
      </c>
      <c r="E5091" s="1" t="s">
        <v>1741</v>
      </c>
      <c r="F5091" s="2"/>
      <c r="G5091" s="2"/>
      <c r="H5091" s="2"/>
    </row>
    <row r="5092" spans="1:8" x14ac:dyDescent="0.25">
      <c r="A5092" s="1"/>
      <c r="B5092" s="1" t="s">
        <v>4202</v>
      </c>
      <c r="C5092" s="1" t="s">
        <v>4203</v>
      </c>
      <c r="D5092" s="22" t="str">
        <f>HYPERLINK("https://rhld.insurance.arkansas.gov/NPILookup?Npi=1023579141","1023579141")</f>
        <v>1023579141</v>
      </c>
      <c r="E5092" s="1" t="s">
        <v>17144</v>
      </c>
      <c r="F5092" s="2"/>
      <c r="G5092" s="2"/>
      <c r="H5092" s="2"/>
    </row>
    <row r="5093" spans="1:8" x14ac:dyDescent="0.25">
      <c r="A5093" s="1"/>
      <c r="B5093" s="1" t="s">
        <v>4202</v>
      </c>
      <c r="C5093" s="1" t="s">
        <v>4203</v>
      </c>
      <c r="D5093" s="22" t="str">
        <f>HYPERLINK("https://rhld.insurance.arkansas.gov/NPILookup?Npi=1023579166","1023579166")</f>
        <v>1023579166</v>
      </c>
      <c r="E5093" s="1" t="s">
        <v>10198</v>
      </c>
      <c r="F5093" s="2"/>
      <c r="G5093" s="2"/>
      <c r="H5093" s="2"/>
    </row>
    <row r="5094" spans="1:8" x14ac:dyDescent="0.25">
      <c r="A5094" s="1"/>
      <c r="B5094" s="1" t="s">
        <v>4202</v>
      </c>
      <c r="C5094" s="1" t="s">
        <v>4203</v>
      </c>
      <c r="D5094" s="22" t="str">
        <f>HYPERLINK("https://rhld.insurance.arkansas.gov/NPILookup?Npi=1023647310","1023647310")</f>
        <v>1023647310</v>
      </c>
      <c r="E5094" s="1" t="s">
        <v>4208</v>
      </c>
      <c r="F5094" s="2"/>
      <c r="G5094" s="2"/>
      <c r="H5094" s="2"/>
    </row>
    <row r="5095" spans="1:8" x14ac:dyDescent="0.25">
      <c r="A5095" s="1"/>
      <c r="B5095" s="1" t="s">
        <v>4202</v>
      </c>
      <c r="C5095" s="1" t="s">
        <v>4203</v>
      </c>
      <c r="D5095" s="22" t="str">
        <f>HYPERLINK("https://rhld.insurance.arkansas.gov/NPILookup?Npi=1033141775","1033141775")</f>
        <v>1033141775</v>
      </c>
      <c r="E5095" s="1" t="s">
        <v>17145</v>
      </c>
      <c r="F5095" s="2"/>
      <c r="G5095" s="2"/>
      <c r="H5095" s="2"/>
    </row>
    <row r="5096" spans="1:8" x14ac:dyDescent="0.25">
      <c r="A5096" s="1"/>
      <c r="B5096" s="1" t="s">
        <v>4202</v>
      </c>
      <c r="C5096" s="1" t="s">
        <v>4203</v>
      </c>
      <c r="D5096" s="22" t="str">
        <f>HYPERLINK("https://rhld.insurance.arkansas.gov/NPILookup?Npi=1033146899","1033146899")</f>
        <v>1033146899</v>
      </c>
      <c r="E5096" s="1" t="s">
        <v>4209</v>
      </c>
      <c r="F5096" s="2"/>
      <c r="G5096" s="2"/>
      <c r="H5096" s="2"/>
    </row>
    <row r="5097" spans="1:8" x14ac:dyDescent="0.25">
      <c r="A5097" s="1"/>
      <c r="B5097" s="1" t="s">
        <v>4202</v>
      </c>
      <c r="C5097" s="1" t="s">
        <v>4203</v>
      </c>
      <c r="D5097" s="22" t="str">
        <f>HYPERLINK("https://rhld.insurance.arkansas.gov/NPILookup?Npi=1033149232","1033149232")</f>
        <v>1033149232</v>
      </c>
      <c r="E5097" s="1" t="s">
        <v>17146</v>
      </c>
      <c r="F5097" s="2"/>
      <c r="G5097" s="2"/>
      <c r="H5097" s="2"/>
    </row>
    <row r="5098" spans="1:8" x14ac:dyDescent="0.25">
      <c r="A5098" s="1"/>
      <c r="B5098" s="1" t="s">
        <v>4202</v>
      </c>
      <c r="C5098" s="1" t="s">
        <v>4203</v>
      </c>
      <c r="D5098" s="22" t="str">
        <f>HYPERLINK("https://rhld.insurance.arkansas.gov/NPILookup?Npi=1033258249","1033258249")</f>
        <v>1033258249</v>
      </c>
      <c r="E5098" s="1" t="s">
        <v>31403</v>
      </c>
      <c r="F5098" s="2"/>
      <c r="G5098" s="2"/>
      <c r="H5098" s="2"/>
    </row>
    <row r="5099" spans="1:8" x14ac:dyDescent="0.25">
      <c r="A5099" s="1"/>
      <c r="B5099" s="1" t="s">
        <v>4202</v>
      </c>
      <c r="C5099" s="1" t="s">
        <v>4203</v>
      </c>
      <c r="D5099" s="22" t="str">
        <f>HYPERLINK("https://rhld.insurance.arkansas.gov/NPILookup?Npi=1033267679","1033267679")</f>
        <v>1033267679</v>
      </c>
      <c r="E5099" s="1" t="s">
        <v>17149</v>
      </c>
      <c r="F5099" s="2"/>
      <c r="G5099" s="2"/>
      <c r="H5099" s="2"/>
    </row>
    <row r="5100" spans="1:8" x14ac:dyDescent="0.25">
      <c r="A5100" s="1"/>
      <c r="B5100" s="1" t="s">
        <v>4202</v>
      </c>
      <c r="C5100" s="1" t="s">
        <v>4203</v>
      </c>
      <c r="D5100" s="22" t="str">
        <f>HYPERLINK("https://rhld.insurance.arkansas.gov/NPILookup?Npi=1033301320","1033301320")</f>
        <v>1033301320</v>
      </c>
      <c r="E5100" s="1" t="s">
        <v>17151</v>
      </c>
      <c r="F5100" s="2"/>
      <c r="G5100" s="2"/>
      <c r="H5100" s="2"/>
    </row>
    <row r="5101" spans="1:8" x14ac:dyDescent="0.25">
      <c r="A5101" s="1"/>
      <c r="B5101" s="1" t="s">
        <v>4202</v>
      </c>
      <c r="C5101" s="1" t="s">
        <v>4203</v>
      </c>
      <c r="D5101" s="22" t="str">
        <f>HYPERLINK("https://rhld.insurance.arkansas.gov/NPILookup?Npi=1033311980","1033311980")</f>
        <v>1033311980</v>
      </c>
      <c r="E5101" s="1" t="s">
        <v>31404</v>
      </c>
      <c r="F5101" s="2"/>
      <c r="G5101" s="2"/>
      <c r="H5101" s="2"/>
    </row>
    <row r="5102" spans="1:8" x14ac:dyDescent="0.25">
      <c r="A5102" s="1"/>
      <c r="B5102" s="1" t="s">
        <v>4202</v>
      </c>
      <c r="C5102" s="1" t="s">
        <v>4203</v>
      </c>
      <c r="D5102" s="22" t="str">
        <f>HYPERLINK("https://rhld.insurance.arkansas.gov/NPILookup?Npi=1033346358","1033346358")</f>
        <v>1033346358</v>
      </c>
      <c r="E5102" s="1" t="s">
        <v>17152</v>
      </c>
      <c r="F5102" s="2"/>
      <c r="G5102" s="2"/>
      <c r="H5102" s="2"/>
    </row>
    <row r="5103" spans="1:8" x14ac:dyDescent="0.25">
      <c r="A5103" s="1"/>
      <c r="B5103" s="1" t="s">
        <v>4202</v>
      </c>
      <c r="C5103" s="1" t="s">
        <v>4203</v>
      </c>
      <c r="D5103" s="22" t="str">
        <f>HYPERLINK("https://rhld.insurance.arkansas.gov/NPILookup?Npi=1033386479","1033386479")</f>
        <v>1033386479</v>
      </c>
      <c r="E5103" s="1" t="s">
        <v>17153</v>
      </c>
      <c r="F5103" s="2"/>
      <c r="G5103" s="2"/>
      <c r="H5103" s="2"/>
    </row>
    <row r="5104" spans="1:8" x14ac:dyDescent="0.25">
      <c r="A5104" s="1"/>
      <c r="B5104" s="1" t="s">
        <v>4202</v>
      </c>
      <c r="C5104" s="1" t="s">
        <v>4203</v>
      </c>
      <c r="D5104" s="22" t="str">
        <f>HYPERLINK("https://rhld.insurance.arkansas.gov/NPILookup?Npi=1033421417","1033421417")</f>
        <v>1033421417</v>
      </c>
      <c r="E5104" s="1" t="s">
        <v>4210</v>
      </c>
      <c r="F5104" s="2"/>
      <c r="G5104" s="2"/>
      <c r="H5104" s="2"/>
    </row>
    <row r="5105" spans="1:8" x14ac:dyDescent="0.25">
      <c r="A5105" s="1"/>
      <c r="B5105" s="1" t="s">
        <v>4202</v>
      </c>
      <c r="C5105" s="1" t="s">
        <v>4203</v>
      </c>
      <c r="D5105" s="22" t="str">
        <f>HYPERLINK("https://rhld.insurance.arkansas.gov/NPILookup?Npi=1033435540","1033435540")</f>
        <v>1033435540</v>
      </c>
      <c r="E5105" s="1" t="s">
        <v>17154</v>
      </c>
      <c r="F5105" s="2"/>
      <c r="G5105" s="2"/>
      <c r="H5105" s="2"/>
    </row>
    <row r="5106" spans="1:8" x14ac:dyDescent="0.25">
      <c r="A5106" s="1"/>
      <c r="B5106" s="1" t="s">
        <v>4202</v>
      </c>
      <c r="C5106" s="1" t="s">
        <v>4203</v>
      </c>
      <c r="D5106" s="22" t="str">
        <f>HYPERLINK("https://rhld.insurance.arkansas.gov/NPILookup?Npi=1033452990","1033452990")</f>
        <v>1033452990</v>
      </c>
      <c r="E5106" s="1" t="s">
        <v>17155</v>
      </c>
      <c r="F5106" s="2"/>
      <c r="G5106" s="2"/>
      <c r="H5106" s="2"/>
    </row>
    <row r="5107" spans="1:8" x14ac:dyDescent="0.25">
      <c r="A5107" s="1"/>
      <c r="B5107" s="1" t="s">
        <v>4202</v>
      </c>
      <c r="C5107" s="1" t="s">
        <v>4203</v>
      </c>
      <c r="D5107" s="22" t="str">
        <f>HYPERLINK("https://rhld.insurance.arkansas.gov/NPILookup?Npi=1033504402","1033504402")</f>
        <v>1033504402</v>
      </c>
      <c r="E5107" s="1" t="s">
        <v>17156</v>
      </c>
      <c r="F5107" s="2"/>
      <c r="G5107" s="2"/>
      <c r="H5107" s="2"/>
    </row>
    <row r="5108" spans="1:8" x14ac:dyDescent="0.25">
      <c r="A5108" s="1"/>
      <c r="B5108" s="1" t="s">
        <v>4202</v>
      </c>
      <c r="C5108" s="1" t="s">
        <v>4203</v>
      </c>
      <c r="D5108" s="22" t="str">
        <f>HYPERLINK("https://rhld.insurance.arkansas.gov/NPILookup?Npi=1033593629","1033593629")</f>
        <v>1033593629</v>
      </c>
      <c r="E5108" s="1" t="s">
        <v>17158</v>
      </c>
      <c r="F5108" s="2"/>
      <c r="G5108" s="2"/>
      <c r="H5108" s="2"/>
    </row>
    <row r="5109" spans="1:8" x14ac:dyDescent="0.25">
      <c r="A5109" s="1"/>
      <c r="B5109" s="1" t="s">
        <v>4202</v>
      </c>
      <c r="C5109" s="1" t="s">
        <v>4203</v>
      </c>
      <c r="D5109" s="22" t="str">
        <f>HYPERLINK("https://rhld.insurance.arkansas.gov/NPILookup?Npi=1033613302","1033613302")</f>
        <v>1033613302</v>
      </c>
      <c r="E5109" s="1" t="s">
        <v>17159</v>
      </c>
      <c r="F5109" s="2"/>
      <c r="G5109" s="2"/>
      <c r="H5109" s="2"/>
    </row>
    <row r="5110" spans="1:8" x14ac:dyDescent="0.25">
      <c r="A5110" s="1"/>
      <c r="B5110" s="1" t="s">
        <v>4202</v>
      </c>
      <c r="C5110" s="1" t="s">
        <v>4203</v>
      </c>
      <c r="D5110" s="22" t="str">
        <f>HYPERLINK("https://rhld.insurance.arkansas.gov/NPILookup?Npi=1033650031","1033650031")</f>
        <v>1033650031</v>
      </c>
      <c r="E5110" s="1" t="s">
        <v>4212</v>
      </c>
      <c r="F5110" s="2"/>
      <c r="G5110" s="2"/>
      <c r="H5110" s="2"/>
    </row>
    <row r="5111" spans="1:8" x14ac:dyDescent="0.25">
      <c r="A5111" s="1"/>
      <c r="B5111" s="1" t="s">
        <v>4202</v>
      </c>
      <c r="C5111" s="1" t="s">
        <v>4203</v>
      </c>
      <c r="D5111" s="22" t="str">
        <f>HYPERLINK("https://rhld.insurance.arkansas.gov/NPILookup?Npi=1033672712","1033672712")</f>
        <v>1033672712</v>
      </c>
      <c r="E5111" s="1" t="s">
        <v>10200</v>
      </c>
      <c r="F5111" s="2"/>
      <c r="G5111" s="2"/>
      <c r="H5111" s="2"/>
    </row>
    <row r="5112" spans="1:8" x14ac:dyDescent="0.25">
      <c r="A5112" s="1"/>
      <c r="B5112" s="1" t="s">
        <v>4202</v>
      </c>
      <c r="C5112" s="1" t="s">
        <v>4203</v>
      </c>
      <c r="D5112" s="22" t="str">
        <f>HYPERLINK("https://rhld.insurance.arkansas.gov/NPILookup?Npi=1043212038","1043212038")</f>
        <v>1043212038</v>
      </c>
      <c r="E5112" s="1" t="s">
        <v>17160</v>
      </c>
      <c r="F5112" s="2"/>
      <c r="G5112" s="2"/>
      <c r="H5112" s="2"/>
    </row>
    <row r="5113" spans="1:8" x14ac:dyDescent="0.25">
      <c r="A5113" s="1"/>
      <c r="B5113" s="1" t="s">
        <v>4202</v>
      </c>
      <c r="C5113" s="1" t="s">
        <v>4203</v>
      </c>
      <c r="D5113" s="22" t="str">
        <f>HYPERLINK("https://rhld.insurance.arkansas.gov/NPILookup?Npi=1043231749","1043231749")</f>
        <v>1043231749</v>
      </c>
      <c r="E5113" s="1" t="s">
        <v>17161</v>
      </c>
      <c r="F5113" s="2"/>
      <c r="G5113" s="2"/>
      <c r="H5113" s="2"/>
    </row>
    <row r="5114" spans="1:8" x14ac:dyDescent="0.25">
      <c r="A5114" s="1"/>
      <c r="B5114" s="1" t="s">
        <v>4202</v>
      </c>
      <c r="C5114" s="1" t="s">
        <v>4203</v>
      </c>
      <c r="D5114" s="22" t="str">
        <f>HYPERLINK("https://rhld.insurance.arkansas.gov/NPILookup?Npi=1043246259","1043246259")</f>
        <v>1043246259</v>
      </c>
      <c r="E5114" s="1" t="s">
        <v>17162</v>
      </c>
      <c r="F5114" s="2"/>
      <c r="G5114" s="2"/>
      <c r="H5114" s="2"/>
    </row>
    <row r="5115" spans="1:8" x14ac:dyDescent="0.25">
      <c r="A5115" s="1"/>
      <c r="B5115" s="1" t="s">
        <v>4202</v>
      </c>
      <c r="C5115" s="1" t="s">
        <v>4203</v>
      </c>
      <c r="D5115" s="22" t="str">
        <f>HYPERLINK("https://rhld.insurance.arkansas.gov/NPILookup?Npi=1043265655","1043265655")</f>
        <v>1043265655</v>
      </c>
      <c r="E5115" s="1" t="s">
        <v>10201</v>
      </c>
      <c r="F5115" s="2"/>
      <c r="G5115" s="2"/>
      <c r="H5115" s="2"/>
    </row>
    <row r="5116" spans="1:8" x14ac:dyDescent="0.25">
      <c r="A5116" s="1"/>
      <c r="B5116" s="1" t="s">
        <v>4202</v>
      </c>
      <c r="C5116" s="1" t="s">
        <v>4203</v>
      </c>
      <c r="D5116" s="22" t="str">
        <f>HYPERLINK("https://rhld.insurance.arkansas.gov/NPILookup?Npi=1043315039","1043315039")</f>
        <v>1043315039</v>
      </c>
      <c r="E5116" s="1" t="s">
        <v>17163</v>
      </c>
      <c r="F5116" s="2"/>
      <c r="G5116" s="2"/>
      <c r="H5116" s="2"/>
    </row>
    <row r="5117" spans="1:8" x14ac:dyDescent="0.25">
      <c r="A5117" s="1"/>
      <c r="B5117" s="1" t="s">
        <v>4202</v>
      </c>
      <c r="C5117" s="1" t="s">
        <v>4203</v>
      </c>
      <c r="D5117" s="22" t="str">
        <f>HYPERLINK("https://rhld.insurance.arkansas.gov/NPILookup?Npi=1043444342","1043444342")</f>
        <v>1043444342</v>
      </c>
      <c r="E5117" s="1" t="s">
        <v>4214</v>
      </c>
      <c r="F5117" s="2"/>
      <c r="G5117" s="2"/>
      <c r="H5117" s="2"/>
    </row>
    <row r="5118" spans="1:8" x14ac:dyDescent="0.25">
      <c r="A5118" s="1"/>
      <c r="B5118" s="1" t="s">
        <v>4202</v>
      </c>
      <c r="C5118" s="1" t="s">
        <v>4203</v>
      </c>
      <c r="D5118" s="22" t="str">
        <f>HYPERLINK("https://rhld.insurance.arkansas.gov/NPILookup?Npi=1043456023","1043456023")</f>
        <v>1043456023</v>
      </c>
      <c r="E5118" s="1" t="s">
        <v>17164</v>
      </c>
      <c r="F5118" s="2"/>
      <c r="G5118" s="2"/>
      <c r="H5118" s="2"/>
    </row>
    <row r="5119" spans="1:8" x14ac:dyDescent="0.25">
      <c r="A5119" s="1"/>
      <c r="B5119" s="1" t="s">
        <v>4202</v>
      </c>
      <c r="C5119" s="1" t="s">
        <v>4203</v>
      </c>
      <c r="D5119" s="22" t="str">
        <f>HYPERLINK("https://rhld.insurance.arkansas.gov/NPILookup?Npi=1043472962","1043472962")</f>
        <v>1043472962</v>
      </c>
      <c r="E5119" s="1" t="s">
        <v>188</v>
      </c>
      <c r="F5119" s="2"/>
      <c r="G5119" s="2"/>
      <c r="H5119" s="2"/>
    </row>
    <row r="5120" spans="1:8" x14ac:dyDescent="0.25">
      <c r="A5120" s="1"/>
      <c r="B5120" s="1" t="s">
        <v>4202</v>
      </c>
      <c r="C5120" s="1" t="s">
        <v>4203</v>
      </c>
      <c r="D5120" s="22" t="str">
        <f>HYPERLINK("https://rhld.insurance.arkansas.gov/NPILookup?Npi=1043499437","1043499437")</f>
        <v>1043499437</v>
      </c>
      <c r="E5120" s="1" t="s">
        <v>31405</v>
      </c>
      <c r="F5120" s="2"/>
      <c r="G5120" s="2"/>
      <c r="H5120" s="2"/>
    </row>
    <row r="5121" spans="1:8" x14ac:dyDescent="0.25">
      <c r="A5121" s="1"/>
      <c r="B5121" s="1" t="s">
        <v>4202</v>
      </c>
      <c r="C5121" s="1" t="s">
        <v>4203</v>
      </c>
      <c r="D5121" s="22" t="str">
        <f>HYPERLINK("https://rhld.insurance.arkansas.gov/NPILookup?Npi=1043575178","1043575178")</f>
        <v>1043575178</v>
      </c>
      <c r="E5121" s="1" t="s">
        <v>2609</v>
      </c>
      <c r="F5121" s="2"/>
      <c r="G5121" s="2"/>
      <c r="H5121" s="2"/>
    </row>
    <row r="5122" spans="1:8" x14ac:dyDescent="0.25">
      <c r="A5122" s="1"/>
      <c r="B5122" s="1" t="s">
        <v>4202</v>
      </c>
      <c r="C5122" s="1" t="s">
        <v>4203</v>
      </c>
      <c r="D5122" s="22" t="str">
        <f>HYPERLINK("https://rhld.insurance.arkansas.gov/NPILookup?Npi=1043657646","1043657646")</f>
        <v>1043657646</v>
      </c>
      <c r="E5122" s="1" t="s">
        <v>1952</v>
      </c>
      <c r="F5122" s="2"/>
      <c r="G5122" s="2"/>
      <c r="H5122" s="2"/>
    </row>
    <row r="5123" spans="1:8" x14ac:dyDescent="0.25">
      <c r="A5123" s="1"/>
      <c r="B5123" s="1" t="s">
        <v>4202</v>
      </c>
      <c r="C5123" s="1" t="s">
        <v>4203</v>
      </c>
      <c r="D5123" s="22" t="str">
        <f>HYPERLINK("https://rhld.insurance.arkansas.gov/NPILookup?Npi=1043665813","1043665813")</f>
        <v>1043665813</v>
      </c>
      <c r="E5123" s="1" t="s">
        <v>4215</v>
      </c>
      <c r="F5123" s="2"/>
      <c r="G5123" s="2"/>
      <c r="H5123" s="2"/>
    </row>
    <row r="5124" spans="1:8" x14ac:dyDescent="0.25">
      <c r="A5124" s="1"/>
      <c r="B5124" s="1" t="s">
        <v>4202</v>
      </c>
      <c r="C5124" s="1" t="s">
        <v>4203</v>
      </c>
      <c r="D5124" s="22" t="str">
        <f>HYPERLINK("https://rhld.insurance.arkansas.gov/NPILookup?Npi=1043671571","1043671571")</f>
        <v>1043671571</v>
      </c>
      <c r="E5124" s="1" t="s">
        <v>17166</v>
      </c>
      <c r="F5124" s="2"/>
      <c r="G5124" s="2"/>
      <c r="H5124" s="2"/>
    </row>
    <row r="5125" spans="1:8" x14ac:dyDescent="0.25">
      <c r="A5125" s="1"/>
      <c r="B5125" s="1" t="s">
        <v>4202</v>
      </c>
      <c r="C5125" s="1" t="s">
        <v>4203</v>
      </c>
      <c r="D5125" s="22" t="str">
        <f>HYPERLINK("https://rhld.insurance.arkansas.gov/NPILookup?Npi=1043693724","1043693724")</f>
        <v>1043693724</v>
      </c>
      <c r="E5125" s="1" t="s">
        <v>4216</v>
      </c>
      <c r="F5125" s="2"/>
      <c r="G5125" s="2"/>
      <c r="H5125" s="2"/>
    </row>
    <row r="5126" spans="1:8" x14ac:dyDescent="0.25">
      <c r="A5126" s="1"/>
      <c r="B5126" s="1" t="s">
        <v>4202</v>
      </c>
      <c r="C5126" s="1" t="s">
        <v>4203</v>
      </c>
      <c r="D5126" s="22" t="str">
        <f>HYPERLINK("https://rhld.insurance.arkansas.gov/NPILookup?Npi=1043709439","1043709439")</f>
        <v>1043709439</v>
      </c>
      <c r="E5126" s="1" t="s">
        <v>4217</v>
      </c>
      <c r="F5126" s="2"/>
      <c r="G5126" s="2"/>
      <c r="H5126" s="2"/>
    </row>
    <row r="5127" spans="1:8" x14ac:dyDescent="0.25">
      <c r="A5127" s="1"/>
      <c r="B5127" s="1" t="s">
        <v>4202</v>
      </c>
      <c r="C5127" s="1" t="s">
        <v>4203</v>
      </c>
      <c r="D5127" s="22" t="str">
        <f>HYPERLINK("https://rhld.insurance.arkansas.gov/NPILookup?Npi=1043716616","1043716616")</f>
        <v>1043716616</v>
      </c>
      <c r="E5127" s="1" t="s">
        <v>10202</v>
      </c>
      <c r="F5127" s="2"/>
      <c r="G5127" s="2"/>
      <c r="H5127" s="2"/>
    </row>
    <row r="5128" spans="1:8" x14ac:dyDescent="0.25">
      <c r="A5128" s="1"/>
      <c r="B5128" s="1" t="s">
        <v>4202</v>
      </c>
      <c r="C5128" s="1" t="s">
        <v>4203</v>
      </c>
      <c r="D5128" s="22" t="str">
        <f>HYPERLINK("https://rhld.insurance.arkansas.gov/NPILookup?Npi=1043773237","1043773237")</f>
        <v>1043773237</v>
      </c>
      <c r="E5128" s="1" t="s">
        <v>4218</v>
      </c>
      <c r="F5128" s="2"/>
      <c r="G5128" s="2"/>
      <c r="H5128" s="2"/>
    </row>
    <row r="5129" spans="1:8" x14ac:dyDescent="0.25">
      <c r="A5129" s="1"/>
      <c r="B5129" s="1" t="s">
        <v>4202</v>
      </c>
      <c r="C5129" s="1" t="s">
        <v>4203</v>
      </c>
      <c r="D5129" s="22" t="str">
        <f>HYPERLINK("https://rhld.insurance.arkansas.gov/NPILookup?Npi=1053305888","1053305888")</f>
        <v>1053305888</v>
      </c>
      <c r="E5129" s="1" t="s">
        <v>17167</v>
      </c>
      <c r="F5129" s="2"/>
      <c r="G5129" s="2"/>
      <c r="H5129" s="2"/>
    </row>
    <row r="5130" spans="1:8" x14ac:dyDescent="0.25">
      <c r="A5130" s="1"/>
      <c r="B5130" s="1" t="s">
        <v>4202</v>
      </c>
      <c r="C5130" s="1" t="s">
        <v>4203</v>
      </c>
      <c r="D5130" s="22" t="str">
        <f>HYPERLINK("https://rhld.insurance.arkansas.gov/NPILookup?Npi=1053311068","1053311068")</f>
        <v>1053311068</v>
      </c>
      <c r="E5130" s="1" t="s">
        <v>10204</v>
      </c>
      <c r="F5130" s="2"/>
      <c r="G5130" s="2"/>
      <c r="H5130" s="2"/>
    </row>
    <row r="5131" spans="1:8" x14ac:dyDescent="0.25">
      <c r="A5131" s="1"/>
      <c r="B5131" s="1" t="s">
        <v>4202</v>
      </c>
      <c r="C5131" s="1" t="s">
        <v>4203</v>
      </c>
      <c r="D5131" s="22" t="str">
        <f>HYPERLINK("https://rhld.insurance.arkansas.gov/NPILookup?Npi=1053328955","1053328955")</f>
        <v>1053328955</v>
      </c>
      <c r="E5131" s="1" t="s">
        <v>9747</v>
      </c>
      <c r="F5131" s="2"/>
      <c r="G5131" s="2"/>
      <c r="H5131" s="2"/>
    </row>
    <row r="5132" spans="1:8" x14ac:dyDescent="0.25">
      <c r="A5132" s="1"/>
      <c r="B5132" s="1" t="s">
        <v>4202</v>
      </c>
      <c r="C5132" s="1" t="s">
        <v>4203</v>
      </c>
      <c r="D5132" s="22" t="str">
        <f>HYPERLINK("https://rhld.insurance.arkansas.gov/NPILookup?Npi=1053345678","1053345678")</f>
        <v>1053345678</v>
      </c>
      <c r="E5132" s="1" t="s">
        <v>4219</v>
      </c>
      <c r="F5132" s="2"/>
      <c r="G5132" s="2"/>
      <c r="H5132" s="2"/>
    </row>
    <row r="5133" spans="1:8" x14ac:dyDescent="0.25">
      <c r="A5133" s="1"/>
      <c r="B5133" s="1" t="s">
        <v>4202</v>
      </c>
      <c r="C5133" s="1" t="s">
        <v>4203</v>
      </c>
      <c r="D5133" s="22" t="str">
        <f>HYPERLINK("https://rhld.insurance.arkansas.gov/NPILookup?Npi=1053359877","1053359877")</f>
        <v>1053359877</v>
      </c>
      <c r="E5133" s="1" t="s">
        <v>10205</v>
      </c>
      <c r="F5133" s="2"/>
      <c r="G5133" s="2"/>
      <c r="H5133" s="2"/>
    </row>
    <row r="5134" spans="1:8" x14ac:dyDescent="0.25">
      <c r="A5134" s="1"/>
      <c r="B5134" s="1" t="s">
        <v>4202</v>
      </c>
      <c r="C5134" s="1" t="s">
        <v>4203</v>
      </c>
      <c r="D5134" s="22" t="str">
        <f>HYPERLINK("https://rhld.insurance.arkansas.gov/NPILookup?Npi=1053381335","1053381335")</f>
        <v>1053381335</v>
      </c>
      <c r="E5134" s="1" t="s">
        <v>17168</v>
      </c>
      <c r="F5134" s="2"/>
      <c r="G5134" s="2"/>
      <c r="H5134" s="2"/>
    </row>
    <row r="5135" spans="1:8" x14ac:dyDescent="0.25">
      <c r="A5135" s="1"/>
      <c r="B5135" s="1" t="s">
        <v>4202</v>
      </c>
      <c r="C5135" s="1" t="s">
        <v>4203</v>
      </c>
      <c r="D5135" s="22" t="str">
        <f>HYPERLINK("https://rhld.insurance.arkansas.gov/NPILookup?Npi=1053409185","1053409185")</f>
        <v>1053409185</v>
      </c>
      <c r="E5135" s="1" t="s">
        <v>17169</v>
      </c>
      <c r="F5135" s="2"/>
      <c r="G5135" s="2"/>
      <c r="H5135" s="2"/>
    </row>
    <row r="5136" spans="1:8" x14ac:dyDescent="0.25">
      <c r="A5136" s="1"/>
      <c r="B5136" s="1" t="s">
        <v>4202</v>
      </c>
      <c r="C5136" s="1" t="s">
        <v>4203</v>
      </c>
      <c r="D5136" s="22" t="str">
        <f>HYPERLINK("https://rhld.insurance.arkansas.gov/NPILookup?Npi=1053428201","1053428201")</f>
        <v>1053428201</v>
      </c>
      <c r="E5136" s="1" t="s">
        <v>10207</v>
      </c>
      <c r="F5136" s="2"/>
      <c r="G5136" s="2"/>
      <c r="H5136" s="2"/>
    </row>
    <row r="5137" spans="1:8" x14ac:dyDescent="0.25">
      <c r="A5137" s="1"/>
      <c r="B5137" s="1" t="s">
        <v>4202</v>
      </c>
      <c r="C5137" s="1" t="s">
        <v>4203</v>
      </c>
      <c r="D5137" s="22" t="str">
        <f>HYPERLINK("https://rhld.insurance.arkansas.gov/NPILookup?Npi=1053548461","1053548461")</f>
        <v>1053548461</v>
      </c>
      <c r="E5137" s="1" t="s">
        <v>17171</v>
      </c>
      <c r="F5137" s="2"/>
      <c r="G5137" s="2"/>
      <c r="H5137" s="2"/>
    </row>
    <row r="5138" spans="1:8" x14ac:dyDescent="0.25">
      <c r="A5138" s="1"/>
      <c r="B5138" s="1" t="s">
        <v>4202</v>
      </c>
      <c r="C5138" s="1" t="s">
        <v>4203</v>
      </c>
      <c r="D5138" s="22" t="str">
        <f>HYPERLINK("https://rhld.insurance.arkansas.gov/NPILookup?Npi=1053575597","1053575597")</f>
        <v>1053575597</v>
      </c>
      <c r="E5138" s="1" t="s">
        <v>126</v>
      </c>
      <c r="F5138" s="2"/>
      <c r="G5138" s="2"/>
      <c r="H5138" s="2"/>
    </row>
    <row r="5139" spans="1:8" x14ac:dyDescent="0.25">
      <c r="A5139" s="1"/>
      <c r="B5139" s="1" t="s">
        <v>4202</v>
      </c>
      <c r="C5139" s="1" t="s">
        <v>4203</v>
      </c>
      <c r="D5139" s="22" t="str">
        <f>HYPERLINK("https://rhld.insurance.arkansas.gov/NPILookup?Npi=1053725499","1053725499")</f>
        <v>1053725499</v>
      </c>
      <c r="E5139" s="1" t="s">
        <v>10208</v>
      </c>
      <c r="F5139" s="2"/>
      <c r="G5139" s="2"/>
      <c r="H5139" s="2"/>
    </row>
    <row r="5140" spans="1:8" x14ac:dyDescent="0.25">
      <c r="A5140" s="1"/>
      <c r="B5140" s="1" t="s">
        <v>4202</v>
      </c>
      <c r="C5140" s="1" t="s">
        <v>4203</v>
      </c>
      <c r="D5140" s="22" t="str">
        <f>HYPERLINK("https://rhld.insurance.arkansas.gov/NPILookup?Npi=1053992909","1053992909")</f>
        <v>1053992909</v>
      </c>
      <c r="E5140" s="1" t="s">
        <v>10209</v>
      </c>
      <c r="F5140" s="2"/>
      <c r="G5140" s="2"/>
      <c r="H5140" s="2"/>
    </row>
    <row r="5141" spans="1:8" x14ac:dyDescent="0.25">
      <c r="A5141" s="1"/>
      <c r="B5141" s="1" t="s">
        <v>4202</v>
      </c>
      <c r="C5141" s="1" t="s">
        <v>4203</v>
      </c>
      <c r="D5141" s="22" t="str">
        <f>HYPERLINK("https://rhld.insurance.arkansas.gov/NPILookup?Npi=1063090314","1063090314")</f>
        <v>1063090314</v>
      </c>
      <c r="E5141" s="1" t="s">
        <v>4220</v>
      </c>
      <c r="F5141" s="2"/>
      <c r="G5141" s="2"/>
      <c r="H5141" s="2"/>
    </row>
    <row r="5142" spans="1:8" x14ac:dyDescent="0.25">
      <c r="A5142" s="1"/>
      <c r="B5142" s="1" t="s">
        <v>4202</v>
      </c>
      <c r="C5142" s="1" t="s">
        <v>4203</v>
      </c>
      <c r="D5142" s="22" t="str">
        <f>HYPERLINK("https://rhld.insurance.arkansas.gov/NPILookup?Npi=1063091486","1063091486")</f>
        <v>1063091486</v>
      </c>
      <c r="E5142" s="1" t="s">
        <v>17172</v>
      </c>
      <c r="F5142" s="2"/>
      <c r="G5142" s="2"/>
      <c r="H5142" s="2"/>
    </row>
    <row r="5143" spans="1:8" x14ac:dyDescent="0.25">
      <c r="A5143" s="1"/>
      <c r="B5143" s="1" t="s">
        <v>4202</v>
      </c>
      <c r="C5143" s="1" t="s">
        <v>4203</v>
      </c>
      <c r="D5143" s="22" t="str">
        <f>HYPERLINK("https://rhld.insurance.arkansas.gov/NPILookup?Npi=1063413656","1063413656")</f>
        <v>1063413656</v>
      </c>
      <c r="E5143" s="1" t="s">
        <v>17173</v>
      </c>
      <c r="F5143" s="2"/>
      <c r="G5143" s="2"/>
      <c r="H5143" s="2"/>
    </row>
    <row r="5144" spans="1:8" x14ac:dyDescent="0.25">
      <c r="A5144" s="1"/>
      <c r="B5144" s="1" t="s">
        <v>4202</v>
      </c>
      <c r="C5144" s="1" t="s">
        <v>4203</v>
      </c>
      <c r="D5144" s="22" t="str">
        <f>HYPERLINK("https://rhld.insurance.arkansas.gov/NPILookup?Npi=1063439503","1063439503")</f>
        <v>1063439503</v>
      </c>
      <c r="E5144" s="1" t="s">
        <v>4221</v>
      </c>
      <c r="F5144" s="2"/>
      <c r="G5144" s="2"/>
      <c r="H5144" s="2"/>
    </row>
    <row r="5145" spans="1:8" x14ac:dyDescent="0.25">
      <c r="A5145" s="1"/>
      <c r="B5145" s="1" t="s">
        <v>4202</v>
      </c>
      <c r="C5145" s="1" t="s">
        <v>4203</v>
      </c>
      <c r="D5145" s="22" t="str">
        <f>HYPERLINK("https://rhld.insurance.arkansas.gov/NPILookup?Npi=1063445500","1063445500")</f>
        <v>1063445500</v>
      </c>
      <c r="E5145" s="1" t="s">
        <v>31406</v>
      </c>
      <c r="F5145" s="2"/>
      <c r="G5145" s="2"/>
      <c r="H5145" s="2"/>
    </row>
    <row r="5146" spans="1:8" x14ac:dyDescent="0.25">
      <c r="A5146" s="1"/>
      <c r="B5146" s="1" t="s">
        <v>4202</v>
      </c>
      <c r="C5146" s="1" t="s">
        <v>4203</v>
      </c>
      <c r="D5146" s="22" t="str">
        <f>HYPERLINK("https://rhld.insurance.arkansas.gov/NPILookup?Npi=1063449049","1063449049")</f>
        <v>1063449049</v>
      </c>
      <c r="E5146" s="1" t="s">
        <v>10210</v>
      </c>
      <c r="F5146" s="2"/>
      <c r="G5146" s="2"/>
      <c r="H5146" s="2"/>
    </row>
    <row r="5147" spans="1:8" x14ac:dyDescent="0.25">
      <c r="A5147" s="1"/>
      <c r="B5147" s="1" t="s">
        <v>4202</v>
      </c>
      <c r="C5147" s="1" t="s">
        <v>4203</v>
      </c>
      <c r="D5147" s="22" t="str">
        <f>HYPERLINK("https://rhld.insurance.arkansas.gov/NPILookup?Npi=1063699163","1063699163")</f>
        <v>1063699163</v>
      </c>
      <c r="E5147" s="1" t="s">
        <v>10212</v>
      </c>
      <c r="F5147" s="2"/>
      <c r="G5147" s="2"/>
      <c r="H5147" s="2"/>
    </row>
    <row r="5148" spans="1:8" x14ac:dyDescent="0.25">
      <c r="A5148" s="1"/>
      <c r="B5148" s="1" t="s">
        <v>4202</v>
      </c>
      <c r="C5148" s="1" t="s">
        <v>4203</v>
      </c>
      <c r="D5148" s="22" t="str">
        <f>HYPERLINK("https://rhld.insurance.arkansas.gov/NPILookup?Npi=1063711596","1063711596")</f>
        <v>1063711596</v>
      </c>
      <c r="E5148" s="1" t="s">
        <v>17175</v>
      </c>
      <c r="F5148" s="2"/>
      <c r="G5148" s="2"/>
      <c r="H5148" s="2"/>
    </row>
    <row r="5149" spans="1:8" x14ac:dyDescent="0.25">
      <c r="A5149" s="1"/>
      <c r="B5149" s="1" t="s">
        <v>4202</v>
      </c>
      <c r="C5149" s="1" t="s">
        <v>4203</v>
      </c>
      <c r="D5149" s="22" t="str">
        <f>HYPERLINK("https://rhld.insurance.arkansas.gov/NPILookup?Npi=1063808749","1063808749")</f>
        <v>1063808749</v>
      </c>
      <c r="E5149" s="1" t="s">
        <v>4222</v>
      </c>
      <c r="F5149" s="2"/>
      <c r="G5149" s="2"/>
      <c r="H5149" s="2"/>
    </row>
    <row r="5150" spans="1:8" x14ac:dyDescent="0.25">
      <c r="A5150" s="1"/>
      <c r="B5150" s="1" t="s">
        <v>4202</v>
      </c>
      <c r="C5150" s="1" t="s">
        <v>4203</v>
      </c>
      <c r="D5150" s="22" t="str">
        <f>HYPERLINK("https://rhld.insurance.arkansas.gov/NPILookup?Npi=1073019758","1073019758")</f>
        <v>1073019758</v>
      </c>
      <c r="E5150" s="1" t="s">
        <v>31407</v>
      </c>
      <c r="F5150" s="2"/>
      <c r="G5150" s="2"/>
      <c r="H5150" s="2"/>
    </row>
    <row r="5151" spans="1:8" x14ac:dyDescent="0.25">
      <c r="A5151" s="1"/>
      <c r="B5151" s="1" t="s">
        <v>4202</v>
      </c>
      <c r="C5151" s="1" t="s">
        <v>4203</v>
      </c>
      <c r="D5151" s="22" t="str">
        <f>HYPERLINK("https://rhld.insurance.arkansas.gov/NPILookup?Npi=1073046363","1073046363")</f>
        <v>1073046363</v>
      </c>
      <c r="E5151" s="1" t="s">
        <v>17178</v>
      </c>
      <c r="F5151" s="2"/>
      <c r="G5151" s="2"/>
      <c r="H5151" s="2"/>
    </row>
    <row r="5152" spans="1:8" x14ac:dyDescent="0.25">
      <c r="A5152" s="1"/>
      <c r="B5152" s="1" t="s">
        <v>4202</v>
      </c>
      <c r="C5152" s="1" t="s">
        <v>4203</v>
      </c>
      <c r="D5152" s="22" t="str">
        <f>HYPERLINK("https://rhld.insurance.arkansas.gov/NPILookup?Npi=1073500542","1073500542")</f>
        <v>1073500542</v>
      </c>
      <c r="E5152" s="1" t="s">
        <v>17180</v>
      </c>
      <c r="F5152" s="2"/>
      <c r="G5152" s="2"/>
      <c r="H5152" s="2"/>
    </row>
    <row r="5153" spans="1:8" x14ac:dyDescent="0.25">
      <c r="A5153" s="1"/>
      <c r="B5153" s="1" t="s">
        <v>4202</v>
      </c>
      <c r="C5153" s="1" t="s">
        <v>4203</v>
      </c>
      <c r="D5153" s="22" t="str">
        <f>HYPERLINK("https://rhld.insurance.arkansas.gov/NPILookup?Npi=1073521399","1073521399")</f>
        <v>1073521399</v>
      </c>
      <c r="E5153" s="1" t="s">
        <v>4223</v>
      </c>
      <c r="F5153" s="2"/>
      <c r="G5153" s="2"/>
      <c r="H5153" s="2"/>
    </row>
    <row r="5154" spans="1:8" x14ac:dyDescent="0.25">
      <c r="A5154" s="1"/>
      <c r="B5154" s="1" t="s">
        <v>4202</v>
      </c>
      <c r="C5154" s="1" t="s">
        <v>4203</v>
      </c>
      <c r="D5154" s="22" t="str">
        <f>HYPERLINK("https://rhld.insurance.arkansas.gov/NPILookup?Npi=1073579314","1073579314")</f>
        <v>1073579314</v>
      </c>
      <c r="E5154" s="1" t="s">
        <v>4224</v>
      </c>
      <c r="F5154" s="2"/>
      <c r="G5154" s="2"/>
      <c r="H5154" s="2"/>
    </row>
    <row r="5155" spans="1:8" x14ac:dyDescent="0.25">
      <c r="A5155" s="1"/>
      <c r="B5155" s="1" t="s">
        <v>4202</v>
      </c>
      <c r="C5155" s="1" t="s">
        <v>4203</v>
      </c>
      <c r="D5155" s="22" t="str">
        <f>HYPERLINK("https://rhld.insurance.arkansas.gov/NPILookup?Npi=1073612883","1073612883")</f>
        <v>1073612883</v>
      </c>
      <c r="E5155" s="1" t="s">
        <v>17182</v>
      </c>
      <c r="F5155" s="2"/>
      <c r="G5155" s="2"/>
      <c r="H5155" s="2"/>
    </row>
    <row r="5156" spans="1:8" x14ac:dyDescent="0.25">
      <c r="A5156" s="1"/>
      <c r="B5156" s="1" t="s">
        <v>4202</v>
      </c>
      <c r="C5156" s="1" t="s">
        <v>4203</v>
      </c>
      <c r="D5156" s="22" t="str">
        <f>HYPERLINK("https://rhld.insurance.arkansas.gov/NPILookup?Npi=1073635132","1073635132")</f>
        <v>1073635132</v>
      </c>
      <c r="E5156" s="1" t="s">
        <v>3767</v>
      </c>
      <c r="F5156" s="2"/>
      <c r="G5156" s="2"/>
      <c r="H5156" s="2"/>
    </row>
    <row r="5157" spans="1:8" x14ac:dyDescent="0.25">
      <c r="A5157" s="1"/>
      <c r="B5157" s="1" t="s">
        <v>4202</v>
      </c>
      <c r="C5157" s="1" t="s">
        <v>4203</v>
      </c>
      <c r="D5157" s="22" t="str">
        <f>HYPERLINK("https://rhld.insurance.arkansas.gov/NPILookup?Npi=1073743019","1073743019")</f>
        <v>1073743019</v>
      </c>
      <c r="E5157" s="1" t="s">
        <v>4225</v>
      </c>
      <c r="F5157" s="2"/>
      <c r="G5157" s="2"/>
      <c r="H5157" s="2"/>
    </row>
    <row r="5158" spans="1:8" x14ac:dyDescent="0.25">
      <c r="A5158" s="1"/>
      <c r="B5158" s="1" t="s">
        <v>4202</v>
      </c>
      <c r="C5158" s="1" t="s">
        <v>4203</v>
      </c>
      <c r="D5158" s="22" t="str">
        <f>HYPERLINK("https://rhld.insurance.arkansas.gov/NPILookup?Npi=1073776753","1073776753")</f>
        <v>1073776753</v>
      </c>
      <c r="E5158" s="1" t="s">
        <v>4226</v>
      </c>
      <c r="F5158" s="2"/>
      <c r="G5158" s="2"/>
      <c r="H5158" s="2"/>
    </row>
    <row r="5159" spans="1:8" x14ac:dyDescent="0.25">
      <c r="A5159" s="1"/>
      <c r="B5159" s="1" t="s">
        <v>4202</v>
      </c>
      <c r="C5159" s="1" t="s">
        <v>4203</v>
      </c>
      <c r="D5159" s="22" t="str">
        <f>HYPERLINK("https://rhld.insurance.arkansas.gov/NPILookup?Npi=1083024590","1083024590")</f>
        <v>1083024590</v>
      </c>
      <c r="E5159" s="1" t="s">
        <v>4227</v>
      </c>
      <c r="F5159" s="2"/>
      <c r="G5159" s="2"/>
      <c r="H5159" s="2"/>
    </row>
    <row r="5160" spans="1:8" x14ac:dyDescent="0.25">
      <c r="A5160" s="1"/>
      <c r="B5160" s="1" t="s">
        <v>4202</v>
      </c>
      <c r="C5160" s="1" t="s">
        <v>4203</v>
      </c>
      <c r="D5160" s="22" t="str">
        <f>HYPERLINK("https://rhld.insurance.arkansas.gov/NPILookup?Npi=1083146518","1083146518")</f>
        <v>1083146518</v>
      </c>
      <c r="E5160" s="1" t="s">
        <v>4228</v>
      </c>
      <c r="F5160" s="2"/>
      <c r="G5160" s="2"/>
      <c r="H5160" s="2"/>
    </row>
    <row r="5161" spans="1:8" x14ac:dyDescent="0.25">
      <c r="A5161" s="1"/>
      <c r="B5161" s="1" t="s">
        <v>4202</v>
      </c>
      <c r="C5161" s="1" t="s">
        <v>4203</v>
      </c>
      <c r="D5161" s="22" t="str">
        <f>HYPERLINK("https://rhld.insurance.arkansas.gov/NPILookup?Npi=1083176929","1083176929")</f>
        <v>1083176929</v>
      </c>
      <c r="E5161" s="1" t="s">
        <v>17185</v>
      </c>
      <c r="F5161" s="2"/>
      <c r="G5161" s="2"/>
      <c r="H5161" s="2"/>
    </row>
    <row r="5162" spans="1:8" x14ac:dyDescent="0.25">
      <c r="A5162" s="1"/>
      <c r="B5162" s="1" t="s">
        <v>4202</v>
      </c>
      <c r="C5162" s="1" t="s">
        <v>4203</v>
      </c>
      <c r="D5162" s="22" t="str">
        <f>HYPERLINK("https://rhld.insurance.arkansas.gov/NPILookup?Npi=1083601140","1083601140")</f>
        <v>1083601140</v>
      </c>
      <c r="E5162" s="1" t="s">
        <v>17187</v>
      </c>
      <c r="F5162" s="2"/>
      <c r="G5162" s="2"/>
      <c r="H5162" s="2"/>
    </row>
    <row r="5163" spans="1:8" x14ac:dyDescent="0.25">
      <c r="A5163" s="1"/>
      <c r="B5163" s="1" t="s">
        <v>4202</v>
      </c>
      <c r="C5163" s="1" t="s">
        <v>4203</v>
      </c>
      <c r="D5163" s="22" t="str">
        <f>HYPERLINK("https://rhld.insurance.arkansas.gov/NPILookup?Npi=1083603021","1083603021")</f>
        <v>1083603021</v>
      </c>
      <c r="E5163" s="1" t="s">
        <v>4229</v>
      </c>
      <c r="F5163" s="2"/>
      <c r="G5163" s="2"/>
      <c r="H5163" s="2"/>
    </row>
    <row r="5164" spans="1:8" x14ac:dyDescent="0.25">
      <c r="A5164" s="1"/>
      <c r="B5164" s="1" t="s">
        <v>4202</v>
      </c>
      <c r="C5164" s="1" t="s">
        <v>4203</v>
      </c>
      <c r="D5164" s="22" t="str">
        <f>HYPERLINK("https://rhld.insurance.arkansas.gov/NPILookup?Npi=1083604425","1083604425")</f>
        <v>1083604425</v>
      </c>
      <c r="E5164" s="1" t="s">
        <v>4230</v>
      </c>
      <c r="F5164" s="2"/>
      <c r="G5164" s="2"/>
      <c r="H5164" s="2"/>
    </row>
    <row r="5165" spans="1:8" x14ac:dyDescent="0.25">
      <c r="A5165" s="1"/>
      <c r="B5165" s="1" t="s">
        <v>4202</v>
      </c>
      <c r="C5165" s="1" t="s">
        <v>4203</v>
      </c>
      <c r="D5165" s="22" t="str">
        <f>HYPERLINK("https://rhld.insurance.arkansas.gov/NPILookup?Npi=1083618953","1083618953")</f>
        <v>1083618953</v>
      </c>
      <c r="E5165" s="1" t="s">
        <v>832</v>
      </c>
      <c r="F5165" s="2"/>
      <c r="G5165" s="2"/>
      <c r="H5165" s="2"/>
    </row>
    <row r="5166" spans="1:8" x14ac:dyDescent="0.25">
      <c r="A5166" s="1"/>
      <c r="B5166" s="1" t="s">
        <v>4202</v>
      </c>
      <c r="C5166" s="1" t="s">
        <v>4203</v>
      </c>
      <c r="D5166" s="22" t="str">
        <f>HYPERLINK("https://rhld.insurance.arkansas.gov/NPILookup?Npi=1083635577","1083635577")</f>
        <v>1083635577</v>
      </c>
      <c r="E5166" s="1" t="s">
        <v>17188</v>
      </c>
      <c r="F5166" s="2"/>
      <c r="G5166" s="2"/>
      <c r="H5166" s="2"/>
    </row>
    <row r="5167" spans="1:8" x14ac:dyDescent="0.25">
      <c r="A5167" s="1"/>
      <c r="B5167" s="1" t="s">
        <v>4202</v>
      </c>
      <c r="C5167" s="1" t="s">
        <v>4203</v>
      </c>
      <c r="D5167" s="22" t="str">
        <f>HYPERLINK("https://rhld.insurance.arkansas.gov/NPILookup?Npi=1083638241","1083638241")</f>
        <v>1083638241</v>
      </c>
      <c r="E5167" s="1" t="s">
        <v>4231</v>
      </c>
      <c r="F5167" s="2"/>
      <c r="G5167" s="2"/>
      <c r="H5167" s="2"/>
    </row>
    <row r="5168" spans="1:8" x14ac:dyDescent="0.25">
      <c r="A5168" s="1"/>
      <c r="B5168" s="1" t="s">
        <v>4202</v>
      </c>
      <c r="C5168" s="1" t="s">
        <v>4203</v>
      </c>
      <c r="D5168" s="22" t="str">
        <f>HYPERLINK("https://rhld.insurance.arkansas.gov/NPILookup?Npi=1083654099","1083654099")</f>
        <v>1083654099</v>
      </c>
      <c r="E5168" s="1" t="s">
        <v>17189</v>
      </c>
      <c r="F5168" s="2"/>
      <c r="G5168" s="2"/>
      <c r="H5168" s="2"/>
    </row>
    <row r="5169" spans="1:8" x14ac:dyDescent="0.25">
      <c r="A5169" s="1"/>
      <c r="B5169" s="1" t="s">
        <v>4202</v>
      </c>
      <c r="C5169" s="1" t="s">
        <v>4203</v>
      </c>
      <c r="D5169" s="22" t="str">
        <f>HYPERLINK("https://rhld.insurance.arkansas.gov/NPILookup?Npi=1083670095","1083670095")</f>
        <v>1083670095</v>
      </c>
      <c r="E5169" s="1" t="s">
        <v>17190</v>
      </c>
      <c r="F5169" s="2"/>
      <c r="G5169" s="2"/>
      <c r="H5169" s="2"/>
    </row>
    <row r="5170" spans="1:8" x14ac:dyDescent="0.25">
      <c r="A5170" s="1"/>
      <c r="B5170" s="1" t="s">
        <v>4202</v>
      </c>
      <c r="C5170" s="1" t="s">
        <v>4203</v>
      </c>
      <c r="D5170" s="22" t="str">
        <f>HYPERLINK("https://rhld.insurance.arkansas.gov/NPILookup?Npi=1083790083","1083790083")</f>
        <v>1083790083</v>
      </c>
      <c r="E5170" s="1" t="s">
        <v>4233</v>
      </c>
      <c r="F5170" s="2"/>
      <c r="G5170" s="2"/>
      <c r="H5170" s="2"/>
    </row>
    <row r="5171" spans="1:8" x14ac:dyDescent="0.25">
      <c r="A5171" s="1"/>
      <c r="B5171" s="1" t="s">
        <v>4202</v>
      </c>
      <c r="C5171" s="1" t="s">
        <v>4203</v>
      </c>
      <c r="D5171" s="22" t="str">
        <f>HYPERLINK("https://rhld.insurance.arkansas.gov/NPILookup?Npi=1083860209","1083860209")</f>
        <v>1083860209</v>
      </c>
      <c r="E5171" s="1" t="s">
        <v>17193</v>
      </c>
      <c r="F5171" s="2"/>
      <c r="G5171" s="2"/>
      <c r="H5171" s="2"/>
    </row>
    <row r="5172" spans="1:8" x14ac:dyDescent="0.25">
      <c r="A5172" s="1"/>
      <c r="B5172" s="1" t="s">
        <v>4202</v>
      </c>
      <c r="C5172" s="1" t="s">
        <v>4203</v>
      </c>
      <c r="D5172" s="22" t="str">
        <f>HYPERLINK("https://rhld.insurance.arkansas.gov/NPILookup?Npi=1083898803","1083898803")</f>
        <v>1083898803</v>
      </c>
      <c r="E5172" s="1" t="s">
        <v>17194</v>
      </c>
      <c r="F5172" s="2"/>
      <c r="G5172" s="2"/>
      <c r="H5172" s="2"/>
    </row>
    <row r="5173" spans="1:8" x14ac:dyDescent="0.25">
      <c r="A5173" s="1"/>
      <c r="B5173" s="1" t="s">
        <v>4202</v>
      </c>
      <c r="C5173" s="1" t="s">
        <v>4203</v>
      </c>
      <c r="D5173" s="22" t="str">
        <f>HYPERLINK("https://rhld.insurance.arkansas.gov/NPILookup?Npi=1083905111","1083905111")</f>
        <v>1083905111</v>
      </c>
      <c r="E5173" s="1" t="s">
        <v>10213</v>
      </c>
      <c r="F5173" s="2"/>
      <c r="G5173" s="2"/>
      <c r="H5173" s="2"/>
    </row>
    <row r="5174" spans="1:8" x14ac:dyDescent="0.25">
      <c r="A5174" s="1"/>
      <c r="B5174" s="1" t="s">
        <v>4202</v>
      </c>
      <c r="C5174" s="1" t="s">
        <v>4203</v>
      </c>
      <c r="D5174" s="22" t="str">
        <f>HYPERLINK("https://rhld.insurance.arkansas.gov/NPILookup?Npi=1083906143","1083906143")</f>
        <v>1083906143</v>
      </c>
      <c r="E5174" s="1" t="s">
        <v>3656</v>
      </c>
      <c r="F5174" s="2"/>
      <c r="G5174" s="2"/>
      <c r="H5174" s="2"/>
    </row>
    <row r="5175" spans="1:8" x14ac:dyDescent="0.25">
      <c r="A5175" s="1"/>
      <c r="B5175" s="1" t="s">
        <v>4202</v>
      </c>
      <c r="C5175" s="1" t="s">
        <v>4203</v>
      </c>
      <c r="D5175" s="22" t="str">
        <f>HYPERLINK("https://rhld.insurance.arkansas.gov/NPILookup?Npi=1083957245","1083957245")</f>
        <v>1083957245</v>
      </c>
      <c r="E5175" s="1" t="s">
        <v>4234</v>
      </c>
      <c r="F5175" s="2"/>
      <c r="G5175" s="2"/>
      <c r="H5175" s="2"/>
    </row>
    <row r="5176" spans="1:8" x14ac:dyDescent="0.25">
      <c r="A5176" s="1"/>
      <c r="B5176" s="1" t="s">
        <v>4202</v>
      </c>
      <c r="C5176" s="1" t="s">
        <v>4203</v>
      </c>
      <c r="D5176" s="22" t="str">
        <f>HYPERLINK("https://rhld.insurance.arkansas.gov/NPILookup?Npi=1083957641","1083957641")</f>
        <v>1083957641</v>
      </c>
      <c r="E5176" s="1" t="s">
        <v>17195</v>
      </c>
      <c r="F5176" s="2"/>
      <c r="G5176" s="2"/>
      <c r="H5176" s="2"/>
    </row>
    <row r="5177" spans="1:8" x14ac:dyDescent="0.25">
      <c r="A5177" s="1"/>
      <c r="B5177" s="1" t="s">
        <v>4202</v>
      </c>
      <c r="C5177" s="1" t="s">
        <v>4203</v>
      </c>
      <c r="D5177" s="22" t="str">
        <f>HYPERLINK("https://rhld.insurance.arkansas.gov/NPILookup?Npi=1093476863","1093476863")</f>
        <v>1093476863</v>
      </c>
      <c r="E5177" s="1" t="s">
        <v>10214</v>
      </c>
      <c r="F5177" s="2"/>
      <c r="G5177" s="2"/>
      <c r="H5177" s="2"/>
    </row>
    <row r="5178" spans="1:8" x14ac:dyDescent="0.25">
      <c r="A5178" s="1"/>
      <c r="B5178" s="1" t="s">
        <v>4202</v>
      </c>
      <c r="C5178" s="1" t="s">
        <v>4203</v>
      </c>
      <c r="D5178" s="22" t="str">
        <f>HYPERLINK("https://rhld.insurance.arkansas.gov/NPILookup?Npi=1093715203","1093715203")</f>
        <v>1093715203</v>
      </c>
      <c r="E5178" s="1" t="s">
        <v>2637</v>
      </c>
      <c r="F5178" s="2"/>
      <c r="G5178" s="2"/>
      <c r="H5178" s="2"/>
    </row>
    <row r="5179" spans="1:8" x14ac:dyDescent="0.25">
      <c r="A5179" s="1"/>
      <c r="B5179" s="1" t="s">
        <v>4202</v>
      </c>
      <c r="C5179" s="1" t="s">
        <v>4203</v>
      </c>
      <c r="D5179" s="22" t="str">
        <f>HYPERLINK("https://rhld.insurance.arkansas.gov/NPILookup?Npi=1093715682","1093715682")</f>
        <v>1093715682</v>
      </c>
      <c r="E5179" s="1" t="s">
        <v>17197</v>
      </c>
      <c r="F5179" s="2"/>
      <c r="G5179" s="2"/>
      <c r="H5179" s="2"/>
    </row>
    <row r="5180" spans="1:8" x14ac:dyDescent="0.25">
      <c r="A5180" s="1"/>
      <c r="B5180" s="1" t="s">
        <v>4202</v>
      </c>
      <c r="C5180" s="1" t="s">
        <v>4203</v>
      </c>
      <c r="D5180" s="22" t="str">
        <f>HYPERLINK("https://rhld.insurance.arkansas.gov/NPILookup?Npi=1093732950","1093732950")</f>
        <v>1093732950</v>
      </c>
      <c r="E5180" s="1" t="s">
        <v>1116</v>
      </c>
      <c r="F5180" s="2"/>
      <c r="G5180" s="2"/>
      <c r="H5180" s="2"/>
    </row>
    <row r="5181" spans="1:8" x14ac:dyDescent="0.25">
      <c r="A5181" s="1"/>
      <c r="B5181" s="1" t="s">
        <v>4202</v>
      </c>
      <c r="C5181" s="1" t="s">
        <v>4203</v>
      </c>
      <c r="D5181" s="22" t="str">
        <f>HYPERLINK("https://rhld.insurance.arkansas.gov/NPILookup?Npi=1093756298","1093756298")</f>
        <v>1093756298</v>
      </c>
      <c r="E5181" s="1" t="s">
        <v>4235</v>
      </c>
      <c r="F5181" s="2"/>
      <c r="G5181" s="2"/>
      <c r="H5181" s="2"/>
    </row>
    <row r="5182" spans="1:8" x14ac:dyDescent="0.25">
      <c r="A5182" s="1"/>
      <c r="B5182" s="1" t="s">
        <v>4202</v>
      </c>
      <c r="C5182" s="1" t="s">
        <v>4203</v>
      </c>
      <c r="D5182" s="22" t="str">
        <f>HYPERLINK("https://rhld.insurance.arkansas.gov/NPILookup?Npi=1093779209","1093779209")</f>
        <v>1093779209</v>
      </c>
      <c r="E5182" s="1" t="s">
        <v>17198</v>
      </c>
      <c r="F5182" s="2"/>
      <c r="G5182" s="2"/>
      <c r="H5182" s="2"/>
    </row>
    <row r="5183" spans="1:8" x14ac:dyDescent="0.25">
      <c r="A5183" s="1"/>
      <c r="B5183" s="1" t="s">
        <v>4202</v>
      </c>
      <c r="C5183" s="1" t="s">
        <v>4203</v>
      </c>
      <c r="D5183" s="22" t="str">
        <f>HYPERLINK("https://rhld.insurance.arkansas.gov/NPILookup?Npi=1093788747","1093788747")</f>
        <v>1093788747</v>
      </c>
      <c r="E5183" s="1" t="s">
        <v>17200</v>
      </c>
      <c r="F5183" s="2"/>
      <c r="G5183" s="2"/>
      <c r="H5183" s="2"/>
    </row>
    <row r="5184" spans="1:8" x14ac:dyDescent="0.25">
      <c r="A5184" s="1"/>
      <c r="B5184" s="1" t="s">
        <v>4202</v>
      </c>
      <c r="C5184" s="1" t="s">
        <v>4203</v>
      </c>
      <c r="D5184" s="22" t="str">
        <f>HYPERLINK("https://rhld.insurance.arkansas.gov/NPILookup?Npi=1093831042","1093831042")</f>
        <v>1093831042</v>
      </c>
      <c r="E5184" s="1" t="s">
        <v>31408</v>
      </c>
      <c r="F5184" s="2"/>
      <c r="G5184" s="2"/>
      <c r="H5184" s="2"/>
    </row>
    <row r="5185" spans="1:8" x14ac:dyDescent="0.25">
      <c r="A5185" s="1"/>
      <c r="B5185" s="1" t="s">
        <v>4202</v>
      </c>
      <c r="C5185" s="1" t="s">
        <v>4203</v>
      </c>
      <c r="D5185" s="22" t="str">
        <f>HYPERLINK("https://rhld.insurance.arkansas.gov/NPILookup?Npi=1093906406","1093906406")</f>
        <v>1093906406</v>
      </c>
      <c r="E5185" s="1" t="s">
        <v>4237</v>
      </c>
      <c r="F5185" s="2"/>
      <c r="G5185" s="2"/>
      <c r="H5185" s="2"/>
    </row>
    <row r="5186" spans="1:8" x14ac:dyDescent="0.25">
      <c r="A5186" s="1"/>
      <c r="B5186" s="1" t="s">
        <v>4202</v>
      </c>
      <c r="C5186" s="1" t="s">
        <v>4203</v>
      </c>
      <c r="D5186" s="22" t="str">
        <f>HYPERLINK("https://rhld.insurance.arkansas.gov/NPILookup?Npi=1093926537","1093926537")</f>
        <v>1093926537</v>
      </c>
      <c r="E5186" s="1" t="s">
        <v>10216</v>
      </c>
      <c r="F5186" s="2"/>
      <c r="G5186" s="2"/>
      <c r="H5186" s="2"/>
    </row>
    <row r="5187" spans="1:8" x14ac:dyDescent="0.25">
      <c r="A5187" s="1"/>
      <c r="B5187" s="1" t="s">
        <v>4202</v>
      </c>
      <c r="C5187" s="1" t="s">
        <v>4203</v>
      </c>
      <c r="D5187" s="22" t="str">
        <f>HYPERLINK("https://rhld.insurance.arkansas.gov/NPILookup?Npi=1093933285","1093933285")</f>
        <v>1093933285</v>
      </c>
      <c r="E5187" s="1" t="s">
        <v>1473</v>
      </c>
      <c r="F5187" s="2"/>
      <c r="G5187" s="2"/>
      <c r="H5187" s="2"/>
    </row>
    <row r="5188" spans="1:8" x14ac:dyDescent="0.25">
      <c r="A5188" s="1"/>
      <c r="B5188" s="1" t="s">
        <v>4202</v>
      </c>
      <c r="C5188" s="1" t="s">
        <v>4203</v>
      </c>
      <c r="D5188" s="22" t="str">
        <f>HYPERLINK("https://rhld.insurance.arkansas.gov/NPILookup?Npi=1093987810","1093987810")</f>
        <v>1093987810</v>
      </c>
      <c r="E5188" s="1" t="s">
        <v>10217</v>
      </c>
      <c r="F5188" s="2"/>
      <c r="G5188" s="2"/>
      <c r="H5188" s="2"/>
    </row>
    <row r="5189" spans="1:8" x14ac:dyDescent="0.25">
      <c r="A5189" s="1"/>
      <c r="B5189" s="1" t="s">
        <v>4202</v>
      </c>
      <c r="C5189" s="1" t="s">
        <v>4203</v>
      </c>
      <c r="D5189" s="22" t="str">
        <f>HYPERLINK("https://rhld.insurance.arkansas.gov/NPILookup?Npi=1104030196","1104030196")</f>
        <v>1104030196</v>
      </c>
      <c r="E5189" s="1" t="s">
        <v>17201</v>
      </c>
      <c r="F5189" s="2"/>
      <c r="G5189" s="2"/>
      <c r="H5189" s="2"/>
    </row>
    <row r="5190" spans="1:8" x14ac:dyDescent="0.25">
      <c r="A5190" s="1"/>
      <c r="B5190" s="1" t="s">
        <v>4202</v>
      </c>
      <c r="C5190" s="1" t="s">
        <v>4203</v>
      </c>
      <c r="D5190" s="22" t="str">
        <f>HYPERLINK("https://rhld.insurance.arkansas.gov/NPILookup?Npi=1104035062","1104035062")</f>
        <v>1104035062</v>
      </c>
      <c r="E5190" s="1" t="s">
        <v>17202</v>
      </c>
      <c r="F5190" s="2"/>
      <c r="G5190" s="2"/>
      <c r="H5190" s="2"/>
    </row>
    <row r="5191" spans="1:8" x14ac:dyDescent="0.25">
      <c r="A5191" s="1"/>
      <c r="B5191" s="1" t="s">
        <v>4202</v>
      </c>
      <c r="C5191" s="1" t="s">
        <v>4203</v>
      </c>
      <c r="D5191" s="22" t="str">
        <f>HYPERLINK("https://rhld.insurance.arkansas.gov/NPILookup?Npi=1104037639","1104037639")</f>
        <v>1104037639</v>
      </c>
      <c r="E5191" s="1" t="s">
        <v>17203</v>
      </c>
      <c r="F5191" s="2"/>
      <c r="G5191" s="2"/>
      <c r="H5191" s="2"/>
    </row>
    <row r="5192" spans="1:8" x14ac:dyDescent="0.25">
      <c r="A5192" s="1"/>
      <c r="B5192" s="1" t="s">
        <v>4202</v>
      </c>
      <c r="C5192" s="1" t="s">
        <v>4203</v>
      </c>
      <c r="D5192" s="22" t="str">
        <f>HYPERLINK("https://rhld.insurance.arkansas.gov/NPILookup?Npi=1104116193","1104116193")</f>
        <v>1104116193</v>
      </c>
      <c r="E5192" s="1" t="s">
        <v>17204</v>
      </c>
      <c r="F5192" s="2"/>
      <c r="G5192" s="2"/>
      <c r="H5192" s="2"/>
    </row>
    <row r="5193" spans="1:8" x14ac:dyDescent="0.25">
      <c r="A5193" s="1"/>
      <c r="B5193" s="1" t="s">
        <v>4202</v>
      </c>
      <c r="C5193" s="1" t="s">
        <v>4203</v>
      </c>
      <c r="D5193" s="22" t="str">
        <f>HYPERLINK("https://rhld.insurance.arkansas.gov/NPILookup?Npi=1104184241","1104184241")</f>
        <v>1104184241</v>
      </c>
      <c r="E5193" s="1" t="s">
        <v>18708</v>
      </c>
      <c r="F5193" s="2"/>
      <c r="G5193" s="2"/>
      <c r="H5193" s="2"/>
    </row>
    <row r="5194" spans="1:8" x14ac:dyDescent="0.25">
      <c r="A5194" s="1"/>
      <c r="B5194" s="1" t="s">
        <v>4202</v>
      </c>
      <c r="C5194" s="1" t="s">
        <v>4203</v>
      </c>
      <c r="D5194" s="22" t="str">
        <f>HYPERLINK("https://rhld.insurance.arkansas.gov/NPILookup?Npi=1104242635","1104242635")</f>
        <v>1104242635</v>
      </c>
      <c r="E5194" s="1" t="s">
        <v>17205</v>
      </c>
      <c r="F5194" s="2"/>
      <c r="G5194" s="2"/>
      <c r="H5194" s="2"/>
    </row>
    <row r="5195" spans="1:8" x14ac:dyDescent="0.25">
      <c r="A5195" s="1"/>
      <c r="B5195" s="1" t="s">
        <v>4202</v>
      </c>
      <c r="C5195" s="1" t="s">
        <v>4203</v>
      </c>
      <c r="D5195" s="22" t="str">
        <f>HYPERLINK("https://rhld.insurance.arkansas.gov/NPILookup?Npi=1104263425","1104263425")</f>
        <v>1104263425</v>
      </c>
      <c r="E5195" s="1" t="s">
        <v>4238</v>
      </c>
      <c r="F5195" s="2"/>
      <c r="G5195" s="2"/>
      <c r="H5195" s="2"/>
    </row>
    <row r="5196" spans="1:8" x14ac:dyDescent="0.25">
      <c r="A5196" s="1"/>
      <c r="B5196" s="1" t="s">
        <v>4202</v>
      </c>
      <c r="C5196" s="1" t="s">
        <v>4203</v>
      </c>
      <c r="D5196" s="22" t="str">
        <f>HYPERLINK("https://rhld.insurance.arkansas.gov/NPILookup?Npi=1104387281","1104387281")</f>
        <v>1104387281</v>
      </c>
      <c r="E5196" s="1" t="s">
        <v>4239</v>
      </c>
      <c r="F5196" s="2"/>
      <c r="G5196" s="2"/>
      <c r="H5196" s="2"/>
    </row>
    <row r="5197" spans="1:8" x14ac:dyDescent="0.25">
      <c r="A5197" s="1"/>
      <c r="B5197" s="1" t="s">
        <v>4202</v>
      </c>
      <c r="C5197" s="1" t="s">
        <v>4203</v>
      </c>
      <c r="D5197" s="22" t="str">
        <f>HYPERLINK("https://rhld.insurance.arkansas.gov/NPILookup?Npi=1104405869","1104405869")</f>
        <v>1104405869</v>
      </c>
      <c r="E5197" s="1" t="s">
        <v>4240</v>
      </c>
      <c r="F5197" s="2"/>
      <c r="G5197" s="2"/>
      <c r="H5197" s="2"/>
    </row>
    <row r="5198" spans="1:8" x14ac:dyDescent="0.25">
      <c r="A5198" s="1"/>
      <c r="B5198" s="1" t="s">
        <v>4202</v>
      </c>
      <c r="C5198" s="1" t="s">
        <v>4203</v>
      </c>
      <c r="D5198" s="22" t="str">
        <f>HYPERLINK("https://rhld.insurance.arkansas.gov/NPILookup?Npi=1104489095","1104489095")</f>
        <v>1104489095</v>
      </c>
      <c r="E5198" s="1" t="s">
        <v>17209</v>
      </c>
      <c r="F5198" s="2"/>
      <c r="G5198" s="2"/>
      <c r="H5198" s="2"/>
    </row>
    <row r="5199" spans="1:8" x14ac:dyDescent="0.25">
      <c r="A5199" s="1"/>
      <c r="B5199" s="1" t="s">
        <v>4202</v>
      </c>
      <c r="C5199" s="1" t="s">
        <v>4203</v>
      </c>
      <c r="D5199" s="22" t="str">
        <f>HYPERLINK("https://rhld.insurance.arkansas.gov/NPILookup?Npi=1104809920","1104809920")</f>
        <v>1104809920</v>
      </c>
      <c r="E5199" s="1" t="s">
        <v>10218</v>
      </c>
      <c r="F5199" s="2"/>
      <c r="G5199" s="2"/>
      <c r="H5199" s="2"/>
    </row>
    <row r="5200" spans="1:8" x14ac:dyDescent="0.25">
      <c r="A5200" s="1"/>
      <c r="B5200" s="1" t="s">
        <v>4202</v>
      </c>
      <c r="C5200" s="1" t="s">
        <v>4203</v>
      </c>
      <c r="D5200" s="22" t="str">
        <f>HYPERLINK("https://rhld.insurance.arkansas.gov/NPILookup?Npi=1104867423","1104867423")</f>
        <v>1104867423</v>
      </c>
      <c r="E5200" s="1" t="s">
        <v>10219</v>
      </c>
      <c r="F5200" s="2"/>
      <c r="G5200" s="2"/>
      <c r="H5200" s="2"/>
    </row>
    <row r="5201" spans="1:8" x14ac:dyDescent="0.25">
      <c r="A5201" s="1"/>
      <c r="B5201" s="1" t="s">
        <v>4202</v>
      </c>
      <c r="C5201" s="1" t="s">
        <v>4203</v>
      </c>
      <c r="D5201" s="22" t="str">
        <f>HYPERLINK("https://rhld.insurance.arkansas.gov/NPILookup?Npi=1104868827","1104868827")</f>
        <v>1104868827</v>
      </c>
      <c r="E5201" s="1" t="s">
        <v>17210</v>
      </c>
      <c r="F5201" s="2"/>
      <c r="G5201" s="2"/>
      <c r="H5201" s="2"/>
    </row>
    <row r="5202" spans="1:8" x14ac:dyDescent="0.25">
      <c r="A5202" s="1"/>
      <c r="B5202" s="1" t="s">
        <v>4202</v>
      </c>
      <c r="C5202" s="1" t="s">
        <v>4203</v>
      </c>
      <c r="D5202" s="22" t="str">
        <f>HYPERLINK("https://rhld.insurance.arkansas.gov/NPILookup?Npi=1104888999","1104888999")</f>
        <v>1104888999</v>
      </c>
      <c r="E5202" s="1" t="s">
        <v>10220</v>
      </c>
      <c r="F5202" s="2"/>
      <c r="G5202" s="2"/>
      <c r="H5202" s="2"/>
    </row>
    <row r="5203" spans="1:8" x14ac:dyDescent="0.25">
      <c r="A5203" s="1"/>
      <c r="B5203" s="1" t="s">
        <v>4202</v>
      </c>
      <c r="C5203" s="1" t="s">
        <v>4203</v>
      </c>
      <c r="D5203" s="22" t="str">
        <f>HYPERLINK("https://rhld.insurance.arkansas.gov/NPILookup?Npi=1104905819","1104905819")</f>
        <v>1104905819</v>
      </c>
      <c r="E5203" s="1" t="s">
        <v>10221</v>
      </c>
      <c r="F5203" s="2"/>
      <c r="G5203" s="2"/>
      <c r="H5203" s="2"/>
    </row>
    <row r="5204" spans="1:8" x14ac:dyDescent="0.25">
      <c r="A5204" s="1"/>
      <c r="B5204" s="1" t="s">
        <v>4202</v>
      </c>
      <c r="C5204" s="1" t="s">
        <v>4203</v>
      </c>
      <c r="D5204" s="22" t="str">
        <f>HYPERLINK("https://rhld.insurance.arkansas.gov/NPILookup?Npi=1114017555","1114017555")</f>
        <v>1114017555</v>
      </c>
      <c r="E5204" s="1" t="s">
        <v>10222</v>
      </c>
      <c r="F5204" s="2"/>
      <c r="G5204" s="2"/>
      <c r="H5204" s="2"/>
    </row>
    <row r="5205" spans="1:8" x14ac:dyDescent="0.25">
      <c r="A5205" s="1"/>
      <c r="B5205" s="1" t="s">
        <v>4202</v>
      </c>
      <c r="C5205" s="1" t="s">
        <v>4203</v>
      </c>
      <c r="D5205" s="22" t="str">
        <f>HYPERLINK("https://rhld.insurance.arkansas.gov/NPILookup?Npi=1114030012","1114030012")</f>
        <v>1114030012</v>
      </c>
      <c r="E5205" s="1" t="s">
        <v>17211</v>
      </c>
      <c r="F5205" s="2"/>
      <c r="G5205" s="2"/>
      <c r="H5205" s="2"/>
    </row>
    <row r="5206" spans="1:8" x14ac:dyDescent="0.25">
      <c r="A5206" s="1"/>
      <c r="B5206" s="1" t="s">
        <v>4202</v>
      </c>
      <c r="C5206" s="1" t="s">
        <v>4203</v>
      </c>
      <c r="D5206" s="22" t="str">
        <f>HYPERLINK("https://rhld.insurance.arkansas.gov/NPILookup?Npi=1114037348","1114037348")</f>
        <v>1114037348</v>
      </c>
      <c r="E5206" s="1" t="s">
        <v>17212</v>
      </c>
      <c r="F5206" s="2"/>
      <c r="G5206" s="2"/>
      <c r="H5206" s="2"/>
    </row>
    <row r="5207" spans="1:8" x14ac:dyDescent="0.25">
      <c r="A5207" s="1"/>
      <c r="B5207" s="1" t="s">
        <v>4202</v>
      </c>
      <c r="C5207" s="1" t="s">
        <v>4203</v>
      </c>
      <c r="D5207" s="22" t="str">
        <f>HYPERLINK("https://rhld.insurance.arkansas.gov/NPILookup?Npi=1114055845","1114055845")</f>
        <v>1114055845</v>
      </c>
      <c r="E5207" s="1" t="s">
        <v>17213</v>
      </c>
      <c r="F5207" s="2"/>
      <c r="G5207" s="2"/>
      <c r="H5207" s="2"/>
    </row>
    <row r="5208" spans="1:8" x14ac:dyDescent="0.25">
      <c r="A5208" s="1"/>
      <c r="B5208" s="1" t="s">
        <v>4202</v>
      </c>
      <c r="C5208" s="1" t="s">
        <v>4203</v>
      </c>
      <c r="D5208" s="22" t="str">
        <f>HYPERLINK("https://rhld.insurance.arkansas.gov/NPILookup?Npi=1114131083","1114131083")</f>
        <v>1114131083</v>
      </c>
      <c r="E5208" s="1" t="s">
        <v>1235</v>
      </c>
      <c r="F5208" s="2"/>
      <c r="G5208" s="2"/>
      <c r="H5208" s="2"/>
    </row>
    <row r="5209" spans="1:8" x14ac:dyDescent="0.25">
      <c r="A5209" s="1"/>
      <c r="B5209" s="1" t="s">
        <v>4202</v>
      </c>
      <c r="C5209" s="1" t="s">
        <v>4203</v>
      </c>
      <c r="D5209" s="22" t="str">
        <f>HYPERLINK("https://rhld.insurance.arkansas.gov/NPILookup?Npi=1114214962","1114214962")</f>
        <v>1114214962</v>
      </c>
      <c r="E5209" s="1" t="s">
        <v>17214</v>
      </c>
      <c r="F5209" s="2"/>
      <c r="G5209" s="2"/>
      <c r="H5209" s="2"/>
    </row>
    <row r="5210" spans="1:8" x14ac:dyDescent="0.25">
      <c r="A5210" s="1"/>
      <c r="B5210" s="1" t="s">
        <v>4202</v>
      </c>
      <c r="C5210" s="1" t="s">
        <v>4203</v>
      </c>
      <c r="D5210" s="22" t="str">
        <f>HYPERLINK("https://rhld.insurance.arkansas.gov/NPILookup?Npi=1114219441","1114219441")</f>
        <v>1114219441</v>
      </c>
      <c r="E5210" s="1" t="s">
        <v>4241</v>
      </c>
      <c r="F5210" s="2"/>
      <c r="G5210" s="2"/>
      <c r="H5210" s="2"/>
    </row>
    <row r="5211" spans="1:8" x14ac:dyDescent="0.25">
      <c r="A5211" s="1"/>
      <c r="B5211" s="1" t="s">
        <v>4202</v>
      </c>
      <c r="C5211" s="1" t="s">
        <v>4203</v>
      </c>
      <c r="D5211" s="22" t="str">
        <f>HYPERLINK("https://rhld.insurance.arkansas.gov/NPILookup?Npi=1114232865","1114232865")</f>
        <v>1114232865</v>
      </c>
      <c r="E5211" s="1" t="s">
        <v>17215</v>
      </c>
      <c r="F5211" s="2"/>
      <c r="G5211" s="2"/>
      <c r="H5211" s="2"/>
    </row>
    <row r="5212" spans="1:8" x14ac:dyDescent="0.25">
      <c r="A5212" s="1"/>
      <c r="B5212" s="1" t="s">
        <v>4202</v>
      </c>
      <c r="C5212" s="1" t="s">
        <v>4203</v>
      </c>
      <c r="D5212" s="22" t="str">
        <f>HYPERLINK("https://rhld.insurance.arkansas.gov/NPILookup?Npi=1114248879","1114248879")</f>
        <v>1114248879</v>
      </c>
      <c r="E5212" s="1" t="s">
        <v>4242</v>
      </c>
      <c r="F5212" s="2"/>
      <c r="G5212" s="2"/>
      <c r="H5212" s="2"/>
    </row>
    <row r="5213" spans="1:8" x14ac:dyDescent="0.25">
      <c r="A5213" s="1"/>
      <c r="B5213" s="1" t="s">
        <v>4202</v>
      </c>
      <c r="C5213" s="1" t="s">
        <v>4203</v>
      </c>
      <c r="D5213" s="22" t="str">
        <f>HYPERLINK("https://rhld.insurance.arkansas.gov/NPILookup?Npi=1114283652","1114283652")</f>
        <v>1114283652</v>
      </c>
      <c r="E5213" s="1" t="s">
        <v>17216</v>
      </c>
      <c r="F5213" s="2"/>
      <c r="G5213" s="2"/>
      <c r="H5213" s="2"/>
    </row>
    <row r="5214" spans="1:8" x14ac:dyDescent="0.25">
      <c r="A5214" s="1"/>
      <c r="B5214" s="1" t="s">
        <v>4202</v>
      </c>
      <c r="C5214" s="1" t="s">
        <v>4203</v>
      </c>
      <c r="D5214" s="22" t="str">
        <f>HYPERLINK("https://rhld.insurance.arkansas.gov/NPILookup?Npi=1114289659","1114289659")</f>
        <v>1114289659</v>
      </c>
      <c r="E5214" s="1" t="s">
        <v>4243</v>
      </c>
      <c r="F5214" s="2"/>
      <c r="G5214" s="2"/>
      <c r="H5214" s="2"/>
    </row>
    <row r="5215" spans="1:8" x14ac:dyDescent="0.25">
      <c r="A5215" s="1"/>
      <c r="B5215" s="1" t="s">
        <v>4202</v>
      </c>
      <c r="C5215" s="1" t="s">
        <v>4203</v>
      </c>
      <c r="D5215" s="22" t="str">
        <f>HYPERLINK("https://rhld.insurance.arkansas.gov/NPILookup?Npi=1114312873","1114312873")</f>
        <v>1114312873</v>
      </c>
      <c r="E5215" s="1" t="s">
        <v>4244</v>
      </c>
      <c r="F5215" s="2"/>
      <c r="G5215" s="2"/>
      <c r="H5215" s="2"/>
    </row>
    <row r="5216" spans="1:8" x14ac:dyDescent="0.25">
      <c r="A5216" s="1"/>
      <c r="B5216" s="1" t="s">
        <v>4202</v>
      </c>
      <c r="C5216" s="1" t="s">
        <v>4203</v>
      </c>
      <c r="D5216" s="22" t="str">
        <f>HYPERLINK("https://rhld.insurance.arkansas.gov/NPILookup?Npi=1114421252","1114421252")</f>
        <v>1114421252</v>
      </c>
      <c r="E5216" s="1" t="s">
        <v>4245</v>
      </c>
      <c r="F5216" s="2"/>
      <c r="G5216" s="2"/>
      <c r="H5216" s="2"/>
    </row>
    <row r="5217" spans="1:8" x14ac:dyDescent="0.25">
      <c r="A5217" s="1"/>
      <c r="B5217" s="1" t="s">
        <v>4202</v>
      </c>
      <c r="C5217" s="1" t="s">
        <v>4203</v>
      </c>
      <c r="D5217" s="22" t="str">
        <f>HYPERLINK("https://rhld.insurance.arkansas.gov/NPILookup?Npi=1114450822","1114450822")</f>
        <v>1114450822</v>
      </c>
      <c r="E5217" s="1" t="s">
        <v>17219</v>
      </c>
      <c r="F5217" s="2"/>
      <c r="G5217" s="2"/>
      <c r="H5217" s="2"/>
    </row>
    <row r="5218" spans="1:8" x14ac:dyDescent="0.25">
      <c r="A5218" s="1"/>
      <c r="B5218" s="1" t="s">
        <v>4202</v>
      </c>
      <c r="C5218" s="1" t="s">
        <v>4203</v>
      </c>
      <c r="D5218" s="22" t="str">
        <f>HYPERLINK("https://rhld.insurance.arkansas.gov/NPILookup?Npi=1114453248","1114453248")</f>
        <v>1114453248</v>
      </c>
      <c r="E5218" s="1" t="s">
        <v>4246</v>
      </c>
      <c r="F5218" s="2"/>
      <c r="G5218" s="2"/>
      <c r="H5218" s="2"/>
    </row>
    <row r="5219" spans="1:8" x14ac:dyDescent="0.25">
      <c r="A5219" s="1"/>
      <c r="B5219" s="1" t="s">
        <v>4202</v>
      </c>
      <c r="C5219" s="1" t="s">
        <v>4203</v>
      </c>
      <c r="D5219" s="22" t="str">
        <f>HYPERLINK("https://rhld.insurance.arkansas.gov/NPILookup?Npi=1114556107","1114556107")</f>
        <v>1114556107</v>
      </c>
      <c r="E5219" s="1" t="s">
        <v>4247</v>
      </c>
      <c r="F5219" s="2"/>
      <c r="G5219" s="2"/>
      <c r="H5219" s="2"/>
    </row>
    <row r="5220" spans="1:8" x14ac:dyDescent="0.25">
      <c r="A5220" s="1"/>
      <c r="B5220" s="1" t="s">
        <v>4202</v>
      </c>
      <c r="C5220" s="1" t="s">
        <v>4203</v>
      </c>
      <c r="D5220" s="22" t="str">
        <f>HYPERLINK("https://rhld.insurance.arkansas.gov/NPILookup?Npi=1114556594","1114556594")</f>
        <v>1114556594</v>
      </c>
      <c r="E5220" s="1" t="s">
        <v>31409</v>
      </c>
      <c r="F5220" s="2"/>
      <c r="G5220" s="2"/>
      <c r="H5220" s="2"/>
    </row>
    <row r="5221" spans="1:8" x14ac:dyDescent="0.25">
      <c r="A5221" s="1"/>
      <c r="B5221" s="1" t="s">
        <v>4202</v>
      </c>
      <c r="C5221" s="1" t="s">
        <v>4203</v>
      </c>
      <c r="D5221" s="22" t="str">
        <f>HYPERLINK("https://rhld.insurance.arkansas.gov/NPILookup?Npi=1114923166","1114923166")</f>
        <v>1114923166</v>
      </c>
      <c r="E5221" s="1" t="s">
        <v>17220</v>
      </c>
      <c r="F5221" s="2"/>
      <c r="G5221" s="2"/>
      <c r="H5221" s="2"/>
    </row>
    <row r="5222" spans="1:8" x14ac:dyDescent="0.25">
      <c r="A5222" s="1"/>
      <c r="B5222" s="1" t="s">
        <v>4202</v>
      </c>
      <c r="C5222" s="1" t="s">
        <v>4203</v>
      </c>
      <c r="D5222" s="22" t="str">
        <f>HYPERLINK("https://rhld.insurance.arkansas.gov/NPILookup?Npi=1114939733","1114939733")</f>
        <v>1114939733</v>
      </c>
      <c r="E5222" s="1" t="s">
        <v>17221</v>
      </c>
      <c r="F5222" s="2"/>
      <c r="G5222" s="2"/>
      <c r="H5222" s="2"/>
    </row>
    <row r="5223" spans="1:8" x14ac:dyDescent="0.25">
      <c r="A5223" s="1"/>
      <c r="B5223" s="1" t="s">
        <v>4202</v>
      </c>
      <c r="C5223" s="1" t="s">
        <v>4203</v>
      </c>
      <c r="D5223" s="22" t="str">
        <f>HYPERLINK("https://rhld.insurance.arkansas.gov/NPILookup?Npi=1114955085","1114955085")</f>
        <v>1114955085</v>
      </c>
      <c r="E5223" s="1" t="s">
        <v>418</v>
      </c>
      <c r="F5223" s="2"/>
      <c r="G5223" s="2"/>
      <c r="H5223" s="2"/>
    </row>
    <row r="5224" spans="1:8" x14ac:dyDescent="0.25">
      <c r="A5224" s="1"/>
      <c r="B5224" s="1" t="s">
        <v>4202</v>
      </c>
      <c r="C5224" s="1" t="s">
        <v>4203</v>
      </c>
      <c r="D5224" s="22" t="str">
        <f>HYPERLINK("https://rhld.insurance.arkansas.gov/NPILookup?Npi=1114960473","1114960473")</f>
        <v>1114960473</v>
      </c>
      <c r="E5224" s="1" t="s">
        <v>10223</v>
      </c>
      <c r="F5224" s="2"/>
      <c r="G5224" s="2"/>
      <c r="H5224" s="2"/>
    </row>
    <row r="5225" spans="1:8" x14ac:dyDescent="0.25">
      <c r="A5225" s="1"/>
      <c r="B5225" s="1" t="s">
        <v>4202</v>
      </c>
      <c r="C5225" s="1" t="s">
        <v>4203</v>
      </c>
      <c r="D5225" s="22" t="str">
        <f>HYPERLINK("https://rhld.insurance.arkansas.gov/NPILookup?Npi=1114989530","1114989530")</f>
        <v>1114989530</v>
      </c>
      <c r="E5225" s="1" t="s">
        <v>17222</v>
      </c>
      <c r="F5225" s="2"/>
      <c r="G5225" s="2"/>
      <c r="H5225" s="2"/>
    </row>
    <row r="5226" spans="1:8" x14ac:dyDescent="0.25">
      <c r="A5226" s="1"/>
      <c r="B5226" s="1" t="s">
        <v>4202</v>
      </c>
      <c r="C5226" s="1" t="s">
        <v>4203</v>
      </c>
      <c r="D5226" s="22" t="str">
        <f>HYPERLINK("https://rhld.insurance.arkansas.gov/NPILookup?Npi=1124078944","1124078944")</f>
        <v>1124078944</v>
      </c>
      <c r="E5226" s="1" t="s">
        <v>226</v>
      </c>
      <c r="F5226" s="2"/>
      <c r="G5226" s="2"/>
      <c r="H5226" s="2"/>
    </row>
    <row r="5227" spans="1:8" x14ac:dyDescent="0.25">
      <c r="A5227" s="1"/>
      <c r="B5227" s="1" t="s">
        <v>4202</v>
      </c>
      <c r="C5227" s="1" t="s">
        <v>4203</v>
      </c>
      <c r="D5227" s="22" t="str">
        <f>HYPERLINK("https://rhld.insurance.arkansas.gov/NPILookup?Npi=1124098041","1124098041")</f>
        <v>1124098041</v>
      </c>
      <c r="E5227" s="1" t="s">
        <v>4248</v>
      </c>
      <c r="F5227" s="2"/>
      <c r="G5227" s="2"/>
      <c r="H5227" s="2"/>
    </row>
    <row r="5228" spans="1:8" x14ac:dyDescent="0.25">
      <c r="A5228" s="1"/>
      <c r="B5228" s="1" t="s">
        <v>4202</v>
      </c>
      <c r="C5228" s="1" t="s">
        <v>4203</v>
      </c>
      <c r="D5228" s="22" t="str">
        <f>HYPERLINK("https://rhld.insurance.arkansas.gov/NPILookup?Npi=1124149190","1124149190")</f>
        <v>1124149190</v>
      </c>
      <c r="E5228" s="1" t="s">
        <v>17223</v>
      </c>
      <c r="F5228" s="2"/>
      <c r="G5228" s="2"/>
      <c r="H5228" s="2"/>
    </row>
    <row r="5229" spans="1:8" x14ac:dyDescent="0.25">
      <c r="A5229" s="1"/>
      <c r="B5229" s="1" t="s">
        <v>4202</v>
      </c>
      <c r="C5229" s="1" t="s">
        <v>4203</v>
      </c>
      <c r="D5229" s="22" t="str">
        <f>HYPERLINK("https://rhld.insurance.arkansas.gov/NPILookup?Npi=1124226873","1124226873")</f>
        <v>1124226873</v>
      </c>
      <c r="E5229" s="1" t="s">
        <v>4249</v>
      </c>
      <c r="F5229" s="2"/>
      <c r="G5229" s="2"/>
      <c r="H5229" s="2"/>
    </row>
    <row r="5230" spans="1:8" x14ac:dyDescent="0.25">
      <c r="A5230" s="1"/>
      <c r="B5230" s="1" t="s">
        <v>4202</v>
      </c>
      <c r="C5230" s="1" t="s">
        <v>4203</v>
      </c>
      <c r="D5230" s="22" t="str">
        <f>HYPERLINK("https://rhld.insurance.arkansas.gov/NPILookup?Npi=1124243142","1124243142")</f>
        <v>1124243142</v>
      </c>
      <c r="E5230" s="1" t="s">
        <v>4250</v>
      </c>
      <c r="F5230" s="2"/>
      <c r="G5230" s="2"/>
      <c r="H5230" s="2"/>
    </row>
    <row r="5231" spans="1:8" x14ac:dyDescent="0.25">
      <c r="A5231" s="1"/>
      <c r="B5231" s="1" t="s">
        <v>4202</v>
      </c>
      <c r="C5231" s="1" t="s">
        <v>4203</v>
      </c>
      <c r="D5231" s="22" t="str">
        <f>HYPERLINK("https://rhld.insurance.arkansas.gov/NPILookup?Npi=1124260500","1124260500")</f>
        <v>1124260500</v>
      </c>
      <c r="E5231" s="1" t="s">
        <v>4251</v>
      </c>
      <c r="F5231" s="2"/>
      <c r="G5231" s="2"/>
      <c r="H5231" s="2"/>
    </row>
    <row r="5232" spans="1:8" x14ac:dyDescent="0.25">
      <c r="A5232" s="1"/>
      <c r="B5232" s="1" t="s">
        <v>4202</v>
      </c>
      <c r="C5232" s="1" t="s">
        <v>4203</v>
      </c>
      <c r="D5232" s="22" t="str">
        <f>HYPERLINK("https://rhld.insurance.arkansas.gov/NPILookup?Npi=1124413596","1124413596")</f>
        <v>1124413596</v>
      </c>
      <c r="E5232" s="1" t="s">
        <v>10225</v>
      </c>
      <c r="F5232" s="2"/>
      <c r="G5232" s="2"/>
      <c r="H5232" s="2"/>
    </row>
    <row r="5233" spans="1:8" x14ac:dyDescent="0.25">
      <c r="A5233" s="1"/>
      <c r="B5233" s="1" t="s">
        <v>4202</v>
      </c>
      <c r="C5233" s="1" t="s">
        <v>4203</v>
      </c>
      <c r="D5233" s="22" t="str">
        <f>HYPERLINK("https://rhld.insurance.arkansas.gov/NPILookup?Npi=1124525878","1124525878")</f>
        <v>1124525878</v>
      </c>
      <c r="E5233" s="1" t="s">
        <v>17226</v>
      </c>
      <c r="F5233" s="2"/>
      <c r="G5233" s="2"/>
      <c r="H5233" s="2"/>
    </row>
    <row r="5234" spans="1:8" x14ac:dyDescent="0.25">
      <c r="A5234" s="1"/>
      <c r="B5234" s="1" t="s">
        <v>4202</v>
      </c>
      <c r="C5234" s="1" t="s">
        <v>4203</v>
      </c>
      <c r="D5234" s="22" t="str">
        <f>HYPERLINK("https://rhld.insurance.arkansas.gov/NPILookup?Npi=1124550090","1124550090")</f>
        <v>1124550090</v>
      </c>
      <c r="E5234" s="1" t="s">
        <v>17227</v>
      </c>
      <c r="F5234" s="2"/>
      <c r="G5234" s="2"/>
      <c r="H5234" s="2"/>
    </row>
    <row r="5235" spans="1:8" x14ac:dyDescent="0.25">
      <c r="A5235" s="1"/>
      <c r="B5235" s="1" t="s">
        <v>4202</v>
      </c>
      <c r="C5235" s="1" t="s">
        <v>4203</v>
      </c>
      <c r="D5235" s="22" t="str">
        <f>HYPERLINK("https://rhld.insurance.arkansas.gov/NPILookup?Npi=1124552732","1124552732")</f>
        <v>1124552732</v>
      </c>
      <c r="E5235" s="1" t="s">
        <v>17228</v>
      </c>
      <c r="F5235" s="2"/>
      <c r="G5235" s="2"/>
      <c r="H5235" s="2"/>
    </row>
    <row r="5236" spans="1:8" x14ac:dyDescent="0.25">
      <c r="A5236" s="1"/>
      <c r="B5236" s="1" t="s">
        <v>4202</v>
      </c>
      <c r="C5236" s="1" t="s">
        <v>4203</v>
      </c>
      <c r="D5236" s="22" t="str">
        <f>HYPERLINK("https://rhld.insurance.arkansas.gov/NPILookup?Npi=1134106743","1134106743")</f>
        <v>1134106743</v>
      </c>
      <c r="E5236" s="1" t="s">
        <v>10226</v>
      </c>
      <c r="F5236" s="2"/>
      <c r="G5236" s="2"/>
      <c r="H5236" s="2"/>
    </row>
    <row r="5237" spans="1:8" x14ac:dyDescent="0.25">
      <c r="A5237" s="1"/>
      <c r="B5237" s="1" t="s">
        <v>4202</v>
      </c>
      <c r="C5237" s="1" t="s">
        <v>4203</v>
      </c>
      <c r="D5237" s="22" t="str">
        <f>HYPERLINK("https://rhld.insurance.arkansas.gov/NPILookup?Npi=1134117559","1134117559")</f>
        <v>1134117559</v>
      </c>
      <c r="E5237" s="1" t="s">
        <v>17229</v>
      </c>
      <c r="F5237" s="2"/>
      <c r="G5237" s="2"/>
      <c r="H5237" s="2"/>
    </row>
    <row r="5238" spans="1:8" x14ac:dyDescent="0.25">
      <c r="A5238" s="1"/>
      <c r="B5238" s="1" t="s">
        <v>4202</v>
      </c>
      <c r="C5238" s="1" t="s">
        <v>4203</v>
      </c>
      <c r="D5238" s="22" t="str">
        <f>HYPERLINK("https://rhld.insurance.arkansas.gov/NPILookup?Npi=1134156250","1134156250")</f>
        <v>1134156250</v>
      </c>
      <c r="E5238" s="1" t="s">
        <v>17230</v>
      </c>
      <c r="F5238" s="2"/>
      <c r="G5238" s="2"/>
      <c r="H5238" s="2"/>
    </row>
    <row r="5239" spans="1:8" x14ac:dyDescent="0.25">
      <c r="A5239" s="1"/>
      <c r="B5239" s="1" t="s">
        <v>4202</v>
      </c>
      <c r="C5239" s="1" t="s">
        <v>4203</v>
      </c>
      <c r="D5239" s="22" t="str">
        <f>HYPERLINK("https://rhld.insurance.arkansas.gov/NPILookup?Npi=1134169816","1134169816")</f>
        <v>1134169816</v>
      </c>
      <c r="E5239" s="1" t="s">
        <v>4253</v>
      </c>
      <c r="F5239" s="2"/>
      <c r="G5239" s="2"/>
      <c r="H5239" s="2"/>
    </row>
    <row r="5240" spans="1:8" x14ac:dyDescent="0.25">
      <c r="A5240" s="1"/>
      <c r="B5240" s="1" t="s">
        <v>4202</v>
      </c>
      <c r="C5240" s="1" t="s">
        <v>4203</v>
      </c>
      <c r="D5240" s="22" t="str">
        <f>HYPERLINK("https://rhld.insurance.arkansas.gov/NPILookup?Npi=1134172901","1134172901")</f>
        <v>1134172901</v>
      </c>
      <c r="E5240" s="1" t="s">
        <v>17231</v>
      </c>
      <c r="F5240" s="2"/>
      <c r="G5240" s="2"/>
      <c r="H5240" s="2"/>
    </row>
    <row r="5241" spans="1:8" x14ac:dyDescent="0.25">
      <c r="A5241" s="1"/>
      <c r="B5241" s="1" t="s">
        <v>4202</v>
      </c>
      <c r="C5241" s="1" t="s">
        <v>4203</v>
      </c>
      <c r="D5241" s="22" t="str">
        <f>HYPERLINK("https://rhld.insurance.arkansas.gov/NPILookup?Npi=1134180938","1134180938")</f>
        <v>1134180938</v>
      </c>
      <c r="E5241" s="1" t="s">
        <v>31410</v>
      </c>
      <c r="F5241" s="2"/>
      <c r="G5241" s="2"/>
      <c r="H5241" s="2"/>
    </row>
    <row r="5242" spans="1:8" x14ac:dyDescent="0.25">
      <c r="A5242" s="1"/>
      <c r="B5242" s="1" t="s">
        <v>4202</v>
      </c>
      <c r="C5242" s="1" t="s">
        <v>4203</v>
      </c>
      <c r="D5242" s="22" t="str">
        <f>HYPERLINK("https://rhld.insurance.arkansas.gov/NPILookup?Npi=1134186299","1134186299")</f>
        <v>1134186299</v>
      </c>
      <c r="E5242" s="1" t="s">
        <v>17232</v>
      </c>
      <c r="F5242" s="2"/>
      <c r="G5242" s="2"/>
      <c r="H5242" s="2"/>
    </row>
    <row r="5243" spans="1:8" x14ac:dyDescent="0.25">
      <c r="A5243" s="1"/>
      <c r="B5243" s="1" t="s">
        <v>4202</v>
      </c>
      <c r="C5243" s="1" t="s">
        <v>4203</v>
      </c>
      <c r="D5243" s="22" t="str">
        <f>HYPERLINK("https://rhld.insurance.arkansas.gov/NPILookup?Npi=1134235146","1134235146")</f>
        <v>1134235146</v>
      </c>
      <c r="E5243" s="1" t="s">
        <v>17233</v>
      </c>
      <c r="F5243" s="2"/>
      <c r="G5243" s="2"/>
      <c r="H5243" s="2"/>
    </row>
    <row r="5244" spans="1:8" x14ac:dyDescent="0.25">
      <c r="A5244" s="1"/>
      <c r="B5244" s="1" t="s">
        <v>4202</v>
      </c>
      <c r="C5244" s="1" t="s">
        <v>4203</v>
      </c>
      <c r="D5244" s="22" t="str">
        <f>HYPERLINK("https://rhld.insurance.arkansas.gov/NPILookup?Npi=1134249212","1134249212")</f>
        <v>1134249212</v>
      </c>
      <c r="E5244" s="1" t="s">
        <v>17234</v>
      </c>
      <c r="F5244" s="2"/>
      <c r="G5244" s="2"/>
      <c r="H5244" s="2"/>
    </row>
    <row r="5245" spans="1:8" x14ac:dyDescent="0.25">
      <c r="A5245" s="1"/>
      <c r="B5245" s="1" t="s">
        <v>4202</v>
      </c>
      <c r="C5245" s="1" t="s">
        <v>4203</v>
      </c>
      <c r="D5245" s="22" t="str">
        <f>HYPERLINK("https://rhld.insurance.arkansas.gov/NPILookup?Npi=1134325426","1134325426")</f>
        <v>1134325426</v>
      </c>
      <c r="E5245" s="1" t="s">
        <v>17235</v>
      </c>
      <c r="F5245" s="2"/>
      <c r="G5245" s="2"/>
      <c r="H5245" s="2"/>
    </row>
    <row r="5246" spans="1:8" x14ac:dyDescent="0.25">
      <c r="A5246" s="1"/>
      <c r="B5246" s="1" t="s">
        <v>4202</v>
      </c>
      <c r="C5246" s="1" t="s">
        <v>4203</v>
      </c>
      <c r="D5246" s="22" t="str">
        <f>HYPERLINK("https://rhld.insurance.arkansas.gov/NPILookup?Npi=1134325988","1134325988")</f>
        <v>1134325988</v>
      </c>
      <c r="E5246" s="1" t="s">
        <v>10227</v>
      </c>
      <c r="F5246" s="2"/>
      <c r="G5246" s="2"/>
      <c r="H5246" s="2"/>
    </row>
    <row r="5247" spans="1:8" x14ac:dyDescent="0.25">
      <c r="A5247" s="1"/>
      <c r="B5247" s="1" t="s">
        <v>4202</v>
      </c>
      <c r="C5247" s="1" t="s">
        <v>4203</v>
      </c>
      <c r="D5247" s="22" t="str">
        <f>HYPERLINK("https://rhld.insurance.arkansas.gov/NPILookup?Npi=1134431869","1134431869")</f>
        <v>1134431869</v>
      </c>
      <c r="E5247" s="1" t="s">
        <v>17236</v>
      </c>
      <c r="F5247" s="2"/>
      <c r="G5247" s="2"/>
      <c r="H5247" s="2"/>
    </row>
    <row r="5248" spans="1:8" x14ac:dyDescent="0.25">
      <c r="A5248" s="1"/>
      <c r="B5248" s="1" t="s">
        <v>4202</v>
      </c>
      <c r="C5248" s="1" t="s">
        <v>4203</v>
      </c>
      <c r="D5248" s="22" t="str">
        <f>HYPERLINK("https://rhld.insurance.arkansas.gov/NPILookup?Npi=1134487374","1134487374")</f>
        <v>1134487374</v>
      </c>
      <c r="E5248" s="1" t="s">
        <v>17237</v>
      </c>
      <c r="F5248" s="2"/>
      <c r="G5248" s="2"/>
      <c r="H5248" s="2"/>
    </row>
    <row r="5249" spans="1:8" x14ac:dyDescent="0.25">
      <c r="A5249" s="1"/>
      <c r="B5249" s="1" t="s">
        <v>4202</v>
      </c>
      <c r="C5249" s="1" t="s">
        <v>4203</v>
      </c>
      <c r="D5249" s="22" t="str">
        <f>HYPERLINK("https://rhld.insurance.arkansas.gov/NPILookup?Npi=1134539885","1134539885")</f>
        <v>1134539885</v>
      </c>
      <c r="E5249" s="1" t="s">
        <v>31411</v>
      </c>
      <c r="F5249" s="2"/>
      <c r="G5249" s="2"/>
      <c r="H5249" s="2"/>
    </row>
    <row r="5250" spans="1:8" x14ac:dyDescent="0.25">
      <c r="A5250" s="1"/>
      <c r="B5250" s="1" t="s">
        <v>4202</v>
      </c>
      <c r="C5250" s="1" t="s">
        <v>4203</v>
      </c>
      <c r="D5250" s="22" t="str">
        <f>HYPERLINK("https://rhld.insurance.arkansas.gov/NPILookup?Npi=1134573777","1134573777")</f>
        <v>1134573777</v>
      </c>
      <c r="E5250" s="1" t="s">
        <v>10228</v>
      </c>
      <c r="F5250" s="2"/>
      <c r="G5250" s="2"/>
      <c r="H5250" s="2"/>
    </row>
    <row r="5251" spans="1:8" x14ac:dyDescent="0.25">
      <c r="A5251" s="1"/>
      <c r="B5251" s="1" t="s">
        <v>4202</v>
      </c>
      <c r="C5251" s="1" t="s">
        <v>4203</v>
      </c>
      <c r="D5251" s="22" t="str">
        <f>HYPERLINK("https://rhld.insurance.arkansas.gov/NPILookup?Npi=1134577612","1134577612")</f>
        <v>1134577612</v>
      </c>
      <c r="E5251" s="1" t="s">
        <v>31412</v>
      </c>
      <c r="F5251" s="2"/>
      <c r="G5251" s="2"/>
      <c r="H5251" s="2"/>
    </row>
    <row r="5252" spans="1:8" x14ac:dyDescent="0.25">
      <c r="A5252" s="1"/>
      <c r="B5252" s="1" t="s">
        <v>4202</v>
      </c>
      <c r="C5252" s="1" t="s">
        <v>4203</v>
      </c>
      <c r="D5252" s="22" t="str">
        <f>HYPERLINK("https://rhld.insurance.arkansas.gov/NPILookup?Npi=1134578933","1134578933")</f>
        <v>1134578933</v>
      </c>
      <c r="E5252" s="1" t="s">
        <v>4254</v>
      </c>
      <c r="F5252" s="2"/>
      <c r="G5252" s="2"/>
      <c r="H5252" s="2"/>
    </row>
    <row r="5253" spans="1:8" x14ac:dyDescent="0.25">
      <c r="A5253" s="1"/>
      <c r="B5253" s="1" t="s">
        <v>4202</v>
      </c>
      <c r="C5253" s="1" t="s">
        <v>4203</v>
      </c>
      <c r="D5253" s="22" t="str">
        <f>HYPERLINK("https://rhld.insurance.arkansas.gov/NPILookup?Npi=1134780711","1134780711")</f>
        <v>1134780711</v>
      </c>
      <c r="E5253" s="1" t="s">
        <v>4255</v>
      </c>
      <c r="F5253" s="2"/>
      <c r="G5253" s="2"/>
      <c r="H5253" s="2"/>
    </row>
    <row r="5254" spans="1:8" x14ac:dyDescent="0.25">
      <c r="A5254" s="1"/>
      <c r="B5254" s="1" t="s">
        <v>4202</v>
      </c>
      <c r="C5254" s="1" t="s">
        <v>4203</v>
      </c>
      <c r="D5254" s="22" t="str">
        <f>HYPERLINK("https://rhld.insurance.arkansas.gov/NPILookup?Npi=1134879513","1134879513")</f>
        <v>1134879513</v>
      </c>
      <c r="E5254" s="1" t="s">
        <v>31413</v>
      </c>
      <c r="F5254" s="2"/>
      <c r="G5254" s="2"/>
      <c r="H5254" s="2"/>
    </row>
    <row r="5255" spans="1:8" x14ac:dyDescent="0.25">
      <c r="A5255" s="1"/>
      <c r="B5255" s="1" t="s">
        <v>4202</v>
      </c>
      <c r="C5255" s="1" t="s">
        <v>4203</v>
      </c>
      <c r="D5255" s="22" t="str">
        <f>HYPERLINK("https://rhld.insurance.arkansas.gov/NPILookup?Npi=1144204611","1144204611")</f>
        <v>1144204611</v>
      </c>
      <c r="E5255" s="1" t="s">
        <v>4256</v>
      </c>
      <c r="F5255" s="2"/>
      <c r="G5255" s="2"/>
      <c r="H5255" s="2"/>
    </row>
    <row r="5256" spans="1:8" x14ac:dyDescent="0.25">
      <c r="A5256" s="1"/>
      <c r="B5256" s="1" t="s">
        <v>4202</v>
      </c>
      <c r="C5256" s="1" t="s">
        <v>4203</v>
      </c>
      <c r="D5256" s="22" t="str">
        <f>HYPERLINK("https://rhld.insurance.arkansas.gov/NPILookup?Npi=1144208992","1144208992")</f>
        <v>1144208992</v>
      </c>
      <c r="E5256" s="1" t="s">
        <v>4257</v>
      </c>
      <c r="F5256" s="2"/>
      <c r="G5256" s="2"/>
      <c r="H5256" s="2"/>
    </row>
    <row r="5257" spans="1:8" x14ac:dyDescent="0.25">
      <c r="A5257" s="1"/>
      <c r="B5257" s="1" t="s">
        <v>4202</v>
      </c>
      <c r="C5257" s="1" t="s">
        <v>4203</v>
      </c>
      <c r="D5257" s="22" t="str">
        <f>HYPERLINK("https://rhld.insurance.arkansas.gov/NPILookup?Npi=1144219189","1144219189")</f>
        <v>1144219189</v>
      </c>
      <c r="E5257" s="1" t="s">
        <v>10229</v>
      </c>
      <c r="F5257" s="2"/>
      <c r="G5257" s="2"/>
      <c r="H5257" s="2"/>
    </row>
    <row r="5258" spans="1:8" x14ac:dyDescent="0.25">
      <c r="A5258" s="1"/>
      <c r="B5258" s="1" t="s">
        <v>4202</v>
      </c>
      <c r="C5258" s="1" t="s">
        <v>4203</v>
      </c>
      <c r="D5258" s="22" t="str">
        <f>HYPERLINK("https://rhld.insurance.arkansas.gov/NPILookup?Npi=1144225590","1144225590")</f>
        <v>1144225590</v>
      </c>
      <c r="E5258" s="1" t="s">
        <v>4258</v>
      </c>
      <c r="F5258" s="2"/>
      <c r="G5258" s="2"/>
      <c r="H5258" s="2"/>
    </row>
    <row r="5259" spans="1:8" x14ac:dyDescent="0.25">
      <c r="A5259" s="1"/>
      <c r="B5259" s="1" t="s">
        <v>4202</v>
      </c>
      <c r="C5259" s="1" t="s">
        <v>4203</v>
      </c>
      <c r="D5259" s="22" t="str">
        <f>HYPERLINK("https://rhld.insurance.arkansas.gov/NPILookup?Npi=1144274200","1144274200")</f>
        <v>1144274200</v>
      </c>
      <c r="E5259" s="1" t="s">
        <v>228</v>
      </c>
      <c r="F5259" s="2"/>
      <c r="G5259" s="2"/>
      <c r="H5259" s="2"/>
    </row>
    <row r="5260" spans="1:8" x14ac:dyDescent="0.25">
      <c r="A5260" s="1"/>
      <c r="B5260" s="1" t="s">
        <v>4202</v>
      </c>
      <c r="C5260" s="1" t="s">
        <v>4203</v>
      </c>
      <c r="D5260" s="22" t="str">
        <f>HYPERLINK("https://rhld.insurance.arkansas.gov/NPILookup?Npi=1144394347","1144394347")</f>
        <v>1144394347</v>
      </c>
      <c r="E5260" s="1" t="s">
        <v>17238</v>
      </c>
      <c r="F5260" s="2"/>
      <c r="G5260" s="2"/>
      <c r="H5260" s="2"/>
    </row>
    <row r="5261" spans="1:8" x14ac:dyDescent="0.25">
      <c r="A5261" s="1"/>
      <c r="B5261" s="1" t="s">
        <v>4202</v>
      </c>
      <c r="C5261" s="1" t="s">
        <v>4203</v>
      </c>
      <c r="D5261" s="22" t="str">
        <f>HYPERLINK("https://rhld.insurance.arkansas.gov/NPILookup?Npi=1144519141","1144519141")</f>
        <v>1144519141</v>
      </c>
      <c r="E5261" s="1" t="s">
        <v>4260</v>
      </c>
      <c r="F5261" s="2"/>
      <c r="G5261" s="2"/>
      <c r="H5261" s="2"/>
    </row>
    <row r="5262" spans="1:8" x14ac:dyDescent="0.25">
      <c r="A5262" s="1"/>
      <c r="B5262" s="1" t="s">
        <v>4202</v>
      </c>
      <c r="C5262" s="1" t="s">
        <v>4203</v>
      </c>
      <c r="D5262" s="22" t="str">
        <f>HYPERLINK("https://rhld.insurance.arkansas.gov/NPILookup?Npi=1144532490","1144532490")</f>
        <v>1144532490</v>
      </c>
      <c r="E5262" s="1" t="s">
        <v>4261</v>
      </c>
      <c r="F5262" s="2"/>
      <c r="G5262" s="2"/>
      <c r="H5262" s="2"/>
    </row>
    <row r="5263" spans="1:8" x14ac:dyDescent="0.25">
      <c r="A5263" s="1"/>
      <c r="B5263" s="1" t="s">
        <v>4202</v>
      </c>
      <c r="C5263" s="1" t="s">
        <v>4203</v>
      </c>
      <c r="D5263" s="22" t="str">
        <f>HYPERLINK("https://rhld.insurance.arkansas.gov/NPILookup?Npi=1144614603","1144614603")</f>
        <v>1144614603</v>
      </c>
      <c r="E5263" s="1" t="s">
        <v>4262</v>
      </c>
      <c r="F5263" s="2"/>
      <c r="G5263" s="2"/>
      <c r="H5263" s="2"/>
    </row>
    <row r="5264" spans="1:8" x14ac:dyDescent="0.25">
      <c r="A5264" s="1"/>
      <c r="B5264" s="1" t="s">
        <v>4202</v>
      </c>
      <c r="C5264" s="1" t="s">
        <v>4203</v>
      </c>
      <c r="D5264" s="22" t="str">
        <f>HYPERLINK("https://rhld.insurance.arkansas.gov/NPILookup?Npi=1144624982","1144624982")</f>
        <v>1144624982</v>
      </c>
      <c r="E5264" s="1" t="s">
        <v>4263</v>
      </c>
      <c r="F5264" s="2"/>
      <c r="G5264" s="2"/>
      <c r="H5264" s="2"/>
    </row>
    <row r="5265" spans="1:8" x14ac:dyDescent="0.25">
      <c r="A5265" s="1"/>
      <c r="B5265" s="1" t="s">
        <v>4202</v>
      </c>
      <c r="C5265" s="1" t="s">
        <v>4203</v>
      </c>
      <c r="D5265" s="22" t="str">
        <f>HYPERLINK("https://rhld.insurance.arkansas.gov/NPILookup?Npi=1144683434","1144683434")</f>
        <v>1144683434</v>
      </c>
      <c r="E5265" s="1" t="s">
        <v>17241</v>
      </c>
      <c r="F5265" s="2"/>
      <c r="G5265" s="2"/>
      <c r="H5265" s="2"/>
    </row>
    <row r="5266" spans="1:8" x14ac:dyDescent="0.25">
      <c r="A5266" s="1"/>
      <c r="B5266" s="1" t="s">
        <v>4202</v>
      </c>
      <c r="C5266" s="1" t="s">
        <v>4203</v>
      </c>
      <c r="D5266" s="22" t="str">
        <f>HYPERLINK("https://rhld.insurance.arkansas.gov/NPILookup?Npi=1144716598","1144716598")</f>
        <v>1144716598</v>
      </c>
      <c r="E5266" s="1" t="s">
        <v>17242</v>
      </c>
      <c r="F5266" s="2"/>
      <c r="G5266" s="2"/>
      <c r="H5266" s="2"/>
    </row>
    <row r="5267" spans="1:8" x14ac:dyDescent="0.25">
      <c r="A5267" s="1"/>
      <c r="B5267" s="1" t="s">
        <v>4202</v>
      </c>
      <c r="C5267" s="1" t="s">
        <v>4203</v>
      </c>
      <c r="D5267" s="22" t="str">
        <f>HYPERLINK("https://rhld.insurance.arkansas.gov/NPILookup?Npi=1144797101","1144797101")</f>
        <v>1144797101</v>
      </c>
      <c r="E5267" s="1" t="s">
        <v>4264</v>
      </c>
      <c r="F5267" s="2"/>
      <c r="G5267" s="2"/>
      <c r="H5267" s="2"/>
    </row>
    <row r="5268" spans="1:8" x14ac:dyDescent="0.25">
      <c r="A5268" s="1"/>
      <c r="B5268" s="1" t="s">
        <v>4202</v>
      </c>
      <c r="C5268" s="1" t="s">
        <v>4203</v>
      </c>
      <c r="D5268" s="22" t="str">
        <f>HYPERLINK("https://rhld.insurance.arkansas.gov/NPILookup?Npi=1144807694","1144807694")</f>
        <v>1144807694</v>
      </c>
      <c r="E5268" s="1" t="s">
        <v>2366</v>
      </c>
      <c r="F5268" s="2"/>
      <c r="G5268" s="2"/>
      <c r="H5268" s="2"/>
    </row>
    <row r="5269" spans="1:8" x14ac:dyDescent="0.25">
      <c r="A5269" s="1"/>
      <c r="B5269" s="1" t="s">
        <v>4202</v>
      </c>
      <c r="C5269" s="1" t="s">
        <v>4203</v>
      </c>
      <c r="D5269" s="22" t="str">
        <f>HYPERLINK("https://rhld.insurance.arkansas.gov/NPILookup?Npi=1144859174","1144859174")</f>
        <v>1144859174</v>
      </c>
      <c r="E5269" s="1" t="s">
        <v>17243</v>
      </c>
      <c r="F5269" s="2"/>
      <c r="G5269" s="2"/>
      <c r="H5269" s="2"/>
    </row>
    <row r="5270" spans="1:8" x14ac:dyDescent="0.25">
      <c r="A5270" s="1"/>
      <c r="B5270" s="1" t="s">
        <v>4202</v>
      </c>
      <c r="C5270" s="1" t="s">
        <v>4203</v>
      </c>
      <c r="D5270" s="22" t="str">
        <f>HYPERLINK("https://rhld.insurance.arkansas.gov/NPILookup?Npi=1154318152","1154318152")</f>
        <v>1154318152</v>
      </c>
      <c r="E5270" s="1" t="s">
        <v>17245</v>
      </c>
      <c r="F5270" s="2"/>
      <c r="G5270" s="2"/>
      <c r="H5270" s="2"/>
    </row>
    <row r="5271" spans="1:8" x14ac:dyDescent="0.25">
      <c r="A5271" s="1"/>
      <c r="B5271" s="1" t="s">
        <v>4202</v>
      </c>
      <c r="C5271" s="1" t="s">
        <v>4203</v>
      </c>
      <c r="D5271" s="22" t="str">
        <f>HYPERLINK("https://rhld.insurance.arkansas.gov/NPILookup?Npi=1154325801","1154325801")</f>
        <v>1154325801</v>
      </c>
      <c r="E5271" s="1" t="s">
        <v>17246</v>
      </c>
      <c r="F5271" s="2"/>
      <c r="G5271" s="2"/>
      <c r="H5271" s="2"/>
    </row>
    <row r="5272" spans="1:8" x14ac:dyDescent="0.25">
      <c r="A5272" s="1"/>
      <c r="B5272" s="1" t="s">
        <v>4202</v>
      </c>
      <c r="C5272" s="1" t="s">
        <v>4203</v>
      </c>
      <c r="D5272" s="22" t="str">
        <f>HYPERLINK("https://rhld.insurance.arkansas.gov/NPILookup?Npi=1154362267","1154362267")</f>
        <v>1154362267</v>
      </c>
      <c r="E5272" s="1" t="s">
        <v>10232</v>
      </c>
      <c r="F5272" s="2"/>
      <c r="G5272" s="2"/>
      <c r="H5272" s="2"/>
    </row>
    <row r="5273" spans="1:8" x14ac:dyDescent="0.25">
      <c r="A5273" s="1"/>
      <c r="B5273" s="1" t="s">
        <v>4202</v>
      </c>
      <c r="C5273" s="1" t="s">
        <v>4203</v>
      </c>
      <c r="D5273" s="22" t="str">
        <f>HYPERLINK("https://rhld.insurance.arkansas.gov/NPILookup?Npi=1154371946","1154371946")</f>
        <v>1154371946</v>
      </c>
      <c r="E5273" s="1" t="s">
        <v>2658</v>
      </c>
      <c r="F5273" s="2"/>
      <c r="G5273" s="2"/>
      <c r="H5273" s="2"/>
    </row>
    <row r="5274" spans="1:8" x14ac:dyDescent="0.25">
      <c r="A5274" s="1"/>
      <c r="B5274" s="1" t="s">
        <v>4202</v>
      </c>
      <c r="C5274" s="1" t="s">
        <v>4203</v>
      </c>
      <c r="D5274" s="22" t="str">
        <f>HYPERLINK("https://rhld.insurance.arkansas.gov/NPILookup?Npi=1154461267","1154461267")</f>
        <v>1154461267</v>
      </c>
      <c r="E5274" s="1" t="s">
        <v>4265</v>
      </c>
      <c r="F5274" s="2"/>
      <c r="G5274" s="2"/>
      <c r="H5274" s="2"/>
    </row>
    <row r="5275" spans="1:8" x14ac:dyDescent="0.25">
      <c r="A5275" s="1"/>
      <c r="B5275" s="1" t="s">
        <v>4202</v>
      </c>
      <c r="C5275" s="1" t="s">
        <v>4203</v>
      </c>
      <c r="D5275" s="22" t="str">
        <f>HYPERLINK("https://rhld.insurance.arkansas.gov/NPILookup?Npi=1154529717","1154529717")</f>
        <v>1154529717</v>
      </c>
      <c r="E5275" s="1" t="s">
        <v>17247</v>
      </c>
      <c r="F5275" s="2"/>
      <c r="G5275" s="2"/>
      <c r="H5275" s="2"/>
    </row>
    <row r="5276" spans="1:8" x14ac:dyDescent="0.25">
      <c r="A5276" s="1"/>
      <c r="B5276" s="1" t="s">
        <v>4202</v>
      </c>
      <c r="C5276" s="1" t="s">
        <v>4203</v>
      </c>
      <c r="D5276" s="22" t="str">
        <f>HYPERLINK("https://rhld.insurance.arkansas.gov/NPILookup?Npi=1154582799","1154582799")</f>
        <v>1154582799</v>
      </c>
      <c r="E5276" s="1" t="s">
        <v>17248</v>
      </c>
      <c r="F5276" s="2"/>
      <c r="G5276" s="2"/>
      <c r="H5276" s="2"/>
    </row>
    <row r="5277" spans="1:8" x14ac:dyDescent="0.25">
      <c r="A5277" s="1"/>
      <c r="B5277" s="1" t="s">
        <v>4202</v>
      </c>
      <c r="C5277" s="1" t="s">
        <v>4203</v>
      </c>
      <c r="D5277" s="22" t="str">
        <f>HYPERLINK("https://rhld.insurance.arkansas.gov/NPILookup?Npi=1154647386","1154647386")</f>
        <v>1154647386</v>
      </c>
      <c r="E5277" s="1" t="s">
        <v>4266</v>
      </c>
      <c r="F5277" s="2"/>
      <c r="G5277" s="2"/>
      <c r="H5277" s="2"/>
    </row>
    <row r="5278" spans="1:8" x14ac:dyDescent="0.25">
      <c r="A5278" s="1"/>
      <c r="B5278" s="1" t="s">
        <v>4202</v>
      </c>
      <c r="C5278" s="1" t="s">
        <v>4203</v>
      </c>
      <c r="D5278" s="22" t="str">
        <f>HYPERLINK("https://rhld.insurance.arkansas.gov/NPILookup?Npi=1154684348","1154684348")</f>
        <v>1154684348</v>
      </c>
      <c r="E5278" s="1" t="s">
        <v>17249</v>
      </c>
      <c r="F5278" s="2"/>
      <c r="G5278" s="2"/>
      <c r="H5278" s="2"/>
    </row>
    <row r="5279" spans="1:8" x14ac:dyDescent="0.25">
      <c r="A5279" s="1"/>
      <c r="B5279" s="1" t="s">
        <v>4202</v>
      </c>
      <c r="C5279" s="1" t="s">
        <v>4203</v>
      </c>
      <c r="D5279" s="22" t="str">
        <f>HYPERLINK("https://rhld.insurance.arkansas.gov/NPILookup?Npi=1154716306","1154716306")</f>
        <v>1154716306</v>
      </c>
      <c r="E5279" s="1" t="s">
        <v>17251</v>
      </c>
      <c r="F5279" s="2"/>
      <c r="G5279" s="2"/>
      <c r="H5279" s="2"/>
    </row>
    <row r="5280" spans="1:8" x14ac:dyDescent="0.25">
      <c r="A5280" s="1"/>
      <c r="B5280" s="1" t="s">
        <v>4202</v>
      </c>
      <c r="C5280" s="1" t="s">
        <v>4203</v>
      </c>
      <c r="D5280" s="22" t="str">
        <f>HYPERLINK("https://rhld.insurance.arkansas.gov/NPILookup?Npi=1154770469","1154770469")</f>
        <v>1154770469</v>
      </c>
      <c r="E5280" s="1" t="s">
        <v>17252</v>
      </c>
      <c r="F5280" s="2"/>
      <c r="G5280" s="2"/>
      <c r="H5280" s="2"/>
    </row>
    <row r="5281" spans="1:8" x14ac:dyDescent="0.25">
      <c r="A5281" s="1"/>
      <c r="B5281" s="1" t="s">
        <v>4202</v>
      </c>
      <c r="C5281" s="1" t="s">
        <v>4203</v>
      </c>
      <c r="D5281" s="22" t="str">
        <f>HYPERLINK("https://rhld.insurance.arkansas.gov/NPILookup?Npi=1154771012","1154771012")</f>
        <v>1154771012</v>
      </c>
      <c r="E5281" s="1" t="s">
        <v>17253</v>
      </c>
      <c r="F5281" s="2"/>
      <c r="G5281" s="2"/>
      <c r="H5281" s="2"/>
    </row>
    <row r="5282" spans="1:8" x14ac:dyDescent="0.25">
      <c r="A5282" s="1"/>
      <c r="B5282" s="1" t="s">
        <v>4202</v>
      </c>
      <c r="C5282" s="1" t="s">
        <v>4203</v>
      </c>
      <c r="D5282" s="22" t="str">
        <f>HYPERLINK("https://rhld.insurance.arkansas.gov/NPILookup?Npi=1154881217","1154881217")</f>
        <v>1154881217</v>
      </c>
      <c r="E5282" s="1" t="s">
        <v>17254</v>
      </c>
      <c r="F5282" s="2"/>
      <c r="G5282" s="2"/>
      <c r="H5282" s="2"/>
    </row>
    <row r="5283" spans="1:8" x14ac:dyDescent="0.25">
      <c r="A5283" s="1"/>
      <c r="B5283" s="1" t="s">
        <v>4202</v>
      </c>
      <c r="C5283" s="1" t="s">
        <v>4203</v>
      </c>
      <c r="D5283" s="22" t="str">
        <f>HYPERLINK("https://rhld.insurance.arkansas.gov/NPILookup?Npi=1154959211","1154959211")</f>
        <v>1154959211</v>
      </c>
      <c r="E5283" s="1" t="s">
        <v>10234</v>
      </c>
      <c r="F5283" s="2"/>
      <c r="G5283" s="2"/>
      <c r="H5283" s="2"/>
    </row>
    <row r="5284" spans="1:8" x14ac:dyDescent="0.25">
      <c r="A5284" s="1"/>
      <c r="B5284" s="1" t="s">
        <v>4202</v>
      </c>
      <c r="C5284" s="1" t="s">
        <v>4203</v>
      </c>
      <c r="D5284" s="22" t="str">
        <f>HYPERLINK("https://rhld.insurance.arkansas.gov/NPILookup?Npi=1164009841","1164009841")</f>
        <v>1164009841</v>
      </c>
      <c r="E5284" s="1" t="s">
        <v>31414</v>
      </c>
      <c r="F5284" s="2"/>
      <c r="G5284" s="2"/>
      <c r="H5284" s="2"/>
    </row>
    <row r="5285" spans="1:8" x14ac:dyDescent="0.25">
      <c r="A5285" s="1"/>
      <c r="B5285" s="1" t="s">
        <v>4202</v>
      </c>
      <c r="C5285" s="1" t="s">
        <v>4203</v>
      </c>
      <c r="D5285" s="22" t="str">
        <f>HYPERLINK("https://rhld.insurance.arkansas.gov/NPILookup?Npi=1164051694","1164051694")</f>
        <v>1164051694</v>
      </c>
      <c r="E5285" s="1" t="s">
        <v>4267</v>
      </c>
      <c r="F5285" s="2"/>
      <c r="G5285" s="2"/>
      <c r="H5285" s="2"/>
    </row>
    <row r="5286" spans="1:8" x14ac:dyDescent="0.25">
      <c r="A5286" s="1"/>
      <c r="B5286" s="1" t="s">
        <v>4202</v>
      </c>
      <c r="C5286" s="1" t="s">
        <v>4203</v>
      </c>
      <c r="D5286" s="22" t="str">
        <f>HYPERLINK("https://rhld.insurance.arkansas.gov/NPILookup?Npi=1164080016","1164080016")</f>
        <v>1164080016</v>
      </c>
      <c r="E5286" s="1" t="s">
        <v>4268</v>
      </c>
      <c r="F5286" s="2"/>
      <c r="G5286" s="2"/>
      <c r="H5286" s="2"/>
    </row>
    <row r="5287" spans="1:8" x14ac:dyDescent="0.25">
      <c r="A5287" s="1"/>
      <c r="B5287" s="1" t="s">
        <v>4202</v>
      </c>
      <c r="C5287" s="1" t="s">
        <v>4203</v>
      </c>
      <c r="D5287" s="22" t="str">
        <f>HYPERLINK("https://rhld.insurance.arkansas.gov/NPILookup?Npi=1164401832","1164401832")</f>
        <v>1164401832</v>
      </c>
      <c r="E5287" s="1" t="s">
        <v>17255</v>
      </c>
      <c r="F5287" s="2"/>
      <c r="G5287" s="2"/>
      <c r="H5287" s="2"/>
    </row>
    <row r="5288" spans="1:8" x14ac:dyDescent="0.25">
      <c r="A5288" s="1"/>
      <c r="B5288" s="1" t="s">
        <v>4202</v>
      </c>
      <c r="C5288" s="1" t="s">
        <v>4203</v>
      </c>
      <c r="D5288" s="22" t="str">
        <f>HYPERLINK("https://rhld.insurance.arkansas.gov/NPILookup?Npi=1164452223","1164452223")</f>
        <v>1164452223</v>
      </c>
      <c r="E5288" s="1" t="s">
        <v>17256</v>
      </c>
      <c r="F5288" s="2"/>
      <c r="G5288" s="2"/>
      <c r="H5288" s="2"/>
    </row>
    <row r="5289" spans="1:8" x14ac:dyDescent="0.25">
      <c r="A5289" s="1"/>
      <c r="B5289" s="1" t="s">
        <v>4202</v>
      </c>
      <c r="C5289" s="1" t="s">
        <v>4203</v>
      </c>
      <c r="D5289" s="22" t="str">
        <f>HYPERLINK("https://rhld.insurance.arkansas.gov/NPILookup?Npi=1164462248","1164462248")</f>
        <v>1164462248</v>
      </c>
      <c r="E5289" s="1" t="s">
        <v>4269</v>
      </c>
      <c r="F5289" s="2"/>
      <c r="G5289" s="2"/>
      <c r="H5289" s="2"/>
    </row>
    <row r="5290" spans="1:8" x14ac:dyDescent="0.25">
      <c r="A5290" s="1"/>
      <c r="B5290" s="1" t="s">
        <v>4202</v>
      </c>
      <c r="C5290" s="1" t="s">
        <v>4203</v>
      </c>
      <c r="D5290" s="22" t="str">
        <f>HYPERLINK("https://rhld.insurance.arkansas.gov/NPILookup?Npi=1164462602","1164462602")</f>
        <v>1164462602</v>
      </c>
      <c r="E5290" s="1" t="s">
        <v>1978</v>
      </c>
      <c r="F5290" s="2"/>
      <c r="G5290" s="2"/>
      <c r="H5290" s="2"/>
    </row>
    <row r="5291" spans="1:8" x14ac:dyDescent="0.25">
      <c r="A5291" s="1"/>
      <c r="B5291" s="1" t="s">
        <v>4202</v>
      </c>
      <c r="C5291" s="1" t="s">
        <v>4203</v>
      </c>
      <c r="D5291" s="22" t="str">
        <f>HYPERLINK("https://rhld.insurance.arkansas.gov/NPILookup?Npi=1164470720","1164470720")</f>
        <v>1164470720</v>
      </c>
      <c r="E5291" s="1" t="s">
        <v>17257</v>
      </c>
      <c r="F5291" s="2"/>
      <c r="G5291" s="2"/>
      <c r="H5291" s="2"/>
    </row>
    <row r="5292" spans="1:8" x14ac:dyDescent="0.25">
      <c r="A5292" s="1"/>
      <c r="B5292" s="1" t="s">
        <v>4202</v>
      </c>
      <c r="C5292" s="1" t="s">
        <v>4203</v>
      </c>
      <c r="D5292" s="22" t="str">
        <f>HYPERLINK("https://rhld.insurance.arkansas.gov/NPILookup?Npi=1164484945","1164484945")</f>
        <v>1164484945</v>
      </c>
      <c r="E5292" s="1" t="s">
        <v>10236</v>
      </c>
      <c r="F5292" s="2"/>
      <c r="G5292" s="2"/>
      <c r="H5292" s="2"/>
    </row>
    <row r="5293" spans="1:8" x14ac:dyDescent="0.25">
      <c r="A5293" s="1"/>
      <c r="B5293" s="1" t="s">
        <v>4202</v>
      </c>
      <c r="C5293" s="1" t="s">
        <v>4203</v>
      </c>
      <c r="D5293" s="22" t="str">
        <f>HYPERLINK("https://rhld.insurance.arkansas.gov/NPILookup?Npi=1164536637","1164536637")</f>
        <v>1164536637</v>
      </c>
      <c r="E5293" s="1" t="s">
        <v>4270</v>
      </c>
      <c r="F5293" s="2"/>
      <c r="G5293" s="2"/>
      <c r="H5293" s="2"/>
    </row>
    <row r="5294" spans="1:8" x14ac:dyDescent="0.25">
      <c r="A5294" s="1"/>
      <c r="B5294" s="1" t="s">
        <v>4202</v>
      </c>
      <c r="C5294" s="1" t="s">
        <v>4203</v>
      </c>
      <c r="D5294" s="22" t="str">
        <f>HYPERLINK("https://rhld.insurance.arkansas.gov/NPILookup?Npi=1164544045","1164544045")</f>
        <v>1164544045</v>
      </c>
      <c r="E5294" s="1" t="s">
        <v>17260</v>
      </c>
      <c r="F5294" s="2"/>
      <c r="G5294" s="2"/>
      <c r="H5294" s="2"/>
    </row>
    <row r="5295" spans="1:8" x14ac:dyDescent="0.25">
      <c r="A5295" s="1"/>
      <c r="B5295" s="1" t="s">
        <v>4202</v>
      </c>
      <c r="C5295" s="1" t="s">
        <v>4203</v>
      </c>
      <c r="D5295" s="22" t="str">
        <f>HYPERLINK("https://rhld.insurance.arkansas.gov/NPILookup?Npi=1164556460","1164556460")</f>
        <v>1164556460</v>
      </c>
      <c r="E5295" s="1" t="s">
        <v>17261</v>
      </c>
      <c r="F5295" s="2"/>
      <c r="G5295" s="2"/>
      <c r="H5295" s="2"/>
    </row>
    <row r="5296" spans="1:8" x14ac:dyDescent="0.25">
      <c r="A5296" s="1"/>
      <c r="B5296" s="1" t="s">
        <v>4202</v>
      </c>
      <c r="C5296" s="1" t="s">
        <v>4203</v>
      </c>
      <c r="D5296" s="22" t="str">
        <f>HYPERLINK("https://rhld.insurance.arkansas.gov/NPILookup?Npi=1164629515","1164629515")</f>
        <v>1164629515</v>
      </c>
      <c r="E5296" s="1" t="s">
        <v>4271</v>
      </c>
      <c r="F5296" s="2"/>
      <c r="G5296" s="2"/>
      <c r="H5296" s="2"/>
    </row>
    <row r="5297" spans="1:8" x14ac:dyDescent="0.25">
      <c r="A5297" s="1"/>
      <c r="B5297" s="1" t="s">
        <v>4202</v>
      </c>
      <c r="C5297" s="1" t="s">
        <v>4203</v>
      </c>
      <c r="D5297" s="22" t="str">
        <f>HYPERLINK("https://rhld.insurance.arkansas.gov/NPILookup?Npi=1164630117","1164630117")</f>
        <v>1164630117</v>
      </c>
      <c r="E5297" s="1" t="s">
        <v>10237</v>
      </c>
      <c r="F5297" s="2"/>
      <c r="G5297" s="2"/>
      <c r="H5297" s="2"/>
    </row>
    <row r="5298" spans="1:8" x14ac:dyDescent="0.25">
      <c r="A5298" s="1"/>
      <c r="B5298" s="1" t="s">
        <v>4202</v>
      </c>
      <c r="C5298" s="1" t="s">
        <v>4203</v>
      </c>
      <c r="D5298" s="22" t="str">
        <f>HYPERLINK("https://rhld.insurance.arkansas.gov/NPILookup?Npi=1164635272","1164635272")</f>
        <v>1164635272</v>
      </c>
      <c r="E5298" s="1" t="s">
        <v>4272</v>
      </c>
      <c r="F5298" s="2"/>
      <c r="G5298" s="2"/>
      <c r="H5298" s="2"/>
    </row>
    <row r="5299" spans="1:8" x14ac:dyDescent="0.25">
      <c r="A5299" s="1"/>
      <c r="B5299" s="1" t="s">
        <v>4202</v>
      </c>
      <c r="C5299" s="1" t="s">
        <v>4203</v>
      </c>
      <c r="D5299" s="22" t="str">
        <f>HYPERLINK("https://rhld.insurance.arkansas.gov/NPILookup?Npi=1164712717","1164712717")</f>
        <v>1164712717</v>
      </c>
      <c r="E5299" s="1" t="s">
        <v>17262</v>
      </c>
      <c r="F5299" s="2"/>
      <c r="G5299" s="2"/>
      <c r="H5299" s="2"/>
    </row>
    <row r="5300" spans="1:8" x14ac:dyDescent="0.25">
      <c r="A5300" s="1"/>
      <c r="B5300" s="1" t="s">
        <v>4202</v>
      </c>
      <c r="C5300" s="1" t="s">
        <v>4203</v>
      </c>
      <c r="D5300" s="22" t="str">
        <f>HYPERLINK("https://rhld.insurance.arkansas.gov/NPILookup?Npi=1164765756","1164765756")</f>
        <v>1164765756</v>
      </c>
      <c r="E5300" s="1" t="s">
        <v>17263</v>
      </c>
      <c r="F5300" s="2"/>
      <c r="G5300" s="2"/>
      <c r="H5300" s="2"/>
    </row>
    <row r="5301" spans="1:8" x14ac:dyDescent="0.25">
      <c r="A5301" s="1"/>
      <c r="B5301" s="1" t="s">
        <v>4202</v>
      </c>
      <c r="C5301" s="1" t="s">
        <v>4203</v>
      </c>
      <c r="D5301" s="22" t="str">
        <f>HYPERLINK("https://rhld.insurance.arkansas.gov/NPILookup?Npi=1164832903","1164832903")</f>
        <v>1164832903</v>
      </c>
      <c r="E5301" s="1" t="s">
        <v>758</v>
      </c>
      <c r="F5301" s="2"/>
      <c r="G5301" s="2"/>
      <c r="H5301" s="2"/>
    </row>
    <row r="5302" spans="1:8" x14ac:dyDescent="0.25">
      <c r="A5302" s="1"/>
      <c r="B5302" s="1" t="s">
        <v>4202</v>
      </c>
      <c r="C5302" s="1" t="s">
        <v>4203</v>
      </c>
      <c r="D5302" s="22" t="str">
        <f>HYPERLINK("https://rhld.insurance.arkansas.gov/NPILookup?Npi=1164911681","1164911681")</f>
        <v>1164911681</v>
      </c>
      <c r="E5302" s="1" t="s">
        <v>10238</v>
      </c>
      <c r="F5302" s="2"/>
      <c r="G5302" s="2"/>
      <c r="H5302" s="2"/>
    </row>
    <row r="5303" spans="1:8" x14ac:dyDescent="0.25">
      <c r="A5303" s="1"/>
      <c r="B5303" s="1" t="s">
        <v>4202</v>
      </c>
      <c r="C5303" s="1" t="s">
        <v>4203</v>
      </c>
      <c r="D5303" s="22" t="str">
        <f>HYPERLINK("https://rhld.insurance.arkansas.gov/NPILookup?Npi=1164986022","1164986022")</f>
        <v>1164986022</v>
      </c>
      <c r="E5303" s="1" t="s">
        <v>10239</v>
      </c>
      <c r="F5303" s="2"/>
      <c r="G5303" s="2"/>
      <c r="H5303" s="2"/>
    </row>
    <row r="5304" spans="1:8" x14ac:dyDescent="0.25">
      <c r="A5304" s="1"/>
      <c r="B5304" s="1" t="s">
        <v>4202</v>
      </c>
      <c r="C5304" s="1" t="s">
        <v>4203</v>
      </c>
      <c r="D5304" s="22" t="str">
        <f>HYPERLINK("https://rhld.insurance.arkansas.gov/NPILookup?Npi=1174017958","1174017958")</f>
        <v>1174017958</v>
      </c>
      <c r="E5304" s="1" t="s">
        <v>10240</v>
      </c>
      <c r="F5304" s="2"/>
      <c r="G5304" s="2"/>
      <c r="H5304" s="2"/>
    </row>
    <row r="5305" spans="1:8" x14ac:dyDescent="0.25">
      <c r="A5305" s="1"/>
      <c r="B5305" s="1" t="s">
        <v>4202</v>
      </c>
      <c r="C5305" s="1" t="s">
        <v>4203</v>
      </c>
      <c r="D5305" s="22" t="str">
        <f>HYPERLINK("https://rhld.insurance.arkansas.gov/NPILookup?Npi=1174084214","1174084214")</f>
        <v>1174084214</v>
      </c>
      <c r="E5305" s="1" t="s">
        <v>17265</v>
      </c>
      <c r="F5305" s="2"/>
      <c r="G5305" s="2"/>
      <c r="H5305" s="2"/>
    </row>
    <row r="5306" spans="1:8" x14ac:dyDescent="0.25">
      <c r="A5306" s="1"/>
      <c r="B5306" s="1" t="s">
        <v>4202</v>
      </c>
      <c r="C5306" s="1" t="s">
        <v>4203</v>
      </c>
      <c r="D5306" s="22" t="str">
        <f>HYPERLINK("https://rhld.insurance.arkansas.gov/NPILookup?Npi=1174086235","1174086235")</f>
        <v>1174086235</v>
      </c>
      <c r="E5306" s="1" t="s">
        <v>10241</v>
      </c>
      <c r="F5306" s="2"/>
      <c r="G5306" s="2"/>
      <c r="H5306" s="2"/>
    </row>
    <row r="5307" spans="1:8" x14ac:dyDescent="0.25">
      <c r="A5307" s="1"/>
      <c r="B5307" s="1" t="s">
        <v>4202</v>
      </c>
      <c r="C5307" s="1" t="s">
        <v>4203</v>
      </c>
      <c r="D5307" s="22" t="str">
        <f>HYPERLINK("https://rhld.insurance.arkansas.gov/NPILookup?Npi=1174184931","1174184931")</f>
        <v>1174184931</v>
      </c>
      <c r="E5307" s="1" t="s">
        <v>17266</v>
      </c>
      <c r="F5307" s="2"/>
      <c r="G5307" s="2"/>
      <c r="H5307" s="2"/>
    </row>
    <row r="5308" spans="1:8" x14ac:dyDescent="0.25">
      <c r="A5308" s="1"/>
      <c r="B5308" s="1" t="s">
        <v>4202</v>
      </c>
      <c r="C5308" s="1" t="s">
        <v>4203</v>
      </c>
      <c r="D5308" s="22" t="str">
        <f>HYPERLINK("https://rhld.insurance.arkansas.gov/NPILookup?Npi=1174508386","1174508386")</f>
        <v>1174508386</v>
      </c>
      <c r="E5308" s="1" t="s">
        <v>17267</v>
      </c>
      <c r="F5308" s="2"/>
      <c r="G5308" s="2"/>
      <c r="H5308" s="2"/>
    </row>
    <row r="5309" spans="1:8" x14ac:dyDescent="0.25">
      <c r="A5309" s="1"/>
      <c r="B5309" s="1" t="s">
        <v>4202</v>
      </c>
      <c r="C5309" s="1" t="s">
        <v>4203</v>
      </c>
      <c r="D5309" s="22" t="str">
        <f>HYPERLINK("https://rhld.insurance.arkansas.gov/NPILookup?Npi=1174517460","1174517460")</f>
        <v>1174517460</v>
      </c>
      <c r="E5309" s="1" t="s">
        <v>17268</v>
      </c>
      <c r="F5309" s="2"/>
      <c r="G5309" s="2"/>
      <c r="H5309" s="2"/>
    </row>
    <row r="5310" spans="1:8" x14ac:dyDescent="0.25">
      <c r="A5310" s="1"/>
      <c r="B5310" s="1" t="s">
        <v>4202</v>
      </c>
      <c r="C5310" s="1" t="s">
        <v>4203</v>
      </c>
      <c r="D5310" s="22" t="str">
        <f>HYPERLINK("https://rhld.insurance.arkansas.gov/NPILookup?Npi=1174519821","1174519821")</f>
        <v>1174519821</v>
      </c>
      <c r="E5310" s="1" t="s">
        <v>4273</v>
      </c>
      <c r="F5310" s="2"/>
      <c r="G5310" s="2"/>
      <c r="H5310" s="2"/>
    </row>
    <row r="5311" spans="1:8" x14ac:dyDescent="0.25">
      <c r="A5311" s="1"/>
      <c r="B5311" s="1" t="s">
        <v>4202</v>
      </c>
      <c r="C5311" s="1" t="s">
        <v>4203</v>
      </c>
      <c r="D5311" s="22" t="str">
        <f>HYPERLINK("https://rhld.insurance.arkansas.gov/NPILookup?Npi=1174552210","1174552210")</f>
        <v>1174552210</v>
      </c>
      <c r="E5311" s="1" t="s">
        <v>9748</v>
      </c>
      <c r="F5311" s="2"/>
      <c r="G5311" s="2"/>
      <c r="H5311" s="2"/>
    </row>
    <row r="5312" spans="1:8" x14ac:dyDescent="0.25">
      <c r="A5312" s="1"/>
      <c r="B5312" s="1" t="s">
        <v>4202</v>
      </c>
      <c r="C5312" s="1" t="s">
        <v>4203</v>
      </c>
      <c r="D5312" s="22" t="str">
        <f>HYPERLINK("https://rhld.insurance.arkansas.gov/NPILookup?Npi=1174560726","1174560726")</f>
        <v>1174560726</v>
      </c>
      <c r="E5312" s="1" t="s">
        <v>17269</v>
      </c>
      <c r="F5312" s="2"/>
      <c r="G5312" s="2"/>
      <c r="H5312" s="2"/>
    </row>
    <row r="5313" spans="1:8" x14ac:dyDescent="0.25">
      <c r="A5313" s="1"/>
      <c r="B5313" s="1" t="s">
        <v>4202</v>
      </c>
      <c r="C5313" s="1" t="s">
        <v>4203</v>
      </c>
      <c r="D5313" s="22" t="str">
        <f>HYPERLINK("https://rhld.insurance.arkansas.gov/NPILookup?Npi=1174566574","1174566574")</f>
        <v>1174566574</v>
      </c>
      <c r="E5313" s="1" t="s">
        <v>17270</v>
      </c>
      <c r="F5313" s="2"/>
      <c r="G5313" s="2"/>
      <c r="H5313" s="2"/>
    </row>
    <row r="5314" spans="1:8" x14ac:dyDescent="0.25">
      <c r="A5314" s="1"/>
      <c r="B5314" s="1" t="s">
        <v>4202</v>
      </c>
      <c r="C5314" s="1" t="s">
        <v>4203</v>
      </c>
      <c r="D5314" s="22" t="str">
        <f>HYPERLINK("https://rhld.insurance.arkansas.gov/NPILookup?Npi=1174571517","1174571517")</f>
        <v>1174571517</v>
      </c>
      <c r="E5314" s="1" t="s">
        <v>17271</v>
      </c>
      <c r="F5314" s="2"/>
      <c r="G5314" s="2"/>
      <c r="H5314" s="2"/>
    </row>
    <row r="5315" spans="1:8" x14ac:dyDescent="0.25">
      <c r="A5315" s="1"/>
      <c r="B5315" s="1" t="s">
        <v>4202</v>
      </c>
      <c r="C5315" s="1" t="s">
        <v>4203</v>
      </c>
      <c r="D5315" s="22" t="str">
        <f>HYPERLINK("https://rhld.insurance.arkansas.gov/NPILookup?Npi=1174580401","1174580401")</f>
        <v>1174580401</v>
      </c>
      <c r="E5315" s="1" t="s">
        <v>17272</v>
      </c>
      <c r="F5315" s="2"/>
      <c r="G5315" s="2"/>
      <c r="H5315" s="2"/>
    </row>
    <row r="5316" spans="1:8" x14ac:dyDescent="0.25">
      <c r="A5316" s="1"/>
      <c r="B5316" s="1" t="s">
        <v>4202</v>
      </c>
      <c r="C5316" s="1" t="s">
        <v>4203</v>
      </c>
      <c r="D5316" s="22" t="str">
        <f>HYPERLINK("https://rhld.insurance.arkansas.gov/NPILookup?Npi=1174581193","1174581193")</f>
        <v>1174581193</v>
      </c>
      <c r="E5316" s="1" t="s">
        <v>4274</v>
      </c>
      <c r="F5316" s="2"/>
      <c r="G5316" s="2"/>
      <c r="H5316" s="2"/>
    </row>
    <row r="5317" spans="1:8" x14ac:dyDescent="0.25">
      <c r="A5317" s="1"/>
      <c r="B5317" s="1" t="s">
        <v>4202</v>
      </c>
      <c r="C5317" s="1" t="s">
        <v>4203</v>
      </c>
      <c r="D5317" s="22" t="str">
        <f>HYPERLINK("https://rhld.insurance.arkansas.gov/NPILookup?Npi=1174610224","1174610224")</f>
        <v>1174610224</v>
      </c>
      <c r="E5317" s="1" t="s">
        <v>17273</v>
      </c>
      <c r="F5317" s="2"/>
      <c r="G5317" s="2"/>
      <c r="H5317" s="2"/>
    </row>
    <row r="5318" spans="1:8" x14ac:dyDescent="0.25">
      <c r="A5318" s="1"/>
      <c r="B5318" s="1" t="s">
        <v>4202</v>
      </c>
      <c r="C5318" s="1" t="s">
        <v>4203</v>
      </c>
      <c r="D5318" s="22" t="str">
        <f>HYPERLINK("https://rhld.insurance.arkansas.gov/NPILookup?Npi=1174613731","1174613731")</f>
        <v>1174613731</v>
      </c>
      <c r="E5318" s="1" t="s">
        <v>17274</v>
      </c>
      <c r="F5318" s="2"/>
      <c r="G5318" s="2"/>
      <c r="H5318" s="2"/>
    </row>
    <row r="5319" spans="1:8" x14ac:dyDescent="0.25">
      <c r="A5319" s="1"/>
      <c r="B5319" s="1" t="s">
        <v>4202</v>
      </c>
      <c r="C5319" s="1" t="s">
        <v>4203</v>
      </c>
      <c r="D5319" s="22" t="str">
        <f>HYPERLINK("https://rhld.insurance.arkansas.gov/NPILookup?Npi=1174687834","1174687834")</f>
        <v>1174687834</v>
      </c>
      <c r="E5319" s="1" t="s">
        <v>17275</v>
      </c>
      <c r="F5319" s="2"/>
      <c r="G5319" s="2"/>
      <c r="H5319" s="2"/>
    </row>
    <row r="5320" spans="1:8" x14ac:dyDescent="0.25">
      <c r="A5320" s="1"/>
      <c r="B5320" s="1" t="s">
        <v>4202</v>
      </c>
      <c r="C5320" s="1" t="s">
        <v>4203</v>
      </c>
      <c r="D5320" s="22" t="str">
        <f>HYPERLINK("https://rhld.insurance.arkansas.gov/NPILookup?Npi=1174796254","1174796254")</f>
        <v>1174796254</v>
      </c>
      <c r="E5320" s="1" t="s">
        <v>4275</v>
      </c>
      <c r="F5320" s="2"/>
      <c r="G5320" s="2"/>
      <c r="H5320" s="2"/>
    </row>
    <row r="5321" spans="1:8" x14ac:dyDescent="0.25">
      <c r="A5321" s="1"/>
      <c r="B5321" s="1" t="s">
        <v>4202</v>
      </c>
      <c r="C5321" s="1" t="s">
        <v>4203</v>
      </c>
      <c r="D5321" s="22" t="str">
        <f>HYPERLINK("https://rhld.insurance.arkansas.gov/NPILookup?Npi=1174814727","1174814727")</f>
        <v>1174814727</v>
      </c>
      <c r="E5321" s="1" t="s">
        <v>1275</v>
      </c>
      <c r="F5321" s="2"/>
      <c r="G5321" s="2"/>
      <c r="H5321" s="2"/>
    </row>
    <row r="5322" spans="1:8" x14ac:dyDescent="0.25">
      <c r="A5322" s="1"/>
      <c r="B5322" s="1" t="s">
        <v>4202</v>
      </c>
      <c r="C5322" s="1" t="s">
        <v>4203</v>
      </c>
      <c r="D5322" s="22" t="str">
        <f>HYPERLINK("https://rhld.insurance.arkansas.gov/NPILookup?Npi=1174815955","1174815955")</f>
        <v>1174815955</v>
      </c>
      <c r="E5322" s="1" t="s">
        <v>17276</v>
      </c>
      <c r="F5322" s="2"/>
      <c r="G5322" s="2"/>
      <c r="H5322" s="2"/>
    </row>
    <row r="5323" spans="1:8" x14ac:dyDescent="0.25">
      <c r="A5323" s="1"/>
      <c r="B5323" s="1" t="s">
        <v>4202</v>
      </c>
      <c r="C5323" s="1" t="s">
        <v>4203</v>
      </c>
      <c r="D5323" s="22" t="str">
        <f>HYPERLINK("https://rhld.insurance.arkansas.gov/NPILookup?Npi=1174822522","1174822522")</f>
        <v>1174822522</v>
      </c>
      <c r="E5323" s="1" t="s">
        <v>17277</v>
      </c>
      <c r="F5323" s="2"/>
      <c r="G5323" s="2"/>
      <c r="H5323" s="2"/>
    </row>
    <row r="5324" spans="1:8" x14ac:dyDescent="0.25">
      <c r="A5324" s="1"/>
      <c r="B5324" s="1" t="s">
        <v>4202</v>
      </c>
      <c r="C5324" s="1" t="s">
        <v>4203</v>
      </c>
      <c r="D5324" s="22" t="str">
        <f>HYPERLINK("https://rhld.insurance.arkansas.gov/NPILookup?Npi=1174872485","1174872485")</f>
        <v>1174872485</v>
      </c>
      <c r="E5324" s="1" t="s">
        <v>31415</v>
      </c>
      <c r="F5324" s="2"/>
      <c r="G5324" s="2"/>
      <c r="H5324" s="2"/>
    </row>
    <row r="5325" spans="1:8" x14ac:dyDescent="0.25">
      <c r="A5325" s="1"/>
      <c r="B5325" s="1" t="s">
        <v>4202</v>
      </c>
      <c r="C5325" s="1" t="s">
        <v>4203</v>
      </c>
      <c r="D5325" s="22" t="str">
        <f>HYPERLINK("https://rhld.insurance.arkansas.gov/NPILookup?Npi=1184030496","1184030496")</f>
        <v>1184030496</v>
      </c>
      <c r="E5325" s="1" t="s">
        <v>17278</v>
      </c>
      <c r="F5325" s="2"/>
      <c r="G5325" s="2"/>
      <c r="H5325" s="2"/>
    </row>
    <row r="5326" spans="1:8" x14ac:dyDescent="0.25">
      <c r="A5326" s="1"/>
      <c r="B5326" s="1" t="s">
        <v>4202</v>
      </c>
      <c r="C5326" s="1" t="s">
        <v>4203</v>
      </c>
      <c r="D5326" s="22" t="str">
        <f>HYPERLINK("https://rhld.insurance.arkansas.gov/NPILookup?Npi=1184030660","1184030660")</f>
        <v>1184030660</v>
      </c>
      <c r="E5326" s="1" t="s">
        <v>17279</v>
      </c>
      <c r="F5326" s="2"/>
      <c r="G5326" s="2"/>
      <c r="H5326" s="2"/>
    </row>
    <row r="5327" spans="1:8" x14ac:dyDescent="0.25">
      <c r="A5327" s="1"/>
      <c r="B5327" s="1" t="s">
        <v>4202</v>
      </c>
      <c r="C5327" s="1" t="s">
        <v>4203</v>
      </c>
      <c r="D5327" s="22" t="str">
        <f>HYPERLINK("https://rhld.insurance.arkansas.gov/NPILookup?Npi=1184086613","1184086613")</f>
        <v>1184086613</v>
      </c>
      <c r="E5327" s="1" t="s">
        <v>17281</v>
      </c>
      <c r="F5327" s="2"/>
      <c r="G5327" s="2"/>
      <c r="H5327" s="2"/>
    </row>
    <row r="5328" spans="1:8" x14ac:dyDescent="0.25">
      <c r="A5328" s="1"/>
      <c r="B5328" s="1" t="s">
        <v>4202</v>
      </c>
      <c r="C5328" s="1" t="s">
        <v>4203</v>
      </c>
      <c r="D5328" s="22" t="str">
        <f>HYPERLINK("https://rhld.insurance.arkansas.gov/NPILookup?Npi=1184087017","1184087017")</f>
        <v>1184087017</v>
      </c>
      <c r="E5328" s="1" t="s">
        <v>17282</v>
      </c>
      <c r="F5328" s="2"/>
      <c r="G5328" s="2"/>
      <c r="H5328" s="2"/>
    </row>
    <row r="5329" spans="1:8" x14ac:dyDescent="0.25">
      <c r="A5329" s="1"/>
      <c r="B5329" s="1" t="s">
        <v>4202</v>
      </c>
      <c r="C5329" s="1" t="s">
        <v>4203</v>
      </c>
      <c r="D5329" s="22" t="str">
        <f>HYPERLINK("https://rhld.insurance.arkansas.gov/NPILookup?Npi=1184192510","1184192510")</f>
        <v>1184192510</v>
      </c>
      <c r="E5329" s="1" t="s">
        <v>17283</v>
      </c>
      <c r="F5329" s="2"/>
      <c r="G5329" s="2"/>
      <c r="H5329" s="2"/>
    </row>
    <row r="5330" spans="1:8" x14ac:dyDescent="0.25">
      <c r="A5330" s="1"/>
      <c r="B5330" s="1" t="s">
        <v>4202</v>
      </c>
      <c r="C5330" s="1" t="s">
        <v>4203</v>
      </c>
      <c r="D5330" s="22" t="str">
        <f>HYPERLINK("https://rhld.insurance.arkansas.gov/NPILookup?Npi=1184203036","1184203036")</f>
        <v>1184203036</v>
      </c>
      <c r="E5330" s="1" t="s">
        <v>17284</v>
      </c>
      <c r="F5330" s="2"/>
      <c r="G5330" s="2"/>
      <c r="H5330" s="2"/>
    </row>
    <row r="5331" spans="1:8" x14ac:dyDescent="0.25">
      <c r="A5331" s="1"/>
      <c r="B5331" s="1" t="s">
        <v>4202</v>
      </c>
      <c r="C5331" s="1" t="s">
        <v>4203</v>
      </c>
      <c r="D5331" s="22" t="str">
        <f>HYPERLINK("https://rhld.insurance.arkansas.gov/NPILookup?Npi=1184203648","1184203648")</f>
        <v>1184203648</v>
      </c>
      <c r="E5331" s="1" t="s">
        <v>31416</v>
      </c>
      <c r="F5331" s="2"/>
      <c r="G5331" s="2"/>
      <c r="H5331" s="2"/>
    </row>
    <row r="5332" spans="1:8" x14ac:dyDescent="0.25">
      <c r="A5332" s="1"/>
      <c r="B5332" s="1" t="s">
        <v>4202</v>
      </c>
      <c r="C5332" s="1" t="s">
        <v>4203</v>
      </c>
      <c r="D5332" s="22" t="str">
        <f>HYPERLINK("https://rhld.insurance.arkansas.gov/NPILookup?Npi=1184290587","1184290587")</f>
        <v>1184290587</v>
      </c>
      <c r="E5332" s="1" t="s">
        <v>31417</v>
      </c>
      <c r="F5332" s="2"/>
      <c r="G5332" s="2"/>
      <c r="H5332" s="2"/>
    </row>
    <row r="5333" spans="1:8" x14ac:dyDescent="0.25">
      <c r="A5333" s="1"/>
      <c r="B5333" s="1" t="s">
        <v>4202</v>
      </c>
      <c r="C5333" s="1" t="s">
        <v>4203</v>
      </c>
      <c r="D5333" s="22" t="str">
        <f>HYPERLINK("https://rhld.insurance.arkansas.gov/NPILookup?Npi=1184625105","1184625105")</f>
        <v>1184625105</v>
      </c>
      <c r="E5333" s="1" t="s">
        <v>17285</v>
      </c>
      <c r="F5333" s="2"/>
      <c r="G5333" s="2"/>
      <c r="H5333" s="2"/>
    </row>
    <row r="5334" spans="1:8" x14ac:dyDescent="0.25">
      <c r="A5334" s="1"/>
      <c r="B5334" s="1" t="s">
        <v>4202</v>
      </c>
      <c r="C5334" s="1" t="s">
        <v>4203</v>
      </c>
      <c r="D5334" s="22" t="str">
        <f>HYPERLINK("https://rhld.insurance.arkansas.gov/NPILookup?Npi=1184664666","1184664666")</f>
        <v>1184664666</v>
      </c>
      <c r="E5334" s="1" t="s">
        <v>4278</v>
      </c>
      <c r="F5334" s="2"/>
      <c r="G5334" s="2"/>
      <c r="H5334" s="2"/>
    </row>
    <row r="5335" spans="1:8" x14ac:dyDescent="0.25">
      <c r="A5335" s="1"/>
      <c r="B5335" s="1" t="s">
        <v>4202</v>
      </c>
      <c r="C5335" s="1" t="s">
        <v>4203</v>
      </c>
      <c r="D5335" s="22" t="str">
        <f>HYPERLINK("https://rhld.insurance.arkansas.gov/NPILookup?Npi=1184669137","1184669137")</f>
        <v>1184669137</v>
      </c>
      <c r="E5335" s="1" t="s">
        <v>31418</v>
      </c>
      <c r="F5335" s="2"/>
      <c r="G5335" s="2"/>
      <c r="H5335" s="2"/>
    </row>
    <row r="5336" spans="1:8" x14ac:dyDescent="0.25">
      <c r="A5336" s="1"/>
      <c r="B5336" s="1" t="s">
        <v>4202</v>
      </c>
      <c r="C5336" s="1" t="s">
        <v>4203</v>
      </c>
      <c r="D5336" s="22" t="str">
        <f>HYPERLINK("https://rhld.insurance.arkansas.gov/NPILookup?Npi=1184686982","1184686982")</f>
        <v>1184686982</v>
      </c>
      <c r="E5336" s="1" t="s">
        <v>17287</v>
      </c>
      <c r="F5336" s="2"/>
      <c r="G5336" s="2"/>
      <c r="H5336" s="2"/>
    </row>
    <row r="5337" spans="1:8" x14ac:dyDescent="0.25">
      <c r="A5337" s="1"/>
      <c r="B5337" s="1" t="s">
        <v>4202</v>
      </c>
      <c r="C5337" s="1" t="s">
        <v>4203</v>
      </c>
      <c r="D5337" s="22" t="str">
        <f>HYPERLINK("https://rhld.insurance.arkansas.gov/NPILookup?Npi=1184725764","1184725764")</f>
        <v>1184725764</v>
      </c>
      <c r="E5337" s="1" t="s">
        <v>4279</v>
      </c>
      <c r="F5337" s="2"/>
      <c r="G5337" s="2"/>
      <c r="H5337" s="2"/>
    </row>
    <row r="5338" spans="1:8" x14ac:dyDescent="0.25">
      <c r="A5338" s="1"/>
      <c r="B5338" s="1" t="s">
        <v>4202</v>
      </c>
      <c r="C5338" s="1" t="s">
        <v>4203</v>
      </c>
      <c r="D5338" s="22" t="str">
        <f>HYPERLINK("https://rhld.insurance.arkansas.gov/NPILookup?Npi=1184749319","1184749319")</f>
        <v>1184749319</v>
      </c>
      <c r="E5338" s="1" t="s">
        <v>17288</v>
      </c>
      <c r="F5338" s="2"/>
      <c r="G5338" s="2"/>
      <c r="H5338" s="2"/>
    </row>
    <row r="5339" spans="1:8" x14ac:dyDescent="0.25">
      <c r="A5339" s="1"/>
      <c r="B5339" s="1" t="s">
        <v>4202</v>
      </c>
      <c r="C5339" s="1" t="s">
        <v>4203</v>
      </c>
      <c r="D5339" s="22" t="str">
        <f>HYPERLINK("https://rhld.insurance.arkansas.gov/NPILookup?Npi=1184885816","1184885816")</f>
        <v>1184885816</v>
      </c>
      <c r="E5339" s="1" t="s">
        <v>17290</v>
      </c>
      <c r="F5339" s="2"/>
      <c r="G5339" s="2"/>
      <c r="H5339" s="2"/>
    </row>
    <row r="5340" spans="1:8" x14ac:dyDescent="0.25">
      <c r="A5340" s="1"/>
      <c r="B5340" s="1" t="s">
        <v>4202</v>
      </c>
      <c r="C5340" s="1" t="s">
        <v>4203</v>
      </c>
      <c r="D5340" s="22" t="str">
        <f>HYPERLINK("https://rhld.insurance.arkansas.gov/NPILookup?Npi=1184918484","1184918484")</f>
        <v>1184918484</v>
      </c>
      <c r="E5340" s="1" t="s">
        <v>10243</v>
      </c>
      <c r="F5340" s="2"/>
      <c r="G5340" s="2"/>
      <c r="H5340" s="2"/>
    </row>
    <row r="5341" spans="1:8" x14ac:dyDescent="0.25">
      <c r="A5341" s="1"/>
      <c r="B5341" s="1" t="s">
        <v>4202</v>
      </c>
      <c r="C5341" s="1" t="s">
        <v>4203</v>
      </c>
      <c r="D5341" s="22" t="str">
        <f>HYPERLINK("https://rhld.insurance.arkansas.gov/NPILookup?Npi=1194046169","1194046169")</f>
        <v>1194046169</v>
      </c>
      <c r="E5341" s="1" t="s">
        <v>17292</v>
      </c>
      <c r="F5341" s="2"/>
      <c r="G5341" s="2"/>
      <c r="H5341" s="2"/>
    </row>
    <row r="5342" spans="1:8" x14ac:dyDescent="0.25">
      <c r="A5342" s="1"/>
      <c r="B5342" s="1" t="s">
        <v>4202</v>
      </c>
      <c r="C5342" s="1" t="s">
        <v>4203</v>
      </c>
      <c r="D5342" s="22" t="str">
        <f>HYPERLINK("https://rhld.insurance.arkansas.gov/NPILookup?Npi=1194145599","1194145599")</f>
        <v>1194145599</v>
      </c>
      <c r="E5342" s="1" t="s">
        <v>17293</v>
      </c>
      <c r="F5342" s="2"/>
      <c r="G5342" s="2"/>
      <c r="H5342" s="2"/>
    </row>
    <row r="5343" spans="1:8" x14ac:dyDescent="0.25">
      <c r="A5343" s="1"/>
      <c r="B5343" s="1" t="s">
        <v>4202</v>
      </c>
      <c r="C5343" s="1" t="s">
        <v>4203</v>
      </c>
      <c r="D5343" s="22" t="str">
        <f>HYPERLINK("https://rhld.insurance.arkansas.gov/NPILookup?Npi=1194145607","1194145607")</f>
        <v>1194145607</v>
      </c>
      <c r="E5343" s="1" t="s">
        <v>1373</v>
      </c>
      <c r="F5343" s="2"/>
      <c r="G5343" s="2"/>
      <c r="H5343" s="2"/>
    </row>
    <row r="5344" spans="1:8" x14ac:dyDescent="0.25">
      <c r="A5344" s="1"/>
      <c r="B5344" s="1" t="s">
        <v>4202</v>
      </c>
      <c r="C5344" s="1" t="s">
        <v>4203</v>
      </c>
      <c r="D5344" s="22" t="str">
        <f>HYPERLINK("https://rhld.insurance.arkansas.gov/NPILookup?Npi=1194162180","1194162180")</f>
        <v>1194162180</v>
      </c>
      <c r="E5344" s="1" t="s">
        <v>17294</v>
      </c>
      <c r="F5344" s="2"/>
      <c r="G5344" s="2"/>
      <c r="H5344" s="2"/>
    </row>
    <row r="5345" spans="1:8" x14ac:dyDescent="0.25">
      <c r="A5345" s="1"/>
      <c r="B5345" s="1" t="s">
        <v>4202</v>
      </c>
      <c r="C5345" s="1" t="s">
        <v>4203</v>
      </c>
      <c r="D5345" s="22" t="str">
        <f>HYPERLINK("https://rhld.insurance.arkansas.gov/NPILookup?Npi=1194174318","1194174318")</f>
        <v>1194174318</v>
      </c>
      <c r="E5345" s="1" t="s">
        <v>4281</v>
      </c>
      <c r="F5345" s="2"/>
      <c r="G5345" s="2"/>
      <c r="H5345" s="2"/>
    </row>
    <row r="5346" spans="1:8" x14ac:dyDescent="0.25">
      <c r="A5346" s="1"/>
      <c r="B5346" s="1" t="s">
        <v>4202</v>
      </c>
      <c r="C5346" s="1" t="s">
        <v>4203</v>
      </c>
      <c r="D5346" s="22" t="str">
        <f>HYPERLINK("https://rhld.insurance.arkansas.gov/NPILookup?Npi=1194219972","1194219972")</f>
        <v>1194219972</v>
      </c>
      <c r="E5346" s="1" t="s">
        <v>10244</v>
      </c>
      <c r="F5346" s="2"/>
      <c r="G5346" s="2"/>
      <c r="H5346" s="2"/>
    </row>
    <row r="5347" spans="1:8" x14ac:dyDescent="0.25">
      <c r="A5347" s="1"/>
      <c r="B5347" s="1" t="s">
        <v>4202</v>
      </c>
      <c r="C5347" s="1" t="s">
        <v>4203</v>
      </c>
      <c r="D5347" s="22" t="str">
        <f>HYPERLINK("https://rhld.insurance.arkansas.gov/NPILookup?Npi=1194700112","1194700112")</f>
        <v>1194700112</v>
      </c>
      <c r="E5347" s="1" t="s">
        <v>4283</v>
      </c>
      <c r="F5347" s="2"/>
      <c r="G5347" s="2"/>
      <c r="H5347" s="2"/>
    </row>
    <row r="5348" spans="1:8" x14ac:dyDescent="0.25">
      <c r="A5348" s="1"/>
      <c r="B5348" s="1" t="s">
        <v>4202</v>
      </c>
      <c r="C5348" s="1" t="s">
        <v>4203</v>
      </c>
      <c r="D5348" s="22" t="str">
        <f>HYPERLINK("https://rhld.insurance.arkansas.gov/NPILookup?Npi=1194715888","1194715888")</f>
        <v>1194715888</v>
      </c>
      <c r="E5348" s="1" t="s">
        <v>17296</v>
      </c>
      <c r="F5348" s="2"/>
      <c r="G5348" s="2"/>
      <c r="H5348" s="2"/>
    </row>
    <row r="5349" spans="1:8" x14ac:dyDescent="0.25">
      <c r="A5349" s="1"/>
      <c r="B5349" s="1" t="s">
        <v>4202</v>
      </c>
      <c r="C5349" s="1" t="s">
        <v>4203</v>
      </c>
      <c r="D5349" s="22" t="str">
        <f>HYPERLINK("https://rhld.insurance.arkansas.gov/NPILookup?Npi=1194768903","1194768903")</f>
        <v>1194768903</v>
      </c>
      <c r="E5349" s="1" t="s">
        <v>10245</v>
      </c>
      <c r="F5349" s="2"/>
      <c r="G5349" s="2"/>
      <c r="H5349" s="2"/>
    </row>
    <row r="5350" spans="1:8" x14ac:dyDescent="0.25">
      <c r="A5350" s="1"/>
      <c r="B5350" s="1" t="s">
        <v>4202</v>
      </c>
      <c r="C5350" s="1" t="s">
        <v>4203</v>
      </c>
      <c r="D5350" s="22" t="str">
        <f>HYPERLINK("https://rhld.insurance.arkansas.gov/NPILookup?Npi=1194778829","1194778829")</f>
        <v>1194778829</v>
      </c>
      <c r="E5350" s="1" t="s">
        <v>17298</v>
      </c>
      <c r="F5350" s="2"/>
      <c r="G5350" s="2"/>
      <c r="H5350" s="2"/>
    </row>
    <row r="5351" spans="1:8" x14ac:dyDescent="0.25">
      <c r="A5351" s="1"/>
      <c r="B5351" s="1" t="s">
        <v>4202</v>
      </c>
      <c r="C5351" s="1" t="s">
        <v>4203</v>
      </c>
      <c r="D5351" s="22" t="str">
        <f>HYPERLINK("https://rhld.insurance.arkansas.gov/NPILookup?Npi=1194783472","1194783472")</f>
        <v>1194783472</v>
      </c>
      <c r="E5351" s="1" t="s">
        <v>17299</v>
      </c>
      <c r="F5351" s="2"/>
      <c r="G5351" s="2"/>
      <c r="H5351" s="2"/>
    </row>
    <row r="5352" spans="1:8" x14ac:dyDescent="0.25">
      <c r="A5352" s="1"/>
      <c r="B5352" s="1" t="s">
        <v>4202</v>
      </c>
      <c r="C5352" s="1" t="s">
        <v>4203</v>
      </c>
      <c r="D5352" s="22" t="str">
        <f>HYPERLINK("https://rhld.insurance.arkansas.gov/NPILookup?Npi=1194895490","1194895490")</f>
        <v>1194895490</v>
      </c>
      <c r="E5352" s="1" t="s">
        <v>10247</v>
      </c>
      <c r="F5352" s="2"/>
      <c r="G5352" s="2"/>
      <c r="H5352" s="2"/>
    </row>
    <row r="5353" spans="1:8" x14ac:dyDescent="0.25">
      <c r="A5353" s="1"/>
      <c r="B5353" s="1" t="s">
        <v>4202</v>
      </c>
      <c r="C5353" s="1" t="s">
        <v>4203</v>
      </c>
      <c r="D5353" s="22" t="str">
        <f>HYPERLINK("https://rhld.insurance.arkansas.gov/NPILookup?Npi=1194926311","1194926311")</f>
        <v>1194926311</v>
      </c>
      <c r="E5353" s="1" t="s">
        <v>10248</v>
      </c>
      <c r="F5353" s="2"/>
      <c r="G5353" s="2"/>
      <c r="H5353" s="2"/>
    </row>
    <row r="5354" spans="1:8" x14ac:dyDescent="0.25">
      <c r="A5354" s="1"/>
      <c r="B5354" s="1" t="s">
        <v>4202</v>
      </c>
      <c r="C5354" s="1" t="s">
        <v>4203</v>
      </c>
      <c r="D5354" s="22" t="str">
        <f>HYPERLINK("https://rhld.insurance.arkansas.gov/NPILookup?Npi=1194936013","1194936013")</f>
        <v>1194936013</v>
      </c>
      <c r="E5354" s="1" t="s">
        <v>903</v>
      </c>
      <c r="F5354" s="2"/>
      <c r="G5354" s="2"/>
      <c r="H5354" s="2"/>
    </row>
    <row r="5355" spans="1:8" x14ac:dyDescent="0.25">
      <c r="A5355" s="1"/>
      <c r="B5355" s="1" t="s">
        <v>4202</v>
      </c>
      <c r="C5355" s="1" t="s">
        <v>4203</v>
      </c>
      <c r="D5355" s="22" t="str">
        <f>HYPERLINK("https://rhld.insurance.arkansas.gov/NPILookup?Npi=1194944421","1194944421")</f>
        <v>1194944421</v>
      </c>
      <c r="E5355" s="1" t="s">
        <v>17300</v>
      </c>
      <c r="F5355" s="2"/>
      <c r="G5355" s="2"/>
      <c r="H5355" s="2"/>
    </row>
    <row r="5356" spans="1:8" x14ac:dyDescent="0.25">
      <c r="A5356" s="1"/>
      <c r="B5356" s="1" t="s">
        <v>4202</v>
      </c>
      <c r="C5356" s="1" t="s">
        <v>4203</v>
      </c>
      <c r="D5356" s="22" t="str">
        <f>HYPERLINK("https://rhld.insurance.arkansas.gov/NPILookup?Npi=1194968917","1194968917")</f>
        <v>1194968917</v>
      </c>
      <c r="E5356" s="1" t="s">
        <v>17301</v>
      </c>
      <c r="F5356" s="2"/>
      <c r="G5356" s="2"/>
      <c r="H5356" s="2"/>
    </row>
    <row r="5357" spans="1:8" x14ac:dyDescent="0.25">
      <c r="A5357" s="1"/>
      <c r="B5357" s="1" t="s">
        <v>4202</v>
      </c>
      <c r="C5357" s="1" t="s">
        <v>4203</v>
      </c>
      <c r="D5357" s="22" t="str">
        <f>HYPERLINK("https://rhld.insurance.arkansas.gov/NPILookup?Npi=1205031390","1205031390")</f>
        <v>1205031390</v>
      </c>
      <c r="E5357" s="1" t="s">
        <v>4284</v>
      </c>
      <c r="F5357" s="2"/>
      <c r="G5357" s="2"/>
      <c r="H5357" s="2"/>
    </row>
    <row r="5358" spans="1:8" x14ac:dyDescent="0.25">
      <c r="A5358" s="1"/>
      <c r="B5358" s="1" t="s">
        <v>4202</v>
      </c>
      <c r="C5358" s="1" t="s">
        <v>4203</v>
      </c>
      <c r="D5358" s="22" t="str">
        <f>HYPERLINK("https://rhld.insurance.arkansas.gov/NPILookup?Npi=1205032745","1205032745")</f>
        <v>1205032745</v>
      </c>
      <c r="E5358" s="1" t="s">
        <v>17302</v>
      </c>
      <c r="F5358" s="2"/>
      <c r="G5358" s="2"/>
      <c r="H5358" s="2"/>
    </row>
    <row r="5359" spans="1:8" x14ac:dyDescent="0.25">
      <c r="A5359" s="1"/>
      <c r="B5359" s="1" t="s">
        <v>4202</v>
      </c>
      <c r="C5359" s="1" t="s">
        <v>4203</v>
      </c>
      <c r="D5359" s="22" t="str">
        <f>HYPERLINK("https://rhld.insurance.arkansas.gov/NPILookup?Npi=1205084597","1205084597")</f>
        <v>1205084597</v>
      </c>
      <c r="E5359" s="1" t="s">
        <v>17303</v>
      </c>
      <c r="F5359" s="2"/>
      <c r="G5359" s="2"/>
      <c r="H5359" s="2"/>
    </row>
    <row r="5360" spans="1:8" x14ac:dyDescent="0.25">
      <c r="A5360" s="1"/>
      <c r="B5360" s="1" t="s">
        <v>4202</v>
      </c>
      <c r="C5360" s="1" t="s">
        <v>4203</v>
      </c>
      <c r="D5360" s="22" t="str">
        <f>HYPERLINK("https://rhld.insurance.arkansas.gov/NPILookup?Npi=1205090156","1205090156")</f>
        <v>1205090156</v>
      </c>
      <c r="E5360" s="1" t="s">
        <v>17304</v>
      </c>
      <c r="F5360" s="2"/>
      <c r="G5360" s="2"/>
      <c r="H5360" s="2"/>
    </row>
    <row r="5361" spans="1:8" x14ac:dyDescent="0.25">
      <c r="A5361" s="1"/>
      <c r="B5361" s="1" t="s">
        <v>4202</v>
      </c>
      <c r="C5361" s="1" t="s">
        <v>4203</v>
      </c>
      <c r="D5361" s="22" t="str">
        <f>HYPERLINK("https://rhld.insurance.arkansas.gov/NPILookup?Npi=1205147998","1205147998")</f>
        <v>1205147998</v>
      </c>
      <c r="E5361" s="1" t="s">
        <v>4285</v>
      </c>
      <c r="F5361" s="2"/>
      <c r="G5361" s="2"/>
      <c r="H5361" s="2"/>
    </row>
    <row r="5362" spans="1:8" x14ac:dyDescent="0.25">
      <c r="A5362" s="1"/>
      <c r="B5362" s="1" t="s">
        <v>4202</v>
      </c>
      <c r="C5362" s="1" t="s">
        <v>4203</v>
      </c>
      <c r="D5362" s="22" t="str">
        <f>HYPERLINK("https://rhld.insurance.arkansas.gov/NPILookup?Npi=1205397304","1205397304")</f>
        <v>1205397304</v>
      </c>
      <c r="E5362" s="1" t="s">
        <v>17306</v>
      </c>
      <c r="F5362" s="2"/>
      <c r="G5362" s="2"/>
      <c r="H5362" s="2"/>
    </row>
    <row r="5363" spans="1:8" x14ac:dyDescent="0.25">
      <c r="A5363" s="1"/>
      <c r="B5363" s="1" t="s">
        <v>4202</v>
      </c>
      <c r="C5363" s="1" t="s">
        <v>4203</v>
      </c>
      <c r="D5363" s="22" t="str">
        <f>HYPERLINK("https://rhld.insurance.arkansas.gov/NPILookup?Npi=1205806585","1205806585")</f>
        <v>1205806585</v>
      </c>
      <c r="E5363" s="1" t="s">
        <v>31419</v>
      </c>
      <c r="F5363" s="2"/>
      <c r="G5363" s="2"/>
      <c r="H5363" s="2"/>
    </row>
    <row r="5364" spans="1:8" x14ac:dyDescent="0.25">
      <c r="A5364" s="1"/>
      <c r="B5364" s="1" t="s">
        <v>4202</v>
      </c>
      <c r="C5364" s="1" t="s">
        <v>4203</v>
      </c>
      <c r="D5364" s="22" t="str">
        <f>HYPERLINK("https://rhld.insurance.arkansas.gov/NPILookup?Npi=1205836566","1205836566")</f>
        <v>1205836566</v>
      </c>
      <c r="E5364" s="1" t="s">
        <v>17307</v>
      </c>
      <c r="F5364" s="2"/>
      <c r="G5364" s="2"/>
      <c r="H5364" s="2"/>
    </row>
    <row r="5365" spans="1:8" x14ac:dyDescent="0.25">
      <c r="A5365" s="1"/>
      <c r="B5365" s="1" t="s">
        <v>4202</v>
      </c>
      <c r="C5365" s="1" t="s">
        <v>4203</v>
      </c>
      <c r="D5365" s="22" t="str">
        <f>HYPERLINK("https://rhld.insurance.arkansas.gov/NPILookup?Npi=1205862315","1205862315")</f>
        <v>1205862315</v>
      </c>
      <c r="E5365" s="1" t="s">
        <v>17308</v>
      </c>
      <c r="F5365" s="2"/>
      <c r="G5365" s="2"/>
      <c r="H5365" s="2"/>
    </row>
    <row r="5366" spans="1:8" x14ac:dyDescent="0.25">
      <c r="A5366" s="1"/>
      <c r="B5366" s="1" t="s">
        <v>4202</v>
      </c>
      <c r="C5366" s="1" t="s">
        <v>4203</v>
      </c>
      <c r="D5366" s="22" t="str">
        <f>HYPERLINK("https://rhld.insurance.arkansas.gov/NPILookup?Npi=1215041652","1215041652")</f>
        <v>1215041652</v>
      </c>
      <c r="E5366" s="1" t="s">
        <v>4286</v>
      </c>
      <c r="F5366" s="2"/>
      <c r="G5366" s="2"/>
      <c r="H5366" s="2"/>
    </row>
    <row r="5367" spans="1:8" x14ac:dyDescent="0.25">
      <c r="A5367" s="1"/>
      <c r="B5367" s="1" t="s">
        <v>4202</v>
      </c>
      <c r="C5367" s="1" t="s">
        <v>4203</v>
      </c>
      <c r="D5367" s="22" t="str">
        <f>HYPERLINK("https://rhld.insurance.arkansas.gov/NPILookup?Npi=1215135553","1215135553")</f>
        <v>1215135553</v>
      </c>
      <c r="E5367" s="1" t="s">
        <v>4287</v>
      </c>
      <c r="F5367" s="2"/>
      <c r="G5367" s="2"/>
      <c r="H5367" s="2"/>
    </row>
    <row r="5368" spans="1:8" x14ac:dyDescent="0.25">
      <c r="A5368" s="1"/>
      <c r="B5368" s="1" t="s">
        <v>4202</v>
      </c>
      <c r="C5368" s="1" t="s">
        <v>4203</v>
      </c>
      <c r="D5368" s="22" t="str">
        <f>HYPERLINK("https://rhld.insurance.arkansas.gov/NPILookup?Npi=1215252812","1215252812")</f>
        <v>1215252812</v>
      </c>
      <c r="E5368" s="1" t="s">
        <v>17311</v>
      </c>
      <c r="F5368" s="2"/>
      <c r="G5368" s="2"/>
      <c r="H5368" s="2"/>
    </row>
    <row r="5369" spans="1:8" x14ac:dyDescent="0.25">
      <c r="A5369" s="1"/>
      <c r="B5369" s="1" t="s">
        <v>4202</v>
      </c>
      <c r="C5369" s="1" t="s">
        <v>4203</v>
      </c>
      <c r="D5369" s="22" t="str">
        <f>HYPERLINK("https://rhld.insurance.arkansas.gov/NPILookup?Npi=1215430251","1215430251")</f>
        <v>1215430251</v>
      </c>
      <c r="E5369" s="1" t="s">
        <v>4288</v>
      </c>
      <c r="F5369" s="2"/>
      <c r="G5369" s="2"/>
      <c r="H5369" s="2"/>
    </row>
    <row r="5370" spans="1:8" x14ac:dyDescent="0.25">
      <c r="A5370" s="1"/>
      <c r="B5370" s="1" t="s">
        <v>4202</v>
      </c>
      <c r="C5370" s="1" t="s">
        <v>4203</v>
      </c>
      <c r="D5370" s="22" t="str">
        <f>HYPERLINK("https://rhld.insurance.arkansas.gov/NPILookup?Npi=1215498332","1215498332")</f>
        <v>1215498332</v>
      </c>
      <c r="E5370" s="1" t="s">
        <v>17312</v>
      </c>
      <c r="F5370" s="2"/>
      <c r="G5370" s="2"/>
      <c r="H5370" s="2"/>
    </row>
    <row r="5371" spans="1:8" x14ac:dyDescent="0.25">
      <c r="A5371" s="1"/>
      <c r="B5371" s="1" t="s">
        <v>4202</v>
      </c>
      <c r="C5371" s="1" t="s">
        <v>4203</v>
      </c>
      <c r="D5371" s="22" t="str">
        <f>HYPERLINK("https://rhld.insurance.arkansas.gov/NPILookup?Npi=1215564315","1215564315")</f>
        <v>1215564315</v>
      </c>
      <c r="E5371" s="1" t="s">
        <v>4289</v>
      </c>
      <c r="F5371" s="2"/>
      <c r="G5371" s="2"/>
      <c r="H5371" s="2"/>
    </row>
    <row r="5372" spans="1:8" x14ac:dyDescent="0.25">
      <c r="A5372" s="1"/>
      <c r="B5372" s="1" t="s">
        <v>4202</v>
      </c>
      <c r="C5372" s="1" t="s">
        <v>4203</v>
      </c>
      <c r="D5372" s="22" t="str">
        <f>HYPERLINK("https://rhld.insurance.arkansas.gov/NPILookup?Npi=1215937537","1215937537")</f>
        <v>1215937537</v>
      </c>
      <c r="E5372" s="1" t="s">
        <v>10250</v>
      </c>
      <c r="F5372" s="2"/>
      <c r="G5372" s="2"/>
      <c r="H5372" s="2"/>
    </row>
    <row r="5373" spans="1:8" x14ac:dyDescent="0.25">
      <c r="A5373" s="1"/>
      <c r="B5373" s="1" t="s">
        <v>4202</v>
      </c>
      <c r="C5373" s="1" t="s">
        <v>4203</v>
      </c>
      <c r="D5373" s="22" t="str">
        <f>HYPERLINK("https://rhld.insurance.arkansas.gov/NPILookup?Npi=1215938287","1215938287")</f>
        <v>1215938287</v>
      </c>
      <c r="E5373" s="1" t="s">
        <v>17313</v>
      </c>
      <c r="F5373" s="2"/>
      <c r="G5373" s="2"/>
      <c r="H5373" s="2"/>
    </row>
    <row r="5374" spans="1:8" x14ac:dyDescent="0.25">
      <c r="A5374" s="1"/>
      <c r="B5374" s="1" t="s">
        <v>4202</v>
      </c>
      <c r="C5374" s="1" t="s">
        <v>4203</v>
      </c>
      <c r="D5374" s="22" t="str">
        <f>HYPERLINK("https://rhld.insurance.arkansas.gov/NPILookup?Npi=1215939269","1215939269")</f>
        <v>1215939269</v>
      </c>
      <c r="E5374" s="1" t="s">
        <v>10251</v>
      </c>
      <c r="F5374" s="2"/>
      <c r="G5374" s="2"/>
      <c r="H5374" s="2"/>
    </row>
    <row r="5375" spans="1:8" x14ac:dyDescent="0.25">
      <c r="A5375" s="1"/>
      <c r="B5375" s="1" t="s">
        <v>4202</v>
      </c>
      <c r="C5375" s="1" t="s">
        <v>4203</v>
      </c>
      <c r="D5375" s="22" t="str">
        <f>HYPERLINK("https://rhld.insurance.arkansas.gov/NPILookup?Npi=1215964077","1215964077")</f>
        <v>1215964077</v>
      </c>
      <c r="E5375" s="1" t="s">
        <v>17314</v>
      </c>
      <c r="F5375" s="2"/>
      <c r="G5375" s="2"/>
      <c r="H5375" s="2"/>
    </row>
    <row r="5376" spans="1:8" x14ac:dyDescent="0.25">
      <c r="A5376" s="1"/>
      <c r="B5376" s="1" t="s">
        <v>4202</v>
      </c>
      <c r="C5376" s="1" t="s">
        <v>4203</v>
      </c>
      <c r="D5376" s="22" t="str">
        <f>HYPERLINK("https://rhld.insurance.arkansas.gov/NPILookup?Npi=1215965579","1215965579")</f>
        <v>1215965579</v>
      </c>
      <c r="E5376" s="1" t="s">
        <v>17315</v>
      </c>
      <c r="F5376" s="2"/>
      <c r="G5376" s="2"/>
      <c r="H5376" s="2"/>
    </row>
    <row r="5377" spans="1:8" x14ac:dyDescent="0.25">
      <c r="A5377" s="1"/>
      <c r="B5377" s="1" t="s">
        <v>4202</v>
      </c>
      <c r="C5377" s="1" t="s">
        <v>4203</v>
      </c>
      <c r="D5377" s="22" t="str">
        <f>HYPERLINK("https://rhld.insurance.arkansas.gov/NPILookup?Npi=1215991435","1215991435")</f>
        <v>1215991435</v>
      </c>
      <c r="E5377" s="1" t="s">
        <v>31420</v>
      </c>
      <c r="F5377" s="2"/>
      <c r="G5377" s="2"/>
      <c r="H5377" s="2"/>
    </row>
    <row r="5378" spans="1:8" x14ac:dyDescent="0.25">
      <c r="A5378" s="1"/>
      <c r="B5378" s="1" t="s">
        <v>4202</v>
      </c>
      <c r="C5378" s="1" t="s">
        <v>4203</v>
      </c>
      <c r="D5378" s="22" t="str">
        <f>HYPERLINK("https://rhld.insurance.arkansas.gov/NPILookup?Npi=1215995360","1215995360")</f>
        <v>1215995360</v>
      </c>
      <c r="E5378" s="1" t="s">
        <v>17317</v>
      </c>
      <c r="F5378" s="2"/>
      <c r="G5378" s="2"/>
      <c r="H5378" s="2"/>
    </row>
    <row r="5379" spans="1:8" x14ac:dyDescent="0.25">
      <c r="A5379" s="1"/>
      <c r="B5379" s="1" t="s">
        <v>4202</v>
      </c>
      <c r="C5379" s="1" t="s">
        <v>4203</v>
      </c>
      <c r="D5379" s="22" t="str">
        <f>HYPERLINK("https://rhld.insurance.arkansas.gov/NPILookup?Npi=1225028780","1225028780")</f>
        <v>1225028780</v>
      </c>
      <c r="E5379" s="1" t="s">
        <v>4290</v>
      </c>
      <c r="F5379" s="2"/>
      <c r="G5379" s="2"/>
      <c r="H5379" s="2"/>
    </row>
    <row r="5380" spans="1:8" x14ac:dyDescent="0.25">
      <c r="A5380" s="1"/>
      <c r="B5380" s="1" t="s">
        <v>4202</v>
      </c>
      <c r="C5380" s="1" t="s">
        <v>4203</v>
      </c>
      <c r="D5380" s="22" t="str">
        <f>HYPERLINK("https://rhld.insurance.arkansas.gov/NPILookup?Npi=1225047863","1225047863")</f>
        <v>1225047863</v>
      </c>
      <c r="E5380" s="1" t="s">
        <v>10252</v>
      </c>
      <c r="F5380" s="2"/>
      <c r="G5380" s="2"/>
      <c r="H5380" s="2"/>
    </row>
    <row r="5381" spans="1:8" x14ac:dyDescent="0.25">
      <c r="A5381" s="1"/>
      <c r="B5381" s="1" t="s">
        <v>4202</v>
      </c>
      <c r="C5381" s="1" t="s">
        <v>4203</v>
      </c>
      <c r="D5381" s="22" t="str">
        <f>HYPERLINK("https://rhld.insurance.arkansas.gov/NPILookup?Npi=1225142607","1225142607")</f>
        <v>1225142607</v>
      </c>
      <c r="E5381" s="1" t="s">
        <v>2708</v>
      </c>
      <c r="F5381" s="2"/>
      <c r="G5381" s="2"/>
      <c r="H5381" s="2"/>
    </row>
    <row r="5382" spans="1:8" x14ac:dyDescent="0.25">
      <c r="A5382" s="1"/>
      <c r="B5382" s="1" t="s">
        <v>4202</v>
      </c>
      <c r="C5382" s="1" t="s">
        <v>4203</v>
      </c>
      <c r="D5382" s="22" t="str">
        <f>HYPERLINK("https://rhld.insurance.arkansas.gov/NPILookup?Npi=1225152341","1225152341")</f>
        <v>1225152341</v>
      </c>
      <c r="E5382" s="1" t="s">
        <v>17321</v>
      </c>
      <c r="F5382" s="2"/>
      <c r="G5382" s="2"/>
      <c r="H5382" s="2"/>
    </row>
    <row r="5383" spans="1:8" x14ac:dyDescent="0.25">
      <c r="A5383" s="1"/>
      <c r="B5383" s="1" t="s">
        <v>4202</v>
      </c>
      <c r="C5383" s="1" t="s">
        <v>4203</v>
      </c>
      <c r="D5383" s="22" t="str">
        <f>HYPERLINK("https://rhld.insurance.arkansas.gov/NPILookup?Npi=1225179476","1225179476")</f>
        <v>1225179476</v>
      </c>
      <c r="E5383" s="1" t="s">
        <v>4291</v>
      </c>
      <c r="F5383" s="2"/>
      <c r="G5383" s="2"/>
      <c r="H5383" s="2"/>
    </row>
    <row r="5384" spans="1:8" x14ac:dyDescent="0.25">
      <c r="A5384" s="1"/>
      <c r="B5384" s="1" t="s">
        <v>4202</v>
      </c>
      <c r="C5384" s="1" t="s">
        <v>4203</v>
      </c>
      <c r="D5384" s="22" t="str">
        <f>HYPERLINK("https://rhld.insurance.arkansas.gov/NPILookup?Npi=1225194178","1225194178")</f>
        <v>1225194178</v>
      </c>
      <c r="E5384" s="1" t="s">
        <v>10253</v>
      </c>
      <c r="F5384" s="2"/>
      <c r="G5384" s="2"/>
      <c r="H5384" s="2"/>
    </row>
    <row r="5385" spans="1:8" x14ac:dyDescent="0.25">
      <c r="A5385" s="1"/>
      <c r="B5385" s="1" t="s">
        <v>4202</v>
      </c>
      <c r="C5385" s="1" t="s">
        <v>4203</v>
      </c>
      <c r="D5385" s="22" t="str">
        <f>HYPERLINK("https://rhld.insurance.arkansas.gov/NPILookup?Npi=1225228620","1225228620")</f>
        <v>1225228620</v>
      </c>
      <c r="E5385" s="1" t="s">
        <v>17323</v>
      </c>
      <c r="F5385" s="2"/>
      <c r="G5385" s="2"/>
      <c r="H5385" s="2"/>
    </row>
    <row r="5386" spans="1:8" x14ac:dyDescent="0.25">
      <c r="A5386" s="1"/>
      <c r="B5386" s="1" t="s">
        <v>4202</v>
      </c>
      <c r="C5386" s="1" t="s">
        <v>4203</v>
      </c>
      <c r="D5386" s="22" t="str">
        <f>HYPERLINK("https://rhld.insurance.arkansas.gov/NPILookup?Npi=1225354012","1225354012")</f>
        <v>1225354012</v>
      </c>
      <c r="E5386" s="1" t="s">
        <v>17324</v>
      </c>
      <c r="F5386" s="2"/>
      <c r="G5386" s="2"/>
      <c r="H5386" s="2"/>
    </row>
    <row r="5387" spans="1:8" x14ac:dyDescent="0.25">
      <c r="A5387" s="1"/>
      <c r="B5387" s="1" t="s">
        <v>4202</v>
      </c>
      <c r="C5387" s="1" t="s">
        <v>4203</v>
      </c>
      <c r="D5387" s="22" t="str">
        <f>HYPERLINK("https://rhld.insurance.arkansas.gov/NPILookup?Npi=1225423387","1225423387")</f>
        <v>1225423387</v>
      </c>
      <c r="E5387" s="1" t="s">
        <v>17325</v>
      </c>
      <c r="F5387" s="2"/>
      <c r="G5387" s="2"/>
      <c r="H5387" s="2"/>
    </row>
    <row r="5388" spans="1:8" x14ac:dyDescent="0.25">
      <c r="A5388" s="1"/>
      <c r="B5388" s="1" t="s">
        <v>4202</v>
      </c>
      <c r="C5388" s="1" t="s">
        <v>4203</v>
      </c>
      <c r="D5388" s="22" t="str">
        <f>HYPERLINK("https://rhld.insurance.arkansas.gov/NPILookup?Npi=1225442411","1225442411")</f>
        <v>1225442411</v>
      </c>
      <c r="E5388" s="1" t="s">
        <v>4292</v>
      </c>
      <c r="F5388" s="2"/>
      <c r="G5388" s="2"/>
      <c r="H5388" s="2"/>
    </row>
    <row r="5389" spans="1:8" x14ac:dyDescent="0.25">
      <c r="A5389" s="1"/>
      <c r="B5389" s="1" t="s">
        <v>4202</v>
      </c>
      <c r="C5389" s="1" t="s">
        <v>4203</v>
      </c>
      <c r="D5389" s="22" t="str">
        <f>HYPERLINK("https://rhld.insurance.arkansas.gov/NPILookup?Npi=1225490899","1225490899")</f>
        <v>1225490899</v>
      </c>
      <c r="E5389" s="1" t="s">
        <v>4293</v>
      </c>
      <c r="F5389" s="2"/>
      <c r="G5389" s="2"/>
      <c r="H5389" s="2"/>
    </row>
    <row r="5390" spans="1:8" x14ac:dyDescent="0.25">
      <c r="A5390" s="1"/>
      <c r="B5390" s="1" t="s">
        <v>4202</v>
      </c>
      <c r="C5390" s="1" t="s">
        <v>4203</v>
      </c>
      <c r="D5390" s="22" t="str">
        <f>HYPERLINK("https://rhld.insurance.arkansas.gov/NPILookup?Npi=1225564834","1225564834")</f>
        <v>1225564834</v>
      </c>
      <c r="E5390" s="1" t="s">
        <v>1633</v>
      </c>
      <c r="F5390" s="2"/>
      <c r="G5390" s="2"/>
      <c r="H5390" s="2"/>
    </row>
    <row r="5391" spans="1:8" x14ac:dyDescent="0.25">
      <c r="A5391" s="1"/>
      <c r="B5391" s="1" t="s">
        <v>4202</v>
      </c>
      <c r="C5391" s="1" t="s">
        <v>4203</v>
      </c>
      <c r="D5391" s="22" t="str">
        <f>HYPERLINK("https://rhld.insurance.arkansas.gov/NPILookup?Npi=1225614746","1225614746")</f>
        <v>1225614746</v>
      </c>
      <c r="E5391" s="1" t="s">
        <v>4295</v>
      </c>
      <c r="F5391" s="2"/>
      <c r="G5391" s="2"/>
      <c r="H5391" s="2"/>
    </row>
    <row r="5392" spans="1:8" x14ac:dyDescent="0.25">
      <c r="A5392" s="1"/>
      <c r="B5392" s="1" t="s">
        <v>4202</v>
      </c>
      <c r="C5392" s="1" t="s">
        <v>4203</v>
      </c>
      <c r="D5392" s="22" t="str">
        <f>HYPERLINK("https://rhld.insurance.arkansas.gov/NPILookup?Npi=1225659014","1225659014")</f>
        <v>1225659014</v>
      </c>
      <c r="E5392" s="1" t="s">
        <v>4296</v>
      </c>
      <c r="F5392" s="2"/>
      <c r="G5392" s="2"/>
      <c r="H5392" s="2"/>
    </row>
    <row r="5393" spans="1:8" x14ac:dyDescent="0.25">
      <c r="A5393" s="1"/>
      <c r="B5393" s="1" t="s">
        <v>4202</v>
      </c>
      <c r="C5393" s="1" t="s">
        <v>4203</v>
      </c>
      <c r="D5393" s="22" t="str">
        <f>HYPERLINK("https://rhld.insurance.arkansas.gov/NPILookup?Npi=1225664378","1225664378")</f>
        <v>1225664378</v>
      </c>
      <c r="E5393" s="1" t="s">
        <v>4297</v>
      </c>
      <c r="F5393" s="2"/>
      <c r="G5393" s="2"/>
      <c r="H5393" s="2"/>
    </row>
    <row r="5394" spans="1:8" x14ac:dyDescent="0.25">
      <c r="A5394" s="1"/>
      <c r="B5394" s="1" t="s">
        <v>4202</v>
      </c>
      <c r="C5394" s="1" t="s">
        <v>4203</v>
      </c>
      <c r="D5394" s="22" t="str">
        <f>HYPERLINK("https://rhld.insurance.arkansas.gov/NPILookup?Npi=1225667249","1225667249")</f>
        <v>1225667249</v>
      </c>
      <c r="E5394" s="1" t="s">
        <v>17329</v>
      </c>
      <c r="F5394" s="2"/>
      <c r="G5394" s="2"/>
      <c r="H5394" s="2"/>
    </row>
    <row r="5395" spans="1:8" x14ac:dyDescent="0.25">
      <c r="A5395" s="1"/>
      <c r="B5395" s="1" t="s">
        <v>4202</v>
      </c>
      <c r="C5395" s="1" t="s">
        <v>4203</v>
      </c>
      <c r="D5395" s="22" t="str">
        <f>HYPERLINK("https://rhld.insurance.arkansas.gov/NPILookup?Npi=1235105065","1235105065")</f>
        <v>1235105065</v>
      </c>
      <c r="E5395" s="1" t="s">
        <v>4298</v>
      </c>
      <c r="F5395" s="2"/>
      <c r="G5395" s="2"/>
      <c r="H5395" s="2"/>
    </row>
    <row r="5396" spans="1:8" x14ac:dyDescent="0.25">
      <c r="A5396" s="1"/>
      <c r="B5396" s="1" t="s">
        <v>4202</v>
      </c>
      <c r="C5396" s="1" t="s">
        <v>4203</v>
      </c>
      <c r="D5396" s="22" t="str">
        <f>HYPERLINK("https://rhld.insurance.arkansas.gov/NPILookup?Npi=1235106154","1235106154")</f>
        <v>1235106154</v>
      </c>
      <c r="E5396" s="1" t="s">
        <v>195</v>
      </c>
      <c r="F5396" s="2"/>
      <c r="G5396" s="2"/>
      <c r="H5396" s="2"/>
    </row>
    <row r="5397" spans="1:8" x14ac:dyDescent="0.25">
      <c r="A5397" s="1"/>
      <c r="B5397" s="1" t="s">
        <v>4202</v>
      </c>
      <c r="C5397" s="1" t="s">
        <v>4203</v>
      </c>
      <c r="D5397" s="22" t="str">
        <f>HYPERLINK("https://rhld.insurance.arkansas.gov/NPILookup?Npi=1235165077","1235165077")</f>
        <v>1235165077</v>
      </c>
      <c r="E5397" s="1" t="s">
        <v>17330</v>
      </c>
      <c r="F5397" s="2"/>
      <c r="G5397" s="2"/>
      <c r="H5397" s="2"/>
    </row>
    <row r="5398" spans="1:8" x14ac:dyDescent="0.25">
      <c r="A5398" s="1"/>
      <c r="B5398" s="1" t="s">
        <v>4202</v>
      </c>
      <c r="C5398" s="1" t="s">
        <v>4203</v>
      </c>
      <c r="D5398" s="22" t="str">
        <f>HYPERLINK("https://rhld.insurance.arkansas.gov/NPILookup?Npi=1235174376","1235174376")</f>
        <v>1235174376</v>
      </c>
      <c r="E5398" s="1" t="s">
        <v>17331</v>
      </c>
      <c r="F5398" s="2"/>
      <c r="G5398" s="2"/>
      <c r="H5398" s="2"/>
    </row>
    <row r="5399" spans="1:8" x14ac:dyDescent="0.25">
      <c r="A5399" s="1"/>
      <c r="B5399" s="1" t="s">
        <v>4202</v>
      </c>
      <c r="C5399" s="1" t="s">
        <v>4203</v>
      </c>
      <c r="D5399" s="22" t="str">
        <f>HYPERLINK("https://rhld.insurance.arkansas.gov/NPILookup?Npi=1235187816","1235187816")</f>
        <v>1235187816</v>
      </c>
      <c r="E5399" s="1" t="s">
        <v>10254</v>
      </c>
      <c r="F5399" s="2"/>
      <c r="G5399" s="2"/>
      <c r="H5399" s="2"/>
    </row>
    <row r="5400" spans="1:8" x14ac:dyDescent="0.25">
      <c r="A5400" s="1"/>
      <c r="B5400" s="1" t="s">
        <v>4202</v>
      </c>
      <c r="C5400" s="1" t="s">
        <v>4203</v>
      </c>
      <c r="D5400" s="22" t="str">
        <f>HYPERLINK("https://rhld.insurance.arkansas.gov/NPILookup?Npi=1235192881","1235192881")</f>
        <v>1235192881</v>
      </c>
      <c r="E5400" s="1" t="s">
        <v>17332</v>
      </c>
      <c r="F5400" s="2"/>
      <c r="G5400" s="2"/>
      <c r="H5400" s="2"/>
    </row>
    <row r="5401" spans="1:8" x14ac:dyDescent="0.25">
      <c r="A5401" s="1"/>
      <c r="B5401" s="1" t="s">
        <v>4202</v>
      </c>
      <c r="C5401" s="1" t="s">
        <v>4203</v>
      </c>
      <c r="D5401" s="22" t="str">
        <f>HYPERLINK("https://rhld.insurance.arkansas.gov/NPILookup?Npi=1235195785","1235195785")</f>
        <v>1235195785</v>
      </c>
      <c r="E5401" s="1" t="s">
        <v>17333</v>
      </c>
      <c r="F5401" s="2"/>
      <c r="G5401" s="2"/>
      <c r="H5401" s="2"/>
    </row>
    <row r="5402" spans="1:8" x14ac:dyDescent="0.25">
      <c r="A5402" s="1"/>
      <c r="B5402" s="1" t="s">
        <v>4202</v>
      </c>
      <c r="C5402" s="1" t="s">
        <v>4203</v>
      </c>
      <c r="D5402" s="22" t="str">
        <f>HYPERLINK("https://rhld.insurance.arkansas.gov/NPILookup?Npi=1235209669","1235209669")</f>
        <v>1235209669</v>
      </c>
      <c r="E5402" s="1" t="s">
        <v>4299</v>
      </c>
      <c r="F5402" s="2"/>
      <c r="G5402" s="2"/>
      <c r="H5402" s="2"/>
    </row>
    <row r="5403" spans="1:8" x14ac:dyDescent="0.25">
      <c r="A5403" s="1"/>
      <c r="B5403" s="1" t="s">
        <v>4202</v>
      </c>
      <c r="C5403" s="1" t="s">
        <v>4203</v>
      </c>
      <c r="D5403" s="22" t="str">
        <f>HYPERLINK("https://rhld.insurance.arkansas.gov/NPILookup?Npi=1235226721","1235226721")</f>
        <v>1235226721</v>
      </c>
      <c r="E5403" s="1" t="s">
        <v>17334</v>
      </c>
      <c r="F5403" s="2"/>
      <c r="G5403" s="2"/>
      <c r="H5403" s="2"/>
    </row>
    <row r="5404" spans="1:8" x14ac:dyDescent="0.25">
      <c r="A5404" s="1"/>
      <c r="B5404" s="1" t="s">
        <v>4202</v>
      </c>
      <c r="C5404" s="1" t="s">
        <v>4203</v>
      </c>
      <c r="D5404" s="22" t="str">
        <f>HYPERLINK("https://rhld.insurance.arkansas.gov/NPILookup?Npi=1235320052","1235320052")</f>
        <v>1235320052</v>
      </c>
      <c r="E5404" s="1" t="s">
        <v>4300</v>
      </c>
      <c r="F5404" s="2"/>
      <c r="G5404" s="2"/>
      <c r="H5404" s="2"/>
    </row>
    <row r="5405" spans="1:8" x14ac:dyDescent="0.25">
      <c r="A5405" s="1"/>
      <c r="B5405" s="1" t="s">
        <v>4202</v>
      </c>
      <c r="C5405" s="1" t="s">
        <v>4203</v>
      </c>
      <c r="D5405" s="22" t="str">
        <f>HYPERLINK("https://rhld.insurance.arkansas.gov/NPILookup?Npi=1235384355","1235384355")</f>
        <v>1235384355</v>
      </c>
      <c r="E5405" s="1" t="s">
        <v>17335</v>
      </c>
      <c r="F5405" s="2"/>
      <c r="G5405" s="2"/>
      <c r="H5405" s="2"/>
    </row>
    <row r="5406" spans="1:8" x14ac:dyDescent="0.25">
      <c r="A5406" s="1"/>
      <c r="B5406" s="1" t="s">
        <v>4202</v>
      </c>
      <c r="C5406" s="1" t="s">
        <v>4203</v>
      </c>
      <c r="D5406" s="22" t="str">
        <f>HYPERLINK("https://rhld.insurance.arkansas.gov/NPILookup?Npi=1235497363","1235497363")</f>
        <v>1235497363</v>
      </c>
      <c r="E5406" s="1" t="s">
        <v>4301</v>
      </c>
      <c r="F5406" s="2"/>
      <c r="G5406" s="2"/>
      <c r="H5406" s="2"/>
    </row>
    <row r="5407" spans="1:8" x14ac:dyDescent="0.25">
      <c r="A5407" s="1"/>
      <c r="B5407" s="1" t="s">
        <v>4202</v>
      </c>
      <c r="C5407" s="1" t="s">
        <v>4203</v>
      </c>
      <c r="D5407" s="22" t="str">
        <f>HYPERLINK("https://rhld.insurance.arkansas.gov/NPILookup?Npi=1235542739","1235542739")</f>
        <v>1235542739</v>
      </c>
      <c r="E5407" s="1" t="s">
        <v>17337</v>
      </c>
      <c r="F5407" s="2"/>
      <c r="G5407" s="2"/>
      <c r="H5407" s="2"/>
    </row>
    <row r="5408" spans="1:8" x14ac:dyDescent="0.25">
      <c r="A5408" s="1"/>
      <c r="B5408" s="1" t="s">
        <v>4202</v>
      </c>
      <c r="C5408" s="1" t="s">
        <v>4203</v>
      </c>
      <c r="D5408" s="22" t="str">
        <f>HYPERLINK("https://rhld.insurance.arkansas.gov/NPILookup?Npi=1235558693","1235558693")</f>
        <v>1235558693</v>
      </c>
      <c r="E5408" s="1" t="s">
        <v>4302</v>
      </c>
      <c r="F5408" s="2"/>
      <c r="G5408" s="2"/>
      <c r="H5408" s="2"/>
    </row>
    <row r="5409" spans="1:8" x14ac:dyDescent="0.25">
      <c r="A5409" s="1"/>
      <c r="B5409" s="1" t="s">
        <v>4202</v>
      </c>
      <c r="C5409" s="1" t="s">
        <v>4203</v>
      </c>
      <c r="D5409" s="22" t="str">
        <f>HYPERLINK("https://rhld.insurance.arkansas.gov/NPILookup?Npi=1235718453","1235718453")</f>
        <v>1235718453</v>
      </c>
      <c r="E5409" s="1" t="s">
        <v>17338</v>
      </c>
      <c r="F5409" s="2"/>
      <c r="G5409" s="2"/>
      <c r="H5409" s="2"/>
    </row>
    <row r="5410" spans="1:8" x14ac:dyDescent="0.25">
      <c r="A5410" s="1"/>
      <c r="B5410" s="1" t="s">
        <v>4202</v>
      </c>
      <c r="C5410" s="1" t="s">
        <v>4203</v>
      </c>
      <c r="D5410" s="22" t="str">
        <f>HYPERLINK("https://rhld.insurance.arkansas.gov/NPILookup?Npi=1245200674","1245200674")</f>
        <v>1245200674</v>
      </c>
      <c r="E5410" s="1" t="s">
        <v>4303</v>
      </c>
      <c r="F5410" s="2"/>
      <c r="G5410" s="2"/>
      <c r="H5410" s="2"/>
    </row>
    <row r="5411" spans="1:8" x14ac:dyDescent="0.25">
      <c r="A5411" s="1"/>
      <c r="B5411" s="1" t="s">
        <v>4202</v>
      </c>
      <c r="C5411" s="1" t="s">
        <v>4203</v>
      </c>
      <c r="D5411" s="22" t="str">
        <f>HYPERLINK("https://rhld.insurance.arkansas.gov/NPILookup?Npi=1245202654","1245202654")</f>
        <v>1245202654</v>
      </c>
      <c r="E5411" s="1" t="s">
        <v>757</v>
      </c>
      <c r="F5411" s="2"/>
      <c r="G5411" s="2"/>
      <c r="H5411" s="2"/>
    </row>
    <row r="5412" spans="1:8" x14ac:dyDescent="0.25">
      <c r="A5412" s="1"/>
      <c r="B5412" s="1" t="s">
        <v>4202</v>
      </c>
      <c r="C5412" s="1" t="s">
        <v>4203</v>
      </c>
      <c r="D5412" s="22" t="str">
        <f>HYPERLINK("https://rhld.insurance.arkansas.gov/NPILookup?Npi=1245206077","1245206077")</f>
        <v>1245206077</v>
      </c>
      <c r="E5412" s="1" t="s">
        <v>17339</v>
      </c>
      <c r="F5412" s="2"/>
      <c r="G5412" s="2"/>
      <c r="H5412" s="2"/>
    </row>
    <row r="5413" spans="1:8" x14ac:dyDescent="0.25">
      <c r="A5413" s="1"/>
      <c r="B5413" s="1" t="s">
        <v>4202</v>
      </c>
      <c r="C5413" s="1" t="s">
        <v>4203</v>
      </c>
      <c r="D5413" s="22" t="str">
        <f>HYPERLINK("https://rhld.insurance.arkansas.gov/NPILookup?Npi=1245247535","1245247535")</f>
        <v>1245247535</v>
      </c>
      <c r="E5413" s="1" t="s">
        <v>31421</v>
      </c>
      <c r="F5413" s="2"/>
      <c r="G5413" s="2"/>
      <c r="H5413" s="2"/>
    </row>
    <row r="5414" spans="1:8" x14ac:dyDescent="0.25">
      <c r="A5414" s="1"/>
      <c r="B5414" s="1" t="s">
        <v>4202</v>
      </c>
      <c r="C5414" s="1" t="s">
        <v>4203</v>
      </c>
      <c r="D5414" s="22" t="str">
        <f>HYPERLINK("https://rhld.insurance.arkansas.gov/NPILookup?Npi=1245260140","1245260140")</f>
        <v>1245260140</v>
      </c>
      <c r="E5414" s="1" t="s">
        <v>9750</v>
      </c>
      <c r="F5414" s="2"/>
      <c r="G5414" s="2"/>
      <c r="H5414" s="2"/>
    </row>
    <row r="5415" spans="1:8" x14ac:dyDescent="0.25">
      <c r="A5415" s="1"/>
      <c r="B5415" s="1" t="s">
        <v>4202</v>
      </c>
      <c r="C5415" s="1" t="s">
        <v>4203</v>
      </c>
      <c r="D5415" s="22" t="str">
        <f>HYPERLINK("https://rhld.insurance.arkansas.gov/NPILookup?Npi=1245440304","1245440304")</f>
        <v>1245440304</v>
      </c>
      <c r="E5415" s="1" t="s">
        <v>2719</v>
      </c>
      <c r="F5415" s="2"/>
      <c r="G5415" s="2"/>
      <c r="H5415" s="2"/>
    </row>
    <row r="5416" spans="1:8" x14ac:dyDescent="0.25">
      <c r="A5416" s="1"/>
      <c r="B5416" s="1" t="s">
        <v>4202</v>
      </c>
      <c r="C5416" s="1" t="s">
        <v>4203</v>
      </c>
      <c r="D5416" s="22" t="str">
        <f>HYPERLINK("https://rhld.insurance.arkansas.gov/NPILookup?Npi=1245521160","1245521160")</f>
        <v>1245521160</v>
      </c>
      <c r="E5416" s="1" t="s">
        <v>10255</v>
      </c>
      <c r="F5416" s="2"/>
      <c r="G5416" s="2"/>
      <c r="H5416" s="2"/>
    </row>
    <row r="5417" spans="1:8" x14ac:dyDescent="0.25">
      <c r="A5417" s="1"/>
      <c r="B5417" s="1" t="s">
        <v>4202</v>
      </c>
      <c r="C5417" s="1" t="s">
        <v>4203</v>
      </c>
      <c r="D5417" s="22" t="str">
        <f>HYPERLINK("https://rhld.insurance.arkansas.gov/NPILookup?Npi=1245522895","1245522895")</f>
        <v>1245522895</v>
      </c>
      <c r="E5417" s="1" t="s">
        <v>17341</v>
      </c>
      <c r="F5417" s="2"/>
      <c r="G5417" s="2"/>
      <c r="H5417" s="2"/>
    </row>
    <row r="5418" spans="1:8" x14ac:dyDescent="0.25">
      <c r="A5418" s="1"/>
      <c r="B5418" s="1" t="s">
        <v>4202</v>
      </c>
      <c r="C5418" s="1" t="s">
        <v>4203</v>
      </c>
      <c r="D5418" s="22" t="str">
        <f>HYPERLINK("https://rhld.insurance.arkansas.gov/NPILookup?Npi=1245646868","1245646868")</f>
        <v>1245646868</v>
      </c>
      <c r="E5418" s="1" t="s">
        <v>4304</v>
      </c>
      <c r="F5418" s="2"/>
      <c r="G5418" s="2"/>
      <c r="H5418" s="2"/>
    </row>
    <row r="5419" spans="1:8" x14ac:dyDescent="0.25">
      <c r="A5419" s="1"/>
      <c r="B5419" s="1" t="s">
        <v>4202</v>
      </c>
      <c r="C5419" s="1" t="s">
        <v>4203</v>
      </c>
      <c r="D5419" s="22" t="str">
        <f>HYPERLINK("https://rhld.insurance.arkansas.gov/NPILookup?Npi=1245656834","1245656834")</f>
        <v>1245656834</v>
      </c>
      <c r="E5419" s="1" t="s">
        <v>4305</v>
      </c>
      <c r="F5419" s="2"/>
      <c r="G5419" s="2"/>
      <c r="H5419" s="2"/>
    </row>
    <row r="5420" spans="1:8" x14ac:dyDescent="0.25">
      <c r="A5420" s="1"/>
      <c r="B5420" s="1" t="s">
        <v>4202</v>
      </c>
      <c r="C5420" s="1" t="s">
        <v>4203</v>
      </c>
      <c r="D5420" s="22" t="str">
        <f>HYPERLINK("https://rhld.insurance.arkansas.gov/NPILookup?Npi=1245736487","1245736487")</f>
        <v>1245736487</v>
      </c>
      <c r="E5420" s="1" t="s">
        <v>17343</v>
      </c>
      <c r="F5420" s="2"/>
      <c r="G5420" s="2"/>
      <c r="H5420" s="2"/>
    </row>
    <row r="5421" spans="1:8" x14ac:dyDescent="0.25">
      <c r="A5421" s="1"/>
      <c r="B5421" s="1" t="s">
        <v>4202</v>
      </c>
      <c r="C5421" s="1" t="s">
        <v>4203</v>
      </c>
      <c r="D5421" s="22" t="str">
        <f>HYPERLINK("https://rhld.insurance.arkansas.gov/NPILookup?Npi=1255321006","1255321006")</f>
        <v>1255321006</v>
      </c>
      <c r="E5421" s="1" t="s">
        <v>4306</v>
      </c>
      <c r="F5421" s="2"/>
      <c r="G5421" s="2"/>
      <c r="H5421" s="2"/>
    </row>
    <row r="5422" spans="1:8" x14ac:dyDescent="0.25">
      <c r="A5422" s="1"/>
      <c r="B5422" s="1" t="s">
        <v>4202</v>
      </c>
      <c r="C5422" s="1" t="s">
        <v>4203</v>
      </c>
      <c r="D5422" s="22" t="str">
        <f>HYPERLINK("https://rhld.insurance.arkansas.gov/NPILookup?Npi=1255333233","1255333233")</f>
        <v>1255333233</v>
      </c>
      <c r="E5422" s="1" t="s">
        <v>17345</v>
      </c>
      <c r="F5422" s="2"/>
      <c r="G5422" s="2"/>
      <c r="H5422" s="2"/>
    </row>
    <row r="5423" spans="1:8" x14ac:dyDescent="0.25">
      <c r="A5423" s="1"/>
      <c r="B5423" s="1" t="s">
        <v>4202</v>
      </c>
      <c r="C5423" s="1" t="s">
        <v>4203</v>
      </c>
      <c r="D5423" s="22" t="str">
        <f>HYPERLINK("https://rhld.insurance.arkansas.gov/NPILookup?Npi=1255338943","1255338943")</f>
        <v>1255338943</v>
      </c>
      <c r="E5423" s="1" t="s">
        <v>17346</v>
      </c>
      <c r="F5423" s="2"/>
      <c r="G5423" s="2"/>
      <c r="H5423" s="2"/>
    </row>
    <row r="5424" spans="1:8" x14ac:dyDescent="0.25">
      <c r="A5424" s="1"/>
      <c r="B5424" s="1" t="s">
        <v>4202</v>
      </c>
      <c r="C5424" s="1" t="s">
        <v>4203</v>
      </c>
      <c r="D5424" s="22" t="str">
        <f>HYPERLINK("https://rhld.insurance.arkansas.gov/NPILookup?Npi=1255368270","1255368270")</f>
        <v>1255368270</v>
      </c>
      <c r="E5424" s="1" t="s">
        <v>2724</v>
      </c>
      <c r="F5424" s="2"/>
      <c r="G5424" s="2"/>
      <c r="H5424" s="2"/>
    </row>
    <row r="5425" spans="1:8" x14ac:dyDescent="0.25">
      <c r="A5425" s="1"/>
      <c r="B5425" s="1" t="s">
        <v>4202</v>
      </c>
      <c r="C5425" s="1" t="s">
        <v>4203</v>
      </c>
      <c r="D5425" s="22" t="str">
        <f>HYPERLINK("https://rhld.insurance.arkansas.gov/NPILookup?Npi=1255384012","1255384012")</f>
        <v>1255384012</v>
      </c>
      <c r="E5425" s="1" t="s">
        <v>4307</v>
      </c>
      <c r="F5425" s="2"/>
      <c r="G5425" s="2"/>
      <c r="H5425" s="2"/>
    </row>
    <row r="5426" spans="1:8" x14ac:dyDescent="0.25">
      <c r="A5426" s="1"/>
      <c r="B5426" s="1" t="s">
        <v>4202</v>
      </c>
      <c r="C5426" s="1" t="s">
        <v>4203</v>
      </c>
      <c r="D5426" s="22" t="str">
        <f>HYPERLINK("https://rhld.insurance.arkansas.gov/NPILookup?Npi=1255398897","1255398897")</f>
        <v>1255398897</v>
      </c>
      <c r="E5426" s="1" t="s">
        <v>17348</v>
      </c>
      <c r="F5426" s="2"/>
      <c r="G5426" s="2"/>
      <c r="H5426" s="2"/>
    </row>
    <row r="5427" spans="1:8" x14ac:dyDescent="0.25">
      <c r="A5427" s="1"/>
      <c r="B5427" s="1" t="s">
        <v>4202</v>
      </c>
      <c r="C5427" s="1" t="s">
        <v>4203</v>
      </c>
      <c r="D5427" s="22" t="str">
        <f>HYPERLINK("https://rhld.insurance.arkansas.gov/NPILookup?Npi=1255437539","1255437539")</f>
        <v>1255437539</v>
      </c>
      <c r="E5427" s="1" t="s">
        <v>17350</v>
      </c>
      <c r="F5427" s="2"/>
      <c r="G5427" s="2"/>
      <c r="H5427" s="2"/>
    </row>
    <row r="5428" spans="1:8" x14ac:dyDescent="0.25">
      <c r="A5428" s="1"/>
      <c r="B5428" s="1" t="s">
        <v>4202</v>
      </c>
      <c r="C5428" s="1" t="s">
        <v>4203</v>
      </c>
      <c r="D5428" s="22" t="str">
        <f>HYPERLINK("https://rhld.insurance.arkansas.gov/NPILookup?Npi=1255540894","1255540894")</f>
        <v>1255540894</v>
      </c>
      <c r="E5428" s="1" t="s">
        <v>4308</v>
      </c>
      <c r="F5428" s="2"/>
      <c r="G5428" s="2"/>
      <c r="H5428" s="2"/>
    </row>
    <row r="5429" spans="1:8" x14ac:dyDescent="0.25">
      <c r="A5429" s="1"/>
      <c r="B5429" s="1" t="s">
        <v>4202</v>
      </c>
      <c r="C5429" s="1" t="s">
        <v>4203</v>
      </c>
      <c r="D5429" s="22" t="str">
        <f>HYPERLINK("https://rhld.insurance.arkansas.gov/NPILookup?Npi=1255591244","1255591244")</f>
        <v>1255591244</v>
      </c>
      <c r="E5429" s="1" t="s">
        <v>10256</v>
      </c>
      <c r="F5429" s="2"/>
      <c r="G5429" s="2"/>
      <c r="H5429" s="2"/>
    </row>
    <row r="5430" spans="1:8" x14ac:dyDescent="0.25">
      <c r="A5430" s="1"/>
      <c r="B5430" s="1" t="s">
        <v>4202</v>
      </c>
      <c r="C5430" s="1" t="s">
        <v>4203</v>
      </c>
      <c r="D5430" s="22" t="str">
        <f>HYPERLINK("https://rhld.insurance.arkansas.gov/NPILookup?Npi=1255593919","1255593919")</f>
        <v>1255593919</v>
      </c>
      <c r="E5430" s="1" t="s">
        <v>17351</v>
      </c>
      <c r="F5430" s="2"/>
      <c r="G5430" s="2"/>
      <c r="H5430" s="2"/>
    </row>
    <row r="5431" spans="1:8" x14ac:dyDescent="0.25">
      <c r="A5431" s="1"/>
      <c r="B5431" s="1" t="s">
        <v>4202</v>
      </c>
      <c r="C5431" s="1" t="s">
        <v>4203</v>
      </c>
      <c r="D5431" s="22" t="str">
        <f>HYPERLINK("https://rhld.insurance.arkansas.gov/NPILookup?Npi=1255686697","1255686697")</f>
        <v>1255686697</v>
      </c>
      <c r="E5431" s="1" t="s">
        <v>4309</v>
      </c>
      <c r="F5431" s="2"/>
      <c r="G5431" s="2"/>
      <c r="H5431" s="2"/>
    </row>
    <row r="5432" spans="1:8" x14ac:dyDescent="0.25">
      <c r="A5432" s="1"/>
      <c r="B5432" s="1" t="s">
        <v>4202</v>
      </c>
      <c r="C5432" s="1" t="s">
        <v>4203</v>
      </c>
      <c r="D5432" s="22" t="str">
        <f>HYPERLINK("https://rhld.insurance.arkansas.gov/NPILookup?Npi=1255869418","1255869418")</f>
        <v>1255869418</v>
      </c>
      <c r="E5432" s="1" t="s">
        <v>4310</v>
      </c>
      <c r="F5432" s="2"/>
      <c r="G5432" s="2"/>
      <c r="H5432" s="2"/>
    </row>
    <row r="5433" spans="1:8" x14ac:dyDescent="0.25">
      <c r="A5433" s="1"/>
      <c r="B5433" s="1" t="s">
        <v>4202</v>
      </c>
      <c r="C5433" s="1" t="s">
        <v>4203</v>
      </c>
      <c r="D5433" s="22" t="str">
        <f>HYPERLINK("https://rhld.insurance.arkansas.gov/NPILookup?Npi=1255892113","1255892113")</f>
        <v>1255892113</v>
      </c>
      <c r="E5433" s="1" t="s">
        <v>4311</v>
      </c>
      <c r="F5433" s="2"/>
      <c r="G5433" s="2"/>
      <c r="H5433" s="2"/>
    </row>
    <row r="5434" spans="1:8" x14ac:dyDescent="0.25">
      <c r="A5434" s="1"/>
      <c r="B5434" s="1" t="s">
        <v>4202</v>
      </c>
      <c r="C5434" s="1" t="s">
        <v>4203</v>
      </c>
      <c r="D5434" s="22" t="str">
        <f>HYPERLINK("https://rhld.insurance.arkansas.gov/NPILookup?Npi=1255958484","1255958484")</f>
        <v>1255958484</v>
      </c>
      <c r="E5434" s="1" t="s">
        <v>4312</v>
      </c>
      <c r="F5434" s="2"/>
      <c r="G5434" s="2"/>
      <c r="H5434" s="2"/>
    </row>
    <row r="5435" spans="1:8" x14ac:dyDescent="0.25">
      <c r="A5435" s="1"/>
      <c r="B5435" s="1" t="s">
        <v>4202</v>
      </c>
      <c r="C5435" s="1" t="s">
        <v>4203</v>
      </c>
      <c r="D5435" s="22" t="str">
        <f>HYPERLINK("https://rhld.insurance.arkansas.gov/NPILookup?Npi=1265010276","1265010276")</f>
        <v>1265010276</v>
      </c>
      <c r="E5435" s="1" t="s">
        <v>10257</v>
      </c>
      <c r="F5435" s="2"/>
      <c r="G5435" s="2"/>
      <c r="H5435" s="2"/>
    </row>
    <row r="5436" spans="1:8" x14ac:dyDescent="0.25">
      <c r="A5436" s="1"/>
      <c r="B5436" s="1" t="s">
        <v>4202</v>
      </c>
      <c r="C5436" s="1" t="s">
        <v>4203</v>
      </c>
      <c r="D5436" s="22" t="str">
        <f>HYPERLINK("https://rhld.insurance.arkansas.gov/NPILookup?Npi=1265443949","1265443949")</f>
        <v>1265443949</v>
      </c>
      <c r="E5436" s="1" t="s">
        <v>4313</v>
      </c>
      <c r="F5436" s="2"/>
      <c r="G5436" s="2"/>
      <c r="H5436" s="2"/>
    </row>
    <row r="5437" spans="1:8" x14ac:dyDescent="0.25">
      <c r="A5437" s="1"/>
      <c r="B5437" s="1" t="s">
        <v>4202</v>
      </c>
      <c r="C5437" s="1" t="s">
        <v>4203</v>
      </c>
      <c r="D5437" s="22" t="str">
        <f>HYPERLINK("https://rhld.insurance.arkansas.gov/NPILookup?Npi=1265471494","1265471494")</f>
        <v>1265471494</v>
      </c>
      <c r="E5437" s="1" t="s">
        <v>17353</v>
      </c>
      <c r="F5437" s="2"/>
      <c r="G5437" s="2"/>
      <c r="H5437" s="2"/>
    </row>
    <row r="5438" spans="1:8" x14ac:dyDescent="0.25">
      <c r="A5438" s="1"/>
      <c r="B5438" s="1" t="s">
        <v>4202</v>
      </c>
      <c r="C5438" s="1" t="s">
        <v>4203</v>
      </c>
      <c r="D5438" s="22" t="str">
        <f>HYPERLINK("https://rhld.insurance.arkansas.gov/NPILookup?Npi=1265472203","1265472203")</f>
        <v>1265472203</v>
      </c>
      <c r="E5438" s="1" t="s">
        <v>10259</v>
      </c>
      <c r="F5438" s="2"/>
      <c r="G5438" s="2"/>
      <c r="H5438" s="2"/>
    </row>
    <row r="5439" spans="1:8" x14ac:dyDescent="0.25">
      <c r="A5439" s="1"/>
      <c r="B5439" s="1" t="s">
        <v>4202</v>
      </c>
      <c r="C5439" s="1" t="s">
        <v>4203</v>
      </c>
      <c r="D5439" s="22" t="str">
        <f>HYPERLINK("https://rhld.insurance.arkansas.gov/NPILookup?Npi=1265474472","1265474472")</f>
        <v>1265474472</v>
      </c>
      <c r="E5439" s="1" t="s">
        <v>17354</v>
      </c>
      <c r="F5439" s="2"/>
      <c r="G5439" s="2"/>
      <c r="H5439" s="2"/>
    </row>
    <row r="5440" spans="1:8" x14ac:dyDescent="0.25">
      <c r="A5440" s="1"/>
      <c r="B5440" s="1" t="s">
        <v>4202</v>
      </c>
      <c r="C5440" s="1" t="s">
        <v>4203</v>
      </c>
      <c r="D5440" s="22" t="str">
        <f>HYPERLINK("https://rhld.insurance.arkansas.gov/NPILookup?Npi=1265477087","1265477087")</f>
        <v>1265477087</v>
      </c>
      <c r="E5440" s="1" t="s">
        <v>17355</v>
      </c>
      <c r="F5440" s="2"/>
      <c r="G5440" s="2"/>
      <c r="H5440" s="2"/>
    </row>
    <row r="5441" spans="1:8" x14ac:dyDescent="0.25">
      <c r="A5441" s="1"/>
      <c r="B5441" s="1" t="s">
        <v>4202</v>
      </c>
      <c r="C5441" s="1" t="s">
        <v>4203</v>
      </c>
      <c r="D5441" s="22" t="str">
        <f>HYPERLINK("https://rhld.insurance.arkansas.gov/NPILookup?Npi=1265529317","1265529317")</f>
        <v>1265529317</v>
      </c>
      <c r="E5441" s="1" t="s">
        <v>10261</v>
      </c>
      <c r="F5441" s="2"/>
      <c r="G5441" s="2"/>
      <c r="H5441" s="2"/>
    </row>
    <row r="5442" spans="1:8" x14ac:dyDescent="0.25">
      <c r="A5442" s="1"/>
      <c r="B5442" s="1" t="s">
        <v>4202</v>
      </c>
      <c r="C5442" s="1" t="s">
        <v>4203</v>
      </c>
      <c r="D5442" s="22" t="str">
        <f>HYPERLINK("https://rhld.insurance.arkansas.gov/NPILookup?Npi=1265542492","1265542492")</f>
        <v>1265542492</v>
      </c>
      <c r="E5442" s="1" t="s">
        <v>17358</v>
      </c>
      <c r="F5442" s="2"/>
      <c r="G5442" s="2"/>
      <c r="H5442" s="2"/>
    </row>
    <row r="5443" spans="1:8" x14ac:dyDescent="0.25">
      <c r="A5443" s="1"/>
      <c r="B5443" s="1" t="s">
        <v>4202</v>
      </c>
      <c r="C5443" s="1" t="s">
        <v>4203</v>
      </c>
      <c r="D5443" s="22" t="str">
        <f>HYPERLINK("https://rhld.insurance.arkansas.gov/NPILookup?Npi=1265638142","1265638142")</f>
        <v>1265638142</v>
      </c>
      <c r="E5443" s="1" t="s">
        <v>4314</v>
      </c>
      <c r="F5443" s="2"/>
      <c r="G5443" s="2"/>
      <c r="H5443" s="2"/>
    </row>
    <row r="5444" spans="1:8" x14ac:dyDescent="0.25">
      <c r="A5444" s="1"/>
      <c r="B5444" s="1" t="s">
        <v>4202</v>
      </c>
      <c r="C5444" s="1" t="s">
        <v>4203</v>
      </c>
      <c r="D5444" s="22" t="str">
        <f>HYPERLINK("https://rhld.insurance.arkansas.gov/NPILookup?Npi=1265657175","1265657175")</f>
        <v>1265657175</v>
      </c>
      <c r="E5444" s="1" t="s">
        <v>17359</v>
      </c>
      <c r="F5444" s="2"/>
      <c r="G5444" s="2"/>
      <c r="H5444" s="2"/>
    </row>
    <row r="5445" spans="1:8" x14ac:dyDescent="0.25">
      <c r="A5445" s="1"/>
      <c r="B5445" s="1" t="s">
        <v>4202</v>
      </c>
      <c r="C5445" s="1" t="s">
        <v>4203</v>
      </c>
      <c r="D5445" s="22" t="str">
        <f>HYPERLINK("https://rhld.insurance.arkansas.gov/NPILookup?Npi=1265690580","1265690580")</f>
        <v>1265690580</v>
      </c>
      <c r="E5445" s="1" t="s">
        <v>17360</v>
      </c>
      <c r="F5445" s="2"/>
      <c r="G5445" s="2"/>
      <c r="H5445" s="2"/>
    </row>
    <row r="5446" spans="1:8" x14ac:dyDescent="0.25">
      <c r="A5446" s="1"/>
      <c r="B5446" s="1" t="s">
        <v>4202</v>
      </c>
      <c r="C5446" s="1" t="s">
        <v>4203</v>
      </c>
      <c r="D5446" s="22" t="str">
        <f>HYPERLINK("https://rhld.insurance.arkansas.gov/NPILookup?Npi=1265727200","1265727200")</f>
        <v>1265727200</v>
      </c>
      <c r="E5446" s="1" t="s">
        <v>31422</v>
      </c>
      <c r="F5446" s="2"/>
      <c r="G5446" s="2"/>
      <c r="H5446" s="2"/>
    </row>
    <row r="5447" spans="1:8" x14ac:dyDescent="0.25">
      <c r="A5447" s="1"/>
      <c r="B5447" s="1" t="s">
        <v>4202</v>
      </c>
      <c r="C5447" s="1" t="s">
        <v>4203</v>
      </c>
      <c r="D5447" s="22" t="str">
        <f>HYPERLINK("https://rhld.insurance.arkansas.gov/NPILookup?Npi=1265811590","1265811590")</f>
        <v>1265811590</v>
      </c>
      <c r="E5447" s="1" t="s">
        <v>31423</v>
      </c>
      <c r="F5447" s="2"/>
      <c r="G5447" s="2"/>
      <c r="H5447" s="2"/>
    </row>
    <row r="5448" spans="1:8" x14ac:dyDescent="0.25">
      <c r="A5448" s="1"/>
      <c r="B5448" s="1" t="s">
        <v>4202</v>
      </c>
      <c r="C5448" s="1" t="s">
        <v>4203</v>
      </c>
      <c r="D5448" s="22" t="str">
        <f>HYPERLINK("https://rhld.insurance.arkansas.gov/NPILookup?Npi=1265851398","1265851398")</f>
        <v>1265851398</v>
      </c>
      <c r="E5448" s="1" t="s">
        <v>17363</v>
      </c>
      <c r="F5448" s="2"/>
      <c r="G5448" s="2"/>
      <c r="H5448" s="2"/>
    </row>
    <row r="5449" spans="1:8" x14ac:dyDescent="0.25">
      <c r="A5449" s="1"/>
      <c r="B5449" s="1" t="s">
        <v>4202</v>
      </c>
      <c r="C5449" s="1" t="s">
        <v>4203</v>
      </c>
      <c r="D5449" s="22" t="str">
        <f>HYPERLINK("https://rhld.insurance.arkansas.gov/NPILookup?Npi=1265889638","1265889638")</f>
        <v>1265889638</v>
      </c>
      <c r="E5449" s="1" t="s">
        <v>17364</v>
      </c>
      <c r="F5449" s="2"/>
      <c r="G5449" s="2"/>
      <c r="H5449" s="2"/>
    </row>
    <row r="5450" spans="1:8" x14ac:dyDescent="0.25">
      <c r="A5450" s="1"/>
      <c r="B5450" s="1" t="s">
        <v>4202</v>
      </c>
      <c r="C5450" s="1" t="s">
        <v>4203</v>
      </c>
      <c r="D5450" s="22" t="str">
        <f>HYPERLINK("https://rhld.insurance.arkansas.gov/NPILookup?Npi=1265939698","1265939698")</f>
        <v>1265939698</v>
      </c>
      <c r="E5450" s="1" t="s">
        <v>4316</v>
      </c>
      <c r="F5450" s="2"/>
      <c r="G5450" s="2"/>
      <c r="H5450" s="2"/>
    </row>
    <row r="5451" spans="1:8" x14ac:dyDescent="0.25">
      <c r="A5451" s="1"/>
      <c r="B5451" s="1" t="s">
        <v>4202</v>
      </c>
      <c r="C5451" s="1" t="s">
        <v>4203</v>
      </c>
      <c r="D5451" s="22" t="str">
        <f>HYPERLINK("https://rhld.insurance.arkansas.gov/NPILookup?Npi=1265964613","1265964613")</f>
        <v>1265964613</v>
      </c>
      <c r="E5451" s="1" t="s">
        <v>17365</v>
      </c>
      <c r="F5451" s="2"/>
      <c r="G5451" s="2"/>
      <c r="H5451" s="2"/>
    </row>
    <row r="5452" spans="1:8" x14ac:dyDescent="0.25">
      <c r="A5452" s="1"/>
      <c r="B5452" s="1" t="s">
        <v>4202</v>
      </c>
      <c r="C5452" s="1" t="s">
        <v>4203</v>
      </c>
      <c r="D5452" s="22" t="str">
        <f>HYPERLINK("https://rhld.insurance.arkansas.gov/NPILookup?Npi=1275039885","1275039885")</f>
        <v>1275039885</v>
      </c>
      <c r="E5452" s="1" t="s">
        <v>17366</v>
      </c>
      <c r="F5452" s="2"/>
      <c r="G5452" s="2"/>
      <c r="H5452" s="2"/>
    </row>
    <row r="5453" spans="1:8" x14ac:dyDescent="0.25">
      <c r="A5453" s="1"/>
      <c r="B5453" s="1" t="s">
        <v>4202</v>
      </c>
      <c r="C5453" s="1" t="s">
        <v>4203</v>
      </c>
      <c r="D5453" s="22" t="str">
        <f>HYPERLINK("https://rhld.insurance.arkansas.gov/NPILookup?Npi=1275054074","1275054074")</f>
        <v>1275054074</v>
      </c>
      <c r="E5453" s="1" t="s">
        <v>17367</v>
      </c>
      <c r="F5453" s="2"/>
      <c r="G5453" s="2"/>
      <c r="H5453" s="2"/>
    </row>
    <row r="5454" spans="1:8" x14ac:dyDescent="0.25">
      <c r="A5454" s="1"/>
      <c r="B5454" s="1" t="s">
        <v>4202</v>
      </c>
      <c r="C5454" s="1" t="s">
        <v>4203</v>
      </c>
      <c r="D5454" s="22" t="str">
        <f>HYPERLINK("https://rhld.insurance.arkansas.gov/NPILookup?Npi=1275523011","1275523011")</f>
        <v>1275523011</v>
      </c>
      <c r="E5454" s="1" t="s">
        <v>17368</v>
      </c>
      <c r="F5454" s="2"/>
      <c r="G5454" s="2"/>
      <c r="H5454" s="2"/>
    </row>
    <row r="5455" spans="1:8" x14ac:dyDescent="0.25">
      <c r="A5455" s="1"/>
      <c r="B5455" s="1" t="s">
        <v>4202</v>
      </c>
      <c r="C5455" s="1" t="s">
        <v>4203</v>
      </c>
      <c r="D5455" s="22" t="str">
        <f>HYPERLINK("https://rhld.insurance.arkansas.gov/NPILookup?Npi=1275573974","1275573974")</f>
        <v>1275573974</v>
      </c>
      <c r="E5455" s="1" t="s">
        <v>17370</v>
      </c>
      <c r="F5455" s="2"/>
      <c r="G5455" s="2"/>
      <c r="H5455" s="2"/>
    </row>
    <row r="5456" spans="1:8" x14ac:dyDescent="0.25">
      <c r="A5456" s="1"/>
      <c r="B5456" s="1" t="s">
        <v>4202</v>
      </c>
      <c r="C5456" s="1" t="s">
        <v>4203</v>
      </c>
      <c r="D5456" s="22" t="str">
        <f>HYPERLINK("https://rhld.insurance.arkansas.gov/NPILookup?Npi=1275582991","1275582991")</f>
        <v>1275582991</v>
      </c>
      <c r="E5456" s="1" t="s">
        <v>17371</v>
      </c>
      <c r="F5456" s="2"/>
      <c r="G5456" s="2"/>
      <c r="H5456" s="2"/>
    </row>
    <row r="5457" spans="1:8" x14ac:dyDescent="0.25">
      <c r="A5457" s="1"/>
      <c r="B5457" s="1" t="s">
        <v>4202</v>
      </c>
      <c r="C5457" s="1" t="s">
        <v>4203</v>
      </c>
      <c r="D5457" s="22" t="str">
        <f>HYPERLINK("https://rhld.insurance.arkansas.gov/NPILookup?Npi=1275590507","1275590507")</f>
        <v>1275590507</v>
      </c>
      <c r="E5457" s="1" t="s">
        <v>17373</v>
      </c>
      <c r="F5457" s="2"/>
      <c r="G5457" s="2"/>
      <c r="H5457" s="2"/>
    </row>
    <row r="5458" spans="1:8" x14ac:dyDescent="0.25">
      <c r="A5458" s="1"/>
      <c r="B5458" s="1" t="s">
        <v>4202</v>
      </c>
      <c r="C5458" s="1" t="s">
        <v>4203</v>
      </c>
      <c r="D5458" s="22" t="str">
        <f>HYPERLINK("https://rhld.insurance.arkansas.gov/NPILookup?Npi=1275597171","1275597171")</f>
        <v>1275597171</v>
      </c>
      <c r="E5458" s="1" t="s">
        <v>31424</v>
      </c>
      <c r="F5458" s="2"/>
      <c r="G5458" s="2"/>
      <c r="H5458" s="2"/>
    </row>
    <row r="5459" spans="1:8" x14ac:dyDescent="0.25">
      <c r="A5459" s="1"/>
      <c r="B5459" s="1" t="s">
        <v>4202</v>
      </c>
      <c r="C5459" s="1" t="s">
        <v>4203</v>
      </c>
      <c r="D5459" s="22" t="str">
        <f>HYPERLINK("https://rhld.insurance.arkansas.gov/NPILookup?Npi=1275639759","1275639759")</f>
        <v>1275639759</v>
      </c>
      <c r="E5459" s="1" t="s">
        <v>17374</v>
      </c>
      <c r="F5459" s="2"/>
      <c r="G5459" s="2"/>
      <c r="H5459" s="2"/>
    </row>
    <row r="5460" spans="1:8" x14ac:dyDescent="0.25">
      <c r="A5460" s="1"/>
      <c r="B5460" s="1" t="s">
        <v>4202</v>
      </c>
      <c r="C5460" s="1" t="s">
        <v>4203</v>
      </c>
      <c r="D5460" s="22" t="str">
        <f>HYPERLINK("https://rhld.insurance.arkansas.gov/NPILookup?Npi=1275761900","1275761900")</f>
        <v>1275761900</v>
      </c>
      <c r="E5460" s="1" t="s">
        <v>1473</v>
      </c>
      <c r="F5460" s="2"/>
      <c r="G5460" s="2"/>
      <c r="H5460" s="2"/>
    </row>
    <row r="5461" spans="1:8" x14ac:dyDescent="0.25">
      <c r="A5461" s="1"/>
      <c r="B5461" s="1" t="s">
        <v>4202</v>
      </c>
      <c r="C5461" s="1" t="s">
        <v>4203</v>
      </c>
      <c r="D5461" s="22" t="str">
        <f>HYPERLINK("https://rhld.insurance.arkansas.gov/NPILookup?Npi=1275793101","1275793101")</f>
        <v>1275793101</v>
      </c>
      <c r="E5461" s="1" t="s">
        <v>17375</v>
      </c>
      <c r="F5461" s="2"/>
      <c r="G5461" s="2"/>
      <c r="H5461" s="2"/>
    </row>
    <row r="5462" spans="1:8" x14ac:dyDescent="0.25">
      <c r="A5462" s="1"/>
      <c r="B5462" s="1" t="s">
        <v>4202</v>
      </c>
      <c r="C5462" s="1" t="s">
        <v>4203</v>
      </c>
      <c r="D5462" s="22" t="str">
        <f>HYPERLINK("https://rhld.insurance.arkansas.gov/NPILookup?Npi=1275822298","1275822298")</f>
        <v>1275822298</v>
      </c>
      <c r="E5462" s="1" t="s">
        <v>4318</v>
      </c>
      <c r="F5462" s="2"/>
      <c r="G5462" s="2"/>
      <c r="H5462" s="2"/>
    </row>
    <row r="5463" spans="1:8" x14ac:dyDescent="0.25">
      <c r="A5463" s="1"/>
      <c r="B5463" s="1" t="s">
        <v>4202</v>
      </c>
      <c r="C5463" s="1" t="s">
        <v>4203</v>
      </c>
      <c r="D5463" s="22" t="str">
        <f>HYPERLINK("https://rhld.insurance.arkansas.gov/NPILookup?Npi=1275841595","1275841595")</f>
        <v>1275841595</v>
      </c>
      <c r="E5463" s="1" t="s">
        <v>4319</v>
      </c>
      <c r="F5463" s="2"/>
      <c r="G5463" s="2"/>
      <c r="H5463" s="2"/>
    </row>
    <row r="5464" spans="1:8" x14ac:dyDescent="0.25">
      <c r="A5464" s="1"/>
      <c r="B5464" s="1" t="s">
        <v>4202</v>
      </c>
      <c r="C5464" s="1" t="s">
        <v>4203</v>
      </c>
      <c r="D5464" s="22" t="str">
        <f>HYPERLINK("https://rhld.insurance.arkansas.gov/NPILookup?Npi=1275911752","1275911752")</f>
        <v>1275911752</v>
      </c>
      <c r="E5464" s="1" t="s">
        <v>17376</v>
      </c>
      <c r="F5464" s="2"/>
      <c r="G5464" s="2"/>
      <c r="H5464" s="2"/>
    </row>
    <row r="5465" spans="1:8" x14ac:dyDescent="0.25">
      <c r="A5465" s="1"/>
      <c r="B5465" s="1" t="s">
        <v>4202</v>
      </c>
      <c r="C5465" s="1" t="s">
        <v>4203</v>
      </c>
      <c r="D5465" s="22" t="str">
        <f>HYPERLINK("https://rhld.insurance.arkansas.gov/NPILookup?Npi=1275916462","1275916462")</f>
        <v>1275916462</v>
      </c>
      <c r="E5465" s="1" t="s">
        <v>10263</v>
      </c>
      <c r="F5465" s="2"/>
      <c r="G5465" s="2"/>
      <c r="H5465" s="2"/>
    </row>
    <row r="5466" spans="1:8" x14ac:dyDescent="0.25">
      <c r="A5466" s="1"/>
      <c r="B5466" s="1" t="s">
        <v>4202</v>
      </c>
      <c r="C5466" s="1" t="s">
        <v>4203</v>
      </c>
      <c r="D5466" s="22" t="str">
        <f>HYPERLINK("https://rhld.insurance.arkansas.gov/NPILookup?Npi=1275980237","1275980237")</f>
        <v>1275980237</v>
      </c>
      <c r="E5466" s="1" t="s">
        <v>31425</v>
      </c>
      <c r="F5466" s="2"/>
      <c r="G5466" s="2"/>
      <c r="H5466" s="2"/>
    </row>
    <row r="5467" spans="1:8" x14ac:dyDescent="0.25">
      <c r="A5467" s="1"/>
      <c r="B5467" s="1" t="s">
        <v>4202</v>
      </c>
      <c r="C5467" s="1" t="s">
        <v>4203</v>
      </c>
      <c r="D5467" s="22" t="str">
        <f>HYPERLINK("https://rhld.insurance.arkansas.gov/NPILookup?Npi=1285053983","1285053983")</f>
        <v>1285053983</v>
      </c>
      <c r="E5467" s="1" t="s">
        <v>760</v>
      </c>
      <c r="F5467" s="2"/>
      <c r="G5467" s="2"/>
      <c r="H5467" s="2"/>
    </row>
    <row r="5468" spans="1:8" x14ac:dyDescent="0.25">
      <c r="A5468" s="1"/>
      <c r="B5468" s="1" t="s">
        <v>4202</v>
      </c>
      <c r="C5468" s="1" t="s">
        <v>4203</v>
      </c>
      <c r="D5468" s="22" t="str">
        <f>HYPERLINK("https://rhld.insurance.arkansas.gov/NPILookup?Npi=1285071894","1285071894")</f>
        <v>1285071894</v>
      </c>
      <c r="E5468" s="1" t="s">
        <v>17377</v>
      </c>
      <c r="F5468" s="2"/>
      <c r="G5468" s="2"/>
      <c r="H5468" s="2"/>
    </row>
    <row r="5469" spans="1:8" x14ac:dyDescent="0.25">
      <c r="A5469" s="1"/>
      <c r="B5469" s="1" t="s">
        <v>4202</v>
      </c>
      <c r="C5469" s="1" t="s">
        <v>4203</v>
      </c>
      <c r="D5469" s="22" t="str">
        <f>HYPERLINK("https://rhld.insurance.arkansas.gov/NPILookup?Npi=1285077727","1285077727")</f>
        <v>1285077727</v>
      </c>
      <c r="E5469" s="1" t="s">
        <v>17378</v>
      </c>
      <c r="F5469" s="2"/>
      <c r="G5469" s="2"/>
      <c r="H5469" s="2"/>
    </row>
    <row r="5470" spans="1:8" x14ac:dyDescent="0.25">
      <c r="A5470" s="1"/>
      <c r="B5470" s="1" t="s">
        <v>4202</v>
      </c>
      <c r="C5470" s="1" t="s">
        <v>4203</v>
      </c>
      <c r="D5470" s="22" t="str">
        <f>HYPERLINK("https://rhld.insurance.arkansas.gov/NPILookup?Npi=1285080309","1285080309")</f>
        <v>1285080309</v>
      </c>
      <c r="E5470" s="1" t="s">
        <v>17379</v>
      </c>
      <c r="F5470" s="2"/>
      <c r="G5470" s="2"/>
      <c r="H5470" s="2"/>
    </row>
    <row r="5471" spans="1:8" x14ac:dyDescent="0.25">
      <c r="A5471" s="1"/>
      <c r="B5471" s="1" t="s">
        <v>4202</v>
      </c>
      <c r="C5471" s="1" t="s">
        <v>4203</v>
      </c>
      <c r="D5471" s="22" t="str">
        <f>HYPERLINK("https://rhld.insurance.arkansas.gov/NPILookup?Npi=1285082412","1285082412")</f>
        <v>1285082412</v>
      </c>
      <c r="E5471" s="1" t="s">
        <v>4320</v>
      </c>
      <c r="F5471" s="2"/>
      <c r="G5471" s="2"/>
      <c r="H5471" s="2"/>
    </row>
    <row r="5472" spans="1:8" x14ac:dyDescent="0.25">
      <c r="A5472" s="1"/>
      <c r="B5472" s="1" t="s">
        <v>4202</v>
      </c>
      <c r="C5472" s="1" t="s">
        <v>4203</v>
      </c>
      <c r="D5472" s="22" t="str">
        <f>HYPERLINK("https://rhld.insurance.arkansas.gov/NPILookup?Npi=1285214346","1285214346")</f>
        <v>1285214346</v>
      </c>
      <c r="E5472" s="1" t="s">
        <v>31426</v>
      </c>
      <c r="F5472" s="2"/>
      <c r="G5472" s="2"/>
      <c r="H5472" s="2"/>
    </row>
    <row r="5473" spans="1:8" x14ac:dyDescent="0.25">
      <c r="A5473" s="1"/>
      <c r="B5473" s="1" t="s">
        <v>4202</v>
      </c>
      <c r="C5473" s="1" t="s">
        <v>4203</v>
      </c>
      <c r="D5473" s="22" t="str">
        <f>HYPERLINK("https://rhld.insurance.arkansas.gov/NPILookup?Npi=1285253641","1285253641")</f>
        <v>1285253641</v>
      </c>
      <c r="E5473" s="1" t="s">
        <v>17380</v>
      </c>
      <c r="F5473" s="2"/>
      <c r="G5473" s="2"/>
      <c r="H5473" s="2"/>
    </row>
    <row r="5474" spans="1:8" x14ac:dyDescent="0.25">
      <c r="A5474" s="1"/>
      <c r="B5474" s="1" t="s">
        <v>4202</v>
      </c>
      <c r="C5474" s="1" t="s">
        <v>4203</v>
      </c>
      <c r="D5474" s="22" t="str">
        <f>HYPERLINK("https://rhld.insurance.arkansas.gov/NPILookup?Npi=1285610428","1285610428")</f>
        <v>1285610428</v>
      </c>
      <c r="E5474" s="1" t="s">
        <v>17381</v>
      </c>
      <c r="F5474" s="2"/>
      <c r="G5474" s="2"/>
      <c r="H5474" s="2"/>
    </row>
    <row r="5475" spans="1:8" x14ac:dyDescent="0.25">
      <c r="A5475" s="1"/>
      <c r="B5475" s="1" t="s">
        <v>4202</v>
      </c>
      <c r="C5475" s="1" t="s">
        <v>4203</v>
      </c>
      <c r="D5475" s="22" t="str">
        <f>HYPERLINK("https://rhld.insurance.arkansas.gov/NPILookup?Npi=1285624817","1285624817")</f>
        <v>1285624817</v>
      </c>
      <c r="E5475" s="1" t="s">
        <v>10264</v>
      </c>
      <c r="F5475" s="2"/>
      <c r="G5475" s="2"/>
      <c r="H5475" s="2"/>
    </row>
    <row r="5476" spans="1:8" x14ac:dyDescent="0.25">
      <c r="A5476" s="1"/>
      <c r="B5476" s="1" t="s">
        <v>4202</v>
      </c>
      <c r="C5476" s="1" t="s">
        <v>4203</v>
      </c>
      <c r="D5476" s="22" t="str">
        <f>HYPERLINK("https://rhld.insurance.arkansas.gov/NPILookup?Npi=1285637462","1285637462")</f>
        <v>1285637462</v>
      </c>
      <c r="E5476" s="1" t="s">
        <v>4322</v>
      </c>
      <c r="F5476" s="2"/>
      <c r="G5476" s="2"/>
      <c r="H5476" s="2"/>
    </row>
    <row r="5477" spans="1:8" x14ac:dyDescent="0.25">
      <c r="A5477" s="1"/>
      <c r="B5477" s="1" t="s">
        <v>4202</v>
      </c>
      <c r="C5477" s="1" t="s">
        <v>4203</v>
      </c>
      <c r="D5477" s="22" t="str">
        <f>HYPERLINK("https://rhld.insurance.arkansas.gov/NPILookup?Npi=1285682849","1285682849")</f>
        <v>1285682849</v>
      </c>
      <c r="E5477" s="1" t="s">
        <v>17383</v>
      </c>
      <c r="F5477" s="2"/>
      <c r="G5477" s="2"/>
      <c r="H5477" s="2"/>
    </row>
    <row r="5478" spans="1:8" x14ac:dyDescent="0.25">
      <c r="A5478" s="1"/>
      <c r="B5478" s="1" t="s">
        <v>4202</v>
      </c>
      <c r="C5478" s="1" t="s">
        <v>4203</v>
      </c>
      <c r="D5478" s="22" t="str">
        <f>HYPERLINK("https://rhld.insurance.arkansas.gov/NPILookup?Npi=1285685719","1285685719")</f>
        <v>1285685719</v>
      </c>
      <c r="E5478" s="1" t="s">
        <v>17384</v>
      </c>
      <c r="F5478" s="2"/>
      <c r="G5478" s="2"/>
      <c r="H5478" s="2"/>
    </row>
    <row r="5479" spans="1:8" x14ac:dyDescent="0.25">
      <c r="A5479" s="1"/>
      <c r="B5479" s="1" t="s">
        <v>4202</v>
      </c>
      <c r="C5479" s="1" t="s">
        <v>4203</v>
      </c>
      <c r="D5479" s="22" t="str">
        <f>HYPERLINK("https://rhld.insurance.arkansas.gov/NPILookup?Npi=1285690255","1285690255")</f>
        <v>1285690255</v>
      </c>
      <c r="E5479" s="1" t="s">
        <v>31427</v>
      </c>
      <c r="F5479" s="2"/>
      <c r="G5479" s="2"/>
      <c r="H5479" s="2"/>
    </row>
    <row r="5480" spans="1:8" x14ac:dyDescent="0.25">
      <c r="A5480" s="1"/>
      <c r="B5480" s="1" t="s">
        <v>4202</v>
      </c>
      <c r="C5480" s="1" t="s">
        <v>4203</v>
      </c>
      <c r="D5480" s="22" t="str">
        <f>HYPERLINK("https://rhld.insurance.arkansas.gov/NPILookup?Npi=1285734814","1285734814")</f>
        <v>1285734814</v>
      </c>
      <c r="E5480" s="1" t="s">
        <v>31428</v>
      </c>
      <c r="F5480" s="2"/>
      <c r="G5480" s="2"/>
      <c r="H5480" s="2"/>
    </row>
    <row r="5481" spans="1:8" x14ac:dyDescent="0.25">
      <c r="A5481" s="1"/>
      <c r="B5481" s="1" t="s">
        <v>4202</v>
      </c>
      <c r="C5481" s="1" t="s">
        <v>4203</v>
      </c>
      <c r="D5481" s="22" t="str">
        <f>HYPERLINK("https://rhld.insurance.arkansas.gov/NPILookup?Npi=1285741983","1285741983")</f>
        <v>1285741983</v>
      </c>
      <c r="E5481" s="1" t="s">
        <v>17385</v>
      </c>
      <c r="F5481" s="2"/>
      <c r="G5481" s="2"/>
      <c r="H5481" s="2"/>
    </row>
    <row r="5482" spans="1:8" x14ac:dyDescent="0.25">
      <c r="A5482" s="1"/>
      <c r="B5482" s="1" t="s">
        <v>4202</v>
      </c>
      <c r="C5482" s="1" t="s">
        <v>4203</v>
      </c>
      <c r="D5482" s="22" t="str">
        <f>HYPERLINK("https://rhld.insurance.arkansas.gov/NPILookup?Npi=1285834481","1285834481")</f>
        <v>1285834481</v>
      </c>
      <c r="E5482" s="1" t="s">
        <v>17386</v>
      </c>
      <c r="F5482" s="2"/>
      <c r="G5482" s="2"/>
      <c r="H5482" s="2"/>
    </row>
    <row r="5483" spans="1:8" x14ac:dyDescent="0.25">
      <c r="A5483" s="1"/>
      <c r="B5483" s="1" t="s">
        <v>4202</v>
      </c>
      <c r="C5483" s="1" t="s">
        <v>4203</v>
      </c>
      <c r="D5483" s="22" t="str">
        <f>HYPERLINK("https://rhld.insurance.arkansas.gov/NPILookup?Npi=1285845727","1285845727")</f>
        <v>1285845727</v>
      </c>
      <c r="E5483" s="1" t="s">
        <v>10265</v>
      </c>
      <c r="F5483" s="2"/>
      <c r="G5483" s="2"/>
      <c r="H5483" s="2"/>
    </row>
    <row r="5484" spans="1:8" x14ac:dyDescent="0.25">
      <c r="A5484" s="1"/>
      <c r="B5484" s="1" t="s">
        <v>4202</v>
      </c>
      <c r="C5484" s="1" t="s">
        <v>4203</v>
      </c>
      <c r="D5484" s="22" t="str">
        <f>HYPERLINK("https://rhld.insurance.arkansas.gov/NPILookup?Npi=1285862540","1285862540")</f>
        <v>1285862540</v>
      </c>
      <c r="E5484" s="1" t="s">
        <v>17387</v>
      </c>
      <c r="F5484" s="2"/>
      <c r="G5484" s="2"/>
      <c r="H5484" s="2"/>
    </row>
    <row r="5485" spans="1:8" x14ac:dyDescent="0.25">
      <c r="A5485" s="1"/>
      <c r="B5485" s="1" t="s">
        <v>4202</v>
      </c>
      <c r="C5485" s="1" t="s">
        <v>4203</v>
      </c>
      <c r="D5485" s="22" t="str">
        <f>HYPERLINK("https://rhld.insurance.arkansas.gov/NPILookup?Npi=1285865154","1285865154")</f>
        <v>1285865154</v>
      </c>
      <c r="E5485" s="1" t="s">
        <v>10266</v>
      </c>
      <c r="F5485" s="2"/>
      <c r="G5485" s="2"/>
      <c r="H5485" s="2"/>
    </row>
    <row r="5486" spans="1:8" x14ac:dyDescent="0.25">
      <c r="A5486" s="1"/>
      <c r="B5486" s="1" t="s">
        <v>4202</v>
      </c>
      <c r="C5486" s="1" t="s">
        <v>4203</v>
      </c>
      <c r="D5486" s="22" t="str">
        <f>HYPERLINK("https://rhld.insurance.arkansas.gov/NPILookup?Npi=1285896738","1285896738")</f>
        <v>1285896738</v>
      </c>
      <c r="E5486" s="1" t="s">
        <v>4323</v>
      </c>
      <c r="F5486" s="2"/>
      <c r="G5486" s="2"/>
      <c r="H5486" s="2"/>
    </row>
    <row r="5487" spans="1:8" x14ac:dyDescent="0.25">
      <c r="A5487" s="1"/>
      <c r="B5487" s="1" t="s">
        <v>4202</v>
      </c>
      <c r="C5487" s="1" t="s">
        <v>4203</v>
      </c>
      <c r="D5487" s="22" t="str">
        <f>HYPERLINK("https://rhld.insurance.arkansas.gov/NPILookup?Npi=1285929463","1285929463")</f>
        <v>1285929463</v>
      </c>
      <c r="E5487" s="1" t="s">
        <v>17388</v>
      </c>
      <c r="F5487" s="2"/>
      <c r="G5487" s="2"/>
      <c r="H5487" s="2"/>
    </row>
    <row r="5488" spans="1:8" x14ac:dyDescent="0.25">
      <c r="A5488" s="1"/>
      <c r="B5488" s="1" t="s">
        <v>4202</v>
      </c>
      <c r="C5488" s="1" t="s">
        <v>4203</v>
      </c>
      <c r="D5488" s="22" t="str">
        <f>HYPERLINK("https://rhld.insurance.arkansas.gov/NPILookup?Npi=1285945915","1285945915")</f>
        <v>1285945915</v>
      </c>
      <c r="E5488" s="1" t="s">
        <v>17389</v>
      </c>
      <c r="F5488" s="2"/>
      <c r="G5488" s="2"/>
      <c r="H5488" s="2"/>
    </row>
    <row r="5489" spans="1:8" x14ac:dyDescent="0.25">
      <c r="A5489" s="1"/>
      <c r="B5489" s="1" t="s">
        <v>4202</v>
      </c>
      <c r="C5489" s="1" t="s">
        <v>4203</v>
      </c>
      <c r="D5489" s="22" t="str">
        <f>HYPERLINK("https://rhld.insurance.arkansas.gov/NPILookup?Npi=1295078210","1295078210")</f>
        <v>1295078210</v>
      </c>
      <c r="E5489" s="1" t="s">
        <v>4324</v>
      </c>
      <c r="F5489" s="2"/>
      <c r="G5489" s="2"/>
      <c r="H5489" s="2"/>
    </row>
    <row r="5490" spans="1:8" x14ac:dyDescent="0.25">
      <c r="A5490" s="1"/>
      <c r="B5490" s="1" t="s">
        <v>4202</v>
      </c>
      <c r="C5490" s="1" t="s">
        <v>4203</v>
      </c>
      <c r="D5490" s="22" t="str">
        <f>HYPERLINK("https://rhld.insurance.arkansas.gov/NPILookup?Npi=1295091924","1295091924")</f>
        <v>1295091924</v>
      </c>
      <c r="E5490" s="1" t="s">
        <v>17390</v>
      </c>
      <c r="F5490" s="2"/>
      <c r="G5490" s="2"/>
      <c r="H5490" s="2"/>
    </row>
    <row r="5491" spans="1:8" x14ac:dyDescent="0.25">
      <c r="A5491" s="1"/>
      <c r="B5491" s="1" t="s">
        <v>4202</v>
      </c>
      <c r="C5491" s="1" t="s">
        <v>4203</v>
      </c>
      <c r="D5491" s="22" t="str">
        <f>HYPERLINK("https://rhld.insurance.arkansas.gov/NPILookup?Npi=1295147072","1295147072")</f>
        <v>1295147072</v>
      </c>
      <c r="E5491" s="1" t="s">
        <v>4325</v>
      </c>
      <c r="F5491" s="2"/>
      <c r="G5491" s="2"/>
      <c r="H5491" s="2"/>
    </row>
    <row r="5492" spans="1:8" x14ac:dyDescent="0.25">
      <c r="A5492" s="1"/>
      <c r="B5492" s="1" t="s">
        <v>4202</v>
      </c>
      <c r="C5492" s="1" t="s">
        <v>4203</v>
      </c>
      <c r="D5492" s="22" t="str">
        <f>HYPERLINK("https://rhld.insurance.arkansas.gov/NPILookup?Npi=1295154714","1295154714")</f>
        <v>1295154714</v>
      </c>
      <c r="E5492" s="1" t="s">
        <v>17391</v>
      </c>
      <c r="F5492" s="2"/>
      <c r="G5492" s="2"/>
      <c r="H5492" s="2"/>
    </row>
    <row r="5493" spans="1:8" x14ac:dyDescent="0.25">
      <c r="A5493" s="1"/>
      <c r="B5493" s="1" t="s">
        <v>4202</v>
      </c>
      <c r="C5493" s="1" t="s">
        <v>4203</v>
      </c>
      <c r="D5493" s="22" t="str">
        <f>HYPERLINK("https://rhld.insurance.arkansas.gov/NPILookup?Npi=1295197556","1295197556")</f>
        <v>1295197556</v>
      </c>
      <c r="E5493" s="1" t="s">
        <v>17392</v>
      </c>
      <c r="F5493" s="2"/>
      <c r="G5493" s="2"/>
      <c r="H5493" s="2"/>
    </row>
    <row r="5494" spans="1:8" x14ac:dyDescent="0.25">
      <c r="A5494" s="1"/>
      <c r="B5494" s="1" t="s">
        <v>4202</v>
      </c>
      <c r="C5494" s="1" t="s">
        <v>4203</v>
      </c>
      <c r="D5494" s="22" t="str">
        <f>HYPERLINK("https://rhld.insurance.arkansas.gov/NPILookup?Npi=1295226553","1295226553")</f>
        <v>1295226553</v>
      </c>
      <c r="E5494" s="1" t="s">
        <v>4326</v>
      </c>
      <c r="F5494" s="2"/>
      <c r="G5494" s="2"/>
      <c r="H5494" s="2"/>
    </row>
    <row r="5495" spans="1:8" x14ac:dyDescent="0.25">
      <c r="A5495" s="1"/>
      <c r="B5495" s="1" t="s">
        <v>4202</v>
      </c>
      <c r="C5495" s="1" t="s">
        <v>4203</v>
      </c>
      <c r="D5495" s="22" t="str">
        <f>HYPERLINK("https://rhld.insurance.arkansas.gov/NPILookup?Npi=1295267581","1295267581")</f>
        <v>1295267581</v>
      </c>
      <c r="E5495" s="1" t="s">
        <v>17393</v>
      </c>
      <c r="F5495" s="2"/>
      <c r="G5495" s="2"/>
      <c r="H5495" s="2"/>
    </row>
    <row r="5496" spans="1:8" x14ac:dyDescent="0.25">
      <c r="A5496" s="1"/>
      <c r="B5496" s="1" t="s">
        <v>4202</v>
      </c>
      <c r="C5496" s="1" t="s">
        <v>4203</v>
      </c>
      <c r="D5496" s="22" t="str">
        <f>HYPERLINK("https://rhld.insurance.arkansas.gov/NPILookup?Npi=1295718294","1295718294")</f>
        <v>1295718294</v>
      </c>
      <c r="E5496" s="1" t="s">
        <v>31429</v>
      </c>
      <c r="F5496" s="2"/>
      <c r="G5496" s="2"/>
      <c r="H5496" s="2"/>
    </row>
    <row r="5497" spans="1:8" x14ac:dyDescent="0.25">
      <c r="A5497" s="1"/>
      <c r="B5497" s="1" t="s">
        <v>4202</v>
      </c>
      <c r="C5497" s="1" t="s">
        <v>4203</v>
      </c>
      <c r="D5497" s="22" t="str">
        <f>HYPERLINK("https://rhld.insurance.arkansas.gov/NPILookup?Npi=1295772226","1295772226")</f>
        <v>1295772226</v>
      </c>
      <c r="E5497" s="1" t="s">
        <v>31430</v>
      </c>
      <c r="F5497" s="2"/>
      <c r="G5497" s="2"/>
      <c r="H5497" s="2"/>
    </row>
    <row r="5498" spans="1:8" x14ac:dyDescent="0.25">
      <c r="A5498" s="1"/>
      <c r="B5498" s="1" t="s">
        <v>4202</v>
      </c>
      <c r="C5498" s="1" t="s">
        <v>4203</v>
      </c>
      <c r="D5498" s="22" t="str">
        <f>HYPERLINK("https://rhld.insurance.arkansas.gov/NPILookup?Npi=1295783322","1295783322")</f>
        <v>1295783322</v>
      </c>
      <c r="E5498" s="1" t="s">
        <v>10268</v>
      </c>
      <c r="F5498" s="2"/>
      <c r="G5498" s="2"/>
      <c r="H5498" s="2"/>
    </row>
    <row r="5499" spans="1:8" x14ac:dyDescent="0.25">
      <c r="A5499" s="1"/>
      <c r="B5499" s="1" t="s">
        <v>4202</v>
      </c>
      <c r="C5499" s="1" t="s">
        <v>4203</v>
      </c>
      <c r="D5499" s="22" t="str">
        <f>HYPERLINK("https://rhld.insurance.arkansas.gov/NPILookup?Npi=1295785095","1295785095")</f>
        <v>1295785095</v>
      </c>
      <c r="E5499" s="1" t="s">
        <v>4328</v>
      </c>
      <c r="F5499" s="2"/>
      <c r="G5499" s="2"/>
      <c r="H5499" s="2"/>
    </row>
    <row r="5500" spans="1:8" x14ac:dyDescent="0.25">
      <c r="A5500" s="1"/>
      <c r="B5500" s="1" t="s">
        <v>4202</v>
      </c>
      <c r="C5500" s="1" t="s">
        <v>4203</v>
      </c>
      <c r="D5500" s="22" t="str">
        <f>HYPERLINK("https://rhld.insurance.arkansas.gov/NPILookup?Npi=1295798510","1295798510")</f>
        <v>1295798510</v>
      </c>
      <c r="E5500" s="1" t="s">
        <v>826</v>
      </c>
      <c r="F5500" s="2"/>
      <c r="G5500" s="2"/>
      <c r="H5500" s="2"/>
    </row>
    <row r="5501" spans="1:8" x14ac:dyDescent="0.25">
      <c r="A5501" s="1"/>
      <c r="B5501" s="1" t="s">
        <v>4202</v>
      </c>
      <c r="C5501" s="1" t="s">
        <v>4203</v>
      </c>
      <c r="D5501" s="22" t="str">
        <f>HYPERLINK("https://rhld.insurance.arkansas.gov/NPILookup?Npi=1295831253","1295831253")</f>
        <v>1295831253</v>
      </c>
      <c r="E5501" s="1" t="s">
        <v>17394</v>
      </c>
      <c r="F5501" s="2"/>
      <c r="G5501" s="2"/>
      <c r="H5501" s="2"/>
    </row>
    <row r="5502" spans="1:8" x14ac:dyDescent="0.25">
      <c r="A5502" s="1"/>
      <c r="B5502" s="1" t="s">
        <v>4202</v>
      </c>
      <c r="C5502" s="1" t="s">
        <v>4203</v>
      </c>
      <c r="D5502" s="22" t="str">
        <f>HYPERLINK("https://rhld.insurance.arkansas.gov/NPILookup?Npi=1295848323","1295848323")</f>
        <v>1295848323</v>
      </c>
      <c r="E5502" s="1" t="s">
        <v>31431</v>
      </c>
      <c r="F5502" s="2"/>
      <c r="G5502" s="2"/>
      <c r="H5502" s="2"/>
    </row>
    <row r="5503" spans="1:8" x14ac:dyDescent="0.25">
      <c r="A5503" s="1"/>
      <c r="B5503" s="1" t="s">
        <v>4202</v>
      </c>
      <c r="C5503" s="1" t="s">
        <v>4203</v>
      </c>
      <c r="D5503" s="22" t="str">
        <f>HYPERLINK("https://rhld.insurance.arkansas.gov/NPILookup?Npi=1295935161","1295935161")</f>
        <v>1295935161</v>
      </c>
      <c r="E5503" s="1" t="s">
        <v>761</v>
      </c>
      <c r="F5503" s="2"/>
      <c r="G5503" s="2"/>
      <c r="H5503" s="2"/>
    </row>
    <row r="5504" spans="1:8" x14ac:dyDescent="0.25">
      <c r="A5504" s="1"/>
      <c r="B5504" s="1" t="s">
        <v>4202</v>
      </c>
      <c r="C5504" s="1" t="s">
        <v>4203</v>
      </c>
      <c r="D5504" s="22" t="str">
        <f>HYPERLINK("https://rhld.insurance.arkansas.gov/NPILookup?Npi=1295990059","1295990059")</f>
        <v>1295990059</v>
      </c>
      <c r="E5504" s="1" t="s">
        <v>17397</v>
      </c>
      <c r="F5504" s="2"/>
      <c r="G5504" s="2"/>
      <c r="H5504" s="2"/>
    </row>
    <row r="5505" spans="1:8" x14ac:dyDescent="0.25">
      <c r="A5505" s="1"/>
      <c r="B5505" s="1" t="s">
        <v>4202</v>
      </c>
      <c r="C5505" s="1" t="s">
        <v>4203</v>
      </c>
      <c r="D5505" s="22" t="str">
        <f>HYPERLINK("https://rhld.insurance.arkansas.gov/NPILookup?Npi=1295991198","1295991198")</f>
        <v>1295991198</v>
      </c>
      <c r="E5505" s="1" t="s">
        <v>10271</v>
      </c>
      <c r="F5505" s="2"/>
      <c r="G5505" s="2"/>
      <c r="H5505" s="2"/>
    </row>
    <row r="5506" spans="1:8" x14ac:dyDescent="0.25">
      <c r="A5506" s="1"/>
      <c r="B5506" s="1" t="s">
        <v>4202</v>
      </c>
      <c r="C5506" s="1" t="s">
        <v>4203</v>
      </c>
      <c r="D5506" s="22" t="str">
        <f>HYPERLINK("https://rhld.insurance.arkansas.gov/NPILookup?Npi=1306059753","1306059753")</f>
        <v>1306059753</v>
      </c>
      <c r="E5506" s="1" t="s">
        <v>139</v>
      </c>
      <c r="F5506" s="2"/>
      <c r="G5506" s="2"/>
      <c r="H5506" s="2"/>
    </row>
    <row r="5507" spans="1:8" x14ac:dyDescent="0.25">
      <c r="A5507" s="1"/>
      <c r="B5507" s="1" t="s">
        <v>4202</v>
      </c>
      <c r="C5507" s="1" t="s">
        <v>4203</v>
      </c>
      <c r="D5507" s="22" t="str">
        <f>HYPERLINK("https://rhld.insurance.arkansas.gov/NPILookup?Npi=1306139035","1306139035")</f>
        <v>1306139035</v>
      </c>
      <c r="E5507" s="1" t="s">
        <v>10272</v>
      </c>
      <c r="F5507" s="2"/>
      <c r="G5507" s="2"/>
      <c r="H5507" s="2"/>
    </row>
    <row r="5508" spans="1:8" x14ac:dyDescent="0.25">
      <c r="A5508" s="1"/>
      <c r="B5508" s="1" t="s">
        <v>4202</v>
      </c>
      <c r="C5508" s="1" t="s">
        <v>4203</v>
      </c>
      <c r="D5508" s="22" t="str">
        <f>HYPERLINK("https://rhld.insurance.arkansas.gov/NPILookup?Npi=1306224068","1306224068")</f>
        <v>1306224068</v>
      </c>
      <c r="E5508" s="1" t="s">
        <v>17398</v>
      </c>
      <c r="F5508" s="2"/>
      <c r="G5508" s="2"/>
      <c r="H5508" s="2"/>
    </row>
    <row r="5509" spans="1:8" x14ac:dyDescent="0.25">
      <c r="A5509" s="1"/>
      <c r="B5509" s="1" t="s">
        <v>4202</v>
      </c>
      <c r="C5509" s="1" t="s">
        <v>4203</v>
      </c>
      <c r="D5509" s="22" t="str">
        <f>HYPERLINK("https://rhld.insurance.arkansas.gov/NPILookup?Npi=1306263678","1306263678")</f>
        <v>1306263678</v>
      </c>
      <c r="E5509" s="1" t="s">
        <v>17400</v>
      </c>
      <c r="F5509" s="2"/>
      <c r="G5509" s="2"/>
      <c r="H5509" s="2"/>
    </row>
    <row r="5510" spans="1:8" x14ac:dyDescent="0.25">
      <c r="A5510" s="1"/>
      <c r="B5510" s="1" t="s">
        <v>4202</v>
      </c>
      <c r="C5510" s="1" t="s">
        <v>4203</v>
      </c>
      <c r="D5510" s="22" t="str">
        <f>HYPERLINK("https://rhld.insurance.arkansas.gov/NPILookup?Npi=1306283890","1306283890")</f>
        <v>1306283890</v>
      </c>
      <c r="E5510" s="1" t="s">
        <v>10273</v>
      </c>
      <c r="F5510" s="2"/>
      <c r="G5510" s="2"/>
      <c r="H5510" s="2"/>
    </row>
    <row r="5511" spans="1:8" x14ac:dyDescent="0.25">
      <c r="A5511" s="1"/>
      <c r="B5511" s="1" t="s">
        <v>4202</v>
      </c>
      <c r="C5511" s="1" t="s">
        <v>4203</v>
      </c>
      <c r="D5511" s="22" t="str">
        <f>HYPERLINK("https://rhld.insurance.arkansas.gov/NPILookup?Npi=1306298377","1306298377")</f>
        <v>1306298377</v>
      </c>
      <c r="E5511" s="1" t="s">
        <v>4329</v>
      </c>
      <c r="F5511" s="2"/>
      <c r="G5511" s="2"/>
      <c r="H5511" s="2"/>
    </row>
    <row r="5512" spans="1:8" x14ac:dyDescent="0.25">
      <c r="A5512" s="1"/>
      <c r="B5512" s="1" t="s">
        <v>4202</v>
      </c>
      <c r="C5512" s="1" t="s">
        <v>4203</v>
      </c>
      <c r="D5512" s="22" t="str">
        <f>HYPERLINK("https://rhld.insurance.arkansas.gov/NPILookup?Npi=1306366117","1306366117")</f>
        <v>1306366117</v>
      </c>
      <c r="E5512" s="1" t="s">
        <v>2682</v>
      </c>
      <c r="F5512" s="2"/>
      <c r="G5512" s="2"/>
      <c r="H5512" s="2"/>
    </row>
    <row r="5513" spans="1:8" x14ac:dyDescent="0.25">
      <c r="A5513" s="1"/>
      <c r="B5513" s="1" t="s">
        <v>4202</v>
      </c>
      <c r="C5513" s="1" t="s">
        <v>4203</v>
      </c>
      <c r="D5513" s="22" t="str">
        <f>HYPERLINK("https://rhld.insurance.arkansas.gov/NPILookup?Npi=1306377619","1306377619")</f>
        <v>1306377619</v>
      </c>
      <c r="E5513" s="1" t="s">
        <v>17402</v>
      </c>
      <c r="F5513" s="2"/>
      <c r="G5513" s="2"/>
      <c r="H5513" s="2"/>
    </row>
    <row r="5514" spans="1:8" x14ac:dyDescent="0.25">
      <c r="A5514" s="1"/>
      <c r="B5514" s="1" t="s">
        <v>4202</v>
      </c>
      <c r="C5514" s="1" t="s">
        <v>4203</v>
      </c>
      <c r="D5514" s="22" t="str">
        <f>HYPERLINK("https://rhld.insurance.arkansas.gov/NPILookup?Npi=1306800412","1306800412")</f>
        <v>1306800412</v>
      </c>
      <c r="E5514" s="1" t="s">
        <v>10274</v>
      </c>
      <c r="F5514" s="2"/>
      <c r="G5514" s="2"/>
      <c r="H5514" s="2"/>
    </row>
    <row r="5515" spans="1:8" x14ac:dyDescent="0.25">
      <c r="A5515" s="1"/>
      <c r="B5515" s="1" t="s">
        <v>4202</v>
      </c>
      <c r="C5515" s="1" t="s">
        <v>4203</v>
      </c>
      <c r="D5515" s="22" t="str">
        <f>HYPERLINK("https://rhld.insurance.arkansas.gov/NPILookup?Npi=1306808886","1306808886")</f>
        <v>1306808886</v>
      </c>
      <c r="E5515" s="1" t="s">
        <v>17403</v>
      </c>
      <c r="F5515" s="2"/>
      <c r="G5515" s="2"/>
      <c r="H5515" s="2"/>
    </row>
    <row r="5516" spans="1:8" x14ac:dyDescent="0.25">
      <c r="A5516" s="1"/>
      <c r="B5516" s="1" t="s">
        <v>4202</v>
      </c>
      <c r="C5516" s="1" t="s">
        <v>4203</v>
      </c>
      <c r="D5516" s="22" t="str">
        <f>HYPERLINK("https://rhld.insurance.arkansas.gov/NPILookup?Npi=1306825443","1306825443")</f>
        <v>1306825443</v>
      </c>
      <c r="E5516" s="1" t="s">
        <v>235</v>
      </c>
      <c r="F5516" s="2"/>
      <c r="G5516" s="2"/>
      <c r="H5516" s="2"/>
    </row>
    <row r="5517" spans="1:8" x14ac:dyDescent="0.25">
      <c r="A5517" s="1"/>
      <c r="B5517" s="1" t="s">
        <v>4202</v>
      </c>
      <c r="C5517" s="1" t="s">
        <v>4203</v>
      </c>
      <c r="D5517" s="22" t="str">
        <f>HYPERLINK("https://rhld.insurance.arkansas.gov/NPILookup?Npi=1306835442","1306835442")</f>
        <v>1306835442</v>
      </c>
      <c r="E5517" s="1" t="s">
        <v>17405</v>
      </c>
      <c r="F5517" s="2"/>
      <c r="G5517" s="2"/>
      <c r="H5517" s="2"/>
    </row>
    <row r="5518" spans="1:8" x14ac:dyDescent="0.25">
      <c r="A5518" s="1"/>
      <c r="B5518" s="1" t="s">
        <v>4202</v>
      </c>
      <c r="C5518" s="1" t="s">
        <v>4203</v>
      </c>
      <c r="D5518" s="22" t="str">
        <f>HYPERLINK("https://rhld.insurance.arkansas.gov/NPILookup?Npi=1306835756","1306835756")</f>
        <v>1306835756</v>
      </c>
      <c r="E5518" s="1" t="s">
        <v>2759</v>
      </c>
      <c r="F5518" s="2"/>
      <c r="G5518" s="2"/>
      <c r="H5518" s="2"/>
    </row>
    <row r="5519" spans="1:8" x14ac:dyDescent="0.25">
      <c r="A5519" s="1"/>
      <c r="B5519" s="1" t="s">
        <v>4202</v>
      </c>
      <c r="C5519" s="1" t="s">
        <v>4203</v>
      </c>
      <c r="D5519" s="22" t="str">
        <f>HYPERLINK("https://rhld.insurance.arkansas.gov/NPILookup?Npi=1306853601","1306853601")</f>
        <v>1306853601</v>
      </c>
      <c r="E5519" s="1" t="s">
        <v>10275</v>
      </c>
      <c r="F5519" s="2"/>
      <c r="G5519" s="2"/>
      <c r="H5519" s="2"/>
    </row>
    <row r="5520" spans="1:8" x14ac:dyDescent="0.25">
      <c r="A5520" s="1"/>
      <c r="B5520" s="1" t="s">
        <v>4202</v>
      </c>
      <c r="C5520" s="1" t="s">
        <v>4203</v>
      </c>
      <c r="D5520" s="22" t="str">
        <f>HYPERLINK("https://rhld.insurance.arkansas.gov/NPILookup?Npi=1306868674","1306868674")</f>
        <v>1306868674</v>
      </c>
      <c r="E5520" s="1" t="s">
        <v>17406</v>
      </c>
      <c r="F5520" s="2"/>
      <c r="G5520" s="2"/>
      <c r="H5520" s="2"/>
    </row>
    <row r="5521" spans="1:8" x14ac:dyDescent="0.25">
      <c r="A5521" s="1"/>
      <c r="B5521" s="1" t="s">
        <v>4202</v>
      </c>
      <c r="C5521" s="1" t="s">
        <v>4203</v>
      </c>
      <c r="D5521" s="22" t="str">
        <f>HYPERLINK("https://rhld.insurance.arkansas.gov/NPILookup?Npi=1306885520","1306885520")</f>
        <v>1306885520</v>
      </c>
      <c r="E5521" s="1" t="s">
        <v>10276</v>
      </c>
      <c r="F5521" s="2"/>
      <c r="G5521" s="2"/>
      <c r="H5521" s="2"/>
    </row>
    <row r="5522" spans="1:8" x14ac:dyDescent="0.25">
      <c r="A5522" s="1"/>
      <c r="B5522" s="1" t="s">
        <v>4202</v>
      </c>
      <c r="C5522" s="1" t="s">
        <v>4203</v>
      </c>
      <c r="D5522" s="22" t="str">
        <f>HYPERLINK("https://rhld.insurance.arkansas.gov/NPILookup?Npi=1306892542","1306892542")</f>
        <v>1306892542</v>
      </c>
      <c r="E5522" s="1" t="s">
        <v>7084</v>
      </c>
      <c r="F5522" s="2"/>
      <c r="G5522" s="2"/>
      <c r="H5522" s="2"/>
    </row>
    <row r="5523" spans="1:8" x14ac:dyDescent="0.25">
      <c r="A5523" s="1"/>
      <c r="B5523" s="1" t="s">
        <v>4202</v>
      </c>
      <c r="C5523" s="1" t="s">
        <v>4203</v>
      </c>
      <c r="D5523" s="22" t="str">
        <f>HYPERLINK("https://rhld.insurance.arkansas.gov/NPILookup?Npi=1306968284","1306968284")</f>
        <v>1306968284</v>
      </c>
      <c r="E5523" s="1" t="s">
        <v>10277</v>
      </c>
      <c r="F5523" s="2"/>
      <c r="G5523" s="2"/>
      <c r="H5523" s="2"/>
    </row>
    <row r="5524" spans="1:8" x14ac:dyDescent="0.25">
      <c r="A5524" s="1"/>
      <c r="B5524" s="1" t="s">
        <v>4202</v>
      </c>
      <c r="C5524" s="1" t="s">
        <v>4203</v>
      </c>
      <c r="D5524" s="22" t="str">
        <f>HYPERLINK("https://rhld.insurance.arkansas.gov/NPILookup?Npi=1316102379","1316102379")</f>
        <v>1316102379</v>
      </c>
      <c r="E5524" s="1" t="s">
        <v>17407</v>
      </c>
      <c r="F5524" s="2"/>
      <c r="G5524" s="2"/>
      <c r="H5524" s="2"/>
    </row>
    <row r="5525" spans="1:8" x14ac:dyDescent="0.25">
      <c r="A5525" s="1"/>
      <c r="B5525" s="1" t="s">
        <v>4202</v>
      </c>
      <c r="C5525" s="1" t="s">
        <v>4203</v>
      </c>
      <c r="D5525" s="22" t="str">
        <f>HYPERLINK("https://rhld.insurance.arkansas.gov/NPILookup?Npi=1316113699","1316113699")</f>
        <v>1316113699</v>
      </c>
      <c r="E5525" s="1" t="s">
        <v>17408</v>
      </c>
      <c r="F5525" s="2"/>
      <c r="G5525" s="2"/>
      <c r="H5525" s="2"/>
    </row>
    <row r="5526" spans="1:8" x14ac:dyDescent="0.25">
      <c r="A5526" s="1"/>
      <c r="B5526" s="1" t="s">
        <v>4202</v>
      </c>
      <c r="C5526" s="1" t="s">
        <v>4203</v>
      </c>
      <c r="D5526" s="22" t="str">
        <f>HYPERLINK("https://rhld.insurance.arkansas.gov/NPILookup?Npi=1316180953","1316180953")</f>
        <v>1316180953</v>
      </c>
      <c r="E5526" s="1" t="s">
        <v>17409</v>
      </c>
      <c r="F5526" s="2"/>
      <c r="G5526" s="2"/>
      <c r="H5526" s="2"/>
    </row>
    <row r="5527" spans="1:8" x14ac:dyDescent="0.25">
      <c r="A5527" s="1"/>
      <c r="B5527" s="1" t="s">
        <v>4202</v>
      </c>
      <c r="C5527" s="1" t="s">
        <v>4203</v>
      </c>
      <c r="D5527" s="22" t="str">
        <f>HYPERLINK("https://rhld.insurance.arkansas.gov/NPILookup?Npi=1316208093","1316208093")</f>
        <v>1316208093</v>
      </c>
      <c r="E5527" s="1" t="s">
        <v>10279</v>
      </c>
      <c r="F5527" s="2"/>
      <c r="G5527" s="2"/>
      <c r="H5527" s="2"/>
    </row>
    <row r="5528" spans="1:8" x14ac:dyDescent="0.25">
      <c r="A5528" s="1"/>
      <c r="B5528" s="1" t="s">
        <v>4202</v>
      </c>
      <c r="C5528" s="1" t="s">
        <v>4203</v>
      </c>
      <c r="D5528" s="22" t="str">
        <f>HYPERLINK("https://rhld.insurance.arkansas.gov/NPILookup?Npi=1316230816","1316230816")</f>
        <v>1316230816</v>
      </c>
      <c r="E5528" s="1" t="s">
        <v>17410</v>
      </c>
      <c r="F5528" s="2"/>
      <c r="G5528" s="2"/>
      <c r="H5528" s="2"/>
    </row>
    <row r="5529" spans="1:8" x14ac:dyDescent="0.25">
      <c r="A5529" s="1"/>
      <c r="B5529" s="1" t="s">
        <v>4202</v>
      </c>
      <c r="C5529" s="1" t="s">
        <v>4203</v>
      </c>
      <c r="D5529" s="22" t="str">
        <f>HYPERLINK("https://rhld.insurance.arkansas.gov/NPILookup?Npi=1316352099","1316352099")</f>
        <v>1316352099</v>
      </c>
      <c r="E5529" s="1" t="s">
        <v>17411</v>
      </c>
      <c r="F5529" s="2"/>
      <c r="G5529" s="2"/>
      <c r="H5529" s="2"/>
    </row>
    <row r="5530" spans="1:8" x14ac:dyDescent="0.25">
      <c r="A5530" s="1"/>
      <c r="B5530" s="1" t="s">
        <v>4202</v>
      </c>
      <c r="C5530" s="1" t="s">
        <v>4203</v>
      </c>
      <c r="D5530" s="22" t="str">
        <f>HYPERLINK("https://rhld.insurance.arkansas.gov/NPILookup?Npi=1316948003","1316948003")</f>
        <v>1316948003</v>
      </c>
      <c r="E5530" s="1" t="s">
        <v>10281</v>
      </c>
      <c r="F5530" s="2"/>
      <c r="G5530" s="2"/>
      <c r="H5530" s="2"/>
    </row>
    <row r="5531" spans="1:8" x14ac:dyDescent="0.25">
      <c r="A5531" s="1"/>
      <c r="B5531" s="1" t="s">
        <v>4202</v>
      </c>
      <c r="C5531" s="1" t="s">
        <v>4203</v>
      </c>
      <c r="D5531" s="22" t="str">
        <f>HYPERLINK("https://rhld.insurance.arkansas.gov/NPILookup?Npi=1316973233","1316973233")</f>
        <v>1316973233</v>
      </c>
      <c r="E5531" s="1" t="s">
        <v>17413</v>
      </c>
      <c r="F5531" s="2"/>
      <c r="G5531" s="2"/>
      <c r="H5531" s="2"/>
    </row>
    <row r="5532" spans="1:8" x14ac:dyDescent="0.25">
      <c r="A5532" s="1"/>
      <c r="B5532" s="1" t="s">
        <v>4202</v>
      </c>
      <c r="C5532" s="1" t="s">
        <v>4203</v>
      </c>
      <c r="D5532" s="22" t="str">
        <f>HYPERLINK("https://rhld.insurance.arkansas.gov/NPILookup?Npi=1316989536","1316989536")</f>
        <v>1316989536</v>
      </c>
      <c r="E5532" s="1" t="s">
        <v>17414</v>
      </c>
      <c r="F5532" s="2"/>
      <c r="G5532" s="2"/>
      <c r="H5532" s="2"/>
    </row>
    <row r="5533" spans="1:8" x14ac:dyDescent="0.25">
      <c r="A5533" s="1"/>
      <c r="B5533" s="1" t="s">
        <v>4202</v>
      </c>
      <c r="C5533" s="1" t="s">
        <v>4203</v>
      </c>
      <c r="D5533" s="22" t="str">
        <f>HYPERLINK("https://rhld.insurance.arkansas.gov/NPILookup?Npi=1326076407","1326076407")</f>
        <v>1326076407</v>
      </c>
      <c r="E5533" s="1" t="s">
        <v>17416</v>
      </c>
      <c r="F5533" s="2"/>
      <c r="G5533" s="2"/>
      <c r="H5533" s="2"/>
    </row>
    <row r="5534" spans="1:8" x14ac:dyDescent="0.25">
      <c r="A5534" s="1"/>
      <c r="B5534" s="1" t="s">
        <v>4202</v>
      </c>
      <c r="C5534" s="1" t="s">
        <v>4203</v>
      </c>
      <c r="D5534" s="22" t="str">
        <f>HYPERLINK("https://rhld.insurance.arkansas.gov/NPILookup?Npi=1326088030","1326088030")</f>
        <v>1326088030</v>
      </c>
      <c r="E5534" s="1" t="s">
        <v>4333</v>
      </c>
      <c r="F5534" s="2"/>
      <c r="G5534" s="2"/>
      <c r="H5534" s="2"/>
    </row>
    <row r="5535" spans="1:8" x14ac:dyDescent="0.25">
      <c r="A5535" s="1"/>
      <c r="B5535" s="1" t="s">
        <v>4202</v>
      </c>
      <c r="C5535" s="1" t="s">
        <v>4203</v>
      </c>
      <c r="D5535" s="22" t="str">
        <f>HYPERLINK("https://rhld.insurance.arkansas.gov/NPILookup?Npi=1326093865","1326093865")</f>
        <v>1326093865</v>
      </c>
      <c r="E5535" s="1" t="s">
        <v>4334</v>
      </c>
      <c r="F5535" s="2"/>
      <c r="G5535" s="2"/>
      <c r="H5535" s="2"/>
    </row>
    <row r="5536" spans="1:8" x14ac:dyDescent="0.25">
      <c r="A5536" s="1"/>
      <c r="B5536" s="1" t="s">
        <v>4202</v>
      </c>
      <c r="C5536" s="1" t="s">
        <v>4203</v>
      </c>
      <c r="D5536" s="22" t="str">
        <f>HYPERLINK("https://rhld.insurance.arkansas.gov/NPILookup?Npi=1326138983","1326138983")</f>
        <v>1326138983</v>
      </c>
      <c r="E5536" s="1" t="s">
        <v>17417</v>
      </c>
      <c r="F5536" s="2"/>
      <c r="G5536" s="2"/>
      <c r="H5536" s="2"/>
    </row>
    <row r="5537" spans="1:8" x14ac:dyDescent="0.25">
      <c r="A5537" s="1"/>
      <c r="B5537" s="1" t="s">
        <v>4202</v>
      </c>
      <c r="C5537" s="1" t="s">
        <v>4203</v>
      </c>
      <c r="D5537" s="22" t="str">
        <f>HYPERLINK("https://rhld.insurance.arkansas.gov/NPILookup?Npi=1326305483","1326305483")</f>
        <v>1326305483</v>
      </c>
      <c r="E5537" s="1" t="s">
        <v>17418</v>
      </c>
      <c r="F5537" s="2"/>
      <c r="G5537" s="2"/>
      <c r="H5537" s="2"/>
    </row>
    <row r="5538" spans="1:8" x14ac:dyDescent="0.25">
      <c r="A5538" s="1"/>
      <c r="B5538" s="1" t="s">
        <v>4202</v>
      </c>
      <c r="C5538" s="1" t="s">
        <v>4203</v>
      </c>
      <c r="D5538" s="22" t="str">
        <f>HYPERLINK("https://rhld.insurance.arkansas.gov/NPILookup?Npi=1326312604","1326312604")</f>
        <v>1326312604</v>
      </c>
      <c r="E5538" s="1" t="s">
        <v>4335</v>
      </c>
      <c r="F5538" s="2"/>
      <c r="G5538" s="2"/>
      <c r="H5538" s="2"/>
    </row>
    <row r="5539" spans="1:8" x14ac:dyDescent="0.25">
      <c r="A5539" s="1"/>
      <c r="B5539" s="1" t="s">
        <v>4202</v>
      </c>
      <c r="C5539" s="1" t="s">
        <v>4203</v>
      </c>
      <c r="D5539" s="22" t="str">
        <f>HYPERLINK("https://rhld.insurance.arkansas.gov/NPILookup?Npi=1326332040","1326332040")</f>
        <v>1326332040</v>
      </c>
      <c r="E5539" s="1" t="s">
        <v>17419</v>
      </c>
      <c r="F5539" s="2"/>
      <c r="G5539" s="2"/>
      <c r="H5539" s="2"/>
    </row>
    <row r="5540" spans="1:8" x14ac:dyDescent="0.25">
      <c r="A5540" s="1"/>
      <c r="B5540" s="1" t="s">
        <v>4202</v>
      </c>
      <c r="C5540" s="1" t="s">
        <v>4203</v>
      </c>
      <c r="D5540" s="22" t="str">
        <f>HYPERLINK("https://rhld.insurance.arkansas.gov/NPILookup?Npi=1326465691","1326465691")</f>
        <v>1326465691</v>
      </c>
      <c r="E5540" s="1" t="s">
        <v>17421</v>
      </c>
      <c r="F5540" s="2"/>
      <c r="G5540" s="2"/>
      <c r="H5540" s="2"/>
    </row>
    <row r="5541" spans="1:8" x14ac:dyDescent="0.25">
      <c r="A5541" s="1"/>
      <c r="B5541" s="1" t="s">
        <v>4202</v>
      </c>
      <c r="C5541" s="1" t="s">
        <v>4203</v>
      </c>
      <c r="D5541" s="22" t="str">
        <f>HYPERLINK("https://rhld.insurance.arkansas.gov/NPILookup?Npi=1326469438","1326469438")</f>
        <v>1326469438</v>
      </c>
      <c r="E5541" s="1" t="s">
        <v>6038</v>
      </c>
      <c r="F5541" s="2"/>
      <c r="G5541" s="2"/>
      <c r="H5541" s="2"/>
    </row>
    <row r="5542" spans="1:8" x14ac:dyDescent="0.25">
      <c r="A5542" s="1"/>
      <c r="B5542" s="1" t="s">
        <v>4202</v>
      </c>
      <c r="C5542" s="1" t="s">
        <v>4203</v>
      </c>
      <c r="D5542" s="22" t="str">
        <f>HYPERLINK("https://rhld.insurance.arkansas.gov/NPILookup?Npi=1326507187","1326507187")</f>
        <v>1326507187</v>
      </c>
      <c r="E5542" s="1" t="s">
        <v>17422</v>
      </c>
      <c r="F5542" s="2"/>
      <c r="G5542" s="2"/>
      <c r="H5542" s="2"/>
    </row>
    <row r="5543" spans="1:8" x14ac:dyDescent="0.25">
      <c r="A5543" s="1"/>
      <c r="B5543" s="1" t="s">
        <v>4202</v>
      </c>
      <c r="C5543" s="1" t="s">
        <v>4203</v>
      </c>
      <c r="D5543" s="22" t="str">
        <f>HYPERLINK("https://rhld.insurance.arkansas.gov/NPILookup?Npi=1326528282","1326528282")</f>
        <v>1326528282</v>
      </c>
      <c r="E5543" s="1" t="s">
        <v>17423</v>
      </c>
      <c r="F5543" s="2"/>
      <c r="G5543" s="2"/>
      <c r="H5543" s="2"/>
    </row>
    <row r="5544" spans="1:8" x14ac:dyDescent="0.25">
      <c r="A5544" s="1"/>
      <c r="B5544" s="1" t="s">
        <v>4202</v>
      </c>
      <c r="C5544" s="1" t="s">
        <v>4203</v>
      </c>
      <c r="D5544" s="22" t="str">
        <f>HYPERLINK("https://rhld.insurance.arkansas.gov/NPILookup?Npi=1326667718","1326667718")</f>
        <v>1326667718</v>
      </c>
      <c r="E5544" s="1" t="s">
        <v>17426</v>
      </c>
      <c r="F5544" s="2"/>
      <c r="G5544" s="2"/>
      <c r="H5544" s="2"/>
    </row>
    <row r="5545" spans="1:8" x14ac:dyDescent="0.25">
      <c r="A5545" s="1"/>
      <c r="B5545" s="1" t="s">
        <v>4202</v>
      </c>
      <c r="C5545" s="1" t="s">
        <v>4203</v>
      </c>
      <c r="D5545" s="22" t="str">
        <f>HYPERLINK("https://rhld.insurance.arkansas.gov/NPILookup?Npi=1336120682","1336120682")</f>
        <v>1336120682</v>
      </c>
      <c r="E5545" s="1" t="s">
        <v>17429</v>
      </c>
      <c r="F5545" s="2"/>
      <c r="G5545" s="2"/>
      <c r="H5545" s="2"/>
    </row>
    <row r="5546" spans="1:8" x14ac:dyDescent="0.25">
      <c r="A5546" s="1"/>
      <c r="B5546" s="1" t="s">
        <v>4202</v>
      </c>
      <c r="C5546" s="1" t="s">
        <v>4203</v>
      </c>
      <c r="D5546" s="22" t="str">
        <f>HYPERLINK("https://rhld.insurance.arkansas.gov/NPILookup?Npi=1336122647","1336122647")</f>
        <v>1336122647</v>
      </c>
      <c r="E5546" s="1" t="s">
        <v>17430</v>
      </c>
      <c r="F5546" s="2"/>
      <c r="G5546" s="2"/>
      <c r="H5546" s="2"/>
    </row>
    <row r="5547" spans="1:8" x14ac:dyDescent="0.25">
      <c r="A5547" s="1"/>
      <c r="B5547" s="1" t="s">
        <v>4202</v>
      </c>
      <c r="C5547" s="1" t="s">
        <v>4203</v>
      </c>
      <c r="D5547" s="22" t="str">
        <f>HYPERLINK("https://rhld.insurance.arkansas.gov/NPILookup?Npi=1336164144","1336164144")</f>
        <v>1336164144</v>
      </c>
      <c r="E5547" s="1" t="s">
        <v>17431</v>
      </c>
      <c r="F5547" s="2"/>
      <c r="G5547" s="2"/>
      <c r="H5547" s="2"/>
    </row>
    <row r="5548" spans="1:8" x14ac:dyDescent="0.25">
      <c r="A5548" s="1"/>
      <c r="B5548" s="1" t="s">
        <v>4202</v>
      </c>
      <c r="C5548" s="1" t="s">
        <v>4203</v>
      </c>
      <c r="D5548" s="22" t="str">
        <f>HYPERLINK("https://rhld.insurance.arkansas.gov/NPILookup?Npi=1336168095","1336168095")</f>
        <v>1336168095</v>
      </c>
      <c r="E5548" s="1" t="s">
        <v>10283</v>
      </c>
      <c r="F5548" s="2"/>
      <c r="G5548" s="2"/>
      <c r="H5548" s="2"/>
    </row>
    <row r="5549" spans="1:8" x14ac:dyDescent="0.25">
      <c r="A5549" s="1"/>
      <c r="B5549" s="1" t="s">
        <v>4202</v>
      </c>
      <c r="C5549" s="1" t="s">
        <v>4203</v>
      </c>
      <c r="D5549" s="22" t="str">
        <f>HYPERLINK("https://rhld.insurance.arkansas.gov/NPILookup?Npi=1336203348","1336203348")</f>
        <v>1336203348</v>
      </c>
      <c r="E5549" s="1" t="s">
        <v>17432</v>
      </c>
      <c r="F5549" s="2"/>
      <c r="G5549" s="2"/>
      <c r="H5549" s="2"/>
    </row>
    <row r="5550" spans="1:8" x14ac:dyDescent="0.25">
      <c r="A5550" s="1"/>
      <c r="B5550" s="1" t="s">
        <v>4202</v>
      </c>
      <c r="C5550" s="1" t="s">
        <v>4203</v>
      </c>
      <c r="D5550" s="22" t="str">
        <f>HYPERLINK("https://rhld.insurance.arkansas.gov/NPILookup?Npi=1336251891","1336251891")</f>
        <v>1336251891</v>
      </c>
      <c r="E5550" s="1" t="s">
        <v>17433</v>
      </c>
      <c r="F5550" s="2"/>
      <c r="G5550" s="2"/>
      <c r="H5550" s="2"/>
    </row>
    <row r="5551" spans="1:8" x14ac:dyDescent="0.25">
      <c r="A5551" s="1"/>
      <c r="B5551" s="1" t="s">
        <v>4202</v>
      </c>
      <c r="C5551" s="1" t="s">
        <v>4203</v>
      </c>
      <c r="D5551" s="22" t="str">
        <f>HYPERLINK("https://rhld.insurance.arkansas.gov/NPILookup?Npi=1336286533","1336286533")</f>
        <v>1336286533</v>
      </c>
      <c r="E5551" s="1" t="s">
        <v>17434</v>
      </c>
      <c r="F5551" s="2"/>
      <c r="G5551" s="2"/>
      <c r="H5551" s="2"/>
    </row>
    <row r="5552" spans="1:8" x14ac:dyDescent="0.25">
      <c r="A5552" s="1"/>
      <c r="B5552" s="1" t="s">
        <v>4202</v>
      </c>
      <c r="C5552" s="1" t="s">
        <v>4203</v>
      </c>
      <c r="D5552" s="22" t="str">
        <f>HYPERLINK("https://rhld.insurance.arkansas.gov/NPILookup?Npi=1336375724","1336375724")</f>
        <v>1336375724</v>
      </c>
      <c r="E5552" s="1" t="s">
        <v>4337</v>
      </c>
      <c r="F5552" s="2"/>
      <c r="G5552" s="2"/>
      <c r="H5552" s="2"/>
    </row>
    <row r="5553" spans="1:8" x14ac:dyDescent="0.25">
      <c r="A5553" s="1"/>
      <c r="B5553" s="1" t="s">
        <v>4202</v>
      </c>
      <c r="C5553" s="1" t="s">
        <v>4203</v>
      </c>
      <c r="D5553" s="22" t="str">
        <f>HYPERLINK("https://rhld.insurance.arkansas.gov/NPILookup?Npi=1336378462","1336378462")</f>
        <v>1336378462</v>
      </c>
      <c r="E5553" s="1" t="s">
        <v>17435</v>
      </c>
      <c r="F5553" s="2"/>
      <c r="G5553" s="2"/>
      <c r="H5553" s="2"/>
    </row>
    <row r="5554" spans="1:8" x14ac:dyDescent="0.25">
      <c r="A5554" s="1"/>
      <c r="B5554" s="1" t="s">
        <v>4202</v>
      </c>
      <c r="C5554" s="1" t="s">
        <v>4203</v>
      </c>
      <c r="D5554" s="22" t="str">
        <f>HYPERLINK("https://rhld.insurance.arkansas.gov/NPILookup?Npi=1336382548","1336382548")</f>
        <v>1336382548</v>
      </c>
      <c r="E5554" s="1" t="s">
        <v>17436</v>
      </c>
      <c r="F5554" s="2"/>
      <c r="G5554" s="2"/>
      <c r="H5554" s="2"/>
    </row>
    <row r="5555" spans="1:8" x14ac:dyDescent="0.25">
      <c r="A5555" s="1"/>
      <c r="B5555" s="1" t="s">
        <v>4202</v>
      </c>
      <c r="C5555" s="1" t="s">
        <v>4203</v>
      </c>
      <c r="D5555" s="22" t="str">
        <f>HYPERLINK("https://rhld.insurance.arkansas.gov/NPILookup?Npi=1336438027","1336438027")</f>
        <v>1336438027</v>
      </c>
      <c r="E5555" s="1" t="s">
        <v>17437</v>
      </c>
      <c r="F5555" s="2"/>
      <c r="G5555" s="2"/>
      <c r="H5555" s="2"/>
    </row>
    <row r="5556" spans="1:8" x14ac:dyDescent="0.25">
      <c r="A5556" s="1"/>
      <c r="B5556" s="1" t="s">
        <v>4202</v>
      </c>
      <c r="C5556" s="1" t="s">
        <v>4203</v>
      </c>
      <c r="D5556" s="22" t="str">
        <f>HYPERLINK("https://rhld.insurance.arkansas.gov/NPILookup?Npi=1336439173","1336439173")</f>
        <v>1336439173</v>
      </c>
      <c r="E5556" s="1" t="s">
        <v>2039</v>
      </c>
      <c r="F5556" s="2"/>
      <c r="G5556" s="2"/>
      <c r="H5556" s="2"/>
    </row>
    <row r="5557" spans="1:8" x14ac:dyDescent="0.25">
      <c r="A5557" s="1"/>
      <c r="B5557" s="1" t="s">
        <v>4202</v>
      </c>
      <c r="C5557" s="1" t="s">
        <v>4203</v>
      </c>
      <c r="D5557" s="22" t="str">
        <f>HYPERLINK("https://rhld.insurance.arkansas.gov/NPILookup?Npi=1336441419","1336441419")</f>
        <v>1336441419</v>
      </c>
      <c r="E5557" s="1" t="s">
        <v>17438</v>
      </c>
      <c r="F5557" s="2"/>
      <c r="G5557" s="2"/>
      <c r="H5557" s="2"/>
    </row>
    <row r="5558" spans="1:8" x14ac:dyDescent="0.25">
      <c r="A5558" s="1"/>
      <c r="B5558" s="1" t="s">
        <v>4202</v>
      </c>
      <c r="C5558" s="1" t="s">
        <v>4203</v>
      </c>
      <c r="D5558" s="22" t="str">
        <f>HYPERLINK("https://rhld.insurance.arkansas.gov/NPILookup?Npi=1336554641","1336554641")</f>
        <v>1336554641</v>
      </c>
      <c r="E5558" s="1" t="s">
        <v>17439</v>
      </c>
      <c r="F5558" s="2"/>
      <c r="G5558" s="2"/>
      <c r="H5558" s="2"/>
    </row>
    <row r="5559" spans="1:8" x14ac:dyDescent="0.25">
      <c r="A5559" s="1"/>
      <c r="B5559" s="1" t="s">
        <v>4202</v>
      </c>
      <c r="C5559" s="1" t="s">
        <v>4203</v>
      </c>
      <c r="D5559" s="22" t="str">
        <f>HYPERLINK("https://rhld.insurance.arkansas.gov/NPILookup?Npi=1346232774","1346232774")</f>
        <v>1346232774</v>
      </c>
      <c r="E5559" s="1" t="s">
        <v>10285</v>
      </c>
      <c r="F5559" s="2"/>
      <c r="G5559" s="2"/>
      <c r="H5559" s="2"/>
    </row>
    <row r="5560" spans="1:8" x14ac:dyDescent="0.25">
      <c r="A5560" s="1"/>
      <c r="B5560" s="1" t="s">
        <v>4202</v>
      </c>
      <c r="C5560" s="1" t="s">
        <v>4203</v>
      </c>
      <c r="D5560" s="22" t="str">
        <f>HYPERLINK("https://rhld.insurance.arkansas.gov/NPILookup?Npi=1346236072","1346236072")</f>
        <v>1346236072</v>
      </c>
      <c r="E5560" s="1" t="s">
        <v>10286</v>
      </c>
      <c r="F5560" s="2"/>
      <c r="G5560" s="2"/>
      <c r="H5560" s="2"/>
    </row>
    <row r="5561" spans="1:8" x14ac:dyDescent="0.25">
      <c r="A5561" s="1"/>
      <c r="B5561" s="1" t="s">
        <v>4202</v>
      </c>
      <c r="C5561" s="1" t="s">
        <v>4203</v>
      </c>
      <c r="D5561" s="22" t="str">
        <f>HYPERLINK("https://rhld.insurance.arkansas.gov/NPILookup?Npi=1346242203","1346242203")</f>
        <v>1346242203</v>
      </c>
      <c r="E5561" s="1" t="s">
        <v>17442</v>
      </c>
      <c r="F5561" s="2"/>
      <c r="G5561" s="2"/>
      <c r="H5561" s="2"/>
    </row>
    <row r="5562" spans="1:8" x14ac:dyDescent="0.25">
      <c r="A5562" s="1"/>
      <c r="B5562" s="1" t="s">
        <v>4202</v>
      </c>
      <c r="C5562" s="1" t="s">
        <v>4203</v>
      </c>
      <c r="D5562" s="22" t="str">
        <f>HYPERLINK("https://rhld.insurance.arkansas.gov/NPILookup?Npi=1346248838","1346248838")</f>
        <v>1346248838</v>
      </c>
      <c r="E5562" s="1" t="s">
        <v>17443</v>
      </c>
      <c r="F5562" s="2"/>
      <c r="G5562" s="2"/>
      <c r="H5562" s="2"/>
    </row>
    <row r="5563" spans="1:8" x14ac:dyDescent="0.25">
      <c r="A5563" s="1"/>
      <c r="B5563" s="1" t="s">
        <v>4202</v>
      </c>
      <c r="C5563" s="1" t="s">
        <v>4203</v>
      </c>
      <c r="D5563" s="22" t="str">
        <f>HYPERLINK("https://rhld.insurance.arkansas.gov/NPILookup?Npi=1346257623","1346257623")</f>
        <v>1346257623</v>
      </c>
      <c r="E5563" s="1" t="s">
        <v>17445</v>
      </c>
      <c r="F5563" s="2"/>
      <c r="G5563" s="2"/>
      <c r="H5563" s="2"/>
    </row>
    <row r="5564" spans="1:8" x14ac:dyDescent="0.25">
      <c r="A5564" s="1"/>
      <c r="B5564" s="1" t="s">
        <v>4202</v>
      </c>
      <c r="C5564" s="1" t="s">
        <v>4203</v>
      </c>
      <c r="D5564" s="22" t="str">
        <f>HYPERLINK("https://rhld.insurance.arkansas.gov/NPILookup?Npi=1346268786","1346268786")</f>
        <v>1346268786</v>
      </c>
      <c r="E5564" s="1" t="s">
        <v>17446</v>
      </c>
      <c r="F5564" s="2"/>
      <c r="G5564" s="2"/>
      <c r="H5564" s="2"/>
    </row>
    <row r="5565" spans="1:8" x14ac:dyDescent="0.25">
      <c r="A5565" s="1"/>
      <c r="B5565" s="1" t="s">
        <v>4202</v>
      </c>
      <c r="C5565" s="1" t="s">
        <v>4203</v>
      </c>
      <c r="D5565" s="22" t="str">
        <f>HYPERLINK("https://rhld.insurance.arkansas.gov/NPILookup?Npi=1346275302","1346275302")</f>
        <v>1346275302</v>
      </c>
      <c r="E5565" s="1" t="s">
        <v>4338</v>
      </c>
      <c r="F5565" s="2"/>
      <c r="G5565" s="2"/>
      <c r="H5565" s="2"/>
    </row>
    <row r="5566" spans="1:8" x14ac:dyDescent="0.25">
      <c r="A5566" s="1"/>
      <c r="B5566" s="1" t="s">
        <v>4202</v>
      </c>
      <c r="C5566" s="1" t="s">
        <v>4203</v>
      </c>
      <c r="D5566" s="22" t="str">
        <f>HYPERLINK("https://rhld.insurance.arkansas.gov/NPILookup?Npi=1346276441","1346276441")</f>
        <v>1346276441</v>
      </c>
      <c r="E5566" s="1" t="s">
        <v>2008</v>
      </c>
      <c r="F5566" s="2"/>
      <c r="G5566" s="2"/>
      <c r="H5566" s="2"/>
    </row>
    <row r="5567" spans="1:8" x14ac:dyDescent="0.25">
      <c r="A5567" s="1"/>
      <c r="B5567" s="1" t="s">
        <v>4202</v>
      </c>
      <c r="C5567" s="1" t="s">
        <v>4203</v>
      </c>
      <c r="D5567" s="22" t="str">
        <f>HYPERLINK("https://rhld.insurance.arkansas.gov/NPILookup?Npi=1346282274","1346282274")</f>
        <v>1346282274</v>
      </c>
      <c r="E5567" s="1" t="s">
        <v>4339</v>
      </c>
      <c r="F5567" s="2"/>
      <c r="G5567" s="2"/>
      <c r="H5567" s="2"/>
    </row>
    <row r="5568" spans="1:8" x14ac:dyDescent="0.25">
      <c r="A5568" s="1"/>
      <c r="B5568" s="1" t="s">
        <v>4202</v>
      </c>
      <c r="C5568" s="1" t="s">
        <v>4203</v>
      </c>
      <c r="D5568" s="22" t="str">
        <f>HYPERLINK("https://rhld.insurance.arkansas.gov/NPILookup?Npi=1346359478","1346359478")</f>
        <v>1346359478</v>
      </c>
      <c r="E5568" s="1" t="s">
        <v>17447</v>
      </c>
      <c r="F5568" s="2"/>
      <c r="G5568" s="2"/>
      <c r="H5568" s="2"/>
    </row>
    <row r="5569" spans="1:8" x14ac:dyDescent="0.25">
      <c r="A5569" s="1"/>
      <c r="B5569" s="1" t="s">
        <v>4202</v>
      </c>
      <c r="C5569" s="1" t="s">
        <v>4203</v>
      </c>
      <c r="D5569" s="22" t="str">
        <f>HYPERLINK("https://rhld.insurance.arkansas.gov/NPILookup?Npi=1346449048","1346449048")</f>
        <v>1346449048</v>
      </c>
      <c r="E5569" s="1" t="s">
        <v>998</v>
      </c>
      <c r="F5569" s="2"/>
      <c r="G5569" s="2"/>
      <c r="H5569" s="2"/>
    </row>
    <row r="5570" spans="1:8" x14ac:dyDescent="0.25">
      <c r="A5570" s="1"/>
      <c r="B5570" s="1" t="s">
        <v>4202</v>
      </c>
      <c r="C5570" s="1" t="s">
        <v>4203</v>
      </c>
      <c r="D5570" s="22" t="str">
        <f>HYPERLINK("https://rhld.insurance.arkansas.gov/NPILookup?Npi=1346650751","1346650751")</f>
        <v>1346650751</v>
      </c>
      <c r="E5570" s="1" t="s">
        <v>10288</v>
      </c>
      <c r="F5570" s="2"/>
      <c r="G5570" s="2"/>
      <c r="H5570" s="2"/>
    </row>
    <row r="5571" spans="1:8" x14ac:dyDescent="0.25">
      <c r="A5571" s="1"/>
      <c r="B5571" s="1" t="s">
        <v>4202</v>
      </c>
      <c r="C5571" s="1" t="s">
        <v>4203</v>
      </c>
      <c r="D5571" s="22" t="str">
        <f>HYPERLINK("https://rhld.insurance.arkansas.gov/NPILookup?Npi=1346655636","1346655636")</f>
        <v>1346655636</v>
      </c>
      <c r="E5571" s="1" t="s">
        <v>17448</v>
      </c>
      <c r="F5571" s="2"/>
      <c r="G5571" s="2"/>
      <c r="H5571" s="2"/>
    </row>
    <row r="5572" spans="1:8" x14ac:dyDescent="0.25">
      <c r="A5572" s="1"/>
      <c r="B5572" s="1" t="s">
        <v>4202</v>
      </c>
      <c r="C5572" s="1" t="s">
        <v>4203</v>
      </c>
      <c r="D5572" s="22" t="str">
        <f>HYPERLINK("https://rhld.insurance.arkansas.gov/NPILookup?Npi=1346816444","1346816444")</f>
        <v>1346816444</v>
      </c>
      <c r="E5572" s="1" t="s">
        <v>4340</v>
      </c>
      <c r="F5572" s="2"/>
      <c r="G5572" s="2"/>
      <c r="H5572" s="2"/>
    </row>
    <row r="5573" spans="1:8" x14ac:dyDescent="0.25">
      <c r="A5573" s="1"/>
      <c r="B5573" s="1" t="s">
        <v>4202</v>
      </c>
      <c r="C5573" s="1" t="s">
        <v>4203</v>
      </c>
      <c r="D5573" s="22" t="str">
        <f>HYPERLINK("https://rhld.insurance.arkansas.gov/NPILookup?Npi=1346828308","1346828308")</f>
        <v>1346828308</v>
      </c>
      <c r="E5573" s="1" t="s">
        <v>10289</v>
      </c>
      <c r="F5573" s="2"/>
      <c r="G5573" s="2"/>
      <c r="H5573" s="2"/>
    </row>
    <row r="5574" spans="1:8" x14ac:dyDescent="0.25">
      <c r="A5574" s="1"/>
      <c r="B5574" s="1" t="s">
        <v>4202</v>
      </c>
      <c r="C5574" s="1" t="s">
        <v>4203</v>
      </c>
      <c r="D5574" s="22" t="str">
        <f>HYPERLINK("https://rhld.insurance.arkansas.gov/NPILookup?Npi=1356305684","1356305684")</f>
        <v>1356305684</v>
      </c>
      <c r="E5574" s="1" t="s">
        <v>17450</v>
      </c>
      <c r="F5574" s="2"/>
      <c r="G5574" s="2"/>
      <c r="H5574" s="2"/>
    </row>
    <row r="5575" spans="1:8" x14ac:dyDescent="0.25">
      <c r="A5575" s="1"/>
      <c r="B5575" s="1" t="s">
        <v>4202</v>
      </c>
      <c r="C5575" s="1" t="s">
        <v>4203</v>
      </c>
      <c r="D5575" s="22" t="str">
        <f>HYPERLINK("https://rhld.insurance.arkansas.gov/NPILookup?Npi=1356327878","1356327878")</f>
        <v>1356327878</v>
      </c>
      <c r="E5575" s="1" t="s">
        <v>17451</v>
      </c>
      <c r="F5575" s="2"/>
      <c r="G5575" s="2"/>
      <c r="H5575" s="2"/>
    </row>
    <row r="5576" spans="1:8" x14ac:dyDescent="0.25">
      <c r="A5576" s="1"/>
      <c r="B5576" s="1" t="s">
        <v>4202</v>
      </c>
      <c r="C5576" s="1" t="s">
        <v>4203</v>
      </c>
      <c r="D5576" s="22" t="str">
        <f>HYPERLINK("https://rhld.insurance.arkansas.gov/NPILookup?Npi=1356330005","1356330005")</f>
        <v>1356330005</v>
      </c>
      <c r="E5576" s="1" t="s">
        <v>17452</v>
      </c>
      <c r="F5576" s="2"/>
      <c r="G5576" s="2"/>
      <c r="H5576" s="2"/>
    </row>
    <row r="5577" spans="1:8" x14ac:dyDescent="0.25">
      <c r="A5577" s="1"/>
      <c r="B5577" s="1" t="s">
        <v>4202</v>
      </c>
      <c r="C5577" s="1" t="s">
        <v>4203</v>
      </c>
      <c r="D5577" s="22" t="str">
        <f>HYPERLINK("https://rhld.insurance.arkansas.gov/NPILookup?Npi=1356332555","1356332555")</f>
        <v>1356332555</v>
      </c>
      <c r="E5577" s="1" t="s">
        <v>4343</v>
      </c>
      <c r="F5577" s="2"/>
      <c r="G5577" s="2"/>
      <c r="H5577" s="2"/>
    </row>
    <row r="5578" spans="1:8" x14ac:dyDescent="0.25">
      <c r="A5578" s="1"/>
      <c r="B5578" s="1" t="s">
        <v>4202</v>
      </c>
      <c r="C5578" s="1" t="s">
        <v>4203</v>
      </c>
      <c r="D5578" s="22" t="str">
        <f>HYPERLINK("https://rhld.insurance.arkansas.gov/NPILookup?Npi=1356338131","1356338131")</f>
        <v>1356338131</v>
      </c>
      <c r="E5578" s="1" t="s">
        <v>10290</v>
      </c>
      <c r="F5578" s="2"/>
      <c r="G5578" s="2"/>
      <c r="H5578" s="2"/>
    </row>
    <row r="5579" spans="1:8" x14ac:dyDescent="0.25">
      <c r="A5579" s="1"/>
      <c r="B5579" s="1" t="s">
        <v>4202</v>
      </c>
      <c r="C5579" s="1" t="s">
        <v>4203</v>
      </c>
      <c r="D5579" s="22" t="str">
        <f>HYPERLINK("https://rhld.insurance.arkansas.gov/NPILookup?Npi=1356347207","1356347207")</f>
        <v>1356347207</v>
      </c>
      <c r="E5579" s="1" t="s">
        <v>1766</v>
      </c>
      <c r="F5579" s="2"/>
      <c r="G5579" s="2"/>
      <c r="H5579" s="2"/>
    </row>
    <row r="5580" spans="1:8" x14ac:dyDescent="0.25">
      <c r="A5580" s="1"/>
      <c r="B5580" s="1" t="s">
        <v>4202</v>
      </c>
      <c r="C5580" s="1" t="s">
        <v>4203</v>
      </c>
      <c r="D5580" s="22" t="str">
        <f>HYPERLINK("https://rhld.insurance.arkansas.gov/NPILookup?Npi=1356368815","1356368815")</f>
        <v>1356368815</v>
      </c>
      <c r="E5580" s="1" t="s">
        <v>17453</v>
      </c>
      <c r="F5580" s="2"/>
      <c r="G5580" s="2"/>
      <c r="H5580" s="2"/>
    </row>
    <row r="5581" spans="1:8" x14ac:dyDescent="0.25">
      <c r="A5581" s="1"/>
      <c r="B5581" s="1" t="s">
        <v>4202</v>
      </c>
      <c r="C5581" s="1" t="s">
        <v>4203</v>
      </c>
      <c r="D5581" s="22" t="str">
        <f>HYPERLINK("https://rhld.insurance.arkansas.gov/NPILookup?Npi=1356371272","1356371272")</f>
        <v>1356371272</v>
      </c>
      <c r="E5581" s="1" t="s">
        <v>31432</v>
      </c>
      <c r="F5581" s="2"/>
      <c r="G5581" s="2"/>
      <c r="H5581" s="2"/>
    </row>
    <row r="5582" spans="1:8" x14ac:dyDescent="0.25">
      <c r="A5582" s="1"/>
      <c r="B5582" s="1" t="s">
        <v>4202</v>
      </c>
      <c r="C5582" s="1" t="s">
        <v>4203</v>
      </c>
      <c r="D5582" s="22" t="str">
        <f>HYPERLINK("https://rhld.insurance.arkansas.gov/NPILookup?Npi=1356380521","1356380521")</f>
        <v>1356380521</v>
      </c>
      <c r="E5582" s="1" t="s">
        <v>17454</v>
      </c>
      <c r="F5582" s="2"/>
      <c r="G5582" s="2"/>
      <c r="H5582" s="2"/>
    </row>
    <row r="5583" spans="1:8" x14ac:dyDescent="0.25">
      <c r="A5583" s="1"/>
      <c r="B5583" s="1" t="s">
        <v>4202</v>
      </c>
      <c r="C5583" s="1" t="s">
        <v>4203</v>
      </c>
      <c r="D5583" s="22" t="str">
        <f>HYPERLINK("https://rhld.insurance.arkansas.gov/NPILookup?Npi=1356386528","1356386528")</f>
        <v>1356386528</v>
      </c>
      <c r="E5583" s="1" t="s">
        <v>5757</v>
      </c>
      <c r="F5583" s="2"/>
      <c r="G5583" s="2"/>
      <c r="H5583" s="2"/>
    </row>
    <row r="5584" spans="1:8" x14ac:dyDescent="0.25">
      <c r="A5584" s="1"/>
      <c r="B5584" s="1" t="s">
        <v>4202</v>
      </c>
      <c r="C5584" s="1" t="s">
        <v>4203</v>
      </c>
      <c r="D5584" s="22" t="str">
        <f>HYPERLINK("https://rhld.insurance.arkansas.gov/NPILookup?Npi=1356413702","1356413702")</f>
        <v>1356413702</v>
      </c>
      <c r="E5584" s="1" t="s">
        <v>17455</v>
      </c>
      <c r="F5584" s="2"/>
      <c r="G5584" s="2"/>
      <c r="H5584" s="2"/>
    </row>
    <row r="5585" spans="1:8" x14ac:dyDescent="0.25">
      <c r="A5585" s="1"/>
      <c r="B5585" s="1" t="s">
        <v>4202</v>
      </c>
      <c r="C5585" s="1" t="s">
        <v>4203</v>
      </c>
      <c r="D5585" s="22" t="str">
        <f>HYPERLINK("https://rhld.insurance.arkansas.gov/NPILookup?Npi=1356431910","1356431910")</f>
        <v>1356431910</v>
      </c>
      <c r="E5585" s="1" t="s">
        <v>17456</v>
      </c>
      <c r="F5585" s="2"/>
      <c r="G5585" s="2"/>
      <c r="H5585" s="2"/>
    </row>
    <row r="5586" spans="1:8" x14ac:dyDescent="0.25">
      <c r="A5586" s="1"/>
      <c r="B5586" s="1" t="s">
        <v>4202</v>
      </c>
      <c r="C5586" s="1" t="s">
        <v>4203</v>
      </c>
      <c r="D5586" s="22" t="str">
        <f>HYPERLINK("https://rhld.insurance.arkansas.gov/NPILookup?Npi=1356439681","1356439681")</f>
        <v>1356439681</v>
      </c>
      <c r="E5586" s="1" t="s">
        <v>17458</v>
      </c>
      <c r="F5586" s="2"/>
      <c r="G5586" s="2"/>
      <c r="H5586" s="2"/>
    </row>
    <row r="5587" spans="1:8" x14ac:dyDescent="0.25">
      <c r="A5587" s="1"/>
      <c r="B5587" s="1" t="s">
        <v>4202</v>
      </c>
      <c r="C5587" s="1" t="s">
        <v>4203</v>
      </c>
      <c r="D5587" s="22" t="str">
        <f>HYPERLINK("https://rhld.insurance.arkansas.gov/NPILookup?Npi=1356603674","1356603674")</f>
        <v>1356603674</v>
      </c>
      <c r="E5587" s="1" t="s">
        <v>17459</v>
      </c>
      <c r="F5587" s="2"/>
      <c r="G5587" s="2"/>
      <c r="H5587" s="2"/>
    </row>
    <row r="5588" spans="1:8" x14ac:dyDescent="0.25">
      <c r="A5588" s="1"/>
      <c r="B5588" s="1" t="s">
        <v>4202</v>
      </c>
      <c r="C5588" s="1" t="s">
        <v>4203</v>
      </c>
      <c r="D5588" s="22" t="str">
        <f>HYPERLINK("https://rhld.insurance.arkansas.gov/NPILookup?Npi=1356608475","1356608475")</f>
        <v>1356608475</v>
      </c>
      <c r="E5588" s="1" t="s">
        <v>10291</v>
      </c>
      <c r="F5588" s="2"/>
      <c r="G5588" s="2"/>
      <c r="H5588" s="2"/>
    </row>
    <row r="5589" spans="1:8" x14ac:dyDescent="0.25">
      <c r="A5589" s="1"/>
      <c r="B5589" s="1" t="s">
        <v>4202</v>
      </c>
      <c r="C5589" s="1" t="s">
        <v>4203</v>
      </c>
      <c r="D5589" s="22" t="str">
        <f>HYPERLINK("https://rhld.insurance.arkansas.gov/NPILookup?Npi=1356633549","1356633549")</f>
        <v>1356633549</v>
      </c>
      <c r="E5589" s="1" t="s">
        <v>10292</v>
      </c>
      <c r="F5589" s="2"/>
      <c r="G5589" s="2"/>
      <c r="H5589" s="2"/>
    </row>
    <row r="5590" spans="1:8" x14ac:dyDescent="0.25">
      <c r="A5590" s="1"/>
      <c r="B5590" s="1" t="s">
        <v>4202</v>
      </c>
      <c r="C5590" s="1" t="s">
        <v>4203</v>
      </c>
      <c r="D5590" s="22" t="str">
        <f>HYPERLINK("https://rhld.insurance.arkansas.gov/NPILookup?Npi=1366424673","1366424673")</f>
        <v>1366424673</v>
      </c>
      <c r="E5590" s="1" t="s">
        <v>4344</v>
      </c>
      <c r="F5590" s="2"/>
      <c r="G5590" s="2"/>
      <c r="H5590" s="2"/>
    </row>
    <row r="5591" spans="1:8" x14ac:dyDescent="0.25">
      <c r="A5591" s="1"/>
      <c r="B5591" s="1" t="s">
        <v>4202</v>
      </c>
      <c r="C5591" s="1" t="s">
        <v>4203</v>
      </c>
      <c r="D5591" s="22" t="str">
        <f>HYPERLINK("https://rhld.insurance.arkansas.gov/NPILookup?Npi=1366490302","1366490302")</f>
        <v>1366490302</v>
      </c>
      <c r="E5591" s="1" t="s">
        <v>4345</v>
      </c>
      <c r="F5591" s="2"/>
      <c r="G5591" s="2"/>
      <c r="H5591" s="2"/>
    </row>
    <row r="5592" spans="1:8" x14ac:dyDescent="0.25">
      <c r="A5592" s="1"/>
      <c r="B5592" s="1" t="s">
        <v>4202</v>
      </c>
      <c r="C5592" s="1" t="s">
        <v>4203</v>
      </c>
      <c r="D5592" s="22" t="str">
        <f>HYPERLINK("https://rhld.insurance.arkansas.gov/NPILookup?Npi=1366501827","1366501827")</f>
        <v>1366501827</v>
      </c>
      <c r="E5592" s="1" t="s">
        <v>17464</v>
      </c>
      <c r="F5592" s="2"/>
      <c r="G5592" s="2"/>
      <c r="H5592" s="2"/>
    </row>
    <row r="5593" spans="1:8" x14ac:dyDescent="0.25">
      <c r="A5593" s="1"/>
      <c r="B5593" s="1" t="s">
        <v>4202</v>
      </c>
      <c r="C5593" s="1" t="s">
        <v>4203</v>
      </c>
      <c r="D5593" s="22" t="str">
        <f>HYPERLINK("https://rhld.insurance.arkansas.gov/NPILookup?Npi=1366541070","1366541070")</f>
        <v>1366541070</v>
      </c>
      <c r="E5593" s="1" t="s">
        <v>17465</v>
      </c>
      <c r="F5593" s="2"/>
      <c r="G5593" s="2"/>
      <c r="H5593" s="2"/>
    </row>
    <row r="5594" spans="1:8" x14ac:dyDescent="0.25">
      <c r="A5594" s="1"/>
      <c r="B5594" s="1" t="s">
        <v>4202</v>
      </c>
      <c r="C5594" s="1" t="s">
        <v>4203</v>
      </c>
      <c r="D5594" s="22" t="str">
        <f>HYPERLINK("https://rhld.insurance.arkansas.gov/NPILookup?Npi=1366718553","1366718553")</f>
        <v>1366718553</v>
      </c>
      <c r="E5594" s="1" t="s">
        <v>17466</v>
      </c>
      <c r="F5594" s="2"/>
      <c r="G5594" s="2"/>
      <c r="H5594" s="2"/>
    </row>
    <row r="5595" spans="1:8" x14ac:dyDescent="0.25">
      <c r="A5595" s="1"/>
      <c r="B5595" s="1" t="s">
        <v>4202</v>
      </c>
      <c r="C5595" s="1" t="s">
        <v>4203</v>
      </c>
      <c r="D5595" s="22" t="str">
        <f>HYPERLINK("https://rhld.insurance.arkansas.gov/NPILookup?Npi=1366962193","1366962193")</f>
        <v>1366962193</v>
      </c>
      <c r="E5595" s="1" t="s">
        <v>4347</v>
      </c>
      <c r="F5595" s="2"/>
      <c r="G5595" s="2"/>
      <c r="H5595" s="2"/>
    </row>
    <row r="5596" spans="1:8" x14ac:dyDescent="0.25">
      <c r="A5596" s="1"/>
      <c r="B5596" s="1" t="s">
        <v>4202</v>
      </c>
      <c r="C5596" s="1" t="s">
        <v>4203</v>
      </c>
      <c r="D5596" s="22" t="str">
        <f>HYPERLINK("https://rhld.insurance.arkansas.gov/NPILookup?Npi=1366973786","1366973786")</f>
        <v>1366973786</v>
      </c>
      <c r="E5596" s="1" t="s">
        <v>31433</v>
      </c>
      <c r="F5596" s="2"/>
      <c r="G5596" s="2"/>
      <c r="H5596" s="2"/>
    </row>
    <row r="5597" spans="1:8" x14ac:dyDescent="0.25">
      <c r="A5597" s="1"/>
      <c r="B5597" s="1" t="s">
        <v>4202</v>
      </c>
      <c r="C5597" s="1" t="s">
        <v>4203</v>
      </c>
      <c r="D5597" s="22" t="str">
        <f>HYPERLINK("https://rhld.insurance.arkansas.gov/NPILookup?Npi=1366975922","1366975922")</f>
        <v>1366975922</v>
      </c>
      <c r="E5597" s="1" t="s">
        <v>17467</v>
      </c>
      <c r="F5597" s="2"/>
      <c r="G5597" s="2"/>
      <c r="H5597" s="2"/>
    </row>
    <row r="5598" spans="1:8" x14ac:dyDescent="0.25">
      <c r="A5598" s="1"/>
      <c r="B5598" s="1" t="s">
        <v>4202</v>
      </c>
      <c r="C5598" s="1" t="s">
        <v>4203</v>
      </c>
      <c r="D5598" s="22" t="str">
        <f>HYPERLINK("https://rhld.insurance.arkansas.gov/NPILookup?Npi=1376038877","1376038877")</f>
        <v>1376038877</v>
      </c>
      <c r="E5598" s="1" t="s">
        <v>2560</v>
      </c>
      <c r="F5598" s="2"/>
      <c r="G5598" s="2"/>
      <c r="H5598" s="2"/>
    </row>
    <row r="5599" spans="1:8" x14ac:dyDescent="0.25">
      <c r="A5599" s="1"/>
      <c r="B5599" s="1" t="s">
        <v>4202</v>
      </c>
      <c r="C5599" s="1" t="s">
        <v>4203</v>
      </c>
      <c r="D5599" s="22" t="str">
        <f>HYPERLINK("https://rhld.insurance.arkansas.gov/NPILookup?Npi=1376047167","1376047167")</f>
        <v>1376047167</v>
      </c>
      <c r="E5599" s="1" t="s">
        <v>4348</v>
      </c>
      <c r="F5599" s="2"/>
      <c r="G5599" s="2"/>
      <c r="H5599" s="2"/>
    </row>
    <row r="5600" spans="1:8" x14ac:dyDescent="0.25">
      <c r="A5600" s="1"/>
      <c r="B5600" s="1" t="s">
        <v>4202</v>
      </c>
      <c r="C5600" s="1" t="s">
        <v>4203</v>
      </c>
      <c r="D5600" s="22" t="str">
        <f>HYPERLINK("https://rhld.insurance.arkansas.gov/NPILookup?Npi=1376122358","1376122358")</f>
        <v>1376122358</v>
      </c>
      <c r="E5600" s="1" t="s">
        <v>31434</v>
      </c>
      <c r="F5600" s="2"/>
      <c r="G5600" s="2"/>
      <c r="H5600" s="2"/>
    </row>
    <row r="5601" spans="1:8" x14ac:dyDescent="0.25">
      <c r="A5601" s="1"/>
      <c r="B5601" s="1" t="s">
        <v>4202</v>
      </c>
      <c r="C5601" s="1" t="s">
        <v>4203</v>
      </c>
      <c r="D5601" s="22" t="str">
        <f>HYPERLINK("https://rhld.insurance.arkansas.gov/NPILookup?Npi=1376524215","1376524215")</f>
        <v>1376524215</v>
      </c>
      <c r="E5601" s="1" t="s">
        <v>17468</v>
      </c>
      <c r="F5601" s="2"/>
      <c r="G5601" s="2"/>
      <c r="H5601" s="2"/>
    </row>
    <row r="5602" spans="1:8" x14ac:dyDescent="0.25">
      <c r="A5602" s="1"/>
      <c r="B5602" s="1" t="s">
        <v>4202</v>
      </c>
      <c r="C5602" s="1" t="s">
        <v>4203</v>
      </c>
      <c r="D5602" s="22" t="str">
        <f>HYPERLINK("https://rhld.insurance.arkansas.gov/NPILookup?Npi=1376550640","1376550640")</f>
        <v>1376550640</v>
      </c>
      <c r="E5602" s="1" t="s">
        <v>17469</v>
      </c>
      <c r="F5602" s="2"/>
      <c r="G5602" s="2"/>
      <c r="H5602" s="2"/>
    </row>
    <row r="5603" spans="1:8" x14ac:dyDescent="0.25">
      <c r="A5603" s="1"/>
      <c r="B5603" s="1" t="s">
        <v>4202</v>
      </c>
      <c r="C5603" s="1" t="s">
        <v>4203</v>
      </c>
      <c r="D5603" s="22" t="str">
        <f>HYPERLINK("https://rhld.insurance.arkansas.gov/NPILookup?Npi=1376561647","1376561647")</f>
        <v>1376561647</v>
      </c>
      <c r="E5603" s="1" t="s">
        <v>17470</v>
      </c>
      <c r="F5603" s="2"/>
      <c r="G5603" s="2"/>
      <c r="H5603" s="2"/>
    </row>
    <row r="5604" spans="1:8" x14ac:dyDescent="0.25">
      <c r="A5604" s="1"/>
      <c r="B5604" s="1" t="s">
        <v>4202</v>
      </c>
      <c r="C5604" s="1" t="s">
        <v>4203</v>
      </c>
      <c r="D5604" s="22" t="str">
        <f>HYPERLINK("https://rhld.insurance.arkansas.gov/NPILookup?Npi=1376574921","1376574921")</f>
        <v>1376574921</v>
      </c>
      <c r="E5604" s="1" t="s">
        <v>17471</v>
      </c>
      <c r="F5604" s="2"/>
      <c r="G5604" s="2"/>
      <c r="H5604" s="2"/>
    </row>
    <row r="5605" spans="1:8" x14ac:dyDescent="0.25">
      <c r="A5605" s="1"/>
      <c r="B5605" s="1" t="s">
        <v>4202</v>
      </c>
      <c r="C5605" s="1" t="s">
        <v>4203</v>
      </c>
      <c r="D5605" s="22" t="str">
        <f>HYPERLINK("https://rhld.insurance.arkansas.gov/NPILookup?Npi=1376583393","1376583393")</f>
        <v>1376583393</v>
      </c>
      <c r="E5605" s="1" t="s">
        <v>31435</v>
      </c>
      <c r="F5605" s="2"/>
      <c r="G5605" s="2"/>
      <c r="H5605" s="2"/>
    </row>
    <row r="5606" spans="1:8" x14ac:dyDescent="0.25">
      <c r="A5606" s="1"/>
      <c r="B5606" s="1" t="s">
        <v>4202</v>
      </c>
      <c r="C5606" s="1" t="s">
        <v>4203</v>
      </c>
      <c r="D5606" s="22" t="str">
        <f>HYPERLINK("https://rhld.insurance.arkansas.gov/NPILookup?Npi=1376588210","1376588210")</f>
        <v>1376588210</v>
      </c>
      <c r="E5606" s="1" t="s">
        <v>2798</v>
      </c>
      <c r="F5606" s="2"/>
      <c r="G5606" s="2"/>
      <c r="H5606" s="2"/>
    </row>
    <row r="5607" spans="1:8" x14ac:dyDescent="0.25">
      <c r="A5607" s="1"/>
      <c r="B5607" s="1" t="s">
        <v>4202</v>
      </c>
      <c r="C5607" s="1" t="s">
        <v>4203</v>
      </c>
      <c r="D5607" s="22" t="str">
        <f>HYPERLINK("https://rhld.insurance.arkansas.gov/NPILookup?Npi=1376596981","1376596981")</f>
        <v>1376596981</v>
      </c>
      <c r="E5607" s="1" t="s">
        <v>17473</v>
      </c>
      <c r="F5607" s="2"/>
      <c r="G5607" s="2"/>
      <c r="H5607" s="2"/>
    </row>
    <row r="5608" spans="1:8" x14ac:dyDescent="0.25">
      <c r="A5608" s="1"/>
      <c r="B5608" s="1" t="s">
        <v>4202</v>
      </c>
      <c r="C5608" s="1" t="s">
        <v>4203</v>
      </c>
      <c r="D5608" s="22" t="str">
        <f>HYPERLINK("https://rhld.insurance.arkansas.gov/NPILookup?Npi=1376623744","1376623744")</f>
        <v>1376623744</v>
      </c>
      <c r="E5608" s="1" t="s">
        <v>10293</v>
      </c>
      <c r="F5608" s="2"/>
      <c r="G5608" s="2"/>
      <c r="H5608" s="2"/>
    </row>
    <row r="5609" spans="1:8" x14ac:dyDescent="0.25">
      <c r="A5609" s="1"/>
      <c r="B5609" s="1" t="s">
        <v>4202</v>
      </c>
      <c r="C5609" s="1" t="s">
        <v>4203</v>
      </c>
      <c r="D5609" s="22" t="str">
        <f>HYPERLINK("https://rhld.insurance.arkansas.gov/NPILookup?Npi=1376695098","1376695098")</f>
        <v>1376695098</v>
      </c>
      <c r="E5609" s="1" t="s">
        <v>17474</v>
      </c>
      <c r="F5609" s="2"/>
      <c r="G5609" s="2"/>
      <c r="H5609" s="2"/>
    </row>
    <row r="5610" spans="1:8" x14ac:dyDescent="0.25">
      <c r="A5610" s="1"/>
      <c r="B5610" s="1" t="s">
        <v>4202</v>
      </c>
      <c r="C5610" s="1" t="s">
        <v>4203</v>
      </c>
      <c r="D5610" s="22" t="str">
        <f>HYPERLINK("https://rhld.insurance.arkansas.gov/NPILookup?Npi=1376706614","1376706614")</f>
        <v>1376706614</v>
      </c>
      <c r="E5610" s="1" t="s">
        <v>17475</v>
      </c>
      <c r="F5610" s="2"/>
      <c r="G5610" s="2"/>
      <c r="H5610" s="2"/>
    </row>
    <row r="5611" spans="1:8" x14ac:dyDescent="0.25">
      <c r="A5611" s="1"/>
      <c r="B5611" s="1" t="s">
        <v>4202</v>
      </c>
      <c r="C5611" s="1" t="s">
        <v>4203</v>
      </c>
      <c r="D5611" s="22" t="str">
        <f>HYPERLINK("https://rhld.insurance.arkansas.gov/NPILookup?Npi=1376740092","1376740092")</f>
        <v>1376740092</v>
      </c>
      <c r="E5611" s="1" t="s">
        <v>31436</v>
      </c>
      <c r="F5611" s="2"/>
      <c r="G5611" s="2"/>
      <c r="H5611" s="2"/>
    </row>
    <row r="5612" spans="1:8" x14ac:dyDescent="0.25">
      <c r="A5612" s="1"/>
      <c r="B5612" s="1" t="s">
        <v>4202</v>
      </c>
      <c r="C5612" s="1" t="s">
        <v>4203</v>
      </c>
      <c r="D5612" s="22" t="str">
        <f>HYPERLINK("https://rhld.insurance.arkansas.gov/NPILookup?Npi=1376741173","1376741173")</f>
        <v>1376741173</v>
      </c>
      <c r="E5612" s="1" t="s">
        <v>17476</v>
      </c>
      <c r="F5612" s="2"/>
      <c r="G5612" s="2"/>
      <c r="H5612" s="2"/>
    </row>
    <row r="5613" spans="1:8" x14ac:dyDescent="0.25">
      <c r="A5613" s="1"/>
      <c r="B5613" s="1" t="s">
        <v>4202</v>
      </c>
      <c r="C5613" s="1" t="s">
        <v>4203</v>
      </c>
      <c r="D5613" s="22" t="str">
        <f>HYPERLINK("https://rhld.insurance.arkansas.gov/NPILookup?Npi=1376767533","1376767533")</f>
        <v>1376767533</v>
      </c>
      <c r="E5613" s="1" t="s">
        <v>2601</v>
      </c>
      <c r="F5613" s="2"/>
      <c r="G5613" s="2"/>
      <c r="H5613" s="2"/>
    </row>
    <row r="5614" spans="1:8" x14ac:dyDescent="0.25">
      <c r="A5614" s="1"/>
      <c r="B5614" s="1" t="s">
        <v>4202</v>
      </c>
      <c r="C5614" s="1" t="s">
        <v>4203</v>
      </c>
      <c r="D5614" s="22" t="str">
        <f>HYPERLINK("https://rhld.insurance.arkansas.gov/NPILookup?Npi=1376834101","1376834101")</f>
        <v>1376834101</v>
      </c>
      <c r="E5614" s="1" t="s">
        <v>17477</v>
      </c>
      <c r="F5614" s="2"/>
      <c r="G5614" s="2"/>
      <c r="H5614" s="2"/>
    </row>
    <row r="5615" spans="1:8" x14ac:dyDescent="0.25">
      <c r="A5615" s="1"/>
      <c r="B5615" s="1" t="s">
        <v>4202</v>
      </c>
      <c r="C5615" s="1" t="s">
        <v>4203</v>
      </c>
      <c r="D5615" s="22" t="str">
        <f>HYPERLINK("https://rhld.insurance.arkansas.gov/NPILookup?Npi=1376957084","1376957084")</f>
        <v>1376957084</v>
      </c>
      <c r="E5615" s="1" t="s">
        <v>17478</v>
      </c>
      <c r="F5615" s="2"/>
      <c r="G5615" s="2"/>
      <c r="H5615" s="2"/>
    </row>
    <row r="5616" spans="1:8" x14ac:dyDescent="0.25">
      <c r="A5616" s="1"/>
      <c r="B5616" s="1" t="s">
        <v>4202</v>
      </c>
      <c r="C5616" s="1" t="s">
        <v>4203</v>
      </c>
      <c r="D5616" s="22" t="str">
        <f>HYPERLINK("https://rhld.insurance.arkansas.gov/NPILookup?Npi=1386055788","1386055788")</f>
        <v>1386055788</v>
      </c>
      <c r="E5616" s="1" t="s">
        <v>17479</v>
      </c>
      <c r="F5616" s="2"/>
      <c r="G5616" s="2"/>
      <c r="H5616" s="2"/>
    </row>
    <row r="5617" spans="1:8" x14ac:dyDescent="0.25">
      <c r="A5617" s="1"/>
      <c r="B5617" s="1" t="s">
        <v>4202</v>
      </c>
      <c r="C5617" s="1" t="s">
        <v>4203</v>
      </c>
      <c r="D5617" s="22" t="str">
        <f>HYPERLINK("https://rhld.insurance.arkansas.gov/NPILookup?Npi=1386059608","1386059608")</f>
        <v>1386059608</v>
      </c>
      <c r="E5617" s="1" t="s">
        <v>10295</v>
      </c>
      <c r="F5617" s="2"/>
      <c r="G5617" s="2"/>
      <c r="H5617" s="2"/>
    </row>
    <row r="5618" spans="1:8" x14ac:dyDescent="0.25">
      <c r="A5618" s="1"/>
      <c r="B5618" s="1" t="s">
        <v>4202</v>
      </c>
      <c r="C5618" s="1" t="s">
        <v>4203</v>
      </c>
      <c r="D5618" s="22" t="str">
        <f>HYPERLINK("https://rhld.insurance.arkansas.gov/NPILookup?Npi=1386090520","1386090520")</f>
        <v>1386090520</v>
      </c>
      <c r="E5618" s="1" t="s">
        <v>10296</v>
      </c>
      <c r="F5618" s="2"/>
      <c r="G5618" s="2"/>
      <c r="H5618" s="2"/>
    </row>
    <row r="5619" spans="1:8" x14ac:dyDescent="0.25">
      <c r="A5619" s="1"/>
      <c r="B5619" s="1" t="s">
        <v>4202</v>
      </c>
      <c r="C5619" s="1" t="s">
        <v>4203</v>
      </c>
      <c r="D5619" s="22" t="str">
        <f>HYPERLINK("https://rhld.insurance.arkansas.gov/NPILookup?Npi=1386105294","1386105294")</f>
        <v>1386105294</v>
      </c>
      <c r="E5619" s="1" t="s">
        <v>10297</v>
      </c>
      <c r="F5619" s="2"/>
      <c r="G5619" s="2"/>
      <c r="H5619" s="2"/>
    </row>
    <row r="5620" spans="1:8" x14ac:dyDescent="0.25">
      <c r="A5620" s="1"/>
      <c r="B5620" s="1" t="s">
        <v>4202</v>
      </c>
      <c r="C5620" s="1" t="s">
        <v>4203</v>
      </c>
      <c r="D5620" s="22" t="str">
        <f>HYPERLINK("https://rhld.insurance.arkansas.gov/NPILookup?Npi=1386606721","1386606721")</f>
        <v>1386606721</v>
      </c>
      <c r="E5620" s="1" t="s">
        <v>17480</v>
      </c>
      <c r="F5620" s="2"/>
      <c r="G5620" s="2"/>
      <c r="H5620" s="2"/>
    </row>
    <row r="5621" spans="1:8" x14ac:dyDescent="0.25">
      <c r="A5621" s="1"/>
      <c r="B5621" s="1" t="s">
        <v>4202</v>
      </c>
      <c r="C5621" s="1" t="s">
        <v>4203</v>
      </c>
      <c r="D5621" s="22" t="str">
        <f>HYPERLINK("https://rhld.insurance.arkansas.gov/NPILookup?Npi=1386631729","1386631729")</f>
        <v>1386631729</v>
      </c>
      <c r="E5621" s="1" t="s">
        <v>3541</v>
      </c>
      <c r="F5621" s="2"/>
      <c r="G5621" s="2"/>
      <c r="H5621" s="2"/>
    </row>
    <row r="5622" spans="1:8" x14ac:dyDescent="0.25">
      <c r="A5622" s="1"/>
      <c r="B5622" s="1" t="s">
        <v>4202</v>
      </c>
      <c r="C5622" s="1" t="s">
        <v>4203</v>
      </c>
      <c r="D5622" s="22" t="str">
        <f>HYPERLINK("https://rhld.insurance.arkansas.gov/NPILookup?Npi=1386640175","1386640175")</f>
        <v>1386640175</v>
      </c>
      <c r="E5622" s="1" t="s">
        <v>10298</v>
      </c>
      <c r="F5622" s="2"/>
      <c r="G5622" s="2"/>
      <c r="H5622" s="2"/>
    </row>
    <row r="5623" spans="1:8" x14ac:dyDescent="0.25">
      <c r="A5623" s="1"/>
      <c r="B5623" s="1" t="s">
        <v>4202</v>
      </c>
      <c r="C5623" s="1" t="s">
        <v>4203</v>
      </c>
      <c r="D5623" s="22" t="str">
        <f>HYPERLINK("https://rhld.insurance.arkansas.gov/NPILookup?Npi=1386672392","1386672392")</f>
        <v>1386672392</v>
      </c>
      <c r="E5623" s="1" t="s">
        <v>17481</v>
      </c>
      <c r="F5623" s="2"/>
      <c r="G5623" s="2"/>
      <c r="H5623" s="2"/>
    </row>
    <row r="5624" spans="1:8" x14ac:dyDescent="0.25">
      <c r="A5624" s="1"/>
      <c r="B5624" s="1" t="s">
        <v>4202</v>
      </c>
      <c r="C5624" s="1" t="s">
        <v>4203</v>
      </c>
      <c r="D5624" s="22" t="str">
        <f>HYPERLINK("https://rhld.insurance.arkansas.gov/NPILookup?Npi=1386687978","1386687978")</f>
        <v>1386687978</v>
      </c>
      <c r="E5624" s="1" t="s">
        <v>4349</v>
      </c>
      <c r="F5624" s="2"/>
      <c r="G5624" s="2"/>
      <c r="H5624" s="2"/>
    </row>
    <row r="5625" spans="1:8" x14ac:dyDescent="0.25">
      <c r="A5625" s="1"/>
      <c r="B5625" s="1" t="s">
        <v>4202</v>
      </c>
      <c r="C5625" s="1" t="s">
        <v>4203</v>
      </c>
      <c r="D5625" s="22" t="str">
        <f>HYPERLINK("https://rhld.insurance.arkansas.gov/NPILookup?Npi=1386688778","1386688778")</f>
        <v>1386688778</v>
      </c>
      <c r="E5625" s="1" t="s">
        <v>17482</v>
      </c>
      <c r="F5625" s="2"/>
      <c r="G5625" s="2"/>
      <c r="H5625" s="2"/>
    </row>
    <row r="5626" spans="1:8" x14ac:dyDescent="0.25">
      <c r="A5626" s="1"/>
      <c r="B5626" s="1" t="s">
        <v>4202</v>
      </c>
      <c r="C5626" s="1" t="s">
        <v>4203</v>
      </c>
      <c r="D5626" s="22" t="str">
        <f>HYPERLINK("https://rhld.insurance.arkansas.gov/NPILookup?Npi=1386697480","1386697480")</f>
        <v>1386697480</v>
      </c>
      <c r="E5626" s="1" t="s">
        <v>10299</v>
      </c>
      <c r="F5626" s="2"/>
      <c r="G5626" s="2"/>
      <c r="H5626" s="2"/>
    </row>
    <row r="5627" spans="1:8" x14ac:dyDescent="0.25">
      <c r="A5627" s="1"/>
      <c r="B5627" s="1" t="s">
        <v>4202</v>
      </c>
      <c r="C5627" s="1" t="s">
        <v>4203</v>
      </c>
      <c r="D5627" s="22" t="str">
        <f>HYPERLINK("https://rhld.insurance.arkansas.gov/NPILookup?Npi=1396001608","1396001608")</f>
        <v>1396001608</v>
      </c>
      <c r="E5627" s="1" t="s">
        <v>4350</v>
      </c>
      <c r="F5627" s="2"/>
      <c r="G5627" s="2"/>
      <c r="H5627" s="2"/>
    </row>
    <row r="5628" spans="1:8" x14ac:dyDescent="0.25">
      <c r="A5628" s="1"/>
      <c r="B5628" s="1" t="s">
        <v>4202</v>
      </c>
      <c r="C5628" s="1" t="s">
        <v>4203</v>
      </c>
      <c r="D5628" s="22" t="str">
        <f>HYPERLINK("https://rhld.insurance.arkansas.gov/NPILookup?Npi=1396156782","1396156782")</f>
        <v>1396156782</v>
      </c>
      <c r="E5628" s="1" t="s">
        <v>17483</v>
      </c>
      <c r="F5628" s="2"/>
      <c r="G5628" s="2"/>
      <c r="H5628" s="2"/>
    </row>
    <row r="5629" spans="1:8" x14ac:dyDescent="0.25">
      <c r="A5629" s="1"/>
      <c r="B5629" s="1" t="s">
        <v>4202</v>
      </c>
      <c r="C5629" s="1" t="s">
        <v>4203</v>
      </c>
      <c r="D5629" s="22" t="str">
        <f>HYPERLINK("https://rhld.insurance.arkansas.gov/NPILookup?Npi=1396195277","1396195277")</f>
        <v>1396195277</v>
      </c>
      <c r="E5629" s="1" t="s">
        <v>17484</v>
      </c>
      <c r="F5629" s="2"/>
      <c r="G5629" s="2"/>
      <c r="H5629" s="2"/>
    </row>
    <row r="5630" spans="1:8" x14ac:dyDescent="0.25">
      <c r="A5630" s="1"/>
      <c r="B5630" s="1" t="s">
        <v>4202</v>
      </c>
      <c r="C5630" s="1" t="s">
        <v>4203</v>
      </c>
      <c r="D5630" s="22" t="str">
        <f>HYPERLINK("https://rhld.insurance.arkansas.gov/NPILookup?Npi=1396195830","1396195830")</f>
        <v>1396195830</v>
      </c>
      <c r="E5630" s="1" t="s">
        <v>17485</v>
      </c>
      <c r="F5630" s="2"/>
      <c r="G5630" s="2"/>
      <c r="H5630" s="2"/>
    </row>
    <row r="5631" spans="1:8" x14ac:dyDescent="0.25">
      <c r="A5631" s="1"/>
      <c r="B5631" s="1" t="s">
        <v>4202</v>
      </c>
      <c r="C5631" s="1" t="s">
        <v>4203</v>
      </c>
      <c r="D5631" s="22" t="str">
        <f>HYPERLINK("https://rhld.insurance.arkansas.gov/NPILookup?Npi=1396308441","1396308441")</f>
        <v>1396308441</v>
      </c>
      <c r="E5631" s="1" t="s">
        <v>17486</v>
      </c>
      <c r="F5631" s="2"/>
      <c r="G5631" s="2"/>
      <c r="H5631" s="2"/>
    </row>
    <row r="5632" spans="1:8" x14ac:dyDescent="0.25">
      <c r="A5632" s="1"/>
      <c r="B5632" s="1" t="s">
        <v>4202</v>
      </c>
      <c r="C5632" s="1" t="s">
        <v>4203</v>
      </c>
      <c r="D5632" s="22" t="str">
        <f>HYPERLINK("https://rhld.insurance.arkansas.gov/NPILookup?Npi=1396326567","1396326567")</f>
        <v>1396326567</v>
      </c>
      <c r="E5632" s="1" t="s">
        <v>4351</v>
      </c>
      <c r="F5632" s="2"/>
      <c r="G5632" s="2"/>
      <c r="H5632" s="2"/>
    </row>
    <row r="5633" spans="1:8" x14ac:dyDescent="0.25">
      <c r="A5633" s="1"/>
      <c r="B5633" s="1" t="s">
        <v>4202</v>
      </c>
      <c r="C5633" s="1" t="s">
        <v>4203</v>
      </c>
      <c r="D5633" s="22" t="str">
        <f>HYPERLINK("https://rhld.insurance.arkansas.gov/NPILookup?Npi=1396707808","1396707808")</f>
        <v>1396707808</v>
      </c>
      <c r="E5633" s="1" t="s">
        <v>17487</v>
      </c>
      <c r="F5633" s="2"/>
      <c r="G5633" s="2"/>
      <c r="H5633" s="2"/>
    </row>
    <row r="5634" spans="1:8" x14ac:dyDescent="0.25">
      <c r="A5634" s="1"/>
      <c r="B5634" s="1" t="s">
        <v>4202</v>
      </c>
      <c r="C5634" s="1" t="s">
        <v>4203</v>
      </c>
      <c r="D5634" s="22" t="str">
        <f>HYPERLINK("https://rhld.insurance.arkansas.gov/NPILookup?Npi=1396708913","1396708913")</f>
        <v>1396708913</v>
      </c>
      <c r="E5634" s="1" t="s">
        <v>17488</v>
      </c>
      <c r="F5634" s="2"/>
      <c r="G5634" s="2"/>
      <c r="H5634" s="2"/>
    </row>
    <row r="5635" spans="1:8" x14ac:dyDescent="0.25">
      <c r="A5635" s="1"/>
      <c r="B5635" s="1" t="s">
        <v>4202</v>
      </c>
      <c r="C5635" s="1" t="s">
        <v>4203</v>
      </c>
      <c r="D5635" s="22" t="str">
        <f>HYPERLINK("https://rhld.insurance.arkansas.gov/NPILookup?Npi=1396724746","1396724746")</f>
        <v>1396724746</v>
      </c>
      <c r="E5635" s="1" t="s">
        <v>17489</v>
      </c>
      <c r="F5635" s="2"/>
      <c r="G5635" s="2"/>
      <c r="H5635" s="2"/>
    </row>
    <row r="5636" spans="1:8" x14ac:dyDescent="0.25">
      <c r="A5636" s="1"/>
      <c r="B5636" s="1" t="s">
        <v>4202</v>
      </c>
      <c r="C5636" s="1" t="s">
        <v>4203</v>
      </c>
      <c r="D5636" s="22" t="str">
        <f>HYPERLINK("https://rhld.insurance.arkansas.gov/NPILookup?Npi=1396746269","1396746269")</f>
        <v>1396746269</v>
      </c>
      <c r="E5636" s="1" t="s">
        <v>4352</v>
      </c>
      <c r="F5636" s="2"/>
      <c r="G5636" s="2"/>
      <c r="H5636" s="2"/>
    </row>
    <row r="5637" spans="1:8" x14ac:dyDescent="0.25">
      <c r="A5637" s="1"/>
      <c r="B5637" s="1" t="s">
        <v>4202</v>
      </c>
      <c r="C5637" s="1" t="s">
        <v>4203</v>
      </c>
      <c r="D5637" s="22" t="str">
        <f>HYPERLINK("https://rhld.insurance.arkansas.gov/NPILookup?Npi=1396771747","1396771747")</f>
        <v>1396771747</v>
      </c>
      <c r="E5637" s="1" t="s">
        <v>17490</v>
      </c>
      <c r="F5637" s="2"/>
      <c r="G5637" s="2"/>
      <c r="H5637" s="2"/>
    </row>
    <row r="5638" spans="1:8" x14ac:dyDescent="0.25">
      <c r="A5638" s="1"/>
      <c r="B5638" s="1" t="s">
        <v>4202</v>
      </c>
      <c r="C5638" s="1" t="s">
        <v>4203</v>
      </c>
      <c r="D5638" s="22" t="str">
        <f>HYPERLINK("https://rhld.insurance.arkansas.gov/NPILookup?Npi=1396776761","1396776761")</f>
        <v>1396776761</v>
      </c>
      <c r="E5638" s="1" t="s">
        <v>17491</v>
      </c>
      <c r="F5638" s="2"/>
      <c r="G5638" s="2"/>
      <c r="H5638" s="2"/>
    </row>
    <row r="5639" spans="1:8" x14ac:dyDescent="0.25">
      <c r="A5639" s="1"/>
      <c r="B5639" s="1" t="s">
        <v>4202</v>
      </c>
      <c r="C5639" s="1" t="s">
        <v>4203</v>
      </c>
      <c r="D5639" s="22" t="str">
        <f>HYPERLINK("https://rhld.insurance.arkansas.gov/NPILookup?Npi=1396783106","1396783106")</f>
        <v>1396783106</v>
      </c>
      <c r="E5639" s="1" t="s">
        <v>17492</v>
      </c>
      <c r="F5639" s="2"/>
      <c r="G5639" s="2"/>
      <c r="H5639" s="2"/>
    </row>
    <row r="5640" spans="1:8" x14ac:dyDescent="0.25">
      <c r="A5640" s="1"/>
      <c r="B5640" s="1" t="s">
        <v>4202</v>
      </c>
      <c r="C5640" s="1" t="s">
        <v>4203</v>
      </c>
      <c r="D5640" s="22" t="str">
        <f>HYPERLINK("https://rhld.insurance.arkansas.gov/NPILookup?Npi=1396783189","1396783189")</f>
        <v>1396783189</v>
      </c>
      <c r="E5640" s="1" t="s">
        <v>10163</v>
      </c>
      <c r="F5640" s="2"/>
      <c r="G5640" s="2"/>
      <c r="H5640" s="2"/>
    </row>
    <row r="5641" spans="1:8" x14ac:dyDescent="0.25">
      <c r="A5641" s="1"/>
      <c r="B5641" s="1" t="s">
        <v>4202</v>
      </c>
      <c r="C5641" s="1" t="s">
        <v>4203</v>
      </c>
      <c r="D5641" s="22" t="str">
        <f>HYPERLINK("https://rhld.insurance.arkansas.gov/NPILookup?Npi=1396792057","1396792057")</f>
        <v>1396792057</v>
      </c>
      <c r="E5641" s="1" t="s">
        <v>10301</v>
      </c>
      <c r="F5641" s="2"/>
      <c r="G5641" s="2"/>
      <c r="H5641" s="2"/>
    </row>
    <row r="5642" spans="1:8" x14ac:dyDescent="0.25">
      <c r="A5642" s="1"/>
      <c r="B5642" s="1" t="s">
        <v>4202</v>
      </c>
      <c r="C5642" s="1" t="s">
        <v>4203</v>
      </c>
      <c r="D5642" s="22" t="str">
        <f>HYPERLINK("https://rhld.insurance.arkansas.gov/NPILookup?Npi=1396801452","1396801452")</f>
        <v>1396801452</v>
      </c>
      <c r="E5642" s="1" t="s">
        <v>17493</v>
      </c>
      <c r="F5642" s="2"/>
      <c r="G5642" s="2"/>
      <c r="H5642" s="2"/>
    </row>
    <row r="5643" spans="1:8" x14ac:dyDescent="0.25">
      <c r="A5643" s="1"/>
      <c r="B5643" s="1" t="s">
        <v>4202</v>
      </c>
      <c r="C5643" s="1" t="s">
        <v>4203</v>
      </c>
      <c r="D5643" s="22" t="str">
        <f>HYPERLINK("https://rhld.insurance.arkansas.gov/NPILookup?Npi=1396817763","1396817763")</f>
        <v>1396817763</v>
      </c>
      <c r="E5643" s="1" t="s">
        <v>4353</v>
      </c>
      <c r="F5643" s="2"/>
      <c r="G5643" s="2"/>
      <c r="H5643" s="2"/>
    </row>
    <row r="5644" spans="1:8" x14ac:dyDescent="0.25">
      <c r="A5644" s="1"/>
      <c r="B5644" s="1" t="s">
        <v>4202</v>
      </c>
      <c r="C5644" s="1" t="s">
        <v>4203</v>
      </c>
      <c r="D5644" s="22" t="str">
        <f>HYPERLINK("https://rhld.insurance.arkansas.gov/NPILookup?Npi=1396836706","1396836706")</f>
        <v>1396836706</v>
      </c>
      <c r="E5644" s="1" t="s">
        <v>17494</v>
      </c>
      <c r="F5644" s="2"/>
      <c r="G5644" s="2"/>
      <c r="H5644" s="2"/>
    </row>
    <row r="5645" spans="1:8" x14ac:dyDescent="0.25">
      <c r="A5645" s="1"/>
      <c r="B5645" s="1" t="s">
        <v>4202</v>
      </c>
      <c r="C5645" s="1" t="s">
        <v>4203</v>
      </c>
      <c r="D5645" s="22" t="str">
        <f>HYPERLINK("https://rhld.insurance.arkansas.gov/NPILookup?Npi=1396939781","1396939781")</f>
        <v>1396939781</v>
      </c>
      <c r="E5645" s="1" t="s">
        <v>17495</v>
      </c>
      <c r="F5645" s="2"/>
      <c r="G5645" s="2"/>
      <c r="H5645" s="2"/>
    </row>
    <row r="5646" spans="1:8" x14ac:dyDescent="0.25">
      <c r="A5646" s="1"/>
      <c r="B5646" s="1" t="s">
        <v>4202</v>
      </c>
      <c r="C5646" s="1" t="s">
        <v>4203</v>
      </c>
      <c r="D5646" s="22" t="str">
        <f>HYPERLINK("https://rhld.insurance.arkansas.gov/NPILookup?Npi=1396944294","1396944294")</f>
        <v>1396944294</v>
      </c>
      <c r="E5646" s="1" t="s">
        <v>17496</v>
      </c>
      <c r="F5646" s="2"/>
      <c r="G5646" s="2"/>
      <c r="H5646" s="2"/>
    </row>
    <row r="5647" spans="1:8" x14ac:dyDescent="0.25">
      <c r="A5647" s="1"/>
      <c r="B5647" s="1" t="s">
        <v>4202</v>
      </c>
      <c r="C5647" s="1" t="s">
        <v>4203</v>
      </c>
      <c r="D5647" s="22" t="str">
        <f>HYPERLINK("https://rhld.insurance.arkansas.gov/NPILookup?Npi=1396972592","1396972592")</f>
        <v>1396972592</v>
      </c>
      <c r="E5647" s="1" t="s">
        <v>4354</v>
      </c>
      <c r="F5647" s="2"/>
      <c r="G5647" s="2"/>
      <c r="H5647" s="2"/>
    </row>
    <row r="5648" spans="1:8" x14ac:dyDescent="0.25">
      <c r="A5648" s="1"/>
      <c r="B5648" s="1" t="s">
        <v>4202</v>
      </c>
      <c r="C5648" s="1" t="s">
        <v>4203</v>
      </c>
      <c r="D5648" s="22" t="str">
        <f>HYPERLINK("https://rhld.insurance.arkansas.gov/NPILookup?Npi=1407020753","1407020753")</f>
        <v>1407020753</v>
      </c>
      <c r="E5648" s="1" t="s">
        <v>17497</v>
      </c>
      <c r="F5648" s="2"/>
      <c r="G5648" s="2"/>
      <c r="H5648" s="2"/>
    </row>
    <row r="5649" spans="1:8" x14ac:dyDescent="0.25">
      <c r="A5649" s="1"/>
      <c r="B5649" s="1" t="s">
        <v>4202</v>
      </c>
      <c r="C5649" s="1" t="s">
        <v>4203</v>
      </c>
      <c r="D5649" s="22" t="str">
        <f>HYPERLINK("https://rhld.insurance.arkansas.gov/NPILookup?Npi=1407083710","1407083710")</f>
        <v>1407083710</v>
      </c>
      <c r="E5649" s="1" t="s">
        <v>4355</v>
      </c>
      <c r="F5649" s="2"/>
      <c r="G5649" s="2"/>
      <c r="H5649" s="2"/>
    </row>
    <row r="5650" spans="1:8" x14ac:dyDescent="0.25">
      <c r="A5650" s="1"/>
      <c r="B5650" s="1" t="s">
        <v>4202</v>
      </c>
      <c r="C5650" s="1" t="s">
        <v>4203</v>
      </c>
      <c r="D5650" s="22" t="str">
        <f>HYPERLINK("https://rhld.insurance.arkansas.gov/NPILookup?Npi=1407084296","1407084296")</f>
        <v>1407084296</v>
      </c>
      <c r="E5650" s="1" t="s">
        <v>10302</v>
      </c>
      <c r="F5650" s="2"/>
      <c r="G5650" s="2"/>
      <c r="H5650" s="2"/>
    </row>
    <row r="5651" spans="1:8" x14ac:dyDescent="0.25">
      <c r="A5651" s="1"/>
      <c r="B5651" s="1" t="s">
        <v>4202</v>
      </c>
      <c r="C5651" s="1" t="s">
        <v>4203</v>
      </c>
      <c r="D5651" s="22" t="str">
        <f>HYPERLINK("https://rhld.insurance.arkansas.gov/NPILookup?Npi=1407203888","1407203888")</f>
        <v>1407203888</v>
      </c>
      <c r="E5651" s="1" t="s">
        <v>1298</v>
      </c>
      <c r="F5651" s="2"/>
      <c r="G5651" s="2"/>
      <c r="H5651" s="2"/>
    </row>
    <row r="5652" spans="1:8" x14ac:dyDescent="0.25">
      <c r="A5652" s="1"/>
      <c r="B5652" s="1" t="s">
        <v>4202</v>
      </c>
      <c r="C5652" s="1" t="s">
        <v>4203</v>
      </c>
      <c r="D5652" s="22" t="str">
        <f>HYPERLINK("https://rhld.insurance.arkansas.gov/NPILookup?Npi=1407215460","1407215460")</f>
        <v>1407215460</v>
      </c>
      <c r="E5652" s="1" t="s">
        <v>17499</v>
      </c>
      <c r="F5652" s="2"/>
      <c r="G5652" s="2"/>
      <c r="H5652" s="2"/>
    </row>
    <row r="5653" spans="1:8" x14ac:dyDescent="0.25">
      <c r="A5653" s="1"/>
      <c r="B5653" s="1" t="s">
        <v>4202</v>
      </c>
      <c r="C5653" s="1" t="s">
        <v>4203</v>
      </c>
      <c r="D5653" s="22" t="str">
        <f>HYPERLINK("https://rhld.insurance.arkansas.gov/NPILookup?Npi=1407801723","1407801723")</f>
        <v>1407801723</v>
      </c>
      <c r="E5653" s="1" t="s">
        <v>17501</v>
      </c>
      <c r="F5653" s="2"/>
      <c r="G5653" s="2"/>
      <c r="H5653" s="2"/>
    </row>
    <row r="5654" spans="1:8" x14ac:dyDescent="0.25">
      <c r="A5654" s="1"/>
      <c r="B5654" s="1" t="s">
        <v>4202</v>
      </c>
      <c r="C5654" s="1" t="s">
        <v>4203</v>
      </c>
      <c r="D5654" s="22" t="str">
        <f>HYPERLINK("https://rhld.insurance.arkansas.gov/NPILookup?Npi=1407863665","1407863665")</f>
        <v>1407863665</v>
      </c>
      <c r="E5654" s="1" t="s">
        <v>17502</v>
      </c>
      <c r="F5654" s="2"/>
      <c r="G5654" s="2"/>
      <c r="H5654" s="2"/>
    </row>
    <row r="5655" spans="1:8" x14ac:dyDescent="0.25">
      <c r="A5655" s="1"/>
      <c r="B5655" s="1" t="s">
        <v>4202</v>
      </c>
      <c r="C5655" s="1" t="s">
        <v>4203</v>
      </c>
      <c r="D5655" s="22" t="str">
        <f>HYPERLINK("https://rhld.insurance.arkansas.gov/NPILookup?Npi=1407880644","1407880644")</f>
        <v>1407880644</v>
      </c>
      <c r="E5655" s="1" t="s">
        <v>17503</v>
      </c>
      <c r="F5655" s="2"/>
      <c r="G5655" s="2"/>
      <c r="H5655" s="2"/>
    </row>
    <row r="5656" spans="1:8" x14ac:dyDescent="0.25">
      <c r="A5656" s="1"/>
      <c r="B5656" s="1" t="s">
        <v>4202</v>
      </c>
      <c r="C5656" s="1" t="s">
        <v>4203</v>
      </c>
      <c r="D5656" s="22" t="str">
        <f>HYPERLINK("https://rhld.insurance.arkansas.gov/NPILookup?Npi=1417057159","1417057159")</f>
        <v>1417057159</v>
      </c>
      <c r="E5656" s="1" t="s">
        <v>31437</v>
      </c>
      <c r="F5656" s="2"/>
      <c r="G5656" s="2"/>
      <c r="H5656" s="2"/>
    </row>
    <row r="5657" spans="1:8" x14ac:dyDescent="0.25">
      <c r="A5657" s="1"/>
      <c r="B5657" s="1" t="s">
        <v>4202</v>
      </c>
      <c r="C5657" s="1" t="s">
        <v>4203</v>
      </c>
      <c r="D5657" s="22" t="str">
        <f>HYPERLINK("https://rhld.insurance.arkansas.gov/NPILookup?Npi=1417061771","1417061771")</f>
        <v>1417061771</v>
      </c>
      <c r="E5657" s="1" t="s">
        <v>4356</v>
      </c>
      <c r="F5657" s="2"/>
      <c r="G5657" s="2"/>
      <c r="H5657" s="2"/>
    </row>
    <row r="5658" spans="1:8" x14ac:dyDescent="0.25">
      <c r="A5658" s="1"/>
      <c r="B5658" s="1" t="s">
        <v>4202</v>
      </c>
      <c r="C5658" s="1" t="s">
        <v>4203</v>
      </c>
      <c r="D5658" s="22" t="str">
        <f>HYPERLINK("https://rhld.insurance.arkansas.gov/NPILookup?Npi=1417111964","1417111964")</f>
        <v>1417111964</v>
      </c>
      <c r="E5658" s="1" t="s">
        <v>31438</v>
      </c>
      <c r="F5658" s="2"/>
      <c r="G5658" s="2"/>
      <c r="H5658" s="2"/>
    </row>
    <row r="5659" spans="1:8" x14ac:dyDescent="0.25">
      <c r="A5659" s="1"/>
      <c r="B5659" s="1" t="s">
        <v>4202</v>
      </c>
      <c r="C5659" s="1" t="s">
        <v>4203</v>
      </c>
      <c r="D5659" s="22" t="str">
        <f>HYPERLINK("https://rhld.insurance.arkansas.gov/NPILookup?Npi=1417118076","1417118076")</f>
        <v>1417118076</v>
      </c>
      <c r="E5659" s="1" t="s">
        <v>17504</v>
      </c>
      <c r="F5659" s="2"/>
      <c r="G5659" s="2"/>
      <c r="H5659" s="2"/>
    </row>
    <row r="5660" spans="1:8" x14ac:dyDescent="0.25">
      <c r="A5660" s="1"/>
      <c r="B5660" s="1" t="s">
        <v>4202</v>
      </c>
      <c r="C5660" s="1" t="s">
        <v>4203</v>
      </c>
      <c r="D5660" s="22" t="str">
        <f>HYPERLINK("https://rhld.insurance.arkansas.gov/NPILookup?Npi=1417161431","1417161431")</f>
        <v>1417161431</v>
      </c>
      <c r="E5660" s="1" t="s">
        <v>17505</v>
      </c>
      <c r="F5660" s="2"/>
      <c r="G5660" s="2"/>
      <c r="H5660" s="2"/>
    </row>
    <row r="5661" spans="1:8" x14ac:dyDescent="0.25">
      <c r="A5661" s="1"/>
      <c r="B5661" s="1" t="s">
        <v>4202</v>
      </c>
      <c r="C5661" s="1" t="s">
        <v>4203</v>
      </c>
      <c r="D5661" s="22" t="str">
        <f>HYPERLINK("https://rhld.insurance.arkansas.gov/NPILookup?Npi=1417186974","1417186974")</f>
        <v>1417186974</v>
      </c>
      <c r="E5661" s="1" t="s">
        <v>17506</v>
      </c>
      <c r="F5661" s="2"/>
      <c r="G5661" s="2"/>
      <c r="H5661" s="2"/>
    </row>
    <row r="5662" spans="1:8" x14ac:dyDescent="0.25">
      <c r="A5662" s="1"/>
      <c r="B5662" s="1" t="s">
        <v>4202</v>
      </c>
      <c r="C5662" s="1" t="s">
        <v>4203</v>
      </c>
      <c r="D5662" s="22" t="str">
        <f>HYPERLINK("https://rhld.insurance.arkansas.gov/NPILookup?Npi=1417191248","1417191248")</f>
        <v>1417191248</v>
      </c>
      <c r="E5662" s="1" t="s">
        <v>17507</v>
      </c>
      <c r="F5662" s="2"/>
      <c r="G5662" s="2"/>
      <c r="H5662" s="2"/>
    </row>
    <row r="5663" spans="1:8" x14ac:dyDescent="0.25">
      <c r="A5663" s="1"/>
      <c r="B5663" s="1" t="s">
        <v>4202</v>
      </c>
      <c r="C5663" s="1" t="s">
        <v>4203</v>
      </c>
      <c r="D5663" s="22" t="str">
        <f>HYPERLINK("https://rhld.insurance.arkansas.gov/NPILookup?Npi=1417299413","1417299413")</f>
        <v>1417299413</v>
      </c>
      <c r="E5663" s="1" t="s">
        <v>31439</v>
      </c>
      <c r="F5663" s="2"/>
      <c r="G5663" s="2"/>
      <c r="H5663" s="2"/>
    </row>
    <row r="5664" spans="1:8" x14ac:dyDescent="0.25">
      <c r="A5664" s="1"/>
      <c r="B5664" s="1" t="s">
        <v>4202</v>
      </c>
      <c r="C5664" s="1" t="s">
        <v>4203</v>
      </c>
      <c r="D5664" s="22" t="str">
        <f>HYPERLINK("https://rhld.insurance.arkansas.gov/NPILookup?Npi=1417310947","1417310947")</f>
        <v>1417310947</v>
      </c>
      <c r="E5664" s="1" t="s">
        <v>4358</v>
      </c>
      <c r="F5664" s="2"/>
      <c r="G5664" s="2"/>
      <c r="H5664" s="2"/>
    </row>
    <row r="5665" spans="1:8" x14ac:dyDescent="0.25">
      <c r="A5665" s="1"/>
      <c r="B5665" s="1" t="s">
        <v>4202</v>
      </c>
      <c r="C5665" s="1" t="s">
        <v>4203</v>
      </c>
      <c r="D5665" s="22" t="str">
        <f>HYPERLINK("https://rhld.insurance.arkansas.gov/NPILookup?Npi=1417343724","1417343724")</f>
        <v>1417343724</v>
      </c>
      <c r="E5665" s="1" t="s">
        <v>31440</v>
      </c>
      <c r="F5665" s="2"/>
      <c r="G5665" s="2"/>
      <c r="H5665" s="2"/>
    </row>
    <row r="5666" spans="1:8" x14ac:dyDescent="0.25">
      <c r="A5666" s="1"/>
      <c r="B5666" s="1" t="s">
        <v>4202</v>
      </c>
      <c r="C5666" s="1" t="s">
        <v>4203</v>
      </c>
      <c r="D5666" s="22" t="str">
        <f>HYPERLINK("https://rhld.insurance.arkansas.gov/NPILookup?Npi=1417376203","1417376203")</f>
        <v>1417376203</v>
      </c>
      <c r="E5666" s="1" t="s">
        <v>10304</v>
      </c>
      <c r="F5666" s="2"/>
      <c r="G5666" s="2"/>
      <c r="H5666" s="2"/>
    </row>
    <row r="5667" spans="1:8" x14ac:dyDescent="0.25">
      <c r="A5667" s="1"/>
      <c r="B5667" s="1" t="s">
        <v>4202</v>
      </c>
      <c r="C5667" s="1" t="s">
        <v>4203</v>
      </c>
      <c r="D5667" s="22" t="str">
        <f>HYPERLINK("https://rhld.insurance.arkansas.gov/NPILookup?Npi=1417513870","1417513870")</f>
        <v>1417513870</v>
      </c>
      <c r="E5667" s="1" t="s">
        <v>17508</v>
      </c>
      <c r="F5667" s="2"/>
      <c r="G5667" s="2"/>
      <c r="H5667" s="2"/>
    </row>
    <row r="5668" spans="1:8" x14ac:dyDescent="0.25">
      <c r="A5668" s="1"/>
      <c r="B5668" s="1" t="s">
        <v>4202</v>
      </c>
      <c r="C5668" s="1" t="s">
        <v>4203</v>
      </c>
      <c r="D5668" s="22" t="str">
        <f>HYPERLINK("https://rhld.insurance.arkansas.gov/NPILookup?Npi=1417585779","1417585779")</f>
        <v>1417585779</v>
      </c>
      <c r="E5668" s="1" t="s">
        <v>4359</v>
      </c>
      <c r="F5668" s="2"/>
      <c r="G5668" s="2"/>
      <c r="H5668" s="2"/>
    </row>
    <row r="5669" spans="1:8" x14ac:dyDescent="0.25">
      <c r="A5669" s="1"/>
      <c r="B5669" s="1" t="s">
        <v>4202</v>
      </c>
      <c r="C5669" s="1" t="s">
        <v>4203</v>
      </c>
      <c r="D5669" s="22" t="str">
        <f>HYPERLINK("https://rhld.insurance.arkansas.gov/NPILookup?Npi=1417585845","1417585845")</f>
        <v>1417585845</v>
      </c>
      <c r="E5669" s="1" t="s">
        <v>17509</v>
      </c>
      <c r="F5669" s="2"/>
      <c r="G5669" s="2"/>
      <c r="H5669" s="2"/>
    </row>
    <row r="5670" spans="1:8" x14ac:dyDescent="0.25">
      <c r="A5670" s="1"/>
      <c r="B5670" s="1" t="s">
        <v>4202</v>
      </c>
      <c r="C5670" s="1" t="s">
        <v>4203</v>
      </c>
      <c r="D5670" s="22" t="str">
        <f>HYPERLINK("https://rhld.insurance.arkansas.gov/NPILookup?Npi=1417908401","1417908401")</f>
        <v>1417908401</v>
      </c>
      <c r="E5670" s="1" t="s">
        <v>10305</v>
      </c>
      <c r="F5670" s="2"/>
      <c r="G5670" s="2"/>
      <c r="H5670" s="2"/>
    </row>
    <row r="5671" spans="1:8" x14ac:dyDescent="0.25">
      <c r="A5671" s="1"/>
      <c r="B5671" s="1" t="s">
        <v>4202</v>
      </c>
      <c r="C5671" s="1" t="s">
        <v>4203</v>
      </c>
      <c r="D5671" s="22" t="str">
        <f>HYPERLINK("https://rhld.insurance.arkansas.gov/NPILookup?Npi=1417919762","1417919762")</f>
        <v>1417919762</v>
      </c>
      <c r="E5671" s="1" t="s">
        <v>17510</v>
      </c>
      <c r="F5671" s="2"/>
      <c r="G5671" s="2"/>
      <c r="H5671" s="2"/>
    </row>
    <row r="5672" spans="1:8" x14ac:dyDescent="0.25">
      <c r="A5672" s="1"/>
      <c r="B5672" s="1" t="s">
        <v>4202</v>
      </c>
      <c r="C5672" s="1" t="s">
        <v>4203</v>
      </c>
      <c r="D5672" s="22" t="str">
        <f>HYPERLINK("https://rhld.insurance.arkansas.gov/NPILookup?Npi=1417933276","1417933276")</f>
        <v>1417933276</v>
      </c>
      <c r="E5672" s="1" t="s">
        <v>10306</v>
      </c>
      <c r="F5672" s="2"/>
      <c r="G5672" s="2"/>
      <c r="H5672" s="2"/>
    </row>
    <row r="5673" spans="1:8" x14ac:dyDescent="0.25">
      <c r="A5673" s="1"/>
      <c r="B5673" s="1" t="s">
        <v>4202</v>
      </c>
      <c r="C5673" s="1" t="s">
        <v>4203</v>
      </c>
      <c r="D5673" s="22" t="str">
        <f>HYPERLINK("https://rhld.insurance.arkansas.gov/NPILookup?Npi=1417993379","1417993379")</f>
        <v>1417993379</v>
      </c>
      <c r="E5673" s="1" t="s">
        <v>10307</v>
      </c>
      <c r="F5673" s="2"/>
      <c r="G5673" s="2"/>
      <c r="H5673" s="2"/>
    </row>
    <row r="5674" spans="1:8" x14ac:dyDescent="0.25">
      <c r="A5674" s="1"/>
      <c r="B5674" s="1" t="s">
        <v>4202</v>
      </c>
      <c r="C5674" s="1" t="s">
        <v>4203</v>
      </c>
      <c r="D5674" s="22" t="str">
        <f>HYPERLINK("https://rhld.insurance.arkansas.gov/NPILookup?Npi=1427002146","1427002146")</f>
        <v>1427002146</v>
      </c>
      <c r="E5674" s="1" t="s">
        <v>17511</v>
      </c>
      <c r="F5674" s="2"/>
      <c r="G5674" s="2"/>
      <c r="H5674" s="2"/>
    </row>
    <row r="5675" spans="1:8" x14ac:dyDescent="0.25">
      <c r="A5675" s="1"/>
      <c r="B5675" s="1" t="s">
        <v>4202</v>
      </c>
      <c r="C5675" s="1" t="s">
        <v>4203</v>
      </c>
      <c r="D5675" s="22" t="str">
        <f>HYPERLINK("https://rhld.insurance.arkansas.gov/NPILookup?Npi=1427004829","1427004829")</f>
        <v>1427004829</v>
      </c>
      <c r="E5675" s="1" t="s">
        <v>31441</v>
      </c>
      <c r="F5675" s="2"/>
      <c r="G5675" s="2"/>
      <c r="H5675" s="2"/>
    </row>
    <row r="5676" spans="1:8" x14ac:dyDescent="0.25">
      <c r="A5676" s="1"/>
      <c r="B5676" s="1" t="s">
        <v>4202</v>
      </c>
      <c r="C5676" s="1" t="s">
        <v>4203</v>
      </c>
      <c r="D5676" s="22" t="str">
        <f>HYPERLINK("https://rhld.insurance.arkansas.gov/NPILookup?Npi=1427038678","1427038678")</f>
        <v>1427038678</v>
      </c>
      <c r="E5676" s="1" t="s">
        <v>17513</v>
      </c>
      <c r="F5676" s="2"/>
      <c r="G5676" s="2"/>
      <c r="H5676" s="2"/>
    </row>
    <row r="5677" spans="1:8" x14ac:dyDescent="0.25">
      <c r="A5677" s="1"/>
      <c r="B5677" s="1" t="s">
        <v>4202</v>
      </c>
      <c r="C5677" s="1" t="s">
        <v>4203</v>
      </c>
      <c r="D5677" s="22" t="str">
        <f>HYPERLINK("https://rhld.insurance.arkansas.gov/NPILookup?Npi=1427061514","1427061514")</f>
        <v>1427061514</v>
      </c>
      <c r="E5677" s="1" t="s">
        <v>4360</v>
      </c>
      <c r="F5677" s="2"/>
      <c r="G5677" s="2"/>
      <c r="H5677" s="2"/>
    </row>
    <row r="5678" spans="1:8" x14ac:dyDescent="0.25">
      <c r="A5678" s="1"/>
      <c r="B5678" s="1" t="s">
        <v>4202</v>
      </c>
      <c r="C5678" s="1" t="s">
        <v>4203</v>
      </c>
      <c r="D5678" s="22" t="str">
        <f>HYPERLINK("https://rhld.insurance.arkansas.gov/NPILookup?Npi=1427146174","1427146174")</f>
        <v>1427146174</v>
      </c>
      <c r="E5678" s="1" t="s">
        <v>10308</v>
      </c>
      <c r="F5678" s="2"/>
      <c r="G5678" s="2"/>
      <c r="H5678" s="2"/>
    </row>
    <row r="5679" spans="1:8" x14ac:dyDescent="0.25">
      <c r="A5679" s="1"/>
      <c r="B5679" s="1" t="s">
        <v>4202</v>
      </c>
      <c r="C5679" s="1" t="s">
        <v>4203</v>
      </c>
      <c r="D5679" s="22" t="str">
        <f>HYPERLINK("https://rhld.insurance.arkansas.gov/NPILookup?Npi=1427150036","1427150036")</f>
        <v>1427150036</v>
      </c>
      <c r="E5679" s="1" t="s">
        <v>10309</v>
      </c>
      <c r="F5679" s="2"/>
      <c r="G5679" s="2"/>
      <c r="H5679" s="2"/>
    </row>
    <row r="5680" spans="1:8" x14ac:dyDescent="0.25">
      <c r="A5680" s="1"/>
      <c r="B5680" s="1" t="s">
        <v>4202</v>
      </c>
      <c r="C5680" s="1" t="s">
        <v>4203</v>
      </c>
      <c r="D5680" s="22" t="str">
        <f>HYPERLINK("https://rhld.insurance.arkansas.gov/NPILookup?Npi=1427164631","1427164631")</f>
        <v>1427164631</v>
      </c>
      <c r="E5680" s="1" t="s">
        <v>17514</v>
      </c>
      <c r="F5680" s="2"/>
      <c r="G5680" s="2"/>
      <c r="H5680" s="2"/>
    </row>
    <row r="5681" spans="1:8" x14ac:dyDescent="0.25">
      <c r="A5681" s="1"/>
      <c r="B5681" s="1" t="s">
        <v>4202</v>
      </c>
      <c r="C5681" s="1" t="s">
        <v>4203</v>
      </c>
      <c r="D5681" s="22" t="str">
        <f>HYPERLINK("https://rhld.insurance.arkansas.gov/NPILookup?Npi=1427197052","1427197052")</f>
        <v>1427197052</v>
      </c>
      <c r="E5681" s="1" t="s">
        <v>4361</v>
      </c>
      <c r="F5681" s="2"/>
      <c r="G5681" s="2"/>
      <c r="H5681" s="2"/>
    </row>
    <row r="5682" spans="1:8" x14ac:dyDescent="0.25">
      <c r="A5682" s="1"/>
      <c r="B5682" s="1" t="s">
        <v>4202</v>
      </c>
      <c r="C5682" s="1" t="s">
        <v>4203</v>
      </c>
      <c r="D5682" s="22" t="str">
        <f>HYPERLINK("https://rhld.insurance.arkansas.gov/NPILookup?Npi=1427256619","1427256619")</f>
        <v>1427256619</v>
      </c>
      <c r="E5682" s="1" t="s">
        <v>17515</v>
      </c>
      <c r="F5682" s="2"/>
      <c r="G5682" s="2"/>
      <c r="H5682" s="2"/>
    </row>
    <row r="5683" spans="1:8" x14ac:dyDescent="0.25">
      <c r="A5683" s="1"/>
      <c r="B5683" s="1" t="s">
        <v>4202</v>
      </c>
      <c r="C5683" s="1" t="s">
        <v>4203</v>
      </c>
      <c r="D5683" s="22" t="str">
        <f>HYPERLINK("https://rhld.insurance.arkansas.gov/NPILookup?Npi=1427287887","1427287887")</f>
        <v>1427287887</v>
      </c>
      <c r="E5683" s="1" t="s">
        <v>17516</v>
      </c>
      <c r="F5683" s="2"/>
      <c r="G5683" s="2"/>
      <c r="H5683" s="2"/>
    </row>
    <row r="5684" spans="1:8" x14ac:dyDescent="0.25">
      <c r="A5684" s="1"/>
      <c r="B5684" s="1" t="s">
        <v>4202</v>
      </c>
      <c r="C5684" s="1" t="s">
        <v>4203</v>
      </c>
      <c r="D5684" s="22" t="str">
        <f>HYPERLINK("https://rhld.insurance.arkansas.gov/NPILookup?Npi=1427403955","1427403955")</f>
        <v>1427403955</v>
      </c>
      <c r="E5684" s="1" t="s">
        <v>17517</v>
      </c>
      <c r="F5684" s="2"/>
      <c r="G5684" s="2"/>
      <c r="H5684" s="2"/>
    </row>
    <row r="5685" spans="1:8" x14ac:dyDescent="0.25">
      <c r="A5685" s="1"/>
      <c r="B5685" s="1" t="s">
        <v>4202</v>
      </c>
      <c r="C5685" s="1" t="s">
        <v>4203</v>
      </c>
      <c r="D5685" s="22" t="str">
        <f>HYPERLINK("https://rhld.insurance.arkansas.gov/NPILookup?Npi=1427474964","1427474964")</f>
        <v>1427474964</v>
      </c>
      <c r="E5685" s="1" t="s">
        <v>17518</v>
      </c>
      <c r="F5685" s="2"/>
      <c r="G5685" s="2"/>
      <c r="H5685" s="2"/>
    </row>
    <row r="5686" spans="1:8" x14ac:dyDescent="0.25">
      <c r="A5686" s="1"/>
      <c r="B5686" s="1" t="s">
        <v>4202</v>
      </c>
      <c r="C5686" s="1" t="s">
        <v>4203</v>
      </c>
      <c r="D5686" s="22" t="str">
        <f>HYPERLINK("https://rhld.insurance.arkansas.gov/NPILookup?Npi=1427475409","1427475409")</f>
        <v>1427475409</v>
      </c>
      <c r="E5686" s="1" t="s">
        <v>17519</v>
      </c>
      <c r="F5686" s="2"/>
      <c r="G5686" s="2"/>
      <c r="H5686" s="2"/>
    </row>
    <row r="5687" spans="1:8" x14ac:dyDescent="0.25">
      <c r="A5687" s="1"/>
      <c r="B5687" s="1" t="s">
        <v>4202</v>
      </c>
      <c r="C5687" s="1" t="s">
        <v>4203</v>
      </c>
      <c r="D5687" s="22" t="str">
        <f>HYPERLINK("https://rhld.insurance.arkansas.gov/NPILookup?Npi=1427555432","1427555432")</f>
        <v>1427555432</v>
      </c>
      <c r="E5687" s="1" t="s">
        <v>17520</v>
      </c>
      <c r="F5687" s="2"/>
      <c r="G5687" s="2"/>
      <c r="H5687" s="2"/>
    </row>
    <row r="5688" spans="1:8" x14ac:dyDescent="0.25">
      <c r="A5688" s="1"/>
      <c r="B5688" s="1" t="s">
        <v>4202</v>
      </c>
      <c r="C5688" s="1" t="s">
        <v>4203</v>
      </c>
      <c r="D5688" s="22" t="str">
        <f>HYPERLINK("https://rhld.insurance.arkansas.gov/NPILookup?Npi=1427674878","1427674878")</f>
        <v>1427674878</v>
      </c>
      <c r="E5688" s="1" t="s">
        <v>4362</v>
      </c>
      <c r="F5688" s="2"/>
      <c r="G5688" s="2"/>
      <c r="H5688" s="2"/>
    </row>
    <row r="5689" spans="1:8" x14ac:dyDescent="0.25">
      <c r="A5689" s="1"/>
      <c r="B5689" s="1" t="s">
        <v>4202</v>
      </c>
      <c r="C5689" s="1" t="s">
        <v>4203</v>
      </c>
      <c r="D5689" s="22" t="str">
        <f>HYPERLINK("https://rhld.insurance.arkansas.gov/NPILookup?Npi=1427687458","1427687458")</f>
        <v>1427687458</v>
      </c>
      <c r="E5689" s="1" t="s">
        <v>17522</v>
      </c>
      <c r="F5689" s="2"/>
      <c r="G5689" s="2"/>
      <c r="H5689" s="2"/>
    </row>
    <row r="5690" spans="1:8" x14ac:dyDescent="0.25">
      <c r="A5690" s="1"/>
      <c r="B5690" s="1" t="s">
        <v>4202</v>
      </c>
      <c r="C5690" s="1" t="s">
        <v>4203</v>
      </c>
      <c r="D5690" s="22" t="str">
        <f>HYPERLINK("https://rhld.insurance.arkansas.gov/NPILookup?Npi=1437166691","1437166691")</f>
        <v>1437166691</v>
      </c>
      <c r="E5690" s="1" t="s">
        <v>108</v>
      </c>
      <c r="F5690" s="2"/>
      <c r="G5690" s="2"/>
      <c r="H5690" s="2"/>
    </row>
    <row r="5691" spans="1:8" x14ac:dyDescent="0.25">
      <c r="A5691" s="1"/>
      <c r="B5691" s="1" t="s">
        <v>4202</v>
      </c>
      <c r="C5691" s="1" t="s">
        <v>4203</v>
      </c>
      <c r="D5691" s="22" t="str">
        <f>HYPERLINK("https://rhld.insurance.arkansas.gov/NPILookup?Npi=1437166774","1437166774")</f>
        <v>1437166774</v>
      </c>
      <c r="E5691" s="1" t="s">
        <v>17524</v>
      </c>
      <c r="F5691" s="2"/>
      <c r="G5691" s="2"/>
      <c r="H5691" s="2"/>
    </row>
    <row r="5692" spans="1:8" x14ac:dyDescent="0.25">
      <c r="A5692" s="1"/>
      <c r="B5692" s="1" t="s">
        <v>4202</v>
      </c>
      <c r="C5692" s="1" t="s">
        <v>4203</v>
      </c>
      <c r="D5692" s="22" t="str">
        <f>HYPERLINK("https://rhld.insurance.arkansas.gov/NPILookup?Npi=1437198074","1437198074")</f>
        <v>1437198074</v>
      </c>
      <c r="E5692" s="1" t="s">
        <v>17526</v>
      </c>
      <c r="F5692" s="2"/>
      <c r="G5692" s="2"/>
      <c r="H5692" s="2"/>
    </row>
    <row r="5693" spans="1:8" x14ac:dyDescent="0.25">
      <c r="A5693" s="1"/>
      <c r="B5693" s="1" t="s">
        <v>4202</v>
      </c>
      <c r="C5693" s="1" t="s">
        <v>4203</v>
      </c>
      <c r="D5693" s="22" t="str">
        <f>HYPERLINK("https://rhld.insurance.arkansas.gov/NPILookup?Npi=1437223146","1437223146")</f>
        <v>1437223146</v>
      </c>
      <c r="E5693" s="1" t="s">
        <v>31442</v>
      </c>
      <c r="F5693" s="2"/>
      <c r="G5693" s="2"/>
      <c r="H5693" s="2"/>
    </row>
    <row r="5694" spans="1:8" x14ac:dyDescent="0.25">
      <c r="A5694" s="1"/>
      <c r="B5694" s="1" t="s">
        <v>4202</v>
      </c>
      <c r="C5694" s="1" t="s">
        <v>4203</v>
      </c>
      <c r="D5694" s="22" t="str">
        <f>HYPERLINK("https://rhld.insurance.arkansas.gov/NPILookup?Npi=1437252657","1437252657")</f>
        <v>1437252657</v>
      </c>
      <c r="E5694" s="1" t="s">
        <v>31443</v>
      </c>
      <c r="F5694" s="2"/>
      <c r="G5694" s="2"/>
      <c r="H5694" s="2"/>
    </row>
    <row r="5695" spans="1:8" x14ac:dyDescent="0.25">
      <c r="A5695" s="1"/>
      <c r="B5695" s="1" t="s">
        <v>4202</v>
      </c>
      <c r="C5695" s="1" t="s">
        <v>4203</v>
      </c>
      <c r="D5695" s="22" t="str">
        <f>HYPERLINK("https://rhld.insurance.arkansas.gov/NPILookup?Npi=1437260106","1437260106")</f>
        <v>1437260106</v>
      </c>
      <c r="E5695" s="1" t="s">
        <v>1804</v>
      </c>
      <c r="F5695" s="2"/>
      <c r="G5695" s="2"/>
      <c r="H5695" s="2"/>
    </row>
    <row r="5696" spans="1:8" x14ac:dyDescent="0.25">
      <c r="A5696" s="1"/>
      <c r="B5696" s="1" t="s">
        <v>4202</v>
      </c>
      <c r="C5696" s="1" t="s">
        <v>4203</v>
      </c>
      <c r="D5696" s="22" t="str">
        <f>HYPERLINK("https://rhld.insurance.arkansas.gov/NPILookup?Npi=1437262573","1437262573")</f>
        <v>1437262573</v>
      </c>
      <c r="E5696" s="1" t="s">
        <v>17527</v>
      </c>
      <c r="F5696" s="2"/>
      <c r="G5696" s="2"/>
      <c r="H5696" s="2"/>
    </row>
    <row r="5697" spans="1:8" x14ac:dyDescent="0.25">
      <c r="A5697" s="1"/>
      <c r="B5697" s="1" t="s">
        <v>4202</v>
      </c>
      <c r="C5697" s="1" t="s">
        <v>4203</v>
      </c>
      <c r="D5697" s="22" t="str">
        <f>HYPERLINK("https://rhld.insurance.arkansas.gov/NPILookup?Npi=1437310083","1437310083")</f>
        <v>1437310083</v>
      </c>
      <c r="E5697" s="1" t="s">
        <v>4363</v>
      </c>
      <c r="F5697" s="2"/>
      <c r="G5697" s="2"/>
      <c r="H5697" s="2"/>
    </row>
    <row r="5698" spans="1:8" x14ac:dyDescent="0.25">
      <c r="A5698" s="1"/>
      <c r="B5698" s="1" t="s">
        <v>4202</v>
      </c>
      <c r="C5698" s="1" t="s">
        <v>4203</v>
      </c>
      <c r="D5698" s="22" t="str">
        <f>HYPERLINK("https://rhld.insurance.arkansas.gov/NPILookup?Npi=1437317807","1437317807")</f>
        <v>1437317807</v>
      </c>
      <c r="E5698" s="1" t="s">
        <v>4364</v>
      </c>
      <c r="F5698" s="2"/>
      <c r="G5698" s="2"/>
      <c r="H5698" s="2"/>
    </row>
    <row r="5699" spans="1:8" x14ac:dyDescent="0.25">
      <c r="A5699" s="1"/>
      <c r="B5699" s="1" t="s">
        <v>4202</v>
      </c>
      <c r="C5699" s="1" t="s">
        <v>4203</v>
      </c>
      <c r="D5699" s="22" t="str">
        <f>HYPERLINK("https://rhld.insurance.arkansas.gov/NPILookup?Npi=1437356326","1437356326")</f>
        <v>1437356326</v>
      </c>
      <c r="E5699" s="1" t="s">
        <v>17529</v>
      </c>
      <c r="F5699" s="2"/>
      <c r="G5699" s="2"/>
      <c r="H5699" s="2"/>
    </row>
    <row r="5700" spans="1:8" x14ac:dyDescent="0.25">
      <c r="A5700" s="1"/>
      <c r="B5700" s="1" t="s">
        <v>4202</v>
      </c>
      <c r="C5700" s="1" t="s">
        <v>4203</v>
      </c>
      <c r="D5700" s="22" t="str">
        <f>HYPERLINK("https://rhld.insurance.arkansas.gov/NPILookup?Npi=1437357175","1437357175")</f>
        <v>1437357175</v>
      </c>
      <c r="E5700" s="1" t="s">
        <v>4365</v>
      </c>
      <c r="F5700" s="2"/>
      <c r="G5700" s="2"/>
      <c r="H5700" s="2"/>
    </row>
    <row r="5701" spans="1:8" x14ac:dyDescent="0.25">
      <c r="A5701" s="1"/>
      <c r="B5701" s="1" t="s">
        <v>4202</v>
      </c>
      <c r="C5701" s="1" t="s">
        <v>4203</v>
      </c>
      <c r="D5701" s="22" t="str">
        <f>HYPERLINK("https://rhld.insurance.arkansas.gov/NPILookup?Npi=1437377538","1437377538")</f>
        <v>1437377538</v>
      </c>
      <c r="E5701" s="1" t="s">
        <v>17530</v>
      </c>
      <c r="F5701" s="2"/>
      <c r="G5701" s="2"/>
      <c r="H5701" s="2"/>
    </row>
    <row r="5702" spans="1:8" x14ac:dyDescent="0.25">
      <c r="A5702" s="1"/>
      <c r="B5702" s="1" t="s">
        <v>4202</v>
      </c>
      <c r="C5702" s="1" t="s">
        <v>4203</v>
      </c>
      <c r="D5702" s="22" t="str">
        <f>HYPERLINK("https://rhld.insurance.arkansas.gov/NPILookup?Npi=1437530169","1437530169")</f>
        <v>1437530169</v>
      </c>
      <c r="E5702" s="1" t="s">
        <v>10311</v>
      </c>
      <c r="F5702" s="2"/>
      <c r="G5702" s="2"/>
      <c r="H5702" s="2"/>
    </row>
    <row r="5703" spans="1:8" x14ac:dyDescent="0.25">
      <c r="A5703" s="1"/>
      <c r="B5703" s="1" t="s">
        <v>4202</v>
      </c>
      <c r="C5703" s="1" t="s">
        <v>4203</v>
      </c>
      <c r="D5703" s="22" t="str">
        <f>HYPERLINK("https://rhld.insurance.arkansas.gov/NPILookup?Npi=1437545761","1437545761")</f>
        <v>1437545761</v>
      </c>
      <c r="E5703" s="1" t="s">
        <v>4366</v>
      </c>
      <c r="F5703" s="2"/>
      <c r="G5703" s="2"/>
      <c r="H5703" s="2"/>
    </row>
    <row r="5704" spans="1:8" x14ac:dyDescent="0.25">
      <c r="A5704" s="1"/>
      <c r="B5704" s="1" t="s">
        <v>4202</v>
      </c>
      <c r="C5704" s="1" t="s">
        <v>4203</v>
      </c>
      <c r="D5704" s="22" t="str">
        <f>HYPERLINK("https://rhld.insurance.arkansas.gov/NPILookup?Npi=1437718483","1437718483")</f>
        <v>1437718483</v>
      </c>
      <c r="E5704" s="1" t="s">
        <v>17531</v>
      </c>
      <c r="F5704" s="2"/>
      <c r="G5704" s="2"/>
      <c r="H5704" s="2"/>
    </row>
    <row r="5705" spans="1:8" x14ac:dyDescent="0.25">
      <c r="A5705" s="1"/>
      <c r="B5705" s="1" t="s">
        <v>4202</v>
      </c>
      <c r="C5705" s="1" t="s">
        <v>4203</v>
      </c>
      <c r="D5705" s="22" t="str">
        <f>HYPERLINK("https://rhld.insurance.arkansas.gov/NPILookup?Npi=1447203757","1447203757")</f>
        <v>1447203757</v>
      </c>
      <c r="E5705" s="1" t="s">
        <v>10313</v>
      </c>
      <c r="F5705" s="2"/>
      <c r="G5705" s="2"/>
      <c r="H5705" s="2"/>
    </row>
    <row r="5706" spans="1:8" x14ac:dyDescent="0.25">
      <c r="A5706" s="1"/>
      <c r="B5706" s="1" t="s">
        <v>4202</v>
      </c>
      <c r="C5706" s="1" t="s">
        <v>4203</v>
      </c>
      <c r="D5706" s="22" t="str">
        <f>HYPERLINK("https://rhld.insurance.arkansas.gov/NPILookup?Npi=1447238688","1447238688")</f>
        <v>1447238688</v>
      </c>
      <c r="E5706" s="1" t="s">
        <v>4367</v>
      </c>
      <c r="F5706" s="2"/>
      <c r="G5706" s="2"/>
      <c r="H5706" s="2"/>
    </row>
    <row r="5707" spans="1:8" x14ac:dyDescent="0.25">
      <c r="A5707" s="1"/>
      <c r="B5707" s="1" t="s">
        <v>4202</v>
      </c>
      <c r="C5707" s="1" t="s">
        <v>4203</v>
      </c>
      <c r="D5707" s="22" t="str">
        <f>HYPERLINK("https://rhld.insurance.arkansas.gov/NPILookup?Npi=1447239702","1447239702")</f>
        <v>1447239702</v>
      </c>
      <c r="E5707" s="1" t="s">
        <v>1780</v>
      </c>
      <c r="F5707" s="2"/>
      <c r="G5707" s="2"/>
      <c r="H5707" s="2"/>
    </row>
    <row r="5708" spans="1:8" x14ac:dyDescent="0.25">
      <c r="A5708" s="1"/>
      <c r="B5708" s="1" t="s">
        <v>4202</v>
      </c>
      <c r="C5708" s="1" t="s">
        <v>4203</v>
      </c>
      <c r="D5708" s="22" t="str">
        <f>HYPERLINK("https://rhld.insurance.arkansas.gov/NPILookup?Npi=1447260807","1447260807")</f>
        <v>1447260807</v>
      </c>
      <c r="E5708" s="1" t="s">
        <v>4368</v>
      </c>
      <c r="F5708" s="2"/>
      <c r="G5708" s="2"/>
      <c r="H5708" s="2"/>
    </row>
    <row r="5709" spans="1:8" x14ac:dyDescent="0.25">
      <c r="A5709" s="1"/>
      <c r="B5709" s="1" t="s">
        <v>4202</v>
      </c>
      <c r="C5709" s="1" t="s">
        <v>4203</v>
      </c>
      <c r="D5709" s="22" t="str">
        <f>HYPERLINK("https://rhld.insurance.arkansas.gov/NPILookup?Npi=1447283551","1447283551")</f>
        <v>1447283551</v>
      </c>
      <c r="E5709" s="1" t="s">
        <v>4370</v>
      </c>
      <c r="F5709" s="2"/>
      <c r="G5709" s="2"/>
      <c r="H5709" s="2"/>
    </row>
    <row r="5710" spans="1:8" x14ac:dyDescent="0.25">
      <c r="A5710" s="1"/>
      <c r="B5710" s="1" t="s">
        <v>4202</v>
      </c>
      <c r="C5710" s="1" t="s">
        <v>4203</v>
      </c>
      <c r="D5710" s="22" t="str">
        <f>HYPERLINK("https://rhld.insurance.arkansas.gov/NPILookup?Npi=1447297239","1447297239")</f>
        <v>1447297239</v>
      </c>
      <c r="E5710" s="1" t="s">
        <v>4371</v>
      </c>
      <c r="F5710" s="2"/>
      <c r="G5710" s="2"/>
      <c r="H5710" s="2"/>
    </row>
    <row r="5711" spans="1:8" x14ac:dyDescent="0.25">
      <c r="A5711" s="1"/>
      <c r="B5711" s="1" t="s">
        <v>4202</v>
      </c>
      <c r="C5711" s="1" t="s">
        <v>4203</v>
      </c>
      <c r="D5711" s="22" t="str">
        <f>HYPERLINK("https://rhld.insurance.arkansas.gov/NPILookup?Npi=1447340005","1447340005")</f>
        <v>1447340005</v>
      </c>
      <c r="E5711" s="1" t="s">
        <v>31444</v>
      </c>
      <c r="F5711" s="2"/>
      <c r="G5711" s="2"/>
      <c r="H5711" s="2"/>
    </row>
    <row r="5712" spans="1:8" x14ac:dyDescent="0.25">
      <c r="A5712" s="1"/>
      <c r="B5712" s="1" t="s">
        <v>4202</v>
      </c>
      <c r="C5712" s="1" t="s">
        <v>4203</v>
      </c>
      <c r="D5712" s="22" t="str">
        <f>HYPERLINK("https://rhld.insurance.arkansas.gov/NPILookup?Npi=1447347596","1447347596")</f>
        <v>1447347596</v>
      </c>
      <c r="E5712" s="1" t="s">
        <v>17533</v>
      </c>
      <c r="F5712" s="2"/>
      <c r="G5712" s="2"/>
      <c r="H5712" s="2"/>
    </row>
    <row r="5713" spans="1:8" x14ac:dyDescent="0.25">
      <c r="A5713" s="1"/>
      <c r="B5713" s="1" t="s">
        <v>4202</v>
      </c>
      <c r="C5713" s="1" t="s">
        <v>4203</v>
      </c>
      <c r="D5713" s="22" t="str">
        <f>HYPERLINK("https://rhld.insurance.arkansas.gov/NPILookup?Npi=1447424734","1447424734")</f>
        <v>1447424734</v>
      </c>
      <c r="E5713" s="1" t="s">
        <v>17535</v>
      </c>
      <c r="F5713" s="2"/>
      <c r="G5713" s="2"/>
      <c r="H5713" s="2"/>
    </row>
    <row r="5714" spans="1:8" x14ac:dyDescent="0.25">
      <c r="A5714" s="1"/>
      <c r="B5714" s="1" t="s">
        <v>4202</v>
      </c>
      <c r="C5714" s="1" t="s">
        <v>4203</v>
      </c>
      <c r="D5714" s="22" t="str">
        <f>HYPERLINK("https://rhld.insurance.arkansas.gov/NPILookup?Npi=1447514310","1447514310")</f>
        <v>1447514310</v>
      </c>
      <c r="E5714" s="1" t="s">
        <v>10316</v>
      </c>
      <c r="F5714" s="2"/>
      <c r="G5714" s="2"/>
      <c r="H5714" s="2"/>
    </row>
    <row r="5715" spans="1:8" x14ac:dyDescent="0.25">
      <c r="A5715" s="1"/>
      <c r="B5715" s="1" t="s">
        <v>4202</v>
      </c>
      <c r="C5715" s="1" t="s">
        <v>4203</v>
      </c>
      <c r="D5715" s="22" t="str">
        <f>HYPERLINK("https://rhld.insurance.arkansas.gov/NPILookup?Npi=1447589056","1447589056")</f>
        <v>1447589056</v>
      </c>
      <c r="E5715" s="1" t="s">
        <v>1233</v>
      </c>
      <c r="F5715" s="2"/>
      <c r="G5715" s="2"/>
      <c r="H5715" s="2"/>
    </row>
    <row r="5716" spans="1:8" x14ac:dyDescent="0.25">
      <c r="A5716" s="1"/>
      <c r="B5716" s="1" t="s">
        <v>4202</v>
      </c>
      <c r="C5716" s="1" t="s">
        <v>4203</v>
      </c>
      <c r="D5716" s="22" t="str">
        <f>HYPERLINK("https://rhld.insurance.arkansas.gov/NPILookup?Npi=1447660212","1447660212")</f>
        <v>1447660212</v>
      </c>
      <c r="E5716" s="1" t="s">
        <v>4373</v>
      </c>
      <c r="F5716" s="2"/>
      <c r="G5716" s="2"/>
      <c r="H5716" s="2"/>
    </row>
    <row r="5717" spans="1:8" x14ac:dyDescent="0.25">
      <c r="A5717" s="1"/>
      <c r="B5717" s="1" t="s">
        <v>4202</v>
      </c>
      <c r="C5717" s="1" t="s">
        <v>4203</v>
      </c>
      <c r="D5717" s="22" t="str">
        <f>HYPERLINK("https://rhld.insurance.arkansas.gov/NPILookup?Npi=1447666227","1447666227")</f>
        <v>1447666227</v>
      </c>
      <c r="E5717" s="1" t="s">
        <v>17536</v>
      </c>
      <c r="F5717" s="2"/>
      <c r="G5717" s="2"/>
      <c r="H5717" s="2"/>
    </row>
    <row r="5718" spans="1:8" x14ac:dyDescent="0.25">
      <c r="A5718" s="1"/>
      <c r="B5718" s="1" t="s">
        <v>4202</v>
      </c>
      <c r="C5718" s="1" t="s">
        <v>4203</v>
      </c>
      <c r="D5718" s="22" t="str">
        <f>HYPERLINK("https://rhld.insurance.arkansas.gov/NPILookup?Npi=1447756218","1447756218")</f>
        <v>1447756218</v>
      </c>
      <c r="E5718" s="1" t="s">
        <v>4374</v>
      </c>
      <c r="F5718" s="2"/>
      <c r="G5718" s="2"/>
      <c r="H5718" s="2"/>
    </row>
    <row r="5719" spans="1:8" x14ac:dyDescent="0.25">
      <c r="A5719" s="1"/>
      <c r="B5719" s="1" t="s">
        <v>4202</v>
      </c>
      <c r="C5719" s="1" t="s">
        <v>4203</v>
      </c>
      <c r="D5719" s="22" t="str">
        <f>HYPERLINK("https://rhld.insurance.arkansas.gov/NPILookup?Npi=1447879556","1447879556")</f>
        <v>1447879556</v>
      </c>
      <c r="E5719" s="1" t="s">
        <v>4375</v>
      </c>
      <c r="F5719" s="2"/>
      <c r="G5719" s="2"/>
      <c r="H5719" s="2"/>
    </row>
    <row r="5720" spans="1:8" x14ac:dyDescent="0.25">
      <c r="A5720" s="1"/>
      <c r="B5720" s="1" t="s">
        <v>4202</v>
      </c>
      <c r="C5720" s="1" t="s">
        <v>4203</v>
      </c>
      <c r="D5720" s="22" t="str">
        <f>HYPERLINK("https://rhld.insurance.arkansas.gov/NPILookup?Npi=1457316556","1457316556")</f>
        <v>1457316556</v>
      </c>
      <c r="E5720" s="1" t="s">
        <v>17538</v>
      </c>
      <c r="F5720" s="2"/>
      <c r="G5720" s="2"/>
      <c r="H5720" s="2"/>
    </row>
    <row r="5721" spans="1:8" x14ac:dyDescent="0.25">
      <c r="A5721" s="1"/>
      <c r="B5721" s="1" t="s">
        <v>4202</v>
      </c>
      <c r="C5721" s="1" t="s">
        <v>4203</v>
      </c>
      <c r="D5721" s="22" t="str">
        <f>HYPERLINK("https://rhld.insurance.arkansas.gov/NPILookup?Npi=1457349474","1457349474")</f>
        <v>1457349474</v>
      </c>
      <c r="E5721" s="1" t="s">
        <v>10318</v>
      </c>
      <c r="F5721" s="2"/>
      <c r="G5721" s="2"/>
      <c r="H5721" s="2"/>
    </row>
    <row r="5722" spans="1:8" x14ac:dyDescent="0.25">
      <c r="A5722" s="1"/>
      <c r="B5722" s="1" t="s">
        <v>4202</v>
      </c>
      <c r="C5722" s="1" t="s">
        <v>4203</v>
      </c>
      <c r="D5722" s="22" t="str">
        <f>HYPERLINK("https://rhld.insurance.arkansas.gov/NPILookup?Npi=1457351165","1457351165")</f>
        <v>1457351165</v>
      </c>
      <c r="E5722" s="1" t="s">
        <v>10319</v>
      </c>
      <c r="F5722" s="2"/>
      <c r="G5722" s="2"/>
      <c r="H5722" s="2"/>
    </row>
    <row r="5723" spans="1:8" x14ac:dyDescent="0.25">
      <c r="A5723" s="1"/>
      <c r="B5723" s="1" t="s">
        <v>4202</v>
      </c>
      <c r="C5723" s="1" t="s">
        <v>4203</v>
      </c>
      <c r="D5723" s="22" t="str">
        <f>HYPERLINK("https://rhld.insurance.arkansas.gov/NPILookup?Npi=1457383655","1457383655")</f>
        <v>1457383655</v>
      </c>
      <c r="E5723" s="1" t="s">
        <v>1388</v>
      </c>
      <c r="F5723" s="2"/>
      <c r="G5723" s="2"/>
      <c r="H5723" s="2"/>
    </row>
    <row r="5724" spans="1:8" x14ac:dyDescent="0.25">
      <c r="A5724" s="1"/>
      <c r="B5724" s="1" t="s">
        <v>4202</v>
      </c>
      <c r="C5724" s="1" t="s">
        <v>4203</v>
      </c>
      <c r="D5724" s="22" t="str">
        <f>HYPERLINK("https://rhld.insurance.arkansas.gov/NPILookup?Npi=1457384588","1457384588")</f>
        <v>1457384588</v>
      </c>
      <c r="E5724" s="1" t="s">
        <v>3144</v>
      </c>
      <c r="F5724" s="2"/>
      <c r="G5724" s="2"/>
      <c r="H5724" s="2"/>
    </row>
    <row r="5725" spans="1:8" x14ac:dyDescent="0.25">
      <c r="A5725" s="1"/>
      <c r="B5725" s="1" t="s">
        <v>4202</v>
      </c>
      <c r="C5725" s="1" t="s">
        <v>4203</v>
      </c>
      <c r="D5725" s="22" t="str">
        <f>HYPERLINK("https://rhld.insurance.arkansas.gov/NPILookup?Npi=1457418915","1457418915")</f>
        <v>1457418915</v>
      </c>
      <c r="E5725" s="1" t="s">
        <v>17540</v>
      </c>
      <c r="F5725" s="2"/>
      <c r="G5725" s="2"/>
      <c r="H5725" s="2"/>
    </row>
    <row r="5726" spans="1:8" x14ac:dyDescent="0.25">
      <c r="A5726" s="1"/>
      <c r="B5726" s="1" t="s">
        <v>4202</v>
      </c>
      <c r="C5726" s="1" t="s">
        <v>4203</v>
      </c>
      <c r="D5726" s="22" t="str">
        <f>HYPERLINK("https://rhld.insurance.arkansas.gov/NPILookup?Npi=1457453573","1457453573")</f>
        <v>1457453573</v>
      </c>
      <c r="E5726" s="1" t="s">
        <v>4376</v>
      </c>
      <c r="F5726" s="2"/>
      <c r="G5726" s="2"/>
      <c r="H5726" s="2"/>
    </row>
    <row r="5727" spans="1:8" x14ac:dyDescent="0.25">
      <c r="A5727" s="1"/>
      <c r="B5727" s="1" t="s">
        <v>4202</v>
      </c>
      <c r="C5727" s="1" t="s">
        <v>4203</v>
      </c>
      <c r="D5727" s="22" t="str">
        <f>HYPERLINK("https://rhld.insurance.arkansas.gov/NPILookup?Npi=1457461105","1457461105")</f>
        <v>1457461105</v>
      </c>
      <c r="E5727" s="1" t="s">
        <v>10320</v>
      </c>
      <c r="F5727" s="2"/>
      <c r="G5727" s="2"/>
      <c r="H5727" s="2"/>
    </row>
    <row r="5728" spans="1:8" x14ac:dyDescent="0.25">
      <c r="A5728" s="1"/>
      <c r="B5728" s="1" t="s">
        <v>4202</v>
      </c>
      <c r="C5728" s="1" t="s">
        <v>4203</v>
      </c>
      <c r="D5728" s="22" t="str">
        <f>HYPERLINK("https://rhld.insurance.arkansas.gov/NPILookup?Npi=1457519068","1457519068")</f>
        <v>1457519068</v>
      </c>
      <c r="E5728" s="1" t="s">
        <v>10321</v>
      </c>
      <c r="F5728" s="2"/>
      <c r="G5728" s="2"/>
      <c r="H5728" s="2"/>
    </row>
    <row r="5729" spans="1:8" x14ac:dyDescent="0.25">
      <c r="A5729" s="1"/>
      <c r="B5729" s="1" t="s">
        <v>4202</v>
      </c>
      <c r="C5729" s="1" t="s">
        <v>4203</v>
      </c>
      <c r="D5729" s="22" t="str">
        <f>HYPERLINK("https://rhld.insurance.arkansas.gov/NPILookup?Npi=1457581811","1457581811")</f>
        <v>1457581811</v>
      </c>
      <c r="E5729" s="1" t="s">
        <v>17542</v>
      </c>
      <c r="F5729" s="2"/>
      <c r="G5729" s="2"/>
      <c r="H5729" s="2"/>
    </row>
    <row r="5730" spans="1:8" x14ac:dyDescent="0.25">
      <c r="A5730" s="1"/>
      <c r="B5730" s="1" t="s">
        <v>4202</v>
      </c>
      <c r="C5730" s="1" t="s">
        <v>4203</v>
      </c>
      <c r="D5730" s="22" t="str">
        <f>HYPERLINK("https://rhld.insurance.arkansas.gov/NPILookup?Npi=1457675472","1457675472")</f>
        <v>1457675472</v>
      </c>
      <c r="E5730" s="1" t="s">
        <v>17544</v>
      </c>
      <c r="F5730" s="2"/>
      <c r="G5730" s="2"/>
      <c r="H5730" s="2"/>
    </row>
    <row r="5731" spans="1:8" x14ac:dyDescent="0.25">
      <c r="A5731" s="1"/>
      <c r="B5731" s="1" t="s">
        <v>4202</v>
      </c>
      <c r="C5731" s="1" t="s">
        <v>4203</v>
      </c>
      <c r="D5731" s="22" t="str">
        <f>HYPERLINK("https://rhld.insurance.arkansas.gov/NPILookup?Npi=1457766891","1457766891")</f>
        <v>1457766891</v>
      </c>
      <c r="E5731" s="1" t="s">
        <v>17546</v>
      </c>
      <c r="F5731" s="2"/>
      <c r="G5731" s="2"/>
      <c r="H5731" s="2"/>
    </row>
    <row r="5732" spans="1:8" x14ac:dyDescent="0.25">
      <c r="A5732" s="1"/>
      <c r="B5732" s="1" t="s">
        <v>4202</v>
      </c>
      <c r="C5732" s="1" t="s">
        <v>4203</v>
      </c>
      <c r="D5732" s="22" t="str">
        <f>HYPERLINK("https://rhld.insurance.arkansas.gov/NPILookup?Npi=1457790230","1457790230")</f>
        <v>1457790230</v>
      </c>
      <c r="E5732" s="1" t="s">
        <v>4377</v>
      </c>
      <c r="F5732" s="2"/>
      <c r="G5732" s="2"/>
      <c r="H5732" s="2"/>
    </row>
    <row r="5733" spans="1:8" x14ac:dyDescent="0.25">
      <c r="A5733" s="1"/>
      <c r="B5733" s="1" t="s">
        <v>4202</v>
      </c>
      <c r="C5733" s="1" t="s">
        <v>4203</v>
      </c>
      <c r="D5733" s="22" t="str">
        <f>HYPERLINK("https://rhld.insurance.arkansas.gov/NPILookup?Npi=1457811952","1457811952")</f>
        <v>1457811952</v>
      </c>
      <c r="E5733" s="1" t="s">
        <v>17547</v>
      </c>
      <c r="F5733" s="2"/>
      <c r="G5733" s="2"/>
      <c r="H5733" s="2"/>
    </row>
    <row r="5734" spans="1:8" x14ac:dyDescent="0.25">
      <c r="A5734" s="1"/>
      <c r="B5734" s="1" t="s">
        <v>4202</v>
      </c>
      <c r="C5734" s="1" t="s">
        <v>4203</v>
      </c>
      <c r="D5734" s="22" t="str">
        <f>HYPERLINK("https://rhld.insurance.arkansas.gov/NPILookup?Npi=1457813933","1457813933")</f>
        <v>1457813933</v>
      </c>
      <c r="E5734" s="1" t="s">
        <v>17548</v>
      </c>
      <c r="F5734" s="2"/>
      <c r="G5734" s="2"/>
      <c r="H5734" s="2"/>
    </row>
    <row r="5735" spans="1:8" x14ac:dyDescent="0.25">
      <c r="A5735" s="1"/>
      <c r="B5735" s="1" t="s">
        <v>4202</v>
      </c>
      <c r="C5735" s="1" t="s">
        <v>4203</v>
      </c>
      <c r="D5735" s="22" t="str">
        <f>HYPERLINK("https://rhld.insurance.arkansas.gov/NPILookup?Npi=1457988776","1457988776")</f>
        <v>1457988776</v>
      </c>
      <c r="E5735" s="1" t="s">
        <v>4378</v>
      </c>
      <c r="F5735" s="2"/>
      <c r="G5735" s="2"/>
      <c r="H5735" s="2"/>
    </row>
    <row r="5736" spans="1:8" x14ac:dyDescent="0.25">
      <c r="A5736" s="1"/>
      <c r="B5736" s="1" t="s">
        <v>4202</v>
      </c>
      <c r="C5736" s="1" t="s">
        <v>4203</v>
      </c>
      <c r="D5736" s="22" t="str">
        <f>HYPERLINK("https://rhld.insurance.arkansas.gov/NPILookup?Npi=1467419614","1467419614")</f>
        <v>1467419614</v>
      </c>
      <c r="E5736" s="1" t="s">
        <v>3132</v>
      </c>
      <c r="F5736" s="2"/>
      <c r="G5736" s="2"/>
      <c r="H5736" s="2"/>
    </row>
    <row r="5737" spans="1:8" x14ac:dyDescent="0.25">
      <c r="A5737" s="1"/>
      <c r="B5737" s="1" t="s">
        <v>4202</v>
      </c>
      <c r="C5737" s="1" t="s">
        <v>4203</v>
      </c>
      <c r="D5737" s="22" t="str">
        <f>HYPERLINK("https://rhld.insurance.arkansas.gov/NPILookup?Npi=1467427740","1467427740")</f>
        <v>1467427740</v>
      </c>
      <c r="E5737" s="1" t="s">
        <v>17549</v>
      </c>
      <c r="F5737" s="2"/>
      <c r="G5737" s="2"/>
      <c r="H5737" s="2"/>
    </row>
    <row r="5738" spans="1:8" x14ac:dyDescent="0.25">
      <c r="A5738" s="1"/>
      <c r="B5738" s="1" t="s">
        <v>4202</v>
      </c>
      <c r="C5738" s="1" t="s">
        <v>4203</v>
      </c>
      <c r="D5738" s="22" t="str">
        <f>HYPERLINK("https://rhld.insurance.arkansas.gov/NPILookup?Npi=1467435396","1467435396")</f>
        <v>1467435396</v>
      </c>
      <c r="E5738" s="1" t="s">
        <v>17550</v>
      </c>
      <c r="F5738" s="2"/>
      <c r="G5738" s="2"/>
      <c r="H5738" s="2"/>
    </row>
    <row r="5739" spans="1:8" x14ac:dyDescent="0.25">
      <c r="A5739" s="1"/>
      <c r="B5739" s="1" t="s">
        <v>4202</v>
      </c>
      <c r="C5739" s="1" t="s">
        <v>4203</v>
      </c>
      <c r="D5739" s="22" t="str">
        <f>HYPERLINK("https://rhld.insurance.arkansas.gov/NPILookup?Npi=1467458356","1467458356")</f>
        <v>1467458356</v>
      </c>
      <c r="E5739" s="1" t="s">
        <v>17552</v>
      </c>
      <c r="F5739" s="2"/>
      <c r="G5739" s="2"/>
      <c r="H5739" s="2"/>
    </row>
    <row r="5740" spans="1:8" x14ac:dyDescent="0.25">
      <c r="A5740" s="1"/>
      <c r="B5740" s="1" t="s">
        <v>4202</v>
      </c>
      <c r="C5740" s="1" t="s">
        <v>4203</v>
      </c>
      <c r="D5740" s="22" t="str">
        <f>HYPERLINK("https://rhld.insurance.arkansas.gov/NPILookup?Npi=1467494708","1467494708")</f>
        <v>1467494708</v>
      </c>
      <c r="E5740" s="1" t="s">
        <v>17553</v>
      </c>
      <c r="F5740" s="2"/>
      <c r="G5740" s="2"/>
      <c r="H5740" s="2"/>
    </row>
    <row r="5741" spans="1:8" x14ac:dyDescent="0.25">
      <c r="A5741" s="1"/>
      <c r="B5741" s="1" t="s">
        <v>4202</v>
      </c>
      <c r="C5741" s="1" t="s">
        <v>4203</v>
      </c>
      <c r="D5741" s="22" t="str">
        <f>HYPERLINK("https://rhld.insurance.arkansas.gov/NPILookup?Npi=1467615542","1467615542")</f>
        <v>1467615542</v>
      </c>
      <c r="E5741" s="1" t="s">
        <v>17555</v>
      </c>
      <c r="F5741" s="2"/>
      <c r="G5741" s="2"/>
      <c r="H5741" s="2"/>
    </row>
    <row r="5742" spans="1:8" x14ac:dyDescent="0.25">
      <c r="A5742" s="1"/>
      <c r="B5742" s="1" t="s">
        <v>4202</v>
      </c>
      <c r="C5742" s="1" t="s">
        <v>4203</v>
      </c>
      <c r="D5742" s="22" t="str">
        <f>HYPERLINK("https://rhld.insurance.arkansas.gov/NPILookup?Npi=1467629790","1467629790")</f>
        <v>1467629790</v>
      </c>
      <c r="E5742" s="1" t="s">
        <v>17556</v>
      </c>
      <c r="F5742" s="2"/>
      <c r="G5742" s="2"/>
      <c r="H5742" s="2"/>
    </row>
    <row r="5743" spans="1:8" x14ac:dyDescent="0.25">
      <c r="A5743" s="1"/>
      <c r="B5743" s="1" t="s">
        <v>4202</v>
      </c>
      <c r="C5743" s="1" t="s">
        <v>4203</v>
      </c>
      <c r="D5743" s="22" t="str">
        <f>HYPERLINK("https://rhld.insurance.arkansas.gov/NPILookup?Npi=1467830455","1467830455")</f>
        <v>1467830455</v>
      </c>
      <c r="E5743" s="1" t="s">
        <v>17558</v>
      </c>
      <c r="F5743" s="2"/>
      <c r="G5743" s="2"/>
      <c r="H5743" s="2"/>
    </row>
    <row r="5744" spans="1:8" x14ac:dyDescent="0.25">
      <c r="A5744" s="1"/>
      <c r="B5744" s="1" t="s">
        <v>4202</v>
      </c>
      <c r="C5744" s="1" t="s">
        <v>4203</v>
      </c>
      <c r="D5744" s="22" t="str">
        <f>HYPERLINK("https://rhld.insurance.arkansas.gov/NPILookup?Npi=1467831917","1467831917")</f>
        <v>1467831917</v>
      </c>
      <c r="E5744" s="1" t="s">
        <v>17559</v>
      </c>
      <c r="F5744" s="2"/>
      <c r="G5744" s="2"/>
      <c r="H5744" s="2"/>
    </row>
    <row r="5745" spans="1:8" x14ac:dyDescent="0.25">
      <c r="A5745" s="1"/>
      <c r="B5745" s="1" t="s">
        <v>4202</v>
      </c>
      <c r="C5745" s="1" t="s">
        <v>4203</v>
      </c>
      <c r="D5745" s="22" t="str">
        <f>HYPERLINK("https://rhld.insurance.arkansas.gov/NPILookup?Npi=1467864942","1467864942")</f>
        <v>1467864942</v>
      </c>
      <c r="E5745" s="1" t="s">
        <v>4379</v>
      </c>
      <c r="F5745" s="2"/>
      <c r="G5745" s="2"/>
      <c r="H5745" s="2"/>
    </row>
    <row r="5746" spans="1:8" x14ac:dyDescent="0.25">
      <c r="A5746" s="1"/>
      <c r="B5746" s="1" t="s">
        <v>4202</v>
      </c>
      <c r="C5746" s="1" t="s">
        <v>4203</v>
      </c>
      <c r="D5746" s="22" t="str">
        <f>HYPERLINK("https://rhld.insurance.arkansas.gov/NPILookup?Npi=1467913368","1467913368")</f>
        <v>1467913368</v>
      </c>
      <c r="E5746" s="1" t="s">
        <v>4380</v>
      </c>
      <c r="F5746" s="2"/>
      <c r="G5746" s="2"/>
      <c r="H5746" s="2"/>
    </row>
    <row r="5747" spans="1:8" x14ac:dyDescent="0.25">
      <c r="A5747" s="1"/>
      <c r="B5747" s="1" t="s">
        <v>4202</v>
      </c>
      <c r="C5747" s="1" t="s">
        <v>4203</v>
      </c>
      <c r="D5747" s="22" t="str">
        <f>HYPERLINK("https://rhld.insurance.arkansas.gov/NPILookup?Npi=1467958223","1467958223")</f>
        <v>1467958223</v>
      </c>
      <c r="E5747" s="1" t="s">
        <v>17560</v>
      </c>
      <c r="F5747" s="2"/>
      <c r="G5747" s="2"/>
      <c r="H5747" s="2"/>
    </row>
    <row r="5748" spans="1:8" x14ac:dyDescent="0.25">
      <c r="A5748" s="1"/>
      <c r="B5748" s="1" t="s">
        <v>4202</v>
      </c>
      <c r="C5748" s="1" t="s">
        <v>4203</v>
      </c>
      <c r="D5748" s="22" t="str">
        <f>HYPERLINK("https://rhld.insurance.arkansas.gov/NPILookup?Npi=1477086916","1477086916")</f>
        <v>1477086916</v>
      </c>
      <c r="E5748" s="1" t="s">
        <v>17562</v>
      </c>
      <c r="F5748" s="2"/>
      <c r="G5748" s="2"/>
      <c r="H5748" s="2"/>
    </row>
    <row r="5749" spans="1:8" x14ac:dyDescent="0.25">
      <c r="A5749" s="1"/>
      <c r="B5749" s="1" t="s">
        <v>4202</v>
      </c>
      <c r="C5749" s="1" t="s">
        <v>4203</v>
      </c>
      <c r="D5749" s="22" t="str">
        <f>HYPERLINK("https://rhld.insurance.arkansas.gov/NPILookup?Npi=1477139087","1477139087")</f>
        <v>1477139087</v>
      </c>
      <c r="E5749" s="1" t="s">
        <v>17563</v>
      </c>
      <c r="F5749" s="2"/>
      <c r="G5749" s="2"/>
      <c r="H5749" s="2"/>
    </row>
    <row r="5750" spans="1:8" x14ac:dyDescent="0.25">
      <c r="A5750" s="1"/>
      <c r="B5750" s="1" t="s">
        <v>4202</v>
      </c>
      <c r="C5750" s="1" t="s">
        <v>4203</v>
      </c>
      <c r="D5750" s="22" t="str">
        <f>HYPERLINK("https://rhld.insurance.arkansas.gov/NPILookup?Npi=1477507333","1477507333")</f>
        <v>1477507333</v>
      </c>
      <c r="E5750" s="1" t="s">
        <v>17564</v>
      </c>
      <c r="F5750" s="2"/>
      <c r="G5750" s="2"/>
      <c r="H5750" s="2"/>
    </row>
    <row r="5751" spans="1:8" x14ac:dyDescent="0.25">
      <c r="A5751" s="1"/>
      <c r="B5751" s="1" t="s">
        <v>4202</v>
      </c>
      <c r="C5751" s="1" t="s">
        <v>4203</v>
      </c>
      <c r="D5751" s="22" t="str">
        <f>HYPERLINK("https://rhld.insurance.arkansas.gov/NPILookup?Npi=1477516524","1477516524")</f>
        <v>1477516524</v>
      </c>
      <c r="E5751" s="1" t="s">
        <v>4381</v>
      </c>
      <c r="F5751" s="2"/>
      <c r="G5751" s="2"/>
      <c r="H5751" s="2"/>
    </row>
    <row r="5752" spans="1:8" x14ac:dyDescent="0.25">
      <c r="A5752" s="1"/>
      <c r="B5752" s="1" t="s">
        <v>4202</v>
      </c>
      <c r="C5752" s="1" t="s">
        <v>4203</v>
      </c>
      <c r="D5752" s="22" t="str">
        <f>HYPERLINK("https://rhld.insurance.arkansas.gov/NPILookup?Npi=1477528776","1477528776")</f>
        <v>1477528776</v>
      </c>
      <c r="E5752" s="1" t="s">
        <v>4382</v>
      </c>
      <c r="F5752" s="2"/>
      <c r="G5752" s="2"/>
      <c r="H5752" s="2"/>
    </row>
    <row r="5753" spans="1:8" x14ac:dyDescent="0.25">
      <c r="A5753" s="1"/>
      <c r="B5753" s="1" t="s">
        <v>4202</v>
      </c>
      <c r="C5753" s="1" t="s">
        <v>4203</v>
      </c>
      <c r="D5753" s="22" t="str">
        <f>HYPERLINK("https://rhld.insurance.arkansas.gov/NPILookup?Npi=1477540607","1477540607")</f>
        <v>1477540607</v>
      </c>
      <c r="E5753" s="1" t="s">
        <v>17565</v>
      </c>
      <c r="F5753" s="2"/>
      <c r="G5753" s="2"/>
      <c r="H5753" s="2"/>
    </row>
    <row r="5754" spans="1:8" x14ac:dyDescent="0.25">
      <c r="A5754" s="1"/>
      <c r="B5754" s="1" t="s">
        <v>4202</v>
      </c>
      <c r="C5754" s="1" t="s">
        <v>4203</v>
      </c>
      <c r="D5754" s="22" t="str">
        <f>HYPERLINK("https://rhld.insurance.arkansas.gov/NPILookup?Npi=1477544955","1477544955")</f>
        <v>1477544955</v>
      </c>
      <c r="E5754" s="1" t="s">
        <v>895</v>
      </c>
      <c r="F5754" s="2"/>
      <c r="G5754" s="2"/>
      <c r="H5754" s="2"/>
    </row>
    <row r="5755" spans="1:8" x14ac:dyDescent="0.25">
      <c r="A5755" s="1"/>
      <c r="B5755" s="1" t="s">
        <v>4202</v>
      </c>
      <c r="C5755" s="1" t="s">
        <v>4203</v>
      </c>
      <c r="D5755" s="22" t="str">
        <f>HYPERLINK("https://rhld.insurance.arkansas.gov/NPILookup?Npi=1477591147","1477591147")</f>
        <v>1477591147</v>
      </c>
      <c r="E5755" s="1" t="s">
        <v>17566</v>
      </c>
      <c r="F5755" s="2"/>
      <c r="G5755" s="2"/>
      <c r="H5755" s="2"/>
    </row>
    <row r="5756" spans="1:8" x14ac:dyDescent="0.25">
      <c r="A5756" s="1"/>
      <c r="B5756" s="1" t="s">
        <v>4202</v>
      </c>
      <c r="C5756" s="1" t="s">
        <v>4203</v>
      </c>
      <c r="D5756" s="22" t="str">
        <f>HYPERLINK("https://rhld.insurance.arkansas.gov/NPILookup?Npi=1477634335","1477634335")</f>
        <v>1477634335</v>
      </c>
      <c r="E5756" s="1" t="s">
        <v>17567</v>
      </c>
      <c r="F5756" s="2"/>
      <c r="G5756" s="2"/>
      <c r="H5756" s="2"/>
    </row>
    <row r="5757" spans="1:8" x14ac:dyDescent="0.25">
      <c r="A5757" s="1"/>
      <c r="B5757" s="1" t="s">
        <v>4202</v>
      </c>
      <c r="C5757" s="1" t="s">
        <v>4203</v>
      </c>
      <c r="D5757" s="22" t="str">
        <f>HYPERLINK("https://rhld.insurance.arkansas.gov/NPILookup?Npi=1477692630","1477692630")</f>
        <v>1477692630</v>
      </c>
      <c r="E5757" s="1" t="s">
        <v>2855</v>
      </c>
      <c r="F5757" s="2"/>
      <c r="G5757" s="2"/>
      <c r="H5757" s="2"/>
    </row>
    <row r="5758" spans="1:8" x14ac:dyDescent="0.25">
      <c r="A5758" s="1"/>
      <c r="B5758" s="1" t="s">
        <v>4202</v>
      </c>
      <c r="C5758" s="1" t="s">
        <v>4203</v>
      </c>
      <c r="D5758" s="22" t="str">
        <f>HYPERLINK("https://rhld.insurance.arkansas.gov/NPILookup?Npi=1477726529","1477726529")</f>
        <v>1477726529</v>
      </c>
      <c r="E5758" s="1" t="s">
        <v>4383</v>
      </c>
      <c r="F5758" s="2"/>
      <c r="G5758" s="2"/>
      <c r="H5758" s="2"/>
    </row>
    <row r="5759" spans="1:8" x14ac:dyDescent="0.25">
      <c r="A5759" s="1"/>
      <c r="B5759" s="1" t="s">
        <v>4202</v>
      </c>
      <c r="C5759" s="1" t="s">
        <v>4203</v>
      </c>
      <c r="D5759" s="22" t="str">
        <f>HYPERLINK("https://rhld.insurance.arkansas.gov/NPILookup?Npi=1477745644","1477745644")</f>
        <v>1477745644</v>
      </c>
      <c r="E5759" s="1" t="s">
        <v>17569</v>
      </c>
      <c r="F5759" s="2"/>
      <c r="G5759" s="2"/>
      <c r="H5759" s="2"/>
    </row>
    <row r="5760" spans="1:8" x14ac:dyDescent="0.25">
      <c r="A5760" s="1"/>
      <c r="B5760" s="1" t="s">
        <v>4202</v>
      </c>
      <c r="C5760" s="1" t="s">
        <v>4203</v>
      </c>
      <c r="D5760" s="22" t="str">
        <f>HYPERLINK("https://rhld.insurance.arkansas.gov/NPILookup?Npi=1477747582","1477747582")</f>
        <v>1477747582</v>
      </c>
      <c r="E5760" s="1" t="s">
        <v>1604</v>
      </c>
      <c r="F5760" s="2"/>
      <c r="G5760" s="2"/>
      <c r="H5760" s="2"/>
    </row>
    <row r="5761" spans="1:8" x14ac:dyDescent="0.25">
      <c r="A5761" s="1"/>
      <c r="B5761" s="1" t="s">
        <v>4202</v>
      </c>
      <c r="C5761" s="1" t="s">
        <v>4203</v>
      </c>
      <c r="D5761" s="22" t="str">
        <f>HYPERLINK("https://rhld.insurance.arkansas.gov/NPILookup?Npi=1477817914","1477817914")</f>
        <v>1477817914</v>
      </c>
      <c r="E5761" s="1" t="s">
        <v>10323</v>
      </c>
      <c r="F5761" s="2"/>
      <c r="G5761" s="2"/>
      <c r="H5761" s="2"/>
    </row>
    <row r="5762" spans="1:8" x14ac:dyDescent="0.25">
      <c r="A5762" s="1"/>
      <c r="B5762" s="1" t="s">
        <v>4202</v>
      </c>
      <c r="C5762" s="1" t="s">
        <v>4203</v>
      </c>
      <c r="D5762" s="22" t="str">
        <f>HYPERLINK("https://rhld.insurance.arkansas.gov/NPILookup?Npi=1477845766","1477845766")</f>
        <v>1477845766</v>
      </c>
      <c r="E5762" s="1" t="s">
        <v>17570</v>
      </c>
      <c r="F5762" s="2"/>
      <c r="G5762" s="2"/>
      <c r="H5762" s="2"/>
    </row>
    <row r="5763" spans="1:8" x14ac:dyDescent="0.25">
      <c r="A5763" s="1"/>
      <c r="B5763" s="1" t="s">
        <v>4202</v>
      </c>
      <c r="C5763" s="1" t="s">
        <v>4203</v>
      </c>
      <c r="D5763" s="22" t="str">
        <f>HYPERLINK("https://rhld.insurance.arkansas.gov/NPILookup?Npi=1477900850","1477900850")</f>
        <v>1477900850</v>
      </c>
      <c r="E5763" s="1" t="s">
        <v>17571</v>
      </c>
      <c r="F5763" s="2"/>
      <c r="G5763" s="2"/>
      <c r="H5763" s="2"/>
    </row>
    <row r="5764" spans="1:8" x14ac:dyDescent="0.25">
      <c r="A5764" s="1"/>
      <c r="B5764" s="1" t="s">
        <v>4202</v>
      </c>
      <c r="C5764" s="1" t="s">
        <v>4203</v>
      </c>
      <c r="D5764" s="22" t="str">
        <f>HYPERLINK("https://rhld.insurance.arkansas.gov/NPILookup?Npi=1477992352","1477992352")</f>
        <v>1477992352</v>
      </c>
      <c r="E5764" s="1" t="s">
        <v>202</v>
      </c>
      <c r="F5764" s="2"/>
      <c r="G5764" s="2"/>
      <c r="H5764" s="2"/>
    </row>
    <row r="5765" spans="1:8" x14ac:dyDescent="0.25">
      <c r="A5765" s="1"/>
      <c r="B5765" s="1" t="s">
        <v>4202</v>
      </c>
      <c r="C5765" s="1" t="s">
        <v>4203</v>
      </c>
      <c r="D5765" s="22" t="str">
        <f>HYPERLINK("https://rhld.insurance.arkansas.gov/NPILookup?Npi=1477996619","1477996619")</f>
        <v>1477996619</v>
      </c>
      <c r="E5765" s="1" t="s">
        <v>10324</v>
      </c>
      <c r="F5765" s="2"/>
      <c r="G5765" s="2"/>
      <c r="H5765" s="2"/>
    </row>
    <row r="5766" spans="1:8" x14ac:dyDescent="0.25">
      <c r="A5766" s="1"/>
      <c r="B5766" s="1" t="s">
        <v>4202</v>
      </c>
      <c r="C5766" s="1" t="s">
        <v>4203</v>
      </c>
      <c r="D5766" s="22" t="str">
        <f>HYPERLINK("https://rhld.insurance.arkansas.gov/NPILookup?Npi=1487001848","1487001848")</f>
        <v>1487001848</v>
      </c>
      <c r="E5766" s="1" t="s">
        <v>17572</v>
      </c>
      <c r="F5766" s="2"/>
      <c r="G5766" s="2"/>
      <c r="H5766" s="2"/>
    </row>
    <row r="5767" spans="1:8" x14ac:dyDescent="0.25">
      <c r="A5767" s="1"/>
      <c r="B5767" s="1" t="s">
        <v>4202</v>
      </c>
      <c r="C5767" s="1" t="s">
        <v>4203</v>
      </c>
      <c r="D5767" s="22" t="str">
        <f>HYPERLINK("https://rhld.insurance.arkansas.gov/NPILookup?Npi=1487008793","1487008793")</f>
        <v>1487008793</v>
      </c>
      <c r="E5767" s="1" t="s">
        <v>17573</v>
      </c>
      <c r="F5767" s="2"/>
      <c r="G5767" s="2"/>
      <c r="H5767" s="2"/>
    </row>
    <row r="5768" spans="1:8" x14ac:dyDescent="0.25">
      <c r="A5768" s="1"/>
      <c r="B5768" s="1" t="s">
        <v>4202</v>
      </c>
      <c r="C5768" s="1" t="s">
        <v>4203</v>
      </c>
      <c r="D5768" s="22" t="str">
        <f>HYPERLINK("https://rhld.insurance.arkansas.gov/NPILookup?Npi=1487061149","1487061149")</f>
        <v>1487061149</v>
      </c>
      <c r="E5768" s="1" t="s">
        <v>866</v>
      </c>
      <c r="F5768" s="2"/>
      <c r="G5768" s="2"/>
      <c r="H5768" s="2"/>
    </row>
    <row r="5769" spans="1:8" x14ac:dyDescent="0.25">
      <c r="A5769" s="1"/>
      <c r="B5769" s="1" t="s">
        <v>4202</v>
      </c>
      <c r="C5769" s="1" t="s">
        <v>4203</v>
      </c>
      <c r="D5769" s="22" t="str">
        <f>HYPERLINK("https://rhld.insurance.arkansas.gov/NPILookup?Npi=1487074712","1487074712")</f>
        <v>1487074712</v>
      </c>
      <c r="E5769" s="1" t="s">
        <v>3146</v>
      </c>
      <c r="F5769" s="2"/>
      <c r="G5769" s="2"/>
      <c r="H5769" s="2"/>
    </row>
    <row r="5770" spans="1:8" x14ac:dyDescent="0.25">
      <c r="A5770" s="1"/>
      <c r="B5770" s="1" t="s">
        <v>4202</v>
      </c>
      <c r="C5770" s="1" t="s">
        <v>4203</v>
      </c>
      <c r="D5770" s="22" t="str">
        <f>HYPERLINK("https://rhld.insurance.arkansas.gov/NPILookup?Npi=1487091088","1487091088")</f>
        <v>1487091088</v>
      </c>
      <c r="E5770" s="1" t="s">
        <v>4384</v>
      </c>
      <c r="F5770" s="2"/>
      <c r="G5770" s="2"/>
      <c r="H5770" s="2"/>
    </row>
    <row r="5771" spans="1:8" x14ac:dyDescent="0.25">
      <c r="A5771" s="1"/>
      <c r="B5771" s="1" t="s">
        <v>4202</v>
      </c>
      <c r="C5771" s="1" t="s">
        <v>4203</v>
      </c>
      <c r="D5771" s="22" t="str">
        <f>HYPERLINK("https://rhld.insurance.arkansas.gov/NPILookup?Npi=1487098463","1487098463")</f>
        <v>1487098463</v>
      </c>
      <c r="E5771" s="1" t="s">
        <v>10325</v>
      </c>
      <c r="F5771" s="2"/>
      <c r="G5771" s="2"/>
      <c r="H5771" s="2"/>
    </row>
    <row r="5772" spans="1:8" x14ac:dyDescent="0.25">
      <c r="A5772" s="1"/>
      <c r="B5772" s="1" t="s">
        <v>4202</v>
      </c>
      <c r="C5772" s="1" t="s">
        <v>4203</v>
      </c>
      <c r="D5772" s="22" t="str">
        <f>HYPERLINK("https://rhld.insurance.arkansas.gov/NPILookup?Npi=1487183968","1487183968")</f>
        <v>1487183968</v>
      </c>
      <c r="E5772" s="1" t="s">
        <v>4385</v>
      </c>
      <c r="F5772" s="2"/>
      <c r="G5772" s="2"/>
      <c r="H5772" s="2"/>
    </row>
    <row r="5773" spans="1:8" x14ac:dyDescent="0.25">
      <c r="A5773" s="1"/>
      <c r="B5773" s="1" t="s">
        <v>4202</v>
      </c>
      <c r="C5773" s="1" t="s">
        <v>4203</v>
      </c>
      <c r="D5773" s="22" t="str">
        <f>HYPERLINK("https://rhld.insurance.arkansas.gov/NPILookup?Npi=1487233037","1487233037")</f>
        <v>1487233037</v>
      </c>
      <c r="E5773" s="1" t="s">
        <v>17574</v>
      </c>
      <c r="F5773" s="2"/>
      <c r="G5773" s="2"/>
      <c r="H5773" s="2"/>
    </row>
    <row r="5774" spans="1:8" x14ac:dyDescent="0.25">
      <c r="A5774" s="1"/>
      <c r="B5774" s="1" t="s">
        <v>4202</v>
      </c>
      <c r="C5774" s="1" t="s">
        <v>4203</v>
      </c>
      <c r="D5774" s="22" t="str">
        <f>HYPERLINK("https://rhld.insurance.arkansas.gov/NPILookup?Npi=1487281986","1487281986")</f>
        <v>1487281986</v>
      </c>
      <c r="E5774" s="1" t="s">
        <v>10327</v>
      </c>
      <c r="F5774" s="2"/>
      <c r="G5774" s="2"/>
      <c r="H5774" s="2"/>
    </row>
    <row r="5775" spans="1:8" x14ac:dyDescent="0.25">
      <c r="A5775" s="1"/>
      <c r="B5775" s="1" t="s">
        <v>4202</v>
      </c>
      <c r="C5775" s="1" t="s">
        <v>4203</v>
      </c>
      <c r="D5775" s="22" t="str">
        <f>HYPERLINK("https://rhld.insurance.arkansas.gov/NPILookup?Npi=1487283990","1487283990")</f>
        <v>1487283990</v>
      </c>
      <c r="E5775" s="1" t="s">
        <v>10328</v>
      </c>
      <c r="F5775" s="2"/>
      <c r="G5775" s="2"/>
      <c r="H5775" s="2"/>
    </row>
    <row r="5776" spans="1:8" x14ac:dyDescent="0.25">
      <c r="A5776" s="1"/>
      <c r="B5776" s="1" t="s">
        <v>4202</v>
      </c>
      <c r="C5776" s="1" t="s">
        <v>4203</v>
      </c>
      <c r="D5776" s="22" t="str">
        <f>HYPERLINK("https://rhld.insurance.arkansas.gov/NPILookup?Npi=1487609541","1487609541")</f>
        <v>1487609541</v>
      </c>
      <c r="E5776" s="1" t="s">
        <v>13849</v>
      </c>
      <c r="F5776" s="2"/>
      <c r="G5776" s="2"/>
      <c r="H5776" s="2"/>
    </row>
    <row r="5777" spans="1:8" x14ac:dyDescent="0.25">
      <c r="A5777" s="1"/>
      <c r="B5777" s="1" t="s">
        <v>4202</v>
      </c>
      <c r="C5777" s="1" t="s">
        <v>4203</v>
      </c>
      <c r="D5777" s="22" t="str">
        <f>HYPERLINK("https://rhld.insurance.arkansas.gov/NPILookup?Npi=1487611919","1487611919")</f>
        <v>1487611919</v>
      </c>
      <c r="E5777" s="1" t="s">
        <v>4386</v>
      </c>
      <c r="F5777" s="2"/>
      <c r="G5777" s="2"/>
      <c r="H5777" s="2"/>
    </row>
    <row r="5778" spans="1:8" x14ac:dyDescent="0.25">
      <c r="A5778" s="1"/>
      <c r="B5778" s="1" t="s">
        <v>4202</v>
      </c>
      <c r="C5778" s="1" t="s">
        <v>4203</v>
      </c>
      <c r="D5778" s="22" t="str">
        <f>HYPERLINK("https://rhld.insurance.arkansas.gov/NPILookup?Npi=1487617791","1487617791")</f>
        <v>1487617791</v>
      </c>
      <c r="E5778" s="1" t="s">
        <v>14306</v>
      </c>
      <c r="F5778" s="2"/>
      <c r="G5778" s="2"/>
      <c r="H5778" s="2"/>
    </row>
    <row r="5779" spans="1:8" x14ac:dyDescent="0.25">
      <c r="A5779" s="1"/>
      <c r="B5779" s="1" t="s">
        <v>4202</v>
      </c>
      <c r="C5779" s="1" t="s">
        <v>4203</v>
      </c>
      <c r="D5779" s="22" t="str">
        <f>HYPERLINK("https://rhld.insurance.arkansas.gov/NPILookup?Npi=1487629150","1487629150")</f>
        <v>1487629150</v>
      </c>
      <c r="E5779" s="1" t="s">
        <v>17575</v>
      </c>
      <c r="F5779" s="2"/>
      <c r="G5779" s="2"/>
      <c r="H5779" s="2"/>
    </row>
    <row r="5780" spans="1:8" x14ac:dyDescent="0.25">
      <c r="A5780" s="1"/>
      <c r="B5780" s="1" t="s">
        <v>4202</v>
      </c>
      <c r="C5780" s="1" t="s">
        <v>4203</v>
      </c>
      <c r="D5780" s="22" t="str">
        <f>HYPERLINK("https://rhld.insurance.arkansas.gov/NPILookup?Npi=1487712808","1487712808")</f>
        <v>1487712808</v>
      </c>
      <c r="E5780" s="1" t="s">
        <v>17576</v>
      </c>
      <c r="F5780" s="2"/>
      <c r="G5780" s="2"/>
      <c r="H5780" s="2"/>
    </row>
    <row r="5781" spans="1:8" x14ac:dyDescent="0.25">
      <c r="A5781" s="1"/>
      <c r="B5781" s="1" t="s">
        <v>4202</v>
      </c>
      <c r="C5781" s="1" t="s">
        <v>4203</v>
      </c>
      <c r="D5781" s="22" t="str">
        <f>HYPERLINK("https://rhld.insurance.arkansas.gov/NPILookup?Npi=1487744041","1487744041")</f>
        <v>1487744041</v>
      </c>
      <c r="E5781" s="1" t="s">
        <v>4387</v>
      </c>
      <c r="F5781" s="2"/>
      <c r="G5781" s="2"/>
      <c r="H5781" s="2"/>
    </row>
    <row r="5782" spans="1:8" x14ac:dyDescent="0.25">
      <c r="A5782" s="1"/>
      <c r="B5782" s="1" t="s">
        <v>4202</v>
      </c>
      <c r="C5782" s="1" t="s">
        <v>4203</v>
      </c>
      <c r="D5782" s="22" t="str">
        <f>HYPERLINK("https://rhld.insurance.arkansas.gov/NPILookup?Npi=1487761151","1487761151")</f>
        <v>1487761151</v>
      </c>
      <c r="E5782" s="1" t="s">
        <v>17577</v>
      </c>
      <c r="F5782" s="2"/>
      <c r="G5782" s="2"/>
      <c r="H5782" s="2"/>
    </row>
    <row r="5783" spans="1:8" x14ac:dyDescent="0.25">
      <c r="A5783" s="1"/>
      <c r="B5783" s="1" t="s">
        <v>4202</v>
      </c>
      <c r="C5783" s="1" t="s">
        <v>4203</v>
      </c>
      <c r="D5783" s="22" t="str">
        <f>HYPERLINK("https://rhld.insurance.arkansas.gov/NPILookup?Npi=1487768784","1487768784")</f>
        <v>1487768784</v>
      </c>
      <c r="E5783" s="1" t="s">
        <v>17578</v>
      </c>
      <c r="F5783" s="2"/>
      <c r="G5783" s="2"/>
      <c r="H5783" s="2"/>
    </row>
    <row r="5784" spans="1:8" x14ac:dyDescent="0.25">
      <c r="A5784" s="1"/>
      <c r="B5784" s="1" t="s">
        <v>4202</v>
      </c>
      <c r="C5784" s="1" t="s">
        <v>4203</v>
      </c>
      <c r="D5784" s="22" t="str">
        <f>HYPERLINK("https://rhld.insurance.arkansas.gov/NPILookup?Npi=1487881439","1487881439")</f>
        <v>1487881439</v>
      </c>
      <c r="E5784" s="1" t="s">
        <v>10329</v>
      </c>
      <c r="F5784" s="2"/>
      <c r="G5784" s="2"/>
      <c r="H5784" s="2"/>
    </row>
    <row r="5785" spans="1:8" x14ac:dyDescent="0.25">
      <c r="A5785" s="1"/>
      <c r="B5785" s="1" t="s">
        <v>4202</v>
      </c>
      <c r="C5785" s="1" t="s">
        <v>4203</v>
      </c>
      <c r="D5785" s="22" t="str">
        <f>HYPERLINK("https://rhld.insurance.arkansas.gov/NPILookup?Npi=1487913570","1487913570")</f>
        <v>1487913570</v>
      </c>
      <c r="E5785" s="1" t="s">
        <v>17583</v>
      </c>
      <c r="F5785" s="2"/>
      <c r="G5785" s="2"/>
      <c r="H5785" s="2"/>
    </row>
    <row r="5786" spans="1:8" x14ac:dyDescent="0.25">
      <c r="A5786" s="1"/>
      <c r="B5786" s="1" t="s">
        <v>4202</v>
      </c>
      <c r="C5786" s="1" t="s">
        <v>4203</v>
      </c>
      <c r="D5786" s="22" t="str">
        <f>HYPERLINK("https://rhld.insurance.arkansas.gov/NPILookup?Npi=1487918702","1487918702")</f>
        <v>1487918702</v>
      </c>
      <c r="E5786" s="1" t="s">
        <v>10330</v>
      </c>
      <c r="F5786" s="2"/>
      <c r="G5786" s="2"/>
      <c r="H5786" s="2"/>
    </row>
    <row r="5787" spans="1:8" x14ac:dyDescent="0.25">
      <c r="A5787" s="1"/>
      <c r="B5787" s="1" t="s">
        <v>4202</v>
      </c>
      <c r="C5787" s="1" t="s">
        <v>4203</v>
      </c>
      <c r="D5787" s="22" t="str">
        <f>HYPERLINK("https://rhld.insurance.arkansas.gov/NPILookup?Npi=1487944617","1487944617")</f>
        <v>1487944617</v>
      </c>
      <c r="E5787" s="1" t="s">
        <v>4388</v>
      </c>
      <c r="F5787" s="2"/>
      <c r="G5787" s="2"/>
      <c r="H5787" s="2"/>
    </row>
    <row r="5788" spans="1:8" x14ac:dyDescent="0.25">
      <c r="A5788" s="1"/>
      <c r="B5788" s="1" t="s">
        <v>4202</v>
      </c>
      <c r="C5788" s="1" t="s">
        <v>4203</v>
      </c>
      <c r="D5788" s="22" t="str">
        <f>HYPERLINK("https://rhld.insurance.arkansas.gov/NPILookup?Npi=1487974036","1487974036")</f>
        <v>1487974036</v>
      </c>
      <c r="E5788" s="1" t="s">
        <v>4389</v>
      </c>
      <c r="F5788" s="2"/>
      <c r="G5788" s="2"/>
      <c r="H5788" s="2"/>
    </row>
    <row r="5789" spans="1:8" x14ac:dyDescent="0.25">
      <c r="A5789" s="1"/>
      <c r="B5789" s="1" t="s">
        <v>4202</v>
      </c>
      <c r="C5789" s="1" t="s">
        <v>4203</v>
      </c>
      <c r="D5789" s="22" t="str">
        <f>HYPERLINK("https://rhld.insurance.arkansas.gov/NPILookup?Npi=1497000582","1497000582")</f>
        <v>1497000582</v>
      </c>
      <c r="E5789" s="1" t="s">
        <v>10331</v>
      </c>
      <c r="F5789" s="2"/>
      <c r="G5789" s="2"/>
      <c r="H5789" s="2"/>
    </row>
    <row r="5790" spans="1:8" x14ac:dyDescent="0.25">
      <c r="A5790" s="1"/>
      <c r="B5790" s="1" t="s">
        <v>4202</v>
      </c>
      <c r="C5790" s="1" t="s">
        <v>4203</v>
      </c>
      <c r="D5790" s="22" t="str">
        <f>HYPERLINK("https://rhld.insurance.arkansas.gov/NPILookup?Npi=1497216766","1497216766")</f>
        <v>1497216766</v>
      </c>
      <c r="E5790" s="1" t="s">
        <v>17586</v>
      </c>
      <c r="F5790" s="2"/>
      <c r="G5790" s="2"/>
      <c r="H5790" s="2"/>
    </row>
    <row r="5791" spans="1:8" x14ac:dyDescent="0.25">
      <c r="A5791" s="1"/>
      <c r="B5791" s="1" t="s">
        <v>4202</v>
      </c>
      <c r="C5791" s="1" t="s">
        <v>4203</v>
      </c>
      <c r="D5791" s="22" t="str">
        <f>HYPERLINK("https://rhld.insurance.arkansas.gov/NPILookup?Npi=1497218242","1497218242")</f>
        <v>1497218242</v>
      </c>
      <c r="E5791" s="1" t="s">
        <v>4390</v>
      </c>
      <c r="F5791" s="2"/>
      <c r="G5791" s="2"/>
      <c r="H5791" s="2"/>
    </row>
    <row r="5792" spans="1:8" x14ac:dyDescent="0.25">
      <c r="A5792" s="1"/>
      <c r="B5792" s="1" t="s">
        <v>4202</v>
      </c>
      <c r="C5792" s="1" t="s">
        <v>4203</v>
      </c>
      <c r="D5792" s="22" t="str">
        <f>HYPERLINK("https://rhld.insurance.arkansas.gov/NPILookup?Npi=1497246086","1497246086")</f>
        <v>1497246086</v>
      </c>
      <c r="E5792" s="1" t="s">
        <v>10332</v>
      </c>
      <c r="F5792" s="2"/>
      <c r="G5792" s="2"/>
      <c r="H5792" s="2"/>
    </row>
    <row r="5793" spans="1:8" x14ac:dyDescent="0.25">
      <c r="A5793" s="1"/>
      <c r="B5793" s="1" t="s">
        <v>4202</v>
      </c>
      <c r="C5793" s="1" t="s">
        <v>4203</v>
      </c>
      <c r="D5793" s="22" t="str">
        <f>HYPERLINK("https://rhld.insurance.arkansas.gov/NPILookup?Npi=1497251383","1497251383")</f>
        <v>1497251383</v>
      </c>
      <c r="E5793" s="1" t="s">
        <v>1833</v>
      </c>
      <c r="F5793" s="2"/>
      <c r="G5793" s="2"/>
      <c r="H5793" s="2"/>
    </row>
    <row r="5794" spans="1:8" x14ac:dyDescent="0.25">
      <c r="A5794" s="1"/>
      <c r="B5794" s="1" t="s">
        <v>4202</v>
      </c>
      <c r="C5794" s="1" t="s">
        <v>4203</v>
      </c>
      <c r="D5794" s="22" t="str">
        <f>HYPERLINK("https://rhld.insurance.arkansas.gov/NPILookup?Npi=1497288138","1497288138")</f>
        <v>1497288138</v>
      </c>
      <c r="E5794" s="1" t="s">
        <v>17587</v>
      </c>
      <c r="F5794" s="2"/>
      <c r="G5794" s="2"/>
      <c r="H5794" s="2"/>
    </row>
    <row r="5795" spans="1:8" x14ac:dyDescent="0.25">
      <c r="A5795" s="1"/>
      <c r="B5795" s="1" t="s">
        <v>4202</v>
      </c>
      <c r="C5795" s="1" t="s">
        <v>4203</v>
      </c>
      <c r="D5795" s="22" t="str">
        <f>HYPERLINK("https://rhld.insurance.arkansas.gov/NPILookup?Npi=1497376107","1497376107")</f>
        <v>1497376107</v>
      </c>
      <c r="E5795" s="1" t="s">
        <v>4392</v>
      </c>
      <c r="F5795" s="2"/>
      <c r="G5795" s="2"/>
      <c r="H5795" s="2"/>
    </row>
    <row r="5796" spans="1:8" x14ac:dyDescent="0.25">
      <c r="A5796" s="1"/>
      <c r="B5796" s="1" t="s">
        <v>4202</v>
      </c>
      <c r="C5796" s="1" t="s">
        <v>4203</v>
      </c>
      <c r="D5796" s="22" t="str">
        <f>HYPERLINK("https://rhld.insurance.arkansas.gov/NPILookup?Npi=1497381503","1497381503")</f>
        <v>1497381503</v>
      </c>
      <c r="E5796" s="1" t="s">
        <v>4393</v>
      </c>
      <c r="F5796" s="2"/>
      <c r="G5796" s="2"/>
      <c r="H5796" s="2"/>
    </row>
    <row r="5797" spans="1:8" x14ac:dyDescent="0.25">
      <c r="A5797" s="1"/>
      <c r="B5797" s="1" t="s">
        <v>4202</v>
      </c>
      <c r="C5797" s="1" t="s">
        <v>4203</v>
      </c>
      <c r="D5797" s="22" t="str">
        <f>HYPERLINK("https://rhld.insurance.arkansas.gov/NPILookup?Npi=1497702096","1497702096")</f>
        <v>1497702096</v>
      </c>
      <c r="E5797" s="1" t="s">
        <v>17588</v>
      </c>
      <c r="F5797" s="2"/>
      <c r="G5797" s="2"/>
      <c r="H5797" s="2"/>
    </row>
    <row r="5798" spans="1:8" x14ac:dyDescent="0.25">
      <c r="A5798" s="1"/>
      <c r="B5798" s="1" t="s">
        <v>4202</v>
      </c>
      <c r="C5798" s="1" t="s">
        <v>4203</v>
      </c>
      <c r="D5798" s="22" t="str">
        <f>HYPERLINK("https://rhld.insurance.arkansas.gov/NPILookup?Npi=1497771927","1497771927")</f>
        <v>1497771927</v>
      </c>
      <c r="E5798" s="1" t="s">
        <v>17590</v>
      </c>
      <c r="F5798" s="2"/>
      <c r="G5798" s="2"/>
      <c r="H5798" s="2"/>
    </row>
    <row r="5799" spans="1:8" x14ac:dyDescent="0.25">
      <c r="A5799" s="1"/>
      <c r="B5799" s="1" t="s">
        <v>4202</v>
      </c>
      <c r="C5799" s="1" t="s">
        <v>4203</v>
      </c>
      <c r="D5799" s="22" t="str">
        <f>HYPERLINK("https://rhld.insurance.arkansas.gov/NPILookup?Npi=1497866099","1497866099")</f>
        <v>1497866099</v>
      </c>
      <c r="E5799" s="1" t="s">
        <v>17592</v>
      </c>
      <c r="F5799" s="2"/>
      <c r="G5799" s="2"/>
      <c r="H5799" s="2"/>
    </row>
    <row r="5800" spans="1:8" x14ac:dyDescent="0.25">
      <c r="A5800" s="1"/>
      <c r="B5800" s="1" t="s">
        <v>4202</v>
      </c>
      <c r="C5800" s="1" t="s">
        <v>4203</v>
      </c>
      <c r="D5800" s="22" t="str">
        <f>HYPERLINK("https://rhld.insurance.arkansas.gov/NPILookup?Npi=1497896096","1497896096")</f>
        <v>1497896096</v>
      </c>
      <c r="E5800" s="1" t="s">
        <v>10335</v>
      </c>
      <c r="F5800" s="2"/>
      <c r="G5800" s="2"/>
      <c r="H5800" s="2"/>
    </row>
    <row r="5801" spans="1:8" x14ac:dyDescent="0.25">
      <c r="A5801" s="1"/>
      <c r="B5801" s="1" t="s">
        <v>4202</v>
      </c>
      <c r="C5801" s="1" t="s">
        <v>4203</v>
      </c>
      <c r="D5801" s="22" t="str">
        <f>HYPERLINK("https://rhld.insurance.arkansas.gov/NPILookup?Npi=1508020652","1508020652")</f>
        <v>1508020652</v>
      </c>
      <c r="E5801" s="1" t="s">
        <v>17594</v>
      </c>
      <c r="F5801" s="2"/>
      <c r="G5801" s="2"/>
      <c r="H5801" s="2"/>
    </row>
    <row r="5802" spans="1:8" x14ac:dyDescent="0.25">
      <c r="A5802" s="1"/>
      <c r="B5802" s="1" t="s">
        <v>4202</v>
      </c>
      <c r="C5802" s="1" t="s">
        <v>4203</v>
      </c>
      <c r="D5802" s="22" t="str">
        <f>HYPERLINK("https://rhld.insurance.arkansas.gov/NPILookup?Npi=1508078932","1508078932")</f>
        <v>1508078932</v>
      </c>
      <c r="E5802" s="1" t="s">
        <v>17595</v>
      </c>
      <c r="F5802" s="2"/>
      <c r="G5802" s="2"/>
      <c r="H5802" s="2"/>
    </row>
    <row r="5803" spans="1:8" x14ac:dyDescent="0.25">
      <c r="A5803" s="1"/>
      <c r="B5803" s="1" t="s">
        <v>4202</v>
      </c>
      <c r="C5803" s="1" t="s">
        <v>4203</v>
      </c>
      <c r="D5803" s="22" t="str">
        <f>HYPERLINK("https://rhld.insurance.arkansas.gov/NPILookup?Npi=1508087115","1508087115")</f>
        <v>1508087115</v>
      </c>
      <c r="E5803" s="1" t="s">
        <v>17596</v>
      </c>
      <c r="F5803" s="2"/>
      <c r="G5803" s="2"/>
      <c r="H5803" s="2"/>
    </row>
    <row r="5804" spans="1:8" x14ac:dyDescent="0.25">
      <c r="A5804" s="1"/>
      <c r="B5804" s="1" t="s">
        <v>4202</v>
      </c>
      <c r="C5804" s="1" t="s">
        <v>4203</v>
      </c>
      <c r="D5804" s="22" t="str">
        <f>HYPERLINK("https://rhld.insurance.arkansas.gov/NPILookup?Npi=1508197997","1508197997")</f>
        <v>1508197997</v>
      </c>
      <c r="E5804" s="1" t="s">
        <v>10336</v>
      </c>
      <c r="F5804" s="2"/>
      <c r="G5804" s="2"/>
      <c r="H5804" s="2"/>
    </row>
    <row r="5805" spans="1:8" x14ac:dyDescent="0.25">
      <c r="A5805" s="1"/>
      <c r="B5805" s="1" t="s">
        <v>4202</v>
      </c>
      <c r="C5805" s="1" t="s">
        <v>4203</v>
      </c>
      <c r="D5805" s="22" t="str">
        <f>HYPERLINK("https://rhld.insurance.arkansas.gov/NPILookup?Npi=1508201195","1508201195")</f>
        <v>1508201195</v>
      </c>
      <c r="E5805" s="1" t="s">
        <v>4154</v>
      </c>
      <c r="F5805" s="2"/>
      <c r="G5805" s="2"/>
      <c r="H5805" s="2"/>
    </row>
    <row r="5806" spans="1:8" x14ac:dyDescent="0.25">
      <c r="A5806" s="1"/>
      <c r="B5806" s="1" t="s">
        <v>4202</v>
      </c>
      <c r="C5806" s="1" t="s">
        <v>4203</v>
      </c>
      <c r="D5806" s="22" t="str">
        <f>HYPERLINK("https://rhld.insurance.arkansas.gov/NPILookup?Npi=1508285800","1508285800")</f>
        <v>1508285800</v>
      </c>
      <c r="E5806" s="1" t="s">
        <v>4394</v>
      </c>
      <c r="F5806" s="2"/>
      <c r="G5806" s="2"/>
      <c r="H5806" s="2"/>
    </row>
    <row r="5807" spans="1:8" x14ac:dyDescent="0.25">
      <c r="A5807" s="1"/>
      <c r="B5807" s="1" t="s">
        <v>4202</v>
      </c>
      <c r="C5807" s="1" t="s">
        <v>4203</v>
      </c>
      <c r="D5807" s="22" t="str">
        <f>HYPERLINK("https://rhld.insurance.arkansas.gov/NPILookup?Npi=1508295601","1508295601")</f>
        <v>1508295601</v>
      </c>
      <c r="E5807" s="1" t="s">
        <v>17597</v>
      </c>
      <c r="F5807" s="2"/>
      <c r="G5807" s="2"/>
      <c r="H5807" s="2"/>
    </row>
    <row r="5808" spans="1:8" x14ac:dyDescent="0.25">
      <c r="A5808" s="1"/>
      <c r="B5808" s="1" t="s">
        <v>4202</v>
      </c>
      <c r="C5808" s="1" t="s">
        <v>4203</v>
      </c>
      <c r="D5808" s="22" t="str">
        <f>HYPERLINK("https://rhld.insurance.arkansas.gov/NPILookup?Npi=1508327669","1508327669")</f>
        <v>1508327669</v>
      </c>
      <c r="E5808" s="1" t="s">
        <v>17598</v>
      </c>
      <c r="F5808" s="2"/>
      <c r="G5808" s="2"/>
      <c r="H5808" s="2"/>
    </row>
    <row r="5809" spans="1:8" x14ac:dyDescent="0.25">
      <c r="A5809" s="1"/>
      <c r="B5809" s="1" t="s">
        <v>4202</v>
      </c>
      <c r="C5809" s="1" t="s">
        <v>4203</v>
      </c>
      <c r="D5809" s="22" t="str">
        <f>HYPERLINK("https://rhld.insurance.arkansas.gov/NPILookup?Npi=1508327727","1508327727")</f>
        <v>1508327727</v>
      </c>
      <c r="E5809" s="1" t="s">
        <v>10337</v>
      </c>
      <c r="F5809" s="2"/>
      <c r="G5809" s="2"/>
      <c r="H5809" s="2"/>
    </row>
    <row r="5810" spans="1:8" x14ac:dyDescent="0.25">
      <c r="A5810" s="1"/>
      <c r="B5810" s="1" t="s">
        <v>4202</v>
      </c>
      <c r="C5810" s="1" t="s">
        <v>4203</v>
      </c>
      <c r="D5810" s="22" t="str">
        <f>HYPERLINK("https://rhld.insurance.arkansas.gov/NPILookup?Npi=1508362369","1508362369")</f>
        <v>1508362369</v>
      </c>
      <c r="E5810" s="1" t="s">
        <v>10338</v>
      </c>
      <c r="F5810" s="2"/>
      <c r="G5810" s="2"/>
      <c r="H5810" s="2"/>
    </row>
    <row r="5811" spans="1:8" x14ac:dyDescent="0.25">
      <c r="A5811" s="1"/>
      <c r="B5811" s="1" t="s">
        <v>4202</v>
      </c>
      <c r="C5811" s="1" t="s">
        <v>4203</v>
      </c>
      <c r="D5811" s="22" t="str">
        <f>HYPERLINK("https://rhld.insurance.arkansas.gov/NPILookup?Npi=1508362591","1508362591")</f>
        <v>1508362591</v>
      </c>
      <c r="E5811" s="1" t="s">
        <v>17599</v>
      </c>
      <c r="F5811" s="2"/>
      <c r="G5811" s="2"/>
      <c r="H5811" s="2"/>
    </row>
    <row r="5812" spans="1:8" x14ac:dyDescent="0.25">
      <c r="A5812" s="1"/>
      <c r="B5812" s="1" t="s">
        <v>4202</v>
      </c>
      <c r="C5812" s="1" t="s">
        <v>4203</v>
      </c>
      <c r="D5812" s="22" t="str">
        <f>HYPERLINK("https://rhld.insurance.arkansas.gov/NPILookup?Npi=1508487042","1508487042")</f>
        <v>1508487042</v>
      </c>
      <c r="E5812" s="1" t="s">
        <v>17600</v>
      </c>
      <c r="F5812" s="2"/>
      <c r="G5812" s="2"/>
      <c r="H5812" s="2"/>
    </row>
    <row r="5813" spans="1:8" x14ac:dyDescent="0.25">
      <c r="A5813" s="1"/>
      <c r="B5813" s="1" t="s">
        <v>4202</v>
      </c>
      <c r="C5813" s="1" t="s">
        <v>4203</v>
      </c>
      <c r="D5813" s="22" t="str">
        <f>HYPERLINK("https://rhld.insurance.arkansas.gov/NPILookup?Npi=1508493511","1508493511")</f>
        <v>1508493511</v>
      </c>
      <c r="E5813" s="1" t="s">
        <v>4395</v>
      </c>
      <c r="F5813" s="2"/>
      <c r="G5813" s="2"/>
      <c r="H5813" s="2"/>
    </row>
    <row r="5814" spans="1:8" x14ac:dyDescent="0.25">
      <c r="A5814" s="1"/>
      <c r="B5814" s="1" t="s">
        <v>4202</v>
      </c>
      <c r="C5814" s="1" t="s">
        <v>4203</v>
      </c>
      <c r="D5814" s="22" t="str">
        <f>HYPERLINK("https://rhld.insurance.arkansas.gov/NPILookup?Npi=1508846742","1508846742")</f>
        <v>1508846742</v>
      </c>
      <c r="E5814" s="1" t="s">
        <v>10341</v>
      </c>
      <c r="F5814" s="2"/>
      <c r="G5814" s="2"/>
      <c r="H5814" s="2"/>
    </row>
    <row r="5815" spans="1:8" x14ac:dyDescent="0.25">
      <c r="A5815" s="1"/>
      <c r="B5815" s="1" t="s">
        <v>4202</v>
      </c>
      <c r="C5815" s="1" t="s">
        <v>4203</v>
      </c>
      <c r="D5815" s="22" t="str">
        <f>HYPERLINK("https://rhld.insurance.arkansas.gov/NPILookup?Npi=1508882952","1508882952")</f>
        <v>1508882952</v>
      </c>
      <c r="E5815" s="1" t="s">
        <v>17604</v>
      </c>
      <c r="F5815" s="2"/>
      <c r="G5815" s="2"/>
      <c r="H5815" s="2"/>
    </row>
    <row r="5816" spans="1:8" x14ac:dyDescent="0.25">
      <c r="A5816" s="1"/>
      <c r="B5816" s="1" t="s">
        <v>4202</v>
      </c>
      <c r="C5816" s="1" t="s">
        <v>4203</v>
      </c>
      <c r="D5816" s="22" t="str">
        <f>HYPERLINK("https://rhld.insurance.arkansas.gov/NPILookup?Npi=1508912403","1508912403")</f>
        <v>1508912403</v>
      </c>
      <c r="E5816" s="1" t="s">
        <v>4396</v>
      </c>
      <c r="F5816" s="2"/>
      <c r="G5816" s="2"/>
      <c r="H5816" s="2"/>
    </row>
    <row r="5817" spans="1:8" x14ac:dyDescent="0.25">
      <c r="A5817" s="1"/>
      <c r="B5817" s="1" t="s">
        <v>4202</v>
      </c>
      <c r="C5817" s="1" t="s">
        <v>4203</v>
      </c>
      <c r="D5817" s="22" t="str">
        <f>HYPERLINK("https://rhld.insurance.arkansas.gov/NPILookup?Npi=1508950148","1508950148")</f>
        <v>1508950148</v>
      </c>
      <c r="E5817" s="1" t="s">
        <v>4397</v>
      </c>
      <c r="F5817" s="2"/>
      <c r="G5817" s="2"/>
      <c r="H5817" s="2"/>
    </row>
    <row r="5818" spans="1:8" x14ac:dyDescent="0.25">
      <c r="A5818" s="1"/>
      <c r="B5818" s="1" t="s">
        <v>4202</v>
      </c>
      <c r="C5818" s="1" t="s">
        <v>4203</v>
      </c>
      <c r="D5818" s="22" t="str">
        <f>HYPERLINK("https://rhld.insurance.arkansas.gov/NPILookup?Npi=1508973629","1508973629")</f>
        <v>1508973629</v>
      </c>
      <c r="E5818" s="1" t="s">
        <v>10342</v>
      </c>
      <c r="F5818" s="2"/>
      <c r="G5818" s="2"/>
      <c r="H5818" s="2"/>
    </row>
    <row r="5819" spans="1:8" x14ac:dyDescent="0.25">
      <c r="A5819" s="1"/>
      <c r="B5819" s="1" t="s">
        <v>4202</v>
      </c>
      <c r="C5819" s="1" t="s">
        <v>4203</v>
      </c>
      <c r="D5819" s="22" t="str">
        <f>HYPERLINK("https://rhld.insurance.arkansas.gov/NPILookup?Npi=1508975491","1508975491")</f>
        <v>1508975491</v>
      </c>
      <c r="E5819" s="1" t="s">
        <v>4398</v>
      </c>
      <c r="F5819" s="2"/>
      <c r="G5819" s="2"/>
      <c r="H5819" s="2"/>
    </row>
    <row r="5820" spans="1:8" x14ac:dyDescent="0.25">
      <c r="A5820" s="1"/>
      <c r="B5820" s="1" t="s">
        <v>4202</v>
      </c>
      <c r="C5820" s="1" t="s">
        <v>4203</v>
      </c>
      <c r="D5820" s="22" t="str">
        <f>HYPERLINK("https://rhld.insurance.arkansas.gov/NPILookup?Npi=1518025964","1518025964")</f>
        <v>1518025964</v>
      </c>
      <c r="E5820" s="1" t="s">
        <v>17606</v>
      </c>
      <c r="F5820" s="2"/>
      <c r="G5820" s="2"/>
      <c r="H5820" s="2"/>
    </row>
    <row r="5821" spans="1:8" x14ac:dyDescent="0.25">
      <c r="A5821" s="1"/>
      <c r="B5821" s="1" t="s">
        <v>4202</v>
      </c>
      <c r="C5821" s="1" t="s">
        <v>4203</v>
      </c>
      <c r="D5821" s="22" t="str">
        <f>HYPERLINK("https://rhld.insurance.arkansas.gov/NPILookup?Npi=1518131283","1518131283")</f>
        <v>1518131283</v>
      </c>
      <c r="E5821" s="1" t="s">
        <v>4399</v>
      </c>
      <c r="F5821" s="2"/>
      <c r="G5821" s="2"/>
      <c r="H5821" s="2"/>
    </row>
    <row r="5822" spans="1:8" x14ac:dyDescent="0.25">
      <c r="A5822" s="1"/>
      <c r="B5822" s="1" t="s">
        <v>4202</v>
      </c>
      <c r="C5822" s="1" t="s">
        <v>4203</v>
      </c>
      <c r="D5822" s="22" t="str">
        <f>HYPERLINK("https://rhld.insurance.arkansas.gov/NPILookup?Npi=1518157296","1518157296")</f>
        <v>1518157296</v>
      </c>
      <c r="E5822" s="1" t="s">
        <v>17607</v>
      </c>
      <c r="F5822" s="2"/>
      <c r="G5822" s="2"/>
      <c r="H5822" s="2"/>
    </row>
    <row r="5823" spans="1:8" x14ac:dyDescent="0.25">
      <c r="A5823" s="1"/>
      <c r="B5823" s="1" t="s">
        <v>4202</v>
      </c>
      <c r="C5823" s="1" t="s">
        <v>4203</v>
      </c>
      <c r="D5823" s="22" t="str">
        <f>HYPERLINK("https://rhld.insurance.arkansas.gov/NPILookup?Npi=1518196195","1518196195")</f>
        <v>1518196195</v>
      </c>
      <c r="E5823" s="1" t="s">
        <v>10343</v>
      </c>
      <c r="F5823" s="2"/>
      <c r="G5823" s="2"/>
      <c r="H5823" s="2"/>
    </row>
    <row r="5824" spans="1:8" x14ac:dyDescent="0.25">
      <c r="A5824" s="1"/>
      <c r="B5824" s="1" t="s">
        <v>4202</v>
      </c>
      <c r="C5824" s="1" t="s">
        <v>4203</v>
      </c>
      <c r="D5824" s="22" t="str">
        <f>HYPERLINK("https://rhld.insurance.arkansas.gov/NPILookup?Npi=1518220862","1518220862")</f>
        <v>1518220862</v>
      </c>
      <c r="E5824" s="1" t="s">
        <v>10344</v>
      </c>
      <c r="F5824" s="2"/>
      <c r="G5824" s="2"/>
      <c r="H5824" s="2"/>
    </row>
    <row r="5825" spans="1:8" x14ac:dyDescent="0.25">
      <c r="A5825" s="1"/>
      <c r="B5825" s="1" t="s">
        <v>4202</v>
      </c>
      <c r="C5825" s="1" t="s">
        <v>4203</v>
      </c>
      <c r="D5825" s="22" t="str">
        <f>HYPERLINK("https://rhld.insurance.arkansas.gov/NPILookup?Npi=1518304971","1518304971")</f>
        <v>1518304971</v>
      </c>
      <c r="E5825" s="1" t="s">
        <v>17609</v>
      </c>
      <c r="F5825" s="2"/>
      <c r="G5825" s="2"/>
      <c r="H5825" s="2"/>
    </row>
    <row r="5826" spans="1:8" x14ac:dyDescent="0.25">
      <c r="A5826" s="1"/>
      <c r="B5826" s="1" t="s">
        <v>4202</v>
      </c>
      <c r="C5826" s="1" t="s">
        <v>4203</v>
      </c>
      <c r="D5826" s="22" t="str">
        <f>HYPERLINK("https://rhld.insurance.arkansas.gov/NPILookup?Npi=1518353705","1518353705")</f>
        <v>1518353705</v>
      </c>
      <c r="E5826" s="1" t="s">
        <v>17610</v>
      </c>
      <c r="F5826" s="2"/>
      <c r="G5826" s="2"/>
      <c r="H5826" s="2"/>
    </row>
    <row r="5827" spans="1:8" x14ac:dyDescent="0.25">
      <c r="A5827" s="1"/>
      <c r="B5827" s="1" t="s">
        <v>4202</v>
      </c>
      <c r="C5827" s="1" t="s">
        <v>4203</v>
      </c>
      <c r="D5827" s="22" t="str">
        <f>HYPERLINK("https://rhld.insurance.arkansas.gov/NPILookup?Npi=1518386903","1518386903")</f>
        <v>1518386903</v>
      </c>
      <c r="E5827" s="1" t="s">
        <v>10346</v>
      </c>
      <c r="F5827" s="2"/>
      <c r="G5827" s="2"/>
      <c r="H5827" s="2"/>
    </row>
    <row r="5828" spans="1:8" x14ac:dyDescent="0.25">
      <c r="A5828" s="1"/>
      <c r="B5828" s="1" t="s">
        <v>4202</v>
      </c>
      <c r="C5828" s="1" t="s">
        <v>4203</v>
      </c>
      <c r="D5828" s="22" t="str">
        <f>HYPERLINK("https://rhld.insurance.arkansas.gov/NPILookup?Npi=1518489954","1518489954")</f>
        <v>1518489954</v>
      </c>
      <c r="E5828" s="1" t="s">
        <v>17611</v>
      </c>
      <c r="F5828" s="2"/>
      <c r="G5828" s="2"/>
      <c r="H5828" s="2"/>
    </row>
    <row r="5829" spans="1:8" x14ac:dyDescent="0.25">
      <c r="A5829" s="1"/>
      <c r="B5829" s="1" t="s">
        <v>4202</v>
      </c>
      <c r="C5829" s="1" t="s">
        <v>4203</v>
      </c>
      <c r="D5829" s="22" t="str">
        <f>HYPERLINK("https://rhld.insurance.arkansas.gov/NPILookup?Npi=1518900869","1518900869")</f>
        <v>1518900869</v>
      </c>
      <c r="E5829" s="1" t="s">
        <v>10347</v>
      </c>
      <c r="F5829" s="2"/>
      <c r="G5829" s="2"/>
      <c r="H5829" s="2"/>
    </row>
    <row r="5830" spans="1:8" x14ac:dyDescent="0.25">
      <c r="A5830" s="1"/>
      <c r="B5830" s="1" t="s">
        <v>4202</v>
      </c>
      <c r="C5830" s="1" t="s">
        <v>4203</v>
      </c>
      <c r="D5830" s="22" t="str">
        <f>HYPERLINK("https://rhld.insurance.arkansas.gov/NPILookup?Npi=1518908375","1518908375")</f>
        <v>1518908375</v>
      </c>
      <c r="E5830" s="1" t="s">
        <v>31445</v>
      </c>
      <c r="F5830" s="2"/>
      <c r="G5830" s="2"/>
      <c r="H5830" s="2"/>
    </row>
    <row r="5831" spans="1:8" x14ac:dyDescent="0.25">
      <c r="A5831" s="1"/>
      <c r="B5831" s="1" t="s">
        <v>4202</v>
      </c>
      <c r="C5831" s="1" t="s">
        <v>4203</v>
      </c>
      <c r="D5831" s="22" t="str">
        <f>HYPERLINK("https://rhld.insurance.arkansas.gov/NPILookup?Npi=1518956127","1518956127")</f>
        <v>1518956127</v>
      </c>
      <c r="E5831" s="1" t="s">
        <v>4400</v>
      </c>
      <c r="F5831" s="2"/>
      <c r="G5831" s="2"/>
      <c r="H5831" s="2"/>
    </row>
    <row r="5832" spans="1:8" x14ac:dyDescent="0.25">
      <c r="A5832" s="1"/>
      <c r="B5832" s="1" t="s">
        <v>4202</v>
      </c>
      <c r="C5832" s="1" t="s">
        <v>4203</v>
      </c>
      <c r="D5832" s="22" t="str">
        <f>HYPERLINK("https://rhld.insurance.arkansas.gov/NPILookup?Npi=1528007838","1528007838")</f>
        <v>1528007838</v>
      </c>
      <c r="E5832" s="1" t="s">
        <v>10351</v>
      </c>
      <c r="F5832" s="2"/>
      <c r="G5832" s="2"/>
      <c r="H5832" s="2"/>
    </row>
    <row r="5833" spans="1:8" x14ac:dyDescent="0.25">
      <c r="A5833" s="1"/>
      <c r="B5833" s="1" t="s">
        <v>4202</v>
      </c>
      <c r="C5833" s="1" t="s">
        <v>4203</v>
      </c>
      <c r="D5833" s="22" t="str">
        <f>HYPERLINK("https://rhld.insurance.arkansas.gov/NPILookup?Npi=1528021649","1528021649")</f>
        <v>1528021649</v>
      </c>
      <c r="E5833" s="1" t="s">
        <v>17615</v>
      </c>
      <c r="F5833" s="2"/>
      <c r="G5833" s="2"/>
      <c r="H5833" s="2"/>
    </row>
    <row r="5834" spans="1:8" x14ac:dyDescent="0.25">
      <c r="A5834" s="1"/>
      <c r="B5834" s="1" t="s">
        <v>4202</v>
      </c>
      <c r="C5834" s="1" t="s">
        <v>4203</v>
      </c>
      <c r="D5834" s="22" t="str">
        <f>HYPERLINK("https://rhld.insurance.arkansas.gov/NPILookup?Npi=1528026705","1528026705")</f>
        <v>1528026705</v>
      </c>
      <c r="E5834" s="1" t="s">
        <v>17616</v>
      </c>
      <c r="F5834" s="2"/>
      <c r="G5834" s="2"/>
      <c r="H5834" s="2"/>
    </row>
    <row r="5835" spans="1:8" x14ac:dyDescent="0.25">
      <c r="A5835" s="1"/>
      <c r="B5835" s="1" t="s">
        <v>4202</v>
      </c>
      <c r="C5835" s="1" t="s">
        <v>4203</v>
      </c>
      <c r="D5835" s="22" t="str">
        <f>HYPERLINK("https://rhld.insurance.arkansas.gov/NPILookup?Npi=1528046315","1528046315")</f>
        <v>1528046315</v>
      </c>
      <c r="E5835" s="1" t="s">
        <v>4401</v>
      </c>
      <c r="F5835" s="2"/>
      <c r="G5835" s="2"/>
      <c r="H5835" s="2"/>
    </row>
    <row r="5836" spans="1:8" x14ac:dyDescent="0.25">
      <c r="A5836" s="1"/>
      <c r="B5836" s="1" t="s">
        <v>4202</v>
      </c>
      <c r="C5836" s="1" t="s">
        <v>4203</v>
      </c>
      <c r="D5836" s="22" t="str">
        <f>HYPERLINK("https://rhld.insurance.arkansas.gov/NPILookup?Npi=1528059219","1528059219")</f>
        <v>1528059219</v>
      </c>
      <c r="E5836" s="1" t="s">
        <v>4402</v>
      </c>
      <c r="F5836" s="2"/>
      <c r="G5836" s="2"/>
      <c r="H5836" s="2"/>
    </row>
    <row r="5837" spans="1:8" x14ac:dyDescent="0.25">
      <c r="A5837" s="1"/>
      <c r="B5837" s="1" t="s">
        <v>4202</v>
      </c>
      <c r="C5837" s="1" t="s">
        <v>4203</v>
      </c>
      <c r="D5837" s="22" t="str">
        <f>HYPERLINK("https://rhld.insurance.arkansas.gov/NPILookup?Npi=1528070638","1528070638")</f>
        <v>1528070638</v>
      </c>
      <c r="E5837" s="1" t="s">
        <v>10352</v>
      </c>
      <c r="F5837" s="2"/>
      <c r="G5837" s="2"/>
      <c r="H5837" s="2"/>
    </row>
    <row r="5838" spans="1:8" x14ac:dyDescent="0.25">
      <c r="A5838" s="1"/>
      <c r="B5838" s="1" t="s">
        <v>4202</v>
      </c>
      <c r="C5838" s="1" t="s">
        <v>4203</v>
      </c>
      <c r="D5838" s="22" t="str">
        <f>HYPERLINK("https://rhld.insurance.arkansas.gov/NPILookup?Npi=1528145695","1528145695")</f>
        <v>1528145695</v>
      </c>
      <c r="E5838" s="1" t="s">
        <v>3187</v>
      </c>
      <c r="F5838" s="2"/>
      <c r="G5838" s="2"/>
      <c r="H5838" s="2"/>
    </row>
    <row r="5839" spans="1:8" x14ac:dyDescent="0.25">
      <c r="A5839" s="1"/>
      <c r="B5839" s="1" t="s">
        <v>4202</v>
      </c>
      <c r="C5839" s="1" t="s">
        <v>4203</v>
      </c>
      <c r="D5839" s="22" t="str">
        <f>HYPERLINK("https://rhld.insurance.arkansas.gov/NPILookup?Npi=1528179264","1528179264")</f>
        <v>1528179264</v>
      </c>
      <c r="E5839" s="1" t="s">
        <v>17617</v>
      </c>
      <c r="F5839" s="2"/>
      <c r="G5839" s="2"/>
      <c r="H5839" s="2"/>
    </row>
    <row r="5840" spans="1:8" x14ac:dyDescent="0.25">
      <c r="A5840" s="1"/>
      <c r="B5840" s="1" t="s">
        <v>4202</v>
      </c>
      <c r="C5840" s="1" t="s">
        <v>4203</v>
      </c>
      <c r="D5840" s="22" t="str">
        <f>HYPERLINK("https://rhld.insurance.arkansas.gov/NPILookup?Npi=1528201001","1528201001")</f>
        <v>1528201001</v>
      </c>
      <c r="E5840" s="1" t="s">
        <v>10353</v>
      </c>
      <c r="F5840" s="2"/>
      <c r="G5840" s="2"/>
      <c r="H5840" s="2"/>
    </row>
    <row r="5841" spans="1:8" x14ac:dyDescent="0.25">
      <c r="A5841" s="1"/>
      <c r="B5841" s="1" t="s">
        <v>4202</v>
      </c>
      <c r="C5841" s="1" t="s">
        <v>4203</v>
      </c>
      <c r="D5841" s="22" t="str">
        <f>HYPERLINK("https://rhld.insurance.arkansas.gov/NPILookup?Npi=1528283538","1528283538")</f>
        <v>1528283538</v>
      </c>
      <c r="E5841" s="1" t="s">
        <v>17618</v>
      </c>
      <c r="F5841" s="2"/>
      <c r="G5841" s="2"/>
      <c r="H5841" s="2"/>
    </row>
    <row r="5842" spans="1:8" x14ac:dyDescent="0.25">
      <c r="A5842" s="1"/>
      <c r="B5842" s="1" t="s">
        <v>4202</v>
      </c>
      <c r="C5842" s="1" t="s">
        <v>4203</v>
      </c>
      <c r="D5842" s="22" t="str">
        <f>HYPERLINK("https://rhld.insurance.arkansas.gov/NPILookup?Npi=1528301207","1528301207")</f>
        <v>1528301207</v>
      </c>
      <c r="E5842" s="1" t="s">
        <v>17619</v>
      </c>
      <c r="F5842" s="2"/>
      <c r="G5842" s="2"/>
      <c r="H5842" s="2"/>
    </row>
    <row r="5843" spans="1:8" x14ac:dyDescent="0.25">
      <c r="A5843" s="1"/>
      <c r="B5843" s="1" t="s">
        <v>4202</v>
      </c>
      <c r="C5843" s="1" t="s">
        <v>4203</v>
      </c>
      <c r="D5843" s="22" t="str">
        <f>HYPERLINK("https://rhld.insurance.arkansas.gov/NPILookup?Npi=1528325529","1528325529")</f>
        <v>1528325529</v>
      </c>
      <c r="E5843" s="1" t="s">
        <v>10354</v>
      </c>
      <c r="F5843" s="2"/>
      <c r="G5843" s="2"/>
      <c r="H5843" s="2"/>
    </row>
    <row r="5844" spans="1:8" x14ac:dyDescent="0.25">
      <c r="A5844" s="1"/>
      <c r="B5844" s="1" t="s">
        <v>4202</v>
      </c>
      <c r="C5844" s="1" t="s">
        <v>4203</v>
      </c>
      <c r="D5844" s="22" t="str">
        <f>HYPERLINK("https://rhld.insurance.arkansas.gov/NPILookup?Npi=1528382199","1528382199")</f>
        <v>1528382199</v>
      </c>
      <c r="E5844" s="1" t="s">
        <v>17620</v>
      </c>
      <c r="F5844" s="2"/>
      <c r="G5844" s="2"/>
      <c r="H5844" s="2"/>
    </row>
    <row r="5845" spans="1:8" x14ac:dyDescent="0.25">
      <c r="A5845" s="1"/>
      <c r="B5845" s="1" t="s">
        <v>4202</v>
      </c>
      <c r="C5845" s="1" t="s">
        <v>4203</v>
      </c>
      <c r="D5845" s="22" t="str">
        <f>HYPERLINK("https://rhld.insurance.arkansas.gov/NPILookup?Npi=1528404662","1528404662")</f>
        <v>1528404662</v>
      </c>
      <c r="E5845" s="1" t="s">
        <v>4403</v>
      </c>
      <c r="F5845" s="2"/>
      <c r="G5845" s="2"/>
      <c r="H5845" s="2"/>
    </row>
    <row r="5846" spans="1:8" x14ac:dyDescent="0.25">
      <c r="A5846" s="1"/>
      <c r="B5846" s="1" t="s">
        <v>4202</v>
      </c>
      <c r="C5846" s="1" t="s">
        <v>4203</v>
      </c>
      <c r="D5846" s="22" t="str">
        <f>HYPERLINK("https://rhld.insurance.arkansas.gov/NPILookup?Npi=1528453727","1528453727")</f>
        <v>1528453727</v>
      </c>
      <c r="E5846" s="1" t="s">
        <v>17622</v>
      </c>
      <c r="F5846" s="2"/>
      <c r="G5846" s="2"/>
      <c r="H5846" s="2"/>
    </row>
    <row r="5847" spans="1:8" x14ac:dyDescent="0.25">
      <c r="A5847" s="1"/>
      <c r="B5847" s="1" t="s">
        <v>4202</v>
      </c>
      <c r="C5847" s="1" t="s">
        <v>4203</v>
      </c>
      <c r="D5847" s="22" t="str">
        <f>HYPERLINK("https://rhld.insurance.arkansas.gov/NPILookup?Npi=1528472289","1528472289")</f>
        <v>1528472289</v>
      </c>
      <c r="E5847" s="1" t="s">
        <v>10356</v>
      </c>
      <c r="F5847" s="2"/>
      <c r="G5847" s="2"/>
      <c r="H5847" s="2"/>
    </row>
    <row r="5848" spans="1:8" x14ac:dyDescent="0.25">
      <c r="A5848" s="1"/>
      <c r="B5848" s="1" t="s">
        <v>4202</v>
      </c>
      <c r="C5848" s="1" t="s">
        <v>4203</v>
      </c>
      <c r="D5848" s="22" t="str">
        <f>HYPERLINK("https://rhld.insurance.arkansas.gov/NPILookup?Npi=1528644218","1528644218")</f>
        <v>1528644218</v>
      </c>
      <c r="E5848" s="1" t="s">
        <v>4404</v>
      </c>
      <c r="F5848" s="2"/>
      <c r="G5848" s="2"/>
      <c r="H5848" s="2"/>
    </row>
    <row r="5849" spans="1:8" x14ac:dyDescent="0.25">
      <c r="A5849" s="1"/>
      <c r="B5849" s="1" t="s">
        <v>4202</v>
      </c>
      <c r="C5849" s="1" t="s">
        <v>4203</v>
      </c>
      <c r="D5849" s="22" t="str">
        <f>HYPERLINK("https://rhld.insurance.arkansas.gov/NPILookup?Npi=1538107354","1538107354")</f>
        <v>1538107354</v>
      </c>
      <c r="E5849" s="1" t="s">
        <v>17624</v>
      </c>
      <c r="F5849" s="2"/>
      <c r="G5849" s="2"/>
      <c r="H5849" s="2"/>
    </row>
    <row r="5850" spans="1:8" x14ac:dyDescent="0.25">
      <c r="A5850" s="1"/>
      <c r="B5850" s="1" t="s">
        <v>4202</v>
      </c>
      <c r="C5850" s="1" t="s">
        <v>4203</v>
      </c>
      <c r="D5850" s="22" t="str">
        <f>HYPERLINK("https://rhld.insurance.arkansas.gov/NPILookup?Npi=1538123757","1538123757")</f>
        <v>1538123757</v>
      </c>
      <c r="E5850" s="1" t="s">
        <v>31446</v>
      </c>
      <c r="F5850" s="2"/>
      <c r="G5850" s="2"/>
      <c r="H5850" s="2"/>
    </row>
    <row r="5851" spans="1:8" x14ac:dyDescent="0.25">
      <c r="A5851" s="1"/>
      <c r="B5851" s="1" t="s">
        <v>4202</v>
      </c>
      <c r="C5851" s="1" t="s">
        <v>4203</v>
      </c>
      <c r="D5851" s="22" t="str">
        <f>HYPERLINK("https://rhld.insurance.arkansas.gov/NPILookup?Npi=1538160536","1538160536")</f>
        <v>1538160536</v>
      </c>
      <c r="E5851" s="1" t="s">
        <v>241</v>
      </c>
      <c r="F5851" s="2"/>
      <c r="G5851" s="2"/>
      <c r="H5851" s="2"/>
    </row>
    <row r="5852" spans="1:8" x14ac:dyDescent="0.25">
      <c r="A5852" s="1"/>
      <c r="B5852" s="1" t="s">
        <v>4202</v>
      </c>
      <c r="C5852" s="1" t="s">
        <v>4203</v>
      </c>
      <c r="D5852" s="22" t="str">
        <f>HYPERLINK("https://rhld.insurance.arkansas.gov/NPILookup?Npi=1538160601","1538160601")</f>
        <v>1538160601</v>
      </c>
      <c r="E5852" s="1" t="s">
        <v>4405</v>
      </c>
      <c r="F5852" s="2"/>
      <c r="G5852" s="2"/>
      <c r="H5852" s="2"/>
    </row>
    <row r="5853" spans="1:8" x14ac:dyDescent="0.25">
      <c r="A5853" s="1"/>
      <c r="B5853" s="1" t="s">
        <v>4202</v>
      </c>
      <c r="C5853" s="1" t="s">
        <v>4203</v>
      </c>
      <c r="D5853" s="22" t="str">
        <f>HYPERLINK("https://rhld.insurance.arkansas.gov/NPILookup?Npi=1538161559","1538161559")</f>
        <v>1538161559</v>
      </c>
      <c r="E5853" s="1" t="s">
        <v>10357</v>
      </c>
      <c r="F5853" s="2"/>
      <c r="G5853" s="2"/>
      <c r="H5853" s="2"/>
    </row>
    <row r="5854" spans="1:8" x14ac:dyDescent="0.25">
      <c r="A5854" s="1"/>
      <c r="B5854" s="1" t="s">
        <v>4202</v>
      </c>
      <c r="C5854" s="1" t="s">
        <v>4203</v>
      </c>
      <c r="D5854" s="22" t="str">
        <f>HYPERLINK("https://rhld.insurance.arkansas.gov/NPILookup?Npi=1538163506","1538163506")</f>
        <v>1538163506</v>
      </c>
      <c r="E5854" s="1" t="s">
        <v>2883</v>
      </c>
      <c r="F5854" s="2"/>
      <c r="G5854" s="2"/>
      <c r="H5854" s="2"/>
    </row>
    <row r="5855" spans="1:8" x14ac:dyDescent="0.25">
      <c r="A5855" s="1"/>
      <c r="B5855" s="1" t="s">
        <v>4202</v>
      </c>
      <c r="C5855" s="1" t="s">
        <v>4203</v>
      </c>
      <c r="D5855" s="22" t="str">
        <f>HYPERLINK("https://rhld.insurance.arkansas.gov/NPILookup?Npi=1538259197","1538259197")</f>
        <v>1538259197</v>
      </c>
      <c r="E5855" s="1" t="s">
        <v>4406</v>
      </c>
      <c r="F5855" s="2"/>
      <c r="G5855" s="2"/>
      <c r="H5855" s="2"/>
    </row>
    <row r="5856" spans="1:8" x14ac:dyDescent="0.25">
      <c r="A5856" s="1"/>
      <c r="B5856" s="1" t="s">
        <v>4202</v>
      </c>
      <c r="C5856" s="1" t="s">
        <v>4203</v>
      </c>
      <c r="D5856" s="22" t="str">
        <f>HYPERLINK("https://rhld.insurance.arkansas.gov/NPILookup?Npi=1538395231","1538395231")</f>
        <v>1538395231</v>
      </c>
      <c r="E5856" s="1" t="s">
        <v>4408</v>
      </c>
      <c r="F5856" s="2"/>
      <c r="G5856" s="2"/>
      <c r="H5856" s="2"/>
    </row>
    <row r="5857" spans="1:8" x14ac:dyDescent="0.25">
      <c r="A5857" s="1"/>
      <c r="B5857" s="1" t="s">
        <v>4202</v>
      </c>
      <c r="C5857" s="1" t="s">
        <v>4203</v>
      </c>
      <c r="D5857" s="22" t="str">
        <f>HYPERLINK("https://rhld.insurance.arkansas.gov/NPILookup?Npi=1538395967","1538395967")</f>
        <v>1538395967</v>
      </c>
      <c r="E5857" s="1" t="s">
        <v>17630</v>
      </c>
      <c r="F5857" s="2"/>
      <c r="G5857" s="2"/>
      <c r="H5857" s="2"/>
    </row>
    <row r="5858" spans="1:8" x14ac:dyDescent="0.25">
      <c r="A5858" s="1"/>
      <c r="B5858" s="1" t="s">
        <v>4202</v>
      </c>
      <c r="C5858" s="1" t="s">
        <v>4203</v>
      </c>
      <c r="D5858" s="22" t="str">
        <f>HYPERLINK("https://rhld.insurance.arkansas.gov/NPILookup?Npi=1538471875","1538471875")</f>
        <v>1538471875</v>
      </c>
      <c r="E5858" s="1" t="s">
        <v>17631</v>
      </c>
      <c r="F5858" s="2"/>
      <c r="G5858" s="2"/>
      <c r="H5858" s="2"/>
    </row>
    <row r="5859" spans="1:8" x14ac:dyDescent="0.25">
      <c r="A5859" s="1"/>
      <c r="B5859" s="1" t="s">
        <v>4202</v>
      </c>
      <c r="C5859" s="1" t="s">
        <v>4203</v>
      </c>
      <c r="D5859" s="22" t="str">
        <f>HYPERLINK("https://rhld.insurance.arkansas.gov/NPILookup?Npi=1538487285","1538487285")</f>
        <v>1538487285</v>
      </c>
      <c r="E5859" s="1" t="s">
        <v>17632</v>
      </c>
      <c r="F5859" s="2"/>
      <c r="G5859" s="2"/>
      <c r="H5859" s="2"/>
    </row>
    <row r="5860" spans="1:8" x14ac:dyDescent="0.25">
      <c r="A5860" s="1"/>
      <c r="B5860" s="1" t="s">
        <v>4202</v>
      </c>
      <c r="C5860" s="1" t="s">
        <v>4203</v>
      </c>
      <c r="D5860" s="22" t="str">
        <f>HYPERLINK("https://rhld.insurance.arkansas.gov/NPILookup?Npi=1538499454","1538499454")</f>
        <v>1538499454</v>
      </c>
      <c r="E5860" s="1" t="s">
        <v>17633</v>
      </c>
      <c r="F5860" s="2"/>
      <c r="G5860" s="2"/>
      <c r="H5860" s="2"/>
    </row>
    <row r="5861" spans="1:8" x14ac:dyDescent="0.25">
      <c r="A5861" s="1"/>
      <c r="B5861" s="1" t="s">
        <v>4202</v>
      </c>
      <c r="C5861" s="1" t="s">
        <v>4203</v>
      </c>
      <c r="D5861" s="22" t="str">
        <f>HYPERLINK("https://rhld.insurance.arkansas.gov/NPILookup?Npi=1538657119","1538657119")</f>
        <v>1538657119</v>
      </c>
      <c r="E5861" s="1" t="s">
        <v>4409</v>
      </c>
      <c r="F5861" s="2"/>
      <c r="G5861" s="2"/>
      <c r="H5861" s="2"/>
    </row>
    <row r="5862" spans="1:8" x14ac:dyDescent="0.25">
      <c r="A5862" s="1"/>
      <c r="B5862" s="1" t="s">
        <v>4202</v>
      </c>
      <c r="C5862" s="1" t="s">
        <v>4203</v>
      </c>
      <c r="D5862" s="22" t="str">
        <f>HYPERLINK("https://rhld.insurance.arkansas.gov/NPILookup?Npi=1538664388","1538664388")</f>
        <v>1538664388</v>
      </c>
      <c r="E5862" s="1" t="s">
        <v>31447</v>
      </c>
      <c r="F5862" s="2"/>
      <c r="G5862" s="2"/>
      <c r="H5862" s="2"/>
    </row>
    <row r="5863" spans="1:8" x14ac:dyDescent="0.25">
      <c r="A5863" s="1"/>
      <c r="B5863" s="1" t="s">
        <v>4202</v>
      </c>
      <c r="C5863" s="1" t="s">
        <v>4203</v>
      </c>
      <c r="D5863" s="22" t="str">
        <f>HYPERLINK("https://rhld.insurance.arkansas.gov/NPILookup?Npi=1538697438","1538697438")</f>
        <v>1538697438</v>
      </c>
      <c r="E5863" s="1" t="s">
        <v>17634</v>
      </c>
      <c r="F5863" s="2"/>
      <c r="G5863" s="2"/>
      <c r="H5863" s="2"/>
    </row>
    <row r="5864" spans="1:8" x14ac:dyDescent="0.25">
      <c r="A5864" s="1"/>
      <c r="B5864" s="1" t="s">
        <v>4202</v>
      </c>
      <c r="C5864" s="1" t="s">
        <v>4203</v>
      </c>
      <c r="D5864" s="22" t="str">
        <f>HYPERLINK("https://rhld.insurance.arkansas.gov/NPILookup?Npi=1538746441","1538746441")</f>
        <v>1538746441</v>
      </c>
      <c r="E5864" s="1" t="s">
        <v>4410</v>
      </c>
      <c r="F5864" s="2"/>
      <c r="G5864" s="2"/>
      <c r="H5864" s="2"/>
    </row>
    <row r="5865" spans="1:8" x14ac:dyDescent="0.25">
      <c r="A5865" s="1"/>
      <c r="B5865" s="1" t="s">
        <v>4202</v>
      </c>
      <c r="C5865" s="1" t="s">
        <v>4203</v>
      </c>
      <c r="D5865" s="22" t="str">
        <f>HYPERLINK("https://rhld.insurance.arkansas.gov/NPILookup?Npi=1538798855","1538798855")</f>
        <v>1538798855</v>
      </c>
      <c r="E5865" s="1" t="s">
        <v>17635</v>
      </c>
      <c r="F5865" s="2"/>
      <c r="G5865" s="2"/>
      <c r="H5865" s="2"/>
    </row>
    <row r="5866" spans="1:8" x14ac:dyDescent="0.25">
      <c r="A5866" s="1"/>
      <c r="B5866" s="1" t="s">
        <v>4202</v>
      </c>
      <c r="C5866" s="1" t="s">
        <v>4203</v>
      </c>
      <c r="D5866" s="22" t="str">
        <f>HYPERLINK("https://rhld.insurance.arkansas.gov/NPILookup?Npi=1548226418","1548226418")</f>
        <v>1548226418</v>
      </c>
      <c r="E5866" s="1" t="s">
        <v>17636</v>
      </c>
      <c r="F5866" s="2"/>
      <c r="G5866" s="2"/>
      <c r="H5866" s="2"/>
    </row>
    <row r="5867" spans="1:8" x14ac:dyDescent="0.25">
      <c r="A5867" s="1"/>
      <c r="B5867" s="1" t="s">
        <v>4202</v>
      </c>
      <c r="C5867" s="1" t="s">
        <v>4203</v>
      </c>
      <c r="D5867" s="22" t="str">
        <f>HYPERLINK("https://rhld.insurance.arkansas.gov/NPILookup?Npi=1548233968","1548233968")</f>
        <v>1548233968</v>
      </c>
      <c r="E5867" s="1" t="s">
        <v>10358</v>
      </c>
      <c r="F5867" s="2"/>
      <c r="G5867" s="2"/>
      <c r="H5867" s="2"/>
    </row>
    <row r="5868" spans="1:8" x14ac:dyDescent="0.25">
      <c r="A5868" s="1"/>
      <c r="B5868" s="1" t="s">
        <v>4202</v>
      </c>
      <c r="C5868" s="1" t="s">
        <v>4203</v>
      </c>
      <c r="D5868" s="22" t="str">
        <f>HYPERLINK("https://rhld.insurance.arkansas.gov/NPILookup?Npi=1548245608","1548245608")</f>
        <v>1548245608</v>
      </c>
      <c r="E5868" s="1" t="s">
        <v>17637</v>
      </c>
      <c r="F5868" s="2"/>
      <c r="G5868" s="2"/>
      <c r="H5868" s="2"/>
    </row>
    <row r="5869" spans="1:8" x14ac:dyDescent="0.25">
      <c r="A5869" s="1"/>
      <c r="B5869" s="1" t="s">
        <v>4202</v>
      </c>
      <c r="C5869" s="1" t="s">
        <v>4203</v>
      </c>
      <c r="D5869" s="22" t="str">
        <f>HYPERLINK("https://rhld.insurance.arkansas.gov/NPILookup?Npi=1548291420","1548291420")</f>
        <v>1548291420</v>
      </c>
      <c r="E5869" s="1" t="s">
        <v>17638</v>
      </c>
      <c r="F5869" s="2"/>
      <c r="G5869" s="2"/>
      <c r="H5869" s="2"/>
    </row>
    <row r="5870" spans="1:8" x14ac:dyDescent="0.25">
      <c r="A5870" s="1"/>
      <c r="B5870" s="1" t="s">
        <v>4202</v>
      </c>
      <c r="C5870" s="1" t="s">
        <v>4203</v>
      </c>
      <c r="D5870" s="22" t="str">
        <f>HYPERLINK("https://rhld.insurance.arkansas.gov/NPILookup?Npi=1548331085","1548331085")</f>
        <v>1548331085</v>
      </c>
      <c r="E5870" s="1" t="s">
        <v>17639</v>
      </c>
      <c r="F5870" s="2"/>
      <c r="G5870" s="2"/>
      <c r="H5870" s="2"/>
    </row>
    <row r="5871" spans="1:8" x14ac:dyDescent="0.25">
      <c r="A5871" s="1"/>
      <c r="B5871" s="1" t="s">
        <v>4202</v>
      </c>
      <c r="C5871" s="1" t="s">
        <v>4203</v>
      </c>
      <c r="D5871" s="22" t="str">
        <f>HYPERLINK("https://rhld.insurance.arkansas.gov/NPILookup?Npi=1548358500","1548358500")</f>
        <v>1548358500</v>
      </c>
      <c r="E5871" s="1" t="s">
        <v>4411</v>
      </c>
      <c r="F5871" s="2"/>
      <c r="G5871" s="2"/>
      <c r="H5871" s="2"/>
    </row>
    <row r="5872" spans="1:8" x14ac:dyDescent="0.25">
      <c r="A5872" s="1"/>
      <c r="B5872" s="1" t="s">
        <v>4202</v>
      </c>
      <c r="C5872" s="1" t="s">
        <v>4203</v>
      </c>
      <c r="D5872" s="22" t="str">
        <f>HYPERLINK("https://rhld.insurance.arkansas.gov/NPILookup?Npi=1548467376","1548467376")</f>
        <v>1548467376</v>
      </c>
      <c r="E5872" s="1" t="s">
        <v>16180</v>
      </c>
      <c r="F5872" s="2"/>
      <c r="G5872" s="2"/>
      <c r="H5872" s="2"/>
    </row>
    <row r="5873" spans="1:8" x14ac:dyDescent="0.25">
      <c r="A5873" s="1"/>
      <c r="B5873" s="1" t="s">
        <v>4202</v>
      </c>
      <c r="C5873" s="1" t="s">
        <v>4203</v>
      </c>
      <c r="D5873" s="22" t="str">
        <f>HYPERLINK("https://rhld.insurance.arkansas.gov/NPILookup?Npi=1548496839","1548496839")</f>
        <v>1548496839</v>
      </c>
      <c r="E5873" s="1" t="s">
        <v>10359</v>
      </c>
      <c r="F5873" s="2"/>
      <c r="G5873" s="2"/>
      <c r="H5873" s="2"/>
    </row>
    <row r="5874" spans="1:8" x14ac:dyDescent="0.25">
      <c r="A5874" s="1"/>
      <c r="B5874" s="1" t="s">
        <v>4202</v>
      </c>
      <c r="C5874" s="1" t="s">
        <v>4203</v>
      </c>
      <c r="D5874" s="22" t="str">
        <f>HYPERLINK("https://rhld.insurance.arkansas.gov/NPILookup?Npi=1548725013","1548725013")</f>
        <v>1548725013</v>
      </c>
      <c r="E5874" s="1" t="s">
        <v>10360</v>
      </c>
      <c r="F5874" s="2"/>
      <c r="G5874" s="2"/>
      <c r="H5874" s="2"/>
    </row>
    <row r="5875" spans="1:8" x14ac:dyDescent="0.25">
      <c r="A5875" s="1"/>
      <c r="B5875" s="1" t="s">
        <v>4202</v>
      </c>
      <c r="C5875" s="1" t="s">
        <v>4203</v>
      </c>
      <c r="D5875" s="22" t="str">
        <f>HYPERLINK("https://rhld.insurance.arkansas.gov/NPILookup?Npi=1548764467","1548764467")</f>
        <v>1548764467</v>
      </c>
      <c r="E5875" s="1" t="s">
        <v>17642</v>
      </c>
      <c r="F5875" s="2"/>
      <c r="G5875" s="2"/>
      <c r="H5875" s="2"/>
    </row>
    <row r="5876" spans="1:8" x14ac:dyDescent="0.25">
      <c r="A5876" s="1"/>
      <c r="B5876" s="1" t="s">
        <v>4202</v>
      </c>
      <c r="C5876" s="1" t="s">
        <v>4203</v>
      </c>
      <c r="D5876" s="22" t="str">
        <f>HYPERLINK("https://rhld.insurance.arkansas.gov/NPILookup?Npi=1548793748","1548793748")</f>
        <v>1548793748</v>
      </c>
      <c r="E5876" s="1" t="s">
        <v>17643</v>
      </c>
      <c r="F5876" s="2"/>
      <c r="G5876" s="2"/>
      <c r="H5876" s="2"/>
    </row>
    <row r="5877" spans="1:8" x14ac:dyDescent="0.25">
      <c r="A5877" s="1"/>
      <c r="B5877" s="1" t="s">
        <v>4202</v>
      </c>
      <c r="C5877" s="1" t="s">
        <v>4203</v>
      </c>
      <c r="D5877" s="22" t="str">
        <f>HYPERLINK("https://rhld.insurance.arkansas.gov/NPILookup?Npi=1558347286","1558347286")</f>
        <v>1558347286</v>
      </c>
      <c r="E5877" s="1" t="s">
        <v>17645</v>
      </c>
      <c r="F5877" s="2"/>
      <c r="G5877" s="2"/>
      <c r="H5877" s="2"/>
    </row>
    <row r="5878" spans="1:8" x14ac:dyDescent="0.25">
      <c r="A5878" s="1"/>
      <c r="B5878" s="1" t="s">
        <v>4202</v>
      </c>
      <c r="C5878" s="1" t="s">
        <v>4203</v>
      </c>
      <c r="D5878" s="22" t="str">
        <f>HYPERLINK("https://rhld.insurance.arkansas.gov/NPILookup?Npi=1558386698","1558386698")</f>
        <v>1558386698</v>
      </c>
      <c r="E5878" s="1" t="s">
        <v>17646</v>
      </c>
      <c r="F5878" s="2"/>
      <c r="G5878" s="2"/>
      <c r="H5878" s="2"/>
    </row>
    <row r="5879" spans="1:8" x14ac:dyDescent="0.25">
      <c r="A5879" s="1"/>
      <c r="B5879" s="1" t="s">
        <v>4202</v>
      </c>
      <c r="C5879" s="1" t="s">
        <v>4203</v>
      </c>
      <c r="D5879" s="22" t="str">
        <f>HYPERLINK("https://rhld.insurance.arkansas.gov/NPILookup?Npi=1558440180","1558440180")</f>
        <v>1558440180</v>
      </c>
      <c r="E5879" s="1" t="s">
        <v>10363</v>
      </c>
      <c r="F5879" s="2"/>
      <c r="G5879" s="2"/>
      <c r="H5879" s="2"/>
    </row>
    <row r="5880" spans="1:8" x14ac:dyDescent="0.25">
      <c r="A5880" s="1"/>
      <c r="B5880" s="1" t="s">
        <v>4202</v>
      </c>
      <c r="C5880" s="1" t="s">
        <v>4203</v>
      </c>
      <c r="D5880" s="22" t="str">
        <f>HYPERLINK("https://rhld.insurance.arkansas.gov/NPILookup?Npi=1558526384","1558526384")</f>
        <v>1558526384</v>
      </c>
      <c r="E5880" s="1" t="s">
        <v>17648</v>
      </c>
      <c r="F5880" s="2"/>
      <c r="G5880" s="2"/>
      <c r="H5880" s="2"/>
    </row>
    <row r="5881" spans="1:8" x14ac:dyDescent="0.25">
      <c r="A5881" s="1"/>
      <c r="B5881" s="1" t="s">
        <v>4202</v>
      </c>
      <c r="C5881" s="1" t="s">
        <v>4203</v>
      </c>
      <c r="D5881" s="22" t="str">
        <f>HYPERLINK("https://rhld.insurance.arkansas.gov/NPILookup?Npi=1558591198","1558591198")</f>
        <v>1558591198</v>
      </c>
      <c r="E5881" s="1" t="s">
        <v>17649</v>
      </c>
      <c r="F5881" s="2"/>
      <c r="G5881" s="2"/>
      <c r="H5881" s="2"/>
    </row>
    <row r="5882" spans="1:8" x14ac:dyDescent="0.25">
      <c r="A5882" s="1"/>
      <c r="B5882" s="1" t="s">
        <v>4202</v>
      </c>
      <c r="C5882" s="1" t="s">
        <v>4203</v>
      </c>
      <c r="D5882" s="22" t="str">
        <f>HYPERLINK("https://rhld.insurance.arkansas.gov/NPILookup?Npi=1558603951","1558603951")</f>
        <v>1558603951</v>
      </c>
      <c r="E5882" s="1" t="s">
        <v>17650</v>
      </c>
      <c r="F5882" s="2"/>
      <c r="G5882" s="2"/>
      <c r="H5882" s="2"/>
    </row>
    <row r="5883" spans="1:8" x14ac:dyDescent="0.25">
      <c r="A5883" s="1"/>
      <c r="B5883" s="1" t="s">
        <v>4202</v>
      </c>
      <c r="C5883" s="1" t="s">
        <v>4203</v>
      </c>
      <c r="D5883" s="22" t="str">
        <f>HYPERLINK("https://rhld.insurance.arkansas.gov/NPILookup?Npi=1558716738","1558716738")</f>
        <v>1558716738</v>
      </c>
      <c r="E5883" s="1" t="s">
        <v>1299</v>
      </c>
      <c r="F5883" s="2"/>
      <c r="G5883" s="2"/>
      <c r="H5883" s="2"/>
    </row>
    <row r="5884" spans="1:8" x14ac:dyDescent="0.25">
      <c r="A5884" s="1"/>
      <c r="B5884" s="1" t="s">
        <v>4202</v>
      </c>
      <c r="C5884" s="1" t="s">
        <v>4203</v>
      </c>
      <c r="D5884" s="22" t="str">
        <f>HYPERLINK("https://rhld.insurance.arkansas.gov/NPILookup?Npi=1558756718","1558756718")</f>
        <v>1558756718</v>
      </c>
      <c r="E5884" s="1" t="s">
        <v>17651</v>
      </c>
      <c r="F5884" s="2"/>
      <c r="G5884" s="2"/>
      <c r="H5884" s="2"/>
    </row>
    <row r="5885" spans="1:8" x14ac:dyDescent="0.25">
      <c r="A5885" s="1"/>
      <c r="B5885" s="1" t="s">
        <v>4202</v>
      </c>
      <c r="C5885" s="1" t="s">
        <v>4203</v>
      </c>
      <c r="D5885" s="22" t="str">
        <f>HYPERLINK("https://rhld.insurance.arkansas.gov/NPILookup?Npi=1558777086","1558777086")</f>
        <v>1558777086</v>
      </c>
      <c r="E5885" s="1" t="s">
        <v>4412</v>
      </c>
      <c r="F5885" s="2"/>
      <c r="G5885" s="2"/>
      <c r="H5885" s="2"/>
    </row>
    <row r="5886" spans="1:8" x14ac:dyDescent="0.25">
      <c r="A5886" s="1"/>
      <c r="B5886" s="1" t="s">
        <v>4202</v>
      </c>
      <c r="C5886" s="1" t="s">
        <v>4203</v>
      </c>
      <c r="D5886" s="22" t="str">
        <f>HYPERLINK("https://rhld.insurance.arkansas.gov/NPILookup?Npi=1558787143","1558787143")</f>
        <v>1558787143</v>
      </c>
      <c r="E5886" s="1" t="s">
        <v>4413</v>
      </c>
      <c r="F5886" s="2"/>
      <c r="G5886" s="2"/>
      <c r="H5886" s="2"/>
    </row>
    <row r="5887" spans="1:8" x14ac:dyDescent="0.25">
      <c r="A5887" s="1"/>
      <c r="B5887" s="1" t="s">
        <v>4202</v>
      </c>
      <c r="C5887" s="1" t="s">
        <v>4203</v>
      </c>
      <c r="D5887" s="22" t="str">
        <f>HYPERLINK("https://rhld.insurance.arkansas.gov/NPILookup?Npi=1558817205","1558817205")</f>
        <v>1558817205</v>
      </c>
      <c r="E5887" s="1" t="s">
        <v>2439</v>
      </c>
      <c r="F5887" s="2"/>
      <c r="G5887" s="2"/>
      <c r="H5887" s="2"/>
    </row>
    <row r="5888" spans="1:8" x14ac:dyDescent="0.25">
      <c r="A5888" s="1"/>
      <c r="B5888" s="1" t="s">
        <v>4202</v>
      </c>
      <c r="C5888" s="1" t="s">
        <v>4203</v>
      </c>
      <c r="D5888" s="22" t="str">
        <f>HYPERLINK("https://rhld.insurance.arkansas.gov/NPILookup?Npi=1558897967","1558897967")</f>
        <v>1558897967</v>
      </c>
      <c r="E5888" s="1" t="s">
        <v>17654</v>
      </c>
      <c r="F5888" s="2"/>
      <c r="G5888" s="2"/>
      <c r="H5888" s="2"/>
    </row>
    <row r="5889" spans="1:8" x14ac:dyDescent="0.25">
      <c r="A5889" s="1"/>
      <c r="B5889" s="1" t="s">
        <v>4202</v>
      </c>
      <c r="C5889" s="1" t="s">
        <v>4203</v>
      </c>
      <c r="D5889" s="22" t="str">
        <f>HYPERLINK("https://rhld.insurance.arkansas.gov/NPILookup?Npi=1568089555","1568089555")</f>
        <v>1568089555</v>
      </c>
      <c r="E5889" s="1" t="s">
        <v>4097</v>
      </c>
      <c r="F5889" s="2"/>
      <c r="G5889" s="2"/>
      <c r="H5889" s="2"/>
    </row>
    <row r="5890" spans="1:8" x14ac:dyDescent="0.25">
      <c r="A5890" s="1"/>
      <c r="B5890" s="1" t="s">
        <v>4202</v>
      </c>
      <c r="C5890" s="1" t="s">
        <v>4203</v>
      </c>
      <c r="D5890" s="22" t="str">
        <f>HYPERLINK("https://rhld.insurance.arkansas.gov/NPILookup?Npi=1568405413","1568405413")</f>
        <v>1568405413</v>
      </c>
      <c r="E5890" s="1" t="s">
        <v>10364</v>
      </c>
      <c r="F5890" s="2"/>
      <c r="G5890" s="2"/>
      <c r="H5890" s="2"/>
    </row>
    <row r="5891" spans="1:8" x14ac:dyDescent="0.25">
      <c r="A5891" s="1"/>
      <c r="B5891" s="1" t="s">
        <v>4202</v>
      </c>
      <c r="C5891" s="1" t="s">
        <v>4203</v>
      </c>
      <c r="D5891" s="22" t="str">
        <f>HYPERLINK("https://rhld.insurance.arkansas.gov/NPILookup?Npi=1568417756","1568417756")</f>
        <v>1568417756</v>
      </c>
      <c r="E5891" s="1" t="s">
        <v>10365</v>
      </c>
      <c r="F5891" s="2"/>
      <c r="G5891" s="2"/>
      <c r="H5891" s="2"/>
    </row>
    <row r="5892" spans="1:8" x14ac:dyDescent="0.25">
      <c r="A5892" s="1"/>
      <c r="B5892" s="1" t="s">
        <v>4202</v>
      </c>
      <c r="C5892" s="1" t="s">
        <v>4203</v>
      </c>
      <c r="D5892" s="22" t="str">
        <f>HYPERLINK("https://rhld.insurance.arkansas.gov/NPILookup?Npi=1568490621","1568490621")</f>
        <v>1568490621</v>
      </c>
      <c r="E5892" s="1" t="s">
        <v>31448</v>
      </c>
      <c r="F5892" s="2"/>
      <c r="G5892" s="2"/>
      <c r="H5892" s="2"/>
    </row>
    <row r="5893" spans="1:8" x14ac:dyDescent="0.25">
      <c r="A5893" s="1"/>
      <c r="B5893" s="1" t="s">
        <v>4202</v>
      </c>
      <c r="C5893" s="1" t="s">
        <v>4203</v>
      </c>
      <c r="D5893" s="22" t="str">
        <f>HYPERLINK("https://rhld.insurance.arkansas.gov/NPILookup?Npi=1568495638","1568495638")</f>
        <v>1568495638</v>
      </c>
      <c r="E5893" s="1" t="s">
        <v>31449</v>
      </c>
      <c r="F5893" s="2"/>
      <c r="G5893" s="2"/>
      <c r="H5893" s="2"/>
    </row>
    <row r="5894" spans="1:8" x14ac:dyDescent="0.25">
      <c r="A5894" s="1"/>
      <c r="B5894" s="1" t="s">
        <v>4202</v>
      </c>
      <c r="C5894" s="1" t="s">
        <v>4203</v>
      </c>
      <c r="D5894" s="22" t="str">
        <f>HYPERLINK("https://rhld.insurance.arkansas.gov/NPILookup?Npi=1568502938","1568502938")</f>
        <v>1568502938</v>
      </c>
      <c r="E5894" s="1" t="s">
        <v>9757</v>
      </c>
      <c r="F5894" s="2"/>
      <c r="G5894" s="2"/>
      <c r="H5894" s="2"/>
    </row>
    <row r="5895" spans="1:8" x14ac:dyDescent="0.25">
      <c r="A5895" s="1"/>
      <c r="B5895" s="1" t="s">
        <v>4202</v>
      </c>
      <c r="C5895" s="1" t="s">
        <v>4203</v>
      </c>
      <c r="D5895" s="22" t="str">
        <f>HYPERLINK("https://rhld.insurance.arkansas.gov/NPILookup?Npi=1568527190","1568527190")</f>
        <v>1568527190</v>
      </c>
      <c r="E5895" s="1" t="s">
        <v>10366</v>
      </c>
      <c r="F5895" s="2"/>
      <c r="G5895" s="2"/>
      <c r="H5895" s="2"/>
    </row>
    <row r="5896" spans="1:8" x14ac:dyDescent="0.25">
      <c r="A5896" s="1"/>
      <c r="B5896" s="1" t="s">
        <v>4202</v>
      </c>
      <c r="C5896" s="1" t="s">
        <v>4203</v>
      </c>
      <c r="D5896" s="22" t="str">
        <f>HYPERLINK("https://rhld.insurance.arkansas.gov/NPILookup?Npi=1568562106","1568562106")</f>
        <v>1568562106</v>
      </c>
      <c r="E5896" s="1" t="s">
        <v>17656</v>
      </c>
      <c r="F5896" s="2"/>
      <c r="G5896" s="2"/>
      <c r="H5896" s="2"/>
    </row>
    <row r="5897" spans="1:8" x14ac:dyDescent="0.25">
      <c r="A5897" s="1"/>
      <c r="B5897" s="1" t="s">
        <v>4202</v>
      </c>
      <c r="C5897" s="1" t="s">
        <v>4203</v>
      </c>
      <c r="D5897" s="22" t="str">
        <f>HYPERLINK("https://rhld.insurance.arkansas.gov/NPILookup?Npi=1568571438","1568571438")</f>
        <v>1568571438</v>
      </c>
      <c r="E5897" s="1" t="s">
        <v>17657</v>
      </c>
      <c r="F5897" s="2"/>
      <c r="G5897" s="2"/>
      <c r="H5897" s="2"/>
    </row>
    <row r="5898" spans="1:8" x14ac:dyDescent="0.25">
      <c r="A5898" s="1"/>
      <c r="B5898" s="1" t="s">
        <v>4202</v>
      </c>
      <c r="C5898" s="1" t="s">
        <v>4203</v>
      </c>
      <c r="D5898" s="22" t="str">
        <f>HYPERLINK("https://rhld.insurance.arkansas.gov/NPILookup?Npi=1568591238","1568591238")</f>
        <v>1568591238</v>
      </c>
      <c r="E5898" s="1" t="s">
        <v>17658</v>
      </c>
      <c r="F5898" s="2"/>
      <c r="G5898" s="2"/>
      <c r="H5898" s="2"/>
    </row>
    <row r="5899" spans="1:8" x14ac:dyDescent="0.25">
      <c r="A5899" s="1"/>
      <c r="B5899" s="1" t="s">
        <v>4202</v>
      </c>
      <c r="C5899" s="1" t="s">
        <v>4203</v>
      </c>
      <c r="D5899" s="22" t="str">
        <f>HYPERLINK("https://rhld.insurance.arkansas.gov/NPILookup?Npi=1568604569","1568604569")</f>
        <v>1568604569</v>
      </c>
      <c r="E5899" s="1" t="s">
        <v>17659</v>
      </c>
      <c r="F5899" s="2"/>
      <c r="G5899" s="2"/>
      <c r="H5899" s="2"/>
    </row>
    <row r="5900" spans="1:8" x14ac:dyDescent="0.25">
      <c r="A5900" s="1"/>
      <c r="B5900" s="1" t="s">
        <v>4202</v>
      </c>
      <c r="C5900" s="1" t="s">
        <v>4203</v>
      </c>
      <c r="D5900" s="22" t="str">
        <f>HYPERLINK("https://rhld.insurance.arkansas.gov/NPILookup?Npi=1568704088","1568704088")</f>
        <v>1568704088</v>
      </c>
      <c r="E5900" s="1" t="s">
        <v>17660</v>
      </c>
      <c r="F5900" s="2"/>
      <c r="G5900" s="2"/>
      <c r="H5900" s="2"/>
    </row>
    <row r="5901" spans="1:8" x14ac:dyDescent="0.25">
      <c r="A5901" s="1"/>
      <c r="B5901" s="1" t="s">
        <v>4202</v>
      </c>
      <c r="C5901" s="1" t="s">
        <v>4203</v>
      </c>
      <c r="D5901" s="22" t="str">
        <f>HYPERLINK("https://rhld.insurance.arkansas.gov/NPILookup?Npi=1568753903","1568753903")</f>
        <v>1568753903</v>
      </c>
      <c r="E5901" s="1" t="s">
        <v>17662</v>
      </c>
      <c r="F5901" s="2"/>
      <c r="G5901" s="2"/>
      <c r="H5901" s="2"/>
    </row>
    <row r="5902" spans="1:8" x14ac:dyDescent="0.25">
      <c r="A5902" s="1"/>
      <c r="B5902" s="1" t="s">
        <v>4202</v>
      </c>
      <c r="C5902" s="1" t="s">
        <v>4203</v>
      </c>
      <c r="D5902" s="22" t="str">
        <f>HYPERLINK("https://rhld.insurance.arkansas.gov/NPILookup?Npi=1568754497","1568754497")</f>
        <v>1568754497</v>
      </c>
      <c r="E5902" s="1" t="s">
        <v>10367</v>
      </c>
      <c r="F5902" s="2"/>
      <c r="G5902" s="2"/>
      <c r="H5902" s="2"/>
    </row>
    <row r="5903" spans="1:8" x14ac:dyDescent="0.25">
      <c r="A5903" s="1"/>
      <c r="B5903" s="1" t="s">
        <v>4202</v>
      </c>
      <c r="C5903" s="1" t="s">
        <v>4203</v>
      </c>
      <c r="D5903" s="22" t="str">
        <f>HYPERLINK("https://rhld.insurance.arkansas.gov/NPILookup?Npi=1568773752","1568773752")</f>
        <v>1568773752</v>
      </c>
      <c r="E5903" s="1" t="s">
        <v>2989</v>
      </c>
      <c r="F5903" s="2"/>
      <c r="G5903" s="2"/>
      <c r="H5903" s="2"/>
    </row>
    <row r="5904" spans="1:8" x14ac:dyDescent="0.25">
      <c r="A5904" s="1"/>
      <c r="B5904" s="1" t="s">
        <v>4202</v>
      </c>
      <c r="C5904" s="1" t="s">
        <v>4203</v>
      </c>
      <c r="D5904" s="22" t="str">
        <f>HYPERLINK("https://rhld.insurance.arkansas.gov/NPILookup?Npi=1568776565","1568776565")</f>
        <v>1568776565</v>
      </c>
      <c r="E5904" s="1" t="s">
        <v>17663</v>
      </c>
      <c r="F5904" s="2"/>
      <c r="G5904" s="2"/>
      <c r="H5904" s="2"/>
    </row>
    <row r="5905" spans="1:8" x14ac:dyDescent="0.25">
      <c r="A5905" s="1"/>
      <c r="B5905" s="1" t="s">
        <v>4202</v>
      </c>
      <c r="C5905" s="1" t="s">
        <v>4203</v>
      </c>
      <c r="D5905" s="22" t="str">
        <f>HYPERLINK("https://rhld.insurance.arkansas.gov/NPILookup?Npi=1568811321","1568811321")</f>
        <v>1568811321</v>
      </c>
      <c r="E5905" s="1" t="s">
        <v>10368</v>
      </c>
      <c r="F5905" s="2"/>
      <c r="G5905" s="2"/>
      <c r="H5905" s="2"/>
    </row>
    <row r="5906" spans="1:8" x14ac:dyDescent="0.25">
      <c r="A5906" s="1"/>
      <c r="B5906" s="1" t="s">
        <v>4202</v>
      </c>
      <c r="C5906" s="1" t="s">
        <v>4203</v>
      </c>
      <c r="D5906" s="22" t="str">
        <f>HYPERLINK("https://rhld.insurance.arkansas.gov/NPILookup?Npi=1568930469","1568930469")</f>
        <v>1568930469</v>
      </c>
      <c r="E5906" s="1" t="s">
        <v>17665</v>
      </c>
      <c r="F5906" s="2"/>
      <c r="G5906" s="2"/>
      <c r="H5906" s="2"/>
    </row>
    <row r="5907" spans="1:8" x14ac:dyDescent="0.25">
      <c r="A5907" s="1"/>
      <c r="B5907" s="1" t="s">
        <v>4202</v>
      </c>
      <c r="C5907" s="1" t="s">
        <v>4203</v>
      </c>
      <c r="D5907" s="22" t="str">
        <f>HYPERLINK("https://rhld.insurance.arkansas.gov/NPILookup?Npi=1568967594","1568967594")</f>
        <v>1568967594</v>
      </c>
      <c r="E5907" s="1" t="s">
        <v>17666</v>
      </c>
      <c r="F5907" s="2"/>
      <c r="G5907" s="2"/>
      <c r="H5907" s="2"/>
    </row>
    <row r="5908" spans="1:8" x14ac:dyDescent="0.25">
      <c r="A5908" s="1"/>
      <c r="B5908" s="1" t="s">
        <v>4202</v>
      </c>
      <c r="C5908" s="1" t="s">
        <v>4203</v>
      </c>
      <c r="D5908" s="22" t="str">
        <f>HYPERLINK("https://rhld.insurance.arkansas.gov/NPILookup?Npi=1578502076","1578502076")</f>
        <v>1578502076</v>
      </c>
      <c r="E5908" s="1" t="s">
        <v>17668</v>
      </c>
      <c r="F5908" s="2"/>
      <c r="G5908" s="2"/>
      <c r="H5908" s="2"/>
    </row>
    <row r="5909" spans="1:8" x14ac:dyDescent="0.25">
      <c r="A5909" s="1"/>
      <c r="B5909" s="1" t="s">
        <v>4202</v>
      </c>
      <c r="C5909" s="1" t="s">
        <v>4203</v>
      </c>
      <c r="D5909" s="22" t="str">
        <f>HYPERLINK("https://rhld.insurance.arkansas.gov/NPILookup?Npi=1578510996","1578510996")</f>
        <v>1578510996</v>
      </c>
      <c r="E5909" s="1" t="s">
        <v>10369</v>
      </c>
      <c r="F5909" s="2"/>
      <c r="G5909" s="2"/>
      <c r="H5909" s="2"/>
    </row>
    <row r="5910" spans="1:8" x14ac:dyDescent="0.25">
      <c r="A5910" s="1"/>
      <c r="B5910" s="1" t="s">
        <v>4202</v>
      </c>
      <c r="C5910" s="1" t="s">
        <v>4203</v>
      </c>
      <c r="D5910" s="22" t="str">
        <f>HYPERLINK("https://rhld.insurance.arkansas.gov/NPILookup?Npi=1578512356","1578512356")</f>
        <v>1578512356</v>
      </c>
      <c r="E5910" s="1" t="s">
        <v>17669</v>
      </c>
      <c r="F5910" s="2"/>
      <c r="G5910" s="2"/>
      <c r="H5910" s="2"/>
    </row>
    <row r="5911" spans="1:8" x14ac:dyDescent="0.25">
      <c r="A5911" s="1"/>
      <c r="B5911" s="1" t="s">
        <v>4202</v>
      </c>
      <c r="C5911" s="1" t="s">
        <v>4203</v>
      </c>
      <c r="D5911" s="22" t="str">
        <f>HYPERLINK("https://rhld.insurance.arkansas.gov/NPILookup?Npi=1578527792","1578527792")</f>
        <v>1578527792</v>
      </c>
      <c r="E5911" s="1" t="s">
        <v>31450</v>
      </c>
      <c r="F5911" s="2"/>
      <c r="G5911" s="2"/>
      <c r="H5911" s="2"/>
    </row>
    <row r="5912" spans="1:8" x14ac:dyDescent="0.25">
      <c r="A5912" s="1"/>
      <c r="B5912" s="1" t="s">
        <v>4202</v>
      </c>
      <c r="C5912" s="1" t="s">
        <v>4203</v>
      </c>
      <c r="D5912" s="22" t="str">
        <f>HYPERLINK("https://rhld.insurance.arkansas.gov/NPILookup?Npi=1578559027","1578559027")</f>
        <v>1578559027</v>
      </c>
      <c r="E5912" s="1" t="s">
        <v>17670</v>
      </c>
      <c r="F5912" s="2"/>
      <c r="G5912" s="2"/>
      <c r="H5912" s="2"/>
    </row>
    <row r="5913" spans="1:8" x14ac:dyDescent="0.25">
      <c r="A5913" s="1"/>
      <c r="B5913" s="1" t="s">
        <v>4202</v>
      </c>
      <c r="C5913" s="1" t="s">
        <v>4203</v>
      </c>
      <c r="D5913" s="22" t="str">
        <f>HYPERLINK("https://rhld.insurance.arkansas.gov/NPILookup?Npi=1578596235","1578596235")</f>
        <v>1578596235</v>
      </c>
      <c r="E5913" s="1" t="s">
        <v>4416</v>
      </c>
      <c r="F5913" s="2"/>
      <c r="G5913" s="2"/>
      <c r="H5913" s="2"/>
    </row>
    <row r="5914" spans="1:8" x14ac:dyDescent="0.25">
      <c r="A5914" s="1"/>
      <c r="B5914" s="1" t="s">
        <v>4202</v>
      </c>
      <c r="C5914" s="1" t="s">
        <v>4203</v>
      </c>
      <c r="D5914" s="22" t="str">
        <f>HYPERLINK("https://rhld.insurance.arkansas.gov/NPILookup?Npi=1578677647","1578677647")</f>
        <v>1578677647</v>
      </c>
      <c r="E5914" s="1" t="s">
        <v>17671</v>
      </c>
      <c r="F5914" s="2"/>
      <c r="G5914" s="2"/>
      <c r="H5914" s="2"/>
    </row>
    <row r="5915" spans="1:8" x14ac:dyDescent="0.25">
      <c r="A5915" s="1"/>
      <c r="B5915" s="1" t="s">
        <v>4202</v>
      </c>
      <c r="C5915" s="1" t="s">
        <v>4203</v>
      </c>
      <c r="D5915" s="22" t="str">
        <f>HYPERLINK("https://rhld.insurance.arkansas.gov/NPILookup?Npi=1578729786","1578729786")</f>
        <v>1578729786</v>
      </c>
      <c r="E5915" s="1" t="s">
        <v>10370</v>
      </c>
      <c r="F5915" s="2"/>
      <c r="G5915" s="2"/>
      <c r="H5915" s="2"/>
    </row>
    <row r="5916" spans="1:8" x14ac:dyDescent="0.25">
      <c r="A5916" s="1"/>
      <c r="B5916" s="1" t="s">
        <v>4202</v>
      </c>
      <c r="C5916" s="1" t="s">
        <v>4203</v>
      </c>
      <c r="D5916" s="22" t="str">
        <f>HYPERLINK("https://rhld.insurance.arkansas.gov/NPILookup?Npi=1578784773","1578784773")</f>
        <v>1578784773</v>
      </c>
      <c r="E5916" s="1" t="s">
        <v>17672</v>
      </c>
      <c r="F5916" s="2"/>
      <c r="G5916" s="2"/>
      <c r="H5916" s="2"/>
    </row>
    <row r="5917" spans="1:8" x14ac:dyDescent="0.25">
      <c r="A5917" s="1"/>
      <c r="B5917" s="1" t="s">
        <v>4202</v>
      </c>
      <c r="C5917" s="1" t="s">
        <v>4203</v>
      </c>
      <c r="D5917" s="22" t="str">
        <f>HYPERLINK("https://rhld.insurance.arkansas.gov/NPILookup?Npi=1578839205","1578839205")</f>
        <v>1578839205</v>
      </c>
      <c r="E5917" s="1" t="s">
        <v>2910</v>
      </c>
      <c r="F5917" s="2"/>
      <c r="G5917" s="2"/>
      <c r="H5917" s="2"/>
    </row>
    <row r="5918" spans="1:8" x14ac:dyDescent="0.25">
      <c r="A5918" s="1"/>
      <c r="B5918" s="1" t="s">
        <v>4202</v>
      </c>
      <c r="C5918" s="1" t="s">
        <v>4203</v>
      </c>
      <c r="D5918" s="22" t="str">
        <f>HYPERLINK("https://rhld.insurance.arkansas.gov/NPILookup?Npi=1578870796","1578870796")</f>
        <v>1578870796</v>
      </c>
      <c r="E5918" s="1" t="s">
        <v>17674</v>
      </c>
      <c r="F5918" s="2"/>
      <c r="G5918" s="2"/>
      <c r="H5918" s="2"/>
    </row>
    <row r="5919" spans="1:8" x14ac:dyDescent="0.25">
      <c r="A5919" s="1"/>
      <c r="B5919" s="1" t="s">
        <v>4202</v>
      </c>
      <c r="C5919" s="1" t="s">
        <v>4203</v>
      </c>
      <c r="D5919" s="22" t="str">
        <f>HYPERLINK("https://rhld.insurance.arkansas.gov/NPILookup?Npi=1578881488","1578881488")</f>
        <v>1578881488</v>
      </c>
      <c r="E5919" s="1" t="s">
        <v>17675</v>
      </c>
      <c r="F5919" s="2"/>
      <c r="G5919" s="2"/>
      <c r="H5919" s="2"/>
    </row>
    <row r="5920" spans="1:8" x14ac:dyDescent="0.25">
      <c r="A5920" s="1"/>
      <c r="B5920" s="1" t="s">
        <v>4202</v>
      </c>
      <c r="C5920" s="1" t="s">
        <v>4203</v>
      </c>
      <c r="D5920" s="22" t="str">
        <f>HYPERLINK("https://rhld.insurance.arkansas.gov/NPILookup?Npi=1588007488","1588007488")</f>
        <v>1588007488</v>
      </c>
      <c r="E5920" s="1" t="s">
        <v>10372</v>
      </c>
      <c r="F5920" s="2"/>
      <c r="G5920" s="2"/>
      <c r="H5920" s="2"/>
    </row>
    <row r="5921" spans="1:8" x14ac:dyDescent="0.25">
      <c r="A5921" s="1"/>
      <c r="B5921" s="1" t="s">
        <v>4202</v>
      </c>
      <c r="C5921" s="1" t="s">
        <v>4203</v>
      </c>
      <c r="D5921" s="22" t="str">
        <f>HYPERLINK("https://rhld.insurance.arkansas.gov/NPILookup?Npi=1588008684","1588008684")</f>
        <v>1588008684</v>
      </c>
      <c r="E5921" s="1" t="s">
        <v>17677</v>
      </c>
      <c r="F5921" s="2"/>
      <c r="G5921" s="2"/>
      <c r="H5921" s="2"/>
    </row>
    <row r="5922" spans="1:8" x14ac:dyDescent="0.25">
      <c r="A5922" s="1"/>
      <c r="B5922" s="1" t="s">
        <v>4202</v>
      </c>
      <c r="C5922" s="1" t="s">
        <v>4203</v>
      </c>
      <c r="D5922" s="22" t="str">
        <f>HYPERLINK("https://rhld.insurance.arkansas.gov/NPILookup?Npi=1588034227","1588034227")</f>
        <v>1588034227</v>
      </c>
      <c r="E5922" s="1" t="s">
        <v>17680</v>
      </c>
      <c r="F5922" s="2"/>
      <c r="G5922" s="2"/>
      <c r="H5922" s="2"/>
    </row>
    <row r="5923" spans="1:8" x14ac:dyDescent="0.25">
      <c r="A5923" s="1"/>
      <c r="B5923" s="1" t="s">
        <v>4202</v>
      </c>
      <c r="C5923" s="1" t="s">
        <v>4203</v>
      </c>
      <c r="D5923" s="22" t="str">
        <f>HYPERLINK("https://rhld.insurance.arkansas.gov/NPILookup?Npi=1588042246","1588042246")</f>
        <v>1588042246</v>
      </c>
      <c r="E5923" s="1" t="s">
        <v>10373</v>
      </c>
      <c r="F5923" s="2"/>
      <c r="G5923" s="2"/>
      <c r="H5923" s="2"/>
    </row>
    <row r="5924" spans="1:8" x14ac:dyDescent="0.25">
      <c r="A5924" s="1"/>
      <c r="B5924" s="1" t="s">
        <v>4202</v>
      </c>
      <c r="C5924" s="1" t="s">
        <v>4203</v>
      </c>
      <c r="D5924" s="22" t="str">
        <f>HYPERLINK("https://rhld.insurance.arkansas.gov/NPILookup?Npi=1588241269","1588241269")</f>
        <v>1588241269</v>
      </c>
      <c r="E5924" s="1" t="s">
        <v>10374</v>
      </c>
      <c r="F5924" s="2"/>
      <c r="G5924" s="2"/>
      <c r="H5924" s="2"/>
    </row>
    <row r="5925" spans="1:8" x14ac:dyDescent="0.25">
      <c r="A5925" s="1"/>
      <c r="B5925" s="1" t="s">
        <v>4202</v>
      </c>
      <c r="C5925" s="1" t="s">
        <v>4203</v>
      </c>
      <c r="D5925" s="22" t="str">
        <f>HYPERLINK("https://rhld.insurance.arkansas.gov/NPILookup?Npi=1588242861","1588242861")</f>
        <v>1588242861</v>
      </c>
      <c r="E5925" s="1" t="s">
        <v>17682</v>
      </c>
      <c r="F5925" s="2"/>
      <c r="G5925" s="2"/>
      <c r="H5925" s="2"/>
    </row>
    <row r="5926" spans="1:8" x14ac:dyDescent="0.25">
      <c r="A5926" s="1"/>
      <c r="B5926" s="1" t="s">
        <v>4202</v>
      </c>
      <c r="C5926" s="1" t="s">
        <v>4203</v>
      </c>
      <c r="D5926" s="22" t="str">
        <f>HYPERLINK("https://rhld.insurance.arkansas.gov/NPILookup?Npi=1588242960","1588242960")</f>
        <v>1588242960</v>
      </c>
      <c r="E5926" s="1" t="s">
        <v>17683</v>
      </c>
      <c r="F5926" s="2"/>
      <c r="G5926" s="2"/>
      <c r="H5926" s="2"/>
    </row>
    <row r="5927" spans="1:8" x14ac:dyDescent="0.25">
      <c r="A5927" s="1"/>
      <c r="B5927" s="1" t="s">
        <v>4202</v>
      </c>
      <c r="C5927" s="1" t="s">
        <v>4203</v>
      </c>
      <c r="D5927" s="22" t="str">
        <f>HYPERLINK("https://rhld.insurance.arkansas.gov/NPILookup?Npi=1588664726","1588664726")</f>
        <v>1588664726</v>
      </c>
      <c r="E5927" s="1" t="s">
        <v>693</v>
      </c>
      <c r="F5927" s="2"/>
      <c r="G5927" s="2"/>
      <c r="H5927" s="2"/>
    </row>
    <row r="5928" spans="1:8" x14ac:dyDescent="0.25">
      <c r="A5928" s="1"/>
      <c r="B5928" s="1" t="s">
        <v>4202</v>
      </c>
      <c r="C5928" s="1" t="s">
        <v>4203</v>
      </c>
      <c r="D5928" s="22" t="str">
        <f>HYPERLINK("https://rhld.insurance.arkansas.gov/NPILookup?Npi=1588682801","1588682801")</f>
        <v>1588682801</v>
      </c>
      <c r="E5928" s="1" t="s">
        <v>17686</v>
      </c>
      <c r="F5928" s="2"/>
      <c r="G5928" s="2"/>
      <c r="H5928" s="2"/>
    </row>
    <row r="5929" spans="1:8" x14ac:dyDescent="0.25">
      <c r="A5929" s="1"/>
      <c r="B5929" s="1" t="s">
        <v>4202</v>
      </c>
      <c r="C5929" s="1" t="s">
        <v>4203</v>
      </c>
      <c r="D5929" s="22" t="str">
        <f>HYPERLINK("https://rhld.insurance.arkansas.gov/NPILookup?Npi=1588699904","1588699904")</f>
        <v>1588699904</v>
      </c>
      <c r="E5929" s="1" t="s">
        <v>17689</v>
      </c>
      <c r="F5929" s="2"/>
      <c r="G5929" s="2"/>
      <c r="H5929" s="2"/>
    </row>
    <row r="5930" spans="1:8" x14ac:dyDescent="0.25">
      <c r="A5930" s="1"/>
      <c r="B5930" s="1" t="s">
        <v>4202</v>
      </c>
      <c r="C5930" s="1" t="s">
        <v>4203</v>
      </c>
      <c r="D5930" s="22" t="str">
        <f>HYPERLINK("https://rhld.insurance.arkansas.gov/NPILookup?Npi=1588739783","1588739783")</f>
        <v>1588739783</v>
      </c>
      <c r="E5930" s="1" t="s">
        <v>17690</v>
      </c>
      <c r="F5930" s="2"/>
      <c r="G5930" s="2"/>
      <c r="H5930" s="2"/>
    </row>
    <row r="5931" spans="1:8" x14ac:dyDescent="0.25">
      <c r="A5931" s="1"/>
      <c r="B5931" s="1" t="s">
        <v>4202</v>
      </c>
      <c r="C5931" s="1" t="s">
        <v>4203</v>
      </c>
      <c r="D5931" s="22" t="str">
        <f>HYPERLINK("https://rhld.insurance.arkansas.gov/NPILookup?Npi=1588785554","1588785554")</f>
        <v>1588785554</v>
      </c>
      <c r="E5931" s="1" t="s">
        <v>17691</v>
      </c>
      <c r="F5931" s="2"/>
      <c r="G5931" s="2"/>
      <c r="H5931" s="2"/>
    </row>
    <row r="5932" spans="1:8" x14ac:dyDescent="0.25">
      <c r="A5932" s="1"/>
      <c r="B5932" s="1" t="s">
        <v>4202</v>
      </c>
      <c r="C5932" s="1" t="s">
        <v>4203</v>
      </c>
      <c r="D5932" s="22" t="str">
        <f>HYPERLINK("https://rhld.insurance.arkansas.gov/NPILookup?Npi=1588813257","1588813257")</f>
        <v>1588813257</v>
      </c>
      <c r="E5932" s="1" t="s">
        <v>17692</v>
      </c>
      <c r="F5932" s="2"/>
      <c r="G5932" s="2"/>
      <c r="H5932" s="2"/>
    </row>
    <row r="5933" spans="1:8" x14ac:dyDescent="0.25">
      <c r="A5933" s="1"/>
      <c r="B5933" s="1" t="s">
        <v>4202</v>
      </c>
      <c r="C5933" s="1" t="s">
        <v>4203</v>
      </c>
      <c r="D5933" s="22" t="str">
        <f>HYPERLINK("https://rhld.insurance.arkansas.gov/NPILookup?Npi=1588832315","1588832315")</f>
        <v>1588832315</v>
      </c>
      <c r="E5933" s="1" t="s">
        <v>4417</v>
      </c>
      <c r="F5933" s="2"/>
      <c r="G5933" s="2"/>
      <c r="H5933" s="2"/>
    </row>
    <row r="5934" spans="1:8" x14ac:dyDescent="0.25">
      <c r="A5934" s="1"/>
      <c r="B5934" s="1" t="s">
        <v>4202</v>
      </c>
      <c r="C5934" s="1" t="s">
        <v>4203</v>
      </c>
      <c r="D5934" s="22" t="str">
        <f>HYPERLINK("https://rhld.insurance.arkansas.gov/NPILookup?Npi=1588871271","1588871271")</f>
        <v>1588871271</v>
      </c>
      <c r="E5934" s="1" t="s">
        <v>4418</v>
      </c>
      <c r="F5934" s="2"/>
      <c r="G5934" s="2"/>
      <c r="H5934" s="2"/>
    </row>
    <row r="5935" spans="1:8" x14ac:dyDescent="0.25">
      <c r="A5935" s="1"/>
      <c r="B5935" s="1" t="s">
        <v>4202</v>
      </c>
      <c r="C5935" s="1" t="s">
        <v>4203</v>
      </c>
      <c r="D5935" s="22" t="str">
        <f>HYPERLINK("https://rhld.insurance.arkansas.gov/NPILookup?Npi=1588981971","1588981971")</f>
        <v>1588981971</v>
      </c>
      <c r="E5935" s="1" t="s">
        <v>10377</v>
      </c>
      <c r="F5935" s="2"/>
      <c r="G5935" s="2"/>
      <c r="H5935" s="2"/>
    </row>
    <row r="5936" spans="1:8" x14ac:dyDescent="0.25">
      <c r="A5936" s="1"/>
      <c r="B5936" s="1" t="s">
        <v>4202</v>
      </c>
      <c r="C5936" s="1" t="s">
        <v>4203</v>
      </c>
      <c r="D5936" s="22" t="str">
        <f>HYPERLINK("https://rhld.insurance.arkansas.gov/NPILookup?Npi=1588989578","1588989578")</f>
        <v>1588989578</v>
      </c>
      <c r="E5936" s="1" t="s">
        <v>10378</v>
      </c>
      <c r="F5936" s="2"/>
      <c r="G5936" s="2"/>
      <c r="H5936" s="2"/>
    </row>
    <row r="5937" spans="1:8" x14ac:dyDescent="0.25">
      <c r="A5937" s="1"/>
      <c r="B5937" s="1" t="s">
        <v>4202</v>
      </c>
      <c r="C5937" s="1" t="s">
        <v>4203</v>
      </c>
      <c r="D5937" s="22" t="str">
        <f>HYPERLINK("https://rhld.insurance.arkansas.gov/NPILookup?Npi=1598022642","1598022642")</f>
        <v>1598022642</v>
      </c>
      <c r="E5937" s="1" t="s">
        <v>17694</v>
      </c>
      <c r="F5937" s="2"/>
      <c r="G5937" s="2"/>
      <c r="H5937" s="2"/>
    </row>
    <row r="5938" spans="1:8" x14ac:dyDescent="0.25">
      <c r="A5938" s="1"/>
      <c r="B5938" s="1" t="s">
        <v>4202</v>
      </c>
      <c r="C5938" s="1" t="s">
        <v>4203</v>
      </c>
      <c r="D5938" s="22" t="str">
        <f>HYPERLINK("https://rhld.insurance.arkansas.gov/NPILookup?Npi=1598023749","1598023749")</f>
        <v>1598023749</v>
      </c>
      <c r="E5938" s="1" t="s">
        <v>10379</v>
      </c>
      <c r="F5938" s="2"/>
      <c r="G5938" s="2"/>
      <c r="H5938" s="2"/>
    </row>
    <row r="5939" spans="1:8" x14ac:dyDescent="0.25">
      <c r="A5939" s="1"/>
      <c r="B5939" s="1" t="s">
        <v>4202</v>
      </c>
      <c r="C5939" s="1" t="s">
        <v>4203</v>
      </c>
      <c r="D5939" s="22" t="str">
        <f>HYPERLINK("https://rhld.insurance.arkansas.gov/NPILookup?Npi=1598026304","1598026304")</f>
        <v>1598026304</v>
      </c>
      <c r="E5939" s="1" t="s">
        <v>17695</v>
      </c>
      <c r="F5939" s="2"/>
      <c r="G5939" s="2"/>
      <c r="H5939" s="2"/>
    </row>
    <row r="5940" spans="1:8" x14ac:dyDescent="0.25">
      <c r="A5940" s="1"/>
      <c r="B5940" s="1" t="s">
        <v>4202</v>
      </c>
      <c r="C5940" s="1" t="s">
        <v>4203</v>
      </c>
      <c r="D5940" s="22" t="str">
        <f>HYPERLINK("https://rhld.insurance.arkansas.gov/NPILookup?Npi=1598149767","1598149767")</f>
        <v>1598149767</v>
      </c>
      <c r="E5940" s="1" t="s">
        <v>17696</v>
      </c>
      <c r="F5940" s="2"/>
      <c r="G5940" s="2"/>
      <c r="H5940" s="2"/>
    </row>
    <row r="5941" spans="1:8" x14ac:dyDescent="0.25">
      <c r="A5941" s="1"/>
      <c r="B5941" s="1" t="s">
        <v>4202</v>
      </c>
      <c r="C5941" s="1" t="s">
        <v>4203</v>
      </c>
      <c r="D5941" s="22" t="str">
        <f>HYPERLINK("https://rhld.insurance.arkansas.gov/NPILookup?Npi=1598170292","1598170292")</f>
        <v>1598170292</v>
      </c>
      <c r="E5941" s="1" t="s">
        <v>17697</v>
      </c>
      <c r="F5941" s="2"/>
      <c r="G5941" s="2"/>
      <c r="H5941" s="2"/>
    </row>
    <row r="5942" spans="1:8" x14ac:dyDescent="0.25">
      <c r="A5942" s="1"/>
      <c r="B5942" s="1" t="s">
        <v>4202</v>
      </c>
      <c r="C5942" s="1" t="s">
        <v>4203</v>
      </c>
      <c r="D5942" s="22" t="str">
        <f>HYPERLINK("https://rhld.insurance.arkansas.gov/NPILookup?Npi=1598175861","1598175861")</f>
        <v>1598175861</v>
      </c>
      <c r="E5942" s="1" t="s">
        <v>17698</v>
      </c>
      <c r="F5942" s="2"/>
      <c r="G5942" s="2"/>
      <c r="H5942" s="2"/>
    </row>
    <row r="5943" spans="1:8" x14ac:dyDescent="0.25">
      <c r="A5943" s="1"/>
      <c r="B5943" s="1" t="s">
        <v>4202</v>
      </c>
      <c r="C5943" s="1" t="s">
        <v>4203</v>
      </c>
      <c r="D5943" s="22" t="str">
        <f>HYPERLINK("https://rhld.insurance.arkansas.gov/NPILookup?Npi=1598292161","1598292161")</f>
        <v>1598292161</v>
      </c>
      <c r="E5943" s="1" t="s">
        <v>17699</v>
      </c>
      <c r="F5943" s="2"/>
      <c r="G5943" s="2"/>
      <c r="H5943" s="2"/>
    </row>
    <row r="5944" spans="1:8" x14ac:dyDescent="0.25">
      <c r="A5944" s="1"/>
      <c r="B5944" s="1" t="s">
        <v>4202</v>
      </c>
      <c r="C5944" s="1" t="s">
        <v>4203</v>
      </c>
      <c r="D5944" s="22" t="str">
        <f>HYPERLINK("https://rhld.insurance.arkansas.gov/NPILookup?Npi=1598725111","1598725111")</f>
        <v>1598725111</v>
      </c>
      <c r="E5944" s="1" t="s">
        <v>4419</v>
      </c>
      <c r="F5944" s="2"/>
      <c r="G5944" s="2"/>
      <c r="H5944" s="2"/>
    </row>
    <row r="5945" spans="1:8" x14ac:dyDescent="0.25">
      <c r="A5945" s="1"/>
      <c r="B5945" s="1" t="s">
        <v>4202</v>
      </c>
      <c r="C5945" s="1" t="s">
        <v>4203</v>
      </c>
      <c r="D5945" s="22" t="str">
        <f>HYPERLINK("https://rhld.insurance.arkansas.gov/NPILookup?Npi=1598728222","1598728222")</f>
        <v>1598728222</v>
      </c>
      <c r="E5945" s="1" t="s">
        <v>31451</v>
      </c>
      <c r="F5945" s="2"/>
      <c r="G5945" s="2"/>
      <c r="H5945" s="2"/>
    </row>
    <row r="5946" spans="1:8" x14ac:dyDescent="0.25">
      <c r="A5946" s="1"/>
      <c r="B5946" s="1" t="s">
        <v>4202</v>
      </c>
      <c r="C5946" s="1" t="s">
        <v>4203</v>
      </c>
      <c r="D5946" s="22" t="str">
        <f>HYPERLINK("https://rhld.insurance.arkansas.gov/NPILookup?Npi=1598791303","1598791303")</f>
        <v>1598791303</v>
      </c>
      <c r="E5946" s="1" t="s">
        <v>17700</v>
      </c>
      <c r="F5946" s="2"/>
      <c r="G5946" s="2"/>
      <c r="H5946" s="2"/>
    </row>
    <row r="5947" spans="1:8" x14ac:dyDescent="0.25">
      <c r="A5947" s="1"/>
      <c r="B5947" s="1" t="s">
        <v>4202</v>
      </c>
      <c r="C5947" s="1" t="s">
        <v>4203</v>
      </c>
      <c r="D5947" s="22" t="str">
        <f>HYPERLINK("https://rhld.insurance.arkansas.gov/NPILookup?Npi=1598847188","1598847188")</f>
        <v>1598847188</v>
      </c>
      <c r="E5947" s="1" t="s">
        <v>17701</v>
      </c>
      <c r="F5947" s="2"/>
      <c r="G5947" s="2"/>
      <c r="H5947" s="2"/>
    </row>
    <row r="5948" spans="1:8" x14ac:dyDescent="0.25">
      <c r="A5948" s="1"/>
      <c r="B5948" s="1" t="s">
        <v>4202</v>
      </c>
      <c r="C5948" s="1" t="s">
        <v>4203</v>
      </c>
      <c r="D5948" s="22" t="str">
        <f>HYPERLINK("https://rhld.insurance.arkansas.gov/NPILookup?Npi=1598866105","1598866105")</f>
        <v>1598866105</v>
      </c>
      <c r="E5948" s="1" t="s">
        <v>17702</v>
      </c>
      <c r="F5948" s="2"/>
      <c r="G5948" s="2"/>
      <c r="H5948" s="2"/>
    </row>
    <row r="5949" spans="1:8" x14ac:dyDescent="0.25">
      <c r="A5949" s="1"/>
      <c r="B5949" s="1" t="s">
        <v>4202</v>
      </c>
      <c r="C5949" s="1" t="s">
        <v>4203</v>
      </c>
      <c r="D5949" s="22" t="str">
        <f>HYPERLINK("https://rhld.insurance.arkansas.gov/NPILookup?Npi=1598927543","1598927543")</f>
        <v>1598927543</v>
      </c>
      <c r="E5949" s="1" t="s">
        <v>10380</v>
      </c>
      <c r="F5949" s="2"/>
      <c r="G5949" s="2"/>
      <c r="H5949" s="2"/>
    </row>
    <row r="5950" spans="1:8" x14ac:dyDescent="0.25">
      <c r="A5950" s="1"/>
      <c r="B5950" s="1" t="s">
        <v>4202</v>
      </c>
      <c r="C5950" s="1" t="s">
        <v>4203</v>
      </c>
      <c r="D5950" s="22" t="str">
        <f>HYPERLINK("https://rhld.insurance.arkansas.gov/NPILookup?Npi=1609069186","1609069186")</f>
        <v>1609069186</v>
      </c>
      <c r="E5950" s="1" t="s">
        <v>17703</v>
      </c>
      <c r="F5950" s="2"/>
      <c r="G5950" s="2"/>
      <c r="H5950" s="2"/>
    </row>
    <row r="5951" spans="1:8" x14ac:dyDescent="0.25">
      <c r="A5951" s="1"/>
      <c r="B5951" s="1" t="s">
        <v>4202</v>
      </c>
      <c r="C5951" s="1" t="s">
        <v>4203</v>
      </c>
      <c r="D5951" s="22" t="str">
        <f>HYPERLINK("https://rhld.insurance.arkansas.gov/NPILookup?Npi=1609162205","1609162205")</f>
        <v>1609162205</v>
      </c>
      <c r="E5951" s="1" t="s">
        <v>4420</v>
      </c>
      <c r="F5951" s="2"/>
      <c r="G5951" s="2"/>
      <c r="H5951" s="2"/>
    </row>
    <row r="5952" spans="1:8" x14ac:dyDescent="0.25">
      <c r="A5952" s="1"/>
      <c r="B5952" s="1" t="s">
        <v>4202</v>
      </c>
      <c r="C5952" s="1" t="s">
        <v>4203</v>
      </c>
      <c r="D5952" s="22" t="str">
        <f>HYPERLINK("https://rhld.insurance.arkansas.gov/NPILookup?Npi=1609165760","1609165760")</f>
        <v>1609165760</v>
      </c>
      <c r="E5952" s="1" t="s">
        <v>4421</v>
      </c>
      <c r="F5952" s="2"/>
      <c r="G5952" s="2"/>
      <c r="H5952" s="2"/>
    </row>
    <row r="5953" spans="1:8" x14ac:dyDescent="0.25">
      <c r="A5953" s="1"/>
      <c r="B5953" s="1" t="s">
        <v>4202</v>
      </c>
      <c r="C5953" s="1" t="s">
        <v>4203</v>
      </c>
      <c r="D5953" s="22" t="str">
        <f>HYPERLINK("https://rhld.insurance.arkansas.gov/NPILookup?Npi=1609309657","1609309657")</f>
        <v>1609309657</v>
      </c>
      <c r="E5953" s="1" t="s">
        <v>17704</v>
      </c>
      <c r="F5953" s="2"/>
      <c r="G5953" s="2"/>
      <c r="H5953" s="2"/>
    </row>
    <row r="5954" spans="1:8" x14ac:dyDescent="0.25">
      <c r="A5954" s="1"/>
      <c r="B5954" s="1" t="s">
        <v>4202</v>
      </c>
      <c r="C5954" s="1" t="s">
        <v>4203</v>
      </c>
      <c r="D5954" s="22" t="str">
        <f>HYPERLINK("https://rhld.insurance.arkansas.gov/NPILookup?Npi=1609371624","1609371624")</f>
        <v>1609371624</v>
      </c>
      <c r="E5954" s="1" t="s">
        <v>17706</v>
      </c>
      <c r="F5954" s="2"/>
      <c r="G5954" s="2"/>
      <c r="H5954" s="2"/>
    </row>
    <row r="5955" spans="1:8" x14ac:dyDescent="0.25">
      <c r="A5955" s="1"/>
      <c r="B5955" s="1" t="s">
        <v>4202</v>
      </c>
      <c r="C5955" s="1" t="s">
        <v>4203</v>
      </c>
      <c r="D5955" s="22" t="str">
        <f>HYPERLINK("https://rhld.insurance.arkansas.gov/NPILookup?Npi=1609404680","1609404680")</f>
        <v>1609404680</v>
      </c>
      <c r="E5955" s="1" t="s">
        <v>4422</v>
      </c>
      <c r="F5955" s="2"/>
      <c r="G5955" s="2"/>
      <c r="H5955" s="2"/>
    </row>
    <row r="5956" spans="1:8" x14ac:dyDescent="0.25">
      <c r="A5956" s="1"/>
      <c r="B5956" s="1" t="s">
        <v>4202</v>
      </c>
      <c r="C5956" s="1" t="s">
        <v>4203</v>
      </c>
      <c r="D5956" s="22" t="str">
        <f>HYPERLINK("https://rhld.insurance.arkansas.gov/NPILookup?Npi=1609808450","1609808450")</f>
        <v>1609808450</v>
      </c>
      <c r="E5956" s="1" t="s">
        <v>4423</v>
      </c>
      <c r="F5956" s="2"/>
      <c r="G5956" s="2"/>
      <c r="H5956" s="2"/>
    </row>
    <row r="5957" spans="1:8" x14ac:dyDescent="0.25">
      <c r="A5957" s="1"/>
      <c r="B5957" s="1" t="s">
        <v>4202</v>
      </c>
      <c r="C5957" s="1" t="s">
        <v>4203</v>
      </c>
      <c r="D5957" s="22" t="str">
        <f>HYPERLINK("https://rhld.insurance.arkansas.gov/NPILookup?Npi=1609815919","1609815919")</f>
        <v>1609815919</v>
      </c>
      <c r="E5957" s="1" t="s">
        <v>10381</v>
      </c>
      <c r="F5957" s="2"/>
      <c r="G5957" s="2"/>
      <c r="H5957" s="2"/>
    </row>
    <row r="5958" spans="1:8" x14ac:dyDescent="0.25">
      <c r="A5958" s="1"/>
      <c r="B5958" s="1" t="s">
        <v>4202</v>
      </c>
      <c r="C5958" s="1" t="s">
        <v>4203</v>
      </c>
      <c r="D5958" s="22" t="str">
        <f>HYPERLINK("https://rhld.insurance.arkansas.gov/NPILookup?Npi=1609826486","1609826486")</f>
        <v>1609826486</v>
      </c>
      <c r="E5958" s="1" t="s">
        <v>10382</v>
      </c>
      <c r="F5958" s="2"/>
      <c r="G5958" s="2"/>
      <c r="H5958" s="2"/>
    </row>
    <row r="5959" spans="1:8" x14ac:dyDescent="0.25">
      <c r="A5959" s="1"/>
      <c r="B5959" s="1" t="s">
        <v>4202</v>
      </c>
      <c r="C5959" s="1" t="s">
        <v>4203</v>
      </c>
      <c r="D5959" s="22" t="str">
        <f>HYPERLINK("https://rhld.insurance.arkansas.gov/NPILookup?Npi=1609866425","1609866425")</f>
        <v>1609866425</v>
      </c>
      <c r="E5959" s="1" t="s">
        <v>570</v>
      </c>
      <c r="F5959" s="2"/>
      <c r="G5959" s="2"/>
      <c r="H5959" s="2"/>
    </row>
    <row r="5960" spans="1:8" x14ac:dyDescent="0.25">
      <c r="A5960" s="1"/>
      <c r="B5960" s="1" t="s">
        <v>4202</v>
      </c>
      <c r="C5960" s="1" t="s">
        <v>4203</v>
      </c>
      <c r="D5960" s="22" t="str">
        <f>HYPERLINK("https://rhld.insurance.arkansas.gov/NPILookup?Npi=1609883909","1609883909")</f>
        <v>1609883909</v>
      </c>
      <c r="E5960" s="1" t="s">
        <v>17707</v>
      </c>
      <c r="F5960" s="2"/>
      <c r="G5960" s="2"/>
      <c r="H5960" s="2"/>
    </row>
    <row r="5961" spans="1:8" x14ac:dyDescent="0.25">
      <c r="A5961" s="1"/>
      <c r="B5961" s="1" t="s">
        <v>4202</v>
      </c>
      <c r="C5961" s="1" t="s">
        <v>4203</v>
      </c>
      <c r="D5961" s="22" t="str">
        <f>HYPERLINK("https://rhld.insurance.arkansas.gov/NPILookup?Npi=1609927706","1609927706")</f>
        <v>1609927706</v>
      </c>
      <c r="E5961" s="1" t="s">
        <v>2927</v>
      </c>
      <c r="F5961" s="2"/>
      <c r="G5961" s="2"/>
      <c r="H5961" s="2"/>
    </row>
    <row r="5962" spans="1:8" x14ac:dyDescent="0.25">
      <c r="A5962" s="1"/>
      <c r="B5962" s="1" t="s">
        <v>4202</v>
      </c>
      <c r="C5962" s="1" t="s">
        <v>4203</v>
      </c>
      <c r="D5962" s="22" t="str">
        <f>HYPERLINK("https://rhld.insurance.arkansas.gov/NPILookup?Npi=1609936293","1609936293")</f>
        <v>1609936293</v>
      </c>
      <c r="E5962" s="1" t="s">
        <v>10383</v>
      </c>
      <c r="F5962" s="2"/>
      <c r="G5962" s="2"/>
      <c r="H5962" s="2"/>
    </row>
    <row r="5963" spans="1:8" x14ac:dyDescent="0.25">
      <c r="A5963" s="1"/>
      <c r="B5963" s="1" t="s">
        <v>4202</v>
      </c>
      <c r="C5963" s="1" t="s">
        <v>4203</v>
      </c>
      <c r="D5963" s="22" t="str">
        <f>HYPERLINK("https://rhld.insurance.arkansas.gov/NPILookup?Npi=1619062163","1619062163")</f>
        <v>1619062163</v>
      </c>
      <c r="E5963" s="1" t="s">
        <v>4424</v>
      </c>
      <c r="F5963" s="2"/>
      <c r="G5963" s="2"/>
      <c r="H5963" s="2"/>
    </row>
    <row r="5964" spans="1:8" x14ac:dyDescent="0.25">
      <c r="A5964" s="1"/>
      <c r="B5964" s="1" t="s">
        <v>4202</v>
      </c>
      <c r="C5964" s="1" t="s">
        <v>4203</v>
      </c>
      <c r="D5964" s="22" t="str">
        <f>HYPERLINK("https://rhld.insurance.arkansas.gov/NPILookup?Npi=1619067279","1619067279")</f>
        <v>1619067279</v>
      </c>
      <c r="E5964" s="1" t="s">
        <v>17708</v>
      </c>
      <c r="F5964" s="2"/>
      <c r="G5964" s="2"/>
      <c r="H5964" s="2"/>
    </row>
    <row r="5965" spans="1:8" x14ac:dyDescent="0.25">
      <c r="A5965" s="1"/>
      <c r="B5965" s="1" t="s">
        <v>4202</v>
      </c>
      <c r="C5965" s="1" t="s">
        <v>4203</v>
      </c>
      <c r="D5965" s="22" t="str">
        <f>HYPERLINK("https://rhld.insurance.arkansas.gov/NPILookup?Npi=1619110152","1619110152")</f>
        <v>1619110152</v>
      </c>
      <c r="E5965" s="1" t="s">
        <v>17710</v>
      </c>
      <c r="F5965" s="2"/>
      <c r="G5965" s="2"/>
      <c r="H5965" s="2"/>
    </row>
    <row r="5966" spans="1:8" x14ac:dyDescent="0.25">
      <c r="A5966" s="1"/>
      <c r="B5966" s="1" t="s">
        <v>4202</v>
      </c>
      <c r="C5966" s="1" t="s">
        <v>4203</v>
      </c>
      <c r="D5966" s="22" t="str">
        <f>HYPERLINK("https://rhld.insurance.arkansas.gov/NPILookup?Npi=1619268455","1619268455")</f>
        <v>1619268455</v>
      </c>
      <c r="E5966" s="1" t="s">
        <v>10386</v>
      </c>
      <c r="F5966" s="2"/>
      <c r="G5966" s="2"/>
      <c r="H5966" s="2"/>
    </row>
    <row r="5967" spans="1:8" x14ac:dyDescent="0.25">
      <c r="A5967" s="1"/>
      <c r="B5967" s="1" t="s">
        <v>4202</v>
      </c>
      <c r="C5967" s="1" t="s">
        <v>4203</v>
      </c>
      <c r="D5967" s="22" t="str">
        <f>HYPERLINK("https://rhld.insurance.arkansas.gov/NPILookup?Npi=1619339280","1619339280")</f>
        <v>1619339280</v>
      </c>
      <c r="E5967" s="1" t="s">
        <v>10387</v>
      </c>
      <c r="F5967" s="2"/>
      <c r="G5967" s="2"/>
      <c r="H5967" s="2"/>
    </row>
    <row r="5968" spans="1:8" x14ac:dyDescent="0.25">
      <c r="A5968" s="1"/>
      <c r="B5968" s="1" t="s">
        <v>4202</v>
      </c>
      <c r="C5968" s="1" t="s">
        <v>4203</v>
      </c>
      <c r="D5968" s="22" t="str">
        <f>HYPERLINK("https://rhld.insurance.arkansas.gov/NPILookup?Npi=1619388592","1619388592")</f>
        <v>1619388592</v>
      </c>
      <c r="E5968" s="1" t="s">
        <v>17712</v>
      </c>
      <c r="F5968" s="2"/>
      <c r="G5968" s="2"/>
      <c r="H5968" s="2"/>
    </row>
    <row r="5969" spans="1:8" x14ac:dyDescent="0.25">
      <c r="A5969" s="1"/>
      <c r="B5969" s="1" t="s">
        <v>4202</v>
      </c>
      <c r="C5969" s="1" t="s">
        <v>4203</v>
      </c>
      <c r="D5969" s="22" t="str">
        <f>HYPERLINK("https://rhld.insurance.arkansas.gov/NPILookup?Npi=1619404563","1619404563")</f>
        <v>1619404563</v>
      </c>
      <c r="E5969" s="1" t="s">
        <v>17713</v>
      </c>
      <c r="F5969" s="2"/>
      <c r="G5969" s="2"/>
      <c r="H5969" s="2"/>
    </row>
    <row r="5970" spans="1:8" x14ac:dyDescent="0.25">
      <c r="A5970" s="1"/>
      <c r="B5970" s="1" t="s">
        <v>4202</v>
      </c>
      <c r="C5970" s="1" t="s">
        <v>4203</v>
      </c>
      <c r="D5970" s="22" t="str">
        <f>HYPERLINK("https://rhld.insurance.arkansas.gov/NPILookup?Npi=1619465119","1619465119")</f>
        <v>1619465119</v>
      </c>
      <c r="E5970" s="1" t="s">
        <v>17714</v>
      </c>
      <c r="F5970" s="2"/>
      <c r="G5970" s="2"/>
      <c r="H5970" s="2"/>
    </row>
    <row r="5971" spans="1:8" x14ac:dyDescent="0.25">
      <c r="A5971" s="1"/>
      <c r="B5971" s="1" t="s">
        <v>4202</v>
      </c>
      <c r="C5971" s="1" t="s">
        <v>4203</v>
      </c>
      <c r="D5971" s="22" t="str">
        <f>HYPERLINK("https://rhld.insurance.arkansas.gov/NPILookup?Npi=1619505732","1619505732")</f>
        <v>1619505732</v>
      </c>
      <c r="E5971" s="1" t="s">
        <v>4425</v>
      </c>
      <c r="F5971" s="2"/>
      <c r="G5971" s="2"/>
      <c r="H5971" s="2"/>
    </row>
    <row r="5972" spans="1:8" x14ac:dyDescent="0.25">
      <c r="A5972" s="1"/>
      <c r="B5972" s="1" t="s">
        <v>4202</v>
      </c>
      <c r="C5972" s="1" t="s">
        <v>4203</v>
      </c>
      <c r="D5972" s="22" t="str">
        <f>HYPERLINK("https://rhld.insurance.arkansas.gov/NPILookup?Npi=1619541281","1619541281")</f>
        <v>1619541281</v>
      </c>
      <c r="E5972" s="1" t="s">
        <v>17715</v>
      </c>
      <c r="F5972" s="2"/>
      <c r="G5972" s="2"/>
      <c r="H5972" s="2"/>
    </row>
    <row r="5973" spans="1:8" x14ac:dyDescent="0.25">
      <c r="A5973" s="1"/>
      <c r="B5973" s="1" t="s">
        <v>4202</v>
      </c>
      <c r="C5973" s="1" t="s">
        <v>4203</v>
      </c>
      <c r="D5973" s="22" t="str">
        <f>HYPERLINK("https://rhld.insurance.arkansas.gov/NPILookup?Npi=1619545829","1619545829")</f>
        <v>1619545829</v>
      </c>
      <c r="E5973" s="1" t="s">
        <v>17716</v>
      </c>
      <c r="F5973" s="2"/>
      <c r="G5973" s="2"/>
      <c r="H5973" s="2"/>
    </row>
    <row r="5974" spans="1:8" x14ac:dyDescent="0.25">
      <c r="A5974" s="1"/>
      <c r="B5974" s="1" t="s">
        <v>4202</v>
      </c>
      <c r="C5974" s="1" t="s">
        <v>4203</v>
      </c>
      <c r="D5974" s="22" t="str">
        <f>HYPERLINK("https://rhld.insurance.arkansas.gov/NPILookup?Npi=1619905692","1619905692")</f>
        <v>1619905692</v>
      </c>
      <c r="E5974" s="1" t="s">
        <v>17717</v>
      </c>
      <c r="F5974" s="2"/>
      <c r="G5974" s="2"/>
      <c r="H5974" s="2"/>
    </row>
    <row r="5975" spans="1:8" x14ac:dyDescent="0.25">
      <c r="A5975" s="1"/>
      <c r="B5975" s="1" t="s">
        <v>4202</v>
      </c>
      <c r="C5975" s="1" t="s">
        <v>4203</v>
      </c>
      <c r="D5975" s="22" t="str">
        <f>HYPERLINK("https://rhld.insurance.arkansas.gov/NPILookup?Npi=1619923364","1619923364")</f>
        <v>1619923364</v>
      </c>
      <c r="E5975" s="1" t="s">
        <v>4426</v>
      </c>
      <c r="F5975" s="2"/>
      <c r="G5975" s="2"/>
      <c r="H5975" s="2"/>
    </row>
    <row r="5976" spans="1:8" x14ac:dyDescent="0.25">
      <c r="A5976" s="1"/>
      <c r="B5976" s="1" t="s">
        <v>4202</v>
      </c>
      <c r="C5976" s="1" t="s">
        <v>4203</v>
      </c>
      <c r="D5976" s="22" t="str">
        <f>HYPERLINK("https://rhld.insurance.arkansas.gov/NPILookup?Npi=1619938164","1619938164")</f>
        <v>1619938164</v>
      </c>
      <c r="E5976" s="1" t="s">
        <v>2043</v>
      </c>
      <c r="F5976" s="2"/>
      <c r="G5976" s="2"/>
      <c r="H5976" s="2"/>
    </row>
    <row r="5977" spans="1:8" x14ac:dyDescent="0.25">
      <c r="A5977" s="1"/>
      <c r="B5977" s="1" t="s">
        <v>4202</v>
      </c>
      <c r="C5977" s="1" t="s">
        <v>4203</v>
      </c>
      <c r="D5977" s="22" t="str">
        <f>HYPERLINK("https://rhld.insurance.arkansas.gov/NPILookup?Npi=1619959145","1619959145")</f>
        <v>1619959145</v>
      </c>
      <c r="E5977" s="1" t="s">
        <v>10388</v>
      </c>
      <c r="F5977" s="2"/>
      <c r="G5977" s="2"/>
      <c r="H5977" s="2"/>
    </row>
    <row r="5978" spans="1:8" x14ac:dyDescent="0.25">
      <c r="A5978" s="1"/>
      <c r="B5978" s="1" t="s">
        <v>4202</v>
      </c>
      <c r="C5978" s="1" t="s">
        <v>4203</v>
      </c>
      <c r="D5978" s="22" t="str">
        <f>HYPERLINK("https://rhld.insurance.arkansas.gov/NPILookup?Npi=1619964772","1619964772")</f>
        <v>1619964772</v>
      </c>
      <c r="E5978" s="1" t="s">
        <v>17718</v>
      </c>
      <c r="F5978" s="2"/>
      <c r="G5978" s="2"/>
      <c r="H5978" s="2"/>
    </row>
    <row r="5979" spans="1:8" x14ac:dyDescent="0.25">
      <c r="A5979" s="1"/>
      <c r="B5979" s="1" t="s">
        <v>4202</v>
      </c>
      <c r="C5979" s="1" t="s">
        <v>4203</v>
      </c>
      <c r="D5979" s="22" t="str">
        <f>HYPERLINK("https://rhld.insurance.arkansas.gov/NPILookup?Npi=1619994761","1619994761")</f>
        <v>1619994761</v>
      </c>
      <c r="E5979" s="1" t="s">
        <v>31452</v>
      </c>
      <c r="F5979" s="2"/>
      <c r="G5979" s="2"/>
      <c r="H5979" s="2"/>
    </row>
    <row r="5980" spans="1:8" x14ac:dyDescent="0.25">
      <c r="A5980" s="1"/>
      <c r="B5980" s="1" t="s">
        <v>4202</v>
      </c>
      <c r="C5980" s="1" t="s">
        <v>4203</v>
      </c>
      <c r="D5980" s="22" t="str">
        <f>HYPERLINK("https://rhld.insurance.arkansas.gov/NPILookup?Npi=1629009451","1629009451")</f>
        <v>1629009451</v>
      </c>
      <c r="E5980" s="1" t="s">
        <v>17719</v>
      </c>
      <c r="F5980" s="2"/>
      <c r="G5980" s="2"/>
      <c r="H5980" s="2"/>
    </row>
    <row r="5981" spans="1:8" x14ac:dyDescent="0.25">
      <c r="A5981" s="1"/>
      <c r="B5981" s="1" t="s">
        <v>4202</v>
      </c>
      <c r="C5981" s="1" t="s">
        <v>4203</v>
      </c>
      <c r="D5981" s="22" t="str">
        <f>HYPERLINK("https://rhld.insurance.arkansas.gov/NPILookup?Npi=1629016126","1629016126")</f>
        <v>1629016126</v>
      </c>
      <c r="E5981" s="1" t="s">
        <v>17720</v>
      </c>
      <c r="F5981" s="2"/>
      <c r="G5981" s="2"/>
      <c r="H5981" s="2"/>
    </row>
    <row r="5982" spans="1:8" x14ac:dyDescent="0.25">
      <c r="A5982" s="1"/>
      <c r="B5982" s="1" t="s">
        <v>4202</v>
      </c>
      <c r="C5982" s="1" t="s">
        <v>4203</v>
      </c>
      <c r="D5982" s="22" t="str">
        <f>HYPERLINK("https://rhld.insurance.arkansas.gov/NPILookup?Npi=1629025721","1629025721")</f>
        <v>1629025721</v>
      </c>
      <c r="E5982" s="1" t="s">
        <v>17721</v>
      </c>
      <c r="F5982" s="2"/>
      <c r="G5982" s="2"/>
      <c r="H5982" s="2"/>
    </row>
    <row r="5983" spans="1:8" x14ac:dyDescent="0.25">
      <c r="A5983" s="1"/>
      <c r="B5983" s="1" t="s">
        <v>4202</v>
      </c>
      <c r="C5983" s="1" t="s">
        <v>4203</v>
      </c>
      <c r="D5983" s="22" t="str">
        <f>HYPERLINK("https://rhld.insurance.arkansas.gov/NPILookup?Npi=1629026919","1629026919")</f>
        <v>1629026919</v>
      </c>
      <c r="E5983" s="1" t="s">
        <v>17722</v>
      </c>
      <c r="F5983" s="2"/>
      <c r="G5983" s="2"/>
      <c r="H5983" s="2"/>
    </row>
    <row r="5984" spans="1:8" x14ac:dyDescent="0.25">
      <c r="A5984" s="1"/>
      <c r="B5984" s="1" t="s">
        <v>4202</v>
      </c>
      <c r="C5984" s="1" t="s">
        <v>4203</v>
      </c>
      <c r="D5984" s="22" t="str">
        <f>HYPERLINK("https://rhld.insurance.arkansas.gov/NPILookup?Npi=1629139969","1629139969")</f>
        <v>1629139969</v>
      </c>
      <c r="E5984" s="1" t="s">
        <v>31453</v>
      </c>
      <c r="F5984" s="2"/>
      <c r="G5984" s="2"/>
      <c r="H5984" s="2"/>
    </row>
    <row r="5985" spans="1:8" x14ac:dyDescent="0.25">
      <c r="A5985" s="1"/>
      <c r="B5985" s="1" t="s">
        <v>4202</v>
      </c>
      <c r="C5985" s="1" t="s">
        <v>4203</v>
      </c>
      <c r="D5985" s="22" t="str">
        <f>HYPERLINK("https://rhld.insurance.arkansas.gov/NPILookup?Npi=1629186812","1629186812")</f>
        <v>1629186812</v>
      </c>
      <c r="E5985" s="1" t="s">
        <v>4427</v>
      </c>
      <c r="F5985" s="2"/>
      <c r="G5985" s="2"/>
      <c r="H5985" s="2"/>
    </row>
    <row r="5986" spans="1:8" x14ac:dyDescent="0.25">
      <c r="A5986" s="1"/>
      <c r="B5986" s="1" t="s">
        <v>4202</v>
      </c>
      <c r="C5986" s="1" t="s">
        <v>4203</v>
      </c>
      <c r="D5986" s="22" t="str">
        <f>HYPERLINK("https://rhld.insurance.arkansas.gov/NPILookup?Npi=1629243589","1629243589")</f>
        <v>1629243589</v>
      </c>
      <c r="E5986" s="1" t="s">
        <v>17723</v>
      </c>
      <c r="F5986" s="2"/>
      <c r="G5986" s="2"/>
      <c r="H5986" s="2"/>
    </row>
    <row r="5987" spans="1:8" x14ac:dyDescent="0.25">
      <c r="A5987" s="1"/>
      <c r="B5987" s="1" t="s">
        <v>4202</v>
      </c>
      <c r="C5987" s="1" t="s">
        <v>4203</v>
      </c>
      <c r="D5987" s="22" t="str">
        <f>HYPERLINK("https://rhld.insurance.arkansas.gov/NPILookup?Npi=1629362934","1629362934")</f>
        <v>1629362934</v>
      </c>
      <c r="E5987" s="1" t="s">
        <v>4428</v>
      </c>
      <c r="F5987" s="2"/>
      <c r="G5987" s="2"/>
      <c r="H5987" s="2"/>
    </row>
    <row r="5988" spans="1:8" x14ac:dyDescent="0.25">
      <c r="A5988" s="1"/>
      <c r="B5988" s="1" t="s">
        <v>4202</v>
      </c>
      <c r="C5988" s="1" t="s">
        <v>4203</v>
      </c>
      <c r="D5988" s="22" t="str">
        <f>HYPERLINK("https://rhld.insurance.arkansas.gov/NPILookup?Npi=1629399779","1629399779")</f>
        <v>1629399779</v>
      </c>
      <c r="E5988" s="1" t="s">
        <v>4429</v>
      </c>
      <c r="F5988" s="2"/>
      <c r="G5988" s="2"/>
      <c r="H5988" s="2"/>
    </row>
    <row r="5989" spans="1:8" x14ac:dyDescent="0.25">
      <c r="A5989" s="1"/>
      <c r="B5989" s="1" t="s">
        <v>4202</v>
      </c>
      <c r="C5989" s="1" t="s">
        <v>4203</v>
      </c>
      <c r="D5989" s="22" t="str">
        <f>HYPERLINK("https://rhld.insurance.arkansas.gov/NPILookup?Npi=1629425061","1629425061")</f>
        <v>1629425061</v>
      </c>
      <c r="E5989" s="1" t="s">
        <v>1302</v>
      </c>
      <c r="F5989" s="2"/>
      <c r="G5989" s="2"/>
      <c r="H5989" s="2"/>
    </row>
    <row r="5990" spans="1:8" x14ac:dyDescent="0.25">
      <c r="A5990" s="1"/>
      <c r="B5990" s="1" t="s">
        <v>4202</v>
      </c>
      <c r="C5990" s="1" t="s">
        <v>4203</v>
      </c>
      <c r="D5990" s="22" t="str">
        <f>HYPERLINK("https://rhld.insurance.arkansas.gov/NPILookup?Npi=1629426978","1629426978")</f>
        <v>1629426978</v>
      </c>
      <c r="E5990" s="1" t="s">
        <v>4430</v>
      </c>
      <c r="F5990" s="2"/>
      <c r="G5990" s="2"/>
      <c r="H5990" s="2"/>
    </row>
    <row r="5991" spans="1:8" x14ac:dyDescent="0.25">
      <c r="A5991" s="1"/>
      <c r="B5991" s="1" t="s">
        <v>4202</v>
      </c>
      <c r="C5991" s="1" t="s">
        <v>4203</v>
      </c>
      <c r="D5991" s="22" t="str">
        <f>HYPERLINK("https://rhld.insurance.arkansas.gov/NPILookup?Npi=1629455449","1629455449")</f>
        <v>1629455449</v>
      </c>
      <c r="E5991" s="1" t="s">
        <v>4431</v>
      </c>
      <c r="F5991" s="2"/>
      <c r="G5991" s="2"/>
      <c r="H5991" s="2"/>
    </row>
    <row r="5992" spans="1:8" x14ac:dyDescent="0.25">
      <c r="A5992" s="1"/>
      <c r="B5992" s="1" t="s">
        <v>4202</v>
      </c>
      <c r="C5992" s="1" t="s">
        <v>4203</v>
      </c>
      <c r="D5992" s="22" t="str">
        <f>HYPERLINK("https://rhld.insurance.arkansas.gov/NPILookup?Npi=1629530654","1629530654")</f>
        <v>1629530654</v>
      </c>
      <c r="E5992" s="1" t="s">
        <v>10390</v>
      </c>
      <c r="F5992" s="2"/>
      <c r="G5992" s="2"/>
      <c r="H5992" s="2"/>
    </row>
    <row r="5993" spans="1:8" x14ac:dyDescent="0.25">
      <c r="A5993" s="1"/>
      <c r="B5993" s="1" t="s">
        <v>4202</v>
      </c>
      <c r="C5993" s="1" t="s">
        <v>4203</v>
      </c>
      <c r="D5993" s="22" t="str">
        <f>HYPERLINK("https://rhld.insurance.arkansas.gov/NPILookup?Npi=1629539606","1629539606")</f>
        <v>1629539606</v>
      </c>
      <c r="E5993" s="1" t="s">
        <v>10391</v>
      </c>
      <c r="F5993" s="2"/>
      <c r="G5993" s="2"/>
      <c r="H5993" s="2"/>
    </row>
    <row r="5994" spans="1:8" x14ac:dyDescent="0.25">
      <c r="A5994" s="1"/>
      <c r="B5994" s="1" t="s">
        <v>4202</v>
      </c>
      <c r="C5994" s="1" t="s">
        <v>4203</v>
      </c>
      <c r="D5994" s="22" t="str">
        <f>HYPERLINK("https://rhld.insurance.arkansas.gov/NPILookup?Npi=1629564745","1629564745")</f>
        <v>1629564745</v>
      </c>
      <c r="E5994" s="1" t="s">
        <v>4432</v>
      </c>
      <c r="F5994" s="2"/>
      <c r="G5994" s="2"/>
      <c r="H5994" s="2"/>
    </row>
    <row r="5995" spans="1:8" x14ac:dyDescent="0.25">
      <c r="A5995" s="1"/>
      <c r="B5995" s="1" t="s">
        <v>4202</v>
      </c>
      <c r="C5995" s="1" t="s">
        <v>4203</v>
      </c>
      <c r="D5995" s="22" t="str">
        <f>HYPERLINK("https://rhld.insurance.arkansas.gov/NPILookup?Npi=1629599287","1629599287")</f>
        <v>1629599287</v>
      </c>
      <c r="E5995" s="1" t="s">
        <v>1237</v>
      </c>
      <c r="F5995" s="2"/>
      <c r="G5995" s="2"/>
      <c r="H5995" s="2"/>
    </row>
    <row r="5996" spans="1:8" x14ac:dyDescent="0.25">
      <c r="A5996" s="1"/>
      <c r="B5996" s="1" t="s">
        <v>4202</v>
      </c>
      <c r="C5996" s="1" t="s">
        <v>4203</v>
      </c>
      <c r="D5996" s="22" t="str">
        <f>HYPERLINK("https://rhld.insurance.arkansas.gov/NPILookup?Npi=1639100035","1639100035")</f>
        <v>1639100035</v>
      </c>
      <c r="E5996" s="1" t="s">
        <v>17725</v>
      </c>
      <c r="F5996" s="2"/>
      <c r="G5996" s="2"/>
      <c r="H5996" s="2"/>
    </row>
    <row r="5997" spans="1:8" x14ac:dyDescent="0.25">
      <c r="A5997" s="1"/>
      <c r="B5997" s="1" t="s">
        <v>4202</v>
      </c>
      <c r="C5997" s="1" t="s">
        <v>4203</v>
      </c>
      <c r="D5997" s="22" t="str">
        <f>HYPERLINK("https://rhld.insurance.arkansas.gov/NPILookup?Npi=1639118391","1639118391")</f>
        <v>1639118391</v>
      </c>
      <c r="E5997" s="1" t="s">
        <v>17726</v>
      </c>
      <c r="F5997" s="2"/>
      <c r="G5997" s="2"/>
      <c r="H5997" s="2"/>
    </row>
    <row r="5998" spans="1:8" x14ac:dyDescent="0.25">
      <c r="A5998" s="1"/>
      <c r="B5998" s="1" t="s">
        <v>4202</v>
      </c>
      <c r="C5998" s="1" t="s">
        <v>4203</v>
      </c>
      <c r="D5998" s="22" t="str">
        <f>HYPERLINK("https://rhld.insurance.arkansas.gov/NPILookup?Npi=1639124266","1639124266")</f>
        <v>1639124266</v>
      </c>
      <c r="E5998" s="1" t="s">
        <v>17727</v>
      </c>
      <c r="F5998" s="2"/>
      <c r="G5998" s="2"/>
      <c r="H5998" s="2"/>
    </row>
    <row r="5999" spans="1:8" x14ac:dyDescent="0.25">
      <c r="A5999" s="1"/>
      <c r="B5999" s="1" t="s">
        <v>4202</v>
      </c>
      <c r="C5999" s="1" t="s">
        <v>4203</v>
      </c>
      <c r="D5999" s="22" t="str">
        <f>HYPERLINK("https://rhld.insurance.arkansas.gov/NPILookup?Npi=1639139603","1639139603")</f>
        <v>1639139603</v>
      </c>
      <c r="E5999" s="1" t="s">
        <v>17728</v>
      </c>
      <c r="F5999" s="2"/>
      <c r="G5999" s="2"/>
      <c r="H5999" s="2"/>
    </row>
    <row r="6000" spans="1:8" x14ac:dyDescent="0.25">
      <c r="A6000" s="1"/>
      <c r="B6000" s="1" t="s">
        <v>4202</v>
      </c>
      <c r="C6000" s="1" t="s">
        <v>4203</v>
      </c>
      <c r="D6000" s="22" t="str">
        <f>HYPERLINK("https://rhld.insurance.arkansas.gov/NPILookup?Npi=1639266380","1639266380")</f>
        <v>1639266380</v>
      </c>
      <c r="E6000" s="1" t="s">
        <v>4433</v>
      </c>
      <c r="F6000" s="2"/>
      <c r="G6000" s="2"/>
      <c r="H6000" s="2"/>
    </row>
    <row r="6001" spans="1:8" x14ac:dyDescent="0.25">
      <c r="A6001" s="1"/>
      <c r="B6001" s="1" t="s">
        <v>4202</v>
      </c>
      <c r="C6001" s="1" t="s">
        <v>4203</v>
      </c>
      <c r="D6001" s="22" t="str">
        <f>HYPERLINK("https://rhld.insurance.arkansas.gov/NPILookup?Npi=1639270382","1639270382")</f>
        <v>1639270382</v>
      </c>
      <c r="E6001" s="1" t="s">
        <v>10393</v>
      </c>
      <c r="F6001" s="2"/>
      <c r="G6001" s="2"/>
      <c r="H6001" s="2"/>
    </row>
    <row r="6002" spans="1:8" x14ac:dyDescent="0.25">
      <c r="A6002" s="1"/>
      <c r="B6002" s="1" t="s">
        <v>4202</v>
      </c>
      <c r="C6002" s="1" t="s">
        <v>4203</v>
      </c>
      <c r="D6002" s="22" t="str">
        <f>HYPERLINK("https://rhld.insurance.arkansas.gov/NPILookup?Npi=1639287600","1639287600")</f>
        <v>1639287600</v>
      </c>
      <c r="E6002" s="1" t="s">
        <v>17729</v>
      </c>
      <c r="F6002" s="2"/>
      <c r="G6002" s="2"/>
      <c r="H6002" s="2"/>
    </row>
    <row r="6003" spans="1:8" x14ac:dyDescent="0.25">
      <c r="A6003" s="1"/>
      <c r="B6003" s="1" t="s">
        <v>4202</v>
      </c>
      <c r="C6003" s="1" t="s">
        <v>4203</v>
      </c>
      <c r="D6003" s="22" t="str">
        <f>HYPERLINK("https://rhld.insurance.arkansas.gov/NPILookup?Npi=1639313208","1639313208")</f>
        <v>1639313208</v>
      </c>
      <c r="E6003" s="1" t="s">
        <v>4434</v>
      </c>
      <c r="F6003" s="2"/>
      <c r="G6003" s="2"/>
      <c r="H6003" s="2"/>
    </row>
    <row r="6004" spans="1:8" x14ac:dyDescent="0.25">
      <c r="A6004" s="1"/>
      <c r="B6004" s="1" t="s">
        <v>4202</v>
      </c>
      <c r="C6004" s="1" t="s">
        <v>4203</v>
      </c>
      <c r="D6004" s="22" t="str">
        <f>HYPERLINK("https://rhld.insurance.arkansas.gov/NPILookup?Npi=1639313711","1639313711")</f>
        <v>1639313711</v>
      </c>
      <c r="E6004" s="1" t="s">
        <v>17730</v>
      </c>
      <c r="F6004" s="2"/>
      <c r="G6004" s="2"/>
      <c r="H6004" s="2"/>
    </row>
    <row r="6005" spans="1:8" x14ac:dyDescent="0.25">
      <c r="A6005" s="1"/>
      <c r="B6005" s="1" t="s">
        <v>4202</v>
      </c>
      <c r="C6005" s="1" t="s">
        <v>4203</v>
      </c>
      <c r="D6005" s="22" t="str">
        <f>HYPERLINK("https://rhld.insurance.arkansas.gov/NPILookup?Npi=1639316797","1639316797")</f>
        <v>1639316797</v>
      </c>
      <c r="E6005" s="1" t="s">
        <v>17731</v>
      </c>
      <c r="F6005" s="2"/>
      <c r="G6005" s="2"/>
      <c r="H6005" s="2"/>
    </row>
    <row r="6006" spans="1:8" x14ac:dyDescent="0.25">
      <c r="A6006" s="1"/>
      <c r="B6006" s="1" t="s">
        <v>4202</v>
      </c>
      <c r="C6006" s="1" t="s">
        <v>4203</v>
      </c>
      <c r="D6006" s="22" t="str">
        <f>HYPERLINK("https://rhld.insurance.arkansas.gov/NPILookup?Npi=1639346240","1639346240")</f>
        <v>1639346240</v>
      </c>
      <c r="E6006" s="1" t="s">
        <v>17732</v>
      </c>
      <c r="F6006" s="2"/>
      <c r="G6006" s="2"/>
      <c r="H6006" s="2"/>
    </row>
    <row r="6007" spans="1:8" x14ac:dyDescent="0.25">
      <c r="A6007" s="1"/>
      <c r="B6007" s="1" t="s">
        <v>4202</v>
      </c>
      <c r="C6007" s="1" t="s">
        <v>4203</v>
      </c>
      <c r="D6007" s="22" t="str">
        <f>HYPERLINK("https://rhld.insurance.arkansas.gov/NPILookup?Npi=1639346620","1639346620")</f>
        <v>1639346620</v>
      </c>
      <c r="E6007" s="1" t="s">
        <v>876</v>
      </c>
      <c r="F6007" s="2"/>
      <c r="G6007" s="2"/>
      <c r="H6007" s="2"/>
    </row>
    <row r="6008" spans="1:8" x14ac:dyDescent="0.25">
      <c r="A6008" s="1"/>
      <c r="B6008" s="1" t="s">
        <v>4202</v>
      </c>
      <c r="C6008" s="1" t="s">
        <v>4203</v>
      </c>
      <c r="D6008" s="22" t="str">
        <f>HYPERLINK("https://rhld.insurance.arkansas.gov/NPILookup?Npi=1639364086","1639364086")</f>
        <v>1639364086</v>
      </c>
      <c r="E6008" s="1" t="s">
        <v>17733</v>
      </c>
      <c r="F6008" s="2"/>
      <c r="G6008" s="2"/>
      <c r="H6008" s="2"/>
    </row>
    <row r="6009" spans="1:8" x14ac:dyDescent="0.25">
      <c r="A6009" s="1"/>
      <c r="B6009" s="1" t="s">
        <v>4202</v>
      </c>
      <c r="C6009" s="1" t="s">
        <v>4203</v>
      </c>
      <c r="D6009" s="22" t="str">
        <f>HYPERLINK("https://rhld.insurance.arkansas.gov/NPILookup?Npi=1639465719","1639465719")</f>
        <v>1639465719</v>
      </c>
      <c r="E6009" s="1" t="s">
        <v>10394</v>
      </c>
      <c r="F6009" s="2"/>
      <c r="G6009" s="2"/>
      <c r="H6009" s="2"/>
    </row>
    <row r="6010" spans="1:8" x14ac:dyDescent="0.25">
      <c r="A6010" s="1"/>
      <c r="B6010" s="1" t="s">
        <v>4202</v>
      </c>
      <c r="C6010" s="1" t="s">
        <v>4203</v>
      </c>
      <c r="D6010" s="22" t="str">
        <f>HYPERLINK("https://rhld.insurance.arkansas.gov/NPILookup?Npi=1639497241","1639497241")</f>
        <v>1639497241</v>
      </c>
      <c r="E6010" s="1" t="s">
        <v>4435</v>
      </c>
      <c r="F6010" s="2"/>
      <c r="G6010" s="2"/>
      <c r="H6010" s="2"/>
    </row>
    <row r="6011" spans="1:8" x14ac:dyDescent="0.25">
      <c r="A6011" s="1"/>
      <c r="B6011" s="1" t="s">
        <v>4202</v>
      </c>
      <c r="C6011" s="1" t="s">
        <v>4203</v>
      </c>
      <c r="D6011" s="22" t="str">
        <f>HYPERLINK("https://rhld.insurance.arkansas.gov/NPILookup?Npi=1639674526","1639674526")</f>
        <v>1639674526</v>
      </c>
      <c r="E6011" s="1" t="s">
        <v>17734</v>
      </c>
      <c r="F6011" s="2"/>
      <c r="G6011" s="2"/>
      <c r="H6011" s="2"/>
    </row>
    <row r="6012" spans="1:8" x14ac:dyDescent="0.25">
      <c r="A6012" s="1"/>
      <c r="B6012" s="1" t="s">
        <v>4202</v>
      </c>
      <c r="C6012" s="1" t="s">
        <v>4203</v>
      </c>
      <c r="D6012" s="22" t="str">
        <f>HYPERLINK("https://rhld.insurance.arkansas.gov/NPILookup?Npi=1639758303","1639758303")</f>
        <v>1639758303</v>
      </c>
      <c r="E6012" s="1" t="s">
        <v>4436</v>
      </c>
      <c r="F6012" s="2"/>
      <c r="G6012" s="2"/>
      <c r="H6012" s="2"/>
    </row>
    <row r="6013" spans="1:8" x14ac:dyDescent="0.25">
      <c r="A6013" s="1"/>
      <c r="B6013" s="1" t="s">
        <v>4202</v>
      </c>
      <c r="C6013" s="1" t="s">
        <v>4203</v>
      </c>
      <c r="D6013" s="22" t="str">
        <f>HYPERLINK("https://rhld.insurance.arkansas.gov/NPILookup?Npi=1639798150","1639798150")</f>
        <v>1639798150</v>
      </c>
      <c r="E6013" s="1" t="s">
        <v>17736</v>
      </c>
      <c r="F6013" s="2"/>
      <c r="G6013" s="2"/>
      <c r="H6013" s="2"/>
    </row>
    <row r="6014" spans="1:8" x14ac:dyDescent="0.25">
      <c r="A6014" s="1"/>
      <c r="B6014" s="1" t="s">
        <v>4202</v>
      </c>
      <c r="C6014" s="1" t="s">
        <v>4203</v>
      </c>
      <c r="D6014" s="22" t="str">
        <f>HYPERLINK("https://rhld.insurance.arkansas.gov/NPILookup?Npi=1639829559","1639829559")</f>
        <v>1639829559</v>
      </c>
      <c r="E6014" s="1" t="s">
        <v>31454</v>
      </c>
      <c r="F6014" s="2"/>
      <c r="G6014" s="2"/>
      <c r="H6014" s="2"/>
    </row>
    <row r="6015" spans="1:8" x14ac:dyDescent="0.25">
      <c r="A6015" s="1"/>
      <c r="B6015" s="1" t="s">
        <v>4202</v>
      </c>
      <c r="C6015" s="1" t="s">
        <v>4203</v>
      </c>
      <c r="D6015" s="22" t="str">
        <f>HYPERLINK("https://rhld.insurance.arkansas.gov/NPILookup?Npi=1649294554","1649294554")</f>
        <v>1649294554</v>
      </c>
      <c r="E6015" s="1" t="s">
        <v>17737</v>
      </c>
      <c r="F6015" s="2"/>
      <c r="G6015" s="2"/>
      <c r="H6015" s="2"/>
    </row>
    <row r="6016" spans="1:8" x14ac:dyDescent="0.25">
      <c r="A6016" s="1"/>
      <c r="B6016" s="1" t="s">
        <v>4202</v>
      </c>
      <c r="C6016" s="1" t="s">
        <v>4203</v>
      </c>
      <c r="D6016" s="22" t="str">
        <f>HYPERLINK("https://rhld.insurance.arkansas.gov/NPILookup?Npi=1649374208","1649374208")</f>
        <v>1649374208</v>
      </c>
      <c r="E6016" s="1" t="s">
        <v>10395</v>
      </c>
      <c r="F6016" s="2"/>
      <c r="G6016" s="2"/>
      <c r="H6016" s="2"/>
    </row>
    <row r="6017" spans="1:8" x14ac:dyDescent="0.25">
      <c r="A6017" s="1"/>
      <c r="B6017" s="1" t="s">
        <v>4202</v>
      </c>
      <c r="C6017" s="1" t="s">
        <v>4203</v>
      </c>
      <c r="D6017" s="22" t="str">
        <f>HYPERLINK("https://rhld.insurance.arkansas.gov/NPILookup?Npi=1649492109","1649492109")</f>
        <v>1649492109</v>
      </c>
      <c r="E6017" s="1" t="s">
        <v>17739</v>
      </c>
      <c r="F6017" s="2"/>
      <c r="G6017" s="2"/>
      <c r="H6017" s="2"/>
    </row>
    <row r="6018" spans="1:8" x14ac:dyDescent="0.25">
      <c r="A6018" s="1"/>
      <c r="B6018" s="1" t="s">
        <v>4202</v>
      </c>
      <c r="C6018" s="1" t="s">
        <v>4203</v>
      </c>
      <c r="D6018" s="22" t="str">
        <f>HYPERLINK("https://rhld.insurance.arkansas.gov/NPILookup?Npi=1649539768","1649539768")</f>
        <v>1649539768</v>
      </c>
      <c r="E6018" s="1" t="s">
        <v>2948</v>
      </c>
      <c r="F6018" s="2"/>
      <c r="G6018" s="2"/>
      <c r="H6018" s="2"/>
    </row>
    <row r="6019" spans="1:8" x14ac:dyDescent="0.25">
      <c r="A6019" s="1"/>
      <c r="B6019" s="1" t="s">
        <v>4202</v>
      </c>
      <c r="C6019" s="1" t="s">
        <v>4203</v>
      </c>
      <c r="D6019" s="22" t="str">
        <f>HYPERLINK("https://rhld.insurance.arkansas.gov/NPILookup?Npi=1649564998","1649564998")</f>
        <v>1649564998</v>
      </c>
      <c r="E6019" s="1" t="s">
        <v>10396</v>
      </c>
      <c r="F6019" s="2"/>
      <c r="G6019" s="2"/>
      <c r="H6019" s="2"/>
    </row>
    <row r="6020" spans="1:8" x14ac:dyDescent="0.25">
      <c r="A6020" s="1"/>
      <c r="B6020" s="1" t="s">
        <v>4202</v>
      </c>
      <c r="C6020" s="1" t="s">
        <v>4203</v>
      </c>
      <c r="D6020" s="22" t="str">
        <f>HYPERLINK("https://rhld.insurance.arkansas.gov/NPILookup?Npi=1649566720","1649566720")</f>
        <v>1649566720</v>
      </c>
      <c r="E6020" s="1" t="s">
        <v>17740</v>
      </c>
      <c r="F6020" s="2"/>
      <c r="G6020" s="2"/>
      <c r="H6020" s="2"/>
    </row>
    <row r="6021" spans="1:8" x14ac:dyDescent="0.25">
      <c r="A6021" s="1"/>
      <c r="B6021" s="1" t="s">
        <v>4202</v>
      </c>
      <c r="C6021" s="1" t="s">
        <v>4203</v>
      </c>
      <c r="D6021" s="22" t="str">
        <f>HYPERLINK("https://rhld.insurance.arkansas.gov/NPILookup?Npi=1649582768","1649582768")</f>
        <v>1649582768</v>
      </c>
      <c r="E6021" s="1" t="s">
        <v>17741</v>
      </c>
      <c r="F6021" s="2"/>
      <c r="G6021" s="2"/>
      <c r="H6021" s="2"/>
    </row>
    <row r="6022" spans="1:8" x14ac:dyDescent="0.25">
      <c r="A6022" s="1"/>
      <c r="B6022" s="1" t="s">
        <v>4202</v>
      </c>
      <c r="C6022" s="1" t="s">
        <v>4203</v>
      </c>
      <c r="D6022" s="22" t="str">
        <f>HYPERLINK("https://rhld.insurance.arkansas.gov/NPILookup?Npi=1649684168","1649684168")</f>
        <v>1649684168</v>
      </c>
      <c r="E6022" s="1" t="s">
        <v>17744</v>
      </c>
      <c r="F6022" s="2"/>
      <c r="G6022" s="2"/>
      <c r="H6022" s="2"/>
    </row>
    <row r="6023" spans="1:8" x14ac:dyDescent="0.25">
      <c r="A6023" s="1"/>
      <c r="B6023" s="1" t="s">
        <v>4202</v>
      </c>
      <c r="C6023" s="1" t="s">
        <v>4203</v>
      </c>
      <c r="D6023" s="22" t="str">
        <f>HYPERLINK("https://rhld.insurance.arkansas.gov/NPILookup?Npi=1649699810","1649699810")</f>
        <v>1649699810</v>
      </c>
      <c r="E6023" s="1" t="s">
        <v>4437</v>
      </c>
      <c r="F6023" s="2"/>
      <c r="G6023" s="2"/>
      <c r="H6023" s="2"/>
    </row>
    <row r="6024" spans="1:8" x14ac:dyDescent="0.25">
      <c r="A6024" s="1"/>
      <c r="B6024" s="1" t="s">
        <v>4202</v>
      </c>
      <c r="C6024" s="1" t="s">
        <v>4203</v>
      </c>
      <c r="D6024" s="22" t="str">
        <f>HYPERLINK("https://rhld.insurance.arkansas.gov/NPILookup?Npi=1649777095","1649777095")</f>
        <v>1649777095</v>
      </c>
      <c r="E6024" s="1" t="s">
        <v>17745</v>
      </c>
      <c r="F6024" s="2"/>
      <c r="G6024" s="2"/>
      <c r="H6024" s="2"/>
    </row>
    <row r="6025" spans="1:8" x14ac:dyDescent="0.25">
      <c r="A6025" s="1"/>
      <c r="B6025" s="1" t="s">
        <v>4202</v>
      </c>
      <c r="C6025" s="1" t="s">
        <v>4203</v>
      </c>
      <c r="D6025" s="22" t="str">
        <f>HYPERLINK("https://rhld.insurance.arkansas.gov/NPILookup?Npi=1649790809","1649790809")</f>
        <v>1649790809</v>
      </c>
      <c r="E6025" s="1" t="s">
        <v>10399</v>
      </c>
      <c r="F6025" s="2"/>
      <c r="G6025" s="2"/>
      <c r="H6025" s="2"/>
    </row>
    <row r="6026" spans="1:8" x14ac:dyDescent="0.25">
      <c r="A6026" s="1"/>
      <c r="B6026" s="1" t="s">
        <v>4202</v>
      </c>
      <c r="C6026" s="1" t="s">
        <v>4203</v>
      </c>
      <c r="D6026" s="22" t="str">
        <f>HYPERLINK("https://rhld.insurance.arkansas.gov/NPILookup?Npi=1649834508","1649834508")</f>
        <v>1649834508</v>
      </c>
      <c r="E6026" s="1" t="s">
        <v>4439</v>
      </c>
      <c r="F6026" s="2"/>
      <c r="G6026" s="2"/>
      <c r="H6026" s="2"/>
    </row>
    <row r="6027" spans="1:8" x14ac:dyDescent="0.25">
      <c r="A6027" s="1"/>
      <c r="B6027" s="1" t="s">
        <v>4202</v>
      </c>
      <c r="C6027" s="1" t="s">
        <v>4203</v>
      </c>
      <c r="D6027" s="22" t="str">
        <f>HYPERLINK("https://rhld.insurance.arkansas.gov/NPILookup?Npi=1649912759","1649912759")</f>
        <v>1649912759</v>
      </c>
      <c r="E6027" s="1" t="s">
        <v>17746</v>
      </c>
      <c r="F6027" s="2"/>
      <c r="G6027" s="2"/>
      <c r="H6027" s="2"/>
    </row>
    <row r="6028" spans="1:8" x14ac:dyDescent="0.25">
      <c r="A6028" s="1"/>
      <c r="B6028" s="1" t="s">
        <v>4202</v>
      </c>
      <c r="C6028" s="1" t="s">
        <v>4203</v>
      </c>
      <c r="D6028" s="22" t="str">
        <f>HYPERLINK("https://rhld.insurance.arkansas.gov/NPILookup?Npi=1659326023","1659326023")</f>
        <v>1659326023</v>
      </c>
      <c r="E6028" s="1" t="s">
        <v>17747</v>
      </c>
      <c r="F6028" s="2"/>
      <c r="G6028" s="2"/>
      <c r="H6028" s="2"/>
    </row>
    <row r="6029" spans="1:8" x14ac:dyDescent="0.25">
      <c r="A6029" s="1"/>
      <c r="B6029" s="1" t="s">
        <v>4202</v>
      </c>
      <c r="C6029" s="1" t="s">
        <v>4203</v>
      </c>
      <c r="D6029" s="22" t="str">
        <f>HYPERLINK("https://rhld.insurance.arkansas.gov/NPILookup?Npi=1659372613","1659372613")</f>
        <v>1659372613</v>
      </c>
      <c r="E6029" s="1" t="s">
        <v>17749</v>
      </c>
      <c r="F6029" s="2"/>
      <c r="G6029" s="2"/>
      <c r="H6029" s="2"/>
    </row>
    <row r="6030" spans="1:8" x14ac:dyDescent="0.25">
      <c r="A6030" s="1"/>
      <c r="B6030" s="1" t="s">
        <v>4202</v>
      </c>
      <c r="C6030" s="1" t="s">
        <v>4203</v>
      </c>
      <c r="D6030" s="22" t="str">
        <f>HYPERLINK("https://rhld.insurance.arkansas.gov/NPILookup?Npi=1659470318","1659470318")</f>
        <v>1659470318</v>
      </c>
      <c r="E6030" s="1" t="s">
        <v>17751</v>
      </c>
      <c r="F6030" s="2"/>
      <c r="G6030" s="2"/>
      <c r="H6030" s="2"/>
    </row>
    <row r="6031" spans="1:8" x14ac:dyDescent="0.25">
      <c r="A6031" s="1"/>
      <c r="B6031" s="1" t="s">
        <v>4202</v>
      </c>
      <c r="C6031" s="1" t="s">
        <v>4203</v>
      </c>
      <c r="D6031" s="22" t="str">
        <f>HYPERLINK("https://rhld.insurance.arkansas.gov/NPILookup?Npi=1659494334","1659494334")</f>
        <v>1659494334</v>
      </c>
      <c r="E6031" s="1" t="s">
        <v>10400</v>
      </c>
      <c r="F6031" s="2"/>
      <c r="G6031" s="2"/>
      <c r="H6031" s="2"/>
    </row>
    <row r="6032" spans="1:8" x14ac:dyDescent="0.25">
      <c r="A6032" s="1"/>
      <c r="B6032" s="1" t="s">
        <v>4202</v>
      </c>
      <c r="C6032" s="1" t="s">
        <v>4203</v>
      </c>
      <c r="D6032" s="22" t="str">
        <f>HYPERLINK("https://rhld.insurance.arkansas.gov/NPILookup?Npi=1659507317","1659507317")</f>
        <v>1659507317</v>
      </c>
      <c r="E6032" s="1" t="s">
        <v>17752</v>
      </c>
      <c r="F6032" s="2"/>
      <c r="G6032" s="2"/>
      <c r="H6032" s="2"/>
    </row>
    <row r="6033" spans="1:8" x14ac:dyDescent="0.25">
      <c r="A6033" s="1"/>
      <c r="B6033" s="1" t="s">
        <v>4202</v>
      </c>
      <c r="C6033" s="1" t="s">
        <v>4203</v>
      </c>
      <c r="D6033" s="22" t="str">
        <f>HYPERLINK("https://rhld.insurance.arkansas.gov/NPILookup?Npi=1659537736","1659537736")</f>
        <v>1659537736</v>
      </c>
      <c r="E6033" s="1" t="s">
        <v>17754</v>
      </c>
      <c r="F6033" s="2"/>
      <c r="G6033" s="2"/>
      <c r="H6033" s="2"/>
    </row>
    <row r="6034" spans="1:8" x14ac:dyDescent="0.25">
      <c r="A6034" s="1"/>
      <c r="B6034" s="1" t="s">
        <v>4202</v>
      </c>
      <c r="C6034" s="1" t="s">
        <v>4203</v>
      </c>
      <c r="D6034" s="22" t="str">
        <f>HYPERLINK("https://rhld.insurance.arkansas.gov/NPILookup?Npi=1659548790","1659548790")</f>
        <v>1659548790</v>
      </c>
      <c r="E6034" s="1" t="s">
        <v>13991</v>
      </c>
      <c r="F6034" s="2"/>
      <c r="G6034" s="2"/>
      <c r="H6034" s="2"/>
    </row>
    <row r="6035" spans="1:8" x14ac:dyDescent="0.25">
      <c r="A6035" s="1"/>
      <c r="B6035" s="1" t="s">
        <v>4202</v>
      </c>
      <c r="C6035" s="1" t="s">
        <v>4203</v>
      </c>
      <c r="D6035" s="22" t="str">
        <f>HYPERLINK("https://rhld.insurance.arkansas.gov/NPILookup?Npi=1659576080","1659576080")</f>
        <v>1659576080</v>
      </c>
      <c r="E6035" s="1" t="s">
        <v>17755</v>
      </c>
      <c r="F6035" s="2"/>
      <c r="G6035" s="2"/>
      <c r="H6035" s="2"/>
    </row>
    <row r="6036" spans="1:8" x14ac:dyDescent="0.25">
      <c r="A6036" s="1"/>
      <c r="B6036" s="1" t="s">
        <v>4202</v>
      </c>
      <c r="C6036" s="1" t="s">
        <v>4203</v>
      </c>
      <c r="D6036" s="22" t="str">
        <f>HYPERLINK("https://rhld.insurance.arkansas.gov/NPILookup?Npi=1659670545","1659670545")</f>
        <v>1659670545</v>
      </c>
      <c r="E6036" s="1" t="s">
        <v>4440</v>
      </c>
      <c r="F6036" s="2"/>
      <c r="G6036" s="2"/>
      <c r="H6036" s="2"/>
    </row>
    <row r="6037" spans="1:8" x14ac:dyDescent="0.25">
      <c r="A6037" s="1"/>
      <c r="B6037" s="1" t="s">
        <v>4202</v>
      </c>
      <c r="C6037" s="1" t="s">
        <v>4203</v>
      </c>
      <c r="D6037" s="22" t="str">
        <f>HYPERLINK("https://rhld.insurance.arkansas.gov/NPILookup?Npi=1659900421","1659900421")</f>
        <v>1659900421</v>
      </c>
      <c r="E6037" s="1" t="s">
        <v>17760</v>
      </c>
      <c r="F6037" s="2"/>
      <c r="G6037" s="2"/>
      <c r="H6037" s="2"/>
    </row>
    <row r="6038" spans="1:8" x14ac:dyDescent="0.25">
      <c r="A6038" s="1"/>
      <c r="B6038" s="1" t="s">
        <v>4202</v>
      </c>
      <c r="C6038" s="1" t="s">
        <v>4203</v>
      </c>
      <c r="D6038" s="22" t="str">
        <f>HYPERLINK("https://rhld.insurance.arkansas.gov/NPILookup?Npi=1659959716","1659959716")</f>
        <v>1659959716</v>
      </c>
      <c r="E6038" s="1" t="s">
        <v>4441</v>
      </c>
      <c r="F6038" s="2"/>
      <c r="G6038" s="2"/>
      <c r="H6038" s="2"/>
    </row>
    <row r="6039" spans="1:8" x14ac:dyDescent="0.25">
      <c r="A6039" s="1"/>
      <c r="B6039" s="1" t="s">
        <v>4202</v>
      </c>
      <c r="C6039" s="1" t="s">
        <v>4203</v>
      </c>
      <c r="D6039" s="22" t="str">
        <f>HYPERLINK("https://rhld.insurance.arkansas.gov/NPILookup?Npi=1669122990","1669122990")</f>
        <v>1669122990</v>
      </c>
      <c r="E6039" s="1" t="s">
        <v>31455</v>
      </c>
      <c r="F6039" s="2"/>
      <c r="G6039" s="2"/>
      <c r="H6039" s="2"/>
    </row>
    <row r="6040" spans="1:8" x14ac:dyDescent="0.25">
      <c r="A6040" s="1"/>
      <c r="B6040" s="1" t="s">
        <v>4202</v>
      </c>
      <c r="C6040" s="1" t="s">
        <v>4203</v>
      </c>
      <c r="D6040" s="22" t="str">
        <f>HYPERLINK("https://rhld.insurance.arkansas.gov/NPILookup?Npi=1669413761","1669413761")</f>
        <v>1669413761</v>
      </c>
      <c r="E6040" s="1" t="s">
        <v>4442</v>
      </c>
      <c r="F6040" s="2"/>
      <c r="G6040" s="2"/>
      <c r="H6040" s="2"/>
    </row>
    <row r="6041" spans="1:8" x14ac:dyDescent="0.25">
      <c r="A6041" s="1"/>
      <c r="B6041" s="1" t="s">
        <v>4202</v>
      </c>
      <c r="C6041" s="1" t="s">
        <v>4203</v>
      </c>
      <c r="D6041" s="22" t="str">
        <f>HYPERLINK("https://rhld.insurance.arkansas.gov/NPILookup?Npi=1669428421","1669428421")</f>
        <v>1669428421</v>
      </c>
      <c r="E6041" s="1" t="s">
        <v>17761</v>
      </c>
      <c r="F6041" s="2"/>
      <c r="G6041" s="2"/>
      <c r="H6041" s="2"/>
    </row>
    <row r="6042" spans="1:8" x14ac:dyDescent="0.25">
      <c r="A6042" s="1"/>
      <c r="B6042" s="1" t="s">
        <v>4202</v>
      </c>
      <c r="C6042" s="1" t="s">
        <v>4203</v>
      </c>
      <c r="D6042" s="22" t="str">
        <f>HYPERLINK("https://rhld.insurance.arkansas.gov/NPILookup?Npi=1669431169","1669431169")</f>
        <v>1669431169</v>
      </c>
      <c r="E6042" s="1" t="s">
        <v>17762</v>
      </c>
      <c r="F6042" s="2"/>
      <c r="G6042" s="2"/>
      <c r="H6042" s="2"/>
    </row>
    <row r="6043" spans="1:8" x14ac:dyDescent="0.25">
      <c r="A6043" s="1"/>
      <c r="B6043" s="1" t="s">
        <v>4202</v>
      </c>
      <c r="C6043" s="1" t="s">
        <v>4203</v>
      </c>
      <c r="D6043" s="22" t="str">
        <f>HYPERLINK("https://rhld.insurance.arkansas.gov/NPILookup?Npi=1669437208","1669437208")</f>
        <v>1669437208</v>
      </c>
      <c r="E6043" s="1" t="s">
        <v>10401</v>
      </c>
      <c r="F6043" s="2"/>
      <c r="G6043" s="2"/>
      <c r="H6043" s="2"/>
    </row>
    <row r="6044" spans="1:8" x14ac:dyDescent="0.25">
      <c r="A6044" s="1"/>
      <c r="B6044" s="1" t="s">
        <v>4202</v>
      </c>
      <c r="C6044" s="1" t="s">
        <v>4203</v>
      </c>
      <c r="D6044" s="22" t="str">
        <f>HYPERLINK("https://rhld.insurance.arkansas.gov/NPILookup?Npi=1669441671","1669441671")</f>
        <v>1669441671</v>
      </c>
      <c r="E6044" s="1" t="s">
        <v>4443</v>
      </c>
      <c r="F6044" s="2"/>
      <c r="G6044" s="2"/>
      <c r="H6044" s="2"/>
    </row>
    <row r="6045" spans="1:8" x14ac:dyDescent="0.25">
      <c r="A6045" s="1"/>
      <c r="B6045" s="1" t="s">
        <v>4202</v>
      </c>
      <c r="C6045" s="1" t="s">
        <v>4203</v>
      </c>
      <c r="D6045" s="22" t="str">
        <f>HYPERLINK("https://rhld.insurance.arkansas.gov/NPILookup?Npi=1669463865","1669463865")</f>
        <v>1669463865</v>
      </c>
      <c r="E6045" s="1" t="s">
        <v>4444</v>
      </c>
      <c r="F6045" s="2"/>
      <c r="G6045" s="2"/>
      <c r="H6045" s="2"/>
    </row>
    <row r="6046" spans="1:8" x14ac:dyDescent="0.25">
      <c r="A6046" s="1"/>
      <c r="B6046" s="1" t="s">
        <v>4202</v>
      </c>
      <c r="C6046" s="1" t="s">
        <v>4203</v>
      </c>
      <c r="D6046" s="22" t="str">
        <f>HYPERLINK("https://rhld.insurance.arkansas.gov/NPILookup?Npi=1669494860","1669494860")</f>
        <v>1669494860</v>
      </c>
      <c r="E6046" s="1" t="s">
        <v>17763</v>
      </c>
      <c r="F6046" s="2"/>
      <c r="G6046" s="2"/>
      <c r="H6046" s="2"/>
    </row>
    <row r="6047" spans="1:8" x14ac:dyDescent="0.25">
      <c r="A6047" s="1"/>
      <c r="B6047" s="1" t="s">
        <v>4202</v>
      </c>
      <c r="C6047" s="1" t="s">
        <v>4203</v>
      </c>
      <c r="D6047" s="22" t="str">
        <f>HYPERLINK("https://rhld.insurance.arkansas.gov/NPILookup?Npi=1669636775","1669636775")</f>
        <v>1669636775</v>
      </c>
      <c r="E6047" s="1" t="s">
        <v>10402</v>
      </c>
      <c r="F6047" s="2"/>
      <c r="G6047" s="2"/>
      <c r="H6047" s="2"/>
    </row>
    <row r="6048" spans="1:8" x14ac:dyDescent="0.25">
      <c r="A6048" s="1"/>
      <c r="B6048" s="1" t="s">
        <v>4202</v>
      </c>
      <c r="C6048" s="1" t="s">
        <v>4203</v>
      </c>
      <c r="D6048" s="22" t="str">
        <f>HYPERLINK("https://rhld.insurance.arkansas.gov/NPILookup?Npi=1669645099","1669645099")</f>
        <v>1669645099</v>
      </c>
      <c r="E6048" s="1" t="s">
        <v>17765</v>
      </c>
      <c r="F6048" s="2"/>
      <c r="G6048" s="2"/>
      <c r="H6048" s="2"/>
    </row>
    <row r="6049" spans="1:8" x14ac:dyDescent="0.25">
      <c r="A6049" s="1"/>
      <c r="B6049" s="1" t="s">
        <v>4202</v>
      </c>
      <c r="C6049" s="1" t="s">
        <v>4203</v>
      </c>
      <c r="D6049" s="22" t="str">
        <f>HYPERLINK("https://rhld.insurance.arkansas.gov/NPILookup?Npi=1669649315","1669649315")</f>
        <v>1669649315</v>
      </c>
      <c r="E6049" s="1" t="s">
        <v>17766</v>
      </c>
      <c r="F6049" s="2"/>
      <c r="G6049" s="2"/>
      <c r="H6049" s="2"/>
    </row>
    <row r="6050" spans="1:8" x14ac:dyDescent="0.25">
      <c r="A6050" s="1"/>
      <c r="B6050" s="1" t="s">
        <v>4202</v>
      </c>
      <c r="C6050" s="1" t="s">
        <v>4203</v>
      </c>
      <c r="D6050" s="22" t="str">
        <f>HYPERLINK("https://rhld.insurance.arkansas.gov/NPILookup?Npi=1669676557","1669676557")</f>
        <v>1669676557</v>
      </c>
      <c r="E6050" s="1" t="s">
        <v>17767</v>
      </c>
      <c r="F6050" s="2"/>
      <c r="G6050" s="2"/>
      <c r="H6050" s="2"/>
    </row>
    <row r="6051" spans="1:8" x14ac:dyDescent="0.25">
      <c r="A6051" s="1"/>
      <c r="B6051" s="1" t="s">
        <v>4202</v>
      </c>
      <c r="C6051" s="1" t="s">
        <v>4203</v>
      </c>
      <c r="D6051" s="22" t="str">
        <f>HYPERLINK("https://rhld.insurance.arkansas.gov/NPILookup?Npi=1669891222","1669891222")</f>
        <v>1669891222</v>
      </c>
      <c r="E6051" s="1" t="s">
        <v>17768</v>
      </c>
      <c r="F6051" s="2"/>
      <c r="G6051" s="2"/>
      <c r="H6051" s="2"/>
    </row>
    <row r="6052" spans="1:8" x14ac:dyDescent="0.25">
      <c r="A6052" s="1"/>
      <c r="B6052" s="1" t="s">
        <v>4202</v>
      </c>
      <c r="C6052" s="1" t="s">
        <v>4203</v>
      </c>
      <c r="D6052" s="22" t="str">
        <f>HYPERLINK("https://rhld.insurance.arkansas.gov/NPILookup?Npi=1669907051","1669907051")</f>
        <v>1669907051</v>
      </c>
      <c r="E6052" s="1" t="s">
        <v>10403</v>
      </c>
      <c r="F6052" s="2"/>
      <c r="G6052" s="2"/>
      <c r="H6052" s="2"/>
    </row>
    <row r="6053" spans="1:8" x14ac:dyDescent="0.25">
      <c r="A6053" s="1"/>
      <c r="B6053" s="1" t="s">
        <v>4202</v>
      </c>
      <c r="C6053" s="1" t="s">
        <v>4203</v>
      </c>
      <c r="D6053" s="22" t="str">
        <f>HYPERLINK("https://rhld.insurance.arkansas.gov/NPILookup?Npi=1679034706","1679034706")</f>
        <v>1679034706</v>
      </c>
      <c r="E6053" s="1" t="s">
        <v>17769</v>
      </c>
      <c r="F6053" s="2"/>
      <c r="G6053" s="2"/>
      <c r="H6053" s="2"/>
    </row>
    <row r="6054" spans="1:8" x14ac:dyDescent="0.25">
      <c r="A6054" s="1"/>
      <c r="B6054" s="1" t="s">
        <v>4202</v>
      </c>
      <c r="C6054" s="1" t="s">
        <v>4203</v>
      </c>
      <c r="D6054" s="22" t="str">
        <f>HYPERLINK("https://rhld.insurance.arkansas.gov/NPILookup?Npi=1679094593","1679094593")</f>
        <v>1679094593</v>
      </c>
      <c r="E6054" s="1" t="s">
        <v>1012</v>
      </c>
      <c r="F6054" s="2"/>
      <c r="G6054" s="2"/>
      <c r="H6054" s="2"/>
    </row>
    <row r="6055" spans="1:8" x14ac:dyDescent="0.25">
      <c r="A6055" s="1"/>
      <c r="B6055" s="1" t="s">
        <v>4202</v>
      </c>
      <c r="C6055" s="1" t="s">
        <v>4203</v>
      </c>
      <c r="D6055" s="22" t="str">
        <f>HYPERLINK("https://rhld.insurance.arkansas.gov/NPILookup?Npi=1679102446","1679102446")</f>
        <v>1679102446</v>
      </c>
      <c r="E6055" s="1" t="s">
        <v>4445</v>
      </c>
      <c r="F6055" s="2"/>
      <c r="G6055" s="2"/>
      <c r="H6055" s="2"/>
    </row>
    <row r="6056" spans="1:8" x14ac:dyDescent="0.25">
      <c r="A6056" s="1"/>
      <c r="B6056" s="1" t="s">
        <v>4202</v>
      </c>
      <c r="C6056" s="1" t="s">
        <v>4203</v>
      </c>
      <c r="D6056" s="22" t="str">
        <f>HYPERLINK("https://rhld.insurance.arkansas.gov/NPILookup?Npi=1679153944","1679153944")</f>
        <v>1679153944</v>
      </c>
      <c r="E6056" s="1" t="s">
        <v>17770</v>
      </c>
      <c r="F6056" s="2"/>
      <c r="G6056" s="2"/>
      <c r="H6056" s="2"/>
    </row>
    <row r="6057" spans="1:8" x14ac:dyDescent="0.25">
      <c r="A6057" s="1"/>
      <c r="B6057" s="1" t="s">
        <v>4202</v>
      </c>
      <c r="C6057" s="1" t="s">
        <v>4203</v>
      </c>
      <c r="D6057" s="22" t="str">
        <f>HYPERLINK("https://rhld.insurance.arkansas.gov/NPILookup?Npi=1679194583","1679194583")</f>
        <v>1679194583</v>
      </c>
      <c r="E6057" s="1" t="s">
        <v>10404</v>
      </c>
      <c r="F6057" s="2"/>
      <c r="G6057" s="2"/>
      <c r="H6057" s="2"/>
    </row>
    <row r="6058" spans="1:8" x14ac:dyDescent="0.25">
      <c r="A6058" s="1"/>
      <c r="B6058" s="1" t="s">
        <v>4202</v>
      </c>
      <c r="C6058" s="1" t="s">
        <v>4203</v>
      </c>
      <c r="D6058" s="22" t="str">
        <f>HYPERLINK("https://rhld.insurance.arkansas.gov/NPILookup?Npi=1679511356","1679511356")</f>
        <v>1679511356</v>
      </c>
      <c r="E6058" s="1" t="s">
        <v>4446</v>
      </c>
      <c r="F6058" s="2"/>
      <c r="G6058" s="2"/>
      <c r="H6058" s="2"/>
    </row>
    <row r="6059" spans="1:8" x14ac:dyDescent="0.25">
      <c r="A6059" s="1"/>
      <c r="B6059" s="1" t="s">
        <v>4202</v>
      </c>
      <c r="C6059" s="1" t="s">
        <v>4203</v>
      </c>
      <c r="D6059" s="22" t="str">
        <f>HYPERLINK("https://rhld.insurance.arkansas.gov/NPILookup?Npi=1679511471","1679511471")</f>
        <v>1679511471</v>
      </c>
      <c r="E6059" s="1" t="s">
        <v>17771</v>
      </c>
      <c r="F6059" s="2"/>
      <c r="G6059" s="2"/>
      <c r="H6059" s="2"/>
    </row>
    <row r="6060" spans="1:8" x14ac:dyDescent="0.25">
      <c r="A6060" s="1"/>
      <c r="B6060" s="1" t="s">
        <v>4202</v>
      </c>
      <c r="C6060" s="1" t="s">
        <v>4203</v>
      </c>
      <c r="D6060" s="22" t="str">
        <f>HYPERLINK("https://rhld.insurance.arkansas.gov/NPILookup?Npi=1679523807","1679523807")</f>
        <v>1679523807</v>
      </c>
      <c r="E6060" s="1" t="s">
        <v>10405</v>
      </c>
      <c r="F6060" s="2"/>
      <c r="G6060" s="2"/>
      <c r="H6060" s="2"/>
    </row>
    <row r="6061" spans="1:8" x14ac:dyDescent="0.25">
      <c r="A6061" s="1"/>
      <c r="B6061" s="1" t="s">
        <v>4202</v>
      </c>
      <c r="C6061" s="1" t="s">
        <v>4203</v>
      </c>
      <c r="D6061" s="22" t="str">
        <f>HYPERLINK("https://rhld.insurance.arkansas.gov/NPILookup?Npi=1679523997","1679523997")</f>
        <v>1679523997</v>
      </c>
      <c r="E6061" s="1" t="s">
        <v>17773</v>
      </c>
      <c r="F6061" s="2"/>
      <c r="G6061" s="2"/>
      <c r="H6061" s="2"/>
    </row>
    <row r="6062" spans="1:8" x14ac:dyDescent="0.25">
      <c r="A6062" s="1"/>
      <c r="B6062" s="1" t="s">
        <v>4202</v>
      </c>
      <c r="C6062" s="1" t="s">
        <v>4203</v>
      </c>
      <c r="D6062" s="22" t="str">
        <f>HYPERLINK("https://rhld.insurance.arkansas.gov/NPILookup?Npi=1679535181","1679535181")</f>
        <v>1679535181</v>
      </c>
      <c r="E6062" s="1" t="s">
        <v>17774</v>
      </c>
      <c r="F6062" s="2"/>
      <c r="G6062" s="2"/>
      <c r="H6062" s="2"/>
    </row>
    <row r="6063" spans="1:8" x14ac:dyDescent="0.25">
      <c r="A6063" s="1"/>
      <c r="B6063" s="1" t="s">
        <v>4202</v>
      </c>
      <c r="C6063" s="1" t="s">
        <v>4203</v>
      </c>
      <c r="D6063" s="22" t="str">
        <f>HYPERLINK("https://rhld.insurance.arkansas.gov/NPILookup?Npi=1679560080","1679560080")</f>
        <v>1679560080</v>
      </c>
      <c r="E6063" s="1" t="s">
        <v>4447</v>
      </c>
      <c r="F6063" s="2"/>
      <c r="G6063" s="2"/>
      <c r="H6063" s="2"/>
    </row>
    <row r="6064" spans="1:8" x14ac:dyDescent="0.25">
      <c r="A6064" s="1"/>
      <c r="B6064" s="1" t="s">
        <v>4202</v>
      </c>
      <c r="C6064" s="1" t="s">
        <v>4203</v>
      </c>
      <c r="D6064" s="22" t="str">
        <f>HYPERLINK("https://rhld.insurance.arkansas.gov/NPILookup?Npi=1679570642","1679570642")</f>
        <v>1679570642</v>
      </c>
      <c r="E6064" s="1" t="s">
        <v>2963</v>
      </c>
      <c r="F6064" s="2"/>
      <c r="G6064" s="2"/>
      <c r="H6064" s="2"/>
    </row>
    <row r="6065" spans="1:8" x14ac:dyDescent="0.25">
      <c r="A6065" s="1"/>
      <c r="B6065" s="1" t="s">
        <v>4202</v>
      </c>
      <c r="C6065" s="1" t="s">
        <v>4203</v>
      </c>
      <c r="D6065" s="22" t="str">
        <f>HYPERLINK("https://rhld.insurance.arkansas.gov/NPILookup?Npi=1679579536","1679579536")</f>
        <v>1679579536</v>
      </c>
      <c r="E6065" s="1" t="s">
        <v>17777</v>
      </c>
      <c r="F6065" s="2"/>
      <c r="G6065" s="2"/>
      <c r="H6065" s="2"/>
    </row>
    <row r="6066" spans="1:8" x14ac:dyDescent="0.25">
      <c r="A6066" s="1"/>
      <c r="B6066" s="1" t="s">
        <v>4202</v>
      </c>
      <c r="C6066" s="1" t="s">
        <v>4203</v>
      </c>
      <c r="D6066" s="22" t="str">
        <f>HYPERLINK("https://rhld.insurance.arkansas.gov/NPILookup?Npi=1679591143","1679591143")</f>
        <v>1679591143</v>
      </c>
      <c r="E6066" s="1" t="s">
        <v>4448</v>
      </c>
      <c r="F6066" s="2"/>
      <c r="G6066" s="2"/>
      <c r="H6066" s="2"/>
    </row>
    <row r="6067" spans="1:8" x14ac:dyDescent="0.25">
      <c r="A6067" s="1"/>
      <c r="B6067" s="1" t="s">
        <v>4202</v>
      </c>
      <c r="C6067" s="1" t="s">
        <v>4203</v>
      </c>
      <c r="D6067" s="22" t="str">
        <f>HYPERLINK("https://rhld.insurance.arkansas.gov/NPILookup?Npi=1679626097","1679626097")</f>
        <v>1679626097</v>
      </c>
      <c r="E6067" s="1" t="s">
        <v>5765</v>
      </c>
      <c r="F6067" s="2"/>
      <c r="G6067" s="2"/>
      <c r="H6067" s="2"/>
    </row>
    <row r="6068" spans="1:8" x14ac:dyDescent="0.25">
      <c r="A6068" s="1"/>
      <c r="B6068" s="1" t="s">
        <v>4202</v>
      </c>
      <c r="C6068" s="1" t="s">
        <v>4203</v>
      </c>
      <c r="D6068" s="22" t="str">
        <f>HYPERLINK("https://rhld.insurance.arkansas.gov/NPILookup?Npi=1679836530","1679836530")</f>
        <v>1679836530</v>
      </c>
      <c r="E6068" s="1" t="s">
        <v>31456</v>
      </c>
      <c r="F6068" s="2"/>
      <c r="G6068" s="2"/>
      <c r="H6068" s="2"/>
    </row>
    <row r="6069" spans="1:8" x14ac:dyDescent="0.25">
      <c r="A6069" s="1"/>
      <c r="B6069" s="1" t="s">
        <v>4202</v>
      </c>
      <c r="C6069" s="1" t="s">
        <v>4203</v>
      </c>
      <c r="D6069" s="22" t="str">
        <f>HYPERLINK("https://rhld.insurance.arkansas.gov/NPILookup?Npi=1679847818","1679847818")</f>
        <v>1679847818</v>
      </c>
      <c r="E6069" s="1" t="s">
        <v>2051</v>
      </c>
      <c r="F6069" s="2"/>
      <c r="G6069" s="2"/>
      <c r="H6069" s="2"/>
    </row>
    <row r="6070" spans="1:8" x14ac:dyDescent="0.25">
      <c r="A6070" s="1"/>
      <c r="B6070" s="1" t="s">
        <v>4202</v>
      </c>
      <c r="C6070" s="1" t="s">
        <v>4203</v>
      </c>
      <c r="D6070" s="22" t="str">
        <f>HYPERLINK("https://rhld.insurance.arkansas.gov/NPILookup?Npi=1679868830","1679868830")</f>
        <v>1679868830</v>
      </c>
      <c r="E6070" s="1" t="s">
        <v>17779</v>
      </c>
      <c r="F6070" s="2"/>
      <c r="G6070" s="2"/>
      <c r="H6070" s="2"/>
    </row>
    <row r="6071" spans="1:8" x14ac:dyDescent="0.25">
      <c r="A6071" s="1"/>
      <c r="B6071" s="1" t="s">
        <v>4202</v>
      </c>
      <c r="C6071" s="1" t="s">
        <v>4203</v>
      </c>
      <c r="D6071" s="22" t="str">
        <f>HYPERLINK("https://rhld.insurance.arkansas.gov/NPILookup?Npi=1679952535","1679952535")</f>
        <v>1679952535</v>
      </c>
      <c r="E6071" s="1" t="s">
        <v>4449</v>
      </c>
      <c r="F6071" s="2"/>
      <c r="G6071" s="2"/>
      <c r="H6071" s="2"/>
    </row>
    <row r="6072" spans="1:8" x14ac:dyDescent="0.25">
      <c r="A6072" s="1"/>
      <c r="B6072" s="1" t="s">
        <v>4202</v>
      </c>
      <c r="C6072" s="1" t="s">
        <v>4203</v>
      </c>
      <c r="D6072" s="22" t="str">
        <f>HYPERLINK("https://rhld.insurance.arkansas.gov/NPILookup?Npi=1679981120","1679981120")</f>
        <v>1679981120</v>
      </c>
      <c r="E6072" s="1" t="s">
        <v>17780</v>
      </c>
      <c r="F6072" s="2"/>
      <c r="G6072" s="2"/>
      <c r="H6072" s="2"/>
    </row>
    <row r="6073" spans="1:8" x14ac:dyDescent="0.25">
      <c r="A6073" s="1"/>
      <c r="B6073" s="1" t="s">
        <v>4202</v>
      </c>
      <c r="C6073" s="1" t="s">
        <v>4203</v>
      </c>
      <c r="D6073" s="22" t="str">
        <f>HYPERLINK("https://rhld.insurance.arkansas.gov/NPILookup?Npi=1689093577","1689093577")</f>
        <v>1689093577</v>
      </c>
      <c r="E6073" s="1" t="s">
        <v>10409</v>
      </c>
      <c r="F6073" s="2"/>
      <c r="G6073" s="2"/>
      <c r="H6073" s="2"/>
    </row>
    <row r="6074" spans="1:8" x14ac:dyDescent="0.25">
      <c r="A6074" s="1"/>
      <c r="B6074" s="1" t="s">
        <v>4202</v>
      </c>
      <c r="C6074" s="1" t="s">
        <v>4203</v>
      </c>
      <c r="D6074" s="22" t="str">
        <f>HYPERLINK("https://rhld.insurance.arkansas.gov/NPILookup?Npi=1689101099","1689101099")</f>
        <v>1689101099</v>
      </c>
      <c r="E6074" s="1" t="s">
        <v>2966</v>
      </c>
      <c r="F6074" s="2"/>
      <c r="G6074" s="2"/>
      <c r="H6074" s="2"/>
    </row>
    <row r="6075" spans="1:8" x14ac:dyDescent="0.25">
      <c r="A6075" s="1"/>
      <c r="B6075" s="1" t="s">
        <v>4202</v>
      </c>
      <c r="C6075" s="1" t="s">
        <v>4203</v>
      </c>
      <c r="D6075" s="22" t="str">
        <f>HYPERLINK("https://rhld.insurance.arkansas.gov/NPILookup?Npi=1689136475","1689136475")</f>
        <v>1689136475</v>
      </c>
      <c r="E6075" s="1" t="s">
        <v>17781</v>
      </c>
      <c r="F6075" s="2"/>
      <c r="G6075" s="2"/>
      <c r="H6075" s="2"/>
    </row>
    <row r="6076" spans="1:8" x14ac:dyDescent="0.25">
      <c r="A6076" s="1"/>
      <c r="B6076" s="1" t="s">
        <v>4202</v>
      </c>
      <c r="C6076" s="1" t="s">
        <v>4203</v>
      </c>
      <c r="D6076" s="22" t="str">
        <f>HYPERLINK("https://rhld.insurance.arkansas.gov/NPILookup?Npi=1689137242","1689137242")</f>
        <v>1689137242</v>
      </c>
      <c r="E6076" s="1" t="s">
        <v>17782</v>
      </c>
      <c r="F6076" s="2"/>
      <c r="G6076" s="2"/>
      <c r="H6076" s="2"/>
    </row>
    <row r="6077" spans="1:8" x14ac:dyDescent="0.25">
      <c r="A6077" s="1"/>
      <c r="B6077" s="1" t="s">
        <v>4202</v>
      </c>
      <c r="C6077" s="1" t="s">
        <v>4203</v>
      </c>
      <c r="D6077" s="22" t="str">
        <f>HYPERLINK("https://rhld.insurance.arkansas.gov/NPILookup?Npi=1689171019","1689171019")</f>
        <v>1689171019</v>
      </c>
      <c r="E6077" s="1" t="s">
        <v>17783</v>
      </c>
      <c r="F6077" s="2"/>
      <c r="G6077" s="2"/>
      <c r="H6077" s="2"/>
    </row>
    <row r="6078" spans="1:8" x14ac:dyDescent="0.25">
      <c r="A6078" s="1"/>
      <c r="B6078" s="1" t="s">
        <v>4202</v>
      </c>
      <c r="C6078" s="1" t="s">
        <v>4203</v>
      </c>
      <c r="D6078" s="22" t="str">
        <f>HYPERLINK("https://rhld.insurance.arkansas.gov/NPILookup?Npi=1689620767","1689620767")</f>
        <v>1689620767</v>
      </c>
      <c r="E6078" s="1" t="s">
        <v>17784</v>
      </c>
      <c r="F6078" s="2"/>
      <c r="G6078" s="2"/>
      <c r="H6078" s="2"/>
    </row>
    <row r="6079" spans="1:8" x14ac:dyDescent="0.25">
      <c r="A6079" s="1"/>
      <c r="B6079" s="1" t="s">
        <v>4202</v>
      </c>
      <c r="C6079" s="1" t="s">
        <v>4203</v>
      </c>
      <c r="D6079" s="22" t="str">
        <f>HYPERLINK("https://rhld.insurance.arkansas.gov/NPILookup?Npi=1689632283","1689632283")</f>
        <v>1689632283</v>
      </c>
      <c r="E6079" s="1" t="s">
        <v>17786</v>
      </c>
      <c r="F6079" s="2"/>
      <c r="G6079" s="2"/>
      <c r="H6079" s="2"/>
    </row>
    <row r="6080" spans="1:8" x14ac:dyDescent="0.25">
      <c r="A6080" s="1"/>
      <c r="B6080" s="1" t="s">
        <v>4202</v>
      </c>
      <c r="C6080" s="1" t="s">
        <v>4203</v>
      </c>
      <c r="D6080" s="22" t="str">
        <f>HYPERLINK("https://rhld.insurance.arkansas.gov/NPILookup?Npi=1689633760","1689633760")</f>
        <v>1689633760</v>
      </c>
      <c r="E6080" s="1" t="s">
        <v>17787</v>
      </c>
      <c r="F6080" s="2"/>
      <c r="G6080" s="2"/>
      <c r="H6080" s="2"/>
    </row>
    <row r="6081" spans="1:8" x14ac:dyDescent="0.25">
      <c r="A6081" s="1"/>
      <c r="B6081" s="1" t="s">
        <v>4202</v>
      </c>
      <c r="C6081" s="1" t="s">
        <v>4203</v>
      </c>
      <c r="D6081" s="22" t="str">
        <f>HYPERLINK("https://rhld.insurance.arkansas.gov/NPILookup?Npi=1689698029","1689698029")</f>
        <v>1689698029</v>
      </c>
      <c r="E6081" s="1" t="s">
        <v>4450</v>
      </c>
      <c r="F6081" s="2"/>
      <c r="G6081" s="2"/>
      <c r="H6081" s="2"/>
    </row>
    <row r="6082" spans="1:8" x14ac:dyDescent="0.25">
      <c r="A6082" s="1"/>
      <c r="B6082" s="1" t="s">
        <v>4202</v>
      </c>
      <c r="C6082" s="1" t="s">
        <v>4203</v>
      </c>
      <c r="D6082" s="22" t="str">
        <f>HYPERLINK("https://rhld.insurance.arkansas.gov/NPILookup?Npi=1689780744","1689780744")</f>
        <v>1689780744</v>
      </c>
      <c r="E6082" s="1" t="s">
        <v>17788</v>
      </c>
      <c r="F6082" s="2"/>
      <c r="G6082" s="2"/>
      <c r="H6082" s="2"/>
    </row>
    <row r="6083" spans="1:8" x14ac:dyDescent="0.25">
      <c r="A6083" s="1"/>
      <c r="B6083" s="1" t="s">
        <v>4202</v>
      </c>
      <c r="C6083" s="1" t="s">
        <v>4203</v>
      </c>
      <c r="D6083" s="22" t="str">
        <f>HYPERLINK("https://rhld.insurance.arkansas.gov/NPILookup?Npi=1689783706","1689783706")</f>
        <v>1689783706</v>
      </c>
      <c r="E6083" s="1" t="s">
        <v>4451</v>
      </c>
      <c r="F6083" s="2"/>
      <c r="G6083" s="2"/>
      <c r="H6083" s="2"/>
    </row>
    <row r="6084" spans="1:8" x14ac:dyDescent="0.25">
      <c r="A6084" s="1"/>
      <c r="B6084" s="1" t="s">
        <v>4202</v>
      </c>
      <c r="C6084" s="1" t="s">
        <v>4203</v>
      </c>
      <c r="D6084" s="22" t="str">
        <f>HYPERLINK("https://rhld.insurance.arkansas.gov/NPILookup?Npi=1689835225","1689835225")</f>
        <v>1689835225</v>
      </c>
      <c r="E6084" s="1" t="s">
        <v>17789</v>
      </c>
      <c r="F6084" s="2"/>
      <c r="G6084" s="2"/>
      <c r="H6084" s="2"/>
    </row>
    <row r="6085" spans="1:8" x14ac:dyDescent="0.25">
      <c r="A6085" s="1"/>
      <c r="B6085" s="1" t="s">
        <v>4202</v>
      </c>
      <c r="C6085" s="1" t="s">
        <v>4203</v>
      </c>
      <c r="D6085" s="22" t="str">
        <f>HYPERLINK("https://rhld.insurance.arkansas.gov/NPILookup?Npi=1689907206","1689907206")</f>
        <v>1689907206</v>
      </c>
      <c r="E6085" s="1" t="s">
        <v>4452</v>
      </c>
      <c r="F6085" s="2"/>
      <c r="G6085" s="2"/>
      <c r="H6085" s="2"/>
    </row>
    <row r="6086" spans="1:8" x14ac:dyDescent="0.25">
      <c r="A6086" s="1"/>
      <c r="B6086" s="1" t="s">
        <v>4202</v>
      </c>
      <c r="C6086" s="1" t="s">
        <v>4203</v>
      </c>
      <c r="D6086" s="22" t="str">
        <f>HYPERLINK("https://rhld.insurance.arkansas.gov/NPILookup?Npi=1689908105","1689908105")</f>
        <v>1689908105</v>
      </c>
      <c r="E6086" s="1" t="s">
        <v>17791</v>
      </c>
      <c r="F6086" s="2"/>
      <c r="G6086" s="2"/>
      <c r="H6086" s="2"/>
    </row>
    <row r="6087" spans="1:8" x14ac:dyDescent="0.25">
      <c r="A6087" s="1"/>
      <c r="B6087" s="1" t="s">
        <v>4202</v>
      </c>
      <c r="C6087" s="1" t="s">
        <v>4203</v>
      </c>
      <c r="D6087" s="22" t="str">
        <f>HYPERLINK("https://rhld.insurance.arkansas.gov/NPILookup?Npi=1689969602","1689969602")</f>
        <v>1689969602</v>
      </c>
      <c r="E6087" s="1" t="s">
        <v>17793</v>
      </c>
      <c r="F6087" s="2"/>
      <c r="G6087" s="2"/>
      <c r="H6087" s="2"/>
    </row>
    <row r="6088" spans="1:8" x14ac:dyDescent="0.25">
      <c r="A6088" s="1"/>
      <c r="B6088" s="1" t="s">
        <v>4202</v>
      </c>
      <c r="C6088" s="1" t="s">
        <v>4203</v>
      </c>
      <c r="D6088" s="22" t="str">
        <f>HYPERLINK("https://rhld.insurance.arkansas.gov/NPILookup?Npi=1689995664","1689995664")</f>
        <v>1689995664</v>
      </c>
      <c r="E6088" s="1" t="s">
        <v>10410</v>
      </c>
      <c r="F6088" s="2"/>
      <c r="G6088" s="2"/>
      <c r="H6088" s="2"/>
    </row>
    <row r="6089" spans="1:8" x14ac:dyDescent="0.25">
      <c r="A6089" s="1"/>
      <c r="B6089" s="1" t="s">
        <v>4202</v>
      </c>
      <c r="C6089" s="1" t="s">
        <v>4203</v>
      </c>
      <c r="D6089" s="22" t="str">
        <f>HYPERLINK("https://rhld.insurance.arkansas.gov/NPILookup?Npi=1699064279","1699064279")</f>
        <v>1699064279</v>
      </c>
      <c r="E6089" s="1" t="s">
        <v>17794</v>
      </c>
      <c r="F6089" s="2"/>
      <c r="G6089" s="2"/>
      <c r="H6089" s="2"/>
    </row>
    <row r="6090" spans="1:8" x14ac:dyDescent="0.25">
      <c r="A6090" s="1"/>
      <c r="B6090" s="1" t="s">
        <v>4202</v>
      </c>
      <c r="C6090" s="1" t="s">
        <v>4203</v>
      </c>
      <c r="D6090" s="22" t="str">
        <f>HYPERLINK("https://rhld.insurance.arkansas.gov/NPILookup?Npi=1699080473","1699080473")</f>
        <v>1699080473</v>
      </c>
      <c r="E6090" s="1" t="s">
        <v>4453</v>
      </c>
      <c r="F6090" s="2"/>
      <c r="G6090" s="2"/>
      <c r="H6090" s="2"/>
    </row>
    <row r="6091" spans="1:8" x14ac:dyDescent="0.25">
      <c r="A6091" s="1"/>
      <c r="B6091" s="1" t="s">
        <v>4202</v>
      </c>
      <c r="C6091" s="1" t="s">
        <v>4203</v>
      </c>
      <c r="D6091" s="22" t="str">
        <f>HYPERLINK("https://rhld.insurance.arkansas.gov/NPILookup?Npi=1699154070","1699154070")</f>
        <v>1699154070</v>
      </c>
      <c r="E6091" s="1" t="s">
        <v>17796</v>
      </c>
      <c r="F6091" s="2"/>
      <c r="G6091" s="2"/>
      <c r="H6091" s="2"/>
    </row>
    <row r="6092" spans="1:8" x14ac:dyDescent="0.25">
      <c r="A6092" s="1"/>
      <c r="B6092" s="1" t="s">
        <v>4202</v>
      </c>
      <c r="C6092" s="1" t="s">
        <v>4203</v>
      </c>
      <c r="D6092" s="22" t="str">
        <f>HYPERLINK("https://rhld.insurance.arkansas.gov/NPILookup?Npi=1699238147","1699238147")</f>
        <v>1699238147</v>
      </c>
      <c r="E6092" s="1" t="s">
        <v>17798</v>
      </c>
      <c r="F6092" s="2"/>
      <c r="G6092" s="2"/>
      <c r="H6092" s="2"/>
    </row>
    <row r="6093" spans="1:8" x14ac:dyDescent="0.25">
      <c r="A6093" s="1"/>
      <c r="B6093" s="1" t="s">
        <v>4202</v>
      </c>
      <c r="C6093" s="1" t="s">
        <v>4203</v>
      </c>
      <c r="D6093" s="22" t="str">
        <f>HYPERLINK("https://rhld.insurance.arkansas.gov/NPILookup?Npi=1699265884","1699265884")</f>
        <v>1699265884</v>
      </c>
      <c r="E6093" s="1" t="s">
        <v>17799</v>
      </c>
      <c r="F6093" s="2"/>
      <c r="G6093" s="2"/>
      <c r="H6093" s="2"/>
    </row>
    <row r="6094" spans="1:8" x14ac:dyDescent="0.25">
      <c r="A6094" s="1"/>
      <c r="B6094" s="1" t="s">
        <v>4202</v>
      </c>
      <c r="C6094" s="1" t="s">
        <v>4203</v>
      </c>
      <c r="D6094" s="22" t="str">
        <f>HYPERLINK("https://rhld.insurance.arkansas.gov/NPILookup?Npi=1699714857","1699714857")</f>
        <v>1699714857</v>
      </c>
      <c r="E6094" s="1" t="s">
        <v>10411</v>
      </c>
      <c r="F6094" s="2"/>
      <c r="G6094" s="2"/>
      <c r="H6094" s="2"/>
    </row>
    <row r="6095" spans="1:8" x14ac:dyDescent="0.25">
      <c r="A6095" s="1"/>
      <c r="B6095" s="1" t="s">
        <v>4202</v>
      </c>
      <c r="C6095" s="1" t="s">
        <v>4203</v>
      </c>
      <c r="D6095" s="22" t="str">
        <f>HYPERLINK("https://rhld.insurance.arkansas.gov/NPILookup?Npi=1699733741","1699733741")</f>
        <v>1699733741</v>
      </c>
      <c r="E6095" s="1" t="s">
        <v>10412</v>
      </c>
      <c r="F6095" s="2"/>
      <c r="G6095" s="2"/>
      <c r="H6095" s="2"/>
    </row>
    <row r="6096" spans="1:8" x14ac:dyDescent="0.25">
      <c r="A6096" s="1"/>
      <c r="B6096" s="1" t="s">
        <v>4202</v>
      </c>
      <c r="C6096" s="1" t="s">
        <v>4203</v>
      </c>
      <c r="D6096" s="22" t="str">
        <f>HYPERLINK("https://rhld.insurance.arkansas.gov/NPILookup?Npi=1699739334","1699739334")</f>
        <v>1699739334</v>
      </c>
      <c r="E6096" s="1" t="s">
        <v>4454</v>
      </c>
      <c r="F6096" s="2"/>
      <c r="G6096" s="2"/>
      <c r="H6096" s="2"/>
    </row>
    <row r="6097" spans="1:8" x14ac:dyDescent="0.25">
      <c r="A6097" s="1"/>
      <c r="B6097" s="1" t="s">
        <v>4202</v>
      </c>
      <c r="C6097" s="1" t="s">
        <v>4203</v>
      </c>
      <c r="D6097" s="22" t="str">
        <f>HYPERLINK("https://rhld.insurance.arkansas.gov/NPILookup?Npi=1699741298","1699741298")</f>
        <v>1699741298</v>
      </c>
      <c r="E6097" s="1" t="s">
        <v>10414</v>
      </c>
      <c r="F6097" s="2"/>
      <c r="G6097" s="2"/>
      <c r="H6097" s="2"/>
    </row>
    <row r="6098" spans="1:8" x14ac:dyDescent="0.25">
      <c r="A6098" s="1"/>
      <c r="B6098" s="1" t="s">
        <v>4202</v>
      </c>
      <c r="C6098" s="1" t="s">
        <v>4203</v>
      </c>
      <c r="D6098" s="22" t="str">
        <f>HYPERLINK("https://rhld.insurance.arkansas.gov/NPILookup?Npi=1699850800","1699850800")</f>
        <v>1699850800</v>
      </c>
      <c r="E6098" s="1" t="s">
        <v>10415</v>
      </c>
      <c r="F6098" s="2"/>
      <c r="G6098" s="2"/>
      <c r="H6098" s="2"/>
    </row>
    <row r="6099" spans="1:8" x14ac:dyDescent="0.25">
      <c r="A6099" s="1"/>
      <c r="B6099" s="1" t="s">
        <v>4202</v>
      </c>
      <c r="C6099" s="1" t="s">
        <v>4203</v>
      </c>
      <c r="D6099" s="22" t="str">
        <f>HYPERLINK("https://rhld.insurance.arkansas.gov/NPILookup?Npi=1699881250","1699881250")</f>
        <v>1699881250</v>
      </c>
      <c r="E6099" s="1" t="s">
        <v>17800</v>
      </c>
      <c r="F6099" s="2"/>
      <c r="G6099" s="2"/>
      <c r="H6099" s="2"/>
    </row>
    <row r="6100" spans="1:8" x14ac:dyDescent="0.25">
      <c r="A6100" s="1"/>
      <c r="B6100" s="1" t="s">
        <v>4202</v>
      </c>
      <c r="C6100" s="1" t="s">
        <v>4203</v>
      </c>
      <c r="D6100" s="22" t="str">
        <f>HYPERLINK("https://rhld.insurance.arkansas.gov/NPILookup?Npi=1699979526","1699979526")</f>
        <v>1699979526</v>
      </c>
      <c r="E6100" s="1" t="s">
        <v>10416</v>
      </c>
      <c r="F6100" s="2"/>
      <c r="G6100" s="2"/>
      <c r="H6100" s="2"/>
    </row>
    <row r="6101" spans="1:8" x14ac:dyDescent="0.25">
      <c r="A6101" s="1"/>
      <c r="B6101" s="1" t="s">
        <v>4202</v>
      </c>
      <c r="C6101" s="1" t="s">
        <v>4203</v>
      </c>
      <c r="D6101" s="22" t="str">
        <f>HYPERLINK("https://rhld.insurance.arkansas.gov/NPILookup?Npi=1700015948","1700015948")</f>
        <v>1700015948</v>
      </c>
      <c r="E6101" s="1" t="s">
        <v>4456</v>
      </c>
      <c r="F6101" s="2"/>
      <c r="G6101" s="2"/>
      <c r="H6101" s="2"/>
    </row>
    <row r="6102" spans="1:8" x14ac:dyDescent="0.25">
      <c r="A6102" s="1"/>
      <c r="B6102" s="1" t="s">
        <v>4202</v>
      </c>
      <c r="C6102" s="1" t="s">
        <v>4203</v>
      </c>
      <c r="D6102" s="22" t="str">
        <f>HYPERLINK("https://rhld.insurance.arkansas.gov/NPILookup?Npi=1700049392","1700049392")</f>
        <v>1700049392</v>
      </c>
      <c r="E6102" s="1" t="s">
        <v>17801</v>
      </c>
      <c r="F6102" s="2"/>
      <c r="G6102" s="2"/>
      <c r="H6102" s="2"/>
    </row>
    <row r="6103" spans="1:8" x14ac:dyDescent="0.25">
      <c r="A6103" s="1"/>
      <c r="B6103" s="1" t="s">
        <v>4202</v>
      </c>
      <c r="C6103" s="1" t="s">
        <v>4203</v>
      </c>
      <c r="D6103" s="22" t="str">
        <f>HYPERLINK("https://rhld.insurance.arkansas.gov/NPILookup?Npi=1700091477","1700091477")</f>
        <v>1700091477</v>
      </c>
      <c r="E6103" s="1" t="s">
        <v>147</v>
      </c>
      <c r="F6103" s="2"/>
      <c r="G6103" s="2"/>
      <c r="H6103" s="2"/>
    </row>
    <row r="6104" spans="1:8" x14ac:dyDescent="0.25">
      <c r="A6104" s="1"/>
      <c r="B6104" s="1" t="s">
        <v>4202</v>
      </c>
      <c r="C6104" s="1" t="s">
        <v>4203</v>
      </c>
      <c r="D6104" s="22" t="str">
        <f>HYPERLINK("https://rhld.insurance.arkansas.gov/NPILookup?Npi=1700104148","1700104148")</f>
        <v>1700104148</v>
      </c>
      <c r="E6104" s="1" t="s">
        <v>2979</v>
      </c>
      <c r="F6104" s="2"/>
      <c r="G6104" s="2"/>
      <c r="H6104" s="2"/>
    </row>
    <row r="6105" spans="1:8" x14ac:dyDescent="0.25">
      <c r="A6105" s="1"/>
      <c r="B6105" s="1" t="s">
        <v>4202</v>
      </c>
      <c r="C6105" s="1" t="s">
        <v>4203</v>
      </c>
      <c r="D6105" s="22" t="str">
        <f>HYPERLINK("https://rhld.insurance.arkansas.gov/NPILookup?Npi=1700106457","1700106457")</f>
        <v>1700106457</v>
      </c>
      <c r="E6105" s="1" t="s">
        <v>17802</v>
      </c>
      <c r="F6105" s="2"/>
      <c r="G6105" s="2"/>
      <c r="H6105" s="2"/>
    </row>
    <row r="6106" spans="1:8" x14ac:dyDescent="0.25">
      <c r="A6106" s="1"/>
      <c r="B6106" s="1" t="s">
        <v>4202</v>
      </c>
      <c r="C6106" s="1" t="s">
        <v>4203</v>
      </c>
      <c r="D6106" s="22" t="str">
        <f>HYPERLINK("https://rhld.insurance.arkansas.gov/NPILookup?Npi=1700299138","1700299138")</f>
        <v>1700299138</v>
      </c>
      <c r="E6106" s="1" t="s">
        <v>17804</v>
      </c>
      <c r="F6106" s="2"/>
      <c r="G6106" s="2"/>
      <c r="H6106" s="2"/>
    </row>
    <row r="6107" spans="1:8" x14ac:dyDescent="0.25">
      <c r="A6107" s="1"/>
      <c r="B6107" s="1" t="s">
        <v>4202</v>
      </c>
      <c r="C6107" s="1" t="s">
        <v>4203</v>
      </c>
      <c r="D6107" s="22" t="str">
        <f>HYPERLINK("https://rhld.insurance.arkansas.gov/NPILookup?Npi=1700812625","1700812625")</f>
        <v>1700812625</v>
      </c>
      <c r="E6107" s="1" t="s">
        <v>17805</v>
      </c>
      <c r="F6107" s="2"/>
      <c r="G6107" s="2"/>
      <c r="H6107" s="2"/>
    </row>
    <row r="6108" spans="1:8" x14ac:dyDescent="0.25">
      <c r="A6108" s="1"/>
      <c r="B6108" s="1" t="s">
        <v>4202</v>
      </c>
      <c r="C6108" s="1" t="s">
        <v>4203</v>
      </c>
      <c r="D6108" s="22" t="str">
        <f>HYPERLINK("https://rhld.insurance.arkansas.gov/NPILookup?Npi=1700820602","1700820602")</f>
        <v>1700820602</v>
      </c>
      <c r="E6108" s="1" t="s">
        <v>17806</v>
      </c>
      <c r="F6108" s="2"/>
      <c r="G6108" s="2"/>
      <c r="H6108" s="2"/>
    </row>
    <row r="6109" spans="1:8" x14ac:dyDescent="0.25">
      <c r="A6109" s="1"/>
      <c r="B6109" s="1" t="s">
        <v>4202</v>
      </c>
      <c r="C6109" s="1" t="s">
        <v>4203</v>
      </c>
      <c r="D6109" s="22" t="str">
        <f>HYPERLINK("https://rhld.insurance.arkansas.gov/NPILookup?Npi=1700893690","1700893690")</f>
        <v>1700893690</v>
      </c>
      <c r="E6109" s="1" t="s">
        <v>17807</v>
      </c>
      <c r="F6109" s="2"/>
      <c r="G6109" s="2"/>
      <c r="H6109" s="2"/>
    </row>
    <row r="6110" spans="1:8" x14ac:dyDescent="0.25">
      <c r="A6110" s="1"/>
      <c r="B6110" s="1" t="s">
        <v>4202</v>
      </c>
      <c r="C6110" s="1" t="s">
        <v>4203</v>
      </c>
      <c r="D6110" s="22" t="str">
        <f>HYPERLINK("https://rhld.insurance.arkansas.gov/NPILookup?Npi=1700962248","1700962248")</f>
        <v>1700962248</v>
      </c>
      <c r="E6110" s="1" t="s">
        <v>17808</v>
      </c>
      <c r="F6110" s="2"/>
      <c r="G6110" s="2"/>
      <c r="H6110" s="2"/>
    </row>
    <row r="6111" spans="1:8" x14ac:dyDescent="0.25">
      <c r="A6111" s="1"/>
      <c r="B6111" s="1" t="s">
        <v>4202</v>
      </c>
      <c r="C6111" s="1" t="s">
        <v>4203</v>
      </c>
      <c r="D6111" s="22" t="str">
        <f>HYPERLINK("https://rhld.insurance.arkansas.gov/NPILookup?Npi=1700976362","1700976362")</f>
        <v>1700976362</v>
      </c>
      <c r="E6111" s="1" t="s">
        <v>10418</v>
      </c>
      <c r="F6111" s="2"/>
      <c r="G6111" s="2"/>
      <c r="H6111" s="2"/>
    </row>
    <row r="6112" spans="1:8" x14ac:dyDescent="0.25">
      <c r="A6112" s="1"/>
      <c r="B6112" s="1" t="s">
        <v>4202</v>
      </c>
      <c r="C6112" s="1" t="s">
        <v>4203</v>
      </c>
      <c r="D6112" s="22" t="str">
        <f>HYPERLINK("https://rhld.insurance.arkansas.gov/NPILookup?Npi=1710012935","1710012935")</f>
        <v>1710012935</v>
      </c>
      <c r="E6112" s="1" t="s">
        <v>4457</v>
      </c>
      <c r="F6112" s="2"/>
      <c r="G6112" s="2"/>
      <c r="H6112" s="2"/>
    </row>
    <row r="6113" spans="1:8" x14ac:dyDescent="0.25">
      <c r="A6113" s="1"/>
      <c r="B6113" s="1" t="s">
        <v>4202</v>
      </c>
      <c r="C6113" s="1" t="s">
        <v>4203</v>
      </c>
      <c r="D6113" s="22" t="str">
        <f>HYPERLINK("https://rhld.insurance.arkansas.gov/NPILookup?Npi=1710056130","1710056130")</f>
        <v>1710056130</v>
      </c>
      <c r="E6113" s="1" t="s">
        <v>17810</v>
      </c>
      <c r="F6113" s="2"/>
      <c r="G6113" s="2"/>
      <c r="H6113" s="2"/>
    </row>
    <row r="6114" spans="1:8" x14ac:dyDescent="0.25">
      <c r="A6114" s="1"/>
      <c r="B6114" s="1" t="s">
        <v>4202</v>
      </c>
      <c r="C6114" s="1" t="s">
        <v>4203</v>
      </c>
      <c r="D6114" s="22" t="str">
        <f>HYPERLINK("https://rhld.insurance.arkansas.gov/NPILookup?Npi=1710074869","1710074869")</f>
        <v>1710074869</v>
      </c>
      <c r="E6114" s="1" t="s">
        <v>17811</v>
      </c>
      <c r="F6114" s="2"/>
      <c r="G6114" s="2"/>
      <c r="H6114" s="2"/>
    </row>
    <row r="6115" spans="1:8" x14ac:dyDescent="0.25">
      <c r="A6115" s="1"/>
      <c r="B6115" s="1" t="s">
        <v>4202</v>
      </c>
      <c r="C6115" s="1" t="s">
        <v>4203</v>
      </c>
      <c r="D6115" s="22" t="str">
        <f>HYPERLINK("https://rhld.insurance.arkansas.gov/NPILookup?Npi=1710171343","1710171343")</f>
        <v>1710171343</v>
      </c>
      <c r="E6115" s="1" t="s">
        <v>4458</v>
      </c>
      <c r="F6115" s="2"/>
      <c r="G6115" s="2"/>
      <c r="H6115" s="2"/>
    </row>
    <row r="6116" spans="1:8" x14ac:dyDescent="0.25">
      <c r="A6116" s="1"/>
      <c r="B6116" s="1" t="s">
        <v>4202</v>
      </c>
      <c r="C6116" s="1" t="s">
        <v>4203</v>
      </c>
      <c r="D6116" s="22" t="str">
        <f>HYPERLINK("https://rhld.insurance.arkansas.gov/NPILookup?Npi=1710206313","1710206313")</f>
        <v>1710206313</v>
      </c>
      <c r="E6116" s="1" t="s">
        <v>10420</v>
      </c>
      <c r="F6116" s="2"/>
      <c r="G6116" s="2"/>
      <c r="H6116" s="2"/>
    </row>
    <row r="6117" spans="1:8" x14ac:dyDescent="0.25">
      <c r="A6117" s="1"/>
      <c r="B6117" s="1" t="s">
        <v>4202</v>
      </c>
      <c r="C6117" s="1" t="s">
        <v>4203</v>
      </c>
      <c r="D6117" s="22" t="str">
        <f>HYPERLINK("https://rhld.insurance.arkansas.gov/NPILookup?Npi=1710229059","1710229059")</f>
        <v>1710229059</v>
      </c>
      <c r="E6117" s="1" t="s">
        <v>17812</v>
      </c>
      <c r="F6117" s="2"/>
      <c r="G6117" s="2"/>
      <c r="H6117" s="2"/>
    </row>
    <row r="6118" spans="1:8" x14ac:dyDescent="0.25">
      <c r="A6118" s="1"/>
      <c r="B6118" s="1" t="s">
        <v>4202</v>
      </c>
      <c r="C6118" s="1" t="s">
        <v>4203</v>
      </c>
      <c r="D6118" s="22" t="str">
        <f>HYPERLINK("https://rhld.insurance.arkansas.gov/NPILookup?Npi=1710240064","1710240064")</f>
        <v>1710240064</v>
      </c>
      <c r="E6118" s="1" t="s">
        <v>17813</v>
      </c>
      <c r="F6118" s="2"/>
      <c r="G6118" s="2"/>
      <c r="H6118" s="2"/>
    </row>
    <row r="6119" spans="1:8" x14ac:dyDescent="0.25">
      <c r="A6119" s="1"/>
      <c r="B6119" s="1" t="s">
        <v>4202</v>
      </c>
      <c r="C6119" s="1" t="s">
        <v>4203</v>
      </c>
      <c r="D6119" s="22" t="str">
        <f>HYPERLINK("https://rhld.insurance.arkansas.gov/NPILookup?Npi=1710273198","1710273198")</f>
        <v>1710273198</v>
      </c>
      <c r="E6119" s="1" t="s">
        <v>4459</v>
      </c>
      <c r="F6119" s="2"/>
      <c r="G6119" s="2"/>
      <c r="H6119" s="2"/>
    </row>
    <row r="6120" spans="1:8" x14ac:dyDescent="0.25">
      <c r="A6120" s="1"/>
      <c r="B6120" s="1" t="s">
        <v>4202</v>
      </c>
      <c r="C6120" s="1" t="s">
        <v>4203</v>
      </c>
      <c r="D6120" s="22" t="str">
        <f>HYPERLINK("https://rhld.insurance.arkansas.gov/NPILookup?Npi=1710321765","1710321765")</f>
        <v>1710321765</v>
      </c>
      <c r="E6120" s="1" t="s">
        <v>10421</v>
      </c>
      <c r="F6120" s="2"/>
      <c r="G6120" s="2"/>
      <c r="H6120" s="2"/>
    </row>
    <row r="6121" spans="1:8" x14ac:dyDescent="0.25">
      <c r="A6121" s="1"/>
      <c r="B6121" s="1" t="s">
        <v>4202</v>
      </c>
      <c r="C6121" s="1" t="s">
        <v>4203</v>
      </c>
      <c r="D6121" s="22" t="str">
        <f>HYPERLINK("https://rhld.insurance.arkansas.gov/NPILookup?Npi=1710368394","1710368394")</f>
        <v>1710368394</v>
      </c>
      <c r="E6121" s="1" t="s">
        <v>4461</v>
      </c>
      <c r="F6121" s="2"/>
      <c r="G6121" s="2"/>
      <c r="H6121" s="2"/>
    </row>
    <row r="6122" spans="1:8" x14ac:dyDescent="0.25">
      <c r="A6122" s="1"/>
      <c r="B6122" s="1" t="s">
        <v>4202</v>
      </c>
      <c r="C6122" s="1" t="s">
        <v>4203</v>
      </c>
      <c r="D6122" s="22" t="str">
        <f>HYPERLINK("https://rhld.insurance.arkansas.gov/NPILookup?Npi=1710390158","1710390158")</f>
        <v>1710390158</v>
      </c>
      <c r="E6122" s="1" t="s">
        <v>771</v>
      </c>
      <c r="F6122" s="2"/>
      <c r="G6122" s="2"/>
      <c r="H6122" s="2"/>
    </row>
    <row r="6123" spans="1:8" x14ac:dyDescent="0.25">
      <c r="A6123" s="1"/>
      <c r="B6123" s="1" t="s">
        <v>4202</v>
      </c>
      <c r="C6123" s="1" t="s">
        <v>4203</v>
      </c>
      <c r="D6123" s="22" t="str">
        <f>HYPERLINK("https://rhld.insurance.arkansas.gov/NPILookup?Npi=1710428958","1710428958")</f>
        <v>1710428958</v>
      </c>
      <c r="E6123" s="1" t="s">
        <v>17814</v>
      </c>
      <c r="F6123" s="2"/>
      <c r="G6123" s="2"/>
      <c r="H6123" s="2"/>
    </row>
    <row r="6124" spans="1:8" x14ac:dyDescent="0.25">
      <c r="A6124" s="1"/>
      <c r="B6124" s="1" t="s">
        <v>4202</v>
      </c>
      <c r="C6124" s="1" t="s">
        <v>4203</v>
      </c>
      <c r="D6124" s="22" t="str">
        <f>HYPERLINK("https://rhld.insurance.arkansas.gov/NPILookup?Npi=1710448998","1710448998")</f>
        <v>1710448998</v>
      </c>
      <c r="E6124" s="1" t="s">
        <v>13025</v>
      </c>
      <c r="F6124" s="2"/>
      <c r="G6124" s="2"/>
      <c r="H6124" s="2"/>
    </row>
    <row r="6125" spans="1:8" x14ac:dyDescent="0.25">
      <c r="A6125" s="1"/>
      <c r="B6125" s="1" t="s">
        <v>4202</v>
      </c>
      <c r="C6125" s="1" t="s">
        <v>4203</v>
      </c>
      <c r="D6125" s="22" t="str">
        <f>HYPERLINK("https://rhld.insurance.arkansas.gov/NPILookup?Npi=1710926258","1710926258")</f>
        <v>1710926258</v>
      </c>
      <c r="E6125" s="1" t="s">
        <v>4462</v>
      </c>
      <c r="F6125" s="2"/>
      <c r="G6125" s="2"/>
      <c r="H6125" s="2"/>
    </row>
    <row r="6126" spans="1:8" x14ac:dyDescent="0.25">
      <c r="A6126" s="1"/>
      <c r="B6126" s="1" t="s">
        <v>4202</v>
      </c>
      <c r="C6126" s="1" t="s">
        <v>4203</v>
      </c>
      <c r="D6126" s="22" t="str">
        <f>HYPERLINK("https://rhld.insurance.arkansas.gov/NPILookup?Npi=1710941299","1710941299")</f>
        <v>1710941299</v>
      </c>
      <c r="E6126" s="1" t="s">
        <v>31457</v>
      </c>
      <c r="F6126" s="2"/>
      <c r="G6126" s="2"/>
      <c r="H6126" s="2"/>
    </row>
    <row r="6127" spans="1:8" x14ac:dyDescent="0.25">
      <c r="A6127" s="1"/>
      <c r="B6127" s="1" t="s">
        <v>4202</v>
      </c>
      <c r="C6127" s="1" t="s">
        <v>4203</v>
      </c>
      <c r="D6127" s="22" t="str">
        <f>HYPERLINK("https://rhld.insurance.arkansas.gov/NPILookup?Npi=1710974118","1710974118")</f>
        <v>1710974118</v>
      </c>
      <c r="E6127" s="1" t="s">
        <v>17816</v>
      </c>
      <c r="F6127" s="2"/>
      <c r="G6127" s="2"/>
      <c r="H6127" s="2"/>
    </row>
    <row r="6128" spans="1:8" x14ac:dyDescent="0.25">
      <c r="A6128" s="1"/>
      <c r="B6128" s="1" t="s">
        <v>4202</v>
      </c>
      <c r="C6128" s="1" t="s">
        <v>4203</v>
      </c>
      <c r="D6128" s="22" t="str">
        <f>HYPERLINK("https://rhld.insurance.arkansas.gov/NPILookup?Npi=1710996863","1710996863")</f>
        <v>1710996863</v>
      </c>
      <c r="E6128" s="1" t="s">
        <v>10422</v>
      </c>
      <c r="F6128" s="2"/>
      <c r="G6128" s="2"/>
      <c r="H6128" s="2"/>
    </row>
    <row r="6129" spans="1:8" x14ac:dyDescent="0.25">
      <c r="A6129" s="1"/>
      <c r="B6129" s="1" t="s">
        <v>4202</v>
      </c>
      <c r="C6129" s="1" t="s">
        <v>4203</v>
      </c>
      <c r="D6129" s="22" t="str">
        <f>HYPERLINK("https://rhld.insurance.arkansas.gov/NPILookup?Npi=1720018310","1720018310")</f>
        <v>1720018310</v>
      </c>
      <c r="E6129" s="1" t="s">
        <v>4465</v>
      </c>
      <c r="F6129" s="2"/>
      <c r="G6129" s="2"/>
      <c r="H6129" s="2"/>
    </row>
    <row r="6130" spans="1:8" x14ac:dyDescent="0.25">
      <c r="A6130" s="1"/>
      <c r="B6130" s="1" t="s">
        <v>4202</v>
      </c>
      <c r="C6130" s="1" t="s">
        <v>4203</v>
      </c>
      <c r="D6130" s="22" t="str">
        <f>HYPERLINK("https://rhld.insurance.arkansas.gov/NPILookup?Npi=1720029069","1720029069")</f>
        <v>1720029069</v>
      </c>
      <c r="E6130" s="1" t="s">
        <v>17817</v>
      </c>
      <c r="F6130" s="2"/>
      <c r="G6130" s="2"/>
      <c r="H6130" s="2"/>
    </row>
    <row r="6131" spans="1:8" x14ac:dyDescent="0.25">
      <c r="A6131" s="1"/>
      <c r="B6131" s="1" t="s">
        <v>4202</v>
      </c>
      <c r="C6131" s="1" t="s">
        <v>4203</v>
      </c>
      <c r="D6131" s="22" t="str">
        <f>HYPERLINK("https://rhld.insurance.arkansas.gov/NPILookup?Npi=1720029275","1720029275")</f>
        <v>1720029275</v>
      </c>
      <c r="E6131" s="1" t="s">
        <v>17818</v>
      </c>
      <c r="F6131" s="2"/>
      <c r="G6131" s="2"/>
      <c r="H6131" s="2"/>
    </row>
    <row r="6132" spans="1:8" x14ac:dyDescent="0.25">
      <c r="A6132" s="1"/>
      <c r="B6132" s="1" t="s">
        <v>4202</v>
      </c>
      <c r="C6132" s="1" t="s">
        <v>4203</v>
      </c>
      <c r="D6132" s="22" t="str">
        <f>HYPERLINK("https://rhld.insurance.arkansas.gov/NPILookup?Npi=1720035793","1720035793")</f>
        <v>1720035793</v>
      </c>
      <c r="E6132" s="1" t="s">
        <v>10423</v>
      </c>
      <c r="F6132" s="2"/>
      <c r="G6132" s="2"/>
      <c r="H6132" s="2"/>
    </row>
    <row r="6133" spans="1:8" x14ac:dyDescent="0.25">
      <c r="A6133" s="1"/>
      <c r="B6133" s="1" t="s">
        <v>4202</v>
      </c>
      <c r="C6133" s="1" t="s">
        <v>4203</v>
      </c>
      <c r="D6133" s="22" t="str">
        <f>HYPERLINK("https://rhld.insurance.arkansas.gov/NPILookup?Npi=1720038649","1720038649")</f>
        <v>1720038649</v>
      </c>
      <c r="E6133" s="1" t="s">
        <v>4466</v>
      </c>
      <c r="F6133" s="2"/>
      <c r="G6133" s="2"/>
      <c r="H6133" s="2"/>
    </row>
    <row r="6134" spans="1:8" x14ac:dyDescent="0.25">
      <c r="A6134" s="1"/>
      <c r="B6134" s="1" t="s">
        <v>4202</v>
      </c>
      <c r="C6134" s="1" t="s">
        <v>4203</v>
      </c>
      <c r="D6134" s="22" t="str">
        <f>HYPERLINK("https://rhld.insurance.arkansas.gov/NPILookup?Npi=1720054125","1720054125")</f>
        <v>1720054125</v>
      </c>
      <c r="E6134" s="1" t="s">
        <v>17819</v>
      </c>
      <c r="F6134" s="2"/>
      <c r="G6134" s="2"/>
      <c r="H6134" s="2"/>
    </row>
    <row r="6135" spans="1:8" x14ac:dyDescent="0.25">
      <c r="A6135" s="1"/>
      <c r="B6135" s="1" t="s">
        <v>4202</v>
      </c>
      <c r="C6135" s="1" t="s">
        <v>4203</v>
      </c>
      <c r="D6135" s="22" t="str">
        <f>HYPERLINK("https://rhld.insurance.arkansas.gov/NPILookup?Npi=1720089360","1720089360")</f>
        <v>1720089360</v>
      </c>
      <c r="E6135" s="1" t="s">
        <v>4467</v>
      </c>
      <c r="F6135" s="2"/>
      <c r="G6135" s="2"/>
      <c r="H6135" s="2"/>
    </row>
    <row r="6136" spans="1:8" x14ac:dyDescent="0.25">
      <c r="A6136" s="1"/>
      <c r="B6136" s="1" t="s">
        <v>4202</v>
      </c>
      <c r="C6136" s="1" t="s">
        <v>4203</v>
      </c>
      <c r="D6136" s="22" t="str">
        <f>HYPERLINK("https://rhld.insurance.arkansas.gov/NPILookup?Npi=1720143118","1720143118")</f>
        <v>1720143118</v>
      </c>
      <c r="E6136" s="1" t="s">
        <v>17821</v>
      </c>
      <c r="F6136" s="2"/>
      <c r="G6136" s="2"/>
      <c r="H6136" s="2"/>
    </row>
    <row r="6137" spans="1:8" x14ac:dyDescent="0.25">
      <c r="A6137" s="1"/>
      <c r="B6137" s="1" t="s">
        <v>4202</v>
      </c>
      <c r="C6137" s="1" t="s">
        <v>4203</v>
      </c>
      <c r="D6137" s="22" t="str">
        <f>HYPERLINK("https://rhld.insurance.arkansas.gov/NPILookup?Npi=1720156516","1720156516")</f>
        <v>1720156516</v>
      </c>
      <c r="E6137" s="1" t="s">
        <v>10424</v>
      </c>
      <c r="F6137" s="2"/>
      <c r="G6137" s="2"/>
      <c r="H6137" s="2"/>
    </row>
    <row r="6138" spans="1:8" x14ac:dyDescent="0.25">
      <c r="A6138" s="1"/>
      <c r="B6138" s="1" t="s">
        <v>4202</v>
      </c>
      <c r="C6138" s="1" t="s">
        <v>4203</v>
      </c>
      <c r="D6138" s="22" t="str">
        <f>HYPERLINK("https://rhld.insurance.arkansas.gov/NPILookup?Npi=1720192024","1720192024")</f>
        <v>1720192024</v>
      </c>
      <c r="E6138" s="1" t="s">
        <v>17822</v>
      </c>
      <c r="F6138" s="2"/>
      <c r="G6138" s="2"/>
      <c r="H6138" s="2"/>
    </row>
    <row r="6139" spans="1:8" x14ac:dyDescent="0.25">
      <c r="A6139" s="1"/>
      <c r="B6139" s="1" t="s">
        <v>4202</v>
      </c>
      <c r="C6139" s="1" t="s">
        <v>4203</v>
      </c>
      <c r="D6139" s="22" t="str">
        <f>HYPERLINK("https://rhld.insurance.arkansas.gov/NPILookup?Npi=1720217979","1720217979")</f>
        <v>1720217979</v>
      </c>
      <c r="E6139" s="1" t="s">
        <v>4468</v>
      </c>
      <c r="F6139" s="2"/>
      <c r="G6139" s="2"/>
      <c r="H6139" s="2"/>
    </row>
    <row r="6140" spans="1:8" x14ac:dyDescent="0.25">
      <c r="A6140" s="1"/>
      <c r="B6140" s="1" t="s">
        <v>4202</v>
      </c>
      <c r="C6140" s="1" t="s">
        <v>4203</v>
      </c>
      <c r="D6140" s="22" t="str">
        <f>HYPERLINK("https://rhld.insurance.arkansas.gov/NPILookup?Npi=1720247950","1720247950")</f>
        <v>1720247950</v>
      </c>
      <c r="E6140" s="1" t="s">
        <v>4469</v>
      </c>
      <c r="F6140" s="2"/>
      <c r="G6140" s="2"/>
      <c r="H6140" s="2"/>
    </row>
    <row r="6141" spans="1:8" x14ac:dyDescent="0.25">
      <c r="A6141" s="1"/>
      <c r="B6141" s="1" t="s">
        <v>4202</v>
      </c>
      <c r="C6141" s="1" t="s">
        <v>4203</v>
      </c>
      <c r="D6141" s="22" t="str">
        <f>HYPERLINK("https://rhld.insurance.arkansas.gov/NPILookup?Npi=1720371537","1720371537")</f>
        <v>1720371537</v>
      </c>
      <c r="E6141" s="1" t="s">
        <v>4470</v>
      </c>
      <c r="F6141" s="2"/>
      <c r="G6141" s="2"/>
      <c r="H6141" s="2"/>
    </row>
    <row r="6142" spans="1:8" x14ac:dyDescent="0.25">
      <c r="A6142" s="1"/>
      <c r="B6142" s="1" t="s">
        <v>4202</v>
      </c>
      <c r="C6142" s="1" t="s">
        <v>4203</v>
      </c>
      <c r="D6142" s="22" t="str">
        <f>HYPERLINK("https://rhld.insurance.arkansas.gov/NPILookup?Npi=1720427735","1720427735")</f>
        <v>1720427735</v>
      </c>
      <c r="E6142" s="1" t="s">
        <v>4471</v>
      </c>
      <c r="F6142" s="2"/>
      <c r="G6142" s="2"/>
      <c r="H6142" s="2"/>
    </row>
    <row r="6143" spans="1:8" x14ac:dyDescent="0.25">
      <c r="A6143" s="1"/>
      <c r="B6143" s="1" t="s">
        <v>4202</v>
      </c>
      <c r="C6143" s="1" t="s">
        <v>4203</v>
      </c>
      <c r="D6143" s="22" t="str">
        <f>HYPERLINK("https://rhld.insurance.arkansas.gov/NPILookup?Npi=1720473853","1720473853")</f>
        <v>1720473853</v>
      </c>
      <c r="E6143" s="1" t="s">
        <v>10426</v>
      </c>
      <c r="F6143" s="2"/>
      <c r="G6143" s="2"/>
      <c r="H6143" s="2"/>
    </row>
    <row r="6144" spans="1:8" x14ac:dyDescent="0.25">
      <c r="A6144" s="1"/>
      <c r="B6144" s="1" t="s">
        <v>4202</v>
      </c>
      <c r="C6144" s="1" t="s">
        <v>4203</v>
      </c>
      <c r="D6144" s="22" t="str">
        <f>HYPERLINK("https://rhld.insurance.arkansas.gov/NPILookup?Npi=1720492242","1720492242")</f>
        <v>1720492242</v>
      </c>
      <c r="E6144" s="1" t="s">
        <v>31458</v>
      </c>
      <c r="F6144" s="2"/>
      <c r="G6144" s="2"/>
      <c r="H6144" s="2"/>
    </row>
    <row r="6145" spans="1:8" x14ac:dyDescent="0.25">
      <c r="A6145" s="1"/>
      <c r="B6145" s="1" t="s">
        <v>4202</v>
      </c>
      <c r="C6145" s="1" t="s">
        <v>4203</v>
      </c>
      <c r="D6145" s="22" t="str">
        <f>HYPERLINK("https://rhld.insurance.arkansas.gov/NPILookup?Npi=1720512858","1720512858")</f>
        <v>1720512858</v>
      </c>
      <c r="E6145" s="1" t="s">
        <v>10427</v>
      </c>
      <c r="F6145" s="2"/>
      <c r="G6145" s="2"/>
      <c r="H6145" s="2"/>
    </row>
    <row r="6146" spans="1:8" x14ac:dyDescent="0.25">
      <c r="A6146" s="1"/>
      <c r="B6146" s="1" t="s">
        <v>4202</v>
      </c>
      <c r="C6146" s="1" t="s">
        <v>4203</v>
      </c>
      <c r="D6146" s="22" t="str">
        <f>HYPERLINK("https://rhld.insurance.arkansas.gov/NPILookup?Npi=1720588239","1720588239")</f>
        <v>1720588239</v>
      </c>
      <c r="E6146" s="1" t="s">
        <v>10428</v>
      </c>
      <c r="F6146" s="2"/>
      <c r="G6146" s="2"/>
      <c r="H6146" s="2"/>
    </row>
    <row r="6147" spans="1:8" x14ac:dyDescent="0.25">
      <c r="A6147" s="1"/>
      <c r="B6147" s="1" t="s">
        <v>4202</v>
      </c>
      <c r="C6147" s="1" t="s">
        <v>4203</v>
      </c>
      <c r="D6147" s="22" t="str">
        <f>HYPERLINK("https://rhld.insurance.arkansas.gov/NPILookup?Npi=1720641897","1720641897")</f>
        <v>1720641897</v>
      </c>
      <c r="E6147" s="1" t="s">
        <v>17824</v>
      </c>
      <c r="F6147" s="2"/>
      <c r="G6147" s="2"/>
      <c r="H6147" s="2"/>
    </row>
    <row r="6148" spans="1:8" x14ac:dyDescent="0.25">
      <c r="A6148" s="1"/>
      <c r="B6148" s="1" t="s">
        <v>4202</v>
      </c>
      <c r="C6148" s="1" t="s">
        <v>4203</v>
      </c>
      <c r="D6148" s="22" t="str">
        <f>HYPERLINK("https://rhld.insurance.arkansas.gov/NPILookup?Npi=1720642390","1720642390")</f>
        <v>1720642390</v>
      </c>
      <c r="E6148" s="1" t="s">
        <v>17825</v>
      </c>
      <c r="F6148" s="2"/>
      <c r="G6148" s="2"/>
      <c r="H6148" s="2"/>
    </row>
    <row r="6149" spans="1:8" x14ac:dyDescent="0.25">
      <c r="A6149" s="1"/>
      <c r="B6149" s="1" t="s">
        <v>4202</v>
      </c>
      <c r="C6149" s="1" t="s">
        <v>4203</v>
      </c>
      <c r="D6149" s="22" t="str">
        <f>HYPERLINK("https://rhld.insurance.arkansas.gov/NPILookup?Npi=1730112574","1730112574")</f>
        <v>1730112574</v>
      </c>
      <c r="E6149" s="1" t="s">
        <v>2995</v>
      </c>
      <c r="F6149" s="2"/>
      <c r="G6149" s="2"/>
      <c r="H6149" s="2"/>
    </row>
    <row r="6150" spans="1:8" x14ac:dyDescent="0.25">
      <c r="A6150" s="1"/>
      <c r="B6150" s="1" t="s">
        <v>4202</v>
      </c>
      <c r="C6150" s="1" t="s">
        <v>4203</v>
      </c>
      <c r="D6150" s="22" t="str">
        <f>HYPERLINK("https://rhld.insurance.arkansas.gov/NPILookup?Npi=1730128935","1730128935")</f>
        <v>1730128935</v>
      </c>
      <c r="E6150" s="1" t="s">
        <v>17826</v>
      </c>
      <c r="F6150" s="2"/>
      <c r="G6150" s="2"/>
      <c r="H6150" s="2"/>
    </row>
    <row r="6151" spans="1:8" x14ac:dyDescent="0.25">
      <c r="A6151" s="1"/>
      <c r="B6151" s="1" t="s">
        <v>4202</v>
      </c>
      <c r="C6151" s="1" t="s">
        <v>4203</v>
      </c>
      <c r="D6151" s="22" t="str">
        <f>HYPERLINK("https://rhld.insurance.arkansas.gov/NPILookup?Npi=1730145814","1730145814")</f>
        <v>1730145814</v>
      </c>
      <c r="E6151" s="1" t="s">
        <v>17827</v>
      </c>
      <c r="F6151" s="2"/>
      <c r="G6151" s="2"/>
      <c r="H6151" s="2"/>
    </row>
    <row r="6152" spans="1:8" x14ac:dyDescent="0.25">
      <c r="A6152" s="1"/>
      <c r="B6152" s="1" t="s">
        <v>4202</v>
      </c>
      <c r="C6152" s="1" t="s">
        <v>4203</v>
      </c>
      <c r="D6152" s="22" t="str">
        <f>HYPERLINK("https://rhld.insurance.arkansas.gov/NPILookup?Npi=1730147083","1730147083")</f>
        <v>1730147083</v>
      </c>
      <c r="E6152" s="1" t="s">
        <v>17829</v>
      </c>
      <c r="F6152" s="2"/>
      <c r="G6152" s="2"/>
      <c r="H6152" s="2"/>
    </row>
    <row r="6153" spans="1:8" x14ac:dyDescent="0.25">
      <c r="A6153" s="1"/>
      <c r="B6153" s="1" t="s">
        <v>4202</v>
      </c>
      <c r="C6153" s="1" t="s">
        <v>4203</v>
      </c>
      <c r="D6153" s="22" t="str">
        <f>HYPERLINK("https://rhld.insurance.arkansas.gov/NPILookup?Npi=1730165531","1730165531")</f>
        <v>1730165531</v>
      </c>
      <c r="E6153" s="1" t="s">
        <v>4472</v>
      </c>
      <c r="F6153" s="2"/>
      <c r="G6153" s="2"/>
      <c r="H6153" s="2"/>
    </row>
    <row r="6154" spans="1:8" x14ac:dyDescent="0.25">
      <c r="A6154" s="1"/>
      <c r="B6154" s="1" t="s">
        <v>4202</v>
      </c>
      <c r="C6154" s="1" t="s">
        <v>4203</v>
      </c>
      <c r="D6154" s="22" t="str">
        <f>HYPERLINK("https://rhld.insurance.arkansas.gov/NPILookup?Npi=1730169863","1730169863")</f>
        <v>1730169863</v>
      </c>
      <c r="E6154" s="1" t="s">
        <v>1807</v>
      </c>
      <c r="F6154" s="2"/>
      <c r="G6154" s="2"/>
      <c r="H6154" s="2"/>
    </row>
    <row r="6155" spans="1:8" x14ac:dyDescent="0.25">
      <c r="A6155" s="1"/>
      <c r="B6155" s="1" t="s">
        <v>4202</v>
      </c>
      <c r="C6155" s="1" t="s">
        <v>4203</v>
      </c>
      <c r="D6155" s="22" t="str">
        <f>HYPERLINK("https://rhld.insurance.arkansas.gov/NPILookup?Npi=1730187204","1730187204")</f>
        <v>1730187204</v>
      </c>
      <c r="E6155" s="1" t="s">
        <v>1560</v>
      </c>
      <c r="F6155" s="2"/>
      <c r="G6155" s="2"/>
      <c r="H6155" s="2"/>
    </row>
    <row r="6156" spans="1:8" x14ac:dyDescent="0.25">
      <c r="A6156" s="1"/>
      <c r="B6156" s="1" t="s">
        <v>4202</v>
      </c>
      <c r="C6156" s="1" t="s">
        <v>4203</v>
      </c>
      <c r="D6156" s="22" t="str">
        <f>HYPERLINK("https://rhld.insurance.arkansas.gov/NPILookup?Npi=1730196080","1730196080")</f>
        <v>1730196080</v>
      </c>
      <c r="E6156" s="1" t="s">
        <v>17831</v>
      </c>
      <c r="F6156" s="2"/>
      <c r="G6156" s="2"/>
      <c r="H6156" s="2"/>
    </row>
    <row r="6157" spans="1:8" x14ac:dyDescent="0.25">
      <c r="A6157" s="1"/>
      <c r="B6157" s="1" t="s">
        <v>4202</v>
      </c>
      <c r="C6157" s="1" t="s">
        <v>4203</v>
      </c>
      <c r="D6157" s="22" t="str">
        <f>HYPERLINK("https://rhld.insurance.arkansas.gov/NPILookup?Npi=1730300476","1730300476")</f>
        <v>1730300476</v>
      </c>
      <c r="E6157" s="1" t="s">
        <v>17832</v>
      </c>
      <c r="F6157" s="2"/>
      <c r="G6157" s="2"/>
      <c r="H6157" s="2"/>
    </row>
    <row r="6158" spans="1:8" x14ac:dyDescent="0.25">
      <c r="A6158" s="1"/>
      <c r="B6158" s="1" t="s">
        <v>4202</v>
      </c>
      <c r="C6158" s="1" t="s">
        <v>4203</v>
      </c>
      <c r="D6158" s="22" t="str">
        <f>HYPERLINK("https://rhld.insurance.arkansas.gov/NPILookup?Npi=1730307729","1730307729")</f>
        <v>1730307729</v>
      </c>
      <c r="E6158" s="1" t="s">
        <v>17833</v>
      </c>
      <c r="F6158" s="2"/>
      <c r="G6158" s="2"/>
      <c r="H6158" s="2"/>
    </row>
    <row r="6159" spans="1:8" x14ac:dyDescent="0.25">
      <c r="A6159" s="1"/>
      <c r="B6159" s="1" t="s">
        <v>4202</v>
      </c>
      <c r="C6159" s="1" t="s">
        <v>4203</v>
      </c>
      <c r="D6159" s="22" t="str">
        <f>HYPERLINK("https://rhld.insurance.arkansas.gov/NPILookup?Npi=1730342460","1730342460")</f>
        <v>1730342460</v>
      </c>
      <c r="E6159" s="1" t="s">
        <v>17835</v>
      </c>
      <c r="F6159" s="2"/>
      <c r="G6159" s="2"/>
      <c r="H6159" s="2"/>
    </row>
    <row r="6160" spans="1:8" x14ac:dyDescent="0.25">
      <c r="A6160" s="1"/>
      <c r="B6160" s="1" t="s">
        <v>4202</v>
      </c>
      <c r="C6160" s="1" t="s">
        <v>4203</v>
      </c>
      <c r="D6160" s="22" t="str">
        <f>HYPERLINK("https://rhld.insurance.arkansas.gov/NPILookup?Npi=1730354333","1730354333")</f>
        <v>1730354333</v>
      </c>
      <c r="E6160" s="1" t="s">
        <v>16812</v>
      </c>
      <c r="F6160" s="2"/>
      <c r="G6160" s="2"/>
      <c r="H6160" s="2"/>
    </row>
    <row r="6161" spans="1:8" x14ac:dyDescent="0.25">
      <c r="A6161" s="1"/>
      <c r="B6161" s="1" t="s">
        <v>4202</v>
      </c>
      <c r="C6161" s="1" t="s">
        <v>4203</v>
      </c>
      <c r="D6161" s="22" t="str">
        <f>HYPERLINK("https://rhld.insurance.arkansas.gov/NPILookup?Npi=1730387085","1730387085")</f>
        <v>1730387085</v>
      </c>
      <c r="E6161" s="1" t="s">
        <v>17836</v>
      </c>
      <c r="F6161" s="2"/>
      <c r="G6161" s="2"/>
      <c r="H6161" s="2"/>
    </row>
    <row r="6162" spans="1:8" x14ac:dyDescent="0.25">
      <c r="A6162" s="1"/>
      <c r="B6162" s="1" t="s">
        <v>4202</v>
      </c>
      <c r="C6162" s="1" t="s">
        <v>4203</v>
      </c>
      <c r="D6162" s="22" t="str">
        <f>HYPERLINK("https://rhld.insurance.arkansas.gov/NPILookup?Npi=1730422874","1730422874")</f>
        <v>1730422874</v>
      </c>
      <c r="E6162" s="1" t="s">
        <v>4473</v>
      </c>
      <c r="F6162" s="2"/>
      <c r="G6162" s="2"/>
      <c r="H6162" s="2"/>
    </row>
    <row r="6163" spans="1:8" x14ac:dyDescent="0.25">
      <c r="A6163" s="1"/>
      <c r="B6163" s="1" t="s">
        <v>4202</v>
      </c>
      <c r="C6163" s="1" t="s">
        <v>4203</v>
      </c>
      <c r="D6163" s="22" t="str">
        <f>HYPERLINK("https://rhld.insurance.arkansas.gov/NPILookup?Npi=1730508151","1730508151")</f>
        <v>1730508151</v>
      </c>
      <c r="E6163" s="1" t="s">
        <v>17837</v>
      </c>
      <c r="F6163" s="2"/>
      <c r="G6163" s="2"/>
      <c r="H6163" s="2"/>
    </row>
    <row r="6164" spans="1:8" x14ac:dyDescent="0.25">
      <c r="A6164" s="1"/>
      <c r="B6164" s="1" t="s">
        <v>4202</v>
      </c>
      <c r="C6164" s="1" t="s">
        <v>4203</v>
      </c>
      <c r="D6164" s="22" t="str">
        <f>HYPERLINK("https://rhld.insurance.arkansas.gov/NPILookup?Npi=1730541277","1730541277")</f>
        <v>1730541277</v>
      </c>
      <c r="E6164" s="1" t="s">
        <v>17838</v>
      </c>
      <c r="F6164" s="2"/>
      <c r="G6164" s="2"/>
      <c r="H6164" s="2"/>
    </row>
    <row r="6165" spans="1:8" x14ac:dyDescent="0.25">
      <c r="A6165" s="1"/>
      <c r="B6165" s="1" t="s">
        <v>4202</v>
      </c>
      <c r="C6165" s="1" t="s">
        <v>4203</v>
      </c>
      <c r="D6165" s="22" t="str">
        <f>HYPERLINK("https://rhld.insurance.arkansas.gov/NPILookup?Npi=1730567165","1730567165")</f>
        <v>1730567165</v>
      </c>
      <c r="E6165" s="1" t="s">
        <v>10429</v>
      </c>
      <c r="F6165" s="2"/>
      <c r="G6165" s="2"/>
      <c r="H6165" s="2"/>
    </row>
    <row r="6166" spans="1:8" x14ac:dyDescent="0.25">
      <c r="A6166" s="1"/>
      <c r="B6166" s="1" t="s">
        <v>4202</v>
      </c>
      <c r="C6166" s="1" t="s">
        <v>4203</v>
      </c>
      <c r="D6166" s="22" t="str">
        <f>HYPERLINK("https://rhld.insurance.arkansas.gov/NPILookup?Npi=1730749052","1730749052")</f>
        <v>1730749052</v>
      </c>
      <c r="E6166" s="1" t="s">
        <v>17839</v>
      </c>
      <c r="F6166" s="2"/>
      <c r="G6166" s="2"/>
      <c r="H6166" s="2"/>
    </row>
    <row r="6167" spans="1:8" x14ac:dyDescent="0.25">
      <c r="A6167" s="1"/>
      <c r="B6167" s="1" t="s">
        <v>4202</v>
      </c>
      <c r="C6167" s="1" t="s">
        <v>4203</v>
      </c>
      <c r="D6167" s="22" t="str">
        <f>HYPERLINK("https://rhld.insurance.arkansas.gov/NPILookup?Npi=1740203488","1740203488")</f>
        <v>1740203488</v>
      </c>
      <c r="E6167" s="1" t="s">
        <v>10431</v>
      </c>
      <c r="F6167" s="2"/>
      <c r="G6167" s="2"/>
      <c r="H6167" s="2"/>
    </row>
    <row r="6168" spans="1:8" x14ac:dyDescent="0.25">
      <c r="A6168" s="1"/>
      <c r="B6168" s="1" t="s">
        <v>4202</v>
      </c>
      <c r="C6168" s="1" t="s">
        <v>4203</v>
      </c>
      <c r="D6168" s="22" t="str">
        <f>HYPERLINK("https://rhld.insurance.arkansas.gov/NPILookup?Npi=1740210368","1740210368")</f>
        <v>1740210368</v>
      </c>
      <c r="E6168" s="1" t="s">
        <v>17840</v>
      </c>
      <c r="F6168" s="2"/>
      <c r="G6168" s="2"/>
      <c r="H6168" s="2"/>
    </row>
    <row r="6169" spans="1:8" x14ac:dyDescent="0.25">
      <c r="A6169" s="1"/>
      <c r="B6169" s="1" t="s">
        <v>4202</v>
      </c>
      <c r="C6169" s="1" t="s">
        <v>4203</v>
      </c>
      <c r="D6169" s="22" t="str">
        <f>HYPERLINK("https://rhld.insurance.arkansas.gov/NPILookup?Npi=1740210616","1740210616")</f>
        <v>1740210616</v>
      </c>
      <c r="E6169" s="1" t="s">
        <v>4474</v>
      </c>
      <c r="F6169" s="2"/>
      <c r="G6169" s="2"/>
      <c r="H6169" s="2"/>
    </row>
    <row r="6170" spans="1:8" x14ac:dyDescent="0.25">
      <c r="A6170" s="1"/>
      <c r="B6170" s="1" t="s">
        <v>4202</v>
      </c>
      <c r="C6170" s="1" t="s">
        <v>4203</v>
      </c>
      <c r="D6170" s="22" t="str">
        <f>HYPERLINK("https://rhld.insurance.arkansas.gov/NPILookup?Npi=1740220326","1740220326")</f>
        <v>1740220326</v>
      </c>
      <c r="E6170" s="1" t="s">
        <v>10432</v>
      </c>
      <c r="F6170" s="2"/>
      <c r="G6170" s="2"/>
      <c r="H6170" s="2"/>
    </row>
    <row r="6171" spans="1:8" x14ac:dyDescent="0.25">
      <c r="A6171" s="1"/>
      <c r="B6171" s="1" t="s">
        <v>4202</v>
      </c>
      <c r="C6171" s="1" t="s">
        <v>4203</v>
      </c>
      <c r="D6171" s="22" t="str">
        <f>HYPERLINK("https://rhld.insurance.arkansas.gov/NPILookup?Npi=1740220805","1740220805")</f>
        <v>1740220805</v>
      </c>
      <c r="E6171" s="1" t="s">
        <v>17841</v>
      </c>
      <c r="F6171" s="2"/>
      <c r="G6171" s="2"/>
      <c r="H6171" s="2"/>
    </row>
    <row r="6172" spans="1:8" x14ac:dyDescent="0.25">
      <c r="A6172" s="1"/>
      <c r="B6172" s="1" t="s">
        <v>4202</v>
      </c>
      <c r="C6172" s="1" t="s">
        <v>4203</v>
      </c>
      <c r="D6172" s="22" t="str">
        <f>HYPERLINK("https://rhld.insurance.arkansas.gov/NPILookup?Npi=1740221365","1740221365")</f>
        <v>1740221365</v>
      </c>
      <c r="E6172" s="1" t="s">
        <v>10433</v>
      </c>
      <c r="F6172" s="2"/>
      <c r="G6172" s="2"/>
      <c r="H6172" s="2"/>
    </row>
    <row r="6173" spans="1:8" x14ac:dyDescent="0.25">
      <c r="A6173" s="1"/>
      <c r="B6173" s="1" t="s">
        <v>4202</v>
      </c>
      <c r="C6173" s="1" t="s">
        <v>4203</v>
      </c>
      <c r="D6173" s="22" t="str">
        <f>HYPERLINK("https://rhld.insurance.arkansas.gov/NPILookup?Npi=1740225796","1740225796")</f>
        <v>1740225796</v>
      </c>
      <c r="E6173" s="1" t="s">
        <v>2996</v>
      </c>
      <c r="F6173" s="2"/>
      <c r="G6173" s="2"/>
      <c r="H6173" s="2"/>
    </row>
    <row r="6174" spans="1:8" x14ac:dyDescent="0.25">
      <c r="A6174" s="1"/>
      <c r="B6174" s="1" t="s">
        <v>4202</v>
      </c>
      <c r="C6174" s="1" t="s">
        <v>4203</v>
      </c>
      <c r="D6174" s="22" t="str">
        <f>HYPERLINK("https://rhld.insurance.arkansas.gov/NPILookup?Npi=1740231554","1740231554")</f>
        <v>1740231554</v>
      </c>
      <c r="E6174" s="1" t="s">
        <v>4475</v>
      </c>
      <c r="F6174" s="2"/>
      <c r="G6174" s="2"/>
      <c r="H6174" s="2"/>
    </row>
    <row r="6175" spans="1:8" x14ac:dyDescent="0.25">
      <c r="A6175" s="1"/>
      <c r="B6175" s="1" t="s">
        <v>4202</v>
      </c>
      <c r="C6175" s="1" t="s">
        <v>4203</v>
      </c>
      <c r="D6175" s="22" t="str">
        <f>HYPERLINK("https://rhld.insurance.arkansas.gov/NPILookup?Npi=1740233584","1740233584")</f>
        <v>1740233584</v>
      </c>
      <c r="E6175" s="1" t="s">
        <v>17842</v>
      </c>
      <c r="F6175" s="2"/>
      <c r="G6175" s="2"/>
      <c r="H6175" s="2"/>
    </row>
    <row r="6176" spans="1:8" x14ac:dyDescent="0.25">
      <c r="A6176" s="1"/>
      <c r="B6176" s="1" t="s">
        <v>4202</v>
      </c>
      <c r="C6176" s="1" t="s">
        <v>4203</v>
      </c>
      <c r="D6176" s="22" t="str">
        <f>HYPERLINK("https://rhld.insurance.arkansas.gov/NPILookup?Npi=1740248368","1740248368")</f>
        <v>1740248368</v>
      </c>
      <c r="E6176" s="1" t="s">
        <v>4476</v>
      </c>
      <c r="F6176" s="2"/>
      <c r="G6176" s="2"/>
      <c r="H6176" s="2"/>
    </row>
    <row r="6177" spans="1:8" x14ac:dyDescent="0.25">
      <c r="A6177" s="1"/>
      <c r="B6177" s="1" t="s">
        <v>4202</v>
      </c>
      <c r="C6177" s="1" t="s">
        <v>4203</v>
      </c>
      <c r="D6177" s="22" t="str">
        <f>HYPERLINK("https://rhld.insurance.arkansas.gov/NPILookup?Npi=1740271014","1740271014")</f>
        <v>1740271014</v>
      </c>
      <c r="E6177" s="1" t="s">
        <v>120</v>
      </c>
      <c r="F6177" s="2"/>
      <c r="G6177" s="2"/>
      <c r="H6177" s="2"/>
    </row>
    <row r="6178" spans="1:8" x14ac:dyDescent="0.25">
      <c r="A6178" s="1"/>
      <c r="B6178" s="1" t="s">
        <v>4202</v>
      </c>
      <c r="C6178" s="1" t="s">
        <v>4203</v>
      </c>
      <c r="D6178" s="22" t="str">
        <f>HYPERLINK("https://rhld.insurance.arkansas.gov/NPILookup?Npi=1740369263","1740369263")</f>
        <v>1740369263</v>
      </c>
      <c r="E6178" s="1" t="s">
        <v>201</v>
      </c>
      <c r="F6178" s="2"/>
      <c r="G6178" s="2"/>
      <c r="H6178" s="2"/>
    </row>
    <row r="6179" spans="1:8" x14ac:dyDescent="0.25">
      <c r="A6179" s="1"/>
      <c r="B6179" s="1" t="s">
        <v>4202</v>
      </c>
      <c r="C6179" s="1" t="s">
        <v>4203</v>
      </c>
      <c r="D6179" s="22" t="str">
        <f>HYPERLINK("https://rhld.insurance.arkansas.gov/NPILookup?Npi=1740375641","1740375641")</f>
        <v>1740375641</v>
      </c>
      <c r="E6179" s="1" t="s">
        <v>17844</v>
      </c>
      <c r="F6179" s="2"/>
      <c r="G6179" s="2"/>
      <c r="H6179" s="2"/>
    </row>
    <row r="6180" spans="1:8" x14ac:dyDescent="0.25">
      <c r="A6180" s="1"/>
      <c r="B6180" s="1" t="s">
        <v>4202</v>
      </c>
      <c r="C6180" s="1" t="s">
        <v>4203</v>
      </c>
      <c r="D6180" s="22" t="str">
        <f>HYPERLINK("https://rhld.insurance.arkansas.gov/NPILookup?Npi=1740381292","1740381292")</f>
        <v>1740381292</v>
      </c>
      <c r="E6180" s="1" t="s">
        <v>17845</v>
      </c>
      <c r="F6180" s="2"/>
      <c r="G6180" s="2"/>
      <c r="H6180" s="2"/>
    </row>
    <row r="6181" spans="1:8" x14ac:dyDescent="0.25">
      <c r="A6181" s="1"/>
      <c r="B6181" s="1" t="s">
        <v>4202</v>
      </c>
      <c r="C6181" s="1" t="s">
        <v>4203</v>
      </c>
      <c r="D6181" s="22" t="str">
        <f>HYPERLINK("https://rhld.insurance.arkansas.gov/NPILookup?Npi=1740415611","1740415611")</f>
        <v>1740415611</v>
      </c>
      <c r="E6181" s="1" t="s">
        <v>10434</v>
      </c>
      <c r="F6181" s="2"/>
      <c r="G6181" s="2"/>
      <c r="H6181" s="2"/>
    </row>
    <row r="6182" spans="1:8" x14ac:dyDescent="0.25">
      <c r="A6182" s="1"/>
      <c r="B6182" s="1" t="s">
        <v>4202</v>
      </c>
      <c r="C6182" s="1" t="s">
        <v>4203</v>
      </c>
      <c r="D6182" s="22" t="str">
        <f>HYPERLINK("https://rhld.insurance.arkansas.gov/NPILookup?Npi=1740484369","1740484369")</f>
        <v>1740484369</v>
      </c>
      <c r="E6182" s="1" t="s">
        <v>4477</v>
      </c>
      <c r="F6182" s="2"/>
      <c r="G6182" s="2"/>
      <c r="H6182" s="2"/>
    </row>
    <row r="6183" spans="1:8" x14ac:dyDescent="0.25">
      <c r="A6183" s="1"/>
      <c r="B6183" s="1" t="s">
        <v>4202</v>
      </c>
      <c r="C6183" s="1" t="s">
        <v>4203</v>
      </c>
      <c r="D6183" s="22" t="str">
        <f>HYPERLINK("https://rhld.insurance.arkansas.gov/NPILookup?Npi=1740640291","1740640291")</f>
        <v>1740640291</v>
      </c>
      <c r="E6183" s="1" t="s">
        <v>4478</v>
      </c>
      <c r="F6183" s="2"/>
      <c r="G6183" s="2"/>
      <c r="H6183" s="2"/>
    </row>
    <row r="6184" spans="1:8" x14ac:dyDescent="0.25">
      <c r="A6184" s="1"/>
      <c r="B6184" s="1" t="s">
        <v>4202</v>
      </c>
      <c r="C6184" s="1" t="s">
        <v>4203</v>
      </c>
      <c r="D6184" s="22" t="str">
        <f>HYPERLINK("https://rhld.insurance.arkansas.gov/NPILookup?Npi=1740644293","1740644293")</f>
        <v>1740644293</v>
      </c>
      <c r="E6184" s="1" t="s">
        <v>17847</v>
      </c>
      <c r="F6184" s="2"/>
      <c r="G6184" s="2"/>
      <c r="H6184" s="2"/>
    </row>
    <row r="6185" spans="1:8" x14ac:dyDescent="0.25">
      <c r="A6185" s="1"/>
      <c r="B6185" s="1" t="s">
        <v>4202</v>
      </c>
      <c r="C6185" s="1" t="s">
        <v>4203</v>
      </c>
      <c r="D6185" s="22" t="str">
        <f>HYPERLINK("https://rhld.insurance.arkansas.gov/NPILookup?Npi=1740695410","1740695410")</f>
        <v>1740695410</v>
      </c>
      <c r="E6185" s="1" t="s">
        <v>10435</v>
      </c>
      <c r="F6185" s="2"/>
      <c r="G6185" s="2"/>
      <c r="H6185" s="2"/>
    </row>
    <row r="6186" spans="1:8" x14ac:dyDescent="0.25">
      <c r="A6186" s="1"/>
      <c r="B6186" s="1" t="s">
        <v>4202</v>
      </c>
      <c r="C6186" s="1" t="s">
        <v>4203</v>
      </c>
      <c r="D6186" s="22" t="str">
        <f>HYPERLINK("https://rhld.insurance.arkansas.gov/NPILookup?Npi=1740741792","1740741792")</f>
        <v>1740741792</v>
      </c>
      <c r="E6186" s="1" t="s">
        <v>4479</v>
      </c>
      <c r="F6186" s="2"/>
      <c r="G6186" s="2"/>
      <c r="H6186" s="2"/>
    </row>
    <row r="6187" spans="1:8" x14ac:dyDescent="0.25">
      <c r="A6187" s="1"/>
      <c r="B6187" s="1" t="s">
        <v>4202</v>
      </c>
      <c r="C6187" s="1" t="s">
        <v>4203</v>
      </c>
      <c r="D6187" s="22" t="str">
        <f>HYPERLINK("https://rhld.insurance.arkansas.gov/NPILookup?Npi=1740818343","1740818343")</f>
        <v>1740818343</v>
      </c>
      <c r="E6187" s="1" t="s">
        <v>4480</v>
      </c>
      <c r="F6187" s="2"/>
      <c r="G6187" s="2"/>
      <c r="H6187" s="2"/>
    </row>
    <row r="6188" spans="1:8" x14ac:dyDescent="0.25">
      <c r="A6188" s="1"/>
      <c r="B6188" s="1" t="s">
        <v>4202</v>
      </c>
      <c r="C6188" s="1" t="s">
        <v>4203</v>
      </c>
      <c r="D6188" s="22" t="str">
        <f>HYPERLINK("https://rhld.insurance.arkansas.gov/NPILookup?Npi=1750328233","1750328233")</f>
        <v>1750328233</v>
      </c>
      <c r="E6188" s="1" t="s">
        <v>3001</v>
      </c>
      <c r="F6188" s="2"/>
      <c r="G6188" s="2"/>
      <c r="H6188" s="2"/>
    </row>
    <row r="6189" spans="1:8" x14ac:dyDescent="0.25">
      <c r="A6189" s="1"/>
      <c r="B6189" s="1" t="s">
        <v>4202</v>
      </c>
      <c r="C6189" s="1" t="s">
        <v>4203</v>
      </c>
      <c r="D6189" s="22" t="str">
        <f>HYPERLINK("https://rhld.insurance.arkansas.gov/NPILookup?Npi=1750335055","1750335055")</f>
        <v>1750335055</v>
      </c>
      <c r="E6189" s="1" t="s">
        <v>4481</v>
      </c>
      <c r="F6189" s="2"/>
      <c r="G6189" s="2"/>
      <c r="H6189" s="2"/>
    </row>
    <row r="6190" spans="1:8" x14ac:dyDescent="0.25">
      <c r="A6190" s="1"/>
      <c r="B6190" s="1" t="s">
        <v>4202</v>
      </c>
      <c r="C6190" s="1" t="s">
        <v>4203</v>
      </c>
      <c r="D6190" s="22" t="str">
        <f>HYPERLINK("https://rhld.insurance.arkansas.gov/NPILookup?Npi=1750355103","1750355103")</f>
        <v>1750355103</v>
      </c>
      <c r="E6190" s="1" t="s">
        <v>15921</v>
      </c>
      <c r="F6190" s="2"/>
      <c r="G6190" s="2"/>
      <c r="H6190" s="2"/>
    </row>
    <row r="6191" spans="1:8" x14ac:dyDescent="0.25">
      <c r="A6191" s="1"/>
      <c r="B6191" s="1" t="s">
        <v>4202</v>
      </c>
      <c r="C6191" s="1" t="s">
        <v>4203</v>
      </c>
      <c r="D6191" s="22" t="str">
        <f>HYPERLINK("https://rhld.insurance.arkansas.gov/NPILookup?Npi=1750376737","1750376737")</f>
        <v>1750376737</v>
      </c>
      <c r="E6191" s="1" t="s">
        <v>17850</v>
      </c>
      <c r="F6191" s="2"/>
      <c r="G6191" s="2"/>
      <c r="H6191" s="2"/>
    </row>
    <row r="6192" spans="1:8" x14ac:dyDescent="0.25">
      <c r="A6192" s="1"/>
      <c r="B6192" s="1" t="s">
        <v>4202</v>
      </c>
      <c r="C6192" s="1" t="s">
        <v>4203</v>
      </c>
      <c r="D6192" s="22" t="str">
        <f>HYPERLINK("https://rhld.insurance.arkansas.gov/NPILookup?Npi=1750402079","1750402079")</f>
        <v>1750402079</v>
      </c>
      <c r="E6192" s="1" t="s">
        <v>17851</v>
      </c>
      <c r="F6192" s="2"/>
      <c r="G6192" s="2"/>
      <c r="H6192" s="2"/>
    </row>
    <row r="6193" spans="1:8" x14ac:dyDescent="0.25">
      <c r="A6193" s="1"/>
      <c r="B6193" s="1" t="s">
        <v>4202</v>
      </c>
      <c r="C6193" s="1" t="s">
        <v>4203</v>
      </c>
      <c r="D6193" s="22" t="str">
        <f>HYPERLINK("https://rhld.insurance.arkansas.gov/NPILookup?Npi=1750464442","1750464442")</f>
        <v>1750464442</v>
      </c>
      <c r="E6193" s="1" t="s">
        <v>17852</v>
      </c>
      <c r="F6193" s="2"/>
      <c r="G6193" s="2"/>
      <c r="H6193" s="2"/>
    </row>
    <row r="6194" spans="1:8" x14ac:dyDescent="0.25">
      <c r="A6194" s="1"/>
      <c r="B6194" s="1" t="s">
        <v>4202</v>
      </c>
      <c r="C6194" s="1" t="s">
        <v>4203</v>
      </c>
      <c r="D6194" s="22" t="str">
        <f>HYPERLINK("https://rhld.insurance.arkansas.gov/NPILookup?Npi=1750510962","1750510962")</f>
        <v>1750510962</v>
      </c>
      <c r="E6194" s="1" t="s">
        <v>17853</v>
      </c>
      <c r="F6194" s="2"/>
      <c r="G6194" s="2"/>
      <c r="H6194" s="2"/>
    </row>
    <row r="6195" spans="1:8" x14ac:dyDescent="0.25">
      <c r="A6195" s="1"/>
      <c r="B6195" s="1" t="s">
        <v>4202</v>
      </c>
      <c r="C6195" s="1" t="s">
        <v>4203</v>
      </c>
      <c r="D6195" s="22" t="str">
        <f>HYPERLINK("https://rhld.insurance.arkansas.gov/NPILookup?Npi=1750518072","1750518072")</f>
        <v>1750518072</v>
      </c>
      <c r="E6195" s="1" t="s">
        <v>10436</v>
      </c>
      <c r="F6195" s="2"/>
      <c r="G6195" s="2"/>
      <c r="H6195" s="2"/>
    </row>
    <row r="6196" spans="1:8" x14ac:dyDescent="0.25">
      <c r="A6196" s="1"/>
      <c r="B6196" s="1" t="s">
        <v>4202</v>
      </c>
      <c r="C6196" s="1" t="s">
        <v>4203</v>
      </c>
      <c r="D6196" s="22" t="str">
        <f>HYPERLINK("https://rhld.insurance.arkansas.gov/NPILookup?Npi=1750570917","1750570917")</f>
        <v>1750570917</v>
      </c>
      <c r="E6196" s="1" t="s">
        <v>17854</v>
      </c>
      <c r="F6196" s="2"/>
      <c r="G6196" s="2"/>
      <c r="H6196" s="2"/>
    </row>
    <row r="6197" spans="1:8" x14ac:dyDescent="0.25">
      <c r="A6197" s="1"/>
      <c r="B6197" s="1" t="s">
        <v>4202</v>
      </c>
      <c r="C6197" s="1" t="s">
        <v>4203</v>
      </c>
      <c r="D6197" s="22" t="str">
        <f>HYPERLINK("https://rhld.insurance.arkansas.gov/NPILookup?Npi=1750655072","1750655072")</f>
        <v>1750655072</v>
      </c>
      <c r="E6197" s="1" t="s">
        <v>1088</v>
      </c>
      <c r="F6197" s="2"/>
      <c r="G6197" s="2"/>
      <c r="H6197" s="2"/>
    </row>
    <row r="6198" spans="1:8" x14ac:dyDescent="0.25">
      <c r="A6198" s="1"/>
      <c r="B6198" s="1" t="s">
        <v>4202</v>
      </c>
      <c r="C6198" s="1" t="s">
        <v>4203</v>
      </c>
      <c r="D6198" s="22" t="str">
        <f>HYPERLINK("https://rhld.insurance.arkansas.gov/NPILookup?Npi=1750736450","1750736450")</f>
        <v>1750736450</v>
      </c>
      <c r="E6198" s="1" t="s">
        <v>10437</v>
      </c>
      <c r="F6198" s="2"/>
      <c r="G6198" s="2"/>
      <c r="H6198" s="2"/>
    </row>
    <row r="6199" spans="1:8" x14ac:dyDescent="0.25">
      <c r="A6199" s="1"/>
      <c r="B6199" s="1" t="s">
        <v>4202</v>
      </c>
      <c r="C6199" s="1" t="s">
        <v>4203</v>
      </c>
      <c r="D6199" s="22" t="str">
        <f>HYPERLINK("https://rhld.insurance.arkansas.gov/NPILookup?Npi=1750802823","1750802823")</f>
        <v>1750802823</v>
      </c>
      <c r="E6199" s="1" t="s">
        <v>2066</v>
      </c>
      <c r="F6199" s="2"/>
      <c r="G6199" s="2"/>
      <c r="H6199" s="2"/>
    </row>
    <row r="6200" spans="1:8" x14ac:dyDescent="0.25">
      <c r="A6200" s="1"/>
      <c r="B6200" s="1" t="s">
        <v>4202</v>
      </c>
      <c r="C6200" s="1" t="s">
        <v>4203</v>
      </c>
      <c r="D6200" s="22" t="str">
        <f>HYPERLINK("https://rhld.insurance.arkansas.gov/NPILookup?Npi=1750811337","1750811337")</f>
        <v>1750811337</v>
      </c>
      <c r="E6200" s="1" t="s">
        <v>4482</v>
      </c>
      <c r="F6200" s="2"/>
      <c r="G6200" s="2"/>
      <c r="H6200" s="2"/>
    </row>
    <row r="6201" spans="1:8" x14ac:dyDescent="0.25">
      <c r="A6201" s="1"/>
      <c r="B6201" s="1" t="s">
        <v>4202</v>
      </c>
      <c r="C6201" s="1" t="s">
        <v>4203</v>
      </c>
      <c r="D6201" s="22" t="str">
        <f>HYPERLINK("https://rhld.insurance.arkansas.gov/NPILookup?Npi=1750842944","1750842944")</f>
        <v>1750842944</v>
      </c>
      <c r="E6201" s="1" t="s">
        <v>17855</v>
      </c>
      <c r="F6201" s="2"/>
      <c r="G6201" s="2"/>
      <c r="H6201" s="2"/>
    </row>
    <row r="6202" spans="1:8" x14ac:dyDescent="0.25">
      <c r="A6202" s="1"/>
      <c r="B6202" s="1" t="s">
        <v>4202</v>
      </c>
      <c r="C6202" s="1" t="s">
        <v>4203</v>
      </c>
      <c r="D6202" s="22" t="str">
        <f>HYPERLINK("https://rhld.insurance.arkansas.gov/NPILookup?Npi=1760002513","1760002513")</f>
        <v>1760002513</v>
      </c>
      <c r="E6202" s="1" t="s">
        <v>4483</v>
      </c>
      <c r="F6202" s="2"/>
      <c r="G6202" s="2"/>
      <c r="H6202" s="2"/>
    </row>
    <row r="6203" spans="1:8" x14ac:dyDescent="0.25">
      <c r="A6203" s="1"/>
      <c r="B6203" s="1" t="s">
        <v>4202</v>
      </c>
      <c r="C6203" s="1" t="s">
        <v>4203</v>
      </c>
      <c r="D6203" s="22" t="str">
        <f>HYPERLINK("https://rhld.insurance.arkansas.gov/NPILookup?Npi=1760010508","1760010508")</f>
        <v>1760010508</v>
      </c>
      <c r="E6203" s="1" t="s">
        <v>4484</v>
      </c>
      <c r="F6203" s="2"/>
      <c r="G6203" s="2"/>
      <c r="H6203" s="2"/>
    </row>
    <row r="6204" spans="1:8" x14ac:dyDescent="0.25">
      <c r="A6204" s="1"/>
      <c r="B6204" s="1" t="s">
        <v>4202</v>
      </c>
      <c r="C6204" s="1" t="s">
        <v>4203</v>
      </c>
      <c r="D6204" s="22" t="str">
        <f>HYPERLINK("https://rhld.insurance.arkansas.gov/NPILookup?Npi=1760062921","1760062921")</f>
        <v>1760062921</v>
      </c>
      <c r="E6204" s="1" t="s">
        <v>17856</v>
      </c>
      <c r="F6204" s="2"/>
      <c r="G6204" s="2"/>
      <c r="H6204" s="2"/>
    </row>
    <row r="6205" spans="1:8" x14ac:dyDescent="0.25">
      <c r="A6205" s="1"/>
      <c r="B6205" s="1" t="s">
        <v>4202</v>
      </c>
      <c r="C6205" s="1" t="s">
        <v>4203</v>
      </c>
      <c r="D6205" s="22" t="str">
        <f>HYPERLINK("https://rhld.insurance.arkansas.gov/NPILookup?Npi=1760445894","1760445894")</f>
        <v>1760445894</v>
      </c>
      <c r="E6205" s="1" t="s">
        <v>17857</v>
      </c>
      <c r="F6205" s="2"/>
      <c r="G6205" s="2"/>
      <c r="H6205" s="2"/>
    </row>
    <row r="6206" spans="1:8" x14ac:dyDescent="0.25">
      <c r="A6206" s="1"/>
      <c r="B6206" s="1" t="s">
        <v>4202</v>
      </c>
      <c r="C6206" s="1" t="s">
        <v>4203</v>
      </c>
      <c r="D6206" s="22" t="str">
        <f>HYPERLINK("https://rhld.insurance.arkansas.gov/NPILookup?Npi=1760447676","1760447676")</f>
        <v>1760447676</v>
      </c>
      <c r="E6206" s="1" t="s">
        <v>31459</v>
      </c>
      <c r="F6206" s="2"/>
      <c r="G6206" s="2"/>
      <c r="H6206" s="2"/>
    </row>
    <row r="6207" spans="1:8" x14ac:dyDescent="0.25">
      <c r="A6207" s="1"/>
      <c r="B6207" s="1" t="s">
        <v>4202</v>
      </c>
      <c r="C6207" s="1" t="s">
        <v>4203</v>
      </c>
      <c r="D6207" s="22" t="str">
        <f>HYPERLINK("https://rhld.insurance.arkansas.gov/NPILookup?Npi=1760509657","1760509657")</f>
        <v>1760509657</v>
      </c>
      <c r="E6207" s="1" t="s">
        <v>17860</v>
      </c>
      <c r="F6207" s="2"/>
      <c r="G6207" s="2"/>
      <c r="H6207" s="2"/>
    </row>
    <row r="6208" spans="1:8" x14ac:dyDescent="0.25">
      <c r="A6208" s="1"/>
      <c r="B6208" s="1" t="s">
        <v>4202</v>
      </c>
      <c r="C6208" s="1" t="s">
        <v>4203</v>
      </c>
      <c r="D6208" s="22" t="str">
        <f>HYPERLINK("https://rhld.insurance.arkansas.gov/NPILookup?Npi=1760521199","1760521199")</f>
        <v>1760521199</v>
      </c>
      <c r="E6208" s="1" t="s">
        <v>17861</v>
      </c>
      <c r="F6208" s="2"/>
      <c r="G6208" s="2"/>
      <c r="H6208" s="2"/>
    </row>
    <row r="6209" spans="1:8" x14ac:dyDescent="0.25">
      <c r="A6209" s="1"/>
      <c r="B6209" s="1" t="s">
        <v>4202</v>
      </c>
      <c r="C6209" s="1" t="s">
        <v>4203</v>
      </c>
      <c r="D6209" s="22" t="str">
        <f>HYPERLINK("https://rhld.insurance.arkansas.gov/NPILookup?Npi=1760569487","1760569487")</f>
        <v>1760569487</v>
      </c>
      <c r="E6209" s="1" t="s">
        <v>10439</v>
      </c>
      <c r="F6209" s="2"/>
      <c r="G6209" s="2"/>
      <c r="H6209" s="2"/>
    </row>
    <row r="6210" spans="1:8" x14ac:dyDescent="0.25">
      <c r="A6210" s="1"/>
      <c r="B6210" s="1" t="s">
        <v>4202</v>
      </c>
      <c r="C6210" s="1" t="s">
        <v>4203</v>
      </c>
      <c r="D6210" s="22" t="str">
        <f>HYPERLINK("https://rhld.insurance.arkansas.gov/NPILookup?Npi=1760595672","1760595672")</f>
        <v>1760595672</v>
      </c>
      <c r="E6210" s="1" t="s">
        <v>17862</v>
      </c>
      <c r="F6210" s="2"/>
      <c r="G6210" s="2"/>
      <c r="H6210" s="2"/>
    </row>
    <row r="6211" spans="1:8" x14ac:dyDescent="0.25">
      <c r="A6211" s="1"/>
      <c r="B6211" s="1" t="s">
        <v>4202</v>
      </c>
      <c r="C6211" s="1" t="s">
        <v>4203</v>
      </c>
      <c r="D6211" s="22" t="str">
        <f>HYPERLINK("https://rhld.insurance.arkansas.gov/NPILookup?Npi=1760672497","1760672497")</f>
        <v>1760672497</v>
      </c>
      <c r="E6211" s="1" t="s">
        <v>17864</v>
      </c>
      <c r="F6211" s="2"/>
      <c r="G6211" s="2"/>
      <c r="H6211" s="2"/>
    </row>
    <row r="6212" spans="1:8" x14ac:dyDescent="0.25">
      <c r="A6212" s="1"/>
      <c r="B6212" s="1" t="s">
        <v>4202</v>
      </c>
      <c r="C6212" s="1" t="s">
        <v>4203</v>
      </c>
      <c r="D6212" s="22" t="str">
        <f>HYPERLINK("https://rhld.insurance.arkansas.gov/NPILookup?Npi=1760796734","1760796734")</f>
        <v>1760796734</v>
      </c>
      <c r="E6212" s="1" t="s">
        <v>4485</v>
      </c>
      <c r="F6212" s="2"/>
      <c r="G6212" s="2"/>
      <c r="H6212" s="2"/>
    </row>
    <row r="6213" spans="1:8" x14ac:dyDescent="0.25">
      <c r="A6213" s="1"/>
      <c r="B6213" s="1" t="s">
        <v>4202</v>
      </c>
      <c r="C6213" s="1" t="s">
        <v>4203</v>
      </c>
      <c r="D6213" s="22" t="str">
        <f>HYPERLINK("https://rhld.insurance.arkansas.gov/NPILookup?Npi=1760820583","1760820583")</f>
        <v>1760820583</v>
      </c>
      <c r="E6213" s="1" t="s">
        <v>3299</v>
      </c>
      <c r="F6213" s="2"/>
      <c r="G6213" s="2"/>
      <c r="H6213" s="2"/>
    </row>
    <row r="6214" spans="1:8" x14ac:dyDescent="0.25">
      <c r="A6214" s="1"/>
      <c r="B6214" s="1" t="s">
        <v>4202</v>
      </c>
      <c r="C6214" s="1" t="s">
        <v>4203</v>
      </c>
      <c r="D6214" s="22" t="str">
        <f>HYPERLINK("https://rhld.insurance.arkansas.gov/NPILookup?Npi=1760822795","1760822795")</f>
        <v>1760822795</v>
      </c>
      <c r="E6214" s="1" t="s">
        <v>4486</v>
      </c>
      <c r="F6214" s="2"/>
      <c r="G6214" s="2"/>
      <c r="H6214" s="2"/>
    </row>
    <row r="6215" spans="1:8" x14ac:dyDescent="0.25">
      <c r="A6215" s="1"/>
      <c r="B6215" s="1" t="s">
        <v>4202</v>
      </c>
      <c r="C6215" s="1" t="s">
        <v>4203</v>
      </c>
      <c r="D6215" s="22" t="str">
        <f>HYPERLINK("https://rhld.insurance.arkansas.gov/NPILookup?Npi=1760846752","1760846752")</f>
        <v>1760846752</v>
      </c>
      <c r="E6215" s="1" t="s">
        <v>17866</v>
      </c>
      <c r="F6215" s="2"/>
      <c r="G6215" s="2"/>
      <c r="H6215" s="2"/>
    </row>
    <row r="6216" spans="1:8" x14ac:dyDescent="0.25">
      <c r="A6216" s="1"/>
      <c r="B6216" s="1" t="s">
        <v>4202</v>
      </c>
      <c r="C6216" s="1" t="s">
        <v>4203</v>
      </c>
      <c r="D6216" s="22" t="str">
        <f>HYPERLINK("https://rhld.insurance.arkansas.gov/NPILookup?Npi=1760914014","1760914014")</f>
        <v>1760914014</v>
      </c>
      <c r="E6216" s="1" t="s">
        <v>10440</v>
      </c>
      <c r="F6216" s="2"/>
      <c r="G6216" s="2"/>
      <c r="H6216" s="2"/>
    </row>
    <row r="6217" spans="1:8" x14ac:dyDescent="0.25">
      <c r="A6217" s="1"/>
      <c r="B6217" s="1" t="s">
        <v>4202</v>
      </c>
      <c r="C6217" s="1" t="s">
        <v>4203</v>
      </c>
      <c r="D6217" s="22" t="str">
        <f>HYPERLINK("https://rhld.insurance.arkansas.gov/NPILookup?Npi=1770018400","1770018400")</f>
        <v>1770018400</v>
      </c>
      <c r="E6217" s="1" t="s">
        <v>17867</v>
      </c>
      <c r="F6217" s="2"/>
      <c r="G6217" s="2"/>
      <c r="H6217" s="2"/>
    </row>
    <row r="6218" spans="1:8" x14ac:dyDescent="0.25">
      <c r="A6218" s="1"/>
      <c r="B6218" s="1" t="s">
        <v>4202</v>
      </c>
      <c r="C6218" s="1" t="s">
        <v>4203</v>
      </c>
      <c r="D6218" s="22" t="str">
        <f>HYPERLINK("https://rhld.insurance.arkansas.gov/NPILookup?Npi=1770088296","1770088296")</f>
        <v>1770088296</v>
      </c>
      <c r="E6218" s="1" t="s">
        <v>17868</v>
      </c>
      <c r="F6218" s="2"/>
      <c r="G6218" s="2"/>
      <c r="H6218" s="2"/>
    </row>
    <row r="6219" spans="1:8" x14ac:dyDescent="0.25">
      <c r="A6219" s="1"/>
      <c r="B6219" s="1" t="s">
        <v>4202</v>
      </c>
      <c r="C6219" s="1" t="s">
        <v>4203</v>
      </c>
      <c r="D6219" s="22" t="str">
        <f>HYPERLINK("https://rhld.insurance.arkansas.gov/NPILookup?Npi=1770089773","1770089773")</f>
        <v>1770089773</v>
      </c>
      <c r="E6219" s="1" t="s">
        <v>17869</v>
      </c>
      <c r="F6219" s="2"/>
      <c r="G6219" s="2"/>
      <c r="H6219" s="2"/>
    </row>
    <row r="6220" spans="1:8" x14ac:dyDescent="0.25">
      <c r="A6220" s="1"/>
      <c r="B6220" s="1" t="s">
        <v>4202</v>
      </c>
      <c r="C6220" s="1" t="s">
        <v>4203</v>
      </c>
      <c r="D6220" s="22" t="str">
        <f>HYPERLINK("https://rhld.insurance.arkansas.gov/NPILookup?Npi=1770530586","1770530586")</f>
        <v>1770530586</v>
      </c>
      <c r="E6220" s="1" t="s">
        <v>10441</v>
      </c>
      <c r="F6220" s="2"/>
      <c r="G6220" s="2"/>
      <c r="H6220" s="2"/>
    </row>
    <row r="6221" spans="1:8" x14ac:dyDescent="0.25">
      <c r="A6221" s="1"/>
      <c r="B6221" s="1" t="s">
        <v>4202</v>
      </c>
      <c r="C6221" s="1" t="s">
        <v>4203</v>
      </c>
      <c r="D6221" s="22" t="str">
        <f>HYPERLINK("https://rhld.insurance.arkansas.gov/NPILookup?Npi=1770554446","1770554446")</f>
        <v>1770554446</v>
      </c>
      <c r="E6221" s="1" t="s">
        <v>17871</v>
      </c>
      <c r="F6221" s="2"/>
      <c r="G6221" s="2"/>
      <c r="H6221" s="2"/>
    </row>
    <row r="6222" spans="1:8" x14ac:dyDescent="0.25">
      <c r="A6222" s="1"/>
      <c r="B6222" s="1" t="s">
        <v>4202</v>
      </c>
      <c r="C6222" s="1" t="s">
        <v>4203</v>
      </c>
      <c r="D6222" s="22" t="str">
        <f>HYPERLINK("https://rhld.insurance.arkansas.gov/NPILookup?Npi=1770698052","1770698052")</f>
        <v>1770698052</v>
      </c>
      <c r="E6222" s="1" t="s">
        <v>31460</v>
      </c>
      <c r="F6222" s="2"/>
      <c r="G6222" s="2"/>
      <c r="H6222" s="2"/>
    </row>
    <row r="6223" spans="1:8" x14ac:dyDescent="0.25">
      <c r="A6223" s="1"/>
      <c r="B6223" s="1" t="s">
        <v>4202</v>
      </c>
      <c r="C6223" s="1" t="s">
        <v>4203</v>
      </c>
      <c r="D6223" s="22" t="str">
        <f>HYPERLINK("https://rhld.insurance.arkansas.gov/NPILookup?Npi=1770740946","1770740946")</f>
        <v>1770740946</v>
      </c>
      <c r="E6223" s="1" t="s">
        <v>4487</v>
      </c>
      <c r="F6223" s="2"/>
      <c r="G6223" s="2"/>
      <c r="H6223" s="2"/>
    </row>
    <row r="6224" spans="1:8" x14ac:dyDescent="0.25">
      <c r="A6224" s="1"/>
      <c r="B6224" s="1" t="s">
        <v>4202</v>
      </c>
      <c r="C6224" s="1" t="s">
        <v>4203</v>
      </c>
      <c r="D6224" s="22" t="str">
        <f>HYPERLINK("https://rhld.insurance.arkansas.gov/NPILookup?Npi=1770902793","1770902793")</f>
        <v>1770902793</v>
      </c>
      <c r="E6224" s="1" t="s">
        <v>10443</v>
      </c>
      <c r="F6224" s="2"/>
      <c r="G6224" s="2"/>
      <c r="H6224" s="2"/>
    </row>
    <row r="6225" spans="1:8" x14ac:dyDescent="0.25">
      <c r="A6225" s="1"/>
      <c r="B6225" s="1" t="s">
        <v>4202</v>
      </c>
      <c r="C6225" s="1" t="s">
        <v>4203</v>
      </c>
      <c r="D6225" s="22" t="str">
        <f>HYPERLINK("https://rhld.insurance.arkansas.gov/NPILookup?Npi=1770960288","1770960288")</f>
        <v>1770960288</v>
      </c>
      <c r="E6225" s="1" t="s">
        <v>17874</v>
      </c>
      <c r="F6225" s="2"/>
      <c r="G6225" s="2"/>
      <c r="H6225" s="2"/>
    </row>
    <row r="6226" spans="1:8" x14ac:dyDescent="0.25">
      <c r="A6226" s="1"/>
      <c r="B6226" s="1" t="s">
        <v>4202</v>
      </c>
      <c r="C6226" s="1" t="s">
        <v>4203</v>
      </c>
      <c r="D6226" s="22" t="str">
        <f>HYPERLINK("https://rhld.insurance.arkansas.gov/NPILookup?Npi=1770961211","1770961211")</f>
        <v>1770961211</v>
      </c>
      <c r="E6226" s="1" t="s">
        <v>31461</v>
      </c>
      <c r="F6226" s="2"/>
      <c r="G6226" s="2"/>
      <c r="H6226" s="2"/>
    </row>
    <row r="6227" spans="1:8" x14ac:dyDescent="0.25">
      <c r="A6227" s="1"/>
      <c r="B6227" s="1" t="s">
        <v>4202</v>
      </c>
      <c r="C6227" s="1" t="s">
        <v>4203</v>
      </c>
      <c r="D6227" s="22" t="str">
        <f>HYPERLINK("https://rhld.insurance.arkansas.gov/NPILookup?Npi=1770978199","1770978199")</f>
        <v>1770978199</v>
      </c>
      <c r="E6227" s="1" t="s">
        <v>10444</v>
      </c>
      <c r="F6227" s="2"/>
      <c r="G6227" s="2"/>
      <c r="H6227" s="2"/>
    </row>
    <row r="6228" spans="1:8" x14ac:dyDescent="0.25">
      <c r="A6228" s="1"/>
      <c r="B6228" s="1" t="s">
        <v>4202</v>
      </c>
      <c r="C6228" s="1" t="s">
        <v>4203</v>
      </c>
      <c r="D6228" s="22" t="str">
        <f>HYPERLINK("https://rhld.insurance.arkansas.gov/NPILookup?Npi=1780035139","1780035139")</f>
        <v>1780035139</v>
      </c>
      <c r="E6228" s="1" t="s">
        <v>17875</v>
      </c>
      <c r="F6228" s="2"/>
      <c r="G6228" s="2"/>
      <c r="H6228" s="2"/>
    </row>
    <row r="6229" spans="1:8" x14ac:dyDescent="0.25">
      <c r="A6229" s="1"/>
      <c r="B6229" s="1" t="s">
        <v>4202</v>
      </c>
      <c r="C6229" s="1" t="s">
        <v>4203</v>
      </c>
      <c r="D6229" s="22" t="str">
        <f>HYPERLINK("https://rhld.insurance.arkansas.gov/NPILookup?Npi=1780070052","1780070052")</f>
        <v>1780070052</v>
      </c>
      <c r="E6229" s="1" t="s">
        <v>4488</v>
      </c>
      <c r="F6229" s="2"/>
      <c r="G6229" s="2"/>
      <c r="H6229" s="2"/>
    </row>
    <row r="6230" spans="1:8" x14ac:dyDescent="0.25">
      <c r="A6230" s="1"/>
      <c r="B6230" s="1" t="s">
        <v>4202</v>
      </c>
      <c r="C6230" s="1" t="s">
        <v>4203</v>
      </c>
      <c r="D6230" s="22" t="str">
        <f>HYPERLINK("https://rhld.insurance.arkansas.gov/NPILookup?Npi=1780079780","1780079780")</f>
        <v>1780079780</v>
      </c>
      <c r="E6230" s="1" t="s">
        <v>17878</v>
      </c>
      <c r="F6230" s="2"/>
      <c r="G6230" s="2"/>
      <c r="H6230" s="2"/>
    </row>
    <row r="6231" spans="1:8" x14ac:dyDescent="0.25">
      <c r="A6231" s="1"/>
      <c r="B6231" s="1" t="s">
        <v>4202</v>
      </c>
      <c r="C6231" s="1" t="s">
        <v>4203</v>
      </c>
      <c r="D6231" s="22" t="str">
        <f>HYPERLINK("https://rhld.insurance.arkansas.gov/NPILookup?Npi=1780144691","1780144691")</f>
        <v>1780144691</v>
      </c>
      <c r="E6231" s="1" t="s">
        <v>4490</v>
      </c>
      <c r="F6231" s="2"/>
      <c r="G6231" s="2"/>
      <c r="H6231" s="2"/>
    </row>
    <row r="6232" spans="1:8" x14ac:dyDescent="0.25">
      <c r="A6232" s="1"/>
      <c r="B6232" s="1" t="s">
        <v>4202</v>
      </c>
      <c r="C6232" s="1" t="s">
        <v>4203</v>
      </c>
      <c r="D6232" s="22" t="str">
        <f>HYPERLINK("https://rhld.insurance.arkansas.gov/NPILookup?Npi=1780175257","1780175257")</f>
        <v>1780175257</v>
      </c>
      <c r="E6232" s="1" t="s">
        <v>17879</v>
      </c>
      <c r="F6232" s="2"/>
      <c r="G6232" s="2"/>
      <c r="H6232" s="2"/>
    </row>
    <row r="6233" spans="1:8" x14ac:dyDescent="0.25">
      <c r="A6233" s="1"/>
      <c r="B6233" s="1" t="s">
        <v>4202</v>
      </c>
      <c r="C6233" s="1" t="s">
        <v>4203</v>
      </c>
      <c r="D6233" s="22" t="str">
        <f>HYPERLINK("https://rhld.insurance.arkansas.gov/NPILookup?Npi=1780188987","1780188987")</f>
        <v>1780188987</v>
      </c>
      <c r="E6233" s="1" t="s">
        <v>4491</v>
      </c>
      <c r="F6233" s="2"/>
      <c r="G6233" s="2"/>
      <c r="H6233" s="2"/>
    </row>
    <row r="6234" spans="1:8" x14ac:dyDescent="0.25">
      <c r="A6234" s="1"/>
      <c r="B6234" s="1" t="s">
        <v>4202</v>
      </c>
      <c r="C6234" s="1" t="s">
        <v>4203</v>
      </c>
      <c r="D6234" s="22" t="str">
        <f>HYPERLINK("https://rhld.insurance.arkansas.gov/NPILookup?Npi=1780612481","1780612481")</f>
        <v>1780612481</v>
      </c>
      <c r="E6234" s="1" t="s">
        <v>4492</v>
      </c>
      <c r="F6234" s="2"/>
      <c r="G6234" s="2"/>
      <c r="H6234" s="2"/>
    </row>
    <row r="6235" spans="1:8" x14ac:dyDescent="0.25">
      <c r="A6235" s="1"/>
      <c r="B6235" s="1" t="s">
        <v>4202</v>
      </c>
      <c r="C6235" s="1" t="s">
        <v>4203</v>
      </c>
      <c r="D6235" s="22" t="str">
        <f>HYPERLINK("https://rhld.insurance.arkansas.gov/NPILookup?Npi=1780670463","1780670463")</f>
        <v>1780670463</v>
      </c>
      <c r="E6235" s="1" t="s">
        <v>4493</v>
      </c>
      <c r="F6235" s="2"/>
      <c r="G6235" s="2"/>
      <c r="H6235" s="2"/>
    </row>
    <row r="6236" spans="1:8" x14ac:dyDescent="0.25">
      <c r="A6236" s="1"/>
      <c r="B6236" s="1" t="s">
        <v>4202</v>
      </c>
      <c r="C6236" s="1" t="s">
        <v>4203</v>
      </c>
      <c r="D6236" s="22" t="str">
        <f>HYPERLINK("https://rhld.insurance.arkansas.gov/NPILookup?Npi=1780761833","1780761833")</f>
        <v>1780761833</v>
      </c>
      <c r="E6236" s="1" t="s">
        <v>4494</v>
      </c>
      <c r="F6236" s="2"/>
      <c r="G6236" s="2"/>
      <c r="H6236" s="2"/>
    </row>
    <row r="6237" spans="1:8" x14ac:dyDescent="0.25">
      <c r="A6237" s="1"/>
      <c r="B6237" s="1" t="s">
        <v>4202</v>
      </c>
      <c r="C6237" s="1" t="s">
        <v>4203</v>
      </c>
      <c r="D6237" s="22" t="str">
        <f>HYPERLINK("https://rhld.insurance.arkansas.gov/NPILookup?Npi=1780773689","1780773689")</f>
        <v>1780773689</v>
      </c>
      <c r="E6237" s="1" t="s">
        <v>17880</v>
      </c>
      <c r="F6237" s="2"/>
      <c r="G6237" s="2"/>
      <c r="H6237" s="2"/>
    </row>
    <row r="6238" spans="1:8" x14ac:dyDescent="0.25">
      <c r="A6238" s="1"/>
      <c r="B6238" s="1" t="s">
        <v>4202</v>
      </c>
      <c r="C6238" s="1" t="s">
        <v>4203</v>
      </c>
      <c r="D6238" s="22" t="str">
        <f>HYPERLINK("https://rhld.insurance.arkansas.gov/NPILookup?Npi=1780977009","1780977009")</f>
        <v>1780977009</v>
      </c>
      <c r="E6238" s="1" t="s">
        <v>772</v>
      </c>
      <c r="F6238" s="2"/>
      <c r="G6238" s="2"/>
      <c r="H6238" s="2"/>
    </row>
    <row r="6239" spans="1:8" x14ac:dyDescent="0.25">
      <c r="A6239" s="1"/>
      <c r="B6239" s="1" t="s">
        <v>4202</v>
      </c>
      <c r="C6239" s="1" t="s">
        <v>4203</v>
      </c>
      <c r="D6239" s="22" t="str">
        <f>HYPERLINK("https://rhld.insurance.arkansas.gov/NPILookup?Npi=1780996793","1780996793")</f>
        <v>1780996793</v>
      </c>
      <c r="E6239" s="1" t="s">
        <v>17882</v>
      </c>
      <c r="F6239" s="2"/>
      <c r="G6239" s="2"/>
      <c r="H6239" s="2"/>
    </row>
    <row r="6240" spans="1:8" x14ac:dyDescent="0.25">
      <c r="A6240" s="1"/>
      <c r="B6240" s="1" t="s">
        <v>4202</v>
      </c>
      <c r="C6240" s="1" t="s">
        <v>4203</v>
      </c>
      <c r="D6240" s="22" t="str">
        <f>HYPERLINK("https://rhld.insurance.arkansas.gov/NPILookup?Npi=1790147221","1790147221")</f>
        <v>1790147221</v>
      </c>
      <c r="E6240" s="1" t="s">
        <v>17883</v>
      </c>
      <c r="F6240" s="2"/>
      <c r="G6240" s="2"/>
      <c r="H6240" s="2"/>
    </row>
    <row r="6241" spans="1:8" x14ac:dyDescent="0.25">
      <c r="A6241" s="1"/>
      <c r="B6241" s="1" t="s">
        <v>4202</v>
      </c>
      <c r="C6241" s="1" t="s">
        <v>4203</v>
      </c>
      <c r="D6241" s="22" t="str">
        <f>HYPERLINK("https://rhld.insurance.arkansas.gov/NPILookup?Npi=1790158764","1790158764")</f>
        <v>1790158764</v>
      </c>
      <c r="E6241" s="1" t="s">
        <v>4496</v>
      </c>
      <c r="F6241" s="2"/>
      <c r="G6241" s="2"/>
      <c r="H6241" s="2"/>
    </row>
    <row r="6242" spans="1:8" x14ac:dyDescent="0.25">
      <c r="A6242" s="1"/>
      <c r="B6242" s="1" t="s">
        <v>4202</v>
      </c>
      <c r="C6242" s="1" t="s">
        <v>4203</v>
      </c>
      <c r="D6242" s="22" t="str">
        <f>HYPERLINK("https://rhld.insurance.arkansas.gov/NPILookup?Npi=1790179711","1790179711")</f>
        <v>1790179711</v>
      </c>
      <c r="E6242" s="1" t="s">
        <v>17884</v>
      </c>
      <c r="F6242" s="2"/>
      <c r="G6242" s="2"/>
      <c r="H6242" s="2"/>
    </row>
    <row r="6243" spans="1:8" x14ac:dyDescent="0.25">
      <c r="A6243" s="1"/>
      <c r="B6243" s="1" t="s">
        <v>4202</v>
      </c>
      <c r="C6243" s="1" t="s">
        <v>4203</v>
      </c>
      <c r="D6243" s="22" t="str">
        <f>HYPERLINK("https://rhld.insurance.arkansas.gov/NPILookup?Npi=1790210631","1790210631")</f>
        <v>1790210631</v>
      </c>
      <c r="E6243" s="1" t="s">
        <v>4497</v>
      </c>
      <c r="F6243" s="2"/>
      <c r="G6243" s="2"/>
      <c r="H6243" s="2"/>
    </row>
    <row r="6244" spans="1:8" x14ac:dyDescent="0.25">
      <c r="A6244" s="1"/>
      <c r="B6244" s="1" t="s">
        <v>4202</v>
      </c>
      <c r="C6244" s="1" t="s">
        <v>4203</v>
      </c>
      <c r="D6244" s="22" t="str">
        <f>HYPERLINK("https://rhld.insurance.arkansas.gov/NPILookup?Npi=1790305456","1790305456")</f>
        <v>1790305456</v>
      </c>
      <c r="E6244" s="1" t="s">
        <v>17886</v>
      </c>
      <c r="F6244" s="2"/>
      <c r="G6244" s="2"/>
      <c r="H6244" s="2"/>
    </row>
    <row r="6245" spans="1:8" x14ac:dyDescent="0.25">
      <c r="A6245" s="1"/>
      <c r="B6245" s="1" t="s">
        <v>4202</v>
      </c>
      <c r="C6245" s="1" t="s">
        <v>4203</v>
      </c>
      <c r="D6245" s="22" t="str">
        <f>HYPERLINK("https://rhld.insurance.arkansas.gov/NPILookup?Npi=1790709111","1790709111")</f>
        <v>1790709111</v>
      </c>
      <c r="E6245" s="1" t="s">
        <v>4498</v>
      </c>
      <c r="F6245" s="2"/>
      <c r="G6245" s="2"/>
      <c r="H6245" s="2"/>
    </row>
    <row r="6246" spans="1:8" x14ac:dyDescent="0.25">
      <c r="A6246" s="1"/>
      <c r="B6246" s="1" t="s">
        <v>4202</v>
      </c>
      <c r="C6246" s="1" t="s">
        <v>4203</v>
      </c>
      <c r="D6246" s="22" t="str">
        <f>HYPERLINK("https://rhld.insurance.arkansas.gov/NPILookup?Npi=1790714269","1790714269")</f>
        <v>1790714269</v>
      </c>
      <c r="E6246" s="1" t="s">
        <v>9860</v>
      </c>
      <c r="F6246" s="2"/>
      <c r="G6246" s="2"/>
      <c r="H6246" s="2"/>
    </row>
    <row r="6247" spans="1:8" x14ac:dyDescent="0.25">
      <c r="A6247" s="1"/>
      <c r="B6247" s="1" t="s">
        <v>4202</v>
      </c>
      <c r="C6247" s="1" t="s">
        <v>4203</v>
      </c>
      <c r="D6247" s="22" t="str">
        <f>HYPERLINK("https://rhld.insurance.arkansas.gov/NPILookup?Npi=1790723534","1790723534")</f>
        <v>1790723534</v>
      </c>
      <c r="E6247" s="1" t="s">
        <v>17887</v>
      </c>
      <c r="F6247" s="2"/>
      <c r="G6247" s="2"/>
      <c r="H6247" s="2"/>
    </row>
    <row r="6248" spans="1:8" x14ac:dyDescent="0.25">
      <c r="A6248" s="1"/>
      <c r="B6248" s="1" t="s">
        <v>4202</v>
      </c>
      <c r="C6248" s="1" t="s">
        <v>4203</v>
      </c>
      <c r="D6248" s="22" t="str">
        <f>HYPERLINK("https://rhld.insurance.arkansas.gov/NPILookup?Npi=1790725711","1790725711")</f>
        <v>1790725711</v>
      </c>
      <c r="E6248" s="1" t="s">
        <v>17888</v>
      </c>
      <c r="F6248" s="2"/>
      <c r="G6248" s="2"/>
      <c r="H6248" s="2"/>
    </row>
    <row r="6249" spans="1:8" x14ac:dyDescent="0.25">
      <c r="A6249" s="1"/>
      <c r="B6249" s="1" t="s">
        <v>4202</v>
      </c>
      <c r="C6249" s="1" t="s">
        <v>4203</v>
      </c>
      <c r="D6249" s="22" t="str">
        <f>HYPERLINK("https://rhld.insurance.arkansas.gov/NPILookup?Npi=1790754281","1790754281")</f>
        <v>1790754281</v>
      </c>
      <c r="E6249" s="1" t="s">
        <v>17890</v>
      </c>
      <c r="F6249" s="2"/>
      <c r="G6249" s="2"/>
      <c r="H6249" s="2"/>
    </row>
    <row r="6250" spans="1:8" x14ac:dyDescent="0.25">
      <c r="A6250" s="1"/>
      <c r="B6250" s="1" t="s">
        <v>4202</v>
      </c>
      <c r="C6250" s="1" t="s">
        <v>4203</v>
      </c>
      <c r="D6250" s="22" t="str">
        <f>HYPERLINK("https://rhld.insurance.arkansas.gov/NPILookup?Npi=1790769545","1790769545")</f>
        <v>1790769545</v>
      </c>
      <c r="E6250" s="1" t="s">
        <v>17891</v>
      </c>
      <c r="F6250" s="2"/>
      <c r="G6250" s="2"/>
      <c r="H6250" s="2"/>
    </row>
    <row r="6251" spans="1:8" x14ac:dyDescent="0.25">
      <c r="A6251" s="1"/>
      <c r="B6251" s="1" t="s">
        <v>4202</v>
      </c>
      <c r="C6251" s="1" t="s">
        <v>4203</v>
      </c>
      <c r="D6251" s="22" t="str">
        <f>HYPERLINK("https://rhld.insurance.arkansas.gov/NPILookup?Npi=1790774362","1790774362")</f>
        <v>1790774362</v>
      </c>
      <c r="E6251" s="1" t="s">
        <v>17892</v>
      </c>
      <c r="F6251" s="2"/>
      <c r="G6251" s="2"/>
      <c r="H6251" s="2"/>
    </row>
    <row r="6252" spans="1:8" x14ac:dyDescent="0.25">
      <c r="A6252" s="1"/>
      <c r="B6252" s="1" t="s">
        <v>4202</v>
      </c>
      <c r="C6252" s="1" t="s">
        <v>4203</v>
      </c>
      <c r="D6252" s="22" t="str">
        <f>HYPERLINK("https://rhld.insurance.arkansas.gov/NPILookup?Npi=1790841054","1790841054")</f>
        <v>1790841054</v>
      </c>
      <c r="E6252" s="1" t="s">
        <v>11938</v>
      </c>
      <c r="F6252" s="2"/>
      <c r="G6252" s="2"/>
      <c r="H6252" s="2"/>
    </row>
    <row r="6253" spans="1:8" x14ac:dyDescent="0.25">
      <c r="A6253" s="1"/>
      <c r="B6253" s="1" t="s">
        <v>4202</v>
      </c>
      <c r="C6253" s="1" t="s">
        <v>4203</v>
      </c>
      <c r="D6253" s="22" t="str">
        <f>HYPERLINK("https://rhld.insurance.arkansas.gov/NPILookup?Npi=1790894830","1790894830")</f>
        <v>1790894830</v>
      </c>
      <c r="E6253" s="1" t="s">
        <v>31462</v>
      </c>
      <c r="F6253" s="2"/>
      <c r="G6253" s="2"/>
      <c r="H6253" s="2"/>
    </row>
    <row r="6254" spans="1:8" x14ac:dyDescent="0.25">
      <c r="A6254" s="1"/>
      <c r="B6254" s="1" t="s">
        <v>4202</v>
      </c>
      <c r="C6254" s="1" t="s">
        <v>4203</v>
      </c>
      <c r="D6254" s="22" t="str">
        <f>HYPERLINK("https://rhld.insurance.arkansas.gov/NPILookup?Npi=1790911139","1790911139")</f>
        <v>1790911139</v>
      </c>
      <c r="E6254" s="1" t="s">
        <v>17893</v>
      </c>
      <c r="F6254" s="2"/>
      <c r="G6254" s="2"/>
      <c r="H6254" s="2"/>
    </row>
    <row r="6255" spans="1:8" x14ac:dyDescent="0.25">
      <c r="A6255" s="1"/>
      <c r="B6255" s="1" t="s">
        <v>4202</v>
      </c>
      <c r="C6255" s="1" t="s">
        <v>4203</v>
      </c>
      <c r="D6255" s="22" t="str">
        <f>HYPERLINK("https://rhld.insurance.arkansas.gov/NPILookup?Npi=1801015144","1801015144")</f>
        <v>1801015144</v>
      </c>
      <c r="E6255" s="1" t="s">
        <v>17894</v>
      </c>
      <c r="F6255" s="2"/>
      <c r="G6255" s="2"/>
      <c r="H6255" s="2"/>
    </row>
    <row r="6256" spans="1:8" x14ac:dyDescent="0.25">
      <c r="A6256" s="1"/>
      <c r="B6256" s="1" t="s">
        <v>4202</v>
      </c>
      <c r="C6256" s="1" t="s">
        <v>4203</v>
      </c>
      <c r="D6256" s="22" t="str">
        <f>HYPERLINK("https://rhld.insurance.arkansas.gov/NPILookup?Npi=1801021456","1801021456")</f>
        <v>1801021456</v>
      </c>
      <c r="E6256" s="1" t="s">
        <v>10446</v>
      </c>
      <c r="F6256" s="2"/>
      <c r="G6256" s="2"/>
      <c r="H6256" s="2"/>
    </row>
    <row r="6257" spans="1:8" x14ac:dyDescent="0.25">
      <c r="A6257" s="1"/>
      <c r="B6257" s="1" t="s">
        <v>4202</v>
      </c>
      <c r="C6257" s="1" t="s">
        <v>4203</v>
      </c>
      <c r="D6257" s="22" t="str">
        <f>HYPERLINK("https://rhld.insurance.arkansas.gov/NPILookup?Npi=1801029657","1801029657")</f>
        <v>1801029657</v>
      </c>
      <c r="E6257" s="1" t="s">
        <v>4499</v>
      </c>
      <c r="F6257" s="2"/>
      <c r="G6257" s="2"/>
      <c r="H6257" s="2"/>
    </row>
    <row r="6258" spans="1:8" x14ac:dyDescent="0.25">
      <c r="A6258" s="1"/>
      <c r="B6258" s="1" t="s">
        <v>4202</v>
      </c>
      <c r="C6258" s="1" t="s">
        <v>4203</v>
      </c>
      <c r="D6258" s="22" t="str">
        <f>HYPERLINK("https://rhld.insurance.arkansas.gov/NPILookup?Npi=1801057583","1801057583")</f>
        <v>1801057583</v>
      </c>
      <c r="E6258" s="1" t="s">
        <v>10447</v>
      </c>
      <c r="F6258" s="2"/>
      <c r="G6258" s="2"/>
      <c r="H6258" s="2"/>
    </row>
    <row r="6259" spans="1:8" x14ac:dyDescent="0.25">
      <c r="A6259" s="1"/>
      <c r="B6259" s="1" t="s">
        <v>4202</v>
      </c>
      <c r="C6259" s="1" t="s">
        <v>4203</v>
      </c>
      <c r="D6259" s="22" t="str">
        <f>HYPERLINK("https://rhld.insurance.arkansas.gov/NPILookup?Npi=1801154091","1801154091")</f>
        <v>1801154091</v>
      </c>
      <c r="E6259" s="1" t="s">
        <v>17895</v>
      </c>
      <c r="F6259" s="2"/>
      <c r="G6259" s="2"/>
      <c r="H6259" s="2"/>
    </row>
    <row r="6260" spans="1:8" x14ac:dyDescent="0.25">
      <c r="A6260" s="1"/>
      <c r="B6260" s="1" t="s">
        <v>4202</v>
      </c>
      <c r="C6260" s="1" t="s">
        <v>4203</v>
      </c>
      <c r="D6260" s="22" t="str">
        <f>HYPERLINK("https://rhld.insurance.arkansas.gov/NPILookup?Npi=1801250501","1801250501")</f>
        <v>1801250501</v>
      </c>
      <c r="E6260" s="1" t="s">
        <v>4500</v>
      </c>
      <c r="F6260" s="2"/>
      <c r="G6260" s="2"/>
      <c r="H6260" s="2"/>
    </row>
    <row r="6261" spans="1:8" x14ac:dyDescent="0.25">
      <c r="A6261" s="1"/>
      <c r="B6261" s="1" t="s">
        <v>4202</v>
      </c>
      <c r="C6261" s="1" t="s">
        <v>4203</v>
      </c>
      <c r="D6261" s="22" t="str">
        <f>HYPERLINK("https://rhld.insurance.arkansas.gov/NPILookup?Npi=1801250865","1801250865")</f>
        <v>1801250865</v>
      </c>
      <c r="E6261" s="1" t="s">
        <v>17897</v>
      </c>
      <c r="F6261" s="2"/>
      <c r="G6261" s="2"/>
      <c r="H6261" s="2"/>
    </row>
    <row r="6262" spans="1:8" x14ac:dyDescent="0.25">
      <c r="A6262" s="1"/>
      <c r="B6262" s="1" t="s">
        <v>4202</v>
      </c>
      <c r="C6262" s="1" t="s">
        <v>4203</v>
      </c>
      <c r="D6262" s="22" t="str">
        <f>HYPERLINK("https://rhld.insurance.arkansas.gov/NPILookup?Npi=1801317631","1801317631")</f>
        <v>1801317631</v>
      </c>
      <c r="E6262" s="1" t="s">
        <v>17898</v>
      </c>
      <c r="F6262" s="2"/>
      <c r="G6262" s="2"/>
      <c r="H6262" s="2"/>
    </row>
    <row r="6263" spans="1:8" x14ac:dyDescent="0.25">
      <c r="A6263" s="1"/>
      <c r="B6263" s="1" t="s">
        <v>4202</v>
      </c>
      <c r="C6263" s="1" t="s">
        <v>4203</v>
      </c>
      <c r="D6263" s="22" t="str">
        <f>HYPERLINK("https://rhld.insurance.arkansas.gov/NPILookup?Npi=1801478094","1801478094")</f>
        <v>1801478094</v>
      </c>
      <c r="E6263" s="1" t="s">
        <v>31463</v>
      </c>
      <c r="F6263" s="2"/>
      <c r="G6263" s="2"/>
      <c r="H6263" s="2"/>
    </row>
    <row r="6264" spans="1:8" x14ac:dyDescent="0.25">
      <c r="A6264" s="1"/>
      <c r="B6264" s="1" t="s">
        <v>4202</v>
      </c>
      <c r="C6264" s="1" t="s">
        <v>4203</v>
      </c>
      <c r="D6264" s="22" t="str">
        <f>HYPERLINK("https://rhld.insurance.arkansas.gov/NPILookup?Npi=1801813985","1801813985")</f>
        <v>1801813985</v>
      </c>
      <c r="E6264" s="1" t="s">
        <v>10449</v>
      </c>
      <c r="F6264" s="2"/>
      <c r="G6264" s="2"/>
      <c r="H6264" s="2"/>
    </row>
    <row r="6265" spans="1:8" x14ac:dyDescent="0.25">
      <c r="A6265" s="1"/>
      <c r="B6265" s="1" t="s">
        <v>4202</v>
      </c>
      <c r="C6265" s="1" t="s">
        <v>4203</v>
      </c>
      <c r="D6265" s="22" t="str">
        <f>HYPERLINK("https://rhld.insurance.arkansas.gov/NPILookup?Npi=1801834494","1801834494")</f>
        <v>1801834494</v>
      </c>
      <c r="E6265" s="1" t="s">
        <v>17899</v>
      </c>
      <c r="F6265" s="2"/>
      <c r="G6265" s="2"/>
      <c r="H6265" s="2"/>
    </row>
    <row r="6266" spans="1:8" x14ac:dyDescent="0.25">
      <c r="A6266" s="1"/>
      <c r="B6266" s="1" t="s">
        <v>4202</v>
      </c>
      <c r="C6266" s="1" t="s">
        <v>4203</v>
      </c>
      <c r="D6266" s="22" t="str">
        <f>HYPERLINK("https://rhld.insurance.arkansas.gov/NPILookup?Npi=1801870324","1801870324")</f>
        <v>1801870324</v>
      </c>
      <c r="E6266" s="1" t="s">
        <v>4501</v>
      </c>
      <c r="F6266" s="2"/>
      <c r="G6266" s="2"/>
      <c r="H6266" s="2"/>
    </row>
    <row r="6267" spans="1:8" x14ac:dyDescent="0.25">
      <c r="A6267" s="1"/>
      <c r="B6267" s="1" t="s">
        <v>4202</v>
      </c>
      <c r="C6267" s="1" t="s">
        <v>4203</v>
      </c>
      <c r="D6267" s="22" t="str">
        <f>HYPERLINK("https://rhld.insurance.arkansas.gov/NPILookup?Npi=1801872197","1801872197")</f>
        <v>1801872197</v>
      </c>
      <c r="E6267" s="1" t="s">
        <v>10450</v>
      </c>
      <c r="F6267" s="2"/>
      <c r="G6267" s="2"/>
      <c r="H6267" s="2"/>
    </row>
    <row r="6268" spans="1:8" x14ac:dyDescent="0.25">
      <c r="A6268" s="1"/>
      <c r="B6268" s="1" t="s">
        <v>4202</v>
      </c>
      <c r="C6268" s="1" t="s">
        <v>4203</v>
      </c>
      <c r="D6268" s="22" t="str">
        <f>HYPERLINK("https://rhld.insurance.arkansas.gov/NPILookup?Npi=1801874698","1801874698")</f>
        <v>1801874698</v>
      </c>
      <c r="E6268" s="1" t="s">
        <v>17900</v>
      </c>
      <c r="F6268" s="2"/>
      <c r="G6268" s="2"/>
      <c r="H6268" s="2"/>
    </row>
    <row r="6269" spans="1:8" x14ac:dyDescent="0.25">
      <c r="A6269" s="1"/>
      <c r="B6269" s="1" t="s">
        <v>4202</v>
      </c>
      <c r="C6269" s="1" t="s">
        <v>4203</v>
      </c>
      <c r="D6269" s="22" t="str">
        <f>HYPERLINK("https://rhld.insurance.arkansas.gov/NPILookup?Npi=1801891387","1801891387")</f>
        <v>1801891387</v>
      </c>
      <c r="E6269" s="1" t="s">
        <v>10451</v>
      </c>
      <c r="F6269" s="2"/>
      <c r="G6269" s="2"/>
      <c r="H6269" s="2"/>
    </row>
    <row r="6270" spans="1:8" x14ac:dyDescent="0.25">
      <c r="A6270" s="1"/>
      <c r="B6270" s="1" t="s">
        <v>4202</v>
      </c>
      <c r="C6270" s="1" t="s">
        <v>4203</v>
      </c>
      <c r="D6270" s="22" t="str">
        <f>HYPERLINK("https://rhld.insurance.arkansas.gov/NPILookup?Npi=1801958145","1801958145")</f>
        <v>1801958145</v>
      </c>
      <c r="E6270" s="1" t="s">
        <v>17901</v>
      </c>
      <c r="F6270" s="2"/>
      <c r="G6270" s="2"/>
      <c r="H6270" s="2"/>
    </row>
    <row r="6271" spans="1:8" x14ac:dyDescent="0.25">
      <c r="A6271" s="1"/>
      <c r="B6271" s="1" t="s">
        <v>4202</v>
      </c>
      <c r="C6271" s="1" t="s">
        <v>4203</v>
      </c>
      <c r="D6271" s="22" t="str">
        <f>HYPERLINK("https://rhld.insurance.arkansas.gov/NPILookup?Npi=1801981790","1801981790")</f>
        <v>1801981790</v>
      </c>
      <c r="E6271" s="1" t="s">
        <v>17902</v>
      </c>
      <c r="F6271" s="2"/>
      <c r="G6271" s="2"/>
      <c r="H6271" s="2"/>
    </row>
    <row r="6272" spans="1:8" x14ac:dyDescent="0.25">
      <c r="A6272" s="1"/>
      <c r="B6272" s="1" t="s">
        <v>4202</v>
      </c>
      <c r="C6272" s="1" t="s">
        <v>4203</v>
      </c>
      <c r="D6272" s="22" t="str">
        <f>HYPERLINK("https://rhld.insurance.arkansas.gov/NPILookup?Npi=1811001282","1811001282")</f>
        <v>1811001282</v>
      </c>
      <c r="E6272" s="1" t="s">
        <v>16979</v>
      </c>
      <c r="F6272" s="2"/>
      <c r="G6272" s="2"/>
      <c r="H6272" s="2"/>
    </row>
    <row r="6273" spans="1:8" x14ac:dyDescent="0.25">
      <c r="A6273" s="1"/>
      <c r="B6273" s="1" t="s">
        <v>4202</v>
      </c>
      <c r="C6273" s="1" t="s">
        <v>4203</v>
      </c>
      <c r="D6273" s="22" t="str">
        <f>HYPERLINK("https://rhld.insurance.arkansas.gov/NPILookup?Npi=1811061450","1811061450")</f>
        <v>1811061450</v>
      </c>
      <c r="E6273" s="1" t="s">
        <v>17903</v>
      </c>
      <c r="F6273" s="2"/>
      <c r="G6273" s="2"/>
      <c r="H6273" s="2"/>
    </row>
    <row r="6274" spans="1:8" x14ac:dyDescent="0.25">
      <c r="A6274" s="1"/>
      <c r="B6274" s="1" t="s">
        <v>4202</v>
      </c>
      <c r="C6274" s="1" t="s">
        <v>4203</v>
      </c>
      <c r="D6274" s="22" t="str">
        <f>HYPERLINK("https://rhld.insurance.arkansas.gov/NPILookup?Npi=1811152416","1811152416")</f>
        <v>1811152416</v>
      </c>
      <c r="E6274" s="1" t="s">
        <v>17904</v>
      </c>
      <c r="F6274" s="2"/>
      <c r="G6274" s="2"/>
      <c r="H6274" s="2"/>
    </row>
    <row r="6275" spans="1:8" x14ac:dyDescent="0.25">
      <c r="A6275" s="1"/>
      <c r="B6275" s="1" t="s">
        <v>4202</v>
      </c>
      <c r="C6275" s="1" t="s">
        <v>4203</v>
      </c>
      <c r="D6275" s="22" t="str">
        <f>HYPERLINK("https://rhld.insurance.arkansas.gov/NPILookup?Npi=1811190796","1811190796")</f>
        <v>1811190796</v>
      </c>
      <c r="E6275" s="1" t="s">
        <v>10453</v>
      </c>
      <c r="F6275" s="2"/>
      <c r="G6275" s="2"/>
      <c r="H6275" s="2"/>
    </row>
    <row r="6276" spans="1:8" x14ac:dyDescent="0.25">
      <c r="A6276" s="1"/>
      <c r="B6276" s="1" t="s">
        <v>4202</v>
      </c>
      <c r="C6276" s="1" t="s">
        <v>4203</v>
      </c>
      <c r="D6276" s="22" t="str">
        <f>HYPERLINK("https://rhld.insurance.arkansas.gov/NPILookup?Npi=1811198039","1811198039")</f>
        <v>1811198039</v>
      </c>
      <c r="E6276" s="1" t="s">
        <v>2076</v>
      </c>
      <c r="F6276" s="2"/>
      <c r="G6276" s="2"/>
      <c r="H6276" s="2"/>
    </row>
    <row r="6277" spans="1:8" x14ac:dyDescent="0.25">
      <c r="A6277" s="1"/>
      <c r="B6277" s="1" t="s">
        <v>4202</v>
      </c>
      <c r="C6277" s="1" t="s">
        <v>4203</v>
      </c>
      <c r="D6277" s="22" t="str">
        <f>HYPERLINK("https://rhld.insurance.arkansas.gov/NPILookup?Npi=1811429772","1811429772")</f>
        <v>1811429772</v>
      </c>
      <c r="E6277" s="1" t="s">
        <v>10454</v>
      </c>
      <c r="F6277" s="2"/>
      <c r="G6277" s="2"/>
      <c r="H6277" s="2"/>
    </row>
    <row r="6278" spans="1:8" x14ac:dyDescent="0.25">
      <c r="A6278" s="1"/>
      <c r="B6278" s="1" t="s">
        <v>4202</v>
      </c>
      <c r="C6278" s="1" t="s">
        <v>4203</v>
      </c>
      <c r="D6278" s="22" t="str">
        <f>HYPERLINK("https://rhld.insurance.arkansas.gov/NPILookup?Npi=1811450356","1811450356")</f>
        <v>1811450356</v>
      </c>
      <c r="E6278" s="1" t="s">
        <v>4503</v>
      </c>
      <c r="F6278" s="2"/>
      <c r="G6278" s="2"/>
      <c r="H6278" s="2"/>
    </row>
    <row r="6279" spans="1:8" x14ac:dyDescent="0.25">
      <c r="A6279" s="1"/>
      <c r="B6279" s="1" t="s">
        <v>4202</v>
      </c>
      <c r="C6279" s="1" t="s">
        <v>4203</v>
      </c>
      <c r="D6279" s="22" t="str">
        <f>HYPERLINK("https://rhld.insurance.arkansas.gov/NPILookup?Npi=1811491012","1811491012")</f>
        <v>1811491012</v>
      </c>
      <c r="E6279" s="1" t="s">
        <v>17905</v>
      </c>
      <c r="F6279" s="2"/>
      <c r="G6279" s="2"/>
      <c r="H6279" s="2"/>
    </row>
    <row r="6280" spans="1:8" x14ac:dyDescent="0.25">
      <c r="A6280" s="1"/>
      <c r="B6280" s="1" t="s">
        <v>4202</v>
      </c>
      <c r="C6280" s="1" t="s">
        <v>4203</v>
      </c>
      <c r="D6280" s="22" t="str">
        <f>HYPERLINK("https://rhld.insurance.arkansas.gov/NPILookup?Npi=1811954134","1811954134")</f>
        <v>1811954134</v>
      </c>
      <c r="E6280" s="1" t="s">
        <v>17909</v>
      </c>
      <c r="F6280" s="2"/>
      <c r="G6280" s="2"/>
      <c r="H6280" s="2"/>
    </row>
    <row r="6281" spans="1:8" x14ac:dyDescent="0.25">
      <c r="A6281" s="1"/>
      <c r="B6281" s="1" t="s">
        <v>4202</v>
      </c>
      <c r="C6281" s="1" t="s">
        <v>4203</v>
      </c>
      <c r="D6281" s="22" t="str">
        <f>HYPERLINK("https://rhld.insurance.arkansas.gov/NPILookup?Npi=1811960255","1811960255")</f>
        <v>1811960255</v>
      </c>
      <c r="E6281" s="1" t="s">
        <v>17910</v>
      </c>
      <c r="F6281" s="2"/>
      <c r="G6281" s="2"/>
      <c r="H6281" s="2"/>
    </row>
    <row r="6282" spans="1:8" x14ac:dyDescent="0.25">
      <c r="A6282" s="1"/>
      <c r="B6282" s="1" t="s">
        <v>4202</v>
      </c>
      <c r="C6282" s="1" t="s">
        <v>4203</v>
      </c>
      <c r="D6282" s="22" t="str">
        <f>HYPERLINK("https://rhld.insurance.arkansas.gov/NPILookup?Npi=1811976509","1811976509")</f>
        <v>1811976509</v>
      </c>
      <c r="E6282" s="1" t="s">
        <v>2078</v>
      </c>
      <c r="F6282" s="2"/>
      <c r="G6282" s="2"/>
      <c r="H6282" s="2"/>
    </row>
    <row r="6283" spans="1:8" x14ac:dyDescent="0.25">
      <c r="A6283" s="1"/>
      <c r="B6283" s="1" t="s">
        <v>4202</v>
      </c>
      <c r="C6283" s="1" t="s">
        <v>4203</v>
      </c>
      <c r="D6283" s="22" t="str">
        <f>HYPERLINK("https://rhld.insurance.arkansas.gov/NPILookup?Npi=1811985831","1811985831")</f>
        <v>1811985831</v>
      </c>
      <c r="E6283" s="1" t="s">
        <v>17911</v>
      </c>
      <c r="F6283" s="2"/>
      <c r="G6283" s="2"/>
      <c r="H6283" s="2"/>
    </row>
    <row r="6284" spans="1:8" x14ac:dyDescent="0.25">
      <c r="A6284" s="1"/>
      <c r="B6284" s="1" t="s">
        <v>4202</v>
      </c>
      <c r="C6284" s="1" t="s">
        <v>4203</v>
      </c>
      <c r="D6284" s="22" t="str">
        <f>HYPERLINK("https://rhld.insurance.arkansas.gov/NPILookup?Npi=1811998453","1811998453")</f>
        <v>1811998453</v>
      </c>
      <c r="E6284" s="1" t="s">
        <v>10455</v>
      </c>
      <c r="F6284" s="2"/>
      <c r="G6284" s="2"/>
      <c r="H6284" s="2"/>
    </row>
    <row r="6285" spans="1:8" x14ac:dyDescent="0.25">
      <c r="A6285" s="1"/>
      <c r="B6285" s="1" t="s">
        <v>4202</v>
      </c>
      <c r="C6285" s="1" t="s">
        <v>4203</v>
      </c>
      <c r="D6285" s="22" t="str">
        <f>HYPERLINK("https://rhld.insurance.arkansas.gov/NPILookup?Npi=1821016361","1821016361")</f>
        <v>1821016361</v>
      </c>
      <c r="E6285" s="1" t="s">
        <v>31464</v>
      </c>
      <c r="F6285" s="2"/>
      <c r="G6285" s="2"/>
      <c r="H6285" s="2"/>
    </row>
    <row r="6286" spans="1:8" x14ac:dyDescent="0.25">
      <c r="A6286" s="1"/>
      <c r="B6286" s="1" t="s">
        <v>4202</v>
      </c>
      <c r="C6286" s="1" t="s">
        <v>4203</v>
      </c>
      <c r="D6286" s="22" t="str">
        <f>HYPERLINK("https://rhld.insurance.arkansas.gov/NPILookup?Npi=1821024803","1821024803")</f>
        <v>1821024803</v>
      </c>
      <c r="E6286" s="1" t="s">
        <v>31465</v>
      </c>
      <c r="F6286" s="2"/>
      <c r="G6286" s="2"/>
      <c r="H6286" s="2"/>
    </row>
    <row r="6287" spans="1:8" x14ac:dyDescent="0.25">
      <c r="A6287" s="1"/>
      <c r="B6287" s="1" t="s">
        <v>4202</v>
      </c>
      <c r="C6287" s="1" t="s">
        <v>4203</v>
      </c>
      <c r="D6287" s="22" t="str">
        <f>HYPERLINK("https://rhld.insurance.arkansas.gov/NPILookup?Npi=1821036336","1821036336")</f>
        <v>1821036336</v>
      </c>
      <c r="E6287" s="1" t="s">
        <v>10456</v>
      </c>
      <c r="F6287" s="2"/>
      <c r="G6287" s="2"/>
      <c r="H6287" s="2"/>
    </row>
    <row r="6288" spans="1:8" x14ac:dyDescent="0.25">
      <c r="A6288" s="1"/>
      <c r="B6288" s="1" t="s">
        <v>4202</v>
      </c>
      <c r="C6288" s="1" t="s">
        <v>4203</v>
      </c>
      <c r="D6288" s="22" t="str">
        <f>HYPERLINK("https://rhld.insurance.arkansas.gov/NPILookup?Npi=1821050683","1821050683")</f>
        <v>1821050683</v>
      </c>
      <c r="E6288" s="1" t="s">
        <v>17912</v>
      </c>
      <c r="F6288" s="2"/>
      <c r="G6288" s="2"/>
      <c r="H6288" s="2"/>
    </row>
    <row r="6289" spans="1:8" x14ac:dyDescent="0.25">
      <c r="A6289" s="1"/>
      <c r="B6289" s="1" t="s">
        <v>4202</v>
      </c>
      <c r="C6289" s="1" t="s">
        <v>4203</v>
      </c>
      <c r="D6289" s="22" t="str">
        <f>HYPERLINK("https://rhld.insurance.arkansas.gov/NPILookup?Npi=1821054651","1821054651")</f>
        <v>1821054651</v>
      </c>
      <c r="E6289" s="1" t="s">
        <v>17913</v>
      </c>
      <c r="F6289" s="2"/>
      <c r="G6289" s="2"/>
      <c r="H6289" s="2"/>
    </row>
    <row r="6290" spans="1:8" x14ac:dyDescent="0.25">
      <c r="A6290" s="1"/>
      <c r="B6290" s="1" t="s">
        <v>4202</v>
      </c>
      <c r="C6290" s="1" t="s">
        <v>4203</v>
      </c>
      <c r="D6290" s="22" t="str">
        <f>HYPERLINK("https://rhld.insurance.arkansas.gov/NPILookup?Npi=1821084500","1821084500")</f>
        <v>1821084500</v>
      </c>
      <c r="E6290" s="1" t="s">
        <v>10457</v>
      </c>
      <c r="F6290" s="2"/>
      <c r="G6290" s="2"/>
      <c r="H6290" s="2"/>
    </row>
    <row r="6291" spans="1:8" x14ac:dyDescent="0.25">
      <c r="A6291" s="1"/>
      <c r="B6291" s="1" t="s">
        <v>4202</v>
      </c>
      <c r="C6291" s="1" t="s">
        <v>4203</v>
      </c>
      <c r="D6291" s="22" t="str">
        <f>HYPERLINK("https://rhld.insurance.arkansas.gov/NPILookup?Npi=1821085648","1821085648")</f>
        <v>1821085648</v>
      </c>
      <c r="E6291" s="1" t="s">
        <v>3040</v>
      </c>
      <c r="F6291" s="2"/>
      <c r="G6291" s="2"/>
      <c r="H6291" s="2"/>
    </row>
    <row r="6292" spans="1:8" x14ac:dyDescent="0.25">
      <c r="A6292" s="1"/>
      <c r="B6292" s="1" t="s">
        <v>4202</v>
      </c>
      <c r="C6292" s="1" t="s">
        <v>4203</v>
      </c>
      <c r="D6292" s="22" t="str">
        <f>HYPERLINK("https://rhld.insurance.arkansas.gov/NPILookup?Npi=1821092214","1821092214")</f>
        <v>1821092214</v>
      </c>
      <c r="E6292" s="1" t="s">
        <v>4504</v>
      </c>
      <c r="F6292" s="2"/>
      <c r="G6292" s="2"/>
      <c r="H6292" s="2"/>
    </row>
    <row r="6293" spans="1:8" x14ac:dyDescent="0.25">
      <c r="A6293" s="1"/>
      <c r="B6293" s="1" t="s">
        <v>4202</v>
      </c>
      <c r="C6293" s="1" t="s">
        <v>4203</v>
      </c>
      <c r="D6293" s="22" t="str">
        <f>HYPERLINK("https://rhld.insurance.arkansas.gov/NPILookup?Npi=1821099839","1821099839")</f>
        <v>1821099839</v>
      </c>
      <c r="E6293" s="1" t="s">
        <v>4505</v>
      </c>
      <c r="F6293" s="2"/>
      <c r="G6293" s="2"/>
      <c r="H6293" s="2"/>
    </row>
    <row r="6294" spans="1:8" x14ac:dyDescent="0.25">
      <c r="A6294" s="1"/>
      <c r="B6294" s="1" t="s">
        <v>4202</v>
      </c>
      <c r="C6294" s="1" t="s">
        <v>4203</v>
      </c>
      <c r="D6294" s="22" t="str">
        <f>HYPERLINK("https://rhld.insurance.arkansas.gov/NPILookup?Npi=1821223595","1821223595")</f>
        <v>1821223595</v>
      </c>
      <c r="E6294" s="1" t="s">
        <v>31466</v>
      </c>
      <c r="F6294" s="2"/>
      <c r="G6294" s="2"/>
      <c r="H6294" s="2"/>
    </row>
    <row r="6295" spans="1:8" x14ac:dyDescent="0.25">
      <c r="A6295" s="1"/>
      <c r="B6295" s="1" t="s">
        <v>4202</v>
      </c>
      <c r="C6295" s="1" t="s">
        <v>4203</v>
      </c>
      <c r="D6295" s="22" t="str">
        <f>HYPERLINK("https://rhld.insurance.arkansas.gov/NPILookup?Npi=1821257049","1821257049")</f>
        <v>1821257049</v>
      </c>
      <c r="E6295" s="1" t="s">
        <v>17915</v>
      </c>
      <c r="F6295" s="2"/>
      <c r="G6295" s="2"/>
      <c r="H6295" s="2"/>
    </row>
    <row r="6296" spans="1:8" x14ac:dyDescent="0.25">
      <c r="A6296" s="1"/>
      <c r="B6296" s="1" t="s">
        <v>4202</v>
      </c>
      <c r="C6296" s="1" t="s">
        <v>4203</v>
      </c>
      <c r="D6296" s="22" t="str">
        <f>HYPERLINK("https://rhld.insurance.arkansas.gov/NPILookup?Npi=1821403064","1821403064")</f>
        <v>1821403064</v>
      </c>
      <c r="E6296" s="1" t="s">
        <v>17916</v>
      </c>
      <c r="F6296" s="2"/>
      <c r="G6296" s="2"/>
      <c r="H6296" s="2"/>
    </row>
    <row r="6297" spans="1:8" x14ac:dyDescent="0.25">
      <c r="A6297" s="1"/>
      <c r="B6297" s="1" t="s">
        <v>4202</v>
      </c>
      <c r="C6297" s="1" t="s">
        <v>4203</v>
      </c>
      <c r="D6297" s="22" t="str">
        <f>HYPERLINK("https://rhld.insurance.arkansas.gov/NPILookup?Npi=1821408451","1821408451")</f>
        <v>1821408451</v>
      </c>
      <c r="E6297" s="1" t="s">
        <v>10458</v>
      </c>
      <c r="F6297" s="2"/>
      <c r="G6297" s="2"/>
      <c r="H6297" s="2"/>
    </row>
    <row r="6298" spans="1:8" x14ac:dyDescent="0.25">
      <c r="A6298" s="1"/>
      <c r="B6298" s="1" t="s">
        <v>4202</v>
      </c>
      <c r="C6298" s="1" t="s">
        <v>4203</v>
      </c>
      <c r="D6298" s="22" t="str">
        <f>HYPERLINK("https://rhld.insurance.arkansas.gov/NPILookup?Npi=1821435439","1821435439")</f>
        <v>1821435439</v>
      </c>
      <c r="E6298" s="1" t="s">
        <v>17917</v>
      </c>
      <c r="F6298" s="2"/>
      <c r="G6298" s="2"/>
      <c r="H6298" s="2"/>
    </row>
    <row r="6299" spans="1:8" x14ac:dyDescent="0.25">
      <c r="A6299" s="1"/>
      <c r="B6299" s="1" t="s">
        <v>4202</v>
      </c>
      <c r="C6299" s="1" t="s">
        <v>4203</v>
      </c>
      <c r="D6299" s="22" t="str">
        <f>HYPERLINK("https://rhld.insurance.arkansas.gov/NPILookup?Npi=1821475948","1821475948")</f>
        <v>1821475948</v>
      </c>
      <c r="E6299" s="1" t="s">
        <v>3770</v>
      </c>
      <c r="F6299" s="2"/>
      <c r="G6299" s="2"/>
      <c r="H6299" s="2"/>
    </row>
    <row r="6300" spans="1:8" x14ac:dyDescent="0.25">
      <c r="A6300" s="1"/>
      <c r="B6300" s="1" t="s">
        <v>4202</v>
      </c>
      <c r="C6300" s="1" t="s">
        <v>4203</v>
      </c>
      <c r="D6300" s="22" t="str">
        <f>HYPERLINK("https://rhld.insurance.arkansas.gov/NPILookup?Npi=1821478611","1821478611")</f>
        <v>1821478611</v>
      </c>
      <c r="E6300" s="1" t="s">
        <v>17919</v>
      </c>
      <c r="F6300" s="2"/>
      <c r="G6300" s="2"/>
      <c r="H6300" s="2"/>
    </row>
    <row r="6301" spans="1:8" x14ac:dyDescent="0.25">
      <c r="A6301" s="1"/>
      <c r="B6301" s="1" t="s">
        <v>4202</v>
      </c>
      <c r="C6301" s="1" t="s">
        <v>4203</v>
      </c>
      <c r="D6301" s="22" t="str">
        <f>HYPERLINK("https://rhld.insurance.arkansas.gov/NPILookup?Npi=1821487455","1821487455")</f>
        <v>1821487455</v>
      </c>
      <c r="E6301" s="1" t="s">
        <v>10459</v>
      </c>
      <c r="F6301" s="2"/>
      <c r="G6301" s="2"/>
      <c r="H6301" s="2"/>
    </row>
    <row r="6302" spans="1:8" x14ac:dyDescent="0.25">
      <c r="A6302" s="1"/>
      <c r="B6302" s="1" t="s">
        <v>4202</v>
      </c>
      <c r="C6302" s="1" t="s">
        <v>4203</v>
      </c>
      <c r="D6302" s="22" t="str">
        <f>HYPERLINK("https://rhld.insurance.arkansas.gov/NPILookup?Npi=1821529298","1821529298")</f>
        <v>1821529298</v>
      </c>
      <c r="E6302" s="1" t="s">
        <v>17920</v>
      </c>
      <c r="F6302" s="2"/>
      <c r="G6302" s="2"/>
      <c r="H6302" s="2"/>
    </row>
    <row r="6303" spans="1:8" x14ac:dyDescent="0.25">
      <c r="A6303" s="1"/>
      <c r="B6303" s="1" t="s">
        <v>4202</v>
      </c>
      <c r="C6303" s="1" t="s">
        <v>4203</v>
      </c>
      <c r="D6303" s="22" t="str">
        <f>HYPERLINK("https://rhld.insurance.arkansas.gov/NPILookup?Npi=1831105683","1831105683")</f>
        <v>1831105683</v>
      </c>
      <c r="E6303" s="1" t="s">
        <v>213</v>
      </c>
      <c r="F6303" s="2"/>
      <c r="G6303" s="2"/>
      <c r="H6303" s="2"/>
    </row>
    <row r="6304" spans="1:8" x14ac:dyDescent="0.25">
      <c r="A6304" s="1"/>
      <c r="B6304" s="1" t="s">
        <v>4202</v>
      </c>
      <c r="C6304" s="1" t="s">
        <v>4203</v>
      </c>
      <c r="D6304" s="22" t="str">
        <f>HYPERLINK("https://rhld.insurance.arkansas.gov/NPILookup?Npi=1831149764","1831149764")</f>
        <v>1831149764</v>
      </c>
      <c r="E6304" s="1" t="s">
        <v>17921</v>
      </c>
      <c r="F6304" s="2"/>
      <c r="G6304" s="2"/>
      <c r="H6304" s="2"/>
    </row>
    <row r="6305" spans="1:8" x14ac:dyDescent="0.25">
      <c r="A6305" s="1"/>
      <c r="B6305" s="1" t="s">
        <v>4202</v>
      </c>
      <c r="C6305" s="1" t="s">
        <v>4203</v>
      </c>
      <c r="D6305" s="22" t="str">
        <f>HYPERLINK("https://rhld.insurance.arkansas.gov/NPILookup?Npi=1831176130","1831176130")</f>
        <v>1831176130</v>
      </c>
      <c r="E6305" s="1" t="s">
        <v>10460</v>
      </c>
      <c r="F6305" s="2"/>
      <c r="G6305" s="2"/>
      <c r="H6305" s="2"/>
    </row>
    <row r="6306" spans="1:8" x14ac:dyDescent="0.25">
      <c r="A6306" s="1"/>
      <c r="B6306" s="1" t="s">
        <v>4202</v>
      </c>
      <c r="C6306" s="1" t="s">
        <v>4203</v>
      </c>
      <c r="D6306" s="22" t="str">
        <f>HYPERLINK("https://rhld.insurance.arkansas.gov/NPILookup?Npi=1831184068","1831184068")</f>
        <v>1831184068</v>
      </c>
      <c r="E6306" s="1" t="s">
        <v>17923</v>
      </c>
      <c r="F6306" s="2"/>
      <c r="G6306" s="2"/>
      <c r="H6306" s="2"/>
    </row>
    <row r="6307" spans="1:8" x14ac:dyDescent="0.25">
      <c r="A6307" s="1"/>
      <c r="B6307" s="1" t="s">
        <v>4202</v>
      </c>
      <c r="C6307" s="1" t="s">
        <v>4203</v>
      </c>
      <c r="D6307" s="22" t="str">
        <f>HYPERLINK("https://rhld.insurance.arkansas.gov/NPILookup?Npi=1831203157","1831203157")</f>
        <v>1831203157</v>
      </c>
      <c r="E6307" s="1" t="s">
        <v>2083</v>
      </c>
      <c r="F6307" s="2"/>
      <c r="G6307" s="2"/>
      <c r="H6307" s="2"/>
    </row>
    <row r="6308" spans="1:8" x14ac:dyDescent="0.25">
      <c r="A6308" s="1"/>
      <c r="B6308" s="1" t="s">
        <v>4202</v>
      </c>
      <c r="C6308" s="1" t="s">
        <v>4203</v>
      </c>
      <c r="D6308" s="22" t="str">
        <f>HYPERLINK("https://rhld.insurance.arkansas.gov/NPILookup?Npi=1831359082","1831359082")</f>
        <v>1831359082</v>
      </c>
      <c r="E6308" s="1" t="s">
        <v>17924</v>
      </c>
      <c r="F6308" s="2"/>
      <c r="G6308" s="2"/>
      <c r="H6308" s="2"/>
    </row>
    <row r="6309" spans="1:8" x14ac:dyDescent="0.25">
      <c r="A6309" s="1"/>
      <c r="B6309" s="1" t="s">
        <v>4202</v>
      </c>
      <c r="C6309" s="1" t="s">
        <v>4203</v>
      </c>
      <c r="D6309" s="22" t="str">
        <f>HYPERLINK("https://rhld.insurance.arkansas.gov/NPILookup?Npi=1831432327","1831432327")</f>
        <v>1831432327</v>
      </c>
      <c r="E6309" s="1" t="s">
        <v>17926</v>
      </c>
      <c r="F6309" s="2"/>
      <c r="G6309" s="2"/>
      <c r="H6309" s="2"/>
    </row>
    <row r="6310" spans="1:8" x14ac:dyDescent="0.25">
      <c r="A6310" s="1"/>
      <c r="B6310" s="1" t="s">
        <v>4202</v>
      </c>
      <c r="C6310" s="1" t="s">
        <v>4203</v>
      </c>
      <c r="D6310" s="22" t="str">
        <f>HYPERLINK("https://rhld.insurance.arkansas.gov/NPILookup?Npi=1831439793","1831439793")</f>
        <v>1831439793</v>
      </c>
      <c r="E6310" s="1" t="s">
        <v>17927</v>
      </c>
      <c r="F6310" s="2"/>
      <c r="G6310" s="2"/>
      <c r="H6310" s="2"/>
    </row>
    <row r="6311" spans="1:8" x14ac:dyDescent="0.25">
      <c r="A6311" s="1"/>
      <c r="B6311" s="1" t="s">
        <v>4202</v>
      </c>
      <c r="C6311" s="1" t="s">
        <v>4203</v>
      </c>
      <c r="D6311" s="22" t="str">
        <f>HYPERLINK("https://rhld.insurance.arkansas.gov/NPILookup?Npi=1831480334","1831480334")</f>
        <v>1831480334</v>
      </c>
      <c r="E6311" s="1" t="s">
        <v>4507</v>
      </c>
      <c r="F6311" s="2"/>
      <c r="G6311" s="2"/>
      <c r="H6311" s="2"/>
    </row>
    <row r="6312" spans="1:8" x14ac:dyDescent="0.25">
      <c r="A6312" s="1"/>
      <c r="B6312" s="1" t="s">
        <v>4202</v>
      </c>
      <c r="C6312" s="1" t="s">
        <v>4203</v>
      </c>
      <c r="D6312" s="22" t="str">
        <f>HYPERLINK("https://rhld.insurance.arkansas.gov/NPILookup?Npi=1831486893","1831486893")</f>
        <v>1831486893</v>
      </c>
      <c r="E6312" s="1" t="s">
        <v>17928</v>
      </c>
      <c r="F6312" s="2"/>
      <c r="G6312" s="2"/>
      <c r="H6312" s="2"/>
    </row>
    <row r="6313" spans="1:8" x14ac:dyDescent="0.25">
      <c r="A6313" s="1"/>
      <c r="B6313" s="1" t="s">
        <v>4202</v>
      </c>
      <c r="C6313" s="1" t="s">
        <v>4203</v>
      </c>
      <c r="D6313" s="22" t="str">
        <f>HYPERLINK("https://rhld.insurance.arkansas.gov/NPILookup?Npi=1831537570","1831537570")</f>
        <v>1831537570</v>
      </c>
      <c r="E6313" s="1" t="s">
        <v>17929</v>
      </c>
      <c r="F6313" s="2"/>
      <c r="G6313" s="2"/>
      <c r="H6313" s="2"/>
    </row>
    <row r="6314" spans="1:8" x14ac:dyDescent="0.25">
      <c r="A6314" s="1"/>
      <c r="B6314" s="1" t="s">
        <v>4202</v>
      </c>
      <c r="C6314" s="1" t="s">
        <v>4203</v>
      </c>
      <c r="D6314" s="22" t="str">
        <f>HYPERLINK("https://rhld.insurance.arkansas.gov/NPILookup?Npi=1831610930","1831610930")</f>
        <v>1831610930</v>
      </c>
      <c r="E6314" s="1" t="s">
        <v>17930</v>
      </c>
      <c r="F6314" s="2"/>
      <c r="G6314" s="2"/>
      <c r="H6314" s="2"/>
    </row>
    <row r="6315" spans="1:8" x14ac:dyDescent="0.25">
      <c r="A6315" s="1"/>
      <c r="B6315" s="1" t="s">
        <v>4202</v>
      </c>
      <c r="C6315" s="1" t="s">
        <v>4203</v>
      </c>
      <c r="D6315" s="22" t="str">
        <f>HYPERLINK("https://rhld.insurance.arkansas.gov/NPILookup?Npi=1831712108","1831712108")</f>
        <v>1831712108</v>
      </c>
      <c r="E6315" s="1" t="s">
        <v>4509</v>
      </c>
      <c r="F6315" s="2"/>
      <c r="G6315" s="2"/>
      <c r="H6315" s="2"/>
    </row>
    <row r="6316" spans="1:8" x14ac:dyDescent="0.25">
      <c r="A6316" s="1"/>
      <c r="B6316" s="1" t="s">
        <v>4202</v>
      </c>
      <c r="C6316" s="1" t="s">
        <v>4203</v>
      </c>
      <c r="D6316" s="22" t="str">
        <f>HYPERLINK("https://rhld.insurance.arkansas.gov/NPILookup?Npi=1841243144","1841243144")</f>
        <v>1841243144</v>
      </c>
      <c r="E6316" s="1" t="s">
        <v>31467</v>
      </c>
      <c r="F6316" s="2"/>
      <c r="G6316" s="2"/>
      <c r="H6316" s="2"/>
    </row>
    <row r="6317" spans="1:8" x14ac:dyDescent="0.25">
      <c r="A6317" s="1"/>
      <c r="B6317" s="1" t="s">
        <v>4202</v>
      </c>
      <c r="C6317" s="1" t="s">
        <v>4203</v>
      </c>
      <c r="D6317" s="22" t="str">
        <f>HYPERLINK("https://rhld.insurance.arkansas.gov/NPILookup?Npi=1841243565","1841243565")</f>
        <v>1841243565</v>
      </c>
      <c r="E6317" s="1" t="s">
        <v>17932</v>
      </c>
      <c r="F6317" s="2"/>
      <c r="G6317" s="2"/>
      <c r="H6317" s="2"/>
    </row>
    <row r="6318" spans="1:8" x14ac:dyDescent="0.25">
      <c r="A6318" s="1"/>
      <c r="B6318" s="1" t="s">
        <v>4202</v>
      </c>
      <c r="C6318" s="1" t="s">
        <v>4203</v>
      </c>
      <c r="D6318" s="22" t="str">
        <f>HYPERLINK("https://rhld.insurance.arkansas.gov/NPILookup?Npi=1841271723","1841271723")</f>
        <v>1841271723</v>
      </c>
      <c r="E6318" s="1" t="s">
        <v>4510</v>
      </c>
      <c r="F6318" s="2"/>
      <c r="G6318" s="2"/>
      <c r="H6318" s="2"/>
    </row>
    <row r="6319" spans="1:8" x14ac:dyDescent="0.25">
      <c r="A6319" s="1"/>
      <c r="B6319" s="1" t="s">
        <v>4202</v>
      </c>
      <c r="C6319" s="1" t="s">
        <v>4203</v>
      </c>
      <c r="D6319" s="22" t="str">
        <f>HYPERLINK("https://rhld.insurance.arkansas.gov/NPILookup?Npi=1841290004","1841290004")</f>
        <v>1841290004</v>
      </c>
      <c r="E6319" s="1" t="s">
        <v>17933</v>
      </c>
      <c r="F6319" s="2"/>
      <c r="G6319" s="2"/>
      <c r="H6319" s="2"/>
    </row>
    <row r="6320" spans="1:8" x14ac:dyDescent="0.25">
      <c r="A6320" s="1"/>
      <c r="B6320" s="1" t="s">
        <v>4202</v>
      </c>
      <c r="C6320" s="1" t="s">
        <v>4203</v>
      </c>
      <c r="D6320" s="22" t="str">
        <f>HYPERLINK("https://rhld.insurance.arkansas.gov/NPILookup?Npi=1841451259","1841451259")</f>
        <v>1841451259</v>
      </c>
      <c r="E6320" s="1" t="s">
        <v>17935</v>
      </c>
      <c r="F6320" s="2"/>
      <c r="G6320" s="2"/>
      <c r="H6320" s="2"/>
    </row>
    <row r="6321" spans="1:8" x14ac:dyDescent="0.25">
      <c r="A6321" s="1"/>
      <c r="B6321" s="1" t="s">
        <v>4202</v>
      </c>
      <c r="C6321" s="1" t="s">
        <v>4203</v>
      </c>
      <c r="D6321" s="22" t="str">
        <f>HYPERLINK("https://rhld.insurance.arkansas.gov/NPILookup?Npi=1841483419","1841483419")</f>
        <v>1841483419</v>
      </c>
      <c r="E6321" s="1" t="s">
        <v>10462</v>
      </c>
      <c r="F6321" s="2"/>
      <c r="G6321" s="2"/>
      <c r="H6321" s="2"/>
    </row>
    <row r="6322" spans="1:8" x14ac:dyDescent="0.25">
      <c r="A6322" s="1"/>
      <c r="B6322" s="1" t="s">
        <v>4202</v>
      </c>
      <c r="C6322" s="1" t="s">
        <v>4203</v>
      </c>
      <c r="D6322" s="22" t="str">
        <f>HYPERLINK("https://rhld.insurance.arkansas.gov/NPILookup?Npi=1841581980","1841581980")</f>
        <v>1841581980</v>
      </c>
      <c r="E6322" s="1" t="s">
        <v>4511</v>
      </c>
      <c r="F6322" s="2"/>
      <c r="G6322" s="2"/>
      <c r="H6322" s="2"/>
    </row>
    <row r="6323" spans="1:8" x14ac:dyDescent="0.25">
      <c r="A6323" s="1"/>
      <c r="B6323" s="1" t="s">
        <v>4202</v>
      </c>
      <c r="C6323" s="1" t="s">
        <v>4203</v>
      </c>
      <c r="D6323" s="22" t="str">
        <f>HYPERLINK("https://rhld.insurance.arkansas.gov/NPILookup?Npi=1851031728","1851031728")</f>
        <v>1851031728</v>
      </c>
      <c r="E6323" s="1" t="s">
        <v>17937</v>
      </c>
      <c r="F6323" s="2"/>
      <c r="G6323" s="2"/>
      <c r="H6323" s="2"/>
    </row>
    <row r="6324" spans="1:8" x14ac:dyDescent="0.25">
      <c r="A6324" s="1"/>
      <c r="B6324" s="1" t="s">
        <v>4202</v>
      </c>
      <c r="C6324" s="1" t="s">
        <v>4203</v>
      </c>
      <c r="D6324" s="22" t="str">
        <f>HYPERLINK("https://rhld.insurance.arkansas.gov/NPILookup?Npi=1851324446","1851324446")</f>
        <v>1851324446</v>
      </c>
      <c r="E6324" s="1" t="s">
        <v>3842</v>
      </c>
      <c r="F6324" s="2"/>
      <c r="G6324" s="2"/>
      <c r="H6324" s="2"/>
    </row>
    <row r="6325" spans="1:8" x14ac:dyDescent="0.25">
      <c r="A6325" s="1"/>
      <c r="B6325" s="1" t="s">
        <v>4202</v>
      </c>
      <c r="C6325" s="1" t="s">
        <v>4203</v>
      </c>
      <c r="D6325" s="22" t="str">
        <f>HYPERLINK("https://rhld.insurance.arkansas.gov/NPILookup?Npi=1851359350","1851359350")</f>
        <v>1851359350</v>
      </c>
      <c r="E6325" s="1" t="s">
        <v>10463</v>
      </c>
      <c r="F6325" s="2"/>
      <c r="G6325" s="2"/>
      <c r="H6325" s="2"/>
    </row>
    <row r="6326" spans="1:8" x14ac:dyDescent="0.25">
      <c r="A6326" s="1"/>
      <c r="B6326" s="1" t="s">
        <v>4202</v>
      </c>
      <c r="C6326" s="1" t="s">
        <v>4203</v>
      </c>
      <c r="D6326" s="22" t="str">
        <f>HYPERLINK("https://rhld.insurance.arkansas.gov/NPILookup?Npi=1851387930","1851387930")</f>
        <v>1851387930</v>
      </c>
      <c r="E6326" s="1" t="s">
        <v>2164</v>
      </c>
      <c r="F6326" s="2"/>
      <c r="G6326" s="2"/>
      <c r="H6326" s="2"/>
    </row>
    <row r="6327" spans="1:8" x14ac:dyDescent="0.25">
      <c r="A6327" s="1"/>
      <c r="B6327" s="1" t="s">
        <v>4202</v>
      </c>
      <c r="C6327" s="1" t="s">
        <v>4203</v>
      </c>
      <c r="D6327" s="22" t="str">
        <f>HYPERLINK("https://rhld.insurance.arkansas.gov/NPILookup?Npi=1851551618","1851551618")</f>
        <v>1851551618</v>
      </c>
      <c r="E6327" s="1" t="s">
        <v>17939</v>
      </c>
      <c r="F6327" s="2"/>
      <c r="G6327" s="2"/>
      <c r="H6327" s="2"/>
    </row>
    <row r="6328" spans="1:8" x14ac:dyDescent="0.25">
      <c r="A6328" s="1"/>
      <c r="B6328" s="1" t="s">
        <v>4202</v>
      </c>
      <c r="C6328" s="1" t="s">
        <v>4203</v>
      </c>
      <c r="D6328" s="22" t="str">
        <f>HYPERLINK("https://rhld.insurance.arkansas.gov/NPILookup?Npi=1851574198","1851574198")</f>
        <v>1851574198</v>
      </c>
      <c r="E6328" s="1" t="s">
        <v>17940</v>
      </c>
      <c r="F6328" s="2"/>
      <c r="G6328" s="2"/>
      <c r="H6328" s="2"/>
    </row>
    <row r="6329" spans="1:8" x14ac:dyDescent="0.25">
      <c r="A6329" s="1"/>
      <c r="B6329" s="1" t="s">
        <v>4202</v>
      </c>
      <c r="C6329" s="1" t="s">
        <v>4203</v>
      </c>
      <c r="D6329" s="22" t="str">
        <f>HYPERLINK("https://rhld.insurance.arkansas.gov/NPILookup?Npi=1851591358","1851591358")</f>
        <v>1851591358</v>
      </c>
      <c r="E6329" s="1" t="s">
        <v>10464</v>
      </c>
      <c r="F6329" s="2"/>
      <c r="G6329" s="2"/>
      <c r="H6329" s="2"/>
    </row>
    <row r="6330" spans="1:8" x14ac:dyDescent="0.25">
      <c r="A6330" s="1"/>
      <c r="B6330" s="1" t="s">
        <v>4202</v>
      </c>
      <c r="C6330" s="1" t="s">
        <v>4203</v>
      </c>
      <c r="D6330" s="22" t="str">
        <f>HYPERLINK("https://rhld.insurance.arkansas.gov/NPILookup?Npi=1851599211","1851599211")</f>
        <v>1851599211</v>
      </c>
      <c r="E6330" s="1" t="s">
        <v>17941</v>
      </c>
      <c r="F6330" s="2"/>
      <c r="G6330" s="2"/>
      <c r="H6330" s="2"/>
    </row>
    <row r="6331" spans="1:8" x14ac:dyDescent="0.25">
      <c r="A6331" s="1"/>
      <c r="B6331" s="1" t="s">
        <v>4202</v>
      </c>
      <c r="C6331" s="1" t="s">
        <v>4203</v>
      </c>
      <c r="D6331" s="22" t="str">
        <f>HYPERLINK("https://rhld.insurance.arkansas.gov/NPILookup?Npi=1851612105","1851612105")</f>
        <v>1851612105</v>
      </c>
      <c r="E6331" s="1" t="s">
        <v>17942</v>
      </c>
      <c r="F6331" s="2"/>
      <c r="G6331" s="2"/>
      <c r="H6331" s="2"/>
    </row>
    <row r="6332" spans="1:8" x14ac:dyDescent="0.25">
      <c r="A6332" s="1"/>
      <c r="B6332" s="1" t="s">
        <v>4202</v>
      </c>
      <c r="C6332" s="1" t="s">
        <v>4203</v>
      </c>
      <c r="D6332" s="22" t="str">
        <f>HYPERLINK("https://rhld.insurance.arkansas.gov/NPILookup?Npi=1851692420","1851692420")</f>
        <v>1851692420</v>
      </c>
      <c r="E6332" s="1" t="s">
        <v>4512</v>
      </c>
      <c r="F6332" s="2"/>
      <c r="G6332" s="2"/>
      <c r="H6332" s="2"/>
    </row>
    <row r="6333" spans="1:8" x14ac:dyDescent="0.25">
      <c r="A6333" s="1"/>
      <c r="B6333" s="1" t="s">
        <v>4202</v>
      </c>
      <c r="C6333" s="1" t="s">
        <v>4203</v>
      </c>
      <c r="D6333" s="22" t="str">
        <f>HYPERLINK("https://rhld.insurance.arkansas.gov/NPILookup?Npi=1851738520","1851738520")</f>
        <v>1851738520</v>
      </c>
      <c r="E6333" s="1" t="s">
        <v>10465</v>
      </c>
      <c r="F6333" s="2"/>
      <c r="G6333" s="2"/>
      <c r="H6333" s="2"/>
    </row>
    <row r="6334" spans="1:8" x14ac:dyDescent="0.25">
      <c r="A6334" s="1"/>
      <c r="B6334" s="1" t="s">
        <v>4202</v>
      </c>
      <c r="C6334" s="1" t="s">
        <v>4203</v>
      </c>
      <c r="D6334" s="22" t="str">
        <f>HYPERLINK("https://rhld.insurance.arkansas.gov/NPILookup?Npi=1851786743","1851786743")</f>
        <v>1851786743</v>
      </c>
      <c r="E6334" s="1" t="s">
        <v>4513</v>
      </c>
      <c r="F6334" s="2"/>
      <c r="G6334" s="2"/>
      <c r="H6334" s="2"/>
    </row>
    <row r="6335" spans="1:8" x14ac:dyDescent="0.25">
      <c r="A6335" s="1"/>
      <c r="B6335" s="1" t="s">
        <v>4202</v>
      </c>
      <c r="C6335" s="1" t="s">
        <v>4203</v>
      </c>
      <c r="D6335" s="22" t="str">
        <f>HYPERLINK("https://rhld.insurance.arkansas.gov/NPILookup?Npi=1851787162","1851787162")</f>
        <v>1851787162</v>
      </c>
      <c r="E6335" s="1" t="s">
        <v>10466</v>
      </c>
      <c r="F6335" s="2"/>
      <c r="G6335" s="2"/>
      <c r="H6335" s="2"/>
    </row>
    <row r="6336" spans="1:8" x14ac:dyDescent="0.25">
      <c r="A6336" s="1"/>
      <c r="B6336" s="1" t="s">
        <v>4202</v>
      </c>
      <c r="C6336" s="1" t="s">
        <v>4203</v>
      </c>
      <c r="D6336" s="22" t="str">
        <f>HYPERLINK("https://rhld.insurance.arkansas.gov/NPILookup?Npi=1861021636","1861021636")</f>
        <v>1861021636</v>
      </c>
      <c r="E6336" s="1" t="s">
        <v>4514</v>
      </c>
      <c r="F6336" s="2"/>
      <c r="G6336" s="2"/>
      <c r="H6336" s="2"/>
    </row>
    <row r="6337" spans="1:8" x14ac:dyDescent="0.25">
      <c r="A6337" s="1"/>
      <c r="B6337" s="1" t="s">
        <v>4202</v>
      </c>
      <c r="C6337" s="1" t="s">
        <v>4203</v>
      </c>
      <c r="D6337" s="22" t="str">
        <f>HYPERLINK("https://rhld.insurance.arkansas.gov/NPILookup?Npi=1861029506","1861029506")</f>
        <v>1861029506</v>
      </c>
      <c r="E6337" s="1" t="s">
        <v>31468</v>
      </c>
      <c r="F6337" s="2"/>
      <c r="G6337" s="2"/>
      <c r="H6337" s="2"/>
    </row>
    <row r="6338" spans="1:8" x14ac:dyDescent="0.25">
      <c r="A6338" s="1"/>
      <c r="B6338" s="1" t="s">
        <v>4202</v>
      </c>
      <c r="C6338" s="1" t="s">
        <v>4203</v>
      </c>
      <c r="D6338" s="22" t="str">
        <f>HYPERLINK("https://rhld.insurance.arkansas.gov/NPILookup?Npi=1861073728","1861073728")</f>
        <v>1861073728</v>
      </c>
      <c r="E6338" s="1" t="s">
        <v>17943</v>
      </c>
      <c r="F6338" s="2"/>
      <c r="G6338" s="2"/>
      <c r="H6338" s="2"/>
    </row>
    <row r="6339" spans="1:8" x14ac:dyDescent="0.25">
      <c r="A6339" s="1"/>
      <c r="B6339" s="1" t="s">
        <v>4202</v>
      </c>
      <c r="C6339" s="1" t="s">
        <v>4203</v>
      </c>
      <c r="D6339" s="22" t="str">
        <f>HYPERLINK("https://rhld.insurance.arkansas.gov/NPILookup?Npi=1861458069","1861458069")</f>
        <v>1861458069</v>
      </c>
      <c r="E6339" s="1" t="s">
        <v>4515</v>
      </c>
      <c r="F6339" s="2"/>
      <c r="G6339" s="2"/>
      <c r="H6339" s="2"/>
    </row>
    <row r="6340" spans="1:8" x14ac:dyDescent="0.25">
      <c r="A6340" s="1"/>
      <c r="B6340" s="1" t="s">
        <v>4202</v>
      </c>
      <c r="C6340" s="1" t="s">
        <v>4203</v>
      </c>
      <c r="D6340" s="22" t="str">
        <f>HYPERLINK("https://rhld.insurance.arkansas.gov/NPILookup?Npi=1861497349","1861497349")</f>
        <v>1861497349</v>
      </c>
      <c r="E6340" s="1" t="s">
        <v>15957</v>
      </c>
      <c r="F6340" s="2"/>
      <c r="G6340" s="2"/>
      <c r="H6340" s="2"/>
    </row>
    <row r="6341" spans="1:8" x14ac:dyDescent="0.25">
      <c r="A6341" s="1"/>
      <c r="B6341" s="1" t="s">
        <v>4202</v>
      </c>
      <c r="C6341" s="1" t="s">
        <v>4203</v>
      </c>
      <c r="D6341" s="22" t="str">
        <f>HYPERLINK("https://rhld.insurance.arkansas.gov/NPILookup?Npi=1861800716","1861800716")</f>
        <v>1861800716</v>
      </c>
      <c r="E6341" s="1" t="s">
        <v>17946</v>
      </c>
      <c r="F6341" s="2"/>
      <c r="G6341" s="2"/>
      <c r="H6341" s="2"/>
    </row>
    <row r="6342" spans="1:8" x14ac:dyDescent="0.25">
      <c r="A6342" s="1"/>
      <c r="B6342" s="1" t="s">
        <v>4202</v>
      </c>
      <c r="C6342" s="1" t="s">
        <v>4203</v>
      </c>
      <c r="D6342" s="22" t="str">
        <f>HYPERLINK("https://rhld.insurance.arkansas.gov/NPILookup?Npi=1861847865","1861847865")</f>
        <v>1861847865</v>
      </c>
      <c r="E6342" s="1" t="s">
        <v>10467</v>
      </c>
      <c r="F6342" s="2"/>
      <c r="G6342" s="2"/>
      <c r="H6342" s="2"/>
    </row>
    <row r="6343" spans="1:8" x14ac:dyDescent="0.25">
      <c r="A6343" s="1"/>
      <c r="B6343" s="1" t="s">
        <v>4202</v>
      </c>
      <c r="C6343" s="1" t="s">
        <v>4203</v>
      </c>
      <c r="D6343" s="22" t="str">
        <f>HYPERLINK("https://rhld.insurance.arkansas.gov/NPILookup?Npi=1861874497","1861874497")</f>
        <v>1861874497</v>
      </c>
      <c r="E6343" s="1" t="s">
        <v>1366</v>
      </c>
      <c r="F6343" s="2"/>
      <c r="G6343" s="2"/>
      <c r="H6343" s="2"/>
    </row>
    <row r="6344" spans="1:8" x14ac:dyDescent="0.25">
      <c r="A6344" s="1"/>
      <c r="B6344" s="1" t="s">
        <v>4202</v>
      </c>
      <c r="C6344" s="1" t="s">
        <v>4203</v>
      </c>
      <c r="D6344" s="22" t="str">
        <f>HYPERLINK("https://rhld.insurance.arkansas.gov/NPILookup?Npi=1861886731","1861886731")</f>
        <v>1861886731</v>
      </c>
      <c r="E6344" s="1" t="s">
        <v>4516</v>
      </c>
      <c r="F6344" s="2"/>
      <c r="G6344" s="2"/>
      <c r="H6344" s="2"/>
    </row>
    <row r="6345" spans="1:8" x14ac:dyDescent="0.25">
      <c r="A6345" s="1"/>
      <c r="B6345" s="1" t="s">
        <v>4202</v>
      </c>
      <c r="C6345" s="1" t="s">
        <v>4203</v>
      </c>
      <c r="D6345" s="22" t="str">
        <f>HYPERLINK("https://rhld.insurance.arkansas.gov/NPILookup?Npi=1861902660","1861902660")</f>
        <v>1861902660</v>
      </c>
      <c r="E6345" s="1" t="s">
        <v>17947</v>
      </c>
      <c r="F6345" s="2"/>
      <c r="G6345" s="2"/>
      <c r="H6345" s="2"/>
    </row>
    <row r="6346" spans="1:8" x14ac:dyDescent="0.25">
      <c r="A6346" s="1"/>
      <c r="B6346" s="1" t="s">
        <v>4202</v>
      </c>
      <c r="C6346" s="1" t="s">
        <v>4203</v>
      </c>
      <c r="D6346" s="22" t="str">
        <f>HYPERLINK("https://rhld.insurance.arkansas.gov/NPILookup?Npi=1871170761","1871170761")</f>
        <v>1871170761</v>
      </c>
      <c r="E6346" s="1" t="s">
        <v>17948</v>
      </c>
      <c r="F6346" s="2"/>
      <c r="G6346" s="2"/>
      <c r="H6346" s="2"/>
    </row>
    <row r="6347" spans="1:8" x14ac:dyDescent="0.25">
      <c r="A6347" s="1"/>
      <c r="B6347" s="1" t="s">
        <v>4202</v>
      </c>
      <c r="C6347" s="1" t="s">
        <v>4203</v>
      </c>
      <c r="D6347" s="22" t="str">
        <f>HYPERLINK("https://rhld.insurance.arkansas.gov/NPILookup?Npi=1871518688","1871518688")</f>
        <v>1871518688</v>
      </c>
      <c r="E6347" s="1" t="s">
        <v>17949</v>
      </c>
      <c r="F6347" s="2"/>
      <c r="G6347" s="2"/>
      <c r="H6347" s="2"/>
    </row>
    <row r="6348" spans="1:8" x14ac:dyDescent="0.25">
      <c r="A6348" s="1"/>
      <c r="B6348" s="1" t="s">
        <v>4202</v>
      </c>
      <c r="C6348" s="1" t="s">
        <v>4203</v>
      </c>
      <c r="D6348" s="22" t="str">
        <f>HYPERLINK("https://rhld.insurance.arkansas.gov/NPILookup?Npi=1871535864","1871535864")</f>
        <v>1871535864</v>
      </c>
      <c r="E6348" s="1" t="s">
        <v>10465</v>
      </c>
      <c r="F6348" s="2"/>
      <c r="G6348" s="2"/>
      <c r="H6348" s="2"/>
    </row>
    <row r="6349" spans="1:8" x14ac:dyDescent="0.25">
      <c r="A6349" s="1"/>
      <c r="B6349" s="1" t="s">
        <v>4202</v>
      </c>
      <c r="C6349" s="1" t="s">
        <v>4203</v>
      </c>
      <c r="D6349" s="22" t="str">
        <f>HYPERLINK("https://rhld.insurance.arkansas.gov/NPILookup?Npi=1871540435","1871540435")</f>
        <v>1871540435</v>
      </c>
      <c r="E6349" s="1" t="s">
        <v>10468</v>
      </c>
      <c r="F6349" s="2"/>
      <c r="G6349" s="2"/>
      <c r="H6349" s="2"/>
    </row>
    <row r="6350" spans="1:8" x14ac:dyDescent="0.25">
      <c r="A6350" s="1"/>
      <c r="B6350" s="1" t="s">
        <v>4202</v>
      </c>
      <c r="C6350" s="1" t="s">
        <v>4203</v>
      </c>
      <c r="D6350" s="22" t="str">
        <f>HYPERLINK("https://rhld.insurance.arkansas.gov/NPILookup?Npi=1871559559","1871559559")</f>
        <v>1871559559</v>
      </c>
      <c r="E6350" s="1" t="s">
        <v>10469</v>
      </c>
      <c r="F6350" s="2"/>
      <c r="G6350" s="2"/>
      <c r="H6350" s="2"/>
    </row>
    <row r="6351" spans="1:8" x14ac:dyDescent="0.25">
      <c r="A6351" s="1"/>
      <c r="B6351" s="1" t="s">
        <v>4202</v>
      </c>
      <c r="C6351" s="1" t="s">
        <v>4203</v>
      </c>
      <c r="D6351" s="22" t="str">
        <f>HYPERLINK("https://rhld.insurance.arkansas.gov/NPILookup?Npi=1871581306","1871581306")</f>
        <v>1871581306</v>
      </c>
      <c r="E6351" s="1" t="s">
        <v>1229</v>
      </c>
      <c r="F6351" s="2"/>
      <c r="G6351" s="2"/>
      <c r="H6351" s="2"/>
    </row>
    <row r="6352" spans="1:8" x14ac:dyDescent="0.25">
      <c r="A6352" s="1"/>
      <c r="B6352" s="1" t="s">
        <v>4202</v>
      </c>
      <c r="C6352" s="1" t="s">
        <v>4203</v>
      </c>
      <c r="D6352" s="22" t="str">
        <f>HYPERLINK("https://rhld.insurance.arkansas.gov/NPILookup?Npi=1871583229","1871583229")</f>
        <v>1871583229</v>
      </c>
      <c r="E6352" s="1" t="s">
        <v>10470</v>
      </c>
      <c r="F6352" s="2"/>
      <c r="G6352" s="2"/>
      <c r="H6352" s="2"/>
    </row>
    <row r="6353" spans="1:8" x14ac:dyDescent="0.25">
      <c r="A6353" s="1"/>
      <c r="B6353" s="1" t="s">
        <v>4202</v>
      </c>
      <c r="C6353" s="1" t="s">
        <v>4203</v>
      </c>
      <c r="D6353" s="22" t="str">
        <f>HYPERLINK("https://rhld.insurance.arkansas.gov/NPILookup?Npi=1871659193","1871659193")</f>
        <v>1871659193</v>
      </c>
      <c r="E6353" s="1" t="s">
        <v>17951</v>
      </c>
      <c r="F6353" s="2"/>
      <c r="G6353" s="2"/>
      <c r="H6353" s="2"/>
    </row>
    <row r="6354" spans="1:8" x14ac:dyDescent="0.25">
      <c r="A6354" s="1"/>
      <c r="B6354" s="1" t="s">
        <v>4202</v>
      </c>
      <c r="C6354" s="1" t="s">
        <v>4203</v>
      </c>
      <c r="D6354" s="22" t="str">
        <f>HYPERLINK("https://rhld.insurance.arkansas.gov/NPILookup?Npi=1871819615","1871819615")</f>
        <v>1871819615</v>
      </c>
      <c r="E6354" s="1" t="s">
        <v>17952</v>
      </c>
      <c r="F6354" s="2"/>
      <c r="G6354" s="2"/>
      <c r="H6354" s="2"/>
    </row>
    <row r="6355" spans="1:8" x14ac:dyDescent="0.25">
      <c r="A6355" s="1"/>
      <c r="B6355" s="1" t="s">
        <v>4202</v>
      </c>
      <c r="C6355" s="1" t="s">
        <v>4203</v>
      </c>
      <c r="D6355" s="22" t="str">
        <f>HYPERLINK("https://rhld.insurance.arkansas.gov/NPILookup?Npi=1871880534","1871880534")</f>
        <v>1871880534</v>
      </c>
      <c r="E6355" s="1" t="s">
        <v>4517</v>
      </c>
      <c r="F6355" s="2"/>
      <c r="G6355" s="2"/>
      <c r="H6355" s="2"/>
    </row>
    <row r="6356" spans="1:8" x14ac:dyDescent="0.25">
      <c r="A6356" s="1"/>
      <c r="B6356" s="1" t="s">
        <v>4202</v>
      </c>
      <c r="C6356" s="1" t="s">
        <v>4203</v>
      </c>
      <c r="D6356" s="22" t="str">
        <f>HYPERLINK("https://rhld.insurance.arkansas.gov/NPILookup?Npi=1881079440","1881079440")</f>
        <v>1881079440</v>
      </c>
      <c r="E6356" s="1" t="s">
        <v>17953</v>
      </c>
      <c r="F6356" s="2"/>
      <c r="G6356" s="2"/>
      <c r="H6356" s="2"/>
    </row>
    <row r="6357" spans="1:8" x14ac:dyDescent="0.25">
      <c r="A6357" s="1"/>
      <c r="B6357" s="1" t="s">
        <v>4202</v>
      </c>
      <c r="C6357" s="1" t="s">
        <v>4203</v>
      </c>
      <c r="D6357" s="22" t="str">
        <f>HYPERLINK("https://rhld.insurance.arkansas.gov/NPILookup?Npi=1881085439","1881085439")</f>
        <v>1881085439</v>
      </c>
      <c r="E6357" s="1" t="s">
        <v>4518</v>
      </c>
      <c r="F6357" s="2"/>
      <c r="G6357" s="2"/>
      <c r="H6357" s="2"/>
    </row>
    <row r="6358" spans="1:8" x14ac:dyDescent="0.25">
      <c r="A6358" s="1"/>
      <c r="B6358" s="1" t="s">
        <v>4202</v>
      </c>
      <c r="C6358" s="1" t="s">
        <v>4203</v>
      </c>
      <c r="D6358" s="22" t="str">
        <f>HYPERLINK("https://rhld.insurance.arkansas.gov/NPILookup?Npi=1881191260","1881191260")</f>
        <v>1881191260</v>
      </c>
      <c r="E6358" s="1" t="s">
        <v>10472</v>
      </c>
      <c r="F6358" s="2"/>
      <c r="G6358" s="2"/>
      <c r="H6358" s="2"/>
    </row>
    <row r="6359" spans="1:8" x14ac:dyDescent="0.25">
      <c r="A6359" s="1"/>
      <c r="B6359" s="1" t="s">
        <v>4202</v>
      </c>
      <c r="C6359" s="1" t="s">
        <v>4203</v>
      </c>
      <c r="D6359" s="22" t="str">
        <f>HYPERLINK("https://rhld.insurance.arkansas.gov/NPILookup?Npi=1881223832","1881223832")</f>
        <v>1881223832</v>
      </c>
      <c r="E6359" s="1" t="s">
        <v>17954</v>
      </c>
      <c r="F6359" s="2"/>
      <c r="G6359" s="2"/>
      <c r="H6359" s="2"/>
    </row>
    <row r="6360" spans="1:8" x14ac:dyDescent="0.25">
      <c r="A6360" s="1"/>
      <c r="B6360" s="1" t="s">
        <v>4202</v>
      </c>
      <c r="C6360" s="1" t="s">
        <v>4203</v>
      </c>
      <c r="D6360" s="22" t="str">
        <f>HYPERLINK("https://rhld.insurance.arkansas.gov/NPILookup?Npi=1881330850","1881330850")</f>
        <v>1881330850</v>
      </c>
      <c r="E6360" s="1" t="s">
        <v>31469</v>
      </c>
      <c r="F6360" s="2"/>
      <c r="G6360" s="2"/>
      <c r="H6360" s="2"/>
    </row>
    <row r="6361" spans="1:8" x14ac:dyDescent="0.25">
      <c r="A6361" s="1"/>
      <c r="B6361" s="1" t="s">
        <v>4202</v>
      </c>
      <c r="C6361" s="1" t="s">
        <v>4203</v>
      </c>
      <c r="D6361" s="22" t="str">
        <f>HYPERLINK("https://rhld.insurance.arkansas.gov/NPILookup?Npi=1881631620","1881631620")</f>
        <v>1881631620</v>
      </c>
      <c r="E6361" s="1" t="s">
        <v>17955</v>
      </c>
      <c r="F6361" s="2"/>
      <c r="G6361" s="2"/>
      <c r="H6361" s="2"/>
    </row>
    <row r="6362" spans="1:8" x14ac:dyDescent="0.25">
      <c r="A6362" s="1"/>
      <c r="B6362" s="1" t="s">
        <v>4202</v>
      </c>
      <c r="C6362" s="1" t="s">
        <v>4203</v>
      </c>
      <c r="D6362" s="22" t="str">
        <f>HYPERLINK("https://rhld.insurance.arkansas.gov/NPILookup?Npi=1881658094","1881658094")</f>
        <v>1881658094</v>
      </c>
      <c r="E6362" s="1" t="s">
        <v>4519</v>
      </c>
      <c r="F6362" s="2"/>
      <c r="G6362" s="2"/>
      <c r="H6362" s="2"/>
    </row>
    <row r="6363" spans="1:8" x14ac:dyDescent="0.25">
      <c r="A6363" s="1"/>
      <c r="B6363" s="1" t="s">
        <v>4202</v>
      </c>
      <c r="C6363" s="1" t="s">
        <v>4203</v>
      </c>
      <c r="D6363" s="22" t="str">
        <f>HYPERLINK("https://rhld.insurance.arkansas.gov/NPILookup?Npi=1881675882","1881675882")</f>
        <v>1881675882</v>
      </c>
      <c r="E6363" s="1" t="s">
        <v>4520</v>
      </c>
      <c r="F6363" s="2"/>
      <c r="G6363" s="2"/>
      <c r="H6363" s="2"/>
    </row>
    <row r="6364" spans="1:8" x14ac:dyDescent="0.25">
      <c r="A6364" s="1"/>
      <c r="B6364" s="1" t="s">
        <v>4202</v>
      </c>
      <c r="C6364" s="1" t="s">
        <v>4203</v>
      </c>
      <c r="D6364" s="22" t="str">
        <f>HYPERLINK("https://rhld.insurance.arkansas.gov/NPILookup?Npi=1881676526","1881676526")</f>
        <v>1881676526</v>
      </c>
      <c r="E6364" s="1" t="s">
        <v>17956</v>
      </c>
      <c r="F6364" s="2"/>
      <c r="G6364" s="2"/>
      <c r="H6364" s="2"/>
    </row>
    <row r="6365" spans="1:8" x14ac:dyDescent="0.25">
      <c r="A6365" s="1"/>
      <c r="B6365" s="1" t="s">
        <v>4202</v>
      </c>
      <c r="C6365" s="1" t="s">
        <v>4203</v>
      </c>
      <c r="D6365" s="22" t="str">
        <f>HYPERLINK("https://rhld.insurance.arkansas.gov/NPILookup?Npi=1881694255","1881694255")</f>
        <v>1881694255</v>
      </c>
      <c r="E6365" s="1" t="s">
        <v>17957</v>
      </c>
      <c r="F6365" s="2"/>
      <c r="G6365" s="2"/>
      <c r="H6365" s="2"/>
    </row>
    <row r="6366" spans="1:8" x14ac:dyDescent="0.25">
      <c r="A6366" s="1"/>
      <c r="B6366" s="1" t="s">
        <v>4202</v>
      </c>
      <c r="C6366" s="1" t="s">
        <v>4203</v>
      </c>
      <c r="D6366" s="22" t="str">
        <f>HYPERLINK("https://rhld.insurance.arkansas.gov/NPILookup?Npi=1881708154","1881708154")</f>
        <v>1881708154</v>
      </c>
      <c r="E6366" s="1" t="s">
        <v>17958</v>
      </c>
      <c r="F6366" s="2"/>
      <c r="G6366" s="2"/>
      <c r="H6366" s="2"/>
    </row>
    <row r="6367" spans="1:8" x14ac:dyDescent="0.25">
      <c r="A6367" s="1"/>
      <c r="B6367" s="1" t="s">
        <v>4202</v>
      </c>
      <c r="C6367" s="1" t="s">
        <v>4203</v>
      </c>
      <c r="D6367" s="22" t="str">
        <f>HYPERLINK("https://rhld.insurance.arkansas.gov/NPILookup?Npi=1881716769","1881716769")</f>
        <v>1881716769</v>
      </c>
      <c r="E6367" s="1" t="s">
        <v>17959</v>
      </c>
      <c r="F6367" s="2"/>
      <c r="G6367" s="2"/>
      <c r="H6367" s="2"/>
    </row>
    <row r="6368" spans="1:8" x14ac:dyDescent="0.25">
      <c r="A6368" s="1"/>
      <c r="B6368" s="1" t="s">
        <v>4202</v>
      </c>
      <c r="C6368" s="1" t="s">
        <v>4203</v>
      </c>
      <c r="D6368" s="22" t="str">
        <f>HYPERLINK("https://rhld.insurance.arkansas.gov/NPILookup?Npi=1881773216","1881773216")</f>
        <v>1881773216</v>
      </c>
      <c r="E6368" s="1" t="s">
        <v>3068</v>
      </c>
      <c r="F6368" s="2"/>
      <c r="G6368" s="2"/>
      <c r="H6368" s="2"/>
    </row>
    <row r="6369" spans="1:8" x14ac:dyDescent="0.25">
      <c r="A6369" s="1"/>
      <c r="B6369" s="1" t="s">
        <v>4202</v>
      </c>
      <c r="C6369" s="1" t="s">
        <v>4203</v>
      </c>
      <c r="D6369" s="22" t="str">
        <f>HYPERLINK("https://rhld.insurance.arkansas.gov/NPILookup?Npi=1881782654","1881782654")</f>
        <v>1881782654</v>
      </c>
      <c r="E6369" s="1" t="s">
        <v>17960</v>
      </c>
      <c r="F6369" s="2"/>
      <c r="G6369" s="2"/>
      <c r="H6369" s="2"/>
    </row>
    <row r="6370" spans="1:8" x14ac:dyDescent="0.25">
      <c r="A6370" s="1"/>
      <c r="B6370" s="1" t="s">
        <v>4202</v>
      </c>
      <c r="C6370" s="1" t="s">
        <v>4203</v>
      </c>
      <c r="D6370" s="22" t="str">
        <f>HYPERLINK("https://rhld.insurance.arkansas.gov/NPILookup?Npi=1881809184","1881809184")</f>
        <v>1881809184</v>
      </c>
      <c r="E6370" s="1" t="s">
        <v>17961</v>
      </c>
      <c r="F6370" s="2"/>
      <c r="G6370" s="2"/>
      <c r="H6370" s="2"/>
    </row>
    <row r="6371" spans="1:8" x14ac:dyDescent="0.25">
      <c r="A6371" s="1"/>
      <c r="B6371" s="1" t="s">
        <v>4202</v>
      </c>
      <c r="C6371" s="1" t="s">
        <v>4203</v>
      </c>
      <c r="D6371" s="22" t="str">
        <f>HYPERLINK("https://rhld.insurance.arkansas.gov/NPILookup?Npi=1881815017","1881815017")</f>
        <v>1881815017</v>
      </c>
      <c r="E6371" s="1" t="s">
        <v>2093</v>
      </c>
      <c r="F6371" s="2"/>
      <c r="G6371" s="2"/>
      <c r="H6371" s="2"/>
    </row>
    <row r="6372" spans="1:8" x14ac:dyDescent="0.25">
      <c r="A6372" s="1"/>
      <c r="B6372" s="1" t="s">
        <v>4202</v>
      </c>
      <c r="C6372" s="1" t="s">
        <v>4203</v>
      </c>
      <c r="D6372" s="22" t="str">
        <f>HYPERLINK("https://rhld.insurance.arkansas.gov/NPILookup?Npi=1881875771","1881875771")</f>
        <v>1881875771</v>
      </c>
      <c r="E6372" s="1" t="s">
        <v>4521</v>
      </c>
      <c r="F6372" s="2"/>
      <c r="G6372" s="2"/>
      <c r="H6372" s="2"/>
    </row>
    <row r="6373" spans="1:8" x14ac:dyDescent="0.25">
      <c r="A6373" s="1"/>
      <c r="B6373" s="1" t="s">
        <v>4202</v>
      </c>
      <c r="C6373" s="1" t="s">
        <v>4203</v>
      </c>
      <c r="D6373" s="22" t="str">
        <f>HYPERLINK("https://rhld.insurance.arkansas.gov/NPILookup?Npi=1881910602","1881910602")</f>
        <v>1881910602</v>
      </c>
      <c r="E6373" s="1" t="s">
        <v>17962</v>
      </c>
      <c r="F6373" s="2"/>
      <c r="G6373" s="2"/>
      <c r="H6373" s="2"/>
    </row>
    <row r="6374" spans="1:8" x14ac:dyDescent="0.25">
      <c r="A6374" s="1"/>
      <c r="B6374" s="1" t="s">
        <v>4202</v>
      </c>
      <c r="C6374" s="1" t="s">
        <v>4203</v>
      </c>
      <c r="D6374" s="22" t="str">
        <f>HYPERLINK("https://rhld.insurance.arkansas.gov/NPILookup?Npi=1881984805","1881984805")</f>
        <v>1881984805</v>
      </c>
      <c r="E6374" s="1" t="s">
        <v>17964</v>
      </c>
      <c r="F6374" s="2"/>
      <c r="G6374" s="2"/>
      <c r="H6374" s="2"/>
    </row>
    <row r="6375" spans="1:8" x14ac:dyDescent="0.25">
      <c r="A6375" s="1"/>
      <c r="B6375" s="1" t="s">
        <v>4202</v>
      </c>
      <c r="C6375" s="1" t="s">
        <v>4203</v>
      </c>
      <c r="D6375" s="22" t="str">
        <f>HYPERLINK("https://rhld.insurance.arkansas.gov/NPILookup?Npi=1891038162","1891038162")</f>
        <v>1891038162</v>
      </c>
      <c r="E6375" s="1" t="s">
        <v>17965</v>
      </c>
      <c r="F6375" s="2"/>
      <c r="G6375" s="2"/>
      <c r="H6375" s="2"/>
    </row>
    <row r="6376" spans="1:8" x14ac:dyDescent="0.25">
      <c r="A6376" s="1"/>
      <c r="B6376" s="1" t="s">
        <v>4202</v>
      </c>
      <c r="C6376" s="1" t="s">
        <v>4203</v>
      </c>
      <c r="D6376" s="22" t="str">
        <f>HYPERLINK("https://rhld.insurance.arkansas.gov/NPILookup?Npi=1891084935","1891084935")</f>
        <v>1891084935</v>
      </c>
      <c r="E6376" s="1" t="s">
        <v>4522</v>
      </c>
      <c r="F6376" s="2"/>
      <c r="G6376" s="2"/>
      <c r="H6376" s="2"/>
    </row>
    <row r="6377" spans="1:8" x14ac:dyDescent="0.25">
      <c r="A6377" s="1"/>
      <c r="B6377" s="1" t="s">
        <v>4202</v>
      </c>
      <c r="C6377" s="1" t="s">
        <v>4203</v>
      </c>
      <c r="D6377" s="22" t="str">
        <f>HYPERLINK("https://rhld.insurance.arkansas.gov/NPILookup?Npi=1891135430","1891135430")</f>
        <v>1891135430</v>
      </c>
      <c r="E6377" s="1" t="s">
        <v>10473</v>
      </c>
      <c r="F6377" s="2"/>
      <c r="G6377" s="2"/>
      <c r="H6377" s="2"/>
    </row>
    <row r="6378" spans="1:8" x14ac:dyDescent="0.25">
      <c r="A6378" s="1"/>
      <c r="B6378" s="1" t="s">
        <v>4202</v>
      </c>
      <c r="C6378" s="1" t="s">
        <v>4203</v>
      </c>
      <c r="D6378" s="22" t="str">
        <f>HYPERLINK("https://rhld.insurance.arkansas.gov/NPILookup?Npi=1891146403","1891146403")</f>
        <v>1891146403</v>
      </c>
      <c r="E6378" s="1" t="s">
        <v>2892</v>
      </c>
      <c r="F6378" s="2"/>
      <c r="G6378" s="2"/>
      <c r="H6378" s="2"/>
    </row>
    <row r="6379" spans="1:8" x14ac:dyDescent="0.25">
      <c r="A6379" s="1"/>
      <c r="B6379" s="1" t="s">
        <v>4202</v>
      </c>
      <c r="C6379" s="1" t="s">
        <v>4203</v>
      </c>
      <c r="D6379" s="22" t="str">
        <f>HYPERLINK("https://rhld.insurance.arkansas.gov/NPILookup?Npi=1891161279","1891161279")</f>
        <v>1891161279</v>
      </c>
      <c r="E6379" s="1" t="s">
        <v>4523</v>
      </c>
      <c r="F6379" s="2"/>
      <c r="G6379" s="2"/>
      <c r="H6379" s="2"/>
    </row>
    <row r="6380" spans="1:8" x14ac:dyDescent="0.25">
      <c r="A6380" s="1"/>
      <c r="B6380" s="1" t="s">
        <v>4202</v>
      </c>
      <c r="C6380" s="1" t="s">
        <v>4203</v>
      </c>
      <c r="D6380" s="22" t="str">
        <f>HYPERLINK("https://rhld.insurance.arkansas.gov/NPILookup?Npi=1891315008","1891315008")</f>
        <v>1891315008</v>
      </c>
      <c r="E6380" s="1" t="s">
        <v>17967</v>
      </c>
      <c r="F6380" s="2"/>
      <c r="G6380" s="2"/>
      <c r="H6380" s="2"/>
    </row>
    <row r="6381" spans="1:8" x14ac:dyDescent="0.25">
      <c r="A6381" s="1"/>
      <c r="B6381" s="1" t="s">
        <v>4202</v>
      </c>
      <c r="C6381" s="1" t="s">
        <v>4203</v>
      </c>
      <c r="D6381" s="22" t="str">
        <f>HYPERLINK("https://rhld.insurance.arkansas.gov/NPILookup?Npi=1891373379","1891373379")</f>
        <v>1891373379</v>
      </c>
      <c r="E6381" s="1" t="s">
        <v>17968</v>
      </c>
      <c r="F6381" s="2"/>
      <c r="G6381" s="2"/>
      <c r="H6381" s="2"/>
    </row>
    <row r="6382" spans="1:8" x14ac:dyDescent="0.25">
      <c r="A6382" s="1"/>
      <c r="B6382" s="1" t="s">
        <v>4202</v>
      </c>
      <c r="C6382" s="1" t="s">
        <v>4203</v>
      </c>
      <c r="D6382" s="22" t="str">
        <f>HYPERLINK("https://rhld.insurance.arkansas.gov/NPILookup?Npi=1891735098","1891735098")</f>
        <v>1891735098</v>
      </c>
      <c r="E6382" s="1" t="s">
        <v>17742</v>
      </c>
      <c r="F6382" s="2"/>
      <c r="G6382" s="2"/>
      <c r="H6382" s="2"/>
    </row>
    <row r="6383" spans="1:8" x14ac:dyDescent="0.25">
      <c r="A6383" s="1"/>
      <c r="B6383" s="1" t="s">
        <v>4202</v>
      </c>
      <c r="C6383" s="1" t="s">
        <v>4203</v>
      </c>
      <c r="D6383" s="22" t="str">
        <f>HYPERLINK("https://rhld.insurance.arkansas.gov/NPILookup?Npi=1891782959","1891782959")</f>
        <v>1891782959</v>
      </c>
      <c r="E6383" s="1" t="s">
        <v>10474</v>
      </c>
      <c r="F6383" s="2"/>
      <c r="G6383" s="2"/>
      <c r="H6383" s="2"/>
    </row>
    <row r="6384" spans="1:8" x14ac:dyDescent="0.25">
      <c r="A6384" s="1"/>
      <c r="B6384" s="1" t="s">
        <v>4202</v>
      </c>
      <c r="C6384" s="1" t="s">
        <v>4203</v>
      </c>
      <c r="D6384" s="22" t="str">
        <f>HYPERLINK("https://rhld.insurance.arkansas.gov/NPILookup?Npi=1891826269","1891826269")</f>
        <v>1891826269</v>
      </c>
      <c r="E6384" s="1" t="s">
        <v>17969</v>
      </c>
      <c r="F6384" s="2"/>
      <c r="G6384" s="2"/>
      <c r="H6384" s="2"/>
    </row>
    <row r="6385" spans="1:8" x14ac:dyDescent="0.25">
      <c r="A6385" s="1"/>
      <c r="B6385" s="1" t="s">
        <v>4202</v>
      </c>
      <c r="C6385" s="1" t="s">
        <v>4203</v>
      </c>
      <c r="D6385" s="22" t="str">
        <f>HYPERLINK("https://rhld.insurance.arkansas.gov/NPILookup?Npi=1891942819","1891942819")</f>
        <v>1891942819</v>
      </c>
      <c r="E6385" s="1" t="s">
        <v>17971</v>
      </c>
      <c r="F6385" s="2"/>
      <c r="G6385" s="2"/>
      <c r="H6385" s="2"/>
    </row>
    <row r="6386" spans="1:8" x14ac:dyDescent="0.25">
      <c r="A6386" s="1"/>
      <c r="B6386" s="1" t="s">
        <v>4202</v>
      </c>
      <c r="C6386" s="1" t="s">
        <v>4203</v>
      </c>
      <c r="D6386" s="22" t="str">
        <f>HYPERLINK("https://rhld.insurance.arkansas.gov/NPILookup?Npi=1891959730","1891959730")</f>
        <v>1891959730</v>
      </c>
      <c r="E6386" s="1" t="s">
        <v>4524</v>
      </c>
      <c r="F6386" s="2"/>
      <c r="G6386" s="2"/>
      <c r="H6386" s="2"/>
    </row>
    <row r="6387" spans="1:8" x14ac:dyDescent="0.25">
      <c r="A6387" s="1"/>
      <c r="B6387" s="1" t="s">
        <v>4202</v>
      </c>
      <c r="C6387" s="1" t="s">
        <v>4203</v>
      </c>
      <c r="D6387" s="22" t="str">
        <f>HYPERLINK("https://rhld.insurance.arkansas.gov/NPILookup?Npi=1891968293","1891968293")</f>
        <v>1891968293</v>
      </c>
      <c r="E6387" s="1" t="s">
        <v>17972</v>
      </c>
      <c r="F6387" s="2"/>
      <c r="G6387" s="2"/>
      <c r="H6387" s="2"/>
    </row>
    <row r="6388" spans="1:8" x14ac:dyDescent="0.25">
      <c r="A6388" s="1"/>
      <c r="B6388" s="1" t="s">
        <v>4202</v>
      </c>
      <c r="C6388" s="1" t="s">
        <v>4203</v>
      </c>
      <c r="D6388" s="22" t="str">
        <f>HYPERLINK("https://rhld.insurance.arkansas.gov/NPILookup?Npi=1902005234","1902005234")</f>
        <v>1902005234</v>
      </c>
      <c r="E6388" s="1" t="s">
        <v>10475</v>
      </c>
      <c r="F6388" s="2"/>
      <c r="G6388" s="2"/>
      <c r="H6388" s="2"/>
    </row>
    <row r="6389" spans="1:8" x14ac:dyDescent="0.25">
      <c r="A6389" s="1"/>
      <c r="B6389" s="1" t="s">
        <v>4202</v>
      </c>
      <c r="C6389" s="1" t="s">
        <v>4203</v>
      </c>
      <c r="D6389" s="22" t="str">
        <f>HYPERLINK("https://rhld.insurance.arkansas.gov/NPILookup?Npi=1902009269","1902009269")</f>
        <v>1902009269</v>
      </c>
      <c r="E6389" s="1" t="s">
        <v>4525</v>
      </c>
      <c r="F6389" s="2"/>
      <c r="G6389" s="2"/>
      <c r="H6389" s="2"/>
    </row>
    <row r="6390" spans="1:8" x14ac:dyDescent="0.25">
      <c r="A6390" s="1"/>
      <c r="B6390" s="1" t="s">
        <v>4202</v>
      </c>
      <c r="C6390" s="1" t="s">
        <v>4203</v>
      </c>
      <c r="D6390" s="22" t="str">
        <f>HYPERLINK("https://rhld.insurance.arkansas.gov/NPILookup?Npi=1902037104","1902037104")</f>
        <v>1902037104</v>
      </c>
      <c r="E6390" s="1" t="s">
        <v>17973</v>
      </c>
      <c r="F6390" s="2"/>
      <c r="G6390" s="2"/>
      <c r="H6390" s="2"/>
    </row>
    <row r="6391" spans="1:8" x14ac:dyDescent="0.25">
      <c r="A6391" s="1"/>
      <c r="B6391" s="1" t="s">
        <v>4202</v>
      </c>
      <c r="C6391" s="1" t="s">
        <v>4203</v>
      </c>
      <c r="D6391" s="22" t="str">
        <f>HYPERLINK("https://rhld.insurance.arkansas.gov/NPILookup?Npi=1902038375","1902038375")</f>
        <v>1902038375</v>
      </c>
      <c r="E6391" s="1" t="s">
        <v>17974</v>
      </c>
      <c r="F6391" s="2"/>
      <c r="G6391" s="2"/>
      <c r="H6391" s="2"/>
    </row>
    <row r="6392" spans="1:8" x14ac:dyDescent="0.25">
      <c r="A6392" s="1"/>
      <c r="B6392" s="1" t="s">
        <v>4202</v>
      </c>
      <c r="C6392" s="1" t="s">
        <v>4203</v>
      </c>
      <c r="D6392" s="22" t="str">
        <f>HYPERLINK("https://rhld.insurance.arkansas.gov/NPILookup?Npi=1902068364","1902068364")</f>
        <v>1902068364</v>
      </c>
      <c r="E6392" s="1" t="s">
        <v>17975</v>
      </c>
      <c r="F6392" s="2"/>
      <c r="G6392" s="2"/>
      <c r="H6392" s="2"/>
    </row>
    <row r="6393" spans="1:8" x14ac:dyDescent="0.25">
      <c r="A6393" s="1"/>
      <c r="B6393" s="1" t="s">
        <v>4202</v>
      </c>
      <c r="C6393" s="1" t="s">
        <v>4203</v>
      </c>
      <c r="D6393" s="22" t="str">
        <f>HYPERLINK("https://rhld.insurance.arkansas.gov/NPILookup?Npi=1902072077","1902072077")</f>
        <v>1902072077</v>
      </c>
      <c r="E6393" s="1" t="s">
        <v>17976</v>
      </c>
      <c r="F6393" s="2"/>
      <c r="G6393" s="2"/>
      <c r="H6393" s="2"/>
    </row>
    <row r="6394" spans="1:8" x14ac:dyDescent="0.25">
      <c r="A6394" s="1"/>
      <c r="B6394" s="1" t="s">
        <v>4202</v>
      </c>
      <c r="C6394" s="1" t="s">
        <v>4203</v>
      </c>
      <c r="D6394" s="22" t="str">
        <f>HYPERLINK("https://rhld.insurance.arkansas.gov/NPILookup?Npi=1902093594","1902093594")</f>
        <v>1902093594</v>
      </c>
      <c r="E6394" s="1" t="s">
        <v>17977</v>
      </c>
      <c r="F6394" s="2"/>
      <c r="G6394" s="2"/>
      <c r="H6394" s="2"/>
    </row>
    <row r="6395" spans="1:8" x14ac:dyDescent="0.25">
      <c r="A6395" s="1"/>
      <c r="B6395" s="1" t="s">
        <v>4202</v>
      </c>
      <c r="C6395" s="1" t="s">
        <v>4203</v>
      </c>
      <c r="D6395" s="22" t="str">
        <f>HYPERLINK("https://rhld.insurance.arkansas.gov/NPILookup?Npi=1902156839","1902156839")</f>
        <v>1902156839</v>
      </c>
      <c r="E6395" s="1" t="s">
        <v>10476</v>
      </c>
      <c r="F6395" s="2"/>
      <c r="G6395" s="2"/>
      <c r="H6395" s="2"/>
    </row>
    <row r="6396" spans="1:8" x14ac:dyDescent="0.25">
      <c r="A6396" s="1"/>
      <c r="B6396" s="1" t="s">
        <v>4202</v>
      </c>
      <c r="C6396" s="1" t="s">
        <v>4203</v>
      </c>
      <c r="D6396" s="22" t="str">
        <f>HYPERLINK("https://rhld.insurance.arkansas.gov/NPILookup?Npi=1902162175","1902162175")</f>
        <v>1902162175</v>
      </c>
      <c r="E6396" s="1" t="s">
        <v>4526</v>
      </c>
      <c r="F6396" s="2"/>
      <c r="G6396" s="2"/>
      <c r="H6396" s="2"/>
    </row>
    <row r="6397" spans="1:8" x14ac:dyDescent="0.25">
      <c r="A6397" s="1"/>
      <c r="B6397" s="1" t="s">
        <v>4202</v>
      </c>
      <c r="C6397" s="1" t="s">
        <v>4203</v>
      </c>
      <c r="D6397" s="22" t="str">
        <f>HYPERLINK("https://rhld.insurance.arkansas.gov/NPILookup?Npi=1902224314","1902224314")</f>
        <v>1902224314</v>
      </c>
      <c r="E6397" s="1" t="s">
        <v>4527</v>
      </c>
      <c r="F6397" s="2"/>
      <c r="G6397" s="2"/>
      <c r="H6397" s="2"/>
    </row>
    <row r="6398" spans="1:8" x14ac:dyDescent="0.25">
      <c r="A6398" s="1"/>
      <c r="B6398" s="1" t="s">
        <v>4202</v>
      </c>
      <c r="C6398" s="1" t="s">
        <v>4203</v>
      </c>
      <c r="D6398" s="22" t="str">
        <f>HYPERLINK("https://rhld.insurance.arkansas.gov/NPILookup?Npi=1902225220","1902225220")</f>
        <v>1902225220</v>
      </c>
      <c r="E6398" s="1" t="s">
        <v>17978</v>
      </c>
      <c r="F6398" s="2"/>
      <c r="G6398" s="2"/>
      <c r="H6398" s="2"/>
    </row>
    <row r="6399" spans="1:8" x14ac:dyDescent="0.25">
      <c r="A6399" s="1"/>
      <c r="B6399" s="1" t="s">
        <v>4202</v>
      </c>
      <c r="C6399" s="1" t="s">
        <v>4203</v>
      </c>
      <c r="D6399" s="22" t="str">
        <f>HYPERLINK("https://rhld.insurance.arkansas.gov/NPILookup?Npi=1902246333","1902246333")</f>
        <v>1902246333</v>
      </c>
      <c r="E6399" s="1" t="s">
        <v>17980</v>
      </c>
      <c r="F6399" s="2"/>
      <c r="G6399" s="2"/>
      <c r="H6399" s="2"/>
    </row>
    <row r="6400" spans="1:8" x14ac:dyDescent="0.25">
      <c r="A6400" s="1"/>
      <c r="B6400" s="1" t="s">
        <v>4202</v>
      </c>
      <c r="C6400" s="1" t="s">
        <v>4203</v>
      </c>
      <c r="D6400" s="22" t="str">
        <f>HYPERLINK("https://rhld.insurance.arkansas.gov/NPILookup?Npi=1902307762","1902307762")</f>
        <v>1902307762</v>
      </c>
      <c r="E6400" s="1" t="s">
        <v>17981</v>
      </c>
      <c r="F6400" s="2"/>
      <c r="G6400" s="2"/>
      <c r="H6400" s="2"/>
    </row>
    <row r="6401" spans="1:8" x14ac:dyDescent="0.25">
      <c r="A6401" s="1"/>
      <c r="B6401" s="1" t="s">
        <v>4202</v>
      </c>
      <c r="C6401" s="1" t="s">
        <v>4203</v>
      </c>
      <c r="D6401" s="22" t="str">
        <f>HYPERLINK("https://rhld.insurance.arkansas.gov/NPILookup?Npi=1902397789","1902397789")</f>
        <v>1902397789</v>
      </c>
      <c r="E6401" s="1" t="s">
        <v>4528</v>
      </c>
      <c r="F6401" s="2"/>
      <c r="G6401" s="2"/>
      <c r="H6401" s="2"/>
    </row>
    <row r="6402" spans="1:8" x14ac:dyDescent="0.25">
      <c r="A6402" s="1"/>
      <c r="B6402" s="1" t="s">
        <v>4202</v>
      </c>
      <c r="C6402" s="1" t="s">
        <v>4203</v>
      </c>
      <c r="D6402" s="22" t="str">
        <f>HYPERLINK("https://rhld.insurance.arkansas.gov/NPILookup?Npi=1902808645","1902808645")</f>
        <v>1902808645</v>
      </c>
      <c r="E6402" s="1" t="s">
        <v>4529</v>
      </c>
      <c r="F6402" s="2"/>
      <c r="G6402" s="2"/>
      <c r="H6402" s="2"/>
    </row>
    <row r="6403" spans="1:8" x14ac:dyDescent="0.25">
      <c r="A6403" s="1"/>
      <c r="B6403" s="1" t="s">
        <v>4202</v>
      </c>
      <c r="C6403" s="1" t="s">
        <v>4203</v>
      </c>
      <c r="D6403" s="22" t="str">
        <f>HYPERLINK("https://rhld.insurance.arkansas.gov/NPILookup?Npi=1902820004","1902820004")</f>
        <v>1902820004</v>
      </c>
      <c r="E6403" s="1" t="s">
        <v>31470</v>
      </c>
      <c r="F6403" s="2"/>
      <c r="G6403" s="2"/>
      <c r="H6403" s="2"/>
    </row>
    <row r="6404" spans="1:8" x14ac:dyDescent="0.25">
      <c r="A6404" s="1"/>
      <c r="B6404" s="1" t="s">
        <v>4202</v>
      </c>
      <c r="C6404" s="1" t="s">
        <v>4203</v>
      </c>
      <c r="D6404" s="22" t="str">
        <f>HYPERLINK("https://rhld.insurance.arkansas.gov/NPILookup?Npi=1902832710","1902832710")</f>
        <v>1902832710</v>
      </c>
      <c r="E6404" s="1" t="s">
        <v>10477</v>
      </c>
      <c r="F6404" s="2"/>
      <c r="G6404" s="2"/>
      <c r="H6404" s="2"/>
    </row>
    <row r="6405" spans="1:8" x14ac:dyDescent="0.25">
      <c r="A6405" s="1"/>
      <c r="B6405" s="1" t="s">
        <v>4202</v>
      </c>
      <c r="C6405" s="1" t="s">
        <v>4203</v>
      </c>
      <c r="D6405" s="22" t="str">
        <f>HYPERLINK("https://rhld.insurance.arkansas.gov/NPILookup?Npi=1902837776","1902837776")</f>
        <v>1902837776</v>
      </c>
      <c r="E6405" s="1" t="s">
        <v>273</v>
      </c>
      <c r="F6405" s="2"/>
      <c r="G6405" s="2"/>
      <c r="H6405" s="2"/>
    </row>
    <row r="6406" spans="1:8" x14ac:dyDescent="0.25">
      <c r="A6406" s="1"/>
      <c r="B6406" s="1" t="s">
        <v>4202</v>
      </c>
      <c r="C6406" s="1" t="s">
        <v>4203</v>
      </c>
      <c r="D6406" s="22" t="str">
        <f>HYPERLINK("https://rhld.insurance.arkansas.gov/NPILookup?Npi=1902910516","1902910516")</f>
        <v>1902910516</v>
      </c>
      <c r="E6406" s="1" t="s">
        <v>17982</v>
      </c>
      <c r="F6406" s="2"/>
      <c r="G6406" s="2"/>
      <c r="H6406" s="2"/>
    </row>
    <row r="6407" spans="1:8" x14ac:dyDescent="0.25">
      <c r="A6407" s="1"/>
      <c r="B6407" s="1" t="s">
        <v>4202</v>
      </c>
      <c r="C6407" s="1" t="s">
        <v>4203</v>
      </c>
      <c r="D6407" s="22" t="str">
        <f>HYPERLINK("https://rhld.insurance.arkansas.gov/NPILookup?Npi=1902979214","1902979214")</f>
        <v>1902979214</v>
      </c>
      <c r="E6407" s="1" t="s">
        <v>10478</v>
      </c>
      <c r="F6407" s="2"/>
      <c r="G6407" s="2"/>
      <c r="H6407" s="2"/>
    </row>
    <row r="6408" spans="1:8" x14ac:dyDescent="0.25">
      <c r="A6408" s="1"/>
      <c r="B6408" s="1" t="s">
        <v>4202</v>
      </c>
      <c r="C6408" s="1" t="s">
        <v>4203</v>
      </c>
      <c r="D6408" s="22" t="str">
        <f>HYPERLINK("https://rhld.insurance.arkansas.gov/NPILookup?Npi=1912136870","1912136870")</f>
        <v>1912136870</v>
      </c>
      <c r="E6408" s="1" t="s">
        <v>17983</v>
      </c>
      <c r="F6408" s="2"/>
      <c r="G6408" s="2"/>
      <c r="H6408" s="2"/>
    </row>
    <row r="6409" spans="1:8" x14ac:dyDescent="0.25">
      <c r="A6409" s="1"/>
      <c r="B6409" s="1" t="s">
        <v>4202</v>
      </c>
      <c r="C6409" s="1" t="s">
        <v>4203</v>
      </c>
      <c r="D6409" s="22" t="str">
        <f>HYPERLINK("https://rhld.insurance.arkansas.gov/NPILookup?Npi=1912139320","1912139320")</f>
        <v>1912139320</v>
      </c>
      <c r="E6409" s="1" t="s">
        <v>17984</v>
      </c>
      <c r="F6409" s="2"/>
      <c r="G6409" s="2"/>
      <c r="H6409" s="2"/>
    </row>
    <row r="6410" spans="1:8" x14ac:dyDescent="0.25">
      <c r="A6410" s="1"/>
      <c r="B6410" s="1" t="s">
        <v>4202</v>
      </c>
      <c r="C6410" s="1" t="s">
        <v>4203</v>
      </c>
      <c r="D6410" s="22" t="str">
        <f>HYPERLINK("https://rhld.insurance.arkansas.gov/NPILookup?Npi=1912295411","1912295411")</f>
        <v>1912295411</v>
      </c>
      <c r="E6410" s="1" t="s">
        <v>17986</v>
      </c>
      <c r="F6410" s="2"/>
      <c r="G6410" s="2"/>
      <c r="H6410" s="2"/>
    </row>
    <row r="6411" spans="1:8" x14ac:dyDescent="0.25">
      <c r="A6411" s="1"/>
      <c r="B6411" s="1" t="s">
        <v>4202</v>
      </c>
      <c r="C6411" s="1" t="s">
        <v>4203</v>
      </c>
      <c r="D6411" s="22" t="str">
        <f>HYPERLINK("https://rhld.insurance.arkansas.gov/NPILookup?Npi=1912318973","1912318973")</f>
        <v>1912318973</v>
      </c>
      <c r="E6411" s="1" t="s">
        <v>4530</v>
      </c>
      <c r="F6411" s="2"/>
      <c r="G6411" s="2"/>
      <c r="H6411" s="2"/>
    </row>
    <row r="6412" spans="1:8" x14ac:dyDescent="0.25">
      <c r="A6412" s="1"/>
      <c r="B6412" s="1" t="s">
        <v>4202</v>
      </c>
      <c r="C6412" s="1" t="s">
        <v>4203</v>
      </c>
      <c r="D6412" s="22" t="str">
        <f>HYPERLINK("https://rhld.insurance.arkansas.gov/NPILookup?Npi=1912385667","1912385667")</f>
        <v>1912385667</v>
      </c>
      <c r="E6412" s="1" t="s">
        <v>17987</v>
      </c>
      <c r="F6412" s="2"/>
      <c r="G6412" s="2"/>
      <c r="H6412" s="2"/>
    </row>
    <row r="6413" spans="1:8" x14ac:dyDescent="0.25">
      <c r="A6413" s="1"/>
      <c r="B6413" s="1" t="s">
        <v>4202</v>
      </c>
      <c r="C6413" s="1" t="s">
        <v>4203</v>
      </c>
      <c r="D6413" s="22" t="str">
        <f>HYPERLINK("https://rhld.insurance.arkansas.gov/NPILookup?Npi=1912403445","1912403445")</f>
        <v>1912403445</v>
      </c>
      <c r="E6413" s="1" t="s">
        <v>17988</v>
      </c>
      <c r="F6413" s="2"/>
      <c r="G6413" s="2"/>
      <c r="H6413" s="2"/>
    </row>
    <row r="6414" spans="1:8" x14ac:dyDescent="0.25">
      <c r="A6414" s="1"/>
      <c r="B6414" s="1" t="s">
        <v>4202</v>
      </c>
      <c r="C6414" s="1" t="s">
        <v>4203</v>
      </c>
      <c r="D6414" s="22" t="str">
        <f>HYPERLINK("https://rhld.insurance.arkansas.gov/NPILookup?Npi=1912434127","1912434127")</f>
        <v>1912434127</v>
      </c>
      <c r="E6414" s="1" t="s">
        <v>17989</v>
      </c>
      <c r="F6414" s="2"/>
      <c r="G6414" s="2"/>
      <c r="H6414" s="2"/>
    </row>
    <row r="6415" spans="1:8" x14ac:dyDescent="0.25">
      <c r="A6415" s="1"/>
      <c r="B6415" s="1" t="s">
        <v>4202</v>
      </c>
      <c r="C6415" s="1" t="s">
        <v>4203</v>
      </c>
      <c r="D6415" s="22" t="str">
        <f>HYPERLINK("https://rhld.insurance.arkansas.gov/NPILookup?Npi=1912521253","1912521253")</f>
        <v>1912521253</v>
      </c>
      <c r="E6415" s="1" t="s">
        <v>17990</v>
      </c>
      <c r="F6415" s="2"/>
      <c r="G6415" s="2"/>
      <c r="H6415" s="2"/>
    </row>
    <row r="6416" spans="1:8" x14ac:dyDescent="0.25">
      <c r="A6416" s="1"/>
      <c r="B6416" s="1" t="s">
        <v>4202</v>
      </c>
      <c r="C6416" s="1" t="s">
        <v>4203</v>
      </c>
      <c r="D6416" s="22" t="str">
        <f>HYPERLINK("https://rhld.insurance.arkansas.gov/NPILookup?Npi=1912927054","1912927054")</f>
        <v>1912927054</v>
      </c>
      <c r="E6416" s="1" t="s">
        <v>4531</v>
      </c>
      <c r="F6416" s="2"/>
      <c r="G6416" s="2"/>
      <c r="H6416" s="2"/>
    </row>
    <row r="6417" spans="1:8" x14ac:dyDescent="0.25">
      <c r="A6417" s="1"/>
      <c r="B6417" s="1" t="s">
        <v>4202</v>
      </c>
      <c r="C6417" s="1" t="s">
        <v>4203</v>
      </c>
      <c r="D6417" s="22" t="str">
        <f>HYPERLINK("https://rhld.insurance.arkansas.gov/NPILookup?Npi=1912933409","1912933409")</f>
        <v>1912933409</v>
      </c>
      <c r="E6417" s="1" t="s">
        <v>4532</v>
      </c>
      <c r="F6417" s="2"/>
      <c r="G6417" s="2"/>
      <c r="H6417" s="2"/>
    </row>
    <row r="6418" spans="1:8" x14ac:dyDescent="0.25">
      <c r="A6418" s="1"/>
      <c r="B6418" s="1" t="s">
        <v>4202</v>
      </c>
      <c r="C6418" s="1" t="s">
        <v>4203</v>
      </c>
      <c r="D6418" s="22" t="str">
        <f>HYPERLINK("https://rhld.insurance.arkansas.gov/NPILookup?Npi=1912933854","1912933854")</f>
        <v>1912933854</v>
      </c>
      <c r="E6418" s="1" t="s">
        <v>17992</v>
      </c>
      <c r="F6418" s="2"/>
      <c r="G6418" s="2"/>
      <c r="H6418" s="2"/>
    </row>
    <row r="6419" spans="1:8" x14ac:dyDescent="0.25">
      <c r="A6419" s="1"/>
      <c r="B6419" s="1" t="s">
        <v>4202</v>
      </c>
      <c r="C6419" s="1" t="s">
        <v>4203</v>
      </c>
      <c r="D6419" s="22" t="str">
        <f>HYPERLINK("https://rhld.insurance.arkansas.gov/NPILookup?Npi=1912946021","1912946021")</f>
        <v>1912946021</v>
      </c>
      <c r="E6419" s="1" t="s">
        <v>31471</v>
      </c>
      <c r="F6419" s="2"/>
      <c r="G6419" s="2"/>
      <c r="H6419" s="2"/>
    </row>
    <row r="6420" spans="1:8" x14ac:dyDescent="0.25">
      <c r="A6420" s="1"/>
      <c r="B6420" s="1" t="s">
        <v>4202</v>
      </c>
      <c r="C6420" s="1" t="s">
        <v>4203</v>
      </c>
      <c r="D6420" s="22" t="str">
        <f>HYPERLINK("https://rhld.insurance.arkansas.gov/NPILookup?Npi=1912951856","1912951856")</f>
        <v>1912951856</v>
      </c>
      <c r="E6420" s="1" t="s">
        <v>2615</v>
      </c>
      <c r="F6420" s="2"/>
      <c r="G6420" s="2"/>
      <c r="H6420" s="2"/>
    </row>
    <row r="6421" spans="1:8" x14ac:dyDescent="0.25">
      <c r="A6421" s="1"/>
      <c r="B6421" s="1" t="s">
        <v>4202</v>
      </c>
      <c r="C6421" s="1" t="s">
        <v>4203</v>
      </c>
      <c r="D6421" s="22" t="str">
        <f>HYPERLINK("https://rhld.insurance.arkansas.gov/NPILookup?Npi=1912962143","1912962143")</f>
        <v>1912962143</v>
      </c>
      <c r="E6421" s="1" t="s">
        <v>17993</v>
      </c>
      <c r="F6421" s="2"/>
      <c r="G6421" s="2"/>
      <c r="H6421" s="2"/>
    </row>
    <row r="6422" spans="1:8" x14ac:dyDescent="0.25">
      <c r="A6422" s="1"/>
      <c r="B6422" s="1" t="s">
        <v>4202</v>
      </c>
      <c r="C6422" s="1" t="s">
        <v>4203</v>
      </c>
      <c r="D6422" s="22" t="str">
        <f>HYPERLINK("https://rhld.insurance.arkansas.gov/NPILookup?Npi=1922001668","1922001668")</f>
        <v>1922001668</v>
      </c>
      <c r="E6422" s="1" t="s">
        <v>4533</v>
      </c>
      <c r="F6422" s="2"/>
      <c r="G6422" s="2"/>
      <c r="H6422" s="2"/>
    </row>
    <row r="6423" spans="1:8" x14ac:dyDescent="0.25">
      <c r="A6423" s="1"/>
      <c r="B6423" s="1" t="s">
        <v>4202</v>
      </c>
      <c r="C6423" s="1" t="s">
        <v>4203</v>
      </c>
      <c r="D6423" s="22" t="str">
        <f>HYPERLINK("https://rhld.insurance.arkansas.gov/NPILookup?Npi=1922036268","1922036268")</f>
        <v>1922036268</v>
      </c>
      <c r="E6423" s="1" t="s">
        <v>31472</v>
      </c>
      <c r="F6423" s="2"/>
      <c r="G6423" s="2"/>
      <c r="H6423" s="2"/>
    </row>
    <row r="6424" spans="1:8" x14ac:dyDescent="0.25">
      <c r="A6424" s="1"/>
      <c r="B6424" s="1" t="s">
        <v>4202</v>
      </c>
      <c r="C6424" s="1" t="s">
        <v>4203</v>
      </c>
      <c r="D6424" s="22" t="str">
        <f>HYPERLINK("https://rhld.insurance.arkansas.gov/NPILookup?Npi=1922041342","1922041342")</f>
        <v>1922041342</v>
      </c>
      <c r="E6424" s="1" t="s">
        <v>10480</v>
      </c>
      <c r="F6424" s="2"/>
      <c r="G6424" s="2"/>
      <c r="H6424" s="2"/>
    </row>
    <row r="6425" spans="1:8" x14ac:dyDescent="0.25">
      <c r="A6425" s="1"/>
      <c r="B6425" s="1" t="s">
        <v>4202</v>
      </c>
      <c r="C6425" s="1" t="s">
        <v>4203</v>
      </c>
      <c r="D6425" s="22" t="str">
        <f>HYPERLINK("https://rhld.insurance.arkansas.gov/NPILookup?Npi=1922057900","1922057900")</f>
        <v>1922057900</v>
      </c>
      <c r="E6425" s="1" t="s">
        <v>718</v>
      </c>
      <c r="F6425" s="2"/>
      <c r="G6425" s="2"/>
      <c r="H6425" s="2"/>
    </row>
    <row r="6426" spans="1:8" x14ac:dyDescent="0.25">
      <c r="A6426" s="1"/>
      <c r="B6426" s="1" t="s">
        <v>4202</v>
      </c>
      <c r="C6426" s="1" t="s">
        <v>4203</v>
      </c>
      <c r="D6426" s="22" t="str">
        <f>HYPERLINK("https://rhld.insurance.arkansas.gov/NPILookup?Npi=1922094432","1922094432")</f>
        <v>1922094432</v>
      </c>
      <c r="E6426" s="1" t="s">
        <v>31473</v>
      </c>
      <c r="F6426" s="2"/>
      <c r="G6426" s="2"/>
      <c r="H6426" s="2"/>
    </row>
    <row r="6427" spans="1:8" x14ac:dyDescent="0.25">
      <c r="A6427" s="1"/>
      <c r="B6427" s="1" t="s">
        <v>4202</v>
      </c>
      <c r="C6427" s="1" t="s">
        <v>4203</v>
      </c>
      <c r="D6427" s="22" t="str">
        <f>HYPERLINK("https://rhld.insurance.arkansas.gov/NPILookup?Npi=1922115310","1922115310")</f>
        <v>1922115310</v>
      </c>
      <c r="E6427" s="1" t="s">
        <v>17995</v>
      </c>
      <c r="F6427" s="2"/>
      <c r="G6427" s="2"/>
      <c r="H6427" s="2"/>
    </row>
    <row r="6428" spans="1:8" x14ac:dyDescent="0.25">
      <c r="A6428" s="1"/>
      <c r="B6428" s="1" t="s">
        <v>4202</v>
      </c>
      <c r="C6428" s="1" t="s">
        <v>4203</v>
      </c>
      <c r="D6428" s="22" t="str">
        <f>HYPERLINK("https://rhld.insurance.arkansas.gov/NPILookup?Npi=1922199546","1922199546")</f>
        <v>1922199546</v>
      </c>
      <c r="E6428" s="1" t="s">
        <v>17996</v>
      </c>
      <c r="F6428" s="2"/>
      <c r="G6428" s="2"/>
      <c r="H6428" s="2"/>
    </row>
    <row r="6429" spans="1:8" x14ac:dyDescent="0.25">
      <c r="A6429" s="1"/>
      <c r="B6429" s="1" t="s">
        <v>4202</v>
      </c>
      <c r="C6429" s="1" t="s">
        <v>4203</v>
      </c>
      <c r="D6429" s="22" t="str">
        <f>HYPERLINK("https://rhld.insurance.arkansas.gov/NPILookup?Npi=1922208768","1922208768")</f>
        <v>1922208768</v>
      </c>
      <c r="E6429" s="1" t="s">
        <v>17997</v>
      </c>
      <c r="F6429" s="2"/>
      <c r="G6429" s="2"/>
      <c r="H6429" s="2"/>
    </row>
    <row r="6430" spans="1:8" x14ac:dyDescent="0.25">
      <c r="A6430" s="1"/>
      <c r="B6430" s="1" t="s">
        <v>4202</v>
      </c>
      <c r="C6430" s="1" t="s">
        <v>4203</v>
      </c>
      <c r="D6430" s="22" t="str">
        <f>HYPERLINK("https://rhld.insurance.arkansas.gov/NPILookup?Npi=1922386184","1922386184")</f>
        <v>1922386184</v>
      </c>
      <c r="E6430" s="1" t="s">
        <v>17998</v>
      </c>
      <c r="F6430" s="2"/>
      <c r="G6430" s="2"/>
      <c r="H6430" s="2"/>
    </row>
    <row r="6431" spans="1:8" x14ac:dyDescent="0.25">
      <c r="A6431" s="1"/>
      <c r="B6431" s="1" t="s">
        <v>4202</v>
      </c>
      <c r="C6431" s="1" t="s">
        <v>4203</v>
      </c>
      <c r="D6431" s="22" t="str">
        <f>HYPERLINK("https://rhld.insurance.arkansas.gov/NPILookup?Npi=1922428077","1922428077")</f>
        <v>1922428077</v>
      </c>
      <c r="E6431" s="1" t="s">
        <v>17999</v>
      </c>
      <c r="F6431" s="2"/>
      <c r="G6431" s="2"/>
      <c r="H6431" s="2"/>
    </row>
    <row r="6432" spans="1:8" x14ac:dyDescent="0.25">
      <c r="A6432" s="1"/>
      <c r="B6432" s="1" t="s">
        <v>4202</v>
      </c>
      <c r="C6432" s="1" t="s">
        <v>4203</v>
      </c>
      <c r="D6432" s="22" t="str">
        <f>HYPERLINK("https://rhld.insurance.arkansas.gov/NPILookup?Npi=1922442813","1922442813")</f>
        <v>1922442813</v>
      </c>
      <c r="E6432" s="1" t="s">
        <v>31474</v>
      </c>
      <c r="F6432" s="2"/>
      <c r="G6432" s="2"/>
      <c r="H6432" s="2"/>
    </row>
    <row r="6433" spans="1:8" x14ac:dyDescent="0.25">
      <c r="A6433" s="1"/>
      <c r="B6433" s="1" t="s">
        <v>4202</v>
      </c>
      <c r="C6433" s="1" t="s">
        <v>4203</v>
      </c>
      <c r="D6433" s="22" t="str">
        <f>HYPERLINK("https://rhld.insurance.arkansas.gov/NPILookup?Npi=1922486075","1922486075")</f>
        <v>1922486075</v>
      </c>
      <c r="E6433" s="1" t="s">
        <v>4534</v>
      </c>
      <c r="F6433" s="2"/>
      <c r="G6433" s="2"/>
      <c r="H6433" s="2"/>
    </row>
    <row r="6434" spans="1:8" x14ac:dyDescent="0.25">
      <c r="A6434" s="1"/>
      <c r="B6434" s="1" t="s">
        <v>4202</v>
      </c>
      <c r="C6434" s="1" t="s">
        <v>4203</v>
      </c>
      <c r="D6434" s="22" t="str">
        <f>HYPERLINK("https://rhld.insurance.arkansas.gov/NPILookup?Npi=1922487883","1922487883")</f>
        <v>1922487883</v>
      </c>
      <c r="E6434" s="1" t="s">
        <v>10481</v>
      </c>
      <c r="F6434" s="2"/>
      <c r="G6434" s="2"/>
      <c r="H6434" s="2"/>
    </row>
    <row r="6435" spans="1:8" x14ac:dyDescent="0.25">
      <c r="A6435" s="1"/>
      <c r="B6435" s="1" t="s">
        <v>4202</v>
      </c>
      <c r="C6435" s="1" t="s">
        <v>4203</v>
      </c>
      <c r="D6435" s="22" t="str">
        <f>HYPERLINK("https://rhld.insurance.arkansas.gov/NPILookup?Npi=1922493998","1922493998")</f>
        <v>1922493998</v>
      </c>
      <c r="E6435" s="1" t="s">
        <v>18000</v>
      </c>
      <c r="F6435" s="2"/>
      <c r="G6435" s="2"/>
      <c r="H6435" s="2"/>
    </row>
    <row r="6436" spans="1:8" x14ac:dyDescent="0.25">
      <c r="A6436" s="1"/>
      <c r="B6436" s="1" t="s">
        <v>4202</v>
      </c>
      <c r="C6436" s="1" t="s">
        <v>4203</v>
      </c>
      <c r="D6436" s="22" t="str">
        <f>HYPERLINK("https://rhld.insurance.arkansas.gov/NPILookup?Npi=1922495878","1922495878")</f>
        <v>1922495878</v>
      </c>
      <c r="E6436" s="1" t="s">
        <v>18001</v>
      </c>
      <c r="F6436" s="2"/>
      <c r="G6436" s="2"/>
      <c r="H6436" s="2"/>
    </row>
    <row r="6437" spans="1:8" x14ac:dyDescent="0.25">
      <c r="A6437" s="1"/>
      <c r="B6437" s="1" t="s">
        <v>4202</v>
      </c>
      <c r="C6437" s="1" t="s">
        <v>4203</v>
      </c>
      <c r="D6437" s="22" t="str">
        <f>HYPERLINK("https://rhld.insurance.arkansas.gov/NPILookup?Npi=1922539907","1922539907")</f>
        <v>1922539907</v>
      </c>
      <c r="E6437" s="1" t="s">
        <v>18002</v>
      </c>
      <c r="F6437" s="2"/>
      <c r="G6437" s="2"/>
      <c r="H6437" s="2"/>
    </row>
    <row r="6438" spans="1:8" x14ac:dyDescent="0.25">
      <c r="A6438" s="1"/>
      <c r="B6438" s="1" t="s">
        <v>4202</v>
      </c>
      <c r="C6438" s="1" t="s">
        <v>4203</v>
      </c>
      <c r="D6438" s="22" t="str">
        <f>HYPERLINK("https://rhld.insurance.arkansas.gov/NPILookup?Npi=1922621267","1922621267")</f>
        <v>1922621267</v>
      </c>
      <c r="E6438" s="1" t="s">
        <v>18003</v>
      </c>
      <c r="F6438" s="2"/>
      <c r="G6438" s="2"/>
      <c r="H6438" s="2"/>
    </row>
    <row r="6439" spans="1:8" x14ac:dyDescent="0.25">
      <c r="A6439" s="1"/>
      <c r="B6439" s="1" t="s">
        <v>4202</v>
      </c>
      <c r="C6439" s="1" t="s">
        <v>4203</v>
      </c>
      <c r="D6439" s="22" t="str">
        <f>HYPERLINK("https://rhld.insurance.arkansas.gov/NPILookup?Npi=1922627249","1922627249")</f>
        <v>1922627249</v>
      </c>
      <c r="E6439" s="1" t="s">
        <v>10482</v>
      </c>
      <c r="F6439" s="2"/>
      <c r="G6439" s="2"/>
      <c r="H6439" s="2"/>
    </row>
    <row r="6440" spans="1:8" x14ac:dyDescent="0.25">
      <c r="A6440" s="1"/>
      <c r="B6440" s="1" t="s">
        <v>4202</v>
      </c>
      <c r="C6440" s="1" t="s">
        <v>4203</v>
      </c>
      <c r="D6440" s="22" t="str">
        <f>HYPERLINK("https://rhld.insurance.arkansas.gov/NPILookup?Npi=1922663350","1922663350")</f>
        <v>1922663350</v>
      </c>
      <c r="E6440" s="1" t="s">
        <v>18004</v>
      </c>
      <c r="F6440" s="2"/>
      <c r="G6440" s="2"/>
      <c r="H6440" s="2"/>
    </row>
    <row r="6441" spans="1:8" x14ac:dyDescent="0.25">
      <c r="A6441" s="1"/>
      <c r="B6441" s="1" t="s">
        <v>4202</v>
      </c>
      <c r="C6441" s="1" t="s">
        <v>4203</v>
      </c>
      <c r="D6441" s="22" t="str">
        <f>HYPERLINK("https://rhld.insurance.arkansas.gov/NPILookup?Npi=1932111325","1932111325")</f>
        <v>1932111325</v>
      </c>
      <c r="E6441" s="1" t="s">
        <v>10483</v>
      </c>
      <c r="F6441" s="2"/>
      <c r="G6441" s="2"/>
      <c r="H6441" s="2"/>
    </row>
    <row r="6442" spans="1:8" x14ac:dyDescent="0.25">
      <c r="A6442" s="1"/>
      <c r="B6442" s="1" t="s">
        <v>4202</v>
      </c>
      <c r="C6442" s="1" t="s">
        <v>4203</v>
      </c>
      <c r="D6442" s="22" t="str">
        <f>HYPERLINK("https://rhld.insurance.arkansas.gov/NPILookup?Npi=1932119377","1932119377")</f>
        <v>1932119377</v>
      </c>
      <c r="E6442" s="1" t="s">
        <v>18005</v>
      </c>
      <c r="F6442" s="2"/>
      <c r="G6442" s="2"/>
      <c r="H6442" s="2"/>
    </row>
    <row r="6443" spans="1:8" x14ac:dyDescent="0.25">
      <c r="A6443" s="1"/>
      <c r="B6443" s="1" t="s">
        <v>4202</v>
      </c>
      <c r="C6443" s="1" t="s">
        <v>4203</v>
      </c>
      <c r="D6443" s="22" t="str">
        <f>HYPERLINK("https://rhld.insurance.arkansas.gov/NPILookup?Npi=1932158664","1932158664")</f>
        <v>1932158664</v>
      </c>
      <c r="E6443" s="1" t="s">
        <v>4535</v>
      </c>
      <c r="F6443" s="2"/>
      <c r="G6443" s="2"/>
      <c r="H6443" s="2"/>
    </row>
    <row r="6444" spans="1:8" x14ac:dyDescent="0.25">
      <c r="A6444" s="1"/>
      <c r="B6444" s="1" t="s">
        <v>4202</v>
      </c>
      <c r="C6444" s="1" t="s">
        <v>4203</v>
      </c>
      <c r="D6444" s="22" t="str">
        <f>HYPERLINK("https://rhld.insurance.arkansas.gov/NPILookup?Npi=1932164035","1932164035")</f>
        <v>1932164035</v>
      </c>
      <c r="E6444" s="1" t="s">
        <v>18006</v>
      </c>
      <c r="F6444" s="2"/>
      <c r="G6444" s="2"/>
      <c r="H6444" s="2"/>
    </row>
    <row r="6445" spans="1:8" x14ac:dyDescent="0.25">
      <c r="A6445" s="1"/>
      <c r="B6445" s="1" t="s">
        <v>4202</v>
      </c>
      <c r="C6445" s="1" t="s">
        <v>4203</v>
      </c>
      <c r="D6445" s="22" t="str">
        <f>HYPERLINK("https://rhld.insurance.arkansas.gov/NPILookup?Npi=1932185212","1932185212")</f>
        <v>1932185212</v>
      </c>
      <c r="E6445" s="1" t="s">
        <v>4536</v>
      </c>
      <c r="F6445" s="2"/>
      <c r="G6445" s="2"/>
      <c r="H6445" s="2"/>
    </row>
    <row r="6446" spans="1:8" x14ac:dyDescent="0.25">
      <c r="A6446" s="1"/>
      <c r="B6446" s="1" t="s">
        <v>4202</v>
      </c>
      <c r="C6446" s="1" t="s">
        <v>4203</v>
      </c>
      <c r="D6446" s="22" t="str">
        <f>HYPERLINK("https://rhld.insurance.arkansas.gov/NPILookup?Npi=1932248952","1932248952")</f>
        <v>1932248952</v>
      </c>
      <c r="E6446" s="1" t="s">
        <v>18009</v>
      </c>
      <c r="F6446" s="2"/>
      <c r="G6446" s="2"/>
      <c r="H6446" s="2"/>
    </row>
    <row r="6447" spans="1:8" x14ac:dyDescent="0.25">
      <c r="A6447" s="1"/>
      <c r="B6447" s="1" t="s">
        <v>4202</v>
      </c>
      <c r="C6447" s="1" t="s">
        <v>4203</v>
      </c>
      <c r="D6447" s="22" t="str">
        <f>HYPERLINK("https://rhld.insurance.arkansas.gov/NPILookup?Npi=1932249521","1932249521")</f>
        <v>1932249521</v>
      </c>
      <c r="E6447" s="1" t="s">
        <v>31475</v>
      </c>
      <c r="F6447" s="2"/>
      <c r="G6447" s="2"/>
      <c r="H6447" s="2"/>
    </row>
    <row r="6448" spans="1:8" x14ac:dyDescent="0.25">
      <c r="A6448" s="1"/>
      <c r="B6448" s="1" t="s">
        <v>4202</v>
      </c>
      <c r="C6448" s="1" t="s">
        <v>4203</v>
      </c>
      <c r="D6448" s="22" t="str">
        <f>HYPERLINK("https://rhld.insurance.arkansas.gov/NPILookup?Npi=1932251097","1932251097")</f>
        <v>1932251097</v>
      </c>
      <c r="E6448" s="1" t="s">
        <v>18010</v>
      </c>
      <c r="F6448" s="2"/>
      <c r="G6448" s="2"/>
      <c r="H6448" s="2"/>
    </row>
    <row r="6449" spans="1:8" x14ac:dyDescent="0.25">
      <c r="A6449" s="1"/>
      <c r="B6449" s="1" t="s">
        <v>4202</v>
      </c>
      <c r="C6449" s="1" t="s">
        <v>4203</v>
      </c>
      <c r="D6449" s="22" t="str">
        <f>HYPERLINK("https://rhld.insurance.arkansas.gov/NPILookup?Npi=1932276797","1932276797")</f>
        <v>1932276797</v>
      </c>
      <c r="E6449" s="1" t="s">
        <v>18011</v>
      </c>
      <c r="F6449" s="2"/>
      <c r="G6449" s="2"/>
      <c r="H6449" s="2"/>
    </row>
    <row r="6450" spans="1:8" x14ac:dyDescent="0.25">
      <c r="A6450" s="1"/>
      <c r="B6450" s="1" t="s">
        <v>4202</v>
      </c>
      <c r="C6450" s="1" t="s">
        <v>4203</v>
      </c>
      <c r="D6450" s="22" t="str">
        <f>HYPERLINK("https://rhld.insurance.arkansas.gov/NPILookup?Npi=1932339835","1932339835")</f>
        <v>1932339835</v>
      </c>
      <c r="E6450" s="1" t="s">
        <v>18012</v>
      </c>
      <c r="F6450" s="2"/>
      <c r="G6450" s="2"/>
      <c r="H6450" s="2"/>
    </row>
    <row r="6451" spans="1:8" x14ac:dyDescent="0.25">
      <c r="A6451" s="1"/>
      <c r="B6451" s="1" t="s">
        <v>4202</v>
      </c>
      <c r="C6451" s="1" t="s">
        <v>4203</v>
      </c>
      <c r="D6451" s="22" t="str">
        <f>HYPERLINK("https://rhld.insurance.arkansas.gov/NPILookup?Npi=1932424595","1932424595")</f>
        <v>1932424595</v>
      </c>
      <c r="E6451" s="1" t="s">
        <v>18013</v>
      </c>
      <c r="F6451" s="2"/>
      <c r="G6451" s="2"/>
      <c r="H6451" s="2"/>
    </row>
    <row r="6452" spans="1:8" x14ac:dyDescent="0.25">
      <c r="A6452" s="1"/>
      <c r="B6452" s="1" t="s">
        <v>4202</v>
      </c>
      <c r="C6452" s="1" t="s">
        <v>4203</v>
      </c>
      <c r="D6452" s="22" t="str">
        <f>HYPERLINK("https://rhld.insurance.arkansas.gov/NPILookup?Npi=1932429230","1932429230")</f>
        <v>1932429230</v>
      </c>
      <c r="E6452" s="1" t="s">
        <v>10484</v>
      </c>
      <c r="F6452" s="2"/>
      <c r="G6452" s="2"/>
      <c r="H6452" s="2"/>
    </row>
    <row r="6453" spans="1:8" x14ac:dyDescent="0.25">
      <c r="A6453" s="1"/>
      <c r="B6453" s="1" t="s">
        <v>4202</v>
      </c>
      <c r="C6453" s="1" t="s">
        <v>4203</v>
      </c>
      <c r="D6453" s="22" t="str">
        <f>HYPERLINK("https://rhld.insurance.arkansas.gov/NPILookup?Npi=1932457371","1932457371")</f>
        <v>1932457371</v>
      </c>
      <c r="E6453" s="1" t="s">
        <v>10485</v>
      </c>
      <c r="F6453" s="2"/>
      <c r="G6453" s="2"/>
      <c r="H6453" s="2"/>
    </row>
    <row r="6454" spans="1:8" x14ac:dyDescent="0.25">
      <c r="A6454" s="1"/>
      <c r="B6454" s="1" t="s">
        <v>4202</v>
      </c>
      <c r="C6454" s="1" t="s">
        <v>4203</v>
      </c>
      <c r="D6454" s="22" t="str">
        <f>HYPERLINK("https://rhld.insurance.arkansas.gov/NPILookup?Npi=1932490471","1932490471")</f>
        <v>1932490471</v>
      </c>
      <c r="E6454" s="1" t="s">
        <v>18015</v>
      </c>
      <c r="F6454" s="2"/>
      <c r="G6454" s="2"/>
      <c r="H6454" s="2"/>
    </row>
    <row r="6455" spans="1:8" x14ac:dyDescent="0.25">
      <c r="A6455" s="1"/>
      <c r="B6455" s="1" t="s">
        <v>4202</v>
      </c>
      <c r="C6455" s="1" t="s">
        <v>4203</v>
      </c>
      <c r="D6455" s="22" t="str">
        <f>HYPERLINK("https://rhld.insurance.arkansas.gov/NPILookup?Npi=1932528353","1932528353")</f>
        <v>1932528353</v>
      </c>
      <c r="E6455" s="1" t="s">
        <v>18016</v>
      </c>
      <c r="F6455" s="2"/>
      <c r="G6455" s="2"/>
      <c r="H6455" s="2"/>
    </row>
    <row r="6456" spans="1:8" x14ac:dyDescent="0.25">
      <c r="A6456" s="1"/>
      <c r="B6456" s="1" t="s">
        <v>4202</v>
      </c>
      <c r="C6456" s="1" t="s">
        <v>4203</v>
      </c>
      <c r="D6456" s="22" t="str">
        <f>HYPERLINK("https://rhld.insurance.arkansas.gov/NPILookup?Npi=1932720349","1932720349")</f>
        <v>1932720349</v>
      </c>
      <c r="E6456" s="1" t="s">
        <v>4538</v>
      </c>
      <c r="F6456" s="2"/>
      <c r="G6456" s="2"/>
      <c r="H6456" s="2"/>
    </row>
    <row r="6457" spans="1:8" x14ac:dyDescent="0.25">
      <c r="A6457" s="1"/>
      <c r="B6457" s="1" t="s">
        <v>4202</v>
      </c>
      <c r="C6457" s="1" t="s">
        <v>4203</v>
      </c>
      <c r="D6457" s="22" t="str">
        <f>HYPERLINK("https://rhld.insurance.arkansas.gov/NPILookup?Npi=1932728300","1932728300")</f>
        <v>1932728300</v>
      </c>
      <c r="E6457" s="1" t="s">
        <v>18018</v>
      </c>
      <c r="F6457" s="2"/>
      <c r="G6457" s="2"/>
      <c r="H6457" s="2"/>
    </row>
    <row r="6458" spans="1:8" x14ac:dyDescent="0.25">
      <c r="A6458" s="1"/>
      <c r="B6458" s="1" t="s">
        <v>4202</v>
      </c>
      <c r="C6458" s="1" t="s">
        <v>4203</v>
      </c>
      <c r="D6458" s="22" t="str">
        <f>HYPERLINK("https://rhld.insurance.arkansas.gov/NPILookup?Npi=1942212543","1942212543")</f>
        <v>1942212543</v>
      </c>
      <c r="E6458" s="1" t="s">
        <v>18019</v>
      </c>
      <c r="F6458" s="2"/>
      <c r="G6458" s="2"/>
      <c r="H6458" s="2"/>
    </row>
    <row r="6459" spans="1:8" x14ac:dyDescent="0.25">
      <c r="A6459" s="1"/>
      <c r="B6459" s="1" t="s">
        <v>4202</v>
      </c>
      <c r="C6459" s="1" t="s">
        <v>4203</v>
      </c>
      <c r="D6459" s="22" t="str">
        <f>HYPERLINK("https://rhld.insurance.arkansas.gov/NPILookup?Npi=1942244090","1942244090")</f>
        <v>1942244090</v>
      </c>
      <c r="E6459" s="1" t="s">
        <v>10486</v>
      </c>
      <c r="F6459" s="2"/>
      <c r="G6459" s="2"/>
      <c r="H6459" s="2"/>
    </row>
    <row r="6460" spans="1:8" x14ac:dyDescent="0.25">
      <c r="A6460" s="1"/>
      <c r="B6460" s="1" t="s">
        <v>4202</v>
      </c>
      <c r="C6460" s="1" t="s">
        <v>4203</v>
      </c>
      <c r="D6460" s="22" t="str">
        <f>HYPERLINK("https://rhld.insurance.arkansas.gov/NPILookup?Npi=1942256102","1942256102")</f>
        <v>1942256102</v>
      </c>
      <c r="E6460" s="1" t="s">
        <v>18020</v>
      </c>
      <c r="F6460" s="2"/>
      <c r="G6460" s="2"/>
      <c r="H6460" s="2"/>
    </row>
    <row r="6461" spans="1:8" x14ac:dyDescent="0.25">
      <c r="A6461" s="1"/>
      <c r="B6461" s="1" t="s">
        <v>4202</v>
      </c>
      <c r="C6461" s="1" t="s">
        <v>4203</v>
      </c>
      <c r="D6461" s="22" t="str">
        <f>HYPERLINK("https://rhld.insurance.arkansas.gov/NPILookup?Npi=1942261052","1942261052")</f>
        <v>1942261052</v>
      </c>
      <c r="E6461" s="1" t="s">
        <v>18021</v>
      </c>
      <c r="F6461" s="2"/>
      <c r="G6461" s="2"/>
      <c r="H6461" s="2"/>
    </row>
    <row r="6462" spans="1:8" x14ac:dyDescent="0.25">
      <c r="A6462" s="1"/>
      <c r="B6462" s="1" t="s">
        <v>4202</v>
      </c>
      <c r="C6462" s="1" t="s">
        <v>4203</v>
      </c>
      <c r="D6462" s="22" t="str">
        <f>HYPERLINK("https://rhld.insurance.arkansas.gov/NPILookup?Npi=1942262464","1942262464")</f>
        <v>1942262464</v>
      </c>
      <c r="E6462" s="1" t="s">
        <v>18022</v>
      </c>
      <c r="F6462" s="2"/>
      <c r="G6462" s="2"/>
      <c r="H6462" s="2"/>
    </row>
    <row r="6463" spans="1:8" x14ac:dyDescent="0.25">
      <c r="A6463" s="1"/>
      <c r="B6463" s="1" t="s">
        <v>4202</v>
      </c>
      <c r="C6463" s="1" t="s">
        <v>4203</v>
      </c>
      <c r="D6463" s="22" t="str">
        <f>HYPERLINK("https://rhld.insurance.arkansas.gov/NPILookup?Npi=1942399209","1942399209")</f>
        <v>1942399209</v>
      </c>
      <c r="E6463" s="1" t="s">
        <v>4540</v>
      </c>
      <c r="F6463" s="2"/>
      <c r="G6463" s="2"/>
      <c r="H6463" s="2"/>
    </row>
    <row r="6464" spans="1:8" x14ac:dyDescent="0.25">
      <c r="A6464" s="1"/>
      <c r="B6464" s="1" t="s">
        <v>4202</v>
      </c>
      <c r="C6464" s="1" t="s">
        <v>4203</v>
      </c>
      <c r="D6464" s="22" t="str">
        <f>HYPERLINK("https://rhld.insurance.arkansas.gov/NPILookup?Npi=1942442900","1942442900")</f>
        <v>1942442900</v>
      </c>
      <c r="E6464" s="1" t="s">
        <v>18023</v>
      </c>
      <c r="F6464" s="2"/>
      <c r="G6464" s="2"/>
      <c r="H6464" s="2"/>
    </row>
    <row r="6465" spans="1:8" x14ac:dyDescent="0.25">
      <c r="A6465" s="1"/>
      <c r="B6465" s="1" t="s">
        <v>4202</v>
      </c>
      <c r="C6465" s="1" t="s">
        <v>4203</v>
      </c>
      <c r="D6465" s="22" t="str">
        <f>HYPERLINK("https://rhld.insurance.arkansas.gov/NPILookup?Npi=1942446810","1942446810")</f>
        <v>1942446810</v>
      </c>
      <c r="E6465" s="1" t="s">
        <v>18024</v>
      </c>
      <c r="F6465" s="2"/>
      <c r="G6465" s="2"/>
      <c r="H6465" s="2"/>
    </row>
    <row r="6466" spans="1:8" x14ac:dyDescent="0.25">
      <c r="A6466" s="1"/>
      <c r="B6466" s="1" t="s">
        <v>4202</v>
      </c>
      <c r="C6466" s="1" t="s">
        <v>4203</v>
      </c>
      <c r="D6466" s="22" t="str">
        <f>HYPERLINK("https://rhld.insurance.arkansas.gov/NPILookup?Npi=1942512199","1942512199")</f>
        <v>1942512199</v>
      </c>
      <c r="E6466" s="1" t="s">
        <v>18026</v>
      </c>
      <c r="F6466" s="2"/>
      <c r="G6466" s="2"/>
      <c r="H6466" s="2"/>
    </row>
    <row r="6467" spans="1:8" x14ac:dyDescent="0.25">
      <c r="A6467" s="1"/>
      <c r="B6467" s="1" t="s">
        <v>4202</v>
      </c>
      <c r="C6467" s="1" t="s">
        <v>4203</v>
      </c>
      <c r="D6467" s="22" t="str">
        <f>HYPERLINK("https://rhld.insurance.arkansas.gov/NPILookup?Npi=1942662820","1942662820")</f>
        <v>1942662820</v>
      </c>
      <c r="E6467" s="1" t="s">
        <v>4541</v>
      </c>
      <c r="F6467" s="2"/>
      <c r="G6467" s="2"/>
      <c r="H6467" s="2"/>
    </row>
    <row r="6468" spans="1:8" x14ac:dyDescent="0.25">
      <c r="A6468" s="1"/>
      <c r="B6468" s="1" t="s">
        <v>4202</v>
      </c>
      <c r="C6468" s="1" t="s">
        <v>4203</v>
      </c>
      <c r="D6468" s="22" t="str">
        <f>HYPERLINK("https://rhld.insurance.arkansas.gov/NPILookup?Npi=1942769872","1942769872")</f>
        <v>1942769872</v>
      </c>
      <c r="E6468" s="1" t="s">
        <v>18027</v>
      </c>
      <c r="F6468" s="2"/>
      <c r="G6468" s="2"/>
      <c r="H6468" s="2"/>
    </row>
    <row r="6469" spans="1:8" x14ac:dyDescent="0.25">
      <c r="A6469" s="1"/>
      <c r="B6469" s="1" t="s">
        <v>4202</v>
      </c>
      <c r="C6469" s="1" t="s">
        <v>4203</v>
      </c>
      <c r="D6469" s="22" t="str">
        <f>HYPERLINK("https://rhld.insurance.arkansas.gov/NPILookup?Npi=1952342586","1952342586")</f>
        <v>1952342586</v>
      </c>
      <c r="E6469" s="1" t="s">
        <v>18028</v>
      </c>
      <c r="F6469" s="2"/>
      <c r="G6469" s="2"/>
      <c r="H6469" s="2"/>
    </row>
    <row r="6470" spans="1:8" x14ac:dyDescent="0.25">
      <c r="A6470" s="1"/>
      <c r="B6470" s="1" t="s">
        <v>4202</v>
      </c>
      <c r="C6470" s="1" t="s">
        <v>4203</v>
      </c>
      <c r="D6470" s="22" t="str">
        <f>HYPERLINK("https://rhld.insurance.arkansas.gov/NPILookup?Npi=1952365694","1952365694")</f>
        <v>1952365694</v>
      </c>
      <c r="E6470" s="1" t="s">
        <v>4542</v>
      </c>
      <c r="F6470" s="2"/>
      <c r="G6470" s="2"/>
      <c r="H6470" s="2"/>
    </row>
    <row r="6471" spans="1:8" x14ac:dyDescent="0.25">
      <c r="A6471" s="1"/>
      <c r="B6471" s="1" t="s">
        <v>4202</v>
      </c>
      <c r="C6471" s="1" t="s">
        <v>4203</v>
      </c>
      <c r="D6471" s="22" t="str">
        <f>HYPERLINK("https://rhld.insurance.arkansas.gov/NPILookup?Npi=1952366700","1952366700")</f>
        <v>1952366700</v>
      </c>
      <c r="E6471" s="1" t="s">
        <v>18030</v>
      </c>
      <c r="F6471" s="2"/>
      <c r="G6471" s="2"/>
      <c r="H6471" s="2"/>
    </row>
    <row r="6472" spans="1:8" x14ac:dyDescent="0.25">
      <c r="A6472" s="1"/>
      <c r="B6472" s="1" t="s">
        <v>4202</v>
      </c>
      <c r="C6472" s="1" t="s">
        <v>4203</v>
      </c>
      <c r="D6472" s="22" t="str">
        <f>HYPERLINK("https://rhld.insurance.arkansas.gov/NPILookup?Npi=1952448284","1952448284")</f>
        <v>1952448284</v>
      </c>
      <c r="E6472" s="1" t="s">
        <v>10487</v>
      </c>
      <c r="F6472" s="2"/>
      <c r="G6472" s="2"/>
      <c r="H6472" s="2"/>
    </row>
    <row r="6473" spans="1:8" x14ac:dyDescent="0.25">
      <c r="A6473" s="1"/>
      <c r="B6473" s="1" t="s">
        <v>4202</v>
      </c>
      <c r="C6473" s="1" t="s">
        <v>4203</v>
      </c>
      <c r="D6473" s="22" t="str">
        <f>HYPERLINK("https://rhld.insurance.arkansas.gov/NPILookup?Npi=1952465619","1952465619")</f>
        <v>1952465619</v>
      </c>
      <c r="E6473" s="1" t="s">
        <v>4543</v>
      </c>
      <c r="F6473" s="2"/>
      <c r="G6473" s="2"/>
      <c r="H6473" s="2"/>
    </row>
    <row r="6474" spans="1:8" x14ac:dyDescent="0.25">
      <c r="A6474" s="1"/>
      <c r="B6474" s="1" t="s">
        <v>4202</v>
      </c>
      <c r="C6474" s="1" t="s">
        <v>4203</v>
      </c>
      <c r="D6474" s="22" t="str">
        <f>HYPERLINK("https://rhld.insurance.arkansas.gov/NPILookup?Npi=1952492969","1952492969")</f>
        <v>1952492969</v>
      </c>
      <c r="E6474" s="1" t="s">
        <v>31476</v>
      </c>
      <c r="F6474" s="2"/>
      <c r="G6474" s="2"/>
      <c r="H6474" s="2"/>
    </row>
    <row r="6475" spans="1:8" x14ac:dyDescent="0.25">
      <c r="A6475" s="1"/>
      <c r="B6475" s="1" t="s">
        <v>4202</v>
      </c>
      <c r="C6475" s="1" t="s">
        <v>4203</v>
      </c>
      <c r="D6475" s="22" t="str">
        <f>HYPERLINK("https://rhld.insurance.arkansas.gov/NPILookup?Npi=1952508699","1952508699")</f>
        <v>1952508699</v>
      </c>
      <c r="E6475" s="1" t="s">
        <v>4544</v>
      </c>
      <c r="F6475" s="2"/>
      <c r="G6475" s="2"/>
      <c r="H6475" s="2"/>
    </row>
    <row r="6476" spans="1:8" x14ac:dyDescent="0.25">
      <c r="A6476" s="1"/>
      <c r="B6476" s="1" t="s">
        <v>4202</v>
      </c>
      <c r="C6476" s="1" t="s">
        <v>4203</v>
      </c>
      <c r="D6476" s="22" t="str">
        <f>HYPERLINK("https://rhld.insurance.arkansas.gov/NPILookup?Npi=1952545550","1952545550")</f>
        <v>1952545550</v>
      </c>
      <c r="E6476" s="1" t="s">
        <v>18031</v>
      </c>
      <c r="F6476" s="2"/>
      <c r="G6476" s="2"/>
      <c r="H6476" s="2"/>
    </row>
    <row r="6477" spans="1:8" x14ac:dyDescent="0.25">
      <c r="A6477" s="1"/>
      <c r="B6477" s="1" t="s">
        <v>4202</v>
      </c>
      <c r="C6477" s="1" t="s">
        <v>4203</v>
      </c>
      <c r="D6477" s="22" t="str">
        <f>HYPERLINK("https://rhld.insurance.arkansas.gov/NPILookup?Npi=1952711657","1952711657")</f>
        <v>1952711657</v>
      </c>
      <c r="E6477" s="1" t="s">
        <v>18032</v>
      </c>
      <c r="F6477" s="2"/>
      <c r="G6477" s="2"/>
      <c r="H6477" s="2"/>
    </row>
    <row r="6478" spans="1:8" x14ac:dyDescent="0.25">
      <c r="A6478" s="1"/>
      <c r="B6478" s="1" t="s">
        <v>4202</v>
      </c>
      <c r="C6478" s="1" t="s">
        <v>4203</v>
      </c>
      <c r="D6478" s="22" t="str">
        <f>HYPERLINK("https://rhld.insurance.arkansas.gov/NPILookup?Npi=1952833212","1952833212")</f>
        <v>1952833212</v>
      </c>
      <c r="E6478" s="1" t="s">
        <v>18033</v>
      </c>
      <c r="F6478" s="2"/>
      <c r="G6478" s="2"/>
      <c r="H6478" s="2"/>
    </row>
    <row r="6479" spans="1:8" x14ac:dyDescent="0.25">
      <c r="A6479" s="1"/>
      <c r="B6479" s="1" t="s">
        <v>4202</v>
      </c>
      <c r="C6479" s="1" t="s">
        <v>4203</v>
      </c>
      <c r="D6479" s="22" t="str">
        <f>HYPERLINK("https://rhld.insurance.arkansas.gov/NPILookup?Npi=1952862096","1952862096")</f>
        <v>1952862096</v>
      </c>
      <c r="E6479" s="1" t="s">
        <v>18034</v>
      </c>
      <c r="F6479" s="2"/>
      <c r="G6479" s="2"/>
      <c r="H6479" s="2"/>
    </row>
    <row r="6480" spans="1:8" x14ac:dyDescent="0.25">
      <c r="A6480" s="1"/>
      <c r="B6480" s="1" t="s">
        <v>4202</v>
      </c>
      <c r="C6480" s="1" t="s">
        <v>4203</v>
      </c>
      <c r="D6480" s="22" t="str">
        <f>HYPERLINK("https://rhld.insurance.arkansas.gov/NPILookup?Npi=1952880726","1952880726")</f>
        <v>1952880726</v>
      </c>
      <c r="E6480" s="1" t="s">
        <v>10489</v>
      </c>
      <c r="F6480" s="2"/>
      <c r="G6480" s="2"/>
      <c r="H6480" s="2"/>
    </row>
    <row r="6481" spans="1:8" x14ac:dyDescent="0.25">
      <c r="A6481" s="1"/>
      <c r="B6481" s="1" t="s">
        <v>4202</v>
      </c>
      <c r="C6481" s="1" t="s">
        <v>4203</v>
      </c>
      <c r="D6481" s="22" t="str">
        <f>HYPERLINK("https://rhld.insurance.arkansas.gov/NPILookup?Npi=1952923518","1952923518")</f>
        <v>1952923518</v>
      </c>
      <c r="E6481" s="1" t="s">
        <v>18035</v>
      </c>
      <c r="F6481" s="2"/>
      <c r="G6481" s="2"/>
      <c r="H6481" s="2"/>
    </row>
    <row r="6482" spans="1:8" x14ac:dyDescent="0.25">
      <c r="A6482" s="1"/>
      <c r="B6482" s="1" t="s">
        <v>4202</v>
      </c>
      <c r="C6482" s="1" t="s">
        <v>4203</v>
      </c>
      <c r="D6482" s="22" t="str">
        <f>HYPERLINK("https://rhld.insurance.arkansas.gov/NPILookup?Npi=1962039024","1962039024")</f>
        <v>1962039024</v>
      </c>
      <c r="E6482" s="1" t="s">
        <v>4545</v>
      </c>
      <c r="F6482" s="2"/>
      <c r="G6482" s="2"/>
      <c r="H6482" s="2"/>
    </row>
    <row r="6483" spans="1:8" x14ac:dyDescent="0.25">
      <c r="A6483" s="1"/>
      <c r="B6483" s="1" t="s">
        <v>4202</v>
      </c>
      <c r="C6483" s="1" t="s">
        <v>4203</v>
      </c>
      <c r="D6483" s="22" t="str">
        <f>HYPERLINK("https://rhld.insurance.arkansas.gov/NPILookup?Npi=1962402305","1962402305")</f>
        <v>1962402305</v>
      </c>
      <c r="E6483" s="1" t="s">
        <v>18036</v>
      </c>
      <c r="F6483" s="2"/>
      <c r="G6483" s="2"/>
      <c r="H6483" s="2"/>
    </row>
    <row r="6484" spans="1:8" x14ac:dyDescent="0.25">
      <c r="A6484" s="1"/>
      <c r="B6484" s="1" t="s">
        <v>4202</v>
      </c>
      <c r="C6484" s="1" t="s">
        <v>4203</v>
      </c>
      <c r="D6484" s="22" t="str">
        <f>HYPERLINK("https://rhld.insurance.arkansas.gov/NPILookup?Npi=1962417725","1962417725")</f>
        <v>1962417725</v>
      </c>
      <c r="E6484" s="1" t="s">
        <v>18037</v>
      </c>
      <c r="F6484" s="2"/>
      <c r="G6484" s="2"/>
      <c r="H6484" s="2"/>
    </row>
    <row r="6485" spans="1:8" x14ac:dyDescent="0.25">
      <c r="A6485" s="1"/>
      <c r="B6485" s="1" t="s">
        <v>4202</v>
      </c>
      <c r="C6485" s="1" t="s">
        <v>4203</v>
      </c>
      <c r="D6485" s="22" t="str">
        <f>HYPERLINK("https://rhld.insurance.arkansas.gov/NPILookup?Npi=1962457390","1962457390")</f>
        <v>1962457390</v>
      </c>
      <c r="E6485" s="1" t="s">
        <v>4546</v>
      </c>
      <c r="F6485" s="2"/>
      <c r="G6485" s="2"/>
      <c r="H6485" s="2"/>
    </row>
    <row r="6486" spans="1:8" x14ac:dyDescent="0.25">
      <c r="A6486" s="1"/>
      <c r="B6486" s="1" t="s">
        <v>4202</v>
      </c>
      <c r="C6486" s="1" t="s">
        <v>4203</v>
      </c>
      <c r="D6486" s="22" t="str">
        <f>HYPERLINK("https://rhld.insurance.arkansas.gov/NPILookup?Npi=1962459792","1962459792")</f>
        <v>1962459792</v>
      </c>
      <c r="E6486" s="1" t="s">
        <v>18039</v>
      </c>
      <c r="F6486" s="2"/>
      <c r="G6486" s="2"/>
      <c r="H6486" s="2"/>
    </row>
    <row r="6487" spans="1:8" x14ac:dyDescent="0.25">
      <c r="A6487" s="1"/>
      <c r="B6487" s="1" t="s">
        <v>4202</v>
      </c>
      <c r="C6487" s="1" t="s">
        <v>4203</v>
      </c>
      <c r="D6487" s="22" t="str">
        <f>HYPERLINK("https://rhld.insurance.arkansas.gov/NPILookup?Npi=1962511808","1962511808")</f>
        <v>1962511808</v>
      </c>
      <c r="E6487" s="1" t="s">
        <v>18040</v>
      </c>
      <c r="F6487" s="2"/>
      <c r="G6487" s="2"/>
      <c r="H6487" s="2"/>
    </row>
    <row r="6488" spans="1:8" x14ac:dyDescent="0.25">
      <c r="A6488" s="1"/>
      <c r="B6488" s="1" t="s">
        <v>4202</v>
      </c>
      <c r="C6488" s="1" t="s">
        <v>4203</v>
      </c>
      <c r="D6488" s="22" t="str">
        <f>HYPERLINK("https://rhld.insurance.arkansas.gov/NPILookup?Npi=1962515668","1962515668")</f>
        <v>1962515668</v>
      </c>
      <c r="E6488" s="1" t="s">
        <v>18041</v>
      </c>
      <c r="F6488" s="2"/>
      <c r="G6488" s="2"/>
      <c r="H6488" s="2"/>
    </row>
    <row r="6489" spans="1:8" x14ac:dyDescent="0.25">
      <c r="A6489" s="1"/>
      <c r="B6489" s="1" t="s">
        <v>4202</v>
      </c>
      <c r="C6489" s="1" t="s">
        <v>4203</v>
      </c>
      <c r="D6489" s="22" t="str">
        <f>HYPERLINK("https://rhld.insurance.arkansas.gov/NPILookup?Npi=1962668970","1962668970")</f>
        <v>1962668970</v>
      </c>
      <c r="E6489" s="1" t="s">
        <v>18042</v>
      </c>
      <c r="F6489" s="2"/>
      <c r="G6489" s="2"/>
      <c r="H6489" s="2"/>
    </row>
    <row r="6490" spans="1:8" x14ac:dyDescent="0.25">
      <c r="A6490" s="1"/>
      <c r="B6490" s="1" t="s">
        <v>4202</v>
      </c>
      <c r="C6490" s="1" t="s">
        <v>4203</v>
      </c>
      <c r="D6490" s="22" t="str">
        <f>HYPERLINK("https://rhld.insurance.arkansas.gov/NPILookup?Npi=1962727016","1962727016")</f>
        <v>1962727016</v>
      </c>
      <c r="E6490" s="1" t="s">
        <v>18043</v>
      </c>
      <c r="F6490" s="2"/>
      <c r="G6490" s="2"/>
      <c r="H6490" s="2"/>
    </row>
    <row r="6491" spans="1:8" x14ac:dyDescent="0.25">
      <c r="A6491" s="1"/>
      <c r="B6491" s="1" t="s">
        <v>4202</v>
      </c>
      <c r="C6491" s="1" t="s">
        <v>4203</v>
      </c>
      <c r="D6491" s="22" t="str">
        <f>HYPERLINK("https://rhld.insurance.arkansas.gov/NPILookup?Npi=1962728824","1962728824")</f>
        <v>1962728824</v>
      </c>
      <c r="E6491" s="1" t="s">
        <v>2138</v>
      </c>
      <c r="F6491" s="2"/>
      <c r="G6491" s="2"/>
      <c r="H6491" s="2"/>
    </row>
    <row r="6492" spans="1:8" x14ac:dyDescent="0.25">
      <c r="A6492" s="1"/>
      <c r="B6492" s="1" t="s">
        <v>4202</v>
      </c>
      <c r="C6492" s="1" t="s">
        <v>4203</v>
      </c>
      <c r="D6492" s="22" t="str">
        <f>HYPERLINK("https://rhld.insurance.arkansas.gov/NPILookup?Npi=1962903963","1962903963")</f>
        <v>1962903963</v>
      </c>
      <c r="E6492" s="1" t="s">
        <v>18044</v>
      </c>
      <c r="F6492" s="2"/>
      <c r="G6492" s="2"/>
      <c r="H6492" s="2"/>
    </row>
    <row r="6493" spans="1:8" x14ac:dyDescent="0.25">
      <c r="A6493" s="1"/>
      <c r="B6493" s="1" t="s">
        <v>4202</v>
      </c>
      <c r="C6493" s="1" t="s">
        <v>4203</v>
      </c>
      <c r="D6493" s="22" t="str">
        <f>HYPERLINK("https://rhld.insurance.arkansas.gov/NPILookup?Npi=1962961995","1962961995")</f>
        <v>1962961995</v>
      </c>
      <c r="E6493" s="1" t="s">
        <v>18045</v>
      </c>
      <c r="F6493" s="2"/>
      <c r="G6493" s="2"/>
      <c r="H6493" s="2"/>
    </row>
    <row r="6494" spans="1:8" x14ac:dyDescent="0.25">
      <c r="A6494" s="1"/>
      <c r="B6494" s="1" t="s">
        <v>4202</v>
      </c>
      <c r="C6494" s="1" t="s">
        <v>4203</v>
      </c>
      <c r="D6494" s="22" t="str">
        <f>HYPERLINK("https://rhld.insurance.arkansas.gov/NPILookup?Npi=1972008969","1972008969")</f>
        <v>1972008969</v>
      </c>
      <c r="E6494" s="1" t="s">
        <v>18046</v>
      </c>
      <c r="F6494" s="2"/>
      <c r="G6494" s="2"/>
      <c r="H6494" s="2"/>
    </row>
    <row r="6495" spans="1:8" x14ac:dyDescent="0.25">
      <c r="A6495" s="1"/>
      <c r="B6495" s="1" t="s">
        <v>4202</v>
      </c>
      <c r="C6495" s="1" t="s">
        <v>4203</v>
      </c>
      <c r="D6495" s="22" t="str">
        <f>HYPERLINK("https://rhld.insurance.arkansas.gov/NPILookup?Npi=1972008985","1972008985")</f>
        <v>1972008985</v>
      </c>
      <c r="E6495" s="1" t="s">
        <v>4548</v>
      </c>
      <c r="F6495" s="2"/>
      <c r="G6495" s="2"/>
      <c r="H6495" s="2"/>
    </row>
    <row r="6496" spans="1:8" x14ac:dyDescent="0.25">
      <c r="A6496" s="1"/>
      <c r="B6496" s="1" t="s">
        <v>4202</v>
      </c>
      <c r="C6496" s="1" t="s">
        <v>4203</v>
      </c>
      <c r="D6496" s="22" t="str">
        <f>HYPERLINK("https://rhld.insurance.arkansas.gov/NPILookup?Npi=1972034775","1972034775")</f>
        <v>1972034775</v>
      </c>
      <c r="E6496" s="1" t="s">
        <v>18047</v>
      </c>
      <c r="F6496" s="2"/>
      <c r="G6496" s="2"/>
      <c r="H6496" s="2"/>
    </row>
    <row r="6497" spans="1:8" x14ac:dyDescent="0.25">
      <c r="A6497" s="1"/>
      <c r="B6497" s="1" t="s">
        <v>4202</v>
      </c>
      <c r="C6497" s="1" t="s">
        <v>4203</v>
      </c>
      <c r="D6497" s="22" t="str">
        <f>HYPERLINK("https://rhld.insurance.arkansas.gov/NPILookup?Npi=1972035558","1972035558")</f>
        <v>1972035558</v>
      </c>
      <c r="E6497" s="1" t="s">
        <v>4549</v>
      </c>
      <c r="F6497" s="2"/>
      <c r="G6497" s="2"/>
      <c r="H6497" s="2"/>
    </row>
    <row r="6498" spans="1:8" x14ac:dyDescent="0.25">
      <c r="A6498" s="1"/>
      <c r="B6498" s="1" t="s">
        <v>4202</v>
      </c>
      <c r="C6498" s="1" t="s">
        <v>4203</v>
      </c>
      <c r="D6498" s="22" t="str">
        <f>HYPERLINK("https://rhld.insurance.arkansas.gov/NPILookup?Npi=1972124337","1972124337")</f>
        <v>1972124337</v>
      </c>
      <c r="E6498" s="1" t="s">
        <v>4550</v>
      </c>
      <c r="F6498" s="2"/>
      <c r="G6498" s="2"/>
      <c r="H6498" s="2"/>
    </row>
    <row r="6499" spans="1:8" x14ac:dyDescent="0.25">
      <c r="A6499" s="1"/>
      <c r="B6499" s="1" t="s">
        <v>4202</v>
      </c>
      <c r="C6499" s="1" t="s">
        <v>4203</v>
      </c>
      <c r="D6499" s="22" t="str">
        <f>HYPERLINK("https://rhld.insurance.arkansas.gov/NPILookup?Npi=1972131670","1972131670")</f>
        <v>1972131670</v>
      </c>
      <c r="E6499" s="1" t="s">
        <v>10490</v>
      </c>
      <c r="F6499" s="2"/>
      <c r="G6499" s="2"/>
      <c r="H6499" s="2"/>
    </row>
    <row r="6500" spans="1:8" x14ac:dyDescent="0.25">
      <c r="A6500" s="1"/>
      <c r="B6500" s="1" t="s">
        <v>4202</v>
      </c>
      <c r="C6500" s="1" t="s">
        <v>4203</v>
      </c>
      <c r="D6500" s="22" t="str">
        <f>HYPERLINK("https://rhld.insurance.arkansas.gov/NPILookup?Npi=1972530921","1972530921")</f>
        <v>1972530921</v>
      </c>
      <c r="E6500" s="1" t="s">
        <v>31477</v>
      </c>
      <c r="F6500" s="2"/>
      <c r="G6500" s="2"/>
      <c r="H6500" s="2"/>
    </row>
    <row r="6501" spans="1:8" x14ac:dyDescent="0.25">
      <c r="A6501" s="1"/>
      <c r="B6501" s="1" t="s">
        <v>4202</v>
      </c>
      <c r="C6501" s="1" t="s">
        <v>4203</v>
      </c>
      <c r="D6501" s="22" t="str">
        <f>HYPERLINK("https://rhld.insurance.arkansas.gov/NPILookup?Npi=1972567600","1972567600")</f>
        <v>1972567600</v>
      </c>
      <c r="E6501" s="1" t="s">
        <v>4552</v>
      </c>
      <c r="F6501" s="2"/>
      <c r="G6501" s="2"/>
      <c r="H6501" s="2"/>
    </row>
    <row r="6502" spans="1:8" x14ac:dyDescent="0.25">
      <c r="A6502" s="1"/>
      <c r="B6502" s="1" t="s">
        <v>4202</v>
      </c>
      <c r="C6502" s="1" t="s">
        <v>4203</v>
      </c>
      <c r="D6502" s="22" t="str">
        <f>HYPERLINK("https://rhld.insurance.arkansas.gov/NPILookup?Npi=1972582120","1972582120")</f>
        <v>1972582120</v>
      </c>
      <c r="E6502" s="1" t="s">
        <v>10491</v>
      </c>
      <c r="F6502" s="2"/>
      <c r="G6502" s="2"/>
      <c r="H6502" s="2"/>
    </row>
    <row r="6503" spans="1:8" x14ac:dyDescent="0.25">
      <c r="A6503" s="1"/>
      <c r="B6503" s="1" t="s">
        <v>4202</v>
      </c>
      <c r="C6503" s="1" t="s">
        <v>4203</v>
      </c>
      <c r="D6503" s="22" t="str">
        <f>HYPERLINK("https://rhld.insurance.arkansas.gov/NPILookup?Npi=1972582237","1972582237")</f>
        <v>1972582237</v>
      </c>
      <c r="E6503" s="1" t="s">
        <v>18049</v>
      </c>
      <c r="F6503" s="2"/>
      <c r="G6503" s="2"/>
      <c r="H6503" s="2"/>
    </row>
    <row r="6504" spans="1:8" x14ac:dyDescent="0.25">
      <c r="A6504" s="1"/>
      <c r="B6504" s="1" t="s">
        <v>4202</v>
      </c>
      <c r="C6504" s="1" t="s">
        <v>4203</v>
      </c>
      <c r="D6504" s="22" t="str">
        <f>HYPERLINK("https://rhld.insurance.arkansas.gov/NPILookup?Npi=1972666147","1972666147")</f>
        <v>1972666147</v>
      </c>
      <c r="E6504" s="1" t="s">
        <v>18050</v>
      </c>
      <c r="F6504" s="2"/>
      <c r="G6504" s="2"/>
      <c r="H6504" s="2"/>
    </row>
    <row r="6505" spans="1:8" x14ac:dyDescent="0.25">
      <c r="A6505" s="1"/>
      <c r="B6505" s="1" t="s">
        <v>4202</v>
      </c>
      <c r="C6505" s="1" t="s">
        <v>4203</v>
      </c>
      <c r="D6505" s="22" t="str">
        <f>HYPERLINK("https://rhld.insurance.arkansas.gov/NPILookup?Npi=1972709418","1972709418")</f>
        <v>1972709418</v>
      </c>
      <c r="E6505" s="1" t="s">
        <v>18051</v>
      </c>
      <c r="F6505" s="2"/>
      <c r="G6505" s="2"/>
      <c r="H6505" s="2"/>
    </row>
    <row r="6506" spans="1:8" x14ac:dyDescent="0.25">
      <c r="A6506" s="1"/>
      <c r="B6506" s="1" t="s">
        <v>4202</v>
      </c>
      <c r="C6506" s="1" t="s">
        <v>4203</v>
      </c>
      <c r="D6506" s="22" t="str">
        <f>HYPERLINK("https://rhld.insurance.arkansas.gov/NPILookup?Npi=1972799104","1972799104")</f>
        <v>1972799104</v>
      </c>
      <c r="E6506" s="1" t="s">
        <v>18052</v>
      </c>
      <c r="F6506" s="2"/>
      <c r="G6506" s="2"/>
      <c r="H6506" s="2"/>
    </row>
    <row r="6507" spans="1:8" x14ac:dyDescent="0.25">
      <c r="A6507" s="1"/>
      <c r="B6507" s="1" t="s">
        <v>4202</v>
      </c>
      <c r="C6507" s="1" t="s">
        <v>4203</v>
      </c>
      <c r="D6507" s="22" t="str">
        <f>HYPERLINK("https://rhld.insurance.arkansas.gov/NPILookup?Npi=1972828119","1972828119")</f>
        <v>1972828119</v>
      </c>
      <c r="E6507" s="1" t="s">
        <v>4553</v>
      </c>
      <c r="F6507" s="2"/>
      <c r="G6507" s="2"/>
      <c r="H6507" s="2"/>
    </row>
    <row r="6508" spans="1:8" x14ac:dyDescent="0.25">
      <c r="A6508" s="1"/>
      <c r="B6508" s="1" t="s">
        <v>4202</v>
      </c>
      <c r="C6508" s="1" t="s">
        <v>4203</v>
      </c>
      <c r="D6508" s="22" t="str">
        <f>HYPERLINK("https://rhld.insurance.arkansas.gov/NPILookup?Npi=1972872703","1972872703")</f>
        <v>1972872703</v>
      </c>
      <c r="E6508" s="1" t="s">
        <v>18053</v>
      </c>
      <c r="F6508" s="2"/>
      <c r="G6508" s="2"/>
      <c r="H6508" s="2"/>
    </row>
    <row r="6509" spans="1:8" x14ac:dyDescent="0.25">
      <c r="A6509" s="1"/>
      <c r="B6509" s="1" t="s">
        <v>4202</v>
      </c>
      <c r="C6509" s="1" t="s">
        <v>4203</v>
      </c>
      <c r="D6509" s="22" t="str">
        <f>HYPERLINK("https://rhld.insurance.arkansas.gov/NPILookup?Npi=1972917466","1972917466")</f>
        <v>1972917466</v>
      </c>
      <c r="E6509" s="1" t="s">
        <v>9760</v>
      </c>
      <c r="F6509" s="2"/>
      <c r="G6509" s="2"/>
      <c r="H6509" s="2"/>
    </row>
    <row r="6510" spans="1:8" x14ac:dyDescent="0.25">
      <c r="A6510" s="1"/>
      <c r="B6510" s="1" t="s">
        <v>4202</v>
      </c>
      <c r="C6510" s="1" t="s">
        <v>4203</v>
      </c>
      <c r="D6510" s="22" t="str">
        <f>HYPERLINK("https://rhld.insurance.arkansas.gov/NPILookup?Npi=1972958494","1972958494")</f>
        <v>1972958494</v>
      </c>
      <c r="E6510" s="1" t="s">
        <v>18054</v>
      </c>
      <c r="F6510" s="2"/>
      <c r="G6510" s="2"/>
      <c r="H6510" s="2"/>
    </row>
    <row r="6511" spans="1:8" x14ac:dyDescent="0.25">
      <c r="A6511" s="1"/>
      <c r="B6511" s="1" t="s">
        <v>4202</v>
      </c>
      <c r="C6511" s="1" t="s">
        <v>4203</v>
      </c>
      <c r="D6511" s="22" t="str">
        <f>HYPERLINK("https://rhld.insurance.arkansas.gov/NPILookup?Npi=1972965549","1972965549")</f>
        <v>1972965549</v>
      </c>
      <c r="E6511" s="1" t="s">
        <v>18055</v>
      </c>
      <c r="F6511" s="2"/>
      <c r="G6511" s="2"/>
      <c r="H6511" s="2"/>
    </row>
    <row r="6512" spans="1:8" x14ac:dyDescent="0.25">
      <c r="A6512" s="1"/>
      <c r="B6512" s="1" t="s">
        <v>4202</v>
      </c>
      <c r="C6512" s="1" t="s">
        <v>4203</v>
      </c>
      <c r="D6512" s="22" t="str">
        <f>HYPERLINK("https://rhld.insurance.arkansas.gov/NPILookup?Npi=1982042339","1982042339")</f>
        <v>1982042339</v>
      </c>
      <c r="E6512" s="1" t="s">
        <v>4554</v>
      </c>
      <c r="F6512" s="2"/>
      <c r="G6512" s="2"/>
      <c r="H6512" s="2"/>
    </row>
    <row r="6513" spans="1:8" x14ac:dyDescent="0.25">
      <c r="A6513" s="1"/>
      <c r="B6513" s="1" t="s">
        <v>4202</v>
      </c>
      <c r="C6513" s="1" t="s">
        <v>4203</v>
      </c>
      <c r="D6513" s="22" t="str">
        <f>HYPERLINK("https://rhld.insurance.arkansas.gov/NPILookup?Npi=1982048989","1982048989")</f>
        <v>1982048989</v>
      </c>
      <c r="E6513" s="1" t="s">
        <v>10492</v>
      </c>
      <c r="F6513" s="2"/>
      <c r="G6513" s="2"/>
      <c r="H6513" s="2"/>
    </row>
    <row r="6514" spans="1:8" x14ac:dyDescent="0.25">
      <c r="A6514" s="1"/>
      <c r="B6514" s="1" t="s">
        <v>4202</v>
      </c>
      <c r="C6514" s="1" t="s">
        <v>4203</v>
      </c>
      <c r="D6514" s="22" t="str">
        <f>HYPERLINK("https://rhld.insurance.arkansas.gov/NPILookup?Npi=1982101952","1982101952")</f>
        <v>1982101952</v>
      </c>
      <c r="E6514" s="1" t="s">
        <v>18057</v>
      </c>
      <c r="F6514" s="2"/>
      <c r="G6514" s="2"/>
      <c r="H6514" s="2"/>
    </row>
    <row r="6515" spans="1:8" x14ac:dyDescent="0.25">
      <c r="A6515" s="1"/>
      <c r="B6515" s="1" t="s">
        <v>4202</v>
      </c>
      <c r="C6515" s="1" t="s">
        <v>4203</v>
      </c>
      <c r="D6515" s="22" t="str">
        <f>HYPERLINK("https://rhld.insurance.arkansas.gov/NPILookup?Npi=1982135000","1982135000")</f>
        <v>1982135000</v>
      </c>
      <c r="E6515" s="1" t="s">
        <v>10493</v>
      </c>
      <c r="F6515" s="2"/>
      <c r="G6515" s="2"/>
      <c r="H6515" s="2"/>
    </row>
    <row r="6516" spans="1:8" x14ac:dyDescent="0.25">
      <c r="A6516" s="1"/>
      <c r="B6516" s="1" t="s">
        <v>4202</v>
      </c>
      <c r="C6516" s="1" t="s">
        <v>4203</v>
      </c>
      <c r="D6516" s="22" t="str">
        <f>HYPERLINK("https://rhld.insurance.arkansas.gov/NPILookup?Npi=1982163747","1982163747")</f>
        <v>1982163747</v>
      </c>
      <c r="E6516" s="1" t="s">
        <v>18058</v>
      </c>
      <c r="F6516" s="2"/>
      <c r="G6516" s="2"/>
      <c r="H6516" s="2"/>
    </row>
    <row r="6517" spans="1:8" x14ac:dyDescent="0.25">
      <c r="A6517" s="1"/>
      <c r="B6517" s="1" t="s">
        <v>4202</v>
      </c>
      <c r="C6517" s="1" t="s">
        <v>4203</v>
      </c>
      <c r="D6517" s="22" t="str">
        <f>HYPERLINK("https://rhld.insurance.arkansas.gov/NPILookup?Npi=1982613683","1982613683")</f>
        <v>1982613683</v>
      </c>
      <c r="E6517" s="1" t="s">
        <v>18059</v>
      </c>
      <c r="F6517" s="2"/>
      <c r="G6517" s="2"/>
      <c r="H6517" s="2"/>
    </row>
    <row r="6518" spans="1:8" x14ac:dyDescent="0.25">
      <c r="A6518" s="1"/>
      <c r="B6518" s="1" t="s">
        <v>4202</v>
      </c>
      <c r="C6518" s="1" t="s">
        <v>4203</v>
      </c>
      <c r="D6518" s="22" t="str">
        <f>HYPERLINK("https://rhld.insurance.arkansas.gov/NPILookup?Npi=1982624748","1982624748")</f>
        <v>1982624748</v>
      </c>
      <c r="E6518" s="1" t="s">
        <v>3111</v>
      </c>
      <c r="F6518" s="2"/>
      <c r="G6518" s="2"/>
      <c r="H6518" s="2"/>
    </row>
    <row r="6519" spans="1:8" x14ac:dyDescent="0.25">
      <c r="A6519" s="1"/>
      <c r="B6519" s="1" t="s">
        <v>4202</v>
      </c>
      <c r="C6519" s="1" t="s">
        <v>4203</v>
      </c>
      <c r="D6519" s="22" t="str">
        <f>HYPERLINK("https://rhld.insurance.arkansas.gov/NPILookup?Npi=1982684122","1982684122")</f>
        <v>1982684122</v>
      </c>
      <c r="E6519" s="1" t="s">
        <v>31478</v>
      </c>
      <c r="F6519" s="2"/>
      <c r="G6519" s="2"/>
      <c r="H6519" s="2"/>
    </row>
    <row r="6520" spans="1:8" x14ac:dyDescent="0.25">
      <c r="A6520" s="1"/>
      <c r="B6520" s="1" t="s">
        <v>4202</v>
      </c>
      <c r="C6520" s="1" t="s">
        <v>4203</v>
      </c>
      <c r="D6520" s="22" t="str">
        <f>HYPERLINK("https://rhld.insurance.arkansas.gov/NPILookup?Npi=1982694337","1982694337")</f>
        <v>1982694337</v>
      </c>
      <c r="E6520" s="1" t="s">
        <v>10494</v>
      </c>
      <c r="F6520" s="2"/>
      <c r="G6520" s="2"/>
      <c r="H6520" s="2"/>
    </row>
    <row r="6521" spans="1:8" x14ac:dyDescent="0.25">
      <c r="A6521" s="1"/>
      <c r="B6521" s="1" t="s">
        <v>4202</v>
      </c>
      <c r="C6521" s="1" t="s">
        <v>4203</v>
      </c>
      <c r="D6521" s="22" t="str">
        <f>HYPERLINK("https://rhld.insurance.arkansas.gov/NPILookup?Npi=1982704516","1982704516")</f>
        <v>1982704516</v>
      </c>
      <c r="E6521" s="1" t="s">
        <v>10495</v>
      </c>
      <c r="F6521" s="2"/>
      <c r="G6521" s="2"/>
      <c r="H6521" s="2"/>
    </row>
    <row r="6522" spans="1:8" x14ac:dyDescent="0.25">
      <c r="A6522" s="1"/>
      <c r="B6522" s="1" t="s">
        <v>4202</v>
      </c>
      <c r="C6522" s="1" t="s">
        <v>4203</v>
      </c>
      <c r="D6522" s="22" t="str">
        <f>HYPERLINK("https://rhld.insurance.arkansas.gov/NPILookup?Npi=1982832861","1982832861")</f>
        <v>1982832861</v>
      </c>
      <c r="E6522" s="1" t="s">
        <v>4555</v>
      </c>
      <c r="F6522" s="2"/>
      <c r="G6522" s="2"/>
      <c r="H6522" s="2"/>
    </row>
    <row r="6523" spans="1:8" x14ac:dyDescent="0.25">
      <c r="A6523" s="1"/>
      <c r="B6523" s="1" t="s">
        <v>4202</v>
      </c>
      <c r="C6523" s="1" t="s">
        <v>4203</v>
      </c>
      <c r="D6523" s="22" t="str">
        <f>HYPERLINK("https://rhld.insurance.arkansas.gov/NPILookup?Npi=1982866935","1982866935")</f>
        <v>1982866935</v>
      </c>
      <c r="E6523" s="1" t="s">
        <v>31479</v>
      </c>
      <c r="F6523" s="2"/>
      <c r="G6523" s="2"/>
      <c r="H6523" s="2"/>
    </row>
    <row r="6524" spans="1:8" x14ac:dyDescent="0.25">
      <c r="A6524" s="1"/>
      <c r="B6524" s="1" t="s">
        <v>4202</v>
      </c>
      <c r="C6524" s="1" t="s">
        <v>4203</v>
      </c>
      <c r="D6524" s="22" t="str">
        <f>HYPERLINK("https://rhld.insurance.arkansas.gov/NPILookup?Npi=1992048037","1992048037")</f>
        <v>1992048037</v>
      </c>
      <c r="E6524" s="1" t="s">
        <v>10461</v>
      </c>
      <c r="F6524" s="2"/>
      <c r="G6524" s="2"/>
      <c r="H6524" s="2"/>
    </row>
    <row r="6525" spans="1:8" x14ac:dyDescent="0.25">
      <c r="A6525" s="1"/>
      <c r="B6525" s="1" t="s">
        <v>4202</v>
      </c>
      <c r="C6525" s="1" t="s">
        <v>4203</v>
      </c>
      <c r="D6525" s="22" t="str">
        <f>HYPERLINK("https://rhld.insurance.arkansas.gov/NPILookup?Npi=1992068738","1992068738")</f>
        <v>1992068738</v>
      </c>
      <c r="E6525" s="1" t="s">
        <v>4556</v>
      </c>
      <c r="F6525" s="2"/>
      <c r="G6525" s="2"/>
      <c r="H6525" s="2"/>
    </row>
    <row r="6526" spans="1:8" x14ac:dyDescent="0.25">
      <c r="A6526" s="1"/>
      <c r="B6526" s="1" t="s">
        <v>4202</v>
      </c>
      <c r="C6526" s="1" t="s">
        <v>4203</v>
      </c>
      <c r="D6526" s="22" t="str">
        <f>HYPERLINK("https://rhld.insurance.arkansas.gov/NPILookup?Npi=1992148407","1992148407")</f>
        <v>1992148407</v>
      </c>
      <c r="E6526" s="1" t="s">
        <v>4557</v>
      </c>
      <c r="F6526" s="2"/>
      <c r="G6526" s="2"/>
      <c r="H6526" s="2"/>
    </row>
    <row r="6527" spans="1:8" x14ac:dyDescent="0.25">
      <c r="A6527" s="1"/>
      <c r="B6527" s="1" t="s">
        <v>4202</v>
      </c>
      <c r="C6527" s="1" t="s">
        <v>4203</v>
      </c>
      <c r="D6527" s="22" t="str">
        <f>HYPERLINK("https://rhld.insurance.arkansas.gov/NPILookup?Npi=1992172043","1992172043")</f>
        <v>1992172043</v>
      </c>
      <c r="E6527" s="1" t="s">
        <v>18064</v>
      </c>
      <c r="F6527" s="2"/>
      <c r="G6527" s="2"/>
      <c r="H6527" s="2"/>
    </row>
    <row r="6528" spans="1:8" x14ac:dyDescent="0.25">
      <c r="A6528" s="1"/>
      <c r="B6528" s="1" t="s">
        <v>4202</v>
      </c>
      <c r="C6528" s="1" t="s">
        <v>4203</v>
      </c>
      <c r="D6528" s="22" t="str">
        <f>HYPERLINK("https://rhld.insurance.arkansas.gov/NPILookup?Npi=1992369037","1992369037")</f>
        <v>1992369037</v>
      </c>
      <c r="E6528" s="1" t="s">
        <v>4558</v>
      </c>
      <c r="F6528" s="2"/>
      <c r="G6528" s="2"/>
      <c r="H6528" s="2"/>
    </row>
    <row r="6529" spans="1:8" x14ac:dyDescent="0.25">
      <c r="A6529" s="1"/>
      <c r="B6529" s="1" t="s">
        <v>4202</v>
      </c>
      <c r="C6529" s="1" t="s">
        <v>4203</v>
      </c>
      <c r="D6529" s="22" t="str">
        <f>HYPERLINK("https://rhld.insurance.arkansas.gov/NPILookup?Npi=1992389597","1992389597")</f>
        <v>1992389597</v>
      </c>
      <c r="E6529" s="1" t="s">
        <v>18065</v>
      </c>
      <c r="F6529" s="2"/>
      <c r="G6529" s="2"/>
      <c r="H6529" s="2"/>
    </row>
    <row r="6530" spans="1:8" x14ac:dyDescent="0.25">
      <c r="A6530" s="1"/>
      <c r="B6530" s="1" t="s">
        <v>4202</v>
      </c>
      <c r="C6530" s="1" t="s">
        <v>4203</v>
      </c>
      <c r="D6530" s="22" t="str">
        <f>HYPERLINK("https://rhld.insurance.arkansas.gov/NPILookup?Npi=1992708002","1992708002")</f>
        <v>1992708002</v>
      </c>
      <c r="E6530" s="1" t="s">
        <v>18066</v>
      </c>
      <c r="F6530" s="2"/>
      <c r="G6530" s="2"/>
      <c r="H6530" s="2"/>
    </row>
    <row r="6531" spans="1:8" x14ac:dyDescent="0.25">
      <c r="A6531" s="1"/>
      <c r="B6531" s="1" t="s">
        <v>4202</v>
      </c>
      <c r="C6531" s="1" t="s">
        <v>4203</v>
      </c>
      <c r="D6531" s="22" t="str">
        <f>HYPERLINK("https://rhld.insurance.arkansas.gov/NPILookup?Npi=1992729974","1992729974")</f>
        <v>1992729974</v>
      </c>
      <c r="E6531" s="1" t="s">
        <v>4559</v>
      </c>
      <c r="F6531" s="2"/>
      <c r="G6531" s="2"/>
      <c r="H6531" s="2"/>
    </row>
    <row r="6532" spans="1:8" x14ac:dyDescent="0.25">
      <c r="A6532" s="1"/>
      <c r="B6532" s="1" t="s">
        <v>4202</v>
      </c>
      <c r="C6532" s="1" t="s">
        <v>4203</v>
      </c>
      <c r="D6532" s="22" t="str">
        <f>HYPERLINK("https://rhld.insurance.arkansas.gov/NPILookup?Npi=1992730873","1992730873")</f>
        <v>1992730873</v>
      </c>
      <c r="E6532" s="1" t="s">
        <v>18067</v>
      </c>
      <c r="F6532" s="2"/>
      <c r="G6532" s="2"/>
      <c r="H6532" s="2"/>
    </row>
    <row r="6533" spans="1:8" x14ac:dyDescent="0.25">
      <c r="A6533" s="1"/>
      <c r="B6533" s="1" t="s">
        <v>4202</v>
      </c>
      <c r="C6533" s="1" t="s">
        <v>4203</v>
      </c>
      <c r="D6533" s="22" t="str">
        <f>HYPERLINK("https://rhld.insurance.arkansas.gov/NPILookup?Npi=1992768212","1992768212")</f>
        <v>1992768212</v>
      </c>
      <c r="E6533" s="1" t="s">
        <v>10497</v>
      </c>
      <c r="F6533" s="2"/>
      <c r="G6533" s="2"/>
      <c r="H6533" s="2"/>
    </row>
    <row r="6534" spans="1:8" x14ac:dyDescent="0.25">
      <c r="A6534" s="1"/>
      <c r="B6534" s="1" t="s">
        <v>4202</v>
      </c>
      <c r="C6534" s="1" t="s">
        <v>4203</v>
      </c>
      <c r="D6534" s="22" t="str">
        <f>HYPERLINK("https://rhld.insurance.arkansas.gov/NPILookup?Npi=1992783708","1992783708")</f>
        <v>1992783708</v>
      </c>
      <c r="E6534" s="1" t="s">
        <v>4560</v>
      </c>
      <c r="F6534" s="2"/>
      <c r="G6534" s="2"/>
      <c r="H6534" s="2"/>
    </row>
    <row r="6535" spans="1:8" x14ac:dyDescent="0.25">
      <c r="A6535" s="1"/>
      <c r="B6535" s="1" t="s">
        <v>4202</v>
      </c>
      <c r="C6535" s="1" t="s">
        <v>4203</v>
      </c>
      <c r="D6535" s="22" t="str">
        <f>HYPERLINK("https://rhld.insurance.arkansas.gov/NPILookup?Npi=1992792030","1992792030")</f>
        <v>1992792030</v>
      </c>
      <c r="E6535" s="1" t="s">
        <v>4561</v>
      </c>
      <c r="F6535" s="2"/>
      <c r="G6535" s="2"/>
      <c r="H6535" s="2"/>
    </row>
    <row r="6536" spans="1:8" x14ac:dyDescent="0.25">
      <c r="A6536" s="1"/>
      <c r="B6536" s="1" t="s">
        <v>4202</v>
      </c>
      <c r="C6536" s="1" t="s">
        <v>4203</v>
      </c>
      <c r="D6536" s="22" t="str">
        <f>HYPERLINK("https://rhld.insurance.arkansas.gov/NPILookup?Npi=1992793251","1992793251")</f>
        <v>1992793251</v>
      </c>
      <c r="E6536" s="1" t="s">
        <v>18069</v>
      </c>
      <c r="F6536" s="2"/>
      <c r="G6536" s="2"/>
      <c r="H6536" s="2"/>
    </row>
    <row r="6537" spans="1:8" x14ac:dyDescent="0.25">
      <c r="A6537" s="1"/>
      <c r="B6537" s="1" t="s">
        <v>4202</v>
      </c>
      <c r="C6537" s="1" t="s">
        <v>4203</v>
      </c>
      <c r="D6537" s="22" t="str">
        <f>HYPERLINK("https://rhld.insurance.arkansas.gov/NPILookup?Npi=1992808851","1992808851")</f>
        <v>1992808851</v>
      </c>
      <c r="E6537" s="1" t="s">
        <v>18070</v>
      </c>
      <c r="F6537" s="2"/>
      <c r="G6537" s="2"/>
      <c r="H6537" s="2"/>
    </row>
    <row r="6538" spans="1:8" x14ac:dyDescent="0.25">
      <c r="A6538" s="1"/>
      <c r="B6538" s="1" t="s">
        <v>4202</v>
      </c>
      <c r="C6538" s="1" t="s">
        <v>4203</v>
      </c>
      <c r="D6538" s="22" t="str">
        <f>HYPERLINK("https://rhld.insurance.arkansas.gov/NPILookup?Npi=1992826358","1992826358")</f>
        <v>1992826358</v>
      </c>
      <c r="E6538" s="1" t="s">
        <v>18071</v>
      </c>
      <c r="F6538" s="2"/>
      <c r="G6538" s="2"/>
      <c r="H6538" s="2"/>
    </row>
    <row r="6539" spans="1:8" x14ac:dyDescent="0.25">
      <c r="A6539" s="1"/>
      <c r="B6539" s="1" t="s">
        <v>4202</v>
      </c>
      <c r="C6539" s="1" t="s">
        <v>4203</v>
      </c>
      <c r="D6539" s="22" t="str">
        <f>HYPERLINK("https://rhld.insurance.arkansas.gov/NPILookup?Npi=1992882328","1992882328")</f>
        <v>1992882328</v>
      </c>
      <c r="E6539" s="1" t="s">
        <v>18072</v>
      </c>
      <c r="F6539" s="2"/>
      <c r="G6539" s="2"/>
      <c r="H6539" s="2"/>
    </row>
    <row r="6540" spans="1:8" x14ac:dyDescent="0.25">
      <c r="A6540" s="1"/>
      <c r="B6540" s="1" t="s">
        <v>4202</v>
      </c>
      <c r="C6540" s="1" t="s">
        <v>4203</v>
      </c>
      <c r="D6540" s="22" t="str">
        <f>HYPERLINK("https://rhld.insurance.arkansas.gov/NPILookup?Npi=1992888259","1992888259")</f>
        <v>1992888259</v>
      </c>
      <c r="E6540" s="1" t="s">
        <v>18073</v>
      </c>
      <c r="F6540" s="2"/>
      <c r="G6540" s="2"/>
      <c r="H6540" s="2"/>
    </row>
    <row r="6541" spans="1:8" x14ac:dyDescent="0.25">
      <c r="A6541" s="1"/>
      <c r="B6541" s="1" t="s">
        <v>4202</v>
      </c>
      <c r="C6541" s="1" t="s">
        <v>4203</v>
      </c>
      <c r="D6541" s="22" t="str">
        <f>HYPERLINK("https://rhld.insurance.arkansas.gov/NPILookup?Npi=1992895551","1992895551")</f>
        <v>1992895551</v>
      </c>
      <c r="E6541" s="1" t="s">
        <v>10498</v>
      </c>
      <c r="F6541" s="2"/>
      <c r="G6541" s="2"/>
      <c r="H6541" s="2"/>
    </row>
    <row r="6542" spans="1:8" x14ac:dyDescent="0.25">
      <c r="A6542" s="1"/>
      <c r="B6542" s="1" t="s">
        <v>4202</v>
      </c>
      <c r="C6542" s="1" t="s">
        <v>4203</v>
      </c>
      <c r="D6542" s="22" t="str">
        <f>HYPERLINK("https://rhld.insurance.arkansas.gov/NPILookup?Npi=1992899645","1992899645")</f>
        <v>1992899645</v>
      </c>
      <c r="E6542" s="1" t="s">
        <v>2672</v>
      </c>
      <c r="F6542" s="2"/>
      <c r="G6542" s="2"/>
      <c r="H6542" s="2"/>
    </row>
    <row r="6543" spans="1:8" x14ac:dyDescent="0.25">
      <c r="A6543" s="1"/>
      <c r="B6543" s="1" t="s">
        <v>4202</v>
      </c>
      <c r="C6543" s="1" t="s">
        <v>4203</v>
      </c>
      <c r="D6543" s="22" t="str">
        <f>HYPERLINK("https://rhld.insurance.arkansas.gov/NPILookup?Npi=1992906143","1992906143")</f>
        <v>1992906143</v>
      </c>
      <c r="E6543" s="1" t="s">
        <v>18074</v>
      </c>
      <c r="F6543" s="2"/>
      <c r="G6543" s="2"/>
      <c r="H6543" s="2"/>
    </row>
    <row r="6544" spans="1:8" x14ac:dyDescent="0.25">
      <c r="A6544" s="1"/>
      <c r="B6544" s="1" t="s">
        <v>4202</v>
      </c>
      <c r="C6544" s="1" t="s">
        <v>4203</v>
      </c>
      <c r="D6544" s="22" t="str">
        <f>HYPERLINK("https://rhld.insurance.arkansas.gov/NPILookup?Npi=1992921449","1992921449")</f>
        <v>1992921449</v>
      </c>
      <c r="E6544" s="1" t="s">
        <v>4562</v>
      </c>
      <c r="F6544" s="2"/>
      <c r="G6544" s="2"/>
      <c r="H6544" s="2"/>
    </row>
    <row r="6545" spans="1:8" x14ac:dyDescent="0.25">
      <c r="A6545" s="1"/>
      <c r="B6545" s="1" t="s">
        <v>4202</v>
      </c>
      <c r="C6545" s="1" t="s">
        <v>4203</v>
      </c>
      <c r="D6545" s="22" t="str">
        <f>HYPERLINK("https://rhld.insurance.arkansas.gov/NPILookup?Npi=1992930580","1992930580")</f>
        <v>1992930580</v>
      </c>
      <c r="E6545" s="1" t="s">
        <v>10499</v>
      </c>
      <c r="F6545" s="2"/>
      <c r="G6545" s="2"/>
      <c r="H6545" s="2"/>
    </row>
    <row r="6546" spans="1:8" x14ac:dyDescent="0.25">
      <c r="A6546" s="1"/>
      <c r="B6546" s="1" t="s">
        <v>4563</v>
      </c>
      <c r="C6546" s="1" t="s">
        <v>4564</v>
      </c>
      <c r="D6546" s="22" t="str">
        <f>HYPERLINK("https://rhld.insurance.arkansas.gov/NPILookup?Npi=1003133224","1003133224")</f>
        <v>1003133224</v>
      </c>
      <c r="E6546" s="1" t="s">
        <v>10500</v>
      </c>
      <c r="F6546" s="2"/>
      <c r="G6546" s="2"/>
      <c r="H6546" s="2"/>
    </row>
    <row r="6547" spans="1:8" x14ac:dyDescent="0.25">
      <c r="A6547" s="1"/>
      <c r="B6547" s="1" t="s">
        <v>4563</v>
      </c>
      <c r="C6547" s="1" t="s">
        <v>4564</v>
      </c>
      <c r="D6547" s="22" t="str">
        <f>HYPERLINK("https://rhld.insurance.arkansas.gov/NPILookup?Npi=1003874801","1003874801")</f>
        <v>1003874801</v>
      </c>
      <c r="E6547" s="1" t="s">
        <v>18076</v>
      </c>
      <c r="F6547" s="2"/>
      <c r="G6547" s="2"/>
      <c r="H6547" s="2"/>
    </row>
    <row r="6548" spans="1:8" x14ac:dyDescent="0.25">
      <c r="A6548" s="1"/>
      <c r="B6548" s="1" t="s">
        <v>4563</v>
      </c>
      <c r="C6548" s="1" t="s">
        <v>4564</v>
      </c>
      <c r="D6548" s="22" t="str">
        <f>HYPERLINK("https://rhld.insurance.arkansas.gov/NPILookup?Npi=1013975978","1013975978")</f>
        <v>1013975978</v>
      </c>
      <c r="E6548" s="1" t="s">
        <v>18077</v>
      </c>
      <c r="F6548" s="2"/>
      <c r="G6548" s="2"/>
      <c r="H6548" s="2"/>
    </row>
    <row r="6549" spans="1:8" x14ac:dyDescent="0.25">
      <c r="A6549" s="1"/>
      <c r="B6549" s="1" t="s">
        <v>4563</v>
      </c>
      <c r="C6549" s="1" t="s">
        <v>4564</v>
      </c>
      <c r="D6549" s="22" t="str">
        <f>HYPERLINK("https://rhld.insurance.arkansas.gov/NPILookup?Npi=1033544465","1033544465")</f>
        <v>1033544465</v>
      </c>
      <c r="E6549" s="1" t="s">
        <v>4565</v>
      </c>
      <c r="F6549" s="2"/>
      <c r="G6549" s="2"/>
      <c r="H6549" s="2"/>
    </row>
    <row r="6550" spans="1:8" x14ac:dyDescent="0.25">
      <c r="A6550" s="1"/>
      <c r="B6550" s="1" t="s">
        <v>4563</v>
      </c>
      <c r="C6550" s="1" t="s">
        <v>4564</v>
      </c>
      <c r="D6550" s="22" t="str">
        <f>HYPERLINK("https://rhld.insurance.arkansas.gov/NPILookup?Npi=1033552492","1033552492")</f>
        <v>1033552492</v>
      </c>
      <c r="E6550" s="1" t="s">
        <v>4566</v>
      </c>
      <c r="F6550" s="2"/>
      <c r="G6550" s="2"/>
      <c r="H6550" s="2"/>
    </row>
    <row r="6551" spans="1:8" x14ac:dyDescent="0.25">
      <c r="A6551" s="1"/>
      <c r="B6551" s="1" t="s">
        <v>4563</v>
      </c>
      <c r="C6551" s="1" t="s">
        <v>4564</v>
      </c>
      <c r="D6551" s="22" t="str">
        <f>HYPERLINK("https://rhld.insurance.arkansas.gov/NPILookup?Npi=1043290836","1043290836")</f>
        <v>1043290836</v>
      </c>
      <c r="E6551" s="1" t="s">
        <v>9785</v>
      </c>
      <c r="F6551" s="2"/>
      <c r="G6551" s="2"/>
      <c r="H6551" s="2"/>
    </row>
    <row r="6552" spans="1:8" x14ac:dyDescent="0.25">
      <c r="A6552" s="1"/>
      <c r="B6552" s="1" t="s">
        <v>4563</v>
      </c>
      <c r="C6552" s="1" t="s">
        <v>4564</v>
      </c>
      <c r="D6552" s="22" t="str">
        <f>HYPERLINK("https://rhld.insurance.arkansas.gov/NPILookup?Npi=1043740368","1043740368")</f>
        <v>1043740368</v>
      </c>
      <c r="E6552" s="1" t="s">
        <v>18078</v>
      </c>
      <c r="F6552" s="2"/>
      <c r="G6552" s="2"/>
      <c r="H6552" s="2"/>
    </row>
    <row r="6553" spans="1:8" x14ac:dyDescent="0.25">
      <c r="A6553" s="1"/>
      <c r="B6553" s="1" t="s">
        <v>4563</v>
      </c>
      <c r="C6553" s="1" t="s">
        <v>4564</v>
      </c>
      <c r="D6553" s="22" t="str">
        <f>HYPERLINK("https://rhld.insurance.arkansas.gov/NPILookup?Npi=1053721050","1053721050")</f>
        <v>1053721050</v>
      </c>
      <c r="E6553" s="1" t="s">
        <v>4567</v>
      </c>
      <c r="F6553" s="2"/>
      <c r="G6553" s="2"/>
      <c r="H6553" s="2"/>
    </row>
    <row r="6554" spans="1:8" x14ac:dyDescent="0.25">
      <c r="A6554" s="1"/>
      <c r="B6554" s="1" t="s">
        <v>4563</v>
      </c>
      <c r="C6554" s="1" t="s">
        <v>4564</v>
      </c>
      <c r="D6554" s="22" t="str">
        <f>HYPERLINK("https://rhld.insurance.arkansas.gov/NPILookup?Npi=1073967048","1073967048")</f>
        <v>1073967048</v>
      </c>
      <c r="E6554" s="1" t="s">
        <v>18079</v>
      </c>
      <c r="F6554" s="2"/>
      <c r="G6554" s="2"/>
      <c r="H6554" s="2"/>
    </row>
    <row r="6555" spans="1:8" x14ac:dyDescent="0.25">
      <c r="A6555" s="1"/>
      <c r="B6555" s="1" t="s">
        <v>4563</v>
      </c>
      <c r="C6555" s="1" t="s">
        <v>4564</v>
      </c>
      <c r="D6555" s="22" t="str">
        <f>HYPERLINK("https://rhld.insurance.arkansas.gov/NPILookup?Npi=1083872832","1083872832")</f>
        <v>1083872832</v>
      </c>
      <c r="E6555" s="1" t="s">
        <v>4568</v>
      </c>
      <c r="F6555" s="2"/>
      <c r="G6555" s="2"/>
      <c r="H6555" s="2"/>
    </row>
    <row r="6556" spans="1:8" x14ac:dyDescent="0.25">
      <c r="A6556" s="1"/>
      <c r="B6556" s="1" t="s">
        <v>4563</v>
      </c>
      <c r="C6556" s="1" t="s">
        <v>4564</v>
      </c>
      <c r="D6556" s="22" t="str">
        <f>HYPERLINK("https://rhld.insurance.arkansas.gov/NPILookup?Npi=1093807638","1093807638")</f>
        <v>1093807638</v>
      </c>
      <c r="E6556" s="1" t="s">
        <v>18080</v>
      </c>
      <c r="F6556" s="2"/>
      <c r="G6556" s="2"/>
      <c r="H6556" s="2"/>
    </row>
    <row r="6557" spans="1:8" x14ac:dyDescent="0.25">
      <c r="A6557" s="1"/>
      <c r="B6557" s="1" t="s">
        <v>4563</v>
      </c>
      <c r="C6557" s="1" t="s">
        <v>4564</v>
      </c>
      <c r="D6557" s="22" t="str">
        <f>HYPERLINK("https://rhld.insurance.arkansas.gov/NPILookup?Npi=1104833326","1104833326")</f>
        <v>1104833326</v>
      </c>
      <c r="E6557" s="1" t="s">
        <v>18081</v>
      </c>
      <c r="F6557" s="2"/>
      <c r="G6557" s="2"/>
      <c r="H6557" s="2"/>
    </row>
    <row r="6558" spans="1:8" x14ac:dyDescent="0.25">
      <c r="A6558" s="1"/>
      <c r="B6558" s="1" t="s">
        <v>4563</v>
      </c>
      <c r="C6558" s="1" t="s">
        <v>4564</v>
      </c>
      <c r="D6558" s="22" t="str">
        <f>HYPERLINK("https://rhld.insurance.arkansas.gov/NPILookup?Npi=1114034170","1114034170")</f>
        <v>1114034170</v>
      </c>
      <c r="E6558" s="1" t="s">
        <v>4569</v>
      </c>
      <c r="F6558" s="2"/>
      <c r="G6558" s="2"/>
      <c r="H6558" s="2"/>
    </row>
    <row r="6559" spans="1:8" x14ac:dyDescent="0.25">
      <c r="A6559" s="1"/>
      <c r="B6559" s="1" t="s">
        <v>4563</v>
      </c>
      <c r="C6559" s="1" t="s">
        <v>4564</v>
      </c>
      <c r="D6559" s="22" t="str">
        <f>HYPERLINK("https://rhld.insurance.arkansas.gov/NPILookup?Npi=1114911369","1114911369")</f>
        <v>1114911369</v>
      </c>
      <c r="E6559" s="1" t="s">
        <v>18082</v>
      </c>
      <c r="F6559" s="2"/>
      <c r="G6559" s="2"/>
      <c r="H6559" s="2"/>
    </row>
    <row r="6560" spans="1:8" x14ac:dyDescent="0.25">
      <c r="A6560" s="1"/>
      <c r="B6560" s="1" t="s">
        <v>4563</v>
      </c>
      <c r="C6560" s="1" t="s">
        <v>4564</v>
      </c>
      <c r="D6560" s="22" t="str">
        <f>HYPERLINK("https://rhld.insurance.arkansas.gov/NPILookup?Npi=1124023726","1124023726")</f>
        <v>1124023726</v>
      </c>
      <c r="E6560" s="1" t="s">
        <v>4570</v>
      </c>
      <c r="F6560" s="2"/>
      <c r="G6560" s="2"/>
      <c r="H6560" s="2"/>
    </row>
    <row r="6561" spans="1:8" x14ac:dyDescent="0.25">
      <c r="A6561" s="1"/>
      <c r="B6561" s="1" t="s">
        <v>4563</v>
      </c>
      <c r="C6561" s="1" t="s">
        <v>4564</v>
      </c>
      <c r="D6561" s="22" t="str">
        <f>HYPERLINK("https://rhld.insurance.arkansas.gov/NPILookup?Npi=1124414883","1124414883")</f>
        <v>1124414883</v>
      </c>
      <c r="E6561" s="1" t="s">
        <v>18083</v>
      </c>
      <c r="F6561" s="2"/>
      <c r="G6561" s="2"/>
      <c r="H6561" s="2"/>
    </row>
    <row r="6562" spans="1:8" x14ac:dyDescent="0.25">
      <c r="A6562" s="1"/>
      <c r="B6562" s="1" t="s">
        <v>4563</v>
      </c>
      <c r="C6562" s="1" t="s">
        <v>4564</v>
      </c>
      <c r="D6562" s="22" t="str">
        <f>HYPERLINK("https://rhld.insurance.arkansas.gov/NPILookup?Npi=1124569306","1124569306")</f>
        <v>1124569306</v>
      </c>
      <c r="E6562" s="1" t="s">
        <v>4571</v>
      </c>
      <c r="F6562" s="2"/>
      <c r="G6562" s="2"/>
      <c r="H6562" s="2"/>
    </row>
    <row r="6563" spans="1:8" x14ac:dyDescent="0.25">
      <c r="A6563" s="1"/>
      <c r="B6563" s="1" t="s">
        <v>4563</v>
      </c>
      <c r="C6563" s="1" t="s">
        <v>4564</v>
      </c>
      <c r="D6563" s="22" t="str">
        <f>HYPERLINK("https://rhld.insurance.arkansas.gov/NPILookup?Npi=1134181910","1134181910")</f>
        <v>1134181910</v>
      </c>
      <c r="E6563" s="1" t="s">
        <v>461</v>
      </c>
      <c r="F6563" s="2"/>
      <c r="G6563" s="2"/>
      <c r="H6563" s="2"/>
    </row>
    <row r="6564" spans="1:8" x14ac:dyDescent="0.25">
      <c r="A6564" s="1"/>
      <c r="B6564" s="1" t="s">
        <v>4563</v>
      </c>
      <c r="C6564" s="1" t="s">
        <v>4564</v>
      </c>
      <c r="D6564" s="22" t="str">
        <f>HYPERLINK("https://rhld.insurance.arkansas.gov/NPILookup?Npi=1134214893","1134214893")</f>
        <v>1134214893</v>
      </c>
      <c r="E6564" s="1" t="s">
        <v>247</v>
      </c>
      <c r="F6564" s="2"/>
      <c r="G6564" s="2"/>
      <c r="H6564" s="2"/>
    </row>
    <row r="6565" spans="1:8" x14ac:dyDescent="0.25">
      <c r="A6565" s="1"/>
      <c r="B6565" s="1" t="s">
        <v>4563</v>
      </c>
      <c r="C6565" s="1" t="s">
        <v>4564</v>
      </c>
      <c r="D6565" s="22" t="str">
        <f>HYPERLINK("https://rhld.insurance.arkansas.gov/NPILookup?Npi=1134448467","1134448467")</f>
        <v>1134448467</v>
      </c>
      <c r="E6565" s="1" t="s">
        <v>10501</v>
      </c>
      <c r="F6565" s="2"/>
      <c r="G6565" s="2"/>
      <c r="H6565" s="2"/>
    </row>
    <row r="6566" spans="1:8" x14ac:dyDescent="0.25">
      <c r="A6566" s="1"/>
      <c r="B6566" s="1" t="s">
        <v>4563</v>
      </c>
      <c r="C6566" s="1" t="s">
        <v>4564</v>
      </c>
      <c r="D6566" s="22" t="str">
        <f>HYPERLINK("https://rhld.insurance.arkansas.gov/NPILookup?Npi=1134462666","1134462666")</f>
        <v>1134462666</v>
      </c>
      <c r="E6566" s="1" t="s">
        <v>18084</v>
      </c>
      <c r="F6566" s="2"/>
      <c r="G6566" s="2"/>
      <c r="H6566" s="2"/>
    </row>
    <row r="6567" spans="1:8" x14ac:dyDescent="0.25">
      <c r="A6567" s="1"/>
      <c r="B6567" s="1" t="s">
        <v>4563</v>
      </c>
      <c r="C6567" s="1" t="s">
        <v>4564</v>
      </c>
      <c r="D6567" s="22" t="str">
        <f>HYPERLINK("https://rhld.insurance.arkansas.gov/NPILookup?Npi=1144575960","1144575960")</f>
        <v>1144575960</v>
      </c>
      <c r="E6567" s="1" t="s">
        <v>18085</v>
      </c>
      <c r="F6567" s="2"/>
      <c r="G6567" s="2"/>
      <c r="H6567" s="2"/>
    </row>
    <row r="6568" spans="1:8" x14ac:dyDescent="0.25">
      <c r="A6568" s="1"/>
      <c r="B6568" s="1" t="s">
        <v>4563</v>
      </c>
      <c r="C6568" s="1" t="s">
        <v>4564</v>
      </c>
      <c r="D6568" s="22" t="str">
        <f>HYPERLINK("https://rhld.insurance.arkansas.gov/NPILookup?Npi=1144602459","1144602459")</f>
        <v>1144602459</v>
      </c>
      <c r="E6568" s="1" t="s">
        <v>4572</v>
      </c>
      <c r="F6568" s="2"/>
      <c r="G6568" s="2"/>
      <c r="H6568" s="2"/>
    </row>
    <row r="6569" spans="1:8" x14ac:dyDescent="0.25">
      <c r="A6569" s="1"/>
      <c r="B6569" s="1" t="s">
        <v>4563</v>
      </c>
      <c r="C6569" s="1" t="s">
        <v>4564</v>
      </c>
      <c r="D6569" s="22" t="str">
        <f>HYPERLINK("https://rhld.insurance.arkansas.gov/NPILookup?Npi=1154359099","1154359099")</f>
        <v>1154359099</v>
      </c>
      <c r="E6569" s="1" t="s">
        <v>10502</v>
      </c>
      <c r="F6569" s="2"/>
      <c r="G6569" s="2"/>
      <c r="H6569" s="2"/>
    </row>
    <row r="6570" spans="1:8" x14ac:dyDescent="0.25">
      <c r="A6570" s="1"/>
      <c r="B6570" s="1" t="s">
        <v>4563</v>
      </c>
      <c r="C6570" s="1" t="s">
        <v>4564</v>
      </c>
      <c r="D6570" s="22" t="str">
        <f>HYPERLINK("https://rhld.insurance.arkansas.gov/NPILookup?Npi=1154513752","1154513752")</f>
        <v>1154513752</v>
      </c>
      <c r="E6570" s="1" t="s">
        <v>15743</v>
      </c>
      <c r="F6570" s="2"/>
      <c r="G6570" s="2"/>
      <c r="H6570" s="2"/>
    </row>
    <row r="6571" spans="1:8" x14ac:dyDescent="0.25">
      <c r="A6571" s="1"/>
      <c r="B6571" s="1" t="s">
        <v>4563</v>
      </c>
      <c r="C6571" s="1" t="s">
        <v>4564</v>
      </c>
      <c r="D6571" s="22" t="str">
        <f>HYPERLINK("https://rhld.insurance.arkansas.gov/NPILookup?Npi=1184875387","1184875387")</f>
        <v>1184875387</v>
      </c>
      <c r="E6571" s="1" t="s">
        <v>18086</v>
      </c>
      <c r="F6571" s="2"/>
      <c r="G6571" s="2"/>
      <c r="H6571" s="2"/>
    </row>
    <row r="6572" spans="1:8" x14ac:dyDescent="0.25">
      <c r="A6572" s="1"/>
      <c r="B6572" s="1" t="s">
        <v>4563</v>
      </c>
      <c r="C6572" s="1" t="s">
        <v>4564</v>
      </c>
      <c r="D6572" s="22" t="str">
        <f>HYPERLINK("https://rhld.insurance.arkansas.gov/NPILookup?Npi=1205219334","1205219334")</f>
        <v>1205219334</v>
      </c>
      <c r="E6572" s="1" t="s">
        <v>1919</v>
      </c>
      <c r="F6572" s="2"/>
      <c r="G6572" s="2"/>
      <c r="H6572" s="2"/>
    </row>
    <row r="6573" spans="1:8" x14ac:dyDescent="0.25">
      <c r="A6573" s="1"/>
      <c r="B6573" s="1" t="s">
        <v>4563</v>
      </c>
      <c r="C6573" s="1" t="s">
        <v>4564</v>
      </c>
      <c r="D6573" s="22" t="str">
        <f>HYPERLINK("https://rhld.insurance.arkansas.gov/NPILookup?Npi=1205857216","1205857216")</f>
        <v>1205857216</v>
      </c>
      <c r="E6573" s="1" t="s">
        <v>18087</v>
      </c>
      <c r="F6573" s="2"/>
      <c r="G6573" s="2"/>
      <c r="H6573" s="2"/>
    </row>
    <row r="6574" spans="1:8" x14ac:dyDescent="0.25">
      <c r="A6574" s="1"/>
      <c r="B6574" s="1" t="s">
        <v>4563</v>
      </c>
      <c r="C6574" s="1" t="s">
        <v>4564</v>
      </c>
      <c r="D6574" s="22" t="str">
        <f>HYPERLINK("https://rhld.insurance.arkansas.gov/NPILookup?Npi=1225054109","1225054109")</f>
        <v>1225054109</v>
      </c>
      <c r="E6574" s="1" t="s">
        <v>10503</v>
      </c>
      <c r="F6574" s="2"/>
      <c r="G6574" s="2"/>
      <c r="H6574" s="2"/>
    </row>
    <row r="6575" spans="1:8" x14ac:dyDescent="0.25">
      <c r="A6575" s="1"/>
      <c r="B6575" s="1" t="s">
        <v>4563</v>
      </c>
      <c r="C6575" s="1" t="s">
        <v>4564</v>
      </c>
      <c r="D6575" s="22" t="str">
        <f>HYPERLINK("https://rhld.insurance.arkansas.gov/NPILookup?Npi=1225089204","1225089204")</f>
        <v>1225089204</v>
      </c>
      <c r="E6575" s="1" t="s">
        <v>4573</v>
      </c>
      <c r="F6575" s="2"/>
      <c r="G6575" s="2"/>
      <c r="H6575" s="2"/>
    </row>
    <row r="6576" spans="1:8" x14ac:dyDescent="0.25">
      <c r="A6576" s="1"/>
      <c r="B6576" s="1" t="s">
        <v>4563</v>
      </c>
      <c r="C6576" s="1" t="s">
        <v>4564</v>
      </c>
      <c r="D6576" s="22" t="str">
        <f>HYPERLINK("https://rhld.insurance.arkansas.gov/NPILookup?Npi=1225253248","1225253248")</f>
        <v>1225253248</v>
      </c>
      <c r="E6576" s="1" t="s">
        <v>18088</v>
      </c>
      <c r="F6576" s="2"/>
      <c r="G6576" s="2"/>
      <c r="H6576" s="2"/>
    </row>
    <row r="6577" spans="1:8" x14ac:dyDescent="0.25">
      <c r="A6577" s="1"/>
      <c r="B6577" s="1" t="s">
        <v>4563</v>
      </c>
      <c r="C6577" s="1" t="s">
        <v>4564</v>
      </c>
      <c r="D6577" s="22" t="str">
        <f>HYPERLINK("https://rhld.insurance.arkansas.gov/NPILookup?Npi=1245203371","1245203371")</f>
        <v>1245203371</v>
      </c>
      <c r="E6577" s="1" t="s">
        <v>2289</v>
      </c>
      <c r="F6577" s="2"/>
      <c r="G6577" s="2"/>
      <c r="H6577" s="2"/>
    </row>
    <row r="6578" spans="1:8" x14ac:dyDescent="0.25">
      <c r="A6578" s="1"/>
      <c r="B6578" s="1" t="s">
        <v>4563</v>
      </c>
      <c r="C6578" s="1" t="s">
        <v>4564</v>
      </c>
      <c r="D6578" s="22" t="str">
        <f>HYPERLINK("https://rhld.insurance.arkansas.gov/NPILookup?Npi=1275742884","1275742884")</f>
        <v>1275742884</v>
      </c>
      <c r="E6578" s="1" t="s">
        <v>18089</v>
      </c>
      <c r="F6578" s="2"/>
      <c r="G6578" s="2"/>
      <c r="H6578" s="2"/>
    </row>
    <row r="6579" spans="1:8" x14ac:dyDescent="0.25">
      <c r="A6579" s="1"/>
      <c r="B6579" s="1" t="s">
        <v>4563</v>
      </c>
      <c r="C6579" s="1" t="s">
        <v>4564</v>
      </c>
      <c r="D6579" s="22" t="str">
        <f>HYPERLINK("https://rhld.insurance.arkansas.gov/NPILookup?Npi=1275898017","1275898017")</f>
        <v>1275898017</v>
      </c>
      <c r="E6579" s="1" t="s">
        <v>18090</v>
      </c>
      <c r="F6579" s="2"/>
      <c r="G6579" s="2"/>
      <c r="H6579" s="2"/>
    </row>
    <row r="6580" spans="1:8" x14ac:dyDescent="0.25">
      <c r="A6580" s="1"/>
      <c r="B6580" s="1" t="s">
        <v>4563</v>
      </c>
      <c r="C6580" s="1" t="s">
        <v>4564</v>
      </c>
      <c r="D6580" s="22" t="str">
        <f>HYPERLINK("https://rhld.insurance.arkansas.gov/NPILookup?Npi=1295925840","1295925840")</f>
        <v>1295925840</v>
      </c>
      <c r="E6580" s="1" t="s">
        <v>18091</v>
      </c>
      <c r="F6580" s="2"/>
      <c r="G6580" s="2"/>
      <c r="H6580" s="2"/>
    </row>
    <row r="6581" spans="1:8" x14ac:dyDescent="0.25">
      <c r="A6581" s="1"/>
      <c r="B6581" s="1" t="s">
        <v>4563</v>
      </c>
      <c r="C6581" s="1" t="s">
        <v>4564</v>
      </c>
      <c r="D6581" s="22" t="str">
        <f>HYPERLINK("https://rhld.insurance.arkansas.gov/NPILookup?Npi=1306936877","1306936877")</f>
        <v>1306936877</v>
      </c>
      <c r="E6581" s="1" t="s">
        <v>18092</v>
      </c>
      <c r="F6581" s="2"/>
      <c r="G6581" s="2"/>
      <c r="H6581" s="2"/>
    </row>
    <row r="6582" spans="1:8" x14ac:dyDescent="0.25">
      <c r="A6582" s="1"/>
      <c r="B6582" s="1" t="s">
        <v>4563</v>
      </c>
      <c r="C6582" s="1" t="s">
        <v>4564</v>
      </c>
      <c r="D6582" s="22" t="str">
        <f>HYPERLINK("https://rhld.insurance.arkansas.gov/NPILookup?Npi=1316100654","1316100654")</f>
        <v>1316100654</v>
      </c>
      <c r="E6582" s="1" t="s">
        <v>18093</v>
      </c>
      <c r="F6582" s="2"/>
      <c r="G6582" s="2"/>
      <c r="H6582" s="2"/>
    </row>
    <row r="6583" spans="1:8" x14ac:dyDescent="0.25">
      <c r="A6583" s="1"/>
      <c r="B6583" s="1" t="s">
        <v>4563</v>
      </c>
      <c r="C6583" s="1" t="s">
        <v>4564</v>
      </c>
      <c r="D6583" s="22" t="str">
        <f>HYPERLINK("https://rhld.insurance.arkansas.gov/NPILookup?Npi=1336581735","1336581735")</f>
        <v>1336581735</v>
      </c>
      <c r="E6583" s="1" t="s">
        <v>1382</v>
      </c>
      <c r="F6583" s="2"/>
      <c r="G6583" s="2"/>
      <c r="H6583" s="2"/>
    </row>
    <row r="6584" spans="1:8" x14ac:dyDescent="0.25">
      <c r="A6584" s="1"/>
      <c r="B6584" s="1" t="s">
        <v>4563</v>
      </c>
      <c r="C6584" s="1" t="s">
        <v>4564</v>
      </c>
      <c r="D6584" s="22" t="str">
        <f>HYPERLINK("https://rhld.insurance.arkansas.gov/NPILookup?Npi=1346201639","1346201639")</f>
        <v>1346201639</v>
      </c>
      <c r="E6584" s="1" t="s">
        <v>31480</v>
      </c>
      <c r="F6584" s="2"/>
      <c r="G6584" s="2"/>
      <c r="H6584" s="2"/>
    </row>
    <row r="6585" spans="1:8" x14ac:dyDescent="0.25">
      <c r="A6585" s="1"/>
      <c r="B6585" s="1" t="s">
        <v>4563</v>
      </c>
      <c r="C6585" s="1" t="s">
        <v>4564</v>
      </c>
      <c r="D6585" s="22" t="str">
        <f>HYPERLINK("https://rhld.insurance.arkansas.gov/NPILookup?Npi=1346291853","1346291853")</f>
        <v>1346291853</v>
      </c>
      <c r="E6585" s="1" t="s">
        <v>4574</v>
      </c>
      <c r="F6585" s="2"/>
      <c r="G6585" s="2"/>
      <c r="H6585" s="2"/>
    </row>
    <row r="6586" spans="1:8" x14ac:dyDescent="0.25">
      <c r="A6586" s="1"/>
      <c r="B6586" s="1" t="s">
        <v>4563</v>
      </c>
      <c r="C6586" s="1" t="s">
        <v>4564</v>
      </c>
      <c r="D6586" s="22" t="str">
        <f>HYPERLINK("https://rhld.insurance.arkansas.gov/NPILookup?Npi=1346400751","1346400751")</f>
        <v>1346400751</v>
      </c>
      <c r="E6586" s="1" t="s">
        <v>31481</v>
      </c>
      <c r="F6586" s="2"/>
      <c r="G6586" s="2"/>
      <c r="H6586" s="2"/>
    </row>
    <row r="6587" spans="1:8" x14ac:dyDescent="0.25">
      <c r="A6587" s="1"/>
      <c r="B6587" s="1" t="s">
        <v>4563</v>
      </c>
      <c r="C6587" s="1" t="s">
        <v>4564</v>
      </c>
      <c r="D6587" s="22" t="str">
        <f>HYPERLINK("https://rhld.insurance.arkansas.gov/NPILookup?Npi=1346703279","1346703279")</f>
        <v>1346703279</v>
      </c>
      <c r="E6587" s="1" t="s">
        <v>31482</v>
      </c>
      <c r="F6587" s="2"/>
      <c r="G6587" s="2"/>
      <c r="H6587" s="2"/>
    </row>
    <row r="6588" spans="1:8" x14ac:dyDescent="0.25">
      <c r="A6588" s="1"/>
      <c r="B6588" s="1" t="s">
        <v>4563</v>
      </c>
      <c r="C6588" s="1" t="s">
        <v>4564</v>
      </c>
      <c r="D6588" s="22" t="str">
        <f>HYPERLINK("https://rhld.insurance.arkansas.gov/NPILookup?Npi=1356792212","1356792212")</f>
        <v>1356792212</v>
      </c>
      <c r="E6588" s="1" t="s">
        <v>10505</v>
      </c>
      <c r="F6588" s="2"/>
      <c r="G6588" s="2"/>
      <c r="H6588" s="2"/>
    </row>
    <row r="6589" spans="1:8" x14ac:dyDescent="0.25">
      <c r="A6589" s="1"/>
      <c r="B6589" s="1" t="s">
        <v>4563</v>
      </c>
      <c r="C6589" s="1" t="s">
        <v>4564</v>
      </c>
      <c r="D6589" s="22" t="str">
        <f>HYPERLINK("https://rhld.insurance.arkansas.gov/NPILookup?Npi=1366635807","1366635807")</f>
        <v>1366635807</v>
      </c>
      <c r="E6589" s="1" t="s">
        <v>1454</v>
      </c>
      <c r="F6589" s="2"/>
      <c r="G6589" s="2"/>
      <c r="H6589" s="2"/>
    </row>
    <row r="6590" spans="1:8" x14ac:dyDescent="0.25">
      <c r="A6590" s="1"/>
      <c r="B6590" s="1" t="s">
        <v>4563</v>
      </c>
      <c r="C6590" s="1" t="s">
        <v>4564</v>
      </c>
      <c r="D6590" s="22" t="str">
        <f>HYPERLINK("https://rhld.insurance.arkansas.gov/NPILookup?Npi=1396240511","1396240511")</f>
        <v>1396240511</v>
      </c>
      <c r="E6590" s="1" t="s">
        <v>18095</v>
      </c>
      <c r="F6590" s="2"/>
      <c r="G6590" s="2"/>
      <c r="H6590" s="2"/>
    </row>
    <row r="6591" spans="1:8" x14ac:dyDescent="0.25">
      <c r="A6591" s="1"/>
      <c r="B6591" s="1" t="s">
        <v>4563</v>
      </c>
      <c r="C6591" s="1" t="s">
        <v>4564</v>
      </c>
      <c r="D6591" s="22" t="str">
        <f>HYPERLINK("https://rhld.insurance.arkansas.gov/NPILookup?Npi=1396835872","1396835872")</f>
        <v>1396835872</v>
      </c>
      <c r="E6591" s="1" t="s">
        <v>18096</v>
      </c>
      <c r="F6591" s="2"/>
      <c r="G6591" s="2"/>
      <c r="H6591" s="2"/>
    </row>
    <row r="6592" spans="1:8" x14ac:dyDescent="0.25">
      <c r="A6592" s="1"/>
      <c r="B6592" s="1" t="s">
        <v>4563</v>
      </c>
      <c r="C6592" s="1" t="s">
        <v>4564</v>
      </c>
      <c r="D6592" s="22" t="str">
        <f>HYPERLINK("https://rhld.insurance.arkansas.gov/NPILookup?Npi=1396854352","1396854352")</f>
        <v>1396854352</v>
      </c>
      <c r="E6592" s="1" t="s">
        <v>18097</v>
      </c>
      <c r="F6592" s="2"/>
      <c r="G6592" s="2"/>
      <c r="H6592" s="2"/>
    </row>
    <row r="6593" spans="1:8" x14ac:dyDescent="0.25">
      <c r="A6593" s="1"/>
      <c r="B6593" s="1" t="s">
        <v>4563</v>
      </c>
      <c r="C6593" s="1" t="s">
        <v>4564</v>
      </c>
      <c r="D6593" s="22" t="str">
        <f>HYPERLINK("https://rhld.insurance.arkansas.gov/NPILookup?Npi=1427148998","1427148998")</f>
        <v>1427148998</v>
      </c>
      <c r="E6593" s="1" t="s">
        <v>10506</v>
      </c>
      <c r="F6593" s="2"/>
      <c r="G6593" s="2"/>
      <c r="H6593" s="2"/>
    </row>
    <row r="6594" spans="1:8" x14ac:dyDescent="0.25">
      <c r="A6594" s="1"/>
      <c r="B6594" s="1" t="s">
        <v>4563</v>
      </c>
      <c r="C6594" s="1" t="s">
        <v>4564</v>
      </c>
      <c r="D6594" s="22" t="str">
        <f>HYPERLINK("https://rhld.insurance.arkansas.gov/NPILookup?Npi=1447699806","1447699806")</f>
        <v>1447699806</v>
      </c>
      <c r="E6594" s="1" t="s">
        <v>10507</v>
      </c>
      <c r="F6594" s="2"/>
      <c r="G6594" s="2"/>
      <c r="H6594" s="2"/>
    </row>
    <row r="6595" spans="1:8" x14ac:dyDescent="0.25">
      <c r="A6595" s="1"/>
      <c r="B6595" s="1" t="s">
        <v>4563</v>
      </c>
      <c r="C6595" s="1" t="s">
        <v>4564</v>
      </c>
      <c r="D6595" s="22" t="str">
        <f>HYPERLINK("https://rhld.insurance.arkansas.gov/NPILookup?Npi=1457517385","1457517385")</f>
        <v>1457517385</v>
      </c>
      <c r="E6595" s="1" t="s">
        <v>10508</v>
      </c>
      <c r="F6595" s="2"/>
      <c r="G6595" s="2"/>
      <c r="H6595" s="2"/>
    </row>
    <row r="6596" spans="1:8" x14ac:dyDescent="0.25">
      <c r="A6596" s="1"/>
      <c r="B6596" s="1" t="s">
        <v>4563</v>
      </c>
      <c r="C6596" s="1" t="s">
        <v>4564</v>
      </c>
      <c r="D6596" s="22" t="str">
        <f>HYPERLINK("https://rhld.insurance.arkansas.gov/NPILookup?Npi=1467413674","1467413674")</f>
        <v>1467413674</v>
      </c>
      <c r="E6596" s="1" t="s">
        <v>462</v>
      </c>
      <c r="F6596" s="2"/>
      <c r="G6596" s="2"/>
      <c r="H6596" s="2"/>
    </row>
    <row r="6597" spans="1:8" x14ac:dyDescent="0.25">
      <c r="A6597" s="1"/>
      <c r="B6597" s="1" t="s">
        <v>4563</v>
      </c>
      <c r="C6597" s="1" t="s">
        <v>4564</v>
      </c>
      <c r="D6597" s="22" t="str">
        <f>HYPERLINK("https://rhld.insurance.arkansas.gov/NPILookup?Npi=1467417246","1467417246")</f>
        <v>1467417246</v>
      </c>
      <c r="E6597" s="1" t="s">
        <v>18098</v>
      </c>
      <c r="F6597" s="2"/>
      <c r="G6597" s="2"/>
      <c r="H6597" s="2"/>
    </row>
    <row r="6598" spans="1:8" x14ac:dyDescent="0.25">
      <c r="A6598" s="1"/>
      <c r="B6598" s="1" t="s">
        <v>4563</v>
      </c>
      <c r="C6598" s="1" t="s">
        <v>4564</v>
      </c>
      <c r="D6598" s="22" t="str">
        <f>HYPERLINK("https://rhld.insurance.arkansas.gov/NPILookup?Npi=1467838441","1467838441")</f>
        <v>1467838441</v>
      </c>
      <c r="E6598" s="1" t="s">
        <v>18099</v>
      </c>
      <c r="F6598" s="2"/>
      <c r="G6598" s="2"/>
      <c r="H6598" s="2"/>
    </row>
    <row r="6599" spans="1:8" x14ac:dyDescent="0.25">
      <c r="A6599" s="1"/>
      <c r="B6599" s="1" t="s">
        <v>4563</v>
      </c>
      <c r="C6599" s="1" t="s">
        <v>4564</v>
      </c>
      <c r="D6599" s="22" t="str">
        <f>HYPERLINK("https://rhld.insurance.arkansas.gov/NPILookup?Npi=1477905495","1477905495")</f>
        <v>1477905495</v>
      </c>
      <c r="E6599" s="1" t="s">
        <v>18100</v>
      </c>
      <c r="F6599" s="2"/>
      <c r="G6599" s="2"/>
      <c r="H6599" s="2"/>
    </row>
    <row r="6600" spans="1:8" x14ac:dyDescent="0.25">
      <c r="A6600" s="1"/>
      <c r="B6600" s="1" t="s">
        <v>4563</v>
      </c>
      <c r="C6600" s="1" t="s">
        <v>4564</v>
      </c>
      <c r="D6600" s="22" t="str">
        <f>HYPERLINK("https://rhld.insurance.arkansas.gov/NPILookup?Npi=1487801056","1487801056")</f>
        <v>1487801056</v>
      </c>
      <c r="E6600" s="1" t="s">
        <v>18101</v>
      </c>
      <c r="F6600" s="2"/>
      <c r="G6600" s="2"/>
      <c r="H6600" s="2"/>
    </row>
    <row r="6601" spans="1:8" x14ac:dyDescent="0.25">
      <c r="A6601" s="1"/>
      <c r="B6601" s="1" t="s">
        <v>4563</v>
      </c>
      <c r="C6601" s="1" t="s">
        <v>4564</v>
      </c>
      <c r="D6601" s="22" t="str">
        <f>HYPERLINK("https://rhld.insurance.arkansas.gov/NPILookup?Npi=1508025032","1508025032")</f>
        <v>1508025032</v>
      </c>
      <c r="E6601" s="1" t="s">
        <v>18102</v>
      </c>
      <c r="F6601" s="2"/>
      <c r="G6601" s="2"/>
      <c r="H6601" s="2"/>
    </row>
    <row r="6602" spans="1:8" x14ac:dyDescent="0.25">
      <c r="A6602" s="1"/>
      <c r="B6602" s="1" t="s">
        <v>4563</v>
      </c>
      <c r="C6602" s="1" t="s">
        <v>4564</v>
      </c>
      <c r="D6602" s="22" t="str">
        <f>HYPERLINK("https://rhld.insurance.arkansas.gov/NPILookup?Npi=1508096405","1508096405")</f>
        <v>1508096405</v>
      </c>
      <c r="E6602" s="1" t="s">
        <v>10504</v>
      </c>
      <c r="F6602" s="2"/>
      <c r="G6602" s="2"/>
      <c r="H6602" s="2"/>
    </row>
    <row r="6603" spans="1:8" x14ac:dyDescent="0.25">
      <c r="A6603" s="1"/>
      <c r="B6603" s="1" t="s">
        <v>4563</v>
      </c>
      <c r="C6603" s="1" t="s">
        <v>4564</v>
      </c>
      <c r="D6603" s="22" t="str">
        <f>HYPERLINK("https://rhld.insurance.arkansas.gov/NPILookup?Npi=1528158185","1528158185")</f>
        <v>1528158185</v>
      </c>
      <c r="E6603" s="1" t="s">
        <v>18103</v>
      </c>
      <c r="F6603" s="2"/>
      <c r="G6603" s="2"/>
      <c r="H6603" s="2"/>
    </row>
    <row r="6604" spans="1:8" x14ac:dyDescent="0.25">
      <c r="A6604" s="1"/>
      <c r="B6604" s="1" t="s">
        <v>4563</v>
      </c>
      <c r="C6604" s="1" t="s">
        <v>4564</v>
      </c>
      <c r="D6604" s="22" t="str">
        <f>HYPERLINK("https://rhld.insurance.arkansas.gov/NPILookup?Npi=1538109582","1538109582")</f>
        <v>1538109582</v>
      </c>
      <c r="E6604" s="1" t="s">
        <v>18104</v>
      </c>
      <c r="F6604" s="2"/>
      <c r="G6604" s="2"/>
      <c r="H6604" s="2"/>
    </row>
    <row r="6605" spans="1:8" x14ac:dyDescent="0.25">
      <c r="A6605" s="1"/>
      <c r="B6605" s="1" t="s">
        <v>4563</v>
      </c>
      <c r="C6605" s="1" t="s">
        <v>4564</v>
      </c>
      <c r="D6605" s="22" t="str">
        <f>HYPERLINK("https://rhld.insurance.arkansas.gov/NPILookup?Npi=1538197256","1538197256")</f>
        <v>1538197256</v>
      </c>
      <c r="E6605" s="1" t="s">
        <v>18105</v>
      </c>
      <c r="F6605" s="2"/>
      <c r="G6605" s="2"/>
      <c r="H6605" s="2"/>
    </row>
    <row r="6606" spans="1:8" x14ac:dyDescent="0.25">
      <c r="A6606" s="1"/>
      <c r="B6606" s="1" t="s">
        <v>4563</v>
      </c>
      <c r="C6606" s="1" t="s">
        <v>4564</v>
      </c>
      <c r="D6606" s="22" t="str">
        <f>HYPERLINK("https://rhld.insurance.arkansas.gov/NPILookup?Npi=1538430244","1538430244")</f>
        <v>1538430244</v>
      </c>
      <c r="E6606" s="1" t="s">
        <v>18106</v>
      </c>
      <c r="F6606" s="2"/>
      <c r="G6606" s="2"/>
      <c r="H6606" s="2"/>
    </row>
    <row r="6607" spans="1:8" x14ac:dyDescent="0.25">
      <c r="A6607" s="1"/>
      <c r="B6607" s="1" t="s">
        <v>4563</v>
      </c>
      <c r="C6607" s="1" t="s">
        <v>4564</v>
      </c>
      <c r="D6607" s="22" t="str">
        <f>HYPERLINK("https://rhld.insurance.arkansas.gov/NPILookup?Npi=1548767437","1548767437")</f>
        <v>1548767437</v>
      </c>
      <c r="E6607" s="1" t="s">
        <v>10509</v>
      </c>
      <c r="F6607" s="2"/>
      <c r="G6607" s="2"/>
      <c r="H6607" s="2"/>
    </row>
    <row r="6608" spans="1:8" x14ac:dyDescent="0.25">
      <c r="A6608" s="1"/>
      <c r="B6608" s="1" t="s">
        <v>4563</v>
      </c>
      <c r="C6608" s="1" t="s">
        <v>4564</v>
      </c>
      <c r="D6608" s="22" t="str">
        <f>HYPERLINK("https://rhld.insurance.arkansas.gov/NPILookup?Npi=1548783202","1548783202")</f>
        <v>1548783202</v>
      </c>
      <c r="E6608" s="1" t="s">
        <v>4575</v>
      </c>
      <c r="F6608" s="2"/>
      <c r="G6608" s="2"/>
      <c r="H6608" s="2"/>
    </row>
    <row r="6609" spans="1:8" x14ac:dyDescent="0.25">
      <c r="A6609" s="1"/>
      <c r="B6609" s="1" t="s">
        <v>4563</v>
      </c>
      <c r="C6609" s="1" t="s">
        <v>4564</v>
      </c>
      <c r="D6609" s="22" t="str">
        <f>HYPERLINK("https://rhld.insurance.arkansas.gov/NPILookup?Npi=1558590513","1558590513")</f>
        <v>1558590513</v>
      </c>
      <c r="E6609" s="1" t="s">
        <v>4576</v>
      </c>
      <c r="F6609" s="2"/>
      <c r="G6609" s="2"/>
      <c r="H6609" s="2"/>
    </row>
    <row r="6610" spans="1:8" x14ac:dyDescent="0.25">
      <c r="A6610" s="1"/>
      <c r="B6610" s="1" t="s">
        <v>4563</v>
      </c>
      <c r="C6610" s="1" t="s">
        <v>4564</v>
      </c>
      <c r="D6610" s="22" t="str">
        <f>HYPERLINK("https://rhld.insurance.arkansas.gov/NPILookup?Npi=1558882217","1558882217")</f>
        <v>1558882217</v>
      </c>
      <c r="E6610" s="1" t="s">
        <v>10510</v>
      </c>
      <c r="F6610" s="2"/>
      <c r="G6610" s="2"/>
      <c r="H6610" s="2"/>
    </row>
    <row r="6611" spans="1:8" x14ac:dyDescent="0.25">
      <c r="A6611" s="1"/>
      <c r="B6611" s="1" t="s">
        <v>4563</v>
      </c>
      <c r="C6611" s="1" t="s">
        <v>4564</v>
      </c>
      <c r="D6611" s="22" t="str">
        <f>HYPERLINK("https://rhld.insurance.arkansas.gov/NPILookup?Npi=1568517456","1568517456")</f>
        <v>1568517456</v>
      </c>
      <c r="E6611" s="1" t="s">
        <v>18107</v>
      </c>
      <c r="F6611" s="2"/>
      <c r="G6611" s="2"/>
      <c r="H6611" s="2"/>
    </row>
    <row r="6612" spans="1:8" x14ac:dyDescent="0.25">
      <c r="A6612" s="1"/>
      <c r="B6612" s="1" t="s">
        <v>4563</v>
      </c>
      <c r="C6612" s="1" t="s">
        <v>4564</v>
      </c>
      <c r="D6612" s="22" t="str">
        <f>HYPERLINK("https://rhld.insurance.arkansas.gov/NPILookup?Npi=1568825289","1568825289")</f>
        <v>1568825289</v>
      </c>
      <c r="E6612" s="1" t="s">
        <v>18108</v>
      </c>
      <c r="F6612" s="2"/>
      <c r="G6612" s="2"/>
      <c r="H6612" s="2"/>
    </row>
    <row r="6613" spans="1:8" x14ac:dyDescent="0.25">
      <c r="A6613" s="1"/>
      <c r="B6613" s="1" t="s">
        <v>4563</v>
      </c>
      <c r="C6613" s="1" t="s">
        <v>4564</v>
      </c>
      <c r="D6613" s="22" t="str">
        <f>HYPERLINK("https://rhld.insurance.arkansas.gov/NPILookup?Npi=1578538070","1578538070")</f>
        <v>1578538070</v>
      </c>
      <c r="E6613" s="1" t="s">
        <v>18109</v>
      </c>
      <c r="F6613" s="2"/>
      <c r="G6613" s="2"/>
      <c r="H6613" s="2"/>
    </row>
    <row r="6614" spans="1:8" x14ac:dyDescent="0.25">
      <c r="A6614" s="1"/>
      <c r="B6614" s="1" t="s">
        <v>4563</v>
      </c>
      <c r="C6614" s="1" t="s">
        <v>4564</v>
      </c>
      <c r="D6614" s="22" t="str">
        <f>HYPERLINK("https://rhld.insurance.arkansas.gov/NPILookup?Npi=1588748990","1588748990")</f>
        <v>1588748990</v>
      </c>
      <c r="E6614" s="1" t="s">
        <v>2201</v>
      </c>
      <c r="F6614" s="2"/>
      <c r="G6614" s="2"/>
      <c r="H6614" s="2"/>
    </row>
    <row r="6615" spans="1:8" x14ac:dyDescent="0.25">
      <c r="A6615" s="1"/>
      <c r="B6615" s="1" t="s">
        <v>4563</v>
      </c>
      <c r="C6615" s="1" t="s">
        <v>4564</v>
      </c>
      <c r="D6615" s="22" t="str">
        <f>HYPERLINK("https://rhld.insurance.arkansas.gov/NPILookup?Npi=1609131234","1609131234")</f>
        <v>1609131234</v>
      </c>
      <c r="E6615" s="1" t="s">
        <v>18110</v>
      </c>
      <c r="F6615" s="2"/>
      <c r="G6615" s="2"/>
      <c r="H6615" s="2"/>
    </row>
    <row r="6616" spans="1:8" x14ac:dyDescent="0.25">
      <c r="A6616" s="1"/>
      <c r="B6616" s="1" t="s">
        <v>4563</v>
      </c>
      <c r="C6616" s="1" t="s">
        <v>4564</v>
      </c>
      <c r="D6616" s="22" t="str">
        <f>HYPERLINK("https://rhld.insurance.arkansas.gov/NPILookup?Npi=1619133519","1619133519")</f>
        <v>1619133519</v>
      </c>
      <c r="E6616" s="1" t="s">
        <v>18111</v>
      </c>
      <c r="F6616" s="2"/>
      <c r="G6616" s="2"/>
      <c r="H6616" s="2"/>
    </row>
    <row r="6617" spans="1:8" x14ac:dyDescent="0.25">
      <c r="A6617" s="1"/>
      <c r="B6617" s="1" t="s">
        <v>4563</v>
      </c>
      <c r="C6617" s="1" t="s">
        <v>4564</v>
      </c>
      <c r="D6617" s="22" t="str">
        <f>HYPERLINK("https://rhld.insurance.arkansas.gov/NPILookup?Npi=1619191863","1619191863")</f>
        <v>1619191863</v>
      </c>
      <c r="E6617" s="1" t="s">
        <v>988</v>
      </c>
      <c r="F6617" s="2"/>
      <c r="G6617" s="2"/>
      <c r="H6617" s="2"/>
    </row>
    <row r="6618" spans="1:8" x14ac:dyDescent="0.25">
      <c r="A6618" s="1"/>
      <c r="B6618" s="1" t="s">
        <v>4563</v>
      </c>
      <c r="C6618" s="1" t="s">
        <v>4564</v>
      </c>
      <c r="D6618" s="22" t="str">
        <f>HYPERLINK("https://rhld.insurance.arkansas.gov/NPILookup?Npi=1619383171","1619383171")</f>
        <v>1619383171</v>
      </c>
      <c r="E6618" s="1" t="s">
        <v>18112</v>
      </c>
      <c r="F6618" s="2"/>
      <c r="G6618" s="2"/>
      <c r="H6618" s="2"/>
    </row>
    <row r="6619" spans="1:8" x14ac:dyDescent="0.25">
      <c r="A6619" s="1"/>
      <c r="B6619" s="1" t="s">
        <v>4563</v>
      </c>
      <c r="C6619" s="1" t="s">
        <v>4564</v>
      </c>
      <c r="D6619" s="22" t="str">
        <f>HYPERLINK("https://rhld.insurance.arkansas.gov/NPILookup?Npi=1629331079","1629331079")</f>
        <v>1629331079</v>
      </c>
      <c r="E6619" s="1" t="s">
        <v>10511</v>
      </c>
      <c r="F6619" s="2"/>
      <c r="G6619" s="2"/>
      <c r="H6619" s="2"/>
    </row>
    <row r="6620" spans="1:8" x14ac:dyDescent="0.25">
      <c r="A6620" s="1"/>
      <c r="B6620" s="1" t="s">
        <v>4563</v>
      </c>
      <c r="C6620" s="1" t="s">
        <v>4564</v>
      </c>
      <c r="D6620" s="22" t="str">
        <f>HYPERLINK("https://rhld.insurance.arkansas.gov/NPILookup?Npi=1649277401","1649277401")</f>
        <v>1649277401</v>
      </c>
      <c r="E6620" s="1" t="s">
        <v>18113</v>
      </c>
      <c r="F6620" s="2"/>
      <c r="G6620" s="2"/>
      <c r="H6620" s="2"/>
    </row>
    <row r="6621" spans="1:8" x14ac:dyDescent="0.25">
      <c r="A6621" s="1"/>
      <c r="B6621" s="1" t="s">
        <v>4563</v>
      </c>
      <c r="C6621" s="1" t="s">
        <v>4564</v>
      </c>
      <c r="D6621" s="22" t="str">
        <f>HYPERLINK("https://rhld.insurance.arkansas.gov/NPILookup?Npi=1649407354","1649407354")</f>
        <v>1649407354</v>
      </c>
      <c r="E6621" s="1" t="s">
        <v>18114</v>
      </c>
      <c r="F6621" s="2"/>
      <c r="G6621" s="2"/>
      <c r="H6621" s="2"/>
    </row>
    <row r="6622" spans="1:8" x14ac:dyDescent="0.25">
      <c r="A6622" s="1"/>
      <c r="B6622" s="1" t="s">
        <v>4563</v>
      </c>
      <c r="C6622" s="1" t="s">
        <v>4564</v>
      </c>
      <c r="D6622" s="22" t="str">
        <f>HYPERLINK("https://rhld.insurance.arkansas.gov/NPILookup?Npi=1659338085","1659338085")</f>
        <v>1659338085</v>
      </c>
      <c r="E6622" s="1" t="s">
        <v>10512</v>
      </c>
      <c r="F6622" s="2"/>
      <c r="G6622" s="2"/>
      <c r="H6622" s="2"/>
    </row>
    <row r="6623" spans="1:8" x14ac:dyDescent="0.25">
      <c r="A6623" s="1"/>
      <c r="B6623" s="1" t="s">
        <v>4563</v>
      </c>
      <c r="C6623" s="1" t="s">
        <v>4564</v>
      </c>
      <c r="D6623" s="22" t="str">
        <f>HYPERLINK("https://rhld.insurance.arkansas.gov/NPILookup?Npi=1679718357","1679718357")</f>
        <v>1679718357</v>
      </c>
      <c r="E6623" s="1" t="s">
        <v>18115</v>
      </c>
      <c r="F6623" s="2"/>
      <c r="G6623" s="2"/>
      <c r="H6623" s="2"/>
    </row>
    <row r="6624" spans="1:8" x14ac:dyDescent="0.25">
      <c r="A6624" s="1"/>
      <c r="B6624" s="1" t="s">
        <v>4563</v>
      </c>
      <c r="C6624" s="1" t="s">
        <v>4564</v>
      </c>
      <c r="D6624" s="22" t="str">
        <f>HYPERLINK("https://rhld.insurance.arkansas.gov/NPILookup?Npi=1679886618","1679886618")</f>
        <v>1679886618</v>
      </c>
      <c r="E6624" s="1" t="s">
        <v>3570</v>
      </c>
      <c r="F6624" s="2"/>
      <c r="G6624" s="2"/>
      <c r="H6624" s="2"/>
    </row>
    <row r="6625" spans="1:8" x14ac:dyDescent="0.25">
      <c r="A6625" s="1"/>
      <c r="B6625" s="1" t="s">
        <v>4563</v>
      </c>
      <c r="C6625" s="1" t="s">
        <v>4564</v>
      </c>
      <c r="D6625" s="22" t="str">
        <f>HYPERLINK("https://rhld.insurance.arkansas.gov/NPILookup?Npi=1689109217","1689109217")</f>
        <v>1689109217</v>
      </c>
      <c r="E6625" s="1" t="s">
        <v>18116</v>
      </c>
      <c r="F6625" s="2"/>
      <c r="G6625" s="2"/>
      <c r="H6625" s="2"/>
    </row>
    <row r="6626" spans="1:8" x14ac:dyDescent="0.25">
      <c r="A6626" s="1"/>
      <c r="B6626" s="1" t="s">
        <v>4563</v>
      </c>
      <c r="C6626" s="1" t="s">
        <v>4564</v>
      </c>
      <c r="D6626" s="22" t="str">
        <f>HYPERLINK("https://rhld.insurance.arkansas.gov/NPILookup?Npi=1689677296","1689677296")</f>
        <v>1689677296</v>
      </c>
      <c r="E6626" s="1" t="s">
        <v>2967</v>
      </c>
      <c r="F6626" s="2"/>
      <c r="G6626" s="2"/>
      <c r="H6626" s="2"/>
    </row>
    <row r="6627" spans="1:8" x14ac:dyDescent="0.25">
      <c r="A6627" s="1"/>
      <c r="B6627" s="1" t="s">
        <v>4563</v>
      </c>
      <c r="C6627" s="1" t="s">
        <v>4564</v>
      </c>
      <c r="D6627" s="22" t="str">
        <f>HYPERLINK("https://rhld.insurance.arkansas.gov/NPILookup?Npi=1699730762","1699730762")</f>
        <v>1699730762</v>
      </c>
      <c r="E6627" s="1" t="s">
        <v>10513</v>
      </c>
      <c r="F6627" s="2"/>
      <c r="G6627" s="2"/>
      <c r="H6627" s="2"/>
    </row>
    <row r="6628" spans="1:8" x14ac:dyDescent="0.25">
      <c r="A6628" s="1"/>
      <c r="B6628" s="1" t="s">
        <v>4563</v>
      </c>
      <c r="C6628" s="1" t="s">
        <v>4564</v>
      </c>
      <c r="D6628" s="22" t="str">
        <f>HYPERLINK("https://rhld.insurance.arkansas.gov/NPILookup?Npi=1699932319","1699932319")</f>
        <v>1699932319</v>
      </c>
      <c r="E6628" s="1" t="s">
        <v>18117</v>
      </c>
      <c r="F6628" s="2"/>
      <c r="G6628" s="2"/>
      <c r="H6628" s="2"/>
    </row>
    <row r="6629" spans="1:8" x14ac:dyDescent="0.25">
      <c r="A6629" s="1"/>
      <c r="B6629" s="1" t="s">
        <v>4563</v>
      </c>
      <c r="C6629" s="1" t="s">
        <v>4564</v>
      </c>
      <c r="D6629" s="22" t="str">
        <f>HYPERLINK("https://rhld.insurance.arkansas.gov/NPILookup?Npi=1710186473","1710186473")</f>
        <v>1710186473</v>
      </c>
      <c r="E6629" s="1" t="s">
        <v>3540</v>
      </c>
      <c r="F6629" s="2"/>
      <c r="G6629" s="2"/>
      <c r="H6629" s="2"/>
    </row>
    <row r="6630" spans="1:8" x14ac:dyDescent="0.25">
      <c r="A6630" s="1"/>
      <c r="B6630" s="1" t="s">
        <v>4563</v>
      </c>
      <c r="C6630" s="1" t="s">
        <v>4564</v>
      </c>
      <c r="D6630" s="22" t="str">
        <f>HYPERLINK("https://rhld.insurance.arkansas.gov/NPILookup?Npi=1720321060","1720321060")</f>
        <v>1720321060</v>
      </c>
      <c r="E6630" s="1" t="s">
        <v>10425</v>
      </c>
      <c r="F6630" s="2"/>
      <c r="G6630" s="2"/>
      <c r="H6630" s="2"/>
    </row>
    <row r="6631" spans="1:8" x14ac:dyDescent="0.25">
      <c r="A6631" s="1"/>
      <c r="B6631" s="1" t="s">
        <v>4563</v>
      </c>
      <c r="C6631" s="1" t="s">
        <v>4564</v>
      </c>
      <c r="D6631" s="22" t="str">
        <f>HYPERLINK("https://rhld.insurance.arkansas.gov/NPILookup?Npi=1730611005","1730611005")</f>
        <v>1730611005</v>
      </c>
      <c r="E6631" s="1" t="s">
        <v>18118</v>
      </c>
      <c r="F6631" s="2"/>
      <c r="G6631" s="2"/>
      <c r="H6631" s="2"/>
    </row>
    <row r="6632" spans="1:8" x14ac:dyDescent="0.25">
      <c r="A6632" s="1"/>
      <c r="B6632" s="1" t="s">
        <v>4563</v>
      </c>
      <c r="C6632" s="1" t="s">
        <v>4564</v>
      </c>
      <c r="D6632" s="22" t="str">
        <f>HYPERLINK("https://rhld.insurance.arkansas.gov/NPILookup?Npi=1740506302","1740506302")</f>
        <v>1740506302</v>
      </c>
      <c r="E6632" s="1" t="s">
        <v>18119</v>
      </c>
      <c r="F6632" s="2"/>
      <c r="G6632" s="2"/>
      <c r="H6632" s="2"/>
    </row>
    <row r="6633" spans="1:8" x14ac:dyDescent="0.25">
      <c r="A6633" s="1"/>
      <c r="B6633" s="1" t="s">
        <v>4563</v>
      </c>
      <c r="C6633" s="1" t="s">
        <v>4564</v>
      </c>
      <c r="D6633" s="22" t="str">
        <f>HYPERLINK("https://rhld.insurance.arkansas.gov/NPILookup?Npi=1760902605","1760902605")</f>
        <v>1760902605</v>
      </c>
      <c r="E6633" s="1" t="s">
        <v>18120</v>
      </c>
      <c r="F6633" s="2"/>
      <c r="G6633" s="2"/>
      <c r="H6633" s="2"/>
    </row>
    <row r="6634" spans="1:8" x14ac:dyDescent="0.25">
      <c r="A6634" s="1"/>
      <c r="B6634" s="1" t="s">
        <v>4563</v>
      </c>
      <c r="C6634" s="1" t="s">
        <v>4564</v>
      </c>
      <c r="D6634" s="22" t="str">
        <f>HYPERLINK("https://rhld.insurance.arkansas.gov/NPILookup?Npi=1780975102","1780975102")</f>
        <v>1780975102</v>
      </c>
      <c r="E6634" s="1" t="s">
        <v>18121</v>
      </c>
      <c r="F6634" s="2"/>
      <c r="G6634" s="2"/>
      <c r="H6634" s="2"/>
    </row>
    <row r="6635" spans="1:8" x14ac:dyDescent="0.25">
      <c r="A6635" s="1"/>
      <c r="B6635" s="1" t="s">
        <v>4563</v>
      </c>
      <c r="C6635" s="1" t="s">
        <v>4564</v>
      </c>
      <c r="D6635" s="22" t="str">
        <f>HYPERLINK("https://rhld.insurance.arkansas.gov/NPILookup?Npi=1801030192","1801030192")</f>
        <v>1801030192</v>
      </c>
      <c r="E6635" s="1" t="s">
        <v>10514</v>
      </c>
      <c r="F6635" s="2"/>
      <c r="G6635" s="2"/>
      <c r="H6635" s="2"/>
    </row>
    <row r="6636" spans="1:8" x14ac:dyDescent="0.25">
      <c r="A6636" s="1"/>
      <c r="B6636" s="1" t="s">
        <v>4563</v>
      </c>
      <c r="C6636" s="1" t="s">
        <v>4564</v>
      </c>
      <c r="D6636" s="22" t="str">
        <f>HYPERLINK("https://rhld.insurance.arkansas.gov/NPILookup?Npi=1801901509","1801901509")</f>
        <v>1801901509</v>
      </c>
      <c r="E6636" s="1" t="s">
        <v>18123</v>
      </c>
      <c r="F6636" s="2"/>
      <c r="G6636" s="2"/>
      <c r="H6636" s="2"/>
    </row>
    <row r="6637" spans="1:8" x14ac:dyDescent="0.25">
      <c r="A6637" s="1"/>
      <c r="B6637" s="1" t="s">
        <v>4563</v>
      </c>
      <c r="C6637" s="1" t="s">
        <v>4564</v>
      </c>
      <c r="D6637" s="22" t="str">
        <f>HYPERLINK("https://rhld.insurance.arkansas.gov/NPILookup?Npi=1811143944","1811143944")</f>
        <v>1811143944</v>
      </c>
      <c r="E6637" s="1" t="s">
        <v>1619</v>
      </c>
      <c r="F6637" s="2"/>
      <c r="G6637" s="2"/>
      <c r="H6637" s="2"/>
    </row>
    <row r="6638" spans="1:8" x14ac:dyDescent="0.25">
      <c r="A6638" s="1"/>
      <c r="B6638" s="1" t="s">
        <v>4563</v>
      </c>
      <c r="C6638" s="1" t="s">
        <v>4564</v>
      </c>
      <c r="D6638" s="22" t="str">
        <f>HYPERLINK("https://rhld.insurance.arkansas.gov/NPILookup?Npi=1811190069","1811190069")</f>
        <v>1811190069</v>
      </c>
      <c r="E6638" s="1" t="s">
        <v>18124</v>
      </c>
      <c r="F6638" s="2"/>
      <c r="G6638" s="2"/>
      <c r="H6638" s="2"/>
    </row>
    <row r="6639" spans="1:8" x14ac:dyDescent="0.25">
      <c r="A6639" s="1"/>
      <c r="B6639" s="1" t="s">
        <v>4563</v>
      </c>
      <c r="C6639" s="1" t="s">
        <v>4564</v>
      </c>
      <c r="D6639" s="22" t="str">
        <f>HYPERLINK("https://rhld.insurance.arkansas.gov/NPILookup?Npi=1811474950","1811474950")</f>
        <v>1811474950</v>
      </c>
      <c r="E6639" s="1" t="s">
        <v>10515</v>
      </c>
      <c r="F6639" s="2"/>
      <c r="G6639" s="2"/>
      <c r="H6639" s="2"/>
    </row>
    <row r="6640" spans="1:8" x14ac:dyDescent="0.25">
      <c r="A6640" s="1"/>
      <c r="B6640" s="1" t="s">
        <v>4563</v>
      </c>
      <c r="C6640" s="1" t="s">
        <v>4564</v>
      </c>
      <c r="D6640" s="22" t="str">
        <f>HYPERLINK("https://rhld.insurance.arkansas.gov/NPILookup?Npi=1831198993","1831198993")</f>
        <v>1831198993</v>
      </c>
      <c r="E6640" s="1" t="s">
        <v>18126</v>
      </c>
      <c r="F6640" s="2"/>
      <c r="G6640" s="2"/>
      <c r="H6640" s="2"/>
    </row>
    <row r="6641" spans="1:8" x14ac:dyDescent="0.25">
      <c r="A6641" s="1"/>
      <c r="B6641" s="1" t="s">
        <v>4563</v>
      </c>
      <c r="C6641" s="1" t="s">
        <v>4564</v>
      </c>
      <c r="D6641" s="22" t="str">
        <f>HYPERLINK("https://rhld.insurance.arkansas.gov/NPILookup?Npi=1831422542","1831422542")</f>
        <v>1831422542</v>
      </c>
      <c r="E6641" s="1" t="s">
        <v>3571</v>
      </c>
      <c r="F6641" s="2"/>
      <c r="G6641" s="2"/>
      <c r="H6641" s="2"/>
    </row>
    <row r="6642" spans="1:8" x14ac:dyDescent="0.25">
      <c r="A6642" s="1"/>
      <c r="B6642" s="1" t="s">
        <v>4563</v>
      </c>
      <c r="C6642" s="1" t="s">
        <v>4564</v>
      </c>
      <c r="D6642" s="22" t="str">
        <f>HYPERLINK("https://rhld.insurance.arkansas.gov/NPILookup?Npi=1831485788","1831485788")</f>
        <v>1831485788</v>
      </c>
      <c r="E6642" s="1" t="s">
        <v>18127</v>
      </c>
      <c r="F6642" s="2"/>
      <c r="G6642" s="2"/>
      <c r="H6642" s="2"/>
    </row>
    <row r="6643" spans="1:8" x14ac:dyDescent="0.25">
      <c r="A6643" s="1"/>
      <c r="B6643" s="1" t="s">
        <v>4563</v>
      </c>
      <c r="C6643" s="1" t="s">
        <v>4564</v>
      </c>
      <c r="D6643" s="22" t="str">
        <f>HYPERLINK("https://rhld.insurance.arkansas.gov/NPILookup?Npi=1831611730","1831611730")</f>
        <v>1831611730</v>
      </c>
      <c r="E6643" s="1" t="s">
        <v>18128</v>
      </c>
      <c r="F6643" s="2"/>
      <c r="G6643" s="2"/>
      <c r="H6643" s="2"/>
    </row>
    <row r="6644" spans="1:8" x14ac:dyDescent="0.25">
      <c r="A6644" s="1"/>
      <c r="B6644" s="1" t="s">
        <v>4563</v>
      </c>
      <c r="C6644" s="1" t="s">
        <v>4564</v>
      </c>
      <c r="D6644" s="22" t="str">
        <f>HYPERLINK("https://rhld.insurance.arkansas.gov/NPILookup?Npi=1841250875","1841250875")</f>
        <v>1841250875</v>
      </c>
      <c r="E6644" s="1" t="s">
        <v>18129</v>
      </c>
      <c r="F6644" s="2"/>
      <c r="G6644" s="2"/>
      <c r="H6644" s="2"/>
    </row>
    <row r="6645" spans="1:8" x14ac:dyDescent="0.25">
      <c r="A6645" s="1"/>
      <c r="B6645" s="1" t="s">
        <v>4563</v>
      </c>
      <c r="C6645" s="1" t="s">
        <v>4564</v>
      </c>
      <c r="D6645" s="22" t="str">
        <f>HYPERLINK("https://rhld.insurance.arkansas.gov/NPILookup?Npi=1871521005","1871521005")</f>
        <v>1871521005</v>
      </c>
      <c r="E6645" s="1" t="s">
        <v>18130</v>
      </c>
      <c r="F6645" s="2"/>
      <c r="G6645" s="2"/>
      <c r="H6645" s="2"/>
    </row>
    <row r="6646" spans="1:8" x14ac:dyDescent="0.25">
      <c r="A6646" s="1"/>
      <c r="B6646" s="1" t="s">
        <v>4563</v>
      </c>
      <c r="C6646" s="1" t="s">
        <v>4564</v>
      </c>
      <c r="D6646" s="22" t="str">
        <f>HYPERLINK("https://rhld.insurance.arkansas.gov/NPILookup?Npi=1881646180","1881646180")</f>
        <v>1881646180</v>
      </c>
      <c r="E6646" s="1" t="s">
        <v>7549</v>
      </c>
      <c r="F6646" s="2"/>
      <c r="G6646" s="2"/>
      <c r="H6646" s="2"/>
    </row>
    <row r="6647" spans="1:8" x14ac:dyDescent="0.25">
      <c r="A6647" s="1"/>
      <c r="B6647" s="1" t="s">
        <v>4563</v>
      </c>
      <c r="C6647" s="1" t="s">
        <v>4564</v>
      </c>
      <c r="D6647" s="22" t="str">
        <f>HYPERLINK("https://rhld.insurance.arkansas.gov/NPILookup?Npi=1891040762","1891040762")</f>
        <v>1891040762</v>
      </c>
      <c r="E6647" s="1" t="s">
        <v>10516</v>
      </c>
      <c r="F6647" s="2"/>
      <c r="G6647" s="2"/>
      <c r="H6647" s="2"/>
    </row>
    <row r="6648" spans="1:8" x14ac:dyDescent="0.25">
      <c r="A6648" s="1"/>
      <c r="B6648" s="1" t="s">
        <v>4563</v>
      </c>
      <c r="C6648" s="1" t="s">
        <v>4564</v>
      </c>
      <c r="D6648" s="22" t="str">
        <f>HYPERLINK("https://rhld.insurance.arkansas.gov/NPILookup?Npi=1891101739","1891101739")</f>
        <v>1891101739</v>
      </c>
      <c r="E6648" s="1" t="s">
        <v>18131</v>
      </c>
      <c r="F6648" s="2"/>
      <c r="G6648" s="2"/>
      <c r="H6648" s="2"/>
    </row>
    <row r="6649" spans="1:8" x14ac:dyDescent="0.25">
      <c r="A6649" s="1"/>
      <c r="B6649" s="1" t="s">
        <v>4563</v>
      </c>
      <c r="C6649" s="1" t="s">
        <v>4564</v>
      </c>
      <c r="D6649" s="22" t="str">
        <f>HYPERLINK("https://rhld.insurance.arkansas.gov/NPILookup?Npi=1902913692","1902913692")</f>
        <v>1902913692</v>
      </c>
      <c r="E6649" s="1" t="s">
        <v>2291</v>
      </c>
      <c r="F6649" s="2"/>
      <c r="G6649" s="2"/>
      <c r="H6649" s="2"/>
    </row>
    <row r="6650" spans="1:8" x14ac:dyDescent="0.25">
      <c r="A6650" s="1"/>
      <c r="B6650" s="1" t="s">
        <v>4563</v>
      </c>
      <c r="C6650" s="1" t="s">
        <v>4564</v>
      </c>
      <c r="D6650" s="22" t="str">
        <f>HYPERLINK("https://rhld.insurance.arkansas.gov/NPILookup?Npi=1922206622","1922206622")</f>
        <v>1922206622</v>
      </c>
      <c r="E6650" s="1" t="s">
        <v>18132</v>
      </c>
      <c r="F6650" s="2"/>
      <c r="G6650" s="2"/>
      <c r="H6650" s="2"/>
    </row>
    <row r="6651" spans="1:8" x14ac:dyDescent="0.25">
      <c r="A6651" s="1"/>
      <c r="B6651" s="1" t="s">
        <v>4563</v>
      </c>
      <c r="C6651" s="1" t="s">
        <v>4564</v>
      </c>
      <c r="D6651" s="22" t="str">
        <f>HYPERLINK("https://rhld.insurance.arkansas.gov/NPILookup?Npi=1932361979","1932361979")</f>
        <v>1932361979</v>
      </c>
      <c r="E6651" s="1" t="s">
        <v>18133</v>
      </c>
      <c r="F6651" s="2"/>
      <c r="G6651" s="2"/>
      <c r="H6651" s="2"/>
    </row>
    <row r="6652" spans="1:8" x14ac:dyDescent="0.25">
      <c r="A6652" s="1"/>
      <c r="B6652" s="1" t="s">
        <v>4563</v>
      </c>
      <c r="C6652" s="1" t="s">
        <v>4564</v>
      </c>
      <c r="D6652" s="22" t="str">
        <f>HYPERLINK("https://rhld.insurance.arkansas.gov/NPILookup?Npi=1952561599","1952561599")</f>
        <v>1952561599</v>
      </c>
      <c r="E6652" s="1" t="s">
        <v>18134</v>
      </c>
      <c r="F6652" s="2"/>
      <c r="G6652" s="2"/>
      <c r="H6652" s="2"/>
    </row>
    <row r="6653" spans="1:8" x14ac:dyDescent="0.25">
      <c r="A6653" s="1"/>
      <c r="B6653" s="1" t="s">
        <v>4563</v>
      </c>
      <c r="C6653" s="1" t="s">
        <v>4564</v>
      </c>
      <c r="D6653" s="22" t="str">
        <f>HYPERLINK("https://rhld.insurance.arkansas.gov/NPILookup?Npi=1952781064","1952781064")</f>
        <v>1952781064</v>
      </c>
      <c r="E6653" s="1" t="s">
        <v>4577</v>
      </c>
      <c r="F6653" s="2"/>
      <c r="G6653" s="2"/>
      <c r="H6653" s="2"/>
    </row>
    <row r="6654" spans="1:8" x14ac:dyDescent="0.25">
      <c r="A6654" s="1"/>
      <c r="B6654" s="1" t="s">
        <v>4563</v>
      </c>
      <c r="C6654" s="1" t="s">
        <v>4564</v>
      </c>
      <c r="D6654" s="22" t="str">
        <f>HYPERLINK("https://rhld.insurance.arkansas.gov/NPILookup?Npi=1972721413","1972721413")</f>
        <v>1972721413</v>
      </c>
      <c r="E6654" s="1" t="s">
        <v>1542</v>
      </c>
      <c r="F6654" s="2"/>
      <c r="G6654" s="2"/>
      <c r="H6654" s="2"/>
    </row>
    <row r="6655" spans="1:8" x14ac:dyDescent="0.25">
      <c r="A6655" s="1"/>
      <c r="B6655" s="1" t="s">
        <v>4563</v>
      </c>
      <c r="C6655" s="1" t="s">
        <v>4564</v>
      </c>
      <c r="D6655" s="22" t="str">
        <f>HYPERLINK("https://rhld.insurance.arkansas.gov/NPILookup?Npi=1992069736","1992069736")</f>
        <v>1992069736</v>
      </c>
      <c r="E6655" s="1" t="s">
        <v>18135</v>
      </c>
      <c r="F6655" s="2"/>
      <c r="G6655" s="2"/>
      <c r="H6655" s="2"/>
    </row>
    <row r="6656" spans="1:8" x14ac:dyDescent="0.25">
      <c r="A6656" s="1"/>
      <c r="B6656" s="1" t="s">
        <v>4563</v>
      </c>
      <c r="C6656" s="1" t="s">
        <v>4564</v>
      </c>
      <c r="D6656" s="22" t="str">
        <f>HYPERLINK("https://rhld.insurance.arkansas.gov/NPILookup?Npi=1992768204","1992768204")</f>
        <v>1992768204</v>
      </c>
      <c r="E6656" s="1" t="s">
        <v>18136</v>
      </c>
      <c r="F6656" s="2"/>
      <c r="G6656" s="2"/>
      <c r="H6656" s="2"/>
    </row>
    <row r="6657" spans="1:8" x14ac:dyDescent="0.25">
      <c r="A6657" s="1"/>
      <c r="B6657" s="1" t="s">
        <v>4578</v>
      </c>
      <c r="C6657" s="1" t="s">
        <v>4579</v>
      </c>
      <c r="D6657" s="22" t="str">
        <f>HYPERLINK("https://rhld.insurance.arkansas.gov/NPILookup?Npi=1003310855","1003310855")</f>
        <v>1003310855</v>
      </c>
      <c r="E6657" s="1" t="s">
        <v>18137</v>
      </c>
      <c r="F6657" s="2"/>
      <c r="G6657" s="2"/>
      <c r="H6657" s="2"/>
    </row>
    <row r="6658" spans="1:8" x14ac:dyDescent="0.25">
      <c r="A6658" s="1"/>
      <c r="B6658" s="1" t="s">
        <v>4578</v>
      </c>
      <c r="C6658" s="1" t="s">
        <v>4579</v>
      </c>
      <c r="D6658" s="22" t="str">
        <f>HYPERLINK("https://rhld.insurance.arkansas.gov/NPILookup?Npi=1003812462","1003812462")</f>
        <v>1003812462</v>
      </c>
      <c r="E6658" s="1" t="s">
        <v>3738</v>
      </c>
      <c r="F6658" s="2"/>
      <c r="G6658" s="2"/>
      <c r="H6658" s="2"/>
    </row>
    <row r="6659" spans="1:8" x14ac:dyDescent="0.25">
      <c r="A6659" s="1"/>
      <c r="B6659" s="1" t="s">
        <v>4578</v>
      </c>
      <c r="C6659" s="1" t="s">
        <v>4579</v>
      </c>
      <c r="D6659" s="22" t="str">
        <f>HYPERLINK("https://rhld.insurance.arkansas.gov/NPILookup?Npi=1013404284","1013404284")</f>
        <v>1013404284</v>
      </c>
      <c r="E6659" s="1" t="s">
        <v>4580</v>
      </c>
      <c r="F6659" s="2"/>
      <c r="G6659" s="2"/>
      <c r="H6659" s="2"/>
    </row>
    <row r="6660" spans="1:8" x14ac:dyDescent="0.25">
      <c r="A6660" s="1"/>
      <c r="B6660" s="1" t="s">
        <v>4578</v>
      </c>
      <c r="C6660" s="1" t="s">
        <v>4579</v>
      </c>
      <c r="D6660" s="22" t="str">
        <f>HYPERLINK("https://rhld.insurance.arkansas.gov/NPILookup?Npi=1013985969","1013985969")</f>
        <v>1013985969</v>
      </c>
      <c r="E6660" s="1" t="s">
        <v>18138</v>
      </c>
      <c r="F6660" s="2"/>
      <c r="G6660" s="2"/>
      <c r="H6660" s="2"/>
    </row>
    <row r="6661" spans="1:8" x14ac:dyDescent="0.25">
      <c r="A6661" s="1"/>
      <c r="B6661" s="1" t="s">
        <v>4578</v>
      </c>
      <c r="C6661" s="1" t="s">
        <v>4579</v>
      </c>
      <c r="D6661" s="22" t="str">
        <f>HYPERLINK("https://rhld.insurance.arkansas.gov/NPILookup?Npi=1033106539","1033106539")</f>
        <v>1033106539</v>
      </c>
      <c r="E6661" s="1" t="s">
        <v>4583</v>
      </c>
      <c r="F6661" s="2"/>
      <c r="G6661" s="2"/>
      <c r="H6661" s="2"/>
    </row>
    <row r="6662" spans="1:8" x14ac:dyDescent="0.25">
      <c r="A6662" s="1"/>
      <c r="B6662" s="1" t="s">
        <v>4578</v>
      </c>
      <c r="C6662" s="1" t="s">
        <v>4579</v>
      </c>
      <c r="D6662" s="22" t="str">
        <f>HYPERLINK("https://rhld.insurance.arkansas.gov/NPILookup?Npi=1033110556","1033110556")</f>
        <v>1033110556</v>
      </c>
      <c r="E6662" s="1" t="s">
        <v>18139</v>
      </c>
      <c r="F6662" s="2"/>
      <c r="G6662" s="2"/>
      <c r="H6662" s="2"/>
    </row>
    <row r="6663" spans="1:8" x14ac:dyDescent="0.25">
      <c r="A6663" s="1"/>
      <c r="B6663" s="1" t="s">
        <v>4578</v>
      </c>
      <c r="C6663" s="1" t="s">
        <v>4579</v>
      </c>
      <c r="D6663" s="22" t="str">
        <f>HYPERLINK("https://rhld.insurance.arkansas.gov/NPILookup?Npi=1043531114","1043531114")</f>
        <v>1043531114</v>
      </c>
      <c r="E6663" s="1" t="s">
        <v>4584</v>
      </c>
      <c r="F6663" s="2"/>
      <c r="G6663" s="2"/>
      <c r="H6663" s="2"/>
    </row>
    <row r="6664" spans="1:8" x14ac:dyDescent="0.25">
      <c r="A6664" s="1"/>
      <c r="B6664" s="1" t="s">
        <v>4578</v>
      </c>
      <c r="C6664" s="1" t="s">
        <v>4579</v>
      </c>
      <c r="D6664" s="22" t="str">
        <f>HYPERLINK("https://rhld.insurance.arkansas.gov/NPILookup?Npi=1043848906","1043848906")</f>
        <v>1043848906</v>
      </c>
      <c r="E6664" s="1" t="s">
        <v>31483</v>
      </c>
      <c r="F6664" s="2"/>
      <c r="G6664" s="2"/>
      <c r="H6664" s="2"/>
    </row>
    <row r="6665" spans="1:8" x14ac:dyDescent="0.25">
      <c r="A6665" s="1"/>
      <c r="B6665" s="1" t="s">
        <v>4578</v>
      </c>
      <c r="C6665" s="1" t="s">
        <v>4579</v>
      </c>
      <c r="D6665" s="22" t="str">
        <f>HYPERLINK("https://rhld.insurance.arkansas.gov/NPILookup?Npi=1053571794","1053571794")</f>
        <v>1053571794</v>
      </c>
      <c r="E6665" s="1" t="s">
        <v>10517</v>
      </c>
      <c r="F6665" s="2"/>
      <c r="G6665" s="2"/>
      <c r="H6665" s="2"/>
    </row>
    <row r="6666" spans="1:8" x14ac:dyDescent="0.25">
      <c r="A6666" s="1"/>
      <c r="B6666" s="1" t="s">
        <v>4578</v>
      </c>
      <c r="C6666" s="1" t="s">
        <v>4579</v>
      </c>
      <c r="D6666" s="22" t="str">
        <f>HYPERLINK("https://rhld.insurance.arkansas.gov/NPILookup?Npi=1063519163","1063519163")</f>
        <v>1063519163</v>
      </c>
      <c r="E6666" s="1" t="s">
        <v>18140</v>
      </c>
      <c r="F6666" s="2"/>
      <c r="G6666" s="2"/>
      <c r="H6666" s="2"/>
    </row>
    <row r="6667" spans="1:8" x14ac:dyDescent="0.25">
      <c r="A6667" s="1"/>
      <c r="B6667" s="1" t="s">
        <v>4578</v>
      </c>
      <c r="C6667" s="1" t="s">
        <v>4579</v>
      </c>
      <c r="D6667" s="22" t="str">
        <f>HYPERLINK("https://rhld.insurance.arkansas.gov/NPILookup?Npi=1073693909","1073693909")</f>
        <v>1073693909</v>
      </c>
      <c r="E6667" s="1" t="s">
        <v>18141</v>
      </c>
      <c r="F6667" s="2"/>
      <c r="G6667" s="2"/>
      <c r="H6667" s="2"/>
    </row>
    <row r="6668" spans="1:8" x14ac:dyDescent="0.25">
      <c r="A6668" s="1"/>
      <c r="B6668" s="1" t="s">
        <v>4578</v>
      </c>
      <c r="C6668" s="1" t="s">
        <v>4579</v>
      </c>
      <c r="D6668" s="22" t="str">
        <f>HYPERLINK("https://rhld.insurance.arkansas.gov/NPILookup?Npi=1073798781","1073798781")</f>
        <v>1073798781</v>
      </c>
      <c r="E6668" s="1" t="s">
        <v>18142</v>
      </c>
      <c r="F6668" s="2"/>
      <c r="G6668" s="2"/>
      <c r="H6668" s="2"/>
    </row>
    <row r="6669" spans="1:8" x14ac:dyDescent="0.25">
      <c r="A6669" s="1"/>
      <c r="B6669" s="1" t="s">
        <v>4578</v>
      </c>
      <c r="C6669" s="1" t="s">
        <v>4579</v>
      </c>
      <c r="D6669" s="22" t="str">
        <f>HYPERLINK("https://rhld.insurance.arkansas.gov/NPILookup?Npi=1073967949","1073967949")</f>
        <v>1073967949</v>
      </c>
      <c r="E6669" s="1" t="s">
        <v>31484</v>
      </c>
      <c r="F6669" s="2"/>
      <c r="G6669" s="2"/>
      <c r="H6669" s="2"/>
    </row>
    <row r="6670" spans="1:8" x14ac:dyDescent="0.25">
      <c r="A6670" s="1"/>
      <c r="B6670" s="1" t="s">
        <v>4578</v>
      </c>
      <c r="C6670" s="1" t="s">
        <v>4579</v>
      </c>
      <c r="D6670" s="22" t="str">
        <f>HYPERLINK("https://rhld.insurance.arkansas.gov/NPILookup?Npi=1083616247","1083616247")</f>
        <v>1083616247</v>
      </c>
      <c r="E6670" s="1" t="s">
        <v>10518</v>
      </c>
      <c r="F6670" s="2"/>
      <c r="G6670" s="2"/>
      <c r="H6670" s="2"/>
    </row>
    <row r="6671" spans="1:8" x14ac:dyDescent="0.25">
      <c r="A6671" s="1"/>
      <c r="B6671" s="1" t="s">
        <v>4578</v>
      </c>
      <c r="C6671" s="1" t="s">
        <v>4579</v>
      </c>
      <c r="D6671" s="22" t="str">
        <f>HYPERLINK("https://rhld.insurance.arkansas.gov/NPILookup?Npi=1093716490","1093716490")</f>
        <v>1093716490</v>
      </c>
      <c r="E6671" s="1" t="s">
        <v>4585</v>
      </c>
      <c r="F6671" s="2"/>
      <c r="G6671" s="2"/>
      <c r="H6671" s="2"/>
    </row>
    <row r="6672" spans="1:8" x14ac:dyDescent="0.25">
      <c r="A6672" s="1"/>
      <c r="B6672" s="1" t="s">
        <v>4578</v>
      </c>
      <c r="C6672" s="1" t="s">
        <v>4579</v>
      </c>
      <c r="D6672" s="22" t="str">
        <f>HYPERLINK("https://rhld.insurance.arkansas.gov/NPILookup?Npi=1093858581","1093858581")</f>
        <v>1093858581</v>
      </c>
      <c r="E6672" s="1" t="s">
        <v>4236</v>
      </c>
      <c r="F6672" s="2"/>
      <c r="G6672" s="2"/>
      <c r="H6672" s="2"/>
    </row>
    <row r="6673" spans="1:8" x14ac:dyDescent="0.25">
      <c r="A6673" s="1"/>
      <c r="B6673" s="1" t="s">
        <v>4578</v>
      </c>
      <c r="C6673" s="1" t="s">
        <v>4579</v>
      </c>
      <c r="D6673" s="22" t="str">
        <f>HYPERLINK("https://rhld.insurance.arkansas.gov/NPILookup?Npi=1114926482","1114926482")</f>
        <v>1114926482</v>
      </c>
      <c r="E6673" s="1" t="s">
        <v>18143</v>
      </c>
      <c r="F6673" s="2"/>
      <c r="G6673" s="2"/>
      <c r="H6673" s="2"/>
    </row>
    <row r="6674" spans="1:8" x14ac:dyDescent="0.25">
      <c r="A6674" s="1"/>
      <c r="B6674" s="1" t="s">
        <v>4578</v>
      </c>
      <c r="C6674" s="1" t="s">
        <v>4579</v>
      </c>
      <c r="D6674" s="22" t="str">
        <f>HYPERLINK("https://rhld.insurance.arkansas.gov/NPILookup?Npi=1124001953","1124001953")</f>
        <v>1124001953</v>
      </c>
      <c r="E6674" s="1" t="s">
        <v>18144</v>
      </c>
      <c r="F6674" s="2"/>
      <c r="G6674" s="2"/>
      <c r="H6674" s="2"/>
    </row>
    <row r="6675" spans="1:8" x14ac:dyDescent="0.25">
      <c r="A6675" s="1"/>
      <c r="B6675" s="1" t="s">
        <v>4578</v>
      </c>
      <c r="C6675" s="1" t="s">
        <v>4579</v>
      </c>
      <c r="D6675" s="22" t="str">
        <f>HYPERLINK("https://rhld.insurance.arkansas.gov/NPILookup?Npi=1124097209","1124097209")</f>
        <v>1124097209</v>
      </c>
      <c r="E6675" s="1" t="s">
        <v>18145</v>
      </c>
      <c r="F6675" s="2"/>
      <c r="G6675" s="2"/>
      <c r="H6675" s="2"/>
    </row>
    <row r="6676" spans="1:8" x14ac:dyDescent="0.25">
      <c r="A6676" s="1"/>
      <c r="B6676" s="1" t="s">
        <v>4578</v>
      </c>
      <c r="C6676" s="1" t="s">
        <v>4579</v>
      </c>
      <c r="D6676" s="22" t="str">
        <f>HYPERLINK("https://rhld.insurance.arkansas.gov/NPILookup?Npi=1124134564","1124134564")</f>
        <v>1124134564</v>
      </c>
      <c r="E6676" s="1" t="s">
        <v>10520</v>
      </c>
      <c r="F6676" s="2"/>
      <c r="G6676" s="2"/>
      <c r="H6676" s="2"/>
    </row>
    <row r="6677" spans="1:8" x14ac:dyDescent="0.25">
      <c r="A6677" s="1"/>
      <c r="B6677" s="1" t="s">
        <v>4578</v>
      </c>
      <c r="C6677" s="1" t="s">
        <v>4579</v>
      </c>
      <c r="D6677" s="22" t="str">
        <f>HYPERLINK("https://rhld.insurance.arkansas.gov/NPILookup?Npi=1124255823","1124255823")</f>
        <v>1124255823</v>
      </c>
      <c r="E6677" s="1" t="s">
        <v>4586</v>
      </c>
      <c r="F6677" s="2"/>
      <c r="G6677" s="2"/>
      <c r="H6677" s="2"/>
    </row>
    <row r="6678" spans="1:8" x14ac:dyDescent="0.25">
      <c r="A6678" s="1"/>
      <c r="B6678" s="1" t="s">
        <v>4578</v>
      </c>
      <c r="C6678" s="1" t="s">
        <v>4579</v>
      </c>
      <c r="D6678" s="22" t="str">
        <f>HYPERLINK("https://rhld.insurance.arkansas.gov/NPILookup?Npi=1134688286","1134688286")</f>
        <v>1134688286</v>
      </c>
      <c r="E6678" s="1" t="s">
        <v>18146</v>
      </c>
      <c r="F6678" s="2"/>
      <c r="G6678" s="2"/>
      <c r="H6678" s="2"/>
    </row>
    <row r="6679" spans="1:8" x14ac:dyDescent="0.25">
      <c r="A6679" s="1"/>
      <c r="B6679" s="1" t="s">
        <v>4578</v>
      </c>
      <c r="C6679" s="1" t="s">
        <v>4579</v>
      </c>
      <c r="D6679" s="22" t="str">
        <f>HYPERLINK("https://rhld.insurance.arkansas.gov/NPILookup?Npi=1154389344","1154389344")</f>
        <v>1154389344</v>
      </c>
      <c r="E6679" s="1" t="s">
        <v>10125</v>
      </c>
      <c r="F6679" s="2"/>
      <c r="G6679" s="2"/>
      <c r="H6679" s="2"/>
    </row>
    <row r="6680" spans="1:8" x14ac:dyDescent="0.25">
      <c r="A6680" s="1"/>
      <c r="B6680" s="1" t="s">
        <v>4578</v>
      </c>
      <c r="C6680" s="1" t="s">
        <v>4579</v>
      </c>
      <c r="D6680" s="22" t="str">
        <f>HYPERLINK("https://rhld.insurance.arkansas.gov/NPILookup?Npi=1164658571","1164658571")</f>
        <v>1164658571</v>
      </c>
      <c r="E6680" s="1" t="s">
        <v>18148</v>
      </c>
      <c r="F6680" s="2"/>
      <c r="G6680" s="2"/>
      <c r="H6680" s="2"/>
    </row>
    <row r="6681" spans="1:8" x14ac:dyDescent="0.25">
      <c r="A6681" s="1"/>
      <c r="B6681" s="1" t="s">
        <v>4578</v>
      </c>
      <c r="C6681" s="1" t="s">
        <v>4579</v>
      </c>
      <c r="D6681" s="22" t="str">
        <f>HYPERLINK("https://rhld.insurance.arkansas.gov/NPILookup?Npi=1174547988","1174547988")</f>
        <v>1174547988</v>
      </c>
      <c r="E6681" s="1" t="s">
        <v>10521</v>
      </c>
      <c r="F6681" s="2"/>
      <c r="G6681" s="2"/>
      <c r="H6681" s="2"/>
    </row>
    <row r="6682" spans="1:8" x14ac:dyDescent="0.25">
      <c r="A6682" s="1"/>
      <c r="B6682" s="1" t="s">
        <v>4578</v>
      </c>
      <c r="C6682" s="1" t="s">
        <v>4579</v>
      </c>
      <c r="D6682" s="22" t="str">
        <f>HYPERLINK("https://rhld.insurance.arkansas.gov/NPILookup?Npi=1174613665","1174613665")</f>
        <v>1174613665</v>
      </c>
      <c r="E6682" s="1" t="s">
        <v>4587</v>
      </c>
      <c r="F6682" s="2"/>
      <c r="G6682" s="2"/>
      <c r="H6682" s="2"/>
    </row>
    <row r="6683" spans="1:8" x14ac:dyDescent="0.25">
      <c r="A6683" s="1"/>
      <c r="B6683" s="1" t="s">
        <v>4578</v>
      </c>
      <c r="C6683" s="1" t="s">
        <v>4579</v>
      </c>
      <c r="D6683" s="22" t="str">
        <f>HYPERLINK("https://rhld.insurance.arkansas.gov/NPILookup?Npi=1174627350","1174627350")</f>
        <v>1174627350</v>
      </c>
      <c r="E6683" s="1" t="s">
        <v>18149</v>
      </c>
      <c r="F6683" s="2"/>
      <c r="G6683" s="2"/>
      <c r="H6683" s="2"/>
    </row>
    <row r="6684" spans="1:8" x14ac:dyDescent="0.25">
      <c r="A6684" s="1"/>
      <c r="B6684" s="1" t="s">
        <v>4578</v>
      </c>
      <c r="C6684" s="1" t="s">
        <v>4579</v>
      </c>
      <c r="D6684" s="22" t="str">
        <f>HYPERLINK("https://rhld.insurance.arkansas.gov/NPILookup?Npi=1174839864","1174839864")</f>
        <v>1174839864</v>
      </c>
      <c r="E6684" s="1" t="s">
        <v>4588</v>
      </c>
      <c r="F6684" s="2"/>
      <c r="G6684" s="2"/>
      <c r="H6684" s="2"/>
    </row>
    <row r="6685" spans="1:8" x14ac:dyDescent="0.25">
      <c r="A6685" s="1"/>
      <c r="B6685" s="1" t="s">
        <v>4578</v>
      </c>
      <c r="C6685" s="1" t="s">
        <v>4579</v>
      </c>
      <c r="D6685" s="22" t="str">
        <f>HYPERLINK("https://rhld.insurance.arkansas.gov/NPILookup?Npi=1184714677","1184714677")</f>
        <v>1184714677</v>
      </c>
      <c r="E6685" s="1" t="s">
        <v>18150</v>
      </c>
      <c r="F6685" s="2"/>
      <c r="G6685" s="2"/>
      <c r="H6685" s="2"/>
    </row>
    <row r="6686" spans="1:8" x14ac:dyDescent="0.25">
      <c r="A6686" s="1"/>
      <c r="B6686" s="1" t="s">
        <v>4578</v>
      </c>
      <c r="C6686" s="1" t="s">
        <v>4579</v>
      </c>
      <c r="D6686" s="22" t="str">
        <f>HYPERLINK("https://rhld.insurance.arkansas.gov/NPILookup?Npi=1184745150","1184745150")</f>
        <v>1184745150</v>
      </c>
      <c r="E6686" s="1" t="s">
        <v>4589</v>
      </c>
      <c r="F6686" s="2"/>
      <c r="G6686" s="2"/>
      <c r="H6686" s="2"/>
    </row>
    <row r="6687" spans="1:8" x14ac:dyDescent="0.25">
      <c r="A6687" s="1"/>
      <c r="B6687" s="1" t="s">
        <v>4578</v>
      </c>
      <c r="C6687" s="1" t="s">
        <v>4579</v>
      </c>
      <c r="D6687" s="22" t="str">
        <f>HYPERLINK("https://rhld.insurance.arkansas.gov/NPILookup?Npi=1205120383","1205120383")</f>
        <v>1205120383</v>
      </c>
      <c r="E6687" s="1" t="s">
        <v>10523</v>
      </c>
      <c r="F6687" s="2"/>
      <c r="G6687" s="2"/>
      <c r="H6687" s="2"/>
    </row>
    <row r="6688" spans="1:8" x14ac:dyDescent="0.25">
      <c r="A6688" s="1"/>
      <c r="B6688" s="1" t="s">
        <v>4578</v>
      </c>
      <c r="C6688" s="1" t="s">
        <v>4579</v>
      </c>
      <c r="D6688" s="22" t="str">
        <f>HYPERLINK("https://rhld.insurance.arkansas.gov/NPILookup?Npi=1215932397","1215932397")</f>
        <v>1215932397</v>
      </c>
      <c r="E6688" s="1" t="s">
        <v>3515</v>
      </c>
      <c r="F6688" s="2"/>
      <c r="G6688" s="2"/>
      <c r="H6688" s="2"/>
    </row>
    <row r="6689" spans="1:8" x14ac:dyDescent="0.25">
      <c r="A6689" s="1"/>
      <c r="B6689" s="1" t="s">
        <v>4578</v>
      </c>
      <c r="C6689" s="1" t="s">
        <v>4579</v>
      </c>
      <c r="D6689" s="22" t="str">
        <f>HYPERLINK("https://rhld.insurance.arkansas.gov/NPILookup?Npi=1225018252","1225018252")</f>
        <v>1225018252</v>
      </c>
      <c r="E6689" s="1" t="s">
        <v>10524</v>
      </c>
      <c r="F6689" s="2"/>
      <c r="G6689" s="2"/>
      <c r="H6689" s="2"/>
    </row>
    <row r="6690" spans="1:8" x14ac:dyDescent="0.25">
      <c r="A6690" s="1"/>
      <c r="B6690" s="1" t="s">
        <v>4578</v>
      </c>
      <c r="C6690" s="1" t="s">
        <v>4579</v>
      </c>
      <c r="D6690" s="22" t="str">
        <f>HYPERLINK("https://rhld.insurance.arkansas.gov/NPILookup?Npi=1225049141","1225049141")</f>
        <v>1225049141</v>
      </c>
      <c r="E6690" s="1" t="s">
        <v>18151</v>
      </c>
      <c r="F6690" s="2"/>
      <c r="G6690" s="2"/>
      <c r="H6690" s="2"/>
    </row>
    <row r="6691" spans="1:8" x14ac:dyDescent="0.25">
      <c r="A6691" s="1"/>
      <c r="B6691" s="1" t="s">
        <v>4578</v>
      </c>
      <c r="C6691" s="1" t="s">
        <v>4579</v>
      </c>
      <c r="D6691" s="22" t="str">
        <f>HYPERLINK("https://rhld.insurance.arkansas.gov/NPILookup?Npi=1225170376","1225170376")</f>
        <v>1225170376</v>
      </c>
      <c r="E6691" s="1" t="s">
        <v>2338</v>
      </c>
      <c r="F6691" s="2"/>
      <c r="G6691" s="2"/>
      <c r="H6691" s="2"/>
    </row>
    <row r="6692" spans="1:8" x14ac:dyDescent="0.25">
      <c r="A6692" s="1"/>
      <c r="B6692" s="1" t="s">
        <v>4578</v>
      </c>
      <c r="C6692" s="1" t="s">
        <v>4579</v>
      </c>
      <c r="D6692" s="22" t="str">
        <f>HYPERLINK("https://rhld.insurance.arkansas.gov/NPILookup?Npi=1225856966","1225856966")</f>
        <v>1225856966</v>
      </c>
      <c r="E6692" s="1" t="s">
        <v>31485</v>
      </c>
      <c r="F6692" s="2"/>
      <c r="G6692" s="2"/>
      <c r="H6692" s="2"/>
    </row>
    <row r="6693" spans="1:8" x14ac:dyDescent="0.25">
      <c r="A6693" s="1"/>
      <c r="B6693" s="1" t="s">
        <v>4578</v>
      </c>
      <c r="C6693" s="1" t="s">
        <v>4579</v>
      </c>
      <c r="D6693" s="22" t="str">
        <f>HYPERLINK("https://rhld.insurance.arkansas.gov/NPILookup?Npi=1245466861","1245466861")</f>
        <v>1245466861</v>
      </c>
      <c r="E6693" s="1" t="s">
        <v>18152</v>
      </c>
      <c r="F6693" s="2"/>
      <c r="G6693" s="2"/>
      <c r="H6693" s="2"/>
    </row>
    <row r="6694" spans="1:8" x14ac:dyDescent="0.25">
      <c r="A6694" s="1"/>
      <c r="B6694" s="1" t="s">
        <v>4578</v>
      </c>
      <c r="C6694" s="1" t="s">
        <v>4579</v>
      </c>
      <c r="D6694" s="22" t="str">
        <f>HYPERLINK("https://rhld.insurance.arkansas.gov/NPILookup?Npi=1255444212","1255444212")</f>
        <v>1255444212</v>
      </c>
      <c r="E6694" s="1" t="s">
        <v>18153</v>
      </c>
      <c r="F6694" s="2"/>
      <c r="G6694" s="2"/>
      <c r="H6694" s="2"/>
    </row>
    <row r="6695" spans="1:8" x14ac:dyDescent="0.25">
      <c r="A6695" s="1"/>
      <c r="B6695" s="1" t="s">
        <v>4578</v>
      </c>
      <c r="C6695" s="1" t="s">
        <v>4579</v>
      </c>
      <c r="D6695" s="22" t="str">
        <f>HYPERLINK("https://rhld.insurance.arkansas.gov/NPILookup?Npi=1255445102","1255445102")</f>
        <v>1255445102</v>
      </c>
      <c r="E6695" s="1" t="s">
        <v>18154</v>
      </c>
      <c r="F6695" s="2"/>
      <c r="G6695" s="2"/>
      <c r="H6695" s="2"/>
    </row>
    <row r="6696" spans="1:8" x14ac:dyDescent="0.25">
      <c r="A6696" s="1"/>
      <c r="B6696" s="1" t="s">
        <v>4578</v>
      </c>
      <c r="C6696" s="1" t="s">
        <v>4579</v>
      </c>
      <c r="D6696" s="22" t="str">
        <f>HYPERLINK("https://rhld.insurance.arkansas.gov/NPILookup?Npi=1265498091","1265498091")</f>
        <v>1265498091</v>
      </c>
      <c r="E6696" s="1" t="s">
        <v>10525</v>
      </c>
      <c r="F6696" s="2"/>
      <c r="G6696" s="2"/>
      <c r="H6696" s="2"/>
    </row>
    <row r="6697" spans="1:8" x14ac:dyDescent="0.25">
      <c r="A6697" s="1"/>
      <c r="B6697" s="1" t="s">
        <v>4578</v>
      </c>
      <c r="C6697" s="1" t="s">
        <v>4579</v>
      </c>
      <c r="D6697" s="22" t="str">
        <f>HYPERLINK("https://rhld.insurance.arkansas.gov/NPILookup?Npi=1265522759","1265522759")</f>
        <v>1265522759</v>
      </c>
      <c r="E6697" s="1" t="s">
        <v>18155</v>
      </c>
      <c r="F6697" s="2"/>
      <c r="G6697" s="2"/>
      <c r="H6697" s="2"/>
    </row>
    <row r="6698" spans="1:8" x14ac:dyDescent="0.25">
      <c r="A6698" s="1"/>
      <c r="B6698" s="1" t="s">
        <v>4578</v>
      </c>
      <c r="C6698" s="1" t="s">
        <v>4579</v>
      </c>
      <c r="D6698" s="22" t="str">
        <f>HYPERLINK("https://rhld.insurance.arkansas.gov/NPILookup?Npi=1265540363","1265540363")</f>
        <v>1265540363</v>
      </c>
      <c r="E6698" s="1" t="s">
        <v>18156</v>
      </c>
      <c r="F6698" s="2"/>
      <c r="G6698" s="2"/>
      <c r="H6698" s="2"/>
    </row>
    <row r="6699" spans="1:8" x14ac:dyDescent="0.25">
      <c r="A6699" s="1"/>
      <c r="B6699" s="1" t="s">
        <v>4578</v>
      </c>
      <c r="C6699" s="1" t="s">
        <v>4579</v>
      </c>
      <c r="D6699" s="22" t="str">
        <f>HYPERLINK("https://rhld.insurance.arkansas.gov/NPILookup?Npi=1265548713","1265548713")</f>
        <v>1265548713</v>
      </c>
      <c r="E6699" s="1" t="s">
        <v>4590</v>
      </c>
      <c r="F6699" s="2"/>
      <c r="G6699" s="2"/>
      <c r="H6699" s="2"/>
    </row>
    <row r="6700" spans="1:8" x14ac:dyDescent="0.25">
      <c r="A6700" s="1"/>
      <c r="B6700" s="1" t="s">
        <v>4578</v>
      </c>
      <c r="C6700" s="1" t="s">
        <v>4579</v>
      </c>
      <c r="D6700" s="22" t="str">
        <f>HYPERLINK("https://rhld.insurance.arkansas.gov/NPILookup?Npi=1265736607","1265736607")</f>
        <v>1265736607</v>
      </c>
      <c r="E6700" s="1" t="s">
        <v>18157</v>
      </c>
      <c r="F6700" s="2"/>
      <c r="G6700" s="2"/>
      <c r="H6700" s="2"/>
    </row>
    <row r="6701" spans="1:8" x14ac:dyDescent="0.25">
      <c r="A6701" s="1"/>
      <c r="B6701" s="1" t="s">
        <v>4578</v>
      </c>
      <c r="C6701" s="1" t="s">
        <v>4579</v>
      </c>
      <c r="D6701" s="22" t="str">
        <f>HYPERLINK("https://rhld.insurance.arkansas.gov/NPILookup?Npi=1285908509","1285908509")</f>
        <v>1285908509</v>
      </c>
      <c r="E6701" s="1" t="s">
        <v>18159</v>
      </c>
      <c r="F6701" s="2"/>
      <c r="G6701" s="2"/>
      <c r="H6701" s="2"/>
    </row>
    <row r="6702" spans="1:8" x14ac:dyDescent="0.25">
      <c r="A6702" s="1"/>
      <c r="B6702" s="1" t="s">
        <v>4578</v>
      </c>
      <c r="C6702" s="1" t="s">
        <v>4579</v>
      </c>
      <c r="D6702" s="22" t="str">
        <f>HYPERLINK("https://rhld.insurance.arkansas.gov/NPILookup?Npi=1295026540","1295026540")</f>
        <v>1295026540</v>
      </c>
      <c r="E6702" s="1" t="s">
        <v>18160</v>
      </c>
      <c r="F6702" s="2"/>
      <c r="G6702" s="2"/>
      <c r="H6702" s="2"/>
    </row>
    <row r="6703" spans="1:8" x14ac:dyDescent="0.25">
      <c r="A6703" s="1"/>
      <c r="B6703" s="1" t="s">
        <v>4578</v>
      </c>
      <c r="C6703" s="1" t="s">
        <v>4579</v>
      </c>
      <c r="D6703" s="22" t="str">
        <f>HYPERLINK("https://rhld.insurance.arkansas.gov/NPILookup?Npi=1295051050","1295051050")</f>
        <v>1295051050</v>
      </c>
      <c r="E6703" s="1" t="s">
        <v>18161</v>
      </c>
      <c r="F6703" s="2"/>
      <c r="G6703" s="2"/>
      <c r="H6703" s="2"/>
    </row>
    <row r="6704" spans="1:8" x14ac:dyDescent="0.25">
      <c r="A6704" s="1"/>
      <c r="B6704" s="1" t="s">
        <v>4578</v>
      </c>
      <c r="C6704" s="1" t="s">
        <v>4579</v>
      </c>
      <c r="D6704" s="22" t="str">
        <f>HYPERLINK("https://rhld.insurance.arkansas.gov/NPILookup?Npi=1295396323","1295396323")</f>
        <v>1295396323</v>
      </c>
      <c r="E6704" s="1" t="s">
        <v>18162</v>
      </c>
      <c r="F6704" s="2"/>
      <c r="G6704" s="2"/>
      <c r="H6704" s="2"/>
    </row>
    <row r="6705" spans="1:8" x14ac:dyDescent="0.25">
      <c r="A6705" s="1"/>
      <c r="B6705" s="1" t="s">
        <v>4578</v>
      </c>
      <c r="C6705" s="1" t="s">
        <v>4579</v>
      </c>
      <c r="D6705" s="22" t="str">
        <f>HYPERLINK("https://rhld.insurance.arkansas.gov/NPILookup?Npi=1295771582","1295771582")</f>
        <v>1295771582</v>
      </c>
      <c r="E6705" s="1" t="s">
        <v>18163</v>
      </c>
      <c r="F6705" s="2"/>
      <c r="G6705" s="2"/>
      <c r="H6705" s="2"/>
    </row>
    <row r="6706" spans="1:8" x14ac:dyDescent="0.25">
      <c r="A6706" s="1"/>
      <c r="B6706" s="1" t="s">
        <v>4578</v>
      </c>
      <c r="C6706" s="1" t="s">
        <v>4579</v>
      </c>
      <c r="D6706" s="22" t="str">
        <f>HYPERLINK("https://rhld.insurance.arkansas.gov/NPILookup?Npi=1306952759","1306952759")</f>
        <v>1306952759</v>
      </c>
      <c r="E6706" s="1" t="s">
        <v>4591</v>
      </c>
      <c r="F6706" s="2"/>
      <c r="G6706" s="2"/>
      <c r="H6706" s="2"/>
    </row>
    <row r="6707" spans="1:8" x14ac:dyDescent="0.25">
      <c r="A6707" s="1"/>
      <c r="B6707" s="1" t="s">
        <v>4578</v>
      </c>
      <c r="C6707" s="1" t="s">
        <v>4579</v>
      </c>
      <c r="D6707" s="22" t="str">
        <f>HYPERLINK("https://rhld.insurance.arkansas.gov/NPILookup?Npi=1316069297","1316069297")</f>
        <v>1316069297</v>
      </c>
      <c r="E6707" s="1" t="s">
        <v>10526</v>
      </c>
      <c r="F6707" s="2"/>
      <c r="G6707" s="2"/>
      <c r="H6707" s="2"/>
    </row>
    <row r="6708" spans="1:8" x14ac:dyDescent="0.25">
      <c r="A6708" s="1"/>
      <c r="B6708" s="1" t="s">
        <v>4578</v>
      </c>
      <c r="C6708" s="1" t="s">
        <v>4579</v>
      </c>
      <c r="D6708" s="22" t="str">
        <f>HYPERLINK("https://rhld.insurance.arkansas.gov/NPILookup?Npi=1316919855","1316919855")</f>
        <v>1316919855</v>
      </c>
      <c r="E6708" s="1" t="s">
        <v>10527</v>
      </c>
      <c r="F6708" s="2"/>
      <c r="G6708" s="2"/>
      <c r="H6708" s="2"/>
    </row>
    <row r="6709" spans="1:8" x14ac:dyDescent="0.25">
      <c r="A6709" s="1"/>
      <c r="B6709" s="1" t="s">
        <v>4578</v>
      </c>
      <c r="C6709" s="1" t="s">
        <v>4579</v>
      </c>
      <c r="D6709" s="22" t="str">
        <f>HYPERLINK("https://rhld.insurance.arkansas.gov/NPILookup?Npi=1336102417","1336102417")</f>
        <v>1336102417</v>
      </c>
      <c r="E6709" s="1" t="s">
        <v>10528</v>
      </c>
      <c r="F6709" s="2"/>
      <c r="G6709" s="2"/>
      <c r="H6709" s="2"/>
    </row>
    <row r="6710" spans="1:8" x14ac:dyDescent="0.25">
      <c r="A6710" s="1"/>
      <c r="B6710" s="1" t="s">
        <v>4578</v>
      </c>
      <c r="C6710" s="1" t="s">
        <v>4579</v>
      </c>
      <c r="D6710" s="22" t="str">
        <f>HYPERLINK("https://rhld.insurance.arkansas.gov/NPILookup?Npi=1336584630","1336584630")</f>
        <v>1336584630</v>
      </c>
      <c r="E6710" s="1" t="s">
        <v>10529</v>
      </c>
      <c r="F6710" s="2"/>
      <c r="G6710" s="2"/>
      <c r="H6710" s="2"/>
    </row>
    <row r="6711" spans="1:8" x14ac:dyDescent="0.25">
      <c r="A6711" s="1"/>
      <c r="B6711" s="1" t="s">
        <v>4578</v>
      </c>
      <c r="C6711" s="1" t="s">
        <v>4579</v>
      </c>
      <c r="D6711" s="22" t="str">
        <f>HYPERLINK("https://rhld.insurance.arkansas.gov/NPILookup?Npi=1336595271","1336595271")</f>
        <v>1336595271</v>
      </c>
      <c r="E6711" s="1" t="s">
        <v>18165</v>
      </c>
      <c r="F6711" s="2"/>
      <c r="G6711" s="2"/>
      <c r="H6711" s="2"/>
    </row>
    <row r="6712" spans="1:8" x14ac:dyDescent="0.25">
      <c r="A6712" s="1"/>
      <c r="B6712" s="1" t="s">
        <v>4578</v>
      </c>
      <c r="C6712" s="1" t="s">
        <v>4579</v>
      </c>
      <c r="D6712" s="22" t="str">
        <f>HYPERLINK("https://rhld.insurance.arkansas.gov/NPILookup?Npi=1366709164","1366709164")</f>
        <v>1366709164</v>
      </c>
      <c r="E6712" s="1" t="s">
        <v>4592</v>
      </c>
      <c r="F6712" s="2"/>
      <c r="G6712" s="2"/>
      <c r="H6712" s="2"/>
    </row>
    <row r="6713" spans="1:8" x14ac:dyDescent="0.25">
      <c r="A6713" s="1"/>
      <c r="B6713" s="1" t="s">
        <v>4578</v>
      </c>
      <c r="C6713" s="1" t="s">
        <v>4579</v>
      </c>
      <c r="D6713" s="22" t="str">
        <f>HYPERLINK("https://rhld.insurance.arkansas.gov/NPILookup?Npi=1376508630","1376508630")</f>
        <v>1376508630</v>
      </c>
      <c r="E6713" s="1" t="s">
        <v>18166</v>
      </c>
      <c r="F6713" s="2"/>
      <c r="G6713" s="2"/>
      <c r="H6713" s="2"/>
    </row>
    <row r="6714" spans="1:8" x14ac:dyDescent="0.25">
      <c r="A6714" s="1"/>
      <c r="B6714" s="1" t="s">
        <v>4578</v>
      </c>
      <c r="C6714" s="1" t="s">
        <v>4579</v>
      </c>
      <c r="D6714" s="22" t="str">
        <f>HYPERLINK("https://rhld.insurance.arkansas.gov/NPILookup?Npi=1376623165","1376623165")</f>
        <v>1376623165</v>
      </c>
      <c r="E6714" s="1" t="s">
        <v>18167</v>
      </c>
      <c r="F6714" s="2"/>
      <c r="G6714" s="2"/>
      <c r="H6714" s="2"/>
    </row>
    <row r="6715" spans="1:8" x14ac:dyDescent="0.25">
      <c r="A6715" s="1"/>
      <c r="B6715" s="1" t="s">
        <v>4578</v>
      </c>
      <c r="C6715" s="1" t="s">
        <v>4579</v>
      </c>
      <c r="D6715" s="22" t="str">
        <f>HYPERLINK("https://rhld.insurance.arkansas.gov/NPILookup?Npi=1386030666","1386030666")</f>
        <v>1386030666</v>
      </c>
      <c r="E6715" s="1" t="s">
        <v>18168</v>
      </c>
      <c r="F6715" s="2"/>
      <c r="G6715" s="2"/>
      <c r="H6715" s="2"/>
    </row>
    <row r="6716" spans="1:8" x14ac:dyDescent="0.25">
      <c r="A6716" s="1"/>
      <c r="B6716" s="1" t="s">
        <v>4578</v>
      </c>
      <c r="C6716" s="1" t="s">
        <v>4579</v>
      </c>
      <c r="D6716" s="22" t="str">
        <f>HYPERLINK("https://rhld.insurance.arkansas.gov/NPILookup?Npi=1386638286","1386638286")</f>
        <v>1386638286</v>
      </c>
      <c r="E6716" s="1" t="s">
        <v>18169</v>
      </c>
      <c r="F6716" s="2"/>
      <c r="G6716" s="2"/>
      <c r="H6716" s="2"/>
    </row>
    <row r="6717" spans="1:8" x14ac:dyDescent="0.25">
      <c r="A6717" s="1"/>
      <c r="B6717" s="1" t="s">
        <v>4578</v>
      </c>
      <c r="C6717" s="1" t="s">
        <v>4579</v>
      </c>
      <c r="D6717" s="22" t="str">
        <f>HYPERLINK("https://rhld.insurance.arkansas.gov/NPILookup?Npi=1386873677","1386873677")</f>
        <v>1386873677</v>
      </c>
      <c r="E6717" s="1" t="s">
        <v>18170</v>
      </c>
      <c r="F6717" s="2"/>
      <c r="G6717" s="2"/>
      <c r="H6717" s="2"/>
    </row>
    <row r="6718" spans="1:8" x14ac:dyDescent="0.25">
      <c r="A6718" s="1"/>
      <c r="B6718" s="1" t="s">
        <v>4578</v>
      </c>
      <c r="C6718" s="1" t="s">
        <v>4579</v>
      </c>
      <c r="D6718" s="22" t="str">
        <f>HYPERLINK("https://rhld.insurance.arkansas.gov/NPILookup?Npi=1396749883","1396749883")</f>
        <v>1396749883</v>
      </c>
      <c r="E6718" s="1" t="s">
        <v>10530</v>
      </c>
      <c r="F6718" s="2"/>
      <c r="G6718" s="2"/>
      <c r="H6718" s="2"/>
    </row>
    <row r="6719" spans="1:8" x14ac:dyDescent="0.25">
      <c r="A6719" s="1"/>
      <c r="B6719" s="1" t="s">
        <v>4578</v>
      </c>
      <c r="C6719" s="1" t="s">
        <v>4579</v>
      </c>
      <c r="D6719" s="22" t="str">
        <f>HYPERLINK("https://rhld.insurance.arkansas.gov/NPILookup?Npi=1407854151","1407854151")</f>
        <v>1407854151</v>
      </c>
      <c r="E6719" s="1" t="s">
        <v>479</v>
      </c>
      <c r="F6719" s="2"/>
      <c r="G6719" s="2"/>
      <c r="H6719" s="2"/>
    </row>
    <row r="6720" spans="1:8" x14ac:dyDescent="0.25">
      <c r="A6720" s="1"/>
      <c r="B6720" s="1" t="s">
        <v>4578</v>
      </c>
      <c r="C6720" s="1" t="s">
        <v>4579</v>
      </c>
      <c r="D6720" s="22" t="str">
        <f>HYPERLINK("https://rhld.insurance.arkansas.gov/NPILookup?Npi=1417302274","1417302274")</f>
        <v>1417302274</v>
      </c>
      <c r="E6720" s="1" t="s">
        <v>18171</v>
      </c>
      <c r="F6720" s="2"/>
      <c r="G6720" s="2"/>
      <c r="H6720" s="2"/>
    </row>
    <row r="6721" spans="1:8" x14ac:dyDescent="0.25">
      <c r="A6721" s="1"/>
      <c r="B6721" s="1" t="s">
        <v>4578</v>
      </c>
      <c r="C6721" s="1" t="s">
        <v>4579</v>
      </c>
      <c r="D6721" s="22" t="str">
        <f>HYPERLINK("https://rhld.insurance.arkansas.gov/NPILookup?Npi=1417452376","1417452376")</f>
        <v>1417452376</v>
      </c>
      <c r="E6721" s="1" t="s">
        <v>10531</v>
      </c>
      <c r="F6721" s="2"/>
      <c r="G6721" s="2"/>
      <c r="H6721" s="2"/>
    </row>
    <row r="6722" spans="1:8" x14ac:dyDescent="0.25">
      <c r="A6722" s="1"/>
      <c r="B6722" s="1" t="s">
        <v>4578</v>
      </c>
      <c r="C6722" s="1" t="s">
        <v>4579</v>
      </c>
      <c r="D6722" s="22" t="str">
        <f>HYPERLINK("https://rhld.insurance.arkansas.gov/NPILookup?Npi=1427166156","1427166156")</f>
        <v>1427166156</v>
      </c>
      <c r="E6722" s="1" t="s">
        <v>10532</v>
      </c>
      <c r="F6722" s="2"/>
      <c r="G6722" s="2"/>
      <c r="H6722" s="2"/>
    </row>
    <row r="6723" spans="1:8" x14ac:dyDescent="0.25">
      <c r="A6723" s="1"/>
      <c r="B6723" s="1" t="s">
        <v>4578</v>
      </c>
      <c r="C6723" s="1" t="s">
        <v>4579</v>
      </c>
      <c r="D6723" s="22" t="str">
        <f>HYPERLINK("https://rhld.insurance.arkansas.gov/NPILookup?Npi=1437114790","1437114790")</f>
        <v>1437114790</v>
      </c>
      <c r="E6723" s="1" t="s">
        <v>18172</v>
      </c>
      <c r="F6723" s="2"/>
      <c r="G6723" s="2"/>
      <c r="H6723" s="2"/>
    </row>
    <row r="6724" spans="1:8" x14ac:dyDescent="0.25">
      <c r="A6724" s="1"/>
      <c r="B6724" s="1" t="s">
        <v>4578</v>
      </c>
      <c r="C6724" s="1" t="s">
        <v>4579</v>
      </c>
      <c r="D6724" s="22" t="str">
        <f>HYPERLINK("https://rhld.insurance.arkansas.gov/NPILookup?Npi=1437152329","1437152329")</f>
        <v>1437152329</v>
      </c>
      <c r="E6724" s="1" t="s">
        <v>18173</v>
      </c>
      <c r="F6724" s="2"/>
      <c r="G6724" s="2"/>
      <c r="H6724" s="2"/>
    </row>
    <row r="6725" spans="1:8" x14ac:dyDescent="0.25">
      <c r="A6725" s="1"/>
      <c r="B6725" s="1" t="s">
        <v>4578</v>
      </c>
      <c r="C6725" s="1" t="s">
        <v>4579</v>
      </c>
      <c r="D6725" s="22" t="str">
        <f>HYPERLINK("https://rhld.insurance.arkansas.gov/NPILookup?Npi=1437165164","1437165164")</f>
        <v>1437165164</v>
      </c>
      <c r="E6725" s="1" t="s">
        <v>4593</v>
      </c>
      <c r="F6725" s="2"/>
      <c r="G6725" s="2"/>
      <c r="H6725" s="2"/>
    </row>
    <row r="6726" spans="1:8" x14ac:dyDescent="0.25">
      <c r="A6726" s="1"/>
      <c r="B6726" s="1" t="s">
        <v>4578</v>
      </c>
      <c r="C6726" s="1" t="s">
        <v>4579</v>
      </c>
      <c r="D6726" s="22" t="str">
        <f>HYPERLINK("https://rhld.insurance.arkansas.gov/NPILookup?Npi=1437383361","1437383361")</f>
        <v>1437383361</v>
      </c>
      <c r="E6726" s="1" t="s">
        <v>18174</v>
      </c>
      <c r="F6726" s="2"/>
      <c r="G6726" s="2"/>
      <c r="H6726" s="2"/>
    </row>
    <row r="6727" spans="1:8" x14ac:dyDescent="0.25">
      <c r="A6727" s="1"/>
      <c r="B6727" s="1" t="s">
        <v>4578</v>
      </c>
      <c r="C6727" s="1" t="s">
        <v>4579</v>
      </c>
      <c r="D6727" s="22" t="str">
        <f>HYPERLINK("https://rhld.insurance.arkansas.gov/NPILookup?Npi=1437590080","1437590080")</f>
        <v>1437590080</v>
      </c>
      <c r="E6727" s="1" t="s">
        <v>4594</v>
      </c>
      <c r="F6727" s="2"/>
      <c r="G6727" s="2"/>
      <c r="H6727" s="2"/>
    </row>
    <row r="6728" spans="1:8" x14ac:dyDescent="0.25">
      <c r="A6728" s="1"/>
      <c r="B6728" s="1" t="s">
        <v>4578</v>
      </c>
      <c r="C6728" s="1" t="s">
        <v>4579</v>
      </c>
      <c r="D6728" s="22" t="str">
        <f>HYPERLINK("https://rhld.insurance.arkansas.gov/NPILookup?Npi=1437670288","1437670288")</f>
        <v>1437670288</v>
      </c>
      <c r="E6728" s="1" t="s">
        <v>18175</v>
      </c>
      <c r="F6728" s="2"/>
      <c r="G6728" s="2"/>
      <c r="H6728" s="2"/>
    </row>
    <row r="6729" spans="1:8" x14ac:dyDescent="0.25">
      <c r="A6729" s="1"/>
      <c r="B6729" s="1" t="s">
        <v>4578</v>
      </c>
      <c r="C6729" s="1" t="s">
        <v>4579</v>
      </c>
      <c r="D6729" s="22" t="str">
        <f>HYPERLINK("https://rhld.insurance.arkansas.gov/NPILookup?Npi=1447593371","1447593371")</f>
        <v>1447593371</v>
      </c>
      <c r="E6729" s="1" t="s">
        <v>18176</v>
      </c>
      <c r="F6729" s="2"/>
      <c r="G6729" s="2"/>
      <c r="H6729" s="2"/>
    </row>
    <row r="6730" spans="1:8" x14ac:dyDescent="0.25">
      <c r="A6730" s="1"/>
      <c r="B6730" s="1" t="s">
        <v>4578</v>
      </c>
      <c r="C6730" s="1" t="s">
        <v>4579</v>
      </c>
      <c r="D6730" s="22" t="str">
        <f>HYPERLINK("https://rhld.insurance.arkansas.gov/NPILookup?Npi=1457357907","1457357907")</f>
        <v>1457357907</v>
      </c>
      <c r="E6730" s="1" t="s">
        <v>31486</v>
      </c>
      <c r="F6730" s="2"/>
      <c r="G6730" s="2"/>
      <c r="H6730" s="2"/>
    </row>
    <row r="6731" spans="1:8" x14ac:dyDescent="0.25">
      <c r="A6731" s="1"/>
      <c r="B6731" s="1" t="s">
        <v>4578</v>
      </c>
      <c r="C6731" s="1" t="s">
        <v>4579</v>
      </c>
      <c r="D6731" s="22" t="str">
        <f>HYPERLINK("https://rhld.insurance.arkansas.gov/NPILookup?Npi=1457767451","1457767451")</f>
        <v>1457767451</v>
      </c>
      <c r="E6731" s="1" t="s">
        <v>10533</v>
      </c>
      <c r="F6731" s="2"/>
      <c r="G6731" s="2"/>
      <c r="H6731" s="2"/>
    </row>
    <row r="6732" spans="1:8" x14ac:dyDescent="0.25">
      <c r="A6732" s="1"/>
      <c r="B6732" s="1" t="s">
        <v>4578</v>
      </c>
      <c r="C6732" s="1" t="s">
        <v>4579</v>
      </c>
      <c r="D6732" s="22" t="str">
        <f>HYPERLINK("https://rhld.insurance.arkansas.gov/NPILookup?Npi=1467884668","1467884668")</f>
        <v>1467884668</v>
      </c>
      <c r="E6732" s="1" t="s">
        <v>18177</v>
      </c>
      <c r="F6732" s="2"/>
      <c r="G6732" s="2"/>
      <c r="H6732" s="2"/>
    </row>
    <row r="6733" spans="1:8" x14ac:dyDescent="0.25">
      <c r="A6733" s="1"/>
      <c r="B6733" s="1" t="s">
        <v>4578</v>
      </c>
      <c r="C6733" s="1" t="s">
        <v>4579</v>
      </c>
      <c r="D6733" s="22" t="str">
        <f>HYPERLINK("https://rhld.insurance.arkansas.gov/NPILookup?Npi=1467913707","1467913707")</f>
        <v>1467913707</v>
      </c>
      <c r="E6733" s="1" t="s">
        <v>18178</v>
      </c>
      <c r="F6733" s="2"/>
      <c r="G6733" s="2"/>
      <c r="H6733" s="2"/>
    </row>
    <row r="6734" spans="1:8" x14ac:dyDescent="0.25">
      <c r="A6734" s="1"/>
      <c r="B6734" s="1" t="s">
        <v>4578</v>
      </c>
      <c r="C6734" s="1" t="s">
        <v>4579</v>
      </c>
      <c r="D6734" s="22" t="str">
        <f>HYPERLINK("https://rhld.insurance.arkansas.gov/NPILookup?Npi=1477085249","1477085249")</f>
        <v>1477085249</v>
      </c>
      <c r="E6734" s="1" t="s">
        <v>18179</v>
      </c>
      <c r="F6734" s="2"/>
      <c r="G6734" s="2"/>
      <c r="H6734" s="2"/>
    </row>
    <row r="6735" spans="1:8" x14ac:dyDescent="0.25">
      <c r="A6735" s="1"/>
      <c r="B6735" s="1" t="s">
        <v>4578</v>
      </c>
      <c r="C6735" s="1" t="s">
        <v>4579</v>
      </c>
      <c r="D6735" s="22" t="str">
        <f>HYPERLINK("https://rhld.insurance.arkansas.gov/NPILookup?Npi=1477932861","1477932861")</f>
        <v>1477932861</v>
      </c>
      <c r="E6735" s="1" t="s">
        <v>18180</v>
      </c>
      <c r="F6735" s="2"/>
      <c r="G6735" s="2"/>
      <c r="H6735" s="2"/>
    </row>
    <row r="6736" spans="1:8" x14ac:dyDescent="0.25">
      <c r="A6736" s="1"/>
      <c r="B6736" s="1" t="s">
        <v>4578</v>
      </c>
      <c r="C6736" s="1" t="s">
        <v>4579</v>
      </c>
      <c r="D6736" s="22" t="str">
        <f>HYPERLINK("https://rhld.insurance.arkansas.gov/NPILookup?Npi=1487827853","1487827853")</f>
        <v>1487827853</v>
      </c>
      <c r="E6736" s="1" t="s">
        <v>18181</v>
      </c>
      <c r="F6736" s="2"/>
      <c r="G6736" s="2"/>
      <c r="H6736" s="2"/>
    </row>
    <row r="6737" spans="1:8" x14ac:dyDescent="0.25">
      <c r="A6737" s="1"/>
      <c r="B6737" s="1" t="s">
        <v>4578</v>
      </c>
      <c r="C6737" s="1" t="s">
        <v>4579</v>
      </c>
      <c r="D6737" s="22" t="str">
        <f>HYPERLINK("https://rhld.insurance.arkansas.gov/NPILookup?Npi=1497118855","1497118855")</f>
        <v>1497118855</v>
      </c>
      <c r="E6737" s="1" t="s">
        <v>4596</v>
      </c>
      <c r="F6737" s="2"/>
      <c r="G6737" s="2"/>
      <c r="H6737" s="2"/>
    </row>
    <row r="6738" spans="1:8" x14ac:dyDescent="0.25">
      <c r="A6738" s="1"/>
      <c r="B6738" s="1" t="s">
        <v>4578</v>
      </c>
      <c r="C6738" s="1" t="s">
        <v>4579</v>
      </c>
      <c r="D6738" s="22" t="str">
        <f>HYPERLINK("https://rhld.insurance.arkansas.gov/NPILookup?Npi=1497975106","1497975106")</f>
        <v>1497975106</v>
      </c>
      <c r="E6738" s="1" t="s">
        <v>18182</v>
      </c>
      <c r="F6738" s="2"/>
      <c r="G6738" s="2"/>
      <c r="H6738" s="2"/>
    </row>
    <row r="6739" spans="1:8" x14ac:dyDescent="0.25">
      <c r="A6739" s="1"/>
      <c r="B6739" s="1" t="s">
        <v>4578</v>
      </c>
      <c r="C6739" s="1" t="s">
        <v>4579</v>
      </c>
      <c r="D6739" s="22" t="str">
        <f>HYPERLINK("https://rhld.insurance.arkansas.gov/NPILookup?Npi=1508158965","1508158965")</f>
        <v>1508158965</v>
      </c>
      <c r="E6739" s="1" t="s">
        <v>10534</v>
      </c>
      <c r="F6739" s="2"/>
      <c r="G6739" s="2"/>
      <c r="H6739" s="2"/>
    </row>
    <row r="6740" spans="1:8" x14ac:dyDescent="0.25">
      <c r="A6740" s="1"/>
      <c r="B6740" s="1" t="s">
        <v>4578</v>
      </c>
      <c r="C6740" s="1" t="s">
        <v>4579</v>
      </c>
      <c r="D6740" s="22" t="str">
        <f>HYPERLINK("https://rhld.insurance.arkansas.gov/NPILookup?Npi=1508284209","1508284209")</f>
        <v>1508284209</v>
      </c>
      <c r="E6740" s="1" t="s">
        <v>18183</v>
      </c>
      <c r="F6740" s="2"/>
      <c r="G6740" s="2"/>
      <c r="H6740" s="2"/>
    </row>
    <row r="6741" spans="1:8" x14ac:dyDescent="0.25">
      <c r="A6741" s="1"/>
      <c r="B6741" s="1" t="s">
        <v>4578</v>
      </c>
      <c r="C6741" s="1" t="s">
        <v>4579</v>
      </c>
      <c r="D6741" s="22" t="str">
        <f>HYPERLINK("https://rhld.insurance.arkansas.gov/NPILookup?Npi=1508398629","1508398629")</f>
        <v>1508398629</v>
      </c>
      <c r="E6741" s="1" t="s">
        <v>18184</v>
      </c>
      <c r="F6741" s="2"/>
      <c r="G6741" s="2"/>
      <c r="H6741" s="2"/>
    </row>
    <row r="6742" spans="1:8" x14ac:dyDescent="0.25">
      <c r="A6742" s="1"/>
      <c r="B6742" s="1" t="s">
        <v>4578</v>
      </c>
      <c r="C6742" s="1" t="s">
        <v>4579</v>
      </c>
      <c r="D6742" s="22" t="str">
        <f>HYPERLINK("https://rhld.insurance.arkansas.gov/NPILookup?Npi=1528048543","1528048543")</f>
        <v>1528048543</v>
      </c>
      <c r="E6742" s="1" t="s">
        <v>4602</v>
      </c>
      <c r="F6742" s="2"/>
      <c r="G6742" s="2"/>
      <c r="H6742" s="2"/>
    </row>
    <row r="6743" spans="1:8" x14ac:dyDescent="0.25">
      <c r="A6743" s="1"/>
      <c r="B6743" s="1" t="s">
        <v>4578</v>
      </c>
      <c r="C6743" s="1" t="s">
        <v>4579</v>
      </c>
      <c r="D6743" s="22" t="str">
        <f>HYPERLINK("https://rhld.insurance.arkansas.gov/NPILookup?Npi=1528048923","1528048923")</f>
        <v>1528048923</v>
      </c>
      <c r="E6743" s="1" t="s">
        <v>18185</v>
      </c>
      <c r="F6743" s="2"/>
      <c r="G6743" s="2"/>
      <c r="H6743" s="2"/>
    </row>
    <row r="6744" spans="1:8" x14ac:dyDescent="0.25">
      <c r="A6744" s="1"/>
      <c r="B6744" s="1" t="s">
        <v>4578</v>
      </c>
      <c r="C6744" s="1" t="s">
        <v>4579</v>
      </c>
      <c r="D6744" s="22" t="str">
        <f>HYPERLINK("https://rhld.insurance.arkansas.gov/NPILookup?Npi=1528564556","1528564556")</f>
        <v>1528564556</v>
      </c>
      <c r="E6744" s="1" t="s">
        <v>18186</v>
      </c>
      <c r="F6744" s="2"/>
      <c r="G6744" s="2"/>
      <c r="H6744" s="2"/>
    </row>
    <row r="6745" spans="1:8" x14ac:dyDescent="0.25">
      <c r="A6745" s="1"/>
      <c r="B6745" s="1" t="s">
        <v>4578</v>
      </c>
      <c r="C6745" s="1" t="s">
        <v>4579</v>
      </c>
      <c r="D6745" s="22" t="str">
        <f>HYPERLINK("https://rhld.insurance.arkansas.gov/NPILookup?Npi=1538134572","1538134572")</f>
        <v>1538134572</v>
      </c>
      <c r="E6745" s="1" t="s">
        <v>821</v>
      </c>
      <c r="F6745" s="2"/>
      <c r="G6745" s="2"/>
      <c r="H6745" s="2"/>
    </row>
    <row r="6746" spans="1:8" x14ac:dyDescent="0.25">
      <c r="A6746" s="1"/>
      <c r="B6746" s="1" t="s">
        <v>4578</v>
      </c>
      <c r="C6746" s="1" t="s">
        <v>4579</v>
      </c>
      <c r="D6746" s="22" t="str">
        <f>HYPERLINK("https://rhld.insurance.arkansas.gov/NPILookup?Npi=1538249016","1538249016")</f>
        <v>1538249016</v>
      </c>
      <c r="E6746" s="1" t="s">
        <v>2327</v>
      </c>
      <c r="F6746" s="2"/>
      <c r="G6746" s="2"/>
      <c r="H6746" s="2"/>
    </row>
    <row r="6747" spans="1:8" x14ac:dyDescent="0.25">
      <c r="A6747" s="1"/>
      <c r="B6747" s="1" t="s">
        <v>4578</v>
      </c>
      <c r="C6747" s="1" t="s">
        <v>4579</v>
      </c>
      <c r="D6747" s="22" t="str">
        <f>HYPERLINK("https://rhld.insurance.arkansas.gov/NPILookup?Npi=1538915285","1538915285")</f>
        <v>1538915285</v>
      </c>
      <c r="E6747" s="1" t="s">
        <v>18187</v>
      </c>
      <c r="F6747" s="2"/>
      <c r="G6747" s="2"/>
      <c r="H6747" s="2"/>
    </row>
    <row r="6748" spans="1:8" x14ac:dyDescent="0.25">
      <c r="A6748" s="1"/>
      <c r="B6748" s="1" t="s">
        <v>4578</v>
      </c>
      <c r="C6748" s="1" t="s">
        <v>4579</v>
      </c>
      <c r="D6748" s="22" t="str">
        <f>HYPERLINK("https://rhld.insurance.arkansas.gov/NPILookup?Npi=1548465834","1548465834")</f>
        <v>1548465834</v>
      </c>
      <c r="E6748" s="1" t="s">
        <v>304</v>
      </c>
      <c r="F6748" s="2"/>
      <c r="G6748" s="2"/>
      <c r="H6748" s="2"/>
    </row>
    <row r="6749" spans="1:8" x14ac:dyDescent="0.25">
      <c r="A6749" s="1"/>
      <c r="B6749" s="1" t="s">
        <v>4578</v>
      </c>
      <c r="C6749" s="1" t="s">
        <v>4579</v>
      </c>
      <c r="D6749" s="22" t="str">
        <f>HYPERLINK("https://rhld.insurance.arkansas.gov/NPILookup?Npi=1548614290","1548614290")</f>
        <v>1548614290</v>
      </c>
      <c r="E6749" s="1" t="s">
        <v>18188</v>
      </c>
      <c r="F6749" s="2"/>
      <c r="G6749" s="2"/>
      <c r="H6749" s="2"/>
    </row>
    <row r="6750" spans="1:8" x14ac:dyDescent="0.25">
      <c r="A6750" s="1"/>
      <c r="B6750" s="1" t="s">
        <v>4578</v>
      </c>
      <c r="C6750" s="1" t="s">
        <v>4579</v>
      </c>
      <c r="D6750" s="22" t="str">
        <f>HYPERLINK("https://rhld.insurance.arkansas.gov/NPILookup?Npi=1558582668","1558582668")</f>
        <v>1558582668</v>
      </c>
      <c r="E6750" s="1" t="s">
        <v>4597</v>
      </c>
      <c r="F6750" s="2"/>
      <c r="G6750" s="2"/>
      <c r="H6750" s="2"/>
    </row>
    <row r="6751" spans="1:8" x14ac:dyDescent="0.25">
      <c r="A6751" s="1"/>
      <c r="B6751" s="1" t="s">
        <v>4578</v>
      </c>
      <c r="C6751" s="1" t="s">
        <v>4579</v>
      </c>
      <c r="D6751" s="22" t="str">
        <f>HYPERLINK("https://rhld.insurance.arkansas.gov/NPILookup?Npi=1558650960","1558650960")</f>
        <v>1558650960</v>
      </c>
      <c r="E6751" s="1" t="s">
        <v>18189</v>
      </c>
      <c r="F6751" s="2"/>
      <c r="G6751" s="2"/>
      <c r="H6751" s="2"/>
    </row>
    <row r="6752" spans="1:8" x14ac:dyDescent="0.25">
      <c r="A6752" s="1"/>
      <c r="B6752" s="1" t="s">
        <v>4578</v>
      </c>
      <c r="C6752" s="1" t="s">
        <v>4579</v>
      </c>
      <c r="D6752" s="22" t="str">
        <f>HYPERLINK("https://rhld.insurance.arkansas.gov/NPILookup?Npi=1568525806","1568525806")</f>
        <v>1568525806</v>
      </c>
      <c r="E6752" s="1" t="s">
        <v>4598</v>
      </c>
      <c r="F6752" s="2"/>
      <c r="G6752" s="2"/>
      <c r="H6752" s="2"/>
    </row>
    <row r="6753" spans="1:8" x14ac:dyDescent="0.25">
      <c r="A6753" s="1"/>
      <c r="B6753" s="1" t="s">
        <v>4578</v>
      </c>
      <c r="C6753" s="1" t="s">
        <v>4579</v>
      </c>
      <c r="D6753" s="22" t="str">
        <f>HYPERLINK("https://rhld.insurance.arkansas.gov/NPILookup?Npi=1578529129","1578529129")</f>
        <v>1578529129</v>
      </c>
      <c r="E6753" s="1" t="s">
        <v>18190</v>
      </c>
      <c r="F6753" s="2"/>
      <c r="G6753" s="2"/>
      <c r="H6753" s="2"/>
    </row>
    <row r="6754" spans="1:8" x14ac:dyDescent="0.25">
      <c r="A6754" s="1"/>
      <c r="B6754" s="1" t="s">
        <v>4578</v>
      </c>
      <c r="C6754" s="1" t="s">
        <v>4579</v>
      </c>
      <c r="D6754" s="22" t="str">
        <f>HYPERLINK("https://rhld.insurance.arkansas.gov/NPILookup?Npi=1578768644","1578768644")</f>
        <v>1578768644</v>
      </c>
      <c r="E6754" s="1" t="s">
        <v>10371</v>
      </c>
      <c r="F6754" s="2"/>
      <c r="G6754" s="2"/>
      <c r="H6754" s="2"/>
    </row>
    <row r="6755" spans="1:8" x14ac:dyDescent="0.25">
      <c r="A6755" s="1"/>
      <c r="B6755" s="1" t="s">
        <v>4578</v>
      </c>
      <c r="C6755" s="1" t="s">
        <v>4579</v>
      </c>
      <c r="D6755" s="22" t="str">
        <f>HYPERLINK("https://rhld.insurance.arkansas.gov/NPILookup?Npi=1578902169","1578902169")</f>
        <v>1578902169</v>
      </c>
      <c r="E6755" s="1" t="s">
        <v>10535</v>
      </c>
      <c r="F6755" s="2"/>
      <c r="G6755" s="2"/>
      <c r="H6755" s="2"/>
    </row>
    <row r="6756" spans="1:8" x14ac:dyDescent="0.25">
      <c r="A6756" s="1"/>
      <c r="B6756" s="1" t="s">
        <v>4578</v>
      </c>
      <c r="C6756" s="1" t="s">
        <v>4579</v>
      </c>
      <c r="D6756" s="22" t="str">
        <f>HYPERLINK("https://rhld.insurance.arkansas.gov/NPILookup?Npi=1588639512","1588639512")</f>
        <v>1588639512</v>
      </c>
      <c r="E6756" s="1" t="s">
        <v>18191</v>
      </c>
      <c r="F6756" s="2"/>
      <c r="G6756" s="2"/>
      <c r="H6756" s="2"/>
    </row>
    <row r="6757" spans="1:8" x14ac:dyDescent="0.25">
      <c r="A6757" s="1"/>
      <c r="B6757" s="1" t="s">
        <v>4578</v>
      </c>
      <c r="C6757" s="1" t="s">
        <v>4579</v>
      </c>
      <c r="D6757" s="22" t="str">
        <f>HYPERLINK("https://rhld.insurance.arkansas.gov/NPILookup?Npi=1598724619","1598724619")</f>
        <v>1598724619</v>
      </c>
      <c r="E6757" s="1" t="s">
        <v>18192</v>
      </c>
      <c r="F6757" s="2"/>
      <c r="G6757" s="2"/>
      <c r="H6757" s="2"/>
    </row>
    <row r="6758" spans="1:8" x14ac:dyDescent="0.25">
      <c r="A6758" s="1"/>
      <c r="B6758" s="1" t="s">
        <v>4578</v>
      </c>
      <c r="C6758" s="1" t="s">
        <v>4579</v>
      </c>
      <c r="D6758" s="22" t="str">
        <f>HYPERLINK("https://rhld.insurance.arkansas.gov/NPILookup?Npi=1598763641","1598763641")</f>
        <v>1598763641</v>
      </c>
      <c r="E6758" s="1" t="s">
        <v>10536</v>
      </c>
      <c r="F6758" s="2"/>
      <c r="G6758" s="2"/>
      <c r="H6758" s="2"/>
    </row>
    <row r="6759" spans="1:8" x14ac:dyDescent="0.25">
      <c r="A6759" s="1"/>
      <c r="B6759" s="1" t="s">
        <v>4578</v>
      </c>
      <c r="C6759" s="1" t="s">
        <v>4579</v>
      </c>
      <c r="D6759" s="22" t="str">
        <f>HYPERLINK("https://rhld.insurance.arkansas.gov/NPILookup?Npi=1598804825","1598804825")</f>
        <v>1598804825</v>
      </c>
      <c r="E6759" s="1" t="s">
        <v>10537</v>
      </c>
      <c r="F6759" s="2"/>
      <c r="G6759" s="2"/>
      <c r="H6759" s="2"/>
    </row>
    <row r="6760" spans="1:8" x14ac:dyDescent="0.25">
      <c r="A6760" s="1"/>
      <c r="B6760" s="1" t="s">
        <v>4578</v>
      </c>
      <c r="C6760" s="1" t="s">
        <v>4579</v>
      </c>
      <c r="D6760" s="22" t="str">
        <f>HYPERLINK("https://rhld.insurance.arkansas.gov/NPILookup?Npi=1609072842","1609072842")</f>
        <v>1609072842</v>
      </c>
      <c r="E6760" s="1" t="s">
        <v>16014</v>
      </c>
      <c r="F6760" s="2"/>
      <c r="G6760" s="2"/>
      <c r="H6760" s="2"/>
    </row>
    <row r="6761" spans="1:8" x14ac:dyDescent="0.25">
      <c r="A6761" s="1"/>
      <c r="B6761" s="1" t="s">
        <v>4578</v>
      </c>
      <c r="C6761" s="1" t="s">
        <v>4579</v>
      </c>
      <c r="D6761" s="22" t="str">
        <f>HYPERLINK("https://rhld.insurance.arkansas.gov/NPILookup?Npi=1619910551","1619910551")</f>
        <v>1619910551</v>
      </c>
      <c r="E6761" s="1" t="s">
        <v>18193</v>
      </c>
      <c r="F6761" s="2"/>
      <c r="G6761" s="2"/>
      <c r="H6761" s="2"/>
    </row>
    <row r="6762" spans="1:8" x14ac:dyDescent="0.25">
      <c r="A6762" s="1"/>
      <c r="B6762" s="1" t="s">
        <v>4578</v>
      </c>
      <c r="C6762" s="1" t="s">
        <v>4579</v>
      </c>
      <c r="D6762" s="22" t="str">
        <f>HYPERLINK("https://rhld.insurance.arkansas.gov/NPILookup?Npi=1619988243","1619988243")</f>
        <v>1619988243</v>
      </c>
      <c r="E6762" s="1" t="s">
        <v>18194</v>
      </c>
      <c r="F6762" s="2"/>
      <c r="G6762" s="2"/>
      <c r="H6762" s="2"/>
    </row>
    <row r="6763" spans="1:8" x14ac:dyDescent="0.25">
      <c r="A6763" s="1"/>
      <c r="B6763" s="1" t="s">
        <v>4578</v>
      </c>
      <c r="C6763" s="1" t="s">
        <v>4579</v>
      </c>
      <c r="D6763" s="22" t="str">
        <f>HYPERLINK("https://rhld.insurance.arkansas.gov/NPILookup?Npi=1619995248","1619995248")</f>
        <v>1619995248</v>
      </c>
      <c r="E6763" s="1" t="s">
        <v>18195</v>
      </c>
      <c r="F6763" s="2"/>
      <c r="G6763" s="2"/>
      <c r="H6763" s="2"/>
    </row>
    <row r="6764" spans="1:8" x14ac:dyDescent="0.25">
      <c r="A6764" s="1"/>
      <c r="B6764" s="1" t="s">
        <v>4578</v>
      </c>
      <c r="C6764" s="1" t="s">
        <v>4579</v>
      </c>
      <c r="D6764" s="22" t="str">
        <f>HYPERLINK("https://rhld.insurance.arkansas.gov/NPILookup?Npi=1629077896","1629077896")</f>
        <v>1629077896</v>
      </c>
      <c r="E6764" s="1" t="s">
        <v>10519</v>
      </c>
      <c r="F6764" s="2"/>
      <c r="G6764" s="2"/>
      <c r="H6764" s="2"/>
    </row>
    <row r="6765" spans="1:8" x14ac:dyDescent="0.25">
      <c r="A6765" s="1"/>
      <c r="B6765" s="1" t="s">
        <v>4578</v>
      </c>
      <c r="C6765" s="1" t="s">
        <v>4579</v>
      </c>
      <c r="D6765" s="22" t="str">
        <f>HYPERLINK("https://rhld.insurance.arkansas.gov/NPILookup?Npi=1639290604","1639290604")</f>
        <v>1639290604</v>
      </c>
      <c r="E6765" s="1" t="s">
        <v>18196</v>
      </c>
      <c r="F6765" s="2"/>
      <c r="G6765" s="2"/>
      <c r="H6765" s="2"/>
    </row>
    <row r="6766" spans="1:8" x14ac:dyDescent="0.25">
      <c r="A6766" s="1"/>
      <c r="B6766" s="1" t="s">
        <v>4578</v>
      </c>
      <c r="C6766" s="1" t="s">
        <v>4579</v>
      </c>
      <c r="D6766" s="22" t="str">
        <f>HYPERLINK("https://rhld.insurance.arkansas.gov/NPILookup?Npi=1639498934","1639498934")</f>
        <v>1639498934</v>
      </c>
      <c r="E6766" s="1" t="s">
        <v>10538</v>
      </c>
      <c r="F6766" s="2"/>
      <c r="G6766" s="2"/>
      <c r="H6766" s="2"/>
    </row>
    <row r="6767" spans="1:8" x14ac:dyDescent="0.25">
      <c r="A6767" s="1"/>
      <c r="B6767" s="1" t="s">
        <v>4578</v>
      </c>
      <c r="C6767" s="1" t="s">
        <v>4579</v>
      </c>
      <c r="D6767" s="22" t="str">
        <f>HYPERLINK("https://rhld.insurance.arkansas.gov/NPILookup?Npi=1649387622","1649387622")</f>
        <v>1649387622</v>
      </c>
      <c r="E6767" s="1" t="s">
        <v>4599</v>
      </c>
      <c r="F6767" s="2"/>
      <c r="G6767" s="2"/>
      <c r="H6767" s="2"/>
    </row>
    <row r="6768" spans="1:8" x14ac:dyDescent="0.25">
      <c r="A6768" s="1"/>
      <c r="B6768" s="1" t="s">
        <v>4578</v>
      </c>
      <c r="C6768" s="1" t="s">
        <v>4579</v>
      </c>
      <c r="D6768" s="22" t="str">
        <f>HYPERLINK("https://rhld.insurance.arkansas.gov/NPILookup?Npi=1649568395","1649568395")</f>
        <v>1649568395</v>
      </c>
      <c r="E6768" s="1" t="s">
        <v>4600</v>
      </c>
      <c r="F6768" s="2"/>
      <c r="G6768" s="2"/>
      <c r="H6768" s="2"/>
    </row>
    <row r="6769" spans="1:8" x14ac:dyDescent="0.25">
      <c r="A6769" s="1"/>
      <c r="B6769" s="1" t="s">
        <v>4578</v>
      </c>
      <c r="C6769" s="1" t="s">
        <v>4579</v>
      </c>
      <c r="D6769" s="22" t="str">
        <f>HYPERLINK("https://rhld.insurance.arkansas.gov/NPILookup?Npi=1659493393","1659493393")</f>
        <v>1659493393</v>
      </c>
      <c r="E6769" s="1" t="s">
        <v>10539</v>
      </c>
      <c r="F6769" s="2"/>
      <c r="G6769" s="2"/>
      <c r="H6769" s="2"/>
    </row>
    <row r="6770" spans="1:8" x14ac:dyDescent="0.25">
      <c r="A6770" s="1"/>
      <c r="B6770" s="1" t="s">
        <v>4578</v>
      </c>
      <c r="C6770" s="1" t="s">
        <v>4579</v>
      </c>
      <c r="D6770" s="22" t="str">
        <f>HYPERLINK("https://rhld.insurance.arkansas.gov/NPILookup?Npi=1659875425","1659875425")</f>
        <v>1659875425</v>
      </c>
      <c r="E6770" s="1" t="s">
        <v>31487</v>
      </c>
      <c r="F6770" s="2"/>
      <c r="G6770" s="2"/>
      <c r="H6770" s="2"/>
    </row>
    <row r="6771" spans="1:8" x14ac:dyDescent="0.25">
      <c r="A6771" s="1"/>
      <c r="B6771" s="1" t="s">
        <v>4578</v>
      </c>
      <c r="C6771" s="1" t="s">
        <v>4579</v>
      </c>
      <c r="D6771" s="22" t="str">
        <f>HYPERLINK("https://rhld.insurance.arkansas.gov/NPILookup?Npi=1679577233","1679577233")</f>
        <v>1679577233</v>
      </c>
      <c r="E6771" s="1" t="s">
        <v>3747</v>
      </c>
      <c r="F6771" s="2"/>
      <c r="G6771" s="2"/>
      <c r="H6771" s="2"/>
    </row>
    <row r="6772" spans="1:8" x14ac:dyDescent="0.25">
      <c r="A6772" s="1"/>
      <c r="B6772" s="1" t="s">
        <v>4578</v>
      </c>
      <c r="C6772" s="1" t="s">
        <v>4579</v>
      </c>
      <c r="D6772" s="22" t="str">
        <f>HYPERLINK("https://rhld.insurance.arkansas.gov/NPILookup?Npi=1689730459","1689730459")</f>
        <v>1689730459</v>
      </c>
      <c r="E6772" s="1" t="s">
        <v>18197</v>
      </c>
      <c r="F6772" s="2"/>
      <c r="G6772" s="2"/>
      <c r="H6772" s="2"/>
    </row>
    <row r="6773" spans="1:8" x14ac:dyDescent="0.25">
      <c r="A6773" s="1"/>
      <c r="B6773" s="1" t="s">
        <v>4578</v>
      </c>
      <c r="C6773" s="1" t="s">
        <v>4579</v>
      </c>
      <c r="D6773" s="22" t="str">
        <f>HYPERLINK("https://rhld.insurance.arkansas.gov/NPILookup?Npi=1699755629","1699755629")</f>
        <v>1699755629</v>
      </c>
      <c r="E6773" s="1" t="s">
        <v>10540</v>
      </c>
      <c r="F6773" s="2"/>
      <c r="G6773" s="2"/>
      <c r="H6773" s="2"/>
    </row>
    <row r="6774" spans="1:8" x14ac:dyDescent="0.25">
      <c r="A6774" s="1"/>
      <c r="B6774" s="1" t="s">
        <v>4578</v>
      </c>
      <c r="C6774" s="1" t="s">
        <v>4579</v>
      </c>
      <c r="D6774" s="22" t="str">
        <f>HYPERLINK("https://rhld.insurance.arkansas.gov/NPILookup?Npi=1699881052","1699881052")</f>
        <v>1699881052</v>
      </c>
      <c r="E6774" s="1" t="s">
        <v>18198</v>
      </c>
      <c r="F6774" s="2"/>
      <c r="G6774" s="2"/>
      <c r="H6774" s="2"/>
    </row>
    <row r="6775" spans="1:8" x14ac:dyDescent="0.25">
      <c r="A6775" s="1"/>
      <c r="B6775" s="1" t="s">
        <v>4578</v>
      </c>
      <c r="C6775" s="1" t="s">
        <v>4579</v>
      </c>
      <c r="D6775" s="22" t="str">
        <f>HYPERLINK("https://rhld.insurance.arkansas.gov/NPILookup?Npi=1710077201","1710077201")</f>
        <v>1710077201</v>
      </c>
      <c r="E6775" s="1" t="s">
        <v>18199</v>
      </c>
      <c r="F6775" s="2"/>
      <c r="G6775" s="2"/>
      <c r="H6775" s="2"/>
    </row>
    <row r="6776" spans="1:8" x14ac:dyDescent="0.25">
      <c r="A6776" s="1"/>
      <c r="B6776" s="1" t="s">
        <v>4578</v>
      </c>
      <c r="C6776" s="1" t="s">
        <v>4579</v>
      </c>
      <c r="D6776" s="22" t="str">
        <f>HYPERLINK("https://rhld.insurance.arkansas.gov/NPILookup?Npi=1720018310","1720018310")</f>
        <v>1720018310</v>
      </c>
      <c r="E6776" s="1" t="s">
        <v>4465</v>
      </c>
      <c r="F6776" s="2"/>
      <c r="G6776" s="2"/>
      <c r="H6776" s="2"/>
    </row>
    <row r="6777" spans="1:8" x14ac:dyDescent="0.25">
      <c r="A6777" s="1"/>
      <c r="B6777" s="1" t="s">
        <v>4578</v>
      </c>
      <c r="C6777" s="1" t="s">
        <v>4579</v>
      </c>
      <c r="D6777" s="22" t="str">
        <f>HYPERLINK("https://rhld.insurance.arkansas.gov/NPILookup?Npi=1730407784","1730407784")</f>
        <v>1730407784</v>
      </c>
      <c r="E6777" s="1" t="s">
        <v>4601</v>
      </c>
      <c r="F6777" s="2"/>
      <c r="G6777" s="2"/>
      <c r="H6777" s="2"/>
    </row>
    <row r="6778" spans="1:8" x14ac:dyDescent="0.25">
      <c r="A6778" s="1"/>
      <c r="B6778" s="1" t="s">
        <v>4578</v>
      </c>
      <c r="C6778" s="1" t="s">
        <v>4579</v>
      </c>
      <c r="D6778" s="22" t="str">
        <f>HYPERLINK("https://rhld.insurance.arkansas.gov/NPILookup?Npi=1750397824","1750397824")</f>
        <v>1750397824</v>
      </c>
      <c r="E6778" s="1" t="s">
        <v>18200</v>
      </c>
      <c r="F6778" s="2"/>
      <c r="G6778" s="2"/>
      <c r="H6778" s="2"/>
    </row>
    <row r="6779" spans="1:8" x14ac:dyDescent="0.25">
      <c r="A6779" s="1"/>
      <c r="B6779" s="1" t="s">
        <v>4578</v>
      </c>
      <c r="C6779" s="1" t="s">
        <v>4579</v>
      </c>
      <c r="D6779" s="22" t="str">
        <f>HYPERLINK("https://rhld.insurance.arkansas.gov/NPILookup?Npi=1750909404","1750909404")</f>
        <v>1750909404</v>
      </c>
      <c r="E6779" s="1" t="s">
        <v>18201</v>
      </c>
      <c r="F6779" s="2"/>
      <c r="G6779" s="2"/>
      <c r="H6779" s="2"/>
    </row>
    <row r="6780" spans="1:8" x14ac:dyDescent="0.25">
      <c r="A6780" s="1"/>
      <c r="B6780" s="1" t="s">
        <v>4578</v>
      </c>
      <c r="C6780" s="1" t="s">
        <v>4579</v>
      </c>
      <c r="D6780" s="22" t="str">
        <f>HYPERLINK("https://rhld.insurance.arkansas.gov/NPILookup?Npi=1760011977","1760011977")</f>
        <v>1760011977</v>
      </c>
      <c r="E6780" s="1" t="s">
        <v>31488</v>
      </c>
      <c r="F6780" s="2"/>
      <c r="G6780" s="2"/>
      <c r="H6780" s="2"/>
    </row>
    <row r="6781" spans="1:8" x14ac:dyDescent="0.25">
      <c r="A6781" s="1"/>
      <c r="B6781" s="1" t="s">
        <v>4578</v>
      </c>
      <c r="C6781" s="1" t="s">
        <v>4579</v>
      </c>
      <c r="D6781" s="22" t="str">
        <f>HYPERLINK("https://rhld.insurance.arkansas.gov/NPILookup?Npi=1760663579","1760663579")</f>
        <v>1760663579</v>
      </c>
      <c r="E6781" s="1" t="s">
        <v>18202</v>
      </c>
      <c r="F6781" s="2"/>
      <c r="G6781" s="2"/>
      <c r="H6781" s="2"/>
    </row>
    <row r="6782" spans="1:8" x14ac:dyDescent="0.25">
      <c r="A6782" s="1"/>
      <c r="B6782" s="1" t="s">
        <v>4578</v>
      </c>
      <c r="C6782" s="1" t="s">
        <v>4579</v>
      </c>
      <c r="D6782" s="22" t="str">
        <f>HYPERLINK("https://rhld.insurance.arkansas.gov/NPILookup?Npi=1770861478","1770861478")</f>
        <v>1770861478</v>
      </c>
      <c r="E6782" s="1" t="s">
        <v>10541</v>
      </c>
      <c r="F6782" s="2"/>
      <c r="G6782" s="2"/>
      <c r="H6782" s="2"/>
    </row>
    <row r="6783" spans="1:8" x14ac:dyDescent="0.25">
      <c r="A6783" s="1"/>
      <c r="B6783" s="1" t="s">
        <v>4578</v>
      </c>
      <c r="C6783" s="1" t="s">
        <v>4579</v>
      </c>
      <c r="D6783" s="22" t="str">
        <f>HYPERLINK("https://rhld.insurance.arkansas.gov/NPILookup?Npi=1770876344","1770876344")</f>
        <v>1770876344</v>
      </c>
      <c r="E6783" s="1" t="s">
        <v>18203</v>
      </c>
      <c r="F6783" s="2"/>
      <c r="G6783" s="2"/>
      <c r="H6783" s="2"/>
    </row>
    <row r="6784" spans="1:8" x14ac:dyDescent="0.25">
      <c r="A6784" s="1"/>
      <c r="B6784" s="1" t="s">
        <v>4578</v>
      </c>
      <c r="C6784" s="1" t="s">
        <v>4579</v>
      </c>
      <c r="D6784" s="22" t="str">
        <f>HYPERLINK("https://rhld.insurance.arkansas.gov/NPILookup?Npi=1780118125","1780118125")</f>
        <v>1780118125</v>
      </c>
      <c r="E6784" s="1" t="s">
        <v>18204</v>
      </c>
      <c r="F6784" s="2"/>
      <c r="G6784" s="2"/>
      <c r="H6784" s="2"/>
    </row>
    <row r="6785" spans="1:8" x14ac:dyDescent="0.25">
      <c r="A6785" s="1"/>
      <c r="B6785" s="1" t="s">
        <v>4578</v>
      </c>
      <c r="C6785" s="1" t="s">
        <v>4579</v>
      </c>
      <c r="D6785" s="22" t="str">
        <f>HYPERLINK("https://rhld.insurance.arkansas.gov/NPILookup?Npi=1790852838","1790852838")</f>
        <v>1790852838</v>
      </c>
      <c r="E6785" s="1" t="s">
        <v>16891</v>
      </c>
      <c r="F6785" s="2"/>
      <c r="G6785" s="2"/>
      <c r="H6785" s="2"/>
    </row>
    <row r="6786" spans="1:8" x14ac:dyDescent="0.25">
      <c r="A6786" s="1"/>
      <c r="B6786" s="1" t="s">
        <v>4578</v>
      </c>
      <c r="C6786" s="1" t="s">
        <v>4579</v>
      </c>
      <c r="D6786" s="22" t="str">
        <f>HYPERLINK("https://rhld.insurance.arkansas.gov/NPILookup?Npi=1801884622","1801884622")</f>
        <v>1801884622</v>
      </c>
      <c r="E6786" s="1" t="s">
        <v>10542</v>
      </c>
      <c r="F6786" s="2"/>
      <c r="G6786" s="2"/>
      <c r="H6786" s="2"/>
    </row>
    <row r="6787" spans="1:8" x14ac:dyDescent="0.25">
      <c r="A6787" s="1"/>
      <c r="B6787" s="1" t="s">
        <v>4578</v>
      </c>
      <c r="C6787" s="1" t="s">
        <v>4579</v>
      </c>
      <c r="D6787" s="22" t="str">
        <f>HYPERLINK("https://rhld.insurance.arkansas.gov/NPILookup?Npi=1801986393","1801986393")</f>
        <v>1801986393</v>
      </c>
      <c r="E6787" s="1" t="s">
        <v>18205</v>
      </c>
      <c r="F6787" s="2"/>
      <c r="G6787" s="2"/>
      <c r="H6787" s="2"/>
    </row>
    <row r="6788" spans="1:8" x14ac:dyDescent="0.25">
      <c r="A6788" s="1"/>
      <c r="B6788" s="1" t="s">
        <v>4578</v>
      </c>
      <c r="C6788" s="1" t="s">
        <v>4579</v>
      </c>
      <c r="D6788" s="22" t="str">
        <f>HYPERLINK("https://rhld.insurance.arkansas.gov/NPILookup?Npi=1811130248","1811130248")</f>
        <v>1811130248</v>
      </c>
      <c r="E6788" s="1" t="s">
        <v>18206</v>
      </c>
      <c r="F6788" s="2"/>
      <c r="G6788" s="2"/>
      <c r="H6788" s="2"/>
    </row>
    <row r="6789" spans="1:8" x14ac:dyDescent="0.25">
      <c r="A6789" s="1"/>
      <c r="B6789" s="1" t="s">
        <v>4578</v>
      </c>
      <c r="C6789" s="1" t="s">
        <v>4579</v>
      </c>
      <c r="D6789" s="22" t="str">
        <f>HYPERLINK("https://rhld.insurance.arkansas.gov/NPILookup?Npi=1821417833","1821417833")</f>
        <v>1821417833</v>
      </c>
      <c r="E6789" s="1" t="s">
        <v>18207</v>
      </c>
      <c r="F6789" s="2"/>
      <c r="G6789" s="2"/>
      <c r="H6789" s="2"/>
    </row>
    <row r="6790" spans="1:8" x14ac:dyDescent="0.25">
      <c r="A6790" s="1"/>
      <c r="B6790" s="1" t="s">
        <v>4578</v>
      </c>
      <c r="C6790" s="1" t="s">
        <v>4579</v>
      </c>
      <c r="D6790" s="22" t="str">
        <f>HYPERLINK("https://rhld.insurance.arkansas.gov/NPILookup?Npi=1821594409","1821594409")</f>
        <v>1821594409</v>
      </c>
      <c r="E6790" s="1" t="s">
        <v>18208</v>
      </c>
      <c r="F6790" s="2"/>
      <c r="G6790" s="2"/>
      <c r="H6790" s="2"/>
    </row>
    <row r="6791" spans="1:8" x14ac:dyDescent="0.25">
      <c r="A6791" s="1"/>
      <c r="B6791" s="1" t="s">
        <v>4578</v>
      </c>
      <c r="C6791" s="1" t="s">
        <v>4579</v>
      </c>
      <c r="D6791" s="22" t="str">
        <f>HYPERLINK("https://rhld.insurance.arkansas.gov/NPILookup?Npi=1831179233","1831179233")</f>
        <v>1831179233</v>
      </c>
      <c r="E6791" s="1" t="s">
        <v>18209</v>
      </c>
      <c r="F6791" s="2"/>
      <c r="G6791" s="2"/>
      <c r="H6791" s="2"/>
    </row>
    <row r="6792" spans="1:8" x14ac:dyDescent="0.25">
      <c r="A6792" s="1"/>
      <c r="B6792" s="1" t="s">
        <v>4578</v>
      </c>
      <c r="C6792" s="1" t="s">
        <v>4579</v>
      </c>
      <c r="D6792" s="22" t="str">
        <f>HYPERLINK("https://rhld.insurance.arkansas.gov/NPILookup?Npi=1831210806","1831210806")</f>
        <v>1831210806</v>
      </c>
      <c r="E6792" s="1" t="s">
        <v>4603</v>
      </c>
      <c r="F6792" s="2"/>
      <c r="G6792" s="2"/>
      <c r="H6792" s="2"/>
    </row>
    <row r="6793" spans="1:8" x14ac:dyDescent="0.25">
      <c r="A6793" s="1"/>
      <c r="B6793" s="1" t="s">
        <v>4578</v>
      </c>
      <c r="C6793" s="1" t="s">
        <v>4579</v>
      </c>
      <c r="D6793" s="22" t="str">
        <f>HYPERLINK("https://rhld.insurance.arkansas.gov/NPILookup?Npi=1831338730","1831338730")</f>
        <v>1831338730</v>
      </c>
      <c r="E6793" s="1" t="s">
        <v>10543</v>
      </c>
      <c r="F6793" s="2"/>
      <c r="G6793" s="2"/>
      <c r="H6793" s="2"/>
    </row>
    <row r="6794" spans="1:8" x14ac:dyDescent="0.25">
      <c r="A6794" s="1"/>
      <c r="B6794" s="1" t="s">
        <v>4578</v>
      </c>
      <c r="C6794" s="1" t="s">
        <v>4579</v>
      </c>
      <c r="D6794" s="22" t="str">
        <f>HYPERLINK("https://rhld.insurance.arkansas.gov/NPILookup?Npi=1841378403","1841378403")</f>
        <v>1841378403</v>
      </c>
      <c r="E6794" s="1" t="s">
        <v>18210</v>
      </c>
      <c r="F6794" s="2"/>
      <c r="G6794" s="2"/>
      <c r="H6794" s="2"/>
    </row>
    <row r="6795" spans="1:8" x14ac:dyDescent="0.25">
      <c r="A6795" s="1"/>
      <c r="B6795" s="1" t="s">
        <v>4578</v>
      </c>
      <c r="C6795" s="1" t="s">
        <v>4579</v>
      </c>
      <c r="D6795" s="22" t="str">
        <f>HYPERLINK("https://rhld.insurance.arkansas.gov/NPILookup?Npi=1841451440","1841451440")</f>
        <v>1841451440</v>
      </c>
      <c r="E6795" s="1" t="s">
        <v>18211</v>
      </c>
      <c r="F6795" s="2"/>
      <c r="G6795" s="2"/>
      <c r="H6795" s="2"/>
    </row>
    <row r="6796" spans="1:8" x14ac:dyDescent="0.25">
      <c r="A6796" s="1"/>
      <c r="B6796" s="1" t="s">
        <v>4578</v>
      </c>
      <c r="C6796" s="1" t="s">
        <v>4579</v>
      </c>
      <c r="D6796" s="22" t="str">
        <f>HYPERLINK("https://rhld.insurance.arkansas.gov/NPILookup?Npi=1851366140","1851366140")</f>
        <v>1851366140</v>
      </c>
      <c r="E6796" s="1" t="s">
        <v>10544</v>
      </c>
      <c r="F6796" s="2"/>
      <c r="G6796" s="2"/>
      <c r="H6796" s="2"/>
    </row>
    <row r="6797" spans="1:8" x14ac:dyDescent="0.25">
      <c r="A6797" s="1"/>
      <c r="B6797" s="1" t="s">
        <v>4578</v>
      </c>
      <c r="C6797" s="1" t="s">
        <v>4579</v>
      </c>
      <c r="D6797" s="22" t="str">
        <f>HYPERLINK("https://rhld.insurance.arkansas.gov/NPILookup?Npi=1851616148","1851616148")</f>
        <v>1851616148</v>
      </c>
      <c r="E6797" s="1" t="s">
        <v>18212</v>
      </c>
      <c r="F6797" s="2"/>
      <c r="G6797" s="2"/>
      <c r="H6797" s="2"/>
    </row>
    <row r="6798" spans="1:8" x14ac:dyDescent="0.25">
      <c r="A6798" s="1"/>
      <c r="B6798" s="1" t="s">
        <v>4578</v>
      </c>
      <c r="C6798" s="1" t="s">
        <v>4579</v>
      </c>
      <c r="D6798" s="22" t="str">
        <f>HYPERLINK("https://rhld.insurance.arkansas.gov/NPILookup?Npi=1861458416","1861458416")</f>
        <v>1861458416</v>
      </c>
      <c r="E6798" s="1" t="s">
        <v>18213</v>
      </c>
      <c r="F6798" s="2"/>
      <c r="G6798" s="2"/>
      <c r="H6798" s="2"/>
    </row>
    <row r="6799" spans="1:8" x14ac:dyDescent="0.25">
      <c r="A6799" s="1"/>
      <c r="B6799" s="1" t="s">
        <v>4578</v>
      </c>
      <c r="C6799" s="1" t="s">
        <v>4579</v>
      </c>
      <c r="D6799" s="22" t="str">
        <f>HYPERLINK("https://rhld.insurance.arkansas.gov/NPILookup?Npi=1871568808","1871568808")</f>
        <v>1871568808</v>
      </c>
      <c r="E6799" s="1" t="s">
        <v>4604</v>
      </c>
      <c r="F6799" s="2"/>
      <c r="G6799" s="2"/>
      <c r="H6799" s="2"/>
    </row>
    <row r="6800" spans="1:8" x14ac:dyDescent="0.25">
      <c r="A6800" s="1"/>
      <c r="B6800" s="1" t="s">
        <v>4578</v>
      </c>
      <c r="C6800" s="1" t="s">
        <v>4579</v>
      </c>
      <c r="D6800" s="22" t="str">
        <f>HYPERLINK("https://rhld.insurance.arkansas.gov/NPILookup?Npi=1871855650","1871855650")</f>
        <v>1871855650</v>
      </c>
      <c r="E6800" s="1" t="s">
        <v>4605</v>
      </c>
      <c r="F6800" s="2"/>
      <c r="G6800" s="2"/>
      <c r="H6800" s="2"/>
    </row>
    <row r="6801" spans="1:8" x14ac:dyDescent="0.25">
      <c r="A6801" s="1"/>
      <c r="B6801" s="1" t="s">
        <v>4578</v>
      </c>
      <c r="C6801" s="1" t="s">
        <v>4579</v>
      </c>
      <c r="D6801" s="22" t="str">
        <f>HYPERLINK("https://rhld.insurance.arkansas.gov/NPILookup?Npi=1891775821","1891775821")</f>
        <v>1891775821</v>
      </c>
      <c r="E6801" s="1" t="s">
        <v>10545</v>
      </c>
      <c r="F6801" s="2"/>
      <c r="G6801" s="2"/>
      <c r="H6801" s="2"/>
    </row>
    <row r="6802" spans="1:8" x14ac:dyDescent="0.25">
      <c r="A6802" s="1"/>
      <c r="B6802" s="1" t="s">
        <v>4578</v>
      </c>
      <c r="C6802" s="1" t="s">
        <v>4579</v>
      </c>
      <c r="D6802" s="22" t="str">
        <f>HYPERLINK("https://rhld.insurance.arkansas.gov/NPILookup?Npi=1891778650","1891778650")</f>
        <v>1891778650</v>
      </c>
      <c r="E6802" s="1" t="s">
        <v>4606</v>
      </c>
      <c r="F6802" s="2"/>
      <c r="G6802" s="2"/>
      <c r="H6802" s="2"/>
    </row>
    <row r="6803" spans="1:8" x14ac:dyDescent="0.25">
      <c r="A6803" s="1"/>
      <c r="B6803" s="1" t="s">
        <v>4578</v>
      </c>
      <c r="C6803" s="1" t="s">
        <v>4579</v>
      </c>
      <c r="D6803" s="22" t="str">
        <f>HYPERLINK("https://rhld.insurance.arkansas.gov/NPILookup?Npi=1912901570","1912901570")</f>
        <v>1912901570</v>
      </c>
      <c r="E6803" s="1" t="s">
        <v>4607</v>
      </c>
      <c r="F6803" s="2"/>
      <c r="G6803" s="2"/>
      <c r="H6803" s="2"/>
    </row>
    <row r="6804" spans="1:8" x14ac:dyDescent="0.25">
      <c r="A6804" s="1"/>
      <c r="B6804" s="1" t="s">
        <v>4578</v>
      </c>
      <c r="C6804" s="1" t="s">
        <v>4579</v>
      </c>
      <c r="D6804" s="22" t="str">
        <f>HYPERLINK("https://rhld.insurance.arkansas.gov/NPILookup?Npi=1912901992","1912901992")</f>
        <v>1912901992</v>
      </c>
      <c r="E6804" s="1" t="s">
        <v>18214</v>
      </c>
      <c r="F6804" s="2"/>
      <c r="G6804" s="2"/>
      <c r="H6804" s="2"/>
    </row>
    <row r="6805" spans="1:8" x14ac:dyDescent="0.25">
      <c r="A6805" s="1"/>
      <c r="B6805" s="1" t="s">
        <v>4578</v>
      </c>
      <c r="C6805" s="1" t="s">
        <v>4579</v>
      </c>
      <c r="D6805" s="22" t="str">
        <f>HYPERLINK("https://rhld.insurance.arkansas.gov/NPILookup?Npi=1912973306","1912973306")</f>
        <v>1912973306</v>
      </c>
      <c r="E6805" s="1" t="s">
        <v>18215</v>
      </c>
      <c r="F6805" s="2"/>
      <c r="G6805" s="2"/>
      <c r="H6805" s="2"/>
    </row>
    <row r="6806" spans="1:8" x14ac:dyDescent="0.25">
      <c r="A6806" s="1"/>
      <c r="B6806" s="1" t="s">
        <v>4578</v>
      </c>
      <c r="C6806" s="1" t="s">
        <v>4579</v>
      </c>
      <c r="D6806" s="22" t="str">
        <f>HYPERLINK("https://rhld.insurance.arkansas.gov/NPILookup?Npi=1922216084","1922216084")</f>
        <v>1922216084</v>
      </c>
      <c r="E6806" s="1" t="s">
        <v>4608</v>
      </c>
      <c r="F6806" s="2"/>
      <c r="G6806" s="2"/>
      <c r="H6806" s="2"/>
    </row>
    <row r="6807" spans="1:8" x14ac:dyDescent="0.25">
      <c r="A6807" s="1"/>
      <c r="B6807" s="1" t="s">
        <v>4578</v>
      </c>
      <c r="C6807" s="1" t="s">
        <v>4579</v>
      </c>
      <c r="D6807" s="22" t="str">
        <f>HYPERLINK("https://rhld.insurance.arkansas.gov/NPILookup?Npi=1922323443","1922323443")</f>
        <v>1922323443</v>
      </c>
      <c r="E6807" s="1" t="s">
        <v>18216</v>
      </c>
      <c r="F6807" s="2"/>
      <c r="G6807" s="2"/>
      <c r="H6807" s="2"/>
    </row>
    <row r="6808" spans="1:8" x14ac:dyDescent="0.25">
      <c r="A6808" s="1"/>
      <c r="B6808" s="1" t="s">
        <v>4578</v>
      </c>
      <c r="C6808" s="1" t="s">
        <v>4579</v>
      </c>
      <c r="D6808" s="22" t="str">
        <f>HYPERLINK("https://rhld.insurance.arkansas.gov/NPILookup?Npi=1942268909","1942268909")</f>
        <v>1942268909</v>
      </c>
      <c r="E6808" s="1" t="s">
        <v>18217</v>
      </c>
      <c r="F6808" s="2"/>
      <c r="G6808" s="2"/>
      <c r="H6808" s="2"/>
    </row>
    <row r="6809" spans="1:8" x14ac:dyDescent="0.25">
      <c r="A6809" s="1"/>
      <c r="B6809" s="1" t="s">
        <v>4578</v>
      </c>
      <c r="C6809" s="1" t="s">
        <v>4579</v>
      </c>
      <c r="D6809" s="22" t="str">
        <f>HYPERLINK("https://rhld.insurance.arkansas.gov/NPILookup?Npi=1962485664","1962485664")</f>
        <v>1962485664</v>
      </c>
      <c r="E6809" s="1" t="s">
        <v>18218</v>
      </c>
      <c r="F6809" s="2"/>
      <c r="G6809" s="2"/>
      <c r="H6809" s="2"/>
    </row>
    <row r="6810" spans="1:8" x14ac:dyDescent="0.25">
      <c r="A6810" s="1"/>
      <c r="B6810" s="1" t="s">
        <v>4578</v>
      </c>
      <c r="C6810" s="1" t="s">
        <v>4579</v>
      </c>
      <c r="D6810" s="22" t="str">
        <f>HYPERLINK("https://rhld.insurance.arkansas.gov/NPILookup?Npi=1962490458","1962490458")</f>
        <v>1962490458</v>
      </c>
      <c r="E6810" s="1" t="s">
        <v>18219</v>
      </c>
      <c r="F6810" s="2"/>
      <c r="G6810" s="2"/>
      <c r="H6810" s="2"/>
    </row>
    <row r="6811" spans="1:8" x14ac:dyDescent="0.25">
      <c r="A6811" s="1"/>
      <c r="B6811" s="1" t="s">
        <v>4578</v>
      </c>
      <c r="C6811" s="1" t="s">
        <v>4579</v>
      </c>
      <c r="D6811" s="22" t="str">
        <f>HYPERLINK("https://rhld.insurance.arkansas.gov/NPILookup?Npi=1982660015","1982660015")</f>
        <v>1982660015</v>
      </c>
      <c r="E6811" s="1" t="s">
        <v>31489</v>
      </c>
      <c r="F6811" s="2"/>
      <c r="G6811" s="2"/>
      <c r="H6811" s="2"/>
    </row>
    <row r="6812" spans="1:8" x14ac:dyDescent="0.25">
      <c r="A6812" s="1"/>
      <c r="B6812" s="1" t="s">
        <v>4578</v>
      </c>
      <c r="C6812" s="1" t="s">
        <v>4579</v>
      </c>
      <c r="D6812" s="22" t="str">
        <f>HYPERLINK("https://rhld.insurance.arkansas.gov/NPILookup?Npi=1982743977","1982743977")</f>
        <v>1982743977</v>
      </c>
      <c r="E6812" s="1" t="s">
        <v>18220</v>
      </c>
      <c r="F6812" s="2"/>
      <c r="G6812" s="2"/>
      <c r="H6812" s="2"/>
    </row>
    <row r="6813" spans="1:8" x14ac:dyDescent="0.25">
      <c r="A6813" s="1"/>
      <c r="B6813" s="1" t="s">
        <v>4578</v>
      </c>
      <c r="C6813" s="1" t="s">
        <v>4579</v>
      </c>
      <c r="D6813" s="22" t="str">
        <f>HYPERLINK("https://rhld.insurance.arkansas.gov/NPILookup?Npi=1992743066","1992743066")</f>
        <v>1992743066</v>
      </c>
      <c r="E6813" s="1" t="s">
        <v>18034</v>
      </c>
      <c r="F6813" s="2"/>
      <c r="G6813" s="2"/>
      <c r="H6813" s="2"/>
    </row>
    <row r="6814" spans="1:8" x14ac:dyDescent="0.25">
      <c r="A6814" s="1"/>
      <c r="B6814" s="1" t="s">
        <v>4578</v>
      </c>
      <c r="C6814" s="1" t="s">
        <v>4579</v>
      </c>
      <c r="D6814" s="22" t="str">
        <f>HYPERLINK("https://rhld.insurance.arkansas.gov/NPILookup?Npi=1992771174","1992771174")</f>
        <v>1992771174</v>
      </c>
      <c r="E6814" s="1" t="s">
        <v>18221</v>
      </c>
      <c r="F6814" s="2"/>
      <c r="G6814" s="2"/>
      <c r="H6814" s="2"/>
    </row>
    <row r="6815" spans="1:8" x14ac:dyDescent="0.25">
      <c r="A6815" s="1"/>
      <c r="B6815" s="1" t="s">
        <v>4578</v>
      </c>
      <c r="C6815" s="1" t="s">
        <v>4579</v>
      </c>
      <c r="D6815" s="22" t="str">
        <f>HYPERLINK("https://rhld.insurance.arkansas.gov/NPILookup?Npi=1992895486","1992895486")</f>
        <v>1992895486</v>
      </c>
      <c r="E6815" s="1" t="s">
        <v>18222</v>
      </c>
      <c r="F6815" s="2"/>
      <c r="G6815" s="2"/>
      <c r="H6815" s="2"/>
    </row>
    <row r="6816" spans="1:8" x14ac:dyDescent="0.25">
      <c r="A6816" s="1"/>
      <c r="B6816" s="1" t="s">
        <v>4609</v>
      </c>
      <c r="C6816" s="1" t="s">
        <v>4610</v>
      </c>
      <c r="D6816" s="22" t="str">
        <f>HYPERLINK("https://rhld.insurance.arkansas.gov/NPILookup?Npi=1003293622","1003293622")</f>
        <v>1003293622</v>
      </c>
      <c r="E6816" s="1" t="s">
        <v>4611</v>
      </c>
      <c r="F6816" s="2"/>
      <c r="G6816" s="2"/>
      <c r="H6816" s="2"/>
    </row>
    <row r="6817" spans="1:8" x14ac:dyDescent="0.25">
      <c r="A6817" s="1"/>
      <c r="B6817" s="1" t="s">
        <v>4609</v>
      </c>
      <c r="C6817" s="1" t="s">
        <v>4610</v>
      </c>
      <c r="D6817" s="22" t="str">
        <f>HYPERLINK("https://rhld.insurance.arkansas.gov/NPILookup?Npi=1013170596","1013170596")</f>
        <v>1013170596</v>
      </c>
      <c r="E6817" s="1" t="s">
        <v>4612</v>
      </c>
      <c r="F6817" s="2"/>
      <c r="G6817" s="2"/>
      <c r="H6817" s="2"/>
    </row>
    <row r="6818" spans="1:8" x14ac:dyDescent="0.25">
      <c r="A6818" s="1"/>
      <c r="B6818" s="1" t="s">
        <v>4609</v>
      </c>
      <c r="C6818" s="1" t="s">
        <v>4610</v>
      </c>
      <c r="D6818" s="22" t="str">
        <f>HYPERLINK("https://rhld.insurance.arkansas.gov/NPILookup?Npi=1013250554","1013250554")</f>
        <v>1013250554</v>
      </c>
      <c r="E6818" s="1" t="s">
        <v>18223</v>
      </c>
      <c r="F6818" s="2"/>
      <c r="G6818" s="2"/>
      <c r="H6818" s="2"/>
    </row>
    <row r="6819" spans="1:8" x14ac:dyDescent="0.25">
      <c r="A6819" s="1"/>
      <c r="B6819" s="1" t="s">
        <v>4609</v>
      </c>
      <c r="C6819" s="1" t="s">
        <v>4610</v>
      </c>
      <c r="D6819" s="22" t="str">
        <f>HYPERLINK("https://rhld.insurance.arkansas.gov/NPILookup?Npi=1013681154","1013681154")</f>
        <v>1013681154</v>
      </c>
      <c r="E6819" s="1" t="s">
        <v>10546</v>
      </c>
      <c r="F6819" s="2"/>
      <c r="G6819" s="2"/>
      <c r="H6819" s="2"/>
    </row>
    <row r="6820" spans="1:8" x14ac:dyDescent="0.25">
      <c r="A6820" s="1"/>
      <c r="B6820" s="1" t="s">
        <v>4609</v>
      </c>
      <c r="C6820" s="1" t="s">
        <v>4610</v>
      </c>
      <c r="D6820" s="22" t="str">
        <f>HYPERLINK("https://rhld.insurance.arkansas.gov/NPILookup?Npi=1023205002","1023205002")</f>
        <v>1023205002</v>
      </c>
      <c r="E6820" s="1" t="s">
        <v>10547</v>
      </c>
      <c r="F6820" s="2"/>
      <c r="G6820" s="2"/>
      <c r="H6820" s="2"/>
    </row>
    <row r="6821" spans="1:8" x14ac:dyDescent="0.25">
      <c r="A6821" s="1"/>
      <c r="B6821" s="1" t="s">
        <v>4609</v>
      </c>
      <c r="C6821" s="1" t="s">
        <v>4610</v>
      </c>
      <c r="D6821" s="22" t="str">
        <f>HYPERLINK("https://rhld.insurance.arkansas.gov/NPILookup?Npi=1033370499","1033370499")</f>
        <v>1033370499</v>
      </c>
      <c r="E6821" s="1" t="s">
        <v>18224</v>
      </c>
      <c r="F6821" s="2"/>
      <c r="G6821" s="2"/>
      <c r="H6821" s="2"/>
    </row>
    <row r="6822" spans="1:8" x14ac:dyDescent="0.25">
      <c r="A6822" s="1"/>
      <c r="B6822" s="1" t="s">
        <v>4609</v>
      </c>
      <c r="C6822" s="1" t="s">
        <v>4610</v>
      </c>
      <c r="D6822" s="22" t="str">
        <f>HYPERLINK("https://rhld.insurance.arkansas.gov/NPILookup?Npi=1043694490","1043694490")</f>
        <v>1043694490</v>
      </c>
      <c r="E6822" s="1" t="s">
        <v>10548</v>
      </c>
      <c r="F6822" s="2"/>
      <c r="G6822" s="2"/>
      <c r="H6822" s="2"/>
    </row>
    <row r="6823" spans="1:8" x14ac:dyDescent="0.25">
      <c r="A6823" s="1"/>
      <c r="B6823" s="1" t="s">
        <v>4609</v>
      </c>
      <c r="C6823" s="1" t="s">
        <v>4610</v>
      </c>
      <c r="D6823" s="22" t="str">
        <f>HYPERLINK("https://rhld.insurance.arkansas.gov/NPILookup?Npi=1053330175","1053330175")</f>
        <v>1053330175</v>
      </c>
      <c r="E6823" s="1" t="s">
        <v>10549</v>
      </c>
      <c r="F6823" s="2"/>
      <c r="G6823" s="2"/>
      <c r="H6823" s="2"/>
    </row>
    <row r="6824" spans="1:8" x14ac:dyDescent="0.25">
      <c r="A6824" s="1"/>
      <c r="B6824" s="1" t="s">
        <v>4609</v>
      </c>
      <c r="C6824" s="1" t="s">
        <v>4610</v>
      </c>
      <c r="D6824" s="22" t="str">
        <f>HYPERLINK("https://rhld.insurance.arkansas.gov/NPILookup?Npi=1053377101","1053377101")</f>
        <v>1053377101</v>
      </c>
      <c r="E6824" s="1" t="s">
        <v>18225</v>
      </c>
      <c r="F6824" s="2"/>
      <c r="G6824" s="2"/>
      <c r="H6824" s="2"/>
    </row>
    <row r="6825" spans="1:8" x14ac:dyDescent="0.25">
      <c r="A6825" s="1"/>
      <c r="B6825" s="1" t="s">
        <v>4609</v>
      </c>
      <c r="C6825" s="1" t="s">
        <v>4610</v>
      </c>
      <c r="D6825" s="22" t="str">
        <f>HYPERLINK("https://rhld.insurance.arkansas.gov/NPILookup?Npi=1053389353","1053389353")</f>
        <v>1053389353</v>
      </c>
      <c r="E6825" s="1" t="s">
        <v>10550</v>
      </c>
      <c r="F6825" s="2"/>
      <c r="G6825" s="2"/>
      <c r="H6825" s="2"/>
    </row>
    <row r="6826" spans="1:8" x14ac:dyDescent="0.25">
      <c r="A6826" s="1"/>
      <c r="B6826" s="1" t="s">
        <v>4609</v>
      </c>
      <c r="C6826" s="1" t="s">
        <v>4610</v>
      </c>
      <c r="D6826" s="22" t="str">
        <f>HYPERLINK("https://rhld.insurance.arkansas.gov/NPILookup?Npi=1053514141","1053514141")</f>
        <v>1053514141</v>
      </c>
      <c r="E6826" s="1" t="s">
        <v>4613</v>
      </c>
      <c r="F6826" s="2"/>
      <c r="G6826" s="2"/>
      <c r="H6826" s="2"/>
    </row>
    <row r="6827" spans="1:8" x14ac:dyDescent="0.25">
      <c r="A6827" s="1"/>
      <c r="B6827" s="1" t="s">
        <v>4609</v>
      </c>
      <c r="C6827" s="1" t="s">
        <v>4610</v>
      </c>
      <c r="D6827" s="22" t="str">
        <f>HYPERLINK("https://rhld.insurance.arkansas.gov/NPILookup?Npi=1053612069","1053612069")</f>
        <v>1053612069</v>
      </c>
      <c r="E6827" s="1" t="s">
        <v>18226</v>
      </c>
      <c r="F6827" s="2"/>
      <c r="G6827" s="2"/>
      <c r="H6827" s="2"/>
    </row>
    <row r="6828" spans="1:8" x14ac:dyDescent="0.25">
      <c r="A6828" s="1"/>
      <c r="B6828" s="1" t="s">
        <v>4609</v>
      </c>
      <c r="C6828" s="1" t="s">
        <v>4610</v>
      </c>
      <c r="D6828" s="22" t="str">
        <f>HYPERLINK("https://rhld.insurance.arkansas.gov/NPILookup?Npi=1063473494","1063473494")</f>
        <v>1063473494</v>
      </c>
      <c r="E6828" s="1" t="s">
        <v>18227</v>
      </c>
      <c r="F6828" s="2"/>
      <c r="G6828" s="2"/>
      <c r="H6828" s="2"/>
    </row>
    <row r="6829" spans="1:8" x14ac:dyDescent="0.25">
      <c r="A6829" s="1"/>
      <c r="B6829" s="1" t="s">
        <v>4609</v>
      </c>
      <c r="C6829" s="1" t="s">
        <v>4610</v>
      </c>
      <c r="D6829" s="22" t="str">
        <f>HYPERLINK("https://rhld.insurance.arkansas.gov/NPILookup?Npi=1063497642","1063497642")</f>
        <v>1063497642</v>
      </c>
      <c r="E6829" s="1" t="s">
        <v>4614</v>
      </c>
      <c r="F6829" s="2"/>
      <c r="G6829" s="2"/>
      <c r="H6829" s="2"/>
    </row>
    <row r="6830" spans="1:8" x14ac:dyDescent="0.25">
      <c r="A6830" s="1"/>
      <c r="B6830" s="1" t="s">
        <v>4609</v>
      </c>
      <c r="C6830" s="1" t="s">
        <v>4610</v>
      </c>
      <c r="D6830" s="22" t="str">
        <f>HYPERLINK("https://rhld.insurance.arkansas.gov/NPILookup?Npi=1073063913","1073063913")</f>
        <v>1073063913</v>
      </c>
      <c r="E6830" s="1" t="s">
        <v>4615</v>
      </c>
      <c r="F6830" s="2"/>
      <c r="G6830" s="2"/>
      <c r="H6830" s="2"/>
    </row>
    <row r="6831" spans="1:8" x14ac:dyDescent="0.25">
      <c r="A6831" s="1"/>
      <c r="B6831" s="1" t="s">
        <v>4609</v>
      </c>
      <c r="C6831" s="1" t="s">
        <v>4610</v>
      </c>
      <c r="D6831" s="22" t="str">
        <f>HYPERLINK("https://rhld.insurance.arkansas.gov/NPILookup?Npi=1083140164","1083140164")</f>
        <v>1083140164</v>
      </c>
      <c r="E6831" s="1" t="s">
        <v>4616</v>
      </c>
      <c r="F6831" s="2"/>
      <c r="G6831" s="2"/>
      <c r="H6831" s="2"/>
    </row>
    <row r="6832" spans="1:8" x14ac:dyDescent="0.25">
      <c r="A6832" s="1"/>
      <c r="B6832" s="1" t="s">
        <v>4609</v>
      </c>
      <c r="C6832" s="1" t="s">
        <v>4610</v>
      </c>
      <c r="D6832" s="22" t="str">
        <f>HYPERLINK("https://rhld.insurance.arkansas.gov/NPILookup?Npi=1083695704","1083695704")</f>
        <v>1083695704</v>
      </c>
      <c r="E6832" s="1" t="s">
        <v>10551</v>
      </c>
      <c r="F6832" s="2"/>
      <c r="G6832" s="2"/>
      <c r="H6832" s="2"/>
    </row>
    <row r="6833" spans="1:8" x14ac:dyDescent="0.25">
      <c r="A6833" s="1"/>
      <c r="B6833" s="1" t="s">
        <v>4609</v>
      </c>
      <c r="C6833" s="1" t="s">
        <v>4610</v>
      </c>
      <c r="D6833" s="22" t="str">
        <f>HYPERLINK("https://rhld.insurance.arkansas.gov/NPILookup?Npi=1083931364","1083931364")</f>
        <v>1083931364</v>
      </c>
      <c r="E6833" s="1" t="s">
        <v>18228</v>
      </c>
      <c r="F6833" s="2"/>
      <c r="G6833" s="2"/>
      <c r="H6833" s="2"/>
    </row>
    <row r="6834" spans="1:8" x14ac:dyDescent="0.25">
      <c r="A6834" s="1"/>
      <c r="B6834" s="1" t="s">
        <v>4609</v>
      </c>
      <c r="C6834" s="1" t="s">
        <v>4610</v>
      </c>
      <c r="D6834" s="22" t="str">
        <f>HYPERLINK("https://rhld.insurance.arkansas.gov/NPILookup?Npi=1093772923","1093772923")</f>
        <v>1093772923</v>
      </c>
      <c r="E6834" s="1" t="s">
        <v>4617</v>
      </c>
      <c r="F6834" s="2"/>
      <c r="G6834" s="2"/>
      <c r="H6834" s="2"/>
    </row>
    <row r="6835" spans="1:8" x14ac:dyDescent="0.25">
      <c r="A6835" s="1"/>
      <c r="B6835" s="1" t="s">
        <v>4609</v>
      </c>
      <c r="C6835" s="1" t="s">
        <v>4610</v>
      </c>
      <c r="D6835" s="22" t="str">
        <f>HYPERLINK("https://rhld.insurance.arkansas.gov/NPILookup?Npi=1104201532","1104201532")</f>
        <v>1104201532</v>
      </c>
      <c r="E6835" s="1" t="s">
        <v>4618</v>
      </c>
      <c r="F6835" s="2"/>
      <c r="G6835" s="2"/>
      <c r="H6835" s="2"/>
    </row>
    <row r="6836" spans="1:8" x14ac:dyDescent="0.25">
      <c r="A6836" s="1"/>
      <c r="B6836" s="1" t="s">
        <v>4609</v>
      </c>
      <c r="C6836" s="1" t="s">
        <v>4610</v>
      </c>
      <c r="D6836" s="22" t="str">
        <f>HYPERLINK("https://rhld.insurance.arkansas.gov/NPILookup?Npi=1104888254","1104888254")</f>
        <v>1104888254</v>
      </c>
      <c r="E6836" s="1" t="s">
        <v>4619</v>
      </c>
      <c r="F6836" s="2"/>
      <c r="G6836" s="2"/>
      <c r="H6836" s="2"/>
    </row>
    <row r="6837" spans="1:8" x14ac:dyDescent="0.25">
      <c r="A6837" s="1"/>
      <c r="B6837" s="1" t="s">
        <v>4609</v>
      </c>
      <c r="C6837" s="1" t="s">
        <v>4610</v>
      </c>
      <c r="D6837" s="22" t="str">
        <f>HYPERLINK("https://rhld.insurance.arkansas.gov/NPILookup?Npi=1114028701","1114028701")</f>
        <v>1114028701</v>
      </c>
      <c r="E6837" s="1" t="s">
        <v>18229</v>
      </c>
      <c r="F6837" s="2"/>
      <c r="G6837" s="2"/>
      <c r="H6837" s="2"/>
    </row>
    <row r="6838" spans="1:8" x14ac:dyDescent="0.25">
      <c r="A6838" s="1"/>
      <c r="B6838" s="1" t="s">
        <v>4609</v>
      </c>
      <c r="C6838" s="1" t="s">
        <v>4610</v>
      </c>
      <c r="D6838" s="22" t="str">
        <f>HYPERLINK("https://rhld.insurance.arkansas.gov/NPILookup?Npi=1114034345","1114034345")</f>
        <v>1114034345</v>
      </c>
      <c r="E6838" s="1" t="s">
        <v>10552</v>
      </c>
      <c r="F6838" s="2"/>
      <c r="G6838" s="2"/>
      <c r="H6838" s="2"/>
    </row>
    <row r="6839" spans="1:8" x14ac:dyDescent="0.25">
      <c r="A6839" s="1"/>
      <c r="B6839" s="1" t="s">
        <v>4609</v>
      </c>
      <c r="C6839" s="1" t="s">
        <v>4610</v>
      </c>
      <c r="D6839" s="22" t="str">
        <f>HYPERLINK("https://rhld.insurance.arkansas.gov/NPILookup?Npi=1124025374","1124025374")</f>
        <v>1124025374</v>
      </c>
      <c r="E6839" s="1" t="s">
        <v>31490</v>
      </c>
      <c r="F6839" s="2"/>
      <c r="G6839" s="2"/>
      <c r="H6839" s="2"/>
    </row>
    <row r="6840" spans="1:8" x14ac:dyDescent="0.25">
      <c r="A6840" s="1"/>
      <c r="B6840" s="1" t="s">
        <v>4609</v>
      </c>
      <c r="C6840" s="1" t="s">
        <v>4610</v>
      </c>
      <c r="D6840" s="22" t="str">
        <f>HYPERLINK("https://rhld.insurance.arkansas.gov/NPILookup?Npi=1124113832","1124113832")</f>
        <v>1124113832</v>
      </c>
      <c r="E6840" s="1" t="s">
        <v>4620</v>
      </c>
      <c r="F6840" s="2"/>
      <c r="G6840" s="2"/>
      <c r="H6840" s="2"/>
    </row>
    <row r="6841" spans="1:8" x14ac:dyDescent="0.25">
      <c r="A6841" s="1"/>
      <c r="B6841" s="1" t="s">
        <v>4609</v>
      </c>
      <c r="C6841" s="1" t="s">
        <v>4610</v>
      </c>
      <c r="D6841" s="22" t="str">
        <f>HYPERLINK("https://rhld.insurance.arkansas.gov/NPILookup?Npi=1124221882","1124221882")</f>
        <v>1124221882</v>
      </c>
      <c r="E6841" s="1" t="s">
        <v>4621</v>
      </c>
      <c r="F6841" s="2"/>
      <c r="G6841" s="2"/>
      <c r="H6841" s="2"/>
    </row>
    <row r="6842" spans="1:8" x14ac:dyDescent="0.25">
      <c r="A6842" s="1"/>
      <c r="B6842" s="1" t="s">
        <v>4609</v>
      </c>
      <c r="C6842" s="1" t="s">
        <v>4610</v>
      </c>
      <c r="D6842" s="22" t="str">
        <f>HYPERLINK("https://rhld.insurance.arkansas.gov/NPILookup?Npi=1124252960","1124252960")</f>
        <v>1124252960</v>
      </c>
      <c r="E6842" s="1" t="s">
        <v>18230</v>
      </c>
      <c r="F6842" s="2"/>
      <c r="G6842" s="2"/>
      <c r="H6842" s="2"/>
    </row>
    <row r="6843" spans="1:8" x14ac:dyDescent="0.25">
      <c r="A6843" s="1"/>
      <c r="B6843" s="1" t="s">
        <v>4609</v>
      </c>
      <c r="C6843" s="1" t="s">
        <v>4610</v>
      </c>
      <c r="D6843" s="22" t="str">
        <f>HYPERLINK("https://rhld.insurance.arkansas.gov/NPILookup?Npi=1124398847","1124398847")</f>
        <v>1124398847</v>
      </c>
      <c r="E6843" s="1" t="s">
        <v>18231</v>
      </c>
      <c r="F6843" s="2"/>
      <c r="G6843" s="2"/>
      <c r="H6843" s="2"/>
    </row>
    <row r="6844" spans="1:8" x14ac:dyDescent="0.25">
      <c r="A6844" s="1"/>
      <c r="B6844" s="1" t="s">
        <v>4609</v>
      </c>
      <c r="C6844" s="1" t="s">
        <v>4610</v>
      </c>
      <c r="D6844" s="22" t="str">
        <f>HYPERLINK("https://rhld.insurance.arkansas.gov/NPILookup?Npi=1124415021","1124415021")</f>
        <v>1124415021</v>
      </c>
      <c r="E6844" s="1" t="s">
        <v>10553</v>
      </c>
      <c r="F6844" s="2"/>
      <c r="G6844" s="2"/>
      <c r="H6844" s="2"/>
    </row>
    <row r="6845" spans="1:8" x14ac:dyDescent="0.25">
      <c r="A6845" s="1"/>
      <c r="B6845" s="1" t="s">
        <v>4609</v>
      </c>
      <c r="C6845" s="1" t="s">
        <v>4610</v>
      </c>
      <c r="D6845" s="22" t="str">
        <f>HYPERLINK("https://rhld.insurance.arkansas.gov/NPILookup?Npi=1134123813","1134123813")</f>
        <v>1134123813</v>
      </c>
      <c r="E6845" s="1" t="s">
        <v>7084</v>
      </c>
      <c r="F6845" s="2"/>
      <c r="G6845" s="2"/>
      <c r="H6845" s="2"/>
    </row>
    <row r="6846" spans="1:8" x14ac:dyDescent="0.25">
      <c r="A6846" s="1"/>
      <c r="B6846" s="1" t="s">
        <v>4609</v>
      </c>
      <c r="C6846" s="1" t="s">
        <v>4610</v>
      </c>
      <c r="D6846" s="22" t="str">
        <f>HYPERLINK("https://rhld.insurance.arkansas.gov/NPILookup?Npi=1134273378","1134273378")</f>
        <v>1134273378</v>
      </c>
      <c r="E6846" s="1" t="s">
        <v>18233</v>
      </c>
      <c r="F6846" s="2"/>
      <c r="G6846" s="2"/>
      <c r="H6846" s="2"/>
    </row>
    <row r="6847" spans="1:8" x14ac:dyDescent="0.25">
      <c r="A6847" s="1"/>
      <c r="B6847" s="1" t="s">
        <v>4609</v>
      </c>
      <c r="C6847" s="1" t="s">
        <v>4610</v>
      </c>
      <c r="D6847" s="22" t="str">
        <f>HYPERLINK("https://rhld.insurance.arkansas.gov/NPILookup?Npi=1134342868","1134342868")</f>
        <v>1134342868</v>
      </c>
      <c r="E6847" s="1" t="s">
        <v>18234</v>
      </c>
      <c r="F6847" s="2"/>
      <c r="G6847" s="2"/>
      <c r="H6847" s="2"/>
    </row>
    <row r="6848" spans="1:8" x14ac:dyDescent="0.25">
      <c r="A6848" s="1"/>
      <c r="B6848" s="1" t="s">
        <v>4609</v>
      </c>
      <c r="C6848" s="1" t="s">
        <v>4610</v>
      </c>
      <c r="D6848" s="22" t="str">
        <f>HYPERLINK("https://rhld.insurance.arkansas.gov/NPILookup?Npi=1144215971","1144215971")</f>
        <v>1144215971</v>
      </c>
      <c r="E6848" s="1" t="s">
        <v>4622</v>
      </c>
      <c r="F6848" s="2"/>
      <c r="G6848" s="2"/>
      <c r="H6848" s="2"/>
    </row>
    <row r="6849" spans="1:8" x14ac:dyDescent="0.25">
      <c r="A6849" s="1"/>
      <c r="B6849" s="1" t="s">
        <v>4609</v>
      </c>
      <c r="C6849" s="1" t="s">
        <v>4610</v>
      </c>
      <c r="D6849" s="22" t="str">
        <f>HYPERLINK("https://rhld.insurance.arkansas.gov/NPILookup?Npi=1144245234","1144245234")</f>
        <v>1144245234</v>
      </c>
      <c r="E6849" s="1" t="s">
        <v>18235</v>
      </c>
      <c r="F6849" s="2"/>
      <c r="G6849" s="2"/>
      <c r="H6849" s="2"/>
    </row>
    <row r="6850" spans="1:8" x14ac:dyDescent="0.25">
      <c r="A6850" s="1"/>
      <c r="B6850" s="1" t="s">
        <v>4609</v>
      </c>
      <c r="C6850" s="1" t="s">
        <v>4610</v>
      </c>
      <c r="D6850" s="22" t="str">
        <f>HYPERLINK("https://rhld.insurance.arkansas.gov/NPILookup?Npi=1144398256","1144398256")</f>
        <v>1144398256</v>
      </c>
      <c r="E6850" s="1" t="s">
        <v>18236</v>
      </c>
      <c r="F6850" s="2"/>
      <c r="G6850" s="2"/>
      <c r="H6850" s="2"/>
    </row>
    <row r="6851" spans="1:8" x14ac:dyDescent="0.25">
      <c r="A6851" s="1"/>
      <c r="B6851" s="1" t="s">
        <v>4609</v>
      </c>
      <c r="C6851" s="1" t="s">
        <v>4610</v>
      </c>
      <c r="D6851" s="22" t="str">
        <f>HYPERLINK("https://rhld.insurance.arkansas.gov/NPILookup?Npi=1144617044","1144617044")</f>
        <v>1144617044</v>
      </c>
      <c r="E6851" s="1" t="s">
        <v>18237</v>
      </c>
      <c r="F6851" s="2"/>
      <c r="G6851" s="2"/>
      <c r="H6851" s="2"/>
    </row>
    <row r="6852" spans="1:8" x14ac:dyDescent="0.25">
      <c r="A6852" s="1"/>
      <c r="B6852" s="1" t="s">
        <v>4609</v>
      </c>
      <c r="C6852" s="1" t="s">
        <v>4610</v>
      </c>
      <c r="D6852" s="22" t="str">
        <f>HYPERLINK("https://rhld.insurance.arkansas.gov/NPILookup?Npi=1154309375","1154309375")</f>
        <v>1154309375</v>
      </c>
      <c r="E6852" s="1" t="s">
        <v>4623</v>
      </c>
      <c r="F6852" s="2"/>
      <c r="G6852" s="2"/>
      <c r="H6852" s="2"/>
    </row>
    <row r="6853" spans="1:8" x14ac:dyDescent="0.25">
      <c r="A6853" s="1"/>
      <c r="B6853" s="1" t="s">
        <v>4609</v>
      </c>
      <c r="C6853" s="1" t="s">
        <v>4610</v>
      </c>
      <c r="D6853" s="22" t="str">
        <f>HYPERLINK("https://rhld.insurance.arkansas.gov/NPILookup?Npi=1154490282","1154490282")</f>
        <v>1154490282</v>
      </c>
      <c r="E6853" s="1" t="s">
        <v>18239</v>
      </c>
      <c r="F6853" s="2"/>
      <c r="G6853" s="2"/>
      <c r="H6853" s="2"/>
    </row>
    <row r="6854" spans="1:8" x14ac:dyDescent="0.25">
      <c r="A6854" s="1"/>
      <c r="B6854" s="1" t="s">
        <v>4609</v>
      </c>
      <c r="C6854" s="1" t="s">
        <v>4610</v>
      </c>
      <c r="D6854" s="22" t="str">
        <f>HYPERLINK("https://rhld.insurance.arkansas.gov/NPILookup?Npi=1154611457","1154611457")</f>
        <v>1154611457</v>
      </c>
      <c r="E6854" s="1" t="s">
        <v>10554</v>
      </c>
      <c r="F6854" s="2"/>
      <c r="G6854" s="2"/>
      <c r="H6854" s="2"/>
    </row>
    <row r="6855" spans="1:8" x14ac:dyDescent="0.25">
      <c r="A6855" s="1"/>
      <c r="B6855" s="1" t="s">
        <v>4609</v>
      </c>
      <c r="C6855" s="1" t="s">
        <v>4610</v>
      </c>
      <c r="D6855" s="22" t="str">
        <f>HYPERLINK("https://rhld.insurance.arkansas.gov/NPILookup?Npi=1164424644","1164424644")</f>
        <v>1164424644</v>
      </c>
      <c r="E6855" s="1" t="s">
        <v>18240</v>
      </c>
      <c r="F6855" s="2"/>
      <c r="G6855" s="2"/>
      <c r="H6855" s="2"/>
    </row>
    <row r="6856" spans="1:8" x14ac:dyDescent="0.25">
      <c r="A6856" s="1"/>
      <c r="B6856" s="1" t="s">
        <v>4609</v>
      </c>
      <c r="C6856" s="1" t="s">
        <v>4610</v>
      </c>
      <c r="D6856" s="22" t="str">
        <f>HYPERLINK("https://rhld.insurance.arkansas.gov/NPILookup?Npi=1164757852","1164757852")</f>
        <v>1164757852</v>
      </c>
      <c r="E6856" s="1" t="s">
        <v>4624</v>
      </c>
      <c r="F6856" s="2"/>
      <c r="G6856" s="2"/>
      <c r="H6856" s="2"/>
    </row>
    <row r="6857" spans="1:8" x14ac:dyDescent="0.25">
      <c r="A6857" s="1"/>
      <c r="B6857" s="1" t="s">
        <v>4609</v>
      </c>
      <c r="C6857" s="1" t="s">
        <v>4610</v>
      </c>
      <c r="D6857" s="22" t="str">
        <f>HYPERLINK("https://rhld.insurance.arkansas.gov/NPILookup?Npi=1164954814","1164954814")</f>
        <v>1164954814</v>
      </c>
      <c r="E6857" s="1" t="s">
        <v>4625</v>
      </c>
      <c r="F6857" s="2"/>
      <c r="G6857" s="2"/>
      <c r="H6857" s="2"/>
    </row>
    <row r="6858" spans="1:8" x14ac:dyDescent="0.25">
      <c r="A6858" s="1"/>
      <c r="B6858" s="1" t="s">
        <v>4609</v>
      </c>
      <c r="C6858" s="1" t="s">
        <v>4610</v>
      </c>
      <c r="D6858" s="22" t="str">
        <f>HYPERLINK("https://rhld.insurance.arkansas.gov/NPILookup?Npi=1174518336","1174518336")</f>
        <v>1174518336</v>
      </c>
      <c r="E6858" s="1" t="s">
        <v>4626</v>
      </c>
      <c r="F6858" s="2"/>
      <c r="G6858" s="2"/>
      <c r="H6858" s="2"/>
    </row>
    <row r="6859" spans="1:8" x14ac:dyDescent="0.25">
      <c r="A6859" s="1"/>
      <c r="B6859" s="1" t="s">
        <v>4609</v>
      </c>
      <c r="C6859" s="1" t="s">
        <v>4610</v>
      </c>
      <c r="D6859" s="22" t="str">
        <f>HYPERLINK("https://rhld.insurance.arkansas.gov/NPILookup?Npi=1174518906","1174518906")</f>
        <v>1174518906</v>
      </c>
      <c r="E6859" s="1" t="s">
        <v>18241</v>
      </c>
      <c r="F6859" s="2"/>
      <c r="G6859" s="2"/>
      <c r="H6859" s="2"/>
    </row>
    <row r="6860" spans="1:8" x14ac:dyDescent="0.25">
      <c r="A6860" s="1"/>
      <c r="B6860" s="1" t="s">
        <v>4609</v>
      </c>
      <c r="C6860" s="1" t="s">
        <v>4610</v>
      </c>
      <c r="D6860" s="22" t="str">
        <f>HYPERLINK("https://rhld.insurance.arkansas.gov/NPILookup?Npi=1174531255","1174531255")</f>
        <v>1174531255</v>
      </c>
      <c r="E6860" s="1" t="s">
        <v>10555</v>
      </c>
      <c r="F6860" s="2"/>
      <c r="G6860" s="2"/>
      <c r="H6860" s="2"/>
    </row>
    <row r="6861" spans="1:8" x14ac:dyDescent="0.25">
      <c r="A6861" s="1"/>
      <c r="B6861" s="1" t="s">
        <v>4609</v>
      </c>
      <c r="C6861" s="1" t="s">
        <v>4610</v>
      </c>
      <c r="D6861" s="22" t="str">
        <f>HYPERLINK("https://rhld.insurance.arkansas.gov/NPILookup?Npi=1174546386","1174546386")</f>
        <v>1174546386</v>
      </c>
      <c r="E6861" s="1" t="s">
        <v>18242</v>
      </c>
      <c r="F6861" s="2"/>
      <c r="G6861" s="2"/>
      <c r="H6861" s="2"/>
    </row>
    <row r="6862" spans="1:8" x14ac:dyDescent="0.25">
      <c r="A6862" s="1"/>
      <c r="B6862" s="1" t="s">
        <v>4609</v>
      </c>
      <c r="C6862" s="1" t="s">
        <v>4610</v>
      </c>
      <c r="D6862" s="22" t="str">
        <f>HYPERLINK("https://rhld.insurance.arkansas.gov/NPILookup?Npi=1174585814","1174585814")</f>
        <v>1174585814</v>
      </c>
      <c r="E6862" s="1" t="s">
        <v>4627</v>
      </c>
      <c r="F6862" s="2"/>
      <c r="G6862" s="2"/>
      <c r="H6862" s="2"/>
    </row>
    <row r="6863" spans="1:8" x14ac:dyDescent="0.25">
      <c r="A6863" s="1"/>
      <c r="B6863" s="1" t="s">
        <v>4609</v>
      </c>
      <c r="C6863" s="1" t="s">
        <v>4610</v>
      </c>
      <c r="D6863" s="22" t="str">
        <f>HYPERLINK("https://rhld.insurance.arkansas.gov/NPILookup?Npi=1174610018","1174610018")</f>
        <v>1174610018</v>
      </c>
      <c r="E6863" s="1" t="s">
        <v>4628</v>
      </c>
      <c r="F6863" s="2"/>
      <c r="G6863" s="2"/>
      <c r="H6863" s="2"/>
    </row>
    <row r="6864" spans="1:8" x14ac:dyDescent="0.25">
      <c r="A6864" s="1"/>
      <c r="B6864" s="1" t="s">
        <v>4609</v>
      </c>
      <c r="C6864" s="1" t="s">
        <v>4610</v>
      </c>
      <c r="D6864" s="22" t="str">
        <f>HYPERLINK("https://rhld.insurance.arkansas.gov/NPILookup?Npi=1174707897","1174707897")</f>
        <v>1174707897</v>
      </c>
      <c r="E6864" s="1" t="s">
        <v>3651</v>
      </c>
      <c r="F6864" s="2"/>
      <c r="G6864" s="2"/>
      <c r="H6864" s="2"/>
    </row>
    <row r="6865" spans="1:8" x14ac:dyDescent="0.25">
      <c r="A6865" s="1"/>
      <c r="B6865" s="1" t="s">
        <v>4609</v>
      </c>
      <c r="C6865" s="1" t="s">
        <v>4610</v>
      </c>
      <c r="D6865" s="22" t="str">
        <f>HYPERLINK("https://rhld.insurance.arkansas.gov/NPILookup?Npi=1174887673","1174887673")</f>
        <v>1174887673</v>
      </c>
      <c r="E6865" s="1" t="s">
        <v>18243</v>
      </c>
      <c r="F6865" s="2"/>
      <c r="G6865" s="2"/>
      <c r="H6865" s="2"/>
    </row>
    <row r="6866" spans="1:8" x14ac:dyDescent="0.25">
      <c r="A6866" s="1"/>
      <c r="B6866" s="1" t="s">
        <v>4609</v>
      </c>
      <c r="C6866" s="1" t="s">
        <v>4610</v>
      </c>
      <c r="D6866" s="22" t="str">
        <f>HYPERLINK("https://rhld.insurance.arkansas.gov/NPILookup?Npi=1194992271","1194992271")</f>
        <v>1194992271</v>
      </c>
      <c r="E6866" s="1" t="s">
        <v>4629</v>
      </c>
      <c r="F6866" s="2"/>
      <c r="G6866" s="2"/>
      <c r="H6866" s="2"/>
    </row>
    <row r="6867" spans="1:8" x14ac:dyDescent="0.25">
      <c r="A6867" s="1"/>
      <c r="B6867" s="1" t="s">
        <v>4609</v>
      </c>
      <c r="C6867" s="1" t="s">
        <v>4610</v>
      </c>
      <c r="D6867" s="22" t="str">
        <f>HYPERLINK("https://rhld.insurance.arkansas.gov/NPILookup?Npi=1205822616","1205822616")</f>
        <v>1205822616</v>
      </c>
      <c r="E6867" s="1" t="s">
        <v>10556</v>
      </c>
      <c r="F6867" s="2"/>
      <c r="G6867" s="2"/>
      <c r="H6867" s="2"/>
    </row>
    <row r="6868" spans="1:8" x14ac:dyDescent="0.25">
      <c r="A6868" s="1"/>
      <c r="B6868" s="1" t="s">
        <v>4609</v>
      </c>
      <c r="C6868" s="1" t="s">
        <v>4610</v>
      </c>
      <c r="D6868" s="22" t="str">
        <f>HYPERLINK("https://rhld.insurance.arkansas.gov/NPILookup?Npi=1205830080","1205830080")</f>
        <v>1205830080</v>
      </c>
      <c r="E6868" s="1" t="s">
        <v>10557</v>
      </c>
      <c r="F6868" s="2"/>
      <c r="G6868" s="2"/>
      <c r="H6868" s="2"/>
    </row>
    <row r="6869" spans="1:8" x14ac:dyDescent="0.25">
      <c r="A6869" s="1"/>
      <c r="B6869" s="1" t="s">
        <v>4609</v>
      </c>
      <c r="C6869" s="1" t="s">
        <v>4610</v>
      </c>
      <c r="D6869" s="22" t="str">
        <f>HYPERLINK("https://rhld.insurance.arkansas.gov/NPILookup?Npi=1205850682","1205850682")</f>
        <v>1205850682</v>
      </c>
      <c r="E6869" s="1" t="s">
        <v>10558</v>
      </c>
      <c r="F6869" s="2"/>
      <c r="G6869" s="2"/>
      <c r="H6869" s="2"/>
    </row>
    <row r="6870" spans="1:8" x14ac:dyDescent="0.25">
      <c r="A6870" s="1"/>
      <c r="B6870" s="1" t="s">
        <v>4609</v>
      </c>
      <c r="C6870" s="1" t="s">
        <v>4610</v>
      </c>
      <c r="D6870" s="22" t="str">
        <f>HYPERLINK("https://rhld.insurance.arkansas.gov/NPILookup?Npi=1215939897","1215939897")</f>
        <v>1215939897</v>
      </c>
      <c r="E6870" s="1" t="s">
        <v>4630</v>
      </c>
      <c r="F6870" s="2"/>
      <c r="G6870" s="2"/>
      <c r="H6870" s="2"/>
    </row>
    <row r="6871" spans="1:8" x14ac:dyDescent="0.25">
      <c r="A6871" s="1"/>
      <c r="B6871" s="1" t="s">
        <v>4609</v>
      </c>
      <c r="C6871" s="1" t="s">
        <v>4610</v>
      </c>
      <c r="D6871" s="22" t="str">
        <f>HYPERLINK("https://rhld.insurance.arkansas.gov/NPILookup?Npi=1215970561","1215970561")</f>
        <v>1215970561</v>
      </c>
      <c r="E6871" s="1" t="s">
        <v>4631</v>
      </c>
      <c r="F6871" s="2"/>
      <c r="G6871" s="2"/>
      <c r="H6871" s="2"/>
    </row>
    <row r="6872" spans="1:8" x14ac:dyDescent="0.25">
      <c r="A6872" s="1"/>
      <c r="B6872" s="1" t="s">
        <v>4609</v>
      </c>
      <c r="C6872" s="1" t="s">
        <v>4610</v>
      </c>
      <c r="D6872" s="22" t="str">
        <f>HYPERLINK("https://rhld.insurance.arkansas.gov/NPILookup?Npi=1215975339","1215975339")</f>
        <v>1215975339</v>
      </c>
      <c r="E6872" s="1" t="s">
        <v>10559</v>
      </c>
      <c r="F6872" s="2"/>
      <c r="G6872" s="2"/>
      <c r="H6872" s="2"/>
    </row>
    <row r="6873" spans="1:8" x14ac:dyDescent="0.25">
      <c r="A6873" s="1"/>
      <c r="B6873" s="1" t="s">
        <v>4609</v>
      </c>
      <c r="C6873" s="1" t="s">
        <v>4610</v>
      </c>
      <c r="D6873" s="22" t="str">
        <f>HYPERLINK("https://rhld.insurance.arkansas.gov/NPILookup?Npi=1225089477","1225089477")</f>
        <v>1225089477</v>
      </c>
      <c r="E6873" s="1" t="s">
        <v>18244</v>
      </c>
      <c r="F6873" s="2"/>
      <c r="G6873" s="2"/>
      <c r="H6873" s="2"/>
    </row>
    <row r="6874" spans="1:8" x14ac:dyDescent="0.25">
      <c r="A6874" s="1"/>
      <c r="B6874" s="1" t="s">
        <v>4609</v>
      </c>
      <c r="C6874" s="1" t="s">
        <v>4610</v>
      </c>
      <c r="D6874" s="22" t="str">
        <f>HYPERLINK("https://rhld.insurance.arkansas.gov/NPILookup?Npi=1225230196","1225230196")</f>
        <v>1225230196</v>
      </c>
      <c r="E6874" s="1" t="s">
        <v>4632</v>
      </c>
      <c r="F6874" s="2"/>
      <c r="G6874" s="2"/>
      <c r="H6874" s="2"/>
    </row>
    <row r="6875" spans="1:8" x14ac:dyDescent="0.25">
      <c r="A6875" s="1"/>
      <c r="B6875" s="1" t="s">
        <v>4609</v>
      </c>
      <c r="C6875" s="1" t="s">
        <v>4610</v>
      </c>
      <c r="D6875" s="22" t="str">
        <f>HYPERLINK("https://rhld.insurance.arkansas.gov/NPILookup?Npi=1225492531","1225492531")</f>
        <v>1225492531</v>
      </c>
      <c r="E6875" s="1" t="s">
        <v>17326</v>
      </c>
      <c r="F6875" s="2"/>
      <c r="G6875" s="2"/>
      <c r="H6875" s="2"/>
    </row>
    <row r="6876" spans="1:8" x14ac:dyDescent="0.25">
      <c r="A6876" s="1"/>
      <c r="B6876" s="1" t="s">
        <v>4609</v>
      </c>
      <c r="C6876" s="1" t="s">
        <v>4610</v>
      </c>
      <c r="D6876" s="22" t="str">
        <f>HYPERLINK("https://rhld.insurance.arkansas.gov/NPILookup?Npi=1235332321","1235332321")</f>
        <v>1235332321</v>
      </c>
      <c r="E6876" s="1" t="s">
        <v>18245</v>
      </c>
      <c r="F6876" s="2"/>
      <c r="G6876" s="2"/>
      <c r="H6876" s="2"/>
    </row>
    <row r="6877" spans="1:8" x14ac:dyDescent="0.25">
      <c r="A6877" s="1"/>
      <c r="B6877" s="1" t="s">
        <v>4609</v>
      </c>
      <c r="C6877" s="1" t="s">
        <v>4610</v>
      </c>
      <c r="D6877" s="22" t="str">
        <f>HYPERLINK("https://rhld.insurance.arkansas.gov/NPILookup?Npi=1235397308","1235397308")</f>
        <v>1235397308</v>
      </c>
      <c r="E6877" s="1" t="s">
        <v>18246</v>
      </c>
      <c r="F6877" s="2"/>
      <c r="G6877" s="2"/>
      <c r="H6877" s="2"/>
    </row>
    <row r="6878" spans="1:8" x14ac:dyDescent="0.25">
      <c r="A6878" s="1"/>
      <c r="B6878" s="1" t="s">
        <v>4609</v>
      </c>
      <c r="C6878" s="1" t="s">
        <v>4610</v>
      </c>
      <c r="D6878" s="22" t="str">
        <f>HYPERLINK("https://rhld.insurance.arkansas.gov/NPILookup?Npi=1235660093","1235660093")</f>
        <v>1235660093</v>
      </c>
      <c r="E6878" s="1" t="s">
        <v>18247</v>
      </c>
      <c r="F6878" s="2"/>
      <c r="G6878" s="2"/>
      <c r="H6878" s="2"/>
    </row>
    <row r="6879" spans="1:8" x14ac:dyDescent="0.25">
      <c r="A6879" s="1"/>
      <c r="B6879" s="1" t="s">
        <v>4609</v>
      </c>
      <c r="C6879" s="1" t="s">
        <v>4610</v>
      </c>
      <c r="D6879" s="22" t="str">
        <f>HYPERLINK("https://rhld.insurance.arkansas.gov/NPILookup?Npi=1245587203","1245587203")</f>
        <v>1245587203</v>
      </c>
      <c r="E6879" s="1" t="s">
        <v>10560</v>
      </c>
      <c r="F6879" s="2"/>
      <c r="G6879" s="2"/>
      <c r="H6879" s="2"/>
    </row>
    <row r="6880" spans="1:8" x14ac:dyDescent="0.25">
      <c r="A6880" s="1"/>
      <c r="B6880" s="1" t="s">
        <v>4609</v>
      </c>
      <c r="C6880" s="1" t="s">
        <v>4610</v>
      </c>
      <c r="D6880" s="22" t="str">
        <f>HYPERLINK("https://rhld.insurance.arkansas.gov/NPILookup?Npi=1255370771","1255370771")</f>
        <v>1255370771</v>
      </c>
      <c r="E6880" s="1" t="s">
        <v>10561</v>
      </c>
      <c r="F6880" s="2"/>
      <c r="G6880" s="2"/>
      <c r="H6880" s="2"/>
    </row>
    <row r="6881" spans="1:8" x14ac:dyDescent="0.25">
      <c r="A6881" s="1"/>
      <c r="B6881" s="1" t="s">
        <v>4609</v>
      </c>
      <c r="C6881" s="1" t="s">
        <v>4610</v>
      </c>
      <c r="D6881" s="22" t="str">
        <f>HYPERLINK("https://rhld.insurance.arkansas.gov/NPILookup?Npi=1265420830","1265420830")</f>
        <v>1265420830</v>
      </c>
      <c r="E6881" s="1" t="s">
        <v>4633</v>
      </c>
      <c r="F6881" s="2"/>
      <c r="G6881" s="2"/>
      <c r="H6881" s="2"/>
    </row>
    <row r="6882" spans="1:8" x14ac:dyDescent="0.25">
      <c r="A6882" s="1"/>
      <c r="B6882" s="1" t="s">
        <v>4609</v>
      </c>
      <c r="C6882" s="1" t="s">
        <v>4610</v>
      </c>
      <c r="D6882" s="22" t="str">
        <f>HYPERLINK("https://rhld.insurance.arkansas.gov/NPILookup?Npi=1265473821","1265473821")</f>
        <v>1265473821</v>
      </c>
      <c r="E6882" s="1" t="s">
        <v>10562</v>
      </c>
      <c r="F6882" s="2"/>
      <c r="G6882" s="2"/>
      <c r="H6882" s="2"/>
    </row>
    <row r="6883" spans="1:8" x14ac:dyDescent="0.25">
      <c r="A6883" s="1"/>
      <c r="B6883" s="1" t="s">
        <v>4609</v>
      </c>
      <c r="C6883" s="1" t="s">
        <v>4610</v>
      </c>
      <c r="D6883" s="22" t="str">
        <f>HYPERLINK("https://rhld.insurance.arkansas.gov/NPILookup?Npi=1265493241","1265493241")</f>
        <v>1265493241</v>
      </c>
      <c r="E6883" s="1" t="s">
        <v>4634</v>
      </c>
      <c r="F6883" s="2"/>
      <c r="G6883" s="2"/>
      <c r="H6883" s="2"/>
    </row>
    <row r="6884" spans="1:8" x14ac:dyDescent="0.25">
      <c r="A6884" s="1"/>
      <c r="B6884" s="1" t="s">
        <v>4609</v>
      </c>
      <c r="C6884" s="1" t="s">
        <v>4610</v>
      </c>
      <c r="D6884" s="22" t="str">
        <f>HYPERLINK("https://rhld.insurance.arkansas.gov/NPILookup?Npi=1275608853","1275608853")</f>
        <v>1275608853</v>
      </c>
      <c r="E6884" s="1" t="s">
        <v>18248</v>
      </c>
      <c r="F6884" s="2"/>
      <c r="G6884" s="2"/>
      <c r="H6884" s="2"/>
    </row>
    <row r="6885" spans="1:8" x14ac:dyDescent="0.25">
      <c r="A6885" s="1"/>
      <c r="B6885" s="1" t="s">
        <v>4609</v>
      </c>
      <c r="C6885" s="1" t="s">
        <v>4610</v>
      </c>
      <c r="D6885" s="22" t="str">
        <f>HYPERLINK("https://rhld.insurance.arkansas.gov/NPILookup?Npi=1275899361","1275899361")</f>
        <v>1275899361</v>
      </c>
      <c r="E6885" s="1" t="s">
        <v>10563</v>
      </c>
      <c r="F6885" s="2"/>
      <c r="G6885" s="2"/>
      <c r="H6885" s="2"/>
    </row>
    <row r="6886" spans="1:8" x14ac:dyDescent="0.25">
      <c r="A6886" s="1"/>
      <c r="B6886" s="1" t="s">
        <v>4609</v>
      </c>
      <c r="C6886" s="1" t="s">
        <v>4610</v>
      </c>
      <c r="D6886" s="22" t="str">
        <f>HYPERLINK("https://rhld.insurance.arkansas.gov/NPILookup?Npi=1275949265","1275949265")</f>
        <v>1275949265</v>
      </c>
      <c r="E6886" s="1" t="s">
        <v>18249</v>
      </c>
      <c r="F6886" s="2"/>
      <c r="G6886" s="2"/>
      <c r="H6886" s="2"/>
    </row>
    <row r="6887" spans="1:8" x14ac:dyDescent="0.25">
      <c r="A6887" s="1"/>
      <c r="B6887" s="1" t="s">
        <v>4609</v>
      </c>
      <c r="C6887" s="1" t="s">
        <v>4610</v>
      </c>
      <c r="D6887" s="22" t="str">
        <f>HYPERLINK("https://rhld.insurance.arkansas.gov/NPILookup?Npi=1285619874","1285619874")</f>
        <v>1285619874</v>
      </c>
      <c r="E6887" s="1" t="s">
        <v>4635</v>
      </c>
      <c r="F6887" s="2"/>
      <c r="G6887" s="2"/>
      <c r="H6887" s="2"/>
    </row>
    <row r="6888" spans="1:8" x14ac:dyDescent="0.25">
      <c r="A6888" s="1"/>
      <c r="B6888" s="1" t="s">
        <v>4609</v>
      </c>
      <c r="C6888" s="1" t="s">
        <v>4610</v>
      </c>
      <c r="D6888" s="22" t="str">
        <f>HYPERLINK("https://rhld.insurance.arkansas.gov/NPILookup?Npi=1285659383","1285659383")</f>
        <v>1285659383</v>
      </c>
      <c r="E6888" s="1" t="s">
        <v>4636</v>
      </c>
      <c r="F6888" s="2"/>
      <c r="G6888" s="2"/>
      <c r="H6888" s="2"/>
    </row>
    <row r="6889" spans="1:8" x14ac:dyDescent="0.25">
      <c r="A6889" s="1"/>
      <c r="B6889" s="1" t="s">
        <v>4609</v>
      </c>
      <c r="C6889" s="1" t="s">
        <v>4610</v>
      </c>
      <c r="D6889" s="22" t="str">
        <f>HYPERLINK("https://rhld.insurance.arkansas.gov/NPILookup?Npi=1295718211","1295718211")</f>
        <v>1295718211</v>
      </c>
      <c r="E6889" s="1" t="s">
        <v>18250</v>
      </c>
      <c r="F6889" s="2"/>
      <c r="G6889" s="2"/>
      <c r="H6889" s="2"/>
    </row>
    <row r="6890" spans="1:8" x14ac:dyDescent="0.25">
      <c r="A6890" s="1"/>
      <c r="B6890" s="1" t="s">
        <v>4609</v>
      </c>
      <c r="C6890" s="1" t="s">
        <v>4610</v>
      </c>
      <c r="D6890" s="22" t="str">
        <f>HYPERLINK("https://rhld.insurance.arkansas.gov/NPILookup?Npi=1295738797","1295738797")</f>
        <v>1295738797</v>
      </c>
      <c r="E6890" s="1" t="s">
        <v>4637</v>
      </c>
      <c r="F6890" s="2"/>
      <c r="G6890" s="2"/>
      <c r="H6890" s="2"/>
    </row>
    <row r="6891" spans="1:8" x14ac:dyDescent="0.25">
      <c r="A6891" s="1"/>
      <c r="B6891" s="1" t="s">
        <v>4609</v>
      </c>
      <c r="C6891" s="1" t="s">
        <v>4610</v>
      </c>
      <c r="D6891" s="22" t="str">
        <f>HYPERLINK("https://rhld.insurance.arkansas.gov/NPILookup?Npi=1295963379","1295963379")</f>
        <v>1295963379</v>
      </c>
      <c r="E6891" s="1" t="s">
        <v>18251</v>
      </c>
      <c r="F6891" s="2"/>
      <c r="G6891" s="2"/>
      <c r="H6891" s="2"/>
    </row>
    <row r="6892" spans="1:8" x14ac:dyDescent="0.25">
      <c r="A6892" s="1"/>
      <c r="B6892" s="1" t="s">
        <v>4609</v>
      </c>
      <c r="C6892" s="1" t="s">
        <v>4610</v>
      </c>
      <c r="D6892" s="22" t="str">
        <f>HYPERLINK("https://rhld.insurance.arkansas.gov/NPILookup?Npi=1306832811","1306832811")</f>
        <v>1306832811</v>
      </c>
      <c r="E6892" s="1" t="s">
        <v>4638</v>
      </c>
      <c r="F6892" s="2"/>
      <c r="G6892" s="2"/>
      <c r="H6892" s="2"/>
    </row>
    <row r="6893" spans="1:8" x14ac:dyDescent="0.25">
      <c r="A6893" s="1"/>
      <c r="B6893" s="1" t="s">
        <v>4609</v>
      </c>
      <c r="C6893" s="1" t="s">
        <v>4610</v>
      </c>
      <c r="D6893" s="22" t="str">
        <f>HYPERLINK("https://rhld.insurance.arkansas.gov/NPILookup?Npi=1326006040","1326006040")</f>
        <v>1326006040</v>
      </c>
      <c r="E6893" s="1" t="s">
        <v>18252</v>
      </c>
      <c r="F6893" s="2"/>
      <c r="G6893" s="2"/>
      <c r="H6893" s="2"/>
    </row>
    <row r="6894" spans="1:8" x14ac:dyDescent="0.25">
      <c r="A6894" s="1"/>
      <c r="B6894" s="1" t="s">
        <v>4609</v>
      </c>
      <c r="C6894" s="1" t="s">
        <v>4610</v>
      </c>
      <c r="D6894" s="22" t="str">
        <f>HYPERLINK("https://rhld.insurance.arkansas.gov/NPILookup?Npi=1326018581","1326018581")</f>
        <v>1326018581</v>
      </c>
      <c r="E6894" s="1" t="s">
        <v>18253</v>
      </c>
      <c r="F6894" s="2"/>
      <c r="G6894" s="2"/>
      <c r="H6894" s="2"/>
    </row>
    <row r="6895" spans="1:8" x14ac:dyDescent="0.25">
      <c r="A6895" s="1"/>
      <c r="B6895" s="1" t="s">
        <v>4609</v>
      </c>
      <c r="C6895" s="1" t="s">
        <v>4610</v>
      </c>
      <c r="D6895" s="22" t="str">
        <f>HYPERLINK("https://rhld.insurance.arkansas.gov/NPILookup?Npi=1326034562","1326034562")</f>
        <v>1326034562</v>
      </c>
      <c r="E6895" s="1" t="s">
        <v>18254</v>
      </c>
      <c r="F6895" s="2"/>
      <c r="G6895" s="2"/>
      <c r="H6895" s="2"/>
    </row>
    <row r="6896" spans="1:8" x14ac:dyDescent="0.25">
      <c r="A6896" s="1"/>
      <c r="B6896" s="1" t="s">
        <v>4609</v>
      </c>
      <c r="C6896" s="1" t="s">
        <v>4610</v>
      </c>
      <c r="D6896" s="22" t="str">
        <f>HYPERLINK("https://rhld.insurance.arkansas.gov/NPILookup?Npi=1326466020","1326466020")</f>
        <v>1326466020</v>
      </c>
      <c r="E6896" s="1" t="s">
        <v>10564</v>
      </c>
      <c r="F6896" s="2"/>
      <c r="G6896" s="2"/>
      <c r="H6896" s="2"/>
    </row>
    <row r="6897" spans="1:8" x14ac:dyDescent="0.25">
      <c r="A6897" s="1"/>
      <c r="B6897" s="1" t="s">
        <v>4609</v>
      </c>
      <c r="C6897" s="1" t="s">
        <v>4610</v>
      </c>
      <c r="D6897" s="22" t="str">
        <f>HYPERLINK("https://rhld.insurance.arkansas.gov/NPILookup?Npi=1346355963","1346355963")</f>
        <v>1346355963</v>
      </c>
      <c r="E6897" s="1" t="s">
        <v>18255</v>
      </c>
      <c r="F6897" s="2"/>
      <c r="G6897" s="2"/>
      <c r="H6897" s="2"/>
    </row>
    <row r="6898" spans="1:8" x14ac:dyDescent="0.25">
      <c r="A6898" s="1"/>
      <c r="B6898" s="1" t="s">
        <v>4609</v>
      </c>
      <c r="C6898" s="1" t="s">
        <v>4610</v>
      </c>
      <c r="D6898" s="22" t="str">
        <f>HYPERLINK("https://rhld.insurance.arkansas.gov/NPILookup?Npi=1346357092","1346357092")</f>
        <v>1346357092</v>
      </c>
      <c r="E6898" s="1" t="s">
        <v>10565</v>
      </c>
      <c r="F6898" s="2"/>
      <c r="G6898" s="2"/>
      <c r="H6898" s="2"/>
    </row>
    <row r="6899" spans="1:8" x14ac:dyDescent="0.25">
      <c r="A6899" s="1"/>
      <c r="B6899" s="1" t="s">
        <v>4609</v>
      </c>
      <c r="C6899" s="1" t="s">
        <v>4610</v>
      </c>
      <c r="D6899" s="22" t="str">
        <f>HYPERLINK("https://rhld.insurance.arkansas.gov/NPILookup?Npi=1346472917","1346472917")</f>
        <v>1346472917</v>
      </c>
      <c r="E6899" s="1" t="s">
        <v>10566</v>
      </c>
      <c r="F6899" s="2"/>
      <c r="G6899" s="2"/>
      <c r="H6899" s="2"/>
    </row>
    <row r="6900" spans="1:8" x14ac:dyDescent="0.25">
      <c r="A6900" s="1"/>
      <c r="B6900" s="1" t="s">
        <v>4609</v>
      </c>
      <c r="C6900" s="1" t="s">
        <v>4610</v>
      </c>
      <c r="D6900" s="22" t="str">
        <f>HYPERLINK("https://rhld.insurance.arkansas.gov/NPILookup?Npi=1346579364","1346579364")</f>
        <v>1346579364</v>
      </c>
      <c r="E6900" s="1" t="s">
        <v>31491</v>
      </c>
      <c r="F6900" s="2"/>
      <c r="G6900" s="2"/>
      <c r="H6900" s="2"/>
    </row>
    <row r="6901" spans="1:8" x14ac:dyDescent="0.25">
      <c r="A6901" s="1"/>
      <c r="B6901" s="1" t="s">
        <v>4609</v>
      </c>
      <c r="C6901" s="1" t="s">
        <v>4610</v>
      </c>
      <c r="D6901" s="22" t="str">
        <f>HYPERLINK("https://rhld.insurance.arkansas.gov/NPILookup?Npi=1346620606","1346620606")</f>
        <v>1346620606</v>
      </c>
      <c r="E6901" s="1" t="s">
        <v>18256</v>
      </c>
      <c r="F6901" s="2"/>
      <c r="G6901" s="2"/>
      <c r="H6901" s="2"/>
    </row>
    <row r="6902" spans="1:8" x14ac:dyDescent="0.25">
      <c r="A6902" s="1"/>
      <c r="B6902" s="1" t="s">
        <v>4609</v>
      </c>
      <c r="C6902" s="1" t="s">
        <v>4610</v>
      </c>
      <c r="D6902" s="22" t="str">
        <f>HYPERLINK("https://rhld.insurance.arkansas.gov/NPILookup?Npi=1346898467","1346898467")</f>
        <v>1346898467</v>
      </c>
      <c r="E6902" s="1" t="s">
        <v>18257</v>
      </c>
      <c r="F6902" s="2"/>
      <c r="G6902" s="2"/>
      <c r="H6902" s="2"/>
    </row>
    <row r="6903" spans="1:8" x14ac:dyDescent="0.25">
      <c r="A6903" s="1"/>
      <c r="B6903" s="1" t="s">
        <v>4609</v>
      </c>
      <c r="C6903" s="1" t="s">
        <v>4610</v>
      </c>
      <c r="D6903" s="22" t="str">
        <f>HYPERLINK("https://rhld.insurance.arkansas.gov/NPILookup?Npi=1356381982","1356381982")</f>
        <v>1356381982</v>
      </c>
      <c r="E6903" s="1" t="s">
        <v>18258</v>
      </c>
      <c r="F6903" s="2"/>
      <c r="G6903" s="2"/>
      <c r="H6903" s="2"/>
    </row>
    <row r="6904" spans="1:8" x14ac:dyDescent="0.25">
      <c r="A6904" s="1"/>
      <c r="B6904" s="1" t="s">
        <v>4609</v>
      </c>
      <c r="C6904" s="1" t="s">
        <v>4610</v>
      </c>
      <c r="D6904" s="22" t="str">
        <f>HYPERLINK("https://rhld.insurance.arkansas.gov/NPILookup?Npi=1356393078","1356393078")</f>
        <v>1356393078</v>
      </c>
      <c r="E6904" s="1" t="s">
        <v>18259</v>
      </c>
      <c r="F6904" s="2"/>
      <c r="G6904" s="2"/>
      <c r="H6904" s="2"/>
    </row>
    <row r="6905" spans="1:8" x14ac:dyDescent="0.25">
      <c r="A6905" s="1"/>
      <c r="B6905" s="1" t="s">
        <v>4609</v>
      </c>
      <c r="C6905" s="1" t="s">
        <v>4610</v>
      </c>
      <c r="D6905" s="22" t="str">
        <f>HYPERLINK("https://rhld.insurance.arkansas.gov/NPILookup?Npi=1366464497","1366464497")</f>
        <v>1366464497</v>
      </c>
      <c r="E6905" s="1" t="s">
        <v>31492</v>
      </c>
      <c r="F6905" s="2"/>
      <c r="G6905" s="2"/>
      <c r="H6905" s="2"/>
    </row>
    <row r="6906" spans="1:8" x14ac:dyDescent="0.25">
      <c r="A6906" s="1"/>
      <c r="B6906" s="1" t="s">
        <v>4609</v>
      </c>
      <c r="C6906" s="1" t="s">
        <v>4610</v>
      </c>
      <c r="D6906" s="22" t="str">
        <f>HYPERLINK("https://rhld.insurance.arkansas.gov/NPILookup?Npi=1366709404","1366709404")</f>
        <v>1366709404</v>
      </c>
      <c r="E6906" s="1" t="s">
        <v>18260</v>
      </c>
      <c r="F6906" s="2"/>
      <c r="G6906" s="2"/>
      <c r="H6906" s="2"/>
    </row>
    <row r="6907" spans="1:8" x14ac:dyDescent="0.25">
      <c r="A6907" s="1"/>
      <c r="B6907" s="1" t="s">
        <v>4609</v>
      </c>
      <c r="C6907" s="1" t="s">
        <v>4610</v>
      </c>
      <c r="D6907" s="22" t="str">
        <f>HYPERLINK("https://rhld.insurance.arkansas.gov/NPILookup?Npi=1376663583","1376663583")</f>
        <v>1376663583</v>
      </c>
      <c r="E6907" s="1" t="s">
        <v>18261</v>
      </c>
      <c r="F6907" s="2"/>
      <c r="G6907" s="2"/>
      <c r="H6907" s="2"/>
    </row>
    <row r="6908" spans="1:8" x14ac:dyDescent="0.25">
      <c r="A6908" s="1"/>
      <c r="B6908" s="1" t="s">
        <v>4609</v>
      </c>
      <c r="C6908" s="1" t="s">
        <v>4610</v>
      </c>
      <c r="D6908" s="22" t="str">
        <f>HYPERLINK("https://rhld.insurance.arkansas.gov/NPILookup?Npi=1376706978","1376706978")</f>
        <v>1376706978</v>
      </c>
      <c r="E6908" s="1" t="s">
        <v>18262</v>
      </c>
      <c r="F6908" s="2"/>
      <c r="G6908" s="2"/>
      <c r="H6908" s="2"/>
    </row>
    <row r="6909" spans="1:8" x14ac:dyDescent="0.25">
      <c r="A6909" s="1"/>
      <c r="B6909" s="1" t="s">
        <v>4609</v>
      </c>
      <c r="C6909" s="1" t="s">
        <v>4610</v>
      </c>
      <c r="D6909" s="22" t="str">
        <f>HYPERLINK("https://rhld.insurance.arkansas.gov/NPILookup?Npi=1376837344","1376837344")</f>
        <v>1376837344</v>
      </c>
      <c r="E6909" s="1" t="s">
        <v>4639</v>
      </c>
      <c r="F6909" s="2"/>
      <c r="G6909" s="2"/>
      <c r="H6909" s="2"/>
    </row>
    <row r="6910" spans="1:8" x14ac:dyDescent="0.25">
      <c r="A6910" s="1"/>
      <c r="B6910" s="1" t="s">
        <v>4609</v>
      </c>
      <c r="C6910" s="1" t="s">
        <v>4610</v>
      </c>
      <c r="D6910" s="22" t="str">
        <f>HYPERLINK("https://rhld.insurance.arkansas.gov/NPILookup?Npi=1376863050","1376863050")</f>
        <v>1376863050</v>
      </c>
      <c r="E6910" s="1" t="s">
        <v>10567</v>
      </c>
      <c r="F6910" s="2"/>
      <c r="G6910" s="2"/>
      <c r="H6910" s="2"/>
    </row>
    <row r="6911" spans="1:8" x14ac:dyDescent="0.25">
      <c r="A6911" s="1"/>
      <c r="B6911" s="1" t="s">
        <v>4609</v>
      </c>
      <c r="C6911" s="1" t="s">
        <v>4610</v>
      </c>
      <c r="D6911" s="22" t="str">
        <f>HYPERLINK("https://rhld.insurance.arkansas.gov/NPILookup?Npi=1386600864","1386600864")</f>
        <v>1386600864</v>
      </c>
      <c r="E6911" s="1" t="s">
        <v>4640</v>
      </c>
      <c r="F6911" s="2"/>
      <c r="G6911" s="2"/>
      <c r="H6911" s="2"/>
    </row>
    <row r="6912" spans="1:8" x14ac:dyDescent="0.25">
      <c r="A6912" s="1"/>
      <c r="B6912" s="1" t="s">
        <v>4609</v>
      </c>
      <c r="C6912" s="1" t="s">
        <v>4610</v>
      </c>
      <c r="D6912" s="22" t="str">
        <f>HYPERLINK("https://rhld.insurance.arkansas.gov/NPILookup?Npi=1386642692","1386642692")</f>
        <v>1386642692</v>
      </c>
      <c r="E6912" s="1" t="s">
        <v>4641</v>
      </c>
      <c r="F6912" s="2"/>
      <c r="G6912" s="2"/>
      <c r="H6912" s="2"/>
    </row>
    <row r="6913" spans="1:8" x14ac:dyDescent="0.25">
      <c r="A6913" s="1"/>
      <c r="B6913" s="1" t="s">
        <v>4609</v>
      </c>
      <c r="C6913" s="1" t="s">
        <v>4610</v>
      </c>
      <c r="D6913" s="22" t="str">
        <f>HYPERLINK("https://rhld.insurance.arkansas.gov/NPILookup?Npi=1386675536","1386675536")</f>
        <v>1386675536</v>
      </c>
      <c r="E6913" s="1" t="s">
        <v>18263</v>
      </c>
      <c r="F6913" s="2"/>
      <c r="G6913" s="2"/>
      <c r="H6913" s="2"/>
    </row>
    <row r="6914" spans="1:8" x14ac:dyDescent="0.25">
      <c r="A6914" s="1"/>
      <c r="B6914" s="1" t="s">
        <v>4609</v>
      </c>
      <c r="C6914" s="1" t="s">
        <v>4610</v>
      </c>
      <c r="D6914" s="22" t="str">
        <f>HYPERLINK("https://rhld.insurance.arkansas.gov/NPILookup?Npi=1386682185","1386682185")</f>
        <v>1386682185</v>
      </c>
      <c r="E6914" s="1" t="s">
        <v>18264</v>
      </c>
      <c r="F6914" s="2"/>
      <c r="G6914" s="2"/>
      <c r="H6914" s="2"/>
    </row>
    <row r="6915" spans="1:8" x14ac:dyDescent="0.25">
      <c r="A6915" s="1"/>
      <c r="B6915" s="1" t="s">
        <v>4609</v>
      </c>
      <c r="C6915" s="1" t="s">
        <v>4610</v>
      </c>
      <c r="D6915" s="22" t="str">
        <f>HYPERLINK("https://rhld.insurance.arkansas.gov/NPILookup?Npi=1407040488","1407040488")</f>
        <v>1407040488</v>
      </c>
      <c r="E6915" s="1" t="s">
        <v>4642</v>
      </c>
      <c r="F6915" s="2"/>
      <c r="G6915" s="2"/>
      <c r="H6915" s="2"/>
    </row>
    <row r="6916" spans="1:8" x14ac:dyDescent="0.25">
      <c r="A6916" s="1"/>
      <c r="B6916" s="1" t="s">
        <v>4609</v>
      </c>
      <c r="C6916" s="1" t="s">
        <v>4610</v>
      </c>
      <c r="D6916" s="22" t="str">
        <f>HYPERLINK("https://rhld.insurance.arkansas.gov/NPILookup?Npi=1407073422","1407073422")</f>
        <v>1407073422</v>
      </c>
      <c r="E6916" s="1" t="s">
        <v>4643</v>
      </c>
      <c r="F6916" s="2"/>
      <c r="G6916" s="2"/>
      <c r="H6916" s="2"/>
    </row>
    <row r="6917" spans="1:8" x14ac:dyDescent="0.25">
      <c r="A6917" s="1"/>
      <c r="B6917" s="1" t="s">
        <v>4609</v>
      </c>
      <c r="C6917" s="1" t="s">
        <v>4610</v>
      </c>
      <c r="D6917" s="22" t="str">
        <f>HYPERLINK("https://rhld.insurance.arkansas.gov/NPILookup?Npi=1407800683","1407800683")</f>
        <v>1407800683</v>
      </c>
      <c r="E6917" s="1" t="s">
        <v>18265</v>
      </c>
      <c r="F6917" s="2"/>
      <c r="G6917" s="2"/>
      <c r="H6917" s="2"/>
    </row>
    <row r="6918" spans="1:8" x14ac:dyDescent="0.25">
      <c r="A6918" s="1"/>
      <c r="B6918" s="1" t="s">
        <v>4609</v>
      </c>
      <c r="C6918" s="1" t="s">
        <v>4610</v>
      </c>
      <c r="D6918" s="22" t="str">
        <f>HYPERLINK("https://rhld.insurance.arkansas.gov/NPILookup?Npi=1407812415","1407812415")</f>
        <v>1407812415</v>
      </c>
      <c r="E6918" s="1" t="s">
        <v>10568</v>
      </c>
      <c r="F6918" s="2"/>
      <c r="G6918" s="2"/>
      <c r="H6918" s="2"/>
    </row>
    <row r="6919" spans="1:8" x14ac:dyDescent="0.25">
      <c r="A6919" s="1"/>
      <c r="B6919" s="1" t="s">
        <v>4609</v>
      </c>
      <c r="C6919" s="1" t="s">
        <v>4610</v>
      </c>
      <c r="D6919" s="22" t="str">
        <f>HYPERLINK("https://rhld.insurance.arkansas.gov/NPILookup?Npi=1407841794","1407841794")</f>
        <v>1407841794</v>
      </c>
      <c r="E6919" s="1" t="s">
        <v>4644</v>
      </c>
      <c r="F6919" s="2"/>
      <c r="G6919" s="2"/>
      <c r="H6919" s="2"/>
    </row>
    <row r="6920" spans="1:8" x14ac:dyDescent="0.25">
      <c r="A6920" s="1"/>
      <c r="B6920" s="1" t="s">
        <v>4609</v>
      </c>
      <c r="C6920" s="1" t="s">
        <v>4610</v>
      </c>
      <c r="D6920" s="22" t="str">
        <f>HYPERLINK("https://rhld.insurance.arkansas.gov/NPILookup?Npi=1417990425","1417990425")</f>
        <v>1417990425</v>
      </c>
      <c r="E6920" s="1" t="s">
        <v>18266</v>
      </c>
      <c r="F6920" s="2"/>
      <c r="G6920" s="2"/>
      <c r="H6920" s="2"/>
    </row>
    <row r="6921" spans="1:8" x14ac:dyDescent="0.25">
      <c r="A6921" s="1"/>
      <c r="B6921" s="1" t="s">
        <v>4609</v>
      </c>
      <c r="C6921" s="1" t="s">
        <v>4610</v>
      </c>
      <c r="D6921" s="22" t="str">
        <f>HYPERLINK("https://rhld.insurance.arkansas.gov/NPILookup?Npi=1427052208","1427052208")</f>
        <v>1427052208</v>
      </c>
      <c r="E6921" s="1" t="s">
        <v>18267</v>
      </c>
      <c r="F6921" s="2"/>
      <c r="G6921" s="2"/>
      <c r="H6921" s="2"/>
    </row>
    <row r="6922" spans="1:8" x14ac:dyDescent="0.25">
      <c r="A6922" s="1"/>
      <c r="B6922" s="1" t="s">
        <v>4609</v>
      </c>
      <c r="C6922" s="1" t="s">
        <v>4610</v>
      </c>
      <c r="D6922" s="22" t="str">
        <f>HYPERLINK("https://rhld.insurance.arkansas.gov/NPILookup?Npi=1437104007","1437104007")</f>
        <v>1437104007</v>
      </c>
      <c r="E6922" s="1" t="s">
        <v>9990</v>
      </c>
      <c r="F6922" s="2"/>
      <c r="G6922" s="2"/>
      <c r="H6922" s="2"/>
    </row>
    <row r="6923" spans="1:8" x14ac:dyDescent="0.25">
      <c r="A6923" s="1"/>
      <c r="B6923" s="1" t="s">
        <v>4609</v>
      </c>
      <c r="C6923" s="1" t="s">
        <v>4610</v>
      </c>
      <c r="D6923" s="22" t="str">
        <f>HYPERLINK("https://rhld.insurance.arkansas.gov/NPILookup?Npi=1437114717","1437114717")</f>
        <v>1437114717</v>
      </c>
      <c r="E6923" s="1" t="s">
        <v>18268</v>
      </c>
      <c r="F6923" s="2"/>
      <c r="G6923" s="2"/>
      <c r="H6923" s="2"/>
    </row>
    <row r="6924" spans="1:8" x14ac:dyDescent="0.25">
      <c r="A6924" s="1"/>
      <c r="B6924" s="1" t="s">
        <v>4609</v>
      </c>
      <c r="C6924" s="1" t="s">
        <v>4610</v>
      </c>
      <c r="D6924" s="22" t="str">
        <f>HYPERLINK("https://rhld.insurance.arkansas.gov/NPILookup?Npi=1437134020","1437134020")</f>
        <v>1437134020</v>
      </c>
      <c r="E6924" s="1" t="s">
        <v>18269</v>
      </c>
      <c r="F6924" s="2"/>
      <c r="G6924" s="2"/>
      <c r="H6924" s="2"/>
    </row>
    <row r="6925" spans="1:8" x14ac:dyDescent="0.25">
      <c r="A6925" s="1"/>
      <c r="B6925" s="1" t="s">
        <v>4609</v>
      </c>
      <c r="C6925" s="1" t="s">
        <v>4610</v>
      </c>
      <c r="D6925" s="22" t="str">
        <f>HYPERLINK("https://rhld.insurance.arkansas.gov/NPILookup?Npi=1437199049","1437199049")</f>
        <v>1437199049</v>
      </c>
      <c r="E6925" s="1" t="s">
        <v>4646</v>
      </c>
      <c r="F6925" s="2"/>
      <c r="G6925" s="2"/>
      <c r="H6925" s="2"/>
    </row>
    <row r="6926" spans="1:8" x14ac:dyDescent="0.25">
      <c r="A6926" s="1"/>
      <c r="B6926" s="1" t="s">
        <v>4609</v>
      </c>
      <c r="C6926" s="1" t="s">
        <v>4610</v>
      </c>
      <c r="D6926" s="22" t="str">
        <f>HYPERLINK("https://rhld.insurance.arkansas.gov/NPILookup?Npi=1437447554","1437447554")</f>
        <v>1437447554</v>
      </c>
      <c r="E6926" s="1" t="s">
        <v>4647</v>
      </c>
      <c r="F6926" s="2"/>
      <c r="G6926" s="2"/>
      <c r="H6926" s="2"/>
    </row>
    <row r="6927" spans="1:8" x14ac:dyDescent="0.25">
      <c r="A6927" s="1"/>
      <c r="B6927" s="1" t="s">
        <v>4609</v>
      </c>
      <c r="C6927" s="1" t="s">
        <v>4610</v>
      </c>
      <c r="D6927" s="22" t="str">
        <f>HYPERLINK("https://rhld.insurance.arkansas.gov/NPILookup?Npi=1447216692","1447216692")</f>
        <v>1447216692</v>
      </c>
      <c r="E6927" s="1" t="s">
        <v>4648</v>
      </c>
      <c r="F6927" s="2"/>
      <c r="G6927" s="2"/>
      <c r="H6927" s="2"/>
    </row>
    <row r="6928" spans="1:8" x14ac:dyDescent="0.25">
      <c r="A6928" s="1"/>
      <c r="B6928" s="1" t="s">
        <v>4609</v>
      </c>
      <c r="C6928" s="1" t="s">
        <v>4610</v>
      </c>
      <c r="D6928" s="22" t="str">
        <f>HYPERLINK("https://rhld.insurance.arkansas.gov/NPILookup?Npi=1447238597","1447238597")</f>
        <v>1447238597</v>
      </c>
      <c r="E6928" s="1" t="s">
        <v>10569</v>
      </c>
      <c r="F6928" s="2"/>
      <c r="G6928" s="2"/>
      <c r="H6928" s="2"/>
    </row>
    <row r="6929" spans="1:8" x14ac:dyDescent="0.25">
      <c r="A6929" s="1"/>
      <c r="B6929" s="1" t="s">
        <v>4609</v>
      </c>
      <c r="C6929" s="1" t="s">
        <v>4610</v>
      </c>
      <c r="D6929" s="22" t="str">
        <f>HYPERLINK("https://rhld.insurance.arkansas.gov/NPILookup?Npi=1447478755","1447478755")</f>
        <v>1447478755</v>
      </c>
      <c r="E6929" s="1" t="s">
        <v>18270</v>
      </c>
      <c r="F6929" s="2"/>
      <c r="G6929" s="2"/>
      <c r="H6929" s="2"/>
    </row>
    <row r="6930" spans="1:8" x14ac:dyDescent="0.25">
      <c r="A6930" s="1"/>
      <c r="B6930" s="1" t="s">
        <v>4609</v>
      </c>
      <c r="C6930" s="1" t="s">
        <v>4610</v>
      </c>
      <c r="D6930" s="22" t="str">
        <f>HYPERLINK("https://rhld.insurance.arkansas.gov/NPILookup?Npi=1447696406","1447696406")</f>
        <v>1447696406</v>
      </c>
      <c r="E6930" s="1" t="s">
        <v>4649</v>
      </c>
      <c r="F6930" s="2"/>
      <c r="G6930" s="2"/>
      <c r="H6930" s="2"/>
    </row>
    <row r="6931" spans="1:8" x14ac:dyDescent="0.25">
      <c r="A6931" s="1"/>
      <c r="B6931" s="1" t="s">
        <v>4609</v>
      </c>
      <c r="C6931" s="1" t="s">
        <v>4610</v>
      </c>
      <c r="D6931" s="22" t="str">
        <f>HYPERLINK("https://rhld.insurance.arkansas.gov/NPILookup?Npi=1457569998","1457569998")</f>
        <v>1457569998</v>
      </c>
      <c r="E6931" s="1" t="s">
        <v>4650</v>
      </c>
      <c r="F6931" s="2"/>
      <c r="G6931" s="2"/>
      <c r="H6931" s="2"/>
    </row>
    <row r="6932" spans="1:8" x14ac:dyDescent="0.25">
      <c r="A6932" s="1"/>
      <c r="B6932" s="1" t="s">
        <v>4609</v>
      </c>
      <c r="C6932" s="1" t="s">
        <v>4610</v>
      </c>
      <c r="D6932" s="22" t="str">
        <f>HYPERLINK("https://rhld.insurance.arkansas.gov/NPILookup?Npi=1457887945","1457887945")</f>
        <v>1457887945</v>
      </c>
      <c r="E6932" s="1" t="s">
        <v>18271</v>
      </c>
      <c r="F6932" s="2"/>
      <c r="G6932" s="2"/>
      <c r="H6932" s="2"/>
    </row>
    <row r="6933" spans="1:8" x14ac:dyDescent="0.25">
      <c r="A6933" s="1"/>
      <c r="B6933" s="1" t="s">
        <v>4609</v>
      </c>
      <c r="C6933" s="1" t="s">
        <v>4610</v>
      </c>
      <c r="D6933" s="22" t="str">
        <f>HYPERLINK("https://rhld.insurance.arkansas.gov/NPILookup?Npi=1467871509","1467871509")</f>
        <v>1467871509</v>
      </c>
      <c r="E6933" s="1" t="s">
        <v>18272</v>
      </c>
      <c r="F6933" s="2"/>
      <c r="G6933" s="2"/>
      <c r="H6933" s="2"/>
    </row>
    <row r="6934" spans="1:8" x14ac:dyDescent="0.25">
      <c r="A6934" s="1"/>
      <c r="B6934" s="1" t="s">
        <v>4609</v>
      </c>
      <c r="C6934" s="1" t="s">
        <v>4610</v>
      </c>
      <c r="D6934" s="22" t="str">
        <f>HYPERLINK("https://rhld.insurance.arkansas.gov/NPILookup?Npi=1477384287","1477384287")</f>
        <v>1477384287</v>
      </c>
      <c r="E6934" s="1" t="s">
        <v>18273</v>
      </c>
      <c r="F6934" s="2"/>
      <c r="G6934" s="2"/>
      <c r="H6934" s="2"/>
    </row>
    <row r="6935" spans="1:8" x14ac:dyDescent="0.25">
      <c r="A6935" s="1"/>
      <c r="B6935" s="1" t="s">
        <v>4609</v>
      </c>
      <c r="C6935" s="1" t="s">
        <v>4610</v>
      </c>
      <c r="D6935" s="22" t="str">
        <f>HYPERLINK("https://rhld.insurance.arkansas.gov/NPILookup?Npi=1477525103","1477525103")</f>
        <v>1477525103</v>
      </c>
      <c r="E6935" s="1" t="s">
        <v>18274</v>
      </c>
      <c r="F6935" s="2"/>
      <c r="G6935" s="2"/>
      <c r="H6935" s="2"/>
    </row>
    <row r="6936" spans="1:8" x14ac:dyDescent="0.25">
      <c r="A6936" s="1"/>
      <c r="B6936" s="1" t="s">
        <v>4609</v>
      </c>
      <c r="C6936" s="1" t="s">
        <v>4610</v>
      </c>
      <c r="D6936" s="22" t="str">
        <f>HYPERLINK("https://rhld.insurance.arkansas.gov/NPILookup?Npi=1487656393","1487656393")</f>
        <v>1487656393</v>
      </c>
      <c r="E6936" s="1" t="s">
        <v>18275</v>
      </c>
      <c r="F6936" s="2"/>
      <c r="G6936" s="2"/>
      <c r="H6936" s="2"/>
    </row>
    <row r="6937" spans="1:8" x14ac:dyDescent="0.25">
      <c r="A6937" s="1"/>
      <c r="B6937" s="1" t="s">
        <v>4609</v>
      </c>
      <c r="C6937" s="1" t="s">
        <v>4610</v>
      </c>
      <c r="D6937" s="22" t="str">
        <f>HYPERLINK("https://rhld.insurance.arkansas.gov/NPILookup?Npi=1487682613","1487682613")</f>
        <v>1487682613</v>
      </c>
      <c r="E6937" s="1" t="s">
        <v>18276</v>
      </c>
      <c r="F6937" s="2"/>
      <c r="G6937" s="2"/>
      <c r="H6937" s="2"/>
    </row>
    <row r="6938" spans="1:8" x14ac:dyDescent="0.25">
      <c r="A6938" s="1"/>
      <c r="B6938" s="1" t="s">
        <v>4609</v>
      </c>
      <c r="C6938" s="1" t="s">
        <v>4610</v>
      </c>
      <c r="D6938" s="22" t="str">
        <f>HYPERLINK("https://rhld.insurance.arkansas.gov/NPILookup?Npi=1497790877","1497790877")</f>
        <v>1497790877</v>
      </c>
      <c r="E6938" s="1" t="s">
        <v>4651</v>
      </c>
      <c r="F6938" s="2"/>
      <c r="G6938" s="2"/>
      <c r="H6938" s="2"/>
    </row>
    <row r="6939" spans="1:8" x14ac:dyDescent="0.25">
      <c r="A6939" s="1"/>
      <c r="B6939" s="1" t="s">
        <v>4609</v>
      </c>
      <c r="C6939" s="1" t="s">
        <v>4610</v>
      </c>
      <c r="D6939" s="22" t="str">
        <f>HYPERLINK("https://rhld.insurance.arkansas.gov/NPILookup?Npi=1497958235","1497958235")</f>
        <v>1497958235</v>
      </c>
      <c r="E6939" s="1" t="s">
        <v>4652</v>
      </c>
      <c r="F6939" s="2"/>
      <c r="G6939" s="2"/>
      <c r="H6939" s="2"/>
    </row>
    <row r="6940" spans="1:8" x14ac:dyDescent="0.25">
      <c r="A6940" s="1"/>
      <c r="B6940" s="1" t="s">
        <v>4609</v>
      </c>
      <c r="C6940" s="1" t="s">
        <v>4610</v>
      </c>
      <c r="D6940" s="22" t="str">
        <f>HYPERLINK("https://rhld.insurance.arkansas.gov/NPILookup?Npi=1497979652","1497979652")</f>
        <v>1497979652</v>
      </c>
      <c r="E6940" s="1" t="s">
        <v>4653</v>
      </c>
      <c r="F6940" s="2"/>
      <c r="G6940" s="2"/>
      <c r="H6940" s="2"/>
    </row>
    <row r="6941" spans="1:8" x14ac:dyDescent="0.25">
      <c r="A6941" s="1"/>
      <c r="B6941" s="1" t="s">
        <v>4609</v>
      </c>
      <c r="C6941" s="1" t="s">
        <v>4610</v>
      </c>
      <c r="D6941" s="22" t="str">
        <f>HYPERLINK("https://rhld.insurance.arkansas.gov/NPILookup?Npi=1508284068","1508284068")</f>
        <v>1508284068</v>
      </c>
      <c r="E6941" s="1" t="s">
        <v>4654</v>
      </c>
      <c r="F6941" s="2"/>
      <c r="G6941" s="2"/>
      <c r="H6941" s="2"/>
    </row>
    <row r="6942" spans="1:8" x14ac:dyDescent="0.25">
      <c r="A6942" s="1"/>
      <c r="B6942" s="1" t="s">
        <v>4609</v>
      </c>
      <c r="C6942" s="1" t="s">
        <v>4610</v>
      </c>
      <c r="D6942" s="22" t="str">
        <f>HYPERLINK("https://rhld.insurance.arkansas.gov/NPILookup?Npi=1508357120","1508357120")</f>
        <v>1508357120</v>
      </c>
      <c r="E6942" s="1" t="s">
        <v>10570</v>
      </c>
      <c r="F6942" s="2"/>
      <c r="G6942" s="2"/>
      <c r="H6942" s="2"/>
    </row>
    <row r="6943" spans="1:8" x14ac:dyDescent="0.25">
      <c r="A6943" s="1"/>
      <c r="B6943" s="1" t="s">
        <v>4609</v>
      </c>
      <c r="C6943" s="1" t="s">
        <v>4610</v>
      </c>
      <c r="D6943" s="22" t="str">
        <f>HYPERLINK("https://rhld.insurance.arkansas.gov/NPILookup?Npi=1508868258","1508868258")</f>
        <v>1508868258</v>
      </c>
      <c r="E6943" s="1" t="s">
        <v>18277</v>
      </c>
      <c r="F6943" s="2"/>
      <c r="G6943" s="2"/>
      <c r="H6943" s="2"/>
    </row>
    <row r="6944" spans="1:8" x14ac:dyDescent="0.25">
      <c r="A6944" s="1"/>
      <c r="B6944" s="1" t="s">
        <v>4609</v>
      </c>
      <c r="C6944" s="1" t="s">
        <v>4610</v>
      </c>
      <c r="D6944" s="22" t="str">
        <f>HYPERLINK("https://rhld.insurance.arkansas.gov/NPILookup?Npi=1518181775","1518181775")</f>
        <v>1518181775</v>
      </c>
      <c r="E6944" s="1" t="s">
        <v>4655</v>
      </c>
      <c r="F6944" s="2"/>
      <c r="G6944" s="2"/>
      <c r="H6944" s="2"/>
    </row>
    <row r="6945" spans="1:8" x14ac:dyDescent="0.25">
      <c r="A6945" s="1"/>
      <c r="B6945" s="1" t="s">
        <v>4609</v>
      </c>
      <c r="C6945" s="1" t="s">
        <v>4610</v>
      </c>
      <c r="D6945" s="22" t="str">
        <f>HYPERLINK("https://rhld.insurance.arkansas.gov/NPILookup?Npi=1518908854","1518908854")</f>
        <v>1518908854</v>
      </c>
      <c r="E6945" s="1" t="s">
        <v>4656</v>
      </c>
      <c r="F6945" s="2"/>
      <c r="G6945" s="2"/>
      <c r="H6945" s="2"/>
    </row>
    <row r="6946" spans="1:8" x14ac:dyDescent="0.25">
      <c r="A6946" s="1"/>
      <c r="B6946" s="1" t="s">
        <v>4609</v>
      </c>
      <c r="C6946" s="1" t="s">
        <v>4610</v>
      </c>
      <c r="D6946" s="22" t="str">
        <f>HYPERLINK("https://rhld.insurance.arkansas.gov/NPILookup?Npi=1518950823","1518950823")</f>
        <v>1518950823</v>
      </c>
      <c r="E6946" s="1" t="s">
        <v>18278</v>
      </c>
      <c r="F6946" s="2"/>
      <c r="G6946" s="2"/>
      <c r="H6946" s="2"/>
    </row>
    <row r="6947" spans="1:8" x14ac:dyDescent="0.25">
      <c r="A6947" s="1"/>
      <c r="B6947" s="1" t="s">
        <v>4609</v>
      </c>
      <c r="C6947" s="1" t="s">
        <v>4610</v>
      </c>
      <c r="D6947" s="22" t="str">
        <f>HYPERLINK("https://rhld.insurance.arkansas.gov/NPILookup?Npi=1518965813","1518965813")</f>
        <v>1518965813</v>
      </c>
      <c r="E6947" s="1" t="s">
        <v>18279</v>
      </c>
      <c r="F6947" s="2"/>
      <c r="G6947" s="2"/>
      <c r="H6947" s="2"/>
    </row>
    <row r="6948" spans="1:8" x14ac:dyDescent="0.25">
      <c r="A6948" s="1"/>
      <c r="B6948" s="1" t="s">
        <v>4609</v>
      </c>
      <c r="C6948" s="1" t="s">
        <v>4610</v>
      </c>
      <c r="D6948" s="22" t="str">
        <f>HYPERLINK("https://rhld.insurance.arkansas.gov/NPILookup?Npi=1528003977","1528003977")</f>
        <v>1528003977</v>
      </c>
      <c r="E6948" s="1" t="s">
        <v>10571</v>
      </c>
      <c r="F6948" s="2"/>
      <c r="G6948" s="2"/>
      <c r="H6948" s="2"/>
    </row>
    <row r="6949" spans="1:8" x14ac:dyDescent="0.25">
      <c r="A6949" s="1"/>
      <c r="B6949" s="1" t="s">
        <v>4609</v>
      </c>
      <c r="C6949" s="1" t="s">
        <v>4610</v>
      </c>
      <c r="D6949" s="22" t="str">
        <f>HYPERLINK("https://rhld.insurance.arkansas.gov/NPILookup?Npi=1528009669","1528009669")</f>
        <v>1528009669</v>
      </c>
      <c r="E6949" s="1" t="s">
        <v>18280</v>
      </c>
      <c r="F6949" s="2"/>
      <c r="G6949" s="2"/>
      <c r="H6949" s="2"/>
    </row>
    <row r="6950" spans="1:8" x14ac:dyDescent="0.25">
      <c r="A6950" s="1"/>
      <c r="B6950" s="1" t="s">
        <v>4609</v>
      </c>
      <c r="C6950" s="1" t="s">
        <v>4610</v>
      </c>
      <c r="D6950" s="22" t="str">
        <f>HYPERLINK("https://rhld.insurance.arkansas.gov/NPILookup?Npi=1528086048","1528086048")</f>
        <v>1528086048</v>
      </c>
      <c r="E6950" s="1" t="s">
        <v>31493</v>
      </c>
      <c r="F6950" s="2"/>
      <c r="G6950" s="2"/>
      <c r="H6950" s="2"/>
    </row>
    <row r="6951" spans="1:8" x14ac:dyDescent="0.25">
      <c r="A6951" s="1"/>
      <c r="B6951" s="1" t="s">
        <v>4609</v>
      </c>
      <c r="C6951" s="1" t="s">
        <v>4610</v>
      </c>
      <c r="D6951" s="22" t="str">
        <f>HYPERLINK("https://rhld.insurance.arkansas.gov/NPILookup?Npi=1538195128","1538195128")</f>
        <v>1538195128</v>
      </c>
      <c r="E6951" s="1" t="s">
        <v>4657</v>
      </c>
      <c r="F6951" s="2"/>
      <c r="G6951" s="2"/>
      <c r="H6951" s="2"/>
    </row>
    <row r="6952" spans="1:8" x14ac:dyDescent="0.25">
      <c r="A6952" s="1"/>
      <c r="B6952" s="1" t="s">
        <v>4609</v>
      </c>
      <c r="C6952" s="1" t="s">
        <v>4610</v>
      </c>
      <c r="D6952" s="22" t="str">
        <f>HYPERLINK("https://rhld.insurance.arkansas.gov/NPILookup?Npi=1538243720","1538243720")</f>
        <v>1538243720</v>
      </c>
      <c r="E6952" s="1" t="s">
        <v>10572</v>
      </c>
      <c r="F6952" s="2"/>
      <c r="G6952" s="2"/>
      <c r="H6952" s="2"/>
    </row>
    <row r="6953" spans="1:8" x14ac:dyDescent="0.25">
      <c r="A6953" s="1"/>
      <c r="B6953" s="1" t="s">
        <v>4609</v>
      </c>
      <c r="C6953" s="1" t="s">
        <v>4610</v>
      </c>
      <c r="D6953" s="22" t="str">
        <f>HYPERLINK("https://rhld.insurance.arkansas.gov/NPILookup?Npi=1538334800","1538334800")</f>
        <v>1538334800</v>
      </c>
      <c r="E6953" s="1" t="s">
        <v>18281</v>
      </c>
      <c r="F6953" s="2"/>
      <c r="G6953" s="2"/>
      <c r="H6953" s="2"/>
    </row>
    <row r="6954" spans="1:8" x14ac:dyDescent="0.25">
      <c r="A6954" s="1"/>
      <c r="B6954" s="1" t="s">
        <v>4609</v>
      </c>
      <c r="C6954" s="1" t="s">
        <v>4610</v>
      </c>
      <c r="D6954" s="22" t="str">
        <f>HYPERLINK("https://rhld.insurance.arkansas.gov/NPILookup?Npi=1538471701","1538471701")</f>
        <v>1538471701</v>
      </c>
      <c r="E6954" s="1" t="s">
        <v>4658</v>
      </c>
      <c r="F6954" s="2"/>
      <c r="G6954" s="2"/>
      <c r="H6954" s="2"/>
    </row>
    <row r="6955" spans="1:8" x14ac:dyDescent="0.25">
      <c r="A6955" s="1"/>
      <c r="B6955" s="1" t="s">
        <v>4609</v>
      </c>
      <c r="C6955" s="1" t="s">
        <v>4610</v>
      </c>
      <c r="D6955" s="22" t="str">
        <f>HYPERLINK("https://rhld.insurance.arkansas.gov/NPILookup?Npi=1548407034","1548407034")</f>
        <v>1548407034</v>
      </c>
      <c r="E6955" s="1" t="s">
        <v>18282</v>
      </c>
      <c r="F6955" s="2"/>
      <c r="G6955" s="2"/>
      <c r="H6955" s="2"/>
    </row>
    <row r="6956" spans="1:8" x14ac:dyDescent="0.25">
      <c r="A6956" s="1"/>
      <c r="B6956" s="1" t="s">
        <v>4609</v>
      </c>
      <c r="C6956" s="1" t="s">
        <v>4610</v>
      </c>
      <c r="D6956" s="22" t="str">
        <f>HYPERLINK("https://rhld.insurance.arkansas.gov/NPILookup?Npi=1558330431","1558330431")</f>
        <v>1558330431</v>
      </c>
      <c r="E6956" s="1" t="s">
        <v>18283</v>
      </c>
      <c r="F6956" s="2"/>
      <c r="G6956" s="2"/>
      <c r="H6956" s="2"/>
    </row>
    <row r="6957" spans="1:8" x14ac:dyDescent="0.25">
      <c r="A6957" s="1"/>
      <c r="B6957" s="1" t="s">
        <v>4609</v>
      </c>
      <c r="C6957" s="1" t="s">
        <v>4610</v>
      </c>
      <c r="D6957" s="22" t="str">
        <f>HYPERLINK("https://rhld.insurance.arkansas.gov/NPILookup?Npi=1558350900","1558350900")</f>
        <v>1558350900</v>
      </c>
      <c r="E6957" s="1" t="s">
        <v>18284</v>
      </c>
      <c r="F6957" s="2"/>
      <c r="G6957" s="2"/>
      <c r="H6957" s="2"/>
    </row>
    <row r="6958" spans="1:8" x14ac:dyDescent="0.25">
      <c r="A6958" s="1"/>
      <c r="B6958" s="1" t="s">
        <v>4609</v>
      </c>
      <c r="C6958" s="1" t="s">
        <v>4610</v>
      </c>
      <c r="D6958" s="22" t="str">
        <f>HYPERLINK("https://rhld.insurance.arkansas.gov/NPILookup?Npi=1558477489","1558477489")</f>
        <v>1558477489</v>
      </c>
      <c r="E6958" s="1" t="s">
        <v>18285</v>
      </c>
      <c r="F6958" s="2"/>
      <c r="G6958" s="2"/>
      <c r="H6958" s="2"/>
    </row>
    <row r="6959" spans="1:8" x14ac:dyDescent="0.25">
      <c r="A6959" s="1"/>
      <c r="B6959" s="1" t="s">
        <v>4609</v>
      </c>
      <c r="C6959" s="1" t="s">
        <v>4610</v>
      </c>
      <c r="D6959" s="22" t="str">
        <f>HYPERLINK("https://rhld.insurance.arkansas.gov/NPILookup?Npi=1568447142","1568447142")</f>
        <v>1568447142</v>
      </c>
      <c r="E6959" s="1" t="s">
        <v>10573</v>
      </c>
      <c r="F6959" s="2"/>
      <c r="G6959" s="2"/>
      <c r="H6959" s="2"/>
    </row>
    <row r="6960" spans="1:8" x14ac:dyDescent="0.25">
      <c r="A6960" s="1"/>
      <c r="B6960" s="1" t="s">
        <v>4609</v>
      </c>
      <c r="C6960" s="1" t="s">
        <v>4610</v>
      </c>
      <c r="D6960" s="22" t="str">
        <f>HYPERLINK("https://rhld.insurance.arkansas.gov/NPILookup?Npi=1568670321","1568670321")</f>
        <v>1568670321</v>
      </c>
      <c r="E6960" s="1" t="s">
        <v>18286</v>
      </c>
      <c r="F6960" s="2"/>
      <c r="G6960" s="2"/>
      <c r="H6960" s="2"/>
    </row>
    <row r="6961" spans="1:8" x14ac:dyDescent="0.25">
      <c r="A6961" s="1"/>
      <c r="B6961" s="1" t="s">
        <v>4609</v>
      </c>
      <c r="C6961" s="1" t="s">
        <v>4610</v>
      </c>
      <c r="D6961" s="22" t="str">
        <f>HYPERLINK("https://rhld.insurance.arkansas.gov/NPILookup?Npi=1588647150","1588647150")</f>
        <v>1588647150</v>
      </c>
      <c r="E6961" s="1" t="s">
        <v>18287</v>
      </c>
      <c r="F6961" s="2"/>
      <c r="G6961" s="2"/>
      <c r="H6961" s="2"/>
    </row>
    <row r="6962" spans="1:8" x14ac:dyDescent="0.25">
      <c r="A6962" s="1"/>
      <c r="B6962" s="1" t="s">
        <v>4609</v>
      </c>
      <c r="C6962" s="1" t="s">
        <v>4610</v>
      </c>
      <c r="D6962" s="22" t="str">
        <f>HYPERLINK("https://rhld.insurance.arkansas.gov/NPILookup?Npi=1588658462","1588658462")</f>
        <v>1588658462</v>
      </c>
      <c r="E6962" s="1" t="s">
        <v>18288</v>
      </c>
      <c r="F6962" s="2"/>
      <c r="G6962" s="2"/>
      <c r="H6962" s="2"/>
    </row>
    <row r="6963" spans="1:8" x14ac:dyDescent="0.25">
      <c r="A6963" s="1"/>
      <c r="B6963" s="1" t="s">
        <v>4609</v>
      </c>
      <c r="C6963" s="1" t="s">
        <v>4610</v>
      </c>
      <c r="D6963" s="22" t="str">
        <f>HYPERLINK("https://rhld.insurance.arkansas.gov/NPILookup?Npi=1588666143","1588666143")</f>
        <v>1588666143</v>
      </c>
      <c r="E6963" s="1" t="s">
        <v>18289</v>
      </c>
      <c r="F6963" s="2"/>
      <c r="G6963" s="2"/>
      <c r="H6963" s="2"/>
    </row>
    <row r="6964" spans="1:8" x14ac:dyDescent="0.25">
      <c r="A6964" s="1"/>
      <c r="B6964" s="1" t="s">
        <v>4609</v>
      </c>
      <c r="C6964" s="1" t="s">
        <v>4610</v>
      </c>
      <c r="D6964" s="22" t="str">
        <f>HYPERLINK("https://rhld.insurance.arkansas.gov/NPILookup?Npi=1588735617","1588735617")</f>
        <v>1588735617</v>
      </c>
      <c r="E6964" s="1" t="s">
        <v>4659</v>
      </c>
      <c r="F6964" s="2"/>
      <c r="G6964" s="2"/>
      <c r="H6964" s="2"/>
    </row>
    <row r="6965" spans="1:8" x14ac:dyDescent="0.25">
      <c r="A6965" s="1"/>
      <c r="B6965" s="1" t="s">
        <v>4609</v>
      </c>
      <c r="C6965" s="1" t="s">
        <v>4610</v>
      </c>
      <c r="D6965" s="22" t="str">
        <f>HYPERLINK("https://rhld.insurance.arkansas.gov/NPILookup?Npi=1588831721","1588831721")</f>
        <v>1588831721</v>
      </c>
      <c r="E6965" s="1" t="s">
        <v>10574</v>
      </c>
      <c r="F6965" s="2"/>
      <c r="G6965" s="2"/>
      <c r="H6965" s="2"/>
    </row>
    <row r="6966" spans="1:8" x14ac:dyDescent="0.25">
      <c r="A6966" s="1"/>
      <c r="B6966" s="1" t="s">
        <v>4609</v>
      </c>
      <c r="C6966" s="1" t="s">
        <v>4610</v>
      </c>
      <c r="D6966" s="22" t="str">
        <f>HYPERLINK("https://rhld.insurance.arkansas.gov/NPILookup?Npi=1598772402","1598772402")</f>
        <v>1598772402</v>
      </c>
      <c r="E6966" s="1" t="s">
        <v>18290</v>
      </c>
      <c r="F6966" s="2"/>
      <c r="G6966" s="2"/>
      <c r="H6966" s="2"/>
    </row>
    <row r="6967" spans="1:8" x14ac:dyDescent="0.25">
      <c r="A6967" s="1"/>
      <c r="B6967" s="1" t="s">
        <v>4609</v>
      </c>
      <c r="C6967" s="1" t="s">
        <v>4610</v>
      </c>
      <c r="D6967" s="22" t="str">
        <f>HYPERLINK("https://rhld.insurance.arkansas.gov/NPILookup?Npi=1598820268","1598820268")</f>
        <v>1598820268</v>
      </c>
      <c r="E6967" s="1" t="s">
        <v>18291</v>
      </c>
      <c r="F6967" s="2"/>
      <c r="G6967" s="2"/>
      <c r="H6967" s="2"/>
    </row>
    <row r="6968" spans="1:8" x14ac:dyDescent="0.25">
      <c r="A6968" s="1"/>
      <c r="B6968" s="1" t="s">
        <v>4609</v>
      </c>
      <c r="C6968" s="1" t="s">
        <v>4610</v>
      </c>
      <c r="D6968" s="22" t="str">
        <f>HYPERLINK("https://rhld.insurance.arkansas.gov/NPILookup?Npi=1609808062","1609808062")</f>
        <v>1609808062</v>
      </c>
      <c r="E6968" s="1" t="s">
        <v>18292</v>
      </c>
      <c r="F6968" s="2"/>
      <c r="G6968" s="2"/>
      <c r="H6968" s="2"/>
    </row>
    <row r="6969" spans="1:8" x14ac:dyDescent="0.25">
      <c r="A6969" s="1"/>
      <c r="B6969" s="1" t="s">
        <v>4609</v>
      </c>
      <c r="C6969" s="1" t="s">
        <v>4610</v>
      </c>
      <c r="D6969" s="22" t="str">
        <f>HYPERLINK("https://rhld.insurance.arkansas.gov/NPILookup?Npi=1609848738","1609848738")</f>
        <v>1609848738</v>
      </c>
      <c r="E6969" s="1" t="s">
        <v>4660</v>
      </c>
      <c r="F6969" s="2"/>
      <c r="G6969" s="2"/>
      <c r="H6969" s="2"/>
    </row>
    <row r="6970" spans="1:8" x14ac:dyDescent="0.25">
      <c r="A6970" s="1"/>
      <c r="B6970" s="1" t="s">
        <v>4609</v>
      </c>
      <c r="C6970" s="1" t="s">
        <v>4610</v>
      </c>
      <c r="D6970" s="22" t="str">
        <f>HYPERLINK("https://rhld.insurance.arkansas.gov/NPILookup?Npi=1609872704","1609872704")</f>
        <v>1609872704</v>
      </c>
      <c r="E6970" s="1" t="s">
        <v>360</v>
      </c>
      <c r="F6970" s="2"/>
      <c r="G6970" s="2"/>
      <c r="H6970" s="2"/>
    </row>
    <row r="6971" spans="1:8" x14ac:dyDescent="0.25">
      <c r="A6971" s="1"/>
      <c r="B6971" s="1" t="s">
        <v>4609</v>
      </c>
      <c r="C6971" s="1" t="s">
        <v>4610</v>
      </c>
      <c r="D6971" s="22" t="str">
        <f>HYPERLINK("https://rhld.insurance.arkansas.gov/NPILookup?Npi=1609898006","1609898006")</f>
        <v>1609898006</v>
      </c>
      <c r="E6971" s="1" t="s">
        <v>10575</v>
      </c>
      <c r="F6971" s="2"/>
      <c r="G6971" s="2"/>
      <c r="H6971" s="2"/>
    </row>
    <row r="6972" spans="1:8" x14ac:dyDescent="0.25">
      <c r="A6972" s="1"/>
      <c r="B6972" s="1" t="s">
        <v>4609</v>
      </c>
      <c r="C6972" s="1" t="s">
        <v>4610</v>
      </c>
      <c r="D6972" s="22" t="str">
        <f>HYPERLINK("https://rhld.insurance.arkansas.gov/NPILookup?Npi=1619905122","1619905122")</f>
        <v>1619905122</v>
      </c>
      <c r="E6972" s="1" t="s">
        <v>4661</v>
      </c>
      <c r="F6972" s="2"/>
      <c r="G6972" s="2"/>
      <c r="H6972" s="2"/>
    </row>
    <row r="6973" spans="1:8" x14ac:dyDescent="0.25">
      <c r="A6973" s="1"/>
      <c r="B6973" s="1" t="s">
        <v>4609</v>
      </c>
      <c r="C6973" s="1" t="s">
        <v>4610</v>
      </c>
      <c r="D6973" s="22" t="str">
        <f>HYPERLINK("https://rhld.insurance.arkansas.gov/NPILookup?Npi=1619922275","1619922275")</f>
        <v>1619922275</v>
      </c>
      <c r="E6973" s="1" t="s">
        <v>18293</v>
      </c>
      <c r="F6973" s="2"/>
      <c r="G6973" s="2"/>
      <c r="H6973" s="2"/>
    </row>
    <row r="6974" spans="1:8" x14ac:dyDescent="0.25">
      <c r="A6974" s="1"/>
      <c r="B6974" s="1" t="s">
        <v>4609</v>
      </c>
      <c r="C6974" s="1" t="s">
        <v>4610</v>
      </c>
      <c r="D6974" s="22" t="str">
        <f>HYPERLINK("https://rhld.insurance.arkansas.gov/NPILookup?Npi=1619949690","1619949690")</f>
        <v>1619949690</v>
      </c>
      <c r="E6974" s="1" t="s">
        <v>31494</v>
      </c>
      <c r="F6974" s="2"/>
      <c r="G6974" s="2"/>
      <c r="H6974" s="2"/>
    </row>
    <row r="6975" spans="1:8" x14ac:dyDescent="0.25">
      <c r="A6975" s="1"/>
      <c r="B6975" s="1" t="s">
        <v>4609</v>
      </c>
      <c r="C6975" s="1" t="s">
        <v>4610</v>
      </c>
      <c r="D6975" s="22" t="str">
        <f>HYPERLINK("https://rhld.insurance.arkansas.gov/NPILookup?Npi=1629025697","1629025697")</f>
        <v>1629025697</v>
      </c>
      <c r="E6975" s="1" t="s">
        <v>4662</v>
      </c>
      <c r="F6975" s="2"/>
      <c r="G6975" s="2"/>
      <c r="H6975" s="2"/>
    </row>
    <row r="6976" spans="1:8" x14ac:dyDescent="0.25">
      <c r="A6976" s="1"/>
      <c r="B6976" s="1" t="s">
        <v>4609</v>
      </c>
      <c r="C6976" s="1" t="s">
        <v>4610</v>
      </c>
      <c r="D6976" s="22" t="str">
        <f>HYPERLINK("https://rhld.insurance.arkansas.gov/NPILookup?Npi=1629564042","1629564042")</f>
        <v>1629564042</v>
      </c>
      <c r="E6976" s="1" t="s">
        <v>18294</v>
      </c>
      <c r="F6976" s="2"/>
      <c r="G6976" s="2"/>
      <c r="H6976" s="2"/>
    </row>
    <row r="6977" spans="1:8" x14ac:dyDescent="0.25">
      <c r="A6977" s="1"/>
      <c r="B6977" s="1" t="s">
        <v>4609</v>
      </c>
      <c r="C6977" s="1" t="s">
        <v>4610</v>
      </c>
      <c r="D6977" s="22" t="str">
        <f>HYPERLINK("https://rhld.insurance.arkansas.gov/NPILookup?Npi=1639628068","1639628068")</f>
        <v>1639628068</v>
      </c>
      <c r="E6977" s="1" t="s">
        <v>10576</v>
      </c>
      <c r="F6977" s="2"/>
      <c r="G6977" s="2"/>
      <c r="H6977" s="2"/>
    </row>
    <row r="6978" spans="1:8" x14ac:dyDescent="0.25">
      <c r="A6978" s="1"/>
      <c r="B6978" s="1" t="s">
        <v>4609</v>
      </c>
      <c r="C6978" s="1" t="s">
        <v>4610</v>
      </c>
      <c r="D6978" s="22" t="str">
        <f>HYPERLINK("https://rhld.insurance.arkansas.gov/NPILookup?Npi=1659372613","1659372613")</f>
        <v>1659372613</v>
      </c>
      <c r="E6978" s="1" t="s">
        <v>17749</v>
      </c>
      <c r="F6978" s="2"/>
      <c r="G6978" s="2"/>
      <c r="H6978" s="2"/>
    </row>
    <row r="6979" spans="1:8" x14ac:dyDescent="0.25">
      <c r="A6979" s="1"/>
      <c r="B6979" s="1" t="s">
        <v>4609</v>
      </c>
      <c r="C6979" s="1" t="s">
        <v>4610</v>
      </c>
      <c r="D6979" s="22" t="str">
        <f>HYPERLINK("https://rhld.insurance.arkansas.gov/NPILookup?Npi=1659558260","1659558260")</f>
        <v>1659558260</v>
      </c>
      <c r="E6979" s="1" t="s">
        <v>18295</v>
      </c>
      <c r="F6979" s="2"/>
      <c r="G6979" s="2"/>
      <c r="H6979" s="2"/>
    </row>
    <row r="6980" spans="1:8" x14ac:dyDescent="0.25">
      <c r="A6980" s="1"/>
      <c r="B6980" s="1" t="s">
        <v>4609</v>
      </c>
      <c r="C6980" s="1" t="s">
        <v>4610</v>
      </c>
      <c r="D6980" s="22" t="str">
        <f>HYPERLINK("https://rhld.insurance.arkansas.gov/NPILookup?Npi=1659832772","1659832772")</f>
        <v>1659832772</v>
      </c>
      <c r="E6980" s="1" t="s">
        <v>31495</v>
      </c>
      <c r="F6980" s="2"/>
      <c r="G6980" s="2"/>
      <c r="H6980" s="2"/>
    </row>
    <row r="6981" spans="1:8" x14ac:dyDescent="0.25">
      <c r="A6981" s="1"/>
      <c r="B6981" s="1" t="s">
        <v>4609</v>
      </c>
      <c r="C6981" s="1" t="s">
        <v>4610</v>
      </c>
      <c r="D6981" s="22" t="str">
        <f>HYPERLINK("https://rhld.insurance.arkansas.gov/NPILookup?Npi=1669444642","1669444642")</f>
        <v>1669444642</v>
      </c>
      <c r="E6981" s="1" t="s">
        <v>4663</v>
      </c>
      <c r="F6981" s="2"/>
      <c r="G6981" s="2"/>
      <c r="H6981" s="2"/>
    </row>
    <row r="6982" spans="1:8" x14ac:dyDescent="0.25">
      <c r="A6982" s="1"/>
      <c r="B6982" s="1" t="s">
        <v>4609</v>
      </c>
      <c r="C6982" s="1" t="s">
        <v>4610</v>
      </c>
      <c r="D6982" s="22" t="str">
        <f>HYPERLINK("https://rhld.insurance.arkansas.gov/NPILookup?Npi=1679530687","1679530687")</f>
        <v>1679530687</v>
      </c>
      <c r="E6982" s="1" t="s">
        <v>10577</v>
      </c>
      <c r="F6982" s="2"/>
      <c r="G6982" s="2"/>
      <c r="H6982" s="2"/>
    </row>
    <row r="6983" spans="1:8" x14ac:dyDescent="0.25">
      <c r="A6983" s="1"/>
      <c r="B6983" s="1" t="s">
        <v>4609</v>
      </c>
      <c r="C6983" s="1" t="s">
        <v>4610</v>
      </c>
      <c r="D6983" s="22" t="str">
        <f>HYPERLINK("https://rhld.insurance.arkansas.gov/NPILookup?Npi=1679734933","1679734933")</f>
        <v>1679734933</v>
      </c>
      <c r="E6983" s="1" t="s">
        <v>10578</v>
      </c>
      <c r="F6983" s="2"/>
      <c r="G6983" s="2"/>
      <c r="H6983" s="2"/>
    </row>
    <row r="6984" spans="1:8" x14ac:dyDescent="0.25">
      <c r="A6984" s="1"/>
      <c r="B6984" s="1" t="s">
        <v>4609</v>
      </c>
      <c r="C6984" s="1" t="s">
        <v>4610</v>
      </c>
      <c r="D6984" s="22" t="str">
        <f>HYPERLINK("https://rhld.insurance.arkansas.gov/NPILookup?Npi=1689038416","1689038416")</f>
        <v>1689038416</v>
      </c>
      <c r="E6984" s="1" t="s">
        <v>18296</v>
      </c>
      <c r="F6984" s="2"/>
      <c r="G6984" s="2"/>
      <c r="H6984" s="2"/>
    </row>
    <row r="6985" spans="1:8" x14ac:dyDescent="0.25">
      <c r="A6985" s="1"/>
      <c r="B6985" s="1" t="s">
        <v>4609</v>
      </c>
      <c r="C6985" s="1" t="s">
        <v>4610</v>
      </c>
      <c r="D6985" s="22" t="str">
        <f>HYPERLINK("https://rhld.insurance.arkansas.gov/NPILookup?Npi=1689633760","1689633760")</f>
        <v>1689633760</v>
      </c>
      <c r="E6985" s="1" t="s">
        <v>17787</v>
      </c>
      <c r="F6985" s="2"/>
      <c r="G6985" s="2"/>
      <c r="H6985" s="2"/>
    </row>
    <row r="6986" spans="1:8" x14ac:dyDescent="0.25">
      <c r="A6986" s="1"/>
      <c r="B6986" s="1" t="s">
        <v>4609</v>
      </c>
      <c r="C6986" s="1" t="s">
        <v>4610</v>
      </c>
      <c r="D6986" s="22" t="str">
        <f>HYPERLINK("https://rhld.insurance.arkansas.gov/NPILookup?Npi=1689678468","1689678468")</f>
        <v>1689678468</v>
      </c>
      <c r="E6986" s="1" t="s">
        <v>18297</v>
      </c>
      <c r="F6986" s="2"/>
      <c r="G6986" s="2"/>
      <c r="H6986" s="2"/>
    </row>
    <row r="6987" spans="1:8" x14ac:dyDescent="0.25">
      <c r="A6987" s="1"/>
      <c r="B6987" s="1" t="s">
        <v>4609</v>
      </c>
      <c r="C6987" s="1" t="s">
        <v>4610</v>
      </c>
      <c r="D6987" s="22" t="str">
        <f>HYPERLINK("https://rhld.insurance.arkansas.gov/NPILookup?Npi=1689684839","1689684839")</f>
        <v>1689684839</v>
      </c>
      <c r="E6987" s="1" t="s">
        <v>10579</v>
      </c>
      <c r="F6987" s="2"/>
      <c r="G6987" s="2"/>
      <c r="H6987" s="2"/>
    </row>
    <row r="6988" spans="1:8" x14ac:dyDescent="0.25">
      <c r="A6988" s="1"/>
      <c r="B6988" s="1" t="s">
        <v>4609</v>
      </c>
      <c r="C6988" s="1" t="s">
        <v>4610</v>
      </c>
      <c r="D6988" s="22" t="str">
        <f>HYPERLINK("https://rhld.insurance.arkansas.gov/NPILookup?Npi=1689764151","1689764151")</f>
        <v>1689764151</v>
      </c>
      <c r="E6988" s="1" t="s">
        <v>4664</v>
      </c>
      <c r="F6988" s="2"/>
      <c r="G6988" s="2"/>
      <c r="H6988" s="2"/>
    </row>
    <row r="6989" spans="1:8" x14ac:dyDescent="0.25">
      <c r="A6989" s="1"/>
      <c r="B6989" s="1" t="s">
        <v>4609</v>
      </c>
      <c r="C6989" s="1" t="s">
        <v>4610</v>
      </c>
      <c r="D6989" s="22" t="str">
        <f>HYPERLINK("https://rhld.insurance.arkansas.gov/NPILookup?Npi=1699162206","1699162206")</f>
        <v>1699162206</v>
      </c>
      <c r="E6989" s="1" t="s">
        <v>4665</v>
      </c>
      <c r="F6989" s="2"/>
      <c r="G6989" s="2"/>
      <c r="H6989" s="2"/>
    </row>
    <row r="6990" spans="1:8" x14ac:dyDescent="0.25">
      <c r="A6990" s="1"/>
      <c r="B6990" s="1" t="s">
        <v>4609</v>
      </c>
      <c r="C6990" s="1" t="s">
        <v>4610</v>
      </c>
      <c r="D6990" s="22" t="str">
        <f>HYPERLINK("https://rhld.insurance.arkansas.gov/NPILookup?Npi=1699707638","1699707638")</f>
        <v>1699707638</v>
      </c>
      <c r="E6990" s="1" t="s">
        <v>18298</v>
      </c>
      <c r="F6990" s="2"/>
      <c r="G6990" s="2"/>
      <c r="H6990" s="2"/>
    </row>
    <row r="6991" spans="1:8" x14ac:dyDescent="0.25">
      <c r="A6991" s="1"/>
      <c r="B6991" s="1" t="s">
        <v>4609</v>
      </c>
      <c r="C6991" s="1" t="s">
        <v>4610</v>
      </c>
      <c r="D6991" s="22" t="str">
        <f>HYPERLINK("https://rhld.insurance.arkansas.gov/NPILookup?Npi=1699762484","1699762484")</f>
        <v>1699762484</v>
      </c>
      <c r="E6991" s="1" t="s">
        <v>4666</v>
      </c>
      <c r="F6991" s="2"/>
      <c r="G6991" s="2"/>
      <c r="H6991" s="2"/>
    </row>
    <row r="6992" spans="1:8" x14ac:dyDescent="0.25">
      <c r="A6992" s="1"/>
      <c r="B6992" s="1" t="s">
        <v>4609</v>
      </c>
      <c r="C6992" s="1" t="s">
        <v>4610</v>
      </c>
      <c r="D6992" s="22" t="str">
        <f>HYPERLINK("https://rhld.insurance.arkansas.gov/NPILookup?Npi=1699774869","1699774869")</f>
        <v>1699774869</v>
      </c>
      <c r="E6992" s="1" t="s">
        <v>4667</v>
      </c>
      <c r="F6992" s="2"/>
      <c r="G6992" s="2"/>
      <c r="H6992" s="2"/>
    </row>
    <row r="6993" spans="1:8" x14ac:dyDescent="0.25">
      <c r="A6993" s="1"/>
      <c r="B6993" s="1" t="s">
        <v>4609</v>
      </c>
      <c r="C6993" s="1" t="s">
        <v>4610</v>
      </c>
      <c r="D6993" s="22" t="str">
        <f>HYPERLINK("https://rhld.insurance.arkansas.gov/NPILookup?Npi=1699777409","1699777409")</f>
        <v>1699777409</v>
      </c>
      <c r="E6993" s="1" t="s">
        <v>4455</v>
      </c>
      <c r="F6993" s="2"/>
      <c r="G6993" s="2"/>
      <c r="H6993" s="2"/>
    </row>
    <row r="6994" spans="1:8" x14ac:dyDescent="0.25">
      <c r="A6994" s="1"/>
      <c r="B6994" s="1" t="s">
        <v>4609</v>
      </c>
      <c r="C6994" s="1" t="s">
        <v>4610</v>
      </c>
      <c r="D6994" s="22" t="str">
        <f>HYPERLINK("https://rhld.insurance.arkansas.gov/NPILookup?Npi=1700822384","1700822384")</f>
        <v>1700822384</v>
      </c>
      <c r="E6994" s="1" t="s">
        <v>18299</v>
      </c>
      <c r="F6994" s="2"/>
      <c r="G6994" s="2"/>
      <c r="H6994" s="2"/>
    </row>
    <row r="6995" spans="1:8" x14ac:dyDescent="0.25">
      <c r="A6995" s="1"/>
      <c r="B6995" s="1" t="s">
        <v>4609</v>
      </c>
      <c r="C6995" s="1" t="s">
        <v>4610</v>
      </c>
      <c r="D6995" s="22" t="str">
        <f>HYPERLINK("https://rhld.insurance.arkansas.gov/NPILookup?Npi=1700888385","1700888385")</f>
        <v>1700888385</v>
      </c>
      <c r="E6995" s="1" t="s">
        <v>18300</v>
      </c>
      <c r="F6995" s="2"/>
      <c r="G6995" s="2"/>
      <c r="H6995" s="2"/>
    </row>
    <row r="6996" spans="1:8" x14ac:dyDescent="0.25">
      <c r="A6996" s="1"/>
      <c r="B6996" s="1" t="s">
        <v>4609</v>
      </c>
      <c r="C6996" s="1" t="s">
        <v>4610</v>
      </c>
      <c r="D6996" s="22" t="str">
        <f>HYPERLINK("https://rhld.insurance.arkansas.gov/NPILookup?Npi=1700931755","1700931755")</f>
        <v>1700931755</v>
      </c>
      <c r="E6996" s="1" t="s">
        <v>4668</v>
      </c>
      <c r="F6996" s="2"/>
      <c r="G6996" s="2"/>
      <c r="H6996" s="2"/>
    </row>
    <row r="6997" spans="1:8" x14ac:dyDescent="0.25">
      <c r="A6997" s="1"/>
      <c r="B6997" s="1" t="s">
        <v>4609</v>
      </c>
      <c r="C6997" s="1" t="s">
        <v>4610</v>
      </c>
      <c r="D6997" s="22" t="str">
        <f>HYPERLINK("https://rhld.insurance.arkansas.gov/NPILookup?Npi=1710915061","1710915061")</f>
        <v>1710915061</v>
      </c>
      <c r="E6997" s="1" t="s">
        <v>18301</v>
      </c>
      <c r="F6997" s="2"/>
      <c r="G6997" s="2"/>
      <c r="H6997" s="2"/>
    </row>
    <row r="6998" spans="1:8" x14ac:dyDescent="0.25">
      <c r="A6998" s="1"/>
      <c r="B6998" s="1" t="s">
        <v>4609</v>
      </c>
      <c r="C6998" s="1" t="s">
        <v>4610</v>
      </c>
      <c r="D6998" s="22" t="str">
        <f>HYPERLINK("https://rhld.insurance.arkansas.gov/NPILookup?Npi=1710943048","1710943048")</f>
        <v>1710943048</v>
      </c>
      <c r="E6998" s="1" t="s">
        <v>18302</v>
      </c>
      <c r="F6998" s="2"/>
      <c r="G6998" s="2"/>
      <c r="H6998" s="2"/>
    </row>
    <row r="6999" spans="1:8" x14ac:dyDescent="0.25">
      <c r="A6999" s="1"/>
      <c r="B6999" s="1" t="s">
        <v>4609</v>
      </c>
      <c r="C6999" s="1" t="s">
        <v>4610</v>
      </c>
      <c r="D6999" s="22" t="str">
        <f>HYPERLINK("https://rhld.insurance.arkansas.gov/NPILookup?Npi=1720021702","1720021702")</f>
        <v>1720021702</v>
      </c>
      <c r="E6999" s="1" t="s">
        <v>4669</v>
      </c>
      <c r="F6999" s="2"/>
      <c r="G6999" s="2"/>
      <c r="H6999" s="2"/>
    </row>
    <row r="7000" spans="1:8" x14ac:dyDescent="0.25">
      <c r="A7000" s="1"/>
      <c r="B7000" s="1" t="s">
        <v>4609</v>
      </c>
      <c r="C7000" s="1" t="s">
        <v>4610</v>
      </c>
      <c r="D7000" s="22" t="str">
        <f>HYPERLINK("https://rhld.insurance.arkansas.gov/NPILookup?Npi=1720068315","1720068315")</f>
        <v>1720068315</v>
      </c>
      <c r="E7000" s="1" t="s">
        <v>18303</v>
      </c>
      <c r="F7000" s="2"/>
      <c r="G7000" s="2"/>
      <c r="H7000" s="2"/>
    </row>
    <row r="7001" spans="1:8" x14ac:dyDescent="0.25">
      <c r="A7001" s="1"/>
      <c r="B7001" s="1" t="s">
        <v>4609</v>
      </c>
      <c r="C7001" s="1" t="s">
        <v>4610</v>
      </c>
      <c r="D7001" s="22" t="str">
        <f>HYPERLINK("https://rhld.insurance.arkansas.gov/NPILookup?Npi=1730280165","1730280165")</f>
        <v>1730280165</v>
      </c>
      <c r="E7001" s="1" t="s">
        <v>13435</v>
      </c>
      <c r="F7001" s="2"/>
      <c r="G7001" s="2"/>
      <c r="H7001" s="2"/>
    </row>
    <row r="7002" spans="1:8" x14ac:dyDescent="0.25">
      <c r="A7002" s="1"/>
      <c r="B7002" s="1" t="s">
        <v>4609</v>
      </c>
      <c r="C7002" s="1" t="s">
        <v>4610</v>
      </c>
      <c r="D7002" s="22" t="str">
        <f>HYPERLINK("https://rhld.insurance.arkansas.gov/NPILookup?Npi=1730398660","1730398660")</f>
        <v>1730398660</v>
      </c>
      <c r="E7002" s="1" t="s">
        <v>18304</v>
      </c>
      <c r="F7002" s="2"/>
      <c r="G7002" s="2"/>
      <c r="H7002" s="2"/>
    </row>
    <row r="7003" spans="1:8" x14ac:dyDescent="0.25">
      <c r="A7003" s="1"/>
      <c r="B7003" s="1" t="s">
        <v>4609</v>
      </c>
      <c r="C7003" s="1" t="s">
        <v>4610</v>
      </c>
      <c r="D7003" s="22" t="str">
        <f>HYPERLINK("https://rhld.insurance.arkansas.gov/NPILookup?Npi=1740227321","1740227321")</f>
        <v>1740227321</v>
      </c>
      <c r="E7003" s="1" t="s">
        <v>18305</v>
      </c>
      <c r="F7003" s="2"/>
      <c r="G7003" s="2"/>
      <c r="H7003" s="2"/>
    </row>
    <row r="7004" spans="1:8" x14ac:dyDescent="0.25">
      <c r="A7004" s="1"/>
      <c r="B7004" s="1" t="s">
        <v>4609</v>
      </c>
      <c r="C7004" s="1" t="s">
        <v>4610</v>
      </c>
      <c r="D7004" s="22" t="str">
        <f>HYPERLINK("https://rhld.insurance.arkansas.gov/NPILookup?Npi=1740276955","1740276955")</f>
        <v>1740276955</v>
      </c>
      <c r="E7004" s="1" t="s">
        <v>18306</v>
      </c>
      <c r="F7004" s="2"/>
      <c r="G7004" s="2"/>
      <c r="H7004" s="2"/>
    </row>
    <row r="7005" spans="1:8" x14ac:dyDescent="0.25">
      <c r="A7005" s="1"/>
      <c r="B7005" s="1" t="s">
        <v>4609</v>
      </c>
      <c r="C7005" s="1" t="s">
        <v>4610</v>
      </c>
      <c r="D7005" s="22" t="str">
        <f>HYPERLINK("https://rhld.insurance.arkansas.gov/NPILookup?Npi=1740411370","1740411370")</f>
        <v>1740411370</v>
      </c>
      <c r="E7005" s="1" t="s">
        <v>10580</v>
      </c>
      <c r="F7005" s="2"/>
      <c r="G7005" s="2"/>
      <c r="H7005" s="2"/>
    </row>
    <row r="7006" spans="1:8" x14ac:dyDescent="0.25">
      <c r="A7006" s="1"/>
      <c r="B7006" s="1" t="s">
        <v>4609</v>
      </c>
      <c r="C7006" s="1" t="s">
        <v>4610</v>
      </c>
      <c r="D7006" s="22" t="str">
        <f>HYPERLINK("https://rhld.insurance.arkansas.gov/NPILookup?Npi=1750385563","1750385563")</f>
        <v>1750385563</v>
      </c>
      <c r="E7006" s="1" t="s">
        <v>18307</v>
      </c>
      <c r="F7006" s="2"/>
      <c r="G7006" s="2"/>
      <c r="H7006" s="2"/>
    </row>
    <row r="7007" spans="1:8" x14ac:dyDescent="0.25">
      <c r="A7007" s="1"/>
      <c r="B7007" s="1" t="s">
        <v>4609</v>
      </c>
      <c r="C7007" s="1" t="s">
        <v>4610</v>
      </c>
      <c r="D7007" s="22" t="str">
        <f>HYPERLINK("https://rhld.insurance.arkansas.gov/NPILookup?Npi=1750612065","1750612065")</f>
        <v>1750612065</v>
      </c>
      <c r="E7007" s="1" t="s">
        <v>10581</v>
      </c>
      <c r="F7007" s="2"/>
      <c r="G7007" s="2"/>
      <c r="H7007" s="2"/>
    </row>
    <row r="7008" spans="1:8" x14ac:dyDescent="0.25">
      <c r="A7008" s="1"/>
      <c r="B7008" s="1" t="s">
        <v>4609</v>
      </c>
      <c r="C7008" s="1" t="s">
        <v>4610</v>
      </c>
      <c r="D7008" s="22" t="str">
        <f>HYPERLINK("https://rhld.insurance.arkansas.gov/NPILookup?Npi=1760484372","1760484372")</f>
        <v>1760484372</v>
      </c>
      <c r="E7008" s="1" t="s">
        <v>10582</v>
      </c>
      <c r="F7008" s="2"/>
      <c r="G7008" s="2"/>
      <c r="H7008" s="2"/>
    </row>
    <row r="7009" spans="1:8" x14ac:dyDescent="0.25">
      <c r="A7009" s="1"/>
      <c r="B7009" s="1" t="s">
        <v>4609</v>
      </c>
      <c r="C7009" s="1" t="s">
        <v>4610</v>
      </c>
      <c r="D7009" s="22" t="str">
        <f>HYPERLINK("https://rhld.insurance.arkansas.gov/NPILookup?Npi=1770511792","1770511792")</f>
        <v>1770511792</v>
      </c>
      <c r="E7009" s="1" t="s">
        <v>4670</v>
      </c>
      <c r="F7009" s="2"/>
      <c r="G7009" s="2"/>
      <c r="H7009" s="2"/>
    </row>
    <row r="7010" spans="1:8" x14ac:dyDescent="0.25">
      <c r="A7010" s="1"/>
      <c r="B7010" s="1" t="s">
        <v>4609</v>
      </c>
      <c r="C7010" s="1" t="s">
        <v>4610</v>
      </c>
      <c r="D7010" s="22" t="str">
        <f>HYPERLINK("https://rhld.insurance.arkansas.gov/NPILookup?Npi=1770566796","1770566796")</f>
        <v>1770566796</v>
      </c>
      <c r="E7010" s="1" t="s">
        <v>4671</v>
      </c>
      <c r="F7010" s="2"/>
      <c r="G7010" s="2"/>
      <c r="H7010" s="2"/>
    </row>
    <row r="7011" spans="1:8" x14ac:dyDescent="0.25">
      <c r="A7011" s="1"/>
      <c r="B7011" s="1" t="s">
        <v>4609</v>
      </c>
      <c r="C7011" s="1" t="s">
        <v>4610</v>
      </c>
      <c r="D7011" s="22" t="str">
        <f>HYPERLINK("https://rhld.insurance.arkansas.gov/NPILookup?Npi=1770775157","1770775157")</f>
        <v>1770775157</v>
      </c>
      <c r="E7011" s="1" t="s">
        <v>18308</v>
      </c>
      <c r="F7011" s="2"/>
      <c r="G7011" s="2"/>
      <c r="H7011" s="2"/>
    </row>
    <row r="7012" spans="1:8" x14ac:dyDescent="0.25">
      <c r="A7012" s="1"/>
      <c r="B7012" s="1" t="s">
        <v>4609</v>
      </c>
      <c r="C7012" s="1" t="s">
        <v>4610</v>
      </c>
      <c r="D7012" s="22" t="str">
        <f>HYPERLINK("https://rhld.insurance.arkansas.gov/NPILookup?Npi=1780627034","1780627034")</f>
        <v>1780627034</v>
      </c>
      <c r="E7012" s="1" t="s">
        <v>18309</v>
      </c>
      <c r="F7012" s="2"/>
      <c r="G7012" s="2"/>
      <c r="H7012" s="2"/>
    </row>
    <row r="7013" spans="1:8" x14ac:dyDescent="0.25">
      <c r="A7013" s="1"/>
      <c r="B7013" s="1" t="s">
        <v>4609</v>
      </c>
      <c r="C7013" s="1" t="s">
        <v>4610</v>
      </c>
      <c r="D7013" s="22" t="str">
        <f>HYPERLINK("https://rhld.insurance.arkansas.gov/NPILookup?Npi=1780894717","1780894717")</f>
        <v>1780894717</v>
      </c>
      <c r="E7013" s="1" t="s">
        <v>18310</v>
      </c>
      <c r="F7013" s="2"/>
      <c r="G7013" s="2"/>
      <c r="H7013" s="2"/>
    </row>
    <row r="7014" spans="1:8" x14ac:dyDescent="0.25">
      <c r="A7014" s="1"/>
      <c r="B7014" s="1" t="s">
        <v>4609</v>
      </c>
      <c r="C7014" s="1" t="s">
        <v>4610</v>
      </c>
      <c r="D7014" s="22" t="str">
        <f>HYPERLINK("https://rhld.insurance.arkansas.gov/NPILookup?Npi=1790512895","1790512895")</f>
        <v>1790512895</v>
      </c>
      <c r="E7014" s="1" t="s">
        <v>18311</v>
      </c>
      <c r="F7014" s="2"/>
      <c r="G7014" s="2"/>
      <c r="H7014" s="2"/>
    </row>
    <row r="7015" spans="1:8" x14ac:dyDescent="0.25">
      <c r="A7015" s="1"/>
      <c r="B7015" s="1" t="s">
        <v>4609</v>
      </c>
      <c r="C7015" s="1" t="s">
        <v>4610</v>
      </c>
      <c r="D7015" s="22" t="str">
        <f>HYPERLINK("https://rhld.insurance.arkansas.gov/NPILookup?Npi=1790787455","1790787455")</f>
        <v>1790787455</v>
      </c>
      <c r="E7015" s="1" t="s">
        <v>4672</v>
      </c>
      <c r="F7015" s="2"/>
      <c r="G7015" s="2"/>
      <c r="H7015" s="2"/>
    </row>
    <row r="7016" spans="1:8" x14ac:dyDescent="0.25">
      <c r="A7016" s="1"/>
      <c r="B7016" s="1" t="s">
        <v>4609</v>
      </c>
      <c r="C7016" s="1" t="s">
        <v>4610</v>
      </c>
      <c r="D7016" s="22" t="str">
        <f>HYPERLINK("https://rhld.insurance.arkansas.gov/NPILookup?Npi=1790999753","1790999753")</f>
        <v>1790999753</v>
      </c>
      <c r="E7016" s="1" t="s">
        <v>4673</v>
      </c>
      <c r="F7016" s="2"/>
      <c r="G7016" s="2"/>
      <c r="H7016" s="2"/>
    </row>
    <row r="7017" spans="1:8" x14ac:dyDescent="0.25">
      <c r="A7017" s="1"/>
      <c r="B7017" s="1" t="s">
        <v>4609</v>
      </c>
      <c r="C7017" s="1" t="s">
        <v>4610</v>
      </c>
      <c r="D7017" s="22" t="str">
        <f>HYPERLINK("https://rhld.insurance.arkansas.gov/NPILookup?Npi=1801201801","1801201801")</f>
        <v>1801201801</v>
      </c>
      <c r="E7017" s="1" t="s">
        <v>18312</v>
      </c>
      <c r="F7017" s="2"/>
      <c r="G7017" s="2"/>
      <c r="H7017" s="2"/>
    </row>
    <row r="7018" spans="1:8" x14ac:dyDescent="0.25">
      <c r="A7018" s="1"/>
      <c r="B7018" s="1" t="s">
        <v>4609</v>
      </c>
      <c r="C7018" s="1" t="s">
        <v>4610</v>
      </c>
      <c r="D7018" s="22" t="str">
        <f>HYPERLINK("https://rhld.insurance.arkansas.gov/NPILookup?Npi=1811003635","1811003635")</f>
        <v>1811003635</v>
      </c>
      <c r="E7018" s="1" t="s">
        <v>18313</v>
      </c>
      <c r="F7018" s="2"/>
      <c r="G7018" s="2"/>
      <c r="H7018" s="2"/>
    </row>
    <row r="7019" spans="1:8" x14ac:dyDescent="0.25">
      <c r="A7019" s="1"/>
      <c r="B7019" s="1" t="s">
        <v>4609</v>
      </c>
      <c r="C7019" s="1" t="s">
        <v>4610</v>
      </c>
      <c r="D7019" s="22" t="str">
        <f>HYPERLINK("https://rhld.insurance.arkansas.gov/NPILookup?Npi=1811198070","1811198070")</f>
        <v>1811198070</v>
      </c>
      <c r="E7019" s="1" t="s">
        <v>4674</v>
      </c>
      <c r="F7019" s="2"/>
      <c r="G7019" s="2"/>
      <c r="H7019" s="2"/>
    </row>
    <row r="7020" spans="1:8" x14ac:dyDescent="0.25">
      <c r="A7020" s="1"/>
      <c r="B7020" s="1" t="s">
        <v>4609</v>
      </c>
      <c r="C7020" s="1" t="s">
        <v>4610</v>
      </c>
      <c r="D7020" s="22" t="str">
        <f>HYPERLINK("https://rhld.insurance.arkansas.gov/NPILookup?Npi=1821091612","1821091612")</f>
        <v>1821091612</v>
      </c>
      <c r="E7020" s="1" t="s">
        <v>18314</v>
      </c>
      <c r="F7020" s="2"/>
      <c r="G7020" s="2"/>
      <c r="H7020" s="2"/>
    </row>
    <row r="7021" spans="1:8" x14ac:dyDescent="0.25">
      <c r="A7021" s="1"/>
      <c r="B7021" s="1" t="s">
        <v>4609</v>
      </c>
      <c r="C7021" s="1" t="s">
        <v>4610</v>
      </c>
      <c r="D7021" s="22" t="str">
        <f>HYPERLINK("https://rhld.insurance.arkansas.gov/NPILookup?Npi=1831125731","1831125731")</f>
        <v>1831125731</v>
      </c>
      <c r="E7021" s="1" t="s">
        <v>18315</v>
      </c>
      <c r="F7021" s="2"/>
      <c r="G7021" s="2"/>
      <c r="H7021" s="2"/>
    </row>
    <row r="7022" spans="1:8" x14ac:dyDescent="0.25">
      <c r="A7022" s="1"/>
      <c r="B7022" s="1" t="s">
        <v>4609</v>
      </c>
      <c r="C7022" s="1" t="s">
        <v>4610</v>
      </c>
      <c r="D7022" s="22" t="str">
        <f>HYPERLINK("https://rhld.insurance.arkansas.gov/NPILookup?Npi=1831134436","1831134436")</f>
        <v>1831134436</v>
      </c>
      <c r="E7022" s="1" t="s">
        <v>18316</v>
      </c>
      <c r="F7022" s="2"/>
      <c r="G7022" s="2"/>
      <c r="H7022" s="2"/>
    </row>
    <row r="7023" spans="1:8" x14ac:dyDescent="0.25">
      <c r="A7023" s="1"/>
      <c r="B7023" s="1" t="s">
        <v>4609</v>
      </c>
      <c r="C7023" s="1" t="s">
        <v>4610</v>
      </c>
      <c r="D7023" s="22" t="str">
        <f>HYPERLINK("https://rhld.insurance.arkansas.gov/NPILookup?Npi=1831157551","1831157551")</f>
        <v>1831157551</v>
      </c>
      <c r="E7023" s="1" t="s">
        <v>11346</v>
      </c>
      <c r="F7023" s="2"/>
      <c r="G7023" s="2"/>
      <c r="H7023" s="2"/>
    </row>
    <row r="7024" spans="1:8" x14ac:dyDescent="0.25">
      <c r="A7024" s="1"/>
      <c r="B7024" s="1" t="s">
        <v>4609</v>
      </c>
      <c r="C7024" s="1" t="s">
        <v>4610</v>
      </c>
      <c r="D7024" s="22" t="str">
        <f>HYPERLINK("https://rhld.insurance.arkansas.gov/NPILookup?Npi=1831352095","1831352095")</f>
        <v>1831352095</v>
      </c>
      <c r="E7024" s="1" t="s">
        <v>18317</v>
      </c>
      <c r="F7024" s="2"/>
      <c r="G7024" s="2"/>
      <c r="H7024" s="2"/>
    </row>
    <row r="7025" spans="1:8" x14ac:dyDescent="0.25">
      <c r="A7025" s="1"/>
      <c r="B7025" s="1" t="s">
        <v>4609</v>
      </c>
      <c r="C7025" s="1" t="s">
        <v>4610</v>
      </c>
      <c r="D7025" s="22" t="str">
        <f>HYPERLINK("https://rhld.insurance.arkansas.gov/NPILookup?Npi=1841281334","1841281334")</f>
        <v>1841281334</v>
      </c>
      <c r="E7025" s="1" t="s">
        <v>1178</v>
      </c>
      <c r="F7025" s="2"/>
      <c r="G7025" s="2"/>
      <c r="H7025" s="2"/>
    </row>
    <row r="7026" spans="1:8" x14ac:dyDescent="0.25">
      <c r="A7026" s="1"/>
      <c r="B7026" s="1" t="s">
        <v>4609</v>
      </c>
      <c r="C7026" s="1" t="s">
        <v>4610</v>
      </c>
      <c r="D7026" s="22" t="str">
        <f>HYPERLINK("https://rhld.insurance.arkansas.gov/NPILookup?Npi=1841499100","1841499100")</f>
        <v>1841499100</v>
      </c>
      <c r="E7026" s="1" t="s">
        <v>18318</v>
      </c>
      <c r="F7026" s="2"/>
      <c r="G7026" s="2"/>
      <c r="H7026" s="2"/>
    </row>
    <row r="7027" spans="1:8" x14ac:dyDescent="0.25">
      <c r="A7027" s="1"/>
      <c r="B7027" s="1" t="s">
        <v>4609</v>
      </c>
      <c r="C7027" s="1" t="s">
        <v>4610</v>
      </c>
      <c r="D7027" s="22" t="str">
        <f>HYPERLINK("https://rhld.insurance.arkansas.gov/NPILookup?Npi=1841582236","1841582236")</f>
        <v>1841582236</v>
      </c>
      <c r="E7027" s="1" t="s">
        <v>4675</v>
      </c>
      <c r="F7027" s="2"/>
      <c r="G7027" s="2"/>
      <c r="H7027" s="2"/>
    </row>
    <row r="7028" spans="1:8" x14ac:dyDescent="0.25">
      <c r="A7028" s="1"/>
      <c r="B7028" s="1" t="s">
        <v>4609</v>
      </c>
      <c r="C7028" s="1" t="s">
        <v>4610</v>
      </c>
      <c r="D7028" s="22" t="str">
        <f>HYPERLINK("https://rhld.insurance.arkansas.gov/NPILookup?Npi=1851355218","1851355218")</f>
        <v>1851355218</v>
      </c>
      <c r="E7028" s="1" t="s">
        <v>4676</v>
      </c>
      <c r="F7028" s="2"/>
      <c r="G7028" s="2"/>
      <c r="H7028" s="2"/>
    </row>
    <row r="7029" spans="1:8" x14ac:dyDescent="0.25">
      <c r="A7029" s="1"/>
      <c r="B7029" s="1" t="s">
        <v>4609</v>
      </c>
      <c r="C7029" s="1" t="s">
        <v>4610</v>
      </c>
      <c r="D7029" s="22" t="str">
        <f>HYPERLINK("https://rhld.insurance.arkansas.gov/NPILookup?Npi=1851372213","1851372213")</f>
        <v>1851372213</v>
      </c>
      <c r="E7029" s="1" t="s">
        <v>10583</v>
      </c>
      <c r="F7029" s="2"/>
      <c r="G7029" s="2"/>
      <c r="H7029" s="2"/>
    </row>
    <row r="7030" spans="1:8" x14ac:dyDescent="0.25">
      <c r="A7030" s="1"/>
      <c r="B7030" s="1" t="s">
        <v>4609</v>
      </c>
      <c r="C7030" s="1" t="s">
        <v>4610</v>
      </c>
      <c r="D7030" s="22" t="str">
        <f>HYPERLINK("https://rhld.insurance.arkansas.gov/NPILookup?Npi=1851374300","1851374300")</f>
        <v>1851374300</v>
      </c>
      <c r="E7030" s="1" t="s">
        <v>10584</v>
      </c>
      <c r="F7030" s="2"/>
      <c r="G7030" s="2"/>
      <c r="H7030" s="2"/>
    </row>
    <row r="7031" spans="1:8" x14ac:dyDescent="0.25">
      <c r="A7031" s="1"/>
      <c r="B7031" s="1" t="s">
        <v>4609</v>
      </c>
      <c r="C7031" s="1" t="s">
        <v>4610</v>
      </c>
      <c r="D7031" s="22" t="str">
        <f>HYPERLINK("https://rhld.insurance.arkansas.gov/NPILookup?Npi=1851612931","1851612931")</f>
        <v>1851612931</v>
      </c>
      <c r="E7031" s="1" t="s">
        <v>18319</v>
      </c>
      <c r="F7031" s="2"/>
      <c r="G7031" s="2"/>
      <c r="H7031" s="2"/>
    </row>
    <row r="7032" spans="1:8" x14ac:dyDescent="0.25">
      <c r="A7032" s="1"/>
      <c r="B7032" s="1" t="s">
        <v>4609</v>
      </c>
      <c r="C7032" s="1" t="s">
        <v>4610</v>
      </c>
      <c r="D7032" s="22" t="str">
        <f>HYPERLINK("https://rhld.insurance.arkansas.gov/NPILookup?Npi=1861502973","1861502973")</f>
        <v>1861502973</v>
      </c>
      <c r="E7032" s="1" t="s">
        <v>10585</v>
      </c>
      <c r="F7032" s="2"/>
      <c r="G7032" s="2"/>
      <c r="H7032" s="2"/>
    </row>
    <row r="7033" spans="1:8" x14ac:dyDescent="0.25">
      <c r="A7033" s="1"/>
      <c r="B7033" s="1" t="s">
        <v>4609</v>
      </c>
      <c r="C7033" s="1" t="s">
        <v>4610</v>
      </c>
      <c r="D7033" s="22" t="str">
        <f>HYPERLINK("https://rhld.insurance.arkansas.gov/NPILookup?Npi=1861564304","1861564304")</f>
        <v>1861564304</v>
      </c>
      <c r="E7033" s="1" t="s">
        <v>31496</v>
      </c>
      <c r="F7033" s="2"/>
      <c r="G7033" s="2"/>
      <c r="H7033" s="2"/>
    </row>
    <row r="7034" spans="1:8" x14ac:dyDescent="0.25">
      <c r="A7034" s="1"/>
      <c r="B7034" s="1" t="s">
        <v>4609</v>
      </c>
      <c r="C7034" s="1" t="s">
        <v>4610</v>
      </c>
      <c r="D7034" s="22" t="str">
        <f>HYPERLINK("https://rhld.insurance.arkansas.gov/NPILookup?Npi=1871503508","1871503508")</f>
        <v>1871503508</v>
      </c>
      <c r="E7034" s="1" t="s">
        <v>18320</v>
      </c>
      <c r="F7034" s="2"/>
      <c r="G7034" s="2"/>
      <c r="H7034" s="2"/>
    </row>
    <row r="7035" spans="1:8" x14ac:dyDescent="0.25">
      <c r="A7035" s="1"/>
      <c r="B7035" s="1" t="s">
        <v>4609</v>
      </c>
      <c r="C7035" s="1" t="s">
        <v>4610</v>
      </c>
      <c r="D7035" s="22" t="str">
        <f>HYPERLINK("https://rhld.insurance.arkansas.gov/NPILookup?Npi=1871955963","1871955963")</f>
        <v>1871955963</v>
      </c>
      <c r="E7035" s="1" t="s">
        <v>10586</v>
      </c>
      <c r="F7035" s="2"/>
      <c r="G7035" s="2"/>
      <c r="H7035" s="2"/>
    </row>
    <row r="7036" spans="1:8" x14ac:dyDescent="0.25">
      <c r="A7036" s="1"/>
      <c r="B7036" s="1" t="s">
        <v>4609</v>
      </c>
      <c r="C7036" s="1" t="s">
        <v>4610</v>
      </c>
      <c r="D7036" s="22" t="str">
        <f>HYPERLINK("https://rhld.insurance.arkansas.gov/NPILookup?Npi=1881340461","1881340461")</f>
        <v>1881340461</v>
      </c>
      <c r="E7036" s="1" t="s">
        <v>18321</v>
      </c>
      <c r="F7036" s="2"/>
      <c r="G7036" s="2"/>
      <c r="H7036" s="2"/>
    </row>
    <row r="7037" spans="1:8" x14ac:dyDescent="0.25">
      <c r="A7037" s="1"/>
      <c r="B7037" s="1" t="s">
        <v>4609</v>
      </c>
      <c r="C7037" s="1" t="s">
        <v>4610</v>
      </c>
      <c r="D7037" s="22" t="str">
        <f>HYPERLINK("https://rhld.insurance.arkansas.gov/NPILookup?Npi=1881637296","1881637296")</f>
        <v>1881637296</v>
      </c>
      <c r="E7037" s="1" t="s">
        <v>4678</v>
      </c>
      <c r="F7037" s="2"/>
      <c r="G7037" s="2"/>
      <c r="H7037" s="2"/>
    </row>
    <row r="7038" spans="1:8" x14ac:dyDescent="0.25">
      <c r="A7038" s="1"/>
      <c r="B7038" s="1" t="s">
        <v>4609</v>
      </c>
      <c r="C7038" s="1" t="s">
        <v>4610</v>
      </c>
      <c r="D7038" s="22" t="str">
        <f>HYPERLINK("https://rhld.insurance.arkansas.gov/NPILookup?Npi=1881696433","1881696433")</f>
        <v>1881696433</v>
      </c>
      <c r="E7038" s="1" t="s">
        <v>18322</v>
      </c>
      <c r="F7038" s="2"/>
      <c r="G7038" s="2"/>
      <c r="H7038" s="2"/>
    </row>
    <row r="7039" spans="1:8" x14ac:dyDescent="0.25">
      <c r="A7039" s="1"/>
      <c r="B7039" s="1" t="s">
        <v>4609</v>
      </c>
      <c r="C7039" s="1" t="s">
        <v>4610</v>
      </c>
      <c r="D7039" s="22" t="str">
        <f>HYPERLINK("https://rhld.insurance.arkansas.gov/NPILookup?Npi=1881782654","1881782654")</f>
        <v>1881782654</v>
      </c>
      <c r="E7039" s="1" t="s">
        <v>17960</v>
      </c>
      <c r="F7039" s="2"/>
      <c r="G7039" s="2"/>
      <c r="H7039" s="2"/>
    </row>
    <row r="7040" spans="1:8" x14ac:dyDescent="0.25">
      <c r="A7040" s="1"/>
      <c r="B7040" s="1" t="s">
        <v>4609</v>
      </c>
      <c r="C7040" s="1" t="s">
        <v>4610</v>
      </c>
      <c r="D7040" s="22" t="str">
        <f>HYPERLINK("https://rhld.insurance.arkansas.gov/NPILookup?Npi=1902950165","1902950165")</f>
        <v>1902950165</v>
      </c>
      <c r="E7040" s="1" t="s">
        <v>4679</v>
      </c>
      <c r="F7040" s="2"/>
      <c r="G7040" s="2"/>
      <c r="H7040" s="2"/>
    </row>
    <row r="7041" spans="1:8" x14ac:dyDescent="0.25">
      <c r="A7041" s="1"/>
      <c r="B7041" s="1" t="s">
        <v>4609</v>
      </c>
      <c r="C7041" s="1" t="s">
        <v>4610</v>
      </c>
      <c r="D7041" s="22" t="str">
        <f>HYPERLINK("https://rhld.insurance.arkansas.gov/NPILookup?Npi=1912112632","1912112632")</f>
        <v>1912112632</v>
      </c>
      <c r="E7041" s="1" t="s">
        <v>18323</v>
      </c>
      <c r="F7041" s="2"/>
      <c r="G7041" s="2"/>
      <c r="H7041" s="2"/>
    </row>
    <row r="7042" spans="1:8" x14ac:dyDescent="0.25">
      <c r="A7042" s="1"/>
      <c r="B7042" s="1" t="s">
        <v>4609</v>
      </c>
      <c r="C7042" s="1" t="s">
        <v>4610</v>
      </c>
      <c r="D7042" s="22" t="str">
        <f>HYPERLINK("https://rhld.insurance.arkansas.gov/NPILookup?Npi=1912285644","1912285644")</f>
        <v>1912285644</v>
      </c>
      <c r="E7042" s="1" t="s">
        <v>18324</v>
      </c>
      <c r="F7042" s="2"/>
      <c r="G7042" s="2"/>
      <c r="H7042" s="2"/>
    </row>
    <row r="7043" spans="1:8" x14ac:dyDescent="0.25">
      <c r="A7043" s="1"/>
      <c r="B7043" s="1" t="s">
        <v>4609</v>
      </c>
      <c r="C7043" s="1" t="s">
        <v>4610</v>
      </c>
      <c r="D7043" s="22" t="str">
        <f>HYPERLINK("https://rhld.insurance.arkansas.gov/NPILookup?Npi=1912327529","1912327529")</f>
        <v>1912327529</v>
      </c>
      <c r="E7043" s="1" t="s">
        <v>10588</v>
      </c>
      <c r="F7043" s="2"/>
      <c r="G7043" s="2"/>
      <c r="H7043" s="2"/>
    </row>
    <row r="7044" spans="1:8" x14ac:dyDescent="0.25">
      <c r="A7044" s="1"/>
      <c r="B7044" s="1" t="s">
        <v>4609</v>
      </c>
      <c r="C7044" s="1" t="s">
        <v>4610</v>
      </c>
      <c r="D7044" s="22" t="str">
        <f>HYPERLINK("https://rhld.insurance.arkansas.gov/NPILookup?Npi=1912954504","1912954504")</f>
        <v>1912954504</v>
      </c>
      <c r="E7044" s="1" t="s">
        <v>4680</v>
      </c>
      <c r="F7044" s="2"/>
      <c r="G7044" s="2"/>
      <c r="H7044" s="2"/>
    </row>
    <row r="7045" spans="1:8" x14ac:dyDescent="0.25">
      <c r="A7045" s="1"/>
      <c r="B7045" s="1" t="s">
        <v>4609</v>
      </c>
      <c r="C7045" s="1" t="s">
        <v>4610</v>
      </c>
      <c r="D7045" s="22" t="str">
        <f>HYPERLINK("https://rhld.insurance.arkansas.gov/NPILookup?Npi=1932197118","1932197118")</f>
        <v>1932197118</v>
      </c>
      <c r="E7045" s="1" t="s">
        <v>18325</v>
      </c>
      <c r="F7045" s="2"/>
      <c r="G7045" s="2"/>
      <c r="H7045" s="2"/>
    </row>
    <row r="7046" spans="1:8" x14ac:dyDescent="0.25">
      <c r="A7046" s="1"/>
      <c r="B7046" s="1" t="s">
        <v>4609</v>
      </c>
      <c r="C7046" s="1" t="s">
        <v>4610</v>
      </c>
      <c r="D7046" s="22" t="str">
        <f>HYPERLINK("https://rhld.insurance.arkansas.gov/NPILookup?Npi=1932216439","1932216439")</f>
        <v>1932216439</v>
      </c>
      <c r="E7046" s="1" t="s">
        <v>18326</v>
      </c>
      <c r="F7046" s="2"/>
      <c r="G7046" s="2"/>
      <c r="H7046" s="2"/>
    </row>
    <row r="7047" spans="1:8" x14ac:dyDescent="0.25">
      <c r="A7047" s="1"/>
      <c r="B7047" s="1" t="s">
        <v>4609</v>
      </c>
      <c r="C7047" s="1" t="s">
        <v>4610</v>
      </c>
      <c r="D7047" s="22" t="str">
        <f>HYPERLINK("https://rhld.insurance.arkansas.gov/NPILookup?Npi=1932389111","1932389111")</f>
        <v>1932389111</v>
      </c>
      <c r="E7047" s="1" t="s">
        <v>10589</v>
      </c>
      <c r="F7047" s="2"/>
      <c r="G7047" s="2"/>
      <c r="H7047" s="2"/>
    </row>
    <row r="7048" spans="1:8" x14ac:dyDescent="0.25">
      <c r="A7048" s="1"/>
      <c r="B7048" s="1" t="s">
        <v>4609</v>
      </c>
      <c r="C7048" s="1" t="s">
        <v>4610</v>
      </c>
      <c r="D7048" s="22" t="str">
        <f>HYPERLINK("https://rhld.insurance.arkansas.gov/NPILookup?Npi=1932599164","1932599164")</f>
        <v>1932599164</v>
      </c>
      <c r="E7048" s="1" t="s">
        <v>18327</v>
      </c>
      <c r="F7048" s="2"/>
      <c r="G7048" s="2"/>
      <c r="H7048" s="2"/>
    </row>
    <row r="7049" spans="1:8" x14ac:dyDescent="0.25">
      <c r="A7049" s="1"/>
      <c r="B7049" s="1" t="s">
        <v>4609</v>
      </c>
      <c r="C7049" s="1" t="s">
        <v>4610</v>
      </c>
      <c r="D7049" s="22" t="str">
        <f>HYPERLINK("https://rhld.insurance.arkansas.gov/NPILookup?Npi=1942223185","1942223185")</f>
        <v>1942223185</v>
      </c>
      <c r="E7049" s="1" t="s">
        <v>4681</v>
      </c>
      <c r="F7049" s="2"/>
      <c r="G7049" s="2"/>
      <c r="H7049" s="2"/>
    </row>
    <row r="7050" spans="1:8" x14ac:dyDescent="0.25">
      <c r="A7050" s="1"/>
      <c r="B7050" s="1" t="s">
        <v>4609</v>
      </c>
      <c r="C7050" s="1" t="s">
        <v>4610</v>
      </c>
      <c r="D7050" s="22" t="str">
        <f>HYPERLINK("https://rhld.insurance.arkansas.gov/NPILookup?Npi=1952309262","1952309262")</f>
        <v>1952309262</v>
      </c>
      <c r="E7050" s="1" t="s">
        <v>18328</v>
      </c>
      <c r="F7050" s="2"/>
      <c r="G7050" s="2"/>
      <c r="H7050" s="2"/>
    </row>
    <row r="7051" spans="1:8" x14ac:dyDescent="0.25">
      <c r="A7051" s="1"/>
      <c r="B7051" s="1" t="s">
        <v>4609</v>
      </c>
      <c r="C7051" s="1" t="s">
        <v>4610</v>
      </c>
      <c r="D7051" s="22" t="str">
        <f>HYPERLINK("https://rhld.insurance.arkansas.gov/NPILookup?Npi=1962452615","1962452615")</f>
        <v>1962452615</v>
      </c>
      <c r="E7051" s="1" t="s">
        <v>4682</v>
      </c>
      <c r="F7051" s="2"/>
      <c r="G7051" s="2"/>
      <c r="H7051" s="2"/>
    </row>
    <row r="7052" spans="1:8" x14ac:dyDescent="0.25">
      <c r="A7052" s="1"/>
      <c r="B7052" s="1" t="s">
        <v>4609</v>
      </c>
      <c r="C7052" s="1" t="s">
        <v>4610</v>
      </c>
      <c r="D7052" s="22" t="str">
        <f>HYPERLINK("https://rhld.insurance.arkansas.gov/NPILookup?Npi=1962459792","1962459792")</f>
        <v>1962459792</v>
      </c>
      <c r="E7052" s="1" t="s">
        <v>18039</v>
      </c>
      <c r="F7052" s="2"/>
      <c r="G7052" s="2"/>
      <c r="H7052" s="2"/>
    </row>
    <row r="7053" spans="1:8" x14ac:dyDescent="0.25">
      <c r="A7053" s="1"/>
      <c r="B7053" s="1" t="s">
        <v>4609</v>
      </c>
      <c r="C7053" s="1" t="s">
        <v>4610</v>
      </c>
      <c r="D7053" s="22" t="str">
        <f>HYPERLINK("https://rhld.insurance.arkansas.gov/NPILookup?Npi=1962477422","1962477422")</f>
        <v>1962477422</v>
      </c>
      <c r="E7053" s="1" t="s">
        <v>4683</v>
      </c>
      <c r="F7053" s="2"/>
      <c r="G7053" s="2"/>
      <c r="H7053" s="2"/>
    </row>
    <row r="7054" spans="1:8" x14ac:dyDescent="0.25">
      <c r="A7054" s="1"/>
      <c r="B7054" s="1" t="s">
        <v>4609</v>
      </c>
      <c r="C7054" s="1" t="s">
        <v>4610</v>
      </c>
      <c r="D7054" s="22" t="str">
        <f>HYPERLINK("https://rhld.insurance.arkansas.gov/NPILookup?Npi=1972759173","1972759173")</f>
        <v>1972759173</v>
      </c>
      <c r="E7054" s="1" t="s">
        <v>18329</v>
      </c>
      <c r="F7054" s="2"/>
      <c r="G7054" s="2"/>
      <c r="H7054" s="2"/>
    </row>
    <row r="7055" spans="1:8" x14ac:dyDescent="0.25">
      <c r="A7055" s="1"/>
      <c r="B7055" s="1" t="s">
        <v>4609</v>
      </c>
      <c r="C7055" s="1" t="s">
        <v>4610</v>
      </c>
      <c r="D7055" s="22" t="str">
        <f>HYPERLINK("https://rhld.insurance.arkansas.gov/NPILookup?Npi=1972775286","1972775286")</f>
        <v>1972775286</v>
      </c>
      <c r="E7055" s="1" t="s">
        <v>18330</v>
      </c>
      <c r="F7055" s="2"/>
      <c r="G7055" s="2"/>
      <c r="H7055" s="2"/>
    </row>
    <row r="7056" spans="1:8" x14ac:dyDescent="0.25">
      <c r="A7056" s="1"/>
      <c r="B7056" s="1" t="s">
        <v>4609</v>
      </c>
      <c r="C7056" s="1" t="s">
        <v>4610</v>
      </c>
      <c r="D7056" s="22" t="str">
        <f>HYPERLINK("https://rhld.insurance.arkansas.gov/NPILookup?Npi=1972947273","1972947273")</f>
        <v>1972947273</v>
      </c>
      <c r="E7056" s="1" t="s">
        <v>10591</v>
      </c>
      <c r="F7056" s="2"/>
      <c r="G7056" s="2"/>
      <c r="H7056" s="2"/>
    </row>
    <row r="7057" spans="1:8" x14ac:dyDescent="0.25">
      <c r="A7057" s="1"/>
      <c r="B7057" s="1" t="s">
        <v>4609</v>
      </c>
      <c r="C7057" s="1" t="s">
        <v>4610</v>
      </c>
      <c r="D7057" s="22" t="str">
        <f>HYPERLINK("https://rhld.insurance.arkansas.gov/NPILookup?Npi=1982671897","1982671897")</f>
        <v>1982671897</v>
      </c>
      <c r="E7057" s="1" t="s">
        <v>10592</v>
      </c>
      <c r="F7057" s="2"/>
      <c r="G7057" s="2"/>
      <c r="H7057" s="2"/>
    </row>
    <row r="7058" spans="1:8" x14ac:dyDescent="0.25">
      <c r="A7058" s="1"/>
      <c r="B7058" s="1" t="s">
        <v>4609</v>
      </c>
      <c r="C7058" s="1" t="s">
        <v>4610</v>
      </c>
      <c r="D7058" s="22" t="str">
        <f>HYPERLINK("https://rhld.insurance.arkansas.gov/NPILookup?Npi=1982686515","1982686515")</f>
        <v>1982686515</v>
      </c>
      <c r="E7058" s="1" t="s">
        <v>10593</v>
      </c>
      <c r="F7058" s="2"/>
      <c r="G7058" s="2"/>
      <c r="H7058" s="2"/>
    </row>
    <row r="7059" spans="1:8" x14ac:dyDescent="0.25">
      <c r="A7059" s="1"/>
      <c r="B7059" s="1" t="s">
        <v>4609</v>
      </c>
      <c r="C7059" s="1" t="s">
        <v>4610</v>
      </c>
      <c r="D7059" s="22" t="str">
        <f>HYPERLINK("https://rhld.insurance.arkansas.gov/NPILookup?Npi=1992152508","1992152508")</f>
        <v>1992152508</v>
      </c>
      <c r="E7059" s="1" t="s">
        <v>18331</v>
      </c>
      <c r="F7059" s="2"/>
      <c r="G7059" s="2"/>
      <c r="H7059" s="2"/>
    </row>
    <row r="7060" spans="1:8" x14ac:dyDescent="0.25">
      <c r="A7060" s="1"/>
      <c r="B7060" s="1" t="s">
        <v>4609</v>
      </c>
      <c r="C7060" s="1" t="s">
        <v>4610</v>
      </c>
      <c r="D7060" s="22" t="str">
        <f>HYPERLINK("https://rhld.insurance.arkansas.gov/NPILookup?Npi=1992702336","1992702336")</f>
        <v>1992702336</v>
      </c>
      <c r="E7060" s="1" t="s">
        <v>4684</v>
      </c>
      <c r="F7060" s="2"/>
      <c r="G7060" s="2"/>
      <c r="H7060" s="2"/>
    </row>
    <row r="7061" spans="1:8" x14ac:dyDescent="0.25">
      <c r="A7061" s="1"/>
      <c r="B7061" s="1" t="s">
        <v>4609</v>
      </c>
      <c r="C7061" s="1" t="s">
        <v>4610</v>
      </c>
      <c r="D7061" s="22" t="str">
        <f>HYPERLINK("https://rhld.insurance.arkansas.gov/NPILookup?Npi=1992709836","1992709836")</f>
        <v>1992709836</v>
      </c>
      <c r="E7061" s="1" t="s">
        <v>4685</v>
      </c>
      <c r="F7061" s="2"/>
      <c r="G7061" s="2"/>
      <c r="H7061" s="2"/>
    </row>
    <row r="7062" spans="1:8" x14ac:dyDescent="0.25">
      <c r="A7062" s="1"/>
      <c r="B7062" s="1" t="s">
        <v>4609</v>
      </c>
      <c r="C7062" s="1" t="s">
        <v>4610</v>
      </c>
      <c r="D7062" s="22" t="str">
        <f>HYPERLINK("https://rhld.insurance.arkansas.gov/NPILookup?Npi=1992727150","1992727150")</f>
        <v>1992727150</v>
      </c>
      <c r="E7062" s="1" t="s">
        <v>4686</v>
      </c>
      <c r="F7062" s="2"/>
      <c r="G7062" s="2"/>
      <c r="H7062" s="2"/>
    </row>
    <row r="7063" spans="1:8" x14ac:dyDescent="0.25">
      <c r="A7063" s="1"/>
      <c r="B7063" s="1" t="s">
        <v>4609</v>
      </c>
      <c r="C7063" s="1" t="s">
        <v>4610</v>
      </c>
      <c r="D7063" s="22" t="str">
        <f>HYPERLINK("https://rhld.insurance.arkansas.gov/NPILookup?Npi=1992757975","1992757975")</f>
        <v>1992757975</v>
      </c>
      <c r="E7063" s="1" t="s">
        <v>18332</v>
      </c>
      <c r="F7063" s="2"/>
      <c r="G7063" s="2"/>
      <c r="H7063" s="2"/>
    </row>
    <row r="7064" spans="1:8" x14ac:dyDescent="0.25">
      <c r="A7064" s="1"/>
      <c r="B7064" s="1" t="s">
        <v>4609</v>
      </c>
      <c r="C7064" s="1" t="s">
        <v>4610</v>
      </c>
      <c r="D7064" s="22" t="str">
        <f>HYPERLINK("https://rhld.insurance.arkansas.gov/NPILookup?Npi=1992929152","1992929152")</f>
        <v>1992929152</v>
      </c>
      <c r="E7064" s="1" t="s">
        <v>4687</v>
      </c>
      <c r="F7064" s="2"/>
      <c r="G7064" s="2"/>
      <c r="H7064" s="2"/>
    </row>
    <row r="7065" spans="1:8" x14ac:dyDescent="0.25">
      <c r="A7065" s="1"/>
      <c r="B7065" s="1" t="s">
        <v>4688</v>
      </c>
      <c r="C7065" s="1" t="s">
        <v>4689</v>
      </c>
      <c r="D7065" s="22" t="str">
        <f>HYPERLINK("https://rhld.insurance.arkansas.gov/NPILookup?Npi=1003105289","1003105289")</f>
        <v>1003105289</v>
      </c>
      <c r="E7065" s="1" t="s">
        <v>4690</v>
      </c>
      <c r="F7065" s="2"/>
      <c r="G7065" s="2"/>
      <c r="H7065" s="2"/>
    </row>
    <row r="7066" spans="1:8" x14ac:dyDescent="0.25">
      <c r="A7066" s="1"/>
      <c r="B7066" s="1" t="s">
        <v>4688</v>
      </c>
      <c r="C7066" s="1" t="s">
        <v>4689</v>
      </c>
      <c r="D7066" s="22" t="str">
        <f>HYPERLINK("https://rhld.insurance.arkansas.gov/NPILookup?Npi=1003635186","1003635186")</f>
        <v>1003635186</v>
      </c>
      <c r="E7066" s="1" t="s">
        <v>18333</v>
      </c>
      <c r="F7066" s="2"/>
      <c r="G7066" s="2"/>
      <c r="H7066" s="2"/>
    </row>
    <row r="7067" spans="1:8" x14ac:dyDescent="0.25">
      <c r="A7067" s="1"/>
      <c r="B7067" s="1" t="s">
        <v>4688</v>
      </c>
      <c r="C7067" s="1" t="s">
        <v>4689</v>
      </c>
      <c r="D7067" s="22" t="str">
        <f>HYPERLINK("https://rhld.insurance.arkansas.gov/NPILookup?Npi=1003887217","1003887217")</f>
        <v>1003887217</v>
      </c>
      <c r="E7067" s="1" t="s">
        <v>10594</v>
      </c>
      <c r="F7067" s="2"/>
      <c r="G7067" s="2"/>
      <c r="H7067" s="2"/>
    </row>
    <row r="7068" spans="1:8" x14ac:dyDescent="0.25">
      <c r="A7068" s="1"/>
      <c r="B7068" s="1" t="s">
        <v>4688</v>
      </c>
      <c r="C7068" s="1" t="s">
        <v>4689</v>
      </c>
      <c r="D7068" s="22" t="str">
        <f>HYPERLINK("https://rhld.insurance.arkansas.gov/NPILookup?Npi=1013004522","1013004522")</f>
        <v>1013004522</v>
      </c>
      <c r="E7068" s="1" t="s">
        <v>18335</v>
      </c>
      <c r="F7068" s="2"/>
      <c r="G7068" s="2"/>
      <c r="H7068" s="2"/>
    </row>
    <row r="7069" spans="1:8" x14ac:dyDescent="0.25">
      <c r="A7069" s="1"/>
      <c r="B7069" s="1" t="s">
        <v>4688</v>
      </c>
      <c r="C7069" s="1" t="s">
        <v>4689</v>
      </c>
      <c r="D7069" s="22" t="str">
        <f>HYPERLINK("https://rhld.insurance.arkansas.gov/NPILookup?Npi=1013335405","1013335405")</f>
        <v>1013335405</v>
      </c>
      <c r="E7069" s="1" t="s">
        <v>10595</v>
      </c>
      <c r="F7069" s="2"/>
      <c r="G7069" s="2"/>
      <c r="H7069" s="2"/>
    </row>
    <row r="7070" spans="1:8" x14ac:dyDescent="0.25">
      <c r="A7070" s="1"/>
      <c r="B7070" s="1" t="s">
        <v>4688</v>
      </c>
      <c r="C7070" s="1" t="s">
        <v>4689</v>
      </c>
      <c r="D7070" s="22" t="str">
        <f>HYPERLINK("https://rhld.insurance.arkansas.gov/NPILookup?Npi=1013396852","1013396852")</f>
        <v>1013396852</v>
      </c>
      <c r="E7070" s="1" t="s">
        <v>4691</v>
      </c>
      <c r="F7070" s="2"/>
      <c r="G7070" s="2"/>
      <c r="H7070" s="2"/>
    </row>
    <row r="7071" spans="1:8" x14ac:dyDescent="0.25">
      <c r="A7071" s="1"/>
      <c r="B7071" s="1" t="s">
        <v>4688</v>
      </c>
      <c r="C7071" s="1" t="s">
        <v>4689</v>
      </c>
      <c r="D7071" s="22" t="str">
        <f>HYPERLINK("https://rhld.insurance.arkansas.gov/NPILookup?Npi=1013626282","1013626282")</f>
        <v>1013626282</v>
      </c>
      <c r="E7071" s="1" t="s">
        <v>18336</v>
      </c>
      <c r="F7071" s="2"/>
      <c r="G7071" s="2"/>
      <c r="H7071" s="2"/>
    </row>
    <row r="7072" spans="1:8" x14ac:dyDescent="0.25">
      <c r="A7072" s="1"/>
      <c r="B7072" s="1" t="s">
        <v>4688</v>
      </c>
      <c r="C7072" s="1" t="s">
        <v>4689</v>
      </c>
      <c r="D7072" s="22" t="str">
        <f>HYPERLINK("https://rhld.insurance.arkansas.gov/NPILookup?Npi=1013924752","1013924752")</f>
        <v>1013924752</v>
      </c>
      <c r="E7072" s="1" t="s">
        <v>4581</v>
      </c>
      <c r="F7072" s="2"/>
      <c r="G7072" s="2"/>
      <c r="H7072" s="2"/>
    </row>
    <row r="7073" spans="1:8" x14ac:dyDescent="0.25">
      <c r="A7073" s="1"/>
      <c r="B7073" s="1" t="s">
        <v>4688</v>
      </c>
      <c r="C7073" s="1" t="s">
        <v>4689</v>
      </c>
      <c r="D7073" s="22" t="str">
        <f>HYPERLINK("https://rhld.insurance.arkansas.gov/NPILookup?Npi=1023009040","1023009040")</f>
        <v>1023009040</v>
      </c>
      <c r="E7073" s="1" t="s">
        <v>15703</v>
      </c>
      <c r="F7073" s="2"/>
      <c r="G7073" s="2"/>
      <c r="H7073" s="2"/>
    </row>
    <row r="7074" spans="1:8" x14ac:dyDescent="0.25">
      <c r="A7074" s="1"/>
      <c r="B7074" s="1" t="s">
        <v>4688</v>
      </c>
      <c r="C7074" s="1" t="s">
        <v>4689</v>
      </c>
      <c r="D7074" s="22" t="str">
        <f>HYPERLINK("https://rhld.insurance.arkansas.gov/NPILookup?Npi=1023049335","1023049335")</f>
        <v>1023049335</v>
      </c>
      <c r="E7074" s="1" t="s">
        <v>31497</v>
      </c>
      <c r="F7074" s="2"/>
      <c r="G7074" s="2"/>
      <c r="H7074" s="2"/>
    </row>
    <row r="7075" spans="1:8" x14ac:dyDescent="0.25">
      <c r="A7075" s="1"/>
      <c r="B7075" s="1" t="s">
        <v>4688</v>
      </c>
      <c r="C7075" s="1" t="s">
        <v>4689</v>
      </c>
      <c r="D7075" s="22" t="str">
        <f>HYPERLINK("https://rhld.insurance.arkansas.gov/NPILookup?Npi=1023057353","1023057353")</f>
        <v>1023057353</v>
      </c>
      <c r="E7075" s="1" t="s">
        <v>4692</v>
      </c>
      <c r="F7075" s="2"/>
      <c r="G7075" s="2"/>
      <c r="H7075" s="2"/>
    </row>
    <row r="7076" spans="1:8" x14ac:dyDescent="0.25">
      <c r="A7076" s="1"/>
      <c r="B7076" s="1" t="s">
        <v>4688</v>
      </c>
      <c r="C7076" s="1" t="s">
        <v>4689</v>
      </c>
      <c r="D7076" s="22" t="str">
        <f>HYPERLINK("https://rhld.insurance.arkansas.gov/NPILookup?Npi=1023093986","1023093986")</f>
        <v>1023093986</v>
      </c>
      <c r="E7076" s="1" t="s">
        <v>10596</v>
      </c>
      <c r="F7076" s="2"/>
      <c r="G7076" s="2"/>
      <c r="H7076" s="2"/>
    </row>
    <row r="7077" spans="1:8" x14ac:dyDescent="0.25">
      <c r="A7077" s="1"/>
      <c r="B7077" s="1" t="s">
        <v>4688</v>
      </c>
      <c r="C7077" s="1" t="s">
        <v>4689</v>
      </c>
      <c r="D7077" s="22" t="str">
        <f>HYPERLINK("https://rhld.insurance.arkansas.gov/NPILookup?Npi=1023195807","1023195807")</f>
        <v>1023195807</v>
      </c>
      <c r="E7077" s="1" t="s">
        <v>18338</v>
      </c>
      <c r="F7077" s="2"/>
      <c r="G7077" s="2"/>
      <c r="H7077" s="2"/>
    </row>
    <row r="7078" spans="1:8" x14ac:dyDescent="0.25">
      <c r="A7078" s="1"/>
      <c r="B7078" s="1" t="s">
        <v>4688</v>
      </c>
      <c r="C7078" s="1" t="s">
        <v>4689</v>
      </c>
      <c r="D7078" s="22" t="str">
        <f>HYPERLINK("https://rhld.insurance.arkansas.gov/NPILookup?Npi=1023239720","1023239720")</f>
        <v>1023239720</v>
      </c>
      <c r="E7078" s="1" t="s">
        <v>31498</v>
      </c>
      <c r="F7078" s="2"/>
      <c r="G7078" s="2"/>
      <c r="H7078" s="2"/>
    </row>
    <row r="7079" spans="1:8" x14ac:dyDescent="0.25">
      <c r="A7079" s="1"/>
      <c r="B7079" s="1" t="s">
        <v>4688</v>
      </c>
      <c r="C7079" s="1" t="s">
        <v>4689</v>
      </c>
      <c r="D7079" s="22" t="str">
        <f>HYPERLINK("https://rhld.insurance.arkansas.gov/NPILookup?Npi=1023286051","1023286051")</f>
        <v>1023286051</v>
      </c>
      <c r="E7079" s="1" t="s">
        <v>4707</v>
      </c>
      <c r="F7079" s="2"/>
      <c r="G7079" s="2"/>
      <c r="H7079" s="2"/>
    </row>
    <row r="7080" spans="1:8" x14ac:dyDescent="0.25">
      <c r="A7080" s="1"/>
      <c r="B7080" s="1" t="s">
        <v>4688</v>
      </c>
      <c r="C7080" s="1" t="s">
        <v>4689</v>
      </c>
      <c r="D7080" s="22" t="str">
        <f>HYPERLINK("https://rhld.insurance.arkansas.gov/NPILookup?Npi=1023307972","1023307972")</f>
        <v>1023307972</v>
      </c>
      <c r="E7080" s="1" t="s">
        <v>18339</v>
      </c>
      <c r="F7080" s="2"/>
      <c r="G7080" s="2"/>
      <c r="H7080" s="2"/>
    </row>
    <row r="7081" spans="1:8" x14ac:dyDescent="0.25">
      <c r="A7081" s="1"/>
      <c r="B7081" s="1" t="s">
        <v>4688</v>
      </c>
      <c r="C7081" s="1" t="s">
        <v>4689</v>
      </c>
      <c r="D7081" s="22" t="str">
        <f>HYPERLINK("https://rhld.insurance.arkansas.gov/NPILookup?Npi=1023548633","1023548633")</f>
        <v>1023548633</v>
      </c>
      <c r="E7081" s="1" t="s">
        <v>4693</v>
      </c>
      <c r="F7081" s="2"/>
      <c r="G7081" s="2"/>
      <c r="H7081" s="2"/>
    </row>
    <row r="7082" spans="1:8" x14ac:dyDescent="0.25">
      <c r="A7082" s="1"/>
      <c r="B7082" s="1" t="s">
        <v>4688</v>
      </c>
      <c r="C7082" s="1" t="s">
        <v>4689</v>
      </c>
      <c r="D7082" s="22" t="str">
        <f>HYPERLINK("https://rhld.insurance.arkansas.gov/NPILookup?Npi=1033112461","1033112461")</f>
        <v>1033112461</v>
      </c>
      <c r="E7082" s="1" t="s">
        <v>18340</v>
      </c>
      <c r="F7082" s="2"/>
      <c r="G7082" s="2"/>
      <c r="H7082" s="2"/>
    </row>
    <row r="7083" spans="1:8" x14ac:dyDescent="0.25">
      <c r="A7083" s="1"/>
      <c r="B7083" s="1" t="s">
        <v>4688</v>
      </c>
      <c r="C7083" s="1" t="s">
        <v>4689</v>
      </c>
      <c r="D7083" s="22" t="str">
        <f>HYPERLINK("https://rhld.insurance.arkansas.gov/NPILookup?Npi=1033170535","1033170535")</f>
        <v>1033170535</v>
      </c>
      <c r="E7083" s="1" t="s">
        <v>10597</v>
      </c>
      <c r="F7083" s="2"/>
      <c r="G7083" s="2"/>
      <c r="H7083" s="2"/>
    </row>
    <row r="7084" spans="1:8" x14ac:dyDescent="0.25">
      <c r="A7084" s="1"/>
      <c r="B7084" s="1" t="s">
        <v>4688</v>
      </c>
      <c r="C7084" s="1" t="s">
        <v>4689</v>
      </c>
      <c r="D7084" s="22" t="str">
        <f>HYPERLINK("https://rhld.insurance.arkansas.gov/NPILookup?Npi=1033184270","1033184270")</f>
        <v>1033184270</v>
      </c>
      <c r="E7084" s="1" t="s">
        <v>18341</v>
      </c>
      <c r="F7084" s="2"/>
      <c r="G7084" s="2"/>
      <c r="H7084" s="2"/>
    </row>
    <row r="7085" spans="1:8" x14ac:dyDescent="0.25">
      <c r="A7085" s="1"/>
      <c r="B7085" s="1" t="s">
        <v>4688</v>
      </c>
      <c r="C7085" s="1" t="s">
        <v>4689</v>
      </c>
      <c r="D7085" s="22" t="str">
        <f>HYPERLINK("https://rhld.insurance.arkansas.gov/NPILookup?Npi=1033229216","1033229216")</f>
        <v>1033229216</v>
      </c>
      <c r="E7085" s="1" t="s">
        <v>10598</v>
      </c>
      <c r="F7085" s="2"/>
      <c r="G7085" s="2"/>
      <c r="H7085" s="2"/>
    </row>
    <row r="7086" spans="1:8" x14ac:dyDescent="0.25">
      <c r="A7086" s="1"/>
      <c r="B7086" s="1" t="s">
        <v>4688</v>
      </c>
      <c r="C7086" s="1" t="s">
        <v>4689</v>
      </c>
      <c r="D7086" s="22" t="str">
        <f>HYPERLINK("https://rhld.insurance.arkansas.gov/NPILookup?Npi=1033261680","1033261680")</f>
        <v>1033261680</v>
      </c>
      <c r="E7086" s="1" t="s">
        <v>18342</v>
      </c>
      <c r="F7086" s="2"/>
      <c r="G7086" s="2"/>
      <c r="H7086" s="2"/>
    </row>
    <row r="7087" spans="1:8" x14ac:dyDescent="0.25">
      <c r="A7087" s="1"/>
      <c r="B7087" s="1" t="s">
        <v>4688</v>
      </c>
      <c r="C7087" s="1" t="s">
        <v>4689</v>
      </c>
      <c r="D7087" s="22" t="str">
        <f>HYPERLINK("https://rhld.insurance.arkansas.gov/NPILookup?Npi=1033323274","1033323274")</f>
        <v>1033323274</v>
      </c>
      <c r="E7087" s="1" t="s">
        <v>4694</v>
      </c>
      <c r="F7087" s="2"/>
      <c r="G7087" s="2"/>
      <c r="H7087" s="2"/>
    </row>
    <row r="7088" spans="1:8" x14ac:dyDescent="0.25">
      <c r="A7088" s="1"/>
      <c r="B7088" s="1" t="s">
        <v>4688</v>
      </c>
      <c r="C7088" s="1" t="s">
        <v>4689</v>
      </c>
      <c r="D7088" s="22" t="str">
        <f>HYPERLINK("https://rhld.insurance.arkansas.gov/NPILookup?Npi=1033367446","1033367446")</f>
        <v>1033367446</v>
      </c>
      <c r="E7088" s="1" t="s">
        <v>18343</v>
      </c>
      <c r="F7088" s="2"/>
      <c r="G7088" s="2"/>
      <c r="H7088" s="2"/>
    </row>
    <row r="7089" spans="1:8" x14ac:dyDescent="0.25">
      <c r="A7089" s="1"/>
      <c r="B7089" s="1" t="s">
        <v>4688</v>
      </c>
      <c r="C7089" s="1" t="s">
        <v>4689</v>
      </c>
      <c r="D7089" s="22" t="str">
        <f>HYPERLINK("https://rhld.insurance.arkansas.gov/NPILookup?Npi=1033379524","1033379524")</f>
        <v>1033379524</v>
      </c>
      <c r="E7089" s="1" t="s">
        <v>4695</v>
      </c>
      <c r="F7089" s="2"/>
      <c r="G7089" s="2"/>
      <c r="H7089" s="2"/>
    </row>
    <row r="7090" spans="1:8" x14ac:dyDescent="0.25">
      <c r="A7090" s="1"/>
      <c r="B7090" s="1" t="s">
        <v>4688</v>
      </c>
      <c r="C7090" s="1" t="s">
        <v>4689</v>
      </c>
      <c r="D7090" s="22" t="str">
        <f>HYPERLINK("https://rhld.insurance.arkansas.gov/NPILookup?Npi=1033640693","1033640693")</f>
        <v>1033640693</v>
      </c>
      <c r="E7090" s="1" t="s">
        <v>4088</v>
      </c>
      <c r="F7090" s="2"/>
      <c r="G7090" s="2"/>
      <c r="H7090" s="2"/>
    </row>
    <row r="7091" spans="1:8" x14ac:dyDescent="0.25">
      <c r="A7091" s="1"/>
      <c r="B7091" s="1" t="s">
        <v>4688</v>
      </c>
      <c r="C7091" s="1" t="s">
        <v>4689</v>
      </c>
      <c r="D7091" s="22" t="str">
        <f>HYPERLINK("https://rhld.insurance.arkansas.gov/NPILookup?Npi=1043254519","1043254519")</f>
        <v>1043254519</v>
      </c>
      <c r="E7091" s="1" t="s">
        <v>18344</v>
      </c>
      <c r="F7091" s="2"/>
      <c r="G7091" s="2"/>
      <c r="H7091" s="2"/>
    </row>
    <row r="7092" spans="1:8" x14ac:dyDescent="0.25">
      <c r="A7092" s="1"/>
      <c r="B7092" s="1" t="s">
        <v>4688</v>
      </c>
      <c r="C7092" s="1" t="s">
        <v>4689</v>
      </c>
      <c r="D7092" s="22" t="str">
        <f>HYPERLINK("https://rhld.insurance.arkansas.gov/NPILookup?Npi=1043300619","1043300619")</f>
        <v>1043300619</v>
      </c>
      <c r="E7092" s="1" t="s">
        <v>18345</v>
      </c>
      <c r="F7092" s="2"/>
      <c r="G7092" s="2"/>
      <c r="H7092" s="2"/>
    </row>
    <row r="7093" spans="1:8" x14ac:dyDescent="0.25">
      <c r="A7093" s="1"/>
      <c r="B7093" s="1" t="s">
        <v>4688</v>
      </c>
      <c r="C7093" s="1" t="s">
        <v>4689</v>
      </c>
      <c r="D7093" s="22" t="str">
        <f>HYPERLINK("https://rhld.insurance.arkansas.gov/NPILookup?Npi=1043469455","1043469455")</f>
        <v>1043469455</v>
      </c>
      <c r="E7093" s="1" t="s">
        <v>4697</v>
      </c>
      <c r="F7093" s="2"/>
      <c r="G7093" s="2"/>
      <c r="H7093" s="2"/>
    </row>
    <row r="7094" spans="1:8" x14ac:dyDescent="0.25">
      <c r="A7094" s="1"/>
      <c r="B7094" s="1" t="s">
        <v>4688</v>
      </c>
      <c r="C7094" s="1" t="s">
        <v>4689</v>
      </c>
      <c r="D7094" s="22" t="str">
        <f>HYPERLINK("https://rhld.insurance.arkansas.gov/NPILookup?Npi=1053308320","1053308320")</f>
        <v>1053308320</v>
      </c>
      <c r="E7094" s="1" t="s">
        <v>18346</v>
      </c>
      <c r="F7094" s="2"/>
      <c r="G7094" s="2"/>
      <c r="H7094" s="2"/>
    </row>
    <row r="7095" spans="1:8" x14ac:dyDescent="0.25">
      <c r="A7095" s="1"/>
      <c r="B7095" s="1" t="s">
        <v>4688</v>
      </c>
      <c r="C7095" s="1" t="s">
        <v>4689</v>
      </c>
      <c r="D7095" s="22" t="str">
        <f>HYPERLINK("https://rhld.insurance.arkansas.gov/NPILookup?Npi=1053313056","1053313056")</f>
        <v>1053313056</v>
      </c>
      <c r="E7095" s="1" t="s">
        <v>18347</v>
      </c>
      <c r="F7095" s="2"/>
      <c r="G7095" s="2"/>
      <c r="H7095" s="2"/>
    </row>
    <row r="7096" spans="1:8" x14ac:dyDescent="0.25">
      <c r="A7096" s="1"/>
      <c r="B7096" s="1" t="s">
        <v>4688</v>
      </c>
      <c r="C7096" s="1" t="s">
        <v>4689</v>
      </c>
      <c r="D7096" s="22" t="str">
        <f>HYPERLINK("https://rhld.insurance.arkansas.gov/NPILookup?Npi=1053378257","1053378257")</f>
        <v>1053378257</v>
      </c>
      <c r="E7096" s="1" t="s">
        <v>2753</v>
      </c>
      <c r="F7096" s="2"/>
      <c r="G7096" s="2"/>
      <c r="H7096" s="2"/>
    </row>
    <row r="7097" spans="1:8" x14ac:dyDescent="0.25">
      <c r="A7097" s="1"/>
      <c r="B7097" s="1" t="s">
        <v>4688</v>
      </c>
      <c r="C7097" s="1" t="s">
        <v>4689</v>
      </c>
      <c r="D7097" s="22" t="str">
        <f>HYPERLINK("https://rhld.insurance.arkansas.gov/NPILookup?Npi=1053755637","1053755637")</f>
        <v>1053755637</v>
      </c>
      <c r="E7097" s="1" t="s">
        <v>4698</v>
      </c>
      <c r="F7097" s="2"/>
      <c r="G7097" s="2"/>
      <c r="H7097" s="2"/>
    </row>
    <row r="7098" spans="1:8" x14ac:dyDescent="0.25">
      <c r="A7098" s="1"/>
      <c r="B7098" s="1" t="s">
        <v>4688</v>
      </c>
      <c r="C7098" s="1" t="s">
        <v>4689</v>
      </c>
      <c r="D7098" s="22" t="str">
        <f>HYPERLINK("https://rhld.insurance.arkansas.gov/NPILookup?Npi=1063480168","1063480168")</f>
        <v>1063480168</v>
      </c>
      <c r="E7098" s="1" t="s">
        <v>18350</v>
      </c>
      <c r="F7098" s="2"/>
      <c r="G7098" s="2"/>
      <c r="H7098" s="2"/>
    </row>
    <row r="7099" spans="1:8" x14ac:dyDescent="0.25">
      <c r="A7099" s="1"/>
      <c r="B7099" s="1" t="s">
        <v>4688</v>
      </c>
      <c r="C7099" s="1" t="s">
        <v>4689</v>
      </c>
      <c r="D7099" s="22" t="str">
        <f>HYPERLINK("https://rhld.insurance.arkansas.gov/NPILookup?Npi=1063569887","1063569887")</f>
        <v>1063569887</v>
      </c>
      <c r="E7099" s="1" t="s">
        <v>18351</v>
      </c>
      <c r="F7099" s="2"/>
      <c r="G7099" s="2"/>
      <c r="H7099" s="2"/>
    </row>
    <row r="7100" spans="1:8" x14ac:dyDescent="0.25">
      <c r="A7100" s="1"/>
      <c r="B7100" s="1" t="s">
        <v>4688</v>
      </c>
      <c r="C7100" s="1" t="s">
        <v>4689</v>
      </c>
      <c r="D7100" s="22" t="str">
        <f>HYPERLINK("https://rhld.insurance.arkansas.gov/NPILookup?Npi=1063671949","1063671949")</f>
        <v>1063671949</v>
      </c>
      <c r="E7100" s="1" t="s">
        <v>358</v>
      </c>
      <c r="F7100" s="2"/>
      <c r="G7100" s="2"/>
      <c r="H7100" s="2"/>
    </row>
    <row r="7101" spans="1:8" x14ac:dyDescent="0.25">
      <c r="A7101" s="1"/>
      <c r="B7101" s="1" t="s">
        <v>4688</v>
      </c>
      <c r="C7101" s="1" t="s">
        <v>4689</v>
      </c>
      <c r="D7101" s="22" t="str">
        <f>HYPERLINK("https://rhld.insurance.arkansas.gov/NPILookup?Npi=1063685956","1063685956")</f>
        <v>1063685956</v>
      </c>
      <c r="E7101" s="1" t="s">
        <v>18352</v>
      </c>
      <c r="F7101" s="2"/>
      <c r="G7101" s="2"/>
      <c r="H7101" s="2"/>
    </row>
    <row r="7102" spans="1:8" x14ac:dyDescent="0.25">
      <c r="A7102" s="1"/>
      <c r="B7102" s="1" t="s">
        <v>4688</v>
      </c>
      <c r="C7102" s="1" t="s">
        <v>4689</v>
      </c>
      <c r="D7102" s="22" t="str">
        <f>HYPERLINK("https://rhld.insurance.arkansas.gov/NPILookup?Npi=1063945921","1063945921")</f>
        <v>1063945921</v>
      </c>
      <c r="E7102" s="1" t="s">
        <v>4699</v>
      </c>
      <c r="F7102" s="2"/>
      <c r="G7102" s="2"/>
      <c r="H7102" s="2"/>
    </row>
    <row r="7103" spans="1:8" x14ac:dyDescent="0.25">
      <c r="A7103" s="1"/>
      <c r="B7103" s="1" t="s">
        <v>4688</v>
      </c>
      <c r="C7103" s="1" t="s">
        <v>4689</v>
      </c>
      <c r="D7103" s="22" t="str">
        <f>HYPERLINK("https://rhld.insurance.arkansas.gov/NPILookup?Npi=1073522546","1073522546")</f>
        <v>1073522546</v>
      </c>
      <c r="E7103" s="1" t="s">
        <v>7</v>
      </c>
      <c r="F7103" s="2"/>
      <c r="G7103" s="2"/>
      <c r="H7103" s="2"/>
    </row>
    <row r="7104" spans="1:8" x14ac:dyDescent="0.25">
      <c r="A7104" s="1"/>
      <c r="B7104" s="1" t="s">
        <v>4688</v>
      </c>
      <c r="C7104" s="1" t="s">
        <v>4689</v>
      </c>
      <c r="D7104" s="22" t="str">
        <f>HYPERLINK("https://rhld.insurance.arkansas.gov/NPILookup?Npi=1073764403","1073764403")</f>
        <v>1073764403</v>
      </c>
      <c r="E7104" s="1" t="s">
        <v>18353</v>
      </c>
      <c r="F7104" s="2"/>
      <c r="G7104" s="2"/>
      <c r="H7104" s="2"/>
    </row>
    <row r="7105" spans="1:8" x14ac:dyDescent="0.25">
      <c r="A7105" s="1"/>
      <c r="B7105" s="1" t="s">
        <v>4688</v>
      </c>
      <c r="C7105" s="1" t="s">
        <v>4689</v>
      </c>
      <c r="D7105" s="22" t="str">
        <f>HYPERLINK("https://rhld.insurance.arkansas.gov/NPILookup?Npi=1073961751","1073961751")</f>
        <v>1073961751</v>
      </c>
      <c r="E7105" s="1" t="s">
        <v>18354</v>
      </c>
      <c r="F7105" s="2"/>
      <c r="G7105" s="2"/>
      <c r="H7105" s="2"/>
    </row>
    <row r="7106" spans="1:8" x14ac:dyDescent="0.25">
      <c r="A7106" s="1"/>
      <c r="B7106" s="1" t="s">
        <v>4688</v>
      </c>
      <c r="C7106" s="1" t="s">
        <v>4689</v>
      </c>
      <c r="D7106" s="22" t="str">
        <f>HYPERLINK("https://rhld.insurance.arkansas.gov/NPILookup?Npi=1083009252","1083009252")</f>
        <v>1083009252</v>
      </c>
      <c r="E7106" s="1" t="s">
        <v>4700</v>
      </c>
      <c r="F7106" s="2"/>
      <c r="G7106" s="2"/>
      <c r="H7106" s="2"/>
    </row>
    <row r="7107" spans="1:8" x14ac:dyDescent="0.25">
      <c r="A7107" s="1"/>
      <c r="B7107" s="1" t="s">
        <v>4688</v>
      </c>
      <c r="C7107" s="1" t="s">
        <v>4689</v>
      </c>
      <c r="D7107" s="22" t="str">
        <f>HYPERLINK("https://rhld.insurance.arkansas.gov/NPILookup?Npi=1083050702","1083050702")</f>
        <v>1083050702</v>
      </c>
      <c r="E7107" s="1" t="s">
        <v>18355</v>
      </c>
      <c r="F7107" s="2"/>
      <c r="G7107" s="2"/>
      <c r="H7107" s="2"/>
    </row>
    <row r="7108" spans="1:8" x14ac:dyDescent="0.25">
      <c r="A7108" s="1"/>
      <c r="B7108" s="1" t="s">
        <v>4688</v>
      </c>
      <c r="C7108" s="1" t="s">
        <v>4689</v>
      </c>
      <c r="D7108" s="22" t="str">
        <f>HYPERLINK("https://rhld.insurance.arkansas.gov/NPILookup?Npi=1083146054","1083146054")</f>
        <v>1083146054</v>
      </c>
      <c r="E7108" s="1" t="s">
        <v>18356</v>
      </c>
      <c r="F7108" s="2"/>
      <c r="G7108" s="2"/>
      <c r="H7108" s="2"/>
    </row>
    <row r="7109" spans="1:8" x14ac:dyDescent="0.25">
      <c r="A7109" s="1"/>
      <c r="B7109" s="1" t="s">
        <v>4688</v>
      </c>
      <c r="C7109" s="1" t="s">
        <v>4689</v>
      </c>
      <c r="D7109" s="22" t="str">
        <f>HYPERLINK("https://rhld.insurance.arkansas.gov/NPILookup?Npi=1083624365","1083624365")</f>
        <v>1083624365</v>
      </c>
      <c r="E7109" s="1" t="s">
        <v>31499</v>
      </c>
      <c r="F7109" s="2"/>
      <c r="G7109" s="2"/>
      <c r="H7109" s="2"/>
    </row>
    <row r="7110" spans="1:8" x14ac:dyDescent="0.25">
      <c r="A7110" s="1"/>
      <c r="B7110" s="1" t="s">
        <v>4688</v>
      </c>
      <c r="C7110" s="1" t="s">
        <v>4689</v>
      </c>
      <c r="D7110" s="22" t="str">
        <f>HYPERLINK("https://rhld.insurance.arkansas.gov/NPILookup?Npi=1083832687","1083832687")</f>
        <v>1083832687</v>
      </c>
      <c r="E7110" s="1" t="s">
        <v>10601</v>
      </c>
      <c r="F7110" s="2"/>
      <c r="G7110" s="2"/>
      <c r="H7110" s="2"/>
    </row>
    <row r="7111" spans="1:8" x14ac:dyDescent="0.25">
      <c r="A7111" s="1"/>
      <c r="B7111" s="1" t="s">
        <v>4688</v>
      </c>
      <c r="C7111" s="1" t="s">
        <v>4689</v>
      </c>
      <c r="D7111" s="22" t="str">
        <f>HYPERLINK("https://rhld.insurance.arkansas.gov/NPILookup?Npi=1083836266","1083836266")</f>
        <v>1083836266</v>
      </c>
      <c r="E7111" s="1" t="s">
        <v>10602</v>
      </c>
      <c r="F7111" s="2"/>
      <c r="G7111" s="2"/>
      <c r="H7111" s="2"/>
    </row>
    <row r="7112" spans="1:8" x14ac:dyDescent="0.25">
      <c r="A7112" s="1"/>
      <c r="B7112" s="1" t="s">
        <v>4688</v>
      </c>
      <c r="C7112" s="1" t="s">
        <v>4689</v>
      </c>
      <c r="D7112" s="22" t="str">
        <f>HYPERLINK("https://rhld.insurance.arkansas.gov/NPILookup?Npi=1093135956","1093135956")</f>
        <v>1093135956</v>
      </c>
      <c r="E7112" s="1" t="s">
        <v>4701</v>
      </c>
      <c r="F7112" s="2"/>
      <c r="G7112" s="2"/>
      <c r="H7112" s="2"/>
    </row>
    <row r="7113" spans="1:8" x14ac:dyDescent="0.25">
      <c r="A7113" s="1"/>
      <c r="B7113" s="1" t="s">
        <v>4688</v>
      </c>
      <c r="C7113" s="1" t="s">
        <v>4689</v>
      </c>
      <c r="D7113" s="22" t="str">
        <f>HYPERLINK("https://rhld.insurance.arkansas.gov/NPILookup?Npi=1093236564","1093236564")</f>
        <v>1093236564</v>
      </c>
      <c r="E7113" s="1" t="s">
        <v>31500</v>
      </c>
      <c r="F7113" s="2"/>
      <c r="G7113" s="2"/>
      <c r="H7113" s="2"/>
    </row>
    <row r="7114" spans="1:8" x14ac:dyDescent="0.25">
      <c r="A7114" s="1"/>
      <c r="B7114" s="1" t="s">
        <v>4688</v>
      </c>
      <c r="C7114" s="1" t="s">
        <v>4689</v>
      </c>
      <c r="D7114" s="22" t="str">
        <f>HYPERLINK("https://rhld.insurance.arkansas.gov/NPILookup?Npi=1093725269","1093725269")</f>
        <v>1093725269</v>
      </c>
      <c r="E7114" s="1" t="s">
        <v>18357</v>
      </c>
      <c r="F7114" s="2"/>
      <c r="G7114" s="2"/>
      <c r="H7114" s="2"/>
    </row>
    <row r="7115" spans="1:8" x14ac:dyDescent="0.25">
      <c r="A7115" s="1"/>
      <c r="B7115" s="1" t="s">
        <v>4688</v>
      </c>
      <c r="C7115" s="1" t="s">
        <v>4689</v>
      </c>
      <c r="D7115" s="22" t="str">
        <f>HYPERLINK("https://rhld.insurance.arkansas.gov/NPILookup?Npi=1093729246","1093729246")</f>
        <v>1093729246</v>
      </c>
      <c r="E7115" s="1" t="s">
        <v>10603</v>
      </c>
      <c r="F7115" s="2"/>
      <c r="G7115" s="2"/>
      <c r="H7115" s="2"/>
    </row>
    <row r="7116" spans="1:8" x14ac:dyDescent="0.25">
      <c r="A7116" s="1"/>
      <c r="B7116" s="1" t="s">
        <v>4688</v>
      </c>
      <c r="C7116" s="1" t="s">
        <v>4689</v>
      </c>
      <c r="D7116" s="22" t="str">
        <f>HYPERLINK("https://rhld.insurance.arkansas.gov/NPILookup?Npi=1093788507","1093788507")</f>
        <v>1093788507</v>
      </c>
      <c r="E7116" s="1" t="s">
        <v>18358</v>
      </c>
      <c r="F7116" s="2"/>
      <c r="G7116" s="2"/>
      <c r="H7116" s="2"/>
    </row>
    <row r="7117" spans="1:8" x14ac:dyDescent="0.25">
      <c r="A7117" s="1"/>
      <c r="B7117" s="1" t="s">
        <v>4688</v>
      </c>
      <c r="C7117" s="1" t="s">
        <v>4689</v>
      </c>
      <c r="D7117" s="22" t="str">
        <f>HYPERLINK("https://rhld.insurance.arkansas.gov/NPILookup?Npi=1104076439","1104076439")</f>
        <v>1104076439</v>
      </c>
      <c r="E7117" s="1" t="s">
        <v>9884</v>
      </c>
      <c r="F7117" s="2"/>
      <c r="G7117" s="2"/>
      <c r="H7117" s="2"/>
    </row>
    <row r="7118" spans="1:8" x14ac:dyDescent="0.25">
      <c r="A7118" s="1"/>
      <c r="B7118" s="1" t="s">
        <v>4688</v>
      </c>
      <c r="C7118" s="1" t="s">
        <v>4689</v>
      </c>
      <c r="D7118" s="22" t="str">
        <f>HYPERLINK("https://rhld.insurance.arkansas.gov/NPILookup?Npi=1104874957","1104874957")</f>
        <v>1104874957</v>
      </c>
      <c r="E7118" s="1" t="s">
        <v>596</v>
      </c>
      <c r="F7118" s="2"/>
      <c r="G7118" s="2"/>
      <c r="H7118" s="2"/>
    </row>
    <row r="7119" spans="1:8" x14ac:dyDescent="0.25">
      <c r="A7119" s="1"/>
      <c r="B7119" s="1" t="s">
        <v>4688</v>
      </c>
      <c r="C7119" s="1" t="s">
        <v>4689</v>
      </c>
      <c r="D7119" s="22" t="str">
        <f>HYPERLINK("https://rhld.insurance.arkansas.gov/NPILookup?Npi=1104925148","1104925148")</f>
        <v>1104925148</v>
      </c>
      <c r="E7119" s="1" t="s">
        <v>4702</v>
      </c>
      <c r="F7119" s="2"/>
      <c r="G7119" s="2"/>
      <c r="H7119" s="2"/>
    </row>
    <row r="7120" spans="1:8" x14ac:dyDescent="0.25">
      <c r="A7120" s="1"/>
      <c r="B7120" s="1" t="s">
        <v>4688</v>
      </c>
      <c r="C7120" s="1" t="s">
        <v>4689</v>
      </c>
      <c r="D7120" s="22" t="str">
        <f>HYPERLINK("https://rhld.insurance.arkansas.gov/NPILookup?Npi=1104977768","1104977768")</f>
        <v>1104977768</v>
      </c>
      <c r="E7120" s="1" t="s">
        <v>10604</v>
      </c>
      <c r="F7120" s="2"/>
      <c r="G7120" s="2"/>
      <c r="H7120" s="2"/>
    </row>
    <row r="7121" spans="1:8" x14ac:dyDescent="0.25">
      <c r="A7121" s="1"/>
      <c r="B7121" s="1" t="s">
        <v>4688</v>
      </c>
      <c r="C7121" s="1" t="s">
        <v>4689</v>
      </c>
      <c r="D7121" s="22" t="str">
        <f>HYPERLINK("https://rhld.insurance.arkansas.gov/NPILookup?Npi=1114037306","1114037306")</f>
        <v>1114037306</v>
      </c>
      <c r="E7121" s="1" t="s">
        <v>18359</v>
      </c>
      <c r="F7121" s="2"/>
      <c r="G7121" s="2"/>
      <c r="H7121" s="2"/>
    </row>
    <row r="7122" spans="1:8" x14ac:dyDescent="0.25">
      <c r="A7122" s="1"/>
      <c r="B7122" s="1" t="s">
        <v>4688</v>
      </c>
      <c r="C7122" s="1" t="s">
        <v>4689</v>
      </c>
      <c r="D7122" s="22" t="str">
        <f>HYPERLINK("https://rhld.insurance.arkansas.gov/NPILookup?Npi=1114094273","1114094273")</f>
        <v>1114094273</v>
      </c>
      <c r="E7122" s="1" t="s">
        <v>18360</v>
      </c>
      <c r="F7122" s="2"/>
      <c r="G7122" s="2"/>
      <c r="H7122" s="2"/>
    </row>
    <row r="7123" spans="1:8" x14ac:dyDescent="0.25">
      <c r="A7123" s="1"/>
      <c r="B7123" s="1" t="s">
        <v>4688</v>
      </c>
      <c r="C7123" s="1" t="s">
        <v>4689</v>
      </c>
      <c r="D7123" s="22" t="str">
        <f>HYPERLINK("https://rhld.insurance.arkansas.gov/NPILookup?Npi=1114151404","1114151404")</f>
        <v>1114151404</v>
      </c>
      <c r="E7123" s="1" t="s">
        <v>18361</v>
      </c>
      <c r="F7123" s="2"/>
      <c r="G7123" s="2"/>
      <c r="H7123" s="2"/>
    </row>
    <row r="7124" spans="1:8" x14ac:dyDescent="0.25">
      <c r="A7124" s="1"/>
      <c r="B7124" s="1" t="s">
        <v>4688</v>
      </c>
      <c r="C7124" s="1" t="s">
        <v>4689</v>
      </c>
      <c r="D7124" s="22" t="str">
        <f>HYPERLINK("https://rhld.insurance.arkansas.gov/NPILookup?Npi=1114186053","1114186053")</f>
        <v>1114186053</v>
      </c>
      <c r="E7124" s="1" t="s">
        <v>4703</v>
      </c>
      <c r="F7124" s="2"/>
      <c r="G7124" s="2"/>
      <c r="H7124" s="2"/>
    </row>
    <row r="7125" spans="1:8" x14ac:dyDescent="0.25">
      <c r="A7125" s="1"/>
      <c r="B7125" s="1" t="s">
        <v>4688</v>
      </c>
      <c r="C7125" s="1" t="s">
        <v>4689</v>
      </c>
      <c r="D7125" s="22" t="str">
        <f>HYPERLINK("https://rhld.insurance.arkansas.gov/NPILookup?Npi=1114285145","1114285145")</f>
        <v>1114285145</v>
      </c>
      <c r="E7125" s="1" t="s">
        <v>4704</v>
      </c>
      <c r="F7125" s="2"/>
      <c r="G7125" s="2"/>
      <c r="H7125" s="2"/>
    </row>
    <row r="7126" spans="1:8" x14ac:dyDescent="0.25">
      <c r="A7126" s="1"/>
      <c r="B7126" s="1" t="s">
        <v>4688</v>
      </c>
      <c r="C7126" s="1" t="s">
        <v>4689</v>
      </c>
      <c r="D7126" s="22" t="str">
        <f>HYPERLINK("https://rhld.insurance.arkansas.gov/NPILookup?Npi=1114993060","1114993060")</f>
        <v>1114993060</v>
      </c>
      <c r="E7126" s="1" t="s">
        <v>15994</v>
      </c>
      <c r="F7126" s="2"/>
      <c r="G7126" s="2"/>
      <c r="H7126" s="2"/>
    </row>
    <row r="7127" spans="1:8" x14ac:dyDescent="0.25">
      <c r="A7127" s="1"/>
      <c r="B7127" s="1" t="s">
        <v>4688</v>
      </c>
      <c r="C7127" s="1" t="s">
        <v>4689</v>
      </c>
      <c r="D7127" s="22" t="str">
        <f>HYPERLINK("https://rhld.insurance.arkansas.gov/NPILookup?Npi=1124085469","1124085469")</f>
        <v>1124085469</v>
      </c>
      <c r="E7127" s="1" t="s">
        <v>4705</v>
      </c>
      <c r="F7127" s="2"/>
      <c r="G7127" s="2"/>
      <c r="H7127" s="2"/>
    </row>
    <row r="7128" spans="1:8" x14ac:dyDescent="0.25">
      <c r="A7128" s="1"/>
      <c r="B7128" s="1" t="s">
        <v>4688</v>
      </c>
      <c r="C7128" s="1" t="s">
        <v>4689</v>
      </c>
      <c r="D7128" s="22" t="str">
        <f>HYPERLINK("https://rhld.insurance.arkansas.gov/NPILookup?Npi=1124085485","1124085485")</f>
        <v>1124085485</v>
      </c>
      <c r="E7128" s="1" t="s">
        <v>18362</v>
      </c>
      <c r="F7128" s="2"/>
      <c r="G7128" s="2"/>
      <c r="H7128" s="2"/>
    </row>
    <row r="7129" spans="1:8" x14ac:dyDescent="0.25">
      <c r="A7129" s="1"/>
      <c r="B7129" s="1" t="s">
        <v>4688</v>
      </c>
      <c r="C7129" s="1" t="s">
        <v>4689</v>
      </c>
      <c r="D7129" s="22" t="str">
        <f>HYPERLINK("https://rhld.insurance.arkansas.gov/NPILookup?Npi=1124211271","1124211271")</f>
        <v>1124211271</v>
      </c>
      <c r="E7129" s="1" t="s">
        <v>10605</v>
      </c>
      <c r="F7129" s="2"/>
      <c r="G7129" s="2"/>
      <c r="H7129" s="2"/>
    </row>
    <row r="7130" spans="1:8" x14ac:dyDescent="0.25">
      <c r="A7130" s="1"/>
      <c r="B7130" s="1" t="s">
        <v>4688</v>
      </c>
      <c r="C7130" s="1" t="s">
        <v>4689</v>
      </c>
      <c r="D7130" s="22" t="str">
        <f>HYPERLINK("https://rhld.insurance.arkansas.gov/NPILookup?Npi=1124219381","1124219381")</f>
        <v>1124219381</v>
      </c>
      <c r="E7130" s="1" t="s">
        <v>31501</v>
      </c>
      <c r="F7130" s="2"/>
      <c r="G7130" s="2"/>
      <c r="H7130" s="2"/>
    </row>
    <row r="7131" spans="1:8" x14ac:dyDescent="0.25">
      <c r="A7131" s="1"/>
      <c r="B7131" s="1" t="s">
        <v>4688</v>
      </c>
      <c r="C7131" s="1" t="s">
        <v>4689</v>
      </c>
      <c r="D7131" s="22" t="str">
        <f>HYPERLINK("https://rhld.insurance.arkansas.gov/NPILookup?Npi=1124377767","1124377767")</f>
        <v>1124377767</v>
      </c>
      <c r="E7131" s="1" t="s">
        <v>4706</v>
      </c>
      <c r="F7131" s="2"/>
      <c r="G7131" s="2"/>
      <c r="H7131" s="2"/>
    </row>
    <row r="7132" spans="1:8" x14ac:dyDescent="0.25">
      <c r="A7132" s="1"/>
      <c r="B7132" s="1" t="s">
        <v>4688</v>
      </c>
      <c r="C7132" s="1" t="s">
        <v>4689</v>
      </c>
      <c r="D7132" s="22" t="str">
        <f>HYPERLINK("https://rhld.insurance.arkansas.gov/NPILookup?Npi=1124415583","1124415583")</f>
        <v>1124415583</v>
      </c>
      <c r="E7132" s="1" t="s">
        <v>15995</v>
      </c>
      <c r="F7132" s="2"/>
      <c r="G7132" s="2"/>
      <c r="H7132" s="2"/>
    </row>
    <row r="7133" spans="1:8" x14ac:dyDescent="0.25">
      <c r="A7133" s="1"/>
      <c r="B7133" s="1" t="s">
        <v>4688</v>
      </c>
      <c r="C7133" s="1" t="s">
        <v>4689</v>
      </c>
      <c r="D7133" s="22" t="str">
        <f>HYPERLINK("https://rhld.insurance.arkansas.gov/NPILookup?Npi=1124524699","1124524699")</f>
        <v>1124524699</v>
      </c>
      <c r="E7133" s="1" t="s">
        <v>5928</v>
      </c>
      <c r="F7133" s="2"/>
      <c r="G7133" s="2"/>
      <c r="H7133" s="2"/>
    </row>
    <row r="7134" spans="1:8" x14ac:dyDescent="0.25">
      <c r="A7134" s="1"/>
      <c r="B7134" s="1" t="s">
        <v>4688</v>
      </c>
      <c r="C7134" s="1" t="s">
        <v>4689</v>
      </c>
      <c r="D7134" s="22" t="str">
        <f>HYPERLINK("https://rhld.insurance.arkansas.gov/NPILookup?Npi=1134122708","1134122708")</f>
        <v>1134122708</v>
      </c>
      <c r="E7134" s="1" t="s">
        <v>18363</v>
      </c>
      <c r="F7134" s="2"/>
      <c r="G7134" s="2"/>
      <c r="H7134" s="2"/>
    </row>
    <row r="7135" spans="1:8" x14ac:dyDescent="0.25">
      <c r="A7135" s="1"/>
      <c r="B7135" s="1" t="s">
        <v>4688</v>
      </c>
      <c r="C7135" s="1" t="s">
        <v>4689</v>
      </c>
      <c r="D7135" s="22" t="str">
        <f>HYPERLINK("https://rhld.insurance.arkansas.gov/NPILookup?Npi=1134149339","1134149339")</f>
        <v>1134149339</v>
      </c>
      <c r="E7135" s="1" t="s">
        <v>18232</v>
      </c>
      <c r="F7135" s="2"/>
      <c r="G7135" s="2"/>
      <c r="H7135" s="2"/>
    </row>
    <row r="7136" spans="1:8" x14ac:dyDescent="0.25">
      <c r="A7136" s="1"/>
      <c r="B7136" s="1" t="s">
        <v>4688</v>
      </c>
      <c r="C7136" s="1" t="s">
        <v>4689</v>
      </c>
      <c r="D7136" s="22" t="str">
        <f>HYPERLINK("https://rhld.insurance.arkansas.gov/NPILookup?Npi=1134194111","1134194111")</f>
        <v>1134194111</v>
      </c>
      <c r="E7136" s="1" t="s">
        <v>18364</v>
      </c>
      <c r="F7136" s="2"/>
      <c r="G7136" s="2"/>
      <c r="H7136" s="2"/>
    </row>
    <row r="7137" spans="1:8" x14ac:dyDescent="0.25">
      <c r="A7137" s="1"/>
      <c r="B7137" s="1" t="s">
        <v>4688</v>
      </c>
      <c r="C7137" s="1" t="s">
        <v>4689</v>
      </c>
      <c r="D7137" s="22" t="str">
        <f>HYPERLINK("https://rhld.insurance.arkansas.gov/NPILookup?Npi=1134204852","1134204852")</f>
        <v>1134204852</v>
      </c>
      <c r="E7137" s="1" t="s">
        <v>18365</v>
      </c>
      <c r="F7137" s="2"/>
      <c r="G7137" s="2"/>
      <c r="H7137" s="2"/>
    </row>
    <row r="7138" spans="1:8" x14ac:dyDescent="0.25">
      <c r="A7138" s="1"/>
      <c r="B7138" s="1" t="s">
        <v>4688</v>
      </c>
      <c r="C7138" s="1" t="s">
        <v>4689</v>
      </c>
      <c r="D7138" s="22" t="str">
        <f>HYPERLINK("https://rhld.insurance.arkansas.gov/NPILookup?Npi=1134296569","1134296569")</f>
        <v>1134296569</v>
      </c>
      <c r="E7138" s="1" t="s">
        <v>18366</v>
      </c>
      <c r="F7138" s="2"/>
      <c r="G7138" s="2"/>
      <c r="H7138" s="2"/>
    </row>
    <row r="7139" spans="1:8" x14ac:dyDescent="0.25">
      <c r="A7139" s="1"/>
      <c r="B7139" s="1" t="s">
        <v>4688</v>
      </c>
      <c r="C7139" s="1" t="s">
        <v>4689</v>
      </c>
      <c r="D7139" s="22" t="str">
        <f>HYPERLINK("https://rhld.insurance.arkansas.gov/NPILookup?Npi=1134567548","1134567548")</f>
        <v>1134567548</v>
      </c>
      <c r="E7139" s="1" t="s">
        <v>10606</v>
      </c>
      <c r="F7139" s="2"/>
      <c r="G7139" s="2"/>
      <c r="H7139" s="2"/>
    </row>
    <row r="7140" spans="1:8" x14ac:dyDescent="0.25">
      <c r="A7140" s="1"/>
      <c r="B7140" s="1" t="s">
        <v>4688</v>
      </c>
      <c r="C7140" s="1" t="s">
        <v>4689</v>
      </c>
      <c r="D7140" s="22" t="str">
        <f>HYPERLINK("https://rhld.insurance.arkansas.gov/NPILookup?Npi=1144225145","1144225145")</f>
        <v>1144225145</v>
      </c>
      <c r="E7140" s="1" t="s">
        <v>18367</v>
      </c>
      <c r="F7140" s="2"/>
      <c r="G7140" s="2"/>
      <c r="H7140" s="2"/>
    </row>
    <row r="7141" spans="1:8" x14ac:dyDescent="0.25">
      <c r="A7141" s="1"/>
      <c r="B7141" s="1" t="s">
        <v>4688</v>
      </c>
      <c r="C7141" s="1" t="s">
        <v>4689</v>
      </c>
      <c r="D7141" s="22" t="str">
        <f>HYPERLINK("https://rhld.insurance.arkansas.gov/NPILookup?Npi=1144257882","1144257882")</f>
        <v>1144257882</v>
      </c>
      <c r="E7141" s="1" t="s">
        <v>18368</v>
      </c>
      <c r="F7141" s="2"/>
      <c r="G7141" s="2"/>
      <c r="H7141" s="2"/>
    </row>
    <row r="7142" spans="1:8" x14ac:dyDescent="0.25">
      <c r="A7142" s="1"/>
      <c r="B7142" s="1" t="s">
        <v>4688</v>
      </c>
      <c r="C7142" s="1" t="s">
        <v>4689</v>
      </c>
      <c r="D7142" s="22" t="str">
        <f>HYPERLINK("https://rhld.insurance.arkansas.gov/NPILookup?Npi=1144292368","1144292368")</f>
        <v>1144292368</v>
      </c>
      <c r="E7142" s="1" t="s">
        <v>4708</v>
      </c>
      <c r="F7142" s="2"/>
      <c r="G7142" s="2"/>
      <c r="H7142" s="2"/>
    </row>
    <row r="7143" spans="1:8" x14ac:dyDescent="0.25">
      <c r="A7143" s="1"/>
      <c r="B7143" s="1" t="s">
        <v>4688</v>
      </c>
      <c r="C7143" s="1" t="s">
        <v>4689</v>
      </c>
      <c r="D7143" s="22" t="str">
        <f>HYPERLINK("https://rhld.insurance.arkansas.gov/NPILookup?Npi=1144338344","1144338344")</f>
        <v>1144338344</v>
      </c>
      <c r="E7143" s="1" t="s">
        <v>3445</v>
      </c>
      <c r="F7143" s="2"/>
      <c r="G7143" s="2"/>
      <c r="H7143" s="2"/>
    </row>
    <row r="7144" spans="1:8" x14ac:dyDescent="0.25">
      <c r="A7144" s="1"/>
      <c r="B7144" s="1" t="s">
        <v>4688</v>
      </c>
      <c r="C7144" s="1" t="s">
        <v>4689</v>
      </c>
      <c r="D7144" s="22" t="str">
        <f>HYPERLINK("https://rhld.insurance.arkansas.gov/NPILookup?Npi=1144403387","1144403387")</f>
        <v>1144403387</v>
      </c>
      <c r="E7144" s="1" t="s">
        <v>15997</v>
      </c>
      <c r="F7144" s="2"/>
      <c r="G7144" s="2"/>
      <c r="H7144" s="2"/>
    </row>
    <row r="7145" spans="1:8" x14ac:dyDescent="0.25">
      <c r="A7145" s="1"/>
      <c r="B7145" s="1" t="s">
        <v>4688</v>
      </c>
      <c r="C7145" s="1" t="s">
        <v>4689</v>
      </c>
      <c r="D7145" s="22" t="str">
        <f>HYPERLINK("https://rhld.insurance.arkansas.gov/NPILookup?Npi=1144459645","1144459645")</f>
        <v>1144459645</v>
      </c>
      <c r="E7145" s="1" t="s">
        <v>18369</v>
      </c>
      <c r="F7145" s="2"/>
      <c r="G7145" s="2"/>
      <c r="H7145" s="2"/>
    </row>
    <row r="7146" spans="1:8" x14ac:dyDescent="0.25">
      <c r="A7146" s="1"/>
      <c r="B7146" s="1" t="s">
        <v>4688</v>
      </c>
      <c r="C7146" s="1" t="s">
        <v>4689</v>
      </c>
      <c r="D7146" s="22" t="str">
        <f>HYPERLINK("https://rhld.insurance.arkansas.gov/NPILookup?Npi=1144631649","1144631649")</f>
        <v>1144631649</v>
      </c>
      <c r="E7146" s="1" t="s">
        <v>10607</v>
      </c>
      <c r="F7146" s="2"/>
      <c r="G7146" s="2"/>
      <c r="H7146" s="2"/>
    </row>
    <row r="7147" spans="1:8" x14ac:dyDescent="0.25">
      <c r="A7147" s="1"/>
      <c r="B7147" s="1" t="s">
        <v>4688</v>
      </c>
      <c r="C7147" s="1" t="s">
        <v>4689</v>
      </c>
      <c r="D7147" s="22" t="str">
        <f>HYPERLINK("https://rhld.insurance.arkansas.gov/NPILookup?Npi=1144664699","1144664699")</f>
        <v>1144664699</v>
      </c>
      <c r="E7147" s="1" t="s">
        <v>4709</v>
      </c>
      <c r="F7147" s="2"/>
      <c r="G7147" s="2"/>
      <c r="H7147" s="2"/>
    </row>
    <row r="7148" spans="1:8" x14ac:dyDescent="0.25">
      <c r="A7148" s="1"/>
      <c r="B7148" s="1" t="s">
        <v>4688</v>
      </c>
      <c r="C7148" s="1" t="s">
        <v>4689</v>
      </c>
      <c r="D7148" s="22" t="str">
        <f>HYPERLINK("https://rhld.insurance.arkansas.gov/NPILookup?Npi=1154323921","1154323921")</f>
        <v>1154323921</v>
      </c>
      <c r="E7148" s="1" t="s">
        <v>4710</v>
      </c>
      <c r="F7148" s="2"/>
      <c r="G7148" s="2"/>
      <c r="H7148" s="2"/>
    </row>
    <row r="7149" spans="1:8" x14ac:dyDescent="0.25">
      <c r="A7149" s="1"/>
      <c r="B7149" s="1" t="s">
        <v>4688</v>
      </c>
      <c r="C7149" s="1" t="s">
        <v>4689</v>
      </c>
      <c r="D7149" s="22" t="str">
        <f>HYPERLINK("https://rhld.insurance.arkansas.gov/NPILookup?Npi=1154373728","1154373728")</f>
        <v>1154373728</v>
      </c>
      <c r="E7149" s="1" t="s">
        <v>10608</v>
      </c>
      <c r="F7149" s="2"/>
      <c r="G7149" s="2"/>
      <c r="H7149" s="2"/>
    </row>
    <row r="7150" spans="1:8" x14ac:dyDescent="0.25">
      <c r="A7150" s="1"/>
      <c r="B7150" s="1" t="s">
        <v>4688</v>
      </c>
      <c r="C7150" s="1" t="s">
        <v>4689</v>
      </c>
      <c r="D7150" s="22" t="str">
        <f>HYPERLINK("https://rhld.insurance.arkansas.gov/NPILookup?Npi=1154502540","1154502540")</f>
        <v>1154502540</v>
      </c>
      <c r="E7150" s="1" t="s">
        <v>18370</v>
      </c>
      <c r="F7150" s="2"/>
      <c r="G7150" s="2"/>
      <c r="H7150" s="2"/>
    </row>
    <row r="7151" spans="1:8" x14ac:dyDescent="0.25">
      <c r="A7151" s="1"/>
      <c r="B7151" s="1" t="s">
        <v>4688</v>
      </c>
      <c r="C7151" s="1" t="s">
        <v>4689</v>
      </c>
      <c r="D7151" s="22" t="str">
        <f>HYPERLINK("https://rhld.insurance.arkansas.gov/NPILookup?Npi=1154609626","1154609626")</f>
        <v>1154609626</v>
      </c>
      <c r="E7151" s="1" t="s">
        <v>4711</v>
      </c>
      <c r="F7151" s="2"/>
      <c r="G7151" s="2"/>
      <c r="H7151" s="2"/>
    </row>
    <row r="7152" spans="1:8" x14ac:dyDescent="0.25">
      <c r="A7152" s="1"/>
      <c r="B7152" s="1" t="s">
        <v>4688</v>
      </c>
      <c r="C7152" s="1" t="s">
        <v>4689</v>
      </c>
      <c r="D7152" s="22" t="str">
        <f>HYPERLINK("https://rhld.insurance.arkansas.gov/NPILookup?Npi=1154705200","1154705200")</f>
        <v>1154705200</v>
      </c>
      <c r="E7152" s="1" t="s">
        <v>18371</v>
      </c>
      <c r="F7152" s="2"/>
      <c r="G7152" s="2"/>
      <c r="H7152" s="2"/>
    </row>
    <row r="7153" spans="1:8" x14ac:dyDescent="0.25">
      <c r="A7153" s="1"/>
      <c r="B7153" s="1" t="s">
        <v>4688</v>
      </c>
      <c r="C7153" s="1" t="s">
        <v>4689</v>
      </c>
      <c r="D7153" s="22" t="str">
        <f>HYPERLINK("https://rhld.insurance.arkansas.gov/NPILookup?Npi=1154715134","1154715134")</f>
        <v>1154715134</v>
      </c>
      <c r="E7153" s="1" t="s">
        <v>10609</v>
      </c>
      <c r="F7153" s="2"/>
      <c r="G7153" s="2"/>
      <c r="H7153" s="2"/>
    </row>
    <row r="7154" spans="1:8" x14ac:dyDescent="0.25">
      <c r="A7154" s="1"/>
      <c r="B7154" s="1" t="s">
        <v>4688</v>
      </c>
      <c r="C7154" s="1" t="s">
        <v>4689</v>
      </c>
      <c r="D7154" s="22" t="str">
        <f>HYPERLINK("https://rhld.insurance.arkansas.gov/NPILookup?Npi=1154747053","1154747053")</f>
        <v>1154747053</v>
      </c>
      <c r="E7154" s="1" t="s">
        <v>4712</v>
      </c>
      <c r="F7154" s="2"/>
      <c r="G7154" s="2"/>
      <c r="H7154" s="2"/>
    </row>
    <row r="7155" spans="1:8" x14ac:dyDescent="0.25">
      <c r="A7155" s="1"/>
      <c r="B7155" s="1" t="s">
        <v>4688</v>
      </c>
      <c r="C7155" s="1" t="s">
        <v>4689</v>
      </c>
      <c r="D7155" s="22" t="str">
        <f>HYPERLINK("https://rhld.insurance.arkansas.gov/NPILookup?Npi=1154900520","1154900520")</f>
        <v>1154900520</v>
      </c>
      <c r="E7155" s="1" t="s">
        <v>18372</v>
      </c>
      <c r="F7155" s="2"/>
      <c r="G7155" s="2"/>
      <c r="H7155" s="2"/>
    </row>
    <row r="7156" spans="1:8" x14ac:dyDescent="0.25">
      <c r="A7156" s="1"/>
      <c r="B7156" s="1" t="s">
        <v>4688</v>
      </c>
      <c r="C7156" s="1" t="s">
        <v>4689</v>
      </c>
      <c r="D7156" s="22" t="str">
        <f>HYPERLINK("https://rhld.insurance.arkansas.gov/NPILookup?Npi=1164416640","1164416640")</f>
        <v>1164416640</v>
      </c>
      <c r="E7156" s="1" t="s">
        <v>18374</v>
      </c>
      <c r="F7156" s="2"/>
      <c r="G7156" s="2"/>
      <c r="H7156" s="2"/>
    </row>
    <row r="7157" spans="1:8" x14ac:dyDescent="0.25">
      <c r="A7157" s="1"/>
      <c r="B7157" s="1" t="s">
        <v>4688</v>
      </c>
      <c r="C7157" s="1" t="s">
        <v>4689</v>
      </c>
      <c r="D7157" s="22" t="str">
        <f>HYPERLINK("https://rhld.insurance.arkansas.gov/NPILookup?Npi=1164468567","1164468567")</f>
        <v>1164468567</v>
      </c>
      <c r="E7157" s="1" t="s">
        <v>18375</v>
      </c>
      <c r="F7157" s="2"/>
      <c r="G7157" s="2"/>
      <c r="H7157" s="2"/>
    </row>
    <row r="7158" spans="1:8" x14ac:dyDescent="0.25">
      <c r="A7158" s="1"/>
      <c r="B7158" s="1" t="s">
        <v>4688</v>
      </c>
      <c r="C7158" s="1" t="s">
        <v>4689</v>
      </c>
      <c r="D7158" s="22" t="str">
        <f>HYPERLINK("https://rhld.insurance.arkansas.gov/NPILookup?Npi=1164554044","1164554044")</f>
        <v>1164554044</v>
      </c>
      <c r="E7158" s="1" t="s">
        <v>4714</v>
      </c>
      <c r="F7158" s="2"/>
      <c r="G7158" s="2"/>
      <c r="H7158" s="2"/>
    </row>
    <row r="7159" spans="1:8" x14ac:dyDescent="0.25">
      <c r="A7159" s="1"/>
      <c r="B7159" s="1" t="s">
        <v>4688</v>
      </c>
      <c r="C7159" s="1" t="s">
        <v>4689</v>
      </c>
      <c r="D7159" s="22" t="str">
        <f>HYPERLINK("https://rhld.insurance.arkansas.gov/NPILookup?Npi=1164635272","1164635272")</f>
        <v>1164635272</v>
      </c>
      <c r="E7159" s="1" t="s">
        <v>4272</v>
      </c>
      <c r="F7159" s="2"/>
      <c r="G7159" s="2"/>
      <c r="H7159" s="2"/>
    </row>
    <row r="7160" spans="1:8" x14ac:dyDescent="0.25">
      <c r="A7160" s="1"/>
      <c r="B7160" s="1" t="s">
        <v>4688</v>
      </c>
      <c r="C7160" s="1" t="s">
        <v>4689</v>
      </c>
      <c r="D7160" s="22" t="str">
        <f>HYPERLINK("https://rhld.insurance.arkansas.gov/NPILookup?Npi=1164749255","1164749255")</f>
        <v>1164749255</v>
      </c>
      <c r="E7160" s="1" t="s">
        <v>1435</v>
      </c>
      <c r="F7160" s="2"/>
      <c r="G7160" s="2"/>
      <c r="H7160" s="2"/>
    </row>
    <row r="7161" spans="1:8" x14ac:dyDescent="0.25">
      <c r="A7161" s="1"/>
      <c r="B7161" s="1" t="s">
        <v>4688</v>
      </c>
      <c r="C7161" s="1" t="s">
        <v>4689</v>
      </c>
      <c r="D7161" s="22" t="str">
        <f>HYPERLINK("https://rhld.insurance.arkansas.gov/NPILookup?Npi=1164759924","1164759924")</f>
        <v>1164759924</v>
      </c>
      <c r="E7161" s="1" t="s">
        <v>4715</v>
      </c>
      <c r="F7161" s="2"/>
      <c r="G7161" s="2"/>
      <c r="H7161" s="2"/>
    </row>
    <row r="7162" spans="1:8" x14ac:dyDescent="0.25">
      <c r="A7162" s="1"/>
      <c r="B7162" s="1" t="s">
        <v>4688</v>
      </c>
      <c r="C7162" s="1" t="s">
        <v>4689</v>
      </c>
      <c r="D7162" s="22" t="str">
        <f>HYPERLINK("https://rhld.insurance.arkansas.gov/NPILookup?Npi=1164772323","1164772323")</f>
        <v>1164772323</v>
      </c>
      <c r="E7162" s="1" t="s">
        <v>31502</v>
      </c>
      <c r="F7162" s="2"/>
      <c r="G7162" s="2"/>
      <c r="H7162" s="2"/>
    </row>
    <row r="7163" spans="1:8" x14ac:dyDescent="0.25">
      <c r="A7163" s="1"/>
      <c r="B7163" s="1" t="s">
        <v>4688</v>
      </c>
      <c r="C7163" s="1" t="s">
        <v>4689</v>
      </c>
      <c r="D7163" s="22" t="str">
        <f>HYPERLINK("https://rhld.insurance.arkansas.gov/NPILookup?Npi=1164962726","1164962726")</f>
        <v>1164962726</v>
      </c>
      <c r="E7163" s="1" t="s">
        <v>17264</v>
      </c>
      <c r="F7163" s="2"/>
      <c r="G7163" s="2"/>
      <c r="H7163" s="2"/>
    </row>
    <row r="7164" spans="1:8" x14ac:dyDescent="0.25">
      <c r="A7164" s="1"/>
      <c r="B7164" s="1" t="s">
        <v>4688</v>
      </c>
      <c r="C7164" s="1" t="s">
        <v>4689</v>
      </c>
      <c r="D7164" s="22" t="str">
        <f>HYPERLINK("https://rhld.insurance.arkansas.gov/NPILookup?Npi=1174103519","1174103519")</f>
        <v>1174103519</v>
      </c>
      <c r="E7164" s="1" t="s">
        <v>18376</v>
      </c>
      <c r="F7164" s="2"/>
      <c r="G7164" s="2"/>
      <c r="H7164" s="2"/>
    </row>
    <row r="7165" spans="1:8" x14ac:dyDescent="0.25">
      <c r="A7165" s="1"/>
      <c r="B7165" s="1" t="s">
        <v>4688</v>
      </c>
      <c r="C7165" s="1" t="s">
        <v>4689</v>
      </c>
      <c r="D7165" s="22" t="str">
        <f>HYPERLINK("https://rhld.insurance.arkansas.gov/NPILookup?Npi=1174513774","1174513774")</f>
        <v>1174513774</v>
      </c>
      <c r="E7165" s="1" t="s">
        <v>31503</v>
      </c>
      <c r="F7165" s="2"/>
      <c r="G7165" s="2"/>
      <c r="H7165" s="2"/>
    </row>
    <row r="7166" spans="1:8" x14ac:dyDescent="0.25">
      <c r="A7166" s="1"/>
      <c r="B7166" s="1" t="s">
        <v>4688</v>
      </c>
      <c r="C7166" s="1" t="s">
        <v>4689</v>
      </c>
      <c r="D7166" s="22" t="str">
        <f>HYPERLINK("https://rhld.insurance.arkansas.gov/NPILookup?Npi=1174517460","1174517460")</f>
        <v>1174517460</v>
      </c>
      <c r="E7166" s="1" t="s">
        <v>17268</v>
      </c>
      <c r="F7166" s="2"/>
      <c r="G7166" s="2"/>
      <c r="H7166" s="2"/>
    </row>
    <row r="7167" spans="1:8" x14ac:dyDescent="0.25">
      <c r="A7167" s="1"/>
      <c r="B7167" s="1" t="s">
        <v>4688</v>
      </c>
      <c r="C7167" s="1" t="s">
        <v>4689</v>
      </c>
      <c r="D7167" s="22" t="str">
        <f>HYPERLINK("https://rhld.insurance.arkansas.gov/NPILookup?Npi=1174581623","1174581623")</f>
        <v>1174581623</v>
      </c>
      <c r="E7167" s="1" t="s">
        <v>18377</v>
      </c>
      <c r="F7167" s="2"/>
      <c r="G7167" s="2"/>
      <c r="H7167" s="2"/>
    </row>
    <row r="7168" spans="1:8" x14ac:dyDescent="0.25">
      <c r="A7168" s="1"/>
      <c r="B7168" s="1" t="s">
        <v>4688</v>
      </c>
      <c r="C7168" s="1" t="s">
        <v>4689</v>
      </c>
      <c r="D7168" s="22" t="str">
        <f>HYPERLINK("https://rhld.insurance.arkansas.gov/NPILookup?Npi=1174589980","1174589980")</f>
        <v>1174589980</v>
      </c>
      <c r="E7168" s="1" t="s">
        <v>31504</v>
      </c>
      <c r="F7168" s="2"/>
      <c r="G7168" s="2"/>
      <c r="H7168" s="2"/>
    </row>
    <row r="7169" spans="1:8" x14ac:dyDescent="0.25">
      <c r="A7169" s="1"/>
      <c r="B7169" s="1" t="s">
        <v>4688</v>
      </c>
      <c r="C7169" s="1" t="s">
        <v>4689</v>
      </c>
      <c r="D7169" s="22" t="str">
        <f>HYPERLINK("https://rhld.insurance.arkansas.gov/NPILookup?Npi=1174596548","1174596548")</f>
        <v>1174596548</v>
      </c>
      <c r="E7169" s="1" t="s">
        <v>18378</v>
      </c>
      <c r="F7169" s="2"/>
      <c r="G7169" s="2"/>
      <c r="H7169" s="2"/>
    </row>
    <row r="7170" spans="1:8" x14ac:dyDescent="0.25">
      <c r="A7170" s="1"/>
      <c r="B7170" s="1" t="s">
        <v>4688</v>
      </c>
      <c r="C7170" s="1" t="s">
        <v>4689</v>
      </c>
      <c r="D7170" s="22" t="str">
        <f>HYPERLINK("https://rhld.insurance.arkansas.gov/NPILookup?Npi=1174596910","1174596910")</f>
        <v>1174596910</v>
      </c>
      <c r="E7170" s="1" t="s">
        <v>1083</v>
      </c>
      <c r="F7170" s="2"/>
      <c r="G7170" s="2"/>
      <c r="H7170" s="2"/>
    </row>
    <row r="7171" spans="1:8" x14ac:dyDescent="0.25">
      <c r="A7171" s="1"/>
      <c r="B7171" s="1" t="s">
        <v>4688</v>
      </c>
      <c r="C7171" s="1" t="s">
        <v>4689</v>
      </c>
      <c r="D7171" s="22" t="str">
        <f>HYPERLINK("https://rhld.insurance.arkansas.gov/NPILookup?Npi=1174780605","1174780605")</f>
        <v>1174780605</v>
      </c>
      <c r="E7171" s="1" t="s">
        <v>31505</v>
      </c>
      <c r="F7171" s="2"/>
      <c r="G7171" s="2"/>
      <c r="H7171" s="2"/>
    </row>
    <row r="7172" spans="1:8" x14ac:dyDescent="0.25">
      <c r="A7172" s="1"/>
      <c r="B7172" s="1" t="s">
        <v>4688</v>
      </c>
      <c r="C7172" s="1" t="s">
        <v>4689</v>
      </c>
      <c r="D7172" s="22" t="str">
        <f>HYPERLINK("https://rhld.insurance.arkansas.gov/NPILookup?Npi=1174866396","1174866396")</f>
        <v>1174866396</v>
      </c>
      <c r="E7172" s="1" t="s">
        <v>18379</v>
      </c>
      <c r="F7172" s="2"/>
      <c r="G7172" s="2"/>
      <c r="H7172" s="2"/>
    </row>
    <row r="7173" spans="1:8" x14ac:dyDescent="0.25">
      <c r="A7173" s="1"/>
      <c r="B7173" s="1" t="s">
        <v>4688</v>
      </c>
      <c r="C7173" s="1" t="s">
        <v>4689</v>
      </c>
      <c r="D7173" s="22" t="str">
        <f>HYPERLINK("https://rhld.insurance.arkansas.gov/NPILookup?Npi=1174939441","1174939441")</f>
        <v>1174939441</v>
      </c>
      <c r="E7173" s="1" t="s">
        <v>4716</v>
      </c>
      <c r="F7173" s="2"/>
      <c r="G7173" s="2"/>
      <c r="H7173" s="2"/>
    </row>
    <row r="7174" spans="1:8" x14ac:dyDescent="0.25">
      <c r="A7174" s="1"/>
      <c r="B7174" s="1" t="s">
        <v>4688</v>
      </c>
      <c r="C7174" s="1" t="s">
        <v>4689</v>
      </c>
      <c r="D7174" s="22" t="str">
        <f>HYPERLINK("https://rhld.insurance.arkansas.gov/NPILookup?Npi=1174987895","1174987895")</f>
        <v>1174987895</v>
      </c>
      <c r="E7174" s="1" t="s">
        <v>5790</v>
      </c>
      <c r="F7174" s="2"/>
      <c r="G7174" s="2"/>
      <c r="H7174" s="2"/>
    </row>
    <row r="7175" spans="1:8" x14ac:dyDescent="0.25">
      <c r="A7175" s="1"/>
      <c r="B7175" s="1" t="s">
        <v>4688</v>
      </c>
      <c r="C7175" s="1" t="s">
        <v>4689</v>
      </c>
      <c r="D7175" s="22" t="str">
        <f>HYPERLINK("https://rhld.insurance.arkansas.gov/NPILookup?Npi=1184001273","1184001273")</f>
        <v>1184001273</v>
      </c>
      <c r="E7175" s="1" t="s">
        <v>10610</v>
      </c>
      <c r="F7175" s="2"/>
      <c r="G7175" s="2"/>
      <c r="H7175" s="2"/>
    </row>
    <row r="7176" spans="1:8" x14ac:dyDescent="0.25">
      <c r="A7176" s="1"/>
      <c r="B7176" s="1" t="s">
        <v>4688</v>
      </c>
      <c r="C7176" s="1" t="s">
        <v>4689</v>
      </c>
      <c r="D7176" s="22" t="str">
        <f>HYPERLINK("https://rhld.insurance.arkansas.gov/NPILookup?Npi=1184679409","1184679409")</f>
        <v>1184679409</v>
      </c>
      <c r="E7176" s="1" t="s">
        <v>18380</v>
      </c>
      <c r="F7176" s="2"/>
      <c r="G7176" s="2"/>
      <c r="H7176" s="2"/>
    </row>
    <row r="7177" spans="1:8" x14ac:dyDescent="0.25">
      <c r="A7177" s="1"/>
      <c r="B7177" s="1" t="s">
        <v>4688</v>
      </c>
      <c r="C7177" s="1" t="s">
        <v>4689</v>
      </c>
      <c r="D7177" s="22" t="str">
        <f>HYPERLINK("https://rhld.insurance.arkansas.gov/NPILookup?Npi=1184689200","1184689200")</f>
        <v>1184689200</v>
      </c>
      <c r="E7177" s="1" t="s">
        <v>18381</v>
      </c>
      <c r="F7177" s="2"/>
      <c r="G7177" s="2"/>
      <c r="H7177" s="2"/>
    </row>
    <row r="7178" spans="1:8" x14ac:dyDescent="0.25">
      <c r="A7178" s="1"/>
      <c r="B7178" s="1" t="s">
        <v>4688</v>
      </c>
      <c r="C7178" s="1" t="s">
        <v>4689</v>
      </c>
      <c r="D7178" s="22" t="str">
        <f>HYPERLINK("https://rhld.insurance.arkansas.gov/NPILookup?Npi=1184868291","1184868291")</f>
        <v>1184868291</v>
      </c>
      <c r="E7178" s="1" t="s">
        <v>18382</v>
      </c>
      <c r="F7178" s="2"/>
      <c r="G7178" s="2"/>
      <c r="H7178" s="2"/>
    </row>
    <row r="7179" spans="1:8" x14ac:dyDescent="0.25">
      <c r="A7179" s="1"/>
      <c r="B7179" s="1" t="s">
        <v>4688</v>
      </c>
      <c r="C7179" s="1" t="s">
        <v>4689</v>
      </c>
      <c r="D7179" s="22" t="str">
        <f>HYPERLINK("https://rhld.insurance.arkansas.gov/NPILookup?Npi=1184878555","1184878555")</f>
        <v>1184878555</v>
      </c>
      <c r="E7179" s="1" t="s">
        <v>18383</v>
      </c>
      <c r="F7179" s="2"/>
      <c r="G7179" s="2"/>
      <c r="H7179" s="2"/>
    </row>
    <row r="7180" spans="1:8" x14ac:dyDescent="0.25">
      <c r="A7180" s="1"/>
      <c r="B7180" s="1" t="s">
        <v>4688</v>
      </c>
      <c r="C7180" s="1" t="s">
        <v>4689</v>
      </c>
      <c r="D7180" s="22" t="str">
        <f>HYPERLINK("https://rhld.insurance.arkansas.gov/NPILookup?Npi=1194043513","1194043513")</f>
        <v>1194043513</v>
      </c>
      <c r="E7180" s="1" t="s">
        <v>10611</v>
      </c>
      <c r="F7180" s="2"/>
      <c r="G7180" s="2"/>
      <c r="H7180" s="2"/>
    </row>
    <row r="7181" spans="1:8" x14ac:dyDescent="0.25">
      <c r="A7181" s="1"/>
      <c r="B7181" s="1" t="s">
        <v>4688</v>
      </c>
      <c r="C7181" s="1" t="s">
        <v>4689</v>
      </c>
      <c r="D7181" s="22" t="str">
        <f>HYPERLINK("https://rhld.insurance.arkansas.gov/NPILookup?Npi=1194788794","1194788794")</f>
        <v>1194788794</v>
      </c>
      <c r="E7181" s="1" t="s">
        <v>475</v>
      </c>
      <c r="F7181" s="2"/>
      <c r="G7181" s="2"/>
      <c r="H7181" s="2"/>
    </row>
    <row r="7182" spans="1:8" x14ac:dyDescent="0.25">
      <c r="A7182" s="1"/>
      <c r="B7182" s="1" t="s">
        <v>4688</v>
      </c>
      <c r="C7182" s="1" t="s">
        <v>4689</v>
      </c>
      <c r="D7182" s="22" t="str">
        <f>HYPERLINK("https://rhld.insurance.arkansas.gov/NPILookup?Npi=1205047727","1205047727")</f>
        <v>1205047727</v>
      </c>
      <c r="E7182" s="1" t="s">
        <v>4717</v>
      </c>
      <c r="F7182" s="2"/>
      <c r="G7182" s="2"/>
      <c r="H7182" s="2"/>
    </row>
    <row r="7183" spans="1:8" x14ac:dyDescent="0.25">
      <c r="A7183" s="1"/>
      <c r="B7183" s="1" t="s">
        <v>4688</v>
      </c>
      <c r="C7183" s="1" t="s">
        <v>4689</v>
      </c>
      <c r="D7183" s="22" t="str">
        <f>HYPERLINK("https://rhld.insurance.arkansas.gov/NPILookup?Npi=1205054301","1205054301")</f>
        <v>1205054301</v>
      </c>
      <c r="E7183" s="1" t="s">
        <v>18384</v>
      </c>
      <c r="F7183" s="2"/>
      <c r="G7183" s="2"/>
      <c r="H7183" s="2"/>
    </row>
    <row r="7184" spans="1:8" x14ac:dyDescent="0.25">
      <c r="A7184" s="1"/>
      <c r="B7184" s="1" t="s">
        <v>4688</v>
      </c>
      <c r="C7184" s="1" t="s">
        <v>4689</v>
      </c>
      <c r="D7184" s="22" t="str">
        <f>HYPERLINK("https://rhld.insurance.arkansas.gov/NPILookup?Npi=1205830684","1205830684")</f>
        <v>1205830684</v>
      </c>
      <c r="E7184" s="1" t="s">
        <v>31506</v>
      </c>
      <c r="F7184" s="2"/>
      <c r="G7184" s="2"/>
      <c r="H7184" s="2"/>
    </row>
    <row r="7185" spans="1:8" x14ac:dyDescent="0.25">
      <c r="A7185" s="1"/>
      <c r="B7185" s="1" t="s">
        <v>4688</v>
      </c>
      <c r="C7185" s="1" t="s">
        <v>4689</v>
      </c>
      <c r="D7185" s="22" t="str">
        <f>HYPERLINK("https://rhld.insurance.arkansas.gov/NPILookup?Npi=1205892213","1205892213")</f>
        <v>1205892213</v>
      </c>
      <c r="E7185" s="1" t="s">
        <v>18386</v>
      </c>
      <c r="F7185" s="2"/>
      <c r="G7185" s="2"/>
      <c r="H7185" s="2"/>
    </row>
    <row r="7186" spans="1:8" x14ac:dyDescent="0.25">
      <c r="A7186" s="1"/>
      <c r="B7186" s="1" t="s">
        <v>4688</v>
      </c>
      <c r="C7186" s="1" t="s">
        <v>4689</v>
      </c>
      <c r="D7186" s="22" t="str">
        <f>HYPERLINK("https://rhld.insurance.arkansas.gov/NPILookup?Npi=1205929262","1205929262")</f>
        <v>1205929262</v>
      </c>
      <c r="E7186" s="1" t="s">
        <v>1201</v>
      </c>
      <c r="F7186" s="2"/>
      <c r="G7186" s="2"/>
      <c r="H7186" s="2"/>
    </row>
    <row r="7187" spans="1:8" x14ac:dyDescent="0.25">
      <c r="A7187" s="1"/>
      <c r="B7187" s="1" t="s">
        <v>4688</v>
      </c>
      <c r="C7187" s="1" t="s">
        <v>4689</v>
      </c>
      <c r="D7187" s="22" t="str">
        <f>HYPERLINK("https://rhld.insurance.arkansas.gov/NPILookup?Npi=1215027883","1215027883")</f>
        <v>1215027883</v>
      </c>
      <c r="E7187" s="1" t="s">
        <v>4718</v>
      </c>
      <c r="F7187" s="2"/>
      <c r="G7187" s="2"/>
      <c r="H7187" s="2"/>
    </row>
    <row r="7188" spans="1:8" x14ac:dyDescent="0.25">
      <c r="A7188" s="1"/>
      <c r="B7188" s="1" t="s">
        <v>4688</v>
      </c>
      <c r="C7188" s="1" t="s">
        <v>4689</v>
      </c>
      <c r="D7188" s="22" t="str">
        <f>HYPERLINK("https://rhld.insurance.arkansas.gov/NPILookup?Npi=1215131792","1215131792")</f>
        <v>1215131792</v>
      </c>
      <c r="E7188" s="1" t="s">
        <v>17663</v>
      </c>
      <c r="F7188" s="2"/>
      <c r="G7188" s="2"/>
      <c r="H7188" s="2"/>
    </row>
    <row r="7189" spans="1:8" x14ac:dyDescent="0.25">
      <c r="A7189" s="1"/>
      <c r="B7189" s="1" t="s">
        <v>4688</v>
      </c>
      <c r="C7189" s="1" t="s">
        <v>4689</v>
      </c>
      <c r="D7189" s="22" t="str">
        <f>HYPERLINK("https://rhld.insurance.arkansas.gov/NPILookup?Npi=1215299656","1215299656")</f>
        <v>1215299656</v>
      </c>
      <c r="E7189" s="1" t="s">
        <v>18387</v>
      </c>
      <c r="F7189" s="2"/>
      <c r="G7189" s="2"/>
      <c r="H7189" s="2"/>
    </row>
    <row r="7190" spans="1:8" x14ac:dyDescent="0.25">
      <c r="A7190" s="1"/>
      <c r="B7190" s="1" t="s">
        <v>4688</v>
      </c>
      <c r="C7190" s="1" t="s">
        <v>4689</v>
      </c>
      <c r="D7190" s="22" t="str">
        <f>HYPERLINK("https://rhld.insurance.arkansas.gov/NPILookup?Npi=1215320882","1215320882")</f>
        <v>1215320882</v>
      </c>
      <c r="E7190" s="1" t="s">
        <v>18388</v>
      </c>
      <c r="F7190" s="2"/>
      <c r="G7190" s="2"/>
      <c r="H7190" s="2"/>
    </row>
    <row r="7191" spans="1:8" x14ac:dyDescent="0.25">
      <c r="A7191" s="1"/>
      <c r="B7191" s="1" t="s">
        <v>4688</v>
      </c>
      <c r="C7191" s="1" t="s">
        <v>4689</v>
      </c>
      <c r="D7191" s="22" t="str">
        <f>HYPERLINK("https://rhld.insurance.arkansas.gov/NPILookup?Npi=1215323431","1215323431")</f>
        <v>1215323431</v>
      </c>
      <c r="E7191" s="1" t="s">
        <v>4721</v>
      </c>
      <c r="F7191" s="2"/>
      <c r="G7191" s="2"/>
      <c r="H7191" s="2"/>
    </row>
    <row r="7192" spans="1:8" x14ac:dyDescent="0.25">
      <c r="A7192" s="1"/>
      <c r="B7192" s="1" t="s">
        <v>4688</v>
      </c>
      <c r="C7192" s="1" t="s">
        <v>4689</v>
      </c>
      <c r="D7192" s="22" t="str">
        <f>HYPERLINK("https://rhld.insurance.arkansas.gov/NPILookup?Npi=1215431184","1215431184")</f>
        <v>1215431184</v>
      </c>
      <c r="E7192" s="1" t="s">
        <v>18389</v>
      </c>
      <c r="F7192" s="2"/>
      <c r="G7192" s="2"/>
      <c r="H7192" s="2"/>
    </row>
    <row r="7193" spans="1:8" x14ac:dyDescent="0.25">
      <c r="A7193" s="1"/>
      <c r="B7193" s="1" t="s">
        <v>4688</v>
      </c>
      <c r="C7193" s="1" t="s">
        <v>4689</v>
      </c>
      <c r="D7193" s="22" t="str">
        <f>HYPERLINK("https://rhld.insurance.arkansas.gov/NPILookup?Npi=1215942198","1215942198")</f>
        <v>1215942198</v>
      </c>
      <c r="E7193" s="1" t="s">
        <v>18390</v>
      </c>
      <c r="F7193" s="2"/>
      <c r="G7193" s="2"/>
      <c r="H7193" s="2"/>
    </row>
    <row r="7194" spans="1:8" x14ac:dyDescent="0.25">
      <c r="A7194" s="1"/>
      <c r="B7194" s="1" t="s">
        <v>4688</v>
      </c>
      <c r="C7194" s="1" t="s">
        <v>4689</v>
      </c>
      <c r="D7194" s="22" t="str">
        <f>HYPERLINK("https://rhld.insurance.arkansas.gov/NPILookup?Npi=1225017155","1225017155")</f>
        <v>1225017155</v>
      </c>
      <c r="E7194" s="1" t="s">
        <v>31507</v>
      </c>
      <c r="F7194" s="2"/>
      <c r="G7194" s="2"/>
      <c r="H7194" s="2"/>
    </row>
    <row r="7195" spans="1:8" x14ac:dyDescent="0.25">
      <c r="A7195" s="1"/>
      <c r="B7195" s="1" t="s">
        <v>4688</v>
      </c>
      <c r="C7195" s="1" t="s">
        <v>4689</v>
      </c>
      <c r="D7195" s="22" t="str">
        <f>HYPERLINK("https://rhld.insurance.arkansas.gov/NPILookup?Npi=1225026875","1225026875")</f>
        <v>1225026875</v>
      </c>
      <c r="E7195" s="1" t="s">
        <v>4722</v>
      </c>
      <c r="F7195" s="2"/>
      <c r="G7195" s="2"/>
      <c r="H7195" s="2"/>
    </row>
    <row r="7196" spans="1:8" x14ac:dyDescent="0.25">
      <c r="A7196" s="1"/>
      <c r="B7196" s="1" t="s">
        <v>4688</v>
      </c>
      <c r="C7196" s="1" t="s">
        <v>4689</v>
      </c>
      <c r="D7196" s="22" t="str">
        <f>HYPERLINK("https://rhld.insurance.arkansas.gov/NPILookup?Npi=1225039720","1225039720")</f>
        <v>1225039720</v>
      </c>
      <c r="E7196" s="1" t="s">
        <v>3859</v>
      </c>
      <c r="F7196" s="2"/>
      <c r="G7196" s="2"/>
      <c r="H7196" s="2"/>
    </row>
    <row r="7197" spans="1:8" x14ac:dyDescent="0.25">
      <c r="A7197" s="1"/>
      <c r="B7197" s="1" t="s">
        <v>4688</v>
      </c>
      <c r="C7197" s="1" t="s">
        <v>4689</v>
      </c>
      <c r="D7197" s="22" t="str">
        <f>HYPERLINK("https://rhld.insurance.arkansas.gov/NPILookup?Npi=1225080765","1225080765")</f>
        <v>1225080765</v>
      </c>
      <c r="E7197" s="1" t="s">
        <v>4724</v>
      </c>
      <c r="F7197" s="2"/>
      <c r="G7197" s="2"/>
      <c r="H7197" s="2"/>
    </row>
    <row r="7198" spans="1:8" x14ac:dyDescent="0.25">
      <c r="A7198" s="1"/>
      <c r="B7198" s="1" t="s">
        <v>4688</v>
      </c>
      <c r="C7198" s="1" t="s">
        <v>4689</v>
      </c>
      <c r="D7198" s="22" t="str">
        <f>HYPERLINK("https://rhld.insurance.arkansas.gov/NPILookup?Npi=1225418668","1225418668")</f>
        <v>1225418668</v>
      </c>
      <c r="E7198" s="1" t="s">
        <v>18392</v>
      </c>
      <c r="F7198" s="2"/>
      <c r="G7198" s="2"/>
      <c r="H7198" s="2"/>
    </row>
    <row r="7199" spans="1:8" x14ac:dyDescent="0.25">
      <c r="A7199" s="1"/>
      <c r="B7199" s="1" t="s">
        <v>4688</v>
      </c>
      <c r="C7199" s="1" t="s">
        <v>4689</v>
      </c>
      <c r="D7199" s="22" t="str">
        <f>HYPERLINK("https://rhld.insurance.arkansas.gov/NPILookup?Npi=1225486160","1225486160")</f>
        <v>1225486160</v>
      </c>
      <c r="E7199" s="1" t="s">
        <v>10613</v>
      </c>
      <c r="F7199" s="2"/>
      <c r="G7199" s="2"/>
      <c r="H7199" s="2"/>
    </row>
    <row r="7200" spans="1:8" x14ac:dyDescent="0.25">
      <c r="A7200" s="1"/>
      <c r="B7200" s="1" t="s">
        <v>4688</v>
      </c>
      <c r="C7200" s="1" t="s">
        <v>4689</v>
      </c>
      <c r="D7200" s="22" t="str">
        <f>HYPERLINK("https://rhld.insurance.arkansas.gov/NPILookup?Npi=1235176611","1235176611")</f>
        <v>1235176611</v>
      </c>
      <c r="E7200" s="1" t="s">
        <v>3743</v>
      </c>
      <c r="F7200" s="2"/>
      <c r="G7200" s="2"/>
      <c r="H7200" s="2"/>
    </row>
    <row r="7201" spans="1:8" x14ac:dyDescent="0.25">
      <c r="A7201" s="1"/>
      <c r="B7201" s="1" t="s">
        <v>4688</v>
      </c>
      <c r="C7201" s="1" t="s">
        <v>4689</v>
      </c>
      <c r="D7201" s="22" t="str">
        <f>HYPERLINK("https://rhld.insurance.arkansas.gov/NPILookup?Npi=1235197492","1235197492")</f>
        <v>1235197492</v>
      </c>
      <c r="E7201" s="1" t="s">
        <v>18393</v>
      </c>
      <c r="F7201" s="2"/>
      <c r="G7201" s="2"/>
      <c r="H7201" s="2"/>
    </row>
    <row r="7202" spans="1:8" x14ac:dyDescent="0.25">
      <c r="A7202" s="1"/>
      <c r="B7202" s="1" t="s">
        <v>4688</v>
      </c>
      <c r="C7202" s="1" t="s">
        <v>4689</v>
      </c>
      <c r="D7202" s="22" t="str">
        <f>HYPERLINK("https://rhld.insurance.arkansas.gov/NPILookup?Npi=1235248220","1235248220")</f>
        <v>1235248220</v>
      </c>
      <c r="E7202" s="1" t="s">
        <v>18394</v>
      </c>
      <c r="F7202" s="2"/>
      <c r="G7202" s="2"/>
      <c r="H7202" s="2"/>
    </row>
    <row r="7203" spans="1:8" x14ac:dyDescent="0.25">
      <c r="A7203" s="1"/>
      <c r="B7203" s="1" t="s">
        <v>4688</v>
      </c>
      <c r="C7203" s="1" t="s">
        <v>4689</v>
      </c>
      <c r="D7203" s="22" t="str">
        <f>HYPERLINK("https://rhld.insurance.arkansas.gov/NPILookup?Npi=1235439480","1235439480")</f>
        <v>1235439480</v>
      </c>
      <c r="E7203" s="1" t="s">
        <v>4725</v>
      </c>
      <c r="F7203" s="2"/>
      <c r="G7203" s="2"/>
      <c r="H7203" s="2"/>
    </row>
    <row r="7204" spans="1:8" x14ac:dyDescent="0.25">
      <c r="A7204" s="1"/>
      <c r="B7204" s="1" t="s">
        <v>4688</v>
      </c>
      <c r="C7204" s="1" t="s">
        <v>4689</v>
      </c>
      <c r="D7204" s="22" t="str">
        <f>HYPERLINK("https://rhld.insurance.arkansas.gov/NPILookup?Npi=1235454174","1235454174")</f>
        <v>1235454174</v>
      </c>
      <c r="E7204" s="1" t="s">
        <v>18395</v>
      </c>
      <c r="F7204" s="2"/>
      <c r="G7204" s="2"/>
      <c r="H7204" s="2"/>
    </row>
    <row r="7205" spans="1:8" x14ac:dyDescent="0.25">
      <c r="A7205" s="1"/>
      <c r="B7205" s="1" t="s">
        <v>4688</v>
      </c>
      <c r="C7205" s="1" t="s">
        <v>4689</v>
      </c>
      <c r="D7205" s="22" t="str">
        <f>HYPERLINK("https://rhld.insurance.arkansas.gov/NPILookup?Npi=1245248335","1245248335")</f>
        <v>1245248335</v>
      </c>
      <c r="E7205" s="1" t="s">
        <v>3788</v>
      </c>
      <c r="F7205" s="2"/>
      <c r="G7205" s="2"/>
      <c r="H7205" s="2"/>
    </row>
    <row r="7206" spans="1:8" x14ac:dyDescent="0.25">
      <c r="A7206" s="1"/>
      <c r="B7206" s="1" t="s">
        <v>4688</v>
      </c>
      <c r="C7206" s="1" t="s">
        <v>4689</v>
      </c>
      <c r="D7206" s="22" t="str">
        <f>HYPERLINK("https://rhld.insurance.arkansas.gov/NPILookup?Npi=1245320340","1245320340")</f>
        <v>1245320340</v>
      </c>
      <c r="E7206" s="1" t="s">
        <v>18396</v>
      </c>
      <c r="F7206" s="2"/>
      <c r="G7206" s="2"/>
      <c r="H7206" s="2"/>
    </row>
    <row r="7207" spans="1:8" x14ac:dyDescent="0.25">
      <c r="A7207" s="1"/>
      <c r="B7207" s="1" t="s">
        <v>4688</v>
      </c>
      <c r="C7207" s="1" t="s">
        <v>4689</v>
      </c>
      <c r="D7207" s="22" t="str">
        <f>HYPERLINK("https://rhld.insurance.arkansas.gov/NPILookup?Npi=1245435213","1245435213")</f>
        <v>1245435213</v>
      </c>
      <c r="E7207" s="1" t="s">
        <v>4726</v>
      </c>
      <c r="F7207" s="2"/>
      <c r="G7207" s="2"/>
      <c r="H7207" s="2"/>
    </row>
    <row r="7208" spans="1:8" x14ac:dyDescent="0.25">
      <c r="A7208" s="1"/>
      <c r="B7208" s="1" t="s">
        <v>4688</v>
      </c>
      <c r="C7208" s="1" t="s">
        <v>4689</v>
      </c>
      <c r="D7208" s="22" t="str">
        <f>HYPERLINK("https://rhld.insurance.arkansas.gov/NPILookup?Npi=1245650746","1245650746")</f>
        <v>1245650746</v>
      </c>
      <c r="E7208" s="1" t="s">
        <v>18397</v>
      </c>
      <c r="F7208" s="2"/>
      <c r="G7208" s="2"/>
      <c r="H7208" s="2"/>
    </row>
    <row r="7209" spans="1:8" x14ac:dyDescent="0.25">
      <c r="A7209" s="1"/>
      <c r="B7209" s="1" t="s">
        <v>4688</v>
      </c>
      <c r="C7209" s="1" t="s">
        <v>4689</v>
      </c>
      <c r="D7209" s="22" t="str">
        <f>HYPERLINK("https://rhld.insurance.arkansas.gov/NPILookup?Npi=1245765767","1245765767")</f>
        <v>1245765767</v>
      </c>
      <c r="E7209" s="1" t="s">
        <v>10614</v>
      </c>
      <c r="F7209" s="2"/>
      <c r="G7209" s="2"/>
      <c r="H7209" s="2"/>
    </row>
    <row r="7210" spans="1:8" x14ac:dyDescent="0.25">
      <c r="A7210" s="1"/>
      <c r="B7210" s="1" t="s">
        <v>4688</v>
      </c>
      <c r="C7210" s="1" t="s">
        <v>4689</v>
      </c>
      <c r="D7210" s="22" t="str">
        <f>HYPERLINK("https://rhld.insurance.arkansas.gov/NPILookup?Npi=1255343455","1255343455")</f>
        <v>1255343455</v>
      </c>
      <c r="E7210" s="1" t="s">
        <v>18398</v>
      </c>
      <c r="F7210" s="2"/>
      <c r="G7210" s="2"/>
      <c r="H7210" s="2"/>
    </row>
    <row r="7211" spans="1:8" x14ac:dyDescent="0.25">
      <c r="A7211" s="1"/>
      <c r="B7211" s="1" t="s">
        <v>4688</v>
      </c>
      <c r="C7211" s="1" t="s">
        <v>4689</v>
      </c>
      <c r="D7211" s="22" t="str">
        <f>HYPERLINK("https://rhld.insurance.arkansas.gov/NPILookup?Npi=1255437679","1255437679")</f>
        <v>1255437679</v>
      </c>
      <c r="E7211" s="1" t="s">
        <v>18399</v>
      </c>
      <c r="F7211" s="2"/>
      <c r="G7211" s="2"/>
      <c r="H7211" s="2"/>
    </row>
    <row r="7212" spans="1:8" x14ac:dyDescent="0.25">
      <c r="A7212" s="1"/>
      <c r="B7212" s="1" t="s">
        <v>4688</v>
      </c>
      <c r="C7212" s="1" t="s">
        <v>4689</v>
      </c>
      <c r="D7212" s="22" t="str">
        <f>HYPERLINK("https://rhld.insurance.arkansas.gov/NPILookup?Npi=1255525838","1255525838")</f>
        <v>1255525838</v>
      </c>
      <c r="E7212" s="1" t="s">
        <v>17963</v>
      </c>
      <c r="F7212" s="2"/>
      <c r="G7212" s="2"/>
      <c r="H7212" s="2"/>
    </row>
    <row r="7213" spans="1:8" x14ac:dyDescent="0.25">
      <c r="A7213" s="1"/>
      <c r="B7213" s="1" t="s">
        <v>4688</v>
      </c>
      <c r="C7213" s="1" t="s">
        <v>4689</v>
      </c>
      <c r="D7213" s="22" t="str">
        <f>HYPERLINK("https://rhld.insurance.arkansas.gov/NPILookup?Npi=1255627824","1255627824")</f>
        <v>1255627824</v>
      </c>
      <c r="E7213" s="1" t="s">
        <v>10615</v>
      </c>
      <c r="F7213" s="2"/>
      <c r="G7213" s="2"/>
      <c r="H7213" s="2"/>
    </row>
    <row r="7214" spans="1:8" x14ac:dyDescent="0.25">
      <c r="A7214" s="1"/>
      <c r="B7214" s="1" t="s">
        <v>4688</v>
      </c>
      <c r="C7214" s="1" t="s">
        <v>4689</v>
      </c>
      <c r="D7214" s="22" t="str">
        <f>HYPERLINK("https://rhld.insurance.arkansas.gov/NPILookup?Npi=1255777934","1255777934")</f>
        <v>1255777934</v>
      </c>
      <c r="E7214" s="1" t="s">
        <v>4728</v>
      </c>
      <c r="F7214" s="2"/>
      <c r="G7214" s="2"/>
      <c r="H7214" s="2"/>
    </row>
    <row r="7215" spans="1:8" x14ac:dyDescent="0.25">
      <c r="A7215" s="1"/>
      <c r="B7215" s="1" t="s">
        <v>4688</v>
      </c>
      <c r="C7215" s="1" t="s">
        <v>4689</v>
      </c>
      <c r="D7215" s="22" t="str">
        <f>HYPERLINK("https://rhld.insurance.arkansas.gov/NPILookup?Npi=1255787966","1255787966")</f>
        <v>1255787966</v>
      </c>
      <c r="E7215" s="1" t="s">
        <v>4729</v>
      </c>
      <c r="F7215" s="2"/>
      <c r="G7215" s="2"/>
      <c r="H7215" s="2"/>
    </row>
    <row r="7216" spans="1:8" x14ac:dyDescent="0.25">
      <c r="A7216" s="1"/>
      <c r="B7216" s="1" t="s">
        <v>4688</v>
      </c>
      <c r="C7216" s="1" t="s">
        <v>4689</v>
      </c>
      <c r="D7216" s="22" t="str">
        <f>HYPERLINK("https://rhld.insurance.arkansas.gov/NPILookup?Npi=1265437222","1265437222")</f>
        <v>1265437222</v>
      </c>
      <c r="E7216" s="1" t="s">
        <v>9887</v>
      </c>
      <c r="F7216" s="2"/>
      <c r="G7216" s="2"/>
      <c r="H7216" s="2"/>
    </row>
    <row r="7217" spans="1:8" x14ac:dyDescent="0.25">
      <c r="A7217" s="1"/>
      <c r="B7217" s="1" t="s">
        <v>4688</v>
      </c>
      <c r="C7217" s="1" t="s">
        <v>4689</v>
      </c>
      <c r="D7217" s="22" t="str">
        <f>HYPERLINK("https://rhld.insurance.arkansas.gov/NPILookup?Npi=1265449755","1265449755")</f>
        <v>1265449755</v>
      </c>
      <c r="E7217" s="1" t="s">
        <v>10616</v>
      </c>
      <c r="F7217" s="2"/>
      <c r="G7217" s="2"/>
      <c r="H7217" s="2"/>
    </row>
    <row r="7218" spans="1:8" x14ac:dyDescent="0.25">
      <c r="A7218" s="1"/>
      <c r="B7218" s="1" t="s">
        <v>4688</v>
      </c>
      <c r="C7218" s="1" t="s">
        <v>4689</v>
      </c>
      <c r="D7218" s="22" t="str">
        <f>HYPERLINK("https://rhld.insurance.arkansas.gov/NPILookup?Npi=1265490718","1265490718")</f>
        <v>1265490718</v>
      </c>
      <c r="E7218" s="1" t="s">
        <v>18401</v>
      </c>
      <c r="F7218" s="2"/>
      <c r="G7218" s="2"/>
      <c r="H7218" s="2"/>
    </row>
    <row r="7219" spans="1:8" x14ac:dyDescent="0.25">
      <c r="A7219" s="1"/>
      <c r="B7219" s="1" t="s">
        <v>4688</v>
      </c>
      <c r="C7219" s="1" t="s">
        <v>4689</v>
      </c>
      <c r="D7219" s="22" t="str">
        <f>HYPERLINK("https://rhld.insurance.arkansas.gov/NPILookup?Npi=1265544035","1265544035")</f>
        <v>1265544035</v>
      </c>
      <c r="E7219" s="1" t="s">
        <v>18402</v>
      </c>
      <c r="F7219" s="2"/>
      <c r="G7219" s="2"/>
      <c r="H7219" s="2"/>
    </row>
    <row r="7220" spans="1:8" x14ac:dyDescent="0.25">
      <c r="A7220" s="1"/>
      <c r="B7220" s="1" t="s">
        <v>4688</v>
      </c>
      <c r="C7220" s="1" t="s">
        <v>4689</v>
      </c>
      <c r="D7220" s="22" t="str">
        <f>HYPERLINK("https://rhld.insurance.arkansas.gov/NPILookup?Npi=1265649487","1265649487")</f>
        <v>1265649487</v>
      </c>
      <c r="E7220" s="1" t="s">
        <v>4730</v>
      </c>
      <c r="F7220" s="2"/>
      <c r="G7220" s="2"/>
      <c r="H7220" s="2"/>
    </row>
    <row r="7221" spans="1:8" x14ac:dyDescent="0.25">
      <c r="A7221" s="1"/>
      <c r="B7221" s="1" t="s">
        <v>4688</v>
      </c>
      <c r="C7221" s="1" t="s">
        <v>4689</v>
      </c>
      <c r="D7221" s="22" t="str">
        <f>HYPERLINK("https://rhld.insurance.arkansas.gov/NPILookup?Npi=1265850671","1265850671")</f>
        <v>1265850671</v>
      </c>
      <c r="E7221" s="1" t="s">
        <v>18403</v>
      </c>
      <c r="F7221" s="2"/>
      <c r="G7221" s="2"/>
      <c r="H7221" s="2"/>
    </row>
    <row r="7222" spans="1:8" x14ac:dyDescent="0.25">
      <c r="A7222" s="1"/>
      <c r="B7222" s="1" t="s">
        <v>4688</v>
      </c>
      <c r="C7222" s="1" t="s">
        <v>4689</v>
      </c>
      <c r="D7222" s="22" t="str">
        <f>HYPERLINK("https://rhld.insurance.arkansas.gov/NPILookup?Npi=1275206435","1275206435")</f>
        <v>1275206435</v>
      </c>
      <c r="E7222" s="1" t="s">
        <v>31508</v>
      </c>
      <c r="F7222" s="2"/>
      <c r="G7222" s="2"/>
      <c r="H7222" s="2"/>
    </row>
    <row r="7223" spans="1:8" x14ac:dyDescent="0.25">
      <c r="A7223" s="1"/>
      <c r="B7223" s="1" t="s">
        <v>4688</v>
      </c>
      <c r="C7223" s="1" t="s">
        <v>4689</v>
      </c>
      <c r="D7223" s="22" t="str">
        <f>HYPERLINK("https://rhld.insurance.arkansas.gov/NPILookup?Npi=1275506099","1275506099")</f>
        <v>1275506099</v>
      </c>
      <c r="E7223" s="1" t="s">
        <v>10617</v>
      </c>
      <c r="F7223" s="2"/>
      <c r="G7223" s="2"/>
      <c r="H7223" s="2"/>
    </row>
    <row r="7224" spans="1:8" x14ac:dyDescent="0.25">
      <c r="A7224" s="1"/>
      <c r="B7224" s="1" t="s">
        <v>4688</v>
      </c>
      <c r="C7224" s="1" t="s">
        <v>4689</v>
      </c>
      <c r="D7224" s="22" t="str">
        <f>HYPERLINK("https://rhld.insurance.arkansas.gov/NPILookup?Npi=1275540502","1275540502")</f>
        <v>1275540502</v>
      </c>
      <c r="E7224" s="1" t="s">
        <v>15994</v>
      </c>
      <c r="F7224" s="2"/>
      <c r="G7224" s="2"/>
      <c r="H7224" s="2"/>
    </row>
    <row r="7225" spans="1:8" x14ac:dyDescent="0.25">
      <c r="A7225" s="1"/>
      <c r="B7225" s="1" t="s">
        <v>4688</v>
      </c>
      <c r="C7225" s="1" t="s">
        <v>4689</v>
      </c>
      <c r="D7225" s="22" t="str">
        <f>HYPERLINK("https://rhld.insurance.arkansas.gov/NPILookup?Npi=1275583908","1275583908")</f>
        <v>1275583908</v>
      </c>
      <c r="E7225" s="1" t="s">
        <v>4317</v>
      </c>
      <c r="F7225" s="2"/>
      <c r="G7225" s="2"/>
      <c r="H7225" s="2"/>
    </row>
    <row r="7226" spans="1:8" x14ac:dyDescent="0.25">
      <c r="A7226" s="1"/>
      <c r="B7226" s="1" t="s">
        <v>4688</v>
      </c>
      <c r="C7226" s="1" t="s">
        <v>4689</v>
      </c>
      <c r="D7226" s="22" t="str">
        <f>HYPERLINK("https://rhld.insurance.arkansas.gov/NPILookup?Npi=1275586570","1275586570")</f>
        <v>1275586570</v>
      </c>
      <c r="E7226" s="1" t="s">
        <v>31509</v>
      </c>
      <c r="F7226" s="2"/>
      <c r="G7226" s="2"/>
      <c r="H7226" s="2"/>
    </row>
    <row r="7227" spans="1:8" x14ac:dyDescent="0.25">
      <c r="A7227" s="1"/>
      <c r="B7227" s="1" t="s">
        <v>4688</v>
      </c>
      <c r="C7227" s="1" t="s">
        <v>4689</v>
      </c>
      <c r="D7227" s="22" t="str">
        <f>HYPERLINK("https://rhld.insurance.arkansas.gov/NPILookup?Npi=1275609661","1275609661")</f>
        <v>1275609661</v>
      </c>
      <c r="E7227" s="1" t="s">
        <v>10620</v>
      </c>
      <c r="F7227" s="2"/>
      <c r="G7227" s="2"/>
      <c r="H7227" s="2"/>
    </row>
    <row r="7228" spans="1:8" x14ac:dyDescent="0.25">
      <c r="A7228" s="1"/>
      <c r="B7228" s="1" t="s">
        <v>4688</v>
      </c>
      <c r="C7228" s="1" t="s">
        <v>4689</v>
      </c>
      <c r="D7228" s="22" t="str">
        <f>HYPERLINK("https://rhld.insurance.arkansas.gov/NPILookup?Npi=1275751778","1275751778")</f>
        <v>1275751778</v>
      </c>
      <c r="E7228" s="1" t="s">
        <v>10621</v>
      </c>
      <c r="F7228" s="2"/>
      <c r="G7228" s="2"/>
      <c r="H7228" s="2"/>
    </row>
    <row r="7229" spans="1:8" x14ac:dyDescent="0.25">
      <c r="A7229" s="1"/>
      <c r="B7229" s="1" t="s">
        <v>4688</v>
      </c>
      <c r="C7229" s="1" t="s">
        <v>4689</v>
      </c>
      <c r="D7229" s="22" t="str">
        <f>HYPERLINK("https://rhld.insurance.arkansas.gov/NPILookup?Npi=1275798712","1275798712")</f>
        <v>1275798712</v>
      </c>
      <c r="E7229" s="1" t="s">
        <v>18405</v>
      </c>
      <c r="F7229" s="2"/>
      <c r="G7229" s="2"/>
      <c r="H7229" s="2"/>
    </row>
    <row r="7230" spans="1:8" x14ac:dyDescent="0.25">
      <c r="A7230" s="1"/>
      <c r="B7230" s="1" t="s">
        <v>4688</v>
      </c>
      <c r="C7230" s="1" t="s">
        <v>4689</v>
      </c>
      <c r="D7230" s="22" t="str">
        <f>HYPERLINK("https://rhld.insurance.arkansas.gov/NPILookup?Npi=1285605816","1285605816")</f>
        <v>1285605816</v>
      </c>
      <c r="E7230" s="1" t="s">
        <v>536</v>
      </c>
      <c r="F7230" s="2"/>
      <c r="G7230" s="2"/>
      <c r="H7230" s="2"/>
    </row>
    <row r="7231" spans="1:8" x14ac:dyDescent="0.25">
      <c r="A7231" s="1"/>
      <c r="B7231" s="1" t="s">
        <v>4688</v>
      </c>
      <c r="C7231" s="1" t="s">
        <v>4689</v>
      </c>
      <c r="D7231" s="22" t="str">
        <f>HYPERLINK("https://rhld.insurance.arkansas.gov/NPILookup?Npi=1285614958","1285614958")</f>
        <v>1285614958</v>
      </c>
      <c r="E7231" s="1" t="s">
        <v>18406</v>
      </c>
      <c r="F7231" s="2"/>
      <c r="G7231" s="2"/>
      <c r="H7231" s="2"/>
    </row>
    <row r="7232" spans="1:8" x14ac:dyDescent="0.25">
      <c r="A7232" s="1"/>
      <c r="B7232" s="1" t="s">
        <v>4688</v>
      </c>
      <c r="C7232" s="1" t="s">
        <v>4689</v>
      </c>
      <c r="D7232" s="22" t="str">
        <f>HYPERLINK("https://rhld.insurance.arkansas.gov/NPILookup?Npi=1285631473","1285631473")</f>
        <v>1285631473</v>
      </c>
      <c r="E7232" s="1" t="s">
        <v>4321</v>
      </c>
      <c r="F7232" s="2"/>
      <c r="G7232" s="2"/>
      <c r="H7232" s="2"/>
    </row>
    <row r="7233" spans="1:8" x14ac:dyDescent="0.25">
      <c r="A7233" s="1"/>
      <c r="B7233" s="1" t="s">
        <v>4688</v>
      </c>
      <c r="C7233" s="1" t="s">
        <v>4689</v>
      </c>
      <c r="D7233" s="22" t="str">
        <f>HYPERLINK("https://rhld.insurance.arkansas.gov/NPILookup?Npi=1285640003","1285640003")</f>
        <v>1285640003</v>
      </c>
      <c r="E7233" s="1" t="s">
        <v>9888</v>
      </c>
      <c r="F7233" s="2"/>
      <c r="G7233" s="2"/>
      <c r="H7233" s="2"/>
    </row>
    <row r="7234" spans="1:8" x14ac:dyDescent="0.25">
      <c r="A7234" s="1"/>
      <c r="B7234" s="1" t="s">
        <v>4688</v>
      </c>
      <c r="C7234" s="1" t="s">
        <v>4689</v>
      </c>
      <c r="D7234" s="22" t="str">
        <f>HYPERLINK("https://rhld.insurance.arkansas.gov/NPILookup?Npi=1285689455","1285689455")</f>
        <v>1285689455</v>
      </c>
      <c r="E7234" s="1" t="s">
        <v>18407</v>
      </c>
      <c r="F7234" s="2"/>
      <c r="G7234" s="2"/>
      <c r="H7234" s="2"/>
    </row>
    <row r="7235" spans="1:8" x14ac:dyDescent="0.25">
      <c r="A7235" s="1"/>
      <c r="B7235" s="1" t="s">
        <v>4688</v>
      </c>
      <c r="C7235" s="1" t="s">
        <v>4689</v>
      </c>
      <c r="D7235" s="22" t="str">
        <f>HYPERLINK("https://rhld.insurance.arkansas.gov/NPILookup?Npi=1285755256","1285755256")</f>
        <v>1285755256</v>
      </c>
      <c r="E7235" s="1" t="s">
        <v>10622</v>
      </c>
      <c r="F7235" s="2"/>
      <c r="G7235" s="2"/>
      <c r="H7235" s="2"/>
    </row>
    <row r="7236" spans="1:8" x14ac:dyDescent="0.25">
      <c r="A7236" s="1"/>
      <c r="B7236" s="1" t="s">
        <v>4688</v>
      </c>
      <c r="C7236" s="1" t="s">
        <v>4689</v>
      </c>
      <c r="D7236" s="22" t="str">
        <f>HYPERLINK("https://rhld.insurance.arkansas.gov/NPILookup?Npi=1295154789","1295154789")</f>
        <v>1295154789</v>
      </c>
      <c r="E7236" s="1" t="s">
        <v>18408</v>
      </c>
      <c r="F7236" s="2"/>
      <c r="G7236" s="2"/>
      <c r="H7236" s="2"/>
    </row>
    <row r="7237" spans="1:8" x14ac:dyDescent="0.25">
      <c r="A7237" s="1"/>
      <c r="B7237" s="1" t="s">
        <v>4688</v>
      </c>
      <c r="C7237" s="1" t="s">
        <v>4689</v>
      </c>
      <c r="D7237" s="22" t="str">
        <f>HYPERLINK("https://rhld.insurance.arkansas.gov/NPILookup?Npi=1295700904","1295700904")</f>
        <v>1295700904</v>
      </c>
      <c r="E7237" s="1" t="s">
        <v>16003</v>
      </c>
      <c r="F7237" s="2"/>
      <c r="G7237" s="2"/>
      <c r="H7237" s="2"/>
    </row>
    <row r="7238" spans="1:8" x14ac:dyDescent="0.25">
      <c r="A7238" s="1"/>
      <c r="B7238" s="1" t="s">
        <v>4688</v>
      </c>
      <c r="C7238" s="1" t="s">
        <v>4689</v>
      </c>
      <c r="D7238" s="22" t="str">
        <f>HYPERLINK("https://rhld.insurance.arkansas.gov/NPILookup?Npi=1295708485","1295708485")</f>
        <v>1295708485</v>
      </c>
      <c r="E7238" s="1" t="s">
        <v>2005</v>
      </c>
      <c r="F7238" s="2"/>
      <c r="G7238" s="2"/>
      <c r="H7238" s="2"/>
    </row>
    <row r="7239" spans="1:8" x14ac:dyDescent="0.25">
      <c r="A7239" s="1"/>
      <c r="B7239" s="1" t="s">
        <v>4688</v>
      </c>
      <c r="C7239" s="1" t="s">
        <v>4689</v>
      </c>
      <c r="D7239" s="22" t="str">
        <f>HYPERLINK("https://rhld.insurance.arkansas.gov/NPILookup?Npi=1295754075","1295754075")</f>
        <v>1295754075</v>
      </c>
      <c r="E7239" s="1" t="s">
        <v>4327</v>
      </c>
      <c r="F7239" s="2"/>
      <c r="G7239" s="2"/>
      <c r="H7239" s="2"/>
    </row>
    <row r="7240" spans="1:8" x14ac:dyDescent="0.25">
      <c r="A7240" s="1"/>
      <c r="B7240" s="1" t="s">
        <v>4688</v>
      </c>
      <c r="C7240" s="1" t="s">
        <v>4689</v>
      </c>
      <c r="D7240" s="22" t="str">
        <f>HYPERLINK("https://rhld.insurance.arkansas.gov/NPILookup?Npi=1295773927","1295773927")</f>
        <v>1295773927</v>
      </c>
      <c r="E7240" s="1" t="s">
        <v>10624</v>
      </c>
      <c r="F7240" s="2"/>
      <c r="G7240" s="2"/>
      <c r="H7240" s="2"/>
    </row>
    <row r="7241" spans="1:8" x14ac:dyDescent="0.25">
      <c r="A7241" s="1"/>
      <c r="B7241" s="1" t="s">
        <v>4688</v>
      </c>
      <c r="C7241" s="1" t="s">
        <v>4689</v>
      </c>
      <c r="D7241" s="22" t="str">
        <f>HYPERLINK("https://rhld.insurance.arkansas.gov/NPILookup?Npi=1295826881","1295826881")</f>
        <v>1295826881</v>
      </c>
      <c r="E7241" s="1" t="s">
        <v>4732</v>
      </c>
      <c r="F7241" s="2"/>
      <c r="G7241" s="2"/>
      <c r="H7241" s="2"/>
    </row>
    <row r="7242" spans="1:8" x14ac:dyDescent="0.25">
      <c r="A7242" s="1"/>
      <c r="B7242" s="1" t="s">
        <v>4688</v>
      </c>
      <c r="C7242" s="1" t="s">
        <v>4689</v>
      </c>
      <c r="D7242" s="22" t="str">
        <f>HYPERLINK("https://rhld.insurance.arkansas.gov/NPILookup?Npi=1306005905","1306005905")</f>
        <v>1306005905</v>
      </c>
      <c r="E7242" s="1" t="s">
        <v>31510</v>
      </c>
      <c r="F7242" s="2"/>
      <c r="G7242" s="2"/>
      <c r="H7242" s="2"/>
    </row>
    <row r="7243" spans="1:8" x14ac:dyDescent="0.25">
      <c r="A7243" s="1"/>
      <c r="B7243" s="1" t="s">
        <v>4688</v>
      </c>
      <c r="C7243" s="1" t="s">
        <v>4689</v>
      </c>
      <c r="D7243" s="22" t="str">
        <f>HYPERLINK("https://rhld.insurance.arkansas.gov/NPILookup?Npi=1306112487","1306112487")</f>
        <v>1306112487</v>
      </c>
      <c r="E7243" s="1" t="s">
        <v>18410</v>
      </c>
      <c r="F7243" s="2"/>
      <c r="G7243" s="2"/>
      <c r="H7243" s="2"/>
    </row>
    <row r="7244" spans="1:8" x14ac:dyDescent="0.25">
      <c r="A7244" s="1"/>
      <c r="B7244" s="1" t="s">
        <v>4688</v>
      </c>
      <c r="C7244" s="1" t="s">
        <v>4689</v>
      </c>
      <c r="D7244" s="22" t="str">
        <f>HYPERLINK("https://rhld.insurance.arkansas.gov/NPILookup?Npi=1306136148","1306136148")</f>
        <v>1306136148</v>
      </c>
      <c r="E7244" s="1" t="s">
        <v>18411</v>
      </c>
      <c r="F7244" s="2"/>
      <c r="G7244" s="2"/>
      <c r="H7244" s="2"/>
    </row>
    <row r="7245" spans="1:8" x14ac:dyDescent="0.25">
      <c r="A7245" s="1"/>
      <c r="B7245" s="1" t="s">
        <v>4688</v>
      </c>
      <c r="C7245" s="1" t="s">
        <v>4689</v>
      </c>
      <c r="D7245" s="22" t="str">
        <f>HYPERLINK("https://rhld.insurance.arkansas.gov/NPILookup?Npi=1306189857","1306189857")</f>
        <v>1306189857</v>
      </c>
      <c r="E7245" s="1" t="s">
        <v>4733</v>
      </c>
      <c r="F7245" s="2"/>
      <c r="G7245" s="2"/>
      <c r="H7245" s="2"/>
    </row>
    <row r="7246" spans="1:8" x14ac:dyDescent="0.25">
      <c r="A7246" s="1"/>
      <c r="B7246" s="1" t="s">
        <v>4688</v>
      </c>
      <c r="C7246" s="1" t="s">
        <v>4689</v>
      </c>
      <c r="D7246" s="22" t="str">
        <f>HYPERLINK("https://rhld.insurance.arkansas.gov/NPILookup?Npi=1306264148","1306264148")</f>
        <v>1306264148</v>
      </c>
      <c r="E7246" s="1" t="s">
        <v>4734</v>
      </c>
      <c r="F7246" s="2"/>
      <c r="G7246" s="2"/>
      <c r="H7246" s="2"/>
    </row>
    <row r="7247" spans="1:8" x14ac:dyDescent="0.25">
      <c r="A7247" s="1"/>
      <c r="B7247" s="1" t="s">
        <v>4688</v>
      </c>
      <c r="C7247" s="1" t="s">
        <v>4689</v>
      </c>
      <c r="D7247" s="22" t="str">
        <f>HYPERLINK("https://rhld.insurance.arkansas.gov/NPILookup?Npi=1306283361","1306283361")</f>
        <v>1306283361</v>
      </c>
      <c r="E7247" s="1" t="s">
        <v>18412</v>
      </c>
      <c r="F7247" s="2"/>
      <c r="G7247" s="2"/>
      <c r="H7247" s="2"/>
    </row>
    <row r="7248" spans="1:8" x14ac:dyDescent="0.25">
      <c r="A7248" s="1"/>
      <c r="B7248" s="1" t="s">
        <v>4688</v>
      </c>
      <c r="C7248" s="1" t="s">
        <v>4689</v>
      </c>
      <c r="D7248" s="22" t="str">
        <f>HYPERLINK("https://rhld.insurance.arkansas.gov/NPILookup?Npi=1306292164","1306292164")</f>
        <v>1306292164</v>
      </c>
      <c r="E7248" s="1" t="s">
        <v>4735</v>
      </c>
      <c r="F7248" s="2"/>
      <c r="G7248" s="2"/>
      <c r="H7248" s="2"/>
    </row>
    <row r="7249" spans="1:8" x14ac:dyDescent="0.25">
      <c r="A7249" s="1"/>
      <c r="B7249" s="1" t="s">
        <v>4688</v>
      </c>
      <c r="C7249" s="1" t="s">
        <v>4689</v>
      </c>
      <c r="D7249" s="22" t="str">
        <f>HYPERLINK("https://rhld.insurance.arkansas.gov/NPILookup?Npi=1306407481","1306407481")</f>
        <v>1306407481</v>
      </c>
      <c r="E7249" s="1" t="s">
        <v>18413</v>
      </c>
      <c r="F7249" s="2"/>
      <c r="G7249" s="2"/>
      <c r="H7249" s="2"/>
    </row>
    <row r="7250" spans="1:8" x14ac:dyDescent="0.25">
      <c r="A7250" s="1"/>
      <c r="B7250" s="1" t="s">
        <v>4688</v>
      </c>
      <c r="C7250" s="1" t="s">
        <v>4689</v>
      </c>
      <c r="D7250" s="22" t="str">
        <f>HYPERLINK("https://rhld.insurance.arkansas.gov/NPILookup?Npi=1306467980","1306467980")</f>
        <v>1306467980</v>
      </c>
      <c r="E7250" s="1" t="s">
        <v>4736</v>
      </c>
      <c r="F7250" s="2"/>
      <c r="G7250" s="2"/>
      <c r="H7250" s="2"/>
    </row>
    <row r="7251" spans="1:8" x14ac:dyDescent="0.25">
      <c r="A7251" s="1"/>
      <c r="B7251" s="1" t="s">
        <v>4688</v>
      </c>
      <c r="C7251" s="1" t="s">
        <v>4689</v>
      </c>
      <c r="D7251" s="22" t="str">
        <f>HYPERLINK("https://rhld.insurance.arkansas.gov/NPILookup?Npi=1306848353","1306848353")</f>
        <v>1306848353</v>
      </c>
      <c r="E7251" s="1" t="s">
        <v>4737</v>
      </c>
      <c r="F7251" s="2"/>
      <c r="G7251" s="2"/>
      <c r="H7251" s="2"/>
    </row>
    <row r="7252" spans="1:8" x14ac:dyDescent="0.25">
      <c r="A7252" s="1"/>
      <c r="B7252" s="1" t="s">
        <v>4688</v>
      </c>
      <c r="C7252" s="1" t="s">
        <v>4689</v>
      </c>
      <c r="D7252" s="22" t="str">
        <f>HYPERLINK("https://rhld.insurance.arkansas.gov/NPILookup?Npi=1306894803","1306894803")</f>
        <v>1306894803</v>
      </c>
      <c r="E7252" s="1" t="s">
        <v>18414</v>
      </c>
      <c r="F7252" s="2"/>
      <c r="G7252" s="2"/>
      <c r="H7252" s="2"/>
    </row>
    <row r="7253" spans="1:8" x14ac:dyDescent="0.25">
      <c r="A7253" s="1"/>
      <c r="B7253" s="1" t="s">
        <v>4688</v>
      </c>
      <c r="C7253" s="1" t="s">
        <v>4689</v>
      </c>
      <c r="D7253" s="22" t="str">
        <f>HYPERLINK("https://rhld.insurance.arkansas.gov/NPILookup?Npi=1306936976","1306936976")</f>
        <v>1306936976</v>
      </c>
      <c r="E7253" s="1" t="s">
        <v>18415</v>
      </c>
      <c r="F7253" s="2"/>
      <c r="G7253" s="2"/>
      <c r="H7253" s="2"/>
    </row>
    <row r="7254" spans="1:8" x14ac:dyDescent="0.25">
      <c r="A7254" s="1"/>
      <c r="B7254" s="1" t="s">
        <v>4688</v>
      </c>
      <c r="C7254" s="1" t="s">
        <v>4689</v>
      </c>
      <c r="D7254" s="22" t="str">
        <f>HYPERLINK("https://rhld.insurance.arkansas.gov/NPILookup?Npi=1316171945","1316171945")</f>
        <v>1316171945</v>
      </c>
      <c r="E7254" s="1" t="s">
        <v>10625</v>
      </c>
      <c r="F7254" s="2"/>
      <c r="G7254" s="2"/>
      <c r="H7254" s="2"/>
    </row>
    <row r="7255" spans="1:8" x14ac:dyDescent="0.25">
      <c r="A7255" s="1"/>
      <c r="B7255" s="1" t="s">
        <v>4688</v>
      </c>
      <c r="C7255" s="1" t="s">
        <v>4689</v>
      </c>
      <c r="D7255" s="22" t="str">
        <f>HYPERLINK("https://rhld.insurance.arkansas.gov/NPILookup?Npi=1316331366","1316331366")</f>
        <v>1316331366</v>
      </c>
      <c r="E7255" s="1" t="s">
        <v>18417</v>
      </c>
      <c r="F7255" s="2"/>
      <c r="G7255" s="2"/>
      <c r="H7255" s="2"/>
    </row>
    <row r="7256" spans="1:8" x14ac:dyDescent="0.25">
      <c r="A7256" s="1"/>
      <c r="B7256" s="1" t="s">
        <v>4688</v>
      </c>
      <c r="C7256" s="1" t="s">
        <v>4689</v>
      </c>
      <c r="D7256" s="22" t="str">
        <f>HYPERLINK("https://rhld.insurance.arkansas.gov/NPILookup?Npi=1316357189","1316357189")</f>
        <v>1316357189</v>
      </c>
      <c r="E7256" s="1" t="s">
        <v>18418</v>
      </c>
      <c r="F7256" s="2"/>
      <c r="G7256" s="2"/>
      <c r="H7256" s="2"/>
    </row>
    <row r="7257" spans="1:8" x14ac:dyDescent="0.25">
      <c r="A7257" s="1"/>
      <c r="B7257" s="1" t="s">
        <v>4688</v>
      </c>
      <c r="C7257" s="1" t="s">
        <v>4689</v>
      </c>
      <c r="D7257" s="22" t="str">
        <f>HYPERLINK("https://rhld.insurance.arkansas.gov/NPILookup?Npi=1326004177","1326004177")</f>
        <v>1326004177</v>
      </c>
      <c r="E7257" s="1" t="s">
        <v>10627</v>
      </c>
      <c r="F7257" s="2"/>
      <c r="G7257" s="2"/>
      <c r="H7257" s="2"/>
    </row>
    <row r="7258" spans="1:8" x14ac:dyDescent="0.25">
      <c r="A7258" s="1"/>
      <c r="B7258" s="1" t="s">
        <v>4688</v>
      </c>
      <c r="C7258" s="1" t="s">
        <v>4689</v>
      </c>
      <c r="D7258" s="22" t="str">
        <f>HYPERLINK("https://rhld.insurance.arkansas.gov/NPILookup?Npi=1326005927","1326005927")</f>
        <v>1326005927</v>
      </c>
      <c r="E7258" s="1" t="s">
        <v>18419</v>
      </c>
      <c r="F7258" s="2"/>
      <c r="G7258" s="2"/>
      <c r="H7258" s="2"/>
    </row>
    <row r="7259" spans="1:8" x14ac:dyDescent="0.25">
      <c r="A7259" s="1"/>
      <c r="B7259" s="1" t="s">
        <v>4688</v>
      </c>
      <c r="C7259" s="1" t="s">
        <v>4689</v>
      </c>
      <c r="D7259" s="22" t="str">
        <f>HYPERLINK("https://rhld.insurance.arkansas.gov/NPILookup?Npi=1326012923","1326012923")</f>
        <v>1326012923</v>
      </c>
      <c r="E7259" s="1" t="s">
        <v>18420</v>
      </c>
      <c r="F7259" s="2"/>
      <c r="G7259" s="2"/>
      <c r="H7259" s="2"/>
    </row>
    <row r="7260" spans="1:8" x14ac:dyDescent="0.25">
      <c r="A7260" s="1"/>
      <c r="B7260" s="1" t="s">
        <v>4688</v>
      </c>
      <c r="C7260" s="1" t="s">
        <v>4689</v>
      </c>
      <c r="D7260" s="22" t="str">
        <f>HYPERLINK("https://rhld.insurance.arkansas.gov/NPILookup?Npi=1326022534","1326022534")</f>
        <v>1326022534</v>
      </c>
      <c r="E7260" s="1" t="s">
        <v>16004</v>
      </c>
      <c r="F7260" s="2"/>
      <c r="G7260" s="2"/>
      <c r="H7260" s="2"/>
    </row>
    <row r="7261" spans="1:8" x14ac:dyDescent="0.25">
      <c r="A7261" s="1"/>
      <c r="B7261" s="1" t="s">
        <v>4688</v>
      </c>
      <c r="C7261" s="1" t="s">
        <v>4689</v>
      </c>
      <c r="D7261" s="22" t="str">
        <f>HYPERLINK("https://rhld.insurance.arkansas.gov/NPILookup?Npi=1326036641","1326036641")</f>
        <v>1326036641</v>
      </c>
      <c r="E7261" s="1" t="s">
        <v>4739</v>
      </c>
      <c r="F7261" s="2"/>
      <c r="G7261" s="2"/>
      <c r="H7261" s="2"/>
    </row>
    <row r="7262" spans="1:8" x14ac:dyDescent="0.25">
      <c r="A7262" s="1"/>
      <c r="B7262" s="1" t="s">
        <v>4688</v>
      </c>
      <c r="C7262" s="1" t="s">
        <v>4689</v>
      </c>
      <c r="D7262" s="22" t="str">
        <f>HYPERLINK("https://rhld.insurance.arkansas.gov/NPILookup?Npi=1326044975","1326044975")</f>
        <v>1326044975</v>
      </c>
      <c r="E7262" s="1" t="s">
        <v>10628</v>
      </c>
      <c r="F7262" s="2"/>
      <c r="G7262" s="2"/>
      <c r="H7262" s="2"/>
    </row>
    <row r="7263" spans="1:8" x14ac:dyDescent="0.25">
      <c r="A7263" s="1"/>
      <c r="B7263" s="1" t="s">
        <v>4688</v>
      </c>
      <c r="C7263" s="1" t="s">
        <v>4689</v>
      </c>
      <c r="D7263" s="22" t="str">
        <f>HYPERLINK("https://rhld.insurance.arkansas.gov/NPILookup?Npi=1326197625","1326197625")</f>
        <v>1326197625</v>
      </c>
      <c r="E7263" s="1" t="s">
        <v>4740</v>
      </c>
      <c r="F7263" s="2"/>
      <c r="G7263" s="2"/>
      <c r="H7263" s="2"/>
    </row>
    <row r="7264" spans="1:8" x14ac:dyDescent="0.25">
      <c r="A7264" s="1"/>
      <c r="B7264" s="1" t="s">
        <v>4688</v>
      </c>
      <c r="C7264" s="1" t="s">
        <v>4689</v>
      </c>
      <c r="D7264" s="22" t="str">
        <f>HYPERLINK("https://rhld.insurance.arkansas.gov/NPILookup?Npi=1326238171","1326238171")</f>
        <v>1326238171</v>
      </c>
      <c r="E7264" s="1" t="s">
        <v>4741</v>
      </c>
      <c r="F7264" s="2"/>
      <c r="G7264" s="2"/>
      <c r="H7264" s="2"/>
    </row>
    <row r="7265" spans="1:8" x14ac:dyDescent="0.25">
      <c r="A7265" s="1"/>
      <c r="B7265" s="1" t="s">
        <v>4688</v>
      </c>
      <c r="C7265" s="1" t="s">
        <v>4689</v>
      </c>
      <c r="D7265" s="22" t="str">
        <f>HYPERLINK("https://rhld.insurance.arkansas.gov/NPILookup?Npi=1326400938","1326400938")</f>
        <v>1326400938</v>
      </c>
      <c r="E7265" s="1" t="s">
        <v>18421</v>
      </c>
      <c r="F7265" s="2"/>
      <c r="G7265" s="2"/>
      <c r="H7265" s="2"/>
    </row>
    <row r="7266" spans="1:8" x14ac:dyDescent="0.25">
      <c r="A7266" s="1"/>
      <c r="B7266" s="1" t="s">
        <v>4688</v>
      </c>
      <c r="C7266" s="1" t="s">
        <v>4689</v>
      </c>
      <c r="D7266" s="22" t="str">
        <f>HYPERLINK("https://rhld.insurance.arkansas.gov/NPILookup?Npi=1336133826","1336133826")</f>
        <v>1336133826</v>
      </c>
      <c r="E7266" s="1" t="s">
        <v>18422</v>
      </c>
      <c r="F7266" s="2"/>
      <c r="G7266" s="2"/>
      <c r="H7266" s="2"/>
    </row>
    <row r="7267" spans="1:8" x14ac:dyDescent="0.25">
      <c r="A7267" s="1"/>
      <c r="B7267" s="1" t="s">
        <v>4688</v>
      </c>
      <c r="C7267" s="1" t="s">
        <v>4689</v>
      </c>
      <c r="D7267" s="22" t="str">
        <f>HYPERLINK("https://rhld.insurance.arkansas.gov/NPILookup?Npi=1336158005","1336158005")</f>
        <v>1336158005</v>
      </c>
      <c r="E7267" s="1" t="s">
        <v>10629</v>
      </c>
      <c r="F7267" s="2"/>
      <c r="G7267" s="2"/>
      <c r="H7267" s="2"/>
    </row>
    <row r="7268" spans="1:8" x14ac:dyDescent="0.25">
      <c r="A7268" s="1"/>
      <c r="B7268" s="1" t="s">
        <v>4688</v>
      </c>
      <c r="C7268" s="1" t="s">
        <v>4689</v>
      </c>
      <c r="D7268" s="22" t="str">
        <f>HYPERLINK("https://rhld.insurance.arkansas.gov/NPILookup?Npi=1336247899","1336247899")</f>
        <v>1336247899</v>
      </c>
      <c r="E7268" s="1" t="s">
        <v>18423</v>
      </c>
      <c r="F7268" s="2"/>
      <c r="G7268" s="2"/>
      <c r="H7268" s="2"/>
    </row>
    <row r="7269" spans="1:8" x14ac:dyDescent="0.25">
      <c r="A7269" s="1"/>
      <c r="B7269" s="1" t="s">
        <v>4688</v>
      </c>
      <c r="C7269" s="1" t="s">
        <v>4689</v>
      </c>
      <c r="D7269" s="22" t="str">
        <f>HYPERLINK("https://rhld.insurance.arkansas.gov/NPILookup?Npi=1336395904","1336395904")</f>
        <v>1336395904</v>
      </c>
      <c r="E7269" s="1" t="s">
        <v>18425</v>
      </c>
      <c r="F7269" s="2"/>
      <c r="G7269" s="2"/>
      <c r="H7269" s="2"/>
    </row>
    <row r="7270" spans="1:8" x14ac:dyDescent="0.25">
      <c r="A7270" s="1"/>
      <c r="B7270" s="1" t="s">
        <v>4688</v>
      </c>
      <c r="C7270" s="1" t="s">
        <v>4689</v>
      </c>
      <c r="D7270" s="22" t="str">
        <f>HYPERLINK("https://rhld.insurance.arkansas.gov/NPILookup?Npi=1336474535","1336474535")</f>
        <v>1336474535</v>
      </c>
      <c r="E7270" s="1" t="s">
        <v>4742</v>
      </c>
      <c r="F7270" s="2"/>
      <c r="G7270" s="2"/>
      <c r="H7270" s="2"/>
    </row>
    <row r="7271" spans="1:8" x14ac:dyDescent="0.25">
      <c r="A7271" s="1"/>
      <c r="B7271" s="1" t="s">
        <v>4688</v>
      </c>
      <c r="C7271" s="1" t="s">
        <v>4689</v>
      </c>
      <c r="D7271" s="22" t="str">
        <f>HYPERLINK("https://rhld.insurance.arkansas.gov/NPILookup?Npi=1336502665","1336502665")</f>
        <v>1336502665</v>
      </c>
      <c r="E7271" s="1" t="s">
        <v>18426</v>
      </c>
      <c r="F7271" s="2"/>
      <c r="G7271" s="2"/>
      <c r="H7271" s="2"/>
    </row>
    <row r="7272" spans="1:8" x14ac:dyDescent="0.25">
      <c r="A7272" s="1"/>
      <c r="B7272" s="1" t="s">
        <v>4688</v>
      </c>
      <c r="C7272" s="1" t="s">
        <v>4689</v>
      </c>
      <c r="D7272" s="22" t="str">
        <f>HYPERLINK("https://rhld.insurance.arkansas.gov/NPILookup?Npi=1346330818","1346330818")</f>
        <v>1346330818</v>
      </c>
      <c r="E7272" s="1" t="s">
        <v>10630</v>
      </c>
      <c r="F7272" s="2"/>
      <c r="G7272" s="2"/>
      <c r="H7272" s="2"/>
    </row>
    <row r="7273" spans="1:8" x14ac:dyDescent="0.25">
      <c r="A7273" s="1"/>
      <c r="B7273" s="1" t="s">
        <v>4688</v>
      </c>
      <c r="C7273" s="1" t="s">
        <v>4689</v>
      </c>
      <c r="D7273" s="22" t="str">
        <f>HYPERLINK("https://rhld.insurance.arkansas.gov/NPILookup?Npi=1346628302","1346628302")</f>
        <v>1346628302</v>
      </c>
      <c r="E7273" s="1" t="s">
        <v>18427</v>
      </c>
      <c r="F7273" s="2"/>
      <c r="G7273" s="2"/>
      <c r="H7273" s="2"/>
    </row>
    <row r="7274" spans="1:8" x14ac:dyDescent="0.25">
      <c r="A7274" s="1"/>
      <c r="B7274" s="1" t="s">
        <v>4688</v>
      </c>
      <c r="C7274" s="1" t="s">
        <v>4689</v>
      </c>
      <c r="D7274" s="22" t="str">
        <f>HYPERLINK("https://rhld.insurance.arkansas.gov/NPILookup?Npi=1346635117","1346635117")</f>
        <v>1346635117</v>
      </c>
      <c r="E7274" s="1" t="s">
        <v>3235</v>
      </c>
      <c r="F7274" s="2"/>
      <c r="G7274" s="2"/>
      <c r="H7274" s="2"/>
    </row>
    <row r="7275" spans="1:8" x14ac:dyDescent="0.25">
      <c r="A7275" s="1"/>
      <c r="B7275" s="1" t="s">
        <v>4688</v>
      </c>
      <c r="C7275" s="1" t="s">
        <v>4689</v>
      </c>
      <c r="D7275" s="22" t="str">
        <f>HYPERLINK("https://rhld.insurance.arkansas.gov/NPILookup?Npi=1356362040","1356362040")</f>
        <v>1356362040</v>
      </c>
      <c r="E7275" s="1" t="s">
        <v>4743</v>
      </c>
      <c r="F7275" s="2"/>
      <c r="G7275" s="2"/>
      <c r="H7275" s="2"/>
    </row>
    <row r="7276" spans="1:8" x14ac:dyDescent="0.25">
      <c r="A7276" s="1"/>
      <c r="B7276" s="1" t="s">
        <v>4688</v>
      </c>
      <c r="C7276" s="1" t="s">
        <v>4689</v>
      </c>
      <c r="D7276" s="22" t="str">
        <f>HYPERLINK("https://rhld.insurance.arkansas.gov/NPILookup?Npi=1356579510","1356579510")</f>
        <v>1356579510</v>
      </c>
      <c r="E7276" s="1" t="s">
        <v>10631</v>
      </c>
      <c r="F7276" s="2"/>
      <c r="G7276" s="2"/>
      <c r="H7276" s="2"/>
    </row>
    <row r="7277" spans="1:8" x14ac:dyDescent="0.25">
      <c r="A7277" s="1"/>
      <c r="B7277" s="1" t="s">
        <v>4688</v>
      </c>
      <c r="C7277" s="1" t="s">
        <v>4689</v>
      </c>
      <c r="D7277" s="22" t="str">
        <f>HYPERLINK("https://rhld.insurance.arkansas.gov/NPILookup?Npi=1356755680","1356755680")</f>
        <v>1356755680</v>
      </c>
      <c r="E7277" s="1" t="s">
        <v>18428</v>
      </c>
      <c r="F7277" s="2"/>
      <c r="G7277" s="2"/>
      <c r="H7277" s="2"/>
    </row>
    <row r="7278" spans="1:8" x14ac:dyDescent="0.25">
      <c r="A7278" s="1"/>
      <c r="B7278" s="1" t="s">
        <v>4688</v>
      </c>
      <c r="C7278" s="1" t="s">
        <v>4689</v>
      </c>
      <c r="D7278" s="22" t="str">
        <f>HYPERLINK("https://rhld.insurance.arkansas.gov/NPILookup?Npi=1356796288","1356796288")</f>
        <v>1356796288</v>
      </c>
      <c r="E7278" s="1" t="s">
        <v>10632</v>
      </c>
      <c r="F7278" s="2"/>
      <c r="G7278" s="2"/>
      <c r="H7278" s="2"/>
    </row>
    <row r="7279" spans="1:8" x14ac:dyDescent="0.25">
      <c r="A7279" s="1"/>
      <c r="B7279" s="1" t="s">
        <v>4688</v>
      </c>
      <c r="C7279" s="1" t="s">
        <v>4689</v>
      </c>
      <c r="D7279" s="22" t="str">
        <f>HYPERLINK("https://rhld.insurance.arkansas.gov/NPILookup?Npi=1356845051","1356845051")</f>
        <v>1356845051</v>
      </c>
      <c r="E7279" s="1" t="s">
        <v>5718</v>
      </c>
      <c r="F7279" s="2"/>
      <c r="G7279" s="2"/>
      <c r="H7279" s="2"/>
    </row>
    <row r="7280" spans="1:8" x14ac:dyDescent="0.25">
      <c r="A7280" s="1"/>
      <c r="B7280" s="1" t="s">
        <v>4688</v>
      </c>
      <c r="C7280" s="1" t="s">
        <v>4689</v>
      </c>
      <c r="D7280" s="22" t="str">
        <f>HYPERLINK("https://rhld.insurance.arkansas.gov/NPILookup?Npi=1366452484","1366452484")</f>
        <v>1366452484</v>
      </c>
      <c r="E7280" s="1" t="s">
        <v>18429</v>
      </c>
      <c r="F7280" s="2"/>
      <c r="G7280" s="2"/>
      <c r="H7280" s="2"/>
    </row>
    <row r="7281" spans="1:8" x14ac:dyDescent="0.25">
      <c r="A7281" s="1"/>
      <c r="B7281" s="1" t="s">
        <v>4688</v>
      </c>
      <c r="C7281" s="1" t="s">
        <v>4689</v>
      </c>
      <c r="D7281" s="22" t="str">
        <f>HYPERLINK("https://rhld.insurance.arkansas.gov/NPILookup?Npi=1366486821","1366486821")</f>
        <v>1366486821</v>
      </c>
      <c r="E7281" s="1" t="s">
        <v>3797</v>
      </c>
      <c r="F7281" s="2"/>
      <c r="G7281" s="2"/>
      <c r="H7281" s="2"/>
    </row>
    <row r="7282" spans="1:8" x14ac:dyDescent="0.25">
      <c r="A7282" s="1"/>
      <c r="B7282" s="1" t="s">
        <v>4688</v>
      </c>
      <c r="C7282" s="1" t="s">
        <v>4689</v>
      </c>
      <c r="D7282" s="22" t="str">
        <f>HYPERLINK("https://rhld.insurance.arkansas.gov/NPILookup?Npi=1366619132","1366619132")</f>
        <v>1366619132</v>
      </c>
      <c r="E7282" s="1" t="s">
        <v>18431</v>
      </c>
      <c r="F7282" s="2"/>
      <c r="G7282" s="2"/>
      <c r="H7282" s="2"/>
    </row>
    <row r="7283" spans="1:8" x14ac:dyDescent="0.25">
      <c r="A7283" s="1"/>
      <c r="B7283" s="1" t="s">
        <v>4688</v>
      </c>
      <c r="C7283" s="1" t="s">
        <v>4689</v>
      </c>
      <c r="D7283" s="22" t="str">
        <f>HYPERLINK("https://rhld.insurance.arkansas.gov/NPILookup?Npi=1366685703","1366685703")</f>
        <v>1366685703</v>
      </c>
      <c r="E7283" s="1" t="s">
        <v>18432</v>
      </c>
      <c r="F7283" s="2"/>
      <c r="G7283" s="2"/>
      <c r="H7283" s="2"/>
    </row>
    <row r="7284" spans="1:8" x14ac:dyDescent="0.25">
      <c r="A7284" s="1"/>
      <c r="B7284" s="1" t="s">
        <v>4688</v>
      </c>
      <c r="C7284" s="1" t="s">
        <v>4689</v>
      </c>
      <c r="D7284" s="22" t="str">
        <f>HYPERLINK("https://rhld.insurance.arkansas.gov/NPILookup?Npi=1366761512","1366761512")</f>
        <v>1366761512</v>
      </c>
      <c r="E7284" s="1" t="s">
        <v>18433</v>
      </c>
      <c r="F7284" s="2"/>
      <c r="G7284" s="2"/>
      <c r="H7284" s="2"/>
    </row>
    <row r="7285" spans="1:8" x14ac:dyDescent="0.25">
      <c r="A7285" s="1"/>
      <c r="B7285" s="1" t="s">
        <v>4688</v>
      </c>
      <c r="C7285" s="1" t="s">
        <v>4689</v>
      </c>
      <c r="D7285" s="22" t="str">
        <f>HYPERLINK("https://rhld.insurance.arkansas.gov/NPILookup?Npi=1366888711","1366888711")</f>
        <v>1366888711</v>
      </c>
      <c r="E7285" s="1" t="s">
        <v>4744</v>
      </c>
      <c r="F7285" s="2"/>
      <c r="G7285" s="2"/>
      <c r="H7285" s="2"/>
    </row>
    <row r="7286" spans="1:8" x14ac:dyDescent="0.25">
      <c r="A7286" s="1"/>
      <c r="B7286" s="1" t="s">
        <v>4688</v>
      </c>
      <c r="C7286" s="1" t="s">
        <v>4689</v>
      </c>
      <c r="D7286" s="22" t="str">
        <f>HYPERLINK("https://rhld.insurance.arkansas.gov/NPILookup?Npi=1376049742","1376049742")</f>
        <v>1376049742</v>
      </c>
      <c r="E7286" s="1" t="s">
        <v>18434</v>
      </c>
      <c r="F7286" s="2"/>
      <c r="G7286" s="2"/>
      <c r="H7286" s="2"/>
    </row>
    <row r="7287" spans="1:8" x14ac:dyDescent="0.25">
      <c r="A7287" s="1"/>
      <c r="B7287" s="1" t="s">
        <v>4688</v>
      </c>
      <c r="C7287" s="1" t="s">
        <v>4689</v>
      </c>
      <c r="D7287" s="22" t="str">
        <f>HYPERLINK("https://rhld.insurance.arkansas.gov/NPILookup?Npi=1376539288","1376539288")</f>
        <v>1376539288</v>
      </c>
      <c r="E7287" s="1" t="s">
        <v>18435</v>
      </c>
      <c r="F7287" s="2"/>
      <c r="G7287" s="2"/>
      <c r="H7287" s="2"/>
    </row>
    <row r="7288" spans="1:8" x14ac:dyDescent="0.25">
      <c r="A7288" s="1"/>
      <c r="B7288" s="1" t="s">
        <v>4688</v>
      </c>
      <c r="C7288" s="1" t="s">
        <v>4689</v>
      </c>
      <c r="D7288" s="22" t="str">
        <f>HYPERLINK("https://rhld.insurance.arkansas.gov/NPILookup?Npi=1376566430","1376566430")</f>
        <v>1376566430</v>
      </c>
      <c r="E7288" s="1" t="s">
        <v>4745</v>
      </c>
      <c r="F7288" s="2"/>
      <c r="G7288" s="2"/>
      <c r="H7288" s="2"/>
    </row>
    <row r="7289" spans="1:8" x14ac:dyDescent="0.25">
      <c r="A7289" s="1"/>
      <c r="B7289" s="1" t="s">
        <v>4688</v>
      </c>
      <c r="C7289" s="1" t="s">
        <v>4689</v>
      </c>
      <c r="D7289" s="22" t="str">
        <f>HYPERLINK("https://rhld.insurance.arkansas.gov/NPILookup?Npi=1386026862","1386026862")</f>
        <v>1386026862</v>
      </c>
      <c r="E7289" s="1" t="s">
        <v>10294</v>
      </c>
      <c r="F7289" s="2"/>
      <c r="G7289" s="2"/>
      <c r="H7289" s="2"/>
    </row>
    <row r="7290" spans="1:8" x14ac:dyDescent="0.25">
      <c r="A7290" s="1"/>
      <c r="B7290" s="1" t="s">
        <v>4688</v>
      </c>
      <c r="C7290" s="1" t="s">
        <v>4689</v>
      </c>
      <c r="D7290" s="22" t="str">
        <f>HYPERLINK("https://rhld.insurance.arkansas.gov/NPILookup?Npi=1386070027","1386070027")</f>
        <v>1386070027</v>
      </c>
      <c r="E7290" s="1" t="s">
        <v>11126</v>
      </c>
      <c r="F7290" s="2"/>
      <c r="G7290" s="2"/>
      <c r="H7290" s="2"/>
    </row>
    <row r="7291" spans="1:8" x14ac:dyDescent="0.25">
      <c r="A7291" s="1"/>
      <c r="B7291" s="1" t="s">
        <v>4688</v>
      </c>
      <c r="C7291" s="1" t="s">
        <v>4689</v>
      </c>
      <c r="D7291" s="22" t="str">
        <f>HYPERLINK("https://rhld.insurance.arkansas.gov/NPILookup?Npi=1386658540","1386658540")</f>
        <v>1386658540</v>
      </c>
      <c r="E7291" s="1" t="s">
        <v>4746</v>
      </c>
      <c r="F7291" s="2"/>
      <c r="G7291" s="2"/>
      <c r="H7291" s="2"/>
    </row>
    <row r="7292" spans="1:8" x14ac:dyDescent="0.25">
      <c r="A7292" s="1"/>
      <c r="B7292" s="1" t="s">
        <v>4688</v>
      </c>
      <c r="C7292" s="1" t="s">
        <v>4689</v>
      </c>
      <c r="D7292" s="22" t="str">
        <f>HYPERLINK("https://rhld.insurance.arkansas.gov/NPILookup?Npi=1386741676","1386741676")</f>
        <v>1386741676</v>
      </c>
      <c r="E7292" s="1" t="s">
        <v>4162</v>
      </c>
      <c r="F7292" s="2"/>
      <c r="G7292" s="2"/>
      <c r="H7292" s="2"/>
    </row>
    <row r="7293" spans="1:8" x14ac:dyDescent="0.25">
      <c r="A7293" s="1"/>
      <c r="B7293" s="1" t="s">
        <v>4688</v>
      </c>
      <c r="C7293" s="1" t="s">
        <v>4689</v>
      </c>
      <c r="D7293" s="22" t="str">
        <f>HYPERLINK("https://rhld.insurance.arkansas.gov/NPILookup?Npi=1386930626","1386930626")</f>
        <v>1386930626</v>
      </c>
      <c r="E7293" s="1" t="s">
        <v>18436</v>
      </c>
      <c r="F7293" s="2"/>
      <c r="G7293" s="2"/>
      <c r="H7293" s="2"/>
    </row>
    <row r="7294" spans="1:8" x14ac:dyDescent="0.25">
      <c r="A7294" s="1"/>
      <c r="B7294" s="1" t="s">
        <v>4688</v>
      </c>
      <c r="C7294" s="1" t="s">
        <v>4689</v>
      </c>
      <c r="D7294" s="22" t="str">
        <f>HYPERLINK("https://rhld.insurance.arkansas.gov/NPILookup?Npi=1386983286","1386983286")</f>
        <v>1386983286</v>
      </c>
      <c r="E7294" s="1" t="s">
        <v>18437</v>
      </c>
      <c r="F7294" s="2"/>
      <c r="G7294" s="2"/>
      <c r="H7294" s="2"/>
    </row>
    <row r="7295" spans="1:8" x14ac:dyDescent="0.25">
      <c r="A7295" s="1"/>
      <c r="B7295" s="1" t="s">
        <v>4688</v>
      </c>
      <c r="C7295" s="1" t="s">
        <v>4689</v>
      </c>
      <c r="D7295" s="22" t="str">
        <f>HYPERLINK("https://rhld.insurance.arkansas.gov/NPILookup?Npi=1386987766","1386987766")</f>
        <v>1386987766</v>
      </c>
      <c r="E7295" s="1" t="s">
        <v>18438</v>
      </c>
      <c r="F7295" s="2"/>
      <c r="G7295" s="2"/>
      <c r="H7295" s="2"/>
    </row>
    <row r="7296" spans="1:8" x14ac:dyDescent="0.25">
      <c r="A7296" s="1"/>
      <c r="B7296" s="1" t="s">
        <v>4688</v>
      </c>
      <c r="C7296" s="1" t="s">
        <v>4689</v>
      </c>
      <c r="D7296" s="22" t="str">
        <f>HYPERLINK("https://rhld.insurance.arkansas.gov/NPILookup?Npi=1396245684","1396245684")</f>
        <v>1396245684</v>
      </c>
      <c r="E7296" s="1" t="s">
        <v>4747</v>
      </c>
      <c r="F7296" s="2"/>
      <c r="G7296" s="2"/>
      <c r="H7296" s="2"/>
    </row>
    <row r="7297" spans="1:8" x14ac:dyDescent="0.25">
      <c r="A7297" s="1"/>
      <c r="B7297" s="1" t="s">
        <v>4688</v>
      </c>
      <c r="C7297" s="1" t="s">
        <v>4689</v>
      </c>
      <c r="D7297" s="22" t="str">
        <f>HYPERLINK("https://rhld.insurance.arkansas.gov/NPILookup?Npi=1396249777","1396249777")</f>
        <v>1396249777</v>
      </c>
      <c r="E7297" s="1" t="s">
        <v>4748</v>
      </c>
      <c r="F7297" s="2"/>
      <c r="G7297" s="2"/>
      <c r="H7297" s="2"/>
    </row>
    <row r="7298" spans="1:8" x14ac:dyDescent="0.25">
      <c r="A7298" s="1"/>
      <c r="B7298" s="1" t="s">
        <v>4688</v>
      </c>
      <c r="C7298" s="1" t="s">
        <v>4689</v>
      </c>
      <c r="D7298" s="22" t="str">
        <f>HYPERLINK("https://rhld.insurance.arkansas.gov/NPILookup?Npi=1396273173","1396273173")</f>
        <v>1396273173</v>
      </c>
      <c r="E7298" s="1" t="s">
        <v>10633</v>
      </c>
      <c r="F7298" s="2"/>
      <c r="G7298" s="2"/>
      <c r="H7298" s="2"/>
    </row>
    <row r="7299" spans="1:8" x14ac:dyDescent="0.25">
      <c r="A7299" s="1"/>
      <c r="B7299" s="1" t="s">
        <v>4688</v>
      </c>
      <c r="C7299" s="1" t="s">
        <v>4689</v>
      </c>
      <c r="D7299" s="22" t="str">
        <f>HYPERLINK("https://rhld.insurance.arkansas.gov/NPILookup?Npi=1396784377","1396784377")</f>
        <v>1396784377</v>
      </c>
      <c r="E7299" s="1" t="s">
        <v>18439</v>
      </c>
      <c r="F7299" s="2"/>
      <c r="G7299" s="2"/>
      <c r="H7299" s="2"/>
    </row>
    <row r="7300" spans="1:8" x14ac:dyDescent="0.25">
      <c r="A7300" s="1"/>
      <c r="B7300" s="1" t="s">
        <v>4688</v>
      </c>
      <c r="C7300" s="1" t="s">
        <v>4689</v>
      </c>
      <c r="D7300" s="22" t="str">
        <f>HYPERLINK("https://rhld.insurance.arkansas.gov/NPILookup?Npi=1396815809","1396815809")</f>
        <v>1396815809</v>
      </c>
      <c r="E7300" s="1" t="s">
        <v>18440</v>
      </c>
      <c r="F7300" s="2"/>
      <c r="G7300" s="2"/>
      <c r="H7300" s="2"/>
    </row>
    <row r="7301" spans="1:8" x14ac:dyDescent="0.25">
      <c r="A7301" s="1"/>
      <c r="B7301" s="1" t="s">
        <v>4688</v>
      </c>
      <c r="C7301" s="1" t="s">
        <v>4689</v>
      </c>
      <c r="D7301" s="22" t="str">
        <f>HYPERLINK("https://rhld.insurance.arkansas.gov/NPILookup?Npi=1396855615","1396855615")</f>
        <v>1396855615</v>
      </c>
      <c r="E7301" s="1" t="s">
        <v>4749</v>
      </c>
      <c r="F7301" s="2"/>
      <c r="G7301" s="2"/>
      <c r="H7301" s="2"/>
    </row>
    <row r="7302" spans="1:8" x14ac:dyDescent="0.25">
      <c r="A7302" s="1"/>
      <c r="B7302" s="1" t="s">
        <v>4688</v>
      </c>
      <c r="C7302" s="1" t="s">
        <v>4689</v>
      </c>
      <c r="D7302" s="22" t="str">
        <f>HYPERLINK("https://rhld.insurance.arkansas.gov/NPILookup?Npi=1396866364","1396866364")</f>
        <v>1396866364</v>
      </c>
      <c r="E7302" s="1" t="s">
        <v>10619</v>
      </c>
      <c r="F7302" s="2"/>
      <c r="G7302" s="2"/>
      <c r="H7302" s="2"/>
    </row>
    <row r="7303" spans="1:8" x14ac:dyDescent="0.25">
      <c r="A7303" s="1"/>
      <c r="B7303" s="1" t="s">
        <v>4688</v>
      </c>
      <c r="C7303" s="1" t="s">
        <v>4689</v>
      </c>
      <c r="D7303" s="22" t="str">
        <f>HYPERLINK("https://rhld.insurance.arkansas.gov/NPILookup?Npi=1396909156","1396909156")</f>
        <v>1396909156</v>
      </c>
      <c r="E7303" s="1" t="s">
        <v>18441</v>
      </c>
      <c r="F7303" s="2"/>
      <c r="G7303" s="2"/>
      <c r="H7303" s="2"/>
    </row>
    <row r="7304" spans="1:8" x14ac:dyDescent="0.25">
      <c r="A7304" s="1"/>
      <c r="B7304" s="1" t="s">
        <v>4688</v>
      </c>
      <c r="C7304" s="1" t="s">
        <v>4689</v>
      </c>
      <c r="D7304" s="22" t="str">
        <f>HYPERLINK("https://rhld.insurance.arkansas.gov/NPILookup?Npi=1407011604","1407011604")</f>
        <v>1407011604</v>
      </c>
      <c r="E7304" s="1" t="s">
        <v>18443</v>
      </c>
      <c r="F7304" s="2"/>
      <c r="G7304" s="2"/>
      <c r="H7304" s="2"/>
    </row>
    <row r="7305" spans="1:8" x14ac:dyDescent="0.25">
      <c r="A7305" s="1"/>
      <c r="B7305" s="1" t="s">
        <v>4688</v>
      </c>
      <c r="C7305" s="1" t="s">
        <v>4689</v>
      </c>
      <c r="D7305" s="22" t="str">
        <f>HYPERLINK("https://rhld.insurance.arkansas.gov/NPILookup?Npi=1407035629","1407035629")</f>
        <v>1407035629</v>
      </c>
      <c r="E7305" s="1" t="s">
        <v>4751</v>
      </c>
      <c r="F7305" s="2"/>
      <c r="G7305" s="2"/>
      <c r="H7305" s="2"/>
    </row>
    <row r="7306" spans="1:8" x14ac:dyDescent="0.25">
      <c r="A7306" s="1"/>
      <c r="B7306" s="1" t="s">
        <v>4688</v>
      </c>
      <c r="C7306" s="1" t="s">
        <v>4689</v>
      </c>
      <c r="D7306" s="22" t="str">
        <f>HYPERLINK("https://rhld.insurance.arkansas.gov/NPILookup?Npi=1407047459","1407047459")</f>
        <v>1407047459</v>
      </c>
      <c r="E7306" s="1" t="s">
        <v>18444</v>
      </c>
      <c r="F7306" s="2"/>
      <c r="G7306" s="2"/>
      <c r="H7306" s="2"/>
    </row>
    <row r="7307" spans="1:8" x14ac:dyDescent="0.25">
      <c r="A7307" s="1"/>
      <c r="B7307" s="1" t="s">
        <v>4688</v>
      </c>
      <c r="C7307" s="1" t="s">
        <v>4689</v>
      </c>
      <c r="D7307" s="22" t="str">
        <f>HYPERLINK("https://rhld.insurance.arkansas.gov/NPILookup?Npi=1407075229","1407075229")</f>
        <v>1407075229</v>
      </c>
      <c r="E7307" s="1" t="s">
        <v>4752</v>
      </c>
      <c r="F7307" s="2"/>
      <c r="G7307" s="2"/>
      <c r="H7307" s="2"/>
    </row>
    <row r="7308" spans="1:8" x14ac:dyDescent="0.25">
      <c r="A7308" s="1"/>
      <c r="B7308" s="1" t="s">
        <v>4688</v>
      </c>
      <c r="C7308" s="1" t="s">
        <v>4689</v>
      </c>
      <c r="D7308" s="22" t="str">
        <f>HYPERLINK("https://rhld.insurance.arkansas.gov/NPILookup?Npi=1407210396","1407210396")</f>
        <v>1407210396</v>
      </c>
      <c r="E7308" s="1" t="s">
        <v>18445</v>
      </c>
      <c r="F7308" s="2"/>
      <c r="G7308" s="2"/>
      <c r="H7308" s="2"/>
    </row>
    <row r="7309" spans="1:8" x14ac:dyDescent="0.25">
      <c r="A7309" s="1"/>
      <c r="B7309" s="1" t="s">
        <v>4688</v>
      </c>
      <c r="C7309" s="1" t="s">
        <v>4689</v>
      </c>
      <c r="D7309" s="22" t="str">
        <f>HYPERLINK("https://rhld.insurance.arkansas.gov/NPILookup?Npi=1407812589","1407812589")</f>
        <v>1407812589</v>
      </c>
      <c r="E7309" s="1" t="s">
        <v>18447</v>
      </c>
      <c r="F7309" s="2"/>
      <c r="G7309" s="2"/>
      <c r="H7309" s="2"/>
    </row>
    <row r="7310" spans="1:8" x14ac:dyDescent="0.25">
      <c r="A7310" s="1"/>
      <c r="B7310" s="1" t="s">
        <v>4688</v>
      </c>
      <c r="C7310" s="1" t="s">
        <v>4689</v>
      </c>
      <c r="D7310" s="22" t="str">
        <f>HYPERLINK("https://rhld.insurance.arkansas.gov/NPILookup?Npi=1407883044","1407883044")</f>
        <v>1407883044</v>
      </c>
      <c r="E7310" s="1" t="s">
        <v>10634</v>
      </c>
      <c r="F7310" s="2"/>
      <c r="G7310" s="2"/>
      <c r="H7310" s="2"/>
    </row>
    <row r="7311" spans="1:8" x14ac:dyDescent="0.25">
      <c r="A7311" s="1"/>
      <c r="B7311" s="1" t="s">
        <v>4688</v>
      </c>
      <c r="C7311" s="1" t="s">
        <v>4689</v>
      </c>
      <c r="D7311" s="22" t="str">
        <f>HYPERLINK("https://rhld.insurance.arkansas.gov/NPILookup?Npi=1407969843","1407969843")</f>
        <v>1407969843</v>
      </c>
      <c r="E7311" s="1" t="s">
        <v>4753</v>
      </c>
      <c r="F7311" s="2"/>
      <c r="G7311" s="2"/>
      <c r="H7311" s="2"/>
    </row>
    <row r="7312" spans="1:8" x14ac:dyDescent="0.25">
      <c r="A7312" s="1"/>
      <c r="B7312" s="1" t="s">
        <v>4688</v>
      </c>
      <c r="C7312" s="1" t="s">
        <v>4689</v>
      </c>
      <c r="D7312" s="22" t="str">
        <f>HYPERLINK("https://rhld.insurance.arkansas.gov/NPILookup?Npi=1417044462","1417044462")</f>
        <v>1417044462</v>
      </c>
      <c r="E7312" s="1" t="s">
        <v>4754</v>
      </c>
      <c r="F7312" s="2"/>
      <c r="G7312" s="2"/>
      <c r="H7312" s="2"/>
    </row>
    <row r="7313" spans="1:8" x14ac:dyDescent="0.25">
      <c r="A7313" s="1"/>
      <c r="B7313" s="1" t="s">
        <v>4688</v>
      </c>
      <c r="C7313" s="1" t="s">
        <v>4689</v>
      </c>
      <c r="D7313" s="22" t="str">
        <f>HYPERLINK("https://rhld.insurance.arkansas.gov/NPILookup?Npi=1417264250","1417264250")</f>
        <v>1417264250</v>
      </c>
      <c r="E7313" s="1" t="s">
        <v>10635</v>
      </c>
      <c r="F7313" s="2"/>
      <c r="G7313" s="2"/>
      <c r="H7313" s="2"/>
    </row>
    <row r="7314" spans="1:8" x14ac:dyDescent="0.25">
      <c r="A7314" s="1"/>
      <c r="B7314" s="1" t="s">
        <v>4688</v>
      </c>
      <c r="C7314" s="1" t="s">
        <v>4689</v>
      </c>
      <c r="D7314" s="22" t="str">
        <f>HYPERLINK("https://rhld.insurance.arkansas.gov/NPILookup?Npi=1417535139","1417535139")</f>
        <v>1417535139</v>
      </c>
      <c r="E7314" s="1" t="s">
        <v>18448</v>
      </c>
      <c r="F7314" s="2"/>
      <c r="G7314" s="2"/>
      <c r="H7314" s="2"/>
    </row>
    <row r="7315" spans="1:8" x14ac:dyDescent="0.25">
      <c r="A7315" s="1"/>
      <c r="B7315" s="1" t="s">
        <v>4688</v>
      </c>
      <c r="C7315" s="1" t="s">
        <v>4689</v>
      </c>
      <c r="D7315" s="22" t="str">
        <f>HYPERLINK("https://rhld.insurance.arkansas.gov/NPILookup?Npi=1417915794","1417915794")</f>
        <v>1417915794</v>
      </c>
      <c r="E7315" s="1" t="s">
        <v>10637</v>
      </c>
      <c r="F7315" s="2"/>
      <c r="G7315" s="2"/>
      <c r="H7315" s="2"/>
    </row>
    <row r="7316" spans="1:8" x14ac:dyDescent="0.25">
      <c r="A7316" s="1"/>
      <c r="B7316" s="1" t="s">
        <v>4688</v>
      </c>
      <c r="C7316" s="1" t="s">
        <v>4689</v>
      </c>
      <c r="D7316" s="22" t="str">
        <f>HYPERLINK("https://rhld.insurance.arkansas.gov/NPILookup?Npi=1417920273","1417920273")</f>
        <v>1417920273</v>
      </c>
      <c r="E7316" s="1" t="s">
        <v>10638</v>
      </c>
      <c r="F7316" s="2"/>
      <c r="G7316" s="2"/>
      <c r="H7316" s="2"/>
    </row>
    <row r="7317" spans="1:8" x14ac:dyDescent="0.25">
      <c r="A7317" s="1"/>
      <c r="B7317" s="1" t="s">
        <v>4688</v>
      </c>
      <c r="C7317" s="1" t="s">
        <v>4689</v>
      </c>
      <c r="D7317" s="22" t="str">
        <f>HYPERLINK("https://rhld.insurance.arkansas.gov/NPILookup?Npi=1417928912","1417928912")</f>
        <v>1417928912</v>
      </c>
      <c r="E7317" s="1" t="s">
        <v>16007</v>
      </c>
      <c r="F7317" s="2"/>
      <c r="G7317" s="2"/>
      <c r="H7317" s="2"/>
    </row>
    <row r="7318" spans="1:8" x14ac:dyDescent="0.25">
      <c r="A7318" s="1"/>
      <c r="B7318" s="1" t="s">
        <v>4688</v>
      </c>
      <c r="C7318" s="1" t="s">
        <v>4689</v>
      </c>
      <c r="D7318" s="22" t="str">
        <f>HYPERLINK("https://rhld.insurance.arkansas.gov/NPILookup?Npi=1417930041","1417930041")</f>
        <v>1417930041</v>
      </c>
      <c r="E7318" s="1" t="s">
        <v>18449</v>
      </c>
      <c r="F7318" s="2"/>
      <c r="G7318" s="2"/>
      <c r="H7318" s="2"/>
    </row>
    <row r="7319" spans="1:8" x14ac:dyDescent="0.25">
      <c r="A7319" s="1"/>
      <c r="B7319" s="1" t="s">
        <v>4688</v>
      </c>
      <c r="C7319" s="1" t="s">
        <v>4689</v>
      </c>
      <c r="D7319" s="22" t="str">
        <f>HYPERLINK("https://rhld.insurance.arkansas.gov/NPILookup?Npi=1417957820","1417957820")</f>
        <v>1417957820</v>
      </c>
      <c r="E7319" s="1" t="s">
        <v>18450</v>
      </c>
      <c r="F7319" s="2"/>
      <c r="G7319" s="2"/>
      <c r="H7319" s="2"/>
    </row>
    <row r="7320" spans="1:8" x14ac:dyDescent="0.25">
      <c r="A7320" s="1"/>
      <c r="B7320" s="1" t="s">
        <v>4688</v>
      </c>
      <c r="C7320" s="1" t="s">
        <v>4689</v>
      </c>
      <c r="D7320" s="22" t="str">
        <f>HYPERLINK("https://rhld.insurance.arkansas.gov/NPILookup?Npi=1417973926","1417973926")</f>
        <v>1417973926</v>
      </c>
      <c r="E7320" s="1" t="s">
        <v>18451</v>
      </c>
      <c r="F7320" s="2"/>
      <c r="G7320" s="2"/>
      <c r="H7320" s="2"/>
    </row>
    <row r="7321" spans="1:8" x14ac:dyDescent="0.25">
      <c r="A7321" s="1"/>
      <c r="B7321" s="1" t="s">
        <v>4688</v>
      </c>
      <c r="C7321" s="1" t="s">
        <v>4689</v>
      </c>
      <c r="D7321" s="22" t="str">
        <f>HYPERLINK("https://rhld.insurance.arkansas.gov/NPILookup?Npi=1427096510","1427096510")</f>
        <v>1427096510</v>
      </c>
      <c r="E7321" s="1" t="s">
        <v>4756</v>
      </c>
      <c r="F7321" s="2"/>
      <c r="G7321" s="2"/>
      <c r="H7321" s="2"/>
    </row>
    <row r="7322" spans="1:8" x14ac:dyDescent="0.25">
      <c r="A7322" s="1"/>
      <c r="B7322" s="1" t="s">
        <v>4688</v>
      </c>
      <c r="C7322" s="1" t="s">
        <v>4689</v>
      </c>
      <c r="D7322" s="22" t="str">
        <f>HYPERLINK("https://rhld.insurance.arkansas.gov/NPILookup?Npi=1427157478","1427157478")</f>
        <v>1427157478</v>
      </c>
      <c r="E7322" s="1" t="s">
        <v>18452</v>
      </c>
      <c r="F7322" s="2"/>
      <c r="G7322" s="2"/>
      <c r="H7322" s="2"/>
    </row>
    <row r="7323" spans="1:8" x14ac:dyDescent="0.25">
      <c r="A7323" s="1"/>
      <c r="B7323" s="1" t="s">
        <v>4688</v>
      </c>
      <c r="C7323" s="1" t="s">
        <v>4689</v>
      </c>
      <c r="D7323" s="22" t="str">
        <f>HYPERLINK("https://rhld.insurance.arkansas.gov/NPILookup?Npi=1427439322","1427439322")</f>
        <v>1427439322</v>
      </c>
      <c r="E7323" s="1" t="s">
        <v>18453</v>
      </c>
      <c r="F7323" s="2"/>
      <c r="G7323" s="2"/>
      <c r="H7323" s="2"/>
    </row>
    <row r="7324" spans="1:8" x14ac:dyDescent="0.25">
      <c r="A7324" s="1"/>
      <c r="B7324" s="1" t="s">
        <v>4688</v>
      </c>
      <c r="C7324" s="1" t="s">
        <v>4689</v>
      </c>
      <c r="D7324" s="22" t="str">
        <f>HYPERLINK("https://rhld.insurance.arkansas.gov/NPILookup?Npi=1437131901","1437131901")</f>
        <v>1437131901</v>
      </c>
      <c r="E7324" s="1" t="s">
        <v>18454</v>
      </c>
      <c r="F7324" s="2"/>
      <c r="G7324" s="2"/>
      <c r="H7324" s="2"/>
    </row>
    <row r="7325" spans="1:8" x14ac:dyDescent="0.25">
      <c r="A7325" s="1"/>
      <c r="B7325" s="1" t="s">
        <v>4688</v>
      </c>
      <c r="C7325" s="1" t="s">
        <v>4689</v>
      </c>
      <c r="D7325" s="22" t="str">
        <f>HYPERLINK("https://rhld.insurance.arkansas.gov/NPILookup?Npi=1437189834","1437189834")</f>
        <v>1437189834</v>
      </c>
      <c r="E7325" s="1" t="s">
        <v>4757</v>
      </c>
      <c r="F7325" s="2"/>
      <c r="G7325" s="2"/>
      <c r="H7325" s="2"/>
    </row>
    <row r="7326" spans="1:8" x14ac:dyDescent="0.25">
      <c r="A7326" s="1"/>
      <c r="B7326" s="1" t="s">
        <v>4688</v>
      </c>
      <c r="C7326" s="1" t="s">
        <v>4689</v>
      </c>
      <c r="D7326" s="22" t="str">
        <f>HYPERLINK("https://rhld.insurance.arkansas.gov/NPILookup?Npi=1447216270","1447216270")</f>
        <v>1447216270</v>
      </c>
      <c r="E7326" s="1" t="s">
        <v>16008</v>
      </c>
      <c r="F7326" s="2"/>
      <c r="G7326" s="2"/>
      <c r="H7326" s="2"/>
    </row>
    <row r="7327" spans="1:8" x14ac:dyDescent="0.25">
      <c r="A7327" s="1"/>
      <c r="B7327" s="1" t="s">
        <v>4688</v>
      </c>
      <c r="C7327" s="1" t="s">
        <v>4689</v>
      </c>
      <c r="D7327" s="22" t="str">
        <f>HYPERLINK("https://rhld.insurance.arkansas.gov/NPILookup?Npi=1447221882","1447221882")</f>
        <v>1447221882</v>
      </c>
      <c r="E7327" s="1" t="s">
        <v>4758</v>
      </c>
      <c r="F7327" s="2"/>
      <c r="G7327" s="2"/>
      <c r="H7327" s="2"/>
    </row>
    <row r="7328" spans="1:8" x14ac:dyDescent="0.25">
      <c r="A7328" s="1"/>
      <c r="B7328" s="1" t="s">
        <v>4688</v>
      </c>
      <c r="C7328" s="1" t="s">
        <v>4689</v>
      </c>
      <c r="D7328" s="22" t="str">
        <f>HYPERLINK("https://rhld.insurance.arkansas.gov/NPILookup?Npi=1447230032","1447230032")</f>
        <v>1447230032</v>
      </c>
      <c r="E7328" s="1" t="s">
        <v>10639</v>
      </c>
      <c r="F7328" s="2"/>
      <c r="G7328" s="2"/>
      <c r="H7328" s="2"/>
    </row>
    <row r="7329" spans="1:8" x14ac:dyDescent="0.25">
      <c r="A7329" s="1"/>
      <c r="B7329" s="1" t="s">
        <v>4688</v>
      </c>
      <c r="C7329" s="1" t="s">
        <v>4689</v>
      </c>
      <c r="D7329" s="22" t="str">
        <f>HYPERLINK("https://rhld.insurance.arkansas.gov/NPILookup?Npi=1447369442","1447369442")</f>
        <v>1447369442</v>
      </c>
      <c r="E7329" s="1" t="s">
        <v>4759</v>
      </c>
      <c r="F7329" s="2"/>
      <c r="G7329" s="2"/>
      <c r="H7329" s="2"/>
    </row>
    <row r="7330" spans="1:8" x14ac:dyDescent="0.25">
      <c r="A7330" s="1"/>
      <c r="B7330" s="1" t="s">
        <v>4688</v>
      </c>
      <c r="C7330" s="1" t="s">
        <v>4689</v>
      </c>
      <c r="D7330" s="22" t="str">
        <f>HYPERLINK("https://rhld.insurance.arkansas.gov/NPILookup?Npi=1447397427","1447397427")</f>
        <v>1447397427</v>
      </c>
      <c r="E7330" s="1" t="s">
        <v>18457</v>
      </c>
      <c r="F7330" s="2"/>
      <c r="G7330" s="2"/>
      <c r="H7330" s="2"/>
    </row>
    <row r="7331" spans="1:8" x14ac:dyDescent="0.25">
      <c r="A7331" s="1"/>
      <c r="B7331" s="1" t="s">
        <v>4688</v>
      </c>
      <c r="C7331" s="1" t="s">
        <v>4689</v>
      </c>
      <c r="D7331" s="22" t="str">
        <f>HYPERLINK("https://rhld.insurance.arkansas.gov/NPILookup?Npi=1447478896","1447478896")</f>
        <v>1447478896</v>
      </c>
      <c r="E7331" s="1" t="s">
        <v>10640</v>
      </c>
      <c r="F7331" s="2"/>
      <c r="G7331" s="2"/>
      <c r="H7331" s="2"/>
    </row>
    <row r="7332" spans="1:8" x14ac:dyDescent="0.25">
      <c r="A7332" s="1"/>
      <c r="B7332" s="1" t="s">
        <v>4688</v>
      </c>
      <c r="C7332" s="1" t="s">
        <v>4689</v>
      </c>
      <c r="D7332" s="22" t="str">
        <f>HYPERLINK("https://rhld.insurance.arkansas.gov/NPILookup?Npi=1447495569","1447495569")</f>
        <v>1447495569</v>
      </c>
      <c r="E7332" s="1" t="s">
        <v>15816</v>
      </c>
      <c r="F7332" s="2"/>
      <c r="G7332" s="2"/>
      <c r="H7332" s="2"/>
    </row>
    <row r="7333" spans="1:8" x14ac:dyDescent="0.25">
      <c r="A7333" s="1"/>
      <c r="B7333" s="1" t="s">
        <v>4688</v>
      </c>
      <c r="C7333" s="1" t="s">
        <v>4689</v>
      </c>
      <c r="D7333" s="22" t="str">
        <f>HYPERLINK("https://rhld.insurance.arkansas.gov/NPILookup?Npi=1447516216","1447516216")</f>
        <v>1447516216</v>
      </c>
      <c r="E7333" s="1" t="s">
        <v>18458</v>
      </c>
      <c r="F7333" s="2"/>
      <c r="G7333" s="2"/>
      <c r="H7333" s="2"/>
    </row>
    <row r="7334" spans="1:8" x14ac:dyDescent="0.25">
      <c r="A7334" s="1"/>
      <c r="B7334" s="1" t="s">
        <v>4688</v>
      </c>
      <c r="C7334" s="1" t="s">
        <v>4689</v>
      </c>
      <c r="D7334" s="22" t="str">
        <f>HYPERLINK("https://rhld.insurance.arkansas.gov/NPILookup?Npi=1457303224","1457303224")</f>
        <v>1457303224</v>
      </c>
      <c r="E7334" s="1" t="s">
        <v>18459</v>
      </c>
      <c r="F7334" s="2"/>
      <c r="G7334" s="2"/>
      <c r="H7334" s="2"/>
    </row>
    <row r="7335" spans="1:8" x14ac:dyDescent="0.25">
      <c r="A7335" s="1"/>
      <c r="B7335" s="1" t="s">
        <v>4688</v>
      </c>
      <c r="C7335" s="1" t="s">
        <v>4689</v>
      </c>
      <c r="D7335" s="22" t="str">
        <f>HYPERLINK("https://rhld.insurance.arkansas.gov/NPILookup?Npi=1457317539","1457317539")</f>
        <v>1457317539</v>
      </c>
      <c r="E7335" s="1" t="s">
        <v>18460</v>
      </c>
      <c r="F7335" s="2"/>
      <c r="G7335" s="2"/>
      <c r="H7335" s="2"/>
    </row>
    <row r="7336" spans="1:8" x14ac:dyDescent="0.25">
      <c r="A7336" s="1"/>
      <c r="B7336" s="1" t="s">
        <v>4688</v>
      </c>
      <c r="C7336" s="1" t="s">
        <v>4689</v>
      </c>
      <c r="D7336" s="22" t="str">
        <f>HYPERLINK("https://rhld.insurance.arkansas.gov/NPILookup?Npi=1457468498","1457468498")</f>
        <v>1457468498</v>
      </c>
      <c r="E7336" s="1" t="s">
        <v>18461</v>
      </c>
      <c r="F7336" s="2"/>
      <c r="G7336" s="2"/>
      <c r="H7336" s="2"/>
    </row>
    <row r="7337" spans="1:8" x14ac:dyDescent="0.25">
      <c r="A7337" s="1"/>
      <c r="B7337" s="1" t="s">
        <v>4688</v>
      </c>
      <c r="C7337" s="1" t="s">
        <v>4689</v>
      </c>
      <c r="D7337" s="22" t="str">
        <f>HYPERLINK("https://rhld.insurance.arkansas.gov/NPILookup?Npi=1457524209","1457524209")</f>
        <v>1457524209</v>
      </c>
      <c r="E7337" s="1" t="s">
        <v>18462</v>
      </c>
      <c r="F7337" s="2"/>
      <c r="G7337" s="2"/>
      <c r="H7337" s="2"/>
    </row>
    <row r="7338" spans="1:8" x14ac:dyDescent="0.25">
      <c r="A7338" s="1"/>
      <c r="B7338" s="1" t="s">
        <v>4688</v>
      </c>
      <c r="C7338" s="1" t="s">
        <v>4689</v>
      </c>
      <c r="D7338" s="22" t="str">
        <f>HYPERLINK("https://rhld.insurance.arkansas.gov/NPILookup?Npi=1457561706","1457561706")</f>
        <v>1457561706</v>
      </c>
      <c r="E7338" s="1" t="s">
        <v>18463</v>
      </c>
      <c r="F7338" s="2"/>
      <c r="G7338" s="2"/>
      <c r="H7338" s="2"/>
    </row>
    <row r="7339" spans="1:8" x14ac:dyDescent="0.25">
      <c r="A7339" s="1"/>
      <c r="B7339" s="1" t="s">
        <v>4688</v>
      </c>
      <c r="C7339" s="1" t="s">
        <v>4689</v>
      </c>
      <c r="D7339" s="22" t="str">
        <f>HYPERLINK("https://rhld.insurance.arkansas.gov/NPILookup?Npi=1457970964","1457970964")</f>
        <v>1457970964</v>
      </c>
      <c r="E7339" s="1" t="s">
        <v>18464</v>
      </c>
      <c r="F7339" s="2"/>
      <c r="G7339" s="2"/>
      <c r="H7339" s="2"/>
    </row>
    <row r="7340" spans="1:8" x14ac:dyDescent="0.25">
      <c r="A7340" s="1"/>
      <c r="B7340" s="1" t="s">
        <v>4688</v>
      </c>
      <c r="C7340" s="1" t="s">
        <v>4689</v>
      </c>
      <c r="D7340" s="22" t="str">
        <f>HYPERLINK("https://rhld.insurance.arkansas.gov/NPILookup?Npi=1467403352","1467403352")</f>
        <v>1467403352</v>
      </c>
      <c r="E7340" s="1" t="s">
        <v>10641</v>
      </c>
      <c r="F7340" s="2"/>
      <c r="G7340" s="2"/>
      <c r="H7340" s="2"/>
    </row>
    <row r="7341" spans="1:8" x14ac:dyDescent="0.25">
      <c r="A7341" s="1"/>
      <c r="B7341" s="1" t="s">
        <v>4688</v>
      </c>
      <c r="C7341" s="1" t="s">
        <v>4689</v>
      </c>
      <c r="D7341" s="22" t="str">
        <f>HYPERLINK("https://rhld.insurance.arkansas.gov/NPILookup?Npi=1467452862","1467452862")</f>
        <v>1467452862</v>
      </c>
      <c r="E7341" s="1" t="s">
        <v>4760</v>
      </c>
      <c r="F7341" s="2"/>
      <c r="G7341" s="2"/>
      <c r="H7341" s="2"/>
    </row>
    <row r="7342" spans="1:8" x14ac:dyDescent="0.25">
      <c r="A7342" s="1"/>
      <c r="B7342" s="1" t="s">
        <v>4688</v>
      </c>
      <c r="C7342" s="1" t="s">
        <v>4689</v>
      </c>
      <c r="D7342" s="22" t="str">
        <f>HYPERLINK("https://rhld.insurance.arkansas.gov/NPILookup?Npi=1467550046","1467550046")</f>
        <v>1467550046</v>
      </c>
      <c r="E7342" s="1" t="s">
        <v>10642</v>
      </c>
      <c r="F7342" s="2"/>
      <c r="G7342" s="2"/>
      <c r="H7342" s="2"/>
    </row>
    <row r="7343" spans="1:8" x14ac:dyDescent="0.25">
      <c r="A7343" s="1"/>
      <c r="B7343" s="1" t="s">
        <v>4688</v>
      </c>
      <c r="C7343" s="1" t="s">
        <v>4689</v>
      </c>
      <c r="D7343" s="22" t="str">
        <f>HYPERLINK("https://rhld.insurance.arkansas.gov/NPILookup?Npi=1467680686","1467680686")</f>
        <v>1467680686</v>
      </c>
      <c r="E7343" s="1" t="s">
        <v>18465</v>
      </c>
      <c r="F7343" s="2"/>
      <c r="G7343" s="2"/>
      <c r="H7343" s="2"/>
    </row>
    <row r="7344" spans="1:8" x14ac:dyDescent="0.25">
      <c r="A7344" s="1"/>
      <c r="B7344" s="1" t="s">
        <v>4688</v>
      </c>
      <c r="C7344" s="1" t="s">
        <v>4689</v>
      </c>
      <c r="D7344" s="22" t="str">
        <f>HYPERLINK("https://rhld.insurance.arkansas.gov/NPILookup?Npi=1467893446","1467893446")</f>
        <v>1467893446</v>
      </c>
      <c r="E7344" s="1" t="s">
        <v>4761</v>
      </c>
      <c r="F7344" s="2"/>
      <c r="G7344" s="2"/>
      <c r="H7344" s="2"/>
    </row>
    <row r="7345" spans="1:8" x14ac:dyDescent="0.25">
      <c r="A7345" s="1"/>
      <c r="B7345" s="1" t="s">
        <v>4688</v>
      </c>
      <c r="C7345" s="1" t="s">
        <v>4689</v>
      </c>
      <c r="D7345" s="22" t="str">
        <f>HYPERLINK("https://rhld.insurance.arkansas.gov/NPILookup?Npi=1477073575","1477073575")</f>
        <v>1477073575</v>
      </c>
      <c r="E7345" s="1" t="s">
        <v>18466</v>
      </c>
      <c r="F7345" s="2"/>
      <c r="G7345" s="2"/>
      <c r="H7345" s="2"/>
    </row>
    <row r="7346" spans="1:8" x14ac:dyDescent="0.25">
      <c r="A7346" s="1"/>
      <c r="B7346" s="1" t="s">
        <v>4688</v>
      </c>
      <c r="C7346" s="1" t="s">
        <v>4689</v>
      </c>
      <c r="D7346" s="22" t="str">
        <f>HYPERLINK("https://rhld.insurance.arkansas.gov/NPILookup?Npi=1477132041","1477132041")</f>
        <v>1477132041</v>
      </c>
      <c r="E7346" s="1" t="s">
        <v>18467</v>
      </c>
      <c r="F7346" s="2"/>
      <c r="G7346" s="2"/>
      <c r="H7346" s="2"/>
    </row>
    <row r="7347" spans="1:8" x14ac:dyDescent="0.25">
      <c r="A7347" s="1"/>
      <c r="B7347" s="1" t="s">
        <v>4688</v>
      </c>
      <c r="C7347" s="1" t="s">
        <v>4689</v>
      </c>
      <c r="D7347" s="22" t="str">
        <f>HYPERLINK("https://rhld.insurance.arkansas.gov/NPILookup?Npi=1477529212","1477529212")</f>
        <v>1477529212</v>
      </c>
      <c r="E7347" s="1" t="s">
        <v>4762</v>
      </c>
      <c r="F7347" s="2"/>
      <c r="G7347" s="2"/>
      <c r="H7347" s="2"/>
    </row>
    <row r="7348" spans="1:8" x14ac:dyDescent="0.25">
      <c r="A7348" s="1"/>
      <c r="B7348" s="1" t="s">
        <v>4688</v>
      </c>
      <c r="C7348" s="1" t="s">
        <v>4689</v>
      </c>
      <c r="D7348" s="22" t="str">
        <f>HYPERLINK("https://rhld.insurance.arkansas.gov/NPILookup?Npi=1477541563","1477541563")</f>
        <v>1477541563</v>
      </c>
      <c r="E7348" s="1" t="s">
        <v>18468</v>
      </c>
      <c r="F7348" s="2"/>
      <c r="G7348" s="2"/>
      <c r="H7348" s="2"/>
    </row>
    <row r="7349" spans="1:8" x14ac:dyDescent="0.25">
      <c r="A7349" s="1"/>
      <c r="B7349" s="1" t="s">
        <v>4688</v>
      </c>
      <c r="C7349" s="1" t="s">
        <v>4689</v>
      </c>
      <c r="D7349" s="22" t="str">
        <f>HYPERLINK("https://rhld.insurance.arkansas.gov/NPILookup?Npi=1477548485","1477548485")</f>
        <v>1477548485</v>
      </c>
      <c r="E7349" s="1" t="s">
        <v>4763</v>
      </c>
      <c r="F7349" s="2"/>
      <c r="G7349" s="2"/>
      <c r="H7349" s="2"/>
    </row>
    <row r="7350" spans="1:8" x14ac:dyDescent="0.25">
      <c r="A7350" s="1"/>
      <c r="B7350" s="1" t="s">
        <v>4688</v>
      </c>
      <c r="C7350" s="1" t="s">
        <v>4689</v>
      </c>
      <c r="D7350" s="22" t="str">
        <f>HYPERLINK("https://rhld.insurance.arkansas.gov/NPILookup?Npi=1477559680","1477559680")</f>
        <v>1477559680</v>
      </c>
      <c r="E7350" s="1" t="s">
        <v>10643</v>
      </c>
      <c r="F7350" s="2"/>
      <c r="G7350" s="2"/>
      <c r="H7350" s="2"/>
    </row>
    <row r="7351" spans="1:8" x14ac:dyDescent="0.25">
      <c r="A7351" s="1"/>
      <c r="B7351" s="1" t="s">
        <v>4688</v>
      </c>
      <c r="C7351" s="1" t="s">
        <v>4689</v>
      </c>
      <c r="D7351" s="22" t="str">
        <f>HYPERLINK("https://rhld.insurance.arkansas.gov/NPILookup?Npi=1477595627","1477595627")</f>
        <v>1477595627</v>
      </c>
      <c r="E7351" s="1" t="s">
        <v>4764</v>
      </c>
      <c r="F7351" s="2"/>
      <c r="G7351" s="2"/>
      <c r="H7351" s="2"/>
    </row>
    <row r="7352" spans="1:8" x14ac:dyDescent="0.25">
      <c r="A7352" s="1"/>
      <c r="B7352" s="1" t="s">
        <v>4688</v>
      </c>
      <c r="C7352" s="1" t="s">
        <v>4689</v>
      </c>
      <c r="D7352" s="22" t="str">
        <f>HYPERLINK("https://rhld.insurance.arkansas.gov/NPILookup?Npi=1477680197","1477680197")</f>
        <v>1477680197</v>
      </c>
      <c r="E7352" s="1" t="s">
        <v>18469</v>
      </c>
      <c r="F7352" s="2"/>
      <c r="G7352" s="2"/>
      <c r="H7352" s="2"/>
    </row>
    <row r="7353" spans="1:8" x14ac:dyDescent="0.25">
      <c r="A7353" s="1"/>
      <c r="B7353" s="1" t="s">
        <v>4688</v>
      </c>
      <c r="C7353" s="1" t="s">
        <v>4689</v>
      </c>
      <c r="D7353" s="22" t="str">
        <f>HYPERLINK("https://rhld.insurance.arkansas.gov/NPILookup?Npi=1477787091","1477787091")</f>
        <v>1477787091</v>
      </c>
      <c r="E7353" s="1" t="s">
        <v>18470</v>
      </c>
      <c r="F7353" s="2"/>
      <c r="G7353" s="2"/>
      <c r="H7353" s="2"/>
    </row>
    <row r="7354" spans="1:8" x14ac:dyDescent="0.25">
      <c r="A7354" s="1"/>
      <c r="B7354" s="1" t="s">
        <v>4688</v>
      </c>
      <c r="C7354" s="1" t="s">
        <v>4689</v>
      </c>
      <c r="D7354" s="22" t="str">
        <f>HYPERLINK("https://rhld.insurance.arkansas.gov/NPILookup?Npi=1477811214","1477811214")</f>
        <v>1477811214</v>
      </c>
      <c r="E7354" s="1" t="s">
        <v>4765</v>
      </c>
      <c r="F7354" s="2"/>
      <c r="G7354" s="2"/>
      <c r="H7354" s="2"/>
    </row>
    <row r="7355" spans="1:8" x14ac:dyDescent="0.25">
      <c r="A7355" s="1"/>
      <c r="B7355" s="1" t="s">
        <v>4688</v>
      </c>
      <c r="C7355" s="1" t="s">
        <v>4689</v>
      </c>
      <c r="D7355" s="22" t="str">
        <f>HYPERLINK("https://rhld.insurance.arkansas.gov/NPILookup?Npi=1477818805","1477818805")</f>
        <v>1477818805</v>
      </c>
      <c r="E7355" s="1" t="s">
        <v>4766</v>
      </c>
      <c r="F7355" s="2"/>
      <c r="G7355" s="2"/>
      <c r="H7355" s="2"/>
    </row>
    <row r="7356" spans="1:8" x14ac:dyDescent="0.25">
      <c r="A7356" s="1"/>
      <c r="B7356" s="1" t="s">
        <v>4688</v>
      </c>
      <c r="C7356" s="1" t="s">
        <v>4689</v>
      </c>
      <c r="D7356" s="22" t="str">
        <f>HYPERLINK("https://rhld.insurance.arkansas.gov/NPILookup?Npi=1477819811","1477819811")</f>
        <v>1477819811</v>
      </c>
      <c r="E7356" s="1" t="s">
        <v>10644</v>
      </c>
      <c r="F7356" s="2"/>
      <c r="G7356" s="2"/>
      <c r="H7356" s="2"/>
    </row>
    <row r="7357" spans="1:8" x14ac:dyDescent="0.25">
      <c r="A7357" s="1"/>
      <c r="B7357" s="1" t="s">
        <v>4688</v>
      </c>
      <c r="C7357" s="1" t="s">
        <v>4689</v>
      </c>
      <c r="D7357" s="22" t="str">
        <f>HYPERLINK("https://rhld.insurance.arkansas.gov/NPILookup?Npi=1477878361","1477878361")</f>
        <v>1477878361</v>
      </c>
      <c r="E7357" s="1" t="s">
        <v>4767</v>
      </c>
      <c r="F7357" s="2"/>
      <c r="G7357" s="2"/>
      <c r="H7357" s="2"/>
    </row>
    <row r="7358" spans="1:8" x14ac:dyDescent="0.25">
      <c r="A7358" s="1"/>
      <c r="B7358" s="1" t="s">
        <v>4688</v>
      </c>
      <c r="C7358" s="1" t="s">
        <v>4689</v>
      </c>
      <c r="D7358" s="22" t="str">
        <f>HYPERLINK("https://rhld.insurance.arkansas.gov/NPILookup?Npi=1487004990","1487004990")</f>
        <v>1487004990</v>
      </c>
      <c r="E7358" s="1" t="s">
        <v>18471</v>
      </c>
      <c r="F7358" s="2"/>
      <c r="G7358" s="2"/>
      <c r="H7358" s="2"/>
    </row>
    <row r="7359" spans="1:8" x14ac:dyDescent="0.25">
      <c r="A7359" s="1"/>
      <c r="B7359" s="1" t="s">
        <v>4688</v>
      </c>
      <c r="C7359" s="1" t="s">
        <v>4689</v>
      </c>
      <c r="D7359" s="22" t="str">
        <f>HYPERLINK("https://rhld.insurance.arkansas.gov/NPILookup?Npi=1487653952","1487653952")</f>
        <v>1487653952</v>
      </c>
      <c r="E7359" s="1" t="s">
        <v>18472</v>
      </c>
      <c r="F7359" s="2"/>
      <c r="G7359" s="2"/>
      <c r="H7359" s="2"/>
    </row>
    <row r="7360" spans="1:8" x14ac:dyDescent="0.25">
      <c r="A7360" s="1"/>
      <c r="B7360" s="1" t="s">
        <v>4688</v>
      </c>
      <c r="C7360" s="1" t="s">
        <v>4689</v>
      </c>
      <c r="D7360" s="22" t="str">
        <f>HYPERLINK("https://rhld.insurance.arkansas.gov/NPILookup?Npi=1487655247","1487655247")</f>
        <v>1487655247</v>
      </c>
      <c r="E7360" s="1" t="s">
        <v>10645</v>
      </c>
      <c r="F7360" s="2"/>
      <c r="G7360" s="2"/>
      <c r="H7360" s="2"/>
    </row>
    <row r="7361" spans="1:8" x14ac:dyDescent="0.25">
      <c r="A7361" s="1"/>
      <c r="B7361" s="1" t="s">
        <v>4688</v>
      </c>
      <c r="C7361" s="1" t="s">
        <v>4689</v>
      </c>
      <c r="D7361" s="22" t="str">
        <f>HYPERLINK("https://rhld.insurance.arkansas.gov/NPILookup?Npi=1487664892","1487664892")</f>
        <v>1487664892</v>
      </c>
      <c r="E7361" s="1" t="s">
        <v>4768</v>
      </c>
      <c r="F7361" s="2"/>
      <c r="G7361" s="2"/>
      <c r="H7361" s="2"/>
    </row>
    <row r="7362" spans="1:8" x14ac:dyDescent="0.25">
      <c r="A7362" s="1"/>
      <c r="B7362" s="1" t="s">
        <v>4688</v>
      </c>
      <c r="C7362" s="1" t="s">
        <v>4689</v>
      </c>
      <c r="D7362" s="22" t="str">
        <f>HYPERLINK("https://rhld.insurance.arkansas.gov/NPILookup?Npi=1487673216","1487673216")</f>
        <v>1487673216</v>
      </c>
      <c r="E7362" s="1" t="s">
        <v>18473</v>
      </c>
      <c r="F7362" s="2"/>
      <c r="G7362" s="2"/>
      <c r="H7362" s="2"/>
    </row>
    <row r="7363" spans="1:8" x14ac:dyDescent="0.25">
      <c r="A7363" s="1"/>
      <c r="B7363" s="1" t="s">
        <v>4688</v>
      </c>
      <c r="C7363" s="1" t="s">
        <v>4689</v>
      </c>
      <c r="D7363" s="22" t="str">
        <f>HYPERLINK("https://rhld.insurance.arkansas.gov/NPILookup?Npi=1487691853","1487691853")</f>
        <v>1487691853</v>
      </c>
      <c r="E7363" s="1" t="s">
        <v>4769</v>
      </c>
      <c r="F7363" s="2"/>
      <c r="G7363" s="2"/>
      <c r="H7363" s="2"/>
    </row>
    <row r="7364" spans="1:8" x14ac:dyDescent="0.25">
      <c r="A7364" s="1"/>
      <c r="B7364" s="1" t="s">
        <v>4688</v>
      </c>
      <c r="C7364" s="1" t="s">
        <v>4689</v>
      </c>
      <c r="D7364" s="22" t="str">
        <f>HYPERLINK("https://rhld.insurance.arkansas.gov/NPILookup?Npi=1487814257","1487814257")</f>
        <v>1487814257</v>
      </c>
      <c r="E7364" s="1" t="s">
        <v>18474</v>
      </c>
      <c r="F7364" s="2"/>
      <c r="G7364" s="2"/>
      <c r="H7364" s="2"/>
    </row>
    <row r="7365" spans="1:8" x14ac:dyDescent="0.25">
      <c r="A7365" s="1"/>
      <c r="B7365" s="1" t="s">
        <v>4688</v>
      </c>
      <c r="C7365" s="1" t="s">
        <v>4689</v>
      </c>
      <c r="D7365" s="22" t="str">
        <f>HYPERLINK("https://rhld.insurance.arkansas.gov/NPILookup?Npi=1487848545","1487848545")</f>
        <v>1487848545</v>
      </c>
      <c r="E7365" s="1" t="s">
        <v>18475</v>
      </c>
      <c r="F7365" s="2"/>
      <c r="G7365" s="2"/>
      <c r="H7365" s="2"/>
    </row>
    <row r="7366" spans="1:8" x14ac:dyDescent="0.25">
      <c r="A7366" s="1"/>
      <c r="B7366" s="1" t="s">
        <v>4688</v>
      </c>
      <c r="C7366" s="1" t="s">
        <v>4689</v>
      </c>
      <c r="D7366" s="22" t="str">
        <f>HYPERLINK("https://rhld.insurance.arkansas.gov/NPILookup?Npi=1487848594","1487848594")</f>
        <v>1487848594</v>
      </c>
      <c r="E7366" s="1" t="s">
        <v>31511</v>
      </c>
      <c r="F7366" s="2"/>
      <c r="G7366" s="2"/>
      <c r="H7366" s="2"/>
    </row>
    <row r="7367" spans="1:8" x14ac:dyDescent="0.25">
      <c r="A7367" s="1"/>
      <c r="B7367" s="1" t="s">
        <v>4688</v>
      </c>
      <c r="C7367" s="1" t="s">
        <v>4689</v>
      </c>
      <c r="D7367" s="22" t="str">
        <f>HYPERLINK("https://rhld.insurance.arkansas.gov/NPILookup?Npi=1487876017","1487876017")</f>
        <v>1487876017</v>
      </c>
      <c r="E7367" s="1" t="s">
        <v>18476</v>
      </c>
      <c r="F7367" s="2"/>
      <c r="G7367" s="2"/>
      <c r="H7367" s="2"/>
    </row>
    <row r="7368" spans="1:8" x14ac:dyDescent="0.25">
      <c r="A7368" s="1"/>
      <c r="B7368" s="1" t="s">
        <v>4688</v>
      </c>
      <c r="C7368" s="1" t="s">
        <v>4689</v>
      </c>
      <c r="D7368" s="22" t="str">
        <f>HYPERLINK("https://rhld.insurance.arkansas.gov/NPILookup?Npi=1497149801","1497149801")</f>
        <v>1497149801</v>
      </c>
      <c r="E7368" s="1" t="s">
        <v>4770</v>
      </c>
      <c r="F7368" s="2"/>
      <c r="G7368" s="2"/>
      <c r="H7368" s="2"/>
    </row>
    <row r="7369" spans="1:8" x14ac:dyDescent="0.25">
      <c r="A7369" s="1"/>
      <c r="B7369" s="1" t="s">
        <v>4688</v>
      </c>
      <c r="C7369" s="1" t="s">
        <v>4689</v>
      </c>
      <c r="D7369" s="22" t="str">
        <f>HYPERLINK("https://rhld.insurance.arkansas.gov/NPILookup?Npi=1497797625","1497797625")</f>
        <v>1497797625</v>
      </c>
      <c r="E7369" s="1" t="s">
        <v>18478</v>
      </c>
      <c r="F7369" s="2"/>
      <c r="G7369" s="2"/>
      <c r="H7369" s="2"/>
    </row>
    <row r="7370" spans="1:8" x14ac:dyDescent="0.25">
      <c r="A7370" s="1"/>
      <c r="B7370" s="1" t="s">
        <v>4688</v>
      </c>
      <c r="C7370" s="1" t="s">
        <v>4689</v>
      </c>
      <c r="D7370" s="22" t="str">
        <f>HYPERLINK("https://rhld.insurance.arkansas.gov/NPILookup?Npi=1497932032","1497932032")</f>
        <v>1497932032</v>
      </c>
      <c r="E7370" s="1" t="s">
        <v>18479</v>
      </c>
      <c r="F7370" s="2"/>
      <c r="G7370" s="2"/>
      <c r="H7370" s="2"/>
    </row>
    <row r="7371" spans="1:8" x14ac:dyDescent="0.25">
      <c r="A7371" s="1"/>
      <c r="B7371" s="1" t="s">
        <v>4688</v>
      </c>
      <c r="C7371" s="1" t="s">
        <v>4689</v>
      </c>
      <c r="D7371" s="22" t="str">
        <f>HYPERLINK("https://rhld.insurance.arkansas.gov/NPILookup?Npi=1508095977","1508095977")</f>
        <v>1508095977</v>
      </c>
      <c r="E7371" s="1" t="s">
        <v>18480</v>
      </c>
      <c r="F7371" s="2"/>
      <c r="G7371" s="2"/>
      <c r="H7371" s="2"/>
    </row>
    <row r="7372" spans="1:8" x14ac:dyDescent="0.25">
      <c r="A7372" s="1"/>
      <c r="B7372" s="1" t="s">
        <v>4688</v>
      </c>
      <c r="C7372" s="1" t="s">
        <v>4689</v>
      </c>
      <c r="D7372" s="22" t="str">
        <f>HYPERLINK("https://rhld.insurance.arkansas.gov/NPILookup?Npi=1508165762","1508165762")</f>
        <v>1508165762</v>
      </c>
      <c r="E7372" s="1" t="s">
        <v>18481</v>
      </c>
      <c r="F7372" s="2"/>
      <c r="G7372" s="2"/>
      <c r="H7372" s="2"/>
    </row>
    <row r="7373" spans="1:8" x14ac:dyDescent="0.25">
      <c r="A7373" s="1"/>
      <c r="B7373" s="1" t="s">
        <v>4688</v>
      </c>
      <c r="C7373" s="1" t="s">
        <v>4689</v>
      </c>
      <c r="D7373" s="22" t="str">
        <f>HYPERLINK("https://rhld.insurance.arkansas.gov/NPILookup?Npi=1508198201","1508198201")</f>
        <v>1508198201</v>
      </c>
      <c r="E7373" s="1" t="s">
        <v>18482</v>
      </c>
      <c r="F7373" s="2"/>
      <c r="G7373" s="2"/>
      <c r="H7373" s="2"/>
    </row>
    <row r="7374" spans="1:8" x14ac:dyDescent="0.25">
      <c r="A7374" s="1"/>
      <c r="B7374" s="1" t="s">
        <v>4688</v>
      </c>
      <c r="C7374" s="1" t="s">
        <v>4689</v>
      </c>
      <c r="D7374" s="22" t="str">
        <f>HYPERLINK("https://rhld.insurance.arkansas.gov/NPILookup?Npi=1508397498","1508397498")</f>
        <v>1508397498</v>
      </c>
      <c r="E7374" s="1" t="s">
        <v>18483</v>
      </c>
      <c r="F7374" s="2"/>
      <c r="G7374" s="2"/>
      <c r="H7374" s="2"/>
    </row>
    <row r="7375" spans="1:8" x14ac:dyDescent="0.25">
      <c r="A7375" s="1"/>
      <c r="B7375" s="1" t="s">
        <v>4688</v>
      </c>
      <c r="C7375" s="1" t="s">
        <v>4689</v>
      </c>
      <c r="D7375" s="22" t="str">
        <f>HYPERLINK("https://rhld.insurance.arkansas.gov/NPILookup?Npi=1508837006","1508837006")</f>
        <v>1508837006</v>
      </c>
      <c r="E7375" s="1" t="s">
        <v>15838</v>
      </c>
      <c r="F7375" s="2"/>
      <c r="G7375" s="2"/>
      <c r="H7375" s="2"/>
    </row>
    <row r="7376" spans="1:8" x14ac:dyDescent="0.25">
      <c r="A7376" s="1"/>
      <c r="B7376" s="1" t="s">
        <v>4688</v>
      </c>
      <c r="C7376" s="1" t="s">
        <v>4689</v>
      </c>
      <c r="D7376" s="22" t="str">
        <f>HYPERLINK("https://rhld.insurance.arkansas.gov/NPILookup?Npi=1508851320","1508851320")</f>
        <v>1508851320</v>
      </c>
      <c r="E7376" s="1" t="s">
        <v>10646</v>
      </c>
      <c r="F7376" s="2"/>
      <c r="G7376" s="2"/>
      <c r="H7376" s="2"/>
    </row>
    <row r="7377" spans="1:8" x14ac:dyDescent="0.25">
      <c r="A7377" s="1"/>
      <c r="B7377" s="1" t="s">
        <v>4688</v>
      </c>
      <c r="C7377" s="1" t="s">
        <v>4689</v>
      </c>
      <c r="D7377" s="22" t="str">
        <f>HYPERLINK("https://rhld.insurance.arkansas.gov/NPILookup?Npi=1508869793","1508869793")</f>
        <v>1508869793</v>
      </c>
      <c r="E7377" s="1" t="s">
        <v>4771</v>
      </c>
      <c r="F7377" s="2"/>
      <c r="G7377" s="2"/>
      <c r="H7377" s="2"/>
    </row>
    <row r="7378" spans="1:8" x14ac:dyDescent="0.25">
      <c r="A7378" s="1"/>
      <c r="B7378" s="1" t="s">
        <v>4688</v>
      </c>
      <c r="C7378" s="1" t="s">
        <v>4689</v>
      </c>
      <c r="D7378" s="22" t="str">
        <f>HYPERLINK("https://rhld.insurance.arkansas.gov/NPILookup?Npi=1508895988","1508895988")</f>
        <v>1508895988</v>
      </c>
      <c r="E7378" s="1" t="s">
        <v>18484</v>
      </c>
      <c r="F7378" s="2"/>
      <c r="G7378" s="2"/>
      <c r="H7378" s="2"/>
    </row>
    <row r="7379" spans="1:8" x14ac:dyDescent="0.25">
      <c r="A7379" s="1"/>
      <c r="B7379" s="1" t="s">
        <v>4688</v>
      </c>
      <c r="C7379" s="1" t="s">
        <v>4689</v>
      </c>
      <c r="D7379" s="22" t="str">
        <f>HYPERLINK("https://rhld.insurance.arkansas.gov/NPILookup?Npi=1518077825","1518077825")</f>
        <v>1518077825</v>
      </c>
      <c r="E7379" s="1" t="s">
        <v>18485</v>
      </c>
      <c r="F7379" s="2"/>
      <c r="G7379" s="2"/>
      <c r="H7379" s="2"/>
    </row>
    <row r="7380" spans="1:8" x14ac:dyDescent="0.25">
      <c r="A7380" s="1"/>
      <c r="B7380" s="1" t="s">
        <v>4688</v>
      </c>
      <c r="C7380" s="1" t="s">
        <v>4689</v>
      </c>
      <c r="D7380" s="22" t="str">
        <f>HYPERLINK("https://rhld.insurance.arkansas.gov/NPILookup?Npi=1518165331","1518165331")</f>
        <v>1518165331</v>
      </c>
      <c r="E7380" s="1" t="s">
        <v>18486</v>
      </c>
      <c r="F7380" s="2"/>
      <c r="G7380" s="2"/>
      <c r="H7380" s="2"/>
    </row>
    <row r="7381" spans="1:8" x14ac:dyDescent="0.25">
      <c r="A7381" s="1"/>
      <c r="B7381" s="1" t="s">
        <v>4688</v>
      </c>
      <c r="C7381" s="1" t="s">
        <v>4689</v>
      </c>
      <c r="D7381" s="22" t="str">
        <f>HYPERLINK("https://rhld.insurance.arkansas.gov/NPILookup?Npi=1518255801","1518255801")</f>
        <v>1518255801</v>
      </c>
      <c r="E7381" s="1" t="s">
        <v>10647</v>
      </c>
      <c r="F7381" s="2"/>
      <c r="G7381" s="2"/>
      <c r="H7381" s="2"/>
    </row>
    <row r="7382" spans="1:8" x14ac:dyDescent="0.25">
      <c r="A7382" s="1"/>
      <c r="B7382" s="1" t="s">
        <v>4688</v>
      </c>
      <c r="C7382" s="1" t="s">
        <v>4689</v>
      </c>
      <c r="D7382" s="22" t="str">
        <f>HYPERLINK("https://rhld.insurance.arkansas.gov/NPILookup?Npi=1518920693","1518920693")</f>
        <v>1518920693</v>
      </c>
      <c r="E7382" s="1" t="s">
        <v>31512</v>
      </c>
      <c r="F7382" s="2"/>
      <c r="G7382" s="2"/>
      <c r="H7382" s="2"/>
    </row>
    <row r="7383" spans="1:8" x14ac:dyDescent="0.25">
      <c r="A7383" s="1"/>
      <c r="B7383" s="1" t="s">
        <v>4688</v>
      </c>
      <c r="C7383" s="1" t="s">
        <v>4689</v>
      </c>
      <c r="D7383" s="22" t="str">
        <f>HYPERLINK("https://rhld.insurance.arkansas.gov/NPILookup?Npi=1518925759","1518925759")</f>
        <v>1518925759</v>
      </c>
      <c r="E7383" s="1" t="s">
        <v>18487</v>
      </c>
      <c r="F7383" s="2"/>
      <c r="G7383" s="2"/>
      <c r="H7383" s="2"/>
    </row>
    <row r="7384" spans="1:8" x14ac:dyDescent="0.25">
      <c r="A7384" s="1"/>
      <c r="B7384" s="1" t="s">
        <v>4688</v>
      </c>
      <c r="C7384" s="1" t="s">
        <v>4689</v>
      </c>
      <c r="D7384" s="22" t="str">
        <f>HYPERLINK("https://rhld.insurance.arkansas.gov/NPILookup?Npi=1528064078","1528064078")</f>
        <v>1528064078</v>
      </c>
      <c r="E7384" s="1" t="s">
        <v>4772</v>
      </c>
      <c r="F7384" s="2"/>
      <c r="G7384" s="2"/>
      <c r="H7384" s="2"/>
    </row>
    <row r="7385" spans="1:8" x14ac:dyDescent="0.25">
      <c r="A7385" s="1"/>
      <c r="B7385" s="1" t="s">
        <v>4688</v>
      </c>
      <c r="C7385" s="1" t="s">
        <v>4689</v>
      </c>
      <c r="D7385" s="22" t="str">
        <f>HYPERLINK("https://rhld.insurance.arkansas.gov/NPILookup?Npi=1528064821","1528064821")</f>
        <v>1528064821</v>
      </c>
      <c r="E7385" s="1" t="s">
        <v>4795</v>
      </c>
      <c r="F7385" s="2"/>
      <c r="G7385" s="2"/>
      <c r="H7385" s="2"/>
    </row>
    <row r="7386" spans="1:8" x14ac:dyDescent="0.25">
      <c r="A7386" s="1"/>
      <c r="B7386" s="1" t="s">
        <v>4688</v>
      </c>
      <c r="C7386" s="1" t="s">
        <v>4689</v>
      </c>
      <c r="D7386" s="22" t="str">
        <f>HYPERLINK("https://rhld.insurance.arkansas.gov/NPILookup?Npi=1528259413","1528259413")</f>
        <v>1528259413</v>
      </c>
      <c r="E7386" s="1" t="s">
        <v>4773</v>
      </c>
      <c r="F7386" s="2"/>
      <c r="G7386" s="2"/>
      <c r="H7386" s="2"/>
    </row>
    <row r="7387" spans="1:8" x14ac:dyDescent="0.25">
      <c r="A7387" s="1"/>
      <c r="B7387" s="1" t="s">
        <v>4688</v>
      </c>
      <c r="C7387" s="1" t="s">
        <v>4689</v>
      </c>
      <c r="D7387" s="22" t="str">
        <f>HYPERLINK("https://rhld.insurance.arkansas.gov/NPILookup?Npi=1528386752","1528386752")</f>
        <v>1528386752</v>
      </c>
      <c r="E7387" s="1" t="s">
        <v>18488</v>
      </c>
      <c r="F7387" s="2"/>
      <c r="G7387" s="2"/>
      <c r="H7387" s="2"/>
    </row>
    <row r="7388" spans="1:8" x14ac:dyDescent="0.25">
      <c r="A7388" s="1"/>
      <c r="B7388" s="1" t="s">
        <v>4688</v>
      </c>
      <c r="C7388" s="1" t="s">
        <v>4689</v>
      </c>
      <c r="D7388" s="22" t="str">
        <f>HYPERLINK("https://rhld.insurance.arkansas.gov/NPILookup?Npi=1538114186","1538114186")</f>
        <v>1538114186</v>
      </c>
      <c r="E7388" s="1" t="s">
        <v>4774</v>
      </c>
      <c r="F7388" s="2"/>
      <c r="G7388" s="2"/>
      <c r="H7388" s="2"/>
    </row>
    <row r="7389" spans="1:8" x14ac:dyDescent="0.25">
      <c r="A7389" s="1"/>
      <c r="B7389" s="1" t="s">
        <v>4688</v>
      </c>
      <c r="C7389" s="1" t="s">
        <v>4689</v>
      </c>
      <c r="D7389" s="22" t="str">
        <f>HYPERLINK("https://rhld.insurance.arkansas.gov/NPILookup?Npi=1538125638","1538125638")</f>
        <v>1538125638</v>
      </c>
      <c r="E7389" s="1" t="s">
        <v>18489</v>
      </c>
      <c r="F7389" s="2"/>
      <c r="G7389" s="2"/>
      <c r="H7389" s="2"/>
    </row>
    <row r="7390" spans="1:8" x14ac:dyDescent="0.25">
      <c r="A7390" s="1"/>
      <c r="B7390" s="1" t="s">
        <v>4688</v>
      </c>
      <c r="C7390" s="1" t="s">
        <v>4689</v>
      </c>
      <c r="D7390" s="22" t="str">
        <f>HYPERLINK("https://rhld.insurance.arkansas.gov/NPILookup?Npi=1538280011","1538280011")</f>
        <v>1538280011</v>
      </c>
      <c r="E7390" s="1" t="s">
        <v>18490</v>
      </c>
      <c r="F7390" s="2"/>
      <c r="G7390" s="2"/>
      <c r="H7390" s="2"/>
    </row>
    <row r="7391" spans="1:8" x14ac:dyDescent="0.25">
      <c r="A7391" s="1"/>
      <c r="B7391" s="1" t="s">
        <v>4688</v>
      </c>
      <c r="C7391" s="1" t="s">
        <v>4689</v>
      </c>
      <c r="D7391" s="22" t="str">
        <f>HYPERLINK("https://rhld.insurance.arkansas.gov/NPILookup?Npi=1538393905","1538393905")</f>
        <v>1538393905</v>
      </c>
      <c r="E7391" s="1" t="s">
        <v>18491</v>
      </c>
      <c r="F7391" s="2"/>
      <c r="G7391" s="2"/>
      <c r="H7391" s="2"/>
    </row>
    <row r="7392" spans="1:8" x14ac:dyDescent="0.25">
      <c r="A7392" s="1"/>
      <c r="B7392" s="1" t="s">
        <v>4688</v>
      </c>
      <c r="C7392" s="1" t="s">
        <v>4689</v>
      </c>
      <c r="D7392" s="22" t="str">
        <f>HYPERLINK("https://rhld.insurance.arkansas.gov/NPILookup?Npi=1538487285","1538487285")</f>
        <v>1538487285</v>
      </c>
      <c r="E7392" s="1" t="s">
        <v>17632</v>
      </c>
      <c r="F7392" s="2"/>
      <c r="G7392" s="2"/>
      <c r="H7392" s="2"/>
    </row>
    <row r="7393" spans="1:8" x14ac:dyDescent="0.25">
      <c r="A7393" s="1"/>
      <c r="B7393" s="1" t="s">
        <v>4688</v>
      </c>
      <c r="C7393" s="1" t="s">
        <v>4689</v>
      </c>
      <c r="D7393" s="22" t="str">
        <f>HYPERLINK("https://rhld.insurance.arkansas.gov/NPILookup?Npi=1538748884","1538748884")</f>
        <v>1538748884</v>
      </c>
      <c r="E7393" s="1" t="s">
        <v>18492</v>
      </c>
      <c r="F7393" s="2"/>
      <c r="G7393" s="2"/>
      <c r="H7393" s="2"/>
    </row>
    <row r="7394" spans="1:8" x14ac:dyDescent="0.25">
      <c r="A7394" s="1"/>
      <c r="B7394" s="1" t="s">
        <v>4688</v>
      </c>
      <c r="C7394" s="1" t="s">
        <v>4689</v>
      </c>
      <c r="D7394" s="22" t="str">
        <f>HYPERLINK("https://rhld.insurance.arkansas.gov/NPILookup?Npi=1548201288","1548201288")</f>
        <v>1548201288</v>
      </c>
      <c r="E7394" s="1" t="s">
        <v>18493</v>
      </c>
      <c r="F7394" s="2"/>
      <c r="G7394" s="2"/>
      <c r="H7394" s="2"/>
    </row>
    <row r="7395" spans="1:8" x14ac:dyDescent="0.25">
      <c r="A7395" s="1"/>
      <c r="B7395" s="1" t="s">
        <v>4688</v>
      </c>
      <c r="C7395" s="1" t="s">
        <v>4689</v>
      </c>
      <c r="D7395" s="22" t="str">
        <f>HYPERLINK("https://rhld.insurance.arkansas.gov/NPILookup?Npi=1548218803","1548218803")</f>
        <v>1548218803</v>
      </c>
      <c r="E7395" s="1" t="s">
        <v>18494</v>
      </c>
      <c r="F7395" s="2"/>
      <c r="G7395" s="2"/>
      <c r="H7395" s="2"/>
    </row>
    <row r="7396" spans="1:8" x14ac:dyDescent="0.25">
      <c r="A7396" s="1"/>
      <c r="B7396" s="1" t="s">
        <v>4688</v>
      </c>
      <c r="C7396" s="1" t="s">
        <v>4689</v>
      </c>
      <c r="D7396" s="22" t="str">
        <f>HYPERLINK("https://rhld.insurance.arkansas.gov/NPILookup?Npi=1548228588","1548228588")</f>
        <v>1548228588</v>
      </c>
      <c r="E7396" s="1" t="s">
        <v>18495</v>
      </c>
      <c r="F7396" s="2"/>
      <c r="G7396" s="2"/>
      <c r="H7396" s="2"/>
    </row>
    <row r="7397" spans="1:8" x14ac:dyDescent="0.25">
      <c r="A7397" s="1"/>
      <c r="B7397" s="1" t="s">
        <v>4688</v>
      </c>
      <c r="C7397" s="1" t="s">
        <v>4689</v>
      </c>
      <c r="D7397" s="22" t="str">
        <f>HYPERLINK("https://rhld.insurance.arkansas.gov/NPILookup?Npi=1548233430","1548233430")</f>
        <v>1548233430</v>
      </c>
      <c r="E7397" s="1" t="s">
        <v>4775</v>
      </c>
      <c r="F7397" s="2"/>
      <c r="G7397" s="2"/>
      <c r="H7397" s="2"/>
    </row>
    <row r="7398" spans="1:8" x14ac:dyDescent="0.25">
      <c r="A7398" s="1"/>
      <c r="B7398" s="1" t="s">
        <v>4688</v>
      </c>
      <c r="C7398" s="1" t="s">
        <v>4689</v>
      </c>
      <c r="D7398" s="22" t="str">
        <f>HYPERLINK("https://rhld.insurance.arkansas.gov/NPILookup?Npi=1548277148","1548277148")</f>
        <v>1548277148</v>
      </c>
      <c r="E7398" s="1" t="s">
        <v>18496</v>
      </c>
      <c r="F7398" s="2"/>
      <c r="G7398" s="2"/>
      <c r="H7398" s="2"/>
    </row>
    <row r="7399" spans="1:8" x14ac:dyDescent="0.25">
      <c r="A7399" s="1"/>
      <c r="B7399" s="1" t="s">
        <v>4688</v>
      </c>
      <c r="C7399" s="1" t="s">
        <v>4689</v>
      </c>
      <c r="D7399" s="22" t="str">
        <f>HYPERLINK("https://rhld.insurance.arkansas.gov/NPILookup?Npi=1548413008","1548413008")</f>
        <v>1548413008</v>
      </c>
      <c r="E7399" s="1" t="s">
        <v>18497</v>
      </c>
      <c r="F7399" s="2"/>
      <c r="G7399" s="2"/>
      <c r="H7399" s="2"/>
    </row>
    <row r="7400" spans="1:8" x14ac:dyDescent="0.25">
      <c r="A7400" s="1"/>
      <c r="B7400" s="1" t="s">
        <v>4688</v>
      </c>
      <c r="C7400" s="1" t="s">
        <v>4689</v>
      </c>
      <c r="D7400" s="22" t="str">
        <f>HYPERLINK("https://rhld.insurance.arkansas.gov/NPILookup?Npi=1548463631","1548463631")</f>
        <v>1548463631</v>
      </c>
      <c r="E7400" s="1" t="s">
        <v>10651</v>
      </c>
      <c r="F7400" s="2"/>
      <c r="G7400" s="2"/>
      <c r="H7400" s="2"/>
    </row>
    <row r="7401" spans="1:8" x14ac:dyDescent="0.25">
      <c r="A7401" s="1"/>
      <c r="B7401" s="1" t="s">
        <v>4688</v>
      </c>
      <c r="C7401" s="1" t="s">
        <v>4689</v>
      </c>
      <c r="D7401" s="22" t="str">
        <f>HYPERLINK("https://rhld.insurance.arkansas.gov/NPILookup?Npi=1548477722","1548477722")</f>
        <v>1548477722</v>
      </c>
      <c r="E7401" s="1" t="s">
        <v>18498</v>
      </c>
      <c r="F7401" s="2"/>
      <c r="G7401" s="2"/>
      <c r="H7401" s="2"/>
    </row>
    <row r="7402" spans="1:8" x14ac:dyDescent="0.25">
      <c r="A7402" s="1"/>
      <c r="B7402" s="1" t="s">
        <v>4688</v>
      </c>
      <c r="C7402" s="1" t="s">
        <v>4689</v>
      </c>
      <c r="D7402" s="22" t="str">
        <f>HYPERLINK("https://rhld.insurance.arkansas.gov/NPILookup?Npi=1548558612","1548558612")</f>
        <v>1548558612</v>
      </c>
      <c r="E7402" s="1" t="s">
        <v>10652</v>
      </c>
      <c r="F7402" s="2"/>
      <c r="G7402" s="2"/>
      <c r="H7402" s="2"/>
    </row>
    <row r="7403" spans="1:8" x14ac:dyDescent="0.25">
      <c r="A7403" s="1"/>
      <c r="B7403" s="1" t="s">
        <v>4688</v>
      </c>
      <c r="C7403" s="1" t="s">
        <v>4689</v>
      </c>
      <c r="D7403" s="22" t="str">
        <f>HYPERLINK("https://rhld.insurance.arkansas.gov/NPILookup?Npi=1558322016","1558322016")</f>
        <v>1558322016</v>
      </c>
      <c r="E7403" s="1" t="s">
        <v>4776</v>
      </c>
      <c r="F7403" s="2"/>
      <c r="G7403" s="2"/>
      <c r="H7403" s="2"/>
    </row>
    <row r="7404" spans="1:8" x14ac:dyDescent="0.25">
      <c r="A7404" s="1"/>
      <c r="B7404" s="1" t="s">
        <v>4688</v>
      </c>
      <c r="C7404" s="1" t="s">
        <v>4689</v>
      </c>
      <c r="D7404" s="22" t="str">
        <f>HYPERLINK("https://rhld.insurance.arkansas.gov/NPILookup?Npi=1558325654","1558325654")</f>
        <v>1558325654</v>
      </c>
      <c r="E7404" s="1" t="s">
        <v>4777</v>
      </c>
      <c r="F7404" s="2"/>
      <c r="G7404" s="2"/>
      <c r="H7404" s="2"/>
    </row>
    <row r="7405" spans="1:8" x14ac:dyDescent="0.25">
      <c r="A7405" s="1"/>
      <c r="B7405" s="1" t="s">
        <v>4688</v>
      </c>
      <c r="C7405" s="1" t="s">
        <v>4689</v>
      </c>
      <c r="D7405" s="22" t="str">
        <f>HYPERLINK("https://rhld.insurance.arkansas.gov/NPILookup?Npi=1558469833","1558469833")</f>
        <v>1558469833</v>
      </c>
      <c r="E7405" s="1" t="s">
        <v>4778</v>
      </c>
      <c r="F7405" s="2"/>
      <c r="G7405" s="2"/>
      <c r="H7405" s="2"/>
    </row>
    <row r="7406" spans="1:8" x14ac:dyDescent="0.25">
      <c r="A7406" s="1"/>
      <c r="B7406" s="1" t="s">
        <v>4688</v>
      </c>
      <c r="C7406" s="1" t="s">
        <v>4689</v>
      </c>
      <c r="D7406" s="22" t="str">
        <f>HYPERLINK("https://rhld.insurance.arkansas.gov/NPILookup?Npi=1558562710","1558562710")</f>
        <v>1558562710</v>
      </c>
      <c r="E7406" s="1" t="s">
        <v>10653</v>
      </c>
      <c r="F7406" s="2"/>
      <c r="G7406" s="2"/>
      <c r="H7406" s="2"/>
    </row>
    <row r="7407" spans="1:8" x14ac:dyDescent="0.25">
      <c r="A7407" s="1"/>
      <c r="B7407" s="1" t="s">
        <v>4688</v>
      </c>
      <c r="C7407" s="1" t="s">
        <v>4689</v>
      </c>
      <c r="D7407" s="22" t="str">
        <f>HYPERLINK("https://rhld.insurance.arkansas.gov/NPILookup?Npi=1558565200","1558565200")</f>
        <v>1558565200</v>
      </c>
      <c r="E7407" s="1" t="s">
        <v>18499</v>
      </c>
      <c r="F7407" s="2"/>
      <c r="G7407" s="2"/>
      <c r="H7407" s="2"/>
    </row>
    <row r="7408" spans="1:8" x14ac:dyDescent="0.25">
      <c r="A7408" s="1"/>
      <c r="B7408" s="1" t="s">
        <v>4688</v>
      </c>
      <c r="C7408" s="1" t="s">
        <v>4689</v>
      </c>
      <c r="D7408" s="22" t="str">
        <f>HYPERLINK("https://rhld.insurance.arkansas.gov/NPILookup?Npi=1558576041","1558576041")</f>
        <v>1558576041</v>
      </c>
      <c r="E7408" s="1" t="s">
        <v>2133</v>
      </c>
      <c r="F7408" s="2"/>
      <c r="G7408" s="2"/>
      <c r="H7408" s="2"/>
    </row>
    <row r="7409" spans="1:8" x14ac:dyDescent="0.25">
      <c r="A7409" s="1"/>
      <c r="B7409" s="1" t="s">
        <v>4688</v>
      </c>
      <c r="C7409" s="1" t="s">
        <v>4689</v>
      </c>
      <c r="D7409" s="22" t="str">
        <f>HYPERLINK("https://rhld.insurance.arkansas.gov/NPILookup?Npi=1558619213","1558619213")</f>
        <v>1558619213</v>
      </c>
      <c r="E7409" s="1" t="s">
        <v>18500</v>
      </c>
      <c r="F7409" s="2"/>
      <c r="G7409" s="2"/>
      <c r="H7409" s="2"/>
    </row>
    <row r="7410" spans="1:8" x14ac:dyDescent="0.25">
      <c r="A7410" s="1"/>
      <c r="B7410" s="1" t="s">
        <v>4688</v>
      </c>
      <c r="C7410" s="1" t="s">
        <v>4689</v>
      </c>
      <c r="D7410" s="22" t="str">
        <f>HYPERLINK("https://rhld.insurance.arkansas.gov/NPILookup?Npi=1568442184","1568442184")</f>
        <v>1568442184</v>
      </c>
      <c r="E7410" s="1" t="s">
        <v>10111</v>
      </c>
      <c r="F7410" s="2"/>
      <c r="G7410" s="2"/>
      <c r="H7410" s="2"/>
    </row>
    <row r="7411" spans="1:8" x14ac:dyDescent="0.25">
      <c r="A7411" s="1"/>
      <c r="B7411" s="1" t="s">
        <v>4688</v>
      </c>
      <c r="C7411" s="1" t="s">
        <v>4689</v>
      </c>
      <c r="D7411" s="22" t="str">
        <f>HYPERLINK("https://rhld.insurance.arkansas.gov/NPILookup?Npi=1568514644","1568514644")</f>
        <v>1568514644</v>
      </c>
      <c r="E7411" s="1" t="s">
        <v>18501</v>
      </c>
      <c r="F7411" s="2"/>
      <c r="G7411" s="2"/>
      <c r="H7411" s="2"/>
    </row>
    <row r="7412" spans="1:8" x14ac:dyDescent="0.25">
      <c r="A7412" s="1"/>
      <c r="B7412" s="1" t="s">
        <v>4688</v>
      </c>
      <c r="C7412" s="1" t="s">
        <v>4689</v>
      </c>
      <c r="D7412" s="22" t="str">
        <f>HYPERLINK("https://rhld.insurance.arkansas.gov/NPILookup?Npi=1578509659","1578509659")</f>
        <v>1578509659</v>
      </c>
      <c r="E7412" s="1" t="s">
        <v>9892</v>
      </c>
      <c r="F7412" s="2"/>
      <c r="G7412" s="2"/>
      <c r="H7412" s="2"/>
    </row>
    <row r="7413" spans="1:8" x14ac:dyDescent="0.25">
      <c r="A7413" s="1"/>
      <c r="B7413" s="1" t="s">
        <v>4688</v>
      </c>
      <c r="C7413" s="1" t="s">
        <v>4689</v>
      </c>
      <c r="D7413" s="22" t="str">
        <f>HYPERLINK("https://rhld.insurance.arkansas.gov/NPILookup?Npi=1578600946","1578600946")</f>
        <v>1578600946</v>
      </c>
      <c r="E7413" s="1" t="s">
        <v>4779</v>
      </c>
      <c r="F7413" s="2"/>
      <c r="G7413" s="2"/>
      <c r="H7413" s="2"/>
    </row>
    <row r="7414" spans="1:8" x14ac:dyDescent="0.25">
      <c r="A7414" s="1"/>
      <c r="B7414" s="1" t="s">
        <v>4688</v>
      </c>
      <c r="C7414" s="1" t="s">
        <v>4689</v>
      </c>
      <c r="D7414" s="22" t="str">
        <f>HYPERLINK("https://rhld.insurance.arkansas.gov/NPILookup?Npi=1578635025","1578635025")</f>
        <v>1578635025</v>
      </c>
      <c r="E7414" s="1" t="s">
        <v>31513</v>
      </c>
      <c r="F7414" s="2"/>
      <c r="G7414" s="2"/>
      <c r="H7414" s="2"/>
    </row>
    <row r="7415" spans="1:8" x14ac:dyDescent="0.25">
      <c r="A7415" s="1"/>
      <c r="B7415" s="1" t="s">
        <v>4688</v>
      </c>
      <c r="C7415" s="1" t="s">
        <v>4689</v>
      </c>
      <c r="D7415" s="22" t="str">
        <f>HYPERLINK("https://rhld.insurance.arkansas.gov/NPILookup?Npi=1578663191","1578663191")</f>
        <v>1578663191</v>
      </c>
      <c r="E7415" s="1" t="s">
        <v>3502</v>
      </c>
      <c r="F7415" s="2"/>
      <c r="G7415" s="2"/>
      <c r="H7415" s="2"/>
    </row>
    <row r="7416" spans="1:8" x14ac:dyDescent="0.25">
      <c r="A7416" s="1"/>
      <c r="B7416" s="1" t="s">
        <v>4688</v>
      </c>
      <c r="C7416" s="1" t="s">
        <v>4689</v>
      </c>
      <c r="D7416" s="22" t="str">
        <f>HYPERLINK("https://rhld.insurance.arkansas.gov/NPILookup?Npi=1578671756","1578671756")</f>
        <v>1578671756</v>
      </c>
      <c r="E7416" s="1" t="s">
        <v>18502</v>
      </c>
      <c r="F7416" s="2"/>
      <c r="G7416" s="2"/>
      <c r="H7416" s="2"/>
    </row>
    <row r="7417" spans="1:8" x14ac:dyDescent="0.25">
      <c r="A7417" s="1"/>
      <c r="B7417" s="1" t="s">
        <v>4688</v>
      </c>
      <c r="C7417" s="1" t="s">
        <v>4689</v>
      </c>
      <c r="D7417" s="22" t="str">
        <f>HYPERLINK("https://rhld.insurance.arkansas.gov/NPILookup?Npi=1578673836","1578673836")</f>
        <v>1578673836</v>
      </c>
      <c r="E7417" s="1" t="s">
        <v>18503</v>
      </c>
      <c r="F7417" s="2"/>
      <c r="G7417" s="2"/>
      <c r="H7417" s="2"/>
    </row>
    <row r="7418" spans="1:8" x14ac:dyDescent="0.25">
      <c r="A7418" s="1"/>
      <c r="B7418" s="1" t="s">
        <v>4688</v>
      </c>
      <c r="C7418" s="1" t="s">
        <v>4689</v>
      </c>
      <c r="D7418" s="22" t="str">
        <f>HYPERLINK("https://rhld.insurance.arkansas.gov/NPILookup?Npi=1578788402","1578788402")</f>
        <v>1578788402</v>
      </c>
      <c r="E7418" s="1" t="s">
        <v>10654</v>
      </c>
      <c r="F7418" s="2"/>
      <c r="G7418" s="2"/>
      <c r="H7418" s="2"/>
    </row>
    <row r="7419" spans="1:8" x14ac:dyDescent="0.25">
      <c r="A7419" s="1"/>
      <c r="B7419" s="1" t="s">
        <v>4688</v>
      </c>
      <c r="C7419" s="1" t="s">
        <v>4689</v>
      </c>
      <c r="D7419" s="22" t="str">
        <f>HYPERLINK("https://rhld.insurance.arkansas.gov/NPILookup?Npi=1578788535","1578788535")</f>
        <v>1578788535</v>
      </c>
      <c r="E7419" s="1" t="s">
        <v>18504</v>
      </c>
      <c r="F7419" s="2"/>
      <c r="G7419" s="2"/>
      <c r="H7419" s="2"/>
    </row>
    <row r="7420" spans="1:8" x14ac:dyDescent="0.25">
      <c r="A7420" s="1"/>
      <c r="B7420" s="1" t="s">
        <v>4688</v>
      </c>
      <c r="C7420" s="1" t="s">
        <v>4689</v>
      </c>
      <c r="D7420" s="22" t="str">
        <f>HYPERLINK("https://rhld.insurance.arkansas.gov/NPILookup?Npi=1578806899","1578806899")</f>
        <v>1578806899</v>
      </c>
      <c r="E7420" s="1" t="s">
        <v>18505</v>
      </c>
      <c r="F7420" s="2"/>
      <c r="G7420" s="2"/>
      <c r="H7420" s="2"/>
    </row>
    <row r="7421" spans="1:8" x14ac:dyDescent="0.25">
      <c r="A7421" s="1"/>
      <c r="B7421" s="1" t="s">
        <v>4688</v>
      </c>
      <c r="C7421" s="1" t="s">
        <v>4689</v>
      </c>
      <c r="D7421" s="22" t="str">
        <f>HYPERLINK("https://rhld.insurance.arkansas.gov/NPILookup?Npi=1578874749","1578874749")</f>
        <v>1578874749</v>
      </c>
      <c r="E7421" s="1" t="s">
        <v>18506</v>
      </c>
      <c r="F7421" s="2"/>
      <c r="G7421" s="2"/>
      <c r="H7421" s="2"/>
    </row>
    <row r="7422" spans="1:8" x14ac:dyDescent="0.25">
      <c r="A7422" s="1"/>
      <c r="B7422" s="1" t="s">
        <v>4688</v>
      </c>
      <c r="C7422" s="1" t="s">
        <v>4689</v>
      </c>
      <c r="D7422" s="22" t="str">
        <f>HYPERLINK("https://rhld.insurance.arkansas.gov/NPILookup?Npi=1578908901","1578908901")</f>
        <v>1578908901</v>
      </c>
      <c r="E7422" s="1" t="s">
        <v>18507</v>
      </c>
      <c r="F7422" s="2"/>
      <c r="G7422" s="2"/>
      <c r="H7422" s="2"/>
    </row>
    <row r="7423" spans="1:8" x14ac:dyDescent="0.25">
      <c r="A7423" s="1"/>
      <c r="B7423" s="1" t="s">
        <v>4688</v>
      </c>
      <c r="C7423" s="1" t="s">
        <v>4689</v>
      </c>
      <c r="D7423" s="22" t="str">
        <f>HYPERLINK("https://rhld.insurance.arkansas.gov/NPILookup?Npi=1578941969","1578941969")</f>
        <v>1578941969</v>
      </c>
      <c r="E7423" s="1" t="s">
        <v>18508</v>
      </c>
      <c r="F7423" s="2"/>
      <c r="G7423" s="2"/>
      <c r="H7423" s="2"/>
    </row>
    <row r="7424" spans="1:8" x14ac:dyDescent="0.25">
      <c r="A7424" s="1"/>
      <c r="B7424" s="1" t="s">
        <v>4688</v>
      </c>
      <c r="C7424" s="1" t="s">
        <v>4689</v>
      </c>
      <c r="D7424" s="22" t="str">
        <f>HYPERLINK("https://rhld.insurance.arkansas.gov/NPILookup?Npi=1588049712","1588049712")</f>
        <v>1588049712</v>
      </c>
      <c r="E7424" s="1" t="s">
        <v>4780</v>
      </c>
      <c r="F7424" s="2"/>
      <c r="G7424" s="2"/>
      <c r="H7424" s="2"/>
    </row>
    <row r="7425" spans="1:8" x14ac:dyDescent="0.25">
      <c r="A7425" s="1"/>
      <c r="B7425" s="1" t="s">
        <v>4688</v>
      </c>
      <c r="C7425" s="1" t="s">
        <v>4689</v>
      </c>
      <c r="D7425" s="22" t="str">
        <f>HYPERLINK("https://rhld.insurance.arkansas.gov/NPILookup?Npi=1588083927","1588083927")</f>
        <v>1588083927</v>
      </c>
      <c r="E7425" s="1" t="s">
        <v>10655</v>
      </c>
      <c r="F7425" s="2"/>
      <c r="G7425" s="2"/>
      <c r="H7425" s="2"/>
    </row>
    <row r="7426" spans="1:8" x14ac:dyDescent="0.25">
      <c r="A7426" s="1"/>
      <c r="B7426" s="1" t="s">
        <v>4688</v>
      </c>
      <c r="C7426" s="1" t="s">
        <v>4689</v>
      </c>
      <c r="D7426" s="22" t="str">
        <f>HYPERLINK("https://rhld.insurance.arkansas.gov/NPILookup?Npi=1588620363","1588620363")</f>
        <v>1588620363</v>
      </c>
      <c r="E7426" s="1" t="s">
        <v>18509</v>
      </c>
      <c r="F7426" s="2"/>
      <c r="G7426" s="2"/>
      <c r="H7426" s="2"/>
    </row>
    <row r="7427" spans="1:8" x14ac:dyDescent="0.25">
      <c r="A7427" s="1"/>
      <c r="B7427" s="1" t="s">
        <v>4688</v>
      </c>
      <c r="C7427" s="1" t="s">
        <v>4689</v>
      </c>
      <c r="D7427" s="22" t="str">
        <f>HYPERLINK("https://rhld.insurance.arkansas.gov/NPILookup?Npi=1588711469","1588711469")</f>
        <v>1588711469</v>
      </c>
      <c r="E7427" s="1" t="s">
        <v>3457</v>
      </c>
      <c r="F7427" s="2"/>
      <c r="G7427" s="2"/>
      <c r="H7427" s="2"/>
    </row>
    <row r="7428" spans="1:8" x14ac:dyDescent="0.25">
      <c r="A7428" s="1"/>
      <c r="B7428" s="1" t="s">
        <v>4688</v>
      </c>
      <c r="C7428" s="1" t="s">
        <v>4689</v>
      </c>
      <c r="D7428" s="22" t="str">
        <f>HYPERLINK("https://rhld.insurance.arkansas.gov/NPILookup?Npi=1588754154","1588754154")</f>
        <v>1588754154</v>
      </c>
      <c r="E7428" s="1" t="s">
        <v>4781</v>
      </c>
      <c r="F7428" s="2"/>
      <c r="G7428" s="2"/>
      <c r="H7428" s="2"/>
    </row>
    <row r="7429" spans="1:8" x14ac:dyDescent="0.25">
      <c r="A7429" s="1"/>
      <c r="B7429" s="1" t="s">
        <v>4688</v>
      </c>
      <c r="C7429" s="1" t="s">
        <v>4689</v>
      </c>
      <c r="D7429" s="22" t="str">
        <f>HYPERLINK("https://rhld.insurance.arkansas.gov/NPILookup?Npi=1588879845","1588879845")</f>
        <v>1588879845</v>
      </c>
      <c r="E7429" s="1" t="s">
        <v>18510</v>
      </c>
      <c r="F7429" s="2"/>
      <c r="G7429" s="2"/>
      <c r="H7429" s="2"/>
    </row>
    <row r="7430" spans="1:8" x14ac:dyDescent="0.25">
      <c r="A7430" s="1"/>
      <c r="B7430" s="1" t="s">
        <v>4688</v>
      </c>
      <c r="C7430" s="1" t="s">
        <v>4689</v>
      </c>
      <c r="D7430" s="22" t="str">
        <f>HYPERLINK("https://rhld.insurance.arkansas.gov/NPILookup?Npi=1588898761","1588898761")</f>
        <v>1588898761</v>
      </c>
      <c r="E7430" s="1" t="s">
        <v>31514</v>
      </c>
      <c r="F7430" s="2"/>
      <c r="G7430" s="2"/>
      <c r="H7430" s="2"/>
    </row>
    <row r="7431" spans="1:8" x14ac:dyDescent="0.25">
      <c r="A7431" s="1"/>
      <c r="B7431" s="1" t="s">
        <v>4688</v>
      </c>
      <c r="C7431" s="1" t="s">
        <v>4689</v>
      </c>
      <c r="D7431" s="22" t="str">
        <f>HYPERLINK("https://rhld.insurance.arkansas.gov/NPILookup?Npi=1598109514","1598109514")</f>
        <v>1598109514</v>
      </c>
      <c r="E7431" s="1" t="s">
        <v>18511</v>
      </c>
      <c r="F7431" s="2"/>
      <c r="G7431" s="2"/>
      <c r="H7431" s="2"/>
    </row>
    <row r="7432" spans="1:8" x14ac:dyDescent="0.25">
      <c r="A7432" s="1"/>
      <c r="B7432" s="1" t="s">
        <v>4688</v>
      </c>
      <c r="C7432" s="1" t="s">
        <v>4689</v>
      </c>
      <c r="D7432" s="22" t="str">
        <f>HYPERLINK("https://rhld.insurance.arkansas.gov/NPILookup?Npi=1598149239","1598149239")</f>
        <v>1598149239</v>
      </c>
      <c r="E7432" s="1" t="s">
        <v>18512</v>
      </c>
      <c r="F7432" s="2"/>
      <c r="G7432" s="2"/>
      <c r="H7432" s="2"/>
    </row>
    <row r="7433" spans="1:8" x14ac:dyDescent="0.25">
      <c r="A7433" s="1"/>
      <c r="B7433" s="1" t="s">
        <v>4688</v>
      </c>
      <c r="C7433" s="1" t="s">
        <v>4689</v>
      </c>
      <c r="D7433" s="22" t="str">
        <f>HYPERLINK("https://rhld.insurance.arkansas.gov/NPILookup?Npi=1598185084","1598185084")</f>
        <v>1598185084</v>
      </c>
      <c r="E7433" s="1" t="s">
        <v>18513</v>
      </c>
      <c r="F7433" s="2"/>
      <c r="G7433" s="2"/>
      <c r="H7433" s="2"/>
    </row>
    <row r="7434" spans="1:8" x14ac:dyDescent="0.25">
      <c r="A7434" s="1"/>
      <c r="B7434" s="1" t="s">
        <v>4688</v>
      </c>
      <c r="C7434" s="1" t="s">
        <v>4689</v>
      </c>
      <c r="D7434" s="22" t="str">
        <f>HYPERLINK("https://rhld.insurance.arkansas.gov/NPILookup?Npi=1598791303","1598791303")</f>
        <v>1598791303</v>
      </c>
      <c r="E7434" s="1" t="s">
        <v>17700</v>
      </c>
      <c r="F7434" s="2"/>
      <c r="G7434" s="2"/>
      <c r="H7434" s="2"/>
    </row>
    <row r="7435" spans="1:8" x14ac:dyDescent="0.25">
      <c r="A7435" s="1"/>
      <c r="B7435" s="1" t="s">
        <v>4688</v>
      </c>
      <c r="C7435" s="1" t="s">
        <v>4689</v>
      </c>
      <c r="D7435" s="22" t="str">
        <f>HYPERLINK("https://rhld.insurance.arkansas.gov/NPILookup?Npi=1598860272","1598860272")</f>
        <v>1598860272</v>
      </c>
      <c r="E7435" s="1" t="s">
        <v>4782</v>
      </c>
      <c r="F7435" s="2"/>
      <c r="G7435" s="2"/>
      <c r="H7435" s="2"/>
    </row>
    <row r="7436" spans="1:8" x14ac:dyDescent="0.25">
      <c r="A7436" s="1"/>
      <c r="B7436" s="1" t="s">
        <v>4688</v>
      </c>
      <c r="C7436" s="1" t="s">
        <v>4689</v>
      </c>
      <c r="D7436" s="22" t="str">
        <f>HYPERLINK("https://rhld.insurance.arkansas.gov/NPILookup?Npi=1598877805","1598877805")</f>
        <v>1598877805</v>
      </c>
      <c r="E7436" s="1" t="s">
        <v>18514</v>
      </c>
      <c r="F7436" s="2"/>
      <c r="G7436" s="2"/>
      <c r="H7436" s="2"/>
    </row>
    <row r="7437" spans="1:8" x14ac:dyDescent="0.25">
      <c r="A7437" s="1"/>
      <c r="B7437" s="1" t="s">
        <v>4688</v>
      </c>
      <c r="C7437" s="1" t="s">
        <v>4689</v>
      </c>
      <c r="D7437" s="22" t="str">
        <f>HYPERLINK("https://rhld.insurance.arkansas.gov/NPILookup?Npi=1598910283","1598910283")</f>
        <v>1598910283</v>
      </c>
      <c r="E7437" s="1" t="s">
        <v>10656</v>
      </c>
      <c r="F7437" s="2"/>
      <c r="G7437" s="2"/>
      <c r="H7437" s="2"/>
    </row>
    <row r="7438" spans="1:8" x14ac:dyDescent="0.25">
      <c r="A7438" s="1"/>
      <c r="B7438" s="1" t="s">
        <v>4688</v>
      </c>
      <c r="C7438" s="1" t="s">
        <v>4689</v>
      </c>
      <c r="D7438" s="22" t="str">
        <f>HYPERLINK("https://rhld.insurance.arkansas.gov/NPILookup?Npi=1598959959","1598959959")</f>
        <v>1598959959</v>
      </c>
      <c r="E7438" s="1" t="s">
        <v>4783</v>
      </c>
      <c r="F7438" s="2"/>
      <c r="G7438" s="2"/>
      <c r="H7438" s="2"/>
    </row>
    <row r="7439" spans="1:8" x14ac:dyDescent="0.25">
      <c r="A7439" s="1"/>
      <c r="B7439" s="1" t="s">
        <v>4688</v>
      </c>
      <c r="C7439" s="1" t="s">
        <v>4689</v>
      </c>
      <c r="D7439" s="22" t="str">
        <f>HYPERLINK("https://rhld.insurance.arkansas.gov/NPILookup?Npi=1609076058","1609076058")</f>
        <v>1609076058</v>
      </c>
      <c r="E7439" s="1" t="s">
        <v>18515</v>
      </c>
      <c r="F7439" s="2"/>
      <c r="G7439" s="2"/>
      <c r="H7439" s="2"/>
    </row>
    <row r="7440" spans="1:8" x14ac:dyDescent="0.25">
      <c r="A7440" s="1"/>
      <c r="B7440" s="1" t="s">
        <v>4688</v>
      </c>
      <c r="C7440" s="1" t="s">
        <v>4689</v>
      </c>
      <c r="D7440" s="22" t="str">
        <f>HYPERLINK("https://rhld.insurance.arkansas.gov/NPILookup?Npi=1609132554","1609132554")</f>
        <v>1609132554</v>
      </c>
      <c r="E7440" s="1" t="s">
        <v>18516</v>
      </c>
      <c r="F7440" s="2"/>
      <c r="G7440" s="2"/>
      <c r="H7440" s="2"/>
    </row>
    <row r="7441" spans="1:8" x14ac:dyDescent="0.25">
      <c r="A7441" s="1"/>
      <c r="B7441" s="1" t="s">
        <v>4688</v>
      </c>
      <c r="C7441" s="1" t="s">
        <v>4689</v>
      </c>
      <c r="D7441" s="22" t="str">
        <f>HYPERLINK("https://rhld.insurance.arkansas.gov/NPILookup?Npi=1609212935","1609212935")</f>
        <v>1609212935</v>
      </c>
      <c r="E7441" s="1" t="s">
        <v>18517</v>
      </c>
      <c r="F7441" s="2"/>
      <c r="G7441" s="2"/>
      <c r="H7441" s="2"/>
    </row>
    <row r="7442" spans="1:8" x14ac:dyDescent="0.25">
      <c r="A7442" s="1"/>
      <c r="B7442" s="1" t="s">
        <v>4688</v>
      </c>
      <c r="C7442" s="1" t="s">
        <v>4689</v>
      </c>
      <c r="D7442" s="22" t="str">
        <f>HYPERLINK("https://rhld.insurance.arkansas.gov/NPILookup?Npi=1609213230","1609213230")</f>
        <v>1609213230</v>
      </c>
      <c r="E7442" s="1" t="s">
        <v>18518</v>
      </c>
      <c r="F7442" s="2"/>
      <c r="G7442" s="2"/>
      <c r="H7442" s="2"/>
    </row>
    <row r="7443" spans="1:8" x14ac:dyDescent="0.25">
      <c r="A7443" s="1"/>
      <c r="B7443" s="1" t="s">
        <v>4688</v>
      </c>
      <c r="C7443" s="1" t="s">
        <v>4689</v>
      </c>
      <c r="D7443" s="22" t="str">
        <f>HYPERLINK("https://rhld.insurance.arkansas.gov/NPILookup?Npi=1609253285","1609253285")</f>
        <v>1609253285</v>
      </c>
      <c r="E7443" s="1" t="s">
        <v>10657</v>
      </c>
      <c r="F7443" s="2"/>
      <c r="G7443" s="2"/>
      <c r="H7443" s="2"/>
    </row>
    <row r="7444" spans="1:8" x14ac:dyDescent="0.25">
      <c r="A7444" s="1"/>
      <c r="B7444" s="1" t="s">
        <v>4688</v>
      </c>
      <c r="C7444" s="1" t="s">
        <v>4689</v>
      </c>
      <c r="D7444" s="22" t="str">
        <f>HYPERLINK("https://rhld.insurance.arkansas.gov/NPILookup?Npi=1609315951","1609315951")</f>
        <v>1609315951</v>
      </c>
      <c r="E7444" s="1" t="s">
        <v>17705</v>
      </c>
      <c r="F7444" s="2"/>
      <c r="G7444" s="2"/>
      <c r="H7444" s="2"/>
    </row>
    <row r="7445" spans="1:8" x14ac:dyDescent="0.25">
      <c r="A7445" s="1"/>
      <c r="B7445" s="1" t="s">
        <v>4688</v>
      </c>
      <c r="C7445" s="1" t="s">
        <v>4689</v>
      </c>
      <c r="D7445" s="22" t="str">
        <f>HYPERLINK("https://rhld.insurance.arkansas.gov/NPILookup?Npi=1609873488","1609873488")</f>
        <v>1609873488</v>
      </c>
      <c r="E7445" s="1" t="s">
        <v>18519</v>
      </c>
      <c r="F7445" s="2"/>
      <c r="G7445" s="2"/>
      <c r="H7445" s="2"/>
    </row>
    <row r="7446" spans="1:8" x14ac:dyDescent="0.25">
      <c r="A7446" s="1"/>
      <c r="B7446" s="1" t="s">
        <v>4688</v>
      </c>
      <c r="C7446" s="1" t="s">
        <v>4689</v>
      </c>
      <c r="D7446" s="22" t="str">
        <f>HYPERLINK("https://rhld.insurance.arkansas.gov/NPILookup?Npi=1619005469","1619005469")</f>
        <v>1619005469</v>
      </c>
      <c r="E7446" s="1" t="s">
        <v>4784</v>
      </c>
      <c r="F7446" s="2"/>
      <c r="G7446" s="2"/>
      <c r="H7446" s="2"/>
    </row>
    <row r="7447" spans="1:8" x14ac:dyDescent="0.25">
      <c r="A7447" s="1"/>
      <c r="B7447" s="1" t="s">
        <v>4688</v>
      </c>
      <c r="C7447" s="1" t="s">
        <v>4689</v>
      </c>
      <c r="D7447" s="22" t="str">
        <f>HYPERLINK("https://rhld.insurance.arkansas.gov/NPILookup?Npi=1619186053","1619186053")</f>
        <v>1619186053</v>
      </c>
      <c r="E7447" s="1" t="s">
        <v>18520</v>
      </c>
      <c r="F7447" s="2"/>
      <c r="G7447" s="2"/>
      <c r="H7447" s="2"/>
    </row>
    <row r="7448" spans="1:8" x14ac:dyDescent="0.25">
      <c r="A7448" s="1"/>
      <c r="B7448" s="1" t="s">
        <v>4688</v>
      </c>
      <c r="C7448" s="1" t="s">
        <v>4689</v>
      </c>
      <c r="D7448" s="22" t="str">
        <f>HYPERLINK("https://rhld.insurance.arkansas.gov/NPILookup?Npi=1619397809","1619397809")</f>
        <v>1619397809</v>
      </c>
      <c r="E7448" s="1" t="s">
        <v>18521</v>
      </c>
      <c r="F7448" s="2"/>
      <c r="G7448" s="2"/>
      <c r="H7448" s="2"/>
    </row>
    <row r="7449" spans="1:8" x14ac:dyDescent="0.25">
      <c r="A7449" s="1"/>
      <c r="B7449" s="1" t="s">
        <v>4688</v>
      </c>
      <c r="C7449" s="1" t="s">
        <v>4689</v>
      </c>
      <c r="D7449" s="22" t="str">
        <f>HYPERLINK("https://rhld.insurance.arkansas.gov/NPILookup?Npi=1619473378","1619473378")</f>
        <v>1619473378</v>
      </c>
      <c r="E7449" s="1" t="s">
        <v>18522</v>
      </c>
      <c r="F7449" s="2"/>
      <c r="G7449" s="2"/>
      <c r="H7449" s="2"/>
    </row>
    <row r="7450" spans="1:8" x14ac:dyDescent="0.25">
      <c r="A7450" s="1"/>
      <c r="B7450" s="1" t="s">
        <v>4688</v>
      </c>
      <c r="C7450" s="1" t="s">
        <v>4689</v>
      </c>
      <c r="D7450" s="22" t="str">
        <f>HYPERLINK("https://rhld.insurance.arkansas.gov/NPILookup?Npi=1619977758","1619977758")</f>
        <v>1619977758</v>
      </c>
      <c r="E7450" s="1" t="s">
        <v>18523</v>
      </c>
      <c r="F7450" s="2"/>
      <c r="G7450" s="2"/>
      <c r="H7450" s="2"/>
    </row>
    <row r="7451" spans="1:8" x14ac:dyDescent="0.25">
      <c r="A7451" s="1"/>
      <c r="B7451" s="1" t="s">
        <v>4688</v>
      </c>
      <c r="C7451" s="1" t="s">
        <v>4689</v>
      </c>
      <c r="D7451" s="22" t="str">
        <f>HYPERLINK("https://rhld.insurance.arkansas.gov/NPILookup?Npi=1629017587","1629017587")</f>
        <v>1629017587</v>
      </c>
      <c r="E7451" s="1" t="s">
        <v>9894</v>
      </c>
      <c r="F7451" s="2"/>
      <c r="G7451" s="2"/>
      <c r="H7451" s="2"/>
    </row>
    <row r="7452" spans="1:8" x14ac:dyDescent="0.25">
      <c r="A7452" s="1"/>
      <c r="B7452" s="1" t="s">
        <v>4688</v>
      </c>
      <c r="C7452" s="1" t="s">
        <v>4689</v>
      </c>
      <c r="D7452" s="22" t="str">
        <f>HYPERLINK("https://rhld.insurance.arkansas.gov/NPILookup?Npi=1629073119","1629073119")</f>
        <v>1629073119</v>
      </c>
      <c r="E7452" s="1" t="s">
        <v>18524</v>
      </c>
      <c r="F7452" s="2"/>
      <c r="G7452" s="2"/>
      <c r="H7452" s="2"/>
    </row>
    <row r="7453" spans="1:8" x14ac:dyDescent="0.25">
      <c r="A7453" s="1"/>
      <c r="B7453" s="1" t="s">
        <v>4688</v>
      </c>
      <c r="C7453" s="1" t="s">
        <v>4689</v>
      </c>
      <c r="D7453" s="22" t="str">
        <f>HYPERLINK("https://rhld.insurance.arkansas.gov/NPILookup?Npi=1629076195","1629076195")</f>
        <v>1629076195</v>
      </c>
      <c r="E7453" s="1" t="s">
        <v>18525</v>
      </c>
      <c r="F7453" s="2"/>
      <c r="G7453" s="2"/>
      <c r="H7453" s="2"/>
    </row>
    <row r="7454" spans="1:8" x14ac:dyDescent="0.25">
      <c r="A7454" s="1"/>
      <c r="B7454" s="1" t="s">
        <v>4688</v>
      </c>
      <c r="C7454" s="1" t="s">
        <v>4689</v>
      </c>
      <c r="D7454" s="22" t="str">
        <f>HYPERLINK("https://rhld.insurance.arkansas.gov/NPILookup?Npi=1629207840","1629207840")</f>
        <v>1629207840</v>
      </c>
      <c r="E7454" s="1" t="s">
        <v>4786</v>
      </c>
      <c r="F7454" s="2"/>
      <c r="G7454" s="2"/>
      <c r="H7454" s="2"/>
    </row>
    <row r="7455" spans="1:8" x14ac:dyDescent="0.25">
      <c r="A7455" s="1"/>
      <c r="B7455" s="1" t="s">
        <v>4688</v>
      </c>
      <c r="C7455" s="1" t="s">
        <v>4689</v>
      </c>
      <c r="D7455" s="22" t="str">
        <f>HYPERLINK("https://rhld.insurance.arkansas.gov/NPILookup?Npi=1629591821","1629591821")</f>
        <v>1629591821</v>
      </c>
      <c r="E7455" s="1" t="s">
        <v>4787</v>
      </c>
      <c r="F7455" s="2"/>
      <c r="G7455" s="2"/>
      <c r="H7455" s="2"/>
    </row>
    <row r="7456" spans="1:8" x14ac:dyDescent="0.25">
      <c r="A7456" s="1"/>
      <c r="B7456" s="1" t="s">
        <v>4688</v>
      </c>
      <c r="C7456" s="1" t="s">
        <v>4689</v>
      </c>
      <c r="D7456" s="22" t="str">
        <f>HYPERLINK("https://rhld.insurance.arkansas.gov/NPILookup?Npi=1639107394","1639107394")</f>
        <v>1639107394</v>
      </c>
      <c r="E7456" s="1" t="s">
        <v>18526</v>
      </c>
      <c r="F7456" s="2"/>
      <c r="G7456" s="2"/>
      <c r="H7456" s="2"/>
    </row>
    <row r="7457" spans="1:8" x14ac:dyDescent="0.25">
      <c r="A7457" s="1"/>
      <c r="B7457" s="1" t="s">
        <v>4688</v>
      </c>
      <c r="C7457" s="1" t="s">
        <v>4689</v>
      </c>
      <c r="D7457" s="22" t="str">
        <f>HYPERLINK("https://rhld.insurance.arkansas.gov/NPILookup?Npi=1639165608","1639165608")</f>
        <v>1639165608</v>
      </c>
      <c r="E7457" s="1" t="s">
        <v>15876</v>
      </c>
      <c r="F7457" s="2"/>
      <c r="G7457" s="2"/>
      <c r="H7457" s="2"/>
    </row>
    <row r="7458" spans="1:8" x14ac:dyDescent="0.25">
      <c r="A7458" s="1"/>
      <c r="B7458" s="1" t="s">
        <v>4688</v>
      </c>
      <c r="C7458" s="1" t="s">
        <v>4689</v>
      </c>
      <c r="D7458" s="22" t="str">
        <f>HYPERLINK("https://rhld.insurance.arkansas.gov/NPILookup?Npi=1639388358","1639388358")</f>
        <v>1639388358</v>
      </c>
      <c r="E7458" s="1" t="s">
        <v>18527</v>
      </c>
      <c r="F7458" s="2"/>
      <c r="G7458" s="2"/>
      <c r="H7458" s="2"/>
    </row>
    <row r="7459" spans="1:8" x14ac:dyDescent="0.25">
      <c r="A7459" s="1"/>
      <c r="B7459" s="1" t="s">
        <v>4688</v>
      </c>
      <c r="C7459" s="1" t="s">
        <v>4689</v>
      </c>
      <c r="D7459" s="22" t="str">
        <f>HYPERLINK("https://rhld.insurance.arkansas.gov/NPILookup?Npi=1639392400","1639392400")</f>
        <v>1639392400</v>
      </c>
      <c r="E7459" s="1" t="s">
        <v>10658</v>
      </c>
      <c r="F7459" s="2"/>
      <c r="G7459" s="2"/>
      <c r="H7459" s="2"/>
    </row>
    <row r="7460" spans="1:8" x14ac:dyDescent="0.25">
      <c r="A7460" s="1"/>
      <c r="B7460" s="1" t="s">
        <v>4688</v>
      </c>
      <c r="C7460" s="1" t="s">
        <v>4689</v>
      </c>
      <c r="D7460" s="22" t="str">
        <f>HYPERLINK("https://rhld.insurance.arkansas.gov/NPILookup?Npi=1639397383","1639397383")</f>
        <v>1639397383</v>
      </c>
      <c r="E7460" s="1" t="s">
        <v>10659</v>
      </c>
      <c r="F7460" s="2"/>
      <c r="G7460" s="2"/>
      <c r="H7460" s="2"/>
    </row>
    <row r="7461" spans="1:8" x14ac:dyDescent="0.25">
      <c r="A7461" s="1"/>
      <c r="B7461" s="1" t="s">
        <v>4688</v>
      </c>
      <c r="C7461" s="1" t="s">
        <v>4689</v>
      </c>
      <c r="D7461" s="22" t="str">
        <f>HYPERLINK("https://rhld.insurance.arkansas.gov/NPILookup?Npi=1649213455","1649213455")</f>
        <v>1649213455</v>
      </c>
      <c r="E7461" s="1" t="s">
        <v>18529</v>
      </c>
      <c r="F7461" s="2"/>
      <c r="G7461" s="2"/>
      <c r="H7461" s="2"/>
    </row>
    <row r="7462" spans="1:8" x14ac:dyDescent="0.25">
      <c r="A7462" s="1"/>
      <c r="B7462" s="1" t="s">
        <v>4688</v>
      </c>
      <c r="C7462" s="1" t="s">
        <v>4689</v>
      </c>
      <c r="D7462" s="22" t="str">
        <f>HYPERLINK("https://rhld.insurance.arkansas.gov/NPILookup?Npi=1649223033","1649223033")</f>
        <v>1649223033</v>
      </c>
      <c r="E7462" s="1" t="s">
        <v>18530</v>
      </c>
      <c r="F7462" s="2"/>
      <c r="G7462" s="2"/>
      <c r="H7462" s="2"/>
    </row>
    <row r="7463" spans="1:8" x14ac:dyDescent="0.25">
      <c r="A7463" s="1"/>
      <c r="B7463" s="1" t="s">
        <v>4688</v>
      </c>
      <c r="C7463" s="1" t="s">
        <v>4689</v>
      </c>
      <c r="D7463" s="22" t="str">
        <f>HYPERLINK("https://rhld.insurance.arkansas.gov/NPILookup?Npi=1649290321","1649290321")</f>
        <v>1649290321</v>
      </c>
      <c r="E7463" s="1" t="s">
        <v>18531</v>
      </c>
      <c r="F7463" s="2"/>
      <c r="G7463" s="2"/>
      <c r="H7463" s="2"/>
    </row>
    <row r="7464" spans="1:8" x14ac:dyDescent="0.25">
      <c r="A7464" s="1"/>
      <c r="B7464" s="1" t="s">
        <v>4688</v>
      </c>
      <c r="C7464" s="1" t="s">
        <v>4689</v>
      </c>
      <c r="D7464" s="22" t="str">
        <f>HYPERLINK("https://rhld.insurance.arkansas.gov/NPILookup?Npi=1649657198","1649657198")</f>
        <v>1649657198</v>
      </c>
      <c r="E7464" s="1" t="s">
        <v>18532</v>
      </c>
      <c r="F7464" s="2"/>
      <c r="G7464" s="2"/>
      <c r="H7464" s="2"/>
    </row>
    <row r="7465" spans="1:8" x14ac:dyDescent="0.25">
      <c r="A7465" s="1"/>
      <c r="B7465" s="1" t="s">
        <v>4688</v>
      </c>
      <c r="C7465" s="1" t="s">
        <v>4689</v>
      </c>
      <c r="D7465" s="22" t="str">
        <f>HYPERLINK("https://rhld.insurance.arkansas.gov/NPILookup?Npi=1649699620","1649699620")</f>
        <v>1649699620</v>
      </c>
      <c r="E7465" s="1" t="s">
        <v>31515</v>
      </c>
      <c r="F7465" s="2"/>
      <c r="G7465" s="2"/>
      <c r="H7465" s="2"/>
    </row>
    <row r="7466" spans="1:8" x14ac:dyDescent="0.25">
      <c r="A7466" s="1"/>
      <c r="B7466" s="1" t="s">
        <v>4688</v>
      </c>
      <c r="C7466" s="1" t="s">
        <v>4689</v>
      </c>
      <c r="D7466" s="22" t="str">
        <f>HYPERLINK("https://rhld.insurance.arkansas.gov/NPILookup?Npi=1659317436","1659317436")</f>
        <v>1659317436</v>
      </c>
      <c r="E7466" s="1" t="s">
        <v>16202</v>
      </c>
      <c r="F7466" s="2"/>
      <c r="G7466" s="2"/>
      <c r="H7466" s="2"/>
    </row>
    <row r="7467" spans="1:8" x14ac:dyDescent="0.25">
      <c r="A7467" s="1"/>
      <c r="B7467" s="1" t="s">
        <v>4688</v>
      </c>
      <c r="C7467" s="1" t="s">
        <v>4689</v>
      </c>
      <c r="D7467" s="22" t="str">
        <f>HYPERLINK("https://rhld.insurance.arkansas.gov/NPILookup?Npi=1659385821","1659385821")</f>
        <v>1659385821</v>
      </c>
      <c r="E7467" s="1" t="s">
        <v>18533</v>
      </c>
      <c r="F7467" s="2"/>
      <c r="G7467" s="2"/>
      <c r="H7467" s="2"/>
    </row>
    <row r="7468" spans="1:8" x14ac:dyDescent="0.25">
      <c r="A7468" s="1"/>
      <c r="B7468" s="1" t="s">
        <v>4688</v>
      </c>
      <c r="C7468" s="1" t="s">
        <v>4689</v>
      </c>
      <c r="D7468" s="22" t="str">
        <f>HYPERLINK("https://rhld.insurance.arkansas.gov/NPILookup?Npi=1659441889","1659441889")</f>
        <v>1659441889</v>
      </c>
      <c r="E7468" s="1" t="s">
        <v>18534</v>
      </c>
      <c r="F7468" s="2"/>
      <c r="G7468" s="2"/>
      <c r="H7468" s="2"/>
    </row>
    <row r="7469" spans="1:8" x14ac:dyDescent="0.25">
      <c r="A7469" s="1"/>
      <c r="B7469" s="1" t="s">
        <v>4688</v>
      </c>
      <c r="C7469" s="1" t="s">
        <v>4689</v>
      </c>
      <c r="D7469" s="22" t="str">
        <f>HYPERLINK("https://rhld.insurance.arkansas.gov/NPILookup?Npi=1659487072","1659487072")</f>
        <v>1659487072</v>
      </c>
      <c r="E7469" s="1" t="s">
        <v>18535</v>
      </c>
      <c r="F7469" s="2"/>
      <c r="G7469" s="2"/>
      <c r="H7469" s="2"/>
    </row>
    <row r="7470" spans="1:8" x14ac:dyDescent="0.25">
      <c r="A7470" s="1"/>
      <c r="B7470" s="1" t="s">
        <v>4688</v>
      </c>
      <c r="C7470" s="1" t="s">
        <v>4689</v>
      </c>
      <c r="D7470" s="22" t="str">
        <f>HYPERLINK("https://rhld.insurance.arkansas.gov/NPILookup?Npi=1659513133","1659513133")</f>
        <v>1659513133</v>
      </c>
      <c r="E7470" s="1" t="s">
        <v>18536</v>
      </c>
      <c r="F7470" s="2"/>
      <c r="G7470" s="2"/>
      <c r="H7470" s="2"/>
    </row>
    <row r="7471" spans="1:8" x14ac:dyDescent="0.25">
      <c r="A7471" s="1"/>
      <c r="B7471" s="1" t="s">
        <v>4688</v>
      </c>
      <c r="C7471" s="1" t="s">
        <v>4689</v>
      </c>
      <c r="D7471" s="22" t="str">
        <f>HYPERLINK("https://rhld.insurance.arkansas.gov/NPILookup?Npi=1659531861","1659531861")</f>
        <v>1659531861</v>
      </c>
      <c r="E7471" s="1" t="s">
        <v>18537</v>
      </c>
      <c r="F7471" s="2"/>
      <c r="G7471" s="2"/>
      <c r="H7471" s="2"/>
    </row>
    <row r="7472" spans="1:8" x14ac:dyDescent="0.25">
      <c r="A7472" s="1"/>
      <c r="B7472" s="1" t="s">
        <v>4688</v>
      </c>
      <c r="C7472" s="1" t="s">
        <v>4689</v>
      </c>
      <c r="D7472" s="22" t="str">
        <f>HYPERLINK("https://rhld.insurance.arkansas.gov/NPILookup?Npi=1659560597","1659560597")</f>
        <v>1659560597</v>
      </c>
      <c r="E7472" s="1" t="s">
        <v>16018</v>
      </c>
      <c r="F7472" s="2"/>
      <c r="G7472" s="2"/>
      <c r="H7472" s="2"/>
    </row>
    <row r="7473" spans="1:8" x14ac:dyDescent="0.25">
      <c r="A7473" s="1"/>
      <c r="B7473" s="1" t="s">
        <v>4688</v>
      </c>
      <c r="C7473" s="1" t="s">
        <v>4689</v>
      </c>
      <c r="D7473" s="22" t="str">
        <f>HYPERLINK("https://rhld.insurance.arkansas.gov/NPILookup?Npi=1659565729","1659565729")</f>
        <v>1659565729</v>
      </c>
      <c r="E7473" s="1" t="s">
        <v>10661</v>
      </c>
      <c r="F7473" s="2"/>
      <c r="G7473" s="2"/>
      <c r="H7473" s="2"/>
    </row>
    <row r="7474" spans="1:8" x14ac:dyDescent="0.25">
      <c r="A7474" s="1"/>
      <c r="B7474" s="1" t="s">
        <v>4688</v>
      </c>
      <c r="C7474" s="1" t="s">
        <v>4689</v>
      </c>
      <c r="D7474" s="22" t="str">
        <f>HYPERLINK("https://rhld.insurance.arkansas.gov/NPILookup?Npi=1659698280","1659698280")</f>
        <v>1659698280</v>
      </c>
      <c r="E7474" s="1" t="s">
        <v>10662</v>
      </c>
      <c r="F7474" s="2"/>
      <c r="G7474" s="2"/>
      <c r="H7474" s="2"/>
    </row>
    <row r="7475" spans="1:8" x14ac:dyDescent="0.25">
      <c r="A7475" s="1"/>
      <c r="B7475" s="1" t="s">
        <v>4688</v>
      </c>
      <c r="C7475" s="1" t="s">
        <v>4689</v>
      </c>
      <c r="D7475" s="22" t="str">
        <f>HYPERLINK("https://rhld.insurance.arkansas.gov/NPILookup?Npi=1669909255","1669909255")</f>
        <v>1669909255</v>
      </c>
      <c r="E7475" s="1" t="s">
        <v>18538</v>
      </c>
      <c r="F7475" s="2"/>
      <c r="G7475" s="2"/>
      <c r="H7475" s="2"/>
    </row>
    <row r="7476" spans="1:8" x14ac:dyDescent="0.25">
      <c r="A7476" s="1"/>
      <c r="B7476" s="1" t="s">
        <v>4688</v>
      </c>
      <c r="C7476" s="1" t="s">
        <v>4689</v>
      </c>
      <c r="D7476" s="22" t="str">
        <f>HYPERLINK("https://rhld.insurance.arkansas.gov/NPILookup?Npi=1679006787","1679006787")</f>
        <v>1679006787</v>
      </c>
      <c r="E7476" s="1" t="s">
        <v>10663</v>
      </c>
      <c r="F7476" s="2"/>
      <c r="G7476" s="2"/>
      <c r="H7476" s="2"/>
    </row>
    <row r="7477" spans="1:8" x14ac:dyDescent="0.25">
      <c r="A7477" s="1"/>
      <c r="B7477" s="1" t="s">
        <v>4688</v>
      </c>
      <c r="C7477" s="1" t="s">
        <v>4689</v>
      </c>
      <c r="D7477" s="22" t="str">
        <f>HYPERLINK("https://rhld.insurance.arkansas.gov/NPILookup?Npi=1679573638","1679573638")</f>
        <v>1679573638</v>
      </c>
      <c r="E7477" s="1" t="s">
        <v>18539</v>
      </c>
      <c r="F7477" s="2"/>
      <c r="G7477" s="2"/>
      <c r="H7477" s="2"/>
    </row>
    <row r="7478" spans="1:8" x14ac:dyDescent="0.25">
      <c r="A7478" s="1"/>
      <c r="B7478" s="1" t="s">
        <v>4688</v>
      </c>
      <c r="C7478" s="1" t="s">
        <v>4689</v>
      </c>
      <c r="D7478" s="22" t="str">
        <f>HYPERLINK("https://rhld.insurance.arkansas.gov/NPILookup?Npi=1679683957","1679683957")</f>
        <v>1679683957</v>
      </c>
      <c r="E7478" s="1" t="s">
        <v>4789</v>
      </c>
      <c r="F7478" s="2"/>
      <c r="G7478" s="2"/>
      <c r="H7478" s="2"/>
    </row>
    <row r="7479" spans="1:8" x14ac:dyDescent="0.25">
      <c r="A7479" s="1"/>
      <c r="B7479" s="1" t="s">
        <v>4688</v>
      </c>
      <c r="C7479" s="1" t="s">
        <v>4689</v>
      </c>
      <c r="D7479" s="22" t="str">
        <f>HYPERLINK("https://rhld.insurance.arkansas.gov/NPILookup?Npi=1679708960","1679708960")</f>
        <v>1679708960</v>
      </c>
      <c r="E7479" s="1" t="s">
        <v>31516</v>
      </c>
      <c r="F7479" s="2"/>
      <c r="G7479" s="2"/>
      <c r="H7479" s="2"/>
    </row>
    <row r="7480" spans="1:8" x14ac:dyDescent="0.25">
      <c r="A7480" s="1"/>
      <c r="B7480" s="1" t="s">
        <v>4688</v>
      </c>
      <c r="C7480" s="1" t="s">
        <v>4689</v>
      </c>
      <c r="D7480" s="22" t="str">
        <f>HYPERLINK("https://rhld.insurance.arkansas.gov/NPILookup?Npi=1679734099","1679734099")</f>
        <v>1679734099</v>
      </c>
      <c r="E7480" s="1" t="s">
        <v>10664</v>
      </c>
      <c r="F7480" s="2"/>
      <c r="G7480" s="2"/>
      <c r="H7480" s="2"/>
    </row>
    <row r="7481" spans="1:8" x14ac:dyDescent="0.25">
      <c r="A7481" s="1"/>
      <c r="B7481" s="1" t="s">
        <v>4688</v>
      </c>
      <c r="C7481" s="1" t="s">
        <v>4689</v>
      </c>
      <c r="D7481" s="22" t="str">
        <f>HYPERLINK("https://rhld.insurance.arkansas.gov/NPILookup?Npi=1679865935","1679865935")</f>
        <v>1679865935</v>
      </c>
      <c r="E7481" s="1" t="s">
        <v>18540</v>
      </c>
      <c r="F7481" s="2"/>
      <c r="G7481" s="2"/>
      <c r="H7481" s="2"/>
    </row>
    <row r="7482" spans="1:8" x14ac:dyDescent="0.25">
      <c r="A7482" s="1"/>
      <c r="B7482" s="1" t="s">
        <v>4688</v>
      </c>
      <c r="C7482" s="1" t="s">
        <v>4689</v>
      </c>
      <c r="D7482" s="22" t="str">
        <f>HYPERLINK("https://rhld.insurance.arkansas.gov/NPILookup?Npi=1679991269","1679991269")</f>
        <v>1679991269</v>
      </c>
      <c r="E7482" s="1" t="s">
        <v>31517</v>
      </c>
      <c r="F7482" s="2"/>
      <c r="G7482" s="2"/>
      <c r="H7482" s="2"/>
    </row>
    <row r="7483" spans="1:8" x14ac:dyDescent="0.25">
      <c r="A7483" s="1"/>
      <c r="B7483" s="1" t="s">
        <v>4688</v>
      </c>
      <c r="C7483" s="1" t="s">
        <v>4689</v>
      </c>
      <c r="D7483" s="22" t="str">
        <f>HYPERLINK("https://rhld.insurance.arkansas.gov/NPILookup?Npi=1689093577","1689093577")</f>
        <v>1689093577</v>
      </c>
      <c r="E7483" s="1" t="s">
        <v>10409</v>
      </c>
      <c r="F7483" s="2"/>
      <c r="G7483" s="2"/>
      <c r="H7483" s="2"/>
    </row>
    <row r="7484" spans="1:8" x14ac:dyDescent="0.25">
      <c r="A7484" s="1"/>
      <c r="B7484" s="1" t="s">
        <v>4688</v>
      </c>
      <c r="C7484" s="1" t="s">
        <v>4689</v>
      </c>
      <c r="D7484" s="22" t="str">
        <f>HYPERLINK("https://rhld.insurance.arkansas.gov/NPILookup?Npi=1689644965","1689644965")</f>
        <v>1689644965</v>
      </c>
      <c r="E7484" s="1" t="s">
        <v>10665</v>
      </c>
      <c r="F7484" s="2"/>
      <c r="G7484" s="2"/>
      <c r="H7484" s="2"/>
    </row>
    <row r="7485" spans="1:8" x14ac:dyDescent="0.25">
      <c r="A7485" s="1"/>
      <c r="B7485" s="1" t="s">
        <v>4688</v>
      </c>
      <c r="C7485" s="1" t="s">
        <v>4689</v>
      </c>
      <c r="D7485" s="22" t="str">
        <f>HYPERLINK("https://rhld.insurance.arkansas.gov/NPILookup?Npi=1689662090","1689662090")</f>
        <v>1689662090</v>
      </c>
      <c r="E7485" s="1" t="s">
        <v>31518</v>
      </c>
      <c r="F7485" s="2"/>
      <c r="G7485" s="2"/>
      <c r="H7485" s="2"/>
    </row>
    <row r="7486" spans="1:8" x14ac:dyDescent="0.25">
      <c r="A7486" s="1"/>
      <c r="B7486" s="1" t="s">
        <v>4688</v>
      </c>
      <c r="C7486" s="1" t="s">
        <v>4689</v>
      </c>
      <c r="D7486" s="22" t="str">
        <f>HYPERLINK("https://rhld.insurance.arkansas.gov/NPILookup?Npi=1689675100","1689675100")</f>
        <v>1689675100</v>
      </c>
      <c r="E7486" s="1" t="s">
        <v>18542</v>
      </c>
      <c r="F7486" s="2"/>
      <c r="G7486" s="2"/>
      <c r="H7486" s="2"/>
    </row>
    <row r="7487" spans="1:8" x14ac:dyDescent="0.25">
      <c r="A7487" s="1"/>
      <c r="B7487" s="1" t="s">
        <v>4688</v>
      </c>
      <c r="C7487" s="1" t="s">
        <v>4689</v>
      </c>
      <c r="D7487" s="22" t="str">
        <f>HYPERLINK("https://rhld.insurance.arkansas.gov/NPILookup?Npi=1689815227","1689815227")</f>
        <v>1689815227</v>
      </c>
      <c r="E7487" s="1" t="s">
        <v>10666</v>
      </c>
      <c r="F7487" s="2"/>
      <c r="G7487" s="2"/>
      <c r="H7487" s="2"/>
    </row>
    <row r="7488" spans="1:8" x14ac:dyDescent="0.25">
      <c r="A7488" s="1"/>
      <c r="B7488" s="1" t="s">
        <v>4688</v>
      </c>
      <c r="C7488" s="1" t="s">
        <v>4689</v>
      </c>
      <c r="D7488" s="22" t="str">
        <f>HYPERLINK("https://rhld.insurance.arkansas.gov/NPILookup?Npi=1699743831","1699743831")</f>
        <v>1699743831</v>
      </c>
      <c r="E7488" s="1" t="s">
        <v>10667</v>
      </c>
      <c r="F7488" s="2"/>
      <c r="G7488" s="2"/>
      <c r="H7488" s="2"/>
    </row>
    <row r="7489" spans="1:8" x14ac:dyDescent="0.25">
      <c r="A7489" s="1"/>
      <c r="B7489" s="1" t="s">
        <v>4688</v>
      </c>
      <c r="C7489" s="1" t="s">
        <v>4689</v>
      </c>
      <c r="D7489" s="22" t="str">
        <f>HYPERLINK("https://rhld.insurance.arkansas.gov/NPILookup?Npi=1699988949","1699988949")</f>
        <v>1699988949</v>
      </c>
      <c r="E7489" s="1" t="s">
        <v>4790</v>
      </c>
      <c r="F7489" s="2"/>
      <c r="G7489" s="2"/>
      <c r="H7489" s="2"/>
    </row>
    <row r="7490" spans="1:8" x14ac:dyDescent="0.25">
      <c r="A7490" s="1"/>
      <c r="B7490" s="1" t="s">
        <v>4688</v>
      </c>
      <c r="C7490" s="1" t="s">
        <v>4689</v>
      </c>
      <c r="D7490" s="22" t="str">
        <f>HYPERLINK("https://rhld.insurance.arkansas.gov/NPILookup?Npi=1700046737","1700046737")</f>
        <v>1700046737</v>
      </c>
      <c r="E7490" s="1" t="s">
        <v>4791</v>
      </c>
      <c r="F7490" s="2"/>
      <c r="G7490" s="2"/>
      <c r="H7490" s="2"/>
    </row>
    <row r="7491" spans="1:8" x14ac:dyDescent="0.25">
      <c r="A7491" s="1"/>
      <c r="B7491" s="1" t="s">
        <v>4688</v>
      </c>
      <c r="C7491" s="1" t="s">
        <v>4689</v>
      </c>
      <c r="D7491" s="22" t="str">
        <f>HYPERLINK("https://rhld.insurance.arkansas.gov/NPILookup?Npi=1700178746","1700178746")</f>
        <v>1700178746</v>
      </c>
      <c r="E7491" s="1" t="s">
        <v>18543</v>
      </c>
      <c r="F7491" s="2"/>
      <c r="G7491" s="2"/>
      <c r="H7491" s="2"/>
    </row>
    <row r="7492" spans="1:8" x14ac:dyDescent="0.25">
      <c r="A7492" s="1"/>
      <c r="B7492" s="1" t="s">
        <v>4688</v>
      </c>
      <c r="C7492" s="1" t="s">
        <v>4689</v>
      </c>
      <c r="D7492" s="22" t="str">
        <f>HYPERLINK("https://rhld.insurance.arkansas.gov/NPILookup?Npi=1700264678","1700264678")</f>
        <v>1700264678</v>
      </c>
      <c r="E7492" s="1" t="s">
        <v>10669</v>
      </c>
      <c r="F7492" s="2"/>
      <c r="G7492" s="2"/>
      <c r="H7492" s="2"/>
    </row>
    <row r="7493" spans="1:8" x14ac:dyDescent="0.25">
      <c r="A7493" s="1"/>
      <c r="B7493" s="1" t="s">
        <v>4688</v>
      </c>
      <c r="C7493" s="1" t="s">
        <v>4689</v>
      </c>
      <c r="D7493" s="22" t="str">
        <f>HYPERLINK("https://rhld.insurance.arkansas.gov/NPILookup?Npi=1700270600","1700270600")</f>
        <v>1700270600</v>
      </c>
      <c r="E7493" s="1" t="s">
        <v>4792</v>
      </c>
      <c r="F7493" s="2"/>
      <c r="G7493" s="2"/>
      <c r="H7493" s="2"/>
    </row>
    <row r="7494" spans="1:8" x14ac:dyDescent="0.25">
      <c r="A7494" s="1"/>
      <c r="B7494" s="1" t="s">
        <v>4688</v>
      </c>
      <c r="C7494" s="1" t="s">
        <v>4689</v>
      </c>
      <c r="D7494" s="22" t="str">
        <f>HYPERLINK("https://rhld.insurance.arkansas.gov/NPILookup?Npi=1700849759","1700849759")</f>
        <v>1700849759</v>
      </c>
      <c r="E7494" s="1" t="s">
        <v>31519</v>
      </c>
      <c r="F7494" s="2"/>
      <c r="G7494" s="2"/>
      <c r="H7494" s="2"/>
    </row>
    <row r="7495" spans="1:8" x14ac:dyDescent="0.25">
      <c r="A7495" s="1"/>
      <c r="B7495" s="1" t="s">
        <v>4688</v>
      </c>
      <c r="C7495" s="1" t="s">
        <v>4689</v>
      </c>
      <c r="D7495" s="22" t="str">
        <f>HYPERLINK("https://rhld.insurance.arkansas.gov/NPILookup?Npi=1700892387","1700892387")</f>
        <v>1700892387</v>
      </c>
      <c r="E7495" s="1" t="s">
        <v>428</v>
      </c>
      <c r="F7495" s="2"/>
      <c r="G7495" s="2"/>
      <c r="H7495" s="2"/>
    </row>
    <row r="7496" spans="1:8" x14ac:dyDescent="0.25">
      <c r="A7496" s="1"/>
      <c r="B7496" s="1" t="s">
        <v>4688</v>
      </c>
      <c r="C7496" s="1" t="s">
        <v>4689</v>
      </c>
      <c r="D7496" s="22" t="str">
        <f>HYPERLINK("https://rhld.insurance.arkansas.gov/NPILookup?Npi=1710037353","1710037353")</f>
        <v>1710037353</v>
      </c>
      <c r="E7496" s="1" t="s">
        <v>18545</v>
      </c>
      <c r="F7496" s="2"/>
      <c r="G7496" s="2"/>
      <c r="H7496" s="2"/>
    </row>
    <row r="7497" spans="1:8" x14ac:dyDescent="0.25">
      <c r="A7497" s="1"/>
      <c r="B7497" s="1" t="s">
        <v>4688</v>
      </c>
      <c r="C7497" s="1" t="s">
        <v>4689</v>
      </c>
      <c r="D7497" s="22" t="str">
        <f>HYPERLINK("https://rhld.insurance.arkansas.gov/NPILookup?Npi=1710253117","1710253117")</f>
        <v>1710253117</v>
      </c>
      <c r="E7497" s="1" t="s">
        <v>16607</v>
      </c>
      <c r="F7497" s="2"/>
      <c r="G7497" s="2"/>
      <c r="H7497" s="2"/>
    </row>
    <row r="7498" spans="1:8" x14ac:dyDescent="0.25">
      <c r="A7498" s="1"/>
      <c r="B7498" s="1" t="s">
        <v>4688</v>
      </c>
      <c r="C7498" s="1" t="s">
        <v>4689</v>
      </c>
      <c r="D7498" s="22" t="str">
        <f>HYPERLINK("https://rhld.insurance.arkansas.gov/NPILookup?Npi=1710321989","1710321989")</f>
        <v>1710321989</v>
      </c>
      <c r="E7498" s="1" t="s">
        <v>4793</v>
      </c>
      <c r="F7498" s="2"/>
      <c r="G7498" s="2"/>
      <c r="H7498" s="2"/>
    </row>
    <row r="7499" spans="1:8" x14ac:dyDescent="0.25">
      <c r="A7499" s="1"/>
      <c r="B7499" s="1" t="s">
        <v>4688</v>
      </c>
      <c r="C7499" s="1" t="s">
        <v>4689</v>
      </c>
      <c r="D7499" s="22" t="str">
        <f>HYPERLINK("https://rhld.insurance.arkansas.gov/NPILookup?Npi=1710566955","1710566955")</f>
        <v>1710566955</v>
      </c>
      <c r="E7499" s="1" t="s">
        <v>18546</v>
      </c>
      <c r="F7499" s="2"/>
      <c r="G7499" s="2"/>
      <c r="H7499" s="2"/>
    </row>
    <row r="7500" spans="1:8" x14ac:dyDescent="0.25">
      <c r="A7500" s="1"/>
      <c r="B7500" s="1" t="s">
        <v>4688</v>
      </c>
      <c r="C7500" s="1" t="s">
        <v>4689</v>
      </c>
      <c r="D7500" s="22" t="str">
        <f>HYPERLINK("https://rhld.insurance.arkansas.gov/NPILookup?Npi=1710913082","1710913082")</f>
        <v>1710913082</v>
      </c>
      <c r="E7500" s="1" t="s">
        <v>18547</v>
      </c>
      <c r="F7500" s="2"/>
      <c r="G7500" s="2"/>
      <c r="H7500" s="2"/>
    </row>
    <row r="7501" spans="1:8" x14ac:dyDescent="0.25">
      <c r="A7501" s="1"/>
      <c r="B7501" s="1" t="s">
        <v>4688</v>
      </c>
      <c r="C7501" s="1" t="s">
        <v>4689</v>
      </c>
      <c r="D7501" s="22" t="str">
        <f>HYPERLINK("https://rhld.insurance.arkansas.gov/NPILookup?Npi=1720018310","1720018310")</f>
        <v>1720018310</v>
      </c>
      <c r="E7501" s="1" t="s">
        <v>4465</v>
      </c>
      <c r="F7501" s="2"/>
      <c r="G7501" s="2"/>
      <c r="H7501" s="2"/>
    </row>
    <row r="7502" spans="1:8" x14ac:dyDescent="0.25">
      <c r="A7502" s="1"/>
      <c r="B7502" s="1" t="s">
        <v>4688</v>
      </c>
      <c r="C7502" s="1" t="s">
        <v>4689</v>
      </c>
      <c r="D7502" s="22" t="str">
        <f>HYPERLINK("https://rhld.insurance.arkansas.gov/NPILookup?Npi=1720020647","1720020647")</f>
        <v>1720020647</v>
      </c>
      <c r="E7502" s="1" t="s">
        <v>18548</v>
      </c>
      <c r="F7502" s="2"/>
      <c r="G7502" s="2"/>
      <c r="H7502" s="2"/>
    </row>
    <row r="7503" spans="1:8" x14ac:dyDescent="0.25">
      <c r="A7503" s="1"/>
      <c r="B7503" s="1" t="s">
        <v>4688</v>
      </c>
      <c r="C7503" s="1" t="s">
        <v>4689</v>
      </c>
      <c r="D7503" s="22" t="str">
        <f>HYPERLINK("https://rhld.insurance.arkansas.gov/NPILookup?Npi=1720289945","1720289945")</f>
        <v>1720289945</v>
      </c>
      <c r="E7503" s="1" t="s">
        <v>4794</v>
      </c>
      <c r="F7503" s="2"/>
      <c r="G7503" s="2"/>
      <c r="H7503" s="2"/>
    </row>
    <row r="7504" spans="1:8" x14ac:dyDescent="0.25">
      <c r="A7504" s="1"/>
      <c r="B7504" s="1" t="s">
        <v>4688</v>
      </c>
      <c r="C7504" s="1" t="s">
        <v>4689</v>
      </c>
      <c r="D7504" s="22" t="str">
        <f>HYPERLINK("https://rhld.insurance.arkansas.gov/NPILookup?Npi=1720399967","1720399967")</f>
        <v>1720399967</v>
      </c>
      <c r="E7504" s="1" t="s">
        <v>18549</v>
      </c>
      <c r="F7504" s="2"/>
      <c r="G7504" s="2"/>
      <c r="H7504" s="2"/>
    </row>
    <row r="7505" spans="1:8" x14ac:dyDescent="0.25">
      <c r="A7505" s="1"/>
      <c r="B7505" s="1" t="s">
        <v>4688</v>
      </c>
      <c r="C7505" s="1" t="s">
        <v>4689</v>
      </c>
      <c r="D7505" s="22" t="str">
        <f>HYPERLINK("https://rhld.insurance.arkansas.gov/NPILookup?Npi=1730163452","1730163452")</f>
        <v>1730163452</v>
      </c>
      <c r="E7505" s="1" t="s">
        <v>18550</v>
      </c>
      <c r="F7505" s="2"/>
      <c r="G7505" s="2"/>
      <c r="H7505" s="2"/>
    </row>
    <row r="7506" spans="1:8" x14ac:dyDescent="0.25">
      <c r="A7506" s="1"/>
      <c r="B7506" s="1" t="s">
        <v>4688</v>
      </c>
      <c r="C7506" s="1" t="s">
        <v>4689</v>
      </c>
      <c r="D7506" s="22" t="str">
        <f>HYPERLINK("https://rhld.insurance.arkansas.gov/NPILookup?Npi=1730297979","1730297979")</f>
        <v>1730297979</v>
      </c>
      <c r="E7506" s="1" t="s">
        <v>147</v>
      </c>
      <c r="F7506" s="2"/>
      <c r="G7506" s="2"/>
      <c r="H7506" s="2"/>
    </row>
    <row r="7507" spans="1:8" x14ac:dyDescent="0.25">
      <c r="A7507" s="1"/>
      <c r="B7507" s="1" t="s">
        <v>4688</v>
      </c>
      <c r="C7507" s="1" t="s">
        <v>4689</v>
      </c>
      <c r="D7507" s="22" t="str">
        <f>HYPERLINK("https://rhld.insurance.arkansas.gov/NPILookup?Npi=1730346180","1730346180")</f>
        <v>1730346180</v>
      </c>
      <c r="E7507" s="1" t="s">
        <v>18552</v>
      </c>
      <c r="F7507" s="2"/>
      <c r="G7507" s="2"/>
      <c r="H7507" s="2"/>
    </row>
    <row r="7508" spans="1:8" x14ac:dyDescent="0.25">
      <c r="A7508" s="1"/>
      <c r="B7508" s="1" t="s">
        <v>4688</v>
      </c>
      <c r="C7508" s="1" t="s">
        <v>4689</v>
      </c>
      <c r="D7508" s="22" t="str">
        <f>HYPERLINK("https://rhld.insurance.arkansas.gov/NPILookup?Npi=1730471376","1730471376")</f>
        <v>1730471376</v>
      </c>
      <c r="E7508" s="1" t="s">
        <v>18553</v>
      </c>
      <c r="F7508" s="2"/>
      <c r="G7508" s="2"/>
      <c r="H7508" s="2"/>
    </row>
    <row r="7509" spans="1:8" x14ac:dyDescent="0.25">
      <c r="A7509" s="1"/>
      <c r="B7509" s="1" t="s">
        <v>4688</v>
      </c>
      <c r="C7509" s="1" t="s">
        <v>4689</v>
      </c>
      <c r="D7509" s="22" t="str">
        <f>HYPERLINK("https://rhld.insurance.arkansas.gov/NPILookup?Npi=1730476367","1730476367")</f>
        <v>1730476367</v>
      </c>
      <c r="E7509" s="1" t="s">
        <v>4796</v>
      </c>
      <c r="F7509" s="2"/>
      <c r="G7509" s="2"/>
      <c r="H7509" s="2"/>
    </row>
    <row r="7510" spans="1:8" x14ac:dyDescent="0.25">
      <c r="A7510" s="1"/>
      <c r="B7510" s="1" t="s">
        <v>4688</v>
      </c>
      <c r="C7510" s="1" t="s">
        <v>4689</v>
      </c>
      <c r="D7510" s="22" t="str">
        <f>HYPERLINK("https://rhld.insurance.arkansas.gov/NPILookup?Npi=1740223924","1740223924")</f>
        <v>1740223924</v>
      </c>
      <c r="E7510" s="1" t="s">
        <v>10670</v>
      </c>
      <c r="F7510" s="2"/>
      <c r="G7510" s="2"/>
      <c r="H7510" s="2"/>
    </row>
    <row r="7511" spans="1:8" x14ac:dyDescent="0.25">
      <c r="A7511" s="1"/>
      <c r="B7511" s="1" t="s">
        <v>4688</v>
      </c>
      <c r="C7511" s="1" t="s">
        <v>4689</v>
      </c>
      <c r="D7511" s="22" t="str">
        <f>HYPERLINK("https://rhld.insurance.arkansas.gov/NPILookup?Npi=1740252873","1740252873")</f>
        <v>1740252873</v>
      </c>
      <c r="E7511" s="1" t="s">
        <v>18554</v>
      </c>
      <c r="F7511" s="2"/>
      <c r="G7511" s="2"/>
      <c r="H7511" s="2"/>
    </row>
    <row r="7512" spans="1:8" x14ac:dyDescent="0.25">
      <c r="A7512" s="1"/>
      <c r="B7512" s="1" t="s">
        <v>4688</v>
      </c>
      <c r="C7512" s="1" t="s">
        <v>4689</v>
      </c>
      <c r="D7512" s="22" t="str">
        <f>HYPERLINK("https://rhld.insurance.arkansas.gov/NPILookup?Npi=1740371509","1740371509")</f>
        <v>1740371509</v>
      </c>
      <c r="E7512" s="1" t="s">
        <v>4797</v>
      </c>
      <c r="F7512" s="2"/>
      <c r="G7512" s="2"/>
      <c r="H7512" s="2"/>
    </row>
    <row r="7513" spans="1:8" x14ac:dyDescent="0.25">
      <c r="A7513" s="1"/>
      <c r="B7513" s="1" t="s">
        <v>4688</v>
      </c>
      <c r="C7513" s="1" t="s">
        <v>4689</v>
      </c>
      <c r="D7513" s="22" t="str">
        <f>HYPERLINK("https://rhld.insurance.arkansas.gov/NPILookup?Npi=1740460351","1740460351")</f>
        <v>1740460351</v>
      </c>
      <c r="E7513" s="1" t="s">
        <v>18555</v>
      </c>
      <c r="F7513" s="2"/>
      <c r="G7513" s="2"/>
      <c r="H7513" s="2"/>
    </row>
    <row r="7514" spans="1:8" x14ac:dyDescent="0.25">
      <c r="A7514" s="1"/>
      <c r="B7514" s="1" t="s">
        <v>4688</v>
      </c>
      <c r="C7514" s="1" t="s">
        <v>4689</v>
      </c>
      <c r="D7514" s="22" t="str">
        <f>HYPERLINK("https://rhld.insurance.arkansas.gov/NPILookup?Npi=1740691765","1740691765")</f>
        <v>1740691765</v>
      </c>
      <c r="E7514" s="1" t="s">
        <v>16187</v>
      </c>
      <c r="F7514" s="2"/>
      <c r="G7514" s="2"/>
      <c r="H7514" s="2"/>
    </row>
    <row r="7515" spans="1:8" x14ac:dyDescent="0.25">
      <c r="A7515" s="1"/>
      <c r="B7515" s="1" t="s">
        <v>4688</v>
      </c>
      <c r="C7515" s="1" t="s">
        <v>4689</v>
      </c>
      <c r="D7515" s="22" t="str">
        <f>HYPERLINK("https://rhld.insurance.arkansas.gov/NPILookup?Npi=1750352373","1750352373")</f>
        <v>1750352373</v>
      </c>
      <c r="E7515" s="1" t="s">
        <v>18557</v>
      </c>
      <c r="F7515" s="2"/>
      <c r="G7515" s="2"/>
      <c r="H7515" s="2"/>
    </row>
    <row r="7516" spans="1:8" x14ac:dyDescent="0.25">
      <c r="A7516" s="1"/>
      <c r="B7516" s="1" t="s">
        <v>4688</v>
      </c>
      <c r="C7516" s="1" t="s">
        <v>4689</v>
      </c>
      <c r="D7516" s="22" t="str">
        <f>HYPERLINK("https://rhld.insurance.arkansas.gov/NPILookup?Npi=1750355038","1750355038")</f>
        <v>1750355038</v>
      </c>
      <c r="E7516" s="1" t="s">
        <v>18558</v>
      </c>
      <c r="F7516" s="2"/>
      <c r="G7516" s="2"/>
      <c r="H7516" s="2"/>
    </row>
    <row r="7517" spans="1:8" x14ac:dyDescent="0.25">
      <c r="A7517" s="1"/>
      <c r="B7517" s="1" t="s">
        <v>4688</v>
      </c>
      <c r="C7517" s="1" t="s">
        <v>4689</v>
      </c>
      <c r="D7517" s="22" t="str">
        <f>HYPERLINK("https://rhld.insurance.arkansas.gov/NPILookup?Npi=1750393591","1750393591")</f>
        <v>1750393591</v>
      </c>
      <c r="E7517" s="1" t="s">
        <v>10672</v>
      </c>
      <c r="F7517" s="2"/>
      <c r="G7517" s="2"/>
      <c r="H7517" s="2"/>
    </row>
    <row r="7518" spans="1:8" x14ac:dyDescent="0.25">
      <c r="A7518" s="1"/>
      <c r="B7518" s="1" t="s">
        <v>4688</v>
      </c>
      <c r="C7518" s="1" t="s">
        <v>4689</v>
      </c>
      <c r="D7518" s="22" t="str">
        <f>HYPERLINK("https://rhld.insurance.arkansas.gov/NPILookup?Npi=1750402723","1750402723")</f>
        <v>1750402723</v>
      </c>
      <c r="E7518" s="1" t="s">
        <v>18559</v>
      </c>
      <c r="F7518" s="2"/>
      <c r="G7518" s="2"/>
      <c r="H7518" s="2"/>
    </row>
    <row r="7519" spans="1:8" x14ac:dyDescent="0.25">
      <c r="A7519" s="1"/>
      <c r="B7519" s="1" t="s">
        <v>4688</v>
      </c>
      <c r="C7519" s="1" t="s">
        <v>4689</v>
      </c>
      <c r="D7519" s="22" t="str">
        <f>HYPERLINK("https://rhld.insurance.arkansas.gov/NPILookup?Npi=1750511655","1750511655")</f>
        <v>1750511655</v>
      </c>
      <c r="E7519" s="1" t="s">
        <v>10673</v>
      </c>
      <c r="F7519" s="2"/>
      <c r="G7519" s="2"/>
      <c r="H7519" s="2"/>
    </row>
    <row r="7520" spans="1:8" x14ac:dyDescent="0.25">
      <c r="A7520" s="1"/>
      <c r="B7520" s="1" t="s">
        <v>4688</v>
      </c>
      <c r="C7520" s="1" t="s">
        <v>4689</v>
      </c>
      <c r="D7520" s="22" t="str">
        <f>HYPERLINK("https://rhld.insurance.arkansas.gov/NPILookup?Npi=1750528543","1750528543")</f>
        <v>1750528543</v>
      </c>
      <c r="E7520" s="1" t="s">
        <v>10674</v>
      </c>
      <c r="F7520" s="2"/>
      <c r="G7520" s="2"/>
      <c r="H7520" s="2"/>
    </row>
    <row r="7521" spans="1:8" x14ac:dyDescent="0.25">
      <c r="A7521" s="1"/>
      <c r="B7521" s="1" t="s">
        <v>4688</v>
      </c>
      <c r="C7521" s="1" t="s">
        <v>4689</v>
      </c>
      <c r="D7521" s="22" t="str">
        <f>HYPERLINK("https://rhld.insurance.arkansas.gov/NPILookup?Npi=1750605523","1750605523")</f>
        <v>1750605523</v>
      </c>
      <c r="E7521" s="1" t="s">
        <v>18560</v>
      </c>
      <c r="F7521" s="2"/>
      <c r="G7521" s="2"/>
      <c r="H7521" s="2"/>
    </row>
    <row r="7522" spans="1:8" x14ac:dyDescent="0.25">
      <c r="A7522" s="1"/>
      <c r="B7522" s="1" t="s">
        <v>4688</v>
      </c>
      <c r="C7522" s="1" t="s">
        <v>4689</v>
      </c>
      <c r="D7522" s="22" t="str">
        <f>HYPERLINK("https://rhld.insurance.arkansas.gov/NPILookup?Npi=1750612727","1750612727")</f>
        <v>1750612727</v>
      </c>
      <c r="E7522" s="1" t="s">
        <v>4798</v>
      </c>
      <c r="F7522" s="2"/>
      <c r="G7522" s="2"/>
      <c r="H7522" s="2"/>
    </row>
    <row r="7523" spans="1:8" x14ac:dyDescent="0.25">
      <c r="A7523" s="1"/>
      <c r="B7523" s="1" t="s">
        <v>4688</v>
      </c>
      <c r="C7523" s="1" t="s">
        <v>4689</v>
      </c>
      <c r="D7523" s="22" t="str">
        <f>HYPERLINK("https://rhld.insurance.arkansas.gov/NPILookup?Npi=1760434062","1760434062")</f>
        <v>1760434062</v>
      </c>
      <c r="E7523" s="1" t="s">
        <v>18561</v>
      </c>
      <c r="F7523" s="2"/>
      <c r="G7523" s="2"/>
      <c r="H7523" s="2"/>
    </row>
    <row r="7524" spans="1:8" x14ac:dyDescent="0.25">
      <c r="A7524" s="1"/>
      <c r="B7524" s="1" t="s">
        <v>4688</v>
      </c>
      <c r="C7524" s="1" t="s">
        <v>4689</v>
      </c>
      <c r="D7524" s="22" t="str">
        <f>HYPERLINK("https://rhld.insurance.arkansas.gov/NPILookup?Npi=1760592935","1760592935")</f>
        <v>1760592935</v>
      </c>
      <c r="E7524" s="1" t="s">
        <v>4799</v>
      </c>
      <c r="F7524" s="2"/>
      <c r="G7524" s="2"/>
      <c r="H7524" s="2"/>
    </row>
    <row r="7525" spans="1:8" x14ac:dyDescent="0.25">
      <c r="A7525" s="1"/>
      <c r="B7525" s="1" t="s">
        <v>4688</v>
      </c>
      <c r="C7525" s="1" t="s">
        <v>4689</v>
      </c>
      <c r="D7525" s="22" t="str">
        <f>HYPERLINK("https://rhld.insurance.arkansas.gov/NPILookup?Npi=1760610307","1760610307")</f>
        <v>1760610307</v>
      </c>
      <c r="E7525" s="1" t="s">
        <v>18562</v>
      </c>
      <c r="F7525" s="2"/>
      <c r="G7525" s="2"/>
      <c r="H7525" s="2"/>
    </row>
    <row r="7526" spans="1:8" x14ac:dyDescent="0.25">
      <c r="A7526" s="1"/>
      <c r="B7526" s="1" t="s">
        <v>4688</v>
      </c>
      <c r="C7526" s="1" t="s">
        <v>4689</v>
      </c>
      <c r="D7526" s="22" t="str">
        <f>HYPERLINK("https://rhld.insurance.arkansas.gov/NPILookup?Npi=1760635890","1760635890")</f>
        <v>1760635890</v>
      </c>
      <c r="E7526" s="1" t="s">
        <v>10675</v>
      </c>
      <c r="F7526" s="2"/>
      <c r="G7526" s="2"/>
      <c r="H7526" s="2"/>
    </row>
    <row r="7527" spans="1:8" x14ac:dyDescent="0.25">
      <c r="A7527" s="1"/>
      <c r="B7527" s="1" t="s">
        <v>4688</v>
      </c>
      <c r="C7527" s="1" t="s">
        <v>4689</v>
      </c>
      <c r="D7527" s="22" t="str">
        <f>HYPERLINK("https://rhld.insurance.arkansas.gov/NPILookup?Npi=1760800239","1760800239")</f>
        <v>1760800239</v>
      </c>
      <c r="E7527" s="1" t="s">
        <v>4800</v>
      </c>
      <c r="F7527" s="2"/>
      <c r="G7527" s="2"/>
      <c r="H7527" s="2"/>
    </row>
    <row r="7528" spans="1:8" x14ac:dyDescent="0.25">
      <c r="A7528" s="1"/>
      <c r="B7528" s="1" t="s">
        <v>4688</v>
      </c>
      <c r="C7528" s="1" t="s">
        <v>4689</v>
      </c>
      <c r="D7528" s="22" t="str">
        <f>HYPERLINK("https://rhld.insurance.arkansas.gov/NPILookup?Npi=1760820625","1760820625")</f>
        <v>1760820625</v>
      </c>
      <c r="E7528" s="1" t="s">
        <v>18564</v>
      </c>
      <c r="F7528" s="2"/>
      <c r="G7528" s="2"/>
      <c r="H7528" s="2"/>
    </row>
    <row r="7529" spans="1:8" x14ac:dyDescent="0.25">
      <c r="A7529" s="1"/>
      <c r="B7529" s="1" t="s">
        <v>4688</v>
      </c>
      <c r="C7529" s="1" t="s">
        <v>4689</v>
      </c>
      <c r="D7529" s="22" t="str">
        <f>HYPERLINK("https://rhld.insurance.arkansas.gov/NPILookup?Npi=1770160103","1770160103")</f>
        <v>1770160103</v>
      </c>
      <c r="E7529" s="1" t="s">
        <v>18565</v>
      </c>
      <c r="F7529" s="2"/>
      <c r="G7529" s="2"/>
      <c r="H7529" s="2"/>
    </row>
    <row r="7530" spans="1:8" x14ac:dyDescent="0.25">
      <c r="A7530" s="1"/>
      <c r="B7530" s="1" t="s">
        <v>4688</v>
      </c>
      <c r="C7530" s="1" t="s">
        <v>4689</v>
      </c>
      <c r="D7530" s="22" t="str">
        <f>HYPERLINK("https://rhld.insurance.arkansas.gov/NPILookup?Npi=1770745523","1770745523")</f>
        <v>1770745523</v>
      </c>
      <c r="E7530" s="1" t="s">
        <v>18566</v>
      </c>
      <c r="F7530" s="2"/>
      <c r="G7530" s="2"/>
      <c r="H7530" s="2"/>
    </row>
    <row r="7531" spans="1:8" x14ac:dyDescent="0.25">
      <c r="A7531" s="1"/>
      <c r="B7531" s="1" t="s">
        <v>4688</v>
      </c>
      <c r="C7531" s="1" t="s">
        <v>4689</v>
      </c>
      <c r="D7531" s="22" t="str">
        <f>HYPERLINK("https://rhld.insurance.arkansas.gov/NPILookup?Npi=1770809105","1770809105")</f>
        <v>1770809105</v>
      </c>
      <c r="E7531" s="1" t="s">
        <v>10676</v>
      </c>
      <c r="F7531" s="2"/>
      <c r="G7531" s="2"/>
      <c r="H7531" s="2"/>
    </row>
    <row r="7532" spans="1:8" x14ac:dyDescent="0.25">
      <c r="A7532" s="1"/>
      <c r="B7532" s="1" t="s">
        <v>4688</v>
      </c>
      <c r="C7532" s="1" t="s">
        <v>4689</v>
      </c>
      <c r="D7532" s="22" t="str">
        <f>HYPERLINK("https://rhld.insurance.arkansas.gov/NPILookup?Npi=1770926404","1770926404")</f>
        <v>1770926404</v>
      </c>
      <c r="E7532" s="1" t="s">
        <v>18567</v>
      </c>
      <c r="F7532" s="2"/>
      <c r="G7532" s="2"/>
      <c r="H7532" s="2"/>
    </row>
    <row r="7533" spans="1:8" x14ac:dyDescent="0.25">
      <c r="A7533" s="1"/>
      <c r="B7533" s="1" t="s">
        <v>4688</v>
      </c>
      <c r="C7533" s="1" t="s">
        <v>4689</v>
      </c>
      <c r="D7533" s="22" t="str">
        <f>HYPERLINK("https://rhld.insurance.arkansas.gov/NPILookup?Npi=1780038083","1780038083")</f>
        <v>1780038083</v>
      </c>
      <c r="E7533" s="1" t="s">
        <v>17876</v>
      </c>
      <c r="F7533" s="2"/>
      <c r="G7533" s="2"/>
      <c r="H7533" s="2"/>
    </row>
    <row r="7534" spans="1:8" x14ac:dyDescent="0.25">
      <c r="A7534" s="1"/>
      <c r="B7534" s="1" t="s">
        <v>4688</v>
      </c>
      <c r="C7534" s="1" t="s">
        <v>4689</v>
      </c>
      <c r="D7534" s="22" t="str">
        <f>HYPERLINK("https://rhld.insurance.arkansas.gov/NPILookup?Npi=1780048009","1780048009")</f>
        <v>1780048009</v>
      </c>
      <c r="E7534" s="1" t="s">
        <v>18568</v>
      </c>
      <c r="F7534" s="2"/>
      <c r="G7534" s="2"/>
      <c r="H7534" s="2"/>
    </row>
    <row r="7535" spans="1:8" x14ac:dyDescent="0.25">
      <c r="A7535" s="1"/>
      <c r="B7535" s="1" t="s">
        <v>4688</v>
      </c>
      <c r="C7535" s="1" t="s">
        <v>4689</v>
      </c>
      <c r="D7535" s="22" t="str">
        <f>HYPERLINK("https://rhld.insurance.arkansas.gov/NPILookup?Npi=1780640979","1780640979")</f>
        <v>1780640979</v>
      </c>
      <c r="E7535" s="1" t="s">
        <v>18569</v>
      </c>
      <c r="F7535" s="2"/>
      <c r="G7535" s="2"/>
      <c r="H7535" s="2"/>
    </row>
    <row r="7536" spans="1:8" x14ac:dyDescent="0.25">
      <c r="A7536" s="1"/>
      <c r="B7536" s="1" t="s">
        <v>4688</v>
      </c>
      <c r="C7536" s="1" t="s">
        <v>4689</v>
      </c>
      <c r="D7536" s="22" t="str">
        <f>HYPERLINK("https://rhld.insurance.arkansas.gov/NPILookup?Npi=1790244614","1790244614")</f>
        <v>1790244614</v>
      </c>
      <c r="E7536" s="1" t="s">
        <v>18570</v>
      </c>
      <c r="F7536" s="2"/>
      <c r="G7536" s="2"/>
      <c r="H7536" s="2"/>
    </row>
    <row r="7537" spans="1:8" x14ac:dyDescent="0.25">
      <c r="A7537" s="1"/>
      <c r="B7537" s="1" t="s">
        <v>4688</v>
      </c>
      <c r="C7537" s="1" t="s">
        <v>4689</v>
      </c>
      <c r="D7537" s="22" t="str">
        <f>HYPERLINK("https://rhld.insurance.arkansas.gov/NPILookup?Npi=1790713675","1790713675")</f>
        <v>1790713675</v>
      </c>
      <c r="E7537" s="1" t="s">
        <v>18571</v>
      </c>
      <c r="F7537" s="2"/>
      <c r="G7537" s="2"/>
      <c r="H7537" s="2"/>
    </row>
    <row r="7538" spans="1:8" x14ac:dyDescent="0.25">
      <c r="A7538" s="1"/>
      <c r="B7538" s="1" t="s">
        <v>4688</v>
      </c>
      <c r="C7538" s="1" t="s">
        <v>4689</v>
      </c>
      <c r="D7538" s="22" t="str">
        <f>HYPERLINK("https://rhld.insurance.arkansas.gov/NPILookup?Npi=1790739027","1790739027")</f>
        <v>1790739027</v>
      </c>
      <c r="E7538" s="1" t="s">
        <v>18572</v>
      </c>
      <c r="F7538" s="2"/>
      <c r="G7538" s="2"/>
      <c r="H7538" s="2"/>
    </row>
    <row r="7539" spans="1:8" x14ac:dyDescent="0.25">
      <c r="A7539" s="1"/>
      <c r="B7539" s="1" t="s">
        <v>4688</v>
      </c>
      <c r="C7539" s="1" t="s">
        <v>4689</v>
      </c>
      <c r="D7539" s="22" t="str">
        <f>HYPERLINK("https://rhld.insurance.arkansas.gov/NPILookup?Npi=1790744811","1790744811")</f>
        <v>1790744811</v>
      </c>
      <c r="E7539" s="1" t="s">
        <v>3871</v>
      </c>
      <c r="F7539" s="2"/>
      <c r="G7539" s="2"/>
      <c r="H7539" s="2"/>
    </row>
    <row r="7540" spans="1:8" x14ac:dyDescent="0.25">
      <c r="A7540" s="1"/>
      <c r="B7540" s="1" t="s">
        <v>4688</v>
      </c>
      <c r="C7540" s="1" t="s">
        <v>4689</v>
      </c>
      <c r="D7540" s="22" t="str">
        <f>HYPERLINK("https://rhld.insurance.arkansas.gov/NPILookup?Npi=1790797421","1790797421")</f>
        <v>1790797421</v>
      </c>
      <c r="E7540" s="1" t="s">
        <v>16027</v>
      </c>
      <c r="F7540" s="2"/>
      <c r="G7540" s="2"/>
      <c r="H7540" s="2"/>
    </row>
    <row r="7541" spans="1:8" x14ac:dyDescent="0.25">
      <c r="A7541" s="1"/>
      <c r="B7541" s="1" t="s">
        <v>4688</v>
      </c>
      <c r="C7541" s="1" t="s">
        <v>4689</v>
      </c>
      <c r="D7541" s="22" t="str">
        <f>HYPERLINK("https://rhld.insurance.arkansas.gov/NPILookup?Npi=1790999308","1790999308")</f>
        <v>1790999308</v>
      </c>
      <c r="E7541" s="1" t="s">
        <v>18573</v>
      </c>
      <c r="F7541" s="2"/>
      <c r="G7541" s="2"/>
      <c r="H7541" s="2"/>
    </row>
    <row r="7542" spans="1:8" x14ac:dyDescent="0.25">
      <c r="A7542" s="1"/>
      <c r="B7542" s="1" t="s">
        <v>4688</v>
      </c>
      <c r="C7542" s="1" t="s">
        <v>4689</v>
      </c>
      <c r="D7542" s="22" t="str">
        <f>HYPERLINK("https://rhld.insurance.arkansas.gov/NPILookup?Npi=1801185541","1801185541")</f>
        <v>1801185541</v>
      </c>
      <c r="E7542" s="1" t="s">
        <v>18574</v>
      </c>
      <c r="F7542" s="2"/>
      <c r="G7542" s="2"/>
      <c r="H7542" s="2"/>
    </row>
    <row r="7543" spans="1:8" x14ac:dyDescent="0.25">
      <c r="A7543" s="1"/>
      <c r="B7543" s="1" t="s">
        <v>4688</v>
      </c>
      <c r="C7543" s="1" t="s">
        <v>4689</v>
      </c>
      <c r="D7543" s="22" t="str">
        <f>HYPERLINK("https://rhld.insurance.arkansas.gov/NPILookup?Npi=1801868021","1801868021")</f>
        <v>1801868021</v>
      </c>
      <c r="E7543" s="1" t="s">
        <v>4802</v>
      </c>
      <c r="F7543" s="2"/>
      <c r="G7543" s="2"/>
      <c r="H7543" s="2"/>
    </row>
    <row r="7544" spans="1:8" x14ac:dyDescent="0.25">
      <c r="A7544" s="1"/>
      <c r="B7544" s="1" t="s">
        <v>4688</v>
      </c>
      <c r="C7544" s="1" t="s">
        <v>4689</v>
      </c>
      <c r="D7544" s="22" t="str">
        <f>HYPERLINK("https://rhld.insurance.arkansas.gov/NPILookup?Npi=1801878897","1801878897")</f>
        <v>1801878897</v>
      </c>
      <c r="E7544" s="1" t="s">
        <v>4502</v>
      </c>
      <c r="F7544" s="2"/>
      <c r="G7544" s="2"/>
      <c r="H7544" s="2"/>
    </row>
    <row r="7545" spans="1:8" x14ac:dyDescent="0.25">
      <c r="A7545" s="1"/>
      <c r="B7545" s="1" t="s">
        <v>4688</v>
      </c>
      <c r="C7545" s="1" t="s">
        <v>4689</v>
      </c>
      <c r="D7545" s="22" t="str">
        <f>HYPERLINK("https://rhld.insurance.arkansas.gov/NPILookup?Npi=1801881958","1801881958")</f>
        <v>1801881958</v>
      </c>
      <c r="E7545" s="1" t="s">
        <v>31520</v>
      </c>
      <c r="F7545" s="2"/>
      <c r="G7545" s="2"/>
      <c r="H7545" s="2"/>
    </row>
    <row r="7546" spans="1:8" x14ac:dyDescent="0.25">
      <c r="A7546" s="1"/>
      <c r="B7546" s="1" t="s">
        <v>4688</v>
      </c>
      <c r="C7546" s="1" t="s">
        <v>4689</v>
      </c>
      <c r="D7546" s="22" t="str">
        <f>HYPERLINK("https://rhld.insurance.arkansas.gov/NPILookup?Npi=1801917877","1801917877")</f>
        <v>1801917877</v>
      </c>
      <c r="E7546" s="1" t="s">
        <v>4803</v>
      </c>
      <c r="F7546" s="2"/>
      <c r="G7546" s="2"/>
      <c r="H7546" s="2"/>
    </row>
    <row r="7547" spans="1:8" x14ac:dyDescent="0.25">
      <c r="A7547" s="1"/>
      <c r="B7547" s="1" t="s">
        <v>4688</v>
      </c>
      <c r="C7547" s="1" t="s">
        <v>4689</v>
      </c>
      <c r="D7547" s="22" t="str">
        <f>HYPERLINK("https://rhld.insurance.arkansas.gov/NPILookup?Npi=1811131543","1811131543")</f>
        <v>1811131543</v>
      </c>
      <c r="E7547" s="1" t="s">
        <v>18576</v>
      </c>
      <c r="F7547" s="2"/>
      <c r="G7547" s="2"/>
      <c r="H7547" s="2"/>
    </row>
    <row r="7548" spans="1:8" x14ac:dyDescent="0.25">
      <c r="A7548" s="1"/>
      <c r="B7548" s="1" t="s">
        <v>4688</v>
      </c>
      <c r="C7548" s="1" t="s">
        <v>4689</v>
      </c>
      <c r="D7548" s="22" t="str">
        <f>HYPERLINK("https://rhld.insurance.arkansas.gov/NPILookup?Npi=1811333206","1811333206")</f>
        <v>1811333206</v>
      </c>
      <c r="E7548" s="1" t="s">
        <v>18577</v>
      </c>
      <c r="F7548" s="2"/>
      <c r="G7548" s="2"/>
      <c r="H7548" s="2"/>
    </row>
    <row r="7549" spans="1:8" x14ac:dyDescent="0.25">
      <c r="A7549" s="1"/>
      <c r="B7549" s="1" t="s">
        <v>4688</v>
      </c>
      <c r="C7549" s="1" t="s">
        <v>4689</v>
      </c>
      <c r="D7549" s="22" t="str">
        <f>HYPERLINK("https://rhld.insurance.arkansas.gov/NPILookup?Npi=1811550742","1811550742")</f>
        <v>1811550742</v>
      </c>
      <c r="E7549" s="1" t="s">
        <v>18578</v>
      </c>
      <c r="F7549" s="2"/>
      <c r="G7549" s="2"/>
      <c r="H7549" s="2"/>
    </row>
    <row r="7550" spans="1:8" x14ac:dyDescent="0.25">
      <c r="A7550" s="1"/>
      <c r="B7550" s="1" t="s">
        <v>4688</v>
      </c>
      <c r="C7550" s="1" t="s">
        <v>4689</v>
      </c>
      <c r="D7550" s="22" t="str">
        <f>HYPERLINK("https://rhld.insurance.arkansas.gov/NPILookup?Npi=1821077660","1821077660")</f>
        <v>1821077660</v>
      </c>
      <c r="E7550" s="1" t="s">
        <v>18579</v>
      </c>
      <c r="F7550" s="2"/>
      <c r="G7550" s="2"/>
      <c r="H7550" s="2"/>
    </row>
    <row r="7551" spans="1:8" x14ac:dyDescent="0.25">
      <c r="A7551" s="1"/>
      <c r="B7551" s="1" t="s">
        <v>4688</v>
      </c>
      <c r="C7551" s="1" t="s">
        <v>4689</v>
      </c>
      <c r="D7551" s="22" t="str">
        <f>HYPERLINK("https://rhld.insurance.arkansas.gov/NPILookup?Npi=1821126665","1821126665")</f>
        <v>1821126665</v>
      </c>
      <c r="E7551" s="1" t="s">
        <v>18580</v>
      </c>
      <c r="F7551" s="2"/>
      <c r="G7551" s="2"/>
      <c r="H7551" s="2"/>
    </row>
    <row r="7552" spans="1:8" x14ac:dyDescent="0.25">
      <c r="A7552" s="1"/>
      <c r="B7552" s="1" t="s">
        <v>4688</v>
      </c>
      <c r="C7552" s="1" t="s">
        <v>4689</v>
      </c>
      <c r="D7552" s="22" t="str">
        <f>HYPERLINK("https://rhld.insurance.arkansas.gov/NPILookup?Npi=1821356601","1821356601")</f>
        <v>1821356601</v>
      </c>
      <c r="E7552" s="1" t="s">
        <v>31521</v>
      </c>
      <c r="F7552" s="2"/>
      <c r="G7552" s="2"/>
      <c r="H7552" s="2"/>
    </row>
    <row r="7553" spans="1:8" x14ac:dyDescent="0.25">
      <c r="A7553" s="1"/>
      <c r="B7553" s="1" t="s">
        <v>4688</v>
      </c>
      <c r="C7553" s="1" t="s">
        <v>4689</v>
      </c>
      <c r="D7553" s="22" t="str">
        <f>HYPERLINK("https://rhld.insurance.arkansas.gov/NPILookup?Npi=1831155910","1831155910")</f>
        <v>1831155910</v>
      </c>
      <c r="E7553" s="1" t="s">
        <v>10678</v>
      </c>
      <c r="F7553" s="2"/>
      <c r="G7553" s="2"/>
      <c r="H7553" s="2"/>
    </row>
    <row r="7554" spans="1:8" x14ac:dyDescent="0.25">
      <c r="A7554" s="1"/>
      <c r="B7554" s="1" t="s">
        <v>4688</v>
      </c>
      <c r="C7554" s="1" t="s">
        <v>4689</v>
      </c>
      <c r="D7554" s="22" t="str">
        <f>HYPERLINK("https://rhld.insurance.arkansas.gov/NPILookup?Npi=1831218817","1831218817")</f>
        <v>1831218817</v>
      </c>
      <c r="E7554" s="1" t="s">
        <v>17895</v>
      </c>
      <c r="F7554" s="2"/>
      <c r="G7554" s="2"/>
      <c r="H7554" s="2"/>
    </row>
    <row r="7555" spans="1:8" x14ac:dyDescent="0.25">
      <c r="A7555" s="1"/>
      <c r="B7555" s="1" t="s">
        <v>4688</v>
      </c>
      <c r="C7555" s="1" t="s">
        <v>4689</v>
      </c>
      <c r="D7555" s="22" t="str">
        <f>HYPERLINK("https://rhld.insurance.arkansas.gov/NPILookup?Npi=1831517788","1831517788")</f>
        <v>1831517788</v>
      </c>
      <c r="E7555" s="1" t="s">
        <v>10679</v>
      </c>
      <c r="F7555" s="2"/>
      <c r="G7555" s="2"/>
      <c r="H7555" s="2"/>
    </row>
    <row r="7556" spans="1:8" x14ac:dyDescent="0.25">
      <c r="A7556" s="1"/>
      <c r="B7556" s="1" t="s">
        <v>4688</v>
      </c>
      <c r="C7556" s="1" t="s">
        <v>4689</v>
      </c>
      <c r="D7556" s="22" t="str">
        <f>HYPERLINK("https://rhld.insurance.arkansas.gov/NPILookup?Npi=1831519768","1831519768")</f>
        <v>1831519768</v>
      </c>
      <c r="E7556" s="1" t="s">
        <v>10680</v>
      </c>
      <c r="F7556" s="2"/>
      <c r="G7556" s="2"/>
      <c r="H7556" s="2"/>
    </row>
    <row r="7557" spans="1:8" x14ac:dyDescent="0.25">
      <c r="A7557" s="1"/>
      <c r="B7557" s="1" t="s">
        <v>4688</v>
      </c>
      <c r="C7557" s="1" t="s">
        <v>4689</v>
      </c>
      <c r="D7557" s="22" t="str">
        <f>HYPERLINK("https://rhld.insurance.arkansas.gov/NPILookup?Npi=1841279866","1841279866")</f>
        <v>1841279866</v>
      </c>
      <c r="E7557" s="1" t="s">
        <v>31522</v>
      </c>
      <c r="F7557" s="2"/>
      <c r="G7557" s="2"/>
      <c r="H7557" s="2"/>
    </row>
    <row r="7558" spans="1:8" x14ac:dyDescent="0.25">
      <c r="A7558" s="1"/>
      <c r="B7558" s="1" t="s">
        <v>4688</v>
      </c>
      <c r="C7558" s="1" t="s">
        <v>4689</v>
      </c>
      <c r="D7558" s="22" t="str">
        <f>HYPERLINK("https://rhld.insurance.arkansas.gov/NPILookup?Npi=1841291614","1841291614")</f>
        <v>1841291614</v>
      </c>
      <c r="E7558" s="1" t="s">
        <v>4804</v>
      </c>
      <c r="F7558" s="2"/>
      <c r="G7558" s="2"/>
      <c r="H7558" s="2"/>
    </row>
    <row r="7559" spans="1:8" x14ac:dyDescent="0.25">
      <c r="A7559" s="1"/>
      <c r="B7559" s="1" t="s">
        <v>4688</v>
      </c>
      <c r="C7559" s="1" t="s">
        <v>4689</v>
      </c>
      <c r="D7559" s="22" t="str">
        <f>HYPERLINK("https://rhld.insurance.arkansas.gov/NPILookup?Npi=1841295706","1841295706")</f>
        <v>1841295706</v>
      </c>
      <c r="E7559" s="1" t="s">
        <v>18584</v>
      </c>
      <c r="F7559" s="2"/>
      <c r="G7559" s="2"/>
      <c r="H7559" s="2"/>
    </row>
    <row r="7560" spans="1:8" x14ac:dyDescent="0.25">
      <c r="A7560" s="1"/>
      <c r="B7560" s="1" t="s">
        <v>4688</v>
      </c>
      <c r="C7560" s="1" t="s">
        <v>4689</v>
      </c>
      <c r="D7560" s="22" t="str">
        <f>HYPERLINK("https://rhld.insurance.arkansas.gov/NPILookup?Npi=1841604246","1841604246")</f>
        <v>1841604246</v>
      </c>
      <c r="E7560" s="1" t="s">
        <v>18585</v>
      </c>
      <c r="F7560" s="2"/>
      <c r="G7560" s="2"/>
      <c r="H7560" s="2"/>
    </row>
    <row r="7561" spans="1:8" x14ac:dyDescent="0.25">
      <c r="A7561" s="1"/>
      <c r="B7561" s="1" t="s">
        <v>4688</v>
      </c>
      <c r="C7561" s="1" t="s">
        <v>4689</v>
      </c>
      <c r="D7561" s="22" t="str">
        <f>HYPERLINK("https://rhld.insurance.arkansas.gov/NPILookup?Npi=1841639507","1841639507")</f>
        <v>1841639507</v>
      </c>
      <c r="E7561" s="1" t="s">
        <v>18586</v>
      </c>
      <c r="F7561" s="2"/>
      <c r="G7561" s="2"/>
      <c r="H7561" s="2"/>
    </row>
    <row r="7562" spans="1:8" x14ac:dyDescent="0.25">
      <c r="A7562" s="1"/>
      <c r="B7562" s="1" t="s">
        <v>4688</v>
      </c>
      <c r="C7562" s="1" t="s">
        <v>4689</v>
      </c>
      <c r="D7562" s="22" t="str">
        <f>HYPERLINK("https://rhld.insurance.arkansas.gov/NPILookup?Npi=1851349286","1851349286")</f>
        <v>1851349286</v>
      </c>
      <c r="E7562" s="1" t="s">
        <v>18587</v>
      </c>
      <c r="F7562" s="2"/>
      <c r="G7562" s="2"/>
      <c r="H7562" s="2"/>
    </row>
    <row r="7563" spans="1:8" x14ac:dyDescent="0.25">
      <c r="A7563" s="1"/>
      <c r="B7563" s="1" t="s">
        <v>4688</v>
      </c>
      <c r="C7563" s="1" t="s">
        <v>4689</v>
      </c>
      <c r="D7563" s="22" t="str">
        <f>HYPERLINK("https://rhld.insurance.arkansas.gov/NPILookup?Npi=1851370753","1851370753")</f>
        <v>1851370753</v>
      </c>
      <c r="E7563" s="1" t="s">
        <v>10681</v>
      </c>
      <c r="F7563" s="2"/>
      <c r="G7563" s="2"/>
      <c r="H7563" s="2"/>
    </row>
    <row r="7564" spans="1:8" x14ac:dyDescent="0.25">
      <c r="A7564" s="1"/>
      <c r="B7564" s="1" t="s">
        <v>4688</v>
      </c>
      <c r="C7564" s="1" t="s">
        <v>4689</v>
      </c>
      <c r="D7564" s="22" t="str">
        <f>HYPERLINK("https://rhld.insurance.arkansas.gov/NPILookup?Npi=1851375158","1851375158")</f>
        <v>1851375158</v>
      </c>
      <c r="E7564" s="1" t="s">
        <v>18588</v>
      </c>
      <c r="F7564" s="2"/>
      <c r="G7564" s="2"/>
      <c r="H7564" s="2"/>
    </row>
    <row r="7565" spans="1:8" x14ac:dyDescent="0.25">
      <c r="A7565" s="1"/>
      <c r="B7565" s="1" t="s">
        <v>4688</v>
      </c>
      <c r="C7565" s="1" t="s">
        <v>4689</v>
      </c>
      <c r="D7565" s="22" t="str">
        <f>HYPERLINK("https://rhld.insurance.arkansas.gov/NPILookup?Npi=1851423867","1851423867")</f>
        <v>1851423867</v>
      </c>
      <c r="E7565" s="1" t="s">
        <v>18589</v>
      </c>
      <c r="F7565" s="2"/>
      <c r="G7565" s="2"/>
      <c r="H7565" s="2"/>
    </row>
    <row r="7566" spans="1:8" x14ac:dyDescent="0.25">
      <c r="A7566" s="1"/>
      <c r="B7566" s="1" t="s">
        <v>4688</v>
      </c>
      <c r="C7566" s="1" t="s">
        <v>4689</v>
      </c>
      <c r="D7566" s="22" t="str">
        <f>HYPERLINK("https://rhld.insurance.arkansas.gov/NPILookup?Npi=1851459697","1851459697")</f>
        <v>1851459697</v>
      </c>
      <c r="E7566" s="1" t="s">
        <v>16028</v>
      </c>
      <c r="F7566" s="2"/>
      <c r="G7566" s="2"/>
      <c r="H7566" s="2"/>
    </row>
    <row r="7567" spans="1:8" x14ac:dyDescent="0.25">
      <c r="A7567" s="1"/>
      <c r="B7567" s="1" t="s">
        <v>4688</v>
      </c>
      <c r="C7567" s="1" t="s">
        <v>4689</v>
      </c>
      <c r="D7567" s="22" t="str">
        <f>HYPERLINK("https://rhld.insurance.arkansas.gov/NPILookup?Npi=1851650485","1851650485")</f>
        <v>1851650485</v>
      </c>
      <c r="E7567" s="1" t="s">
        <v>18590</v>
      </c>
      <c r="F7567" s="2"/>
      <c r="G7567" s="2"/>
      <c r="H7567" s="2"/>
    </row>
    <row r="7568" spans="1:8" x14ac:dyDescent="0.25">
      <c r="A7568" s="1"/>
      <c r="B7568" s="1" t="s">
        <v>4688</v>
      </c>
      <c r="C7568" s="1" t="s">
        <v>4689</v>
      </c>
      <c r="D7568" s="22" t="str">
        <f>HYPERLINK("https://rhld.insurance.arkansas.gov/NPILookup?Npi=1851655229","1851655229")</f>
        <v>1851655229</v>
      </c>
      <c r="E7568" s="1" t="s">
        <v>18591</v>
      </c>
      <c r="F7568" s="2"/>
      <c r="G7568" s="2"/>
      <c r="H7568" s="2"/>
    </row>
    <row r="7569" spans="1:8" x14ac:dyDescent="0.25">
      <c r="A7569" s="1"/>
      <c r="B7569" s="1" t="s">
        <v>4688</v>
      </c>
      <c r="C7569" s="1" t="s">
        <v>4689</v>
      </c>
      <c r="D7569" s="22" t="str">
        <f>HYPERLINK("https://rhld.insurance.arkansas.gov/NPILookup?Npi=1851749030","1851749030")</f>
        <v>1851749030</v>
      </c>
      <c r="E7569" s="1" t="s">
        <v>18592</v>
      </c>
      <c r="F7569" s="2"/>
      <c r="G7569" s="2"/>
      <c r="H7569" s="2"/>
    </row>
    <row r="7570" spans="1:8" x14ac:dyDescent="0.25">
      <c r="A7570" s="1"/>
      <c r="B7570" s="1" t="s">
        <v>4688</v>
      </c>
      <c r="C7570" s="1" t="s">
        <v>4689</v>
      </c>
      <c r="D7570" s="22" t="str">
        <f>HYPERLINK("https://rhld.insurance.arkansas.gov/NPILookup?Npi=1851852032","1851852032")</f>
        <v>1851852032</v>
      </c>
      <c r="E7570" s="1" t="s">
        <v>15692</v>
      </c>
      <c r="F7570" s="2"/>
      <c r="G7570" s="2"/>
      <c r="H7570" s="2"/>
    </row>
    <row r="7571" spans="1:8" x14ac:dyDescent="0.25">
      <c r="A7571" s="1"/>
      <c r="B7571" s="1" t="s">
        <v>4688</v>
      </c>
      <c r="C7571" s="1" t="s">
        <v>4689</v>
      </c>
      <c r="D7571" s="22" t="str">
        <f>HYPERLINK("https://rhld.insurance.arkansas.gov/NPILookup?Npi=1861402265","1861402265")</f>
        <v>1861402265</v>
      </c>
      <c r="E7571" s="1" t="s">
        <v>10682</v>
      </c>
      <c r="F7571" s="2"/>
      <c r="G7571" s="2"/>
      <c r="H7571" s="2"/>
    </row>
    <row r="7572" spans="1:8" x14ac:dyDescent="0.25">
      <c r="A7572" s="1"/>
      <c r="B7572" s="1" t="s">
        <v>4688</v>
      </c>
      <c r="C7572" s="1" t="s">
        <v>4689</v>
      </c>
      <c r="D7572" s="22" t="str">
        <f>HYPERLINK("https://rhld.insurance.arkansas.gov/NPILookup?Npi=1861438202","1861438202")</f>
        <v>1861438202</v>
      </c>
      <c r="E7572" s="1" t="s">
        <v>18593</v>
      </c>
      <c r="F7572" s="2"/>
      <c r="G7572" s="2"/>
      <c r="H7572" s="2"/>
    </row>
    <row r="7573" spans="1:8" x14ac:dyDescent="0.25">
      <c r="A7573" s="1"/>
      <c r="B7573" s="1" t="s">
        <v>4688</v>
      </c>
      <c r="C7573" s="1" t="s">
        <v>4689</v>
      </c>
      <c r="D7573" s="22" t="str">
        <f>HYPERLINK("https://rhld.insurance.arkansas.gov/NPILookup?Npi=1861472565","1861472565")</f>
        <v>1861472565</v>
      </c>
      <c r="E7573" s="1" t="s">
        <v>10683</v>
      </c>
      <c r="F7573" s="2"/>
      <c r="G7573" s="2"/>
      <c r="H7573" s="2"/>
    </row>
    <row r="7574" spans="1:8" x14ac:dyDescent="0.25">
      <c r="A7574" s="1"/>
      <c r="B7574" s="1" t="s">
        <v>4688</v>
      </c>
      <c r="C7574" s="1" t="s">
        <v>4689</v>
      </c>
      <c r="D7574" s="22" t="str">
        <f>HYPERLINK("https://rhld.insurance.arkansas.gov/NPILookup?Npi=1861608192","1861608192")</f>
        <v>1861608192</v>
      </c>
      <c r="E7574" s="1" t="s">
        <v>31523</v>
      </c>
      <c r="F7574" s="2"/>
      <c r="G7574" s="2"/>
      <c r="H7574" s="2"/>
    </row>
    <row r="7575" spans="1:8" x14ac:dyDescent="0.25">
      <c r="A7575" s="1"/>
      <c r="B7575" s="1" t="s">
        <v>4688</v>
      </c>
      <c r="C7575" s="1" t="s">
        <v>4689</v>
      </c>
      <c r="D7575" s="22" t="str">
        <f>HYPERLINK("https://rhld.insurance.arkansas.gov/NPILookup?Npi=1861611725","1861611725")</f>
        <v>1861611725</v>
      </c>
      <c r="E7575" s="1" t="s">
        <v>385</v>
      </c>
      <c r="F7575" s="2"/>
      <c r="G7575" s="2"/>
      <c r="H7575" s="2"/>
    </row>
    <row r="7576" spans="1:8" x14ac:dyDescent="0.25">
      <c r="A7576" s="1"/>
      <c r="B7576" s="1" t="s">
        <v>4688</v>
      </c>
      <c r="C7576" s="1" t="s">
        <v>4689</v>
      </c>
      <c r="D7576" s="22" t="str">
        <f>HYPERLINK("https://rhld.insurance.arkansas.gov/NPILookup?Npi=1861996811","1861996811")</f>
        <v>1861996811</v>
      </c>
      <c r="E7576" s="1" t="s">
        <v>18594</v>
      </c>
      <c r="F7576" s="2"/>
      <c r="G7576" s="2"/>
      <c r="H7576" s="2"/>
    </row>
    <row r="7577" spans="1:8" x14ac:dyDescent="0.25">
      <c r="A7577" s="1"/>
      <c r="B7577" s="1" t="s">
        <v>4688</v>
      </c>
      <c r="C7577" s="1" t="s">
        <v>4689</v>
      </c>
      <c r="D7577" s="22" t="str">
        <f>HYPERLINK("https://rhld.insurance.arkansas.gov/NPILookup?Npi=1871503508","1871503508")</f>
        <v>1871503508</v>
      </c>
      <c r="E7577" s="1" t="s">
        <v>18320</v>
      </c>
      <c r="F7577" s="2"/>
      <c r="G7577" s="2"/>
      <c r="H7577" s="2"/>
    </row>
    <row r="7578" spans="1:8" x14ac:dyDescent="0.25">
      <c r="A7578" s="1"/>
      <c r="B7578" s="1" t="s">
        <v>4688</v>
      </c>
      <c r="C7578" s="1" t="s">
        <v>4689</v>
      </c>
      <c r="D7578" s="22" t="str">
        <f>HYPERLINK("https://rhld.insurance.arkansas.gov/NPILookup?Npi=1871504126","1871504126")</f>
        <v>1871504126</v>
      </c>
      <c r="E7578" s="1" t="s">
        <v>3872</v>
      </c>
      <c r="F7578" s="2"/>
      <c r="G7578" s="2"/>
      <c r="H7578" s="2"/>
    </row>
    <row r="7579" spans="1:8" x14ac:dyDescent="0.25">
      <c r="A7579" s="1"/>
      <c r="B7579" s="1" t="s">
        <v>4688</v>
      </c>
      <c r="C7579" s="1" t="s">
        <v>4689</v>
      </c>
      <c r="D7579" s="22" t="str">
        <f>HYPERLINK("https://rhld.insurance.arkansas.gov/NPILookup?Npi=1871557041","1871557041")</f>
        <v>1871557041</v>
      </c>
      <c r="E7579" s="1" t="s">
        <v>3615</v>
      </c>
      <c r="F7579" s="2"/>
      <c r="G7579" s="2"/>
      <c r="H7579" s="2"/>
    </row>
    <row r="7580" spans="1:8" x14ac:dyDescent="0.25">
      <c r="A7580" s="1"/>
      <c r="B7580" s="1" t="s">
        <v>4688</v>
      </c>
      <c r="C7580" s="1" t="s">
        <v>4689</v>
      </c>
      <c r="D7580" s="22" t="str">
        <f>HYPERLINK("https://rhld.insurance.arkansas.gov/NPILookup?Npi=1871790113","1871790113")</f>
        <v>1871790113</v>
      </c>
      <c r="E7580" s="1" t="s">
        <v>18595</v>
      </c>
      <c r="F7580" s="2"/>
      <c r="G7580" s="2"/>
      <c r="H7580" s="2"/>
    </row>
    <row r="7581" spans="1:8" x14ac:dyDescent="0.25">
      <c r="A7581" s="1"/>
      <c r="B7581" s="1" t="s">
        <v>4688</v>
      </c>
      <c r="C7581" s="1" t="s">
        <v>4689</v>
      </c>
      <c r="D7581" s="22" t="str">
        <f>HYPERLINK("https://rhld.insurance.arkansas.gov/NPILookup?Npi=1881354629","1881354629")</f>
        <v>1881354629</v>
      </c>
      <c r="E7581" s="1" t="s">
        <v>18596</v>
      </c>
      <c r="F7581" s="2"/>
      <c r="G7581" s="2"/>
      <c r="H7581" s="2"/>
    </row>
    <row r="7582" spans="1:8" x14ac:dyDescent="0.25">
      <c r="A7582" s="1"/>
      <c r="B7582" s="1" t="s">
        <v>4688</v>
      </c>
      <c r="C7582" s="1" t="s">
        <v>4689</v>
      </c>
      <c r="D7582" s="22" t="str">
        <f>HYPERLINK("https://rhld.insurance.arkansas.gov/NPILookup?Npi=1881675882","1881675882")</f>
        <v>1881675882</v>
      </c>
      <c r="E7582" s="1" t="s">
        <v>4520</v>
      </c>
      <c r="F7582" s="2"/>
      <c r="G7582" s="2"/>
      <c r="H7582" s="2"/>
    </row>
    <row r="7583" spans="1:8" x14ac:dyDescent="0.25">
      <c r="A7583" s="1"/>
      <c r="B7583" s="1" t="s">
        <v>4688</v>
      </c>
      <c r="C7583" s="1" t="s">
        <v>4689</v>
      </c>
      <c r="D7583" s="22" t="str">
        <f>HYPERLINK("https://rhld.insurance.arkansas.gov/NPILookup?Npi=1881676526","1881676526")</f>
        <v>1881676526</v>
      </c>
      <c r="E7583" s="1" t="s">
        <v>17956</v>
      </c>
      <c r="F7583" s="2"/>
      <c r="G7583" s="2"/>
      <c r="H7583" s="2"/>
    </row>
    <row r="7584" spans="1:8" x14ac:dyDescent="0.25">
      <c r="A7584" s="1"/>
      <c r="B7584" s="1" t="s">
        <v>4688</v>
      </c>
      <c r="C7584" s="1" t="s">
        <v>4689</v>
      </c>
      <c r="D7584" s="22" t="str">
        <f>HYPERLINK("https://rhld.insurance.arkansas.gov/NPILookup?Npi=1881853133","1881853133")</f>
        <v>1881853133</v>
      </c>
      <c r="E7584" s="1" t="s">
        <v>18597</v>
      </c>
      <c r="F7584" s="2"/>
      <c r="G7584" s="2"/>
      <c r="H7584" s="2"/>
    </row>
    <row r="7585" spans="1:8" x14ac:dyDescent="0.25">
      <c r="A7585" s="1"/>
      <c r="B7585" s="1" t="s">
        <v>4688</v>
      </c>
      <c r="C7585" s="1" t="s">
        <v>4689</v>
      </c>
      <c r="D7585" s="22" t="str">
        <f>HYPERLINK("https://rhld.insurance.arkansas.gov/NPILookup?Npi=1881894673","1881894673")</f>
        <v>1881894673</v>
      </c>
      <c r="E7585" s="1" t="s">
        <v>2537</v>
      </c>
      <c r="F7585" s="2"/>
      <c r="G7585" s="2"/>
      <c r="H7585" s="2"/>
    </row>
    <row r="7586" spans="1:8" x14ac:dyDescent="0.25">
      <c r="A7586" s="1"/>
      <c r="B7586" s="1" t="s">
        <v>4688</v>
      </c>
      <c r="C7586" s="1" t="s">
        <v>4689</v>
      </c>
      <c r="D7586" s="22" t="str">
        <f>HYPERLINK("https://rhld.insurance.arkansas.gov/NPILookup?Npi=1891825287","1891825287")</f>
        <v>1891825287</v>
      </c>
      <c r="E7586" s="1" t="s">
        <v>10684</v>
      </c>
      <c r="F7586" s="2"/>
      <c r="G7586" s="2"/>
      <c r="H7586" s="2"/>
    </row>
    <row r="7587" spans="1:8" x14ac:dyDescent="0.25">
      <c r="A7587" s="1"/>
      <c r="B7587" s="1" t="s">
        <v>4688</v>
      </c>
      <c r="C7587" s="1" t="s">
        <v>4689</v>
      </c>
      <c r="D7587" s="22" t="str">
        <f>HYPERLINK("https://rhld.insurance.arkansas.gov/NPILookup?Npi=1891957320","1891957320")</f>
        <v>1891957320</v>
      </c>
      <c r="E7587" s="1" t="s">
        <v>3227</v>
      </c>
      <c r="F7587" s="2"/>
      <c r="G7587" s="2"/>
      <c r="H7587" s="2"/>
    </row>
    <row r="7588" spans="1:8" x14ac:dyDescent="0.25">
      <c r="A7588" s="1"/>
      <c r="B7588" s="1" t="s">
        <v>4688</v>
      </c>
      <c r="C7588" s="1" t="s">
        <v>4689</v>
      </c>
      <c r="D7588" s="22" t="str">
        <f>HYPERLINK("https://rhld.insurance.arkansas.gov/NPILookup?Npi=1902083546","1902083546")</f>
        <v>1902083546</v>
      </c>
      <c r="E7588" s="1" t="s">
        <v>4805</v>
      </c>
      <c r="F7588" s="2"/>
      <c r="G7588" s="2"/>
      <c r="H7588" s="2"/>
    </row>
    <row r="7589" spans="1:8" x14ac:dyDescent="0.25">
      <c r="A7589" s="1"/>
      <c r="B7589" s="1" t="s">
        <v>4688</v>
      </c>
      <c r="C7589" s="1" t="s">
        <v>4689</v>
      </c>
      <c r="D7589" s="22" t="str">
        <f>HYPERLINK("https://rhld.insurance.arkansas.gov/NPILookup?Npi=1902811839","1902811839")</f>
        <v>1902811839</v>
      </c>
      <c r="E7589" s="1" t="s">
        <v>4806</v>
      </c>
      <c r="F7589" s="2"/>
      <c r="G7589" s="2"/>
      <c r="H7589" s="2"/>
    </row>
    <row r="7590" spans="1:8" x14ac:dyDescent="0.25">
      <c r="A7590" s="1"/>
      <c r="B7590" s="1" t="s">
        <v>4688</v>
      </c>
      <c r="C7590" s="1" t="s">
        <v>4689</v>
      </c>
      <c r="D7590" s="22" t="str">
        <f>HYPERLINK("https://rhld.insurance.arkansas.gov/NPILookup?Npi=1902812019","1902812019")</f>
        <v>1902812019</v>
      </c>
      <c r="E7590" s="1" t="s">
        <v>18598</v>
      </c>
      <c r="F7590" s="2"/>
      <c r="G7590" s="2"/>
      <c r="H7590" s="2"/>
    </row>
    <row r="7591" spans="1:8" x14ac:dyDescent="0.25">
      <c r="A7591" s="1"/>
      <c r="B7591" s="1" t="s">
        <v>4688</v>
      </c>
      <c r="C7591" s="1" t="s">
        <v>4689</v>
      </c>
      <c r="D7591" s="22" t="str">
        <f>HYPERLINK("https://rhld.insurance.arkansas.gov/NPILookup?Npi=1902860620","1902860620")</f>
        <v>1902860620</v>
      </c>
      <c r="E7591" s="1" t="s">
        <v>4807</v>
      </c>
      <c r="F7591" s="2"/>
      <c r="G7591" s="2"/>
      <c r="H7591" s="2"/>
    </row>
    <row r="7592" spans="1:8" x14ac:dyDescent="0.25">
      <c r="A7592" s="1"/>
      <c r="B7592" s="1" t="s">
        <v>4688</v>
      </c>
      <c r="C7592" s="1" t="s">
        <v>4689</v>
      </c>
      <c r="D7592" s="22" t="str">
        <f>HYPERLINK("https://rhld.insurance.arkansas.gov/NPILookup?Npi=1902877533","1902877533")</f>
        <v>1902877533</v>
      </c>
      <c r="E7592" s="1" t="s">
        <v>18599</v>
      </c>
      <c r="F7592" s="2"/>
      <c r="G7592" s="2"/>
      <c r="H7592" s="2"/>
    </row>
    <row r="7593" spans="1:8" x14ac:dyDescent="0.25">
      <c r="A7593" s="1"/>
      <c r="B7593" s="1" t="s">
        <v>4688</v>
      </c>
      <c r="C7593" s="1" t="s">
        <v>4689</v>
      </c>
      <c r="D7593" s="22" t="str">
        <f>HYPERLINK("https://rhld.insurance.arkansas.gov/NPILookup?Npi=1912032707","1912032707")</f>
        <v>1912032707</v>
      </c>
      <c r="E7593" s="1" t="s">
        <v>10685</v>
      </c>
      <c r="F7593" s="2"/>
      <c r="G7593" s="2"/>
      <c r="H7593" s="2"/>
    </row>
    <row r="7594" spans="1:8" x14ac:dyDescent="0.25">
      <c r="A7594" s="1"/>
      <c r="B7594" s="1" t="s">
        <v>4688</v>
      </c>
      <c r="C7594" s="1" t="s">
        <v>4689</v>
      </c>
      <c r="D7594" s="22" t="str">
        <f>HYPERLINK("https://rhld.insurance.arkansas.gov/NPILookup?Npi=1912163320","1912163320")</f>
        <v>1912163320</v>
      </c>
      <c r="E7594" s="1" t="s">
        <v>4809</v>
      </c>
      <c r="F7594" s="2"/>
      <c r="G7594" s="2"/>
      <c r="H7594" s="2"/>
    </row>
    <row r="7595" spans="1:8" x14ac:dyDescent="0.25">
      <c r="A7595" s="1"/>
      <c r="B7595" s="1" t="s">
        <v>4688</v>
      </c>
      <c r="C7595" s="1" t="s">
        <v>4689</v>
      </c>
      <c r="D7595" s="22" t="str">
        <f>HYPERLINK("https://rhld.insurance.arkansas.gov/NPILookup?Npi=1912198375","1912198375")</f>
        <v>1912198375</v>
      </c>
      <c r="E7595" s="1" t="s">
        <v>4810</v>
      </c>
      <c r="F7595" s="2"/>
      <c r="G7595" s="2"/>
      <c r="H7595" s="2"/>
    </row>
    <row r="7596" spans="1:8" x14ac:dyDescent="0.25">
      <c r="A7596" s="1"/>
      <c r="B7596" s="1" t="s">
        <v>4688</v>
      </c>
      <c r="C7596" s="1" t="s">
        <v>4689</v>
      </c>
      <c r="D7596" s="22" t="str">
        <f>HYPERLINK("https://rhld.insurance.arkansas.gov/NPILookup?Npi=1912223447","1912223447")</f>
        <v>1912223447</v>
      </c>
      <c r="E7596" s="1" t="s">
        <v>10686</v>
      </c>
      <c r="F7596" s="2"/>
      <c r="G7596" s="2"/>
      <c r="H7596" s="2"/>
    </row>
    <row r="7597" spans="1:8" x14ac:dyDescent="0.25">
      <c r="A7597" s="1"/>
      <c r="B7597" s="1" t="s">
        <v>4688</v>
      </c>
      <c r="C7597" s="1" t="s">
        <v>4689</v>
      </c>
      <c r="D7597" s="22" t="str">
        <f>HYPERLINK("https://rhld.insurance.arkansas.gov/NPILookup?Npi=1912433368","1912433368")</f>
        <v>1912433368</v>
      </c>
      <c r="E7597" s="1" t="s">
        <v>4811</v>
      </c>
      <c r="F7597" s="2"/>
      <c r="G7597" s="2"/>
      <c r="H7597" s="2"/>
    </row>
    <row r="7598" spans="1:8" x14ac:dyDescent="0.25">
      <c r="A7598" s="1"/>
      <c r="B7598" s="1" t="s">
        <v>4688</v>
      </c>
      <c r="C7598" s="1" t="s">
        <v>4689</v>
      </c>
      <c r="D7598" s="22" t="str">
        <f>HYPERLINK("https://rhld.insurance.arkansas.gov/NPILookup?Npi=1912437070","1912437070")</f>
        <v>1912437070</v>
      </c>
      <c r="E7598" s="1" t="s">
        <v>18600</v>
      </c>
      <c r="F7598" s="2"/>
      <c r="G7598" s="2"/>
      <c r="H7598" s="2"/>
    </row>
    <row r="7599" spans="1:8" x14ac:dyDescent="0.25">
      <c r="A7599" s="1"/>
      <c r="B7599" s="1" t="s">
        <v>4688</v>
      </c>
      <c r="C7599" s="1" t="s">
        <v>4689</v>
      </c>
      <c r="D7599" s="22" t="str">
        <f>HYPERLINK("https://rhld.insurance.arkansas.gov/NPILookup?Npi=1912957549","1912957549")</f>
        <v>1912957549</v>
      </c>
      <c r="E7599" s="1" t="s">
        <v>4812</v>
      </c>
      <c r="F7599" s="2"/>
      <c r="G7599" s="2"/>
      <c r="H7599" s="2"/>
    </row>
    <row r="7600" spans="1:8" x14ac:dyDescent="0.25">
      <c r="A7600" s="1"/>
      <c r="B7600" s="1" t="s">
        <v>4688</v>
      </c>
      <c r="C7600" s="1" t="s">
        <v>4689</v>
      </c>
      <c r="D7600" s="22" t="str">
        <f>HYPERLINK("https://rhld.insurance.arkansas.gov/NPILookup?Npi=1912976218","1912976218")</f>
        <v>1912976218</v>
      </c>
      <c r="E7600" s="1" t="s">
        <v>4660</v>
      </c>
      <c r="F7600" s="2"/>
      <c r="G7600" s="2"/>
      <c r="H7600" s="2"/>
    </row>
    <row r="7601" spans="1:8" x14ac:dyDescent="0.25">
      <c r="A7601" s="1"/>
      <c r="B7601" s="1" t="s">
        <v>4688</v>
      </c>
      <c r="C7601" s="1" t="s">
        <v>4689</v>
      </c>
      <c r="D7601" s="22" t="str">
        <f>HYPERLINK("https://rhld.insurance.arkansas.gov/NPILookup?Npi=1922026707","1922026707")</f>
        <v>1922026707</v>
      </c>
      <c r="E7601" s="1" t="s">
        <v>4813</v>
      </c>
      <c r="F7601" s="2"/>
      <c r="G7601" s="2"/>
      <c r="H7601" s="2"/>
    </row>
    <row r="7602" spans="1:8" x14ac:dyDescent="0.25">
      <c r="A7602" s="1"/>
      <c r="B7602" s="1" t="s">
        <v>4688</v>
      </c>
      <c r="C7602" s="1" t="s">
        <v>4689</v>
      </c>
      <c r="D7602" s="22" t="str">
        <f>HYPERLINK("https://rhld.insurance.arkansas.gov/NPILookup?Npi=1922035104","1922035104")</f>
        <v>1922035104</v>
      </c>
      <c r="E7602" s="1" t="s">
        <v>18602</v>
      </c>
      <c r="F7602" s="2"/>
      <c r="G7602" s="2"/>
      <c r="H7602" s="2"/>
    </row>
    <row r="7603" spans="1:8" x14ac:dyDescent="0.25">
      <c r="A7603" s="1"/>
      <c r="B7603" s="1" t="s">
        <v>4688</v>
      </c>
      <c r="C7603" s="1" t="s">
        <v>4689</v>
      </c>
      <c r="D7603" s="22" t="str">
        <f>HYPERLINK("https://rhld.insurance.arkansas.gov/NPILookup?Npi=1922093202","1922093202")</f>
        <v>1922093202</v>
      </c>
      <c r="E7603" s="1" t="s">
        <v>18603</v>
      </c>
      <c r="F7603" s="2"/>
      <c r="G7603" s="2"/>
      <c r="H7603" s="2"/>
    </row>
    <row r="7604" spans="1:8" x14ac:dyDescent="0.25">
      <c r="A7604" s="1"/>
      <c r="B7604" s="1" t="s">
        <v>4688</v>
      </c>
      <c r="C7604" s="1" t="s">
        <v>4689</v>
      </c>
      <c r="D7604" s="22" t="str">
        <f>HYPERLINK("https://rhld.insurance.arkansas.gov/NPILookup?Npi=1922096551","1922096551")</f>
        <v>1922096551</v>
      </c>
      <c r="E7604" s="1" t="s">
        <v>18604</v>
      </c>
      <c r="F7604" s="2"/>
      <c r="G7604" s="2"/>
      <c r="H7604" s="2"/>
    </row>
    <row r="7605" spans="1:8" x14ac:dyDescent="0.25">
      <c r="A7605" s="1"/>
      <c r="B7605" s="1" t="s">
        <v>4688</v>
      </c>
      <c r="C7605" s="1" t="s">
        <v>4689</v>
      </c>
      <c r="D7605" s="22" t="str">
        <f>HYPERLINK("https://rhld.insurance.arkansas.gov/NPILookup?Npi=1922171966","1922171966")</f>
        <v>1922171966</v>
      </c>
      <c r="E7605" s="1" t="s">
        <v>9898</v>
      </c>
      <c r="F7605" s="2"/>
      <c r="G7605" s="2"/>
      <c r="H7605" s="2"/>
    </row>
    <row r="7606" spans="1:8" x14ac:dyDescent="0.25">
      <c r="A7606" s="1"/>
      <c r="B7606" s="1" t="s">
        <v>4688</v>
      </c>
      <c r="C7606" s="1" t="s">
        <v>4689</v>
      </c>
      <c r="D7606" s="22" t="str">
        <f>HYPERLINK("https://rhld.insurance.arkansas.gov/NPILookup?Npi=1932119252","1932119252")</f>
        <v>1932119252</v>
      </c>
      <c r="E7606" s="1" t="s">
        <v>4815</v>
      </c>
      <c r="F7606" s="2"/>
      <c r="G7606" s="2"/>
      <c r="H7606" s="2"/>
    </row>
    <row r="7607" spans="1:8" x14ac:dyDescent="0.25">
      <c r="A7607" s="1"/>
      <c r="B7607" s="1" t="s">
        <v>4688</v>
      </c>
      <c r="C7607" s="1" t="s">
        <v>4689</v>
      </c>
      <c r="D7607" s="22" t="str">
        <f>HYPERLINK("https://rhld.insurance.arkansas.gov/NPILookup?Npi=1932169547","1932169547")</f>
        <v>1932169547</v>
      </c>
      <c r="E7607" s="1" t="s">
        <v>18605</v>
      </c>
      <c r="F7607" s="2"/>
      <c r="G7607" s="2"/>
      <c r="H7607" s="2"/>
    </row>
    <row r="7608" spans="1:8" x14ac:dyDescent="0.25">
      <c r="A7608" s="1"/>
      <c r="B7608" s="1" t="s">
        <v>4688</v>
      </c>
      <c r="C7608" s="1" t="s">
        <v>4689</v>
      </c>
      <c r="D7608" s="22" t="str">
        <f>HYPERLINK("https://rhld.insurance.arkansas.gov/NPILookup?Npi=1932251261","1932251261")</f>
        <v>1932251261</v>
      </c>
      <c r="E7608" s="1" t="s">
        <v>10687</v>
      </c>
      <c r="F7608" s="2"/>
      <c r="G7608" s="2"/>
      <c r="H7608" s="2"/>
    </row>
    <row r="7609" spans="1:8" x14ac:dyDescent="0.25">
      <c r="A7609" s="1"/>
      <c r="B7609" s="1" t="s">
        <v>4688</v>
      </c>
      <c r="C7609" s="1" t="s">
        <v>4689</v>
      </c>
      <c r="D7609" s="22" t="str">
        <f>HYPERLINK("https://rhld.insurance.arkansas.gov/NPILookup?Npi=1932252954","1932252954")</f>
        <v>1932252954</v>
      </c>
      <c r="E7609" s="1" t="s">
        <v>18606</v>
      </c>
      <c r="F7609" s="2"/>
      <c r="G7609" s="2"/>
      <c r="H7609" s="2"/>
    </row>
    <row r="7610" spans="1:8" x14ac:dyDescent="0.25">
      <c r="A7610" s="1"/>
      <c r="B7610" s="1" t="s">
        <v>4688</v>
      </c>
      <c r="C7610" s="1" t="s">
        <v>4689</v>
      </c>
      <c r="D7610" s="22" t="str">
        <f>HYPERLINK("https://rhld.insurance.arkansas.gov/NPILookup?Npi=1932350683","1932350683")</f>
        <v>1932350683</v>
      </c>
      <c r="E7610" s="1" t="s">
        <v>18607</v>
      </c>
      <c r="F7610" s="2"/>
      <c r="G7610" s="2"/>
      <c r="H7610" s="2"/>
    </row>
    <row r="7611" spans="1:8" x14ac:dyDescent="0.25">
      <c r="A7611" s="1"/>
      <c r="B7611" s="1" t="s">
        <v>4688</v>
      </c>
      <c r="C7611" s="1" t="s">
        <v>4689</v>
      </c>
      <c r="D7611" s="22" t="str">
        <f>HYPERLINK("https://rhld.insurance.arkansas.gov/NPILookup?Npi=1932358173","1932358173")</f>
        <v>1932358173</v>
      </c>
      <c r="E7611" s="1" t="s">
        <v>18608</v>
      </c>
      <c r="F7611" s="2"/>
      <c r="G7611" s="2"/>
      <c r="H7611" s="2"/>
    </row>
    <row r="7612" spans="1:8" x14ac:dyDescent="0.25">
      <c r="A7612" s="1"/>
      <c r="B7612" s="1" t="s">
        <v>4688</v>
      </c>
      <c r="C7612" s="1" t="s">
        <v>4689</v>
      </c>
      <c r="D7612" s="22" t="str">
        <f>HYPERLINK("https://rhld.insurance.arkansas.gov/NPILookup?Npi=1932386646","1932386646")</f>
        <v>1932386646</v>
      </c>
      <c r="E7612" s="1" t="s">
        <v>10688</v>
      </c>
      <c r="F7612" s="2"/>
      <c r="G7612" s="2"/>
      <c r="H7612" s="2"/>
    </row>
    <row r="7613" spans="1:8" x14ac:dyDescent="0.25">
      <c r="A7613" s="1"/>
      <c r="B7613" s="1" t="s">
        <v>4688</v>
      </c>
      <c r="C7613" s="1" t="s">
        <v>4689</v>
      </c>
      <c r="D7613" s="22" t="str">
        <f>HYPERLINK("https://rhld.insurance.arkansas.gov/NPILookup?Npi=1932427291","1932427291")</f>
        <v>1932427291</v>
      </c>
      <c r="E7613" s="1" t="s">
        <v>18609</v>
      </c>
      <c r="F7613" s="2"/>
      <c r="G7613" s="2"/>
      <c r="H7613" s="2"/>
    </row>
    <row r="7614" spans="1:8" x14ac:dyDescent="0.25">
      <c r="A7614" s="1"/>
      <c r="B7614" s="1" t="s">
        <v>4688</v>
      </c>
      <c r="C7614" s="1" t="s">
        <v>4689</v>
      </c>
      <c r="D7614" s="22" t="str">
        <f>HYPERLINK("https://rhld.insurance.arkansas.gov/NPILookup?Npi=1932589850","1932589850")</f>
        <v>1932589850</v>
      </c>
      <c r="E7614" s="1" t="s">
        <v>3874</v>
      </c>
      <c r="F7614" s="2"/>
      <c r="G7614" s="2"/>
      <c r="H7614" s="2"/>
    </row>
    <row r="7615" spans="1:8" x14ac:dyDescent="0.25">
      <c r="A7615" s="1"/>
      <c r="B7615" s="1" t="s">
        <v>4688</v>
      </c>
      <c r="C7615" s="1" t="s">
        <v>4689</v>
      </c>
      <c r="D7615" s="22" t="str">
        <f>HYPERLINK("https://rhld.insurance.arkansas.gov/NPILookup?Npi=1942266713","1942266713")</f>
        <v>1942266713</v>
      </c>
      <c r="E7615" s="1" t="s">
        <v>18610</v>
      </c>
      <c r="F7615" s="2"/>
      <c r="G7615" s="2"/>
      <c r="H7615" s="2"/>
    </row>
    <row r="7616" spans="1:8" x14ac:dyDescent="0.25">
      <c r="A7616" s="1"/>
      <c r="B7616" s="1" t="s">
        <v>4688</v>
      </c>
      <c r="C7616" s="1" t="s">
        <v>4689</v>
      </c>
      <c r="D7616" s="22" t="str">
        <f>HYPERLINK("https://rhld.insurance.arkansas.gov/NPILookup?Npi=1942390513","1942390513")</f>
        <v>1942390513</v>
      </c>
      <c r="E7616" s="1" t="s">
        <v>16033</v>
      </c>
      <c r="F7616" s="2"/>
      <c r="G7616" s="2"/>
      <c r="H7616" s="2"/>
    </row>
    <row r="7617" spans="1:8" x14ac:dyDescent="0.25">
      <c r="A7617" s="1"/>
      <c r="B7617" s="1" t="s">
        <v>4688</v>
      </c>
      <c r="C7617" s="1" t="s">
        <v>4689</v>
      </c>
      <c r="D7617" s="22" t="str">
        <f>HYPERLINK("https://rhld.insurance.arkansas.gov/NPILookup?Npi=1942862586","1942862586")</f>
        <v>1942862586</v>
      </c>
      <c r="E7617" s="1" t="s">
        <v>4817</v>
      </c>
      <c r="F7617" s="2"/>
      <c r="G7617" s="2"/>
      <c r="H7617" s="2"/>
    </row>
    <row r="7618" spans="1:8" x14ac:dyDescent="0.25">
      <c r="A7618" s="1"/>
      <c r="B7618" s="1" t="s">
        <v>4688</v>
      </c>
      <c r="C7618" s="1" t="s">
        <v>4689</v>
      </c>
      <c r="D7618" s="22" t="str">
        <f>HYPERLINK("https://rhld.insurance.arkansas.gov/NPILookup?Npi=1952368003","1952368003")</f>
        <v>1952368003</v>
      </c>
      <c r="E7618" s="1" t="s">
        <v>4818</v>
      </c>
      <c r="F7618" s="2"/>
      <c r="G7618" s="2"/>
      <c r="H7618" s="2"/>
    </row>
    <row r="7619" spans="1:8" x14ac:dyDescent="0.25">
      <c r="A7619" s="1"/>
      <c r="B7619" s="1" t="s">
        <v>4688</v>
      </c>
      <c r="C7619" s="1" t="s">
        <v>4689</v>
      </c>
      <c r="D7619" s="22" t="str">
        <f>HYPERLINK("https://rhld.insurance.arkansas.gov/NPILookup?Npi=1952372567","1952372567")</f>
        <v>1952372567</v>
      </c>
      <c r="E7619" s="1" t="s">
        <v>18611</v>
      </c>
      <c r="F7619" s="2"/>
      <c r="G7619" s="2"/>
      <c r="H7619" s="2"/>
    </row>
    <row r="7620" spans="1:8" x14ac:dyDescent="0.25">
      <c r="A7620" s="1"/>
      <c r="B7620" s="1" t="s">
        <v>4688</v>
      </c>
      <c r="C7620" s="1" t="s">
        <v>4689</v>
      </c>
      <c r="D7620" s="22" t="str">
        <f>HYPERLINK("https://rhld.insurance.arkansas.gov/NPILookup?Npi=1952495780","1952495780")</f>
        <v>1952495780</v>
      </c>
      <c r="E7620" s="1" t="s">
        <v>18612</v>
      </c>
      <c r="F7620" s="2"/>
      <c r="G7620" s="2"/>
      <c r="H7620" s="2"/>
    </row>
    <row r="7621" spans="1:8" x14ac:dyDescent="0.25">
      <c r="A7621" s="1"/>
      <c r="B7621" s="1" t="s">
        <v>4688</v>
      </c>
      <c r="C7621" s="1" t="s">
        <v>4689</v>
      </c>
      <c r="D7621" s="22" t="str">
        <f>HYPERLINK("https://rhld.insurance.arkansas.gov/NPILookup?Npi=1952543084","1952543084")</f>
        <v>1952543084</v>
      </c>
      <c r="E7621" s="1" t="s">
        <v>18613</v>
      </c>
      <c r="F7621" s="2"/>
      <c r="G7621" s="2"/>
      <c r="H7621" s="2"/>
    </row>
    <row r="7622" spans="1:8" x14ac:dyDescent="0.25">
      <c r="A7622" s="1"/>
      <c r="B7622" s="1" t="s">
        <v>4688</v>
      </c>
      <c r="C7622" s="1" t="s">
        <v>4689</v>
      </c>
      <c r="D7622" s="22" t="str">
        <f>HYPERLINK("https://rhld.insurance.arkansas.gov/NPILookup?Npi=1962062158","1962062158")</f>
        <v>1962062158</v>
      </c>
      <c r="E7622" s="1" t="s">
        <v>18614</v>
      </c>
      <c r="F7622" s="2"/>
      <c r="G7622" s="2"/>
      <c r="H7622" s="2"/>
    </row>
    <row r="7623" spans="1:8" x14ac:dyDescent="0.25">
      <c r="A7623" s="1"/>
      <c r="B7623" s="1" t="s">
        <v>4688</v>
      </c>
      <c r="C7623" s="1" t="s">
        <v>4689</v>
      </c>
      <c r="D7623" s="22" t="str">
        <f>HYPERLINK("https://rhld.insurance.arkansas.gov/NPILookup?Npi=1962430504","1962430504")</f>
        <v>1962430504</v>
      </c>
      <c r="E7623" s="1" t="s">
        <v>18615</v>
      </c>
      <c r="F7623" s="2"/>
      <c r="G7623" s="2"/>
      <c r="H7623" s="2"/>
    </row>
    <row r="7624" spans="1:8" x14ac:dyDescent="0.25">
      <c r="A7624" s="1"/>
      <c r="B7624" s="1" t="s">
        <v>4688</v>
      </c>
      <c r="C7624" s="1" t="s">
        <v>4689</v>
      </c>
      <c r="D7624" s="22" t="str">
        <f>HYPERLINK("https://rhld.insurance.arkansas.gov/NPILookup?Npi=1962460519","1962460519")</f>
        <v>1962460519</v>
      </c>
      <c r="E7624" s="1" t="s">
        <v>4547</v>
      </c>
      <c r="F7624" s="2"/>
      <c r="G7624" s="2"/>
      <c r="H7624" s="2"/>
    </row>
    <row r="7625" spans="1:8" x14ac:dyDescent="0.25">
      <c r="A7625" s="1"/>
      <c r="B7625" s="1" t="s">
        <v>4688</v>
      </c>
      <c r="C7625" s="1" t="s">
        <v>4689</v>
      </c>
      <c r="D7625" s="22" t="str">
        <f>HYPERLINK("https://rhld.insurance.arkansas.gov/NPILookup?Npi=1962606756","1962606756")</f>
        <v>1962606756</v>
      </c>
      <c r="E7625" s="1" t="s">
        <v>10689</v>
      </c>
      <c r="F7625" s="2"/>
      <c r="G7625" s="2"/>
      <c r="H7625" s="2"/>
    </row>
    <row r="7626" spans="1:8" x14ac:dyDescent="0.25">
      <c r="A7626" s="1"/>
      <c r="B7626" s="1" t="s">
        <v>4688</v>
      </c>
      <c r="C7626" s="1" t="s">
        <v>4689</v>
      </c>
      <c r="D7626" s="22" t="str">
        <f>HYPERLINK("https://rhld.insurance.arkansas.gov/NPILookup?Npi=1962613158","1962613158")</f>
        <v>1962613158</v>
      </c>
      <c r="E7626" s="1" t="s">
        <v>4819</v>
      </c>
      <c r="F7626" s="2"/>
      <c r="G7626" s="2"/>
      <c r="H7626" s="2"/>
    </row>
    <row r="7627" spans="1:8" x14ac:dyDescent="0.25">
      <c r="A7627" s="1"/>
      <c r="B7627" s="1" t="s">
        <v>4688</v>
      </c>
      <c r="C7627" s="1" t="s">
        <v>4689</v>
      </c>
      <c r="D7627" s="22" t="str">
        <f>HYPERLINK("https://rhld.insurance.arkansas.gov/NPILookup?Npi=1962627984","1962627984")</f>
        <v>1962627984</v>
      </c>
      <c r="E7627" s="1" t="s">
        <v>10590</v>
      </c>
      <c r="F7627" s="2"/>
      <c r="G7627" s="2"/>
      <c r="H7627" s="2"/>
    </row>
    <row r="7628" spans="1:8" x14ac:dyDescent="0.25">
      <c r="A7628" s="1"/>
      <c r="B7628" s="1" t="s">
        <v>4688</v>
      </c>
      <c r="C7628" s="1" t="s">
        <v>4689</v>
      </c>
      <c r="D7628" s="22" t="str">
        <f>HYPERLINK("https://rhld.insurance.arkansas.gov/NPILookup?Npi=1962666420","1962666420")</f>
        <v>1962666420</v>
      </c>
      <c r="E7628" s="1" t="s">
        <v>4820</v>
      </c>
      <c r="F7628" s="2"/>
      <c r="G7628" s="2"/>
      <c r="H7628" s="2"/>
    </row>
    <row r="7629" spans="1:8" x14ac:dyDescent="0.25">
      <c r="A7629" s="1"/>
      <c r="B7629" s="1" t="s">
        <v>4688</v>
      </c>
      <c r="C7629" s="1" t="s">
        <v>4689</v>
      </c>
      <c r="D7629" s="22" t="str">
        <f>HYPERLINK("https://rhld.insurance.arkansas.gov/NPILookup?Npi=1962822692","1962822692")</f>
        <v>1962822692</v>
      </c>
      <c r="E7629" s="1" t="s">
        <v>10690</v>
      </c>
      <c r="F7629" s="2"/>
      <c r="G7629" s="2"/>
      <c r="H7629" s="2"/>
    </row>
    <row r="7630" spans="1:8" x14ac:dyDescent="0.25">
      <c r="A7630" s="1"/>
      <c r="B7630" s="1" t="s">
        <v>4688</v>
      </c>
      <c r="C7630" s="1" t="s">
        <v>4689</v>
      </c>
      <c r="D7630" s="22" t="str">
        <f>HYPERLINK("https://rhld.insurance.arkansas.gov/NPILookup?Npi=1972610905","1972610905")</f>
        <v>1972610905</v>
      </c>
      <c r="E7630" s="1" t="s">
        <v>18616</v>
      </c>
      <c r="F7630" s="2"/>
      <c r="G7630" s="2"/>
      <c r="H7630" s="2"/>
    </row>
    <row r="7631" spans="1:8" x14ac:dyDescent="0.25">
      <c r="A7631" s="1"/>
      <c r="B7631" s="1" t="s">
        <v>4688</v>
      </c>
      <c r="C7631" s="1" t="s">
        <v>4689</v>
      </c>
      <c r="D7631" s="22" t="str">
        <f>HYPERLINK("https://rhld.insurance.arkansas.gov/NPILookup?Npi=1972792117","1972792117")</f>
        <v>1972792117</v>
      </c>
      <c r="E7631" s="1" t="s">
        <v>18618</v>
      </c>
      <c r="F7631" s="2"/>
      <c r="G7631" s="2"/>
      <c r="H7631" s="2"/>
    </row>
    <row r="7632" spans="1:8" x14ac:dyDescent="0.25">
      <c r="A7632" s="1"/>
      <c r="B7632" s="1" t="s">
        <v>4688</v>
      </c>
      <c r="C7632" s="1" t="s">
        <v>4689</v>
      </c>
      <c r="D7632" s="22" t="str">
        <f>HYPERLINK("https://rhld.insurance.arkansas.gov/NPILookup?Npi=1972890564","1972890564")</f>
        <v>1972890564</v>
      </c>
      <c r="E7632" s="1" t="s">
        <v>10691</v>
      </c>
      <c r="F7632" s="2"/>
      <c r="G7632" s="2"/>
      <c r="H7632" s="2"/>
    </row>
    <row r="7633" spans="1:8" x14ac:dyDescent="0.25">
      <c r="A7633" s="1"/>
      <c r="B7633" s="1" t="s">
        <v>4688</v>
      </c>
      <c r="C7633" s="1" t="s">
        <v>4689</v>
      </c>
      <c r="D7633" s="22" t="str">
        <f>HYPERLINK("https://rhld.insurance.arkansas.gov/NPILookup?Npi=1972921443","1972921443")</f>
        <v>1972921443</v>
      </c>
      <c r="E7633" s="1" t="s">
        <v>10692</v>
      </c>
      <c r="F7633" s="2"/>
      <c r="G7633" s="2"/>
      <c r="H7633" s="2"/>
    </row>
    <row r="7634" spans="1:8" x14ac:dyDescent="0.25">
      <c r="A7634" s="1"/>
      <c r="B7634" s="1" t="s">
        <v>4688</v>
      </c>
      <c r="C7634" s="1" t="s">
        <v>4689</v>
      </c>
      <c r="D7634" s="22" t="str">
        <f>HYPERLINK("https://rhld.insurance.arkansas.gov/NPILookup?Npi=1982613683","1982613683")</f>
        <v>1982613683</v>
      </c>
      <c r="E7634" s="1" t="s">
        <v>18059</v>
      </c>
      <c r="F7634" s="2"/>
      <c r="G7634" s="2"/>
      <c r="H7634" s="2"/>
    </row>
    <row r="7635" spans="1:8" x14ac:dyDescent="0.25">
      <c r="A7635" s="1"/>
      <c r="B7635" s="1" t="s">
        <v>4688</v>
      </c>
      <c r="C7635" s="1" t="s">
        <v>4689</v>
      </c>
      <c r="D7635" s="22" t="str">
        <f>HYPERLINK("https://rhld.insurance.arkansas.gov/NPILookup?Npi=1982635991","1982635991")</f>
        <v>1982635991</v>
      </c>
      <c r="E7635" s="1" t="s">
        <v>10693</v>
      </c>
      <c r="F7635" s="2"/>
      <c r="G7635" s="2"/>
      <c r="H7635" s="2"/>
    </row>
    <row r="7636" spans="1:8" x14ac:dyDescent="0.25">
      <c r="A7636" s="1"/>
      <c r="B7636" s="1" t="s">
        <v>4688</v>
      </c>
      <c r="C7636" s="1" t="s">
        <v>4689</v>
      </c>
      <c r="D7636" s="22" t="str">
        <f>HYPERLINK("https://rhld.insurance.arkansas.gov/NPILookup?Npi=1982675195","1982675195")</f>
        <v>1982675195</v>
      </c>
      <c r="E7636" s="1" t="s">
        <v>2563</v>
      </c>
      <c r="F7636" s="2"/>
      <c r="G7636" s="2"/>
      <c r="H7636" s="2"/>
    </row>
    <row r="7637" spans="1:8" x14ac:dyDescent="0.25">
      <c r="A7637" s="1"/>
      <c r="B7637" s="1" t="s">
        <v>4688</v>
      </c>
      <c r="C7637" s="1" t="s">
        <v>4689</v>
      </c>
      <c r="D7637" s="22" t="str">
        <f>HYPERLINK("https://rhld.insurance.arkansas.gov/NPILookup?Npi=1982677167","1982677167")</f>
        <v>1982677167</v>
      </c>
      <c r="E7637" s="1" t="s">
        <v>18619</v>
      </c>
      <c r="F7637" s="2"/>
      <c r="G7637" s="2"/>
      <c r="H7637" s="2"/>
    </row>
    <row r="7638" spans="1:8" x14ac:dyDescent="0.25">
      <c r="A7638" s="1"/>
      <c r="B7638" s="1" t="s">
        <v>4688</v>
      </c>
      <c r="C7638" s="1" t="s">
        <v>4689</v>
      </c>
      <c r="D7638" s="22" t="str">
        <f>HYPERLINK("https://rhld.insurance.arkansas.gov/NPILookup?Npi=1982861985","1982861985")</f>
        <v>1982861985</v>
      </c>
      <c r="E7638" s="1" t="s">
        <v>10694</v>
      </c>
      <c r="F7638" s="2"/>
      <c r="G7638" s="2"/>
      <c r="H7638" s="2"/>
    </row>
    <row r="7639" spans="1:8" x14ac:dyDescent="0.25">
      <c r="A7639" s="1"/>
      <c r="B7639" s="1" t="s">
        <v>4688</v>
      </c>
      <c r="C7639" s="1" t="s">
        <v>4689</v>
      </c>
      <c r="D7639" s="22" t="str">
        <f>HYPERLINK("https://rhld.insurance.arkansas.gov/NPILookup?Npi=1982877973","1982877973")</f>
        <v>1982877973</v>
      </c>
      <c r="E7639" s="1" t="s">
        <v>10695</v>
      </c>
      <c r="F7639" s="2"/>
      <c r="G7639" s="2"/>
      <c r="H7639" s="2"/>
    </row>
    <row r="7640" spans="1:8" x14ac:dyDescent="0.25">
      <c r="A7640" s="1"/>
      <c r="B7640" s="1" t="s">
        <v>4688</v>
      </c>
      <c r="C7640" s="1" t="s">
        <v>4689</v>
      </c>
      <c r="D7640" s="22" t="str">
        <f>HYPERLINK("https://rhld.insurance.arkansas.gov/NPILookup?Npi=1982961058","1982961058")</f>
        <v>1982961058</v>
      </c>
      <c r="E7640" s="1" t="s">
        <v>18620</v>
      </c>
      <c r="F7640" s="2"/>
      <c r="G7640" s="2"/>
      <c r="H7640" s="2"/>
    </row>
    <row r="7641" spans="1:8" x14ac:dyDescent="0.25">
      <c r="A7641" s="1"/>
      <c r="B7641" s="1" t="s">
        <v>4688</v>
      </c>
      <c r="C7641" s="1" t="s">
        <v>4689</v>
      </c>
      <c r="D7641" s="22" t="str">
        <f>HYPERLINK("https://rhld.insurance.arkansas.gov/NPILookup?Npi=1992004121","1992004121")</f>
        <v>1992004121</v>
      </c>
      <c r="E7641" s="1" t="s">
        <v>4821</v>
      </c>
      <c r="F7641" s="2"/>
      <c r="G7641" s="2"/>
      <c r="H7641" s="2"/>
    </row>
    <row r="7642" spans="1:8" x14ac:dyDescent="0.25">
      <c r="A7642" s="1"/>
      <c r="B7642" s="1" t="s">
        <v>4688</v>
      </c>
      <c r="C7642" s="1" t="s">
        <v>4689</v>
      </c>
      <c r="D7642" s="22" t="str">
        <f>HYPERLINK("https://rhld.insurance.arkansas.gov/NPILookup?Npi=1992062855","1992062855")</f>
        <v>1992062855</v>
      </c>
      <c r="E7642" s="1" t="s">
        <v>10696</v>
      </c>
      <c r="F7642" s="2"/>
      <c r="G7642" s="2"/>
      <c r="H7642" s="2"/>
    </row>
    <row r="7643" spans="1:8" x14ac:dyDescent="0.25">
      <c r="A7643" s="1"/>
      <c r="B7643" s="1" t="s">
        <v>4688</v>
      </c>
      <c r="C7643" s="1" t="s">
        <v>4689</v>
      </c>
      <c r="D7643" s="22" t="str">
        <f>HYPERLINK("https://rhld.insurance.arkansas.gov/NPILookup?Npi=1992090401","1992090401")</f>
        <v>1992090401</v>
      </c>
      <c r="E7643" s="1" t="s">
        <v>18621</v>
      </c>
      <c r="F7643" s="2"/>
      <c r="G7643" s="2"/>
      <c r="H7643" s="2"/>
    </row>
    <row r="7644" spans="1:8" x14ac:dyDescent="0.25">
      <c r="A7644" s="1"/>
      <c r="B7644" s="1" t="s">
        <v>4688</v>
      </c>
      <c r="C7644" s="1" t="s">
        <v>4689</v>
      </c>
      <c r="D7644" s="22" t="str">
        <f>HYPERLINK("https://rhld.insurance.arkansas.gov/NPILookup?Npi=1992237689","1992237689")</f>
        <v>1992237689</v>
      </c>
      <c r="E7644" s="1" t="s">
        <v>4822</v>
      </c>
      <c r="F7644" s="2"/>
      <c r="G7644" s="2"/>
      <c r="H7644" s="2"/>
    </row>
    <row r="7645" spans="1:8" x14ac:dyDescent="0.25">
      <c r="A7645" s="1"/>
      <c r="B7645" s="1" t="s">
        <v>4688</v>
      </c>
      <c r="C7645" s="1" t="s">
        <v>4689</v>
      </c>
      <c r="D7645" s="22" t="str">
        <f>HYPERLINK("https://rhld.insurance.arkansas.gov/NPILookup?Npi=1992703938","1992703938")</f>
        <v>1992703938</v>
      </c>
      <c r="E7645" s="1" t="s">
        <v>16035</v>
      </c>
      <c r="F7645" s="2"/>
      <c r="G7645" s="2"/>
      <c r="H7645" s="2"/>
    </row>
    <row r="7646" spans="1:8" x14ac:dyDescent="0.25">
      <c r="A7646" s="1"/>
      <c r="B7646" s="1" t="s">
        <v>4688</v>
      </c>
      <c r="C7646" s="1" t="s">
        <v>4689</v>
      </c>
      <c r="D7646" s="22" t="str">
        <f>HYPERLINK("https://rhld.insurance.arkansas.gov/NPILookup?Npi=1992765853","1992765853")</f>
        <v>1992765853</v>
      </c>
      <c r="E7646" s="1" t="s">
        <v>31524</v>
      </c>
      <c r="F7646" s="2"/>
      <c r="G7646" s="2"/>
      <c r="H7646" s="2"/>
    </row>
    <row r="7647" spans="1:8" x14ac:dyDescent="0.25">
      <c r="A7647" s="1"/>
      <c r="B7647" s="1" t="s">
        <v>4688</v>
      </c>
      <c r="C7647" s="1" t="s">
        <v>4689</v>
      </c>
      <c r="D7647" s="22" t="str">
        <f>HYPERLINK("https://rhld.insurance.arkansas.gov/NPILookup?Npi=1992857106","1992857106")</f>
        <v>1992857106</v>
      </c>
      <c r="E7647" s="1" t="s">
        <v>16036</v>
      </c>
      <c r="F7647" s="2"/>
      <c r="G7647" s="2"/>
      <c r="H7647" s="2"/>
    </row>
    <row r="7648" spans="1:8" x14ac:dyDescent="0.25">
      <c r="A7648" s="1"/>
      <c r="B7648" s="1" t="s">
        <v>4688</v>
      </c>
      <c r="C7648" s="1" t="s">
        <v>4689</v>
      </c>
      <c r="D7648" s="22" t="str">
        <f>HYPERLINK("https://rhld.insurance.arkansas.gov/NPILookup?Npi=1992872311","1992872311")</f>
        <v>1992872311</v>
      </c>
      <c r="E7648" s="1" t="s">
        <v>18622</v>
      </c>
      <c r="F7648" s="2"/>
      <c r="G7648" s="2"/>
      <c r="H7648" s="2"/>
    </row>
    <row r="7649" spans="1:8" x14ac:dyDescent="0.25">
      <c r="A7649" s="1"/>
      <c r="B7649" s="1" t="s">
        <v>4688</v>
      </c>
      <c r="C7649" s="1" t="s">
        <v>4689</v>
      </c>
      <c r="D7649" s="22" t="str">
        <f>HYPERLINK("https://rhld.insurance.arkansas.gov/NPILookup?Npi=1992909485","1992909485")</f>
        <v>1992909485</v>
      </c>
      <c r="E7649" s="1" t="s">
        <v>10697</v>
      </c>
      <c r="F7649" s="2"/>
      <c r="G7649" s="2"/>
      <c r="H7649" s="2"/>
    </row>
    <row r="7650" spans="1:8" x14ac:dyDescent="0.25">
      <c r="A7650" s="1"/>
      <c r="B7650" s="1" t="s">
        <v>4823</v>
      </c>
      <c r="C7650" s="1" t="s">
        <v>4824</v>
      </c>
      <c r="D7650" s="22" t="str">
        <f>HYPERLINK("https://rhld.insurance.arkansas.gov/NPILookup?Npi=1003813437","1003813437")</f>
        <v>1003813437</v>
      </c>
      <c r="E7650" s="1" t="s">
        <v>10698</v>
      </c>
      <c r="F7650" s="2"/>
      <c r="G7650" s="2"/>
      <c r="H7650" s="2"/>
    </row>
    <row r="7651" spans="1:8" x14ac:dyDescent="0.25">
      <c r="A7651" s="1"/>
      <c r="B7651" s="1" t="s">
        <v>4823</v>
      </c>
      <c r="C7651" s="1" t="s">
        <v>4824</v>
      </c>
      <c r="D7651" s="22" t="str">
        <f>HYPERLINK("https://rhld.insurance.arkansas.gov/NPILookup?Npi=1003814054","1003814054")</f>
        <v>1003814054</v>
      </c>
      <c r="E7651" s="1" t="s">
        <v>1451</v>
      </c>
      <c r="F7651" s="2"/>
      <c r="G7651" s="2"/>
      <c r="H7651" s="2"/>
    </row>
    <row r="7652" spans="1:8" x14ac:dyDescent="0.25">
      <c r="A7652" s="1"/>
      <c r="B7652" s="1" t="s">
        <v>4823</v>
      </c>
      <c r="C7652" s="1" t="s">
        <v>4824</v>
      </c>
      <c r="D7652" s="22" t="str">
        <f>HYPERLINK("https://rhld.insurance.arkansas.gov/NPILookup?Npi=1003815283","1003815283")</f>
        <v>1003815283</v>
      </c>
      <c r="E7652" s="1" t="s">
        <v>2267</v>
      </c>
      <c r="F7652" s="2"/>
      <c r="G7652" s="2"/>
      <c r="H7652" s="2"/>
    </row>
    <row r="7653" spans="1:8" x14ac:dyDescent="0.25">
      <c r="A7653" s="1"/>
      <c r="B7653" s="1" t="s">
        <v>4823</v>
      </c>
      <c r="C7653" s="1" t="s">
        <v>4824</v>
      </c>
      <c r="D7653" s="22" t="str">
        <f>HYPERLINK("https://rhld.insurance.arkansas.gov/NPILookup?Npi=1003822016","1003822016")</f>
        <v>1003822016</v>
      </c>
      <c r="E7653" s="1" t="s">
        <v>1274</v>
      </c>
      <c r="F7653" s="2"/>
      <c r="G7653" s="2"/>
      <c r="H7653" s="2"/>
    </row>
    <row r="7654" spans="1:8" x14ac:dyDescent="0.25">
      <c r="A7654" s="1"/>
      <c r="B7654" s="1" t="s">
        <v>4823</v>
      </c>
      <c r="C7654" s="1" t="s">
        <v>4824</v>
      </c>
      <c r="D7654" s="22" t="str">
        <f>HYPERLINK("https://rhld.insurance.arkansas.gov/NPILookup?Npi=1003843582","1003843582")</f>
        <v>1003843582</v>
      </c>
      <c r="E7654" s="1" t="s">
        <v>10699</v>
      </c>
      <c r="F7654" s="2"/>
      <c r="G7654" s="2"/>
      <c r="H7654" s="2"/>
    </row>
    <row r="7655" spans="1:8" x14ac:dyDescent="0.25">
      <c r="A7655" s="1"/>
      <c r="B7655" s="1" t="s">
        <v>4823</v>
      </c>
      <c r="C7655" s="1" t="s">
        <v>4824</v>
      </c>
      <c r="D7655" s="22" t="str">
        <f>HYPERLINK("https://rhld.insurance.arkansas.gov/NPILookup?Npi=1013238054","1013238054")</f>
        <v>1013238054</v>
      </c>
      <c r="E7655" s="1" t="s">
        <v>2894</v>
      </c>
      <c r="F7655" s="2"/>
      <c r="G7655" s="2"/>
      <c r="H7655" s="2"/>
    </row>
    <row r="7656" spans="1:8" x14ac:dyDescent="0.25">
      <c r="A7656" s="1"/>
      <c r="B7656" s="1" t="s">
        <v>4823</v>
      </c>
      <c r="C7656" s="1" t="s">
        <v>4824</v>
      </c>
      <c r="D7656" s="22" t="str">
        <f>HYPERLINK("https://rhld.insurance.arkansas.gov/NPILookup?Npi=1013238955","1013238955")</f>
        <v>1013238955</v>
      </c>
      <c r="E7656" s="1" t="s">
        <v>10700</v>
      </c>
      <c r="F7656" s="2"/>
      <c r="G7656" s="2"/>
      <c r="H7656" s="2"/>
    </row>
    <row r="7657" spans="1:8" x14ac:dyDescent="0.25">
      <c r="A7657" s="1"/>
      <c r="B7657" s="1" t="s">
        <v>4823</v>
      </c>
      <c r="C7657" s="1" t="s">
        <v>4824</v>
      </c>
      <c r="D7657" s="22" t="str">
        <f>HYPERLINK("https://rhld.insurance.arkansas.gov/NPILookup?Npi=1013250265","1013250265")</f>
        <v>1013250265</v>
      </c>
      <c r="E7657" s="1" t="s">
        <v>3515</v>
      </c>
      <c r="F7657" s="2"/>
      <c r="G7657" s="2"/>
      <c r="H7657" s="2"/>
    </row>
    <row r="7658" spans="1:8" x14ac:dyDescent="0.25">
      <c r="A7658" s="1"/>
      <c r="B7658" s="1" t="s">
        <v>4823</v>
      </c>
      <c r="C7658" s="1" t="s">
        <v>4824</v>
      </c>
      <c r="D7658" s="22" t="str">
        <f>HYPERLINK("https://rhld.insurance.arkansas.gov/NPILookup?Npi=1013278613","1013278613")</f>
        <v>1013278613</v>
      </c>
      <c r="E7658" s="1" t="s">
        <v>18623</v>
      </c>
      <c r="F7658" s="2"/>
      <c r="G7658" s="2"/>
      <c r="H7658" s="2"/>
    </row>
    <row r="7659" spans="1:8" x14ac:dyDescent="0.25">
      <c r="A7659" s="1"/>
      <c r="B7659" s="1" t="s">
        <v>4823</v>
      </c>
      <c r="C7659" s="1" t="s">
        <v>4824</v>
      </c>
      <c r="D7659" s="22" t="str">
        <f>HYPERLINK("https://rhld.insurance.arkansas.gov/NPILookup?Npi=1013303700","1013303700")</f>
        <v>1013303700</v>
      </c>
      <c r="E7659" s="1" t="s">
        <v>18624</v>
      </c>
      <c r="F7659" s="2"/>
      <c r="G7659" s="2"/>
      <c r="H7659" s="2"/>
    </row>
    <row r="7660" spans="1:8" x14ac:dyDescent="0.25">
      <c r="A7660" s="1"/>
      <c r="B7660" s="1" t="s">
        <v>4823</v>
      </c>
      <c r="C7660" s="1" t="s">
        <v>4824</v>
      </c>
      <c r="D7660" s="22" t="str">
        <f>HYPERLINK("https://rhld.insurance.arkansas.gov/NPILookup?Npi=1013459981","1013459981")</f>
        <v>1013459981</v>
      </c>
      <c r="E7660" s="1" t="s">
        <v>18625</v>
      </c>
      <c r="F7660" s="2"/>
      <c r="G7660" s="2"/>
      <c r="H7660" s="2"/>
    </row>
    <row r="7661" spans="1:8" x14ac:dyDescent="0.25">
      <c r="A7661" s="1"/>
      <c r="B7661" s="1" t="s">
        <v>4823</v>
      </c>
      <c r="C7661" s="1" t="s">
        <v>4824</v>
      </c>
      <c r="D7661" s="22" t="str">
        <f>HYPERLINK("https://rhld.insurance.arkansas.gov/NPILookup?Npi=1013951524","1013951524")</f>
        <v>1013951524</v>
      </c>
      <c r="E7661" s="1" t="s">
        <v>4825</v>
      </c>
      <c r="F7661" s="2"/>
      <c r="G7661" s="2"/>
      <c r="H7661" s="2"/>
    </row>
    <row r="7662" spans="1:8" x14ac:dyDescent="0.25">
      <c r="A7662" s="1"/>
      <c r="B7662" s="1" t="s">
        <v>4823</v>
      </c>
      <c r="C7662" s="1" t="s">
        <v>4824</v>
      </c>
      <c r="D7662" s="22" t="str">
        <f>HYPERLINK("https://rhld.insurance.arkansas.gov/NPILookup?Npi=1013988609","1013988609")</f>
        <v>1013988609</v>
      </c>
      <c r="E7662" s="1" t="s">
        <v>18626</v>
      </c>
      <c r="F7662" s="2"/>
      <c r="G7662" s="2"/>
      <c r="H7662" s="2"/>
    </row>
    <row r="7663" spans="1:8" x14ac:dyDescent="0.25">
      <c r="A7663" s="1"/>
      <c r="B7663" s="1" t="s">
        <v>4823</v>
      </c>
      <c r="C7663" s="1" t="s">
        <v>4824</v>
      </c>
      <c r="D7663" s="22" t="str">
        <f>HYPERLINK("https://rhld.insurance.arkansas.gov/NPILookup?Npi=1023075611","1023075611")</f>
        <v>1023075611</v>
      </c>
      <c r="E7663" s="1" t="s">
        <v>18627</v>
      </c>
      <c r="F7663" s="2"/>
      <c r="G7663" s="2"/>
      <c r="H7663" s="2"/>
    </row>
    <row r="7664" spans="1:8" x14ac:dyDescent="0.25">
      <c r="A7664" s="1"/>
      <c r="B7664" s="1" t="s">
        <v>4823</v>
      </c>
      <c r="C7664" s="1" t="s">
        <v>4824</v>
      </c>
      <c r="D7664" s="22" t="str">
        <f>HYPERLINK("https://rhld.insurance.arkansas.gov/NPILookup?Npi=1023086451","1023086451")</f>
        <v>1023086451</v>
      </c>
      <c r="E7664" s="1" t="s">
        <v>18628</v>
      </c>
      <c r="F7664" s="2"/>
      <c r="G7664" s="2"/>
      <c r="H7664" s="2"/>
    </row>
    <row r="7665" spans="1:8" x14ac:dyDescent="0.25">
      <c r="A7665" s="1"/>
      <c r="B7665" s="1" t="s">
        <v>4823</v>
      </c>
      <c r="C7665" s="1" t="s">
        <v>4824</v>
      </c>
      <c r="D7665" s="22" t="str">
        <f>HYPERLINK("https://rhld.insurance.arkansas.gov/NPILookup?Npi=1033203955","1033203955")</f>
        <v>1033203955</v>
      </c>
      <c r="E7665" s="1" t="s">
        <v>2268</v>
      </c>
      <c r="F7665" s="2"/>
      <c r="G7665" s="2"/>
      <c r="H7665" s="2"/>
    </row>
    <row r="7666" spans="1:8" x14ac:dyDescent="0.25">
      <c r="A7666" s="1"/>
      <c r="B7666" s="1" t="s">
        <v>4823</v>
      </c>
      <c r="C7666" s="1" t="s">
        <v>4824</v>
      </c>
      <c r="D7666" s="22" t="str">
        <f>HYPERLINK("https://rhld.insurance.arkansas.gov/NPILookup?Npi=1033434527","1033434527")</f>
        <v>1033434527</v>
      </c>
      <c r="E7666" s="1" t="s">
        <v>18629</v>
      </c>
      <c r="F7666" s="2"/>
      <c r="G7666" s="2"/>
      <c r="H7666" s="2"/>
    </row>
    <row r="7667" spans="1:8" x14ac:dyDescent="0.25">
      <c r="A7667" s="1"/>
      <c r="B7667" s="1" t="s">
        <v>4823</v>
      </c>
      <c r="C7667" s="1" t="s">
        <v>4824</v>
      </c>
      <c r="D7667" s="22" t="str">
        <f>HYPERLINK("https://rhld.insurance.arkansas.gov/NPILookup?Npi=1033573746","1033573746")</f>
        <v>1033573746</v>
      </c>
      <c r="E7667" s="1" t="s">
        <v>18630</v>
      </c>
      <c r="F7667" s="2"/>
      <c r="G7667" s="2"/>
      <c r="H7667" s="2"/>
    </row>
    <row r="7668" spans="1:8" x14ac:dyDescent="0.25">
      <c r="A7668" s="1"/>
      <c r="B7668" s="1" t="s">
        <v>4823</v>
      </c>
      <c r="C7668" s="1" t="s">
        <v>4824</v>
      </c>
      <c r="D7668" s="22" t="str">
        <f>HYPERLINK("https://rhld.insurance.arkansas.gov/NPILookup?Npi=1033849765","1033849765")</f>
        <v>1033849765</v>
      </c>
      <c r="E7668" s="1" t="s">
        <v>4826</v>
      </c>
      <c r="F7668" s="2"/>
      <c r="G7668" s="2"/>
      <c r="H7668" s="2"/>
    </row>
    <row r="7669" spans="1:8" x14ac:dyDescent="0.25">
      <c r="A7669" s="1"/>
      <c r="B7669" s="1" t="s">
        <v>4823</v>
      </c>
      <c r="C7669" s="1" t="s">
        <v>4824</v>
      </c>
      <c r="D7669" s="22" t="str">
        <f>HYPERLINK("https://rhld.insurance.arkansas.gov/NPILookup?Npi=1043300536","1043300536")</f>
        <v>1043300536</v>
      </c>
      <c r="E7669" s="1" t="s">
        <v>18631</v>
      </c>
      <c r="F7669" s="2"/>
      <c r="G7669" s="2"/>
      <c r="H7669" s="2"/>
    </row>
    <row r="7670" spans="1:8" x14ac:dyDescent="0.25">
      <c r="A7670" s="1"/>
      <c r="B7670" s="1" t="s">
        <v>4823</v>
      </c>
      <c r="C7670" s="1" t="s">
        <v>4824</v>
      </c>
      <c r="D7670" s="22" t="str">
        <f>HYPERLINK("https://rhld.insurance.arkansas.gov/NPILookup?Npi=1043363005","1043363005")</f>
        <v>1043363005</v>
      </c>
      <c r="E7670" s="1" t="s">
        <v>3516</v>
      </c>
      <c r="F7670" s="2"/>
      <c r="G7670" s="2"/>
      <c r="H7670" s="2"/>
    </row>
    <row r="7671" spans="1:8" x14ac:dyDescent="0.25">
      <c r="A7671" s="1"/>
      <c r="B7671" s="1" t="s">
        <v>4823</v>
      </c>
      <c r="C7671" s="1" t="s">
        <v>4824</v>
      </c>
      <c r="D7671" s="22" t="str">
        <f>HYPERLINK("https://rhld.insurance.arkansas.gov/NPILookup?Npi=1043624232","1043624232")</f>
        <v>1043624232</v>
      </c>
      <c r="E7671" s="1" t="s">
        <v>18632</v>
      </c>
      <c r="F7671" s="2"/>
      <c r="G7671" s="2"/>
      <c r="H7671" s="2"/>
    </row>
    <row r="7672" spans="1:8" x14ac:dyDescent="0.25">
      <c r="A7672" s="1"/>
      <c r="B7672" s="1" t="s">
        <v>4823</v>
      </c>
      <c r="C7672" s="1" t="s">
        <v>4824</v>
      </c>
      <c r="D7672" s="22" t="str">
        <f>HYPERLINK("https://rhld.insurance.arkansas.gov/NPILookup?Npi=1043660624","1043660624")</f>
        <v>1043660624</v>
      </c>
      <c r="E7672" s="1" t="s">
        <v>4827</v>
      </c>
      <c r="F7672" s="2"/>
      <c r="G7672" s="2"/>
      <c r="H7672" s="2"/>
    </row>
    <row r="7673" spans="1:8" x14ac:dyDescent="0.25">
      <c r="A7673" s="1"/>
      <c r="B7673" s="1" t="s">
        <v>4823</v>
      </c>
      <c r="C7673" s="1" t="s">
        <v>4824</v>
      </c>
      <c r="D7673" s="22" t="str">
        <f>HYPERLINK("https://rhld.insurance.arkansas.gov/NPILookup?Npi=1053316745","1053316745")</f>
        <v>1053316745</v>
      </c>
      <c r="E7673" s="1" t="s">
        <v>16202</v>
      </c>
      <c r="F7673" s="2"/>
      <c r="G7673" s="2"/>
      <c r="H7673" s="2"/>
    </row>
    <row r="7674" spans="1:8" x14ac:dyDescent="0.25">
      <c r="A7674" s="1"/>
      <c r="B7674" s="1" t="s">
        <v>4823</v>
      </c>
      <c r="C7674" s="1" t="s">
        <v>4824</v>
      </c>
      <c r="D7674" s="22" t="str">
        <f>HYPERLINK("https://rhld.insurance.arkansas.gov/NPILookup?Npi=1053322974","1053322974")</f>
        <v>1053322974</v>
      </c>
      <c r="E7674" s="1" t="s">
        <v>18633</v>
      </c>
      <c r="F7674" s="2"/>
      <c r="G7674" s="2"/>
      <c r="H7674" s="2"/>
    </row>
    <row r="7675" spans="1:8" x14ac:dyDescent="0.25">
      <c r="A7675" s="1"/>
      <c r="B7675" s="1" t="s">
        <v>4823</v>
      </c>
      <c r="C7675" s="1" t="s">
        <v>4824</v>
      </c>
      <c r="D7675" s="22" t="str">
        <f>HYPERLINK("https://rhld.insurance.arkansas.gov/NPILookup?Npi=1053343467","1053343467")</f>
        <v>1053343467</v>
      </c>
      <c r="E7675" s="1" t="s">
        <v>10701</v>
      </c>
      <c r="F7675" s="2"/>
      <c r="G7675" s="2"/>
      <c r="H7675" s="2"/>
    </row>
    <row r="7676" spans="1:8" x14ac:dyDescent="0.25">
      <c r="A7676" s="1"/>
      <c r="B7676" s="1" t="s">
        <v>4823</v>
      </c>
      <c r="C7676" s="1" t="s">
        <v>4824</v>
      </c>
      <c r="D7676" s="22" t="str">
        <f>HYPERLINK("https://rhld.insurance.arkansas.gov/NPILookup?Npi=1053366617","1053366617")</f>
        <v>1053366617</v>
      </c>
      <c r="E7676" s="1" t="s">
        <v>18634</v>
      </c>
      <c r="F7676" s="2"/>
      <c r="G7676" s="2"/>
      <c r="H7676" s="2"/>
    </row>
    <row r="7677" spans="1:8" x14ac:dyDescent="0.25">
      <c r="A7677" s="1"/>
      <c r="B7677" s="1" t="s">
        <v>4823</v>
      </c>
      <c r="C7677" s="1" t="s">
        <v>4824</v>
      </c>
      <c r="D7677" s="22" t="str">
        <f>HYPERLINK("https://rhld.insurance.arkansas.gov/NPILookup?Npi=1053388355","1053388355")</f>
        <v>1053388355</v>
      </c>
      <c r="E7677" s="1" t="s">
        <v>18635</v>
      </c>
      <c r="F7677" s="2"/>
      <c r="G7677" s="2"/>
      <c r="H7677" s="2"/>
    </row>
    <row r="7678" spans="1:8" x14ac:dyDescent="0.25">
      <c r="A7678" s="1"/>
      <c r="B7678" s="1" t="s">
        <v>4823</v>
      </c>
      <c r="C7678" s="1" t="s">
        <v>4824</v>
      </c>
      <c r="D7678" s="22" t="str">
        <f>HYPERLINK("https://rhld.insurance.arkansas.gov/NPILookup?Npi=1053396200","1053396200")</f>
        <v>1053396200</v>
      </c>
      <c r="E7678" s="1" t="s">
        <v>18636</v>
      </c>
      <c r="F7678" s="2"/>
      <c r="G7678" s="2"/>
      <c r="H7678" s="2"/>
    </row>
    <row r="7679" spans="1:8" x14ac:dyDescent="0.25">
      <c r="A7679" s="1"/>
      <c r="B7679" s="1" t="s">
        <v>4823</v>
      </c>
      <c r="C7679" s="1" t="s">
        <v>4824</v>
      </c>
      <c r="D7679" s="22" t="str">
        <f>HYPERLINK("https://rhld.insurance.arkansas.gov/NPILookup?Npi=1053441659","1053441659")</f>
        <v>1053441659</v>
      </c>
      <c r="E7679" s="1" t="s">
        <v>4829</v>
      </c>
      <c r="F7679" s="2"/>
      <c r="G7679" s="2"/>
      <c r="H7679" s="2"/>
    </row>
    <row r="7680" spans="1:8" x14ac:dyDescent="0.25">
      <c r="A7680" s="1"/>
      <c r="B7680" s="1" t="s">
        <v>4823</v>
      </c>
      <c r="C7680" s="1" t="s">
        <v>4824</v>
      </c>
      <c r="D7680" s="22" t="str">
        <f>HYPERLINK("https://rhld.insurance.arkansas.gov/NPILookup?Npi=1053601492","1053601492")</f>
        <v>1053601492</v>
      </c>
      <c r="E7680" s="1" t="s">
        <v>10702</v>
      </c>
      <c r="F7680" s="2"/>
      <c r="G7680" s="2"/>
      <c r="H7680" s="2"/>
    </row>
    <row r="7681" spans="1:8" x14ac:dyDescent="0.25">
      <c r="A7681" s="1"/>
      <c r="B7681" s="1" t="s">
        <v>4823</v>
      </c>
      <c r="C7681" s="1" t="s">
        <v>4824</v>
      </c>
      <c r="D7681" s="22" t="str">
        <f>HYPERLINK("https://rhld.insurance.arkansas.gov/NPILookup?Npi=1053637603","1053637603")</f>
        <v>1053637603</v>
      </c>
      <c r="E7681" s="1" t="s">
        <v>18637</v>
      </c>
      <c r="F7681" s="2"/>
      <c r="G7681" s="2"/>
      <c r="H7681" s="2"/>
    </row>
    <row r="7682" spans="1:8" x14ac:dyDescent="0.25">
      <c r="A7682" s="1"/>
      <c r="B7682" s="1" t="s">
        <v>4823</v>
      </c>
      <c r="C7682" s="1" t="s">
        <v>4824</v>
      </c>
      <c r="D7682" s="22" t="str">
        <f>HYPERLINK("https://rhld.insurance.arkansas.gov/NPILookup?Npi=1053927012","1053927012")</f>
        <v>1053927012</v>
      </c>
      <c r="E7682" s="1" t="s">
        <v>18638</v>
      </c>
      <c r="F7682" s="2"/>
      <c r="G7682" s="2"/>
      <c r="H7682" s="2"/>
    </row>
    <row r="7683" spans="1:8" x14ac:dyDescent="0.25">
      <c r="A7683" s="1"/>
      <c r="B7683" s="1" t="s">
        <v>4823</v>
      </c>
      <c r="C7683" s="1" t="s">
        <v>4824</v>
      </c>
      <c r="D7683" s="22" t="str">
        <f>HYPERLINK("https://rhld.insurance.arkansas.gov/NPILookup?Npi=1063408409","1063408409")</f>
        <v>1063408409</v>
      </c>
      <c r="E7683" s="1" t="s">
        <v>2270</v>
      </c>
      <c r="F7683" s="2"/>
      <c r="G7683" s="2"/>
      <c r="H7683" s="2"/>
    </row>
    <row r="7684" spans="1:8" x14ac:dyDescent="0.25">
      <c r="A7684" s="1"/>
      <c r="B7684" s="1" t="s">
        <v>4823</v>
      </c>
      <c r="C7684" s="1" t="s">
        <v>4824</v>
      </c>
      <c r="D7684" s="22" t="str">
        <f>HYPERLINK("https://rhld.insurance.arkansas.gov/NPILookup?Npi=1063449692","1063449692")</f>
        <v>1063449692</v>
      </c>
      <c r="E7684" s="1" t="s">
        <v>18639</v>
      </c>
      <c r="F7684" s="2"/>
      <c r="G7684" s="2"/>
      <c r="H7684" s="2"/>
    </row>
    <row r="7685" spans="1:8" x14ac:dyDescent="0.25">
      <c r="A7685" s="1"/>
      <c r="B7685" s="1" t="s">
        <v>4823</v>
      </c>
      <c r="C7685" s="1" t="s">
        <v>4824</v>
      </c>
      <c r="D7685" s="22" t="str">
        <f>HYPERLINK("https://rhld.insurance.arkansas.gov/NPILookup?Npi=1063468007","1063468007")</f>
        <v>1063468007</v>
      </c>
      <c r="E7685" s="1" t="s">
        <v>18640</v>
      </c>
      <c r="F7685" s="2"/>
      <c r="G7685" s="2"/>
      <c r="H7685" s="2"/>
    </row>
    <row r="7686" spans="1:8" x14ac:dyDescent="0.25">
      <c r="A7686" s="1"/>
      <c r="B7686" s="1" t="s">
        <v>4823</v>
      </c>
      <c r="C7686" s="1" t="s">
        <v>4824</v>
      </c>
      <c r="D7686" s="22" t="str">
        <f>HYPERLINK("https://rhld.insurance.arkansas.gov/NPILookup?Npi=1063486959","1063486959")</f>
        <v>1063486959</v>
      </c>
      <c r="E7686" s="1" t="s">
        <v>4830</v>
      </c>
      <c r="F7686" s="2"/>
      <c r="G7686" s="2"/>
      <c r="H7686" s="2"/>
    </row>
    <row r="7687" spans="1:8" x14ac:dyDescent="0.25">
      <c r="A7687" s="1"/>
      <c r="B7687" s="1" t="s">
        <v>4823</v>
      </c>
      <c r="C7687" s="1" t="s">
        <v>4824</v>
      </c>
      <c r="D7687" s="22" t="str">
        <f>HYPERLINK("https://rhld.insurance.arkansas.gov/NPILookup?Npi=1073554929","1073554929")</f>
        <v>1073554929</v>
      </c>
      <c r="E7687" s="1" t="s">
        <v>10703</v>
      </c>
      <c r="F7687" s="2"/>
      <c r="G7687" s="2"/>
      <c r="H7687" s="2"/>
    </row>
    <row r="7688" spans="1:8" x14ac:dyDescent="0.25">
      <c r="A7688" s="1"/>
      <c r="B7688" s="1" t="s">
        <v>4823</v>
      </c>
      <c r="C7688" s="1" t="s">
        <v>4824</v>
      </c>
      <c r="D7688" s="22" t="str">
        <f>HYPERLINK("https://rhld.insurance.arkansas.gov/NPILookup?Npi=1073557005","1073557005")</f>
        <v>1073557005</v>
      </c>
      <c r="E7688" s="1" t="s">
        <v>10704</v>
      </c>
      <c r="F7688" s="2"/>
      <c r="G7688" s="2"/>
      <c r="H7688" s="2"/>
    </row>
    <row r="7689" spans="1:8" x14ac:dyDescent="0.25">
      <c r="A7689" s="1"/>
      <c r="B7689" s="1" t="s">
        <v>4823</v>
      </c>
      <c r="C7689" s="1" t="s">
        <v>4824</v>
      </c>
      <c r="D7689" s="22" t="str">
        <f>HYPERLINK("https://rhld.insurance.arkansas.gov/NPILookup?Npi=1073570156","1073570156")</f>
        <v>1073570156</v>
      </c>
      <c r="E7689" s="1" t="s">
        <v>18641</v>
      </c>
      <c r="F7689" s="2"/>
      <c r="G7689" s="2"/>
      <c r="H7689" s="2"/>
    </row>
    <row r="7690" spans="1:8" x14ac:dyDescent="0.25">
      <c r="A7690" s="1"/>
      <c r="B7690" s="1" t="s">
        <v>4823</v>
      </c>
      <c r="C7690" s="1" t="s">
        <v>4824</v>
      </c>
      <c r="D7690" s="22" t="str">
        <f>HYPERLINK("https://rhld.insurance.arkansas.gov/NPILookup?Npi=1073575148","1073575148")</f>
        <v>1073575148</v>
      </c>
      <c r="E7690" s="1" t="s">
        <v>18642</v>
      </c>
      <c r="F7690" s="2"/>
      <c r="G7690" s="2"/>
      <c r="H7690" s="2"/>
    </row>
    <row r="7691" spans="1:8" x14ac:dyDescent="0.25">
      <c r="A7691" s="1"/>
      <c r="B7691" s="1" t="s">
        <v>4823</v>
      </c>
      <c r="C7691" s="1" t="s">
        <v>4824</v>
      </c>
      <c r="D7691" s="22" t="str">
        <f>HYPERLINK("https://rhld.insurance.arkansas.gov/NPILookup?Npi=1083091110","1083091110")</f>
        <v>1083091110</v>
      </c>
      <c r="E7691" s="1" t="s">
        <v>18643</v>
      </c>
      <c r="F7691" s="2"/>
      <c r="G7691" s="2"/>
      <c r="H7691" s="2"/>
    </row>
    <row r="7692" spans="1:8" x14ac:dyDescent="0.25">
      <c r="A7692" s="1"/>
      <c r="B7692" s="1" t="s">
        <v>4823</v>
      </c>
      <c r="C7692" s="1" t="s">
        <v>4824</v>
      </c>
      <c r="D7692" s="22" t="str">
        <f>HYPERLINK("https://rhld.insurance.arkansas.gov/NPILookup?Npi=1083633366","1083633366")</f>
        <v>1083633366</v>
      </c>
      <c r="E7692" s="1" t="s">
        <v>10705</v>
      </c>
      <c r="F7692" s="2"/>
      <c r="G7692" s="2"/>
      <c r="H7692" s="2"/>
    </row>
    <row r="7693" spans="1:8" x14ac:dyDescent="0.25">
      <c r="A7693" s="1"/>
      <c r="B7693" s="1" t="s">
        <v>4823</v>
      </c>
      <c r="C7693" s="1" t="s">
        <v>4824</v>
      </c>
      <c r="D7693" s="22" t="str">
        <f>HYPERLINK("https://rhld.insurance.arkansas.gov/NPILookup?Npi=1083806210","1083806210")</f>
        <v>1083806210</v>
      </c>
      <c r="E7693" s="1" t="s">
        <v>18644</v>
      </c>
      <c r="F7693" s="2"/>
      <c r="G7693" s="2"/>
      <c r="H7693" s="2"/>
    </row>
    <row r="7694" spans="1:8" x14ac:dyDescent="0.25">
      <c r="A7694" s="1"/>
      <c r="B7694" s="1" t="s">
        <v>4823</v>
      </c>
      <c r="C7694" s="1" t="s">
        <v>4824</v>
      </c>
      <c r="D7694" s="22" t="str">
        <f>HYPERLINK("https://rhld.insurance.arkansas.gov/NPILookup?Npi=1083932842","1083932842")</f>
        <v>1083932842</v>
      </c>
      <c r="E7694" s="1" t="s">
        <v>18645</v>
      </c>
      <c r="F7694" s="2"/>
      <c r="G7694" s="2"/>
      <c r="H7694" s="2"/>
    </row>
    <row r="7695" spans="1:8" x14ac:dyDescent="0.25">
      <c r="A7695" s="1"/>
      <c r="B7695" s="1" t="s">
        <v>4823</v>
      </c>
      <c r="C7695" s="1" t="s">
        <v>4824</v>
      </c>
      <c r="D7695" s="22" t="str">
        <f>HYPERLINK("https://rhld.insurance.arkansas.gov/NPILookup?Npi=1093717035","1093717035")</f>
        <v>1093717035</v>
      </c>
      <c r="E7695" s="1" t="s">
        <v>10706</v>
      </c>
      <c r="F7695" s="2"/>
      <c r="G7695" s="2"/>
      <c r="H7695" s="2"/>
    </row>
    <row r="7696" spans="1:8" x14ac:dyDescent="0.25">
      <c r="A7696" s="1"/>
      <c r="B7696" s="1" t="s">
        <v>4823</v>
      </c>
      <c r="C7696" s="1" t="s">
        <v>4824</v>
      </c>
      <c r="D7696" s="22" t="str">
        <f>HYPERLINK("https://rhld.insurance.arkansas.gov/NPILookup?Npi=1093722423","1093722423")</f>
        <v>1093722423</v>
      </c>
      <c r="E7696" s="1" t="s">
        <v>2557</v>
      </c>
      <c r="F7696" s="2"/>
      <c r="G7696" s="2"/>
      <c r="H7696" s="2"/>
    </row>
    <row r="7697" spans="1:8" x14ac:dyDescent="0.25">
      <c r="A7697" s="1"/>
      <c r="B7697" s="1" t="s">
        <v>4823</v>
      </c>
      <c r="C7697" s="1" t="s">
        <v>4824</v>
      </c>
      <c r="D7697" s="22" t="str">
        <f>HYPERLINK("https://rhld.insurance.arkansas.gov/NPILookup?Npi=1093742314","1093742314")</f>
        <v>1093742314</v>
      </c>
      <c r="E7697" s="1" t="s">
        <v>10707</v>
      </c>
      <c r="F7697" s="2"/>
      <c r="G7697" s="2"/>
      <c r="H7697" s="2"/>
    </row>
    <row r="7698" spans="1:8" x14ac:dyDescent="0.25">
      <c r="A7698" s="1"/>
      <c r="B7698" s="1" t="s">
        <v>4823</v>
      </c>
      <c r="C7698" s="1" t="s">
        <v>4824</v>
      </c>
      <c r="D7698" s="22" t="str">
        <f>HYPERLINK("https://rhld.insurance.arkansas.gov/NPILookup?Npi=1093772055","1093772055")</f>
        <v>1093772055</v>
      </c>
      <c r="E7698" s="1" t="s">
        <v>31525</v>
      </c>
      <c r="F7698" s="2"/>
      <c r="G7698" s="2"/>
      <c r="H7698" s="2"/>
    </row>
    <row r="7699" spans="1:8" x14ac:dyDescent="0.25">
      <c r="A7699" s="1"/>
      <c r="B7699" s="1" t="s">
        <v>4823</v>
      </c>
      <c r="C7699" s="1" t="s">
        <v>4824</v>
      </c>
      <c r="D7699" s="22" t="str">
        <f>HYPERLINK("https://rhld.insurance.arkansas.gov/NPILookup?Npi=1093844086","1093844086")</f>
        <v>1093844086</v>
      </c>
      <c r="E7699" s="1" t="s">
        <v>10708</v>
      </c>
      <c r="F7699" s="2"/>
      <c r="G7699" s="2"/>
      <c r="H7699" s="2"/>
    </row>
    <row r="7700" spans="1:8" x14ac:dyDescent="0.25">
      <c r="A7700" s="1"/>
      <c r="B7700" s="1" t="s">
        <v>4823</v>
      </c>
      <c r="C7700" s="1" t="s">
        <v>4824</v>
      </c>
      <c r="D7700" s="22" t="str">
        <f>HYPERLINK("https://rhld.insurance.arkansas.gov/NPILookup?Npi=1093866733","1093866733")</f>
        <v>1093866733</v>
      </c>
      <c r="E7700" s="1" t="s">
        <v>18646</v>
      </c>
      <c r="F7700" s="2"/>
      <c r="G7700" s="2"/>
      <c r="H7700" s="2"/>
    </row>
    <row r="7701" spans="1:8" x14ac:dyDescent="0.25">
      <c r="A7701" s="1"/>
      <c r="B7701" s="1" t="s">
        <v>4823</v>
      </c>
      <c r="C7701" s="1" t="s">
        <v>4824</v>
      </c>
      <c r="D7701" s="22" t="str">
        <f>HYPERLINK("https://rhld.insurance.arkansas.gov/NPILookup?Npi=1093945834","1093945834")</f>
        <v>1093945834</v>
      </c>
      <c r="E7701" s="1" t="s">
        <v>18647</v>
      </c>
      <c r="F7701" s="2"/>
      <c r="G7701" s="2"/>
      <c r="H7701" s="2"/>
    </row>
    <row r="7702" spans="1:8" x14ac:dyDescent="0.25">
      <c r="A7702" s="1"/>
      <c r="B7702" s="1" t="s">
        <v>4823</v>
      </c>
      <c r="C7702" s="1" t="s">
        <v>4824</v>
      </c>
      <c r="D7702" s="22" t="str">
        <f>HYPERLINK("https://rhld.insurance.arkansas.gov/NPILookup?Npi=1104210830","1104210830")</f>
        <v>1104210830</v>
      </c>
      <c r="E7702" s="1" t="s">
        <v>1448</v>
      </c>
      <c r="F7702" s="2"/>
      <c r="G7702" s="2"/>
      <c r="H7702" s="2"/>
    </row>
    <row r="7703" spans="1:8" x14ac:dyDescent="0.25">
      <c r="A7703" s="1"/>
      <c r="B7703" s="1" t="s">
        <v>4823</v>
      </c>
      <c r="C7703" s="1" t="s">
        <v>4824</v>
      </c>
      <c r="D7703" s="22" t="str">
        <f>HYPERLINK("https://rhld.insurance.arkansas.gov/NPILookup?Npi=1104269745","1104269745")</f>
        <v>1104269745</v>
      </c>
      <c r="E7703" s="1" t="s">
        <v>18648</v>
      </c>
      <c r="F7703" s="2"/>
      <c r="G7703" s="2"/>
      <c r="H7703" s="2"/>
    </row>
    <row r="7704" spans="1:8" x14ac:dyDescent="0.25">
      <c r="A7704" s="1"/>
      <c r="B7704" s="1" t="s">
        <v>4823</v>
      </c>
      <c r="C7704" s="1" t="s">
        <v>4824</v>
      </c>
      <c r="D7704" s="22" t="str">
        <f>HYPERLINK("https://rhld.insurance.arkansas.gov/NPILookup?Npi=1104853803","1104853803")</f>
        <v>1104853803</v>
      </c>
      <c r="E7704" s="1" t="s">
        <v>10709</v>
      </c>
      <c r="F7704" s="2"/>
      <c r="G7704" s="2"/>
      <c r="H7704" s="2"/>
    </row>
    <row r="7705" spans="1:8" x14ac:dyDescent="0.25">
      <c r="A7705" s="1"/>
      <c r="B7705" s="1" t="s">
        <v>4823</v>
      </c>
      <c r="C7705" s="1" t="s">
        <v>4824</v>
      </c>
      <c r="D7705" s="22" t="str">
        <f>HYPERLINK("https://rhld.insurance.arkansas.gov/NPILookup?Npi=1104870237","1104870237")</f>
        <v>1104870237</v>
      </c>
      <c r="E7705" s="1" t="s">
        <v>10710</v>
      </c>
      <c r="F7705" s="2"/>
      <c r="G7705" s="2"/>
      <c r="H7705" s="2"/>
    </row>
    <row r="7706" spans="1:8" x14ac:dyDescent="0.25">
      <c r="A7706" s="1"/>
      <c r="B7706" s="1" t="s">
        <v>4823</v>
      </c>
      <c r="C7706" s="1" t="s">
        <v>4824</v>
      </c>
      <c r="D7706" s="22" t="str">
        <f>HYPERLINK("https://rhld.insurance.arkansas.gov/NPILookup?Npi=1104886761","1104886761")</f>
        <v>1104886761</v>
      </c>
      <c r="E7706" s="1" t="s">
        <v>3298</v>
      </c>
      <c r="F7706" s="2"/>
      <c r="G7706" s="2"/>
      <c r="H7706" s="2"/>
    </row>
    <row r="7707" spans="1:8" x14ac:dyDescent="0.25">
      <c r="A7707" s="1"/>
      <c r="B7707" s="1" t="s">
        <v>4823</v>
      </c>
      <c r="C7707" s="1" t="s">
        <v>4824</v>
      </c>
      <c r="D7707" s="22" t="str">
        <f>HYPERLINK("https://rhld.insurance.arkansas.gov/NPILookup?Npi=1104894047","1104894047")</f>
        <v>1104894047</v>
      </c>
      <c r="E7707" s="1" t="s">
        <v>18649</v>
      </c>
      <c r="F7707" s="2"/>
      <c r="G7707" s="2"/>
      <c r="H7707" s="2"/>
    </row>
    <row r="7708" spans="1:8" x14ac:dyDescent="0.25">
      <c r="A7708" s="1"/>
      <c r="B7708" s="1" t="s">
        <v>4823</v>
      </c>
      <c r="C7708" s="1" t="s">
        <v>4824</v>
      </c>
      <c r="D7708" s="22" t="str">
        <f>HYPERLINK("https://rhld.insurance.arkansas.gov/NPILookup?Npi=1104981208","1104981208")</f>
        <v>1104981208</v>
      </c>
      <c r="E7708" s="1" t="s">
        <v>18650</v>
      </c>
      <c r="F7708" s="2"/>
      <c r="G7708" s="2"/>
      <c r="H7708" s="2"/>
    </row>
    <row r="7709" spans="1:8" x14ac:dyDescent="0.25">
      <c r="A7709" s="1"/>
      <c r="B7709" s="1" t="s">
        <v>4823</v>
      </c>
      <c r="C7709" s="1" t="s">
        <v>4824</v>
      </c>
      <c r="D7709" s="22" t="str">
        <f>HYPERLINK("https://rhld.insurance.arkansas.gov/NPILookup?Npi=1114037546","1114037546")</f>
        <v>1114037546</v>
      </c>
      <c r="E7709" s="1" t="s">
        <v>1537</v>
      </c>
      <c r="F7709" s="2"/>
      <c r="G7709" s="2"/>
      <c r="H7709" s="2"/>
    </row>
    <row r="7710" spans="1:8" x14ac:dyDescent="0.25">
      <c r="A7710" s="1"/>
      <c r="B7710" s="1" t="s">
        <v>4823</v>
      </c>
      <c r="C7710" s="1" t="s">
        <v>4824</v>
      </c>
      <c r="D7710" s="22" t="str">
        <f>HYPERLINK("https://rhld.insurance.arkansas.gov/NPILookup?Npi=1114125036","1114125036")</f>
        <v>1114125036</v>
      </c>
      <c r="E7710" s="1" t="s">
        <v>4832</v>
      </c>
      <c r="F7710" s="2"/>
      <c r="G7710" s="2"/>
      <c r="H7710" s="2"/>
    </row>
    <row r="7711" spans="1:8" x14ac:dyDescent="0.25">
      <c r="A7711" s="1"/>
      <c r="B7711" s="1" t="s">
        <v>4823</v>
      </c>
      <c r="C7711" s="1" t="s">
        <v>4824</v>
      </c>
      <c r="D7711" s="22" t="str">
        <f>HYPERLINK("https://rhld.insurance.arkansas.gov/NPILookup?Npi=1114134228","1114134228")</f>
        <v>1114134228</v>
      </c>
      <c r="E7711" s="1" t="s">
        <v>18651</v>
      </c>
      <c r="F7711" s="2"/>
      <c r="G7711" s="2"/>
      <c r="H7711" s="2"/>
    </row>
    <row r="7712" spans="1:8" x14ac:dyDescent="0.25">
      <c r="A7712" s="1"/>
      <c r="B7712" s="1" t="s">
        <v>4823</v>
      </c>
      <c r="C7712" s="1" t="s">
        <v>4824</v>
      </c>
      <c r="D7712" s="22" t="str">
        <f>HYPERLINK("https://rhld.insurance.arkansas.gov/NPILookup?Npi=1114194966","1114194966")</f>
        <v>1114194966</v>
      </c>
      <c r="E7712" s="1" t="s">
        <v>18652</v>
      </c>
      <c r="F7712" s="2"/>
      <c r="G7712" s="2"/>
      <c r="H7712" s="2"/>
    </row>
    <row r="7713" spans="1:8" x14ac:dyDescent="0.25">
      <c r="A7713" s="1"/>
      <c r="B7713" s="1" t="s">
        <v>4823</v>
      </c>
      <c r="C7713" s="1" t="s">
        <v>4824</v>
      </c>
      <c r="D7713" s="22" t="str">
        <f>HYPERLINK("https://rhld.insurance.arkansas.gov/NPILookup?Npi=1114360641","1114360641")</f>
        <v>1114360641</v>
      </c>
      <c r="E7713" s="1" t="s">
        <v>980</v>
      </c>
      <c r="F7713" s="2"/>
      <c r="G7713" s="2"/>
      <c r="H7713" s="2"/>
    </row>
    <row r="7714" spans="1:8" x14ac:dyDescent="0.25">
      <c r="A7714" s="1"/>
      <c r="B7714" s="1" t="s">
        <v>4823</v>
      </c>
      <c r="C7714" s="1" t="s">
        <v>4824</v>
      </c>
      <c r="D7714" s="22" t="str">
        <f>HYPERLINK("https://rhld.insurance.arkansas.gov/NPILookup?Npi=1114612447","1114612447")</f>
        <v>1114612447</v>
      </c>
      <c r="E7714" s="1" t="s">
        <v>18653</v>
      </c>
      <c r="F7714" s="2"/>
      <c r="G7714" s="2"/>
      <c r="H7714" s="2"/>
    </row>
    <row r="7715" spans="1:8" x14ac:dyDescent="0.25">
      <c r="A7715" s="1"/>
      <c r="B7715" s="1" t="s">
        <v>4823</v>
      </c>
      <c r="C7715" s="1" t="s">
        <v>4824</v>
      </c>
      <c r="D7715" s="22" t="str">
        <f>HYPERLINK("https://rhld.insurance.arkansas.gov/NPILookup?Npi=1114908639","1114908639")</f>
        <v>1114908639</v>
      </c>
      <c r="E7715" s="1" t="s">
        <v>18654</v>
      </c>
      <c r="F7715" s="2"/>
      <c r="G7715" s="2"/>
      <c r="H7715" s="2"/>
    </row>
    <row r="7716" spans="1:8" x14ac:dyDescent="0.25">
      <c r="A7716" s="1"/>
      <c r="B7716" s="1" t="s">
        <v>4823</v>
      </c>
      <c r="C7716" s="1" t="s">
        <v>4824</v>
      </c>
      <c r="D7716" s="22" t="str">
        <f>HYPERLINK("https://rhld.insurance.arkansas.gov/NPILookup?Npi=1114984705","1114984705")</f>
        <v>1114984705</v>
      </c>
      <c r="E7716" s="1" t="s">
        <v>10711</v>
      </c>
      <c r="F7716" s="2"/>
      <c r="G7716" s="2"/>
      <c r="H7716" s="2"/>
    </row>
    <row r="7717" spans="1:8" x14ac:dyDescent="0.25">
      <c r="A7717" s="1"/>
      <c r="B7717" s="1" t="s">
        <v>4823</v>
      </c>
      <c r="C7717" s="1" t="s">
        <v>4824</v>
      </c>
      <c r="D7717" s="22" t="str">
        <f>HYPERLINK("https://rhld.insurance.arkansas.gov/NPILookup?Npi=1124036280","1124036280")</f>
        <v>1124036280</v>
      </c>
      <c r="E7717" s="1" t="s">
        <v>18655</v>
      </c>
      <c r="F7717" s="2"/>
      <c r="G7717" s="2"/>
      <c r="H7717" s="2"/>
    </row>
    <row r="7718" spans="1:8" x14ac:dyDescent="0.25">
      <c r="A7718" s="1"/>
      <c r="B7718" s="1" t="s">
        <v>4823</v>
      </c>
      <c r="C7718" s="1" t="s">
        <v>4824</v>
      </c>
      <c r="D7718" s="22" t="str">
        <f>HYPERLINK("https://rhld.insurance.arkansas.gov/NPILookup?Npi=1124118617","1124118617")</f>
        <v>1124118617</v>
      </c>
      <c r="E7718" s="1" t="s">
        <v>10712</v>
      </c>
      <c r="F7718" s="2"/>
      <c r="G7718" s="2"/>
      <c r="H7718" s="2"/>
    </row>
    <row r="7719" spans="1:8" x14ac:dyDescent="0.25">
      <c r="A7719" s="1"/>
      <c r="B7719" s="1" t="s">
        <v>4823</v>
      </c>
      <c r="C7719" s="1" t="s">
        <v>4824</v>
      </c>
      <c r="D7719" s="22" t="str">
        <f>HYPERLINK("https://rhld.insurance.arkansas.gov/NPILookup?Npi=1124330469","1124330469")</f>
        <v>1124330469</v>
      </c>
      <c r="E7719" s="1" t="s">
        <v>1360</v>
      </c>
      <c r="F7719" s="2"/>
      <c r="G7719" s="2"/>
      <c r="H7719" s="2"/>
    </row>
    <row r="7720" spans="1:8" x14ac:dyDescent="0.25">
      <c r="A7720" s="1"/>
      <c r="B7720" s="1" t="s">
        <v>4823</v>
      </c>
      <c r="C7720" s="1" t="s">
        <v>4824</v>
      </c>
      <c r="D7720" s="22" t="str">
        <f>HYPERLINK("https://rhld.insurance.arkansas.gov/NPILookup?Npi=1124387238","1124387238")</f>
        <v>1124387238</v>
      </c>
      <c r="E7720" s="1" t="s">
        <v>10713</v>
      </c>
      <c r="F7720" s="2"/>
      <c r="G7720" s="2"/>
      <c r="H7720" s="2"/>
    </row>
    <row r="7721" spans="1:8" x14ac:dyDescent="0.25">
      <c r="A7721" s="1"/>
      <c r="B7721" s="1" t="s">
        <v>4823</v>
      </c>
      <c r="C7721" s="1" t="s">
        <v>4824</v>
      </c>
      <c r="D7721" s="22" t="str">
        <f>HYPERLINK("https://rhld.insurance.arkansas.gov/NPILookup?Npi=1124552526","1124552526")</f>
        <v>1124552526</v>
      </c>
      <c r="E7721" s="1" t="s">
        <v>18656</v>
      </c>
      <c r="F7721" s="2"/>
      <c r="G7721" s="2"/>
      <c r="H7721" s="2"/>
    </row>
    <row r="7722" spans="1:8" x14ac:dyDescent="0.25">
      <c r="A7722" s="1"/>
      <c r="B7722" s="1" t="s">
        <v>4823</v>
      </c>
      <c r="C7722" s="1" t="s">
        <v>4824</v>
      </c>
      <c r="D7722" s="22" t="str">
        <f>HYPERLINK("https://rhld.insurance.arkansas.gov/NPILookup?Npi=1124587357","1124587357")</f>
        <v>1124587357</v>
      </c>
      <c r="E7722" s="1" t="s">
        <v>7566</v>
      </c>
      <c r="F7722" s="2"/>
      <c r="G7722" s="2"/>
      <c r="H7722" s="2"/>
    </row>
    <row r="7723" spans="1:8" x14ac:dyDescent="0.25">
      <c r="A7723" s="1"/>
      <c r="B7723" s="1" t="s">
        <v>4823</v>
      </c>
      <c r="C7723" s="1" t="s">
        <v>4824</v>
      </c>
      <c r="D7723" s="22" t="str">
        <f>HYPERLINK("https://rhld.insurance.arkansas.gov/NPILookup?Npi=1134126006","1134126006")</f>
        <v>1134126006</v>
      </c>
      <c r="E7723" s="1" t="s">
        <v>18657</v>
      </c>
      <c r="F7723" s="2"/>
      <c r="G7723" s="2"/>
      <c r="H7723" s="2"/>
    </row>
    <row r="7724" spans="1:8" x14ac:dyDescent="0.25">
      <c r="A7724" s="1"/>
      <c r="B7724" s="1" t="s">
        <v>4823</v>
      </c>
      <c r="C7724" s="1" t="s">
        <v>4824</v>
      </c>
      <c r="D7724" s="22" t="str">
        <f>HYPERLINK("https://rhld.insurance.arkansas.gov/NPILookup?Npi=1134190580","1134190580")</f>
        <v>1134190580</v>
      </c>
      <c r="E7724" s="1" t="s">
        <v>450</v>
      </c>
      <c r="F7724" s="2"/>
      <c r="G7724" s="2"/>
      <c r="H7724" s="2"/>
    </row>
    <row r="7725" spans="1:8" x14ac:dyDescent="0.25">
      <c r="A7725" s="1"/>
      <c r="B7725" s="1" t="s">
        <v>4823</v>
      </c>
      <c r="C7725" s="1" t="s">
        <v>4824</v>
      </c>
      <c r="D7725" s="22" t="str">
        <f>HYPERLINK("https://rhld.insurance.arkansas.gov/NPILookup?Npi=1134219629","1134219629")</f>
        <v>1134219629</v>
      </c>
      <c r="E7725" s="1" t="s">
        <v>3517</v>
      </c>
      <c r="F7725" s="2"/>
      <c r="G7725" s="2"/>
      <c r="H7725" s="2"/>
    </row>
    <row r="7726" spans="1:8" x14ac:dyDescent="0.25">
      <c r="A7726" s="1"/>
      <c r="B7726" s="1" t="s">
        <v>4823</v>
      </c>
      <c r="C7726" s="1" t="s">
        <v>4824</v>
      </c>
      <c r="D7726" s="22" t="str">
        <f>HYPERLINK("https://rhld.insurance.arkansas.gov/NPILookup?Npi=1134269723","1134269723")</f>
        <v>1134269723</v>
      </c>
      <c r="E7726" s="1" t="s">
        <v>4833</v>
      </c>
      <c r="F7726" s="2"/>
      <c r="G7726" s="2"/>
      <c r="H7726" s="2"/>
    </row>
    <row r="7727" spans="1:8" x14ac:dyDescent="0.25">
      <c r="A7727" s="1"/>
      <c r="B7727" s="1" t="s">
        <v>4823</v>
      </c>
      <c r="C7727" s="1" t="s">
        <v>4824</v>
      </c>
      <c r="D7727" s="22" t="str">
        <f>HYPERLINK("https://rhld.insurance.arkansas.gov/NPILookup?Npi=1134361827","1134361827")</f>
        <v>1134361827</v>
      </c>
      <c r="E7727" s="1" t="s">
        <v>18658</v>
      </c>
      <c r="F7727" s="2"/>
      <c r="G7727" s="2"/>
      <c r="H7727" s="2"/>
    </row>
    <row r="7728" spans="1:8" x14ac:dyDescent="0.25">
      <c r="A7728" s="1"/>
      <c r="B7728" s="1" t="s">
        <v>4823</v>
      </c>
      <c r="C7728" s="1" t="s">
        <v>4824</v>
      </c>
      <c r="D7728" s="22" t="str">
        <f>HYPERLINK("https://rhld.insurance.arkansas.gov/NPILookup?Npi=1134484082","1134484082")</f>
        <v>1134484082</v>
      </c>
      <c r="E7728" s="1" t="s">
        <v>18659</v>
      </c>
      <c r="F7728" s="2"/>
      <c r="G7728" s="2"/>
      <c r="H7728" s="2"/>
    </row>
    <row r="7729" spans="1:8" x14ac:dyDescent="0.25">
      <c r="A7729" s="1"/>
      <c r="B7729" s="1" t="s">
        <v>4823</v>
      </c>
      <c r="C7729" s="1" t="s">
        <v>4824</v>
      </c>
      <c r="D7729" s="22" t="str">
        <f>HYPERLINK("https://rhld.insurance.arkansas.gov/NPILookup?Npi=1144222993","1144222993")</f>
        <v>1144222993</v>
      </c>
      <c r="E7729" s="1" t="s">
        <v>1914</v>
      </c>
      <c r="F7729" s="2"/>
      <c r="G7729" s="2"/>
      <c r="H7729" s="2"/>
    </row>
    <row r="7730" spans="1:8" x14ac:dyDescent="0.25">
      <c r="A7730" s="1"/>
      <c r="B7730" s="1" t="s">
        <v>4823</v>
      </c>
      <c r="C7730" s="1" t="s">
        <v>4824</v>
      </c>
      <c r="D7730" s="22" t="str">
        <f>HYPERLINK("https://rhld.insurance.arkansas.gov/NPILookup?Npi=1144275413","1144275413")</f>
        <v>1144275413</v>
      </c>
      <c r="E7730" s="1" t="s">
        <v>18660</v>
      </c>
      <c r="F7730" s="2"/>
      <c r="G7730" s="2"/>
      <c r="H7730" s="2"/>
    </row>
    <row r="7731" spans="1:8" x14ac:dyDescent="0.25">
      <c r="A7731" s="1"/>
      <c r="B7731" s="1" t="s">
        <v>4823</v>
      </c>
      <c r="C7731" s="1" t="s">
        <v>4824</v>
      </c>
      <c r="D7731" s="22" t="str">
        <f>HYPERLINK("https://rhld.insurance.arkansas.gov/NPILookup?Npi=1144278102","1144278102")</f>
        <v>1144278102</v>
      </c>
      <c r="E7731" s="1" t="s">
        <v>18661</v>
      </c>
      <c r="F7731" s="2"/>
      <c r="G7731" s="2"/>
      <c r="H7731" s="2"/>
    </row>
    <row r="7732" spans="1:8" x14ac:dyDescent="0.25">
      <c r="A7732" s="1"/>
      <c r="B7732" s="1" t="s">
        <v>4823</v>
      </c>
      <c r="C7732" s="1" t="s">
        <v>4824</v>
      </c>
      <c r="D7732" s="22" t="str">
        <f>HYPERLINK("https://rhld.insurance.arkansas.gov/NPILookup?Npi=1144288127","1144288127")</f>
        <v>1144288127</v>
      </c>
      <c r="E7732" s="1" t="s">
        <v>31526</v>
      </c>
      <c r="F7732" s="2"/>
      <c r="G7732" s="2"/>
      <c r="H7732" s="2"/>
    </row>
    <row r="7733" spans="1:8" x14ac:dyDescent="0.25">
      <c r="A7733" s="1"/>
      <c r="B7733" s="1" t="s">
        <v>4823</v>
      </c>
      <c r="C7733" s="1" t="s">
        <v>4824</v>
      </c>
      <c r="D7733" s="22" t="str">
        <f>HYPERLINK("https://rhld.insurance.arkansas.gov/NPILookup?Npi=1144288879","1144288879")</f>
        <v>1144288879</v>
      </c>
      <c r="E7733" s="1" t="s">
        <v>10715</v>
      </c>
      <c r="F7733" s="2"/>
      <c r="G7733" s="2"/>
      <c r="H7733" s="2"/>
    </row>
    <row r="7734" spans="1:8" x14ac:dyDescent="0.25">
      <c r="A7734" s="1"/>
      <c r="B7734" s="1" t="s">
        <v>4823</v>
      </c>
      <c r="C7734" s="1" t="s">
        <v>4824</v>
      </c>
      <c r="D7734" s="22" t="str">
        <f>HYPERLINK("https://rhld.insurance.arkansas.gov/NPILookup?Npi=1144414707","1144414707")</f>
        <v>1144414707</v>
      </c>
      <c r="E7734" s="1" t="s">
        <v>2270</v>
      </c>
      <c r="F7734" s="2"/>
      <c r="G7734" s="2"/>
      <c r="H7734" s="2"/>
    </row>
    <row r="7735" spans="1:8" x14ac:dyDescent="0.25">
      <c r="A7735" s="1"/>
      <c r="B7735" s="1" t="s">
        <v>4823</v>
      </c>
      <c r="C7735" s="1" t="s">
        <v>4824</v>
      </c>
      <c r="D7735" s="22" t="str">
        <f>HYPERLINK("https://rhld.insurance.arkansas.gov/NPILookup?Npi=1144609108","1144609108")</f>
        <v>1144609108</v>
      </c>
      <c r="E7735" s="1" t="s">
        <v>18662</v>
      </c>
      <c r="F7735" s="2"/>
      <c r="G7735" s="2"/>
      <c r="H7735" s="2"/>
    </row>
    <row r="7736" spans="1:8" x14ac:dyDescent="0.25">
      <c r="A7736" s="1"/>
      <c r="B7736" s="1" t="s">
        <v>4823</v>
      </c>
      <c r="C7736" s="1" t="s">
        <v>4824</v>
      </c>
      <c r="D7736" s="22" t="str">
        <f>HYPERLINK("https://rhld.insurance.arkansas.gov/NPILookup?Npi=1144615170","1144615170")</f>
        <v>1144615170</v>
      </c>
      <c r="E7736" s="1" t="s">
        <v>18663</v>
      </c>
      <c r="F7736" s="2"/>
      <c r="G7736" s="2"/>
      <c r="H7736" s="2"/>
    </row>
    <row r="7737" spans="1:8" x14ac:dyDescent="0.25">
      <c r="A7737" s="1"/>
      <c r="B7737" s="1" t="s">
        <v>4823</v>
      </c>
      <c r="C7737" s="1" t="s">
        <v>4824</v>
      </c>
      <c r="D7737" s="22" t="str">
        <f>HYPERLINK("https://rhld.insurance.arkansas.gov/NPILookup?Npi=1144632878","1144632878")</f>
        <v>1144632878</v>
      </c>
      <c r="E7737" s="1" t="s">
        <v>10716</v>
      </c>
      <c r="F7737" s="2"/>
      <c r="G7737" s="2"/>
      <c r="H7737" s="2"/>
    </row>
    <row r="7738" spans="1:8" x14ac:dyDescent="0.25">
      <c r="A7738" s="1"/>
      <c r="B7738" s="1" t="s">
        <v>4823</v>
      </c>
      <c r="C7738" s="1" t="s">
        <v>4824</v>
      </c>
      <c r="D7738" s="22" t="str">
        <f>HYPERLINK("https://rhld.insurance.arkansas.gov/NPILookup?Npi=1154356426","1154356426")</f>
        <v>1154356426</v>
      </c>
      <c r="E7738" s="1" t="s">
        <v>18664</v>
      </c>
      <c r="F7738" s="2"/>
      <c r="G7738" s="2"/>
      <c r="H7738" s="2"/>
    </row>
    <row r="7739" spans="1:8" x14ac:dyDescent="0.25">
      <c r="A7739" s="1"/>
      <c r="B7739" s="1" t="s">
        <v>4823</v>
      </c>
      <c r="C7739" s="1" t="s">
        <v>4824</v>
      </c>
      <c r="D7739" s="22" t="str">
        <f>HYPERLINK("https://rhld.insurance.arkansas.gov/NPILookup?Npi=1154403962","1154403962")</f>
        <v>1154403962</v>
      </c>
      <c r="E7739" s="1" t="s">
        <v>18665</v>
      </c>
      <c r="F7739" s="2"/>
      <c r="G7739" s="2"/>
      <c r="H7739" s="2"/>
    </row>
    <row r="7740" spans="1:8" x14ac:dyDescent="0.25">
      <c r="A7740" s="1"/>
      <c r="B7740" s="1" t="s">
        <v>4823</v>
      </c>
      <c r="C7740" s="1" t="s">
        <v>4824</v>
      </c>
      <c r="D7740" s="22" t="str">
        <f>HYPERLINK("https://rhld.insurance.arkansas.gov/NPILookup?Npi=1154524031","1154524031")</f>
        <v>1154524031</v>
      </c>
      <c r="E7740" s="1" t="s">
        <v>18666</v>
      </c>
      <c r="F7740" s="2"/>
      <c r="G7740" s="2"/>
      <c r="H7740" s="2"/>
    </row>
    <row r="7741" spans="1:8" x14ac:dyDescent="0.25">
      <c r="A7741" s="1"/>
      <c r="B7741" s="1" t="s">
        <v>4823</v>
      </c>
      <c r="C7741" s="1" t="s">
        <v>4824</v>
      </c>
      <c r="D7741" s="22" t="str">
        <f>HYPERLINK("https://rhld.insurance.arkansas.gov/NPILookup?Npi=1154531705","1154531705")</f>
        <v>1154531705</v>
      </c>
      <c r="E7741" s="1" t="s">
        <v>4834</v>
      </c>
      <c r="F7741" s="2"/>
      <c r="G7741" s="2"/>
      <c r="H7741" s="2"/>
    </row>
    <row r="7742" spans="1:8" x14ac:dyDescent="0.25">
      <c r="A7742" s="1"/>
      <c r="B7742" s="1" t="s">
        <v>4823</v>
      </c>
      <c r="C7742" s="1" t="s">
        <v>4824</v>
      </c>
      <c r="D7742" s="22" t="str">
        <f>HYPERLINK("https://rhld.insurance.arkansas.gov/NPILookup?Npi=1154645000","1154645000")</f>
        <v>1154645000</v>
      </c>
      <c r="E7742" s="1" t="s">
        <v>4835</v>
      </c>
      <c r="F7742" s="2"/>
      <c r="G7742" s="2"/>
      <c r="H7742" s="2"/>
    </row>
    <row r="7743" spans="1:8" x14ac:dyDescent="0.25">
      <c r="A7743" s="1"/>
      <c r="B7743" s="1" t="s">
        <v>4823</v>
      </c>
      <c r="C7743" s="1" t="s">
        <v>4824</v>
      </c>
      <c r="D7743" s="22" t="str">
        <f>HYPERLINK("https://rhld.insurance.arkansas.gov/NPILookup?Npi=1154937571","1154937571")</f>
        <v>1154937571</v>
      </c>
      <c r="E7743" s="1" t="s">
        <v>18667</v>
      </c>
      <c r="F7743" s="2"/>
      <c r="G7743" s="2"/>
      <c r="H7743" s="2"/>
    </row>
    <row r="7744" spans="1:8" x14ac:dyDescent="0.25">
      <c r="A7744" s="1"/>
      <c r="B7744" s="1" t="s">
        <v>4823</v>
      </c>
      <c r="C7744" s="1" t="s">
        <v>4824</v>
      </c>
      <c r="D7744" s="22" t="str">
        <f>HYPERLINK("https://rhld.insurance.arkansas.gov/NPILookup?Npi=1164427985","1164427985")</f>
        <v>1164427985</v>
      </c>
      <c r="E7744" s="1" t="s">
        <v>10717</v>
      </c>
      <c r="F7744" s="2"/>
      <c r="G7744" s="2"/>
      <c r="H7744" s="2"/>
    </row>
    <row r="7745" spans="1:8" x14ac:dyDescent="0.25">
      <c r="A7745" s="1"/>
      <c r="B7745" s="1" t="s">
        <v>4823</v>
      </c>
      <c r="C7745" s="1" t="s">
        <v>4824</v>
      </c>
      <c r="D7745" s="22" t="str">
        <f>HYPERLINK("https://rhld.insurance.arkansas.gov/NPILookup?Npi=1164431052","1164431052")</f>
        <v>1164431052</v>
      </c>
      <c r="E7745" s="1" t="s">
        <v>2535</v>
      </c>
      <c r="F7745" s="2"/>
      <c r="G7745" s="2"/>
      <c r="H7745" s="2"/>
    </row>
    <row r="7746" spans="1:8" x14ac:dyDescent="0.25">
      <c r="A7746" s="1"/>
      <c r="B7746" s="1" t="s">
        <v>4823</v>
      </c>
      <c r="C7746" s="1" t="s">
        <v>4824</v>
      </c>
      <c r="D7746" s="22" t="str">
        <f>HYPERLINK("https://rhld.insurance.arkansas.gov/NPILookup?Npi=1164491270","1164491270")</f>
        <v>1164491270</v>
      </c>
      <c r="E7746" s="1" t="s">
        <v>17259</v>
      </c>
      <c r="F7746" s="2"/>
      <c r="G7746" s="2"/>
      <c r="H7746" s="2"/>
    </row>
    <row r="7747" spans="1:8" x14ac:dyDescent="0.25">
      <c r="A7747" s="1"/>
      <c r="B7747" s="1" t="s">
        <v>4823</v>
      </c>
      <c r="C7747" s="1" t="s">
        <v>4824</v>
      </c>
      <c r="D7747" s="22" t="str">
        <f>HYPERLINK("https://rhld.insurance.arkansas.gov/NPILookup?Npi=1164630828","1164630828")</f>
        <v>1164630828</v>
      </c>
      <c r="E7747" s="1" t="s">
        <v>10718</v>
      </c>
      <c r="F7747" s="2"/>
      <c r="G7747" s="2"/>
      <c r="H7747" s="2"/>
    </row>
    <row r="7748" spans="1:8" x14ac:dyDescent="0.25">
      <c r="A7748" s="1"/>
      <c r="B7748" s="1" t="s">
        <v>4823</v>
      </c>
      <c r="C7748" s="1" t="s">
        <v>4824</v>
      </c>
      <c r="D7748" s="22" t="str">
        <f>HYPERLINK("https://rhld.insurance.arkansas.gov/NPILookup?Npi=1164695409","1164695409")</f>
        <v>1164695409</v>
      </c>
      <c r="E7748" s="1" t="s">
        <v>4836</v>
      </c>
      <c r="F7748" s="2"/>
      <c r="G7748" s="2"/>
      <c r="H7748" s="2"/>
    </row>
    <row r="7749" spans="1:8" x14ac:dyDescent="0.25">
      <c r="A7749" s="1"/>
      <c r="B7749" s="1" t="s">
        <v>4823</v>
      </c>
      <c r="C7749" s="1" t="s">
        <v>4824</v>
      </c>
      <c r="D7749" s="22" t="str">
        <f>HYPERLINK("https://rhld.insurance.arkansas.gov/NPILookup?Npi=1164950499","1164950499")</f>
        <v>1164950499</v>
      </c>
      <c r="E7749" s="1" t="s">
        <v>18668</v>
      </c>
      <c r="F7749" s="2"/>
      <c r="G7749" s="2"/>
      <c r="H7749" s="2"/>
    </row>
    <row r="7750" spans="1:8" x14ac:dyDescent="0.25">
      <c r="A7750" s="1"/>
      <c r="B7750" s="1" t="s">
        <v>4823</v>
      </c>
      <c r="C7750" s="1" t="s">
        <v>4824</v>
      </c>
      <c r="D7750" s="22" t="str">
        <f>HYPERLINK("https://rhld.insurance.arkansas.gov/NPILookup?Npi=1174088389","1174088389")</f>
        <v>1174088389</v>
      </c>
      <c r="E7750" s="1" t="s">
        <v>4837</v>
      </c>
      <c r="F7750" s="2"/>
      <c r="G7750" s="2"/>
      <c r="H7750" s="2"/>
    </row>
    <row r="7751" spans="1:8" x14ac:dyDescent="0.25">
      <c r="A7751" s="1"/>
      <c r="B7751" s="1" t="s">
        <v>4823</v>
      </c>
      <c r="C7751" s="1" t="s">
        <v>4824</v>
      </c>
      <c r="D7751" s="22" t="str">
        <f>HYPERLINK("https://rhld.insurance.arkansas.gov/NPILookup?Npi=1174525091","1174525091")</f>
        <v>1174525091</v>
      </c>
      <c r="E7751" s="1" t="s">
        <v>10719</v>
      </c>
      <c r="F7751" s="2"/>
      <c r="G7751" s="2"/>
      <c r="H7751" s="2"/>
    </row>
    <row r="7752" spans="1:8" x14ac:dyDescent="0.25">
      <c r="A7752" s="1"/>
      <c r="B7752" s="1" t="s">
        <v>4823</v>
      </c>
      <c r="C7752" s="1" t="s">
        <v>4824</v>
      </c>
      <c r="D7752" s="22" t="str">
        <f>HYPERLINK("https://rhld.insurance.arkansas.gov/NPILookup?Npi=1174564397","1174564397")</f>
        <v>1174564397</v>
      </c>
      <c r="E7752" s="1" t="s">
        <v>18669</v>
      </c>
      <c r="F7752" s="2"/>
      <c r="G7752" s="2"/>
      <c r="H7752" s="2"/>
    </row>
    <row r="7753" spans="1:8" x14ac:dyDescent="0.25">
      <c r="A7753" s="1"/>
      <c r="B7753" s="1" t="s">
        <v>4823</v>
      </c>
      <c r="C7753" s="1" t="s">
        <v>4824</v>
      </c>
      <c r="D7753" s="22" t="str">
        <f>HYPERLINK("https://rhld.insurance.arkansas.gov/NPILookup?Npi=1174579833","1174579833")</f>
        <v>1174579833</v>
      </c>
      <c r="E7753" s="1" t="s">
        <v>18670</v>
      </c>
      <c r="F7753" s="2"/>
      <c r="G7753" s="2"/>
      <c r="H7753" s="2"/>
    </row>
    <row r="7754" spans="1:8" x14ac:dyDescent="0.25">
      <c r="A7754" s="1"/>
      <c r="B7754" s="1" t="s">
        <v>4823</v>
      </c>
      <c r="C7754" s="1" t="s">
        <v>4824</v>
      </c>
      <c r="D7754" s="22" t="str">
        <f>HYPERLINK("https://rhld.insurance.arkansas.gov/NPILookup?Npi=1174599641","1174599641")</f>
        <v>1174599641</v>
      </c>
      <c r="E7754" s="1" t="s">
        <v>18671</v>
      </c>
      <c r="F7754" s="2"/>
      <c r="G7754" s="2"/>
      <c r="H7754" s="2"/>
    </row>
    <row r="7755" spans="1:8" x14ac:dyDescent="0.25">
      <c r="A7755" s="1"/>
      <c r="B7755" s="1" t="s">
        <v>4823</v>
      </c>
      <c r="C7755" s="1" t="s">
        <v>4824</v>
      </c>
      <c r="D7755" s="22" t="str">
        <f>HYPERLINK("https://rhld.insurance.arkansas.gov/NPILookup?Npi=1174633515","1174633515")</f>
        <v>1174633515</v>
      </c>
      <c r="E7755" s="1" t="s">
        <v>18672</v>
      </c>
      <c r="F7755" s="2"/>
      <c r="G7755" s="2"/>
      <c r="H7755" s="2"/>
    </row>
    <row r="7756" spans="1:8" x14ac:dyDescent="0.25">
      <c r="A7756" s="1"/>
      <c r="B7756" s="1" t="s">
        <v>4823</v>
      </c>
      <c r="C7756" s="1" t="s">
        <v>4824</v>
      </c>
      <c r="D7756" s="22" t="str">
        <f>HYPERLINK("https://rhld.insurance.arkansas.gov/NPILookup?Npi=1174767255","1174767255")</f>
        <v>1174767255</v>
      </c>
      <c r="E7756" s="1" t="s">
        <v>4838</v>
      </c>
      <c r="F7756" s="2"/>
      <c r="G7756" s="2"/>
      <c r="H7756" s="2"/>
    </row>
    <row r="7757" spans="1:8" x14ac:dyDescent="0.25">
      <c r="A7757" s="1"/>
      <c r="B7757" s="1" t="s">
        <v>4823</v>
      </c>
      <c r="C7757" s="1" t="s">
        <v>4824</v>
      </c>
      <c r="D7757" s="22" t="str">
        <f>HYPERLINK("https://rhld.insurance.arkansas.gov/NPILookup?Npi=1174810782","1174810782")</f>
        <v>1174810782</v>
      </c>
      <c r="E7757" s="1" t="s">
        <v>18673</v>
      </c>
      <c r="F7757" s="2"/>
      <c r="G7757" s="2"/>
      <c r="H7757" s="2"/>
    </row>
    <row r="7758" spans="1:8" x14ac:dyDescent="0.25">
      <c r="A7758" s="1"/>
      <c r="B7758" s="1" t="s">
        <v>4823</v>
      </c>
      <c r="C7758" s="1" t="s">
        <v>4824</v>
      </c>
      <c r="D7758" s="22" t="str">
        <f>HYPERLINK("https://rhld.insurance.arkansas.gov/NPILookup?Npi=1184006710","1184006710")</f>
        <v>1184006710</v>
      </c>
      <c r="E7758" s="1" t="s">
        <v>18674</v>
      </c>
      <c r="F7758" s="2"/>
      <c r="G7758" s="2"/>
      <c r="H7758" s="2"/>
    </row>
    <row r="7759" spans="1:8" x14ac:dyDescent="0.25">
      <c r="A7759" s="1"/>
      <c r="B7759" s="1" t="s">
        <v>4823</v>
      </c>
      <c r="C7759" s="1" t="s">
        <v>4824</v>
      </c>
      <c r="D7759" s="22" t="str">
        <f>HYPERLINK("https://rhld.insurance.arkansas.gov/NPILookup?Npi=1184063182","1184063182")</f>
        <v>1184063182</v>
      </c>
      <c r="E7759" s="1" t="s">
        <v>18675</v>
      </c>
      <c r="F7759" s="2"/>
      <c r="G7759" s="2"/>
      <c r="H7759" s="2"/>
    </row>
    <row r="7760" spans="1:8" x14ac:dyDescent="0.25">
      <c r="A7760" s="1"/>
      <c r="B7760" s="1" t="s">
        <v>4823</v>
      </c>
      <c r="C7760" s="1" t="s">
        <v>4824</v>
      </c>
      <c r="D7760" s="22" t="str">
        <f>HYPERLINK("https://rhld.insurance.arkansas.gov/NPILookup?Npi=1184616369","1184616369")</f>
        <v>1184616369</v>
      </c>
      <c r="E7760" s="1" t="s">
        <v>18676</v>
      </c>
      <c r="F7760" s="2"/>
      <c r="G7760" s="2"/>
      <c r="H7760" s="2"/>
    </row>
    <row r="7761" spans="1:8" x14ac:dyDescent="0.25">
      <c r="A7761" s="1"/>
      <c r="B7761" s="1" t="s">
        <v>4823</v>
      </c>
      <c r="C7761" s="1" t="s">
        <v>4824</v>
      </c>
      <c r="D7761" s="22" t="str">
        <f>HYPERLINK("https://rhld.insurance.arkansas.gov/NPILookup?Npi=1184629388","1184629388")</f>
        <v>1184629388</v>
      </c>
      <c r="E7761" s="1" t="s">
        <v>18677</v>
      </c>
      <c r="F7761" s="2"/>
      <c r="G7761" s="2"/>
      <c r="H7761" s="2"/>
    </row>
    <row r="7762" spans="1:8" x14ac:dyDescent="0.25">
      <c r="A7762" s="1"/>
      <c r="B7762" s="1" t="s">
        <v>4823</v>
      </c>
      <c r="C7762" s="1" t="s">
        <v>4824</v>
      </c>
      <c r="D7762" s="22" t="str">
        <f>HYPERLINK("https://rhld.insurance.arkansas.gov/NPILookup?Npi=1184699175","1184699175")</f>
        <v>1184699175</v>
      </c>
      <c r="E7762" s="1" t="s">
        <v>18678</v>
      </c>
      <c r="F7762" s="2"/>
      <c r="G7762" s="2"/>
      <c r="H7762" s="2"/>
    </row>
    <row r="7763" spans="1:8" x14ac:dyDescent="0.25">
      <c r="A7763" s="1"/>
      <c r="B7763" s="1" t="s">
        <v>4823</v>
      </c>
      <c r="C7763" s="1" t="s">
        <v>4824</v>
      </c>
      <c r="D7763" s="22" t="str">
        <f>HYPERLINK("https://rhld.insurance.arkansas.gov/NPILookup?Npi=1184808651","1184808651")</f>
        <v>1184808651</v>
      </c>
      <c r="E7763" s="1" t="s">
        <v>4839</v>
      </c>
      <c r="F7763" s="2"/>
      <c r="G7763" s="2"/>
      <c r="H7763" s="2"/>
    </row>
    <row r="7764" spans="1:8" x14ac:dyDescent="0.25">
      <c r="A7764" s="1"/>
      <c r="B7764" s="1" t="s">
        <v>4823</v>
      </c>
      <c r="C7764" s="1" t="s">
        <v>4824</v>
      </c>
      <c r="D7764" s="22" t="str">
        <f>HYPERLINK("https://rhld.insurance.arkansas.gov/NPILookup?Npi=1184852378","1184852378")</f>
        <v>1184852378</v>
      </c>
      <c r="E7764" s="1" t="s">
        <v>1614</v>
      </c>
      <c r="F7764" s="2"/>
      <c r="G7764" s="2"/>
      <c r="H7764" s="2"/>
    </row>
    <row r="7765" spans="1:8" x14ac:dyDescent="0.25">
      <c r="A7765" s="1"/>
      <c r="B7765" s="1" t="s">
        <v>4823</v>
      </c>
      <c r="C7765" s="1" t="s">
        <v>4824</v>
      </c>
      <c r="D7765" s="22" t="str">
        <f>HYPERLINK("https://rhld.insurance.arkansas.gov/NPILookup?Npi=1184885253","1184885253")</f>
        <v>1184885253</v>
      </c>
      <c r="E7765" s="1" t="s">
        <v>18679</v>
      </c>
      <c r="F7765" s="2"/>
      <c r="G7765" s="2"/>
      <c r="H7765" s="2"/>
    </row>
    <row r="7766" spans="1:8" x14ac:dyDescent="0.25">
      <c r="A7766" s="1"/>
      <c r="B7766" s="1" t="s">
        <v>4823</v>
      </c>
      <c r="C7766" s="1" t="s">
        <v>4824</v>
      </c>
      <c r="D7766" s="22" t="str">
        <f>HYPERLINK("https://rhld.insurance.arkansas.gov/NPILookup?Npi=1184917544","1184917544")</f>
        <v>1184917544</v>
      </c>
      <c r="E7766" s="1" t="s">
        <v>18680</v>
      </c>
      <c r="F7766" s="2"/>
      <c r="G7766" s="2"/>
      <c r="H7766" s="2"/>
    </row>
    <row r="7767" spans="1:8" x14ac:dyDescent="0.25">
      <c r="A7767" s="1"/>
      <c r="B7767" s="1" t="s">
        <v>4823</v>
      </c>
      <c r="C7767" s="1" t="s">
        <v>4824</v>
      </c>
      <c r="D7767" s="22" t="str">
        <f>HYPERLINK("https://rhld.insurance.arkansas.gov/NPILookup?Npi=1194083006","1194083006")</f>
        <v>1194083006</v>
      </c>
      <c r="E7767" s="1" t="s">
        <v>18681</v>
      </c>
      <c r="F7767" s="2"/>
      <c r="G7767" s="2"/>
      <c r="H7767" s="2"/>
    </row>
    <row r="7768" spans="1:8" x14ac:dyDescent="0.25">
      <c r="A7768" s="1"/>
      <c r="B7768" s="1" t="s">
        <v>4823</v>
      </c>
      <c r="C7768" s="1" t="s">
        <v>4824</v>
      </c>
      <c r="D7768" s="22" t="str">
        <f>HYPERLINK("https://rhld.insurance.arkansas.gov/NPILookup?Npi=1194740480","1194740480")</f>
        <v>1194740480</v>
      </c>
      <c r="E7768" s="1" t="s">
        <v>18682</v>
      </c>
      <c r="F7768" s="2"/>
      <c r="G7768" s="2"/>
      <c r="H7768" s="2"/>
    </row>
    <row r="7769" spans="1:8" x14ac:dyDescent="0.25">
      <c r="A7769" s="1"/>
      <c r="B7769" s="1" t="s">
        <v>4823</v>
      </c>
      <c r="C7769" s="1" t="s">
        <v>4824</v>
      </c>
      <c r="D7769" s="22" t="str">
        <f>HYPERLINK("https://rhld.insurance.arkansas.gov/NPILookup?Npi=1194762393","1194762393")</f>
        <v>1194762393</v>
      </c>
      <c r="E7769" s="1" t="s">
        <v>18683</v>
      </c>
      <c r="F7769" s="2"/>
      <c r="G7769" s="2"/>
      <c r="H7769" s="2"/>
    </row>
    <row r="7770" spans="1:8" x14ac:dyDescent="0.25">
      <c r="A7770" s="1"/>
      <c r="B7770" s="1" t="s">
        <v>4823</v>
      </c>
      <c r="C7770" s="1" t="s">
        <v>4824</v>
      </c>
      <c r="D7770" s="22" t="str">
        <f>HYPERLINK("https://rhld.insurance.arkansas.gov/NPILookup?Npi=1194908335","1194908335")</f>
        <v>1194908335</v>
      </c>
      <c r="E7770" s="1" t="s">
        <v>2271</v>
      </c>
      <c r="F7770" s="2"/>
      <c r="G7770" s="2"/>
      <c r="H7770" s="2"/>
    </row>
    <row r="7771" spans="1:8" x14ac:dyDescent="0.25">
      <c r="A7771" s="1"/>
      <c r="B7771" s="1" t="s">
        <v>4823</v>
      </c>
      <c r="C7771" s="1" t="s">
        <v>4824</v>
      </c>
      <c r="D7771" s="22" t="str">
        <f>HYPERLINK("https://rhld.insurance.arkansas.gov/NPILookup?Npi=1194954222","1194954222")</f>
        <v>1194954222</v>
      </c>
      <c r="E7771" s="1" t="s">
        <v>741</v>
      </c>
      <c r="F7771" s="2"/>
      <c r="G7771" s="2"/>
      <c r="H7771" s="2"/>
    </row>
    <row r="7772" spans="1:8" x14ac:dyDescent="0.25">
      <c r="A7772" s="1"/>
      <c r="B7772" s="1" t="s">
        <v>4823</v>
      </c>
      <c r="C7772" s="1" t="s">
        <v>4824</v>
      </c>
      <c r="D7772" s="22" t="str">
        <f>HYPERLINK("https://rhld.insurance.arkansas.gov/NPILookup?Npi=1205032281","1205032281")</f>
        <v>1205032281</v>
      </c>
      <c r="E7772" s="1" t="s">
        <v>18684</v>
      </c>
      <c r="F7772" s="2"/>
      <c r="G7772" s="2"/>
      <c r="H7772" s="2"/>
    </row>
    <row r="7773" spans="1:8" x14ac:dyDescent="0.25">
      <c r="A7773" s="1"/>
      <c r="B7773" s="1" t="s">
        <v>4823</v>
      </c>
      <c r="C7773" s="1" t="s">
        <v>4824</v>
      </c>
      <c r="D7773" s="22" t="str">
        <f>HYPERLINK("https://rhld.insurance.arkansas.gov/NPILookup?Npi=1205053758","1205053758")</f>
        <v>1205053758</v>
      </c>
      <c r="E7773" s="1" t="s">
        <v>1720</v>
      </c>
      <c r="F7773" s="2"/>
      <c r="G7773" s="2"/>
      <c r="H7773" s="2"/>
    </row>
    <row r="7774" spans="1:8" x14ac:dyDescent="0.25">
      <c r="A7774" s="1"/>
      <c r="B7774" s="1" t="s">
        <v>4823</v>
      </c>
      <c r="C7774" s="1" t="s">
        <v>4824</v>
      </c>
      <c r="D7774" s="22" t="str">
        <f>HYPERLINK("https://rhld.insurance.arkansas.gov/NPILookup?Npi=1205129848","1205129848")</f>
        <v>1205129848</v>
      </c>
      <c r="E7774" s="1" t="s">
        <v>18685</v>
      </c>
      <c r="F7774" s="2"/>
      <c r="G7774" s="2"/>
      <c r="H7774" s="2"/>
    </row>
    <row r="7775" spans="1:8" x14ac:dyDescent="0.25">
      <c r="A7775" s="1"/>
      <c r="B7775" s="1" t="s">
        <v>4823</v>
      </c>
      <c r="C7775" s="1" t="s">
        <v>4824</v>
      </c>
      <c r="D7775" s="22" t="str">
        <f>HYPERLINK("https://rhld.insurance.arkansas.gov/NPILookup?Npi=1205803608","1205803608")</f>
        <v>1205803608</v>
      </c>
      <c r="E7775" s="1" t="s">
        <v>3646</v>
      </c>
      <c r="F7775" s="2"/>
      <c r="G7775" s="2"/>
      <c r="H7775" s="2"/>
    </row>
    <row r="7776" spans="1:8" x14ac:dyDescent="0.25">
      <c r="A7776" s="1"/>
      <c r="B7776" s="1" t="s">
        <v>4823</v>
      </c>
      <c r="C7776" s="1" t="s">
        <v>4824</v>
      </c>
      <c r="D7776" s="22" t="str">
        <f>HYPERLINK("https://rhld.insurance.arkansas.gov/NPILookup?Npi=1205806510","1205806510")</f>
        <v>1205806510</v>
      </c>
      <c r="E7776" s="1" t="s">
        <v>18686</v>
      </c>
      <c r="F7776" s="2"/>
      <c r="G7776" s="2"/>
      <c r="H7776" s="2"/>
    </row>
    <row r="7777" spans="1:8" x14ac:dyDescent="0.25">
      <c r="A7777" s="1"/>
      <c r="B7777" s="1" t="s">
        <v>4823</v>
      </c>
      <c r="C7777" s="1" t="s">
        <v>4824</v>
      </c>
      <c r="D7777" s="22" t="str">
        <f>HYPERLINK("https://rhld.insurance.arkansas.gov/NPILookup?Npi=1205806536","1205806536")</f>
        <v>1205806536</v>
      </c>
      <c r="E7777" s="1" t="s">
        <v>3518</v>
      </c>
      <c r="F7777" s="2"/>
      <c r="G7777" s="2"/>
      <c r="H7777" s="2"/>
    </row>
    <row r="7778" spans="1:8" x14ac:dyDescent="0.25">
      <c r="A7778" s="1"/>
      <c r="B7778" s="1" t="s">
        <v>4823</v>
      </c>
      <c r="C7778" s="1" t="s">
        <v>4824</v>
      </c>
      <c r="D7778" s="22" t="str">
        <f>HYPERLINK("https://rhld.insurance.arkansas.gov/NPILookup?Npi=1205878113","1205878113")</f>
        <v>1205878113</v>
      </c>
      <c r="E7778" s="1" t="s">
        <v>18687</v>
      </c>
      <c r="F7778" s="2"/>
      <c r="G7778" s="2"/>
      <c r="H7778" s="2"/>
    </row>
    <row r="7779" spans="1:8" x14ac:dyDescent="0.25">
      <c r="A7779" s="1"/>
      <c r="B7779" s="1" t="s">
        <v>4823</v>
      </c>
      <c r="C7779" s="1" t="s">
        <v>4824</v>
      </c>
      <c r="D7779" s="22" t="str">
        <f>HYPERLINK("https://rhld.insurance.arkansas.gov/NPILookup?Npi=1205892437","1205892437")</f>
        <v>1205892437</v>
      </c>
      <c r="E7779" s="1" t="s">
        <v>18688</v>
      </c>
      <c r="F7779" s="2"/>
      <c r="G7779" s="2"/>
      <c r="H7779" s="2"/>
    </row>
    <row r="7780" spans="1:8" x14ac:dyDescent="0.25">
      <c r="A7780" s="1"/>
      <c r="B7780" s="1" t="s">
        <v>4823</v>
      </c>
      <c r="C7780" s="1" t="s">
        <v>4824</v>
      </c>
      <c r="D7780" s="22" t="str">
        <f>HYPERLINK("https://rhld.insurance.arkansas.gov/NPILookup?Npi=1215296322","1215296322")</f>
        <v>1215296322</v>
      </c>
      <c r="E7780" s="1" t="s">
        <v>10721</v>
      </c>
      <c r="F7780" s="2"/>
      <c r="G7780" s="2"/>
      <c r="H7780" s="2"/>
    </row>
    <row r="7781" spans="1:8" x14ac:dyDescent="0.25">
      <c r="A7781" s="1"/>
      <c r="B7781" s="1" t="s">
        <v>4823</v>
      </c>
      <c r="C7781" s="1" t="s">
        <v>4824</v>
      </c>
      <c r="D7781" s="22" t="str">
        <f>HYPERLINK("https://rhld.insurance.arkansas.gov/NPILookup?Npi=1215454418","1215454418")</f>
        <v>1215454418</v>
      </c>
      <c r="E7781" s="1" t="s">
        <v>10722</v>
      </c>
      <c r="F7781" s="2"/>
      <c r="G7781" s="2"/>
      <c r="H7781" s="2"/>
    </row>
    <row r="7782" spans="1:8" x14ac:dyDescent="0.25">
      <c r="A7782" s="1"/>
      <c r="B7782" s="1" t="s">
        <v>4823</v>
      </c>
      <c r="C7782" s="1" t="s">
        <v>4824</v>
      </c>
      <c r="D7782" s="22" t="str">
        <f>HYPERLINK("https://rhld.insurance.arkansas.gov/NPILookup?Npi=1215903257","1215903257")</f>
        <v>1215903257</v>
      </c>
      <c r="E7782" s="1" t="s">
        <v>4840</v>
      </c>
      <c r="F7782" s="2"/>
      <c r="G7782" s="2"/>
      <c r="H7782" s="2"/>
    </row>
    <row r="7783" spans="1:8" x14ac:dyDescent="0.25">
      <c r="A7783" s="1"/>
      <c r="B7783" s="1" t="s">
        <v>4823</v>
      </c>
      <c r="C7783" s="1" t="s">
        <v>4824</v>
      </c>
      <c r="D7783" s="22" t="str">
        <f>HYPERLINK("https://rhld.insurance.arkansas.gov/NPILookup?Npi=1215924832","1215924832")</f>
        <v>1215924832</v>
      </c>
      <c r="E7783" s="1" t="s">
        <v>1449</v>
      </c>
      <c r="F7783" s="2"/>
      <c r="G7783" s="2"/>
      <c r="H7783" s="2"/>
    </row>
    <row r="7784" spans="1:8" x14ac:dyDescent="0.25">
      <c r="A7784" s="1"/>
      <c r="B7784" s="1" t="s">
        <v>4823</v>
      </c>
      <c r="C7784" s="1" t="s">
        <v>4824</v>
      </c>
      <c r="D7784" s="22" t="str">
        <f>HYPERLINK("https://rhld.insurance.arkansas.gov/NPILookup?Npi=1215960471","1215960471")</f>
        <v>1215960471</v>
      </c>
      <c r="E7784" s="1" t="s">
        <v>10723</v>
      </c>
      <c r="F7784" s="2"/>
      <c r="G7784" s="2"/>
      <c r="H7784" s="2"/>
    </row>
    <row r="7785" spans="1:8" x14ac:dyDescent="0.25">
      <c r="A7785" s="1"/>
      <c r="B7785" s="1" t="s">
        <v>4823</v>
      </c>
      <c r="C7785" s="1" t="s">
        <v>4824</v>
      </c>
      <c r="D7785" s="22" t="str">
        <f>HYPERLINK("https://rhld.insurance.arkansas.gov/NPILookup?Npi=1215990668","1215990668")</f>
        <v>1215990668</v>
      </c>
      <c r="E7785" s="1" t="s">
        <v>18689</v>
      </c>
      <c r="F7785" s="2"/>
      <c r="G7785" s="2"/>
      <c r="H7785" s="2"/>
    </row>
    <row r="7786" spans="1:8" x14ac:dyDescent="0.25">
      <c r="A7786" s="1"/>
      <c r="B7786" s="1" t="s">
        <v>4823</v>
      </c>
      <c r="C7786" s="1" t="s">
        <v>4824</v>
      </c>
      <c r="D7786" s="22" t="str">
        <f>HYPERLINK("https://rhld.insurance.arkansas.gov/NPILookup?Npi=1225005531","1225005531")</f>
        <v>1225005531</v>
      </c>
      <c r="E7786" s="1" t="s">
        <v>4841</v>
      </c>
      <c r="F7786" s="2"/>
      <c r="G7786" s="2"/>
      <c r="H7786" s="2"/>
    </row>
    <row r="7787" spans="1:8" x14ac:dyDescent="0.25">
      <c r="A7787" s="1"/>
      <c r="B7787" s="1" t="s">
        <v>4823</v>
      </c>
      <c r="C7787" s="1" t="s">
        <v>4824</v>
      </c>
      <c r="D7787" s="22" t="str">
        <f>HYPERLINK("https://rhld.insurance.arkansas.gov/NPILookup?Npi=1225016637","1225016637")</f>
        <v>1225016637</v>
      </c>
      <c r="E7787" s="1" t="s">
        <v>1450</v>
      </c>
      <c r="F7787" s="2"/>
      <c r="G7787" s="2"/>
      <c r="H7787" s="2"/>
    </row>
    <row r="7788" spans="1:8" x14ac:dyDescent="0.25">
      <c r="A7788" s="1"/>
      <c r="B7788" s="1" t="s">
        <v>4823</v>
      </c>
      <c r="C7788" s="1" t="s">
        <v>4824</v>
      </c>
      <c r="D7788" s="22" t="str">
        <f>HYPERLINK("https://rhld.insurance.arkansas.gov/NPILookup?Npi=1225040645","1225040645")</f>
        <v>1225040645</v>
      </c>
      <c r="E7788" s="1" t="s">
        <v>18690</v>
      </c>
      <c r="F7788" s="2"/>
      <c r="G7788" s="2"/>
      <c r="H7788" s="2"/>
    </row>
    <row r="7789" spans="1:8" x14ac:dyDescent="0.25">
      <c r="A7789" s="1"/>
      <c r="B7789" s="1" t="s">
        <v>4823</v>
      </c>
      <c r="C7789" s="1" t="s">
        <v>4824</v>
      </c>
      <c r="D7789" s="22" t="str">
        <f>HYPERLINK("https://rhld.insurance.arkansas.gov/NPILookup?Npi=1225128713","1225128713")</f>
        <v>1225128713</v>
      </c>
      <c r="E7789" s="1" t="s">
        <v>18691</v>
      </c>
      <c r="F7789" s="2"/>
      <c r="G7789" s="2"/>
      <c r="H7789" s="2"/>
    </row>
    <row r="7790" spans="1:8" x14ac:dyDescent="0.25">
      <c r="A7790" s="1"/>
      <c r="B7790" s="1" t="s">
        <v>4823</v>
      </c>
      <c r="C7790" s="1" t="s">
        <v>4824</v>
      </c>
      <c r="D7790" s="22" t="str">
        <f>HYPERLINK("https://rhld.insurance.arkansas.gov/NPILookup?Npi=1225135171","1225135171")</f>
        <v>1225135171</v>
      </c>
      <c r="E7790" s="1" t="s">
        <v>18692</v>
      </c>
      <c r="F7790" s="2"/>
      <c r="G7790" s="2"/>
      <c r="H7790" s="2"/>
    </row>
    <row r="7791" spans="1:8" x14ac:dyDescent="0.25">
      <c r="A7791" s="1"/>
      <c r="B7791" s="1" t="s">
        <v>4823</v>
      </c>
      <c r="C7791" s="1" t="s">
        <v>4824</v>
      </c>
      <c r="D7791" s="22" t="str">
        <f>HYPERLINK("https://rhld.insurance.arkansas.gov/NPILookup?Npi=1225458813","1225458813")</f>
        <v>1225458813</v>
      </c>
      <c r="E7791" s="1" t="s">
        <v>18693</v>
      </c>
      <c r="F7791" s="2"/>
      <c r="G7791" s="2"/>
      <c r="H7791" s="2"/>
    </row>
    <row r="7792" spans="1:8" x14ac:dyDescent="0.25">
      <c r="A7792" s="1"/>
      <c r="B7792" s="1" t="s">
        <v>4823</v>
      </c>
      <c r="C7792" s="1" t="s">
        <v>4824</v>
      </c>
      <c r="D7792" s="22" t="str">
        <f>HYPERLINK("https://rhld.insurance.arkansas.gov/NPILookup?Npi=1225599244","1225599244")</f>
        <v>1225599244</v>
      </c>
      <c r="E7792" s="1" t="s">
        <v>5321</v>
      </c>
      <c r="F7792" s="2"/>
      <c r="G7792" s="2"/>
      <c r="H7792" s="2"/>
    </row>
    <row r="7793" spans="1:8" x14ac:dyDescent="0.25">
      <c r="A7793" s="1"/>
      <c r="B7793" s="1" t="s">
        <v>4823</v>
      </c>
      <c r="C7793" s="1" t="s">
        <v>4824</v>
      </c>
      <c r="D7793" s="22" t="str">
        <f>HYPERLINK("https://rhld.insurance.arkansas.gov/NPILookup?Npi=1235119405","1235119405")</f>
        <v>1235119405</v>
      </c>
      <c r="E7793" s="1" t="s">
        <v>18694</v>
      </c>
      <c r="F7793" s="2"/>
      <c r="G7793" s="2"/>
      <c r="H7793" s="2"/>
    </row>
    <row r="7794" spans="1:8" x14ac:dyDescent="0.25">
      <c r="A7794" s="1"/>
      <c r="B7794" s="1" t="s">
        <v>4823</v>
      </c>
      <c r="C7794" s="1" t="s">
        <v>4824</v>
      </c>
      <c r="D7794" s="22" t="str">
        <f>HYPERLINK("https://rhld.insurance.arkansas.gov/NPILookup?Npi=1235189069","1235189069")</f>
        <v>1235189069</v>
      </c>
      <c r="E7794" s="1" t="s">
        <v>18695</v>
      </c>
      <c r="F7794" s="2"/>
      <c r="G7794" s="2"/>
      <c r="H7794" s="2"/>
    </row>
    <row r="7795" spans="1:8" x14ac:dyDescent="0.25">
      <c r="A7795" s="1"/>
      <c r="B7795" s="1" t="s">
        <v>4823</v>
      </c>
      <c r="C7795" s="1" t="s">
        <v>4824</v>
      </c>
      <c r="D7795" s="22" t="str">
        <f>HYPERLINK("https://rhld.insurance.arkansas.gov/NPILookup?Npi=1235286246","1235286246")</f>
        <v>1235286246</v>
      </c>
      <c r="E7795" s="1" t="s">
        <v>18696</v>
      </c>
      <c r="F7795" s="2"/>
      <c r="G7795" s="2"/>
      <c r="H7795" s="2"/>
    </row>
    <row r="7796" spans="1:8" x14ac:dyDescent="0.25">
      <c r="A7796" s="1"/>
      <c r="B7796" s="1" t="s">
        <v>4823</v>
      </c>
      <c r="C7796" s="1" t="s">
        <v>4824</v>
      </c>
      <c r="D7796" s="22" t="str">
        <f>HYPERLINK("https://rhld.insurance.arkansas.gov/NPILookup?Npi=1235488719","1235488719")</f>
        <v>1235488719</v>
      </c>
      <c r="E7796" s="1" t="s">
        <v>4842</v>
      </c>
      <c r="F7796" s="2"/>
      <c r="G7796" s="2"/>
      <c r="H7796" s="2"/>
    </row>
    <row r="7797" spans="1:8" x14ac:dyDescent="0.25">
      <c r="A7797" s="1"/>
      <c r="B7797" s="1" t="s">
        <v>4823</v>
      </c>
      <c r="C7797" s="1" t="s">
        <v>4824</v>
      </c>
      <c r="D7797" s="22" t="str">
        <f>HYPERLINK("https://rhld.insurance.arkansas.gov/NPILookup?Npi=1235505074","1235505074")</f>
        <v>1235505074</v>
      </c>
      <c r="E7797" s="1" t="s">
        <v>1538</v>
      </c>
      <c r="F7797" s="2"/>
      <c r="G7797" s="2"/>
      <c r="H7797" s="2"/>
    </row>
    <row r="7798" spans="1:8" x14ac:dyDescent="0.25">
      <c r="A7798" s="1"/>
      <c r="B7798" s="1" t="s">
        <v>4823</v>
      </c>
      <c r="C7798" s="1" t="s">
        <v>4824</v>
      </c>
      <c r="D7798" s="22" t="str">
        <f>HYPERLINK("https://rhld.insurance.arkansas.gov/NPILookup?Npi=1235665126","1235665126")</f>
        <v>1235665126</v>
      </c>
      <c r="E7798" s="1" t="s">
        <v>18697</v>
      </c>
      <c r="F7798" s="2"/>
      <c r="G7798" s="2"/>
      <c r="H7798" s="2"/>
    </row>
    <row r="7799" spans="1:8" x14ac:dyDescent="0.25">
      <c r="A7799" s="1"/>
      <c r="B7799" s="1" t="s">
        <v>4823</v>
      </c>
      <c r="C7799" s="1" t="s">
        <v>4824</v>
      </c>
      <c r="D7799" s="22" t="str">
        <f>HYPERLINK("https://rhld.insurance.arkansas.gov/NPILookup?Npi=1235855685","1235855685")</f>
        <v>1235855685</v>
      </c>
      <c r="E7799" s="1" t="s">
        <v>18698</v>
      </c>
      <c r="F7799" s="2"/>
      <c r="G7799" s="2"/>
      <c r="H7799" s="2"/>
    </row>
    <row r="7800" spans="1:8" x14ac:dyDescent="0.25">
      <c r="A7800" s="1"/>
      <c r="B7800" s="1" t="s">
        <v>4823</v>
      </c>
      <c r="C7800" s="1" t="s">
        <v>4824</v>
      </c>
      <c r="D7800" s="22" t="str">
        <f>HYPERLINK("https://rhld.insurance.arkansas.gov/NPILookup?Npi=1245231752","1245231752")</f>
        <v>1245231752</v>
      </c>
      <c r="E7800" s="1" t="s">
        <v>10724</v>
      </c>
      <c r="F7800" s="2"/>
      <c r="G7800" s="2"/>
      <c r="H7800" s="2"/>
    </row>
    <row r="7801" spans="1:8" x14ac:dyDescent="0.25">
      <c r="A7801" s="1"/>
      <c r="B7801" s="1" t="s">
        <v>4823</v>
      </c>
      <c r="C7801" s="1" t="s">
        <v>4824</v>
      </c>
      <c r="D7801" s="22" t="str">
        <f>HYPERLINK("https://rhld.insurance.arkansas.gov/NPILookup?Npi=1245231943","1245231943")</f>
        <v>1245231943</v>
      </c>
      <c r="E7801" s="1" t="s">
        <v>18699</v>
      </c>
      <c r="F7801" s="2"/>
      <c r="G7801" s="2"/>
      <c r="H7801" s="2"/>
    </row>
    <row r="7802" spans="1:8" x14ac:dyDescent="0.25">
      <c r="A7802" s="1"/>
      <c r="B7802" s="1" t="s">
        <v>4823</v>
      </c>
      <c r="C7802" s="1" t="s">
        <v>4824</v>
      </c>
      <c r="D7802" s="22" t="str">
        <f>HYPERLINK("https://rhld.insurance.arkansas.gov/NPILookup?Npi=1245290535","1245290535")</f>
        <v>1245290535</v>
      </c>
      <c r="E7802" s="1" t="s">
        <v>11749</v>
      </c>
      <c r="F7802" s="2"/>
      <c r="G7802" s="2"/>
      <c r="H7802" s="2"/>
    </row>
    <row r="7803" spans="1:8" x14ac:dyDescent="0.25">
      <c r="A7803" s="1"/>
      <c r="B7803" s="1" t="s">
        <v>4823</v>
      </c>
      <c r="C7803" s="1" t="s">
        <v>4824</v>
      </c>
      <c r="D7803" s="22" t="str">
        <f>HYPERLINK("https://rhld.insurance.arkansas.gov/NPILookup?Npi=1245296961","1245296961")</f>
        <v>1245296961</v>
      </c>
      <c r="E7803" s="1" t="s">
        <v>3519</v>
      </c>
      <c r="F7803" s="2"/>
      <c r="G7803" s="2"/>
      <c r="H7803" s="2"/>
    </row>
    <row r="7804" spans="1:8" x14ac:dyDescent="0.25">
      <c r="A7804" s="1"/>
      <c r="B7804" s="1" t="s">
        <v>4823</v>
      </c>
      <c r="C7804" s="1" t="s">
        <v>4824</v>
      </c>
      <c r="D7804" s="22" t="str">
        <f>HYPERLINK("https://rhld.insurance.arkansas.gov/NPILookup?Npi=1245491380","1245491380")</f>
        <v>1245491380</v>
      </c>
      <c r="E7804" s="1" t="s">
        <v>18700</v>
      </c>
      <c r="F7804" s="2"/>
      <c r="G7804" s="2"/>
      <c r="H7804" s="2"/>
    </row>
    <row r="7805" spans="1:8" x14ac:dyDescent="0.25">
      <c r="A7805" s="1"/>
      <c r="B7805" s="1" t="s">
        <v>4823</v>
      </c>
      <c r="C7805" s="1" t="s">
        <v>4824</v>
      </c>
      <c r="D7805" s="22" t="str">
        <f>HYPERLINK("https://rhld.insurance.arkansas.gov/NPILookup?Npi=1245659002","1245659002")</f>
        <v>1245659002</v>
      </c>
      <c r="E7805" s="1" t="s">
        <v>18701</v>
      </c>
      <c r="F7805" s="2"/>
      <c r="G7805" s="2"/>
      <c r="H7805" s="2"/>
    </row>
    <row r="7806" spans="1:8" x14ac:dyDescent="0.25">
      <c r="A7806" s="1"/>
      <c r="B7806" s="1" t="s">
        <v>4823</v>
      </c>
      <c r="C7806" s="1" t="s">
        <v>4824</v>
      </c>
      <c r="D7806" s="22" t="str">
        <f>HYPERLINK("https://rhld.insurance.arkansas.gov/NPILookup?Npi=1255304143","1255304143")</f>
        <v>1255304143</v>
      </c>
      <c r="E7806" s="1" t="s">
        <v>18702</v>
      </c>
      <c r="F7806" s="2"/>
      <c r="G7806" s="2"/>
      <c r="H7806" s="2"/>
    </row>
    <row r="7807" spans="1:8" x14ac:dyDescent="0.25">
      <c r="A7807" s="1"/>
      <c r="B7807" s="1" t="s">
        <v>4823</v>
      </c>
      <c r="C7807" s="1" t="s">
        <v>4824</v>
      </c>
      <c r="D7807" s="22" t="str">
        <f>HYPERLINK("https://rhld.insurance.arkansas.gov/NPILookup?Npi=1255332276","1255332276")</f>
        <v>1255332276</v>
      </c>
      <c r="E7807" s="1" t="s">
        <v>18703</v>
      </c>
      <c r="F7807" s="2"/>
      <c r="G7807" s="2"/>
      <c r="H7807" s="2"/>
    </row>
    <row r="7808" spans="1:8" x14ac:dyDescent="0.25">
      <c r="A7808" s="1"/>
      <c r="B7808" s="1" t="s">
        <v>4823</v>
      </c>
      <c r="C7808" s="1" t="s">
        <v>4824</v>
      </c>
      <c r="D7808" s="22" t="str">
        <f>HYPERLINK("https://rhld.insurance.arkansas.gov/NPILookup?Npi=1255453130","1255453130")</f>
        <v>1255453130</v>
      </c>
      <c r="E7808" s="1" t="s">
        <v>11781</v>
      </c>
      <c r="F7808" s="2"/>
      <c r="G7808" s="2"/>
      <c r="H7808" s="2"/>
    </row>
    <row r="7809" spans="1:8" x14ac:dyDescent="0.25">
      <c r="A7809" s="1"/>
      <c r="B7809" s="1" t="s">
        <v>4823</v>
      </c>
      <c r="C7809" s="1" t="s">
        <v>4824</v>
      </c>
      <c r="D7809" s="22" t="str">
        <f>HYPERLINK("https://rhld.insurance.arkansas.gov/NPILookup?Npi=1255566824","1255566824")</f>
        <v>1255566824</v>
      </c>
      <c r="E7809" s="1" t="s">
        <v>443</v>
      </c>
      <c r="F7809" s="2"/>
      <c r="G7809" s="2"/>
      <c r="H7809" s="2"/>
    </row>
    <row r="7810" spans="1:8" x14ac:dyDescent="0.25">
      <c r="A7810" s="1"/>
      <c r="B7810" s="1" t="s">
        <v>4823</v>
      </c>
      <c r="C7810" s="1" t="s">
        <v>4824</v>
      </c>
      <c r="D7810" s="22" t="str">
        <f>HYPERLINK("https://rhld.insurance.arkansas.gov/NPILookup?Npi=1255892279","1255892279")</f>
        <v>1255892279</v>
      </c>
      <c r="E7810" s="1" t="s">
        <v>18704</v>
      </c>
      <c r="F7810" s="2"/>
      <c r="G7810" s="2"/>
      <c r="H7810" s="2"/>
    </row>
    <row r="7811" spans="1:8" x14ac:dyDescent="0.25">
      <c r="A7811" s="1"/>
      <c r="B7811" s="1" t="s">
        <v>4823</v>
      </c>
      <c r="C7811" s="1" t="s">
        <v>4824</v>
      </c>
      <c r="D7811" s="22" t="str">
        <f>HYPERLINK("https://rhld.insurance.arkansas.gov/NPILookup?Npi=1265417687","1265417687")</f>
        <v>1265417687</v>
      </c>
      <c r="E7811" s="1" t="s">
        <v>257</v>
      </c>
      <c r="F7811" s="2"/>
      <c r="G7811" s="2"/>
      <c r="H7811" s="2"/>
    </row>
    <row r="7812" spans="1:8" x14ac:dyDescent="0.25">
      <c r="A7812" s="1"/>
      <c r="B7812" s="1" t="s">
        <v>4823</v>
      </c>
      <c r="C7812" s="1" t="s">
        <v>4824</v>
      </c>
      <c r="D7812" s="22" t="str">
        <f>HYPERLINK("https://rhld.insurance.arkansas.gov/NPILookup?Npi=1265430581","1265430581")</f>
        <v>1265430581</v>
      </c>
      <c r="E7812" s="1" t="s">
        <v>18705</v>
      </c>
      <c r="F7812" s="2"/>
      <c r="G7812" s="2"/>
      <c r="H7812" s="2"/>
    </row>
    <row r="7813" spans="1:8" x14ac:dyDescent="0.25">
      <c r="A7813" s="1"/>
      <c r="B7813" s="1" t="s">
        <v>4823</v>
      </c>
      <c r="C7813" s="1" t="s">
        <v>4824</v>
      </c>
      <c r="D7813" s="22" t="str">
        <f>HYPERLINK("https://rhld.insurance.arkansas.gov/NPILookup?Npi=1265629661","1265629661")</f>
        <v>1265629661</v>
      </c>
      <c r="E7813" s="1" t="s">
        <v>4843</v>
      </c>
      <c r="F7813" s="2"/>
      <c r="G7813" s="2"/>
      <c r="H7813" s="2"/>
    </row>
    <row r="7814" spans="1:8" x14ac:dyDescent="0.25">
      <c r="A7814" s="1"/>
      <c r="B7814" s="1" t="s">
        <v>4823</v>
      </c>
      <c r="C7814" s="1" t="s">
        <v>4824</v>
      </c>
      <c r="D7814" s="22" t="str">
        <f>HYPERLINK("https://rhld.insurance.arkansas.gov/NPILookup?Npi=1265636443","1265636443")</f>
        <v>1265636443</v>
      </c>
      <c r="E7814" s="1" t="s">
        <v>3520</v>
      </c>
      <c r="F7814" s="2"/>
      <c r="G7814" s="2"/>
      <c r="H7814" s="2"/>
    </row>
    <row r="7815" spans="1:8" x14ac:dyDescent="0.25">
      <c r="A7815" s="1"/>
      <c r="B7815" s="1" t="s">
        <v>4823</v>
      </c>
      <c r="C7815" s="1" t="s">
        <v>4824</v>
      </c>
      <c r="D7815" s="22" t="str">
        <f>HYPERLINK("https://rhld.insurance.arkansas.gov/NPILookup?Npi=1265752935","1265752935")</f>
        <v>1265752935</v>
      </c>
      <c r="E7815" s="1" t="s">
        <v>10725</v>
      </c>
      <c r="F7815" s="2"/>
      <c r="G7815" s="2"/>
      <c r="H7815" s="2"/>
    </row>
    <row r="7816" spans="1:8" x14ac:dyDescent="0.25">
      <c r="A7816" s="1"/>
      <c r="B7816" s="1" t="s">
        <v>4823</v>
      </c>
      <c r="C7816" s="1" t="s">
        <v>4824</v>
      </c>
      <c r="D7816" s="22" t="str">
        <f>HYPERLINK("https://rhld.insurance.arkansas.gov/NPILookup?Npi=1265753008","1265753008")</f>
        <v>1265753008</v>
      </c>
      <c r="E7816" s="1" t="s">
        <v>18706</v>
      </c>
      <c r="F7816" s="2"/>
      <c r="G7816" s="2"/>
      <c r="H7816" s="2"/>
    </row>
    <row r="7817" spans="1:8" x14ac:dyDescent="0.25">
      <c r="A7817" s="1"/>
      <c r="B7817" s="1" t="s">
        <v>4823</v>
      </c>
      <c r="C7817" s="1" t="s">
        <v>4824</v>
      </c>
      <c r="D7817" s="22" t="str">
        <f>HYPERLINK("https://rhld.insurance.arkansas.gov/NPILookup?Npi=1265895189","1265895189")</f>
        <v>1265895189</v>
      </c>
      <c r="E7817" s="1" t="s">
        <v>10726</v>
      </c>
      <c r="F7817" s="2"/>
      <c r="G7817" s="2"/>
      <c r="H7817" s="2"/>
    </row>
    <row r="7818" spans="1:8" x14ac:dyDescent="0.25">
      <c r="A7818" s="1"/>
      <c r="B7818" s="1" t="s">
        <v>4823</v>
      </c>
      <c r="C7818" s="1" t="s">
        <v>4824</v>
      </c>
      <c r="D7818" s="22" t="str">
        <f>HYPERLINK("https://rhld.insurance.arkansas.gov/NPILookup?Npi=1275682965","1275682965")</f>
        <v>1275682965</v>
      </c>
      <c r="E7818" s="1" t="s">
        <v>18707</v>
      </c>
      <c r="F7818" s="2"/>
      <c r="G7818" s="2"/>
      <c r="H7818" s="2"/>
    </row>
    <row r="7819" spans="1:8" x14ac:dyDescent="0.25">
      <c r="A7819" s="1"/>
      <c r="B7819" s="1" t="s">
        <v>4823</v>
      </c>
      <c r="C7819" s="1" t="s">
        <v>4824</v>
      </c>
      <c r="D7819" s="22" t="str">
        <f>HYPERLINK("https://rhld.insurance.arkansas.gov/NPILookup?Npi=1275774887","1275774887")</f>
        <v>1275774887</v>
      </c>
      <c r="E7819" s="1" t="s">
        <v>31527</v>
      </c>
      <c r="F7819" s="2"/>
      <c r="G7819" s="2"/>
      <c r="H7819" s="2"/>
    </row>
    <row r="7820" spans="1:8" x14ac:dyDescent="0.25">
      <c r="A7820" s="1"/>
      <c r="B7820" s="1" t="s">
        <v>4823</v>
      </c>
      <c r="C7820" s="1" t="s">
        <v>4824</v>
      </c>
      <c r="D7820" s="22" t="str">
        <f>HYPERLINK("https://rhld.insurance.arkansas.gov/NPILookup?Npi=1275896201","1275896201")</f>
        <v>1275896201</v>
      </c>
      <c r="E7820" s="1" t="s">
        <v>10727</v>
      </c>
      <c r="F7820" s="2"/>
      <c r="G7820" s="2"/>
      <c r="H7820" s="2"/>
    </row>
    <row r="7821" spans="1:8" x14ac:dyDescent="0.25">
      <c r="A7821" s="1"/>
      <c r="B7821" s="1" t="s">
        <v>4823</v>
      </c>
      <c r="C7821" s="1" t="s">
        <v>4824</v>
      </c>
      <c r="D7821" s="22" t="str">
        <f>HYPERLINK("https://rhld.insurance.arkansas.gov/NPILookup?Npi=1285053686","1285053686")</f>
        <v>1285053686</v>
      </c>
      <c r="E7821" s="1" t="s">
        <v>18708</v>
      </c>
      <c r="F7821" s="2"/>
      <c r="G7821" s="2"/>
      <c r="H7821" s="2"/>
    </row>
    <row r="7822" spans="1:8" x14ac:dyDescent="0.25">
      <c r="A7822" s="1"/>
      <c r="B7822" s="1" t="s">
        <v>4823</v>
      </c>
      <c r="C7822" s="1" t="s">
        <v>4824</v>
      </c>
      <c r="D7822" s="22" t="str">
        <f>HYPERLINK("https://rhld.insurance.arkansas.gov/NPILookup?Npi=1285606020","1285606020")</f>
        <v>1285606020</v>
      </c>
      <c r="E7822" s="1" t="s">
        <v>18709</v>
      </c>
      <c r="F7822" s="2"/>
      <c r="G7822" s="2"/>
      <c r="H7822" s="2"/>
    </row>
    <row r="7823" spans="1:8" x14ac:dyDescent="0.25">
      <c r="A7823" s="1"/>
      <c r="B7823" s="1" t="s">
        <v>4823</v>
      </c>
      <c r="C7823" s="1" t="s">
        <v>4824</v>
      </c>
      <c r="D7823" s="22" t="str">
        <f>HYPERLINK("https://rhld.insurance.arkansas.gov/NPILookup?Npi=1285632463","1285632463")</f>
        <v>1285632463</v>
      </c>
      <c r="E7823" s="1" t="s">
        <v>708</v>
      </c>
      <c r="F7823" s="2"/>
      <c r="G7823" s="2"/>
      <c r="H7823" s="2"/>
    </row>
    <row r="7824" spans="1:8" x14ac:dyDescent="0.25">
      <c r="A7824" s="1"/>
      <c r="B7824" s="1" t="s">
        <v>4823</v>
      </c>
      <c r="C7824" s="1" t="s">
        <v>4824</v>
      </c>
      <c r="D7824" s="22" t="str">
        <f>HYPERLINK("https://rhld.insurance.arkansas.gov/NPILookup?Npi=1285732487","1285732487")</f>
        <v>1285732487</v>
      </c>
      <c r="E7824" s="1" t="s">
        <v>18710</v>
      </c>
      <c r="F7824" s="2"/>
      <c r="G7824" s="2"/>
      <c r="H7824" s="2"/>
    </row>
    <row r="7825" spans="1:8" x14ac:dyDescent="0.25">
      <c r="A7825" s="1"/>
      <c r="B7825" s="1" t="s">
        <v>4823</v>
      </c>
      <c r="C7825" s="1" t="s">
        <v>4824</v>
      </c>
      <c r="D7825" s="22" t="str">
        <f>HYPERLINK("https://rhld.insurance.arkansas.gov/NPILookup?Npi=1285770040","1285770040")</f>
        <v>1285770040</v>
      </c>
      <c r="E7825" s="1" t="s">
        <v>4844</v>
      </c>
      <c r="F7825" s="2"/>
      <c r="G7825" s="2"/>
      <c r="H7825" s="2"/>
    </row>
    <row r="7826" spans="1:8" x14ac:dyDescent="0.25">
      <c r="A7826" s="1"/>
      <c r="B7826" s="1" t="s">
        <v>4823</v>
      </c>
      <c r="C7826" s="1" t="s">
        <v>4824</v>
      </c>
      <c r="D7826" s="22" t="str">
        <f>HYPERLINK("https://rhld.insurance.arkansas.gov/NPILookup?Npi=1285951186","1285951186")</f>
        <v>1285951186</v>
      </c>
      <c r="E7826" s="1" t="s">
        <v>18711</v>
      </c>
      <c r="F7826" s="2"/>
      <c r="G7826" s="2"/>
      <c r="H7826" s="2"/>
    </row>
    <row r="7827" spans="1:8" x14ac:dyDescent="0.25">
      <c r="A7827" s="1"/>
      <c r="B7827" s="1" t="s">
        <v>4823</v>
      </c>
      <c r="C7827" s="1" t="s">
        <v>4824</v>
      </c>
      <c r="D7827" s="22" t="str">
        <f>HYPERLINK("https://rhld.insurance.arkansas.gov/NPILookup?Npi=1295091650","1295091650")</f>
        <v>1295091650</v>
      </c>
      <c r="E7827" s="1" t="s">
        <v>18712</v>
      </c>
      <c r="F7827" s="2"/>
      <c r="G7827" s="2"/>
      <c r="H7827" s="2"/>
    </row>
    <row r="7828" spans="1:8" x14ac:dyDescent="0.25">
      <c r="A7828" s="1"/>
      <c r="B7828" s="1" t="s">
        <v>4823</v>
      </c>
      <c r="C7828" s="1" t="s">
        <v>4824</v>
      </c>
      <c r="D7828" s="22" t="str">
        <f>HYPERLINK("https://rhld.insurance.arkansas.gov/NPILookup?Npi=1295114486","1295114486")</f>
        <v>1295114486</v>
      </c>
      <c r="E7828" s="1" t="s">
        <v>2558</v>
      </c>
      <c r="F7828" s="2"/>
      <c r="G7828" s="2"/>
      <c r="H7828" s="2"/>
    </row>
    <row r="7829" spans="1:8" x14ac:dyDescent="0.25">
      <c r="A7829" s="1"/>
      <c r="B7829" s="1" t="s">
        <v>4823</v>
      </c>
      <c r="C7829" s="1" t="s">
        <v>4824</v>
      </c>
      <c r="D7829" s="22" t="str">
        <f>HYPERLINK("https://rhld.insurance.arkansas.gov/NPILookup?Npi=1295199099","1295199099")</f>
        <v>1295199099</v>
      </c>
      <c r="E7829" s="1" t="s">
        <v>18714</v>
      </c>
      <c r="F7829" s="2"/>
      <c r="G7829" s="2"/>
      <c r="H7829" s="2"/>
    </row>
    <row r="7830" spans="1:8" x14ac:dyDescent="0.25">
      <c r="A7830" s="1"/>
      <c r="B7830" s="1" t="s">
        <v>4823</v>
      </c>
      <c r="C7830" s="1" t="s">
        <v>4824</v>
      </c>
      <c r="D7830" s="22" t="str">
        <f>HYPERLINK("https://rhld.insurance.arkansas.gov/NPILookup?Npi=1295363737","1295363737")</f>
        <v>1295363737</v>
      </c>
      <c r="E7830" s="1" t="s">
        <v>18715</v>
      </c>
      <c r="F7830" s="2"/>
      <c r="G7830" s="2"/>
      <c r="H7830" s="2"/>
    </row>
    <row r="7831" spans="1:8" x14ac:dyDescent="0.25">
      <c r="A7831" s="1"/>
      <c r="B7831" s="1" t="s">
        <v>4823</v>
      </c>
      <c r="C7831" s="1" t="s">
        <v>4824</v>
      </c>
      <c r="D7831" s="22" t="str">
        <f>HYPERLINK("https://rhld.insurance.arkansas.gov/NPILookup?Npi=1295731016","1295731016")</f>
        <v>1295731016</v>
      </c>
      <c r="E7831" s="1" t="s">
        <v>4845</v>
      </c>
      <c r="F7831" s="2"/>
      <c r="G7831" s="2"/>
      <c r="H7831" s="2"/>
    </row>
    <row r="7832" spans="1:8" x14ac:dyDescent="0.25">
      <c r="A7832" s="1"/>
      <c r="B7832" s="1" t="s">
        <v>4823</v>
      </c>
      <c r="C7832" s="1" t="s">
        <v>4824</v>
      </c>
      <c r="D7832" s="22" t="str">
        <f>HYPERLINK("https://rhld.insurance.arkansas.gov/NPILookup?Npi=1295732170","1295732170")</f>
        <v>1295732170</v>
      </c>
      <c r="E7832" s="1" t="s">
        <v>18716</v>
      </c>
      <c r="F7832" s="2"/>
      <c r="G7832" s="2"/>
      <c r="H7832" s="2"/>
    </row>
    <row r="7833" spans="1:8" x14ac:dyDescent="0.25">
      <c r="A7833" s="1"/>
      <c r="B7833" s="1" t="s">
        <v>4823</v>
      </c>
      <c r="C7833" s="1" t="s">
        <v>4824</v>
      </c>
      <c r="D7833" s="22" t="str">
        <f>HYPERLINK("https://rhld.insurance.arkansas.gov/NPILookup?Npi=1295737559","1295737559")</f>
        <v>1295737559</v>
      </c>
      <c r="E7833" s="1" t="s">
        <v>18717</v>
      </c>
      <c r="F7833" s="2"/>
      <c r="G7833" s="2"/>
      <c r="H7833" s="2"/>
    </row>
    <row r="7834" spans="1:8" x14ac:dyDescent="0.25">
      <c r="A7834" s="1"/>
      <c r="B7834" s="1" t="s">
        <v>4823</v>
      </c>
      <c r="C7834" s="1" t="s">
        <v>4824</v>
      </c>
      <c r="D7834" s="22" t="str">
        <f>HYPERLINK("https://rhld.insurance.arkansas.gov/NPILookup?Npi=1295738615","1295738615")</f>
        <v>1295738615</v>
      </c>
      <c r="E7834" s="1" t="s">
        <v>18718</v>
      </c>
      <c r="F7834" s="2"/>
      <c r="G7834" s="2"/>
      <c r="H7834" s="2"/>
    </row>
    <row r="7835" spans="1:8" x14ac:dyDescent="0.25">
      <c r="A7835" s="1"/>
      <c r="B7835" s="1" t="s">
        <v>4823</v>
      </c>
      <c r="C7835" s="1" t="s">
        <v>4824</v>
      </c>
      <c r="D7835" s="22" t="str">
        <f>HYPERLINK("https://rhld.insurance.arkansas.gov/NPILookup?Npi=1295791739","1295791739")</f>
        <v>1295791739</v>
      </c>
      <c r="E7835" s="1" t="s">
        <v>4846</v>
      </c>
      <c r="F7835" s="2"/>
      <c r="G7835" s="2"/>
      <c r="H7835" s="2"/>
    </row>
    <row r="7836" spans="1:8" x14ac:dyDescent="0.25">
      <c r="A7836" s="1"/>
      <c r="B7836" s="1" t="s">
        <v>4823</v>
      </c>
      <c r="C7836" s="1" t="s">
        <v>4824</v>
      </c>
      <c r="D7836" s="22" t="str">
        <f>HYPERLINK("https://rhld.insurance.arkansas.gov/NPILookup?Npi=1295937993","1295937993")</f>
        <v>1295937993</v>
      </c>
      <c r="E7836" s="1" t="s">
        <v>4847</v>
      </c>
      <c r="F7836" s="2"/>
      <c r="G7836" s="2"/>
      <c r="H7836" s="2"/>
    </row>
    <row r="7837" spans="1:8" x14ac:dyDescent="0.25">
      <c r="A7837" s="1"/>
      <c r="B7837" s="1" t="s">
        <v>4823</v>
      </c>
      <c r="C7837" s="1" t="s">
        <v>4824</v>
      </c>
      <c r="D7837" s="22" t="str">
        <f>HYPERLINK("https://rhld.insurance.arkansas.gov/NPILookup?Npi=1306005145","1306005145")</f>
        <v>1306005145</v>
      </c>
      <c r="E7837" s="1" t="s">
        <v>4848</v>
      </c>
      <c r="F7837" s="2"/>
      <c r="G7837" s="2"/>
      <c r="H7837" s="2"/>
    </row>
    <row r="7838" spans="1:8" x14ac:dyDescent="0.25">
      <c r="A7838" s="1"/>
      <c r="B7838" s="1" t="s">
        <v>4823</v>
      </c>
      <c r="C7838" s="1" t="s">
        <v>4824</v>
      </c>
      <c r="D7838" s="22" t="str">
        <f>HYPERLINK("https://rhld.insurance.arkansas.gov/NPILookup?Npi=1306048251","1306048251")</f>
        <v>1306048251</v>
      </c>
      <c r="E7838" s="1" t="s">
        <v>18720</v>
      </c>
      <c r="F7838" s="2"/>
      <c r="G7838" s="2"/>
      <c r="H7838" s="2"/>
    </row>
    <row r="7839" spans="1:8" x14ac:dyDescent="0.25">
      <c r="A7839" s="1"/>
      <c r="B7839" s="1" t="s">
        <v>4823</v>
      </c>
      <c r="C7839" s="1" t="s">
        <v>4824</v>
      </c>
      <c r="D7839" s="22" t="str">
        <f>HYPERLINK("https://rhld.insurance.arkansas.gov/NPILookup?Npi=1306266226","1306266226")</f>
        <v>1306266226</v>
      </c>
      <c r="E7839" s="1" t="s">
        <v>3521</v>
      </c>
      <c r="F7839" s="2"/>
      <c r="G7839" s="2"/>
      <c r="H7839" s="2"/>
    </row>
    <row r="7840" spans="1:8" x14ac:dyDescent="0.25">
      <c r="A7840" s="1"/>
      <c r="B7840" s="1" t="s">
        <v>4823</v>
      </c>
      <c r="C7840" s="1" t="s">
        <v>4824</v>
      </c>
      <c r="D7840" s="22" t="str">
        <f>HYPERLINK("https://rhld.insurance.arkansas.gov/NPILookup?Npi=1306808910","1306808910")</f>
        <v>1306808910</v>
      </c>
      <c r="E7840" s="1" t="s">
        <v>18721</v>
      </c>
      <c r="F7840" s="2"/>
      <c r="G7840" s="2"/>
      <c r="H7840" s="2"/>
    </row>
    <row r="7841" spans="1:8" x14ac:dyDescent="0.25">
      <c r="A7841" s="1"/>
      <c r="B7841" s="1" t="s">
        <v>4823</v>
      </c>
      <c r="C7841" s="1" t="s">
        <v>4824</v>
      </c>
      <c r="D7841" s="22" t="str">
        <f>HYPERLINK("https://rhld.insurance.arkansas.gov/NPILookup?Npi=1306818133","1306818133")</f>
        <v>1306818133</v>
      </c>
      <c r="E7841" s="1" t="s">
        <v>4849</v>
      </c>
      <c r="F7841" s="2"/>
      <c r="G7841" s="2"/>
      <c r="H7841" s="2"/>
    </row>
    <row r="7842" spans="1:8" x14ac:dyDescent="0.25">
      <c r="A7842" s="1"/>
      <c r="B7842" s="1" t="s">
        <v>4823</v>
      </c>
      <c r="C7842" s="1" t="s">
        <v>4824</v>
      </c>
      <c r="D7842" s="22" t="str">
        <f>HYPERLINK("https://rhld.insurance.arkansas.gov/NPILookup?Npi=1306936893","1306936893")</f>
        <v>1306936893</v>
      </c>
      <c r="E7842" s="1" t="s">
        <v>31528</v>
      </c>
      <c r="F7842" s="2"/>
      <c r="G7842" s="2"/>
      <c r="H7842" s="2"/>
    </row>
    <row r="7843" spans="1:8" x14ac:dyDescent="0.25">
      <c r="A7843" s="1"/>
      <c r="B7843" s="1" t="s">
        <v>4823</v>
      </c>
      <c r="C7843" s="1" t="s">
        <v>4824</v>
      </c>
      <c r="D7843" s="22" t="str">
        <f>HYPERLINK("https://rhld.insurance.arkansas.gov/NPILookup?Npi=1316031040","1316031040")</f>
        <v>1316031040</v>
      </c>
      <c r="E7843" s="1" t="s">
        <v>18722</v>
      </c>
      <c r="F7843" s="2"/>
      <c r="G7843" s="2"/>
      <c r="H7843" s="2"/>
    </row>
    <row r="7844" spans="1:8" x14ac:dyDescent="0.25">
      <c r="A7844" s="1"/>
      <c r="B7844" s="1" t="s">
        <v>4823</v>
      </c>
      <c r="C7844" s="1" t="s">
        <v>4824</v>
      </c>
      <c r="D7844" s="22" t="str">
        <f>HYPERLINK("https://rhld.insurance.arkansas.gov/NPILookup?Npi=1316141963","1316141963")</f>
        <v>1316141963</v>
      </c>
      <c r="E7844" s="1" t="s">
        <v>10728</v>
      </c>
      <c r="F7844" s="2"/>
      <c r="G7844" s="2"/>
      <c r="H7844" s="2"/>
    </row>
    <row r="7845" spans="1:8" x14ac:dyDescent="0.25">
      <c r="A7845" s="1"/>
      <c r="B7845" s="1" t="s">
        <v>4823</v>
      </c>
      <c r="C7845" s="1" t="s">
        <v>4824</v>
      </c>
      <c r="D7845" s="22" t="str">
        <f>HYPERLINK("https://rhld.insurance.arkansas.gov/NPILookup?Npi=1316210404","1316210404")</f>
        <v>1316210404</v>
      </c>
      <c r="E7845" s="1" t="s">
        <v>18723</v>
      </c>
      <c r="F7845" s="2"/>
      <c r="G7845" s="2"/>
      <c r="H7845" s="2"/>
    </row>
    <row r="7846" spans="1:8" x14ac:dyDescent="0.25">
      <c r="A7846" s="1"/>
      <c r="B7846" s="1" t="s">
        <v>4823</v>
      </c>
      <c r="C7846" s="1" t="s">
        <v>4824</v>
      </c>
      <c r="D7846" s="22" t="str">
        <f>HYPERLINK("https://rhld.insurance.arkansas.gov/NPILookup?Npi=1316263866","1316263866")</f>
        <v>1316263866</v>
      </c>
      <c r="E7846" s="1" t="s">
        <v>10626</v>
      </c>
      <c r="F7846" s="2"/>
      <c r="G7846" s="2"/>
      <c r="H7846" s="2"/>
    </row>
    <row r="7847" spans="1:8" x14ac:dyDescent="0.25">
      <c r="A7847" s="1"/>
      <c r="B7847" s="1" t="s">
        <v>4823</v>
      </c>
      <c r="C7847" s="1" t="s">
        <v>4824</v>
      </c>
      <c r="D7847" s="22" t="str">
        <f>HYPERLINK("https://rhld.insurance.arkansas.gov/NPILookup?Npi=1316321078","1316321078")</f>
        <v>1316321078</v>
      </c>
      <c r="E7847" s="1" t="s">
        <v>31529</v>
      </c>
      <c r="F7847" s="2"/>
      <c r="G7847" s="2"/>
      <c r="H7847" s="2"/>
    </row>
    <row r="7848" spans="1:8" x14ac:dyDescent="0.25">
      <c r="A7848" s="1"/>
      <c r="B7848" s="1" t="s">
        <v>4823</v>
      </c>
      <c r="C7848" s="1" t="s">
        <v>4824</v>
      </c>
      <c r="D7848" s="22" t="str">
        <f>HYPERLINK("https://rhld.insurance.arkansas.gov/NPILookup?Npi=1316925613","1316925613")</f>
        <v>1316925613</v>
      </c>
      <c r="E7848" s="1" t="s">
        <v>982</v>
      </c>
      <c r="F7848" s="2"/>
      <c r="G7848" s="2"/>
      <c r="H7848" s="2"/>
    </row>
    <row r="7849" spans="1:8" x14ac:dyDescent="0.25">
      <c r="A7849" s="1"/>
      <c r="B7849" s="1" t="s">
        <v>4823</v>
      </c>
      <c r="C7849" s="1" t="s">
        <v>4824</v>
      </c>
      <c r="D7849" s="22" t="str">
        <f>HYPERLINK("https://rhld.insurance.arkansas.gov/NPILookup?Npi=1316943301","1316943301")</f>
        <v>1316943301</v>
      </c>
      <c r="E7849" s="1" t="s">
        <v>18724</v>
      </c>
      <c r="F7849" s="2"/>
      <c r="G7849" s="2"/>
      <c r="H7849" s="2"/>
    </row>
    <row r="7850" spans="1:8" x14ac:dyDescent="0.25">
      <c r="A7850" s="1"/>
      <c r="B7850" s="1" t="s">
        <v>4823</v>
      </c>
      <c r="C7850" s="1" t="s">
        <v>4824</v>
      </c>
      <c r="D7850" s="22" t="str">
        <f>HYPERLINK("https://rhld.insurance.arkansas.gov/NPILookup?Npi=1326004060","1326004060")</f>
        <v>1326004060</v>
      </c>
      <c r="E7850" s="1" t="s">
        <v>18725</v>
      </c>
      <c r="F7850" s="2"/>
      <c r="G7850" s="2"/>
      <c r="H7850" s="2"/>
    </row>
    <row r="7851" spans="1:8" x14ac:dyDescent="0.25">
      <c r="A7851" s="1"/>
      <c r="B7851" s="1" t="s">
        <v>4823</v>
      </c>
      <c r="C7851" s="1" t="s">
        <v>4824</v>
      </c>
      <c r="D7851" s="22" t="str">
        <f>HYPERLINK("https://rhld.insurance.arkansas.gov/NPILookup?Npi=1326063017","1326063017")</f>
        <v>1326063017</v>
      </c>
      <c r="E7851" s="1" t="s">
        <v>4850</v>
      </c>
      <c r="F7851" s="2"/>
      <c r="G7851" s="2"/>
      <c r="H7851" s="2"/>
    </row>
    <row r="7852" spans="1:8" x14ac:dyDescent="0.25">
      <c r="A7852" s="1"/>
      <c r="B7852" s="1" t="s">
        <v>4823</v>
      </c>
      <c r="C7852" s="1" t="s">
        <v>4824</v>
      </c>
      <c r="D7852" s="22" t="str">
        <f>HYPERLINK("https://rhld.insurance.arkansas.gov/NPILookup?Npi=1326072901","1326072901")</f>
        <v>1326072901</v>
      </c>
      <c r="E7852" s="1" t="s">
        <v>10729</v>
      </c>
      <c r="F7852" s="2"/>
      <c r="G7852" s="2"/>
      <c r="H7852" s="2"/>
    </row>
    <row r="7853" spans="1:8" x14ac:dyDescent="0.25">
      <c r="A7853" s="1"/>
      <c r="B7853" s="1" t="s">
        <v>4823</v>
      </c>
      <c r="C7853" s="1" t="s">
        <v>4824</v>
      </c>
      <c r="D7853" s="22" t="str">
        <f>HYPERLINK("https://rhld.insurance.arkansas.gov/NPILookup?Npi=1326082157","1326082157")</f>
        <v>1326082157</v>
      </c>
      <c r="E7853" s="1" t="s">
        <v>18726</v>
      </c>
      <c r="F7853" s="2"/>
      <c r="G7853" s="2"/>
      <c r="H7853" s="2"/>
    </row>
    <row r="7854" spans="1:8" x14ac:dyDescent="0.25">
      <c r="A7854" s="1"/>
      <c r="B7854" s="1" t="s">
        <v>4823</v>
      </c>
      <c r="C7854" s="1" t="s">
        <v>4824</v>
      </c>
      <c r="D7854" s="22" t="str">
        <f>HYPERLINK("https://rhld.insurance.arkansas.gov/NPILookup?Npi=1326094566","1326094566")</f>
        <v>1326094566</v>
      </c>
      <c r="E7854" s="1" t="s">
        <v>10730</v>
      </c>
      <c r="F7854" s="2"/>
      <c r="G7854" s="2"/>
      <c r="H7854" s="2"/>
    </row>
    <row r="7855" spans="1:8" x14ac:dyDescent="0.25">
      <c r="A7855" s="1"/>
      <c r="B7855" s="1" t="s">
        <v>4823</v>
      </c>
      <c r="C7855" s="1" t="s">
        <v>4824</v>
      </c>
      <c r="D7855" s="22" t="str">
        <f>HYPERLINK("https://rhld.insurance.arkansas.gov/NPILookup?Npi=1326197997","1326197997")</f>
        <v>1326197997</v>
      </c>
      <c r="E7855" s="1" t="s">
        <v>18727</v>
      </c>
      <c r="F7855" s="2"/>
      <c r="G7855" s="2"/>
      <c r="H7855" s="2"/>
    </row>
    <row r="7856" spans="1:8" x14ac:dyDescent="0.25">
      <c r="A7856" s="1"/>
      <c r="B7856" s="1" t="s">
        <v>4823</v>
      </c>
      <c r="C7856" s="1" t="s">
        <v>4824</v>
      </c>
      <c r="D7856" s="22" t="str">
        <f>HYPERLINK("https://rhld.insurance.arkansas.gov/NPILookup?Npi=1326304643","1326304643")</f>
        <v>1326304643</v>
      </c>
      <c r="E7856" s="1" t="s">
        <v>4851</v>
      </c>
      <c r="F7856" s="2"/>
      <c r="G7856" s="2"/>
      <c r="H7856" s="2"/>
    </row>
    <row r="7857" spans="1:8" x14ac:dyDescent="0.25">
      <c r="A7857" s="1"/>
      <c r="B7857" s="1" t="s">
        <v>4823</v>
      </c>
      <c r="C7857" s="1" t="s">
        <v>4824</v>
      </c>
      <c r="D7857" s="22" t="str">
        <f>HYPERLINK("https://rhld.insurance.arkansas.gov/NPILookup?Npi=1326573395","1326573395")</f>
        <v>1326573395</v>
      </c>
      <c r="E7857" s="1" t="s">
        <v>18728</v>
      </c>
      <c r="F7857" s="2"/>
      <c r="G7857" s="2"/>
      <c r="H7857" s="2"/>
    </row>
    <row r="7858" spans="1:8" x14ac:dyDescent="0.25">
      <c r="A7858" s="1"/>
      <c r="B7858" s="1" t="s">
        <v>4823</v>
      </c>
      <c r="C7858" s="1" t="s">
        <v>4824</v>
      </c>
      <c r="D7858" s="22" t="str">
        <f>HYPERLINK("https://rhld.insurance.arkansas.gov/NPILookup?Npi=1326579749","1326579749")</f>
        <v>1326579749</v>
      </c>
      <c r="E7858" s="1" t="s">
        <v>4852</v>
      </c>
      <c r="F7858" s="2"/>
      <c r="G7858" s="2"/>
      <c r="H7858" s="2"/>
    </row>
    <row r="7859" spans="1:8" x14ac:dyDescent="0.25">
      <c r="A7859" s="1"/>
      <c r="B7859" s="1" t="s">
        <v>4823</v>
      </c>
      <c r="C7859" s="1" t="s">
        <v>4824</v>
      </c>
      <c r="D7859" s="22" t="str">
        <f>HYPERLINK("https://rhld.insurance.arkansas.gov/NPILookup?Npi=1336100262","1336100262")</f>
        <v>1336100262</v>
      </c>
      <c r="E7859" s="1" t="s">
        <v>18729</v>
      </c>
      <c r="F7859" s="2"/>
      <c r="G7859" s="2"/>
      <c r="H7859" s="2"/>
    </row>
    <row r="7860" spans="1:8" x14ac:dyDescent="0.25">
      <c r="A7860" s="1"/>
      <c r="B7860" s="1" t="s">
        <v>4823</v>
      </c>
      <c r="C7860" s="1" t="s">
        <v>4824</v>
      </c>
      <c r="D7860" s="22" t="str">
        <f>HYPERLINK("https://rhld.insurance.arkansas.gov/NPILookup?Npi=1336106103","1336106103")</f>
        <v>1336106103</v>
      </c>
      <c r="E7860" s="1" t="s">
        <v>4853</v>
      </c>
      <c r="F7860" s="2"/>
      <c r="G7860" s="2"/>
      <c r="H7860" s="2"/>
    </row>
    <row r="7861" spans="1:8" x14ac:dyDescent="0.25">
      <c r="A7861" s="1"/>
      <c r="B7861" s="1" t="s">
        <v>4823</v>
      </c>
      <c r="C7861" s="1" t="s">
        <v>4824</v>
      </c>
      <c r="D7861" s="22" t="str">
        <f>HYPERLINK("https://rhld.insurance.arkansas.gov/NPILookup?Npi=1336107978","1336107978")</f>
        <v>1336107978</v>
      </c>
      <c r="E7861" s="1" t="s">
        <v>4854</v>
      </c>
      <c r="F7861" s="2"/>
      <c r="G7861" s="2"/>
      <c r="H7861" s="2"/>
    </row>
    <row r="7862" spans="1:8" x14ac:dyDescent="0.25">
      <c r="A7862" s="1"/>
      <c r="B7862" s="1" t="s">
        <v>4823</v>
      </c>
      <c r="C7862" s="1" t="s">
        <v>4824</v>
      </c>
      <c r="D7862" s="22" t="str">
        <f>HYPERLINK("https://rhld.insurance.arkansas.gov/NPILookup?Npi=1336111665","1336111665")</f>
        <v>1336111665</v>
      </c>
      <c r="E7862" s="1" t="s">
        <v>18730</v>
      </c>
      <c r="F7862" s="2"/>
      <c r="G7862" s="2"/>
      <c r="H7862" s="2"/>
    </row>
    <row r="7863" spans="1:8" x14ac:dyDescent="0.25">
      <c r="A7863" s="1"/>
      <c r="B7863" s="1" t="s">
        <v>4823</v>
      </c>
      <c r="C7863" s="1" t="s">
        <v>4824</v>
      </c>
      <c r="D7863" s="22" t="str">
        <f>HYPERLINK("https://rhld.insurance.arkansas.gov/NPILookup?Npi=1336119304","1336119304")</f>
        <v>1336119304</v>
      </c>
      <c r="E7863" s="1" t="s">
        <v>18731</v>
      </c>
      <c r="F7863" s="2"/>
      <c r="G7863" s="2"/>
      <c r="H7863" s="2"/>
    </row>
    <row r="7864" spans="1:8" x14ac:dyDescent="0.25">
      <c r="A7864" s="1"/>
      <c r="B7864" s="1" t="s">
        <v>4823</v>
      </c>
      <c r="C7864" s="1" t="s">
        <v>4824</v>
      </c>
      <c r="D7864" s="22" t="str">
        <f>HYPERLINK("https://rhld.insurance.arkansas.gov/NPILookup?Npi=1336148600","1336148600")</f>
        <v>1336148600</v>
      </c>
      <c r="E7864" s="1" t="s">
        <v>18732</v>
      </c>
      <c r="F7864" s="2"/>
      <c r="G7864" s="2"/>
      <c r="H7864" s="2"/>
    </row>
    <row r="7865" spans="1:8" x14ac:dyDescent="0.25">
      <c r="A7865" s="1"/>
      <c r="B7865" s="1" t="s">
        <v>4823</v>
      </c>
      <c r="C7865" s="1" t="s">
        <v>4824</v>
      </c>
      <c r="D7865" s="22" t="str">
        <f>HYPERLINK("https://rhld.insurance.arkansas.gov/NPILookup?Npi=1336149905","1336149905")</f>
        <v>1336149905</v>
      </c>
      <c r="E7865" s="1" t="s">
        <v>10731</v>
      </c>
      <c r="F7865" s="2"/>
      <c r="G7865" s="2"/>
      <c r="H7865" s="2"/>
    </row>
    <row r="7866" spans="1:8" x14ac:dyDescent="0.25">
      <c r="A7866" s="1"/>
      <c r="B7866" s="1" t="s">
        <v>4823</v>
      </c>
      <c r="C7866" s="1" t="s">
        <v>4824</v>
      </c>
      <c r="D7866" s="22" t="str">
        <f>HYPERLINK("https://rhld.insurance.arkansas.gov/NPILookup?Npi=1336644095","1336644095")</f>
        <v>1336644095</v>
      </c>
      <c r="E7866" s="1" t="s">
        <v>18733</v>
      </c>
      <c r="F7866" s="2"/>
      <c r="G7866" s="2"/>
      <c r="H7866" s="2"/>
    </row>
    <row r="7867" spans="1:8" x14ac:dyDescent="0.25">
      <c r="A7867" s="1"/>
      <c r="B7867" s="1" t="s">
        <v>4823</v>
      </c>
      <c r="C7867" s="1" t="s">
        <v>4824</v>
      </c>
      <c r="D7867" s="22" t="str">
        <f>HYPERLINK("https://rhld.insurance.arkansas.gov/NPILookup?Npi=1346210671","1346210671")</f>
        <v>1346210671</v>
      </c>
      <c r="E7867" s="1" t="s">
        <v>18734</v>
      </c>
      <c r="F7867" s="2"/>
      <c r="G7867" s="2"/>
      <c r="H7867" s="2"/>
    </row>
    <row r="7868" spans="1:8" x14ac:dyDescent="0.25">
      <c r="A7868" s="1"/>
      <c r="B7868" s="1" t="s">
        <v>4823</v>
      </c>
      <c r="C7868" s="1" t="s">
        <v>4824</v>
      </c>
      <c r="D7868" s="22" t="str">
        <f>HYPERLINK("https://rhld.insurance.arkansas.gov/NPILookup?Npi=1346220449","1346220449")</f>
        <v>1346220449</v>
      </c>
      <c r="E7868" s="1" t="s">
        <v>1972</v>
      </c>
      <c r="F7868" s="2"/>
      <c r="G7868" s="2"/>
      <c r="H7868" s="2"/>
    </row>
    <row r="7869" spans="1:8" x14ac:dyDescent="0.25">
      <c r="A7869" s="1"/>
      <c r="B7869" s="1" t="s">
        <v>4823</v>
      </c>
      <c r="C7869" s="1" t="s">
        <v>4824</v>
      </c>
      <c r="D7869" s="22" t="str">
        <f>HYPERLINK("https://rhld.insurance.arkansas.gov/NPILookup?Npi=1346235850","1346235850")</f>
        <v>1346235850</v>
      </c>
      <c r="E7869" s="1" t="s">
        <v>2741</v>
      </c>
      <c r="F7869" s="2"/>
      <c r="G7869" s="2"/>
      <c r="H7869" s="2"/>
    </row>
    <row r="7870" spans="1:8" x14ac:dyDescent="0.25">
      <c r="A7870" s="1"/>
      <c r="B7870" s="1" t="s">
        <v>4823</v>
      </c>
      <c r="C7870" s="1" t="s">
        <v>4824</v>
      </c>
      <c r="D7870" s="22" t="str">
        <f>HYPERLINK("https://rhld.insurance.arkansas.gov/NPILookup?Npi=1346248671","1346248671")</f>
        <v>1346248671</v>
      </c>
      <c r="E7870" s="1" t="s">
        <v>18735</v>
      </c>
      <c r="F7870" s="2"/>
      <c r="G7870" s="2"/>
      <c r="H7870" s="2"/>
    </row>
    <row r="7871" spans="1:8" x14ac:dyDescent="0.25">
      <c r="A7871" s="1"/>
      <c r="B7871" s="1" t="s">
        <v>4823</v>
      </c>
      <c r="C7871" s="1" t="s">
        <v>4824</v>
      </c>
      <c r="D7871" s="22" t="str">
        <f>HYPERLINK("https://rhld.insurance.arkansas.gov/NPILookup?Npi=1346293461","1346293461")</f>
        <v>1346293461</v>
      </c>
      <c r="E7871" s="1" t="s">
        <v>10732</v>
      </c>
      <c r="F7871" s="2"/>
      <c r="G7871" s="2"/>
      <c r="H7871" s="2"/>
    </row>
    <row r="7872" spans="1:8" x14ac:dyDescent="0.25">
      <c r="A7872" s="1"/>
      <c r="B7872" s="1" t="s">
        <v>4823</v>
      </c>
      <c r="C7872" s="1" t="s">
        <v>4824</v>
      </c>
      <c r="D7872" s="22" t="str">
        <f>HYPERLINK("https://rhld.insurance.arkansas.gov/NPILookup?Npi=1346362225","1346362225")</f>
        <v>1346362225</v>
      </c>
      <c r="E7872" s="1" t="s">
        <v>10733</v>
      </c>
      <c r="F7872" s="2"/>
      <c r="G7872" s="2"/>
      <c r="H7872" s="2"/>
    </row>
    <row r="7873" spans="1:8" x14ac:dyDescent="0.25">
      <c r="A7873" s="1"/>
      <c r="B7873" s="1" t="s">
        <v>4823</v>
      </c>
      <c r="C7873" s="1" t="s">
        <v>4824</v>
      </c>
      <c r="D7873" s="22" t="str">
        <f>HYPERLINK("https://rhld.insurance.arkansas.gov/NPILookup?Npi=1346441706","1346441706")</f>
        <v>1346441706</v>
      </c>
      <c r="E7873" s="1" t="s">
        <v>10734</v>
      </c>
      <c r="F7873" s="2"/>
      <c r="G7873" s="2"/>
      <c r="H7873" s="2"/>
    </row>
    <row r="7874" spans="1:8" x14ac:dyDescent="0.25">
      <c r="A7874" s="1"/>
      <c r="B7874" s="1" t="s">
        <v>4823</v>
      </c>
      <c r="C7874" s="1" t="s">
        <v>4824</v>
      </c>
      <c r="D7874" s="22" t="str">
        <f>HYPERLINK("https://rhld.insurance.arkansas.gov/NPILookup?Npi=1346501020","1346501020")</f>
        <v>1346501020</v>
      </c>
      <c r="E7874" s="1" t="s">
        <v>10735</v>
      </c>
      <c r="F7874" s="2"/>
      <c r="G7874" s="2"/>
      <c r="H7874" s="2"/>
    </row>
    <row r="7875" spans="1:8" x14ac:dyDescent="0.25">
      <c r="A7875" s="1"/>
      <c r="B7875" s="1" t="s">
        <v>4823</v>
      </c>
      <c r="C7875" s="1" t="s">
        <v>4824</v>
      </c>
      <c r="D7875" s="22" t="str">
        <f>HYPERLINK("https://rhld.insurance.arkansas.gov/NPILookup?Npi=1346802089","1346802089")</f>
        <v>1346802089</v>
      </c>
      <c r="E7875" s="1" t="s">
        <v>18736</v>
      </c>
      <c r="F7875" s="2"/>
      <c r="G7875" s="2"/>
      <c r="H7875" s="2"/>
    </row>
    <row r="7876" spans="1:8" x14ac:dyDescent="0.25">
      <c r="A7876" s="1"/>
      <c r="B7876" s="1" t="s">
        <v>4823</v>
      </c>
      <c r="C7876" s="1" t="s">
        <v>4824</v>
      </c>
      <c r="D7876" s="22" t="str">
        <f>HYPERLINK("https://rhld.insurance.arkansas.gov/NPILookup?Npi=1356312904","1356312904")</f>
        <v>1356312904</v>
      </c>
      <c r="E7876" s="1" t="s">
        <v>18094</v>
      </c>
      <c r="F7876" s="2"/>
      <c r="G7876" s="2"/>
      <c r="H7876" s="2"/>
    </row>
    <row r="7877" spans="1:8" x14ac:dyDescent="0.25">
      <c r="A7877" s="1"/>
      <c r="B7877" s="1" t="s">
        <v>4823</v>
      </c>
      <c r="C7877" s="1" t="s">
        <v>4824</v>
      </c>
      <c r="D7877" s="22" t="str">
        <f>HYPERLINK("https://rhld.insurance.arkansas.gov/NPILookup?Npi=1356318273","1356318273")</f>
        <v>1356318273</v>
      </c>
      <c r="E7877" s="1" t="s">
        <v>4855</v>
      </c>
      <c r="F7877" s="2"/>
      <c r="G7877" s="2"/>
      <c r="H7877" s="2"/>
    </row>
    <row r="7878" spans="1:8" x14ac:dyDescent="0.25">
      <c r="A7878" s="1"/>
      <c r="B7878" s="1" t="s">
        <v>4823</v>
      </c>
      <c r="C7878" s="1" t="s">
        <v>4824</v>
      </c>
      <c r="D7878" s="22" t="str">
        <f>HYPERLINK("https://rhld.insurance.arkansas.gov/NPILookup?Npi=1356509236","1356509236")</f>
        <v>1356509236</v>
      </c>
      <c r="E7878" s="1" t="s">
        <v>18737</v>
      </c>
      <c r="F7878" s="2"/>
      <c r="G7878" s="2"/>
      <c r="H7878" s="2"/>
    </row>
    <row r="7879" spans="1:8" x14ac:dyDescent="0.25">
      <c r="A7879" s="1"/>
      <c r="B7879" s="1" t="s">
        <v>4823</v>
      </c>
      <c r="C7879" s="1" t="s">
        <v>4824</v>
      </c>
      <c r="D7879" s="22" t="str">
        <f>HYPERLINK("https://rhld.insurance.arkansas.gov/NPILookup?Npi=1356543177","1356543177")</f>
        <v>1356543177</v>
      </c>
      <c r="E7879" s="1" t="s">
        <v>18738</v>
      </c>
      <c r="F7879" s="2"/>
      <c r="G7879" s="2"/>
      <c r="H7879" s="2"/>
    </row>
    <row r="7880" spans="1:8" x14ac:dyDescent="0.25">
      <c r="A7880" s="1"/>
      <c r="B7880" s="1" t="s">
        <v>4823</v>
      </c>
      <c r="C7880" s="1" t="s">
        <v>4824</v>
      </c>
      <c r="D7880" s="22" t="str">
        <f>HYPERLINK("https://rhld.insurance.arkansas.gov/NPILookup?Npi=1356564850","1356564850")</f>
        <v>1356564850</v>
      </c>
      <c r="E7880" s="1" t="s">
        <v>4856</v>
      </c>
      <c r="F7880" s="2"/>
      <c r="G7880" s="2"/>
      <c r="H7880" s="2"/>
    </row>
    <row r="7881" spans="1:8" x14ac:dyDescent="0.25">
      <c r="A7881" s="1"/>
      <c r="B7881" s="1" t="s">
        <v>4823</v>
      </c>
      <c r="C7881" s="1" t="s">
        <v>4824</v>
      </c>
      <c r="D7881" s="22" t="str">
        <f>HYPERLINK("https://rhld.insurance.arkansas.gov/NPILookup?Npi=1356575492","1356575492")</f>
        <v>1356575492</v>
      </c>
      <c r="E7881" s="1" t="s">
        <v>10736</v>
      </c>
      <c r="F7881" s="2"/>
      <c r="G7881" s="2"/>
      <c r="H7881" s="2"/>
    </row>
    <row r="7882" spans="1:8" x14ac:dyDescent="0.25">
      <c r="A7882" s="1"/>
      <c r="B7882" s="1" t="s">
        <v>4823</v>
      </c>
      <c r="C7882" s="1" t="s">
        <v>4824</v>
      </c>
      <c r="D7882" s="22" t="str">
        <f>HYPERLINK("https://rhld.insurance.arkansas.gov/NPILookup?Npi=1356738041","1356738041")</f>
        <v>1356738041</v>
      </c>
      <c r="E7882" s="1" t="s">
        <v>18739</v>
      </c>
      <c r="F7882" s="2"/>
      <c r="G7882" s="2"/>
      <c r="H7882" s="2"/>
    </row>
    <row r="7883" spans="1:8" x14ac:dyDescent="0.25">
      <c r="A7883" s="1"/>
      <c r="B7883" s="1" t="s">
        <v>4823</v>
      </c>
      <c r="C7883" s="1" t="s">
        <v>4824</v>
      </c>
      <c r="D7883" s="22" t="str">
        <f>HYPERLINK("https://rhld.insurance.arkansas.gov/NPILookup?Npi=1356797740","1356797740")</f>
        <v>1356797740</v>
      </c>
      <c r="E7883" s="1" t="s">
        <v>10737</v>
      </c>
      <c r="F7883" s="2"/>
      <c r="G7883" s="2"/>
      <c r="H7883" s="2"/>
    </row>
    <row r="7884" spans="1:8" x14ac:dyDescent="0.25">
      <c r="A7884" s="1"/>
      <c r="B7884" s="1" t="s">
        <v>4823</v>
      </c>
      <c r="C7884" s="1" t="s">
        <v>4824</v>
      </c>
      <c r="D7884" s="22" t="str">
        <f>HYPERLINK("https://rhld.insurance.arkansas.gov/NPILookup?Npi=1366437543","1366437543")</f>
        <v>1366437543</v>
      </c>
      <c r="E7884" s="1" t="s">
        <v>18740</v>
      </c>
      <c r="F7884" s="2"/>
      <c r="G7884" s="2"/>
      <c r="H7884" s="2"/>
    </row>
    <row r="7885" spans="1:8" x14ac:dyDescent="0.25">
      <c r="A7885" s="1"/>
      <c r="B7885" s="1" t="s">
        <v>4823</v>
      </c>
      <c r="C7885" s="1" t="s">
        <v>4824</v>
      </c>
      <c r="D7885" s="22" t="str">
        <f>HYPERLINK("https://rhld.insurance.arkansas.gov/NPILookup?Npi=1366438772","1366438772")</f>
        <v>1366438772</v>
      </c>
      <c r="E7885" s="1" t="s">
        <v>18741</v>
      </c>
      <c r="F7885" s="2"/>
      <c r="G7885" s="2"/>
      <c r="H7885" s="2"/>
    </row>
    <row r="7886" spans="1:8" x14ac:dyDescent="0.25">
      <c r="A7886" s="1"/>
      <c r="B7886" s="1" t="s">
        <v>4823</v>
      </c>
      <c r="C7886" s="1" t="s">
        <v>4824</v>
      </c>
      <c r="D7886" s="22" t="str">
        <f>HYPERLINK("https://rhld.insurance.arkansas.gov/NPILookup?Npi=1366545360","1366545360")</f>
        <v>1366545360</v>
      </c>
      <c r="E7886" s="1" t="s">
        <v>4857</v>
      </c>
      <c r="F7886" s="2"/>
      <c r="G7886" s="2"/>
      <c r="H7886" s="2"/>
    </row>
    <row r="7887" spans="1:8" x14ac:dyDescent="0.25">
      <c r="A7887" s="1"/>
      <c r="B7887" s="1" t="s">
        <v>4823</v>
      </c>
      <c r="C7887" s="1" t="s">
        <v>4824</v>
      </c>
      <c r="D7887" s="22" t="str">
        <f>HYPERLINK("https://rhld.insurance.arkansas.gov/NPILookup?Npi=1376049288","1376049288")</f>
        <v>1376049288</v>
      </c>
      <c r="E7887" s="1" t="s">
        <v>18742</v>
      </c>
      <c r="F7887" s="2"/>
      <c r="G7887" s="2"/>
      <c r="H7887" s="2"/>
    </row>
    <row r="7888" spans="1:8" x14ac:dyDescent="0.25">
      <c r="A7888" s="1"/>
      <c r="B7888" s="1" t="s">
        <v>4823</v>
      </c>
      <c r="C7888" s="1" t="s">
        <v>4824</v>
      </c>
      <c r="D7888" s="22" t="str">
        <f>HYPERLINK("https://rhld.insurance.arkansas.gov/NPILookup?Npi=1376509760","1376509760")</f>
        <v>1376509760</v>
      </c>
      <c r="E7888" s="1" t="s">
        <v>4858</v>
      </c>
      <c r="F7888" s="2"/>
      <c r="G7888" s="2"/>
      <c r="H7888" s="2"/>
    </row>
    <row r="7889" spans="1:8" x14ac:dyDescent="0.25">
      <c r="A7889" s="1"/>
      <c r="B7889" s="1" t="s">
        <v>4823</v>
      </c>
      <c r="C7889" s="1" t="s">
        <v>4824</v>
      </c>
      <c r="D7889" s="22" t="str">
        <f>HYPERLINK("https://rhld.insurance.arkansas.gov/NPILookup?Npi=1376552315","1376552315")</f>
        <v>1376552315</v>
      </c>
      <c r="E7889" s="1" t="s">
        <v>452</v>
      </c>
      <c r="F7889" s="2"/>
      <c r="G7889" s="2"/>
      <c r="H7889" s="2"/>
    </row>
    <row r="7890" spans="1:8" x14ac:dyDescent="0.25">
      <c r="A7890" s="1"/>
      <c r="B7890" s="1" t="s">
        <v>4823</v>
      </c>
      <c r="C7890" s="1" t="s">
        <v>4824</v>
      </c>
      <c r="D7890" s="22" t="str">
        <f>HYPERLINK("https://rhld.insurance.arkansas.gov/NPILookup?Npi=1376568709","1376568709")</f>
        <v>1376568709</v>
      </c>
      <c r="E7890" s="1" t="s">
        <v>18743</v>
      </c>
      <c r="F7890" s="2"/>
      <c r="G7890" s="2"/>
      <c r="H7890" s="2"/>
    </row>
    <row r="7891" spans="1:8" x14ac:dyDescent="0.25">
      <c r="A7891" s="1"/>
      <c r="B7891" s="1" t="s">
        <v>4823</v>
      </c>
      <c r="C7891" s="1" t="s">
        <v>4824</v>
      </c>
      <c r="D7891" s="22" t="str">
        <f>HYPERLINK("https://rhld.insurance.arkansas.gov/NPILookup?Npi=1376623819","1376623819")</f>
        <v>1376623819</v>
      </c>
      <c r="E7891" s="1" t="s">
        <v>18744</v>
      </c>
      <c r="F7891" s="2"/>
      <c r="G7891" s="2"/>
      <c r="H7891" s="2"/>
    </row>
    <row r="7892" spans="1:8" x14ac:dyDescent="0.25">
      <c r="A7892" s="1"/>
      <c r="B7892" s="1" t="s">
        <v>4823</v>
      </c>
      <c r="C7892" s="1" t="s">
        <v>4824</v>
      </c>
      <c r="D7892" s="22" t="str">
        <f>HYPERLINK("https://rhld.insurance.arkansas.gov/NPILookup?Npi=1376777466","1376777466")</f>
        <v>1376777466</v>
      </c>
      <c r="E7892" s="1" t="s">
        <v>18745</v>
      </c>
      <c r="F7892" s="2"/>
      <c r="G7892" s="2"/>
      <c r="H7892" s="2"/>
    </row>
    <row r="7893" spans="1:8" x14ac:dyDescent="0.25">
      <c r="A7893" s="1"/>
      <c r="B7893" s="1" t="s">
        <v>4823</v>
      </c>
      <c r="C7893" s="1" t="s">
        <v>4824</v>
      </c>
      <c r="D7893" s="22" t="str">
        <f>HYPERLINK("https://rhld.insurance.arkansas.gov/NPILookup?Npi=1376855288","1376855288")</f>
        <v>1376855288</v>
      </c>
      <c r="E7893" s="1" t="s">
        <v>3450</v>
      </c>
      <c r="F7893" s="2"/>
      <c r="G7893" s="2"/>
      <c r="H7893" s="2"/>
    </row>
    <row r="7894" spans="1:8" x14ac:dyDescent="0.25">
      <c r="A7894" s="1"/>
      <c r="B7894" s="1" t="s">
        <v>4823</v>
      </c>
      <c r="C7894" s="1" t="s">
        <v>4824</v>
      </c>
      <c r="D7894" s="22" t="str">
        <f>HYPERLINK("https://rhld.insurance.arkansas.gov/NPILookup?Npi=1386630911","1386630911")</f>
        <v>1386630911</v>
      </c>
      <c r="E7894" s="1" t="s">
        <v>18746</v>
      </c>
      <c r="F7894" s="2"/>
      <c r="G7894" s="2"/>
      <c r="H7894" s="2"/>
    </row>
    <row r="7895" spans="1:8" x14ac:dyDescent="0.25">
      <c r="A7895" s="1"/>
      <c r="B7895" s="1" t="s">
        <v>4823</v>
      </c>
      <c r="C7895" s="1" t="s">
        <v>4824</v>
      </c>
      <c r="D7895" s="22" t="str">
        <f>HYPERLINK("https://rhld.insurance.arkansas.gov/NPILookup?Npi=1386671543","1386671543")</f>
        <v>1386671543</v>
      </c>
      <c r="E7895" s="1" t="s">
        <v>4859</v>
      </c>
      <c r="F7895" s="2"/>
      <c r="G7895" s="2"/>
      <c r="H7895" s="2"/>
    </row>
    <row r="7896" spans="1:8" x14ac:dyDescent="0.25">
      <c r="A7896" s="1"/>
      <c r="B7896" s="1" t="s">
        <v>4823</v>
      </c>
      <c r="C7896" s="1" t="s">
        <v>4824</v>
      </c>
      <c r="D7896" s="22" t="str">
        <f>HYPERLINK("https://rhld.insurance.arkansas.gov/NPILookup?Npi=1386692994","1386692994")</f>
        <v>1386692994</v>
      </c>
      <c r="E7896" s="1" t="s">
        <v>18747</v>
      </c>
      <c r="F7896" s="2"/>
      <c r="G7896" s="2"/>
      <c r="H7896" s="2"/>
    </row>
    <row r="7897" spans="1:8" x14ac:dyDescent="0.25">
      <c r="A7897" s="1"/>
      <c r="B7897" s="1" t="s">
        <v>4823</v>
      </c>
      <c r="C7897" s="1" t="s">
        <v>4824</v>
      </c>
      <c r="D7897" s="22" t="str">
        <f>HYPERLINK("https://rhld.insurance.arkansas.gov/NPILookup?Npi=1386754224","1386754224")</f>
        <v>1386754224</v>
      </c>
      <c r="E7897" s="1" t="s">
        <v>2274</v>
      </c>
      <c r="F7897" s="2"/>
      <c r="G7897" s="2"/>
      <c r="H7897" s="2"/>
    </row>
    <row r="7898" spans="1:8" x14ac:dyDescent="0.25">
      <c r="A7898" s="1"/>
      <c r="B7898" s="1" t="s">
        <v>4823</v>
      </c>
      <c r="C7898" s="1" t="s">
        <v>4824</v>
      </c>
      <c r="D7898" s="22" t="str">
        <f>HYPERLINK("https://rhld.insurance.arkansas.gov/NPILookup?Npi=1386790137","1386790137")</f>
        <v>1386790137</v>
      </c>
      <c r="E7898" s="1" t="s">
        <v>10738</v>
      </c>
      <c r="F7898" s="2"/>
      <c r="G7898" s="2"/>
      <c r="H7898" s="2"/>
    </row>
    <row r="7899" spans="1:8" x14ac:dyDescent="0.25">
      <c r="A7899" s="1"/>
      <c r="B7899" s="1" t="s">
        <v>4823</v>
      </c>
      <c r="C7899" s="1" t="s">
        <v>4824</v>
      </c>
      <c r="D7899" s="22" t="str">
        <f>HYPERLINK("https://rhld.insurance.arkansas.gov/NPILookup?Npi=1386859916","1386859916")</f>
        <v>1386859916</v>
      </c>
      <c r="E7899" s="1" t="s">
        <v>18748</v>
      </c>
      <c r="F7899" s="2"/>
      <c r="G7899" s="2"/>
      <c r="H7899" s="2"/>
    </row>
    <row r="7900" spans="1:8" x14ac:dyDescent="0.25">
      <c r="A7900" s="1"/>
      <c r="B7900" s="1" t="s">
        <v>4823</v>
      </c>
      <c r="C7900" s="1" t="s">
        <v>4824</v>
      </c>
      <c r="D7900" s="22" t="str">
        <f>HYPERLINK("https://rhld.insurance.arkansas.gov/NPILookup?Npi=1396157145","1396157145")</f>
        <v>1396157145</v>
      </c>
      <c r="E7900" s="1" t="s">
        <v>4860</v>
      </c>
      <c r="F7900" s="2"/>
      <c r="G7900" s="2"/>
      <c r="H7900" s="2"/>
    </row>
    <row r="7901" spans="1:8" x14ac:dyDescent="0.25">
      <c r="A7901" s="1"/>
      <c r="B7901" s="1" t="s">
        <v>4823</v>
      </c>
      <c r="C7901" s="1" t="s">
        <v>4824</v>
      </c>
      <c r="D7901" s="22" t="str">
        <f>HYPERLINK("https://rhld.insurance.arkansas.gov/NPILookup?Npi=1396162400","1396162400")</f>
        <v>1396162400</v>
      </c>
      <c r="E7901" s="1" t="s">
        <v>18749</v>
      </c>
      <c r="F7901" s="2"/>
      <c r="G7901" s="2"/>
      <c r="H7901" s="2"/>
    </row>
    <row r="7902" spans="1:8" x14ac:dyDescent="0.25">
      <c r="A7902" s="1"/>
      <c r="B7902" s="1" t="s">
        <v>4823</v>
      </c>
      <c r="C7902" s="1" t="s">
        <v>4824</v>
      </c>
      <c r="D7902" s="22" t="str">
        <f>HYPERLINK("https://rhld.insurance.arkansas.gov/NPILookup?Npi=1396788519","1396788519")</f>
        <v>1396788519</v>
      </c>
      <c r="E7902" s="1" t="s">
        <v>3523</v>
      </c>
      <c r="F7902" s="2"/>
      <c r="G7902" s="2"/>
      <c r="H7902" s="2"/>
    </row>
    <row r="7903" spans="1:8" x14ac:dyDescent="0.25">
      <c r="A7903" s="1"/>
      <c r="B7903" s="1" t="s">
        <v>4823</v>
      </c>
      <c r="C7903" s="1" t="s">
        <v>4824</v>
      </c>
      <c r="D7903" s="22" t="str">
        <f>HYPERLINK("https://rhld.insurance.arkansas.gov/NPILookup?Npi=1407482375","1407482375")</f>
        <v>1407482375</v>
      </c>
      <c r="E7903" s="1" t="s">
        <v>18750</v>
      </c>
      <c r="F7903" s="2"/>
      <c r="G7903" s="2"/>
      <c r="H7903" s="2"/>
    </row>
    <row r="7904" spans="1:8" x14ac:dyDescent="0.25">
      <c r="A7904" s="1"/>
      <c r="B7904" s="1" t="s">
        <v>4823</v>
      </c>
      <c r="C7904" s="1" t="s">
        <v>4824</v>
      </c>
      <c r="D7904" s="22" t="str">
        <f>HYPERLINK("https://rhld.insurance.arkansas.gov/NPILookup?Npi=1407810591","1407810591")</f>
        <v>1407810591</v>
      </c>
      <c r="E7904" s="1" t="s">
        <v>18751</v>
      </c>
      <c r="F7904" s="2"/>
      <c r="G7904" s="2"/>
      <c r="H7904" s="2"/>
    </row>
    <row r="7905" spans="1:8" x14ac:dyDescent="0.25">
      <c r="A7905" s="1"/>
      <c r="B7905" s="1" t="s">
        <v>4823</v>
      </c>
      <c r="C7905" s="1" t="s">
        <v>4824</v>
      </c>
      <c r="D7905" s="22" t="str">
        <f>HYPERLINK("https://rhld.insurance.arkansas.gov/NPILookup?Npi=1407852734","1407852734")</f>
        <v>1407852734</v>
      </c>
      <c r="E7905" s="1" t="s">
        <v>18752</v>
      </c>
      <c r="F7905" s="2"/>
      <c r="G7905" s="2"/>
      <c r="H7905" s="2"/>
    </row>
    <row r="7906" spans="1:8" x14ac:dyDescent="0.25">
      <c r="A7906" s="1"/>
      <c r="B7906" s="1" t="s">
        <v>4823</v>
      </c>
      <c r="C7906" s="1" t="s">
        <v>4824</v>
      </c>
      <c r="D7906" s="22" t="str">
        <f>HYPERLINK("https://rhld.insurance.arkansas.gov/NPILookup?Npi=1407894215","1407894215")</f>
        <v>1407894215</v>
      </c>
      <c r="E7906" s="1" t="s">
        <v>18753</v>
      </c>
      <c r="F7906" s="2"/>
      <c r="G7906" s="2"/>
      <c r="H7906" s="2"/>
    </row>
    <row r="7907" spans="1:8" x14ac:dyDescent="0.25">
      <c r="A7907" s="1"/>
      <c r="B7907" s="1" t="s">
        <v>4823</v>
      </c>
      <c r="C7907" s="1" t="s">
        <v>4824</v>
      </c>
      <c r="D7907" s="22" t="str">
        <f>HYPERLINK("https://rhld.insurance.arkansas.gov/NPILookup?Npi=1417117565","1417117565")</f>
        <v>1417117565</v>
      </c>
      <c r="E7907" s="1" t="s">
        <v>4861</v>
      </c>
      <c r="F7907" s="2"/>
      <c r="G7907" s="2"/>
      <c r="H7907" s="2"/>
    </row>
    <row r="7908" spans="1:8" x14ac:dyDescent="0.25">
      <c r="A7908" s="1"/>
      <c r="B7908" s="1" t="s">
        <v>4823</v>
      </c>
      <c r="C7908" s="1" t="s">
        <v>4824</v>
      </c>
      <c r="D7908" s="22" t="str">
        <f>HYPERLINK("https://rhld.insurance.arkansas.gov/NPILookup?Npi=1417121013","1417121013")</f>
        <v>1417121013</v>
      </c>
      <c r="E7908" s="1" t="s">
        <v>18754</v>
      </c>
      <c r="F7908" s="2"/>
      <c r="G7908" s="2"/>
      <c r="H7908" s="2"/>
    </row>
    <row r="7909" spans="1:8" x14ac:dyDescent="0.25">
      <c r="A7909" s="1"/>
      <c r="B7909" s="1" t="s">
        <v>4823</v>
      </c>
      <c r="C7909" s="1" t="s">
        <v>4824</v>
      </c>
      <c r="D7909" s="22" t="str">
        <f>HYPERLINK("https://rhld.insurance.arkansas.gov/NPILookup?Npi=1417132689","1417132689")</f>
        <v>1417132689</v>
      </c>
      <c r="E7909" s="1" t="s">
        <v>10739</v>
      </c>
      <c r="F7909" s="2"/>
      <c r="G7909" s="2"/>
      <c r="H7909" s="2"/>
    </row>
    <row r="7910" spans="1:8" x14ac:dyDescent="0.25">
      <c r="A7910" s="1"/>
      <c r="B7910" s="1" t="s">
        <v>4823</v>
      </c>
      <c r="C7910" s="1" t="s">
        <v>4824</v>
      </c>
      <c r="D7910" s="22" t="str">
        <f>HYPERLINK("https://rhld.insurance.arkansas.gov/NPILookup?Npi=1417953811","1417953811")</f>
        <v>1417953811</v>
      </c>
      <c r="E7910" s="1" t="s">
        <v>18755</v>
      </c>
      <c r="F7910" s="2"/>
      <c r="G7910" s="2"/>
      <c r="H7910" s="2"/>
    </row>
    <row r="7911" spans="1:8" x14ac:dyDescent="0.25">
      <c r="A7911" s="1"/>
      <c r="B7911" s="1" t="s">
        <v>4823</v>
      </c>
      <c r="C7911" s="1" t="s">
        <v>4824</v>
      </c>
      <c r="D7911" s="22" t="str">
        <f>HYPERLINK("https://rhld.insurance.arkansas.gov/NPILookup?Npi=1417958042","1417958042")</f>
        <v>1417958042</v>
      </c>
      <c r="E7911" s="1" t="s">
        <v>18246</v>
      </c>
      <c r="F7911" s="2"/>
      <c r="G7911" s="2"/>
      <c r="H7911" s="2"/>
    </row>
    <row r="7912" spans="1:8" x14ac:dyDescent="0.25">
      <c r="A7912" s="1"/>
      <c r="B7912" s="1" t="s">
        <v>4823</v>
      </c>
      <c r="C7912" s="1" t="s">
        <v>4824</v>
      </c>
      <c r="D7912" s="22" t="str">
        <f>HYPERLINK("https://rhld.insurance.arkansas.gov/NPILookup?Npi=1417977471","1417977471")</f>
        <v>1417977471</v>
      </c>
      <c r="E7912" s="1" t="s">
        <v>7438</v>
      </c>
      <c r="F7912" s="2"/>
      <c r="G7912" s="2"/>
      <c r="H7912" s="2"/>
    </row>
    <row r="7913" spans="1:8" x14ac:dyDescent="0.25">
      <c r="A7913" s="1"/>
      <c r="B7913" s="1" t="s">
        <v>4823</v>
      </c>
      <c r="C7913" s="1" t="s">
        <v>4824</v>
      </c>
      <c r="D7913" s="22" t="str">
        <f>HYPERLINK("https://rhld.insurance.arkansas.gov/NPILookup?Npi=1427016310","1427016310")</f>
        <v>1427016310</v>
      </c>
      <c r="E7913" s="1" t="s">
        <v>18756</v>
      </c>
      <c r="F7913" s="2"/>
      <c r="G7913" s="2"/>
      <c r="H7913" s="2"/>
    </row>
    <row r="7914" spans="1:8" x14ac:dyDescent="0.25">
      <c r="A7914" s="1"/>
      <c r="B7914" s="1" t="s">
        <v>4823</v>
      </c>
      <c r="C7914" s="1" t="s">
        <v>4824</v>
      </c>
      <c r="D7914" s="22" t="str">
        <f>HYPERLINK("https://rhld.insurance.arkansas.gov/NPILookup?Npi=1427028638","1427028638")</f>
        <v>1427028638</v>
      </c>
      <c r="E7914" s="1" t="s">
        <v>18757</v>
      </c>
      <c r="F7914" s="2"/>
      <c r="G7914" s="2"/>
      <c r="H7914" s="2"/>
    </row>
    <row r="7915" spans="1:8" x14ac:dyDescent="0.25">
      <c r="A7915" s="1"/>
      <c r="B7915" s="1" t="s">
        <v>4823</v>
      </c>
      <c r="C7915" s="1" t="s">
        <v>4824</v>
      </c>
      <c r="D7915" s="22" t="str">
        <f>HYPERLINK("https://rhld.insurance.arkansas.gov/NPILookup?Npi=1427311935","1427311935")</f>
        <v>1427311935</v>
      </c>
      <c r="E7915" s="1" t="s">
        <v>31530</v>
      </c>
      <c r="F7915" s="2"/>
      <c r="G7915" s="2"/>
      <c r="H7915" s="2"/>
    </row>
    <row r="7916" spans="1:8" x14ac:dyDescent="0.25">
      <c r="A7916" s="1"/>
      <c r="B7916" s="1" t="s">
        <v>4823</v>
      </c>
      <c r="C7916" s="1" t="s">
        <v>4824</v>
      </c>
      <c r="D7916" s="22" t="str">
        <f>HYPERLINK("https://rhld.insurance.arkansas.gov/NPILookup?Npi=1427440619","1427440619")</f>
        <v>1427440619</v>
      </c>
      <c r="E7916" s="1" t="s">
        <v>18758</v>
      </c>
      <c r="F7916" s="2"/>
      <c r="G7916" s="2"/>
      <c r="H7916" s="2"/>
    </row>
    <row r="7917" spans="1:8" x14ac:dyDescent="0.25">
      <c r="A7917" s="1"/>
      <c r="B7917" s="1" t="s">
        <v>4823</v>
      </c>
      <c r="C7917" s="1" t="s">
        <v>4824</v>
      </c>
      <c r="D7917" s="22" t="str">
        <f>HYPERLINK("https://rhld.insurance.arkansas.gov/NPILookup?Npi=1437115201","1437115201")</f>
        <v>1437115201</v>
      </c>
      <c r="E7917" s="1" t="s">
        <v>18759</v>
      </c>
      <c r="F7917" s="2"/>
      <c r="G7917" s="2"/>
      <c r="H7917" s="2"/>
    </row>
    <row r="7918" spans="1:8" x14ac:dyDescent="0.25">
      <c r="A7918" s="1"/>
      <c r="B7918" s="1" t="s">
        <v>4823</v>
      </c>
      <c r="C7918" s="1" t="s">
        <v>4824</v>
      </c>
      <c r="D7918" s="22" t="str">
        <f>HYPERLINK("https://rhld.insurance.arkansas.gov/NPILookup?Npi=1437152741","1437152741")</f>
        <v>1437152741</v>
      </c>
      <c r="E7918" s="1" t="s">
        <v>4862</v>
      </c>
      <c r="F7918" s="2"/>
      <c r="G7918" s="2"/>
      <c r="H7918" s="2"/>
    </row>
    <row r="7919" spans="1:8" x14ac:dyDescent="0.25">
      <c r="A7919" s="1"/>
      <c r="B7919" s="1" t="s">
        <v>4823</v>
      </c>
      <c r="C7919" s="1" t="s">
        <v>4824</v>
      </c>
      <c r="D7919" s="22" t="str">
        <f>HYPERLINK("https://rhld.insurance.arkansas.gov/NPILookup?Npi=1437188273","1437188273")</f>
        <v>1437188273</v>
      </c>
      <c r="E7919" s="1" t="s">
        <v>18760</v>
      </c>
      <c r="F7919" s="2"/>
      <c r="G7919" s="2"/>
      <c r="H7919" s="2"/>
    </row>
    <row r="7920" spans="1:8" x14ac:dyDescent="0.25">
      <c r="A7920" s="1"/>
      <c r="B7920" s="1" t="s">
        <v>4823</v>
      </c>
      <c r="C7920" s="1" t="s">
        <v>4824</v>
      </c>
      <c r="D7920" s="22" t="str">
        <f>HYPERLINK("https://rhld.insurance.arkansas.gov/NPILookup?Npi=1437279254","1437279254")</f>
        <v>1437279254</v>
      </c>
      <c r="E7920" s="1" t="s">
        <v>18761</v>
      </c>
      <c r="F7920" s="2"/>
      <c r="G7920" s="2"/>
      <c r="H7920" s="2"/>
    </row>
    <row r="7921" spans="1:8" x14ac:dyDescent="0.25">
      <c r="A7921" s="1"/>
      <c r="B7921" s="1" t="s">
        <v>4823</v>
      </c>
      <c r="C7921" s="1" t="s">
        <v>4824</v>
      </c>
      <c r="D7921" s="22" t="str">
        <f>HYPERLINK("https://rhld.insurance.arkansas.gov/NPILookup?Npi=1437477189","1437477189")</f>
        <v>1437477189</v>
      </c>
      <c r="E7921" s="1" t="s">
        <v>18762</v>
      </c>
      <c r="F7921" s="2"/>
      <c r="G7921" s="2"/>
      <c r="H7921" s="2"/>
    </row>
    <row r="7922" spans="1:8" x14ac:dyDescent="0.25">
      <c r="A7922" s="1"/>
      <c r="B7922" s="1" t="s">
        <v>4823</v>
      </c>
      <c r="C7922" s="1" t="s">
        <v>4824</v>
      </c>
      <c r="D7922" s="22" t="str">
        <f>HYPERLINK("https://rhld.insurance.arkansas.gov/NPILookup?Npi=1437566841","1437566841")</f>
        <v>1437566841</v>
      </c>
      <c r="E7922" s="1" t="s">
        <v>10742</v>
      </c>
      <c r="F7922" s="2"/>
      <c r="G7922" s="2"/>
      <c r="H7922" s="2"/>
    </row>
    <row r="7923" spans="1:8" x14ac:dyDescent="0.25">
      <c r="A7923" s="1"/>
      <c r="B7923" s="1" t="s">
        <v>4823</v>
      </c>
      <c r="C7923" s="1" t="s">
        <v>4824</v>
      </c>
      <c r="D7923" s="22" t="str">
        <f>HYPERLINK("https://rhld.insurance.arkansas.gov/NPILookup?Npi=1447208038","1447208038")</f>
        <v>1447208038</v>
      </c>
      <c r="E7923" s="1" t="s">
        <v>4863</v>
      </c>
      <c r="F7923" s="2"/>
      <c r="G7923" s="2"/>
      <c r="H7923" s="2"/>
    </row>
    <row r="7924" spans="1:8" x14ac:dyDescent="0.25">
      <c r="A7924" s="1"/>
      <c r="B7924" s="1" t="s">
        <v>4823</v>
      </c>
      <c r="C7924" s="1" t="s">
        <v>4824</v>
      </c>
      <c r="D7924" s="22" t="str">
        <f>HYPERLINK("https://rhld.insurance.arkansas.gov/NPILookup?Npi=1447230461","1447230461")</f>
        <v>1447230461</v>
      </c>
      <c r="E7924" s="1" t="s">
        <v>31531</v>
      </c>
      <c r="F7924" s="2"/>
      <c r="G7924" s="2"/>
      <c r="H7924" s="2"/>
    </row>
    <row r="7925" spans="1:8" x14ac:dyDescent="0.25">
      <c r="A7925" s="1"/>
      <c r="B7925" s="1" t="s">
        <v>4823</v>
      </c>
      <c r="C7925" s="1" t="s">
        <v>4824</v>
      </c>
      <c r="D7925" s="22" t="str">
        <f>HYPERLINK("https://rhld.insurance.arkansas.gov/NPILookup?Npi=1447232517","1447232517")</f>
        <v>1447232517</v>
      </c>
      <c r="E7925" s="1" t="s">
        <v>18763</v>
      </c>
      <c r="F7925" s="2"/>
      <c r="G7925" s="2"/>
      <c r="H7925" s="2"/>
    </row>
    <row r="7926" spans="1:8" x14ac:dyDescent="0.25">
      <c r="A7926" s="1"/>
      <c r="B7926" s="1" t="s">
        <v>4823</v>
      </c>
      <c r="C7926" s="1" t="s">
        <v>4824</v>
      </c>
      <c r="D7926" s="22" t="str">
        <f>HYPERLINK("https://rhld.insurance.arkansas.gov/NPILookup?Npi=1447570940","1447570940")</f>
        <v>1447570940</v>
      </c>
      <c r="E7926" s="1" t="s">
        <v>10743</v>
      </c>
      <c r="F7926" s="2"/>
      <c r="G7926" s="2"/>
      <c r="H7926" s="2"/>
    </row>
    <row r="7927" spans="1:8" x14ac:dyDescent="0.25">
      <c r="A7927" s="1"/>
      <c r="B7927" s="1" t="s">
        <v>4823</v>
      </c>
      <c r="C7927" s="1" t="s">
        <v>4824</v>
      </c>
      <c r="D7927" s="22" t="str">
        <f>HYPERLINK("https://rhld.insurance.arkansas.gov/NPILookup?Npi=1447645940","1447645940")</f>
        <v>1447645940</v>
      </c>
      <c r="E7927" s="1" t="s">
        <v>18764</v>
      </c>
      <c r="F7927" s="2"/>
      <c r="G7927" s="2"/>
      <c r="H7927" s="2"/>
    </row>
    <row r="7928" spans="1:8" x14ac:dyDescent="0.25">
      <c r="A7928" s="1"/>
      <c r="B7928" s="1" t="s">
        <v>4823</v>
      </c>
      <c r="C7928" s="1" t="s">
        <v>4824</v>
      </c>
      <c r="D7928" s="22" t="str">
        <f>HYPERLINK("https://rhld.insurance.arkansas.gov/NPILookup?Npi=1447676937","1447676937")</f>
        <v>1447676937</v>
      </c>
      <c r="E7928" s="1" t="s">
        <v>18765</v>
      </c>
      <c r="F7928" s="2"/>
      <c r="G7928" s="2"/>
      <c r="H7928" s="2"/>
    </row>
    <row r="7929" spans="1:8" x14ac:dyDescent="0.25">
      <c r="A7929" s="1"/>
      <c r="B7929" s="1" t="s">
        <v>4823</v>
      </c>
      <c r="C7929" s="1" t="s">
        <v>4824</v>
      </c>
      <c r="D7929" s="22" t="str">
        <f>HYPERLINK("https://rhld.insurance.arkansas.gov/NPILookup?Npi=1447873864","1447873864")</f>
        <v>1447873864</v>
      </c>
      <c r="E7929" s="1" t="s">
        <v>18766</v>
      </c>
      <c r="F7929" s="2"/>
      <c r="G7929" s="2"/>
      <c r="H7929" s="2"/>
    </row>
    <row r="7930" spans="1:8" x14ac:dyDescent="0.25">
      <c r="A7930" s="1"/>
      <c r="B7930" s="1" t="s">
        <v>4823</v>
      </c>
      <c r="C7930" s="1" t="s">
        <v>4824</v>
      </c>
      <c r="D7930" s="22" t="str">
        <f>HYPERLINK("https://rhld.insurance.arkansas.gov/NPILookup?Npi=1457770372","1457770372")</f>
        <v>1457770372</v>
      </c>
      <c r="E7930" s="1" t="s">
        <v>10744</v>
      </c>
      <c r="F7930" s="2"/>
      <c r="G7930" s="2"/>
      <c r="H7930" s="2"/>
    </row>
    <row r="7931" spans="1:8" x14ac:dyDescent="0.25">
      <c r="A7931" s="1"/>
      <c r="B7931" s="1" t="s">
        <v>4823</v>
      </c>
      <c r="C7931" s="1" t="s">
        <v>4824</v>
      </c>
      <c r="D7931" s="22" t="str">
        <f>HYPERLINK("https://rhld.insurance.arkansas.gov/NPILookup?Npi=1457790610","1457790610")</f>
        <v>1457790610</v>
      </c>
      <c r="E7931" s="1" t="s">
        <v>18767</v>
      </c>
      <c r="F7931" s="2"/>
      <c r="G7931" s="2"/>
      <c r="H7931" s="2"/>
    </row>
    <row r="7932" spans="1:8" x14ac:dyDescent="0.25">
      <c r="A7932" s="1"/>
      <c r="B7932" s="1" t="s">
        <v>4823</v>
      </c>
      <c r="C7932" s="1" t="s">
        <v>4824</v>
      </c>
      <c r="D7932" s="22" t="str">
        <f>HYPERLINK("https://rhld.insurance.arkansas.gov/NPILookup?Npi=1467417394","1467417394")</f>
        <v>1467417394</v>
      </c>
      <c r="E7932" s="1" t="s">
        <v>3524</v>
      </c>
      <c r="F7932" s="2"/>
      <c r="G7932" s="2"/>
      <c r="H7932" s="2"/>
    </row>
    <row r="7933" spans="1:8" x14ac:dyDescent="0.25">
      <c r="A7933" s="1"/>
      <c r="B7933" s="1" t="s">
        <v>4823</v>
      </c>
      <c r="C7933" s="1" t="s">
        <v>4824</v>
      </c>
      <c r="D7933" s="22" t="str">
        <f>HYPERLINK("https://rhld.insurance.arkansas.gov/NPILookup?Npi=1467455808","1467455808")</f>
        <v>1467455808</v>
      </c>
      <c r="E7933" s="1" t="s">
        <v>31532</v>
      </c>
      <c r="F7933" s="2"/>
      <c r="G7933" s="2"/>
      <c r="H7933" s="2"/>
    </row>
    <row r="7934" spans="1:8" x14ac:dyDescent="0.25">
      <c r="A7934" s="1"/>
      <c r="B7934" s="1" t="s">
        <v>4823</v>
      </c>
      <c r="C7934" s="1" t="s">
        <v>4824</v>
      </c>
      <c r="D7934" s="22" t="str">
        <f>HYPERLINK("https://rhld.insurance.arkansas.gov/NPILookup?Npi=1467489203","1467489203")</f>
        <v>1467489203</v>
      </c>
      <c r="E7934" s="1" t="s">
        <v>18768</v>
      </c>
      <c r="F7934" s="2"/>
      <c r="G7934" s="2"/>
      <c r="H7934" s="2"/>
    </row>
    <row r="7935" spans="1:8" x14ac:dyDescent="0.25">
      <c r="A7935" s="1"/>
      <c r="B7935" s="1" t="s">
        <v>4823</v>
      </c>
      <c r="C7935" s="1" t="s">
        <v>4824</v>
      </c>
      <c r="D7935" s="22" t="str">
        <f>HYPERLINK("https://rhld.insurance.arkansas.gov/NPILookup?Npi=1467624783","1467624783")</f>
        <v>1467624783</v>
      </c>
      <c r="E7935" s="1" t="s">
        <v>18769</v>
      </c>
      <c r="F7935" s="2"/>
      <c r="G7935" s="2"/>
      <c r="H7935" s="2"/>
    </row>
    <row r="7936" spans="1:8" x14ac:dyDescent="0.25">
      <c r="A7936" s="1"/>
      <c r="B7936" s="1" t="s">
        <v>4823</v>
      </c>
      <c r="C7936" s="1" t="s">
        <v>4824</v>
      </c>
      <c r="D7936" s="22" t="str">
        <f>HYPERLINK("https://rhld.insurance.arkansas.gov/NPILookup?Npi=1467710558","1467710558")</f>
        <v>1467710558</v>
      </c>
      <c r="E7936" s="1" t="s">
        <v>10745</v>
      </c>
      <c r="F7936" s="2"/>
      <c r="G7936" s="2"/>
      <c r="H7936" s="2"/>
    </row>
    <row r="7937" spans="1:8" x14ac:dyDescent="0.25">
      <c r="A7937" s="1"/>
      <c r="B7937" s="1" t="s">
        <v>4823</v>
      </c>
      <c r="C7937" s="1" t="s">
        <v>4824</v>
      </c>
      <c r="D7937" s="22" t="str">
        <f>HYPERLINK("https://rhld.insurance.arkansas.gov/NPILookup?Npi=1467879577","1467879577")</f>
        <v>1467879577</v>
      </c>
      <c r="E7937" s="1" t="s">
        <v>18770</v>
      </c>
      <c r="F7937" s="2"/>
      <c r="G7937" s="2"/>
      <c r="H7937" s="2"/>
    </row>
    <row r="7938" spans="1:8" x14ac:dyDescent="0.25">
      <c r="A7938" s="1"/>
      <c r="B7938" s="1" t="s">
        <v>4823</v>
      </c>
      <c r="C7938" s="1" t="s">
        <v>4824</v>
      </c>
      <c r="D7938" s="22" t="str">
        <f>HYPERLINK("https://rhld.insurance.arkansas.gov/NPILookup?Npi=1477528867","1477528867")</f>
        <v>1477528867</v>
      </c>
      <c r="E7938" s="1" t="s">
        <v>18771</v>
      </c>
      <c r="F7938" s="2"/>
      <c r="G7938" s="2"/>
      <c r="H7938" s="2"/>
    </row>
    <row r="7939" spans="1:8" x14ac:dyDescent="0.25">
      <c r="A7939" s="1"/>
      <c r="B7939" s="1" t="s">
        <v>4823</v>
      </c>
      <c r="C7939" s="1" t="s">
        <v>4824</v>
      </c>
      <c r="D7939" s="22" t="str">
        <f>HYPERLINK("https://rhld.insurance.arkansas.gov/NPILookup?Npi=1477585347","1477585347")</f>
        <v>1477585347</v>
      </c>
      <c r="E7939" s="1" t="s">
        <v>963</v>
      </c>
      <c r="F7939" s="2"/>
      <c r="G7939" s="2"/>
      <c r="H7939" s="2"/>
    </row>
    <row r="7940" spans="1:8" x14ac:dyDescent="0.25">
      <c r="A7940" s="1"/>
      <c r="B7940" s="1" t="s">
        <v>4823</v>
      </c>
      <c r="C7940" s="1" t="s">
        <v>4824</v>
      </c>
      <c r="D7940" s="22" t="str">
        <f>HYPERLINK("https://rhld.insurance.arkansas.gov/NPILookup?Npi=1477764769","1477764769")</f>
        <v>1477764769</v>
      </c>
      <c r="E7940" s="1" t="s">
        <v>3525</v>
      </c>
      <c r="F7940" s="2"/>
      <c r="G7940" s="2"/>
      <c r="H7940" s="2"/>
    </row>
    <row r="7941" spans="1:8" x14ac:dyDescent="0.25">
      <c r="A7941" s="1"/>
      <c r="B7941" s="1" t="s">
        <v>4823</v>
      </c>
      <c r="C7941" s="1" t="s">
        <v>4824</v>
      </c>
      <c r="D7941" s="22" t="str">
        <f>HYPERLINK("https://rhld.insurance.arkansas.gov/NPILookup?Npi=1477768000","1477768000")</f>
        <v>1477768000</v>
      </c>
      <c r="E7941" s="1" t="s">
        <v>3526</v>
      </c>
      <c r="F7941" s="2"/>
      <c r="G7941" s="2"/>
      <c r="H7941" s="2"/>
    </row>
    <row r="7942" spans="1:8" x14ac:dyDescent="0.25">
      <c r="A7942" s="1"/>
      <c r="B7942" s="1" t="s">
        <v>4823</v>
      </c>
      <c r="C7942" s="1" t="s">
        <v>4824</v>
      </c>
      <c r="D7942" s="22" t="str">
        <f>HYPERLINK("https://rhld.insurance.arkansas.gov/NPILookup?Npi=1477831261","1477831261")</f>
        <v>1477831261</v>
      </c>
      <c r="E7942" s="1" t="s">
        <v>18772</v>
      </c>
      <c r="F7942" s="2"/>
      <c r="G7942" s="2"/>
      <c r="H7942" s="2"/>
    </row>
    <row r="7943" spans="1:8" x14ac:dyDescent="0.25">
      <c r="A7943" s="1"/>
      <c r="B7943" s="1" t="s">
        <v>4823</v>
      </c>
      <c r="C7943" s="1" t="s">
        <v>4824</v>
      </c>
      <c r="D7943" s="22" t="str">
        <f>HYPERLINK("https://rhld.insurance.arkansas.gov/NPILookup?Npi=1477993665","1477993665")</f>
        <v>1477993665</v>
      </c>
      <c r="E7943" s="1" t="s">
        <v>18773</v>
      </c>
      <c r="F7943" s="2"/>
      <c r="G7943" s="2"/>
      <c r="H7943" s="2"/>
    </row>
    <row r="7944" spans="1:8" x14ac:dyDescent="0.25">
      <c r="A7944" s="1"/>
      <c r="B7944" s="1" t="s">
        <v>4823</v>
      </c>
      <c r="C7944" s="1" t="s">
        <v>4824</v>
      </c>
      <c r="D7944" s="22" t="str">
        <f>HYPERLINK("https://rhld.insurance.arkansas.gov/NPILookup?Npi=1487072062","1487072062")</f>
        <v>1487072062</v>
      </c>
      <c r="E7944" s="1" t="s">
        <v>4864</v>
      </c>
      <c r="F7944" s="2"/>
      <c r="G7944" s="2"/>
      <c r="H7944" s="2"/>
    </row>
    <row r="7945" spans="1:8" x14ac:dyDescent="0.25">
      <c r="A7945" s="1"/>
      <c r="B7945" s="1" t="s">
        <v>4823</v>
      </c>
      <c r="C7945" s="1" t="s">
        <v>4824</v>
      </c>
      <c r="D7945" s="22" t="str">
        <f>HYPERLINK("https://rhld.insurance.arkansas.gov/NPILookup?Npi=1487074969","1487074969")</f>
        <v>1487074969</v>
      </c>
      <c r="E7945" s="1" t="s">
        <v>18774</v>
      </c>
      <c r="F7945" s="2"/>
      <c r="G7945" s="2"/>
      <c r="H7945" s="2"/>
    </row>
    <row r="7946" spans="1:8" x14ac:dyDescent="0.25">
      <c r="A7946" s="1"/>
      <c r="B7946" s="1" t="s">
        <v>4823</v>
      </c>
      <c r="C7946" s="1" t="s">
        <v>4824</v>
      </c>
      <c r="D7946" s="22" t="str">
        <f>HYPERLINK("https://rhld.insurance.arkansas.gov/NPILookup?Npi=1487233177","1487233177")</f>
        <v>1487233177</v>
      </c>
      <c r="E7946" s="1" t="s">
        <v>31533</v>
      </c>
      <c r="F7946" s="2"/>
      <c r="G7946" s="2"/>
      <c r="H7946" s="2"/>
    </row>
    <row r="7947" spans="1:8" x14ac:dyDescent="0.25">
      <c r="A7947" s="1"/>
      <c r="B7947" s="1" t="s">
        <v>4823</v>
      </c>
      <c r="C7947" s="1" t="s">
        <v>4824</v>
      </c>
      <c r="D7947" s="22" t="str">
        <f>HYPERLINK("https://rhld.insurance.arkansas.gov/NPILookup?Npi=1487611760","1487611760")</f>
        <v>1487611760</v>
      </c>
      <c r="E7947" s="1" t="s">
        <v>10746</v>
      </c>
      <c r="F7947" s="2"/>
      <c r="G7947" s="2"/>
      <c r="H7947" s="2"/>
    </row>
    <row r="7948" spans="1:8" x14ac:dyDescent="0.25">
      <c r="A7948" s="1"/>
      <c r="B7948" s="1" t="s">
        <v>4823</v>
      </c>
      <c r="C7948" s="1" t="s">
        <v>4824</v>
      </c>
      <c r="D7948" s="22" t="str">
        <f>HYPERLINK("https://rhld.insurance.arkansas.gov/NPILookup?Npi=1487686150","1487686150")</f>
        <v>1487686150</v>
      </c>
      <c r="E7948" s="1" t="s">
        <v>4865</v>
      </c>
      <c r="F7948" s="2"/>
      <c r="G7948" s="2"/>
      <c r="H7948" s="2"/>
    </row>
    <row r="7949" spans="1:8" x14ac:dyDescent="0.25">
      <c r="A7949" s="1"/>
      <c r="B7949" s="1" t="s">
        <v>4823</v>
      </c>
      <c r="C7949" s="1" t="s">
        <v>4824</v>
      </c>
      <c r="D7949" s="22" t="str">
        <f>HYPERLINK("https://rhld.insurance.arkansas.gov/NPILookup?Npi=1487694790","1487694790")</f>
        <v>1487694790</v>
      </c>
      <c r="E7949" s="1" t="s">
        <v>18775</v>
      </c>
      <c r="F7949" s="2"/>
      <c r="G7949" s="2"/>
      <c r="H7949" s="2"/>
    </row>
    <row r="7950" spans="1:8" x14ac:dyDescent="0.25">
      <c r="A7950" s="1"/>
      <c r="B7950" s="1" t="s">
        <v>4823</v>
      </c>
      <c r="C7950" s="1" t="s">
        <v>4824</v>
      </c>
      <c r="D7950" s="22" t="str">
        <f>HYPERLINK("https://rhld.insurance.arkansas.gov/NPILookup?Npi=1487702726","1487702726")</f>
        <v>1487702726</v>
      </c>
      <c r="E7950" s="1" t="s">
        <v>3327</v>
      </c>
      <c r="F7950" s="2"/>
      <c r="G7950" s="2"/>
      <c r="H7950" s="2"/>
    </row>
    <row r="7951" spans="1:8" x14ac:dyDescent="0.25">
      <c r="A7951" s="1"/>
      <c r="B7951" s="1" t="s">
        <v>4823</v>
      </c>
      <c r="C7951" s="1" t="s">
        <v>4824</v>
      </c>
      <c r="D7951" s="22" t="str">
        <f>HYPERLINK("https://rhld.insurance.arkansas.gov/NPILookup?Npi=1487766986","1487766986")</f>
        <v>1487766986</v>
      </c>
      <c r="E7951" s="1" t="s">
        <v>10747</v>
      </c>
      <c r="F7951" s="2"/>
      <c r="G7951" s="2"/>
      <c r="H7951" s="2"/>
    </row>
    <row r="7952" spans="1:8" x14ac:dyDescent="0.25">
      <c r="A7952" s="1"/>
      <c r="B7952" s="1" t="s">
        <v>4823</v>
      </c>
      <c r="C7952" s="1" t="s">
        <v>4824</v>
      </c>
      <c r="D7952" s="22" t="str">
        <f>HYPERLINK("https://rhld.insurance.arkansas.gov/NPILookup?Npi=1487909859","1487909859")</f>
        <v>1487909859</v>
      </c>
      <c r="E7952" s="1" t="s">
        <v>18776</v>
      </c>
      <c r="F7952" s="2"/>
      <c r="G7952" s="2"/>
      <c r="H7952" s="2"/>
    </row>
    <row r="7953" spans="1:8" x14ac:dyDescent="0.25">
      <c r="A7953" s="1"/>
      <c r="B7953" s="1" t="s">
        <v>4823</v>
      </c>
      <c r="C7953" s="1" t="s">
        <v>4824</v>
      </c>
      <c r="D7953" s="22" t="str">
        <f>HYPERLINK("https://rhld.insurance.arkansas.gov/NPILookup?Npi=1497045306","1497045306")</f>
        <v>1497045306</v>
      </c>
      <c r="E7953" s="1" t="s">
        <v>10748</v>
      </c>
      <c r="F7953" s="2"/>
      <c r="G7953" s="2"/>
      <c r="H7953" s="2"/>
    </row>
    <row r="7954" spans="1:8" x14ac:dyDescent="0.25">
      <c r="A7954" s="1"/>
      <c r="B7954" s="1" t="s">
        <v>4823</v>
      </c>
      <c r="C7954" s="1" t="s">
        <v>4824</v>
      </c>
      <c r="D7954" s="22" t="str">
        <f>HYPERLINK("https://rhld.insurance.arkansas.gov/NPILookup?Npi=1497141188","1497141188")</f>
        <v>1497141188</v>
      </c>
      <c r="E7954" s="1" t="s">
        <v>18777</v>
      </c>
      <c r="F7954" s="2"/>
      <c r="G7954" s="2"/>
      <c r="H7954" s="2"/>
    </row>
    <row r="7955" spans="1:8" x14ac:dyDescent="0.25">
      <c r="A7955" s="1"/>
      <c r="B7955" s="1" t="s">
        <v>4823</v>
      </c>
      <c r="C7955" s="1" t="s">
        <v>4824</v>
      </c>
      <c r="D7955" s="22" t="str">
        <f>HYPERLINK("https://rhld.insurance.arkansas.gov/NPILookup?Npi=1497755383","1497755383")</f>
        <v>1497755383</v>
      </c>
      <c r="E7955" s="1" t="s">
        <v>18778</v>
      </c>
      <c r="F7955" s="2"/>
      <c r="G7955" s="2"/>
      <c r="H7955" s="2"/>
    </row>
    <row r="7956" spans="1:8" x14ac:dyDescent="0.25">
      <c r="A7956" s="1"/>
      <c r="B7956" s="1" t="s">
        <v>4823</v>
      </c>
      <c r="C7956" s="1" t="s">
        <v>4824</v>
      </c>
      <c r="D7956" s="22" t="str">
        <f>HYPERLINK("https://rhld.insurance.arkansas.gov/NPILookup?Npi=1497756415","1497756415")</f>
        <v>1497756415</v>
      </c>
      <c r="E7956" s="1" t="s">
        <v>3528</v>
      </c>
      <c r="F7956" s="2"/>
      <c r="G7956" s="2"/>
      <c r="H7956" s="2"/>
    </row>
    <row r="7957" spans="1:8" x14ac:dyDescent="0.25">
      <c r="A7957" s="1"/>
      <c r="B7957" s="1" t="s">
        <v>4823</v>
      </c>
      <c r="C7957" s="1" t="s">
        <v>4824</v>
      </c>
      <c r="D7957" s="22" t="str">
        <f>HYPERLINK("https://rhld.insurance.arkansas.gov/NPILookup?Npi=1497966808","1497966808")</f>
        <v>1497966808</v>
      </c>
      <c r="E7957" s="1" t="s">
        <v>10749</v>
      </c>
      <c r="F7957" s="2"/>
      <c r="G7957" s="2"/>
      <c r="H7957" s="2"/>
    </row>
    <row r="7958" spans="1:8" x14ac:dyDescent="0.25">
      <c r="A7958" s="1"/>
      <c r="B7958" s="1" t="s">
        <v>4823</v>
      </c>
      <c r="C7958" s="1" t="s">
        <v>4824</v>
      </c>
      <c r="D7958" s="22" t="str">
        <f>HYPERLINK("https://rhld.insurance.arkansas.gov/NPILookup?Npi=1508000167","1508000167")</f>
        <v>1508000167</v>
      </c>
      <c r="E7958" s="1" t="s">
        <v>10750</v>
      </c>
      <c r="F7958" s="2"/>
      <c r="G7958" s="2"/>
      <c r="H7958" s="2"/>
    </row>
    <row r="7959" spans="1:8" x14ac:dyDescent="0.25">
      <c r="A7959" s="1"/>
      <c r="B7959" s="1" t="s">
        <v>4823</v>
      </c>
      <c r="C7959" s="1" t="s">
        <v>4824</v>
      </c>
      <c r="D7959" s="22" t="str">
        <f>HYPERLINK("https://rhld.insurance.arkansas.gov/NPILookup?Npi=1508060435","1508060435")</f>
        <v>1508060435</v>
      </c>
      <c r="E7959" s="1" t="s">
        <v>2275</v>
      </c>
      <c r="F7959" s="2"/>
      <c r="G7959" s="2"/>
      <c r="H7959" s="2"/>
    </row>
    <row r="7960" spans="1:8" x14ac:dyDescent="0.25">
      <c r="A7960" s="1"/>
      <c r="B7960" s="1" t="s">
        <v>4823</v>
      </c>
      <c r="C7960" s="1" t="s">
        <v>4824</v>
      </c>
      <c r="D7960" s="22" t="str">
        <f>HYPERLINK("https://rhld.insurance.arkansas.gov/NPILookup?Npi=1508066366","1508066366")</f>
        <v>1508066366</v>
      </c>
      <c r="E7960" s="1" t="s">
        <v>2276</v>
      </c>
      <c r="F7960" s="2"/>
      <c r="G7960" s="2"/>
      <c r="H7960" s="2"/>
    </row>
    <row r="7961" spans="1:8" x14ac:dyDescent="0.25">
      <c r="A7961" s="1"/>
      <c r="B7961" s="1" t="s">
        <v>4823</v>
      </c>
      <c r="C7961" s="1" t="s">
        <v>4824</v>
      </c>
      <c r="D7961" s="22" t="str">
        <f>HYPERLINK("https://rhld.insurance.arkansas.gov/NPILookup?Npi=1508477563","1508477563")</f>
        <v>1508477563</v>
      </c>
      <c r="E7961" s="1" t="s">
        <v>31534</v>
      </c>
      <c r="F7961" s="2"/>
      <c r="G7961" s="2"/>
      <c r="H7961" s="2"/>
    </row>
    <row r="7962" spans="1:8" x14ac:dyDescent="0.25">
      <c r="A7962" s="1"/>
      <c r="B7962" s="1" t="s">
        <v>4823</v>
      </c>
      <c r="C7962" s="1" t="s">
        <v>4824</v>
      </c>
      <c r="D7962" s="22" t="str">
        <f>HYPERLINK("https://rhld.insurance.arkansas.gov/NPILookup?Npi=1508812850","1508812850")</f>
        <v>1508812850</v>
      </c>
      <c r="E7962" s="1" t="s">
        <v>18779</v>
      </c>
      <c r="F7962" s="2"/>
      <c r="G7962" s="2"/>
      <c r="H7962" s="2"/>
    </row>
    <row r="7963" spans="1:8" x14ac:dyDescent="0.25">
      <c r="A7963" s="1"/>
      <c r="B7963" s="1" t="s">
        <v>4823</v>
      </c>
      <c r="C7963" s="1" t="s">
        <v>4824</v>
      </c>
      <c r="D7963" s="22" t="str">
        <f>HYPERLINK("https://rhld.insurance.arkansas.gov/NPILookup?Npi=1508842832","1508842832")</f>
        <v>1508842832</v>
      </c>
      <c r="E7963" s="1" t="s">
        <v>18780</v>
      </c>
      <c r="F7963" s="2"/>
      <c r="G7963" s="2"/>
      <c r="H7963" s="2"/>
    </row>
    <row r="7964" spans="1:8" x14ac:dyDescent="0.25">
      <c r="A7964" s="1"/>
      <c r="B7964" s="1" t="s">
        <v>4823</v>
      </c>
      <c r="C7964" s="1" t="s">
        <v>4824</v>
      </c>
      <c r="D7964" s="22" t="str">
        <f>HYPERLINK("https://rhld.insurance.arkansas.gov/NPILookup?Npi=1508864125","1508864125")</f>
        <v>1508864125</v>
      </c>
      <c r="E7964" s="1" t="s">
        <v>2277</v>
      </c>
      <c r="F7964" s="2"/>
      <c r="G7964" s="2"/>
      <c r="H7964" s="2"/>
    </row>
    <row r="7965" spans="1:8" x14ac:dyDescent="0.25">
      <c r="A7965" s="1"/>
      <c r="B7965" s="1" t="s">
        <v>4823</v>
      </c>
      <c r="C7965" s="1" t="s">
        <v>4824</v>
      </c>
      <c r="D7965" s="22" t="str">
        <f>HYPERLINK("https://rhld.insurance.arkansas.gov/NPILookup?Npi=1518178938","1518178938")</f>
        <v>1518178938</v>
      </c>
      <c r="E7965" s="1" t="s">
        <v>18781</v>
      </c>
      <c r="F7965" s="2"/>
      <c r="G7965" s="2"/>
      <c r="H7965" s="2"/>
    </row>
    <row r="7966" spans="1:8" x14ac:dyDescent="0.25">
      <c r="A7966" s="1"/>
      <c r="B7966" s="1" t="s">
        <v>4823</v>
      </c>
      <c r="C7966" s="1" t="s">
        <v>4824</v>
      </c>
      <c r="D7966" s="22" t="str">
        <f>HYPERLINK("https://rhld.insurance.arkansas.gov/NPILookup?Npi=1518351402","1518351402")</f>
        <v>1518351402</v>
      </c>
      <c r="E7966" s="1" t="s">
        <v>18782</v>
      </c>
      <c r="F7966" s="2"/>
      <c r="G7966" s="2"/>
      <c r="H7966" s="2"/>
    </row>
    <row r="7967" spans="1:8" x14ac:dyDescent="0.25">
      <c r="A7967" s="1"/>
      <c r="B7967" s="1" t="s">
        <v>4823</v>
      </c>
      <c r="C7967" s="1" t="s">
        <v>4824</v>
      </c>
      <c r="D7967" s="22" t="str">
        <f>HYPERLINK("https://rhld.insurance.arkansas.gov/NPILookup?Npi=1518387638","1518387638")</f>
        <v>1518387638</v>
      </c>
      <c r="E7967" s="1" t="s">
        <v>1275</v>
      </c>
      <c r="F7967" s="2"/>
      <c r="G7967" s="2"/>
      <c r="H7967" s="2"/>
    </row>
    <row r="7968" spans="1:8" x14ac:dyDescent="0.25">
      <c r="A7968" s="1"/>
      <c r="B7968" s="1" t="s">
        <v>4823</v>
      </c>
      <c r="C7968" s="1" t="s">
        <v>4824</v>
      </c>
      <c r="D7968" s="22" t="str">
        <f>HYPERLINK("https://rhld.insurance.arkansas.gov/NPILookup?Npi=1518499557","1518499557")</f>
        <v>1518499557</v>
      </c>
      <c r="E7968" s="1" t="s">
        <v>4866</v>
      </c>
      <c r="F7968" s="2"/>
      <c r="G7968" s="2"/>
      <c r="H7968" s="2"/>
    </row>
    <row r="7969" spans="1:8" x14ac:dyDescent="0.25">
      <c r="A7969" s="1"/>
      <c r="B7969" s="1" t="s">
        <v>4823</v>
      </c>
      <c r="C7969" s="1" t="s">
        <v>4824</v>
      </c>
      <c r="D7969" s="22" t="str">
        <f>HYPERLINK("https://rhld.insurance.arkansas.gov/NPILookup?Npi=1518911684","1518911684")</f>
        <v>1518911684</v>
      </c>
      <c r="E7969" s="1" t="s">
        <v>1539</v>
      </c>
      <c r="F7969" s="2"/>
      <c r="G7969" s="2"/>
      <c r="H7969" s="2"/>
    </row>
    <row r="7970" spans="1:8" x14ac:dyDescent="0.25">
      <c r="A7970" s="1"/>
      <c r="B7970" s="1" t="s">
        <v>4823</v>
      </c>
      <c r="C7970" s="1" t="s">
        <v>4824</v>
      </c>
      <c r="D7970" s="22" t="str">
        <f>HYPERLINK("https://rhld.insurance.arkansas.gov/NPILookup?Npi=1528505880","1528505880")</f>
        <v>1528505880</v>
      </c>
      <c r="E7970" s="1" t="s">
        <v>2278</v>
      </c>
      <c r="F7970" s="2"/>
      <c r="G7970" s="2"/>
      <c r="H7970" s="2"/>
    </row>
    <row r="7971" spans="1:8" x14ac:dyDescent="0.25">
      <c r="A7971" s="1"/>
      <c r="B7971" s="1" t="s">
        <v>4823</v>
      </c>
      <c r="C7971" s="1" t="s">
        <v>4824</v>
      </c>
      <c r="D7971" s="22" t="str">
        <f>HYPERLINK("https://rhld.insurance.arkansas.gov/NPILookup?Npi=1528823408","1528823408")</f>
        <v>1528823408</v>
      </c>
      <c r="E7971" s="1" t="s">
        <v>18783</v>
      </c>
      <c r="F7971" s="2"/>
      <c r="G7971" s="2"/>
      <c r="H7971" s="2"/>
    </row>
    <row r="7972" spans="1:8" x14ac:dyDescent="0.25">
      <c r="A7972" s="1"/>
      <c r="B7972" s="1" t="s">
        <v>4823</v>
      </c>
      <c r="C7972" s="1" t="s">
        <v>4824</v>
      </c>
      <c r="D7972" s="22" t="str">
        <f>HYPERLINK("https://rhld.insurance.arkansas.gov/NPILookup?Npi=1538176805","1538176805")</f>
        <v>1538176805</v>
      </c>
      <c r="E7972" s="1" t="s">
        <v>3529</v>
      </c>
      <c r="F7972" s="2"/>
      <c r="G7972" s="2"/>
      <c r="H7972" s="2"/>
    </row>
    <row r="7973" spans="1:8" x14ac:dyDescent="0.25">
      <c r="A7973" s="1"/>
      <c r="B7973" s="1" t="s">
        <v>4823</v>
      </c>
      <c r="C7973" s="1" t="s">
        <v>4824</v>
      </c>
      <c r="D7973" s="22" t="str">
        <f>HYPERLINK("https://rhld.insurance.arkansas.gov/NPILookup?Npi=1538192141","1538192141")</f>
        <v>1538192141</v>
      </c>
      <c r="E7973" s="1" t="s">
        <v>2279</v>
      </c>
      <c r="F7973" s="2"/>
      <c r="G7973" s="2"/>
      <c r="H7973" s="2"/>
    </row>
    <row r="7974" spans="1:8" x14ac:dyDescent="0.25">
      <c r="A7974" s="1"/>
      <c r="B7974" s="1" t="s">
        <v>4823</v>
      </c>
      <c r="C7974" s="1" t="s">
        <v>4824</v>
      </c>
      <c r="D7974" s="22" t="str">
        <f>HYPERLINK("https://rhld.insurance.arkansas.gov/NPILookup?Npi=1538253265","1538253265")</f>
        <v>1538253265</v>
      </c>
      <c r="E7974" s="1" t="s">
        <v>18784</v>
      </c>
      <c r="F7974" s="2"/>
      <c r="G7974" s="2"/>
      <c r="H7974" s="2"/>
    </row>
    <row r="7975" spans="1:8" x14ac:dyDescent="0.25">
      <c r="A7975" s="1"/>
      <c r="B7975" s="1" t="s">
        <v>4823</v>
      </c>
      <c r="C7975" s="1" t="s">
        <v>4824</v>
      </c>
      <c r="D7975" s="22" t="str">
        <f>HYPERLINK("https://rhld.insurance.arkansas.gov/NPILookup?Npi=1538485271","1538485271")</f>
        <v>1538485271</v>
      </c>
      <c r="E7975" s="1" t="s">
        <v>3530</v>
      </c>
      <c r="F7975" s="2"/>
      <c r="G7975" s="2"/>
      <c r="H7975" s="2"/>
    </row>
    <row r="7976" spans="1:8" x14ac:dyDescent="0.25">
      <c r="A7976" s="1"/>
      <c r="B7976" s="1" t="s">
        <v>4823</v>
      </c>
      <c r="C7976" s="1" t="s">
        <v>4824</v>
      </c>
      <c r="D7976" s="22" t="str">
        <f>HYPERLINK("https://rhld.insurance.arkansas.gov/NPILookup?Npi=1538556402","1538556402")</f>
        <v>1538556402</v>
      </c>
      <c r="E7976" s="1" t="s">
        <v>4867</v>
      </c>
      <c r="F7976" s="2"/>
      <c r="G7976" s="2"/>
      <c r="H7976" s="2"/>
    </row>
    <row r="7977" spans="1:8" x14ac:dyDescent="0.25">
      <c r="A7977" s="1"/>
      <c r="B7977" s="1" t="s">
        <v>4823</v>
      </c>
      <c r="C7977" s="1" t="s">
        <v>4824</v>
      </c>
      <c r="D7977" s="22" t="str">
        <f>HYPERLINK("https://rhld.insurance.arkansas.gov/NPILookup?Npi=1548204043","1548204043")</f>
        <v>1548204043</v>
      </c>
      <c r="E7977" s="1" t="s">
        <v>18785</v>
      </c>
      <c r="F7977" s="2"/>
      <c r="G7977" s="2"/>
      <c r="H7977" s="2"/>
    </row>
    <row r="7978" spans="1:8" x14ac:dyDescent="0.25">
      <c r="A7978" s="1"/>
      <c r="B7978" s="1" t="s">
        <v>4823</v>
      </c>
      <c r="C7978" s="1" t="s">
        <v>4824</v>
      </c>
      <c r="D7978" s="22" t="str">
        <f>HYPERLINK("https://rhld.insurance.arkansas.gov/NPILookup?Npi=1548227143","1548227143")</f>
        <v>1548227143</v>
      </c>
      <c r="E7978" s="1" t="s">
        <v>10751</v>
      </c>
      <c r="F7978" s="2"/>
      <c r="G7978" s="2"/>
      <c r="H7978" s="2"/>
    </row>
    <row r="7979" spans="1:8" x14ac:dyDescent="0.25">
      <c r="A7979" s="1"/>
      <c r="B7979" s="1" t="s">
        <v>4823</v>
      </c>
      <c r="C7979" s="1" t="s">
        <v>4824</v>
      </c>
      <c r="D7979" s="22" t="str">
        <f>HYPERLINK("https://rhld.insurance.arkansas.gov/NPILookup?Npi=1548248206","1548248206")</f>
        <v>1548248206</v>
      </c>
      <c r="E7979" s="1" t="s">
        <v>18786</v>
      </c>
      <c r="F7979" s="2"/>
      <c r="G7979" s="2"/>
      <c r="H7979" s="2"/>
    </row>
    <row r="7980" spans="1:8" x14ac:dyDescent="0.25">
      <c r="A7980" s="1"/>
      <c r="B7980" s="1" t="s">
        <v>4823</v>
      </c>
      <c r="C7980" s="1" t="s">
        <v>4824</v>
      </c>
      <c r="D7980" s="22" t="str">
        <f>HYPERLINK("https://rhld.insurance.arkansas.gov/NPILookup?Npi=1548262306","1548262306")</f>
        <v>1548262306</v>
      </c>
      <c r="E7980" s="1" t="s">
        <v>10522</v>
      </c>
      <c r="F7980" s="2"/>
      <c r="G7980" s="2"/>
      <c r="H7980" s="2"/>
    </row>
    <row r="7981" spans="1:8" x14ac:dyDescent="0.25">
      <c r="A7981" s="1"/>
      <c r="B7981" s="1" t="s">
        <v>4823</v>
      </c>
      <c r="C7981" s="1" t="s">
        <v>4824</v>
      </c>
      <c r="D7981" s="22" t="str">
        <f>HYPERLINK("https://rhld.insurance.arkansas.gov/NPILookup?Npi=1548263627","1548263627")</f>
        <v>1548263627</v>
      </c>
      <c r="E7981" s="1" t="s">
        <v>10752</v>
      </c>
      <c r="F7981" s="2"/>
      <c r="G7981" s="2"/>
      <c r="H7981" s="2"/>
    </row>
    <row r="7982" spans="1:8" x14ac:dyDescent="0.25">
      <c r="A7982" s="1"/>
      <c r="B7982" s="1" t="s">
        <v>4823</v>
      </c>
      <c r="C7982" s="1" t="s">
        <v>4824</v>
      </c>
      <c r="D7982" s="22" t="str">
        <f>HYPERLINK("https://rhld.insurance.arkansas.gov/NPILookup?Npi=1548292949","1548292949")</f>
        <v>1548292949</v>
      </c>
      <c r="E7982" s="1" t="s">
        <v>18787</v>
      </c>
      <c r="F7982" s="2"/>
      <c r="G7982" s="2"/>
      <c r="H7982" s="2"/>
    </row>
    <row r="7983" spans="1:8" x14ac:dyDescent="0.25">
      <c r="A7983" s="1"/>
      <c r="B7983" s="1" t="s">
        <v>4823</v>
      </c>
      <c r="C7983" s="1" t="s">
        <v>4824</v>
      </c>
      <c r="D7983" s="22" t="str">
        <f>HYPERLINK("https://rhld.insurance.arkansas.gov/NPILookup?Npi=1548370992","1548370992")</f>
        <v>1548370992</v>
      </c>
      <c r="E7983" s="1" t="s">
        <v>18788</v>
      </c>
      <c r="F7983" s="2"/>
      <c r="G7983" s="2"/>
      <c r="H7983" s="2"/>
    </row>
    <row r="7984" spans="1:8" x14ac:dyDescent="0.25">
      <c r="A7984" s="1"/>
      <c r="B7984" s="1" t="s">
        <v>4823</v>
      </c>
      <c r="C7984" s="1" t="s">
        <v>4824</v>
      </c>
      <c r="D7984" s="22" t="str">
        <f>HYPERLINK("https://rhld.insurance.arkansas.gov/NPILookup?Npi=1548474240","1548474240")</f>
        <v>1548474240</v>
      </c>
      <c r="E7984" s="1" t="s">
        <v>983</v>
      </c>
      <c r="F7984" s="2"/>
      <c r="G7984" s="2"/>
      <c r="H7984" s="2"/>
    </row>
    <row r="7985" spans="1:8" x14ac:dyDescent="0.25">
      <c r="A7985" s="1"/>
      <c r="B7985" s="1" t="s">
        <v>4823</v>
      </c>
      <c r="C7985" s="1" t="s">
        <v>4824</v>
      </c>
      <c r="D7985" s="22" t="str">
        <f>HYPERLINK("https://rhld.insurance.arkansas.gov/NPILookup?Npi=1548662182","1548662182")</f>
        <v>1548662182</v>
      </c>
      <c r="E7985" s="1" t="s">
        <v>18789</v>
      </c>
      <c r="F7985" s="2"/>
      <c r="G7985" s="2"/>
      <c r="H7985" s="2"/>
    </row>
    <row r="7986" spans="1:8" x14ac:dyDescent="0.25">
      <c r="A7986" s="1"/>
      <c r="B7986" s="1" t="s">
        <v>4823</v>
      </c>
      <c r="C7986" s="1" t="s">
        <v>4824</v>
      </c>
      <c r="D7986" s="22" t="str">
        <f>HYPERLINK("https://rhld.insurance.arkansas.gov/NPILookup?Npi=1558456764","1558456764")</f>
        <v>1558456764</v>
      </c>
      <c r="E7986" s="1" t="s">
        <v>18791</v>
      </c>
      <c r="F7986" s="2"/>
      <c r="G7986" s="2"/>
      <c r="H7986" s="2"/>
    </row>
    <row r="7987" spans="1:8" x14ac:dyDescent="0.25">
      <c r="A7987" s="1"/>
      <c r="B7987" s="1" t="s">
        <v>4823</v>
      </c>
      <c r="C7987" s="1" t="s">
        <v>4824</v>
      </c>
      <c r="D7987" s="22" t="str">
        <f>HYPERLINK("https://rhld.insurance.arkansas.gov/NPILookup?Npi=1558560102","1558560102")</f>
        <v>1558560102</v>
      </c>
      <c r="E7987" s="1" t="s">
        <v>2463</v>
      </c>
      <c r="F7987" s="2"/>
      <c r="G7987" s="2"/>
      <c r="H7987" s="2"/>
    </row>
    <row r="7988" spans="1:8" x14ac:dyDescent="0.25">
      <c r="A7988" s="1"/>
      <c r="B7988" s="1" t="s">
        <v>4823</v>
      </c>
      <c r="C7988" s="1" t="s">
        <v>4824</v>
      </c>
      <c r="D7988" s="22" t="str">
        <f>HYPERLINK("https://rhld.insurance.arkansas.gov/NPILookup?Npi=1558626556","1558626556")</f>
        <v>1558626556</v>
      </c>
      <c r="E7988" s="1" t="s">
        <v>18792</v>
      </c>
      <c r="F7988" s="2"/>
      <c r="G7988" s="2"/>
      <c r="H7988" s="2"/>
    </row>
    <row r="7989" spans="1:8" x14ac:dyDescent="0.25">
      <c r="A7989" s="1"/>
      <c r="B7989" s="1" t="s">
        <v>4823</v>
      </c>
      <c r="C7989" s="1" t="s">
        <v>4824</v>
      </c>
      <c r="D7989" s="22" t="str">
        <f>HYPERLINK("https://rhld.insurance.arkansas.gov/NPILookup?Npi=1558709469","1558709469")</f>
        <v>1558709469</v>
      </c>
      <c r="E7989" s="1" t="s">
        <v>18793</v>
      </c>
      <c r="F7989" s="2"/>
      <c r="G7989" s="2"/>
      <c r="H7989" s="2"/>
    </row>
    <row r="7990" spans="1:8" x14ac:dyDescent="0.25">
      <c r="A7990" s="1"/>
      <c r="B7990" s="1" t="s">
        <v>4823</v>
      </c>
      <c r="C7990" s="1" t="s">
        <v>4824</v>
      </c>
      <c r="D7990" s="22" t="str">
        <f>HYPERLINK("https://rhld.insurance.arkansas.gov/NPILookup?Npi=1558793125","1558793125")</f>
        <v>1558793125</v>
      </c>
      <c r="E7990" s="1" t="s">
        <v>18794</v>
      </c>
      <c r="F7990" s="2"/>
      <c r="G7990" s="2"/>
      <c r="H7990" s="2"/>
    </row>
    <row r="7991" spans="1:8" x14ac:dyDescent="0.25">
      <c r="A7991" s="1"/>
      <c r="B7991" s="1" t="s">
        <v>4823</v>
      </c>
      <c r="C7991" s="1" t="s">
        <v>4824</v>
      </c>
      <c r="D7991" s="22" t="str">
        <f>HYPERLINK("https://rhld.insurance.arkansas.gov/NPILookup?Npi=1568406650","1568406650")</f>
        <v>1568406650</v>
      </c>
      <c r="E7991" s="1" t="s">
        <v>444</v>
      </c>
      <c r="F7991" s="2"/>
      <c r="G7991" s="2"/>
      <c r="H7991" s="2"/>
    </row>
    <row r="7992" spans="1:8" x14ac:dyDescent="0.25">
      <c r="A7992" s="1"/>
      <c r="B7992" s="1" t="s">
        <v>4823</v>
      </c>
      <c r="C7992" s="1" t="s">
        <v>4824</v>
      </c>
      <c r="D7992" s="22" t="str">
        <f>HYPERLINK("https://rhld.insurance.arkansas.gov/NPILookup?Npi=1568427011","1568427011")</f>
        <v>1568427011</v>
      </c>
      <c r="E7992" s="1" t="s">
        <v>203</v>
      </c>
      <c r="F7992" s="2"/>
      <c r="G7992" s="2"/>
      <c r="H7992" s="2"/>
    </row>
    <row r="7993" spans="1:8" x14ac:dyDescent="0.25">
      <c r="A7993" s="1"/>
      <c r="B7993" s="1" t="s">
        <v>4823</v>
      </c>
      <c r="C7993" s="1" t="s">
        <v>4824</v>
      </c>
      <c r="D7993" s="22" t="str">
        <f>HYPERLINK("https://rhld.insurance.arkansas.gov/NPILookup?Npi=1568457992","1568457992")</f>
        <v>1568457992</v>
      </c>
      <c r="E7993" s="1" t="s">
        <v>10753</v>
      </c>
      <c r="F7993" s="2"/>
      <c r="G7993" s="2"/>
      <c r="H7993" s="2"/>
    </row>
    <row r="7994" spans="1:8" x14ac:dyDescent="0.25">
      <c r="A7994" s="1"/>
      <c r="B7994" s="1" t="s">
        <v>4823</v>
      </c>
      <c r="C7994" s="1" t="s">
        <v>4824</v>
      </c>
      <c r="D7994" s="22" t="str">
        <f>HYPERLINK("https://rhld.insurance.arkansas.gov/NPILookup?Npi=1568464782","1568464782")</f>
        <v>1568464782</v>
      </c>
      <c r="E7994" s="1" t="s">
        <v>18795</v>
      </c>
      <c r="F7994" s="2"/>
      <c r="G7994" s="2"/>
      <c r="H7994" s="2"/>
    </row>
    <row r="7995" spans="1:8" x14ac:dyDescent="0.25">
      <c r="A7995" s="1"/>
      <c r="B7995" s="1" t="s">
        <v>4823</v>
      </c>
      <c r="C7995" s="1" t="s">
        <v>4824</v>
      </c>
      <c r="D7995" s="22" t="str">
        <f>HYPERLINK("https://rhld.insurance.arkansas.gov/NPILookup?Npi=1568557692","1568557692")</f>
        <v>1568557692</v>
      </c>
      <c r="E7995" s="1" t="s">
        <v>10754</v>
      </c>
      <c r="F7995" s="2"/>
      <c r="G7995" s="2"/>
      <c r="H7995" s="2"/>
    </row>
    <row r="7996" spans="1:8" x14ac:dyDescent="0.25">
      <c r="A7996" s="1"/>
      <c r="B7996" s="1" t="s">
        <v>4823</v>
      </c>
      <c r="C7996" s="1" t="s">
        <v>4824</v>
      </c>
      <c r="D7996" s="22" t="str">
        <f>HYPERLINK("https://rhld.insurance.arkansas.gov/NPILookup?Npi=1568750149","1568750149")</f>
        <v>1568750149</v>
      </c>
      <c r="E7996" s="1" t="s">
        <v>18796</v>
      </c>
      <c r="F7996" s="2"/>
      <c r="G7996" s="2"/>
      <c r="H7996" s="2"/>
    </row>
    <row r="7997" spans="1:8" x14ac:dyDescent="0.25">
      <c r="A7997" s="1"/>
      <c r="B7997" s="1" t="s">
        <v>4823</v>
      </c>
      <c r="C7997" s="1" t="s">
        <v>4824</v>
      </c>
      <c r="D7997" s="22" t="str">
        <f>HYPERLINK("https://rhld.insurance.arkansas.gov/NPILookup?Npi=1568825354","1568825354")</f>
        <v>1568825354</v>
      </c>
      <c r="E7997" s="1" t="s">
        <v>18797</v>
      </c>
      <c r="F7997" s="2"/>
      <c r="G7997" s="2"/>
      <c r="H7997" s="2"/>
    </row>
    <row r="7998" spans="1:8" x14ac:dyDescent="0.25">
      <c r="A7998" s="1"/>
      <c r="B7998" s="1" t="s">
        <v>4823</v>
      </c>
      <c r="C7998" s="1" t="s">
        <v>4824</v>
      </c>
      <c r="D7998" s="22" t="str">
        <f>HYPERLINK("https://rhld.insurance.arkansas.gov/NPILookup?Npi=1578511473","1578511473")</f>
        <v>1578511473</v>
      </c>
      <c r="E7998" s="1" t="s">
        <v>18798</v>
      </c>
      <c r="F7998" s="2"/>
      <c r="G7998" s="2"/>
      <c r="H7998" s="2"/>
    </row>
    <row r="7999" spans="1:8" x14ac:dyDescent="0.25">
      <c r="A7999" s="1"/>
      <c r="B7999" s="1" t="s">
        <v>4823</v>
      </c>
      <c r="C7999" s="1" t="s">
        <v>4824</v>
      </c>
      <c r="D7999" s="22" t="str">
        <f>HYPERLINK("https://rhld.insurance.arkansas.gov/NPILookup?Npi=1578535092","1578535092")</f>
        <v>1578535092</v>
      </c>
      <c r="E7999" s="1" t="s">
        <v>18799</v>
      </c>
      <c r="F7999" s="2"/>
      <c r="G7999" s="2"/>
      <c r="H7999" s="2"/>
    </row>
    <row r="8000" spans="1:8" x14ac:dyDescent="0.25">
      <c r="A8000" s="1"/>
      <c r="B8000" s="1" t="s">
        <v>4823</v>
      </c>
      <c r="C8000" s="1" t="s">
        <v>4824</v>
      </c>
      <c r="D8000" s="22" t="str">
        <f>HYPERLINK("https://rhld.insurance.arkansas.gov/NPILookup?Npi=1578580536","1578580536")</f>
        <v>1578580536</v>
      </c>
      <c r="E8000" s="1" t="s">
        <v>18800</v>
      </c>
      <c r="F8000" s="2"/>
      <c r="G8000" s="2"/>
      <c r="H8000" s="2"/>
    </row>
    <row r="8001" spans="1:8" x14ac:dyDescent="0.25">
      <c r="A8001" s="1"/>
      <c r="B8001" s="1" t="s">
        <v>4823</v>
      </c>
      <c r="C8001" s="1" t="s">
        <v>4824</v>
      </c>
      <c r="D8001" s="22" t="str">
        <f>HYPERLINK("https://rhld.insurance.arkansas.gov/NPILookup?Npi=1578586376","1578586376")</f>
        <v>1578586376</v>
      </c>
      <c r="E8001" s="1" t="s">
        <v>10755</v>
      </c>
      <c r="F8001" s="2"/>
      <c r="G8001" s="2"/>
      <c r="H8001" s="2"/>
    </row>
    <row r="8002" spans="1:8" x14ac:dyDescent="0.25">
      <c r="A8002" s="1"/>
      <c r="B8002" s="1" t="s">
        <v>4823</v>
      </c>
      <c r="C8002" s="1" t="s">
        <v>4824</v>
      </c>
      <c r="D8002" s="22" t="str">
        <f>HYPERLINK("https://rhld.insurance.arkansas.gov/NPILookup?Npi=1578593133","1578593133")</f>
        <v>1578593133</v>
      </c>
      <c r="E8002" s="1" t="s">
        <v>18801</v>
      </c>
      <c r="F8002" s="2"/>
      <c r="G8002" s="2"/>
      <c r="H8002" s="2"/>
    </row>
    <row r="8003" spans="1:8" x14ac:dyDescent="0.25">
      <c r="A8003" s="1"/>
      <c r="B8003" s="1" t="s">
        <v>4823</v>
      </c>
      <c r="C8003" s="1" t="s">
        <v>4824</v>
      </c>
      <c r="D8003" s="22" t="str">
        <f>HYPERLINK("https://rhld.insurance.arkansas.gov/NPILookup?Npi=1578673919","1578673919")</f>
        <v>1578673919</v>
      </c>
      <c r="E8003" s="1" t="s">
        <v>18802</v>
      </c>
      <c r="F8003" s="2"/>
      <c r="G8003" s="2"/>
      <c r="H8003" s="2"/>
    </row>
    <row r="8004" spans="1:8" x14ac:dyDescent="0.25">
      <c r="A8004" s="1"/>
      <c r="B8004" s="1" t="s">
        <v>4823</v>
      </c>
      <c r="C8004" s="1" t="s">
        <v>4824</v>
      </c>
      <c r="D8004" s="22" t="str">
        <f>HYPERLINK("https://rhld.insurance.arkansas.gov/NPILookup?Npi=1578725107","1578725107")</f>
        <v>1578725107</v>
      </c>
      <c r="E8004" s="1" t="s">
        <v>4868</v>
      </c>
      <c r="F8004" s="2"/>
      <c r="G8004" s="2"/>
      <c r="H8004" s="2"/>
    </row>
    <row r="8005" spans="1:8" x14ac:dyDescent="0.25">
      <c r="A8005" s="1"/>
      <c r="B8005" s="1" t="s">
        <v>4823</v>
      </c>
      <c r="C8005" s="1" t="s">
        <v>4824</v>
      </c>
      <c r="D8005" s="22" t="str">
        <f>HYPERLINK("https://rhld.insurance.arkansas.gov/NPILookup?Npi=1578775359","1578775359")</f>
        <v>1578775359</v>
      </c>
      <c r="E8005" s="1" t="s">
        <v>3532</v>
      </c>
      <c r="F8005" s="2"/>
      <c r="G8005" s="2"/>
      <c r="H8005" s="2"/>
    </row>
    <row r="8006" spans="1:8" x14ac:dyDescent="0.25">
      <c r="A8006" s="1"/>
      <c r="B8006" s="1" t="s">
        <v>4823</v>
      </c>
      <c r="C8006" s="1" t="s">
        <v>4824</v>
      </c>
      <c r="D8006" s="22" t="str">
        <f>HYPERLINK("https://rhld.insurance.arkansas.gov/NPILookup?Npi=1578822581","1578822581")</f>
        <v>1578822581</v>
      </c>
      <c r="E8006" s="1" t="s">
        <v>18803</v>
      </c>
      <c r="F8006" s="2"/>
      <c r="G8006" s="2"/>
      <c r="H8006" s="2"/>
    </row>
    <row r="8007" spans="1:8" x14ac:dyDescent="0.25">
      <c r="A8007" s="1"/>
      <c r="B8007" s="1" t="s">
        <v>4823</v>
      </c>
      <c r="C8007" s="1" t="s">
        <v>4824</v>
      </c>
      <c r="D8007" s="22" t="str">
        <f>HYPERLINK("https://rhld.insurance.arkansas.gov/NPILookup?Npi=1578908091","1578908091")</f>
        <v>1578908091</v>
      </c>
      <c r="E8007" s="1" t="s">
        <v>3533</v>
      </c>
      <c r="F8007" s="2"/>
      <c r="G8007" s="2"/>
      <c r="H8007" s="2"/>
    </row>
    <row r="8008" spans="1:8" x14ac:dyDescent="0.25">
      <c r="A8008" s="1"/>
      <c r="B8008" s="1" t="s">
        <v>4823</v>
      </c>
      <c r="C8008" s="1" t="s">
        <v>4824</v>
      </c>
      <c r="D8008" s="22" t="str">
        <f>HYPERLINK("https://rhld.insurance.arkansas.gov/NPILookup?Npi=1588001382","1588001382")</f>
        <v>1588001382</v>
      </c>
      <c r="E8008" s="1" t="s">
        <v>18804</v>
      </c>
      <c r="F8008" s="2"/>
      <c r="G8008" s="2"/>
      <c r="H8008" s="2"/>
    </row>
    <row r="8009" spans="1:8" x14ac:dyDescent="0.25">
      <c r="A8009" s="1"/>
      <c r="B8009" s="1" t="s">
        <v>4823</v>
      </c>
      <c r="C8009" s="1" t="s">
        <v>4824</v>
      </c>
      <c r="D8009" s="22" t="str">
        <f>HYPERLINK("https://rhld.insurance.arkansas.gov/NPILookup?Npi=1588204465","1588204465")</f>
        <v>1588204465</v>
      </c>
      <c r="E8009" s="1" t="s">
        <v>4869</v>
      </c>
      <c r="F8009" s="2"/>
      <c r="G8009" s="2"/>
      <c r="H8009" s="2"/>
    </row>
    <row r="8010" spans="1:8" x14ac:dyDescent="0.25">
      <c r="A8010" s="1"/>
      <c r="B8010" s="1" t="s">
        <v>4823</v>
      </c>
      <c r="C8010" s="1" t="s">
        <v>4824</v>
      </c>
      <c r="D8010" s="22" t="str">
        <f>HYPERLINK("https://rhld.insurance.arkansas.gov/NPILookup?Npi=1588609101","1588609101")</f>
        <v>1588609101</v>
      </c>
      <c r="E8010" s="1" t="s">
        <v>18805</v>
      </c>
      <c r="F8010" s="2"/>
      <c r="G8010" s="2"/>
      <c r="H8010" s="2"/>
    </row>
    <row r="8011" spans="1:8" x14ac:dyDescent="0.25">
      <c r="A8011" s="1"/>
      <c r="B8011" s="1" t="s">
        <v>4823</v>
      </c>
      <c r="C8011" s="1" t="s">
        <v>4824</v>
      </c>
      <c r="D8011" s="22" t="str">
        <f>HYPERLINK("https://rhld.insurance.arkansas.gov/NPILookup?Npi=1588639959","1588639959")</f>
        <v>1588639959</v>
      </c>
      <c r="E8011" s="1" t="s">
        <v>18806</v>
      </c>
      <c r="F8011" s="2"/>
      <c r="G8011" s="2"/>
      <c r="H8011" s="2"/>
    </row>
    <row r="8012" spans="1:8" x14ac:dyDescent="0.25">
      <c r="A8012" s="1"/>
      <c r="B8012" s="1" t="s">
        <v>4823</v>
      </c>
      <c r="C8012" s="1" t="s">
        <v>4824</v>
      </c>
      <c r="D8012" s="22" t="str">
        <f>HYPERLINK("https://rhld.insurance.arkansas.gov/NPILookup?Npi=1588686943","1588686943")</f>
        <v>1588686943</v>
      </c>
      <c r="E8012" s="1" t="s">
        <v>3534</v>
      </c>
      <c r="F8012" s="2"/>
      <c r="G8012" s="2"/>
      <c r="H8012" s="2"/>
    </row>
    <row r="8013" spans="1:8" x14ac:dyDescent="0.25">
      <c r="A8013" s="1"/>
      <c r="B8013" s="1" t="s">
        <v>4823</v>
      </c>
      <c r="C8013" s="1" t="s">
        <v>4824</v>
      </c>
      <c r="D8013" s="22" t="str">
        <f>HYPERLINK("https://rhld.insurance.arkansas.gov/NPILookup?Npi=1588704217","1588704217")</f>
        <v>1588704217</v>
      </c>
      <c r="E8013" s="1" t="s">
        <v>10741</v>
      </c>
      <c r="F8013" s="2"/>
      <c r="G8013" s="2"/>
      <c r="H8013" s="2"/>
    </row>
    <row r="8014" spans="1:8" x14ac:dyDescent="0.25">
      <c r="A8014" s="1"/>
      <c r="B8014" s="1" t="s">
        <v>4823</v>
      </c>
      <c r="C8014" s="1" t="s">
        <v>4824</v>
      </c>
      <c r="D8014" s="22" t="str">
        <f>HYPERLINK("https://rhld.insurance.arkansas.gov/NPILookup?Npi=1588715254","1588715254")</f>
        <v>1588715254</v>
      </c>
      <c r="E8014" s="1" t="s">
        <v>3535</v>
      </c>
      <c r="F8014" s="2"/>
      <c r="G8014" s="2"/>
      <c r="H8014" s="2"/>
    </row>
    <row r="8015" spans="1:8" x14ac:dyDescent="0.25">
      <c r="A8015" s="1"/>
      <c r="B8015" s="1" t="s">
        <v>4823</v>
      </c>
      <c r="C8015" s="1" t="s">
        <v>4824</v>
      </c>
      <c r="D8015" s="22" t="str">
        <f>HYPERLINK("https://rhld.insurance.arkansas.gov/NPILookup?Npi=1588745046","1588745046")</f>
        <v>1588745046</v>
      </c>
      <c r="E8015" s="1" t="s">
        <v>18807</v>
      </c>
      <c r="F8015" s="2"/>
      <c r="G8015" s="2"/>
      <c r="H8015" s="2"/>
    </row>
    <row r="8016" spans="1:8" x14ac:dyDescent="0.25">
      <c r="A8016" s="1"/>
      <c r="B8016" s="1" t="s">
        <v>4823</v>
      </c>
      <c r="C8016" s="1" t="s">
        <v>4824</v>
      </c>
      <c r="D8016" s="22" t="str">
        <f>HYPERLINK("https://rhld.insurance.arkansas.gov/NPILookup?Npi=1588754071","1588754071")</f>
        <v>1588754071</v>
      </c>
      <c r="E8016" s="1" t="s">
        <v>18808</v>
      </c>
      <c r="F8016" s="2"/>
      <c r="G8016" s="2"/>
      <c r="H8016" s="2"/>
    </row>
    <row r="8017" spans="1:8" x14ac:dyDescent="0.25">
      <c r="A8017" s="1"/>
      <c r="B8017" s="1" t="s">
        <v>4823</v>
      </c>
      <c r="C8017" s="1" t="s">
        <v>4824</v>
      </c>
      <c r="D8017" s="22" t="str">
        <f>HYPERLINK("https://rhld.insurance.arkansas.gov/NPILookup?Npi=1588807135","1588807135")</f>
        <v>1588807135</v>
      </c>
      <c r="E8017" s="1" t="s">
        <v>18809</v>
      </c>
      <c r="F8017" s="2"/>
      <c r="G8017" s="2"/>
      <c r="H8017" s="2"/>
    </row>
    <row r="8018" spans="1:8" x14ac:dyDescent="0.25">
      <c r="A8018" s="1"/>
      <c r="B8018" s="1" t="s">
        <v>4823</v>
      </c>
      <c r="C8018" s="1" t="s">
        <v>4824</v>
      </c>
      <c r="D8018" s="22" t="str">
        <f>HYPERLINK("https://rhld.insurance.arkansas.gov/NPILookup?Npi=1588824833","1588824833")</f>
        <v>1588824833</v>
      </c>
      <c r="E8018" s="1" t="s">
        <v>18810</v>
      </c>
      <c r="F8018" s="2"/>
      <c r="G8018" s="2"/>
      <c r="H8018" s="2"/>
    </row>
    <row r="8019" spans="1:8" x14ac:dyDescent="0.25">
      <c r="A8019" s="1"/>
      <c r="B8019" s="1" t="s">
        <v>4823</v>
      </c>
      <c r="C8019" s="1" t="s">
        <v>4824</v>
      </c>
      <c r="D8019" s="22" t="str">
        <f>HYPERLINK("https://rhld.insurance.arkansas.gov/NPILookup?Npi=1598118218","1598118218")</f>
        <v>1598118218</v>
      </c>
      <c r="E8019" s="1" t="s">
        <v>18811</v>
      </c>
      <c r="F8019" s="2"/>
      <c r="G8019" s="2"/>
      <c r="H8019" s="2"/>
    </row>
    <row r="8020" spans="1:8" x14ac:dyDescent="0.25">
      <c r="A8020" s="1"/>
      <c r="B8020" s="1" t="s">
        <v>4823</v>
      </c>
      <c r="C8020" s="1" t="s">
        <v>4824</v>
      </c>
      <c r="D8020" s="22" t="str">
        <f>HYPERLINK("https://rhld.insurance.arkansas.gov/NPILookup?Npi=1598161838","1598161838")</f>
        <v>1598161838</v>
      </c>
      <c r="E8020" s="1" t="s">
        <v>18812</v>
      </c>
      <c r="F8020" s="2"/>
      <c r="G8020" s="2"/>
      <c r="H8020" s="2"/>
    </row>
    <row r="8021" spans="1:8" x14ac:dyDescent="0.25">
      <c r="A8021" s="1"/>
      <c r="B8021" s="1" t="s">
        <v>4823</v>
      </c>
      <c r="C8021" s="1" t="s">
        <v>4824</v>
      </c>
      <c r="D8021" s="22" t="str">
        <f>HYPERLINK("https://rhld.insurance.arkansas.gov/NPILookup?Npi=1598960437","1598960437")</f>
        <v>1598960437</v>
      </c>
      <c r="E8021" s="1" t="s">
        <v>10757</v>
      </c>
      <c r="F8021" s="2"/>
      <c r="G8021" s="2"/>
      <c r="H8021" s="2"/>
    </row>
    <row r="8022" spans="1:8" x14ac:dyDescent="0.25">
      <c r="A8022" s="1"/>
      <c r="B8022" s="1" t="s">
        <v>4823</v>
      </c>
      <c r="C8022" s="1" t="s">
        <v>4824</v>
      </c>
      <c r="D8022" s="22" t="str">
        <f>HYPERLINK("https://rhld.insurance.arkansas.gov/NPILookup?Npi=1598977423","1598977423")</f>
        <v>1598977423</v>
      </c>
      <c r="E8022" s="1" t="s">
        <v>18813</v>
      </c>
      <c r="F8022" s="2"/>
      <c r="G8022" s="2"/>
      <c r="H8022" s="2"/>
    </row>
    <row r="8023" spans="1:8" x14ac:dyDescent="0.25">
      <c r="A8023" s="1"/>
      <c r="B8023" s="1" t="s">
        <v>4823</v>
      </c>
      <c r="C8023" s="1" t="s">
        <v>4824</v>
      </c>
      <c r="D8023" s="22" t="str">
        <f>HYPERLINK("https://rhld.insurance.arkansas.gov/NPILookup?Npi=1609036755","1609036755")</f>
        <v>1609036755</v>
      </c>
      <c r="E8023" s="1" t="s">
        <v>18814</v>
      </c>
      <c r="F8023" s="2"/>
      <c r="G8023" s="2"/>
      <c r="H8023" s="2"/>
    </row>
    <row r="8024" spans="1:8" x14ac:dyDescent="0.25">
      <c r="A8024" s="1"/>
      <c r="B8024" s="1" t="s">
        <v>4823</v>
      </c>
      <c r="C8024" s="1" t="s">
        <v>4824</v>
      </c>
      <c r="D8024" s="22" t="str">
        <f>HYPERLINK("https://rhld.insurance.arkansas.gov/NPILookup?Npi=1609862838","1609862838")</f>
        <v>1609862838</v>
      </c>
      <c r="E8024" s="1" t="s">
        <v>1067</v>
      </c>
      <c r="F8024" s="2"/>
      <c r="G8024" s="2"/>
      <c r="H8024" s="2"/>
    </row>
    <row r="8025" spans="1:8" x14ac:dyDescent="0.25">
      <c r="A8025" s="1"/>
      <c r="B8025" s="1" t="s">
        <v>4823</v>
      </c>
      <c r="C8025" s="1" t="s">
        <v>4824</v>
      </c>
      <c r="D8025" s="22" t="str">
        <f>HYPERLINK("https://rhld.insurance.arkansas.gov/NPILookup?Npi=1609894245","1609894245")</f>
        <v>1609894245</v>
      </c>
      <c r="E8025" s="1" t="s">
        <v>18815</v>
      </c>
      <c r="F8025" s="2"/>
      <c r="G8025" s="2"/>
      <c r="H8025" s="2"/>
    </row>
    <row r="8026" spans="1:8" x14ac:dyDescent="0.25">
      <c r="A8026" s="1"/>
      <c r="B8026" s="1" t="s">
        <v>4823</v>
      </c>
      <c r="C8026" s="1" t="s">
        <v>4824</v>
      </c>
      <c r="D8026" s="22" t="str">
        <f>HYPERLINK("https://rhld.insurance.arkansas.gov/NPILookup?Npi=1609985522","1609985522")</f>
        <v>1609985522</v>
      </c>
      <c r="E8026" s="1" t="s">
        <v>18816</v>
      </c>
      <c r="F8026" s="2"/>
      <c r="G8026" s="2"/>
      <c r="H8026" s="2"/>
    </row>
    <row r="8027" spans="1:8" x14ac:dyDescent="0.25">
      <c r="A8027" s="1"/>
      <c r="B8027" s="1" t="s">
        <v>4823</v>
      </c>
      <c r="C8027" s="1" t="s">
        <v>4824</v>
      </c>
      <c r="D8027" s="22" t="str">
        <f>HYPERLINK("https://rhld.insurance.arkansas.gov/NPILookup?Npi=1619215944","1619215944")</f>
        <v>1619215944</v>
      </c>
      <c r="E8027" s="1" t="s">
        <v>3537</v>
      </c>
      <c r="F8027" s="2"/>
      <c r="G8027" s="2"/>
      <c r="H8027" s="2"/>
    </row>
    <row r="8028" spans="1:8" x14ac:dyDescent="0.25">
      <c r="A8028" s="1"/>
      <c r="B8028" s="1" t="s">
        <v>4823</v>
      </c>
      <c r="C8028" s="1" t="s">
        <v>4824</v>
      </c>
      <c r="D8028" s="22" t="str">
        <f>HYPERLINK("https://rhld.insurance.arkansas.gov/NPILookup?Npi=1619237880","1619237880")</f>
        <v>1619237880</v>
      </c>
      <c r="E8028" s="1" t="s">
        <v>10758</v>
      </c>
      <c r="F8028" s="2"/>
      <c r="G8028" s="2"/>
      <c r="H8028" s="2"/>
    </row>
    <row r="8029" spans="1:8" x14ac:dyDescent="0.25">
      <c r="A8029" s="1"/>
      <c r="B8029" s="1" t="s">
        <v>4823</v>
      </c>
      <c r="C8029" s="1" t="s">
        <v>4824</v>
      </c>
      <c r="D8029" s="22" t="str">
        <f>HYPERLINK("https://rhld.insurance.arkansas.gov/NPILookup?Npi=1619909009","1619909009")</f>
        <v>1619909009</v>
      </c>
      <c r="E8029" s="1" t="s">
        <v>4870</v>
      </c>
      <c r="F8029" s="2"/>
      <c r="G8029" s="2"/>
      <c r="H8029" s="2"/>
    </row>
    <row r="8030" spans="1:8" x14ac:dyDescent="0.25">
      <c r="A8030" s="1"/>
      <c r="B8030" s="1" t="s">
        <v>4823</v>
      </c>
      <c r="C8030" s="1" t="s">
        <v>4824</v>
      </c>
      <c r="D8030" s="22" t="str">
        <f>HYPERLINK("https://rhld.insurance.arkansas.gov/NPILookup?Npi=1619939360","1619939360")</f>
        <v>1619939360</v>
      </c>
      <c r="E8030" s="1" t="s">
        <v>10728</v>
      </c>
      <c r="F8030" s="2"/>
      <c r="G8030" s="2"/>
      <c r="H8030" s="2"/>
    </row>
    <row r="8031" spans="1:8" x14ac:dyDescent="0.25">
      <c r="A8031" s="1"/>
      <c r="B8031" s="1" t="s">
        <v>4823</v>
      </c>
      <c r="C8031" s="1" t="s">
        <v>4824</v>
      </c>
      <c r="D8031" s="22" t="str">
        <f>HYPERLINK("https://rhld.insurance.arkansas.gov/NPILookup?Npi=1619966371","1619966371")</f>
        <v>1619966371</v>
      </c>
      <c r="E8031" s="1" t="s">
        <v>2280</v>
      </c>
      <c r="F8031" s="2"/>
      <c r="G8031" s="2"/>
      <c r="H8031" s="2"/>
    </row>
    <row r="8032" spans="1:8" x14ac:dyDescent="0.25">
      <c r="A8032" s="1"/>
      <c r="B8032" s="1" t="s">
        <v>4823</v>
      </c>
      <c r="C8032" s="1" t="s">
        <v>4824</v>
      </c>
      <c r="D8032" s="22" t="str">
        <f>HYPERLINK("https://rhld.insurance.arkansas.gov/NPILookup?Npi=1629008388","1629008388")</f>
        <v>1629008388</v>
      </c>
      <c r="E8032" s="1" t="s">
        <v>31535</v>
      </c>
      <c r="F8032" s="2"/>
      <c r="G8032" s="2"/>
      <c r="H8032" s="2"/>
    </row>
    <row r="8033" spans="1:8" x14ac:dyDescent="0.25">
      <c r="A8033" s="1"/>
      <c r="B8033" s="1" t="s">
        <v>4823</v>
      </c>
      <c r="C8033" s="1" t="s">
        <v>4824</v>
      </c>
      <c r="D8033" s="22" t="str">
        <f>HYPERLINK("https://rhld.insurance.arkansas.gov/NPILookup?Npi=1629062922","1629062922")</f>
        <v>1629062922</v>
      </c>
      <c r="E8033" s="1" t="s">
        <v>18817</v>
      </c>
      <c r="F8033" s="2"/>
      <c r="G8033" s="2"/>
      <c r="H8033" s="2"/>
    </row>
    <row r="8034" spans="1:8" x14ac:dyDescent="0.25">
      <c r="A8034" s="1"/>
      <c r="B8034" s="1" t="s">
        <v>4823</v>
      </c>
      <c r="C8034" s="1" t="s">
        <v>4824</v>
      </c>
      <c r="D8034" s="22" t="str">
        <f>HYPERLINK("https://rhld.insurance.arkansas.gov/NPILookup?Npi=1629225362","1629225362")</f>
        <v>1629225362</v>
      </c>
      <c r="E8034" s="1" t="s">
        <v>18818</v>
      </c>
      <c r="F8034" s="2"/>
      <c r="G8034" s="2"/>
      <c r="H8034" s="2"/>
    </row>
    <row r="8035" spans="1:8" x14ac:dyDescent="0.25">
      <c r="A8035" s="1"/>
      <c r="B8035" s="1" t="s">
        <v>4823</v>
      </c>
      <c r="C8035" s="1" t="s">
        <v>4824</v>
      </c>
      <c r="D8035" s="22" t="str">
        <f>HYPERLINK("https://rhld.insurance.arkansas.gov/NPILookup?Npi=1629289657","1629289657")</f>
        <v>1629289657</v>
      </c>
      <c r="E8035" s="1" t="s">
        <v>10759</v>
      </c>
      <c r="F8035" s="2"/>
      <c r="G8035" s="2"/>
      <c r="H8035" s="2"/>
    </row>
    <row r="8036" spans="1:8" x14ac:dyDescent="0.25">
      <c r="A8036" s="1"/>
      <c r="B8036" s="1" t="s">
        <v>4823</v>
      </c>
      <c r="C8036" s="1" t="s">
        <v>4824</v>
      </c>
      <c r="D8036" s="22" t="str">
        <f>HYPERLINK("https://rhld.insurance.arkansas.gov/NPILookup?Npi=1629501572","1629501572")</f>
        <v>1629501572</v>
      </c>
      <c r="E8036" s="1" t="s">
        <v>10760</v>
      </c>
      <c r="F8036" s="2"/>
      <c r="G8036" s="2"/>
      <c r="H8036" s="2"/>
    </row>
    <row r="8037" spans="1:8" x14ac:dyDescent="0.25">
      <c r="A8037" s="1"/>
      <c r="B8037" s="1" t="s">
        <v>4823</v>
      </c>
      <c r="C8037" s="1" t="s">
        <v>4824</v>
      </c>
      <c r="D8037" s="22" t="str">
        <f>HYPERLINK("https://rhld.insurance.arkansas.gov/NPILookup?Npi=1629565635","1629565635")</f>
        <v>1629565635</v>
      </c>
      <c r="E8037" s="1" t="s">
        <v>18819</v>
      </c>
      <c r="F8037" s="2"/>
      <c r="G8037" s="2"/>
      <c r="H8037" s="2"/>
    </row>
    <row r="8038" spans="1:8" x14ac:dyDescent="0.25">
      <c r="A8038" s="1"/>
      <c r="B8038" s="1" t="s">
        <v>4823</v>
      </c>
      <c r="C8038" s="1" t="s">
        <v>4824</v>
      </c>
      <c r="D8038" s="22" t="str">
        <f>HYPERLINK("https://rhld.insurance.arkansas.gov/NPILookup?Npi=1629658885","1629658885")</f>
        <v>1629658885</v>
      </c>
      <c r="E8038" s="1" t="s">
        <v>18820</v>
      </c>
      <c r="F8038" s="2"/>
      <c r="G8038" s="2"/>
      <c r="H8038" s="2"/>
    </row>
    <row r="8039" spans="1:8" x14ac:dyDescent="0.25">
      <c r="A8039" s="1"/>
      <c r="B8039" s="1" t="s">
        <v>4823</v>
      </c>
      <c r="C8039" s="1" t="s">
        <v>4824</v>
      </c>
      <c r="D8039" s="22" t="str">
        <f>HYPERLINK("https://rhld.insurance.arkansas.gov/NPILookup?Npi=1639135775","1639135775")</f>
        <v>1639135775</v>
      </c>
      <c r="E8039" s="1" t="s">
        <v>18821</v>
      </c>
      <c r="F8039" s="2"/>
      <c r="G8039" s="2"/>
      <c r="H8039" s="2"/>
    </row>
    <row r="8040" spans="1:8" x14ac:dyDescent="0.25">
      <c r="A8040" s="1"/>
      <c r="B8040" s="1" t="s">
        <v>4823</v>
      </c>
      <c r="C8040" s="1" t="s">
        <v>4824</v>
      </c>
      <c r="D8040" s="22" t="str">
        <f>HYPERLINK("https://rhld.insurance.arkansas.gov/NPILookup?Npi=1639176555","1639176555")</f>
        <v>1639176555</v>
      </c>
      <c r="E8040" s="1" t="s">
        <v>10761</v>
      </c>
      <c r="F8040" s="2"/>
      <c r="G8040" s="2"/>
      <c r="H8040" s="2"/>
    </row>
    <row r="8041" spans="1:8" x14ac:dyDescent="0.25">
      <c r="A8041" s="1"/>
      <c r="B8041" s="1" t="s">
        <v>4823</v>
      </c>
      <c r="C8041" s="1" t="s">
        <v>4824</v>
      </c>
      <c r="D8041" s="22" t="str">
        <f>HYPERLINK("https://rhld.insurance.arkansas.gov/NPILookup?Npi=1639250459","1639250459")</f>
        <v>1639250459</v>
      </c>
      <c r="E8041" s="1" t="s">
        <v>18822</v>
      </c>
      <c r="F8041" s="2"/>
      <c r="G8041" s="2"/>
      <c r="H8041" s="2"/>
    </row>
    <row r="8042" spans="1:8" x14ac:dyDescent="0.25">
      <c r="A8042" s="1"/>
      <c r="B8042" s="1" t="s">
        <v>4823</v>
      </c>
      <c r="C8042" s="1" t="s">
        <v>4824</v>
      </c>
      <c r="D8042" s="22" t="str">
        <f>HYPERLINK("https://rhld.insurance.arkansas.gov/NPILookup?Npi=1639340599","1639340599")</f>
        <v>1639340599</v>
      </c>
      <c r="E8042" s="1" t="s">
        <v>18823</v>
      </c>
      <c r="F8042" s="2"/>
      <c r="G8042" s="2"/>
      <c r="H8042" s="2"/>
    </row>
    <row r="8043" spans="1:8" x14ac:dyDescent="0.25">
      <c r="A8043" s="1"/>
      <c r="B8043" s="1" t="s">
        <v>4823</v>
      </c>
      <c r="C8043" s="1" t="s">
        <v>4824</v>
      </c>
      <c r="D8043" s="22" t="str">
        <f>HYPERLINK("https://rhld.insurance.arkansas.gov/NPILookup?Npi=1649217951","1649217951")</f>
        <v>1649217951</v>
      </c>
      <c r="E8043" s="1" t="s">
        <v>18824</v>
      </c>
      <c r="F8043" s="2"/>
      <c r="G8043" s="2"/>
      <c r="H8043" s="2"/>
    </row>
    <row r="8044" spans="1:8" x14ac:dyDescent="0.25">
      <c r="A8044" s="1"/>
      <c r="B8044" s="1" t="s">
        <v>4823</v>
      </c>
      <c r="C8044" s="1" t="s">
        <v>4824</v>
      </c>
      <c r="D8044" s="22" t="str">
        <f>HYPERLINK("https://rhld.insurance.arkansas.gov/NPILookup?Npi=1649465386","1649465386")</f>
        <v>1649465386</v>
      </c>
      <c r="E8044" s="1" t="s">
        <v>18825</v>
      </c>
      <c r="F8044" s="2"/>
      <c r="G8044" s="2"/>
      <c r="H8044" s="2"/>
    </row>
    <row r="8045" spans="1:8" x14ac:dyDescent="0.25">
      <c r="A8045" s="1"/>
      <c r="B8045" s="1" t="s">
        <v>4823</v>
      </c>
      <c r="C8045" s="1" t="s">
        <v>4824</v>
      </c>
      <c r="D8045" s="22" t="str">
        <f>HYPERLINK("https://rhld.insurance.arkansas.gov/NPILookup?Npi=1649638776","1649638776")</f>
        <v>1649638776</v>
      </c>
      <c r="E8045" s="1" t="s">
        <v>10762</v>
      </c>
      <c r="F8045" s="2"/>
      <c r="G8045" s="2"/>
      <c r="H8045" s="2"/>
    </row>
    <row r="8046" spans="1:8" x14ac:dyDescent="0.25">
      <c r="A8046" s="1"/>
      <c r="B8046" s="1" t="s">
        <v>4823</v>
      </c>
      <c r="C8046" s="1" t="s">
        <v>4824</v>
      </c>
      <c r="D8046" s="22" t="str">
        <f>HYPERLINK("https://rhld.insurance.arkansas.gov/NPILookup?Npi=1649683855","1649683855")</f>
        <v>1649683855</v>
      </c>
      <c r="E8046" s="1" t="s">
        <v>4541</v>
      </c>
      <c r="F8046" s="2"/>
      <c r="G8046" s="2"/>
      <c r="H8046" s="2"/>
    </row>
    <row r="8047" spans="1:8" x14ac:dyDescent="0.25">
      <c r="A8047" s="1"/>
      <c r="B8047" s="1" t="s">
        <v>4823</v>
      </c>
      <c r="C8047" s="1" t="s">
        <v>4824</v>
      </c>
      <c r="D8047" s="22" t="str">
        <f>HYPERLINK("https://rhld.insurance.arkansas.gov/NPILookup?Npi=1649697905","1649697905")</f>
        <v>1649697905</v>
      </c>
      <c r="E8047" s="1" t="s">
        <v>18826</v>
      </c>
      <c r="F8047" s="2"/>
      <c r="G8047" s="2"/>
      <c r="H8047" s="2"/>
    </row>
    <row r="8048" spans="1:8" x14ac:dyDescent="0.25">
      <c r="A8048" s="1"/>
      <c r="B8048" s="1" t="s">
        <v>4823</v>
      </c>
      <c r="C8048" s="1" t="s">
        <v>4824</v>
      </c>
      <c r="D8048" s="22" t="str">
        <f>HYPERLINK("https://rhld.insurance.arkansas.gov/NPILookup?Npi=1659307163","1659307163")</f>
        <v>1659307163</v>
      </c>
      <c r="E8048" s="1" t="s">
        <v>4871</v>
      </c>
      <c r="F8048" s="2"/>
      <c r="G8048" s="2"/>
      <c r="H8048" s="2"/>
    </row>
    <row r="8049" spans="1:8" x14ac:dyDescent="0.25">
      <c r="A8049" s="1"/>
      <c r="B8049" s="1" t="s">
        <v>4823</v>
      </c>
      <c r="C8049" s="1" t="s">
        <v>4824</v>
      </c>
      <c r="D8049" s="22" t="str">
        <f>HYPERLINK("https://rhld.insurance.arkansas.gov/NPILookup?Npi=1659321065","1659321065")</f>
        <v>1659321065</v>
      </c>
      <c r="E8049" s="1" t="s">
        <v>4872</v>
      </c>
      <c r="F8049" s="2"/>
      <c r="G8049" s="2"/>
      <c r="H8049" s="2"/>
    </row>
    <row r="8050" spans="1:8" x14ac:dyDescent="0.25">
      <c r="A8050" s="1"/>
      <c r="B8050" s="1" t="s">
        <v>4823</v>
      </c>
      <c r="C8050" s="1" t="s">
        <v>4824</v>
      </c>
      <c r="D8050" s="22" t="str">
        <f>HYPERLINK("https://rhld.insurance.arkansas.gov/NPILookup?Npi=1659336519","1659336519")</f>
        <v>1659336519</v>
      </c>
      <c r="E8050" s="1" t="s">
        <v>4873</v>
      </c>
      <c r="F8050" s="2"/>
      <c r="G8050" s="2"/>
      <c r="H8050" s="2"/>
    </row>
    <row r="8051" spans="1:8" x14ac:dyDescent="0.25">
      <c r="A8051" s="1"/>
      <c r="B8051" s="1" t="s">
        <v>4823</v>
      </c>
      <c r="C8051" s="1" t="s">
        <v>4824</v>
      </c>
      <c r="D8051" s="22" t="str">
        <f>HYPERLINK("https://rhld.insurance.arkansas.gov/NPILookup?Npi=1659348498","1659348498")</f>
        <v>1659348498</v>
      </c>
      <c r="E8051" s="1" t="s">
        <v>10763</v>
      </c>
      <c r="F8051" s="2"/>
      <c r="G8051" s="2"/>
      <c r="H8051" s="2"/>
    </row>
    <row r="8052" spans="1:8" x14ac:dyDescent="0.25">
      <c r="A8052" s="1"/>
      <c r="B8052" s="1" t="s">
        <v>4823</v>
      </c>
      <c r="C8052" s="1" t="s">
        <v>4824</v>
      </c>
      <c r="D8052" s="22" t="str">
        <f>HYPERLINK("https://rhld.insurance.arkansas.gov/NPILookup?Npi=1659369973","1659369973")</f>
        <v>1659369973</v>
      </c>
      <c r="E8052" s="1" t="s">
        <v>18827</v>
      </c>
      <c r="F8052" s="2"/>
      <c r="G8052" s="2"/>
      <c r="H8052" s="2"/>
    </row>
    <row r="8053" spans="1:8" x14ac:dyDescent="0.25">
      <c r="A8053" s="1"/>
      <c r="B8053" s="1" t="s">
        <v>4823</v>
      </c>
      <c r="C8053" s="1" t="s">
        <v>4824</v>
      </c>
      <c r="D8053" s="22" t="str">
        <f>HYPERLINK("https://rhld.insurance.arkansas.gov/NPILookup?Npi=1659397677","1659397677")</f>
        <v>1659397677</v>
      </c>
      <c r="E8053" s="1" t="s">
        <v>18828</v>
      </c>
      <c r="F8053" s="2"/>
      <c r="G8053" s="2"/>
      <c r="H8053" s="2"/>
    </row>
    <row r="8054" spans="1:8" x14ac:dyDescent="0.25">
      <c r="A8054" s="1"/>
      <c r="B8054" s="1" t="s">
        <v>4823</v>
      </c>
      <c r="C8054" s="1" t="s">
        <v>4824</v>
      </c>
      <c r="D8054" s="22" t="str">
        <f>HYPERLINK("https://rhld.insurance.arkansas.gov/NPILookup?Npi=1659573558","1659573558")</f>
        <v>1659573558</v>
      </c>
      <c r="E8054" s="1" t="s">
        <v>2281</v>
      </c>
      <c r="F8054" s="2"/>
      <c r="G8054" s="2"/>
      <c r="H8054" s="2"/>
    </row>
    <row r="8055" spans="1:8" x14ac:dyDescent="0.25">
      <c r="A8055" s="1"/>
      <c r="B8055" s="1" t="s">
        <v>4823</v>
      </c>
      <c r="C8055" s="1" t="s">
        <v>4824</v>
      </c>
      <c r="D8055" s="22" t="str">
        <f>HYPERLINK("https://rhld.insurance.arkansas.gov/NPILookup?Npi=1659586113","1659586113")</f>
        <v>1659586113</v>
      </c>
      <c r="E8055" s="1" t="s">
        <v>4874</v>
      </c>
      <c r="F8055" s="2"/>
      <c r="G8055" s="2"/>
      <c r="H8055" s="2"/>
    </row>
    <row r="8056" spans="1:8" x14ac:dyDescent="0.25">
      <c r="A8056" s="1"/>
      <c r="B8056" s="1" t="s">
        <v>4823</v>
      </c>
      <c r="C8056" s="1" t="s">
        <v>4824</v>
      </c>
      <c r="D8056" s="22" t="str">
        <f>HYPERLINK("https://rhld.insurance.arkansas.gov/NPILookup?Npi=1659735991","1659735991")</f>
        <v>1659735991</v>
      </c>
      <c r="E8056" s="1" t="s">
        <v>18829</v>
      </c>
      <c r="F8056" s="2"/>
      <c r="G8056" s="2"/>
      <c r="H8056" s="2"/>
    </row>
    <row r="8057" spans="1:8" x14ac:dyDescent="0.25">
      <c r="A8057" s="1"/>
      <c r="B8057" s="1" t="s">
        <v>4823</v>
      </c>
      <c r="C8057" s="1" t="s">
        <v>4824</v>
      </c>
      <c r="D8057" s="22" t="str">
        <f>HYPERLINK("https://rhld.insurance.arkansas.gov/NPILookup?Npi=1659992485","1659992485")</f>
        <v>1659992485</v>
      </c>
      <c r="E8057" s="1" t="s">
        <v>4875</v>
      </c>
      <c r="F8057" s="2"/>
      <c r="G8057" s="2"/>
      <c r="H8057" s="2"/>
    </row>
    <row r="8058" spans="1:8" x14ac:dyDescent="0.25">
      <c r="A8058" s="1"/>
      <c r="B8058" s="1" t="s">
        <v>4823</v>
      </c>
      <c r="C8058" s="1" t="s">
        <v>4824</v>
      </c>
      <c r="D8058" s="22" t="str">
        <f>HYPERLINK("https://rhld.insurance.arkansas.gov/NPILookup?Npi=1669414025","1669414025")</f>
        <v>1669414025</v>
      </c>
      <c r="E8058" s="1" t="s">
        <v>18830</v>
      </c>
      <c r="F8058" s="2"/>
      <c r="G8058" s="2"/>
      <c r="H8058" s="2"/>
    </row>
    <row r="8059" spans="1:8" x14ac:dyDescent="0.25">
      <c r="A8059" s="1"/>
      <c r="B8059" s="1" t="s">
        <v>4823</v>
      </c>
      <c r="C8059" s="1" t="s">
        <v>4824</v>
      </c>
      <c r="D8059" s="22" t="str">
        <f>HYPERLINK("https://rhld.insurance.arkansas.gov/NPILookup?Npi=1669439923","1669439923")</f>
        <v>1669439923</v>
      </c>
      <c r="E8059" s="1" t="s">
        <v>18831</v>
      </c>
      <c r="F8059" s="2"/>
      <c r="G8059" s="2"/>
      <c r="H8059" s="2"/>
    </row>
    <row r="8060" spans="1:8" x14ac:dyDescent="0.25">
      <c r="A8060" s="1"/>
      <c r="B8060" s="1" t="s">
        <v>4823</v>
      </c>
      <c r="C8060" s="1" t="s">
        <v>4824</v>
      </c>
      <c r="D8060" s="22" t="str">
        <f>HYPERLINK("https://rhld.insurance.arkansas.gov/NPILookup?Npi=1669444352","1669444352")</f>
        <v>1669444352</v>
      </c>
      <c r="E8060" s="1" t="s">
        <v>4876</v>
      </c>
      <c r="F8060" s="2"/>
      <c r="G8060" s="2"/>
      <c r="H8060" s="2"/>
    </row>
    <row r="8061" spans="1:8" x14ac:dyDescent="0.25">
      <c r="A8061" s="1"/>
      <c r="B8061" s="1" t="s">
        <v>4823</v>
      </c>
      <c r="C8061" s="1" t="s">
        <v>4824</v>
      </c>
      <c r="D8061" s="22" t="str">
        <f>HYPERLINK("https://rhld.insurance.arkansas.gov/NPILookup?Npi=1669465316","1669465316")</f>
        <v>1669465316</v>
      </c>
      <c r="E8061" s="1" t="s">
        <v>4877</v>
      </c>
      <c r="F8061" s="2"/>
      <c r="G8061" s="2"/>
      <c r="H8061" s="2"/>
    </row>
    <row r="8062" spans="1:8" x14ac:dyDescent="0.25">
      <c r="A8062" s="1"/>
      <c r="B8062" s="1" t="s">
        <v>4823</v>
      </c>
      <c r="C8062" s="1" t="s">
        <v>4824</v>
      </c>
      <c r="D8062" s="22" t="str">
        <f>HYPERLINK("https://rhld.insurance.arkansas.gov/NPILookup?Npi=1669593638","1669593638")</f>
        <v>1669593638</v>
      </c>
      <c r="E8062" s="1" t="s">
        <v>447</v>
      </c>
      <c r="F8062" s="2"/>
      <c r="G8062" s="2"/>
      <c r="H8062" s="2"/>
    </row>
    <row r="8063" spans="1:8" x14ac:dyDescent="0.25">
      <c r="A8063" s="1"/>
      <c r="B8063" s="1" t="s">
        <v>4823</v>
      </c>
      <c r="C8063" s="1" t="s">
        <v>4824</v>
      </c>
      <c r="D8063" s="22" t="str">
        <f>HYPERLINK("https://rhld.insurance.arkansas.gov/NPILookup?Npi=1669656229","1669656229")</f>
        <v>1669656229</v>
      </c>
      <c r="E8063" s="1" t="s">
        <v>18832</v>
      </c>
      <c r="F8063" s="2"/>
      <c r="G8063" s="2"/>
      <c r="H8063" s="2"/>
    </row>
    <row r="8064" spans="1:8" x14ac:dyDescent="0.25">
      <c r="A8064" s="1"/>
      <c r="B8064" s="1" t="s">
        <v>4823</v>
      </c>
      <c r="C8064" s="1" t="s">
        <v>4824</v>
      </c>
      <c r="D8064" s="22" t="str">
        <f>HYPERLINK("https://rhld.insurance.arkansas.gov/NPILookup?Npi=1669679262","1669679262")</f>
        <v>1669679262</v>
      </c>
      <c r="E8064" s="1" t="s">
        <v>18833</v>
      </c>
      <c r="F8064" s="2"/>
      <c r="G8064" s="2"/>
      <c r="H8064" s="2"/>
    </row>
    <row r="8065" spans="1:8" x14ac:dyDescent="0.25">
      <c r="A8065" s="1"/>
      <c r="B8065" s="1" t="s">
        <v>4823</v>
      </c>
      <c r="C8065" s="1" t="s">
        <v>4824</v>
      </c>
      <c r="D8065" s="22" t="str">
        <f>HYPERLINK("https://rhld.insurance.arkansas.gov/NPILookup?Npi=1669707113","1669707113")</f>
        <v>1669707113</v>
      </c>
      <c r="E8065" s="1" t="s">
        <v>18834</v>
      </c>
      <c r="F8065" s="2"/>
      <c r="G8065" s="2"/>
      <c r="H8065" s="2"/>
    </row>
    <row r="8066" spans="1:8" x14ac:dyDescent="0.25">
      <c r="A8066" s="1"/>
      <c r="B8066" s="1" t="s">
        <v>4823</v>
      </c>
      <c r="C8066" s="1" t="s">
        <v>4824</v>
      </c>
      <c r="D8066" s="22" t="str">
        <f>HYPERLINK("https://rhld.insurance.arkansas.gov/NPILookup?Npi=1669908646","1669908646")</f>
        <v>1669908646</v>
      </c>
      <c r="E8066" s="1" t="s">
        <v>2559</v>
      </c>
      <c r="F8066" s="2"/>
      <c r="G8066" s="2"/>
      <c r="H8066" s="2"/>
    </row>
    <row r="8067" spans="1:8" x14ac:dyDescent="0.25">
      <c r="A8067" s="1"/>
      <c r="B8067" s="1" t="s">
        <v>4823</v>
      </c>
      <c r="C8067" s="1" t="s">
        <v>4824</v>
      </c>
      <c r="D8067" s="22" t="str">
        <f>HYPERLINK("https://rhld.insurance.arkansas.gov/NPILookup?Npi=1669913091","1669913091")</f>
        <v>1669913091</v>
      </c>
      <c r="E8067" s="1" t="s">
        <v>4878</v>
      </c>
      <c r="F8067" s="2"/>
      <c r="G8067" s="2"/>
      <c r="H8067" s="2"/>
    </row>
    <row r="8068" spans="1:8" x14ac:dyDescent="0.25">
      <c r="A8068" s="1"/>
      <c r="B8068" s="1" t="s">
        <v>4823</v>
      </c>
      <c r="C8068" s="1" t="s">
        <v>4824</v>
      </c>
      <c r="D8068" s="22" t="str">
        <f>HYPERLINK("https://rhld.insurance.arkansas.gov/NPILookup?Npi=1679567788","1679567788")</f>
        <v>1679567788</v>
      </c>
      <c r="E8068" s="1" t="s">
        <v>4879</v>
      </c>
      <c r="F8068" s="2"/>
      <c r="G8068" s="2"/>
      <c r="H8068" s="2"/>
    </row>
    <row r="8069" spans="1:8" x14ac:dyDescent="0.25">
      <c r="A8069" s="1"/>
      <c r="B8069" s="1" t="s">
        <v>4823</v>
      </c>
      <c r="C8069" s="1" t="s">
        <v>4824</v>
      </c>
      <c r="D8069" s="22" t="str">
        <f>HYPERLINK("https://rhld.insurance.arkansas.gov/NPILookup?Npi=1679579072","1679579072")</f>
        <v>1679579072</v>
      </c>
      <c r="E8069" s="1" t="s">
        <v>18836</v>
      </c>
      <c r="F8069" s="2"/>
      <c r="G8069" s="2"/>
      <c r="H8069" s="2"/>
    </row>
    <row r="8070" spans="1:8" x14ac:dyDescent="0.25">
      <c r="A8070" s="1"/>
      <c r="B8070" s="1" t="s">
        <v>4823</v>
      </c>
      <c r="C8070" s="1" t="s">
        <v>4824</v>
      </c>
      <c r="D8070" s="22" t="str">
        <f>HYPERLINK("https://rhld.insurance.arkansas.gov/NPILookup?Npi=1679584734","1679584734")</f>
        <v>1679584734</v>
      </c>
      <c r="E8070" s="1" t="s">
        <v>31536</v>
      </c>
      <c r="F8070" s="2"/>
      <c r="G8070" s="2"/>
      <c r="H8070" s="2"/>
    </row>
    <row r="8071" spans="1:8" x14ac:dyDescent="0.25">
      <c r="A8071" s="1"/>
      <c r="B8071" s="1" t="s">
        <v>4823</v>
      </c>
      <c r="C8071" s="1" t="s">
        <v>4824</v>
      </c>
      <c r="D8071" s="22" t="str">
        <f>HYPERLINK("https://rhld.insurance.arkansas.gov/NPILookup?Npi=1679710768","1679710768")</f>
        <v>1679710768</v>
      </c>
      <c r="E8071" s="1" t="s">
        <v>18837</v>
      </c>
      <c r="F8071" s="2"/>
      <c r="G8071" s="2"/>
      <c r="H8071" s="2"/>
    </row>
    <row r="8072" spans="1:8" x14ac:dyDescent="0.25">
      <c r="A8072" s="1"/>
      <c r="B8072" s="1" t="s">
        <v>4823</v>
      </c>
      <c r="C8072" s="1" t="s">
        <v>4824</v>
      </c>
      <c r="D8072" s="22" t="str">
        <f>HYPERLINK("https://rhld.insurance.arkansas.gov/NPILookup?Npi=1679966923","1679966923")</f>
        <v>1679966923</v>
      </c>
      <c r="E8072" s="1" t="s">
        <v>10764</v>
      </c>
      <c r="F8072" s="2"/>
      <c r="G8072" s="2"/>
      <c r="H8072" s="2"/>
    </row>
    <row r="8073" spans="1:8" x14ac:dyDescent="0.25">
      <c r="A8073" s="1"/>
      <c r="B8073" s="1" t="s">
        <v>4823</v>
      </c>
      <c r="C8073" s="1" t="s">
        <v>4824</v>
      </c>
      <c r="D8073" s="22" t="str">
        <f>HYPERLINK("https://rhld.insurance.arkansas.gov/NPILookup?Npi=1689610339","1689610339")</f>
        <v>1689610339</v>
      </c>
      <c r="E8073" s="1" t="s">
        <v>18838</v>
      </c>
      <c r="F8073" s="2"/>
      <c r="G8073" s="2"/>
      <c r="H8073" s="2"/>
    </row>
    <row r="8074" spans="1:8" x14ac:dyDescent="0.25">
      <c r="A8074" s="1"/>
      <c r="B8074" s="1" t="s">
        <v>4823</v>
      </c>
      <c r="C8074" s="1" t="s">
        <v>4824</v>
      </c>
      <c r="D8074" s="22" t="str">
        <f>HYPERLINK("https://rhld.insurance.arkansas.gov/NPILookup?Npi=1689669152","1689669152")</f>
        <v>1689669152</v>
      </c>
      <c r="E8074" s="1" t="s">
        <v>18839</v>
      </c>
      <c r="F8074" s="2"/>
      <c r="G8074" s="2"/>
      <c r="H8074" s="2"/>
    </row>
    <row r="8075" spans="1:8" x14ac:dyDescent="0.25">
      <c r="A8075" s="1"/>
      <c r="B8075" s="1" t="s">
        <v>4823</v>
      </c>
      <c r="C8075" s="1" t="s">
        <v>4824</v>
      </c>
      <c r="D8075" s="22" t="str">
        <f>HYPERLINK("https://rhld.insurance.arkansas.gov/NPILookup?Npi=1689739054","1689739054")</f>
        <v>1689739054</v>
      </c>
      <c r="E8075" s="1" t="s">
        <v>4880</v>
      </c>
      <c r="F8075" s="2"/>
      <c r="G8075" s="2"/>
      <c r="H8075" s="2"/>
    </row>
    <row r="8076" spans="1:8" x14ac:dyDescent="0.25">
      <c r="A8076" s="1"/>
      <c r="B8076" s="1" t="s">
        <v>4823</v>
      </c>
      <c r="C8076" s="1" t="s">
        <v>4824</v>
      </c>
      <c r="D8076" s="22" t="str">
        <f>HYPERLINK("https://rhld.insurance.arkansas.gov/NPILookup?Npi=1699086314","1699086314")</f>
        <v>1699086314</v>
      </c>
      <c r="E8076" s="1" t="s">
        <v>18840</v>
      </c>
      <c r="F8076" s="2"/>
      <c r="G8076" s="2"/>
      <c r="H8076" s="2"/>
    </row>
    <row r="8077" spans="1:8" x14ac:dyDescent="0.25">
      <c r="A8077" s="1"/>
      <c r="B8077" s="1" t="s">
        <v>4823</v>
      </c>
      <c r="C8077" s="1" t="s">
        <v>4824</v>
      </c>
      <c r="D8077" s="22" t="str">
        <f>HYPERLINK("https://rhld.insurance.arkansas.gov/NPILookup?Npi=1699161117","1699161117")</f>
        <v>1699161117</v>
      </c>
      <c r="E8077" s="1" t="s">
        <v>18841</v>
      </c>
      <c r="F8077" s="2"/>
      <c r="G8077" s="2"/>
      <c r="H8077" s="2"/>
    </row>
    <row r="8078" spans="1:8" x14ac:dyDescent="0.25">
      <c r="A8078" s="1"/>
      <c r="B8078" s="1" t="s">
        <v>4823</v>
      </c>
      <c r="C8078" s="1" t="s">
        <v>4824</v>
      </c>
      <c r="D8078" s="22" t="str">
        <f>HYPERLINK("https://rhld.insurance.arkansas.gov/NPILookup?Npi=1699161398","1699161398")</f>
        <v>1699161398</v>
      </c>
      <c r="E8078" s="1" t="s">
        <v>18842</v>
      </c>
      <c r="F8078" s="2"/>
      <c r="G8078" s="2"/>
      <c r="H8078" s="2"/>
    </row>
    <row r="8079" spans="1:8" x14ac:dyDescent="0.25">
      <c r="A8079" s="1"/>
      <c r="B8079" s="1" t="s">
        <v>4823</v>
      </c>
      <c r="C8079" s="1" t="s">
        <v>4824</v>
      </c>
      <c r="D8079" s="22" t="str">
        <f>HYPERLINK("https://rhld.insurance.arkansas.gov/NPILookup?Npi=1699711697","1699711697")</f>
        <v>1699711697</v>
      </c>
      <c r="E8079" s="1" t="s">
        <v>18843</v>
      </c>
      <c r="F8079" s="2"/>
      <c r="G8079" s="2"/>
      <c r="H8079" s="2"/>
    </row>
    <row r="8080" spans="1:8" x14ac:dyDescent="0.25">
      <c r="A8080" s="1"/>
      <c r="B8080" s="1" t="s">
        <v>4823</v>
      </c>
      <c r="C8080" s="1" t="s">
        <v>4824</v>
      </c>
      <c r="D8080" s="22" t="str">
        <f>HYPERLINK("https://rhld.insurance.arkansas.gov/NPILookup?Npi=1699742759","1699742759")</f>
        <v>1699742759</v>
      </c>
      <c r="E8080" s="1" t="s">
        <v>1915</v>
      </c>
      <c r="F8080" s="2"/>
      <c r="G8080" s="2"/>
      <c r="H8080" s="2"/>
    </row>
    <row r="8081" spans="1:8" x14ac:dyDescent="0.25">
      <c r="A8081" s="1"/>
      <c r="B8081" s="1" t="s">
        <v>4823</v>
      </c>
      <c r="C8081" s="1" t="s">
        <v>4824</v>
      </c>
      <c r="D8081" s="22" t="str">
        <f>HYPERLINK("https://rhld.insurance.arkansas.gov/NPILookup?Npi=1699776344","1699776344")</f>
        <v>1699776344</v>
      </c>
      <c r="E8081" s="1" t="s">
        <v>18844</v>
      </c>
      <c r="F8081" s="2"/>
      <c r="G8081" s="2"/>
      <c r="H8081" s="2"/>
    </row>
    <row r="8082" spans="1:8" x14ac:dyDescent="0.25">
      <c r="A8082" s="1"/>
      <c r="B8082" s="1" t="s">
        <v>4823</v>
      </c>
      <c r="C8082" s="1" t="s">
        <v>4824</v>
      </c>
      <c r="D8082" s="22" t="str">
        <f>HYPERLINK("https://rhld.insurance.arkansas.gov/NPILookup?Npi=1699963249","1699963249")</f>
        <v>1699963249</v>
      </c>
      <c r="E8082" s="1" t="s">
        <v>18845</v>
      </c>
      <c r="F8082" s="2"/>
      <c r="G8082" s="2"/>
      <c r="H8082" s="2"/>
    </row>
    <row r="8083" spans="1:8" x14ac:dyDescent="0.25">
      <c r="A8083" s="1"/>
      <c r="B8083" s="1" t="s">
        <v>4823</v>
      </c>
      <c r="C8083" s="1" t="s">
        <v>4824</v>
      </c>
      <c r="D8083" s="22" t="str">
        <f>HYPERLINK("https://rhld.insurance.arkansas.gov/NPILookup?Npi=1700016961","1700016961")</f>
        <v>1700016961</v>
      </c>
      <c r="E8083" s="1" t="s">
        <v>18846</v>
      </c>
      <c r="F8083" s="2"/>
      <c r="G8083" s="2"/>
      <c r="H8083" s="2"/>
    </row>
    <row r="8084" spans="1:8" x14ac:dyDescent="0.25">
      <c r="A8084" s="1"/>
      <c r="B8084" s="1" t="s">
        <v>4823</v>
      </c>
      <c r="C8084" s="1" t="s">
        <v>4824</v>
      </c>
      <c r="D8084" s="22" t="str">
        <f>HYPERLINK("https://rhld.insurance.arkansas.gov/NPILookup?Npi=1700048980","1700048980")</f>
        <v>1700048980</v>
      </c>
      <c r="E8084" s="1" t="s">
        <v>18847</v>
      </c>
      <c r="F8084" s="2"/>
      <c r="G8084" s="2"/>
      <c r="H8084" s="2"/>
    </row>
    <row r="8085" spans="1:8" x14ac:dyDescent="0.25">
      <c r="A8085" s="1"/>
      <c r="B8085" s="1" t="s">
        <v>4823</v>
      </c>
      <c r="C8085" s="1" t="s">
        <v>4824</v>
      </c>
      <c r="D8085" s="22" t="str">
        <f>HYPERLINK("https://rhld.insurance.arkansas.gov/NPILookup?Npi=1700107869","1700107869")</f>
        <v>1700107869</v>
      </c>
      <c r="E8085" s="1" t="s">
        <v>10765</v>
      </c>
      <c r="F8085" s="2"/>
      <c r="G8085" s="2"/>
      <c r="H8085" s="2"/>
    </row>
    <row r="8086" spans="1:8" x14ac:dyDescent="0.25">
      <c r="A8086" s="1"/>
      <c r="B8086" s="1" t="s">
        <v>4823</v>
      </c>
      <c r="C8086" s="1" t="s">
        <v>4824</v>
      </c>
      <c r="D8086" s="22" t="str">
        <f>HYPERLINK("https://rhld.insurance.arkansas.gov/NPILookup?Npi=1700833019","1700833019")</f>
        <v>1700833019</v>
      </c>
      <c r="E8086" s="1" t="s">
        <v>18848</v>
      </c>
      <c r="F8086" s="2"/>
      <c r="G8086" s="2"/>
      <c r="H8086" s="2"/>
    </row>
    <row r="8087" spans="1:8" x14ac:dyDescent="0.25">
      <c r="A8087" s="1"/>
      <c r="B8087" s="1" t="s">
        <v>4823</v>
      </c>
      <c r="C8087" s="1" t="s">
        <v>4824</v>
      </c>
      <c r="D8087" s="22" t="str">
        <f>HYPERLINK("https://rhld.insurance.arkansas.gov/NPILookup?Npi=1700836574","1700836574")</f>
        <v>1700836574</v>
      </c>
      <c r="E8087" s="1" t="s">
        <v>18849</v>
      </c>
      <c r="F8087" s="2"/>
      <c r="G8087" s="2"/>
      <c r="H8087" s="2"/>
    </row>
    <row r="8088" spans="1:8" x14ac:dyDescent="0.25">
      <c r="A8088" s="1"/>
      <c r="B8088" s="1" t="s">
        <v>4823</v>
      </c>
      <c r="C8088" s="1" t="s">
        <v>4824</v>
      </c>
      <c r="D8088" s="22" t="str">
        <f>HYPERLINK("https://rhld.insurance.arkansas.gov/NPILookup?Npi=1700842192","1700842192")</f>
        <v>1700842192</v>
      </c>
      <c r="E8088" s="1" t="s">
        <v>18850</v>
      </c>
      <c r="F8088" s="2"/>
      <c r="G8088" s="2"/>
      <c r="H8088" s="2"/>
    </row>
    <row r="8089" spans="1:8" x14ac:dyDescent="0.25">
      <c r="A8089" s="1"/>
      <c r="B8089" s="1" t="s">
        <v>4823</v>
      </c>
      <c r="C8089" s="1" t="s">
        <v>4824</v>
      </c>
      <c r="D8089" s="22" t="str">
        <f>HYPERLINK("https://rhld.insurance.arkansas.gov/NPILookup?Npi=1700897709","1700897709")</f>
        <v>1700897709</v>
      </c>
      <c r="E8089" s="1" t="s">
        <v>18851</v>
      </c>
      <c r="F8089" s="2"/>
      <c r="G8089" s="2"/>
      <c r="H8089" s="2"/>
    </row>
    <row r="8090" spans="1:8" x14ac:dyDescent="0.25">
      <c r="A8090" s="1"/>
      <c r="B8090" s="1" t="s">
        <v>4823</v>
      </c>
      <c r="C8090" s="1" t="s">
        <v>4824</v>
      </c>
      <c r="D8090" s="22" t="str">
        <f>HYPERLINK("https://rhld.insurance.arkansas.gov/NPILookup?Npi=1710008784","1710008784")</f>
        <v>1710008784</v>
      </c>
      <c r="E8090" s="1" t="s">
        <v>18852</v>
      </c>
      <c r="F8090" s="2"/>
      <c r="G8090" s="2"/>
      <c r="H8090" s="2"/>
    </row>
    <row r="8091" spans="1:8" x14ac:dyDescent="0.25">
      <c r="A8091" s="1"/>
      <c r="B8091" s="1" t="s">
        <v>4823</v>
      </c>
      <c r="C8091" s="1" t="s">
        <v>4824</v>
      </c>
      <c r="D8091" s="22" t="str">
        <f>HYPERLINK("https://rhld.insurance.arkansas.gov/NPILookup?Npi=1710082987","1710082987")</f>
        <v>1710082987</v>
      </c>
      <c r="E8091" s="1" t="s">
        <v>453</v>
      </c>
      <c r="F8091" s="2"/>
      <c r="G8091" s="2"/>
      <c r="H8091" s="2"/>
    </row>
    <row r="8092" spans="1:8" x14ac:dyDescent="0.25">
      <c r="A8092" s="1"/>
      <c r="B8092" s="1" t="s">
        <v>4823</v>
      </c>
      <c r="C8092" s="1" t="s">
        <v>4824</v>
      </c>
      <c r="D8092" s="22" t="str">
        <f>HYPERLINK("https://rhld.insurance.arkansas.gov/NPILookup?Npi=1710093000","1710093000")</f>
        <v>1710093000</v>
      </c>
      <c r="E8092" s="1" t="s">
        <v>4881</v>
      </c>
      <c r="F8092" s="2"/>
      <c r="G8092" s="2"/>
      <c r="H8092" s="2"/>
    </row>
    <row r="8093" spans="1:8" x14ac:dyDescent="0.25">
      <c r="A8093" s="1"/>
      <c r="B8093" s="1" t="s">
        <v>4823</v>
      </c>
      <c r="C8093" s="1" t="s">
        <v>4824</v>
      </c>
      <c r="D8093" s="22" t="str">
        <f>HYPERLINK("https://rhld.insurance.arkansas.gov/NPILookup?Npi=1710171806","1710171806")</f>
        <v>1710171806</v>
      </c>
      <c r="E8093" s="1" t="s">
        <v>18853</v>
      </c>
      <c r="F8093" s="2"/>
      <c r="G8093" s="2"/>
      <c r="H8093" s="2"/>
    </row>
    <row r="8094" spans="1:8" x14ac:dyDescent="0.25">
      <c r="A8094" s="1"/>
      <c r="B8094" s="1" t="s">
        <v>4823</v>
      </c>
      <c r="C8094" s="1" t="s">
        <v>4824</v>
      </c>
      <c r="D8094" s="22" t="str">
        <f>HYPERLINK("https://rhld.insurance.arkansas.gov/NPILookup?Npi=1710186473","1710186473")</f>
        <v>1710186473</v>
      </c>
      <c r="E8094" s="1" t="s">
        <v>3540</v>
      </c>
      <c r="F8094" s="2"/>
      <c r="G8094" s="2"/>
      <c r="H8094" s="2"/>
    </row>
    <row r="8095" spans="1:8" x14ac:dyDescent="0.25">
      <c r="A8095" s="1"/>
      <c r="B8095" s="1" t="s">
        <v>4823</v>
      </c>
      <c r="C8095" s="1" t="s">
        <v>4824</v>
      </c>
      <c r="D8095" s="22" t="str">
        <f>HYPERLINK("https://rhld.insurance.arkansas.gov/NPILookup?Npi=1710619085","1710619085")</f>
        <v>1710619085</v>
      </c>
      <c r="E8095" s="1" t="s">
        <v>31537</v>
      </c>
      <c r="F8095" s="2"/>
      <c r="G8095" s="2"/>
      <c r="H8095" s="2"/>
    </row>
    <row r="8096" spans="1:8" x14ac:dyDescent="0.25">
      <c r="A8096" s="1"/>
      <c r="B8096" s="1" t="s">
        <v>4823</v>
      </c>
      <c r="C8096" s="1" t="s">
        <v>4824</v>
      </c>
      <c r="D8096" s="22" t="str">
        <f>HYPERLINK("https://rhld.insurance.arkansas.gov/NPILookup?Npi=1710986930","1710986930")</f>
        <v>1710986930</v>
      </c>
      <c r="E8096" s="1" t="s">
        <v>18854</v>
      </c>
      <c r="F8096" s="2"/>
      <c r="G8096" s="2"/>
      <c r="H8096" s="2"/>
    </row>
    <row r="8097" spans="1:8" x14ac:dyDescent="0.25">
      <c r="A8097" s="1"/>
      <c r="B8097" s="1" t="s">
        <v>4823</v>
      </c>
      <c r="C8097" s="1" t="s">
        <v>4824</v>
      </c>
      <c r="D8097" s="22" t="str">
        <f>HYPERLINK("https://rhld.insurance.arkansas.gov/NPILookup?Npi=1710998729","1710998729")</f>
        <v>1710998729</v>
      </c>
      <c r="E8097" s="1" t="s">
        <v>18855</v>
      </c>
      <c r="F8097" s="2"/>
      <c r="G8097" s="2"/>
      <c r="H8097" s="2"/>
    </row>
    <row r="8098" spans="1:8" x14ac:dyDescent="0.25">
      <c r="A8098" s="1"/>
      <c r="B8098" s="1" t="s">
        <v>4823</v>
      </c>
      <c r="C8098" s="1" t="s">
        <v>4824</v>
      </c>
      <c r="D8098" s="22" t="str">
        <f>HYPERLINK("https://rhld.insurance.arkansas.gov/NPILookup?Npi=1720003155","1720003155")</f>
        <v>1720003155</v>
      </c>
      <c r="E8098" s="1" t="s">
        <v>18856</v>
      </c>
      <c r="F8098" s="2"/>
      <c r="G8098" s="2"/>
      <c r="H8098" s="2"/>
    </row>
    <row r="8099" spans="1:8" x14ac:dyDescent="0.25">
      <c r="A8099" s="1"/>
      <c r="B8099" s="1" t="s">
        <v>4823</v>
      </c>
      <c r="C8099" s="1" t="s">
        <v>4824</v>
      </c>
      <c r="D8099" s="22" t="str">
        <f>HYPERLINK("https://rhld.insurance.arkansas.gov/NPILookup?Npi=1720010648","1720010648")</f>
        <v>1720010648</v>
      </c>
      <c r="E8099" s="1" t="s">
        <v>10766</v>
      </c>
      <c r="F8099" s="2"/>
      <c r="G8099" s="2"/>
      <c r="H8099" s="2"/>
    </row>
    <row r="8100" spans="1:8" x14ac:dyDescent="0.25">
      <c r="A8100" s="1"/>
      <c r="B8100" s="1" t="s">
        <v>4823</v>
      </c>
      <c r="C8100" s="1" t="s">
        <v>4824</v>
      </c>
      <c r="D8100" s="22" t="str">
        <f>HYPERLINK("https://rhld.insurance.arkansas.gov/NPILookup?Npi=1720015373","1720015373")</f>
        <v>1720015373</v>
      </c>
      <c r="E8100" s="1" t="s">
        <v>18857</v>
      </c>
      <c r="F8100" s="2"/>
      <c r="G8100" s="2"/>
      <c r="H8100" s="2"/>
    </row>
    <row r="8101" spans="1:8" x14ac:dyDescent="0.25">
      <c r="A8101" s="1"/>
      <c r="B8101" s="1" t="s">
        <v>4823</v>
      </c>
      <c r="C8101" s="1" t="s">
        <v>4824</v>
      </c>
      <c r="D8101" s="22" t="str">
        <f>HYPERLINK("https://rhld.insurance.arkansas.gov/NPILookup?Npi=1720017577","1720017577")</f>
        <v>1720017577</v>
      </c>
      <c r="E8101" s="1" t="s">
        <v>3458</v>
      </c>
      <c r="F8101" s="2"/>
      <c r="G8101" s="2"/>
      <c r="H8101" s="2"/>
    </row>
    <row r="8102" spans="1:8" x14ac:dyDescent="0.25">
      <c r="A8102" s="1"/>
      <c r="B8102" s="1" t="s">
        <v>4823</v>
      </c>
      <c r="C8102" s="1" t="s">
        <v>4824</v>
      </c>
      <c r="D8102" s="22" t="str">
        <f>HYPERLINK("https://rhld.insurance.arkansas.gov/NPILookup?Npi=1720044894","1720044894")</f>
        <v>1720044894</v>
      </c>
      <c r="E8102" s="1" t="s">
        <v>18858</v>
      </c>
      <c r="F8102" s="2"/>
      <c r="G8102" s="2"/>
      <c r="H8102" s="2"/>
    </row>
    <row r="8103" spans="1:8" x14ac:dyDescent="0.25">
      <c r="A8103" s="1"/>
      <c r="B8103" s="1" t="s">
        <v>4823</v>
      </c>
      <c r="C8103" s="1" t="s">
        <v>4824</v>
      </c>
      <c r="D8103" s="22" t="str">
        <f>HYPERLINK("https://rhld.insurance.arkansas.gov/NPILookup?Npi=1720045230","1720045230")</f>
        <v>1720045230</v>
      </c>
      <c r="E8103" s="1" t="s">
        <v>18859</v>
      </c>
      <c r="F8103" s="2"/>
      <c r="G8103" s="2"/>
      <c r="H8103" s="2"/>
    </row>
    <row r="8104" spans="1:8" x14ac:dyDescent="0.25">
      <c r="A8104" s="1"/>
      <c r="B8104" s="1" t="s">
        <v>4823</v>
      </c>
      <c r="C8104" s="1" t="s">
        <v>4824</v>
      </c>
      <c r="D8104" s="22" t="str">
        <f>HYPERLINK("https://rhld.insurance.arkansas.gov/NPILookup?Npi=1720053382","1720053382")</f>
        <v>1720053382</v>
      </c>
      <c r="E8104" s="1" t="s">
        <v>445</v>
      </c>
      <c r="F8104" s="2"/>
      <c r="G8104" s="2"/>
      <c r="H8104" s="2"/>
    </row>
    <row r="8105" spans="1:8" x14ac:dyDescent="0.25">
      <c r="A8105" s="1"/>
      <c r="B8105" s="1" t="s">
        <v>4823</v>
      </c>
      <c r="C8105" s="1" t="s">
        <v>4824</v>
      </c>
      <c r="D8105" s="22" t="str">
        <f>HYPERLINK("https://rhld.insurance.arkansas.gov/NPILookup?Npi=1720053903","1720053903")</f>
        <v>1720053903</v>
      </c>
      <c r="E8105" s="1" t="s">
        <v>18860</v>
      </c>
      <c r="F8105" s="2"/>
      <c r="G8105" s="2"/>
      <c r="H8105" s="2"/>
    </row>
    <row r="8106" spans="1:8" x14ac:dyDescent="0.25">
      <c r="A8106" s="1"/>
      <c r="B8106" s="1" t="s">
        <v>4823</v>
      </c>
      <c r="C8106" s="1" t="s">
        <v>4824</v>
      </c>
      <c r="D8106" s="22" t="str">
        <f>HYPERLINK("https://rhld.insurance.arkansas.gov/NPILookup?Npi=1720109796","1720109796")</f>
        <v>1720109796</v>
      </c>
      <c r="E8106" s="1" t="s">
        <v>2682</v>
      </c>
      <c r="F8106" s="2"/>
      <c r="G8106" s="2"/>
      <c r="H8106" s="2"/>
    </row>
    <row r="8107" spans="1:8" x14ac:dyDescent="0.25">
      <c r="A8107" s="1"/>
      <c r="B8107" s="1" t="s">
        <v>4823</v>
      </c>
      <c r="C8107" s="1" t="s">
        <v>4824</v>
      </c>
      <c r="D8107" s="22" t="str">
        <f>HYPERLINK("https://rhld.insurance.arkansas.gov/NPILookup?Npi=1720309750","1720309750")</f>
        <v>1720309750</v>
      </c>
      <c r="E8107" s="1" t="s">
        <v>3541</v>
      </c>
      <c r="F8107" s="2"/>
      <c r="G8107" s="2"/>
      <c r="H8107" s="2"/>
    </row>
    <row r="8108" spans="1:8" x14ac:dyDescent="0.25">
      <c r="A8108" s="1"/>
      <c r="B8108" s="1" t="s">
        <v>4823</v>
      </c>
      <c r="C8108" s="1" t="s">
        <v>4824</v>
      </c>
      <c r="D8108" s="22" t="str">
        <f>HYPERLINK("https://rhld.insurance.arkansas.gov/NPILookup?Npi=1720434574","1720434574")</f>
        <v>1720434574</v>
      </c>
      <c r="E8108" s="1" t="s">
        <v>18861</v>
      </c>
      <c r="F8108" s="2"/>
      <c r="G8108" s="2"/>
      <c r="H8108" s="2"/>
    </row>
    <row r="8109" spans="1:8" x14ac:dyDescent="0.25">
      <c r="A8109" s="1"/>
      <c r="B8109" s="1" t="s">
        <v>4823</v>
      </c>
      <c r="C8109" s="1" t="s">
        <v>4824</v>
      </c>
      <c r="D8109" s="22" t="str">
        <f>HYPERLINK("https://rhld.insurance.arkansas.gov/NPILookup?Npi=1730104928","1730104928")</f>
        <v>1730104928</v>
      </c>
      <c r="E8109" s="1" t="s">
        <v>18862</v>
      </c>
      <c r="F8109" s="2"/>
      <c r="G8109" s="2"/>
      <c r="H8109" s="2"/>
    </row>
    <row r="8110" spans="1:8" x14ac:dyDescent="0.25">
      <c r="A8110" s="1"/>
      <c r="B8110" s="1" t="s">
        <v>4823</v>
      </c>
      <c r="C8110" s="1" t="s">
        <v>4824</v>
      </c>
      <c r="D8110" s="22" t="str">
        <f>HYPERLINK("https://rhld.insurance.arkansas.gov/NPILookup?Npi=1730111063","1730111063")</f>
        <v>1730111063</v>
      </c>
      <c r="E8110" s="1" t="s">
        <v>18863</v>
      </c>
      <c r="F8110" s="2"/>
      <c r="G8110" s="2"/>
      <c r="H8110" s="2"/>
    </row>
    <row r="8111" spans="1:8" x14ac:dyDescent="0.25">
      <c r="A8111" s="1"/>
      <c r="B8111" s="1" t="s">
        <v>4823</v>
      </c>
      <c r="C8111" s="1" t="s">
        <v>4824</v>
      </c>
      <c r="D8111" s="22" t="str">
        <f>HYPERLINK("https://rhld.insurance.arkansas.gov/NPILookup?Npi=1730184581","1730184581")</f>
        <v>1730184581</v>
      </c>
      <c r="E8111" s="1" t="s">
        <v>10767</v>
      </c>
      <c r="F8111" s="2"/>
      <c r="G8111" s="2"/>
      <c r="H8111" s="2"/>
    </row>
    <row r="8112" spans="1:8" x14ac:dyDescent="0.25">
      <c r="A8112" s="1"/>
      <c r="B8112" s="1" t="s">
        <v>4823</v>
      </c>
      <c r="C8112" s="1" t="s">
        <v>4824</v>
      </c>
      <c r="D8112" s="22" t="str">
        <f>HYPERLINK("https://rhld.insurance.arkansas.gov/NPILookup?Npi=1730610684","1730610684")</f>
        <v>1730610684</v>
      </c>
      <c r="E8112" s="1" t="s">
        <v>4882</v>
      </c>
      <c r="F8112" s="2"/>
      <c r="G8112" s="2"/>
      <c r="H8112" s="2"/>
    </row>
    <row r="8113" spans="1:8" x14ac:dyDescent="0.25">
      <c r="A8113" s="1"/>
      <c r="B8113" s="1" t="s">
        <v>4823</v>
      </c>
      <c r="C8113" s="1" t="s">
        <v>4824</v>
      </c>
      <c r="D8113" s="22" t="str">
        <f>HYPERLINK("https://rhld.insurance.arkansas.gov/NPILookup?Npi=1740224831","1740224831")</f>
        <v>1740224831</v>
      </c>
      <c r="E8113" s="1" t="s">
        <v>10768</v>
      </c>
      <c r="F8113" s="2"/>
      <c r="G8113" s="2"/>
      <c r="H8113" s="2"/>
    </row>
    <row r="8114" spans="1:8" x14ac:dyDescent="0.25">
      <c r="A8114" s="1"/>
      <c r="B8114" s="1" t="s">
        <v>4823</v>
      </c>
      <c r="C8114" s="1" t="s">
        <v>4824</v>
      </c>
      <c r="D8114" s="22" t="str">
        <f>HYPERLINK("https://rhld.insurance.arkansas.gov/NPILookup?Npi=1740278076","1740278076")</f>
        <v>1740278076</v>
      </c>
      <c r="E8114" s="1" t="s">
        <v>18864</v>
      </c>
      <c r="F8114" s="2"/>
      <c r="G8114" s="2"/>
      <c r="H8114" s="2"/>
    </row>
    <row r="8115" spans="1:8" x14ac:dyDescent="0.25">
      <c r="A8115" s="1"/>
      <c r="B8115" s="1" t="s">
        <v>4823</v>
      </c>
      <c r="C8115" s="1" t="s">
        <v>4824</v>
      </c>
      <c r="D8115" s="22" t="str">
        <f>HYPERLINK("https://rhld.insurance.arkansas.gov/NPILookup?Npi=1740498435","1740498435")</f>
        <v>1740498435</v>
      </c>
      <c r="E8115" s="1" t="s">
        <v>18865</v>
      </c>
      <c r="F8115" s="2"/>
      <c r="G8115" s="2"/>
      <c r="H8115" s="2"/>
    </row>
    <row r="8116" spans="1:8" x14ac:dyDescent="0.25">
      <c r="A8116" s="1"/>
      <c r="B8116" s="1" t="s">
        <v>4823</v>
      </c>
      <c r="C8116" s="1" t="s">
        <v>4824</v>
      </c>
      <c r="D8116" s="22" t="str">
        <f>HYPERLINK("https://rhld.insurance.arkansas.gov/NPILookup?Npi=1740609486","1740609486")</f>
        <v>1740609486</v>
      </c>
      <c r="E8116" s="1" t="s">
        <v>10769</v>
      </c>
      <c r="F8116" s="2"/>
      <c r="G8116" s="2"/>
      <c r="H8116" s="2"/>
    </row>
    <row r="8117" spans="1:8" x14ac:dyDescent="0.25">
      <c r="A8117" s="1"/>
      <c r="B8117" s="1" t="s">
        <v>4823</v>
      </c>
      <c r="C8117" s="1" t="s">
        <v>4824</v>
      </c>
      <c r="D8117" s="22" t="str">
        <f>HYPERLINK("https://rhld.insurance.arkansas.gov/NPILookup?Npi=1740829720","1740829720")</f>
        <v>1740829720</v>
      </c>
      <c r="E8117" s="1" t="s">
        <v>18866</v>
      </c>
      <c r="F8117" s="2"/>
      <c r="G8117" s="2"/>
      <c r="H8117" s="2"/>
    </row>
    <row r="8118" spans="1:8" x14ac:dyDescent="0.25">
      <c r="A8118" s="1"/>
      <c r="B8118" s="1" t="s">
        <v>4823</v>
      </c>
      <c r="C8118" s="1" t="s">
        <v>4824</v>
      </c>
      <c r="D8118" s="22" t="str">
        <f>HYPERLINK("https://rhld.insurance.arkansas.gov/NPILookup?Npi=1750306858","1750306858")</f>
        <v>1750306858</v>
      </c>
      <c r="E8118" s="1" t="s">
        <v>18867</v>
      </c>
      <c r="F8118" s="2"/>
      <c r="G8118" s="2"/>
      <c r="H8118" s="2"/>
    </row>
    <row r="8119" spans="1:8" x14ac:dyDescent="0.25">
      <c r="A8119" s="1"/>
      <c r="B8119" s="1" t="s">
        <v>4823</v>
      </c>
      <c r="C8119" s="1" t="s">
        <v>4824</v>
      </c>
      <c r="D8119" s="22" t="str">
        <f>HYPERLINK("https://rhld.insurance.arkansas.gov/NPILookup?Npi=1750327466","1750327466")</f>
        <v>1750327466</v>
      </c>
      <c r="E8119" s="1" t="s">
        <v>10770</v>
      </c>
      <c r="F8119" s="2"/>
      <c r="G8119" s="2"/>
      <c r="H8119" s="2"/>
    </row>
    <row r="8120" spans="1:8" x14ac:dyDescent="0.25">
      <c r="A8120" s="1"/>
      <c r="B8120" s="1" t="s">
        <v>4823</v>
      </c>
      <c r="C8120" s="1" t="s">
        <v>4824</v>
      </c>
      <c r="D8120" s="22" t="str">
        <f>HYPERLINK("https://rhld.insurance.arkansas.gov/NPILookup?Npi=1750349098","1750349098")</f>
        <v>1750349098</v>
      </c>
      <c r="E8120" s="1" t="s">
        <v>18868</v>
      </c>
      <c r="F8120" s="2"/>
      <c r="G8120" s="2"/>
      <c r="H8120" s="2"/>
    </row>
    <row r="8121" spans="1:8" x14ac:dyDescent="0.25">
      <c r="A8121" s="1"/>
      <c r="B8121" s="1" t="s">
        <v>4823</v>
      </c>
      <c r="C8121" s="1" t="s">
        <v>4824</v>
      </c>
      <c r="D8121" s="22" t="str">
        <f>HYPERLINK("https://rhld.insurance.arkansas.gov/NPILookup?Npi=1750356002","1750356002")</f>
        <v>1750356002</v>
      </c>
      <c r="E8121" s="1" t="s">
        <v>984</v>
      </c>
      <c r="F8121" s="2"/>
      <c r="G8121" s="2"/>
      <c r="H8121" s="2"/>
    </row>
    <row r="8122" spans="1:8" x14ac:dyDescent="0.25">
      <c r="A8122" s="1"/>
      <c r="B8122" s="1" t="s">
        <v>4823</v>
      </c>
      <c r="C8122" s="1" t="s">
        <v>4824</v>
      </c>
      <c r="D8122" s="22" t="str">
        <f>HYPERLINK("https://rhld.insurance.arkansas.gov/NPILookup?Npi=1750381158","1750381158")</f>
        <v>1750381158</v>
      </c>
      <c r="E8122" s="1" t="s">
        <v>3542</v>
      </c>
      <c r="F8122" s="2"/>
      <c r="G8122" s="2"/>
      <c r="H8122" s="2"/>
    </row>
    <row r="8123" spans="1:8" x14ac:dyDescent="0.25">
      <c r="A8123" s="1"/>
      <c r="B8123" s="1" t="s">
        <v>4823</v>
      </c>
      <c r="C8123" s="1" t="s">
        <v>4824</v>
      </c>
      <c r="D8123" s="22" t="str">
        <f>HYPERLINK("https://rhld.insurance.arkansas.gov/NPILookup?Npi=1750559233","1750559233")</f>
        <v>1750559233</v>
      </c>
      <c r="E8123" s="1" t="s">
        <v>10771</v>
      </c>
      <c r="F8123" s="2"/>
      <c r="G8123" s="2"/>
      <c r="H8123" s="2"/>
    </row>
    <row r="8124" spans="1:8" x14ac:dyDescent="0.25">
      <c r="A8124" s="1"/>
      <c r="B8124" s="1" t="s">
        <v>4823</v>
      </c>
      <c r="C8124" s="1" t="s">
        <v>4824</v>
      </c>
      <c r="D8124" s="22" t="str">
        <f>HYPERLINK("https://rhld.insurance.arkansas.gov/NPILookup?Npi=1750597829","1750597829")</f>
        <v>1750597829</v>
      </c>
      <c r="E8124" s="1" t="s">
        <v>18869</v>
      </c>
      <c r="F8124" s="2"/>
      <c r="G8124" s="2"/>
      <c r="H8124" s="2"/>
    </row>
    <row r="8125" spans="1:8" x14ac:dyDescent="0.25">
      <c r="A8125" s="1"/>
      <c r="B8125" s="1" t="s">
        <v>4823</v>
      </c>
      <c r="C8125" s="1" t="s">
        <v>4824</v>
      </c>
      <c r="D8125" s="22" t="str">
        <f>HYPERLINK("https://rhld.insurance.arkansas.gov/NPILookup?Npi=1750611190","1750611190")</f>
        <v>1750611190</v>
      </c>
      <c r="E8125" s="1" t="s">
        <v>10772</v>
      </c>
      <c r="F8125" s="2"/>
      <c r="G8125" s="2"/>
      <c r="H8125" s="2"/>
    </row>
    <row r="8126" spans="1:8" x14ac:dyDescent="0.25">
      <c r="A8126" s="1"/>
      <c r="B8126" s="1" t="s">
        <v>4823</v>
      </c>
      <c r="C8126" s="1" t="s">
        <v>4824</v>
      </c>
      <c r="D8126" s="22" t="str">
        <f>HYPERLINK("https://rhld.insurance.arkansas.gov/NPILookup?Npi=1750731329","1750731329")</f>
        <v>1750731329</v>
      </c>
      <c r="E8126" s="1" t="s">
        <v>18870</v>
      </c>
      <c r="F8126" s="2"/>
      <c r="G8126" s="2"/>
      <c r="H8126" s="2"/>
    </row>
    <row r="8127" spans="1:8" x14ac:dyDescent="0.25">
      <c r="A8127" s="1"/>
      <c r="B8127" s="1" t="s">
        <v>4823</v>
      </c>
      <c r="C8127" s="1" t="s">
        <v>4824</v>
      </c>
      <c r="D8127" s="22" t="str">
        <f>HYPERLINK("https://rhld.insurance.arkansas.gov/NPILookup?Npi=1750960787","1750960787")</f>
        <v>1750960787</v>
      </c>
      <c r="E8127" s="1" t="s">
        <v>31538</v>
      </c>
      <c r="F8127" s="2"/>
      <c r="G8127" s="2"/>
      <c r="H8127" s="2"/>
    </row>
    <row r="8128" spans="1:8" x14ac:dyDescent="0.25">
      <c r="A8128" s="1"/>
      <c r="B8128" s="1" t="s">
        <v>4823</v>
      </c>
      <c r="C8128" s="1" t="s">
        <v>4824</v>
      </c>
      <c r="D8128" s="22" t="str">
        <f>HYPERLINK("https://rhld.insurance.arkansas.gov/NPILookup?Npi=1760470439","1760470439")</f>
        <v>1760470439</v>
      </c>
      <c r="E8128" s="1" t="s">
        <v>18871</v>
      </c>
      <c r="F8128" s="2"/>
      <c r="G8128" s="2"/>
      <c r="H8128" s="2"/>
    </row>
    <row r="8129" spans="1:8" x14ac:dyDescent="0.25">
      <c r="A8129" s="1"/>
      <c r="B8129" s="1" t="s">
        <v>4823</v>
      </c>
      <c r="C8129" s="1" t="s">
        <v>4824</v>
      </c>
      <c r="D8129" s="22" t="str">
        <f>HYPERLINK("https://rhld.insurance.arkansas.gov/NPILookup?Npi=1760676860","1760676860")</f>
        <v>1760676860</v>
      </c>
      <c r="E8129" s="1" t="s">
        <v>18872</v>
      </c>
      <c r="F8129" s="2"/>
      <c r="G8129" s="2"/>
      <c r="H8129" s="2"/>
    </row>
    <row r="8130" spans="1:8" x14ac:dyDescent="0.25">
      <c r="A8130" s="1"/>
      <c r="B8130" s="1" t="s">
        <v>4823</v>
      </c>
      <c r="C8130" s="1" t="s">
        <v>4824</v>
      </c>
      <c r="D8130" s="22" t="str">
        <f>HYPERLINK("https://rhld.insurance.arkansas.gov/NPILookup?Npi=1760770671","1760770671")</f>
        <v>1760770671</v>
      </c>
      <c r="E8130" s="1" t="s">
        <v>18873</v>
      </c>
      <c r="F8130" s="2"/>
      <c r="G8130" s="2"/>
      <c r="H8130" s="2"/>
    </row>
    <row r="8131" spans="1:8" x14ac:dyDescent="0.25">
      <c r="A8131" s="1"/>
      <c r="B8131" s="1" t="s">
        <v>4823</v>
      </c>
      <c r="C8131" s="1" t="s">
        <v>4824</v>
      </c>
      <c r="D8131" s="22" t="str">
        <f>HYPERLINK("https://rhld.insurance.arkansas.gov/NPILookup?Npi=1760917850","1760917850")</f>
        <v>1760917850</v>
      </c>
      <c r="E8131" s="1" t="s">
        <v>4884</v>
      </c>
      <c r="F8131" s="2"/>
      <c r="G8131" s="2"/>
      <c r="H8131" s="2"/>
    </row>
    <row r="8132" spans="1:8" x14ac:dyDescent="0.25">
      <c r="A8132" s="1"/>
      <c r="B8132" s="1" t="s">
        <v>4823</v>
      </c>
      <c r="C8132" s="1" t="s">
        <v>4824</v>
      </c>
      <c r="D8132" s="22" t="str">
        <f>HYPERLINK("https://rhld.insurance.arkansas.gov/NPILookup?Npi=1760973804","1760973804")</f>
        <v>1760973804</v>
      </c>
      <c r="E8132" s="1" t="s">
        <v>10773</v>
      </c>
      <c r="F8132" s="2"/>
      <c r="G8132" s="2"/>
      <c r="H8132" s="2"/>
    </row>
    <row r="8133" spans="1:8" x14ac:dyDescent="0.25">
      <c r="A8133" s="1"/>
      <c r="B8133" s="1" t="s">
        <v>4823</v>
      </c>
      <c r="C8133" s="1" t="s">
        <v>4824</v>
      </c>
      <c r="D8133" s="22" t="str">
        <f>HYPERLINK("https://rhld.insurance.arkansas.gov/NPILookup?Npi=1770275935","1770275935")</f>
        <v>1770275935</v>
      </c>
      <c r="E8133" s="1" t="s">
        <v>18874</v>
      </c>
      <c r="F8133" s="2"/>
      <c r="G8133" s="2"/>
      <c r="H8133" s="2"/>
    </row>
    <row r="8134" spans="1:8" x14ac:dyDescent="0.25">
      <c r="A8134" s="1"/>
      <c r="B8134" s="1" t="s">
        <v>4823</v>
      </c>
      <c r="C8134" s="1" t="s">
        <v>4824</v>
      </c>
      <c r="D8134" s="22" t="str">
        <f>HYPERLINK("https://rhld.insurance.arkansas.gov/NPILookup?Npi=1770512857","1770512857")</f>
        <v>1770512857</v>
      </c>
      <c r="E8134" s="1" t="s">
        <v>4885</v>
      </c>
      <c r="F8134" s="2"/>
      <c r="G8134" s="2"/>
      <c r="H8134" s="2"/>
    </row>
    <row r="8135" spans="1:8" x14ac:dyDescent="0.25">
      <c r="A8135" s="1"/>
      <c r="B8135" s="1" t="s">
        <v>4823</v>
      </c>
      <c r="C8135" s="1" t="s">
        <v>4824</v>
      </c>
      <c r="D8135" s="22" t="str">
        <f>HYPERLINK("https://rhld.insurance.arkansas.gov/NPILookup?Npi=1770841314","1770841314")</f>
        <v>1770841314</v>
      </c>
      <c r="E8135" s="1" t="s">
        <v>2914</v>
      </c>
      <c r="F8135" s="2"/>
      <c r="G8135" s="2"/>
      <c r="H8135" s="2"/>
    </row>
    <row r="8136" spans="1:8" x14ac:dyDescent="0.25">
      <c r="A8136" s="1"/>
      <c r="B8136" s="1" t="s">
        <v>4823</v>
      </c>
      <c r="C8136" s="1" t="s">
        <v>4824</v>
      </c>
      <c r="D8136" s="22" t="str">
        <f>HYPERLINK("https://rhld.insurance.arkansas.gov/NPILookup?Npi=1780108456","1780108456")</f>
        <v>1780108456</v>
      </c>
      <c r="E8136" s="1" t="s">
        <v>18875</v>
      </c>
      <c r="F8136" s="2"/>
      <c r="G8136" s="2"/>
      <c r="H8136" s="2"/>
    </row>
    <row r="8137" spans="1:8" x14ac:dyDescent="0.25">
      <c r="A8137" s="1"/>
      <c r="B8137" s="1" t="s">
        <v>4823</v>
      </c>
      <c r="C8137" s="1" t="s">
        <v>4824</v>
      </c>
      <c r="D8137" s="22" t="str">
        <f>HYPERLINK("https://rhld.insurance.arkansas.gov/NPILookup?Npi=1780146522","1780146522")</f>
        <v>1780146522</v>
      </c>
      <c r="E8137" s="1" t="s">
        <v>10774</v>
      </c>
      <c r="F8137" s="2"/>
      <c r="G8137" s="2"/>
      <c r="H8137" s="2"/>
    </row>
    <row r="8138" spans="1:8" x14ac:dyDescent="0.25">
      <c r="A8138" s="1"/>
      <c r="B8138" s="1" t="s">
        <v>4823</v>
      </c>
      <c r="C8138" s="1" t="s">
        <v>4824</v>
      </c>
      <c r="D8138" s="22" t="str">
        <f>HYPERLINK("https://rhld.insurance.arkansas.gov/NPILookup?Npi=1780207662","1780207662")</f>
        <v>1780207662</v>
      </c>
      <c r="E8138" s="1" t="s">
        <v>18876</v>
      </c>
      <c r="F8138" s="2"/>
      <c r="G8138" s="2"/>
      <c r="H8138" s="2"/>
    </row>
    <row r="8139" spans="1:8" x14ac:dyDescent="0.25">
      <c r="A8139" s="1"/>
      <c r="B8139" s="1" t="s">
        <v>4823</v>
      </c>
      <c r="C8139" s="1" t="s">
        <v>4824</v>
      </c>
      <c r="D8139" s="22" t="str">
        <f>HYPERLINK("https://rhld.insurance.arkansas.gov/NPILookup?Npi=1780626762","1780626762")</f>
        <v>1780626762</v>
      </c>
      <c r="E8139" s="1" t="s">
        <v>4886</v>
      </c>
      <c r="F8139" s="2"/>
      <c r="G8139" s="2"/>
      <c r="H8139" s="2"/>
    </row>
    <row r="8140" spans="1:8" x14ac:dyDescent="0.25">
      <c r="A8140" s="1"/>
      <c r="B8140" s="1" t="s">
        <v>4823</v>
      </c>
      <c r="C8140" s="1" t="s">
        <v>4824</v>
      </c>
      <c r="D8140" s="22" t="str">
        <f>HYPERLINK("https://rhld.insurance.arkansas.gov/NPILookup?Npi=1780629147","1780629147")</f>
        <v>1780629147</v>
      </c>
      <c r="E8140" s="1" t="s">
        <v>10775</v>
      </c>
      <c r="F8140" s="2"/>
      <c r="G8140" s="2"/>
      <c r="H8140" s="2"/>
    </row>
    <row r="8141" spans="1:8" x14ac:dyDescent="0.25">
      <c r="A8141" s="1"/>
      <c r="B8141" s="1" t="s">
        <v>4823</v>
      </c>
      <c r="C8141" s="1" t="s">
        <v>4824</v>
      </c>
      <c r="D8141" s="22" t="str">
        <f>HYPERLINK("https://rhld.insurance.arkansas.gov/NPILookup?Npi=1780642447","1780642447")</f>
        <v>1780642447</v>
      </c>
      <c r="E8141" s="1" t="s">
        <v>18877</v>
      </c>
      <c r="F8141" s="2"/>
      <c r="G8141" s="2"/>
      <c r="H8141" s="2"/>
    </row>
    <row r="8142" spans="1:8" x14ac:dyDescent="0.25">
      <c r="A8142" s="1"/>
      <c r="B8142" s="1" t="s">
        <v>4823</v>
      </c>
      <c r="C8142" s="1" t="s">
        <v>4824</v>
      </c>
      <c r="D8142" s="22" t="str">
        <f>HYPERLINK("https://rhld.insurance.arkansas.gov/NPILookup?Npi=1780643346","1780643346")</f>
        <v>1780643346</v>
      </c>
      <c r="E8142" s="1" t="s">
        <v>18878</v>
      </c>
      <c r="F8142" s="2"/>
      <c r="G8142" s="2"/>
      <c r="H8142" s="2"/>
    </row>
    <row r="8143" spans="1:8" x14ac:dyDescent="0.25">
      <c r="A8143" s="1"/>
      <c r="B8143" s="1" t="s">
        <v>4823</v>
      </c>
      <c r="C8143" s="1" t="s">
        <v>4824</v>
      </c>
      <c r="D8143" s="22" t="str">
        <f>HYPERLINK("https://rhld.insurance.arkansas.gov/NPILookup?Npi=1780764290","1780764290")</f>
        <v>1780764290</v>
      </c>
      <c r="E8143" s="1" t="s">
        <v>10776</v>
      </c>
      <c r="F8143" s="2"/>
      <c r="G8143" s="2"/>
      <c r="H8143" s="2"/>
    </row>
    <row r="8144" spans="1:8" x14ac:dyDescent="0.25">
      <c r="A8144" s="1"/>
      <c r="B8144" s="1" t="s">
        <v>4823</v>
      </c>
      <c r="C8144" s="1" t="s">
        <v>4824</v>
      </c>
      <c r="D8144" s="22" t="str">
        <f>HYPERLINK("https://rhld.insurance.arkansas.gov/NPILookup?Npi=1780845859","1780845859")</f>
        <v>1780845859</v>
      </c>
      <c r="E8144" s="1" t="s">
        <v>18879</v>
      </c>
      <c r="F8144" s="2"/>
      <c r="G8144" s="2"/>
      <c r="H8144" s="2"/>
    </row>
    <row r="8145" spans="1:8" x14ac:dyDescent="0.25">
      <c r="A8145" s="1"/>
      <c r="B8145" s="1" t="s">
        <v>4823</v>
      </c>
      <c r="C8145" s="1" t="s">
        <v>4824</v>
      </c>
      <c r="D8145" s="22" t="str">
        <f>HYPERLINK("https://rhld.insurance.arkansas.gov/NPILookup?Npi=1780889766","1780889766")</f>
        <v>1780889766</v>
      </c>
      <c r="E8145" s="1" t="s">
        <v>13554</v>
      </c>
      <c r="F8145" s="2"/>
      <c r="G8145" s="2"/>
      <c r="H8145" s="2"/>
    </row>
    <row r="8146" spans="1:8" x14ac:dyDescent="0.25">
      <c r="A8146" s="1"/>
      <c r="B8146" s="1" t="s">
        <v>4823</v>
      </c>
      <c r="C8146" s="1" t="s">
        <v>4824</v>
      </c>
      <c r="D8146" s="22" t="str">
        <f>HYPERLINK("https://rhld.insurance.arkansas.gov/NPILookup?Npi=1780979930","1780979930")</f>
        <v>1780979930</v>
      </c>
      <c r="E8146" s="1" t="s">
        <v>18880</v>
      </c>
      <c r="F8146" s="2"/>
      <c r="G8146" s="2"/>
      <c r="H8146" s="2"/>
    </row>
    <row r="8147" spans="1:8" x14ac:dyDescent="0.25">
      <c r="A8147" s="1"/>
      <c r="B8147" s="1" t="s">
        <v>4823</v>
      </c>
      <c r="C8147" s="1" t="s">
        <v>4824</v>
      </c>
      <c r="D8147" s="22" t="str">
        <f>HYPERLINK("https://rhld.insurance.arkansas.gov/NPILookup?Npi=1790712099","1790712099")</f>
        <v>1790712099</v>
      </c>
      <c r="E8147" s="1" t="s">
        <v>18881</v>
      </c>
      <c r="F8147" s="2"/>
      <c r="G8147" s="2"/>
      <c r="H8147" s="2"/>
    </row>
    <row r="8148" spans="1:8" x14ac:dyDescent="0.25">
      <c r="A8148" s="1"/>
      <c r="B8148" s="1" t="s">
        <v>4823</v>
      </c>
      <c r="C8148" s="1" t="s">
        <v>4824</v>
      </c>
      <c r="D8148" s="22" t="str">
        <f>HYPERLINK("https://rhld.insurance.arkansas.gov/NPILookup?Npi=1790722999","1790722999")</f>
        <v>1790722999</v>
      </c>
      <c r="E8148" s="1" t="s">
        <v>4887</v>
      </c>
      <c r="F8148" s="2"/>
      <c r="G8148" s="2"/>
      <c r="H8148" s="2"/>
    </row>
    <row r="8149" spans="1:8" x14ac:dyDescent="0.25">
      <c r="A8149" s="1"/>
      <c r="B8149" s="1" t="s">
        <v>4823</v>
      </c>
      <c r="C8149" s="1" t="s">
        <v>4824</v>
      </c>
      <c r="D8149" s="22" t="str">
        <f>HYPERLINK("https://rhld.insurance.arkansas.gov/NPILookup?Npi=1790745685","1790745685")</f>
        <v>1790745685</v>
      </c>
      <c r="E8149" s="1" t="s">
        <v>18882</v>
      </c>
      <c r="F8149" s="2"/>
      <c r="G8149" s="2"/>
      <c r="H8149" s="2"/>
    </row>
    <row r="8150" spans="1:8" x14ac:dyDescent="0.25">
      <c r="A8150" s="1"/>
      <c r="B8150" s="1" t="s">
        <v>4823</v>
      </c>
      <c r="C8150" s="1" t="s">
        <v>4824</v>
      </c>
      <c r="D8150" s="22" t="str">
        <f>HYPERLINK("https://rhld.insurance.arkansas.gov/NPILookup?Npi=1790880896","1790880896")</f>
        <v>1790880896</v>
      </c>
      <c r="E8150" s="1" t="s">
        <v>18122</v>
      </c>
      <c r="F8150" s="2"/>
      <c r="G8150" s="2"/>
      <c r="H8150" s="2"/>
    </row>
    <row r="8151" spans="1:8" x14ac:dyDescent="0.25">
      <c r="A8151" s="1"/>
      <c r="B8151" s="1" t="s">
        <v>4823</v>
      </c>
      <c r="C8151" s="1" t="s">
        <v>4824</v>
      </c>
      <c r="D8151" s="22" t="str">
        <f>HYPERLINK("https://rhld.insurance.arkansas.gov/NPILookup?Npi=1801020177","1801020177")</f>
        <v>1801020177</v>
      </c>
      <c r="E8151" s="1" t="s">
        <v>18883</v>
      </c>
      <c r="F8151" s="2"/>
      <c r="G8151" s="2"/>
      <c r="H8151" s="2"/>
    </row>
    <row r="8152" spans="1:8" x14ac:dyDescent="0.25">
      <c r="A8152" s="1"/>
      <c r="B8152" s="1" t="s">
        <v>4823</v>
      </c>
      <c r="C8152" s="1" t="s">
        <v>4824</v>
      </c>
      <c r="D8152" s="22" t="str">
        <f>HYPERLINK("https://rhld.insurance.arkansas.gov/NPILookup?Npi=1801095195","1801095195")</f>
        <v>1801095195</v>
      </c>
      <c r="E8152" s="1" t="s">
        <v>4889</v>
      </c>
      <c r="F8152" s="2"/>
      <c r="G8152" s="2"/>
      <c r="H8152" s="2"/>
    </row>
    <row r="8153" spans="1:8" x14ac:dyDescent="0.25">
      <c r="A8153" s="1"/>
      <c r="B8153" s="1" t="s">
        <v>4823</v>
      </c>
      <c r="C8153" s="1" t="s">
        <v>4824</v>
      </c>
      <c r="D8153" s="22" t="str">
        <f>HYPERLINK("https://rhld.insurance.arkansas.gov/NPILookup?Npi=1801188792","1801188792")</f>
        <v>1801188792</v>
      </c>
      <c r="E8153" s="1" t="s">
        <v>18884</v>
      </c>
      <c r="F8153" s="2"/>
      <c r="G8153" s="2"/>
      <c r="H8153" s="2"/>
    </row>
    <row r="8154" spans="1:8" x14ac:dyDescent="0.25">
      <c r="A8154" s="1"/>
      <c r="B8154" s="1" t="s">
        <v>4823</v>
      </c>
      <c r="C8154" s="1" t="s">
        <v>4824</v>
      </c>
      <c r="D8154" s="22" t="str">
        <f>HYPERLINK("https://rhld.insurance.arkansas.gov/NPILookup?Npi=1801811237","1801811237")</f>
        <v>1801811237</v>
      </c>
      <c r="E8154" s="1" t="s">
        <v>18575</v>
      </c>
      <c r="F8154" s="2"/>
      <c r="G8154" s="2"/>
      <c r="H8154" s="2"/>
    </row>
    <row r="8155" spans="1:8" x14ac:dyDescent="0.25">
      <c r="A8155" s="1"/>
      <c r="B8155" s="1" t="s">
        <v>4823</v>
      </c>
      <c r="C8155" s="1" t="s">
        <v>4824</v>
      </c>
      <c r="D8155" s="22" t="str">
        <f>HYPERLINK("https://rhld.insurance.arkansas.gov/NPILookup?Npi=1801847736","1801847736")</f>
        <v>1801847736</v>
      </c>
      <c r="E8155" s="1" t="s">
        <v>18885</v>
      </c>
      <c r="F8155" s="2"/>
      <c r="G8155" s="2"/>
      <c r="H8155" s="2"/>
    </row>
    <row r="8156" spans="1:8" x14ac:dyDescent="0.25">
      <c r="A8156" s="1"/>
      <c r="B8156" s="1" t="s">
        <v>4823</v>
      </c>
      <c r="C8156" s="1" t="s">
        <v>4824</v>
      </c>
      <c r="D8156" s="22" t="str">
        <f>HYPERLINK("https://rhld.insurance.arkansas.gov/NPILookup?Npi=1801854062","1801854062")</f>
        <v>1801854062</v>
      </c>
      <c r="E8156" s="1" t="s">
        <v>18886</v>
      </c>
      <c r="F8156" s="2"/>
      <c r="G8156" s="2"/>
      <c r="H8156" s="2"/>
    </row>
    <row r="8157" spans="1:8" x14ac:dyDescent="0.25">
      <c r="A8157" s="1"/>
      <c r="B8157" s="1" t="s">
        <v>4823</v>
      </c>
      <c r="C8157" s="1" t="s">
        <v>4824</v>
      </c>
      <c r="D8157" s="22" t="str">
        <f>HYPERLINK("https://rhld.insurance.arkansas.gov/NPILookup?Npi=1801893169","1801893169")</f>
        <v>1801893169</v>
      </c>
      <c r="E8157" s="1" t="s">
        <v>3544</v>
      </c>
      <c r="F8157" s="2"/>
      <c r="G8157" s="2"/>
      <c r="H8157" s="2"/>
    </row>
    <row r="8158" spans="1:8" x14ac:dyDescent="0.25">
      <c r="A8158" s="1"/>
      <c r="B8158" s="1" t="s">
        <v>4823</v>
      </c>
      <c r="C8158" s="1" t="s">
        <v>4824</v>
      </c>
      <c r="D8158" s="22" t="str">
        <f>HYPERLINK("https://rhld.insurance.arkansas.gov/NPILookup?Npi=1811018880","1811018880")</f>
        <v>1811018880</v>
      </c>
      <c r="E8158" s="1" t="s">
        <v>18887</v>
      </c>
      <c r="F8158" s="2"/>
      <c r="G8158" s="2"/>
      <c r="H8158" s="2"/>
    </row>
    <row r="8159" spans="1:8" x14ac:dyDescent="0.25">
      <c r="A8159" s="1"/>
      <c r="B8159" s="1" t="s">
        <v>4823</v>
      </c>
      <c r="C8159" s="1" t="s">
        <v>4824</v>
      </c>
      <c r="D8159" s="22" t="str">
        <f>HYPERLINK("https://rhld.insurance.arkansas.gov/NPILookup?Npi=1811124621","1811124621")</f>
        <v>1811124621</v>
      </c>
      <c r="E8159" s="1" t="s">
        <v>4890</v>
      </c>
      <c r="F8159" s="2"/>
      <c r="G8159" s="2"/>
      <c r="H8159" s="2"/>
    </row>
    <row r="8160" spans="1:8" x14ac:dyDescent="0.25">
      <c r="A8160" s="1"/>
      <c r="B8160" s="1" t="s">
        <v>4823</v>
      </c>
      <c r="C8160" s="1" t="s">
        <v>4824</v>
      </c>
      <c r="D8160" s="22" t="str">
        <f>HYPERLINK("https://rhld.insurance.arkansas.gov/NPILookup?Npi=1811160690","1811160690")</f>
        <v>1811160690</v>
      </c>
      <c r="E8160" s="1" t="s">
        <v>18888</v>
      </c>
      <c r="F8160" s="2"/>
      <c r="G8160" s="2"/>
      <c r="H8160" s="2"/>
    </row>
    <row r="8161" spans="1:8" x14ac:dyDescent="0.25">
      <c r="A8161" s="1"/>
      <c r="B8161" s="1" t="s">
        <v>4823</v>
      </c>
      <c r="C8161" s="1" t="s">
        <v>4824</v>
      </c>
      <c r="D8161" s="22" t="str">
        <f>HYPERLINK("https://rhld.insurance.arkansas.gov/NPILookup?Npi=1811330897","1811330897")</f>
        <v>1811330897</v>
      </c>
      <c r="E8161" s="1" t="s">
        <v>18889</v>
      </c>
      <c r="F8161" s="2"/>
      <c r="G8161" s="2"/>
      <c r="H8161" s="2"/>
    </row>
    <row r="8162" spans="1:8" x14ac:dyDescent="0.25">
      <c r="A8162" s="1"/>
      <c r="B8162" s="1" t="s">
        <v>4823</v>
      </c>
      <c r="C8162" s="1" t="s">
        <v>4824</v>
      </c>
      <c r="D8162" s="22" t="str">
        <f>HYPERLINK("https://rhld.insurance.arkansas.gov/NPILookup?Npi=1811332638","1811332638")</f>
        <v>1811332638</v>
      </c>
      <c r="E8162" s="1" t="s">
        <v>18890</v>
      </c>
      <c r="F8162" s="2"/>
      <c r="G8162" s="2"/>
      <c r="H8162" s="2"/>
    </row>
    <row r="8163" spans="1:8" x14ac:dyDescent="0.25">
      <c r="A8163" s="1"/>
      <c r="B8163" s="1" t="s">
        <v>4823</v>
      </c>
      <c r="C8163" s="1" t="s">
        <v>4824</v>
      </c>
      <c r="D8163" s="22" t="str">
        <f>HYPERLINK("https://rhld.insurance.arkansas.gov/NPILookup?Npi=1811458938","1811458938")</f>
        <v>1811458938</v>
      </c>
      <c r="E8163" s="1" t="s">
        <v>4891</v>
      </c>
      <c r="F8163" s="2"/>
      <c r="G8163" s="2"/>
      <c r="H8163" s="2"/>
    </row>
    <row r="8164" spans="1:8" x14ac:dyDescent="0.25">
      <c r="A8164" s="1"/>
      <c r="B8164" s="1" t="s">
        <v>4823</v>
      </c>
      <c r="C8164" s="1" t="s">
        <v>4824</v>
      </c>
      <c r="D8164" s="22" t="str">
        <f>HYPERLINK("https://rhld.insurance.arkansas.gov/NPILookup?Npi=1811493646","1811493646")</f>
        <v>1811493646</v>
      </c>
      <c r="E8164" s="1" t="s">
        <v>10777</v>
      </c>
      <c r="F8164" s="2"/>
      <c r="G8164" s="2"/>
      <c r="H8164" s="2"/>
    </row>
    <row r="8165" spans="1:8" x14ac:dyDescent="0.25">
      <c r="A8165" s="1"/>
      <c r="B8165" s="1" t="s">
        <v>4823</v>
      </c>
      <c r="C8165" s="1" t="s">
        <v>4824</v>
      </c>
      <c r="D8165" s="22" t="str">
        <f>HYPERLINK("https://rhld.insurance.arkansas.gov/NPILookup?Npi=1811922016","1811922016")</f>
        <v>1811922016</v>
      </c>
      <c r="E8165" s="1" t="s">
        <v>18891</v>
      </c>
      <c r="F8165" s="2"/>
      <c r="G8165" s="2"/>
      <c r="H8165" s="2"/>
    </row>
    <row r="8166" spans="1:8" x14ac:dyDescent="0.25">
      <c r="A8166" s="1"/>
      <c r="B8166" s="1" t="s">
        <v>4823</v>
      </c>
      <c r="C8166" s="1" t="s">
        <v>4824</v>
      </c>
      <c r="D8166" s="22" t="str">
        <f>HYPERLINK("https://rhld.insurance.arkansas.gov/NPILookup?Npi=1811935927","1811935927")</f>
        <v>1811935927</v>
      </c>
      <c r="E8166" s="1" t="s">
        <v>2283</v>
      </c>
      <c r="F8166" s="2"/>
      <c r="G8166" s="2"/>
      <c r="H8166" s="2"/>
    </row>
    <row r="8167" spans="1:8" x14ac:dyDescent="0.25">
      <c r="A8167" s="1"/>
      <c r="B8167" s="1" t="s">
        <v>4823</v>
      </c>
      <c r="C8167" s="1" t="s">
        <v>4824</v>
      </c>
      <c r="D8167" s="22" t="str">
        <f>HYPERLINK("https://rhld.insurance.arkansas.gov/NPILookup?Npi=1811989098","1811989098")</f>
        <v>1811989098</v>
      </c>
      <c r="E8167" s="1" t="s">
        <v>31539</v>
      </c>
      <c r="F8167" s="2"/>
      <c r="G8167" s="2"/>
      <c r="H8167" s="2"/>
    </row>
    <row r="8168" spans="1:8" x14ac:dyDescent="0.25">
      <c r="A8168" s="1"/>
      <c r="B8168" s="1" t="s">
        <v>4823</v>
      </c>
      <c r="C8168" s="1" t="s">
        <v>4824</v>
      </c>
      <c r="D8168" s="22" t="str">
        <f>HYPERLINK("https://rhld.insurance.arkansas.gov/NPILookup?Npi=1821030958","1821030958")</f>
        <v>1821030958</v>
      </c>
      <c r="E8168" s="1" t="s">
        <v>18892</v>
      </c>
      <c r="F8168" s="2"/>
      <c r="G8168" s="2"/>
      <c r="H8168" s="2"/>
    </row>
    <row r="8169" spans="1:8" x14ac:dyDescent="0.25">
      <c r="A8169" s="1"/>
      <c r="B8169" s="1" t="s">
        <v>4823</v>
      </c>
      <c r="C8169" s="1" t="s">
        <v>4824</v>
      </c>
      <c r="D8169" s="22" t="str">
        <f>HYPERLINK("https://rhld.insurance.arkansas.gov/NPILookup?Npi=1821037417","1821037417")</f>
        <v>1821037417</v>
      </c>
      <c r="E8169" s="1" t="s">
        <v>3553</v>
      </c>
      <c r="F8169" s="2"/>
      <c r="G8169" s="2"/>
      <c r="H8169" s="2"/>
    </row>
    <row r="8170" spans="1:8" x14ac:dyDescent="0.25">
      <c r="A8170" s="1"/>
      <c r="B8170" s="1" t="s">
        <v>4823</v>
      </c>
      <c r="C8170" s="1" t="s">
        <v>4824</v>
      </c>
      <c r="D8170" s="22" t="str">
        <f>HYPERLINK("https://rhld.insurance.arkansas.gov/NPILookup?Npi=1821086356","1821086356")</f>
        <v>1821086356</v>
      </c>
      <c r="E8170" s="1" t="s">
        <v>2284</v>
      </c>
      <c r="F8170" s="2"/>
      <c r="G8170" s="2"/>
      <c r="H8170" s="2"/>
    </row>
    <row r="8171" spans="1:8" x14ac:dyDescent="0.25">
      <c r="A8171" s="1"/>
      <c r="B8171" s="1" t="s">
        <v>4823</v>
      </c>
      <c r="C8171" s="1" t="s">
        <v>4824</v>
      </c>
      <c r="D8171" s="22" t="str">
        <f>HYPERLINK("https://rhld.insurance.arkansas.gov/NPILookup?Npi=1821096603","1821096603")</f>
        <v>1821096603</v>
      </c>
      <c r="E8171" s="1" t="s">
        <v>18893</v>
      </c>
      <c r="F8171" s="2"/>
      <c r="G8171" s="2"/>
      <c r="H8171" s="2"/>
    </row>
    <row r="8172" spans="1:8" x14ac:dyDescent="0.25">
      <c r="A8172" s="1"/>
      <c r="B8172" s="1" t="s">
        <v>4823</v>
      </c>
      <c r="C8172" s="1" t="s">
        <v>4824</v>
      </c>
      <c r="D8172" s="22" t="str">
        <f>HYPERLINK("https://rhld.insurance.arkansas.gov/NPILookup?Npi=1821099326","1821099326")</f>
        <v>1821099326</v>
      </c>
      <c r="E8172" s="1" t="s">
        <v>18894</v>
      </c>
      <c r="F8172" s="2"/>
      <c r="G8172" s="2"/>
      <c r="H8172" s="2"/>
    </row>
    <row r="8173" spans="1:8" x14ac:dyDescent="0.25">
      <c r="A8173" s="1"/>
      <c r="B8173" s="1" t="s">
        <v>4823</v>
      </c>
      <c r="C8173" s="1" t="s">
        <v>4824</v>
      </c>
      <c r="D8173" s="22" t="str">
        <f>HYPERLINK("https://rhld.insurance.arkansas.gov/NPILookup?Npi=1821170481","1821170481")</f>
        <v>1821170481</v>
      </c>
      <c r="E8173" s="1" t="s">
        <v>18895</v>
      </c>
      <c r="F8173" s="2"/>
      <c r="G8173" s="2"/>
      <c r="H8173" s="2"/>
    </row>
    <row r="8174" spans="1:8" x14ac:dyDescent="0.25">
      <c r="A8174" s="1"/>
      <c r="B8174" s="1" t="s">
        <v>4823</v>
      </c>
      <c r="C8174" s="1" t="s">
        <v>4824</v>
      </c>
      <c r="D8174" s="22" t="str">
        <f>HYPERLINK("https://rhld.insurance.arkansas.gov/NPILookup?Npi=1821334327","1821334327")</f>
        <v>1821334327</v>
      </c>
      <c r="E8174" s="1" t="s">
        <v>18896</v>
      </c>
      <c r="F8174" s="2"/>
      <c r="G8174" s="2"/>
      <c r="H8174" s="2"/>
    </row>
    <row r="8175" spans="1:8" x14ac:dyDescent="0.25">
      <c r="A8175" s="1"/>
      <c r="B8175" s="1" t="s">
        <v>4823</v>
      </c>
      <c r="C8175" s="1" t="s">
        <v>4824</v>
      </c>
      <c r="D8175" s="22" t="str">
        <f>HYPERLINK("https://rhld.insurance.arkansas.gov/NPILookup?Npi=1821355421","1821355421")</f>
        <v>1821355421</v>
      </c>
      <c r="E8175" s="1" t="s">
        <v>4893</v>
      </c>
      <c r="F8175" s="2"/>
      <c r="G8175" s="2"/>
      <c r="H8175" s="2"/>
    </row>
    <row r="8176" spans="1:8" x14ac:dyDescent="0.25">
      <c r="A8176" s="1"/>
      <c r="B8176" s="1" t="s">
        <v>4823</v>
      </c>
      <c r="C8176" s="1" t="s">
        <v>4824</v>
      </c>
      <c r="D8176" s="22" t="str">
        <f>HYPERLINK("https://rhld.insurance.arkansas.gov/NPILookup?Npi=1821417890","1821417890")</f>
        <v>1821417890</v>
      </c>
      <c r="E8176" s="1" t="s">
        <v>1916</v>
      </c>
      <c r="F8176" s="2"/>
      <c r="G8176" s="2"/>
      <c r="H8176" s="2"/>
    </row>
    <row r="8177" spans="1:8" x14ac:dyDescent="0.25">
      <c r="A8177" s="1"/>
      <c r="B8177" s="1" t="s">
        <v>4823</v>
      </c>
      <c r="C8177" s="1" t="s">
        <v>4824</v>
      </c>
      <c r="D8177" s="22" t="str">
        <f>HYPERLINK("https://rhld.insurance.arkansas.gov/NPILookup?Npi=1821558065","1821558065")</f>
        <v>1821558065</v>
      </c>
      <c r="E8177" s="1" t="s">
        <v>4894</v>
      </c>
      <c r="F8177" s="2"/>
      <c r="G8177" s="2"/>
      <c r="H8177" s="2"/>
    </row>
    <row r="8178" spans="1:8" x14ac:dyDescent="0.25">
      <c r="A8178" s="1"/>
      <c r="B8178" s="1" t="s">
        <v>4823</v>
      </c>
      <c r="C8178" s="1" t="s">
        <v>4824</v>
      </c>
      <c r="D8178" s="22" t="str">
        <f>HYPERLINK("https://rhld.insurance.arkansas.gov/NPILookup?Npi=1821870528","1821870528")</f>
        <v>1821870528</v>
      </c>
      <c r="E8178" s="1" t="s">
        <v>4895</v>
      </c>
      <c r="F8178" s="2"/>
      <c r="G8178" s="2"/>
      <c r="H8178" s="2"/>
    </row>
    <row r="8179" spans="1:8" x14ac:dyDescent="0.25">
      <c r="A8179" s="1"/>
      <c r="B8179" s="1" t="s">
        <v>4823</v>
      </c>
      <c r="C8179" s="1" t="s">
        <v>4824</v>
      </c>
      <c r="D8179" s="22" t="str">
        <f>HYPERLINK("https://rhld.insurance.arkansas.gov/NPILookup?Npi=1831151513","1831151513")</f>
        <v>1831151513</v>
      </c>
      <c r="E8179" s="1" t="s">
        <v>18897</v>
      </c>
      <c r="F8179" s="2"/>
      <c r="G8179" s="2"/>
      <c r="H8179" s="2"/>
    </row>
    <row r="8180" spans="1:8" x14ac:dyDescent="0.25">
      <c r="A8180" s="1"/>
      <c r="B8180" s="1" t="s">
        <v>4823</v>
      </c>
      <c r="C8180" s="1" t="s">
        <v>4824</v>
      </c>
      <c r="D8180" s="22" t="str">
        <f>HYPERLINK("https://rhld.insurance.arkansas.gov/NPILookup?Npi=1831153261","1831153261")</f>
        <v>1831153261</v>
      </c>
      <c r="E8180" s="1" t="s">
        <v>4896</v>
      </c>
      <c r="F8180" s="2"/>
      <c r="G8180" s="2"/>
      <c r="H8180" s="2"/>
    </row>
    <row r="8181" spans="1:8" x14ac:dyDescent="0.25">
      <c r="A8181" s="1"/>
      <c r="B8181" s="1" t="s">
        <v>4823</v>
      </c>
      <c r="C8181" s="1" t="s">
        <v>4824</v>
      </c>
      <c r="D8181" s="22" t="str">
        <f>HYPERLINK("https://rhld.insurance.arkansas.gov/NPILookup?Npi=1831166966","1831166966")</f>
        <v>1831166966</v>
      </c>
      <c r="E8181" s="1" t="s">
        <v>3545</v>
      </c>
      <c r="F8181" s="2"/>
      <c r="G8181" s="2"/>
      <c r="H8181" s="2"/>
    </row>
    <row r="8182" spans="1:8" x14ac:dyDescent="0.25">
      <c r="A8182" s="1"/>
      <c r="B8182" s="1" t="s">
        <v>4823</v>
      </c>
      <c r="C8182" s="1" t="s">
        <v>4824</v>
      </c>
      <c r="D8182" s="22" t="str">
        <f>HYPERLINK("https://rhld.insurance.arkansas.gov/NPILookup?Npi=1831190610","1831190610")</f>
        <v>1831190610</v>
      </c>
      <c r="E8182" s="1" t="s">
        <v>18898</v>
      </c>
      <c r="F8182" s="2"/>
      <c r="G8182" s="2"/>
      <c r="H8182" s="2"/>
    </row>
    <row r="8183" spans="1:8" x14ac:dyDescent="0.25">
      <c r="A8183" s="1"/>
      <c r="B8183" s="1" t="s">
        <v>4823</v>
      </c>
      <c r="C8183" s="1" t="s">
        <v>4824</v>
      </c>
      <c r="D8183" s="22" t="str">
        <f>HYPERLINK("https://rhld.insurance.arkansas.gov/NPILookup?Npi=1831192624","1831192624")</f>
        <v>1831192624</v>
      </c>
      <c r="E8183" s="1" t="s">
        <v>4897</v>
      </c>
      <c r="F8183" s="2"/>
      <c r="G8183" s="2"/>
      <c r="H8183" s="2"/>
    </row>
    <row r="8184" spans="1:8" x14ac:dyDescent="0.25">
      <c r="A8184" s="1"/>
      <c r="B8184" s="1" t="s">
        <v>4823</v>
      </c>
      <c r="C8184" s="1" t="s">
        <v>4824</v>
      </c>
      <c r="D8184" s="22" t="str">
        <f>HYPERLINK("https://rhld.insurance.arkansas.gov/NPILookup?Npi=1831295807","1831295807")</f>
        <v>1831295807</v>
      </c>
      <c r="E8184" s="1" t="s">
        <v>18899</v>
      </c>
      <c r="F8184" s="2"/>
      <c r="G8184" s="2"/>
      <c r="H8184" s="2"/>
    </row>
    <row r="8185" spans="1:8" x14ac:dyDescent="0.25">
      <c r="A8185" s="1"/>
      <c r="B8185" s="1" t="s">
        <v>4823</v>
      </c>
      <c r="C8185" s="1" t="s">
        <v>4824</v>
      </c>
      <c r="D8185" s="22" t="str">
        <f>HYPERLINK("https://rhld.insurance.arkansas.gov/NPILookup?Npi=1841262300","1841262300")</f>
        <v>1841262300</v>
      </c>
      <c r="E8185" s="1" t="s">
        <v>3546</v>
      </c>
      <c r="F8185" s="2"/>
      <c r="G8185" s="2"/>
      <c r="H8185" s="2"/>
    </row>
    <row r="8186" spans="1:8" x14ac:dyDescent="0.25">
      <c r="A8186" s="1"/>
      <c r="B8186" s="1" t="s">
        <v>4823</v>
      </c>
      <c r="C8186" s="1" t="s">
        <v>4824</v>
      </c>
      <c r="D8186" s="22" t="str">
        <f>HYPERLINK("https://rhld.insurance.arkansas.gov/NPILookup?Npi=1841341153","1841341153")</f>
        <v>1841341153</v>
      </c>
      <c r="E8186" s="1" t="s">
        <v>10778</v>
      </c>
      <c r="F8186" s="2"/>
      <c r="G8186" s="2"/>
      <c r="H8186" s="2"/>
    </row>
    <row r="8187" spans="1:8" x14ac:dyDescent="0.25">
      <c r="A8187" s="1"/>
      <c r="B8187" s="1" t="s">
        <v>4823</v>
      </c>
      <c r="C8187" s="1" t="s">
        <v>4824</v>
      </c>
      <c r="D8187" s="22" t="str">
        <f>HYPERLINK("https://rhld.insurance.arkansas.gov/NPILookup?Npi=1841400744","1841400744")</f>
        <v>1841400744</v>
      </c>
      <c r="E8187" s="1" t="s">
        <v>18900</v>
      </c>
      <c r="F8187" s="2"/>
      <c r="G8187" s="2"/>
      <c r="H8187" s="2"/>
    </row>
    <row r="8188" spans="1:8" x14ac:dyDescent="0.25">
      <c r="A8188" s="1"/>
      <c r="B8188" s="1" t="s">
        <v>4823</v>
      </c>
      <c r="C8188" s="1" t="s">
        <v>4824</v>
      </c>
      <c r="D8188" s="22" t="str">
        <f>HYPERLINK("https://rhld.insurance.arkansas.gov/NPILookup?Npi=1841584174","1841584174")</f>
        <v>1841584174</v>
      </c>
      <c r="E8188" s="1" t="s">
        <v>3547</v>
      </c>
      <c r="F8188" s="2"/>
      <c r="G8188" s="2"/>
      <c r="H8188" s="2"/>
    </row>
    <row r="8189" spans="1:8" x14ac:dyDescent="0.25">
      <c r="A8189" s="1"/>
      <c r="B8189" s="1" t="s">
        <v>4823</v>
      </c>
      <c r="C8189" s="1" t="s">
        <v>4824</v>
      </c>
      <c r="D8189" s="22" t="str">
        <f>HYPERLINK("https://rhld.insurance.arkansas.gov/NPILookup?Npi=1851308258","1851308258")</f>
        <v>1851308258</v>
      </c>
      <c r="E8189" s="1" t="s">
        <v>18901</v>
      </c>
      <c r="F8189" s="2"/>
      <c r="G8189" s="2"/>
      <c r="H8189" s="2"/>
    </row>
    <row r="8190" spans="1:8" x14ac:dyDescent="0.25">
      <c r="A8190" s="1"/>
      <c r="B8190" s="1" t="s">
        <v>4823</v>
      </c>
      <c r="C8190" s="1" t="s">
        <v>4824</v>
      </c>
      <c r="D8190" s="22" t="str">
        <f>HYPERLINK("https://rhld.insurance.arkansas.gov/NPILookup?Npi=1861457590","1861457590")</f>
        <v>1861457590</v>
      </c>
      <c r="E8190" s="1" t="s">
        <v>18902</v>
      </c>
      <c r="F8190" s="2"/>
      <c r="G8190" s="2"/>
      <c r="H8190" s="2"/>
    </row>
    <row r="8191" spans="1:8" x14ac:dyDescent="0.25">
      <c r="A8191" s="1"/>
      <c r="B8191" s="1" t="s">
        <v>4823</v>
      </c>
      <c r="C8191" s="1" t="s">
        <v>4824</v>
      </c>
      <c r="D8191" s="22" t="str">
        <f>HYPERLINK("https://rhld.insurance.arkansas.gov/NPILookup?Npi=1861473969","1861473969")</f>
        <v>1861473969</v>
      </c>
      <c r="E8191" s="1" t="s">
        <v>18903</v>
      </c>
      <c r="F8191" s="2"/>
      <c r="G8191" s="2"/>
      <c r="H8191" s="2"/>
    </row>
    <row r="8192" spans="1:8" x14ac:dyDescent="0.25">
      <c r="A8192" s="1"/>
      <c r="B8192" s="1" t="s">
        <v>4823</v>
      </c>
      <c r="C8192" s="1" t="s">
        <v>4824</v>
      </c>
      <c r="D8192" s="22" t="str">
        <f>HYPERLINK("https://rhld.insurance.arkansas.gov/NPILookup?Npi=1861488215","1861488215")</f>
        <v>1861488215</v>
      </c>
      <c r="E8192" s="1" t="s">
        <v>18904</v>
      </c>
      <c r="F8192" s="2"/>
      <c r="G8192" s="2"/>
      <c r="H8192" s="2"/>
    </row>
    <row r="8193" spans="1:8" x14ac:dyDescent="0.25">
      <c r="A8193" s="1"/>
      <c r="B8193" s="1" t="s">
        <v>4823</v>
      </c>
      <c r="C8193" s="1" t="s">
        <v>4824</v>
      </c>
      <c r="D8193" s="22" t="str">
        <f>HYPERLINK("https://rhld.insurance.arkansas.gov/NPILookup?Npi=1861503062","1861503062")</f>
        <v>1861503062</v>
      </c>
      <c r="E8193" s="1" t="s">
        <v>11804</v>
      </c>
      <c r="F8193" s="2"/>
      <c r="G8193" s="2"/>
      <c r="H8193" s="2"/>
    </row>
    <row r="8194" spans="1:8" x14ac:dyDescent="0.25">
      <c r="A8194" s="1"/>
      <c r="B8194" s="1" t="s">
        <v>4823</v>
      </c>
      <c r="C8194" s="1" t="s">
        <v>4824</v>
      </c>
      <c r="D8194" s="22" t="str">
        <f>HYPERLINK("https://rhld.insurance.arkansas.gov/NPILookup?Npi=1861615627","1861615627")</f>
        <v>1861615627</v>
      </c>
      <c r="E8194" s="1" t="s">
        <v>4898</v>
      </c>
      <c r="F8194" s="2"/>
      <c r="G8194" s="2"/>
      <c r="H8194" s="2"/>
    </row>
    <row r="8195" spans="1:8" x14ac:dyDescent="0.25">
      <c r="A8195" s="1"/>
      <c r="B8195" s="1" t="s">
        <v>4823</v>
      </c>
      <c r="C8195" s="1" t="s">
        <v>4824</v>
      </c>
      <c r="D8195" s="22" t="str">
        <f>HYPERLINK("https://rhld.insurance.arkansas.gov/NPILookup?Npi=1871025676","1871025676")</f>
        <v>1871025676</v>
      </c>
      <c r="E8195" s="1" t="s">
        <v>18905</v>
      </c>
      <c r="F8195" s="2"/>
      <c r="G8195" s="2"/>
      <c r="H8195" s="2"/>
    </row>
    <row r="8196" spans="1:8" x14ac:dyDescent="0.25">
      <c r="A8196" s="1"/>
      <c r="B8196" s="1" t="s">
        <v>4823</v>
      </c>
      <c r="C8196" s="1" t="s">
        <v>4824</v>
      </c>
      <c r="D8196" s="22" t="str">
        <f>HYPERLINK("https://rhld.insurance.arkansas.gov/NPILookup?Npi=1871505438","1871505438")</f>
        <v>1871505438</v>
      </c>
      <c r="E8196" s="1" t="s">
        <v>18906</v>
      </c>
      <c r="F8196" s="2"/>
      <c r="G8196" s="2"/>
      <c r="H8196" s="2"/>
    </row>
    <row r="8197" spans="1:8" x14ac:dyDescent="0.25">
      <c r="A8197" s="1"/>
      <c r="B8197" s="1" t="s">
        <v>4823</v>
      </c>
      <c r="C8197" s="1" t="s">
        <v>4824</v>
      </c>
      <c r="D8197" s="22" t="str">
        <f>HYPERLINK("https://rhld.insurance.arkansas.gov/NPILookup?Npi=1871559955","1871559955")</f>
        <v>1871559955</v>
      </c>
      <c r="E8197" s="1" t="s">
        <v>18907</v>
      </c>
      <c r="F8197" s="2"/>
      <c r="G8197" s="2"/>
      <c r="H8197" s="2"/>
    </row>
    <row r="8198" spans="1:8" x14ac:dyDescent="0.25">
      <c r="A8198" s="1"/>
      <c r="B8198" s="1" t="s">
        <v>4823</v>
      </c>
      <c r="C8198" s="1" t="s">
        <v>4824</v>
      </c>
      <c r="D8198" s="22" t="str">
        <f>HYPERLINK("https://rhld.insurance.arkansas.gov/NPILookup?Npi=1871632364","1871632364")</f>
        <v>1871632364</v>
      </c>
      <c r="E8198" s="1" t="s">
        <v>4899</v>
      </c>
      <c r="F8198" s="2"/>
      <c r="G8198" s="2"/>
      <c r="H8198" s="2"/>
    </row>
    <row r="8199" spans="1:8" x14ac:dyDescent="0.25">
      <c r="A8199" s="1"/>
      <c r="B8199" s="1" t="s">
        <v>4823</v>
      </c>
      <c r="C8199" s="1" t="s">
        <v>4824</v>
      </c>
      <c r="D8199" s="22" t="str">
        <f>HYPERLINK("https://rhld.insurance.arkansas.gov/NPILookup?Npi=1871735100","1871735100")</f>
        <v>1871735100</v>
      </c>
      <c r="E8199" s="1" t="s">
        <v>18908</v>
      </c>
      <c r="F8199" s="2"/>
      <c r="G8199" s="2"/>
      <c r="H8199" s="2"/>
    </row>
    <row r="8200" spans="1:8" x14ac:dyDescent="0.25">
      <c r="A8200" s="1"/>
      <c r="B8200" s="1" t="s">
        <v>4823</v>
      </c>
      <c r="C8200" s="1" t="s">
        <v>4824</v>
      </c>
      <c r="D8200" s="22" t="str">
        <f>HYPERLINK("https://rhld.insurance.arkansas.gov/NPILookup?Npi=1871811794","1871811794")</f>
        <v>1871811794</v>
      </c>
      <c r="E8200" s="1" t="s">
        <v>31540</v>
      </c>
      <c r="F8200" s="2"/>
      <c r="G8200" s="2"/>
      <c r="H8200" s="2"/>
    </row>
    <row r="8201" spans="1:8" x14ac:dyDescent="0.25">
      <c r="A8201" s="1"/>
      <c r="B8201" s="1" t="s">
        <v>4823</v>
      </c>
      <c r="C8201" s="1" t="s">
        <v>4824</v>
      </c>
      <c r="D8201" s="22" t="str">
        <f>HYPERLINK("https://rhld.insurance.arkansas.gov/NPILookup?Npi=1871880278","1871880278")</f>
        <v>1871880278</v>
      </c>
      <c r="E8201" s="1" t="s">
        <v>18909</v>
      </c>
      <c r="F8201" s="2"/>
      <c r="G8201" s="2"/>
      <c r="H8201" s="2"/>
    </row>
    <row r="8202" spans="1:8" x14ac:dyDescent="0.25">
      <c r="A8202" s="1"/>
      <c r="B8202" s="1" t="s">
        <v>4823</v>
      </c>
      <c r="C8202" s="1" t="s">
        <v>4824</v>
      </c>
      <c r="D8202" s="22" t="str">
        <f>HYPERLINK("https://rhld.insurance.arkansas.gov/NPILookup?Npi=1881039063","1881039063")</f>
        <v>1881039063</v>
      </c>
      <c r="E8202" s="1" t="s">
        <v>18910</v>
      </c>
      <c r="F8202" s="2"/>
      <c r="G8202" s="2"/>
      <c r="H8202" s="2"/>
    </row>
    <row r="8203" spans="1:8" x14ac:dyDescent="0.25">
      <c r="A8203" s="1"/>
      <c r="B8203" s="1" t="s">
        <v>4823</v>
      </c>
      <c r="C8203" s="1" t="s">
        <v>4824</v>
      </c>
      <c r="D8203" s="22" t="str">
        <f>HYPERLINK("https://rhld.insurance.arkansas.gov/NPILookup?Npi=1881041879","1881041879")</f>
        <v>1881041879</v>
      </c>
      <c r="E8203" s="1" t="s">
        <v>18911</v>
      </c>
      <c r="F8203" s="2"/>
      <c r="G8203" s="2"/>
      <c r="H8203" s="2"/>
    </row>
    <row r="8204" spans="1:8" x14ac:dyDescent="0.25">
      <c r="A8204" s="1"/>
      <c r="B8204" s="1" t="s">
        <v>4823</v>
      </c>
      <c r="C8204" s="1" t="s">
        <v>4824</v>
      </c>
      <c r="D8204" s="22" t="str">
        <f>HYPERLINK("https://rhld.insurance.arkansas.gov/NPILookup?Npi=1881616258","1881616258")</f>
        <v>1881616258</v>
      </c>
      <c r="E8204" s="1" t="s">
        <v>18912</v>
      </c>
      <c r="F8204" s="2"/>
      <c r="G8204" s="2"/>
      <c r="H8204" s="2"/>
    </row>
    <row r="8205" spans="1:8" x14ac:dyDescent="0.25">
      <c r="A8205" s="1"/>
      <c r="B8205" s="1" t="s">
        <v>4823</v>
      </c>
      <c r="C8205" s="1" t="s">
        <v>4824</v>
      </c>
      <c r="D8205" s="22" t="str">
        <f>HYPERLINK("https://rhld.insurance.arkansas.gov/NPILookup?Npi=1881619989","1881619989")</f>
        <v>1881619989</v>
      </c>
      <c r="E8205" s="1" t="s">
        <v>1687</v>
      </c>
      <c r="F8205" s="2"/>
      <c r="G8205" s="2"/>
      <c r="H8205" s="2"/>
    </row>
    <row r="8206" spans="1:8" x14ac:dyDescent="0.25">
      <c r="A8206" s="1"/>
      <c r="B8206" s="1" t="s">
        <v>4823</v>
      </c>
      <c r="C8206" s="1" t="s">
        <v>4824</v>
      </c>
      <c r="D8206" s="22" t="str">
        <f>HYPERLINK("https://rhld.insurance.arkansas.gov/NPILookup?Npi=1881647824","1881647824")</f>
        <v>1881647824</v>
      </c>
      <c r="E8206" s="1" t="s">
        <v>18913</v>
      </c>
      <c r="F8206" s="2"/>
      <c r="G8206" s="2"/>
      <c r="H8206" s="2"/>
    </row>
    <row r="8207" spans="1:8" x14ac:dyDescent="0.25">
      <c r="A8207" s="1"/>
      <c r="B8207" s="1" t="s">
        <v>4823</v>
      </c>
      <c r="C8207" s="1" t="s">
        <v>4824</v>
      </c>
      <c r="D8207" s="22" t="str">
        <f>HYPERLINK("https://rhld.insurance.arkansas.gov/NPILookup?Npi=1881654978","1881654978")</f>
        <v>1881654978</v>
      </c>
      <c r="E8207" s="1" t="s">
        <v>18914</v>
      </c>
      <c r="F8207" s="2"/>
      <c r="G8207" s="2"/>
      <c r="H8207" s="2"/>
    </row>
    <row r="8208" spans="1:8" x14ac:dyDescent="0.25">
      <c r="A8208" s="1"/>
      <c r="B8208" s="1" t="s">
        <v>4823</v>
      </c>
      <c r="C8208" s="1" t="s">
        <v>4824</v>
      </c>
      <c r="D8208" s="22" t="str">
        <f>HYPERLINK("https://rhld.insurance.arkansas.gov/NPILookup?Npi=1881667608","1881667608")</f>
        <v>1881667608</v>
      </c>
      <c r="E8208" s="1" t="s">
        <v>18915</v>
      </c>
      <c r="F8208" s="2"/>
      <c r="G8208" s="2"/>
      <c r="H8208" s="2"/>
    </row>
    <row r="8209" spans="1:8" x14ac:dyDescent="0.25">
      <c r="A8209" s="1"/>
      <c r="B8209" s="1" t="s">
        <v>4823</v>
      </c>
      <c r="C8209" s="1" t="s">
        <v>4824</v>
      </c>
      <c r="D8209" s="22" t="str">
        <f>HYPERLINK("https://rhld.insurance.arkansas.gov/NPILookup?Npi=1891254751","1891254751")</f>
        <v>1891254751</v>
      </c>
      <c r="E8209" s="1" t="s">
        <v>6622</v>
      </c>
      <c r="F8209" s="2"/>
      <c r="G8209" s="2"/>
      <c r="H8209" s="2"/>
    </row>
    <row r="8210" spans="1:8" x14ac:dyDescent="0.25">
      <c r="A8210" s="1"/>
      <c r="B8210" s="1" t="s">
        <v>4823</v>
      </c>
      <c r="C8210" s="1" t="s">
        <v>4824</v>
      </c>
      <c r="D8210" s="22" t="str">
        <f>HYPERLINK("https://rhld.insurance.arkansas.gov/NPILookup?Npi=1891712899","1891712899")</f>
        <v>1891712899</v>
      </c>
      <c r="E8210" s="1" t="s">
        <v>18916</v>
      </c>
      <c r="F8210" s="2"/>
      <c r="G8210" s="2"/>
      <c r="H8210" s="2"/>
    </row>
    <row r="8211" spans="1:8" x14ac:dyDescent="0.25">
      <c r="A8211" s="1"/>
      <c r="B8211" s="1" t="s">
        <v>4823</v>
      </c>
      <c r="C8211" s="1" t="s">
        <v>4824</v>
      </c>
      <c r="D8211" s="22" t="str">
        <f>HYPERLINK("https://rhld.insurance.arkansas.gov/NPILookup?Npi=1891722559","1891722559")</f>
        <v>1891722559</v>
      </c>
      <c r="E8211" s="1" t="s">
        <v>18917</v>
      </c>
      <c r="F8211" s="2"/>
      <c r="G8211" s="2"/>
      <c r="H8211" s="2"/>
    </row>
    <row r="8212" spans="1:8" x14ac:dyDescent="0.25">
      <c r="A8212" s="1"/>
      <c r="B8212" s="1" t="s">
        <v>4823</v>
      </c>
      <c r="C8212" s="1" t="s">
        <v>4824</v>
      </c>
      <c r="D8212" s="22" t="str">
        <f>HYPERLINK("https://rhld.insurance.arkansas.gov/NPILookup?Npi=1891738373","1891738373")</f>
        <v>1891738373</v>
      </c>
      <c r="E8212" s="1" t="s">
        <v>18918</v>
      </c>
      <c r="F8212" s="2"/>
      <c r="G8212" s="2"/>
      <c r="H8212" s="2"/>
    </row>
    <row r="8213" spans="1:8" x14ac:dyDescent="0.25">
      <c r="A8213" s="1"/>
      <c r="B8213" s="1" t="s">
        <v>4823</v>
      </c>
      <c r="C8213" s="1" t="s">
        <v>4824</v>
      </c>
      <c r="D8213" s="22" t="str">
        <f>HYPERLINK("https://rhld.insurance.arkansas.gov/NPILookup?Npi=1891788428","1891788428")</f>
        <v>1891788428</v>
      </c>
      <c r="E8213" s="1" t="s">
        <v>18919</v>
      </c>
      <c r="F8213" s="2"/>
      <c r="G8213" s="2"/>
      <c r="H8213" s="2"/>
    </row>
    <row r="8214" spans="1:8" x14ac:dyDescent="0.25">
      <c r="A8214" s="1"/>
      <c r="B8214" s="1" t="s">
        <v>4823</v>
      </c>
      <c r="C8214" s="1" t="s">
        <v>4824</v>
      </c>
      <c r="D8214" s="22" t="str">
        <f>HYPERLINK("https://rhld.insurance.arkansas.gov/NPILookup?Npi=1891834461","1891834461")</f>
        <v>1891834461</v>
      </c>
      <c r="E8214" s="1" t="s">
        <v>18920</v>
      </c>
      <c r="F8214" s="2"/>
      <c r="G8214" s="2"/>
      <c r="H8214" s="2"/>
    </row>
    <row r="8215" spans="1:8" x14ac:dyDescent="0.25">
      <c r="A8215" s="1"/>
      <c r="B8215" s="1" t="s">
        <v>4823</v>
      </c>
      <c r="C8215" s="1" t="s">
        <v>4824</v>
      </c>
      <c r="D8215" s="22" t="str">
        <f>HYPERLINK("https://rhld.insurance.arkansas.gov/NPILookup?Npi=1891890786","1891890786")</f>
        <v>1891890786</v>
      </c>
      <c r="E8215" s="1" t="s">
        <v>12407</v>
      </c>
      <c r="F8215" s="2"/>
      <c r="G8215" s="2"/>
      <c r="H8215" s="2"/>
    </row>
    <row r="8216" spans="1:8" x14ac:dyDescent="0.25">
      <c r="A8216" s="1"/>
      <c r="B8216" s="1" t="s">
        <v>4823</v>
      </c>
      <c r="C8216" s="1" t="s">
        <v>4824</v>
      </c>
      <c r="D8216" s="22" t="str">
        <f>HYPERLINK("https://rhld.insurance.arkansas.gov/NPILookup?Npi=1891929188","1891929188")</f>
        <v>1891929188</v>
      </c>
      <c r="E8216" s="1" t="s">
        <v>18921</v>
      </c>
      <c r="F8216" s="2"/>
      <c r="G8216" s="2"/>
      <c r="H8216" s="2"/>
    </row>
    <row r="8217" spans="1:8" x14ac:dyDescent="0.25">
      <c r="A8217" s="1"/>
      <c r="B8217" s="1" t="s">
        <v>4823</v>
      </c>
      <c r="C8217" s="1" t="s">
        <v>4824</v>
      </c>
      <c r="D8217" s="22" t="str">
        <f>HYPERLINK("https://rhld.insurance.arkansas.gov/NPILookup?Npi=1891996823","1891996823")</f>
        <v>1891996823</v>
      </c>
      <c r="E8217" s="1" t="s">
        <v>18922</v>
      </c>
      <c r="F8217" s="2"/>
      <c r="G8217" s="2"/>
      <c r="H8217" s="2"/>
    </row>
    <row r="8218" spans="1:8" x14ac:dyDescent="0.25">
      <c r="A8218" s="1"/>
      <c r="B8218" s="1" t="s">
        <v>4823</v>
      </c>
      <c r="C8218" s="1" t="s">
        <v>4824</v>
      </c>
      <c r="D8218" s="22" t="str">
        <f>HYPERLINK("https://rhld.insurance.arkansas.gov/NPILookup?Npi=1902048150","1902048150")</f>
        <v>1902048150</v>
      </c>
      <c r="E8218" s="1" t="s">
        <v>18923</v>
      </c>
      <c r="F8218" s="2"/>
      <c r="G8218" s="2"/>
      <c r="H8218" s="2"/>
    </row>
    <row r="8219" spans="1:8" x14ac:dyDescent="0.25">
      <c r="A8219" s="1"/>
      <c r="B8219" s="1" t="s">
        <v>4823</v>
      </c>
      <c r="C8219" s="1" t="s">
        <v>4824</v>
      </c>
      <c r="D8219" s="22" t="str">
        <f>HYPERLINK("https://rhld.insurance.arkansas.gov/NPILookup?Npi=1902251580","1902251580")</f>
        <v>1902251580</v>
      </c>
      <c r="E8219" s="1" t="s">
        <v>18924</v>
      </c>
      <c r="F8219" s="2"/>
      <c r="G8219" s="2"/>
      <c r="H8219" s="2"/>
    </row>
    <row r="8220" spans="1:8" x14ac:dyDescent="0.25">
      <c r="A8220" s="1"/>
      <c r="B8220" s="1" t="s">
        <v>4823</v>
      </c>
      <c r="C8220" s="1" t="s">
        <v>4824</v>
      </c>
      <c r="D8220" s="22" t="str">
        <f>HYPERLINK("https://rhld.insurance.arkansas.gov/NPILookup?Npi=1902870611","1902870611")</f>
        <v>1902870611</v>
      </c>
      <c r="E8220" s="1" t="s">
        <v>10780</v>
      </c>
      <c r="F8220" s="2"/>
      <c r="G8220" s="2"/>
      <c r="H8220" s="2"/>
    </row>
    <row r="8221" spans="1:8" x14ac:dyDescent="0.25">
      <c r="A8221" s="1"/>
      <c r="B8221" s="1" t="s">
        <v>4823</v>
      </c>
      <c r="C8221" s="1" t="s">
        <v>4824</v>
      </c>
      <c r="D8221" s="22" t="str">
        <f>HYPERLINK("https://rhld.insurance.arkansas.gov/NPILookup?Npi=1902891179","1902891179")</f>
        <v>1902891179</v>
      </c>
      <c r="E8221" s="1" t="s">
        <v>18925</v>
      </c>
      <c r="F8221" s="2"/>
      <c r="G8221" s="2"/>
      <c r="H8221" s="2"/>
    </row>
    <row r="8222" spans="1:8" x14ac:dyDescent="0.25">
      <c r="A8222" s="1"/>
      <c r="B8222" s="1" t="s">
        <v>4823</v>
      </c>
      <c r="C8222" s="1" t="s">
        <v>4824</v>
      </c>
      <c r="D8222" s="22" t="str">
        <f>HYPERLINK("https://rhld.insurance.arkansas.gov/NPILookup?Npi=1912092248","1912092248")</f>
        <v>1912092248</v>
      </c>
      <c r="E8222" s="1" t="s">
        <v>10781</v>
      </c>
      <c r="F8222" s="2"/>
      <c r="G8222" s="2"/>
      <c r="H8222" s="2"/>
    </row>
    <row r="8223" spans="1:8" x14ac:dyDescent="0.25">
      <c r="A8223" s="1"/>
      <c r="B8223" s="1" t="s">
        <v>4823</v>
      </c>
      <c r="C8223" s="1" t="s">
        <v>4824</v>
      </c>
      <c r="D8223" s="22" t="str">
        <f>HYPERLINK("https://rhld.insurance.arkansas.gov/NPILookup?Npi=1912118944","1912118944")</f>
        <v>1912118944</v>
      </c>
      <c r="E8223" s="1" t="s">
        <v>10496</v>
      </c>
      <c r="F8223" s="2"/>
      <c r="G8223" s="2"/>
      <c r="H8223" s="2"/>
    </row>
    <row r="8224" spans="1:8" x14ac:dyDescent="0.25">
      <c r="A8224" s="1"/>
      <c r="B8224" s="1" t="s">
        <v>4823</v>
      </c>
      <c r="C8224" s="1" t="s">
        <v>4824</v>
      </c>
      <c r="D8224" s="22" t="str">
        <f>HYPERLINK("https://rhld.insurance.arkansas.gov/NPILookup?Npi=1912298985","1912298985")</f>
        <v>1912298985</v>
      </c>
      <c r="E8224" s="1" t="s">
        <v>4900</v>
      </c>
      <c r="F8224" s="2"/>
      <c r="G8224" s="2"/>
      <c r="H8224" s="2"/>
    </row>
    <row r="8225" spans="1:8" x14ac:dyDescent="0.25">
      <c r="A8225" s="1"/>
      <c r="B8225" s="1" t="s">
        <v>4823</v>
      </c>
      <c r="C8225" s="1" t="s">
        <v>4824</v>
      </c>
      <c r="D8225" s="22" t="str">
        <f>HYPERLINK("https://rhld.insurance.arkansas.gov/NPILookup?Npi=1912906942","1912906942")</f>
        <v>1912906942</v>
      </c>
      <c r="E8225" s="1" t="s">
        <v>3549</v>
      </c>
      <c r="F8225" s="2"/>
      <c r="G8225" s="2"/>
      <c r="H8225" s="2"/>
    </row>
    <row r="8226" spans="1:8" x14ac:dyDescent="0.25">
      <c r="A8226" s="1"/>
      <c r="B8226" s="1" t="s">
        <v>4823</v>
      </c>
      <c r="C8226" s="1" t="s">
        <v>4824</v>
      </c>
      <c r="D8226" s="22" t="str">
        <f>HYPERLINK("https://rhld.insurance.arkansas.gov/NPILookup?Npi=1912910191","1912910191")</f>
        <v>1912910191</v>
      </c>
      <c r="E8226" s="1" t="s">
        <v>18926</v>
      </c>
      <c r="F8226" s="2"/>
      <c r="G8226" s="2"/>
      <c r="H8226" s="2"/>
    </row>
    <row r="8227" spans="1:8" x14ac:dyDescent="0.25">
      <c r="A8227" s="1"/>
      <c r="B8227" s="1" t="s">
        <v>4823</v>
      </c>
      <c r="C8227" s="1" t="s">
        <v>4824</v>
      </c>
      <c r="D8227" s="22" t="str">
        <f>HYPERLINK("https://rhld.insurance.arkansas.gov/NPILookup?Npi=1912922345","1912922345")</f>
        <v>1912922345</v>
      </c>
      <c r="E8227" s="1" t="s">
        <v>10782</v>
      </c>
      <c r="F8227" s="2"/>
      <c r="G8227" s="2"/>
      <c r="H8227" s="2"/>
    </row>
    <row r="8228" spans="1:8" x14ac:dyDescent="0.25">
      <c r="A8228" s="1"/>
      <c r="B8228" s="1" t="s">
        <v>4823</v>
      </c>
      <c r="C8228" s="1" t="s">
        <v>4824</v>
      </c>
      <c r="D8228" s="22" t="str">
        <f>HYPERLINK("https://rhld.insurance.arkansas.gov/NPILookup?Npi=1912948902","1912948902")</f>
        <v>1912948902</v>
      </c>
      <c r="E8228" s="1" t="s">
        <v>10479</v>
      </c>
      <c r="F8228" s="2"/>
      <c r="G8228" s="2"/>
      <c r="H8228" s="2"/>
    </row>
    <row r="8229" spans="1:8" x14ac:dyDescent="0.25">
      <c r="A8229" s="1"/>
      <c r="B8229" s="1" t="s">
        <v>4823</v>
      </c>
      <c r="C8229" s="1" t="s">
        <v>4824</v>
      </c>
      <c r="D8229" s="22" t="str">
        <f>HYPERLINK("https://rhld.insurance.arkansas.gov/NPILookup?Npi=1912978255","1912978255")</f>
        <v>1912978255</v>
      </c>
      <c r="E8229" s="1" t="s">
        <v>3550</v>
      </c>
      <c r="F8229" s="2"/>
      <c r="G8229" s="2"/>
      <c r="H8229" s="2"/>
    </row>
    <row r="8230" spans="1:8" x14ac:dyDescent="0.25">
      <c r="A8230" s="1"/>
      <c r="B8230" s="1" t="s">
        <v>4823</v>
      </c>
      <c r="C8230" s="1" t="s">
        <v>4824</v>
      </c>
      <c r="D8230" s="22" t="str">
        <f>HYPERLINK("https://rhld.insurance.arkansas.gov/NPILookup?Npi=1922034271","1922034271")</f>
        <v>1922034271</v>
      </c>
      <c r="E8230" s="1" t="s">
        <v>18927</v>
      </c>
      <c r="F8230" s="2"/>
      <c r="G8230" s="2"/>
      <c r="H8230" s="2"/>
    </row>
    <row r="8231" spans="1:8" x14ac:dyDescent="0.25">
      <c r="A8231" s="1"/>
      <c r="B8231" s="1" t="s">
        <v>4823</v>
      </c>
      <c r="C8231" s="1" t="s">
        <v>4824</v>
      </c>
      <c r="D8231" s="22" t="str">
        <f>HYPERLINK("https://rhld.insurance.arkansas.gov/NPILookup?Npi=1922075746","1922075746")</f>
        <v>1922075746</v>
      </c>
      <c r="E8231" s="1" t="s">
        <v>446</v>
      </c>
      <c r="F8231" s="2"/>
      <c r="G8231" s="2"/>
      <c r="H8231" s="2"/>
    </row>
    <row r="8232" spans="1:8" x14ac:dyDescent="0.25">
      <c r="A8232" s="1"/>
      <c r="B8232" s="1" t="s">
        <v>4823</v>
      </c>
      <c r="C8232" s="1" t="s">
        <v>4824</v>
      </c>
      <c r="D8232" s="22" t="str">
        <f>HYPERLINK("https://rhld.insurance.arkansas.gov/NPILookup?Npi=1922098938","1922098938")</f>
        <v>1922098938</v>
      </c>
      <c r="E8232" s="1" t="s">
        <v>4901</v>
      </c>
      <c r="F8232" s="2"/>
      <c r="G8232" s="2"/>
      <c r="H8232" s="2"/>
    </row>
    <row r="8233" spans="1:8" x14ac:dyDescent="0.25">
      <c r="A8233" s="1"/>
      <c r="B8233" s="1" t="s">
        <v>4823</v>
      </c>
      <c r="C8233" s="1" t="s">
        <v>4824</v>
      </c>
      <c r="D8233" s="22" t="str">
        <f>HYPERLINK("https://rhld.insurance.arkansas.gov/NPILookup?Npi=1922116433","1922116433")</f>
        <v>1922116433</v>
      </c>
      <c r="E8233" s="1" t="s">
        <v>9966</v>
      </c>
      <c r="F8233" s="2"/>
      <c r="G8233" s="2"/>
      <c r="H8233" s="2"/>
    </row>
    <row r="8234" spans="1:8" x14ac:dyDescent="0.25">
      <c r="A8234" s="1"/>
      <c r="B8234" s="1" t="s">
        <v>4823</v>
      </c>
      <c r="C8234" s="1" t="s">
        <v>4824</v>
      </c>
      <c r="D8234" s="22" t="str">
        <f>HYPERLINK("https://rhld.insurance.arkansas.gov/NPILookup?Npi=1922366004","1922366004")</f>
        <v>1922366004</v>
      </c>
      <c r="E8234" s="1" t="s">
        <v>18928</v>
      </c>
      <c r="F8234" s="2"/>
      <c r="G8234" s="2"/>
      <c r="H8234" s="2"/>
    </row>
    <row r="8235" spans="1:8" x14ac:dyDescent="0.25">
      <c r="A8235" s="1"/>
      <c r="B8235" s="1" t="s">
        <v>4823</v>
      </c>
      <c r="C8235" s="1" t="s">
        <v>4824</v>
      </c>
      <c r="D8235" s="22" t="str">
        <f>HYPERLINK("https://rhld.insurance.arkansas.gov/NPILookup?Npi=1922366863","1922366863")</f>
        <v>1922366863</v>
      </c>
      <c r="E8235" s="1" t="s">
        <v>18929</v>
      </c>
      <c r="F8235" s="2"/>
      <c r="G8235" s="2"/>
      <c r="H8235" s="2"/>
    </row>
    <row r="8236" spans="1:8" x14ac:dyDescent="0.25">
      <c r="A8236" s="1"/>
      <c r="B8236" s="1" t="s">
        <v>4823</v>
      </c>
      <c r="C8236" s="1" t="s">
        <v>4824</v>
      </c>
      <c r="D8236" s="22" t="str">
        <f>HYPERLINK("https://rhld.insurance.arkansas.gov/NPILookup?Npi=1922503747","1922503747")</f>
        <v>1922503747</v>
      </c>
      <c r="E8236" s="1" t="s">
        <v>4902</v>
      </c>
      <c r="F8236" s="2"/>
      <c r="G8236" s="2"/>
      <c r="H8236" s="2"/>
    </row>
    <row r="8237" spans="1:8" x14ac:dyDescent="0.25">
      <c r="A8237" s="1"/>
      <c r="B8237" s="1" t="s">
        <v>4823</v>
      </c>
      <c r="C8237" s="1" t="s">
        <v>4824</v>
      </c>
      <c r="D8237" s="22" t="str">
        <f>HYPERLINK("https://rhld.insurance.arkansas.gov/NPILookup?Npi=1922681782","1922681782")</f>
        <v>1922681782</v>
      </c>
      <c r="E8237" s="1" t="s">
        <v>31541</v>
      </c>
      <c r="F8237" s="2"/>
      <c r="G8237" s="2"/>
      <c r="H8237" s="2"/>
    </row>
    <row r="8238" spans="1:8" x14ac:dyDescent="0.25">
      <c r="A8238" s="1"/>
      <c r="B8238" s="1" t="s">
        <v>4823</v>
      </c>
      <c r="C8238" s="1" t="s">
        <v>4824</v>
      </c>
      <c r="D8238" s="22" t="str">
        <f>HYPERLINK("https://rhld.insurance.arkansas.gov/NPILookup?Npi=1932185451","1932185451")</f>
        <v>1932185451</v>
      </c>
      <c r="E8238" s="1" t="s">
        <v>4903</v>
      </c>
      <c r="F8238" s="2"/>
      <c r="G8238" s="2"/>
      <c r="H8238" s="2"/>
    </row>
    <row r="8239" spans="1:8" x14ac:dyDescent="0.25">
      <c r="A8239" s="1"/>
      <c r="B8239" s="1" t="s">
        <v>4823</v>
      </c>
      <c r="C8239" s="1" t="s">
        <v>4824</v>
      </c>
      <c r="D8239" s="22" t="str">
        <f>HYPERLINK("https://rhld.insurance.arkansas.gov/NPILookup?Npi=1932299427","1932299427")</f>
        <v>1932299427</v>
      </c>
      <c r="E8239" s="1" t="s">
        <v>448</v>
      </c>
      <c r="F8239" s="2"/>
      <c r="G8239" s="2"/>
      <c r="H8239" s="2"/>
    </row>
    <row r="8240" spans="1:8" x14ac:dyDescent="0.25">
      <c r="A8240" s="1"/>
      <c r="B8240" s="1" t="s">
        <v>4823</v>
      </c>
      <c r="C8240" s="1" t="s">
        <v>4824</v>
      </c>
      <c r="D8240" s="22" t="str">
        <f>HYPERLINK("https://rhld.insurance.arkansas.gov/NPILookup?Npi=1932381530","1932381530")</f>
        <v>1932381530</v>
      </c>
      <c r="E8240" s="1" t="s">
        <v>18931</v>
      </c>
      <c r="F8240" s="2"/>
      <c r="G8240" s="2"/>
      <c r="H8240" s="2"/>
    </row>
    <row r="8241" spans="1:8" x14ac:dyDescent="0.25">
      <c r="A8241" s="1"/>
      <c r="B8241" s="1" t="s">
        <v>4823</v>
      </c>
      <c r="C8241" s="1" t="s">
        <v>4824</v>
      </c>
      <c r="D8241" s="22" t="str">
        <f>HYPERLINK("https://rhld.insurance.arkansas.gov/NPILookup?Npi=1932562725","1932562725")</f>
        <v>1932562725</v>
      </c>
      <c r="E8241" s="1" t="s">
        <v>18932</v>
      </c>
      <c r="F8241" s="2"/>
      <c r="G8241" s="2"/>
      <c r="H8241" s="2"/>
    </row>
    <row r="8242" spans="1:8" x14ac:dyDescent="0.25">
      <c r="A8242" s="1"/>
      <c r="B8242" s="1" t="s">
        <v>4823</v>
      </c>
      <c r="C8242" s="1" t="s">
        <v>4824</v>
      </c>
      <c r="D8242" s="22" t="str">
        <f>HYPERLINK("https://rhld.insurance.arkansas.gov/NPILookup?Npi=1932661964","1932661964")</f>
        <v>1932661964</v>
      </c>
      <c r="E8242" s="1" t="s">
        <v>4904</v>
      </c>
      <c r="F8242" s="2"/>
      <c r="G8242" s="2"/>
      <c r="H8242" s="2"/>
    </row>
    <row r="8243" spans="1:8" x14ac:dyDescent="0.25">
      <c r="A8243" s="1"/>
      <c r="B8243" s="1" t="s">
        <v>4823</v>
      </c>
      <c r="C8243" s="1" t="s">
        <v>4824</v>
      </c>
      <c r="D8243" s="22" t="str">
        <f>HYPERLINK("https://rhld.insurance.arkansas.gov/NPILookup?Npi=1942439377","1942439377")</f>
        <v>1942439377</v>
      </c>
      <c r="E8243" s="1" t="s">
        <v>10783</v>
      </c>
      <c r="F8243" s="2"/>
      <c r="G8243" s="2"/>
      <c r="H8243" s="2"/>
    </row>
    <row r="8244" spans="1:8" x14ac:dyDescent="0.25">
      <c r="A8244" s="1"/>
      <c r="B8244" s="1" t="s">
        <v>4823</v>
      </c>
      <c r="C8244" s="1" t="s">
        <v>4824</v>
      </c>
      <c r="D8244" s="22" t="str">
        <f>HYPERLINK("https://rhld.insurance.arkansas.gov/NPILookup?Npi=1942474465","1942474465")</f>
        <v>1942474465</v>
      </c>
      <c r="E8244" s="1" t="s">
        <v>4905</v>
      </c>
      <c r="F8244" s="2"/>
      <c r="G8244" s="2"/>
      <c r="H8244" s="2"/>
    </row>
    <row r="8245" spans="1:8" x14ac:dyDescent="0.25">
      <c r="A8245" s="1"/>
      <c r="B8245" s="1" t="s">
        <v>4823</v>
      </c>
      <c r="C8245" s="1" t="s">
        <v>4824</v>
      </c>
      <c r="D8245" s="22" t="str">
        <f>HYPERLINK("https://rhld.insurance.arkansas.gov/NPILookup?Npi=1942475728","1942475728")</f>
        <v>1942475728</v>
      </c>
      <c r="E8245" s="1" t="s">
        <v>10784</v>
      </c>
      <c r="F8245" s="2"/>
      <c r="G8245" s="2"/>
      <c r="H8245" s="2"/>
    </row>
    <row r="8246" spans="1:8" x14ac:dyDescent="0.25">
      <c r="A8246" s="1"/>
      <c r="B8246" s="1" t="s">
        <v>4823</v>
      </c>
      <c r="C8246" s="1" t="s">
        <v>4824</v>
      </c>
      <c r="D8246" s="22" t="str">
        <f>HYPERLINK("https://rhld.insurance.arkansas.gov/NPILookup?Npi=1942592225","1942592225")</f>
        <v>1942592225</v>
      </c>
      <c r="E8246" s="1" t="s">
        <v>4906</v>
      </c>
      <c r="F8246" s="2"/>
      <c r="G8246" s="2"/>
      <c r="H8246" s="2"/>
    </row>
    <row r="8247" spans="1:8" x14ac:dyDescent="0.25">
      <c r="A8247" s="1"/>
      <c r="B8247" s="1" t="s">
        <v>4823</v>
      </c>
      <c r="C8247" s="1" t="s">
        <v>4824</v>
      </c>
      <c r="D8247" s="22" t="str">
        <f>HYPERLINK("https://rhld.insurance.arkansas.gov/NPILookup?Npi=1952170524","1952170524")</f>
        <v>1952170524</v>
      </c>
      <c r="E8247" s="1" t="s">
        <v>4907</v>
      </c>
      <c r="F8247" s="2"/>
      <c r="G8247" s="2"/>
      <c r="H8247" s="2"/>
    </row>
    <row r="8248" spans="1:8" x14ac:dyDescent="0.25">
      <c r="A8248" s="1"/>
      <c r="B8248" s="1" t="s">
        <v>4823</v>
      </c>
      <c r="C8248" s="1" t="s">
        <v>4824</v>
      </c>
      <c r="D8248" s="22" t="str">
        <f>HYPERLINK("https://rhld.insurance.arkansas.gov/NPILookup?Npi=1952338428","1952338428")</f>
        <v>1952338428</v>
      </c>
      <c r="E8248" s="1" t="s">
        <v>13197</v>
      </c>
      <c r="F8248" s="2"/>
      <c r="G8248" s="2"/>
      <c r="H8248" s="2"/>
    </row>
    <row r="8249" spans="1:8" x14ac:dyDescent="0.25">
      <c r="A8249" s="1"/>
      <c r="B8249" s="1" t="s">
        <v>4823</v>
      </c>
      <c r="C8249" s="1" t="s">
        <v>4824</v>
      </c>
      <c r="D8249" s="22" t="str">
        <f>HYPERLINK("https://rhld.insurance.arkansas.gov/NPILookup?Npi=1952371056","1952371056")</f>
        <v>1952371056</v>
      </c>
      <c r="E8249" s="1" t="s">
        <v>18934</v>
      </c>
      <c r="F8249" s="2"/>
      <c r="G8249" s="2"/>
      <c r="H8249" s="2"/>
    </row>
    <row r="8250" spans="1:8" x14ac:dyDescent="0.25">
      <c r="A8250" s="1"/>
      <c r="B8250" s="1" t="s">
        <v>4823</v>
      </c>
      <c r="C8250" s="1" t="s">
        <v>4824</v>
      </c>
      <c r="D8250" s="22" t="str">
        <f>HYPERLINK("https://rhld.insurance.arkansas.gov/NPILookup?Npi=1952410862","1952410862")</f>
        <v>1952410862</v>
      </c>
      <c r="E8250" s="1" t="s">
        <v>18935</v>
      </c>
      <c r="F8250" s="2"/>
      <c r="G8250" s="2"/>
      <c r="H8250" s="2"/>
    </row>
    <row r="8251" spans="1:8" x14ac:dyDescent="0.25">
      <c r="A8251" s="1"/>
      <c r="B8251" s="1" t="s">
        <v>4823</v>
      </c>
      <c r="C8251" s="1" t="s">
        <v>4824</v>
      </c>
      <c r="D8251" s="22" t="str">
        <f>HYPERLINK("https://rhld.insurance.arkansas.gov/NPILookup?Npi=1952528770","1952528770")</f>
        <v>1952528770</v>
      </c>
      <c r="E8251" s="1" t="s">
        <v>10785</v>
      </c>
      <c r="F8251" s="2"/>
      <c r="G8251" s="2"/>
      <c r="H8251" s="2"/>
    </row>
    <row r="8252" spans="1:8" x14ac:dyDescent="0.25">
      <c r="A8252" s="1"/>
      <c r="B8252" s="1" t="s">
        <v>4823</v>
      </c>
      <c r="C8252" s="1" t="s">
        <v>4824</v>
      </c>
      <c r="D8252" s="22" t="str">
        <f>HYPERLINK("https://rhld.insurance.arkansas.gov/NPILookup?Npi=1952536336","1952536336")</f>
        <v>1952536336</v>
      </c>
      <c r="E8252" s="1" t="s">
        <v>802</v>
      </c>
      <c r="F8252" s="2"/>
      <c r="G8252" s="2"/>
      <c r="H8252" s="2"/>
    </row>
    <row r="8253" spans="1:8" x14ac:dyDescent="0.25">
      <c r="A8253" s="1"/>
      <c r="B8253" s="1" t="s">
        <v>4823</v>
      </c>
      <c r="C8253" s="1" t="s">
        <v>4824</v>
      </c>
      <c r="D8253" s="22" t="str">
        <f>HYPERLINK("https://rhld.insurance.arkansas.gov/NPILookup?Npi=1952895443","1952895443")</f>
        <v>1952895443</v>
      </c>
      <c r="E8253" s="1" t="s">
        <v>10786</v>
      </c>
      <c r="F8253" s="2"/>
      <c r="G8253" s="2"/>
      <c r="H8253" s="2"/>
    </row>
    <row r="8254" spans="1:8" x14ac:dyDescent="0.25">
      <c r="A8254" s="1"/>
      <c r="B8254" s="1" t="s">
        <v>4823</v>
      </c>
      <c r="C8254" s="1" t="s">
        <v>4824</v>
      </c>
      <c r="D8254" s="22" t="str">
        <f>HYPERLINK("https://rhld.insurance.arkansas.gov/NPILookup?Npi=1962431460","1962431460")</f>
        <v>1962431460</v>
      </c>
      <c r="E8254" s="1" t="s">
        <v>3551</v>
      </c>
      <c r="F8254" s="2"/>
      <c r="G8254" s="2"/>
      <c r="H8254" s="2"/>
    </row>
    <row r="8255" spans="1:8" x14ac:dyDescent="0.25">
      <c r="A8255" s="1"/>
      <c r="B8255" s="1" t="s">
        <v>4823</v>
      </c>
      <c r="C8255" s="1" t="s">
        <v>4824</v>
      </c>
      <c r="D8255" s="22" t="str">
        <f>HYPERLINK("https://rhld.insurance.arkansas.gov/NPILookup?Npi=1962543819","1962543819")</f>
        <v>1962543819</v>
      </c>
      <c r="E8255" s="1" t="s">
        <v>3552</v>
      </c>
      <c r="F8255" s="2"/>
      <c r="G8255" s="2"/>
      <c r="H8255" s="2"/>
    </row>
    <row r="8256" spans="1:8" x14ac:dyDescent="0.25">
      <c r="A8256" s="1"/>
      <c r="B8256" s="1" t="s">
        <v>4823</v>
      </c>
      <c r="C8256" s="1" t="s">
        <v>4824</v>
      </c>
      <c r="D8256" s="22" t="str">
        <f>HYPERLINK("https://rhld.insurance.arkansas.gov/NPILookup?Npi=1962632216","1962632216")</f>
        <v>1962632216</v>
      </c>
      <c r="E8256" s="1" t="s">
        <v>31542</v>
      </c>
      <c r="F8256" s="2"/>
      <c r="G8256" s="2"/>
      <c r="H8256" s="2"/>
    </row>
    <row r="8257" spans="1:8" x14ac:dyDescent="0.25">
      <c r="A8257" s="1"/>
      <c r="B8257" s="1" t="s">
        <v>4823</v>
      </c>
      <c r="C8257" s="1" t="s">
        <v>4824</v>
      </c>
      <c r="D8257" s="22" t="str">
        <f>HYPERLINK("https://rhld.insurance.arkansas.gov/NPILookup?Npi=1972514578","1972514578")</f>
        <v>1972514578</v>
      </c>
      <c r="E8257" s="1" t="s">
        <v>10787</v>
      </c>
      <c r="F8257" s="2"/>
      <c r="G8257" s="2"/>
      <c r="H8257" s="2"/>
    </row>
    <row r="8258" spans="1:8" x14ac:dyDescent="0.25">
      <c r="A8258" s="1"/>
      <c r="B8258" s="1" t="s">
        <v>4823</v>
      </c>
      <c r="C8258" s="1" t="s">
        <v>4824</v>
      </c>
      <c r="D8258" s="22" t="str">
        <f>HYPERLINK("https://rhld.insurance.arkansas.gov/NPILookup?Npi=1972560845","1972560845")</f>
        <v>1972560845</v>
      </c>
      <c r="E8258" s="1" t="s">
        <v>31543</v>
      </c>
      <c r="F8258" s="2"/>
      <c r="G8258" s="2"/>
      <c r="H8258" s="2"/>
    </row>
    <row r="8259" spans="1:8" x14ac:dyDescent="0.25">
      <c r="A8259" s="1"/>
      <c r="B8259" s="1" t="s">
        <v>4823</v>
      </c>
      <c r="C8259" s="1" t="s">
        <v>4824</v>
      </c>
      <c r="D8259" s="22" t="str">
        <f>HYPERLINK("https://rhld.insurance.arkansas.gov/NPILookup?Npi=1972863165","1972863165")</f>
        <v>1972863165</v>
      </c>
      <c r="E8259" s="1" t="s">
        <v>18936</v>
      </c>
      <c r="F8259" s="2"/>
      <c r="G8259" s="2"/>
      <c r="H8259" s="2"/>
    </row>
    <row r="8260" spans="1:8" x14ac:dyDescent="0.25">
      <c r="A8260" s="1"/>
      <c r="B8260" s="1" t="s">
        <v>4823</v>
      </c>
      <c r="C8260" s="1" t="s">
        <v>4824</v>
      </c>
      <c r="D8260" s="22" t="str">
        <f>HYPERLINK("https://rhld.insurance.arkansas.gov/NPILookup?Npi=1972914018","1972914018")</f>
        <v>1972914018</v>
      </c>
      <c r="E8260" s="1" t="s">
        <v>10788</v>
      </c>
      <c r="F8260" s="2"/>
      <c r="G8260" s="2"/>
      <c r="H8260" s="2"/>
    </row>
    <row r="8261" spans="1:8" x14ac:dyDescent="0.25">
      <c r="A8261" s="1"/>
      <c r="B8261" s="1" t="s">
        <v>4823</v>
      </c>
      <c r="C8261" s="1" t="s">
        <v>4824</v>
      </c>
      <c r="D8261" s="22" t="str">
        <f>HYPERLINK("https://rhld.insurance.arkansas.gov/NPILookup?Npi=1972999266","1972999266")</f>
        <v>1972999266</v>
      </c>
      <c r="E8261" s="1" t="s">
        <v>4908</v>
      </c>
      <c r="F8261" s="2"/>
      <c r="G8261" s="2"/>
      <c r="H8261" s="2"/>
    </row>
    <row r="8262" spans="1:8" x14ac:dyDescent="0.25">
      <c r="A8262" s="1"/>
      <c r="B8262" s="1" t="s">
        <v>4823</v>
      </c>
      <c r="C8262" s="1" t="s">
        <v>4824</v>
      </c>
      <c r="D8262" s="22" t="str">
        <f>HYPERLINK("https://rhld.insurance.arkansas.gov/NPILookup?Npi=1982233094","1982233094")</f>
        <v>1982233094</v>
      </c>
      <c r="E8262" s="1" t="s">
        <v>18937</v>
      </c>
      <c r="F8262" s="2"/>
      <c r="G8262" s="2"/>
      <c r="H8262" s="2"/>
    </row>
    <row r="8263" spans="1:8" x14ac:dyDescent="0.25">
      <c r="A8263" s="1"/>
      <c r="B8263" s="1" t="s">
        <v>4823</v>
      </c>
      <c r="C8263" s="1" t="s">
        <v>4824</v>
      </c>
      <c r="D8263" s="22" t="str">
        <f>HYPERLINK("https://rhld.insurance.arkansas.gov/NPILookup?Npi=1982260758","1982260758")</f>
        <v>1982260758</v>
      </c>
      <c r="E8263" s="1" t="s">
        <v>10789</v>
      </c>
      <c r="F8263" s="2"/>
      <c r="G8263" s="2"/>
      <c r="H8263" s="2"/>
    </row>
    <row r="8264" spans="1:8" x14ac:dyDescent="0.25">
      <c r="A8264" s="1"/>
      <c r="B8264" s="1" t="s">
        <v>4823</v>
      </c>
      <c r="C8264" s="1" t="s">
        <v>4824</v>
      </c>
      <c r="D8264" s="22" t="str">
        <f>HYPERLINK("https://rhld.insurance.arkansas.gov/NPILookup?Npi=1982641189","1982641189")</f>
        <v>1982641189</v>
      </c>
      <c r="E8264" s="1" t="s">
        <v>672</v>
      </c>
      <c r="F8264" s="2"/>
      <c r="G8264" s="2"/>
      <c r="H8264" s="2"/>
    </row>
    <row r="8265" spans="1:8" x14ac:dyDescent="0.25">
      <c r="A8265" s="1"/>
      <c r="B8265" s="1" t="s">
        <v>4823</v>
      </c>
      <c r="C8265" s="1" t="s">
        <v>4824</v>
      </c>
      <c r="D8265" s="22" t="str">
        <f>HYPERLINK("https://rhld.insurance.arkansas.gov/NPILookup?Npi=1982869350","1982869350")</f>
        <v>1982869350</v>
      </c>
      <c r="E8265" s="1" t="s">
        <v>10790</v>
      </c>
      <c r="F8265" s="2"/>
      <c r="G8265" s="2"/>
      <c r="H8265" s="2"/>
    </row>
    <row r="8266" spans="1:8" x14ac:dyDescent="0.25">
      <c r="A8266" s="1"/>
      <c r="B8266" s="1" t="s">
        <v>4823</v>
      </c>
      <c r="C8266" s="1" t="s">
        <v>4824</v>
      </c>
      <c r="D8266" s="22" t="str">
        <f>HYPERLINK("https://rhld.insurance.arkansas.gov/NPILookup?Npi=1992113864","1992113864")</f>
        <v>1992113864</v>
      </c>
      <c r="E8266" s="1" t="s">
        <v>18938</v>
      </c>
      <c r="F8266" s="2"/>
      <c r="G8266" s="2"/>
      <c r="H8266" s="2"/>
    </row>
    <row r="8267" spans="1:8" x14ac:dyDescent="0.25">
      <c r="A8267" s="1"/>
      <c r="B8267" s="1" t="s">
        <v>4823</v>
      </c>
      <c r="C8267" s="1" t="s">
        <v>4824</v>
      </c>
      <c r="D8267" s="22" t="str">
        <f>HYPERLINK("https://rhld.insurance.arkansas.gov/NPILookup?Npi=1992191274","1992191274")</f>
        <v>1992191274</v>
      </c>
      <c r="E8267" s="1" t="s">
        <v>1616</v>
      </c>
      <c r="F8267" s="2"/>
      <c r="G8267" s="2"/>
      <c r="H8267" s="2"/>
    </row>
    <row r="8268" spans="1:8" x14ac:dyDescent="0.25">
      <c r="A8268" s="1"/>
      <c r="B8268" s="1" t="s">
        <v>4823</v>
      </c>
      <c r="C8268" s="1" t="s">
        <v>4824</v>
      </c>
      <c r="D8268" s="22" t="str">
        <f>HYPERLINK("https://rhld.insurance.arkansas.gov/NPILookup?Npi=1992265797","1992265797")</f>
        <v>1992265797</v>
      </c>
      <c r="E8268" s="1" t="s">
        <v>4909</v>
      </c>
      <c r="F8268" s="2"/>
      <c r="G8268" s="2"/>
      <c r="H8268" s="2"/>
    </row>
    <row r="8269" spans="1:8" x14ac:dyDescent="0.25">
      <c r="A8269" s="1"/>
      <c r="B8269" s="1" t="s">
        <v>4823</v>
      </c>
      <c r="C8269" s="1" t="s">
        <v>4824</v>
      </c>
      <c r="D8269" s="22" t="str">
        <f>HYPERLINK("https://rhld.insurance.arkansas.gov/NPILookup?Npi=1992748339","1992748339")</f>
        <v>1992748339</v>
      </c>
      <c r="E8269" s="1" t="s">
        <v>10791</v>
      </c>
      <c r="F8269" s="2"/>
      <c r="G8269" s="2"/>
      <c r="H8269" s="2"/>
    </row>
    <row r="8270" spans="1:8" x14ac:dyDescent="0.25">
      <c r="A8270" s="1"/>
      <c r="B8270" s="1" t="s">
        <v>4823</v>
      </c>
      <c r="C8270" s="1" t="s">
        <v>4824</v>
      </c>
      <c r="D8270" s="22" t="str">
        <f>HYPERLINK("https://rhld.insurance.arkansas.gov/NPILookup?Npi=1992777957","1992777957")</f>
        <v>1992777957</v>
      </c>
      <c r="E8270" s="1" t="s">
        <v>18939</v>
      </c>
      <c r="F8270" s="2"/>
      <c r="G8270" s="2"/>
      <c r="H8270" s="2"/>
    </row>
    <row r="8271" spans="1:8" x14ac:dyDescent="0.25">
      <c r="A8271" s="1"/>
      <c r="B8271" s="1" t="s">
        <v>4823</v>
      </c>
      <c r="C8271" s="1" t="s">
        <v>4824</v>
      </c>
      <c r="D8271" s="22" t="str">
        <f>HYPERLINK("https://rhld.insurance.arkansas.gov/NPILookup?Npi=1992894539","1992894539")</f>
        <v>1992894539</v>
      </c>
      <c r="E8271" s="1" t="s">
        <v>18940</v>
      </c>
      <c r="F8271" s="2"/>
      <c r="G8271" s="2"/>
      <c r="H8271" s="2"/>
    </row>
    <row r="8272" spans="1:8" x14ac:dyDescent="0.25">
      <c r="A8272" s="1"/>
      <c r="B8272" s="1" t="s">
        <v>4823</v>
      </c>
      <c r="C8272" s="1" t="s">
        <v>4824</v>
      </c>
      <c r="D8272" s="22" t="str">
        <f>HYPERLINK("https://rhld.insurance.arkansas.gov/NPILookup?Npi=1992901730","1992901730")</f>
        <v>1992901730</v>
      </c>
      <c r="E8272" s="1" t="s">
        <v>18941</v>
      </c>
      <c r="F8272" s="2"/>
      <c r="G8272" s="2"/>
      <c r="H8272" s="2"/>
    </row>
    <row r="8273" spans="1:8" x14ac:dyDescent="0.25">
      <c r="A8273" s="1"/>
      <c r="B8273" s="1" t="s">
        <v>4910</v>
      </c>
      <c r="C8273" s="1" t="s">
        <v>4911</v>
      </c>
      <c r="D8273" s="22" t="str">
        <f>HYPERLINK("https://rhld.insurance.arkansas.gov/NPILookup?Npi=1003858168","1003858168")</f>
        <v>1003858168</v>
      </c>
      <c r="E8273" s="1" t="s">
        <v>4912</v>
      </c>
      <c r="F8273" s="2"/>
      <c r="G8273" s="2"/>
      <c r="H8273" s="2"/>
    </row>
    <row r="8274" spans="1:8" x14ac:dyDescent="0.25">
      <c r="A8274" s="1"/>
      <c r="B8274" s="1" t="s">
        <v>4910</v>
      </c>
      <c r="C8274" s="1" t="s">
        <v>4911</v>
      </c>
      <c r="D8274" s="22" t="str">
        <f>HYPERLINK("https://rhld.insurance.arkansas.gov/NPILookup?Npi=1023011236","1023011236")</f>
        <v>1023011236</v>
      </c>
      <c r="E8274" s="1" t="s">
        <v>18942</v>
      </c>
      <c r="F8274" s="2"/>
      <c r="G8274" s="2"/>
      <c r="H8274" s="2"/>
    </row>
    <row r="8275" spans="1:8" x14ac:dyDescent="0.25">
      <c r="A8275" s="1"/>
      <c r="B8275" s="1" t="s">
        <v>4910</v>
      </c>
      <c r="C8275" s="1" t="s">
        <v>4911</v>
      </c>
      <c r="D8275" s="22" t="str">
        <f>HYPERLINK("https://rhld.insurance.arkansas.gov/NPILookup?Npi=1023209012","1023209012")</f>
        <v>1023209012</v>
      </c>
      <c r="E8275" s="1" t="s">
        <v>17141</v>
      </c>
      <c r="F8275" s="2"/>
      <c r="G8275" s="2"/>
      <c r="H8275" s="2"/>
    </row>
    <row r="8276" spans="1:8" x14ac:dyDescent="0.25">
      <c r="A8276" s="1"/>
      <c r="B8276" s="1" t="s">
        <v>4910</v>
      </c>
      <c r="C8276" s="1" t="s">
        <v>4911</v>
      </c>
      <c r="D8276" s="22" t="str">
        <f>HYPERLINK("https://rhld.insurance.arkansas.gov/NPILookup?Npi=1023471885","1023471885")</f>
        <v>1023471885</v>
      </c>
      <c r="E8276" s="1" t="s">
        <v>4913</v>
      </c>
      <c r="F8276" s="2"/>
      <c r="G8276" s="2"/>
      <c r="H8276" s="2"/>
    </row>
    <row r="8277" spans="1:8" x14ac:dyDescent="0.25">
      <c r="A8277" s="1"/>
      <c r="B8277" s="1" t="s">
        <v>4910</v>
      </c>
      <c r="C8277" s="1" t="s">
        <v>4911</v>
      </c>
      <c r="D8277" s="22" t="str">
        <f>HYPERLINK("https://rhld.insurance.arkansas.gov/NPILookup?Npi=1033187299","1033187299")</f>
        <v>1033187299</v>
      </c>
      <c r="E8277" s="1" t="s">
        <v>4914</v>
      </c>
      <c r="F8277" s="2"/>
      <c r="G8277" s="2"/>
      <c r="H8277" s="2"/>
    </row>
    <row r="8278" spans="1:8" x14ac:dyDescent="0.25">
      <c r="A8278" s="1"/>
      <c r="B8278" s="1" t="s">
        <v>4910</v>
      </c>
      <c r="C8278" s="1" t="s">
        <v>4911</v>
      </c>
      <c r="D8278" s="22" t="str">
        <f>HYPERLINK("https://rhld.insurance.arkansas.gov/NPILookup?Npi=1033421821","1033421821")</f>
        <v>1033421821</v>
      </c>
      <c r="E8278" s="1" t="s">
        <v>18943</v>
      </c>
      <c r="F8278" s="2"/>
      <c r="G8278" s="2"/>
      <c r="H8278" s="2"/>
    </row>
    <row r="8279" spans="1:8" x14ac:dyDescent="0.25">
      <c r="A8279" s="1"/>
      <c r="B8279" s="1" t="s">
        <v>4910</v>
      </c>
      <c r="C8279" s="1" t="s">
        <v>4911</v>
      </c>
      <c r="D8279" s="22" t="str">
        <f>HYPERLINK("https://rhld.insurance.arkansas.gov/NPILookup?Npi=1033452990","1033452990")</f>
        <v>1033452990</v>
      </c>
      <c r="E8279" s="1" t="s">
        <v>17155</v>
      </c>
      <c r="F8279" s="2"/>
      <c r="G8279" s="2"/>
      <c r="H8279" s="2"/>
    </row>
    <row r="8280" spans="1:8" x14ac:dyDescent="0.25">
      <c r="A8280" s="1"/>
      <c r="B8280" s="1" t="s">
        <v>4910</v>
      </c>
      <c r="C8280" s="1" t="s">
        <v>4911</v>
      </c>
      <c r="D8280" s="22" t="str">
        <f>HYPERLINK("https://rhld.insurance.arkansas.gov/NPILookup?Npi=1093100422","1093100422")</f>
        <v>1093100422</v>
      </c>
      <c r="E8280" s="1" t="s">
        <v>4915</v>
      </c>
      <c r="F8280" s="2"/>
      <c r="G8280" s="2"/>
      <c r="H8280" s="2"/>
    </row>
    <row r="8281" spans="1:8" x14ac:dyDescent="0.25">
      <c r="A8281" s="1"/>
      <c r="B8281" s="1" t="s">
        <v>4910</v>
      </c>
      <c r="C8281" s="1" t="s">
        <v>4911</v>
      </c>
      <c r="D8281" s="22" t="str">
        <f>HYPERLINK("https://rhld.insurance.arkansas.gov/NPILookup?Npi=1093875635","1093875635")</f>
        <v>1093875635</v>
      </c>
      <c r="E8281" s="1" t="s">
        <v>10792</v>
      </c>
      <c r="F8281" s="2"/>
      <c r="G8281" s="2"/>
      <c r="H8281" s="2"/>
    </row>
    <row r="8282" spans="1:8" x14ac:dyDescent="0.25">
      <c r="A8282" s="1"/>
      <c r="B8282" s="1" t="s">
        <v>4910</v>
      </c>
      <c r="C8282" s="1" t="s">
        <v>4911</v>
      </c>
      <c r="D8282" s="22" t="str">
        <f>HYPERLINK("https://rhld.insurance.arkansas.gov/NPILookup?Npi=1104173384","1104173384")</f>
        <v>1104173384</v>
      </c>
      <c r="E8282" s="1" t="s">
        <v>4916</v>
      </c>
      <c r="F8282" s="2"/>
      <c r="G8282" s="2"/>
      <c r="H8282" s="2"/>
    </row>
    <row r="8283" spans="1:8" x14ac:dyDescent="0.25">
      <c r="A8283" s="1"/>
      <c r="B8283" s="1" t="s">
        <v>4910</v>
      </c>
      <c r="C8283" s="1" t="s">
        <v>4911</v>
      </c>
      <c r="D8283" s="22" t="str">
        <f>HYPERLINK("https://rhld.insurance.arkansas.gov/NPILookup?Npi=1114172376","1114172376")</f>
        <v>1114172376</v>
      </c>
      <c r="E8283" s="1" t="s">
        <v>10793</v>
      </c>
      <c r="F8283" s="2"/>
      <c r="G8283" s="2"/>
      <c r="H8283" s="2"/>
    </row>
    <row r="8284" spans="1:8" x14ac:dyDescent="0.25">
      <c r="A8284" s="1"/>
      <c r="B8284" s="1" t="s">
        <v>4910</v>
      </c>
      <c r="C8284" s="1" t="s">
        <v>4911</v>
      </c>
      <c r="D8284" s="22" t="str">
        <f>HYPERLINK("https://rhld.insurance.arkansas.gov/NPILookup?Npi=1114937646","1114937646")</f>
        <v>1114937646</v>
      </c>
      <c r="E8284" s="1" t="s">
        <v>18945</v>
      </c>
      <c r="F8284" s="2"/>
      <c r="G8284" s="2"/>
      <c r="H8284" s="2"/>
    </row>
    <row r="8285" spans="1:8" x14ac:dyDescent="0.25">
      <c r="A8285" s="1"/>
      <c r="B8285" s="1" t="s">
        <v>4910</v>
      </c>
      <c r="C8285" s="1" t="s">
        <v>4911</v>
      </c>
      <c r="D8285" s="22" t="str">
        <f>HYPERLINK("https://rhld.insurance.arkansas.gov/NPILookup?Npi=1114984069","1114984069")</f>
        <v>1114984069</v>
      </c>
      <c r="E8285" s="1" t="s">
        <v>1968</v>
      </c>
      <c r="F8285" s="2"/>
      <c r="G8285" s="2"/>
      <c r="H8285" s="2"/>
    </row>
    <row r="8286" spans="1:8" x14ac:dyDescent="0.25">
      <c r="A8286" s="1"/>
      <c r="B8286" s="1" t="s">
        <v>4910</v>
      </c>
      <c r="C8286" s="1" t="s">
        <v>4911</v>
      </c>
      <c r="D8286" s="22" t="str">
        <f>HYPERLINK("https://rhld.insurance.arkansas.gov/NPILookup?Npi=1114984911","1114984911")</f>
        <v>1114984911</v>
      </c>
      <c r="E8286" s="1" t="s">
        <v>18946</v>
      </c>
      <c r="F8286" s="2"/>
      <c r="G8286" s="2"/>
      <c r="H8286" s="2"/>
    </row>
    <row r="8287" spans="1:8" x14ac:dyDescent="0.25">
      <c r="A8287" s="1"/>
      <c r="B8287" s="1" t="s">
        <v>4910</v>
      </c>
      <c r="C8287" s="1" t="s">
        <v>4911</v>
      </c>
      <c r="D8287" s="22" t="str">
        <f>HYPERLINK("https://rhld.insurance.arkansas.gov/NPILookup?Npi=1124021258","1124021258")</f>
        <v>1124021258</v>
      </c>
      <c r="E8287" s="1" t="s">
        <v>18947</v>
      </c>
      <c r="F8287" s="2"/>
      <c r="G8287" s="2"/>
      <c r="H8287" s="2"/>
    </row>
    <row r="8288" spans="1:8" x14ac:dyDescent="0.25">
      <c r="A8288" s="1"/>
      <c r="B8288" s="1" t="s">
        <v>4910</v>
      </c>
      <c r="C8288" s="1" t="s">
        <v>4911</v>
      </c>
      <c r="D8288" s="22" t="str">
        <f>HYPERLINK("https://rhld.insurance.arkansas.gov/NPILookup?Npi=1134343395","1134343395")</f>
        <v>1134343395</v>
      </c>
      <c r="E8288" s="1" t="s">
        <v>10794</v>
      </c>
      <c r="F8288" s="2"/>
      <c r="G8288" s="2"/>
      <c r="H8288" s="2"/>
    </row>
    <row r="8289" spans="1:8" x14ac:dyDescent="0.25">
      <c r="A8289" s="1"/>
      <c r="B8289" s="1" t="s">
        <v>4910</v>
      </c>
      <c r="C8289" s="1" t="s">
        <v>4911</v>
      </c>
      <c r="D8289" s="22" t="str">
        <f>HYPERLINK("https://rhld.insurance.arkansas.gov/NPILookup?Npi=1134363716","1134363716")</f>
        <v>1134363716</v>
      </c>
      <c r="E8289" s="1" t="s">
        <v>4917</v>
      </c>
      <c r="F8289" s="2"/>
      <c r="G8289" s="2"/>
      <c r="H8289" s="2"/>
    </row>
    <row r="8290" spans="1:8" x14ac:dyDescent="0.25">
      <c r="A8290" s="1"/>
      <c r="B8290" s="1" t="s">
        <v>4910</v>
      </c>
      <c r="C8290" s="1" t="s">
        <v>4911</v>
      </c>
      <c r="D8290" s="22" t="str">
        <f>HYPERLINK("https://rhld.insurance.arkansas.gov/NPILookup?Npi=1134484975","1134484975")</f>
        <v>1134484975</v>
      </c>
      <c r="E8290" s="1" t="s">
        <v>4918</v>
      </c>
      <c r="F8290" s="2"/>
      <c r="G8290" s="2"/>
      <c r="H8290" s="2"/>
    </row>
    <row r="8291" spans="1:8" x14ac:dyDescent="0.25">
      <c r="A8291" s="1"/>
      <c r="B8291" s="1" t="s">
        <v>4910</v>
      </c>
      <c r="C8291" s="1" t="s">
        <v>4911</v>
      </c>
      <c r="D8291" s="22" t="str">
        <f>HYPERLINK("https://rhld.insurance.arkansas.gov/NPILookup?Npi=1144330291","1144330291")</f>
        <v>1144330291</v>
      </c>
      <c r="E8291" s="1" t="s">
        <v>18948</v>
      </c>
      <c r="F8291" s="2"/>
      <c r="G8291" s="2"/>
      <c r="H8291" s="2"/>
    </row>
    <row r="8292" spans="1:8" x14ac:dyDescent="0.25">
      <c r="A8292" s="1"/>
      <c r="B8292" s="1" t="s">
        <v>4910</v>
      </c>
      <c r="C8292" s="1" t="s">
        <v>4911</v>
      </c>
      <c r="D8292" s="22" t="str">
        <f>HYPERLINK("https://rhld.insurance.arkansas.gov/NPILookup?Npi=1164834131","1164834131")</f>
        <v>1164834131</v>
      </c>
      <c r="E8292" s="1" t="s">
        <v>18949</v>
      </c>
      <c r="F8292" s="2"/>
      <c r="G8292" s="2"/>
      <c r="H8292" s="2"/>
    </row>
    <row r="8293" spans="1:8" x14ac:dyDescent="0.25">
      <c r="A8293" s="1"/>
      <c r="B8293" s="1" t="s">
        <v>4910</v>
      </c>
      <c r="C8293" s="1" t="s">
        <v>4911</v>
      </c>
      <c r="D8293" s="22" t="str">
        <f>HYPERLINK("https://rhld.insurance.arkansas.gov/NPILookup?Npi=1174722904","1174722904")</f>
        <v>1174722904</v>
      </c>
      <c r="E8293" s="1" t="s">
        <v>18950</v>
      </c>
      <c r="F8293" s="2"/>
      <c r="G8293" s="2"/>
      <c r="H8293" s="2"/>
    </row>
    <row r="8294" spans="1:8" x14ac:dyDescent="0.25">
      <c r="A8294" s="1"/>
      <c r="B8294" s="1" t="s">
        <v>4910</v>
      </c>
      <c r="C8294" s="1" t="s">
        <v>4911</v>
      </c>
      <c r="D8294" s="22" t="str">
        <f>HYPERLINK("https://rhld.insurance.arkansas.gov/NPILookup?Npi=1184835837","1184835837")</f>
        <v>1184835837</v>
      </c>
      <c r="E8294" s="1" t="s">
        <v>18951</v>
      </c>
      <c r="F8294" s="2"/>
      <c r="G8294" s="2"/>
      <c r="H8294" s="2"/>
    </row>
    <row r="8295" spans="1:8" x14ac:dyDescent="0.25">
      <c r="A8295" s="1"/>
      <c r="B8295" s="1" t="s">
        <v>4910</v>
      </c>
      <c r="C8295" s="1" t="s">
        <v>4911</v>
      </c>
      <c r="D8295" s="22" t="str">
        <f>HYPERLINK("https://rhld.insurance.arkansas.gov/NPILookup?Npi=1184855686","1184855686")</f>
        <v>1184855686</v>
      </c>
      <c r="E8295" s="1" t="s">
        <v>10795</v>
      </c>
      <c r="F8295" s="2"/>
      <c r="G8295" s="2"/>
      <c r="H8295" s="2"/>
    </row>
    <row r="8296" spans="1:8" x14ac:dyDescent="0.25">
      <c r="A8296" s="1"/>
      <c r="B8296" s="1" t="s">
        <v>4910</v>
      </c>
      <c r="C8296" s="1" t="s">
        <v>4911</v>
      </c>
      <c r="D8296" s="22" t="str">
        <f>HYPERLINK("https://rhld.insurance.arkansas.gov/NPILookup?Npi=1194921551","1194921551")</f>
        <v>1194921551</v>
      </c>
      <c r="E8296" s="1" t="s">
        <v>4919</v>
      </c>
      <c r="F8296" s="2"/>
      <c r="G8296" s="2"/>
      <c r="H8296" s="2"/>
    </row>
    <row r="8297" spans="1:8" x14ac:dyDescent="0.25">
      <c r="A8297" s="1"/>
      <c r="B8297" s="1" t="s">
        <v>4910</v>
      </c>
      <c r="C8297" s="1" t="s">
        <v>4911</v>
      </c>
      <c r="D8297" s="22" t="str">
        <f>HYPERLINK("https://rhld.insurance.arkansas.gov/NPILookup?Npi=1205093283","1205093283")</f>
        <v>1205093283</v>
      </c>
      <c r="E8297" s="1" t="s">
        <v>4920</v>
      </c>
      <c r="F8297" s="2"/>
      <c r="G8297" s="2"/>
      <c r="H8297" s="2"/>
    </row>
    <row r="8298" spans="1:8" x14ac:dyDescent="0.25">
      <c r="A8298" s="1"/>
      <c r="B8298" s="1" t="s">
        <v>4910</v>
      </c>
      <c r="C8298" s="1" t="s">
        <v>4911</v>
      </c>
      <c r="D8298" s="22" t="str">
        <f>HYPERLINK("https://rhld.insurance.arkansas.gov/NPILookup?Npi=1215341151","1215341151")</f>
        <v>1215341151</v>
      </c>
      <c r="E8298" s="1" t="s">
        <v>4921</v>
      </c>
      <c r="F8298" s="2"/>
      <c r="G8298" s="2"/>
      <c r="H8298" s="2"/>
    </row>
    <row r="8299" spans="1:8" x14ac:dyDescent="0.25">
      <c r="A8299" s="1"/>
      <c r="B8299" s="1" t="s">
        <v>4910</v>
      </c>
      <c r="C8299" s="1" t="s">
        <v>4911</v>
      </c>
      <c r="D8299" s="22" t="str">
        <f>HYPERLINK("https://rhld.insurance.arkansas.gov/NPILookup?Npi=1255431110","1255431110")</f>
        <v>1255431110</v>
      </c>
      <c r="E8299" s="1" t="s">
        <v>18952</v>
      </c>
      <c r="F8299" s="2"/>
      <c r="G8299" s="2"/>
      <c r="H8299" s="2"/>
    </row>
    <row r="8300" spans="1:8" x14ac:dyDescent="0.25">
      <c r="A8300" s="1"/>
      <c r="B8300" s="1" t="s">
        <v>4910</v>
      </c>
      <c r="C8300" s="1" t="s">
        <v>4911</v>
      </c>
      <c r="D8300" s="22" t="str">
        <f>HYPERLINK("https://rhld.insurance.arkansas.gov/NPILookup?Npi=1255586202","1255586202")</f>
        <v>1255586202</v>
      </c>
      <c r="E8300" s="1" t="s">
        <v>4922</v>
      </c>
      <c r="F8300" s="2"/>
      <c r="G8300" s="2"/>
      <c r="H8300" s="2"/>
    </row>
    <row r="8301" spans="1:8" x14ac:dyDescent="0.25">
      <c r="A8301" s="1"/>
      <c r="B8301" s="1" t="s">
        <v>4910</v>
      </c>
      <c r="C8301" s="1" t="s">
        <v>4911</v>
      </c>
      <c r="D8301" s="22" t="str">
        <f>HYPERLINK("https://rhld.insurance.arkansas.gov/NPILookup?Npi=1255680625","1255680625")</f>
        <v>1255680625</v>
      </c>
      <c r="E8301" s="1" t="s">
        <v>18953</v>
      </c>
      <c r="F8301" s="2"/>
      <c r="G8301" s="2"/>
      <c r="H8301" s="2"/>
    </row>
    <row r="8302" spans="1:8" x14ac:dyDescent="0.25">
      <c r="A8302" s="1"/>
      <c r="B8302" s="1" t="s">
        <v>4910</v>
      </c>
      <c r="C8302" s="1" t="s">
        <v>4911</v>
      </c>
      <c r="D8302" s="22" t="str">
        <f>HYPERLINK("https://rhld.insurance.arkansas.gov/NPILookup?Npi=1265411318","1265411318")</f>
        <v>1265411318</v>
      </c>
      <c r="E8302" s="1" t="s">
        <v>18954</v>
      </c>
      <c r="F8302" s="2"/>
      <c r="G8302" s="2"/>
      <c r="H8302" s="2"/>
    </row>
    <row r="8303" spans="1:8" x14ac:dyDescent="0.25">
      <c r="A8303" s="1"/>
      <c r="B8303" s="1" t="s">
        <v>4910</v>
      </c>
      <c r="C8303" s="1" t="s">
        <v>4911</v>
      </c>
      <c r="D8303" s="22" t="str">
        <f>HYPERLINK("https://rhld.insurance.arkansas.gov/NPILookup?Npi=1265656425","1265656425")</f>
        <v>1265656425</v>
      </c>
      <c r="E8303" s="1" t="s">
        <v>18955</v>
      </c>
      <c r="F8303" s="2"/>
      <c r="G8303" s="2"/>
      <c r="H8303" s="2"/>
    </row>
    <row r="8304" spans="1:8" x14ac:dyDescent="0.25">
      <c r="A8304" s="1"/>
      <c r="B8304" s="1" t="s">
        <v>4910</v>
      </c>
      <c r="C8304" s="1" t="s">
        <v>4911</v>
      </c>
      <c r="D8304" s="22" t="str">
        <f>HYPERLINK("https://rhld.insurance.arkansas.gov/NPILookup?Npi=1265749626","1265749626")</f>
        <v>1265749626</v>
      </c>
      <c r="E8304" s="1" t="s">
        <v>4923</v>
      </c>
      <c r="F8304" s="2"/>
      <c r="G8304" s="2"/>
      <c r="H8304" s="2"/>
    </row>
    <row r="8305" spans="1:8" x14ac:dyDescent="0.25">
      <c r="A8305" s="1"/>
      <c r="B8305" s="1" t="s">
        <v>4910</v>
      </c>
      <c r="C8305" s="1" t="s">
        <v>4911</v>
      </c>
      <c r="D8305" s="22" t="str">
        <f>HYPERLINK("https://rhld.insurance.arkansas.gov/NPILookup?Npi=1275598781","1275598781")</f>
        <v>1275598781</v>
      </c>
      <c r="E8305" s="1" t="s">
        <v>18956</v>
      </c>
      <c r="F8305" s="2"/>
      <c r="G8305" s="2"/>
      <c r="H8305" s="2"/>
    </row>
    <row r="8306" spans="1:8" x14ac:dyDescent="0.25">
      <c r="A8306" s="1"/>
      <c r="B8306" s="1" t="s">
        <v>4910</v>
      </c>
      <c r="C8306" s="1" t="s">
        <v>4911</v>
      </c>
      <c r="D8306" s="22" t="str">
        <f>HYPERLINK("https://rhld.insurance.arkansas.gov/NPILookup?Npi=1285689091","1285689091")</f>
        <v>1285689091</v>
      </c>
      <c r="E8306" s="1" t="s">
        <v>18957</v>
      </c>
      <c r="F8306" s="2"/>
      <c r="G8306" s="2"/>
      <c r="H8306" s="2"/>
    </row>
    <row r="8307" spans="1:8" x14ac:dyDescent="0.25">
      <c r="A8307" s="1"/>
      <c r="B8307" s="1" t="s">
        <v>4910</v>
      </c>
      <c r="C8307" s="1" t="s">
        <v>4911</v>
      </c>
      <c r="D8307" s="22" t="str">
        <f>HYPERLINK("https://rhld.insurance.arkansas.gov/NPILookup?Npi=1295770709","1295770709")</f>
        <v>1295770709</v>
      </c>
      <c r="E8307" s="1" t="s">
        <v>18958</v>
      </c>
      <c r="F8307" s="2"/>
      <c r="G8307" s="2"/>
      <c r="H8307" s="2"/>
    </row>
    <row r="8308" spans="1:8" x14ac:dyDescent="0.25">
      <c r="A8308" s="1"/>
      <c r="B8308" s="1" t="s">
        <v>4910</v>
      </c>
      <c r="C8308" s="1" t="s">
        <v>4911</v>
      </c>
      <c r="D8308" s="22" t="str">
        <f>HYPERLINK("https://rhld.insurance.arkansas.gov/NPILookup?Npi=1295774388","1295774388")</f>
        <v>1295774388</v>
      </c>
      <c r="E8308" s="1" t="s">
        <v>4924</v>
      </c>
      <c r="F8308" s="2"/>
      <c r="G8308" s="2"/>
      <c r="H8308" s="2"/>
    </row>
    <row r="8309" spans="1:8" x14ac:dyDescent="0.25">
      <c r="A8309" s="1"/>
      <c r="B8309" s="1" t="s">
        <v>4910</v>
      </c>
      <c r="C8309" s="1" t="s">
        <v>4911</v>
      </c>
      <c r="D8309" s="22" t="str">
        <f>HYPERLINK("https://rhld.insurance.arkansas.gov/NPILookup?Npi=1295959450","1295959450")</f>
        <v>1295959450</v>
      </c>
      <c r="E8309" s="1" t="s">
        <v>18959</v>
      </c>
      <c r="F8309" s="2"/>
      <c r="G8309" s="2"/>
      <c r="H8309" s="2"/>
    </row>
    <row r="8310" spans="1:8" x14ac:dyDescent="0.25">
      <c r="A8310" s="1"/>
      <c r="B8310" s="1" t="s">
        <v>4910</v>
      </c>
      <c r="C8310" s="1" t="s">
        <v>4911</v>
      </c>
      <c r="D8310" s="22" t="str">
        <f>HYPERLINK("https://rhld.insurance.arkansas.gov/NPILookup?Npi=1295981702","1295981702")</f>
        <v>1295981702</v>
      </c>
      <c r="E8310" s="1" t="s">
        <v>3133</v>
      </c>
      <c r="F8310" s="2"/>
      <c r="G8310" s="2"/>
      <c r="H8310" s="2"/>
    </row>
    <row r="8311" spans="1:8" x14ac:dyDescent="0.25">
      <c r="A8311" s="1"/>
      <c r="B8311" s="1" t="s">
        <v>4910</v>
      </c>
      <c r="C8311" s="1" t="s">
        <v>4911</v>
      </c>
      <c r="D8311" s="22" t="str">
        <f>HYPERLINK("https://rhld.insurance.arkansas.gov/NPILookup?Npi=1306004577","1306004577")</f>
        <v>1306004577</v>
      </c>
      <c r="E8311" s="1" t="s">
        <v>31544</v>
      </c>
      <c r="F8311" s="2"/>
      <c r="G8311" s="2"/>
      <c r="H8311" s="2"/>
    </row>
    <row r="8312" spans="1:8" x14ac:dyDescent="0.25">
      <c r="A8312" s="1"/>
      <c r="B8312" s="1" t="s">
        <v>4910</v>
      </c>
      <c r="C8312" s="1" t="s">
        <v>4911</v>
      </c>
      <c r="D8312" s="22" t="str">
        <f>HYPERLINK("https://rhld.insurance.arkansas.gov/NPILookup?Npi=1306887187","1306887187")</f>
        <v>1306887187</v>
      </c>
      <c r="E8312" s="1" t="s">
        <v>4925</v>
      </c>
      <c r="F8312" s="2"/>
      <c r="G8312" s="2"/>
      <c r="H8312" s="2"/>
    </row>
    <row r="8313" spans="1:8" x14ac:dyDescent="0.25">
      <c r="A8313" s="1"/>
      <c r="B8313" s="1" t="s">
        <v>4910</v>
      </c>
      <c r="C8313" s="1" t="s">
        <v>4911</v>
      </c>
      <c r="D8313" s="22" t="str">
        <f>HYPERLINK("https://rhld.insurance.arkansas.gov/NPILookup?Npi=1316100092","1316100092")</f>
        <v>1316100092</v>
      </c>
      <c r="E8313" s="1" t="s">
        <v>18960</v>
      </c>
      <c r="F8313" s="2"/>
      <c r="G8313" s="2"/>
      <c r="H8313" s="2"/>
    </row>
    <row r="8314" spans="1:8" x14ac:dyDescent="0.25">
      <c r="A8314" s="1"/>
      <c r="B8314" s="1" t="s">
        <v>4910</v>
      </c>
      <c r="C8314" s="1" t="s">
        <v>4911</v>
      </c>
      <c r="D8314" s="22" t="str">
        <f>HYPERLINK("https://rhld.insurance.arkansas.gov/NPILookup?Npi=1326305590","1326305590")</f>
        <v>1326305590</v>
      </c>
      <c r="E8314" s="1" t="s">
        <v>18961</v>
      </c>
      <c r="F8314" s="2"/>
      <c r="G8314" s="2"/>
      <c r="H8314" s="2"/>
    </row>
    <row r="8315" spans="1:8" x14ac:dyDescent="0.25">
      <c r="A8315" s="1"/>
      <c r="B8315" s="1" t="s">
        <v>4910</v>
      </c>
      <c r="C8315" s="1" t="s">
        <v>4911</v>
      </c>
      <c r="D8315" s="22" t="str">
        <f>HYPERLINK("https://rhld.insurance.arkansas.gov/NPILookup?Npi=1326434465","1326434465")</f>
        <v>1326434465</v>
      </c>
      <c r="E8315" s="1" t="s">
        <v>10796</v>
      </c>
      <c r="F8315" s="2"/>
      <c r="G8315" s="2"/>
      <c r="H8315" s="2"/>
    </row>
    <row r="8316" spans="1:8" x14ac:dyDescent="0.25">
      <c r="A8316" s="1"/>
      <c r="B8316" s="1" t="s">
        <v>4910</v>
      </c>
      <c r="C8316" s="1" t="s">
        <v>4911</v>
      </c>
      <c r="D8316" s="22" t="str">
        <f>HYPERLINK("https://rhld.insurance.arkansas.gov/NPILookup?Npi=1346235611","1346235611")</f>
        <v>1346235611</v>
      </c>
      <c r="E8316" s="1" t="s">
        <v>10797</v>
      </c>
      <c r="F8316" s="2"/>
      <c r="G8316" s="2"/>
      <c r="H8316" s="2"/>
    </row>
    <row r="8317" spans="1:8" x14ac:dyDescent="0.25">
      <c r="A8317" s="1"/>
      <c r="B8317" s="1" t="s">
        <v>4910</v>
      </c>
      <c r="C8317" s="1" t="s">
        <v>4911</v>
      </c>
      <c r="D8317" s="22" t="str">
        <f>HYPERLINK("https://rhld.insurance.arkansas.gov/NPILookup?Npi=1356318059","1356318059")</f>
        <v>1356318059</v>
      </c>
      <c r="E8317" s="1" t="s">
        <v>18962</v>
      </c>
      <c r="F8317" s="2"/>
      <c r="G8317" s="2"/>
      <c r="H8317" s="2"/>
    </row>
    <row r="8318" spans="1:8" x14ac:dyDescent="0.25">
      <c r="A8318" s="1"/>
      <c r="B8318" s="1" t="s">
        <v>4910</v>
      </c>
      <c r="C8318" s="1" t="s">
        <v>4911</v>
      </c>
      <c r="D8318" s="22" t="str">
        <f>HYPERLINK("https://rhld.insurance.arkansas.gov/NPILookup?Npi=1356318661","1356318661")</f>
        <v>1356318661</v>
      </c>
      <c r="E8318" s="1" t="s">
        <v>18963</v>
      </c>
      <c r="F8318" s="2"/>
      <c r="G8318" s="2"/>
      <c r="H8318" s="2"/>
    </row>
    <row r="8319" spans="1:8" x14ac:dyDescent="0.25">
      <c r="A8319" s="1"/>
      <c r="B8319" s="1" t="s">
        <v>4910</v>
      </c>
      <c r="C8319" s="1" t="s">
        <v>4911</v>
      </c>
      <c r="D8319" s="22" t="str">
        <f>HYPERLINK("https://rhld.insurance.arkansas.gov/NPILookup?Npi=1376596452","1376596452")</f>
        <v>1376596452</v>
      </c>
      <c r="E8319" s="1" t="s">
        <v>4926</v>
      </c>
      <c r="F8319" s="2"/>
      <c r="G8319" s="2"/>
      <c r="H8319" s="2"/>
    </row>
    <row r="8320" spans="1:8" x14ac:dyDescent="0.25">
      <c r="A8320" s="1"/>
      <c r="B8320" s="1" t="s">
        <v>4910</v>
      </c>
      <c r="C8320" s="1" t="s">
        <v>4911</v>
      </c>
      <c r="D8320" s="22" t="str">
        <f>HYPERLINK("https://rhld.insurance.arkansas.gov/NPILookup?Npi=1376744532","1376744532")</f>
        <v>1376744532</v>
      </c>
      <c r="E8320" s="1" t="s">
        <v>18964</v>
      </c>
      <c r="F8320" s="2"/>
      <c r="G8320" s="2"/>
      <c r="H8320" s="2"/>
    </row>
    <row r="8321" spans="1:8" x14ac:dyDescent="0.25">
      <c r="A8321" s="1"/>
      <c r="B8321" s="1" t="s">
        <v>4910</v>
      </c>
      <c r="C8321" s="1" t="s">
        <v>4911</v>
      </c>
      <c r="D8321" s="22" t="str">
        <f>HYPERLINK("https://rhld.insurance.arkansas.gov/NPILookup?Npi=1386728996","1386728996")</f>
        <v>1386728996</v>
      </c>
      <c r="E8321" s="1" t="s">
        <v>10798</v>
      </c>
      <c r="F8321" s="2"/>
      <c r="G8321" s="2"/>
      <c r="H8321" s="2"/>
    </row>
    <row r="8322" spans="1:8" x14ac:dyDescent="0.25">
      <c r="A8322" s="1"/>
      <c r="B8322" s="1" t="s">
        <v>4910</v>
      </c>
      <c r="C8322" s="1" t="s">
        <v>4911</v>
      </c>
      <c r="D8322" s="22" t="str">
        <f>HYPERLINK("https://rhld.insurance.arkansas.gov/NPILookup?Npi=1386734861","1386734861")</f>
        <v>1386734861</v>
      </c>
      <c r="E8322" s="1" t="s">
        <v>10799</v>
      </c>
      <c r="F8322" s="2"/>
      <c r="G8322" s="2"/>
      <c r="H8322" s="2"/>
    </row>
    <row r="8323" spans="1:8" x14ac:dyDescent="0.25">
      <c r="A8323" s="1"/>
      <c r="B8323" s="1" t="s">
        <v>4910</v>
      </c>
      <c r="C8323" s="1" t="s">
        <v>4911</v>
      </c>
      <c r="D8323" s="22" t="str">
        <f>HYPERLINK("https://rhld.insurance.arkansas.gov/NPILookup?Npi=1396921623","1396921623")</f>
        <v>1396921623</v>
      </c>
      <c r="E8323" s="1" t="s">
        <v>4927</v>
      </c>
      <c r="F8323" s="2"/>
      <c r="G8323" s="2"/>
      <c r="H8323" s="2"/>
    </row>
    <row r="8324" spans="1:8" x14ac:dyDescent="0.25">
      <c r="A8324" s="1"/>
      <c r="B8324" s="1" t="s">
        <v>4910</v>
      </c>
      <c r="C8324" s="1" t="s">
        <v>4911</v>
      </c>
      <c r="D8324" s="22" t="str">
        <f>HYPERLINK("https://rhld.insurance.arkansas.gov/NPILookup?Npi=1407011968","1407011968")</f>
        <v>1407011968</v>
      </c>
      <c r="E8324" s="1" t="s">
        <v>10800</v>
      </c>
      <c r="F8324" s="2"/>
      <c r="G8324" s="2"/>
      <c r="H8324" s="2"/>
    </row>
    <row r="8325" spans="1:8" x14ac:dyDescent="0.25">
      <c r="A8325" s="1"/>
      <c r="B8325" s="1" t="s">
        <v>4910</v>
      </c>
      <c r="C8325" s="1" t="s">
        <v>4911</v>
      </c>
      <c r="D8325" s="22" t="str">
        <f>HYPERLINK("https://rhld.insurance.arkansas.gov/NPILookup?Npi=1407060569","1407060569")</f>
        <v>1407060569</v>
      </c>
      <c r="E8325" s="1" t="s">
        <v>3141</v>
      </c>
      <c r="F8325" s="2"/>
      <c r="G8325" s="2"/>
      <c r="H8325" s="2"/>
    </row>
    <row r="8326" spans="1:8" x14ac:dyDescent="0.25">
      <c r="A8326" s="1"/>
      <c r="B8326" s="1" t="s">
        <v>4910</v>
      </c>
      <c r="C8326" s="1" t="s">
        <v>4911</v>
      </c>
      <c r="D8326" s="22" t="str">
        <f>HYPERLINK("https://rhld.insurance.arkansas.gov/NPILookup?Npi=1417260704","1417260704")</f>
        <v>1417260704</v>
      </c>
      <c r="E8326" s="1" t="s">
        <v>18965</v>
      </c>
      <c r="F8326" s="2"/>
      <c r="G8326" s="2"/>
      <c r="H8326" s="2"/>
    </row>
    <row r="8327" spans="1:8" x14ac:dyDescent="0.25">
      <c r="A8327" s="1"/>
      <c r="B8327" s="1" t="s">
        <v>4910</v>
      </c>
      <c r="C8327" s="1" t="s">
        <v>4911</v>
      </c>
      <c r="D8327" s="22" t="str">
        <f>HYPERLINK("https://rhld.insurance.arkansas.gov/NPILookup?Npi=1417362708","1417362708")</f>
        <v>1417362708</v>
      </c>
      <c r="E8327" s="1" t="s">
        <v>18966</v>
      </c>
      <c r="F8327" s="2"/>
      <c r="G8327" s="2"/>
      <c r="H8327" s="2"/>
    </row>
    <row r="8328" spans="1:8" x14ac:dyDescent="0.25">
      <c r="A8328" s="1"/>
      <c r="B8328" s="1" t="s">
        <v>4910</v>
      </c>
      <c r="C8328" s="1" t="s">
        <v>4911</v>
      </c>
      <c r="D8328" s="22" t="str">
        <f>HYPERLINK("https://rhld.insurance.arkansas.gov/NPILookup?Npi=1417913799","1417913799")</f>
        <v>1417913799</v>
      </c>
      <c r="E8328" s="1" t="s">
        <v>18967</v>
      </c>
      <c r="F8328" s="2"/>
      <c r="G8328" s="2"/>
      <c r="H8328" s="2"/>
    </row>
    <row r="8329" spans="1:8" x14ac:dyDescent="0.25">
      <c r="A8329" s="1"/>
      <c r="B8329" s="1" t="s">
        <v>4910</v>
      </c>
      <c r="C8329" s="1" t="s">
        <v>4911</v>
      </c>
      <c r="D8329" s="22" t="str">
        <f>HYPERLINK("https://rhld.insurance.arkansas.gov/NPILookup?Npi=1417927807","1417927807")</f>
        <v>1417927807</v>
      </c>
      <c r="E8329" s="1" t="s">
        <v>4928</v>
      </c>
      <c r="F8329" s="2"/>
      <c r="G8329" s="2"/>
      <c r="H8329" s="2"/>
    </row>
    <row r="8330" spans="1:8" x14ac:dyDescent="0.25">
      <c r="A8330" s="1"/>
      <c r="B8330" s="1" t="s">
        <v>4910</v>
      </c>
      <c r="C8330" s="1" t="s">
        <v>4911</v>
      </c>
      <c r="D8330" s="22" t="str">
        <f>HYPERLINK("https://rhld.insurance.arkansas.gov/NPILookup?Npi=1427391721","1427391721")</f>
        <v>1427391721</v>
      </c>
      <c r="E8330" s="1" t="s">
        <v>18968</v>
      </c>
      <c r="F8330" s="2"/>
      <c r="G8330" s="2"/>
      <c r="H8330" s="2"/>
    </row>
    <row r="8331" spans="1:8" x14ac:dyDescent="0.25">
      <c r="A8331" s="1"/>
      <c r="B8331" s="1" t="s">
        <v>4910</v>
      </c>
      <c r="C8331" s="1" t="s">
        <v>4911</v>
      </c>
      <c r="D8331" s="22" t="str">
        <f>HYPERLINK("https://rhld.insurance.arkansas.gov/NPILookup?Npi=1427430214","1427430214")</f>
        <v>1427430214</v>
      </c>
      <c r="E8331" s="1" t="s">
        <v>4929</v>
      </c>
      <c r="F8331" s="2"/>
      <c r="G8331" s="2"/>
      <c r="H8331" s="2"/>
    </row>
    <row r="8332" spans="1:8" x14ac:dyDescent="0.25">
      <c r="A8332" s="1"/>
      <c r="B8332" s="1" t="s">
        <v>4910</v>
      </c>
      <c r="C8332" s="1" t="s">
        <v>4911</v>
      </c>
      <c r="D8332" s="22" t="str">
        <f>HYPERLINK("https://rhld.insurance.arkansas.gov/NPILookup?Npi=1437684149","1437684149")</f>
        <v>1437684149</v>
      </c>
      <c r="E8332" s="1" t="s">
        <v>4930</v>
      </c>
      <c r="F8332" s="2"/>
      <c r="G8332" s="2"/>
      <c r="H8332" s="2"/>
    </row>
    <row r="8333" spans="1:8" x14ac:dyDescent="0.25">
      <c r="A8333" s="1"/>
      <c r="B8333" s="1" t="s">
        <v>4910</v>
      </c>
      <c r="C8333" s="1" t="s">
        <v>4911</v>
      </c>
      <c r="D8333" s="22" t="str">
        <f>HYPERLINK("https://rhld.insurance.arkansas.gov/NPILookup?Npi=1447781000","1447781000")</f>
        <v>1447781000</v>
      </c>
      <c r="E8333" s="1" t="s">
        <v>18969</v>
      </c>
      <c r="F8333" s="2"/>
      <c r="G8333" s="2"/>
      <c r="H8333" s="2"/>
    </row>
    <row r="8334" spans="1:8" x14ac:dyDescent="0.25">
      <c r="A8334" s="1"/>
      <c r="B8334" s="1" t="s">
        <v>4910</v>
      </c>
      <c r="C8334" s="1" t="s">
        <v>4911</v>
      </c>
      <c r="D8334" s="22" t="str">
        <f>HYPERLINK("https://rhld.insurance.arkansas.gov/NPILookup?Npi=1467410324","1467410324")</f>
        <v>1467410324</v>
      </c>
      <c r="E8334" s="1" t="s">
        <v>18970</v>
      </c>
      <c r="F8334" s="2"/>
      <c r="G8334" s="2"/>
      <c r="H8334" s="2"/>
    </row>
    <row r="8335" spans="1:8" x14ac:dyDescent="0.25">
      <c r="A8335" s="1"/>
      <c r="B8335" s="1" t="s">
        <v>4910</v>
      </c>
      <c r="C8335" s="1" t="s">
        <v>4911</v>
      </c>
      <c r="D8335" s="22" t="str">
        <f>HYPERLINK("https://rhld.insurance.arkansas.gov/NPILookup?Npi=1467774844","1467774844")</f>
        <v>1467774844</v>
      </c>
      <c r="E8335" s="1" t="s">
        <v>4931</v>
      </c>
      <c r="F8335" s="2"/>
      <c r="G8335" s="2"/>
      <c r="H8335" s="2"/>
    </row>
    <row r="8336" spans="1:8" x14ac:dyDescent="0.25">
      <c r="A8336" s="1"/>
      <c r="B8336" s="1" t="s">
        <v>4910</v>
      </c>
      <c r="C8336" s="1" t="s">
        <v>4911</v>
      </c>
      <c r="D8336" s="22" t="str">
        <f>HYPERLINK("https://rhld.insurance.arkansas.gov/NPILookup?Npi=1477556041","1477556041")</f>
        <v>1477556041</v>
      </c>
      <c r="E8336" s="1" t="s">
        <v>18971</v>
      </c>
      <c r="F8336" s="2"/>
      <c r="G8336" s="2"/>
      <c r="H8336" s="2"/>
    </row>
    <row r="8337" spans="1:8" x14ac:dyDescent="0.25">
      <c r="A8337" s="1"/>
      <c r="B8337" s="1" t="s">
        <v>4910</v>
      </c>
      <c r="C8337" s="1" t="s">
        <v>4911</v>
      </c>
      <c r="D8337" s="22" t="str">
        <f>HYPERLINK("https://rhld.insurance.arkansas.gov/NPILookup?Npi=1477937548","1477937548")</f>
        <v>1477937548</v>
      </c>
      <c r="E8337" s="1" t="s">
        <v>10801</v>
      </c>
      <c r="F8337" s="2"/>
      <c r="G8337" s="2"/>
      <c r="H8337" s="2"/>
    </row>
    <row r="8338" spans="1:8" x14ac:dyDescent="0.25">
      <c r="A8338" s="1"/>
      <c r="B8338" s="1" t="s">
        <v>4910</v>
      </c>
      <c r="C8338" s="1" t="s">
        <v>4911</v>
      </c>
      <c r="D8338" s="22" t="str">
        <f>HYPERLINK("https://rhld.insurance.arkansas.gov/NPILookup?Npi=1477964039","1477964039")</f>
        <v>1477964039</v>
      </c>
      <c r="E8338" s="1" t="s">
        <v>18972</v>
      </c>
      <c r="F8338" s="2"/>
      <c r="G8338" s="2"/>
      <c r="H8338" s="2"/>
    </row>
    <row r="8339" spans="1:8" x14ac:dyDescent="0.25">
      <c r="A8339" s="1"/>
      <c r="B8339" s="1" t="s">
        <v>4910</v>
      </c>
      <c r="C8339" s="1" t="s">
        <v>4911</v>
      </c>
      <c r="D8339" s="22" t="str">
        <f>HYPERLINK("https://rhld.insurance.arkansas.gov/NPILookup?Npi=1497013304","1497013304")</f>
        <v>1497013304</v>
      </c>
      <c r="E8339" s="1" t="s">
        <v>4932</v>
      </c>
      <c r="F8339" s="2"/>
      <c r="G8339" s="2"/>
      <c r="H8339" s="2"/>
    </row>
    <row r="8340" spans="1:8" x14ac:dyDescent="0.25">
      <c r="A8340" s="1"/>
      <c r="B8340" s="1" t="s">
        <v>4910</v>
      </c>
      <c r="C8340" s="1" t="s">
        <v>4911</v>
      </c>
      <c r="D8340" s="22" t="str">
        <f>HYPERLINK("https://rhld.insurance.arkansas.gov/NPILookup?Npi=1518197524","1518197524")</f>
        <v>1518197524</v>
      </c>
      <c r="E8340" s="1" t="s">
        <v>4933</v>
      </c>
      <c r="F8340" s="2"/>
      <c r="G8340" s="2"/>
      <c r="H8340" s="2"/>
    </row>
    <row r="8341" spans="1:8" x14ac:dyDescent="0.25">
      <c r="A8341" s="1"/>
      <c r="B8341" s="1" t="s">
        <v>4910</v>
      </c>
      <c r="C8341" s="1" t="s">
        <v>4911</v>
      </c>
      <c r="D8341" s="22" t="str">
        <f>HYPERLINK("https://rhld.insurance.arkansas.gov/NPILookup?Npi=1528283819","1528283819")</f>
        <v>1528283819</v>
      </c>
      <c r="E8341" s="1" t="s">
        <v>18973</v>
      </c>
      <c r="F8341" s="2"/>
      <c r="G8341" s="2"/>
      <c r="H8341" s="2"/>
    </row>
    <row r="8342" spans="1:8" x14ac:dyDescent="0.25">
      <c r="A8342" s="1"/>
      <c r="B8342" s="1" t="s">
        <v>4910</v>
      </c>
      <c r="C8342" s="1" t="s">
        <v>4911</v>
      </c>
      <c r="D8342" s="22" t="str">
        <f>HYPERLINK("https://rhld.insurance.arkansas.gov/NPILookup?Npi=1538384623","1538384623")</f>
        <v>1538384623</v>
      </c>
      <c r="E8342" s="1" t="s">
        <v>18974</v>
      </c>
      <c r="F8342" s="2"/>
      <c r="G8342" s="2"/>
      <c r="H8342" s="2"/>
    </row>
    <row r="8343" spans="1:8" x14ac:dyDescent="0.25">
      <c r="A8343" s="1"/>
      <c r="B8343" s="1" t="s">
        <v>4910</v>
      </c>
      <c r="C8343" s="1" t="s">
        <v>4911</v>
      </c>
      <c r="D8343" s="22" t="str">
        <f>HYPERLINK("https://rhld.insurance.arkansas.gov/NPILookup?Npi=1538680590","1538680590")</f>
        <v>1538680590</v>
      </c>
      <c r="E8343" s="1" t="s">
        <v>4934</v>
      </c>
      <c r="F8343" s="2"/>
      <c r="G8343" s="2"/>
      <c r="H8343" s="2"/>
    </row>
    <row r="8344" spans="1:8" x14ac:dyDescent="0.25">
      <c r="A8344" s="1"/>
      <c r="B8344" s="1" t="s">
        <v>4910</v>
      </c>
      <c r="C8344" s="1" t="s">
        <v>4911</v>
      </c>
      <c r="D8344" s="22" t="str">
        <f>HYPERLINK("https://rhld.insurance.arkansas.gov/NPILookup?Npi=1558336602","1558336602")</f>
        <v>1558336602</v>
      </c>
      <c r="E8344" s="1" t="s">
        <v>18975</v>
      </c>
      <c r="F8344" s="2"/>
      <c r="G8344" s="2"/>
      <c r="H8344" s="2"/>
    </row>
    <row r="8345" spans="1:8" x14ac:dyDescent="0.25">
      <c r="A8345" s="1"/>
      <c r="B8345" s="1" t="s">
        <v>4910</v>
      </c>
      <c r="C8345" s="1" t="s">
        <v>4911</v>
      </c>
      <c r="D8345" s="22" t="str">
        <f>HYPERLINK("https://rhld.insurance.arkansas.gov/NPILookup?Npi=1558777821","1558777821")</f>
        <v>1558777821</v>
      </c>
      <c r="E8345" s="1" t="s">
        <v>18945</v>
      </c>
      <c r="F8345" s="2"/>
      <c r="G8345" s="2"/>
      <c r="H8345" s="2"/>
    </row>
    <row r="8346" spans="1:8" x14ac:dyDescent="0.25">
      <c r="A8346" s="1"/>
      <c r="B8346" s="1" t="s">
        <v>4910</v>
      </c>
      <c r="C8346" s="1" t="s">
        <v>4911</v>
      </c>
      <c r="D8346" s="22" t="str">
        <f>HYPERLINK("https://rhld.insurance.arkansas.gov/NPILookup?Npi=1568459451","1568459451")</f>
        <v>1568459451</v>
      </c>
      <c r="E8346" s="1" t="s">
        <v>31545</v>
      </c>
      <c r="F8346" s="2"/>
      <c r="G8346" s="2"/>
      <c r="H8346" s="2"/>
    </row>
    <row r="8347" spans="1:8" x14ac:dyDescent="0.25">
      <c r="A8347" s="1"/>
      <c r="B8347" s="1" t="s">
        <v>4910</v>
      </c>
      <c r="C8347" s="1" t="s">
        <v>4911</v>
      </c>
      <c r="D8347" s="22" t="str">
        <f>HYPERLINK("https://rhld.insurance.arkansas.gov/NPILookup?Npi=1578530895","1578530895")</f>
        <v>1578530895</v>
      </c>
      <c r="E8347" s="1" t="s">
        <v>18976</v>
      </c>
      <c r="F8347" s="2"/>
      <c r="G8347" s="2"/>
      <c r="H8347" s="2"/>
    </row>
    <row r="8348" spans="1:8" x14ac:dyDescent="0.25">
      <c r="A8348" s="1"/>
      <c r="B8348" s="1" t="s">
        <v>4910</v>
      </c>
      <c r="C8348" s="1" t="s">
        <v>4911</v>
      </c>
      <c r="D8348" s="22" t="str">
        <f>HYPERLINK("https://rhld.insurance.arkansas.gov/NPILookup?Npi=1609307248","1609307248")</f>
        <v>1609307248</v>
      </c>
      <c r="E8348" s="1" t="s">
        <v>10802</v>
      </c>
      <c r="F8348" s="2"/>
      <c r="G8348" s="2"/>
      <c r="H8348" s="2"/>
    </row>
    <row r="8349" spans="1:8" x14ac:dyDescent="0.25">
      <c r="A8349" s="1"/>
      <c r="B8349" s="1" t="s">
        <v>4910</v>
      </c>
      <c r="C8349" s="1" t="s">
        <v>4911</v>
      </c>
      <c r="D8349" s="22" t="str">
        <f>HYPERLINK("https://rhld.insurance.arkansas.gov/NPILookup?Npi=1619243680","1619243680")</f>
        <v>1619243680</v>
      </c>
      <c r="E8349" s="1" t="s">
        <v>18977</v>
      </c>
      <c r="F8349" s="2"/>
      <c r="G8349" s="2"/>
      <c r="H8349" s="2"/>
    </row>
    <row r="8350" spans="1:8" x14ac:dyDescent="0.25">
      <c r="A8350" s="1"/>
      <c r="B8350" s="1" t="s">
        <v>4910</v>
      </c>
      <c r="C8350" s="1" t="s">
        <v>4911</v>
      </c>
      <c r="D8350" s="22" t="str">
        <f>HYPERLINK("https://rhld.insurance.arkansas.gov/NPILookup?Npi=1629399019","1629399019")</f>
        <v>1629399019</v>
      </c>
      <c r="E8350" s="1" t="s">
        <v>4935</v>
      </c>
      <c r="F8350" s="2"/>
      <c r="G8350" s="2"/>
      <c r="H8350" s="2"/>
    </row>
    <row r="8351" spans="1:8" x14ac:dyDescent="0.25">
      <c r="A8351" s="1"/>
      <c r="B8351" s="1" t="s">
        <v>4910</v>
      </c>
      <c r="C8351" s="1" t="s">
        <v>4911</v>
      </c>
      <c r="D8351" s="22" t="str">
        <f>HYPERLINK("https://rhld.insurance.arkansas.gov/NPILookup?Npi=1639149040","1639149040")</f>
        <v>1639149040</v>
      </c>
      <c r="E8351" s="1" t="s">
        <v>18978</v>
      </c>
      <c r="F8351" s="2"/>
      <c r="G8351" s="2"/>
      <c r="H8351" s="2"/>
    </row>
    <row r="8352" spans="1:8" x14ac:dyDescent="0.25">
      <c r="A8352" s="1"/>
      <c r="B8352" s="1" t="s">
        <v>4910</v>
      </c>
      <c r="C8352" s="1" t="s">
        <v>4911</v>
      </c>
      <c r="D8352" s="22" t="str">
        <f>HYPERLINK("https://rhld.insurance.arkansas.gov/NPILookup?Npi=1639232416","1639232416")</f>
        <v>1639232416</v>
      </c>
      <c r="E8352" s="1" t="s">
        <v>18979</v>
      </c>
      <c r="F8352" s="2"/>
      <c r="G8352" s="2"/>
      <c r="H8352" s="2"/>
    </row>
    <row r="8353" spans="1:8" x14ac:dyDescent="0.25">
      <c r="A8353" s="1"/>
      <c r="B8353" s="1" t="s">
        <v>4910</v>
      </c>
      <c r="C8353" s="1" t="s">
        <v>4911</v>
      </c>
      <c r="D8353" s="22" t="str">
        <f>HYPERLINK("https://rhld.insurance.arkansas.gov/NPILookup?Npi=1649207242","1649207242")</f>
        <v>1649207242</v>
      </c>
      <c r="E8353" s="1" t="s">
        <v>18980</v>
      </c>
      <c r="F8353" s="2"/>
      <c r="G8353" s="2"/>
      <c r="H8353" s="2"/>
    </row>
    <row r="8354" spans="1:8" x14ac:dyDescent="0.25">
      <c r="A8354" s="1"/>
      <c r="B8354" s="1" t="s">
        <v>4910</v>
      </c>
      <c r="C8354" s="1" t="s">
        <v>4911</v>
      </c>
      <c r="D8354" s="22" t="str">
        <f>HYPERLINK("https://rhld.insurance.arkansas.gov/NPILookup?Npi=1649492927","1649492927")</f>
        <v>1649492927</v>
      </c>
      <c r="E8354" s="1" t="s">
        <v>18981</v>
      </c>
      <c r="F8354" s="2"/>
      <c r="G8354" s="2"/>
      <c r="H8354" s="2"/>
    </row>
    <row r="8355" spans="1:8" x14ac:dyDescent="0.25">
      <c r="A8355" s="1"/>
      <c r="B8355" s="1" t="s">
        <v>4910</v>
      </c>
      <c r="C8355" s="1" t="s">
        <v>4911</v>
      </c>
      <c r="D8355" s="22" t="str">
        <f>HYPERLINK("https://rhld.insurance.arkansas.gov/NPILookup?Npi=1649512468","1649512468")</f>
        <v>1649512468</v>
      </c>
      <c r="E8355" s="1" t="s">
        <v>4936</v>
      </c>
      <c r="F8355" s="2"/>
      <c r="G8355" s="2"/>
      <c r="H8355" s="2"/>
    </row>
    <row r="8356" spans="1:8" x14ac:dyDescent="0.25">
      <c r="A8356" s="1"/>
      <c r="B8356" s="1" t="s">
        <v>4910</v>
      </c>
      <c r="C8356" s="1" t="s">
        <v>4911</v>
      </c>
      <c r="D8356" s="22" t="str">
        <f>HYPERLINK("https://rhld.insurance.arkansas.gov/NPILookup?Npi=1689036329","1689036329")</f>
        <v>1689036329</v>
      </c>
      <c r="E8356" s="1" t="s">
        <v>18982</v>
      </c>
      <c r="F8356" s="2"/>
      <c r="G8356" s="2"/>
      <c r="H8356" s="2"/>
    </row>
    <row r="8357" spans="1:8" x14ac:dyDescent="0.25">
      <c r="A8357" s="1"/>
      <c r="B8357" s="1" t="s">
        <v>4910</v>
      </c>
      <c r="C8357" s="1" t="s">
        <v>4911</v>
      </c>
      <c r="D8357" s="22" t="str">
        <f>HYPERLINK("https://rhld.insurance.arkansas.gov/NPILookup?Npi=1689672263","1689672263")</f>
        <v>1689672263</v>
      </c>
      <c r="E8357" s="1" t="s">
        <v>31546</v>
      </c>
      <c r="F8357" s="2"/>
      <c r="G8357" s="2"/>
      <c r="H8357" s="2"/>
    </row>
    <row r="8358" spans="1:8" x14ac:dyDescent="0.25">
      <c r="A8358" s="1"/>
      <c r="B8358" s="1" t="s">
        <v>4910</v>
      </c>
      <c r="C8358" s="1" t="s">
        <v>4911</v>
      </c>
      <c r="D8358" s="22" t="str">
        <f>HYPERLINK("https://rhld.insurance.arkansas.gov/NPILookup?Npi=1689931941","1689931941")</f>
        <v>1689931941</v>
      </c>
      <c r="E8358" s="1" t="s">
        <v>10803</v>
      </c>
      <c r="F8358" s="2"/>
      <c r="G8358" s="2"/>
      <c r="H8358" s="2"/>
    </row>
    <row r="8359" spans="1:8" x14ac:dyDescent="0.25">
      <c r="A8359" s="1"/>
      <c r="B8359" s="1" t="s">
        <v>4910</v>
      </c>
      <c r="C8359" s="1" t="s">
        <v>4911</v>
      </c>
      <c r="D8359" s="22" t="str">
        <f>HYPERLINK("https://rhld.insurance.arkansas.gov/NPILookup?Npi=1699725838","1699725838")</f>
        <v>1699725838</v>
      </c>
      <c r="E8359" s="1" t="s">
        <v>10804</v>
      </c>
      <c r="F8359" s="2"/>
      <c r="G8359" s="2"/>
      <c r="H8359" s="2"/>
    </row>
    <row r="8360" spans="1:8" x14ac:dyDescent="0.25">
      <c r="A8360" s="1"/>
      <c r="B8360" s="1" t="s">
        <v>4910</v>
      </c>
      <c r="C8360" s="1" t="s">
        <v>4911</v>
      </c>
      <c r="D8360" s="22" t="str">
        <f>HYPERLINK("https://rhld.insurance.arkansas.gov/NPILookup?Npi=1710947395","1710947395")</f>
        <v>1710947395</v>
      </c>
      <c r="E8360" s="1" t="s">
        <v>4937</v>
      </c>
      <c r="F8360" s="2"/>
      <c r="G8360" s="2"/>
      <c r="H8360" s="2"/>
    </row>
    <row r="8361" spans="1:8" x14ac:dyDescent="0.25">
      <c r="A8361" s="1"/>
      <c r="B8361" s="1" t="s">
        <v>4910</v>
      </c>
      <c r="C8361" s="1" t="s">
        <v>4911</v>
      </c>
      <c r="D8361" s="22" t="str">
        <f>HYPERLINK("https://rhld.insurance.arkansas.gov/NPILookup?Npi=1730279217","1730279217")</f>
        <v>1730279217</v>
      </c>
      <c r="E8361" s="1" t="s">
        <v>10805</v>
      </c>
      <c r="F8361" s="2"/>
      <c r="G8361" s="2"/>
      <c r="H8361" s="2"/>
    </row>
    <row r="8362" spans="1:8" x14ac:dyDescent="0.25">
      <c r="A8362" s="1"/>
      <c r="B8362" s="1" t="s">
        <v>4910</v>
      </c>
      <c r="C8362" s="1" t="s">
        <v>4911</v>
      </c>
      <c r="D8362" s="22" t="str">
        <f>HYPERLINK("https://rhld.insurance.arkansas.gov/NPILookup?Npi=1740423417","1740423417")</f>
        <v>1740423417</v>
      </c>
      <c r="E8362" s="1" t="s">
        <v>10806</v>
      </c>
      <c r="F8362" s="2"/>
      <c r="G8362" s="2"/>
      <c r="H8362" s="2"/>
    </row>
    <row r="8363" spans="1:8" x14ac:dyDescent="0.25">
      <c r="A8363" s="1"/>
      <c r="B8363" s="1" t="s">
        <v>4910</v>
      </c>
      <c r="C8363" s="1" t="s">
        <v>4911</v>
      </c>
      <c r="D8363" s="22" t="str">
        <f>HYPERLINK("https://rhld.insurance.arkansas.gov/NPILookup?Npi=1750327607","1750327607")</f>
        <v>1750327607</v>
      </c>
      <c r="E8363" s="1" t="s">
        <v>18984</v>
      </c>
      <c r="F8363" s="2"/>
      <c r="G8363" s="2"/>
      <c r="H8363" s="2"/>
    </row>
    <row r="8364" spans="1:8" x14ac:dyDescent="0.25">
      <c r="A8364" s="1"/>
      <c r="B8364" s="1" t="s">
        <v>4910</v>
      </c>
      <c r="C8364" s="1" t="s">
        <v>4911</v>
      </c>
      <c r="D8364" s="22" t="str">
        <f>HYPERLINK("https://rhld.insurance.arkansas.gov/NPILookup?Npi=1770593436","1770593436")</f>
        <v>1770593436</v>
      </c>
      <c r="E8364" s="1" t="s">
        <v>17872</v>
      </c>
      <c r="F8364" s="2"/>
      <c r="G8364" s="2"/>
      <c r="H8364" s="2"/>
    </row>
    <row r="8365" spans="1:8" x14ac:dyDescent="0.25">
      <c r="A8365" s="1"/>
      <c r="B8365" s="1" t="s">
        <v>4910</v>
      </c>
      <c r="C8365" s="1" t="s">
        <v>4911</v>
      </c>
      <c r="D8365" s="22" t="str">
        <f>HYPERLINK("https://rhld.insurance.arkansas.gov/NPILookup?Npi=1770707234","1770707234")</f>
        <v>1770707234</v>
      </c>
      <c r="E8365" s="1" t="s">
        <v>18986</v>
      </c>
      <c r="F8365" s="2"/>
      <c r="G8365" s="2"/>
      <c r="H8365" s="2"/>
    </row>
    <row r="8366" spans="1:8" x14ac:dyDescent="0.25">
      <c r="A8366" s="1"/>
      <c r="B8366" s="1" t="s">
        <v>4910</v>
      </c>
      <c r="C8366" s="1" t="s">
        <v>4911</v>
      </c>
      <c r="D8366" s="22" t="str">
        <f>HYPERLINK("https://rhld.insurance.arkansas.gov/NPILookup?Npi=1780687426","1780687426")</f>
        <v>1780687426</v>
      </c>
      <c r="E8366" s="1" t="s">
        <v>18987</v>
      </c>
      <c r="F8366" s="2"/>
      <c r="G8366" s="2"/>
      <c r="H8366" s="2"/>
    </row>
    <row r="8367" spans="1:8" x14ac:dyDescent="0.25">
      <c r="A8367" s="1"/>
      <c r="B8367" s="1" t="s">
        <v>4910</v>
      </c>
      <c r="C8367" s="1" t="s">
        <v>4911</v>
      </c>
      <c r="D8367" s="22" t="str">
        <f>HYPERLINK("https://rhld.insurance.arkansas.gov/NPILookup?Npi=1790756195","1790756195")</f>
        <v>1790756195</v>
      </c>
      <c r="E8367" s="1" t="s">
        <v>4938</v>
      </c>
      <c r="F8367" s="2"/>
      <c r="G8367" s="2"/>
      <c r="H8367" s="2"/>
    </row>
    <row r="8368" spans="1:8" x14ac:dyDescent="0.25">
      <c r="A8368" s="1"/>
      <c r="B8368" s="1" t="s">
        <v>4910</v>
      </c>
      <c r="C8368" s="1" t="s">
        <v>4911</v>
      </c>
      <c r="D8368" s="22" t="str">
        <f>HYPERLINK("https://rhld.insurance.arkansas.gov/NPILookup?Npi=1790788990","1790788990")</f>
        <v>1790788990</v>
      </c>
      <c r="E8368" s="1" t="s">
        <v>4939</v>
      </c>
      <c r="F8368" s="2"/>
      <c r="G8368" s="2"/>
      <c r="H8368" s="2"/>
    </row>
    <row r="8369" spans="1:8" x14ac:dyDescent="0.25">
      <c r="A8369" s="1"/>
      <c r="B8369" s="1" t="s">
        <v>4910</v>
      </c>
      <c r="C8369" s="1" t="s">
        <v>4911</v>
      </c>
      <c r="D8369" s="22" t="str">
        <f>HYPERLINK("https://rhld.insurance.arkansas.gov/NPILookup?Npi=1821528134","1821528134")</f>
        <v>1821528134</v>
      </c>
      <c r="E8369" s="1" t="s">
        <v>4940</v>
      </c>
      <c r="F8369" s="2"/>
      <c r="G8369" s="2"/>
      <c r="H8369" s="2"/>
    </row>
    <row r="8370" spans="1:8" x14ac:dyDescent="0.25">
      <c r="A8370" s="1"/>
      <c r="B8370" s="1" t="s">
        <v>4910</v>
      </c>
      <c r="C8370" s="1" t="s">
        <v>4911</v>
      </c>
      <c r="D8370" s="22" t="str">
        <f>HYPERLINK("https://rhld.insurance.arkansas.gov/NPILookup?Npi=1831144013","1831144013")</f>
        <v>1831144013</v>
      </c>
      <c r="E8370" s="1" t="s">
        <v>18988</v>
      </c>
      <c r="F8370" s="2"/>
      <c r="G8370" s="2"/>
      <c r="H8370" s="2"/>
    </row>
    <row r="8371" spans="1:8" x14ac:dyDescent="0.25">
      <c r="A8371" s="1"/>
      <c r="B8371" s="1" t="s">
        <v>4910</v>
      </c>
      <c r="C8371" s="1" t="s">
        <v>4911</v>
      </c>
      <c r="D8371" s="22" t="str">
        <f>HYPERLINK("https://rhld.insurance.arkansas.gov/NPILookup?Npi=1831465384","1831465384")</f>
        <v>1831465384</v>
      </c>
      <c r="E8371" s="1" t="s">
        <v>18989</v>
      </c>
      <c r="F8371" s="2"/>
      <c r="G8371" s="2"/>
      <c r="H8371" s="2"/>
    </row>
    <row r="8372" spans="1:8" x14ac:dyDescent="0.25">
      <c r="A8372" s="1"/>
      <c r="B8372" s="1" t="s">
        <v>4910</v>
      </c>
      <c r="C8372" s="1" t="s">
        <v>4911</v>
      </c>
      <c r="D8372" s="22" t="str">
        <f>HYPERLINK("https://rhld.insurance.arkansas.gov/NPILookup?Npi=1841293925","1841293925")</f>
        <v>1841293925</v>
      </c>
      <c r="E8372" s="1" t="s">
        <v>18990</v>
      </c>
      <c r="F8372" s="2"/>
      <c r="G8372" s="2"/>
      <c r="H8372" s="2"/>
    </row>
    <row r="8373" spans="1:8" x14ac:dyDescent="0.25">
      <c r="A8373" s="1"/>
      <c r="B8373" s="1" t="s">
        <v>4910</v>
      </c>
      <c r="C8373" s="1" t="s">
        <v>4911</v>
      </c>
      <c r="D8373" s="22" t="str">
        <f>HYPERLINK("https://rhld.insurance.arkansas.gov/NPILookup?Npi=1841618378","1841618378")</f>
        <v>1841618378</v>
      </c>
      <c r="E8373" s="1" t="s">
        <v>18991</v>
      </c>
      <c r="F8373" s="2"/>
      <c r="G8373" s="2"/>
      <c r="H8373" s="2"/>
    </row>
    <row r="8374" spans="1:8" x14ac:dyDescent="0.25">
      <c r="A8374" s="1"/>
      <c r="B8374" s="1" t="s">
        <v>4910</v>
      </c>
      <c r="C8374" s="1" t="s">
        <v>4911</v>
      </c>
      <c r="D8374" s="22" t="str">
        <f>HYPERLINK("https://rhld.insurance.arkansas.gov/NPILookup?Npi=1881858165","1881858165")</f>
        <v>1881858165</v>
      </c>
      <c r="E8374" s="1" t="s">
        <v>4941</v>
      </c>
      <c r="F8374" s="2"/>
      <c r="G8374" s="2"/>
      <c r="H8374" s="2"/>
    </row>
    <row r="8375" spans="1:8" x14ac:dyDescent="0.25">
      <c r="A8375" s="1"/>
      <c r="B8375" s="1" t="s">
        <v>4910</v>
      </c>
      <c r="C8375" s="1" t="s">
        <v>4911</v>
      </c>
      <c r="D8375" s="22" t="str">
        <f>HYPERLINK("https://rhld.insurance.arkansas.gov/NPILookup?Npi=1891704763","1891704763")</f>
        <v>1891704763</v>
      </c>
      <c r="E8375" s="1" t="s">
        <v>10807</v>
      </c>
      <c r="F8375" s="2"/>
      <c r="G8375" s="2"/>
      <c r="H8375" s="2"/>
    </row>
    <row r="8376" spans="1:8" x14ac:dyDescent="0.25">
      <c r="A8376" s="1"/>
      <c r="B8376" s="1" t="s">
        <v>4910</v>
      </c>
      <c r="C8376" s="1" t="s">
        <v>4911</v>
      </c>
      <c r="D8376" s="22" t="str">
        <f>HYPERLINK("https://rhld.insurance.arkansas.gov/NPILookup?Npi=1902015852","1902015852")</f>
        <v>1902015852</v>
      </c>
      <c r="E8376" s="1" t="s">
        <v>10808</v>
      </c>
      <c r="F8376" s="2"/>
      <c r="G8376" s="2"/>
      <c r="H8376" s="2"/>
    </row>
    <row r="8377" spans="1:8" x14ac:dyDescent="0.25">
      <c r="A8377" s="1"/>
      <c r="B8377" s="1" t="s">
        <v>4910</v>
      </c>
      <c r="C8377" s="1" t="s">
        <v>4911</v>
      </c>
      <c r="D8377" s="22" t="str">
        <f>HYPERLINK("https://rhld.insurance.arkansas.gov/NPILookup?Npi=1902809783","1902809783")</f>
        <v>1902809783</v>
      </c>
      <c r="E8377" s="1" t="s">
        <v>4942</v>
      </c>
      <c r="F8377" s="2"/>
      <c r="G8377" s="2"/>
      <c r="H8377" s="2"/>
    </row>
    <row r="8378" spans="1:8" x14ac:dyDescent="0.25">
      <c r="A8378" s="1"/>
      <c r="B8378" s="1" t="s">
        <v>4910</v>
      </c>
      <c r="C8378" s="1" t="s">
        <v>4911</v>
      </c>
      <c r="D8378" s="22" t="str">
        <f>HYPERLINK("https://rhld.insurance.arkansas.gov/NPILookup?Npi=1912097494","1912097494")</f>
        <v>1912097494</v>
      </c>
      <c r="E8378" s="1" t="s">
        <v>4943</v>
      </c>
      <c r="F8378" s="2"/>
      <c r="G8378" s="2"/>
      <c r="H8378" s="2"/>
    </row>
    <row r="8379" spans="1:8" x14ac:dyDescent="0.25">
      <c r="A8379" s="1"/>
      <c r="B8379" s="1" t="s">
        <v>4910</v>
      </c>
      <c r="C8379" s="1" t="s">
        <v>4911</v>
      </c>
      <c r="D8379" s="22" t="str">
        <f>HYPERLINK("https://rhld.insurance.arkansas.gov/NPILookup?Npi=1922390889","1922390889")</f>
        <v>1922390889</v>
      </c>
      <c r="E8379" s="1" t="s">
        <v>18992</v>
      </c>
      <c r="F8379" s="2"/>
      <c r="G8379" s="2"/>
      <c r="H8379" s="2"/>
    </row>
    <row r="8380" spans="1:8" x14ac:dyDescent="0.25">
      <c r="A8380" s="1"/>
      <c r="B8380" s="1" t="s">
        <v>4910</v>
      </c>
      <c r="C8380" s="1" t="s">
        <v>4911</v>
      </c>
      <c r="D8380" s="22" t="str">
        <f>HYPERLINK("https://rhld.insurance.arkansas.gov/NPILookup?Npi=1942241708","1942241708")</f>
        <v>1942241708</v>
      </c>
      <c r="E8380" s="1" t="s">
        <v>10809</v>
      </c>
      <c r="F8380" s="2"/>
      <c r="G8380" s="2"/>
      <c r="H8380" s="2"/>
    </row>
    <row r="8381" spans="1:8" x14ac:dyDescent="0.25">
      <c r="A8381" s="1"/>
      <c r="B8381" s="1" t="s">
        <v>4910</v>
      </c>
      <c r="C8381" s="1" t="s">
        <v>4911</v>
      </c>
      <c r="D8381" s="22" t="str">
        <f>HYPERLINK("https://rhld.insurance.arkansas.gov/NPILookup?Npi=1962707596","1962707596")</f>
        <v>1962707596</v>
      </c>
      <c r="E8381" s="1" t="s">
        <v>18993</v>
      </c>
      <c r="F8381" s="2"/>
      <c r="G8381" s="2"/>
      <c r="H8381" s="2"/>
    </row>
    <row r="8382" spans="1:8" x14ac:dyDescent="0.25">
      <c r="A8382" s="1"/>
      <c r="B8382" s="1" t="s">
        <v>4910</v>
      </c>
      <c r="C8382" s="1" t="s">
        <v>4911</v>
      </c>
      <c r="D8382" s="22" t="str">
        <f>HYPERLINK("https://rhld.insurance.arkansas.gov/NPILookup?Npi=1972032118","1972032118")</f>
        <v>1972032118</v>
      </c>
      <c r="E8382" s="1" t="s">
        <v>18994</v>
      </c>
      <c r="F8382" s="2"/>
      <c r="G8382" s="2"/>
      <c r="H8382" s="2"/>
    </row>
    <row r="8383" spans="1:8" x14ac:dyDescent="0.25">
      <c r="A8383" s="1"/>
      <c r="B8383" s="1" t="s">
        <v>4910</v>
      </c>
      <c r="C8383" s="1" t="s">
        <v>4911</v>
      </c>
      <c r="D8383" s="22" t="str">
        <f>HYPERLINK("https://rhld.insurance.arkansas.gov/NPILookup?Npi=1982607552","1982607552")</f>
        <v>1982607552</v>
      </c>
      <c r="E8383" s="1" t="s">
        <v>18995</v>
      </c>
      <c r="F8383" s="2"/>
      <c r="G8383" s="2"/>
      <c r="H8383" s="2"/>
    </row>
    <row r="8384" spans="1:8" x14ac:dyDescent="0.25">
      <c r="A8384" s="1"/>
      <c r="B8384" s="1" t="s">
        <v>4944</v>
      </c>
      <c r="C8384" s="1" t="s">
        <v>4945</v>
      </c>
      <c r="D8384" s="22" t="str">
        <f>HYPERLINK("https://rhld.insurance.arkansas.gov/NPILookup?Npi=1003924952","1003924952")</f>
        <v>1003924952</v>
      </c>
      <c r="E8384" s="1" t="s">
        <v>18996</v>
      </c>
      <c r="F8384" s="2"/>
      <c r="G8384" s="2"/>
      <c r="H8384" s="2"/>
    </row>
    <row r="8385" spans="1:8" x14ac:dyDescent="0.25">
      <c r="A8385" s="1"/>
      <c r="B8385" s="1" t="s">
        <v>4944</v>
      </c>
      <c r="C8385" s="1" t="s">
        <v>4945</v>
      </c>
      <c r="D8385" s="22" t="str">
        <f>HYPERLINK("https://rhld.insurance.arkansas.gov/NPILookup?Npi=1013390467","1013390467")</f>
        <v>1013390467</v>
      </c>
      <c r="E8385" s="1" t="s">
        <v>18997</v>
      </c>
      <c r="F8385" s="2"/>
      <c r="G8385" s="2"/>
      <c r="H8385" s="2"/>
    </row>
    <row r="8386" spans="1:8" x14ac:dyDescent="0.25">
      <c r="A8386" s="1"/>
      <c r="B8386" s="1" t="s">
        <v>4944</v>
      </c>
      <c r="C8386" s="1" t="s">
        <v>4945</v>
      </c>
      <c r="D8386" s="22" t="str">
        <f>HYPERLINK("https://rhld.insurance.arkansas.gov/NPILookup?Npi=1013926062","1013926062")</f>
        <v>1013926062</v>
      </c>
      <c r="E8386" s="1" t="s">
        <v>18998</v>
      </c>
      <c r="F8386" s="2"/>
      <c r="G8386" s="2"/>
      <c r="H8386" s="2"/>
    </row>
    <row r="8387" spans="1:8" x14ac:dyDescent="0.25">
      <c r="A8387" s="1"/>
      <c r="B8387" s="1" t="s">
        <v>4944</v>
      </c>
      <c r="C8387" s="1" t="s">
        <v>4945</v>
      </c>
      <c r="D8387" s="22" t="str">
        <f>HYPERLINK("https://rhld.insurance.arkansas.gov/NPILookup?Npi=1023019825","1023019825")</f>
        <v>1023019825</v>
      </c>
      <c r="E8387" s="1" t="s">
        <v>4946</v>
      </c>
      <c r="F8387" s="2"/>
      <c r="G8387" s="2"/>
      <c r="H8387" s="2"/>
    </row>
    <row r="8388" spans="1:8" x14ac:dyDescent="0.25">
      <c r="A8388" s="1"/>
      <c r="B8388" s="1" t="s">
        <v>4944</v>
      </c>
      <c r="C8388" s="1" t="s">
        <v>4945</v>
      </c>
      <c r="D8388" s="22" t="str">
        <f>HYPERLINK("https://rhld.insurance.arkansas.gov/NPILookup?Npi=1023025707","1023025707")</f>
        <v>1023025707</v>
      </c>
      <c r="E8388" s="1" t="s">
        <v>10810</v>
      </c>
      <c r="F8388" s="2"/>
      <c r="G8388" s="2"/>
      <c r="H8388" s="2"/>
    </row>
    <row r="8389" spans="1:8" x14ac:dyDescent="0.25">
      <c r="A8389" s="1"/>
      <c r="B8389" s="1" t="s">
        <v>4944</v>
      </c>
      <c r="C8389" s="1" t="s">
        <v>4945</v>
      </c>
      <c r="D8389" s="22" t="str">
        <f>HYPERLINK("https://rhld.insurance.arkansas.gov/NPILookup?Npi=1023099561","1023099561")</f>
        <v>1023099561</v>
      </c>
      <c r="E8389" s="1" t="s">
        <v>4947</v>
      </c>
      <c r="F8389" s="2"/>
      <c r="G8389" s="2"/>
      <c r="H8389" s="2"/>
    </row>
    <row r="8390" spans="1:8" x14ac:dyDescent="0.25">
      <c r="A8390" s="1"/>
      <c r="B8390" s="1" t="s">
        <v>4944</v>
      </c>
      <c r="C8390" s="1" t="s">
        <v>4945</v>
      </c>
      <c r="D8390" s="22" t="str">
        <f>HYPERLINK("https://rhld.insurance.arkansas.gov/NPILookup?Npi=1023190469","1023190469")</f>
        <v>1023190469</v>
      </c>
      <c r="E8390" s="1" t="s">
        <v>4948</v>
      </c>
      <c r="F8390" s="2"/>
      <c r="G8390" s="2"/>
      <c r="H8390" s="2"/>
    </row>
    <row r="8391" spans="1:8" x14ac:dyDescent="0.25">
      <c r="A8391" s="1"/>
      <c r="B8391" s="1" t="s">
        <v>4944</v>
      </c>
      <c r="C8391" s="1" t="s">
        <v>4945</v>
      </c>
      <c r="D8391" s="22" t="str">
        <f>HYPERLINK("https://rhld.insurance.arkansas.gov/NPILookup?Npi=1023318334","1023318334")</f>
        <v>1023318334</v>
      </c>
      <c r="E8391" s="1" t="s">
        <v>10811</v>
      </c>
      <c r="F8391" s="2"/>
      <c r="G8391" s="2"/>
      <c r="H8391" s="2"/>
    </row>
    <row r="8392" spans="1:8" x14ac:dyDescent="0.25">
      <c r="A8392" s="1"/>
      <c r="B8392" s="1" t="s">
        <v>4944</v>
      </c>
      <c r="C8392" s="1" t="s">
        <v>4945</v>
      </c>
      <c r="D8392" s="22" t="str">
        <f>HYPERLINK("https://rhld.insurance.arkansas.gov/NPILookup?Npi=1033176250","1033176250")</f>
        <v>1033176250</v>
      </c>
      <c r="E8392" s="1" t="s">
        <v>17148</v>
      </c>
      <c r="F8392" s="2"/>
      <c r="G8392" s="2"/>
      <c r="H8392" s="2"/>
    </row>
    <row r="8393" spans="1:8" x14ac:dyDescent="0.25">
      <c r="A8393" s="1"/>
      <c r="B8393" s="1" t="s">
        <v>4944</v>
      </c>
      <c r="C8393" s="1" t="s">
        <v>4945</v>
      </c>
      <c r="D8393" s="22" t="str">
        <f>HYPERLINK("https://rhld.insurance.arkansas.gov/NPILookup?Npi=1053302893","1053302893")</f>
        <v>1053302893</v>
      </c>
      <c r="E8393" s="1" t="s">
        <v>4949</v>
      </c>
      <c r="F8393" s="2"/>
      <c r="G8393" s="2"/>
      <c r="H8393" s="2"/>
    </row>
    <row r="8394" spans="1:8" x14ac:dyDescent="0.25">
      <c r="A8394" s="1"/>
      <c r="B8394" s="1" t="s">
        <v>4944</v>
      </c>
      <c r="C8394" s="1" t="s">
        <v>4945</v>
      </c>
      <c r="D8394" s="22" t="str">
        <f>HYPERLINK("https://rhld.insurance.arkansas.gov/NPILookup?Npi=1053379149","1053379149")</f>
        <v>1053379149</v>
      </c>
      <c r="E8394" s="1" t="s">
        <v>10206</v>
      </c>
      <c r="F8394" s="2"/>
      <c r="G8394" s="2"/>
      <c r="H8394" s="2"/>
    </row>
    <row r="8395" spans="1:8" x14ac:dyDescent="0.25">
      <c r="A8395" s="1"/>
      <c r="B8395" s="1" t="s">
        <v>4944</v>
      </c>
      <c r="C8395" s="1" t="s">
        <v>4945</v>
      </c>
      <c r="D8395" s="22" t="str">
        <f>HYPERLINK("https://rhld.insurance.arkansas.gov/NPILookup?Npi=1053408484","1053408484")</f>
        <v>1053408484</v>
      </c>
      <c r="E8395" s="1" t="s">
        <v>4950</v>
      </c>
      <c r="F8395" s="2"/>
      <c r="G8395" s="2"/>
      <c r="H8395" s="2"/>
    </row>
    <row r="8396" spans="1:8" x14ac:dyDescent="0.25">
      <c r="A8396" s="1"/>
      <c r="B8396" s="1" t="s">
        <v>4944</v>
      </c>
      <c r="C8396" s="1" t="s">
        <v>4945</v>
      </c>
      <c r="D8396" s="22" t="str">
        <f>HYPERLINK("https://rhld.insurance.arkansas.gov/NPILookup?Npi=1053529321","1053529321")</f>
        <v>1053529321</v>
      </c>
      <c r="E8396" s="1" t="s">
        <v>18999</v>
      </c>
      <c r="F8396" s="2"/>
      <c r="G8396" s="2"/>
      <c r="H8396" s="2"/>
    </row>
    <row r="8397" spans="1:8" x14ac:dyDescent="0.25">
      <c r="A8397" s="1"/>
      <c r="B8397" s="1" t="s">
        <v>4944</v>
      </c>
      <c r="C8397" s="1" t="s">
        <v>4945</v>
      </c>
      <c r="D8397" s="22" t="str">
        <f>HYPERLINK("https://rhld.insurance.arkansas.gov/NPILookup?Npi=1063725901","1063725901")</f>
        <v>1063725901</v>
      </c>
      <c r="E8397" s="1" t="s">
        <v>4951</v>
      </c>
      <c r="F8397" s="2"/>
      <c r="G8397" s="2"/>
      <c r="H8397" s="2"/>
    </row>
    <row r="8398" spans="1:8" x14ac:dyDescent="0.25">
      <c r="A8398" s="1"/>
      <c r="B8398" s="1" t="s">
        <v>4944</v>
      </c>
      <c r="C8398" s="1" t="s">
        <v>4945</v>
      </c>
      <c r="D8398" s="22" t="str">
        <f>HYPERLINK("https://rhld.insurance.arkansas.gov/NPILookup?Npi=1063773497","1063773497")</f>
        <v>1063773497</v>
      </c>
      <c r="E8398" s="1" t="s">
        <v>10812</v>
      </c>
      <c r="F8398" s="2"/>
      <c r="G8398" s="2"/>
      <c r="H8398" s="2"/>
    </row>
    <row r="8399" spans="1:8" x14ac:dyDescent="0.25">
      <c r="A8399" s="1"/>
      <c r="B8399" s="1" t="s">
        <v>4944</v>
      </c>
      <c r="C8399" s="1" t="s">
        <v>4945</v>
      </c>
      <c r="D8399" s="22" t="str">
        <f>HYPERLINK("https://rhld.insurance.arkansas.gov/NPILookup?Npi=1073567251","1073567251")</f>
        <v>1073567251</v>
      </c>
      <c r="E8399" s="1" t="s">
        <v>19000</v>
      </c>
      <c r="F8399" s="2"/>
      <c r="G8399" s="2"/>
      <c r="H8399" s="2"/>
    </row>
    <row r="8400" spans="1:8" x14ac:dyDescent="0.25">
      <c r="A8400" s="1"/>
      <c r="B8400" s="1" t="s">
        <v>4944</v>
      </c>
      <c r="C8400" s="1" t="s">
        <v>4945</v>
      </c>
      <c r="D8400" s="22" t="str">
        <f>HYPERLINK("https://rhld.insurance.arkansas.gov/NPILookup?Npi=1073749396","1073749396")</f>
        <v>1073749396</v>
      </c>
      <c r="E8400" s="1" t="s">
        <v>10813</v>
      </c>
      <c r="F8400" s="2"/>
      <c r="G8400" s="2"/>
      <c r="H8400" s="2"/>
    </row>
    <row r="8401" spans="1:8" x14ac:dyDescent="0.25">
      <c r="A8401" s="1"/>
      <c r="B8401" s="1" t="s">
        <v>4944</v>
      </c>
      <c r="C8401" s="1" t="s">
        <v>4945</v>
      </c>
      <c r="D8401" s="22" t="str">
        <f>HYPERLINK("https://rhld.insurance.arkansas.gov/NPILookup?Npi=1073889408","1073889408")</f>
        <v>1073889408</v>
      </c>
      <c r="E8401" s="1" t="s">
        <v>4952</v>
      </c>
      <c r="F8401" s="2"/>
      <c r="G8401" s="2"/>
      <c r="H8401" s="2"/>
    </row>
    <row r="8402" spans="1:8" x14ac:dyDescent="0.25">
      <c r="A8402" s="1"/>
      <c r="B8402" s="1" t="s">
        <v>4944</v>
      </c>
      <c r="C8402" s="1" t="s">
        <v>4945</v>
      </c>
      <c r="D8402" s="22" t="str">
        <f>HYPERLINK("https://rhld.insurance.arkansas.gov/NPILookup?Npi=1073932281","1073932281")</f>
        <v>1073932281</v>
      </c>
      <c r="E8402" s="1" t="s">
        <v>19001</v>
      </c>
      <c r="F8402" s="2"/>
      <c r="G8402" s="2"/>
      <c r="H8402" s="2"/>
    </row>
    <row r="8403" spans="1:8" x14ac:dyDescent="0.25">
      <c r="A8403" s="1"/>
      <c r="B8403" s="1" t="s">
        <v>4944</v>
      </c>
      <c r="C8403" s="1" t="s">
        <v>4945</v>
      </c>
      <c r="D8403" s="22" t="str">
        <f>HYPERLINK("https://rhld.insurance.arkansas.gov/NPILookup?Npi=1083814040","1083814040")</f>
        <v>1083814040</v>
      </c>
      <c r="E8403" s="1" t="s">
        <v>19002</v>
      </c>
      <c r="F8403" s="2"/>
      <c r="G8403" s="2"/>
      <c r="H8403" s="2"/>
    </row>
    <row r="8404" spans="1:8" x14ac:dyDescent="0.25">
      <c r="A8404" s="1"/>
      <c r="B8404" s="1" t="s">
        <v>4944</v>
      </c>
      <c r="C8404" s="1" t="s">
        <v>4945</v>
      </c>
      <c r="D8404" s="22" t="str">
        <f>HYPERLINK("https://rhld.insurance.arkansas.gov/NPILookup?Npi=1093724338","1093724338")</f>
        <v>1093724338</v>
      </c>
      <c r="E8404" s="1" t="s">
        <v>10814</v>
      </c>
      <c r="F8404" s="2"/>
      <c r="G8404" s="2"/>
      <c r="H8404" s="2"/>
    </row>
    <row r="8405" spans="1:8" x14ac:dyDescent="0.25">
      <c r="A8405" s="1"/>
      <c r="B8405" s="1" t="s">
        <v>4944</v>
      </c>
      <c r="C8405" s="1" t="s">
        <v>4945</v>
      </c>
      <c r="D8405" s="22" t="str">
        <f>HYPERLINK("https://rhld.insurance.arkansas.gov/NPILookup?Npi=1104112283","1104112283")</f>
        <v>1104112283</v>
      </c>
      <c r="E8405" s="1" t="s">
        <v>4953</v>
      </c>
      <c r="F8405" s="2"/>
      <c r="G8405" s="2"/>
      <c r="H8405" s="2"/>
    </row>
    <row r="8406" spans="1:8" x14ac:dyDescent="0.25">
      <c r="A8406" s="1"/>
      <c r="B8406" s="1" t="s">
        <v>4944</v>
      </c>
      <c r="C8406" s="1" t="s">
        <v>4945</v>
      </c>
      <c r="D8406" s="22" t="str">
        <f>HYPERLINK("https://rhld.insurance.arkansas.gov/NPILookup?Npi=1104172378","1104172378")</f>
        <v>1104172378</v>
      </c>
      <c r="E8406" s="1" t="s">
        <v>31547</v>
      </c>
      <c r="F8406" s="2"/>
      <c r="G8406" s="2"/>
      <c r="H8406" s="2"/>
    </row>
    <row r="8407" spans="1:8" x14ac:dyDescent="0.25">
      <c r="A8407" s="1"/>
      <c r="B8407" s="1" t="s">
        <v>4944</v>
      </c>
      <c r="C8407" s="1" t="s">
        <v>4945</v>
      </c>
      <c r="D8407" s="22" t="str">
        <f>HYPERLINK("https://rhld.insurance.arkansas.gov/NPILookup?Npi=1114017779","1114017779")</f>
        <v>1114017779</v>
      </c>
      <c r="E8407" s="1" t="s">
        <v>19003</v>
      </c>
      <c r="F8407" s="2"/>
      <c r="G8407" s="2"/>
      <c r="H8407" s="2"/>
    </row>
    <row r="8408" spans="1:8" x14ac:dyDescent="0.25">
      <c r="A8408" s="1"/>
      <c r="B8408" s="1" t="s">
        <v>4944</v>
      </c>
      <c r="C8408" s="1" t="s">
        <v>4945</v>
      </c>
      <c r="D8408" s="22" t="str">
        <f>HYPERLINK("https://rhld.insurance.arkansas.gov/NPILookup?Npi=1114312915","1114312915")</f>
        <v>1114312915</v>
      </c>
      <c r="E8408" s="1" t="s">
        <v>19004</v>
      </c>
      <c r="F8408" s="2"/>
      <c r="G8408" s="2"/>
      <c r="H8408" s="2"/>
    </row>
    <row r="8409" spans="1:8" x14ac:dyDescent="0.25">
      <c r="A8409" s="1"/>
      <c r="B8409" s="1" t="s">
        <v>4944</v>
      </c>
      <c r="C8409" s="1" t="s">
        <v>4945</v>
      </c>
      <c r="D8409" s="22" t="str">
        <f>HYPERLINK("https://rhld.insurance.arkansas.gov/NPILookup?Npi=1114910411","1114910411")</f>
        <v>1114910411</v>
      </c>
      <c r="E8409" s="1" t="s">
        <v>4954</v>
      </c>
      <c r="F8409" s="2"/>
      <c r="G8409" s="2"/>
      <c r="H8409" s="2"/>
    </row>
    <row r="8410" spans="1:8" x14ac:dyDescent="0.25">
      <c r="A8410" s="1"/>
      <c r="B8410" s="1" t="s">
        <v>4944</v>
      </c>
      <c r="C8410" s="1" t="s">
        <v>4945</v>
      </c>
      <c r="D8410" s="22" t="str">
        <f>HYPERLINK("https://rhld.insurance.arkansas.gov/NPILookup?Npi=1124068630","1124068630")</f>
        <v>1124068630</v>
      </c>
      <c r="E8410" s="1" t="s">
        <v>19005</v>
      </c>
      <c r="F8410" s="2"/>
      <c r="G8410" s="2"/>
      <c r="H8410" s="2"/>
    </row>
    <row r="8411" spans="1:8" x14ac:dyDescent="0.25">
      <c r="A8411" s="1"/>
      <c r="B8411" s="1" t="s">
        <v>4944</v>
      </c>
      <c r="C8411" s="1" t="s">
        <v>4945</v>
      </c>
      <c r="D8411" s="22" t="str">
        <f>HYPERLINK("https://rhld.insurance.arkansas.gov/NPILookup?Npi=1124092416","1124092416")</f>
        <v>1124092416</v>
      </c>
      <c r="E8411" s="1" t="s">
        <v>4955</v>
      </c>
      <c r="F8411" s="2"/>
      <c r="G8411" s="2"/>
      <c r="H8411" s="2"/>
    </row>
    <row r="8412" spans="1:8" x14ac:dyDescent="0.25">
      <c r="A8412" s="1"/>
      <c r="B8412" s="1" t="s">
        <v>4944</v>
      </c>
      <c r="C8412" s="1" t="s">
        <v>4945</v>
      </c>
      <c r="D8412" s="22" t="str">
        <f>HYPERLINK("https://rhld.insurance.arkansas.gov/NPILookup?Npi=1124188347","1124188347")</f>
        <v>1124188347</v>
      </c>
      <c r="E8412" s="1" t="s">
        <v>10816</v>
      </c>
      <c r="F8412" s="2"/>
      <c r="G8412" s="2"/>
      <c r="H8412" s="2"/>
    </row>
    <row r="8413" spans="1:8" x14ac:dyDescent="0.25">
      <c r="A8413" s="1"/>
      <c r="B8413" s="1" t="s">
        <v>4944</v>
      </c>
      <c r="C8413" s="1" t="s">
        <v>4945</v>
      </c>
      <c r="D8413" s="22" t="str">
        <f>HYPERLINK("https://rhld.insurance.arkansas.gov/NPILookup?Npi=1134138761","1134138761")</f>
        <v>1134138761</v>
      </c>
      <c r="E8413" s="1" t="s">
        <v>19006</v>
      </c>
      <c r="F8413" s="2"/>
      <c r="G8413" s="2"/>
      <c r="H8413" s="2"/>
    </row>
    <row r="8414" spans="1:8" x14ac:dyDescent="0.25">
      <c r="A8414" s="1"/>
      <c r="B8414" s="1" t="s">
        <v>4944</v>
      </c>
      <c r="C8414" s="1" t="s">
        <v>4945</v>
      </c>
      <c r="D8414" s="22" t="str">
        <f>HYPERLINK("https://rhld.insurance.arkansas.gov/NPILookup?Npi=1144306366","1144306366")</f>
        <v>1144306366</v>
      </c>
      <c r="E8414" s="1" t="s">
        <v>10817</v>
      </c>
      <c r="F8414" s="2"/>
      <c r="G8414" s="2"/>
      <c r="H8414" s="2"/>
    </row>
    <row r="8415" spans="1:8" x14ac:dyDescent="0.25">
      <c r="A8415" s="1"/>
      <c r="B8415" s="1" t="s">
        <v>4944</v>
      </c>
      <c r="C8415" s="1" t="s">
        <v>4945</v>
      </c>
      <c r="D8415" s="22" t="str">
        <f>HYPERLINK("https://rhld.insurance.arkansas.gov/NPILookup?Npi=1144485129","1144485129")</f>
        <v>1144485129</v>
      </c>
      <c r="E8415" s="1" t="s">
        <v>19007</v>
      </c>
      <c r="F8415" s="2"/>
      <c r="G8415" s="2"/>
      <c r="H8415" s="2"/>
    </row>
    <row r="8416" spans="1:8" x14ac:dyDescent="0.25">
      <c r="A8416" s="1"/>
      <c r="B8416" s="1" t="s">
        <v>4944</v>
      </c>
      <c r="C8416" s="1" t="s">
        <v>4945</v>
      </c>
      <c r="D8416" s="22" t="str">
        <f>HYPERLINK("https://rhld.insurance.arkansas.gov/NPILookup?Npi=1154352417","1154352417")</f>
        <v>1154352417</v>
      </c>
      <c r="E8416" s="1" t="s">
        <v>2469</v>
      </c>
      <c r="F8416" s="2"/>
      <c r="G8416" s="2"/>
      <c r="H8416" s="2"/>
    </row>
    <row r="8417" spans="1:8" x14ac:dyDescent="0.25">
      <c r="A8417" s="1"/>
      <c r="B8417" s="1" t="s">
        <v>4944</v>
      </c>
      <c r="C8417" s="1" t="s">
        <v>4945</v>
      </c>
      <c r="D8417" s="22" t="str">
        <f>HYPERLINK("https://rhld.insurance.arkansas.gov/NPILookup?Npi=1154688851","1154688851")</f>
        <v>1154688851</v>
      </c>
      <c r="E8417" s="1" t="s">
        <v>4956</v>
      </c>
      <c r="F8417" s="2"/>
      <c r="G8417" s="2"/>
      <c r="H8417" s="2"/>
    </row>
    <row r="8418" spans="1:8" x14ac:dyDescent="0.25">
      <c r="A8418" s="1"/>
      <c r="B8418" s="1" t="s">
        <v>4944</v>
      </c>
      <c r="C8418" s="1" t="s">
        <v>4945</v>
      </c>
      <c r="D8418" s="22" t="str">
        <f>HYPERLINK("https://rhld.insurance.arkansas.gov/NPILookup?Npi=1164554572","1164554572")</f>
        <v>1164554572</v>
      </c>
      <c r="E8418" s="1" t="s">
        <v>10818</v>
      </c>
      <c r="F8418" s="2"/>
      <c r="G8418" s="2"/>
      <c r="H8418" s="2"/>
    </row>
    <row r="8419" spans="1:8" x14ac:dyDescent="0.25">
      <c r="A8419" s="1"/>
      <c r="B8419" s="1" t="s">
        <v>4944</v>
      </c>
      <c r="C8419" s="1" t="s">
        <v>4945</v>
      </c>
      <c r="D8419" s="22" t="str">
        <f>HYPERLINK("https://rhld.insurance.arkansas.gov/NPILookup?Npi=1174019905","1174019905")</f>
        <v>1174019905</v>
      </c>
      <c r="E8419" s="1" t="s">
        <v>4957</v>
      </c>
      <c r="F8419" s="2"/>
      <c r="G8419" s="2"/>
      <c r="H8419" s="2"/>
    </row>
    <row r="8420" spans="1:8" x14ac:dyDescent="0.25">
      <c r="A8420" s="1"/>
      <c r="B8420" s="1" t="s">
        <v>4944</v>
      </c>
      <c r="C8420" s="1" t="s">
        <v>4945</v>
      </c>
      <c r="D8420" s="22" t="str">
        <f>HYPERLINK("https://rhld.insurance.arkansas.gov/NPILookup?Npi=1174544811","1174544811")</f>
        <v>1174544811</v>
      </c>
      <c r="E8420" s="1" t="s">
        <v>19008</v>
      </c>
      <c r="F8420" s="2"/>
      <c r="G8420" s="2"/>
      <c r="H8420" s="2"/>
    </row>
    <row r="8421" spans="1:8" x14ac:dyDescent="0.25">
      <c r="A8421" s="1"/>
      <c r="B8421" s="1" t="s">
        <v>4944</v>
      </c>
      <c r="C8421" s="1" t="s">
        <v>4945</v>
      </c>
      <c r="D8421" s="22" t="str">
        <f>HYPERLINK("https://rhld.insurance.arkansas.gov/NPILookup?Npi=1184681371","1184681371")</f>
        <v>1184681371</v>
      </c>
      <c r="E8421" s="1" t="s">
        <v>4958</v>
      </c>
      <c r="F8421" s="2"/>
      <c r="G8421" s="2"/>
      <c r="H8421" s="2"/>
    </row>
    <row r="8422" spans="1:8" x14ac:dyDescent="0.25">
      <c r="A8422" s="1"/>
      <c r="B8422" s="1" t="s">
        <v>4944</v>
      </c>
      <c r="C8422" s="1" t="s">
        <v>4945</v>
      </c>
      <c r="D8422" s="22" t="str">
        <f>HYPERLINK("https://rhld.insurance.arkansas.gov/NPILookup?Npi=1184773582","1184773582")</f>
        <v>1184773582</v>
      </c>
      <c r="E8422" s="1" t="s">
        <v>19009</v>
      </c>
      <c r="F8422" s="2"/>
      <c r="G8422" s="2"/>
      <c r="H8422" s="2"/>
    </row>
    <row r="8423" spans="1:8" x14ac:dyDescent="0.25">
      <c r="A8423" s="1"/>
      <c r="B8423" s="1" t="s">
        <v>4944</v>
      </c>
      <c r="C8423" s="1" t="s">
        <v>4945</v>
      </c>
      <c r="D8423" s="22" t="str">
        <f>HYPERLINK("https://rhld.insurance.arkansas.gov/NPILookup?Npi=1184914723","1184914723")</f>
        <v>1184914723</v>
      </c>
      <c r="E8423" s="1" t="s">
        <v>10819</v>
      </c>
      <c r="F8423" s="2"/>
      <c r="G8423" s="2"/>
      <c r="H8423" s="2"/>
    </row>
    <row r="8424" spans="1:8" x14ac:dyDescent="0.25">
      <c r="A8424" s="1"/>
      <c r="B8424" s="1" t="s">
        <v>4944</v>
      </c>
      <c r="C8424" s="1" t="s">
        <v>4945</v>
      </c>
      <c r="D8424" s="22" t="str">
        <f>HYPERLINK("https://rhld.insurance.arkansas.gov/NPILookup?Npi=1194012229","1194012229")</f>
        <v>1194012229</v>
      </c>
      <c r="E8424" s="1" t="s">
        <v>4959</v>
      </c>
      <c r="F8424" s="2"/>
      <c r="G8424" s="2"/>
      <c r="H8424" s="2"/>
    </row>
    <row r="8425" spans="1:8" x14ac:dyDescent="0.25">
      <c r="A8425" s="1"/>
      <c r="B8425" s="1" t="s">
        <v>4944</v>
      </c>
      <c r="C8425" s="1" t="s">
        <v>4945</v>
      </c>
      <c r="D8425" s="22" t="str">
        <f>HYPERLINK("https://rhld.insurance.arkansas.gov/NPILookup?Npi=1194719203","1194719203")</f>
        <v>1194719203</v>
      </c>
      <c r="E8425" s="1" t="s">
        <v>19010</v>
      </c>
      <c r="F8425" s="2"/>
      <c r="G8425" s="2"/>
      <c r="H8425" s="2"/>
    </row>
    <row r="8426" spans="1:8" x14ac:dyDescent="0.25">
      <c r="A8426" s="1"/>
      <c r="B8426" s="1" t="s">
        <v>4944</v>
      </c>
      <c r="C8426" s="1" t="s">
        <v>4945</v>
      </c>
      <c r="D8426" s="22" t="str">
        <f>HYPERLINK("https://rhld.insurance.arkansas.gov/NPILookup?Npi=1194909325","1194909325")</f>
        <v>1194909325</v>
      </c>
      <c r="E8426" s="1" t="s">
        <v>4960</v>
      </c>
      <c r="F8426" s="2"/>
      <c r="G8426" s="2"/>
      <c r="H8426" s="2"/>
    </row>
    <row r="8427" spans="1:8" x14ac:dyDescent="0.25">
      <c r="A8427" s="1"/>
      <c r="B8427" s="1" t="s">
        <v>4944</v>
      </c>
      <c r="C8427" s="1" t="s">
        <v>4945</v>
      </c>
      <c r="D8427" s="22" t="str">
        <f>HYPERLINK("https://rhld.insurance.arkansas.gov/NPILookup?Npi=1205261781","1205261781")</f>
        <v>1205261781</v>
      </c>
      <c r="E8427" s="1" t="s">
        <v>10820</v>
      </c>
      <c r="F8427" s="2"/>
      <c r="G8427" s="2"/>
      <c r="H8427" s="2"/>
    </row>
    <row r="8428" spans="1:8" x14ac:dyDescent="0.25">
      <c r="A8428" s="1"/>
      <c r="B8428" s="1" t="s">
        <v>4944</v>
      </c>
      <c r="C8428" s="1" t="s">
        <v>4945</v>
      </c>
      <c r="D8428" s="22" t="str">
        <f>HYPERLINK("https://rhld.insurance.arkansas.gov/NPILookup?Npi=1205862141","1205862141")</f>
        <v>1205862141</v>
      </c>
      <c r="E8428" s="1" t="s">
        <v>19011</v>
      </c>
      <c r="F8428" s="2"/>
      <c r="G8428" s="2"/>
      <c r="H8428" s="2"/>
    </row>
    <row r="8429" spans="1:8" x14ac:dyDescent="0.25">
      <c r="A8429" s="1"/>
      <c r="B8429" s="1" t="s">
        <v>4944</v>
      </c>
      <c r="C8429" s="1" t="s">
        <v>4945</v>
      </c>
      <c r="D8429" s="22" t="str">
        <f>HYPERLINK("https://rhld.insurance.arkansas.gov/NPILookup?Npi=1215917562","1215917562")</f>
        <v>1215917562</v>
      </c>
      <c r="E8429" s="1" t="s">
        <v>19012</v>
      </c>
      <c r="F8429" s="2"/>
      <c r="G8429" s="2"/>
      <c r="H8429" s="2"/>
    </row>
    <row r="8430" spans="1:8" x14ac:dyDescent="0.25">
      <c r="A8430" s="1"/>
      <c r="B8430" s="1" t="s">
        <v>4944</v>
      </c>
      <c r="C8430" s="1" t="s">
        <v>4945</v>
      </c>
      <c r="D8430" s="22" t="str">
        <f>HYPERLINK("https://rhld.insurance.arkansas.gov/NPILookup?Npi=1225240476","1225240476")</f>
        <v>1225240476</v>
      </c>
      <c r="E8430" s="1" t="s">
        <v>4961</v>
      </c>
      <c r="F8430" s="2"/>
      <c r="G8430" s="2"/>
      <c r="H8430" s="2"/>
    </row>
    <row r="8431" spans="1:8" x14ac:dyDescent="0.25">
      <c r="A8431" s="1"/>
      <c r="B8431" s="1" t="s">
        <v>4944</v>
      </c>
      <c r="C8431" s="1" t="s">
        <v>4945</v>
      </c>
      <c r="D8431" s="22" t="str">
        <f>HYPERLINK("https://rhld.insurance.arkansas.gov/NPILookup?Npi=1235139007","1235139007")</f>
        <v>1235139007</v>
      </c>
      <c r="E8431" s="1" t="s">
        <v>10821</v>
      </c>
      <c r="F8431" s="2"/>
      <c r="G8431" s="2"/>
      <c r="H8431" s="2"/>
    </row>
    <row r="8432" spans="1:8" x14ac:dyDescent="0.25">
      <c r="A8432" s="1"/>
      <c r="B8432" s="1" t="s">
        <v>4944</v>
      </c>
      <c r="C8432" s="1" t="s">
        <v>4945</v>
      </c>
      <c r="D8432" s="22" t="str">
        <f>HYPERLINK("https://rhld.insurance.arkansas.gov/NPILookup?Npi=1235185315","1235185315")</f>
        <v>1235185315</v>
      </c>
      <c r="E8432" s="1" t="s">
        <v>2945</v>
      </c>
      <c r="F8432" s="2"/>
      <c r="G8432" s="2"/>
      <c r="H8432" s="2"/>
    </row>
    <row r="8433" spans="1:8" x14ac:dyDescent="0.25">
      <c r="A8433" s="1"/>
      <c r="B8433" s="1" t="s">
        <v>4944</v>
      </c>
      <c r="C8433" s="1" t="s">
        <v>4945</v>
      </c>
      <c r="D8433" s="22" t="str">
        <f>HYPERLINK("https://rhld.insurance.arkansas.gov/NPILookup?Npi=1235545849","1235545849")</f>
        <v>1235545849</v>
      </c>
      <c r="E8433" s="1" t="s">
        <v>4962</v>
      </c>
      <c r="F8433" s="2"/>
      <c r="G8433" s="2"/>
      <c r="H8433" s="2"/>
    </row>
    <row r="8434" spans="1:8" x14ac:dyDescent="0.25">
      <c r="A8434" s="1"/>
      <c r="B8434" s="1" t="s">
        <v>4944</v>
      </c>
      <c r="C8434" s="1" t="s">
        <v>4945</v>
      </c>
      <c r="D8434" s="22" t="str">
        <f>HYPERLINK("https://rhld.insurance.arkansas.gov/NPILookup?Npi=1245210590","1245210590")</f>
        <v>1245210590</v>
      </c>
      <c r="E8434" s="1" t="s">
        <v>4963</v>
      </c>
      <c r="F8434" s="2"/>
      <c r="G8434" s="2"/>
      <c r="H8434" s="2"/>
    </row>
    <row r="8435" spans="1:8" x14ac:dyDescent="0.25">
      <c r="A8435" s="1"/>
      <c r="B8435" s="1" t="s">
        <v>4944</v>
      </c>
      <c r="C8435" s="1" t="s">
        <v>4945</v>
      </c>
      <c r="D8435" s="22" t="str">
        <f>HYPERLINK("https://rhld.insurance.arkansas.gov/NPILookup?Npi=1245228055","1245228055")</f>
        <v>1245228055</v>
      </c>
      <c r="E8435" s="1" t="s">
        <v>19013</v>
      </c>
      <c r="F8435" s="2"/>
      <c r="G8435" s="2"/>
      <c r="H8435" s="2"/>
    </row>
    <row r="8436" spans="1:8" x14ac:dyDescent="0.25">
      <c r="A8436" s="1"/>
      <c r="B8436" s="1" t="s">
        <v>4944</v>
      </c>
      <c r="C8436" s="1" t="s">
        <v>4945</v>
      </c>
      <c r="D8436" s="22" t="str">
        <f>HYPERLINK("https://rhld.insurance.arkansas.gov/NPILookup?Npi=1245237080","1245237080")</f>
        <v>1245237080</v>
      </c>
      <c r="E8436" s="1" t="s">
        <v>10822</v>
      </c>
      <c r="F8436" s="2"/>
      <c r="G8436" s="2"/>
      <c r="H8436" s="2"/>
    </row>
    <row r="8437" spans="1:8" x14ac:dyDescent="0.25">
      <c r="A8437" s="1"/>
      <c r="B8437" s="1" t="s">
        <v>4944</v>
      </c>
      <c r="C8437" s="1" t="s">
        <v>4945</v>
      </c>
      <c r="D8437" s="22" t="str">
        <f>HYPERLINK("https://rhld.insurance.arkansas.gov/NPILookup?Npi=1245268051","1245268051")</f>
        <v>1245268051</v>
      </c>
      <c r="E8437" s="1" t="s">
        <v>10823</v>
      </c>
      <c r="F8437" s="2"/>
      <c r="G8437" s="2"/>
      <c r="H8437" s="2"/>
    </row>
    <row r="8438" spans="1:8" x14ac:dyDescent="0.25">
      <c r="A8438" s="1"/>
      <c r="B8438" s="1" t="s">
        <v>4944</v>
      </c>
      <c r="C8438" s="1" t="s">
        <v>4945</v>
      </c>
      <c r="D8438" s="22" t="str">
        <f>HYPERLINK("https://rhld.insurance.arkansas.gov/NPILookup?Npi=1245712215","1245712215")</f>
        <v>1245712215</v>
      </c>
      <c r="E8438" s="1" t="s">
        <v>19014</v>
      </c>
      <c r="F8438" s="2"/>
      <c r="G8438" s="2"/>
      <c r="H8438" s="2"/>
    </row>
    <row r="8439" spans="1:8" x14ac:dyDescent="0.25">
      <c r="A8439" s="1"/>
      <c r="B8439" s="1" t="s">
        <v>4944</v>
      </c>
      <c r="C8439" s="1" t="s">
        <v>4945</v>
      </c>
      <c r="D8439" s="22" t="str">
        <f>HYPERLINK("https://rhld.insurance.arkansas.gov/NPILookup?Npi=1255543278","1255543278")</f>
        <v>1255543278</v>
      </c>
      <c r="E8439" s="1" t="s">
        <v>19015</v>
      </c>
      <c r="F8439" s="2"/>
      <c r="G8439" s="2"/>
      <c r="H8439" s="2"/>
    </row>
    <row r="8440" spans="1:8" x14ac:dyDescent="0.25">
      <c r="A8440" s="1"/>
      <c r="B8440" s="1" t="s">
        <v>4944</v>
      </c>
      <c r="C8440" s="1" t="s">
        <v>4945</v>
      </c>
      <c r="D8440" s="22" t="str">
        <f>HYPERLINK("https://rhld.insurance.arkansas.gov/NPILookup?Npi=1265500888","1265500888")</f>
        <v>1265500888</v>
      </c>
      <c r="E8440" s="1" t="s">
        <v>10824</v>
      </c>
      <c r="F8440" s="2"/>
      <c r="G8440" s="2"/>
      <c r="H8440" s="2"/>
    </row>
    <row r="8441" spans="1:8" x14ac:dyDescent="0.25">
      <c r="A8441" s="1"/>
      <c r="B8441" s="1" t="s">
        <v>4944</v>
      </c>
      <c r="C8441" s="1" t="s">
        <v>4945</v>
      </c>
      <c r="D8441" s="22" t="str">
        <f>HYPERLINK("https://rhld.insurance.arkansas.gov/NPILookup?Npi=1275533580","1275533580")</f>
        <v>1275533580</v>
      </c>
      <c r="E8441" s="1" t="s">
        <v>17369</v>
      </c>
      <c r="F8441" s="2"/>
      <c r="G8441" s="2"/>
      <c r="H8441" s="2"/>
    </row>
    <row r="8442" spans="1:8" x14ac:dyDescent="0.25">
      <c r="A8442" s="1"/>
      <c r="B8442" s="1" t="s">
        <v>4944</v>
      </c>
      <c r="C8442" s="1" t="s">
        <v>4945</v>
      </c>
      <c r="D8442" s="22" t="str">
        <f>HYPERLINK("https://rhld.insurance.arkansas.gov/NPILookup?Npi=1275977894","1275977894")</f>
        <v>1275977894</v>
      </c>
      <c r="E8442" s="1" t="s">
        <v>4964</v>
      </c>
      <c r="F8442" s="2"/>
      <c r="G8442" s="2"/>
      <c r="H8442" s="2"/>
    </row>
    <row r="8443" spans="1:8" x14ac:dyDescent="0.25">
      <c r="A8443" s="1"/>
      <c r="B8443" s="1" t="s">
        <v>4944</v>
      </c>
      <c r="C8443" s="1" t="s">
        <v>4945</v>
      </c>
      <c r="D8443" s="22" t="str">
        <f>HYPERLINK("https://rhld.insurance.arkansas.gov/NPILookup?Npi=1275989907","1275989907")</f>
        <v>1275989907</v>
      </c>
      <c r="E8443" s="1" t="s">
        <v>19017</v>
      </c>
      <c r="F8443" s="2"/>
      <c r="G8443" s="2"/>
      <c r="H8443" s="2"/>
    </row>
    <row r="8444" spans="1:8" x14ac:dyDescent="0.25">
      <c r="A8444" s="1"/>
      <c r="B8444" s="1" t="s">
        <v>4944</v>
      </c>
      <c r="C8444" s="1" t="s">
        <v>4945</v>
      </c>
      <c r="D8444" s="22" t="str">
        <f>HYPERLINK("https://rhld.insurance.arkansas.gov/NPILookup?Npi=1285045526","1285045526")</f>
        <v>1285045526</v>
      </c>
      <c r="E8444" s="1" t="s">
        <v>10825</v>
      </c>
      <c r="F8444" s="2"/>
      <c r="G8444" s="2"/>
      <c r="H8444" s="2"/>
    </row>
    <row r="8445" spans="1:8" x14ac:dyDescent="0.25">
      <c r="A8445" s="1"/>
      <c r="B8445" s="1" t="s">
        <v>4944</v>
      </c>
      <c r="C8445" s="1" t="s">
        <v>4945</v>
      </c>
      <c r="D8445" s="22" t="str">
        <f>HYPERLINK("https://rhld.insurance.arkansas.gov/NPILookup?Npi=1285061226","1285061226")</f>
        <v>1285061226</v>
      </c>
      <c r="E8445" s="1" t="s">
        <v>4965</v>
      </c>
      <c r="F8445" s="2"/>
      <c r="G8445" s="2"/>
      <c r="H8445" s="2"/>
    </row>
    <row r="8446" spans="1:8" x14ac:dyDescent="0.25">
      <c r="A8446" s="1"/>
      <c r="B8446" s="1" t="s">
        <v>4944</v>
      </c>
      <c r="C8446" s="1" t="s">
        <v>4945</v>
      </c>
      <c r="D8446" s="22" t="str">
        <f>HYPERLINK("https://rhld.insurance.arkansas.gov/NPILookup?Npi=1285095174","1285095174")</f>
        <v>1285095174</v>
      </c>
      <c r="E8446" s="1" t="s">
        <v>2747</v>
      </c>
      <c r="F8446" s="2"/>
      <c r="G8446" s="2"/>
      <c r="H8446" s="2"/>
    </row>
    <row r="8447" spans="1:8" x14ac:dyDescent="0.25">
      <c r="A8447" s="1"/>
      <c r="B8447" s="1" t="s">
        <v>4944</v>
      </c>
      <c r="C8447" s="1" t="s">
        <v>4945</v>
      </c>
      <c r="D8447" s="22" t="str">
        <f>HYPERLINK("https://rhld.insurance.arkansas.gov/NPILookup?Npi=1285603233","1285603233")</f>
        <v>1285603233</v>
      </c>
      <c r="E8447" s="1" t="s">
        <v>19018</v>
      </c>
      <c r="F8447" s="2"/>
      <c r="G8447" s="2"/>
      <c r="H8447" s="2"/>
    </row>
    <row r="8448" spans="1:8" x14ac:dyDescent="0.25">
      <c r="A8448" s="1"/>
      <c r="B8448" s="1" t="s">
        <v>4944</v>
      </c>
      <c r="C8448" s="1" t="s">
        <v>4945</v>
      </c>
      <c r="D8448" s="22" t="str">
        <f>HYPERLINK("https://rhld.insurance.arkansas.gov/NPILookup?Npi=1285614537","1285614537")</f>
        <v>1285614537</v>
      </c>
      <c r="E8448" s="1" t="s">
        <v>19019</v>
      </c>
      <c r="F8448" s="2"/>
      <c r="G8448" s="2"/>
      <c r="H8448" s="2"/>
    </row>
    <row r="8449" spans="1:8" x14ac:dyDescent="0.25">
      <c r="A8449" s="1"/>
      <c r="B8449" s="1" t="s">
        <v>4944</v>
      </c>
      <c r="C8449" s="1" t="s">
        <v>4945</v>
      </c>
      <c r="D8449" s="22" t="str">
        <f>HYPERLINK("https://rhld.insurance.arkansas.gov/NPILookup?Npi=1285634592","1285634592")</f>
        <v>1285634592</v>
      </c>
      <c r="E8449" s="1" t="s">
        <v>19020</v>
      </c>
      <c r="F8449" s="2"/>
      <c r="G8449" s="2"/>
      <c r="H8449" s="2"/>
    </row>
    <row r="8450" spans="1:8" x14ac:dyDescent="0.25">
      <c r="A8450" s="1"/>
      <c r="B8450" s="1" t="s">
        <v>4944</v>
      </c>
      <c r="C8450" s="1" t="s">
        <v>4945</v>
      </c>
      <c r="D8450" s="22" t="str">
        <f>HYPERLINK("https://rhld.insurance.arkansas.gov/NPILookup?Npi=1285849927","1285849927")</f>
        <v>1285849927</v>
      </c>
      <c r="E8450" s="1" t="s">
        <v>1759</v>
      </c>
      <c r="F8450" s="2"/>
      <c r="G8450" s="2"/>
      <c r="H8450" s="2"/>
    </row>
    <row r="8451" spans="1:8" x14ac:dyDescent="0.25">
      <c r="A8451" s="1"/>
      <c r="B8451" s="1" t="s">
        <v>4944</v>
      </c>
      <c r="C8451" s="1" t="s">
        <v>4945</v>
      </c>
      <c r="D8451" s="22" t="str">
        <f>HYPERLINK("https://rhld.insurance.arkansas.gov/NPILookup?Npi=1306937438","1306937438")</f>
        <v>1306937438</v>
      </c>
      <c r="E8451" s="1" t="s">
        <v>19021</v>
      </c>
      <c r="F8451" s="2"/>
      <c r="G8451" s="2"/>
      <c r="H8451" s="2"/>
    </row>
    <row r="8452" spans="1:8" x14ac:dyDescent="0.25">
      <c r="A8452" s="1"/>
      <c r="B8452" s="1" t="s">
        <v>4944</v>
      </c>
      <c r="C8452" s="1" t="s">
        <v>4945</v>
      </c>
      <c r="D8452" s="22" t="str">
        <f>HYPERLINK("https://rhld.insurance.arkansas.gov/NPILookup?Npi=1316432024","1316432024")</f>
        <v>1316432024</v>
      </c>
      <c r="E8452" s="1" t="s">
        <v>19022</v>
      </c>
      <c r="F8452" s="2"/>
      <c r="G8452" s="2"/>
      <c r="H8452" s="2"/>
    </row>
    <row r="8453" spans="1:8" x14ac:dyDescent="0.25">
      <c r="A8453" s="1"/>
      <c r="B8453" s="1" t="s">
        <v>4944</v>
      </c>
      <c r="C8453" s="1" t="s">
        <v>4945</v>
      </c>
      <c r="D8453" s="22" t="str">
        <f>HYPERLINK("https://rhld.insurance.arkansas.gov/NPILookup?Npi=1326068867","1326068867")</f>
        <v>1326068867</v>
      </c>
      <c r="E8453" s="1" t="s">
        <v>4966</v>
      </c>
      <c r="F8453" s="2"/>
      <c r="G8453" s="2"/>
      <c r="H8453" s="2"/>
    </row>
    <row r="8454" spans="1:8" x14ac:dyDescent="0.25">
      <c r="A8454" s="1"/>
      <c r="B8454" s="1" t="s">
        <v>4944</v>
      </c>
      <c r="C8454" s="1" t="s">
        <v>4945</v>
      </c>
      <c r="D8454" s="22" t="str">
        <f>HYPERLINK("https://rhld.insurance.arkansas.gov/NPILookup?Npi=1326078924","1326078924")</f>
        <v>1326078924</v>
      </c>
      <c r="E8454" s="1" t="s">
        <v>19023</v>
      </c>
      <c r="F8454" s="2"/>
      <c r="G8454" s="2"/>
      <c r="H8454" s="2"/>
    </row>
    <row r="8455" spans="1:8" x14ac:dyDescent="0.25">
      <c r="A8455" s="1"/>
      <c r="B8455" s="1" t="s">
        <v>4944</v>
      </c>
      <c r="C8455" s="1" t="s">
        <v>4945</v>
      </c>
      <c r="D8455" s="22" t="str">
        <f>HYPERLINK("https://rhld.insurance.arkansas.gov/NPILookup?Npi=1346475498","1346475498")</f>
        <v>1346475498</v>
      </c>
      <c r="E8455" s="1" t="s">
        <v>4967</v>
      </c>
      <c r="F8455" s="2"/>
      <c r="G8455" s="2"/>
      <c r="H8455" s="2"/>
    </row>
    <row r="8456" spans="1:8" x14ac:dyDescent="0.25">
      <c r="A8456" s="1"/>
      <c r="B8456" s="1" t="s">
        <v>4944</v>
      </c>
      <c r="C8456" s="1" t="s">
        <v>4945</v>
      </c>
      <c r="D8456" s="22" t="str">
        <f>HYPERLINK("https://rhld.insurance.arkansas.gov/NPILookup?Npi=1346494192","1346494192")</f>
        <v>1346494192</v>
      </c>
      <c r="E8456" s="1" t="s">
        <v>19024</v>
      </c>
      <c r="F8456" s="2"/>
      <c r="G8456" s="2"/>
      <c r="H8456" s="2"/>
    </row>
    <row r="8457" spans="1:8" x14ac:dyDescent="0.25">
      <c r="A8457" s="1"/>
      <c r="B8457" s="1" t="s">
        <v>4944</v>
      </c>
      <c r="C8457" s="1" t="s">
        <v>4945</v>
      </c>
      <c r="D8457" s="22" t="str">
        <f>HYPERLINK("https://rhld.insurance.arkansas.gov/NPILookup?Npi=1346508470","1346508470")</f>
        <v>1346508470</v>
      </c>
      <c r="E8457" s="1" t="s">
        <v>4968</v>
      </c>
      <c r="F8457" s="2"/>
      <c r="G8457" s="2"/>
      <c r="H8457" s="2"/>
    </row>
    <row r="8458" spans="1:8" x14ac:dyDescent="0.25">
      <c r="A8458" s="1"/>
      <c r="B8458" s="1" t="s">
        <v>4944</v>
      </c>
      <c r="C8458" s="1" t="s">
        <v>4945</v>
      </c>
      <c r="D8458" s="22" t="str">
        <f>HYPERLINK("https://rhld.insurance.arkansas.gov/NPILookup?Npi=1346536893","1346536893")</f>
        <v>1346536893</v>
      </c>
      <c r="E8458" s="1" t="s">
        <v>19025</v>
      </c>
      <c r="F8458" s="2"/>
      <c r="G8458" s="2"/>
      <c r="H8458" s="2"/>
    </row>
    <row r="8459" spans="1:8" x14ac:dyDescent="0.25">
      <c r="A8459" s="1"/>
      <c r="B8459" s="1" t="s">
        <v>4944</v>
      </c>
      <c r="C8459" s="1" t="s">
        <v>4945</v>
      </c>
      <c r="D8459" s="22" t="str">
        <f>HYPERLINK("https://rhld.insurance.arkansas.gov/NPILookup?Npi=1356399117","1356399117")</f>
        <v>1356399117</v>
      </c>
      <c r="E8459" s="1" t="s">
        <v>19026</v>
      </c>
      <c r="F8459" s="2"/>
      <c r="G8459" s="2"/>
      <c r="H8459" s="2"/>
    </row>
    <row r="8460" spans="1:8" x14ac:dyDescent="0.25">
      <c r="A8460" s="1"/>
      <c r="B8460" s="1" t="s">
        <v>4944</v>
      </c>
      <c r="C8460" s="1" t="s">
        <v>4945</v>
      </c>
      <c r="D8460" s="22" t="str">
        <f>HYPERLINK("https://rhld.insurance.arkansas.gov/NPILookup?Npi=1356873665","1356873665")</f>
        <v>1356873665</v>
      </c>
      <c r="E8460" s="1" t="s">
        <v>19028</v>
      </c>
      <c r="F8460" s="2"/>
      <c r="G8460" s="2"/>
      <c r="H8460" s="2"/>
    </row>
    <row r="8461" spans="1:8" x14ac:dyDescent="0.25">
      <c r="A8461" s="1"/>
      <c r="B8461" s="1" t="s">
        <v>4944</v>
      </c>
      <c r="C8461" s="1" t="s">
        <v>4945</v>
      </c>
      <c r="D8461" s="22" t="str">
        <f>HYPERLINK("https://rhld.insurance.arkansas.gov/NPILookup?Npi=1376665646","1376665646")</f>
        <v>1376665646</v>
      </c>
      <c r="E8461" s="1" t="s">
        <v>19029</v>
      </c>
      <c r="F8461" s="2"/>
      <c r="G8461" s="2"/>
      <c r="H8461" s="2"/>
    </row>
    <row r="8462" spans="1:8" x14ac:dyDescent="0.25">
      <c r="A8462" s="1"/>
      <c r="B8462" s="1" t="s">
        <v>4944</v>
      </c>
      <c r="C8462" s="1" t="s">
        <v>4945</v>
      </c>
      <c r="D8462" s="22" t="str">
        <f>HYPERLINK("https://rhld.insurance.arkansas.gov/NPILookup?Npi=1386611598","1386611598")</f>
        <v>1386611598</v>
      </c>
      <c r="E8462" s="1" t="s">
        <v>19030</v>
      </c>
      <c r="F8462" s="2"/>
      <c r="G8462" s="2"/>
      <c r="H8462" s="2"/>
    </row>
    <row r="8463" spans="1:8" x14ac:dyDescent="0.25">
      <c r="A8463" s="1"/>
      <c r="B8463" s="1" t="s">
        <v>4944</v>
      </c>
      <c r="C8463" s="1" t="s">
        <v>4945</v>
      </c>
      <c r="D8463" s="22" t="str">
        <f>HYPERLINK("https://rhld.insurance.arkansas.gov/NPILookup?Npi=1386778199","1386778199")</f>
        <v>1386778199</v>
      </c>
      <c r="E8463" s="1" t="s">
        <v>19031</v>
      </c>
      <c r="F8463" s="2"/>
      <c r="G8463" s="2"/>
      <c r="H8463" s="2"/>
    </row>
    <row r="8464" spans="1:8" x14ac:dyDescent="0.25">
      <c r="A8464" s="1"/>
      <c r="B8464" s="1" t="s">
        <v>4944</v>
      </c>
      <c r="C8464" s="1" t="s">
        <v>4945</v>
      </c>
      <c r="D8464" s="22" t="str">
        <f>HYPERLINK("https://rhld.insurance.arkansas.gov/NPILookup?Npi=1386925634","1386925634")</f>
        <v>1386925634</v>
      </c>
      <c r="E8464" s="1" t="s">
        <v>19032</v>
      </c>
      <c r="F8464" s="2"/>
      <c r="G8464" s="2"/>
      <c r="H8464" s="2"/>
    </row>
    <row r="8465" spans="1:8" x14ac:dyDescent="0.25">
      <c r="A8465" s="1"/>
      <c r="B8465" s="1" t="s">
        <v>4944</v>
      </c>
      <c r="C8465" s="1" t="s">
        <v>4945</v>
      </c>
      <c r="D8465" s="22" t="str">
        <f>HYPERLINK("https://rhld.insurance.arkansas.gov/NPILookup?Npi=1396301164","1396301164")</f>
        <v>1396301164</v>
      </c>
      <c r="E8465" s="1" t="s">
        <v>19033</v>
      </c>
      <c r="F8465" s="2"/>
      <c r="G8465" s="2"/>
      <c r="H8465" s="2"/>
    </row>
    <row r="8466" spans="1:8" x14ac:dyDescent="0.25">
      <c r="A8466" s="1"/>
      <c r="B8466" s="1" t="s">
        <v>4944</v>
      </c>
      <c r="C8466" s="1" t="s">
        <v>4945</v>
      </c>
      <c r="D8466" s="22" t="str">
        <f>HYPERLINK("https://rhld.insurance.arkansas.gov/NPILookup?Npi=1396449401","1396449401")</f>
        <v>1396449401</v>
      </c>
      <c r="E8466" s="1" t="s">
        <v>31548</v>
      </c>
      <c r="F8466" s="2"/>
      <c r="G8466" s="2"/>
      <c r="H8466" s="2"/>
    </row>
    <row r="8467" spans="1:8" x14ac:dyDescent="0.25">
      <c r="A8467" s="1"/>
      <c r="B8467" s="1" t="s">
        <v>4944</v>
      </c>
      <c r="C8467" s="1" t="s">
        <v>4945</v>
      </c>
      <c r="D8467" s="22" t="str">
        <f>HYPERLINK("https://rhld.insurance.arkansas.gov/NPILookup?Npi=1396746376","1396746376")</f>
        <v>1396746376</v>
      </c>
      <c r="E8467" s="1" t="s">
        <v>4969</v>
      </c>
      <c r="F8467" s="2"/>
      <c r="G8467" s="2"/>
      <c r="H8467" s="2"/>
    </row>
    <row r="8468" spans="1:8" x14ac:dyDescent="0.25">
      <c r="A8468" s="1"/>
      <c r="B8468" s="1" t="s">
        <v>4944</v>
      </c>
      <c r="C8468" s="1" t="s">
        <v>4945</v>
      </c>
      <c r="D8468" s="22" t="str">
        <f>HYPERLINK("https://rhld.insurance.arkansas.gov/NPILookup?Npi=1396747606","1396747606")</f>
        <v>1396747606</v>
      </c>
      <c r="E8468" s="1" t="s">
        <v>4970</v>
      </c>
      <c r="F8468" s="2"/>
      <c r="G8468" s="2"/>
      <c r="H8468" s="2"/>
    </row>
    <row r="8469" spans="1:8" x14ac:dyDescent="0.25">
      <c r="A8469" s="1"/>
      <c r="B8469" s="1" t="s">
        <v>4944</v>
      </c>
      <c r="C8469" s="1" t="s">
        <v>4945</v>
      </c>
      <c r="D8469" s="22" t="str">
        <f>HYPERLINK("https://rhld.insurance.arkansas.gov/NPILookup?Npi=1407042252","1407042252")</f>
        <v>1407042252</v>
      </c>
      <c r="E8469" s="1" t="s">
        <v>19034</v>
      </c>
      <c r="F8469" s="2"/>
      <c r="G8469" s="2"/>
      <c r="H8469" s="2"/>
    </row>
    <row r="8470" spans="1:8" x14ac:dyDescent="0.25">
      <c r="A8470" s="1"/>
      <c r="B8470" s="1" t="s">
        <v>4944</v>
      </c>
      <c r="C8470" s="1" t="s">
        <v>4945</v>
      </c>
      <c r="D8470" s="22" t="str">
        <f>HYPERLINK("https://rhld.insurance.arkansas.gov/NPILookup?Npi=1407298813","1407298813")</f>
        <v>1407298813</v>
      </c>
      <c r="E8470" s="1" t="s">
        <v>4971</v>
      </c>
      <c r="F8470" s="2"/>
      <c r="G8470" s="2"/>
      <c r="H8470" s="2"/>
    </row>
    <row r="8471" spans="1:8" x14ac:dyDescent="0.25">
      <c r="A8471" s="1"/>
      <c r="B8471" s="1" t="s">
        <v>4944</v>
      </c>
      <c r="C8471" s="1" t="s">
        <v>4945</v>
      </c>
      <c r="D8471" s="22" t="str">
        <f>HYPERLINK("https://rhld.insurance.arkansas.gov/NPILookup?Npi=1417149253","1417149253")</f>
        <v>1417149253</v>
      </c>
      <c r="E8471" s="1" t="s">
        <v>19035</v>
      </c>
      <c r="F8471" s="2"/>
      <c r="G8471" s="2"/>
      <c r="H8471" s="2"/>
    </row>
    <row r="8472" spans="1:8" x14ac:dyDescent="0.25">
      <c r="A8472" s="1"/>
      <c r="B8472" s="1" t="s">
        <v>4944</v>
      </c>
      <c r="C8472" s="1" t="s">
        <v>4945</v>
      </c>
      <c r="D8472" s="22" t="str">
        <f>HYPERLINK("https://rhld.insurance.arkansas.gov/NPILookup?Npi=1427084136","1427084136")</f>
        <v>1427084136</v>
      </c>
      <c r="E8472" s="1" t="s">
        <v>4972</v>
      </c>
      <c r="F8472" s="2"/>
      <c r="G8472" s="2"/>
      <c r="H8472" s="2"/>
    </row>
    <row r="8473" spans="1:8" x14ac:dyDescent="0.25">
      <c r="A8473" s="1"/>
      <c r="B8473" s="1" t="s">
        <v>4944</v>
      </c>
      <c r="C8473" s="1" t="s">
        <v>4945</v>
      </c>
      <c r="D8473" s="22" t="str">
        <f>HYPERLINK("https://rhld.insurance.arkansas.gov/NPILookup?Npi=1427369859","1427369859")</f>
        <v>1427369859</v>
      </c>
      <c r="E8473" s="1" t="s">
        <v>19036</v>
      </c>
      <c r="F8473" s="2"/>
      <c r="G8473" s="2"/>
      <c r="H8473" s="2"/>
    </row>
    <row r="8474" spans="1:8" x14ac:dyDescent="0.25">
      <c r="A8474" s="1"/>
      <c r="B8474" s="1" t="s">
        <v>4944</v>
      </c>
      <c r="C8474" s="1" t="s">
        <v>4945</v>
      </c>
      <c r="D8474" s="22" t="str">
        <f>HYPERLINK("https://rhld.insurance.arkansas.gov/NPILookup?Npi=1437127800","1437127800")</f>
        <v>1437127800</v>
      </c>
      <c r="E8474" s="1" t="s">
        <v>19037</v>
      </c>
      <c r="F8474" s="2"/>
      <c r="G8474" s="2"/>
      <c r="H8474" s="2"/>
    </row>
    <row r="8475" spans="1:8" x14ac:dyDescent="0.25">
      <c r="A8475" s="1"/>
      <c r="B8475" s="1" t="s">
        <v>4944</v>
      </c>
      <c r="C8475" s="1" t="s">
        <v>4945</v>
      </c>
      <c r="D8475" s="22" t="str">
        <f>HYPERLINK("https://rhld.insurance.arkansas.gov/NPILookup?Npi=1437140373","1437140373")</f>
        <v>1437140373</v>
      </c>
      <c r="E8475" s="1" t="s">
        <v>19038</v>
      </c>
      <c r="F8475" s="2"/>
      <c r="G8475" s="2"/>
      <c r="H8475" s="2"/>
    </row>
    <row r="8476" spans="1:8" x14ac:dyDescent="0.25">
      <c r="A8476" s="1"/>
      <c r="B8476" s="1" t="s">
        <v>4944</v>
      </c>
      <c r="C8476" s="1" t="s">
        <v>4945</v>
      </c>
      <c r="D8476" s="22" t="str">
        <f>HYPERLINK("https://rhld.insurance.arkansas.gov/NPILookup?Npi=1437148293","1437148293")</f>
        <v>1437148293</v>
      </c>
      <c r="E8476" s="1" t="s">
        <v>19039</v>
      </c>
      <c r="F8476" s="2"/>
      <c r="G8476" s="2"/>
      <c r="H8476" s="2"/>
    </row>
    <row r="8477" spans="1:8" x14ac:dyDescent="0.25">
      <c r="A8477" s="1"/>
      <c r="B8477" s="1" t="s">
        <v>4944</v>
      </c>
      <c r="C8477" s="1" t="s">
        <v>4945</v>
      </c>
      <c r="D8477" s="22" t="str">
        <f>HYPERLINK("https://rhld.insurance.arkansas.gov/NPILookup?Npi=1437312725","1437312725")</f>
        <v>1437312725</v>
      </c>
      <c r="E8477" s="1" t="s">
        <v>4973</v>
      </c>
      <c r="F8477" s="2"/>
      <c r="G8477" s="2"/>
      <c r="H8477" s="2"/>
    </row>
    <row r="8478" spans="1:8" x14ac:dyDescent="0.25">
      <c r="A8478" s="1"/>
      <c r="B8478" s="1" t="s">
        <v>4944</v>
      </c>
      <c r="C8478" s="1" t="s">
        <v>4945</v>
      </c>
      <c r="D8478" s="22" t="str">
        <f>HYPERLINK("https://rhld.insurance.arkansas.gov/NPILookup?Npi=1447440045","1447440045")</f>
        <v>1447440045</v>
      </c>
      <c r="E8478" s="1" t="s">
        <v>19040</v>
      </c>
      <c r="F8478" s="2"/>
      <c r="G8478" s="2"/>
      <c r="H8478" s="2"/>
    </row>
    <row r="8479" spans="1:8" x14ac:dyDescent="0.25">
      <c r="A8479" s="1"/>
      <c r="B8479" s="1" t="s">
        <v>4944</v>
      </c>
      <c r="C8479" s="1" t="s">
        <v>4945</v>
      </c>
      <c r="D8479" s="22" t="str">
        <f>HYPERLINK("https://rhld.insurance.arkansas.gov/NPILookup?Npi=1447560719","1447560719")</f>
        <v>1447560719</v>
      </c>
      <c r="E8479" s="1" t="s">
        <v>19041</v>
      </c>
      <c r="F8479" s="2"/>
      <c r="G8479" s="2"/>
      <c r="H8479" s="2"/>
    </row>
    <row r="8480" spans="1:8" x14ac:dyDescent="0.25">
      <c r="A8480" s="1"/>
      <c r="B8480" s="1" t="s">
        <v>4944</v>
      </c>
      <c r="C8480" s="1" t="s">
        <v>4945</v>
      </c>
      <c r="D8480" s="22" t="str">
        <f>HYPERLINK("https://rhld.insurance.arkansas.gov/NPILookup?Npi=1457404816","1457404816")</f>
        <v>1457404816</v>
      </c>
      <c r="E8480" s="1" t="s">
        <v>19042</v>
      </c>
      <c r="F8480" s="2"/>
      <c r="G8480" s="2"/>
      <c r="H8480" s="2"/>
    </row>
    <row r="8481" spans="1:8" x14ac:dyDescent="0.25">
      <c r="A8481" s="1"/>
      <c r="B8481" s="1" t="s">
        <v>4944</v>
      </c>
      <c r="C8481" s="1" t="s">
        <v>4945</v>
      </c>
      <c r="D8481" s="22" t="str">
        <f>HYPERLINK("https://rhld.insurance.arkansas.gov/NPILookup?Npi=1457536559","1457536559")</f>
        <v>1457536559</v>
      </c>
      <c r="E8481" s="1" t="s">
        <v>19043</v>
      </c>
      <c r="F8481" s="2"/>
      <c r="G8481" s="2"/>
      <c r="H8481" s="2"/>
    </row>
    <row r="8482" spans="1:8" x14ac:dyDescent="0.25">
      <c r="A8482" s="1"/>
      <c r="B8482" s="1" t="s">
        <v>4944</v>
      </c>
      <c r="C8482" s="1" t="s">
        <v>4945</v>
      </c>
      <c r="D8482" s="22" t="str">
        <f>HYPERLINK("https://rhld.insurance.arkansas.gov/NPILookup?Npi=1457762304","1457762304")</f>
        <v>1457762304</v>
      </c>
      <c r="E8482" s="1" t="s">
        <v>4974</v>
      </c>
      <c r="F8482" s="2"/>
      <c r="G8482" s="2"/>
      <c r="H8482" s="2"/>
    </row>
    <row r="8483" spans="1:8" x14ac:dyDescent="0.25">
      <c r="A8483" s="1"/>
      <c r="B8483" s="1" t="s">
        <v>4944</v>
      </c>
      <c r="C8483" s="1" t="s">
        <v>4945</v>
      </c>
      <c r="D8483" s="22" t="str">
        <f>HYPERLINK("https://rhld.insurance.arkansas.gov/NPILookup?Npi=1467469957","1467469957")</f>
        <v>1467469957</v>
      </c>
      <c r="E8483" s="1" t="s">
        <v>4975</v>
      </c>
      <c r="F8483" s="2"/>
      <c r="G8483" s="2"/>
      <c r="H8483" s="2"/>
    </row>
    <row r="8484" spans="1:8" x14ac:dyDescent="0.25">
      <c r="A8484" s="1"/>
      <c r="B8484" s="1" t="s">
        <v>4944</v>
      </c>
      <c r="C8484" s="1" t="s">
        <v>4945</v>
      </c>
      <c r="D8484" s="22" t="str">
        <f>HYPERLINK("https://rhld.insurance.arkansas.gov/NPILookup?Npi=1467970954","1467970954")</f>
        <v>1467970954</v>
      </c>
      <c r="E8484" s="1" t="s">
        <v>10826</v>
      </c>
      <c r="F8484" s="2"/>
      <c r="G8484" s="2"/>
      <c r="H8484" s="2"/>
    </row>
    <row r="8485" spans="1:8" x14ac:dyDescent="0.25">
      <c r="A8485" s="1"/>
      <c r="B8485" s="1" t="s">
        <v>4944</v>
      </c>
      <c r="C8485" s="1" t="s">
        <v>4945</v>
      </c>
      <c r="D8485" s="22" t="str">
        <f>HYPERLINK("https://rhld.insurance.arkansas.gov/NPILookup?Npi=1477822799","1477822799")</f>
        <v>1477822799</v>
      </c>
      <c r="E8485" s="1" t="s">
        <v>19044</v>
      </c>
      <c r="F8485" s="2"/>
      <c r="G8485" s="2"/>
      <c r="H8485" s="2"/>
    </row>
    <row r="8486" spans="1:8" x14ac:dyDescent="0.25">
      <c r="A8486" s="1"/>
      <c r="B8486" s="1" t="s">
        <v>4944</v>
      </c>
      <c r="C8486" s="1" t="s">
        <v>4945</v>
      </c>
      <c r="D8486" s="22" t="str">
        <f>HYPERLINK("https://rhld.insurance.arkansas.gov/NPILookup?Npi=1487653820","1487653820")</f>
        <v>1487653820</v>
      </c>
      <c r="E8486" s="1" t="s">
        <v>19045</v>
      </c>
      <c r="F8486" s="2"/>
      <c r="G8486" s="2"/>
      <c r="H8486" s="2"/>
    </row>
    <row r="8487" spans="1:8" x14ac:dyDescent="0.25">
      <c r="A8487" s="1"/>
      <c r="B8487" s="1" t="s">
        <v>4944</v>
      </c>
      <c r="C8487" s="1" t="s">
        <v>4945</v>
      </c>
      <c r="D8487" s="22" t="str">
        <f>HYPERLINK("https://rhld.insurance.arkansas.gov/NPILookup?Npi=1497106629","1497106629")</f>
        <v>1497106629</v>
      </c>
      <c r="E8487" s="1" t="s">
        <v>4976</v>
      </c>
      <c r="F8487" s="2"/>
      <c r="G8487" s="2"/>
      <c r="H8487" s="2"/>
    </row>
    <row r="8488" spans="1:8" x14ac:dyDescent="0.25">
      <c r="A8488" s="1"/>
      <c r="B8488" s="1" t="s">
        <v>4944</v>
      </c>
      <c r="C8488" s="1" t="s">
        <v>4945</v>
      </c>
      <c r="D8488" s="22" t="str">
        <f>HYPERLINK("https://rhld.insurance.arkansas.gov/NPILookup?Npi=1497108153","1497108153")</f>
        <v>1497108153</v>
      </c>
      <c r="E8488" s="1" t="s">
        <v>19046</v>
      </c>
      <c r="F8488" s="2"/>
      <c r="G8488" s="2"/>
      <c r="H8488" s="2"/>
    </row>
    <row r="8489" spans="1:8" x14ac:dyDescent="0.25">
      <c r="A8489" s="1"/>
      <c r="B8489" s="1" t="s">
        <v>4944</v>
      </c>
      <c r="C8489" s="1" t="s">
        <v>4945</v>
      </c>
      <c r="D8489" s="22" t="str">
        <f>HYPERLINK("https://rhld.insurance.arkansas.gov/NPILookup?Npi=1497746341","1497746341")</f>
        <v>1497746341</v>
      </c>
      <c r="E8489" s="1" t="s">
        <v>19047</v>
      </c>
      <c r="F8489" s="2"/>
      <c r="G8489" s="2"/>
      <c r="H8489" s="2"/>
    </row>
    <row r="8490" spans="1:8" x14ac:dyDescent="0.25">
      <c r="A8490" s="1"/>
      <c r="B8490" s="1" t="s">
        <v>4944</v>
      </c>
      <c r="C8490" s="1" t="s">
        <v>4945</v>
      </c>
      <c r="D8490" s="22" t="str">
        <f>HYPERLINK("https://rhld.insurance.arkansas.gov/NPILookup?Npi=1497954515","1497954515")</f>
        <v>1497954515</v>
      </c>
      <c r="E8490" s="1" t="s">
        <v>10827</v>
      </c>
      <c r="F8490" s="2"/>
      <c r="G8490" s="2"/>
      <c r="H8490" s="2"/>
    </row>
    <row r="8491" spans="1:8" x14ac:dyDescent="0.25">
      <c r="A8491" s="1"/>
      <c r="B8491" s="1" t="s">
        <v>4944</v>
      </c>
      <c r="C8491" s="1" t="s">
        <v>4945</v>
      </c>
      <c r="D8491" s="22" t="str">
        <f>HYPERLINK("https://rhld.insurance.arkansas.gov/NPILookup?Npi=1508886482","1508886482")</f>
        <v>1508886482</v>
      </c>
      <c r="E8491" s="1" t="s">
        <v>17196</v>
      </c>
      <c r="F8491" s="2"/>
      <c r="G8491" s="2"/>
      <c r="H8491" s="2"/>
    </row>
    <row r="8492" spans="1:8" x14ac:dyDescent="0.25">
      <c r="A8492" s="1"/>
      <c r="B8492" s="1" t="s">
        <v>4944</v>
      </c>
      <c r="C8492" s="1" t="s">
        <v>4945</v>
      </c>
      <c r="D8492" s="22" t="str">
        <f>HYPERLINK("https://rhld.insurance.arkansas.gov/NPILookup?Npi=1508956160","1508956160")</f>
        <v>1508956160</v>
      </c>
      <c r="E8492" s="1" t="s">
        <v>15680</v>
      </c>
      <c r="F8492" s="2"/>
      <c r="G8492" s="2"/>
      <c r="H8492" s="2"/>
    </row>
    <row r="8493" spans="1:8" x14ac:dyDescent="0.25">
      <c r="A8493" s="1"/>
      <c r="B8493" s="1" t="s">
        <v>4944</v>
      </c>
      <c r="C8493" s="1" t="s">
        <v>4945</v>
      </c>
      <c r="D8493" s="22" t="str">
        <f>HYPERLINK("https://rhld.insurance.arkansas.gov/NPILookup?Npi=1518900257","1518900257")</f>
        <v>1518900257</v>
      </c>
      <c r="E8493" s="1" t="s">
        <v>19048</v>
      </c>
      <c r="F8493" s="2"/>
      <c r="G8493" s="2"/>
      <c r="H8493" s="2"/>
    </row>
    <row r="8494" spans="1:8" x14ac:dyDescent="0.25">
      <c r="A8494" s="1"/>
      <c r="B8494" s="1" t="s">
        <v>4944</v>
      </c>
      <c r="C8494" s="1" t="s">
        <v>4945</v>
      </c>
      <c r="D8494" s="22" t="str">
        <f>HYPERLINK("https://rhld.insurance.arkansas.gov/NPILookup?Npi=1518967611","1518967611")</f>
        <v>1518967611</v>
      </c>
      <c r="E8494" s="1" t="s">
        <v>19049</v>
      </c>
      <c r="F8494" s="2"/>
      <c r="G8494" s="2"/>
      <c r="H8494" s="2"/>
    </row>
    <row r="8495" spans="1:8" x14ac:dyDescent="0.25">
      <c r="A8495" s="1"/>
      <c r="B8495" s="1" t="s">
        <v>4944</v>
      </c>
      <c r="C8495" s="1" t="s">
        <v>4945</v>
      </c>
      <c r="D8495" s="22" t="str">
        <f>HYPERLINK("https://rhld.insurance.arkansas.gov/NPILookup?Npi=1528003050","1528003050")</f>
        <v>1528003050</v>
      </c>
      <c r="E8495" s="1" t="s">
        <v>10828</v>
      </c>
      <c r="F8495" s="2"/>
      <c r="G8495" s="2"/>
      <c r="H8495" s="2"/>
    </row>
    <row r="8496" spans="1:8" x14ac:dyDescent="0.25">
      <c r="A8496" s="1"/>
      <c r="B8496" s="1" t="s">
        <v>4944</v>
      </c>
      <c r="C8496" s="1" t="s">
        <v>4945</v>
      </c>
      <c r="D8496" s="22" t="str">
        <f>HYPERLINK("https://rhld.insurance.arkansas.gov/NPILookup?Npi=1528321494","1528321494")</f>
        <v>1528321494</v>
      </c>
      <c r="E8496" s="1" t="s">
        <v>4977</v>
      </c>
      <c r="F8496" s="2"/>
      <c r="G8496" s="2"/>
      <c r="H8496" s="2"/>
    </row>
    <row r="8497" spans="1:8" x14ac:dyDescent="0.25">
      <c r="A8497" s="1"/>
      <c r="B8497" s="1" t="s">
        <v>4944</v>
      </c>
      <c r="C8497" s="1" t="s">
        <v>4945</v>
      </c>
      <c r="D8497" s="22" t="str">
        <f>HYPERLINK("https://rhld.insurance.arkansas.gov/NPILookup?Npi=1538149885","1538149885")</f>
        <v>1538149885</v>
      </c>
      <c r="E8497" s="1" t="s">
        <v>7</v>
      </c>
      <c r="F8497" s="2"/>
      <c r="G8497" s="2"/>
      <c r="H8497" s="2"/>
    </row>
    <row r="8498" spans="1:8" x14ac:dyDescent="0.25">
      <c r="A8498" s="1"/>
      <c r="B8498" s="1" t="s">
        <v>4944</v>
      </c>
      <c r="C8498" s="1" t="s">
        <v>4945</v>
      </c>
      <c r="D8498" s="22" t="str">
        <f>HYPERLINK("https://rhld.insurance.arkansas.gov/NPILookup?Npi=1538327150","1538327150")</f>
        <v>1538327150</v>
      </c>
      <c r="E8498" s="1" t="s">
        <v>10829</v>
      </c>
      <c r="F8498" s="2"/>
      <c r="G8498" s="2"/>
      <c r="H8498" s="2"/>
    </row>
    <row r="8499" spans="1:8" x14ac:dyDescent="0.25">
      <c r="A8499" s="1"/>
      <c r="B8499" s="1" t="s">
        <v>4944</v>
      </c>
      <c r="C8499" s="1" t="s">
        <v>4945</v>
      </c>
      <c r="D8499" s="22" t="str">
        <f>HYPERLINK("https://rhld.insurance.arkansas.gov/NPILookup?Npi=1538383799","1538383799")</f>
        <v>1538383799</v>
      </c>
      <c r="E8499" s="1" t="s">
        <v>19050</v>
      </c>
      <c r="F8499" s="2"/>
      <c r="G8499" s="2"/>
      <c r="H8499" s="2"/>
    </row>
    <row r="8500" spans="1:8" x14ac:dyDescent="0.25">
      <c r="A8500" s="1"/>
      <c r="B8500" s="1" t="s">
        <v>4944</v>
      </c>
      <c r="C8500" s="1" t="s">
        <v>4945</v>
      </c>
      <c r="D8500" s="22" t="str">
        <f>HYPERLINK("https://rhld.insurance.arkansas.gov/NPILookup?Npi=1538612015","1538612015")</f>
        <v>1538612015</v>
      </c>
      <c r="E8500" s="1" t="s">
        <v>19051</v>
      </c>
      <c r="F8500" s="2"/>
      <c r="G8500" s="2"/>
      <c r="H8500" s="2"/>
    </row>
    <row r="8501" spans="1:8" x14ac:dyDescent="0.25">
      <c r="A8501" s="1"/>
      <c r="B8501" s="1" t="s">
        <v>4944</v>
      </c>
      <c r="C8501" s="1" t="s">
        <v>4945</v>
      </c>
      <c r="D8501" s="22" t="str">
        <f>HYPERLINK("https://rhld.insurance.arkansas.gov/NPILookup?Npi=1548671845","1548671845")</f>
        <v>1548671845</v>
      </c>
      <c r="E8501" s="1" t="s">
        <v>10830</v>
      </c>
      <c r="F8501" s="2"/>
      <c r="G8501" s="2"/>
      <c r="H8501" s="2"/>
    </row>
    <row r="8502" spans="1:8" x14ac:dyDescent="0.25">
      <c r="A8502" s="1"/>
      <c r="B8502" s="1" t="s">
        <v>4944</v>
      </c>
      <c r="C8502" s="1" t="s">
        <v>4945</v>
      </c>
      <c r="D8502" s="22" t="str">
        <f>HYPERLINK("https://rhld.insurance.arkansas.gov/NPILookup?Npi=1558397489","1558397489")</f>
        <v>1558397489</v>
      </c>
      <c r="E8502" s="1" t="s">
        <v>10831</v>
      </c>
      <c r="F8502" s="2"/>
      <c r="G8502" s="2"/>
      <c r="H8502" s="2"/>
    </row>
    <row r="8503" spans="1:8" x14ac:dyDescent="0.25">
      <c r="A8503" s="1"/>
      <c r="B8503" s="1" t="s">
        <v>4944</v>
      </c>
      <c r="C8503" s="1" t="s">
        <v>4945</v>
      </c>
      <c r="D8503" s="22" t="str">
        <f>HYPERLINK("https://rhld.insurance.arkansas.gov/NPILookup?Npi=1558625178","1558625178")</f>
        <v>1558625178</v>
      </c>
      <c r="E8503" s="1" t="s">
        <v>19052</v>
      </c>
      <c r="F8503" s="2"/>
      <c r="G8503" s="2"/>
      <c r="H8503" s="2"/>
    </row>
    <row r="8504" spans="1:8" x14ac:dyDescent="0.25">
      <c r="A8504" s="1"/>
      <c r="B8504" s="1" t="s">
        <v>4944</v>
      </c>
      <c r="C8504" s="1" t="s">
        <v>4945</v>
      </c>
      <c r="D8504" s="22" t="str">
        <f>HYPERLINK("https://rhld.insurance.arkansas.gov/NPILookup?Npi=1558660217","1558660217")</f>
        <v>1558660217</v>
      </c>
      <c r="E8504" s="1" t="s">
        <v>4978</v>
      </c>
      <c r="F8504" s="2"/>
      <c r="G8504" s="2"/>
      <c r="H8504" s="2"/>
    </row>
    <row r="8505" spans="1:8" x14ac:dyDescent="0.25">
      <c r="A8505" s="1"/>
      <c r="B8505" s="1" t="s">
        <v>4944</v>
      </c>
      <c r="C8505" s="1" t="s">
        <v>4945</v>
      </c>
      <c r="D8505" s="22" t="str">
        <f>HYPERLINK("https://rhld.insurance.arkansas.gov/NPILookup?Npi=1588154900","1588154900")</f>
        <v>1588154900</v>
      </c>
      <c r="E8505" s="1" t="s">
        <v>31549</v>
      </c>
      <c r="F8505" s="2"/>
      <c r="G8505" s="2"/>
      <c r="H8505" s="2"/>
    </row>
    <row r="8506" spans="1:8" x14ac:dyDescent="0.25">
      <c r="A8506" s="1"/>
      <c r="B8506" s="1" t="s">
        <v>4944</v>
      </c>
      <c r="C8506" s="1" t="s">
        <v>4945</v>
      </c>
      <c r="D8506" s="22" t="str">
        <f>HYPERLINK("https://rhld.insurance.arkansas.gov/NPILookup?Npi=1588666895","1588666895")</f>
        <v>1588666895</v>
      </c>
      <c r="E8506" s="1" t="s">
        <v>19053</v>
      </c>
      <c r="F8506" s="2"/>
      <c r="G8506" s="2"/>
      <c r="H8506" s="2"/>
    </row>
    <row r="8507" spans="1:8" x14ac:dyDescent="0.25">
      <c r="A8507" s="1"/>
      <c r="B8507" s="1" t="s">
        <v>4944</v>
      </c>
      <c r="C8507" s="1" t="s">
        <v>4945</v>
      </c>
      <c r="D8507" s="22" t="str">
        <f>HYPERLINK("https://rhld.insurance.arkansas.gov/NPILookup?Npi=1588767826","1588767826")</f>
        <v>1588767826</v>
      </c>
      <c r="E8507" s="1" t="s">
        <v>4979</v>
      </c>
      <c r="F8507" s="2"/>
      <c r="G8507" s="2"/>
      <c r="H8507" s="2"/>
    </row>
    <row r="8508" spans="1:8" x14ac:dyDescent="0.25">
      <c r="A8508" s="1"/>
      <c r="B8508" s="1" t="s">
        <v>4944</v>
      </c>
      <c r="C8508" s="1" t="s">
        <v>4945</v>
      </c>
      <c r="D8508" s="22" t="str">
        <f>HYPERLINK("https://rhld.insurance.arkansas.gov/NPILookup?Npi=1598743098","1598743098")</f>
        <v>1598743098</v>
      </c>
      <c r="E8508" s="1" t="s">
        <v>10832</v>
      </c>
      <c r="F8508" s="2"/>
      <c r="G8508" s="2"/>
      <c r="H8508" s="2"/>
    </row>
    <row r="8509" spans="1:8" x14ac:dyDescent="0.25">
      <c r="A8509" s="1"/>
      <c r="B8509" s="1" t="s">
        <v>4944</v>
      </c>
      <c r="C8509" s="1" t="s">
        <v>4945</v>
      </c>
      <c r="D8509" s="22" t="str">
        <f>HYPERLINK("https://rhld.insurance.arkansas.gov/NPILookup?Npi=1598745846","1598745846")</f>
        <v>1598745846</v>
      </c>
      <c r="E8509" s="1" t="s">
        <v>19055</v>
      </c>
      <c r="F8509" s="2"/>
      <c r="G8509" s="2"/>
      <c r="H8509" s="2"/>
    </row>
    <row r="8510" spans="1:8" x14ac:dyDescent="0.25">
      <c r="A8510" s="1"/>
      <c r="B8510" s="1" t="s">
        <v>4944</v>
      </c>
      <c r="C8510" s="1" t="s">
        <v>4945</v>
      </c>
      <c r="D8510" s="22" t="str">
        <f>HYPERLINK("https://rhld.insurance.arkansas.gov/NPILookup?Npi=1598771677","1598771677")</f>
        <v>1598771677</v>
      </c>
      <c r="E8510" s="1" t="s">
        <v>19056</v>
      </c>
      <c r="F8510" s="2"/>
      <c r="G8510" s="2"/>
      <c r="H8510" s="2"/>
    </row>
    <row r="8511" spans="1:8" x14ac:dyDescent="0.25">
      <c r="A8511" s="1"/>
      <c r="B8511" s="1" t="s">
        <v>4944</v>
      </c>
      <c r="C8511" s="1" t="s">
        <v>4945</v>
      </c>
      <c r="D8511" s="22" t="str">
        <f>HYPERLINK("https://rhld.insurance.arkansas.gov/NPILookup?Npi=1598966715","1598966715")</f>
        <v>1598966715</v>
      </c>
      <c r="E8511" s="1" t="s">
        <v>10833</v>
      </c>
      <c r="F8511" s="2"/>
      <c r="G8511" s="2"/>
      <c r="H8511" s="2"/>
    </row>
    <row r="8512" spans="1:8" x14ac:dyDescent="0.25">
      <c r="A8512" s="1"/>
      <c r="B8512" s="1" t="s">
        <v>4944</v>
      </c>
      <c r="C8512" s="1" t="s">
        <v>4945</v>
      </c>
      <c r="D8512" s="22" t="str">
        <f>HYPERLINK("https://rhld.insurance.arkansas.gov/NPILookup?Npi=1619185519","1619185519")</f>
        <v>1619185519</v>
      </c>
      <c r="E8512" s="1" t="s">
        <v>10834</v>
      </c>
      <c r="F8512" s="2"/>
      <c r="G8512" s="2"/>
      <c r="H8512" s="2"/>
    </row>
    <row r="8513" spans="1:8" x14ac:dyDescent="0.25">
      <c r="A8513" s="1"/>
      <c r="B8513" s="1" t="s">
        <v>4944</v>
      </c>
      <c r="C8513" s="1" t="s">
        <v>4945</v>
      </c>
      <c r="D8513" s="22" t="str">
        <f>HYPERLINK("https://rhld.insurance.arkansas.gov/NPILookup?Npi=1619959228","1619959228")</f>
        <v>1619959228</v>
      </c>
      <c r="E8513" s="1" t="s">
        <v>4980</v>
      </c>
      <c r="F8513" s="2"/>
      <c r="G8513" s="2"/>
      <c r="H8513" s="2"/>
    </row>
    <row r="8514" spans="1:8" x14ac:dyDescent="0.25">
      <c r="A8514" s="1"/>
      <c r="B8514" s="1" t="s">
        <v>4944</v>
      </c>
      <c r="C8514" s="1" t="s">
        <v>4945</v>
      </c>
      <c r="D8514" s="22" t="str">
        <f>HYPERLINK("https://rhld.insurance.arkansas.gov/NPILookup?Npi=1629047600","1629047600")</f>
        <v>1629047600</v>
      </c>
      <c r="E8514" s="1" t="s">
        <v>19058</v>
      </c>
      <c r="F8514" s="2"/>
      <c r="G8514" s="2"/>
      <c r="H8514" s="2"/>
    </row>
    <row r="8515" spans="1:8" x14ac:dyDescent="0.25">
      <c r="A8515" s="1"/>
      <c r="B8515" s="1" t="s">
        <v>4944</v>
      </c>
      <c r="C8515" s="1" t="s">
        <v>4945</v>
      </c>
      <c r="D8515" s="22" t="str">
        <f>HYPERLINK("https://rhld.insurance.arkansas.gov/NPILookup?Npi=1629303938","1629303938")</f>
        <v>1629303938</v>
      </c>
      <c r="E8515" s="1" t="s">
        <v>10835</v>
      </c>
      <c r="F8515" s="2"/>
      <c r="G8515" s="2"/>
      <c r="H8515" s="2"/>
    </row>
    <row r="8516" spans="1:8" x14ac:dyDescent="0.25">
      <c r="A8516" s="1"/>
      <c r="B8516" s="1" t="s">
        <v>4944</v>
      </c>
      <c r="C8516" s="1" t="s">
        <v>4945</v>
      </c>
      <c r="D8516" s="22" t="str">
        <f>HYPERLINK("https://rhld.insurance.arkansas.gov/NPILookup?Npi=1629332135","1629332135")</f>
        <v>1629332135</v>
      </c>
      <c r="E8516" s="1" t="s">
        <v>19059</v>
      </c>
      <c r="F8516" s="2"/>
      <c r="G8516" s="2"/>
      <c r="H8516" s="2"/>
    </row>
    <row r="8517" spans="1:8" x14ac:dyDescent="0.25">
      <c r="A8517" s="1"/>
      <c r="B8517" s="1" t="s">
        <v>4944</v>
      </c>
      <c r="C8517" s="1" t="s">
        <v>4945</v>
      </c>
      <c r="D8517" s="22" t="str">
        <f>HYPERLINK("https://rhld.insurance.arkansas.gov/NPILookup?Npi=1639120389","1639120389")</f>
        <v>1639120389</v>
      </c>
      <c r="E8517" s="1" t="s">
        <v>19060</v>
      </c>
      <c r="F8517" s="2"/>
      <c r="G8517" s="2"/>
      <c r="H8517" s="2"/>
    </row>
    <row r="8518" spans="1:8" x14ac:dyDescent="0.25">
      <c r="A8518" s="1"/>
      <c r="B8518" s="1" t="s">
        <v>4944</v>
      </c>
      <c r="C8518" s="1" t="s">
        <v>4945</v>
      </c>
      <c r="D8518" s="22" t="str">
        <f>HYPERLINK("https://rhld.insurance.arkansas.gov/NPILookup?Npi=1639256928","1639256928")</f>
        <v>1639256928</v>
      </c>
      <c r="E8518" s="1" t="s">
        <v>31550</v>
      </c>
      <c r="F8518" s="2"/>
      <c r="G8518" s="2"/>
      <c r="H8518" s="2"/>
    </row>
    <row r="8519" spans="1:8" x14ac:dyDescent="0.25">
      <c r="A8519" s="1"/>
      <c r="B8519" s="1" t="s">
        <v>4944</v>
      </c>
      <c r="C8519" s="1" t="s">
        <v>4945</v>
      </c>
      <c r="D8519" s="22" t="str">
        <f>HYPERLINK("https://rhld.insurance.arkansas.gov/NPILookup?Npi=1639269111","1639269111")</f>
        <v>1639269111</v>
      </c>
      <c r="E8519" s="1" t="s">
        <v>10836</v>
      </c>
      <c r="F8519" s="2"/>
      <c r="G8519" s="2"/>
      <c r="H8519" s="2"/>
    </row>
    <row r="8520" spans="1:8" x14ac:dyDescent="0.25">
      <c r="A8520" s="1"/>
      <c r="B8520" s="1" t="s">
        <v>4944</v>
      </c>
      <c r="C8520" s="1" t="s">
        <v>4945</v>
      </c>
      <c r="D8520" s="22" t="str">
        <f>HYPERLINK("https://rhld.insurance.arkansas.gov/NPILookup?Npi=1639356827","1639356827")</f>
        <v>1639356827</v>
      </c>
      <c r="E8520" s="1" t="s">
        <v>10837</v>
      </c>
      <c r="F8520" s="2"/>
      <c r="G8520" s="2"/>
      <c r="H8520" s="2"/>
    </row>
    <row r="8521" spans="1:8" x14ac:dyDescent="0.25">
      <c r="A8521" s="1"/>
      <c r="B8521" s="1" t="s">
        <v>4944</v>
      </c>
      <c r="C8521" s="1" t="s">
        <v>4945</v>
      </c>
      <c r="D8521" s="22" t="str">
        <f>HYPERLINK("https://rhld.insurance.arkansas.gov/NPILookup?Npi=1649914854","1649914854")</f>
        <v>1649914854</v>
      </c>
      <c r="E8521" s="1" t="s">
        <v>19061</v>
      </c>
      <c r="F8521" s="2"/>
      <c r="G8521" s="2"/>
      <c r="H8521" s="2"/>
    </row>
    <row r="8522" spans="1:8" x14ac:dyDescent="0.25">
      <c r="A8522" s="1"/>
      <c r="B8522" s="1" t="s">
        <v>4944</v>
      </c>
      <c r="C8522" s="1" t="s">
        <v>4945</v>
      </c>
      <c r="D8522" s="22" t="str">
        <f>HYPERLINK("https://rhld.insurance.arkansas.gov/NPILookup?Npi=1659577278","1659577278")</f>
        <v>1659577278</v>
      </c>
      <c r="E8522" s="1" t="s">
        <v>4981</v>
      </c>
      <c r="F8522" s="2"/>
      <c r="G8522" s="2"/>
      <c r="H8522" s="2"/>
    </row>
    <row r="8523" spans="1:8" x14ac:dyDescent="0.25">
      <c r="A8523" s="1"/>
      <c r="B8523" s="1" t="s">
        <v>4944</v>
      </c>
      <c r="C8523" s="1" t="s">
        <v>4945</v>
      </c>
      <c r="D8523" s="22" t="str">
        <f>HYPERLINK("https://rhld.insurance.arkansas.gov/NPILookup?Npi=1679839666","1679839666")</f>
        <v>1679839666</v>
      </c>
      <c r="E8523" s="1" t="s">
        <v>19062</v>
      </c>
      <c r="F8523" s="2"/>
      <c r="G8523" s="2"/>
      <c r="H8523" s="2"/>
    </row>
    <row r="8524" spans="1:8" x14ac:dyDescent="0.25">
      <c r="A8524" s="1"/>
      <c r="B8524" s="1" t="s">
        <v>4944</v>
      </c>
      <c r="C8524" s="1" t="s">
        <v>4945</v>
      </c>
      <c r="D8524" s="22" t="str">
        <f>HYPERLINK("https://rhld.insurance.arkansas.gov/NPILookup?Npi=1679885362","1679885362")</f>
        <v>1679885362</v>
      </c>
      <c r="E8524" s="1" t="s">
        <v>4982</v>
      </c>
      <c r="F8524" s="2"/>
      <c r="G8524" s="2"/>
      <c r="H8524" s="2"/>
    </row>
    <row r="8525" spans="1:8" x14ac:dyDescent="0.25">
      <c r="A8525" s="1"/>
      <c r="B8525" s="1" t="s">
        <v>4944</v>
      </c>
      <c r="C8525" s="1" t="s">
        <v>4945</v>
      </c>
      <c r="D8525" s="22" t="str">
        <f>HYPERLINK("https://rhld.insurance.arkansas.gov/NPILookup?Npi=1689603102","1689603102")</f>
        <v>1689603102</v>
      </c>
      <c r="E8525" s="1" t="s">
        <v>10838</v>
      </c>
      <c r="F8525" s="2"/>
      <c r="G8525" s="2"/>
      <c r="H8525" s="2"/>
    </row>
    <row r="8526" spans="1:8" x14ac:dyDescent="0.25">
      <c r="A8526" s="1"/>
      <c r="B8526" s="1" t="s">
        <v>4944</v>
      </c>
      <c r="C8526" s="1" t="s">
        <v>4945</v>
      </c>
      <c r="D8526" s="22" t="str">
        <f>HYPERLINK("https://rhld.insurance.arkansas.gov/NPILookup?Npi=1689714024","1689714024")</f>
        <v>1689714024</v>
      </c>
      <c r="E8526" s="1" t="s">
        <v>19063</v>
      </c>
      <c r="F8526" s="2"/>
      <c r="G8526" s="2"/>
      <c r="H8526" s="2"/>
    </row>
    <row r="8527" spans="1:8" x14ac:dyDescent="0.25">
      <c r="A8527" s="1"/>
      <c r="B8527" s="1" t="s">
        <v>4944</v>
      </c>
      <c r="C8527" s="1" t="s">
        <v>4945</v>
      </c>
      <c r="D8527" s="22" t="str">
        <f>HYPERLINK("https://rhld.insurance.arkansas.gov/NPILookup?Npi=1689789984","1689789984")</f>
        <v>1689789984</v>
      </c>
      <c r="E8527" s="1" t="s">
        <v>2563</v>
      </c>
      <c r="F8527" s="2"/>
      <c r="G8527" s="2"/>
      <c r="H8527" s="2"/>
    </row>
    <row r="8528" spans="1:8" x14ac:dyDescent="0.25">
      <c r="A8528" s="1"/>
      <c r="B8528" s="1" t="s">
        <v>4944</v>
      </c>
      <c r="C8528" s="1" t="s">
        <v>4945</v>
      </c>
      <c r="D8528" s="22" t="str">
        <f>HYPERLINK("https://rhld.insurance.arkansas.gov/NPILookup?Npi=1689807455","1689807455")</f>
        <v>1689807455</v>
      </c>
      <c r="E8528" s="1" t="s">
        <v>19064</v>
      </c>
      <c r="F8528" s="2"/>
      <c r="G8528" s="2"/>
      <c r="H8528" s="2"/>
    </row>
    <row r="8529" spans="1:8" x14ac:dyDescent="0.25">
      <c r="A8529" s="1"/>
      <c r="B8529" s="1" t="s">
        <v>4944</v>
      </c>
      <c r="C8529" s="1" t="s">
        <v>4945</v>
      </c>
      <c r="D8529" s="22" t="str">
        <f>HYPERLINK("https://rhld.insurance.arkansas.gov/NPILookup?Npi=1689898843","1689898843")</f>
        <v>1689898843</v>
      </c>
      <c r="E8529" s="1" t="s">
        <v>12681</v>
      </c>
      <c r="F8529" s="2"/>
      <c r="G8529" s="2"/>
      <c r="H8529" s="2"/>
    </row>
    <row r="8530" spans="1:8" x14ac:dyDescent="0.25">
      <c r="A8530" s="1"/>
      <c r="B8530" s="1" t="s">
        <v>4944</v>
      </c>
      <c r="C8530" s="1" t="s">
        <v>4945</v>
      </c>
      <c r="D8530" s="22" t="str">
        <f>HYPERLINK("https://rhld.insurance.arkansas.gov/NPILookup?Npi=1700852399","1700852399")</f>
        <v>1700852399</v>
      </c>
      <c r="E8530" s="1" t="s">
        <v>19065</v>
      </c>
      <c r="F8530" s="2"/>
      <c r="G8530" s="2"/>
      <c r="H8530" s="2"/>
    </row>
    <row r="8531" spans="1:8" x14ac:dyDescent="0.25">
      <c r="A8531" s="1"/>
      <c r="B8531" s="1" t="s">
        <v>4944</v>
      </c>
      <c r="C8531" s="1" t="s">
        <v>4945</v>
      </c>
      <c r="D8531" s="22" t="str">
        <f>HYPERLINK("https://rhld.insurance.arkansas.gov/NPILookup?Npi=1700909801","1700909801")</f>
        <v>1700909801</v>
      </c>
      <c r="E8531" s="1" t="s">
        <v>4983</v>
      </c>
      <c r="F8531" s="2"/>
      <c r="G8531" s="2"/>
      <c r="H8531" s="2"/>
    </row>
    <row r="8532" spans="1:8" x14ac:dyDescent="0.25">
      <c r="A8532" s="1"/>
      <c r="B8532" s="1" t="s">
        <v>4944</v>
      </c>
      <c r="C8532" s="1" t="s">
        <v>4945</v>
      </c>
      <c r="D8532" s="22" t="str">
        <f>HYPERLINK("https://rhld.insurance.arkansas.gov/NPILookup?Npi=1720057714","1720057714")</f>
        <v>1720057714</v>
      </c>
      <c r="E8532" s="1" t="s">
        <v>4984</v>
      </c>
      <c r="F8532" s="2"/>
      <c r="G8532" s="2"/>
      <c r="H8532" s="2"/>
    </row>
    <row r="8533" spans="1:8" x14ac:dyDescent="0.25">
      <c r="A8533" s="1"/>
      <c r="B8533" s="1" t="s">
        <v>4944</v>
      </c>
      <c r="C8533" s="1" t="s">
        <v>4945</v>
      </c>
      <c r="D8533" s="22" t="str">
        <f>HYPERLINK("https://rhld.insurance.arkansas.gov/NPILookup?Npi=1720077589","1720077589")</f>
        <v>1720077589</v>
      </c>
      <c r="E8533" s="1" t="s">
        <v>19066</v>
      </c>
      <c r="F8533" s="2"/>
      <c r="G8533" s="2"/>
      <c r="H8533" s="2"/>
    </row>
    <row r="8534" spans="1:8" x14ac:dyDescent="0.25">
      <c r="A8534" s="1"/>
      <c r="B8534" s="1" t="s">
        <v>4944</v>
      </c>
      <c r="C8534" s="1" t="s">
        <v>4945</v>
      </c>
      <c r="D8534" s="22" t="str">
        <f>HYPERLINK("https://rhld.insurance.arkansas.gov/NPILookup?Npi=1720423387","1720423387")</f>
        <v>1720423387</v>
      </c>
      <c r="E8534" s="1" t="s">
        <v>19067</v>
      </c>
      <c r="F8534" s="2"/>
      <c r="G8534" s="2"/>
      <c r="H8534" s="2"/>
    </row>
    <row r="8535" spans="1:8" x14ac:dyDescent="0.25">
      <c r="A8535" s="1"/>
      <c r="B8535" s="1" t="s">
        <v>4944</v>
      </c>
      <c r="C8535" s="1" t="s">
        <v>4945</v>
      </c>
      <c r="D8535" s="22" t="str">
        <f>HYPERLINK("https://rhld.insurance.arkansas.gov/NPILookup?Npi=1720749740","1720749740")</f>
        <v>1720749740</v>
      </c>
      <c r="E8535" s="1" t="s">
        <v>31551</v>
      </c>
      <c r="F8535" s="2"/>
      <c r="G8535" s="2"/>
      <c r="H8535" s="2"/>
    </row>
    <row r="8536" spans="1:8" x14ac:dyDescent="0.25">
      <c r="A8536" s="1"/>
      <c r="B8536" s="1" t="s">
        <v>4944</v>
      </c>
      <c r="C8536" s="1" t="s">
        <v>4945</v>
      </c>
      <c r="D8536" s="22" t="str">
        <f>HYPERLINK("https://rhld.insurance.arkansas.gov/NPILookup?Npi=1740444728","1740444728")</f>
        <v>1740444728</v>
      </c>
      <c r="E8536" s="1" t="s">
        <v>10839</v>
      </c>
      <c r="F8536" s="2"/>
      <c r="G8536" s="2"/>
      <c r="H8536" s="2"/>
    </row>
    <row r="8537" spans="1:8" x14ac:dyDescent="0.25">
      <c r="A8537" s="1"/>
      <c r="B8537" s="1" t="s">
        <v>4944</v>
      </c>
      <c r="C8537" s="1" t="s">
        <v>4945</v>
      </c>
      <c r="D8537" s="22" t="str">
        <f>HYPERLINK("https://rhld.insurance.arkansas.gov/NPILookup?Npi=1740631530","1740631530")</f>
        <v>1740631530</v>
      </c>
      <c r="E8537" s="1" t="s">
        <v>10840</v>
      </c>
      <c r="F8537" s="2"/>
      <c r="G8537" s="2"/>
      <c r="H8537" s="2"/>
    </row>
    <row r="8538" spans="1:8" x14ac:dyDescent="0.25">
      <c r="A8538" s="1"/>
      <c r="B8538" s="1" t="s">
        <v>4944</v>
      </c>
      <c r="C8538" s="1" t="s">
        <v>4945</v>
      </c>
      <c r="D8538" s="22" t="str">
        <f>HYPERLINK("https://rhld.insurance.arkansas.gov/NPILookup?Npi=1740767961","1740767961")</f>
        <v>1740767961</v>
      </c>
      <c r="E8538" s="1" t="s">
        <v>19068</v>
      </c>
      <c r="F8538" s="2"/>
      <c r="G8538" s="2"/>
      <c r="H8538" s="2"/>
    </row>
    <row r="8539" spans="1:8" x14ac:dyDescent="0.25">
      <c r="A8539" s="1"/>
      <c r="B8539" s="1" t="s">
        <v>4944</v>
      </c>
      <c r="C8539" s="1" t="s">
        <v>4945</v>
      </c>
      <c r="D8539" s="22" t="str">
        <f>HYPERLINK("https://rhld.insurance.arkansas.gov/NPILookup?Npi=1750350757","1750350757")</f>
        <v>1750350757</v>
      </c>
      <c r="E8539" s="1" t="s">
        <v>10841</v>
      </c>
      <c r="F8539" s="2"/>
      <c r="G8539" s="2"/>
      <c r="H8539" s="2"/>
    </row>
    <row r="8540" spans="1:8" x14ac:dyDescent="0.25">
      <c r="A8540" s="1"/>
      <c r="B8540" s="1" t="s">
        <v>4944</v>
      </c>
      <c r="C8540" s="1" t="s">
        <v>4945</v>
      </c>
      <c r="D8540" s="22" t="str">
        <f>HYPERLINK("https://rhld.insurance.arkansas.gov/NPILookup?Npi=1750501623","1750501623")</f>
        <v>1750501623</v>
      </c>
      <c r="E8540" s="1" t="s">
        <v>19069</v>
      </c>
      <c r="F8540" s="2"/>
      <c r="G8540" s="2"/>
      <c r="H8540" s="2"/>
    </row>
    <row r="8541" spans="1:8" x14ac:dyDescent="0.25">
      <c r="A8541" s="1"/>
      <c r="B8541" s="1" t="s">
        <v>4944</v>
      </c>
      <c r="C8541" s="1" t="s">
        <v>4945</v>
      </c>
      <c r="D8541" s="22" t="str">
        <f>HYPERLINK("https://rhld.insurance.arkansas.gov/NPILookup?Npi=1760508089","1760508089")</f>
        <v>1760508089</v>
      </c>
      <c r="E8541" s="1" t="s">
        <v>4985</v>
      </c>
      <c r="F8541" s="2"/>
      <c r="G8541" s="2"/>
      <c r="H8541" s="2"/>
    </row>
    <row r="8542" spans="1:8" x14ac:dyDescent="0.25">
      <c r="A8542" s="1"/>
      <c r="B8542" s="1" t="s">
        <v>4944</v>
      </c>
      <c r="C8542" s="1" t="s">
        <v>4945</v>
      </c>
      <c r="D8542" s="22" t="str">
        <f>HYPERLINK("https://rhld.insurance.arkansas.gov/NPILookup?Npi=1760654990","1760654990")</f>
        <v>1760654990</v>
      </c>
      <c r="E8542" s="1" t="s">
        <v>19070</v>
      </c>
      <c r="F8542" s="2"/>
      <c r="G8542" s="2"/>
      <c r="H8542" s="2"/>
    </row>
    <row r="8543" spans="1:8" x14ac:dyDescent="0.25">
      <c r="A8543" s="1"/>
      <c r="B8543" s="1" t="s">
        <v>4944</v>
      </c>
      <c r="C8543" s="1" t="s">
        <v>4945</v>
      </c>
      <c r="D8543" s="22" t="str">
        <f>HYPERLINK("https://rhld.insurance.arkansas.gov/NPILookup?Npi=1760820575","1760820575")</f>
        <v>1760820575</v>
      </c>
      <c r="E8543" s="1" t="s">
        <v>4986</v>
      </c>
      <c r="F8543" s="2"/>
      <c r="G8543" s="2"/>
      <c r="H8543" s="2"/>
    </row>
    <row r="8544" spans="1:8" x14ac:dyDescent="0.25">
      <c r="A8544" s="1"/>
      <c r="B8544" s="1" t="s">
        <v>4944</v>
      </c>
      <c r="C8544" s="1" t="s">
        <v>4945</v>
      </c>
      <c r="D8544" s="22" t="str">
        <f>HYPERLINK("https://rhld.insurance.arkansas.gov/NPILookup?Npi=1780675637","1780675637")</f>
        <v>1780675637</v>
      </c>
      <c r="E8544" s="1" t="s">
        <v>10842</v>
      </c>
      <c r="F8544" s="2"/>
      <c r="G8544" s="2"/>
      <c r="H8544" s="2"/>
    </row>
    <row r="8545" spans="1:8" x14ac:dyDescent="0.25">
      <c r="A8545" s="1"/>
      <c r="B8545" s="1" t="s">
        <v>4944</v>
      </c>
      <c r="C8545" s="1" t="s">
        <v>4945</v>
      </c>
      <c r="D8545" s="22" t="str">
        <f>HYPERLINK("https://rhld.insurance.arkansas.gov/NPILookup?Npi=1790191856","1790191856")</f>
        <v>1790191856</v>
      </c>
      <c r="E8545" s="1" t="s">
        <v>19071</v>
      </c>
      <c r="F8545" s="2"/>
      <c r="G8545" s="2"/>
      <c r="H8545" s="2"/>
    </row>
    <row r="8546" spans="1:8" x14ac:dyDescent="0.25">
      <c r="A8546" s="1"/>
      <c r="B8546" s="1" t="s">
        <v>4944</v>
      </c>
      <c r="C8546" s="1" t="s">
        <v>4945</v>
      </c>
      <c r="D8546" s="22" t="str">
        <f>HYPERLINK("https://rhld.insurance.arkansas.gov/NPILookup?Npi=1790700375","1790700375")</f>
        <v>1790700375</v>
      </c>
      <c r="E8546" s="1" t="s">
        <v>19072</v>
      </c>
      <c r="F8546" s="2"/>
      <c r="G8546" s="2"/>
      <c r="H8546" s="2"/>
    </row>
    <row r="8547" spans="1:8" x14ac:dyDescent="0.25">
      <c r="A8547" s="1"/>
      <c r="B8547" s="1" t="s">
        <v>4944</v>
      </c>
      <c r="C8547" s="1" t="s">
        <v>4945</v>
      </c>
      <c r="D8547" s="22" t="str">
        <f>HYPERLINK("https://rhld.insurance.arkansas.gov/NPILookup?Npi=1790742609","1790742609")</f>
        <v>1790742609</v>
      </c>
      <c r="E8547" s="1" t="s">
        <v>19073</v>
      </c>
      <c r="F8547" s="2"/>
      <c r="G8547" s="2"/>
      <c r="H8547" s="2"/>
    </row>
    <row r="8548" spans="1:8" x14ac:dyDescent="0.25">
      <c r="A8548" s="1"/>
      <c r="B8548" s="1" t="s">
        <v>4944</v>
      </c>
      <c r="C8548" s="1" t="s">
        <v>4945</v>
      </c>
      <c r="D8548" s="22" t="str">
        <f>HYPERLINK("https://rhld.insurance.arkansas.gov/NPILookup?Npi=1801247481","1801247481")</f>
        <v>1801247481</v>
      </c>
      <c r="E8548" s="1" t="s">
        <v>10843</v>
      </c>
      <c r="F8548" s="2"/>
      <c r="G8548" s="2"/>
      <c r="H8548" s="2"/>
    </row>
    <row r="8549" spans="1:8" x14ac:dyDescent="0.25">
      <c r="A8549" s="1"/>
      <c r="B8549" s="1" t="s">
        <v>4944</v>
      </c>
      <c r="C8549" s="1" t="s">
        <v>4945</v>
      </c>
      <c r="D8549" s="22" t="str">
        <f>HYPERLINK("https://rhld.insurance.arkansas.gov/NPILookup?Npi=1811263718","1811263718")</f>
        <v>1811263718</v>
      </c>
      <c r="E8549" s="1" t="s">
        <v>4987</v>
      </c>
      <c r="F8549" s="2"/>
      <c r="G8549" s="2"/>
      <c r="H8549" s="2"/>
    </row>
    <row r="8550" spans="1:8" x14ac:dyDescent="0.25">
      <c r="A8550" s="1"/>
      <c r="B8550" s="1" t="s">
        <v>4944</v>
      </c>
      <c r="C8550" s="1" t="s">
        <v>4945</v>
      </c>
      <c r="D8550" s="22" t="str">
        <f>HYPERLINK("https://rhld.insurance.arkansas.gov/NPILookup?Npi=1811375579","1811375579")</f>
        <v>1811375579</v>
      </c>
      <c r="E8550" s="1" t="s">
        <v>19074</v>
      </c>
      <c r="F8550" s="2"/>
      <c r="G8550" s="2"/>
      <c r="H8550" s="2"/>
    </row>
    <row r="8551" spans="1:8" x14ac:dyDescent="0.25">
      <c r="A8551" s="1"/>
      <c r="B8551" s="1" t="s">
        <v>4944</v>
      </c>
      <c r="C8551" s="1" t="s">
        <v>4945</v>
      </c>
      <c r="D8551" s="22" t="str">
        <f>HYPERLINK("https://rhld.insurance.arkansas.gov/NPILookup?Npi=1821086547","1821086547")</f>
        <v>1821086547</v>
      </c>
      <c r="E8551" s="1" t="s">
        <v>19075</v>
      </c>
      <c r="F8551" s="2"/>
      <c r="G8551" s="2"/>
      <c r="H8551" s="2"/>
    </row>
    <row r="8552" spans="1:8" x14ac:dyDescent="0.25">
      <c r="A8552" s="1"/>
      <c r="B8552" s="1" t="s">
        <v>4944</v>
      </c>
      <c r="C8552" s="1" t="s">
        <v>4945</v>
      </c>
      <c r="D8552" s="22" t="str">
        <f>HYPERLINK("https://rhld.insurance.arkansas.gov/NPILookup?Npi=1821108333","1821108333")</f>
        <v>1821108333</v>
      </c>
      <c r="E8552" s="1" t="s">
        <v>19076</v>
      </c>
      <c r="F8552" s="2"/>
      <c r="G8552" s="2"/>
      <c r="H8552" s="2"/>
    </row>
    <row r="8553" spans="1:8" x14ac:dyDescent="0.25">
      <c r="A8553" s="1"/>
      <c r="B8553" s="1" t="s">
        <v>4944</v>
      </c>
      <c r="C8553" s="1" t="s">
        <v>4945</v>
      </c>
      <c r="D8553" s="22" t="str">
        <f>HYPERLINK("https://rhld.insurance.arkansas.gov/NPILookup?Npi=1821299512","1821299512")</f>
        <v>1821299512</v>
      </c>
      <c r="E8553" s="1" t="s">
        <v>10844</v>
      </c>
      <c r="F8553" s="2"/>
      <c r="G8553" s="2"/>
      <c r="H8553" s="2"/>
    </row>
    <row r="8554" spans="1:8" x14ac:dyDescent="0.25">
      <c r="A8554" s="1"/>
      <c r="B8554" s="1" t="s">
        <v>4944</v>
      </c>
      <c r="C8554" s="1" t="s">
        <v>4945</v>
      </c>
      <c r="D8554" s="22" t="str">
        <f>HYPERLINK("https://rhld.insurance.arkansas.gov/NPILookup?Npi=1831410356","1831410356")</f>
        <v>1831410356</v>
      </c>
      <c r="E8554" s="1" t="s">
        <v>19077</v>
      </c>
      <c r="F8554" s="2"/>
      <c r="G8554" s="2"/>
      <c r="H8554" s="2"/>
    </row>
    <row r="8555" spans="1:8" x14ac:dyDescent="0.25">
      <c r="A8555" s="1"/>
      <c r="B8555" s="1" t="s">
        <v>4944</v>
      </c>
      <c r="C8555" s="1" t="s">
        <v>4945</v>
      </c>
      <c r="D8555" s="22" t="str">
        <f>HYPERLINK("https://rhld.insurance.arkansas.gov/NPILookup?Npi=1841291762","1841291762")</f>
        <v>1841291762</v>
      </c>
      <c r="E8555" s="1" t="s">
        <v>17934</v>
      </c>
      <c r="F8555" s="2"/>
      <c r="G8555" s="2"/>
      <c r="H8555" s="2"/>
    </row>
    <row r="8556" spans="1:8" x14ac:dyDescent="0.25">
      <c r="A8556" s="1"/>
      <c r="B8556" s="1" t="s">
        <v>4944</v>
      </c>
      <c r="C8556" s="1" t="s">
        <v>4945</v>
      </c>
      <c r="D8556" s="22" t="str">
        <f>HYPERLINK("https://rhld.insurance.arkansas.gov/NPILookup?Npi=1841503059","1841503059")</f>
        <v>1841503059</v>
      </c>
      <c r="E8556" s="1" t="s">
        <v>19078</v>
      </c>
      <c r="F8556" s="2"/>
      <c r="G8556" s="2"/>
      <c r="H8556" s="2"/>
    </row>
    <row r="8557" spans="1:8" x14ac:dyDescent="0.25">
      <c r="A8557" s="1"/>
      <c r="B8557" s="1" t="s">
        <v>4944</v>
      </c>
      <c r="C8557" s="1" t="s">
        <v>4945</v>
      </c>
      <c r="D8557" s="22" t="str">
        <f>HYPERLINK("https://rhld.insurance.arkansas.gov/NPILookup?Npi=1841538147","1841538147")</f>
        <v>1841538147</v>
      </c>
      <c r="E8557" s="1" t="s">
        <v>19079</v>
      </c>
      <c r="F8557" s="2"/>
      <c r="G8557" s="2"/>
      <c r="H8557" s="2"/>
    </row>
    <row r="8558" spans="1:8" x14ac:dyDescent="0.25">
      <c r="A8558" s="1"/>
      <c r="B8558" s="1" t="s">
        <v>4944</v>
      </c>
      <c r="C8558" s="1" t="s">
        <v>4945</v>
      </c>
      <c r="D8558" s="22" t="str">
        <f>HYPERLINK("https://rhld.insurance.arkansas.gov/NPILookup?Npi=1851510143","1851510143")</f>
        <v>1851510143</v>
      </c>
      <c r="E8558" s="1" t="s">
        <v>10845</v>
      </c>
      <c r="F8558" s="2"/>
      <c r="G8558" s="2"/>
      <c r="H8558" s="2"/>
    </row>
    <row r="8559" spans="1:8" x14ac:dyDescent="0.25">
      <c r="A8559" s="1"/>
      <c r="B8559" s="1" t="s">
        <v>4944</v>
      </c>
      <c r="C8559" s="1" t="s">
        <v>4945</v>
      </c>
      <c r="D8559" s="22" t="str">
        <f>HYPERLINK("https://rhld.insurance.arkansas.gov/NPILookup?Npi=1851692420","1851692420")</f>
        <v>1851692420</v>
      </c>
      <c r="E8559" s="1" t="s">
        <v>4512</v>
      </c>
      <c r="F8559" s="2"/>
      <c r="G8559" s="2"/>
      <c r="H8559" s="2"/>
    </row>
    <row r="8560" spans="1:8" x14ac:dyDescent="0.25">
      <c r="A8560" s="1"/>
      <c r="B8560" s="1" t="s">
        <v>4944</v>
      </c>
      <c r="C8560" s="1" t="s">
        <v>4945</v>
      </c>
      <c r="D8560" s="22" t="str">
        <f>HYPERLINK("https://rhld.insurance.arkansas.gov/NPILookup?Npi=1861550790","1861550790")</f>
        <v>1861550790</v>
      </c>
      <c r="E8560" s="1" t="s">
        <v>19080</v>
      </c>
      <c r="F8560" s="2"/>
      <c r="G8560" s="2"/>
      <c r="H8560" s="2"/>
    </row>
    <row r="8561" spans="1:8" x14ac:dyDescent="0.25">
      <c r="A8561" s="1"/>
      <c r="B8561" s="1" t="s">
        <v>4944</v>
      </c>
      <c r="C8561" s="1" t="s">
        <v>4945</v>
      </c>
      <c r="D8561" s="22" t="str">
        <f>HYPERLINK("https://rhld.insurance.arkansas.gov/NPILookup?Npi=1871704122","1871704122")</f>
        <v>1871704122</v>
      </c>
      <c r="E8561" s="1" t="s">
        <v>19081</v>
      </c>
      <c r="F8561" s="2"/>
      <c r="G8561" s="2"/>
      <c r="H8561" s="2"/>
    </row>
    <row r="8562" spans="1:8" x14ac:dyDescent="0.25">
      <c r="A8562" s="1"/>
      <c r="B8562" s="1" t="s">
        <v>4944</v>
      </c>
      <c r="C8562" s="1" t="s">
        <v>4945</v>
      </c>
      <c r="D8562" s="22" t="str">
        <f>HYPERLINK("https://rhld.insurance.arkansas.gov/NPILookup?Npi=1871706713","1871706713")</f>
        <v>1871706713</v>
      </c>
      <c r="E8562" s="1" t="s">
        <v>4988</v>
      </c>
      <c r="F8562" s="2"/>
      <c r="G8562" s="2"/>
      <c r="H8562" s="2"/>
    </row>
    <row r="8563" spans="1:8" x14ac:dyDescent="0.25">
      <c r="A8563" s="1"/>
      <c r="B8563" s="1" t="s">
        <v>4944</v>
      </c>
      <c r="C8563" s="1" t="s">
        <v>4945</v>
      </c>
      <c r="D8563" s="22" t="str">
        <f>HYPERLINK("https://rhld.insurance.arkansas.gov/NPILookup?Npi=1881798270","1881798270")</f>
        <v>1881798270</v>
      </c>
      <c r="E8563" s="1" t="s">
        <v>4989</v>
      </c>
      <c r="F8563" s="2"/>
      <c r="G8563" s="2"/>
      <c r="H8563" s="2"/>
    </row>
    <row r="8564" spans="1:8" x14ac:dyDescent="0.25">
      <c r="A8564" s="1"/>
      <c r="B8564" s="1" t="s">
        <v>4944</v>
      </c>
      <c r="C8564" s="1" t="s">
        <v>4945</v>
      </c>
      <c r="D8564" s="22" t="str">
        <f>HYPERLINK("https://rhld.insurance.arkansas.gov/NPILookup?Npi=1891020871","1891020871")</f>
        <v>1891020871</v>
      </c>
      <c r="E8564" s="1" t="s">
        <v>153</v>
      </c>
      <c r="F8564" s="2"/>
      <c r="G8564" s="2"/>
      <c r="H8564" s="2"/>
    </row>
    <row r="8565" spans="1:8" x14ac:dyDescent="0.25">
      <c r="A8565" s="1"/>
      <c r="B8565" s="1" t="s">
        <v>4944</v>
      </c>
      <c r="C8565" s="1" t="s">
        <v>4945</v>
      </c>
      <c r="D8565" s="22" t="str">
        <f>HYPERLINK("https://rhld.insurance.arkansas.gov/NPILookup?Npi=1891113577","1891113577")</f>
        <v>1891113577</v>
      </c>
      <c r="E8565" s="1" t="s">
        <v>4990</v>
      </c>
      <c r="F8565" s="2"/>
      <c r="G8565" s="2"/>
      <c r="H8565" s="2"/>
    </row>
    <row r="8566" spans="1:8" x14ac:dyDescent="0.25">
      <c r="A8566" s="1"/>
      <c r="B8566" s="1" t="s">
        <v>4944</v>
      </c>
      <c r="C8566" s="1" t="s">
        <v>4945</v>
      </c>
      <c r="D8566" s="22" t="str">
        <f>HYPERLINK("https://rhld.insurance.arkansas.gov/NPILookup?Npi=1891927182","1891927182")</f>
        <v>1891927182</v>
      </c>
      <c r="E8566" s="1" t="s">
        <v>19082</v>
      </c>
      <c r="F8566" s="2"/>
      <c r="G8566" s="2"/>
      <c r="H8566" s="2"/>
    </row>
    <row r="8567" spans="1:8" x14ac:dyDescent="0.25">
      <c r="A8567" s="1"/>
      <c r="B8567" s="1" t="s">
        <v>4944</v>
      </c>
      <c r="C8567" s="1" t="s">
        <v>4945</v>
      </c>
      <c r="D8567" s="22" t="str">
        <f>HYPERLINK("https://rhld.insurance.arkansas.gov/NPILookup?Npi=1912131236","1912131236")</f>
        <v>1912131236</v>
      </c>
      <c r="E8567" s="1" t="s">
        <v>19083</v>
      </c>
      <c r="F8567" s="2"/>
      <c r="G8567" s="2"/>
      <c r="H8567" s="2"/>
    </row>
    <row r="8568" spans="1:8" x14ac:dyDescent="0.25">
      <c r="A8568" s="1"/>
      <c r="B8568" s="1" t="s">
        <v>4944</v>
      </c>
      <c r="C8568" s="1" t="s">
        <v>4945</v>
      </c>
      <c r="D8568" s="22" t="str">
        <f>HYPERLINK("https://rhld.insurance.arkansas.gov/NPILookup?Npi=1912223298","1912223298")</f>
        <v>1912223298</v>
      </c>
      <c r="E8568" s="1" t="s">
        <v>4991</v>
      </c>
      <c r="F8568" s="2"/>
      <c r="G8568" s="2"/>
      <c r="H8568" s="2"/>
    </row>
    <row r="8569" spans="1:8" x14ac:dyDescent="0.25">
      <c r="A8569" s="1"/>
      <c r="B8569" s="1" t="s">
        <v>4944</v>
      </c>
      <c r="C8569" s="1" t="s">
        <v>4945</v>
      </c>
      <c r="D8569" s="22" t="str">
        <f>HYPERLINK("https://rhld.insurance.arkansas.gov/NPILookup?Npi=1912392986","1912392986")</f>
        <v>1912392986</v>
      </c>
      <c r="E8569" s="1" t="s">
        <v>4992</v>
      </c>
      <c r="F8569" s="2"/>
      <c r="G8569" s="2"/>
      <c r="H8569" s="2"/>
    </row>
    <row r="8570" spans="1:8" x14ac:dyDescent="0.25">
      <c r="A8570" s="1"/>
      <c r="B8570" s="1" t="s">
        <v>4944</v>
      </c>
      <c r="C8570" s="1" t="s">
        <v>4945</v>
      </c>
      <c r="D8570" s="22" t="str">
        <f>HYPERLINK("https://rhld.insurance.arkansas.gov/NPILookup?Npi=1912953373","1912953373")</f>
        <v>1912953373</v>
      </c>
      <c r="E8570" s="1" t="s">
        <v>19084</v>
      </c>
      <c r="F8570" s="2"/>
      <c r="G8570" s="2"/>
      <c r="H8570" s="2"/>
    </row>
    <row r="8571" spans="1:8" x14ac:dyDescent="0.25">
      <c r="A8571" s="1"/>
      <c r="B8571" s="1" t="s">
        <v>4944</v>
      </c>
      <c r="C8571" s="1" t="s">
        <v>4945</v>
      </c>
      <c r="D8571" s="22" t="str">
        <f>HYPERLINK("https://rhld.insurance.arkansas.gov/NPILookup?Npi=1922000231","1922000231")</f>
        <v>1922000231</v>
      </c>
      <c r="E8571" s="1" t="s">
        <v>10846</v>
      </c>
      <c r="F8571" s="2"/>
      <c r="G8571" s="2"/>
      <c r="H8571" s="2"/>
    </row>
    <row r="8572" spans="1:8" x14ac:dyDescent="0.25">
      <c r="A8572" s="1"/>
      <c r="B8572" s="1" t="s">
        <v>4944</v>
      </c>
      <c r="C8572" s="1" t="s">
        <v>4945</v>
      </c>
      <c r="D8572" s="22" t="str">
        <f>HYPERLINK("https://rhld.insurance.arkansas.gov/NPILookup?Npi=1922000918","1922000918")</f>
        <v>1922000918</v>
      </c>
      <c r="E8572" s="1" t="s">
        <v>10847</v>
      </c>
      <c r="F8572" s="2"/>
      <c r="G8572" s="2"/>
      <c r="H8572" s="2"/>
    </row>
    <row r="8573" spans="1:8" x14ac:dyDescent="0.25">
      <c r="A8573" s="1"/>
      <c r="B8573" s="1" t="s">
        <v>4944</v>
      </c>
      <c r="C8573" s="1" t="s">
        <v>4945</v>
      </c>
      <c r="D8573" s="22" t="str">
        <f>HYPERLINK("https://rhld.insurance.arkansas.gov/NPILookup?Npi=1932115995","1932115995")</f>
        <v>1932115995</v>
      </c>
      <c r="E8573" s="1" t="s">
        <v>19085</v>
      </c>
      <c r="F8573" s="2"/>
      <c r="G8573" s="2"/>
      <c r="H8573" s="2"/>
    </row>
    <row r="8574" spans="1:8" x14ac:dyDescent="0.25">
      <c r="A8574" s="1"/>
      <c r="B8574" s="1" t="s">
        <v>4944</v>
      </c>
      <c r="C8574" s="1" t="s">
        <v>4945</v>
      </c>
      <c r="D8574" s="22" t="str">
        <f>HYPERLINK("https://rhld.insurance.arkansas.gov/NPILookup?Npi=1932202819","1932202819")</f>
        <v>1932202819</v>
      </c>
      <c r="E8574" s="1" t="s">
        <v>19086</v>
      </c>
      <c r="F8574" s="2"/>
      <c r="G8574" s="2"/>
      <c r="H8574" s="2"/>
    </row>
    <row r="8575" spans="1:8" x14ac:dyDescent="0.25">
      <c r="A8575" s="1"/>
      <c r="B8575" s="1" t="s">
        <v>4944</v>
      </c>
      <c r="C8575" s="1" t="s">
        <v>4945</v>
      </c>
      <c r="D8575" s="22" t="str">
        <f>HYPERLINK("https://rhld.insurance.arkansas.gov/NPILookup?Npi=1932299591","1932299591")</f>
        <v>1932299591</v>
      </c>
      <c r="E8575" s="1" t="s">
        <v>31552</v>
      </c>
      <c r="F8575" s="2"/>
      <c r="G8575" s="2"/>
      <c r="H8575" s="2"/>
    </row>
    <row r="8576" spans="1:8" x14ac:dyDescent="0.25">
      <c r="A8576" s="1"/>
      <c r="B8576" s="1" t="s">
        <v>4944</v>
      </c>
      <c r="C8576" s="1" t="s">
        <v>4945</v>
      </c>
      <c r="D8576" s="22" t="str">
        <f>HYPERLINK("https://rhld.insurance.arkansas.gov/NPILookup?Npi=1932441680","1932441680")</f>
        <v>1932441680</v>
      </c>
      <c r="E8576" s="1" t="s">
        <v>19087</v>
      </c>
      <c r="F8576" s="2"/>
      <c r="G8576" s="2"/>
      <c r="H8576" s="2"/>
    </row>
    <row r="8577" spans="1:8" x14ac:dyDescent="0.25">
      <c r="A8577" s="1"/>
      <c r="B8577" s="1" t="s">
        <v>4944</v>
      </c>
      <c r="C8577" s="1" t="s">
        <v>4945</v>
      </c>
      <c r="D8577" s="22" t="str">
        <f>HYPERLINK("https://rhld.insurance.arkansas.gov/NPILookup?Npi=1942268529","1942268529")</f>
        <v>1942268529</v>
      </c>
      <c r="E8577" s="1" t="s">
        <v>19088</v>
      </c>
      <c r="F8577" s="2"/>
      <c r="G8577" s="2"/>
      <c r="H8577" s="2"/>
    </row>
    <row r="8578" spans="1:8" x14ac:dyDescent="0.25">
      <c r="A8578" s="1"/>
      <c r="B8578" s="1" t="s">
        <v>4944</v>
      </c>
      <c r="C8578" s="1" t="s">
        <v>4945</v>
      </c>
      <c r="D8578" s="22" t="str">
        <f>HYPERLINK("https://rhld.insurance.arkansas.gov/NPILookup?Npi=1942277843","1942277843")</f>
        <v>1942277843</v>
      </c>
      <c r="E8578" s="1" t="s">
        <v>4993</v>
      </c>
      <c r="F8578" s="2"/>
      <c r="G8578" s="2"/>
      <c r="H8578" s="2"/>
    </row>
    <row r="8579" spans="1:8" x14ac:dyDescent="0.25">
      <c r="A8579" s="1"/>
      <c r="B8579" s="1" t="s">
        <v>4944</v>
      </c>
      <c r="C8579" s="1" t="s">
        <v>4945</v>
      </c>
      <c r="D8579" s="22" t="str">
        <f>HYPERLINK("https://rhld.insurance.arkansas.gov/NPILookup?Npi=1942308101","1942308101")</f>
        <v>1942308101</v>
      </c>
      <c r="E8579" s="1" t="s">
        <v>19089</v>
      </c>
      <c r="F8579" s="2"/>
      <c r="G8579" s="2"/>
      <c r="H8579" s="2"/>
    </row>
    <row r="8580" spans="1:8" x14ac:dyDescent="0.25">
      <c r="A8580" s="1"/>
      <c r="B8580" s="1" t="s">
        <v>4944</v>
      </c>
      <c r="C8580" s="1" t="s">
        <v>4945</v>
      </c>
      <c r="D8580" s="22" t="str">
        <f>HYPERLINK("https://rhld.insurance.arkansas.gov/NPILookup?Npi=1942720552","1942720552")</f>
        <v>1942720552</v>
      </c>
      <c r="E8580" s="1" t="s">
        <v>4994</v>
      </c>
      <c r="F8580" s="2"/>
      <c r="G8580" s="2"/>
      <c r="H8580" s="2"/>
    </row>
    <row r="8581" spans="1:8" x14ac:dyDescent="0.25">
      <c r="A8581" s="1"/>
      <c r="B8581" s="1" t="s">
        <v>4944</v>
      </c>
      <c r="C8581" s="1" t="s">
        <v>4945</v>
      </c>
      <c r="D8581" s="22" t="str">
        <f>HYPERLINK("https://rhld.insurance.arkansas.gov/NPILookup?Npi=1952352510","1952352510")</f>
        <v>1952352510</v>
      </c>
      <c r="E8581" s="1" t="s">
        <v>3093</v>
      </c>
      <c r="F8581" s="2"/>
      <c r="G8581" s="2"/>
      <c r="H8581" s="2"/>
    </row>
    <row r="8582" spans="1:8" x14ac:dyDescent="0.25">
      <c r="A8582" s="1"/>
      <c r="B8582" s="1" t="s">
        <v>4944</v>
      </c>
      <c r="C8582" s="1" t="s">
        <v>4945</v>
      </c>
      <c r="D8582" s="22" t="str">
        <f>HYPERLINK("https://rhld.insurance.arkansas.gov/NPILookup?Npi=1962729970","1962729970")</f>
        <v>1962729970</v>
      </c>
      <c r="E8582" s="1" t="s">
        <v>4995</v>
      </c>
      <c r="F8582" s="2"/>
      <c r="G8582" s="2"/>
      <c r="H8582" s="2"/>
    </row>
    <row r="8583" spans="1:8" x14ac:dyDescent="0.25">
      <c r="A8583" s="1"/>
      <c r="B8583" s="1" t="s">
        <v>4944</v>
      </c>
      <c r="C8583" s="1" t="s">
        <v>4945</v>
      </c>
      <c r="D8583" s="22" t="str">
        <f>HYPERLINK("https://rhld.insurance.arkansas.gov/NPILookup?Npi=1972592749","1972592749")</f>
        <v>1972592749</v>
      </c>
      <c r="E8583" s="1" t="s">
        <v>19090</v>
      </c>
      <c r="F8583" s="2"/>
      <c r="G8583" s="2"/>
      <c r="H8583" s="2"/>
    </row>
    <row r="8584" spans="1:8" x14ac:dyDescent="0.25">
      <c r="A8584" s="1"/>
      <c r="B8584" s="1" t="s">
        <v>4944</v>
      </c>
      <c r="C8584" s="1" t="s">
        <v>4945</v>
      </c>
      <c r="D8584" s="22" t="str">
        <f>HYPERLINK("https://rhld.insurance.arkansas.gov/NPILookup?Npi=1982604138","1982604138")</f>
        <v>1982604138</v>
      </c>
      <c r="E8584" s="1" t="s">
        <v>4996</v>
      </c>
      <c r="F8584" s="2"/>
      <c r="G8584" s="2"/>
      <c r="H8584" s="2"/>
    </row>
    <row r="8585" spans="1:8" x14ac:dyDescent="0.25">
      <c r="A8585" s="1"/>
      <c r="B8585" s="1" t="s">
        <v>4944</v>
      </c>
      <c r="C8585" s="1" t="s">
        <v>4945</v>
      </c>
      <c r="D8585" s="22" t="str">
        <f>HYPERLINK("https://rhld.insurance.arkansas.gov/NPILookup?Npi=1982661617","1982661617")</f>
        <v>1982661617</v>
      </c>
      <c r="E8585" s="1" t="s">
        <v>19091</v>
      </c>
      <c r="F8585" s="2"/>
      <c r="G8585" s="2"/>
      <c r="H8585" s="2"/>
    </row>
    <row r="8586" spans="1:8" x14ac:dyDescent="0.25">
      <c r="A8586" s="1"/>
      <c r="B8586" s="1" t="s">
        <v>4944</v>
      </c>
      <c r="C8586" s="1" t="s">
        <v>4945</v>
      </c>
      <c r="D8586" s="22" t="str">
        <f>HYPERLINK("https://rhld.insurance.arkansas.gov/NPILookup?Npi=1992019129","1992019129")</f>
        <v>1992019129</v>
      </c>
      <c r="E8586" s="1" t="s">
        <v>19092</v>
      </c>
      <c r="F8586" s="2"/>
      <c r="G8586" s="2"/>
      <c r="H8586" s="2"/>
    </row>
    <row r="8587" spans="1:8" x14ac:dyDescent="0.25">
      <c r="A8587" s="1"/>
      <c r="B8587" s="1" t="s">
        <v>4944</v>
      </c>
      <c r="C8587" s="1" t="s">
        <v>4945</v>
      </c>
      <c r="D8587" s="22" t="str">
        <f>HYPERLINK("https://rhld.insurance.arkansas.gov/NPILookup?Npi=1992202899","1992202899")</f>
        <v>1992202899</v>
      </c>
      <c r="E8587" s="1" t="s">
        <v>31553</v>
      </c>
      <c r="F8587" s="2"/>
      <c r="G8587" s="2"/>
      <c r="H8587" s="2"/>
    </row>
    <row r="8588" spans="1:8" x14ac:dyDescent="0.25">
      <c r="A8588" s="1"/>
      <c r="B8588" s="1" t="s">
        <v>4944</v>
      </c>
      <c r="C8588" s="1" t="s">
        <v>4945</v>
      </c>
      <c r="D8588" s="22" t="str">
        <f>HYPERLINK("https://rhld.insurance.arkansas.gov/NPILookup?Npi=1992753263","1992753263")</f>
        <v>1992753263</v>
      </c>
      <c r="E8588" s="1" t="s">
        <v>31554</v>
      </c>
      <c r="F8588" s="2"/>
      <c r="G8588" s="2"/>
      <c r="H8588" s="2"/>
    </row>
    <row r="8589" spans="1:8" x14ac:dyDescent="0.25">
      <c r="A8589" s="1"/>
      <c r="B8589" s="1" t="s">
        <v>4944</v>
      </c>
      <c r="C8589" s="1" t="s">
        <v>4945</v>
      </c>
      <c r="D8589" s="22" t="str">
        <f>HYPERLINK("https://rhld.insurance.arkansas.gov/NPILookup?Npi=1992903157","1992903157")</f>
        <v>1992903157</v>
      </c>
      <c r="E8589" s="1" t="s">
        <v>3577</v>
      </c>
      <c r="F8589" s="2"/>
      <c r="G8589" s="2"/>
      <c r="H8589" s="2"/>
    </row>
    <row r="8590" spans="1:8" x14ac:dyDescent="0.25">
      <c r="A8590" s="1"/>
      <c r="B8590" s="1" t="s">
        <v>4997</v>
      </c>
      <c r="C8590" s="1" t="s">
        <v>4998</v>
      </c>
      <c r="D8590" s="22" t="str">
        <f>HYPERLINK("https://rhld.insurance.arkansas.gov/NPILookup?Npi=1003017427","1003017427")</f>
        <v>1003017427</v>
      </c>
      <c r="E8590" s="1" t="s">
        <v>31555</v>
      </c>
      <c r="F8590" s="2"/>
      <c r="G8590" s="2"/>
      <c r="H8590" s="2"/>
    </row>
    <row r="8591" spans="1:8" x14ac:dyDescent="0.25">
      <c r="A8591" s="1"/>
      <c r="B8591" s="1" t="s">
        <v>4997</v>
      </c>
      <c r="C8591" s="1" t="s">
        <v>4998</v>
      </c>
      <c r="D8591" s="22" t="str">
        <f>HYPERLINK("https://rhld.insurance.arkansas.gov/NPILookup?Npi=1003078692","1003078692")</f>
        <v>1003078692</v>
      </c>
      <c r="E8591" s="1" t="s">
        <v>31556</v>
      </c>
      <c r="F8591" s="2"/>
      <c r="G8591" s="2"/>
      <c r="H8591" s="2"/>
    </row>
    <row r="8592" spans="1:8" x14ac:dyDescent="0.25">
      <c r="A8592" s="1"/>
      <c r="B8592" s="1" t="s">
        <v>4997</v>
      </c>
      <c r="C8592" s="1" t="s">
        <v>4998</v>
      </c>
      <c r="D8592" s="22" t="str">
        <f>HYPERLINK("https://rhld.insurance.arkansas.gov/NPILookup?Npi=1003080896","1003080896")</f>
        <v>1003080896</v>
      </c>
      <c r="E8592" s="1" t="s">
        <v>4999</v>
      </c>
      <c r="F8592" s="2"/>
      <c r="G8592" s="2"/>
      <c r="H8592" s="2"/>
    </row>
    <row r="8593" spans="1:8" x14ac:dyDescent="0.25">
      <c r="A8593" s="1"/>
      <c r="B8593" s="1" t="s">
        <v>4997</v>
      </c>
      <c r="C8593" s="1" t="s">
        <v>4998</v>
      </c>
      <c r="D8593" s="22" t="str">
        <f>HYPERLINK("https://rhld.insurance.arkansas.gov/NPILookup?Npi=1003187808","1003187808")</f>
        <v>1003187808</v>
      </c>
      <c r="E8593" s="1" t="s">
        <v>19093</v>
      </c>
      <c r="F8593" s="2"/>
      <c r="G8593" s="2"/>
      <c r="H8593" s="2"/>
    </row>
    <row r="8594" spans="1:8" x14ac:dyDescent="0.25">
      <c r="A8594" s="1"/>
      <c r="B8594" s="1" t="s">
        <v>4997</v>
      </c>
      <c r="C8594" s="1" t="s">
        <v>4998</v>
      </c>
      <c r="D8594" s="22" t="str">
        <f>HYPERLINK("https://rhld.insurance.arkansas.gov/NPILookup?Npi=1003222647","1003222647")</f>
        <v>1003222647</v>
      </c>
      <c r="E8594" s="1" t="s">
        <v>5000</v>
      </c>
      <c r="F8594" s="2"/>
      <c r="G8594" s="2"/>
      <c r="H8594" s="2"/>
    </row>
    <row r="8595" spans="1:8" x14ac:dyDescent="0.25">
      <c r="A8595" s="1"/>
      <c r="B8595" s="1" t="s">
        <v>4997</v>
      </c>
      <c r="C8595" s="1" t="s">
        <v>4998</v>
      </c>
      <c r="D8595" s="22" t="str">
        <f>HYPERLINK("https://rhld.insurance.arkansas.gov/NPILookup?Npi=1003253857","1003253857")</f>
        <v>1003253857</v>
      </c>
      <c r="E8595" s="1" t="s">
        <v>31557</v>
      </c>
      <c r="F8595" s="2"/>
      <c r="G8595" s="2"/>
      <c r="H8595" s="2"/>
    </row>
    <row r="8596" spans="1:8" x14ac:dyDescent="0.25">
      <c r="A8596" s="1"/>
      <c r="B8596" s="1" t="s">
        <v>4997</v>
      </c>
      <c r="C8596" s="1" t="s">
        <v>4998</v>
      </c>
      <c r="D8596" s="22" t="str">
        <f>HYPERLINK("https://rhld.insurance.arkansas.gov/NPILookup?Npi=1003255357","1003255357")</f>
        <v>1003255357</v>
      </c>
      <c r="E8596" s="1" t="s">
        <v>19094</v>
      </c>
      <c r="F8596" s="2"/>
      <c r="G8596" s="2"/>
      <c r="H8596" s="2"/>
    </row>
    <row r="8597" spans="1:8" x14ac:dyDescent="0.25">
      <c r="A8597" s="1"/>
      <c r="B8597" s="1" t="s">
        <v>4997</v>
      </c>
      <c r="C8597" s="1" t="s">
        <v>4998</v>
      </c>
      <c r="D8597" s="22" t="str">
        <f>HYPERLINK("https://rhld.insurance.arkansas.gov/NPILookup?Npi=1003443706","1003443706")</f>
        <v>1003443706</v>
      </c>
      <c r="E8597" s="1" t="s">
        <v>19095</v>
      </c>
      <c r="F8597" s="2"/>
      <c r="G8597" s="2"/>
      <c r="H8597" s="2"/>
    </row>
    <row r="8598" spans="1:8" x14ac:dyDescent="0.25">
      <c r="A8598" s="1"/>
      <c r="B8598" s="1" t="s">
        <v>4997</v>
      </c>
      <c r="C8598" s="1" t="s">
        <v>4998</v>
      </c>
      <c r="D8598" s="22" t="str">
        <f>HYPERLINK("https://rhld.insurance.arkansas.gov/NPILookup?Npi=1003472366","1003472366")</f>
        <v>1003472366</v>
      </c>
      <c r="E8598" s="1" t="s">
        <v>31558</v>
      </c>
      <c r="F8598" s="2"/>
      <c r="G8598" s="2"/>
      <c r="H8598" s="2"/>
    </row>
    <row r="8599" spans="1:8" x14ac:dyDescent="0.25">
      <c r="A8599" s="1"/>
      <c r="B8599" s="1" t="s">
        <v>4997</v>
      </c>
      <c r="C8599" s="1" t="s">
        <v>4998</v>
      </c>
      <c r="D8599" s="22" t="str">
        <f>HYPERLINK("https://rhld.insurance.arkansas.gov/NPILookup?Npi=1003850009","1003850009")</f>
        <v>1003850009</v>
      </c>
      <c r="E8599" s="1" t="s">
        <v>17119</v>
      </c>
      <c r="F8599" s="2"/>
      <c r="G8599" s="2"/>
      <c r="H8599" s="2"/>
    </row>
    <row r="8600" spans="1:8" x14ac:dyDescent="0.25">
      <c r="A8600" s="1"/>
      <c r="B8600" s="1" t="s">
        <v>4997</v>
      </c>
      <c r="C8600" s="1" t="s">
        <v>4998</v>
      </c>
      <c r="D8600" s="22" t="str">
        <f>HYPERLINK("https://rhld.insurance.arkansas.gov/NPILookup?Npi=1013170067","1013170067")</f>
        <v>1013170067</v>
      </c>
      <c r="E8600" s="1" t="s">
        <v>19096</v>
      </c>
      <c r="F8600" s="2"/>
      <c r="G8600" s="2"/>
      <c r="H8600" s="2"/>
    </row>
    <row r="8601" spans="1:8" x14ac:dyDescent="0.25">
      <c r="A8601" s="1"/>
      <c r="B8601" s="1" t="s">
        <v>4997</v>
      </c>
      <c r="C8601" s="1" t="s">
        <v>4998</v>
      </c>
      <c r="D8601" s="22" t="str">
        <f>HYPERLINK("https://rhld.insurance.arkansas.gov/NPILookup?Npi=1023229317","1023229317")</f>
        <v>1023229317</v>
      </c>
      <c r="E8601" s="1" t="s">
        <v>19097</v>
      </c>
      <c r="F8601" s="2"/>
      <c r="G8601" s="2"/>
      <c r="H8601" s="2"/>
    </row>
    <row r="8602" spans="1:8" x14ac:dyDescent="0.25">
      <c r="A8602" s="1"/>
      <c r="B8602" s="1" t="s">
        <v>4997</v>
      </c>
      <c r="C8602" s="1" t="s">
        <v>4998</v>
      </c>
      <c r="D8602" s="22" t="str">
        <f>HYPERLINK("https://rhld.insurance.arkansas.gov/NPILookup?Npi=1023424306","1023424306")</f>
        <v>1023424306</v>
      </c>
      <c r="E8602" s="1" t="s">
        <v>31559</v>
      </c>
      <c r="F8602" s="2"/>
      <c r="G8602" s="2"/>
      <c r="H8602" s="2"/>
    </row>
    <row r="8603" spans="1:8" x14ac:dyDescent="0.25">
      <c r="A8603" s="1"/>
      <c r="B8603" s="1" t="s">
        <v>4997</v>
      </c>
      <c r="C8603" s="1" t="s">
        <v>4998</v>
      </c>
      <c r="D8603" s="22" t="str">
        <f>HYPERLINK("https://rhld.insurance.arkansas.gov/NPILookup?Npi=1033144134","1033144134")</f>
        <v>1033144134</v>
      </c>
      <c r="E8603" s="1" t="s">
        <v>5001</v>
      </c>
      <c r="F8603" s="2"/>
      <c r="G8603" s="2"/>
      <c r="H8603" s="2"/>
    </row>
    <row r="8604" spans="1:8" x14ac:dyDescent="0.25">
      <c r="A8604" s="1"/>
      <c r="B8604" s="1" t="s">
        <v>4997</v>
      </c>
      <c r="C8604" s="1" t="s">
        <v>4998</v>
      </c>
      <c r="D8604" s="22" t="str">
        <f>HYPERLINK("https://rhld.insurance.arkansas.gov/NPILookup?Npi=1033145792","1033145792")</f>
        <v>1033145792</v>
      </c>
      <c r="E8604" s="1" t="s">
        <v>19098</v>
      </c>
      <c r="F8604" s="2"/>
      <c r="G8604" s="2"/>
      <c r="H8604" s="2"/>
    </row>
    <row r="8605" spans="1:8" x14ac:dyDescent="0.25">
      <c r="A8605" s="1"/>
      <c r="B8605" s="1" t="s">
        <v>4997</v>
      </c>
      <c r="C8605" s="1" t="s">
        <v>4998</v>
      </c>
      <c r="D8605" s="22" t="str">
        <f>HYPERLINK("https://rhld.insurance.arkansas.gov/NPILookup?Npi=1033343579","1033343579")</f>
        <v>1033343579</v>
      </c>
      <c r="E8605" s="1" t="s">
        <v>31560</v>
      </c>
      <c r="F8605" s="2"/>
      <c r="G8605" s="2"/>
      <c r="H8605" s="2"/>
    </row>
    <row r="8606" spans="1:8" x14ac:dyDescent="0.25">
      <c r="A8606" s="1"/>
      <c r="B8606" s="1" t="s">
        <v>4997</v>
      </c>
      <c r="C8606" s="1" t="s">
        <v>4998</v>
      </c>
      <c r="D8606" s="22" t="str">
        <f>HYPERLINK("https://rhld.insurance.arkansas.gov/NPILookup?Npi=1033414255","1033414255")</f>
        <v>1033414255</v>
      </c>
      <c r="E8606" s="1" t="s">
        <v>19099</v>
      </c>
      <c r="F8606" s="2"/>
      <c r="G8606" s="2"/>
      <c r="H8606" s="2"/>
    </row>
    <row r="8607" spans="1:8" x14ac:dyDescent="0.25">
      <c r="A8607" s="1"/>
      <c r="B8607" s="1" t="s">
        <v>4997</v>
      </c>
      <c r="C8607" s="1" t="s">
        <v>4998</v>
      </c>
      <c r="D8607" s="22" t="str">
        <f>HYPERLINK("https://rhld.insurance.arkansas.gov/NPILookup?Npi=1033476726","1033476726")</f>
        <v>1033476726</v>
      </c>
      <c r="E8607" s="1" t="s">
        <v>5002</v>
      </c>
      <c r="F8607" s="2"/>
      <c r="G8607" s="2"/>
      <c r="H8607" s="2"/>
    </row>
    <row r="8608" spans="1:8" x14ac:dyDescent="0.25">
      <c r="A8608" s="1"/>
      <c r="B8608" s="1" t="s">
        <v>4997</v>
      </c>
      <c r="C8608" s="1" t="s">
        <v>4998</v>
      </c>
      <c r="D8608" s="22" t="str">
        <f>HYPERLINK("https://rhld.insurance.arkansas.gov/NPILookup?Npi=1033606660","1033606660")</f>
        <v>1033606660</v>
      </c>
      <c r="E8608" s="1" t="s">
        <v>31561</v>
      </c>
      <c r="F8608" s="2"/>
      <c r="G8608" s="2"/>
      <c r="H8608" s="2"/>
    </row>
    <row r="8609" spans="1:8" x14ac:dyDescent="0.25">
      <c r="A8609" s="1"/>
      <c r="B8609" s="1" t="s">
        <v>4997</v>
      </c>
      <c r="C8609" s="1" t="s">
        <v>4998</v>
      </c>
      <c r="D8609" s="22" t="str">
        <f>HYPERLINK("https://rhld.insurance.arkansas.gov/NPILookup?Npi=1033642228","1033642228")</f>
        <v>1033642228</v>
      </c>
      <c r="E8609" s="1" t="s">
        <v>19100</v>
      </c>
      <c r="F8609" s="2"/>
      <c r="G8609" s="2"/>
      <c r="H8609" s="2"/>
    </row>
    <row r="8610" spans="1:8" x14ac:dyDescent="0.25">
      <c r="A8610" s="1"/>
      <c r="B8610" s="1" t="s">
        <v>4997</v>
      </c>
      <c r="C8610" s="1" t="s">
        <v>4998</v>
      </c>
      <c r="D8610" s="22" t="str">
        <f>HYPERLINK("https://rhld.insurance.arkansas.gov/NPILookup?Npi=1043273568","1043273568")</f>
        <v>1043273568</v>
      </c>
      <c r="E8610" s="1" t="s">
        <v>5003</v>
      </c>
      <c r="F8610" s="2"/>
      <c r="G8610" s="2"/>
      <c r="H8610" s="2"/>
    </row>
    <row r="8611" spans="1:8" x14ac:dyDescent="0.25">
      <c r="A8611" s="1"/>
      <c r="B8611" s="1" t="s">
        <v>4997</v>
      </c>
      <c r="C8611" s="1" t="s">
        <v>4998</v>
      </c>
      <c r="D8611" s="22" t="str">
        <f>HYPERLINK("https://rhld.insurance.arkansas.gov/NPILookup?Npi=1043287089","1043287089")</f>
        <v>1043287089</v>
      </c>
      <c r="E8611" s="1" t="s">
        <v>5004</v>
      </c>
      <c r="F8611" s="2"/>
      <c r="G8611" s="2"/>
      <c r="H8611" s="2"/>
    </row>
    <row r="8612" spans="1:8" x14ac:dyDescent="0.25">
      <c r="A8612" s="1"/>
      <c r="B8612" s="1" t="s">
        <v>4997</v>
      </c>
      <c r="C8612" s="1" t="s">
        <v>4998</v>
      </c>
      <c r="D8612" s="22" t="str">
        <f>HYPERLINK("https://rhld.insurance.arkansas.gov/NPILookup?Npi=1043345861","1043345861")</f>
        <v>1043345861</v>
      </c>
      <c r="E8612" s="1" t="s">
        <v>19102</v>
      </c>
      <c r="F8612" s="2"/>
      <c r="G8612" s="2"/>
      <c r="H8612" s="2"/>
    </row>
    <row r="8613" spans="1:8" x14ac:dyDescent="0.25">
      <c r="A8613" s="1"/>
      <c r="B8613" s="1" t="s">
        <v>4997</v>
      </c>
      <c r="C8613" s="1" t="s">
        <v>4998</v>
      </c>
      <c r="D8613" s="22" t="str">
        <f>HYPERLINK("https://rhld.insurance.arkansas.gov/NPILookup?Npi=1043387624","1043387624")</f>
        <v>1043387624</v>
      </c>
      <c r="E8613" s="1" t="s">
        <v>5005</v>
      </c>
      <c r="F8613" s="2"/>
      <c r="G8613" s="2"/>
      <c r="H8613" s="2"/>
    </row>
    <row r="8614" spans="1:8" x14ac:dyDescent="0.25">
      <c r="A8614" s="1"/>
      <c r="B8614" s="1" t="s">
        <v>4997</v>
      </c>
      <c r="C8614" s="1" t="s">
        <v>4998</v>
      </c>
      <c r="D8614" s="22" t="str">
        <f>HYPERLINK("https://rhld.insurance.arkansas.gov/NPILookup?Npi=1043508070","1043508070")</f>
        <v>1043508070</v>
      </c>
      <c r="E8614" s="1" t="s">
        <v>19103</v>
      </c>
      <c r="F8614" s="2"/>
      <c r="G8614" s="2"/>
      <c r="H8614" s="2"/>
    </row>
    <row r="8615" spans="1:8" x14ac:dyDescent="0.25">
      <c r="A8615" s="1"/>
      <c r="B8615" s="1" t="s">
        <v>4997</v>
      </c>
      <c r="C8615" s="1" t="s">
        <v>4998</v>
      </c>
      <c r="D8615" s="22" t="str">
        <f>HYPERLINK("https://rhld.insurance.arkansas.gov/NPILookup?Npi=1043693971","1043693971")</f>
        <v>1043693971</v>
      </c>
      <c r="E8615" s="1" t="s">
        <v>10850</v>
      </c>
      <c r="F8615" s="2"/>
      <c r="G8615" s="2"/>
      <c r="H8615" s="2"/>
    </row>
    <row r="8616" spans="1:8" x14ac:dyDescent="0.25">
      <c r="A8616" s="1"/>
      <c r="B8616" s="1" t="s">
        <v>4997</v>
      </c>
      <c r="C8616" s="1" t="s">
        <v>4998</v>
      </c>
      <c r="D8616" s="22" t="str">
        <f>HYPERLINK("https://rhld.insurance.arkansas.gov/NPILookup?Npi=1053318147","1053318147")</f>
        <v>1053318147</v>
      </c>
      <c r="E8616" s="1" t="s">
        <v>19104</v>
      </c>
      <c r="F8616" s="2"/>
      <c r="G8616" s="2"/>
      <c r="H8616" s="2"/>
    </row>
    <row r="8617" spans="1:8" x14ac:dyDescent="0.25">
      <c r="A8617" s="1"/>
      <c r="B8617" s="1" t="s">
        <v>4997</v>
      </c>
      <c r="C8617" s="1" t="s">
        <v>4998</v>
      </c>
      <c r="D8617" s="22" t="str">
        <f>HYPERLINK("https://rhld.insurance.arkansas.gov/NPILookup?Npi=1053469072","1053469072")</f>
        <v>1053469072</v>
      </c>
      <c r="E8617" s="1" t="s">
        <v>19105</v>
      </c>
      <c r="F8617" s="2"/>
      <c r="G8617" s="2"/>
      <c r="H8617" s="2"/>
    </row>
    <row r="8618" spans="1:8" x14ac:dyDescent="0.25">
      <c r="A8618" s="1"/>
      <c r="B8618" s="1" t="s">
        <v>4997</v>
      </c>
      <c r="C8618" s="1" t="s">
        <v>4998</v>
      </c>
      <c r="D8618" s="22" t="str">
        <f>HYPERLINK("https://rhld.insurance.arkansas.gov/NPILookup?Npi=1053725044","1053725044")</f>
        <v>1053725044</v>
      </c>
      <c r="E8618" s="1" t="s">
        <v>5006</v>
      </c>
      <c r="F8618" s="2"/>
      <c r="G8618" s="2"/>
      <c r="H8618" s="2"/>
    </row>
    <row r="8619" spans="1:8" x14ac:dyDescent="0.25">
      <c r="A8619" s="1"/>
      <c r="B8619" s="1" t="s">
        <v>4997</v>
      </c>
      <c r="C8619" s="1" t="s">
        <v>4998</v>
      </c>
      <c r="D8619" s="22" t="str">
        <f>HYPERLINK("https://rhld.insurance.arkansas.gov/NPILookup?Npi=1063408243","1063408243")</f>
        <v>1063408243</v>
      </c>
      <c r="E8619" s="1" t="s">
        <v>10848</v>
      </c>
      <c r="F8619" s="2"/>
      <c r="G8619" s="2"/>
      <c r="H8619" s="2"/>
    </row>
    <row r="8620" spans="1:8" x14ac:dyDescent="0.25">
      <c r="A8620" s="1"/>
      <c r="B8620" s="1" t="s">
        <v>4997</v>
      </c>
      <c r="C8620" s="1" t="s">
        <v>4998</v>
      </c>
      <c r="D8620" s="22" t="str">
        <f>HYPERLINK("https://rhld.insurance.arkansas.gov/NPILookup?Npi=1063409993","1063409993")</f>
        <v>1063409993</v>
      </c>
      <c r="E8620" s="1" t="s">
        <v>5007</v>
      </c>
      <c r="F8620" s="2"/>
      <c r="G8620" s="2"/>
      <c r="H8620" s="2"/>
    </row>
    <row r="8621" spans="1:8" x14ac:dyDescent="0.25">
      <c r="A8621" s="1"/>
      <c r="B8621" s="1" t="s">
        <v>4997</v>
      </c>
      <c r="C8621" s="1" t="s">
        <v>4998</v>
      </c>
      <c r="D8621" s="22" t="str">
        <f>HYPERLINK("https://rhld.insurance.arkansas.gov/NPILookup?Npi=1063452803","1063452803")</f>
        <v>1063452803</v>
      </c>
      <c r="E8621" s="1" t="s">
        <v>5008</v>
      </c>
      <c r="F8621" s="2"/>
      <c r="G8621" s="2"/>
      <c r="H8621" s="2"/>
    </row>
    <row r="8622" spans="1:8" x14ac:dyDescent="0.25">
      <c r="A8622" s="1"/>
      <c r="B8622" s="1" t="s">
        <v>4997</v>
      </c>
      <c r="C8622" s="1" t="s">
        <v>4998</v>
      </c>
      <c r="D8622" s="22" t="str">
        <f>HYPERLINK("https://rhld.insurance.arkansas.gov/NPILookup?Npi=1063676690","1063676690")</f>
        <v>1063676690</v>
      </c>
      <c r="E8622" s="1" t="s">
        <v>19106</v>
      </c>
      <c r="F8622" s="2"/>
      <c r="G8622" s="2"/>
      <c r="H8622" s="2"/>
    </row>
    <row r="8623" spans="1:8" x14ac:dyDescent="0.25">
      <c r="A8623" s="1"/>
      <c r="B8623" s="1" t="s">
        <v>4997</v>
      </c>
      <c r="C8623" s="1" t="s">
        <v>4998</v>
      </c>
      <c r="D8623" s="22" t="str">
        <f>HYPERLINK("https://rhld.insurance.arkansas.gov/NPILookup?Npi=1063698967","1063698967")</f>
        <v>1063698967</v>
      </c>
      <c r="E8623" s="1" t="s">
        <v>31562</v>
      </c>
      <c r="F8623" s="2"/>
      <c r="G8623" s="2"/>
      <c r="H8623" s="2"/>
    </row>
    <row r="8624" spans="1:8" x14ac:dyDescent="0.25">
      <c r="A8624" s="1"/>
      <c r="B8624" s="1" t="s">
        <v>4997</v>
      </c>
      <c r="C8624" s="1" t="s">
        <v>4998</v>
      </c>
      <c r="D8624" s="22" t="str">
        <f>HYPERLINK("https://rhld.insurance.arkansas.gov/NPILookup?Npi=1063699833","1063699833")</f>
        <v>1063699833</v>
      </c>
      <c r="E8624" s="1" t="s">
        <v>5009</v>
      </c>
      <c r="F8624" s="2"/>
      <c r="G8624" s="2"/>
      <c r="H8624" s="2"/>
    </row>
    <row r="8625" spans="1:8" x14ac:dyDescent="0.25">
      <c r="A8625" s="1"/>
      <c r="B8625" s="1" t="s">
        <v>4997</v>
      </c>
      <c r="C8625" s="1" t="s">
        <v>4998</v>
      </c>
      <c r="D8625" s="22" t="str">
        <f>HYPERLINK("https://rhld.insurance.arkansas.gov/NPILookup?Npi=1063737302","1063737302")</f>
        <v>1063737302</v>
      </c>
      <c r="E8625" s="1" t="s">
        <v>31563</v>
      </c>
      <c r="F8625" s="2"/>
      <c r="G8625" s="2"/>
      <c r="H8625" s="2"/>
    </row>
    <row r="8626" spans="1:8" x14ac:dyDescent="0.25">
      <c r="A8626" s="1"/>
      <c r="B8626" s="1" t="s">
        <v>4997</v>
      </c>
      <c r="C8626" s="1" t="s">
        <v>4998</v>
      </c>
      <c r="D8626" s="22" t="str">
        <f>HYPERLINK("https://rhld.insurance.arkansas.gov/NPILookup?Npi=1063774669","1063774669")</f>
        <v>1063774669</v>
      </c>
      <c r="E8626" s="1" t="s">
        <v>31564</v>
      </c>
      <c r="F8626" s="2"/>
      <c r="G8626" s="2"/>
      <c r="H8626" s="2"/>
    </row>
    <row r="8627" spans="1:8" x14ac:dyDescent="0.25">
      <c r="A8627" s="1"/>
      <c r="B8627" s="1" t="s">
        <v>4997</v>
      </c>
      <c r="C8627" s="1" t="s">
        <v>4998</v>
      </c>
      <c r="D8627" s="22" t="str">
        <f>HYPERLINK("https://rhld.insurance.arkansas.gov/NPILookup?Npi=1063868677","1063868677")</f>
        <v>1063868677</v>
      </c>
      <c r="E8627" s="1" t="s">
        <v>31565</v>
      </c>
      <c r="F8627" s="2"/>
      <c r="G8627" s="2"/>
      <c r="H8627" s="2"/>
    </row>
    <row r="8628" spans="1:8" x14ac:dyDescent="0.25">
      <c r="A8628" s="1"/>
      <c r="B8628" s="1" t="s">
        <v>4997</v>
      </c>
      <c r="C8628" s="1" t="s">
        <v>4998</v>
      </c>
      <c r="D8628" s="22" t="str">
        <f>HYPERLINK("https://rhld.insurance.arkansas.gov/NPILookup?Npi=1073547741","1073547741")</f>
        <v>1073547741</v>
      </c>
      <c r="E8628" s="1" t="s">
        <v>19107</v>
      </c>
      <c r="F8628" s="2"/>
      <c r="G8628" s="2"/>
      <c r="H8628" s="2"/>
    </row>
    <row r="8629" spans="1:8" x14ac:dyDescent="0.25">
      <c r="A8629" s="1"/>
      <c r="B8629" s="1" t="s">
        <v>4997</v>
      </c>
      <c r="C8629" s="1" t="s">
        <v>4998</v>
      </c>
      <c r="D8629" s="22" t="str">
        <f>HYPERLINK("https://rhld.insurance.arkansas.gov/NPILookup?Npi=1073599155","1073599155")</f>
        <v>1073599155</v>
      </c>
      <c r="E8629" s="1" t="s">
        <v>31566</v>
      </c>
      <c r="F8629" s="2"/>
      <c r="G8629" s="2"/>
      <c r="H8629" s="2"/>
    </row>
    <row r="8630" spans="1:8" x14ac:dyDescent="0.25">
      <c r="A8630" s="1"/>
      <c r="B8630" s="1" t="s">
        <v>4997</v>
      </c>
      <c r="C8630" s="1" t="s">
        <v>4998</v>
      </c>
      <c r="D8630" s="22" t="str">
        <f>HYPERLINK("https://rhld.insurance.arkansas.gov/NPILookup?Npi=1073650537","1073650537")</f>
        <v>1073650537</v>
      </c>
      <c r="E8630" s="1" t="s">
        <v>19108</v>
      </c>
      <c r="F8630" s="2"/>
      <c r="G8630" s="2"/>
      <c r="H8630" s="2"/>
    </row>
    <row r="8631" spans="1:8" x14ac:dyDescent="0.25">
      <c r="A8631" s="1"/>
      <c r="B8631" s="1" t="s">
        <v>4997</v>
      </c>
      <c r="C8631" s="1" t="s">
        <v>4998</v>
      </c>
      <c r="D8631" s="22" t="str">
        <f>HYPERLINK("https://rhld.insurance.arkansas.gov/NPILookup?Npi=1073659785","1073659785")</f>
        <v>1073659785</v>
      </c>
      <c r="E8631" s="1" t="s">
        <v>10851</v>
      </c>
      <c r="F8631" s="2"/>
      <c r="G8631" s="2"/>
      <c r="H8631" s="2"/>
    </row>
    <row r="8632" spans="1:8" x14ac:dyDescent="0.25">
      <c r="A8632" s="1"/>
      <c r="B8632" s="1" t="s">
        <v>4997</v>
      </c>
      <c r="C8632" s="1" t="s">
        <v>4998</v>
      </c>
      <c r="D8632" s="22" t="str">
        <f>HYPERLINK("https://rhld.insurance.arkansas.gov/NPILookup?Npi=1073683728","1073683728")</f>
        <v>1073683728</v>
      </c>
      <c r="E8632" s="1" t="s">
        <v>5010</v>
      </c>
      <c r="F8632" s="2"/>
      <c r="G8632" s="2"/>
      <c r="H8632" s="2"/>
    </row>
    <row r="8633" spans="1:8" x14ac:dyDescent="0.25">
      <c r="A8633" s="1"/>
      <c r="B8633" s="1" t="s">
        <v>4997</v>
      </c>
      <c r="C8633" s="1" t="s">
        <v>4998</v>
      </c>
      <c r="D8633" s="22" t="str">
        <f>HYPERLINK("https://rhld.insurance.arkansas.gov/NPILookup?Npi=1073712287","1073712287")</f>
        <v>1073712287</v>
      </c>
      <c r="E8633" s="1" t="s">
        <v>5011</v>
      </c>
      <c r="F8633" s="2"/>
      <c r="G8633" s="2"/>
      <c r="H8633" s="2"/>
    </row>
    <row r="8634" spans="1:8" x14ac:dyDescent="0.25">
      <c r="A8634" s="1"/>
      <c r="B8634" s="1" t="s">
        <v>4997</v>
      </c>
      <c r="C8634" s="1" t="s">
        <v>4998</v>
      </c>
      <c r="D8634" s="22" t="str">
        <f>HYPERLINK("https://rhld.insurance.arkansas.gov/NPILookup?Npi=1073761789","1073761789")</f>
        <v>1073761789</v>
      </c>
      <c r="E8634" s="1" t="s">
        <v>31567</v>
      </c>
      <c r="F8634" s="2"/>
      <c r="G8634" s="2"/>
      <c r="H8634" s="2"/>
    </row>
    <row r="8635" spans="1:8" x14ac:dyDescent="0.25">
      <c r="A8635" s="1"/>
      <c r="B8635" s="1" t="s">
        <v>4997</v>
      </c>
      <c r="C8635" s="1" t="s">
        <v>4998</v>
      </c>
      <c r="D8635" s="22" t="str">
        <f>HYPERLINK("https://rhld.insurance.arkansas.gov/NPILookup?Npi=1073807970","1073807970")</f>
        <v>1073807970</v>
      </c>
      <c r="E8635" s="1" t="s">
        <v>19109</v>
      </c>
      <c r="F8635" s="2"/>
      <c r="G8635" s="2"/>
      <c r="H8635" s="2"/>
    </row>
    <row r="8636" spans="1:8" x14ac:dyDescent="0.25">
      <c r="A8636" s="1"/>
      <c r="B8636" s="1" t="s">
        <v>4997</v>
      </c>
      <c r="C8636" s="1" t="s">
        <v>4998</v>
      </c>
      <c r="D8636" s="22" t="str">
        <f>HYPERLINK("https://rhld.insurance.arkansas.gov/NPILookup?Npi=1073953683","1073953683")</f>
        <v>1073953683</v>
      </c>
      <c r="E8636" s="1" t="s">
        <v>31568</v>
      </c>
      <c r="F8636" s="2"/>
      <c r="G8636" s="2"/>
      <c r="H8636" s="2"/>
    </row>
    <row r="8637" spans="1:8" x14ac:dyDescent="0.25">
      <c r="A8637" s="1"/>
      <c r="B8637" s="1" t="s">
        <v>4997</v>
      </c>
      <c r="C8637" s="1" t="s">
        <v>4998</v>
      </c>
      <c r="D8637" s="22" t="str">
        <f>HYPERLINK("https://rhld.insurance.arkansas.gov/NPILookup?Npi=1073969523","1073969523")</f>
        <v>1073969523</v>
      </c>
      <c r="E8637" s="1" t="s">
        <v>31569</v>
      </c>
      <c r="F8637" s="2"/>
      <c r="G8637" s="2"/>
      <c r="H8637" s="2"/>
    </row>
    <row r="8638" spans="1:8" x14ac:dyDescent="0.25">
      <c r="A8638" s="1"/>
      <c r="B8638" s="1" t="s">
        <v>4997</v>
      </c>
      <c r="C8638" s="1" t="s">
        <v>4998</v>
      </c>
      <c r="D8638" s="22" t="str">
        <f>HYPERLINK("https://rhld.insurance.arkansas.gov/NPILookup?Npi=1083142855","1083142855")</f>
        <v>1083142855</v>
      </c>
      <c r="E8638" s="1" t="s">
        <v>19110</v>
      </c>
      <c r="F8638" s="2"/>
      <c r="G8638" s="2"/>
      <c r="H8638" s="2"/>
    </row>
    <row r="8639" spans="1:8" x14ac:dyDescent="0.25">
      <c r="A8639" s="1"/>
      <c r="B8639" s="1" t="s">
        <v>4997</v>
      </c>
      <c r="C8639" s="1" t="s">
        <v>4998</v>
      </c>
      <c r="D8639" s="22" t="str">
        <f>HYPERLINK("https://rhld.insurance.arkansas.gov/NPILookup?Npi=1093159444","1093159444")</f>
        <v>1093159444</v>
      </c>
      <c r="E8639" s="1" t="s">
        <v>24668</v>
      </c>
      <c r="F8639" s="2"/>
      <c r="G8639" s="2"/>
      <c r="H8639" s="2"/>
    </row>
    <row r="8640" spans="1:8" x14ac:dyDescent="0.25">
      <c r="A8640" s="1"/>
      <c r="B8640" s="1" t="s">
        <v>4997</v>
      </c>
      <c r="C8640" s="1" t="s">
        <v>4998</v>
      </c>
      <c r="D8640" s="22" t="str">
        <f>HYPERLINK("https://rhld.insurance.arkansas.gov/NPILookup?Npi=1093759607","1093759607")</f>
        <v>1093759607</v>
      </c>
      <c r="E8640" s="1" t="s">
        <v>1117</v>
      </c>
      <c r="F8640" s="2"/>
      <c r="G8640" s="2"/>
      <c r="H8640" s="2"/>
    </row>
    <row r="8641" spans="1:8" x14ac:dyDescent="0.25">
      <c r="A8641" s="1"/>
      <c r="B8641" s="1" t="s">
        <v>4997</v>
      </c>
      <c r="C8641" s="1" t="s">
        <v>4998</v>
      </c>
      <c r="D8641" s="22" t="str">
        <f>HYPERLINK("https://rhld.insurance.arkansas.gov/NPILookup?Npi=1104138254","1104138254")</f>
        <v>1104138254</v>
      </c>
      <c r="E8641" s="1" t="s">
        <v>19112</v>
      </c>
      <c r="F8641" s="2"/>
      <c r="G8641" s="2"/>
      <c r="H8641" s="2"/>
    </row>
    <row r="8642" spans="1:8" x14ac:dyDescent="0.25">
      <c r="A8642" s="1"/>
      <c r="B8642" s="1" t="s">
        <v>4997</v>
      </c>
      <c r="C8642" s="1" t="s">
        <v>4998</v>
      </c>
      <c r="D8642" s="22" t="str">
        <f>HYPERLINK("https://rhld.insurance.arkansas.gov/NPILookup?Npi=1104141662","1104141662")</f>
        <v>1104141662</v>
      </c>
      <c r="E8642" s="1" t="s">
        <v>3974</v>
      </c>
      <c r="F8642" s="2"/>
      <c r="G8642" s="2"/>
      <c r="H8642" s="2"/>
    </row>
    <row r="8643" spans="1:8" x14ac:dyDescent="0.25">
      <c r="A8643" s="1"/>
      <c r="B8643" s="1" t="s">
        <v>4997</v>
      </c>
      <c r="C8643" s="1" t="s">
        <v>4998</v>
      </c>
      <c r="D8643" s="22" t="str">
        <f>HYPERLINK("https://rhld.insurance.arkansas.gov/NPILookup?Npi=1104260819","1104260819")</f>
        <v>1104260819</v>
      </c>
      <c r="E8643" s="1" t="s">
        <v>23395</v>
      </c>
      <c r="F8643" s="2"/>
      <c r="G8643" s="2"/>
      <c r="H8643" s="2"/>
    </row>
    <row r="8644" spans="1:8" x14ac:dyDescent="0.25">
      <c r="A8644" s="1"/>
      <c r="B8644" s="1" t="s">
        <v>4997</v>
      </c>
      <c r="C8644" s="1" t="s">
        <v>4998</v>
      </c>
      <c r="D8644" s="22" t="str">
        <f>HYPERLINK("https://rhld.insurance.arkansas.gov/NPILookup?Npi=1104275239","1104275239")</f>
        <v>1104275239</v>
      </c>
      <c r="E8644" s="1" t="s">
        <v>5013</v>
      </c>
      <c r="F8644" s="2"/>
      <c r="G8644" s="2"/>
      <c r="H8644" s="2"/>
    </row>
    <row r="8645" spans="1:8" x14ac:dyDescent="0.25">
      <c r="A8645" s="1"/>
      <c r="B8645" s="1" t="s">
        <v>4997</v>
      </c>
      <c r="C8645" s="1" t="s">
        <v>4998</v>
      </c>
      <c r="D8645" s="22" t="str">
        <f>HYPERLINK("https://rhld.insurance.arkansas.gov/NPILookup?Npi=1104816990","1104816990")</f>
        <v>1104816990</v>
      </c>
      <c r="E8645" s="1" t="s">
        <v>5014</v>
      </c>
      <c r="F8645" s="2"/>
      <c r="G8645" s="2"/>
      <c r="H8645" s="2"/>
    </row>
    <row r="8646" spans="1:8" x14ac:dyDescent="0.25">
      <c r="A8646" s="1"/>
      <c r="B8646" s="1" t="s">
        <v>4997</v>
      </c>
      <c r="C8646" s="1" t="s">
        <v>4998</v>
      </c>
      <c r="D8646" s="22" t="str">
        <f>HYPERLINK("https://rhld.insurance.arkansas.gov/NPILookup?Npi=1104835875","1104835875")</f>
        <v>1104835875</v>
      </c>
      <c r="E8646" s="1" t="s">
        <v>5015</v>
      </c>
      <c r="F8646" s="2"/>
      <c r="G8646" s="2"/>
      <c r="H8646" s="2"/>
    </row>
    <row r="8647" spans="1:8" x14ac:dyDescent="0.25">
      <c r="A8647" s="1"/>
      <c r="B8647" s="1" t="s">
        <v>4997</v>
      </c>
      <c r="C8647" s="1" t="s">
        <v>4998</v>
      </c>
      <c r="D8647" s="22" t="str">
        <f>HYPERLINK("https://rhld.insurance.arkansas.gov/NPILookup?Npi=1114140894","1114140894")</f>
        <v>1114140894</v>
      </c>
      <c r="E8647" s="1" t="s">
        <v>19113</v>
      </c>
      <c r="F8647" s="2"/>
      <c r="G8647" s="2"/>
      <c r="H8647" s="2"/>
    </row>
    <row r="8648" spans="1:8" x14ac:dyDescent="0.25">
      <c r="A8648" s="1"/>
      <c r="B8648" s="1" t="s">
        <v>4997</v>
      </c>
      <c r="C8648" s="1" t="s">
        <v>4998</v>
      </c>
      <c r="D8648" s="22" t="str">
        <f>HYPERLINK("https://rhld.insurance.arkansas.gov/NPILookup?Npi=1114158698","1114158698")</f>
        <v>1114158698</v>
      </c>
      <c r="E8648" s="1" t="s">
        <v>19114</v>
      </c>
      <c r="F8648" s="2"/>
      <c r="G8648" s="2"/>
      <c r="H8648" s="2"/>
    </row>
    <row r="8649" spans="1:8" x14ac:dyDescent="0.25">
      <c r="A8649" s="1"/>
      <c r="B8649" s="1" t="s">
        <v>4997</v>
      </c>
      <c r="C8649" s="1" t="s">
        <v>4998</v>
      </c>
      <c r="D8649" s="22" t="str">
        <f>HYPERLINK("https://rhld.insurance.arkansas.gov/NPILookup?Npi=1114314127","1114314127")</f>
        <v>1114314127</v>
      </c>
      <c r="E8649" s="1" t="s">
        <v>10815</v>
      </c>
      <c r="F8649" s="2"/>
      <c r="G8649" s="2"/>
      <c r="H8649" s="2"/>
    </row>
    <row r="8650" spans="1:8" x14ac:dyDescent="0.25">
      <c r="A8650" s="1"/>
      <c r="B8650" s="1" t="s">
        <v>4997</v>
      </c>
      <c r="C8650" s="1" t="s">
        <v>4998</v>
      </c>
      <c r="D8650" s="22" t="str">
        <f>HYPERLINK("https://rhld.insurance.arkansas.gov/NPILookup?Npi=1124084124","1124084124")</f>
        <v>1124084124</v>
      </c>
      <c r="E8650" s="1" t="s">
        <v>19115</v>
      </c>
      <c r="F8650" s="2"/>
      <c r="G8650" s="2"/>
      <c r="H8650" s="2"/>
    </row>
    <row r="8651" spans="1:8" x14ac:dyDescent="0.25">
      <c r="A8651" s="1"/>
      <c r="B8651" s="1" t="s">
        <v>4997</v>
      </c>
      <c r="C8651" s="1" t="s">
        <v>4998</v>
      </c>
      <c r="D8651" s="22" t="str">
        <f>HYPERLINK("https://rhld.insurance.arkansas.gov/NPILookup?Npi=1124148028","1124148028")</f>
        <v>1124148028</v>
      </c>
      <c r="E8651" s="1" t="s">
        <v>19116</v>
      </c>
      <c r="F8651" s="2"/>
      <c r="G8651" s="2"/>
      <c r="H8651" s="2"/>
    </row>
    <row r="8652" spans="1:8" x14ac:dyDescent="0.25">
      <c r="A8652" s="1"/>
      <c r="B8652" s="1" t="s">
        <v>4997</v>
      </c>
      <c r="C8652" s="1" t="s">
        <v>4998</v>
      </c>
      <c r="D8652" s="22" t="str">
        <f>HYPERLINK("https://rhld.insurance.arkansas.gov/NPILookup?Npi=1124239116","1124239116")</f>
        <v>1124239116</v>
      </c>
      <c r="E8652" s="1" t="s">
        <v>5016</v>
      </c>
      <c r="F8652" s="2"/>
      <c r="G8652" s="2"/>
      <c r="H8652" s="2"/>
    </row>
    <row r="8653" spans="1:8" x14ac:dyDescent="0.25">
      <c r="A8653" s="1"/>
      <c r="B8653" s="1" t="s">
        <v>4997</v>
      </c>
      <c r="C8653" s="1" t="s">
        <v>4998</v>
      </c>
      <c r="D8653" s="22" t="str">
        <f>HYPERLINK("https://rhld.insurance.arkansas.gov/NPILookup?Npi=1124462403","1124462403")</f>
        <v>1124462403</v>
      </c>
      <c r="E8653" s="1" t="s">
        <v>19117</v>
      </c>
      <c r="F8653" s="2"/>
      <c r="G8653" s="2"/>
      <c r="H8653" s="2"/>
    </row>
    <row r="8654" spans="1:8" x14ac:dyDescent="0.25">
      <c r="A8654" s="1"/>
      <c r="B8654" s="1" t="s">
        <v>4997</v>
      </c>
      <c r="C8654" s="1" t="s">
        <v>4998</v>
      </c>
      <c r="D8654" s="22" t="str">
        <f>HYPERLINK("https://rhld.insurance.arkansas.gov/NPILookup?Npi=1124479704","1124479704")</f>
        <v>1124479704</v>
      </c>
      <c r="E8654" s="1" t="s">
        <v>19118</v>
      </c>
      <c r="F8654" s="2"/>
      <c r="G8654" s="2"/>
      <c r="H8654" s="2"/>
    </row>
    <row r="8655" spans="1:8" x14ac:dyDescent="0.25">
      <c r="A8655" s="1"/>
      <c r="B8655" s="1" t="s">
        <v>4997</v>
      </c>
      <c r="C8655" s="1" t="s">
        <v>4998</v>
      </c>
      <c r="D8655" s="22" t="str">
        <f>HYPERLINK("https://rhld.insurance.arkansas.gov/NPILookup?Npi=1124589015","1124589015")</f>
        <v>1124589015</v>
      </c>
      <c r="E8655" s="1" t="s">
        <v>31570</v>
      </c>
      <c r="F8655" s="2"/>
      <c r="G8655" s="2"/>
      <c r="H8655" s="2"/>
    </row>
    <row r="8656" spans="1:8" x14ac:dyDescent="0.25">
      <c r="A8656" s="1"/>
      <c r="B8656" s="1" t="s">
        <v>4997</v>
      </c>
      <c r="C8656" s="1" t="s">
        <v>4998</v>
      </c>
      <c r="D8656" s="22" t="str">
        <f>HYPERLINK("https://rhld.insurance.arkansas.gov/NPILookup?Npi=1134117559","1134117559")</f>
        <v>1134117559</v>
      </c>
      <c r="E8656" s="1" t="s">
        <v>17229</v>
      </c>
      <c r="F8656" s="2"/>
      <c r="G8656" s="2"/>
      <c r="H8656" s="2"/>
    </row>
    <row r="8657" spans="1:8" x14ac:dyDescent="0.25">
      <c r="A8657" s="1"/>
      <c r="B8657" s="1" t="s">
        <v>4997</v>
      </c>
      <c r="C8657" s="1" t="s">
        <v>4998</v>
      </c>
      <c r="D8657" s="22" t="str">
        <f>HYPERLINK("https://rhld.insurance.arkansas.gov/NPILookup?Npi=1134210594","1134210594")</f>
        <v>1134210594</v>
      </c>
      <c r="E8657" s="1" t="s">
        <v>31571</v>
      </c>
      <c r="F8657" s="2"/>
      <c r="G8657" s="2"/>
      <c r="H8657" s="2"/>
    </row>
    <row r="8658" spans="1:8" x14ac:dyDescent="0.25">
      <c r="A8658" s="1"/>
      <c r="B8658" s="1" t="s">
        <v>4997</v>
      </c>
      <c r="C8658" s="1" t="s">
        <v>4998</v>
      </c>
      <c r="D8658" s="22" t="str">
        <f>HYPERLINK("https://rhld.insurance.arkansas.gov/NPILookup?Npi=1134350069","1134350069")</f>
        <v>1134350069</v>
      </c>
      <c r="E8658" s="1" t="s">
        <v>19120</v>
      </c>
      <c r="F8658" s="2"/>
      <c r="G8658" s="2"/>
      <c r="H8658" s="2"/>
    </row>
    <row r="8659" spans="1:8" x14ac:dyDescent="0.25">
      <c r="A8659" s="1"/>
      <c r="B8659" s="1" t="s">
        <v>4997</v>
      </c>
      <c r="C8659" s="1" t="s">
        <v>4998</v>
      </c>
      <c r="D8659" s="22" t="str">
        <f>HYPERLINK("https://rhld.insurance.arkansas.gov/NPILookup?Npi=1134495880","1134495880")</f>
        <v>1134495880</v>
      </c>
      <c r="E8659" s="1" t="s">
        <v>19121</v>
      </c>
      <c r="F8659" s="2"/>
      <c r="G8659" s="2"/>
      <c r="H8659" s="2"/>
    </row>
    <row r="8660" spans="1:8" x14ac:dyDescent="0.25">
      <c r="A8660" s="1"/>
      <c r="B8660" s="1" t="s">
        <v>4997</v>
      </c>
      <c r="C8660" s="1" t="s">
        <v>4998</v>
      </c>
      <c r="D8660" s="22" t="str">
        <f>HYPERLINK("https://rhld.insurance.arkansas.gov/NPILookup?Npi=1134579006","1134579006")</f>
        <v>1134579006</v>
      </c>
      <c r="E8660" s="1" t="s">
        <v>31572</v>
      </c>
      <c r="F8660" s="2"/>
      <c r="G8660" s="2"/>
      <c r="H8660" s="2"/>
    </row>
    <row r="8661" spans="1:8" x14ac:dyDescent="0.25">
      <c r="A8661" s="1"/>
      <c r="B8661" s="1" t="s">
        <v>4997</v>
      </c>
      <c r="C8661" s="1" t="s">
        <v>4998</v>
      </c>
      <c r="D8661" s="22" t="str">
        <f>HYPERLINK("https://rhld.insurance.arkansas.gov/NPILookup?Npi=1134652134","1134652134")</f>
        <v>1134652134</v>
      </c>
      <c r="E8661" s="1" t="s">
        <v>31573</v>
      </c>
      <c r="F8661" s="2"/>
      <c r="G8661" s="2"/>
      <c r="H8661" s="2"/>
    </row>
    <row r="8662" spans="1:8" x14ac:dyDescent="0.25">
      <c r="A8662" s="1"/>
      <c r="B8662" s="1" t="s">
        <v>4997</v>
      </c>
      <c r="C8662" s="1" t="s">
        <v>4998</v>
      </c>
      <c r="D8662" s="22" t="str">
        <f>HYPERLINK("https://rhld.insurance.arkansas.gov/NPILookup?Npi=1144232893","1144232893")</f>
        <v>1144232893</v>
      </c>
      <c r="E8662" s="1" t="s">
        <v>31574</v>
      </c>
      <c r="F8662" s="2"/>
      <c r="G8662" s="2"/>
      <c r="H8662" s="2"/>
    </row>
    <row r="8663" spans="1:8" x14ac:dyDescent="0.25">
      <c r="A8663" s="1"/>
      <c r="B8663" s="1" t="s">
        <v>4997</v>
      </c>
      <c r="C8663" s="1" t="s">
        <v>4998</v>
      </c>
      <c r="D8663" s="22" t="str">
        <f>HYPERLINK("https://rhld.insurance.arkansas.gov/NPILookup?Npi=1144589284","1144589284")</f>
        <v>1144589284</v>
      </c>
      <c r="E8663" s="1" t="s">
        <v>5017</v>
      </c>
      <c r="F8663" s="2"/>
      <c r="G8663" s="2"/>
      <c r="H8663" s="2"/>
    </row>
    <row r="8664" spans="1:8" x14ac:dyDescent="0.25">
      <c r="A8664" s="1"/>
      <c r="B8664" s="1" t="s">
        <v>4997</v>
      </c>
      <c r="C8664" s="1" t="s">
        <v>4998</v>
      </c>
      <c r="D8664" s="22" t="str">
        <f>HYPERLINK("https://rhld.insurance.arkansas.gov/NPILookup?Npi=1144596412","1144596412")</f>
        <v>1144596412</v>
      </c>
      <c r="E8664" s="1" t="s">
        <v>19122</v>
      </c>
      <c r="F8664" s="2"/>
      <c r="G8664" s="2"/>
      <c r="H8664" s="2"/>
    </row>
    <row r="8665" spans="1:8" x14ac:dyDescent="0.25">
      <c r="A8665" s="1"/>
      <c r="B8665" s="1" t="s">
        <v>4997</v>
      </c>
      <c r="C8665" s="1" t="s">
        <v>4998</v>
      </c>
      <c r="D8665" s="22" t="str">
        <f>HYPERLINK("https://rhld.insurance.arkansas.gov/NPILookup?Npi=1144647264","1144647264")</f>
        <v>1144647264</v>
      </c>
      <c r="E8665" s="1" t="s">
        <v>5018</v>
      </c>
      <c r="F8665" s="2"/>
      <c r="G8665" s="2"/>
      <c r="H8665" s="2"/>
    </row>
    <row r="8666" spans="1:8" x14ac:dyDescent="0.25">
      <c r="A8666" s="1"/>
      <c r="B8666" s="1" t="s">
        <v>4997</v>
      </c>
      <c r="C8666" s="1" t="s">
        <v>4998</v>
      </c>
      <c r="D8666" s="22" t="str">
        <f>HYPERLINK("https://rhld.insurance.arkansas.gov/NPILookup?Npi=1144754979","1144754979")</f>
        <v>1144754979</v>
      </c>
      <c r="E8666" s="1" t="s">
        <v>31575</v>
      </c>
      <c r="F8666" s="2"/>
      <c r="G8666" s="2"/>
      <c r="H8666" s="2"/>
    </row>
    <row r="8667" spans="1:8" x14ac:dyDescent="0.25">
      <c r="A8667" s="1"/>
      <c r="B8667" s="1" t="s">
        <v>4997</v>
      </c>
      <c r="C8667" s="1" t="s">
        <v>4998</v>
      </c>
      <c r="D8667" s="22" t="str">
        <f>HYPERLINK("https://rhld.insurance.arkansas.gov/NPILookup?Npi=1154347011","1154347011")</f>
        <v>1154347011</v>
      </c>
      <c r="E8667" s="1" t="s">
        <v>31576</v>
      </c>
      <c r="F8667" s="2"/>
      <c r="G8667" s="2"/>
      <c r="H8667" s="2"/>
    </row>
    <row r="8668" spans="1:8" x14ac:dyDescent="0.25">
      <c r="A8668" s="1"/>
      <c r="B8668" s="1" t="s">
        <v>4997</v>
      </c>
      <c r="C8668" s="1" t="s">
        <v>4998</v>
      </c>
      <c r="D8668" s="22" t="str">
        <f>HYPERLINK("https://rhld.insurance.arkansas.gov/NPILookup?Npi=1154364289","1154364289")</f>
        <v>1154364289</v>
      </c>
      <c r="E8668" s="1" t="s">
        <v>5019</v>
      </c>
      <c r="F8668" s="2"/>
      <c r="G8668" s="2"/>
      <c r="H8668" s="2"/>
    </row>
    <row r="8669" spans="1:8" x14ac:dyDescent="0.25">
      <c r="A8669" s="1"/>
      <c r="B8669" s="1" t="s">
        <v>4997</v>
      </c>
      <c r="C8669" s="1" t="s">
        <v>4998</v>
      </c>
      <c r="D8669" s="22" t="str">
        <f>HYPERLINK("https://rhld.insurance.arkansas.gov/NPILookup?Npi=1154403426","1154403426")</f>
        <v>1154403426</v>
      </c>
      <c r="E8669" s="1" t="s">
        <v>10854</v>
      </c>
      <c r="F8669" s="2"/>
      <c r="G8669" s="2"/>
      <c r="H8669" s="2"/>
    </row>
    <row r="8670" spans="1:8" x14ac:dyDescent="0.25">
      <c r="A8670" s="1"/>
      <c r="B8670" s="1" t="s">
        <v>4997</v>
      </c>
      <c r="C8670" s="1" t="s">
        <v>4998</v>
      </c>
      <c r="D8670" s="22" t="str">
        <f>HYPERLINK("https://rhld.insurance.arkansas.gov/NPILookup?Npi=1154461531","1154461531")</f>
        <v>1154461531</v>
      </c>
      <c r="E8670" s="1" t="s">
        <v>31577</v>
      </c>
      <c r="F8670" s="2"/>
      <c r="G8670" s="2"/>
      <c r="H8670" s="2"/>
    </row>
    <row r="8671" spans="1:8" x14ac:dyDescent="0.25">
      <c r="A8671" s="1"/>
      <c r="B8671" s="1" t="s">
        <v>4997</v>
      </c>
      <c r="C8671" s="1" t="s">
        <v>4998</v>
      </c>
      <c r="D8671" s="22" t="str">
        <f>HYPERLINK("https://rhld.insurance.arkansas.gov/NPILookup?Npi=1154536886","1154536886")</f>
        <v>1154536886</v>
      </c>
      <c r="E8671" s="1" t="s">
        <v>5020</v>
      </c>
      <c r="F8671" s="2"/>
      <c r="G8671" s="2"/>
      <c r="H8671" s="2"/>
    </row>
    <row r="8672" spans="1:8" x14ac:dyDescent="0.25">
      <c r="A8672" s="1"/>
      <c r="B8672" s="1" t="s">
        <v>4997</v>
      </c>
      <c r="C8672" s="1" t="s">
        <v>4998</v>
      </c>
      <c r="D8672" s="22" t="str">
        <f>HYPERLINK("https://rhld.insurance.arkansas.gov/NPILookup?Npi=1154546166","1154546166")</f>
        <v>1154546166</v>
      </c>
      <c r="E8672" s="1" t="s">
        <v>19123</v>
      </c>
      <c r="F8672" s="2"/>
      <c r="G8672" s="2"/>
      <c r="H8672" s="2"/>
    </row>
    <row r="8673" spans="1:8" x14ac:dyDescent="0.25">
      <c r="A8673" s="1"/>
      <c r="B8673" s="1" t="s">
        <v>4997</v>
      </c>
      <c r="C8673" s="1" t="s">
        <v>4998</v>
      </c>
      <c r="D8673" s="22" t="str">
        <f>HYPERLINK("https://rhld.insurance.arkansas.gov/NPILookup?Npi=1154564409","1154564409")</f>
        <v>1154564409</v>
      </c>
      <c r="E8673" s="1" t="s">
        <v>5021</v>
      </c>
      <c r="F8673" s="2"/>
      <c r="G8673" s="2"/>
      <c r="H8673" s="2"/>
    </row>
    <row r="8674" spans="1:8" x14ac:dyDescent="0.25">
      <c r="A8674" s="1"/>
      <c r="B8674" s="1" t="s">
        <v>4997</v>
      </c>
      <c r="C8674" s="1" t="s">
        <v>4998</v>
      </c>
      <c r="D8674" s="22" t="str">
        <f>HYPERLINK("https://rhld.insurance.arkansas.gov/NPILookup?Npi=1154762458","1154762458")</f>
        <v>1154762458</v>
      </c>
      <c r="E8674" s="1" t="s">
        <v>5023</v>
      </c>
      <c r="F8674" s="2"/>
      <c r="G8674" s="2"/>
      <c r="H8674" s="2"/>
    </row>
    <row r="8675" spans="1:8" x14ac:dyDescent="0.25">
      <c r="A8675" s="1"/>
      <c r="B8675" s="1" t="s">
        <v>4997</v>
      </c>
      <c r="C8675" s="1" t="s">
        <v>4998</v>
      </c>
      <c r="D8675" s="22" t="str">
        <f>HYPERLINK("https://rhld.insurance.arkansas.gov/NPILookup?Npi=1154783397","1154783397")</f>
        <v>1154783397</v>
      </c>
      <c r="E8675" s="1" t="s">
        <v>19124</v>
      </c>
      <c r="F8675" s="2"/>
      <c r="G8675" s="2"/>
      <c r="H8675" s="2"/>
    </row>
    <row r="8676" spans="1:8" x14ac:dyDescent="0.25">
      <c r="A8676" s="1"/>
      <c r="B8676" s="1" t="s">
        <v>4997</v>
      </c>
      <c r="C8676" s="1" t="s">
        <v>4998</v>
      </c>
      <c r="D8676" s="22" t="str">
        <f>HYPERLINK("https://rhld.insurance.arkansas.gov/NPILookup?Npi=1164050605","1164050605")</f>
        <v>1164050605</v>
      </c>
      <c r="E8676" s="1" t="s">
        <v>31578</v>
      </c>
      <c r="F8676" s="2"/>
      <c r="G8676" s="2"/>
      <c r="H8676" s="2"/>
    </row>
    <row r="8677" spans="1:8" x14ac:dyDescent="0.25">
      <c r="A8677" s="1"/>
      <c r="B8677" s="1" t="s">
        <v>4997</v>
      </c>
      <c r="C8677" s="1" t="s">
        <v>4998</v>
      </c>
      <c r="D8677" s="22" t="str">
        <f>HYPERLINK("https://rhld.insurance.arkansas.gov/NPILookup?Npi=1164460101","1164460101")</f>
        <v>1164460101</v>
      </c>
      <c r="E8677" s="1" t="s">
        <v>19125</v>
      </c>
      <c r="F8677" s="2"/>
      <c r="G8677" s="2"/>
      <c r="H8677" s="2"/>
    </row>
    <row r="8678" spans="1:8" x14ac:dyDescent="0.25">
      <c r="A8678" s="1"/>
      <c r="B8678" s="1" t="s">
        <v>4997</v>
      </c>
      <c r="C8678" s="1" t="s">
        <v>4998</v>
      </c>
      <c r="D8678" s="22" t="str">
        <f>HYPERLINK("https://rhld.insurance.arkansas.gov/NPILookup?Npi=1164472072","1164472072")</f>
        <v>1164472072</v>
      </c>
      <c r="E8678" s="1" t="s">
        <v>4713</v>
      </c>
      <c r="F8678" s="2"/>
      <c r="G8678" s="2"/>
      <c r="H8678" s="2"/>
    </row>
    <row r="8679" spans="1:8" x14ac:dyDescent="0.25">
      <c r="A8679" s="1"/>
      <c r="B8679" s="1" t="s">
        <v>4997</v>
      </c>
      <c r="C8679" s="1" t="s">
        <v>4998</v>
      </c>
      <c r="D8679" s="22" t="str">
        <f>HYPERLINK("https://rhld.insurance.arkansas.gov/NPILookup?Npi=1164634978","1164634978")</f>
        <v>1164634978</v>
      </c>
      <c r="E8679" s="1" t="s">
        <v>5024</v>
      </c>
      <c r="F8679" s="2"/>
      <c r="G8679" s="2"/>
      <c r="H8679" s="2"/>
    </row>
    <row r="8680" spans="1:8" x14ac:dyDescent="0.25">
      <c r="A8680" s="1"/>
      <c r="B8680" s="1" t="s">
        <v>4997</v>
      </c>
      <c r="C8680" s="1" t="s">
        <v>4998</v>
      </c>
      <c r="D8680" s="22" t="str">
        <f>HYPERLINK("https://rhld.insurance.arkansas.gov/NPILookup?Npi=1164659546","1164659546")</f>
        <v>1164659546</v>
      </c>
      <c r="E8680" s="1" t="s">
        <v>31579</v>
      </c>
      <c r="F8680" s="2"/>
      <c r="G8680" s="2"/>
      <c r="H8680" s="2"/>
    </row>
    <row r="8681" spans="1:8" x14ac:dyDescent="0.25">
      <c r="A8681" s="1"/>
      <c r="B8681" s="1" t="s">
        <v>4997</v>
      </c>
      <c r="C8681" s="1" t="s">
        <v>4998</v>
      </c>
      <c r="D8681" s="22" t="str">
        <f>HYPERLINK("https://rhld.insurance.arkansas.gov/NPILookup?Npi=1164786448","1164786448")</f>
        <v>1164786448</v>
      </c>
      <c r="E8681" s="1" t="s">
        <v>19127</v>
      </c>
      <c r="F8681" s="2"/>
      <c r="G8681" s="2"/>
      <c r="H8681" s="2"/>
    </row>
    <row r="8682" spans="1:8" x14ac:dyDescent="0.25">
      <c r="A8682" s="1"/>
      <c r="B8682" s="1" t="s">
        <v>4997</v>
      </c>
      <c r="C8682" s="1" t="s">
        <v>4998</v>
      </c>
      <c r="D8682" s="22" t="str">
        <f>HYPERLINK("https://rhld.insurance.arkansas.gov/NPILookup?Npi=1164819447","1164819447")</f>
        <v>1164819447</v>
      </c>
      <c r="E8682" s="1" t="s">
        <v>19128</v>
      </c>
      <c r="F8682" s="2"/>
      <c r="G8682" s="2"/>
      <c r="H8682" s="2"/>
    </row>
    <row r="8683" spans="1:8" x14ac:dyDescent="0.25">
      <c r="A8683" s="1"/>
      <c r="B8683" s="1" t="s">
        <v>4997</v>
      </c>
      <c r="C8683" s="1" t="s">
        <v>4998</v>
      </c>
      <c r="D8683" s="22" t="str">
        <f>HYPERLINK("https://rhld.insurance.arkansas.gov/NPILookup?Npi=1164841326","1164841326")</f>
        <v>1164841326</v>
      </c>
      <c r="E8683" s="1" t="s">
        <v>19129</v>
      </c>
      <c r="F8683" s="2"/>
      <c r="G8683" s="2"/>
      <c r="H8683" s="2"/>
    </row>
    <row r="8684" spans="1:8" x14ac:dyDescent="0.25">
      <c r="A8684" s="1"/>
      <c r="B8684" s="1" t="s">
        <v>4997</v>
      </c>
      <c r="C8684" s="1" t="s">
        <v>4998</v>
      </c>
      <c r="D8684" s="22" t="str">
        <f>HYPERLINK("https://rhld.insurance.arkansas.gov/NPILookup?Npi=1164957452","1164957452")</f>
        <v>1164957452</v>
      </c>
      <c r="E8684" s="1" t="s">
        <v>31580</v>
      </c>
      <c r="F8684" s="2"/>
      <c r="G8684" s="2"/>
      <c r="H8684" s="2"/>
    </row>
    <row r="8685" spans="1:8" x14ac:dyDescent="0.25">
      <c r="A8685" s="1"/>
      <c r="B8685" s="1" t="s">
        <v>4997</v>
      </c>
      <c r="C8685" s="1" t="s">
        <v>4998</v>
      </c>
      <c r="D8685" s="22" t="str">
        <f>HYPERLINK("https://rhld.insurance.arkansas.gov/NPILookup?Npi=1174520258","1174520258")</f>
        <v>1174520258</v>
      </c>
      <c r="E8685" s="1" t="s">
        <v>5025</v>
      </c>
      <c r="F8685" s="2"/>
      <c r="G8685" s="2"/>
      <c r="H8685" s="2"/>
    </row>
    <row r="8686" spans="1:8" x14ac:dyDescent="0.25">
      <c r="A8686" s="1"/>
      <c r="B8686" s="1" t="s">
        <v>4997</v>
      </c>
      <c r="C8686" s="1" t="s">
        <v>4998</v>
      </c>
      <c r="D8686" s="22" t="str">
        <f>HYPERLINK("https://rhld.insurance.arkansas.gov/NPILookup?Npi=1174550040","1174550040")</f>
        <v>1174550040</v>
      </c>
      <c r="E8686" s="1" t="s">
        <v>19130</v>
      </c>
      <c r="F8686" s="2"/>
      <c r="G8686" s="2"/>
      <c r="H8686" s="2"/>
    </row>
    <row r="8687" spans="1:8" x14ac:dyDescent="0.25">
      <c r="A8687" s="1"/>
      <c r="B8687" s="1" t="s">
        <v>4997</v>
      </c>
      <c r="C8687" s="1" t="s">
        <v>4998</v>
      </c>
      <c r="D8687" s="22" t="str">
        <f>HYPERLINK("https://rhld.insurance.arkansas.gov/NPILookup?Npi=1174672356","1174672356")</f>
        <v>1174672356</v>
      </c>
      <c r="E8687" s="1" t="s">
        <v>15905</v>
      </c>
      <c r="F8687" s="2"/>
      <c r="G8687" s="2"/>
      <c r="H8687" s="2"/>
    </row>
    <row r="8688" spans="1:8" x14ac:dyDescent="0.25">
      <c r="A8688" s="1"/>
      <c r="B8688" s="1" t="s">
        <v>4997</v>
      </c>
      <c r="C8688" s="1" t="s">
        <v>4998</v>
      </c>
      <c r="D8688" s="22" t="str">
        <f>HYPERLINK("https://rhld.insurance.arkansas.gov/NPILookup?Npi=1174750376","1174750376")</f>
        <v>1174750376</v>
      </c>
      <c r="E8688" s="1" t="s">
        <v>31581</v>
      </c>
      <c r="F8688" s="2"/>
      <c r="G8688" s="2"/>
      <c r="H8688" s="2"/>
    </row>
    <row r="8689" spans="1:8" x14ac:dyDescent="0.25">
      <c r="A8689" s="1"/>
      <c r="B8689" s="1" t="s">
        <v>4997</v>
      </c>
      <c r="C8689" s="1" t="s">
        <v>4998</v>
      </c>
      <c r="D8689" s="22" t="str">
        <f>HYPERLINK("https://rhld.insurance.arkansas.gov/NPILookup?Npi=1174785513","1174785513")</f>
        <v>1174785513</v>
      </c>
      <c r="E8689" s="1" t="s">
        <v>31582</v>
      </c>
      <c r="F8689" s="2"/>
      <c r="G8689" s="2"/>
      <c r="H8689" s="2"/>
    </row>
    <row r="8690" spans="1:8" x14ac:dyDescent="0.25">
      <c r="A8690" s="1"/>
      <c r="B8690" s="1" t="s">
        <v>4997</v>
      </c>
      <c r="C8690" s="1" t="s">
        <v>4998</v>
      </c>
      <c r="D8690" s="22" t="str">
        <f>HYPERLINK("https://rhld.insurance.arkansas.gov/NPILookup?Npi=1184610792","1184610792")</f>
        <v>1184610792</v>
      </c>
      <c r="E8690" s="1" t="s">
        <v>2673</v>
      </c>
      <c r="F8690" s="2"/>
      <c r="G8690" s="2"/>
      <c r="H8690" s="2"/>
    </row>
    <row r="8691" spans="1:8" x14ac:dyDescent="0.25">
      <c r="A8691" s="1"/>
      <c r="B8691" s="1" t="s">
        <v>4997</v>
      </c>
      <c r="C8691" s="1" t="s">
        <v>4998</v>
      </c>
      <c r="D8691" s="22" t="str">
        <f>HYPERLINK("https://rhld.insurance.arkansas.gov/NPILookup?Npi=1184696122","1184696122")</f>
        <v>1184696122</v>
      </c>
      <c r="E8691" s="1" t="s">
        <v>5026</v>
      </c>
      <c r="F8691" s="2"/>
      <c r="G8691" s="2"/>
      <c r="H8691" s="2"/>
    </row>
    <row r="8692" spans="1:8" x14ac:dyDescent="0.25">
      <c r="A8692" s="1"/>
      <c r="B8692" s="1" t="s">
        <v>4997</v>
      </c>
      <c r="C8692" s="1" t="s">
        <v>4998</v>
      </c>
      <c r="D8692" s="22" t="str">
        <f>HYPERLINK("https://rhld.insurance.arkansas.gov/NPILookup?Npi=1184870958","1184870958")</f>
        <v>1184870958</v>
      </c>
      <c r="E8692" s="1" t="s">
        <v>10855</v>
      </c>
      <c r="F8692" s="2"/>
      <c r="G8692" s="2"/>
      <c r="H8692" s="2"/>
    </row>
    <row r="8693" spans="1:8" x14ac:dyDescent="0.25">
      <c r="A8693" s="1"/>
      <c r="B8693" s="1" t="s">
        <v>4997</v>
      </c>
      <c r="C8693" s="1" t="s">
        <v>4998</v>
      </c>
      <c r="D8693" s="22" t="str">
        <f>HYPERLINK("https://rhld.insurance.arkansas.gov/NPILookup?Npi=1194161091","1194161091")</f>
        <v>1194161091</v>
      </c>
      <c r="E8693" s="1" t="s">
        <v>19131</v>
      </c>
      <c r="F8693" s="2"/>
      <c r="G8693" s="2"/>
      <c r="H8693" s="2"/>
    </row>
    <row r="8694" spans="1:8" x14ac:dyDescent="0.25">
      <c r="A8694" s="1"/>
      <c r="B8694" s="1" t="s">
        <v>4997</v>
      </c>
      <c r="C8694" s="1" t="s">
        <v>4998</v>
      </c>
      <c r="D8694" s="22" t="str">
        <f>HYPERLINK("https://rhld.insurance.arkansas.gov/NPILookup?Npi=1194725754","1194725754")</f>
        <v>1194725754</v>
      </c>
      <c r="E8694" s="1" t="s">
        <v>5027</v>
      </c>
      <c r="F8694" s="2"/>
      <c r="G8694" s="2"/>
      <c r="H8694" s="2"/>
    </row>
    <row r="8695" spans="1:8" x14ac:dyDescent="0.25">
      <c r="A8695" s="1"/>
      <c r="B8695" s="1" t="s">
        <v>4997</v>
      </c>
      <c r="C8695" s="1" t="s">
        <v>4998</v>
      </c>
      <c r="D8695" s="22" t="str">
        <f>HYPERLINK("https://rhld.insurance.arkansas.gov/NPILookup?Npi=1194761791","1194761791")</f>
        <v>1194761791</v>
      </c>
      <c r="E8695" s="1" t="s">
        <v>5028</v>
      </c>
      <c r="F8695" s="2"/>
      <c r="G8695" s="2"/>
      <c r="H8695" s="2"/>
    </row>
    <row r="8696" spans="1:8" x14ac:dyDescent="0.25">
      <c r="A8696" s="1"/>
      <c r="B8696" s="1" t="s">
        <v>4997</v>
      </c>
      <c r="C8696" s="1" t="s">
        <v>4998</v>
      </c>
      <c r="D8696" s="22" t="str">
        <f>HYPERLINK("https://rhld.insurance.arkansas.gov/NPILookup?Npi=1194916882","1194916882")</f>
        <v>1194916882</v>
      </c>
      <c r="E8696" s="1" t="s">
        <v>19132</v>
      </c>
      <c r="F8696" s="2"/>
      <c r="G8696" s="2"/>
      <c r="H8696" s="2"/>
    </row>
    <row r="8697" spans="1:8" x14ac:dyDescent="0.25">
      <c r="A8697" s="1"/>
      <c r="B8697" s="1" t="s">
        <v>4997</v>
      </c>
      <c r="C8697" s="1" t="s">
        <v>4998</v>
      </c>
      <c r="D8697" s="22" t="str">
        <f>HYPERLINK("https://rhld.insurance.arkansas.gov/NPILookup?Npi=1194980748","1194980748")</f>
        <v>1194980748</v>
      </c>
      <c r="E8697" s="1" t="s">
        <v>5029</v>
      </c>
      <c r="F8697" s="2"/>
      <c r="G8697" s="2"/>
      <c r="H8697" s="2"/>
    </row>
    <row r="8698" spans="1:8" x14ac:dyDescent="0.25">
      <c r="A8698" s="1"/>
      <c r="B8698" s="1" t="s">
        <v>4997</v>
      </c>
      <c r="C8698" s="1" t="s">
        <v>4998</v>
      </c>
      <c r="D8698" s="22" t="str">
        <f>HYPERLINK("https://rhld.insurance.arkansas.gov/NPILookup?Npi=1205000239","1205000239")</f>
        <v>1205000239</v>
      </c>
      <c r="E8698" s="1" t="s">
        <v>19133</v>
      </c>
      <c r="F8698" s="2"/>
      <c r="G8698" s="2"/>
      <c r="H8698" s="2"/>
    </row>
    <row r="8699" spans="1:8" x14ac:dyDescent="0.25">
      <c r="A8699" s="1"/>
      <c r="B8699" s="1" t="s">
        <v>4997</v>
      </c>
      <c r="C8699" s="1" t="s">
        <v>4998</v>
      </c>
      <c r="D8699" s="22" t="str">
        <f>HYPERLINK("https://rhld.insurance.arkansas.gov/NPILookup?Npi=1205062361","1205062361")</f>
        <v>1205062361</v>
      </c>
      <c r="E8699" s="1" t="s">
        <v>31583</v>
      </c>
      <c r="F8699" s="2"/>
      <c r="G8699" s="2"/>
      <c r="H8699" s="2"/>
    </row>
    <row r="8700" spans="1:8" x14ac:dyDescent="0.25">
      <c r="A8700" s="1"/>
      <c r="B8700" s="1" t="s">
        <v>4997</v>
      </c>
      <c r="C8700" s="1" t="s">
        <v>4998</v>
      </c>
      <c r="D8700" s="22" t="str">
        <f>HYPERLINK("https://rhld.insurance.arkansas.gov/NPILookup?Npi=1205192838","1205192838")</f>
        <v>1205192838</v>
      </c>
      <c r="E8700" s="1" t="s">
        <v>31584</v>
      </c>
      <c r="F8700" s="2"/>
      <c r="G8700" s="2"/>
      <c r="H8700" s="2"/>
    </row>
    <row r="8701" spans="1:8" x14ac:dyDescent="0.25">
      <c r="A8701" s="1"/>
      <c r="B8701" s="1" t="s">
        <v>4997</v>
      </c>
      <c r="C8701" s="1" t="s">
        <v>4998</v>
      </c>
      <c r="D8701" s="22" t="str">
        <f>HYPERLINK("https://rhld.insurance.arkansas.gov/NPILookup?Npi=1205219995","1205219995")</f>
        <v>1205219995</v>
      </c>
      <c r="E8701" s="1" t="s">
        <v>5030</v>
      </c>
      <c r="F8701" s="2"/>
      <c r="G8701" s="2"/>
      <c r="H8701" s="2"/>
    </row>
    <row r="8702" spans="1:8" x14ac:dyDescent="0.25">
      <c r="A8702" s="1"/>
      <c r="B8702" s="1" t="s">
        <v>4997</v>
      </c>
      <c r="C8702" s="1" t="s">
        <v>4998</v>
      </c>
      <c r="D8702" s="22" t="str">
        <f>HYPERLINK("https://rhld.insurance.arkansas.gov/NPILookup?Npi=1205845468","1205845468")</f>
        <v>1205845468</v>
      </c>
      <c r="E8702" s="1" t="s">
        <v>19134</v>
      </c>
      <c r="F8702" s="2"/>
      <c r="G8702" s="2"/>
      <c r="H8702" s="2"/>
    </row>
    <row r="8703" spans="1:8" x14ac:dyDescent="0.25">
      <c r="A8703" s="1"/>
      <c r="B8703" s="1" t="s">
        <v>4997</v>
      </c>
      <c r="C8703" s="1" t="s">
        <v>4998</v>
      </c>
      <c r="D8703" s="22" t="str">
        <f>HYPERLINK("https://rhld.insurance.arkansas.gov/NPILookup?Npi=1205916608","1205916608")</f>
        <v>1205916608</v>
      </c>
      <c r="E8703" s="1" t="s">
        <v>19135</v>
      </c>
      <c r="F8703" s="2"/>
      <c r="G8703" s="2"/>
      <c r="H8703" s="2"/>
    </row>
    <row r="8704" spans="1:8" x14ac:dyDescent="0.25">
      <c r="A8704" s="1"/>
      <c r="B8704" s="1" t="s">
        <v>4997</v>
      </c>
      <c r="C8704" s="1" t="s">
        <v>4998</v>
      </c>
      <c r="D8704" s="22" t="str">
        <f>HYPERLINK("https://rhld.insurance.arkansas.gov/NPILookup?Npi=1215040381","1215040381")</f>
        <v>1215040381</v>
      </c>
      <c r="E8704" s="1" t="s">
        <v>5031</v>
      </c>
      <c r="F8704" s="2"/>
      <c r="G8704" s="2"/>
      <c r="H8704" s="2"/>
    </row>
    <row r="8705" spans="1:8" x14ac:dyDescent="0.25">
      <c r="A8705" s="1"/>
      <c r="B8705" s="1" t="s">
        <v>4997</v>
      </c>
      <c r="C8705" s="1" t="s">
        <v>4998</v>
      </c>
      <c r="D8705" s="22" t="str">
        <f>HYPERLINK("https://rhld.insurance.arkansas.gov/NPILookup?Npi=1215179767","1215179767")</f>
        <v>1215179767</v>
      </c>
      <c r="E8705" s="1" t="s">
        <v>19137</v>
      </c>
      <c r="F8705" s="2"/>
      <c r="G8705" s="2"/>
      <c r="H8705" s="2"/>
    </row>
    <row r="8706" spans="1:8" x14ac:dyDescent="0.25">
      <c r="A8706" s="1"/>
      <c r="B8706" s="1" t="s">
        <v>4997</v>
      </c>
      <c r="C8706" s="1" t="s">
        <v>4998</v>
      </c>
      <c r="D8706" s="22" t="str">
        <f>HYPERLINK("https://rhld.insurance.arkansas.gov/NPILookup?Npi=1215378948","1215378948")</f>
        <v>1215378948</v>
      </c>
      <c r="E8706" s="1" t="s">
        <v>19138</v>
      </c>
      <c r="F8706" s="2"/>
      <c r="G8706" s="2"/>
      <c r="H8706" s="2"/>
    </row>
    <row r="8707" spans="1:8" x14ac:dyDescent="0.25">
      <c r="A8707" s="1"/>
      <c r="B8707" s="1" t="s">
        <v>4997</v>
      </c>
      <c r="C8707" s="1" t="s">
        <v>4998</v>
      </c>
      <c r="D8707" s="22" t="str">
        <f>HYPERLINK("https://rhld.insurance.arkansas.gov/NPILookup?Npi=1225120017","1225120017")</f>
        <v>1225120017</v>
      </c>
      <c r="E8707" s="1" t="s">
        <v>19139</v>
      </c>
      <c r="F8707" s="2"/>
      <c r="G8707" s="2"/>
      <c r="H8707" s="2"/>
    </row>
    <row r="8708" spans="1:8" x14ac:dyDescent="0.25">
      <c r="A8708" s="1"/>
      <c r="B8708" s="1" t="s">
        <v>4997</v>
      </c>
      <c r="C8708" s="1" t="s">
        <v>4998</v>
      </c>
      <c r="D8708" s="22" t="str">
        <f>HYPERLINK("https://rhld.insurance.arkansas.gov/NPILookup?Npi=1225272941","1225272941")</f>
        <v>1225272941</v>
      </c>
      <c r="E8708" s="1" t="s">
        <v>31585</v>
      </c>
      <c r="F8708" s="2"/>
      <c r="G8708" s="2"/>
      <c r="H8708" s="2"/>
    </row>
    <row r="8709" spans="1:8" x14ac:dyDescent="0.25">
      <c r="A8709" s="1"/>
      <c r="B8709" s="1" t="s">
        <v>4997</v>
      </c>
      <c r="C8709" s="1" t="s">
        <v>4998</v>
      </c>
      <c r="D8709" s="22" t="str">
        <f>HYPERLINK("https://rhld.insurance.arkansas.gov/NPILookup?Npi=1235109059","1235109059")</f>
        <v>1235109059</v>
      </c>
      <c r="E8709" s="1" t="s">
        <v>19141</v>
      </c>
      <c r="F8709" s="2"/>
      <c r="G8709" s="2"/>
      <c r="H8709" s="2"/>
    </row>
    <row r="8710" spans="1:8" x14ac:dyDescent="0.25">
      <c r="A8710" s="1"/>
      <c r="B8710" s="1" t="s">
        <v>4997</v>
      </c>
      <c r="C8710" s="1" t="s">
        <v>4998</v>
      </c>
      <c r="D8710" s="22" t="str">
        <f>HYPERLINK("https://rhld.insurance.arkansas.gov/NPILookup?Npi=1235115361","1235115361")</f>
        <v>1235115361</v>
      </c>
      <c r="E8710" s="1" t="s">
        <v>5032</v>
      </c>
      <c r="F8710" s="2"/>
      <c r="G8710" s="2"/>
      <c r="H8710" s="2"/>
    </row>
    <row r="8711" spans="1:8" x14ac:dyDescent="0.25">
      <c r="A8711" s="1"/>
      <c r="B8711" s="1" t="s">
        <v>4997</v>
      </c>
      <c r="C8711" s="1" t="s">
        <v>4998</v>
      </c>
      <c r="D8711" s="22" t="str">
        <f>HYPERLINK("https://rhld.insurance.arkansas.gov/NPILookup?Npi=1235187386","1235187386")</f>
        <v>1235187386</v>
      </c>
      <c r="E8711" s="1" t="s">
        <v>19142</v>
      </c>
      <c r="F8711" s="2"/>
      <c r="G8711" s="2"/>
      <c r="H8711" s="2"/>
    </row>
    <row r="8712" spans="1:8" x14ac:dyDescent="0.25">
      <c r="A8712" s="1"/>
      <c r="B8712" s="1" t="s">
        <v>4997</v>
      </c>
      <c r="C8712" s="1" t="s">
        <v>4998</v>
      </c>
      <c r="D8712" s="22" t="str">
        <f>HYPERLINK("https://rhld.insurance.arkansas.gov/NPILookup?Npi=1235189754","1235189754")</f>
        <v>1235189754</v>
      </c>
      <c r="E8712" s="1" t="s">
        <v>10857</v>
      </c>
      <c r="F8712" s="2"/>
      <c r="G8712" s="2"/>
      <c r="H8712" s="2"/>
    </row>
    <row r="8713" spans="1:8" x14ac:dyDescent="0.25">
      <c r="A8713" s="1"/>
      <c r="B8713" s="1" t="s">
        <v>4997</v>
      </c>
      <c r="C8713" s="1" t="s">
        <v>4998</v>
      </c>
      <c r="D8713" s="22" t="str">
        <f>HYPERLINK("https://rhld.insurance.arkansas.gov/NPILookup?Npi=1235248246","1235248246")</f>
        <v>1235248246</v>
      </c>
      <c r="E8713" s="1" t="s">
        <v>5033</v>
      </c>
      <c r="F8713" s="2"/>
      <c r="G8713" s="2"/>
      <c r="H8713" s="2"/>
    </row>
    <row r="8714" spans="1:8" x14ac:dyDescent="0.25">
      <c r="A8714" s="1"/>
      <c r="B8714" s="1" t="s">
        <v>4997</v>
      </c>
      <c r="C8714" s="1" t="s">
        <v>4998</v>
      </c>
      <c r="D8714" s="22" t="str">
        <f>HYPERLINK("https://rhld.insurance.arkansas.gov/NPILookup?Npi=1245230341","1245230341")</f>
        <v>1245230341</v>
      </c>
      <c r="E8714" s="1" t="s">
        <v>19143</v>
      </c>
      <c r="F8714" s="2"/>
      <c r="G8714" s="2"/>
      <c r="H8714" s="2"/>
    </row>
    <row r="8715" spans="1:8" x14ac:dyDescent="0.25">
      <c r="A8715" s="1"/>
      <c r="B8715" s="1" t="s">
        <v>4997</v>
      </c>
      <c r="C8715" s="1" t="s">
        <v>4998</v>
      </c>
      <c r="D8715" s="22" t="str">
        <f>HYPERLINK("https://rhld.insurance.arkansas.gov/NPILookup?Npi=1245464676","1245464676")</f>
        <v>1245464676</v>
      </c>
      <c r="E8715" s="1" t="s">
        <v>10858</v>
      </c>
      <c r="F8715" s="2"/>
      <c r="G8715" s="2"/>
      <c r="H8715" s="2"/>
    </row>
    <row r="8716" spans="1:8" x14ac:dyDescent="0.25">
      <c r="A8716" s="1"/>
      <c r="B8716" s="1" t="s">
        <v>4997</v>
      </c>
      <c r="C8716" s="1" t="s">
        <v>4998</v>
      </c>
      <c r="D8716" s="22" t="str">
        <f>HYPERLINK("https://rhld.insurance.arkansas.gov/NPILookup?Npi=1245493402","1245493402")</f>
        <v>1245493402</v>
      </c>
      <c r="E8716" s="1" t="s">
        <v>31586</v>
      </c>
      <c r="F8716" s="2"/>
      <c r="G8716" s="2"/>
      <c r="H8716" s="2"/>
    </row>
    <row r="8717" spans="1:8" x14ac:dyDescent="0.25">
      <c r="A8717" s="1"/>
      <c r="B8717" s="1" t="s">
        <v>4997</v>
      </c>
      <c r="C8717" s="1" t="s">
        <v>4998</v>
      </c>
      <c r="D8717" s="22" t="str">
        <f>HYPERLINK("https://rhld.insurance.arkansas.gov/NPILookup?Npi=1245585678","1245585678")</f>
        <v>1245585678</v>
      </c>
      <c r="E8717" s="1" t="s">
        <v>19144</v>
      </c>
      <c r="F8717" s="2"/>
      <c r="G8717" s="2"/>
      <c r="H8717" s="2"/>
    </row>
    <row r="8718" spans="1:8" x14ac:dyDescent="0.25">
      <c r="A8718" s="1"/>
      <c r="B8718" s="1" t="s">
        <v>4997</v>
      </c>
      <c r="C8718" s="1" t="s">
        <v>4998</v>
      </c>
      <c r="D8718" s="22" t="str">
        <f>HYPERLINK("https://rhld.insurance.arkansas.gov/NPILookup?Npi=1245658756","1245658756")</f>
        <v>1245658756</v>
      </c>
      <c r="E8718" s="1" t="s">
        <v>10859</v>
      </c>
      <c r="F8718" s="2"/>
      <c r="G8718" s="2"/>
      <c r="H8718" s="2"/>
    </row>
    <row r="8719" spans="1:8" x14ac:dyDescent="0.25">
      <c r="A8719" s="1"/>
      <c r="B8719" s="1" t="s">
        <v>4997</v>
      </c>
      <c r="C8719" s="1" t="s">
        <v>4998</v>
      </c>
      <c r="D8719" s="22" t="str">
        <f>HYPERLINK("https://rhld.insurance.arkansas.gov/NPILookup?Npi=1245761196","1245761196")</f>
        <v>1245761196</v>
      </c>
      <c r="E8719" s="1" t="s">
        <v>19145</v>
      </c>
      <c r="F8719" s="2"/>
      <c r="G8719" s="2"/>
      <c r="H8719" s="2"/>
    </row>
    <row r="8720" spans="1:8" x14ac:dyDescent="0.25">
      <c r="A8720" s="1"/>
      <c r="B8720" s="1" t="s">
        <v>4997</v>
      </c>
      <c r="C8720" s="1" t="s">
        <v>4998</v>
      </c>
      <c r="D8720" s="22" t="str">
        <f>HYPERLINK("https://rhld.insurance.arkansas.gov/NPILookup?Npi=1255659009","1255659009")</f>
        <v>1255659009</v>
      </c>
      <c r="E8720" s="1" t="s">
        <v>19146</v>
      </c>
      <c r="F8720" s="2"/>
      <c r="G8720" s="2"/>
      <c r="H8720" s="2"/>
    </row>
    <row r="8721" spans="1:8" x14ac:dyDescent="0.25">
      <c r="A8721" s="1"/>
      <c r="B8721" s="1" t="s">
        <v>4997</v>
      </c>
      <c r="C8721" s="1" t="s">
        <v>4998</v>
      </c>
      <c r="D8721" s="22" t="str">
        <f>HYPERLINK("https://rhld.insurance.arkansas.gov/NPILookup?Npi=1255702809","1255702809")</f>
        <v>1255702809</v>
      </c>
      <c r="E8721" s="1" t="s">
        <v>5034</v>
      </c>
      <c r="F8721" s="2"/>
      <c r="G8721" s="2"/>
      <c r="H8721" s="2"/>
    </row>
    <row r="8722" spans="1:8" x14ac:dyDescent="0.25">
      <c r="A8722" s="1"/>
      <c r="B8722" s="1" t="s">
        <v>4997</v>
      </c>
      <c r="C8722" s="1" t="s">
        <v>4998</v>
      </c>
      <c r="D8722" s="22" t="str">
        <f>HYPERLINK("https://rhld.insurance.arkansas.gov/NPILookup?Npi=1265436042","1265436042")</f>
        <v>1265436042</v>
      </c>
      <c r="E8722" s="1" t="s">
        <v>19147</v>
      </c>
      <c r="F8722" s="2"/>
      <c r="G8722" s="2"/>
      <c r="H8722" s="2"/>
    </row>
    <row r="8723" spans="1:8" x14ac:dyDescent="0.25">
      <c r="A8723" s="1"/>
      <c r="B8723" s="1" t="s">
        <v>4997</v>
      </c>
      <c r="C8723" s="1" t="s">
        <v>4998</v>
      </c>
      <c r="D8723" s="22" t="str">
        <f>HYPERLINK("https://rhld.insurance.arkansas.gov/NPILookup?Npi=1265470082","1265470082")</f>
        <v>1265470082</v>
      </c>
      <c r="E8723" s="1" t="s">
        <v>2169</v>
      </c>
      <c r="F8723" s="2"/>
      <c r="G8723" s="2"/>
      <c r="H8723" s="2"/>
    </row>
    <row r="8724" spans="1:8" x14ac:dyDescent="0.25">
      <c r="A8724" s="1"/>
      <c r="B8724" s="1" t="s">
        <v>4997</v>
      </c>
      <c r="C8724" s="1" t="s">
        <v>4998</v>
      </c>
      <c r="D8724" s="22" t="str">
        <f>HYPERLINK("https://rhld.insurance.arkansas.gov/NPILookup?Npi=1265475727","1265475727")</f>
        <v>1265475727</v>
      </c>
      <c r="E8724" s="1" t="s">
        <v>10860</v>
      </c>
      <c r="F8724" s="2"/>
      <c r="G8724" s="2"/>
      <c r="H8724" s="2"/>
    </row>
    <row r="8725" spans="1:8" x14ac:dyDescent="0.25">
      <c r="A8725" s="1"/>
      <c r="B8725" s="1" t="s">
        <v>4997</v>
      </c>
      <c r="C8725" s="1" t="s">
        <v>4998</v>
      </c>
      <c r="D8725" s="22" t="str">
        <f>HYPERLINK("https://rhld.insurance.arkansas.gov/NPILookup?Npi=1265511554","1265511554")</f>
        <v>1265511554</v>
      </c>
      <c r="E8725" s="1" t="s">
        <v>19148</v>
      </c>
      <c r="F8725" s="2"/>
      <c r="G8725" s="2"/>
      <c r="H8725" s="2"/>
    </row>
    <row r="8726" spans="1:8" x14ac:dyDescent="0.25">
      <c r="A8726" s="1"/>
      <c r="B8726" s="1" t="s">
        <v>4997</v>
      </c>
      <c r="C8726" s="1" t="s">
        <v>4998</v>
      </c>
      <c r="D8726" s="22" t="str">
        <f>HYPERLINK("https://rhld.insurance.arkansas.gov/NPILookup?Npi=1265690580","1265690580")</f>
        <v>1265690580</v>
      </c>
      <c r="E8726" s="1" t="s">
        <v>17360</v>
      </c>
      <c r="F8726" s="2"/>
      <c r="G8726" s="2"/>
      <c r="H8726" s="2"/>
    </row>
    <row r="8727" spans="1:8" x14ac:dyDescent="0.25">
      <c r="A8727" s="1"/>
      <c r="B8727" s="1" t="s">
        <v>4997</v>
      </c>
      <c r="C8727" s="1" t="s">
        <v>4998</v>
      </c>
      <c r="D8727" s="22" t="str">
        <f>HYPERLINK("https://rhld.insurance.arkansas.gov/NPILookup?Npi=1265759716","1265759716")</f>
        <v>1265759716</v>
      </c>
      <c r="E8727" s="1" t="s">
        <v>19149</v>
      </c>
      <c r="F8727" s="2"/>
      <c r="G8727" s="2"/>
      <c r="H8727" s="2"/>
    </row>
    <row r="8728" spans="1:8" x14ac:dyDescent="0.25">
      <c r="A8728" s="1"/>
      <c r="B8728" s="1" t="s">
        <v>4997</v>
      </c>
      <c r="C8728" s="1" t="s">
        <v>4998</v>
      </c>
      <c r="D8728" s="22" t="str">
        <f>HYPERLINK("https://rhld.insurance.arkansas.gov/NPILookup?Npi=1275512642","1275512642")</f>
        <v>1275512642</v>
      </c>
      <c r="E8728" s="1" t="s">
        <v>19150</v>
      </c>
      <c r="F8728" s="2"/>
      <c r="G8728" s="2"/>
      <c r="H8728" s="2"/>
    </row>
    <row r="8729" spans="1:8" x14ac:dyDescent="0.25">
      <c r="A8729" s="1"/>
      <c r="B8729" s="1" t="s">
        <v>4997</v>
      </c>
      <c r="C8729" s="1" t="s">
        <v>4998</v>
      </c>
      <c r="D8729" s="22" t="str">
        <f>HYPERLINK("https://rhld.insurance.arkansas.gov/NPILookup?Npi=1275583551","1275583551")</f>
        <v>1275583551</v>
      </c>
      <c r="E8729" s="1" t="s">
        <v>19151</v>
      </c>
      <c r="F8729" s="2"/>
      <c r="G8729" s="2"/>
      <c r="H8729" s="2"/>
    </row>
    <row r="8730" spans="1:8" x14ac:dyDescent="0.25">
      <c r="A8730" s="1"/>
      <c r="B8730" s="1" t="s">
        <v>4997</v>
      </c>
      <c r="C8730" s="1" t="s">
        <v>4998</v>
      </c>
      <c r="D8730" s="22" t="str">
        <f>HYPERLINK("https://rhld.insurance.arkansas.gov/NPILookup?Npi=1275889198","1275889198")</f>
        <v>1275889198</v>
      </c>
      <c r="E8730" s="1" t="s">
        <v>19153</v>
      </c>
      <c r="F8730" s="2"/>
      <c r="G8730" s="2"/>
      <c r="H8730" s="2"/>
    </row>
    <row r="8731" spans="1:8" x14ac:dyDescent="0.25">
      <c r="A8731" s="1"/>
      <c r="B8731" s="1" t="s">
        <v>4997</v>
      </c>
      <c r="C8731" s="1" t="s">
        <v>4998</v>
      </c>
      <c r="D8731" s="22" t="str">
        <f>HYPERLINK("https://rhld.insurance.arkansas.gov/NPILookup?Npi=1285257824","1285257824")</f>
        <v>1285257824</v>
      </c>
      <c r="E8731" s="1" t="s">
        <v>5035</v>
      </c>
      <c r="F8731" s="2"/>
      <c r="G8731" s="2"/>
      <c r="H8731" s="2"/>
    </row>
    <row r="8732" spans="1:8" x14ac:dyDescent="0.25">
      <c r="A8732" s="1"/>
      <c r="B8732" s="1" t="s">
        <v>4997</v>
      </c>
      <c r="C8732" s="1" t="s">
        <v>4998</v>
      </c>
      <c r="D8732" s="22" t="str">
        <f>HYPERLINK("https://rhld.insurance.arkansas.gov/NPILookup?Npi=1285780718","1285780718")</f>
        <v>1285780718</v>
      </c>
      <c r="E8732" s="1" t="s">
        <v>31587</v>
      </c>
      <c r="F8732" s="2"/>
      <c r="G8732" s="2"/>
      <c r="H8732" s="2"/>
    </row>
    <row r="8733" spans="1:8" x14ac:dyDescent="0.25">
      <c r="A8733" s="1"/>
      <c r="B8733" s="1" t="s">
        <v>4997</v>
      </c>
      <c r="C8733" s="1" t="s">
        <v>4998</v>
      </c>
      <c r="D8733" s="22" t="str">
        <f>HYPERLINK("https://rhld.insurance.arkansas.gov/NPILookup?Npi=1285847095","1285847095")</f>
        <v>1285847095</v>
      </c>
      <c r="E8733" s="1" t="s">
        <v>5036</v>
      </c>
      <c r="F8733" s="2"/>
      <c r="G8733" s="2"/>
      <c r="H8733" s="2"/>
    </row>
    <row r="8734" spans="1:8" x14ac:dyDescent="0.25">
      <c r="A8734" s="1"/>
      <c r="B8734" s="1" t="s">
        <v>4997</v>
      </c>
      <c r="C8734" s="1" t="s">
        <v>4998</v>
      </c>
      <c r="D8734" s="22" t="str">
        <f>HYPERLINK("https://rhld.insurance.arkansas.gov/NPILookup?Npi=1285848127","1285848127")</f>
        <v>1285848127</v>
      </c>
      <c r="E8734" s="1" t="s">
        <v>19155</v>
      </c>
      <c r="F8734" s="2"/>
      <c r="G8734" s="2"/>
      <c r="H8734" s="2"/>
    </row>
    <row r="8735" spans="1:8" x14ac:dyDescent="0.25">
      <c r="A8735" s="1"/>
      <c r="B8735" s="1" t="s">
        <v>4997</v>
      </c>
      <c r="C8735" s="1" t="s">
        <v>4998</v>
      </c>
      <c r="D8735" s="22" t="str">
        <f>HYPERLINK("https://rhld.insurance.arkansas.gov/NPILookup?Npi=1285862375","1285862375")</f>
        <v>1285862375</v>
      </c>
      <c r="E8735" s="1" t="s">
        <v>5037</v>
      </c>
      <c r="F8735" s="2"/>
      <c r="G8735" s="2"/>
      <c r="H8735" s="2"/>
    </row>
    <row r="8736" spans="1:8" x14ac:dyDescent="0.25">
      <c r="A8736" s="1"/>
      <c r="B8736" s="1" t="s">
        <v>4997</v>
      </c>
      <c r="C8736" s="1" t="s">
        <v>4998</v>
      </c>
      <c r="D8736" s="22" t="str">
        <f>HYPERLINK("https://rhld.insurance.arkansas.gov/NPILookup?Npi=1295713584","1295713584")</f>
        <v>1295713584</v>
      </c>
      <c r="E8736" s="1" t="s">
        <v>19156</v>
      </c>
      <c r="F8736" s="2"/>
      <c r="G8736" s="2"/>
      <c r="H8736" s="2"/>
    </row>
    <row r="8737" spans="1:8" x14ac:dyDescent="0.25">
      <c r="A8737" s="1"/>
      <c r="B8737" s="1" t="s">
        <v>4997</v>
      </c>
      <c r="C8737" s="1" t="s">
        <v>4998</v>
      </c>
      <c r="D8737" s="22" t="str">
        <f>HYPERLINK("https://rhld.insurance.arkansas.gov/NPILookup?Npi=1295783348","1295783348")</f>
        <v>1295783348</v>
      </c>
      <c r="E8737" s="1" t="s">
        <v>19157</v>
      </c>
      <c r="F8737" s="2"/>
      <c r="G8737" s="2"/>
      <c r="H8737" s="2"/>
    </row>
    <row r="8738" spans="1:8" x14ac:dyDescent="0.25">
      <c r="A8738" s="1"/>
      <c r="B8738" s="1" t="s">
        <v>4997</v>
      </c>
      <c r="C8738" s="1" t="s">
        <v>4998</v>
      </c>
      <c r="D8738" s="22" t="str">
        <f>HYPERLINK("https://rhld.insurance.arkansas.gov/NPILookup?Npi=1295963791","1295963791")</f>
        <v>1295963791</v>
      </c>
      <c r="E8738" s="1" t="s">
        <v>10862</v>
      </c>
      <c r="F8738" s="2"/>
      <c r="G8738" s="2"/>
      <c r="H8738" s="2"/>
    </row>
    <row r="8739" spans="1:8" x14ac:dyDescent="0.25">
      <c r="A8739" s="1"/>
      <c r="B8739" s="1" t="s">
        <v>4997</v>
      </c>
      <c r="C8739" s="1" t="s">
        <v>4998</v>
      </c>
      <c r="D8739" s="22" t="str">
        <f>HYPERLINK("https://rhld.insurance.arkansas.gov/NPILookup?Npi=1306898762","1306898762")</f>
        <v>1306898762</v>
      </c>
      <c r="E8739" s="1" t="s">
        <v>31588</v>
      </c>
      <c r="F8739" s="2"/>
      <c r="G8739" s="2"/>
      <c r="H8739" s="2"/>
    </row>
    <row r="8740" spans="1:8" x14ac:dyDescent="0.25">
      <c r="A8740" s="1"/>
      <c r="B8740" s="1" t="s">
        <v>4997</v>
      </c>
      <c r="C8740" s="1" t="s">
        <v>4998</v>
      </c>
      <c r="D8740" s="22" t="str">
        <f>HYPERLINK("https://rhld.insurance.arkansas.gov/NPILookup?Npi=1306937271","1306937271")</f>
        <v>1306937271</v>
      </c>
      <c r="E8740" s="1" t="s">
        <v>4738</v>
      </c>
      <c r="F8740" s="2"/>
      <c r="G8740" s="2"/>
      <c r="H8740" s="2"/>
    </row>
    <row r="8741" spans="1:8" x14ac:dyDescent="0.25">
      <c r="A8741" s="1"/>
      <c r="B8741" s="1" t="s">
        <v>4997</v>
      </c>
      <c r="C8741" s="1" t="s">
        <v>4998</v>
      </c>
      <c r="D8741" s="22" t="str">
        <f>HYPERLINK("https://rhld.insurance.arkansas.gov/NPILookup?Npi=1316027402","1316027402")</f>
        <v>1316027402</v>
      </c>
      <c r="E8741" s="1" t="s">
        <v>19159</v>
      </c>
      <c r="F8741" s="2"/>
      <c r="G8741" s="2"/>
      <c r="H8741" s="2"/>
    </row>
    <row r="8742" spans="1:8" x14ac:dyDescent="0.25">
      <c r="A8742" s="1"/>
      <c r="B8742" s="1" t="s">
        <v>4997</v>
      </c>
      <c r="C8742" s="1" t="s">
        <v>4998</v>
      </c>
      <c r="D8742" s="22" t="str">
        <f>HYPERLINK("https://rhld.insurance.arkansas.gov/NPILookup?Npi=1316037898","1316037898")</f>
        <v>1316037898</v>
      </c>
      <c r="E8742" s="1" t="s">
        <v>5038</v>
      </c>
      <c r="F8742" s="2"/>
      <c r="G8742" s="2"/>
      <c r="H8742" s="2"/>
    </row>
    <row r="8743" spans="1:8" x14ac:dyDescent="0.25">
      <c r="A8743" s="1"/>
      <c r="B8743" s="1" t="s">
        <v>4997</v>
      </c>
      <c r="C8743" s="1" t="s">
        <v>4998</v>
      </c>
      <c r="D8743" s="22" t="str">
        <f>HYPERLINK("https://rhld.insurance.arkansas.gov/NPILookup?Npi=1316151459","1316151459")</f>
        <v>1316151459</v>
      </c>
      <c r="E8743" s="1" t="s">
        <v>3208</v>
      </c>
      <c r="F8743" s="2"/>
      <c r="G8743" s="2"/>
      <c r="H8743" s="2"/>
    </row>
    <row r="8744" spans="1:8" x14ac:dyDescent="0.25">
      <c r="A8744" s="1"/>
      <c r="B8744" s="1" t="s">
        <v>4997</v>
      </c>
      <c r="C8744" s="1" t="s">
        <v>4998</v>
      </c>
      <c r="D8744" s="22" t="str">
        <f>HYPERLINK("https://rhld.insurance.arkansas.gov/NPILookup?Npi=1316262645","1316262645")</f>
        <v>1316262645</v>
      </c>
      <c r="E8744" s="1" t="s">
        <v>19160</v>
      </c>
      <c r="F8744" s="2"/>
      <c r="G8744" s="2"/>
      <c r="H8744" s="2"/>
    </row>
    <row r="8745" spans="1:8" x14ac:dyDescent="0.25">
      <c r="A8745" s="1"/>
      <c r="B8745" s="1" t="s">
        <v>4997</v>
      </c>
      <c r="C8745" s="1" t="s">
        <v>4998</v>
      </c>
      <c r="D8745" s="22" t="str">
        <f>HYPERLINK("https://rhld.insurance.arkansas.gov/NPILookup?Npi=1316295181","1316295181")</f>
        <v>1316295181</v>
      </c>
      <c r="E8745" s="1" t="s">
        <v>19161</v>
      </c>
      <c r="F8745" s="2"/>
      <c r="G8745" s="2"/>
      <c r="H8745" s="2"/>
    </row>
    <row r="8746" spans="1:8" x14ac:dyDescent="0.25">
      <c r="A8746" s="1"/>
      <c r="B8746" s="1" t="s">
        <v>4997</v>
      </c>
      <c r="C8746" s="1" t="s">
        <v>4998</v>
      </c>
      <c r="D8746" s="22" t="str">
        <f>HYPERLINK("https://rhld.insurance.arkansas.gov/NPILookup?Npi=1316387095","1316387095")</f>
        <v>1316387095</v>
      </c>
      <c r="E8746" s="1" t="s">
        <v>5039</v>
      </c>
      <c r="F8746" s="2"/>
      <c r="G8746" s="2"/>
      <c r="H8746" s="2"/>
    </row>
    <row r="8747" spans="1:8" x14ac:dyDescent="0.25">
      <c r="A8747" s="1"/>
      <c r="B8747" s="1" t="s">
        <v>4997</v>
      </c>
      <c r="C8747" s="1" t="s">
        <v>4998</v>
      </c>
      <c r="D8747" s="22" t="str">
        <f>HYPERLINK("https://rhld.insurance.arkansas.gov/NPILookup?Npi=1316443575","1316443575")</f>
        <v>1316443575</v>
      </c>
      <c r="E8747" s="1" t="s">
        <v>31589</v>
      </c>
      <c r="F8747" s="2"/>
      <c r="G8747" s="2"/>
      <c r="H8747" s="2"/>
    </row>
    <row r="8748" spans="1:8" x14ac:dyDescent="0.25">
      <c r="A8748" s="1"/>
      <c r="B8748" s="1" t="s">
        <v>4997</v>
      </c>
      <c r="C8748" s="1" t="s">
        <v>4998</v>
      </c>
      <c r="D8748" s="22" t="str">
        <f>HYPERLINK("https://rhld.insurance.arkansas.gov/NPILookup?Npi=1316568728","1316568728")</f>
        <v>1316568728</v>
      </c>
      <c r="E8748" s="1" t="s">
        <v>5040</v>
      </c>
      <c r="F8748" s="2"/>
      <c r="G8748" s="2"/>
      <c r="H8748" s="2"/>
    </row>
    <row r="8749" spans="1:8" x14ac:dyDescent="0.25">
      <c r="A8749" s="1"/>
      <c r="B8749" s="1" t="s">
        <v>4997</v>
      </c>
      <c r="C8749" s="1" t="s">
        <v>4998</v>
      </c>
      <c r="D8749" s="22" t="str">
        <f>HYPERLINK("https://rhld.insurance.arkansas.gov/NPILookup?Npi=1326282153","1326282153")</f>
        <v>1326282153</v>
      </c>
      <c r="E8749" s="1" t="s">
        <v>19163</v>
      </c>
      <c r="F8749" s="2"/>
      <c r="G8749" s="2"/>
      <c r="H8749" s="2"/>
    </row>
    <row r="8750" spans="1:8" x14ac:dyDescent="0.25">
      <c r="A8750" s="1"/>
      <c r="B8750" s="1" t="s">
        <v>4997</v>
      </c>
      <c r="C8750" s="1" t="s">
        <v>4998</v>
      </c>
      <c r="D8750" s="22" t="str">
        <f>HYPERLINK("https://rhld.insurance.arkansas.gov/NPILookup?Npi=1326294562","1326294562")</f>
        <v>1326294562</v>
      </c>
      <c r="E8750" s="1" t="s">
        <v>19164</v>
      </c>
      <c r="F8750" s="2"/>
      <c r="G8750" s="2"/>
      <c r="H8750" s="2"/>
    </row>
    <row r="8751" spans="1:8" x14ac:dyDescent="0.25">
      <c r="A8751" s="1"/>
      <c r="B8751" s="1" t="s">
        <v>4997</v>
      </c>
      <c r="C8751" s="1" t="s">
        <v>4998</v>
      </c>
      <c r="D8751" s="22" t="str">
        <f>HYPERLINK("https://rhld.insurance.arkansas.gov/NPILookup?Npi=1326562257","1326562257")</f>
        <v>1326562257</v>
      </c>
      <c r="E8751" s="1" t="s">
        <v>31590</v>
      </c>
      <c r="F8751" s="2"/>
      <c r="G8751" s="2"/>
      <c r="H8751" s="2"/>
    </row>
    <row r="8752" spans="1:8" x14ac:dyDescent="0.25">
      <c r="A8752" s="1"/>
      <c r="B8752" s="1" t="s">
        <v>4997</v>
      </c>
      <c r="C8752" s="1" t="s">
        <v>4998</v>
      </c>
      <c r="D8752" s="22" t="str">
        <f>HYPERLINK("https://rhld.insurance.arkansas.gov/NPILookup?Npi=1326570441","1326570441")</f>
        <v>1326570441</v>
      </c>
      <c r="E8752" s="1" t="s">
        <v>19165</v>
      </c>
      <c r="F8752" s="2"/>
      <c r="G8752" s="2"/>
      <c r="H8752" s="2"/>
    </row>
    <row r="8753" spans="1:8" x14ac:dyDescent="0.25">
      <c r="A8753" s="1"/>
      <c r="B8753" s="1" t="s">
        <v>4997</v>
      </c>
      <c r="C8753" s="1" t="s">
        <v>4998</v>
      </c>
      <c r="D8753" s="22" t="str">
        <f>HYPERLINK("https://rhld.insurance.arkansas.gov/NPILookup?Npi=1336300771","1336300771")</f>
        <v>1336300771</v>
      </c>
      <c r="E8753" s="1" t="s">
        <v>31591</v>
      </c>
      <c r="F8753" s="2"/>
      <c r="G8753" s="2"/>
      <c r="H8753" s="2"/>
    </row>
    <row r="8754" spans="1:8" x14ac:dyDescent="0.25">
      <c r="A8754" s="1"/>
      <c r="B8754" s="1" t="s">
        <v>4997</v>
      </c>
      <c r="C8754" s="1" t="s">
        <v>4998</v>
      </c>
      <c r="D8754" s="22" t="str">
        <f>HYPERLINK("https://rhld.insurance.arkansas.gov/NPILookup?Npi=1336393784","1336393784")</f>
        <v>1336393784</v>
      </c>
      <c r="E8754" s="1" t="s">
        <v>10863</v>
      </c>
      <c r="F8754" s="2"/>
      <c r="G8754" s="2"/>
      <c r="H8754" s="2"/>
    </row>
    <row r="8755" spans="1:8" x14ac:dyDescent="0.25">
      <c r="A8755" s="1"/>
      <c r="B8755" s="1" t="s">
        <v>4997</v>
      </c>
      <c r="C8755" s="1" t="s">
        <v>4998</v>
      </c>
      <c r="D8755" s="22" t="str">
        <f>HYPERLINK("https://rhld.insurance.arkansas.gov/NPILookup?Npi=1336672476","1336672476")</f>
        <v>1336672476</v>
      </c>
      <c r="E8755" s="1" t="s">
        <v>31592</v>
      </c>
      <c r="F8755" s="2"/>
      <c r="G8755" s="2"/>
      <c r="H8755" s="2"/>
    </row>
    <row r="8756" spans="1:8" x14ac:dyDescent="0.25">
      <c r="A8756" s="1"/>
      <c r="B8756" s="1" t="s">
        <v>4997</v>
      </c>
      <c r="C8756" s="1" t="s">
        <v>4998</v>
      </c>
      <c r="D8756" s="22" t="str">
        <f>HYPERLINK("https://rhld.insurance.arkansas.gov/NPILookup?Npi=1346269180","1346269180")</f>
        <v>1346269180</v>
      </c>
      <c r="E8756" s="1" t="s">
        <v>19167</v>
      </c>
      <c r="F8756" s="2"/>
      <c r="G8756" s="2"/>
      <c r="H8756" s="2"/>
    </row>
    <row r="8757" spans="1:8" x14ac:dyDescent="0.25">
      <c r="A8757" s="1"/>
      <c r="B8757" s="1" t="s">
        <v>4997</v>
      </c>
      <c r="C8757" s="1" t="s">
        <v>4998</v>
      </c>
      <c r="D8757" s="22" t="str">
        <f>HYPERLINK("https://rhld.insurance.arkansas.gov/NPILookup?Npi=1346624327","1346624327")</f>
        <v>1346624327</v>
      </c>
      <c r="E8757" s="1" t="s">
        <v>19168</v>
      </c>
      <c r="F8757" s="2"/>
      <c r="G8757" s="2"/>
      <c r="H8757" s="2"/>
    </row>
    <row r="8758" spans="1:8" x14ac:dyDescent="0.25">
      <c r="A8758" s="1"/>
      <c r="B8758" s="1" t="s">
        <v>4997</v>
      </c>
      <c r="C8758" s="1" t="s">
        <v>4998</v>
      </c>
      <c r="D8758" s="22" t="str">
        <f>HYPERLINK("https://rhld.insurance.arkansas.gov/NPILookup?Npi=1346655511","1346655511")</f>
        <v>1346655511</v>
      </c>
      <c r="E8758" s="1" t="s">
        <v>5041</v>
      </c>
      <c r="F8758" s="2"/>
      <c r="G8758" s="2"/>
      <c r="H8758" s="2"/>
    </row>
    <row r="8759" spans="1:8" x14ac:dyDescent="0.25">
      <c r="A8759" s="1"/>
      <c r="B8759" s="1" t="s">
        <v>4997</v>
      </c>
      <c r="C8759" s="1" t="s">
        <v>4998</v>
      </c>
      <c r="D8759" s="22" t="str">
        <f>HYPERLINK("https://rhld.insurance.arkansas.gov/NPILookup?Npi=1346691409","1346691409")</f>
        <v>1346691409</v>
      </c>
      <c r="E8759" s="1" t="s">
        <v>19169</v>
      </c>
      <c r="F8759" s="2"/>
      <c r="G8759" s="2"/>
      <c r="H8759" s="2"/>
    </row>
    <row r="8760" spans="1:8" x14ac:dyDescent="0.25">
      <c r="A8760" s="1"/>
      <c r="B8760" s="1" t="s">
        <v>4997</v>
      </c>
      <c r="C8760" s="1" t="s">
        <v>4998</v>
      </c>
      <c r="D8760" s="22" t="str">
        <f>HYPERLINK("https://rhld.insurance.arkansas.gov/NPILookup?Npi=1356318752","1356318752")</f>
        <v>1356318752</v>
      </c>
      <c r="E8760" s="1" t="s">
        <v>5042</v>
      </c>
      <c r="F8760" s="2"/>
      <c r="G8760" s="2"/>
      <c r="H8760" s="2"/>
    </row>
    <row r="8761" spans="1:8" x14ac:dyDescent="0.25">
      <c r="A8761" s="1"/>
      <c r="B8761" s="1" t="s">
        <v>4997</v>
      </c>
      <c r="C8761" s="1" t="s">
        <v>4998</v>
      </c>
      <c r="D8761" s="22" t="str">
        <f>HYPERLINK("https://rhld.insurance.arkansas.gov/NPILookup?Npi=1356436000","1356436000")</f>
        <v>1356436000</v>
      </c>
      <c r="E8761" s="1" t="s">
        <v>31593</v>
      </c>
      <c r="F8761" s="2"/>
      <c r="G8761" s="2"/>
      <c r="H8761" s="2"/>
    </row>
    <row r="8762" spans="1:8" x14ac:dyDescent="0.25">
      <c r="A8762" s="1"/>
      <c r="B8762" s="1" t="s">
        <v>4997</v>
      </c>
      <c r="C8762" s="1" t="s">
        <v>4998</v>
      </c>
      <c r="D8762" s="22" t="str">
        <f>HYPERLINK("https://rhld.insurance.arkansas.gov/NPILookup?Npi=1356462329","1356462329")</f>
        <v>1356462329</v>
      </c>
      <c r="E8762" s="1" t="s">
        <v>19027</v>
      </c>
      <c r="F8762" s="2"/>
      <c r="G8762" s="2"/>
      <c r="H8762" s="2"/>
    </row>
    <row r="8763" spans="1:8" x14ac:dyDescent="0.25">
      <c r="A8763" s="1"/>
      <c r="B8763" s="1" t="s">
        <v>4997</v>
      </c>
      <c r="C8763" s="1" t="s">
        <v>4998</v>
      </c>
      <c r="D8763" s="22" t="str">
        <f>HYPERLINK("https://rhld.insurance.arkansas.gov/NPILookup?Npi=1356544340","1356544340")</f>
        <v>1356544340</v>
      </c>
      <c r="E8763" s="1" t="s">
        <v>5043</v>
      </c>
      <c r="F8763" s="2"/>
      <c r="G8763" s="2"/>
      <c r="H8763" s="2"/>
    </row>
    <row r="8764" spans="1:8" x14ac:dyDescent="0.25">
      <c r="A8764" s="1"/>
      <c r="B8764" s="1" t="s">
        <v>4997</v>
      </c>
      <c r="C8764" s="1" t="s">
        <v>4998</v>
      </c>
      <c r="D8764" s="22" t="str">
        <f>HYPERLINK("https://rhld.insurance.arkansas.gov/NPILookup?Npi=1356769483","1356769483")</f>
        <v>1356769483</v>
      </c>
      <c r="E8764" s="1" t="s">
        <v>10864</v>
      </c>
      <c r="F8764" s="2"/>
      <c r="G8764" s="2"/>
      <c r="H8764" s="2"/>
    </row>
    <row r="8765" spans="1:8" x14ac:dyDescent="0.25">
      <c r="A8765" s="1"/>
      <c r="B8765" s="1" t="s">
        <v>4997</v>
      </c>
      <c r="C8765" s="1" t="s">
        <v>4998</v>
      </c>
      <c r="D8765" s="22" t="str">
        <f>HYPERLINK("https://rhld.insurance.arkansas.gov/NPILookup?Npi=1366445454","1366445454")</f>
        <v>1366445454</v>
      </c>
      <c r="E8765" s="1" t="s">
        <v>19170</v>
      </c>
      <c r="F8765" s="2"/>
      <c r="G8765" s="2"/>
      <c r="H8765" s="2"/>
    </row>
    <row r="8766" spans="1:8" x14ac:dyDescent="0.25">
      <c r="A8766" s="1"/>
      <c r="B8766" s="1" t="s">
        <v>4997</v>
      </c>
      <c r="C8766" s="1" t="s">
        <v>4998</v>
      </c>
      <c r="D8766" s="22" t="str">
        <f>HYPERLINK("https://rhld.insurance.arkansas.gov/NPILookup?Npi=1366494668","1366494668")</f>
        <v>1366494668</v>
      </c>
      <c r="E8766" s="1" t="s">
        <v>19171</v>
      </c>
      <c r="F8766" s="2"/>
      <c r="G8766" s="2"/>
      <c r="H8766" s="2"/>
    </row>
    <row r="8767" spans="1:8" x14ac:dyDescent="0.25">
      <c r="A8767" s="1"/>
      <c r="B8767" s="1" t="s">
        <v>4997</v>
      </c>
      <c r="C8767" s="1" t="s">
        <v>4998</v>
      </c>
      <c r="D8767" s="22" t="str">
        <f>HYPERLINK("https://rhld.insurance.arkansas.gov/NPILookup?Npi=1366518789","1366518789")</f>
        <v>1366518789</v>
      </c>
      <c r="E8767" s="1" t="s">
        <v>10865</v>
      </c>
      <c r="F8767" s="2"/>
      <c r="G8767" s="2"/>
      <c r="H8767" s="2"/>
    </row>
    <row r="8768" spans="1:8" x14ac:dyDescent="0.25">
      <c r="A8768" s="1"/>
      <c r="B8768" s="1" t="s">
        <v>4997</v>
      </c>
      <c r="C8768" s="1" t="s">
        <v>4998</v>
      </c>
      <c r="D8768" s="22" t="str">
        <f>HYPERLINK("https://rhld.insurance.arkansas.gov/NPILookup?Npi=1366785016","1366785016")</f>
        <v>1366785016</v>
      </c>
      <c r="E8768" s="1" t="s">
        <v>19172</v>
      </c>
      <c r="F8768" s="2"/>
      <c r="G8768" s="2"/>
      <c r="H8768" s="2"/>
    </row>
    <row r="8769" spans="1:8" x14ac:dyDescent="0.25">
      <c r="A8769" s="1"/>
      <c r="B8769" s="1" t="s">
        <v>4997</v>
      </c>
      <c r="C8769" s="1" t="s">
        <v>4998</v>
      </c>
      <c r="D8769" s="22" t="str">
        <f>HYPERLINK("https://rhld.insurance.arkansas.gov/NPILookup?Npi=1366786451","1366786451")</f>
        <v>1366786451</v>
      </c>
      <c r="E8769" s="1" t="s">
        <v>31594</v>
      </c>
      <c r="F8769" s="2"/>
      <c r="G8769" s="2"/>
      <c r="H8769" s="2"/>
    </row>
    <row r="8770" spans="1:8" x14ac:dyDescent="0.25">
      <c r="A8770" s="1"/>
      <c r="B8770" s="1" t="s">
        <v>4997</v>
      </c>
      <c r="C8770" s="1" t="s">
        <v>4998</v>
      </c>
      <c r="D8770" s="22" t="str">
        <f>HYPERLINK("https://rhld.insurance.arkansas.gov/NPILookup?Npi=1366837429","1366837429")</f>
        <v>1366837429</v>
      </c>
      <c r="E8770" s="1" t="s">
        <v>5044</v>
      </c>
      <c r="F8770" s="2"/>
      <c r="G8770" s="2"/>
      <c r="H8770" s="2"/>
    </row>
    <row r="8771" spans="1:8" x14ac:dyDescent="0.25">
      <c r="A8771" s="1"/>
      <c r="B8771" s="1" t="s">
        <v>4997</v>
      </c>
      <c r="C8771" s="1" t="s">
        <v>4998</v>
      </c>
      <c r="D8771" s="22" t="str">
        <f>HYPERLINK("https://rhld.insurance.arkansas.gov/NPILookup?Npi=1366861510","1366861510")</f>
        <v>1366861510</v>
      </c>
      <c r="E8771" s="1" t="s">
        <v>19173</v>
      </c>
      <c r="F8771" s="2"/>
      <c r="G8771" s="2"/>
      <c r="H8771" s="2"/>
    </row>
    <row r="8772" spans="1:8" x14ac:dyDescent="0.25">
      <c r="A8772" s="1"/>
      <c r="B8772" s="1" t="s">
        <v>4997</v>
      </c>
      <c r="C8772" s="1" t="s">
        <v>4998</v>
      </c>
      <c r="D8772" s="22" t="str">
        <f>HYPERLINK("https://rhld.insurance.arkansas.gov/NPILookup?Npi=1366974867","1366974867")</f>
        <v>1366974867</v>
      </c>
      <c r="E8772" s="1" t="s">
        <v>5045</v>
      </c>
      <c r="F8772" s="2"/>
      <c r="G8772" s="2"/>
      <c r="H8772" s="2"/>
    </row>
    <row r="8773" spans="1:8" x14ac:dyDescent="0.25">
      <c r="A8773" s="1"/>
      <c r="B8773" s="1" t="s">
        <v>4997</v>
      </c>
      <c r="C8773" s="1" t="s">
        <v>4998</v>
      </c>
      <c r="D8773" s="22" t="str">
        <f>HYPERLINK("https://rhld.insurance.arkansas.gov/NPILookup?Npi=1366998676","1366998676")</f>
        <v>1366998676</v>
      </c>
      <c r="E8773" s="1" t="s">
        <v>10867</v>
      </c>
      <c r="F8773" s="2"/>
      <c r="G8773" s="2"/>
      <c r="H8773" s="2"/>
    </row>
    <row r="8774" spans="1:8" x14ac:dyDescent="0.25">
      <c r="A8774" s="1"/>
      <c r="B8774" s="1" t="s">
        <v>4997</v>
      </c>
      <c r="C8774" s="1" t="s">
        <v>4998</v>
      </c>
      <c r="D8774" s="22" t="str">
        <f>HYPERLINK("https://rhld.insurance.arkansas.gov/NPILookup?Npi=1376036582","1376036582")</f>
        <v>1376036582</v>
      </c>
      <c r="E8774" s="1" t="s">
        <v>19174</v>
      </c>
      <c r="F8774" s="2"/>
      <c r="G8774" s="2"/>
      <c r="H8774" s="2"/>
    </row>
    <row r="8775" spans="1:8" x14ac:dyDescent="0.25">
      <c r="A8775" s="1"/>
      <c r="B8775" s="1" t="s">
        <v>4997</v>
      </c>
      <c r="C8775" s="1" t="s">
        <v>4998</v>
      </c>
      <c r="D8775" s="22" t="str">
        <f>HYPERLINK("https://rhld.insurance.arkansas.gov/NPILookup?Npi=1376757344","1376757344")</f>
        <v>1376757344</v>
      </c>
      <c r="E8775" s="1" t="s">
        <v>5046</v>
      </c>
      <c r="F8775" s="2"/>
      <c r="G8775" s="2"/>
      <c r="H8775" s="2"/>
    </row>
    <row r="8776" spans="1:8" x14ac:dyDescent="0.25">
      <c r="A8776" s="1"/>
      <c r="B8776" s="1" t="s">
        <v>4997</v>
      </c>
      <c r="C8776" s="1" t="s">
        <v>4998</v>
      </c>
      <c r="D8776" s="22" t="str">
        <f>HYPERLINK("https://rhld.insurance.arkansas.gov/NPILookup?Npi=1386064525","1386064525")</f>
        <v>1386064525</v>
      </c>
      <c r="E8776" s="1" t="s">
        <v>5047</v>
      </c>
      <c r="F8776" s="2"/>
      <c r="G8776" s="2"/>
      <c r="H8776" s="2"/>
    </row>
    <row r="8777" spans="1:8" x14ac:dyDescent="0.25">
      <c r="A8777" s="1"/>
      <c r="B8777" s="1" t="s">
        <v>4997</v>
      </c>
      <c r="C8777" s="1" t="s">
        <v>4998</v>
      </c>
      <c r="D8777" s="22" t="str">
        <f>HYPERLINK("https://rhld.insurance.arkansas.gov/NPILookup?Npi=1386088698","1386088698")</f>
        <v>1386088698</v>
      </c>
      <c r="E8777" s="1" t="s">
        <v>5048</v>
      </c>
      <c r="F8777" s="2"/>
      <c r="G8777" s="2"/>
      <c r="H8777" s="2"/>
    </row>
    <row r="8778" spans="1:8" x14ac:dyDescent="0.25">
      <c r="A8778" s="1"/>
      <c r="B8778" s="1" t="s">
        <v>4997</v>
      </c>
      <c r="C8778" s="1" t="s">
        <v>4998</v>
      </c>
      <c r="D8778" s="22" t="str">
        <f>HYPERLINK("https://rhld.insurance.arkansas.gov/NPILookup?Npi=1386688778","1386688778")</f>
        <v>1386688778</v>
      </c>
      <c r="E8778" s="1" t="s">
        <v>17482</v>
      </c>
      <c r="F8778" s="2"/>
      <c r="G8778" s="2"/>
      <c r="H8778" s="2"/>
    </row>
    <row r="8779" spans="1:8" x14ac:dyDescent="0.25">
      <c r="A8779" s="1"/>
      <c r="B8779" s="1" t="s">
        <v>4997</v>
      </c>
      <c r="C8779" s="1" t="s">
        <v>4998</v>
      </c>
      <c r="D8779" s="22" t="str">
        <f>HYPERLINK("https://rhld.insurance.arkansas.gov/NPILookup?Npi=1386811891","1386811891")</f>
        <v>1386811891</v>
      </c>
      <c r="E8779" s="1" t="s">
        <v>19176</v>
      </c>
      <c r="F8779" s="2"/>
      <c r="G8779" s="2"/>
      <c r="H8779" s="2"/>
    </row>
    <row r="8780" spans="1:8" x14ac:dyDescent="0.25">
      <c r="A8780" s="1"/>
      <c r="B8780" s="1" t="s">
        <v>4997</v>
      </c>
      <c r="C8780" s="1" t="s">
        <v>4998</v>
      </c>
      <c r="D8780" s="22" t="str">
        <f>HYPERLINK("https://rhld.insurance.arkansas.gov/NPILookup?Npi=1386842284","1386842284")</f>
        <v>1386842284</v>
      </c>
      <c r="E8780" s="1" t="s">
        <v>31595</v>
      </c>
      <c r="F8780" s="2"/>
      <c r="G8780" s="2"/>
      <c r="H8780" s="2"/>
    </row>
    <row r="8781" spans="1:8" x14ac:dyDescent="0.25">
      <c r="A8781" s="1"/>
      <c r="B8781" s="1" t="s">
        <v>4997</v>
      </c>
      <c r="C8781" s="1" t="s">
        <v>4998</v>
      </c>
      <c r="D8781" s="22" t="str">
        <f>HYPERLINK("https://rhld.insurance.arkansas.gov/NPILookup?Npi=1386993814","1386993814")</f>
        <v>1386993814</v>
      </c>
      <c r="E8781" s="1" t="s">
        <v>5049</v>
      </c>
      <c r="F8781" s="2"/>
      <c r="G8781" s="2"/>
      <c r="H8781" s="2"/>
    </row>
    <row r="8782" spans="1:8" x14ac:dyDescent="0.25">
      <c r="A8782" s="1"/>
      <c r="B8782" s="1" t="s">
        <v>4997</v>
      </c>
      <c r="C8782" s="1" t="s">
        <v>4998</v>
      </c>
      <c r="D8782" s="22" t="str">
        <f>HYPERLINK("https://rhld.insurance.arkansas.gov/NPILookup?Npi=1396127973","1396127973")</f>
        <v>1396127973</v>
      </c>
      <c r="E8782" s="1" t="s">
        <v>19177</v>
      </c>
      <c r="F8782" s="2"/>
      <c r="G8782" s="2"/>
      <c r="H8782" s="2"/>
    </row>
    <row r="8783" spans="1:8" x14ac:dyDescent="0.25">
      <c r="A8783" s="1"/>
      <c r="B8783" s="1" t="s">
        <v>4997</v>
      </c>
      <c r="C8783" s="1" t="s">
        <v>4998</v>
      </c>
      <c r="D8783" s="22" t="str">
        <f>HYPERLINK("https://rhld.insurance.arkansas.gov/NPILookup?Npi=1396277729","1396277729")</f>
        <v>1396277729</v>
      </c>
      <c r="E8783" s="1" t="s">
        <v>19178</v>
      </c>
      <c r="F8783" s="2"/>
      <c r="G8783" s="2"/>
      <c r="H8783" s="2"/>
    </row>
    <row r="8784" spans="1:8" x14ac:dyDescent="0.25">
      <c r="A8784" s="1"/>
      <c r="B8784" s="1" t="s">
        <v>4997</v>
      </c>
      <c r="C8784" s="1" t="s">
        <v>4998</v>
      </c>
      <c r="D8784" s="22" t="str">
        <f>HYPERLINK("https://rhld.insurance.arkansas.gov/NPILookup?Npi=1407021389","1407021389")</f>
        <v>1407021389</v>
      </c>
      <c r="E8784" s="1" t="s">
        <v>19179</v>
      </c>
      <c r="F8784" s="2"/>
      <c r="G8784" s="2"/>
      <c r="H8784" s="2"/>
    </row>
    <row r="8785" spans="1:8" x14ac:dyDescent="0.25">
      <c r="A8785" s="1"/>
      <c r="B8785" s="1" t="s">
        <v>4997</v>
      </c>
      <c r="C8785" s="1" t="s">
        <v>4998</v>
      </c>
      <c r="D8785" s="22" t="str">
        <f>HYPERLINK("https://rhld.insurance.arkansas.gov/NPILookup?Npi=1407111313","1407111313")</f>
        <v>1407111313</v>
      </c>
      <c r="E8785" s="1" t="s">
        <v>31596</v>
      </c>
      <c r="F8785" s="2"/>
      <c r="G8785" s="2"/>
      <c r="H8785" s="2"/>
    </row>
    <row r="8786" spans="1:8" x14ac:dyDescent="0.25">
      <c r="A8786" s="1"/>
      <c r="B8786" s="1" t="s">
        <v>4997</v>
      </c>
      <c r="C8786" s="1" t="s">
        <v>4998</v>
      </c>
      <c r="D8786" s="22" t="str">
        <f>HYPERLINK("https://rhld.insurance.arkansas.gov/NPILookup?Npi=1407111461","1407111461")</f>
        <v>1407111461</v>
      </c>
      <c r="E8786" s="1" t="s">
        <v>31597</v>
      </c>
      <c r="F8786" s="2"/>
      <c r="G8786" s="2"/>
      <c r="H8786" s="2"/>
    </row>
    <row r="8787" spans="1:8" x14ac:dyDescent="0.25">
      <c r="A8787" s="1"/>
      <c r="B8787" s="1" t="s">
        <v>4997</v>
      </c>
      <c r="C8787" s="1" t="s">
        <v>4998</v>
      </c>
      <c r="D8787" s="22" t="str">
        <f>HYPERLINK("https://rhld.insurance.arkansas.gov/NPILookup?Npi=1407340409","1407340409")</f>
        <v>1407340409</v>
      </c>
      <c r="E8787" s="1" t="s">
        <v>19180</v>
      </c>
      <c r="F8787" s="2"/>
      <c r="G8787" s="2"/>
      <c r="H8787" s="2"/>
    </row>
    <row r="8788" spans="1:8" x14ac:dyDescent="0.25">
      <c r="A8788" s="1"/>
      <c r="B8788" s="1" t="s">
        <v>4997</v>
      </c>
      <c r="C8788" s="1" t="s">
        <v>4998</v>
      </c>
      <c r="D8788" s="22" t="str">
        <f>HYPERLINK("https://rhld.insurance.arkansas.gov/NPILookup?Npi=1407813439","1407813439")</f>
        <v>1407813439</v>
      </c>
      <c r="E8788" s="1" t="s">
        <v>10868</v>
      </c>
      <c r="F8788" s="2"/>
      <c r="G8788" s="2"/>
      <c r="H8788" s="2"/>
    </row>
    <row r="8789" spans="1:8" x14ac:dyDescent="0.25">
      <c r="A8789" s="1"/>
      <c r="B8789" s="1" t="s">
        <v>4997</v>
      </c>
      <c r="C8789" s="1" t="s">
        <v>4998</v>
      </c>
      <c r="D8789" s="22" t="str">
        <f>HYPERLINK("https://rhld.insurance.arkansas.gov/NPILookup?Npi=1407880305","1407880305")</f>
        <v>1407880305</v>
      </c>
      <c r="E8789" s="1" t="s">
        <v>10869</v>
      </c>
      <c r="F8789" s="2"/>
      <c r="G8789" s="2"/>
      <c r="H8789" s="2"/>
    </row>
    <row r="8790" spans="1:8" x14ac:dyDescent="0.25">
      <c r="A8790" s="1"/>
      <c r="B8790" s="1" t="s">
        <v>4997</v>
      </c>
      <c r="C8790" s="1" t="s">
        <v>4998</v>
      </c>
      <c r="D8790" s="22" t="str">
        <f>HYPERLINK("https://rhld.insurance.arkansas.gov/NPILookup?Npi=1407901382","1407901382")</f>
        <v>1407901382</v>
      </c>
      <c r="E8790" s="1" t="s">
        <v>31598</v>
      </c>
      <c r="F8790" s="2"/>
      <c r="G8790" s="2"/>
      <c r="H8790" s="2"/>
    </row>
    <row r="8791" spans="1:8" x14ac:dyDescent="0.25">
      <c r="A8791" s="1"/>
      <c r="B8791" s="1" t="s">
        <v>4997</v>
      </c>
      <c r="C8791" s="1" t="s">
        <v>4998</v>
      </c>
      <c r="D8791" s="22" t="str">
        <f>HYPERLINK("https://rhld.insurance.arkansas.gov/NPILookup?Npi=1417044462","1417044462")</f>
        <v>1417044462</v>
      </c>
      <c r="E8791" s="1" t="s">
        <v>4754</v>
      </c>
      <c r="F8791" s="2"/>
      <c r="G8791" s="2"/>
      <c r="H8791" s="2"/>
    </row>
    <row r="8792" spans="1:8" x14ac:dyDescent="0.25">
      <c r="A8792" s="1"/>
      <c r="B8792" s="1" t="s">
        <v>4997</v>
      </c>
      <c r="C8792" s="1" t="s">
        <v>4998</v>
      </c>
      <c r="D8792" s="22" t="str">
        <f>HYPERLINK("https://rhld.insurance.arkansas.gov/NPILookup?Npi=1417343922","1417343922")</f>
        <v>1417343922</v>
      </c>
      <c r="E8792" s="1" t="s">
        <v>31599</v>
      </c>
      <c r="F8792" s="2"/>
      <c r="G8792" s="2"/>
      <c r="H8792" s="2"/>
    </row>
    <row r="8793" spans="1:8" x14ac:dyDescent="0.25">
      <c r="A8793" s="1"/>
      <c r="B8793" s="1" t="s">
        <v>4997</v>
      </c>
      <c r="C8793" s="1" t="s">
        <v>4998</v>
      </c>
      <c r="D8793" s="22" t="str">
        <f>HYPERLINK("https://rhld.insurance.arkansas.gov/NPILookup?Npi=1417445677","1417445677")</f>
        <v>1417445677</v>
      </c>
      <c r="E8793" s="1" t="s">
        <v>31600</v>
      </c>
      <c r="F8793" s="2"/>
      <c r="G8793" s="2"/>
      <c r="H8793" s="2"/>
    </row>
    <row r="8794" spans="1:8" x14ac:dyDescent="0.25">
      <c r="A8794" s="1"/>
      <c r="B8794" s="1" t="s">
        <v>4997</v>
      </c>
      <c r="C8794" s="1" t="s">
        <v>4998</v>
      </c>
      <c r="D8794" s="22" t="str">
        <f>HYPERLINK("https://rhld.insurance.arkansas.gov/NPILookup?Npi=1417924507","1417924507")</f>
        <v>1417924507</v>
      </c>
      <c r="E8794" s="1" t="s">
        <v>19181</v>
      </c>
      <c r="F8794" s="2"/>
      <c r="G8794" s="2"/>
      <c r="H8794" s="2"/>
    </row>
    <row r="8795" spans="1:8" x14ac:dyDescent="0.25">
      <c r="A8795" s="1"/>
      <c r="B8795" s="1" t="s">
        <v>4997</v>
      </c>
      <c r="C8795" s="1" t="s">
        <v>4998</v>
      </c>
      <c r="D8795" s="22" t="str">
        <f>HYPERLINK("https://rhld.insurance.arkansas.gov/NPILookup?Npi=1427157270","1427157270")</f>
        <v>1427157270</v>
      </c>
      <c r="E8795" s="1" t="s">
        <v>31601</v>
      </c>
      <c r="F8795" s="2"/>
      <c r="G8795" s="2"/>
      <c r="H8795" s="2"/>
    </row>
    <row r="8796" spans="1:8" x14ac:dyDescent="0.25">
      <c r="A8796" s="1"/>
      <c r="B8796" s="1" t="s">
        <v>4997</v>
      </c>
      <c r="C8796" s="1" t="s">
        <v>4998</v>
      </c>
      <c r="D8796" s="22" t="str">
        <f>HYPERLINK("https://rhld.insurance.arkansas.gov/NPILookup?Npi=1427210004","1427210004")</f>
        <v>1427210004</v>
      </c>
      <c r="E8796" s="1" t="s">
        <v>10870</v>
      </c>
      <c r="F8796" s="2"/>
      <c r="G8796" s="2"/>
      <c r="H8796" s="2"/>
    </row>
    <row r="8797" spans="1:8" x14ac:dyDescent="0.25">
      <c r="A8797" s="1"/>
      <c r="B8797" s="1" t="s">
        <v>4997</v>
      </c>
      <c r="C8797" s="1" t="s">
        <v>4998</v>
      </c>
      <c r="D8797" s="22" t="str">
        <f>HYPERLINK("https://rhld.insurance.arkansas.gov/NPILookup?Npi=1427215060","1427215060")</f>
        <v>1427215060</v>
      </c>
      <c r="E8797" s="1" t="s">
        <v>19183</v>
      </c>
      <c r="F8797" s="2"/>
      <c r="G8797" s="2"/>
      <c r="H8797" s="2"/>
    </row>
    <row r="8798" spans="1:8" x14ac:dyDescent="0.25">
      <c r="A8798" s="1"/>
      <c r="B8798" s="1" t="s">
        <v>4997</v>
      </c>
      <c r="C8798" s="1" t="s">
        <v>4998</v>
      </c>
      <c r="D8798" s="22" t="str">
        <f>HYPERLINK("https://rhld.insurance.arkansas.gov/NPILookup?Npi=1427369172","1427369172")</f>
        <v>1427369172</v>
      </c>
      <c r="E8798" s="1" t="s">
        <v>10872</v>
      </c>
      <c r="F8798" s="2"/>
      <c r="G8798" s="2"/>
      <c r="H8798" s="2"/>
    </row>
    <row r="8799" spans="1:8" x14ac:dyDescent="0.25">
      <c r="A8799" s="1"/>
      <c r="B8799" s="1" t="s">
        <v>4997</v>
      </c>
      <c r="C8799" s="1" t="s">
        <v>4998</v>
      </c>
      <c r="D8799" s="22" t="str">
        <f>HYPERLINK("https://rhld.insurance.arkansas.gov/NPILookup?Npi=1427476456","1427476456")</f>
        <v>1427476456</v>
      </c>
      <c r="E8799" s="1" t="s">
        <v>31602</v>
      </c>
      <c r="F8799" s="2"/>
      <c r="G8799" s="2"/>
      <c r="H8799" s="2"/>
    </row>
    <row r="8800" spans="1:8" x14ac:dyDescent="0.25">
      <c r="A8800" s="1"/>
      <c r="B8800" s="1" t="s">
        <v>4997</v>
      </c>
      <c r="C8800" s="1" t="s">
        <v>4998</v>
      </c>
      <c r="D8800" s="22" t="str">
        <f>HYPERLINK("https://rhld.insurance.arkansas.gov/NPILookup?Npi=1437143534","1437143534")</f>
        <v>1437143534</v>
      </c>
      <c r="E8800" s="1" t="s">
        <v>5051</v>
      </c>
      <c r="F8800" s="2"/>
      <c r="G8800" s="2"/>
      <c r="H8800" s="2"/>
    </row>
    <row r="8801" spans="1:8" x14ac:dyDescent="0.25">
      <c r="A8801" s="1"/>
      <c r="B8801" s="1" t="s">
        <v>4997</v>
      </c>
      <c r="C8801" s="1" t="s">
        <v>4998</v>
      </c>
      <c r="D8801" s="22" t="str">
        <f>HYPERLINK("https://rhld.insurance.arkansas.gov/NPILookup?Npi=1437181815","1437181815")</f>
        <v>1437181815</v>
      </c>
      <c r="E8801" s="1" t="s">
        <v>19184</v>
      </c>
      <c r="F8801" s="2"/>
      <c r="G8801" s="2"/>
      <c r="H8801" s="2"/>
    </row>
    <row r="8802" spans="1:8" x14ac:dyDescent="0.25">
      <c r="A8802" s="1"/>
      <c r="B8802" s="1" t="s">
        <v>4997</v>
      </c>
      <c r="C8802" s="1" t="s">
        <v>4998</v>
      </c>
      <c r="D8802" s="22" t="str">
        <f>HYPERLINK("https://rhld.insurance.arkansas.gov/NPILookup?Npi=1437254018","1437254018")</f>
        <v>1437254018</v>
      </c>
      <c r="E8802" s="1" t="s">
        <v>5052</v>
      </c>
      <c r="F8802" s="2"/>
      <c r="G8802" s="2"/>
      <c r="H8802" s="2"/>
    </row>
    <row r="8803" spans="1:8" x14ac:dyDescent="0.25">
      <c r="A8803" s="1"/>
      <c r="B8803" s="1" t="s">
        <v>4997</v>
      </c>
      <c r="C8803" s="1" t="s">
        <v>4998</v>
      </c>
      <c r="D8803" s="22" t="str">
        <f>HYPERLINK("https://rhld.insurance.arkansas.gov/NPILookup?Npi=1437363538","1437363538")</f>
        <v>1437363538</v>
      </c>
      <c r="E8803" s="1" t="s">
        <v>5053</v>
      </c>
      <c r="F8803" s="2"/>
      <c r="G8803" s="2"/>
      <c r="H8803" s="2"/>
    </row>
    <row r="8804" spans="1:8" x14ac:dyDescent="0.25">
      <c r="A8804" s="1"/>
      <c r="B8804" s="1" t="s">
        <v>4997</v>
      </c>
      <c r="C8804" s="1" t="s">
        <v>4998</v>
      </c>
      <c r="D8804" s="22" t="str">
        <f>HYPERLINK("https://rhld.insurance.arkansas.gov/NPILookup?Npi=1437419017","1437419017")</f>
        <v>1437419017</v>
      </c>
      <c r="E8804" s="1" t="s">
        <v>5055</v>
      </c>
      <c r="F8804" s="2"/>
      <c r="G8804" s="2"/>
      <c r="H8804" s="2"/>
    </row>
    <row r="8805" spans="1:8" x14ac:dyDescent="0.25">
      <c r="A8805" s="1"/>
      <c r="B8805" s="1" t="s">
        <v>4997</v>
      </c>
      <c r="C8805" s="1" t="s">
        <v>4998</v>
      </c>
      <c r="D8805" s="22" t="str">
        <f>HYPERLINK("https://rhld.insurance.arkansas.gov/NPILookup?Npi=1447208590","1447208590")</f>
        <v>1447208590</v>
      </c>
      <c r="E8805" s="1" t="s">
        <v>19185</v>
      </c>
      <c r="F8805" s="2"/>
      <c r="G8805" s="2"/>
      <c r="H8805" s="2"/>
    </row>
    <row r="8806" spans="1:8" x14ac:dyDescent="0.25">
      <c r="A8806" s="1"/>
      <c r="B8806" s="1" t="s">
        <v>4997</v>
      </c>
      <c r="C8806" s="1" t="s">
        <v>4998</v>
      </c>
      <c r="D8806" s="22" t="str">
        <f>HYPERLINK("https://rhld.insurance.arkansas.gov/NPILookup?Npi=1447217401","1447217401")</f>
        <v>1447217401</v>
      </c>
      <c r="E8806" s="1" t="s">
        <v>3561</v>
      </c>
      <c r="F8806" s="2"/>
      <c r="G8806" s="2"/>
      <c r="H8806" s="2"/>
    </row>
    <row r="8807" spans="1:8" x14ac:dyDescent="0.25">
      <c r="A8807" s="1"/>
      <c r="B8807" s="1" t="s">
        <v>4997</v>
      </c>
      <c r="C8807" s="1" t="s">
        <v>4998</v>
      </c>
      <c r="D8807" s="22" t="str">
        <f>HYPERLINK("https://rhld.insurance.arkansas.gov/NPILookup?Npi=1447447487","1447447487")</f>
        <v>1447447487</v>
      </c>
      <c r="E8807" s="1" t="s">
        <v>19186</v>
      </c>
      <c r="F8807" s="2"/>
      <c r="G8807" s="2"/>
      <c r="H8807" s="2"/>
    </row>
    <row r="8808" spans="1:8" x14ac:dyDescent="0.25">
      <c r="A8808" s="1"/>
      <c r="B8808" s="1" t="s">
        <v>4997</v>
      </c>
      <c r="C8808" s="1" t="s">
        <v>4998</v>
      </c>
      <c r="D8808" s="22" t="str">
        <f>HYPERLINK("https://rhld.insurance.arkansas.gov/NPILookup?Npi=1447519343","1447519343")</f>
        <v>1447519343</v>
      </c>
      <c r="E8808" s="1" t="s">
        <v>19187</v>
      </c>
      <c r="F8808" s="2"/>
      <c r="G8808" s="2"/>
      <c r="H8808" s="2"/>
    </row>
    <row r="8809" spans="1:8" x14ac:dyDescent="0.25">
      <c r="A8809" s="1"/>
      <c r="B8809" s="1" t="s">
        <v>4997</v>
      </c>
      <c r="C8809" s="1" t="s">
        <v>4998</v>
      </c>
      <c r="D8809" s="22" t="str">
        <f>HYPERLINK("https://rhld.insurance.arkansas.gov/NPILookup?Npi=1447519970","1447519970")</f>
        <v>1447519970</v>
      </c>
      <c r="E8809" s="1" t="s">
        <v>10873</v>
      </c>
      <c r="F8809" s="2"/>
      <c r="G8809" s="2"/>
      <c r="H8809" s="2"/>
    </row>
    <row r="8810" spans="1:8" x14ac:dyDescent="0.25">
      <c r="A8810" s="1"/>
      <c r="B8810" s="1" t="s">
        <v>4997</v>
      </c>
      <c r="C8810" s="1" t="s">
        <v>4998</v>
      </c>
      <c r="D8810" s="22" t="str">
        <f>HYPERLINK("https://rhld.insurance.arkansas.gov/NPILookup?Npi=1457314577","1457314577")</f>
        <v>1457314577</v>
      </c>
      <c r="E8810" s="1" t="s">
        <v>19188</v>
      </c>
      <c r="F8810" s="2"/>
      <c r="G8810" s="2"/>
      <c r="H8810" s="2"/>
    </row>
    <row r="8811" spans="1:8" x14ac:dyDescent="0.25">
      <c r="A8811" s="1"/>
      <c r="B8811" s="1" t="s">
        <v>4997</v>
      </c>
      <c r="C8811" s="1" t="s">
        <v>4998</v>
      </c>
      <c r="D8811" s="22" t="str">
        <f>HYPERLINK("https://rhld.insurance.arkansas.gov/NPILookup?Npi=1457517864","1457517864")</f>
        <v>1457517864</v>
      </c>
      <c r="E8811" s="1" t="s">
        <v>19189</v>
      </c>
      <c r="F8811" s="2"/>
      <c r="G8811" s="2"/>
      <c r="H8811" s="2"/>
    </row>
    <row r="8812" spans="1:8" x14ac:dyDescent="0.25">
      <c r="A8812" s="1"/>
      <c r="B8812" s="1" t="s">
        <v>4997</v>
      </c>
      <c r="C8812" s="1" t="s">
        <v>4998</v>
      </c>
      <c r="D8812" s="22" t="str">
        <f>HYPERLINK("https://rhld.insurance.arkansas.gov/NPILookup?Npi=1457813347","1457813347")</f>
        <v>1457813347</v>
      </c>
      <c r="E8812" s="1" t="s">
        <v>19190</v>
      </c>
      <c r="F8812" s="2"/>
      <c r="G8812" s="2"/>
      <c r="H8812" s="2"/>
    </row>
    <row r="8813" spans="1:8" x14ac:dyDescent="0.25">
      <c r="A8813" s="1"/>
      <c r="B8813" s="1" t="s">
        <v>4997</v>
      </c>
      <c r="C8813" s="1" t="s">
        <v>4998</v>
      </c>
      <c r="D8813" s="22" t="str">
        <f>HYPERLINK("https://rhld.insurance.arkansas.gov/NPILookup?Npi=1467418228","1467418228")</f>
        <v>1467418228</v>
      </c>
      <c r="E8813" s="1" t="s">
        <v>5056</v>
      </c>
      <c r="F8813" s="2"/>
      <c r="G8813" s="2"/>
      <c r="H8813" s="2"/>
    </row>
    <row r="8814" spans="1:8" x14ac:dyDescent="0.25">
      <c r="A8814" s="1"/>
      <c r="B8814" s="1" t="s">
        <v>4997</v>
      </c>
      <c r="C8814" s="1" t="s">
        <v>4998</v>
      </c>
      <c r="D8814" s="22" t="str">
        <f>HYPERLINK("https://rhld.insurance.arkansas.gov/NPILookup?Npi=1467485151","1467485151")</f>
        <v>1467485151</v>
      </c>
      <c r="E8814" s="1" t="s">
        <v>10874</v>
      </c>
      <c r="F8814" s="2"/>
      <c r="G8814" s="2"/>
      <c r="H8814" s="2"/>
    </row>
    <row r="8815" spans="1:8" x14ac:dyDescent="0.25">
      <c r="A8815" s="1"/>
      <c r="B8815" s="1" t="s">
        <v>4997</v>
      </c>
      <c r="C8815" s="1" t="s">
        <v>4998</v>
      </c>
      <c r="D8815" s="22" t="str">
        <f>HYPERLINK("https://rhld.insurance.arkansas.gov/NPILookup?Npi=1467717009","1467717009")</f>
        <v>1467717009</v>
      </c>
      <c r="E8815" s="1" t="s">
        <v>10875</v>
      </c>
      <c r="F8815" s="2"/>
      <c r="G8815" s="2"/>
      <c r="H8815" s="2"/>
    </row>
    <row r="8816" spans="1:8" x14ac:dyDescent="0.25">
      <c r="A8816" s="1"/>
      <c r="B8816" s="1" t="s">
        <v>4997</v>
      </c>
      <c r="C8816" s="1" t="s">
        <v>4998</v>
      </c>
      <c r="D8816" s="22" t="str">
        <f>HYPERLINK("https://rhld.insurance.arkansas.gov/NPILookup?Npi=1467780551","1467780551")</f>
        <v>1467780551</v>
      </c>
      <c r="E8816" s="1" t="s">
        <v>5057</v>
      </c>
      <c r="F8816" s="2"/>
      <c r="G8816" s="2"/>
      <c r="H8816" s="2"/>
    </row>
    <row r="8817" spans="1:8" x14ac:dyDescent="0.25">
      <c r="A8817" s="1"/>
      <c r="B8817" s="1" t="s">
        <v>4997</v>
      </c>
      <c r="C8817" s="1" t="s">
        <v>4998</v>
      </c>
      <c r="D8817" s="22" t="str">
        <f>HYPERLINK("https://rhld.insurance.arkansas.gov/NPILookup?Npi=1467780684","1467780684")</f>
        <v>1467780684</v>
      </c>
      <c r="E8817" s="1" t="s">
        <v>5058</v>
      </c>
      <c r="F8817" s="2"/>
      <c r="G8817" s="2"/>
      <c r="H8817" s="2"/>
    </row>
    <row r="8818" spans="1:8" x14ac:dyDescent="0.25">
      <c r="A8818" s="1"/>
      <c r="B8818" s="1" t="s">
        <v>4997</v>
      </c>
      <c r="C8818" s="1" t="s">
        <v>4998</v>
      </c>
      <c r="D8818" s="22" t="str">
        <f>HYPERLINK("https://rhld.insurance.arkansas.gov/NPILookup?Npi=1477059756","1477059756")</f>
        <v>1477059756</v>
      </c>
      <c r="E8818" s="1" t="s">
        <v>5059</v>
      </c>
      <c r="F8818" s="2"/>
      <c r="G8818" s="2"/>
      <c r="H8818" s="2"/>
    </row>
    <row r="8819" spans="1:8" x14ac:dyDescent="0.25">
      <c r="A8819" s="1"/>
      <c r="B8819" s="1" t="s">
        <v>4997</v>
      </c>
      <c r="C8819" s="1" t="s">
        <v>4998</v>
      </c>
      <c r="D8819" s="22" t="str">
        <f>HYPERLINK("https://rhld.insurance.arkansas.gov/NPILookup?Npi=1477660306","1477660306")</f>
        <v>1477660306</v>
      </c>
      <c r="E8819" s="1" t="s">
        <v>5060</v>
      </c>
      <c r="F8819" s="2"/>
      <c r="G8819" s="2"/>
      <c r="H8819" s="2"/>
    </row>
    <row r="8820" spans="1:8" x14ac:dyDescent="0.25">
      <c r="A8820" s="1"/>
      <c r="B8820" s="1" t="s">
        <v>4997</v>
      </c>
      <c r="C8820" s="1" t="s">
        <v>4998</v>
      </c>
      <c r="D8820" s="22" t="str">
        <f>HYPERLINK("https://rhld.insurance.arkansas.gov/NPILookup?Npi=1477787067","1477787067")</f>
        <v>1477787067</v>
      </c>
      <c r="E8820" s="1" t="s">
        <v>31603</v>
      </c>
      <c r="F8820" s="2"/>
      <c r="G8820" s="2"/>
      <c r="H8820" s="2"/>
    </row>
    <row r="8821" spans="1:8" x14ac:dyDescent="0.25">
      <c r="A8821" s="1"/>
      <c r="B8821" s="1" t="s">
        <v>4997</v>
      </c>
      <c r="C8821" s="1" t="s">
        <v>4998</v>
      </c>
      <c r="D8821" s="22" t="str">
        <f>HYPERLINK("https://rhld.insurance.arkansas.gov/NPILookup?Npi=1477949089","1477949089")</f>
        <v>1477949089</v>
      </c>
      <c r="E8821" s="1" t="s">
        <v>5061</v>
      </c>
      <c r="F8821" s="2"/>
      <c r="G8821" s="2"/>
      <c r="H8821" s="2"/>
    </row>
    <row r="8822" spans="1:8" x14ac:dyDescent="0.25">
      <c r="A8822" s="1"/>
      <c r="B8822" s="1" t="s">
        <v>4997</v>
      </c>
      <c r="C8822" s="1" t="s">
        <v>4998</v>
      </c>
      <c r="D8822" s="22" t="str">
        <f>HYPERLINK("https://rhld.insurance.arkansas.gov/NPILookup?Npi=1487705141","1487705141")</f>
        <v>1487705141</v>
      </c>
      <c r="E8822" s="1" t="s">
        <v>5062</v>
      </c>
      <c r="F8822" s="2"/>
      <c r="G8822" s="2"/>
      <c r="H8822" s="2"/>
    </row>
    <row r="8823" spans="1:8" x14ac:dyDescent="0.25">
      <c r="A8823" s="1"/>
      <c r="B8823" s="1" t="s">
        <v>4997</v>
      </c>
      <c r="C8823" s="1" t="s">
        <v>4998</v>
      </c>
      <c r="D8823" s="22" t="str">
        <f>HYPERLINK("https://rhld.insurance.arkansas.gov/NPILookup?Npi=1487970497","1487970497")</f>
        <v>1487970497</v>
      </c>
      <c r="E8823" s="1" t="s">
        <v>19193</v>
      </c>
      <c r="F8823" s="2"/>
      <c r="G8823" s="2"/>
      <c r="H8823" s="2"/>
    </row>
    <row r="8824" spans="1:8" x14ac:dyDescent="0.25">
      <c r="A8824" s="1"/>
      <c r="B8824" s="1" t="s">
        <v>4997</v>
      </c>
      <c r="C8824" s="1" t="s">
        <v>4998</v>
      </c>
      <c r="D8824" s="22" t="str">
        <f>HYPERLINK("https://rhld.insurance.arkansas.gov/NPILookup?Npi=1497117147","1497117147")</f>
        <v>1497117147</v>
      </c>
      <c r="E8824" s="1" t="s">
        <v>10877</v>
      </c>
      <c r="F8824" s="2"/>
      <c r="G8824" s="2"/>
      <c r="H8824" s="2"/>
    </row>
    <row r="8825" spans="1:8" x14ac:dyDescent="0.25">
      <c r="A8825" s="1"/>
      <c r="B8825" s="1" t="s">
        <v>4997</v>
      </c>
      <c r="C8825" s="1" t="s">
        <v>4998</v>
      </c>
      <c r="D8825" s="22" t="str">
        <f>HYPERLINK("https://rhld.insurance.arkansas.gov/NPILookup?Npi=1497318646","1497318646")</f>
        <v>1497318646</v>
      </c>
      <c r="E8825" s="1" t="s">
        <v>19194</v>
      </c>
      <c r="F8825" s="2"/>
      <c r="G8825" s="2"/>
      <c r="H8825" s="2"/>
    </row>
    <row r="8826" spans="1:8" x14ac:dyDescent="0.25">
      <c r="A8826" s="1"/>
      <c r="B8826" s="1" t="s">
        <v>4997</v>
      </c>
      <c r="C8826" s="1" t="s">
        <v>4998</v>
      </c>
      <c r="D8826" s="22" t="str">
        <f>HYPERLINK("https://rhld.insurance.arkansas.gov/NPILookup?Npi=1497716575","1497716575")</f>
        <v>1497716575</v>
      </c>
      <c r="E8826" s="1" t="s">
        <v>5063</v>
      </c>
      <c r="F8826" s="2"/>
      <c r="G8826" s="2"/>
      <c r="H8826" s="2"/>
    </row>
    <row r="8827" spans="1:8" x14ac:dyDescent="0.25">
      <c r="A8827" s="1"/>
      <c r="B8827" s="1" t="s">
        <v>4997</v>
      </c>
      <c r="C8827" s="1" t="s">
        <v>4998</v>
      </c>
      <c r="D8827" s="22" t="str">
        <f>HYPERLINK("https://rhld.insurance.arkansas.gov/NPILookup?Npi=1497735740","1497735740")</f>
        <v>1497735740</v>
      </c>
      <c r="E8827" s="1" t="s">
        <v>5064</v>
      </c>
      <c r="F8827" s="2"/>
      <c r="G8827" s="2"/>
      <c r="H8827" s="2"/>
    </row>
    <row r="8828" spans="1:8" x14ac:dyDescent="0.25">
      <c r="A8828" s="1"/>
      <c r="B8828" s="1" t="s">
        <v>4997</v>
      </c>
      <c r="C8828" s="1" t="s">
        <v>4998</v>
      </c>
      <c r="D8828" s="22" t="str">
        <f>HYPERLINK("https://rhld.insurance.arkansas.gov/NPILookup?Npi=1508093675","1508093675")</f>
        <v>1508093675</v>
      </c>
      <c r="E8828" s="1" t="s">
        <v>5066</v>
      </c>
      <c r="F8828" s="2"/>
      <c r="G8828" s="2"/>
      <c r="H8828" s="2"/>
    </row>
    <row r="8829" spans="1:8" x14ac:dyDescent="0.25">
      <c r="A8829" s="1"/>
      <c r="B8829" s="1" t="s">
        <v>4997</v>
      </c>
      <c r="C8829" s="1" t="s">
        <v>4998</v>
      </c>
      <c r="D8829" s="22" t="str">
        <f>HYPERLINK("https://rhld.insurance.arkansas.gov/NPILookup?Npi=1508138314","1508138314")</f>
        <v>1508138314</v>
      </c>
      <c r="E8829" s="1" t="s">
        <v>31604</v>
      </c>
      <c r="F8829" s="2"/>
      <c r="G8829" s="2"/>
      <c r="H8829" s="2"/>
    </row>
    <row r="8830" spans="1:8" x14ac:dyDescent="0.25">
      <c r="A8830" s="1"/>
      <c r="B8830" s="1" t="s">
        <v>4997</v>
      </c>
      <c r="C8830" s="1" t="s">
        <v>4998</v>
      </c>
      <c r="D8830" s="22" t="str">
        <f>HYPERLINK("https://rhld.insurance.arkansas.gov/NPILookup?Npi=1508237660","1508237660")</f>
        <v>1508237660</v>
      </c>
      <c r="E8830" s="1" t="s">
        <v>5067</v>
      </c>
      <c r="F8830" s="2"/>
      <c r="G8830" s="2"/>
      <c r="H8830" s="2"/>
    </row>
    <row r="8831" spans="1:8" x14ac:dyDescent="0.25">
      <c r="A8831" s="1"/>
      <c r="B8831" s="1" t="s">
        <v>4997</v>
      </c>
      <c r="C8831" s="1" t="s">
        <v>4998</v>
      </c>
      <c r="D8831" s="22" t="str">
        <f>HYPERLINK("https://rhld.insurance.arkansas.gov/NPILookup?Npi=1508245572","1508245572")</f>
        <v>1508245572</v>
      </c>
      <c r="E8831" s="1" t="s">
        <v>31605</v>
      </c>
      <c r="F8831" s="2"/>
      <c r="G8831" s="2"/>
      <c r="H8831" s="2"/>
    </row>
    <row r="8832" spans="1:8" x14ac:dyDescent="0.25">
      <c r="A8832" s="1"/>
      <c r="B8832" s="1" t="s">
        <v>4997</v>
      </c>
      <c r="C8832" s="1" t="s">
        <v>4998</v>
      </c>
      <c r="D8832" s="22" t="str">
        <f>HYPERLINK("https://rhld.insurance.arkansas.gov/NPILookup?Npi=1508268301","1508268301")</f>
        <v>1508268301</v>
      </c>
      <c r="E8832" s="1" t="s">
        <v>19195</v>
      </c>
      <c r="F8832" s="2"/>
      <c r="G8832" s="2"/>
      <c r="H8832" s="2"/>
    </row>
    <row r="8833" spans="1:8" x14ac:dyDescent="0.25">
      <c r="A8833" s="1"/>
      <c r="B8833" s="1" t="s">
        <v>4997</v>
      </c>
      <c r="C8833" s="1" t="s">
        <v>4998</v>
      </c>
      <c r="D8833" s="22" t="str">
        <f>HYPERLINK("https://rhld.insurance.arkansas.gov/NPILookup?Npi=1508419482","1508419482")</f>
        <v>1508419482</v>
      </c>
      <c r="E8833" s="1" t="s">
        <v>31606</v>
      </c>
      <c r="F8833" s="2"/>
      <c r="G8833" s="2"/>
      <c r="H8833" s="2"/>
    </row>
    <row r="8834" spans="1:8" x14ac:dyDescent="0.25">
      <c r="A8834" s="1"/>
      <c r="B8834" s="1" t="s">
        <v>4997</v>
      </c>
      <c r="C8834" s="1" t="s">
        <v>4998</v>
      </c>
      <c r="D8834" s="22" t="str">
        <f>HYPERLINK("https://rhld.insurance.arkansas.gov/NPILookup?Npi=1508863051","1508863051")</f>
        <v>1508863051</v>
      </c>
      <c r="E8834" s="1" t="s">
        <v>19196</v>
      </c>
      <c r="F8834" s="2"/>
      <c r="G8834" s="2"/>
      <c r="H8834" s="2"/>
    </row>
    <row r="8835" spans="1:8" x14ac:dyDescent="0.25">
      <c r="A8835" s="1"/>
      <c r="B8835" s="1" t="s">
        <v>4997</v>
      </c>
      <c r="C8835" s="1" t="s">
        <v>4998</v>
      </c>
      <c r="D8835" s="22" t="str">
        <f>HYPERLINK("https://rhld.insurance.arkansas.gov/NPILookup?Npi=1508971920","1508971920")</f>
        <v>1508971920</v>
      </c>
      <c r="E8835" s="1" t="s">
        <v>31607</v>
      </c>
      <c r="F8835" s="2"/>
      <c r="G8835" s="2"/>
      <c r="H8835" s="2"/>
    </row>
    <row r="8836" spans="1:8" x14ac:dyDescent="0.25">
      <c r="A8836" s="1"/>
      <c r="B8836" s="1" t="s">
        <v>4997</v>
      </c>
      <c r="C8836" s="1" t="s">
        <v>4998</v>
      </c>
      <c r="D8836" s="22" t="str">
        <f>HYPERLINK("https://rhld.insurance.arkansas.gov/NPILookup?Npi=1528051125","1528051125")</f>
        <v>1528051125</v>
      </c>
      <c r="E8836" s="1" t="s">
        <v>19197</v>
      </c>
      <c r="F8836" s="2"/>
      <c r="G8836" s="2"/>
      <c r="H8836" s="2"/>
    </row>
    <row r="8837" spans="1:8" x14ac:dyDescent="0.25">
      <c r="A8837" s="1"/>
      <c r="B8837" s="1" t="s">
        <v>4997</v>
      </c>
      <c r="C8837" s="1" t="s">
        <v>4998</v>
      </c>
      <c r="D8837" s="22" t="str">
        <f>HYPERLINK("https://rhld.insurance.arkansas.gov/NPILookup?Npi=1528278223","1528278223")</f>
        <v>1528278223</v>
      </c>
      <c r="E8837" s="1" t="s">
        <v>19199</v>
      </c>
      <c r="F8837" s="2"/>
      <c r="G8837" s="2"/>
      <c r="H8837" s="2"/>
    </row>
    <row r="8838" spans="1:8" x14ac:dyDescent="0.25">
      <c r="A8838" s="1"/>
      <c r="B8838" s="1" t="s">
        <v>4997</v>
      </c>
      <c r="C8838" s="1" t="s">
        <v>4998</v>
      </c>
      <c r="D8838" s="22" t="str">
        <f>HYPERLINK("https://rhld.insurance.arkansas.gov/NPILookup?Npi=1528347614","1528347614")</f>
        <v>1528347614</v>
      </c>
      <c r="E8838" s="1" t="s">
        <v>19200</v>
      </c>
      <c r="F8838" s="2"/>
      <c r="G8838" s="2"/>
      <c r="H8838" s="2"/>
    </row>
    <row r="8839" spans="1:8" x14ac:dyDescent="0.25">
      <c r="A8839" s="1"/>
      <c r="B8839" s="1" t="s">
        <v>4997</v>
      </c>
      <c r="C8839" s="1" t="s">
        <v>4998</v>
      </c>
      <c r="D8839" s="22" t="str">
        <f>HYPERLINK("https://rhld.insurance.arkansas.gov/NPILookup?Npi=1528494689","1528494689")</f>
        <v>1528494689</v>
      </c>
      <c r="E8839" s="1" t="s">
        <v>31608</v>
      </c>
      <c r="F8839" s="2"/>
      <c r="G8839" s="2"/>
      <c r="H8839" s="2"/>
    </row>
    <row r="8840" spans="1:8" x14ac:dyDescent="0.25">
      <c r="A8840" s="1"/>
      <c r="B8840" s="1" t="s">
        <v>4997</v>
      </c>
      <c r="C8840" s="1" t="s">
        <v>4998</v>
      </c>
      <c r="D8840" s="22" t="str">
        <f>HYPERLINK("https://rhld.insurance.arkansas.gov/NPILookup?Npi=1538101928","1538101928")</f>
        <v>1538101928</v>
      </c>
      <c r="E8840" s="1" t="s">
        <v>19201</v>
      </c>
      <c r="F8840" s="2"/>
      <c r="G8840" s="2"/>
      <c r="H8840" s="2"/>
    </row>
    <row r="8841" spans="1:8" x14ac:dyDescent="0.25">
      <c r="A8841" s="1"/>
      <c r="B8841" s="1" t="s">
        <v>4997</v>
      </c>
      <c r="C8841" s="1" t="s">
        <v>4998</v>
      </c>
      <c r="D8841" s="22" t="str">
        <f>HYPERLINK("https://rhld.insurance.arkansas.gov/NPILookup?Npi=1538319884","1538319884")</f>
        <v>1538319884</v>
      </c>
      <c r="E8841" s="1" t="s">
        <v>5068</v>
      </c>
      <c r="F8841" s="2"/>
      <c r="G8841" s="2"/>
      <c r="H8841" s="2"/>
    </row>
    <row r="8842" spans="1:8" x14ac:dyDescent="0.25">
      <c r="A8842" s="1"/>
      <c r="B8842" s="1" t="s">
        <v>4997</v>
      </c>
      <c r="C8842" s="1" t="s">
        <v>4998</v>
      </c>
      <c r="D8842" s="22" t="str">
        <f>HYPERLINK("https://rhld.insurance.arkansas.gov/NPILookup?Npi=1538503131","1538503131")</f>
        <v>1538503131</v>
      </c>
      <c r="E8842" s="1" t="s">
        <v>31609</v>
      </c>
      <c r="F8842" s="2"/>
      <c r="G8842" s="2"/>
      <c r="H8842" s="2"/>
    </row>
    <row r="8843" spans="1:8" x14ac:dyDescent="0.25">
      <c r="A8843" s="1"/>
      <c r="B8843" s="1" t="s">
        <v>4997</v>
      </c>
      <c r="C8843" s="1" t="s">
        <v>4998</v>
      </c>
      <c r="D8843" s="22" t="str">
        <f>HYPERLINK("https://rhld.insurance.arkansas.gov/NPILookup?Npi=1538515465","1538515465")</f>
        <v>1538515465</v>
      </c>
      <c r="E8843" s="1" t="s">
        <v>31610</v>
      </c>
      <c r="F8843" s="2"/>
      <c r="G8843" s="2"/>
      <c r="H8843" s="2"/>
    </row>
    <row r="8844" spans="1:8" x14ac:dyDescent="0.25">
      <c r="A8844" s="1"/>
      <c r="B8844" s="1" t="s">
        <v>4997</v>
      </c>
      <c r="C8844" s="1" t="s">
        <v>4998</v>
      </c>
      <c r="D8844" s="22" t="str">
        <f>HYPERLINK("https://rhld.insurance.arkansas.gov/NPILookup?Npi=1548200116","1548200116")</f>
        <v>1548200116</v>
      </c>
      <c r="E8844" s="1" t="s">
        <v>31611</v>
      </c>
      <c r="F8844" s="2"/>
      <c r="G8844" s="2"/>
      <c r="H8844" s="2"/>
    </row>
    <row r="8845" spans="1:8" x14ac:dyDescent="0.25">
      <c r="A8845" s="1"/>
      <c r="B8845" s="1" t="s">
        <v>4997</v>
      </c>
      <c r="C8845" s="1" t="s">
        <v>4998</v>
      </c>
      <c r="D8845" s="22" t="str">
        <f>HYPERLINK("https://rhld.insurance.arkansas.gov/NPILookup?Npi=1548273394","1548273394")</f>
        <v>1548273394</v>
      </c>
      <c r="E8845" s="1" t="s">
        <v>19203</v>
      </c>
      <c r="F8845" s="2"/>
      <c r="G8845" s="2"/>
      <c r="H8845" s="2"/>
    </row>
    <row r="8846" spans="1:8" x14ac:dyDescent="0.25">
      <c r="A8846" s="1"/>
      <c r="B8846" s="1" t="s">
        <v>4997</v>
      </c>
      <c r="C8846" s="1" t="s">
        <v>4998</v>
      </c>
      <c r="D8846" s="22" t="str">
        <f>HYPERLINK("https://rhld.insurance.arkansas.gov/NPILookup?Npi=1548466030","1548466030")</f>
        <v>1548466030</v>
      </c>
      <c r="E8846" s="1" t="s">
        <v>10878</v>
      </c>
      <c r="F8846" s="2"/>
      <c r="G8846" s="2"/>
      <c r="H8846" s="2"/>
    </row>
    <row r="8847" spans="1:8" x14ac:dyDescent="0.25">
      <c r="A8847" s="1"/>
      <c r="B8847" s="1" t="s">
        <v>4997</v>
      </c>
      <c r="C8847" s="1" t="s">
        <v>4998</v>
      </c>
      <c r="D8847" s="22" t="str">
        <f>HYPERLINK("https://rhld.insurance.arkansas.gov/NPILookup?Npi=1548490428","1548490428")</f>
        <v>1548490428</v>
      </c>
      <c r="E8847" s="1" t="s">
        <v>19204</v>
      </c>
      <c r="F8847" s="2"/>
      <c r="G8847" s="2"/>
      <c r="H8847" s="2"/>
    </row>
    <row r="8848" spans="1:8" x14ac:dyDescent="0.25">
      <c r="A8848" s="1"/>
      <c r="B8848" s="1" t="s">
        <v>4997</v>
      </c>
      <c r="C8848" s="1" t="s">
        <v>4998</v>
      </c>
      <c r="D8848" s="22" t="str">
        <f>HYPERLINK("https://rhld.insurance.arkansas.gov/NPILookup?Npi=1548581275","1548581275")</f>
        <v>1548581275</v>
      </c>
      <c r="E8848" s="1" t="s">
        <v>19205</v>
      </c>
      <c r="F8848" s="2"/>
      <c r="G8848" s="2"/>
      <c r="H8848" s="2"/>
    </row>
    <row r="8849" spans="1:8" x14ac:dyDescent="0.25">
      <c r="A8849" s="1"/>
      <c r="B8849" s="1" t="s">
        <v>4997</v>
      </c>
      <c r="C8849" s="1" t="s">
        <v>4998</v>
      </c>
      <c r="D8849" s="22" t="str">
        <f>HYPERLINK("https://rhld.insurance.arkansas.gov/NPILookup?Npi=1558392233","1558392233")</f>
        <v>1558392233</v>
      </c>
      <c r="E8849" s="1" t="s">
        <v>10879</v>
      </c>
      <c r="F8849" s="2"/>
      <c r="G8849" s="2"/>
      <c r="H8849" s="2"/>
    </row>
    <row r="8850" spans="1:8" x14ac:dyDescent="0.25">
      <c r="A8850" s="1"/>
      <c r="B8850" s="1" t="s">
        <v>4997</v>
      </c>
      <c r="C8850" s="1" t="s">
        <v>4998</v>
      </c>
      <c r="D8850" s="22" t="str">
        <f>HYPERLINK("https://rhld.insurance.arkansas.gov/NPILookup?Npi=1558724799","1558724799")</f>
        <v>1558724799</v>
      </c>
      <c r="E8850" s="1" t="s">
        <v>31612</v>
      </c>
      <c r="F8850" s="2"/>
      <c r="G8850" s="2"/>
      <c r="H8850" s="2"/>
    </row>
    <row r="8851" spans="1:8" x14ac:dyDescent="0.25">
      <c r="A8851" s="1"/>
      <c r="B8851" s="1" t="s">
        <v>4997</v>
      </c>
      <c r="C8851" s="1" t="s">
        <v>4998</v>
      </c>
      <c r="D8851" s="22" t="str">
        <f>HYPERLINK("https://rhld.insurance.arkansas.gov/NPILookup?Npi=1558758128","1558758128")</f>
        <v>1558758128</v>
      </c>
      <c r="E8851" s="1" t="s">
        <v>4217</v>
      </c>
      <c r="F8851" s="2"/>
      <c r="G8851" s="2"/>
      <c r="H8851" s="2"/>
    </row>
    <row r="8852" spans="1:8" x14ac:dyDescent="0.25">
      <c r="A8852" s="1"/>
      <c r="B8852" s="1" t="s">
        <v>4997</v>
      </c>
      <c r="C8852" s="1" t="s">
        <v>4998</v>
      </c>
      <c r="D8852" s="22" t="str">
        <f>HYPERLINK("https://rhld.insurance.arkansas.gov/NPILookup?Npi=1568090058","1568090058")</f>
        <v>1568090058</v>
      </c>
      <c r="E8852" s="1" t="s">
        <v>31613</v>
      </c>
      <c r="F8852" s="2"/>
      <c r="G8852" s="2"/>
      <c r="H8852" s="2"/>
    </row>
    <row r="8853" spans="1:8" x14ac:dyDescent="0.25">
      <c r="A8853" s="1"/>
      <c r="B8853" s="1" t="s">
        <v>4997</v>
      </c>
      <c r="C8853" s="1" t="s">
        <v>4998</v>
      </c>
      <c r="D8853" s="22" t="str">
        <f>HYPERLINK("https://rhld.insurance.arkansas.gov/NPILookup?Npi=1568406791","1568406791")</f>
        <v>1568406791</v>
      </c>
      <c r="E8853" s="1" t="s">
        <v>5069</v>
      </c>
      <c r="F8853" s="2"/>
      <c r="G8853" s="2"/>
      <c r="H8853" s="2"/>
    </row>
    <row r="8854" spans="1:8" x14ac:dyDescent="0.25">
      <c r="A8854" s="1"/>
      <c r="B8854" s="1" t="s">
        <v>4997</v>
      </c>
      <c r="C8854" s="1" t="s">
        <v>4998</v>
      </c>
      <c r="D8854" s="22" t="str">
        <f>HYPERLINK("https://rhld.insurance.arkansas.gov/NPILookup?Npi=1568620136","1568620136")</f>
        <v>1568620136</v>
      </c>
      <c r="E8854" s="1" t="s">
        <v>31614</v>
      </c>
      <c r="F8854" s="2"/>
      <c r="G8854" s="2"/>
      <c r="H8854" s="2"/>
    </row>
    <row r="8855" spans="1:8" x14ac:dyDescent="0.25">
      <c r="A8855" s="1"/>
      <c r="B8855" s="1" t="s">
        <v>4997</v>
      </c>
      <c r="C8855" s="1" t="s">
        <v>4998</v>
      </c>
      <c r="D8855" s="22" t="str">
        <f>HYPERLINK("https://rhld.insurance.arkansas.gov/NPILookup?Npi=1568626976","1568626976")</f>
        <v>1568626976</v>
      </c>
      <c r="E8855" s="1" t="s">
        <v>10880</v>
      </c>
      <c r="F8855" s="2"/>
      <c r="G8855" s="2"/>
      <c r="H8855" s="2"/>
    </row>
    <row r="8856" spans="1:8" x14ac:dyDescent="0.25">
      <c r="A8856" s="1"/>
      <c r="B8856" s="1" t="s">
        <v>4997</v>
      </c>
      <c r="C8856" s="1" t="s">
        <v>4998</v>
      </c>
      <c r="D8856" s="22" t="str">
        <f>HYPERLINK("https://rhld.insurance.arkansas.gov/NPILookup?Npi=1568921864","1568921864")</f>
        <v>1568921864</v>
      </c>
      <c r="E8856" s="1" t="s">
        <v>31615</v>
      </c>
      <c r="F8856" s="2"/>
      <c r="G8856" s="2"/>
      <c r="H8856" s="2"/>
    </row>
    <row r="8857" spans="1:8" x14ac:dyDescent="0.25">
      <c r="A8857" s="1"/>
      <c r="B8857" s="1" t="s">
        <v>4997</v>
      </c>
      <c r="C8857" s="1" t="s">
        <v>4998</v>
      </c>
      <c r="D8857" s="22" t="str">
        <f>HYPERLINK("https://rhld.insurance.arkansas.gov/NPILookup?Npi=1578060075","1578060075")</f>
        <v>1578060075</v>
      </c>
      <c r="E8857" s="1" t="s">
        <v>31616</v>
      </c>
      <c r="F8857" s="2"/>
      <c r="G8857" s="2"/>
      <c r="H8857" s="2"/>
    </row>
    <row r="8858" spans="1:8" x14ac:dyDescent="0.25">
      <c r="A8858" s="1"/>
      <c r="B8858" s="1" t="s">
        <v>4997</v>
      </c>
      <c r="C8858" s="1" t="s">
        <v>4998</v>
      </c>
      <c r="D8858" s="22" t="str">
        <f>HYPERLINK("https://rhld.insurance.arkansas.gov/NPILookup?Npi=1578098166","1578098166")</f>
        <v>1578098166</v>
      </c>
      <c r="E8858" s="1" t="s">
        <v>19206</v>
      </c>
      <c r="F8858" s="2"/>
      <c r="G8858" s="2"/>
      <c r="H8858" s="2"/>
    </row>
    <row r="8859" spans="1:8" x14ac:dyDescent="0.25">
      <c r="A8859" s="1"/>
      <c r="B8859" s="1" t="s">
        <v>4997</v>
      </c>
      <c r="C8859" s="1" t="s">
        <v>4998</v>
      </c>
      <c r="D8859" s="22" t="str">
        <f>HYPERLINK("https://rhld.insurance.arkansas.gov/NPILookup?Npi=1578502753","1578502753")</f>
        <v>1578502753</v>
      </c>
      <c r="E8859" s="1" t="s">
        <v>5070</v>
      </c>
      <c r="F8859" s="2"/>
      <c r="G8859" s="2"/>
      <c r="H8859" s="2"/>
    </row>
    <row r="8860" spans="1:8" x14ac:dyDescent="0.25">
      <c r="A8860" s="1"/>
      <c r="B8860" s="1" t="s">
        <v>4997</v>
      </c>
      <c r="C8860" s="1" t="s">
        <v>4998</v>
      </c>
      <c r="D8860" s="22" t="str">
        <f>HYPERLINK("https://rhld.insurance.arkansas.gov/NPILookup?Npi=1578649224","1578649224")</f>
        <v>1578649224</v>
      </c>
      <c r="E8860" s="1" t="s">
        <v>31617</v>
      </c>
      <c r="F8860" s="2"/>
      <c r="G8860" s="2"/>
      <c r="H8860" s="2"/>
    </row>
    <row r="8861" spans="1:8" x14ac:dyDescent="0.25">
      <c r="A8861" s="1"/>
      <c r="B8861" s="1" t="s">
        <v>4997</v>
      </c>
      <c r="C8861" s="1" t="s">
        <v>4998</v>
      </c>
      <c r="D8861" s="22" t="str">
        <f>HYPERLINK("https://rhld.insurance.arkansas.gov/NPILookup?Npi=1588079560","1588079560")</f>
        <v>1588079560</v>
      </c>
      <c r="E8861" s="1" t="s">
        <v>10881</v>
      </c>
      <c r="F8861" s="2"/>
      <c r="G8861" s="2"/>
      <c r="H8861" s="2"/>
    </row>
    <row r="8862" spans="1:8" x14ac:dyDescent="0.25">
      <c r="A8862" s="1"/>
      <c r="B8862" s="1" t="s">
        <v>4997</v>
      </c>
      <c r="C8862" s="1" t="s">
        <v>4998</v>
      </c>
      <c r="D8862" s="22" t="str">
        <f>HYPERLINK("https://rhld.insurance.arkansas.gov/NPILookup?Npi=1588751523","1588751523")</f>
        <v>1588751523</v>
      </c>
      <c r="E8862" s="1" t="s">
        <v>19208</v>
      </c>
      <c r="F8862" s="2"/>
      <c r="G8862" s="2"/>
      <c r="H8862" s="2"/>
    </row>
    <row r="8863" spans="1:8" x14ac:dyDescent="0.25">
      <c r="A8863" s="1"/>
      <c r="B8863" s="1" t="s">
        <v>4997</v>
      </c>
      <c r="C8863" s="1" t="s">
        <v>4998</v>
      </c>
      <c r="D8863" s="22" t="str">
        <f>HYPERLINK("https://rhld.insurance.arkansas.gov/NPILookup?Npi=1588770093","1588770093")</f>
        <v>1588770093</v>
      </c>
      <c r="E8863" s="1" t="s">
        <v>5071</v>
      </c>
      <c r="F8863" s="2"/>
      <c r="G8863" s="2"/>
      <c r="H8863" s="2"/>
    </row>
    <row r="8864" spans="1:8" x14ac:dyDescent="0.25">
      <c r="A8864" s="1"/>
      <c r="B8864" s="1" t="s">
        <v>4997</v>
      </c>
      <c r="C8864" s="1" t="s">
        <v>4998</v>
      </c>
      <c r="D8864" s="22" t="str">
        <f>HYPERLINK("https://rhld.insurance.arkansas.gov/NPILookup?Npi=1588817522","1588817522")</f>
        <v>1588817522</v>
      </c>
      <c r="E8864" s="1" t="s">
        <v>6482</v>
      </c>
      <c r="F8864" s="2"/>
      <c r="G8864" s="2"/>
      <c r="H8864" s="2"/>
    </row>
    <row r="8865" spans="1:8" x14ac:dyDescent="0.25">
      <c r="A8865" s="1"/>
      <c r="B8865" s="1" t="s">
        <v>4997</v>
      </c>
      <c r="C8865" s="1" t="s">
        <v>4998</v>
      </c>
      <c r="D8865" s="22" t="str">
        <f>HYPERLINK("https://rhld.insurance.arkansas.gov/NPILookup?Npi=1598152928","1598152928")</f>
        <v>1598152928</v>
      </c>
      <c r="E8865" s="1" t="s">
        <v>19210</v>
      </c>
      <c r="F8865" s="2"/>
      <c r="G8865" s="2"/>
      <c r="H8865" s="2"/>
    </row>
    <row r="8866" spans="1:8" x14ac:dyDescent="0.25">
      <c r="A8866" s="1"/>
      <c r="B8866" s="1" t="s">
        <v>4997</v>
      </c>
      <c r="C8866" s="1" t="s">
        <v>4998</v>
      </c>
      <c r="D8866" s="22" t="str">
        <f>HYPERLINK("https://rhld.insurance.arkansas.gov/NPILookup?Npi=1598945156","1598945156")</f>
        <v>1598945156</v>
      </c>
      <c r="E8866" s="1" t="s">
        <v>5073</v>
      </c>
      <c r="F8866" s="2"/>
      <c r="G8866" s="2"/>
      <c r="H8866" s="2"/>
    </row>
    <row r="8867" spans="1:8" x14ac:dyDescent="0.25">
      <c r="A8867" s="1"/>
      <c r="B8867" s="1" t="s">
        <v>4997</v>
      </c>
      <c r="C8867" s="1" t="s">
        <v>4998</v>
      </c>
      <c r="D8867" s="22" t="str">
        <f>HYPERLINK("https://rhld.insurance.arkansas.gov/NPILookup?Npi=1609223601","1609223601")</f>
        <v>1609223601</v>
      </c>
      <c r="E8867" s="1" t="s">
        <v>19211</v>
      </c>
      <c r="F8867" s="2"/>
      <c r="G8867" s="2"/>
      <c r="H8867" s="2"/>
    </row>
    <row r="8868" spans="1:8" x14ac:dyDescent="0.25">
      <c r="A8868" s="1"/>
      <c r="B8868" s="1" t="s">
        <v>4997</v>
      </c>
      <c r="C8868" s="1" t="s">
        <v>4998</v>
      </c>
      <c r="D8868" s="22" t="str">
        <f>HYPERLINK("https://rhld.insurance.arkansas.gov/NPILookup?Npi=1609832849","1609832849")</f>
        <v>1609832849</v>
      </c>
      <c r="E8868" s="1" t="s">
        <v>19213</v>
      </c>
      <c r="F8868" s="2"/>
      <c r="G8868" s="2"/>
      <c r="H8868" s="2"/>
    </row>
    <row r="8869" spans="1:8" x14ac:dyDescent="0.25">
      <c r="A8869" s="1"/>
      <c r="B8869" s="1" t="s">
        <v>4997</v>
      </c>
      <c r="C8869" s="1" t="s">
        <v>4998</v>
      </c>
      <c r="D8869" s="22" t="str">
        <f>HYPERLINK("https://rhld.insurance.arkansas.gov/NPILookup?Npi=1609856269","1609856269")</f>
        <v>1609856269</v>
      </c>
      <c r="E8869" s="1" t="s">
        <v>10882</v>
      </c>
      <c r="F8869" s="2"/>
      <c r="G8869" s="2"/>
      <c r="H8869" s="2"/>
    </row>
    <row r="8870" spans="1:8" x14ac:dyDescent="0.25">
      <c r="A8870" s="1"/>
      <c r="B8870" s="1" t="s">
        <v>4997</v>
      </c>
      <c r="C8870" s="1" t="s">
        <v>4998</v>
      </c>
      <c r="D8870" s="22" t="str">
        <f>HYPERLINK("https://rhld.insurance.arkansas.gov/NPILookup?Npi=1609876515","1609876515")</f>
        <v>1609876515</v>
      </c>
      <c r="E8870" s="1" t="s">
        <v>5074</v>
      </c>
      <c r="F8870" s="2"/>
      <c r="G8870" s="2"/>
      <c r="H8870" s="2"/>
    </row>
    <row r="8871" spans="1:8" x14ac:dyDescent="0.25">
      <c r="A8871" s="1"/>
      <c r="B8871" s="1" t="s">
        <v>4997</v>
      </c>
      <c r="C8871" s="1" t="s">
        <v>4998</v>
      </c>
      <c r="D8871" s="22" t="str">
        <f>HYPERLINK("https://rhld.insurance.arkansas.gov/NPILookup?Npi=1619314705","1619314705")</f>
        <v>1619314705</v>
      </c>
      <c r="E8871" s="1" t="s">
        <v>31618</v>
      </c>
      <c r="F8871" s="2"/>
      <c r="G8871" s="2"/>
      <c r="H8871" s="2"/>
    </row>
    <row r="8872" spans="1:8" x14ac:dyDescent="0.25">
      <c r="A8872" s="1"/>
      <c r="B8872" s="1" t="s">
        <v>4997</v>
      </c>
      <c r="C8872" s="1" t="s">
        <v>4998</v>
      </c>
      <c r="D8872" s="22" t="str">
        <f>HYPERLINK("https://rhld.insurance.arkansas.gov/NPILookup?Npi=1619316650","1619316650")</f>
        <v>1619316650</v>
      </c>
      <c r="E8872" s="1" t="s">
        <v>4341</v>
      </c>
      <c r="F8872" s="2"/>
      <c r="G8872" s="2"/>
      <c r="H8872" s="2"/>
    </row>
    <row r="8873" spans="1:8" x14ac:dyDescent="0.25">
      <c r="A8873" s="1"/>
      <c r="B8873" s="1" t="s">
        <v>4997</v>
      </c>
      <c r="C8873" s="1" t="s">
        <v>4998</v>
      </c>
      <c r="D8873" s="22" t="str">
        <f>HYPERLINK("https://rhld.insurance.arkansas.gov/NPILookup?Npi=1619400520","1619400520")</f>
        <v>1619400520</v>
      </c>
      <c r="E8873" s="1" t="s">
        <v>31619</v>
      </c>
      <c r="F8873" s="2"/>
      <c r="G8873" s="2"/>
      <c r="H8873" s="2"/>
    </row>
    <row r="8874" spans="1:8" x14ac:dyDescent="0.25">
      <c r="A8874" s="1"/>
      <c r="B8874" s="1" t="s">
        <v>4997</v>
      </c>
      <c r="C8874" s="1" t="s">
        <v>4998</v>
      </c>
      <c r="D8874" s="22" t="str">
        <f>HYPERLINK("https://rhld.insurance.arkansas.gov/NPILookup?Npi=1619408259","1619408259")</f>
        <v>1619408259</v>
      </c>
      <c r="E8874" s="1" t="s">
        <v>19214</v>
      </c>
      <c r="F8874" s="2"/>
      <c r="G8874" s="2"/>
      <c r="H8874" s="2"/>
    </row>
    <row r="8875" spans="1:8" x14ac:dyDescent="0.25">
      <c r="A8875" s="1"/>
      <c r="B8875" s="1" t="s">
        <v>4997</v>
      </c>
      <c r="C8875" s="1" t="s">
        <v>4998</v>
      </c>
      <c r="D8875" s="22" t="str">
        <f>HYPERLINK("https://rhld.insurance.arkansas.gov/NPILookup?Npi=1619436474","1619436474")</f>
        <v>1619436474</v>
      </c>
      <c r="E8875" s="1" t="s">
        <v>31620</v>
      </c>
      <c r="F8875" s="2"/>
      <c r="G8875" s="2"/>
      <c r="H8875" s="2"/>
    </row>
    <row r="8876" spans="1:8" x14ac:dyDescent="0.25">
      <c r="A8876" s="1"/>
      <c r="B8876" s="1" t="s">
        <v>4997</v>
      </c>
      <c r="C8876" s="1" t="s">
        <v>4998</v>
      </c>
      <c r="D8876" s="22" t="str">
        <f>HYPERLINK("https://rhld.insurance.arkansas.gov/NPILookup?Npi=1619945532","1619945532")</f>
        <v>1619945532</v>
      </c>
      <c r="E8876" s="1" t="s">
        <v>5075</v>
      </c>
      <c r="F8876" s="2"/>
      <c r="G8876" s="2"/>
      <c r="H8876" s="2"/>
    </row>
    <row r="8877" spans="1:8" x14ac:dyDescent="0.25">
      <c r="A8877" s="1"/>
      <c r="B8877" s="1" t="s">
        <v>4997</v>
      </c>
      <c r="C8877" s="1" t="s">
        <v>4998</v>
      </c>
      <c r="D8877" s="22" t="str">
        <f>HYPERLINK("https://rhld.insurance.arkansas.gov/NPILookup?Npi=1629035969","1629035969")</f>
        <v>1629035969</v>
      </c>
      <c r="E8877" s="1" t="s">
        <v>19057</v>
      </c>
      <c r="F8877" s="2"/>
      <c r="G8877" s="2"/>
      <c r="H8877" s="2"/>
    </row>
    <row r="8878" spans="1:8" x14ac:dyDescent="0.25">
      <c r="A8878" s="1"/>
      <c r="B8878" s="1" t="s">
        <v>4997</v>
      </c>
      <c r="C8878" s="1" t="s">
        <v>4998</v>
      </c>
      <c r="D8878" s="22" t="str">
        <f>HYPERLINK("https://rhld.insurance.arkansas.gov/NPILookup?Npi=1629208434","1629208434")</f>
        <v>1629208434</v>
      </c>
      <c r="E8878" s="1" t="s">
        <v>2935</v>
      </c>
      <c r="F8878" s="2"/>
      <c r="G8878" s="2"/>
      <c r="H8878" s="2"/>
    </row>
    <row r="8879" spans="1:8" x14ac:dyDescent="0.25">
      <c r="A8879" s="1"/>
      <c r="B8879" s="1" t="s">
        <v>4997</v>
      </c>
      <c r="C8879" s="1" t="s">
        <v>4998</v>
      </c>
      <c r="D8879" s="22" t="str">
        <f>HYPERLINK("https://rhld.insurance.arkansas.gov/NPILookup?Npi=1629344882","1629344882")</f>
        <v>1629344882</v>
      </c>
      <c r="E8879" s="1" t="s">
        <v>31621</v>
      </c>
      <c r="F8879" s="2"/>
      <c r="G8879" s="2"/>
      <c r="H8879" s="2"/>
    </row>
    <row r="8880" spans="1:8" x14ac:dyDescent="0.25">
      <c r="A8880" s="1"/>
      <c r="B8880" s="1" t="s">
        <v>4997</v>
      </c>
      <c r="C8880" s="1" t="s">
        <v>4998</v>
      </c>
      <c r="D8880" s="22" t="str">
        <f>HYPERLINK("https://rhld.insurance.arkansas.gov/NPILookup?Npi=1629369475","1629369475")</f>
        <v>1629369475</v>
      </c>
      <c r="E8880" s="1" t="s">
        <v>19215</v>
      </c>
      <c r="F8880" s="2"/>
      <c r="G8880" s="2"/>
      <c r="H8880" s="2"/>
    </row>
    <row r="8881" spans="1:8" x14ac:dyDescent="0.25">
      <c r="A8881" s="1"/>
      <c r="B8881" s="1" t="s">
        <v>4997</v>
      </c>
      <c r="C8881" s="1" t="s">
        <v>4998</v>
      </c>
      <c r="D8881" s="22" t="str">
        <f>HYPERLINK("https://rhld.insurance.arkansas.gov/NPILookup?Npi=1629481577","1629481577")</f>
        <v>1629481577</v>
      </c>
      <c r="E8881" s="1" t="s">
        <v>10884</v>
      </c>
      <c r="F8881" s="2"/>
      <c r="G8881" s="2"/>
      <c r="H8881" s="2"/>
    </row>
    <row r="8882" spans="1:8" x14ac:dyDescent="0.25">
      <c r="A8882" s="1"/>
      <c r="B8882" s="1" t="s">
        <v>4997</v>
      </c>
      <c r="C8882" s="1" t="s">
        <v>4998</v>
      </c>
      <c r="D8882" s="22" t="str">
        <f>HYPERLINK("https://rhld.insurance.arkansas.gov/NPILookup?Npi=1629504063","1629504063")</f>
        <v>1629504063</v>
      </c>
      <c r="E8882" s="1" t="s">
        <v>10885</v>
      </c>
      <c r="F8882" s="2"/>
      <c r="G8882" s="2"/>
      <c r="H8882" s="2"/>
    </row>
    <row r="8883" spans="1:8" x14ac:dyDescent="0.25">
      <c r="A8883" s="1"/>
      <c r="B8883" s="1" t="s">
        <v>4997</v>
      </c>
      <c r="C8883" s="1" t="s">
        <v>4998</v>
      </c>
      <c r="D8883" s="22" t="str">
        <f>HYPERLINK("https://rhld.insurance.arkansas.gov/NPILookup?Npi=1639338585","1639338585")</f>
        <v>1639338585</v>
      </c>
      <c r="E8883" s="1" t="s">
        <v>19216</v>
      </c>
      <c r="F8883" s="2"/>
      <c r="G8883" s="2"/>
      <c r="H8883" s="2"/>
    </row>
    <row r="8884" spans="1:8" x14ac:dyDescent="0.25">
      <c r="A8884" s="1"/>
      <c r="B8884" s="1" t="s">
        <v>4997</v>
      </c>
      <c r="C8884" s="1" t="s">
        <v>4998</v>
      </c>
      <c r="D8884" s="22" t="str">
        <f>HYPERLINK("https://rhld.insurance.arkansas.gov/NPILookup?Npi=1639437452","1639437452")</f>
        <v>1639437452</v>
      </c>
      <c r="E8884" s="1" t="s">
        <v>31622</v>
      </c>
      <c r="F8884" s="2"/>
      <c r="G8884" s="2"/>
      <c r="H8884" s="2"/>
    </row>
    <row r="8885" spans="1:8" x14ac:dyDescent="0.25">
      <c r="A8885" s="1"/>
      <c r="B8885" s="1" t="s">
        <v>4997</v>
      </c>
      <c r="C8885" s="1" t="s">
        <v>4998</v>
      </c>
      <c r="D8885" s="22" t="str">
        <f>HYPERLINK("https://rhld.insurance.arkansas.gov/NPILookup?Npi=1639454937","1639454937")</f>
        <v>1639454937</v>
      </c>
      <c r="E8885" s="1" t="s">
        <v>19217</v>
      </c>
      <c r="F8885" s="2"/>
      <c r="G8885" s="2"/>
      <c r="H8885" s="2"/>
    </row>
    <row r="8886" spans="1:8" x14ac:dyDescent="0.25">
      <c r="A8886" s="1"/>
      <c r="B8886" s="1" t="s">
        <v>4997</v>
      </c>
      <c r="C8886" s="1" t="s">
        <v>4998</v>
      </c>
      <c r="D8886" s="22" t="str">
        <f>HYPERLINK("https://rhld.insurance.arkansas.gov/NPILookup?Npi=1639580707","1639580707")</f>
        <v>1639580707</v>
      </c>
      <c r="E8886" s="1" t="s">
        <v>5076</v>
      </c>
      <c r="F8886" s="2"/>
      <c r="G8886" s="2"/>
      <c r="H8886" s="2"/>
    </row>
    <row r="8887" spans="1:8" x14ac:dyDescent="0.25">
      <c r="A8887" s="1"/>
      <c r="B8887" s="1" t="s">
        <v>4997</v>
      </c>
      <c r="C8887" s="1" t="s">
        <v>4998</v>
      </c>
      <c r="D8887" s="22" t="str">
        <f>HYPERLINK("https://rhld.insurance.arkansas.gov/NPILookup?Npi=1649303108","1649303108")</f>
        <v>1649303108</v>
      </c>
      <c r="E8887" s="1" t="s">
        <v>31623</v>
      </c>
      <c r="F8887" s="2"/>
      <c r="G8887" s="2"/>
      <c r="H8887" s="2"/>
    </row>
    <row r="8888" spans="1:8" x14ac:dyDescent="0.25">
      <c r="A8888" s="1"/>
      <c r="B8888" s="1" t="s">
        <v>4997</v>
      </c>
      <c r="C8888" s="1" t="s">
        <v>4998</v>
      </c>
      <c r="D8888" s="22" t="str">
        <f>HYPERLINK("https://rhld.insurance.arkansas.gov/NPILookup?Npi=1649309394","1649309394")</f>
        <v>1649309394</v>
      </c>
      <c r="E8888" s="1" t="s">
        <v>19218</v>
      </c>
      <c r="F8888" s="2"/>
      <c r="G8888" s="2"/>
      <c r="H8888" s="2"/>
    </row>
    <row r="8889" spans="1:8" x14ac:dyDescent="0.25">
      <c r="A8889" s="1"/>
      <c r="B8889" s="1" t="s">
        <v>4997</v>
      </c>
      <c r="C8889" s="1" t="s">
        <v>4998</v>
      </c>
      <c r="D8889" s="22" t="str">
        <f>HYPERLINK("https://rhld.insurance.arkansas.gov/NPILookup?Npi=1649320987","1649320987")</f>
        <v>1649320987</v>
      </c>
      <c r="E8889" s="1" t="s">
        <v>31624</v>
      </c>
      <c r="F8889" s="2"/>
      <c r="G8889" s="2"/>
      <c r="H8889" s="2"/>
    </row>
    <row r="8890" spans="1:8" x14ac:dyDescent="0.25">
      <c r="A8890" s="1"/>
      <c r="B8890" s="1" t="s">
        <v>4997</v>
      </c>
      <c r="C8890" s="1" t="s">
        <v>4998</v>
      </c>
      <c r="D8890" s="22" t="str">
        <f>HYPERLINK("https://rhld.insurance.arkansas.gov/NPILookup?Npi=1649775503","1649775503")</f>
        <v>1649775503</v>
      </c>
      <c r="E8890" s="1" t="s">
        <v>5077</v>
      </c>
      <c r="F8890" s="2"/>
      <c r="G8890" s="2"/>
      <c r="H8890" s="2"/>
    </row>
    <row r="8891" spans="1:8" x14ac:dyDescent="0.25">
      <c r="A8891" s="1"/>
      <c r="B8891" s="1" t="s">
        <v>4997</v>
      </c>
      <c r="C8891" s="1" t="s">
        <v>4998</v>
      </c>
      <c r="D8891" s="22" t="str">
        <f>HYPERLINK("https://rhld.insurance.arkansas.gov/NPILookup?Npi=1649897687","1649897687")</f>
        <v>1649897687</v>
      </c>
      <c r="E8891" s="1" t="s">
        <v>31625</v>
      </c>
      <c r="F8891" s="2"/>
      <c r="G8891" s="2"/>
      <c r="H8891" s="2"/>
    </row>
    <row r="8892" spans="1:8" x14ac:dyDescent="0.25">
      <c r="A8892" s="1"/>
      <c r="B8892" s="1" t="s">
        <v>4997</v>
      </c>
      <c r="C8892" s="1" t="s">
        <v>4998</v>
      </c>
      <c r="D8892" s="22" t="str">
        <f>HYPERLINK("https://rhld.insurance.arkansas.gov/NPILookup?Npi=1659337855","1659337855")</f>
        <v>1659337855</v>
      </c>
      <c r="E8892" s="1" t="s">
        <v>19219</v>
      </c>
      <c r="F8892" s="2"/>
      <c r="G8892" s="2"/>
      <c r="H8892" s="2"/>
    </row>
    <row r="8893" spans="1:8" x14ac:dyDescent="0.25">
      <c r="A8893" s="1"/>
      <c r="B8893" s="1" t="s">
        <v>4997</v>
      </c>
      <c r="C8893" s="1" t="s">
        <v>4998</v>
      </c>
      <c r="D8893" s="22" t="str">
        <f>HYPERLINK("https://rhld.insurance.arkansas.gov/NPILookup?Npi=1659651552","1659651552")</f>
        <v>1659651552</v>
      </c>
      <c r="E8893" s="1" t="s">
        <v>9861</v>
      </c>
      <c r="F8893" s="2"/>
      <c r="G8893" s="2"/>
      <c r="H8893" s="2"/>
    </row>
    <row r="8894" spans="1:8" x14ac:dyDescent="0.25">
      <c r="A8894" s="1"/>
      <c r="B8894" s="1" t="s">
        <v>4997</v>
      </c>
      <c r="C8894" s="1" t="s">
        <v>4998</v>
      </c>
      <c r="D8894" s="22" t="str">
        <f>HYPERLINK("https://rhld.insurance.arkansas.gov/NPILookup?Npi=1669408696","1669408696")</f>
        <v>1669408696</v>
      </c>
      <c r="E8894" s="1" t="s">
        <v>19220</v>
      </c>
      <c r="F8894" s="2"/>
      <c r="G8894" s="2"/>
      <c r="H8894" s="2"/>
    </row>
    <row r="8895" spans="1:8" x14ac:dyDescent="0.25">
      <c r="A8895" s="1"/>
      <c r="B8895" s="1" t="s">
        <v>4997</v>
      </c>
      <c r="C8895" s="1" t="s">
        <v>4998</v>
      </c>
      <c r="D8895" s="22" t="str">
        <f>HYPERLINK("https://rhld.insurance.arkansas.gov/NPILookup?Npi=1669430252","1669430252")</f>
        <v>1669430252</v>
      </c>
      <c r="E8895" s="1" t="s">
        <v>19221</v>
      </c>
      <c r="F8895" s="2"/>
      <c r="G8895" s="2"/>
      <c r="H8895" s="2"/>
    </row>
    <row r="8896" spans="1:8" x14ac:dyDescent="0.25">
      <c r="A8896" s="1"/>
      <c r="B8896" s="1" t="s">
        <v>4997</v>
      </c>
      <c r="C8896" s="1" t="s">
        <v>4998</v>
      </c>
      <c r="D8896" s="22" t="str">
        <f>HYPERLINK("https://rhld.insurance.arkansas.gov/NPILookup?Npi=1669486007","1669486007")</f>
        <v>1669486007</v>
      </c>
      <c r="E8896" s="1" t="s">
        <v>19222</v>
      </c>
      <c r="F8896" s="2"/>
      <c r="G8896" s="2"/>
      <c r="H8896" s="2"/>
    </row>
    <row r="8897" spans="1:8" x14ac:dyDescent="0.25">
      <c r="A8897" s="1"/>
      <c r="B8897" s="1" t="s">
        <v>4997</v>
      </c>
      <c r="C8897" s="1" t="s">
        <v>4998</v>
      </c>
      <c r="D8897" s="22" t="str">
        <f>HYPERLINK("https://rhld.insurance.arkansas.gov/NPILookup?Npi=1669562229","1669562229")</f>
        <v>1669562229</v>
      </c>
      <c r="E8897" s="1" t="s">
        <v>10886</v>
      </c>
      <c r="F8897" s="2"/>
      <c r="G8897" s="2"/>
      <c r="H8897" s="2"/>
    </row>
    <row r="8898" spans="1:8" x14ac:dyDescent="0.25">
      <c r="A8898" s="1"/>
      <c r="B8898" s="1" t="s">
        <v>4997</v>
      </c>
      <c r="C8898" s="1" t="s">
        <v>4998</v>
      </c>
      <c r="D8898" s="22" t="str">
        <f>HYPERLINK("https://rhld.insurance.arkansas.gov/NPILookup?Npi=1669734620","1669734620")</f>
        <v>1669734620</v>
      </c>
      <c r="E8898" s="1" t="s">
        <v>31626</v>
      </c>
      <c r="F8898" s="2"/>
      <c r="G8898" s="2"/>
      <c r="H8898" s="2"/>
    </row>
    <row r="8899" spans="1:8" x14ac:dyDescent="0.25">
      <c r="A8899" s="1"/>
      <c r="B8899" s="1" t="s">
        <v>4997</v>
      </c>
      <c r="C8899" s="1" t="s">
        <v>4998</v>
      </c>
      <c r="D8899" s="22" t="str">
        <f>HYPERLINK("https://rhld.insurance.arkansas.gov/NPILookup?Npi=1679530554","1679530554")</f>
        <v>1679530554</v>
      </c>
      <c r="E8899" s="1" t="s">
        <v>19223</v>
      </c>
      <c r="F8899" s="2"/>
      <c r="G8899" s="2"/>
      <c r="H8899" s="2"/>
    </row>
    <row r="8900" spans="1:8" x14ac:dyDescent="0.25">
      <c r="A8900" s="1"/>
      <c r="B8900" s="1" t="s">
        <v>4997</v>
      </c>
      <c r="C8900" s="1" t="s">
        <v>4998</v>
      </c>
      <c r="D8900" s="22" t="str">
        <f>HYPERLINK("https://rhld.insurance.arkansas.gov/NPILookup?Npi=1679531636","1679531636")</f>
        <v>1679531636</v>
      </c>
      <c r="E8900" s="1" t="s">
        <v>31627</v>
      </c>
      <c r="F8900" s="2"/>
      <c r="G8900" s="2"/>
      <c r="H8900" s="2"/>
    </row>
    <row r="8901" spans="1:8" x14ac:dyDescent="0.25">
      <c r="A8901" s="1"/>
      <c r="B8901" s="1" t="s">
        <v>4997</v>
      </c>
      <c r="C8901" s="1" t="s">
        <v>4998</v>
      </c>
      <c r="D8901" s="22" t="str">
        <f>HYPERLINK("https://rhld.insurance.arkansas.gov/NPILookup?Npi=1679860290","1679860290")</f>
        <v>1679860290</v>
      </c>
      <c r="E8901" s="1" t="s">
        <v>19224</v>
      </c>
      <c r="F8901" s="2"/>
      <c r="G8901" s="2"/>
      <c r="H8901" s="2"/>
    </row>
    <row r="8902" spans="1:8" x14ac:dyDescent="0.25">
      <c r="A8902" s="1"/>
      <c r="B8902" s="1" t="s">
        <v>4997</v>
      </c>
      <c r="C8902" s="1" t="s">
        <v>4998</v>
      </c>
      <c r="D8902" s="22" t="str">
        <f>HYPERLINK("https://rhld.insurance.arkansas.gov/NPILookup?Npi=1679900062","1679900062")</f>
        <v>1679900062</v>
      </c>
      <c r="E8902" s="1" t="s">
        <v>19225</v>
      </c>
      <c r="F8902" s="2"/>
      <c r="G8902" s="2"/>
      <c r="H8902" s="2"/>
    </row>
    <row r="8903" spans="1:8" x14ac:dyDescent="0.25">
      <c r="A8903" s="1"/>
      <c r="B8903" s="1" t="s">
        <v>4997</v>
      </c>
      <c r="C8903" s="1" t="s">
        <v>4998</v>
      </c>
      <c r="D8903" s="22" t="str">
        <f>HYPERLINK("https://rhld.insurance.arkansas.gov/NPILookup?Npi=1689089625","1689089625")</f>
        <v>1689089625</v>
      </c>
      <c r="E8903" s="1" t="s">
        <v>19227</v>
      </c>
      <c r="F8903" s="2"/>
      <c r="G8903" s="2"/>
      <c r="H8903" s="2"/>
    </row>
    <row r="8904" spans="1:8" x14ac:dyDescent="0.25">
      <c r="A8904" s="1"/>
      <c r="B8904" s="1" t="s">
        <v>4997</v>
      </c>
      <c r="C8904" s="1" t="s">
        <v>4998</v>
      </c>
      <c r="D8904" s="22" t="str">
        <f>HYPERLINK("https://rhld.insurance.arkansas.gov/NPILookup?Npi=1689628745","1689628745")</f>
        <v>1689628745</v>
      </c>
      <c r="E8904" s="1" t="s">
        <v>10887</v>
      </c>
      <c r="F8904" s="2"/>
      <c r="G8904" s="2"/>
      <c r="H8904" s="2"/>
    </row>
    <row r="8905" spans="1:8" x14ac:dyDescent="0.25">
      <c r="A8905" s="1"/>
      <c r="B8905" s="1" t="s">
        <v>4997</v>
      </c>
      <c r="C8905" s="1" t="s">
        <v>4998</v>
      </c>
      <c r="D8905" s="22" t="str">
        <f>HYPERLINK("https://rhld.insurance.arkansas.gov/NPILookup?Npi=1689832107","1689832107")</f>
        <v>1689832107</v>
      </c>
      <c r="E8905" s="1" t="s">
        <v>5080</v>
      </c>
      <c r="F8905" s="2"/>
      <c r="G8905" s="2"/>
      <c r="H8905" s="2"/>
    </row>
    <row r="8906" spans="1:8" x14ac:dyDescent="0.25">
      <c r="A8906" s="1"/>
      <c r="B8906" s="1" t="s">
        <v>4997</v>
      </c>
      <c r="C8906" s="1" t="s">
        <v>4998</v>
      </c>
      <c r="D8906" s="22" t="str">
        <f>HYPERLINK("https://rhld.insurance.arkansas.gov/NPILookup?Npi=1689897159","1689897159")</f>
        <v>1689897159</v>
      </c>
      <c r="E8906" s="1" t="s">
        <v>5081</v>
      </c>
      <c r="F8906" s="2"/>
      <c r="G8906" s="2"/>
      <c r="H8906" s="2"/>
    </row>
    <row r="8907" spans="1:8" x14ac:dyDescent="0.25">
      <c r="A8907" s="1"/>
      <c r="B8907" s="1" t="s">
        <v>4997</v>
      </c>
      <c r="C8907" s="1" t="s">
        <v>4998</v>
      </c>
      <c r="D8907" s="22" t="str">
        <f>HYPERLINK("https://rhld.insurance.arkansas.gov/NPILookup?Npi=1689959421","1689959421")</f>
        <v>1689959421</v>
      </c>
      <c r="E8907" s="1" t="s">
        <v>10756</v>
      </c>
      <c r="F8907" s="2"/>
      <c r="G8907" s="2"/>
      <c r="H8907" s="2"/>
    </row>
    <row r="8908" spans="1:8" x14ac:dyDescent="0.25">
      <c r="A8908" s="1"/>
      <c r="B8908" s="1" t="s">
        <v>4997</v>
      </c>
      <c r="C8908" s="1" t="s">
        <v>4998</v>
      </c>
      <c r="D8908" s="22" t="str">
        <f>HYPERLINK("https://rhld.insurance.arkansas.gov/NPILookup?Npi=1699338798","1699338798")</f>
        <v>1699338798</v>
      </c>
      <c r="E8908" s="1" t="s">
        <v>31628</v>
      </c>
      <c r="F8908" s="2"/>
      <c r="G8908" s="2"/>
      <c r="H8908" s="2"/>
    </row>
    <row r="8909" spans="1:8" x14ac:dyDescent="0.25">
      <c r="A8909" s="1"/>
      <c r="B8909" s="1" t="s">
        <v>4997</v>
      </c>
      <c r="C8909" s="1" t="s">
        <v>4998</v>
      </c>
      <c r="D8909" s="22" t="str">
        <f>HYPERLINK("https://rhld.insurance.arkansas.gov/NPILookup?Npi=1699707422","1699707422")</f>
        <v>1699707422</v>
      </c>
      <c r="E8909" s="1" t="s">
        <v>10888</v>
      </c>
      <c r="F8909" s="2"/>
      <c r="G8909" s="2"/>
      <c r="H8909" s="2"/>
    </row>
    <row r="8910" spans="1:8" x14ac:dyDescent="0.25">
      <c r="A8910" s="1"/>
      <c r="B8910" s="1" t="s">
        <v>4997</v>
      </c>
      <c r="C8910" s="1" t="s">
        <v>4998</v>
      </c>
      <c r="D8910" s="22" t="str">
        <f>HYPERLINK("https://rhld.insurance.arkansas.gov/NPILookup?Npi=1699756346","1699756346")</f>
        <v>1699756346</v>
      </c>
      <c r="E8910" s="1" t="s">
        <v>10889</v>
      </c>
      <c r="F8910" s="2"/>
      <c r="G8910" s="2"/>
      <c r="H8910" s="2"/>
    </row>
    <row r="8911" spans="1:8" x14ac:dyDescent="0.25">
      <c r="A8911" s="1"/>
      <c r="B8911" s="1" t="s">
        <v>4997</v>
      </c>
      <c r="C8911" s="1" t="s">
        <v>4998</v>
      </c>
      <c r="D8911" s="22" t="str">
        <f>HYPERLINK("https://rhld.insurance.arkansas.gov/NPILookup?Npi=1699813741","1699813741")</f>
        <v>1699813741</v>
      </c>
      <c r="E8911" s="1" t="s">
        <v>19230</v>
      </c>
      <c r="F8911" s="2"/>
      <c r="G8911" s="2"/>
      <c r="H8911" s="2"/>
    </row>
    <row r="8912" spans="1:8" x14ac:dyDescent="0.25">
      <c r="A8912" s="1"/>
      <c r="B8912" s="1" t="s">
        <v>4997</v>
      </c>
      <c r="C8912" s="1" t="s">
        <v>4998</v>
      </c>
      <c r="D8912" s="22" t="str">
        <f>HYPERLINK("https://rhld.insurance.arkansas.gov/NPILookup?Npi=1699865170","1699865170")</f>
        <v>1699865170</v>
      </c>
      <c r="E8912" s="1" t="s">
        <v>10890</v>
      </c>
      <c r="F8912" s="2"/>
      <c r="G8912" s="2"/>
      <c r="H8912" s="2"/>
    </row>
    <row r="8913" spans="1:8" x14ac:dyDescent="0.25">
      <c r="A8913" s="1"/>
      <c r="B8913" s="1" t="s">
        <v>4997</v>
      </c>
      <c r="C8913" s="1" t="s">
        <v>4998</v>
      </c>
      <c r="D8913" s="22" t="str">
        <f>HYPERLINK("https://rhld.insurance.arkansas.gov/NPILookup?Npi=1699877712","1699877712")</f>
        <v>1699877712</v>
      </c>
      <c r="E8913" s="1" t="s">
        <v>10891</v>
      </c>
      <c r="F8913" s="2"/>
      <c r="G8913" s="2"/>
      <c r="H8913" s="2"/>
    </row>
    <row r="8914" spans="1:8" x14ac:dyDescent="0.25">
      <c r="A8914" s="1"/>
      <c r="B8914" s="1" t="s">
        <v>4997</v>
      </c>
      <c r="C8914" s="1" t="s">
        <v>4998</v>
      </c>
      <c r="D8914" s="22" t="str">
        <f>HYPERLINK("https://rhld.insurance.arkansas.gov/NPILookup?Npi=1699904623","1699904623")</f>
        <v>1699904623</v>
      </c>
      <c r="E8914" s="1" t="s">
        <v>5082</v>
      </c>
      <c r="F8914" s="2"/>
      <c r="G8914" s="2"/>
      <c r="H8914" s="2"/>
    </row>
    <row r="8915" spans="1:8" x14ac:dyDescent="0.25">
      <c r="A8915" s="1"/>
      <c r="B8915" s="1" t="s">
        <v>4997</v>
      </c>
      <c r="C8915" s="1" t="s">
        <v>4998</v>
      </c>
      <c r="D8915" s="22" t="str">
        <f>HYPERLINK("https://rhld.insurance.arkansas.gov/NPILookup?Npi=1699959346","1699959346")</f>
        <v>1699959346</v>
      </c>
      <c r="E8915" s="1" t="s">
        <v>19231</v>
      </c>
      <c r="F8915" s="2"/>
      <c r="G8915" s="2"/>
      <c r="H8915" s="2"/>
    </row>
    <row r="8916" spans="1:8" x14ac:dyDescent="0.25">
      <c r="A8916" s="1"/>
      <c r="B8916" s="1" t="s">
        <v>4997</v>
      </c>
      <c r="C8916" s="1" t="s">
        <v>4998</v>
      </c>
      <c r="D8916" s="22" t="str">
        <f>HYPERLINK("https://rhld.insurance.arkansas.gov/NPILookup?Npi=1699982884","1699982884")</f>
        <v>1699982884</v>
      </c>
      <c r="E8916" s="1" t="s">
        <v>5083</v>
      </c>
      <c r="F8916" s="2"/>
      <c r="G8916" s="2"/>
      <c r="H8916" s="2"/>
    </row>
    <row r="8917" spans="1:8" x14ac:dyDescent="0.25">
      <c r="A8917" s="1"/>
      <c r="B8917" s="1" t="s">
        <v>4997</v>
      </c>
      <c r="C8917" s="1" t="s">
        <v>4998</v>
      </c>
      <c r="D8917" s="22" t="str">
        <f>HYPERLINK("https://rhld.insurance.arkansas.gov/NPILookup?Npi=1700074796","1700074796")</f>
        <v>1700074796</v>
      </c>
      <c r="E8917" s="1" t="s">
        <v>31629</v>
      </c>
      <c r="F8917" s="2"/>
      <c r="G8917" s="2"/>
      <c r="H8917" s="2"/>
    </row>
    <row r="8918" spans="1:8" x14ac:dyDescent="0.25">
      <c r="A8918" s="1"/>
      <c r="B8918" s="1" t="s">
        <v>4997</v>
      </c>
      <c r="C8918" s="1" t="s">
        <v>4998</v>
      </c>
      <c r="D8918" s="22" t="str">
        <f>HYPERLINK("https://rhld.insurance.arkansas.gov/NPILookup?Npi=1700142668","1700142668")</f>
        <v>1700142668</v>
      </c>
      <c r="E8918" s="1" t="s">
        <v>31630</v>
      </c>
      <c r="F8918" s="2"/>
      <c r="G8918" s="2"/>
      <c r="H8918" s="2"/>
    </row>
    <row r="8919" spans="1:8" x14ac:dyDescent="0.25">
      <c r="A8919" s="1"/>
      <c r="B8919" s="1" t="s">
        <v>4997</v>
      </c>
      <c r="C8919" s="1" t="s">
        <v>4998</v>
      </c>
      <c r="D8919" s="22" t="str">
        <f>HYPERLINK("https://rhld.insurance.arkansas.gov/NPILookup?Npi=1700175312","1700175312")</f>
        <v>1700175312</v>
      </c>
      <c r="E8919" s="1" t="s">
        <v>5084</v>
      </c>
      <c r="F8919" s="2"/>
      <c r="G8919" s="2"/>
      <c r="H8919" s="2"/>
    </row>
    <row r="8920" spans="1:8" x14ac:dyDescent="0.25">
      <c r="A8920" s="1"/>
      <c r="B8920" s="1" t="s">
        <v>4997</v>
      </c>
      <c r="C8920" s="1" t="s">
        <v>4998</v>
      </c>
      <c r="D8920" s="22" t="str">
        <f>HYPERLINK("https://rhld.insurance.arkansas.gov/NPILookup?Npi=1700248937","1700248937")</f>
        <v>1700248937</v>
      </c>
      <c r="E8920" s="1" t="s">
        <v>19232</v>
      </c>
      <c r="F8920" s="2"/>
      <c r="G8920" s="2"/>
      <c r="H8920" s="2"/>
    </row>
    <row r="8921" spans="1:8" x14ac:dyDescent="0.25">
      <c r="A8921" s="1"/>
      <c r="B8921" s="1" t="s">
        <v>4997</v>
      </c>
      <c r="C8921" s="1" t="s">
        <v>4998</v>
      </c>
      <c r="D8921" s="22" t="str">
        <f>HYPERLINK("https://rhld.insurance.arkansas.gov/NPILookup?Npi=1700829165","1700829165")</f>
        <v>1700829165</v>
      </c>
      <c r="E8921" s="1" t="s">
        <v>5085</v>
      </c>
      <c r="F8921" s="2"/>
      <c r="G8921" s="2"/>
      <c r="H8921" s="2"/>
    </row>
    <row r="8922" spans="1:8" x14ac:dyDescent="0.25">
      <c r="A8922" s="1"/>
      <c r="B8922" s="1" t="s">
        <v>4997</v>
      </c>
      <c r="C8922" s="1" t="s">
        <v>4998</v>
      </c>
      <c r="D8922" s="22" t="str">
        <f>HYPERLINK("https://rhld.insurance.arkansas.gov/NPILookup?Npi=1700866415","1700866415")</f>
        <v>1700866415</v>
      </c>
      <c r="E8922" s="1" t="s">
        <v>10893</v>
      </c>
      <c r="F8922" s="2"/>
      <c r="G8922" s="2"/>
      <c r="H8922" s="2"/>
    </row>
    <row r="8923" spans="1:8" x14ac:dyDescent="0.25">
      <c r="A8923" s="1"/>
      <c r="B8923" s="1" t="s">
        <v>4997</v>
      </c>
      <c r="C8923" s="1" t="s">
        <v>4998</v>
      </c>
      <c r="D8923" s="22" t="str">
        <f>HYPERLINK("https://rhld.insurance.arkansas.gov/NPILookup?Npi=1700995438","1700995438")</f>
        <v>1700995438</v>
      </c>
      <c r="E8923" s="1" t="s">
        <v>19233</v>
      </c>
      <c r="F8923" s="2"/>
      <c r="G8923" s="2"/>
      <c r="H8923" s="2"/>
    </row>
    <row r="8924" spans="1:8" x14ac:dyDescent="0.25">
      <c r="A8924" s="1"/>
      <c r="B8924" s="1" t="s">
        <v>4997</v>
      </c>
      <c r="C8924" s="1" t="s">
        <v>4998</v>
      </c>
      <c r="D8924" s="22" t="str">
        <f>HYPERLINK("https://rhld.insurance.arkansas.gov/NPILookup?Npi=1710277918","1710277918")</f>
        <v>1710277918</v>
      </c>
      <c r="E8924" s="1" t="s">
        <v>19234</v>
      </c>
      <c r="F8924" s="2"/>
      <c r="G8924" s="2"/>
      <c r="H8924" s="2"/>
    </row>
    <row r="8925" spans="1:8" x14ac:dyDescent="0.25">
      <c r="A8925" s="1"/>
      <c r="B8925" s="1" t="s">
        <v>4997</v>
      </c>
      <c r="C8925" s="1" t="s">
        <v>4998</v>
      </c>
      <c r="D8925" s="22" t="str">
        <f>HYPERLINK("https://rhld.insurance.arkansas.gov/NPILookup?Npi=1710488366","1710488366")</f>
        <v>1710488366</v>
      </c>
      <c r="E8925" s="1" t="s">
        <v>31631</v>
      </c>
      <c r="F8925" s="2"/>
      <c r="G8925" s="2"/>
      <c r="H8925" s="2"/>
    </row>
    <row r="8926" spans="1:8" x14ac:dyDescent="0.25">
      <c r="A8926" s="1"/>
      <c r="B8926" s="1" t="s">
        <v>4997</v>
      </c>
      <c r="C8926" s="1" t="s">
        <v>4998</v>
      </c>
      <c r="D8926" s="22" t="str">
        <f>HYPERLINK("https://rhld.insurance.arkansas.gov/NPILookup?Npi=1710906276","1710906276")</f>
        <v>1710906276</v>
      </c>
      <c r="E8926" s="1" t="s">
        <v>5086</v>
      </c>
      <c r="F8926" s="2"/>
      <c r="G8926" s="2"/>
      <c r="H8926" s="2"/>
    </row>
    <row r="8927" spans="1:8" x14ac:dyDescent="0.25">
      <c r="A8927" s="1"/>
      <c r="B8927" s="1" t="s">
        <v>4997</v>
      </c>
      <c r="C8927" s="1" t="s">
        <v>4998</v>
      </c>
      <c r="D8927" s="22" t="str">
        <f>HYPERLINK("https://rhld.insurance.arkansas.gov/NPILookup?Npi=1710932389","1710932389")</f>
        <v>1710932389</v>
      </c>
      <c r="E8927" s="1" t="s">
        <v>6190</v>
      </c>
      <c r="F8927" s="2"/>
      <c r="G8927" s="2"/>
      <c r="H8927" s="2"/>
    </row>
    <row r="8928" spans="1:8" x14ac:dyDescent="0.25">
      <c r="A8928" s="1"/>
      <c r="B8928" s="1" t="s">
        <v>4997</v>
      </c>
      <c r="C8928" s="1" t="s">
        <v>4998</v>
      </c>
      <c r="D8928" s="22" t="str">
        <f>HYPERLINK("https://rhld.insurance.arkansas.gov/NPILookup?Npi=1710974647","1710974647")</f>
        <v>1710974647</v>
      </c>
      <c r="E8928" s="1" t="s">
        <v>19235</v>
      </c>
      <c r="F8928" s="2"/>
      <c r="G8928" s="2"/>
      <c r="H8928" s="2"/>
    </row>
    <row r="8929" spans="1:8" x14ac:dyDescent="0.25">
      <c r="A8929" s="1"/>
      <c r="B8929" s="1" t="s">
        <v>4997</v>
      </c>
      <c r="C8929" s="1" t="s">
        <v>4998</v>
      </c>
      <c r="D8929" s="22" t="str">
        <f>HYPERLINK("https://rhld.insurance.arkansas.gov/NPILookup?Npi=1720042138","1720042138")</f>
        <v>1720042138</v>
      </c>
      <c r="E8929" s="1" t="s">
        <v>5087</v>
      </c>
      <c r="F8929" s="2"/>
      <c r="G8929" s="2"/>
      <c r="H8929" s="2"/>
    </row>
    <row r="8930" spans="1:8" x14ac:dyDescent="0.25">
      <c r="A8930" s="1"/>
      <c r="B8930" s="1" t="s">
        <v>4997</v>
      </c>
      <c r="C8930" s="1" t="s">
        <v>4998</v>
      </c>
      <c r="D8930" s="22" t="str">
        <f>HYPERLINK("https://rhld.insurance.arkansas.gov/NPILookup?Npi=1720042179","1720042179")</f>
        <v>1720042179</v>
      </c>
      <c r="E8930" s="1" t="s">
        <v>5088</v>
      </c>
      <c r="F8930" s="2"/>
      <c r="G8930" s="2"/>
      <c r="H8930" s="2"/>
    </row>
    <row r="8931" spans="1:8" x14ac:dyDescent="0.25">
      <c r="A8931" s="1"/>
      <c r="B8931" s="1" t="s">
        <v>4997</v>
      </c>
      <c r="C8931" s="1" t="s">
        <v>4998</v>
      </c>
      <c r="D8931" s="22" t="str">
        <f>HYPERLINK("https://rhld.insurance.arkansas.gov/NPILookup?Npi=1720271331","1720271331")</f>
        <v>1720271331</v>
      </c>
      <c r="E8931" s="1" t="s">
        <v>19236</v>
      </c>
      <c r="F8931" s="2"/>
      <c r="G8931" s="2"/>
      <c r="H8931" s="2"/>
    </row>
    <row r="8932" spans="1:8" x14ac:dyDescent="0.25">
      <c r="A8932" s="1"/>
      <c r="B8932" s="1" t="s">
        <v>4997</v>
      </c>
      <c r="C8932" s="1" t="s">
        <v>4998</v>
      </c>
      <c r="D8932" s="22" t="str">
        <f>HYPERLINK("https://rhld.insurance.arkansas.gov/NPILookup?Npi=1720309248","1720309248")</f>
        <v>1720309248</v>
      </c>
      <c r="E8932" s="1" t="s">
        <v>10894</v>
      </c>
      <c r="F8932" s="2"/>
      <c r="G8932" s="2"/>
      <c r="H8932" s="2"/>
    </row>
    <row r="8933" spans="1:8" x14ac:dyDescent="0.25">
      <c r="A8933" s="1"/>
      <c r="B8933" s="1" t="s">
        <v>4997</v>
      </c>
      <c r="C8933" s="1" t="s">
        <v>4998</v>
      </c>
      <c r="D8933" s="22" t="str">
        <f>HYPERLINK("https://rhld.insurance.arkansas.gov/NPILookup?Npi=1720408354","1720408354")</f>
        <v>1720408354</v>
      </c>
      <c r="E8933" s="1" t="s">
        <v>19237</v>
      </c>
      <c r="F8933" s="2"/>
      <c r="G8933" s="2"/>
      <c r="H8933" s="2"/>
    </row>
    <row r="8934" spans="1:8" x14ac:dyDescent="0.25">
      <c r="A8934" s="1"/>
      <c r="B8934" s="1" t="s">
        <v>4997</v>
      </c>
      <c r="C8934" s="1" t="s">
        <v>4998</v>
      </c>
      <c r="D8934" s="22" t="str">
        <f>HYPERLINK("https://rhld.insurance.arkansas.gov/NPILookup?Npi=1720502842","1720502842")</f>
        <v>1720502842</v>
      </c>
      <c r="E8934" s="1" t="s">
        <v>19238</v>
      </c>
      <c r="F8934" s="2"/>
      <c r="G8934" s="2"/>
      <c r="H8934" s="2"/>
    </row>
    <row r="8935" spans="1:8" x14ac:dyDescent="0.25">
      <c r="A8935" s="1"/>
      <c r="B8935" s="1" t="s">
        <v>4997</v>
      </c>
      <c r="C8935" s="1" t="s">
        <v>4998</v>
      </c>
      <c r="D8935" s="22" t="str">
        <f>HYPERLINK("https://rhld.insurance.arkansas.gov/NPILookup?Npi=1720514003","1720514003")</f>
        <v>1720514003</v>
      </c>
      <c r="E8935" s="1" t="s">
        <v>10895</v>
      </c>
      <c r="F8935" s="2"/>
      <c r="G8935" s="2"/>
      <c r="H8935" s="2"/>
    </row>
    <row r="8936" spans="1:8" x14ac:dyDescent="0.25">
      <c r="A8936" s="1"/>
      <c r="B8936" s="1" t="s">
        <v>4997</v>
      </c>
      <c r="C8936" s="1" t="s">
        <v>4998</v>
      </c>
      <c r="D8936" s="22" t="str">
        <f>HYPERLINK("https://rhld.insurance.arkansas.gov/NPILookup?Npi=1730132788","1730132788")</f>
        <v>1730132788</v>
      </c>
      <c r="E8936" s="1" t="s">
        <v>19239</v>
      </c>
      <c r="F8936" s="2"/>
      <c r="G8936" s="2"/>
      <c r="H8936" s="2"/>
    </row>
    <row r="8937" spans="1:8" x14ac:dyDescent="0.25">
      <c r="A8937" s="1"/>
      <c r="B8937" s="1" t="s">
        <v>4997</v>
      </c>
      <c r="C8937" s="1" t="s">
        <v>4998</v>
      </c>
      <c r="D8937" s="22" t="str">
        <f>HYPERLINK("https://rhld.insurance.arkansas.gov/NPILookup?Npi=1730138843","1730138843")</f>
        <v>1730138843</v>
      </c>
      <c r="E8937" s="1" t="s">
        <v>10896</v>
      </c>
      <c r="F8937" s="2"/>
      <c r="G8937" s="2"/>
      <c r="H8937" s="2"/>
    </row>
    <row r="8938" spans="1:8" x14ac:dyDescent="0.25">
      <c r="A8938" s="1"/>
      <c r="B8938" s="1" t="s">
        <v>4997</v>
      </c>
      <c r="C8938" s="1" t="s">
        <v>4998</v>
      </c>
      <c r="D8938" s="22" t="str">
        <f>HYPERLINK("https://rhld.insurance.arkansas.gov/NPILookup?Npi=1730144734","1730144734")</f>
        <v>1730144734</v>
      </c>
      <c r="E8938" s="1" t="s">
        <v>19240</v>
      </c>
      <c r="F8938" s="2"/>
      <c r="G8938" s="2"/>
      <c r="H8938" s="2"/>
    </row>
    <row r="8939" spans="1:8" x14ac:dyDescent="0.25">
      <c r="A8939" s="1"/>
      <c r="B8939" s="1" t="s">
        <v>4997</v>
      </c>
      <c r="C8939" s="1" t="s">
        <v>4998</v>
      </c>
      <c r="D8939" s="22" t="str">
        <f>HYPERLINK("https://rhld.insurance.arkansas.gov/NPILookup?Npi=1730179268","1730179268")</f>
        <v>1730179268</v>
      </c>
      <c r="E8939" s="1" t="s">
        <v>19241</v>
      </c>
      <c r="F8939" s="2"/>
      <c r="G8939" s="2"/>
      <c r="H8939" s="2"/>
    </row>
    <row r="8940" spans="1:8" x14ac:dyDescent="0.25">
      <c r="A8940" s="1"/>
      <c r="B8940" s="1" t="s">
        <v>4997</v>
      </c>
      <c r="C8940" s="1" t="s">
        <v>4998</v>
      </c>
      <c r="D8940" s="22" t="str">
        <f>HYPERLINK("https://rhld.insurance.arkansas.gov/NPILookup?Npi=1730495532","1730495532")</f>
        <v>1730495532</v>
      </c>
      <c r="E8940" s="1" t="s">
        <v>19243</v>
      </c>
      <c r="F8940" s="2"/>
      <c r="G8940" s="2"/>
      <c r="H8940" s="2"/>
    </row>
    <row r="8941" spans="1:8" x14ac:dyDescent="0.25">
      <c r="A8941" s="1"/>
      <c r="B8941" s="1" t="s">
        <v>4997</v>
      </c>
      <c r="C8941" s="1" t="s">
        <v>4998</v>
      </c>
      <c r="D8941" s="22" t="str">
        <f>HYPERLINK("https://rhld.insurance.arkansas.gov/NPILookup?Npi=1730594011","1730594011")</f>
        <v>1730594011</v>
      </c>
      <c r="E8941" s="1" t="s">
        <v>31632</v>
      </c>
      <c r="F8941" s="2"/>
      <c r="G8941" s="2"/>
      <c r="H8941" s="2"/>
    </row>
    <row r="8942" spans="1:8" x14ac:dyDescent="0.25">
      <c r="A8942" s="1"/>
      <c r="B8942" s="1" t="s">
        <v>4997</v>
      </c>
      <c r="C8942" s="1" t="s">
        <v>4998</v>
      </c>
      <c r="D8942" s="22" t="str">
        <f>HYPERLINK("https://rhld.insurance.arkansas.gov/NPILookup?Npi=1730628579","1730628579")</f>
        <v>1730628579</v>
      </c>
      <c r="E8942" s="1" t="s">
        <v>31633</v>
      </c>
      <c r="F8942" s="2"/>
      <c r="G8942" s="2"/>
      <c r="H8942" s="2"/>
    </row>
    <row r="8943" spans="1:8" x14ac:dyDescent="0.25">
      <c r="A8943" s="1"/>
      <c r="B8943" s="1" t="s">
        <v>4997</v>
      </c>
      <c r="C8943" s="1" t="s">
        <v>4998</v>
      </c>
      <c r="D8943" s="22" t="str">
        <f>HYPERLINK("https://rhld.insurance.arkansas.gov/NPILookup?Npi=1730746603","1730746603")</f>
        <v>1730746603</v>
      </c>
      <c r="E8943" s="1" t="s">
        <v>31634</v>
      </c>
      <c r="F8943" s="2"/>
      <c r="G8943" s="2"/>
      <c r="H8943" s="2"/>
    </row>
    <row r="8944" spans="1:8" x14ac:dyDescent="0.25">
      <c r="A8944" s="1"/>
      <c r="B8944" s="1" t="s">
        <v>4997</v>
      </c>
      <c r="C8944" s="1" t="s">
        <v>4998</v>
      </c>
      <c r="D8944" s="22" t="str">
        <f>HYPERLINK("https://rhld.insurance.arkansas.gov/NPILookup?Npi=1740253822","1740253822")</f>
        <v>1740253822</v>
      </c>
      <c r="E8944" s="1" t="s">
        <v>31635</v>
      </c>
      <c r="F8944" s="2"/>
      <c r="G8944" s="2"/>
      <c r="H8944" s="2"/>
    </row>
    <row r="8945" spans="1:8" x14ac:dyDescent="0.25">
      <c r="A8945" s="1"/>
      <c r="B8945" s="1" t="s">
        <v>4997</v>
      </c>
      <c r="C8945" s="1" t="s">
        <v>4998</v>
      </c>
      <c r="D8945" s="22" t="str">
        <f>HYPERLINK("https://rhld.insurance.arkansas.gov/NPILookup?Npi=1740410117","1740410117")</f>
        <v>1740410117</v>
      </c>
      <c r="E8945" s="1" t="s">
        <v>19245</v>
      </c>
      <c r="F8945" s="2"/>
      <c r="G8945" s="2"/>
      <c r="H8945" s="2"/>
    </row>
    <row r="8946" spans="1:8" x14ac:dyDescent="0.25">
      <c r="A8946" s="1"/>
      <c r="B8946" s="1" t="s">
        <v>4997</v>
      </c>
      <c r="C8946" s="1" t="s">
        <v>4998</v>
      </c>
      <c r="D8946" s="22" t="str">
        <f>HYPERLINK("https://rhld.insurance.arkansas.gov/NPILookup?Npi=1740418821","1740418821")</f>
        <v>1740418821</v>
      </c>
      <c r="E8946" s="1" t="s">
        <v>10898</v>
      </c>
      <c r="F8946" s="2"/>
      <c r="G8946" s="2"/>
      <c r="H8946" s="2"/>
    </row>
    <row r="8947" spans="1:8" x14ac:dyDescent="0.25">
      <c r="A8947" s="1"/>
      <c r="B8947" s="1" t="s">
        <v>4997</v>
      </c>
      <c r="C8947" s="1" t="s">
        <v>4998</v>
      </c>
      <c r="D8947" s="22" t="str">
        <f>HYPERLINK("https://rhld.insurance.arkansas.gov/NPILookup?Npi=1740523935","1740523935")</f>
        <v>1740523935</v>
      </c>
      <c r="E8947" s="1" t="s">
        <v>31636</v>
      </c>
      <c r="F8947" s="2"/>
      <c r="G8947" s="2"/>
      <c r="H8947" s="2"/>
    </row>
    <row r="8948" spans="1:8" x14ac:dyDescent="0.25">
      <c r="A8948" s="1"/>
      <c r="B8948" s="1" t="s">
        <v>4997</v>
      </c>
      <c r="C8948" s="1" t="s">
        <v>4998</v>
      </c>
      <c r="D8948" s="22" t="str">
        <f>HYPERLINK("https://rhld.insurance.arkansas.gov/NPILookup?Npi=1740548866","1740548866")</f>
        <v>1740548866</v>
      </c>
      <c r="E8948" s="1" t="s">
        <v>19246</v>
      </c>
      <c r="F8948" s="2"/>
      <c r="G8948" s="2"/>
      <c r="H8948" s="2"/>
    </row>
    <row r="8949" spans="1:8" x14ac:dyDescent="0.25">
      <c r="A8949" s="1"/>
      <c r="B8949" s="1" t="s">
        <v>4997</v>
      </c>
      <c r="C8949" s="1" t="s">
        <v>4998</v>
      </c>
      <c r="D8949" s="22" t="str">
        <f>HYPERLINK("https://rhld.insurance.arkansas.gov/NPILookup?Npi=1740676360","1740676360")</f>
        <v>1740676360</v>
      </c>
      <c r="E8949" s="1" t="s">
        <v>10899</v>
      </c>
      <c r="F8949" s="2"/>
      <c r="G8949" s="2"/>
      <c r="H8949" s="2"/>
    </row>
    <row r="8950" spans="1:8" x14ac:dyDescent="0.25">
      <c r="A8950" s="1"/>
      <c r="B8950" s="1" t="s">
        <v>4997</v>
      </c>
      <c r="C8950" s="1" t="s">
        <v>4998</v>
      </c>
      <c r="D8950" s="22" t="str">
        <f>HYPERLINK("https://rhld.insurance.arkansas.gov/NPILookup?Npi=1740714054","1740714054")</f>
        <v>1740714054</v>
      </c>
      <c r="E8950" s="1" t="s">
        <v>5089</v>
      </c>
      <c r="F8950" s="2"/>
      <c r="G8950" s="2"/>
      <c r="H8950" s="2"/>
    </row>
    <row r="8951" spans="1:8" x14ac:dyDescent="0.25">
      <c r="A8951" s="1"/>
      <c r="B8951" s="1" t="s">
        <v>4997</v>
      </c>
      <c r="C8951" s="1" t="s">
        <v>4998</v>
      </c>
      <c r="D8951" s="22" t="str">
        <f>HYPERLINK("https://rhld.insurance.arkansas.gov/NPILookup?Npi=1740806397","1740806397")</f>
        <v>1740806397</v>
      </c>
      <c r="E8951" s="1" t="s">
        <v>31637</v>
      </c>
      <c r="F8951" s="2"/>
      <c r="G8951" s="2"/>
      <c r="H8951" s="2"/>
    </row>
    <row r="8952" spans="1:8" x14ac:dyDescent="0.25">
      <c r="A8952" s="1"/>
      <c r="B8952" s="1" t="s">
        <v>4997</v>
      </c>
      <c r="C8952" s="1" t="s">
        <v>4998</v>
      </c>
      <c r="D8952" s="22" t="str">
        <f>HYPERLINK("https://rhld.insurance.arkansas.gov/NPILookup?Npi=1750357042","1750357042")</f>
        <v>1750357042</v>
      </c>
      <c r="E8952" s="1" t="s">
        <v>31638</v>
      </c>
      <c r="F8952" s="2"/>
      <c r="G8952" s="2"/>
      <c r="H8952" s="2"/>
    </row>
    <row r="8953" spans="1:8" x14ac:dyDescent="0.25">
      <c r="A8953" s="1"/>
      <c r="B8953" s="1" t="s">
        <v>4997</v>
      </c>
      <c r="C8953" s="1" t="s">
        <v>4998</v>
      </c>
      <c r="D8953" s="22" t="str">
        <f>HYPERLINK("https://rhld.insurance.arkansas.gov/NPILookup?Npi=1750480554","1750480554")</f>
        <v>1750480554</v>
      </c>
      <c r="E8953" s="1" t="s">
        <v>19247</v>
      </c>
      <c r="F8953" s="2"/>
      <c r="G8953" s="2"/>
      <c r="H8953" s="2"/>
    </row>
    <row r="8954" spans="1:8" x14ac:dyDescent="0.25">
      <c r="A8954" s="1"/>
      <c r="B8954" s="1" t="s">
        <v>4997</v>
      </c>
      <c r="C8954" s="1" t="s">
        <v>4998</v>
      </c>
      <c r="D8954" s="22" t="str">
        <f>HYPERLINK("https://rhld.insurance.arkansas.gov/NPILookup?Npi=1750743621","1750743621")</f>
        <v>1750743621</v>
      </c>
      <c r="E8954" s="1" t="s">
        <v>31639</v>
      </c>
      <c r="F8954" s="2"/>
      <c r="G8954" s="2"/>
      <c r="H8954" s="2"/>
    </row>
    <row r="8955" spans="1:8" x14ac:dyDescent="0.25">
      <c r="A8955" s="1"/>
      <c r="B8955" s="1" t="s">
        <v>4997</v>
      </c>
      <c r="C8955" s="1" t="s">
        <v>4998</v>
      </c>
      <c r="D8955" s="22" t="str">
        <f>HYPERLINK("https://rhld.insurance.arkansas.gov/NPILookup?Npi=1760035117","1760035117")</f>
        <v>1760035117</v>
      </c>
      <c r="E8955" s="1" t="s">
        <v>19248</v>
      </c>
      <c r="F8955" s="2"/>
      <c r="G8955" s="2"/>
      <c r="H8955" s="2"/>
    </row>
    <row r="8956" spans="1:8" x14ac:dyDescent="0.25">
      <c r="A8956" s="1"/>
      <c r="B8956" s="1" t="s">
        <v>4997</v>
      </c>
      <c r="C8956" s="1" t="s">
        <v>4998</v>
      </c>
      <c r="D8956" s="22" t="str">
        <f>HYPERLINK("https://rhld.insurance.arkansas.gov/NPILookup?Npi=1760412100","1760412100")</f>
        <v>1760412100</v>
      </c>
      <c r="E8956" s="1" t="s">
        <v>5090</v>
      </c>
      <c r="F8956" s="2"/>
      <c r="G8956" s="2"/>
      <c r="H8956" s="2"/>
    </row>
    <row r="8957" spans="1:8" x14ac:dyDescent="0.25">
      <c r="A8957" s="1"/>
      <c r="B8957" s="1" t="s">
        <v>4997</v>
      </c>
      <c r="C8957" s="1" t="s">
        <v>4998</v>
      </c>
      <c r="D8957" s="22" t="str">
        <f>HYPERLINK("https://rhld.insurance.arkansas.gov/NPILookup?Npi=1760427496","1760427496")</f>
        <v>1760427496</v>
      </c>
      <c r="E8957" s="1" t="s">
        <v>10900</v>
      </c>
      <c r="F8957" s="2"/>
      <c r="G8957" s="2"/>
      <c r="H8957" s="2"/>
    </row>
    <row r="8958" spans="1:8" x14ac:dyDescent="0.25">
      <c r="A8958" s="1"/>
      <c r="B8958" s="1" t="s">
        <v>4997</v>
      </c>
      <c r="C8958" s="1" t="s">
        <v>4998</v>
      </c>
      <c r="D8958" s="22" t="str">
        <f>HYPERLINK("https://rhld.insurance.arkansas.gov/NPILookup?Npi=1760452577","1760452577")</f>
        <v>1760452577</v>
      </c>
      <c r="E8958" s="1" t="s">
        <v>5091</v>
      </c>
      <c r="F8958" s="2"/>
      <c r="G8958" s="2"/>
      <c r="H8958" s="2"/>
    </row>
    <row r="8959" spans="1:8" x14ac:dyDescent="0.25">
      <c r="A8959" s="1"/>
      <c r="B8959" s="1" t="s">
        <v>4997</v>
      </c>
      <c r="C8959" s="1" t="s">
        <v>4998</v>
      </c>
      <c r="D8959" s="22" t="str">
        <f>HYPERLINK("https://rhld.insurance.arkansas.gov/NPILookup?Npi=1760459168","1760459168")</f>
        <v>1760459168</v>
      </c>
      <c r="E8959" s="1" t="s">
        <v>5092</v>
      </c>
      <c r="F8959" s="2"/>
      <c r="G8959" s="2"/>
      <c r="H8959" s="2"/>
    </row>
    <row r="8960" spans="1:8" x14ac:dyDescent="0.25">
      <c r="A8960" s="1"/>
      <c r="B8960" s="1" t="s">
        <v>4997</v>
      </c>
      <c r="C8960" s="1" t="s">
        <v>4998</v>
      </c>
      <c r="D8960" s="22" t="str">
        <f>HYPERLINK("https://rhld.insurance.arkansas.gov/NPILookup?Npi=1760461305","1760461305")</f>
        <v>1760461305</v>
      </c>
      <c r="E8960" s="1" t="s">
        <v>5093</v>
      </c>
      <c r="F8960" s="2"/>
      <c r="G8960" s="2"/>
      <c r="H8960" s="2"/>
    </row>
    <row r="8961" spans="1:8" x14ac:dyDescent="0.25">
      <c r="A8961" s="1"/>
      <c r="B8961" s="1" t="s">
        <v>4997</v>
      </c>
      <c r="C8961" s="1" t="s">
        <v>4998</v>
      </c>
      <c r="D8961" s="22" t="str">
        <f>HYPERLINK("https://rhld.insurance.arkansas.gov/NPILookup?Npi=1760665327","1760665327")</f>
        <v>1760665327</v>
      </c>
      <c r="E8961" s="1" t="s">
        <v>19249</v>
      </c>
      <c r="F8961" s="2"/>
      <c r="G8961" s="2"/>
      <c r="H8961" s="2"/>
    </row>
    <row r="8962" spans="1:8" x14ac:dyDescent="0.25">
      <c r="A8962" s="1"/>
      <c r="B8962" s="1" t="s">
        <v>4997</v>
      </c>
      <c r="C8962" s="1" t="s">
        <v>4998</v>
      </c>
      <c r="D8962" s="22" t="str">
        <f>HYPERLINK("https://rhld.insurance.arkansas.gov/NPILookup?Npi=1760801112","1760801112")</f>
        <v>1760801112</v>
      </c>
      <c r="E8962" s="1" t="s">
        <v>31640</v>
      </c>
      <c r="F8962" s="2"/>
      <c r="G8962" s="2"/>
      <c r="H8962" s="2"/>
    </row>
    <row r="8963" spans="1:8" x14ac:dyDescent="0.25">
      <c r="A8963" s="1"/>
      <c r="B8963" s="1" t="s">
        <v>4997</v>
      </c>
      <c r="C8963" s="1" t="s">
        <v>4998</v>
      </c>
      <c r="D8963" s="22" t="str">
        <f>HYPERLINK("https://rhld.insurance.arkansas.gov/NPILookup?Npi=1760827778","1760827778")</f>
        <v>1760827778</v>
      </c>
      <c r="E8963" s="1" t="s">
        <v>31641</v>
      </c>
      <c r="F8963" s="2"/>
      <c r="G8963" s="2"/>
      <c r="H8963" s="2"/>
    </row>
    <row r="8964" spans="1:8" x14ac:dyDescent="0.25">
      <c r="A8964" s="1"/>
      <c r="B8964" s="1" t="s">
        <v>4997</v>
      </c>
      <c r="C8964" s="1" t="s">
        <v>4998</v>
      </c>
      <c r="D8964" s="22" t="str">
        <f>HYPERLINK("https://rhld.insurance.arkansas.gov/NPILookup?Npi=1760877617","1760877617")</f>
        <v>1760877617</v>
      </c>
      <c r="E8964" s="1" t="s">
        <v>31642</v>
      </c>
      <c r="F8964" s="2"/>
      <c r="G8964" s="2"/>
      <c r="H8964" s="2"/>
    </row>
    <row r="8965" spans="1:8" x14ac:dyDescent="0.25">
      <c r="A8965" s="1"/>
      <c r="B8965" s="1" t="s">
        <v>4997</v>
      </c>
      <c r="C8965" s="1" t="s">
        <v>4998</v>
      </c>
      <c r="D8965" s="22" t="str">
        <f>HYPERLINK("https://rhld.insurance.arkansas.gov/NPILookup?Npi=1770501173","1770501173")</f>
        <v>1770501173</v>
      </c>
      <c r="E8965" s="1" t="s">
        <v>5094</v>
      </c>
      <c r="F8965" s="2"/>
      <c r="G8965" s="2"/>
      <c r="H8965" s="2"/>
    </row>
    <row r="8966" spans="1:8" x14ac:dyDescent="0.25">
      <c r="A8966" s="1"/>
      <c r="B8966" s="1" t="s">
        <v>4997</v>
      </c>
      <c r="C8966" s="1" t="s">
        <v>4998</v>
      </c>
      <c r="D8966" s="22" t="str">
        <f>HYPERLINK("https://rhld.insurance.arkansas.gov/NPILookup?Npi=1770503526","1770503526")</f>
        <v>1770503526</v>
      </c>
      <c r="E8966" s="1" t="s">
        <v>31643</v>
      </c>
      <c r="F8966" s="2"/>
      <c r="G8966" s="2"/>
      <c r="H8966" s="2"/>
    </row>
    <row r="8967" spans="1:8" x14ac:dyDescent="0.25">
      <c r="A8967" s="1"/>
      <c r="B8967" s="1" t="s">
        <v>4997</v>
      </c>
      <c r="C8967" s="1" t="s">
        <v>4998</v>
      </c>
      <c r="D8967" s="22" t="str">
        <f>HYPERLINK("https://rhld.insurance.arkansas.gov/NPILookup?Npi=1770525776","1770525776")</f>
        <v>1770525776</v>
      </c>
      <c r="E8967" s="1" t="s">
        <v>19250</v>
      </c>
      <c r="F8967" s="2"/>
      <c r="G8967" s="2"/>
      <c r="H8967" s="2"/>
    </row>
    <row r="8968" spans="1:8" x14ac:dyDescent="0.25">
      <c r="A8968" s="1"/>
      <c r="B8968" s="1" t="s">
        <v>4997</v>
      </c>
      <c r="C8968" s="1" t="s">
        <v>4998</v>
      </c>
      <c r="D8968" s="22" t="str">
        <f>HYPERLINK("https://rhld.insurance.arkansas.gov/NPILookup?Npi=1770553075","1770553075")</f>
        <v>1770553075</v>
      </c>
      <c r="E8968" s="1" t="s">
        <v>10901</v>
      </c>
      <c r="F8968" s="2"/>
      <c r="G8968" s="2"/>
      <c r="H8968" s="2"/>
    </row>
    <row r="8969" spans="1:8" x14ac:dyDescent="0.25">
      <c r="A8969" s="1"/>
      <c r="B8969" s="1" t="s">
        <v>4997</v>
      </c>
      <c r="C8969" s="1" t="s">
        <v>4998</v>
      </c>
      <c r="D8969" s="22" t="str">
        <f>HYPERLINK("https://rhld.insurance.arkansas.gov/NPILookup?Npi=1770825283","1770825283")</f>
        <v>1770825283</v>
      </c>
      <c r="E8969" s="1" t="s">
        <v>10902</v>
      </c>
      <c r="F8969" s="2"/>
      <c r="G8969" s="2"/>
      <c r="H8969" s="2"/>
    </row>
    <row r="8970" spans="1:8" x14ac:dyDescent="0.25">
      <c r="A8970" s="1"/>
      <c r="B8970" s="1" t="s">
        <v>4997</v>
      </c>
      <c r="C8970" s="1" t="s">
        <v>4998</v>
      </c>
      <c r="D8970" s="22" t="str">
        <f>HYPERLINK("https://rhld.insurance.arkansas.gov/NPILookup?Npi=1770882458","1770882458")</f>
        <v>1770882458</v>
      </c>
      <c r="E8970" s="1" t="s">
        <v>5095</v>
      </c>
      <c r="F8970" s="2"/>
      <c r="G8970" s="2"/>
      <c r="H8970" s="2"/>
    </row>
    <row r="8971" spans="1:8" x14ac:dyDescent="0.25">
      <c r="A8971" s="1"/>
      <c r="B8971" s="1" t="s">
        <v>4997</v>
      </c>
      <c r="C8971" s="1" t="s">
        <v>4998</v>
      </c>
      <c r="D8971" s="22" t="str">
        <f>HYPERLINK("https://rhld.insurance.arkansas.gov/NPILookup?Npi=1770897050","1770897050")</f>
        <v>1770897050</v>
      </c>
      <c r="E8971" s="1" t="s">
        <v>5096</v>
      </c>
      <c r="F8971" s="2"/>
      <c r="G8971" s="2"/>
      <c r="H8971" s="2"/>
    </row>
    <row r="8972" spans="1:8" x14ac:dyDescent="0.25">
      <c r="A8972" s="1"/>
      <c r="B8972" s="1" t="s">
        <v>4997</v>
      </c>
      <c r="C8972" s="1" t="s">
        <v>4998</v>
      </c>
      <c r="D8972" s="22" t="str">
        <f>HYPERLINK("https://rhld.insurance.arkansas.gov/NPILookup?Npi=1770997108","1770997108")</f>
        <v>1770997108</v>
      </c>
      <c r="E8972" s="1" t="s">
        <v>5097</v>
      </c>
      <c r="F8972" s="2"/>
      <c r="G8972" s="2"/>
      <c r="H8972" s="2"/>
    </row>
    <row r="8973" spans="1:8" x14ac:dyDescent="0.25">
      <c r="A8973" s="1"/>
      <c r="B8973" s="1" t="s">
        <v>4997</v>
      </c>
      <c r="C8973" s="1" t="s">
        <v>4998</v>
      </c>
      <c r="D8973" s="22" t="str">
        <f>HYPERLINK("https://rhld.insurance.arkansas.gov/NPILookup?Npi=1780237990","1780237990")</f>
        <v>1780237990</v>
      </c>
      <c r="E8973" s="1" t="s">
        <v>31644</v>
      </c>
      <c r="F8973" s="2"/>
      <c r="G8973" s="2"/>
      <c r="H8973" s="2"/>
    </row>
    <row r="8974" spans="1:8" x14ac:dyDescent="0.25">
      <c r="A8974" s="1"/>
      <c r="B8974" s="1" t="s">
        <v>4997</v>
      </c>
      <c r="C8974" s="1" t="s">
        <v>4998</v>
      </c>
      <c r="D8974" s="22" t="str">
        <f>HYPERLINK("https://rhld.insurance.arkansas.gov/NPILookup?Npi=1780846303","1780846303")</f>
        <v>1780846303</v>
      </c>
      <c r="E8974" s="1" t="s">
        <v>31645</v>
      </c>
      <c r="F8974" s="2"/>
      <c r="G8974" s="2"/>
      <c r="H8974" s="2"/>
    </row>
    <row r="8975" spans="1:8" x14ac:dyDescent="0.25">
      <c r="A8975" s="1"/>
      <c r="B8975" s="1" t="s">
        <v>4997</v>
      </c>
      <c r="C8975" s="1" t="s">
        <v>4998</v>
      </c>
      <c r="D8975" s="22" t="str">
        <f>HYPERLINK("https://rhld.insurance.arkansas.gov/NPILookup?Npi=1780930172","1780930172")</f>
        <v>1780930172</v>
      </c>
      <c r="E8975" s="1" t="s">
        <v>5098</v>
      </c>
      <c r="F8975" s="2"/>
      <c r="G8975" s="2"/>
      <c r="H8975" s="2"/>
    </row>
    <row r="8976" spans="1:8" x14ac:dyDescent="0.25">
      <c r="A8976" s="1"/>
      <c r="B8976" s="1" t="s">
        <v>4997</v>
      </c>
      <c r="C8976" s="1" t="s">
        <v>4998</v>
      </c>
      <c r="D8976" s="22" t="str">
        <f>HYPERLINK("https://rhld.insurance.arkansas.gov/NPILookup?Npi=1790028769","1790028769")</f>
        <v>1790028769</v>
      </c>
      <c r="E8976" s="1" t="s">
        <v>19251</v>
      </c>
      <c r="F8976" s="2"/>
      <c r="G8976" s="2"/>
      <c r="H8976" s="2"/>
    </row>
    <row r="8977" spans="1:8" x14ac:dyDescent="0.25">
      <c r="A8977" s="1"/>
      <c r="B8977" s="1" t="s">
        <v>4997</v>
      </c>
      <c r="C8977" s="1" t="s">
        <v>4998</v>
      </c>
      <c r="D8977" s="22" t="str">
        <f>HYPERLINK("https://rhld.insurance.arkansas.gov/NPILookup?Npi=1790096998","1790096998")</f>
        <v>1790096998</v>
      </c>
      <c r="E8977" s="1" t="s">
        <v>19252</v>
      </c>
      <c r="F8977" s="2"/>
      <c r="G8977" s="2"/>
      <c r="H8977" s="2"/>
    </row>
    <row r="8978" spans="1:8" x14ac:dyDescent="0.25">
      <c r="A8978" s="1"/>
      <c r="B8978" s="1" t="s">
        <v>4997</v>
      </c>
      <c r="C8978" s="1" t="s">
        <v>4998</v>
      </c>
      <c r="D8978" s="22" t="str">
        <f>HYPERLINK("https://rhld.insurance.arkansas.gov/NPILookup?Npi=1790170223","1790170223")</f>
        <v>1790170223</v>
      </c>
      <c r="E8978" s="1" t="s">
        <v>19253</v>
      </c>
      <c r="F8978" s="2"/>
      <c r="G8978" s="2"/>
      <c r="H8978" s="2"/>
    </row>
    <row r="8979" spans="1:8" x14ac:dyDescent="0.25">
      <c r="A8979" s="1"/>
      <c r="B8979" s="1" t="s">
        <v>4997</v>
      </c>
      <c r="C8979" s="1" t="s">
        <v>4998</v>
      </c>
      <c r="D8979" s="22" t="str">
        <f>HYPERLINK("https://rhld.insurance.arkansas.gov/NPILookup?Npi=1790292100","1790292100")</f>
        <v>1790292100</v>
      </c>
      <c r="E8979" s="1" t="s">
        <v>31646</v>
      </c>
      <c r="F8979" s="2"/>
      <c r="G8979" s="2"/>
      <c r="H8979" s="2"/>
    </row>
    <row r="8980" spans="1:8" x14ac:dyDescent="0.25">
      <c r="A8980" s="1"/>
      <c r="B8980" s="1" t="s">
        <v>4997</v>
      </c>
      <c r="C8980" s="1" t="s">
        <v>4998</v>
      </c>
      <c r="D8980" s="22" t="str">
        <f>HYPERLINK("https://rhld.insurance.arkansas.gov/NPILookup?Npi=1790742609","1790742609")</f>
        <v>1790742609</v>
      </c>
      <c r="E8980" s="1" t="s">
        <v>19073</v>
      </c>
      <c r="F8980" s="2"/>
      <c r="G8980" s="2"/>
      <c r="H8980" s="2"/>
    </row>
    <row r="8981" spans="1:8" x14ac:dyDescent="0.25">
      <c r="A8981" s="1"/>
      <c r="B8981" s="1" t="s">
        <v>4997</v>
      </c>
      <c r="C8981" s="1" t="s">
        <v>4998</v>
      </c>
      <c r="D8981" s="22" t="str">
        <f>HYPERLINK("https://rhld.insurance.arkansas.gov/NPILookup?Npi=1790860716","1790860716")</f>
        <v>1790860716</v>
      </c>
      <c r="E8981" s="1" t="s">
        <v>19254</v>
      </c>
      <c r="F8981" s="2"/>
      <c r="G8981" s="2"/>
      <c r="H8981" s="2"/>
    </row>
    <row r="8982" spans="1:8" x14ac:dyDescent="0.25">
      <c r="A8982" s="1"/>
      <c r="B8982" s="1" t="s">
        <v>4997</v>
      </c>
      <c r="C8982" s="1" t="s">
        <v>4998</v>
      </c>
      <c r="D8982" s="22" t="str">
        <f>HYPERLINK("https://rhld.insurance.arkansas.gov/NPILookup?Npi=1790930782","1790930782")</f>
        <v>1790930782</v>
      </c>
      <c r="E8982" s="1" t="s">
        <v>19255</v>
      </c>
      <c r="F8982" s="2"/>
      <c r="G8982" s="2"/>
      <c r="H8982" s="2"/>
    </row>
    <row r="8983" spans="1:8" x14ac:dyDescent="0.25">
      <c r="A8983" s="1"/>
      <c r="B8983" s="1" t="s">
        <v>4997</v>
      </c>
      <c r="C8983" s="1" t="s">
        <v>4998</v>
      </c>
      <c r="D8983" s="22" t="str">
        <f>HYPERLINK("https://rhld.insurance.arkansas.gov/NPILookup?Npi=1790971885","1790971885")</f>
        <v>1790971885</v>
      </c>
      <c r="E8983" s="1" t="s">
        <v>10904</v>
      </c>
      <c r="F8983" s="2"/>
      <c r="G8983" s="2"/>
      <c r="H8983" s="2"/>
    </row>
    <row r="8984" spans="1:8" x14ac:dyDescent="0.25">
      <c r="A8984" s="1"/>
      <c r="B8984" s="1" t="s">
        <v>4997</v>
      </c>
      <c r="C8984" s="1" t="s">
        <v>4998</v>
      </c>
      <c r="D8984" s="22" t="str">
        <f>HYPERLINK("https://rhld.insurance.arkansas.gov/NPILookup?Npi=1801021886","1801021886")</f>
        <v>1801021886</v>
      </c>
      <c r="E8984" s="1" t="s">
        <v>31647</v>
      </c>
      <c r="F8984" s="2"/>
      <c r="G8984" s="2"/>
      <c r="H8984" s="2"/>
    </row>
    <row r="8985" spans="1:8" x14ac:dyDescent="0.25">
      <c r="A8985" s="1"/>
      <c r="B8985" s="1" t="s">
        <v>4997</v>
      </c>
      <c r="C8985" s="1" t="s">
        <v>4998</v>
      </c>
      <c r="D8985" s="22" t="str">
        <f>HYPERLINK("https://rhld.insurance.arkansas.gov/NPILookup?Npi=1801121355","1801121355")</f>
        <v>1801121355</v>
      </c>
      <c r="E8985" s="1" t="s">
        <v>31648</v>
      </c>
      <c r="F8985" s="2"/>
      <c r="G8985" s="2"/>
      <c r="H8985" s="2"/>
    </row>
    <row r="8986" spans="1:8" x14ac:dyDescent="0.25">
      <c r="A8986" s="1"/>
      <c r="B8986" s="1" t="s">
        <v>4997</v>
      </c>
      <c r="C8986" s="1" t="s">
        <v>4998</v>
      </c>
      <c r="D8986" s="22" t="str">
        <f>HYPERLINK("https://rhld.insurance.arkansas.gov/NPILookup?Npi=1801241260","1801241260")</f>
        <v>1801241260</v>
      </c>
      <c r="E8986" s="1" t="s">
        <v>31649</v>
      </c>
      <c r="F8986" s="2"/>
      <c r="G8986" s="2"/>
      <c r="H8986" s="2"/>
    </row>
    <row r="8987" spans="1:8" x14ac:dyDescent="0.25">
      <c r="A8987" s="1"/>
      <c r="B8987" s="1" t="s">
        <v>4997</v>
      </c>
      <c r="C8987" s="1" t="s">
        <v>4998</v>
      </c>
      <c r="D8987" s="22" t="str">
        <f>HYPERLINK("https://rhld.insurance.arkansas.gov/NPILookup?Npi=1801373089","1801373089")</f>
        <v>1801373089</v>
      </c>
      <c r="E8987" s="1" t="s">
        <v>31650</v>
      </c>
      <c r="F8987" s="2"/>
      <c r="G8987" s="2"/>
      <c r="H8987" s="2"/>
    </row>
    <row r="8988" spans="1:8" x14ac:dyDescent="0.25">
      <c r="A8988" s="1"/>
      <c r="B8988" s="1" t="s">
        <v>4997</v>
      </c>
      <c r="C8988" s="1" t="s">
        <v>4998</v>
      </c>
      <c r="D8988" s="22" t="str">
        <f>HYPERLINK("https://rhld.insurance.arkansas.gov/NPILookup?Npi=1801385034","1801385034")</f>
        <v>1801385034</v>
      </c>
      <c r="E8988" s="1" t="s">
        <v>31651</v>
      </c>
      <c r="F8988" s="2"/>
      <c r="G8988" s="2"/>
      <c r="H8988" s="2"/>
    </row>
    <row r="8989" spans="1:8" x14ac:dyDescent="0.25">
      <c r="A8989" s="1"/>
      <c r="B8989" s="1" t="s">
        <v>4997</v>
      </c>
      <c r="C8989" s="1" t="s">
        <v>4998</v>
      </c>
      <c r="D8989" s="22" t="str">
        <f>HYPERLINK("https://rhld.insurance.arkansas.gov/NPILookup?Npi=1811105331","1811105331")</f>
        <v>1811105331</v>
      </c>
      <c r="E8989" s="1" t="s">
        <v>5099</v>
      </c>
      <c r="F8989" s="2"/>
      <c r="G8989" s="2"/>
      <c r="H8989" s="2"/>
    </row>
    <row r="8990" spans="1:8" x14ac:dyDescent="0.25">
      <c r="A8990" s="1"/>
      <c r="B8990" s="1" t="s">
        <v>4997</v>
      </c>
      <c r="C8990" s="1" t="s">
        <v>4998</v>
      </c>
      <c r="D8990" s="22" t="str">
        <f>HYPERLINK("https://rhld.insurance.arkansas.gov/NPILookup?Npi=1811127475","1811127475")</f>
        <v>1811127475</v>
      </c>
      <c r="E8990" s="1" t="s">
        <v>19256</v>
      </c>
      <c r="F8990" s="2"/>
      <c r="G8990" s="2"/>
      <c r="H8990" s="2"/>
    </row>
    <row r="8991" spans="1:8" x14ac:dyDescent="0.25">
      <c r="A8991" s="1"/>
      <c r="B8991" s="1" t="s">
        <v>4997</v>
      </c>
      <c r="C8991" s="1" t="s">
        <v>4998</v>
      </c>
      <c r="D8991" s="22" t="str">
        <f>HYPERLINK("https://rhld.insurance.arkansas.gov/NPILookup?Npi=1811242639","1811242639")</f>
        <v>1811242639</v>
      </c>
      <c r="E8991" s="1" t="s">
        <v>19257</v>
      </c>
      <c r="F8991" s="2"/>
      <c r="G8991" s="2"/>
      <c r="H8991" s="2"/>
    </row>
    <row r="8992" spans="1:8" x14ac:dyDescent="0.25">
      <c r="A8992" s="1"/>
      <c r="B8992" s="1" t="s">
        <v>4997</v>
      </c>
      <c r="C8992" s="1" t="s">
        <v>4998</v>
      </c>
      <c r="D8992" s="22" t="str">
        <f>HYPERLINK("https://rhld.insurance.arkansas.gov/NPILookup?Npi=1811280100","1811280100")</f>
        <v>1811280100</v>
      </c>
      <c r="E8992" s="1" t="s">
        <v>31652</v>
      </c>
      <c r="F8992" s="2"/>
      <c r="G8992" s="2"/>
      <c r="H8992" s="2"/>
    </row>
    <row r="8993" spans="1:8" x14ac:dyDescent="0.25">
      <c r="A8993" s="1"/>
      <c r="B8993" s="1" t="s">
        <v>4997</v>
      </c>
      <c r="C8993" s="1" t="s">
        <v>4998</v>
      </c>
      <c r="D8993" s="22" t="str">
        <f>HYPERLINK("https://rhld.insurance.arkansas.gov/NPILookup?Npi=1811352396","1811352396")</f>
        <v>1811352396</v>
      </c>
      <c r="E8993" s="1" t="s">
        <v>5100</v>
      </c>
      <c r="F8993" s="2"/>
      <c r="G8993" s="2"/>
      <c r="H8993" s="2"/>
    </row>
    <row r="8994" spans="1:8" x14ac:dyDescent="0.25">
      <c r="A8994" s="1"/>
      <c r="B8994" s="1" t="s">
        <v>4997</v>
      </c>
      <c r="C8994" s="1" t="s">
        <v>4998</v>
      </c>
      <c r="D8994" s="22" t="str">
        <f>HYPERLINK("https://rhld.insurance.arkansas.gov/NPILookup?Npi=1811965304","1811965304")</f>
        <v>1811965304</v>
      </c>
      <c r="E8994" s="1" t="s">
        <v>31653</v>
      </c>
      <c r="F8994" s="2"/>
      <c r="G8994" s="2"/>
      <c r="H8994" s="2"/>
    </row>
    <row r="8995" spans="1:8" x14ac:dyDescent="0.25">
      <c r="A8995" s="1"/>
      <c r="B8995" s="1" t="s">
        <v>4997</v>
      </c>
      <c r="C8995" s="1" t="s">
        <v>4998</v>
      </c>
      <c r="D8995" s="22" t="str">
        <f>HYPERLINK("https://rhld.insurance.arkansas.gov/NPILookup?Npi=1821101742","1821101742")</f>
        <v>1821101742</v>
      </c>
      <c r="E8995" s="1" t="s">
        <v>5101</v>
      </c>
      <c r="F8995" s="2"/>
      <c r="G8995" s="2"/>
      <c r="H8995" s="2"/>
    </row>
    <row r="8996" spans="1:8" x14ac:dyDescent="0.25">
      <c r="A8996" s="1"/>
      <c r="B8996" s="1" t="s">
        <v>4997</v>
      </c>
      <c r="C8996" s="1" t="s">
        <v>4998</v>
      </c>
      <c r="D8996" s="22" t="str">
        <f>HYPERLINK("https://rhld.insurance.arkansas.gov/NPILookup?Npi=1821265166","1821265166")</f>
        <v>1821265166</v>
      </c>
      <c r="E8996" s="1" t="s">
        <v>19258</v>
      </c>
      <c r="F8996" s="2"/>
      <c r="G8996" s="2"/>
      <c r="H8996" s="2"/>
    </row>
    <row r="8997" spans="1:8" x14ac:dyDescent="0.25">
      <c r="A8997" s="1"/>
      <c r="B8997" s="1" t="s">
        <v>4997</v>
      </c>
      <c r="C8997" s="1" t="s">
        <v>4998</v>
      </c>
      <c r="D8997" s="22" t="str">
        <f>HYPERLINK("https://rhld.insurance.arkansas.gov/NPILookup?Npi=1821319989","1821319989")</f>
        <v>1821319989</v>
      </c>
      <c r="E8997" s="1" t="s">
        <v>5102</v>
      </c>
      <c r="F8997" s="2"/>
      <c r="G8997" s="2"/>
      <c r="H8997" s="2"/>
    </row>
    <row r="8998" spans="1:8" x14ac:dyDescent="0.25">
      <c r="A8998" s="1"/>
      <c r="B8998" s="1" t="s">
        <v>4997</v>
      </c>
      <c r="C8998" s="1" t="s">
        <v>4998</v>
      </c>
      <c r="D8998" s="22" t="str">
        <f>HYPERLINK("https://rhld.insurance.arkansas.gov/NPILookup?Npi=1821331000","1821331000")</f>
        <v>1821331000</v>
      </c>
      <c r="E8998" s="1" t="s">
        <v>5103</v>
      </c>
      <c r="F8998" s="2"/>
      <c r="G8998" s="2"/>
      <c r="H8998" s="2"/>
    </row>
    <row r="8999" spans="1:8" x14ac:dyDescent="0.25">
      <c r="A8999" s="1"/>
      <c r="B8999" s="1" t="s">
        <v>4997</v>
      </c>
      <c r="C8999" s="1" t="s">
        <v>4998</v>
      </c>
      <c r="D8999" s="22" t="str">
        <f>HYPERLINK("https://rhld.insurance.arkansas.gov/NPILookup?Npi=1821431123","1821431123")</f>
        <v>1821431123</v>
      </c>
      <c r="E8999" s="1" t="s">
        <v>5104</v>
      </c>
      <c r="F8999" s="2"/>
      <c r="G8999" s="2"/>
      <c r="H8999" s="2"/>
    </row>
    <row r="9000" spans="1:8" x14ac:dyDescent="0.25">
      <c r="A9000" s="1"/>
      <c r="B9000" s="1" t="s">
        <v>4997</v>
      </c>
      <c r="C9000" s="1" t="s">
        <v>4998</v>
      </c>
      <c r="D9000" s="22" t="str">
        <f>HYPERLINK("https://rhld.insurance.arkansas.gov/NPILookup?Npi=1831139682","1831139682")</f>
        <v>1831139682</v>
      </c>
      <c r="E9000" s="1" t="s">
        <v>19259</v>
      </c>
      <c r="F9000" s="2"/>
      <c r="G9000" s="2"/>
      <c r="H9000" s="2"/>
    </row>
    <row r="9001" spans="1:8" x14ac:dyDescent="0.25">
      <c r="A9001" s="1"/>
      <c r="B9001" s="1" t="s">
        <v>4997</v>
      </c>
      <c r="C9001" s="1" t="s">
        <v>4998</v>
      </c>
      <c r="D9001" s="22" t="str">
        <f>HYPERLINK("https://rhld.insurance.arkansas.gov/NPILookup?Npi=1831149020","1831149020")</f>
        <v>1831149020</v>
      </c>
      <c r="E9001" s="1" t="s">
        <v>19260</v>
      </c>
      <c r="F9001" s="2"/>
      <c r="G9001" s="2"/>
      <c r="H9001" s="2"/>
    </row>
    <row r="9002" spans="1:8" x14ac:dyDescent="0.25">
      <c r="A9002" s="1"/>
      <c r="B9002" s="1" t="s">
        <v>4997</v>
      </c>
      <c r="C9002" s="1" t="s">
        <v>4998</v>
      </c>
      <c r="D9002" s="22" t="str">
        <f>HYPERLINK("https://rhld.insurance.arkansas.gov/NPILookup?Npi=1831171263","1831171263")</f>
        <v>1831171263</v>
      </c>
      <c r="E9002" s="1" t="s">
        <v>19262</v>
      </c>
      <c r="F9002" s="2"/>
      <c r="G9002" s="2"/>
      <c r="H9002" s="2"/>
    </row>
    <row r="9003" spans="1:8" x14ac:dyDescent="0.25">
      <c r="A9003" s="1"/>
      <c r="B9003" s="1" t="s">
        <v>4997</v>
      </c>
      <c r="C9003" s="1" t="s">
        <v>4998</v>
      </c>
      <c r="D9003" s="22" t="str">
        <f>HYPERLINK("https://rhld.insurance.arkansas.gov/NPILookup?Npi=1831326750","1831326750")</f>
        <v>1831326750</v>
      </c>
      <c r="E9003" s="1" t="s">
        <v>5105</v>
      </c>
      <c r="F9003" s="2"/>
      <c r="G9003" s="2"/>
      <c r="H9003" s="2"/>
    </row>
    <row r="9004" spans="1:8" x14ac:dyDescent="0.25">
      <c r="A9004" s="1"/>
      <c r="B9004" s="1" t="s">
        <v>4997</v>
      </c>
      <c r="C9004" s="1" t="s">
        <v>4998</v>
      </c>
      <c r="D9004" s="22" t="str">
        <f>HYPERLINK("https://rhld.insurance.arkansas.gov/NPILookup?Npi=1831423607","1831423607")</f>
        <v>1831423607</v>
      </c>
      <c r="E9004" s="1" t="s">
        <v>5106</v>
      </c>
      <c r="F9004" s="2"/>
      <c r="G9004" s="2"/>
      <c r="H9004" s="2"/>
    </row>
    <row r="9005" spans="1:8" x14ac:dyDescent="0.25">
      <c r="A9005" s="1"/>
      <c r="B9005" s="1" t="s">
        <v>4997</v>
      </c>
      <c r="C9005" s="1" t="s">
        <v>4998</v>
      </c>
      <c r="D9005" s="22" t="str">
        <f>HYPERLINK("https://rhld.insurance.arkansas.gov/NPILookup?Npi=1831496942","1831496942")</f>
        <v>1831496942</v>
      </c>
      <c r="E9005" s="1" t="s">
        <v>5107</v>
      </c>
      <c r="F9005" s="2"/>
      <c r="G9005" s="2"/>
      <c r="H9005" s="2"/>
    </row>
    <row r="9006" spans="1:8" x14ac:dyDescent="0.25">
      <c r="A9006" s="1"/>
      <c r="B9006" s="1" t="s">
        <v>4997</v>
      </c>
      <c r="C9006" s="1" t="s">
        <v>4998</v>
      </c>
      <c r="D9006" s="22" t="str">
        <f>HYPERLINK("https://rhld.insurance.arkansas.gov/NPILookup?Npi=1831610815","1831610815")</f>
        <v>1831610815</v>
      </c>
      <c r="E9006" s="1" t="s">
        <v>10906</v>
      </c>
      <c r="F9006" s="2"/>
      <c r="G9006" s="2"/>
      <c r="H9006" s="2"/>
    </row>
    <row r="9007" spans="1:8" x14ac:dyDescent="0.25">
      <c r="A9007" s="1"/>
      <c r="B9007" s="1" t="s">
        <v>4997</v>
      </c>
      <c r="C9007" s="1" t="s">
        <v>4998</v>
      </c>
      <c r="D9007" s="22" t="str">
        <f>HYPERLINK("https://rhld.insurance.arkansas.gov/NPILookup?Npi=1831622968","1831622968")</f>
        <v>1831622968</v>
      </c>
      <c r="E9007" s="1" t="s">
        <v>10907</v>
      </c>
      <c r="F9007" s="2"/>
      <c r="G9007" s="2"/>
      <c r="H9007" s="2"/>
    </row>
    <row r="9008" spans="1:8" x14ac:dyDescent="0.25">
      <c r="A9008" s="1"/>
      <c r="B9008" s="1" t="s">
        <v>4997</v>
      </c>
      <c r="C9008" s="1" t="s">
        <v>4998</v>
      </c>
      <c r="D9008" s="22" t="str">
        <f>HYPERLINK("https://rhld.insurance.arkansas.gov/NPILookup?Npi=1831750603","1831750603")</f>
        <v>1831750603</v>
      </c>
      <c r="E9008" s="1" t="s">
        <v>19263</v>
      </c>
      <c r="F9008" s="2"/>
      <c r="G9008" s="2"/>
      <c r="H9008" s="2"/>
    </row>
    <row r="9009" spans="1:8" x14ac:dyDescent="0.25">
      <c r="A9009" s="1"/>
      <c r="B9009" s="1" t="s">
        <v>4997</v>
      </c>
      <c r="C9009" s="1" t="s">
        <v>4998</v>
      </c>
      <c r="D9009" s="22" t="str">
        <f>HYPERLINK("https://rhld.insurance.arkansas.gov/NPILookup?Npi=1831753227","1831753227")</f>
        <v>1831753227</v>
      </c>
      <c r="E9009" s="1" t="s">
        <v>5108</v>
      </c>
      <c r="F9009" s="2"/>
      <c r="G9009" s="2"/>
      <c r="H9009" s="2"/>
    </row>
    <row r="9010" spans="1:8" x14ac:dyDescent="0.25">
      <c r="A9010" s="1"/>
      <c r="B9010" s="1" t="s">
        <v>4997</v>
      </c>
      <c r="C9010" s="1" t="s">
        <v>4998</v>
      </c>
      <c r="D9010" s="22" t="str">
        <f>HYPERLINK("https://rhld.insurance.arkansas.gov/NPILookup?Npi=1841256609","1841256609")</f>
        <v>1841256609</v>
      </c>
      <c r="E9010" s="1" t="s">
        <v>19264</v>
      </c>
      <c r="F9010" s="2"/>
      <c r="G9010" s="2"/>
      <c r="H9010" s="2"/>
    </row>
    <row r="9011" spans="1:8" x14ac:dyDescent="0.25">
      <c r="A9011" s="1"/>
      <c r="B9011" s="1" t="s">
        <v>4997</v>
      </c>
      <c r="C9011" s="1" t="s">
        <v>4998</v>
      </c>
      <c r="D9011" s="22" t="str">
        <f>HYPERLINK("https://rhld.insurance.arkansas.gov/NPILookup?Npi=1841635422","1841635422")</f>
        <v>1841635422</v>
      </c>
      <c r="E9011" s="1" t="s">
        <v>31654</v>
      </c>
      <c r="F9011" s="2"/>
      <c r="G9011" s="2"/>
      <c r="H9011" s="2"/>
    </row>
    <row r="9012" spans="1:8" x14ac:dyDescent="0.25">
      <c r="A9012" s="1"/>
      <c r="B9012" s="1" t="s">
        <v>4997</v>
      </c>
      <c r="C9012" s="1" t="s">
        <v>4998</v>
      </c>
      <c r="D9012" s="22" t="str">
        <f>HYPERLINK("https://rhld.insurance.arkansas.gov/NPILookup?Npi=1841666112","1841666112")</f>
        <v>1841666112</v>
      </c>
      <c r="E9012" s="1" t="s">
        <v>19265</v>
      </c>
      <c r="F9012" s="2"/>
      <c r="G9012" s="2"/>
      <c r="H9012" s="2"/>
    </row>
    <row r="9013" spans="1:8" x14ac:dyDescent="0.25">
      <c r="A9013" s="1"/>
      <c r="B9013" s="1" t="s">
        <v>4997</v>
      </c>
      <c r="C9013" s="1" t="s">
        <v>4998</v>
      </c>
      <c r="D9013" s="22" t="str">
        <f>HYPERLINK("https://rhld.insurance.arkansas.gov/NPILookup?Npi=1841721628","1841721628")</f>
        <v>1841721628</v>
      </c>
      <c r="E9013" s="1" t="s">
        <v>5110</v>
      </c>
      <c r="F9013" s="2"/>
      <c r="G9013" s="2"/>
      <c r="H9013" s="2"/>
    </row>
    <row r="9014" spans="1:8" x14ac:dyDescent="0.25">
      <c r="A9014" s="1"/>
      <c r="B9014" s="1" t="s">
        <v>4997</v>
      </c>
      <c r="C9014" s="1" t="s">
        <v>4998</v>
      </c>
      <c r="D9014" s="22" t="str">
        <f>HYPERLINK("https://rhld.insurance.arkansas.gov/NPILookup?Npi=1851357586","1851357586")</f>
        <v>1851357586</v>
      </c>
      <c r="E9014" s="1" t="s">
        <v>19266</v>
      </c>
      <c r="F9014" s="2"/>
      <c r="G9014" s="2"/>
      <c r="H9014" s="2"/>
    </row>
    <row r="9015" spans="1:8" x14ac:dyDescent="0.25">
      <c r="A9015" s="1"/>
      <c r="B9015" s="1" t="s">
        <v>4997</v>
      </c>
      <c r="C9015" s="1" t="s">
        <v>4998</v>
      </c>
      <c r="D9015" s="22" t="str">
        <f>HYPERLINK("https://rhld.insurance.arkansas.gov/NPILookup?Npi=1851553879","1851553879")</f>
        <v>1851553879</v>
      </c>
      <c r="E9015" s="1" t="s">
        <v>5111</v>
      </c>
      <c r="F9015" s="2"/>
      <c r="G9015" s="2"/>
      <c r="H9015" s="2"/>
    </row>
    <row r="9016" spans="1:8" x14ac:dyDescent="0.25">
      <c r="A9016" s="1"/>
      <c r="B9016" s="1" t="s">
        <v>4997</v>
      </c>
      <c r="C9016" s="1" t="s">
        <v>4998</v>
      </c>
      <c r="D9016" s="22" t="str">
        <f>HYPERLINK("https://rhld.insurance.arkansas.gov/NPILookup?Npi=1851564363","1851564363")</f>
        <v>1851564363</v>
      </c>
      <c r="E9016" s="1" t="s">
        <v>19267</v>
      </c>
      <c r="F9016" s="2"/>
      <c r="G9016" s="2"/>
      <c r="H9016" s="2"/>
    </row>
    <row r="9017" spans="1:8" x14ac:dyDescent="0.25">
      <c r="A9017" s="1"/>
      <c r="B9017" s="1" t="s">
        <v>4997</v>
      </c>
      <c r="C9017" s="1" t="s">
        <v>4998</v>
      </c>
      <c r="D9017" s="22" t="str">
        <f>HYPERLINK("https://rhld.insurance.arkansas.gov/NPILookup?Npi=1851591614","1851591614")</f>
        <v>1851591614</v>
      </c>
      <c r="E9017" s="1" t="s">
        <v>19268</v>
      </c>
      <c r="F9017" s="2"/>
      <c r="G9017" s="2"/>
      <c r="H9017" s="2"/>
    </row>
    <row r="9018" spans="1:8" x14ac:dyDescent="0.25">
      <c r="A9018" s="1"/>
      <c r="B9018" s="1" t="s">
        <v>4997</v>
      </c>
      <c r="C9018" s="1" t="s">
        <v>4998</v>
      </c>
      <c r="D9018" s="22" t="str">
        <f>HYPERLINK("https://rhld.insurance.arkansas.gov/NPILookup?Npi=1851826309","1851826309")</f>
        <v>1851826309</v>
      </c>
      <c r="E9018" s="1" t="s">
        <v>31655</v>
      </c>
      <c r="F9018" s="2"/>
      <c r="G9018" s="2"/>
      <c r="H9018" s="2"/>
    </row>
    <row r="9019" spans="1:8" x14ac:dyDescent="0.25">
      <c r="A9019" s="1"/>
      <c r="B9019" s="1" t="s">
        <v>4997</v>
      </c>
      <c r="C9019" s="1" t="s">
        <v>4998</v>
      </c>
      <c r="D9019" s="22" t="str">
        <f>HYPERLINK("https://rhld.insurance.arkansas.gov/NPILookup?Npi=1861054181","1861054181")</f>
        <v>1861054181</v>
      </c>
      <c r="E9019" s="1" t="s">
        <v>19269</v>
      </c>
      <c r="F9019" s="2"/>
      <c r="G9019" s="2"/>
      <c r="H9019" s="2"/>
    </row>
    <row r="9020" spans="1:8" x14ac:dyDescent="0.25">
      <c r="A9020" s="1"/>
      <c r="B9020" s="1" t="s">
        <v>4997</v>
      </c>
      <c r="C9020" s="1" t="s">
        <v>4998</v>
      </c>
      <c r="D9020" s="22" t="str">
        <f>HYPERLINK("https://rhld.insurance.arkansas.gov/NPILookup?Npi=1861479628","1861479628")</f>
        <v>1861479628</v>
      </c>
      <c r="E9020" s="1" t="s">
        <v>5112</v>
      </c>
      <c r="F9020" s="2"/>
      <c r="G9020" s="2"/>
      <c r="H9020" s="2"/>
    </row>
    <row r="9021" spans="1:8" x14ac:dyDescent="0.25">
      <c r="A9021" s="1"/>
      <c r="B9021" s="1" t="s">
        <v>4997</v>
      </c>
      <c r="C9021" s="1" t="s">
        <v>4998</v>
      </c>
      <c r="D9021" s="22" t="str">
        <f>HYPERLINK("https://rhld.insurance.arkansas.gov/NPILookup?Npi=1861482390","1861482390")</f>
        <v>1861482390</v>
      </c>
      <c r="E9021" s="1" t="s">
        <v>19270</v>
      </c>
      <c r="F9021" s="2"/>
      <c r="G9021" s="2"/>
      <c r="H9021" s="2"/>
    </row>
    <row r="9022" spans="1:8" x14ac:dyDescent="0.25">
      <c r="A9022" s="1"/>
      <c r="B9022" s="1" t="s">
        <v>4997</v>
      </c>
      <c r="C9022" s="1" t="s">
        <v>4998</v>
      </c>
      <c r="D9022" s="22" t="str">
        <f>HYPERLINK("https://rhld.insurance.arkansas.gov/NPILookup?Npi=1861526915","1861526915")</f>
        <v>1861526915</v>
      </c>
      <c r="E9022" s="1" t="s">
        <v>19271</v>
      </c>
      <c r="F9022" s="2"/>
      <c r="G9022" s="2"/>
      <c r="H9022" s="2"/>
    </row>
    <row r="9023" spans="1:8" x14ac:dyDescent="0.25">
      <c r="A9023" s="1"/>
      <c r="B9023" s="1" t="s">
        <v>4997</v>
      </c>
      <c r="C9023" s="1" t="s">
        <v>4998</v>
      </c>
      <c r="D9023" s="22" t="str">
        <f>HYPERLINK("https://rhld.insurance.arkansas.gov/NPILookup?Npi=1861807638","1861807638")</f>
        <v>1861807638</v>
      </c>
      <c r="E9023" s="1" t="s">
        <v>19272</v>
      </c>
      <c r="F9023" s="2"/>
      <c r="G9023" s="2"/>
      <c r="H9023" s="2"/>
    </row>
    <row r="9024" spans="1:8" x14ac:dyDescent="0.25">
      <c r="A9024" s="1"/>
      <c r="B9024" s="1" t="s">
        <v>4997</v>
      </c>
      <c r="C9024" s="1" t="s">
        <v>4998</v>
      </c>
      <c r="D9024" s="22" t="str">
        <f>HYPERLINK("https://rhld.insurance.arkansas.gov/NPILookup?Npi=1861812083","1861812083")</f>
        <v>1861812083</v>
      </c>
      <c r="E9024" s="1" t="s">
        <v>19273</v>
      </c>
      <c r="F9024" s="2"/>
      <c r="G9024" s="2"/>
      <c r="H9024" s="2"/>
    </row>
    <row r="9025" spans="1:8" x14ac:dyDescent="0.25">
      <c r="A9025" s="1"/>
      <c r="B9025" s="1" t="s">
        <v>4997</v>
      </c>
      <c r="C9025" s="1" t="s">
        <v>4998</v>
      </c>
      <c r="D9025" s="22" t="str">
        <f>HYPERLINK("https://rhld.insurance.arkansas.gov/NPILookup?Npi=1861873846","1861873846")</f>
        <v>1861873846</v>
      </c>
      <c r="E9025" s="1" t="s">
        <v>19274</v>
      </c>
      <c r="F9025" s="2"/>
      <c r="G9025" s="2"/>
      <c r="H9025" s="2"/>
    </row>
    <row r="9026" spans="1:8" x14ac:dyDescent="0.25">
      <c r="A9026" s="1"/>
      <c r="B9026" s="1" t="s">
        <v>4997</v>
      </c>
      <c r="C9026" s="1" t="s">
        <v>4998</v>
      </c>
      <c r="D9026" s="22" t="str">
        <f>HYPERLINK("https://rhld.insurance.arkansas.gov/NPILookup?Npi=1861978082","1861978082")</f>
        <v>1861978082</v>
      </c>
      <c r="E9026" s="1" t="s">
        <v>10908</v>
      </c>
      <c r="F9026" s="2"/>
      <c r="G9026" s="2"/>
      <c r="H9026" s="2"/>
    </row>
    <row r="9027" spans="1:8" x14ac:dyDescent="0.25">
      <c r="A9027" s="1"/>
      <c r="B9027" s="1" t="s">
        <v>4997</v>
      </c>
      <c r="C9027" s="1" t="s">
        <v>4998</v>
      </c>
      <c r="D9027" s="22" t="str">
        <f>HYPERLINK("https://rhld.insurance.arkansas.gov/NPILookup?Npi=1871545921","1871545921")</f>
        <v>1871545921</v>
      </c>
      <c r="E9027" s="1" t="s">
        <v>10909</v>
      </c>
      <c r="F9027" s="2"/>
      <c r="G9027" s="2"/>
      <c r="H9027" s="2"/>
    </row>
    <row r="9028" spans="1:8" x14ac:dyDescent="0.25">
      <c r="A9028" s="1"/>
      <c r="B9028" s="1" t="s">
        <v>4997</v>
      </c>
      <c r="C9028" s="1" t="s">
        <v>4998</v>
      </c>
      <c r="D9028" s="22" t="str">
        <f>HYPERLINK("https://rhld.insurance.arkansas.gov/NPILookup?Npi=1871698662","1871698662")</f>
        <v>1871698662</v>
      </c>
      <c r="E9028" s="1" t="s">
        <v>5113</v>
      </c>
      <c r="F9028" s="2"/>
      <c r="G9028" s="2"/>
      <c r="H9028" s="2"/>
    </row>
    <row r="9029" spans="1:8" x14ac:dyDescent="0.25">
      <c r="A9029" s="1"/>
      <c r="B9029" s="1" t="s">
        <v>4997</v>
      </c>
      <c r="C9029" s="1" t="s">
        <v>4998</v>
      </c>
      <c r="D9029" s="22" t="str">
        <f>HYPERLINK("https://rhld.insurance.arkansas.gov/NPILookup?Npi=1871713537","1871713537")</f>
        <v>1871713537</v>
      </c>
      <c r="E9029" s="1" t="s">
        <v>19275</v>
      </c>
      <c r="F9029" s="2"/>
      <c r="G9029" s="2"/>
      <c r="H9029" s="2"/>
    </row>
    <row r="9030" spans="1:8" x14ac:dyDescent="0.25">
      <c r="A9030" s="1"/>
      <c r="B9030" s="1" t="s">
        <v>4997</v>
      </c>
      <c r="C9030" s="1" t="s">
        <v>4998</v>
      </c>
      <c r="D9030" s="22" t="str">
        <f>HYPERLINK("https://rhld.insurance.arkansas.gov/NPILookup?Npi=1871722520","1871722520")</f>
        <v>1871722520</v>
      </c>
      <c r="E9030" s="1" t="s">
        <v>31656</v>
      </c>
      <c r="F9030" s="2"/>
      <c r="G9030" s="2"/>
      <c r="H9030" s="2"/>
    </row>
    <row r="9031" spans="1:8" x14ac:dyDescent="0.25">
      <c r="A9031" s="1"/>
      <c r="B9031" s="1" t="s">
        <v>4997</v>
      </c>
      <c r="C9031" s="1" t="s">
        <v>4998</v>
      </c>
      <c r="D9031" s="22" t="str">
        <f>HYPERLINK("https://rhld.insurance.arkansas.gov/NPILookup?Npi=1871988170","1871988170")</f>
        <v>1871988170</v>
      </c>
      <c r="E9031" s="1" t="s">
        <v>31657</v>
      </c>
      <c r="F9031" s="2"/>
      <c r="G9031" s="2"/>
      <c r="H9031" s="2"/>
    </row>
    <row r="9032" spans="1:8" x14ac:dyDescent="0.25">
      <c r="A9032" s="1"/>
      <c r="B9032" s="1" t="s">
        <v>4997</v>
      </c>
      <c r="C9032" s="1" t="s">
        <v>4998</v>
      </c>
      <c r="D9032" s="22" t="str">
        <f>HYPERLINK("https://rhld.insurance.arkansas.gov/NPILookup?Npi=1881128387","1881128387")</f>
        <v>1881128387</v>
      </c>
      <c r="E9032" s="1" t="s">
        <v>19276</v>
      </c>
      <c r="F9032" s="2"/>
      <c r="G9032" s="2"/>
      <c r="H9032" s="2"/>
    </row>
    <row r="9033" spans="1:8" x14ac:dyDescent="0.25">
      <c r="A9033" s="1"/>
      <c r="B9033" s="1" t="s">
        <v>4997</v>
      </c>
      <c r="C9033" s="1" t="s">
        <v>4998</v>
      </c>
      <c r="D9033" s="22" t="str">
        <f>HYPERLINK("https://rhld.insurance.arkansas.gov/NPILookup?Npi=1881626257","1881626257")</f>
        <v>1881626257</v>
      </c>
      <c r="E9033" s="1" t="s">
        <v>10910</v>
      </c>
      <c r="F9033" s="2"/>
      <c r="G9033" s="2"/>
      <c r="H9033" s="2"/>
    </row>
    <row r="9034" spans="1:8" x14ac:dyDescent="0.25">
      <c r="A9034" s="1"/>
      <c r="B9034" s="1" t="s">
        <v>4997</v>
      </c>
      <c r="C9034" s="1" t="s">
        <v>4998</v>
      </c>
      <c r="D9034" s="22" t="str">
        <f>HYPERLINK("https://rhld.insurance.arkansas.gov/NPILookup?Npi=1881815801","1881815801")</f>
        <v>1881815801</v>
      </c>
      <c r="E9034" s="1" t="s">
        <v>19277</v>
      </c>
      <c r="F9034" s="2"/>
      <c r="G9034" s="2"/>
      <c r="H9034" s="2"/>
    </row>
    <row r="9035" spans="1:8" x14ac:dyDescent="0.25">
      <c r="A9035" s="1"/>
      <c r="B9035" s="1" t="s">
        <v>4997</v>
      </c>
      <c r="C9035" s="1" t="s">
        <v>4998</v>
      </c>
      <c r="D9035" s="22" t="str">
        <f>HYPERLINK("https://rhld.insurance.arkansas.gov/NPILookup?Npi=1881880714","1881880714")</f>
        <v>1881880714</v>
      </c>
      <c r="E9035" s="1" t="s">
        <v>19278</v>
      </c>
      <c r="F9035" s="2"/>
      <c r="G9035" s="2"/>
      <c r="H9035" s="2"/>
    </row>
    <row r="9036" spans="1:8" x14ac:dyDescent="0.25">
      <c r="A9036" s="1"/>
      <c r="B9036" s="1" t="s">
        <v>4997</v>
      </c>
      <c r="C9036" s="1" t="s">
        <v>4998</v>
      </c>
      <c r="D9036" s="22" t="str">
        <f>HYPERLINK("https://rhld.insurance.arkansas.gov/NPILookup?Npi=1881943256","1881943256")</f>
        <v>1881943256</v>
      </c>
      <c r="E9036" s="1" t="s">
        <v>5114</v>
      </c>
      <c r="F9036" s="2"/>
      <c r="G9036" s="2"/>
      <c r="H9036" s="2"/>
    </row>
    <row r="9037" spans="1:8" x14ac:dyDescent="0.25">
      <c r="A9037" s="1"/>
      <c r="B9037" s="1" t="s">
        <v>4997</v>
      </c>
      <c r="C9037" s="1" t="s">
        <v>4998</v>
      </c>
      <c r="D9037" s="22" t="str">
        <f>HYPERLINK("https://rhld.insurance.arkansas.gov/NPILookup?Npi=1891144853","1891144853")</f>
        <v>1891144853</v>
      </c>
      <c r="E9037" s="1" t="s">
        <v>31658</v>
      </c>
      <c r="F9037" s="2"/>
      <c r="G9037" s="2"/>
      <c r="H9037" s="2"/>
    </row>
    <row r="9038" spans="1:8" x14ac:dyDescent="0.25">
      <c r="A9038" s="1"/>
      <c r="B9038" s="1" t="s">
        <v>4997</v>
      </c>
      <c r="C9038" s="1" t="s">
        <v>4998</v>
      </c>
      <c r="D9038" s="22" t="str">
        <f>HYPERLINK("https://rhld.insurance.arkansas.gov/NPILookup?Npi=1891181707","1891181707")</f>
        <v>1891181707</v>
      </c>
      <c r="E9038" s="1" t="s">
        <v>19280</v>
      </c>
      <c r="F9038" s="2"/>
      <c r="G9038" s="2"/>
      <c r="H9038" s="2"/>
    </row>
    <row r="9039" spans="1:8" x14ac:dyDescent="0.25">
      <c r="A9039" s="1"/>
      <c r="B9039" s="1" t="s">
        <v>4997</v>
      </c>
      <c r="C9039" s="1" t="s">
        <v>4998</v>
      </c>
      <c r="D9039" s="22" t="str">
        <f>HYPERLINK("https://rhld.insurance.arkansas.gov/NPILookup?Npi=1891722773","1891722773")</f>
        <v>1891722773</v>
      </c>
      <c r="E9039" s="1" t="s">
        <v>10911</v>
      </c>
      <c r="F9039" s="2"/>
      <c r="G9039" s="2"/>
      <c r="H9039" s="2"/>
    </row>
    <row r="9040" spans="1:8" x14ac:dyDescent="0.25">
      <c r="A9040" s="1"/>
      <c r="B9040" s="1" t="s">
        <v>4997</v>
      </c>
      <c r="C9040" s="1" t="s">
        <v>4998</v>
      </c>
      <c r="D9040" s="22" t="str">
        <f>HYPERLINK("https://rhld.insurance.arkansas.gov/NPILookup?Npi=1891727855","1891727855")</f>
        <v>1891727855</v>
      </c>
      <c r="E9040" s="1" t="s">
        <v>19281</v>
      </c>
      <c r="F9040" s="2"/>
      <c r="G9040" s="2"/>
      <c r="H9040" s="2"/>
    </row>
    <row r="9041" spans="1:8" x14ac:dyDescent="0.25">
      <c r="A9041" s="1"/>
      <c r="B9041" s="1" t="s">
        <v>4997</v>
      </c>
      <c r="C9041" s="1" t="s">
        <v>4998</v>
      </c>
      <c r="D9041" s="22" t="str">
        <f>HYPERLINK("https://rhld.insurance.arkansas.gov/NPILookup?Npi=1891735197","1891735197")</f>
        <v>1891735197</v>
      </c>
      <c r="E9041" s="1" t="s">
        <v>19282</v>
      </c>
      <c r="F9041" s="2"/>
      <c r="G9041" s="2"/>
      <c r="H9041" s="2"/>
    </row>
    <row r="9042" spans="1:8" x14ac:dyDescent="0.25">
      <c r="A9042" s="1"/>
      <c r="B9042" s="1" t="s">
        <v>4997</v>
      </c>
      <c r="C9042" s="1" t="s">
        <v>4998</v>
      </c>
      <c r="D9042" s="22" t="str">
        <f>HYPERLINK("https://rhld.insurance.arkansas.gov/NPILookup?Npi=1891806782","1891806782")</f>
        <v>1891806782</v>
      </c>
      <c r="E9042" s="1" t="s">
        <v>19283</v>
      </c>
      <c r="F9042" s="2"/>
      <c r="G9042" s="2"/>
      <c r="H9042" s="2"/>
    </row>
    <row r="9043" spans="1:8" x14ac:dyDescent="0.25">
      <c r="A9043" s="1"/>
      <c r="B9043" s="1" t="s">
        <v>4997</v>
      </c>
      <c r="C9043" s="1" t="s">
        <v>4998</v>
      </c>
      <c r="D9043" s="22" t="str">
        <f>HYPERLINK("https://rhld.insurance.arkansas.gov/NPILookup?Npi=1891911954","1891911954")</f>
        <v>1891911954</v>
      </c>
      <c r="E9043" s="1" t="s">
        <v>5115</v>
      </c>
      <c r="F9043" s="2"/>
      <c r="G9043" s="2"/>
      <c r="H9043" s="2"/>
    </row>
    <row r="9044" spans="1:8" x14ac:dyDescent="0.25">
      <c r="A9044" s="1"/>
      <c r="B9044" s="1" t="s">
        <v>4997</v>
      </c>
      <c r="C9044" s="1" t="s">
        <v>4998</v>
      </c>
      <c r="D9044" s="22" t="str">
        <f>HYPERLINK("https://rhld.insurance.arkansas.gov/NPILookup?Npi=1891956678","1891956678")</f>
        <v>1891956678</v>
      </c>
      <c r="E9044" s="1" t="s">
        <v>31659</v>
      </c>
      <c r="F9044" s="2"/>
      <c r="G9044" s="2"/>
      <c r="H9044" s="2"/>
    </row>
    <row r="9045" spans="1:8" x14ac:dyDescent="0.25">
      <c r="A9045" s="1"/>
      <c r="B9045" s="1" t="s">
        <v>4997</v>
      </c>
      <c r="C9045" s="1" t="s">
        <v>4998</v>
      </c>
      <c r="D9045" s="22" t="str">
        <f>HYPERLINK("https://rhld.insurance.arkansas.gov/NPILookup?Npi=1902226731","1902226731")</f>
        <v>1902226731</v>
      </c>
      <c r="E9045" s="1" t="s">
        <v>19284</v>
      </c>
      <c r="F9045" s="2"/>
      <c r="G9045" s="2"/>
      <c r="H9045" s="2"/>
    </row>
    <row r="9046" spans="1:8" x14ac:dyDescent="0.25">
      <c r="A9046" s="1"/>
      <c r="B9046" s="1" t="s">
        <v>4997</v>
      </c>
      <c r="C9046" s="1" t="s">
        <v>4998</v>
      </c>
      <c r="D9046" s="22" t="str">
        <f>HYPERLINK("https://rhld.insurance.arkansas.gov/NPILookup?Npi=1902238215","1902238215")</f>
        <v>1902238215</v>
      </c>
      <c r="E9046" s="1" t="s">
        <v>5116</v>
      </c>
      <c r="F9046" s="2"/>
      <c r="G9046" s="2"/>
      <c r="H9046" s="2"/>
    </row>
    <row r="9047" spans="1:8" x14ac:dyDescent="0.25">
      <c r="A9047" s="1"/>
      <c r="B9047" s="1" t="s">
        <v>4997</v>
      </c>
      <c r="C9047" s="1" t="s">
        <v>4998</v>
      </c>
      <c r="D9047" s="22" t="str">
        <f>HYPERLINK("https://rhld.insurance.arkansas.gov/NPILookup?Npi=1902268626","1902268626")</f>
        <v>1902268626</v>
      </c>
      <c r="E9047" s="1" t="s">
        <v>31660</v>
      </c>
      <c r="F9047" s="2"/>
      <c r="G9047" s="2"/>
      <c r="H9047" s="2"/>
    </row>
    <row r="9048" spans="1:8" x14ac:dyDescent="0.25">
      <c r="A9048" s="1"/>
      <c r="B9048" s="1" t="s">
        <v>4997</v>
      </c>
      <c r="C9048" s="1" t="s">
        <v>4998</v>
      </c>
      <c r="D9048" s="22" t="str">
        <f>HYPERLINK("https://rhld.insurance.arkansas.gov/NPILookup?Npi=1902366560","1902366560")</f>
        <v>1902366560</v>
      </c>
      <c r="E9048" s="1" t="s">
        <v>31661</v>
      </c>
      <c r="F9048" s="2"/>
      <c r="G9048" s="2"/>
      <c r="H9048" s="2"/>
    </row>
    <row r="9049" spans="1:8" x14ac:dyDescent="0.25">
      <c r="A9049" s="1"/>
      <c r="B9049" s="1" t="s">
        <v>4997</v>
      </c>
      <c r="C9049" s="1" t="s">
        <v>4998</v>
      </c>
      <c r="D9049" s="22" t="str">
        <f>HYPERLINK("https://rhld.insurance.arkansas.gov/NPILookup?Npi=1902396559","1902396559")</f>
        <v>1902396559</v>
      </c>
      <c r="E9049" s="1" t="s">
        <v>31662</v>
      </c>
      <c r="F9049" s="2"/>
      <c r="G9049" s="2"/>
      <c r="H9049" s="2"/>
    </row>
    <row r="9050" spans="1:8" x14ac:dyDescent="0.25">
      <c r="A9050" s="1"/>
      <c r="B9050" s="1" t="s">
        <v>4997</v>
      </c>
      <c r="C9050" s="1" t="s">
        <v>4998</v>
      </c>
      <c r="D9050" s="22" t="str">
        <f>HYPERLINK("https://rhld.insurance.arkansas.gov/NPILookup?Npi=1902433006","1902433006")</f>
        <v>1902433006</v>
      </c>
      <c r="E9050" s="1" t="s">
        <v>5117</v>
      </c>
      <c r="F9050" s="2"/>
      <c r="G9050" s="2"/>
      <c r="H9050" s="2"/>
    </row>
    <row r="9051" spans="1:8" x14ac:dyDescent="0.25">
      <c r="A9051" s="1"/>
      <c r="B9051" s="1" t="s">
        <v>4997</v>
      </c>
      <c r="C9051" s="1" t="s">
        <v>4998</v>
      </c>
      <c r="D9051" s="22" t="str">
        <f>HYPERLINK("https://rhld.insurance.arkansas.gov/NPILookup?Npi=1902873185","1902873185")</f>
        <v>1902873185</v>
      </c>
      <c r="E9051" s="1" t="s">
        <v>19286</v>
      </c>
      <c r="F9051" s="2"/>
      <c r="G9051" s="2"/>
      <c r="H9051" s="2"/>
    </row>
    <row r="9052" spans="1:8" x14ac:dyDescent="0.25">
      <c r="A9052" s="1"/>
      <c r="B9052" s="1" t="s">
        <v>4997</v>
      </c>
      <c r="C9052" s="1" t="s">
        <v>4998</v>
      </c>
      <c r="D9052" s="22" t="str">
        <f>HYPERLINK("https://rhld.insurance.arkansas.gov/NPILookup?Npi=1902878473","1902878473")</f>
        <v>1902878473</v>
      </c>
      <c r="E9052" s="1" t="s">
        <v>956</v>
      </c>
      <c r="F9052" s="2"/>
      <c r="G9052" s="2"/>
      <c r="H9052" s="2"/>
    </row>
    <row r="9053" spans="1:8" x14ac:dyDescent="0.25">
      <c r="A9053" s="1"/>
      <c r="B9053" s="1" t="s">
        <v>4997</v>
      </c>
      <c r="C9053" s="1" t="s">
        <v>4998</v>
      </c>
      <c r="D9053" s="22" t="str">
        <f>HYPERLINK("https://rhld.insurance.arkansas.gov/NPILookup?Npi=1902983026","1902983026")</f>
        <v>1902983026</v>
      </c>
      <c r="E9053" s="1" t="s">
        <v>10912</v>
      </c>
      <c r="F9053" s="2"/>
      <c r="G9053" s="2"/>
      <c r="H9053" s="2"/>
    </row>
    <row r="9054" spans="1:8" x14ac:dyDescent="0.25">
      <c r="A9054" s="1"/>
      <c r="B9054" s="1" t="s">
        <v>4997</v>
      </c>
      <c r="C9054" s="1" t="s">
        <v>4998</v>
      </c>
      <c r="D9054" s="22" t="str">
        <f>HYPERLINK("https://rhld.insurance.arkansas.gov/NPILookup?Npi=1912068669","1912068669")</f>
        <v>1912068669</v>
      </c>
      <c r="E9054" s="1" t="s">
        <v>5118</v>
      </c>
      <c r="F9054" s="2"/>
      <c r="G9054" s="2"/>
      <c r="H9054" s="2"/>
    </row>
    <row r="9055" spans="1:8" x14ac:dyDescent="0.25">
      <c r="A9055" s="1"/>
      <c r="B9055" s="1" t="s">
        <v>4997</v>
      </c>
      <c r="C9055" s="1" t="s">
        <v>4998</v>
      </c>
      <c r="D9055" s="22" t="str">
        <f>HYPERLINK("https://rhld.insurance.arkansas.gov/NPILookup?Npi=1912142969","1912142969")</f>
        <v>1912142969</v>
      </c>
      <c r="E9055" s="1" t="s">
        <v>5119</v>
      </c>
      <c r="F9055" s="2"/>
      <c r="G9055" s="2"/>
      <c r="H9055" s="2"/>
    </row>
    <row r="9056" spans="1:8" x14ac:dyDescent="0.25">
      <c r="A9056" s="1"/>
      <c r="B9056" s="1" t="s">
        <v>4997</v>
      </c>
      <c r="C9056" s="1" t="s">
        <v>4998</v>
      </c>
      <c r="D9056" s="22" t="str">
        <f>HYPERLINK("https://rhld.insurance.arkansas.gov/NPILookup?Npi=1912165374","1912165374")</f>
        <v>1912165374</v>
      </c>
      <c r="E9056" s="1" t="s">
        <v>31663</v>
      </c>
      <c r="F9056" s="2"/>
      <c r="G9056" s="2"/>
      <c r="H9056" s="2"/>
    </row>
    <row r="9057" spans="1:8" x14ac:dyDescent="0.25">
      <c r="A9057" s="1"/>
      <c r="B9057" s="1" t="s">
        <v>4997</v>
      </c>
      <c r="C9057" s="1" t="s">
        <v>4998</v>
      </c>
      <c r="D9057" s="22" t="str">
        <f>HYPERLINK("https://rhld.insurance.arkansas.gov/NPILookup?Npi=1912342734","1912342734")</f>
        <v>1912342734</v>
      </c>
      <c r="E9057" s="1" t="s">
        <v>5120</v>
      </c>
      <c r="F9057" s="2"/>
      <c r="G9057" s="2"/>
      <c r="H9057" s="2"/>
    </row>
    <row r="9058" spans="1:8" x14ac:dyDescent="0.25">
      <c r="A9058" s="1"/>
      <c r="B9058" s="1" t="s">
        <v>4997</v>
      </c>
      <c r="C9058" s="1" t="s">
        <v>4998</v>
      </c>
      <c r="D9058" s="22" t="str">
        <f>HYPERLINK("https://rhld.insurance.arkansas.gov/NPILookup?Npi=1912911090","1912911090")</f>
        <v>1912911090</v>
      </c>
      <c r="E9058" s="1" t="s">
        <v>5121</v>
      </c>
      <c r="F9058" s="2"/>
      <c r="G9058" s="2"/>
      <c r="H9058" s="2"/>
    </row>
    <row r="9059" spans="1:8" x14ac:dyDescent="0.25">
      <c r="A9059" s="1"/>
      <c r="B9059" s="1" t="s">
        <v>4997</v>
      </c>
      <c r="C9059" s="1" t="s">
        <v>4998</v>
      </c>
      <c r="D9059" s="22" t="str">
        <f>HYPERLINK("https://rhld.insurance.arkansas.gov/NPILookup?Npi=1912933409","1912933409")</f>
        <v>1912933409</v>
      </c>
      <c r="E9059" s="1" t="s">
        <v>4532</v>
      </c>
      <c r="F9059" s="2"/>
      <c r="G9059" s="2"/>
      <c r="H9059" s="2"/>
    </row>
    <row r="9060" spans="1:8" x14ac:dyDescent="0.25">
      <c r="A9060" s="1"/>
      <c r="B9060" s="1" t="s">
        <v>4997</v>
      </c>
      <c r="C9060" s="1" t="s">
        <v>4998</v>
      </c>
      <c r="D9060" s="22" t="str">
        <f>HYPERLINK("https://rhld.insurance.arkansas.gov/NPILookup?Npi=1912936725","1912936725")</f>
        <v>1912936725</v>
      </c>
      <c r="E9060" s="1" t="s">
        <v>31664</v>
      </c>
      <c r="F9060" s="2"/>
      <c r="G9060" s="2"/>
      <c r="H9060" s="2"/>
    </row>
    <row r="9061" spans="1:8" x14ac:dyDescent="0.25">
      <c r="A9061" s="1"/>
      <c r="B9061" s="1" t="s">
        <v>4997</v>
      </c>
      <c r="C9061" s="1" t="s">
        <v>4998</v>
      </c>
      <c r="D9061" s="22" t="str">
        <f>HYPERLINK("https://rhld.insurance.arkansas.gov/NPILookup?Npi=1912988627","1912988627")</f>
        <v>1912988627</v>
      </c>
      <c r="E9061" s="1" t="s">
        <v>19287</v>
      </c>
      <c r="F9061" s="2"/>
      <c r="G9061" s="2"/>
      <c r="H9061" s="2"/>
    </row>
    <row r="9062" spans="1:8" x14ac:dyDescent="0.25">
      <c r="A9062" s="1"/>
      <c r="B9062" s="1" t="s">
        <v>4997</v>
      </c>
      <c r="C9062" s="1" t="s">
        <v>4998</v>
      </c>
      <c r="D9062" s="22" t="str">
        <f>HYPERLINK("https://rhld.insurance.arkansas.gov/NPILookup?Npi=1922015643","1922015643")</f>
        <v>1922015643</v>
      </c>
      <c r="E9062" s="1" t="s">
        <v>19288</v>
      </c>
      <c r="F9062" s="2"/>
      <c r="G9062" s="2"/>
      <c r="H9062" s="2"/>
    </row>
    <row r="9063" spans="1:8" x14ac:dyDescent="0.25">
      <c r="A9063" s="1"/>
      <c r="B9063" s="1" t="s">
        <v>4997</v>
      </c>
      <c r="C9063" s="1" t="s">
        <v>4998</v>
      </c>
      <c r="D9063" s="22" t="str">
        <f>HYPERLINK("https://rhld.insurance.arkansas.gov/NPILookup?Npi=1922089192","1922089192")</f>
        <v>1922089192</v>
      </c>
      <c r="E9063" s="1" t="s">
        <v>1123</v>
      </c>
      <c r="F9063" s="2"/>
      <c r="G9063" s="2"/>
      <c r="H9063" s="2"/>
    </row>
    <row r="9064" spans="1:8" x14ac:dyDescent="0.25">
      <c r="A9064" s="1"/>
      <c r="B9064" s="1" t="s">
        <v>4997</v>
      </c>
      <c r="C9064" s="1" t="s">
        <v>4998</v>
      </c>
      <c r="D9064" s="22" t="str">
        <f>HYPERLINK("https://rhld.insurance.arkansas.gov/NPILookup?Npi=1922094564","1922094564")</f>
        <v>1922094564</v>
      </c>
      <c r="E9064" s="1" t="s">
        <v>19289</v>
      </c>
      <c r="F9064" s="2"/>
      <c r="G9064" s="2"/>
      <c r="H9064" s="2"/>
    </row>
    <row r="9065" spans="1:8" x14ac:dyDescent="0.25">
      <c r="A9065" s="1"/>
      <c r="B9065" s="1" t="s">
        <v>4997</v>
      </c>
      <c r="C9065" s="1" t="s">
        <v>4998</v>
      </c>
      <c r="D9065" s="22" t="str">
        <f>HYPERLINK("https://rhld.insurance.arkansas.gov/NPILookup?Npi=1922363712","1922363712")</f>
        <v>1922363712</v>
      </c>
      <c r="E9065" s="1" t="s">
        <v>19290</v>
      </c>
      <c r="F9065" s="2"/>
      <c r="G9065" s="2"/>
      <c r="H9065" s="2"/>
    </row>
    <row r="9066" spans="1:8" x14ac:dyDescent="0.25">
      <c r="A9066" s="1"/>
      <c r="B9066" s="1" t="s">
        <v>4997</v>
      </c>
      <c r="C9066" s="1" t="s">
        <v>4998</v>
      </c>
      <c r="D9066" s="22" t="str">
        <f>HYPERLINK("https://rhld.insurance.arkansas.gov/NPILookup?Npi=1922395458","1922395458")</f>
        <v>1922395458</v>
      </c>
      <c r="E9066" s="1" t="s">
        <v>19291</v>
      </c>
      <c r="F9066" s="2"/>
      <c r="G9066" s="2"/>
      <c r="H9066" s="2"/>
    </row>
    <row r="9067" spans="1:8" x14ac:dyDescent="0.25">
      <c r="A9067" s="1"/>
      <c r="B9067" s="1" t="s">
        <v>4997</v>
      </c>
      <c r="C9067" s="1" t="s">
        <v>4998</v>
      </c>
      <c r="D9067" s="22" t="str">
        <f>HYPERLINK("https://rhld.insurance.arkansas.gov/NPILookup?Npi=1922453471","1922453471")</f>
        <v>1922453471</v>
      </c>
      <c r="E9067" s="1" t="s">
        <v>31665</v>
      </c>
      <c r="F9067" s="2"/>
      <c r="G9067" s="2"/>
      <c r="H9067" s="2"/>
    </row>
    <row r="9068" spans="1:8" x14ac:dyDescent="0.25">
      <c r="A9068" s="1"/>
      <c r="B9068" s="1" t="s">
        <v>4997</v>
      </c>
      <c r="C9068" s="1" t="s">
        <v>4998</v>
      </c>
      <c r="D9068" s="22" t="str">
        <f>HYPERLINK("https://rhld.insurance.arkansas.gov/NPILookup?Npi=1932181849","1932181849")</f>
        <v>1932181849</v>
      </c>
      <c r="E9068" s="1" t="s">
        <v>31666</v>
      </c>
      <c r="F9068" s="2"/>
      <c r="G9068" s="2"/>
      <c r="H9068" s="2"/>
    </row>
    <row r="9069" spans="1:8" x14ac:dyDescent="0.25">
      <c r="A9069" s="1"/>
      <c r="B9069" s="1" t="s">
        <v>4997</v>
      </c>
      <c r="C9069" s="1" t="s">
        <v>4998</v>
      </c>
      <c r="D9069" s="22" t="str">
        <f>HYPERLINK("https://rhld.insurance.arkansas.gov/NPILookup?Npi=1932254745","1932254745")</f>
        <v>1932254745</v>
      </c>
      <c r="E9069" s="1" t="s">
        <v>10913</v>
      </c>
      <c r="F9069" s="2"/>
      <c r="G9069" s="2"/>
      <c r="H9069" s="2"/>
    </row>
    <row r="9070" spans="1:8" x14ac:dyDescent="0.25">
      <c r="A9070" s="1"/>
      <c r="B9070" s="1" t="s">
        <v>4997</v>
      </c>
      <c r="C9070" s="1" t="s">
        <v>4998</v>
      </c>
      <c r="D9070" s="22" t="str">
        <f>HYPERLINK("https://rhld.insurance.arkansas.gov/NPILookup?Npi=1932380185","1932380185")</f>
        <v>1932380185</v>
      </c>
      <c r="E9070" s="1" t="s">
        <v>10914</v>
      </c>
      <c r="F9070" s="2"/>
      <c r="G9070" s="2"/>
      <c r="H9070" s="2"/>
    </row>
    <row r="9071" spans="1:8" x14ac:dyDescent="0.25">
      <c r="A9071" s="1"/>
      <c r="B9071" s="1" t="s">
        <v>4997</v>
      </c>
      <c r="C9071" s="1" t="s">
        <v>4998</v>
      </c>
      <c r="D9071" s="22" t="str">
        <f>HYPERLINK("https://rhld.insurance.arkansas.gov/NPILookup?Npi=1932427218","1932427218")</f>
        <v>1932427218</v>
      </c>
      <c r="E9071" s="1" t="s">
        <v>4718</v>
      </c>
      <c r="F9071" s="2"/>
      <c r="G9071" s="2"/>
      <c r="H9071" s="2"/>
    </row>
    <row r="9072" spans="1:8" x14ac:dyDescent="0.25">
      <c r="A9072" s="1"/>
      <c r="B9072" s="1" t="s">
        <v>4997</v>
      </c>
      <c r="C9072" s="1" t="s">
        <v>4998</v>
      </c>
      <c r="D9072" s="22" t="str">
        <f>HYPERLINK("https://rhld.insurance.arkansas.gov/NPILookup?Npi=1932548344","1932548344")</f>
        <v>1932548344</v>
      </c>
      <c r="E9072" s="1" t="s">
        <v>19292</v>
      </c>
      <c r="F9072" s="2"/>
      <c r="G9072" s="2"/>
      <c r="H9072" s="2"/>
    </row>
    <row r="9073" spans="1:8" x14ac:dyDescent="0.25">
      <c r="A9073" s="1"/>
      <c r="B9073" s="1" t="s">
        <v>4997</v>
      </c>
      <c r="C9073" s="1" t="s">
        <v>4998</v>
      </c>
      <c r="D9073" s="22" t="str">
        <f>HYPERLINK("https://rhld.insurance.arkansas.gov/NPILookup?Npi=1942289293","1942289293")</f>
        <v>1942289293</v>
      </c>
      <c r="E9073" s="1" t="s">
        <v>10915</v>
      </c>
      <c r="F9073" s="2"/>
      <c r="G9073" s="2"/>
      <c r="H9073" s="2"/>
    </row>
    <row r="9074" spans="1:8" x14ac:dyDescent="0.25">
      <c r="A9074" s="1"/>
      <c r="B9074" s="1" t="s">
        <v>4997</v>
      </c>
      <c r="C9074" s="1" t="s">
        <v>4998</v>
      </c>
      <c r="D9074" s="22" t="str">
        <f>HYPERLINK("https://rhld.insurance.arkansas.gov/NPILookup?Npi=1942290481","1942290481")</f>
        <v>1942290481</v>
      </c>
      <c r="E9074" s="1" t="s">
        <v>5122</v>
      </c>
      <c r="F9074" s="2"/>
      <c r="G9074" s="2"/>
      <c r="H9074" s="2"/>
    </row>
    <row r="9075" spans="1:8" x14ac:dyDescent="0.25">
      <c r="A9075" s="1"/>
      <c r="B9075" s="1" t="s">
        <v>4997</v>
      </c>
      <c r="C9075" s="1" t="s">
        <v>4998</v>
      </c>
      <c r="D9075" s="22" t="str">
        <f>HYPERLINK("https://rhld.insurance.arkansas.gov/NPILookup?Npi=1942616560","1942616560")</f>
        <v>1942616560</v>
      </c>
      <c r="E9075" s="1" t="s">
        <v>5123</v>
      </c>
      <c r="F9075" s="2"/>
      <c r="G9075" s="2"/>
      <c r="H9075" s="2"/>
    </row>
    <row r="9076" spans="1:8" x14ac:dyDescent="0.25">
      <c r="A9076" s="1"/>
      <c r="B9076" s="1" t="s">
        <v>4997</v>
      </c>
      <c r="C9076" s="1" t="s">
        <v>4998</v>
      </c>
      <c r="D9076" s="22" t="str">
        <f>HYPERLINK("https://rhld.insurance.arkansas.gov/NPILookup?Npi=1952323297","1952323297")</f>
        <v>1952323297</v>
      </c>
      <c r="E9076" s="1" t="s">
        <v>19294</v>
      </c>
      <c r="F9076" s="2"/>
      <c r="G9076" s="2"/>
      <c r="H9076" s="2"/>
    </row>
    <row r="9077" spans="1:8" x14ac:dyDescent="0.25">
      <c r="A9077" s="1"/>
      <c r="B9077" s="1" t="s">
        <v>4997</v>
      </c>
      <c r="C9077" s="1" t="s">
        <v>4998</v>
      </c>
      <c r="D9077" s="22" t="str">
        <f>HYPERLINK("https://rhld.insurance.arkansas.gov/NPILookup?Npi=1952523482","1952523482")</f>
        <v>1952523482</v>
      </c>
      <c r="E9077" s="1" t="s">
        <v>10916</v>
      </c>
      <c r="F9077" s="2"/>
      <c r="G9077" s="2"/>
      <c r="H9077" s="2"/>
    </row>
    <row r="9078" spans="1:8" x14ac:dyDescent="0.25">
      <c r="A9078" s="1"/>
      <c r="B9078" s="1" t="s">
        <v>4997</v>
      </c>
      <c r="C9078" s="1" t="s">
        <v>4998</v>
      </c>
      <c r="D9078" s="22" t="str">
        <f>HYPERLINK("https://rhld.insurance.arkansas.gov/NPILookup?Npi=1952597874","1952597874")</f>
        <v>1952597874</v>
      </c>
      <c r="E9078" s="1" t="s">
        <v>19295</v>
      </c>
      <c r="F9078" s="2"/>
      <c r="G9078" s="2"/>
      <c r="H9078" s="2"/>
    </row>
    <row r="9079" spans="1:8" x14ac:dyDescent="0.25">
      <c r="A9079" s="1"/>
      <c r="B9079" s="1" t="s">
        <v>4997</v>
      </c>
      <c r="C9079" s="1" t="s">
        <v>4998</v>
      </c>
      <c r="D9079" s="22" t="str">
        <f>HYPERLINK("https://rhld.insurance.arkansas.gov/NPILookup?Npi=1952745440","1952745440")</f>
        <v>1952745440</v>
      </c>
      <c r="E9079" s="1" t="s">
        <v>19297</v>
      </c>
      <c r="F9079" s="2"/>
      <c r="G9079" s="2"/>
      <c r="H9079" s="2"/>
    </row>
    <row r="9080" spans="1:8" x14ac:dyDescent="0.25">
      <c r="A9080" s="1"/>
      <c r="B9080" s="1" t="s">
        <v>4997</v>
      </c>
      <c r="C9080" s="1" t="s">
        <v>4998</v>
      </c>
      <c r="D9080" s="22" t="str">
        <f>HYPERLINK("https://rhld.insurance.arkansas.gov/NPILookup?Npi=1952756058","1952756058")</f>
        <v>1952756058</v>
      </c>
      <c r="E9080" s="1" t="s">
        <v>31667</v>
      </c>
      <c r="F9080" s="2"/>
      <c r="G9080" s="2"/>
      <c r="H9080" s="2"/>
    </row>
    <row r="9081" spans="1:8" x14ac:dyDescent="0.25">
      <c r="A9081" s="1"/>
      <c r="B9081" s="1" t="s">
        <v>4997</v>
      </c>
      <c r="C9081" s="1" t="s">
        <v>4998</v>
      </c>
      <c r="D9081" s="22" t="str">
        <f>HYPERLINK("https://rhld.insurance.arkansas.gov/NPILookup?Npi=1952780108","1952780108")</f>
        <v>1952780108</v>
      </c>
      <c r="E9081" s="1" t="s">
        <v>31668</v>
      </c>
      <c r="F9081" s="2"/>
      <c r="G9081" s="2"/>
      <c r="H9081" s="2"/>
    </row>
    <row r="9082" spans="1:8" x14ac:dyDescent="0.25">
      <c r="A9082" s="1"/>
      <c r="B9082" s="1" t="s">
        <v>4997</v>
      </c>
      <c r="C9082" s="1" t="s">
        <v>4998</v>
      </c>
      <c r="D9082" s="22" t="str">
        <f>HYPERLINK("https://rhld.insurance.arkansas.gov/NPILookup?Npi=1952806390","1952806390")</f>
        <v>1952806390</v>
      </c>
      <c r="E9082" s="1" t="s">
        <v>31669</v>
      </c>
      <c r="F9082" s="2"/>
      <c r="G9082" s="2"/>
      <c r="H9082" s="2"/>
    </row>
    <row r="9083" spans="1:8" x14ac:dyDescent="0.25">
      <c r="A9083" s="1"/>
      <c r="B9083" s="1" t="s">
        <v>4997</v>
      </c>
      <c r="C9083" s="1" t="s">
        <v>4998</v>
      </c>
      <c r="D9083" s="22" t="str">
        <f>HYPERLINK("https://rhld.insurance.arkansas.gov/NPILookup?Npi=1952807463","1952807463")</f>
        <v>1952807463</v>
      </c>
      <c r="E9083" s="1" t="s">
        <v>10917</v>
      </c>
      <c r="F9083" s="2"/>
      <c r="G9083" s="2"/>
      <c r="H9083" s="2"/>
    </row>
    <row r="9084" spans="1:8" x14ac:dyDescent="0.25">
      <c r="A9084" s="1"/>
      <c r="B9084" s="1" t="s">
        <v>4997</v>
      </c>
      <c r="C9084" s="1" t="s">
        <v>4998</v>
      </c>
      <c r="D9084" s="22" t="str">
        <f>HYPERLINK("https://rhld.insurance.arkansas.gov/NPILookup?Npi=1962842492","1962842492")</f>
        <v>1962842492</v>
      </c>
      <c r="E9084" s="1" t="s">
        <v>31670</v>
      </c>
      <c r="F9084" s="2"/>
      <c r="G9084" s="2"/>
      <c r="H9084" s="2"/>
    </row>
    <row r="9085" spans="1:8" x14ac:dyDescent="0.25">
      <c r="A9085" s="1"/>
      <c r="B9085" s="1" t="s">
        <v>4997</v>
      </c>
      <c r="C9085" s="1" t="s">
        <v>4998</v>
      </c>
      <c r="D9085" s="22" t="str">
        <f>HYPERLINK("https://rhld.insurance.arkansas.gov/NPILookup?Npi=1972517308","1972517308")</f>
        <v>1972517308</v>
      </c>
      <c r="E9085" s="1" t="s">
        <v>19299</v>
      </c>
      <c r="F9085" s="2"/>
      <c r="G9085" s="2"/>
      <c r="H9085" s="2"/>
    </row>
    <row r="9086" spans="1:8" x14ac:dyDescent="0.25">
      <c r="A9086" s="1"/>
      <c r="B9086" s="1" t="s">
        <v>4997</v>
      </c>
      <c r="C9086" s="1" t="s">
        <v>4998</v>
      </c>
      <c r="D9086" s="22" t="str">
        <f>HYPERLINK("https://rhld.insurance.arkansas.gov/NPILookup?Npi=1972555696","1972555696")</f>
        <v>1972555696</v>
      </c>
      <c r="E9086" s="1" t="s">
        <v>19300</v>
      </c>
      <c r="F9086" s="2"/>
      <c r="G9086" s="2"/>
      <c r="H9086" s="2"/>
    </row>
    <row r="9087" spans="1:8" x14ac:dyDescent="0.25">
      <c r="A9087" s="1"/>
      <c r="B9087" s="1" t="s">
        <v>4997</v>
      </c>
      <c r="C9087" s="1" t="s">
        <v>4998</v>
      </c>
      <c r="D9087" s="22" t="str">
        <f>HYPERLINK("https://rhld.insurance.arkansas.gov/NPILookup?Npi=1972777290","1972777290")</f>
        <v>1972777290</v>
      </c>
      <c r="E9087" s="1" t="s">
        <v>10919</v>
      </c>
      <c r="F9087" s="2"/>
      <c r="G9087" s="2"/>
      <c r="H9087" s="2"/>
    </row>
    <row r="9088" spans="1:8" x14ac:dyDescent="0.25">
      <c r="A9088" s="1"/>
      <c r="B9088" s="1" t="s">
        <v>4997</v>
      </c>
      <c r="C9088" s="1" t="s">
        <v>4998</v>
      </c>
      <c r="D9088" s="22" t="str">
        <f>HYPERLINK("https://rhld.insurance.arkansas.gov/NPILookup?Npi=1972794014","1972794014")</f>
        <v>1972794014</v>
      </c>
      <c r="E9088" s="1" t="s">
        <v>19301</v>
      </c>
      <c r="F9088" s="2"/>
      <c r="G9088" s="2"/>
      <c r="H9088" s="2"/>
    </row>
    <row r="9089" spans="1:8" x14ac:dyDescent="0.25">
      <c r="A9089" s="1"/>
      <c r="B9089" s="1" t="s">
        <v>4997</v>
      </c>
      <c r="C9089" s="1" t="s">
        <v>4998</v>
      </c>
      <c r="D9089" s="22" t="str">
        <f>HYPERLINK("https://rhld.insurance.arkansas.gov/NPILookup?Npi=1972814408","1972814408")</f>
        <v>1972814408</v>
      </c>
      <c r="E9089" s="1" t="s">
        <v>10920</v>
      </c>
      <c r="F9089" s="2"/>
      <c r="G9089" s="2"/>
      <c r="H9089" s="2"/>
    </row>
    <row r="9090" spans="1:8" x14ac:dyDescent="0.25">
      <c r="A9090" s="1"/>
      <c r="B9090" s="1" t="s">
        <v>4997</v>
      </c>
      <c r="C9090" s="1" t="s">
        <v>4998</v>
      </c>
      <c r="D9090" s="22" t="str">
        <f>HYPERLINK("https://rhld.insurance.arkansas.gov/NPILookup?Npi=1972875730","1972875730")</f>
        <v>1972875730</v>
      </c>
      <c r="E9090" s="1" t="s">
        <v>19302</v>
      </c>
      <c r="F9090" s="2"/>
      <c r="G9090" s="2"/>
      <c r="H9090" s="2"/>
    </row>
    <row r="9091" spans="1:8" x14ac:dyDescent="0.25">
      <c r="A9091" s="1"/>
      <c r="B9091" s="1" t="s">
        <v>4997</v>
      </c>
      <c r="C9091" s="1" t="s">
        <v>4998</v>
      </c>
      <c r="D9091" s="22" t="str">
        <f>HYPERLINK("https://rhld.insurance.arkansas.gov/NPILookup?Npi=1972946002","1972946002")</f>
        <v>1972946002</v>
      </c>
      <c r="E9091" s="1" t="s">
        <v>19303</v>
      </c>
      <c r="F9091" s="2"/>
      <c r="G9091" s="2"/>
      <c r="H9091" s="2"/>
    </row>
    <row r="9092" spans="1:8" x14ac:dyDescent="0.25">
      <c r="A9092" s="1"/>
      <c r="B9092" s="1" t="s">
        <v>4997</v>
      </c>
      <c r="C9092" s="1" t="s">
        <v>4998</v>
      </c>
      <c r="D9092" s="22" t="str">
        <f>HYPERLINK("https://rhld.insurance.arkansas.gov/NPILookup?Npi=1982047940","1982047940")</f>
        <v>1982047940</v>
      </c>
      <c r="E9092" s="1" t="s">
        <v>10921</v>
      </c>
      <c r="F9092" s="2"/>
      <c r="G9092" s="2"/>
      <c r="H9092" s="2"/>
    </row>
    <row r="9093" spans="1:8" x14ac:dyDescent="0.25">
      <c r="A9093" s="1"/>
      <c r="B9093" s="1" t="s">
        <v>4997</v>
      </c>
      <c r="C9093" s="1" t="s">
        <v>4998</v>
      </c>
      <c r="D9093" s="22" t="str">
        <f>HYPERLINK("https://rhld.insurance.arkansas.gov/NPILookup?Npi=1982194239","1982194239")</f>
        <v>1982194239</v>
      </c>
      <c r="E9093" s="1" t="s">
        <v>31671</v>
      </c>
      <c r="F9093" s="2"/>
      <c r="G9093" s="2"/>
      <c r="H9093" s="2"/>
    </row>
    <row r="9094" spans="1:8" x14ac:dyDescent="0.25">
      <c r="A9094" s="1"/>
      <c r="B9094" s="1" t="s">
        <v>4997</v>
      </c>
      <c r="C9094" s="1" t="s">
        <v>4998</v>
      </c>
      <c r="D9094" s="22" t="str">
        <f>HYPERLINK("https://rhld.insurance.arkansas.gov/NPILookup?Npi=1982623708","1982623708")</f>
        <v>1982623708</v>
      </c>
      <c r="E9094" s="1" t="s">
        <v>19304</v>
      </c>
      <c r="F9094" s="2"/>
      <c r="G9094" s="2"/>
      <c r="H9094" s="2"/>
    </row>
    <row r="9095" spans="1:8" x14ac:dyDescent="0.25">
      <c r="A9095" s="1"/>
      <c r="B9095" s="1" t="s">
        <v>4997</v>
      </c>
      <c r="C9095" s="1" t="s">
        <v>4998</v>
      </c>
      <c r="D9095" s="22" t="str">
        <f>HYPERLINK("https://rhld.insurance.arkansas.gov/NPILookup?Npi=1982693313","1982693313")</f>
        <v>1982693313</v>
      </c>
      <c r="E9095" s="1" t="s">
        <v>19305</v>
      </c>
      <c r="F9095" s="2"/>
      <c r="G9095" s="2"/>
      <c r="H9095" s="2"/>
    </row>
    <row r="9096" spans="1:8" x14ac:dyDescent="0.25">
      <c r="A9096" s="1"/>
      <c r="B9096" s="1" t="s">
        <v>4997</v>
      </c>
      <c r="C9096" s="1" t="s">
        <v>4998</v>
      </c>
      <c r="D9096" s="22" t="str">
        <f>HYPERLINK("https://rhld.insurance.arkansas.gov/NPILookup?Npi=1992123327","1992123327")</f>
        <v>1992123327</v>
      </c>
      <c r="E9096" s="1" t="s">
        <v>19306</v>
      </c>
      <c r="F9096" s="2"/>
      <c r="G9096" s="2"/>
      <c r="H9096" s="2"/>
    </row>
    <row r="9097" spans="1:8" x14ac:dyDescent="0.25">
      <c r="A9097" s="1"/>
      <c r="B9097" s="1" t="s">
        <v>4997</v>
      </c>
      <c r="C9097" s="1" t="s">
        <v>4998</v>
      </c>
      <c r="D9097" s="22" t="str">
        <f>HYPERLINK("https://rhld.insurance.arkansas.gov/NPILookup?Npi=1992713234","1992713234")</f>
        <v>1992713234</v>
      </c>
      <c r="E9097" s="1" t="s">
        <v>31672</v>
      </c>
      <c r="F9097" s="2"/>
      <c r="G9097" s="2"/>
      <c r="H9097" s="2"/>
    </row>
    <row r="9098" spans="1:8" x14ac:dyDescent="0.25">
      <c r="A9098" s="1"/>
      <c r="B9098" s="1" t="s">
        <v>4997</v>
      </c>
      <c r="C9098" s="1" t="s">
        <v>4998</v>
      </c>
      <c r="D9098" s="22" t="str">
        <f>HYPERLINK("https://rhld.insurance.arkansas.gov/NPILookup?Npi=1992721658","1992721658")</f>
        <v>1992721658</v>
      </c>
      <c r="E9098" s="1" t="s">
        <v>19307</v>
      </c>
      <c r="F9098" s="2"/>
      <c r="G9098" s="2"/>
      <c r="H9098" s="2"/>
    </row>
    <row r="9099" spans="1:8" x14ac:dyDescent="0.25">
      <c r="A9099" s="1"/>
      <c r="B9099" s="1" t="s">
        <v>4997</v>
      </c>
      <c r="C9099" s="1" t="s">
        <v>4998</v>
      </c>
      <c r="D9099" s="22" t="str">
        <f>HYPERLINK("https://rhld.insurance.arkansas.gov/NPILookup?Npi=1992749329","1992749329")</f>
        <v>1992749329</v>
      </c>
      <c r="E9099" s="1" t="s">
        <v>19309</v>
      </c>
      <c r="F9099" s="2"/>
      <c r="G9099" s="2"/>
      <c r="H9099" s="2"/>
    </row>
    <row r="9100" spans="1:8" x14ac:dyDescent="0.25">
      <c r="A9100" s="1"/>
      <c r="B9100" s="1" t="s">
        <v>4997</v>
      </c>
      <c r="C9100" s="1" t="s">
        <v>4998</v>
      </c>
      <c r="D9100" s="22" t="str">
        <f>HYPERLINK("https://rhld.insurance.arkansas.gov/NPILookup?Npi=1992962773","1992962773")</f>
        <v>1992962773</v>
      </c>
      <c r="E9100" s="1" t="s">
        <v>19310</v>
      </c>
      <c r="F9100" s="2"/>
      <c r="G9100" s="2"/>
      <c r="H9100" s="2"/>
    </row>
    <row r="9101" spans="1:8" x14ac:dyDescent="0.25">
      <c r="A9101" s="1"/>
      <c r="B9101" s="1" t="s">
        <v>5124</v>
      </c>
      <c r="C9101" s="1" t="s">
        <v>5125</v>
      </c>
      <c r="D9101" s="22" t="str">
        <f>HYPERLINK("https://rhld.insurance.arkansas.gov/NPILookup?Npi=1003018748","1003018748")</f>
        <v>1003018748</v>
      </c>
      <c r="E9101" s="1" t="s">
        <v>10922</v>
      </c>
      <c r="F9101" s="2"/>
      <c r="G9101" s="2"/>
      <c r="H9101" s="2"/>
    </row>
    <row r="9102" spans="1:8" x14ac:dyDescent="0.25">
      <c r="A9102" s="1"/>
      <c r="B9102" s="1" t="s">
        <v>5124</v>
      </c>
      <c r="C9102" s="1" t="s">
        <v>5125</v>
      </c>
      <c r="D9102" s="22" t="str">
        <f>HYPERLINK("https://rhld.insurance.arkansas.gov/NPILookup?Npi=1003223983","1003223983")</f>
        <v>1003223983</v>
      </c>
      <c r="E9102" s="1" t="s">
        <v>2000</v>
      </c>
      <c r="F9102" s="2"/>
      <c r="G9102" s="2"/>
      <c r="H9102" s="2"/>
    </row>
    <row r="9103" spans="1:8" x14ac:dyDescent="0.25">
      <c r="A9103" s="1"/>
      <c r="B9103" s="1" t="s">
        <v>5124</v>
      </c>
      <c r="C9103" s="1" t="s">
        <v>5125</v>
      </c>
      <c r="D9103" s="22" t="str">
        <f>HYPERLINK("https://rhld.insurance.arkansas.gov/NPILookup?Npi=1003259979","1003259979")</f>
        <v>1003259979</v>
      </c>
      <c r="E9103" s="1" t="s">
        <v>19311</v>
      </c>
      <c r="F9103" s="2"/>
      <c r="G9103" s="2"/>
      <c r="H9103" s="2"/>
    </row>
    <row r="9104" spans="1:8" x14ac:dyDescent="0.25">
      <c r="A9104" s="1"/>
      <c r="B9104" s="1" t="s">
        <v>5124</v>
      </c>
      <c r="C9104" s="1" t="s">
        <v>5125</v>
      </c>
      <c r="D9104" s="22" t="str">
        <f>HYPERLINK("https://rhld.insurance.arkansas.gov/NPILookup?Npi=1013131275","1013131275")</f>
        <v>1013131275</v>
      </c>
      <c r="E9104" s="1" t="s">
        <v>5126</v>
      </c>
      <c r="F9104" s="2"/>
      <c r="G9104" s="2"/>
      <c r="H9104" s="2"/>
    </row>
    <row r="9105" spans="1:8" x14ac:dyDescent="0.25">
      <c r="A9105" s="1"/>
      <c r="B9105" s="1" t="s">
        <v>5124</v>
      </c>
      <c r="C9105" s="1" t="s">
        <v>5125</v>
      </c>
      <c r="D9105" s="22" t="str">
        <f>HYPERLINK("https://rhld.insurance.arkansas.gov/NPILookup?Npi=1013930296","1013930296")</f>
        <v>1013930296</v>
      </c>
      <c r="E9105" s="1" t="s">
        <v>10923</v>
      </c>
      <c r="F9105" s="2"/>
      <c r="G9105" s="2"/>
      <c r="H9105" s="2"/>
    </row>
    <row r="9106" spans="1:8" x14ac:dyDescent="0.25">
      <c r="A9106" s="1"/>
      <c r="B9106" s="1" t="s">
        <v>5124</v>
      </c>
      <c r="C9106" s="1" t="s">
        <v>5125</v>
      </c>
      <c r="D9106" s="22" t="str">
        <f>HYPERLINK("https://rhld.insurance.arkansas.gov/NPILookup?Npi=1013962935","1013962935")</f>
        <v>1013962935</v>
      </c>
      <c r="E9106" s="1" t="s">
        <v>18337</v>
      </c>
      <c r="F9106" s="2"/>
      <c r="G9106" s="2"/>
      <c r="H9106" s="2"/>
    </row>
    <row r="9107" spans="1:8" x14ac:dyDescent="0.25">
      <c r="A9107" s="1"/>
      <c r="B9107" s="1" t="s">
        <v>5124</v>
      </c>
      <c r="C9107" s="1" t="s">
        <v>5125</v>
      </c>
      <c r="D9107" s="22" t="str">
        <f>HYPERLINK("https://rhld.insurance.arkansas.gov/NPILookup?Npi=1013964493","1013964493")</f>
        <v>1013964493</v>
      </c>
      <c r="E9107" s="1" t="s">
        <v>5127</v>
      </c>
      <c r="F9107" s="2"/>
      <c r="G9107" s="2"/>
      <c r="H9107" s="2"/>
    </row>
    <row r="9108" spans="1:8" x14ac:dyDescent="0.25">
      <c r="A9108" s="1"/>
      <c r="B9108" s="1" t="s">
        <v>5124</v>
      </c>
      <c r="C9108" s="1" t="s">
        <v>5125</v>
      </c>
      <c r="D9108" s="22" t="str">
        <f>HYPERLINK("https://rhld.insurance.arkansas.gov/NPILookup?Npi=1013995901","1013995901")</f>
        <v>1013995901</v>
      </c>
      <c r="E9108" s="1" t="s">
        <v>10924</v>
      </c>
      <c r="F9108" s="2"/>
      <c r="G9108" s="2"/>
      <c r="H9108" s="2"/>
    </row>
    <row r="9109" spans="1:8" x14ac:dyDescent="0.25">
      <c r="A9109" s="1"/>
      <c r="B9109" s="1" t="s">
        <v>5124</v>
      </c>
      <c r="C9109" s="1" t="s">
        <v>5125</v>
      </c>
      <c r="D9109" s="22" t="str">
        <f>HYPERLINK("https://rhld.insurance.arkansas.gov/NPILookup?Npi=1033189857","1033189857")</f>
        <v>1033189857</v>
      </c>
      <c r="E9109" s="1" t="s">
        <v>19312</v>
      </c>
      <c r="F9109" s="2"/>
      <c r="G9109" s="2"/>
      <c r="H9109" s="2"/>
    </row>
    <row r="9110" spans="1:8" x14ac:dyDescent="0.25">
      <c r="A9110" s="1"/>
      <c r="B9110" s="1" t="s">
        <v>5124</v>
      </c>
      <c r="C9110" s="1" t="s">
        <v>5125</v>
      </c>
      <c r="D9110" s="22" t="str">
        <f>HYPERLINK("https://rhld.insurance.arkansas.gov/NPILookup?Npi=1043300528","1043300528")</f>
        <v>1043300528</v>
      </c>
      <c r="E9110" s="1" t="s">
        <v>5128</v>
      </c>
      <c r="F9110" s="2"/>
      <c r="G9110" s="2"/>
      <c r="H9110" s="2"/>
    </row>
    <row r="9111" spans="1:8" x14ac:dyDescent="0.25">
      <c r="A9111" s="1"/>
      <c r="B9111" s="1" t="s">
        <v>5124</v>
      </c>
      <c r="C9111" s="1" t="s">
        <v>5125</v>
      </c>
      <c r="D9111" s="22" t="str">
        <f>HYPERLINK("https://rhld.insurance.arkansas.gov/NPILookup?Npi=1043310006","1043310006")</f>
        <v>1043310006</v>
      </c>
      <c r="E9111" s="1" t="s">
        <v>4696</v>
      </c>
      <c r="F9111" s="2"/>
      <c r="G9111" s="2"/>
      <c r="H9111" s="2"/>
    </row>
    <row r="9112" spans="1:8" x14ac:dyDescent="0.25">
      <c r="A9112" s="1"/>
      <c r="B9112" s="1" t="s">
        <v>5124</v>
      </c>
      <c r="C9112" s="1" t="s">
        <v>5125</v>
      </c>
      <c r="D9112" s="22" t="str">
        <f>HYPERLINK("https://rhld.insurance.arkansas.gov/NPILookup?Npi=1043654338","1043654338")</f>
        <v>1043654338</v>
      </c>
      <c r="E9112" s="1" t="s">
        <v>5129</v>
      </c>
      <c r="F9112" s="2"/>
      <c r="G9112" s="2"/>
      <c r="H9112" s="2"/>
    </row>
    <row r="9113" spans="1:8" x14ac:dyDescent="0.25">
      <c r="A9113" s="1"/>
      <c r="B9113" s="1" t="s">
        <v>5124</v>
      </c>
      <c r="C9113" s="1" t="s">
        <v>5125</v>
      </c>
      <c r="D9113" s="22" t="str">
        <f>HYPERLINK("https://rhld.insurance.arkansas.gov/NPILookup?Npi=1063481588","1063481588")</f>
        <v>1063481588</v>
      </c>
      <c r="E9113" s="1" t="s">
        <v>19313</v>
      </c>
      <c r="F9113" s="2"/>
      <c r="G9113" s="2"/>
      <c r="H9113" s="2"/>
    </row>
    <row r="9114" spans="1:8" x14ac:dyDescent="0.25">
      <c r="A9114" s="1"/>
      <c r="B9114" s="1" t="s">
        <v>5124</v>
      </c>
      <c r="C9114" s="1" t="s">
        <v>5125</v>
      </c>
      <c r="D9114" s="22" t="str">
        <f>HYPERLINK("https://rhld.insurance.arkansas.gov/NPILookup?Npi=1063699833","1063699833")</f>
        <v>1063699833</v>
      </c>
      <c r="E9114" s="1" t="s">
        <v>5009</v>
      </c>
      <c r="F9114" s="2"/>
      <c r="G9114" s="2"/>
      <c r="H9114" s="2"/>
    </row>
    <row r="9115" spans="1:8" x14ac:dyDescent="0.25">
      <c r="A9115" s="1"/>
      <c r="B9115" s="1" t="s">
        <v>5124</v>
      </c>
      <c r="C9115" s="1" t="s">
        <v>5125</v>
      </c>
      <c r="D9115" s="22" t="str">
        <f>HYPERLINK("https://rhld.insurance.arkansas.gov/NPILookup?Npi=1083603641","1083603641")</f>
        <v>1083603641</v>
      </c>
      <c r="E9115" s="1" t="s">
        <v>5130</v>
      </c>
      <c r="F9115" s="2"/>
      <c r="G9115" s="2"/>
      <c r="H9115" s="2"/>
    </row>
    <row r="9116" spans="1:8" x14ac:dyDescent="0.25">
      <c r="A9116" s="1"/>
      <c r="B9116" s="1" t="s">
        <v>5124</v>
      </c>
      <c r="C9116" s="1" t="s">
        <v>5125</v>
      </c>
      <c r="D9116" s="22" t="str">
        <f>HYPERLINK("https://rhld.insurance.arkansas.gov/NPILookup?Npi=1093929150","1093929150")</f>
        <v>1093929150</v>
      </c>
      <c r="E9116" s="1" t="s">
        <v>5012</v>
      </c>
      <c r="F9116" s="2"/>
      <c r="G9116" s="2"/>
      <c r="H9116" s="2"/>
    </row>
    <row r="9117" spans="1:8" x14ac:dyDescent="0.25">
      <c r="A9117" s="1"/>
      <c r="B9117" s="1" t="s">
        <v>5124</v>
      </c>
      <c r="C9117" s="1" t="s">
        <v>5125</v>
      </c>
      <c r="D9117" s="22" t="str">
        <f>HYPERLINK("https://rhld.insurance.arkansas.gov/NPILookup?Npi=1104115385","1104115385")</f>
        <v>1104115385</v>
      </c>
      <c r="E9117" s="1" t="s">
        <v>5131</v>
      </c>
      <c r="F9117" s="2"/>
      <c r="G9117" s="2"/>
      <c r="H9117" s="2"/>
    </row>
    <row r="9118" spans="1:8" x14ac:dyDescent="0.25">
      <c r="A9118" s="1"/>
      <c r="B9118" s="1" t="s">
        <v>5124</v>
      </c>
      <c r="C9118" s="1" t="s">
        <v>5125</v>
      </c>
      <c r="D9118" s="22" t="str">
        <f>HYPERLINK("https://rhld.insurance.arkansas.gov/NPILookup?Npi=1104911759","1104911759")</f>
        <v>1104911759</v>
      </c>
      <c r="E9118" s="1" t="s">
        <v>19314</v>
      </c>
      <c r="F9118" s="2"/>
      <c r="G9118" s="2"/>
      <c r="H9118" s="2"/>
    </row>
    <row r="9119" spans="1:8" x14ac:dyDescent="0.25">
      <c r="A9119" s="1"/>
      <c r="B9119" s="1" t="s">
        <v>5124</v>
      </c>
      <c r="C9119" s="1" t="s">
        <v>5125</v>
      </c>
      <c r="D9119" s="22" t="str">
        <f>HYPERLINK("https://rhld.insurance.arkansas.gov/NPILookup?Npi=1114940996","1114940996")</f>
        <v>1114940996</v>
      </c>
      <c r="E9119" s="1" t="s">
        <v>10925</v>
      </c>
      <c r="F9119" s="2"/>
      <c r="G9119" s="2"/>
      <c r="H9119" s="2"/>
    </row>
    <row r="9120" spans="1:8" x14ac:dyDescent="0.25">
      <c r="A9120" s="1"/>
      <c r="B9120" s="1" t="s">
        <v>5124</v>
      </c>
      <c r="C9120" s="1" t="s">
        <v>5125</v>
      </c>
      <c r="D9120" s="22" t="str">
        <f>HYPERLINK("https://rhld.insurance.arkansas.gov/NPILookup?Npi=1114971264","1114971264")</f>
        <v>1114971264</v>
      </c>
      <c r="E9120" s="1" t="s">
        <v>10852</v>
      </c>
      <c r="F9120" s="2"/>
      <c r="G9120" s="2"/>
      <c r="H9120" s="2"/>
    </row>
    <row r="9121" spans="1:8" x14ac:dyDescent="0.25">
      <c r="A9121" s="1"/>
      <c r="B9121" s="1" t="s">
        <v>5124</v>
      </c>
      <c r="C9121" s="1" t="s">
        <v>5125</v>
      </c>
      <c r="D9121" s="22" t="str">
        <f>HYPERLINK("https://rhld.insurance.arkansas.gov/NPILookup?Npi=1124016662","1124016662")</f>
        <v>1124016662</v>
      </c>
      <c r="E9121" s="1" t="s">
        <v>31673</v>
      </c>
      <c r="F9121" s="2"/>
      <c r="G9121" s="2"/>
      <c r="H9121" s="2"/>
    </row>
    <row r="9122" spans="1:8" x14ac:dyDescent="0.25">
      <c r="A9122" s="1"/>
      <c r="B9122" s="1" t="s">
        <v>5124</v>
      </c>
      <c r="C9122" s="1" t="s">
        <v>5125</v>
      </c>
      <c r="D9122" s="22" t="str">
        <f>HYPERLINK("https://rhld.insurance.arkansas.gov/NPILookup?Npi=1134118789","1134118789")</f>
        <v>1134118789</v>
      </c>
      <c r="E9122" s="1" t="s">
        <v>5132</v>
      </c>
      <c r="F9122" s="2"/>
      <c r="G9122" s="2"/>
      <c r="H9122" s="2"/>
    </row>
    <row r="9123" spans="1:8" x14ac:dyDescent="0.25">
      <c r="A9123" s="1"/>
      <c r="B9123" s="1" t="s">
        <v>5124</v>
      </c>
      <c r="C9123" s="1" t="s">
        <v>5125</v>
      </c>
      <c r="D9123" s="22" t="str">
        <f>HYPERLINK("https://rhld.insurance.arkansas.gov/NPILookup?Npi=1134163652","1134163652")</f>
        <v>1134163652</v>
      </c>
      <c r="E9123" s="1" t="s">
        <v>5133</v>
      </c>
      <c r="F9123" s="2"/>
      <c r="G9123" s="2"/>
      <c r="H9123" s="2"/>
    </row>
    <row r="9124" spans="1:8" x14ac:dyDescent="0.25">
      <c r="A9124" s="1"/>
      <c r="B9124" s="1" t="s">
        <v>5124</v>
      </c>
      <c r="C9124" s="1" t="s">
        <v>5125</v>
      </c>
      <c r="D9124" s="22" t="str">
        <f>HYPERLINK("https://rhld.insurance.arkansas.gov/NPILookup?Npi=1134369556","1134369556")</f>
        <v>1134369556</v>
      </c>
      <c r="E9124" s="1" t="s">
        <v>5134</v>
      </c>
      <c r="F9124" s="2"/>
      <c r="G9124" s="2"/>
      <c r="H9124" s="2"/>
    </row>
    <row r="9125" spans="1:8" x14ac:dyDescent="0.25">
      <c r="A9125" s="1"/>
      <c r="B9125" s="1" t="s">
        <v>5124</v>
      </c>
      <c r="C9125" s="1" t="s">
        <v>5125</v>
      </c>
      <c r="D9125" s="22" t="str">
        <f>HYPERLINK("https://rhld.insurance.arkansas.gov/NPILookup?Npi=1134477037","1134477037")</f>
        <v>1134477037</v>
      </c>
      <c r="E9125" s="1" t="s">
        <v>31674</v>
      </c>
      <c r="F9125" s="2"/>
      <c r="G9125" s="2"/>
      <c r="H9125" s="2"/>
    </row>
    <row r="9126" spans="1:8" x14ac:dyDescent="0.25">
      <c r="A9126" s="1"/>
      <c r="B9126" s="1" t="s">
        <v>5124</v>
      </c>
      <c r="C9126" s="1" t="s">
        <v>5125</v>
      </c>
      <c r="D9126" s="22" t="str">
        <f>HYPERLINK("https://rhld.insurance.arkansas.gov/NPILookup?Npi=1154399590","1154399590")</f>
        <v>1154399590</v>
      </c>
      <c r="E9126" s="1" t="s">
        <v>18238</v>
      </c>
      <c r="F9126" s="2"/>
      <c r="G9126" s="2"/>
      <c r="H9126" s="2"/>
    </row>
    <row r="9127" spans="1:8" x14ac:dyDescent="0.25">
      <c r="A9127" s="1"/>
      <c r="B9127" s="1" t="s">
        <v>5124</v>
      </c>
      <c r="C9127" s="1" t="s">
        <v>5125</v>
      </c>
      <c r="D9127" s="22" t="str">
        <f>HYPERLINK("https://rhld.insurance.arkansas.gov/NPILookup?Npi=1164413928","1164413928")</f>
        <v>1164413928</v>
      </c>
      <c r="E9127" s="1" t="s">
        <v>18373</v>
      </c>
      <c r="F9127" s="2"/>
      <c r="G9127" s="2"/>
      <c r="H9127" s="2"/>
    </row>
    <row r="9128" spans="1:8" x14ac:dyDescent="0.25">
      <c r="A9128" s="1"/>
      <c r="B9128" s="1" t="s">
        <v>5124</v>
      </c>
      <c r="C9128" s="1" t="s">
        <v>5125</v>
      </c>
      <c r="D9128" s="22" t="str">
        <f>HYPERLINK("https://rhld.insurance.arkansas.gov/NPILookup?Npi=1164472072","1164472072")</f>
        <v>1164472072</v>
      </c>
      <c r="E9128" s="1" t="s">
        <v>4713</v>
      </c>
      <c r="F9128" s="2"/>
      <c r="G9128" s="2"/>
      <c r="H9128" s="2"/>
    </row>
    <row r="9129" spans="1:8" x14ac:dyDescent="0.25">
      <c r="A9129" s="1"/>
      <c r="B9129" s="1" t="s">
        <v>5124</v>
      </c>
      <c r="C9129" s="1" t="s">
        <v>5125</v>
      </c>
      <c r="D9129" s="22" t="str">
        <f>HYPERLINK("https://rhld.insurance.arkansas.gov/NPILookup?Npi=1164693347","1164693347")</f>
        <v>1164693347</v>
      </c>
      <c r="E9129" s="1" t="s">
        <v>19126</v>
      </c>
      <c r="F9129" s="2"/>
      <c r="G9129" s="2"/>
      <c r="H9129" s="2"/>
    </row>
    <row r="9130" spans="1:8" x14ac:dyDescent="0.25">
      <c r="A9130" s="1"/>
      <c r="B9130" s="1" t="s">
        <v>5124</v>
      </c>
      <c r="C9130" s="1" t="s">
        <v>5125</v>
      </c>
      <c r="D9130" s="22" t="str">
        <f>HYPERLINK("https://rhld.insurance.arkansas.gov/NPILookup?Npi=1164701538","1164701538")</f>
        <v>1164701538</v>
      </c>
      <c r="E9130" s="1" t="s">
        <v>19315</v>
      </c>
      <c r="F9130" s="2"/>
      <c r="G9130" s="2"/>
      <c r="H9130" s="2"/>
    </row>
    <row r="9131" spans="1:8" x14ac:dyDescent="0.25">
      <c r="A9131" s="1"/>
      <c r="B9131" s="1" t="s">
        <v>5124</v>
      </c>
      <c r="C9131" s="1" t="s">
        <v>5125</v>
      </c>
      <c r="D9131" s="22" t="str">
        <f>HYPERLINK("https://rhld.insurance.arkansas.gov/NPILookup?Npi=1164717518","1164717518")</f>
        <v>1164717518</v>
      </c>
      <c r="E9131" s="1" t="s">
        <v>4719</v>
      </c>
      <c r="F9131" s="2"/>
      <c r="G9131" s="2"/>
      <c r="H9131" s="2"/>
    </row>
    <row r="9132" spans="1:8" x14ac:dyDescent="0.25">
      <c r="A9132" s="1"/>
      <c r="B9132" s="1" t="s">
        <v>5124</v>
      </c>
      <c r="C9132" s="1" t="s">
        <v>5125</v>
      </c>
      <c r="D9132" s="22" t="str">
        <f>HYPERLINK("https://rhld.insurance.arkansas.gov/NPILookup?Npi=1184610792","1184610792")</f>
        <v>1184610792</v>
      </c>
      <c r="E9132" s="1" t="s">
        <v>2673</v>
      </c>
      <c r="F9132" s="2"/>
      <c r="G9132" s="2"/>
      <c r="H9132" s="2"/>
    </row>
    <row r="9133" spans="1:8" x14ac:dyDescent="0.25">
      <c r="A9133" s="1"/>
      <c r="B9133" s="1" t="s">
        <v>5124</v>
      </c>
      <c r="C9133" s="1" t="s">
        <v>5125</v>
      </c>
      <c r="D9133" s="22" t="str">
        <f>HYPERLINK("https://rhld.insurance.arkansas.gov/NPILookup?Npi=1184642175","1184642175")</f>
        <v>1184642175</v>
      </c>
      <c r="E9133" s="1" t="s">
        <v>19316</v>
      </c>
      <c r="F9133" s="2"/>
      <c r="G9133" s="2"/>
      <c r="H9133" s="2"/>
    </row>
    <row r="9134" spans="1:8" x14ac:dyDescent="0.25">
      <c r="A9134" s="1"/>
      <c r="B9134" s="1" t="s">
        <v>5124</v>
      </c>
      <c r="C9134" s="1" t="s">
        <v>5125</v>
      </c>
      <c r="D9134" s="22" t="str">
        <f>HYPERLINK("https://rhld.insurance.arkansas.gov/NPILookup?Npi=1194081232","1194081232")</f>
        <v>1194081232</v>
      </c>
      <c r="E9134" s="1" t="s">
        <v>19317</v>
      </c>
      <c r="F9134" s="2"/>
      <c r="G9134" s="2"/>
      <c r="H9134" s="2"/>
    </row>
    <row r="9135" spans="1:8" x14ac:dyDescent="0.25">
      <c r="A9135" s="1"/>
      <c r="B9135" s="1" t="s">
        <v>5124</v>
      </c>
      <c r="C9135" s="1" t="s">
        <v>5125</v>
      </c>
      <c r="D9135" s="22" t="str">
        <f>HYPERLINK("https://rhld.insurance.arkansas.gov/NPILookup?Npi=1194761791","1194761791")</f>
        <v>1194761791</v>
      </c>
      <c r="E9135" s="1" t="s">
        <v>5028</v>
      </c>
      <c r="F9135" s="2"/>
      <c r="G9135" s="2"/>
      <c r="H9135" s="2"/>
    </row>
    <row r="9136" spans="1:8" x14ac:dyDescent="0.25">
      <c r="A9136" s="1"/>
      <c r="B9136" s="1" t="s">
        <v>5124</v>
      </c>
      <c r="C9136" s="1" t="s">
        <v>5125</v>
      </c>
      <c r="D9136" s="22" t="str">
        <f>HYPERLINK("https://rhld.insurance.arkansas.gov/NPILookup?Npi=1205279213","1205279213")</f>
        <v>1205279213</v>
      </c>
      <c r="E9136" s="1" t="s">
        <v>10927</v>
      </c>
      <c r="F9136" s="2"/>
      <c r="G9136" s="2"/>
      <c r="H9136" s="2"/>
    </row>
    <row r="9137" spans="1:8" x14ac:dyDescent="0.25">
      <c r="A9137" s="1"/>
      <c r="B9137" s="1" t="s">
        <v>5124</v>
      </c>
      <c r="C9137" s="1" t="s">
        <v>5125</v>
      </c>
      <c r="D9137" s="22" t="str">
        <f>HYPERLINK("https://rhld.insurance.arkansas.gov/NPILookup?Npi=1205806692","1205806692")</f>
        <v>1205806692</v>
      </c>
      <c r="E9137" s="1" t="s">
        <v>10928</v>
      </c>
      <c r="F9137" s="2"/>
      <c r="G9137" s="2"/>
      <c r="H9137" s="2"/>
    </row>
    <row r="9138" spans="1:8" x14ac:dyDescent="0.25">
      <c r="A9138" s="1"/>
      <c r="B9138" s="1" t="s">
        <v>5124</v>
      </c>
      <c r="C9138" s="1" t="s">
        <v>5125</v>
      </c>
      <c r="D9138" s="22" t="str">
        <f>HYPERLINK("https://rhld.insurance.arkansas.gov/NPILookup?Npi=1215127832","1215127832")</f>
        <v>1215127832</v>
      </c>
      <c r="E9138" s="1" t="s">
        <v>4719</v>
      </c>
      <c r="F9138" s="2"/>
      <c r="G9138" s="2"/>
      <c r="H9138" s="2"/>
    </row>
    <row r="9139" spans="1:8" x14ac:dyDescent="0.25">
      <c r="A9139" s="1"/>
      <c r="B9139" s="1" t="s">
        <v>5124</v>
      </c>
      <c r="C9139" s="1" t="s">
        <v>5125</v>
      </c>
      <c r="D9139" s="22" t="str">
        <f>HYPERLINK("https://rhld.insurance.arkansas.gov/NPILookup?Npi=1215917075","1215917075")</f>
        <v>1215917075</v>
      </c>
      <c r="E9139" s="1" t="s">
        <v>19318</v>
      </c>
      <c r="F9139" s="2"/>
      <c r="G9139" s="2"/>
      <c r="H9139" s="2"/>
    </row>
    <row r="9140" spans="1:8" x14ac:dyDescent="0.25">
      <c r="A9140" s="1"/>
      <c r="B9140" s="1" t="s">
        <v>5124</v>
      </c>
      <c r="C9140" s="1" t="s">
        <v>5125</v>
      </c>
      <c r="D9140" s="22" t="str">
        <f>HYPERLINK("https://rhld.insurance.arkansas.gov/NPILookup?Npi=1225212392","1225212392")</f>
        <v>1225212392</v>
      </c>
      <c r="E9140" s="1" t="s">
        <v>19140</v>
      </c>
      <c r="F9140" s="2"/>
      <c r="G9140" s="2"/>
      <c r="H9140" s="2"/>
    </row>
    <row r="9141" spans="1:8" x14ac:dyDescent="0.25">
      <c r="A9141" s="1"/>
      <c r="B9141" s="1" t="s">
        <v>5124</v>
      </c>
      <c r="C9141" s="1" t="s">
        <v>5125</v>
      </c>
      <c r="D9141" s="22" t="str">
        <f>HYPERLINK("https://rhld.insurance.arkansas.gov/NPILookup?Npi=1235367665","1235367665")</f>
        <v>1235367665</v>
      </c>
      <c r="E9141" s="1" t="s">
        <v>5136</v>
      </c>
      <c r="F9141" s="2"/>
      <c r="G9141" s="2"/>
      <c r="H9141" s="2"/>
    </row>
    <row r="9142" spans="1:8" x14ac:dyDescent="0.25">
      <c r="A9142" s="1"/>
      <c r="B9142" s="1" t="s">
        <v>5124</v>
      </c>
      <c r="C9142" s="1" t="s">
        <v>5125</v>
      </c>
      <c r="D9142" s="22" t="str">
        <f>HYPERLINK("https://rhld.insurance.arkansas.gov/NPILookup?Npi=1235558487","1235558487")</f>
        <v>1235558487</v>
      </c>
      <c r="E9142" s="1" t="s">
        <v>19319</v>
      </c>
      <c r="F9142" s="2"/>
      <c r="G9142" s="2"/>
      <c r="H9142" s="2"/>
    </row>
    <row r="9143" spans="1:8" x14ac:dyDescent="0.25">
      <c r="A9143" s="1"/>
      <c r="B9143" s="1" t="s">
        <v>5124</v>
      </c>
      <c r="C9143" s="1" t="s">
        <v>5125</v>
      </c>
      <c r="D9143" s="22" t="str">
        <f>HYPERLINK("https://rhld.insurance.arkansas.gov/NPILookup?Npi=1245202274","1245202274")</f>
        <v>1245202274</v>
      </c>
      <c r="E9143" s="1" t="s">
        <v>19320</v>
      </c>
      <c r="F9143" s="2"/>
      <c r="G9143" s="2"/>
      <c r="H9143" s="2"/>
    </row>
    <row r="9144" spans="1:8" x14ac:dyDescent="0.25">
      <c r="A9144" s="1"/>
      <c r="B9144" s="1" t="s">
        <v>5124</v>
      </c>
      <c r="C9144" s="1" t="s">
        <v>5125</v>
      </c>
      <c r="D9144" s="22" t="str">
        <f>HYPERLINK("https://rhld.insurance.arkansas.gov/NPILookup?Npi=1245313253","1245313253")</f>
        <v>1245313253</v>
      </c>
      <c r="E9144" s="1" t="s">
        <v>5143</v>
      </c>
      <c r="F9144" s="2"/>
      <c r="G9144" s="2"/>
      <c r="H9144" s="2"/>
    </row>
    <row r="9145" spans="1:8" x14ac:dyDescent="0.25">
      <c r="A9145" s="1"/>
      <c r="B9145" s="1" t="s">
        <v>5124</v>
      </c>
      <c r="C9145" s="1" t="s">
        <v>5125</v>
      </c>
      <c r="D9145" s="22" t="str">
        <f>HYPERLINK("https://rhld.insurance.arkansas.gov/NPILookup?Npi=1245450139","1245450139")</f>
        <v>1245450139</v>
      </c>
      <c r="E9145" s="1" t="s">
        <v>19321</v>
      </c>
      <c r="F9145" s="2"/>
      <c r="G9145" s="2"/>
      <c r="H9145" s="2"/>
    </row>
    <row r="9146" spans="1:8" x14ac:dyDescent="0.25">
      <c r="A9146" s="1"/>
      <c r="B9146" s="1" t="s">
        <v>5124</v>
      </c>
      <c r="C9146" s="1" t="s">
        <v>5125</v>
      </c>
      <c r="D9146" s="22" t="str">
        <f>HYPERLINK("https://rhld.insurance.arkansas.gov/NPILookup?Npi=1245612753","1245612753")</f>
        <v>1245612753</v>
      </c>
      <c r="E9146" s="1" t="s">
        <v>19322</v>
      </c>
      <c r="F9146" s="2"/>
      <c r="G9146" s="2"/>
      <c r="H9146" s="2"/>
    </row>
    <row r="9147" spans="1:8" x14ac:dyDescent="0.25">
      <c r="A9147" s="1"/>
      <c r="B9147" s="1" t="s">
        <v>5124</v>
      </c>
      <c r="C9147" s="1" t="s">
        <v>5125</v>
      </c>
      <c r="D9147" s="22" t="str">
        <f>HYPERLINK("https://rhld.insurance.arkansas.gov/NPILookup?Npi=1255750493","1255750493")</f>
        <v>1255750493</v>
      </c>
      <c r="E9147" s="1" t="s">
        <v>19323</v>
      </c>
      <c r="F9147" s="2"/>
      <c r="G9147" s="2"/>
      <c r="H9147" s="2"/>
    </row>
    <row r="9148" spans="1:8" x14ac:dyDescent="0.25">
      <c r="A9148" s="1"/>
      <c r="B9148" s="1" t="s">
        <v>5124</v>
      </c>
      <c r="C9148" s="1" t="s">
        <v>5125</v>
      </c>
      <c r="D9148" s="22" t="str">
        <f>HYPERLINK("https://rhld.insurance.arkansas.gov/NPILookup?Npi=1265420509","1265420509")</f>
        <v>1265420509</v>
      </c>
      <c r="E9148" s="1" t="s">
        <v>19324</v>
      </c>
      <c r="F9148" s="2"/>
      <c r="G9148" s="2"/>
      <c r="H9148" s="2"/>
    </row>
    <row r="9149" spans="1:8" x14ac:dyDescent="0.25">
      <c r="A9149" s="1"/>
      <c r="B9149" s="1" t="s">
        <v>5124</v>
      </c>
      <c r="C9149" s="1" t="s">
        <v>5125</v>
      </c>
      <c r="D9149" s="22" t="str">
        <f>HYPERLINK("https://rhld.insurance.arkansas.gov/NPILookup?Npi=1275573255","1275573255")</f>
        <v>1275573255</v>
      </c>
      <c r="E9149" s="1" t="s">
        <v>10929</v>
      </c>
      <c r="F9149" s="2"/>
      <c r="G9149" s="2"/>
      <c r="H9149" s="2"/>
    </row>
    <row r="9150" spans="1:8" x14ac:dyDescent="0.25">
      <c r="A9150" s="1"/>
      <c r="B9150" s="1" t="s">
        <v>5124</v>
      </c>
      <c r="C9150" s="1" t="s">
        <v>5125</v>
      </c>
      <c r="D9150" s="22" t="str">
        <f>HYPERLINK("https://rhld.insurance.arkansas.gov/NPILookup?Npi=1275799025","1275799025")</f>
        <v>1275799025</v>
      </c>
      <c r="E9150" s="1" t="s">
        <v>10930</v>
      </c>
      <c r="F9150" s="2"/>
      <c r="G9150" s="2"/>
      <c r="H9150" s="2"/>
    </row>
    <row r="9151" spans="1:8" x14ac:dyDescent="0.25">
      <c r="A9151" s="1"/>
      <c r="B9151" s="1" t="s">
        <v>5124</v>
      </c>
      <c r="C9151" s="1" t="s">
        <v>5125</v>
      </c>
      <c r="D9151" s="22" t="str">
        <f>HYPERLINK("https://rhld.insurance.arkansas.gov/NPILookup?Npi=1285834630","1285834630")</f>
        <v>1285834630</v>
      </c>
      <c r="E9151" s="1" t="s">
        <v>19325</v>
      </c>
      <c r="F9151" s="2"/>
      <c r="G9151" s="2"/>
      <c r="H9151" s="2"/>
    </row>
    <row r="9152" spans="1:8" x14ac:dyDescent="0.25">
      <c r="A9152" s="1"/>
      <c r="B9152" s="1" t="s">
        <v>5124</v>
      </c>
      <c r="C9152" s="1" t="s">
        <v>5125</v>
      </c>
      <c r="D9152" s="22" t="str">
        <f>HYPERLINK("https://rhld.insurance.arkansas.gov/NPILookup?Npi=1295199289","1295199289")</f>
        <v>1295199289</v>
      </c>
      <c r="E9152" s="1" t="s">
        <v>5137</v>
      </c>
      <c r="F9152" s="2"/>
      <c r="G9152" s="2"/>
      <c r="H9152" s="2"/>
    </row>
    <row r="9153" spans="1:8" x14ac:dyDescent="0.25">
      <c r="A9153" s="1"/>
      <c r="B9153" s="1" t="s">
        <v>5124</v>
      </c>
      <c r="C9153" s="1" t="s">
        <v>5125</v>
      </c>
      <c r="D9153" s="22" t="str">
        <f>HYPERLINK("https://rhld.insurance.arkansas.gov/NPILookup?Npi=1295782670","1295782670")</f>
        <v>1295782670</v>
      </c>
      <c r="E9153" s="1" t="s">
        <v>19326</v>
      </c>
      <c r="F9153" s="2"/>
      <c r="G9153" s="2"/>
      <c r="H9153" s="2"/>
    </row>
    <row r="9154" spans="1:8" x14ac:dyDescent="0.25">
      <c r="A9154" s="1"/>
      <c r="B9154" s="1" t="s">
        <v>5124</v>
      </c>
      <c r="C9154" s="1" t="s">
        <v>5125</v>
      </c>
      <c r="D9154" s="22" t="str">
        <f>HYPERLINK("https://rhld.insurance.arkansas.gov/NPILookup?Npi=1326046186","1326046186")</f>
        <v>1326046186</v>
      </c>
      <c r="E9154" s="1" t="s">
        <v>19327</v>
      </c>
      <c r="F9154" s="2"/>
      <c r="G9154" s="2"/>
      <c r="H9154" s="2"/>
    </row>
    <row r="9155" spans="1:8" x14ac:dyDescent="0.25">
      <c r="A9155" s="1"/>
      <c r="B9155" s="1" t="s">
        <v>5124</v>
      </c>
      <c r="C9155" s="1" t="s">
        <v>5125</v>
      </c>
      <c r="D9155" s="22" t="str">
        <f>HYPERLINK("https://rhld.insurance.arkansas.gov/NPILookup?Npi=1326208414","1326208414")</f>
        <v>1326208414</v>
      </c>
      <c r="E9155" s="1" t="s">
        <v>10931</v>
      </c>
      <c r="F9155" s="2"/>
      <c r="G9155" s="2"/>
      <c r="H9155" s="2"/>
    </row>
    <row r="9156" spans="1:8" x14ac:dyDescent="0.25">
      <c r="A9156" s="1"/>
      <c r="B9156" s="1" t="s">
        <v>5124</v>
      </c>
      <c r="C9156" s="1" t="s">
        <v>5125</v>
      </c>
      <c r="D9156" s="22" t="str">
        <f>HYPERLINK("https://rhld.insurance.arkansas.gov/NPILookup?Npi=1326255126","1326255126")</f>
        <v>1326255126</v>
      </c>
      <c r="E9156" s="1" t="s">
        <v>19162</v>
      </c>
      <c r="F9156" s="2"/>
      <c r="G9156" s="2"/>
      <c r="H9156" s="2"/>
    </row>
    <row r="9157" spans="1:8" x14ac:dyDescent="0.25">
      <c r="A9157" s="1"/>
      <c r="B9157" s="1" t="s">
        <v>5124</v>
      </c>
      <c r="C9157" s="1" t="s">
        <v>5125</v>
      </c>
      <c r="D9157" s="22" t="str">
        <f>HYPERLINK("https://rhld.insurance.arkansas.gov/NPILookup?Npi=1326400060","1326400060")</f>
        <v>1326400060</v>
      </c>
      <c r="E9157" s="1" t="s">
        <v>19328</v>
      </c>
      <c r="F9157" s="2"/>
      <c r="G9157" s="2"/>
      <c r="H9157" s="2"/>
    </row>
    <row r="9158" spans="1:8" x14ac:dyDescent="0.25">
      <c r="A9158" s="1"/>
      <c r="B9158" s="1" t="s">
        <v>5124</v>
      </c>
      <c r="C9158" s="1" t="s">
        <v>5125</v>
      </c>
      <c r="D9158" s="22" t="str">
        <f>HYPERLINK("https://rhld.insurance.arkansas.gov/NPILookup?Npi=1326428665","1326428665")</f>
        <v>1326428665</v>
      </c>
      <c r="E9158" s="1" t="s">
        <v>19329</v>
      </c>
      <c r="F9158" s="2"/>
      <c r="G9158" s="2"/>
      <c r="H9158" s="2"/>
    </row>
    <row r="9159" spans="1:8" x14ac:dyDescent="0.25">
      <c r="A9159" s="1"/>
      <c r="B9159" s="1" t="s">
        <v>5124</v>
      </c>
      <c r="C9159" s="1" t="s">
        <v>5125</v>
      </c>
      <c r="D9159" s="22" t="str">
        <f>HYPERLINK("https://rhld.insurance.arkansas.gov/NPILookup?Npi=1336127968","1336127968")</f>
        <v>1336127968</v>
      </c>
      <c r="E9159" s="1" t="s">
        <v>19166</v>
      </c>
      <c r="F9159" s="2"/>
      <c r="G9159" s="2"/>
      <c r="H9159" s="2"/>
    </row>
    <row r="9160" spans="1:8" x14ac:dyDescent="0.25">
      <c r="A9160" s="1"/>
      <c r="B9160" s="1" t="s">
        <v>5124</v>
      </c>
      <c r="C9160" s="1" t="s">
        <v>5125</v>
      </c>
      <c r="D9160" s="22" t="str">
        <f>HYPERLINK("https://rhld.insurance.arkansas.gov/NPILookup?Npi=1336348085","1336348085")</f>
        <v>1336348085</v>
      </c>
      <c r="E9160" s="1" t="s">
        <v>10932</v>
      </c>
      <c r="F9160" s="2"/>
      <c r="G9160" s="2"/>
      <c r="H9160" s="2"/>
    </row>
    <row r="9161" spans="1:8" x14ac:dyDescent="0.25">
      <c r="A9161" s="1"/>
      <c r="B9161" s="1" t="s">
        <v>5124</v>
      </c>
      <c r="C9161" s="1" t="s">
        <v>5125</v>
      </c>
      <c r="D9161" s="22" t="str">
        <f>HYPERLINK("https://rhld.insurance.arkansas.gov/NPILookup?Npi=1346205622","1346205622")</f>
        <v>1346205622</v>
      </c>
      <c r="E9161" s="1" t="s">
        <v>19330</v>
      </c>
      <c r="F9161" s="2"/>
      <c r="G9161" s="2"/>
      <c r="H9161" s="2"/>
    </row>
    <row r="9162" spans="1:8" x14ac:dyDescent="0.25">
      <c r="A9162" s="1"/>
      <c r="B9162" s="1" t="s">
        <v>5124</v>
      </c>
      <c r="C9162" s="1" t="s">
        <v>5125</v>
      </c>
      <c r="D9162" s="22" t="str">
        <f>HYPERLINK("https://rhld.insurance.arkansas.gov/NPILookup?Npi=1346263514","1346263514")</f>
        <v>1346263514</v>
      </c>
      <c r="E9162" s="1" t="s">
        <v>31675</v>
      </c>
      <c r="F9162" s="2"/>
      <c r="G9162" s="2"/>
      <c r="H9162" s="2"/>
    </row>
    <row r="9163" spans="1:8" x14ac:dyDescent="0.25">
      <c r="A9163" s="1"/>
      <c r="B9163" s="1" t="s">
        <v>5124</v>
      </c>
      <c r="C9163" s="1" t="s">
        <v>5125</v>
      </c>
      <c r="D9163" s="22" t="str">
        <f>HYPERLINK("https://rhld.insurance.arkansas.gov/NPILookup?Npi=1346400090","1346400090")</f>
        <v>1346400090</v>
      </c>
      <c r="E9163" s="1" t="s">
        <v>10933</v>
      </c>
      <c r="F9163" s="2"/>
      <c r="G9163" s="2"/>
      <c r="H9163" s="2"/>
    </row>
    <row r="9164" spans="1:8" x14ac:dyDescent="0.25">
      <c r="A9164" s="1"/>
      <c r="B9164" s="1" t="s">
        <v>5124</v>
      </c>
      <c r="C9164" s="1" t="s">
        <v>5125</v>
      </c>
      <c r="D9164" s="22" t="str">
        <f>HYPERLINK("https://rhld.insurance.arkansas.gov/NPILookup?Npi=1346669322","1346669322")</f>
        <v>1346669322</v>
      </c>
      <c r="E9164" s="1" t="s">
        <v>5139</v>
      </c>
      <c r="F9164" s="2"/>
      <c r="G9164" s="2"/>
      <c r="H9164" s="2"/>
    </row>
    <row r="9165" spans="1:8" x14ac:dyDescent="0.25">
      <c r="A9165" s="1"/>
      <c r="B9165" s="1" t="s">
        <v>5124</v>
      </c>
      <c r="C9165" s="1" t="s">
        <v>5125</v>
      </c>
      <c r="D9165" s="22" t="str">
        <f>HYPERLINK("https://rhld.insurance.arkansas.gov/NPILookup?Npi=1356627350","1356627350")</f>
        <v>1356627350</v>
      </c>
      <c r="E9165" s="1" t="s">
        <v>10934</v>
      </c>
      <c r="F9165" s="2"/>
      <c r="G9165" s="2"/>
      <c r="H9165" s="2"/>
    </row>
    <row r="9166" spans="1:8" x14ac:dyDescent="0.25">
      <c r="A9166" s="1"/>
      <c r="B9166" s="1" t="s">
        <v>5124</v>
      </c>
      <c r="C9166" s="1" t="s">
        <v>5125</v>
      </c>
      <c r="D9166" s="22" t="str">
        <f>HYPERLINK("https://rhld.insurance.arkansas.gov/NPILookup?Npi=1366470544","1366470544")</f>
        <v>1366470544</v>
      </c>
      <c r="E9166" s="1" t="s">
        <v>18430</v>
      </c>
      <c r="F9166" s="2"/>
      <c r="G9166" s="2"/>
      <c r="H9166" s="2"/>
    </row>
    <row r="9167" spans="1:8" x14ac:dyDescent="0.25">
      <c r="A9167" s="1"/>
      <c r="B9167" s="1" t="s">
        <v>5124</v>
      </c>
      <c r="C9167" s="1" t="s">
        <v>5125</v>
      </c>
      <c r="D9167" s="22" t="str">
        <f>HYPERLINK("https://rhld.insurance.arkansas.gov/NPILookup?Npi=1376531814","1376531814")</f>
        <v>1376531814</v>
      </c>
      <c r="E9167" s="1" t="s">
        <v>19331</v>
      </c>
      <c r="F9167" s="2"/>
      <c r="G9167" s="2"/>
      <c r="H9167" s="2"/>
    </row>
    <row r="9168" spans="1:8" x14ac:dyDescent="0.25">
      <c r="A9168" s="1"/>
      <c r="B9168" s="1" t="s">
        <v>5124</v>
      </c>
      <c r="C9168" s="1" t="s">
        <v>5125</v>
      </c>
      <c r="D9168" s="22" t="str">
        <f>HYPERLINK("https://rhld.insurance.arkansas.gov/NPILookup?Npi=1386615177","1386615177")</f>
        <v>1386615177</v>
      </c>
      <c r="E9168" s="1" t="s">
        <v>5135</v>
      </c>
      <c r="F9168" s="2"/>
      <c r="G9168" s="2"/>
      <c r="H9168" s="2"/>
    </row>
    <row r="9169" spans="1:8" x14ac:dyDescent="0.25">
      <c r="A9169" s="1"/>
      <c r="B9169" s="1" t="s">
        <v>5124</v>
      </c>
      <c r="C9169" s="1" t="s">
        <v>5125</v>
      </c>
      <c r="D9169" s="22" t="str">
        <f>HYPERLINK("https://rhld.insurance.arkansas.gov/NPILookup?Npi=1386671790","1386671790")</f>
        <v>1386671790</v>
      </c>
      <c r="E9169" s="1" t="s">
        <v>19332</v>
      </c>
      <c r="F9169" s="2"/>
      <c r="G9169" s="2"/>
      <c r="H9169" s="2"/>
    </row>
    <row r="9170" spans="1:8" x14ac:dyDescent="0.25">
      <c r="A9170" s="1"/>
      <c r="B9170" s="1" t="s">
        <v>5124</v>
      </c>
      <c r="C9170" s="1" t="s">
        <v>5125</v>
      </c>
      <c r="D9170" s="22" t="str">
        <f>HYPERLINK("https://rhld.insurance.arkansas.gov/NPILookup?Npi=1386987899","1386987899")</f>
        <v>1386987899</v>
      </c>
      <c r="E9170" s="1" t="s">
        <v>5140</v>
      </c>
      <c r="F9170" s="2"/>
      <c r="G9170" s="2"/>
      <c r="H9170" s="2"/>
    </row>
    <row r="9171" spans="1:8" x14ac:dyDescent="0.25">
      <c r="A9171" s="1"/>
      <c r="B9171" s="1" t="s">
        <v>5124</v>
      </c>
      <c r="C9171" s="1" t="s">
        <v>5125</v>
      </c>
      <c r="D9171" s="22" t="str">
        <f>HYPERLINK("https://rhld.insurance.arkansas.gov/NPILookup?Npi=1396108692","1396108692")</f>
        <v>1396108692</v>
      </c>
      <c r="E9171" s="1" t="s">
        <v>31676</v>
      </c>
      <c r="F9171" s="2"/>
      <c r="G9171" s="2"/>
      <c r="H9171" s="2"/>
    </row>
    <row r="9172" spans="1:8" x14ac:dyDescent="0.25">
      <c r="A9172" s="1"/>
      <c r="B9172" s="1" t="s">
        <v>5124</v>
      </c>
      <c r="C9172" s="1" t="s">
        <v>5125</v>
      </c>
      <c r="D9172" s="22" t="str">
        <f>HYPERLINK("https://rhld.insurance.arkansas.gov/NPILookup?Npi=1396159851","1396159851")</f>
        <v>1396159851</v>
      </c>
      <c r="E9172" s="1" t="s">
        <v>10935</v>
      </c>
      <c r="F9172" s="2"/>
      <c r="G9172" s="2"/>
      <c r="H9172" s="2"/>
    </row>
    <row r="9173" spans="1:8" x14ac:dyDescent="0.25">
      <c r="A9173" s="1"/>
      <c r="B9173" s="1" t="s">
        <v>5124</v>
      </c>
      <c r="C9173" s="1" t="s">
        <v>5125</v>
      </c>
      <c r="D9173" s="22" t="str">
        <f>HYPERLINK("https://rhld.insurance.arkansas.gov/NPILookup?Npi=1396988051","1396988051")</f>
        <v>1396988051</v>
      </c>
      <c r="E9173" s="1" t="s">
        <v>5141</v>
      </c>
      <c r="F9173" s="2"/>
      <c r="G9173" s="2"/>
      <c r="H9173" s="2"/>
    </row>
    <row r="9174" spans="1:8" x14ac:dyDescent="0.25">
      <c r="A9174" s="1"/>
      <c r="B9174" s="1" t="s">
        <v>5124</v>
      </c>
      <c r="C9174" s="1" t="s">
        <v>5125</v>
      </c>
      <c r="D9174" s="22" t="str">
        <f>HYPERLINK("https://rhld.insurance.arkansas.gov/NPILookup?Npi=1427080894","1427080894")</f>
        <v>1427080894</v>
      </c>
      <c r="E9174" s="1" t="s">
        <v>19333</v>
      </c>
      <c r="F9174" s="2"/>
      <c r="G9174" s="2"/>
      <c r="H9174" s="2"/>
    </row>
    <row r="9175" spans="1:8" x14ac:dyDescent="0.25">
      <c r="A9175" s="1"/>
      <c r="B9175" s="1" t="s">
        <v>5124</v>
      </c>
      <c r="C9175" s="1" t="s">
        <v>5125</v>
      </c>
      <c r="D9175" s="22" t="str">
        <f>HYPERLINK("https://rhld.insurance.arkansas.gov/NPILookup?Npi=1427276948","1427276948")</f>
        <v>1427276948</v>
      </c>
      <c r="E9175" s="1" t="s">
        <v>4541</v>
      </c>
      <c r="F9175" s="2"/>
      <c r="G9175" s="2"/>
      <c r="H9175" s="2"/>
    </row>
    <row r="9176" spans="1:8" x14ac:dyDescent="0.25">
      <c r="A9176" s="1"/>
      <c r="B9176" s="1" t="s">
        <v>5124</v>
      </c>
      <c r="C9176" s="1" t="s">
        <v>5125</v>
      </c>
      <c r="D9176" s="22" t="str">
        <f>HYPERLINK("https://rhld.insurance.arkansas.gov/NPILookup?Npi=1437129244","1437129244")</f>
        <v>1437129244</v>
      </c>
      <c r="E9176" s="1" t="s">
        <v>19334</v>
      </c>
      <c r="F9176" s="2"/>
      <c r="G9176" s="2"/>
      <c r="H9176" s="2"/>
    </row>
    <row r="9177" spans="1:8" x14ac:dyDescent="0.25">
      <c r="A9177" s="1"/>
      <c r="B9177" s="1" t="s">
        <v>5124</v>
      </c>
      <c r="C9177" s="1" t="s">
        <v>5125</v>
      </c>
      <c r="D9177" s="22" t="str">
        <f>HYPERLINK("https://rhld.insurance.arkansas.gov/NPILookup?Npi=1437285806","1437285806")</f>
        <v>1437285806</v>
      </c>
      <c r="E9177" s="1" t="s">
        <v>10936</v>
      </c>
      <c r="F9177" s="2"/>
      <c r="G9177" s="2"/>
      <c r="H9177" s="2"/>
    </row>
    <row r="9178" spans="1:8" x14ac:dyDescent="0.25">
      <c r="A9178" s="1"/>
      <c r="B9178" s="1" t="s">
        <v>5124</v>
      </c>
      <c r="C9178" s="1" t="s">
        <v>5125</v>
      </c>
      <c r="D9178" s="22" t="str">
        <f>HYPERLINK("https://rhld.insurance.arkansas.gov/NPILookup?Npi=1437418746","1437418746")</f>
        <v>1437418746</v>
      </c>
      <c r="E9178" s="1" t="s">
        <v>5054</v>
      </c>
      <c r="F9178" s="2"/>
      <c r="G9178" s="2"/>
      <c r="H9178" s="2"/>
    </row>
    <row r="9179" spans="1:8" x14ac:dyDescent="0.25">
      <c r="A9179" s="1"/>
      <c r="B9179" s="1" t="s">
        <v>5124</v>
      </c>
      <c r="C9179" s="1" t="s">
        <v>5125</v>
      </c>
      <c r="D9179" s="22" t="str">
        <f>HYPERLINK("https://rhld.insurance.arkansas.gov/NPILookup?Npi=1447220264","1447220264")</f>
        <v>1447220264</v>
      </c>
      <c r="E9179" s="1" t="s">
        <v>18455</v>
      </c>
      <c r="F9179" s="2"/>
      <c r="G9179" s="2"/>
      <c r="H9179" s="2"/>
    </row>
    <row r="9180" spans="1:8" x14ac:dyDescent="0.25">
      <c r="A9180" s="1"/>
      <c r="B9180" s="1" t="s">
        <v>5124</v>
      </c>
      <c r="C9180" s="1" t="s">
        <v>5125</v>
      </c>
      <c r="D9180" s="22" t="str">
        <f>HYPERLINK("https://rhld.insurance.arkansas.gov/NPILookup?Npi=1447250659","1447250659")</f>
        <v>1447250659</v>
      </c>
      <c r="E9180" s="1" t="s">
        <v>10937</v>
      </c>
      <c r="F9180" s="2"/>
      <c r="G9180" s="2"/>
      <c r="H9180" s="2"/>
    </row>
    <row r="9181" spans="1:8" x14ac:dyDescent="0.25">
      <c r="A9181" s="1"/>
      <c r="B9181" s="1" t="s">
        <v>5124</v>
      </c>
      <c r="C9181" s="1" t="s">
        <v>5125</v>
      </c>
      <c r="D9181" s="22" t="str">
        <f>HYPERLINK("https://rhld.insurance.arkansas.gov/NPILookup?Npi=1457641664","1457641664")</f>
        <v>1457641664</v>
      </c>
      <c r="E9181" s="1" t="s">
        <v>19335</v>
      </c>
      <c r="F9181" s="2"/>
      <c r="G9181" s="2"/>
      <c r="H9181" s="2"/>
    </row>
    <row r="9182" spans="1:8" x14ac:dyDescent="0.25">
      <c r="A9182" s="1"/>
      <c r="B9182" s="1" t="s">
        <v>5124</v>
      </c>
      <c r="C9182" s="1" t="s">
        <v>5125</v>
      </c>
      <c r="D9182" s="22" t="str">
        <f>HYPERLINK("https://rhld.insurance.arkansas.gov/NPILookup?Npi=1467408641","1467408641")</f>
        <v>1467408641</v>
      </c>
      <c r="E9182" s="1" t="s">
        <v>5142</v>
      </c>
      <c r="F9182" s="2"/>
      <c r="G9182" s="2"/>
      <c r="H9182" s="2"/>
    </row>
    <row r="9183" spans="1:8" x14ac:dyDescent="0.25">
      <c r="A9183" s="1"/>
      <c r="B9183" s="1" t="s">
        <v>5124</v>
      </c>
      <c r="C9183" s="1" t="s">
        <v>5125</v>
      </c>
      <c r="D9183" s="22" t="str">
        <f>HYPERLINK("https://rhld.insurance.arkansas.gov/NPILookup?Npi=1467717009","1467717009")</f>
        <v>1467717009</v>
      </c>
      <c r="E9183" s="1" t="s">
        <v>10875</v>
      </c>
      <c r="F9183" s="2"/>
      <c r="G9183" s="2"/>
      <c r="H9183" s="2"/>
    </row>
    <row r="9184" spans="1:8" x14ac:dyDescent="0.25">
      <c r="A9184" s="1"/>
      <c r="B9184" s="1" t="s">
        <v>5124</v>
      </c>
      <c r="C9184" s="1" t="s">
        <v>5125</v>
      </c>
      <c r="D9184" s="22" t="str">
        <f>HYPERLINK("https://rhld.insurance.arkansas.gov/NPILookup?Npi=1477503597","1477503597")</f>
        <v>1477503597</v>
      </c>
      <c r="E9184" s="1" t="s">
        <v>19191</v>
      </c>
      <c r="F9184" s="2"/>
      <c r="G9184" s="2"/>
      <c r="H9184" s="2"/>
    </row>
    <row r="9185" spans="1:8" x14ac:dyDescent="0.25">
      <c r="A9185" s="1"/>
      <c r="B9185" s="1" t="s">
        <v>5124</v>
      </c>
      <c r="C9185" s="1" t="s">
        <v>5125</v>
      </c>
      <c r="D9185" s="22" t="str">
        <f>HYPERLINK("https://rhld.insurance.arkansas.gov/NPILookup?Npi=1477780906","1477780906")</f>
        <v>1477780906</v>
      </c>
      <c r="E9185" s="1" t="s">
        <v>5143</v>
      </c>
      <c r="F9185" s="2"/>
      <c r="G9185" s="2"/>
      <c r="H9185" s="2"/>
    </row>
    <row r="9186" spans="1:8" x14ac:dyDescent="0.25">
      <c r="A9186" s="1"/>
      <c r="B9186" s="1" t="s">
        <v>5124</v>
      </c>
      <c r="C9186" s="1" t="s">
        <v>5125</v>
      </c>
      <c r="D9186" s="22" t="str">
        <f>HYPERLINK("https://rhld.insurance.arkansas.gov/NPILookup?Npi=1477796365","1477796365")</f>
        <v>1477796365</v>
      </c>
      <c r="E9186" s="1" t="s">
        <v>10876</v>
      </c>
      <c r="F9186" s="2"/>
      <c r="G9186" s="2"/>
      <c r="H9186" s="2"/>
    </row>
    <row r="9187" spans="1:8" x14ac:dyDescent="0.25">
      <c r="A9187" s="1"/>
      <c r="B9187" s="1" t="s">
        <v>5124</v>
      </c>
      <c r="C9187" s="1" t="s">
        <v>5125</v>
      </c>
      <c r="D9187" s="22" t="str">
        <f>HYPERLINK("https://rhld.insurance.arkansas.gov/NPILookup?Npi=1477909380","1477909380")</f>
        <v>1477909380</v>
      </c>
      <c r="E9187" s="1" t="s">
        <v>19336</v>
      </c>
      <c r="F9187" s="2"/>
      <c r="G9187" s="2"/>
      <c r="H9187" s="2"/>
    </row>
    <row r="9188" spans="1:8" x14ac:dyDescent="0.25">
      <c r="A9188" s="1"/>
      <c r="B9188" s="1" t="s">
        <v>5124</v>
      </c>
      <c r="C9188" s="1" t="s">
        <v>5125</v>
      </c>
      <c r="D9188" s="22" t="str">
        <f>HYPERLINK("https://rhld.insurance.arkansas.gov/NPILookup?Npi=1497915904","1497915904")</f>
        <v>1497915904</v>
      </c>
      <c r="E9188" s="1" t="s">
        <v>19337</v>
      </c>
      <c r="F9188" s="2"/>
      <c r="G9188" s="2"/>
      <c r="H9188" s="2"/>
    </row>
    <row r="9189" spans="1:8" x14ac:dyDescent="0.25">
      <c r="A9189" s="1"/>
      <c r="B9189" s="1" t="s">
        <v>5124</v>
      </c>
      <c r="C9189" s="1" t="s">
        <v>5125</v>
      </c>
      <c r="D9189" s="22" t="str">
        <f>HYPERLINK("https://rhld.insurance.arkansas.gov/NPILookup?Npi=1508077884","1508077884")</f>
        <v>1508077884</v>
      </c>
      <c r="E9189" s="1" t="s">
        <v>5065</v>
      </c>
      <c r="F9189" s="2"/>
      <c r="G9189" s="2"/>
      <c r="H9189" s="2"/>
    </row>
    <row r="9190" spans="1:8" x14ac:dyDescent="0.25">
      <c r="A9190" s="1"/>
      <c r="B9190" s="1" t="s">
        <v>5124</v>
      </c>
      <c r="C9190" s="1" t="s">
        <v>5125</v>
      </c>
      <c r="D9190" s="22" t="str">
        <f>HYPERLINK("https://rhld.insurance.arkansas.gov/NPILookup?Npi=1508177114","1508177114")</f>
        <v>1508177114</v>
      </c>
      <c r="E9190" s="1" t="s">
        <v>19338</v>
      </c>
      <c r="F9190" s="2"/>
      <c r="G9190" s="2"/>
      <c r="H9190" s="2"/>
    </row>
    <row r="9191" spans="1:8" x14ac:dyDescent="0.25">
      <c r="A9191" s="1"/>
      <c r="B9191" s="1" t="s">
        <v>5124</v>
      </c>
      <c r="C9191" s="1" t="s">
        <v>5125</v>
      </c>
      <c r="D9191" s="22" t="str">
        <f>HYPERLINK("https://rhld.insurance.arkansas.gov/NPILookup?Npi=1518950831","1518950831")</f>
        <v>1518950831</v>
      </c>
      <c r="E9191" s="1" t="s">
        <v>5144</v>
      </c>
      <c r="F9191" s="2"/>
      <c r="G9191" s="2"/>
      <c r="H9191" s="2"/>
    </row>
    <row r="9192" spans="1:8" x14ac:dyDescent="0.25">
      <c r="A9192" s="1"/>
      <c r="B9192" s="1" t="s">
        <v>5124</v>
      </c>
      <c r="C9192" s="1" t="s">
        <v>5125</v>
      </c>
      <c r="D9192" s="22" t="str">
        <f>HYPERLINK("https://rhld.insurance.arkansas.gov/NPILookup?Npi=1538375076","1538375076")</f>
        <v>1538375076</v>
      </c>
      <c r="E9192" s="1" t="s">
        <v>5145</v>
      </c>
      <c r="F9192" s="2"/>
      <c r="G9192" s="2"/>
      <c r="H9192" s="2"/>
    </row>
    <row r="9193" spans="1:8" x14ac:dyDescent="0.25">
      <c r="A9193" s="1"/>
      <c r="B9193" s="1" t="s">
        <v>5124</v>
      </c>
      <c r="C9193" s="1" t="s">
        <v>5125</v>
      </c>
      <c r="D9193" s="22" t="str">
        <f>HYPERLINK("https://rhld.insurance.arkansas.gov/NPILookup?Npi=1538589791","1538589791")</f>
        <v>1538589791</v>
      </c>
      <c r="E9193" s="1" t="s">
        <v>19339</v>
      </c>
      <c r="F9193" s="2"/>
      <c r="G9193" s="2"/>
      <c r="H9193" s="2"/>
    </row>
    <row r="9194" spans="1:8" x14ac:dyDescent="0.25">
      <c r="A9194" s="1"/>
      <c r="B9194" s="1" t="s">
        <v>5124</v>
      </c>
      <c r="C9194" s="1" t="s">
        <v>5125</v>
      </c>
      <c r="D9194" s="22" t="str">
        <f>HYPERLINK("https://rhld.insurance.arkansas.gov/NPILookup?Npi=1548689482","1548689482")</f>
        <v>1548689482</v>
      </c>
      <c r="E9194" s="1" t="s">
        <v>10938</v>
      </c>
      <c r="F9194" s="2"/>
      <c r="G9194" s="2"/>
      <c r="H9194" s="2"/>
    </row>
    <row r="9195" spans="1:8" x14ac:dyDescent="0.25">
      <c r="A9195" s="1"/>
      <c r="B9195" s="1" t="s">
        <v>5124</v>
      </c>
      <c r="C9195" s="1" t="s">
        <v>5125</v>
      </c>
      <c r="D9195" s="22" t="str">
        <f>HYPERLINK("https://rhld.insurance.arkansas.gov/NPILookup?Npi=1558328278","1558328278")</f>
        <v>1558328278</v>
      </c>
      <c r="E9195" s="1" t="s">
        <v>3049</v>
      </c>
      <c r="F9195" s="2"/>
      <c r="G9195" s="2"/>
      <c r="H9195" s="2"/>
    </row>
    <row r="9196" spans="1:8" x14ac:dyDescent="0.25">
      <c r="A9196" s="1"/>
      <c r="B9196" s="1" t="s">
        <v>5124</v>
      </c>
      <c r="C9196" s="1" t="s">
        <v>5125</v>
      </c>
      <c r="D9196" s="22" t="str">
        <f>HYPERLINK("https://rhld.insurance.arkansas.gov/NPILookup?Npi=1558505172","1558505172")</f>
        <v>1558505172</v>
      </c>
      <c r="E9196" s="1" t="s">
        <v>5146</v>
      </c>
      <c r="F9196" s="2"/>
      <c r="G9196" s="2"/>
      <c r="H9196" s="2"/>
    </row>
    <row r="9197" spans="1:8" x14ac:dyDescent="0.25">
      <c r="A9197" s="1"/>
      <c r="B9197" s="1" t="s">
        <v>5124</v>
      </c>
      <c r="C9197" s="1" t="s">
        <v>5125</v>
      </c>
      <c r="D9197" s="22" t="str">
        <f>HYPERLINK("https://rhld.insurance.arkansas.gov/NPILookup?Npi=1568648236","1568648236")</f>
        <v>1568648236</v>
      </c>
      <c r="E9197" s="1" t="s">
        <v>5147</v>
      </c>
      <c r="F9197" s="2"/>
      <c r="G9197" s="2"/>
      <c r="H9197" s="2"/>
    </row>
    <row r="9198" spans="1:8" x14ac:dyDescent="0.25">
      <c r="A9198" s="1"/>
      <c r="B9198" s="1" t="s">
        <v>5124</v>
      </c>
      <c r="C9198" s="1" t="s">
        <v>5125</v>
      </c>
      <c r="D9198" s="22" t="str">
        <f>HYPERLINK("https://rhld.insurance.arkansas.gov/NPILookup?Npi=1568669828","1568669828")</f>
        <v>1568669828</v>
      </c>
      <c r="E9198" s="1" t="s">
        <v>10939</v>
      </c>
      <c r="F9198" s="2"/>
      <c r="G9198" s="2"/>
      <c r="H9198" s="2"/>
    </row>
    <row r="9199" spans="1:8" x14ac:dyDescent="0.25">
      <c r="A9199" s="1"/>
      <c r="B9199" s="1" t="s">
        <v>5124</v>
      </c>
      <c r="C9199" s="1" t="s">
        <v>5125</v>
      </c>
      <c r="D9199" s="22" t="str">
        <f>HYPERLINK("https://rhld.insurance.arkansas.gov/NPILookup?Npi=1568720548","1568720548")</f>
        <v>1568720548</v>
      </c>
      <c r="E9199" s="1" t="s">
        <v>19340</v>
      </c>
      <c r="F9199" s="2"/>
      <c r="G9199" s="2"/>
      <c r="H9199" s="2"/>
    </row>
    <row r="9200" spans="1:8" x14ac:dyDescent="0.25">
      <c r="A9200" s="1"/>
      <c r="B9200" s="1" t="s">
        <v>5124</v>
      </c>
      <c r="C9200" s="1" t="s">
        <v>5125</v>
      </c>
      <c r="D9200" s="22" t="str">
        <f>HYPERLINK("https://rhld.insurance.arkansas.gov/NPILookup?Npi=1568773901","1568773901")</f>
        <v>1568773901</v>
      </c>
      <c r="E9200" s="1" t="s">
        <v>5148</v>
      </c>
      <c r="F9200" s="2"/>
      <c r="G9200" s="2"/>
      <c r="H9200" s="2"/>
    </row>
    <row r="9201" spans="1:8" x14ac:dyDescent="0.25">
      <c r="A9201" s="1"/>
      <c r="B9201" s="1" t="s">
        <v>5124</v>
      </c>
      <c r="C9201" s="1" t="s">
        <v>5125</v>
      </c>
      <c r="D9201" s="22" t="str">
        <f>HYPERLINK("https://rhld.insurance.arkansas.gov/NPILookup?Npi=1568994960","1568994960")</f>
        <v>1568994960</v>
      </c>
      <c r="E9201" s="1" t="s">
        <v>19341</v>
      </c>
      <c r="F9201" s="2"/>
      <c r="G9201" s="2"/>
      <c r="H9201" s="2"/>
    </row>
    <row r="9202" spans="1:8" x14ac:dyDescent="0.25">
      <c r="A9202" s="1"/>
      <c r="B9202" s="1" t="s">
        <v>5124</v>
      </c>
      <c r="C9202" s="1" t="s">
        <v>5125</v>
      </c>
      <c r="D9202" s="22" t="str">
        <f>HYPERLINK("https://rhld.insurance.arkansas.gov/NPILookup?Npi=1578510954","1578510954")</f>
        <v>1578510954</v>
      </c>
      <c r="E9202" s="1" t="s">
        <v>19207</v>
      </c>
      <c r="F9202" s="2"/>
      <c r="G9202" s="2"/>
      <c r="H9202" s="2"/>
    </row>
    <row r="9203" spans="1:8" x14ac:dyDescent="0.25">
      <c r="A9203" s="1"/>
      <c r="B9203" s="1" t="s">
        <v>5124</v>
      </c>
      <c r="C9203" s="1" t="s">
        <v>5125</v>
      </c>
      <c r="D9203" s="22" t="str">
        <f>HYPERLINK("https://rhld.insurance.arkansas.gov/NPILookup?Npi=1578983797","1578983797")</f>
        <v>1578983797</v>
      </c>
      <c r="E9203" s="1" t="s">
        <v>10940</v>
      </c>
      <c r="F9203" s="2"/>
      <c r="G9203" s="2"/>
      <c r="H9203" s="2"/>
    </row>
    <row r="9204" spans="1:8" x14ac:dyDescent="0.25">
      <c r="A9204" s="1"/>
      <c r="B9204" s="1" t="s">
        <v>5124</v>
      </c>
      <c r="C9204" s="1" t="s">
        <v>5125</v>
      </c>
      <c r="D9204" s="22" t="str">
        <f>HYPERLINK("https://rhld.insurance.arkansas.gov/NPILookup?Npi=1588051718","1588051718")</f>
        <v>1588051718</v>
      </c>
      <c r="E9204" s="1" t="s">
        <v>5149</v>
      </c>
      <c r="F9204" s="2"/>
      <c r="G9204" s="2"/>
      <c r="H9204" s="2"/>
    </row>
    <row r="9205" spans="1:8" x14ac:dyDescent="0.25">
      <c r="A9205" s="1"/>
      <c r="B9205" s="1" t="s">
        <v>5124</v>
      </c>
      <c r="C9205" s="1" t="s">
        <v>5125</v>
      </c>
      <c r="D9205" s="22" t="str">
        <f>HYPERLINK("https://rhld.insurance.arkansas.gov/NPILookup?Npi=1588654370","1588654370")</f>
        <v>1588654370</v>
      </c>
      <c r="E9205" s="1" t="s">
        <v>31677</v>
      </c>
      <c r="F9205" s="2"/>
      <c r="G9205" s="2"/>
      <c r="H9205" s="2"/>
    </row>
    <row r="9206" spans="1:8" x14ac:dyDescent="0.25">
      <c r="A9206" s="1"/>
      <c r="B9206" s="1" t="s">
        <v>5124</v>
      </c>
      <c r="C9206" s="1" t="s">
        <v>5125</v>
      </c>
      <c r="D9206" s="22" t="str">
        <f>HYPERLINK("https://rhld.insurance.arkansas.gov/NPILookup?Npi=1588665319","1588665319")</f>
        <v>1588665319</v>
      </c>
      <c r="E9206" s="1" t="s">
        <v>19342</v>
      </c>
      <c r="F9206" s="2"/>
      <c r="G9206" s="2"/>
      <c r="H9206" s="2"/>
    </row>
    <row r="9207" spans="1:8" x14ac:dyDescent="0.25">
      <c r="A9207" s="1"/>
      <c r="B9207" s="1" t="s">
        <v>5124</v>
      </c>
      <c r="C9207" s="1" t="s">
        <v>5125</v>
      </c>
      <c r="D9207" s="22" t="str">
        <f>HYPERLINK("https://rhld.insurance.arkansas.gov/NPILookup?Npi=1588984223","1588984223")</f>
        <v>1588984223</v>
      </c>
      <c r="E9207" s="1" t="s">
        <v>10941</v>
      </c>
      <c r="F9207" s="2"/>
      <c r="G9207" s="2"/>
      <c r="H9207" s="2"/>
    </row>
    <row r="9208" spans="1:8" x14ac:dyDescent="0.25">
      <c r="A9208" s="1"/>
      <c r="B9208" s="1" t="s">
        <v>5124</v>
      </c>
      <c r="C9208" s="1" t="s">
        <v>5125</v>
      </c>
      <c r="D9208" s="22" t="str">
        <f>HYPERLINK("https://rhld.insurance.arkansas.gov/NPILookup?Npi=1609856269","1609856269")</f>
        <v>1609856269</v>
      </c>
      <c r="E9208" s="1" t="s">
        <v>10882</v>
      </c>
      <c r="F9208" s="2"/>
      <c r="G9208" s="2"/>
      <c r="H9208" s="2"/>
    </row>
    <row r="9209" spans="1:8" x14ac:dyDescent="0.25">
      <c r="A9209" s="1"/>
      <c r="B9209" s="1" t="s">
        <v>5124</v>
      </c>
      <c r="C9209" s="1" t="s">
        <v>5125</v>
      </c>
      <c r="D9209" s="22" t="str">
        <f>HYPERLINK("https://rhld.insurance.arkansas.gov/NPILookup?Npi=1619079753","1619079753")</f>
        <v>1619079753</v>
      </c>
      <c r="E9209" s="1" t="s">
        <v>10883</v>
      </c>
      <c r="F9209" s="2"/>
      <c r="G9209" s="2"/>
      <c r="H9209" s="2"/>
    </row>
    <row r="9210" spans="1:8" x14ac:dyDescent="0.25">
      <c r="A9210" s="1"/>
      <c r="B9210" s="1" t="s">
        <v>5124</v>
      </c>
      <c r="C9210" s="1" t="s">
        <v>5125</v>
      </c>
      <c r="D9210" s="22" t="str">
        <f>HYPERLINK("https://rhld.insurance.arkansas.gov/NPILookup?Npi=1619187697","1619187697")</f>
        <v>1619187697</v>
      </c>
      <c r="E9210" s="1" t="s">
        <v>5150</v>
      </c>
      <c r="F9210" s="2"/>
      <c r="G9210" s="2"/>
      <c r="H9210" s="2"/>
    </row>
    <row r="9211" spans="1:8" x14ac:dyDescent="0.25">
      <c r="A9211" s="1"/>
      <c r="B9211" s="1" t="s">
        <v>5124</v>
      </c>
      <c r="C9211" s="1" t="s">
        <v>5125</v>
      </c>
      <c r="D9211" s="22" t="str">
        <f>HYPERLINK("https://rhld.insurance.arkansas.gov/NPILookup?Npi=1629287677","1629287677")</f>
        <v>1629287677</v>
      </c>
      <c r="E9211" s="1" t="s">
        <v>10926</v>
      </c>
      <c r="F9211" s="2"/>
      <c r="G9211" s="2"/>
      <c r="H9211" s="2"/>
    </row>
    <row r="9212" spans="1:8" x14ac:dyDescent="0.25">
      <c r="A9212" s="1"/>
      <c r="B9212" s="1" t="s">
        <v>5124</v>
      </c>
      <c r="C9212" s="1" t="s">
        <v>5125</v>
      </c>
      <c r="D9212" s="22" t="str">
        <f>HYPERLINK("https://rhld.insurance.arkansas.gov/NPILookup?Npi=1629298500","1629298500")</f>
        <v>1629298500</v>
      </c>
      <c r="E9212" s="1" t="s">
        <v>5151</v>
      </c>
      <c r="F9212" s="2"/>
      <c r="G9212" s="2"/>
      <c r="H9212" s="2"/>
    </row>
    <row r="9213" spans="1:8" x14ac:dyDescent="0.25">
      <c r="A9213" s="1"/>
      <c r="B9213" s="1" t="s">
        <v>5124</v>
      </c>
      <c r="C9213" s="1" t="s">
        <v>5125</v>
      </c>
      <c r="D9213" s="22" t="str">
        <f>HYPERLINK("https://rhld.insurance.arkansas.gov/NPILookup?Npi=1649295452","1649295452")</f>
        <v>1649295452</v>
      </c>
      <c r="E9213" s="1" t="s">
        <v>5152</v>
      </c>
      <c r="F9213" s="2"/>
      <c r="G9213" s="2"/>
      <c r="H9213" s="2"/>
    </row>
    <row r="9214" spans="1:8" x14ac:dyDescent="0.25">
      <c r="A9214" s="1"/>
      <c r="B9214" s="1" t="s">
        <v>5124</v>
      </c>
      <c r="C9214" s="1" t="s">
        <v>5125</v>
      </c>
      <c r="D9214" s="22" t="str">
        <f>HYPERLINK("https://rhld.insurance.arkansas.gov/NPILookup?Npi=1659325785","1659325785")</f>
        <v>1659325785</v>
      </c>
      <c r="E9214" s="1" t="s">
        <v>5078</v>
      </c>
      <c r="F9214" s="2"/>
      <c r="G9214" s="2"/>
      <c r="H9214" s="2"/>
    </row>
    <row r="9215" spans="1:8" x14ac:dyDescent="0.25">
      <c r="A9215" s="1"/>
      <c r="B9215" s="1" t="s">
        <v>5124</v>
      </c>
      <c r="C9215" s="1" t="s">
        <v>5125</v>
      </c>
      <c r="D9215" s="22" t="str">
        <f>HYPERLINK("https://rhld.insurance.arkansas.gov/NPILookup?Npi=1669429049","1669429049")</f>
        <v>1669429049</v>
      </c>
      <c r="E9215" s="1" t="s">
        <v>4788</v>
      </c>
      <c r="F9215" s="2"/>
      <c r="G9215" s="2"/>
      <c r="H9215" s="2"/>
    </row>
    <row r="9216" spans="1:8" x14ac:dyDescent="0.25">
      <c r="A9216" s="1"/>
      <c r="B9216" s="1" t="s">
        <v>5124</v>
      </c>
      <c r="C9216" s="1" t="s">
        <v>5125</v>
      </c>
      <c r="D9216" s="22" t="str">
        <f>HYPERLINK("https://rhld.insurance.arkansas.gov/NPILookup?Npi=1679598684","1679598684")</f>
        <v>1679598684</v>
      </c>
      <c r="E9216" s="1" t="s">
        <v>10942</v>
      </c>
      <c r="F9216" s="2"/>
      <c r="G9216" s="2"/>
      <c r="H9216" s="2"/>
    </row>
    <row r="9217" spans="1:8" x14ac:dyDescent="0.25">
      <c r="A9217" s="1"/>
      <c r="B9217" s="1" t="s">
        <v>5124</v>
      </c>
      <c r="C9217" s="1" t="s">
        <v>5125</v>
      </c>
      <c r="D9217" s="22" t="str">
        <f>HYPERLINK("https://rhld.insurance.arkansas.gov/NPILookup?Npi=1679693931","1679693931")</f>
        <v>1679693931</v>
      </c>
      <c r="E9217" s="1" t="s">
        <v>19343</v>
      </c>
      <c r="F9217" s="2"/>
      <c r="G9217" s="2"/>
      <c r="H9217" s="2"/>
    </row>
    <row r="9218" spans="1:8" x14ac:dyDescent="0.25">
      <c r="A9218" s="1"/>
      <c r="B9218" s="1" t="s">
        <v>5124</v>
      </c>
      <c r="C9218" s="1" t="s">
        <v>5125</v>
      </c>
      <c r="D9218" s="22" t="str">
        <f>HYPERLINK("https://rhld.insurance.arkansas.gov/NPILookup?Npi=1689822314","1689822314")</f>
        <v>1689822314</v>
      </c>
      <c r="E9218" s="1" t="s">
        <v>5153</v>
      </c>
      <c r="F9218" s="2"/>
      <c r="G9218" s="2"/>
      <c r="H9218" s="2"/>
    </row>
    <row r="9219" spans="1:8" x14ac:dyDescent="0.25">
      <c r="A9219" s="1"/>
      <c r="B9219" s="1" t="s">
        <v>5124</v>
      </c>
      <c r="C9219" s="1" t="s">
        <v>5125</v>
      </c>
      <c r="D9219" s="22" t="str">
        <f>HYPERLINK("https://rhld.insurance.arkansas.gov/NPILookup?Npi=1699719963","1699719963")</f>
        <v>1699719963</v>
      </c>
      <c r="E9219" s="1" t="s">
        <v>19229</v>
      </c>
      <c r="F9219" s="2"/>
      <c r="G9219" s="2"/>
      <c r="H9219" s="2"/>
    </row>
    <row r="9220" spans="1:8" x14ac:dyDescent="0.25">
      <c r="A9220" s="1"/>
      <c r="B9220" s="1" t="s">
        <v>5124</v>
      </c>
      <c r="C9220" s="1" t="s">
        <v>5125</v>
      </c>
      <c r="D9220" s="22" t="str">
        <f>HYPERLINK("https://rhld.insurance.arkansas.gov/NPILookup?Npi=1700028180","1700028180")</f>
        <v>1700028180</v>
      </c>
      <c r="E9220" s="1" t="s">
        <v>5154</v>
      </c>
      <c r="F9220" s="2"/>
      <c r="G9220" s="2"/>
      <c r="H9220" s="2"/>
    </row>
    <row r="9221" spans="1:8" x14ac:dyDescent="0.25">
      <c r="A9221" s="1"/>
      <c r="B9221" s="1" t="s">
        <v>5124</v>
      </c>
      <c r="C9221" s="1" t="s">
        <v>5125</v>
      </c>
      <c r="D9221" s="22" t="str">
        <f>HYPERLINK("https://rhld.insurance.arkansas.gov/NPILookup?Npi=1720078827","1720078827")</f>
        <v>1720078827</v>
      </c>
      <c r="E9221" s="1" t="s">
        <v>19344</v>
      </c>
      <c r="F9221" s="2"/>
      <c r="G9221" s="2"/>
      <c r="H9221" s="2"/>
    </row>
    <row r="9222" spans="1:8" x14ac:dyDescent="0.25">
      <c r="A9222" s="1"/>
      <c r="B9222" s="1" t="s">
        <v>5124</v>
      </c>
      <c r="C9222" s="1" t="s">
        <v>5125</v>
      </c>
      <c r="D9222" s="22" t="str">
        <f>HYPERLINK("https://rhld.insurance.arkansas.gov/NPILookup?Npi=1730347899","1730347899")</f>
        <v>1730347899</v>
      </c>
      <c r="E9222" s="1" t="s">
        <v>19345</v>
      </c>
      <c r="F9222" s="2"/>
      <c r="G9222" s="2"/>
      <c r="H9222" s="2"/>
    </row>
    <row r="9223" spans="1:8" x14ac:dyDescent="0.25">
      <c r="A9223" s="1"/>
      <c r="B9223" s="1" t="s">
        <v>5124</v>
      </c>
      <c r="C9223" s="1" t="s">
        <v>5125</v>
      </c>
      <c r="D9223" s="22" t="str">
        <f>HYPERLINK("https://rhld.insurance.arkansas.gov/NPILookup?Npi=1730625450","1730625450")</f>
        <v>1730625450</v>
      </c>
      <c r="E9223" s="1" t="s">
        <v>19346</v>
      </c>
      <c r="F9223" s="2"/>
      <c r="G9223" s="2"/>
      <c r="H9223" s="2"/>
    </row>
    <row r="9224" spans="1:8" x14ac:dyDescent="0.25">
      <c r="A9224" s="1"/>
      <c r="B9224" s="1" t="s">
        <v>5124</v>
      </c>
      <c r="C9224" s="1" t="s">
        <v>5125</v>
      </c>
      <c r="D9224" s="22" t="str">
        <f>HYPERLINK("https://rhld.insurance.arkansas.gov/NPILookup?Npi=1740240951","1740240951")</f>
        <v>1740240951</v>
      </c>
      <c r="E9224" s="1" t="s">
        <v>5155</v>
      </c>
      <c r="F9224" s="2"/>
      <c r="G9224" s="2"/>
      <c r="H9224" s="2"/>
    </row>
    <row r="9225" spans="1:8" x14ac:dyDescent="0.25">
      <c r="A9225" s="1"/>
      <c r="B9225" s="1" t="s">
        <v>5124</v>
      </c>
      <c r="C9225" s="1" t="s">
        <v>5125</v>
      </c>
      <c r="D9225" s="22" t="str">
        <f>HYPERLINK("https://rhld.insurance.arkansas.gov/NPILookup?Npi=1740418821","1740418821")</f>
        <v>1740418821</v>
      </c>
      <c r="E9225" s="1" t="s">
        <v>10898</v>
      </c>
      <c r="F9225" s="2"/>
      <c r="G9225" s="2"/>
      <c r="H9225" s="2"/>
    </row>
    <row r="9226" spans="1:8" x14ac:dyDescent="0.25">
      <c r="A9226" s="1"/>
      <c r="B9226" s="1" t="s">
        <v>5124</v>
      </c>
      <c r="C9226" s="1" t="s">
        <v>5125</v>
      </c>
      <c r="D9226" s="22" t="str">
        <f>HYPERLINK("https://rhld.insurance.arkansas.gov/NPILookup?Npi=1740619162","1740619162")</f>
        <v>1740619162</v>
      </c>
      <c r="E9226" s="1" t="s">
        <v>10671</v>
      </c>
      <c r="F9226" s="2"/>
      <c r="G9226" s="2"/>
      <c r="H9226" s="2"/>
    </row>
    <row r="9227" spans="1:8" x14ac:dyDescent="0.25">
      <c r="A9227" s="1"/>
      <c r="B9227" s="1" t="s">
        <v>5124</v>
      </c>
      <c r="C9227" s="1" t="s">
        <v>5125</v>
      </c>
      <c r="D9227" s="22" t="str">
        <f>HYPERLINK("https://rhld.insurance.arkansas.gov/NPILookup?Npi=1760412100","1760412100")</f>
        <v>1760412100</v>
      </c>
      <c r="E9227" s="1" t="s">
        <v>5090</v>
      </c>
      <c r="F9227" s="2"/>
      <c r="G9227" s="2"/>
      <c r="H9227" s="2"/>
    </row>
    <row r="9228" spans="1:8" x14ac:dyDescent="0.25">
      <c r="A9228" s="1"/>
      <c r="B9228" s="1" t="s">
        <v>5124</v>
      </c>
      <c r="C9228" s="1" t="s">
        <v>5125</v>
      </c>
      <c r="D9228" s="22" t="str">
        <f>HYPERLINK("https://rhld.insurance.arkansas.gov/NPILookup?Npi=1760445241","1760445241")</f>
        <v>1760445241</v>
      </c>
      <c r="E9228" s="1" t="s">
        <v>19347</v>
      </c>
      <c r="F9228" s="2"/>
      <c r="G9228" s="2"/>
      <c r="H9228" s="2"/>
    </row>
    <row r="9229" spans="1:8" x14ac:dyDescent="0.25">
      <c r="A9229" s="1"/>
      <c r="B9229" s="1" t="s">
        <v>5124</v>
      </c>
      <c r="C9229" s="1" t="s">
        <v>5125</v>
      </c>
      <c r="D9229" s="22" t="str">
        <f>HYPERLINK("https://rhld.insurance.arkansas.gov/NPILookup?Npi=1760472757","1760472757")</f>
        <v>1760472757</v>
      </c>
      <c r="E9229" s="1" t="s">
        <v>5156</v>
      </c>
      <c r="F9229" s="2"/>
      <c r="G9229" s="2"/>
      <c r="H9229" s="2"/>
    </row>
    <row r="9230" spans="1:8" x14ac:dyDescent="0.25">
      <c r="A9230" s="1"/>
      <c r="B9230" s="1" t="s">
        <v>5124</v>
      </c>
      <c r="C9230" s="1" t="s">
        <v>5125</v>
      </c>
      <c r="D9230" s="22" t="str">
        <f>HYPERLINK("https://rhld.insurance.arkansas.gov/NPILookup?Npi=1770171209","1770171209")</f>
        <v>1770171209</v>
      </c>
      <c r="E9230" s="1" t="s">
        <v>10943</v>
      </c>
      <c r="F9230" s="2"/>
      <c r="G9230" s="2"/>
      <c r="H9230" s="2"/>
    </row>
    <row r="9231" spans="1:8" x14ac:dyDescent="0.25">
      <c r="A9231" s="1"/>
      <c r="B9231" s="1" t="s">
        <v>5124</v>
      </c>
      <c r="C9231" s="1" t="s">
        <v>5125</v>
      </c>
      <c r="D9231" s="22" t="str">
        <f>HYPERLINK("https://rhld.insurance.arkansas.gov/NPILookup?Npi=1770740516","1770740516")</f>
        <v>1770740516</v>
      </c>
      <c r="E9231" s="1" t="s">
        <v>5157</v>
      </c>
      <c r="F9231" s="2"/>
      <c r="G9231" s="2"/>
      <c r="H9231" s="2"/>
    </row>
    <row r="9232" spans="1:8" x14ac:dyDescent="0.25">
      <c r="A9232" s="1"/>
      <c r="B9232" s="1" t="s">
        <v>5124</v>
      </c>
      <c r="C9232" s="1" t="s">
        <v>5125</v>
      </c>
      <c r="D9232" s="22" t="str">
        <f>HYPERLINK("https://rhld.insurance.arkansas.gov/NPILookup?Npi=1780641563","1780641563")</f>
        <v>1780641563</v>
      </c>
      <c r="E9232" s="1" t="s">
        <v>10944</v>
      </c>
      <c r="F9232" s="2"/>
      <c r="G9232" s="2"/>
      <c r="H9232" s="2"/>
    </row>
    <row r="9233" spans="1:8" x14ac:dyDescent="0.25">
      <c r="A9233" s="1"/>
      <c r="B9233" s="1" t="s">
        <v>5124</v>
      </c>
      <c r="C9233" s="1" t="s">
        <v>5125</v>
      </c>
      <c r="D9233" s="22" t="str">
        <f>HYPERLINK("https://rhld.insurance.arkansas.gov/NPILookup?Npi=1780886192","1780886192")</f>
        <v>1780886192</v>
      </c>
      <c r="E9233" s="1" t="s">
        <v>19348</v>
      </c>
      <c r="F9233" s="2"/>
      <c r="G9233" s="2"/>
      <c r="H9233" s="2"/>
    </row>
    <row r="9234" spans="1:8" x14ac:dyDescent="0.25">
      <c r="A9234" s="1"/>
      <c r="B9234" s="1" t="s">
        <v>5124</v>
      </c>
      <c r="C9234" s="1" t="s">
        <v>5125</v>
      </c>
      <c r="D9234" s="22" t="str">
        <f>HYPERLINK("https://rhld.insurance.arkansas.gov/NPILookup?Npi=1801108139","1801108139")</f>
        <v>1801108139</v>
      </c>
      <c r="E9234" s="1" t="s">
        <v>19349</v>
      </c>
      <c r="F9234" s="2"/>
      <c r="G9234" s="2"/>
      <c r="H9234" s="2"/>
    </row>
    <row r="9235" spans="1:8" x14ac:dyDescent="0.25">
      <c r="A9235" s="1"/>
      <c r="B9235" s="1" t="s">
        <v>5124</v>
      </c>
      <c r="C9235" s="1" t="s">
        <v>5125</v>
      </c>
      <c r="D9235" s="22" t="str">
        <f>HYPERLINK("https://rhld.insurance.arkansas.gov/NPILookup?Npi=1801993167","1801993167")</f>
        <v>1801993167</v>
      </c>
      <c r="E9235" s="1" t="s">
        <v>19350</v>
      </c>
      <c r="F9235" s="2"/>
      <c r="G9235" s="2"/>
      <c r="H9235" s="2"/>
    </row>
    <row r="9236" spans="1:8" x14ac:dyDescent="0.25">
      <c r="A9236" s="1"/>
      <c r="B9236" s="1" t="s">
        <v>5124</v>
      </c>
      <c r="C9236" s="1" t="s">
        <v>5125</v>
      </c>
      <c r="D9236" s="22" t="str">
        <f>HYPERLINK("https://rhld.insurance.arkansas.gov/NPILookup?Npi=1811919160","1811919160")</f>
        <v>1811919160</v>
      </c>
      <c r="E9236" s="1" t="s">
        <v>19351</v>
      </c>
      <c r="F9236" s="2"/>
      <c r="G9236" s="2"/>
      <c r="H9236" s="2"/>
    </row>
    <row r="9237" spans="1:8" x14ac:dyDescent="0.25">
      <c r="A9237" s="1"/>
      <c r="B9237" s="1" t="s">
        <v>5124</v>
      </c>
      <c r="C9237" s="1" t="s">
        <v>5125</v>
      </c>
      <c r="D9237" s="22" t="str">
        <f>HYPERLINK("https://rhld.insurance.arkansas.gov/NPILookup?Npi=1831154004","1831154004")</f>
        <v>1831154004</v>
      </c>
      <c r="E9237" s="1" t="s">
        <v>19261</v>
      </c>
      <c r="F9237" s="2"/>
      <c r="G9237" s="2"/>
      <c r="H9237" s="2"/>
    </row>
    <row r="9238" spans="1:8" x14ac:dyDescent="0.25">
      <c r="A9238" s="1"/>
      <c r="B9238" s="1" t="s">
        <v>5124</v>
      </c>
      <c r="C9238" s="1" t="s">
        <v>5125</v>
      </c>
      <c r="D9238" s="22" t="str">
        <f>HYPERLINK("https://rhld.insurance.arkansas.gov/NPILookup?Npi=1831400621","1831400621")</f>
        <v>1831400621</v>
      </c>
      <c r="E9238" s="1" t="s">
        <v>18582</v>
      </c>
      <c r="F9238" s="2"/>
      <c r="G9238" s="2"/>
      <c r="H9238" s="2"/>
    </row>
    <row r="9239" spans="1:8" x14ac:dyDescent="0.25">
      <c r="A9239" s="1"/>
      <c r="B9239" s="1" t="s">
        <v>5124</v>
      </c>
      <c r="C9239" s="1" t="s">
        <v>5125</v>
      </c>
      <c r="D9239" s="22" t="str">
        <f>HYPERLINK("https://rhld.insurance.arkansas.gov/NPILookup?Npi=1841459963","1841459963")</f>
        <v>1841459963</v>
      </c>
      <c r="E9239" s="1" t="s">
        <v>19352</v>
      </c>
      <c r="F9239" s="2"/>
      <c r="G9239" s="2"/>
      <c r="H9239" s="2"/>
    </row>
    <row r="9240" spans="1:8" x14ac:dyDescent="0.25">
      <c r="A9240" s="1"/>
      <c r="B9240" s="1" t="s">
        <v>5124</v>
      </c>
      <c r="C9240" s="1" t="s">
        <v>5125</v>
      </c>
      <c r="D9240" s="22" t="str">
        <f>HYPERLINK("https://rhld.insurance.arkansas.gov/NPILookup?Npi=1841491925","1841491925")</f>
        <v>1841491925</v>
      </c>
      <c r="E9240" s="1" t="s">
        <v>5109</v>
      </c>
      <c r="F9240" s="2"/>
      <c r="G9240" s="2"/>
      <c r="H9240" s="2"/>
    </row>
    <row r="9241" spans="1:8" x14ac:dyDescent="0.25">
      <c r="A9241" s="1"/>
      <c r="B9241" s="1" t="s">
        <v>5124</v>
      </c>
      <c r="C9241" s="1" t="s">
        <v>5125</v>
      </c>
      <c r="D9241" s="22" t="str">
        <f>HYPERLINK("https://rhld.insurance.arkansas.gov/NPILookup?Npi=1861451874","1861451874")</f>
        <v>1861451874</v>
      </c>
      <c r="E9241" s="1" t="s">
        <v>19353</v>
      </c>
      <c r="F9241" s="2"/>
      <c r="G9241" s="2"/>
      <c r="H9241" s="2"/>
    </row>
    <row r="9242" spans="1:8" x14ac:dyDescent="0.25">
      <c r="A9242" s="1"/>
      <c r="B9242" s="1" t="s">
        <v>5124</v>
      </c>
      <c r="C9242" s="1" t="s">
        <v>5125</v>
      </c>
      <c r="D9242" s="22" t="str">
        <f>HYPERLINK("https://rhld.insurance.arkansas.gov/NPILookup?Npi=1861464893","1861464893")</f>
        <v>1861464893</v>
      </c>
      <c r="E9242" s="1" t="s">
        <v>31678</v>
      </c>
      <c r="F9242" s="2"/>
      <c r="G9242" s="2"/>
      <c r="H9242" s="2"/>
    </row>
    <row r="9243" spans="1:8" x14ac:dyDescent="0.25">
      <c r="A9243" s="1"/>
      <c r="B9243" s="1" t="s">
        <v>5124</v>
      </c>
      <c r="C9243" s="1" t="s">
        <v>5125</v>
      </c>
      <c r="D9243" s="22" t="str">
        <f>HYPERLINK("https://rhld.insurance.arkansas.gov/NPILookup?Npi=1861582348","1861582348")</f>
        <v>1861582348</v>
      </c>
      <c r="E9243" s="1" t="s">
        <v>10945</v>
      </c>
      <c r="F9243" s="2"/>
      <c r="G9243" s="2"/>
      <c r="H9243" s="2"/>
    </row>
    <row r="9244" spans="1:8" x14ac:dyDescent="0.25">
      <c r="A9244" s="1"/>
      <c r="B9244" s="1" t="s">
        <v>5124</v>
      </c>
      <c r="C9244" s="1" t="s">
        <v>5125</v>
      </c>
      <c r="D9244" s="22" t="str">
        <f>HYPERLINK("https://rhld.insurance.arkansas.gov/NPILookup?Npi=1871561167","1871561167")</f>
        <v>1871561167</v>
      </c>
      <c r="E9244" s="1" t="s">
        <v>5138</v>
      </c>
      <c r="F9244" s="2"/>
      <c r="G9244" s="2"/>
      <c r="H9244" s="2"/>
    </row>
    <row r="9245" spans="1:8" x14ac:dyDescent="0.25">
      <c r="A9245" s="1"/>
      <c r="B9245" s="1" t="s">
        <v>5124</v>
      </c>
      <c r="C9245" s="1" t="s">
        <v>5125</v>
      </c>
      <c r="D9245" s="22" t="str">
        <f>HYPERLINK("https://rhld.insurance.arkansas.gov/NPILookup?Npi=1871583054","1871583054")</f>
        <v>1871583054</v>
      </c>
      <c r="E9245" s="1" t="s">
        <v>31679</v>
      </c>
      <c r="F9245" s="2"/>
      <c r="G9245" s="2"/>
      <c r="H9245" s="2"/>
    </row>
    <row r="9246" spans="1:8" x14ac:dyDescent="0.25">
      <c r="A9246" s="1"/>
      <c r="B9246" s="1" t="s">
        <v>5124</v>
      </c>
      <c r="C9246" s="1" t="s">
        <v>5125</v>
      </c>
      <c r="D9246" s="22" t="str">
        <f>HYPERLINK("https://rhld.insurance.arkansas.gov/NPILookup?Npi=1871747469","1871747469")</f>
        <v>1871747469</v>
      </c>
      <c r="E9246" s="1" t="s">
        <v>19354</v>
      </c>
      <c r="F9246" s="2"/>
      <c r="G9246" s="2"/>
      <c r="H9246" s="2"/>
    </row>
    <row r="9247" spans="1:8" x14ac:dyDescent="0.25">
      <c r="A9247" s="1"/>
      <c r="B9247" s="1" t="s">
        <v>5124</v>
      </c>
      <c r="C9247" s="1" t="s">
        <v>5125</v>
      </c>
      <c r="D9247" s="22" t="str">
        <f>HYPERLINK("https://rhld.insurance.arkansas.gov/NPILookup?Npi=1871764258","1871764258")</f>
        <v>1871764258</v>
      </c>
      <c r="E9247" s="1" t="s">
        <v>19355</v>
      </c>
      <c r="F9247" s="2"/>
      <c r="G9247" s="2"/>
      <c r="H9247" s="2"/>
    </row>
    <row r="9248" spans="1:8" x14ac:dyDescent="0.25">
      <c r="A9248" s="1"/>
      <c r="B9248" s="1" t="s">
        <v>5124</v>
      </c>
      <c r="C9248" s="1" t="s">
        <v>5125</v>
      </c>
      <c r="D9248" s="22" t="str">
        <f>HYPERLINK("https://rhld.insurance.arkansas.gov/NPILookup?Npi=1881094357","1881094357")</f>
        <v>1881094357</v>
      </c>
      <c r="E9248" s="1" t="s">
        <v>5158</v>
      </c>
      <c r="F9248" s="2"/>
      <c r="G9248" s="2"/>
      <c r="H9248" s="2"/>
    </row>
    <row r="9249" spans="1:8" x14ac:dyDescent="0.25">
      <c r="A9249" s="1"/>
      <c r="B9249" s="1" t="s">
        <v>5124</v>
      </c>
      <c r="C9249" s="1" t="s">
        <v>5125</v>
      </c>
      <c r="D9249" s="22" t="str">
        <f>HYPERLINK("https://rhld.insurance.arkansas.gov/NPILookup?Npi=1881853158","1881853158")</f>
        <v>1881853158</v>
      </c>
      <c r="E9249" s="1" t="s">
        <v>19356</v>
      </c>
      <c r="F9249" s="2"/>
      <c r="G9249" s="2"/>
      <c r="H9249" s="2"/>
    </row>
    <row r="9250" spans="1:8" x14ac:dyDescent="0.25">
      <c r="A9250" s="1"/>
      <c r="B9250" s="1" t="s">
        <v>5124</v>
      </c>
      <c r="C9250" s="1" t="s">
        <v>5125</v>
      </c>
      <c r="D9250" s="22" t="str">
        <f>HYPERLINK("https://rhld.insurance.arkansas.gov/NPILookup?Npi=1891037370","1891037370")</f>
        <v>1891037370</v>
      </c>
      <c r="E9250" s="1" t="s">
        <v>10946</v>
      </c>
      <c r="F9250" s="2"/>
      <c r="G9250" s="2"/>
      <c r="H9250" s="2"/>
    </row>
    <row r="9251" spans="1:8" x14ac:dyDescent="0.25">
      <c r="A9251" s="1"/>
      <c r="B9251" s="1" t="s">
        <v>5124</v>
      </c>
      <c r="C9251" s="1" t="s">
        <v>5125</v>
      </c>
      <c r="D9251" s="22" t="str">
        <f>HYPERLINK("https://rhld.insurance.arkansas.gov/NPILookup?Npi=1902000698","1902000698")</f>
        <v>1902000698</v>
      </c>
      <c r="E9251" s="1" t="s">
        <v>19357</v>
      </c>
      <c r="F9251" s="2"/>
      <c r="G9251" s="2"/>
      <c r="H9251" s="2"/>
    </row>
    <row r="9252" spans="1:8" x14ac:dyDescent="0.25">
      <c r="A9252" s="1"/>
      <c r="B9252" s="1" t="s">
        <v>5124</v>
      </c>
      <c r="C9252" s="1" t="s">
        <v>5125</v>
      </c>
      <c r="D9252" s="22" t="str">
        <f>HYPERLINK("https://rhld.insurance.arkansas.gov/NPILookup?Npi=1912050980","1912050980")</f>
        <v>1912050980</v>
      </c>
      <c r="E9252" s="1" t="s">
        <v>10947</v>
      </c>
      <c r="F9252" s="2"/>
      <c r="G9252" s="2"/>
      <c r="H9252" s="2"/>
    </row>
    <row r="9253" spans="1:8" x14ac:dyDescent="0.25">
      <c r="A9253" s="1"/>
      <c r="B9253" s="1" t="s">
        <v>5124</v>
      </c>
      <c r="C9253" s="1" t="s">
        <v>5125</v>
      </c>
      <c r="D9253" s="22" t="str">
        <f>HYPERLINK("https://rhld.insurance.arkansas.gov/NPILookup?Npi=1912997990","1912997990")</f>
        <v>1912997990</v>
      </c>
      <c r="E9253" s="1" t="s">
        <v>19358</v>
      </c>
      <c r="F9253" s="2"/>
      <c r="G9253" s="2"/>
      <c r="H9253" s="2"/>
    </row>
    <row r="9254" spans="1:8" x14ac:dyDescent="0.25">
      <c r="A9254" s="1"/>
      <c r="B9254" s="1" t="s">
        <v>5124</v>
      </c>
      <c r="C9254" s="1" t="s">
        <v>5125</v>
      </c>
      <c r="D9254" s="22" t="str">
        <f>HYPERLINK("https://rhld.insurance.arkansas.gov/NPILookup?Npi=1922311315","1922311315")</f>
        <v>1922311315</v>
      </c>
      <c r="E9254" s="1" t="s">
        <v>4814</v>
      </c>
      <c r="F9254" s="2"/>
      <c r="G9254" s="2"/>
      <c r="H9254" s="2"/>
    </row>
    <row r="9255" spans="1:8" x14ac:dyDescent="0.25">
      <c r="A9255" s="1"/>
      <c r="B9255" s="1" t="s">
        <v>5124</v>
      </c>
      <c r="C9255" s="1" t="s">
        <v>5125</v>
      </c>
      <c r="D9255" s="22" t="str">
        <f>HYPERLINK("https://rhld.insurance.arkansas.gov/NPILookup?Npi=1942290739","1942290739")</f>
        <v>1942290739</v>
      </c>
      <c r="E9255" s="1" t="s">
        <v>19293</v>
      </c>
      <c r="F9255" s="2"/>
      <c r="G9255" s="2"/>
      <c r="H9255" s="2"/>
    </row>
    <row r="9256" spans="1:8" x14ac:dyDescent="0.25">
      <c r="A9256" s="1"/>
      <c r="B9256" s="1" t="s">
        <v>5124</v>
      </c>
      <c r="C9256" s="1" t="s">
        <v>5125</v>
      </c>
      <c r="D9256" s="22" t="str">
        <f>HYPERLINK("https://rhld.insurance.arkansas.gov/NPILookup?Npi=1942435375","1942435375")</f>
        <v>1942435375</v>
      </c>
      <c r="E9256" s="1" t="s">
        <v>19359</v>
      </c>
      <c r="F9256" s="2"/>
      <c r="G9256" s="2"/>
      <c r="H9256" s="2"/>
    </row>
    <row r="9257" spans="1:8" x14ac:dyDescent="0.25">
      <c r="A9257" s="1"/>
      <c r="B9257" s="1" t="s">
        <v>5124</v>
      </c>
      <c r="C9257" s="1" t="s">
        <v>5125</v>
      </c>
      <c r="D9257" s="22" t="str">
        <f>HYPERLINK("https://rhld.insurance.arkansas.gov/NPILookup?Npi=1942654140","1942654140")</f>
        <v>1942654140</v>
      </c>
      <c r="E9257" s="1" t="s">
        <v>5159</v>
      </c>
      <c r="F9257" s="2"/>
      <c r="G9257" s="2"/>
      <c r="H9257" s="2"/>
    </row>
    <row r="9258" spans="1:8" x14ac:dyDescent="0.25">
      <c r="A9258" s="1"/>
      <c r="B9258" s="1" t="s">
        <v>5124</v>
      </c>
      <c r="C9258" s="1" t="s">
        <v>5125</v>
      </c>
      <c r="D9258" s="22" t="str">
        <f>HYPERLINK("https://rhld.insurance.arkansas.gov/NPILookup?Npi=1952613960","1952613960")</f>
        <v>1952613960</v>
      </c>
      <c r="E9258" s="1" t="s">
        <v>19296</v>
      </c>
      <c r="F9258" s="2"/>
      <c r="G9258" s="2"/>
      <c r="H9258" s="2"/>
    </row>
    <row r="9259" spans="1:8" x14ac:dyDescent="0.25">
      <c r="A9259" s="1"/>
      <c r="B9259" s="1" t="s">
        <v>5124</v>
      </c>
      <c r="C9259" s="1" t="s">
        <v>5125</v>
      </c>
      <c r="D9259" s="22" t="str">
        <f>HYPERLINK("https://rhld.insurance.arkansas.gov/NPILookup?Npi=1952768384","1952768384")</f>
        <v>1952768384</v>
      </c>
      <c r="E9259" s="1" t="s">
        <v>19360</v>
      </c>
      <c r="F9259" s="2"/>
      <c r="G9259" s="2"/>
      <c r="H9259" s="2"/>
    </row>
    <row r="9260" spans="1:8" x14ac:dyDescent="0.25">
      <c r="A9260" s="1"/>
      <c r="B9260" s="1" t="s">
        <v>5124</v>
      </c>
      <c r="C9260" s="1" t="s">
        <v>5125</v>
      </c>
      <c r="D9260" s="22" t="str">
        <f>HYPERLINK("https://rhld.insurance.arkansas.gov/NPILookup?Npi=1962848010","1962848010")</f>
        <v>1962848010</v>
      </c>
      <c r="E9260" s="1" t="s">
        <v>19298</v>
      </c>
      <c r="F9260" s="2"/>
      <c r="G9260" s="2"/>
      <c r="H9260" s="2"/>
    </row>
    <row r="9261" spans="1:8" x14ac:dyDescent="0.25">
      <c r="A9261" s="1"/>
      <c r="B9261" s="1" t="s">
        <v>5124</v>
      </c>
      <c r="C9261" s="1" t="s">
        <v>5125</v>
      </c>
      <c r="D9261" s="22" t="str">
        <f>HYPERLINK("https://rhld.insurance.arkansas.gov/NPILookup?Npi=1972537132","1972537132")</f>
        <v>1972537132</v>
      </c>
      <c r="E9261" s="1" t="s">
        <v>5160</v>
      </c>
      <c r="F9261" s="2"/>
      <c r="G9261" s="2"/>
      <c r="H9261" s="2"/>
    </row>
    <row r="9262" spans="1:8" x14ac:dyDescent="0.25">
      <c r="A9262" s="1"/>
      <c r="B9262" s="1" t="s">
        <v>5124</v>
      </c>
      <c r="C9262" s="1" t="s">
        <v>5125</v>
      </c>
      <c r="D9262" s="22" t="str">
        <f>HYPERLINK("https://rhld.insurance.arkansas.gov/NPILookup?Npi=1972657252","1972657252")</f>
        <v>1972657252</v>
      </c>
      <c r="E9262" s="1" t="s">
        <v>19361</v>
      </c>
      <c r="F9262" s="2"/>
      <c r="G9262" s="2"/>
      <c r="H9262" s="2"/>
    </row>
    <row r="9263" spans="1:8" x14ac:dyDescent="0.25">
      <c r="A9263" s="1"/>
      <c r="B9263" s="1" t="s">
        <v>5124</v>
      </c>
      <c r="C9263" s="1" t="s">
        <v>5125</v>
      </c>
      <c r="D9263" s="22" t="str">
        <f>HYPERLINK("https://rhld.insurance.arkansas.gov/NPILookup?Npi=1982693313","1982693313")</f>
        <v>1982693313</v>
      </c>
      <c r="E9263" s="1" t="s">
        <v>19305</v>
      </c>
      <c r="F9263" s="2"/>
      <c r="G9263" s="2"/>
      <c r="H9263" s="2"/>
    </row>
    <row r="9264" spans="1:8" x14ac:dyDescent="0.25">
      <c r="A9264" s="1"/>
      <c r="B9264" s="1" t="s">
        <v>5124</v>
      </c>
      <c r="C9264" s="1" t="s">
        <v>5125</v>
      </c>
      <c r="D9264" s="22" t="str">
        <f>HYPERLINK("https://rhld.insurance.arkansas.gov/NPILookup?Npi=1992721880","1992721880")</f>
        <v>1992721880</v>
      </c>
      <c r="E9264" s="1" t="s">
        <v>19308</v>
      </c>
      <c r="F9264" s="2"/>
      <c r="G9264" s="2"/>
      <c r="H9264" s="2"/>
    </row>
    <row r="9265" spans="1:8" x14ac:dyDescent="0.25">
      <c r="A9265" s="1"/>
      <c r="B9265" s="1" t="s">
        <v>5161</v>
      </c>
      <c r="C9265" s="1" t="s">
        <v>5162</v>
      </c>
      <c r="D9265" s="22" t="str">
        <f>HYPERLINK("https://rhld.insurance.arkansas.gov/NPILookup?Npi=1003069147","1003069147")</f>
        <v>1003069147</v>
      </c>
      <c r="E9265" s="1" t="s">
        <v>19362</v>
      </c>
      <c r="F9265" s="2"/>
      <c r="G9265" s="2"/>
      <c r="H9265" s="2"/>
    </row>
    <row r="9266" spans="1:8" x14ac:dyDescent="0.25">
      <c r="A9266" s="1"/>
      <c r="B9266" s="1" t="s">
        <v>5161</v>
      </c>
      <c r="C9266" s="1" t="s">
        <v>5162</v>
      </c>
      <c r="D9266" s="22" t="str">
        <f>HYPERLINK("https://rhld.insurance.arkansas.gov/NPILookup?Npi=1003152679","1003152679")</f>
        <v>1003152679</v>
      </c>
      <c r="E9266" s="1" t="s">
        <v>10948</v>
      </c>
      <c r="F9266" s="2"/>
      <c r="G9266" s="2"/>
      <c r="H9266" s="2"/>
    </row>
    <row r="9267" spans="1:8" x14ac:dyDescent="0.25">
      <c r="A9267" s="1"/>
      <c r="B9267" s="1" t="s">
        <v>5161</v>
      </c>
      <c r="C9267" s="1" t="s">
        <v>5162</v>
      </c>
      <c r="D9267" s="22" t="str">
        <f>HYPERLINK("https://rhld.insurance.arkansas.gov/NPILookup?Npi=1003275173","1003275173")</f>
        <v>1003275173</v>
      </c>
      <c r="E9267" s="1" t="s">
        <v>5163</v>
      </c>
      <c r="F9267" s="2"/>
      <c r="G9267" s="2"/>
      <c r="H9267" s="2"/>
    </row>
    <row r="9268" spans="1:8" x14ac:dyDescent="0.25">
      <c r="A9268" s="1"/>
      <c r="B9268" s="1" t="s">
        <v>5161</v>
      </c>
      <c r="C9268" s="1" t="s">
        <v>5162</v>
      </c>
      <c r="D9268" s="22" t="str">
        <f>HYPERLINK("https://rhld.insurance.arkansas.gov/NPILookup?Npi=1003341900","1003341900")</f>
        <v>1003341900</v>
      </c>
      <c r="E9268" s="1" t="s">
        <v>19363</v>
      </c>
      <c r="F9268" s="2"/>
      <c r="G9268" s="2"/>
      <c r="H9268" s="2"/>
    </row>
    <row r="9269" spans="1:8" x14ac:dyDescent="0.25">
      <c r="A9269" s="1"/>
      <c r="B9269" s="1" t="s">
        <v>5161</v>
      </c>
      <c r="C9269" s="1" t="s">
        <v>5162</v>
      </c>
      <c r="D9269" s="22" t="str">
        <f>HYPERLINK("https://rhld.insurance.arkansas.gov/NPILookup?Npi=1003422668","1003422668")</f>
        <v>1003422668</v>
      </c>
      <c r="E9269" s="1" t="s">
        <v>10949</v>
      </c>
      <c r="F9269" s="2"/>
      <c r="G9269" s="2"/>
      <c r="H9269" s="2"/>
    </row>
    <row r="9270" spans="1:8" x14ac:dyDescent="0.25">
      <c r="A9270" s="1"/>
      <c r="B9270" s="1" t="s">
        <v>5161</v>
      </c>
      <c r="C9270" s="1" t="s">
        <v>5162</v>
      </c>
      <c r="D9270" s="22" t="str">
        <f>HYPERLINK("https://rhld.insurance.arkansas.gov/NPILookup?Npi=1003435769","1003435769")</f>
        <v>1003435769</v>
      </c>
      <c r="E9270" s="1" t="s">
        <v>19364</v>
      </c>
      <c r="F9270" s="2"/>
      <c r="G9270" s="2"/>
      <c r="H9270" s="2"/>
    </row>
    <row r="9271" spans="1:8" x14ac:dyDescent="0.25">
      <c r="A9271" s="1"/>
      <c r="B9271" s="1" t="s">
        <v>5161</v>
      </c>
      <c r="C9271" s="1" t="s">
        <v>5162</v>
      </c>
      <c r="D9271" s="22" t="str">
        <f>HYPERLINK("https://rhld.insurance.arkansas.gov/NPILookup?Npi=1003479569","1003479569")</f>
        <v>1003479569</v>
      </c>
      <c r="E9271" s="1" t="s">
        <v>19365</v>
      </c>
      <c r="F9271" s="2"/>
      <c r="G9271" s="2"/>
      <c r="H9271" s="2"/>
    </row>
    <row r="9272" spans="1:8" x14ac:dyDescent="0.25">
      <c r="A9272" s="1"/>
      <c r="B9272" s="1" t="s">
        <v>5161</v>
      </c>
      <c r="C9272" s="1" t="s">
        <v>5162</v>
      </c>
      <c r="D9272" s="22" t="str">
        <f>HYPERLINK("https://rhld.insurance.arkansas.gov/NPILookup?Npi=1003500497","1003500497")</f>
        <v>1003500497</v>
      </c>
      <c r="E9272" s="1" t="s">
        <v>5164</v>
      </c>
      <c r="F9272" s="2"/>
      <c r="G9272" s="2"/>
      <c r="H9272" s="2"/>
    </row>
    <row r="9273" spans="1:8" x14ac:dyDescent="0.25">
      <c r="A9273" s="1"/>
      <c r="B9273" s="1" t="s">
        <v>5161</v>
      </c>
      <c r="C9273" s="1" t="s">
        <v>5162</v>
      </c>
      <c r="D9273" s="22" t="str">
        <f>HYPERLINK("https://rhld.insurance.arkansas.gov/NPILookup?Npi=1003562596","1003562596")</f>
        <v>1003562596</v>
      </c>
      <c r="E9273" s="1" t="s">
        <v>19366</v>
      </c>
      <c r="F9273" s="2"/>
      <c r="G9273" s="2"/>
      <c r="H9273" s="2"/>
    </row>
    <row r="9274" spans="1:8" x14ac:dyDescent="0.25">
      <c r="A9274" s="1"/>
      <c r="B9274" s="1" t="s">
        <v>5161</v>
      </c>
      <c r="C9274" s="1" t="s">
        <v>5162</v>
      </c>
      <c r="D9274" s="22" t="str">
        <f>HYPERLINK("https://rhld.insurance.arkansas.gov/NPILookup?Npi=1003575564","1003575564")</f>
        <v>1003575564</v>
      </c>
      <c r="E9274" s="1" t="s">
        <v>10950</v>
      </c>
      <c r="F9274" s="2"/>
      <c r="G9274" s="2"/>
      <c r="H9274" s="2"/>
    </row>
    <row r="9275" spans="1:8" x14ac:dyDescent="0.25">
      <c r="A9275" s="1"/>
      <c r="B9275" s="1" t="s">
        <v>5161</v>
      </c>
      <c r="C9275" s="1" t="s">
        <v>5162</v>
      </c>
      <c r="D9275" s="22" t="str">
        <f>HYPERLINK("https://rhld.insurance.arkansas.gov/NPILookup?Npi=1003949066","1003949066")</f>
        <v>1003949066</v>
      </c>
      <c r="E9275" s="1" t="s">
        <v>19367</v>
      </c>
      <c r="F9275" s="2"/>
      <c r="G9275" s="2"/>
      <c r="H9275" s="2"/>
    </row>
    <row r="9276" spans="1:8" x14ac:dyDescent="0.25">
      <c r="A9276" s="1"/>
      <c r="B9276" s="1" t="s">
        <v>5161</v>
      </c>
      <c r="C9276" s="1" t="s">
        <v>5162</v>
      </c>
      <c r="D9276" s="22" t="str">
        <f>HYPERLINK("https://rhld.insurance.arkansas.gov/NPILookup?Npi=1003950254","1003950254")</f>
        <v>1003950254</v>
      </c>
      <c r="E9276" s="1" t="s">
        <v>5165</v>
      </c>
      <c r="F9276" s="2"/>
      <c r="G9276" s="2"/>
      <c r="H9276" s="2"/>
    </row>
    <row r="9277" spans="1:8" x14ac:dyDescent="0.25">
      <c r="A9277" s="1"/>
      <c r="B9277" s="1" t="s">
        <v>5161</v>
      </c>
      <c r="C9277" s="1" t="s">
        <v>5162</v>
      </c>
      <c r="D9277" s="22" t="str">
        <f>HYPERLINK("https://rhld.insurance.arkansas.gov/NPILookup?Npi=1013055045","1013055045")</f>
        <v>1013055045</v>
      </c>
      <c r="E9277" s="1" t="s">
        <v>19368</v>
      </c>
      <c r="F9277" s="2"/>
      <c r="G9277" s="2"/>
      <c r="H9277" s="2"/>
    </row>
    <row r="9278" spans="1:8" x14ac:dyDescent="0.25">
      <c r="A9278" s="1"/>
      <c r="B9278" s="1" t="s">
        <v>5161</v>
      </c>
      <c r="C9278" s="1" t="s">
        <v>5162</v>
      </c>
      <c r="D9278" s="22" t="str">
        <f>HYPERLINK("https://rhld.insurance.arkansas.gov/NPILookup?Npi=1013201607","1013201607")</f>
        <v>1013201607</v>
      </c>
      <c r="E9278" s="1" t="s">
        <v>19369</v>
      </c>
      <c r="F9278" s="2"/>
      <c r="G9278" s="2"/>
      <c r="H9278" s="2"/>
    </row>
    <row r="9279" spans="1:8" x14ac:dyDescent="0.25">
      <c r="A9279" s="1"/>
      <c r="B9279" s="1" t="s">
        <v>5161</v>
      </c>
      <c r="C9279" s="1" t="s">
        <v>5162</v>
      </c>
      <c r="D9279" s="22" t="str">
        <f>HYPERLINK("https://rhld.insurance.arkansas.gov/NPILookup?Npi=1013288141","1013288141")</f>
        <v>1013288141</v>
      </c>
      <c r="E9279" s="1" t="s">
        <v>19370</v>
      </c>
      <c r="F9279" s="2"/>
      <c r="G9279" s="2"/>
      <c r="H9279" s="2"/>
    </row>
    <row r="9280" spans="1:8" x14ac:dyDescent="0.25">
      <c r="A9280" s="1"/>
      <c r="B9280" s="1" t="s">
        <v>5161</v>
      </c>
      <c r="C9280" s="1" t="s">
        <v>5162</v>
      </c>
      <c r="D9280" s="22" t="str">
        <f>HYPERLINK("https://rhld.insurance.arkansas.gov/NPILookup?Npi=1013298595","1013298595")</f>
        <v>1013298595</v>
      </c>
      <c r="E9280" s="1" t="s">
        <v>10951</v>
      </c>
      <c r="F9280" s="2"/>
      <c r="G9280" s="2"/>
      <c r="H9280" s="2"/>
    </row>
    <row r="9281" spans="1:8" x14ac:dyDescent="0.25">
      <c r="A9281" s="1"/>
      <c r="B9281" s="1" t="s">
        <v>5161</v>
      </c>
      <c r="C9281" s="1" t="s">
        <v>5162</v>
      </c>
      <c r="D9281" s="22" t="str">
        <f>HYPERLINK("https://rhld.insurance.arkansas.gov/NPILookup?Npi=1013323575","1013323575")</f>
        <v>1013323575</v>
      </c>
      <c r="E9281" s="1" t="s">
        <v>5166</v>
      </c>
      <c r="F9281" s="2"/>
      <c r="G9281" s="2"/>
      <c r="H9281" s="2"/>
    </row>
    <row r="9282" spans="1:8" x14ac:dyDescent="0.25">
      <c r="A9282" s="1"/>
      <c r="B9282" s="1" t="s">
        <v>5161</v>
      </c>
      <c r="C9282" s="1" t="s">
        <v>5162</v>
      </c>
      <c r="D9282" s="22" t="str">
        <f>HYPERLINK("https://rhld.insurance.arkansas.gov/NPILookup?Npi=1013461953","1013461953")</f>
        <v>1013461953</v>
      </c>
      <c r="E9282" s="1" t="s">
        <v>5167</v>
      </c>
      <c r="F9282" s="2"/>
      <c r="G9282" s="2"/>
      <c r="H9282" s="2"/>
    </row>
    <row r="9283" spans="1:8" x14ac:dyDescent="0.25">
      <c r="A9283" s="1"/>
      <c r="B9283" s="1" t="s">
        <v>5161</v>
      </c>
      <c r="C9283" s="1" t="s">
        <v>5162</v>
      </c>
      <c r="D9283" s="22" t="str">
        <f>HYPERLINK("https://rhld.insurance.arkansas.gov/NPILookup?Npi=1013485929","1013485929")</f>
        <v>1013485929</v>
      </c>
      <c r="E9283" s="1" t="s">
        <v>19371</v>
      </c>
      <c r="F9283" s="2"/>
      <c r="G9283" s="2"/>
      <c r="H9283" s="2"/>
    </row>
    <row r="9284" spans="1:8" x14ac:dyDescent="0.25">
      <c r="A9284" s="1"/>
      <c r="B9284" s="1" t="s">
        <v>5161</v>
      </c>
      <c r="C9284" s="1" t="s">
        <v>5162</v>
      </c>
      <c r="D9284" s="22" t="str">
        <f>HYPERLINK("https://rhld.insurance.arkansas.gov/NPILookup?Npi=1013520162","1013520162")</f>
        <v>1013520162</v>
      </c>
      <c r="E9284" s="1" t="s">
        <v>19372</v>
      </c>
      <c r="F9284" s="2"/>
      <c r="G9284" s="2"/>
      <c r="H9284" s="2"/>
    </row>
    <row r="9285" spans="1:8" x14ac:dyDescent="0.25">
      <c r="A9285" s="1"/>
      <c r="B9285" s="1" t="s">
        <v>5161</v>
      </c>
      <c r="C9285" s="1" t="s">
        <v>5162</v>
      </c>
      <c r="D9285" s="22" t="str">
        <f>HYPERLINK("https://rhld.insurance.arkansas.gov/NPILookup?Npi=1013528165","1013528165")</f>
        <v>1013528165</v>
      </c>
      <c r="E9285" s="1" t="s">
        <v>5168</v>
      </c>
      <c r="F9285" s="2"/>
      <c r="G9285" s="2"/>
      <c r="H9285" s="2"/>
    </row>
    <row r="9286" spans="1:8" x14ac:dyDescent="0.25">
      <c r="A9286" s="1"/>
      <c r="B9286" s="1" t="s">
        <v>5161</v>
      </c>
      <c r="C9286" s="1" t="s">
        <v>5162</v>
      </c>
      <c r="D9286" s="22" t="str">
        <f>HYPERLINK("https://rhld.insurance.arkansas.gov/NPILookup?Npi=1013932060","1013932060")</f>
        <v>1013932060</v>
      </c>
      <c r="E9286" s="1" t="s">
        <v>19373</v>
      </c>
      <c r="F9286" s="2"/>
      <c r="G9286" s="2"/>
      <c r="H9286" s="2"/>
    </row>
    <row r="9287" spans="1:8" x14ac:dyDescent="0.25">
      <c r="A9287" s="1"/>
      <c r="B9287" s="1" t="s">
        <v>5161</v>
      </c>
      <c r="C9287" s="1" t="s">
        <v>5162</v>
      </c>
      <c r="D9287" s="22" t="str">
        <f>HYPERLINK("https://rhld.insurance.arkansas.gov/NPILookup?Npi=1013966936","1013966936")</f>
        <v>1013966936</v>
      </c>
      <c r="E9287" s="1" t="s">
        <v>19374</v>
      </c>
      <c r="F9287" s="2"/>
      <c r="G9287" s="2"/>
      <c r="H9287" s="2"/>
    </row>
    <row r="9288" spans="1:8" x14ac:dyDescent="0.25">
      <c r="A9288" s="1"/>
      <c r="B9288" s="1" t="s">
        <v>5161</v>
      </c>
      <c r="C9288" s="1" t="s">
        <v>5162</v>
      </c>
      <c r="D9288" s="22" t="str">
        <f>HYPERLINK("https://rhld.insurance.arkansas.gov/NPILookup?Npi=1013977883","1013977883")</f>
        <v>1013977883</v>
      </c>
      <c r="E9288" s="1" t="s">
        <v>5169</v>
      </c>
      <c r="F9288" s="2"/>
      <c r="G9288" s="2"/>
      <c r="H9288" s="2"/>
    </row>
    <row r="9289" spans="1:8" x14ac:dyDescent="0.25">
      <c r="A9289" s="1"/>
      <c r="B9289" s="1" t="s">
        <v>5161</v>
      </c>
      <c r="C9289" s="1" t="s">
        <v>5162</v>
      </c>
      <c r="D9289" s="22" t="str">
        <f>HYPERLINK("https://rhld.insurance.arkansas.gov/NPILookup?Npi=1023068947","1023068947")</f>
        <v>1023068947</v>
      </c>
      <c r="E9289" s="1" t="s">
        <v>19375</v>
      </c>
      <c r="F9289" s="2"/>
      <c r="G9289" s="2"/>
      <c r="H9289" s="2"/>
    </row>
    <row r="9290" spans="1:8" x14ac:dyDescent="0.25">
      <c r="A9290" s="1"/>
      <c r="B9290" s="1" t="s">
        <v>5161</v>
      </c>
      <c r="C9290" s="1" t="s">
        <v>5162</v>
      </c>
      <c r="D9290" s="22" t="str">
        <f>HYPERLINK("https://rhld.insurance.arkansas.gov/NPILookup?Npi=1023272374","1023272374")</f>
        <v>1023272374</v>
      </c>
      <c r="E9290" s="1" t="s">
        <v>19376</v>
      </c>
      <c r="F9290" s="2"/>
      <c r="G9290" s="2"/>
      <c r="H9290" s="2"/>
    </row>
    <row r="9291" spans="1:8" x14ac:dyDescent="0.25">
      <c r="A9291" s="1"/>
      <c r="B9291" s="1" t="s">
        <v>5161</v>
      </c>
      <c r="C9291" s="1" t="s">
        <v>5162</v>
      </c>
      <c r="D9291" s="22" t="str">
        <f>HYPERLINK("https://rhld.insurance.arkansas.gov/NPILookup?Npi=1023347788","1023347788")</f>
        <v>1023347788</v>
      </c>
      <c r="E9291" s="1" t="s">
        <v>19377</v>
      </c>
      <c r="F9291" s="2"/>
      <c r="G9291" s="2"/>
      <c r="H9291" s="2"/>
    </row>
    <row r="9292" spans="1:8" x14ac:dyDescent="0.25">
      <c r="A9292" s="1"/>
      <c r="B9292" s="1" t="s">
        <v>5161</v>
      </c>
      <c r="C9292" s="1" t="s">
        <v>5162</v>
      </c>
      <c r="D9292" s="22" t="str">
        <f>HYPERLINK("https://rhld.insurance.arkansas.gov/NPILookup?Npi=1023368925","1023368925")</f>
        <v>1023368925</v>
      </c>
      <c r="E9292" s="1" t="s">
        <v>19378</v>
      </c>
      <c r="F9292" s="2"/>
      <c r="G9292" s="2"/>
      <c r="H9292" s="2"/>
    </row>
    <row r="9293" spans="1:8" x14ac:dyDescent="0.25">
      <c r="A9293" s="1"/>
      <c r="B9293" s="1" t="s">
        <v>5161</v>
      </c>
      <c r="C9293" s="1" t="s">
        <v>5162</v>
      </c>
      <c r="D9293" s="22" t="str">
        <f>HYPERLINK("https://rhld.insurance.arkansas.gov/NPILookup?Npi=1023392065","1023392065")</f>
        <v>1023392065</v>
      </c>
      <c r="E9293" s="1" t="s">
        <v>19379</v>
      </c>
      <c r="F9293" s="2"/>
      <c r="G9293" s="2"/>
      <c r="H9293" s="2"/>
    </row>
    <row r="9294" spans="1:8" x14ac:dyDescent="0.25">
      <c r="A9294" s="1"/>
      <c r="B9294" s="1" t="s">
        <v>5161</v>
      </c>
      <c r="C9294" s="1" t="s">
        <v>5162</v>
      </c>
      <c r="D9294" s="22" t="str">
        <f>HYPERLINK("https://rhld.insurance.arkansas.gov/NPILookup?Npi=1023441250","1023441250")</f>
        <v>1023441250</v>
      </c>
      <c r="E9294" s="1" t="s">
        <v>31680</v>
      </c>
      <c r="F9294" s="2"/>
      <c r="G9294" s="2"/>
      <c r="H9294" s="2"/>
    </row>
    <row r="9295" spans="1:8" x14ac:dyDescent="0.25">
      <c r="A9295" s="1"/>
      <c r="B9295" s="1" t="s">
        <v>5161</v>
      </c>
      <c r="C9295" s="1" t="s">
        <v>5162</v>
      </c>
      <c r="D9295" s="22" t="str">
        <f>HYPERLINK("https://rhld.insurance.arkansas.gov/NPILookup?Npi=1023493921","1023493921")</f>
        <v>1023493921</v>
      </c>
      <c r="E9295" s="1" t="s">
        <v>5170</v>
      </c>
      <c r="F9295" s="2"/>
      <c r="G9295" s="2"/>
      <c r="H9295" s="2"/>
    </row>
    <row r="9296" spans="1:8" x14ac:dyDescent="0.25">
      <c r="A9296" s="1"/>
      <c r="B9296" s="1" t="s">
        <v>5161</v>
      </c>
      <c r="C9296" s="1" t="s">
        <v>5162</v>
      </c>
      <c r="D9296" s="22" t="str">
        <f>HYPERLINK("https://rhld.insurance.arkansas.gov/NPILookup?Npi=1023528742","1023528742")</f>
        <v>1023528742</v>
      </c>
      <c r="E9296" s="1" t="s">
        <v>10952</v>
      </c>
      <c r="F9296" s="2"/>
      <c r="G9296" s="2"/>
      <c r="H9296" s="2"/>
    </row>
    <row r="9297" spans="1:8" x14ac:dyDescent="0.25">
      <c r="A9297" s="1"/>
      <c r="B9297" s="1" t="s">
        <v>5161</v>
      </c>
      <c r="C9297" s="1" t="s">
        <v>5162</v>
      </c>
      <c r="D9297" s="22" t="str">
        <f>HYPERLINK("https://rhld.insurance.arkansas.gov/NPILookup?Npi=1023575412","1023575412")</f>
        <v>1023575412</v>
      </c>
      <c r="E9297" s="1" t="s">
        <v>10953</v>
      </c>
      <c r="F9297" s="2"/>
      <c r="G9297" s="2"/>
      <c r="H9297" s="2"/>
    </row>
    <row r="9298" spans="1:8" x14ac:dyDescent="0.25">
      <c r="A9298" s="1"/>
      <c r="B9298" s="1" t="s">
        <v>5161</v>
      </c>
      <c r="C9298" s="1" t="s">
        <v>5162</v>
      </c>
      <c r="D9298" s="22" t="str">
        <f>HYPERLINK("https://rhld.insurance.arkansas.gov/NPILookup?Npi=1023837630","1023837630")</f>
        <v>1023837630</v>
      </c>
      <c r="E9298" s="1" t="s">
        <v>19380</v>
      </c>
      <c r="F9298" s="2"/>
      <c r="G9298" s="2"/>
      <c r="H9298" s="2"/>
    </row>
    <row r="9299" spans="1:8" x14ac:dyDescent="0.25">
      <c r="A9299" s="1"/>
      <c r="B9299" s="1" t="s">
        <v>5161</v>
      </c>
      <c r="C9299" s="1" t="s">
        <v>5162</v>
      </c>
      <c r="D9299" s="22" t="str">
        <f>HYPERLINK("https://rhld.insurance.arkansas.gov/NPILookup?Npi=1023837713","1023837713")</f>
        <v>1023837713</v>
      </c>
      <c r="E9299" s="1" t="s">
        <v>19381</v>
      </c>
      <c r="F9299" s="2"/>
      <c r="G9299" s="2"/>
      <c r="H9299" s="2"/>
    </row>
    <row r="9300" spans="1:8" x14ac:dyDescent="0.25">
      <c r="A9300" s="1"/>
      <c r="B9300" s="1" t="s">
        <v>5161</v>
      </c>
      <c r="C9300" s="1" t="s">
        <v>5162</v>
      </c>
      <c r="D9300" s="22" t="str">
        <f>HYPERLINK("https://rhld.insurance.arkansas.gov/NPILookup?Npi=1033126602","1033126602")</f>
        <v>1033126602</v>
      </c>
      <c r="E9300" s="1" t="s">
        <v>19382</v>
      </c>
      <c r="F9300" s="2"/>
      <c r="G9300" s="2"/>
      <c r="H9300" s="2"/>
    </row>
    <row r="9301" spans="1:8" x14ac:dyDescent="0.25">
      <c r="A9301" s="1"/>
      <c r="B9301" s="1" t="s">
        <v>5161</v>
      </c>
      <c r="C9301" s="1" t="s">
        <v>5162</v>
      </c>
      <c r="D9301" s="22" t="str">
        <f>HYPERLINK("https://rhld.insurance.arkansas.gov/NPILookup?Npi=1033177159","1033177159")</f>
        <v>1033177159</v>
      </c>
      <c r="E9301" s="1" t="s">
        <v>19383</v>
      </c>
      <c r="F9301" s="2"/>
      <c r="G9301" s="2"/>
      <c r="H9301" s="2"/>
    </row>
    <row r="9302" spans="1:8" x14ac:dyDescent="0.25">
      <c r="A9302" s="1"/>
      <c r="B9302" s="1" t="s">
        <v>5161</v>
      </c>
      <c r="C9302" s="1" t="s">
        <v>5162</v>
      </c>
      <c r="D9302" s="22" t="str">
        <f>HYPERLINK("https://rhld.insurance.arkansas.gov/NPILookup?Npi=1033246913","1033246913")</f>
        <v>1033246913</v>
      </c>
      <c r="E9302" s="1" t="s">
        <v>19384</v>
      </c>
      <c r="F9302" s="2"/>
      <c r="G9302" s="2"/>
      <c r="H9302" s="2"/>
    </row>
    <row r="9303" spans="1:8" x14ac:dyDescent="0.25">
      <c r="A9303" s="1"/>
      <c r="B9303" s="1" t="s">
        <v>5161</v>
      </c>
      <c r="C9303" s="1" t="s">
        <v>5162</v>
      </c>
      <c r="D9303" s="22" t="str">
        <f>HYPERLINK("https://rhld.insurance.arkansas.gov/NPILookup?Npi=1033348099","1033348099")</f>
        <v>1033348099</v>
      </c>
      <c r="E9303" s="1" t="s">
        <v>19385</v>
      </c>
      <c r="F9303" s="2"/>
      <c r="G9303" s="2"/>
      <c r="H9303" s="2"/>
    </row>
    <row r="9304" spans="1:8" x14ac:dyDescent="0.25">
      <c r="A9304" s="1"/>
      <c r="B9304" s="1" t="s">
        <v>5161</v>
      </c>
      <c r="C9304" s="1" t="s">
        <v>5162</v>
      </c>
      <c r="D9304" s="22" t="str">
        <f>HYPERLINK("https://rhld.insurance.arkansas.gov/NPILookup?Npi=1033411897","1033411897")</f>
        <v>1033411897</v>
      </c>
      <c r="E9304" s="1" t="s">
        <v>5171</v>
      </c>
      <c r="F9304" s="2"/>
      <c r="G9304" s="2"/>
      <c r="H9304" s="2"/>
    </row>
    <row r="9305" spans="1:8" x14ac:dyDescent="0.25">
      <c r="A9305" s="1"/>
      <c r="B9305" s="1" t="s">
        <v>5161</v>
      </c>
      <c r="C9305" s="1" t="s">
        <v>5162</v>
      </c>
      <c r="D9305" s="22" t="str">
        <f>HYPERLINK("https://rhld.insurance.arkansas.gov/NPILookup?Npi=1033414503","1033414503")</f>
        <v>1033414503</v>
      </c>
      <c r="E9305" s="1" t="s">
        <v>19386</v>
      </c>
      <c r="F9305" s="2"/>
      <c r="G9305" s="2"/>
      <c r="H9305" s="2"/>
    </row>
    <row r="9306" spans="1:8" x14ac:dyDescent="0.25">
      <c r="A9306" s="1"/>
      <c r="B9306" s="1" t="s">
        <v>5161</v>
      </c>
      <c r="C9306" s="1" t="s">
        <v>5162</v>
      </c>
      <c r="D9306" s="22" t="str">
        <f>HYPERLINK("https://rhld.insurance.arkansas.gov/NPILookup?Npi=1033541826","1033541826")</f>
        <v>1033541826</v>
      </c>
      <c r="E9306" s="1" t="s">
        <v>10954</v>
      </c>
      <c r="F9306" s="2"/>
      <c r="G9306" s="2"/>
      <c r="H9306" s="2"/>
    </row>
    <row r="9307" spans="1:8" x14ac:dyDescent="0.25">
      <c r="A9307" s="1"/>
      <c r="B9307" s="1" t="s">
        <v>5161</v>
      </c>
      <c r="C9307" s="1" t="s">
        <v>5162</v>
      </c>
      <c r="D9307" s="22" t="str">
        <f>HYPERLINK("https://rhld.insurance.arkansas.gov/NPILookup?Npi=1033544804","1033544804")</f>
        <v>1033544804</v>
      </c>
      <c r="E9307" s="1" t="s">
        <v>19387</v>
      </c>
      <c r="F9307" s="2"/>
      <c r="G9307" s="2"/>
      <c r="H9307" s="2"/>
    </row>
    <row r="9308" spans="1:8" x14ac:dyDescent="0.25">
      <c r="A9308" s="1"/>
      <c r="B9308" s="1" t="s">
        <v>5161</v>
      </c>
      <c r="C9308" s="1" t="s">
        <v>5162</v>
      </c>
      <c r="D9308" s="22" t="str">
        <f>HYPERLINK("https://rhld.insurance.arkansas.gov/NPILookup?Npi=1033571609","1033571609")</f>
        <v>1033571609</v>
      </c>
      <c r="E9308" s="1" t="s">
        <v>19388</v>
      </c>
      <c r="F9308" s="2"/>
      <c r="G9308" s="2"/>
      <c r="H9308" s="2"/>
    </row>
    <row r="9309" spans="1:8" x14ac:dyDescent="0.25">
      <c r="A9309" s="1"/>
      <c r="B9309" s="1" t="s">
        <v>5161</v>
      </c>
      <c r="C9309" s="1" t="s">
        <v>5162</v>
      </c>
      <c r="D9309" s="22" t="str">
        <f>HYPERLINK("https://rhld.insurance.arkansas.gov/NPILookup?Npi=1033676200","1033676200")</f>
        <v>1033676200</v>
      </c>
      <c r="E9309" s="1" t="s">
        <v>19389</v>
      </c>
      <c r="F9309" s="2"/>
      <c r="G9309" s="2"/>
      <c r="H9309" s="2"/>
    </row>
    <row r="9310" spans="1:8" x14ac:dyDescent="0.25">
      <c r="A9310" s="1"/>
      <c r="B9310" s="1" t="s">
        <v>5161</v>
      </c>
      <c r="C9310" s="1" t="s">
        <v>5162</v>
      </c>
      <c r="D9310" s="22" t="str">
        <f>HYPERLINK("https://rhld.insurance.arkansas.gov/NPILookup?Npi=1033703293","1033703293")</f>
        <v>1033703293</v>
      </c>
      <c r="E9310" s="1" t="s">
        <v>19390</v>
      </c>
      <c r="F9310" s="2"/>
      <c r="G9310" s="2"/>
      <c r="H9310" s="2"/>
    </row>
    <row r="9311" spans="1:8" x14ac:dyDescent="0.25">
      <c r="A9311" s="1"/>
      <c r="B9311" s="1" t="s">
        <v>5161</v>
      </c>
      <c r="C9311" s="1" t="s">
        <v>5162</v>
      </c>
      <c r="D9311" s="22" t="str">
        <f>HYPERLINK("https://rhld.insurance.arkansas.gov/NPILookup?Npi=1033749056","1033749056")</f>
        <v>1033749056</v>
      </c>
      <c r="E9311" s="1" t="s">
        <v>19391</v>
      </c>
      <c r="F9311" s="2"/>
      <c r="G9311" s="2"/>
      <c r="H9311" s="2"/>
    </row>
    <row r="9312" spans="1:8" x14ac:dyDescent="0.25">
      <c r="A9312" s="1"/>
      <c r="B9312" s="1" t="s">
        <v>5161</v>
      </c>
      <c r="C9312" s="1" t="s">
        <v>5162</v>
      </c>
      <c r="D9312" s="22" t="str">
        <f>HYPERLINK("https://rhld.insurance.arkansas.gov/NPILookup?Npi=1033806765","1033806765")</f>
        <v>1033806765</v>
      </c>
      <c r="E9312" s="1" t="s">
        <v>19392</v>
      </c>
      <c r="F9312" s="2"/>
      <c r="G9312" s="2"/>
      <c r="H9312" s="2"/>
    </row>
    <row r="9313" spans="1:8" x14ac:dyDescent="0.25">
      <c r="A9313" s="1"/>
      <c r="B9313" s="1" t="s">
        <v>5161</v>
      </c>
      <c r="C9313" s="1" t="s">
        <v>5162</v>
      </c>
      <c r="D9313" s="22" t="str">
        <f>HYPERLINK("https://rhld.insurance.arkansas.gov/NPILookup?Npi=1033881289","1033881289")</f>
        <v>1033881289</v>
      </c>
      <c r="E9313" s="1" t="s">
        <v>19393</v>
      </c>
      <c r="F9313" s="2"/>
      <c r="G9313" s="2"/>
      <c r="H9313" s="2"/>
    </row>
    <row r="9314" spans="1:8" x14ac:dyDescent="0.25">
      <c r="A9314" s="1"/>
      <c r="B9314" s="1" t="s">
        <v>5161</v>
      </c>
      <c r="C9314" s="1" t="s">
        <v>5162</v>
      </c>
      <c r="D9314" s="22" t="str">
        <f>HYPERLINK("https://rhld.insurance.arkansas.gov/NPILookup?Npi=1043018757","1043018757")</f>
        <v>1043018757</v>
      </c>
      <c r="E9314" s="1" t="s">
        <v>31681</v>
      </c>
      <c r="F9314" s="2"/>
      <c r="G9314" s="2"/>
      <c r="H9314" s="2"/>
    </row>
    <row r="9315" spans="1:8" x14ac:dyDescent="0.25">
      <c r="A9315" s="1"/>
      <c r="B9315" s="1" t="s">
        <v>5161</v>
      </c>
      <c r="C9315" s="1" t="s">
        <v>5162</v>
      </c>
      <c r="D9315" s="22" t="str">
        <f>HYPERLINK("https://rhld.insurance.arkansas.gov/NPILookup?Npi=1043344989","1043344989")</f>
        <v>1043344989</v>
      </c>
      <c r="E9315" s="1" t="s">
        <v>10955</v>
      </c>
      <c r="F9315" s="2"/>
      <c r="G9315" s="2"/>
      <c r="H9315" s="2"/>
    </row>
    <row r="9316" spans="1:8" x14ac:dyDescent="0.25">
      <c r="A9316" s="1"/>
      <c r="B9316" s="1" t="s">
        <v>5161</v>
      </c>
      <c r="C9316" s="1" t="s">
        <v>5162</v>
      </c>
      <c r="D9316" s="22" t="str">
        <f>HYPERLINK("https://rhld.insurance.arkansas.gov/NPILookup?Npi=1043400575","1043400575")</f>
        <v>1043400575</v>
      </c>
      <c r="E9316" s="1" t="s">
        <v>19394</v>
      </c>
      <c r="F9316" s="2"/>
      <c r="G9316" s="2"/>
      <c r="H9316" s="2"/>
    </row>
    <row r="9317" spans="1:8" x14ac:dyDescent="0.25">
      <c r="A9317" s="1"/>
      <c r="B9317" s="1" t="s">
        <v>5161</v>
      </c>
      <c r="C9317" s="1" t="s">
        <v>5162</v>
      </c>
      <c r="D9317" s="22" t="str">
        <f>HYPERLINK("https://rhld.insurance.arkansas.gov/NPILookup?Npi=1043437007","1043437007")</f>
        <v>1043437007</v>
      </c>
      <c r="E9317" s="1" t="s">
        <v>5172</v>
      </c>
      <c r="F9317" s="2"/>
      <c r="G9317" s="2"/>
      <c r="H9317" s="2"/>
    </row>
    <row r="9318" spans="1:8" x14ac:dyDescent="0.25">
      <c r="A9318" s="1"/>
      <c r="B9318" s="1" t="s">
        <v>5161</v>
      </c>
      <c r="C9318" s="1" t="s">
        <v>5162</v>
      </c>
      <c r="D9318" s="22" t="str">
        <f>HYPERLINK("https://rhld.insurance.arkansas.gov/NPILookup?Npi=1043439995","1043439995")</f>
        <v>1043439995</v>
      </c>
      <c r="E9318" s="1" t="s">
        <v>5173</v>
      </c>
      <c r="F9318" s="2"/>
      <c r="G9318" s="2"/>
      <c r="H9318" s="2"/>
    </row>
    <row r="9319" spans="1:8" x14ac:dyDescent="0.25">
      <c r="A9319" s="1"/>
      <c r="B9319" s="1" t="s">
        <v>5161</v>
      </c>
      <c r="C9319" s="1" t="s">
        <v>5162</v>
      </c>
      <c r="D9319" s="22" t="str">
        <f>HYPERLINK("https://rhld.insurance.arkansas.gov/NPILookup?Npi=1043446883","1043446883")</f>
        <v>1043446883</v>
      </c>
      <c r="E9319" s="1" t="s">
        <v>10956</v>
      </c>
      <c r="F9319" s="2"/>
      <c r="G9319" s="2"/>
      <c r="H9319" s="2"/>
    </row>
    <row r="9320" spans="1:8" x14ac:dyDescent="0.25">
      <c r="A9320" s="1"/>
      <c r="B9320" s="1" t="s">
        <v>5161</v>
      </c>
      <c r="C9320" s="1" t="s">
        <v>5162</v>
      </c>
      <c r="D9320" s="22" t="str">
        <f>HYPERLINK("https://rhld.insurance.arkansas.gov/NPILookup?Npi=1043457682","1043457682")</f>
        <v>1043457682</v>
      </c>
      <c r="E9320" s="1" t="s">
        <v>10957</v>
      </c>
      <c r="F9320" s="2"/>
      <c r="G9320" s="2"/>
      <c r="H9320" s="2"/>
    </row>
    <row r="9321" spans="1:8" x14ac:dyDescent="0.25">
      <c r="A9321" s="1"/>
      <c r="B9321" s="1" t="s">
        <v>5161</v>
      </c>
      <c r="C9321" s="1" t="s">
        <v>5162</v>
      </c>
      <c r="D9321" s="22" t="str">
        <f>HYPERLINK("https://rhld.insurance.arkansas.gov/NPILookup?Npi=1043467319","1043467319")</f>
        <v>1043467319</v>
      </c>
      <c r="E9321" s="1" t="s">
        <v>19395</v>
      </c>
      <c r="F9321" s="2"/>
      <c r="G9321" s="2"/>
      <c r="H9321" s="2"/>
    </row>
    <row r="9322" spans="1:8" x14ac:dyDescent="0.25">
      <c r="A9322" s="1"/>
      <c r="B9322" s="1" t="s">
        <v>5161</v>
      </c>
      <c r="C9322" s="1" t="s">
        <v>5162</v>
      </c>
      <c r="D9322" s="22" t="str">
        <f>HYPERLINK("https://rhld.insurance.arkansas.gov/NPILookup?Npi=1043495252","1043495252")</f>
        <v>1043495252</v>
      </c>
      <c r="E9322" s="1" t="s">
        <v>5174</v>
      </c>
      <c r="F9322" s="2"/>
      <c r="G9322" s="2"/>
      <c r="H9322" s="2"/>
    </row>
    <row r="9323" spans="1:8" x14ac:dyDescent="0.25">
      <c r="A9323" s="1"/>
      <c r="B9323" s="1" t="s">
        <v>5161</v>
      </c>
      <c r="C9323" s="1" t="s">
        <v>5162</v>
      </c>
      <c r="D9323" s="22" t="str">
        <f>HYPERLINK("https://rhld.insurance.arkansas.gov/NPILookup?Npi=1043628811","1043628811")</f>
        <v>1043628811</v>
      </c>
      <c r="E9323" s="1" t="s">
        <v>19396</v>
      </c>
      <c r="F9323" s="2"/>
      <c r="G9323" s="2"/>
      <c r="H9323" s="2"/>
    </row>
    <row r="9324" spans="1:8" x14ac:dyDescent="0.25">
      <c r="A9324" s="1"/>
      <c r="B9324" s="1" t="s">
        <v>5161</v>
      </c>
      <c r="C9324" s="1" t="s">
        <v>5162</v>
      </c>
      <c r="D9324" s="22" t="str">
        <f>HYPERLINK("https://rhld.insurance.arkansas.gov/NPILookup?Npi=1043736069","1043736069")</f>
        <v>1043736069</v>
      </c>
      <c r="E9324" s="1" t="s">
        <v>19397</v>
      </c>
      <c r="F9324" s="2"/>
      <c r="G9324" s="2"/>
      <c r="H9324" s="2"/>
    </row>
    <row r="9325" spans="1:8" x14ac:dyDescent="0.25">
      <c r="A9325" s="1"/>
      <c r="B9325" s="1" t="s">
        <v>5161</v>
      </c>
      <c r="C9325" s="1" t="s">
        <v>5162</v>
      </c>
      <c r="D9325" s="22" t="str">
        <f>HYPERLINK("https://rhld.insurance.arkansas.gov/NPILookup?Npi=1043801780","1043801780")</f>
        <v>1043801780</v>
      </c>
      <c r="E9325" s="1" t="s">
        <v>19398</v>
      </c>
      <c r="F9325" s="2"/>
      <c r="G9325" s="2"/>
      <c r="H9325" s="2"/>
    </row>
    <row r="9326" spans="1:8" x14ac:dyDescent="0.25">
      <c r="A9326" s="1"/>
      <c r="B9326" s="1" t="s">
        <v>5161</v>
      </c>
      <c r="C9326" s="1" t="s">
        <v>5162</v>
      </c>
      <c r="D9326" s="22" t="str">
        <f>HYPERLINK("https://rhld.insurance.arkansas.gov/NPILookup?Npi=1043912595","1043912595")</f>
        <v>1043912595</v>
      </c>
      <c r="E9326" s="1" t="s">
        <v>5175</v>
      </c>
      <c r="F9326" s="2"/>
      <c r="G9326" s="2"/>
      <c r="H9326" s="2"/>
    </row>
    <row r="9327" spans="1:8" x14ac:dyDescent="0.25">
      <c r="A9327" s="1"/>
      <c r="B9327" s="1" t="s">
        <v>5161</v>
      </c>
      <c r="C9327" s="1" t="s">
        <v>5162</v>
      </c>
      <c r="D9327" s="22" t="str">
        <f>HYPERLINK("https://rhld.insurance.arkansas.gov/NPILookup?Npi=1043913072","1043913072")</f>
        <v>1043913072</v>
      </c>
      <c r="E9327" s="1" t="s">
        <v>19399</v>
      </c>
      <c r="F9327" s="2"/>
      <c r="G9327" s="2"/>
      <c r="H9327" s="2"/>
    </row>
    <row r="9328" spans="1:8" x14ac:dyDescent="0.25">
      <c r="A9328" s="1"/>
      <c r="B9328" s="1" t="s">
        <v>5161</v>
      </c>
      <c r="C9328" s="1" t="s">
        <v>5162</v>
      </c>
      <c r="D9328" s="22" t="str">
        <f>HYPERLINK("https://rhld.insurance.arkansas.gov/NPILookup?Npi=1043928526","1043928526")</f>
        <v>1043928526</v>
      </c>
      <c r="E9328" s="1" t="s">
        <v>5176</v>
      </c>
      <c r="F9328" s="2"/>
      <c r="G9328" s="2"/>
      <c r="H9328" s="2"/>
    </row>
    <row r="9329" spans="1:8" x14ac:dyDescent="0.25">
      <c r="A9329" s="1"/>
      <c r="B9329" s="1" t="s">
        <v>5161</v>
      </c>
      <c r="C9329" s="1" t="s">
        <v>5162</v>
      </c>
      <c r="D9329" s="22" t="str">
        <f>HYPERLINK("https://rhld.insurance.arkansas.gov/NPILookup?Npi=1043963671","1043963671")</f>
        <v>1043963671</v>
      </c>
      <c r="E9329" s="1" t="s">
        <v>19400</v>
      </c>
      <c r="F9329" s="2"/>
      <c r="G9329" s="2"/>
      <c r="H9329" s="2"/>
    </row>
    <row r="9330" spans="1:8" x14ac:dyDescent="0.25">
      <c r="A9330" s="1"/>
      <c r="B9330" s="1" t="s">
        <v>5161</v>
      </c>
      <c r="C9330" s="1" t="s">
        <v>5162</v>
      </c>
      <c r="D9330" s="22" t="str">
        <f>HYPERLINK("https://rhld.insurance.arkansas.gov/NPILookup?Npi=1043972516","1043972516")</f>
        <v>1043972516</v>
      </c>
      <c r="E9330" s="1" t="s">
        <v>19401</v>
      </c>
      <c r="F9330" s="2"/>
      <c r="G9330" s="2"/>
      <c r="H9330" s="2"/>
    </row>
    <row r="9331" spans="1:8" x14ac:dyDescent="0.25">
      <c r="A9331" s="1"/>
      <c r="B9331" s="1" t="s">
        <v>5161</v>
      </c>
      <c r="C9331" s="1" t="s">
        <v>5162</v>
      </c>
      <c r="D9331" s="22" t="str">
        <f>HYPERLINK("https://rhld.insurance.arkansas.gov/NPILookup?Npi=1053334953","1053334953")</f>
        <v>1053334953</v>
      </c>
      <c r="E9331" s="1" t="s">
        <v>10958</v>
      </c>
      <c r="F9331" s="2"/>
      <c r="G9331" s="2"/>
      <c r="H9331" s="2"/>
    </row>
    <row r="9332" spans="1:8" x14ac:dyDescent="0.25">
      <c r="A9332" s="1"/>
      <c r="B9332" s="1" t="s">
        <v>5161</v>
      </c>
      <c r="C9332" s="1" t="s">
        <v>5162</v>
      </c>
      <c r="D9332" s="22" t="str">
        <f>HYPERLINK("https://rhld.insurance.arkansas.gov/NPILookup?Npi=1053456798","1053456798")</f>
        <v>1053456798</v>
      </c>
      <c r="E9332" s="1" t="s">
        <v>10959</v>
      </c>
      <c r="F9332" s="2"/>
      <c r="G9332" s="2"/>
      <c r="H9332" s="2"/>
    </row>
    <row r="9333" spans="1:8" x14ac:dyDescent="0.25">
      <c r="A9333" s="1"/>
      <c r="B9333" s="1" t="s">
        <v>5161</v>
      </c>
      <c r="C9333" s="1" t="s">
        <v>5162</v>
      </c>
      <c r="D9333" s="22" t="str">
        <f>HYPERLINK("https://rhld.insurance.arkansas.gov/NPILookup?Npi=1053466375","1053466375")</f>
        <v>1053466375</v>
      </c>
      <c r="E9333" s="1" t="s">
        <v>19402</v>
      </c>
      <c r="F9333" s="2"/>
      <c r="G9333" s="2"/>
      <c r="H9333" s="2"/>
    </row>
    <row r="9334" spans="1:8" x14ac:dyDescent="0.25">
      <c r="A9334" s="1"/>
      <c r="B9334" s="1" t="s">
        <v>5161</v>
      </c>
      <c r="C9334" s="1" t="s">
        <v>5162</v>
      </c>
      <c r="D9334" s="22" t="str">
        <f>HYPERLINK("https://rhld.insurance.arkansas.gov/NPILookup?Npi=1053536474","1053536474")</f>
        <v>1053536474</v>
      </c>
      <c r="E9334" s="1" t="s">
        <v>19403</v>
      </c>
      <c r="F9334" s="2"/>
      <c r="G9334" s="2"/>
      <c r="H9334" s="2"/>
    </row>
    <row r="9335" spans="1:8" x14ac:dyDescent="0.25">
      <c r="A9335" s="1"/>
      <c r="B9335" s="1" t="s">
        <v>5161</v>
      </c>
      <c r="C9335" s="1" t="s">
        <v>5162</v>
      </c>
      <c r="D9335" s="22" t="str">
        <f>HYPERLINK("https://rhld.insurance.arkansas.gov/NPILookup?Npi=1053538587","1053538587")</f>
        <v>1053538587</v>
      </c>
      <c r="E9335" s="1" t="s">
        <v>19404</v>
      </c>
      <c r="F9335" s="2"/>
      <c r="G9335" s="2"/>
      <c r="H9335" s="2"/>
    </row>
    <row r="9336" spans="1:8" x14ac:dyDescent="0.25">
      <c r="A9336" s="1"/>
      <c r="B9336" s="1" t="s">
        <v>5161</v>
      </c>
      <c r="C9336" s="1" t="s">
        <v>5162</v>
      </c>
      <c r="D9336" s="22" t="str">
        <f>HYPERLINK("https://rhld.insurance.arkansas.gov/NPILookup?Npi=1053712950","1053712950")</f>
        <v>1053712950</v>
      </c>
      <c r="E9336" s="1" t="s">
        <v>19405</v>
      </c>
      <c r="F9336" s="2"/>
      <c r="G9336" s="2"/>
      <c r="H9336" s="2"/>
    </row>
    <row r="9337" spans="1:8" x14ac:dyDescent="0.25">
      <c r="A9337" s="1"/>
      <c r="B9337" s="1" t="s">
        <v>5161</v>
      </c>
      <c r="C9337" s="1" t="s">
        <v>5162</v>
      </c>
      <c r="D9337" s="22" t="str">
        <f>HYPERLINK("https://rhld.insurance.arkansas.gov/NPILookup?Npi=1053771220","1053771220")</f>
        <v>1053771220</v>
      </c>
      <c r="E9337" s="1" t="s">
        <v>19406</v>
      </c>
      <c r="F9337" s="2"/>
      <c r="G9337" s="2"/>
      <c r="H9337" s="2"/>
    </row>
    <row r="9338" spans="1:8" x14ac:dyDescent="0.25">
      <c r="A9338" s="1"/>
      <c r="B9338" s="1" t="s">
        <v>5161</v>
      </c>
      <c r="C9338" s="1" t="s">
        <v>5162</v>
      </c>
      <c r="D9338" s="22" t="str">
        <f>HYPERLINK("https://rhld.insurance.arkansas.gov/NPILookup?Npi=1053881565","1053881565")</f>
        <v>1053881565</v>
      </c>
      <c r="E9338" s="1" t="s">
        <v>19407</v>
      </c>
      <c r="F9338" s="2"/>
      <c r="G9338" s="2"/>
      <c r="H9338" s="2"/>
    </row>
    <row r="9339" spans="1:8" x14ac:dyDescent="0.25">
      <c r="A9339" s="1"/>
      <c r="B9339" s="1" t="s">
        <v>5161</v>
      </c>
      <c r="C9339" s="1" t="s">
        <v>5162</v>
      </c>
      <c r="D9339" s="22" t="str">
        <f>HYPERLINK("https://rhld.insurance.arkansas.gov/NPILookup?Npi=1063163780","1063163780")</f>
        <v>1063163780</v>
      </c>
      <c r="E9339" s="1" t="s">
        <v>19408</v>
      </c>
      <c r="F9339" s="2"/>
      <c r="G9339" s="2"/>
      <c r="H9339" s="2"/>
    </row>
    <row r="9340" spans="1:8" x14ac:dyDescent="0.25">
      <c r="A9340" s="1"/>
      <c r="B9340" s="1" t="s">
        <v>5161</v>
      </c>
      <c r="C9340" s="1" t="s">
        <v>5162</v>
      </c>
      <c r="D9340" s="22" t="str">
        <f>HYPERLINK("https://rhld.insurance.arkansas.gov/NPILookup?Npi=1063189033","1063189033")</f>
        <v>1063189033</v>
      </c>
      <c r="E9340" s="1" t="s">
        <v>10960</v>
      </c>
      <c r="F9340" s="2"/>
      <c r="G9340" s="2"/>
      <c r="H9340" s="2"/>
    </row>
    <row r="9341" spans="1:8" x14ac:dyDescent="0.25">
      <c r="A9341" s="1"/>
      <c r="B9341" s="1" t="s">
        <v>5161</v>
      </c>
      <c r="C9341" s="1" t="s">
        <v>5162</v>
      </c>
      <c r="D9341" s="22" t="str">
        <f>HYPERLINK("https://rhld.insurance.arkansas.gov/NPILookup?Npi=1063223865","1063223865")</f>
        <v>1063223865</v>
      </c>
      <c r="E9341" s="1" t="s">
        <v>31682</v>
      </c>
      <c r="F9341" s="2"/>
      <c r="G9341" s="2"/>
      <c r="H9341" s="2"/>
    </row>
    <row r="9342" spans="1:8" x14ac:dyDescent="0.25">
      <c r="A9342" s="1"/>
      <c r="B9342" s="1" t="s">
        <v>5161</v>
      </c>
      <c r="C9342" s="1" t="s">
        <v>5162</v>
      </c>
      <c r="D9342" s="22" t="str">
        <f>HYPERLINK("https://rhld.insurance.arkansas.gov/NPILookup?Npi=1063224954","1063224954")</f>
        <v>1063224954</v>
      </c>
      <c r="E9342" s="1" t="s">
        <v>31683</v>
      </c>
      <c r="F9342" s="2"/>
      <c r="G9342" s="2"/>
      <c r="H9342" s="2"/>
    </row>
    <row r="9343" spans="1:8" x14ac:dyDescent="0.25">
      <c r="A9343" s="1"/>
      <c r="B9343" s="1" t="s">
        <v>5161</v>
      </c>
      <c r="C9343" s="1" t="s">
        <v>5162</v>
      </c>
      <c r="D9343" s="22" t="str">
        <f>HYPERLINK("https://rhld.insurance.arkansas.gov/NPILookup?Npi=1063630085","1063630085")</f>
        <v>1063630085</v>
      </c>
      <c r="E9343" s="1" t="s">
        <v>19409</v>
      </c>
      <c r="F9343" s="2"/>
      <c r="G9343" s="2"/>
      <c r="H9343" s="2"/>
    </row>
    <row r="9344" spans="1:8" x14ac:dyDescent="0.25">
      <c r="A9344" s="1"/>
      <c r="B9344" s="1" t="s">
        <v>5161</v>
      </c>
      <c r="C9344" s="1" t="s">
        <v>5162</v>
      </c>
      <c r="D9344" s="22" t="str">
        <f>HYPERLINK("https://rhld.insurance.arkansas.gov/NPILookup?Npi=1063644987","1063644987")</f>
        <v>1063644987</v>
      </c>
      <c r="E9344" s="1" t="s">
        <v>19410</v>
      </c>
      <c r="F9344" s="2"/>
      <c r="G9344" s="2"/>
      <c r="H9344" s="2"/>
    </row>
    <row r="9345" spans="1:8" x14ac:dyDescent="0.25">
      <c r="A9345" s="1"/>
      <c r="B9345" s="1" t="s">
        <v>5161</v>
      </c>
      <c r="C9345" s="1" t="s">
        <v>5162</v>
      </c>
      <c r="D9345" s="22" t="str">
        <f>HYPERLINK("https://rhld.insurance.arkansas.gov/NPILookup?Npi=1063666105","1063666105")</f>
        <v>1063666105</v>
      </c>
      <c r="E9345" s="1" t="s">
        <v>19411</v>
      </c>
      <c r="F9345" s="2"/>
      <c r="G9345" s="2"/>
      <c r="H9345" s="2"/>
    </row>
    <row r="9346" spans="1:8" x14ac:dyDescent="0.25">
      <c r="A9346" s="1"/>
      <c r="B9346" s="1" t="s">
        <v>5161</v>
      </c>
      <c r="C9346" s="1" t="s">
        <v>5162</v>
      </c>
      <c r="D9346" s="22" t="str">
        <f>HYPERLINK("https://rhld.insurance.arkansas.gov/NPILookup?Npi=1063785913","1063785913")</f>
        <v>1063785913</v>
      </c>
      <c r="E9346" s="1" t="s">
        <v>5177</v>
      </c>
      <c r="F9346" s="2"/>
      <c r="G9346" s="2"/>
      <c r="H9346" s="2"/>
    </row>
    <row r="9347" spans="1:8" x14ac:dyDescent="0.25">
      <c r="A9347" s="1"/>
      <c r="B9347" s="1" t="s">
        <v>5161</v>
      </c>
      <c r="C9347" s="1" t="s">
        <v>5162</v>
      </c>
      <c r="D9347" s="22" t="str">
        <f>HYPERLINK("https://rhld.insurance.arkansas.gov/NPILookup?Npi=1063922623","1063922623")</f>
        <v>1063922623</v>
      </c>
      <c r="E9347" s="1" t="s">
        <v>19412</v>
      </c>
      <c r="F9347" s="2"/>
      <c r="G9347" s="2"/>
      <c r="H9347" s="2"/>
    </row>
    <row r="9348" spans="1:8" x14ac:dyDescent="0.25">
      <c r="A9348" s="1"/>
      <c r="B9348" s="1" t="s">
        <v>5161</v>
      </c>
      <c r="C9348" s="1" t="s">
        <v>5162</v>
      </c>
      <c r="D9348" s="22" t="str">
        <f>HYPERLINK("https://rhld.insurance.arkansas.gov/NPILookup?Npi=1073041422","1073041422")</f>
        <v>1073041422</v>
      </c>
      <c r="E9348" s="1" t="s">
        <v>19413</v>
      </c>
      <c r="F9348" s="2"/>
      <c r="G9348" s="2"/>
      <c r="H9348" s="2"/>
    </row>
    <row r="9349" spans="1:8" x14ac:dyDescent="0.25">
      <c r="A9349" s="1"/>
      <c r="B9349" s="1" t="s">
        <v>5161</v>
      </c>
      <c r="C9349" s="1" t="s">
        <v>5162</v>
      </c>
      <c r="D9349" s="22" t="str">
        <f>HYPERLINK("https://rhld.insurance.arkansas.gov/NPILookup?Npi=1073065736","1073065736")</f>
        <v>1073065736</v>
      </c>
      <c r="E9349" s="1" t="s">
        <v>19414</v>
      </c>
      <c r="F9349" s="2"/>
      <c r="G9349" s="2"/>
      <c r="H9349" s="2"/>
    </row>
    <row r="9350" spans="1:8" x14ac:dyDescent="0.25">
      <c r="A9350" s="1"/>
      <c r="B9350" s="1" t="s">
        <v>5161</v>
      </c>
      <c r="C9350" s="1" t="s">
        <v>5162</v>
      </c>
      <c r="D9350" s="22" t="str">
        <f>HYPERLINK("https://rhld.insurance.arkansas.gov/NPILookup?Npi=1073224770","1073224770")</f>
        <v>1073224770</v>
      </c>
      <c r="E9350" s="1" t="s">
        <v>19415</v>
      </c>
      <c r="F9350" s="2"/>
      <c r="G9350" s="2"/>
      <c r="H9350" s="2"/>
    </row>
    <row r="9351" spans="1:8" x14ac:dyDescent="0.25">
      <c r="A9351" s="1"/>
      <c r="B9351" s="1" t="s">
        <v>5161</v>
      </c>
      <c r="C9351" s="1" t="s">
        <v>5162</v>
      </c>
      <c r="D9351" s="22" t="str">
        <f>HYPERLINK("https://rhld.insurance.arkansas.gov/NPILookup?Npi=1073249579","1073249579")</f>
        <v>1073249579</v>
      </c>
      <c r="E9351" s="1" t="s">
        <v>19416</v>
      </c>
      <c r="F9351" s="2"/>
      <c r="G9351" s="2"/>
      <c r="H9351" s="2"/>
    </row>
    <row r="9352" spans="1:8" x14ac:dyDescent="0.25">
      <c r="A9352" s="1"/>
      <c r="B9352" s="1" t="s">
        <v>5161</v>
      </c>
      <c r="C9352" s="1" t="s">
        <v>5162</v>
      </c>
      <c r="D9352" s="22" t="str">
        <f>HYPERLINK("https://rhld.insurance.arkansas.gov/NPILookup?Npi=1073368221","1073368221")</f>
        <v>1073368221</v>
      </c>
      <c r="E9352" s="1" t="s">
        <v>19417</v>
      </c>
      <c r="F9352" s="2"/>
      <c r="G9352" s="2"/>
      <c r="H9352" s="2"/>
    </row>
    <row r="9353" spans="1:8" x14ac:dyDescent="0.25">
      <c r="A9353" s="1"/>
      <c r="B9353" s="1" t="s">
        <v>5161</v>
      </c>
      <c r="C9353" s="1" t="s">
        <v>5162</v>
      </c>
      <c r="D9353" s="22" t="str">
        <f>HYPERLINK("https://rhld.insurance.arkansas.gov/NPILookup?Npi=1073646527","1073646527")</f>
        <v>1073646527</v>
      </c>
      <c r="E9353" s="1" t="s">
        <v>10961</v>
      </c>
      <c r="F9353" s="2"/>
      <c r="G9353" s="2"/>
      <c r="H9353" s="2"/>
    </row>
    <row r="9354" spans="1:8" x14ac:dyDescent="0.25">
      <c r="A9354" s="1"/>
      <c r="B9354" s="1" t="s">
        <v>5161</v>
      </c>
      <c r="C9354" s="1" t="s">
        <v>5162</v>
      </c>
      <c r="D9354" s="22" t="str">
        <f>HYPERLINK("https://rhld.insurance.arkansas.gov/NPILookup?Npi=1073725511","1073725511")</f>
        <v>1073725511</v>
      </c>
      <c r="E9354" s="1" t="s">
        <v>19418</v>
      </c>
      <c r="F9354" s="2"/>
      <c r="G9354" s="2"/>
      <c r="H9354" s="2"/>
    </row>
    <row r="9355" spans="1:8" x14ac:dyDescent="0.25">
      <c r="A9355" s="1"/>
      <c r="B9355" s="1" t="s">
        <v>5161</v>
      </c>
      <c r="C9355" s="1" t="s">
        <v>5162</v>
      </c>
      <c r="D9355" s="22" t="str">
        <f>HYPERLINK("https://rhld.insurance.arkansas.gov/NPILookup?Npi=1073799342","1073799342")</f>
        <v>1073799342</v>
      </c>
      <c r="E9355" s="1" t="s">
        <v>10962</v>
      </c>
      <c r="F9355" s="2"/>
      <c r="G9355" s="2"/>
      <c r="H9355" s="2"/>
    </row>
    <row r="9356" spans="1:8" x14ac:dyDescent="0.25">
      <c r="A9356" s="1"/>
      <c r="B9356" s="1" t="s">
        <v>5161</v>
      </c>
      <c r="C9356" s="1" t="s">
        <v>5162</v>
      </c>
      <c r="D9356" s="22" t="str">
        <f>HYPERLINK("https://rhld.insurance.arkansas.gov/NPILookup?Npi=1073844056","1073844056")</f>
        <v>1073844056</v>
      </c>
      <c r="E9356" s="1" t="s">
        <v>19419</v>
      </c>
      <c r="F9356" s="2"/>
      <c r="G9356" s="2"/>
      <c r="H9356" s="2"/>
    </row>
    <row r="9357" spans="1:8" x14ac:dyDescent="0.25">
      <c r="A9357" s="1"/>
      <c r="B9357" s="1" t="s">
        <v>5161</v>
      </c>
      <c r="C9357" s="1" t="s">
        <v>5162</v>
      </c>
      <c r="D9357" s="22" t="str">
        <f>HYPERLINK("https://rhld.insurance.arkansas.gov/NPILookup?Npi=1073973293","1073973293")</f>
        <v>1073973293</v>
      </c>
      <c r="E9357" s="1" t="s">
        <v>19420</v>
      </c>
      <c r="F9357" s="2"/>
      <c r="G9357" s="2"/>
      <c r="H9357" s="2"/>
    </row>
    <row r="9358" spans="1:8" x14ac:dyDescent="0.25">
      <c r="A9358" s="1"/>
      <c r="B9358" s="1" t="s">
        <v>5161</v>
      </c>
      <c r="C9358" s="1" t="s">
        <v>5162</v>
      </c>
      <c r="D9358" s="22" t="str">
        <f>HYPERLINK("https://rhld.insurance.arkansas.gov/NPILookup?Npi=1083177190","1083177190")</f>
        <v>1083177190</v>
      </c>
      <c r="E9358" s="1" t="s">
        <v>19421</v>
      </c>
      <c r="F9358" s="2"/>
      <c r="G9358" s="2"/>
      <c r="H9358" s="2"/>
    </row>
    <row r="9359" spans="1:8" x14ac:dyDescent="0.25">
      <c r="A9359" s="1"/>
      <c r="B9359" s="1" t="s">
        <v>5161</v>
      </c>
      <c r="C9359" s="1" t="s">
        <v>5162</v>
      </c>
      <c r="D9359" s="22" t="str">
        <f>HYPERLINK("https://rhld.insurance.arkansas.gov/NPILookup?Npi=1083245898","1083245898")</f>
        <v>1083245898</v>
      </c>
      <c r="E9359" s="1" t="s">
        <v>19422</v>
      </c>
      <c r="F9359" s="2"/>
      <c r="G9359" s="2"/>
      <c r="H9359" s="2"/>
    </row>
    <row r="9360" spans="1:8" x14ac:dyDescent="0.25">
      <c r="A9360" s="1"/>
      <c r="B9360" s="1" t="s">
        <v>5161</v>
      </c>
      <c r="C9360" s="1" t="s">
        <v>5162</v>
      </c>
      <c r="D9360" s="22" t="str">
        <f>HYPERLINK("https://rhld.insurance.arkansas.gov/NPILookup?Npi=1083285720","1083285720")</f>
        <v>1083285720</v>
      </c>
      <c r="E9360" s="1" t="s">
        <v>10963</v>
      </c>
      <c r="F9360" s="2"/>
      <c r="G9360" s="2"/>
      <c r="H9360" s="2"/>
    </row>
    <row r="9361" spans="1:8" x14ac:dyDescent="0.25">
      <c r="A9361" s="1"/>
      <c r="B9361" s="1" t="s">
        <v>5161</v>
      </c>
      <c r="C9361" s="1" t="s">
        <v>5162</v>
      </c>
      <c r="D9361" s="22" t="str">
        <f>HYPERLINK("https://rhld.insurance.arkansas.gov/NPILookup?Npi=1083334999","1083334999")</f>
        <v>1083334999</v>
      </c>
      <c r="E9361" s="1" t="s">
        <v>19423</v>
      </c>
      <c r="F9361" s="2"/>
      <c r="G9361" s="2"/>
      <c r="H9361" s="2"/>
    </row>
    <row r="9362" spans="1:8" x14ac:dyDescent="0.25">
      <c r="A9362" s="1"/>
      <c r="B9362" s="1" t="s">
        <v>5161</v>
      </c>
      <c r="C9362" s="1" t="s">
        <v>5162</v>
      </c>
      <c r="D9362" s="22" t="str">
        <f>HYPERLINK("https://rhld.insurance.arkansas.gov/NPILookup?Npi=1083380968","1083380968")</f>
        <v>1083380968</v>
      </c>
      <c r="E9362" s="1" t="s">
        <v>5180</v>
      </c>
      <c r="F9362" s="2"/>
      <c r="G9362" s="2"/>
      <c r="H9362" s="2"/>
    </row>
    <row r="9363" spans="1:8" x14ac:dyDescent="0.25">
      <c r="A9363" s="1"/>
      <c r="B9363" s="1" t="s">
        <v>5161</v>
      </c>
      <c r="C9363" s="1" t="s">
        <v>5162</v>
      </c>
      <c r="D9363" s="22" t="str">
        <f>HYPERLINK("https://rhld.insurance.arkansas.gov/NPILookup?Npi=1083436117","1083436117")</f>
        <v>1083436117</v>
      </c>
      <c r="E9363" s="1" t="s">
        <v>31684</v>
      </c>
      <c r="F9363" s="2"/>
      <c r="G9363" s="2"/>
      <c r="H9363" s="2"/>
    </row>
    <row r="9364" spans="1:8" x14ac:dyDescent="0.25">
      <c r="A9364" s="1"/>
      <c r="B9364" s="1" t="s">
        <v>5161</v>
      </c>
      <c r="C9364" s="1" t="s">
        <v>5162</v>
      </c>
      <c r="D9364" s="22" t="str">
        <f>HYPERLINK("https://rhld.insurance.arkansas.gov/NPILookup?Npi=1083442701","1083442701")</f>
        <v>1083442701</v>
      </c>
      <c r="E9364" s="1" t="s">
        <v>19424</v>
      </c>
      <c r="F9364" s="2"/>
      <c r="G9364" s="2"/>
      <c r="H9364" s="2"/>
    </row>
    <row r="9365" spans="1:8" x14ac:dyDescent="0.25">
      <c r="A9365" s="1"/>
      <c r="B9365" s="1" t="s">
        <v>5161</v>
      </c>
      <c r="C9365" s="1" t="s">
        <v>5162</v>
      </c>
      <c r="D9365" s="22" t="str">
        <f>HYPERLINK("https://rhld.insurance.arkansas.gov/NPILookup?Npi=1083634224","1083634224")</f>
        <v>1083634224</v>
      </c>
      <c r="E9365" s="1" t="s">
        <v>5181</v>
      </c>
      <c r="F9365" s="2"/>
      <c r="G9365" s="2"/>
      <c r="H9365" s="2"/>
    </row>
    <row r="9366" spans="1:8" x14ac:dyDescent="0.25">
      <c r="A9366" s="1"/>
      <c r="B9366" s="1" t="s">
        <v>5161</v>
      </c>
      <c r="C9366" s="1" t="s">
        <v>5162</v>
      </c>
      <c r="D9366" s="22" t="str">
        <f>HYPERLINK("https://rhld.insurance.arkansas.gov/NPILookup?Npi=1083752414","1083752414")</f>
        <v>1083752414</v>
      </c>
      <c r="E9366" s="1" t="s">
        <v>19425</v>
      </c>
      <c r="F9366" s="2"/>
      <c r="G9366" s="2"/>
      <c r="H9366" s="2"/>
    </row>
    <row r="9367" spans="1:8" x14ac:dyDescent="0.25">
      <c r="A9367" s="1"/>
      <c r="B9367" s="1" t="s">
        <v>5161</v>
      </c>
      <c r="C9367" s="1" t="s">
        <v>5162</v>
      </c>
      <c r="D9367" s="22" t="str">
        <f>HYPERLINK("https://rhld.insurance.arkansas.gov/NPILookup?Npi=1083843486","1083843486")</f>
        <v>1083843486</v>
      </c>
      <c r="E9367" s="1" t="s">
        <v>19426</v>
      </c>
      <c r="F9367" s="2"/>
      <c r="G9367" s="2"/>
      <c r="H9367" s="2"/>
    </row>
    <row r="9368" spans="1:8" x14ac:dyDescent="0.25">
      <c r="A9368" s="1"/>
      <c r="B9368" s="1" t="s">
        <v>5161</v>
      </c>
      <c r="C9368" s="1" t="s">
        <v>5162</v>
      </c>
      <c r="D9368" s="22" t="str">
        <f>HYPERLINK("https://rhld.insurance.arkansas.gov/NPILookup?Npi=1083844500","1083844500")</f>
        <v>1083844500</v>
      </c>
      <c r="E9368" s="1" t="s">
        <v>5182</v>
      </c>
      <c r="F9368" s="2"/>
      <c r="G9368" s="2"/>
      <c r="H9368" s="2"/>
    </row>
    <row r="9369" spans="1:8" x14ac:dyDescent="0.25">
      <c r="A9369" s="1"/>
      <c r="B9369" s="1" t="s">
        <v>5161</v>
      </c>
      <c r="C9369" s="1" t="s">
        <v>5162</v>
      </c>
      <c r="D9369" s="22" t="str">
        <f>HYPERLINK("https://rhld.insurance.arkansas.gov/NPILookup?Npi=1083850663","1083850663")</f>
        <v>1083850663</v>
      </c>
      <c r="E9369" s="1" t="s">
        <v>10964</v>
      </c>
      <c r="F9369" s="2"/>
      <c r="G9369" s="2"/>
      <c r="H9369" s="2"/>
    </row>
    <row r="9370" spans="1:8" x14ac:dyDescent="0.25">
      <c r="A9370" s="1"/>
      <c r="B9370" s="1" t="s">
        <v>5161</v>
      </c>
      <c r="C9370" s="1" t="s">
        <v>5162</v>
      </c>
      <c r="D9370" s="22" t="str">
        <f>HYPERLINK("https://rhld.insurance.arkansas.gov/NPILookup?Npi=1083897920","1083897920")</f>
        <v>1083897920</v>
      </c>
      <c r="E9370" s="1" t="s">
        <v>19427</v>
      </c>
      <c r="F9370" s="2"/>
      <c r="G9370" s="2"/>
      <c r="H9370" s="2"/>
    </row>
    <row r="9371" spans="1:8" x14ac:dyDescent="0.25">
      <c r="A9371" s="1"/>
      <c r="B9371" s="1" t="s">
        <v>5161</v>
      </c>
      <c r="C9371" s="1" t="s">
        <v>5162</v>
      </c>
      <c r="D9371" s="22" t="str">
        <f>HYPERLINK("https://rhld.insurance.arkansas.gov/NPILookup?Npi=1093025793","1093025793")</f>
        <v>1093025793</v>
      </c>
      <c r="E9371" s="1" t="s">
        <v>5183</v>
      </c>
      <c r="F9371" s="2"/>
      <c r="G9371" s="2"/>
      <c r="H9371" s="2"/>
    </row>
    <row r="9372" spans="1:8" x14ac:dyDescent="0.25">
      <c r="A9372" s="1"/>
      <c r="B9372" s="1" t="s">
        <v>5161</v>
      </c>
      <c r="C9372" s="1" t="s">
        <v>5162</v>
      </c>
      <c r="D9372" s="22" t="str">
        <f>HYPERLINK("https://rhld.insurance.arkansas.gov/NPILookup?Npi=1093047649","1093047649")</f>
        <v>1093047649</v>
      </c>
      <c r="E9372" s="1" t="s">
        <v>19428</v>
      </c>
      <c r="F9372" s="2"/>
      <c r="G9372" s="2"/>
      <c r="H9372" s="2"/>
    </row>
    <row r="9373" spans="1:8" x14ac:dyDescent="0.25">
      <c r="A9373" s="1"/>
      <c r="B9373" s="1" t="s">
        <v>5161</v>
      </c>
      <c r="C9373" s="1" t="s">
        <v>5162</v>
      </c>
      <c r="D9373" s="22" t="str">
        <f>HYPERLINK("https://rhld.insurance.arkansas.gov/NPILookup?Npi=1093049058","1093049058")</f>
        <v>1093049058</v>
      </c>
      <c r="E9373" s="1" t="s">
        <v>5184</v>
      </c>
      <c r="F9373" s="2"/>
      <c r="G9373" s="2"/>
      <c r="H9373" s="2"/>
    </row>
    <row r="9374" spans="1:8" x14ac:dyDescent="0.25">
      <c r="A9374" s="1"/>
      <c r="B9374" s="1" t="s">
        <v>5161</v>
      </c>
      <c r="C9374" s="1" t="s">
        <v>5162</v>
      </c>
      <c r="D9374" s="22" t="str">
        <f>HYPERLINK("https://rhld.insurance.arkansas.gov/NPILookup?Npi=1093142333","1093142333")</f>
        <v>1093142333</v>
      </c>
      <c r="E9374" s="1" t="s">
        <v>5185</v>
      </c>
      <c r="F9374" s="2"/>
      <c r="G9374" s="2"/>
      <c r="H9374" s="2"/>
    </row>
    <row r="9375" spans="1:8" x14ac:dyDescent="0.25">
      <c r="A9375" s="1"/>
      <c r="B9375" s="1" t="s">
        <v>5161</v>
      </c>
      <c r="C9375" s="1" t="s">
        <v>5162</v>
      </c>
      <c r="D9375" s="22" t="str">
        <f>HYPERLINK("https://rhld.insurance.arkansas.gov/NPILookup?Npi=1093173221","1093173221")</f>
        <v>1093173221</v>
      </c>
      <c r="E9375" s="1" t="s">
        <v>5186</v>
      </c>
      <c r="F9375" s="2"/>
      <c r="G9375" s="2"/>
      <c r="H9375" s="2"/>
    </row>
    <row r="9376" spans="1:8" x14ac:dyDescent="0.25">
      <c r="A9376" s="1"/>
      <c r="B9376" s="1" t="s">
        <v>5161</v>
      </c>
      <c r="C9376" s="1" t="s">
        <v>5162</v>
      </c>
      <c r="D9376" s="22" t="str">
        <f>HYPERLINK("https://rhld.insurance.arkansas.gov/NPILookup?Npi=1093173775","1093173775")</f>
        <v>1093173775</v>
      </c>
      <c r="E9376" s="1" t="s">
        <v>5187</v>
      </c>
      <c r="F9376" s="2"/>
      <c r="G9376" s="2"/>
      <c r="H9376" s="2"/>
    </row>
    <row r="9377" spans="1:8" x14ac:dyDescent="0.25">
      <c r="A9377" s="1"/>
      <c r="B9377" s="1" t="s">
        <v>5161</v>
      </c>
      <c r="C9377" s="1" t="s">
        <v>5162</v>
      </c>
      <c r="D9377" s="22" t="str">
        <f>HYPERLINK("https://rhld.insurance.arkansas.gov/NPILookup?Npi=1093211088","1093211088")</f>
        <v>1093211088</v>
      </c>
      <c r="E9377" s="1" t="s">
        <v>5188</v>
      </c>
      <c r="F9377" s="2"/>
      <c r="G9377" s="2"/>
      <c r="H9377" s="2"/>
    </row>
    <row r="9378" spans="1:8" x14ac:dyDescent="0.25">
      <c r="A9378" s="1"/>
      <c r="B9378" s="1" t="s">
        <v>5161</v>
      </c>
      <c r="C9378" s="1" t="s">
        <v>5162</v>
      </c>
      <c r="D9378" s="22" t="str">
        <f>HYPERLINK("https://rhld.insurance.arkansas.gov/NPILookup?Npi=1093266538","1093266538")</f>
        <v>1093266538</v>
      </c>
      <c r="E9378" s="1" t="s">
        <v>19429</v>
      </c>
      <c r="F9378" s="2"/>
      <c r="G9378" s="2"/>
      <c r="H9378" s="2"/>
    </row>
    <row r="9379" spans="1:8" x14ac:dyDescent="0.25">
      <c r="A9379" s="1"/>
      <c r="B9379" s="1" t="s">
        <v>5161</v>
      </c>
      <c r="C9379" s="1" t="s">
        <v>5162</v>
      </c>
      <c r="D9379" s="22" t="str">
        <f>HYPERLINK("https://rhld.insurance.arkansas.gov/NPILookup?Npi=1093275901","1093275901")</f>
        <v>1093275901</v>
      </c>
      <c r="E9379" s="1" t="s">
        <v>19430</v>
      </c>
      <c r="F9379" s="2"/>
      <c r="G9379" s="2"/>
      <c r="H9379" s="2"/>
    </row>
    <row r="9380" spans="1:8" x14ac:dyDescent="0.25">
      <c r="A9380" s="1"/>
      <c r="B9380" s="1" t="s">
        <v>5161</v>
      </c>
      <c r="C9380" s="1" t="s">
        <v>5162</v>
      </c>
      <c r="D9380" s="22" t="str">
        <f>HYPERLINK("https://rhld.insurance.arkansas.gov/NPILookup?Npi=1093283798","1093283798")</f>
        <v>1093283798</v>
      </c>
      <c r="E9380" s="1" t="s">
        <v>19431</v>
      </c>
      <c r="F9380" s="2"/>
      <c r="G9380" s="2"/>
      <c r="H9380" s="2"/>
    </row>
    <row r="9381" spans="1:8" x14ac:dyDescent="0.25">
      <c r="A9381" s="1"/>
      <c r="B9381" s="1" t="s">
        <v>5161</v>
      </c>
      <c r="C9381" s="1" t="s">
        <v>5162</v>
      </c>
      <c r="D9381" s="22" t="str">
        <f>HYPERLINK("https://rhld.insurance.arkansas.gov/NPILookup?Npi=1093371189","1093371189")</f>
        <v>1093371189</v>
      </c>
      <c r="E9381" s="1" t="s">
        <v>19432</v>
      </c>
      <c r="F9381" s="2"/>
      <c r="G9381" s="2"/>
      <c r="H9381" s="2"/>
    </row>
    <row r="9382" spans="1:8" x14ac:dyDescent="0.25">
      <c r="A9382" s="1"/>
      <c r="B9382" s="1" t="s">
        <v>5161</v>
      </c>
      <c r="C9382" s="1" t="s">
        <v>5162</v>
      </c>
      <c r="D9382" s="22" t="str">
        <f>HYPERLINK("https://rhld.insurance.arkansas.gov/NPILookup?Npi=1093447013","1093447013")</f>
        <v>1093447013</v>
      </c>
      <c r="E9382" s="1" t="s">
        <v>19433</v>
      </c>
      <c r="F9382" s="2"/>
      <c r="G9382" s="2"/>
      <c r="H9382" s="2"/>
    </row>
    <row r="9383" spans="1:8" x14ac:dyDescent="0.25">
      <c r="A9383" s="1"/>
      <c r="B9383" s="1" t="s">
        <v>5161</v>
      </c>
      <c r="C9383" s="1" t="s">
        <v>5162</v>
      </c>
      <c r="D9383" s="22" t="str">
        <f>HYPERLINK("https://rhld.insurance.arkansas.gov/NPILookup?Npi=1093537813","1093537813")</f>
        <v>1093537813</v>
      </c>
      <c r="E9383" s="1" t="s">
        <v>31685</v>
      </c>
      <c r="F9383" s="2"/>
      <c r="G9383" s="2"/>
      <c r="H9383" s="2"/>
    </row>
    <row r="9384" spans="1:8" x14ac:dyDescent="0.25">
      <c r="A9384" s="1"/>
      <c r="B9384" s="1" t="s">
        <v>5161</v>
      </c>
      <c r="C9384" s="1" t="s">
        <v>5162</v>
      </c>
      <c r="D9384" s="22" t="str">
        <f>HYPERLINK("https://rhld.insurance.arkansas.gov/NPILookup?Npi=1093538829","1093538829")</f>
        <v>1093538829</v>
      </c>
      <c r="E9384" s="1" t="s">
        <v>19434</v>
      </c>
      <c r="F9384" s="2"/>
      <c r="G9384" s="2"/>
      <c r="H9384" s="2"/>
    </row>
    <row r="9385" spans="1:8" x14ac:dyDescent="0.25">
      <c r="A9385" s="1"/>
      <c r="B9385" s="1" t="s">
        <v>5161</v>
      </c>
      <c r="C9385" s="1" t="s">
        <v>5162</v>
      </c>
      <c r="D9385" s="22" t="str">
        <f>HYPERLINK("https://rhld.insurance.arkansas.gov/NPILookup?Npi=1093572596","1093572596")</f>
        <v>1093572596</v>
      </c>
      <c r="E9385" s="1" t="s">
        <v>5189</v>
      </c>
      <c r="F9385" s="2"/>
      <c r="G9385" s="2"/>
      <c r="H9385" s="2"/>
    </row>
    <row r="9386" spans="1:8" x14ac:dyDescent="0.25">
      <c r="A9386" s="1"/>
      <c r="B9386" s="1" t="s">
        <v>5161</v>
      </c>
      <c r="C9386" s="1" t="s">
        <v>5162</v>
      </c>
      <c r="D9386" s="22" t="str">
        <f>HYPERLINK("https://rhld.insurance.arkansas.gov/NPILookup?Npi=1093589913","1093589913")</f>
        <v>1093589913</v>
      </c>
      <c r="E9386" s="1" t="s">
        <v>5190</v>
      </c>
      <c r="F9386" s="2"/>
      <c r="G9386" s="2"/>
      <c r="H9386" s="2"/>
    </row>
    <row r="9387" spans="1:8" x14ac:dyDescent="0.25">
      <c r="A9387" s="1"/>
      <c r="B9387" s="1" t="s">
        <v>5161</v>
      </c>
      <c r="C9387" s="1" t="s">
        <v>5162</v>
      </c>
      <c r="D9387" s="22" t="str">
        <f>HYPERLINK("https://rhld.insurance.arkansas.gov/NPILookup?Npi=1093597379","1093597379")</f>
        <v>1093597379</v>
      </c>
      <c r="E9387" s="1" t="s">
        <v>5191</v>
      </c>
      <c r="F9387" s="2"/>
      <c r="G9387" s="2"/>
      <c r="H9387" s="2"/>
    </row>
    <row r="9388" spans="1:8" x14ac:dyDescent="0.25">
      <c r="A9388" s="1"/>
      <c r="B9388" s="1" t="s">
        <v>5161</v>
      </c>
      <c r="C9388" s="1" t="s">
        <v>5162</v>
      </c>
      <c r="D9388" s="22" t="str">
        <f>HYPERLINK("https://rhld.insurance.arkansas.gov/NPILookup?Npi=1093741951","1093741951")</f>
        <v>1093741951</v>
      </c>
      <c r="E9388" s="1" t="s">
        <v>19435</v>
      </c>
      <c r="F9388" s="2"/>
      <c r="G9388" s="2"/>
      <c r="H9388" s="2"/>
    </row>
    <row r="9389" spans="1:8" x14ac:dyDescent="0.25">
      <c r="A9389" s="1"/>
      <c r="B9389" s="1" t="s">
        <v>5161</v>
      </c>
      <c r="C9389" s="1" t="s">
        <v>5162</v>
      </c>
      <c r="D9389" s="22" t="str">
        <f>HYPERLINK("https://rhld.insurance.arkansas.gov/NPILookup?Npi=1093851982","1093851982")</f>
        <v>1093851982</v>
      </c>
      <c r="E9389" s="1" t="s">
        <v>19436</v>
      </c>
      <c r="F9389" s="2"/>
      <c r="G9389" s="2"/>
      <c r="H9389" s="2"/>
    </row>
    <row r="9390" spans="1:8" x14ac:dyDescent="0.25">
      <c r="A9390" s="1"/>
      <c r="B9390" s="1" t="s">
        <v>5161</v>
      </c>
      <c r="C9390" s="1" t="s">
        <v>5162</v>
      </c>
      <c r="D9390" s="22" t="str">
        <f>HYPERLINK("https://rhld.insurance.arkansas.gov/NPILookup?Npi=1093873531","1093873531")</f>
        <v>1093873531</v>
      </c>
      <c r="E9390" s="1" t="s">
        <v>10965</v>
      </c>
      <c r="F9390" s="2"/>
      <c r="G9390" s="2"/>
      <c r="H9390" s="2"/>
    </row>
    <row r="9391" spans="1:8" x14ac:dyDescent="0.25">
      <c r="A9391" s="1"/>
      <c r="B9391" s="1" t="s">
        <v>5161</v>
      </c>
      <c r="C9391" s="1" t="s">
        <v>5162</v>
      </c>
      <c r="D9391" s="22" t="str">
        <f>HYPERLINK("https://rhld.insurance.arkansas.gov/NPILookup?Npi=1093892226","1093892226")</f>
        <v>1093892226</v>
      </c>
      <c r="E9391" s="1" t="s">
        <v>19437</v>
      </c>
      <c r="F9391" s="2"/>
      <c r="G9391" s="2"/>
      <c r="H9391" s="2"/>
    </row>
    <row r="9392" spans="1:8" x14ac:dyDescent="0.25">
      <c r="A9392" s="1"/>
      <c r="B9392" s="1" t="s">
        <v>5161</v>
      </c>
      <c r="C9392" s="1" t="s">
        <v>5162</v>
      </c>
      <c r="D9392" s="22" t="str">
        <f>HYPERLINK("https://rhld.insurance.arkansas.gov/NPILookup?Npi=1093946535","1093946535")</f>
        <v>1093946535</v>
      </c>
      <c r="E9392" s="1" t="s">
        <v>5192</v>
      </c>
      <c r="F9392" s="2"/>
      <c r="G9392" s="2"/>
      <c r="H9392" s="2"/>
    </row>
    <row r="9393" spans="1:8" x14ac:dyDescent="0.25">
      <c r="A9393" s="1"/>
      <c r="B9393" s="1" t="s">
        <v>5161</v>
      </c>
      <c r="C9393" s="1" t="s">
        <v>5162</v>
      </c>
      <c r="D9393" s="22" t="str">
        <f>HYPERLINK("https://rhld.insurance.arkansas.gov/NPILookup?Npi=1104012509","1104012509")</f>
        <v>1104012509</v>
      </c>
      <c r="E9393" s="1" t="s">
        <v>10966</v>
      </c>
      <c r="F9393" s="2"/>
      <c r="G9393" s="2"/>
      <c r="H9393" s="2"/>
    </row>
    <row r="9394" spans="1:8" x14ac:dyDescent="0.25">
      <c r="A9394" s="1"/>
      <c r="B9394" s="1" t="s">
        <v>5161</v>
      </c>
      <c r="C9394" s="1" t="s">
        <v>5162</v>
      </c>
      <c r="D9394" s="22" t="str">
        <f>HYPERLINK("https://rhld.insurance.arkansas.gov/NPILookup?Npi=1104078195","1104078195")</f>
        <v>1104078195</v>
      </c>
      <c r="E9394" s="1" t="s">
        <v>5193</v>
      </c>
      <c r="F9394" s="2"/>
      <c r="G9394" s="2"/>
      <c r="H9394" s="2"/>
    </row>
    <row r="9395" spans="1:8" x14ac:dyDescent="0.25">
      <c r="A9395" s="1"/>
      <c r="B9395" s="1" t="s">
        <v>5161</v>
      </c>
      <c r="C9395" s="1" t="s">
        <v>5162</v>
      </c>
      <c r="D9395" s="22" t="str">
        <f>HYPERLINK("https://rhld.insurance.arkansas.gov/NPILookup?Npi=1104087618","1104087618")</f>
        <v>1104087618</v>
      </c>
      <c r="E9395" s="1" t="s">
        <v>5194</v>
      </c>
      <c r="F9395" s="2"/>
      <c r="G9395" s="2"/>
      <c r="H9395" s="2"/>
    </row>
    <row r="9396" spans="1:8" x14ac:dyDescent="0.25">
      <c r="A9396" s="1"/>
      <c r="B9396" s="1" t="s">
        <v>5161</v>
      </c>
      <c r="C9396" s="1" t="s">
        <v>5162</v>
      </c>
      <c r="D9396" s="22" t="str">
        <f>HYPERLINK("https://rhld.insurance.arkansas.gov/NPILookup?Npi=1104151802","1104151802")</f>
        <v>1104151802</v>
      </c>
      <c r="E9396" s="1" t="s">
        <v>19438</v>
      </c>
      <c r="F9396" s="2"/>
      <c r="G9396" s="2"/>
      <c r="H9396" s="2"/>
    </row>
    <row r="9397" spans="1:8" x14ac:dyDescent="0.25">
      <c r="A9397" s="1"/>
      <c r="B9397" s="1" t="s">
        <v>5161</v>
      </c>
      <c r="C9397" s="1" t="s">
        <v>5162</v>
      </c>
      <c r="D9397" s="22" t="str">
        <f>HYPERLINK("https://rhld.insurance.arkansas.gov/NPILookup?Npi=1104300466","1104300466")</f>
        <v>1104300466</v>
      </c>
      <c r="E9397" s="1" t="s">
        <v>19439</v>
      </c>
      <c r="F9397" s="2"/>
      <c r="G9397" s="2"/>
      <c r="H9397" s="2"/>
    </row>
    <row r="9398" spans="1:8" x14ac:dyDescent="0.25">
      <c r="A9398" s="1"/>
      <c r="B9398" s="1" t="s">
        <v>5161</v>
      </c>
      <c r="C9398" s="1" t="s">
        <v>5162</v>
      </c>
      <c r="D9398" s="22" t="str">
        <f>HYPERLINK("https://rhld.insurance.arkansas.gov/NPILookup?Npi=1104328400","1104328400")</f>
        <v>1104328400</v>
      </c>
      <c r="E9398" s="1" t="s">
        <v>10967</v>
      </c>
      <c r="F9398" s="2"/>
      <c r="G9398" s="2"/>
      <c r="H9398" s="2"/>
    </row>
    <row r="9399" spans="1:8" x14ac:dyDescent="0.25">
      <c r="A9399" s="1"/>
      <c r="B9399" s="1" t="s">
        <v>5161</v>
      </c>
      <c r="C9399" s="1" t="s">
        <v>5162</v>
      </c>
      <c r="D9399" s="22" t="str">
        <f>HYPERLINK("https://rhld.insurance.arkansas.gov/NPILookup?Npi=1104424522","1104424522")</f>
        <v>1104424522</v>
      </c>
      <c r="E9399" s="1" t="s">
        <v>5195</v>
      </c>
      <c r="F9399" s="2"/>
      <c r="G9399" s="2"/>
      <c r="H9399" s="2"/>
    </row>
    <row r="9400" spans="1:8" x14ac:dyDescent="0.25">
      <c r="A9400" s="1"/>
      <c r="B9400" s="1" t="s">
        <v>5161</v>
      </c>
      <c r="C9400" s="1" t="s">
        <v>5162</v>
      </c>
      <c r="D9400" s="22" t="str">
        <f>HYPERLINK("https://rhld.insurance.arkansas.gov/NPILookup?Npi=1104458207","1104458207")</f>
        <v>1104458207</v>
      </c>
      <c r="E9400" s="1" t="s">
        <v>19440</v>
      </c>
      <c r="F9400" s="2"/>
      <c r="G9400" s="2"/>
      <c r="H9400" s="2"/>
    </row>
    <row r="9401" spans="1:8" x14ac:dyDescent="0.25">
      <c r="A9401" s="1"/>
      <c r="B9401" s="1" t="s">
        <v>5161</v>
      </c>
      <c r="C9401" s="1" t="s">
        <v>5162</v>
      </c>
      <c r="D9401" s="22" t="str">
        <f>HYPERLINK("https://rhld.insurance.arkansas.gov/NPILookup?Npi=1104491356","1104491356")</f>
        <v>1104491356</v>
      </c>
      <c r="E9401" s="1" t="s">
        <v>5196</v>
      </c>
      <c r="F9401" s="2"/>
      <c r="G9401" s="2"/>
      <c r="H9401" s="2"/>
    </row>
    <row r="9402" spans="1:8" x14ac:dyDescent="0.25">
      <c r="A9402" s="1"/>
      <c r="B9402" s="1" t="s">
        <v>5161</v>
      </c>
      <c r="C9402" s="1" t="s">
        <v>5162</v>
      </c>
      <c r="D9402" s="22" t="str">
        <f>HYPERLINK("https://rhld.insurance.arkansas.gov/NPILookup?Npi=1104572924","1104572924")</f>
        <v>1104572924</v>
      </c>
      <c r="E9402" s="1" t="s">
        <v>19441</v>
      </c>
      <c r="F9402" s="2"/>
      <c r="G9402" s="2"/>
      <c r="H9402" s="2"/>
    </row>
    <row r="9403" spans="1:8" x14ac:dyDescent="0.25">
      <c r="A9403" s="1"/>
      <c r="B9403" s="1" t="s">
        <v>5161</v>
      </c>
      <c r="C9403" s="1" t="s">
        <v>5162</v>
      </c>
      <c r="D9403" s="22" t="str">
        <f>HYPERLINK("https://rhld.insurance.arkansas.gov/NPILookup?Npi=1104606896","1104606896")</f>
        <v>1104606896</v>
      </c>
      <c r="E9403" s="1" t="s">
        <v>19442</v>
      </c>
      <c r="F9403" s="2"/>
      <c r="G9403" s="2"/>
      <c r="H9403" s="2"/>
    </row>
    <row r="9404" spans="1:8" x14ac:dyDescent="0.25">
      <c r="A9404" s="1"/>
      <c r="B9404" s="1" t="s">
        <v>5161</v>
      </c>
      <c r="C9404" s="1" t="s">
        <v>5162</v>
      </c>
      <c r="D9404" s="22" t="str">
        <f>HYPERLINK("https://rhld.insurance.arkansas.gov/NPILookup?Npi=1114024924","1114024924")</f>
        <v>1114024924</v>
      </c>
      <c r="E9404" s="1" t="s">
        <v>19443</v>
      </c>
      <c r="F9404" s="2"/>
      <c r="G9404" s="2"/>
      <c r="H9404" s="2"/>
    </row>
    <row r="9405" spans="1:8" x14ac:dyDescent="0.25">
      <c r="A9405" s="1"/>
      <c r="B9405" s="1" t="s">
        <v>5161</v>
      </c>
      <c r="C9405" s="1" t="s">
        <v>5162</v>
      </c>
      <c r="D9405" s="22" t="str">
        <f>HYPERLINK("https://rhld.insurance.arkansas.gov/NPILookup?Npi=1114075405","1114075405")</f>
        <v>1114075405</v>
      </c>
      <c r="E9405" s="1" t="s">
        <v>19444</v>
      </c>
      <c r="F9405" s="2"/>
      <c r="G9405" s="2"/>
      <c r="H9405" s="2"/>
    </row>
    <row r="9406" spans="1:8" x14ac:dyDescent="0.25">
      <c r="A9406" s="1"/>
      <c r="B9406" s="1" t="s">
        <v>5161</v>
      </c>
      <c r="C9406" s="1" t="s">
        <v>5162</v>
      </c>
      <c r="D9406" s="22" t="str">
        <f>HYPERLINK("https://rhld.insurance.arkansas.gov/NPILookup?Npi=1114126422","1114126422")</f>
        <v>1114126422</v>
      </c>
      <c r="E9406" s="1" t="s">
        <v>19445</v>
      </c>
      <c r="F9406" s="2"/>
      <c r="G9406" s="2"/>
      <c r="H9406" s="2"/>
    </row>
    <row r="9407" spans="1:8" x14ac:dyDescent="0.25">
      <c r="A9407" s="1"/>
      <c r="B9407" s="1" t="s">
        <v>5161</v>
      </c>
      <c r="C9407" s="1" t="s">
        <v>5162</v>
      </c>
      <c r="D9407" s="22" t="str">
        <f>HYPERLINK("https://rhld.insurance.arkansas.gov/NPILookup?Npi=1114187994","1114187994")</f>
        <v>1114187994</v>
      </c>
      <c r="E9407" s="1" t="s">
        <v>10968</v>
      </c>
      <c r="F9407" s="2"/>
      <c r="G9407" s="2"/>
      <c r="H9407" s="2"/>
    </row>
    <row r="9408" spans="1:8" x14ac:dyDescent="0.25">
      <c r="A9408" s="1"/>
      <c r="B9408" s="1" t="s">
        <v>5161</v>
      </c>
      <c r="C9408" s="1" t="s">
        <v>5162</v>
      </c>
      <c r="D9408" s="22" t="str">
        <f>HYPERLINK("https://rhld.insurance.arkansas.gov/NPILookup?Npi=1114227337","1114227337")</f>
        <v>1114227337</v>
      </c>
      <c r="E9408" s="1" t="s">
        <v>19446</v>
      </c>
      <c r="F9408" s="2"/>
      <c r="G9408" s="2"/>
      <c r="H9408" s="2"/>
    </row>
    <row r="9409" spans="1:8" x14ac:dyDescent="0.25">
      <c r="A9409" s="1"/>
      <c r="B9409" s="1" t="s">
        <v>5161</v>
      </c>
      <c r="C9409" s="1" t="s">
        <v>5162</v>
      </c>
      <c r="D9409" s="22" t="str">
        <f>HYPERLINK("https://rhld.insurance.arkansas.gov/NPILookup?Npi=1114278132","1114278132")</f>
        <v>1114278132</v>
      </c>
      <c r="E9409" s="1" t="s">
        <v>19447</v>
      </c>
      <c r="F9409" s="2"/>
      <c r="G9409" s="2"/>
      <c r="H9409" s="2"/>
    </row>
    <row r="9410" spans="1:8" x14ac:dyDescent="0.25">
      <c r="A9410" s="1"/>
      <c r="B9410" s="1" t="s">
        <v>5161</v>
      </c>
      <c r="C9410" s="1" t="s">
        <v>5162</v>
      </c>
      <c r="D9410" s="22" t="str">
        <f>HYPERLINK("https://rhld.insurance.arkansas.gov/NPILookup?Npi=1114301454","1114301454")</f>
        <v>1114301454</v>
      </c>
      <c r="E9410" s="1" t="s">
        <v>19448</v>
      </c>
      <c r="F9410" s="2"/>
      <c r="G9410" s="2"/>
      <c r="H9410" s="2"/>
    </row>
    <row r="9411" spans="1:8" x14ac:dyDescent="0.25">
      <c r="A9411" s="1"/>
      <c r="B9411" s="1" t="s">
        <v>5161</v>
      </c>
      <c r="C9411" s="1" t="s">
        <v>5162</v>
      </c>
      <c r="D9411" s="22" t="str">
        <f>HYPERLINK("https://rhld.insurance.arkansas.gov/NPILookup?Npi=1114314242","1114314242")</f>
        <v>1114314242</v>
      </c>
      <c r="E9411" s="1" t="s">
        <v>5198</v>
      </c>
      <c r="F9411" s="2"/>
      <c r="G9411" s="2"/>
      <c r="H9411" s="2"/>
    </row>
    <row r="9412" spans="1:8" x14ac:dyDescent="0.25">
      <c r="A9412" s="1"/>
      <c r="B9412" s="1" t="s">
        <v>5161</v>
      </c>
      <c r="C9412" s="1" t="s">
        <v>5162</v>
      </c>
      <c r="D9412" s="22" t="str">
        <f>HYPERLINK("https://rhld.insurance.arkansas.gov/NPILookup?Npi=1114327525","1114327525")</f>
        <v>1114327525</v>
      </c>
      <c r="E9412" s="1" t="s">
        <v>19449</v>
      </c>
      <c r="F9412" s="2"/>
      <c r="G9412" s="2"/>
      <c r="H9412" s="2"/>
    </row>
    <row r="9413" spans="1:8" x14ac:dyDescent="0.25">
      <c r="A9413" s="1"/>
      <c r="B9413" s="1" t="s">
        <v>5161</v>
      </c>
      <c r="C9413" s="1" t="s">
        <v>5162</v>
      </c>
      <c r="D9413" s="22" t="str">
        <f>HYPERLINK("https://rhld.insurance.arkansas.gov/NPILookup?Npi=1114352077","1114352077")</f>
        <v>1114352077</v>
      </c>
      <c r="E9413" s="1" t="s">
        <v>19450</v>
      </c>
      <c r="F9413" s="2"/>
      <c r="G9413" s="2"/>
      <c r="H9413" s="2"/>
    </row>
    <row r="9414" spans="1:8" x14ac:dyDescent="0.25">
      <c r="A9414" s="1"/>
      <c r="B9414" s="1" t="s">
        <v>5161</v>
      </c>
      <c r="C9414" s="1" t="s">
        <v>5162</v>
      </c>
      <c r="D9414" s="22" t="str">
        <f>HYPERLINK("https://rhld.insurance.arkansas.gov/NPILookup?Npi=1114384252","1114384252")</f>
        <v>1114384252</v>
      </c>
      <c r="E9414" s="1" t="s">
        <v>19451</v>
      </c>
      <c r="F9414" s="2"/>
      <c r="G9414" s="2"/>
      <c r="H9414" s="2"/>
    </row>
    <row r="9415" spans="1:8" x14ac:dyDescent="0.25">
      <c r="A9415" s="1"/>
      <c r="B9415" s="1" t="s">
        <v>5161</v>
      </c>
      <c r="C9415" s="1" t="s">
        <v>5162</v>
      </c>
      <c r="D9415" s="22" t="str">
        <f>HYPERLINK("https://rhld.insurance.arkansas.gov/NPILookup?Npi=1114397502","1114397502")</f>
        <v>1114397502</v>
      </c>
      <c r="E9415" s="1" t="s">
        <v>19452</v>
      </c>
      <c r="F9415" s="2"/>
      <c r="G9415" s="2"/>
      <c r="H9415" s="2"/>
    </row>
    <row r="9416" spans="1:8" x14ac:dyDescent="0.25">
      <c r="A9416" s="1"/>
      <c r="B9416" s="1" t="s">
        <v>5161</v>
      </c>
      <c r="C9416" s="1" t="s">
        <v>5162</v>
      </c>
      <c r="D9416" s="22" t="str">
        <f>HYPERLINK("https://rhld.insurance.arkansas.gov/NPILookup?Npi=1114512894","1114512894")</f>
        <v>1114512894</v>
      </c>
      <c r="E9416" s="1" t="s">
        <v>10969</v>
      </c>
      <c r="F9416" s="2"/>
      <c r="G9416" s="2"/>
      <c r="H9416" s="2"/>
    </row>
    <row r="9417" spans="1:8" x14ac:dyDescent="0.25">
      <c r="A9417" s="1"/>
      <c r="B9417" s="1" t="s">
        <v>5161</v>
      </c>
      <c r="C9417" s="1" t="s">
        <v>5162</v>
      </c>
      <c r="D9417" s="22" t="str">
        <f>HYPERLINK("https://rhld.insurance.arkansas.gov/NPILookup?Npi=1114569332","1114569332")</f>
        <v>1114569332</v>
      </c>
      <c r="E9417" s="1" t="s">
        <v>5200</v>
      </c>
      <c r="F9417" s="2"/>
      <c r="G9417" s="2"/>
      <c r="H9417" s="2"/>
    </row>
    <row r="9418" spans="1:8" x14ac:dyDescent="0.25">
      <c r="A9418" s="1"/>
      <c r="B9418" s="1" t="s">
        <v>5161</v>
      </c>
      <c r="C9418" s="1" t="s">
        <v>5162</v>
      </c>
      <c r="D9418" s="22" t="str">
        <f>HYPERLINK("https://rhld.insurance.arkansas.gov/NPILookup?Npi=1114618030","1114618030")</f>
        <v>1114618030</v>
      </c>
      <c r="E9418" s="1" t="s">
        <v>19453</v>
      </c>
      <c r="F9418" s="2"/>
      <c r="G9418" s="2"/>
      <c r="H9418" s="2"/>
    </row>
    <row r="9419" spans="1:8" x14ac:dyDescent="0.25">
      <c r="A9419" s="1"/>
      <c r="B9419" s="1" t="s">
        <v>5161</v>
      </c>
      <c r="C9419" s="1" t="s">
        <v>5162</v>
      </c>
      <c r="D9419" s="22" t="str">
        <f>HYPERLINK("https://rhld.insurance.arkansas.gov/NPILookup?Npi=1114628807","1114628807")</f>
        <v>1114628807</v>
      </c>
      <c r="E9419" s="1" t="s">
        <v>19454</v>
      </c>
      <c r="F9419" s="2"/>
      <c r="G9419" s="2"/>
      <c r="H9419" s="2"/>
    </row>
    <row r="9420" spans="1:8" x14ac:dyDescent="0.25">
      <c r="A9420" s="1"/>
      <c r="B9420" s="1" t="s">
        <v>5161</v>
      </c>
      <c r="C9420" s="1" t="s">
        <v>5162</v>
      </c>
      <c r="D9420" s="22" t="str">
        <f>HYPERLINK("https://rhld.insurance.arkansas.gov/NPILookup?Npi=1124050778","1124050778")</f>
        <v>1124050778</v>
      </c>
      <c r="E9420" s="1" t="s">
        <v>10970</v>
      </c>
      <c r="F9420" s="2"/>
      <c r="G9420" s="2"/>
      <c r="H9420" s="2"/>
    </row>
    <row r="9421" spans="1:8" x14ac:dyDescent="0.25">
      <c r="A9421" s="1"/>
      <c r="B9421" s="1" t="s">
        <v>5161</v>
      </c>
      <c r="C9421" s="1" t="s">
        <v>5162</v>
      </c>
      <c r="D9421" s="22" t="str">
        <f>HYPERLINK("https://rhld.insurance.arkansas.gov/NPILookup?Npi=1124076138","1124076138")</f>
        <v>1124076138</v>
      </c>
      <c r="E9421" s="1" t="s">
        <v>19455</v>
      </c>
      <c r="F9421" s="2"/>
      <c r="G9421" s="2"/>
      <c r="H9421" s="2"/>
    </row>
    <row r="9422" spans="1:8" x14ac:dyDescent="0.25">
      <c r="A9422" s="1"/>
      <c r="B9422" s="1" t="s">
        <v>5161</v>
      </c>
      <c r="C9422" s="1" t="s">
        <v>5162</v>
      </c>
      <c r="D9422" s="22" t="str">
        <f>HYPERLINK("https://rhld.insurance.arkansas.gov/NPILookup?Npi=1124166020","1124166020")</f>
        <v>1124166020</v>
      </c>
      <c r="E9422" s="1" t="s">
        <v>19456</v>
      </c>
      <c r="F9422" s="2"/>
      <c r="G9422" s="2"/>
      <c r="H9422" s="2"/>
    </row>
    <row r="9423" spans="1:8" x14ac:dyDescent="0.25">
      <c r="A9423" s="1"/>
      <c r="B9423" s="1" t="s">
        <v>5161</v>
      </c>
      <c r="C9423" s="1" t="s">
        <v>5162</v>
      </c>
      <c r="D9423" s="22" t="str">
        <f>HYPERLINK("https://rhld.insurance.arkansas.gov/NPILookup?Npi=1124277868","1124277868")</f>
        <v>1124277868</v>
      </c>
      <c r="E9423" s="1" t="s">
        <v>19457</v>
      </c>
      <c r="F9423" s="2"/>
      <c r="G9423" s="2"/>
      <c r="H9423" s="2"/>
    </row>
    <row r="9424" spans="1:8" x14ac:dyDescent="0.25">
      <c r="A9424" s="1"/>
      <c r="B9424" s="1" t="s">
        <v>5161</v>
      </c>
      <c r="C9424" s="1" t="s">
        <v>5162</v>
      </c>
      <c r="D9424" s="22" t="str">
        <f>HYPERLINK("https://rhld.insurance.arkansas.gov/NPILookup?Npi=1124307582","1124307582")</f>
        <v>1124307582</v>
      </c>
      <c r="E9424" s="1" t="s">
        <v>5201</v>
      </c>
      <c r="F9424" s="2"/>
      <c r="G9424" s="2"/>
      <c r="H9424" s="2"/>
    </row>
    <row r="9425" spans="1:8" x14ac:dyDescent="0.25">
      <c r="A9425" s="1"/>
      <c r="B9425" s="1" t="s">
        <v>5161</v>
      </c>
      <c r="C9425" s="1" t="s">
        <v>5162</v>
      </c>
      <c r="D9425" s="22" t="str">
        <f>HYPERLINK("https://rhld.insurance.arkansas.gov/NPILookup?Npi=1124316914","1124316914")</f>
        <v>1124316914</v>
      </c>
      <c r="E9425" s="1" t="s">
        <v>5202</v>
      </c>
      <c r="F9425" s="2"/>
      <c r="G9425" s="2"/>
      <c r="H9425" s="2"/>
    </row>
    <row r="9426" spans="1:8" x14ac:dyDescent="0.25">
      <c r="A9426" s="1"/>
      <c r="B9426" s="1" t="s">
        <v>5161</v>
      </c>
      <c r="C9426" s="1" t="s">
        <v>5162</v>
      </c>
      <c r="D9426" s="22" t="str">
        <f>HYPERLINK("https://rhld.insurance.arkansas.gov/NPILookup?Npi=1124348057","1124348057")</f>
        <v>1124348057</v>
      </c>
      <c r="E9426" s="1" t="s">
        <v>5203</v>
      </c>
      <c r="F9426" s="2"/>
      <c r="G9426" s="2"/>
      <c r="H9426" s="2"/>
    </row>
    <row r="9427" spans="1:8" x14ac:dyDescent="0.25">
      <c r="A9427" s="1"/>
      <c r="B9427" s="1" t="s">
        <v>5161</v>
      </c>
      <c r="C9427" s="1" t="s">
        <v>5162</v>
      </c>
      <c r="D9427" s="22" t="str">
        <f>HYPERLINK("https://rhld.insurance.arkansas.gov/NPILookup?Npi=1124488390","1124488390")</f>
        <v>1124488390</v>
      </c>
      <c r="E9427" s="1" t="s">
        <v>19458</v>
      </c>
      <c r="F9427" s="2"/>
      <c r="G9427" s="2"/>
      <c r="H9427" s="2"/>
    </row>
    <row r="9428" spans="1:8" x14ac:dyDescent="0.25">
      <c r="A9428" s="1"/>
      <c r="B9428" s="1" t="s">
        <v>5161</v>
      </c>
      <c r="C9428" s="1" t="s">
        <v>5162</v>
      </c>
      <c r="D9428" s="22" t="str">
        <f>HYPERLINK("https://rhld.insurance.arkansas.gov/NPILookup?Npi=1124711577","1124711577")</f>
        <v>1124711577</v>
      </c>
      <c r="E9428" s="1" t="s">
        <v>4909</v>
      </c>
      <c r="F9428" s="2"/>
      <c r="G9428" s="2"/>
      <c r="H9428" s="2"/>
    </row>
    <row r="9429" spans="1:8" x14ac:dyDescent="0.25">
      <c r="A9429" s="1"/>
      <c r="B9429" s="1" t="s">
        <v>5161</v>
      </c>
      <c r="C9429" s="1" t="s">
        <v>5162</v>
      </c>
      <c r="D9429" s="22" t="str">
        <f>HYPERLINK("https://rhld.insurance.arkansas.gov/NPILookup?Npi=1124807474","1124807474")</f>
        <v>1124807474</v>
      </c>
      <c r="E9429" s="1" t="s">
        <v>7172</v>
      </c>
      <c r="F9429" s="2"/>
      <c r="G9429" s="2"/>
      <c r="H9429" s="2"/>
    </row>
    <row r="9430" spans="1:8" x14ac:dyDescent="0.25">
      <c r="A9430" s="1"/>
      <c r="B9430" s="1" t="s">
        <v>5161</v>
      </c>
      <c r="C9430" s="1" t="s">
        <v>5162</v>
      </c>
      <c r="D9430" s="22" t="str">
        <f>HYPERLINK("https://rhld.insurance.arkansas.gov/NPILookup?Npi=1124836580","1124836580")</f>
        <v>1124836580</v>
      </c>
      <c r="E9430" s="1" t="s">
        <v>31686</v>
      </c>
      <c r="F9430" s="2"/>
      <c r="G9430" s="2"/>
      <c r="H9430" s="2"/>
    </row>
    <row r="9431" spans="1:8" x14ac:dyDescent="0.25">
      <c r="A9431" s="1"/>
      <c r="B9431" s="1" t="s">
        <v>5161</v>
      </c>
      <c r="C9431" s="1" t="s">
        <v>5162</v>
      </c>
      <c r="D9431" s="22" t="str">
        <f>HYPERLINK("https://rhld.insurance.arkansas.gov/NPILookup?Npi=1134435902","1134435902")</f>
        <v>1134435902</v>
      </c>
      <c r="E9431" s="1" t="s">
        <v>19459</v>
      </c>
      <c r="F9431" s="2"/>
      <c r="G9431" s="2"/>
      <c r="H9431" s="2"/>
    </row>
    <row r="9432" spans="1:8" x14ac:dyDescent="0.25">
      <c r="A9432" s="1"/>
      <c r="B9432" s="1" t="s">
        <v>5161</v>
      </c>
      <c r="C9432" s="1" t="s">
        <v>5162</v>
      </c>
      <c r="D9432" s="22" t="str">
        <f>HYPERLINK("https://rhld.insurance.arkansas.gov/NPILookup?Npi=1134441793","1134441793")</f>
        <v>1134441793</v>
      </c>
      <c r="E9432" s="1" t="s">
        <v>5204</v>
      </c>
      <c r="F9432" s="2"/>
      <c r="G9432" s="2"/>
      <c r="H9432" s="2"/>
    </row>
    <row r="9433" spans="1:8" x14ac:dyDescent="0.25">
      <c r="A9433" s="1"/>
      <c r="B9433" s="1" t="s">
        <v>5161</v>
      </c>
      <c r="C9433" s="1" t="s">
        <v>5162</v>
      </c>
      <c r="D9433" s="22" t="str">
        <f>HYPERLINK("https://rhld.insurance.arkansas.gov/NPILookup?Npi=1134473275","1134473275")</f>
        <v>1134473275</v>
      </c>
      <c r="E9433" s="1" t="s">
        <v>19460</v>
      </c>
      <c r="F9433" s="2"/>
      <c r="G9433" s="2"/>
      <c r="H9433" s="2"/>
    </row>
    <row r="9434" spans="1:8" x14ac:dyDescent="0.25">
      <c r="A9434" s="1"/>
      <c r="B9434" s="1" t="s">
        <v>5161</v>
      </c>
      <c r="C9434" s="1" t="s">
        <v>5162</v>
      </c>
      <c r="D9434" s="22" t="str">
        <f>HYPERLINK("https://rhld.insurance.arkansas.gov/NPILookup?Npi=1134479702","1134479702")</f>
        <v>1134479702</v>
      </c>
      <c r="E9434" s="1" t="s">
        <v>22183</v>
      </c>
      <c r="F9434" s="2"/>
      <c r="G9434" s="2"/>
      <c r="H9434" s="2"/>
    </row>
    <row r="9435" spans="1:8" x14ac:dyDescent="0.25">
      <c r="A9435" s="1"/>
      <c r="B9435" s="1" t="s">
        <v>5161</v>
      </c>
      <c r="C9435" s="1" t="s">
        <v>5162</v>
      </c>
      <c r="D9435" s="22" t="str">
        <f>HYPERLINK("https://rhld.insurance.arkansas.gov/NPILookup?Npi=1134599152","1134599152")</f>
        <v>1134599152</v>
      </c>
      <c r="E9435" s="1" t="s">
        <v>5205</v>
      </c>
      <c r="F9435" s="2"/>
      <c r="G9435" s="2"/>
      <c r="H9435" s="2"/>
    </row>
    <row r="9436" spans="1:8" x14ac:dyDescent="0.25">
      <c r="A9436" s="1"/>
      <c r="B9436" s="1" t="s">
        <v>5161</v>
      </c>
      <c r="C9436" s="1" t="s">
        <v>5162</v>
      </c>
      <c r="D9436" s="22" t="str">
        <f>HYPERLINK("https://rhld.insurance.arkansas.gov/NPILookup?Npi=1134599772","1134599772")</f>
        <v>1134599772</v>
      </c>
      <c r="E9436" s="1" t="s">
        <v>19461</v>
      </c>
      <c r="F9436" s="2"/>
      <c r="G9436" s="2"/>
      <c r="H9436" s="2"/>
    </row>
    <row r="9437" spans="1:8" x14ac:dyDescent="0.25">
      <c r="A9437" s="1"/>
      <c r="B9437" s="1" t="s">
        <v>5161</v>
      </c>
      <c r="C9437" s="1" t="s">
        <v>5162</v>
      </c>
      <c r="D9437" s="22" t="str">
        <f>HYPERLINK("https://rhld.insurance.arkansas.gov/NPILookup?Npi=1134760267","1134760267")</f>
        <v>1134760267</v>
      </c>
      <c r="E9437" s="1" t="s">
        <v>19462</v>
      </c>
      <c r="F9437" s="2"/>
      <c r="G9437" s="2"/>
      <c r="H9437" s="2"/>
    </row>
    <row r="9438" spans="1:8" x14ac:dyDescent="0.25">
      <c r="A9438" s="1"/>
      <c r="B9438" s="1" t="s">
        <v>5161</v>
      </c>
      <c r="C9438" s="1" t="s">
        <v>5162</v>
      </c>
      <c r="D9438" s="22" t="str">
        <f>HYPERLINK("https://rhld.insurance.arkansas.gov/NPILookup?Npi=1134859655","1134859655")</f>
        <v>1134859655</v>
      </c>
      <c r="E9438" s="1" t="s">
        <v>5206</v>
      </c>
      <c r="F9438" s="2"/>
      <c r="G9438" s="2"/>
      <c r="H9438" s="2"/>
    </row>
    <row r="9439" spans="1:8" x14ac:dyDescent="0.25">
      <c r="A9439" s="1"/>
      <c r="B9439" s="1" t="s">
        <v>5161</v>
      </c>
      <c r="C9439" s="1" t="s">
        <v>5162</v>
      </c>
      <c r="D9439" s="22" t="str">
        <f>HYPERLINK("https://rhld.insurance.arkansas.gov/NPILookup?Npi=1134896491","1134896491")</f>
        <v>1134896491</v>
      </c>
      <c r="E9439" s="1" t="s">
        <v>19463</v>
      </c>
      <c r="F9439" s="2"/>
      <c r="G9439" s="2"/>
      <c r="H9439" s="2"/>
    </row>
    <row r="9440" spans="1:8" x14ac:dyDescent="0.25">
      <c r="A9440" s="1"/>
      <c r="B9440" s="1" t="s">
        <v>5161</v>
      </c>
      <c r="C9440" s="1" t="s">
        <v>5162</v>
      </c>
      <c r="D9440" s="22" t="str">
        <f>HYPERLINK("https://rhld.insurance.arkansas.gov/NPILookup?Npi=1134942386","1134942386")</f>
        <v>1134942386</v>
      </c>
      <c r="E9440" s="1" t="s">
        <v>31687</v>
      </c>
      <c r="F9440" s="2"/>
      <c r="G9440" s="2"/>
      <c r="H9440" s="2"/>
    </row>
    <row r="9441" spans="1:8" x14ac:dyDescent="0.25">
      <c r="A9441" s="1"/>
      <c r="B9441" s="1" t="s">
        <v>5161</v>
      </c>
      <c r="C9441" s="1" t="s">
        <v>5162</v>
      </c>
      <c r="D9441" s="22" t="str">
        <f>HYPERLINK("https://rhld.insurance.arkansas.gov/NPILookup?Npi=1134993025","1134993025")</f>
        <v>1134993025</v>
      </c>
      <c r="E9441" s="1" t="s">
        <v>31688</v>
      </c>
      <c r="F9441" s="2"/>
      <c r="G9441" s="2"/>
      <c r="H9441" s="2"/>
    </row>
    <row r="9442" spans="1:8" x14ac:dyDescent="0.25">
      <c r="A9442" s="1"/>
      <c r="B9442" s="1" t="s">
        <v>5161</v>
      </c>
      <c r="C9442" s="1" t="s">
        <v>5162</v>
      </c>
      <c r="D9442" s="22" t="str">
        <f>HYPERLINK("https://rhld.insurance.arkansas.gov/NPILookup?Npi=1144000985","1144000985")</f>
        <v>1144000985</v>
      </c>
      <c r="E9442" s="1" t="s">
        <v>5207</v>
      </c>
      <c r="F9442" s="2"/>
      <c r="G9442" s="2"/>
      <c r="H9442" s="2"/>
    </row>
    <row r="9443" spans="1:8" x14ac:dyDescent="0.25">
      <c r="A9443" s="1"/>
      <c r="B9443" s="1" t="s">
        <v>5161</v>
      </c>
      <c r="C9443" s="1" t="s">
        <v>5162</v>
      </c>
      <c r="D9443" s="22" t="str">
        <f>HYPERLINK("https://rhld.insurance.arkansas.gov/NPILookup?Npi=1144005182","1144005182")</f>
        <v>1144005182</v>
      </c>
      <c r="E9443" s="1" t="s">
        <v>5208</v>
      </c>
      <c r="F9443" s="2"/>
      <c r="G9443" s="2"/>
      <c r="H9443" s="2"/>
    </row>
    <row r="9444" spans="1:8" x14ac:dyDescent="0.25">
      <c r="A9444" s="1"/>
      <c r="B9444" s="1" t="s">
        <v>5161</v>
      </c>
      <c r="C9444" s="1" t="s">
        <v>5162</v>
      </c>
      <c r="D9444" s="22" t="str">
        <f>HYPERLINK("https://rhld.insurance.arkansas.gov/NPILookup?Npi=1144428020","1144428020")</f>
        <v>1144428020</v>
      </c>
      <c r="E9444" s="1" t="s">
        <v>10971</v>
      </c>
      <c r="F9444" s="2"/>
      <c r="G9444" s="2"/>
      <c r="H9444" s="2"/>
    </row>
    <row r="9445" spans="1:8" x14ac:dyDescent="0.25">
      <c r="A9445" s="1"/>
      <c r="B9445" s="1" t="s">
        <v>5161</v>
      </c>
      <c r="C9445" s="1" t="s">
        <v>5162</v>
      </c>
      <c r="D9445" s="22" t="str">
        <f>HYPERLINK("https://rhld.insurance.arkansas.gov/NPILookup?Npi=1144457458","1144457458")</f>
        <v>1144457458</v>
      </c>
      <c r="E9445" s="1" t="s">
        <v>19464</v>
      </c>
      <c r="F9445" s="2"/>
      <c r="G9445" s="2"/>
      <c r="H9445" s="2"/>
    </row>
    <row r="9446" spans="1:8" x14ac:dyDescent="0.25">
      <c r="A9446" s="1"/>
      <c r="B9446" s="1" t="s">
        <v>5161</v>
      </c>
      <c r="C9446" s="1" t="s">
        <v>5162</v>
      </c>
      <c r="D9446" s="22" t="str">
        <f>HYPERLINK("https://rhld.insurance.arkansas.gov/NPILookup?Npi=1144486697","1144486697")</f>
        <v>1144486697</v>
      </c>
      <c r="E9446" s="1" t="s">
        <v>19465</v>
      </c>
      <c r="F9446" s="2"/>
      <c r="G9446" s="2"/>
      <c r="H9446" s="2"/>
    </row>
    <row r="9447" spans="1:8" x14ac:dyDescent="0.25">
      <c r="A9447" s="1"/>
      <c r="B9447" s="1" t="s">
        <v>5161</v>
      </c>
      <c r="C9447" s="1" t="s">
        <v>5162</v>
      </c>
      <c r="D9447" s="22" t="str">
        <f>HYPERLINK("https://rhld.insurance.arkansas.gov/NPILookup?Npi=1144549098","1144549098")</f>
        <v>1144549098</v>
      </c>
      <c r="E9447" s="1" t="s">
        <v>19466</v>
      </c>
      <c r="F9447" s="2"/>
      <c r="G9447" s="2"/>
      <c r="H9447" s="2"/>
    </row>
    <row r="9448" spans="1:8" x14ac:dyDescent="0.25">
      <c r="A9448" s="1"/>
      <c r="B9448" s="1" t="s">
        <v>5161</v>
      </c>
      <c r="C9448" s="1" t="s">
        <v>5162</v>
      </c>
      <c r="D9448" s="22" t="str">
        <f>HYPERLINK("https://rhld.insurance.arkansas.gov/NPILookup?Npi=1144598384","1144598384")</f>
        <v>1144598384</v>
      </c>
      <c r="E9448" s="1" t="s">
        <v>5209</v>
      </c>
      <c r="F9448" s="2"/>
      <c r="G9448" s="2"/>
      <c r="H9448" s="2"/>
    </row>
    <row r="9449" spans="1:8" x14ac:dyDescent="0.25">
      <c r="A9449" s="1"/>
      <c r="B9449" s="1" t="s">
        <v>5161</v>
      </c>
      <c r="C9449" s="1" t="s">
        <v>5162</v>
      </c>
      <c r="D9449" s="22" t="str">
        <f>HYPERLINK("https://rhld.insurance.arkansas.gov/NPILookup?Npi=1144622721","1144622721")</f>
        <v>1144622721</v>
      </c>
      <c r="E9449" s="1" t="s">
        <v>5210</v>
      </c>
      <c r="F9449" s="2"/>
      <c r="G9449" s="2"/>
      <c r="H9449" s="2"/>
    </row>
    <row r="9450" spans="1:8" x14ac:dyDescent="0.25">
      <c r="A9450" s="1"/>
      <c r="B9450" s="1" t="s">
        <v>5161</v>
      </c>
      <c r="C9450" s="1" t="s">
        <v>5162</v>
      </c>
      <c r="D9450" s="22" t="str">
        <f>HYPERLINK("https://rhld.insurance.arkansas.gov/NPILookup?Npi=1144645300","1144645300")</f>
        <v>1144645300</v>
      </c>
      <c r="E9450" s="1" t="s">
        <v>19467</v>
      </c>
      <c r="F9450" s="2"/>
      <c r="G9450" s="2"/>
      <c r="H9450" s="2"/>
    </row>
    <row r="9451" spans="1:8" x14ac:dyDescent="0.25">
      <c r="A9451" s="1"/>
      <c r="B9451" s="1" t="s">
        <v>5161</v>
      </c>
      <c r="C9451" s="1" t="s">
        <v>5162</v>
      </c>
      <c r="D9451" s="22" t="str">
        <f>HYPERLINK("https://rhld.insurance.arkansas.gov/NPILookup?Npi=1144689662","1144689662")</f>
        <v>1144689662</v>
      </c>
      <c r="E9451" s="1" t="s">
        <v>5211</v>
      </c>
      <c r="F9451" s="2"/>
      <c r="G9451" s="2"/>
      <c r="H9451" s="2"/>
    </row>
    <row r="9452" spans="1:8" x14ac:dyDescent="0.25">
      <c r="A9452" s="1"/>
      <c r="B9452" s="1" t="s">
        <v>5161</v>
      </c>
      <c r="C9452" s="1" t="s">
        <v>5162</v>
      </c>
      <c r="D9452" s="22" t="str">
        <f>HYPERLINK("https://rhld.insurance.arkansas.gov/NPILookup?Npi=1144717885","1144717885")</f>
        <v>1144717885</v>
      </c>
      <c r="E9452" s="1" t="s">
        <v>10972</v>
      </c>
      <c r="F9452" s="2"/>
      <c r="G9452" s="2"/>
      <c r="H9452" s="2"/>
    </row>
    <row r="9453" spans="1:8" x14ac:dyDescent="0.25">
      <c r="A9453" s="1"/>
      <c r="B9453" s="1" t="s">
        <v>5161</v>
      </c>
      <c r="C9453" s="1" t="s">
        <v>5162</v>
      </c>
      <c r="D9453" s="22" t="str">
        <f>HYPERLINK("https://rhld.insurance.arkansas.gov/NPILookup?Npi=1144731217","1144731217")</f>
        <v>1144731217</v>
      </c>
      <c r="E9453" s="1" t="s">
        <v>19468</v>
      </c>
      <c r="F9453" s="2"/>
      <c r="G9453" s="2"/>
      <c r="H9453" s="2"/>
    </row>
    <row r="9454" spans="1:8" x14ac:dyDescent="0.25">
      <c r="A9454" s="1"/>
      <c r="B9454" s="1" t="s">
        <v>5161</v>
      </c>
      <c r="C9454" s="1" t="s">
        <v>5162</v>
      </c>
      <c r="D9454" s="22" t="str">
        <f>HYPERLINK("https://rhld.insurance.arkansas.gov/NPILookup?Npi=1144760901","1144760901")</f>
        <v>1144760901</v>
      </c>
      <c r="E9454" s="1" t="s">
        <v>19469</v>
      </c>
      <c r="F9454" s="2"/>
      <c r="G9454" s="2"/>
      <c r="H9454" s="2"/>
    </row>
    <row r="9455" spans="1:8" x14ac:dyDescent="0.25">
      <c r="A9455" s="1"/>
      <c r="B9455" s="1" t="s">
        <v>5161</v>
      </c>
      <c r="C9455" s="1" t="s">
        <v>5162</v>
      </c>
      <c r="D9455" s="22" t="str">
        <f>HYPERLINK("https://rhld.insurance.arkansas.gov/NPILookup?Npi=1144835141","1144835141")</f>
        <v>1144835141</v>
      </c>
      <c r="E9455" s="1" t="s">
        <v>5212</v>
      </c>
      <c r="F9455" s="2"/>
      <c r="G9455" s="2"/>
      <c r="H9455" s="2"/>
    </row>
    <row r="9456" spans="1:8" x14ac:dyDescent="0.25">
      <c r="A9456" s="1"/>
      <c r="B9456" s="1" t="s">
        <v>5161</v>
      </c>
      <c r="C9456" s="1" t="s">
        <v>5162</v>
      </c>
      <c r="D9456" s="22" t="str">
        <f>HYPERLINK("https://rhld.insurance.arkansas.gov/NPILookup?Npi=1144943051","1144943051")</f>
        <v>1144943051</v>
      </c>
      <c r="E9456" s="1" t="s">
        <v>5214</v>
      </c>
      <c r="F9456" s="2"/>
      <c r="G9456" s="2"/>
      <c r="H9456" s="2"/>
    </row>
    <row r="9457" spans="1:8" x14ac:dyDescent="0.25">
      <c r="A9457" s="1"/>
      <c r="B9457" s="1" t="s">
        <v>5161</v>
      </c>
      <c r="C9457" s="1" t="s">
        <v>5162</v>
      </c>
      <c r="D9457" s="22" t="str">
        <f>HYPERLINK("https://rhld.insurance.arkansas.gov/NPILookup?Npi=1144952300","1144952300")</f>
        <v>1144952300</v>
      </c>
      <c r="E9457" s="1" t="s">
        <v>19471</v>
      </c>
      <c r="F9457" s="2"/>
      <c r="G9457" s="2"/>
      <c r="H9457" s="2"/>
    </row>
    <row r="9458" spans="1:8" x14ac:dyDescent="0.25">
      <c r="A9458" s="1"/>
      <c r="B9458" s="1" t="s">
        <v>5161</v>
      </c>
      <c r="C9458" s="1" t="s">
        <v>5162</v>
      </c>
      <c r="D9458" s="22" t="str">
        <f>HYPERLINK("https://rhld.insurance.arkansas.gov/NPILookup?Npi=1154057123","1154057123")</f>
        <v>1154057123</v>
      </c>
      <c r="E9458" s="1" t="s">
        <v>19472</v>
      </c>
      <c r="F9458" s="2"/>
      <c r="G9458" s="2"/>
      <c r="H9458" s="2"/>
    </row>
    <row r="9459" spans="1:8" x14ac:dyDescent="0.25">
      <c r="A9459" s="1"/>
      <c r="B9459" s="1" t="s">
        <v>5161</v>
      </c>
      <c r="C9459" s="1" t="s">
        <v>5162</v>
      </c>
      <c r="D9459" s="22" t="str">
        <f>HYPERLINK("https://rhld.insurance.arkansas.gov/NPILookup?Npi=1154190510","1154190510")</f>
        <v>1154190510</v>
      </c>
      <c r="E9459" s="1" t="s">
        <v>19473</v>
      </c>
      <c r="F9459" s="2"/>
      <c r="G9459" s="2"/>
      <c r="H9459" s="2"/>
    </row>
    <row r="9460" spans="1:8" x14ac:dyDescent="0.25">
      <c r="A9460" s="1"/>
      <c r="B9460" s="1" t="s">
        <v>5161</v>
      </c>
      <c r="C9460" s="1" t="s">
        <v>5162</v>
      </c>
      <c r="D9460" s="22" t="str">
        <f>HYPERLINK("https://rhld.insurance.arkansas.gov/NPILookup?Npi=1154489995","1154489995")</f>
        <v>1154489995</v>
      </c>
      <c r="E9460" s="1" t="s">
        <v>19474</v>
      </c>
      <c r="F9460" s="2"/>
      <c r="G9460" s="2"/>
      <c r="H9460" s="2"/>
    </row>
    <row r="9461" spans="1:8" x14ac:dyDescent="0.25">
      <c r="A9461" s="1"/>
      <c r="B9461" s="1" t="s">
        <v>5161</v>
      </c>
      <c r="C9461" s="1" t="s">
        <v>5162</v>
      </c>
      <c r="D9461" s="22" t="str">
        <f>HYPERLINK("https://rhld.insurance.arkansas.gov/NPILookup?Npi=1154696342","1154696342")</f>
        <v>1154696342</v>
      </c>
      <c r="E9461" s="1" t="s">
        <v>19475</v>
      </c>
      <c r="F9461" s="2"/>
      <c r="G9461" s="2"/>
      <c r="H9461" s="2"/>
    </row>
    <row r="9462" spans="1:8" x14ac:dyDescent="0.25">
      <c r="A9462" s="1"/>
      <c r="B9462" s="1" t="s">
        <v>5161</v>
      </c>
      <c r="C9462" s="1" t="s">
        <v>5162</v>
      </c>
      <c r="D9462" s="22" t="str">
        <f>HYPERLINK("https://rhld.insurance.arkansas.gov/NPILookup?Npi=1154782357","1154782357")</f>
        <v>1154782357</v>
      </c>
      <c r="E9462" s="1" t="s">
        <v>10973</v>
      </c>
      <c r="F9462" s="2"/>
      <c r="G9462" s="2"/>
      <c r="H9462" s="2"/>
    </row>
    <row r="9463" spans="1:8" x14ac:dyDescent="0.25">
      <c r="A9463" s="1"/>
      <c r="B9463" s="1" t="s">
        <v>5161</v>
      </c>
      <c r="C9463" s="1" t="s">
        <v>5162</v>
      </c>
      <c r="D9463" s="22" t="str">
        <f>HYPERLINK("https://rhld.insurance.arkansas.gov/NPILookup?Npi=1154784064","1154784064")</f>
        <v>1154784064</v>
      </c>
      <c r="E9463" s="1" t="s">
        <v>5215</v>
      </c>
      <c r="F9463" s="2"/>
      <c r="G9463" s="2"/>
      <c r="H9463" s="2"/>
    </row>
    <row r="9464" spans="1:8" x14ac:dyDescent="0.25">
      <c r="A9464" s="1"/>
      <c r="B9464" s="1" t="s">
        <v>5161</v>
      </c>
      <c r="C9464" s="1" t="s">
        <v>5162</v>
      </c>
      <c r="D9464" s="22" t="str">
        <f>HYPERLINK("https://rhld.insurance.arkansas.gov/NPILookup?Npi=1154868313","1154868313")</f>
        <v>1154868313</v>
      </c>
      <c r="E9464" s="1" t="s">
        <v>5216</v>
      </c>
      <c r="F9464" s="2"/>
      <c r="G9464" s="2"/>
      <c r="H9464" s="2"/>
    </row>
    <row r="9465" spans="1:8" x14ac:dyDescent="0.25">
      <c r="A9465" s="1"/>
      <c r="B9465" s="1" t="s">
        <v>5161</v>
      </c>
      <c r="C9465" s="1" t="s">
        <v>5162</v>
      </c>
      <c r="D9465" s="22" t="str">
        <f>HYPERLINK("https://rhld.insurance.arkansas.gov/NPILookup?Npi=1154872836","1154872836")</f>
        <v>1154872836</v>
      </c>
      <c r="E9465" s="1" t="s">
        <v>19476</v>
      </c>
      <c r="F9465" s="2"/>
      <c r="G9465" s="2"/>
      <c r="H9465" s="2"/>
    </row>
    <row r="9466" spans="1:8" x14ac:dyDescent="0.25">
      <c r="A9466" s="1"/>
      <c r="B9466" s="1" t="s">
        <v>5161</v>
      </c>
      <c r="C9466" s="1" t="s">
        <v>5162</v>
      </c>
      <c r="D9466" s="22" t="str">
        <f>HYPERLINK("https://rhld.insurance.arkansas.gov/NPILookup?Npi=1154875623","1154875623")</f>
        <v>1154875623</v>
      </c>
      <c r="E9466" s="1" t="s">
        <v>19477</v>
      </c>
      <c r="F9466" s="2"/>
      <c r="G9466" s="2"/>
      <c r="H9466" s="2"/>
    </row>
    <row r="9467" spans="1:8" x14ac:dyDescent="0.25">
      <c r="A9467" s="1"/>
      <c r="B9467" s="1" t="s">
        <v>5161</v>
      </c>
      <c r="C9467" s="1" t="s">
        <v>5162</v>
      </c>
      <c r="D9467" s="22" t="str">
        <f>HYPERLINK("https://rhld.insurance.arkansas.gov/NPILookup?Npi=1154940773","1154940773")</f>
        <v>1154940773</v>
      </c>
      <c r="E9467" s="1" t="s">
        <v>19478</v>
      </c>
      <c r="F9467" s="2"/>
      <c r="G9467" s="2"/>
      <c r="H9467" s="2"/>
    </row>
    <row r="9468" spans="1:8" x14ac:dyDescent="0.25">
      <c r="A9468" s="1"/>
      <c r="B9468" s="1" t="s">
        <v>5161</v>
      </c>
      <c r="C9468" s="1" t="s">
        <v>5162</v>
      </c>
      <c r="D9468" s="22" t="str">
        <f>HYPERLINK("https://rhld.insurance.arkansas.gov/NPILookup?Npi=1154992212","1154992212")</f>
        <v>1154992212</v>
      </c>
      <c r="E9468" s="1" t="s">
        <v>10974</v>
      </c>
      <c r="F9468" s="2"/>
      <c r="G9468" s="2"/>
      <c r="H9468" s="2"/>
    </row>
    <row r="9469" spans="1:8" x14ac:dyDescent="0.25">
      <c r="A9469" s="1"/>
      <c r="B9469" s="1" t="s">
        <v>5161</v>
      </c>
      <c r="C9469" s="1" t="s">
        <v>5162</v>
      </c>
      <c r="D9469" s="22" t="str">
        <f>HYPERLINK("https://rhld.insurance.arkansas.gov/NPILookup?Npi=1164034435","1164034435")</f>
        <v>1164034435</v>
      </c>
      <c r="E9469" s="1" t="s">
        <v>10975</v>
      </c>
      <c r="F9469" s="2"/>
      <c r="G9469" s="2"/>
      <c r="H9469" s="2"/>
    </row>
    <row r="9470" spans="1:8" x14ac:dyDescent="0.25">
      <c r="A9470" s="1"/>
      <c r="B9470" s="1" t="s">
        <v>5161</v>
      </c>
      <c r="C9470" s="1" t="s">
        <v>5162</v>
      </c>
      <c r="D9470" s="22" t="str">
        <f>HYPERLINK("https://rhld.insurance.arkansas.gov/NPILookup?Npi=1164038477","1164038477")</f>
        <v>1164038477</v>
      </c>
      <c r="E9470" s="1" t="s">
        <v>5217</v>
      </c>
      <c r="F9470" s="2"/>
      <c r="G9470" s="2"/>
      <c r="H9470" s="2"/>
    </row>
    <row r="9471" spans="1:8" x14ac:dyDescent="0.25">
      <c r="A9471" s="1"/>
      <c r="B9471" s="1" t="s">
        <v>5161</v>
      </c>
      <c r="C9471" s="1" t="s">
        <v>5162</v>
      </c>
      <c r="D9471" s="22" t="str">
        <f>HYPERLINK("https://rhld.insurance.arkansas.gov/NPILookup?Npi=1164100905","1164100905")</f>
        <v>1164100905</v>
      </c>
      <c r="E9471" s="1" t="s">
        <v>31689</v>
      </c>
      <c r="F9471" s="2"/>
      <c r="G9471" s="2"/>
      <c r="H9471" s="2"/>
    </row>
    <row r="9472" spans="1:8" x14ac:dyDescent="0.25">
      <c r="A9472" s="1"/>
      <c r="B9472" s="1" t="s">
        <v>5161</v>
      </c>
      <c r="C9472" s="1" t="s">
        <v>5162</v>
      </c>
      <c r="D9472" s="22" t="str">
        <f>HYPERLINK("https://rhld.insurance.arkansas.gov/NPILookup?Npi=1164129854","1164129854")</f>
        <v>1164129854</v>
      </c>
      <c r="E9472" s="1" t="s">
        <v>10976</v>
      </c>
      <c r="F9472" s="2"/>
      <c r="G9472" s="2"/>
      <c r="H9472" s="2"/>
    </row>
    <row r="9473" spans="1:8" x14ac:dyDescent="0.25">
      <c r="A9473" s="1"/>
      <c r="B9473" s="1" t="s">
        <v>5161</v>
      </c>
      <c r="C9473" s="1" t="s">
        <v>5162</v>
      </c>
      <c r="D9473" s="22" t="str">
        <f>HYPERLINK("https://rhld.insurance.arkansas.gov/NPILookup?Npi=1164248183","1164248183")</f>
        <v>1164248183</v>
      </c>
      <c r="E9473" s="1" t="s">
        <v>31690</v>
      </c>
      <c r="F9473" s="2"/>
      <c r="G9473" s="2"/>
      <c r="H9473" s="2"/>
    </row>
    <row r="9474" spans="1:8" x14ac:dyDescent="0.25">
      <c r="A9474" s="1"/>
      <c r="B9474" s="1" t="s">
        <v>5161</v>
      </c>
      <c r="C9474" s="1" t="s">
        <v>5162</v>
      </c>
      <c r="D9474" s="22" t="str">
        <f>HYPERLINK("https://rhld.insurance.arkansas.gov/NPILookup?Npi=1164285417","1164285417")</f>
        <v>1164285417</v>
      </c>
      <c r="E9474" s="1" t="s">
        <v>19479</v>
      </c>
      <c r="F9474" s="2"/>
      <c r="G9474" s="2"/>
      <c r="H9474" s="2"/>
    </row>
    <row r="9475" spans="1:8" x14ac:dyDescent="0.25">
      <c r="A9475" s="1"/>
      <c r="B9475" s="1" t="s">
        <v>5161</v>
      </c>
      <c r="C9475" s="1" t="s">
        <v>5162</v>
      </c>
      <c r="D9475" s="22" t="str">
        <f>HYPERLINK("https://rhld.insurance.arkansas.gov/NPILookup?Npi=1164506200","1164506200")</f>
        <v>1164506200</v>
      </c>
      <c r="E9475" s="1" t="s">
        <v>19480</v>
      </c>
      <c r="F9475" s="2"/>
      <c r="G9475" s="2"/>
      <c r="H9475" s="2"/>
    </row>
    <row r="9476" spans="1:8" x14ac:dyDescent="0.25">
      <c r="A9476" s="1"/>
      <c r="B9476" s="1" t="s">
        <v>5161</v>
      </c>
      <c r="C9476" s="1" t="s">
        <v>5162</v>
      </c>
      <c r="D9476" s="22" t="str">
        <f>HYPERLINK("https://rhld.insurance.arkansas.gov/NPILookup?Npi=1164556296","1164556296")</f>
        <v>1164556296</v>
      </c>
      <c r="E9476" s="1" t="s">
        <v>31691</v>
      </c>
      <c r="F9476" s="2"/>
      <c r="G9476" s="2"/>
      <c r="H9476" s="2"/>
    </row>
    <row r="9477" spans="1:8" x14ac:dyDescent="0.25">
      <c r="A9477" s="1"/>
      <c r="B9477" s="1" t="s">
        <v>5161</v>
      </c>
      <c r="C9477" s="1" t="s">
        <v>5162</v>
      </c>
      <c r="D9477" s="22" t="str">
        <f>HYPERLINK("https://rhld.insurance.arkansas.gov/NPILookup?Npi=1164570362","1164570362")</f>
        <v>1164570362</v>
      </c>
      <c r="E9477" s="1" t="s">
        <v>5218</v>
      </c>
      <c r="F9477" s="2"/>
      <c r="G9477" s="2"/>
      <c r="H9477" s="2"/>
    </row>
    <row r="9478" spans="1:8" x14ac:dyDescent="0.25">
      <c r="A9478" s="1"/>
      <c r="B9478" s="1" t="s">
        <v>5161</v>
      </c>
      <c r="C9478" s="1" t="s">
        <v>5162</v>
      </c>
      <c r="D9478" s="22" t="str">
        <f>HYPERLINK("https://rhld.insurance.arkansas.gov/NPILookup?Npi=1164727129","1164727129")</f>
        <v>1164727129</v>
      </c>
      <c r="E9478" s="1" t="s">
        <v>31692</v>
      </c>
      <c r="F9478" s="2"/>
      <c r="G9478" s="2"/>
      <c r="H9478" s="2"/>
    </row>
    <row r="9479" spans="1:8" x14ac:dyDescent="0.25">
      <c r="A9479" s="1"/>
      <c r="B9479" s="1" t="s">
        <v>5161</v>
      </c>
      <c r="C9479" s="1" t="s">
        <v>5162</v>
      </c>
      <c r="D9479" s="22" t="str">
        <f>HYPERLINK("https://rhld.insurance.arkansas.gov/NPILookup?Npi=1164736468","1164736468")</f>
        <v>1164736468</v>
      </c>
      <c r="E9479" s="1" t="s">
        <v>19481</v>
      </c>
      <c r="F9479" s="2"/>
      <c r="G9479" s="2"/>
      <c r="H9479" s="2"/>
    </row>
    <row r="9480" spans="1:8" x14ac:dyDescent="0.25">
      <c r="A9480" s="1"/>
      <c r="B9480" s="1" t="s">
        <v>5161</v>
      </c>
      <c r="C9480" s="1" t="s">
        <v>5162</v>
      </c>
      <c r="D9480" s="22" t="str">
        <f>HYPERLINK("https://rhld.insurance.arkansas.gov/NPILookup?Npi=1164739512","1164739512")</f>
        <v>1164739512</v>
      </c>
      <c r="E9480" s="1" t="s">
        <v>5219</v>
      </c>
      <c r="F9480" s="2"/>
      <c r="G9480" s="2"/>
      <c r="H9480" s="2"/>
    </row>
    <row r="9481" spans="1:8" x14ac:dyDescent="0.25">
      <c r="A9481" s="1"/>
      <c r="B9481" s="1" t="s">
        <v>5161</v>
      </c>
      <c r="C9481" s="1" t="s">
        <v>5162</v>
      </c>
      <c r="D9481" s="22" t="str">
        <f>HYPERLINK("https://rhld.insurance.arkansas.gov/NPILookup?Npi=1164756482","1164756482")</f>
        <v>1164756482</v>
      </c>
      <c r="E9481" s="1" t="s">
        <v>5220</v>
      </c>
      <c r="F9481" s="2"/>
      <c r="G9481" s="2"/>
      <c r="H9481" s="2"/>
    </row>
    <row r="9482" spans="1:8" x14ac:dyDescent="0.25">
      <c r="A9482" s="1"/>
      <c r="B9482" s="1" t="s">
        <v>5161</v>
      </c>
      <c r="C9482" s="1" t="s">
        <v>5162</v>
      </c>
      <c r="D9482" s="22" t="str">
        <f>HYPERLINK("https://rhld.insurance.arkansas.gov/NPILookup?Npi=1164880803","1164880803")</f>
        <v>1164880803</v>
      </c>
      <c r="E9482" s="1" t="s">
        <v>19482</v>
      </c>
      <c r="F9482" s="2"/>
      <c r="G9482" s="2"/>
      <c r="H9482" s="2"/>
    </row>
    <row r="9483" spans="1:8" x14ac:dyDescent="0.25">
      <c r="A9483" s="1"/>
      <c r="B9483" s="1" t="s">
        <v>5161</v>
      </c>
      <c r="C9483" s="1" t="s">
        <v>5162</v>
      </c>
      <c r="D9483" s="22" t="str">
        <f>HYPERLINK("https://rhld.insurance.arkansas.gov/NPILookup?Npi=1164925541","1164925541")</f>
        <v>1164925541</v>
      </c>
      <c r="E9483" s="1" t="s">
        <v>19483</v>
      </c>
      <c r="F9483" s="2"/>
      <c r="G9483" s="2"/>
      <c r="H9483" s="2"/>
    </row>
    <row r="9484" spans="1:8" x14ac:dyDescent="0.25">
      <c r="A9484" s="1"/>
      <c r="B9484" s="1" t="s">
        <v>5161</v>
      </c>
      <c r="C9484" s="1" t="s">
        <v>5162</v>
      </c>
      <c r="D9484" s="22" t="str">
        <f>HYPERLINK("https://rhld.insurance.arkansas.gov/NPILookup?Npi=1164932208","1164932208")</f>
        <v>1164932208</v>
      </c>
      <c r="E9484" s="1" t="s">
        <v>19484</v>
      </c>
      <c r="F9484" s="2"/>
      <c r="G9484" s="2"/>
      <c r="H9484" s="2"/>
    </row>
    <row r="9485" spans="1:8" x14ac:dyDescent="0.25">
      <c r="A9485" s="1"/>
      <c r="B9485" s="1" t="s">
        <v>5161</v>
      </c>
      <c r="C9485" s="1" t="s">
        <v>5162</v>
      </c>
      <c r="D9485" s="22" t="str">
        <f>HYPERLINK("https://rhld.insurance.arkansas.gov/NPILookup?Npi=1164932463","1164932463")</f>
        <v>1164932463</v>
      </c>
      <c r="E9485" s="1" t="s">
        <v>19485</v>
      </c>
      <c r="F9485" s="2"/>
      <c r="G9485" s="2"/>
      <c r="H9485" s="2"/>
    </row>
    <row r="9486" spans="1:8" x14ac:dyDescent="0.25">
      <c r="A9486" s="1"/>
      <c r="B9486" s="1" t="s">
        <v>5161</v>
      </c>
      <c r="C9486" s="1" t="s">
        <v>5162</v>
      </c>
      <c r="D9486" s="22" t="str">
        <f>HYPERLINK("https://rhld.insurance.arkansas.gov/NPILookup?Npi=1174095129","1174095129")</f>
        <v>1174095129</v>
      </c>
      <c r="E9486" s="1" t="s">
        <v>5221</v>
      </c>
      <c r="F9486" s="2"/>
      <c r="G9486" s="2"/>
      <c r="H9486" s="2"/>
    </row>
    <row r="9487" spans="1:8" x14ac:dyDescent="0.25">
      <c r="A9487" s="1"/>
      <c r="B9487" s="1" t="s">
        <v>5161</v>
      </c>
      <c r="C9487" s="1" t="s">
        <v>5162</v>
      </c>
      <c r="D9487" s="22" t="str">
        <f>HYPERLINK("https://rhld.insurance.arkansas.gov/NPILookup?Npi=1174108963","1174108963")</f>
        <v>1174108963</v>
      </c>
      <c r="E9487" s="1" t="s">
        <v>10977</v>
      </c>
      <c r="F9487" s="2"/>
      <c r="G9487" s="2"/>
      <c r="H9487" s="2"/>
    </row>
    <row r="9488" spans="1:8" x14ac:dyDescent="0.25">
      <c r="A9488" s="1"/>
      <c r="B9488" s="1" t="s">
        <v>5161</v>
      </c>
      <c r="C9488" s="1" t="s">
        <v>5162</v>
      </c>
      <c r="D9488" s="22" t="str">
        <f>HYPERLINK("https://rhld.insurance.arkansas.gov/NPILookup?Npi=1174131338","1174131338")</f>
        <v>1174131338</v>
      </c>
      <c r="E9488" s="1" t="s">
        <v>5222</v>
      </c>
      <c r="F9488" s="2"/>
      <c r="G9488" s="2"/>
      <c r="H9488" s="2"/>
    </row>
    <row r="9489" spans="1:8" x14ac:dyDescent="0.25">
      <c r="A9489" s="1"/>
      <c r="B9489" s="1" t="s">
        <v>5161</v>
      </c>
      <c r="C9489" s="1" t="s">
        <v>5162</v>
      </c>
      <c r="D9489" s="22" t="str">
        <f>HYPERLINK("https://rhld.insurance.arkansas.gov/NPILookup?Npi=1174234066","1174234066")</f>
        <v>1174234066</v>
      </c>
      <c r="E9489" s="1" t="s">
        <v>5223</v>
      </c>
      <c r="F9489" s="2"/>
      <c r="G9489" s="2"/>
      <c r="H9489" s="2"/>
    </row>
    <row r="9490" spans="1:8" x14ac:dyDescent="0.25">
      <c r="A9490" s="1"/>
      <c r="B9490" s="1" t="s">
        <v>5161</v>
      </c>
      <c r="C9490" s="1" t="s">
        <v>5162</v>
      </c>
      <c r="D9490" s="22" t="str">
        <f>HYPERLINK("https://rhld.insurance.arkansas.gov/NPILookup?Npi=1174246102","1174246102")</f>
        <v>1174246102</v>
      </c>
      <c r="E9490" s="1" t="s">
        <v>19486</v>
      </c>
      <c r="F9490" s="2"/>
      <c r="G9490" s="2"/>
      <c r="H9490" s="2"/>
    </row>
    <row r="9491" spans="1:8" x14ac:dyDescent="0.25">
      <c r="A9491" s="1"/>
      <c r="B9491" s="1" t="s">
        <v>5161</v>
      </c>
      <c r="C9491" s="1" t="s">
        <v>5162</v>
      </c>
      <c r="D9491" s="22" t="str">
        <f>HYPERLINK("https://rhld.insurance.arkansas.gov/NPILookup?Npi=1174284152","1174284152")</f>
        <v>1174284152</v>
      </c>
      <c r="E9491" s="1" t="s">
        <v>5224</v>
      </c>
      <c r="F9491" s="2"/>
      <c r="G9491" s="2"/>
      <c r="H9491" s="2"/>
    </row>
    <row r="9492" spans="1:8" x14ac:dyDescent="0.25">
      <c r="A9492" s="1"/>
      <c r="B9492" s="1" t="s">
        <v>5161</v>
      </c>
      <c r="C9492" s="1" t="s">
        <v>5162</v>
      </c>
      <c r="D9492" s="22" t="str">
        <f>HYPERLINK("https://rhld.insurance.arkansas.gov/NPILookup?Npi=1174288435","1174288435")</f>
        <v>1174288435</v>
      </c>
      <c r="E9492" s="1" t="s">
        <v>10978</v>
      </c>
      <c r="F9492" s="2"/>
      <c r="G9492" s="2"/>
      <c r="H9492" s="2"/>
    </row>
    <row r="9493" spans="1:8" x14ac:dyDescent="0.25">
      <c r="A9493" s="1"/>
      <c r="B9493" s="1" t="s">
        <v>5161</v>
      </c>
      <c r="C9493" s="1" t="s">
        <v>5162</v>
      </c>
      <c r="D9493" s="22" t="str">
        <f>HYPERLINK("https://rhld.insurance.arkansas.gov/NPILookup?Npi=1174295844","1174295844")</f>
        <v>1174295844</v>
      </c>
      <c r="E9493" s="1" t="s">
        <v>861</v>
      </c>
      <c r="F9493" s="2"/>
      <c r="G9493" s="2"/>
      <c r="H9493" s="2"/>
    </row>
    <row r="9494" spans="1:8" x14ac:dyDescent="0.25">
      <c r="A9494" s="1"/>
      <c r="B9494" s="1" t="s">
        <v>5161</v>
      </c>
      <c r="C9494" s="1" t="s">
        <v>5162</v>
      </c>
      <c r="D9494" s="22" t="str">
        <f>HYPERLINK("https://rhld.insurance.arkansas.gov/NPILookup?Npi=1174302087","1174302087")</f>
        <v>1174302087</v>
      </c>
      <c r="E9494" s="1" t="s">
        <v>5225</v>
      </c>
      <c r="F9494" s="2"/>
      <c r="G9494" s="2"/>
      <c r="H9494" s="2"/>
    </row>
    <row r="9495" spans="1:8" x14ac:dyDescent="0.25">
      <c r="A9495" s="1"/>
      <c r="B9495" s="1" t="s">
        <v>5161</v>
      </c>
      <c r="C9495" s="1" t="s">
        <v>5162</v>
      </c>
      <c r="D9495" s="22" t="str">
        <f>HYPERLINK("https://rhld.insurance.arkansas.gov/NPILookup?Npi=1174341457","1174341457")</f>
        <v>1174341457</v>
      </c>
      <c r="E9495" s="1" t="s">
        <v>19487</v>
      </c>
      <c r="F9495" s="2"/>
      <c r="G9495" s="2"/>
      <c r="H9495" s="2"/>
    </row>
    <row r="9496" spans="1:8" x14ac:dyDescent="0.25">
      <c r="A9496" s="1"/>
      <c r="B9496" s="1" t="s">
        <v>5161</v>
      </c>
      <c r="C9496" s="1" t="s">
        <v>5162</v>
      </c>
      <c r="D9496" s="22" t="str">
        <f>HYPERLINK("https://rhld.insurance.arkansas.gov/NPILookup?Npi=1174399562","1174399562")</f>
        <v>1174399562</v>
      </c>
      <c r="E9496" s="1" t="s">
        <v>5226</v>
      </c>
      <c r="F9496" s="2"/>
      <c r="G9496" s="2"/>
      <c r="H9496" s="2"/>
    </row>
    <row r="9497" spans="1:8" x14ac:dyDescent="0.25">
      <c r="A9497" s="1"/>
      <c r="B9497" s="1" t="s">
        <v>5161</v>
      </c>
      <c r="C9497" s="1" t="s">
        <v>5162</v>
      </c>
      <c r="D9497" s="22" t="str">
        <f>HYPERLINK("https://rhld.insurance.arkansas.gov/NPILookup?Npi=1174570907","1174570907")</f>
        <v>1174570907</v>
      </c>
      <c r="E9497" s="1" t="s">
        <v>19488</v>
      </c>
      <c r="F9497" s="2"/>
      <c r="G9497" s="2"/>
      <c r="H9497" s="2"/>
    </row>
    <row r="9498" spans="1:8" x14ac:dyDescent="0.25">
      <c r="A9498" s="1"/>
      <c r="B9498" s="1" t="s">
        <v>5161</v>
      </c>
      <c r="C9498" s="1" t="s">
        <v>5162</v>
      </c>
      <c r="D9498" s="22" t="str">
        <f>HYPERLINK("https://rhld.insurance.arkansas.gov/NPILookup?Npi=1174620850","1174620850")</f>
        <v>1174620850</v>
      </c>
      <c r="E9498" s="1" t="s">
        <v>19489</v>
      </c>
      <c r="F9498" s="2"/>
      <c r="G9498" s="2"/>
      <c r="H9498" s="2"/>
    </row>
    <row r="9499" spans="1:8" x14ac:dyDescent="0.25">
      <c r="A9499" s="1"/>
      <c r="B9499" s="1" t="s">
        <v>5161</v>
      </c>
      <c r="C9499" s="1" t="s">
        <v>5162</v>
      </c>
      <c r="D9499" s="22" t="str">
        <f>HYPERLINK("https://rhld.insurance.arkansas.gov/NPILookup?Npi=1174650667","1174650667")</f>
        <v>1174650667</v>
      </c>
      <c r="E9499" s="1" t="s">
        <v>10979</v>
      </c>
      <c r="F9499" s="2"/>
      <c r="G9499" s="2"/>
      <c r="H9499" s="2"/>
    </row>
    <row r="9500" spans="1:8" x14ac:dyDescent="0.25">
      <c r="A9500" s="1"/>
      <c r="B9500" s="1" t="s">
        <v>5161</v>
      </c>
      <c r="C9500" s="1" t="s">
        <v>5162</v>
      </c>
      <c r="D9500" s="22" t="str">
        <f>HYPERLINK("https://rhld.insurance.arkansas.gov/NPILookup?Npi=1174721682","1174721682")</f>
        <v>1174721682</v>
      </c>
      <c r="E9500" s="1" t="s">
        <v>5227</v>
      </c>
      <c r="F9500" s="2"/>
      <c r="G9500" s="2"/>
      <c r="H9500" s="2"/>
    </row>
    <row r="9501" spans="1:8" x14ac:dyDescent="0.25">
      <c r="A9501" s="1"/>
      <c r="B9501" s="1" t="s">
        <v>5161</v>
      </c>
      <c r="C9501" s="1" t="s">
        <v>5162</v>
      </c>
      <c r="D9501" s="22" t="str">
        <f>HYPERLINK("https://rhld.insurance.arkansas.gov/NPILookup?Npi=1174801443","1174801443")</f>
        <v>1174801443</v>
      </c>
      <c r="E9501" s="1" t="s">
        <v>19490</v>
      </c>
      <c r="F9501" s="2"/>
      <c r="G9501" s="2"/>
      <c r="H9501" s="2"/>
    </row>
    <row r="9502" spans="1:8" x14ac:dyDescent="0.25">
      <c r="A9502" s="1"/>
      <c r="B9502" s="1" t="s">
        <v>5161</v>
      </c>
      <c r="C9502" s="1" t="s">
        <v>5162</v>
      </c>
      <c r="D9502" s="22" t="str">
        <f>HYPERLINK("https://rhld.insurance.arkansas.gov/NPILookup?Npi=1174802987","1174802987")</f>
        <v>1174802987</v>
      </c>
      <c r="E9502" s="1" t="s">
        <v>19491</v>
      </c>
      <c r="F9502" s="2"/>
      <c r="G9502" s="2"/>
      <c r="H9502" s="2"/>
    </row>
    <row r="9503" spans="1:8" x14ac:dyDescent="0.25">
      <c r="A9503" s="1"/>
      <c r="B9503" s="1" t="s">
        <v>5161</v>
      </c>
      <c r="C9503" s="1" t="s">
        <v>5162</v>
      </c>
      <c r="D9503" s="22" t="str">
        <f>HYPERLINK("https://rhld.insurance.arkansas.gov/NPILookup?Npi=1174912091","1174912091")</f>
        <v>1174912091</v>
      </c>
      <c r="E9503" s="1" t="s">
        <v>19492</v>
      </c>
      <c r="F9503" s="2"/>
      <c r="G9503" s="2"/>
      <c r="H9503" s="2"/>
    </row>
    <row r="9504" spans="1:8" x14ac:dyDescent="0.25">
      <c r="A9504" s="1"/>
      <c r="B9504" s="1" t="s">
        <v>5161</v>
      </c>
      <c r="C9504" s="1" t="s">
        <v>5162</v>
      </c>
      <c r="D9504" s="22" t="str">
        <f>HYPERLINK("https://rhld.insurance.arkansas.gov/NPILookup?Npi=1174999692","1174999692")</f>
        <v>1174999692</v>
      </c>
      <c r="E9504" s="1" t="s">
        <v>19493</v>
      </c>
      <c r="F9504" s="2"/>
      <c r="G9504" s="2"/>
      <c r="H9504" s="2"/>
    </row>
    <row r="9505" spans="1:8" x14ac:dyDescent="0.25">
      <c r="A9505" s="1"/>
      <c r="B9505" s="1" t="s">
        <v>5161</v>
      </c>
      <c r="C9505" s="1" t="s">
        <v>5162</v>
      </c>
      <c r="D9505" s="22" t="str">
        <f>HYPERLINK("https://rhld.insurance.arkansas.gov/NPILookup?Npi=1184050502","1184050502")</f>
        <v>1184050502</v>
      </c>
      <c r="E9505" s="1" t="s">
        <v>19494</v>
      </c>
      <c r="F9505" s="2"/>
      <c r="G9505" s="2"/>
      <c r="H9505" s="2"/>
    </row>
    <row r="9506" spans="1:8" x14ac:dyDescent="0.25">
      <c r="A9506" s="1"/>
      <c r="B9506" s="1" t="s">
        <v>5161</v>
      </c>
      <c r="C9506" s="1" t="s">
        <v>5162</v>
      </c>
      <c r="D9506" s="22" t="str">
        <f>HYPERLINK("https://rhld.insurance.arkansas.gov/NPILookup?Npi=1184098766","1184098766")</f>
        <v>1184098766</v>
      </c>
      <c r="E9506" s="1" t="s">
        <v>5228</v>
      </c>
      <c r="F9506" s="2"/>
      <c r="G9506" s="2"/>
      <c r="H9506" s="2"/>
    </row>
    <row r="9507" spans="1:8" x14ac:dyDescent="0.25">
      <c r="A9507" s="1"/>
      <c r="B9507" s="1" t="s">
        <v>5161</v>
      </c>
      <c r="C9507" s="1" t="s">
        <v>5162</v>
      </c>
      <c r="D9507" s="22" t="str">
        <f>HYPERLINK("https://rhld.insurance.arkansas.gov/NPILookup?Npi=1184172108","1184172108")</f>
        <v>1184172108</v>
      </c>
      <c r="E9507" s="1" t="s">
        <v>19495</v>
      </c>
      <c r="F9507" s="2"/>
      <c r="G9507" s="2"/>
      <c r="H9507" s="2"/>
    </row>
    <row r="9508" spans="1:8" x14ac:dyDescent="0.25">
      <c r="A9508" s="1"/>
      <c r="B9508" s="1" t="s">
        <v>5161</v>
      </c>
      <c r="C9508" s="1" t="s">
        <v>5162</v>
      </c>
      <c r="D9508" s="22" t="str">
        <f>HYPERLINK("https://rhld.insurance.arkansas.gov/NPILookup?Npi=1184181711","1184181711")</f>
        <v>1184181711</v>
      </c>
      <c r="E9508" s="1" t="s">
        <v>5229</v>
      </c>
      <c r="F9508" s="2"/>
      <c r="G9508" s="2"/>
      <c r="H9508" s="2"/>
    </row>
    <row r="9509" spans="1:8" x14ac:dyDescent="0.25">
      <c r="A9509" s="1"/>
      <c r="B9509" s="1" t="s">
        <v>5161</v>
      </c>
      <c r="C9509" s="1" t="s">
        <v>5162</v>
      </c>
      <c r="D9509" s="22" t="str">
        <f>HYPERLINK("https://rhld.insurance.arkansas.gov/NPILookup?Npi=1184222093","1184222093")</f>
        <v>1184222093</v>
      </c>
      <c r="E9509" s="1" t="s">
        <v>19496</v>
      </c>
      <c r="F9509" s="2"/>
      <c r="G9509" s="2"/>
      <c r="H9509" s="2"/>
    </row>
    <row r="9510" spans="1:8" x14ac:dyDescent="0.25">
      <c r="A9510" s="1"/>
      <c r="B9510" s="1" t="s">
        <v>5161</v>
      </c>
      <c r="C9510" s="1" t="s">
        <v>5162</v>
      </c>
      <c r="D9510" s="22" t="str">
        <f>HYPERLINK("https://rhld.insurance.arkansas.gov/NPILookup?Npi=1184267635","1184267635")</f>
        <v>1184267635</v>
      </c>
      <c r="E9510" s="1" t="s">
        <v>5230</v>
      </c>
      <c r="F9510" s="2"/>
      <c r="G9510" s="2"/>
      <c r="H9510" s="2"/>
    </row>
    <row r="9511" spans="1:8" x14ac:dyDescent="0.25">
      <c r="A9511" s="1"/>
      <c r="B9511" s="1" t="s">
        <v>5161</v>
      </c>
      <c r="C9511" s="1" t="s">
        <v>5162</v>
      </c>
      <c r="D9511" s="22" t="str">
        <f>HYPERLINK("https://rhld.insurance.arkansas.gov/NPILookup?Npi=1184331936","1184331936")</f>
        <v>1184331936</v>
      </c>
      <c r="E9511" s="1" t="s">
        <v>5231</v>
      </c>
      <c r="F9511" s="2"/>
      <c r="G9511" s="2"/>
      <c r="H9511" s="2"/>
    </row>
    <row r="9512" spans="1:8" x14ac:dyDescent="0.25">
      <c r="A9512" s="1"/>
      <c r="B9512" s="1" t="s">
        <v>5161</v>
      </c>
      <c r="C9512" s="1" t="s">
        <v>5162</v>
      </c>
      <c r="D9512" s="22" t="str">
        <f>HYPERLINK("https://rhld.insurance.arkansas.gov/NPILookup?Npi=1184343329","1184343329")</f>
        <v>1184343329</v>
      </c>
      <c r="E9512" s="1" t="s">
        <v>31693</v>
      </c>
      <c r="F9512" s="2"/>
      <c r="G9512" s="2"/>
      <c r="H9512" s="2"/>
    </row>
    <row r="9513" spans="1:8" x14ac:dyDescent="0.25">
      <c r="A9513" s="1"/>
      <c r="B9513" s="1" t="s">
        <v>5161</v>
      </c>
      <c r="C9513" s="1" t="s">
        <v>5162</v>
      </c>
      <c r="D9513" s="22" t="str">
        <f>HYPERLINK("https://rhld.insurance.arkansas.gov/NPILookup?Npi=1184347007","1184347007")</f>
        <v>1184347007</v>
      </c>
      <c r="E9513" s="1" t="s">
        <v>19497</v>
      </c>
      <c r="F9513" s="2"/>
      <c r="G9513" s="2"/>
      <c r="H9513" s="2"/>
    </row>
    <row r="9514" spans="1:8" x14ac:dyDescent="0.25">
      <c r="A9514" s="1"/>
      <c r="B9514" s="1" t="s">
        <v>5161</v>
      </c>
      <c r="C9514" s="1" t="s">
        <v>5162</v>
      </c>
      <c r="D9514" s="22" t="str">
        <f>HYPERLINK("https://rhld.insurance.arkansas.gov/NPILookup?Npi=1184347650","1184347650")</f>
        <v>1184347650</v>
      </c>
      <c r="E9514" s="1" t="s">
        <v>10980</v>
      </c>
      <c r="F9514" s="2"/>
      <c r="G9514" s="2"/>
      <c r="H9514" s="2"/>
    </row>
    <row r="9515" spans="1:8" x14ac:dyDescent="0.25">
      <c r="A9515" s="1"/>
      <c r="B9515" s="1" t="s">
        <v>5161</v>
      </c>
      <c r="C9515" s="1" t="s">
        <v>5162</v>
      </c>
      <c r="D9515" s="22" t="str">
        <f>HYPERLINK("https://rhld.insurance.arkansas.gov/NPILookup?Npi=1184499063","1184499063")</f>
        <v>1184499063</v>
      </c>
      <c r="E9515" s="1" t="s">
        <v>19498</v>
      </c>
      <c r="F9515" s="2"/>
      <c r="G9515" s="2"/>
      <c r="H9515" s="2"/>
    </row>
    <row r="9516" spans="1:8" x14ac:dyDescent="0.25">
      <c r="A9516" s="1"/>
      <c r="B9516" s="1" t="s">
        <v>5161</v>
      </c>
      <c r="C9516" s="1" t="s">
        <v>5162</v>
      </c>
      <c r="D9516" s="22" t="str">
        <f>HYPERLINK("https://rhld.insurance.arkansas.gov/NPILookup?Npi=1184673493","1184673493")</f>
        <v>1184673493</v>
      </c>
      <c r="E9516" s="1" t="s">
        <v>19499</v>
      </c>
      <c r="F9516" s="2"/>
      <c r="G9516" s="2"/>
      <c r="H9516" s="2"/>
    </row>
    <row r="9517" spans="1:8" x14ac:dyDescent="0.25">
      <c r="A9517" s="1"/>
      <c r="B9517" s="1" t="s">
        <v>5161</v>
      </c>
      <c r="C9517" s="1" t="s">
        <v>5162</v>
      </c>
      <c r="D9517" s="22" t="str">
        <f>HYPERLINK("https://rhld.insurance.arkansas.gov/NPILookup?Npi=1184685349","1184685349")</f>
        <v>1184685349</v>
      </c>
      <c r="E9517" s="1" t="s">
        <v>10981</v>
      </c>
      <c r="F9517" s="2"/>
      <c r="G9517" s="2"/>
      <c r="H9517" s="2"/>
    </row>
    <row r="9518" spans="1:8" x14ac:dyDescent="0.25">
      <c r="A9518" s="1"/>
      <c r="B9518" s="1" t="s">
        <v>5161</v>
      </c>
      <c r="C9518" s="1" t="s">
        <v>5162</v>
      </c>
      <c r="D9518" s="22" t="str">
        <f>HYPERLINK("https://rhld.insurance.arkansas.gov/NPILookup?Npi=1184732752","1184732752")</f>
        <v>1184732752</v>
      </c>
      <c r="E9518" s="1" t="s">
        <v>10982</v>
      </c>
      <c r="F9518" s="2"/>
      <c r="G9518" s="2"/>
      <c r="H9518" s="2"/>
    </row>
    <row r="9519" spans="1:8" x14ac:dyDescent="0.25">
      <c r="A9519" s="1"/>
      <c r="B9519" s="1" t="s">
        <v>5161</v>
      </c>
      <c r="C9519" s="1" t="s">
        <v>5162</v>
      </c>
      <c r="D9519" s="22" t="str">
        <f>HYPERLINK("https://rhld.insurance.arkansas.gov/NPILookup?Npi=1184789620","1184789620")</f>
        <v>1184789620</v>
      </c>
      <c r="E9519" s="1" t="s">
        <v>10983</v>
      </c>
      <c r="F9519" s="2"/>
      <c r="G9519" s="2"/>
      <c r="H9519" s="2"/>
    </row>
    <row r="9520" spans="1:8" x14ac:dyDescent="0.25">
      <c r="A9520" s="1"/>
      <c r="B9520" s="1" t="s">
        <v>5161</v>
      </c>
      <c r="C9520" s="1" t="s">
        <v>5162</v>
      </c>
      <c r="D9520" s="22" t="str">
        <f>HYPERLINK("https://rhld.insurance.arkansas.gov/NPILookup?Npi=1184880411","1184880411")</f>
        <v>1184880411</v>
      </c>
      <c r="E9520" s="1" t="s">
        <v>19500</v>
      </c>
      <c r="F9520" s="2"/>
      <c r="G9520" s="2"/>
      <c r="H9520" s="2"/>
    </row>
    <row r="9521" spans="1:8" x14ac:dyDescent="0.25">
      <c r="A9521" s="1"/>
      <c r="B9521" s="1" t="s">
        <v>5161</v>
      </c>
      <c r="C9521" s="1" t="s">
        <v>5162</v>
      </c>
      <c r="D9521" s="22" t="str">
        <f>HYPERLINK("https://rhld.insurance.arkansas.gov/NPILookup?Npi=1184964983","1184964983")</f>
        <v>1184964983</v>
      </c>
      <c r="E9521" s="1" t="s">
        <v>19501</v>
      </c>
      <c r="F9521" s="2"/>
      <c r="G9521" s="2"/>
      <c r="H9521" s="2"/>
    </row>
    <row r="9522" spans="1:8" x14ac:dyDescent="0.25">
      <c r="A9522" s="1"/>
      <c r="B9522" s="1" t="s">
        <v>5161</v>
      </c>
      <c r="C9522" s="1" t="s">
        <v>5162</v>
      </c>
      <c r="D9522" s="22" t="str">
        <f>HYPERLINK("https://rhld.insurance.arkansas.gov/NPILookup?Npi=1194039263","1194039263")</f>
        <v>1194039263</v>
      </c>
      <c r="E9522" s="1" t="s">
        <v>10984</v>
      </c>
      <c r="F9522" s="2"/>
      <c r="G9522" s="2"/>
      <c r="H9522" s="2"/>
    </row>
    <row r="9523" spans="1:8" x14ac:dyDescent="0.25">
      <c r="A9523" s="1"/>
      <c r="B9523" s="1" t="s">
        <v>5161</v>
      </c>
      <c r="C9523" s="1" t="s">
        <v>5162</v>
      </c>
      <c r="D9523" s="22" t="str">
        <f>HYPERLINK("https://rhld.insurance.arkansas.gov/NPILookup?Npi=1194059014","1194059014")</f>
        <v>1194059014</v>
      </c>
      <c r="E9523" s="1" t="s">
        <v>10985</v>
      </c>
      <c r="F9523" s="2"/>
      <c r="G9523" s="2"/>
      <c r="H9523" s="2"/>
    </row>
    <row r="9524" spans="1:8" x14ac:dyDescent="0.25">
      <c r="A9524" s="1"/>
      <c r="B9524" s="1" t="s">
        <v>5161</v>
      </c>
      <c r="C9524" s="1" t="s">
        <v>5162</v>
      </c>
      <c r="D9524" s="22" t="str">
        <f>HYPERLINK("https://rhld.insurance.arkansas.gov/NPILookup?Npi=1194112656","1194112656")</f>
        <v>1194112656</v>
      </c>
      <c r="E9524" s="1" t="s">
        <v>19502</v>
      </c>
      <c r="F9524" s="2"/>
      <c r="G9524" s="2"/>
      <c r="H9524" s="2"/>
    </row>
    <row r="9525" spans="1:8" x14ac:dyDescent="0.25">
      <c r="A9525" s="1"/>
      <c r="B9525" s="1" t="s">
        <v>5161</v>
      </c>
      <c r="C9525" s="1" t="s">
        <v>5162</v>
      </c>
      <c r="D9525" s="22" t="str">
        <f>HYPERLINK("https://rhld.insurance.arkansas.gov/NPILookup?Npi=1194183996","1194183996")</f>
        <v>1194183996</v>
      </c>
      <c r="E9525" s="1" t="s">
        <v>19503</v>
      </c>
      <c r="F9525" s="2"/>
      <c r="G9525" s="2"/>
      <c r="H9525" s="2"/>
    </row>
    <row r="9526" spans="1:8" x14ac:dyDescent="0.25">
      <c r="A9526" s="1"/>
      <c r="B9526" s="1" t="s">
        <v>5161</v>
      </c>
      <c r="C9526" s="1" t="s">
        <v>5162</v>
      </c>
      <c r="D9526" s="22" t="str">
        <f>HYPERLINK("https://rhld.insurance.arkansas.gov/NPILookup?Npi=1194195321","1194195321")</f>
        <v>1194195321</v>
      </c>
      <c r="E9526" s="1" t="s">
        <v>5232</v>
      </c>
      <c r="F9526" s="2"/>
      <c r="G9526" s="2"/>
      <c r="H9526" s="2"/>
    </row>
    <row r="9527" spans="1:8" x14ac:dyDescent="0.25">
      <c r="A9527" s="1"/>
      <c r="B9527" s="1" t="s">
        <v>5161</v>
      </c>
      <c r="C9527" s="1" t="s">
        <v>5162</v>
      </c>
      <c r="D9527" s="22" t="str">
        <f>HYPERLINK("https://rhld.insurance.arkansas.gov/NPILookup?Npi=1194317610","1194317610")</f>
        <v>1194317610</v>
      </c>
      <c r="E9527" s="1" t="s">
        <v>19504</v>
      </c>
      <c r="F9527" s="2"/>
      <c r="G9527" s="2"/>
      <c r="H9527" s="2"/>
    </row>
    <row r="9528" spans="1:8" x14ac:dyDescent="0.25">
      <c r="A9528" s="1"/>
      <c r="B9528" s="1" t="s">
        <v>5161</v>
      </c>
      <c r="C9528" s="1" t="s">
        <v>5162</v>
      </c>
      <c r="D9528" s="22" t="str">
        <f>HYPERLINK("https://rhld.insurance.arkansas.gov/NPILookup?Npi=1194423319","1194423319")</f>
        <v>1194423319</v>
      </c>
      <c r="E9528" s="1" t="s">
        <v>19505</v>
      </c>
      <c r="F9528" s="2"/>
      <c r="G9528" s="2"/>
      <c r="H9528" s="2"/>
    </row>
    <row r="9529" spans="1:8" x14ac:dyDescent="0.25">
      <c r="A9529" s="1"/>
      <c r="B9529" s="1" t="s">
        <v>5161</v>
      </c>
      <c r="C9529" s="1" t="s">
        <v>5162</v>
      </c>
      <c r="D9529" s="22" t="str">
        <f>HYPERLINK("https://rhld.insurance.arkansas.gov/NPILookup?Npi=1194482505","1194482505")</f>
        <v>1194482505</v>
      </c>
      <c r="E9529" s="1" t="s">
        <v>19506</v>
      </c>
      <c r="F9529" s="2"/>
      <c r="G9529" s="2"/>
      <c r="H9529" s="2"/>
    </row>
    <row r="9530" spans="1:8" x14ac:dyDescent="0.25">
      <c r="A9530" s="1"/>
      <c r="B9530" s="1" t="s">
        <v>5161</v>
      </c>
      <c r="C9530" s="1" t="s">
        <v>5162</v>
      </c>
      <c r="D9530" s="22" t="str">
        <f>HYPERLINK("https://rhld.insurance.arkansas.gov/NPILookup?Npi=1194489856","1194489856")</f>
        <v>1194489856</v>
      </c>
      <c r="E9530" s="1" t="s">
        <v>5233</v>
      </c>
      <c r="F9530" s="2"/>
      <c r="G9530" s="2"/>
      <c r="H9530" s="2"/>
    </row>
    <row r="9531" spans="1:8" x14ac:dyDescent="0.25">
      <c r="A9531" s="1"/>
      <c r="B9531" s="1" t="s">
        <v>5161</v>
      </c>
      <c r="C9531" s="1" t="s">
        <v>5162</v>
      </c>
      <c r="D9531" s="22" t="str">
        <f>HYPERLINK("https://rhld.insurance.arkansas.gov/NPILookup?Npi=1194701185","1194701185")</f>
        <v>1194701185</v>
      </c>
      <c r="E9531" s="1" t="s">
        <v>5234</v>
      </c>
      <c r="F9531" s="2"/>
      <c r="G9531" s="2"/>
      <c r="H9531" s="2"/>
    </row>
    <row r="9532" spans="1:8" x14ac:dyDescent="0.25">
      <c r="A9532" s="1"/>
      <c r="B9532" s="1" t="s">
        <v>5161</v>
      </c>
      <c r="C9532" s="1" t="s">
        <v>5162</v>
      </c>
      <c r="D9532" s="22" t="str">
        <f>HYPERLINK("https://rhld.insurance.arkansas.gov/NPILookup?Npi=1194861294","1194861294")</f>
        <v>1194861294</v>
      </c>
      <c r="E9532" s="1" t="s">
        <v>19507</v>
      </c>
      <c r="F9532" s="2"/>
      <c r="G9532" s="2"/>
      <c r="H9532" s="2"/>
    </row>
    <row r="9533" spans="1:8" x14ac:dyDescent="0.25">
      <c r="A9533" s="1"/>
      <c r="B9533" s="1" t="s">
        <v>5161</v>
      </c>
      <c r="C9533" s="1" t="s">
        <v>5162</v>
      </c>
      <c r="D9533" s="22" t="str">
        <f>HYPERLINK("https://rhld.insurance.arkansas.gov/NPILookup?Npi=1194953372","1194953372")</f>
        <v>1194953372</v>
      </c>
      <c r="E9533" s="1" t="s">
        <v>19508</v>
      </c>
      <c r="F9533" s="2"/>
      <c r="G9533" s="2"/>
      <c r="H9533" s="2"/>
    </row>
    <row r="9534" spans="1:8" x14ac:dyDescent="0.25">
      <c r="A9534" s="1"/>
      <c r="B9534" s="1" t="s">
        <v>5161</v>
      </c>
      <c r="C9534" s="1" t="s">
        <v>5162</v>
      </c>
      <c r="D9534" s="22" t="str">
        <f>HYPERLINK("https://rhld.insurance.arkansas.gov/NPILookup?Npi=1194961359","1194961359")</f>
        <v>1194961359</v>
      </c>
      <c r="E9534" s="1" t="s">
        <v>19509</v>
      </c>
      <c r="F9534" s="2"/>
      <c r="G9534" s="2"/>
      <c r="H9534" s="2"/>
    </row>
    <row r="9535" spans="1:8" x14ac:dyDescent="0.25">
      <c r="A9535" s="1"/>
      <c r="B9535" s="1" t="s">
        <v>5161</v>
      </c>
      <c r="C9535" s="1" t="s">
        <v>5162</v>
      </c>
      <c r="D9535" s="22" t="str">
        <f>HYPERLINK("https://rhld.insurance.arkansas.gov/NPILookup?Npi=1205061686","1205061686")</f>
        <v>1205061686</v>
      </c>
      <c r="E9535" s="1" t="s">
        <v>5236</v>
      </c>
      <c r="F9535" s="2"/>
      <c r="G9535" s="2"/>
      <c r="H9535" s="2"/>
    </row>
    <row r="9536" spans="1:8" x14ac:dyDescent="0.25">
      <c r="A9536" s="1"/>
      <c r="B9536" s="1" t="s">
        <v>5161</v>
      </c>
      <c r="C9536" s="1" t="s">
        <v>5162</v>
      </c>
      <c r="D9536" s="22" t="str">
        <f>HYPERLINK("https://rhld.insurance.arkansas.gov/NPILookup?Npi=1205126893","1205126893")</f>
        <v>1205126893</v>
      </c>
      <c r="E9536" s="1" t="s">
        <v>19510</v>
      </c>
      <c r="F9536" s="2"/>
      <c r="G9536" s="2"/>
      <c r="H9536" s="2"/>
    </row>
    <row r="9537" spans="1:8" x14ac:dyDescent="0.25">
      <c r="A9537" s="1"/>
      <c r="B9537" s="1" t="s">
        <v>5161</v>
      </c>
      <c r="C9537" s="1" t="s">
        <v>5162</v>
      </c>
      <c r="D9537" s="22" t="str">
        <f>HYPERLINK("https://rhld.insurance.arkansas.gov/NPILookup?Npi=1205166097","1205166097")</f>
        <v>1205166097</v>
      </c>
      <c r="E9537" s="1" t="s">
        <v>19511</v>
      </c>
      <c r="F9537" s="2"/>
      <c r="G9537" s="2"/>
      <c r="H9537" s="2"/>
    </row>
    <row r="9538" spans="1:8" x14ac:dyDescent="0.25">
      <c r="A9538" s="1"/>
      <c r="B9538" s="1" t="s">
        <v>5161</v>
      </c>
      <c r="C9538" s="1" t="s">
        <v>5162</v>
      </c>
      <c r="D9538" s="22" t="str">
        <f>HYPERLINK("https://rhld.insurance.arkansas.gov/NPILookup?Npi=1205185204","1205185204")</f>
        <v>1205185204</v>
      </c>
      <c r="E9538" s="1" t="s">
        <v>19512</v>
      </c>
      <c r="F9538" s="2"/>
      <c r="G9538" s="2"/>
      <c r="H9538" s="2"/>
    </row>
    <row r="9539" spans="1:8" x14ac:dyDescent="0.25">
      <c r="A9539" s="1"/>
      <c r="B9539" s="1" t="s">
        <v>5161</v>
      </c>
      <c r="C9539" s="1" t="s">
        <v>5162</v>
      </c>
      <c r="D9539" s="22" t="str">
        <f>HYPERLINK("https://rhld.insurance.arkansas.gov/NPILookup?Npi=1205231701","1205231701")</f>
        <v>1205231701</v>
      </c>
      <c r="E9539" s="1" t="s">
        <v>19513</v>
      </c>
      <c r="F9539" s="2"/>
      <c r="G9539" s="2"/>
      <c r="H9539" s="2"/>
    </row>
    <row r="9540" spans="1:8" x14ac:dyDescent="0.25">
      <c r="A9540" s="1"/>
      <c r="B9540" s="1" t="s">
        <v>5161</v>
      </c>
      <c r="C9540" s="1" t="s">
        <v>5162</v>
      </c>
      <c r="D9540" s="22" t="str">
        <f>HYPERLINK("https://rhld.insurance.arkansas.gov/NPILookup?Npi=1205235959","1205235959")</f>
        <v>1205235959</v>
      </c>
      <c r="E9540" s="1" t="s">
        <v>10986</v>
      </c>
      <c r="F9540" s="2"/>
      <c r="G9540" s="2"/>
      <c r="H9540" s="2"/>
    </row>
    <row r="9541" spans="1:8" x14ac:dyDescent="0.25">
      <c r="A9541" s="1"/>
      <c r="B9541" s="1" t="s">
        <v>5161</v>
      </c>
      <c r="C9541" s="1" t="s">
        <v>5162</v>
      </c>
      <c r="D9541" s="22" t="str">
        <f>HYPERLINK("https://rhld.insurance.arkansas.gov/NPILookup?Npi=1205237724","1205237724")</f>
        <v>1205237724</v>
      </c>
      <c r="E9541" s="1" t="s">
        <v>19514</v>
      </c>
      <c r="F9541" s="2"/>
      <c r="G9541" s="2"/>
      <c r="H9541" s="2"/>
    </row>
    <row r="9542" spans="1:8" x14ac:dyDescent="0.25">
      <c r="A9542" s="1"/>
      <c r="B9542" s="1" t="s">
        <v>5161</v>
      </c>
      <c r="C9542" s="1" t="s">
        <v>5162</v>
      </c>
      <c r="D9542" s="22" t="str">
        <f>HYPERLINK("https://rhld.insurance.arkansas.gov/NPILookup?Npi=1205257276","1205257276")</f>
        <v>1205257276</v>
      </c>
      <c r="E9542" s="1" t="s">
        <v>5237</v>
      </c>
      <c r="F9542" s="2"/>
      <c r="G9542" s="2"/>
      <c r="H9542" s="2"/>
    </row>
    <row r="9543" spans="1:8" x14ac:dyDescent="0.25">
      <c r="A9543" s="1"/>
      <c r="B9543" s="1" t="s">
        <v>5161</v>
      </c>
      <c r="C9543" s="1" t="s">
        <v>5162</v>
      </c>
      <c r="D9543" s="22" t="str">
        <f>HYPERLINK("https://rhld.insurance.arkansas.gov/NPILookup?Npi=1205319969","1205319969")</f>
        <v>1205319969</v>
      </c>
      <c r="E9543" s="1" t="s">
        <v>19515</v>
      </c>
      <c r="F9543" s="2"/>
      <c r="G9543" s="2"/>
      <c r="H9543" s="2"/>
    </row>
    <row r="9544" spans="1:8" x14ac:dyDescent="0.25">
      <c r="A9544" s="1"/>
      <c r="B9544" s="1" t="s">
        <v>5161</v>
      </c>
      <c r="C9544" s="1" t="s">
        <v>5162</v>
      </c>
      <c r="D9544" s="22" t="str">
        <f>HYPERLINK("https://rhld.insurance.arkansas.gov/NPILookup?Npi=1205384286","1205384286")</f>
        <v>1205384286</v>
      </c>
      <c r="E9544" s="1" t="s">
        <v>19516</v>
      </c>
      <c r="F9544" s="2"/>
      <c r="G9544" s="2"/>
      <c r="H9544" s="2"/>
    </row>
    <row r="9545" spans="1:8" x14ac:dyDescent="0.25">
      <c r="A9545" s="1"/>
      <c r="B9545" s="1" t="s">
        <v>5161</v>
      </c>
      <c r="C9545" s="1" t="s">
        <v>5162</v>
      </c>
      <c r="D9545" s="22" t="str">
        <f>HYPERLINK("https://rhld.insurance.arkansas.gov/NPILookup?Npi=1205504354","1205504354")</f>
        <v>1205504354</v>
      </c>
      <c r="E9545" s="1" t="s">
        <v>19517</v>
      </c>
      <c r="F9545" s="2"/>
      <c r="G9545" s="2"/>
      <c r="H9545" s="2"/>
    </row>
    <row r="9546" spans="1:8" x14ac:dyDescent="0.25">
      <c r="A9546" s="1"/>
      <c r="B9546" s="1" t="s">
        <v>5161</v>
      </c>
      <c r="C9546" s="1" t="s">
        <v>5162</v>
      </c>
      <c r="D9546" s="22" t="str">
        <f>HYPERLINK("https://rhld.insurance.arkansas.gov/NPILookup?Npi=1205595949","1205595949")</f>
        <v>1205595949</v>
      </c>
      <c r="E9546" s="1" t="s">
        <v>31694</v>
      </c>
      <c r="F9546" s="2"/>
      <c r="G9546" s="2"/>
      <c r="H9546" s="2"/>
    </row>
    <row r="9547" spans="1:8" x14ac:dyDescent="0.25">
      <c r="A9547" s="1"/>
      <c r="B9547" s="1" t="s">
        <v>5161</v>
      </c>
      <c r="C9547" s="1" t="s">
        <v>5162</v>
      </c>
      <c r="D9547" s="22" t="str">
        <f>HYPERLINK("https://rhld.insurance.arkansas.gov/NPILookup?Npi=1205984713","1205984713")</f>
        <v>1205984713</v>
      </c>
      <c r="E9547" s="1" t="s">
        <v>5238</v>
      </c>
      <c r="F9547" s="2"/>
      <c r="G9547" s="2"/>
      <c r="H9547" s="2"/>
    </row>
    <row r="9548" spans="1:8" x14ac:dyDescent="0.25">
      <c r="A9548" s="1"/>
      <c r="B9548" s="1" t="s">
        <v>5161</v>
      </c>
      <c r="C9548" s="1" t="s">
        <v>5162</v>
      </c>
      <c r="D9548" s="22" t="str">
        <f>HYPERLINK("https://rhld.insurance.arkansas.gov/NPILookup?Npi=1215077862","1215077862")</f>
        <v>1215077862</v>
      </c>
      <c r="E9548" s="1" t="s">
        <v>5239</v>
      </c>
      <c r="F9548" s="2"/>
      <c r="G9548" s="2"/>
      <c r="H9548" s="2"/>
    </row>
    <row r="9549" spans="1:8" x14ac:dyDescent="0.25">
      <c r="A9549" s="1"/>
      <c r="B9549" s="1" t="s">
        <v>5161</v>
      </c>
      <c r="C9549" s="1" t="s">
        <v>5162</v>
      </c>
      <c r="D9549" s="22" t="str">
        <f>HYPERLINK("https://rhld.insurance.arkansas.gov/NPILookup?Npi=1215145131","1215145131")</f>
        <v>1215145131</v>
      </c>
      <c r="E9549" s="1" t="s">
        <v>5240</v>
      </c>
      <c r="F9549" s="2"/>
      <c r="G9549" s="2"/>
      <c r="H9549" s="2"/>
    </row>
    <row r="9550" spans="1:8" x14ac:dyDescent="0.25">
      <c r="A9550" s="1"/>
      <c r="B9550" s="1" t="s">
        <v>5161</v>
      </c>
      <c r="C9550" s="1" t="s">
        <v>5162</v>
      </c>
      <c r="D9550" s="22" t="str">
        <f>HYPERLINK("https://rhld.insurance.arkansas.gov/NPILookup?Npi=1215210810","1215210810")</f>
        <v>1215210810</v>
      </c>
      <c r="E9550" s="1" t="s">
        <v>19518</v>
      </c>
      <c r="F9550" s="2"/>
      <c r="G9550" s="2"/>
      <c r="H9550" s="2"/>
    </row>
    <row r="9551" spans="1:8" x14ac:dyDescent="0.25">
      <c r="A9551" s="1"/>
      <c r="B9551" s="1" t="s">
        <v>5161</v>
      </c>
      <c r="C9551" s="1" t="s">
        <v>5162</v>
      </c>
      <c r="D9551" s="22" t="str">
        <f>HYPERLINK("https://rhld.insurance.arkansas.gov/NPILookup?Npi=1215218029","1215218029")</f>
        <v>1215218029</v>
      </c>
      <c r="E9551" s="1" t="s">
        <v>19519</v>
      </c>
      <c r="F9551" s="2"/>
      <c r="G9551" s="2"/>
      <c r="H9551" s="2"/>
    </row>
    <row r="9552" spans="1:8" x14ac:dyDescent="0.25">
      <c r="A9552" s="1"/>
      <c r="B9552" s="1" t="s">
        <v>5161</v>
      </c>
      <c r="C9552" s="1" t="s">
        <v>5162</v>
      </c>
      <c r="D9552" s="22" t="str">
        <f>HYPERLINK("https://rhld.insurance.arkansas.gov/NPILookup?Npi=1215305867","1215305867")</f>
        <v>1215305867</v>
      </c>
      <c r="E9552" s="1" t="s">
        <v>5241</v>
      </c>
      <c r="F9552" s="2"/>
      <c r="G9552" s="2"/>
      <c r="H9552" s="2"/>
    </row>
    <row r="9553" spans="1:8" x14ac:dyDescent="0.25">
      <c r="A9553" s="1"/>
      <c r="B9553" s="1" t="s">
        <v>5161</v>
      </c>
      <c r="C9553" s="1" t="s">
        <v>5162</v>
      </c>
      <c r="D9553" s="22" t="str">
        <f>HYPERLINK("https://rhld.insurance.arkansas.gov/NPILookup?Npi=1215364567","1215364567")</f>
        <v>1215364567</v>
      </c>
      <c r="E9553" s="1" t="s">
        <v>19520</v>
      </c>
      <c r="F9553" s="2"/>
      <c r="G9553" s="2"/>
      <c r="H9553" s="2"/>
    </row>
    <row r="9554" spans="1:8" x14ac:dyDescent="0.25">
      <c r="A9554" s="1"/>
      <c r="B9554" s="1" t="s">
        <v>5161</v>
      </c>
      <c r="C9554" s="1" t="s">
        <v>5162</v>
      </c>
      <c r="D9554" s="22" t="str">
        <f>HYPERLINK("https://rhld.insurance.arkansas.gov/NPILookup?Npi=1215365622","1215365622")</f>
        <v>1215365622</v>
      </c>
      <c r="E9554" s="1" t="s">
        <v>5242</v>
      </c>
      <c r="F9554" s="2"/>
      <c r="G9554" s="2"/>
      <c r="H9554" s="2"/>
    </row>
    <row r="9555" spans="1:8" x14ac:dyDescent="0.25">
      <c r="A9555" s="1"/>
      <c r="B9555" s="1" t="s">
        <v>5161</v>
      </c>
      <c r="C9555" s="1" t="s">
        <v>5162</v>
      </c>
      <c r="D9555" s="22" t="str">
        <f>HYPERLINK("https://rhld.insurance.arkansas.gov/NPILookup?Npi=1215397484","1215397484")</f>
        <v>1215397484</v>
      </c>
      <c r="E9555" s="1" t="s">
        <v>31695</v>
      </c>
      <c r="F9555" s="2"/>
      <c r="G9555" s="2"/>
      <c r="H9555" s="2"/>
    </row>
    <row r="9556" spans="1:8" x14ac:dyDescent="0.25">
      <c r="A9556" s="1"/>
      <c r="B9556" s="1" t="s">
        <v>5161</v>
      </c>
      <c r="C9556" s="1" t="s">
        <v>5162</v>
      </c>
      <c r="D9556" s="22" t="str">
        <f>HYPERLINK("https://rhld.insurance.arkansas.gov/NPILookup?Npi=1215402037","1215402037")</f>
        <v>1215402037</v>
      </c>
      <c r="E9556" s="1" t="s">
        <v>5243</v>
      </c>
      <c r="F9556" s="2"/>
      <c r="G9556" s="2"/>
      <c r="H9556" s="2"/>
    </row>
    <row r="9557" spans="1:8" x14ac:dyDescent="0.25">
      <c r="A9557" s="1"/>
      <c r="B9557" s="1" t="s">
        <v>5161</v>
      </c>
      <c r="C9557" s="1" t="s">
        <v>5162</v>
      </c>
      <c r="D9557" s="22" t="str">
        <f>HYPERLINK("https://rhld.insurance.arkansas.gov/NPILookup?Npi=1215439682","1215439682")</f>
        <v>1215439682</v>
      </c>
      <c r="E9557" s="1" t="s">
        <v>10987</v>
      </c>
      <c r="F9557" s="2"/>
      <c r="G9557" s="2"/>
      <c r="H9557" s="2"/>
    </row>
    <row r="9558" spans="1:8" x14ac:dyDescent="0.25">
      <c r="A9558" s="1"/>
      <c r="B9558" s="1" t="s">
        <v>5161</v>
      </c>
      <c r="C9558" s="1" t="s">
        <v>5162</v>
      </c>
      <c r="D9558" s="22" t="str">
        <f>HYPERLINK("https://rhld.insurance.arkansas.gov/NPILookup?Npi=1215485578","1215485578")</f>
        <v>1215485578</v>
      </c>
      <c r="E9558" s="1" t="s">
        <v>19521</v>
      </c>
      <c r="F9558" s="2"/>
      <c r="G9558" s="2"/>
      <c r="H9558" s="2"/>
    </row>
    <row r="9559" spans="1:8" x14ac:dyDescent="0.25">
      <c r="A9559" s="1"/>
      <c r="B9559" s="1" t="s">
        <v>5161</v>
      </c>
      <c r="C9559" s="1" t="s">
        <v>5162</v>
      </c>
      <c r="D9559" s="22" t="str">
        <f>HYPERLINK("https://rhld.insurance.arkansas.gov/NPILookup?Npi=1215534508","1215534508")</f>
        <v>1215534508</v>
      </c>
      <c r="E9559" s="1" t="s">
        <v>19522</v>
      </c>
      <c r="F9559" s="2"/>
      <c r="G9559" s="2"/>
      <c r="H9559" s="2"/>
    </row>
    <row r="9560" spans="1:8" x14ac:dyDescent="0.25">
      <c r="A9560" s="1"/>
      <c r="B9560" s="1" t="s">
        <v>5161</v>
      </c>
      <c r="C9560" s="1" t="s">
        <v>5162</v>
      </c>
      <c r="D9560" s="22" t="str">
        <f>HYPERLINK("https://rhld.insurance.arkansas.gov/NPILookup?Npi=1215572599","1215572599")</f>
        <v>1215572599</v>
      </c>
      <c r="E9560" s="1" t="s">
        <v>19523</v>
      </c>
      <c r="F9560" s="2"/>
      <c r="G9560" s="2"/>
      <c r="H9560" s="2"/>
    </row>
    <row r="9561" spans="1:8" x14ac:dyDescent="0.25">
      <c r="A9561" s="1"/>
      <c r="B9561" s="1" t="s">
        <v>5161</v>
      </c>
      <c r="C9561" s="1" t="s">
        <v>5162</v>
      </c>
      <c r="D9561" s="22" t="str">
        <f>HYPERLINK("https://rhld.insurance.arkansas.gov/NPILookup?Npi=1215644760","1215644760")</f>
        <v>1215644760</v>
      </c>
      <c r="E9561" s="1" t="s">
        <v>19524</v>
      </c>
      <c r="F9561" s="2"/>
      <c r="G9561" s="2"/>
      <c r="H9561" s="2"/>
    </row>
    <row r="9562" spans="1:8" x14ac:dyDescent="0.25">
      <c r="A9562" s="1"/>
      <c r="B9562" s="1" t="s">
        <v>5161</v>
      </c>
      <c r="C9562" s="1" t="s">
        <v>5162</v>
      </c>
      <c r="D9562" s="22" t="str">
        <f>HYPERLINK("https://rhld.insurance.arkansas.gov/NPILookup?Npi=1215646427","1215646427")</f>
        <v>1215646427</v>
      </c>
      <c r="E9562" s="1" t="s">
        <v>10988</v>
      </c>
      <c r="F9562" s="2"/>
      <c r="G9562" s="2"/>
      <c r="H9562" s="2"/>
    </row>
    <row r="9563" spans="1:8" x14ac:dyDescent="0.25">
      <c r="A9563" s="1"/>
      <c r="B9563" s="1" t="s">
        <v>5161</v>
      </c>
      <c r="C9563" s="1" t="s">
        <v>5162</v>
      </c>
      <c r="D9563" s="22" t="str">
        <f>HYPERLINK("https://rhld.insurance.arkansas.gov/NPILookup?Npi=1215709647","1215709647")</f>
        <v>1215709647</v>
      </c>
      <c r="E9563" s="1" t="s">
        <v>31696</v>
      </c>
      <c r="F9563" s="2"/>
      <c r="G9563" s="2"/>
      <c r="H9563" s="2"/>
    </row>
    <row r="9564" spans="1:8" x14ac:dyDescent="0.25">
      <c r="A9564" s="1"/>
      <c r="B9564" s="1" t="s">
        <v>5161</v>
      </c>
      <c r="C9564" s="1" t="s">
        <v>5162</v>
      </c>
      <c r="D9564" s="22" t="str">
        <f>HYPERLINK("https://rhld.insurance.arkansas.gov/NPILookup?Npi=1215791579","1215791579")</f>
        <v>1215791579</v>
      </c>
      <c r="E9564" s="1" t="s">
        <v>5244</v>
      </c>
      <c r="F9564" s="2"/>
      <c r="G9564" s="2"/>
      <c r="H9564" s="2"/>
    </row>
    <row r="9565" spans="1:8" x14ac:dyDescent="0.25">
      <c r="A9565" s="1"/>
      <c r="B9565" s="1" t="s">
        <v>5161</v>
      </c>
      <c r="C9565" s="1" t="s">
        <v>5162</v>
      </c>
      <c r="D9565" s="22" t="str">
        <f>HYPERLINK("https://rhld.insurance.arkansas.gov/NPILookup?Npi=1225149768","1225149768")</f>
        <v>1225149768</v>
      </c>
      <c r="E9565" s="1" t="s">
        <v>5245</v>
      </c>
      <c r="F9565" s="2"/>
      <c r="G9565" s="2"/>
      <c r="H9565" s="2"/>
    </row>
    <row r="9566" spans="1:8" x14ac:dyDescent="0.25">
      <c r="A9566" s="1"/>
      <c r="B9566" s="1" t="s">
        <v>5161</v>
      </c>
      <c r="C9566" s="1" t="s">
        <v>5162</v>
      </c>
      <c r="D9566" s="22" t="str">
        <f>HYPERLINK("https://rhld.insurance.arkansas.gov/NPILookup?Npi=1225189186","1225189186")</f>
        <v>1225189186</v>
      </c>
      <c r="E9566" s="1" t="s">
        <v>19525</v>
      </c>
      <c r="F9566" s="2"/>
      <c r="G9566" s="2"/>
      <c r="H9566" s="2"/>
    </row>
    <row r="9567" spans="1:8" x14ac:dyDescent="0.25">
      <c r="A9567" s="1"/>
      <c r="B9567" s="1" t="s">
        <v>5161</v>
      </c>
      <c r="C9567" s="1" t="s">
        <v>5162</v>
      </c>
      <c r="D9567" s="22" t="str">
        <f>HYPERLINK("https://rhld.insurance.arkansas.gov/NPILookup?Npi=1225339039","1225339039")</f>
        <v>1225339039</v>
      </c>
      <c r="E9567" s="1" t="s">
        <v>19526</v>
      </c>
      <c r="F9567" s="2"/>
      <c r="G9567" s="2"/>
      <c r="H9567" s="2"/>
    </row>
    <row r="9568" spans="1:8" x14ac:dyDescent="0.25">
      <c r="A9568" s="1"/>
      <c r="B9568" s="1" t="s">
        <v>5161</v>
      </c>
      <c r="C9568" s="1" t="s">
        <v>5162</v>
      </c>
      <c r="D9568" s="22" t="str">
        <f>HYPERLINK("https://rhld.insurance.arkansas.gov/NPILookup?Npi=1225430358","1225430358")</f>
        <v>1225430358</v>
      </c>
      <c r="E9568" s="1" t="s">
        <v>19527</v>
      </c>
      <c r="F9568" s="2"/>
      <c r="G9568" s="2"/>
      <c r="H9568" s="2"/>
    </row>
    <row r="9569" spans="1:8" x14ac:dyDescent="0.25">
      <c r="A9569" s="1"/>
      <c r="B9569" s="1" t="s">
        <v>5161</v>
      </c>
      <c r="C9569" s="1" t="s">
        <v>5162</v>
      </c>
      <c r="D9569" s="22" t="str">
        <f>HYPERLINK("https://rhld.insurance.arkansas.gov/NPILookup?Npi=1225547516","1225547516")</f>
        <v>1225547516</v>
      </c>
      <c r="E9569" s="1" t="s">
        <v>19528</v>
      </c>
      <c r="F9569" s="2"/>
      <c r="G9569" s="2"/>
      <c r="H9569" s="2"/>
    </row>
    <row r="9570" spans="1:8" x14ac:dyDescent="0.25">
      <c r="A9570" s="1"/>
      <c r="B9570" s="1" t="s">
        <v>5161</v>
      </c>
      <c r="C9570" s="1" t="s">
        <v>5162</v>
      </c>
      <c r="D9570" s="22" t="str">
        <f>HYPERLINK("https://rhld.insurance.arkansas.gov/NPILookup?Npi=1225564404","1225564404")</f>
        <v>1225564404</v>
      </c>
      <c r="E9570" s="1" t="s">
        <v>5246</v>
      </c>
      <c r="F9570" s="2"/>
      <c r="G9570" s="2"/>
      <c r="H9570" s="2"/>
    </row>
    <row r="9571" spans="1:8" x14ac:dyDescent="0.25">
      <c r="A9571" s="1"/>
      <c r="B9571" s="1" t="s">
        <v>5161</v>
      </c>
      <c r="C9571" s="1" t="s">
        <v>5162</v>
      </c>
      <c r="D9571" s="22" t="str">
        <f>HYPERLINK("https://rhld.insurance.arkansas.gov/NPILookup?Npi=1225691728","1225691728")</f>
        <v>1225691728</v>
      </c>
      <c r="E9571" s="1" t="s">
        <v>5247</v>
      </c>
      <c r="F9571" s="2"/>
      <c r="G9571" s="2"/>
      <c r="H9571" s="2"/>
    </row>
    <row r="9572" spans="1:8" x14ac:dyDescent="0.25">
      <c r="A9572" s="1"/>
      <c r="B9572" s="1" t="s">
        <v>5161</v>
      </c>
      <c r="C9572" s="1" t="s">
        <v>5162</v>
      </c>
      <c r="D9572" s="22" t="str">
        <f>HYPERLINK("https://rhld.insurance.arkansas.gov/NPILookup?Npi=1225718596","1225718596")</f>
        <v>1225718596</v>
      </c>
      <c r="E9572" s="1" t="s">
        <v>10989</v>
      </c>
      <c r="F9572" s="2"/>
      <c r="G9572" s="2"/>
      <c r="H9572" s="2"/>
    </row>
    <row r="9573" spans="1:8" x14ac:dyDescent="0.25">
      <c r="A9573" s="1"/>
      <c r="B9573" s="1" t="s">
        <v>5161</v>
      </c>
      <c r="C9573" s="1" t="s">
        <v>5162</v>
      </c>
      <c r="D9573" s="22" t="str">
        <f>HYPERLINK("https://rhld.insurance.arkansas.gov/NPILookup?Npi=1225725559","1225725559")</f>
        <v>1225725559</v>
      </c>
      <c r="E9573" s="1" t="s">
        <v>5248</v>
      </c>
      <c r="F9573" s="2"/>
      <c r="G9573" s="2"/>
      <c r="H9573" s="2"/>
    </row>
    <row r="9574" spans="1:8" x14ac:dyDescent="0.25">
      <c r="A9574" s="1"/>
      <c r="B9574" s="1" t="s">
        <v>5161</v>
      </c>
      <c r="C9574" s="1" t="s">
        <v>5162</v>
      </c>
      <c r="D9574" s="22" t="str">
        <f>HYPERLINK("https://rhld.insurance.arkansas.gov/NPILookup?Npi=1225751407","1225751407")</f>
        <v>1225751407</v>
      </c>
      <c r="E9574" s="1" t="s">
        <v>19529</v>
      </c>
      <c r="F9574" s="2"/>
      <c r="G9574" s="2"/>
      <c r="H9574" s="2"/>
    </row>
    <row r="9575" spans="1:8" x14ac:dyDescent="0.25">
      <c r="A9575" s="1"/>
      <c r="B9575" s="1" t="s">
        <v>5161</v>
      </c>
      <c r="C9575" s="1" t="s">
        <v>5162</v>
      </c>
      <c r="D9575" s="22" t="str">
        <f>HYPERLINK("https://rhld.insurance.arkansas.gov/NPILookup?Npi=1225759855","1225759855")</f>
        <v>1225759855</v>
      </c>
      <c r="E9575" s="1" t="s">
        <v>19530</v>
      </c>
      <c r="F9575" s="2"/>
      <c r="G9575" s="2"/>
      <c r="H9575" s="2"/>
    </row>
    <row r="9576" spans="1:8" x14ac:dyDescent="0.25">
      <c r="A9576" s="1"/>
      <c r="B9576" s="1" t="s">
        <v>5161</v>
      </c>
      <c r="C9576" s="1" t="s">
        <v>5162</v>
      </c>
      <c r="D9576" s="22" t="str">
        <f>HYPERLINK("https://rhld.insurance.arkansas.gov/NPILookup?Npi=1225770894","1225770894")</f>
        <v>1225770894</v>
      </c>
      <c r="E9576" s="1" t="s">
        <v>19531</v>
      </c>
      <c r="F9576" s="2"/>
      <c r="G9576" s="2"/>
      <c r="H9576" s="2"/>
    </row>
    <row r="9577" spans="1:8" x14ac:dyDescent="0.25">
      <c r="A9577" s="1"/>
      <c r="B9577" s="1" t="s">
        <v>5161</v>
      </c>
      <c r="C9577" s="1" t="s">
        <v>5162</v>
      </c>
      <c r="D9577" s="22" t="str">
        <f>HYPERLINK("https://rhld.insurance.arkansas.gov/NPILookup?Npi=1235193335","1235193335")</f>
        <v>1235193335</v>
      </c>
      <c r="E9577" s="1" t="s">
        <v>5249</v>
      </c>
      <c r="F9577" s="2"/>
      <c r="G9577" s="2"/>
      <c r="H9577" s="2"/>
    </row>
    <row r="9578" spans="1:8" x14ac:dyDescent="0.25">
      <c r="A9578" s="1"/>
      <c r="B9578" s="1" t="s">
        <v>5161</v>
      </c>
      <c r="C9578" s="1" t="s">
        <v>5162</v>
      </c>
      <c r="D9578" s="22" t="str">
        <f>HYPERLINK("https://rhld.insurance.arkansas.gov/NPILookup?Npi=1235262700","1235262700")</f>
        <v>1235262700</v>
      </c>
      <c r="E9578" s="1" t="s">
        <v>19532</v>
      </c>
      <c r="F9578" s="2"/>
      <c r="G9578" s="2"/>
      <c r="H9578" s="2"/>
    </row>
    <row r="9579" spans="1:8" x14ac:dyDescent="0.25">
      <c r="A9579" s="1"/>
      <c r="B9579" s="1" t="s">
        <v>5161</v>
      </c>
      <c r="C9579" s="1" t="s">
        <v>5162</v>
      </c>
      <c r="D9579" s="22" t="str">
        <f>HYPERLINK("https://rhld.insurance.arkansas.gov/NPILookup?Npi=1235281395","1235281395")</f>
        <v>1235281395</v>
      </c>
      <c r="E9579" s="1" t="s">
        <v>19533</v>
      </c>
      <c r="F9579" s="2"/>
      <c r="G9579" s="2"/>
      <c r="H9579" s="2"/>
    </row>
    <row r="9580" spans="1:8" x14ac:dyDescent="0.25">
      <c r="A9580" s="1"/>
      <c r="B9580" s="1" t="s">
        <v>5161</v>
      </c>
      <c r="C9580" s="1" t="s">
        <v>5162</v>
      </c>
      <c r="D9580" s="22" t="str">
        <f>HYPERLINK("https://rhld.insurance.arkansas.gov/NPILookup?Npi=1235475468","1235475468")</f>
        <v>1235475468</v>
      </c>
      <c r="E9580" s="1" t="s">
        <v>19534</v>
      </c>
      <c r="F9580" s="2"/>
      <c r="G9580" s="2"/>
      <c r="H9580" s="2"/>
    </row>
    <row r="9581" spans="1:8" x14ac:dyDescent="0.25">
      <c r="A9581" s="1"/>
      <c r="B9581" s="1" t="s">
        <v>5161</v>
      </c>
      <c r="C9581" s="1" t="s">
        <v>5162</v>
      </c>
      <c r="D9581" s="22" t="str">
        <f>HYPERLINK("https://rhld.insurance.arkansas.gov/NPILookup?Npi=1235531682","1235531682")</f>
        <v>1235531682</v>
      </c>
      <c r="E9581" s="1" t="s">
        <v>19535</v>
      </c>
      <c r="F9581" s="2"/>
      <c r="G9581" s="2"/>
      <c r="H9581" s="2"/>
    </row>
    <row r="9582" spans="1:8" x14ac:dyDescent="0.25">
      <c r="A9582" s="1"/>
      <c r="B9582" s="1" t="s">
        <v>5161</v>
      </c>
      <c r="C9582" s="1" t="s">
        <v>5162</v>
      </c>
      <c r="D9582" s="22" t="str">
        <f>HYPERLINK("https://rhld.insurance.arkansas.gov/NPILookup?Npi=1235607755","1235607755")</f>
        <v>1235607755</v>
      </c>
      <c r="E9582" s="1" t="s">
        <v>19536</v>
      </c>
      <c r="F9582" s="2"/>
      <c r="G9582" s="2"/>
      <c r="H9582" s="2"/>
    </row>
    <row r="9583" spans="1:8" x14ac:dyDescent="0.25">
      <c r="A9583" s="1"/>
      <c r="B9583" s="1" t="s">
        <v>5161</v>
      </c>
      <c r="C9583" s="1" t="s">
        <v>5162</v>
      </c>
      <c r="D9583" s="22" t="str">
        <f>HYPERLINK("https://rhld.insurance.arkansas.gov/NPILookup?Npi=1235637810","1235637810")</f>
        <v>1235637810</v>
      </c>
      <c r="E9583" s="1" t="s">
        <v>10991</v>
      </c>
      <c r="F9583" s="2"/>
      <c r="G9583" s="2"/>
      <c r="H9583" s="2"/>
    </row>
    <row r="9584" spans="1:8" x14ac:dyDescent="0.25">
      <c r="A9584" s="1"/>
      <c r="B9584" s="1" t="s">
        <v>5161</v>
      </c>
      <c r="C9584" s="1" t="s">
        <v>5162</v>
      </c>
      <c r="D9584" s="22" t="str">
        <f>HYPERLINK("https://rhld.insurance.arkansas.gov/NPILookup?Npi=1235643958","1235643958")</f>
        <v>1235643958</v>
      </c>
      <c r="E9584" s="1" t="s">
        <v>19537</v>
      </c>
      <c r="F9584" s="2"/>
      <c r="G9584" s="2"/>
      <c r="H9584" s="2"/>
    </row>
    <row r="9585" spans="1:8" x14ac:dyDescent="0.25">
      <c r="A9585" s="1"/>
      <c r="B9585" s="1" t="s">
        <v>5161</v>
      </c>
      <c r="C9585" s="1" t="s">
        <v>5162</v>
      </c>
      <c r="D9585" s="22" t="str">
        <f>HYPERLINK("https://rhld.insurance.arkansas.gov/NPILookup?Npi=1235647637","1235647637")</f>
        <v>1235647637</v>
      </c>
      <c r="E9585" s="1" t="s">
        <v>19538</v>
      </c>
      <c r="F9585" s="2"/>
      <c r="G9585" s="2"/>
      <c r="H9585" s="2"/>
    </row>
    <row r="9586" spans="1:8" x14ac:dyDescent="0.25">
      <c r="A9586" s="1"/>
      <c r="B9586" s="1" t="s">
        <v>5161</v>
      </c>
      <c r="C9586" s="1" t="s">
        <v>5162</v>
      </c>
      <c r="D9586" s="22" t="str">
        <f>HYPERLINK("https://rhld.insurance.arkansas.gov/NPILookup?Npi=1235653353","1235653353")</f>
        <v>1235653353</v>
      </c>
      <c r="E9586" s="1" t="s">
        <v>19539</v>
      </c>
      <c r="F9586" s="2"/>
      <c r="G9586" s="2"/>
      <c r="H9586" s="2"/>
    </row>
    <row r="9587" spans="1:8" x14ac:dyDescent="0.25">
      <c r="A9587" s="1"/>
      <c r="B9587" s="1" t="s">
        <v>5161</v>
      </c>
      <c r="C9587" s="1" t="s">
        <v>5162</v>
      </c>
      <c r="D9587" s="22" t="str">
        <f>HYPERLINK("https://rhld.insurance.arkansas.gov/NPILookup?Npi=1235801689","1235801689")</f>
        <v>1235801689</v>
      </c>
      <c r="E9587" s="1" t="s">
        <v>19540</v>
      </c>
      <c r="F9587" s="2"/>
      <c r="G9587" s="2"/>
      <c r="H9587" s="2"/>
    </row>
    <row r="9588" spans="1:8" x14ac:dyDescent="0.25">
      <c r="A9588" s="1"/>
      <c r="B9588" s="1" t="s">
        <v>5161</v>
      </c>
      <c r="C9588" s="1" t="s">
        <v>5162</v>
      </c>
      <c r="D9588" s="22" t="str">
        <f>HYPERLINK("https://rhld.insurance.arkansas.gov/NPILookup?Npi=1235853995","1235853995")</f>
        <v>1235853995</v>
      </c>
      <c r="E9588" s="1" t="s">
        <v>5250</v>
      </c>
      <c r="F9588" s="2"/>
      <c r="G9588" s="2"/>
      <c r="H9588" s="2"/>
    </row>
    <row r="9589" spans="1:8" x14ac:dyDescent="0.25">
      <c r="A9589" s="1"/>
      <c r="B9589" s="1" t="s">
        <v>5161</v>
      </c>
      <c r="C9589" s="1" t="s">
        <v>5162</v>
      </c>
      <c r="D9589" s="22" t="str">
        <f>HYPERLINK("https://rhld.insurance.arkansas.gov/NPILookup?Npi=1235902750","1235902750")</f>
        <v>1235902750</v>
      </c>
      <c r="E9589" s="1" t="s">
        <v>19541</v>
      </c>
      <c r="F9589" s="2"/>
      <c r="G9589" s="2"/>
      <c r="H9589" s="2"/>
    </row>
    <row r="9590" spans="1:8" x14ac:dyDescent="0.25">
      <c r="A9590" s="1"/>
      <c r="B9590" s="1" t="s">
        <v>5161</v>
      </c>
      <c r="C9590" s="1" t="s">
        <v>5162</v>
      </c>
      <c r="D9590" s="22" t="str">
        <f>HYPERLINK("https://rhld.insurance.arkansas.gov/NPILookup?Npi=1245067420","1245067420")</f>
        <v>1245067420</v>
      </c>
      <c r="E9590" s="1" t="s">
        <v>19542</v>
      </c>
      <c r="F9590" s="2"/>
      <c r="G9590" s="2"/>
      <c r="H9590" s="2"/>
    </row>
    <row r="9591" spans="1:8" x14ac:dyDescent="0.25">
      <c r="A9591" s="1"/>
      <c r="B9591" s="1" t="s">
        <v>5161</v>
      </c>
      <c r="C9591" s="1" t="s">
        <v>5162</v>
      </c>
      <c r="D9591" s="22" t="str">
        <f>HYPERLINK("https://rhld.insurance.arkansas.gov/NPILookup?Npi=1245076736","1245076736")</f>
        <v>1245076736</v>
      </c>
      <c r="E9591" s="1" t="s">
        <v>31697</v>
      </c>
      <c r="F9591" s="2"/>
      <c r="G9591" s="2"/>
      <c r="H9591" s="2"/>
    </row>
    <row r="9592" spans="1:8" x14ac:dyDescent="0.25">
      <c r="A9592" s="1"/>
      <c r="B9592" s="1" t="s">
        <v>5161</v>
      </c>
      <c r="C9592" s="1" t="s">
        <v>5162</v>
      </c>
      <c r="D9592" s="22" t="str">
        <f>HYPERLINK("https://rhld.insurance.arkansas.gov/NPILookup?Npi=1245254564","1245254564")</f>
        <v>1245254564</v>
      </c>
      <c r="E9592" s="1" t="s">
        <v>19543</v>
      </c>
      <c r="F9592" s="2"/>
      <c r="G9592" s="2"/>
      <c r="H9592" s="2"/>
    </row>
    <row r="9593" spans="1:8" x14ac:dyDescent="0.25">
      <c r="A9593" s="1"/>
      <c r="B9593" s="1" t="s">
        <v>5161</v>
      </c>
      <c r="C9593" s="1" t="s">
        <v>5162</v>
      </c>
      <c r="D9593" s="22" t="str">
        <f>HYPERLINK("https://rhld.insurance.arkansas.gov/NPILookup?Npi=1245297381","1245297381")</f>
        <v>1245297381</v>
      </c>
      <c r="E9593" s="1" t="s">
        <v>19544</v>
      </c>
      <c r="F9593" s="2"/>
      <c r="G9593" s="2"/>
      <c r="H9593" s="2"/>
    </row>
    <row r="9594" spans="1:8" x14ac:dyDescent="0.25">
      <c r="A9594" s="1"/>
      <c r="B9594" s="1" t="s">
        <v>5161</v>
      </c>
      <c r="C9594" s="1" t="s">
        <v>5162</v>
      </c>
      <c r="D9594" s="22" t="str">
        <f>HYPERLINK("https://rhld.insurance.arkansas.gov/NPILookup?Npi=1245340363","1245340363")</f>
        <v>1245340363</v>
      </c>
      <c r="E9594" s="1" t="s">
        <v>10992</v>
      </c>
      <c r="F9594" s="2"/>
      <c r="G9594" s="2"/>
      <c r="H9594" s="2"/>
    </row>
    <row r="9595" spans="1:8" x14ac:dyDescent="0.25">
      <c r="A9595" s="1"/>
      <c r="B9595" s="1" t="s">
        <v>5161</v>
      </c>
      <c r="C9595" s="1" t="s">
        <v>5162</v>
      </c>
      <c r="D9595" s="22" t="str">
        <f>HYPERLINK("https://rhld.insurance.arkansas.gov/NPILookup?Npi=1245439991","1245439991")</f>
        <v>1245439991</v>
      </c>
      <c r="E9595" s="1" t="s">
        <v>19545</v>
      </c>
      <c r="F9595" s="2"/>
      <c r="G9595" s="2"/>
      <c r="H9595" s="2"/>
    </row>
    <row r="9596" spans="1:8" x14ac:dyDescent="0.25">
      <c r="A9596" s="1"/>
      <c r="B9596" s="1" t="s">
        <v>5161</v>
      </c>
      <c r="C9596" s="1" t="s">
        <v>5162</v>
      </c>
      <c r="D9596" s="22" t="str">
        <f>HYPERLINK("https://rhld.insurance.arkansas.gov/NPILookup?Npi=1245463769","1245463769")</f>
        <v>1245463769</v>
      </c>
      <c r="E9596" s="1" t="s">
        <v>19546</v>
      </c>
      <c r="F9596" s="2"/>
      <c r="G9596" s="2"/>
      <c r="H9596" s="2"/>
    </row>
    <row r="9597" spans="1:8" x14ac:dyDescent="0.25">
      <c r="A9597" s="1"/>
      <c r="B9597" s="1" t="s">
        <v>5161</v>
      </c>
      <c r="C9597" s="1" t="s">
        <v>5162</v>
      </c>
      <c r="D9597" s="22" t="str">
        <f>HYPERLINK("https://rhld.insurance.arkansas.gov/NPILookup?Npi=1245487974","1245487974")</f>
        <v>1245487974</v>
      </c>
      <c r="E9597" s="1" t="s">
        <v>10993</v>
      </c>
      <c r="F9597" s="2"/>
      <c r="G9597" s="2"/>
      <c r="H9597" s="2"/>
    </row>
    <row r="9598" spans="1:8" x14ac:dyDescent="0.25">
      <c r="A9598" s="1"/>
      <c r="B9598" s="1" t="s">
        <v>5161</v>
      </c>
      <c r="C9598" s="1" t="s">
        <v>5162</v>
      </c>
      <c r="D9598" s="22" t="str">
        <f>HYPERLINK("https://rhld.insurance.arkansas.gov/NPILookup?Npi=1245512235","1245512235")</f>
        <v>1245512235</v>
      </c>
      <c r="E9598" s="1" t="s">
        <v>19547</v>
      </c>
      <c r="F9598" s="2"/>
      <c r="G9598" s="2"/>
      <c r="H9598" s="2"/>
    </row>
    <row r="9599" spans="1:8" x14ac:dyDescent="0.25">
      <c r="A9599" s="1"/>
      <c r="B9599" s="1" t="s">
        <v>5161</v>
      </c>
      <c r="C9599" s="1" t="s">
        <v>5162</v>
      </c>
      <c r="D9599" s="22" t="str">
        <f>HYPERLINK("https://rhld.insurance.arkansas.gov/NPILookup?Npi=1245512722","1245512722")</f>
        <v>1245512722</v>
      </c>
      <c r="E9599" s="1" t="s">
        <v>10994</v>
      </c>
      <c r="F9599" s="2"/>
      <c r="G9599" s="2"/>
      <c r="H9599" s="2"/>
    </row>
    <row r="9600" spans="1:8" x14ac:dyDescent="0.25">
      <c r="A9600" s="1"/>
      <c r="B9600" s="1" t="s">
        <v>5161</v>
      </c>
      <c r="C9600" s="1" t="s">
        <v>5162</v>
      </c>
      <c r="D9600" s="22" t="str">
        <f>HYPERLINK("https://rhld.insurance.arkansas.gov/NPILookup?Npi=1245565480","1245565480")</f>
        <v>1245565480</v>
      </c>
      <c r="E9600" s="1" t="s">
        <v>19548</v>
      </c>
      <c r="F9600" s="2"/>
      <c r="G9600" s="2"/>
      <c r="H9600" s="2"/>
    </row>
    <row r="9601" spans="1:8" x14ac:dyDescent="0.25">
      <c r="A9601" s="1"/>
      <c r="B9601" s="1" t="s">
        <v>5161</v>
      </c>
      <c r="C9601" s="1" t="s">
        <v>5162</v>
      </c>
      <c r="D9601" s="22" t="str">
        <f>HYPERLINK("https://rhld.insurance.arkansas.gov/NPILookup?Npi=1245600139","1245600139")</f>
        <v>1245600139</v>
      </c>
      <c r="E9601" s="1" t="s">
        <v>19549</v>
      </c>
      <c r="F9601" s="2"/>
      <c r="G9601" s="2"/>
      <c r="H9601" s="2"/>
    </row>
    <row r="9602" spans="1:8" x14ac:dyDescent="0.25">
      <c r="A9602" s="1"/>
      <c r="B9602" s="1" t="s">
        <v>5161</v>
      </c>
      <c r="C9602" s="1" t="s">
        <v>5162</v>
      </c>
      <c r="D9602" s="22" t="str">
        <f>HYPERLINK("https://rhld.insurance.arkansas.gov/NPILookup?Npi=1245718527","1245718527")</f>
        <v>1245718527</v>
      </c>
      <c r="E9602" s="1" t="s">
        <v>19550</v>
      </c>
      <c r="F9602" s="2"/>
      <c r="G9602" s="2"/>
      <c r="H9602" s="2"/>
    </row>
    <row r="9603" spans="1:8" x14ac:dyDescent="0.25">
      <c r="A9603" s="1"/>
      <c r="B9603" s="1" t="s">
        <v>5161</v>
      </c>
      <c r="C9603" s="1" t="s">
        <v>5162</v>
      </c>
      <c r="D9603" s="22" t="str">
        <f>HYPERLINK("https://rhld.insurance.arkansas.gov/NPILookup?Npi=1245778851","1245778851")</f>
        <v>1245778851</v>
      </c>
      <c r="E9603" s="1" t="s">
        <v>5251</v>
      </c>
      <c r="F9603" s="2"/>
      <c r="G9603" s="2"/>
      <c r="H9603" s="2"/>
    </row>
    <row r="9604" spans="1:8" x14ac:dyDescent="0.25">
      <c r="A9604" s="1"/>
      <c r="B9604" s="1" t="s">
        <v>5161</v>
      </c>
      <c r="C9604" s="1" t="s">
        <v>5162</v>
      </c>
      <c r="D9604" s="22" t="str">
        <f>HYPERLINK("https://rhld.insurance.arkansas.gov/NPILookup?Npi=1245793207","1245793207")</f>
        <v>1245793207</v>
      </c>
      <c r="E9604" s="1" t="s">
        <v>5252</v>
      </c>
      <c r="F9604" s="2"/>
      <c r="G9604" s="2"/>
      <c r="H9604" s="2"/>
    </row>
    <row r="9605" spans="1:8" x14ac:dyDescent="0.25">
      <c r="A9605" s="1"/>
      <c r="B9605" s="1" t="s">
        <v>5161</v>
      </c>
      <c r="C9605" s="1" t="s">
        <v>5162</v>
      </c>
      <c r="D9605" s="22" t="str">
        <f>HYPERLINK("https://rhld.insurance.arkansas.gov/NPILookup?Npi=1245884162","1245884162")</f>
        <v>1245884162</v>
      </c>
      <c r="E9605" s="1" t="s">
        <v>5253</v>
      </c>
      <c r="F9605" s="2"/>
      <c r="G9605" s="2"/>
      <c r="H9605" s="2"/>
    </row>
    <row r="9606" spans="1:8" x14ac:dyDescent="0.25">
      <c r="A9606" s="1"/>
      <c r="B9606" s="1" t="s">
        <v>5161</v>
      </c>
      <c r="C9606" s="1" t="s">
        <v>5162</v>
      </c>
      <c r="D9606" s="22" t="str">
        <f>HYPERLINK("https://rhld.insurance.arkansas.gov/NPILookup?Npi=1245949866","1245949866")</f>
        <v>1245949866</v>
      </c>
      <c r="E9606" s="1" t="s">
        <v>5254</v>
      </c>
      <c r="F9606" s="2"/>
      <c r="G9606" s="2"/>
      <c r="H9606" s="2"/>
    </row>
    <row r="9607" spans="1:8" x14ac:dyDescent="0.25">
      <c r="A9607" s="1"/>
      <c r="B9607" s="1" t="s">
        <v>5161</v>
      </c>
      <c r="C9607" s="1" t="s">
        <v>5162</v>
      </c>
      <c r="D9607" s="22" t="str">
        <f>HYPERLINK("https://rhld.insurance.arkansas.gov/NPILookup?Npi=1245980036","1245980036")</f>
        <v>1245980036</v>
      </c>
      <c r="E9607" s="1" t="s">
        <v>19551</v>
      </c>
      <c r="F9607" s="2"/>
      <c r="G9607" s="2"/>
      <c r="H9607" s="2"/>
    </row>
    <row r="9608" spans="1:8" x14ac:dyDescent="0.25">
      <c r="A9608" s="1"/>
      <c r="B9608" s="1" t="s">
        <v>5161</v>
      </c>
      <c r="C9608" s="1" t="s">
        <v>5162</v>
      </c>
      <c r="D9608" s="22" t="str">
        <f>HYPERLINK("https://rhld.insurance.arkansas.gov/NPILookup?Npi=1245999234","1245999234")</f>
        <v>1245999234</v>
      </c>
      <c r="E9608" s="1" t="s">
        <v>19552</v>
      </c>
      <c r="F9608" s="2"/>
      <c r="G9608" s="2"/>
      <c r="H9608" s="2"/>
    </row>
    <row r="9609" spans="1:8" x14ac:dyDescent="0.25">
      <c r="A9609" s="1"/>
      <c r="B9609" s="1" t="s">
        <v>5161</v>
      </c>
      <c r="C9609" s="1" t="s">
        <v>5162</v>
      </c>
      <c r="D9609" s="22" t="str">
        <f>HYPERLINK("https://rhld.insurance.arkansas.gov/NPILookup?Npi=1255003067","1255003067")</f>
        <v>1255003067</v>
      </c>
      <c r="E9609" s="1" t="s">
        <v>19553</v>
      </c>
      <c r="F9609" s="2"/>
      <c r="G9609" s="2"/>
      <c r="H9609" s="2"/>
    </row>
    <row r="9610" spans="1:8" x14ac:dyDescent="0.25">
      <c r="A9610" s="1"/>
      <c r="B9610" s="1" t="s">
        <v>5161</v>
      </c>
      <c r="C9610" s="1" t="s">
        <v>5162</v>
      </c>
      <c r="D9610" s="22" t="str">
        <f>HYPERLINK("https://rhld.insurance.arkansas.gov/NPILookup?Npi=1255008264","1255008264")</f>
        <v>1255008264</v>
      </c>
      <c r="E9610" s="1" t="s">
        <v>19554</v>
      </c>
      <c r="F9610" s="2"/>
      <c r="G9610" s="2"/>
      <c r="H9610" s="2"/>
    </row>
    <row r="9611" spans="1:8" x14ac:dyDescent="0.25">
      <c r="A9611" s="1"/>
      <c r="B9611" s="1" t="s">
        <v>5161</v>
      </c>
      <c r="C9611" s="1" t="s">
        <v>5162</v>
      </c>
      <c r="D9611" s="22" t="str">
        <f>HYPERLINK("https://rhld.insurance.arkansas.gov/NPILookup?Npi=1255049573","1255049573")</f>
        <v>1255049573</v>
      </c>
      <c r="E9611" s="1" t="s">
        <v>5255</v>
      </c>
      <c r="F9611" s="2"/>
      <c r="G9611" s="2"/>
      <c r="H9611" s="2"/>
    </row>
    <row r="9612" spans="1:8" x14ac:dyDescent="0.25">
      <c r="A9612" s="1"/>
      <c r="B9612" s="1" t="s">
        <v>5161</v>
      </c>
      <c r="C9612" s="1" t="s">
        <v>5162</v>
      </c>
      <c r="D9612" s="22" t="str">
        <f>HYPERLINK("https://rhld.insurance.arkansas.gov/NPILookup?Npi=1255056404","1255056404")</f>
        <v>1255056404</v>
      </c>
      <c r="E9612" s="1" t="s">
        <v>5256</v>
      </c>
      <c r="F9612" s="2"/>
      <c r="G9612" s="2"/>
      <c r="H9612" s="2"/>
    </row>
    <row r="9613" spans="1:8" x14ac:dyDescent="0.25">
      <c r="A9613" s="1"/>
      <c r="B9613" s="1" t="s">
        <v>5161</v>
      </c>
      <c r="C9613" s="1" t="s">
        <v>5162</v>
      </c>
      <c r="D9613" s="22" t="str">
        <f>HYPERLINK("https://rhld.insurance.arkansas.gov/NPILookup?Npi=1255101903","1255101903")</f>
        <v>1255101903</v>
      </c>
      <c r="E9613" s="1" t="s">
        <v>19555</v>
      </c>
      <c r="F9613" s="2"/>
      <c r="G9613" s="2"/>
      <c r="H9613" s="2"/>
    </row>
    <row r="9614" spans="1:8" x14ac:dyDescent="0.25">
      <c r="A9614" s="1"/>
      <c r="B9614" s="1" t="s">
        <v>5161</v>
      </c>
      <c r="C9614" s="1" t="s">
        <v>5162</v>
      </c>
      <c r="D9614" s="22" t="str">
        <f>HYPERLINK("https://rhld.insurance.arkansas.gov/NPILookup?Npi=1255199618","1255199618")</f>
        <v>1255199618</v>
      </c>
      <c r="E9614" s="1" t="s">
        <v>19556</v>
      </c>
      <c r="F9614" s="2"/>
      <c r="G9614" s="2"/>
      <c r="H9614" s="2"/>
    </row>
    <row r="9615" spans="1:8" x14ac:dyDescent="0.25">
      <c r="A9615" s="1"/>
      <c r="B9615" s="1" t="s">
        <v>5161</v>
      </c>
      <c r="C9615" s="1" t="s">
        <v>5162</v>
      </c>
      <c r="D9615" s="22" t="str">
        <f>HYPERLINK("https://rhld.insurance.arkansas.gov/NPILookup?Npi=1255515946","1255515946")</f>
        <v>1255515946</v>
      </c>
      <c r="E9615" s="1" t="s">
        <v>10995</v>
      </c>
      <c r="F9615" s="2"/>
      <c r="G9615" s="2"/>
      <c r="H9615" s="2"/>
    </row>
    <row r="9616" spans="1:8" x14ac:dyDescent="0.25">
      <c r="A9616" s="1"/>
      <c r="B9616" s="1" t="s">
        <v>5161</v>
      </c>
      <c r="C9616" s="1" t="s">
        <v>5162</v>
      </c>
      <c r="D9616" s="22" t="str">
        <f>HYPERLINK("https://rhld.insurance.arkansas.gov/NPILookup?Npi=1255816153","1255816153")</f>
        <v>1255816153</v>
      </c>
      <c r="E9616" s="1" t="s">
        <v>5257</v>
      </c>
      <c r="F9616" s="2"/>
      <c r="G9616" s="2"/>
      <c r="H9616" s="2"/>
    </row>
    <row r="9617" spans="1:8" x14ac:dyDescent="0.25">
      <c r="A9617" s="1"/>
      <c r="B9617" s="1" t="s">
        <v>5161</v>
      </c>
      <c r="C9617" s="1" t="s">
        <v>5162</v>
      </c>
      <c r="D9617" s="22" t="str">
        <f>HYPERLINK("https://rhld.insurance.arkansas.gov/NPILookup?Npi=1255921755","1255921755")</f>
        <v>1255921755</v>
      </c>
      <c r="E9617" s="1" t="s">
        <v>1031</v>
      </c>
      <c r="F9617" s="2"/>
      <c r="G9617" s="2"/>
      <c r="H9617" s="2"/>
    </row>
    <row r="9618" spans="1:8" x14ac:dyDescent="0.25">
      <c r="A9618" s="1"/>
      <c r="B9618" s="1" t="s">
        <v>5161</v>
      </c>
      <c r="C9618" s="1" t="s">
        <v>5162</v>
      </c>
      <c r="D9618" s="22" t="str">
        <f>HYPERLINK("https://rhld.insurance.arkansas.gov/NPILookup?Npi=1255987426","1255987426")</f>
        <v>1255987426</v>
      </c>
      <c r="E9618" s="1" t="s">
        <v>10996</v>
      </c>
      <c r="F9618" s="2"/>
      <c r="G9618" s="2"/>
      <c r="H9618" s="2"/>
    </row>
    <row r="9619" spans="1:8" x14ac:dyDescent="0.25">
      <c r="A9619" s="1"/>
      <c r="B9619" s="1" t="s">
        <v>5161</v>
      </c>
      <c r="C9619" s="1" t="s">
        <v>5162</v>
      </c>
      <c r="D9619" s="22" t="str">
        <f>HYPERLINK("https://rhld.insurance.arkansas.gov/NPILookup?Npi=1265195903","1265195903")</f>
        <v>1265195903</v>
      </c>
      <c r="E9619" s="1" t="s">
        <v>19557</v>
      </c>
      <c r="F9619" s="2"/>
      <c r="G9619" s="2"/>
      <c r="H9619" s="2"/>
    </row>
    <row r="9620" spans="1:8" x14ac:dyDescent="0.25">
      <c r="A9620" s="1"/>
      <c r="B9620" s="1" t="s">
        <v>5161</v>
      </c>
      <c r="C9620" s="1" t="s">
        <v>5162</v>
      </c>
      <c r="D9620" s="22" t="str">
        <f>HYPERLINK("https://rhld.insurance.arkansas.gov/NPILookup?Npi=1265197453","1265197453")</f>
        <v>1265197453</v>
      </c>
      <c r="E9620" s="1" t="s">
        <v>19558</v>
      </c>
      <c r="F9620" s="2"/>
      <c r="G9620" s="2"/>
      <c r="H9620" s="2"/>
    </row>
    <row r="9621" spans="1:8" x14ac:dyDescent="0.25">
      <c r="A9621" s="1"/>
      <c r="B9621" s="1" t="s">
        <v>5161</v>
      </c>
      <c r="C9621" s="1" t="s">
        <v>5162</v>
      </c>
      <c r="D9621" s="22" t="str">
        <f>HYPERLINK("https://rhld.insurance.arkansas.gov/NPILookup?Npi=1265583132","1265583132")</f>
        <v>1265583132</v>
      </c>
      <c r="E9621" s="1" t="s">
        <v>19559</v>
      </c>
      <c r="F9621" s="2"/>
      <c r="G9621" s="2"/>
      <c r="H9621" s="2"/>
    </row>
    <row r="9622" spans="1:8" x14ac:dyDescent="0.25">
      <c r="A9622" s="1"/>
      <c r="B9622" s="1" t="s">
        <v>5161</v>
      </c>
      <c r="C9622" s="1" t="s">
        <v>5162</v>
      </c>
      <c r="D9622" s="22" t="str">
        <f>HYPERLINK("https://rhld.insurance.arkansas.gov/NPILookup?Npi=1265654727","1265654727")</f>
        <v>1265654727</v>
      </c>
      <c r="E9622" s="1" t="s">
        <v>10997</v>
      </c>
      <c r="F9622" s="2"/>
      <c r="G9622" s="2"/>
      <c r="H9622" s="2"/>
    </row>
    <row r="9623" spans="1:8" x14ac:dyDescent="0.25">
      <c r="A9623" s="1"/>
      <c r="B9623" s="1" t="s">
        <v>5161</v>
      </c>
      <c r="C9623" s="1" t="s">
        <v>5162</v>
      </c>
      <c r="D9623" s="22" t="str">
        <f>HYPERLINK("https://rhld.insurance.arkansas.gov/NPILookup?Npi=1265745418","1265745418")</f>
        <v>1265745418</v>
      </c>
      <c r="E9623" s="1" t="s">
        <v>19560</v>
      </c>
      <c r="F9623" s="2"/>
      <c r="G9623" s="2"/>
      <c r="H9623" s="2"/>
    </row>
    <row r="9624" spans="1:8" x14ac:dyDescent="0.25">
      <c r="A9624" s="1"/>
      <c r="B9624" s="1" t="s">
        <v>5161</v>
      </c>
      <c r="C9624" s="1" t="s">
        <v>5162</v>
      </c>
      <c r="D9624" s="22" t="str">
        <f>HYPERLINK("https://rhld.insurance.arkansas.gov/NPILookup?Npi=1265835136","1265835136")</f>
        <v>1265835136</v>
      </c>
      <c r="E9624" s="1" t="s">
        <v>19561</v>
      </c>
      <c r="F9624" s="2"/>
      <c r="G9624" s="2"/>
      <c r="H9624" s="2"/>
    </row>
    <row r="9625" spans="1:8" x14ac:dyDescent="0.25">
      <c r="A9625" s="1"/>
      <c r="B9625" s="1" t="s">
        <v>5161</v>
      </c>
      <c r="C9625" s="1" t="s">
        <v>5162</v>
      </c>
      <c r="D9625" s="22" t="str">
        <f>HYPERLINK("https://rhld.insurance.arkansas.gov/NPILookup?Npi=1265867154","1265867154")</f>
        <v>1265867154</v>
      </c>
      <c r="E9625" s="1" t="s">
        <v>5258</v>
      </c>
      <c r="F9625" s="2"/>
      <c r="G9625" s="2"/>
      <c r="H9625" s="2"/>
    </row>
    <row r="9626" spans="1:8" x14ac:dyDescent="0.25">
      <c r="A9626" s="1"/>
      <c r="B9626" s="1" t="s">
        <v>5161</v>
      </c>
      <c r="C9626" s="1" t="s">
        <v>5162</v>
      </c>
      <c r="D9626" s="22" t="str">
        <f>HYPERLINK("https://rhld.insurance.arkansas.gov/NPILookup?Npi=1265913263","1265913263")</f>
        <v>1265913263</v>
      </c>
      <c r="E9626" s="1" t="s">
        <v>10998</v>
      </c>
      <c r="F9626" s="2"/>
      <c r="G9626" s="2"/>
      <c r="H9626" s="2"/>
    </row>
    <row r="9627" spans="1:8" x14ac:dyDescent="0.25">
      <c r="A9627" s="1"/>
      <c r="B9627" s="1" t="s">
        <v>5161</v>
      </c>
      <c r="C9627" s="1" t="s">
        <v>5162</v>
      </c>
      <c r="D9627" s="22" t="str">
        <f>HYPERLINK("https://rhld.insurance.arkansas.gov/NPILookup?Npi=1265996474","1265996474")</f>
        <v>1265996474</v>
      </c>
      <c r="E9627" s="1" t="s">
        <v>10999</v>
      </c>
      <c r="F9627" s="2"/>
      <c r="G9627" s="2"/>
      <c r="H9627" s="2"/>
    </row>
    <row r="9628" spans="1:8" x14ac:dyDescent="0.25">
      <c r="A9628" s="1"/>
      <c r="B9628" s="1" t="s">
        <v>5161</v>
      </c>
      <c r="C9628" s="1" t="s">
        <v>5162</v>
      </c>
      <c r="D9628" s="22" t="str">
        <f>HYPERLINK("https://rhld.insurance.arkansas.gov/NPILookup?Npi=1275030280","1275030280")</f>
        <v>1275030280</v>
      </c>
      <c r="E9628" s="1" t="s">
        <v>19562</v>
      </c>
      <c r="F9628" s="2"/>
      <c r="G9628" s="2"/>
      <c r="H9628" s="2"/>
    </row>
    <row r="9629" spans="1:8" x14ac:dyDescent="0.25">
      <c r="A9629" s="1"/>
      <c r="B9629" s="1" t="s">
        <v>5161</v>
      </c>
      <c r="C9629" s="1" t="s">
        <v>5162</v>
      </c>
      <c r="D9629" s="22" t="str">
        <f>HYPERLINK("https://rhld.insurance.arkansas.gov/NPILookup?Npi=1275178113","1275178113")</f>
        <v>1275178113</v>
      </c>
      <c r="E9629" s="1" t="s">
        <v>11000</v>
      </c>
      <c r="F9629" s="2"/>
      <c r="G9629" s="2"/>
      <c r="H9629" s="2"/>
    </row>
    <row r="9630" spans="1:8" x14ac:dyDescent="0.25">
      <c r="A9630" s="1"/>
      <c r="B9630" s="1" t="s">
        <v>5161</v>
      </c>
      <c r="C9630" s="1" t="s">
        <v>5162</v>
      </c>
      <c r="D9630" s="22" t="str">
        <f>HYPERLINK("https://rhld.insurance.arkansas.gov/NPILookup?Npi=1275350902","1275350902")</f>
        <v>1275350902</v>
      </c>
      <c r="E9630" s="1" t="s">
        <v>19563</v>
      </c>
      <c r="F9630" s="2"/>
      <c r="G9630" s="2"/>
      <c r="H9630" s="2"/>
    </row>
    <row r="9631" spans="1:8" x14ac:dyDescent="0.25">
      <c r="A9631" s="1"/>
      <c r="B9631" s="1" t="s">
        <v>5161</v>
      </c>
      <c r="C9631" s="1" t="s">
        <v>5162</v>
      </c>
      <c r="D9631" s="22" t="str">
        <f>HYPERLINK("https://rhld.insurance.arkansas.gov/NPILookup?Npi=1275600918","1275600918")</f>
        <v>1275600918</v>
      </c>
      <c r="E9631" s="1" t="s">
        <v>19564</v>
      </c>
      <c r="F9631" s="2"/>
      <c r="G9631" s="2"/>
      <c r="H9631" s="2"/>
    </row>
    <row r="9632" spans="1:8" x14ac:dyDescent="0.25">
      <c r="A9632" s="1"/>
      <c r="B9632" s="1" t="s">
        <v>5161</v>
      </c>
      <c r="C9632" s="1" t="s">
        <v>5162</v>
      </c>
      <c r="D9632" s="22" t="str">
        <f>HYPERLINK("https://rhld.insurance.arkansas.gov/NPILookup?Npi=1275664708","1275664708")</f>
        <v>1275664708</v>
      </c>
      <c r="E9632" s="1" t="s">
        <v>11001</v>
      </c>
      <c r="F9632" s="2"/>
      <c r="G9632" s="2"/>
      <c r="H9632" s="2"/>
    </row>
    <row r="9633" spans="1:8" x14ac:dyDescent="0.25">
      <c r="A9633" s="1"/>
      <c r="B9633" s="1" t="s">
        <v>5161</v>
      </c>
      <c r="C9633" s="1" t="s">
        <v>5162</v>
      </c>
      <c r="D9633" s="22" t="str">
        <f>HYPERLINK("https://rhld.insurance.arkansas.gov/NPILookup?Npi=1275672990","1275672990")</f>
        <v>1275672990</v>
      </c>
      <c r="E9633" s="1" t="s">
        <v>19565</v>
      </c>
      <c r="F9633" s="2"/>
      <c r="G9633" s="2"/>
      <c r="H9633" s="2"/>
    </row>
    <row r="9634" spans="1:8" x14ac:dyDescent="0.25">
      <c r="A9634" s="1"/>
      <c r="B9634" s="1" t="s">
        <v>5161</v>
      </c>
      <c r="C9634" s="1" t="s">
        <v>5162</v>
      </c>
      <c r="D9634" s="22" t="str">
        <f>HYPERLINK("https://rhld.insurance.arkansas.gov/NPILookup?Npi=1275684821","1275684821")</f>
        <v>1275684821</v>
      </c>
      <c r="E9634" s="1" t="s">
        <v>5259</v>
      </c>
      <c r="F9634" s="2"/>
      <c r="G9634" s="2"/>
      <c r="H9634" s="2"/>
    </row>
    <row r="9635" spans="1:8" x14ac:dyDescent="0.25">
      <c r="A9635" s="1"/>
      <c r="B9635" s="1" t="s">
        <v>5161</v>
      </c>
      <c r="C9635" s="1" t="s">
        <v>5162</v>
      </c>
      <c r="D9635" s="22" t="str">
        <f>HYPERLINK("https://rhld.insurance.arkansas.gov/NPILookup?Npi=1275718017","1275718017")</f>
        <v>1275718017</v>
      </c>
      <c r="E9635" s="1" t="s">
        <v>19566</v>
      </c>
      <c r="F9635" s="2"/>
      <c r="G9635" s="2"/>
      <c r="H9635" s="2"/>
    </row>
    <row r="9636" spans="1:8" x14ac:dyDescent="0.25">
      <c r="A9636" s="1"/>
      <c r="B9636" s="1" t="s">
        <v>5161</v>
      </c>
      <c r="C9636" s="1" t="s">
        <v>5162</v>
      </c>
      <c r="D9636" s="22" t="str">
        <f>HYPERLINK("https://rhld.insurance.arkansas.gov/NPILookup?Npi=1275727687","1275727687")</f>
        <v>1275727687</v>
      </c>
      <c r="E9636" s="1" t="s">
        <v>11002</v>
      </c>
      <c r="F9636" s="2"/>
      <c r="G9636" s="2"/>
      <c r="H9636" s="2"/>
    </row>
    <row r="9637" spans="1:8" x14ac:dyDescent="0.25">
      <c r="A9637" s="1"/>
      <c r="B9637" s="1" t="s">
        <v>5161</v>
      </c>
      <c r="C9637" s="1" t="s">
        <v>5162</v>
      </c>
      <c r="D9637" s="22" t="str">
        <f>HYPERLINK("https://rhld.insurance.arkansas.gov/NPILookup?Npi=1275765539","1275765539")</f>
        <v>1275765539</v>
      </c>
      <c r="E9637" s="1" t="s">
        <v>11003</v>
      </c>
      <c r="F9637" s="2"/>
      <c r="G9637" s="2"/>
      <c r="H9637" s="2"/>
    </row>
    <row r="9638" spans="1:8" x14ac:dyDescent="0.25">
      <c r="A9638" s="1"/>
      <c r="B9638" s="1" t="s">
        <v>5161</v>
      </c>
      <c r="C9638" s="1" t="s">
        <v>5162</v>
      </c>
      <c r="D9638" s="22" t="str">
        <f>HYPERLINK("https://rhld.insurance.arkansas.gov/NPILookup?Npi=1275841579","1275841579")</f>
        <v>1275841579</v>
      </c>
      <c r="E9638" s="1" t="s">
        <v>19567</v>
      </c>
      <c r="F9638" s="2"/>
      <c r="G9638" s="2"/>
      <c r="H9638" s="2"/>
    </row>
    <row r="9639" spans="1:8" x14ac:dyDescent="0.25">
      <c r="A9639" s="1"/>
      <c r="B9639" s="1" t="s">
        <v>5161</v>
      </c>
      <c r="C9639" s="1" t="s">
        <v>5162</v>
      </c>
      <c r="D9639" s="22" t="str">
        <f>HYPERLINK("https://rhld.insurance.arkansas.gov/NPILookup?Npi=1275872749","1275872749")</f>
        <v>1275872749</v>
      </c>
      <c r="E9639" s="1" t="s">
        <v>19568</v>
      </c>
      <c r="F9639" s="2"/>
      <c r="G9639" s="2"/>
      <c r="H9639" s="2"/>
    </row>
    <row r="9640" spans="1:8" x14ac:dyDescent="0.25">
      <c r="A9640" s="1"/>
      <c r="B9640" s="1" t="s">
        <v>5161</v>
      </c>
      <c r="C9640" s="1" t="s">
        <v>5162</v>
      </c>
      <c r="D9640" s="22" t="str">
        <f>HYPERLINK("https://rhld.insurance.arkansas.gov/NPILookup?Npi=1275925778","1275925778")</f>
        <v>1275925778</v>
      </c>
      <c r="E9640" s="1" t="s">
        <v>19569</v>
      </c>
      <c r="F9640" s="2"/>
      <c r="G9640" s="2"/>
      <c r="H9640" s="2"/>
    </row>
    <row r="9641" spans="1:8" x14ac:dyDescent="0.25">
      <c r="A9641" s="1"/>
      <c r="B9641" s="1" t="s">
        <v>5161</v>
      </c>
      <c r="C9641" s="1" t="s">
        <v>5162</v>
      </c>
      <c r="D9641" s="22" t="str">
        <f>HYPERLINK("https://rhld.insurance.arkansas.gov/NPILookup?Npi=1275927527","1275927527")</f>
        <v>1275927527</v>
      </c>
      <c r="E9641" s="1" t="s">
        <v>19570</v>
      </c>
      <c r="F9641" s="2"/>
      <c r="G9641" s="2"/>
      <c r="H9641" s="2"/>
    </row>
    <row r="9642" spans="1:8" x14ac:dyDescent="0.25">
      <c r="A9642" s="1"/>
      <c r="B9642" s="1" t="s">
        <v>5161</v>
      </c>
      <c r="C9642" s="1" t="s">
        <v>5162</v>
      </c>
      <c r="D9642" s="22" t="str">
        <f>HYPERLINK("https://rhld.insurance.arkansas.gov/NPILookup?Npi=1285038810","1285038810")</f>
        <v>1285038810</v>
      </c>
      <c r="E9642" s="1" t="s">
        <v>19571</v>
      </c>
      <c r="F9642" s="2"/>
      <c r="G9642" s="2"/>
      <c r="H9642" s="2"/>
    </row>
    <row r="9643" spans="1:8" x14ac:dyDescent="0.25">
      <c r="A9643" s="1"/>
      <c r="B9643" s="1" t="s">
        <v>5161</v>
      </c>
      <c r="C9643" s="1" t="s">
        <v>5162</v>
      </c>
      <c r="D9643" s="22" t="str">
        <f>HYPERLINK("https://rhld.insurance.arkansas.gov/NPILookup?Npi=1285095059","1285095059")</f>
        <v>1285095059</v>
      </c>
      <c r="E9643" s="1" t="s">
        <v>19572</v>
      </c>
      <c r="F9643" s="2"/>
      <c r="G9643" s="2"/>
      <c r="H9643" s="2"/>
    </row>
    <row r="9644" spans="1:8" x14ac:dyDescent="0.25">
      <c r="A9644" s="1"/>
      <c r="B9644" s="1" t="s">
        <v>5161</v>
      </c>
      <c r="C9644" s="1" t="s">
        <v>5162</v>
      </c>
      <c r="D9644" s="22" t="str">
        <f>HYPERLINK("https://rhld.insurance.arkansas.gov/NPILookup?Npi=1285147306","1285147306")</f>
        <v>1285147306</v>
      </c>
      <c r="E9644" s="1" t="s">
        <v>19574</v>
      </c>
      <c r="F9644" s="2"/>
      <c r="G9644" s="2"/>
      <c r="H9644" s="2"/>
    </row>
    <row r="9645" spans="1:8" x14ac:dyDescent="0.25">
      <c r="A9645" s="1"/>
      <c r="B9645" s="1" t="s">
        <v>5161</v>
      </c>
      <c r="C9645" s="1" t="s">
        <v>5162</v>
      </c>
      <c r="D9645" s="22" t="str">
        <f>HYPERLINK("https://rhld.insurance.arkansas.gov/NPILookup?Npi=1285150540","1285150540")</f>
        <v>1285150540</v>
      </c>
      <c r="E9645" s="1" t="s">
        <v>19575</v>
      </c>
      <c r="F9645" s="2"/>
      <c r="G9645" s="2"/>
      <c r="H9645" s="2"/>
    </row>
    <row r="9646" spans="1:8" x14ac:dyDescent="0.25">
      <c r="A9646" s="1"/>
      <c r="B9646" s="1" t="s">
        <v>5161</v>
      </c>
      <c r="C9646" s="1" t="s">
        <v>5162</v>
      </c>
      <c r="D9646" s="22" t="str">
        <f>HYPERLINK("https://rhld.insurance.arkansas.gov/NPILookup?Npi=1285164525","1285164525")</f>
        <v>1285164525</v>
      </c>
      <c r="E9646" s="1" t="s">
        <v>5262</v>
      </c>
      <c r="F9646" s="2"/>
      <c r="G9646" s="2"/>
      <c r="H9646" s="2"/>
    </row>
    <row r="9647" spans="1:8" x14ac:dyDescent="0.25">
      <c r="A9647" s="1"/>
      <c r="B9647" s="1" t="s">
        <v>5161</v>
      </c>
      <c r="C9647" s="1" t="s">
        <v>5162</v>
      </c>
      <c r="D9647" s="22" t="str">
        <f>HYPERLINK("https://rhld.insurance.arkansas.gov/NPILookup?Npi=1285232942","1285232942")</f>
        <v>1285232942</v>
      </c>
      <c r="E9647" s="1" t="s">
        <v>19576</v>
      </c>
      <c r="F9647" s="2"/>
      <c r="G9647" s="2"/>
      <c r="H9647" s="2"/>
    </row>
    <row r="9648" spans="1:8" x14ac:dyDescent="0.25">
      <c r="A9648" s="1"/>
      <c r="B9648" s="1" t="s">
        <v>5161</v>
      </c>
      <c r="C9648" s="1" t="s">
        <v>5162</v>
      </c>
      <c r="D9648" s="22" t="str">
        <f>HYPERLINK("https://rhld.insurance.arkansas.gov/NPILookup?Npi=1285302711","1285302711")</f>
        <v>1285302711</v>
      </c>
      <c r="E9648" s="1" t="s">
        <v>19577</v>
      </c>
      <c r="F9648" s="2"/>
      <c r="G9648" s="2"/>
      <c r="H9648" s="2"/>
    </row>
    <row r="9649" spans="1:8" x14ac:dyDescent="0.25">
      <c r="A9649" s="1"/>
      <c r="B9649" s="1" t="s">
        <v>5161</v>
      </c>
      <c r="C9649" s="1" t="s">
        <v>5162</v>
      </c>
      <c r="D9649" s="22" t="str">
        <f>HYPERLINK("https://rhld.insurance.arkansas.gov/NPILookup?Npi=1285399964","1285399964")</f>
        <v>1285399964</v>
      </c>
      <c r="E9649" s="1" t="s">
        <v>19578</v>
      </c>
      <c r="F9649" s="2"/>
      <c r="G9649" s="2"/>
      <c r="H9649" s="2"/>
    </row>
    <row r="9650" spans="1:8" x14ac:dyDescent="0.25">
      <c r="A9650" s="1"/>
      <c r="B9650" s="1" t="s">
        <v>5161</v>
      </c>
      <c r="C9650" s="1" t="s">
        <v>5162</v>
      </c>
      <c r="D9650" s="22" t="str">
        <f>HYPERLINK("https://rhld.insurance.arkansas.gov/NPILookup?Npi=1285406504","1285406504")</f>
        <v>1285406504</v>
      </c>
      <c r="E9650" s="1" t="s">
        <v>5263</v>
      </c>
      <c r="F9650" s="2"/>
      <c r="G9650" s="2"/>
      <c r="H9650" s="2"/>
    </row>
    <row r="9651" spans="1:8" x14ac:dyDescent="0.25">
      <c r="A9651" s="1"/>
      <c r="B9651" s="1" t="s">
        <v>5161</v>
      </c>
      <c r="C9651" s="1" t="s">
        <v>5162</v>
      </c>
      <c r="D9651" s="22" t="str">
        <f>HYPERLINK("https://rhld.insurance.arkansas.gov/NPILookup?Npi=1285799189","1285799189")</f>
        <v>1285799189</v>
      </c>
      <c r="E9651" s="1" t="s">
        <v>19579</v>
      </c>
      <c r="F9651" s="2"/>
      <c r="G9651" s="2"/>
      <c r="H9651" s="2"/>
    </row>
    <row r="9652" spans="1:8" x14ac:dyDescent="0.25">
      <c r="A9652" s="1"/>
      <c r="B9652" s="1" t="s">
        <v>5161</v>
      </c>
      <c r="C9652" s="1" t="s">
        <v>5162</v>
      </c>
      <c r="D9652" s="22" t="str">
        <f>HYPERLINK("https://rhld.insurance.arkansas.gov/NPILookup?Npi=1285853721","1285853721")</f>
        <v>1285853721</v>
      </c>
      <c r="E9652" s="1" t="s">
        <v>11004</v>
      </c>
      <c r="F9652" s="2"/>
      <c r="G9652" s="2"/>
      <c r="H9652" s="2"/>
    </row>
    <row r="9653" spans="1:8" x14ac:dyDescent="0.25">
      <c r="A9653" s="1"/>
      <c r="B9653" s="1" t="s">
        <v>5161</v>
      </c>
      <c r="C9653" s="1" t="s">
        <v>5162</v>
      </c>
      <c r="D9653" s="22" t="str">
        <f>HYPERLINK("https://rhld.insurance.arkansas.gov/NPILookup?Npi=1285912667","1285912667")</f>
        <v>1285912667</v>
      </c>
      <c r="E9653" s="1" t="s">
        <v>5264</v>
      </c>
      <c r="F9653" s="2"/>
      <c r="G9653" s="2"/>
      <c r="H9653" s="2"/>
    </row>
    <row r="9654" spans="1:8" x14ac:dyDescent="0.25">
      <c r="A9654" s="1"/>
      <c r="B9654" s="1" t="s">
        <v>5161</v>
      </c>
      <c r="C9654" s="1" t="s">
        <v>5162</v>
      </c>
      <c r="D9654" s="22" t="str">
        <f>HYPERLINK("https://rhld.insurance.arkansas.gov/NPILookup?Npi=1285941021","1285941021")</f>
        <v>1285941021</v>
      </c>
      <c r="E9654" s="1" t="s">
        <v>19580</v>
      </c>
      <c r="F9654" s="2"/>
      <c r="G9654" s="2"/>
      <c r="H9654" s="2"/>
    </row>
    <row r="9655" spans="1:8" x14ac:dyDescent="0.25">
      <c r="A9655" s="1"/>
      <c r="B9655" s="1" t="s">
        <v>5161</v>
      </c>
      <c r="C9655" s="1" t="s">
        <v>5162</v>
      </c>
      <c r="D9655" s="22" t="str">
        <f>HYPERLINK("https://rhld.insurance.arkansas.gov/NPILookup?Npi=1285986901","1285986901")</f>
        <v>1285986901</v>
      </c>
      <c r="E9655" s="1" t="s">
        <v>19581</v>
      </c>
      <c r="F9655" s="2"/>
      <c r="G9655" s="2"/>
      <c r="H9655" s="2"/>
    </row>
    <row r="9656" spans="1:8" x14ac:dyDescent="0.25">
      <c r="A9656" s="1"/>
      <c r="B9656" s="1" t="s">
        <v>5161</v>
      </c>
      <c r="C9656" s="1" t="s">
        <v>5162</v>
      </c>
      <c r="D9656" s="22" t="str">
        <f>HYPERLINK("https://rhld.insurance.arkansas.gov/NPILookup?Npi=1295002046","1295002046")</f>
        <v>1295002046</v>
      </c>
      <c r="E9656" s="1" t="s">
        <v>5265</v>
      </c>
      <c r="F9656" s="2"/>
      <c r="G9656" s="2"/>
      <c r="H9656" s="2"/>
    </row>
    <row r="9657" spans="1:8" x14ac:dyDescent="0.25">
      <c r="A9657" s="1"/>
      <c r="B9657" s="1" t="s">
        <v>5161</v>
      </c>
      <c r="C9657" s="1" t="s">
        <v>5162</v>
      </c>
      <c r="D9657" s="22" t="str">
        <f>HYPERLINK("https://rhld.insurance.arkansas.gov/NPILookup?Npi=1295039279","1295039279")</f>
        <v>1295039279</v>
      </c>
      <c r="E9657" s="1" t="s">
        <v>19582</v>
      </c>
      <c r="F9657" s="2"/>
      <c r="G9657" s="2"/>
      <c r="H9657" s="2"/>
    </row>
    <row r="9658" spans="1:8" x14ac:dyDescent="0.25">
      <c r="A9658" s="1"/>
      <c r="B9658" s="1" t="s">
        <v>5161</v>
      </c>
      <c r="C9658" s="1" t="s">
        <v>5162</v>
      </c>
      <c r="D9658" s="22" t="str">
        <f>HYPERLINK("https://rhld.insurance.arkansas.gov/NPILookup?Npi=1295135234","1295135234")</f>
        <v>1295135234</v>
      </c>
      <c r="E9658" s="1" t="s">
        <v>19583</v>
      </c>
      <c r="F9658" s="2"/>
      <c r="G9658" s="2"/>
      <c r="H9658" s="2"/>
    </row>
    <row r="9659" spans="1:8" x14ac:dyDescent="0.25">
      <c r="A9659" s="1"/>
      <c r="B9659" s="1" t="s">
        <v>5161</v>
      </c>
      <c r="C9659" s="1" t="s">
        <v>5162</v>
      </c>
      <c r="D9659" s="22" t="str">
        <f>HYPERLINK("https://rhld.insurance.arkansas.gov/NPILookup?Npi=1295206738","1295206738")</f>
        <v>1295206738</v>
      </c>
      <c r="E9659" s="1" t="s">
        <v>5266</v>
      </c>
      <c r="F9659" s="2"/>
      <c r="G9659" s="2"/>
      <c r="H9659" s="2"/>
    </row>
    <row r="9660" spans="1:8" x14ac:dyDescent="0.25">
      <c r="A9660" s="1"/>
      <c r="B9660" s="1" t="s">
        <v>5161</v>
      </c>
      <c r="C9660" s="1" t="s">
        <v>5162</v>
      </c>
      <c r="D9660" s="22" t="str">
        <f>HYPERLINK("https://rhld.insurance.arkansas.gov/NPILookup?Npi=1295284438","1295284438")</f>
        <v>1295284438</v>
      </c>
      <c r="E9660" s="1" t="s">
        <v>19584</v>
      </c>
      <c r="F9660" s="2"/>
      <c r="G9660" s="2"/>
      <c r="H9660" s="2"/>
    </row>
    <row r="9661" spans="1:8" x14ac:dyDescent="0.25">
      <c r="A9661" s="1"/>
      <c r="B9661" s="1" t="s">
        <v>5161</v>
      </c>
      <c r="C9661" s="1" t="s">
        <v>5162</v>
      </c>
      <c r="D9661" s="22" t="str">
        <f>HYPERLINK("https://rhld.insurance.arkansas.gov/NPILookup?Npi=1295303790","1295303790")</f>
        <v>1295303790</v>
      </c>
      <c r="E9661" s="1" t="s">
        <v>19585</v>
      </c>
      <c r="F9661" s="2"/>
      <c r="G9661" s="2"/>
      <c r="H9661" s="2"/>
    </row>
    <row r="9662" spans="1:8" x14ac:dyDescent="0.25">
      <c r="A9662" s="1"/>
      <c r="B9662" s="1" t="s">
        <v>5161</v>
      </c>
      <c r="C9662" s="1" t="s">
        <v>5162</v>
      </c>
      <c r="D9662" s="22" t="str">
        <f>HYPERLINK("https://rhld.insurance.arkansas.gov/NPILookup?Npi=1295322964","1295322964")</f>
        <v>1295322964</v>
      </c>
      <c r="E9662" s="1" t="s">
        <v>19586</v>
      </c>
      <c r="F9662" s="2"/>
      <c r="G9662" s="2"/>
      <c r="H9662" s="2"/>
    </row>
    <row r="9663" spans="1:8" x14ac:dyDescent="0.25">
      <c r="A9663" s="1"/>
      <c r="B9663" s="1" t="s">
        <v>5161</v>
      </c>
      <c r="C9663" s="1" t="s">
        <v>5162</v>
      </c>
      <c r="D9663" s="22" t="str">
        <f>HYPERLINK("https://rhld.insurance.arkansas.gov/NPILookup?Npi=1295326122","1295326122")</f>
        <v>1295326122</v>
      </c>
      <c r="E9663" s="1" t="s">
        <v>19587</v>
      </c>
      <c r="F9663" s="2"/>
      <c r="G9663" s="2"/>
      <c r="H9663" s="2"/>
    </row>
    <row r="9664" spans="1:8" x14ac:dyDescent="0.25">
      <c r="A9664" s="1"/>
      <c r="B9664" s="1" t="s">
        <v>5161</v>
      </c>
      <c r="C9664" s="1" t="s">
        <v>5162</v>
      </c>
      <c r="D9664" s="22" t="str">
        <f>HYPERLINK("https://rhld.insurance.arkansas.gov/NPILookup?Npi=1295332930","1295332930")</f>
        <v>1295332930</v>
      </c>
      <c r="E9664" s="1" t="s">
        <v>11006</v>
      </c>
      <c r="F9664" s="2"/>
      <c r="G9664" s="2"/>
      <c r="H9664" s="2"/>
    </row>
    <row r="9665" spans="1:8" x14ac:dyDescent="0.25">
      <c r="A9665" s="1"/>
      <c r="B9665" s="1" t="s">
        <v>5161</v>
      </c>
      <c r="C9665" s="1" t="s">
        <v>5162</v>
      </c>
      <c r="D9665" s="22" t="str">
        <f>HYPERLINK("https://rhld.insurance.arkansas.gov/NPILookup?Npi=1295345817","1295345817")</f>
        <v>1295345817</v>
      </c>
      <c r="E9665" s="1" t="s">
        <v>5267</v>
      </c>
      <c r="F9665" s="2"/>
      <c r="G9665" s="2"/>
      <c r="H9665" s="2"/>
    </row>
    <row r="9666" spans="1:8" x14ac:dyDescent="0.25">
      <c r="A9666" s="1"/>
      <c r="B9666" s="1" t="s">
        <v>5161</v>
      </c>
      <c r="C9666" s="1" t="s">
        <v>5162</v>
      </c>
      <c r="D9666" s="22" t="str">
        <f>HYPERLINK("https://rhld.insurance.arkansas.gov/NPILookup?Npi=1295367175","1295367175")</f>
        <v>1295367175</v>
      </c>
      <c r="E9666" s="1" t="s">
        <v>19588</v>
      </c>
      <c r="F9666" s="2"/>
      <c r="G9666" s="2"/>
      <c r="H9666" s="2"/>
    </row>
    <row r="9667" spans="1:8" x14ac:dyDescent="0.25">
      <c r="A9667" s="1"/>
      <c r="B9667" s="1" t="s">
        <v>5161</v>
      </c>
      <c r="C9667" s="1" t="s">
        <v>5162</v>
      </c>
      <c r="D9667" s="22" t="str">
        <f>HYPERLINK("https://rhld.insurance.arkansas.gov/NPILookup?Npi=1295441467","1295441467")</f>
        <v>1295441467</v>
      </c>
      <c r="E9667" s="1" t="s">
        <v>19589</v>
      </c>
      <c r="F9667" s="2"/>
      <c r="G9667" s="2"/>
      <c r="H9667" s="2"/>
    </row>
    <row r="9668" spans="1:8" x14ac:dyDescent="0.25">
      <c r="A9668" s="1"/>
      <c r="B9668" s="1" t="s">
        <v>5161</v>
      </c>
      <c r="C9668" s="1" t="s">
        <v>5162</v>
      </c>
      <c r="D9668" s="22" t="str">
        <f>HYPERLINK("https://rhld.insurance.arkansas.gov/NPILookup?Npi=1295462646","1295462646")</f>
        <v>1295462646</v>
      </c>
      <c r="E9668" s="1" t="s">
        <v>19590</v>
      </c>
      <c r="F9668" s="2"/>
      <c r="G9668" s="2"/>
      <c r="H9668" s="2"/>
    </row>
    <row r="9669" spans="1:8" x14ac:dyDescent="0.25">
      <c r="A9669" s="1"/>
      <c r="B9669" s="1" t="s">
        <v>5161</v>
      </c>
      <c r="C9669" s="1" t="s">
        <v>5162</v>
      </c>
      <c r="D9669" s="22" t="str">
        <f>HYPERLINK("https://rhld.insurance.arkansas.gov/NPILookup?Npi=1295488468","1295488468")</f>
        <v>1295488468</v>
      </c>
      <c r="E9669" s="1" t="s">
        <v>5268</v>
      </c>
      <c r="F9669" s="2"/>
      <c r="G9669" s="2"/>
      <c r="H9669" s="2"/>
    </row>
    <row r="9670" spans="1:8" x14ac:dyDescent="0.25">
      <c r="A9670" s="1"/>
      <c r="B9670" s="1" t="s">
        <v>5161</v>
      </c>
      <c r="C9670" s="1" t="s">
        <v>5162</v>
      </c>
      <c r="D9670" s="22" t="str">
        <f>HYPERLINK("https://rhld.insurance.arkansas.gov/NPILookup?Npi=1295502201","1295502201")</f>
        <v>1295502201</v>
      </c>
      <c r="E9670" s="1" t="s">
        <v>19591</v>
      </c>
      <c r="F9670" s="2"/>
      <c r="G9670" s="2"/>
      <c r="H9670" s="2"/>
    </row>
    <row r="9671" spans="1:8" x14ac:dyDescent="0.25">
      <c r="A9671" s="1"/>
      <c r="B9671" s="1" t="s">
        <v>5161</v>
      </c>
      <c r="C9671" s="1" t="s">
        <v>5162</v>
      </c>
      <c r="D9671" s="22" t="str">
        <f>HYPERLINK("https://rhld.insurance.arkansas.gov/NPILookup?Npi=1295560522","1295560522")</f>
        <v>1295560522</v>
      </c>
      <c r="E9671" s="1" t="s">
        <v>31698</v>
      </c>
      <c r="F9671" s="2"/>
      <c r="G9671" s="2"/>
      <c r="H9671" s="2"/>
    </row>
    <row r="9672" spans="1:8" x14ac:dyDescent="0.25">
      <c r="A9672" s="1"/>
      <c r="B9672" s="1" t="s">
        <v>5161</v>
      </c>
      <c r="C9672" s="1" t="s">
        <v>5162</v>
      </c>
      <c r="D9672" s="22" t="str">
        <f>HYPERLINK("https://rhld.insurance.arkansas.gov/NPILookup?Npi=1295708014","1295708014")</f>
        <v>1295708014</v>
      </c>
      <c r="E9672" s="1" t="s">
        <v>19592</v>
      </c>
      <c r="F9672" s="2"/>
      <c r="G9672" s="2"/>
      <c r="H9672" s="2"/>
    </row>
    <row r="9673" spans="1:8" x14ac:dyDescent="0.25">
      <c r="A9673" s="1"/>
      <c r="B9673" s="1" t="s">
        <v>5161</v>
      </c>
      <c r="C9673" s="1" t="s">
        <v>5162</v>
      </c>
      <c r="D9673" s="22" t="str">
        <f>HYPERLINK("https://rhld.insurance.arkansas.gov/NPILookup?Npi=1295726941","1295726941")</f>
        <v>1295726941</v>
      </c>
      <c r="E9673" s="1" t="s">
        <v>1057</v>
      </c>
      <c r="F9673" s="2"/>
      <c r="G9673" s="2"/>
      <c r="H9673" s="2"/>
    </row>
    <row r="9674" spans="1:8" x14ac:dyDescent="0.25">
      <c r="A9674" s="1"/>
      <c r="B9674" s="1" t="s">
        <v>5161</v>
      </c>
      <c r="C9674" s="1" t="s">
        <v>5162</v>
      </c>
      <c r="D9674" s="22" t="str">
        <f>HYPERLINK("https://rhld.insurance.arkansas.gov/NPILookup?Npi=1295794063","1295794063")</f>
        <v>1295794063</v>
      </c>
      <c r="E9674" s="1" t="s">
        <v>19593</v>
      </c>
      <c r="F9674" s="2"/>
      <c r="G9674" s="2"/>
      <c r="H9674" s="2"/>
    </row>
    <row r="9675" spans="1:8" x14ac:dyDescent="0.25">
      <c r="A9675" s="1"/>
      <c r="B9675" s="1" t="s">
        <v>5161</v>
      </c>
      <c r="C9675" s="1" t="s">
        <v>5162</v>
      </c>
      <c r="D9675" s="22" t="str">
        <f>HYPERLINK("https://rhld.insurance.arkansas.gov/NPILookup?Npi=1295952554","1295952554")</f>
        <v>1295952554</v>
      </c>
      <c r="E9675" s="1" t="s">
        <v>19594</v>
      </c>
      <c r="F9675" s="2"/>
      <c r="G9675" s="2"/>
      <c r="H9675" s="2"/>
    </row>
    <row r="9676" spans="1:8" x14ac:dyDescent="0.25">
      <c r="A9676" s="1"/>
      <c r="B9676" s="1" t="s">
        <v>5161</v>
      </c>
      <c r="C9676" s="1" t="s">
        <v>5162</v>
      </c>
      <c r="D9676" s="22" t="str">
        <f>HYPERLINK("https://rhld.insurance.arkansas.gov/NPILookup?Npi=1295993806","1295993806")</f>
        <v>1295993806</v>
      </c>
      <c r="E9676" s="1" t="s">
        <v>11007</v>
      </c>
      <c r="F9676" s="2"/>
      <c r="G9676" s="2"/>
      <c r="H9676" s="2"/>
    </row>
    <row r="9677" spans="1:8" x14ac:dyDescent="0.25">
      <c r="A9677" s="1"/>
      <c r="B9677" s="1" t="s">
        <v>5161</v>
      </c>
      <c r="C9677" s="1" t="s">
        <v>5162</v>
      </c>
      <c r="D9677" s="22" t="str">
        <f>HYPERLINK("https://rhld.insurance.arkansas.gov/NPILookup?Npi=1306077698","1306077698")</f>
        <v>1306077698</v>
      </c>
      <c r="E9677" s="1" t="s">
        <v>19595</v>
      </c>
      <c r="F9677" s="2"/>
      <c r="G9677" s="2"/>
      <c r="H9677" s="2"/>
    </row>
    <row r="9678" spans="1:8" x14ac:dyDescent="0.25">
      <c r="A9678" s="1"/>
      <c r="B9678" s="1" t="s">
        <v>5161</v>
      </c>
      <c r="C9678" s="1" t="s">
        <v>5162</v>
      </c>
      <c r="D9678" s="22" t="str">
        <f>HYPERLINK("https://rhld.insurance.arkansas.gov/NPILookup?Npi=1306096763","1306096763")</f>
        <v>1306096763</v>
      </c>
      <c r="E9678" s="1" t="s">
        <v>11008</v>
      </c>
      <c r="F9678" s="2"/>
      <c r="G9678" s="2"/>
      <c r="H9678" s="2"/>
    </row>
    <row r="9679" spans="1:8" x14ac:dyDescent="0.25">
      <c r="A9679" s="1"/>
      <c r="B9679" s="1" t="s">
        <v>5161</v>
      </c>
      <c r="C9679" s="1" t="s">
        <v>5162</v>
      </c>
      <c r="D9679" s="22" t="str">
        <f>HYPERLINK("https://rhld.insurance.arkansas.gov/NPILookup?Npi=1306102397","1306102397")</f>
        <v>1306102397</v>
      </c>
      <c r="E9679" s="1" t="s">
        <v>19596</v>
      </c>
      <c r="F9679" s="2"/>
      <c r="G9679" s="2"/>
      <c r="H9679" s="2"/>
    </row>
    <row r="9680" spans="1:8" x14ac:dyDescent="0.25">
      <c r="A9680" s="1"/>
      <c r="B9680" s="1" t="s">
        <v>5161</v>
      </c>
      <c r="C9680" s="1" t="s">
        <v>5162</v>
      </c>
      <c r="D9680" s="22" t="str">
        <f>HYPERLINK("https://rhld.insurance.arkansas.gov/NPILookup?Npi=1306117700","1306117700")</f>
        <v>1306117700</v>
      </c>
      <c r="E9680" s="1" t="s">
        <v>19597</v>
      </c>
      <c r="F9680" s="2"/>
      <c r="G9680" s="2"/>
      <c r="H9680" s="2"/>
    </row>
    <row r="9681" spans="1:8" x14ac:dyDescent="0.25">
      <c r="A9681" s="1"/>
      <c r="B9681" s="1" t="s">
        <v>5161</v>
      </c>
      <c r="C9681" s="1" t="s">
        <v>5162</v>
      </c>
      <c r="D9681" s="22" t="str">
        <f>HYPERLINK("https://rhld.insurance.arkansas.gov/NPILookup?Npi=1306183876","1306183876")</f>
        <v>1306183876</v>
      </c>
      <c r="E9681" s="1" t="s">
        <v>5269</v>
      </c>
      <c r="F9681" s="2"/>
      <c r="G9681" s="2"/>
      <c r="H9681" s="2"/>
    </row>
    <row r="9682" spans="1:8" x14ac:dyDescent="0.25">
      <c r="A9682" s="1"/>
      <c r="B9682" s="1" t="s">
        <v>5161</v>
      </c>
      <c r="C9682" s="1" t="s">
        <v>5162</v>
      </c>
      <c r="D9682" s="22" t="str">
        <f>HYPERLINK("https://rhld.insurance.arkansas.gov/NPILookup?Npi=1306242615","1306242615")</f>
        <v>1306242615</v>
      </c>
      <c r="E9682" s="1" t="s">
        <v>5270</v>
      </c>
      <c r="F9682" s="2"/>
      <c r="G9682" s="2"/>
      <c r="H9682" s="2"/>
    </row>
    <row r="9683" spans="1:8" x14ac:dyDescent="0.25">
      <c r="A9683" s="1"/>
      <c r="B9683" s="1" t="s">
        <v>5161</v>
      </c>
      <c r="C9683" s="1" t="s">
        <v>5162</v>
      </c>
      <c r="D9683" s="22" t="str">
        <f>HYPERLINK("https://rhld.insurance.arkansas.gov/NPILookup?Npi=1306247291","1306247291")</f>
        <v>1306247291</v>
      </c>
      <c r="E9683" s="1" t="s">
        <v>5271</v>
      </c>
      <c r="F9683" s="2"/>
      <c r="G9683" s="2"/>
      <c r="H9683" s="2"/>
    </row>
    <row r="9684" spans="1:8" x14ac:dyDescent="0.25">
      <c r="A9684" s="1"/>
      <c r="B9684" s="1" t="s">
        <v>5161</v>
      </c>
      <c r="C9684" s="1" t="s">
        <v>5162</v>
      </c>
      <c r="D9684" s="22" t="str">
        <f>HYPERLINK("https://rhld.insurance.arkansas.gov/NPILookup?Npi=1306291554","1306291554")</f>
        <v>1306291554</v>
      </c>
      <c r="E9684" s="1" t="s">
        <v>19598</v>
      </c>
      <c r="F9684" s="2"/>
      <c r="G9684" s="2"/>
      <c r="H9684" s="2"/>
    </row>
    <row r="9685" spans="1:8" x14ac:dyDescent="0.25">
      <c r="A9685" s="1"/>
      <c r="B9685" s="1" t="s">
        <v>5161</v>
      </c>
      <c r="C9685" s="1" t="s">
        <v>5162</v>
      </c>
      <c r="D9685" s="22" t="str">
        <f>HYPERLINK("https://rhld.insurance.arkansas.gov/NPILookup?Npi=1306293196","1306293196")</f>
        <v>1306293196</v>
      </c>
      <c r="E9685" s="1" t="s">
        <v>5272</v>
      </c>
      <c r="F9685" s="2"/>
      <c r="G9685" s="2"/>
      <c r="H9685" s="2"/>
    </row>
    <row r="9686" spans="1:8" x14ac:dyDescent="0.25">
      <c r="A9686" s="1"/>
      <c r="B9686" s="1" t="s">
        <v>5161</v>
      </c>
      <c r="C9686" s="1" t="s">
        <v>5162</v>
      </c>
      <c r="D9686" s="22" t="str">
        <f>HYPERLINK("https://rhld.insurance.arkansas.gov/NPILookup?Npi=1306356027","1306356027")</f>
        <v>1306356027</v>
      </c>
      <c r="E9686" s="1" t="s">
        <v>19599</v>
      </c>
      <c r="F9686" s="2"/>
      <c r="G9686" s="2"/>
      <c r="H9686" s="2"/>
    </row>
    <row r="9687" spans="1:8" x14ac:dyDescent="0.25">
      <c r="A9687" s="1"/>
      <c r="B9687" s="1" t="s">
        <v>5161</v>
      </c>
      <c r="C9687" s="1" t="s">
        <v>5162</v>
      </c>
      <c r="D9687" s="22" t="str">
        <f>HYPERLINK("https://rhld.insurance.arkansas.gov/NPILookup?Npi=1306383658","1306383658")</f>
        <v>1306383658</v>
      </c>
      <c r="E9687" s="1" t="s">
        <v>5273</v>
      </c>
      <c r="F9687" s="2"/>
      <c r="G9687" s="2"/>
      <c r="H9687" s="2"/>
    </row>
    <row r="9688" spans="1:8" x14ac:dyDescent="0.25">
      <c r="A9688" s="1"/>
      <c r="B9688" s="1" t="s">
        <v>5161</v>
      </c>
      <c r="C9688" s="1" t="s">
        <v>5162</v>
      </c>
      <c r="D9688" s="22" t="str">
        <f>HYPERLINK("https://rhld.insurance.arkansas.gov/NPILookup?Npi=1306445804","1306445804")</f>
        <v>1306445804</v>
      </c>
      <c r="E9688" s="1" t="s">
        <v>19600</v>
      </c>
      <c r="F9688" s="2"/>
      <c r="G9688" s="2"/>
      <c r="H9688" s="2"/>
    </row>
    <row r="9689" spans="1:8" x14ac:dyDescent="0.25">
      <c r="A9689" s="1"/>
      <c r="B9689" s="1" t="s">
        <v>5161</v>
      </c>
      <c r="C9689" s="1" t="s">
        <v>5162</v>
      </c>
      <c r="D9689" s="22" t="str">
        <f>HYPERLINK("https://rhld.insurance.arkansas.gov/NPILookup?Npi=1306459888","1306459888")</f>
        <v>1306459888</v>
      </c>
      <c r="E9689" s="1" t="s">
        <v>5274</v>
      </c>
      <c r="F9689" s="2"/>
      <c r="G9689" s="2"/>
      <c r="H9689" s="2"/>
    </row>
    <row r="9690" spans="1:8" x14ac:dyDescent="0.25">
      <c r="A9690" s="1"/>
      <c r="B9690" s="1" t="s">
        <v>5161</v>
      </c>
      <c r="C9690" s="1" t="s">
        <v>5162</v>
      </c>
      <c r="D9690" s="22" t="str">
        <f>HYPERLINK("https://rhld.insurance.arkansas.gov/NPILookup?Npi=1306506522","1306506522")</f>
        <v>1306506522</v>
      </c>
      <c r="E9690" s="1" t="s">
        <v>5275</v>
      </c>
      <c r="F9690" s="2"/>
      <c r="G9690" s="2"/>
      <c r="H9690" s="2"/>
    </row>
    <row r="9691" spans="1:8" x14ac:dyDescent="0.25">
      <c r="A9691" s="1"/>
      <c r="B9691" s="1" t="s">
        <v>5161</v>
      </c>
      <c r="C9691" s="1" t="s">
        <v>5162</v>
      </c>
      <c r="D9691" s="22" t="str">
        <f>HYPERLINK("https://rhld.insurance.arkansas.gov/NPILookup?Npi=1306516224","1306516224")</f>
        <v>1306516224</v>
      </c>
      <c r="E9691" s="1" t="s">
        <v>19601</v>
      </c>
      <c r="F9691" s="2"/>
      <c r="G9691" s="2"/>
      <c r="H9691" s="2"/>
    </row>
    <row r="9692" spans="1:8" x14ac:dyDescent="0.25">
      <c r="A9692" s="1"/>
      <c r="B9692" s="1" t="s">
        <v>5161</v>
      </c>
      <c r="C9692" s="1" t="s">
        <v>5162</v>
      </c>
      <c r="D9692" s="22" t="str">
        <f>HYPERLINK("https://rhld.insurance.arkansas.gov/NPILookup?Npi=1306530449","1306530449")</f>
        <v>1306530449</v>
      </c>
      <c r="E9692" s="1" t="s">
        <v>19602</v>
      </c>
      <c r="F9692" s="2"/>
      <c r="G9692" s="2"/>
      <c r="H9692" s="2"/>
    </row>
    <row r="9693" spans="1:8" x14ac:dyDescent="0.25">
      <c r="A9693" s="1"/>
      <c r="B9693" s="1" t="s">
        <v>5161</v>
      </c>
      <c r="C9693" s="1" t="s">
        <v>5162</v>
      </c>
      <c r="D9693" s="22" t="str">
        <f>HYPERLINK("https://rhld.insurance.arkansas.gov/NPILookup?Npi=1306625892","1306625892")</f>
        <v>1306625892</v>
      </c>
      <c r="E9693" s="1" t="s">
        <v>19603</v>
      </c>
      <c r="F9693" s="2"/>
      <c r="G9693" s="2"/>
      <c r="H9693" s="2"/>
    </row>
    <row r="9694" spans="1:8" x14ac:dyDescent="0.25">
      <c r="A9694" s="1"/>
      <c r="B9694" s="1" t="s">
        <v>5161</v>
      </c>
      <c r="C9694" s="1" t="s">
        <v>5162</v>
      </c>
      <c r="D9694" s="22" t="str">
        <f>HYPERLINK("https://rhld.insurance.arkansas.gov/NPILookup?Npi=1306669809","1306669809")</f>
        <v>1306669809</v>
      </c>
      <c r="E9694" s="1" t="s">
        <v>31699</v>
      </c>
      <c r="F9694" s="2"/>
      <c r="G9694" s="2"/>
      <c r="H9694" s="2"/>
    </row>
    <row r="9695" spans="1:8" x14ac:dyDescent="0.25">
      <c r="A9695" s="1"/>
      <c r="B9695" s="1" t="s">
        <v>5161</v>
      </c>
      <c r="C9695" s="1" t="s">
        <v>5162</v>
      </c>
      <c r="D9695" s="22" t="str">
        <f>HYPERLINK("https://rhld.insurance.arkansas.gov/NPILookup?Npi=1306676036","1306676036")</f>
        <v>1306676036</v>
      </c>
      <c r="E9695" s="1" t="s">
        <v>31700</v>
      </c>
      <c r="F9695" s="2"/>
      <c r="G9695" s="2"/>
      <c r="H9695" s="2"/>
    </row>
    <row r="9696" spans="1:8" x14ac:dyDescent="0.25">
      <c r="A9696" s="1"/>
      <c r="B9696" s="1" t="s">
        <v>5161</v>
      </c>
      <c r="C9696" s="1" t="s">
        <v>5162</v>
      </c>
      <c r="D9696" s="22" t="str">
        <f>HYPERLINK("https://rhld.insurance.arkansas.gov/NPILookup?Npi=1306955489","1306955489")</f>
        <v>1306955489</v>
      </c>
      <c r="E9696" s="1" t="s">
        <v>19604</v>
      </c>
      <c r="F9696" s="2"/>
      <c r="G9696" s="2"/>
      <c r="H9696" s="2"/>
    </row>
    <row r="9697" spans="1:8" x14ac:dyDescent="0.25">
      <c r="A9697" s="1"/>
      <c r="B9697" s="1" t="s">
        <v>5161</v>
      </c>
      <c r="C9697" s="1" t="s">
        <v>5162</v>
      </c>
      <c r="D9697" s="22" t="str">
        <f>HYPERLINK("https://rhld.insurance.arkansas.gov/NPILookup?Npi=1316001555","1316001555")</f>
        <v>1316001555</v>
      </c>
      <c r="E9697" s="1" t="s">
        <v>19605</v>
      </c>
      <c r="F9697" s="2"/>
      <c r="G9697" s="2"/>
      <c r="H9697" s="2"/>
    </row>
    <row r="9698" spans="1:8" x14ac:dyDescent="0.25">
      <c r="A9698" s="1"/>
      <c r="B9698" s="1" t="s">
        <v>5161</v>
      </c>
      <c r="C9698" s="1" t="s">
        <v>5162</v>
      </c>
      <c r="D9698" s="22" t="str">
        <f>HYPERLINK("https://rhld.insurance.arkansas.gov/NPILookup?Npi=1316157282","1316157282")</f>
        <v>1316157282</v>
      </c>
      <c r="E9698" s="1" t="s">
        <v>19606</v>
      </c>
      <c r="F9698" s="2"/>
      <c r="G9698" s="2"/>
      <c r="H9698" s="2"/>
    </row>
    <row r="9699" spans="1:8" x14ac:dyDescent="0.25">
      <c r="A9699" s="1"/>
      <c r="B9699" s="1" t="s">
        <v>5161</v>
      </c>
      <c r="C9699" s="1" t="s">
        <v>5162</v>
      </c>
      <c r="D9699" s="22" t="str">
        <f>HYPERLINK("https://rhld.insurance.arkansas.gov/NPILookup?Npi=1316192651","1316192651")</f>
        <v>1316192651</v>
      </c>
      <c r="E9699" s="1" t="s">
        <v>19607</v>
      </c>
      <c r="F9699" s="2"/>
      <c r="G9699" s="2"/>
      <c r="H9699" s="2"/>
    </row>
    <row r="9700" spans="1:8" x14ac:dyDescent="0.25">
      <c r="A9700" s="1"/>
      <c r="B9700" s="1" t="s">
        <v>5161</v>
      </c>
      <c r="C9700" s="1" t="s">
        <v>5162</v>
      </c>
      <c r="D9700" s="22" t="str">
        <f>HYPERLINK("https://rhld.insurance.arkansas.gov/NPILookup?Npi=1316307408","1316307408")</f>
        <v>1316307408</v>
      </c>
      <c r="E9700" s="1" t="s">
        <v>5276</v>
      </c>
      <c r="F9700" s="2"/>
      <c r="G9700" s="2"/>
      <c r="H9700" s="2"/>
    </row>
    <row r="9701" spans="1:8" x14ac:dyDescent="0.25">
      <c r="A9701" s="1"/>
      <c r="B9701" s="1" t="s">
        <v>5161</v>
      </c>
      <c r="C9701" s="1" t="s">
        <v>5162</v>
      </c>
      <c r="D9701" s="22" t="str">
        <f>HYPERLINK("https://rhld.insurance.arkansas.gov/NPILookup?Npi=1316315062","1316315062")</f>
        <v>1316315062</v>
      </c>
      <c r="E9701" s="1" t="s">
        <v>885</v>
      </c>
      <c r="F9701" s="2"/>
      <c r="G9701" s="2"/>
      <c r="H9701" s="2"/>
    </row>
    <row r="9702" spans="1:8" x14ac:dyDescent="0.25">
      <c r="A9702" s="1"/>
      <c r="B9702" s="1" t="s">
        <v>5161</v>
      </c>
      <c r="C9702" s="1" t="s">
        <v>5162</v>
      </c>
      <c r="D9702" s="22" t="str">
        <f>HYPERLINK("https://rhld.insurance.arkansas.gov/NPILookup?Npi=1316375603","1316375603")</f>
        <v>1316375603</v>
      </c>
      <c r="E9702" s="1" t="s">
        <v>19608</v>
      </c>
      <c r="F9702" s="2"/>
      <c r="G9702" s="2"/>
      <c r="H9702" s="2"/>
    </row>
    <row r="9703" spans="1:8" x14ac:dyDescent="0.25">
      <c r="A9703" s="1"/>
      <c r="B9703" s="1" t="s">
        <v>5161</v>
      </c>
      <c r="C9703" s="1" t="s">
        <v>5162</v>
      </c>
      <c r="D9703" s="22" t="str">
        <f>HYPERLINK("https://rhld.insurance.arkansas.gov/NPILookup?Npi=1316428378","1316428378")</f>
        <v>1316428378</v>
      </c>
      <c r="E9703" s="1" t="s">
        <v>19609</v>
      </c>
      <c r="F9703" s="2"/>
      <c r="G9703" s="2"/>
      <c r="H9703" s="2"/>
    </row>
    <row r="9704" spans="1:8" x14ac:dyDescent="0.25">
      <c r="A9704" s="1"/>
      <c r="B9704" s="1" t="s">
        <v>5161</v>
      </c>
      <c r="C9704" s="1" t="s">
        <v>5162</v>
      </c>
      <c r="D9704" s="22" t="str">
        <f>HYPERLINK("https://rhld.insurance.arkansas.gov/NPILookup?Npi=1316590524","1316590524")</f>
        <v>1316590524</v>
      </c>
      <c r="E9704" s="1" t="s">
        <v>19610</v>
      </c>
      <c r="F9704" s="2"/>
      <c r="G9704" s="2"/>
      <c r="H9704" s="2"/>
    </row>
    <row r="9705" spans="1:8" x14ac:dyDescent="0.25">
      <c r="A9705" s="1"/>
      <c r="B9705" s="1" t="s">
        <v>5161</v>
      </c>
      <c r="C9705" s="1" t="s">
        <v>5162</v>
      </c>
      <c r="D9705" s="22" t="str">
        <f>HYPERLINK("https://rhld.insurance.arkansas.gov/NPILookup?Npi=1316609415","1316609415")</f>
        <v>1316609415</v>
      </c>
      <c r="E9705" s="1" t="s">
        <v>19611</v>
      </c>
      <c r="F9705" s="2"/>
      <c r="G9705" s="2"/>
      <c r="H9705" s="2"/>
    </row>
    <row r="9706" spans="1:8" x14ac:dyDescent="0.25">
      <c r="A9706" s="1"/>
      <c r="B9706" s="1" t="s">
        <v>5161</v>
      </c>
      <c r="C9706" s="1" t="s">
        <v>5162</v>
      </c>
      <c r="D9706" s="22" t="str">
        <f>HYPERLINK("https://rhld.insurance.arkansas.gov/NPILookup?Npi=1316646920","1316646920")</f>
        <v>1316646920</v>
      </c>
      <c r="E9706" s="1" t="s">
        <v>5277</v>
      </c>
      <c r="F9706" s="2"/>
      <c r="G9706" s="2"/>
      <c r="H9706" s="2"/>
    </row>
    <row r="9707" spans="1:8" x14ac:dyDescent="0.25">
      <c r="A9707" s="1"/>
      <c r="B9707" s="1" t="s">
        <v>5161</v>
      </c>
      <c r="C9707" s="1" t="s">
        <v>5162</v>
      </c>
      <c r="D9707" s="22" t="str">
        <f>HYPERLINK("https://rhld.insurance.arkansas.gov/NPILookup?Npi=1316660921","1316660921")</f>
        <v>1316660921</v>
      </c>
      <c r="E9707" s="1" t="s">
        <v>19612</v>
      </c>
      <c r="F9707" s="2"/>
      <c r="G9707" s="2"/>
      <c r="H9707" s="2"/>
    </row>
    <row r="9708" spans="1:8" x14ac:dyDescent="0.25">
      <c r="A9708" s="1"/>
      <c r="B9708" s="1" t="s">
        <v>5161</v>
      </c>
      <c r="C9708" s="1" t="s">
        <v>5162</v>
      </c>
      <c r="D9708" s="22" t="str">
        <f>HYPERLINK("https://rhld.insurance.arkansas.gov/NPILookup?Npi=1316665953","1316665953")</f>
        <v>1316665953</v>
      </c>
      <c r="E9708" s="1" t="s">
        <v>19613</v>
      </c>
      <c r="F9708" s="2"/>
      <c r="G9708" s="2"/>
      <c r="H9708" s="2"/>
    </row>
    <row r="9709" spans="1:8" x14ac:dyDescent="0.25">
      <c r="A9709" s="1"/>
      <c r="B9709" s="1" t="s">
        <v>5161</v>
      </c>
      <c r="C9709" s="1" t="s">
        <v>5162</v>
      </c>
      <c r="D9709" s="22" t="str">
        <f>HYPERLINK("https://rhld.insurance.arkansas.gov/NPILookup?Npi=1326195587","1326195587")</f>
        <v>1326195587</v>
      </c>
      <c r="E9709" s="1" t="s">
        <v>19614</v>
      </c>
      <c r="F9709" s="2"/>
      <c r="G9709" s="2"/>
      <c r="H9709" s="2"/>
    </row>
    <row r="9710" spans="1:8" x14ac:dyDescent="0.25">
      <c r="A9710" s="1"/>
      <c r="B9710" s="1" t="s">
        <v>5161</v>
      </c>
      <c r="C9710" s="1" t="s">
        <v>5162</v>
      </c>
      <c r="D9710" s="22" t="str">
        <f>HYPERLINK("https://rhld.insurance.arkansas.gov/NPILookup?Npi=1326254327","1326254327")</f>
        <v>1326254327</v>
      </c>
      <c r="E9710" s="1" t="s">
        <v>11009</v>
      </c>
      <c r="F9710" s="2"/>
      <c r="G9710" s="2"/>
      <c r="H9710" s="2"/>
    </row>
    <row r="9711" spans="1:8" x14ac:dyDescent="0.25">
      <c r="A9711" s="1"/>
      <c r="B9711" s="1" t="s">
        <v>5161</v>
      </c>
      <c r="C9711" s="1" t="s">
        <v>5162</v>
      </c>
      <c r="D9711" s="22" t="str">
        <f>HYPERLINK("https://rhld.insurance.arkansas.gov/NPILookup?Npi=1326263732","1326263732")</f>
        <v>1326263732</v>
      </c>
      <c r="E9711" s="1" t="s">
        <v>5278</v>
      </c>
      <c r="F9711" s="2"/>
      <c r="G9711" s="2"/>
      <c r="H9711" s="2"/>
    </row>
    <row r="9712" spans="1:8" x14ac:dyDescent="0.25">
      <c r="A9712" s="1"/>
      <c r="B9712" s="1" t="s">
        <v>5161</v>
      </c>
      <c r="C9712" s="1" t="s">
        <v>5162</v>
      </c>
      <c r="D9712" s="22" t="str">
        <f>HYPERLINK("https://rhld.insurance.arkansas.gov/NPILookup?Npi=1326306879","1326306879")</f>
        <v>1326306879</v>
      </c>
      <c r="E9712" s="1" t="s">
        <v>11010</v>
      </c>
      <c r="F9712" s="2"/>
      <c r="G9712" s="2"/>
      <c r="H9712" s="2"/>
    </row>
    <row r="9713" spans="1:8" x14ac:dyDescent="0.25">
      <c r="A9713" s="1"/>
      <c r="B9713" s="1" t="s">
        <v>5161</v>
      </c>
      <c r="C9713" s="1" t="s">
        <v>5162</v>
      </c>
      <c r="D9713" s="22" t="str">
        <f>HYPERLINK("https://rhld.insurance.arkansas.gov/NPILookup?Npi=1326323296","1326323296")</f>
        <v>1326323296</v>
      </c>
      <c r="E9713" s="1" t="s">
        <v>19615</v>
      </c>
      <c r="F9713" s="2"/>
      <c r="G9713" s="2"/>
      <c r="H9713" s="2"/>
    </row>
    <row r="9714" spans="1:8" x14ac:dyDescent="0.25">
      <c r="A9714" s="1"/>
      <c r="B9714" s="1" t="s">
        <v>5161</v>
      </c>
      <c r="C9714" s="1" t="s">
        <v>5162</v>
      </c>
      <c r="D9714" s="22" t="str">
        <f>HYPERLINK("https://rhld.insurance.arkansas.gov/NPILookup?Npi=1326400466","1326400466")</f>
        <v>1326400466</v>
      </c>
      <c r="E9714" s="1" t="s">
        <v>19616</v>
      </c>
      <c r="F9714" s="2"/>
      <c r="G9714" s="2"/>
      <c r="H9714" s="2"/>
    </row>
    <row r="9715" spans="1:8" x14ac:dyDescent="0.25">
      <c r="A9715" s="1"/>
      <c r="B9715" s="1" t="s">
        <v>5161</v>
      </c>
      <c r="C9715" s="1" t="s">
        <v>5162</v>
      </c>
      <c r="D9715" s="22" t="str">
        <f>HYPERLINK("https://rhld.insurance.arkansas.gov/NPILookup?Npi=1326511551","1326511551")</f>
        <v>1326511551</v>
      </c>
      <c r="E9715" s="1" t="s">
        <v>19617</v>
      </c>
      <c r="F9715" s="2"/>
      <c r="G9715" s="2"/>
      <c r="H9715" s="2"/>
    </row>
    <row r="9716" spans="1:8" x14ac:dyDescent="0.25">
      <c r="A9716" s="1"/>
      <c r="B9716" s="1" t="s">
        <v>5161</v>
      </c>
      <c r="C9716" s="1" t="s">
        <v>5162</v>
      </c>
      <c r="D9716" s="22" t="str">
        <f>HYPERLINK("https://rhld.insurance.arkansas.gov/NPILookup?Npi=1326611351","1326611351")</f>
        <v>1326611351</v>
      </c>
      <c r="E9716" s="1" t="s">
        <v>19618</v>
      </c>
      <c r="F9716" s="2"/>
      <c r="G9716" s="2"/>
      <c r="H9716" s="2"/>
    </row>
    <row r="9717" spans="1:8" x14ac:dyDescent="0.25">
      <c r="A9717" s="1"/>
      <c r="B9717" s="1" t="s">
        <v>5161</v>
      </c>
      <c r="C9717" s="1" t="s">
        <v>5162</v>
      </c>
      <c r="D9717" s="22" t="str">
        <f>HYPERLINK("https://rhld.insurance.arkansas.gov/NPILookup?Npi=1326646761","1326646761")</f>
        <v>1326646761</v>
      </c>
      <c r="E9717" s="1" t="s">
        <v>5279</v>
      </c>
      <c r="F9717" s="2"/>
      <c r="G9717" s="2"/>
      <c r="H9717" s="2"/>
    </row>
    <row r="9718" spans="1:8" x14ac:dyDescent="0.25">
      <c r="A9718" s="1"/>
      <c r="B9718" s="1" t="s">
        <v>5161</v>
      </c>
      <c r="C9718" s="1" t="s">
        <v>5162</v>
      </c>
      <c r="D9718" s="22" t="str">
        <f>HYPERLINK("https://rhld.insurance.arkansas.gov/NPILookup?Npi=1326650771","1326650771")</f>
        <v>1326650771</v>
      </c>
      <c r="E9718" s="1" t="s">
        <v>11011</v>
      </c>
      <c r="F9718" s="2"/>
      <c r="G9718" s="2"/>
      <c r="H9718" s="2"/>
    </row>
    <row r="9719" spans="1:8" x14ac:dyDescent="0.25">
      <c r="A9719" s="1"/>
      <c r="B9719" s="1" t="s">
        <v>5161</v>
      </c>
      <c r="C9719" s="1" t="s">
        <v>5162</v>
      </c>
      <c r="D9719" s="22" t="str">
        <f>HYPERLINK("https://rhld.insurance.arkansas.gov/NPILookup?Npi=1326654195","1326654195")</f>
        <v>1326654195</v>
      </c>
      <c r="E9719" s="1" t="s">
        <v>19619</v>
      </c>
      <c r="F9719" s="2"/>
      <c r="G9719" s="2"/>
      <c r="H9719" s="2"/>
    </row>
    <row r="9720" spans="1:8" x14ac:dyDescent="0.25">
      <c r="A9720" s="1"/>
      <c r="B9720" s="1" t="s">
        <v>5161</v>
      </c>
      <c r="C9720" s="1" t="s">
        <v>5162</v>
      </c>
      <c r="D9720" s="22" t="str">
        <f>HYPERLINK("https://rhld.insurance.arkansas.gov/NPILookup?Npi=1326822966","1326822966")</f>
        <v>1326822966</v>
      </c>
      <c r="E9720" s="1" t="s">
        <v>5280</v>
      </c>
      <c r="F9720" s="2"/>
      <c r="G9720" s="2"/>
      <c r="H9720" s="2"/>
    </row>
    <row r="9721" spans="1:8" x14ac:dyDescent="0.25">
      <c r="A9721" s="1"/>
      <c r="B9721" s="1" t="s">
        <v>5161</v>
      </c>
      <c r="C9721" s="1" t="s">
        <v>5162</v>
      </c>
      <c r="D9721" s="22" t="str">
        <f>HYPERLINK("https://rhld.insurance.arkansas.gov/NPILookup?Npi=1326931957","1326931957")</f>
        <v>1326931957</v>
      </c>
      <c r="E9721" s="1" t="s">
        <v>31701</v>
      </c>
      <c r="F9721" s="2"/>
      <c r="G9721" s="2"/>
      <c r="H9721" s="2"/>
    </row>
    <row r="9722" spans="1:8" x14ac:dyDescent="0.25">
      <c r="A9722" s="1"/>
      <c r="B9722" s="1" t="s">
        <v>5161</v>
      </c>
      <c r="C9722" s="1" t="s">
        <v>5162</v>
      </c>
      <c r="D9722" s="22" t="str">
        <f>HYPERLINK("https://rhld.insurance.arkansas.gov/NPILookup?Npi=1336258573","1336258573")</f>
        <v>1336258573</v>
      </c>
      <c r="E9722" s="1" t="s">
        <v>19620</v>
      </c>
      <c r="F9722" s="2"/>
      <c r="G9722" s="2"/>
      <c r="H9722" s="2"/>
    </row>
    <row r="9723" spans="1:8" x14ac:dyDescent="0.25">
      <c r="A9723" s="1"/>
      <c r="B9723" s="1" t="s">
        <v>5161</v>
      </c>
      <c r="C9723" s="1" t="s">
        <v>5162</v>
      </c>
      <c r="D9723" s="22" t="str">
        <f>HYPERLINK("https://rhld.insurance.arkansas.gov/NPILookup?Npi=1336421833","1336421833")</f>
        <v>1336421833</v>
      </c>
      <c r="E9723" s="1" t="s">
        <v>19621</v>
      </c>
      <c r="F9723" s="2"/>
      <c r="G9723" s="2"/>
      <c r="H9723" s="2"/>
    </row>
    <row r="9724" spans="1:8" x14ac:dyDescent="0.25">
      <c r="A9724" s="1"/>
      <c r="B9724" s="1" t="s">
        <v>5161</v>
      </c>
      <c r="C9724" s="1" t="s">
        <v>5162</v>
      </c>
      <c r="D9724" s="22" t="str">
        <f>HYPERLINK("https://rhld.insurance.arkansas.gov/NPILookup?Npi=1336499847","1336499847")</f>
        <v>1336499847</v>
      </c>
      <c r="E9724" s="1" t="s">
        <v>19622</v>
      </c>
      <c r="F9724" s="2"/>
      <c r="G9724" s="2"/>
      <c r="H9724" s="2"/>
    </row>
    <row r="9725" spans="1:8" x14ac:dyDescent="0.25">
      <c r="A9725" s="1"/>
      <c r="B9725" s="1" t="s">
        <v>5161</v>
      </c>
      <c r="C9725" s="1" t="s">
        <v>5162</v>
      </c>
      <c r="D9725" s="22" t="str">
        <f>HYPERLINK("https://rhld.insurance.arkansas.gov/NPILookup?Npi=1336518372","1336518372")</f>
        <v>1336518372</v>
      </c>
      <c r="E9725" s="1" t="s">
        <v>19623</v>
      </c>
      <c r="F9725" s="2"/>
      <c r="G9725" s="2"/>
      <c r="H9725" s="2"/>
    </row>
    <row r="9726" spans="1:8" x14ac:dyDescent="0.25">
      <c r="A9726" s="1"/>
      <c r="B9726" s="1" t="s">
        <v>5161</v>
      </c>
      <c r="C9726" s="1" t="s">
        <v>5162</v>
      </c>
      <c r="D9726" s="22" t="str">
        <f>HYPERLINK("https://rhld.insurance.arkansas.gov/NPILookup?Npi=1336537224","1336537224")</f>
        <v>1336537224</v>
      </c>
      <c r="E9726" s="1" t="s">
        <v>19624</v>
      </c>
      <c r="F9726" s="2"/>
      <c r="G9726" s="2"/>
      <c r="H9726" s="2"/>
    </row>
    <row r="9727" spans="1:8" x14ac:dyDescent="0.25">
      <c r="A9727" s="1"/>
      <c r="B9727" s="1" t="s">
        <v>5161</v>
      </c>
      <c r="C9727" s="1" t="s">
        <v>5162</v>
      </c>
      <c r="D9727" s="22" t="str">
        <f>HYPERLINK("https://rhld.insurance.arkansas.gov/NPILookup?Npi=1336573799","1336573799")</f>
        <v>1336573799</v>
      </c>
      <c r="E9727" s="1" t="s">
        <v>5282</v>
      </c>
      <c r="F9727" s="2"/>
      <c r="G9727" s="2"/>
      <c r="H9727" s="2"/>
    </row>
    <row r="9728" spans="1:8" x14ac:dyDescent="0.25">
      <c r="A9728" s="1"/>
      <c r="B9728" s="1" t="s">
        <v>5161</v>
      </c>
      <c r="C9728" s="1" t="s">
        <v>5162</v>
      </c>
      <c r="D9728" s="22" t="str">
        <f>HYPERLINK("https://rhld.insurance.arkansas.gov/NPILookup?Npi=1336698067","1336698067")</f>
        <v>1336698067</v>
      </c>
      <c r="E9728" s="1" t="s">
        <v>19625</v>
      </c>
      <c r="F9728" s="2"/>
      <c r="G9728" s="2"/>
      <c r="H9728" s="2"/>
    </row>
    <row r="9729" spans="1:8" x14ac:dyDescent="0.25">
      <c r="A9729" s="1"/>
      <c r="B9729" s="1" t="s">
        <v>5161</v>
      </c>
      <c r="C9729" s="1" t="s">
        <v>5162</v>
      </c>
      <c r="D9729" s="22" t="str">
        <f>HYPERLINK("https://rhld.insurance.arkansas.gov/NPILookup?Npi=1336766039","1336766039")</f>
        <v>1336766039</v>
      </c>
      <c r="E9729" s="1" t="s">
        <v>19626</v>
      </c>
      <c r="F9729" s="2"/>
      <c r="G9729" s="2"/>
      <c r="H9729" s="2"/>
    </row>
    <row r="9730" spans="1:8" x14ac:dyDescent="0.25">
      <c r="A9730" s="1"/>
      <c r="B9730" s="1" t="s">
        <v>5161</v>
      </c>
      <c r="C9730" s="1" t="s">
        <v>5162</v>
      </c>
      <c r="D9730" s="22" t="str">
        <f>HYPERLINK("https://rhld.insurance.arkansas.gov/NPILookup?Npi=1336791565","1336791565")</f>
        <v>1336791565</v>
      </c>
      <c r="E9730" s="1" t="s">
        <v>5283</v>
      </c>
      <c r="F9730" s="2"/>
      <c r="G9730" s="2"/>
      <c r="H9730" s="2"/>
    </row>
    <row r="9731" spans="1:8" x14ac:dyDescent="0.25">
      <c r="A9731" s="1"/>
      <c r="B9731" s="1" t="s">
        <v>5161</v>
      </c>
      <c r="C9731" s="1" t="s">
        <v>5162</v>
      </c>
      <c r="D9731" s="22" t="str">
        <f>HYPERLINK("https://rhld.insurance.arkansas.gov/NPILookup?Npi=1336864818","1336864818")</f>
        <v>1336864818</v>
      </c>
      <c r="E9731" s="1" t="s">
        <v>19627</v>
      </c>
      <c r="F9731" s="2"/>
      <c r="G9731" s="2"/>
      <c r="H9731" s="2"/>
    </row>
    <row r="9732" spans="1:8" x14ac:dyDescent="0.25">
      <c r="A9732" s="1"/>
      <c r="B9732" s="1" t="s">
        <v>5161</v>
      </c>
      <c r="C9732" s="1" t="s">
        <v>5162</v>
      </c>
      <c r="D9732" s="22" t="str">
        <f>HYPERLINK("https://rhld.insurance.arkansas.gov/NPILookup?Npi=1336884733","1336884733")</f>
        <v>1336884733</v>
      </c>
      <c r="E9732" s="1" t="s">
        <v>19628</v>
      </c>
      <c r="F9732" s="2"/>
      <c r="G9732" s="2"/>
      <c r="H9732" s="2"/>
    </row>
    <row r="9733" spans="1:8" x14ac:dyDescent="0.25">
      <c r="A9733" s="1"/>
      <c r="B9733" s="1" t="s">
        <v>5161</v>
      </c>
      <c r="C9733" s="1" t="s">
        <v>5162</v>
      </c>
      <c r="D9733" s="22" t="str">
        <f>HYPERLINK("https://rhld.insurance.arkansas.gov/NPILookup?Npi=1336975580","1336975580")</f>
        <v>1336975580</v>
      </c>
      <c r="E9733" s="1" t="s">
        <v>31702</v>
      </c>
      <c r="F9733" s="2"/>
      <c r="G9733" s="2"/>
      <c r="H9733" s="2"/>
    </row>
    <row r="9734" spans="1:8" x14ac:dyDescent="0.25">
      <c r="A9734" s="1"/>
      <c r="B9734" s="1" t="s">
        <v>5161</v>
      </c>
      <c r="C9734" s="1" t="s">
        <v>5162</v>
      </c>
      <c r="D9734" s="22" t="str">
        <f>HYPERLINK("https://rhld.insurance.arkansas.gov/NPILookup?Npi=1346003050","1346003050")</f>
        <v>1346003050</v>
      </c>
      <c r="E9734" s="1" t="s">
        <v>19629</v>
      </c>
      <c r="F9734" s="2"/>
      <c r="G9734" s="2"/>
      <c r="H9734" s="2"/>
    </row>
    <row r="9735" spans="1:8" x14ac:dyDescent="0.25">
      <c r="A9735" s="1"/>
      <c r="B9735" s="1" t="s">
        <v>5161</v>
      </c>
      <c r="C9735" s="1" t="s">
        <v>5162</v>
      </c>
      <c r="D9735" s="22" t="str">
        <f>HYPERLINK("https://rhld.insurance.arkansas.gov/NPILookup?Npi=1346022779","1346022779")</f>
        <v>1346022779</v>
      </c>
      <c r="E9735" s="1" t="s">
        <v>5284</v>
      </c>
      <c r="F9735" s="2"/>
      <c r="G9735" s="2"/>
      <c r="H9735" s="2"/>
    </row>
    <row r="9736" spans="1:8" x14ac:dyDescent="0.25">
      <c r="A9736" s="1"/>
      <c r="B9736" s="1" t="s">
        <v>5161</v>
      </c>
      <c r="C9736" s="1" t="s">
        <v>5162</v>
      </c>
      <c r="D9736" s="22" t="str">
        <f>HYPERLINK("https://rhld.insurance.arkansas.gov/NPILookup?Npi=1346301439","1346301439")</f>
        <v>1346301439</v>
      </c>
      <c r="E9736" s="1" t="s">
        <v>19630</v>
      </c>
      <c r="F9736" s="2"/>
      <c r="G9736" s="2"/>
      <c r="H9736" s="2"/>
    </row>
    <row r="9737" spans="1:8" x14ac:dyDescent="0.25">
      <c r="A9737" s="1"/>
      <c r="B9737" s="1" t="s">
        <v>5161</v>
      </c>
      <c r="C9737" s="1" t="s">
        <v>5162</v>
      </c>
      <c r="D9737" s="22" t="str">
        <f>HYPERLINK("https://rhld.insurance.arkansas.gov/NPILookup?Npi=1346394517","1346394517")</f>
        <v>1346394517</v>
      </c>
      <c r="E9737" s="1" t="s">
        <v>19631</v>
      </c>
      <c r="F9737" s="2"/>
      <c r="G9737" s="2"/>
      <c r="H9737" s="2"/>
    </row>
    <row r="9738" spans="1:8" x14ac:dyDescent="0.25">
      <c r="A9738" s="1"/>
      <c r="B9738" s="1" t="s">
        <v>5161</v>
      </c>
      <c r="C9738" s="1" t="s">
        <v>5162</v>
      </c>
      <c r="D9738" s="22" t="str">
        <f>HYPERLINK("https://rhld.insurance.arkansas.gov/NPILookup?Npi=1346396504","1346396504")</f>
        <v>1346396504</v>
      </c>
      <c r="E9738" s="1" t="s">
        <v>5286</v>
      </c>
      <c r="F9738" s="2"/>
      <c r="G9738" s="2"/>
      <c r="H9738" s="2"/>
    </row>
    <row r="9739" spans="1:8" x14ac:dyDescent="0.25">
      <c r="A9739" s="1"/>
      <c r="B9739" s="1" t="s">
        <v>5161</v>
      </c>
      <c r="C9739" s="1" t="s">
        <v>5162</v>
      </c>
      <c r="D9739" s="22" t="str">
        <f>HYPERLINK("https://rhld.insurance.arkansas.gov/NPILookup?Npi=1346440567","1346440567")</f>
        <v>1346440567</v>
      </c>
      <c r="E9739" s="1" t="s">
        <v>19632</v>
      </c>
      <c r="F9739" s="2"/>
      <c r="G9739" s="2"/>
      <c r="H9739" s="2"/>
    </row>
    <row r="9740" spans="1:8" x14ac:dyDescent="0.25">
      <c r="A9740" s="1"/>
      <c r="B9740" s="1" t="s">
        <v>5161</v>
      </c>
      <c r="C9740" s="1" t="s">
        <v>5162</v>
      </c>
      <c r="D9740" s="22" t="str">
        <f>HYPERLINK("https://rhld.insurance.arkansas.gov/NPILookup?Npi=1346499506","1346499506")</f>
        <v>1346499506</v>
      </c>
      <c r="E9740" s="1" t="s">
        <v>19633</v>
      </c>
      <c r="F9740" s="2"/>
      <c r="G9740" s="2"/>
      <c r="H9740" s="2"/>
    </row>
    <row r="9741" spans="1:8" x14ac:dyDescent="0.25">
      <c r="A9741" s="1"/>
      <c r="B9741" s="1" t="s">
        <v>5161</v>
      </c>
      <c r="C9741" s="1" t="s">
        <v>5162</v>
      </c>
      <c r="D9741" s="22" t="str">
        <f>HYPERLINK("https://rhld.insurance.arkansas.gov/NPILookup?Npi=1346556982","1346556982")</f>
        <v>1346556982</v>
      </c>
      <c r="E9741" s="1" t="s">
        <v>19634</v>
      </c>
      <c r="F9741" s="2"/>
      <c r="G9741" s="2"/>
      <c r="H9741" s="2"/>
    </row>
    <row r="9742" spans="1:8" x14ac:dyDescent="0.25">
      <c r="A9742" s="1"/>
      <c r="B9742" s="1" t="s">
        <v>5161</v>
      </c>
      <c r="C9742" s="1" t="s">
        <v>5162</v>
      </c>
      <c r="D9742" s="22" t="str">
        <f>HYPERLINK("https://rhld.insurance.arkansas.gov/NPILookup?Npi=1346557824","1346557824")</f>
        <v>1346557824</v>
      </c>
      <c r="E9742" s="1" t="s">
        <v>5287</v>
      </c>
      <c r="F9742" s="2"/>
      <c r="G9742" s="2"/>
      <c r="H9742" s="2"/>
    </row>
    <row r="9743" spans="1:8" x14ac:dyDescent="0.25">
      <c r="A9743" s="1"/>
      <c r="B9743" s="1" t="s">
        <v>5161</v>
      </c>
      <c r="C9743" s="1" t="s">
        <v>5162</v>
      </c>
      <c r="D9743" s="22" t="str">
        <f>HYPERLINK("https://rhld.insurance.arkansas.gov/NPILookup?Npi=1346591476","1346591476")</f>
        <v>1346591476</v>
      </c>
      <c r="E9743" s="1" t="s">
        <v>19635</v>
      </c>
      <c r="F9743" s="2"/>
      <c r="G9743" s="2"/>
      <c r="H9743" s="2"/>
    </row>
    <row r="9744" spans="1:8" x14ac:dyDescent="0.25">
      <c r="A9744" s="1"/>
      <c r="B9744" s="1" t="s">
        <v>5161</v>
      </c>
      <c r="C9744" s="1" t="s">
        <v>5162</v>
      </c>
      <c r="D9744" s="22" t="str">
        <f>HYPERLINK("https://rhld.insurance.arkansas.gov/NPILookup?Npi=1346704251","1346704251")</f>
        <v>1346704251</v>
      </c>
      <c r="E9744" s="1" t="s">
        <v>19636</v>
      </c>
      <c r="F9744" s="2"/>
      <c r="G9744" s="2"/>
      <c r="H9744" s="2"/>
    </row>
    <row r="9745" spans="1:8" x14ac:dyDescent="0.25">
      <c r="A9745" s="1"/>
      <c r="B9745" s="1" t="s">
        <v>5161</v>
      </c>
      <c r="C9745" s="1" t="s">
        <v>5162</v>
      </c>
      <c r="D9745" s="22" t="str">
        <f>HYPERLINK("https://rhld.insurance.arkansas.gov/NPILookup?Npi=1346715851","1346715851")</f>
        <v>1346715851</v>
      </c>
      <c r="E9745" s="1" t="s">
        <v>19637</v>
      </c>
      <c r="F9745" s="2"/>
      <c r="G9745" s="2"/>
      <c r="H9745" s="2"/>
    </row>
    <row r="9746" spans="1:8" x14ac:dyDescent="0.25">
      <c r="A9746" s="1"/>
      <c r="B9746" s="1" t="s">
        <v>5161</v>
      </c>
      <c r="C9746" s="1" t="s">
        <v>5162</v>
      </c>
      <c r="D9746" s="22" t="str">
        <f>HYPERLINK("https://rhld.insurance.arkansas.gov/NPILookup?Npi=1346729415","1346729415")</f>
        <v>1346729415</v>
      </c>
      <c r="E9746" s="1" t="s">
        <v>19638</v>
      </c>
      <c r="F9746" s="2"/>
      <c r="G9746" s="2"/>
      <c r="H9746" s="2"/>
    </row>
    <row r="9747" spans="1:8" x14ac:dyDescent="0.25">
      <c r="A9747" s="1"/>
      <c r="B9747" s="1" t="s">
        <v>5161</v>
      </c>
      <c r="C9747" s="1" t="s">
        <v>5162</v>
      </c>
      <c r="D9747" s="22" t="str">
        <f>HYPERLINK("https://rhld.insurance.arkansas.gov/NPILookup?Npi=1346834595","1346834595")</f>
        <v>1346834595</v>
      </c>
      <c r="E9747" s="1" t="s">
        <v>5288</v>
      </c>
      <c r="F9747" s="2"/>
      <c r="G9747" s="2"/>
      <c r="H9747" s="2"/>
    </row>
    <row r="9748" spans="1:8" x14ac:dyDescent="0.25">
      <c r="A9748" s="1"/>
      <c r="B9748" s="1" t="s">
        <v>5161</v>
      </c>
      <c r="C9748" s="1" t="s">
        <v>5162</v>
      </c>
      <c r="D9748" s="22" t="str">
        <f>HYPERLINK("https://rhld.insurance.arkansas.gov/NPILookup?Npi=1346855111","1346855111")</f>
        <v>1346855111</v>
      </c>
      <c r="E9748" s="1" t="s">
        <v>19639</v>
      </c>
      <c r="F9748" s="2"/>
      <c r="G9748" s="2"/>
      <c r="H9748" s="2"/>
    </row>
    <row r="9749" spans="1:8" x14ac:dyDescent="0.25">
      <c r="A9749" s="1"/>
      <c r="B9749" s="1" t="s">
        <v>5161</v>
      </c>
      <c r="C9749" s="1" t="s">
        <v>5162</v>
      </c>
      <c r="D9749" s="22" t="str">
        <f>HYPERLINK("https://rhld.insurance.arkansas.gov/NPILookup?Npi=1346927449","1346927449")</f>
        <v>1346927449</v>
      </c>
      <c r="E9749" s="1" t="s">
        <v>19640</v>
      </c>
      <c r="F9749" s="2"/>
      <c r="G9749" s="2"/>
      <c r="H9749" s="2"/>
    </row>
    <row r="9750" spans="1:8" x14ac:dyDescent="0.25">
      <c r="A9750" s="1"/>
      <c r="B9750" s="1" t="s">
        <v>5161</v>
      </c>
      <c r="C9750" s="1" t="s">
        <v>5162</v>
      </c>
      <c r="D9750" s="22" t="str">
        <f>HYPERLINK("https://rhld.insurance.arkansas.gov/NPILookup?Npi=1346931474","1346931474")</f>
        <v>1346931474</v>
      </c>
      <c r="E9750" s="1" t="s">
        <v>19641</v>
      </c>
      <c r="F9750" s="2"/>
      <c r="G9750" s="2"/>
      <c r="H9750" s="2"/>
    </row>
    <row r="9751" spans="1:8" x14ac:dyDescent="0.25">
      <c r="A9751" s="1"/>
      <c r="B9751" s="1" t="s">
        <v>5161</v>
      </c>
      <c r="C9751" s="1" t="s">
        <v>5162</v>
      </c>
      <c r="D9751" s="22" t="str">
        <f>HYPERLINK("https://rhld.insurance.arkansas.gov/NPILookup?Npi=1346964566","1346964566")</f>
        <v>1346964566</v>
      </c>
      <c r="E9751" s="1" t="s">
        <v>5289</v>
      </c>
      <c r="F9751" s="2"/>
      <c r="G9751" s="2"/>
      <c r="H9751" s="2"/>
    </row>
    <row r="9752" spans="1:8" x14ac:dyDescent="0.25">
      <c r="A9752" s="1"/>
      <c r="B9752" s="1" t="s">
        <v>5161</v>
      </c>
      <c r="C9752" s="1" t="s">
        <v>5162</v>
      </c>
      <c r="D9752" s="22" t="str">
        <f>HYPERLINK("https://rhld.insurance.arkansas.gov/NPILookup?Npi=1356009211","1356009211")</f>
        <v>1356009211</v>
      </c>
      <c r="E9752" s="1" t="s">
        <v>19642</v>
      </c>
      <c r="F9752" s="2"/>
      <c r="G9752" s="2"/>
      <c r="H9752" s="2"/>
    </row>
    <row r="9753" spans="1:8" x14ac:dyDescent="0.25">
      <c r="A9753" s="1"/>
      <c r="B9753" s="1" t="s">
        <v>5161</v>
      </c>
      <c r="C9753" s="1" t="s">
        <v>5162</v>
      </c>
      <c r="D9753" s="22" t="str">
        <f>HYPERLINK("https://rhld.insurance.arkansas.gov/NPILookup?Npi=1356019244","1356019244")</f>
        <v>1356019244</v>
      </c>
      <c r="E9753" s="1" t="s">
        <v>19643</v>
      </c>
      <c r="F9753" s="2"/>
      <c r="G9753" s="2"/>
      <c r="H9753" s="2"/>
    </row>
    <row r="9754" spans="1:8" x14ac:dyDescent="0.25">
      <c r="A9754" s="1"/>
      <c r="B9754" s="1" t="s">
        <v>5161</v>
      </c>
      <c r="C9754" s="1" t="s">
        <v>5162</v>
      </c>
      <c r="D9754" s="22" t="str">
        <f>HYPERLINK("https://rhld.insurance.arkansas.gov/NPILookup?Npi=1356060131","1356060131")</f>
        <v>1356060131</v>
      </c>
      <c r="E9754" s="1" t="s">
        <v>11012</v>
      </c>
      <c r="F9754" s="2"/>
      <c r="G9754" s="2"/>
      <c r="H9754" s="2"/>
    </row>
    <row r="9755" spans="1:8" x14ac:dyDescent="0.25">
      <c r="A9755" s="1"/>
      <c r="B9755" s="1" t="s">
        <v>5161</v>
      </c>
      <c r="C9755" s="1" t="s">
        <v>5162</v>
      </c>
      <c r="D9755" s="22" t="str">
        <f>HYPERLINK("https://rhld.insurance.arkansas.gov/NPILookup?Npi=1356067433","1356067433")</f>
        <v>1356067433</v>
      </c>
      <c r="E9755" s="1" t="s">
        <v>5290</v>
      </c>
      <c r="F9755" s="2"/>
      <c r="G9755" s="2"/>
      <c r="H9755" s="2"/>
    </row>
    <row r="9756" spans="1:8" x14ac:dyDescent="0.25">
      <c r="A9756" s="1"/>
      <c r="B9756" s="1" t="s">
        <v>5161</v>
      </c>
      <c r="C9756" s="1" t="s">
        <v>5162</v>
      </c>
      <c r="D9756" s="22" t="str">
        <f>HYPERLINK("https://rhld.insurance.arkansas.gov/NPILookup?Npi=1356582464","1356582464")</f>
        <v>1356582464</v>
      </c>
      <c r="E9756" s="1" t="s">
        <v>31703</v>
      </c>
      <c r="F9756" s="2"/>
      <c r="G9756" s="2"/>
      <c r="H9756" s="2"/>
    </row>
    <row r="9757" spans="1:8" x14ac:dyDescent="0.25">
      <c r="A9757" s="1"/>
      <c r="B9757" s="1" t="s">
        <v>5161</v>
      </c>
      <c r="C9757" s="1" t="s">
        <v>5162</v>
      </c>
      <c r="D9757" s="22" t="str">
        <f>HYPERLINK("https://rhld.insurance.arkansas.gov/NPILookup?Npi=1356597736","1356597736")</f>
        <v>1356597736</v>
      </c>
      <c r="E9757" s="1" t="s">
        <v>11013</v>
      </c>
      <c r="F9757" s="2"/>
      <c r="G9757" s="2"/>
      <c r="H9757" s="2"/>
    </row>
    <row r="9758" spans="1:8" x14ac:dyDescent="0.25">
      <c r="A9758" s="1"/>
      <c r="B9758" s="1" t="s">
        <v>5161</v>
      </c>
      <c r="C9758" s="1" t="s">
        <v>5162</v>
      </c>
      <c r="D9758" s="22" t="str">
        <f>HYPERLINK("https://rhld.insurance.arkansas.gov/NPILookup?Npi=1356682363","1356682363")</f>
        <v>1356682363</v>
      </c>
      <c r="E9758" s="1" t="s">
        <v>19644</v>
      </c>
      <c r="F9758" s="2"/>
      <c r="G9758" s="2"/>
      <c r="H9758" s="2"/>
    </row>
    <row r="9759" spans="1:8" x14ac:dyDescent="0.25">
      <c r="A9759" s="1"/>
      <c r="B9759" s="1" t="s">
        <v>5161</v>
      </c>
      <c r="C9759" s="1" t="s">
        <v>5162</v>
      </c>
      <c r="D9759" s="22" t="str">
        <f>HYPERLINK("https://rhld.insurance.arkansas.gov/NPILookup?Npi=1356721773","1356721773")</f>
        <v>1356721773</v>
      </c>
      <c r="E9759" s="1" t="s">
        <v>5291</v>
      </c>
      <c r="F9759" s="2"/>
      <c r="G9759" s="2"/>
      <c r="H9759" s="2"/>
    </row>
    <row r="9760" spans="1:8" x14ac:dyDescent="0.25">
      <c r="A9760" s="1"/>
      <c r="B9760" s="1" t="s">
        <v>5161</v>
      </c>
      <c r="C9760" s="1" t="s">
        <v>5162</v>
      </c>
      <c r="D9760" s="22" t="str">
        <f>HYPERLINK("https://rhld.insurance.arkansas.gov/NPILookup?Npi=1356822795","1356822795")</f>
        <v>1356822795</v>
      </c>
      <c r="E9760" s="1" t="s">
        <v>19645</v>
      </c>
      <c r="F9760" s="2"/>
      <c r="G9760" s="2"/>
      <c r="H9760" s="2"/>
    </row>
    <row r="9761" spans="1:8" x14ac:dyDescent="0.25">
      <c r="A9761" s="1"/>
      <c r="B9761" s="1" t="s">
        <v>5161</v>
      </c>
      <c r="C9761" s="1" t="s">
        <v>5162</v>
      </c>
      <c r="D9761" s="22" t="str">
        <f>HYPERLINK("https://rhld.insurance.arkansas.gov/NPILookup?Npi=1356851505","1356851505")</f>
        <v>1356851505</v>
      </c>
      <c r="E9761" s="1" t="s">
        <v>5292</v>
      </c>
      <c r="F9761" s="2"/>
      <c r="G9761" s="2"/>
      <c r="H9761" s="2"/>
    </row>
    <row r="9762" spans="1:8" x14ac:dyDescent="0.25">
      <c r="A9762" s="1"/>
      <c r="B9762" s="1" t="s">
        <v>5161</v>
      </c>
      <c r="C9762" s="1" t="s">
        <v>5162</v>
      </c>
      <c r="D9762" s="22" t="str">
        <f>HYPERLINK("https://rhld.insurance.arkansas.gov/NPILookup?Npi=1356997621","1356997621")</f>
        <v>1356997621</v>
      </c>
      <c r="E9762" s="1" t="s">
        <v>19646</v>
      </c>
      <c r="F9762" s="2"/>
      <c r="G9762" s="2"/>
      <c r="H9762" s="2"/>
    </row>
    <row r="9763" spans="1:8" x14ac:dyDescent="0.25">
      <c r="A9763" s="1"/>
      <c r="B9763" s="1" t="s">
        <v>5161</v>
      </c>
      <c r="C9763" s="1" t="s">
        <v>5162</v>
      </c>
      <c r="D9763" s="22" t="str">
        <f>HYPERLINK("https://rhld.insurance.arkansas.gov/NPILookup?Npi=1366029357","1366029357")</f>
        <v>1366029357</v>
      </c>
      <c r="E9763" s="1" t="s">
        <v>5293</v>
      </c>
      <c r="F9763" s="2"/>
      <c r="G9763" s="2"/>
      <c r="H9763" s="2"/>
    </row>
    <row r="9764" spans="1:8" x14ac:dyDescent="0.25">
      <c r="A9764" s="1"/>
      <c r="B9764" s="1" t="s">
        <v>5161</v>
      </c>
      <c r="C9764" s="1" t="s">
        <v>5162</v>
      </c>
      <c r="D9764" s="22" t="str">
        <f>HYPERLINK("https://rhld.insurance.arkansas.gov/NPILookup?Npi=1366058968","1366058968")</f>
        <v>1366058968</v>
      </c>
      <c r="E9764" s="1" t="s">
        <v>19647</v>
      </c>
      <c r="F9764" s="2"/>
      <c r="G9764" s="2"/>
      <c r="H9764" s="2"/>
    </row>
    <row r="9765" spans="1:8" x14ac:dyDescent="0.25">
      <c r="A9765" s="1"/>
      <c r="B9765" s="1" t="s">
        <v>5161</v>
      </c>
      <c r="C9765" s="1" t="s">
        <v>5162</v>
      </c>
      <c r="D9765" s="22" t="str">
        <f>HYPERLINK("https://rhld.insurance.arkansas.gov/NPILookup?Npi=1366179533","1366179533")</f>
        <v>1366179533</v>
      </c>
      <c r="E9765" s="1" t="s">
        <v>11014</v>
      </c>
      <c r="F9765" s="2"/>
      <c r="G9765" s="2"/>
      <c r="H9765" s="2"/>
    </row>
    <row r="9766" spans="1:8" x14ac:dyDescent="0.25">
      <c r="A9766" s="1"/>
      <c r="B9766" s="1" t="s">
        <v>5161</v>
      </c>
      <c r="C9766" s="1" t="s">
        <v>5162</v>
      </c>
      <c r="D9766" s="22" t="str">
        <f>HYPERLINK("https://rhld.insurance.arkansas.gov/NPILookup?Npi=1366228413","1366228413")</f>
        <v>1366228413</v>
      </c>
      <c r="E9766" s="1" t="s">
        <v>5294</v>
      </c>
      <c r="F9766" s="2"/>
      <c r="G9766" s="2"/>
      <c r="H9766" s="2"/>
    </row>
    <row r="9767" spans="1:8" x14ac:dyDescent="0.25">
      <c r="A9767" s="1"/>
      <c r="B9767" s="1" t="s">
        <v>5161</v>
      </c>
      <c r="C9767" s="1" t="s">
        <v>5162</v>
      </c>
      <c r="D9767" s="22" t="str">
        <f>HYPERLINK("https://rhld.insurance.arkansas.gov/NPILookup?Npi=1366720146","1366720146")</f>
        <v>1366720146</v>
      </c>
      <c r="E9767" s="1" t="s">
        <v>5295</v>
      </c>
      <c r="F9767" s="2"/>
      <c r="G9767" s="2"/>
      <c r="H9767" s="2"/>
    </row>
    <row r="9768" spans="1:8" x14ac:dyDescent="0.25">
      <c r="A9768" s="1"/>
      <c r="B9768" s="1" t="s">
        <v>5161</v>
      </c>
      <c r="C9768" s="1" t="s">
        <v>5162</v>
      </c>
      <c r="D9768" s="22" t="str">
        <f>HYPERLINK("https://rhld.insurance.arkansas.gov/NPILookup?Npi=1366791154","1366791154")</f>
        <v>1366791154</v>
      </c>
      <c r="E9768" s="1" t="s">
        <v>5296</v>
      </c>
      <c r="F9768" s="2"/>
      <c r="G9768" s="2"/>
      <c r="H9768" s="2"/>
    </row>
    <row r="9769" spans="1:8" x14ac:dyDescent="0.25">
      <c r="A9769" s="1"/>
      <c r="B9769" s="1" t="s">
        <v>5161</v>
      </c>
      <c r="C9769" s="1" t="s">
        <v>5162</v>
      </c>
      <c r="D9769" s="22" t="str">
        <f>HYPERLINK("https://rhld.insurance.arkansas.gov/NPILookup?Npi=1366792079","1366792079")</f>
        <v>1366792079</v>
      </c>
      <c r="E9769" s="1" t="s">
        <v>19649</v>
      </c>
      <c r="F9769" s="2"/>
      <c r="G9769" s="2"/>
      <c r="H9769" s="2"/>
    </row>
    <row r="9770" spans="1:8" x14ac:dyDescent="0.25">
      <c r="A9770" s="1"/>
      <c r="B9770" s="1" t="s">
        <v>5161</v>
      </c>
      <c r="C9770" s="1" t="s">
        <v>5162</v>
      </c>
      <c r="D9770" s="22" t="str">
        <f>HYPERLINK("https://rhld.insurance.arkansas.gov/NPILookup?Npi=1366860728","1366860728")</f>
        <v>1366860728</v>
      </c>
      <c r="E9770" s="1" t="s">
        <v>5297</v>
      </c>
      <c r="F9770" s="2"/>
      <c r="G9770" s="2"/>
      <c r="H9770" s="2"/>
    </row>
    <row r="9771" spans="1:8" x14ac:dyDescent="0.25">
      <c r="A9771" s="1"/>
      <c r="B9771" s="1" t="s">
        <v>5161</v>
      </c>
      <c r="C9771" s="1" t="s">
        <v>5162</v>
      </c>
      <c r="D9771" s="22" t="str">
        <f>HYPERLINK("https://rhld.insurance.arkansas.gov/NPILookup?Npi=1366889644","1366889644")</f>
        <v>1366889644</v>
      </c>
      <c r="E9771" s="1" t="s">
        <v>5298</v>
      </c>
      <c r="F9771" s="2"/>
      <c r="G9771" s="2"/>
      <c r="H9771" s="2"/>
    </row>
    <row r="9772" spans="1:8" x14ac:dyDescent="0.25">
      <c r="A9772" s="1"/>
      <c r="B9772" s="1" t="s">
        <v>5161</v>
      </c>
      <c r="C9772" s="1" t="s">
        <v>5162</v>
      </c>
      <c r="D9772" s="22" t="str">
        <f>HYPERLINK("https://rhld.insurance.arkansas.gov/NPILookup?Npi=1366922510","1366922510")</f>
        <v>1366922510</v>
      </c>
      <c r="E9772" s="1" t="s">
        <v>19650</v>
      </c>
      <c r="F9772" s="2"/>
      <c r="G9772" s="2"/>
      <c r="H9772" s="2"/>
    </row>
    <row r="9773" spans="1:8" x14ac:dyDescent="0.25">
      <c r="A9773" s="1"/>
      <c r="B9773" s="1" t="s">
        <v>5161</v>
      </c>
      <c r="C9773" s="1" t="s">
        <v>5162</v>
      </c>
      <c r="D9773" s="22" t="str">
        <f>HYPERLINK("https://rhld.insurance.arkansas.gov/NPILookup?Npi=1376071274","1376071274")</f>
        <v>1376071274</v>
      </c>
      <c r="E9773" s="1" t="s">
        <v>19651</v>
      </c>
      <c r="F9773" s="2"/>
      <c r="G9773" s="2"/>
      <c r="H9773" s="2"/>
    </row>
    <row r="9774" spans="1:8" x14ac:dyDescent="0.25">
      <c r="A9774" s="1"/>
      <c r="B9774" s="1" t="s">
        <v>5161</v>
      </c>
      <c r="C9774" s="1" t="s">
        <v>5162</v>
      </c>
      <c r="D9774" s="22" t="str">
        <f>HYPERLINK("https://rhld.insurance.arkansas.gov/NPILookup?Npi=1376094003","1376094003")</f>
        <v>1376094003</v>
      </c>
      <c r="E9774" s="1" t="s">
        <v>5299</v>
      </c>
      <c r="F9774" s="2"/>
      <c r="G9774" s="2"/>
      <c r="H9774" s="2"/>
    </row>
    <row r="9775" spans="1:8" x14ac:dyDescent="0.25">
      <c r="A9775" s="1"/>
      <c r="B9775" s="1" t="s">
        <v>5161</v>
      </c>
      <c r="C9775" s="1" t="s">
        <v>5162</v>
      </c>
      <c r="D9775" s="22" t="str">
        <f>HYPERLINK("https://rhld.insurance.arkansas.gov/NPILookup?Npi=1376237461","1376237461")</f>
        <v>1376237461</v>
      </c>
      <c r="E9775" s="1" t="s">
        <v>19652</v>
      </c>
      <c r="F9775" s="2"/>
      <c r="G9775" s="2"/>
      <c r="H9775" s="2"/>
    </row>
    <row r="9776" spans="1:8" x14ac:dyDescent="0.25">
      <c r="A9776" s="1"/>
      <c r="B9776" s="1" t="s">
        <v>5161</v>
      </c>
      <c r="C9776" s="1" t="s">
        <v>5162</v>
      </c>
      <c r="D9776" s="22" t="str">
        <f>HYPERLINK("https://rhld.insurance.arkansas.gov/NPILookup?Npi=1376242925","1376242925")</f>
        <v>1376242925</v>
      </c>
      <c r="E9776" s="1" t="s">
        <v>5300</v>
      </c>
      <c r="F9776" s="2"/>
      <c r="G9776" s="2"/>
      <c r="H9776" s="2"/>
    </row>
    <row r="9777" spans="1:8" x14ac:dyDescent="0.25">
      <c r="A9777" s="1"/>
      <c r="B9777" s="1" t="s">
        <v>5161</v>
      </c>
      <c r="C9777" s="1" t="s">
        <v>5162</v>
      </c>
      <c r="D9777" s="22" t="str">
        <f>HYPERLINK("https://rhld.insurance.arkansas.gov/NPILookup?Npi=1376256370","1376256370")</f>
        <v>1376256370</v>
      </c>
      <c r="E9777" s="1" t="s">
        <v>5301</v>
      </c>
      <c r="F9777" s="2"/>
      <c r="G9777" s="2"/>
      <c r="H9777" s="2"/>
    </row>
    <row r="9778" spans="1:8" x14ac:dyDescent="0.25">
      <c r="A9778" s="1"/>
      <c r="B9778" s="1" t="s">
        <v>5161</v>
      </c>
      <c r="C9778" s="1" t="s">
        <v>5162</v>
      </c>
      <c r="D9778" s="22" t="str">
        <f>HYPERLINK("https://rhld.insurance.arkansas.gov/NPILookup?Npi=1376291385","1376291385")</f>
        <v>1376291385</v>
      </c>
      <c r="E9778" s="1" t="s">
        <v>11016</v>
      </c>
      <c r="F9778" s="2"/>
      <c r="G9778" s="2"/>
      <c r="H9778" s="2"/>
    </row>
    <row r="9779" spans="1:8" x14ac:dyDescent="0.25">
      <c r="A9779" s="1"/>
      <c r="B9779" s="1" t="s">
        <v>5161</v>
      </c>
      <c r="C9779" s="1" t="s">
        <v>5162</v>
      </c>
      <c r="D9779" s="22" t="str">
        <f>HYPERLINK("https://rhld.insurance.arkansas.gov/NPILookup?Npi=1376320556","1376320556")</f>
        <v>1376320556</v>
      </c>
      <c r="E9779" s="1" t="s">
        <v>5302</v>
      </c>
      <c r="F9779" s="2"/>
      <c r="G9779" s="2"/>
      <c r="H9779" s="2"/>
    </row>
    <row r="9780" spans="1:8" x14ac:dyDescent="0.25">
      <c r="A9780" s="1"/>
      <c r="B9780" s="1" t="s">
        <v>5161</v>
      </c>
      <c r="C9780" s="1" t="s">
        <v>5162</v>
      </c>
      <c r="D9780" s="22" t="str">
        <f>HYPERLINK("https://rhld.insurance.arkansas.gov/NPILookup?Npi=1376337097","1376337097")</f>
        <v>1376337097</v>
      </c>
      <c r="E9780" s="1" t="s">
        <v>31704</v>
      </c>
      <c r="F9780" s="2"/>
      <c r="G9780" s="2"/>
      <c r="H9780" s="2"/>
    </row>
    <row r="9781" spans="1:8" x14ac:dyDescent="0.25">
      <c r="A9781" s="1"/>
      <c r="B9781" s="1" t="s">
        <v>5161</v>
      </c>
      <c r="C9781" s="1" t="s">
        <v>5162</v>
      </c>
      <c r="D9781" s="22" t="str">
        <f>HYPERLINK("https://rhld.insurance.arkansas.gov/NPILookup?Npi=1376398784","1376398784")</f>
        <v>1376398784</v>
      </c>
      <c r="E9781" s="1" t="s">
        <v>19653</v>
      </c>
      <c r="F9781" s="2"/>
      <c r="G9781" s="2"/>
      <c r="H9781" s="2"/>
    </row>
    <row r="9782" spans="1:8" x14ac:dyDescent="0.25">
      <c r="A9782" s="1"/>
      <c r="B9782" s="1" t="s">
        <v>5161</v>
      </c>
      <c r="C9782" s="1" t="s">
        <v>5162</v>
      </c>
      <c r="D9782" s="22" t="str">
        <f>HYPERLINK("https://rhld.insurance.arkansas.gov/NPILookup?Npi=1376675207","1376675207")</f>
        <v>1376675207</v>
      </c>
      <c r="E9782" s="1" t="s">
        <v>19654</v>
      </c>
      <c r="F9782" s="2"/>
      <c r="G9782" s="2"/>
      <c r="H9782" s="2"/>
    </row>
    <row r="9783" spans="1:8" x14ac:dyDescent="0.25">
      <c r="A9783" s="1"/>
      <c r="B9783" s="1" t="s">
        <v>5161</v>
      </c>
      <c r="C9783" s="1" t="s">
        <v>5162</v>
      </c>
      <c r="D9783" s="22" t="str">
        <f>HYPERLINK("https://rhld.insurance.arkansas.gov/NPILookup?Npi=1376678912","1376678912")</f>
        <v>1376678912</v>
      </c>
      <c r="E9783" s="1" t="s">
        <v>19655</v>
      </c>
      <c r="F9783" s="2"/>
      <c r="G9783" s="2"/>
      <c r="H9783" s="2"/>
    </row>
    <row r="9784" spans="1:8" x14ac:dyDescent="0.25">
      <c r="A9784" s="1"/>
      <c r="B9784" s="1" t="s">
        <v>5161</v>
      </c>
      <c r="C9784" s="1" t="s">
        <v>5162</v>
      </c>
      <c r="D9784" s="22" t="str">
        <f>HYPERLINK("https://rhld.insurance.arkansas.gov/NPILookup?Npi=1376695403","1376695403")</f>
        <v>1376695403</v>
      </c>
      <c r="E9784" s="1" t="s">
        <v>11017</v>
      </c>
      <c r="F9784" s="2"/>
      <c r="G9784" s="2"/>
      <c r="H9784" s="2"/>
    </row>
    <row r="9785" spans="1:8" x14ac:dyDescent="0.25">
      <c r="A9785" s="1"/>
      <c r="B9785" s="1" t="s">
        <v>5161</v>
      </c>
      <c r="C9785" s="1" t="s">
        <v>5162</v>
      </c>
      <c r="D9785" s="22" t="str">
        <f>HYPERLINK("https://rhld.insurance.arkansas.gov/NPILookup?Npi=1376695841","1376695841")</f>
        <v>1376695841</v>
      </c>
      <c r="E9785" s="1" t="s">
        <v>19656</v>
      </c>
      <c r="F9785" s="2"/>
      <c r="G9785" s="2"/>
      <c r="H9785" s="2"/>
    </row>
    <row r="9786" spans="1:8" x14ac:dyDescent="0.25">
      <c r="A9786" s="1"/>
      <c r="B9786" s="1" t="s">
        <v>5161</v>
      </c>
      <c r="C9786" s="1" t="s">
        <v>5162</v>
      </c>
      <c r="D9786" s="22" t="str">
        <f>HYPERLINK("https://rhld.insurance.arkansas.gov/NPILookup?Npi=1376737312","1376737312")</f>
        <v>1376737312</v>
      </c>
      <c r="E9786" s="1" t="s">
        <v>19657</v>
      </c>
      <c r="F9786" s="2"/>
      <c r="G9786" s="2"/>
      <c r="H9786" s="2"/>
    </row>
    <row r="9787" spans="1:8" x14ac:dyDescent="0.25">
      <c r="A9787" s="1"/>
      <c r="B9787" s="1" t="s">
        <v>5161</v>
      </c>
      <c r="C9787" s="1" t="s">
        <v>5162</v>
      </c>
      <c r="D9787" s="22" t="str">
        <f>HYPERLINK("https://rhld.insurance.arkansas.gov/NPILookup?Npi=1376743773","1376743773")</f>
        <v>1376743773</v>
      </c>
      <c r="E9787" s="1" t="s">
        <v>5303</v>
      </c>
      <c r="F9787" s="2"/>
      <c r="G9787" s="2"/>
      <c r="H9787" s="2"/>
    </row>
    <row r="9788" spans="1:8" x14ac:dyDescent="0.25">
      <c r="A9788" s="1"/>
      <c r="B9788" s="1" t="s">
        <v>5161</v>
      </c>
      <c r="C9788" s="1" t="s">
        <v>5162</v>
      </c>
      <c r="D9788" s="22" t="str">
        <f>HYPERLINK("https://rhld.insurance.arkansas.gov/NPILookup?Npi=1376766295","1376766295")</f>
        <v>1376766295</v>
      </c>
      <c r="E9788" s="1" t="s">
        <v>19658</v>
      </c>
      <c r="F9788" s="2"/>
      <c r="G9788" s="2"/>
      <c r="H9788" s="2"/>
    </row>
    <row r="9789" spans="1:8" x14ac:dyDescent="0.25">
      <c r="A9789" s="1"/>
      <c r="B9789" s="1" t="s">
        <v>5161</v>
      </c>
      <c r="C9789" s="1" t="s">
        <v>5162</v>
      </c>
      <c r="D9789" s="22" t="str">
        <f>HYPERLINK("https://rhld.insurance.arkansas.gov/NPILookup?Npi=1376810440","1376810440")</f>
        <v>1376810440</v>
      </c>
      <c r="E9789" s="1" t="s">
        <v>19659</v>
      </c>
      <c r="F9789" s="2"/>
      <c r="G9789" s="2"/>
      <c r="H9789" s="2"/>
    </row>
    <row r="9790" spans="1:8" x14ac:dyDescent="0.25">
      <c r="A9790" s="1"/>
      <c r="B9790" s="1" t="s">
        <v>5161</v>
      </c>
      <c r="C9790" s="1" t="s">
        <v>5162</v>
      </c>
      <c r="D9790" s="22" t="str">
        <f>HYPERLINK("https://rhld.insurance.arkansas.gov/NPILookup?Npi=1376853184","1376853184")</f>
        <v>1376853184</v>
      </c>
      <c r="E9790" s="1" t="s">
        <v>19660</v>
      </c>
      <c r="F9790" s="2"/>
      <c r="G9790" s="2"/>
      <c r="H9790" s="2"/>
    </row>
    <row r="9791" spans="1:8" x14ac:dyDescent="0.25">
      <c r="A9791" s="1"/>
      <c r="B9791" s="1" t="s">
        <v>5161</v>
      </c>
      <c r="C9791" s="1" t="s">
        <v>5162</v>
      </c>
      <c r="D9791" s="22" t="str">
        <f>HYPERLINK("https://rhld.insurance.arkansas.gov/NPILookup?Npi=1376964338","1376964338")</f>
        <v>1376964338</v>
      </c>
      <c r="E9791" s="1" t="s">
        <v>19661</v>
      </c>
      <c r="F9791" s="2"/>
      <c r="G9791" s="2"/>
      <c r="H9791" s="2"/>
    </row>
    <row r="9792" spans="1:8" x14ac:dyDescent="0.25">
      <c r="A9792" s="1"/>
      <c r="B9792" s="1" t="s">
        <v>5161</v>
      </c>
      <c r="C9792" s="1" t="s">
        <v>5162</v>
      </c>
      <c r="D9792" s="22" t="str">
        <f>HYPERLINK("https://rhld.insurance.arkansas.gov/NPILookup?Npi=1376994558","1376994558")</f>
        <v>1376994558</v>
      </c>
      <c r="E9792" s="1" t="s">
        <v>5304</v>
      </c>
      <c r="F9792" s="2"/>
      <c r="G9792" s="2"/>
      <c r="H9792" s="2"/>
    </row>
    <row r="9793" spans="1:8" x14ac:dyDescent="0.25">
      <c r="A9793" s="1"/>
      <c r="B9793" s="1" t="s">
        <v>5161</v>
      </c>
      <c r="C9793" s="1" t="s">
        <v>5162</v>
      </c>
      <c r="D9793" s="22" t="str">
        <f>HYPERLINK("https://rhld.insurance.arkansas.gov/NPILookup?Npi=1376995209","1376995209")</f>
        <v>1376995209</v>
      </c>
      <c r="E9793" s="1" t="s">
        <v>19662</v>
      </c>
      <c r="F9793" s="2"/>
      <c r="G9793" s="2"/>
      <c r="H9793" s="2"/>
    </row>
    <row r="9794" spans="1:8" x14ac:dyDescent="0.25">
      <c r="A9794" s="1"/>
      <c r="B9794" s="1" t="s">
        <v>5161</v>
      </c>
      <c r="C9794" s="1" t="s">
        <v>5162</v>
      </c>
      <c r="D9794" s="22" t="str">
        <f>HYPERLINK("https://rhld.insurance.arkansas.gov/NPILookup?Npi=1386002061","1386002061")</f>
        <v>1386002061</v>
      </c>
      <c r="E9794" s="1" t="s">
        <v>19663</v>
      </c>
      <c r="F9794" s="2"/>
      <c r="G9794" s="2"/>
      <c r="H9794" s="2"/>
    </row>
    <row r="9795" spans="1:8" x14ac:dyDescent="0.25">
      <c r="A9795" s="1"/>
      <c r="B9795" s="1" t="s">
        <v>5161</v>
      </c>
      <c r="C9795" s="1" t="s">
        <v>5162</v>
      </c>
      <c r="D9795" s="22" t="str">
        <f>HYPERLINK("https://rhld.insurance.arkansas.gov/NPILookup?Npi=1386003804","1386003804")</f>
        <v>1386003804</v>
      </c>
      <c r="E9795" s="1" t="s">
        <v>19664</v>
      </c>
      <c r="F9795" s="2"/>
      <c r="G9795" s="2"/>
      <c r="H9795" s="2"/>
    </row>
    <row r="9796" spans="1:8" x14ac:dyDescent="0.25">
      <c r="A9796" s="1"/>
      <c r="B9796" s="1" t="s">
        <v>5161</v>
      </c>
      <c r="C9796" s="1" t="s">
        <v>5162</v>
      </c>
      <c r="D9796" s="22" t="str">
        <f>HYPERLINK("https://rhld.insurance.arkansas.gov/NPILookup?Npi=1386016830","1386016830")</f>
        <v>1386016830</v>
      </c>
      <c r="E9796" s="1" t="s">
        <v>19665</v>
      </c>
      <c r="F9796" s="2"/>
      <c r="G9796" s="2"/>
      <c r="H9796" s="2"/>
    </row>
    <row r="9797" spans="1:8" x14ac:dyDescent="0.25">
      <c r="A9797" s="1"/>
      <c r="B9797" s="1" t="s">
        <v>5161</v>
      </c>
      <c r="C9797" s="1" t="s">
        <v>5162</v>
      </c>
      <c r="D9797" s="22" t="str">
        <f>HYPERLINK("https://rhld.insurance.arkansas.gov/NPILookup?Npi=1386152080","1386152080")</f>
        <v>1386152080</v>
      </c>
      <c r="E9797" s="1" t="s">
        <v>19666</v>
      </c>
      <c r="F9797" s="2"/>
      <c r="G9797" s="2"/>
      <c r="H9797" s="2"/>
    </row>
    <row r="9798" spans="1:8" x14ac:dyDescent="0.25">
      <c r="A9798" s="1"/>
      <c r="B9798" s="1" t="s">
        <v>5161</v>
      </c>
      <c r="C9798" s="1" t="s">
        <v>5162</v>
      </c>
      <c r="D9798" s="22" t="str">
        <f>HYPERLINK("https://rhld.insurance.arkansas.gov/NPILookup?Npi=1386189975","1386189975")</f>
        <v>1386189975</v>
      </c>
      <c r="E9798" s="1" t="s">
        <v>5305</v>
      </c>
      <c r="F9798" s="2"/>
      <c r="G9798" s="2"/>
      <c r="H9798" s="2"/>
    </row>
    <row r="9799" spans="1:8" x14ac:dyDescent="0.25">
      <c r="A9799" s="1"/>
      <c r="B9799" s="1" t="s">
        <v>5161</v>
      </c>
      <c r="C9799" s="1" t="s">
        <v>5162</v>
      </c>
      <c r="D9799" s="22" t="str">
        <f>HYPERLINK("https://rhld.insurance.arkansas.gov/NPILookup?Npi=1386193381","1386193381")</f>
        <v>1386193381</v>
      </c>
      <c r="E9799" s="1" t="s">
        <v>5306</v>
      </c>
      <c r="F9799" s="2"/>
      <c r="G9799" s="2"/>
      <c r="H9799" s="2"/>
    </row>
    <row r="9800" spans="1:8" x14ac:dyDescent="0.25">
      <c r="A9800" s="1"/>
      <c r="B9800" s="1" t="s">
        <v>5161</v>
      </c>
      <c r="C9800" s="1" t="s">
        <v>5162</v>
      </c>
      <c r="D9800" s="22" t="str">
        <f>HYPERLINK("https://rhld.insurance.arkansas.gov/NPILookup?Npi=1386235646","1386235646")</f>
        <v>1386235646</v>
      </c>
      <c r="E9800" s="1" t="s">
        <v>19667</v>
      </c>
      <c r="F9800" s="2"/>
      <c r="G9800" s="2"/>
      <c r="H9800" s="2"/>
    </row>
    <row r="9801" spans="1:8" x14ac:dyDescent="0.25">
      <c r="A9801" s="1"/>
      <c r="B9801" s="1" t="s">
        <v>5161</v>
      </c>
      <c r="C9801" s="1" t="s">
        <v>5162</v>
      </c>
      <c r="D9801" s="22" t="str">
        <f>HYPERLINK("https://rhld.insurance.arkansas.gov/NPILookup?Npi=1386432979","1386432979")</f>
        <v>1386432979</v>
      </c>
      <c r="E9801" s="1" t="s">
        <v>31705</v>
      </c>
      <c r="F9801" s="2"/>
      <c r="G9801" s="2"/>
      <c r="H9801" s="2"/>
    </row>
    <row r="9802" spans="1:8" x14ac:dyDescent="0.25">
      <c r="A9802" s="1"/>
      <c r="B9802" s="1" t="s">
        <v>5161</v>
      </c>
      <c r="C9802" s="1" t="s">
        <v>5162</v>
      </c>
      <c r="D9802" s="22" t="str">
        <f>HYPERLINK("https://rhld.insurance.arkansas.gov/NPILookup?Npi=1386834786","1386834786")</f>
        <v>1386834786</v>
      </c>
      <c r="E9802" s="1" t="s">
        <v>19668</v>
      </c>
      <c r="F9802" s="2"/>
      <c r="G9802" s="2"/>
      <c r="H9802" s="2"/>
    </row>
    <row r="9803" spans="1:8" x14ac:dyDescent="0.25">
      <c r="A9803" s="1"/>
      <c r="B9803" s="1" t="s">
        <v>5161</v>
      </c>
      <c r="C9803" s="1" t="s">
        <v>5162</v>
      </c>
      <c r="D9803" s="22" t="str">
        <f>HYPERLINK("https://rhld.insurance.arkansas.gov/NPILookup?Npi=1386880805","1386880805")</f>
        <v>1386880805</v>
      </c>
      <c r="E9803" s="1" t="s">
        <v>19669</v>
      </c>
      <c r="F9803" s="2"/>
      <c r="G9803" s="2"/>
      <c r="H9803" s="2"/>
    </row>
    <row r="9804" spans="1:8" x14ac:dyDescent="0.25">
      <c r="A9804" s="1"/>
      <c r="B9804" s="1" t="s">
        <v>5161</v>
      </c>
      <c r="C9804" s="1" t="s">
        <v>5162</v>
      </c>
      <c r="D9804" s="22" t="str">
        <f>HYPERLINK("https://rhld.insurance.arkansas.gov/NPILookup?Npi=1396005591","1396005591")</f>
        <v>1396005591</v>
      </c>
      <c r="E9804" s="1" t="s">
        <v>19670</v>
      </c>
      <c r="F9804" s="2"/>
      <c r="G9804" s="2"/>
      <c r="H9804" s="2"/>
    </row>
    <row r="9805" spans="1:8" x14ac:dyDescent="0.25">
      <c r="A9805" s="1"/>
      <c r="B9805" s="1" t="s">
        <v>5161</v>
      </c>
      <c r="C9805" s="1" t="s">
        <v>5162</v>
      </c>
      <c r="D9805" s="22" t="str">
        <f>HYPERLINK("https://rhld.insurance.arkansas.gov/NPILookup?Npi=1396218939","1396218939")</f>
        <v>1396218939</v>
      </c>
      <c r="E9805" s="1" t="s">
        <v>11018</v>
      </c>
      <c r="F9805" s="2"/>
      <c r="G9805" s="2"/>
      <c r="H9805" s="2"/>
    </row>
    <row r="9806" spans="1:8" x14ac:dyDescent="0.25">
      <c r="A9806" s="1"/>
      <c r="B9806" s="1" t="s">
        <v>5161</v>
      </c>
      <c r="C9806" s="1" t="s">
        <v>5162</v>
      </c>
      <c r="D9806" s="22" t="str">
        <f>HYPERLINK("https://rhld.insurance.arkansas.gov/NPILookup?Npi=1396342689","1396342689")</f>
        <v>1396342689</v>
      </c>
      <c r="E9806" s="1" t="s">
        <v>5307</v>
      </c>
      <c r="F9806" s="2"/>
      <c r="G9806" s="2"/>
      <c r="H9806" s="2"/>
    </row>
    <row r="9807" spans="1:8" x14ac:dyDescent="0.25">
      <c r="A9807" s="1"/>
      <c r="B9807" s="1" t="s">
        <v>5161</v>
      </c>
      <c r="C9807" s="1" t="s">
        <v>5162</v>
      </c>
      <c r="D9807" s="22" t="str">
        <f>HYPERLINK("https://rhld.insurance.arkansas.gov/NPILookup?Npi=1396442224","1396442224")</f>
        <v>1396442224</v>
      </c>
      <c r="E9807" s="1" t="s">
        <v>5308</v>
      </c>
      <c r="F9807" s="2"/>
      <c r="G9807" s="2"/>
      <c r="H9807" s="2"/>
    </row>
    <row r="9808" spans="1:8" x14ac:dyDescent="0.25">
      <c r="A9808" s="1"/>
      <c r="B9808" s="1" t="s">
        <v>5161</v>
      </c>
      <c r="C9808" s="1" t="s">
        <v>5162</v>
      </c>
      <c r="D9808" s="22" t="str">
        <f>HYPERLINK("https://rhld.insurance.arkansas.gov/NPILookup?Npi=1396444899","1396444899")</f>
        <v>1396444899</v>
      </c>
      <c r="E9808" s="1" t="s">
        <v>5309</v>
      </c>
      <c r="F9808" s="2"/>
      <c r="G9808" s="2"/>
      <c r="H9808" s="2"/>
    </row>
    <row r="9809" spans="1:8" x14ac:dyDescent="0.25">
      <c r="A9809" s="1"/>
      <c r="B9809" s="1" t="s">
        <v>5161</v>
      </c>
      <c r="C9809" s="1" t="s">
        <v>5162</v>
      </c>
      <c r="D9809" s="22" t="str">
        <f>HYPERLINK("https://rhld.insurance.arkansas.gov/NPILookup?Npi=1396491072","1396491072")</f>
        <v>1396491072</v>
      </c>
      <c r="E9809" s="1" t="s">
        <v>5310</v>
      </c>
      <c r="F9809" s="2"/>
      <c r="G9809" s="2"/>
      <c r="H9809" s="2"/>
    </row>
    <row r="9810" spans="1:8" x14ac:dyDescent="0.25">
      <c r="A9810" s="1"/>
      <c r="B9810" s="1" t="s">
        <v>5161</v>
      </c>
      <c r="C9810" s="1" t="s">
        <v>5162</v>
      </c>
      <c r="D9810" s="22" t="str">
        <f>HYPERLINK("https://rhld.insurance.arkansas.gov/NPILookup?Npi=1396529848","1396529848")</f>
        <v>1396529848</v>
      </c>
      <c r="E9810" s="1" t="s">
        <v>19671</v>
      </c>
      <c r="F9810" s="2"/>
      <c r="G9810" s="2"/>
      <c r="H9810" s="2"/>
    </row>
    <row r="9811" spans="1:8" x14ac:dyDescent="0.25">
      <c r="A9811" s="1"/>
      <c r="B9811" s="1" t="s">
        <v>5161</v>
      </c>
      <c r="C9811" s="1" t="s">
        <v>5162</v>
      </c>
      <c r="D9811" s="22" t="str">
        <f>HYPERLINK("https://rhld.insurance.arkansas.gov/NPILookup?Npi=1396545455","1396545455")</f>
        <v>1396545455</v>
      </c>
      <c r="E9811" s="1" t="s">
        <v>31706</v>
      </c>
      <c r="F9811" s="2"/>
      <c r="G9811" s="2"/>
      <c r="H9811" s="2"/>
    </row>
    <row r="9812" spans="1:8" x14ac:dyDescent="0.25">
      <c r="A9812" s="1"/>
      <c r="B9812" s="1" t="s">
        <v>5161</v>
      </c>
      <c r="C9812" s="1" t="s">
        <v>5162</v>
      </c>
      <c r="D9812" s="22" t="str">
        <f>HYPERLINK("https://rhld.insurance.arkansas.gov/NPILookup?Npi=1396704045","1396704045")</f>
        <v>1396704045</v>
      </c>
      <c r="E9812" s="1" t="s">
        <v>19672</v>
      </c>
      <c r="F9812" s="2"/>
      <c r="G9812" s="2"/>
      <c r="H9812" s="2"/>
    </row>
    <row r="9813" spans="1:8" x14ac:dyDescent="0.25">
      <c r="A9813" s="1"/>
      <c r="B9813" s="1" t="s">
        <v>5161</v>
      </c>
      <c r="C9813" s="1" t="s">
        <v>5162</v>
      </c>
      <c r="D9813" s="22" t="str">
        <f>HYPERLINK("https://rhld.insurance.arkansas.gov/NPILookup?Npi=1396755294","1396755294")</f>
        <v>1396755294</v>
      </c>
      <c r="E9813" s="1" t="s">
        <v>5312</v>
      </c>
      <c r="F9813" s="2"/>
      <c r="G9813" s="2"/>
      <c r="H9813" s="2"/>
    </row>
    <row r="9814" spans="1:8" x14ac:dyDescent="0.25">
      <c r="A9814" s="1"/>
      <c r="B9814" s="1" t="s">
        <v>5161</v>
      </c>
      <c r="C9814" s="1" t="s">
        <v>5162</v>
      </c>
      <c r="D9814" s="22" t="str">
        <f>HYPERLINK("https://rhld.insurance.arkansas.gov/NPILookup?Npi=1396826343","1396826343")</f>
        <v>1396826343</v>
      </c>
      <c r="E9814" s="1" t="s">
        <v>19673</v>
      </c>
      <c r="F9814" s="2"/>
      <c r="G9814" s="2"/>
      <c r="H9814" s="2"/>
    </row>
    <row r="9815" spans="1:8" x14ac:dyDescent="0.25">
      <c r="A9815" s="1"/>
      <c r="B9815" s="1" t="s">
        <v>5161</v>
      </c>
      <c r="C9815" s="1" t="s">
        <v>5162</v>
      </c>
      <c r="D9815" s="22" t="str">
        <f>HYPERLINK("https://rhld.insurance.arkansas.gov/NPILookup?Npi=1396871596","1396871596")</f>
        <v>1396871596</v>
      </c>
      <c r="E9815" s="1" t="s">
        <v>19674</v>
      </c>
      <c r="F9815" s="2"/>
      <c r="G9815" s="2"/>
      <c r="H9815" s="2"/>
    </row>
    <row r="9816" spans="1:8" x14ac:dyDescent="0.25">
      <c r="A9816" s="1"/>
      <c r="B9816" s="1" t="s">
        <v>5161</v>
      </c>
      <c r="C9816" s="1" t="s">
        <v>5162</v>
      </c>
      <c r="D9816" s="22" t="str">
        <f>HYPERLINK("https://rhld.insurance.arkansas.gov/NPILookup?Npi=1396893673","1396893673")</f>
        <v>1396893673</v>
      </c>
      <c r="E9816" s="1" t="s">
        <v>19675</v>
      </c>
      <c r="F9816" s="2"/>
      <c r="G9816" s="2"/>
      <c r="H9816" s="2"/>
    </row>
    <row r="9817" spans="1:8" x14ac:dyDescent="0.25">
      <c r="A9817" s="1"/>
      <c r="B9817" s="1" t="s">
        <v>5161</v>
      </c>
      <c r="C9817" s="1" t="s">
        <v>5162</v>
      </c>
      <c r="D9817" s="22" t="str">
        <f>HYPERLINK("https://rhld.insurance.arkansas.gov/NPILookup?Npi=1407038458","1407038458")</f>
        <v>1407038458</v>
      </c>
      <c r="E9817" s="1" t="s">
        <v>19676</v>
      </c>
      <c r="F9817" s="2"/>
      <c r="G9817" s="2"/>
      <c r="H9817" s="2"/>
    </row>
    <row r="9818" spans="1:8" x14ac:dyDescent="0.25">
      <c r="A9818" s="1"/>
      <c r="B9818" s="1" t="s">
        <v>5161</v>
      </c>
      <c r="C9818" s="1" t="s">
        <v>5162</v>
      </c>
      <c r="D9818" s="22" t="str">
        <f>HYPERLINK("https://rhld.insurance.arkansas.gov/NPILookup?Npi=1407107857","1407107857")</f>
        <v>1407107857</v>
      </c>
      <c r="E9818" s="1" t="s">
        <v>11019</v>
      </c>
      <c r="F9818" s="2"/>
      <c r="G9818" s="2"/>
      <c r="H9818" s="2"/>
    </row>
    <row r="9819" spans="1:8" x14ac:dyDescent="0.25">
      <c r="A9819" s="1"/>
      <c r="B9819" s="1" t="s">
        <v>5161</v>
      </c>
      <c r="C9819" s="1" t="s">
        <v>5162</v>
      </c>
      <c r="D9819" s="22" t="str">
        <f>HYPERLINK("https://rhld.insurance.arkansas.gov/NPILookup?Npi=1407135304","1407135304")</f>
        <v>1407135304</v>
      </c>
      <c r="E9819" s="1" t="s">
        <v>19677</v>
      </c>
      <c r="F9819" s="2"/>
      <c r="G9819" s="2"/>
      <c r="H9819" s="2"/>
    </row>
    <row r="9820" spans="1:8" x14ac:dyDescent="0.25">
      <c r="A9820" s="1"/>
      <c r="B9820" s="1" t="s">
        <v>5161</v>
      </c>
      <c r="C9820" s="1" t="s">
        <v>5162</v>
      </c>
      <c r="D9820" s="22" t="str">
        <f>HYPERLINK("https://rhld.insurance.arkansas.gov/NPILookup?Npi=1407165673","1407165673")</f>
        <v>1407165673</v>
      </c>
      <c r="E9820" s="1" t="s">
        <v>19678</v>
      </c>
      <c r="F9820" s="2"/>
      <c r="G9820" s="2"/>
      <c r="H9820" s="2"/>
    </row>
    <row r="9821" spans="1:8" x14ac:dyDescent="0.25">
      <c r="A9821" s="1"/>
      <c r="B9821" s="1" t="s">
        <v>5161</v>
      </c>
      <c r="C9821" s="1" t="s">
        <v>5162</v>
      </c>
      <c r="D9821" s="22" t="str">
        <f>HYPERLINK("https://rhld.insurance.arkansas.gov/NPILookup?Npi=1407226418","1407226418")</f>
        <v>1407226418</v>
      </c>
      <c r="E9821" s="1" t="s">
        <v>5313</v>
      </c>
      <c r="F9821" s="2"/>
      <c r="G9821" s="2"/>
      <c r="H9821" s="2"/>
    </row>
    <row r="9822" spans="1:8" x14ac:dyDescent="0.25">
      <c r="A9822" s="1"/>
      <c r="B9822" s="1" t="s">
        <v>5161</v>
      </c>
      <c r="C9822" s="1" t="s">
        <v>5162</v>
      </c>
      <c r="D9822" s="22" t="str">
        <f>HYPERLINK("https://rhld.insurance.arkansas.gov/NPILookup?Npi=1407285406","1407285406")</f>
        <v>1407285406</v>
      </c>
      <c r="E9822" s="1" t="s">
        <v>19679</v>
      </c>
      <c r="F9822" s="2"/>
      <c r="G9822" s="2"/>
      <c r="H9822" s="2"/>
    </row>
    <row r="9823" spans="1:8" x14ac:dyDescent="0.25">
      <c r="A9823" s="1"/>
      <c r="B9823" s="1" t="s">
        <v>5161</v>
      </c>
      <c r="C9823" s="1" t="s">
        <v>5162</v>
      </c>
      <c r="D9823" s="22" t="str">
        <f>HYPERLINK("https://rhld.insurance.arkansas.gov/NPILookup?Npi=1407324924","1407324924")</f>
        <v>1407324924</v>
      </c>
      <c r="E9823" s="1" t="s">
        <v>5314</v>
      </c>
      <c r="F9823" s="2"/>
      <c r="G9823" s="2"/>
      <c r="H9823" s="2"/>
    </row>
    <row r="9824" spans="1:8" x14ac:dyDescent="0.25">
      <c r="A9824" s="1"/>
      <c r="B9824" s="1" t="s">
        <v>5161</v>
      </c>
      <c r="C9824" s="1" t="s">
        <v>5162</v>
      </c>
      <c r="D9824" s="22" t="str">
        <f>HYPERLINK("https://rhld.insurance.arkansas.gov/NPILookup?Npi=1407355654","1407355654")</f>
        <v>1407355654</v>
      </c>
      <c r="E9824" s="1" t="s">
        <v>5315</v>
      </c>
      <c r="F9824" s="2"/>
      <c r="G9824" s="2"/>
      <c r="H9824" s="2"/>
    </row>
    <row r="9825" spans="1:8" x14ac:dyDescent="0.25">
      <c r="A9825" s="1"/>
      <c r="B9825" s="1" t="s">
        <v>5161</v>
      </c>
      <c r="C9825" s="1" t="s">
        <v>5162</v>
      </c>
      <c r="D9825" s="22" t="str">
        <f>HYPERLINK("https://rhld.insurance.arkansas.gov/NPILookup?Npi=1407359029","1407359029")</f>
        <v>1407359029</v>
      </c>
      <c r="E9825" s="1" t="s">
        <v>5316</v>
      </c>
      <c r="F9825" s="2"/>
      <c r="G9825" s="2"/>
      <c r="H9825" s="2"/>
    </row>
    <row r="9826" spans="1:8" x14ac:dyDescent="0.25">
      <c r="A9826" s="1"/>
      <c r="B9826" s="1" t="s">
        <v>5161</v>
      </c>
      <c r="C9826" s="1" t="s">
        <v>5162</v>
      </c>
      <c r="D9826" s="22" t="str">
        <f>HYPERLINK("https://rhld.insurance.arkansas.gov/NPILookup?Npi=1407438476","1407438476")</f>
        <v>1407438476</v>
      </c>
      <c r="E9826" s="1" t="s">
        <v>19680</v>
      </c>
      <c r="F9826" s="2"/>
      <c r="G9826" s="2"/>
      <c r="H9826" s="2"/>
    </row>
    <row r="9827" spans="1:8" x14ac:dyDescent="0.25">
      <c r="A9827" s="1"/>
      <c r="B9827" s="1" t="s">
        <v>5161</v>
      </c>
      <c r="C9827" s="1" t="s">
        <v>5162</v>
      </c>
      <c r="D9827" s="22" t="str">
        <f>HYPERLINK("https://rhld.insurance.arkansas.gov/NPILookup?Npi=1407453202","1407453202")</f>
        <v>1407453202</v>
      </c>
      <c r="E9827" s="1" t="s">
        <v>5317</v>
      </c>
      <c r="F9827" s="2"/>
      <c r="G9827" s="2"/>
      <c r="H9827" s="2"/>
    </row>
    <row r="9828" spans="1:8" x14ac:dyDescent="0.25">
      <c r="A9828" s="1"/>
      <c r="B9828" s="1" t="s">
        <v>5161</v>
      </c>
      <c r="C9828" s="1" t="s">
        <v>5162</v>
      </c>
      <c r="D9828" s="22" t="str">
        <f>HYPERLINK("https://rhld.insurance.arkansas.gov/NPILookup?Npi=1407511769","1407511769")</f>
        <v>1407511769</v>
      </c>
      <c r="E9828" s="1" t="s">
        <v>11020</v>
      </c>
      <c r="F9828" s="2"/>
      <c r="G9828" s="2"/>
      <c r="H9828" s="2"/>
    </row>
    <row r="9829" spans="1:8" x14ac:dyDescent="0.25">
      <c r="A9829" s="1"/>
      <c r="B9829" s="1" t="s">
        <v>5161</v>
      </c>
      <c r="C9829" s="1" t="s">
        <v>5162</v>
      </c>
      <c r="D9829" s="22" t="str">
        <f>HYPERLINK("https://rhld.insurance.arkansas.gov/NPILookup?Npi=1407526965","1407526965")</f>
        <v>1407526965</v>
      </c>
      <c r="E9829" s="1" t="s">
        <v>19681</v>
      </c>
      <c r="F9829" s="2"/>
      <c r="G9829" s="2"/>
      <c r="H9829" s="2"/>
    </row>
    <row r="9830" spans="1:8" x14ac:dyDescent="0.25">
      <c r="A9830" s="1"/>
      <c r="B9830" s="1" t="s">
        <v>5161</v>
      </c>
      <c r="C9830" s="1" t="s">
        <v>5162</v>
      </c>
      <c r="D9830" s="22" t="str">
        <f>HYPERLINK("https://rhld.insurance.arkansas.gov/NPILookup?Npi=1407555048","1407555048")</f>
        <v>1407555048</v>
      </c>
      <c r="E9830" s="1" t="s">
        <v>19682</v>
      </c>
      <c r="F9830" s="2"/>
      <c r="G9830" s="2"/>
      <c r="H9830" s="2"/>
    </row>
    <row r="9831" spans="1:8" x14ac:dyDescent="0.25">
      <c r="A9831" s="1"/>
      <c r="B9831" s="1" t="s">
        <v>5161</v>
      </c>
      <c r="C9831" s="1" t="s">
        <v>5162</v>
      </c>
      <c r="D9831" s="22" t="str">
        <f>HYPERLINK("https://rhld.insurance.arkansas.gov/NPILookup?Npi=1407674823","1407674823")</f>
        <v>1407674823</v>
      </c>
      <c r="E9831" s="1" t="s">
        <v>19683</v>
      </c>
      <c r="F9831" s="2"/>
      <c r="G9831" s="2"/>
      <c r="H9831" s="2"/>
    </row>
    <row r="9832" spans="1:8" x14ac:dyDescent="0.25">
      <c r="A9832" s="1"/>
      <c r="B9832" s="1" t="s">
        <v>5161</v>
      </c>
      <c r="C9832" s="1" t="s">
        <v>5162</v>
      </c>
      <c r="D9832" s="22" t="str">
        <f>HYPERLINK("https://rhld.insurance.arkansas.gov/NPILookup?Npi=1407676752","1407676752")</f>
        <v>1407676752</v>
      </c>
      <c r="E9832" s="1" t="s">
        <v>19684</v>
      </c>
      <c r="F9832" s="2"/>
      <c r="G9832" s="2"/>
      <c r="H9832" s="2"/>
    </row>
    <row r="9833" spans="1:8" x14ac:dyDescent="0.25">
      <c r="A9833" s="1"/>
      <c r="B9833" s="1" t="s">
        <v>5161</v>
      </c>
      <c r="C9833" s="1" t="s">
        <v>5162</v>
      </c>
      <c r="D9833" s="22" t="str">
        <f>HYPERLINK("https://rhld.insurance.arkansas.gov/NPILookup?Npi=1407897341","1407897341")</f>
        <v>1407897341</v>
      </c>
      <c r="E9833" s="1" t="s">
        <v>19685</v>
      </c>
      <c r="F9833" s="2"/>
      <c r="G9833" s="2"/>
      <c r="H9833" s="2"/>
    </row>
    <row r="9834" spans="1:8" x14ac:dyDescent="0.25">
      <c r="A9834" s="1"/>
      <c r="B9834" s="1" t="s">
        <v>5161</v>
      </c>
      <c r="C9834" s="1" t="s">
        <v>5162</v>
      </c>
      <c r="D9834" s="22" t="str">
        <f>HYPERLINK("https://rhld.insurance.arkansas.gov/NPILookup?Npi=1407963267","1407963267")</f>
        <v>1407963267</v>
      </c>
      <c r="E9834" s="1" t="s">
        <v>19686</v>
      </c>
      <c r="F9834" s="2"/>
      <c r="G9834" s="2"/>
      <c r="H9834" s="2"/>
    </row>
    <row r="9835" spans="1:8" x14ac:dyDescent="0.25">
      <c r="A9835" s="1"/>
      <c r="B9835" s="1" t="s">
        <v>5161</v>
      </c>
      <c r="C9835" s="1" t="s">
        <v>5162</v>
      </c>
      <c r="D9835" s="22" t="str">
        <f>HYPERLINK("https://rhld.insurance.arkansas.gov/NPILookup?Npi=1417005620","1417005620")</f>
        <v>1417005620</v>
      </c>
      <c r="E9835" s="1" t="s">
        <v>19687</v>
      </c>
      <c r="F9835" s="2"/>
      <c r="G9835" s="2"/>
      <c r="H9835" s="2"/>
    </row>
    <row r="9836" spans="1:8" x14ac:dyDescent="0.25">
      <c r="A9836" s="1"/>
      <c r="B9836" s="1" t="s">
        <v>5161</v>
      </c>
      <c r="C9836" s="1" t="s">
        <v>5162</v>
      </c>
      <c r="D9836" s="22" t="str">
        <f>HYPERLINK("https://rhld.insurance.arkansas.gov/NPILookup?Npi=1417005794","1417005794")</f>
        <v>1417005794</v>
      </c>
      <c r="E9836" s="1" t="s">
        <v>19688</v>
      </c>
      <c r="F9836" s="2"/>
      <c r="G9836" s="2"/>
      <c r="H9836" s="2"/>
    </row>
    <row r="9837" spans="1:8" x14ac:dyDescent="0.25">
      <c r="A9837" s="1"/>
      <c r="B9837" s="1" t="s">
        <v>5161</v>
      </c>
      <c r="C9837" s="1" t="s">
        <v>5162</v>
      </c>
      <c r="D9837" s="22" t="str">
        <f>HYPERLINK("https://rhld.insurance.arkansas.gov/NPILookup?Npi=1417008087","1417008087")</f>
        <v>1417008087</v>
      </c>
      <c r="E9837" s="1" t="s">
        <v>19689</v>
      </c>
      <c r="F9837" s="2"/>
      <c r="G9837" s="2"/>
      <c r="H9837" s="2"/>
    </row>
    <row r="9838" spans="1:8" x14ac:dyDescent="0.25">
      <c r="A9838" s="1"/>
      <c r="B9838" s="1" t="s">
        <v>5161</v>
      </c>
      <c r="C9838" s="1" t="s">
        <v>5162</v>
      </c>
      <c r="D9838" s="22" t="str">
        <f>HYPERLINK("https://rhld.insurance.arkansas.gov/NPILookup?Npi=1417034588","1417034588")</f>
        <v>1417034588</v>
      </c>
      <c r="E9838" s="1" t="s">
        <v>19690</v>
      </c>
      <c r="F9838" s="2"/>
      <c r="G9838" s="2"/>
      <c r="H9838" s="2"/>
    </row>
    <row r="9839" spans="1:8" x14ac:dyDescent="0.25">
      <c r="A9839" s="1"/>
      <c r="B9839" s="1" t="s">
        <v>5161</v>
      </c>
      <c r="C9839" s="1" t="s">
        <v>5162</v>
      </c>
      <c r="D9839" s="22" t="str">
        <f>HYPERLINK("https://rhld.insurance.arkansas.gov/NPILookup?Npi=1417111808","1417111808")</f>
        <v>1417111808</v>
      </c>
      <c r="E9839" s="1" t="s">
        <v>5318</v>
      </c>
      <c r="F9839" s="2"/>
      <c r="G9839" s="2"/>
      <c r="H9839" s="2"/>
    </row>
    <row r="9840" spans="1:8" x14ac:dyDescent="0.25">
      <c r="A9840" s="1"/>
      <c r="B9840" s="1" t="s">
        <v>5161</v>
      </c>
      <c r="C9840" s="1" t="s">
        <v>5162</v>
      </c>
      <c r="D9840" s="22" t="str">
        <f>HYPERLINK("https://rhld.insurance.arkansas.gov/NPILookup?Npi=1417176652","1417176652")</f>
        <v>1417176652</v>
      </c>
      <c r="E9840" s="1" t="s">
        <v>19692</v>
      </c>
      <c r="F9840" s="2"/>
      <c r="G9840" s="2"/>
      <c r="H9840" s="2"/>
    </row>
    <row r="9841" spans="1:8" x14ac:dyDescent="0.25">
      <c r="A9841" s="1"/>
      <c r="B9841" s="1" t="s">
        <v>5161</v>
      </c>
      <c r="C9841" s="1" t="s">
        <v>5162</v>
      </c>
      <c r="D9841" s="22" t="str">
        <f>HYPERLINK("https://rhld.insurance.arkansas.gov/NPILookup?Npi=1417207804","1417207804")</f>
        <v>1417207804</v>
      </c>
      <c r="E9841" s="1" t="s">
        <v>19693</v>
      </c>
      <c r="F9841" s="2"/>
      <c r="G9841" s="2"/>
      <c r="H9841" s="2"/>
    </row>
    <row r="9842" spans="1:8" x14ac:dyDescent="0.25">
      <c r="A9842" s="1"/>
      <c r="B9842" s="1" t="s">
        <v>5161</v>
      </c>
      <c r="C9842" s="1" t="s">
        <v>5162</v>
      </c>
      <c r="D9842" s="22" t="str">
        <f>HYPERLINK("https://rhld.insurance.arkansas.gov/NPILookup?Npi=1417252560","1417252560")</f>
        <v>1417252560</v>
      </c>
      <c r="E9842" s="1" t="s">
        <v>121</v>
      </c>
      <c r="F9842" s="2"/>
      <c r="G9842" s="2"/>
      <c r="H9842" s="2"/>
    </row>
    <row r="9843" spans="1:8" x14ac:dyDescent="0.25">
      <c r="A9843" s="1"/>
      <c r="B9843" s="1" t="s">
        <v>5161</v>
      </c>
      <c r="C9843" s="1" t="s">
        <v>5162</v>
      </c>
      <c r="D9843" s="22" t="str">
        <f>HYPERLINK("https://rhld.insurance.arkansas.gov/NPILookup?Npi=1417358987","1417358987")</f>
        <v>1417358987</v>
      </c>
      <c r="E9843" s="1" t="s">
        <v>5319</v>
      </c>
      <c r="F9843" s="2"/>
      <c r="G9843" s="2"/>
      <c r="H9843" s="2"/>
    </row>
    <row r="9844" spans="1:8" x14ac:dyDescent="0.25">
      <c r="A9844" s="1"/>
      <c r="B9844" s="1" t="s">
        <v>5161</v>
      </c>
      <c r="C9844" s="1" t="s">
        <v>5162</v>
      </c>
      <c r="D9844" s="22" t="str">
        <f>HYPERLINK("https://rhld.insurance.arkansas.gov/NPILookup?Npi=1417457375","1417457375")</f>
        <v>1417457375</v>
      </c>
      <c r="E9844" s="1" t="s">
        <v>11021</v>
      </c>
      <c r="F9844" s="2"/>
      <c r="G9844" s="2"/>
      <c r="H9844" s="2"/>
    </row>
    <row r="9845" spans="1:8" x14ac:dyDescent="0.25">
      <c r="A9845" s="1"/>
      <c r="B9845" s="1" t="s">
        <v>5161</v>
      </c>
      <c r="C9845" s="1" t="s">
        <v>5162</v>
      </c>
      <c r="D9845" s="22" t="str">
        <f>HYPERLINK("https://rhld.insurance.arkansas.gov/NPILookup?Npi=1417461617","1417461617")</f>
        <v>1417461617</v>
      </c>
      <c r="E9845" s="1" t="s">
        <v>19694</v>
      </c>
      <c r="F9845" s="2"/>
      <c r="G9845" s="2"/>
      <c r="H9845" s="2"/>
    </row>
    <row r="9846" spans="1:8" x14ac:dyDescent="0.25">
      <c r="A9846" s="1"/>
      <c r="B9846" s="1" t="s">
        <v>5161</v>
      </c>
      <c r="C9846" s="1" t="s">
        <v>5162</v>
      </c>
      <c r="D9846" s="22" t="str">
        <f>HYPERLINK("https://rhld.insurance.arkansas.gov/NPILookup?Npi=1417468810","1417468810")</f>
        <v>1417468810</v>
      </c>
      <c r="E9846" s="1" t="s">
        <v>19695</v>
      </c>
      <c r="F9846" s="2"/>
      <c r="G9846" s="2"/>
      <c r="H9846" s="2"/>
    </row>
    <row r="9847" spans="1:8" x14ac:dyDescent="0.25">
      <c r="A9847" s="1"/>
      <c r="B9847" s="1" t="s">
        <v>5161</v>
      </c>
      <c r="C9847" s="1" t="s">
        <v>5162</v>
      </c>
      <c r="D9847" s="22" t="str">
        <f>HYPERLINK("https://rhld.insurance.arkansas.gov/NPILookup?Npi=1417509340","1417509340")</f>
        <v>1417509340</v>
      </c>
      <c r="E9847" s="1" t="s">
        <v>5320</v>
      </c>
      <c r="F9847" s="2"/>
      <c r="G9847" s="2"/>
      <c r="H9847" s="2"/>
    </row>
    <row r="9848" spans="1:8" x14ac:dyDescent="0.25">
      <c r="A9848" s="1"/>
      <c r="B9848" s="1" t="s">
        <v>5161</v>
      </c>
      <c r="C9848" s="1" t="s">
        <v>5162</v>
      </c>
      <c r="D9848" s="22" t="str">
        <f>HYPERLINK("https://rhld.insurance.arkansas.gov/NPILookup?Npi=1417611831","1417611831")</f>
        <v>1417611831</v>
      </c>
      <c r="E9848" s="1" t="s">
        <v>19696</v>
      </c>
      <c r="F9848" s="2"/>
      <c r="G9848" s="2"/>
      <c r="H9848" s="2"/>
    </row>
    <row r="9849" spans="1:8" x14ac:dyDescent="0.25">
      <c r="A9849" s="1"/>
      <c r="B9849" s="1" t="s">
        <v>5161</v>
      </c>
      <c r="C9849" s="1" t="s">
        <v>5162</v>
      </c>
      <c r="D9849" s="22" t="str">
        <f>HYPERLINK("https://rhld.insurance.arkansas.gov/NPILookup?Npi=1417739368","1417739368")</f>
        <v>1417739368</v>
      </c>
      <c r="E9849" s="1" t="s">
        <v>5321</v>
      </c>
      <c r="F9849" s="2"/>
      <c r="G9849" s="2"/>
      <c r="H9849" s="2"/>
    </row>
    <row r="9850" spans="1:8" x14ac:dyDescent="0.25">
      <c r="A9850" s="1"/>
      <c r="B9850" s="1" t="s">
        <v>5161</v>
      </c>
      <c r="C9850" s="1" t="s">
        <v>5162</v>
      </c>
      <c r="D9850" s="22" t="str">
        <f>HYPERLINK("https://rhld.insurance.arkansas.gov/NPILookup?Npi=1417989047","1417989047")</f>
        <v>1417989047</v>
      </c>
      <c r="E9850" s="1" t="s">
        <v>3628</v>
      </c>
      <c r="F9850" s="2"/>
      <c r="G9850" s="2"/>
      <c r="H9850" s="2"/>
    </row>
    <row r="9851" spans="1:8" x14ac:dyDescent="0.25">
      <c r="A9851" s="1"/>
      <c r="B9851" s="1" t="s">
        <v>5161</v>
      </c>
      <c r="C9851" s="1" t="s">
        <v>5162</v>
      </c>
      <c r="D9851" s="22" t="str">
        <f>HYPERLINK("https://rhld.insurance.arkansas.gov/NPILookup?Npi=1427261403","1427261403")</f>
        <v>1427261403</v>
      </c>
      <c r="E9851" s="1" t="s">
        <v>5322</v>
      </c>
      <c r="F9851" s="2"/>
      <c r="G9851" s="2"/>
      <c r="H9851" s="2"/>
    </row>
    <row r="9852" spans="1:8" x14ac:dyDescent="0.25">
      <c r="A9852" s="1"/>
      <c r="B9852" s="1" t="s">
        <v>5161</v>
      </c>
      <c r="C9852" s="1" t="s">
        <v>5162</v>
      </c>
      <c r="D9852" s="22" t="str">
        <f>HYPERLINK("https://rhld.insurance.arkansas.gov/NPILookup?Npi=1427300953","1427300953")</f>
        <v>1427300953</v>
      </c>
      <c r="E9852" s="1" t="s">
        <v>5323</v>
      </c>
      <c r="F9852" s="2"/>
      <c r="G9852" s="2"/>
      <c r="H9852" s="2"/>
    </row>
    <row r="9853" spans="1:8" x14ac:dyDescent="0.25">
      <c r="A9853" s="1"/>
      <c r="B9853" s="1" t="s">
        <v>5161</v>
      </c>
      <c r="C9853" s="1" t="s">
        <v>5162</v>
      </c>
      <c r="D9853" s="22" t="str">
        <f>HYPERLINK("https://rhld.insurance.arkansas.gov/NPILookup?Npi=1427459056","1427459056")</f>
        <v>1427459056</v>
      </c>
      <c r="E9853" s="1" t="s">
        <v>19697</v>
      </c>
      <c r="F9853" s="2"/>
      <c r="G9853" s="2"/>
      <c r="H9853" s="2"/>
    </row>
    <row r="9854" spans="1:8" x14ac:dyDescent="0.25">
      <c r="A9854" s="1"/>
      <c r="B9854" s="1" t="s">
        <v>5161</v>
      </c>
      <c r="C9854" s="1" t="s">
        <v>5162</v>
      </c>
      <c r="D9854" s="22" t="str">
        <f>HYPERLINK("https://rhld.insurance.arkansas.gov/NPILookup?Npi=1427540608","1427540608")</f>
        <v>1427540608</v>
      </c>
      <c r="E9854" s="1" t="s">
        <v>19698</v>
      </c>
      <c r="F9854" s="2"/>
      <c r="G9854" s="2"/>
      <c r="H9854" s="2"/>
    </row>
    <row r="9855" spans="1:8" x14ac:dyDescent="0.25">
      <c r="A9855" s="1"/>
      <c r="B9855" s="1" t="s">
        <v>5161</v>
      </c>
      <c r="C9855" s="1" t="s">
        <v>5162</v>
      </c>
      <c r="D9855" s="22" t="str">
        <f>HYPERLINK("https://rhld.insurance.arkansas.gov/NPILookup?Npi=1427632439","1427632439")</f>
        <v>1427632439</v>
      </c>
      <c r="E9855" s="1" t="s">
        <v>19699</v>
      </c>
      <c r="F9855" s="2"/>
      <c r="G9855" s="2"/>
      <c r="H9855" s="2"/>
    </row>
    <row r="9856" spans="1:8" x14ac:dyDescent="0.25">
      <c r="A9856" s="1"/>
      <c r="B9856" s="1" t="s">
        <v>5161</v>
      </c>
      <c r="C9856" s="1" t="s">
        <v>5162</v>
      </c>
      <c r="D9856" s="22" t="str">
        <f>HYPERLINK("https://rhld.insurance.arkansas.gov/NPILookup?Npi=1427774454","1427774454")</f>
        <v>1427774454</v>
      </c>
      <c r="E9856" s="1" t="s">
        <v>19700</v>
      </c>
      <c r="F9856" s="2"/>
      <c r="G9856" s="2"/>
      <c r="H9856" s="2"/>
    </row>
    <row r="9857" spans="1:8" x14ac:dyDescent="0.25">
      <c r="A9857" s="1"/>
      <c r="B9857" s="1" t="s">
        <v>5161</v>
      </c>
      <c r="C9857" s="1" t="s">
        <v>5162</v>
      </c>
      <c r="D9857" s="22" t="str">
        <f>HYPERLINK("https://rhld.insurance.arkansas.gov/NPILookup?Npi=1427789726","1427789726")</f>
        <v>1427789726</v>
      </c>
      <c r="E9857" s="1" t="s">
        <v>5324</v>
      </c>
      <c r="F9857" s="2"/>
      <c r="G9857" s="2"/>
      <c r="H9857" s="2"/>
    </row>
    <row r="9858" spans="1:8" x14ac:dyDescent="0.25">
      <c r="A9858" s="1"/>
      <c r="B9858" s="1" t="s">
        <v>5161</v>
      </c>
      <c r="C9858" s="1" t="s">
        <v>5162</v>
      </c>
      <c r="D9858" s="22" t="str">
        <f>HYPERLINK("https://rhld.insurance.arkansas.gov/NPILookup?Npi=1427876614","1427876614")</f>
        <v>1427876614</v>
      </c>
      <c r="E9858" s="1" t="s">
        <v>19701</v>
      </c>
      <c r="F9858" s="2"/>
      <c r="G9858" s="2"/>
      <c r="H9858" s="2"/>
    </row>
    <row r="9859" spans="1:8" x14ac:dyDescent="0.25">
      <c r="A9859" s="1"/>
      <c r="B9859" s="1" t="s">
        <v>5161</v>
      </c>
      <c r="C9859" s="1" t="s">
        <v>5162</v>
      </c>
      <c r="D9859" s="22" t="str">
        <f>HYPERLINK("https://rhld.insurance.arkansas.gov/NPILookup?Npi=1427889484","1427889484")</f>
        <v>1427889484</v>
      </c>
      <c r="E9859" s="1" t="s">
        <v>31707</v>
      </c>
      <c r="F9859" s="2"/>
      <c r="G9859" s="2"/>
      <c r="H9859" s="2"/>
    </row>
    <row r="9860" spans="1:8" x14ac:dyDescent="0.25">
      <c r="A9860" s="1"/>
      <c r="B9860" s="1" t="s">
        <v>5161</v>
      </c>
      <c r="C9860" s="1" t="s">
        <v>5162</v>
      </c>
      <c r="D9860" s="22" t="str">
        <f>HYPERLINK("https://rhld.insurance.arkansas.gov/NPILookup?Npi=1437116027","1437116027")</f>
        <v>1437116027</v>
      </c>
      <c r="E9860" s="1" t="s">
        <v>11022</v>
      </c>
      <c r="F9860" s="2"/>
      <c r="G9860" s="2"/>
      <c r="H9860" s="2"/>
    </row>
    <row r="9861" spans="1:8" x14ac:dyDescent="0.25">
      <c r="A9861" s="1"/>
      <c r="B9861" s="1" t="s">
        <v>5161</v>
      </c>
      <c r="C9861" s="1" t="s">
        <v>5162</v>
      </c>
      <c r="D9861" s="22" t="str">
        <f>HYPERLINK("https://rhld.insurance.arkansas.gov/NPILookup?Npi=1437174646","1437174646")</f>
        <v>1437174646</v>
      </c>
      <c r="E9861" s="1" t="s">
        <v>19702</v>
      </c>
      <c r="F9861" s="2"/>
      <c r="G9861" s="2"/>
      <c r="H9861" s="2"/>
    </row>
    <row r="9862" spans="1:8" x14ac:dyDescent="0.25">
      <c r="A9862" s="1"/>
      <c r="B9862" s="1" t="s">
        <v>5161</v>
      </c>
      <c r="C9862" s="1" t="s">
        <v>5162</v>
      </c>
      <c r="D9862" s="22" t="str">
        <f>HYPERLINK("https://rhld.insurance.arkansas.gov/NPILookup?Npi=1437264397","1437264397")</f>
        <v>1437264397</v>
      </c>
      <c r="E9862" s="1" t="s">
        <v>19703</v>
      </c>
      <c r="F9862" s="2"/>
      <c r="G9862" s="2"/>
      <c r="H9862" s="2"/>
    </row>
    <row r="9863" spans="1:8" x14ac:dyDescent="0.25">
      <c r="A9863" s="1"/>
      <c r="B9863" s="1" t="s">
        <v>5161</v>
      </c>
      <c r="C9863" s="1" t="s">
        <v>5162</v>
      </c>
      <c r="D9863" s="22" t="str">
        <f>HYPERLINK("https://rhld.insurance.arkansas.gov/NPILookup?Npi=1437381431","1437381431")</f>
        <v>1437381431</v>
      </c>
      <c r="E9863" s="1" t="s">
        <v>19704</v>
      </c>
      <c r="F9863" s="2"/>
      <c r="G9863" s="2"/>
      <c r="H9863" s="2"/>
    </row>
    <row r="9864" spans="1:8" x14ac:dyDescent="0.25">
      <c r="A9864" s="1"/>
      <c r="B9864" s="1" t="s">
        <v>5161</v>
      </c>
      <c r="C9864" s="1" t="s">
        <v>5162</v>
      </c>
      <c r="D9864" s="22" t="str">
        <f>HYPERLINK("https://rhld.insurance.arkansas.gov/NPILookup?Npi=1437399862","1437399862")</f>
        <v>1437399862</v>
      </c>
      <c r="E9864" s="1" t="s">
        <v>5325</v>
      </c>
      <c r="F9864" s="2"/>
      <c r="G9864" s="2"/>
      <c r="H9864" s="2"/>
    </row>
    <row r="9865" spans="1:8" x14ac:dyDescent="0.25">
      <c r="A9865" s="1"/>
      <c r="B9865" s="1" t="s">
        <v>5161</v>
      </c>
      <c r="C9865" s="1" t="s">
        <v>5162</v>
      </c>
      <c r="D9865" s="22" t="str">
        <f>HYPERLINK("https://rhld.insurance.arkansas.gov/NPILookup?Npi=1437405073","1437405073")</f>
        <v>1437405073</v>
      </c>
      <c r="E9865" s="1" t="s">
        <v>11023</v>
      </c>
      <c r="F9865" s="2"/>
      <c r="G9865" s="2"/>
      <c r="H9865" s="2"/>
    </row>
    <row r="9866" spans="1:8" x14ac:dyDescent="0.25">
      <c r="A9866" s="1"/>
      <c r="B9866" s="1" t="s">
        <v>5161</v>
      </c>
      <c r="C9866" s="1" t="s">
        <v>5162</v>
      </c>
      <c r="D9866" s="22" t="str">
        <f>HYPERLINK("https://rhld.insurance.arkansas.gov/NPILookup?Npi=1437423779","1437423779")</f>
        <v>1437423779</v>
      </c>
      <c r="E9866" s="1" t="s">
        <v>19705</v>
      </c>
      <c r="F9866" s="2"/>
      <c r="G9866" s="2"/>
      <c r="H9866" s="2"/>
    </row>
    <row r="9867" spans="1:8" x14ac:dyDescent="0.25">
      <c r="A9867" s="1"/>
      <c r="B9867" s="1" t="s">
        <v>5161</v>
      </c>
      <c r="C9867" s="1" t="s">
        <v>5162</v>
      </c>
      <c r="D9867" s="22" t="str">
        <f>HYPERLINK("https://rhld.insurance.arkansas.gov/NPILookup?Npi=1437464724","1437464724")</f>
        <v>1437464724</v>
      </c>
      <c r="E9867" s="1" t="s">
        <v>5326</v>
      </c>
      <c r="F9867" s="2"/>
      <c r="G9867" s="2"/>
      <c r="H9867" s="2"/>
    </row>
    <row r="9868" spans="1:8" x14ac:dyDescent="0.25">
      <c r="A9868" s="1"/>
      <c r="B9868" s="1" t="s">
        <v>5161</v>
      </c>
      <c r="C9868" s="1" t="s">
        <v>5162</v>
      </c>
      <c r="D9868" s="22" t="str">
        <f>HYPERLINK("https://rhld.insurance.arkansas.gov/NPILookup?Npi=1437552932","1437552932")</f>
        <v>1437552932</v>
      </c>
      <c r="E9868" s="1" t="s">
        <v>5327</v>
      </c>
      <c r="F9868" s="2"/>
      <c r="G9868" s="2"/>
      <c r="H9868" s="2"/>
    </row>
    <row r="9869" spans="1:8" x14ac:dyDescent="0.25">
      <c r="A9869" s="1"/>
      <c r="B9869" s="1" t="s">
        <v>5161</v>
      </c>
      <c r="C9869" s="1" t="s">
        <v>5162</v>
      </c>
      <c r="D9869" s="22" t="str">
        <f>HYPERLINK("https://rhld.insurance.arkansas.gov/NPILookup?Npi=1437588407","1437588407")</f>
        <v>1437588407</v>
      </c>
      <c r="E9869" s="1" t="s">
        <v>11024</v>
      </c>
      <c r="F9869" s="2"/>
      <c r="G9869" s="2"/>
      <c r="H9869" s="2"/>
    </row>
    <row r="9870" spans="1:8" x14ac:dyDescent="0.25">
      <c r="A9870" s="1"/>
      <c r="B9870" s="1" t="s">
        <v>5161</v>
      </c>
      <c r="C9870" s="1" t="s">
        <v>5162</v>
      </c>
      <c r="D9870" s="22" t="str">
        <f>HYPERLINK("https://rhld.insurance.arkansas.gov/NPILookup?Npi=1437624129","1437624129")</f>
        <v>1437624129</v>
      </c>
      <c r="E9870" s="1" t="s">
        <v>5328</v>
      </c>
      <c r="F9870" s="2"/>
      <c r="G9870" s="2"/>
      <c r="H9870" s="2"/>
    </row>
    <row r="9871" spans="1:8" x14ac:dyDescent="0.25">
      <c r="A9871" s="1"/>
      <c r="B9871" s="1" t="s">
        <v>5161</v>
      </c>
      <c r="C9871" s="1" t="s">
        <v>5162</v>
      </c>
      <c r="D9871" s="22" t="str">
        <f>HYPERLINK("https://rhld.insurance.arkansas.gov/NPILookup?Npi=1437760634","1437760634")</f>
        <v>1437760634</v>
      </c>
      <c r="E9871" s="1" t="s">
        <v>11025</v>
      </c>
      <c r="F9871" s="2"/>
      <c r="G9871" s="2"/>
      <c r="H9871" s="2"/>
    </row>
    <row r="9872" spans="1:8" x14ac:dyDescent="0.25">
      <c r="A9872" s="1"/>
      <c r="B9872" s="1" t="s">
        <v>5161</v>
      </c>
      <c r="C9872" s="1" t="s">
        <v>5162</v>
      </c>
      <c r="D9872" s="22" t="str">
        <f>HYPERLINK("https://rhld.insurance.arkansas.gov/NPILookup?Npi=1437765930","1437765930")</f>
        <v>1437765930</v>
      </c>
      <c r="E9872" s="1" t="s">
        <v>19706</v>
      </c>
      <c r="F9872" s="2"/>
      <c r="G9872" s="2"/>
      <c r="H9872" s="2"/>
    </row>
    <row r="9873" spans="1:8" x14ac:dyDescent="0.25">
      <c r="A9873" s="1"/>
      <c r="B9873" s="1" t="s">
        <v>5161</v>
      </c>
      <c r="C9873" s="1" t="s">
        <v>5162</v>
      </c>
      <c r="D9873" s="22" t="str">
        <f>HYPERLINK("https://rhld.insurance.arkansas.gov/NPILookup?Npi=1437776234","1437776234")</f>
        <v>1437776234</v>
      </c>
      <c r="E9873" s="1" t="s">
        <v>11026</v>
      </c>
      <c r="F9873" s="2"/>
      <c r="G9873" s="2"/>
      <c r="H9873" s="2"/>
    </row>
    <row r="9874" spans="1:8" x14ac:dyDescent="0.25">
      <c r="A9874" s="1"/>
      <c r="B9874" s="1" t="s">
        <v>5161</v>
      </c>
      <c r="C9874" s="1" t="s">
        <v>5162</v>
      </c>
      <c r="D9874" s="22" t="str">
        <f>HYPERLINK("https://rhld.insurance.arkansas.gov/NPILookup?Npi=1437783958","1437783958")</f>
        <v>1437783958</v>
      </c>
      <c r="E9874" s="1" t="s">
        <v>5329</v>
      </c>
      <c r="F9874" s="2"/>
      <c r="G9874" s="2"/>
      <c r="H9874" s="2"/>
    </row>
    <row r="9875" spans="1:8" x14ac:dyDescent="0.25">
      <c r="A9875" s="1"/>
      <c r="B9875" s="1" t="s">
        <v>5161</v>
      </c>
      <c r="C9875" s="1" t="s">
        <v>5162</v>
      </c>
      <c r="D9875" s="22" t="str">
        <f>HYPERLINK("https://rhld.insurance.arkansas.gov/NPILookup?Npi=1437794864","1437794864")</f>
        <v>1437794864</v>
      </c>
      <c r="E9875" s="1" t="s">
        <v>11027</v>
      </c>
      <c r="F9875" s="2"/>
      <c r="G9875" s="2"/>
      <c r="H9875" s="2"/>
    </row>
    <row r="9876" spans="1:8" x14ac:dyDescent="0.25">
      <c r="A9876" s="1"/>
      <c r="B9876" s="1" t="s">
        <v>5161</v>
      </c>
      <c r="C9876" s="1" t="s">
        <v>5162</v>
      </c>
      <c r="D9876" s="22" t="str">
        <f>HYPERLINK("https://rhld.insurance.arkansas.gov/NPILookup?Npi=1437803103","1437803103")</f>
        <v>1437803103</v>
      </c>
      <c r="E9876" s="1" t="s">
        <v>19707</v>
      </c>
      <c r="F9876" s="2"/>
      <c r="G9876" s="2"/>
      <c r="H9876" s="2"/>
    </row>
    <row r="9877" spans="1:8" x14ac:dyDescent="0.25">
      <c r="A9877" s="1"/>
      <c r="B9877" s="1" t="s">
        <v>5161</v>
      </c>
      <c r="C9877" s="1" t="s">
        <v>5162</v>
      </c>
      <c r="D9877" s="22" t="str">
        <f>HYPERLINK("https://rhld.insurance.arkansas.gov/NPILookup?Npi=1437873056","1437873056")</f>
        <v>1437873056</v>
      </c>
      <c r="E9877" s="1" t="s">
        <v>5330</v>
      </c>
      <c r="F9877" s="2"/>
      <c r="G9877" s="2"/>
      <c r="H9877" s="2"/>
    </row>
    <row r="9878" spans="1:8" x14ac:dyDescent="0.25">
      <c r="A9878" s="1"/>
      <c r="B9878" s="1" t="s">
        <v>5161</v>
      </c>
      <c r="C9878" s="1" t="s">
        <v>5162</v>
      </c>
      <c r="D9878" s="22" t="str">
        <f>HYPERLINK("https://rhld.insurance.arkansas.gov/NPILookup?Npi=1437896354","1437896354")</f>
        <v>1437896354</v>
      </c>
      <c r="E9878" s="1" t="s">
        <v>19708</v>
      </c>
      <c r="F9878" s="2"/>
      <c r="G9878" s="2"/>
      <c r="H9878" s="2"/>
    </row>
    <row r="9879" spans="1:8" x14ac:dyDescent="0.25">
      <c r="A9879" s="1"/>
      <c r="B9879" s="1" t="s">
        <v>5161</v>
      </c>
      <c r="C9879" s="1" t="s">
        <v>5162</v>
      </c>
      <c r="D9879" s="22" t="str">
        <f>HYPERLINK("https://rhld.insurance.arkansas.gov/NPILookup?Npi=1447072053","1447072053")</f>
        <v>1447072053</v>
      </c>
      <c r="E9879" s="1" t="s">
        <v>31708</v>
      </c>
      <c r="F9879" s="2"/>
      <c r="G9879" s="2"/>
      <c r="H9879" s="2"/>
    </row>
    <row r="9880" spans="1:8" x14ac:dyDescent="0.25">
      <c r="A9880" s="1"/>
      <c r="B9880" s="1" t="s">
        <v>5161</v>
      </c>
      <c r="C9880" s="1" t="s">
        <v>5162</v>
      </c>
      <c r="D9880" s="22" t="str">
        <f>HYPERLINK("https://rhld.insurance.arkansas.gov/NPILookup?Npi=1447556329","1447556329")</f>
        <v>1447556329</v>
      </c>
      <c r="E9880" s="1" t="s">
        <v>11028</v>
      </c>
      <c r="F9880" s="2"/>
      <c r="G9880" s="2"/>
      <c r="H9880" s="2"/>
    </row>
    <row r="9881" spans="1:8" x14ac:dyDescent="0.25">
      <c r="A9881" s="1"/>
      <c r="B9881" s="1" t="s">
        <v>5161</v>
      </c>
      <c r="C9881" s="1" t="s">
        <v>5162</v>
      </c>
      <c r="D9881" s="22" t="str">
        <f>HYPERLINK("https://rhld.insurance.arkansas.gov/NPILookup?Npi=1447726609","1447726609")</f>
        <v>1447726609</v>
      </c>
      <c r="E9881" s="1" t="s">
        <v>19709</v>
      </c>
      <c r="F9881" s="2"/>
      <c r="G9881" s="2"/>
      <c r="H9881" s="2"/>
    </row>
    <row r="9882" spans="1:8" x14ac:dyDescent="0.25">
      <c r="A9882" s="1"/>
      <c r="B9882" s="1" t="s">
        <v>5161</v>
      </c>
      <c r="C9882" s="1" t="s">
        <v>5162</v>
      </c>
      <c r="D9882" s="22" t="str">
        <f>HYPERLINK("https://rhld.insurance.arkansas.gov/NPILookup?Npi=1447822937","1447822937")</f>
        <v>1447822937</v>
      </c>
      <c r="E9882" s="1" t="s">
        <v>5331</v>
      </c>
      <c r="F9882" s="2"/>
      <c r="G9882" s="2"/>
      <c r="H9882" s="2"/>
    </row>
    <row r="9883" spans="1:8" x14ac:dyDescent="0.25">
      <c r="A9883" s="1"/>
      <c r="B9883" s="1" t="s">
        <v>5161</v>
      </c>
      <c r="C9883" s="1" t="s">
        <v>5162</v>
      </c>
      <c r="D9883" s="22" t="str">
        <f>HYPERLINK("https://rhld.insurance.arkansas.gov/NPILookup?Npi=1447826169","1447826169")</f>
        <v>1447826169</v>
      </c>
      <c r="E9883" s="1" t="s">
        <v>19710</v>
      </c>
      <c r="F9883" s="2"/>
      <c r="G9883" s="2"/>
      <c r="H9883" s="2"/>
    </row>
    <row r="9884" spans="1:8" x14ac:dyDescent="0.25">
      <c r="A9884" s="1"/>
      <c r="B9884" s="1" t="s">
        <v>5161</v>
      </c>
      <c r="C9884" s="1" t="s">
        <v>5162</v>
      </c>
      <c r="D9884" s="22" t="str">
        <f>HYPERLINK("https://rhld.insurance.arkansas.gov/NPILookup?Npi=1447935564","1447935564")</f>
        <v>1447935564</v>
      </c>
      <c r="E9884" s="1" t="s">
        <v>5332</v>
      </c>
      <c r="F9884" s="2"/>
      <c r="G9884" s="2"/>
      <c r="H9884" s="2"/>
    </row>
    <row r="9885" spans="1:8" x14ac:dyDescent="0.25">
      <c r="A9885" s="1"/>
      <c r="B9885" s="1" t="s">
        <v>5161</v>
      </c>
      <c r="C9885" s="1" t="s">
        <v>5162</v>
      </c>
      <c r="D9885" s="22" t="str">
        <f>HYPERLINK("https://rhld.insurance.arkansas.gov/NPILookup?Npi=1457013948","1457013948")</f>
        <v>1457013948</v>
      </c>
      <c r="E9885" s="1" t="s">
        <v>19711</v>
      </c>
      <c r="F9885" s="2"/>
      <c r="G9885" s="2"/>
      <c r="H9885" s="2"/>
    </row>
    <row r="9886" spans="1:8" x14ac:dyDescent="0.25">
      <c r="A9886" s="1"/>
      <c r="B9886" s="1" t="s">
        <v>5161</v>
      </c>
      <c r="C9886" s="1" t="s">
        <v>5162</v>
      </c>
      <c r="D9886" s="22" t="str">
        <f>HYPERLINK("https://rhld.insurance.arkansas.gov/NPILookup?Npi=1457043150","1457043150")</f>
        <v>1457043150</v>
      </c>
      <c r="E9886" s="1" t="s">
        <v>11029</v>
      </c>
      <c r="F9886" s="2"/>
      <c r="G9886" s="2"/>
      <c r="H9886" s="2"/>
    </row>
    <row r="9887" spans="1:8" x14ac:dyDescent="0.25">
      <c r="A9887" s="1"/>
      <c r="B9887" s="1" t="s">
        <v>5161</v>
      </c>
      <c r="C9887" s="1" t="s">
        <v>5162</v>
      </c>
      <c r="D9887" s="22" t="str">
        <f>HYPERLINK("https://rhld.insurance.arkansas.gov/NPILookup?Npi=1457058703","1457058703")</f>
        <v>1457058703</v>
      </c>
      <c r="E9887" s="1" t="s">
        <v>19712</v>
      </c>
      <c r="F9887" s="2"/>
      <c r="G9887" s="2"/>
      <c r="H9887" s="2"/>
    </row>
    <row r="9888" spans="1:8" x14ac:dyDescent="0.25">
      <c r="A9888" s="1"/>
      <c r="B9888" s="1" t="s">
        <v>5161</v>
      </c>
      <c r="C9888" s="1" t="s">
        <v>5162</v>
      </c>
      <c r="D9888" s="22" t="str">
        <f>HYPERLINK("https://rhld.insurance.arkansas.gov/NPILookup?Npi=1457198343","1457198343")</f>
        <v>1457198343</v>
      </c>
      <c r="E9888" s="1" t="s">
        <v>19713</v>
      </c>
      <c r="F9888" s="2"/>
      <c r="G9888" s="2"/>
      <c r="H9888" s="2"/>
    </row>
    <row r="9889" spans="1:8" x14ac:dyDescent="0.25">
      <c r="A9889" s="1"/>
      <c r="B9889" s="1" t="s">
        <v>5161</v>
      </c>
      <c r="C9889" s="1" t="s">
        <v>5162</v>
      </c>
      <c r="D9889" s="22" t="str">
        <f>HYPERLINK("https://rhld.insurance.arkansas.gov/NPILookup?Npi=1457401663","1457401663")</f>
        <v>1457401663</v>
      </c>
      <c r="E9889" s="1" t="s">
        <v>19714</v>
      </c>
      <c r="F9889" s="2"/>
      <c r="G9889" s="2"/>
      <c r="H9889" s="2"/>
    </row>
    <row r="9890" spans="1:8" x14ac:dyDescent="0.25">
      <c r="A9890" s="1"/>
      <c r="B9890" s="1" t="s">
        <v>5161</v>
      </c>
      <c r="C9890" s="1" t="s">
        <v>5162</v>
      </c>
      <c r="D9890" s="22" t="str">
        <f>HYPERLINK("https://rhld.insurance.arkansas.gov/NPILookup?Npi=1457457301","1457457301")</f>
        <v>1457457301</v>
      </c>
      <c r="E9890" s="1" t="s">
        <v>11030</v>
      </c>
      <c r="F9890" s="2"/>
      <c r="G9890" s="2"/>
      <c r="H9890" s="2"/>
    </row>
    <row r="9891" spans="1:8" x14ac:dyDescent="0.25">
      <c r="A9891" s="1"/>
      <c r="B9891" s="1" t="s">
        <v>5161</v>
      </c>
      <c r="C9891" s="1" t="s">
        <v>5162</v>
      </c>
      <c r="D9891" s="22" t="str">
        <f>HYPERLINK("https://rhld.insurance.arkansas.gov/NPILookup?Npi=1457752958","1457752958")</f>
        <v>1457752958</v>
      </c>
      <c r="E9891" s="1" t="s">
        <v>19715</v>
      </c>
      <c r="F9891" s="2"/>
      <c r="G9891" s="2"/>
      <c r="H9891" s="2"/>
    </row>
    <row r="9892" spans="1:8" x14ac:dyDescent="0.25">
      <c r="A9892" s="1"/>
      <c r="B9892" s="1" t="s">
        <v>5161</v>
      </c>
      <c r="C9892" s="1" t="s">
        <v>5162</v>
      </c>
      <c r="D9892" s="22" t="str">
        <f>HYPERLINK("https://rhld.insurance.arkansas.gov/NPILookup?Npi=1457800575","1457800575")</f>
        <v>1457800575</v>
      </c>
      <c r="E9892" s="1" t="s">
        <v>19716</v>
      </c>
      <c r="F9892" s="2"/>
      <c r="G9892" s="2"/>
      <c r="H9892" s="2"/>
    </row>
    <row r="9893" spans="1:8" x14ac:dyDescent="0.25">
      <c r="A9893" s="1"/>
      <c r="B9893" s="1" t="s">
        <v>5161</v>
      </c>
      <c r="C9893" s="1" t="s">
        <v>5162</v>
      </c>
      <c r="D9893" s="22" t="str">
        <f>HYPERLINK("https://rhld.insurance.arkansas.gov/NPILookup?Npi=1457818635","1457818635")</f>
        <v>1457818635</v>
      </c>
      <c r="E9893" s="1" t="s">
        <v>5333</v>
      </c>
      <c r="F9893" s="2"/>
      <c r="G9893" s="2"/>
      <c r="H9893" s="2"/>
    </row>
    <row r="9894" spans="1:8" x14ac:dyDescent="0.25">
      <c r="A9894" s="1"/>
      <c r="B9894" s="1" t="s">
        <v>5161</v>
      </c>
      <c r="C9894" s="1" t="s">
        <v>5162</v>
      </c>
      <c r="D9894" s="22" t="str">
        <f>HYPERLINK("https://rhld.insurance.arkansas.gov/NPILookup?Npi=1457837833","1457837833")</f>
        <v>1457837833</v>
      </c>
      <c r="E9894" s="1" t="s">
        <v>19717</v>
      </c>
      <c r="F9894" s="2"/>
      <c r="G9894" s="2"/>
      <c r="H9894" s="2"/>
    </row>
    <row r="9895" spans="1:8" x14ac:dyDescent="0.25">
      <c r="A9895" s="1"/>
      <c r="B9895" s="1" t="s">
        <v>5161</v>
      </c>
      <c r="C9895" s="1" t="s">
        <v>5162</v>
      </c>
      <c r="D9895" s="22" t="str">
        <f>HYPERLINK("https://rhld.insurance.arkansas.gov/NPILookup?Npi=1457923575","1457923575")</f>
        <v>1457923575</v>
      </c>
      <c r="E9895" s="1" t="s">
        <v>5334</v>
      </c>
      <c r="F9895" s="2"/>
      <c r="G9895" s="2"/>
      <c r="H9895" s="2"/>
    </row>
    <row r="9896" spans="1:8" x14ac:dyDescent="0.25">
      <c r="A9896" s="1"/>
      <c r="B9896" s="1" t="s">
        <v>5161</v>
      </c>
      <c r="C9896" s="1" t="s">
        <v>5162</v>
      </c>
      <c r="D9896" s="22" t="str">
        <f>HYPERLINK("https://rhld.insurance.arkansas.gov/NPILookup?Npi=1457999120","1457999120")</f>
        <v>1457999120</v>
      </c>
      <c r="E9896" s="1" t="s">
        <v>19718</v>
      </c>
      <c r="F9896" s="2"/>
      <c r="G9896" s="2"/>
      <c r="H9896" s="2"/>
    </row>
    <row r="9897" spans="1:8" x14ac:dyDescent="0.25">
      <c r="A9897" s="1"/>
      <c r="B9897" s="1" t="s">
        <v>5161</v>
      </c>
      <c r="C9897" s="1" t="s">
        <v>5162</v>
      </c>
      <c r="D9897" s="22" t="str">
        <f>HYPERLINK("https://rhld.insurance.arkansas.gov/NPILookup?Npi=1467003681","1467003681")</f>
        <v>1467003681</v>
      </c>
      <c r="E9897" s="1" t="s">
        <v>11031</v>
      </c>
      <c r="F9897" s="2"/>
      <c r="G9897" s="2"/>
      <c r="H9897" s="2"/>
    </row>
    <row r="9898" spans="1:8" x14ac:dyDescent="0.25">
      <c r="A9898" s="1"/>
      <c r="B9898" s="1" t="s">
        <v>5161</v>
      </c>
      <c r="C9898" s="1" t="s">
        <v>5162</v>
      </c>
      <c r="D9898" s="22" t="str">
        <f>HYPERLINK("https://rhld.insurance.arkansas.gov/NPILookup?Npi=1467118778","1467118778")</f>
        <v>1467118778</v>
      </c>
      <c r="E9898" s="1" t="s">
        <v>5335</v>
      </c>
      <c r="F9898" s="2"/>
      <c r="G9898" s="2"/>
      <c r="H9898" s="2"/>
    </row>
    <row r="9899" spans="1:8" x14ac:dyDescent="0.25">
      <c r="A9899" s="1"/>
      <c r="B9899" s="1" t="s">
        <v>5161</v>
      </c>
      <c r="C9899" s="1" t="s">
        <v>5162</v>
      </c>
      <c r="D9899" s="22" t="str">
        <f>HYPERLINK("https://rhld.insurance.arkansas.gov/NPILookup?Npi=1467119008","1467119008")</f>
        <v>1467119008</v>
      </c>
      <c r="E9899" s="1" t="s">
        <v>19719</v>
      </c>
      <c r="F9899" s="2"/>
      <c r="G9899" s="2"/>
      <c r="H9899" s="2"/>
    </row>
    <row r="9900" spans="1:8" x14ac:dyDescent="0.25">
      <c r="A9900" s="1"/>
      <c r="B9900" s="1" t="s">
        <v>5161</v>
      </c>
      <c r="C9900" s="1" t="s">
        <v>5162</v>
      </c>
      <c r="D9900" s="22" t="str">
        <f>HYPERLINK("https://rhld.insurance.arkansas.gov/NPILookup?Npi=1467411249","1467411249")</f>
        <v>1467411249</v>
      </c>
      <c r="E9900" s="1" t="s">
        <v>19720</v>
      </c>
      <c r="F9900" s="2"/>
      <c r="G9900" s="2"/>
      <c r="H9900" s="2"/>
    </row>
    <row r="9901" spans="1:8" x14ac:dyDescent="0.25">
      <c r="A9901" s="1"/>
      <c r="B9901" s="1" t="s">
        <v>5161</v>
      </c>
      <c r="C9901" s="1" t="s">
        <v>5162</v>
      </c>
      <c r="D9901" s="22" t="str">
        <f>HYPERLINK("https://rhld.insurance.arkansas.gov/NPILookup?Npi=1467494609","1467494609")</f>
        <v>1467494609</v>
      </c>
      <c r="E9901" s="1" t="s">
        <v>19721</v>
      </c>
      <c r="F9901" s="2"/>
      <c r="G9901" s="2"/>
      <c r="H9901" s="2"/>
    </row>
    <row r="9902" spans="1:8" x14ac:dyDescent="0.25">
      <c r="A9902" s="1"/>
      <c r="B9902" s="1" t="s">
        <v>5161</v>
      </c>
      <c r="C9902" s="1" t="s">
        <v>5162</v>
      </c>
      <c r="D9902" s="22" t="str">
        <f>HYPERLINK("https://rhld.insurance.arkansas.gov/NPILookup?Npi=1467602045","1467602045")</f>
        <v>1467602045</v>
      </c>
      <c r="E9902" s="1" t="s">
        <v>19722</v>
      </c>
      <c r="F9902" s="2"/>
      <c r="G9902" s="2"/>
      <c r="H9902" s="2"/>
    </row>
    <row r="9903" spans="1:8" x14ac:dyDescent="0.25">
      <c r="A9903" s="1"/>
      <c r="B9903" s="1" t="s">
        <v>5161</v>
      </c>
      <c r="C9903" s="1" t="s">
        <v>5162</v>
      </c>
      <c r="D9903" s="22" t="str">
        <f>HYPERLINK("https://rhld.insurance.arkansas.gov/NPILookup?Npi=1467689943","1467689943")</f>
        <v>1467689943</v>
      </c>
      <c r="E9903" s="1" t="s">
        <v>19723</v>
      </c>
      <c r="F9903" s="2"/>
      <c r="G9903" s="2"/>
      <c r="H9903" s="2"/>
    </row>
    <row r="9904" spans="1:8" x14ac:dyDescent="0.25">
      <c r="A9904" s="1"/>
      <c r="B9904" s="1" t="s">
        <v>5161</v>
      </c>
      <c r="C9904" s="1" t="s">
        <v>5162</v>
      </c>
      <c r="D9904" s="22" t="str">
        <f>HYPERLINK("https://rhld.insurance.arkansas.gov/NPILookup?Npi=1467804260","1467804260")</f>
        <v>1467804260</v>
      </c>
      <c r="E9904" s="1" t="s">
        <v>19724</v>
      </c>
      <c r="F9904" s="2"/>
      <c r="G9904" s="2"/>
      <c r="H9904" s="2"/>
    </row>
    <row r="9905" spans="1:8" x14ac:dyDescent="0.25">
      <c r="A9905" s="1"/>
      <c r="B9905" s="1" t="s">
        <v>5161</v>
      </c>
      <c r="C9905" s="1" t="s">
        <v>5162</v>
      </c>
      <c r="D9905" s="22" t="str">
        <f>HYPERLINK("https://rhld.insurance.arkansas.gov/NPILookup?Npi=1467869248","1467869248")</f>
        <v>1467869248</v>
      </c>
      <c r="E9905" s="1" t="s">
        <v>19725</v>
      </c>
      <c r="F9905" s="2"/>
      <c r="G9905" s="2"/>
      <c r="H9905" s="2"/>
    </row>
    <row r="9906" spans="1:8" x14ac:dyDescent="0.25">
      <c r="A9906" s="1"/>
      <c r="B9906" s="1" t="s">
        <v>5161</v>
      </c>
      <c r="C9906" s="1" t="s">
        <v>5162</v>
      </c>
      <c r="D9906" s="22" t="str">
        <f>HYPERLINK("https://rhld.insurance.arkansas.gov/NPILookup?Npi=1467883405","1467883405")</f>
        <v>1467883405</v>
      </c>
      <c r="E9906" s="1" t="s">
        <v>5336</v>
      </c>
      <c r="F9906" s="2"/>
      <c r="G9906" s="2"/>
      <c r="H9906" s="2"/>
    </row>
    <row r="9907" spans="1:8" x14ac:dyDescent="0.25">
      <c r="A9907" s="1"/>
      <c r="B9907" s="1" t="s">
        <v>5161</v>
      </c>
      <c r="C9907" s="1" t="s">
        <v>5162</v>
      </c>
      <c r="D9907" s="22" t="str">
        <f>HYPERLINK("https://rhld.insurance.arkansas.gov/NPILookup?Npi=1467894816","1467894816")</f>
        <v>1467894816</v>
      </c>
      <c r="E9907" s="1" t="s">
        <v>19726</v>
      </c>
      <c r="F9907" s="2"/>
      <c r="G9907" s="2"/>
      <c r="H9907" s="2"/>
    </row>
    <row r="9908" spans="1:8" x14ac:dyDescent="0.25">
      <c r="A9908" s="1"/>
      <c r="B9908" s="1" t="s">
        <v>5161</v>
      </c>
      <c r="C9908" s="1" t="s">
        <v>5162</v>
      </c>
      <c r="D9908" s="22" t="str">
        <f>HYPERLINK("https://rhld.insurance.arkansas.gov/NPILookup?Npi=1467928622","1467928622")</f>
        <v>1467928622</v>
      </c>
      <c r="E9908" s="1" t="s">
        <v>11032</v>
      </c>
      <c r="F9908" s="2"/>
      <c r="G9908" s="2"/>
      <c r="H9908" s="2"/>
    </row>
    <row r="9909" spans="1:8" x14ac:dyDescent="0.25">
      <c r="A9909" s="1"/>
      <c r="B9909" s="1" t="s">
        <v>5161</v>
      </c>
      <c r="C9909" s="1" t="s">
        <v>5162</v>
      </c>
      <c r="D9909" s="22" t="str">
        <f>HYPERLINK("https://rhld.insurance.arkansas.gov/NPILookup?Npi=1467979427","1467979427")</f>
        <v>1467979427</v>
      </c>
      <c r="E9909" s="1" t="s">
        <v>19727</v>
      </c>
      <c r="F9909" s="2"/>
      <c r="G9909" s="2"/>
      <c r="H9909" s="2"/>
    </row>
    <row r="9910" spans="1:8" x14ac:dyDescent="0.25">
      <c r="A9910" s="1"/>
      <c r="B9910" s="1" t="s">
        <v>5161</v>
      </c>
      <c r="C9910" s="1" t="s">
        <v>5162</v>
      </c>
      <c r="D9910" s="22" t="str">
        <f>HYPERLINK("https://rhld.insurance.arkansas.gov/NPILookup?Npi=1477019552","1477019552")</f>
        <v>1477019552</v>
      </c>
      <c r="E9910" s="1" t="s">
        <v>19728</v>
      </c>
      <c r="F9910" s="2"/>
      <c r="G9910" s="2"/>
      <c r="H9910" s="2"/>
    </row>
    <row r="9911" spans="1:8" x14ac:dyDescent="0.25">
      <c r="A9911" s="1"/>
      <c r="B9911" s="1" t="s">
        <v>5161</v>
      </c>
      <c r="C9911" s="1" t="s">
        <v>5162</v>
      </c>
      <c r="D9911" s="22" t="str">
        <f>HYPERLINK("https://rhld.insurance.arkansas.gov/NPILookup?Npi=1477067650","1477067650")</f>
        <v>1477067650</v>
      </c>
      <c r="E9911" s="1" t="s">
        <v>19729</v>
      </c>
      <c r="F9911" s="2"/>
      <c r="G9911" s="2"/>
      <c r="H9911" s="2"/>
    </row>
    <row r="9912" spans="1:8" x14ac:dyDescent="0.25">
      <c r="A9912" s="1"/>
      <c r="B9912" s="1" t="s">
        <v>5161</v>
      </c>
      <c r="C9912" s="1" t="s">
        <v>5162</v>
      </c>
      <c r="D9912" s="22" t="str">
        <f>HYPERLINK("https://rhld.insurance.arkansas.gov/NPILookup?Npi=1477173532","1477173532")</f>
        <v>1477173532</v>
      </c>
      <c r="E9912" s="1" t="s">
        <v>19730</v>
      </c>
      <c r="F9912" s="2"/>
      <c r="G9912" s="2"/>
      <c r="H9912" s="2"/>
    </row>
    <row r="9913" spans="1:8" x14ac:dyDescent="0.25">
      <c r="A9913" s="1"/>
      <c r="B9913" s="1" t="s">
        <v>5161</v>
      </c>
      <c r="C9913" s="1" t="s">
        <v>5162</v>
      </c>
      <c r="D9913" s="22" t="str">
        <f>HYPERLINK("https://rhld.insurance.arkansas.gov/NPILookup?Npi=1477183796","1477183796")</f>
        <v>1477183796</v>
      </c>
      <c r="E9913" s="1" t="s">
        <v>19731</v>
      </c>
      <c r="F9913" s="2"/>
      <c r="G9913" s="2"/>
      <c r="H9913" s="2"/>
    </row>
    <row r="9914" spans="1:8" x14ac:dyDescent="0.25">
      <c r="A9914" s="1"/>
      <c r="B9914" s="1" t="s">
        <v>5161</v>
      </c>
      <c r="C9914" s="1" t="s">
        <v>5162</v>
      </c>
      <c r="D9914" s="22" t="str">
        <f>HYPERLINK("https://rhld.insurance.arkansas.gov/NPILookup?Npi=1477211209","1477211209")</f>
        <v>1477211209</v>
      </c>
      <c r="E9914" s="1" t="s">
        <v>19732</v>
      </c>
      <c r="F9914" s="2"/>
      <c r="G9914" s="2"/>
      <c r="H9914" s="2"/>
    </row>
    <row r="9915" spans="1:8" x14ac:dyDescent="0.25">
      <c r="A9915" s="1"/>
      <c r="B9915" s="1" t="s">
        <v>5161</v>
      </c>
      <c r="C9915" s="1" t="s">
        <v>5162</v>
      </c>
      <c r="D9915" s="22" t="str">
        <f>HYPERLINK("https://rhld.insurance.arkansas.gov/NPILookup?Npi=1477223733","1477223733")</f>
        <v>1477223733</v>
      </c>
      <c r="E9915" s="1" t="s">
        <v>19733</v>
      </c>
      <c r="F9915" s="2"/>
      <c r="G9915" s="2"/>
      <c r="H9915" s="2"/>
    </row>
    <row r="9916" spans="1:8" x14ac:dyDescent="0.25">
      <c r="A9916" s="1"/>
      <c r="B9916" s="1" t="s">
        <v>5161</v>
      </c>
      <c r="C9916" s="1" t="s">
        <v>5162</v>
      </c>
      <c r="D9916" s="22" t="str">
        <f>HYPERLINK("https://rhld.insurance.arkansas.gov/NPILookup?Npi=1477251130","1477251130")</f>
        <v>1477251130</v>
      </c>
      <c r="E9916" s="1" t="s">
        <v>11033</v>
      </c>
      <c r="F9916" s="2"/>
      <c r="G9916" s="2"/>
      <c r="H9916" s="2"/>
    </row>
    <row r="9917" spans="1:8" x14ac:dyDescent="0.25">
      <c r="A9917" s="1"/>
      <c r="B9917" s="1" t="s">
        <v>5161</v>
      </c>
      <c r="C9917" s="1" t="s">
        <v>5162</v>
      </c>
      <c r="D9917" s="22" t="str">
        <f>HYPERLINK("https://rhld.insurance.arkansas.gov/NPILookup?Npi=1477278828","1477278828")</f>
        <v>1477278828</v>
      </c>
      <c r="E9917" s="1" t="s">
        <v>19734</v>
      </c>
      <c r="F9917" s="2"/>
      <c r="G9917" s="2"/>
      <c r="H9917" s="2"/>
    </row>
    <row r="9918" spans="1:8" x14ac:dyDescent="0.25">
      <c r="A9918" s="1"/>
      <c r="B9918" s="1" t="s">
        <v>5161</v>
      </c>
      <c r="C9918" s="1" t="s">
        <v>5162</v>
      </c>
      <c r="D9918" s="22" t="str">
        <f>HYPERLINK("https://rhld.insurance.arkansas.gov/NPILookup?Npi=1477322790","1477322790")</f>
        <v>1477322790</v>
      </c>
      <c r="E9918" s="1" t="s">
        <v>19735</v>
      </c>
      <c r="F9918" s="2"/>
      <c r="G9918" s="2"/>
      <c r="H9918" s="2"/>
    </row>
    <row r="9919" spans="1:8" x14ac:dyDescent="0.25">
      <c r="A9919" s="1"/>
      <c r="B9919" s="1" t="s">
        <v>5161</v>
      </c>
      <c r="C9919" s="1" t="s">
        <v>5162</v>
      </c>
      <c r="D9919" s="22" t="str">
        <f>HYPERLINK("https://rhld.insurance.arkansas.gov/NPILookup?Npi=1477337517","1477337517")</f>
        <v>1477337517</v>
      </c>
      <c r="E9919" s="1" t="s">
        <v>19736</v>
      </c>
      <c r="F9919" s="2"/>
      <c r="G9919" s="2"/>
      <c r="H9919" s="2"/>
    </row>
    <row r="9920" spans="1:8" x14ac:dyDescent="0.25">
      <c r="A9920" s="1"/>
      <c r="B9920" s="1" t="s">
        <v>5161</v>
      </c>
      <c r="C9920" s="1" t="s">
        <v>5162</v>
      </c>
      <c r="D9920" s="22" t="str">
        <f>HYPERLINK("https://rhld.insurance.arkansas.gov/NPILookup?Npi=1477352599","1477352599")</f>
        <v>1477352599</v>
      </c>
      <c r="E9920" s="1" t="s">
        <v>31709</v>
      </c>
      <c r="F9920" s="2"/>
      <c r="G9920" s="2"/>
      <c r="H9920" s="2"/>
    </row>
    <row r="9921" spans="1:8" x14ac:dyDescent="0.25">
      <c r="A9921" s="1"/>
      <c r="B9921" s="1" t="s">
        <v>5161</v>
      </c>
      <c r="C9921" s="1" t="s">
        <v>5162</v>
      </c>
      <c r="D9921" s="22" t="str">
        <f>HYPERLINK("https://rhld.insurance.arkansas.gov/NPILookup?Npi=1477503639","1477503639")</f>
        <v>1477503639</v>
      </c>
      <c r="E9921" s="1" t="s">
        <v>5338</v>
      </c>
      <c r="F9921" s="2"/>
      <c r="G9921" s="2"/>
      <c r="H9921" s="2"/>
    </row>
    <row r="9922" spans="1:8" x14ac:dyDescent="0.25">
      <c r="A9922" s="1"/>
      <c r="B9922" s="1" t="s">
        <v>5161</v>
      </c>
      <c r="C9922" s="1" t="s">
        <v>5162</v>
      </c>
      <c r="D9922" s="22" t="str">
        <f>HYPERLINK("https://rhld.insurance.arkansas.gov/NPILookup?Npi=1477613008","1477613008")</f>
        <v>1477613008</v>
      </c>
      <c r="E9922" s="1" t="s">
        <v>19737</v>
      </c>
      <c r="F9922" s="2"/>
      <c r="G9922" s="2"/>
      <c r="H9922" s="2"/>
    </row>
    <row r="9923" spans="1:8" x14ac:dyDescent="0.25">
      <c r="A9923" s="1"/>
      <c r="B9923" s="1" t="s">
        <v>5161</v>
      </c>
      <c r="C9923" s="1" t="s">
        <v>5162</v>
      </c>
      <c r="D9923" s="22" t="str">
        <f>HYPERLINK("https://rhld.insurance.arkansas.gov/NPILookup?Npi=1477647394","1477647394")</f>
        <v>1477647394</v>
      </c>
      <c r="E9923" s="1" t="s">
        <v>19738</v>
      </c>
      <c r="F9923" s="2"/>
      <c r="G9923" s="2"/>
      <c r="H9923" s="2"/>
    </row>
    <row r="9924" spans="1:8" x14ac:dyDescent="0.25">
      <c r="A9924" s="1"/>
      <c r="B9924" s="1" t="s">
        <v>5161</v>
      </c>
      <c r="C9924" s="1" t="s">
        <v>5162</v>
      </c>
      <c r="D9924" s="22" t="str">
        <f>HYPERLINK("https://rhld.insurance.arkansas.gov/NPILookup?Npi=1477680833","1477680833")</f>
        <v>1477680833</v>
      </c>
      <c r="E9924" s="1" t="s">
        <v>5339</v>
      </c>
      <c r="F9924" s="2"/>
      <c r="G9924" s="2"/>
      <c r="H9924" s="2"/>
    </row>
    <row r="9925" spans="1:8" x14ac:dyDescent="0.25">
      <c r="A9925" s="1"/>
      <c r="B9925" s="1" t="s">
        <v>5161</v>
      </c>
      <c r="C9925" s="1" t="s">
        <v>5162</v>
      </c>
      <c r="D9925" s="22" t="str">
        <f>HYPERLINK("https://rhld.insurance.arkansas.gov/NPILookup?Npi=1477781821","1477781821")</f>
        <v>1477781821</v>
      </c>
      <c r="E9925" s="1" t="s">
        <v>19739</v>
      </c>
      <c r="F9925" s="2"/>
      <c r="G9925" s="2"/>
      <c r="H9925" s="2"/>
    </row>
    <row r="9926" spans="1:8" x14ac:dyDescent="0.25">
      <c r="A9926" s="1"/>
      <c r="B9926" s="1" t="s">
        <v>5161</v>
      </c>
      <c r="C9926" s="1" t="s">
        <v>5162</v>
      </c>
      <c r="D9926" s="22" t="str">
        <f>HYPERLINK("https://rhld.insurance.arkansas.gov/NPILookup?Npi=1477954923","1477954923")</f>
        <v>1477954923</v>
      </c>
      <c r="E9926" s="1" t="s">
        <v>19740</v>
      </c>
      <c r="F9926" s="2"/>
      <c r="G9926" s="2"/>
      <c r="H9926" s="2"/>
    </row>
    <row r="9927" spans="1:8" x14ac:dyDescent="0.25">
      <c r="A9927" s="1"/>
      <c r="B9927" s="1" t="s">
        <v>5161</v>
      </c>
      <c r="C9927" s="1" t="s">
        <v>5162</v>
      </c>
      <c r="D9927" s="22" t="str">
        <f>HYPERLINK("https://rhld.insurance.arkansas.gov/NPILookup?Npi=1477969822","1477969822")</f>
        <v>1477969822</v>
      </c>
      <c r="E9927" s="1" t="s">
        <v>5340</v>
      </c>
      <c r="F9927" s="2"/>
      <c r="G9927" s="2"/>
      <c r="H9927" s="2"/>
    </row>
    <row r="9928" spans="1:8" x14ac:dyDescent="0.25">
      <c r="A9928" s="1"/>
      <c r="B9928" s="1" t="s">
        <v>5161</v>
      </c>
      <c r="C9928" s="1" t="s">
        <v>5162</v>
      </c>
      <c r="D9928" s="22" t="str">
        <f>HYPERLINK("https://rhld.insurance.arkansas.gov/NPILookup?Npi=1487295598","1487295598")</f>
        <v>1487295598</v>
      </c>
      <c r="E9928" s="1" t="s">
        <v>5341</v>
      </c>
      <c r="F9928" s="2"/>
      <c r="G9928" s="2"/>
      <c r="H9928" s="2"/>
    </row>
    <row r="9929" spans="1:8" x14ac:dyDescent="0.25">
      <c r="A9929" s="1"/>
      <c r="B9929" s="1" t="s">
        <v>5161</v>
      </c>
      <c r="C9929" s="1" t="s">
        <v>5162</v>
      </c>
      <c r="D9929" s="22" t="str">
        <f>HYPERLINK("https://rhld.insurance.arkansas.gov/NPILookup?Npi=1487299210","1487299210")</f>
        <v>1487299210</v>
      </c>
      <c r="E9929" s="1" t="s">
        <v>19741</v>
      </c>
      <c r="F9929" s="2"/>
      <c r="G9929" s="2"/>
      <c r="H9929" s="2"/>
    </row>
    <row r="9930" spans="1:8" x14ac:dyDescent="0.25">
      <c r="A9930" s="1"/>
      <c r="B9930" s="1" t="s">
        <v>5161</v>
      </c>
      <c r="C9930" s="1" t="s">
        <v>5162</v>
      </c>
      <c r="D9930" s="22" t="str">
        <f>HYPERLINK("https://rhld.insurance.arkansas.gov/NPILookup?Npi=1487422960","1487422960")</f>
        <v>1487422960</v>
      </c>
      <c r="E9930" s="1" t="s">
        <v>19742</v>
      </c>
      <c r="F9930" s="2"/>
      <c r="G9930" s="2"/>
      <c r="H9930" s="2"/>
    </row>
    <row r="9931" spans="1:8" x14ac:dyDescent="0.25">
      <c r="A9931" s="1"/>
      <c r="B9931" s="1" t="s">
        <v>5161</v>
      </c>
      <c r="C9931" s="1" t="s">
        <v>5162</v>
      </c>
      <c r="D9931" s="22" t="str">
        <f>HYPERLINK("https://rhld.insurance.arkansas.gov/NPILookup?Npi=1487605341","1487605341")</f>
        <v>1487605341</v>
      </c>
      <c r="E9931" s="1" t="s">
        <v>19743</v>
      </c>
      <c r="F9931" s="2"/>
      <c r="G9931" s="2"/>
      <c r="H9931" s="2"/>
    </row>
    <row r="9932" spans="1:8" x14ac:dyDescent="0.25">
      <c r="A9932" s="1"/>
      <c r="B9932" s="1" t="s">
        <v>5161</v>
      </c>
      <c r="C9932" s="1" t="s">
        <v>5162</v>
      </c>
      <c r="D9932" s="22" t="str">
        <f>HYPERLINK("https://rhld.insurance.arkansas.gov/NPILookup?Npi=1487784872","1487784872")</f>
        <v>1487784872</v>
      </c>
      <c r="E9932" s="1" t="s">
        <v>5342</v>
      </c>
      <c r="F9932" s="2"/>
      <c r="G9932" s="2"/>
      <c r="H9932" s="2"/>
    </row>
    <row r="9933" spans="1:8" x14ac:dyDescent="0.25">
      <c r="A9933" s="1"/>
      <c r="B9933" s="1" t="s">
        <v>5161</v>
      </c>
      <c r="C9933" s="1" t="s">
        <v>5162</v>
      </c>
      <c r="D9933" s="22" t="str">
        <f>HYPERLINK("https://rhld.insurance.arkansas.gov/NPILookup?Npi=1487820262","1487820262")</f>
        <v>1487820262</v>
      </c>
      <c r="E9933" s="1" t="s">
        <v>2614</v>
      </c>
      <c r="F9933" s="2"/>
      <c r="G9933" s="2"/>
      <c r="H9933" s="2"/>
    </row>
    <row r="9934" spans="1:8" x14ac:dyDescent="0.25">
      <c r="A9934" s="1"/>
      <c r="B9934" s="1" t="s">
        <v>5161</v>
      </c>
      <c r="C9934" s="1" t="s">
        <v>5162</v>
      </c>
      <c r="D9934" s="22" t="str">
        <f>HYPERLINK("https://rhld.insurance.arkansas.gov/NPILookup?Npi=1487877445","1487877445")</f>
        <v>1487877445</v>
      </c>
      <c r="E9934" s="1" t="s">
        <v>5343</v>
      </c>
      <c r="F9934" s="2"/>
      <c r="G9934" s="2"/>
      <c r="H9934" s="2"/>
    </row>
    <row r="9935" spans="1:8" x14ac:dyDescent="0.25">
      <c r="A9935" s="1"/>
      <c r="B9935" s="1" t="s">
        <v>5161</v>
      </c>
      <c r="C9935" s="1" t="s">
        <v>5162</v>
      </c>
      <c r="D9935" s="22" t="str">
        <f>HYPERLINK("https://rhld.insurance.arkansas.gov/NPILookup?Npi=1487944047","1487944047")</f>
        <v>1487944047</v>
      </c>
      <c r="E9935" s="1" t="s">
        <v>5344</v>
      </c>
      <c r="F9935" s="2"/>
      <c r="G9935" s="2"/>
      <c r="H9935" s="2"/>
    </row>
    <row r="9936" spans="1:8" x14ac:dyDescent="0.25">
      <c r="A9936" s="1"/>
      <c r="B9936" s="1" t="s">
        <v>5161</v>
      </c>
      <c r="C9936" s="1" t="s">
        <v>5162</v>
      </c>
      <c r="D9936" s="22" t="str">
        <f>HYPERLINK("https://rhld.insurance.arkansas.gov/NPILookup?Npi=1497005904","1497005904")</f>
        <v>1497005904</v>
      </c>
      <c r="E9936" s="1" t="s">
        <v>19744</v>
      </c>
      <c r="F9936" s="2"/>
      <c r="G9936" s="2"/>
      <c r="H9936" s="2"/>
    </row>
    <row r="9937" spans="1:8" x14ac:dyDescent="0.25">
      <c r="A9937" s="1"/>
      <c r="B9937" s="1" t="s">
        <v>5161</v>
      </c>
      <c r="C9937" s="1" t="s">
        <v>5162</v>
      </c>
      <c r="D9937" s="22" t="str">
        <f>HYPERLINK("https://rhld.insurance.arkansas.gov/NPILookup?Npi=1497137640","1497137640")</f>
        <v>1497137640</v>
      </c>
      <c r="E9937" s="1" t="s">
        <v>5345</v>
      </c>
      <c r="F9937" s="2"/>
      <c r="G9937" s="2"/>
      <c r="H9937" s="2"/>
    </row>
    <row r="9938" spans="1:8" x14ac:dyDescent="0.25">
      <c r="A9938" s="1"/>
      <c r="B9938" s="1" t="s">
        <v>5161</v>
      </c>
      <c r="C9938" s="1" t="s">
        <v>5162</v>
      </c>
      <c r="D9938" s="22" t="str">
        <f>HYPERLINK("https://rhld.insurance.arkansas.gov/NPILookup?Npi=1497159644","1497159644")</f>
        <v>1497159644</v>
      </c>
      <c r="E9938" s="1" t="s">
        <v>19745</v>
      </c>
      <c r="F9938" s="2"/>
      <c r="G9938" s="2"/>
      <c r="H9938" s="2"/>
    </row>
    <row r="9939" spans="1:8" x14ac:dyDescent="0.25">
      <c r="A9939" s="1"/>
      <c r="B9939" s="1" t="s">
        <v>5161</v>
      </c>
      <c r="C9939" s="1" t="s">
        <v>5162</v>
      </c>
      <c r="D9939" s="22" t="str">
        <f>HYPERLINK("https://rhld.insurance.arkansas.gov/NPILookup?Npi=1497179451","1497179451")</f>
        <v>1497179451</v>
      </c>
      <c r="E9939" s="1" t="s">
        <v>11034</v>
      </c>
      <c r="F9939" s="2"/>
      <c r="G9939" s="2"/>
      <c r="H9939" s="2"/>
    </row>
    <row r="9940" spans="1:8" x14ac:dyDescent="0.25">
      <c r="A9940" s="1"/>
      <c r="B9940" s="1" t="s">
        <v>5161</v>
      </c>
      <c r="C9940" s="1" t="s">
        <v>5162</v>
      </c>
      <c r="D9940" s="22" t="str">
        <f>HYPERLINK("https://rhld.insurance.arkansas.gov/NPILookup?Npi=1497183305","1497183305")</f>
        <v>1497183305</v>
      </c>
      <c r="E9940" s="1" t="s">
        <v>11035</v>
      </c>
      <c r="F9940" s="2"/>
      <c r="G9940" s="2"/>
      <c r="H9940" s="2"/>
    </row>
    <row r="9941" spans="1:8" x14ac:dyDescent="0.25">
      <c r="A9941" s="1"/>
      <c r="B9941" s="1" t="s">
        <v>5161</v>
      </c>
      <c r="C9941" s="1" t="s">
        <v>5162</v>
      </c>
      <c r="D9941" s="22" t="str">
        <f>HYPERLINK("https://rhld.insurance.arkansas.gov/NPILookup?Npi=1497207039","1497207039")</f>
        <v>1497207039</v>
      </c>
      <c r="E9941" s="1" t="s">
        <v>19746</v>
      </c>
      <c r="F9941" s="2"/>
      <c r="G9941" s="2"/>
      <c r="H9941" s="2"/>
    </row>
    <row r="9942" spans="1:8" x14ac:dyDescent="0.25">
      <c r="A9942" s="1"/>
      <c r="B9942" s="1" t="s">
        <v>5161</v>
      </c>
      <c r="C9942" s="1" t="s">
        <v>5162</v>
      </c>
      <c r="D9942" s="22" t="str">
        <f>HYPERLINK("https://rhld.insurance.arkansas.gov/NPILookup?Npi=1497217418","1497217418")</f>
        <v>1497217418</v>
      </c>
      <c r="E9942" s="1" t="s">
        <v>11036</v>
      </c>
      <c r="F9942" s="2"/>
      <c r="G9942" s="2"/>
      <c r="H9942" s="2"/>
    </row>
    <row r="9943" spans="1:8" x14ac:dyDescent="0.25">
      <c r="A9943" s="1"/>
      <c r="B9943" s="1" t="s">
        <v>5161</v>
      </c>
      <c r="C9943" s="1" t="s">
        <v>5162</v>
      </c>
      <c r="D9943" s="22" t="str">
        <f>HYPERLINK("https://rhld.insurance.arkansas.gov/NPILookup?Npi=1497247290","1497247290")</f>
        <v>1497247290</v>
      </c>
      <c r="E9943" s="1" t="s">
        <v>2959</v>
      </c>
      <c r="F9943" s="2"/>
      <c r="G9943" s="2"/>
      <c r="H9943" s="2"/>
    </row>
    <row r="9944" spans="1:8" x14ac:dyDescent="0.25">
      <c r="A9944" s="1"/>
      <c r="B9944" s="1" t="s">
        <v>5161</v>
      </c>
      <c r="C9944" s="1" t="s">
        <v>5162</v>
      </c>
      <c r="D9944" s="22" t="str">
        <f>HYPERLINK("https://rhld.insurance.arkansas.gov/NPILookup?Npi=1497266589","1497266589")</f>
        <v>1497266589</v>
      </c>
      <c r="E9944" s="1" t="s">
        <v>5346</v>
      </c>
      <c r="F9944" s="2"/>
      <c r="G9944" s="2"/>
      <c r="H9944" s="2"/>
    </row>
    <row r="9945" spans="1:8" x14ac:dyDescent="0.25">
      <c r="A9945" s="1"/>
      <c r="B9945" s="1" t="s">
        <v>5161</v>
      </c>
      <c r="C9945" s="1" t="s">
        <v>5162</v>
      </c>
      <c r="D9945" s="22" t="str">
        <f>HYPERLINK("https://rhld.insurance.arkansas.gov/NPILookup?Npi=1497292304","1497292304")</f>
        <v>1497292304</v>
      </c>
      <c r="E9945" s="1" t="s">
        <v>5347</v>
      </c>
      <c r="F9945" s="2"/>
      <c r="G9945" s="2"/>
      <c r="H9945" s="2"/>
    </row>
    <row r="9946" spans="1:8" x14ac:dyDescent="0.25">
      <c r="A9946" s="1"/>
      <c r="B9946" s="1" t="s">
        <v>5161</v>
      </c>
      <c r="C9946" s="1" t="s">
        <v>5162</v>
      </c>
      <c r="D9946" s="22" t="str">
        <f>HYPERLINK("https://rhld.insurance.arkansas.gov/NPILookup?Npi=1497396691","1497396691")</f>
        <v>1497396691</v>
      </c>
      <c r="E9946" s="1" t="s">
        <v>5348</v>
      </c>
      <c r="F9946" s="2"/>
      <c r="G9946" s="2"/>
      <c r="H9946" s="2"/>
    </row>
    <row r="9947" spans="1:8" x14ac:dyDescent="0.25">
      <c r="A9947" s="1"/>
      <c r="B9947" s="1" t="s">
        <v>5161</v>
      </c>
      <c r="C9947" s="1" t="s">
        <v>5162</v>
      </c>
      <c r="D9947" s="22" t="str">
        <f>HYPERLINK("https://rhld.insurance.arkansas.gov/NPILookup?Npi=1497534283","1497534283")</f>
        <v>1497534283</v>
      </c>
      <c r="E9947" s="1" t="s">
        <v>5349</v>
      </c>
      <c r="F9947" s="2"/>
      <c r="G9947" s="2"/>
      <c r="H9947" s="2"/>
    </row>
    <row r="9948" spans="1:8" x14ac:dyDescent="0.25">
      <c r="A9948" s="1"/>
      <c r="B9948" s="1" t="s">
        <v>5161</v>
      </c>
      <c r="C9948" s="1" t="s">
        <v>5162</v>
      </c>
      <c r="D9948" s="22" t="str">
        <f>HYPERLINK("https://rhld.insurance.arkansas.gov/NPILookup?Npi=1497583983","1497583983")</f>
        <v>1497583983</v>
      </c>
      <c r="E9948" s="1" t="s">
        <v>19747</v>
      </c>
      <c r="F9948" s="2"/>
      <c r="G9948" s="2"/>
      <c r="H9948" s="2"/>
    </row>
    <row r="9949" spans="1:8" x14ac:dyDescent="0.25">
      <c r="A9949" s="1"/>
      <c r="B9949" s="1" t="s">
        <v>5161</v>
      </c>
      <c r="C9949" s="1" t="s">
        <v>5162</v>
      </c>
      <c r="D9949" s="22" t="str">
        <f>HYPERLINK("https://rhld.insurance.arkansas.gov/NPILookup?Npi=1497792766","1497792766")</f>
        <v>1497792766</v>
      </c>
      <c r="E9949" s="1" t="s">
        <v>19748</v>
      </c>
      <c r="F9949" s="2"/>
      <c r="G9949" s="2"/>
      <c r="H9949" s="2"/>
    </row>
    <row r="9950" spans="1:8" x14ac:dyDescent="0.25">
      <c r="A9950" s="1"/>
      <c r="B9950" s="1" t="s">
        <v>5161</v>
      </c>
      <c r="C9950" s="1" t="s">
        <v>5162</v>
      </c>
      <c r="D9950" s="22" t="str">
        <f>HYPERLINK("https://rhld.insurance.arkansas.gov/NPILookup?Npi=1508003542","1508003542")</f>
        <v>1508003542</v>
      </c>
      <c r="E9950" s="1" t="s">
        <v>19749</v>
      </c>
      <c r="F9950" s="2"/>
      <c r="G9950" s="2"/>
      <c r="H9950" s="2"/>
    </row>
    <row r="9951" spans="1:8" x14ac:dyDescent="0.25">
      <c r="A9951" s="1"/>
      <c r="B9951" s="1" t="s">
        <v>5161</v>
      </c>
      <c r="C9951" s="1" t="s">
        <v>5162</v>
      </c>
      <c r="D9951" s="22" t="str">
        <f>HYPERLINK("https://rhld.insurance.arkansas.gov/NPILookup?Npi=1508022054","1508022054")</f>
        <v>1508022054</v>
      </c>
      <c r="E9951" s="1" t="s">
        <v>19750</v>
      </c>
      <c r="F9951" s="2"/>
      <c r="G9951" s="2"/>
      <c r="H9951" s="2"/>
    </row>
    <row r="9952" spans="1:8" x14ac:dyDescent="0.25">
      <c r="A9952" s="1"/>
      <c r="B9952" s="1" t="s">
        <v>5161</v>
      </c>
      <c r="C9952" s="1" t="s">
        <v>5162</v>
      </c>
      <c r="D9952" s="22" t="str">
        <f>HYPERLINK("https://rhld.insurance.arkansas.gov/NPILookup?Npi=1508049644","1508049644")</f>
        <v>1508049644</v>
      </c>
      <c r="E9952" s="1" t="s">
        <v>5351</v>
      </c>
      <c r="F9952" s="2"/>
      <c r="G9952" s="2"/>
      <c r="H9952" s="2"/>
    </row>
    <row r="9953" spans="1:8" x14ac:dyDescent="0.25">
      <c r="A9953" s="1"/>
      <c r="B9953" s="1" t="s">
        <v>5161</v>
      </c>
      <c r="C9953" s="1" t="s">
        <v>5162</v>
      </c>
      <c r="D9953" s="22" t="str">
        <f>HYPERLINK("https://rhld.insurance.arkansas.gov/NPILookup?Npi=1508087610","1508087610")</f>
        <v>1508087610</v>
      </c>
      <c r="E9953" s="1" t="s">
        <v>5352</v>
      </c>
      <c r="F9953" s="2"/>
      <c r="G9953" s="2"/>
      <c r="H9953" s="2"/>
    </row>
    <row r="9954" spans="1:8" x14ac:dyDescent="0.25">
      <c r="A9954" s="1"/>
      <c r="B9954" s="1" t="s">
        <v>5161</v>
      </c>
      <c r="C9954" s="1" t="s">
        <v>5162</v>
      </c>
      <c r="D9954" s="22" t="str">
        <f>HYPERLINK("https://rhld.insurance.arkansas.gov/NPILookup?Npi=1508292129","1508292129")</f>
        <v>1508292129</v>
      </c>
      <c r="E9954" s="1" t="s">
        <v>19751</v>
      </c>
      <c r="F9954" s="2"/>
      <c r="G9954" s="2"/>
      <c r="H9954" s="2"/>
    </row>
    <row r="9955" spans="1:8" x14ac:dyDescent="0.25">
      <c r="A9955" s="1"/>
      <c r="B9955" s="1" t="s">
        <v>5161</v>
      </c>
      <c r="C9955" s="1" t="s">
        <v>5162</v>
      </c>
      <c r="D9955" s="22" t="str">
        <f>HYPERLINK("https://rhld.insurance.arkansas.gov/NPILookup?Npi=1508496019","1508496019")</f>
        <v>1508496019</v>
      </c>
      <c r="E9955" s="1" t="s">
        <v>19752</v>
      </c>
      <c r="F9955" s="2"/>
      <c r="G9955" s="2"/>
      <c r="H9955" s="2"/>
    </row>
    <row r="9956" spans="1:8" x14ac:dyDescent="0.25">
      <c r="A9956" s="1"/>
      <c r="B9956" s="1" t="s">
        <v>5161</v>
      </c>
      <c r="C9956" s="1" t="s">
        <v>5162</v>
      </c>
      <c r="D9956" s="22" t="str">
        <f>HYPERLINK("https://rhld.insurance.arkansas.gov/NPILookup?Npi=1508537416","1508537416")</f>
        <v>1508537416</v>
      </c>
      <c r="E9956" s="1" t="s">
        <v>19753</v>
      </c>
      <c r="F9956" s="2"/>
      <c r="G9956" s="2"/>
      <c r="H9956" s="2"/>
    </row>
    <row r="9957" spans="1:8" x14ac:dyDescent="0.25">
      <c r="A9957" s="1"/>
      <c r="B9957" s="1" t="s">
        <v>5161</v>
      </c>
      <c r="C9957" s="1" t="s">
        <v>5162</v>
      </c>
      <c r="D9957" s="22" t="str">
        <f>HYPERLINK("https://rhld.insurance.arkansas.gov/NPILookup?Npi=1508591223","1508591223")</f>
        <v>1508591223</v>
      </c>
      <c r="E9957" s="1" t="s">
        <v>19754</v>
      </c>
      <c r="F9957" s="2"/>
      <c r="G9957" s="2"/>
      <c r="H9957" s="2"/>
    </row>
    <row r="9958" spans="1:8" x14ac:dyDescent="0.25">
      <c r="A9958" s="1"/>
      <c r="B9958" s="1" t="s">
        <v>5161</v>
      </c>
      <c r="C9958" s="1" t="s">
        <v>5162</v>
      </c>
      <c r="D9958" s="22" t="str">
        <f>HYPERLINK("https://rhld.insurance.arkansas.gov/NPILookup?Npi=1508830183","1508830183")</f>
        <v>1508830183</v>
      </c>
      <c r="E9958" s="1" t="s">
        <v>11037</v>
      </c>
      <c r="F9958" s="2"/>
      <c r="G9958" s="2"/>
      <c r="H9958" s="2"/>
    </row>
    <row r="9959" spans="1:8" x14ac:dyDescent="0.25">
      <c r="A9959" s="1"/>
      <c r="B9959" s="1" t="s">
        <v>5161</v>
      </c>
      <c r="C9959" s="1" t="s">
        <v>5162</v>
      </c>
      <c r="D9959" s="22" t="str">
        <f>HYPERLINK("https://rhld.insurance.arkansas.gov/NPILookup?Npi=1508922824","1508922824")</f>
        <v>1508922824</v>
      </c>
      <c r="E9959" s="1" t="s">
        <v>11038</v>
      </c>
      <c r="F9959" s="2"/>
      <c r="G9959" s="2"/>
      <c r="H9959" s="2"/>
    </row>
    <row r="9960" spans="1:8" x14ac:dyDescent="0.25">
      <c r="A9960" s="1"/>
      <c r="B9960" s="1" t="s">
        <v>5161</v>
      </c>
      <c r="C9960" s="1" t="s">
        <v>5162</v>
      </c>
      <c r="D9960" s="22" t="str">
        <f>HYPERLINK("https://rhld.insurance.arkansas.gov/NPILookup?Npi=1518011782","1518011782")</f>
        <v>1518011782</v>
      </c>
      <c r="E9960" s="1" t="s">
        <v>11039</v>
      </c>
      <c r="F9960" s="2"/>
      <c r="G9960" s="2"/>
      <c r="H9960" s="2"/>
    </row>
    <row r="9961" spans="1:8" x14ac:dyDescent="0.25">
      <c r="A9961" s="1"/>
      <c r="B9961" s="1" t="s">
        <v>5161</v>
      </c>
      <c r="C9961" s="1" t="s">
        <v>5162</v>
      </c>
      <c r="D9961" s="22" t="str">
        <f>HYPERLINK("https://rhld.insurance.arkansas.gov/NPILookup?Npi=1518216670","1518216670")</f>
        <v>1518216670</v>
      </c>
      <c r="E9961" s="1" t="s">
        <v>19755</v>
      </c>
      <c r="F9961" s="2"/>
      <c r="G9961" s="2"/>
      <c r="H9961" s="2"/>
    </row>
    <row r="9962" spans="1:8" x14ac:dyDescent="0.25">
      <c r="A9962" s="1"/>
      <c r="B9962" s="1" t="s">
        <v>5161</v>
      </c>
      <c r="C9962" s="1" t="s">
        <v>5162</v>
      </c>
      <c r="D9962" s="22" t="str">
        <f>HYPERLINK("https://rhld.insurance.arkansas.gov/NPILookup?Npi=1518335173","1518335173")</f>
        <v>1518335173</v>
      </c>
      <c r="E9962" s="1" t="s">
        <v>19756</v>
      </c>
      <c r="F9962" s="2"/>
      <c r="G9962" s="2"/>
      <c r="H9962" s="2"/>
    </row>
    <row r="9963" spans="1:8" x14ac:dyDescent="0.25">
      <c r="A9963" s="1"/>
      <c r="B9963" s="1" t="s">
        <v>5161</v>
      </c>
      <c r="C9963" s="1" t="s">
        <v>5162</v>
      </c>
      <c r="D9963" s="22" t="str">
        <f>HYPERLINK("https://rhld.insurance.arkansas.gov/NPILookup?Npi=1518397017","1518397017")</f>
        <v>1518397017</v>
      </c>
      <c r="E9963" s="1" t="s">
        <v>19757</v>
      </c>
      <c r="F9963" s="2"/>
      <c r="G9963" s="2"/>
      <c r="H9963" s="2"/>
    </row>
    <row r="9964" spans="1:8" x14ac:dyDescent="0.25">
      <c r="A9964" s="1"/>
      <c r="B9964" s="1" t="s">
        <v>5161</v>
      </c>
      <c r="C9964" s="1" t="s">
        <v>5162</v>
      </c>
      <c r="D9964" s="22" t="str">
        <f>HYPERLINK("https://rhld.insurance.arkansas.gov/NPILookup?Npi=1518479070","1518479070")</f>
        <v>1518479070</v>
      </c>
      <c r="E9964" s="1" t="s">
        <v>31710</v>
      </c>
      <c r="F9964" s="2"/>
      <c r="G9964" s="2"/>
      <c r="H9964" s="2"/>
    </row>
    <row r="9965" spans="1:8" x14ac:dyDescent="0.25">
      <c r="A9965" s="1"/>
      <c r="B9965" s="1" t="s">
        <v>5161</v>
      </c>
      <c r="C9965" s="1" t="s">
        <v>5162</v>
      </c>
      <c r="D9965" s="22" t="str">
        <f>HYPERLINK("https://rhld.insurance.arkansas.gov/NPILookup?Npi=1518564939","1518564939")</f>
        <v>1518564939</v>
      </c>
      <c r="E9965" s="1" t="s">
        <v>19758</v>
      </c>
      <c r="F9965" s="2"/>
      <c r="G9965" s="2"/>
      <c r="H9965" s="2"/>
    </row>
    <row r="9966" spans="1:8" x14ac:dyDescent="0.25">
      <c r="A9966" s="1"/>
      <c r="B9966" s="1" t="s">
        <v>5161</v>
      </c>
      <c r="C9966" s="1" t="s">
        <v>5162</v>
      </c>
      <c r="D9966" s="22" t="str">
        <f>HYPERLINK("https://rhld.insurance.arkansas.gov/NPILookup?Npi=1518580190","1518580190")</f>
        <v>1518580190</v>
      </c>
      <c r="E9966" s="1" t="s">
        <v>5353</v>
      </c>
      <c r="F9966" s="2"/>
      <c r="G9966" s="2"/>
      <c r="H9966" s="2"/>
    </row>
    <row r="9967" spans="1:8" x14ac:dyDescent="0.25">
      <c r="A9967" s="1"/>
      <c r="B9967" s="1" t="s">
        <v>5161</v>
      </c>
      <c r="C9967" s="1" t="s">
        <v>5162</v>
      </c>
      <c r="D9967" s="22" t="str">
        <f>HYPERLINK("https://rhld.insurance.arkansas.gov/NPILookup?Npi=1518622257","1518622257")</f>
        <v>1518622257</v>
      </c>
      <c r="E9967" s="1" t="s">
        <v>19759</v>
      </c>
      <c r="F9967" s="2"/>
      <c r="G9967" s="2"/>
      <c r="H9967" s="2"/>
    </row>
    <row r="9968" spans="1:8" x14ac:dyDescent="0.25">
      <c r="A9968" s="1"/>
      <c r="B9968" s="1" t="s">
        <v>5161</v>
      </c>
      <c r="C9968" s="1" t="s">
        <v>5162</v>
      </c>
      <c r="D9968" s="22" t="str">
        <f>HYPERLINK("https://rhld.insurance.arkansas.gov/NPILookup?Npi=1518629096","1518629096")</f>
        <v>1518629096</v>
      </c>
      <c r="E9968" s="1" t="s">
        <v>19760</v>
      </c>
      <c r="F9968" s="2"/>
      <c r="G9968" s="2"/>
      <c r="H9968" s="2"/>
    </row>
    <row r="9969" spans="1:8" x14ac:dyDescent="0.25">
      <c r="A9969" s="1"/>
      <c r="B9969" s="1" t="s">
        <v>5161</v>
      </c>
      <c r="C9969" s="1" t="s">
        <v>5162</v>
      </c>
      <c r="D9969" s="22" t="str">
        <f>HYPERLINK("https://rhld.insurance.arkansas.gov/NPILookup?Npi=1528074440","1528074440")</f>
        <v>1528074440</v>
      </c>
      <c r="E9969" s="1" t="s">
        <v>1970</v>
      </c>
      <c r="F9969" s="2"/>
      <c r="G9969" s="2"/>
      <c r="H9969" s="2"/>
    </row>
    <row r="9970" spans="1:8" x14ac:dyDescent="0.25">
      <c r="A9970" s="1"/>
      <c r="B9970" s="1" t="s">
        <v>5161</v>
      </c>
      <c r="C9970" s="1" t="s">
        <v>5162</v>
      </c>
      <c r="D9970" s="22" t="str">
        <f>HYPERLINK("https://rhld.insurance.arkansas.gov/NPILookup?Npi=1528116720","1528116720")</f>
        <v>1528116720</v>
      </c>
      <c r="E9970" s="1" t="s">
        <v>5354</v>
      </c>
      <c r="F9970" s="2"/>
      <c r="G9970" s="2"/>
      <c r="H9970" s="2"/>
    </row>
    <row r="9971" spans="1:8" x14ac:dyDescent="0.25">
      <c r="A9971" s="1"/>
      <c r="B9971" s="1" t="s">
        <v>5161</v>
      </c>
      <c r="C9971" s="1" t="s">
        <v>5162</v>
      </c>
      <c r="D9971" s="22" t="str">
        <f>HYPERLINK("https://rhld.insurance.arkansas.gov/NPILookup?Npi=1528189032","1528189032")</f>
        <v>1528189032</v>
      </c>
      <c r="E9971" s="1" t="s">
        <v>19761</v>
      </c>
      <c r="F9971" s="2"/>
      <c r="G9971" s="2"/>
      <c r="H9971" s="2"/>
    </row>
    <row r="9972" spans="1:8" x14ac:dyDescent="0.25">
      <c r="A9972" s="1"/>
      <c r="B9972" s="1" t="s">
        <v>5161</v>
      </c>
      <c r="C9972" s="1" t="s">
        <v>5162</v>
      </c>
      <c r="D9972" s="22" t="str">
        <f>HYPERLINK("https://rhld.insurance.arkansas.gov/NPILookup?Npi=1528192192","1528192192")</f>
        <v>1528192192</v>
      </c>
      <c r="E9972" s="1" t="s">
        <v>31711</v>
      </c>
      <c r="F9972" s="2"/>
      <c r="G9972" s="2"/>
      <c r="H9972" s="2"/>
    </row>
    <row r="9973" spans="1:8" x14ac:dyDescent="0.25">
      <c r="A9973" s="1"/>
      <c r="B9973" s="1" t="s">
        <v>5161</v>
      </c>
      <c r="C9973" s="1" t="s">
        <v>5162</v>
      </c>
      <c r="D9973" s="22" t="str">
        <f>HYPERLINK("https://rhld.insurance.arkansas.gov/NPILookup?Npi=1528236361","1528236361")</f>
        <v>1528236361</v>
      </c>
      <c r="E9973" s="1" t="s">
        <v>19762</v>
      </c>
      <c r="F9973" s="2"/>
      <c r="G9973" s="2"/>
      <c r="H9973" s="2"/>
    </row>
    <row r="9974" spans="1:8" x14ac:dyDescent="0.25">
      <c r="A9974" s="1"/>
      <c r="B9974" s="1" t="s">
        <v>5161</v>
      </c>
      <c r="C9974" s="1" t="s">
        <v>5162</v>
      </c>
      <c r="D9974" s="22" t="str">
        <f>HYPERLINK("https://rhld.insurance.arkansas.gov/NPILookup?Npi=1528285541","1528285541")</f>
        <v>1528285541</v>
      </c>
      <c r="E9974" s="1" t="s">
        <v>19763</v>
      </c>
      <c r="F9974" s="2"/>
      <c r="G9974" s="2"/>
      <c r="H9974" s="2"/>
    </row>
    <row r="9975" spans="1:8" x14ac:dyDescent="0.25">
      <c r="A9975" s="1"/>
      <c r="B9975" s="1" t="s">
        <v>5161</v>
      </c>
      <c r="C9975" s="1" t="s">
        <v>5162</v>
      </c>
      <c r="D9975" s="22" t="str">
        <f>HYPERLINK("https://rhld.insurance.arkansas.gov/NPILookup?Npi=1528310430","1528310430")</f>
        <v>1528310430</v>
      </c>
      <c r="E9975" s="1" t="s">
        <v>5355</v>
      </c>
      <c r="F9975" s="2"/>
      <c r="G9975" s="2"/>
      <c r="H9975" s="2"/>
    </row>
    <row r="9976" spans="1:8" x14ac:dyDescent="0.25">
      <c r="A9976" s="1"/>
      <c r="B9976" s="1" t="s">
        <v>5161</v>
      </c>
      <c r="C9976" s="1" t="s">
        <v>5162</v>
      </c>
      <c r="D9976" s="22" t="str">
        <f>HYPERLINK("https://rhld.insurance.arkansas.gov/NPILookup?Npi=1528394046","1528394046")</f>
        <v>1528394046</v>
      </c>
      <c r="E9976" s="1" t="s">
        <v>11040</v>
      </c>
      <c r="F9976" s="2"/>
      <c r="G9976" s="2"/>
      <c r="H9976" s="2"/>
    </row>
    <row r="9977" spans="1:8" x14ac:dyDescent="0.25">
      <c r="A9977" s="1"/>
      <c r="B9977" s="1" t="s">
        <v>5161</v>
      </c>
      <c r="C9977" s="1" t="s">
        <v>5162</v>
      </c>
      <c r="D9977" s="22" t="str">
        <f>HYPERLINK("https://rhld.insurance.arkansas.gov/NPILookup?Npi=1528469038","1528469038")</f>
        <v>1528469038</v>
      </c>
      <c r="E9977" s="1" t="s">
        <v>19764</v>
      </c>
      <c r="F9977" s="2"/>
      <c r="G9977" s="2"/>
      <c r="H9977" s="2"/>
    </row>
    <row r="9978" spans="1:8" x14ac:dyDescent="0.25">
      <c r="A9978" s="1"/>
      <c r="B9978" s="1" t="s">
        <v>5161</v>
      </c>
      <c r="C9978" s="1" t="s">
        <v>5162</v>
      </c>
      <c r="D9978" s="22" t="str">
        <f>HYPERLINK("https://rhld.insurance.arkansas.gov/NPILookup?Npi=1528469145","1528469145")</f>
        <v>1528469145</v>
      </c>
      <c r="E9978" s="1" t="s">
        <v>5356</v>
      </c>
      <c r="F9978" s="2"/>
      <c r="G9978" s="2"/>
      <c r="H9978" s="2"/>
    </row>
    <row r="9979" spans="1:8" x14ac:dyDescent="0.25">
      <c r="A9979" s="1"/>
      <c r="B9979" s="1" t="s">
        <v>5161</v>
      </c>
      <c r="C9979" s="1" t="s">
        <v>5162</v>
      </c>
      <c r="D9979" s="22" t="str">
        <f>HYPERLINK("https://rhld.insurance.arkansas.gov/NPILookup?Npi=1528476918","1528476918")</f>
        <v>1528476918</v>
      </c>
      <c r="E9979" s="1" t="s">
        <v>19765</v>
      </c>
      <c r="F9979" s="2"/>
      <c r="G9979" s="2"/>
      <c r="H9979" s="2"/>
    </row>
    <row r="9980" spans="1:8" x14ac:dyDescent="0.25">
      <c r="A9980" s="1"/>
      <c r="B9980" s="1" t="s">
        <v>5161</v>
      </c>
      <c r="C9980" s="1" t="s">
        <v>5162</v>
      </c>
      <c r="D9980" s="22" t="str">
        <f>HYPERLINK("https://rhld.insurance.arkansas.gov/NPILookup?Npi=1528544749","1528544749")</f>
        <v>1528544749</v>
      </c>
      <c r="E9980" s="1" t="s">
        <v>11041</v>
      </c>
      <c r="F9980" s="2"/>
      <c r="G9980" s="2"/>
      <c r="H9980" s="2"/>
    </row>
    <row r="9981" spans="1:8" x14ac:dyDescent="0.25">
      <c r="A9981" s="1"/>
      <c r="B9981" s="1" t="s">
        <v>5161</v>
      </c>
      <c r="C9981" s="1" t="s">
        <v>5162</v>
      </c>
      <c r="D9981" s="22" t="str">
        <f>HYPERLINK("https://rhld.insurance.arkansas.gov/NPILookup?Npi=1528561412","1528561412")</f>
        <v>1528561412</v>
      </c>
      <c r="E9981" s="1" t="s">
        <v>19766</v>
      </c>
      <c r="F9981" s="2"/>
      <c r="G9981" s="2"/>
      <c r="H9981" s="2"/>
    </row>
    <row r="9982" spans="1:8" x14ac:dyDescent="0.25">
      <c r="A9982" s="1"/>
      <c r="B9982" s="1" t="s">
        <v>5161</v>
      </c>
      <c r="C9982" s="1" t="s">
        <v>5162</v>
      </c>
      <c r="D9982" s="22" t="str">
        <f>HYPERLINK("https://rhld.insurance.arkansas.gov/NPILookup?Npi=1528599586","1528599586")</f>
        <v>1528599586</v>
      </c>
      <c r="E9982" s="1" t="s">
        <v>31712</v>
      </c>
      <c r="F9982" s="2"/>
      <c r="G9982" s="2"/>
      <c r="H9982" s="2"/>
    </row>
    <row r="9983" spans="1:8" x14ac:dyDescent="0.25">
      <c r="A9983" s="1"/>
      <c r="B9983" s="1" t="s">
        <v>5161</v>
      </c>
      <c r="C9983" s="1" t="s">
        <v>5162</v>
      </c>
      <c r="D9983" s="22" t="str">
        <f>HYPERLINK("https://rhld.insurance.arkansas.gov/NPILookup?Npi=1528635281","1528635281")</f>
        <v>1528635281</v>
      </c>
      <c r="E9983" s="1" t="s">
        <v>19767</v>
      </c>
      <c r="F9983" s="2"/>
      <c r="G9983" s="2"/>
      <c r="H9983" s="2"/>
    </row>
    <row r="9984" spans="1:8" x14ac:dyDescent="0.25">
      <c r="A9984" s="1"/>
      <c r="B9984" s="1" t="s">
        <v>5161</v>
      </c>
      <c r="C9984" s="1" t="s">
        <v>5162</v>
      </c>
      <c r="D9984" s="22" t="str">
        <f>HYPERLINK("https://rhld.insurance.arkansas.gov/NPILookup?Npi=1528638111","1528638111")</f>
        <v>1528638111</v>
      </c>
      <c r="E9984" s="1" t="s">
        <v>5357</v>
      </c>
      <c r="F9984" s="2"/>
      <c r="G9984" s="2"/>
      <c r="H9984" s="2"/>
    </row>
    <row r="9985" spans="1:8" x14ac:dyDescent="0.25">
      <c r="A9985" s="1"/>
      <c r="B9985" s="1" t="s">
        <v>5161</v>
      </c>
      <c r="C9985" s="1" t="s">
        <v>5162</v>
      </c>
      <c r="D9985" s="22" t="str">
        <f>HYPERLINK("https://rhld.insurance.arkansas.gov/NPILookup?Npi=1528657319","1528657319")</f>
        <v>1528657319</v>
      </c>
      <c r="E9985" s="1" t="s">
        <v>19768</v>
      </c>
      <c r="F9985" s="2"/>
      <c r="G9985" s="2"/>
      <c r="H9985" s="2"/>
    </row>
    <row r="9986" spans="1:8" x14ac:dyDescent="0.25">
      <c r="A9986" s="1"/>
      <c r="B9986" s="1" t="s">
        <v>5161</v>
      </c>
      <c r="C9986" s="1" t="s">
        <v>5162</v>
      </c>
      <c r="D9986" s="22" t="str">
        <f>HYPERLINK("https://rhld.insurance.arkansas.gov/NPILookup?Npi=1528869112","1528869112")</f>
        <v>1528869112</v>
      </c>
      <c r="E9986" s="1" t="s">
        <v>31713</v>
      </c>
      <c r="F9986" s="2"/>
      <c r="G9986" s="2"/>
      <c r="H9986" s="2"/>
    </row>
    <row r="9987" spans="1:8" x14ac:dyDescent="0.25">
      <c r="A9987" s="1"/>
      <c r="B9987" s="1" t="s">
        <v>5161</v>
      </c>
      <c r="C9987" s="1" t="s">
        <v>5162</v>
      </c>
      <c r="D9987" s="22" t="str">
        <f>HYPERLINK("https://rhld.insurance.arkansas.gov/NPILookup?Npi=1528895497","1528895497")</f>
        <v>1528895497</v>
      </c>
      <c r="E9987" s="1" t="s">
        <v>19769</v>
      </c>
      <c r="F9987" s="2"/>
      <c r="G9987" s="2"/>
      <c r="H9987" s="2"/>
    </row>
    <row r="9988" spans="1:8" x14ac:dyDescent="0.25">
      <c r="A9988" s="1"/>
      <c r="B9988" s="1" t="s">
        <v>5161</v>
      </c>
      <c r="C9988" s="1" t="s">
        <v>5162</v>
      </c>
      <c r="D9988" s="22" t="str">
        <f>HYPERLINK("https://rhld.insurance.arkansas.gov/NPILookup?Npi=1538295001","1538295001")</f>
        <v>1538295001</v>
      </c>
      <c r="E9988" s="1" t="s">
        <v>11042</v>
      </c>
      <c r="F9988" s="2"/>
      <c r="G9988" s="2"/>
      <c r="H9988" s="2"/>
    </row>
    <row r="9989" spans="1:8" x14ac:dyDescent="0.25">
      <c r="A9989" s="1"/>
      <c r="B9989" s="1" t="s">
        <v>5161</v>
      </c>
      <c r="C9989" s="1" t="s">
        <v>5162</v>
      </c>
      <c r="D9989" s="22" t="str">
        <f>HYPERLINK("https://rhld.insurance.arkansas.gov/NPILookup?Npi=1538317318","1538317318")</f>
        <v>1538317318</v>
      </c>
      <c r="E9989" s="1" t="s">
        <v>13824</v>
      </c>
      <c r="F9989" s="2"/>
      <c r="G9989" s="2"/>
      <c r="H9989" s="2"/>
    </row>
    <row r="9990" spans="1:8" x14ac:dyDescent="0.25">
      <c r="A9990" s="1"/>
      <c r="B9990" s="1" t="s">
        <v>5161</v>
      </c>
      <c r="C9990" s="1" t="s">
        <v>5162</v>
      </c>
      <c r="D9990" s="22" t="str">
        <f>HYPERLINK("https://rhld.insurance.arkansas.gov/NPILookup?Npi=1538319173","1538319173")</f>
        <v>1538319173</v>
      </c>
      <c r="E9990" s="1" t="s">
        <v>5358</v>
      </c>
      <c r="F9990" s="2"/>
      <c r="G9990" s="2"/>
      <c r="H9990" s="2"/>
    </row>
    <row r="9991" spans="1:8" x14ac:dyDescent="0.25">
      <c r="A9991" s="1"/>
      <c r="B9991" s="1" t="s">
        <v>5161</v>
      </c>
      <c r="C9991" s="1" t="s">
        <v>5162</v>
      </c>
      <c r="D9991" s="22" t="str">
        <f>HYPERLINK("https://rhld.insurance.arkansas.gov/NPILookup?Npi=1538563986","1538563986")</f>
        <v>1538563986</v>
      </c>
      <c r="E9991" s="1" t="s">
        <v>1884</v>
      </c>
      <c r="F9991" s="2"/>
      <c r="G9991" s="2"/>
      <c r="H9991" s="2"/>
    </row>
    <row r="9992" spans="1:8" x14ac:dyDescent="0.25">
      <c r="A9992" s="1"/>
      <c r="B9992" s="1" t="s">
        <v>5161</v>
      </c>
      <c r="C9992" s="1" t="s">
        <v>5162</v>
      </c>
      <c r="D9992" s="22" t="str">
        <f>HYPERLINK("https://rhld.insurance.arkansas.gov/NPILookup?Npi=1538707286","1538707286")</f>
        <v>1538707286</v>
      </c>
      <c r="E9992" s="1" t="s">
        <v>11043</v>
      </c>
      <c r="F9992" s="2"/>
      <c r="G9992" s="2"/>
      <c r="H9992" s="2"/>
    </row>
    <row r="9993" spans="1:8" x14ac:dyDescent="0.25">
      <c r="A9993" s="1"/>
      <c r="B9993" s="1" t="s">
        <v>5161</v>
      </c>
      <c r="C9993" s="1" t="s">
        <v>5162</v>
      </c>
      <c r="D9993" s="22" t="str">
        <f>HYPERLINK("https://rhld.insurance.arkansas.gov/NPILookup?Npi=1538849971","1538849971")</f>
        <v>1538849971</v>
      </c>
      <c r="E9993" s="1" t="s">
        <v>19770</v>
      </c>
      <c r="F9993" s="2"/>
      <c r="G9993" s="2"/>
      <c r="H9993" s="2"/>
    </row>
    <row r="9994" spans="1:8" x14ac:dyDescent="0.25">
      <c r="A9994" s="1"/>
      <c r="B9994" s="1" t="s">
        <v>5161</v>
      </c>
      <c r="C9994" s="1" t="s">
        <v>5162</v>
      </c>
      <c r="D9994" s="22" t="str">
        <f>HYPERLINK("https://rhld.insurance.arkansas.gov/NPILookup?Npi=1538871439","1538871439")</f>
        <v>1538871439</v>
      </c>
      <c r="E9994" s="1" t="s">
        <v>19771</v>
      </c>
      <c r="F9994" s="2"/>
      <c r="G9994" s="2"/>
      <c r="H9994" s="2"/>
    </row>
    <row r="9995" spans="1:8" x14ac:dyDescent="0.25">
      <c r="A9995" s="1"/>
      <c r="B9995" s="1" t="s">
        <v>5161</v>
      </c>
      <c r="C9995" s="1" t="s">
        <v>5162</v>
      </c>
      <c r="D9995" s="22" t="str">
        <f>HYPERLINK("https://rhld.insurance.arkansas.gov/NPILookup?Npi=1548347404","1548347404")</f>
        <v>1548347404</v>
      </c>
      <c r="E9995" s="1" t="s">
        <v>19772</v>
      </c>
      <c r="F9995" s="2"/>
      <c r="G9995" s="2"/>
      <c r="H9995" s="2"/>
    </row>
    <row r="9996" spans="1:8" x14ac:dyDescent="0.25">
      <c r="A9996" s="1"/>
      <c r="B9996" s="1" t="s">
        <v>5161</v>
      </c>
      <c r="C9996" s="1" t="s">
        <v>5162</v>
      </c>
      <c r="D9996" s="22" t="str">
        <f>HYPERLINK("https://rhld.insurance.arkansas.gov/NPILookup?Npi=1548383912","1548383912")</f>
        <v>1548383912</v>
      </c>
      <c r="E9996" s="1" t="s">
        <v>19773</v>
      </c>
      <c r="F9996" s="2"/>
      <c r="G9996" s="2"/>
      <c r="H9996" s="2"/>
    </row>
    <row r="9997" spans="1:8" x14ac:dyDescent="0.25">
      <c r="A9997" s="1"/>
      <c r="B9997" s="1" t="s">
        <v>5161</v>
      </c>
      <c r="C9997" s="1" t="s">
        <v>5162</v>
      </c>
      <c r="D9997" s="22" t="str">
        <f>HYPERLINK("https://rhld.insurance.arkansas.gov/NPILookup?Npi=1548417538","1548417538")</f>
        <v>1548417538</v>
      </c>
      <c r="E9997" s="1" t="s">
        <v>5359</v>
      </c>
      <c r="F9997" s="2"/>
      <c r="G9997" s="2"/>
      <c r="H9997" s="2"/>
    </row>
    <row r="9998" spans="1:8" x14ac:dyDescent="0.25">
      <c r="A9998" s="1"/>
      <c r="B9998" s="1" t="s">
        <v>5161</v>
      </c>
      <c r="C9998" s="1" t="s">
        <v>5162</v>
      </c>
      <c r="D9998" s="22" t="str">
        <f>HYPERLINK("https://rhld.insurance.arkansas.gov/NPILookup?Npi=1548426034","1548426034")</f>
        <v>1548426034</v>
      </c>
      <c r="E9998" s="1" t="s">
        <v>19774</v>
      </c>
      <c r="F9998" s="2"/>
      <c r="G9998" s="2"/>
      <c r="H9998" s="2"/>
    </row>
    <row r="9999" spans="1:8" x14ac:dyDescent="0.25">
      <c r="A9999" s="1"/>
      <c r="B9999" s="1" t="s">
        <v>5161</v>
      </c>
      <c r="C9999" s="1" t="s">
        <v>5162</v>
      </c>
      <c r="D9999" s="22" t="str">
        <f>HYPERLINK("https://rhld.insurance.arkansas.gov/NPILookup?Npi=1548556616","1548556616")</f>
        <v>1548556616</v>
      </c>
      <c r="E9999" s="1" t="s">
        <v>5360</v>
      </c>
      <c r="F9999" s="2"/>
      <c r="G9999" s="2"/>
      <c r="H9999" s="2"/>
    </row>
    <row r="10000" spans="1:8" x14ac:dyDescent="0.25">
      <c r="A10000" s="1"/>
      <c r="B10000" s="1" t="s">
        <v>5161</v>
      </c>
      <c r="C10000" s="1" t="s">
        <v>5162</v>
      </c>
      <c r="D10000" s="22" t="str">
        <f>HYPERLINK("https://rhld.insurance.arkansas.gov/NPILookup?Npi=1548580590","1548580590")</f>
        <v>1548580590</v>
      </c>
      <c r="E10000" s="1" t="s">
        <v>449</v>
      </c>
      <c r="F10000" s="2"/>
      <c r="G10000" s="2"/>
      <c r="H10000" s="2"/>
    </row>
    <row r="10001" spans="1:8" x14ac:dyDescent="0.25">
      <c r="A10001" s="1"/>
      <c r="B10001" s="1" t="s">
        <v>5161</v>
      </c>
      <c r="C10001" s="1" t="s">
        <v>5162</v>
      </c>
      <c r="D10001" s="22" t="str">
        <f>HYPERLINK("https://rhld.insurance.arkansas.gov/NPILookup?Npi=1548594054","1548594054")</f>
        <v>1548594054</v>
      </c>
      <c r="E10001" s="1" t="s">
        <v>11044</v>
      </c>
      <c r="F10001" s="2"/>
      <c r="G10001" s="2"/>
      <c r="H10001" s="2"/>
    </row>
    <row r="10002" spans="1:8" x14ac:dyDescent="0.25">
      <c r="A10002" s="1"/>
      <c r="B10002" s="1" t="s">
        <v>5161</v>
      </c>
      <c r="C10002" s="1" t="s">
        <v>5162</v>
      </c>
      <c r="D10002" s="22" t="str">
        <f>HYPERLINK("https://rhld.insurance.arkansas.gov/NPILookup?Npi=1548596406","1548596406")</f>
        <v>1548596406</v>
      </c>
      <c r="E10002" s="1" t="s">
        <v>19775</v>
      </c>
      <c r="F10002" s="2"/>
      <c r="G10002" s="2"/>
      <c r="H10002" s="2"/>
    </row>
    <row r="10003" spans="1:8" x14ac:dyDescent="0.25">
      <c r="A10003" s="1"/>
      <c r="B10003" s="1" t="s">
        <v>5161</v>
      </c>
      <c r="C10003" s="1" t="s">
        <v>5162</v>
      </c>
      <c r="D10003" s="22" t="str">
        <f>HYPERLINK("https://rhld.insurance.arkansas.gov/NPILookup?Npi=1548622871","1548622871")</f>
        <v>1548622871</v>
      </c>
      <c r="E10003" s="1" t="s">
        <v>11045</v>
      </c>
      <c r="F10003" s="2"/>
      <c r="G10003" s="2"/>
      <c r="H10003" s="2"/>
    </row>
    <row r="10004" spans="1:8" x14ac:dyDescent="0.25">
      <c r="A10004" s="1"/>
      <c r="B10004" s="1" t="s">
        <v>5161</v>
      </c>
      <c r="C10004" s="1" t="s">
        <v>5162</v>
      </c>
      <c r="D10004" s="22" t="str">
        <f>HYPERLINK("https://rhld.insurance.arkansas.gov/NPILookup?Npi=1548637747","1548637747")</f>
        <v>1548637747</v>
      </c>
      <c r="E10004" s="1" t="s">
        <v>19776</v>
      </c>
      <c r="F10004" s="2"/>
      <c r="G10004" s="2"/>
      <c r="H10004" s="2"/>
    </row>
    <row r="10005" spans="1:8" x14ac:dyDescent="0.25">
      <c r="A10005" s="1"/>
      <c r="B10005" s="1" t="s">
        <v>5161</v>
      </c>
      <c r="C10005" s="1" t="s">
        <v>5162</v>
      </c>
      <c r="D10005" s="22" t="str">
        <f>HYPERLINK("https://rhld.insurance.arkansas.gov/NPILookup?Npi=1548704885","1548704885")</f>
        <v>1548704885</v>
      </c>
      <c r="E10005" s="1" t="s">
        <v>19777</v>
      </c>
      <c r="F10005" s="2"/>
      <c r="G10005" s="2"/>
      <c r="H10005" s="2"/>
    </row>
    <row r="10006" spans="1:8" x14ac:dyDescent="0.25">
      <c r="A10006" s="1"/>
      <c r="B10006" s="1" t="s">
        <v>5161</v>
      </c>
      <c r="C10006" s="1" t="s">
        <v>5162</v>
      </c>
      <c r="D10006" s="22" t="str">
        <f>HYPERLINK("https://rhld.insurance.arkansas.gov/NPILookup?Npi=1548745722","1548745722")</f>
        <v>1548745722</v>
      </c>
      <c r="E10006" s="1" t="s">
        <v>19778</v>
      </c>
      <c r="F10006" s="2"/>
      <c r="G10006" s="2"/>
      <c r="H10006" s="2"/>
    </row>
    <row r="10007" spans="1:8" x14ac:dyDescent="0.25">
      <c r="A10007" s="1"/>
      <c r="B10007" s="1" t="s">
        <v>5161</v>
      </c>
      <c r="C10007" s="1" t="s">
        <v>5162</v>
      </c>
      <c r="D10007" s="22" t="str">
        <f>HYPERLINK("https://rhld.insurance.arkansas.gov/NPILookup?Npi=1548776115","1548776115")</f>
        <v>1548776115</v>
      </c>
      <c r="E10007" s="1" t="s">
        <v>11046</v>
      </c>
      <c r="F10007" s="2"/>
      <c r="G10007" s="2"/>
      <c r="H10007" s="2"/>
    </row>
    <row r="10008" spans="1:8" x14ac:dyDescent="0.25">
      <c r="A10008" s="1"/>
      <c r="B10008" s="1" t="s">
        <v>5161</v>
      </c>
      <c r="C10008" s="1" t="s">
        <v>5162</v>
      </c>
      <c r="D10008" s="22" t="str">
        <f>HYPERLINK("https://rhld.insurance.arkansas.gov/NPILookup?Npi=1548876014","1548876014")</f>
        <v>1548876014</v>
      </c>
      <c r="E10008" s="1" t="s">
        <v>5361</v>
      </c>
      <c r="F10008" s="2"/>
      <c r="G10008" s="2"/>
      <c r="H10008" s="2"/>
    </row>
    <row r="10009" spans="1:8" x14ac:dyDescent="0.25">
      <c r="A10009" s="1"/>
      <c r="B10009" s="1" t="s">
        <v>5161</v>
      </c>
      <c r="C10009" s="1" t="s">
        <v>5162</v>
      </c>
      <c r="D10009" s="22" t="str">
        <f>HYPERLINK("https://rhld.insurance.arkansas.gov/NPILookup?Npi=1558168658","1558168658")</f>
        <v>1558168658</v>
      </c>
      <c r="E10009" s="1" t="s">
        <v>31714</v>
      </c>
      <c r="F10009" s="2"/>
      <c r="G10009" s="2"/>
      <c r="H10009" s="2"/>
    </row>
    <row r="10010" spans="1:8" x14ac:dyDescent="0.25">
      <c r="A10010" s="1"/>
      <c r="B10010" s="1" t="s">
        <v>5161</v>
      </c>
      <c r="C10010" s="1" t="s">
        <v>5162</v>
      </c>
      <c r="D10010" s="22" t="str">
        <f>HYPERLINK("https://rhld.insurance.arkansas.gov/NPILookup?Npi=1558516831","1558516831")</f>
        <v>1558516831</v>
      </c>
      <c r="E10010" s="1" t="s">
        <v>19779</v>
      </c>
      <c r="F10010" s="2"/>
      <c r="G10010" s="2"/>
      <c r="H10010" s="2"/>
    </row>
    <row r="10011" spans="1:8" x14ac:dyDescent="0.25">
      <c r="A10011" s="1"/>
      <c r="B10011" s="1" t="s">
        <v>5161</v>
      </c>
      <c r="C10011" s="1" t="s">
        <v>5162</v>
      </c>
      <c r="D10011" s="22" t="str">
        <f>HYPERLINK("https://rhld.insurance.arkansas.gov/NPILookup?Npi=1558694901","1558694901")</f>
        <v>1558694901</v>
      </c>
      <c r="E10011" s="1" t="s">
        <v>19780</v>
      </c>
      <c r="F10011" s="2"/>
      <c r="G10011" s="2"/>
      <c r="H10011" s="2"/>
    </row>
    <row r="10012" spans="1:8" x14ac:dyDescent="0.25">
      <c r="A10012" s="1"/>
      <c r="B10012" s="1" t="s">
        <v>5161</v>
      </c>
      <c r="C10012" s="1" t="s">
        <v>5162</v>
      </c>
      <c r="D10012" s="22" t="str">
        <f>HYPERLINK("https://rhld.insurance.arkansas.gov/NPILookup?Npi=1558696930","1558696930")</f>
        <v>1558696930</v>
      </c>
      <c r="E10012" s="1" t="s">
        <v>19781</v>
      </c>
      <c r="F10012" s="2"/>
      <c r="G10012" s="2"/>
      <c r="H10012" s="2"/>
    </row>
    <row r="10013" spans="1:8" x14ac:dyDescent="0.25">
      <c r="A10013" s="1"/>
      <c r="B10013" s="1" t="s">
        <v>5161</v>
      </c>
      <c r="C10013" s="1" t="s">
        <v>5162</v>
      </c>
      <c r="D10013" s="22" t="str">
        <f>HYPERLINK("https://rhld.insurance.arkansas.gov/NPILookup?Npi=1558702688","1558702688")</f>
        <v>1558702688</v>
      </c>
      <c r="E10013" s="1" t="s">
        <v>19782</v>
      </c>
      <c r="F10013" s="2"/>
      <c r="G10013" s="2"/>
      <c r="H10013" s="2"/>
    </row>
    <row r="10014" spans="1:8" x14ac:dyDescent="0.25">
      <c r="A10014" s="1"/>
      <c r="B10014" s="1" t="s">
        <v>5161</v>
      </c>
      <c r="C10014" s="1" t="s">
        <v>5162</v>
      </c>
      <c r="D10014" s="22" t="str">
        <f>HYPERLINK("https://rhld.insurance.arkansas.gov/NPILookup?Npi=1558712133","1558712133")</f>
        <v>1558712133</v>
      </c>
      <c r="E10014" s="1" t="s">
        <v>19783</v>
      </c>
      <c r="F10014" s="2"/>
      <c r="G10014" s="2"/>
      <c r="H10014" s="2"/>
    </row>
    <row r="10015" spans="1:8" x14ac:dyDescent="0.25">
      <c r="A10015" s="1"/>
      <c r="B10015" s="1" t="s">
        <v>5161</v>
      </c>
      <c r="C10015" s="1" t="s">
        <v>5162</v>
      </c>
      <c r="D10015" s="22" t="str">
        <f>HYPERLINK("https://rhld.insurance.arkansas.gov/NPILookup?Npi=1558773101","1558773101")</f>
        <v>1558773101</v>
      </c>
      <c r="E10015" s="1" t="s">
        <v>11047</v>
      </c>
      <c r="F10015" s="2"/>
      <c r="G10015" s="2"/>
      <c r="H10015" s="2"/>
    </row>
    <row r="10016" spans="1:8" x14ac:dyDescent="0.25">
      <c r="A10016" s="1"/>
      <c r="B10016" s="1" t="s">
        <v>5161</v>
      </c>
      <c r="C10016" s="1" t="s">
        <v>5162</v>
      </c>
      <c r="D10016" s="22" t="str">
        <f>HYPERLINK("https://rhld.insurance.arkansas.gov/NPILookup?Npi=1558779421","1558779421")</f>
        <v>1558779421</v>
      </c>
      <c r="E10016" s="1" t="s">
        <v>19784</v>
      </c>
      <c r="F10016" s="2"/>
      <c r="G10016" s="2"/>
      <c r="H10016" s="2"/>
    </row>
    <row r="10017" spans="1:8" x14ac:dyDescent="0.25">
      <c r="A10017" s="1"/>
      <c r="B10017" s="1" t="s">
        <v>5161</v>
      </c>
      <c r="C10017" s="1" t="s">
        <v>5162</v>
      </c>
      <c r="D10017" s="22" t="str">
        <f>HYPERLINK("https://rhld.insurance.arkansas.gov/NPILookup?Npi=1558829002","1558829002")</f>
        <v>1558829002</v>
      </c>
      <c r="E10017" s="1" t="s">
        <v>5363</v>
      </c>
      <c r="F10017" s="2"/>
      <c r="G10017" s="2"/>
      <c r="H10017" s="2"/>
    </row>
    <row r="10018" spans="1:8" x14ac:dyDescent="0.25">
      <c r="A10018" s="1"/>
      <c r="B10018" s="1" t="s">
        <v>5161</v>
      </c>
      <c r="C10018" s="1" t="s">
        <v>5162</v>
      </c>
      <c r="D10018" s="22" t="str">
        <f>HYPERLINK("https://rhld.insurance.arkansas.gov/NPILookup?Npi=1558837336","1558837336")</f>
        <v>1558837336</v>
      </c>
      <c r="E10018" s="1" t="s">
        <v>5364</v>
      </c>
      <c r="F10018" s="2"/>
      <c r="G10018" s="2"/>
      <c r="H10018" s="2"/>
    </row>
    <row r="10019" spans="1:8" x14ac:dyDescent="0.25">
      <c r="A10019" s="1"/>
      <c r="B10019" s="1" t="s">
        <v>5161</v>
      </c>
      <c r="C10019" s="1" t="s">
        <v>5162</v>
      </c>
      <c r="D10019" s="22" t="str">
        <f>HYPERLINK("https://rhld.insurance.arkansas.gov/NPILookup?Npi=1558875781","1558875781")</f>
        <v>1558875781</v>
      </c>
      <c r="E10019" s="1" t="s">
        <v>19785</v>
      </c>
      <c r="F10019" s="2"/>
      <c r="G10019" s="2"/>
      <c r="H10019" s="2"/>
    </row>
    <row r="10020" spans="1:8" x14ac:dyDescent="0.25">
      <c r="A10020" s="1"/>
      <c r="B10020" s="1" t="s">
        <v>5161</v>
      </c>
      <c r="C10020" s="1" t="s">
        <v>5162</v>
      </c>
      <c r="D10020" s="22" t="str">
        <f>HYPERLINK("https://rhld.insurance.arkansas.gov/NPILookup?Npi=1558934521","1558934521")</f>
        <v>1558934521</v>
      </c>
      <c r="E10020" s="1" t="s">
        <v>5365</v>
      </c>
      <c r="F10020" s="2"/>
      <c r="G10020" s="2"/>
      <c r="H10020" s="2"/>
    </row>
    <row r="10021" spans="1:8" x14ac:dyDescent="0.25">
      <c r="A10021" s="1"/>
      <c r="B10021" s="1" t="s">
        <v>5161</v>
      </c>
      <c r="C10021" s="1" t="s">
        <v>5162</v>
      </c>
      <c r="D10021" s="22" t="str">
        <f>HYPERLINK("https://rhld.insurance.arkansas.gov/NPILookup?Npi=1558955203","1558955203")</f>
        <v>1558955203</v>
      </c>
      <c r="E10021" s="1" t="s">
        <v>5366</v>
      </c>
      <c r="F10021" s="2"/>
      <c r="G10021" s="2"/>
      <c r="H10021" s="2"/>
    </row>
    <row r="10022" spans="1:8" x14ac:dyDescent="0.25">
      <c r="A10022" s="1"/>
      <c r="B10022" s="1" t="s">
        <v>5161</v>
      </c>
      <c r="C10022" s="1" t="s">
        <v>5162</v>
      </c>
      <c r="D10022" s="22" t="str">
        <f>HYPERLINK("https://rhld.insurance.arkansas.gov/NPILookup?Npi=1558968123","1558968123")</f>
        <v>1558968123</v>
      </c>
      <c r="E10022" s="1" t="s">
        <v>19786</v>
      </c>
      <c r="F10022" s="2"/>
      <c r="G10022" s="2"/>
      <c r="H10022" s="2"/>
    </row>
    <row r="10023" spans="1:8" x14ac:dyDescent="0.25">
      <c r="A10023" s="1"/>
      <c r="B10023" s="1" t="s">
        <v>5161</v>
      </c>
      <c r="C10023" s="1" t="s">
        <v>5162</v>
      </c>
      <c r="D10023" s="22" t="str">
        <f>HYPERLINK("https://rhld.insurance.arkansas.gov/NPILookup?Npi=1558986950","1558986950")</f>
        <v>1558986950</v>
      </c>
      <c r="E10023" s="1" t="s">
        <v>11048</v>
      </c>
      <c r="F10023" s="2"/>
      <c r="G10023" s="2"/>
      <c r="H10023" s="2"/>
    </row>
    <row r="10024" spans="1:8" x14ac:dyDescent="0.25">
      <c r="A10024" s="1"/>
      <c r="B10024" s="1" t="s">
        <v>5161</v>
      </c>
      <c r="C10024" s="1" t="s">
        <v>5162</v>
      </c>
      <c r="D10024" s="22" t="str">
        <f>HYPERLINK("https://rhld.insurance.arkansas.gov/NPILookup?Npi=1568062305","1568062305")</f>
        <v>1568062305</v>
      </c>
      <c r="E10024" s="1" t="s">
        <v>19787</v>
      </c>
      <c r="F10024" s="2"/>
      <c r="G10024" s="2"/>
      <c r="H10024" s="2"/>
    </row>
    <row r="10025" spans="1:8" x14ac:dyDescent="0.25">
      <c r="A10025" s="1"/>
      <c r="B10025" s="1" t="s">
        <v>5161</v>
      </c>
      <c r="C10025" s="1" t="s">
        <v>5162</v>
      </c>
      <c r="D10025" s="22" t="str">
        <f>HYPERLINK("https://rhld.insurance.arkansas.gov/NPILookup?Npi=1568087997","1568087997")</f>
        <v>1568087997</v>
      </c>
      <c r="E10025" s="1" t="s">
        <v>19788</v>
      </c>
      <c r="F10025" s="2"/>
      <c r="G10025" s="2"/>
      <c r="H10025" s="2"/>
    </row>
    <row r="10026" spans="1:8" x14ac:dyDescent="0.25">
      <c r="A10026" s="1"/>
      <c r="B10026" s="1" t="s">
        <v>5161</v>
      </c>
      <c r="C10026" s="1" t="s">
        <v>5162</v>
      </c>
      <c r="D10026" s="22" t="str">
        <f>HYPERLINK("https://rhld.insurance.arkansas.gov/NPILookup?Npi=1568138121","1568138121")</f>
        <v>1568138121</v>
      </c>
      <c r="E10026" s="1" t="s">
        <v>11049</v>
      </c>
      <c r="F10026" s="2"/>
      <c r="G10026" s="2"/>
      <c r="H10026" s="2"/>
    </row>
    <row r="10027" spans="1:8" x14ac:dyDescent="0.25">
      <c r="A10027" s="1"/>
      <c r="B10027" s="1" t="s">
        <v>5161</v>
      </c>
      <c r="C10027" s="1" t="s">
        <v>5162</v>
      </c>
      <c r="D10027" s="22" t="str">
        <f>HYPERLINK("https://rhld.insurance.arkansas.gov/NPILookup?Npi=1568180792","1568180792")</f>
        <v>1568180792</v>
      </c>
      <c r="E10027" s="1" t="s">
        <v>19789</v>
      </c>
      <c r="F10027" s="2"/>
      <c r="G10027" s="2"/>
      <c r="H10027" s="2"/>
    </row>
    <row r="10028" spans="1:8" x14ac:dyDescent="0.25">
      <c r="A10028" s="1"/>
      <c r="B10028" s="1" t="s">
        <v>5161</v>
      </c>
      <c r="C10028" s="1" t="s">
        <v>5162</v>
      </c>
      <c r="D10028" s="22" t="str">
        <f>HYPERLINK("https://rhld.insurance.arkansas.gov/NPILookup?Npi=1568626687","1568626687")</f>
        <v>1568626687</v>
      </c>
      <c r="E10028" s="1" t="s">
        <v>11050</v>
      </c>
      <c r="F10028" s="2"/>
      <c r="G10028" s="2"/>
      <c r="H10028" s="2"/>
    </row>
    <row r="10029" spans="1:8" x14ac:dyDescent="0.25">
      <c r="A10029" s="1"/>
      <c r="B10029" s="1" t="s">
        <v>5161</v>
      </c>
      <c r="C10029" s="1" t="s">
        <v>5162</v>
      </c>
      <c r="D10029" s="22" t="str">
        <f>HYPERLINK("https://rhld.insurance.arkansas.gov/NPILookup?Npi=1568744522","1568744522")</f>
        <v>1568744522</v>
      </c>
      <c r="E10029" s="1" t="s">
        <v>19790</v>
      </c>
      <c r="F10029" s="2"/>
      <c r="G10029" s="2"/>
      <c r="H10029" s="2"/>
    </row>
    <row r="10030" spans="1:8" x14ac:dyDescent="0.25">
      <c r="A10030" s="1"/>
      <c r="B10030" s="1" t="s">
        <v>5161</v>
      </c>
      <c r="C10030" s="1" t="s">
        <v>5162</v>
      </c>
      <c r="D10030" s="22" t="str">
        <f>HYPERLINK("https://rhld.insurance.arkansas.gov/NPILookup?Npi=1568770386","1568770386")</f>
        <v>1568770386</v>
      </c>
      <c r="E10030" s="1" t="s">
        <v>5367</v>
      </c>
      <c r="F10030" s="2"/>
      <c r="G10030" s="2"/>
      <c r="H10030" s="2"/>
    </row>
    <row r="10031" spans="1:8" x14ac:dyDescent="0.25">
      <c r="A10031" s="1"/>
      <c r="B10031" s="1" t="s">
        <v>5161</v>
      </c>
      <c r="C10031" s="1" t="s">
        <v>5162</v>
      </c>
      <c r="D10031" s="22" t="str">
        <f>HYPERLINK("https://rhld.insurance.arkansas.gov/NPILookup?Npi=1568799864","1568799864")</f>
        <v>1568799864</v>
      </c>
      <c r="E10031" s="1" t="s">
        <v>19791</v>
      </c>
      <c r="F10031" s="2"/>
      <c r="G10031" s="2"/>
      <c r="H10031" s="2"/>
    </row>
    <row r="10032" spans="1:8" x14ac:dyDescent="0.25">
      <c r="A10032" s="1"/>
      <c r="B10032" s="1" t="s">
        <v>5161</v>
      </c>
      <c r="C10032" s="1" t="s">
        <v>5162</v>
      </c>
      <c r="D10032" s="22" t="str">
        <f>HYPERLINK("https://rhld.insurance.arkansas.gov/NPILookup?Npi=1568822492","1568822492")</f>
        <v>1568822492</v>
      </c>
      <c r="E10032" s="1" t="s">
        <v>19792</v>
      </c>
      <c r="F10032" s="2"/>
      <c r="G10032" s="2"/>
      <c r="H10032" s="2"/>
    </row>
    <row r="10033" spans="1:8" x14ac:dyDescent="0.25">
      <c r="A10033" s="1"/>
      <c r="B10033" s="1" t="s">
        <v>5161</v>
      </c>
      <c r="C10033" s="1" t="s">
        <v>5162</v>
      </c>
      <c r="D10033" s="22" t="str">
        <f>HYPERLINK("https://rhld.insurance.arkansas.gov/NPILookup?Npi=1568830032","1568830032")</f>
        <v>1568830032</v>
      </c>
      <c r="E10033" s="1" t="s">
        <v>11051</v>
      </c>
      <c r="F10033" s="2"/>
      <c r="G10033" s="2"/>
      <c r="H10033" s="2"/>
    </row>
    <row r="10034" spans="1:8" x14ac:dyDescent="0.25">
      <c r="A10034" s="1"/>
      <c r="B10034" s="1" t="s">
        <v>5161</v>
      </c>
      <c r="C10034" s="1" t="s">
        <v>5162</v>
      </c>
      <c r="D10034" s="22" t="str">
        <f>HYPERLINK("https://rhld.insurance.arkansas.gov/NPILookup?Npi=1568832350","1568832350")</f>
        <v>1568832350</v>
      </c>
      <c r="E10034" s="1" t="s">
        <v>5368</v>
      </c>
      <c r="F10034" s="2"/>
      <c r="G10034" s="2"/>
      <c r="H10034" s="2"/>
    </row>
    <row r="10035" spans="1:8" x14ac:dyDescent="0.25">
      <c r="A10035" s="1"/>
      <c r="B10035" s="1" t="s">
        <v>5161</v>
      </c>
      <c r="C10035" s="1" t="s">
        <v>5162</v>
      </c>
      <c r="D10035" s="22" t="str">
        <f>HYPERLINK("https://rhld.insurance.arkansas.gov/NPILookup?Npi=1568866762","1568866762")</f>
        <v>1568866762</v>
      </c>
      <c r="E10035" s="1" t="s">
        <v>19793</v>
      </c>
      <c r="F10035" s="2"/>
      <c r="G10035" s="2"/>
      <c r="H10035" s="2"/>
    </row>
    <row r="10036" spans="1:8" x14ac:dyDescent="0.25">
      <c r="A10036" s="1"/>
      <c r="B10036" s="1" t="s">
        <v>5161</v>
      </c>
      <c r="C10036" s="1" t="s">
        <v>5162</v>
      </c>
      <c r="D10036" s="22" t="str">
        <f>HYPERLINK("https://rhld.insurance.arkansas.gov/NPILookup?Npi=1568868669","1568868669")</f>
        <v>1568868669</v>
      </c>
      <c r="E10036" s="1" t="s">
        <v>4055</v>
      </c>
      <c r="F10036" s="2"/>
      <c r="G10036" s="2"/>
      <c r="H10036" s="2"/>
    </row>
    <row r="10037" spans="1:8" x14ac:dyDescent="0.25">
      <c r="A10037" s="1"/>
      <c r="B10037" s="1" t="s">
        <v>5161</v>
      </c>
      <c r="C10037" s="1" t="s">
        <v>5162</v>
      </c>
      <c r="D10037" s="22" t="str">
        <f>HYPERLINK("https://rhld.insurance.arkansas.gov/NPILookup?Npi=1568912632","1568912632")</f>
        <v>1568912632</v>
      </c>
      <c r="E10037" s="1" t="s">
        <v>11052</v>
      </c>
      <c r="F10037" s="2"/>
      <c r="G10037" s="2"/>
      <c r="H10037" s="2"/>
    </row>
    <row r="10038" spans="1:8" x14ac:dyDescent="0.25">
      <c r="A10038" s="1"/>
      <c r="B10038" s="1" t="s">
        <v>5161</v>
      </c>
      <c r="C10038" s="1" t="s">
        <v>5162</v>
      </c>
      <c r="D10038" s="22" t="str">
        <f>HYPERLINK("https://rhld.insurance.arkansas.gov/NPILookup?Npi=1568938728","1568938728")</f>
        <v>1568938728</v>
      </c>
      <c r="E10038" s="1" t="s">
        <v>5369</v>
      </c>
      <c r="F10038" s="2"/>
      <c r="G10038" s="2"/>
      <c r="H10038" s="2"/>
    </row>
    <row r="10039" spans="1:8" x14ac:dyDescent="0.25">
      <c r="A10039" s="1"/>
      <c r="B10039" s="1" t="s">
        <v>5161</v>
      </c>
      <c r="C10039" s="1" t="s">
        <v>5162</v>
      </c>
      <c r="D10039" s="22" t="str">
        <f>HYPERLINK("https://rhld.insurance.arkansas.gov/NPILookup?Npi=1568969384","1568969384")</f>
        <v>1568969384</v>
      </c>
      <c r="E10039" s="1" t="s">
        <v>19794</v>
      </c>
      <c r="F10039" s="2"/>
      <c r="G10039" s="2"/>
      <c r="H10039" s="2"/>
    </row>
    <row r="10040" spans="1:8" x14ac:dyDescent="0.25">
      <c r="A10040" s="1"/>
      <c r="B10040" s="1" t="s">
        <v>5161</v>
      </c>
      <c r="C10040" s="1" t="s">
        <v>5162</v>
      </c>
      <c r="D10040" s="22" t="str">
        <f>HYPERLINK("https://rhld.insurance.arkansas.gov/NPILookup?Npi=1578048187","1578048187")</f>
        <v>1578048187</v>
      </c>
      <c r="E10040" s="1" t="s">
        <v>19795</v>
      </c>
      <c r="F10040" s="2"/>
      <c r="G10040" s="2"/>
      <c r="H10040" s="2"/>
    </row>
    <row r="10041" spans="1:8" x14ac:dyDescent="0.25">
      <c r="A10041" s="1"/>
      <c r="B10041" s="1" t="s">
        <v>5161</v>
      </c>
      <c r="C10041" s="1" t="s">
        <v>5162</v>
      </c>
      <c r="D10041" s="22" t="str">
        <f>HYPERLINK("https://rhld.insurance.arkansas.gov/NPILookup?Npi=1578075735","1578075735")</f>
        <v>1578075735</v>
      </c>
      <c r="E10041" s="1" t="s">
        <v>19796</v>
      </c>
      <c r="F10041" s="2"/>
      <c r="G10041" s="2"/>
      <c r="H10041" s="2"/>
    </row>
    <row r="10042" spans="1:8" x14ac:dyDescent="0.25">
      <c r="A10042" s="1"/>
      <c r="B10042" s="1" t="s">
        <v>5161</v>
      </c>
      <c r="C10042" s="1" t="s">
        <v>5162</v>
      </c>
      <c r="D10042" s="22" t="str">
        <f>HYPERLINK("https://rhld.insurance.arkansas.gov/NPILookup?Npi=1578104709","1578104709")</f>
        <v>1578104709</v>
      </c>
      <c r="E10042" s="1" t="s">
        <v>19797</v>
      </c>
      <c r="F10042" s="2"/>
      <c r="G10042" s="2"/>
      <c r="H10042" s="2"/>
    </row>
    <row r="10043" spans="1:8" x14ac:dyDescent="0.25">
      <c r="A10043" s="1"/>
      <c r="B10043" s="1" t="s">
        <v>5161</v>
      </c>
      <c r="C10043" s="1" t="s">
        <v>5162</v>
      </c>
      <c r="D10043" s="22" t="str">
        <f>HYPERLINK("https://rhld.insurance.arkansas.gov/NPILookup?Npi=1578153870","1578153870")</f>
        <v>1578153870</v>
      </c>
      <c r="E10043" s="1" t="s">
        <v>19798</v>
      </c>
      <c r="F10043" s="2"/>
      <c r="G10043" s="2"/>
      <c r="H10043" s="2"/>
    </row>
    <row r="10044" spans="1:8" x14ac:dyDescent="0.25">
      <c r="A10044" s="1"/>
      <c r="B10044" s="1" t="s">
        <v>5161</v>
      </c>
      <c r="C10044" s="1" t="s">
        <v>5162</v>
      </c>
      <c r="D10044" s="22" t="str">
        <f>HYPERLINK("https://rhld.insurance.arkansas.gov/NPILookup?Npi=1578200770","1578200770")</f>
        <v>1578200770</v>
      </c>
      <c r="E10044" s="1" t="s">
        <v>19799</v>
      </c>
      <c r="F10044" s="2"/>
      <c r="G10044" s="2"/>
      <c r="H10044" s="2"/>
    </row>
    <row r="10045" spans="1:8" x14ac:dyDescent="0.25">
      <c r="A10045" s="1"/>
      <c r="B10045" s="1" t="s">
        <v>5161</v>
      </c>
      <c r="C10045" s="1" t="s">
        <v>5162</v>
      </c>
      <c r="D10045" s="22" t="str">
        <f>HYPERLINK("https://rhld.insurance.arkansas.gov/NPILookup?Npi=1578229878","1578229878")</f>
        <v>1578229878</v>
      </c>
      <c r="E10045" s="1" t="s">
        <v>19800</v>
      </c>
      <c r="F10045" s="2"/>
      <c r="G10045" s="2"/>
      <c r="H10045" s="2"/>
    </row>
    <row r="10046" spans="1:8" x14ac:dyDescent="0.25">
      <c r="A10046" s="1"/>
      <c r="B10046" s="1" t="s">
        <v>5161</v>
      </c>
      <c r="C10046" s="1" t="s">
        <v>5162</v>
      </c>
      <c r="D10046" s="22" t="str">
        <f>HYPERLINK("https://rhld.insurance.arkansas.gov/NPILookup?Npi=1578271227","1578271227")</f>
        <v>1578271227</v>
      </c>
      <c r="E10046" s="1" t="s">
        <v>5370</v>
      </c>
      <c r="F10046" s="2"/>
      <c r="G10046" s="2"/>
      <c r="H10046" s="2"/>
    </row>
    <row r="10047" spans="1:8" x14ac:dyDescent="0.25">
      <c r="A10047" s="1"/>
      <c r="B10047" s="1" t="s">
        <v>5161</v>
      </c>
      <c r="C10047" s="1" t="s">
        <v>5162</v>
      </c>
      <c r="D10047" s="22" t="str">
        <f>HYPERLINK("https://rhld.insurance.arkansas.gov/NPILookup?Npi=1578305991","1578305991")</f>
        <v>1578305991</v>
      </c>
      <c r="E10047" s="1" t="s">
        <v>31715</v>
      </c>
      <c r="F10047" s="2"/>
      <c r="G10047" s="2"/>
      <c r="H10047" s="2"/>
    </row>
    <row r="10048" spans="1:8" x14ac:dyDescent="0.25">
      <c r="A10048" s="1"/>
      <c r="B10048" s="1" t="s">
        <v>5161</v>
      </c>
      <c r="C10048" s="1" t="s">
        <v>5162</v>
      </c>
      <c r="D10048" s="22" t="str">
        <f>HYPERLINK("https://rhld.insurance.arkansas.gov/NPILookup?Npi=1578344396","1578344396")</f>
        <v>1578344396</v>
      </c>
      <c r="E10048" s="1" t="s">
        <v>5371</v>
      </c>
      <c r="F10048" s="2"/>
      <c r="G10048" s="2"/>
      <c r="H10048" s="2"/>
    </row>
    <row r="10049" spans="1:8" x14ac:dyDescent="0.25">
      <c r="A10049" s="1"/>
      <c r="B10049" s="1" t="s">
        <v>5161</v>
      </c>
      <c r="C10049" s="1" t="s">
        <v>5162</v>
      </c>
      <c r="D10049" s="22" t="str">
        <f>HYPERLINK("https://rhld.insurance.arkansas.gov/NPILookup?Npi=1578511481","1578511481")</f>
        <v>1578511481</v>
      </c>
      <c r="E10049" s="1" t="s">
        <v>11053</v>
      </c>
      <c r="F10049" s="2"/>
      <c r="G10049" s="2"/>
      <c r="H10049" s="2"/>
    </row>
    <row r="10050" spans="1:8" x14ac:dyDescent="0.25">
      <c r="A10050" s="1"/>
      <c r="B10050" s="1" t="s">
        <v>5161</v>
      </c>
      <c r="C10050" s="1" t="s">
        <v>5162</v>
      </c>
      <c r="D10050" s="22" t="str">
        <f>HYPERLINK("https://rhld.insurance.arkansas.gov/NPILookup?Npi=1578674933","1578674933")</f>
        <v>1578674933</v>
      </c>
      <c r="E10050" s="1" t="s">
        <v>11054</v>
      </c>
      <c r="F10050" s="2"/>
      <c r="G10050" s="2"/>
      <c r="H10050" s="2"/>
    </row>
    <row r="10051" spans="1:8" x14ac:dyDescent="0.25">
      <c r="A10051" s="1"/>
      <c r="B10051" s="1" t="s">
        <v>5161</v>
      </c>
      <c r="C10051" s="1" t="s">
        <v>5162</v>
      </c>
      <c r="D10051" s="22" t="str">
        <f>HYPERLINK("https://rhld.insurance.arkansas.gov/NPILookup?Npi=1578710018","1578710018")</f>
        <v>1578710018</v>
      </c>
      <c r="E10051" s="1" t="s">
        <v>11055</v>
      </c>
      <c r="F10051" s="2"/>
      <c r="G10051" s="2"/>
      <c r="H10051" s="2"/>
    </row>
    <row r="10052" spans="1:8" x14ac:dyDescent="0.25">
      <c r="A10052" s="1"/>
      <c r="B10052" s="1" t="s">
        <v>5161</v>
      </c>
      <c r="C10052" s="1" t="s">
        <v>5162</v>
      </c>
      <c r="D10052" s="22" t="str">
        <f>HYPERLINK("https://rhld.insurance.arkansas.gov/NPILookup?Npi=1578713962","1578713962")</f>
        <v>1578713962</v>
      </c>
      <c r="E10052" s="1" t="s">
        <v>19801</v>
      </c>
      <c r="F10052" s="2"/>
      <c r="G10052" s="2"/>
      <c r="H10052" s="2"/>
    </row>
    <row r="10053" spans="1:8" x14ac:dyDescent="0.25">
      <c r="A10053" s="1"/>
      <c r="B10053" s="1" t="s">
        <v>5161</v>
      </c>
      <c r="C10053" s="1" t="s">
        <v>5162</v>
      </c>
      <c r="D10053" s="22" t="str">
        <f>HYPERLINK("https://rhld.insurance.arkansas.gov/NPILookup?Npi=1578739694","1578739694")</f>
        <v>1578739694</v>
      </c>
      <c r="E10053" s="1" t="s">
        <v>943</v>
      </c>
      <c r="F10053" s="2"/>
      <c r="G10053" s="2"/>
      <c r="H10053" s="2"/>
    </row>
    <row r="10054" spans="1:8" x14ac:dyDescent="0.25">
      <c r="A10054" s="1"/>
      <c r="B10054" s="1" t="s">
        <v>5161</v>
      </c>
      <c r="C10054" s="1" t="s">
        <v>5162</v>
      </c>
      <c r="D10054" s="22" t="str">
        <f>HYPERLINK("https://rhld.insurance.arkansas.gov/NPILookup?Npi=1578812590","1578812590")</f>
        <v>1578812590</v>
      </c>
      <c r="E10054" s="1" t="s">
        <v>19802</v>
      </c>
      <c r="F10054" s="2"/>
      <c r="G10054" s="2"/>
      <c r="H10054" s="2"/>
    </row>
    <row r="10055" spans="1:8" x14ac:dyDescent="0.25">
      <c r="A10055" s="1"/>
      <c r="B10055" s="1" t="s">
        <v>5161</v>
      </c>
      <c r="C10055" s="1" t="s">
        <v>5162</v>
      </c>
      <c r="D10055" s="22" t="str">
        <f>HYPERLINK("https://rhld.insurance.arkansas.gov/NPILookup?Npi=1578851218","1578851218")</f>
        <v>1578851218</v>
      </c>
      <c r="E10055" s="1" t="s">
        <v>19803</v>
      </c>
      <c r="F10055" s="2"/>
      <c r="G10055" s="2"/>
      <c r="H10055" s="2"/>
    </row>
    <row r="10056" spans="1:8" x14ac:dyDescent="0.25">
      <c r="A10056" s="1"/>
      <c r="B10056" s="1" t="s">
        <v>5161</v>
      </c>
      <c r="C10056" s="1" t="s">
        <v>5162</v>
      </c>
      <c r="D10056" s="22" t="str">
        <f>HYPERLINK("https://rhld.insurance.arkansas.gov/NPILookup?Npi=1578861506","1578861506")</f>
        <v>1578861506</v>
      </c>
      <c r="E10056" s="1" t="s">
        <v>5373</v>
      </c>
      <c r="F10056" s="2"/>
      <c r="G10056" s="2"/>
      <c r="H10056" s="2"/>
    </row>
    <row r="10057" spans="1:8" x14ac:dyDescent="0.25">
      <c r="A10057" s="1"/>
      <c r="B10057" s="1" t="s">
        <v>5161</v>
      </c>
      <c r="C10057" s="1" t="s">
        <v>5162</v>
      </c>
      <c r="D10057" s="22" t="str">
        <f>HYPERLINK("https://rhld.insurance.arkansas.gov/NPILookup?Npi=1578940714","1578940714")</f>
        <v>1578940714</v>
      </c>
      <c r="E10057" s="1" t="s">
        <v>5374</v>
      </c>
      <c r="F10057" s="2"/>
      <c r="G10057" s="2"/>
      <c r="H10057" s="2"/>
    </row>
    <row r="10058" spans="1:8" x14ac:dyDescent="0.25">
      <c r="A10058" s="1"/>
      <c r="B10058" s="1" t="s">
        <v>5161</v>
      </c>
      <c r="C10058" s="1" t="s">
        <v>5162</v>
      </c>
      <c r="D10058" s="22" t="str">
        <f>HYPERLINK("https://rhld.insurance.arkansas.gov/NPILookup?Npi=1588010078","1588010078")</f>
        <v>1588010078</v>
      </c>
      <c r="E10058" s="1" t="s">
        <v>19804</v>
      </c>
      <c r="F10058" s="2"/>
      <c r="G10058" s="2"/>
      <c r="H10058" s="2"/>
    </row>
    <row r="10059" spans="1:8" x14ac:dyDescent="0.25">
      <c r="A10059" s="1"/>
      <c r="B10059" s="1" t="s">
        <v>5161</v>
      </c>
      <c r="C10059" s="1" t="s">
        <v>5162</v>
      </c>
      <c r="D10059" s="22" t="str">
        <f>HYPERLINK("https://rhld.insurance.arkansas.gov/NPILookup?Npi=1588044226","1588044226")</f>
        <v>1588044226</v>
      </c>
      <c r="E10059" s="1" t="s">
        <v>19805</v>
      </c>
      <c r="F10059" s="2"/>
      <c r="G10059" s="2"/>
      <c r="H10059" s="2"/>
    </row>
    <row r="10060" spans="1:8" x14ac:dyDescent="0.25">
      <c r="A10060" s="1"/>
      <c r="B10060" s="1" t="s">
        <v>5161</v>
      </c>
      <c r="C10060" s="1" t="s">
        <v>5162</v>
      </c>
      <c r="D10060" s="22" t="str">
        <f>HYPERLINK("https://rhld.insurance.arkansas.gov/NPILookup?Npi=1588063762","1588063762")</f>
        <v>1588063762</v>
      </c>
      <c r="E10060" s="1" t="s">
        <v>5375</v>
      </c>
      <c r="F10060" s="2"/>
      <c r="G10060" s="2"/>
      <c r="H10060" s="2"/>
    </row>
    <row r="10061" spans="1:8" x14ac:dyDescent="0.25">
      <c r="A10061" s="1"/>
      <c r="B10061" s="1" t="s">
        <v>5161</v>
      </c>
      <c r="C10061" s="1" t="s">
        <v>5162</v>
      </c>
      <c r="D10061" s="22" t="str">
        <f>HYPERLINK("https://rhld.insurance.arkansas.gov/NPILookup?Npi=1588116032","1588116032")</f>
        <v>1588116032</v>
      </c>
      <c r="E10061" s="1" t="s">
        <v>19806</v>
      </c>
      <c r="F10061" s="2"/>
      <c r="G10061" s="2"/>
      <c r="H10061" s="2"/>
    </row>
    <row r="10062" spans="1:8" x14ac:dyDescent="0.25">
      <c r="A10062" s="1"/>
      <c r="B10062" s="1" t="s">
        <v>5161</v>
      </c>
      <c r="C10062" s="1" t="s">
        <v>5162</v>
      </c>
      <c r="D10062" s="22" t="str">
        <f>HYPERLINK("https://rhld.insurance.arkansas.gov/NPILookup?Npi=1588179303","1588179303")</f>
        <v>1588179303</v>
      </c>
      <c r="E10062" s="1" t="s">
        <v>11056</v>
      </c>
      <c r="F10062" s="2"/>
      <c r="G10062" s="2"/>
      <c r="H10062" s="2"/>
    </row>
    <row r="10063" spans="1:8" x14ac:dyDescent="0.25">
      <c r="A10063" s="1"/>
      <c r="B10063" s="1" t="s">
        <v>5161</v>
      </c>
      <c r="C10063" s="1" t="s">
        <v>5162</v>
      </c>
      <c r="D10063" s="22" t="str">
        <f>HYPERLINK("https://rhld.insurance.arkansas.gov/NPILookup?Npi=1588182620","1588182620")</f>
        <v>1588182620</v>
      </c>
      <c r="E10063" s="1" t="s">
        <v>5376</v>
      </c>
      <c r="F10063" s="2"/>
      <c r="G10063" s="2"/>
      <c r="H10063" s="2"/>
    </row>
    <row r="10064" spans="1:8" x14ac:dyDescent="0.25">
      <c r="A10064" s="1"/>
      <c r="B10064" s="1" t="s">
        <v>5161</v>
      </c>
      <c r="C10064" s="1" t="s">
        <v>5162</v>
      </c>
      <c r="D10064" s="22" t="str">
        <f>HYPERLINK("https://rhld.insurance.arkansas.gov/NPILookup?Npi=1588219968","1588219968")</f>
        <v>1588219968</v>
      </c>
      <c r="E10064" s="1" t="s">
        <v>19807</v>
      </c>
      <c r="F10064" s="2"/>
      <c r="G10064" s="2"/>
      <c r="H10064" s="2"/>
    </row>
    <row r="10065" spans="1:8" x14ac:dyDescent="0.25">
      <c r="A10065" s="1"/>
      <c r="B10065" s="1" t="s">
        <v>5161</v>
      </c>
      <c r="C10065" s="1" t="s">
        <v>5162</v>
      </c>
      <c r="D10065" s="22" t="str">
        <f>HYPERLINK("https://rhld.insurance.arkansas.gov/NPILookup?Npi=1588249379","1588249379")</f>
        <v>1588249379</v>
      </c>
      <c r="E10065" s="1" t="s">
        <v>1887</v>
      </c>
      <c r="F10065" s="2"/>
      <c r="G10065" s="2"/>
      <c r="H10065" s="2"/>
    </row>
    <row r="10066" spans="1:8" x14ac:dyDescent="0.25">
      <c r="A10066" s="1"/>
      <c r="B10066" s="1" t="s">
        <v>5161</v>
      </c>
      <c r="C10066" s="1" t="s">
        <v>5162</v>
      </c>
      <c r="D10066" s="22" t="str">
        <f>HYPERLINK("https://rhld.insurance.arkansas.gov/NPILookup?Npi=1588363949","1588363949")</f>
        <v>1588363949</v>
      </c>
      <c r="E10066" s="1" t="s">
        <v>5377</v>
      </c>
      <c r="F10066" s="2"/>
      <c r="G10066" s="2"/>
      <c r="H10066" s="2"/>
    </row>
    <row r="10067" spans="1:8" x14ac:dyDescent="0.25">
      <c r="A10067" s="1"/>
      <c r="B10067" s="1" t="s">
        <v>5161</v>
      </c>
      <c r="C10067" s="1" t="s">
        <v>5162</v>
      </c>
      <c r="D10067" s="22" t="str">
        <f>HYPERLINK("https://rhld.insurance.arkansas.gov/NPILookup?Npi=1588788236","1588788236")</f>
        <v>1588788236</v>
      </c>
      <c r="E10067" s="1" t="s">
        <v>19808</v>
      </c>
      <c r="F10067" s="2"/>
      <c r="G10067" s="2"/>
      <c r="H10067" s="2"/>
    </row>
    <row r="10068" spans="1:8" x14ac:dyDescent="0.25">
      <c r="A10068" s="1"/>
      <c r="B10068" s="1" t="s">
        <v>5161</v>
      </c>
      <c r="C10068" s="1" t="s">
        <v>5162</v>
      </c>
      <c r="D10068" s="22" t="str">
        <f>HYPERLINK("https://rhld.insurance.arkansas.gov/NPILookup?Npi=1588817050","1588817050")</f>
        <v>1588817050</v>
      </c>
      <c r="E10068" s="1" t="s">
        <v>19809</v>
      </c>
      <c r="F10068" s="2"/>
      <c r="G10068" s="2"/>
      <c r="H10068" s="2"/>
    </row>
    <row r="10069" spans="1:8" x14ac:dyDescent="0.25">
      <c r="A10069" s="1"/>
      <c r="B10069" s="1" t="s">
        <v>5161</v>
      </c>
      <c r="C10069" s="1" t="s">
        <v>5162</v>
      </c>
      <c r="D10069" s="22" t="str">
        <f>HYPERLINK("https://rhld.insurance.arkansas.gov/NPILookup?Npi=1588843353","1588843353")</f>
        <v>1588843353</v>
      </c>
      <c r="E10069" s="1" t="s">
        <v>19810</v>
      </c>
      <c r="F10069" s="2"/>
      <c r="G10069" s="2"/>
      <c r="H10069" s="2"/>
    </row>
    <row r="10070" spans="1:8" x14ac:dyDescent="0.25">
      <c r="A10070" s="1"/>
      <c r="B10070" s="1" t="s">
        <v>5161</v>
      </c>
      <c r="C10070" s="1" t="s">
        <v>5162</v>
      </c>
      <c r="D10070" s="22" t="str">
        <f>HYPERLINK("https://rhld.insurance.arkansas.gov/NPILookup?Npi=1588959605","1588959605")</f>
        <v>1588959605</v>
      </c>
      <c r="E10070" s="1" t="s">
        <v>5378</v>
      </c>
      <c r="F10070" s="2"/>
      <c r="G10070" s="2"/>
      <c r="H10070" s="2"/>
    </row>
    <row r="10071" spans="1:8" x14ac:dyDescent="0.25">
      <c r="A10071" s="1"/>
      <c r="B10071" s="1" t="s">
        <v>5161</v>
      </c>
      <c r="C10071" s="1" t="s">
        <v>5162</v>
      </c>
      <c r="D10071" s="22" t="str">
        <f>HYPERLINK("https://rhld.insurance.arkansas.gov/NPILookup?Npi=1598095614","1598095614")</f>
        <v>1598095614</v>
      </c>
      <c r="E10071" s="1" t="s">
        <v>5379</v>
      </c>
      <c r="F10071" s="2"/>
      <c r="G10071" s="2"/>
      <c r="H10071" s="2"/>
    </row>
    <row r="10072" spans="1:8" x14ac:dyDescent="0.25">
      <c r="A10072" s="1"/>
      <c r="B10072" s="1" t="s">
        <v>5161</v>
      </c>
      <c r="C10072" s="1" t="s">
        <v>5162</v>
      </c>
      <c r="D10072" s="22" t="str">
        <f>HYPERLINK("https://rhld.insurance.arkansas.gov/NPILookup?Npi=1598198905","1598198905")</f>
        <v>1598198905</v>
      </c>
      <c r="E10072" s="1" t="s">
        <v>19811</v>
      </c>
      <c r="F10072" s="2"/>
      <c r="G10072" s="2"/>
      <c r="H10072" s="2"/>
    </row>
    <row r="10073" spans="1:8" x14ac:dyDescent="0.25">
      <c r="A10073" s="1"/>
      <c r="B10073" s="1" t="s">
        <v>5161</v>
      </c>
      <c r="C10073" s="1" t="s">
        <v>5162</v>
      </c>
      <c r="D10073" s="22" t="str">
        <f>HYPERLINK("https://rhld.insurance.arkansas.gov/NPILookup?Npi=1598358483","1598358483")</f>
        <v>1598358483</v>
      </c>
      <c r="E10073" s="1" t="s">
        <v>5380</v>
      </c>
      <c r="F10073" s="2"/>
      <c r="G10073" s="2"/>
      <c r="H10073" s="2"/>
    </row>
    <row r="10074" spans="1:8" x14ac:dyDescent="0.25">
      <c r="A10074" s="1"/>
      <c r="B10074" s="1" t="s">
        <v>5161</v>
      </c>
      <c r="C10074" s="1" t="s">
        <v>5162</v>
      </c>
      <c r="D10074" s="22" t="str">
        <f>HYPERLINK("https://rhld.insurance.arkansas.gov/NPILookup?Npi=1598396533","1598396533")</f>
        <v>1598396533</v>
      </c>
      <c r="E10074" s="1" t="s">
        <v>19812</v>
      </c>
      <c r="F10074" s="2"/>
      <c r="G10074" s="2"/>
      <c r="H10074" s="2"/>
    </row>
    <row r="10075" spans="1:8" x14ac:dyDescent="0.25">
      <c r="A10075" s="1"/>
      <c r="B10075" s="1" t="s">
        <v>5161</v>
      </c>
      <c r="C10075" s="1" t="s">
        <v>5162</v>
      </c>
      <c r="D10075" s="22" t="str">
        <f>HYPERLINK("https://rhld.insurance.arkansas.gov/NPILookup?Npi=1598493058","1598493058")</f>
        <v>1598493058</v>
      </c>
      <c r="E10075" s="1" t="s">
        <v>5382</v>
      </c>
      <c r="F10075" s="2"/>
      <c r="G10075" s="2"/>
      <c r="H10075" s="2"/>
    </row>
    <row r="10076" spans="1:8" x14ac:dyDescent="0.25">
      <c r="A10076" s="1"/>
      <c r="B10076" s="1" t="s">
        <v>5161</v>
      </c>
      <c r="C10076" s="1" t="s">
        <v>5162</v>
      </c>
      <c r="D10076" s="22" t="str">
        <f>HYPERLINK("https://rhld.insurance.arkansas.gov/NPILookup?Npi=1598538514","1598538514")</f>
        <v>1598538514</v>
      </c>
      <c r="E10076" s="1" t="s">
        <v>19813</v>
      </c>
      <c r="F10076" s="2"/>
      <c r="G10076" s="2"/>
      <c r="H10076" s="2"/>
    </row>
    <row r="10077" spans="1:8" x14ac:dyDescent="0.25">
      <c r="A10077" s="1"/>
      <c r="B10077" s="1" t="s">
        <v>5161</v>
      </c>
      <c r="C10077" s="1" t="s">
        <v>5162</v>
      </c>
      <c r="D10077" s="22" t="str">
        <f>HYPERLINK("https://rhld.insurance.arkansas.gov/NPILookup?Npi=1598565947","1598565947")</f>
        <v>1598565947</v>
      </c>
      <c r="E10077" s="1" t="s">
        <v>31716</v>
      </c>
      <c r="F10077" s="2"/>
      <c r="G10077" s="2"/>
      <c r="H10077" s="2"/>
    </row>
    <row r="10078" spans="1:8" x14ac:dyDescent="0.25">
      <c r="A10078" s="1"/>
      <c r="B10078" s="1" t="s">
        <v>5161</v>
      </c>
      <c r="C10078" s="1" t="s">
        <v>5162</v>
      </c>
      <c r="D10078" s="22" t="str">
        <f>HYPERLINK("https://rhld.insurance.arkansas.gov/NPILookup?Npi=1598777245","1598777245")</f>
        <v>1598777245</v>
      </c>
      <c r="E10078" s="1" t="s">
        <v>19814</v>
      </c>
      <c r="F10078" s="2"/>
      <c r="G10078" s="2"/>
      <c r="H10078" s="2"/>
    </row>
    <row r="10079" spans="1:8" x14ac:dyDescent="0.25">
      <c r="A10079" s="1"/>
      <c r="B10079" s="1" t="s">
        <v>5161</v>
      </c>
      <c r="C10079" s="1" t="s">
        <v>5162</v>
      </c>
      <c r="D10079" s="22" t="str">
        <f>HYPERLINK("https://rhld.insurance.arkansas.gov/NPILookup?Npi=1609044882","1609044882")</f>
        <v>1609044882</v>
      </c>
      <c r="E10079" s="1" t="s">
        <v>19815</v>
      </c>
      <c r="F10079" s="2"/>
      <c r="G10079" s="2"/>
      <c r="H10079" s="2"/>
    </row>
    <row r="10080" spans="1:8" x14ac:dyDescent="0.25">
      <c r="A10080" s="1"/>
      <c r="B10080" s="1" t="s">
        <v>5161</v>
      </c>
      <c r="C10080" s="1" t="s">
        <v>5162</v>
      </c>
      <c r="D10080" s="22" t="str">
        <f>HYPERLINK("https://rhld.insurance.arkansas.gov/NPILookup?Npi=1609125707","1609125707")</f>
        <v>1609125707</v>
      </c>
      <c r="E10080" s="1" t="s">
        <v>11057</v>
      </c>
      <c r="F10080" s="2"/>
      <c r="G10080" s="2"/>
      <c r="H10080" s="2"/>
    </row>
    <row r="10081" spans="1:8" x14ac:dyDescent="0.25">
      <c r="A10081" s="1"/>
      <c r="B10081" s="1" t="s">
        <v>5161</v>
      </c>
      <c r="C10081" s="1" t="s">
        <v>5162</v>
      </c>
      <c r="D10081" s="22" t="str">
        <f>HYPERLINK("https://rhld.insurance.arkansas.gov/NPILookup?Npi=1609174440","1609174440")</f>
        <v>1609174440</v>
      </c>
      <c r="E10081" s="1" t="s">
        <v>19816</v>
      </c>
      <c r="F10081" s="2"/>
      <c r="G10081" s="2"/>
      <c r="H10081" s="2"/>
    </row>
    <row r="10082" spans="1:8" x14ac:dyDescent="0.25">
      <c r="A10082" s="1"/>
      <c r="B10082" s="1" t="s">
        <v>5161</v>
      </c>
      <c r="C10082" s="1" t="s">
        <v>5162</v>
      </c>
      <c r="D10082" s="22" t="str">
        <f>HYPERLINK("https://rhld.insurance.arkansas.gov/NPILookup?Npi=1609209147","1609209147")</f>
        <v>1609209147</v>
      </c>
      <c r="E10082" s="1" t="s">
        <v>19817</v>
      </c>
      <c r="F10082" s="2"/>
      <c r="G10082" s="2"/>
      <c r="H10082" s="2"/>
    </row>
    <row r="10083" spans="1:8" x14ac:dyDescent="0.25">
      <c r="A10083" s="1"/>
      <c r="B10083" s="1" t="s">
        <v>5161</v>
      </c>
      <c r="C10083" s="1" t="s">
        <v>5162</v>
      </c>
      <c r="D10083" s="22" t="str">
        <f>HYPERLINK("https://rhld.insurance.arkansas.gov/NPILookup?Npi=1609269893","1609269893")</f>
        <v>1609269893</v>
      </c>
      <c r="E10083" s="1" t="s">
        <v>5383</v>
      </c>
      <c r="F10083" s="2"/>
      <c r="G10083" s="2"/>
      <c r="H10083" s="2"/>
    </row>
    <row r="10084" spans="1:8" x14ac:dyDescent="0.25">
      <c r="A10084" s="1"/>
      <c r="B10084" s="1" t="s">
        <v>5161</v>
      </c>
      <c r="C10084" s="1" t="s">
        <v>5162</v>
      </c>
      <c r="D10084" s="22" t="str">
        <f>HYPERLINK("https://rhld.insurance.arkansas.gov/NPILookup?Npi=1609278613","1609278613")</f>
        <v>1609278613</v>
      </c>
      <c r="E10084" s="1" t="s">
        <v>19818</v>
      </c>
      <c r="F10084" s="2"/>
      <c r="G10084" s="2"/>
      <c r="H10084" s="2"/>
    </row>
    <row r="10085" spans="1:8" x14ac:dyDescent="0.25">
      <c r="A10085" s="1"/>
      <c r="B10085" s="1" t="s">
        <v>5161</v>
      </c>
      <c r="C10085" s="1" t="s">
        <v>5162</v>
      </c>
      <c r="D10085" s="22" t="str">
        <f>HYPERLINK("https://rhld.insurance.arkansas.gov/NPILookup?Npi=1609284843","1609284843")</f>
        <v>1609284843</v>
      </c>
      <c r="E10085" s="1" t="s">
        <v>19819</v>
      </c>
      <c r="F10085" s="2"/>
      <c r="G10085" s="2"/>
      <c r="H10085" s="2"/>
    </row>
    <row r="10086" spans="1:8" x14ac:dyDescent="0.25">
      <c r="A10086" s="1"/>
      <c r="B10086" s="1" t="s">
        <v>5161</v>
      </c>
      <c r="C10086" s="1" t="s">
        <v>5162</v>
      </c>
      <c r="D10086" s="22" t="str">
        <f>HYPERLINK("https://rhld.insurance.arkansas.gov/NPILookup?Npi=1609359694","1609359694")</f>
        <v>1609359694</v>
      </c>
      <c r="E10086" s="1" t="s">
        <v>19820</v>
      </c>
      <c r="F10086" s="2"/>
      <c r="G10086" s="2"/>
      <c r="H10086" s="2"/>
    </row>
    <row r="10087" spans="1:8" x14ac:dyDescent="0.25">
      <c r="A10087" s="1"/>
      <c r="B10087" s="1" t="s">
        <v>5161</v>
      </c>
      <c r="C10087" s="1" t="s">
        <v>5162</v>
      </c>
      <c r="D10087" s="22" t="str">
        <f>HYPERLINK("https://rhld.insurance.arkansas.gov/NPILookup?Npi=1609383249","1609383249")</f>
        <v>1609383249</v>
      </c>
      <c r="E10087" s="1" t="s">
        <v>5384</v>
      </c>
      <c r="F10087" s="2"/>
      <c r="G10087" s="2"/>
      <c r="H10087" s="2"/>
    </row>
    <row r="10088" spans="1:8" x14ac:dyDescent="0.25">
      <c r="A10088" s="1"/>
      <c r="B10088" s="1" t="s">
        <v>5161</v>
      </c>
      <c r="C10088" s="1" t="s">
        <v>5162</v>
      </c>
      <c r="D10088" s="22" t="str">
        <f>HYPERLINK("https://rhld.insurance.arkansas.gov/NPILookup?Npi=1609392646","1609392646")</f>
        <v>1609392646</v>
      </c>
      <c r="E10088" s="1" t="s">
        <v>5385</v>
      </c>
      <c r="F10088" s="2"/>
      <c r="G10088" s="2"/>
      <c r="H10088" s="2"/>
    </row>
    <row r="10089" spans="1:8" x14ac:dyDescent="0.25">
      <c r="A10089" s="1"/>
      <c r="B10089" s="1" t="s">
        <v>5161</v>
      </c>
      <c r="C10089" s="1" t="s">
        <v>5162</v>
      </c>
      <c r="D10089" s="22" t="str">
        <f>HYPERLINK("https://rhld.insurance.arkansas.gov/NPILookup?Npi=1609444546","1609444546")</f>
        <v>1609444546</v>
      </c>
      <c r="E10089" s="1" t="s">
        <v>19821</v>
      </c>
      <c r="F10089" s="2"/>
      <c r="G10089" s="2"/>
      <c r="H10089" s="2"/>
    </row>
    <row r="10090" spans="1:8" x14ac:dyDescent="0.25">
      <c r="A10090" s="1"/>
      <c r="B10090" s="1" t="s">
        <v>5161</v>
      </c>
      <c r="C10090" s="1" t="s">
        <v>5162</v>
      </c>
      <c r="D10090" s="22" t="str">
        <f>HYPERLINK("https://rhld.insurance.arkansas.gov/NPILookup?Npi=1609481167","1609481167")</f>
        <v>1609481167</v>
      </c>
      <c r="E10090" s="1" t="s">
        <v>19822</v>
      </c>
      <c r="F10090" s="2"/>
      <c r="G10090" s="2"/>
      <c r="H10090" s="2"/>
    </row>
    <row r="10091" spans="1:8" x14ac:dyDescent="0.25">
      <c r="A10091" s="1"/>
      <c r="B10091" s="1" t="s">
        <v>5161</v>
      </c>
      <c r="C10091" s="1" t="s">
        <v>5162</v>
      </c>
      <c r="D10091" s="22" t="str">
        <f>HYPERLINK("https://rhld.insurance.arkansas.gov/NPILookup?Npi=1609487685","1609487685")</f>
        <v>1609487685</v>
      </c>
      <c r="E10091" s="1" t="s">
        <v>11058</v>
      </c>
      <c r="F10091" s="2"/>
      <c r="G10091" s="2"/>
      <c r="H10091" s="2"/>
    </row>
    <row r="10092" spans="1:8" x14ac:dyDescent="0.25">
      <c r="A10092" s="1"/>
      <c r="B10092" s="1" t="s">
        <v>5161</v>
      </c>
      <c r="C10092" s="1" t="s">
        <v>5162</v>
      </c>
      <c r="D10092" s="22" t="str">
        <f>HYPERLINK("https://rhld.insurance.arkansas.gov/NPILookup?Npi=1609565696","1609565696")</f>
        <v>1609565696</v>
      </c>
      <c r="E10092" s="1" t="s">
        <v>5386</v>
      </c>
      <c r="F10092" s="2"/>
      <c r="G10092" s="2"/>
      <c r="H10092" s="2"/>
    </row>
    <row r="10093" spans="1:8" x14ac:dyDescent="0.25">
      <c r="A10093" s="1"/>
      <c r="B10093" s="1" t="s">
        <v>5161</v>
      </c>
      <c r="C10093" s="1" t="s">
        <v>5162</v>
      </c>
      <c r="D10093" s="22" t="str">
        <f>HYPERLINK("https://rhld.insurance.arkansas.gov/NPILookup?Npi=1609597129","1609597129")</f>
        <v>1609597129</v>
      </c>
      <c r="E10093" s="1" t="s">
        <v>19823</v>
      </c>
      <c r="F10093" s="2"/>
      <c r="G10093" s="2"/>
      <c r="H10093" s="2"/>
    </row>
    <row r="10094" spans="1:8" x14ac:dyDescent="0.25">
      <c r="A10094" s="1"/>
      <c r="B10094" s="1" t="s">
        <v>5161</v>
      </c>
      <c r="C10094" s="1" t="s">
        <v>5162</v>
      </c>
      <c r="D10094" s="22" t="str">
        <f>HYPERLINK("https://rhld.insurance.arkansas.gov/NPILookup?Npi=1609632173","1609632173")</f>
        <v>1609632173</v>
      </c>
      <c r="E10094" s="1" t="s">
        <v>19824</v>
      </c>
      <c r="F10094" s="2"/>
      <c r="G10094" s="2"/>
      <c r="H10094" s="2"/>
    </row>
    <row r="10095" spans="1:8" x14ac:dyDescent="0.25">
      <c r="A10095" s="1"/>
      <c r="B10095" s="1" t="s">
        <v>5161</v>
      </c>
      <c r="C10095" s="1" t="s">
        <v>5162</v>
      </c>
      <c r="D10095" s="22" t="str">
        <f>HYPERLINK("https://rhld.insurance.arkansas.gov/NPILookup?Npi=1609696178","1609696178")</f>
        <v>1609696178</v>
      </c>
      <c r="E10095" s="1" t="s">
        <v>19825</v>
      </c>
      <c r="F10095" s="2"/>
      <c r="G10095" s="2"/>
      <c r="H10095" s="2"/>
    </row>
    <row r="10096" spans="1:8" x14ac:dyDescent="0.25">
      <c r="A10096" s="1"/>
      <c r="B10096" s="1" t="s">
        <v>5161</v>
      </c>
      <c r="C10096" s="1" t="s">
        <v>5162</v>
      </c>
      <c r="D10096" s="22" t="str">
        <f>HYPERLINK("https://rhld.insurance.arkansas.gov/NPILookup?Npi=1609836980","1609836980")</f>
        <v>1609836980</v>
      </c>
      <c r="E10096" s="1" t="s">
        <v>19826</v>
      </c>
      <c r="F10096" s="2"/>
      <c r="G10096" s="2"/>
      <c r="H10096" s="2"/>
    </row>
    <row r="10097" spans="1:8" x14ac:dyDescent="0.25">
      <c r="A10097" s="1"/>
      <c r="B10097" s="1" t="s">
        <v>5161</v>
      </c>
      <c r="C10097" s="1" t="s">
        <v>5162</v>
      </c>
      <c r="D10097" s="22" t="str">
        <f>HYPERLINK("https://rhld.insurance.arkansas.gov/NPILookup?Npi=1609926229","1609926229")</f>
        <v>1609926229</v>
      </c>
      <c r="E10097" s="1" t="s">
        <v>19827</v>
      </c>
      <c r="F10097" s="2"/>
      <c r="G10097" s="2"/>
      <c r="H10097" s="2"/>
    </row>
    <row r="10098" spans="1:8" x14ac:dyDescent="0.25">
      <c r="A10098" s="1"/>
      <c r="B10098" s="1" t="s">
        <v>5161</v>
      </c>
      <c r="C10098" s="1" t="s">
        <v>5162</v>
      </c>
      <c r="D10098" s="22" t="str">
        <f>HYPERLINK("https://rhld.insurance.arkansas.gov/NPILookup?Npi=1619018793","1619018793")</f>
        <v>1619018793</v>
      </c>
      <c r="E10098" s="1" t="s">
        <v>19828</v>
      </c>
      <c r="F10098" s="2"/>
      <c r="G10098" s="2"/>
      <c r="H10098" s="2"/>
    </row>
    <row r="10099" spans="1:8" x14ac:dyDescent="0.25">
      <c r="A10099" s="1"/>
      <c r="B10099" s="1" t="s">
        <v>5161</v>
      </c>
      <c r="C10099" s="1" t="s">
        <v>5162</v>
      </c>
      <c r="D10099" s="22" t="str">
        <f>HYPERLINK("https://rhld.insurance.arkansas.gov/NPILookup?Npi=1619122744","1619122744")</f>
        <v>1619122744</v>
      </c>
      <c r="E10099" s="1" t="s">
        <v>19829</v>
      </c>
      <c r="F10099" s="2"/>
      <c r="G10099" s="2"/>
      <c r="H10099" s="2"/>
    </row>
    <row r="10100" spans="1:8" x14ac:dyDescent="0.25">
      <c r="A10100" s="1"/>
      <c r="B10100" s="1" t="s">
        <v>5161</v>
      </c>
      <c r="C10100" s="1" t="s">
        <v>5162</v>
      </c>
      <c r="D10100" s="22" t="str">
        <f>HYPERLINK("https://rhld.insurance.arkansas.gov/NPILookup?Npi=1619129780","1619129780")</f>
        <v>1619129780</v>
      </c>
      <c r="E10100" s="1" t="s">
        <v>5387</v>
      </c>
      <c r="F10100" s="2"/>
      <c r="G10100" s="2"/>
      <c r="H10100" s="2"/>
    </row>
    <row r="10101" spans="1:8" x14ac:dyDescent="0.25">
      <c r="A10101" s="1"/>
      <c r="B10101" s="1" t="s">
        <v>5161</v>
      </c>
      <c r="C10101" s="1" t="s">
        <v>5162</v>
      </c>
      <c r="D10101" s="22" t="str">
        <f>HYPERLINK("https://rhld.insurance.arkansas.gov/NPILookup?Npi=1619130960","1619130960")</f>
        <v>1619130960</v>
      </c>
      <c r="E10101" s="1" t="s">
        <v>5388</v>
      </c>
      <c r="F10101" s="2"/>
      <c r="G10101" s="2"/>
      <c r="H10101" s="2"/>
    </row>
    <row r="10102" spans="1:8" x14ac:dyDescent="0.25">
      <c r="A10102" s="1"/>
      <c r="B10102" s="1" t="s">
        <v>5161</v>
      </c>
      <c r="C10102" s="1" t="s">
        <v>5162</v>
      </c>
      <c r="D10102" s="22" t="str">
        <f>HYPERLINK("https://rhld.insurance.arkansas.gov/NPILookup?Npi=1619221843","1619221843")</f>
        <v>1619221843</v>
      </c>
      <c r="E10102" s="1" t="s">
        <v>5389</v>
      </c>
      <c r="F10102" s="2"/>
      <c r="G10102" s="2"/>
      <c r="H10102" s="2"/>
    </row>
    <row r="10103" spans="1:8" x14ac:dyDescent="0.25">
      <c r="A10103" s="1"/>
      <c r="B10103" s="1" t="s">
        <v>5161</v>
      </c>
      <c r="C10103" s="1" t="s">
        <v>5162</v>
      </c>
      <c r="D10103" s="22" t="str">
        <f>HYPERLINK("https://rhld.insurance.arkansas.gov/NPILookup?Npi=1619432689","1619432689")</f>
        <v>1619432689</v>
      </c>
      <c r="E10103" s="1" t="s">
        <v>19830</v>
      </c>
      <c r="F10103" s="2"/>
      <c r="G10103" s="2"/>
      <c r="H10103" s="2"/>
    </row>
    <row r="10104" spans="1:8" x14ac:dyDescent="0.25">
      <c r="A10104" s="1"/>
      <c r="B10104" s="1" t="s">
        <v>5161</v>
      </c>
      <c r="C10104" s="1" t="s">
        <v>5162</v>
      </c>
      <c r="D10104" s="22" t="str">
        <f>HYPERLINK("https://rhld.insurance.arkansas.gov/NPILookup?Npi=1619434404","1619434404")</f>
        <v>1619434404</v>
      </c>
      <c r="E10104" s="1" t="s">
        <v>19831</v>
      </c>
      <c r="F10104" s="2"/>
      <c r="G10104" s="2"/>
      <c r="H10104" s="2"/>
    </row>
    <row r="10105" spans="1:8" x14ac:dyDescent="0.25">
      <c r="A10105" s="1"/>
      <c r="B10105" s="1" t="s">
        <v>5161</v>
      </c>
      <c r="C10105" s="1" t="s">
        <v>5162</v>
      </c>
      <c r="D10105" s="22" t="str">
        <f>HYPERLINK("https://rhld.insurance.arkansas.gov/NPILookup?Npi=1619440666","1619440666")</f>
        <v>1619440666</v>
      </c>
      <c r="E10105" s="1" t="s">
        <v>5390</v>
      </c>
      <c r="F10105" s="2"/>
      <c r="G10105" s="2"/>
      <c r="H10105" s="2"/>
    </row>
    <row r="10106" spans="1:8" x14ac:dyDescent="0.25">
      <c r="A10106" s="1"/>
      <c r="B10106" s="1" t="s">
        <v>5161</v>
      </c>
      <c r="C10106" s="1" t="s">
        <v>5162</v>
      </c>
      <c r="D10106" s="22" t="str">
        <f>HYPERLINK("https://rhld.insurance.arkansas.gov/NPILookup?Npi=1619451937","1619451937")</f>
        <v>1619451937</v>
      </c>
      <c r="E10106" s="1" t="s">
        <v>5391</v>
      </c>
      <c r="F10106" s="2"/>
      <c r="G10106" s="2"/>
      <c r="H10106" s="2"/>
    </row>
    <row r="10107" spans="1:8" x14ac:dyDescent="0.25">
      <c r="A10107" s="1"/>
      <c r="B10107" s="1" t="s">
        <v>5161</v>
      </c>
      <c r="C10107" s="1" t="s">
        <v>5162</v>
      </c>
      <c r="D10107" s="22" t="str">
        <f>HYPERLINK("https://rhld.insurance.arkansas.gov/NPILookup?Npi=1619480324","1619480324")</f>
        <v>1619480324</v>
      </c>
      <c r="E10107" s="1" t="s">
        <v>5392</v>
      </c>
      <c r="F10107" s="2"/>
      <c r="G10107" s="2"/>
      <c r="H10107" s="2"/>
    </row>
    <row r="10108" spans="1:8" x14ac:dyDescent="0.25">
      <c r="A10108" s="1"/>
      <c r="B10108" s="1" t="s">
        <v>5161</v>
      </c>
      <c r="C10108" s="1" t="s">
        <v>5162</v>
      </c>
      <c r="D10108" s="22" t="str">
        <f>HYPERLINK("https://rhld.insurance.arkansas.gov/NPILookup?Npi=1619481652","1619481652")</f>
        <v>1619481652</v>
      </c>
      <c r="E10108" s="1" t="s">
        <v>19832</v>
      </c>
      <c r="F10108" s="2"/>
      <c r="G10108" s="2"/>
      <c r="H10108" s="2"/>
    </row>
    <row r="10109" spans="1:8" x14ac:dyDescent="0.25">
      <c r="A10109" s="1"/>
      <c r="B10109" s="1" t="s">
        <v>5161</v>
      </c>
      <c r="C10109" s="1" t="s">
        <v>5162</v>
      </c>
      <c r="D10109" s="22" t="str">
        <f>HYPERLINK("https://rhld.insurance.arkansas.gov/NPILookup?Npi=1619584604","1619584604")</f>
        <v>1619584604</v>
      </c>
      <c r="E10109" s="1" t="s">
        <v>5393</v>
      </c>
      <c r="F10109" s="2"/>
      <c r="G10109" s="2"/>
      <c r="H10109" s="2"/>
    </row>
    <row r="10110" spans="1:8" x14ac:dyDescent="0.25">
      <c r="A10110" s="1"/>
      <c r="B10110" s="1" t="s">
        <v>5161</v>
      </c>
      <c r="C10110" s="1" t="s">
        <v>5162</v>
      </c>
      <c r="D10110" s="22" t="str">
        <f>HYPERLINK("https://rhld.insurance.arkansas.gov/NPILookup?Npi=1619692498","1619692498")</f>
        <v>1619692498</v>
      </c>
      <c r="E10110" s="1" t="s">
        <v>19833</v>
      </c>
      <c r="F10110" s="2"/>
      <c r="G10110" s="2"/>
      <c r="H10110" s="2"/>
    </row>
    <row r="10111" spans="1:8" x14ac:dyDescent="0.25">
      <c r="A10111" s="1"/>
      <c r="B10111" s="1" t="s">
        <v>5161</v>
      </c>
      <c r="C10111" s="1" t="s">
        <v>5162</v>
      </c>
      <c r="D10111" s="22" t="str">
        <f>HYPERLINK("https://rhld.insurance.arkansas.gov/NPILookup?Npi=1619779808","1619779808")</f>
        <v>1619779808</v>
      </c>
      <c r="E10111" s="1" t="s">
        <v>31717</v>
      </c>
      <c r="F10111" s="2"/>
      <c r="G10111" s="2"/>
      <c r="H10111" s="2"/>
    </row>
    <row r="10112" spans="1:8" x14ac:dyDescent="0.25">
      <c r="A10112" s="1"/>
      <c r="B10112" s="1" t="s">
        <v>5161</v>
      </c>
      <c r="C10112" s="1" t="s">
        <v>5162</v>
      </c>
      <c r="D10112" s="22" t="str">
        <f>HYPERLINK("https://rhld.insurance.arkansas.gov/NPILookup?Npi=1619922374","1619922374")</f>
        <v>1619922374</v>
      </c>
      <c r="E10112" s="1" t="s">
        <v>19834</v>
      </c>
      <c r="F10112" s="2"/>
      <c r="G10112" s="2"/>
      <c r="H10112" s="2"/>
    </row>
    <row r="10113" spans="1:8" x14ac:dyDescent="0.25">
      <c r="A10113" s="1"/>
      <c r="B10113" s="1" t="s">
        <v>5161</v>
      </c>
      <c r="C10113" s="1" t="s">
        <v>5162</v>
      </c>
      <c r="D10113" s="22" t="str">
        <f>HYPERLINK("https://rhld.insurance.arkansas.gov/NPILookup?Npi=1629091590","1629091590")</f>
        <v>1629091590</v>
      </c>
      <c r="E10113" s="1" t="s">
        <v>19835</v>
      </c>
      <c r="F10113" s="2"/>
      <c r="G10113" s="2"/>
      <c r="H10113" s="2"/>
    </row>
    <row r="10114" spans="1:8" x14ac:dyDescent="0.25">
      <c r="A10114" s="1"/>
      <c r="B10114" s="1" t="s">
        <v>5161</v>
      </c>
      <c r="C10114" s="1" t="s">
        <v>5162</v>
      </c>
      <c r="D10114" s="22" t="str">
        <f>HYPERLINK("https://rhld.insurance.arkansas.gov/NPILookup?Npi=1629172135","1629172135")</f>
        <v>1629172135</v>
      </c>
      <c r="E10114" s="1" t="s">
        <v>11059</v>
      </c>
      <c r="F10114" s="2"/>
      <c r="G10114" s="2"/>
      <c r="H10114" s="2"/>
    </row>
    <row r="10115" spans="1:8" x14ac:dyDescent="0.25">
      <c r="A10115" s="1"/>
      <c r="B10115" s="1" t="s">
        <v>5161</v>
      </c>
      <c r="C10115" s="1" t="s">
        <v>5162</v>
      </c>
      <c r="D10115" s="22" t="str">
        <f>HYPERLINK("https://rhld.insurance.arkansas.gov/NPILookup?Npi=1629225818","1629225818")</f>
        <v>1629225818</v>
      </c>
      <c r="E10115" s="1" t="s">
        <v>19836</v>
      </c>
      <c r="F10115" s="2"/>
      <c r="G10115" s="2"/>
      <c r="H10115" s="2"/>
    </row>
    <row r="10116" spans="1:8" x14ac:dyDescent="0.25">
      <c r="A10116" s="1"/>
      <c r="B10116" s="1" t="s">
        <v>5161</v>
      </c>
      <c r="C10116" s="1" t="s">
        <v>5162</v>
      </c>
      <c r="D10116" s="22" t="str">
        <f>HYPERLINK("https://rhld.insurance.arkansas.gov/NPILookup?Npi=1629296033","1629296033")</f>
        <v>1629296033</v>
      </c>
      <c r="E10116" s="1" t="s">
        <v>19837</v>
      </c>
      <c r="F10116" s="2"/>
      <c r="G10116" s="2"/>
      <c r="H10116" s="2"/>
    </row>
    <row r="10117" spans="1:8" x14ac:dyDescent="0.25">
      <c r="A10117" s="1"/>
      <c r="B10117" s="1" t="s">
        <v>5161</v>
      </c>
      <c r="C10117" s="1" t="s">
        <v>5162</v>
      </c>
      <c r="D10117" s="22" t="str">
        <f>HYPERLINK("https://rhld.insurance.arkansas.gov/NPILookup?Npi=1629403886","1629403886")</f>
        <v>1629403886</v>
      </c>
      <c r="E10117" s="1" t="s">
        <v>19838</v>
      </c>
      <c r="F10117" s="2"/>
      <c r="G10117" s="2"/>
      <c r="H10117" s="2"/>
    </row>
    <row r="10118" spans="1:8" x14ac:dyDescent="0.25">
      <c r="A10118" s="1"/>
      <c r="B10118" s="1" t="s">
        <v>5161</v>
      </c>
      <c r="C10118" s="1" t="s">
        <v>5162</v>
      </c>
      <c r="D10118" s="22" t="str">
        <f>HYPERLINK("https://rhld.insurance.arkansas.gov/NPILookup?Npi=1629511878","1629511878")</f>
        <v>1629511878</v>
      </c>
      <c r="E10118" s="1" t="s">
        <v>19839</v>
      </c>
      <c r="F10118" s="2"/>
      <c r="G10118" s="2"/>
      <c r="H10118" s="2"/>
    </row>
    <row r="10119" spans="1:8" x14ac:dyDescent="0.25">
      <c r="A10119" s="1"/>
      <c r="B10119" s="1" t="s">
        <v>5161</v>
      </c>
      <c r="C10119" s="1" t="s">
        <v>5162</v>
      </c>
      <c r="D10119" s="22" t="str">
        <f>HYPERLINK("https://rhld.insurance.arkansas.gov/NPILookup?Npi=1629524236","1629524236")</f>
        <v>1629524236</v>
      </c>
      <c r="E10119" s="1" t="s">
        <v>19840</v>
      </c>
      <c r="F10119" s="2"/>
      <c r="G10119" s="2"/>
      <c r="H10119" s="2"/>
    </row>
    <row r="10120" spans="1:8" x14ac:dyDescent="0.25">
      <c r="A10120" s="1"/>
      <c r="B10120" s="1" t="s">
        <v>5161</v>
      </c>
      <c r="C10120" s="1" t="s">
        <v>5162</v>
      </c>
      <c r="D10120" s="22" t="str">
        <f>HYPERLINK("https://rhld.insurance.arkansas.gov/NPILookup?Npi=1629529920","1629529920")</f>
        <v>1629529920</v>
      </c>
      <c r="E10120" s="1" t="s">
        <v>11060</v>
      </c>
      <c r="F10120" s="2"/>
      <c r="G10120" s="2"/>
      <c r="H10120" s="2"/>
    </row>
    <row r="10121" spans="1:8" x14ac:dyDescent="0.25">
      <c r="A10121" s="1"/>
      <c r="B10121" s="1" t="s">
        <v>5161</v>
      </c>
      <c r="C10121" s="1" t="s">
        <v>5162</v>
      </c>
      <c r="D10121" s="22" t="str">
        <f>HYPERLINK("https://rhld.insurance.arkansas.gov/NPILookup?Npi=1629534698","1629534698")</f>
        <v>1629534698</v>
      </c>
      <c r="E10121" s="1" t="s">
        <v>19841</v>
      </c>
      <c r="F10121" s="2"/>
      <c r="G10121" s="2"/>
      <c r="H10121" s="2"/>
    </row>
    <row r="10122" spans="1:8" x14ac:dyDescent="0.25">
      <c r="A10122" s="1"/>
      <c r="B10122" s="1" t="s">
        <v>5161</v>
      </c>
      <c r="C10122" s="1" t="s">
        <v>5162</v>
      </c>
      <c r="D10122" s="22" t="str">
        <f>HYPERLINK("https://rhld.insurance.arkansas.gov/NPILookup?Npi=1629733894","1629733894")</f>
        <v>1629733894</v>
      </c>
      <c r="E10122" s="1" t="s">
        <v>19842</v>
      </c>
      <c r="F10122" s="2"/>
      <c r="G10122" s="2"/>
      <c r="H10122" s="2"/>
    </row>
    <row r="10123" spans="1:8" x14ac:dyDescent="0.25">
      <c r="A10123" s="1"/>
      <c r="B10123" s="1" t="s">
        <v>5161</v>
      </c>
      <c r="C10123" s="1" t="s">
        <v>5162</v>
      </c>
      <c r="D10123" s="22" t="str">
        <f>HYPERLINK("https://rhld.insurance.arkansas.gov/NPILookup?Npi=1629762679","1629762679")</f>
        <v>1629762679</v>
      </c>
      <c r="E10123" s="1" t="s">
        <v>5394</v>
      </c>
      <c r="F10123" s="2"/>
      <c r="G10123" s="2"/>
      <c r="H10123" s="2"/>
    </row>
    <row r="10124" spans="1:8" x14ac:dyDescent="0.25">
      <c r="A10124" s="1"/>
      <c r="B10124" s="1" t="s">
        <v>5161</v>
      </c>
      <c r="C10124" s="1" t="s">
        <v>5162</v>
      </c>
      <c r="D10124" s="22" t="str">
        <f>HYPERLINK("https://rhld.insurance.arkansas.gov/NPILookup?Npi=1629785043","1629785043")</f>
        <v>1629785043</v>
      </c>
      <c r="E10124" s="1" t="s">
        <v>5395</v>
      </c>
      <c r="F10124" s="2"/>
      <c r="G10124" s="2"/>
      <c r="H10124" s="2"/>
    </row>
    <row r="10125" spans="1:8" x14ac:dyDescent="0.25">
      <c r="A10125" s="1"/>
      <c r="B10125" s="1" t="s">
        <v>5161</v>
      </c>
      <c r="C10125" s="1" t="s">
        <v>5162</v>
      </c>
      <c r="D10125" s="22" t="str">
        <f>HYPERLINK("https://rhld.insurance.arkansas.gov/NPILookup?Npi=1629896998","1629896998")</f>
        <v>1629896998</v>
      </c>
      <c r="E10125" s="1" t="s">
        <v>31718</v>
      </c>
      <c r="F10125" s="2"/>
      <c r="G10125" s="2"/>
      <c r="H10125" s="2"/>
    </row>
    <row r="10126" spans="1:8" x14ac:dyDescent="0.25">
      <c r="A10126" s="1"/>
      <c r="B10126" s="1" t="s">
        <v>5161</v>
      </c>
      <c r="C10126" s="1" t="s">
        <v>5162</v>
      </c>
      <c r="D10126" s="22" t="str">
        <f>HYPERLINK("https://rhld.insurance.arkansas.gov/NPILookup?Npi=1639213986","1639213986")</f>
        <v>1639213986</v>
      </c>
      <c r="E10126" s="1" t="s">
        <v>6848</v>
      </c>
      <c r="F10126" s="2"/>
      <c r="G10126" s="2"/>
      <c r="H10126" s="2"/>
    </row>
    <row r="10127" spans="1:8" x14ac:dyDescent="0.25">
      <c r="A10127" s="1"/>
      <c r="B10127" s="1" t="s">
        <v>5161</v>
      </c>
      <c r="C10127" s="1" t="s">
        <v>5162</v>
      </c>
      <c r="D10127" s="22" t="str">
        <f>HYPERLINK("https://rhld.insurance.arkansas.gov/NPILookup?Npi=1639280217","1639280217")</f>
        <v>1639280217</v>
      </c>
      <c r="E10127" s="1" t="s">
        <v>2135</v>
      </c>
      <c r="F10127" s="2"/>
      <c r="G10127" s="2"/>
      <c r="H10127" s="2"/>
    </row>
    <row r="10128" spans="1:8" x14ac:dyDescent="0.25">
      <c r="A10128" s="1"/>
      <c r="B10128" s="1" t="s">
        <v>5161</v>
      </c>
      <c r="C10128" s="1" t="s">
        <v>5162</v>
      </c>
      <c r="D10128" s="22" t="str">
        <f>HYPERLINK("https://rhld.insurance.arkansas.gov/NPILookup?Npi=1639292071","1639292071")</f>
        <v>1639292071</v>
      </c>
      <c r="E10128" s="1" t="s">
        <v>5397</v>
      </c>
      <c r="F10128" s="2"/>
      <c r="G10128" s="2"/>
      <c r="H10128" s="2"/>
    </row>
    <row r="10129" spans="1:8" x14ac:dyDescent="0.25">
      <c r="A10129" s="1"/>
      <c r="B10129" s="1" t="s">
        <v>5161</v>
      </c>
      <c r="C10129" s="1" t="s">
        <v>5162</v>
      </c>
      <c r="D10129" s="22" t="str">
        <f>HYPERLINK("https://rhld.insurance.arkansas.gov/NPILookup?Npi=1639538762","1639538762")</f>
        <v>1639538762</v>
      </c>
      <c r="E10129" s="1" t="s">
        <v>5398</v>
      </c>
      <c r="F10129" s="2"/>
      <c r="G10129" s="2"/>
      <c r="H10129" s="2"/>
    </row>
    <row r="10130" spans="1:8" x14ac:dyDescent="0.25">
      <c r="A10130" s="1"/>
      <c r="B10130" s="1" t="s">
        <v>5161</v>
      </c>
      <c r="C10130" s="1" t="s">
        <v>5162</v>
      </c>
      <c r="D10130" s="22" t="str">
        <f>HYPERLINK("https://rhld.insurance.arkansas.gov/NPILookup?Npi=1639550031","1639550031")</f>
        <v>1639550031</v>
      </c>
      <c r="E10130" s="1" t="s">
        <v>19843</v>
      </c>
      <c r="F10130" s="2"/>
      <c r="G10130" s="2"/>
      <c r="H10130" s="2"/>
    </row>
    <row r="10131" spans="1:8" x14ac:dyDescent="0.25">
      <c r="A10131" s="1"/>
      <c r="B10131" s="1" t="s">
        <v>5161</v>
      </c>
      <c r="C10131" s="1" t="s">
        <v>5162</v>
      </c>
      <c r="D10131" s="22" t="str">
        <f>HYPERLINK("https://rhld.insurance.arkansas.gov/NPILookup?Npi=1639555352","1639555352")</f>
        <v>1639555352</v>
      </c>
      <c r="E10131" s="1" t="s">
        <v>11061</v>
      </c>
      <c r="F10131" s="2"/>
      <c r="G10131" s="2"/>
      <c r="H10131" s="2"/>
    </row>
    <row r="10132" spans="1:8" x14ac:dyDescent="0.25">
      <c r="A10132" s="1"/>
      <c r="B10132" s="1" t="s">
        <v>5161</v>
      </c>
      <c r="C10132" s="1" t="s">
        <v>5162</v>
      </c>
      <c r="D10132" s="22" t="str">
        <f>HYPERLINK("https://rhld.insurance.arkansas.gov/NPILookup?Npi=1639740152","1639740152")</f>
        <v>1639740152</v>
      </c>
      <c r="E10132" s="1" t="s">
        <v>19844</v>
      </c>
      <c r="F10132" s="2"/>
      <c r="G10132" s="2"/>
      <c r="H10132" s="2"/>
    </row>
    <row r="10133" spans="1:8" x14ac:dyDescent="0.25">
      <c r="A10133" s="1"/>
      <c r="B10133" s="1" t="s">
        <v>5161</v>
      </c>
      <c r="C10133" s="1" t="s">
        <v>5162</v>
      </c>
      <c r="D10133" s="22" t="str">
        <f>HYPERLINK("https://rhld.insurance.arkansas.gov/NPILookup?Npi=1639761448","1639761448")</f>
        <v>1639761448</v>
      </c>
      <c r="E10133" s="1" t="s">
        <v>19845</v>
      </c>
      <c r="F10133" s="2"/>
      <c r="G10133" s="2"/>
      <c r="H10133" s="2"/>
    </row>
    <row r="10134" spans="1:8" x14ac:dyDescent="0.25">
      <c r="A10134" s="1"/>
      <c r="B10134" s="1" t="s">
        <v>5161</v>
      </c>
      <c r="C10134" s="1" t="s">
        <v>5162</v>
      </c>
      <c r="D10134" s="22" t="str">
        <f>HYPERLINK("https://rhld.insurance.arkansas.gov/NPILookup?Npi=1639779242","1639779242")</f>
        <v>1639779242</v>
      </c>
      <c r="E10134" s="1" t="s">
        <v>5399</v>
      </c>
      <c r="F10134" s="2"/>
      <c r="G10134" s="2"/>
      <c r="H10134" s="2"/>
    </row>
    <row r="10135" spans="1:8" x14ac:dyDescent="0.25">
      <c r="A10135" s="1"/>
      <c r="B10135" s="1" t="s">
        <v>5161</v>
      </c>
      <c r="C10135" s="1" t="s">
        <v>5162</v>
      </c>
      <c r="D10135" s="22" t="str">
        <f>HYPERLINK("https://rhld.insurance.arkansas.gov/NPILookup?Npi=1639779903","1639779903")</f>
        <v>1639779903</v>
      </c>
      <c r="E10135" s="1" t="s">
        <v>11062</v>
      </c>
      <c r="F10135" s="2"/>
      <c r="G10135" s="2"/>
      <c r="H10135" s="2"/>
    </row>
    <row r="10136" spans="1:8" x14ac:dyDescent="0.25">
      <c r="A10136" s="1"/>
      <c r="B10136" s="1" t="s">
        <v>5161</v>
      </c>
      <c r="C10136" s="1" t="s">
        <v>5162</v>
      </c>
      <c r="D10136" s="22" t="str">
        <f>HYPERLINK("https://rhld.insurance.arkansas.gov/NPILookup?Npi=1639833254","1639833254")</f>
        <v>1639833254</v>
      </c>
      <c r="E10136" s="1" t="s">
        <v>19846</v>
      </c>
      <c r="F10136" s="2"/>
      <c r="G10136" s="2"/>
      <c r="H10136" s="2"/>
    </row>
    <row r="10137" spans="1:8" x14ac:dyDescent="0.25">
      <c r="A10137" s="1"/>
      <c r="B10137" s="1" t="s">
        <v>5161</v>
      </c>
      <c r="C10137" s="1" t="s">
        <v>5162</v>
      </c>
      <c r="D10137" s="22" t="str">
        <f>HYPERLINK("https://rhld.insurance.arkansas.gov/NPILookup?Npi=1639852148","1639852148")</f>
        <v>1639852148</v>
      </c>
      <c r="E10137" s="1" t="s">
        <v>19847</v>
      </c>
      <c r="F10137" s="2"/>
      <c r="G10137" s="2"/>
      <c r="H10137" s="2"/>
    </row>
    <row r="10138" spans="1:8" x14ac:dyDescent="0.25">
      <c r="A10138" s="1"/>
      <c r="B10138" s="1" t="s">
        <v>5161</v>
      </c>
      <c r="C10138" s="1" t="s">
        <v>5162</v>
      </c>
      <c r="D10138" s="22" t="str">
        <f>HYPERLINK("https://rhld.insurance.arkansas.gov/NPILookup?Npi=1639883218","1639883218")</f>
        <v>1639883218</v>
      </c>
      <c r="E10138" s="1" t="s">
        <v>19848</v>
      </c>
      <c r="F10138" s="2"/>
      <c r="G10138" s="2"/>
      <c r="H10138" s="2"/>
    </row>
    <row r="10139" spans="1:8" x14ac:dyDescent="0.25">
      <c r="A10139" s="1"/>
      <c r="B10139" s="1" t="s">
        <v>5161</v>
      </c>
      <c r="C10139" s="1" t="s">
        <v>5162</v>
      </c>
      <c r="D10139" s="22" t="str">
        <f>HYPERLINK("https://rhld.insurance.arkansas.gov/NPILookup?Npi=1639924459","1639924459")</f>
        <v>1639924459</v>
      </c>
      <c r="E10139" s="1" t="s">
        <v>19849</v>
      </c>
      <c r="F10139" s="2"/>
      <c r="G10139" s="2"/>
      <c r="H10139" s="2"/>
    </row>
    <row r="10140" spans="1:8" x14ac:dyDescent="0.25">
      <c r="A10140" s="1"/>
      <c r="B10140" s="1" t="s">
        <v>5161</v>
      </c>
      <c r="C10140" s="1" t="s">
        <v>5162</v>
      </c>
      <c r="D10140" s="22" t="str">
        <f>HYPERLINK("https://rhld.insurance.arkansas.gov/NPILookup?Npi=1639949464","1639949464")</f>
        <v>1639949464</v>
      </c>
      <c r="E10140" s="1" t="s">
        <v>19850</v>
      </c>
      <c r="F10140" s="2"/>
      <c r="G10140" s="2"/>
      <c r="H10140" s="2"/>
    </row>
    <row r="10141" spans="1:8" x14ac:dyDescent="0.25">
      <c r="A10141" s="1"/>
      <c r="B10141" s="1" t="s">
        <v>5161</v>
      </c>
      <c r="C10141" s="1" t="s">
        <v>5162</v>
      </c>
      <c r="D10141" s="22" t="str">
        <f>HYPERLINK("https://rhld.insurance.arkansas.gov/NPILookup?Npi=1649052564","1649052564")</f>
        <v>1649052564</v>
      </c>
      <c r="E10141" s="1" t="s">
        <v>4097</v>
      </c>
      <c r="F10141" s="2"/>
      <c r="G10141" s="2"/>
      <c r="H10141" s="2"/>
    </row>
    <row r="10142" spans="1:8" x14ac:dyDescent="0.25">
      <c r="A10142" s="1"/>
      <c r="B10142" s="1" t="s">
        <v>5161</v>
      </c>
      <c r="C10142" s="1" t="s">
        <v>5162</v>
      </c>
      <c r="D10142" s="22" t="str">
        <f>HYPERLINK("https://rhld.insurance.arkansas.gov/NPILookup?Npi=1649261702","1649261702")</f>
        <v>1649261702</v>
      </c>
      <c r="E10142" s="1" t="s">
        <v>19851</v>
      </c>
      <c r="F10142" s="2"/>
      <c r="G10142" s="2"/>
      <c r="H10142" s="2"/>
    </row>
    <row r="10143" spans="1:8" x14ac:dyDescent="0.25">
      <c r="A10143" s="1"/>
      <c r="B10143" s="1" t="s">
        <v>5161</v>
      </c>
      <c r="C10143" s="1" t="s">
        <v>5162</v>
      </c>
      <c r="D10143" s="22" t="str">
        <f>HYPERLINK("https://rhld.insurance.arkansas.gov/NPILookup?Npi=1649462979","1649462979")</f>
        <v>1649462979</v>
      </c>
      <c r="E10143" s="1" t="s">
        <v>11063</v>
      </c>
      <c r="F10143" s="2"/>
      <c r="G10143" s="2"/>
      <c r="H10143" s="2"/>
    </row>
    <row r="10144" spans="1:8" x14ac:dyDescent="0.25">
      <c r="A10144" s="1"/>
      <c r="B10144" s="1" t="s">
        <v>5161</v>
      </c>
      <c r="C10144" s="1" t="s">
        <v>5162</v>
      </c>
      <c r="D10144" s="22" t="str">
        <f>HYPERLINK("https://rhld.insurance.arkansas.gov/NPILookup?Npi=1649466178","1649466178")</f>
        <v>1649466178</v>
      </c>
      <c r="E10144" s="1" t="s">
        <v>19852</v>
      </c>
      <c r="F10144" s="2"/>
      <c r="G10144" s="2"/>
      <c r="H10144" s="2"/>
    </row>
    <row r="10145" spans="1:8" x14ac:dyDescent="0.25">
      <c r="A10145" s="1"/>
      <c r="B10145" s="1" t="s">
        <v>5161</v>
      </c>
      <c r="C10145" s="1" t="s">
        <v>5162</v>
      </c>
      <c r="D10145" s="22" t="str">
        <f>HYPERLINK("https://rhld.insurance.arkansas.gov/NPILookup?Npi=1649492158","1649492158")</f>
        <v>1649492158</v>
      </c>
      <c r="E10145" s="1" t="s">
        <v>5400</v>
      </c>
      <c r="F10145" s="2"/>
      <c r="G10145" s="2"/>
      <c r="H10145" s="2"/>
    </row>
    <row r="10146" spans="1:8" x14ac:dyDescent="0.25">
      <c r="A10146" s="1"/>
      <c r="B10146" s="1" t="s">
        <v>5161</v>
      </c>
      <c r="C10146" s="1" t="s">
        <v>5162</v>
      </c>
      <c r="D10146" s="22" t="str">
        <f>HYPERLINK("https://rhld.insurance.arkansas.gov/NPILookup?Npi=1649523465","1649523465")</f>
        <v>1649523465</v>
      </c>
      <c r="E10146" s="1" t="s">
        <v>19853</v>
      </c>
      <c r="F10146" s="2"/>
      <c r="G10146" s="2"/>
      <c r="H10146" s="2"/>
    </row>
    <row r="10147" spans="1:8" x14ac:dyDescent="0.25">
      <c r="A10147" s="1"/>
      <c r="B10147" s="1" t="s">
        <v>5161</v>
      </c>
      <c r="C10147" s="1" t="s">
        <v>5162</v>
      </c>
      <c r="D10147" s="22" t="str">
        <f>HYPERLINK("https://rhld.insurance.arkansas.gov/NPILookup?Npi=1649649674","1649649674")</f>
        <v>1649649674</v>
      </c>
      <c r="E10147" s="1" t="s">
        <v>11064</v>
      </c>
      <c r="F10147" s="2"/>
      <c r="G10147" s="2"/>
      <c r="H10147" s="2"/>
    </row>
    <row r="10148" spans="1:8" x14ac:dyDescent="0.25">
      <c r="A10148" s="1"/>
      <c r="B10148" s="1" t="s">
        <v>5161</v>
      </c>
      <c r="C10148" s="1" t="s">
        <v>5162</v>
      </c>
      <c r="D10148" s="22" t="str">
        <f>HYPERLINK("https://rhld.insurance.arkansas.gov/NPILookup?Npi=1649702911","1649702911")</f>
        <v>1649702911</v>
      </c>
      <c r="E10148" s="1" t="s">
        <v>5401</v>
      </c>
      <c r="F10148" s="2"/>
      <c r="G10148" s="2"/>
      <c r="H10148" s="2"/>
    </row>
    <row r="10149" spans="1:8" x14ac:dyDescent="0.25">
      <c r="A10149" s="1"/>
      <c r="B10149" s="1" t="s">
        <v>5161</v>
      </c>
      <c r="C10149" s="1" t="s">
        <v>5162</v>
      </c>
      <c r="D10149" s="22" t="str">
        <f>HYPERLINK("https://rhld.insurance.arkansas.gov/NPILookup?Npi=1649794538","1649794538")</f>
        <v>1649794538</v>
      </c>
      <c r="E10149" s="1" t="s">
        <v>1510</v>
      </c>
      <c r="F10149" s="2"/>
      <c r="G10149" s="2"/>
      <c r="H10149" s="2"/>
    </row>
    <row r="10150" spans="1:8" x14ac:dyDescent="0.25">
      <c r="A10150" s="1"/>
      <c r="B10150" s="1" t="s">
        <v>5161</v>
      </c>
      <c r="C10150" s="1" t="s">
        <v>5162</v>
      </c>
      <c r="D10150" s="22" t="str">
        <f>HYPERLINK("https://rhld.insurance.arkansas.gov/NPILookup?Npi=1649940693","1649940693")</f>
        <v>1649940693</v>
      </c>
      <c r="E10150" s="1" t="s">
        <v>19854</v>
      </c>
      <c r="F10150" s="2"/>
      <c r="G10150" s="2"/>
      <c r="H10150" s="2"/>
    </row>
    <row r="10151" spans="1:8" x14ac:dyDescent="0.25">
      <c r="A10151" s="1"/>
      <c r="B10151" s="1" t="s">
        <v>5161</v>
      </c>
      <c r="C10151" s="1" t="s">
        <v>5162</v>
      </c>
      <c r="D10151" s="22" t="str">
        <f>HYPERLINK("https://rhld.insurance.arkansas.gov/NPILookup?Npi=1649966391","1649966391")</f>
        <v>1649966391</v>
      </c>
      <c r="E10151" s="1" t="s">
        <v>19855</v>
      </c>
      <c r="F10151" s="2"/>
      <c r="G10151" s="2"/>
      <c r="H10151" s="2"/>
    </row>
    <row r="10152" spans="1:8" x14ac:dyDescent="0.25">
      <c r="A10152" s="1"/>
      <c r="B10152" s="1" t="s">
        <v>5161</v>
      </c>
      <c r="C10152" s="1" t="s">
        <v>5162</v>
      </c>
      <c r="D10152" s="22" t="str">
        <f>HYPERLINK("https://rhld.insurance.arkansas.gov/NPILookup?Npi=1659066348","1659066348")</f>
        <v>1659066348</v>
      </c>
      <c r="E10152" s="1" t="s">
        <v>5208</v>
      </c>
      <c r="F10152" s="2"/>
      <c r="G10152" s="2"/>
      <c r="H10152" s="2"/>
    </row>
    <row r="10153" spans="1:8" x14ac:dyDescent="0.25">
      <c r="A10153" s="1"/>
      <c r="B10153" s="1" t="s">
        <v>5161</v>
      </c>
      <c r="C10153" s="1" t="s">
        <v>5162</v>
      </c>
      <c r="D10153" s="22" t="str">
        <f>HYPERLINK("https://rhld.insurance.arkansas.gov/NPILookup?Npi=1659097970","1659097970")</f>
        <v>1659097970</v>
      </c>
      <c r="E10153" s="1" t="s">
        <v>11065</v>
      </c>
      <c r="F10153" s="2"/>
      <c r="G10153" s="2"/>
      <c r="H10153" s="2"/>
    </row>
    <row r="10154" spans="1:8" x14ac:dyDescent="0.25">
      <c r="A10154" s="1"/>
      <c r="B10154" s="1" t="s">
        <v>5161</v>
      </c>
      <c r="C10154" s="1" t="s">
        <v>5162</v>
      </c>
      <c r="D10154" s="22" t="str">
        <f>HYPERLINK("https://rhld.insurance.arkansas.gov/NPILookup?Npi=1659129989","1659129989")</f>
        <v>1659129989</v>
      </c>
      <c r="E10154" s="1" t="s">
        <v>19856</v>
      </c>
      <c r="F10154" s="2"/>
      <c r="G10154" s="2"/>
      <c r="H10154" s="2"/>
    </row>
    <row r="10155" spans="1:8" x14ac:dyDescent="0.25">
      <c r="A10155" s="1"/>
      <c r="B10155" s="1" t="s">
        <v>5161</v>
      </c>
      <c r="C10155" s="1" t="s">
        <v>5162</v>
      </c>
      <c r="D10155" s="22" t="str">
        <f>HYPERLINK("https://rhld.insurance.arkansas.gov/NPILookup?Npi=1659192193","1659192193")</f>
        <v>1659192193</v>
      </c>
      <c r="E10155" s="1" t="s">
        <v>19857</v>
      </c>
      <c r="F10155" s="2"/>
      <c r="G10155" s="2"/>
      <c r="H10155" s="2"/>
    </row>
    <row r="10156" spans="1:8" x14ac:dyDescent="0.25">
      <c r="A10156" s="1"/>
      <c r="B10156" s="1" t="s">
        <v>5161</v>
      </c>
      <c r="C10156" s="1" t="s">
        <v>5162</v>
      </c>
      <c r="D10156" s="22" t="str">
        <f>HYPERLINK("https://rhld.insurance.arkansas.gov/NPILookup?Npi=1659314144","1659314144")</f>
        <v>1659314144</v>
      </c>
      <c r="E10156" s="1" t="s">
        <v>19858</v>
      </c>
      <c r="F10156" s="2"/>
      <c r="G10156" s="2"/>
      <c r="H10156" s="2"/>
    </row>
    <row r="10157" spans="1:8" x14ac:dyDescent="0.25">
      <c r="A10157" s="1"/>
      <c r="B10157" s="1" t="s">
        <v>5161</v>
      </c>
      <c r="C10157" s="1" t="s">
        <v>5162</v>
      </c>
      <c r="D10157" s="22" t="str">
        <f>HYPERLINK("https://rhld.insurance.arkansas.gov/NPILookup?Npi=1659419901","1659419901")</f>
        <v>1659419901</v>
      </c>
      <c r="E10157" s="1" t="s">
        <v>19859</v>
      </c>
      <c r="F10157" s="2"/>
      <c r="G10157" s="2"/>
      <c r="H10157" s="2"/>
    </row>
    <row r="10158" spans="1:8" x14ac:dyDescent="0.25">
      <c r="A10158" s="1"/>
      <c r="B10158" s="1" t="s">
        <v>5161</v>
      </c>
      <c r="C10158" s="1" t="s">
        <v>5162</v>
      </c>
      <c r="D10158" s="22" t="str">
        <f>HYPERLINK("https://rhld.insurance.arkansas.gov/NPILookup?Npi=1659496941","1659496941")</f>
        <v>1659496941</v>
      </c>
      <c r="E10158" s="1" t="s">
        <v>5402</v>
      </c>
      <c r="F10158" s="2"/>
      <c r="G10158" s="2"/>
      <c r="H10158" s="2"/>
    </row>
    <row r="10159" spans="1:8" x14ac:dyDescent="0.25">
      <c r="A10159" s="1"/>
      <c r="B10159" s="1" t="s">
        <v>5161</v>
      </c>
      <c r="C10159" s="1" t="s">
        <v>5162</v>
      </c>
      <c r="D10159" s="22" t="str">
        <f>HYPERLINK("https://rhld.insurance.arkansas.gov/NPILookup?Npi=1659554384","1659554384")</f>
        <v>1659554384</v>
      </c>
      <c r="E10159" s="1" t="s">
        <v>5403</v>
      </c>
      <c r="F10159" s="2"/>
      <c r="G10159" s="2"/>
      <c r="H10159" s="2"/>
    </row>
    <row r="10160" spans="1:8" x14ac:dyDescent="0.25">
      <c r="A10160" s="1"/>
      <c r="B10160" s="1" t="s">
        <v>5161</v>
      </c>
      <c r="C10160" s="1" t="s">
        <v>5162</v>
      </c>
      <c r="D10160" s="22" t="str">
        <f>HYPERLINK("https://rhld.insurance.arkansas.gov/NPILookup?Npi=1659594521","1659594521")</f>
        <v>1659594521</v>
      </c>
      <c r="E10160" s="1" t="s">
        <v>19860</v>
      </c>
      <c r="F10160" s="2"/>
      <c r="G10160" s="2"/>
      <c r="H10160" s="2"/>
    </row>
    <row r="10161" spans="1:8" x14ac:dyDescent="0.25">
      <c r="A10161" s="1"/>
      <c r="B10161" s="1" t="s">
        <v>5161</v>
      </c>
      <c r="C10161" s="1" t="s">
        <v>5162</v>
      </c>
      <c r="D10161" s="22" t="str">
        <f>HYPERLINK("https://rhld.insurance.arkansas.gov/NPILookup?Npi=1659620185","1659620185")</f>
        <v>1659620185</v>
      </c>
      <c r="E10161" s="1" t="s">
        <v>11066</v>
      </c>
      <c r="F10161" s="2"/>
      <c r="G10161" s="2"/>
      <c r="H10161" s="2"/>
    </row>
    <row r="10162" spans="1:8" x14ac:dyDescent="0.25">
      <c r="A10162" s="1"/>
      <c r="B10162" s="1" t="s">
        <v>5161</v>
      </c>
      <c r="C10162" s="1" t="s">
        <v>5162</v>
      </c>
      <c r="D10162" s="22" t="str">
        <f>HYPERLINK("https://rhld.insurance.arkansas.gov/NPILookup?Npi=1659633949","1659633949")</f>
        <v>1659633949</v>
      </c>
      <c r="E10162" s="1" t="s">
        <v>11067</v>
      </c>
      <c r="F10162" s="2"/>
      <c r="G10162" s="2"/>
      <c r="H10162" s="2"/>
    </row>
    <row r="10163" spans="1:8" x14ac:dyDescent="0.25">
      <c r="A10163" s="1"/>
      <c r="B10163" s="1" t="s">
        <v>5161</v>
      </c>
      <c r="C10163" s="1" t="s">
        <v>5162</v>
      </c>
      <c r="D10163" s="22" t="str">
        <f>HYPERLINK("https://rhld.insurance.arkansas.gov/NPILookup?Npi=1659779650","1659779650")</f>
        <v>1659779650</v>
      </c>
      <c r="E10163" s="1" t="s">
        <v>19861</v>
      </c>
      <c r="F10163" s="2"/>
      <c r="G10163" s="2"/>
      <c r="H10163" s="2"/>
    </row>
    <row r="10164" spans="1:8" x14ac:dyDescent="0.25">
      <c r="A10164" s="1"/>
      <c r="B10164" s="1" t="s">
        <v>5161</v>
      </c>
      <c r="C10164" s="1" t="s">
        <v>5162</v>
      </c>
      <c r="D10164" s="22" t="str">
        <f>HYPERLINK("https://rhld.insurance.arkansas.gov/NPILookup?Npi=1659788230","1659788230")</f>
        <v>1659788230</v>
      </c>
      <c r="E10164" s="1" t="s">
        <v>2710</v>
      </c>
      <c r="F10164" s="2"/>
      <c r="G10164" s="2"/>
      <c r="H10164" s="2"/>
    </row>
    <row r="10165" spans="1:8" x14ac:dyDescent="0.25">
      <c r="A10165" s="1"/>
      <c r="B10165" s="1" t="s">
        <v>5161</v>
      </c>
      <c r="C10165" s="1" t="s">
        <v>5162</v>
      </c>
      <c r="D10165" s="22" t="str">
        <f>HYPERLINK("https://rhld.insurance.arkansas.gov/NPILookup?Npi=1659803864","1659803864")</f>
        <v>1659803864</v>
      </c>
      <c r="E10165" s="1" t="s">
        <v>19862</v>
      </c>
      <c r="F10165" s="2"/>
      <c r="G10165" s="2"/>
      <c r="H10165" s="2"/>
    </row>
    <row r="10166" spans="1:8" x14ac:dyDescent="0.25">
      <c r="A10166" s="1"/>
      <c r="B10166" s="1" t="s">
        <v>5161</v>
      </c>
      <c r="C10166" s="1" t="s">
        <v>5162</v>
      </c>
      <c r="D10166" s="22" t="str">
        <f>HYPERLINK("https://rhld.insurance.arkansas.gov/NPILookup?Npi=1669065595","1669065595")</f>
        <v>1669065595</v>
      </c>
      <c r="E10166" s="1" t="s">
        <v>11068</v>
      </c>
      <c r="F10166" s="2"/>
      <c r="G10166" s="2"/>
      <c r="H10166" s="2"/>
    </row>
    <row r="10167" spans="1:8" x14ac:dyDescent="0.25">
      <c r="A10167" s="1"/>
      <c r="B10167" s="1" t="s">
        <v>5161</v>
      </c>
      <c r="C10167" s="1" t="s">
        <v>5162</v>
      </c>
      <c r="D10167" s="22" t="str">
        <f>HYPERLINK("https://rhld.insurance.arkansas.gov/NPILookup?Npi=1669129185","1669129185")</f>
        <v>1669129185</v>
      </c>
      <c r="E10167" s="1" t="s">
        <v>19863</v>
      </c>
      <c r="F10167" s="2"/>
      <c r="G10167" s="2"/>
      <c r="H10167" s="2"/>
    </row>
    <row r="10168" spans="1:8" x14ac:dyDescent="0.25">
      <c r="A10168" s="1"/>
      <c r="B10168" s="1" t="s">
        <v>5161</v>
      </c>
      <c r="C10168" s="1" t="s">
        <v>5162</v>
      </c>
      <c r="D10168" s="22" t="str">
        <f>HYPERLINK("https://rhld.insurance.arkansas.gov/NPILookup?Npi=1669433199","1669433199")</f>
        <v>1669433199</v>
      </c>
      <c r="E10168" s="1" t="s">
        <v>19864</v>
      </c>
      <c r="F10168" s="2"/>
      <c r="G10168" s="2"/>
      <c r="H10168" s="2"/>
    </row>
    <row r="10169" spans="1:8" x14ac:dyDescent="0.25">
      <c r="A10169" s="1"/>
      <c r="B10169" s="1" t="s">
        <v>5161</v>
      </c>
      <c r="C10169" s="1" t="s">
        <v>5162</v>
      </c>
      <c r="D10169" s="22" t="str">
        <f>HYPERLINK("https://rhld.insurance.arkansas.gov/NPILookup?Npi=1669500427","1669500427")</f>
        <v>1669500427</v>
      </c>
      <c r="E10169" s="1" t="s">
        <v>5404</v>
      </c>
      <c r="F10169" s="2"/>
      <c r="G10169" s="2"/>
      <c r="H10169" s="2"/>
    </row>
    <row r="10170" spans="1:8" x14ac:dyDescent="0.25">
      <c r="A10170" s="1"/>
      <c r="B10170" s="1" t="s">
        <v>5161</v>
      </c>
      <c r="C10170" s="1" t="s">
        <v>5162</v>
      </c>
      <c r="D10170" s="22" t="str">
        <f>HYPERLINK("https://rhld.insurance.arkansas.gov/NPILookup?Npi=1669576609","1669576609")</f>
        <v>1669576609</v>
      </c>
      <c r="E10170" s="1" t="s">
        <v>5405</v>
      </c>
      <c r="F10170" s="2"/>
      <c r="G10170" s="2"/>
      <c r="H10170" s="2"/>
    </row>
    <row r="10171" spans="1:8" x14ac:dyDescent="0.25">
      <c r="A10171" s="1"/>
      <c r="B10171" s="1" t="s">
        <v>5161</v>
      </c>
      <c r="C10171" s="1" t="s">
        <v>5162</v>
      </c>
      <c r="D10171" s="22" t="str">
        <f>HYPERLINK("https://rhld.insurance.arkansas.gov/NPILookup?Npi=1669623492","1669623492")</f>
        <v>1669623492</v>
      </c>
      <c r="E10171" s="1" t="s">
        <v>19865</v>
      </c>
      <c r="F10171" s="2"/>
      <c r="G10171" s="2"/>
      <c r="H10171" s="2"/>
    </row>
    <row r="10172" spans="1:8" x14ac:dyDescent="0.25">
      <c r="A10172" s="1"/>
      <c r="B10172" s="1" t="s">
        <v>5161</v>
      </c>
      <c r="C10172" s="1" t="s">
        <v>5162</v>
      </c>
      <c r="D10172" s="22" t="str">
        <f>HYPERLINK("https://rhld.insurance.arkansas.gov/NPILookup?Npi=1669712071","1669712071")</f>
        <v>1669712071</v>
      </c>
      <c r="E10172" s="1" t="s">
        <v>19866</v>
      </c>
      <c r="F10172" s="2"/>
      <c r="G10172" s="2"/>
      <c r="H10172" s="2"/>
    </row>
    <row r="10173" spans="1:8" x14ac:dyDescent="0.25">
      <c r="A10173" s="1"/>
      <c r="B10173" s="1" t="s">
        <v>5161</v>
      </c>
      <c r="C10173" s="1" t="s">
        <v>5162</v>
      </c>
      <c r="D10173" s="22" t="str">
        <f>HYPERLINK("https://rhld.insurance.arkansas.gov/NPILookup?Npi=1669903001","1669903001")</f>
        <v>1669903001</v>
      </c>
      <c r="E10173" s="1" t="s">
        <v>19867</v>
      </c>
      <c r="F10173" s="2"/>
      <c r="G10173" s="2"/>
      <c r="H10173" s="2"/>
    </row>
    <row r="10174" spans="1:8" x14ac:dyDescent="0.25">
      <c r="A10174" s="1"/>
      <c r="B10174" s="1" t="s">
        <v>5161</v>
      </c>
      <c r="C10174" s="1" t="s">
        <v>5162</v>
      </c>
      <c r="D10174" s="22" t="str">
        <f>HYPERLINK("https://rhld.insurance.arkansas.gov/NPILookup?Npi=1669924155","1669924155")</f>
        <v>1669924155</v>
      </c>
      <c r="E10174" s="1" t="s">
        <v>31719</v>
      </c>
      <c r="F10174" s="2"/>
      <c r="G10174" s="2"/>
      <c r="H10174" s="2"/>
    </row>
    <row r="10175" spans="1:8" x14ac:dyDescent="0.25">
      <c r="A10175" s="1"/>
      <c r="B10175" s="1" t="s">
        <v>5161</v>
      </c>
      <c r="C10175" s="1" t="s">
        <v>5162</v>
      </c>
      <c r="D10175" s="22" t="str">
        <f>HYPERLINK("https://rhld.insurance.arkansas.gov/NPILookup?Npi=1669947321","1669947321")</f>
        <v>1669947321</v>
      </c>
      <c r="E10175" s="1" t="s">
        <v>19868</v>
      </c>
      <c r="F10175" s="2"/>
      <c r="G10175" s="2"/>
      <c r="H10175" s="2"/>
    </row>
    <row r="10176" spans="1:8" x14ac:dyDescent="0.25">
      <c r="A10176" s="1"/>
      <c r="B10176" s="1" t="s">
        <v>5161</v>
      </c>
      <c r="C10176" s="1" t="s">
        <v>5162</v>
      </c>
      <c r="D10176" s="22" t="str">
        <f>HYPERLINK("https://rhld.insurance.arkansas.gov/NPILookup?Npi=1679105159","1679105159")</f>
        <v>1679105159</v>
      </c>
      <c r="E10176" s="1" t="s">
        <v>5406</v>
      </c>
      <c r="F10176" s="2"/>
      <c r="G10176" s="2"/>
      <c r="H10176" s="2"/>
    </row>
    <row r="10177" spans="1:8" x14ac:dyDescent="0.25">
      <c r="A10177" s="1"/>
      <c r="B10177" s="1" t="s">
        <v>5161</v>
      </c>
      <c r="C10177" s="1" t="s">
        <v>5162</v>
      </c>
      <c r="D10177" s="22" t="str">
        <f>HYPERLINK("https://rhld.insurance.arkansas.gov/NPILookup?Npi=1679119036","1679119036")</f>
        <v>1679119036</v>
      </c>
      <c r="E10177" s="1" t="s">
        <v>19869</v>
      </c>
      <c r="F10177" s="2"/>
      <c r="G10177" s="2"/>
      <c r="H10177" s="2"/>
    </row>
    <row r="10178" spans="1:8" x14ac:dyDescent="0.25">
      <c r="A10178" s="1"/>
      <c r="B10178" s="1" t="s">
        <v>5161</v>
      </c>
      <c r="C10178" s="1" t="s">
        <v>5162</v>
      </c>
      <c r="D10178" s="22" t="str">
        <f>HYPERLINK("https://rhld.insurance.arkansas.gov/NPILookup?Npi=1679145312","1679145312")</f>
        <v>1679145312</v>
      </c>
      <c r="E10178" s="1" t="s">
        <v>5407</v>
      </c>
      <c r="F10178" s="2"/>
      <c r="G10178" s="2"/>
      <c r="H10178" s="2"/>
    </row>
    <row r="10179" spans="1:8" x14ac:dyDescent="0.25">
      <c r="A10179" s="1"/>
      <c r="B10179" s="1" t="s">
        <v>5161</v>
      </c>
      <c r="C10179" s="1" t="s">
        <v>5162</v>
      </c>
      <c r="D10179" s="22" t="str">
        <f>HYPERLINK("https://rhld.insurance.arkansas.gov/NPILookup?Npi=1679222400","1679222400")</f>
        <v>1679222400</v>
      </c>
      <c r="E10179" s="1" t="s">
        <v>5408</v>
      </c>
      <c r="F10179" s="2"/>
      <c r="G10179" s="2"/>
      <c r="H10179" s="2"/>
    </row>
    <row r="10180" spans="1:8" x14ac:dyDescent="0.25">
      <c r="A10180" s="1"/>
      <c r="B10180" s="1" t="s">
        <v>5161</v>
      </c>
      <c r="C10180" s="1" t="s">
        <v>5162</v>
      </c>
      <c r="D10180" s="22" t="str">
        <f>HYPERLINK("https://rhld.insurance.arkansas.gov/NPILookup?Npi=1679272348","1679272348")</f>
        <v>1679272348</v>
      </c>
      <c r="E10180" s="1" t="s">
        <v>5409</v>
      </c>
      <c r="F10180" s="2"/>
      <c r="G10180" s="2"/>
      <c r="H10180" s="2"/>
    </row>
    <row r="10181" spans="1:8" x14ac:dyDescent="0.25">
      <c r="A10181" s="1"/>
      <c r="B10181" s="1" t="s">
        <v>5161</v>
      </c>
      <c r="C10181" s="1" t="s">
        <v>5162</v>
      </c>
      <c r="D10181" s="22" t="str">
        <f>HYPERLINK("https://rhld.insurance.arkansas.gov/NPILookup?Npi=1679294441","1679294441")</f>
        <v>1679294441</v>
      </c>
      <c r="E10181" s="1" t="s">
        <v>11069</v>
      </c>
      <c r="F10181" s="2"/>
      <c r="G10181" s="2"/>
      <c r="H10181" s="2"/>
    </row>
    <row r="10182" spans="1:8" x14ac:dyDescent="0.25">
      <c r="A10182" s="1"/>
      <c r="B10182" s="1" t="s">
        <v>5161</v>
      </c>
      <c r="C10182" s="1" t="s">
        <v>5162</v>
      </c>
      <c r="D10182" s="22" t="str">
        <f>HYPERLINK("https://rhld.insurance.arkansas.gov/NPILookup?Npi=1679502751","1679502751")</f>
        <v>1679502751</v>
      </c>
      <c r="E10182" s="1" t="s">
        <v>19870</v>
      </c>
      <c r="F10182" s="2"/>
      <c r="G10182" s="2"/>
      <c r="H10182" s="2"/>
    </row>
    <row r="10183" spans="1:8" x14ac:dyDescent="0.25">
      <c r="A10183" s="1"/>
      <c r="B10183" s="1" t="s">
        <v>5161</v>
      </c>
      <c r="C10183" s="1" t="s">
        <v>5162</v>
      </c>
      <c r="D10183" s="22" t="str">
        <f>HYPERLINK("https://rhld.insurance.arkansas.gov/NPILookup?Npi=1679585590","1679585590")</f>
        <v>1679585590</v>
      </c>
      <c r="E10183" s="1" t="s">
        <v>11070</v>
      </c>
      <c r="F10183" s="2"/>
      <c r="G10183" s="2"/>
      <c r="H10183" s="2"/>
    </row>
    <row r="10184" spans="1:8" x14ac:dyDescent="0.25">
      <c r="A10184" s="1"/>
      <c r="B10184" s="1" t="s">
        <v>5161</v>
      </c>
      <c r="C10184" s="1" t="s">
        <v>5162</v>
      </c>
      <c r="D10184" s="22" t="str">
        <f>HYPERLINK("https://rhld.insurance.arkansas.gov/NPILookup?Npi=1679625917","1679625917")</f>
        <v>1679625917</v>
      </c>
      <c r="E10184" s="1" t="s">
        <v>19871</v>
      </c>
      <c r="F10184" s="2"/>
      <c r="G10184" s="2"/>
      <c r="H10184" s="2"/>
    </row>
    <row r="10185" spans="1:8" x14ac:dyDescent="0.25">
      <c r="A10185" s="1"/>
      <c r="B10185" s="1" t="s">
        <v>5161</v>
      </c>
      <c r="C10185" s="1" t="s">
        <v>5162</v>
      </c>
      <c r="D10185" s="22" t="str">
        <f>HYPERLINK("https://rhld.insurance.arkansas.gov/NPILookup?Npi=1679685093","1679685093")</f>
        <v>1679685093</v>
      </c>
      <c r="E10185" s="1" t="s">
        <v>5410</v>
      </c>
      <c r="F10185" s="2"/>
      <c r="G10185" s="2"/>
      <c r="H10185" s="2"/>
    </row>
    <row r="10186" spans="1:8" x14ac:dyDescent="0.25">
      <c r="A10186" s="1"/>
      <c r="B10186" s="1" t="s">
        <v>5161</v>
      </c>
      <c r="C10186" s="1" t="s">
        <v>5162</v>
      </c>
      <c r="D10186" s="22" t="str">
        <f>HYPERLINK("https://rhld.insurance.arkansas.gov/NPILookup?Npi=1679789523","1679789523")</f>
        <v>1679789523</v>
      </c>
      <c r="E10186" s="1" t="s">
        <v>19872</v>
      </c>
      <c r="F10186" s="2"/>
      <c r="G10186" s="2"/>
      <c r="H10186" s="2"/>
    </row>
    <row r="10187" spans="1:8" x14ac:dyDescent="0.25">
      <c r="A10187" s="1"/>
      <c r="B10187" s="1" t="s">
        <v>5161</v>
      </c>
      <c r="C10187" s="1" t="s">
        <v>5162</v>
      </c>
      <c r="D10187" s="22" t="str">
        <f>HYPERLINK("https://rhld.insurance.arkansas.gov/NPILookup?Npi=1679805956","1679805956")</f>
        <v>1679805956</v>
      </c>
      <c r="E10187" s="1" t="s">
        <v>11071</v>
      </c>
      <c r="F10187" s="2"/>
      <c r="G10187" s="2"/>
      <c r="H10187" s="2"/>
    </row>
    <row r="10188" spans="1:8" x14ac:dyDescent="0.25">
      <c r="A10188" s="1"/>
      <c r="B10188" s="1" t="s">
        <v>5161</v>
      </c>
      <c r="C10188" s="1" t="s">
        <v>5162</v>
      </c>
      <c r="D10188" s="22" t="str">
        <f>HYPERLINK("https://rhld.insurance.arkansas.gov/NPILookup?Npi=1679895270","1679895270")</f>
        <v>1679895270</v>
      </c>
      <c r="E10188" s="1" t="s">
        <v>19873</v>
      </c>
      <c r="F10188" s="2"/>
      <c r="G10188" s="2"/>
      <c r="H10188" s="2"/>
    </row>
    <row r="10189" spans="1:8" x14ac:dyDescent="0.25">
      <c r="A10189" s="1"/>
      <c r="B10189" s="1" t="s">
        <v>5161</v>
      </c>
      <c r="C10189" s="1" t="s">
        <v>5162</v>
      </c>
      <c r="D10189" s="22" t="str">
        <f>HYPERLINK("https://rhld.insurance.arkansas.gov/NPILookup?Npi=1679913529","1679913529")</f>
        <v>1679913529</v>
      </c>
      <c r="E10189" s="1" t="s">
        <v>11072</v>
      </c>
      <c r="F10189" s="2"/>
      <c r="G10189" s="2"/>
      <c r="H10189" s="2"/>
    </row>
    <row r="10190" spans="1:8" x14ac:dyDescent="0.25">
      <c r="A10190" s="1"/>
      <c r="B10190" s="1" t="s">
        <v>5161</v>
      </c>
      <c r="C10190" s="1" t="s">
        <v>5162</v>
      </c>
      <c r="D10190" s="22" t="str">
        <f>HYPERLINK("https://rhld.insurance.arkansas.gov/NPILookup?Npi=1679978233","1679978233")</f>
        <v>1679978233</v>
      </c>
      <c r="E10190" s="1" t="s">
        <v>19874</v>
      </c>
      <c r="F10190" s="2"/>
      <c r="G10190" s="2"/>
      <c r="H10190" s="2"/>
    </row>
    <row r="10191" spans="1:8" x14ac:dyDescent="0.25">
      <c r="A10191" s="1"/>
      <c r="B10191" s="1" t="s">
        <v>5161</v>
      </c>
      <c r="C10191" s="1" t="s">
        <v>5162</v>
      </c>
      <c r="D10191" s="22" t="str">
        <f>HYPERLINK("https://rhld.insurance.arkansas.gov/NPILookup?Npi=1689011389","1689011389")</f>
        <v>1689011389</v>
      </c>
      <c r="E10191" s="1" t="s">
        <v>19875</v>
      </c>
      <c r="F10191" s="2"/>
      <c r="G10191" s="2"/>
      <c r="H10191" s="2"/>
    </row>
    <row r="10192" spans="1:8" x14ac:dyDescent="0.25">
      <c r="A10192" s="1"/>
      <c r="B10192" s="1" t="s">
        <v>5161</v>
      </c>
      <c r="C10192" s="1" t="s">
        <v>5162</v>
      </c>
      <c r="D10192" s="22" t="str">
        <f>HYPERLINK("https://rhld.insurance.arkansas.gov/NPILookup?Npi=1689070302","1689070302")</f>
        <v>1689070302</v>
      </c>
      <c r="E10192" s="1" t="s">
        <v>11073</v>
      </c>
      <c r="F10192" s="2"/>
      <c r="G10192" s="2"/>
      <c r="H10192" s="2"/>
    </row>
    <row r="10193" spans="1:8" x14ac:dyDescent="0.25">
      <c r="A10193" s="1"/>
      <c r="B10193" s="1" t="s">
        <v>5161</v>
      </c>
      <c r="C10193" s="1" t="s">
        <v>5162</v>
      </c>
      <c r="D10193" s="22" t="str">
        <f>HYPERLINK("https://rhld.insurance.arkansas.gov/NPILookup?Npi=1689078107","1689078107")</f>
        <v>1689078107</v>
      </c>
      <c r="E10193" s="1" t="s">
        <v>19876</v>
      </c>
      <c r="F10193" s="2"/>
      <c r="G10193" s="2"/>
      <c r="H10193" s="2"/>
    </row>
    <row r="10194" spans="1:8" x14ac:dyDescent="0.25">
      <c r="A10194" s="1"/>
      <c r="B10194" s="1" t="s">
        <v>5161</v>
      </c>
      <c r="C10194" s="1" t="s">
        <v>5162</v>
      </c>
      <c r="D10194" s="22" t="str">
        <f>HYPERLINK("https://rhld.insurance.arkansas.gov/NPILookup?Npi=1689123945","1689123945")</f>
        <v>1689123945</v>
      </c>
      <c r="E10194" s="1" t="s">
        <v>19877</v>
      </c>
      <c r="F10194" s="2"/>
      <c r="G10194" s="2"/>
      <c r="H10194" s="2"/>
    </row>
    <row r="10195" spans="1:8" x14ac:dyDescent="0.25">
      <c r="A10195" s="1"/>
      <c r="B10195" s="1" t="s">
        <v>5161</v>
      </c>
      <c r="C10195" s="1" t="s">
        <v>5162</v>
      </c>
      <c r="D10195" s="22" t="str">
        <f>HYPERLINK("https://rhld.insurance.arkansas.gov/NPILookup?Npi=1689142515","1689142515")</f>
        <v>1689142515</v>
      </c>
      <c r="E10195" s="1" t="s">
        <v>19878</v>
      </c>
      <c r="F10195" s="2"/>
      <c r="G10195" s="2"/>
      <c r="H10195" s="2"/>
    </row>
    <row r="10196" spans="1:8" x14ac:dyDescent="0.25">
      <c r="A10196" s="1"/>
      <c r="B10196" s="1" t="s">
        <v>5161</v>
      </c>
      <c r="C10196" s="1" t="s">
        <v>5162</v>
      </c>
      <c r="D10196" s="22" t="str">
        <f>HYPERLINK("https://rhld.insurance.arkansas.gov/NPILookup?Npi=1689158370","1689158370")</f>
        <v>1689158370</v>
      </c>
      <c r="E10196" s="1" t="s">
        <v>19879</v>
      </c>
      <c r="F10196" s="2"/>
      <c r="G10196" s="2"/>
      <c r="H10196" s="2"/>
    </row>
    <row r="10197" spans="1:8" x14ac:dyDescent="0.25">
      <c r="A10197" s="1"/>
      <c r="B10197" s="1" t="s">
        <v>5161</v>
      </c>
      <c r="C10197" s="1" t="s">
        <v>5162</v>
      </c>
      <c r="D10197" s="22" t="str">
        <f>HYPERLINK("https://rhld.insurance.arkansas.gov/NPILookup?Npi=1689631517","1689631517")</f>
        <v>1689631517</v>
      </c>
      <c r="E10197" s="1" t="s">
        <v>19880</v>
      </c>
      <c r="F10197" s="2"/>
      <c r="G10197" s="2"/>
      <c r="H10197" s="2"/>
    </row>
    <row r="10198" spans="1:8" x14ac:dyDescent="0.25">
      <c r="A10198" s="1"/>
      <c r="B10198" s="1" t="s">
        <v>5161</v>
      </c>
      <c r="C10198" s="1" t="s">
        <v>5162</v>
      </c>
      <c r="D10198" s="22" t="str">
        <f>HYPERLINK("https://rhld.insurance.arkansas.gov/NPILookup?Npi=1689888737","1689888737")</f>
        <v>1689888737</v>
      </c>
      <c r="E10198" s="1" t="s">
        <v>183</v>
      </c>
      <c r="F10198" s="2"/>
      <c r="G10198" s="2"/>
      <c r="H10198" s="2"/>
    </row>
    <row r="10199" spans="1:8" x14ac:dyDescent="0.25">
      <c r="A10199" s="1"/>
      <c r="B10199" s="1" t="s">
        <v>5161</v>
      </c>
      <c r="C10199" s="1" t="s">
        <v>5162</v>
      </c>
      <c r="D10199" s="22" t="str">
        <f>HYPERLINK("https://rhld.insurance.arkansas.gov/NPILookup?Npi=1699178111","1699178111")</f>
        <v>1699178111</v>
      </c>
      <c r="E10199" s="1" t="s">
        <v>11074</v>
      </c>
      <c r="F10199" s="2"/>
      <c r="G10199" s="2"/>
      <c r="H10199" s="2"/>
    </row>
    <row r="10200" spans="1:8" x14ac:dyDescent="0.25">
      <c r="A10200" s="1"/>
      <c r="B10200" s="1" t="s">
        <v>5161</v>
      </c>
      <c r="C10200" s="1" t="s">
        <v>5162</v>
      </c>
      <c r="D10200" s="22" t="str">
        <f>HYPERLINK("https://rhld.insurance.arkansas.gov/NPILookup?Npi=1699219717","1699219717")</f>
        <v>1699219717</v>
      </c>
      <c r="E10200" s="1" t="s">
        <v>19881</v>
      </c>
      <c r="F10200" s="2"/>
      <c r="G10200" s="2"/>
      <c r="H10200" s="2"/>
    </row>
    <row r="10201" spans="1:8" x14ac:dyDescent="0.25">
      <c r="A10201" s="1"/>
      <c r="B10201" s="1" t="s">
        <v>5161</v>
      </c>
      <c r="C10201" s="1" t="s">
        <v>5162</v>
      </c>
      <c r="D10201" s="22" t="str">
        <f>HYPERLINK("https://rhld.insurance.arkansas.gov/NPILookup?Npi=1699260257","1699260257")</f>
        <v>1699260257</v>
      </c>
      <c r="E10201" s="1" t="s">
        <v>5411</v>
      </c>
      <c r="F10201" s="2"/>
      <c r="G10201" s="2"/>
      <c r="H10201" s="2"/>
    </row>
    <row r="10202" spans="1:8" x14ac:dyDescent="0.25">
      <c r="A10202" s="1"/>
      <c r="B10202" s="1" t="s">
        <v>5161</v>
      </c>
      <c r="C10202" s="1" t="s">
        <v>5162</v>
      </c>
      <c r="D10202" s="22" t="str">
        <f>HYPERLINK("https://rhld.insurance.arkansas.gov/NPILookup?Npi=1699374637","1699374637")</f>
        <v>1699374637</v>
      </c>
      <c r="E10202" s="1" t="s">
        <v>19882</v>
      </c>
      <c r="F10202" s="2"/>
      <c r="G10202" s="2"/>
      <c r="H10202" s="2"/>
    </row>
    <row r="10203" spans="1:8" x14ac:dyDescent="0.25">
      <c r="A10203" s="1"/>
      <c r="B10203" s="1" t="s">
        <v>5161</v>
      </c>
      <c r="C10203" s="1" t="s">
        <v>5162</v>
      </c>
      <c r="D10203" s="22" t="str">
        <f>HYPERLINK("https://rhld.insurance.arkansas.gov/NPILookup?Npi=1699375923","1699375923")</f>
        <v>1699375923</v>
      </c>
      <c r="E10203" s="1" t="s">
        <v>11075</v>
      </c>
      <c r="F10203" s="2"/>
      <c r="G10203" s="2"/>
      <c r="H10203" s="2"/>
    </row>
    <row r="10204" spans="1:8" x14ac:dyDescent="0.25">
      <c r="A10204" s="1"/>
      <c r="B10204" s="1" t="s">
        <v>5161</v>
      </c>
      <c r="C10204" s="1" t="s">
        <v>5162</v>
      </c>
      <c r="D10204" s="22" t="str">
        <f>HYPERLINK("https://rhld.insurance.arkansas.gov/NPILookup?Npi=1699498170","1699498170")</f>
        <v>1699498170</v>
      </c>
      <c r="E10204" s="1" t="s">
        <v>11076</v>
      </c>
      <c r="F10204" s="2"/>
      <c r="G10204" s="2"/>
      <c r="H10204" s="2"/>
    </row>
    <row r="10205" spans="1:8" x14ac:dyDescent="0.25">
      <c r="A10205" s="1"/>
      <c r="B10205" s="1" t="s">
        <v>5161</v>
      </c>
      <c r="C10205" s="1" t="s">
        <v>5162</v>
      </c>
      <c r="D10205" s="22" t="str">
        <f>HYPERLINK("https://rhld.insurance.arkansas.gov/NPILookup?Npi=1699544031","1699544031")</f>
        <v>1699544031</v>
      </c>
      <c r="E10205" s="1" t="s">
        <v>5412</v>
      </c>
      <c r="F10205" s="2"/>
      <c r="G10205" s="2"/>
      <c r="H10205" s="2"/>
    </row>
    <row r="10206" spans="1:8" x14ac:dyDescent="0.25">
      <c r="A10206" s="1"/>
      <c r="B10206" s="1" t="s">
        <v>5161</v>
      </c>
      <c r="C10206" s="1" t="s">
        <v>5162</v>
      </c>
      <c r="D10206" s="22" t="str">
        <f>HYPERLINK("https://rhld.insurance.arkansas.gov/NPILookup?Npi=1699923003","1699923003")</f>
        <v>1699923003</v>
      </c>
      <c r="E10206" s="1" t="s">
        <v>19883</v>
      </c>
      <c r="F10206" s="2"/>
      <c r="G10206" s="2"/>
      <c r="H10206" s="2"/>
    </row>
    <row r="10207" spans="1:8" x14ac:dyDescent="0.25">
      <c r="A10207" s="1"/>
      <c r="B10207" s="1" t="s">
        <v>5161</v>
      </c>
      <c r="C10207" s="1" t="s">
        <v>5162</v>
      </c>
      <c r="D10207" s="22" t="str">
        <f>HYPERLINK("https://rhld.insurance.arkansas.gov/NPILookup?Npi=1699977173","1699977173")</f>
        <v>1699977173</v>
      </c>
      <c r="E10207" s="1" t="s">
        <v>19884</v>
      </c>
      <c r="F10207" s="2"/>
      <c r="G10207" s="2"/>
      <c r="H10207" s="2"/>
    </row>
    <row r="10208" spans="1:8" x14ac:dyDescent="0.25">
      <c r="A10208" s="1"/>
      <c r="B10208" s="1" t="s">
        <v>5161</v>
      </c>
      <c r="C10208" s="1" t="s">
        <v>5162</v>
      </c>
      <c r="D10208" s="22" t="str">
        <f>HYPERLINK("https://rhld.insurance.arkansas.gov/NPILookup?Npi=1700215662","1700215662")</f>
        <v>1700215662</v>
      </c>
      <c r="E10208" s="1" t="s">
        <v>5413</v>
      </c>
      <c r="F10208" s="2"/>
      <c r="G10208" s="2"/>
      <c r="H10208" s="2"/>
    </row>
    <row r="10209" spans="1:8" x14ac:dyDescent="0.25">
      <c r="A10209" s="1"/>
      <c r="B10209" s="1" t="s">
        <v>5161</v>
      </c>
      <c r="C10209" s="1" t="s">
        <v>5162</v>
      </c>
      <c r="D10209" s="22" t="str">
        <f>HYPERLINK("https://rhld.insurance.arkansas.gov/NPILookup?Npi=1700221819","1700221819")</f>
        <v>1700221819</v>
      </c>
      <c r="E10209" s="1" t="s">
        <v>19885</v>
      </c>
      <c r="F10209" s="2"/>
      <c r="G10209" s="2"/>
      <c r="H10209" s="2"/>
    </row>
    <row r="10210" spans="1:8" x14ac:dyDescent="0.25">
      <c r="A10210" s="1"/>
      <c r="B10210" s="1" t="s">
        <v>5161</v>
      </c>
      <c r="C10210" s="1" t="s">
        <v>5162</v>
      </c>
      <c r="D10210" s="22" t="str">
        <f>HYPERLINK("https://rhld.insurance.arkansas.gov/NPILookup?Npi=1700226404","1700226404")</f>
        <v>1700226404</v>
      </c>
      <c r="E10210" s="1" t="s">
        <v>5414</v>
      </c>
      <c r="F10210" s="2"/>
      <c r="G10210" s="2"/>
      <c r="H10210" s="2"/>
    </row>
    <row r="10211" spans="1:8" x14ac:dyDescent="0.25">
      <c r="A10211" s="1"/>
      <c r="B10211" s="1" t="s">
        <v>5161</v>
      </c>
      <c r="C10211" s="1" t="s">
        <v>5162</v>
      </c>
      <c r="D10211" s="22" t="str">
        <f>HYPERLINK("https://rhld.insurance.arkansas.gov/NPILookup?Npi=1700245610","1700245610")</f>
        <v>1700245610</v>
      </c>
      <c r="E10211" s="1" t="s">
        <v>5415</v>
      </c>
      <c r="F10211" s="2"/>
      <c r="G10211" s="2"/>
      <c r="H10211" s="2"/>
    </row>
    <row r="10212" spans="1:8" x14ac:dyDescent="0.25">
      <c r="A10212" s="1"/>
      <c r="B10212" s="1" t="s">
        <v>5161</v>
      </c>
      <c r="C10212" s="1" t="s">
        <v>5162</v>
      </c>
      <c r="D10212" s="22" t="str">
        <f>HYPERLINK("https://rhld.insurance.arkansas.gov/NPILookup?Npi=1700246881","1700246881")</f>
        <v>1700246881</v>
      </c>
      <c r="E10212" s="1" t="s">
        <v>19886</v>
      </c>
      <c r="F10212" s="2"/>
      <c r="G10212" s="2"/>
      <c r="H10212" s="2"/>
    </row>
    <row r="10213" spans="1:8" x14ac:dyDescent="0.25">
      <c r="A10213" s="1"/>
      <c r="B10213" s="1" t="s">
        <v>5161</v>
      </c>
      <c r="C10213" s="1" t="s">
        <v>5162</v>
      </c>
      <c r="D10213" s="22" t="str">
        <f>HYPERLINK("https://rhld.insurance.arkansas.gov/NPILookup?Npi=1700286911","1700286911")</f>
        <v>1700286911</v>
      </c>
      <c r="E10213" s="1" t="s">
        <v>19887</v>
      </c>
      <c r="F10213" s="2"/>
      <c r="G10213" s="2"/>
      <c r="H10213" s="2"/>
    </row>
    <row r="10214" spans="1:8" x14ac:dyDescent="0.25">
      <c r="A10214" s="1"/>
      <c r="B10214" s="1" t="s">
        <v>5161</v>
      </c>
      <c r="C10214" s="1" t="s">
        <v>5162</v>
      </c>
      <c r="D10214" s="22" t="str">
        <f>HYPERLINK("https://rhld.insurance.arkansas.gov/NPILookup?Npi=1700297397","1700297397")</f>
        <v>1700297397</v>
      </c>
      <c r="E10214" s="1" t="s">
        <v>31720</v>
      </c>
      <c r="F10214" s="2"/>
      <c r="G10214" s="2"/>
      <c r="H10214" s="2"/>
    </row>
    <row r="10215" spans="1:8" x14ac:dyDescent="0.25">
      <c r="A10215" s="1"/>
      <c r="B10215" s="1" t="s">
        <v>5161</v>
      </c>
      <c r="C10215" s="1" t="s">
        <v>5162</v>
      </c>
      <c r="D10215" s="22" t="str">
        <f>HYPERLINK("https://rhld.insurance.arkansas.gov/NPILookup?Npi=1700335874","1700335874")</f>
        <v>1700335874</v>
      </c>
      <c r="E10215" s="1" t="s">
        <v>19888</v>
      </c>
      <c r="F10215" s="2"/>
      <c r="G10215" s="2"/>
      <c r="H10215" s="2"/>
    </row>
    <row r="10216" spans="1:8" x14ac:dyDescent="0.25">
      <c r="A10216" s="1"/>
      <c r="B10216" s="1" t="s">
        <v>5161</v>
      </c>
      <c r="C10216" s="1" t="s">
        <v>5162</v>
      </c>
      <c r="D10216" s="22" t="str">
        <f>HYPERLINK("https://rhld.insurance.arkansas.gov/NPILookup?Npi=1700620218","1700620218")</f>
        <v>1700620218</v>
      </c>
      <c r="E10216" s="1" t="s">
        <v>19889</v>
      </c>
      <c r="F10216" s="2"/>
      <c r="G10216" s="2"/>
      <c r="H10216" s="2"/>
    </row>
    <row r="10217" spans="1:8" x14ac:dyDescent="0.25">
      <c r="A10217" s="1"/>
      <c r="B10217" s="1" t="s">
        <v>5161</v>
      </c>
      <c r="C10217" s="1" t="s">
        <v>5162</v>
      </c>
      <c r="D10217" s="22" t="str">
        <f>HYPERLINK("https://rhld.insurance.arkansas.gov/NPILookup?Npi=1700648011","1700648011")</f>
        <v>1700648011</v>
      </c>
      <c r="E10217" s="1" t="s">
        <v>4369</v>
      </c>
      <c r="F10217" s="2"/>
      <c r="G10217" s="2"/>
      <c r="H10217" s="2"/>
    </row>
    <row r="10218" spans="1:8" x14ac:dyDescent="0.25">
      <c r="A10218" s="1"/>
      <c r="B10218" s="1" t="s">
        <v>5161</v>
      </c>
      <c r="C10218" s="1" t="s">
        <v>5162</v>
      </c>
      <c r="D10218" s="22" t="str">
        <f>HYPERLINK("https://rhld.insurance.arkansas.gov/NPILookup?Npi=1710035092","1710035092")</f>
        <v>1710035092</v>
      </c>
      <c r="E10218" s="1" t="s">
        <v>19890</v>
      </c>
      <c r="F10218" s="2"/>
      <c r="G10218" s="2"/>
      <c r="H10218" s="2"/>
    </row>
    <row r="10219" spans="1:8" x14ac:dyDescent="0.25">
      <c r="A10219" s="1"/>
      <c r="B10219" s="1" t="s">
        <v>5161</v>
      </c>
      <c r="C10219" s="1" t="s">
        <v>5162</v>
      </c>
      <c r="D10219" s="22" t="str">
        <f>HYPERLINK("https://rhld.insurance.arkansas.gov/NPILookup?Npi=1710106992","1710106992")</f>
        <v>1710106992</v>
      </c>
      <c r="E10219" s="1" t="s">
        <v>5417</v>
      </c>
      <c r="F10219" s="2"/>
      <c r="G10219" s="2"/>
      <c r="H10219" s="2"/>
    </row>
    <row r="10220" spans="1:8" x14ac:dyDescent="0.25">
      <c r="A10220" s="1"/>
      <c r="B10220" s="1" t="s">
        <v>5161</v>
      </c>
      <c r="C10220" s="1" t="s">
        <v>5162</v>
      </c>
      <c r="D10220" s="22" t="str">
        <f>HYPERLINK("https://rhld.insurance.arkansas.gov/NPILookup?Npi=1710122122","1710122122")</f>
        <v>1710122122</v>
      </c>
      <c r="E10220" s="1" t="s">
        <v>11077</v>
      </c>
      <c r="F10220" s="2"/>
      <c r="G10220" s="2"/>
      <c r="H10220" s="2"/>
    </row>
    <row r="10221" spans="1:8" x14ac:dyDescent="0.25">
      <c r="A10221" s="1"/>
      <c r="B10221" s="1" t="s">
        <v>5161</v>
      </c>
      <c r="C10221" s="1" t="s">
        <v>5162</v>
      </c>
      <c r="D10221" s="22" t="str">
        <f>HYPERLINK("https://rhld.insurance.arkansas.gov/NPILookup?Npi=1710213137","1710213137")</f>
        <v>1710213137</v>
      </c>
      <c r="E10221" s="1" t="s">
        <v>5418</v>
      </c>
      <c r="F10221" s="2"/>
      <c r="G10221" s="2"/>
      <c r="H10221" s="2"/>
    </row>
    <row r="10222" spans="1:8" x14ac:dyDescent="0.25">
      <c r="A10222" s="1"/>
      <c r="B10222" s="1" t="s">
        <v>5161</v>
      </c>
      <c r="C10222" s="1" t="s">
        <v>5162</v>
      </c>
      <c r="D10222" s="22" t="str">
        <f>HYPERLINK("https://rhld.insurance.arkansas.gov/NPILookup?Npi=1710236419","1710236419")</f>
        <v>1710236419</v>
      </c>
      <c r="E10222" s="1" t="s">
        <v>11078</v>
      </c>
      <c r="F10222" s="2"/>
      <c r="G10222" s="2"/>
      <c r="H10222" s="2"/>
    </row>
    <row r="10223" spans="1:8" x14ac:dyDescent="0.25">
      <c r="A10223" s="1"/>
      <c r="B10223" s="1" t="s">
        <v>5161</v>
      </c>
      <c r="C10223" s="1" t="s">
        <v>5162</v>
      </c>
      <c r="D10223" s="22" t="str">
        <f>HYPERLINK("https://rhld.insurance.arkansas.gov/NPILookup?Npi=1710279609","1710279609")</f>
        <v>1710279609</v>
      </c>
      <c r="E10223" s="1" t="s">
        <v>19891</v>
      </c>
      <c r="F10223" s="2"/>
      <c r="G10223" s="2"/>
      <c r="H10223" s="2"/>
    </row>
    <row r="10224" spans="1:8" x14ac:dyDescent="0.25">
      <c r="A10224" s="1"/>
      <c r="B10224" s="1" t="s">
        <v>5161</v>
      </c>
      <c r="C10224" s="1" t="s">
        <v>5162</v>
      </c>
      <c r="D10224" s="22" t="str">
        <f>HYPERLINK("https://rhld.insurance.arkansas.gov/NPILookup?Npi=1710330220","1710330220")</f>
        <v>1710330220</v>
      </c>
      <c r="E10224" s="1" t="s">
        <v>5419</v>
      </c>
      <c r="F10224" s="2"/>
      <c r="G10224" s="2"/>
      <c r="H10224" s="2"/>
    </row>
    <row r="10225" spans="1:8" x14ac:dyDescent="0.25">
      <c r="A10225" s="1"/>
      <c r="B10225" s="1" t="s">
        <v>5161</v>
      </c>
      <c r="C10225" s="1" t="s">
        <v>5162</v>
      </c>
      <c r="D10225" s="22" t="str">
        <f>HYPERLINK("https://rhld.insurance.arkansas.gov/NPILookup?Npi=1710350236","1710350236")</f>
        <v>1710350236</v>
      </c>
      <c r="E10225" s="1" t="s">
        <v>5420</v>
      </c>
      <c r="F10225" s="2"/>
      <c r="G10225" s="2"/>
      <c r="H10225" s="2"/>
    </row>
    <row r="10226" spans="1:8" x14ac:dyDescent="0.25">
      <c r="A10226" s="1"/>
      <c r="B10226" s="1" t="s">
        <v>5161</v>
      </c>
      <c r="C10226" s="1" t="s">
        <v>5162</v>
      </c>
      <c r="D10226" s="22" t="str">
        <f>HYPERLINK("https://rhld.insurance.arkansas.gov/NPILookup?Npi=1710359435","1710359435")</f>
        <v>1710359435</v>
      </c>
      <c r="E10226" s="1" t="s">
        <v>5421</v>
      </c>
      <c r="F10226" s="2"/>
      <c r="G10226" s="2"/>
      <c r="H10226" s="2"/>
    </row>
    <row r="10227" spans="1:8" x14ac:dyDescent="0.25">
      <c r="A10227" s="1"/>
      <c r="B10227" s="1" t="s">
        <v>5161</v>
      </c>
      <c r="C10227" s="1" t="s">
        <v>5162</v>
      </c>
      <c r="D10227" s="22" t="str">
        <f>HYPERLINK("https://rhld.insurance.arkansas.gov/NPILookup?Npi=1710393079","1710393079")</f>
        <v>1710393079</v>
      </c>
      <c r="E10227" s="1" t="s">
        <v>11079</v>
      </c>
      <c r="F10227" s="2"/>
      <c r="G10227" s="2"/>
      <c r="H10227" s="2"/>
    </row>
    <row r="10228" spans="1:8" x14ac:dyDescent="0.25">
      <c r="A10228" s="1"/>
      <c r="B10228" s="1" t="s">
        <v>5161</v>
      </c>
      <c r="C10228" s="1" t="s">
        <v>5162</v>
      </c>
      <c r="D10228" s="22" t="str">
        <f>HYPERLINK("https://rhld.insurance.arkansas.gov/NPILookup?Npi=1710462890","1710462890")</f>
        <v>1710462890</v>
      </c>
      <c r="E10228" s="1" t="s">
        <v>19892</v>
      </c>
      <c r="F10228" s="2"/>
      <c r="G10228" s="2"/>
      <c r="H10228" s="2"/>
    </row>
    <row r="10229" spans="1:8" x14ac:dyDescent="0.25">
      <c r="A10229" s="1"/>
      <c r="B10229" s="1" t="s">
        <v>5161</v>
      </c>
      <c r="C10229" s="1" t="s">
        <v>5162</v>
      </c>
      <c r="D10229" s="22" t="str">
        <f>HYPERLINK("https://rhld.insurance.arkansas.gov/NPILookup?Npi=1710513601","1710513601")</f>
        <v>1710513601</v>
      </c>
      <c r="E10229" s="1" t="s">
        <v>19893</v>
      </c>
      <c r="F10229" s="2"/>
      <c r="G10229" s="2"/>
      <c r="H10229" s="2"/>
    </row>
    <row r="10230" spans="1:8" x14ac:dyDescent="0.25">
      <c r="A10230" s="1"/>
      <c r="B10230" s="1" t="s">
        <v>5161</v>
      </c>
      <c r="C10230" s="1" t="s">
        <v>5162</v>
      </c>
      <c r="D10230" s="22" t="str">
        <f>HYPERLINK("https://rhld.insurance.arkansas.gov/NPILookup?Npi=1710528922","1710528922")</f>
        <v>1710528922</v>
      </c>
      <c r="E10230" s="1" t="s">
        <v>19894</v>
      </c>
      <c r="F10230" s="2"/>
      <c r="G10230" s="2"/>
      <c r="H10230" s="2"/>
    </row>
    <row r="10231" spans="1:8" x14ac:dyDescent="0.25">
      <c r="A10231" s="1"/>
      <c r="B10231" s="1" t="s">
        <v>5161</v>
      </c>
      <c r="C10231" s="1" t="s">
        <v>5162</v>
      </c>
      <c r="D10231" s="22" t="str">
        <f>HYPERLINK("https://rhld.insurance.arkansas.gov/NPILookup?Npi=1710587001","1710587001")</f>
        <v>1710587001</v>
      </c>
      <c r="E10231" s="1" t="s">
        <v>19895</v>
      </c>
      <c r="F10231" s="2"/>
      <c r="G10231" s="2"/>
      <c r="H10231" s="2"/>
    </row>
    <row r="10232" spans="1:8" x14ac:dyDescent="0.25">
      <c r="A10232" s="1"/>
      <c r="B10232" s="1" t="s">
        <v>5161</v>
      </c>
      <c r="C10232" s="1" t="s">
        <v>5162</v>
      </c>
      <c r="D10232" s="22" t="str">
        <f>HYPERLINK("https://rhld.insurance.arkansas.gov/NPILookup?Npi=1710620703","1710620703")</f>
        <v>1710620703</v>
      </c>
      <c r="E10232" s="1" t="s">
        <v>11080</v>
      </c>
      <c r="F10232" s="2"/>
      <c r="G10232" s="2"/>
      <c r="H10232" s="2"/>
    </row>
    <row r="10233" spans="1:8" x14ac:dyDescent="0.25">
      <c r="A10233" s="1"/>
      <c r="B10233" s="1" t="s">
        <v>5161</v>
      </c>
      <c r="C10233" s="1" t="s">
        <v>5162</v>
      </c>
      <c r="D10233" s="22" t="str">
        <f>HYPERLINK("https://rhld.insurance.arkansas.gov/NPILookup?Npi=1710680665","1710680665")</f>
        <v>1710680665</v>
      </c>
      <c r="E10233" s="1" t="s">
        <v>5422</v>
      </c>
      <c r="F10233" s="2"/>
      <c r="G10233" s="2"/>
      <c r="H10233" s="2"/>
    </row>
    <row r="10234" spans="1:8" x14ac:dyDescent="0.25">
      <c r="A10234" s="1"/>
      <c r="B10234" s="1" t="s">
        <v>5161</v>
      </c>
      <c r="C10234" s="1" t="s">
        <v>5162</v>
      </c>
      <c r="D10234" s="22" t="str">
        <f>HYPERLINK("https://rhld.insurance.arkansas.gov/NPILookup?Npi=1710696406","1710696406")</f>
        <v>1710696406</v>
      </c>
      <c r="E10234" s="1" t="s">
        <v>5423</v>
      </c>
      <c r="F10234" s="2"/>
      <c r="G10234" s="2"/>
      <c r="H10234" s="2"/>
    </row>
    <row r="10235" spans="1:8" x14ac:dyDescent="0.25">
      <c r="A10235" s="1"/>
      <c r="B10235" s="1" t="s">
        <v>5161</v>
      </c>
      <c r="C10235" s="1" t="s">
        <v>5162</v>
      </c>
      <c r="D10235" s="22" t="str">
        <f>HYPERLINK("https://rhld.insurance.arkansas.gov/NPILookup?Npi=1710763826","1710763826")</f>
        <v>1710763826</v>
      </c>
      <c r="E10235" s="1" t="s">
        <v>5424</v>
      </c>
      <c r="F10235" s="2"/>
      <c r="G10235" s="2"/>
      <c r="H10235" s="2"/>
    </row>
    <row r="10236" spans="1:8" x14ac:dyDescent="0.25">
      <c r="A10236" s="1"/>
      <c r="B10236" s="1" t="s">
        <v>5161</v>
      </c>
      <c r="C10236" s="1" t="s">
        <v>5162</v>
      </c>
      <c r="D10236" s="22" t="str">
        <f>HYPERLINK("https://rhld.insurance.arkansas.gov/NPILookup?Npi=1710912597","1710912597")</f>
        <v>1710912597</v>
      </c>
      <c r="E10236" s="1" t="s">
        <v>5425</v>
      </c>
      <c r="F10236" s="2"/>
      <c r="G10236" s="2"/>
      <c r="H10236" s="2"/>
    </row>
    <row r="10237" spans="1:8" x14ac:dyDescent="0.25">
      <c r="A10237" s="1"/>
      <c r="B10237" s="1" t="s">
        <v>5161</v>
      </c>
      <c r="C10237" s="1" t="s">
        <v>5162</v>
      </c>
      <c r="D10237" s="22" t="str">
        <f>HYPERLINK("https://rhld.insurance.arkansas.gov/NPILookup?Npi=1720160070","1720160070")</f>
        <v>1720160070</v>
      </c>
      <c r="E10237" s="1" t="s">
        <v>19896</v>
      </c>
      <c r="F10237" s="2"/>
      <c r="G10237" s="2"/>
      <c r="H10237" s="2"/>
    </row>
    <row r="10238" spans="1:8" x14ac:dyDescent="0.25">
      <c r="A10238" s="1"/>
      <c r="B10238" s="1" t="s">
        <v>5161</v>
      </c>
      <c r="C10238" s="1" t="s">
        <v>5162</v>
      </c>
      <c r="D10238" s="22" t="str">
        <f>HYPERLINK("https://rhld.insurance.arkansas.gov/NPILookup?Npi=1720205420","1720205420")</f>
        <v>1720205420</v>
      </c>
      <c r="E10238" s="1" t="s">
        <v>11081</v>
      </c>
      <c r="F10238" s="2"/>
      <c r="G10238" s="2"/>
      <c r="H10238" s="2"/>
    </row>
    <row r="10239" spans="1:8" x14ac:dyDescent="0.25">
      <c r="A10239" s="1"/>
      <c r="B10239" s="1" t="s">
        <v>5161</v>
      </c>
      <c r="C10239" s="1" t="s">
        <v>5162</v>
      </c>
      <c r="D10239" s="22" t="str">
        <f>HYPERLINK("https://rhld.insurance.arkansas.gov/NPILookup?Npi=1720207962","1720207962")</f>
        <v>1720207962</v>
      </c>
      <c r="E10239" s="1" t="s">
        <v>5426</v>
      </c>
      <c r="F10239" s="2"/>
      <c r="G10239" s="2"/>
      <c r="H10239" s="2"/>
    </row>
    <row r="10240" spans="1:8" x14ac:dyDescent="0.25">
      <c r="A10240" s="1"/>
      <c r="B10240" s="1" t="s">
        <v>5161</v>
      </c>
      <c r="C10240" s="1" t="s">
        <v>5162</v>
      </c>
      <c r="D10240" s="22" t="str">
        <f>HYPERLINK("https://rhld.insurance.arkansas.gov/NPILookup?Npi=1720248370","1720248370")</f>
        <v>1720248370</v>
      </c>
      <c r="E10240" s="1" t="s">
        <v>19897</v>
      </c>
      <c r="F10240" s="2"/>
      <c r="G10240" s="2"/>
      <c r="H10240" s="2"/>
    </row>
    <row r="10241" spans="1:8" x14ac:dyDescent="0.25">
      <c r="A10241" s="1"/>
      <c r="B10241" s="1" t="s">
        <v>5161</v>
      </c>
      <c r="C10241" s="1" t="s">
        <v>5162</v>
      </c>
      <c r="D10241" s="22" t="str">
        <f>HYPERLINK("https://rhld.insurance.arkansas.gov/NPILookup?Npi=1720467343","1720467343")</f>
        <v>1720467343</v>
      </c>
      <c r="E10241" s="1" t="s">
        <v>19898</v>
      </c>
      <c r="F10241" s="2"/>
      <c r="G10241" s="2"/>
      <c r="H10241" s="2"/>
    </row>
    <row r="10242" spans="1:8" x14ac:dyDescent="0.25">
      <c r="A10242" s="1"/>
      <c r="B10242" s="1" t="s">
        <v>5161</v>
      </c>
      <c r="C10242" s="1" t="s">
        <v>5162</v>
      </c>
      <c r="D10242" s="22" t="str">
        <f>HYPERLINK("https://rhld.insurance.arkansas.gov/NPILookup?Npi=1720503949","1720503949")</f>
        <v>1720503949</v>
      </c>
      <c r="E10242" s="1" t="s">
        <v>5427</v>
      </c>
      <c r="F10242" s="2"/>
      <c r="G10242" s="2"/>
      <c r="H10242" s="2"/>
    </row>
    <row r="10243" spans="1:8" x14ac:dyDescent="0.25">
      <c r="A10243" s="1"/>
      <c r="B10243" s="1" t="s">
        <v>5161</v>
      </c>
      <c r="C10243" s="1" t="s">
        <v>5162</v>
      </c>
      <c r="D10243" s="22" t="str">
        <f>HYPERLINK("https://rhld.insurance.arkansas.gov/NPILookup?Npi=1720523863","1720523863")</f>
        <v>1720523863</v>
      </c>
      <c r="E10243" s="1" t="s">
        <v>19899</v>
      </c>
      <c r="F10243" s="2"/>
      <c r="G10243" s="2"/>
      <c r="H10243" s="2"/>
    </row>
    <row r="10244" spans="1:8" x14ac:dyDescent="0.25">
      <c r="A10244" s="1"/>
      <c r="B10244" s="1" t="s">
        <v>5161</v>
      </c>
      <c r="C10244" s="1" t="s">
        <v>5162</v>
      </c>
      <c r="D10244" s="22" t="str">
        <f>HYPERLINK("https://rhld.insurance.arkansas.gov/NPILookup?Npi=1720797533","1720797533")</f>
        <v>1720797533</v>
      </c>
      <c r="E10244" s="1" t="s">
        <v>5428</v>
      </c>
      <c r="F10244" s="2"/>
      <c r="G10244" s="2"/>
      <c r="H10244" s="2"/>
    </row>
    <row r="10245" spans="1:8" x14ac:dyDescent="0.25">
      <c r="A10245" s="1"/>
      <c r="B10245" s="1" t="s">
        <v>5161</v>
      </c>
      <c r="C10245" s="1" t="s">
        <v>5162</v>
      </c>
      <c r="D10245" s="22" t="str">
        <f>HYPERLINK("https://rhld.insurance.arkansas.gov/NPILookup?Npi=1720866577","1720866577")</f>
        <v>1720866577</v>
      </c>
      <c r="E10245" s="1" t="s">
        <v>19900</v>
      </c>
      <c r="F10245" s="2"/>
      <c r="G10245" s="2"/>
      <c r="H10245" s="2"/>
    </row>
    <row r="10246" spans="1:8" x14ac:dyDescent="0.25">
      <c r="A10246" s="1"/>
      <c r="B10246" s="1" t="s">
        <v>5161</v>
      </c>
      <c r="C10246" s="1" t="s">
        <v>5162</v>
      </c>
      <c r="D10246" s="22" t="str">
        <f>HYPERLINK("https://rhld.insurance.arkansas.gov/NPILookup?Npi=1730147976","1730147976")</f>
        <v>1730147976</v>
      </c>
      <c r="E10246" s="1" t="s">
        <v>19901</v>
      </c>
      <c r="F10246" s="2"/>
      <c r="G10246" s="2"/>
      <c r="H10246" s="2"/>
    </row>
    <row r="10247" spans="1:8" x14ac:dyDescent="0.25">
      <c r="A10247" s="1"/>
      <c r="B10247" s="1" t="s">
        <v>5161</v>
      </c>
      <c r="C10247" s="1" t="s">
        <v>5162</v>
      </c>
      <c r="D10247" s="22" t="str">
        <f>HYPERLINK("https://rhld.insurance.arkansas.gov/NPILookup?Npi=1730220583","1730220583")</f>
        <v>1730220583</v>
      </c>
      <c r="E10247" s="1" t="s">
        <v>11082</v>
      </c>
      <c r="F10247" s="2"/>
      <c r="G10247" s="2"/>
      <c r="H10247" s="2"/>
    </row>
    <row r="10248" spans="1:8" x14ac:dyDescent="0.25">
      <c r="A10248" s="1"/>
      <c r="B10248" s="1" t="s">
        <v>5161</v>
      </c>
      <c r="C10248" s="1" t="s">
        <v>5162</v>
      </c>
      <c r="D10248" s="22" t="str">
        <f>HYPERLINK("https://rhld.insurance.arkansas.gov/NPILookup?Npi=1730244518","1730244518")</f>
        <v>1730244518</v>
      </c>
      <c r="E10248" s="1" t="s">
        <v>5429</v>
      </c>
      <c r="F10248" s="2"/>
      <c r="G10248" s="2"/>
      <c r="H10248" s="2"/>
    </row>
    <row r="10249" spans="1:8" x14ac:dyDescent="0.25">
      <c r="A10249" s="1"/>
      <c r="B10249" s="1" t="s">
        <v>5161</v>
      </c>
      <c r="C10249" s="1" t="s">
        <v>5162</v>
      </c>
      <c r="D10249" s="22" t="str">
        <f>HYPERLINK("https://rhld.insurance.arkansas.gov/NPILookup?Npi=1730426479","1730426479")</f>
        <v>1730426479</v>
      </c>
      <c r="E10249" s="1" t="s">
        <v>11083</v>
      </c>
      <c r="F10249" s="2"/>
      <c r="G10249" s="2"/>
      <c r="H10249" s="2"/>
    </row>
    <row r="10250" spans="1:8" x14ac:dyDescent="0.25">
      <c r="A10250" s="1"/>
      <c r="B10250" s="1" t="s">
        <v>5161</v>
      </c>
      <c r="C10250" s="1" t="s">
        <v>5162</v>
      </c>
      <c r="D10250" s="22" t="str">
        <f>HYPERLINK("https://rhld.insurance.arkansas.gov/NPILookup?Npi=1730837196","1730837196")</f>
        <v>1730837196</v>
      </c>
      <c r="E10250" s="1" t="s">
        <v>5430</v>
      </c>
      <c r="F10250" s="2"/>
      <c r="G10250" s="2"/>
      <c r="H10250" s="2"/>
    </row>
    <row r="10251" spans="1:8" x14ac:dyDescent="0.25">
      <c r="A10251" s="1"/>
      <c r="B10251" s="1" t="s">
        <v>5161</v>
      </c>
      <c r="C10251" s="1" t="s">
        <v>5162</v>
      </c>
      <c r="D10251" s="22" t="str">
        <f>HYPERLINK("https://rhld.insurance.arkansas.gov/NPILookup?Npi=1730846718","1730846718")</f>
        <v>1730846718</v>
      </c>
      <c r="E10251" s="1" t="s">
        <v>19902</v>
      </c>
      <c r="F10251" s="2"/>
      <c r="G10251" s="2"/>
      <c r="H10251" s="2"/>
    </row>
    <row r="10252" spans="1:8" x14ac:dyDescent="0.25">
      <c r="A10252" s="1"/>
      <c r="B10252" s="1" t="s">
        <v>5161</v>
      </c>
      <c r="C10252" s="1" t="s">
        <v>5162</v>
      </c>
      <c r="D10252" s="22" t="str">
        <f>HYPERLINK("https://rhld.insurance.arkansas.gov/NPILookup?Npi=1730952003","1730952003")</f>
        <v>1730952003</v>
      </c>
      <c r="E10252" s="1" t="s">
        <v>11084</v>
      </c>
      <c r="F10252" s="2"/>
      <c r="G10252" s="2"/>
      <c r="H10252" s="2"/>
    </row>
    <row r="10253" spans="1:8" x14ac:dyDescent="0.25">
      <c r="A10253" s="1"/>
      <c r="B10253" s="1" t="s">
        <v>5161</v>
      </c>
      <c r="C10253" s="1" t="s">
        <v>5162</v>
      </c>
      <c r="D10253" s="22" t="str">
        <f>HYPERLINK("https://rhld.insurance.arkansas.gov/NPILookup?Npi=1730955832","1730955832")</f>
        <v>1730955832</v>
      </c>
      <c r="E10253" s="1" t="s">
        <v>5431</v>
      </c>
      <c r="F10253" s="2"/>
      <c r="G10253" s="2"/>
      <c r="H10253" s="2"/>
    </row>
    <row r="10254" spans="1:8" x14ac:dyDescent="0.25">
      <c r="A10254" s="1"/>
      <c r="B10254" s="1" t="s">
        <v>5161</v>
      </c>
      <c r="C10254" s="1" t="s">
        <v>5162</v>
      </c>
      <c r="D10254" s="22" t="str">
        <f>HYPERLINK("https://rhld.insurance.arkansas.gov/NPILookup?Npi=1740062454","1740062454")</f>
        <v>1740062454</v>
      </c>
      <c r="E10254" s="1" t="s">
        <v>19903</v>
      </c>
      <c r="F10254" s="2"/>
      <c r="G10254" s="2"/>
      <c r="H10254" s="2"/>
    </row>
    <row r="10255" spans="1:8" x14ac:dyDescent="0.25">
      <c r="A10255" s="1"/>
      <c r="B10255" s="1" t="s">
        <v>5161</v>
      </c>
      <c r="C10255" s="1" t="s">
        <v>5162</v>
      </c>
      <c r="D10255" s="22" t="str">
        <f>HYPERLINK("https://rhld.insurance.arkansas.gov/NPILookup?Npi=1740212380","1740212380")</f>
        <v>1740212380</v>
      </c>
      <c r="E10255" s="1" t="s">
        <v>19904</v>
      </c>
      <c r="F10255" s="2"/>
      <c r="G10255" s="2"/>
      <c r="H10255" s="2"/>
    </row>
    <row r="10256" spans="1:8" x14ac:dyDescent="0.25">
      <c r="A10256" s="1"/>
      <c r="B10256" s="1" t="s">
        <v>5161</v>
      </c>
      <c r="C10256" s="1" t="s">
        <v>5162</v>
      </c>
      <c r="D10256" s="22" t="str">
        <f>HYPERLINK("https://rhld.insurance.arkansas.gov/NPILookup?Npi=1740277532","1740277532")</f>
        <v>1740277532</v>
      </c>
      <c r="E10256" s="1" t="s">
        <v>19905</v>
      </c>
      <c r="F10256" s="2"/>
      <c r="G10256" s="2"/>
      <c r="H10256" s="2"/>
    </row>
    <row r="10257" spans="1:8" x14ac:dyDescent="0.25">
      <c r="A10257" s="1"/>
      <c r="B10257" s="1" t="s">
        <v>5161</v>
      </c>
      <c r="C10257" s="1" t="s">
        <v>5162</v>
      </c>
      <c r="D10257" s="22" t="str">
        <f>HYPERLINK("https://rhld.insurance.arkansas.gov/NPILookup?Npi=1740304492","1740304492")</f>
        <v>1740304492</v>
      </c>
      <c r="E10257" s="1" t="s">
        <v>11085</v>
      </c>
      <c r="F10257" s="2"/>
      <c r="G10257" s="2"/>
      <c r="H10257" s="2"/>
    </row>
    <row r="10258" spans="1:8" x14ac:dyDescent="0.25">
      <c r="A10258" s="1"/>
      <c r="B10258" s="1" t="s">
        <v>5161</v>
      </c>
      <c r="C10258" s="1" t="s">
        <v>5162</v>
      </c>
      <c r="D10258" s="22" t="str">
        <f>HYPERLINK("https://rhld.insurance.arkansas.gov/NPILookup?Npi=1740305580","1740305580")</f>
        <v>1740305580</v>
      </c>
      <c r="E10258" s="1" t="s">
        <v>5432</v>
      </c>
      <c r="F10258" s="2"/>
      <c r="G10258" s="2"/>
      <c r="H10258" s="2"/>
    </row>
    <row r="10259" spans="1:8" x14ac:dyDescent="0.25">
      <c r="A10259" s="1"/>
      <c r="B10259" s="1" t="s">
        <v>5161</v>
      </c>
      <c r="C10259" s="1" t="s">
        <v>5162</v>
      </c>
      <c r="D10259" s="22" t="str">
        <f>HYPERLINK("https://rhld.insurance.arkansas.gov/NPILookup?Npi=1740610344","1740610344")</f>
        <v>1740610344</v>
      </c>
      <c r="E10259" s="1" t="s">
        <v>5433</v>
      </c>
      <c r="F10259" s="2"/>
      <c r="G10259" s="2"/>
      <c r="H10259" s="2"/>
    </row>
    <row r="10260" spans="1:8" x14ac:dyDescent="0.25">
      <c r="A10260" s="1"/>
      <c r="B10260" s="1" t="s">
        <v>5161</v>
      </c>
      <c r="C10260" s="1" t="s">
        <v>5162</v>
      </c>
      <c r="D10260" s="22" t="str">
        <f>HYPERLINK("https://rhld.insurance.arkansas.gov/NPILookup?Npi=1740645415","1740645415")</f>
        <v>1740645415</v>
      </c>
      <c r="E10260" s="1" t="s">
        <v>5434</v>
      </c>
      <c r="F10260" s="2"/>
      <c r="G10260" s="2"/>
      <c r="H10260" s="2"/>
    </row>
    <row r="10261" spans="1:8" x14ac:dyDescent="0.25">
      <c r="A10261" s="1"/>
      <c r="B10261" s="1" t="s">
        <v>5161</v>
      </c>
      <c r="C10261" s="1" t="s">
        <v>5162</v>
      </c>
      <c r="D10261" s="22" t="str">
        <f>HYPERLINK("https://rhld.insurance.arkansas.gov/NPILookup?Npi=1740659457","1740659457")</f>
        <v>1740659457</v>
      </c>
      <c r="E10261" s="1" t="s">
        <v>19908</v>
      </c>
      <c r="F10261" s="2"/>
      <c r="G10261" s="2"/>
      <c r="H10261" s="2"/>
    </row>
    <row r="10262" spans="1:8" x14ac:dyDescent="0.25">
      <c r="A10262" s="1"/>
      <c r="B10262" s="1" t="s">
        <v>5161</v>
      </c>
      <c r="C10262" s="1" t="s">
        <v>5162</v>
      </c>
      <c r="D10262" s="22" t="str">
        <f>HYPERLINK("https://rhld.insurance.arkansas.gov/NPILookup?Npi=1740729748","1740729748")</f>
        <v>1740729748</v>
      </c>
      <c r="E10262" s="1" t="s">
        <v>19909</v>
      </c>
      <c r="F10262" s="2"/>
      <c r="G10262" s="2"/>
      <c r="H10262" s="2"/>
    </row>
    <row r="10263" spans="1:8" x14ac:dyDescent="0.25">
      <c r="A10263" s="1"/>
      <c r="B10263" s="1" t="s">
        <v>5161</v>
      </c>
      <c r="C10263" s="1" t="s">
        <v>5162</v>
      </c>
      <c r="D10263" s="22" t="str">
        <f>HYPERLINK("https://rhld.insurance.arkansas.gov/NPILookup?Npi=1740841931","1740841931")</f>
        <v>1740841931</v>
      </c>
      <c r="E10263" s="1" t="s">
        <v>19910</v>
      </c>
      <c r="F10263" s="2"/>
      <c r="G10263" s="2"/>
      <c r="H10263" s="2"/>
    </row>
    <row r="10264" spans="1:8" x14ac:dyDescent="0.25">
      <c r="A10264" s="1"/>
      <c r="B10264" s="1" t="s">
        <v>5161</v>
      </c>
      <c r="C10264" s="1" t="s">
        <v>5162</v>
      </c>
      <c r="D10264" s="22" t="str">
        <f>HYPERLINK("https://rhld.insurance.arkansas.gov/NPILookup?Npi=1740857648","1740857648")</f>
        <v>1740857648</v>
      </c>
      <c r="E10264" s="1" t="s">
        <v>19911</v>
      </c>
      <c r="F10264" s="2"/>
      <c r="G10264" s="2"/>
      <c r="H10264" s="2"/>
    </row>
    <row r="10265" spans="1:8" x14ac:dyDescent="0.25">
      <c r="A10265" s="1"/>
      <c r="B10265" s="1" t="s">
        <v>5161</v>
      </c>
      <c r="C10265" s="1" t="s">
        <v>5162</v>
      </c>
      <c r="D10265" s="22" t="str">
        <f>HYPERLINK("https://rhld.insurance.arkansas.gov/NPILookup?Npi=1740960327","1740960327")</f>
        <v>1740960327</v>
      </c>
      <c r="E10265" s="1" t="s">
        <v>11086</v>
      </c>
      <c r="F10265" s="2"/>
      <c r="G10265" s="2"/>
      <c r="H10265" s="2"/>
    </row>
    <row r="10266" spans="1:8" x14ac:dyDescent="0.25">
      <c r="A10266" s="1"/>
      <c r="B10266" s="1" t="s">
        <v>5161</v>
      </c>
      <c r="C10266" s="1" t="s">
        <v>5162</v>
      </c>
      <c r="D10266" s="22" t="str">
        <f>HYPERLINK("https://rhld.insurance.arkansas.gov/NPILookup?Npi=1740983121","1740983121")</f>
        <v>1740983121</v>
      </c>
      <c r="E10266" s="1" t="s">
        <v>19912</v>
      </c>
      <c r="F10266" s="2"/>
      <c r="G10266" s="2"/>
      <c r="H10266" s="2"/>
    </row>
    <row r="10267" spans="1:8" x14ac:dyDescent="0.25">
      <c r="A10267" s="1"/>
      <c r="B10267" s="1" t="s">
        <v>5161</v>
      </c>
      <c r="C10267" s="1" t="s">
        <v>5162</v>
      </c>
      <c r="D10267" s="22" t="str">
        <f>HYPERLINK("https://rhld.insurance.arkansas.gov/NPILookup?Npi=1750032165","1750032165")</f>
        <v>1750032165</v>
      </c>
      <c r="E10267" s="1" t="s">
        <v>19913</v>
      </c>
      <c r="F10267" s="2"/>
      <c r="G10267" s="2"/>
      <c r="H10267" s="2"/>
    </row>
    <row r="10268" spans="1:8" x14ac:dyDescent="0.25">
      <c r="A10268" s="1"/>
      <c r="B10268" s="1" t="s">
        <v>5161</v>
      </c>
      <c r="C10268" s="1" t="s">
        <v>5162</v>
      </c>
      <c r="D10268" s="22" t="str">
        <f>HYPERLINK("https://rhld.insurance.arkansas.gov/NPILookup?Npi=1750050845","1750050845")</f>
        <v>1750050845</v>
      </c>
      <c r="E10268" s="1" t="s">
        <v>19914</v>
      </c>
      <c r="F10268" s="2"/>
      <c r="G10268" s="2"/>
      <c r="H10268" s="2"/>
    </row>
    <row r="10269" spans="1:8" x14ac:dyDescent="0.25">
      <c r="A10269" s="1"/>
      <c r="B10269" s="1" t="s">
        <v>5161</v>
      </c>
      <c r="C10269" s="1" t="s">
        <v>5162</v>
      </c>
      <c r="D10269" s="22" t="str">
        <f>HYPERLINK("https://rhld.insurance.arkansas.gov/NPILookup?Npi=1760024582","1760024582")</f>
        <v>1760024582</v>
      </c>
      <c r="E10269" s="1" t="s">
        <v>19915</v>
      </c>
      <c r="F10269" s="2"/>
      <c r="G10269" s="2"/>
      <c r="H10269" s="2"/>
    </row>
    <row r="10270" spans="1:8" x14ac:dyDescent="0.25">
      <c r="A10270" s="1"/>
      <c r="B10270" s="1" t="s">
        <v>5161</v>
      </c>
      <c r="C10270" s="1" t="s">
        <v>5162</v>
      </c>
      <c r="D10270" s="22" t="str">
        <f>HYPERLINK("https://rhld.insurance.arkansas.gov/NPILookup?Npi=1760076004","1760076004")</f>
        <v>1760076004</v>
      </c>
      <c r="E10270" s="1" t="s">
        <v>19916</v>
      </c>
      <c r="F10270" s="2"/>
      <c r="G10270" s="2"/>
      <c r="H10270" s="2"/>
    </row>
    <row r="10271" spans="1:8" x14ac:dyDescent="0.25">
      <c r="A10271" s="1"/>
      <c r="B10271" s="1" t="s">
        <v>5161</v>
      </c>
      <c r="C10271" s="1" t="s">
        <v>5162</v>
      </c>
      <c r="D10271" s="22" t="str">
        <f>HYPERLINK("https://rhld.insurance.arkansas.gov/NPILookup?Npi=1760083125","1760083125")</f>
        <v>1760083125</v>
      </c>
      <c r="E10271" s="1" t="s">
        <v>31721</v>
      </c>
      <c r="F10271" s="2"/>
      <c r="G10271" s="2"/>
      <c r="H10271" s="2"/>
    </row>
    <row r="10272" spans="1:8" x14ac:dyDescent="0.25">
      <c r="A10272" s="1"/>
      <c r="B10272" s="1" t="s">
        <v>5161</v>
      </c>
      <c r="C10272" s="1" t="s">
        <v>5162</v>
      </c>
      <c r="D10272" s="22" t="str">
        <f>HYPERLINK("https://rhld.insurance.arkansas.gov/NPILookup?Npi=1760144034","1760144034")</f>
        <v>1760144034</v>
      </c>
      <c r="E10272" s="1" t="s">
        <v>11087</v>
      </c>
      <c r="F10272" s="2"/>
      <c r="G10272" s="2"/>
      <c r="H10272" s="2"/>
    </row>
    <row r="10273" spans="1:8" x14ac:dyDescent="0.25">
      <c r="A10273" s="1"/>
      <c r="B10273" s="1" t="s">
        <v>5161</v>
      </c>
      <c r="C10273" s="1" t="s">
        <v>5162</v>
      </c>
      <c r="D10273" s="22" t="str">
        <f>HYPERLINK("https://rhld.insurance.arkansas.gov/NPILookup?Npi=1760165898","1760165898")</f>
        <v>1760165898</v>
      </c>
      <c r="E10273" s="1" t="s">
        <v>31722</v>
      </c>
      <c r="F10273" s="2"/>
      <c r="G10273" s="2"/>
      <c r="H10273" s="2"/>
    </row>
    <row r="10274" spans="1:8" x14ac:dyDescent="0.25">
      <c r="A10274" s="1"/>
      <c r="B10274" s="1" t="s">
        <v>5161</v>
      </c>
      <c r="C10274" s="1" t="s">
        <v>5162</v>
      </c>
      <c r="D10274" s="22" t="str">
        <f>HYPERLINK("https://rhld.insurance.arkansas.gov/NPILookup?Npi=1760169601","1760169601")</f>
        <v>1760169601</v>
      </c>
      <c r="E10274" s="1" t="s">
        <v>31723</v>
      </c>
      <c r="F10274" s="2"/>
      <c r="G10274" s="2"/>
      <c r="H10274" s="2"/>
    </row>
    <row r="10275" spans="1:8" x14ac:dyDescent="0.25">
      <c r="A10275" s="1"/>
      <c r="B10275" s="1" t="s">
        <v>5161</v>
      </c>
      <c r="C10275" s="1" t="s">
        <v>5162</v>
      </c>
      <c r="D10275" s="22" t="str">
        <f>HYPERLINK("https://rhld.insurance.arkansas.gov/NPILookup?Npi=1760190516","1760190516")</f>
        <v>1760190516</v>
      </c>
      <c r="E10275" s="1" t="s">
        <v>5435</v>
      </c>
      <c r="F10275" s="2"/>
      <c r="G10275" s="2"/>
      <c r="H10275" s="2"/>
    </row>
    <row r="10276" spans="1:8" x14ac:dyDescent="0.25">
      <c r="A10276" s="1"/>
      <c r="B10276" s="1" t="s">
        <v>5161</v>
      </c>
      <c r="C10276" s="1" t="s">
        <v>5162</v>
      </c>
      <c r="D10276" s="22" t="str">
        <f>HYPERLINK("https://rhld.insurance.arkansas.gov/NPILookup?Npi=1760485585","1760485585")</f>
        <v>1760485585</v>
      </c>
      <c r="E10276" s="1" t="s">
        <v>5436</v>
      </c>
      <c r="F10276" s="2"/>
      <c r="G10276" s="2"/>
      <c r="H10276" s="2"/>
    </row>
    <row r="10277" spans="1:8" x14ac:dyDescent="0.25">
      <c r="A10277" s="1"/>
      <c r="B10277" s="1" t="s">
        <v>5161</v>
      </c>
      <c r="C10277" s="1" t="s">
        <v>5162</v>
      </c>
      <c r="D10277" s="22" t="str">
        <f>HYPERLINK("https://rhld.insurance.arkansas.gov/NPILookup?Npi=1760640908","1760640908")</f>
        <v>1760640908</v>
      </c>
      <c r="E10277" s="1" t="s">
        <v>11088</v>
      </c>
      <c r="F10277" s="2"/>
      <c r="G10277" s="2"/>
      <c r="H10277" s="2"/>
    </row>
    <row r="10278" spans="1:8" x14ac:dyDescent="0.25">
      <c r="A10278" s="1"/>
      <c r="B10278" s="1" t="s">
        <v>5161</v>
      </c>
      <c r="C10278" s="1" t="s">
        <v>5162</v>
      </c>
      <c r="D10278" s="22" t="str">
        <f>HYPERLINK("https://rhld.insurance.arkansas.gov/NPILookup?Npi=1760658488","1760658488")</f>
        <v>1760658488</v>
      </c>
      <c r="E10278" s="1" t="s">
        <v>5437</v>
      </c>
      <c r="F10278" s="2"/>
      <c r="G10278" s="2"/>
      <c r="H10278" s="2"/>
    </row>
    <row r="10279" spans="1:8" x14ac:dyDescent="0.25">
      <c r="A10279" s="1"/>
      <c r="B10279" s="1" t="s">
        <v>5161</v>
      </c>
      <c r="C10279" s="1" t="s">
        <v>5162</v>
      </c>
      <c r="D10279" s="22" t="str">
        <f>HYPERLINK("https://rhld.insurance.arkansas.gov/NPILookup?Npi=1760695787","1760695787")</f>
        <v>1760695787</v>
      </c>
      <c r="E10279" s="1" t="s">
        <v>19917</v>
      </c>
      <c r="F10279" s="2"/>
      <c r="G10279" s="2"/>
      <c r="H10279" s="2"/>
    </row>
    <row r="10280" spans="1:8" x14ac:dyDescent="0.25">
      <c r="A10280" s="1"/>
      <c r="B10280" s="1" t="s">
        <v>5161</v>
      </c>
      <c r="C10280" s="1" t="s">
        <v>5162</v>
      </c>
      <c r="D10280" s="22" t="str">
        <f>HYPERLINK("https://rhld.insurance.arkansas.gov/NPILookup?Npi=1760788921","1760788921")</f>
        <v>1760788921</v>
      </c>
      <c r="E10280" s="1" t="s">
        <v>19918</v>
      </c>
      <c r="F10280" s="2"/>
      <c r="G10280" s="2"/>
      <c r="H10280" s="2"/>
    </row>
    <row r="10281" spans="1:8" x14ac:dyDescent="0.25">
      <c r="A10281" s="1"/>
      <c r="B10281" s="1" t="s">
        <v>5161</v>
      </c>
      <c r="C10281" s="1" t="s">
        <v>5162</v>
      </c>
      <c r="D10281" s="22" t="str">
        <f>HYPERLINK("https://rhld.insurance.arkansas.gov/NPILookup?Npi=1760847222","1760847222")</f>
        <v>1760847222</v>
      </c>
      <c r="E10281" s="1" t="s">
        <v>19919</v>
      </c>
      <c r="F10281" s="2"/>
      <c r="G10281" s="2"/>
      <c r="H10281" s="2"/>
    </row>
    <row r="10282" spans="1:8" x14ac:dyDescent="0.25">
      <c r="A10282" s="1"/>
      <c r="B10282" s="1" t="s">
        <v>5161</v>
      </c>
      <c r="C10282" s="1" t="s">
        <v>5162</v>
      </c>
      <c r="D10282" s="22" t="str">
        <f>HYPERLINK("https://rhld.insurance.arkansas.gov/NPILookup?Npi=1760883599","1760883599")</f>
        <v>1760883599</v>
      </c>
      <c r="E10282" s="1" t="s">
        <v>19920</v>
      </c>
      <c r="F10282" s="2"/>
      <c r="G10282" s="2"/>
      <c r="H10282" s="2"/>
    </row>
    <row r="10283" spans="1:8" x14ac:dyDescent="0.25">
      <c r="A10283" s="1"/>
      <c r="B10283" s="1" t="s">
        <v>5161</v>
      </c>
      <c r="C10283" s="1" t="s">
        <v>5162</v>
      </c>
      <c r="D10283" s="22" t="str">
        <f>HYPERLINK("https://rhld.insurance.arkansas.gov/NPILookup?Npi=1770005795","1770005795")</f>
        <v>1770005795</v>
      </c>
      <c r="E10283" s="1" t="s">
        <v>19921</v>
      </c>
      <c r="F10283" s="2"/>
      <c r="G10283" s="2"/>
      <c r="H10283" s="2"/>
    </row>
    <row r="10284" spans="1:8" x14ac:dyDescent="0.25">
      <c r="A10284" s="1"/>
      <c r="B10284" s="1" t="s">
        <v>5161</v>
      </c>
      <c r="C10284" s="1" t="s">
        <v>5162</v>
      </c>
      <c r="D10284" s="22" t="str">
        <f>HYPERLINK("https://rhld.insurance.arkansas.gov/NPILookup?Npi=1770085854","1770085854")</f>
        <v>1770085854</v>
      </c>
      <c r="E10284" s="1" t="s">
        <v>5438</v>
      </c>
      <c r="F10284" s="2"/>
      <c r="G10284" s="2"/>
      <c r="H10284" s="2"/>
    </row>
    <row r="10285" spans="1:8" x14ac:dyDescent="0.25">
      <c r="A10285" s="1"/>
      <c r="B10285" s="1" t="s">
        <v>5161</v>
      </c>
      <c r="C10285" s="1" t="s">
        <v>5162</v>
      </c>
      <c r="D10285" s="22" t="str">
        <f>HYPERLINK("https://rhld.insurance.arkansas.gov/NPILookup?Npi=1770137200","1770137200")</f>
        <v>1770137200</v>
      </c>
      <c r="E10285" s="1" t="s">
        <v>19922</v>
      </c>
      <c r="F10285" s="2"/>
      <c r="G10285" s="2"/>
      <c r="H10285" s="2"/>
    </row>
    <row r="10286" spans="1:8" x14ac:dyDescent="0.25">
      <c r="A10286" s="1"/>
      <c r="B10286" s="1" t="s">
        <v>5161</v>
      </c>
      <c r="C10286" s="1" t="s">
        <v>5162</v>
      </c>
      <c r="D10286" s="22" t="str">
        <f>HYPERLINK("https://rhld.insurance.arkansas.gov/NPILookup?Npi=1770160590","1770160590")</f>
        <v>1770160590</v>
      </c>
      <c r="E10286" s="1" t="s">
        <v>19923</v>
      </c>
      <c r="F10286" s="2"/>
      <c r="G10286" s="2"/>
      <c r="H10286" s="2"/>
    </row>
    <row r="10287" spans="1:8" x14ac:dyDescent="0.25">
      <c r="A10287" s="1"/>
      <c r="B10287" s="1" t="s">
        <v>5161</v>
      </c>
      <c r="C10287" s="1" t="s">
        <v>5162</v>
      </c>
      <c r="D10287" s="22" t="str">
        <f>HYPERLINK("https://rhld.insurance.arkansas.gov/NPILookup?Npi=1770274821","1770274821")</f>
        <v>1770274821</v>
      </c>
      <c r="E10287" s="1" t="s">
        <v>5439</v>
      </c>
      <c r="F10287" s="2"/>
      <c r="G10287" s="2"/>
      <c r="H10287" s="2"/>
    </row>
    <row r="10288" spans="1:8" x14ac:dyDescent="0.25">
      <c r="A10288" s="1"/>
      <c r="B10288" s="1" t="s">
        <v>5161</v>
      </c>
      <c r="C10288" s="1" t="s">
        <v>5162</v>
      </c>
      <c r="D10288" s="22" t="str">
        <f>HYPERLINK("https://rhld.insurance.arkansas.gov/NPILookup?Npi=1770300170","1770300170")</f>
        <v>1770300170</v>
      </c>
      <c r="E10288" s="1" t="s">
        <v>19924</v>
      </c>
      <c r="F10288" s="2"/>
      <c r="G10288" s="2"/>
      <c r="H10288" s="2"/>
    </row>
    <row r="10289" spans="1:8" x14ac:dyDescent="0.25">
      <c r="A10289" s="1"/>
      <c r="B10289" s="1" t="s">
        <v>5161</v>
      </c>
      <c r="C10289" s="1" t="s">
        <v>5162</v>
      </c>
      <c r="D10289" s="22" t="str">
        <f>HYPERLINK("https://rhld.insurance.arkansas.gov/NPILookup?Npi=1770355364","1770355364")</f>
        <v>1770355364</v>
      </c>
      <c r="E10289" s="1" t="s">
        <v>19925</v>
      </c>
      <c r="F10289" s="2"/>
      <c r="G10289" s="2"/>
      <c r="H10289" s="2"/>
    </row>
    <row r="10290" spans="1:8" x14ac:dyDescent="0.25">
      <c r="A10290" s="1"/>
      <c r="B10290" s="1" t="s">
        <v>5161</v>
      </c>
      <c r="C10290" s="1" t="s">
        <v>5162</v>
      </c>
      <c r="D10290" s="22" t="str">
        <f>HYPERLINK("https://rhld.insurance.arkansas.gov/NPILookup?Npi=1770600314","1770600314")</f>
        <v>1770600314</v>
      </c>
      <c r="E10290" s="1" t="s">
        <v>5440</v>
      </c>
      <c r="F10290" s="2"/>
      <c r="G10290" s="2"/>
      <c r="H10290" s="2"/>
    </row>
    <row r="10291" spans="1:8" x14ac:dyDescent="0.25">
      <c r="A10291" s="1"/>
      <c r="B10291" s="1" t="s">
        <v>5161</v>
      </c>
      <c r="C10291" s="1" t="s">
        <v>5162</v>
      </c>
      <c r="D10291" s="22" t="str">
        <f>HYPERLINK("https://rhld.insurance.arkansas.gov/NPILookup?Npi=1770820870","1770820870")</f>
        <v>1770820870</v>
      </c>
      <c r="E10291" s="1" t="s">
        <v>4342</v>
      </c>
      <c r="F10291" s="2"/>
      <c r="G10291" s="2"/>
      <c r="H10291" s="2"/>
    </row>
    <row r="10292" spans="1:8" x14ac:dyDescent="0.25">
      <c r="A10292" s="1"/>
      <c r="B10292" s="1" t="s">
        <v>5161</v>
      </c>
      <c r="C10292" s="1" t="s">
        <v>5162</v>
      </c>
      <c r="D10292" s="22" t="str">
        <f>HYPERLINK("https://rhld.insurance.arkansas.gov/NPILookup?Npi=1770913865","1770913865")</f>
        <v>1770913865</v>
      </c>
      <c r="E10292" s="1" t="s">
        <v>11089</v>
      </c>
      <c r="F10292" s="2"/>
      <c r="G10292" s="2"/>
      <c r="H10292" s="2"/>
    </row>
    <row r="10293" spans="1:8" x14ac:dyDescent="0.25">
      <c r="A10293" s="1"/>
      <c r="B10293" s="1" t="s">
        <v>5161</v>
      </c>
      <c r="C10293" s="1" t="s">
        <v>5162</v>
      </c>
      <c r="D10293" s="22" t="str">
        <f>HYPERLINK("https://rhld.insurance.arkansas.gov/NPILookup?Npi=1780086918","1780086918")</f>
        <v>1780086918</v>
      </c>
      <c r="E10293" s="1" t="s">
        <v>19926</v>
      </c>
      <c r="F10293" s="2"/>
      <c r="G10293" s="2"/>
      <c r="H10293" s="2"/>
    </row>
    <row r="10294" spans="1:8" x14ac:dyDescent="0.25">
      <c r="A10294" s="1"/>
      <c r="B10294" s="1" t="s">
        <v>5161</v>
      </c>
      <c r="C10294" s="1" t="s">
        <v>5162</v>
      </c>
      <c r="D10294" s="22" t="str">
        <f>HYPERLINK("https://rhld.insurance.arkansas.gov/NPILookup?Npi=1780113860","1780113860")</f>
        <v>1780113860</v>
      </c>
      <c r="E10294" s="1" t="s">
        <v>5441</v>
      </c>
      <c r="F10294" s="2"/>
      <c r="G10294" s="2"/>
      <c r="H10294" s="2"/>
    </row>
    <row r="10295" spans="1:8" x14ac:dyDescent="0.25">
      <c r="A10295" s="1"/>
      <c r="B10295" s="1" t="s">
        <v>5161</v>
      </c>
      <c r="C10295" s="1" t="s">
        <v>5162</v>
      </c>
      <c r="D10295" s="22" t="str">
        <f>HYPERLINK("https://rhld.insurance.arkansas.gov/NPILookup?Npi=1780252809","1780252809")</f>
        <v>1780252809</v>
      </c>
      <c r="E10295" s="1" t="s">
        <v>11090</v>
      </c>
      <c r="F10295" s="2"/>
      <c r="G10295" s="2"/>
      <c r="H10295" s="2"/>
    </row>
    <row r="10296" spans="1:8" x14ac:dyDescent="0.25">
      <c r="A10296" s="1"/>
      <c r="B10296" s="1" t="s">
        <v>5161</v>
      </c>
      <c r="C10296" s="1" t="s">
        <v>5162</v>
      </c>
      <c r="D10296" s="22" t="str">
        <f>HYPERLINK("https://rhld.insurance.arkansas.gov/NPILookup?Npi=1780275248","1780275248")</f>
        <v>1780275248</v>
      </c>
      <c r="E10296" s="1" t="s">
        <v>11009</v>
      </c>
      <c r="F10296" s="2"/>
      <c r="G10296" s="2"/>
      <c r="H10296" s="2"/>
    </row>
    <row r="10297" spans="1:8" x14ac:dyDescent="0.25">
      <c r="A10297" s="1"/>
      <c r="B10297" s="1" t="s">
        <v>5161</v>
      </c>
      <c r="C10297" s="1" t="s">
        <v>5162</v>
      </c>
      <c r="D10297" s="22" t="str">
        <f>HYPERLINK("https://rhld.insurance.arkansas.gov/NPILookup?Npi=1780285304","1780285304")</f>
        <v>1780285304</v>
      </c>
      <c r="E10297" s="1" t="s">
        <v>11091</v>
      </c>
      <c r="F10297" s="2"/>
      <c r="G10297" s="2"/>
      <c r="H10297" s="2"/>
    </row>
    <row r="10298" spans="1:8" x14ac:dyDescent="0.25">
      <c r="A10298" s="1"/>
      <c r="B10298" s="1" t="s">
        <v>5161</v>
      </c>
      <c r="C10298" s="1" t="s">
        <v>5162</v>
      </c>
      <c r="D10298" s="22" t="str">
        <f>HYPERLINK("https://rhld.insurance.arkansas.gov/NPILookup?Npi=1780286096","1780286096")</f>
        <v>1780286096</v>
      </c>
      <c r="E10298" s="1" t="s">
        <v>19927</v>
      </c>
      <c r="F10298" s="2"/>
      <c r="G10298" s="2"/>
      <c r="H10298" s="2"/>
    </row>
    <row r="10299" spans="1:8" x14ac:dyDescent="0.25">
      <c r="A10299" s="1"/>
      <c r="B10299" s="1" t="s">
        <v>5161</v>
      </c>
      <c r="C10299" s="1" t="s">
        <v>5162</v>
      </c>
      <c r="D10299" s="22" t="str">
        <f>HYPERLINK("https://rhld.insurance.arkansas.gov/NPILookup?Npi=1780309120","1780309120")</f>
        <v>1780309120</v>
      </c>
      <c r="E10299" s="1" t="s">
        <v>19928</v>
      </c>
      <c r="F10299" s="2"/>
      <c r="G10299" s="2"/>
      <c r="H10299" s="2"/>
    </row>
    <row r="10300" spans="1:8" x14ac:dyDescent="0.25">
      <c r="A10300" s="1"/>
      <c r="B10300" s="1" t="s">
        <v>5161</v>
      </c>
      <c r="C10300" s="1" t="s">
        <v>5162</v>
      </c>
      <c r="D10300" s="22" t="str">
        <f>HYPERLINK("https://rhld.insurance.arkansas.gov/NPILookup?Npi=1780334185","1780334185")</f>
        <v>1780334185</v>
      </c>
      <c r="E10300" s="1" t="s">
        <v>5442</v>
      </c>
      <c r="F10300" s="2"/>
      <c r="G10300" s="2"/>
      <c r="H10300" s="2"/>
    </row>
    <row r="10301" spans="1:8" x14ac:dyDescent="0.25">
      <c r="A10301" s="1"/>
      <c r="B10301" s="1" t="s">
        <v>5161</v>
      </c>
      <c r="C10301" s="1" t="s">
        <v>5162</v>
      </c>
      <c r="D10301" s="22" t="str">
        <f>HYPERLINK("https://rhld.insurance.arkansas.gov/NPILookup?Npi=1780441394","1780441394")</f>
        <v>1780441394</v>
      </c>
      <c r="E10301" s="1" t="s">
        <v>19929</v>
      </c>
      <c r="F10301" s="2"/>
      <c r="G10301" s="2"/>
      <c r="H10301" s="2"/>
    </row>
    <row r="10302" spans="1:8" x14ac:dyDescent="0.25">
      <c r="A10302" s="1"/>
      <c r="B10302" s="1" t="s">
        <v>5161</v>
      </c>
      <c r="C10302" s="1" t="s">
        <v>5162</v>
      </c>
      <c r="D10302" s="22" t="str">
        <f>HYPERLINK("https://rhld.insurance.arkansas.gov/NPILookup?Npi=1780457465","1780457465")</f>
        <v>1780457465</v>
      </c>
      <c r="E10302" s="1" t="s">
        <v>19930</v>
      </c>
      <c r="F10302" s="2"/>
      <c r="G10302" s="2"/>
      <c r="H10302" s="2"/>
    </row>
    <row r="10303" spans="1:8" x14ac:dyDescent="0.25">
      <c r="A10303" s="1"/>
      <c r="B10303" s="1" t="s">
        <v>5161</v>
      </c>
      <c r="C10303" s="1" t="s">
        <v>5162</v>
      </c>
      <c r="D10303" s="22" t="str">
        <f>HYPERLINK("https://rhld.insurance.arkansas.gov/NPILookup?Npi=1780801555","1780801555")</f>
        <v>1780801555</v>
      </c>
      <c r="E10303" s="1" t="s">
        <v>5443</v>
      </c>
      <c r="F10303" s="2"/>
      <c r="G10303" s="2"/>
      <c r="H10303" s="2"/>
    </row>
    <row r="10304" spans="1:8" x14ac:dyDescent="0.25">
      <c r="A10304" s="1"/>
      <c r="B10304" s="1" t="s">
        <v>5161</v>
      </c>
      <c r="C10304" s="1" t="s">
        <v>5162</v>
      </c>
      <c r="D10304" s="22" t="str">
        <f>HYPERLINK("https://rhld.insurance.arkansas.gov/NPILookup?Npi=1780818476","1780818476")</f>
        <v>1780818476</v>
      </c>
      <c r="E10304" s="1" t="s">
        <v>11092</v>
      </c>
      <c r="F10304" s="2"/>
      <c r="G10304" s="2"/>
      <c r="H10304" s="2"/>
    </row>
    <row r="10305" spans="1:8" x14ac:dyDescent="0.25">
      <c r="A10305" s="1"/>
      <c r="B10305" s="1" t="s">
        <v>5161</v>
      </c>
      <c r="C10305" s="1" t="s">
        <v>5162</v>
      </c>
      <c r="D10305" s="22" t="str">
        <f>HYPERLINK("https://rhld.insurance.arkansas.gov/NPILookup?Npi=1780833442","1780833442")</f>
        <v>1780833442</v>
      </c>
      <c r="E10305" s="1" t="s">
        <v>19931</v>
      </c>
      <c r="F10305" s="2"/>
      <c r="G10305" s="2"/>
      <c r="H10305" s="2"/>
    </row>
    <row r="10306" spans="1:8" x14ac:dyDescent="0.25">
      <c r="A10306" s="1"/>
      <c r="B10306" s="1" t="s">
        <v>5161</v>
      </c>
      <c r="C10306" s="1" t="s">
        <v>5162</v>
      </c>
      <c r="D10306" s="22" t="str">
        <f>HYPERLINK("https://rhld.insurance.arkansas.gov/NPILookup?Npi=1780833798","1780833798")</f>
        <v>1780833798</v>
      </c>
      <c r="E10306" s="1" t="s">
        <v>19932</v>
      </c>
      <c r="F10306" s="2"/>
      <c r="G10306" s="2"/>
      <c r="H10306" s="2"/>
    </row>
    <row r="10307" spans="1:8" x14ac:dyDescent="0.25">
      <c r="A10307" s="1"/>
      <c r="B10307" s="1" t="s">
        <v>5161</v>
      </c>
      <c r="C10307" s="1" t="s">
        <v>5162</v>
      </c>
      <c r="D10307" s="22" t="str">
        <f>HYPERLINK("https://rhld.insurance.arkansas.gov/NPILookup?Npi=1790077527","1790077527")</f>
        <v>1790077527</v>
      </c>
      <c r="E10307" s="1" t="s">
        <v>31724</v>
      </c>
      <c r="F10307" s="2"/>
      <c r="G10307" s="2"/>
      <c r="H10307" s="2"/>
    </row>
    <row r="10308" spans="1:8" x14ac:dyDescent="0.25">
      <c r="A10308" s="1"/>
      <c r="B10308" s="1" t="s">
        <v>5161</v>
      </c>
      <c r="C10308" s="1" t="s">
        <v>5162</v>
      </c>
      <c r="D10308" s="22" t="str">
        <f>HYPERLINK("https://rhld.insurance.arkansas.gov/NPILookup?Npi=1790127348","1790127348")</f>
        <v>1790127348</v>
      </c>
      <c r="E10308" s="1" t="s">
        <v>19933</v>
      </c>
      <c r="F10308" s="2"/>
      <c r="G10308" s="2"/>
      <c r="H10308" s="2"/>
    </row>
    <row r="10309" spans="1:8" x14ac:dyDescent="0.25">
      <c r="A10309" s="1"/>
      <c r="B10309" s="1" t="s">
        <v>5161</v>
      </c>
      <c r="C10309" s="1" t="s">
        <v>5162</v>
      </c>
      <c r="D10309" s="22" t="str">
        <f>HYPERLINK("https://rhld.insurance.arkansas.gov/NPILookup?Npi=1790144525","1790144525")</f>
        <v>1790144525</v>
      </c>
      <c r="E10309" s="1" t="s">
        <v>11093</v>
      </c>
      <c r="F10309" s="2"/>
      <c r="G10309" s="2"/>
      <c r="H10309" s="2"/>
    </row>
    <row r="10310" spans="1:8" x14ac:dyDescent="0.25">
      <c r="A10310" s="1"/>
      <c r="B10310" s="1" t="s">
        <v>5161</v>
      </c>
      <c r="C10310" s="1" t="s">
        <v>5162</v>
      </c>
      <c r="D10310" s="22" t="str">
        <f>HYPERLINK("https://rhld.insurance.arkansas.gov/NPILookup?Npi=1790202596","1790202596")</f>
        <v>1790202596</v>
      </c>
      <c r="E10310" s="1" t="s">
        <v>11094</v>
      </c>
      <c r="F10310" s="2"/>
      <c r="G10310" s="2"/>
      <c r="H10310" s="2"/>
    </row>
    <row r="10311" spans="1:8" x14ac:dyDescent="0.25">
      <c r="A10311" s="1"/>
      <c r="B10311" s="1" t="s">
        <v>5161</v>
      </c>
      <c r="C10311" s="1" t="s">
        <v>5162</v>
      </c>
      <c r="D10311" s="22" t="str">
        <f>HYPERLINK("https://rhld.insurance.arkansas.gov/NPILookup?Npi=1790285260","1790285260")</f>
        <v>1790285260</v>
      </c>
      <c r="E10311" s="1" t="s">
        <v>19934</v>
      </c>
      <c r="F10311" s="2"/>
      <c r="G10311" s="2"/>
      <c r="H10311" s="2"/>
    </row>
    <row r="10312" spans="1:8" x14ac:dyDescent="0.25">
      <c r="A10312" s="1"/>
      <c r="B10312" s="1" t="s">
        <v>5161</v>
      </c>
      <c r="C10312" s="1" t="s">
        <v>5162</v>
      </c>
      <c r="D10312" s="22" t="str">
        <f>HYPERLINK("https://rhld.insurance.arkansas.gov/NPILookup?Npi=1790356459","1790356459")</f>
        <v>1790356459</v>
      </c>
      <c r="E10312" s="1" t="s">
        <v>11095</v>
      </c>
      <c r="F10312" s="2"/>
      <c r="G10312" s="2"/>
      <c r="H10312" s="2"/>
    </row>
    <row r="10313" spans="1:8" x14ac:dyDescent="0.25">
      <c r="A10313" s="1"/>
      <c r="B10313" s="1" t="s">
        <v>5161</v>
      </c>
      <c r="C10313" s="1" t="s">
        <v>5162</v>
      </c>
      <c r="D10313" s="22" t="str">
        <f>HYPERLINK("https://rhld.insurance.arkansas.gov/NPILookup?Npi=1790391969","1790391969")</f>
        <v>1790391969</v>
      </c>
      <c r="E10313" s="1" t="s">
        <v>19935</v>
      </c>
      <c r="F10313" s="2"/>
      <c r="G10313" s="2"/>
      <c r="H10313" s="2"/>
    </row>
    <row r="10314" spans="1:8" x14ac:dyDescent="0.25">
      <c r="A10314" s="1"/>
      <c r="B10314" s="1" t="s">
        <v>5161</v>
      </c>
      <c r="C10314" s="1" t="s">
        <v>5162</v>
      </c>
      <c r="D10314" s="22" t="str">
        <f>HYPERLINK("https://rhld.insurance.arkansas.gov/NPILookup?Npi=1790548881","1790548881")</f>
        <v>1790548881</v>
      </c>
      <c r="E10314" s="1" t="s">
        <v>5444</v>
      </c>
      <c r="F10314" s="2"/>
      <c r="G10314" s="2"/>
      <c r="H10314" s="2"/>
    </row>
    <row r="10315" spans="1:8" x14ac:dyDescent="0.25">
      <c r="A10315" s="1"/>
      <c r="B10315" s="1" t="s">
        <v>5161</v>
      </c>
      <c r="C10315" s="1" t="s">
        <v>5162</v>
      </c>
      <c r="D10315" s="22" t="str">
        <f>HYPERLINK("https://rhld.insurance.arkansas.gov/NPILookup?Npi=1790731198","1790731198")</f>
        <v>1790731198</v>
      </c>
      <c r="E10315" s="1" t="s">
        <v>11096</v>
      </c>
      <c r="F10315" s="2"/>
      <c r="G10315" s="2"/>
      <c r="H10315" s="2"/>
    </row>
    <row r="10316" spans="1:8" x14ac:dyDescent="0.25">
      <c r="A10316" s="1"/>
      <c r="B10316" s="1" t="s">
        <v>5161</v>
      </c>
      <c r="C10316" s="1" t="s">
        <v>5162</v>
      </c>
      <c r="D10316" s="22" t="str">
        <f>HYPERLINK("https://rhld.insurance.arkansas.gov/NPILookup?Npi=1790810414","1790810414")</f>
        <v>1790810414</v>
      </c>
      <c r="E10316" s="1" t="s">
        <v>19936</v>
      </c>
      <c r="F10316" s="2"/>
      <c r="G10316" s="2"/>
      <c r="H10316" s="2"/>
    </row>
    <row r="10317" spans="1:8" x14ac:dyDescent="0.25">
      <c r="A10317" s="1"/>
      <c r="B10317" s="1" t="s">
        <v>5161</v>
      </c>
      <c r="C10317" s="1" t="s">
        <v>5162</v>
      </c>
      <c r="D10317" s="22" t="str">
        <f>HYPERLINK("https://rhld.insurance.arkansas.gov/NPILookup?Npi=1790933844","1790933844")</f>
        <v>1790933844</v>
      </c>
      <c r="E10317" s="1" t="s">
        <v>5445</v>
      </c>
      <c r="F10317" s="2"/>
      <c r="G10317" s="2"/>
      <c r="H10317" s="2"/>
    </row>
    <row r="10318" spans="1:8" x14ac:dyDescent="0.25">
      <c r="A10318" s="1"/>
      <c r="B10318" s="1" t="s">
        <v>5161</v>
      </c>
      <c r="C10318" s="1" t="s">
        <v>5162</v>
      </c>
      <c r="D10318" s="22" t="str">
        <f>HYPERLINK("https://rhld.insurance.arkansas.gov/NPILookup?Npi=1790935393","1790935393")</f>
        <v>1790935393</v>
      </c>
      <c r="E10318" s="1" t="s">
        <v>5446</v>
      </c>
      <c r="F10318" s="2"/>
      <c r="G10318" s="2"/>
      <c r="H10318" s="2"/>
    </row>
    <row r="10319" spans="1:8" x14ac:dyDescent="0.25">
      <c r="A10319" s="1"/>
      <c r="B10319" s="1" t="s">
        <v>5161</v>
      </c>
      <c r="C10319" s="1" t="s">
        <v>5162</v>
      </c>
      <c r="D10319" s="22" t="str">
        <f>HYPERLINK("https://rhld.insurance.arkansas.gov/NPILookup?Npi=1790991982","1790991982")</f>
        <v>1790991982</v>
      </c>
      <c r="E10319" s="1" t="s">
        <v>11097</v>
      </c>
      <c r="F10319" s="2"/>
      <c r="G10319" s="2"/>
      <c r="H10319" s="2"/>
    </row>
    <row r="10320" spans="1:8" x14ac:dyDescent="0.25">
      <c r="A10320" s="1"/>
      <c r="B10320" s="1" t="s">
        <v>5161</v>
      </c>
      <c r="C10320" s="1" t="s">
        <v>5162</v>
      </c>
      <c r="D10320" s="22" t="str">
        <f>HYPERLINK("https://rhld.insurance.arkansas.gov/NPILookup?Npi=1790994291","1790994291")</f>
        <v>1790994291</v>
      </c>
      <c r="E10320" s="1" t="s">
        <v>11098</v>
      </c>
      <c r="F10320" s="2"/>
      <c r="G10320" s="2"/>
      <c r="H10320" s="2"/>
    </row>
    <row r="10321" spans="1:8" x14ac:dyDescent="0.25">
      <c r="A10321" s="1"/>
      <c r="B10321" s="1" t="s">
        <v>5161</v>
      </c>
      <c r="C10321" s="1" t="s">
        <v>5162</v>
      </c>
      <c r="D10321" s="22" t="str">
        <f>HYPERLINK("https://rhld.insurance.arkansas.gov/NPILookup?Npi=1801113261","1801113261")</f>
        <v>1801113261</v>
      </c>
      <c r="E10321" s="1" t="s">
        <v>19937</v>
      </c>
      <c r="F10321" s="2"/>
      <c r="G10321" s="2"/>
      <c r="H10321" s="2"/>
    </row>
    <row r="10322" spans="1:8" x14ac:dyDescent="0.25">
      <c r="A10322" s="1"/>
      <c r="B10322" s="1" t="s">
        <v>5161</v>
      </c>
      <c r="C10322" s="1" t="s">
        <v>5162</v>
      </c>
      <c r="D10322" s="22" t="str">
        <f>HYPERLINK("https://rhld.insurance.arkansas.gov/NPILookup?Npi=1801157078","1801157078")</f>
        <v>1801157078</v>
      </c>
      <c r="E10322" s="1" t="s">
        <v>5447</v>
      </c>
      <c r="F10322" s="2"/>
      <c r="G10322" s="2"/>
      <c r="H10322" s="2"/>
    </row>
    <row r="10323" spans="1:8" x14ac:dyDescent="0.25">
      <c r="A10323" s="1"/>
      <c r="B10323" s="1" t="s">
        <v>5161</v>
      </c>
      <c r="C10323" s="1" t="s">
        <v>5162</v>
      </c>
      <c r="D10323" s="22" t="str">
        <f>HYPERLINK("https://rhld.insurance.arkansas.gov/NPILookup?Npi=1801265921","1801265921")</f>
        <v>1801265921</v>
      </c>
      <c r="E10323" s="1" t="s">
        <v>19938</v>
      </c>
      <c r="F10323" s="2"/>
      <c r="G10323" s="2"/>
      <c r="H10323" s="2"/>
    </row>
    <row r="10324" spans="1:8" x14ac:dyDescent="0.25">
      <c r="A10324" s="1"/>
      <c r="B10324" s="1" t="s">
        <v>5161</v>
      </c>
      <c r="C10324" s="1" t="s">
        <v>5162</v>
      </c>
      <c r="D10324" s="22" t="str">
        <f>HYPERLINK("https://rhld.insurance.arkansas.gov/NPILookup?Npi=1801361746","1801361746")</f>
        <v>1801361746</v>
      </c>
      <c r="E10324" s="1" t="s">
        <v>19939</v>
      </c>
      <c r="F10324" s="2"/>
      <c r="G10324" s="2"/>
      <c r="H10324" s="2"/>
    </row>
    <row r="10325" spans="1:8" x14ac:dyDescent="0.25">
      <c r="A10325" s="1"/>
      <c r="B10325" s="1" t="s">
        <v>5161</v>
      </c>
      <c r="C10325" s="1" t="s">
        <v>5162</v>
      </c>
      <c r="D10325" s="22" t="str">
        <f>HYPERLINK("https://rhld.insurance.arkansas.gov/NPILookup?Npi=1801362066","1801362066")</f>
        <v>1801362066</v>
      </c>
      <c r="E10325" s="1" t="s">
        <v>19940</v>
      </c>
      <c r="F10325" s="2"/>
      <c r="G10325" s="2"/>
      <c r="H10325" s="2"/>
    </row>
    <row r="10326" spans="1:8" x14ac:dyDescent="0.25">
      <c r="A10326" s="1"/>
      <c r="B10326" s="1" t="s">
        <v>5161</v>
      </c>
      <c r="C10326" s="1" t="s">
        <v>5162</v>
      </c>
      <c r="D10326" s="22" t="str">
        <f>HYPERLINK("https://rhld.insurance.arkansas.gov/NPILookup?Npi=1801461546","1801461546")</f>
        <v>1801461546</v>
      </c>
      <c r="E10326" s="1" t="s">
        <v>5448</v>
      </c>
      <c r="F10326" s="2"/>
      <c r="G10326" s="2"/>
      <c r="H10326" s="2"/>
    </row>
    <row r="10327" spans="1:8" x14ac:dyDescent="0.25">
      <c r="A10327" s="1"/>
      <c r="B10327" s="1" t="s">
        <v>5161</v>
      </c>
      <c r="C10327" s="1" t="s">
        <v>5162</v>
      </c>
      <c r="D10327" s="22" t="str">
        <f>HYPERLINK("https://rhld.insurance.arkansas.gov/NPILookup?Npi=1801589692","1801589692")</f>
        <v>1801589692</v>
      </c>
      <c r="E10327" s="1" t="s">
        <v>5449</v>
      </c>
      <c r="F10327" s="2"/>
      <c r="G10327" s="2"/>
      <c r="H10327" s="2"/>
    </row>
    <row r="10328" spans="1:8" x14ac:dyDescent="0.25">
      <c r="A10328" s="1"/>
      <c r="B10328" s="1" t="s">
        <v>5161</v>
      </c>
      <c r="C10328" s="1" t="s">
        <v>5162</v>
      </c>
      <c r="D10328" s="22" t="str">
        <f>HYPERLINK("https://rhld.insurance.arkansas.gov/NPILookup?Npi=1811010770","1811010770")</f>
        <v>1811010770</v>
      </c>
      <c r="E10328" s="1" t="s">
        <v>19941</v>
      </c>
      <c r="F10328" s="2"/>
      <c r="G10328" s="2"/>
      <c r="H10328" s="2"/>
    </row>
    <row r="10329" spans="1:8" x14ac:dyDescent="0.25">
      <c r="A10329" s="1"/>
      <c r="B10329" s="1" t="s">
        <v>5161</v>
      </c>
      <c r="C10329" s="1" t="s">
        <v>5162</v>
      </c>
      <c r="D10329" s="22" t="str">
        <f>HYPERLINK("https://rhld.insurance.arkansas.gov/NPILookup?Npi=1811019557","1811019557")</f>
        <v>1811019557</v>
      </c>
      <c r="E10329" s="1" t="s">
        <v>19942</v>
      </c>
      <c r="F10329" s="2"/>
      <c r="G10329" s="2"/>
      <c r="H10329" s="2"/>
    </row>
    <row r="10330" spans="1:8" x14ac:dyDescent="0.25">
      <c r="A10330" s="1"/>
      <c r="B10330" s="1" t="s">
        <v>5161</v>
      </c>
      <c r="C10330" s="1" t="s">
        <v>5162</v>
      </c>
      <c r="D10330" s="22" t="str">
        <f>HYPERLINK("https://rhld.insurance.arkansas.gov/NPILookup?Npi=1811049968","1811049968")</f>
        <v>1811049968</v>
      </c>
      <c r="E10330" s="1" t="s">
        <v>5450</v>
      </c>
      <c r="F10330" s="2"/>
      <c r="G10330" s="2"/>
      <c r="H10330" s="2"/>
    </row>
    <row r="10331" spans="1:8" x14ac:dyDescent="0.25">
      <c r="A10331" s="1"/>
      <c r="B10331" s="1" t="s">
        <v>5161</v>
      </c>
      <c r="C10331" s="1" t="s">
        <v>5162</v>
      </c>
      <c r="D10331" s="22" t="str">
        <f>HYPERLINK("https://rhld.insurance.arkansas.gov/NPILookup?Npi=1811135544","1811135544")</f>
        <v>1811135544</v>
      </c>
      <c r="E10331" s="1" t="s">
        <v>5451</v>
      </c>
      <c r="F10331" s="2"/>
      <c r="G10331" s="2"/>
      <c r="H10331" s="2"/>
    </row>
    <row r="10332" spans="1:8" x14ac:dyDescent="0.25">
      <c r="A10332" s="1"/>
      <c r="B10332" s="1" t="s">
        <v>5161</v>
      </c>
      <c r="C10332" s="1" t="s">
        <v>5162</v>
      </c>
      <c r="D10332" s="22" t="str">
        <f>HYPERLINK("https://rhld.insurance.arkansas.gov/NPILookup?Npi=1811250111","1811250111")</f>
        <v>1811250111</v>
      </c>
      <c r="E10332" s="1" t="s">
        <v>19943</v>
      </c>
      <c r="F10332" s="2"/>
      <c r="G10332" s="2"/>
      <c r="H10332" s="2"/>
    </row>
    <row r="10333" spans="1:8" x14ac:dyDescent="0.25">
      <c r="A10333" s="1"/>
      <c r="B10333" s="1" t="s">
        <v>5161</v>
      </c>
      <c r="C10333" s="1" t="s">
        <v>5162</v>
      </c>
      <c r="D10333" s="22" t="str">
        <f>HYPERLINK("https://rhld.insurance.arkansas.gov/NPILookup?Npi=1811329196","1811329196")</f>
        <v>1811329196</v>
      </c>
      <c r="E10333" s="1" t="s">
        <v>5452</v>
      </c>
      <c r="F10333" s="2"/>
      <c r="G10333" s="2"/>
      <c r="H10333" s="2"/>
    </row>
    <row r="10334" spans="1:8" x14ac:dyDescent="0.25">
      <c r="A10334" s="1"/>
      <c r="B10334" s="1" t="s">
        <v>5161</v>
      </c>
      <c r="C10334" s="1" t="s">
        <v>5162</v>
      </c>
      <c r="D10334" s="22" t="str">
        <f>HYPERLINK("https://rhld.insurance.arkansas.gov/NPILookup?Npi=1811358039","1811358039")</f>
        <v>1811358039</v>
      </c>
      <c r="E10334" s="1" t="s">
        <v>19944</v>
      </c>
      <c r="F10334" s="2"/>
      <c r="G10334" s="2"/>
      <c r="H10334" s="2"/>
    </row>
    <row r="10335" spans="1:8" x14ac:dyDescent="0.25">
      <c r="A10335" s="1"/>
      <c r="B10335" s="1" t="s">
        <v>5161</v>
      </c>
      <c r="C10335" s="1" t="s">
        <v>5162</v>
      </c>
      <c r="D10335" s="22" t="str">
        <f>HYPERLINK("https://rhld.insurance.arkansas.gov/NPILookup?Npi=1811385164","1811385164")</f>
        <v>1811385164</v>
      </c>
      <c r="E10335" s="1" t="s">
        <v>19945</v>
      </c>
      <c r="F10335" s="2"/>
      <c r="G10335" s="2"/>
      <c r="H10335" s="2"/>
    </row>
    <row r="10336" spans="1:8" x14ac:dyDescent="0.25">
      <c r="A10336" s="1"/>
      <c r="B10336" s="1" t="s">
        <v>5161</v>
      </c>
      <c r="C10336" s="1" t="s">
        <v>5162</v>
      </c>
      <c r="D10336" s="22" t="str">
        <f>HYPERLINK("https://rhld.insurance.arkansas.gov/NPILookup?Npi=1811448749","1811448749")</f>
        <v>1811448749</v>
      </c>
      <c r="E10336" s="1" t="s">
        <v>19946</v>
      </c>
      <c r="F10336" s="2"/>
      <c r="G10336" s="2"/>
      <c r="H10336" s="2"/>
    </row>
    <row r="10337" spans="1:8" x14ac:dyDescent="0.25">
      <c r="A10337" s="1"/>
      <c r="B10337" s="1" t="s">
        <v>5161</v>
      </c>
      <c r="C10337" s="1" t="s">
        <v>5162</v>
      </c>
      <c r="D10337" s="22" t="str">
        <f>HYPERLINK("https://rhld.insurance.arkansas.gov/NPILookup?Npi=1811470115","1811470115")</f>
        <v>1811470115</v>
      </c>
      <c r="E10337" s="1" t="s">
        <v>19947</v>
      </c>
      <c r="F10337" s="2"/>
      <c r="G10337" s="2"/>
      <c r="H10337" s="2"/>
    </row>
    <row r="10338" spans="1:8" x14ac:dyDescent="0.25">
      <c r="A10338" s="1"/>
      <c r="B10338" s="1" t="s">
        <v>5161</v>
      </c>
      <c r="C10338" s="1" t="s">
        <v>5162</v>
      </c>
      <c r="D10338" s="22" t="str">
        <f>HYPERLINK("https://rhld.insurance.arkansas.gov/NPILookup?Npi=1811504996","1811504996")</f>
        <v>1811504996</v>
      </c>
      <c r="E10338" s="1" t="s">
        <v>5453</v>
      </c>
      <c r="F10338" s="2"/>
      <c r="G10338" s="2"/>
      <c r="H10338" s="2"/>
    </row>
    <row r="10339" spans="1:8" x14ac:dyDescent="0.25">
      <c r="A10339" s="1"/>
      <c r="B10339" s="1" t="s">
        <v>5161</v>
      </c>
      <c r="C10339" s="1" t="s">
        <v>5162</v>
      </c>
      <c r="D10339" s="22" t="str">
        <f>HYPERLINK("https://rhld.insurance.arkansas.gov/NPILookup?Npi=1811550874","1811550874")</f>
        <v>1811550874</v>
      </c>
      <c r="E10339" s="1" t="s">
        <v>5454</v>
      </c>
      <c r="F10339" s="2"/>
      <c r="G10339" s="2"/>
      <c r="H10339" s="2"/>
    </row>
    <row r="10340" spans="1:8" x14ac:dyDescent="0.25">
      <c r="A10340" s="1"/>
      <c r="B10340" s="1" t="s">
        <v>5161</v>
      </c>
      <c r="C10340" s="1" t="s">
        <v>5162</v>
      </c>
      <c r="D10340" s="22" t="str">
        <f>HYPERLINK("https://rhld.insurance.arkansas.gov/NPILookup?Npi=1811607591","1811607591")</f>
        <v>1811607591</v>
      </c>
      <c r="E10340" s="1" t="s">
        <v>19948</v>
      </c>
      <c r="F10340" s="2"/>
      <c r="G10340" s="2"/>
      <c r="H10340" s="2"/>
    </row>
    <row r="10341" spans="1:8" x14ac:dyDescent="0.25">
      <c r="A10341" s="1"/>
      <c r="B10341" s="1" t="s">
        <v>5161</v>
      </c>
      <c r="C10341" s="1" t="s">
        <v>5162</v>
      </c>
      <c r="D10341" s="22" t="str">
        <f>HYPERLINK("https://rhld.insurance.arkansas.gov/NPILookup?Npi=1811617020","1811617020")</f>
        <v>1811617020</v>
      </c>
      <c r="E10341" s="1" t="s">
        <v>19949</v>
      </c>
      <c r="F10341" s="2"/>
      <c r="G10341" s="2"/>
      <c r="H10341" s="2"/>
    </row>
    <row r="10342" spans="1:8" x14ac:dyDescent="0.25">
      <c r="A10342" s="1"/>
      <c r="B10342" s="1" t="s">
        <v>5161</v>
      </c>
      <c r="C10342" s="1" t="s">
        <v>5162</v>
      </c>
      <c r="D10342" s="22" t="str">
        <f>HYPERLINK("https://rhld.insurance.arkansas.gov/NPILookup?Npi=1811696065","1811696065")</f>
        <v>1811696065</v>
      </c>
      <c r="E10342" s="1" t="s">
        <v>19950</v>
      </c>
      <c r="F10342" s="2"/>
      <c r="G10342" s="2"/>
      <c r="H10342" s="2"/>
    </row>
    <row r="10343" spans="1:8" x14ac:dyDescent="0.25">
      <c r="A10343" s="1"/>
      <c r="B10343" s="1" t="s">
        <v>5161</v>
      </c>
      <c r="C10343" s="1" t="s">
        <v>5162</v>
      </c>
      <c r="D10343" s="22" t="str">
        <f>HYPERLINK("https://rhld.insurance.arkansas.gov/NPILookup?Npi=1811763402","1811763402")</f>
        <v>1811763402</v>
      </c>
      <c r="E10343" s="1" t="s">
        <v>5455</v>
      </c>
      <c r="F10343" s="2"/>
      <c r="G10343" s="2"/>
      <c r="H10343" s="2"/>
    </row>
    <row r="10344" spans="1:8" x14ac:dyDescent="0.25">
      <c r="A10344" s="1"/>
      <c r="B10344" s="1" t="s">
        <v>5161</v>
      </c>
      <c r="C10344" s="1" t="s">
        <v>5162</v>
      </c>
      <c r="D10344" s="22" t="str">
        <f>HYPERLINK("https://rhld.insurance.arkansas.gov/NPILookup?Npi=1811954522","1811954522")</f>
        <v>1811954522</v>
      </c>
      <c r="E10344" s="1" t="s">
        <v>19951</v>
      </c>
      <c r="F10344" s="2"/>
      <c r="G10344" s="2"/>
      <c r="H10344" s="2"/>
    </row>
    <row r="10345" spans="1:8" x14ac:dyDescent="0.25">
      <c r="A10345" s="1"/>
      <c r="B10345" s="1" t="s">
        <v>5161</v>
      </c>
      <c r="C10345" s="1" t="s">
        <v>5162</v>
      </c>
      <c r="D10345" s="22" t="str">
        <f>HYPERLINK("https://rhld.insurance.arkansas.gov/NPILookup?Npi=1821149592","1821149592")</f>
        <v>1821149592</v>
      </c>
      <c r="E10345" s="1" t="s">
        <v>5456</v>
      </c>
      <c r="F10345" s="2"/>
      <c r="G10345" s="2"/>
      <c r="H10345" s="2"/>
    </row>
    <row r="10346" spans="1:8" x14ac:dyDescent="0.25">
      <c r="A10346" s="1"/>
      <c r="B10346" s="1" t="s">
        <v>5161</v>
      </c>
      <c r="C10346" s="1" t="s">
        <v>5162</v>
      </c>
      <c r="D10346" s="22" t="str">
        <f>HYPERLINK("https://rhld.insurance.arkansas.gov/NPILookup?Npi=1821217035","1821217035")</f>
        <v>1821217035</v>
      </c>
      <c r="E10346" s="1" t="s">
        <v>5457</v>
      </c>
      <c r="F10346" s="2"/>
      <c r="G10346" s="2"/>
      <c r="H10346" s="2"/>
    </row>
    <row r="10347" spans="1:8" x14ac:dyDescent="0.25">
      <c r="A10347" s="1"/>
      <c r="B10347" s="1" t="s">
        <v>5161</v>
      </c>
      <c r="C10347" s="1" t="s">
        <v>5162</v>
      </c>
      <c r="D10347" s="22" t="str">
        <f>HYPERLINK("https://rhld.insurance.arkansas.gov/NPILookup?Npi=1821223462","1821223462")</f>
        <v>1821223462</v>
      </c>
      <c r="E10347" s="1" t="s">
        <v>5458</v>
      </c>
      <c r="F10347" s="2"/>
      <c r="G10347" s="2"/>
      <c r="H10347" s="2"/>
    </row>
    <row r="10348" spans="1:8" x14ac:dyDescent="0.25">
      <c r="A10348" s="1"/>
      <c r="B10348" s="1" t="s">
        <v>5161</v>
      </c>
      <c r="C10348" s="1" t="s">
        <v>5162</v>
      </c>
      <c r="D10348" s="22" t="str">
        <f>HYPERLINK("https://rhld.insurance.arkansas.gov/NPILookup?Npi=1821225335","1821225335")</f>
        <v>1821225335</v>
      </c>
      <c r="E10348" s="1" t="s">
        <v>19952</v>
      </c>
      <c r="F10348" s="2"/>
      <c r="G10348" s="2"/>
      <c r="H10348" s="2"/>
    </row>
    <row r="10349" spans="1:8" x14ac:dyDescent="0.25">
      <c r="A10349" s="1"/>
      <c r="B10349" s="1" t="s">
        <v>5161</v>
      </c>
      <c r="C10349" s="1" t="s">
        <v>5162</v>
      </c>
      <c r="D10349" s="22" t="str">
        <f>HYPERLINK("https://rhld.insurance.arkansas.gov/NPILookup?Npi=1821247750","1821247750")</f>
        <v>1821247750</v>
      </c>
      <c r="E10349" s="1" t="s">
        <v>19953</v>
      </c>
      <c r="F10349" s="2"/>
      <c r="G10349" s="2"/>
      <c r="H10349" s="2"/>
    </row>
    <row r="10350" spans="1:8" x14ac:dyDescent="0.25">
      <c r="A10350" s="1"/>
      <c r="B10350" s="1" t="s">
        <v>5161</v>
      </c>
      <c r="C10350" s="1" t="s">
        <v>5162</v>
      </c>
      <c r="D10350" s="22" t="str">
        <f>HYPERLINK("https://rhld.insurance.arkansas.gov/NPILookup?Npi=1821280694","1821280694")</f>
        <v>1821280694</v>
      </c>
      <c r="E10350" s="1" t="s">
        <v>19954</v>
      </c>
      <c r="F10350" s="2"/>
      <c r="G10350" s="2"/>
      <c r="H10350" s="2"/>
    </row>
    <row r="10351" spans="1:8" x14ac:dyDescent="0.25">
      <c r="A10351" s="1"/>
      <c r="B10351" s="1" t="s">
        <v>5161</v>
      </c>
      <c r="C10351" s="1" t="s">
        <v>5162</v>
      </c>
      <c r="D10351" s="22" t="str">
        <f>HYPERLINK("https://rhld.insurance.arkansas.gov/NPILookup?Npi=1821337643","1821337643")</f>
        <v>1821337643</v>
      </c>
      <c r="E10351" s="1" t="s">
        <v>1108</v>
      </c>
      <c r="F10351" s="2"/>
      <c r="G10351" s="2"/>
      <c r="H10351" s="2"/>
    </row>
    <row r="10352" spans="1:8" x14ac:dyDescent="0.25">
      <c r="A10352" s="1"/>
      <c r="B10352" s="1" t="s">
        <v>5161</v>
      </c>
      <c r="C10352" s="1" t="s">
        <v>5162</v>
      </c>
      <c r="D10352" s="22" t="str">
        <f>HYPERLINK("https://rhld.insurance.arkansas.gov/NPILookup?Npi=1821515941","1821515941")</f>
        <v>1821515941</v>
      </c>
      <c r="E10352" s="1" t="s">
        <v>19955</v>
      </c>
      <c r="F10352" s="2"/>
      <c r="G10352" s="2"/>
      <c r="H10352" s="2"/>
    </row>
    <row r="10353" spans="1:8" x14ac:dyDescent="0.25">
      <c r="A10353" s="1"/>
      <c r="B10353" s="1" t="s">
        <v>5161</v>
      </c>
      <c r="C10353" s="1" t="s">
        <v>5162</v>
      </c>
      <c r="D10353" s="22" t="str">
        <f>HYPERLINK("https://rhld.insurance.arkansas.gov/NPILookup?Npi=1821541319","1821541319")</f>
        <v>1821541319</v>
      </c>
      <c r="E10353" s="1" t="s">
        <v>19956</v>
      </c>
      <c r="F10353" s="2"/>
      <c r="G10353" s="2"/>
      <c r="H10353" s="2"/>
    </row>
    <row r="10354" spans="1:8" x14ac:dyDescent="0.25">
      <c r="A10354" s="1"/>
      <c r="B10354" s="1" t="s">
        <v>5161</v>
      </c>
      <c r="C10354" s="1" t="s">
        <v>5162</v>
      </c>
      <c r="D10354" s="22" t="str">
        <f>HYPERLINK("https://rhld.insurance.arkansas.gov/NPILookup?Npi=1821547837","1821547837")</f>
        <v>1821547837</v>
      </c>
      <c r="E10354" s="1" t="s">
        <v>5459</v>
      </c>
      <c r="F10354" s="2"/>
      <c r="G10354" s="2"/>
      <c r="H10354" s="2"/>
    </row>
    <row r="10355" spans="1:8" x14ac:dyDescent="0.25">
      <c r="A10355" s="1"/>
      <c r="B10355" s="1" t="s">
        <v>5161</v>
      </c>
      <c r="C10355" s="1" t="s">
        <v>5162</v>
      </c>
      <c r="D10355" s="22" t="str">
        <f>HYPERLINK("https://rhld.insurance.arkansas.gov/NPILookup?Npi=1821615477","1821615477")</f>
        <v>1821615477</v>
      </c>
      <c r="E10355" s="1" t="s">
        <v>19957</v>
      </c>
      <c r="F10355" s="2"/>
      <c r="G10355" s="2"/>
      <c r="H10355" s="2"/>
    </row>
    <row r="10356" spans="1:8" x14ac:dyDescent="0.25">
      <c r="A10356" s="1"/>
      <c r="B10356" s="1" t="s">
        <v>5161</v>
      </c>
      <c r="C10356" s="1" t="s">
        <v>5162</v>
      </c>
      <c r="D10356" s="22" t="str">
        <f>HYPERLINK("https://rhld.insurance.arkansas.gov/NPILookup?Npi=1821870247","1821870247")</f>
        <v>1821870247</v>
      </c>
      <c r="E10356" s="1" t="s">
        <v>5460</v>
      </c>
      <c r="F10356" s="2"/>
      <c r="G10356" s="2"/>
      <c r="H10356" s="2"/>
    </row>
    <row r="10357" spans="1:8" x14ac:dyDescent="0.25">
      <c r="A10357" s="1"/>
      <c r="B10357" s="1" t="s">
        <v>5161</v>
      </c>
      <c r="C10357" s="1" t="s">
        <v>5162</v>
      </c>
      <c r="D10357" s="22" t="str">
        <f>HYPERLINK("https://rhld.insurance.arkansas.gov/NPILookup?Npi=1821883372","1821883372")</f>
        <v>1821883372</v>
      </c>
      <c r="E10357" s="1" t="s">
        <v>31725</v>
      </c>
      <c r="F10357" s="2"/>
      <c r="G10357" s="2"/>
      <c r="H10357" s="2"/>
    </row>
    <row r="10358" spans="1:8" x14ac:dyDescent="0.25">
      <c r="A10358" s="1"/>
      <c r="B10358" s="1" t="s">
        <v>5161</v>
      </c>
      <c r="C10358" s="1" t="s">
        <v>5162</v>
      </c>
      <c r="D10358" s="22" t="str">
        <f>HYPERLINK("https://rhld.insurance.arkansas.gov/NPILookup?Npi=1831307719","1831307719")</f>
        <v>1831307719</v>
      </c>
      <c r="E10358" s="1" t="s">
        <v>19958</v>
      </c>
      <c r="F10358" s="2"/>
      <c r="G10358" s="2"/>
      <c r="H10358" s="2"/>
    </row>
    <row r="10359" spans="1:8" x14ac:dyDescent="0.25">
      <c r="A10359" s="1"/>
      <c r="B10359" s="1" t="s">
        <v>5161</v>
      </c>
      <c r="C10359" s="1" t="s">
        <v>5162</v>
      </c>
      <c r="D10359" s="22" t="str">
        <f>HYPERLINK("https://rhld.insurance.arkansas.gov/NPILookup?Npi=1831407840","1831407840")</f>
        <v>1831407840</v>
      </c>
      <c r="E10359" s="1" t="s">
        <v>5461</v>
      </c>
      <c r="F10359" s="2"/>
      <c r="G10359" s="2"/>
      <c r="H10359" s="2"/>
    </row>
    <row r="10360" spans="1:8" x14ac:dyDescent="0.25">
      <c r="A10360" s="1"/>
      <c r="B10360" s="1" t="s">
        <v>5161</v>
      </c>
      <c r="C10360" s="1" t="s">
        <v>5162</v>
      </c>
      <c r="D10360" s="22" t="str">
        <f>HYPERLINK("https://rhld.insurance.arkansas.gov/NPILookup?Npi=1831409283","1831409283")</f>
        <v>1831409283</v>
      </c>
      <c r="E10360" s="1" t="s">
        <v>12988</v>
      </c>
      <c r="F10360" s="2"/>
      <c r="G10360" s="2"/>
      <c r="H10360" s="2"/>
    </row>
    <row r="10361" spans="1:8" x14ac:dyDescent="0.25">
      <c r="A10361" s="1"/>
      <c r="B10361" s="1" t="s">
        <v>5161</v>
      </c>
      <c r="C10361" s="1" t="s">
        <v>5162</v>
      </c>
      <c r="D10361" s="22" t="str">
        <f>HYPERLINK("https://rhld.insurance.arkansas.gov/NPILookup?Npi=1831529957","1831529957")</f>
        <v>1831529957</v>
      </c>
      <c r="E10361" s="1" t="s">
        <v>5462</v>
      </c>
      <c r="F10361" s="2"/>
      <c r="G10361" s="2"/>
      <c r="H10361" s="2"/>
    </row>
    <row r="10362" spans="1:8" x14ac:dyDescent="0.25">
      <c r="A10362" s="1"/>
      <c r="B10362" s="1" t="s">
        <v>5161</v>
      </c>
      <c r="C10362" s="1" t="s">
        <v>5162</v>
      </c>
      <c r="D10362" s="22" t="str">
        <f>HYPERLINK("https://rhld.insurance.arkansas.gov/NPILookup?Npi=1831548395","1831548395")</f>
        <v>1831548395</v>
      </c>
      <c r="E10362" s="1" t="s">
        <v>19959</v>
      </c>
      <c r="F10362" s="2"/>
      <c r="G10362" s="2"/>
      <c r="H10362" s="2"/>
    </row>
    <row r="10363" spans="1:8" x14ac:dyDescent="0.25">
      <c r="A10363" s="1"/>
      <c r="B10363" s="1" t="s">
        <v>5161</v>
      </c>
      <c r="C10363" s="1" t="s">
        <v>5162</v>
      </c>
      <c r="D10363" s="22" t="str">
        <f>HYPERLINK("https://rhld.insurance.arkansas.gov/NPILookup?Npi=1831590330","1831590330")</f>
        <v>1831590330</v>
      </c>
      <c r="E10363" s="1" t="s">
        <v>5463</v>
      </c>
      <c r="F10363" s="2"/>
      <c r="G10363" s="2"/>
      <c r="H10363" s="2"/>
    </row>
    <row r="10364" spans="1:8" x14ac:dyDescent="0.25">
      <c r="A10364" s="1"/>
      <c r="B10364" s="1" t="s">
        <v>5161</v>
      </c>
      <c r="C10364" s="1" t="s">
        <v>5162</v>
      </c>
      <c r="D10364" s="22" t="str">
        <f>HYPERLINK("https://rhld.insurance.arkansas.gov/NPILookup?Npi=1841009677","1841009677")</f>
        <v>1841009677</v>
      </c>
      <c r="E10364" s="1" t="s">
        <v>31726</v>
      </c>
      <c r="F10364" s="2"/>
      <c r="G10364" s="2"/>
      <c r="H10364" s="2"/>
    </row>
    <row r="10365" spans="1:8" x14ac:dyDescent="0.25">
      <c r="A10365" s="1"/>
      <c r="B10365" s="1" t="s">
        <v>5161</v>
      </c>
      <c r="C10365" s="1" t="s">
        <v>5162</v>
      </c>
      <c r="D10365" s="22" t="str">
        <f>HYPERLINK("https://rhld.insurance.arkansas.gov/NPILookup?Npi=1841024775","1841024775")</f>
        <v>1841024775</v>
      </c>
      <c r="E10365" s="1" t="s">
        <v>19960</v>
      </c>
      <c r="F10365" s="2"/>
      <c r="G10365" s="2"/>
      <c r="H10365" s="2"/>
    </row>
    <row r="10366" spans="1:8" x14ac:dyDescent="0.25">
      <c r="A10366" s="1"/>
      <c r="B10366" s="1" t="s">
        <v>5161</v>
      </c>
      <c r="C10366" s="1" t="s">
        <v>5162</v>
      </c>
      <c r="D10366" s="22" t="str">
        <f>HYPERLINK("https://rhld.insurance.arkansas.gov/NPILookup?Npi=1841096435","1841096435")</f>
        <v>1841096435</v>
      </c>
      <c r="E10366" s="1" t="s">
        <v>31727</v>
      </c>
      <c r="F10366" s="2"/>
      <c r="G10366" s="2"/>
      <c r="H10366" s="2"/>
    </row>
    <row r="10367" spans="1:8" x14ac:dyDescent="0.25">
      <c r="A10367" s="1"/>
      <c r="B10367" s="1" t="s">
        <v>5161</v>
      </c>
      <c r="C10367" s="1" t="s">
        <v>5162</v>
      </c>
      <c r="D10367" s="22" t="str">
        <f>HYPERLINK("https://rhld.insurance.arkansas.gov/NPILookup?Npi=1841318821","1841318821")</f>
        <v>1841318821</v>
      </c>
      <c r="E10367" s="1" t="s">
        <v>5464</v>
      </c>
      <c r="F10367" s="2"/>
      <c r="G10367" s="2"/>
      <c r="H10367" s="2"/>
    </row>
    <row r="10368" spans="1:8" x14ac:dyDescent="0.25">
      <c r="A10368" s="1"/>
      <c r="B10368" s="1" t="s">
        <v>5161</v>
      </c>
      <c r="C10368" s="1" t="s">
        <v>5162</v>
      </c>
      <c r="D10368" s="22" t="str">
        <f>HYPERLINK("https://rhld.insurance.arkansas.gov/NPILookup?Npi=1841323029","1841323029")</f>
        <v>1841323029</v>
      </c>
      <c r="E10368" s="1" t="s">
        <v>19961</v>
      </c>
      <c r="F10368" s="2"/>
      <c r="G10368" s="2"/>
      <c r="H10368" s="2"/>
    </row>
    <row r="10369" spans="1:8" x14ac:dyDescent="0.25">
      <c r="A10369" s="1"/>
      <c r="B10369" s="1" t="s">
        <v>5161</v>
      </c>
      <c r="C10369" s="1" t="s">
        <v>5162</v>
      </c>
      <c r="D10369" s="22" t="str">
        <f>HYPERLINK("https://rhld.insurance.arkansas.gov/NPILookup?Npi=1841404027","1841404027")</f>
        <v>1841404027</v>
      </c>
      <c r="E10369" s="1" t="s">
        <v>19962</v>
      </c>
      <c r="F10369" s="2"/>
      <c r="G10369" s="2"/>
      <c r="H10369" s="2"/>
    </row>
    <row r="10370" spans="1:8" x14ac:dyDescent="0.25">
      <c r="A10370" s="1"/>
      <c r="B10370" s="1" t="s">
        <v>5161</v>
      </c>
      <c r="C10370" s="1" t="s">
        <v>5162</v>
      </c>
      <c r="D10370" s="22" t="str">
        <f>HYPERLINK("https://rhld.insurance.arkansas.gov/NPILookup?Npi=1841428737","1841428737")</f>
        <v>1841428737</v>
      </c>
      <c r="E10370" s="1" t="s">
        <v>5465</v>
      </c>
      <c r="F10370" s="2"/>
      <c r="G10370" s="2"/>
      <c r="H10370" s="2"/>
    </row>
    <row r="10371" spans="1:8" x14ac:dyDescent="0.25">
      <c r="A10371" s="1"/>
      <c r="B10371" s="1" t="s">
        <v>5161</v>
      </c>
      <c r="C10371" s="1" t="s">
        <v>5162</v>
      </c>
      <c r="D10371" s="22" t="str">
        <f>HYPERLINK("https://rhld.insurance.arkansas.gov/NPILookup?Npi=1841448099","1841448099")</f>
        <v>1841448099</v>
      </c>
      <c r="E10371" s="1" t="s">
        <v>5925</v>
      </c>
      <c r="F10371" s="2"/>
      <c r="G10371" s="2"/>
      <c r="H10371" s="2"/>
    </row>
    <row r="10372" spans="1:8" x14ac:dyDescent="0.25">
      <c r="A10372" s="1"/>
      <c r="B10372" s="1" t="s">
        <v>5161</v>
      </c>
      <c r="C10372" s="1" t="s">
        <v>5162</v>
      </c>
      <c r="D10372" s="22" t="str">
        <f>HYPERLINK("https://rhld.insurance.arkansas.gov/NPILookup?Npi=1841524576","1841524576")</f>
        <v>1841524576</v>
      </c>
      <c r="E10372" s="1" t="s">
        <v>19963</v>
      </c>
      <c r="F10372" s="2"/>
      <c r="G10372" s="2"/>
      <c r="H10372" s="2"/>
    </row>
    <row r="10373" spans="1:8" x14ac:dyDescent="0.25">
      <c r="A10373" s="1"/>
      <c r="B10373" s="1" t="s">
        <v>5161</v>
      </c>
      <c r="C10373" s="1" t="s">
        <v>5162</v>
      </c>
      <c r="D10373" s="22" t="str">
        <f>HYPERLINK("https://rhld.insurance.arkansas.gov/NPILookup?Npi=1841549862","1841549862")</f>
        <v>1841549862</v>
      </c>
      <c r="E10373" s="1" t="s">
        <v>5466</v>
      </c>
      <c r="F10373" s="2"/>
      <c r="G10373" s="2"/>
      <c r="H10373" s="2"/>
    </row>
    <row r="10374" spans="1:8" x14ac:dyDescent="0.25">
      <c r="A10374" s="1"/>
      <c r="B10374" s="1" t="s">
        <v>5161</v>
      </c>
      <c r="C10374" s="1" t="s">
        <v>5162</v>
      </c>
      <c r="D10374" s="22" t="str">
        <f>HYPERLINK("https://rhld.insurance.arkansas.gov/NPILookup?Npi=1841579802","1841579802")</f>
        <v>1841579802</v>
      </c>
      <c r="E10374" s="1" t="s">
        <v>19964</v>
      </c>
      <c r="F10374" s="2"/>
      <c r="G10374" s="2"/>
      <c r="H10374" s="2"/>
    </row>
    <row r="10375" spans="1:8" x14ac:dyDescent="0.25">
      <c r="A10375" s="1"/>
      <c r="B10375" s="1" t="s">
        <v>5161</v>
      </c>
      <c r="C10375" s="1" t="s">
        <v>5162</v>
      </c>
      <c r="D10375" s="22" t="str">
        <f>HYPERLINK("https://rhld.insurance.arkansas.gov/NPILookup?Npi=1841633146","1841633146")</f>
        <v>1841633146</v>
      </c>
      <c r="E10375" s="1" t="s">
        <v>19965</v>
      </c>
      <c r="F10375" s="2"/>
      <c r="G10375" s="2"/>
      <c r="H10375" s="2"/>
    </row>
    <row r="10376" spans="1:8" x14ac:dyDescent="0.25">
      <c r="A10376" s="1"/>
      <c r="B10376" s="1" t="s">
        <v>5161</v>
      </c>
      <c r="C10376" s="1" t="s">
        <v>5162</v>
      </c>
      <c r="D10376" s="22" t="str">
        <f>HYPERLINK("https://rhld.insurance.arkansas.gov/NPILookup?Npi=1841674512","1841674512")</f>
        <v>1841674512</v>
      </c>
      <c r="E10376" s="1" t="s">
        <v>19966</v>
      </c>
      <c r="F10376" s="2"/>
      <c r="G10376" s="2"/>
      <c r="H10376" s="2"/>
    </row>
    <row r="10377" spans="1:8" x14ac:dyDescent="0.25">
      <c r="A10377" s="1"/>
      <c r="B10377" s="1" t="s">
        <v>5161</v>
      </c>
      <c r="C10377" s="1" t="s">
        <v>5162</v>
      </c>
      <c r="D10377" s="22" t="str">
        <f>HYPERLINK("https://rhld.insurance.arkansas.gov/NPILookup?Npi=1841760436","1841760436")</f>
        <v>1841760436</v>
      </c>
      <c r="E10377" s="1" t="s">
        <v>19967</v>
      </c>
      <c r="F10377" s="2"/>
      <c r="G10377" s="2"/>
      <c r="H10377" s="2"/>
    </row>
    <row r="10378" spans="1:8" x14ac:dyDescent="0.25">
      <c r="A10378" s="1"/>
      <c r="B10378" s="1" t="s">
        <v>5161</v>
      </c>
      <c r="C10378" s="1" t="s">
        <v>5162</v>
      </c>
      <c r="D10378" s="22" t="str">
        <f>HYPERLINK("https://rhld.insurance.arkansas.gov/NPILookup?Npi=1841777877","1841777877")</f>
        <v>1841777877</v>
      </c>
      <c r="E10378" s="1" t="s">
        <v>5467</v>
      </c>
      <c r="F10378" s="2"/>
      <c r="G10378" s="2"/>
      <c r="H10378" s="2"/>
    </row>
    <row r="10379" spans="1:8" x14ac:dyDescent="0.25">
      <c r="A10379" s="1"/>
      <c r="B10379" s="1" t="s">
        <v>5161</v>
      </c>
      <c r="C10379" s="1" t="s">
        <v>5162</v>
      </c>
      <c r="D10379" s="22" t="str">
        <f>HYPERLINK("https://rhld.insurance.arkansas.gov/NPILookup?Npi=1841786530","1841786530")</f>
        <v>1841786530</v>
      </c>
      <c r="E10379" s="1" t="s">
        <v>19968</v>
      </c>
      <c r="F10379" s="2"/>
      <c r="G10379" s="2"/>
      <c r="H10379" s="2"/>
    </row>
    <row r="10380" spans="1:8" x14ac:dyDescent="0.25">
      <c r="A10380" s="1"/>
      <c r="B10380" s="1" t="s">
        <v>5161</v>
      </c>
      <c r="C10380" s="1" t="s">
        <v>5162</v>
      </c>
      <c r="D10380" s="22" t="str">
        <f>HYPERLINK("https://rhld.insurance.arkansas.gov/NPILookup?Npi=1841831245","1841831245")</f>
        <v>1841831245</v>
      </c>
      <c r="E10380" s="1" t="s">
        <v>11099</v>
      </c>
      <c r="F10380" s="2"/>
      <c r="G10380" s="2"/>
      <c r="H10380" s="2"/>
    </row>
    <row r="10381" spans="1:8" x14ac:dyDescent="0.25">
      <c r="A10381" s="1"/>
      <c r="B10381" s="1" t="s">
        <v>5161</v>
      </c>
      <c r="C10381" s="1" t="s">
        <v>5162</v>
      </c>
      <c r="D10381" s="22" t="str">
        <f>HYPERLINK("https://rhld.insurance.arkansas.gov/NPILookup?Npi=1841839859","1841839859")</f>
        <v>1841839859</v>
      </c>
      <c r="E10381" s="1" t="s">
        <v>11100</v>
      </c>
      <c r="F10381" s="2"/>
      <c r="G10381" s="2"/>
      <c r="H10381" s="2"/>
    </row>
    <row r="10382" spans="1:8" x14ac:dyDescent="0.25">
      <c r="A10382" s="1"/>
      <c r="B10382" s="1" t="s">
        <v>5161</v>
      </c>
      <c r="C10382" s="1" t="s">
        <v>5162</v>
      </c>
      <c r="D10382" s="22" t="str">
        <f>HYPERLINK("https://rhld.insurance.arkansas.gov/NPILookup?Npi=1841967882","1841967882")</f>
        <v>1841967882</v>
      </c>
      <c r="E10382" s="1" t="s">
        <v>5468</v>
      </c>
      <c r="F10382" s="2"/>
      <c r="G10382" s="2"/>
      <c r="H10382" s="2"/>
    </row>
    <row r="10383" spans="1:8" x14ac:dyDescent="0.25">
      <c r="A10383" s="1"/>
      <c r="B10383" s="1" t="s">
        <v>5161</v>
      </c>
      <c r="C10383" s="1" t="s">
        <v>5162</v>
      </c>
      <c r="D10383" s="22" t="str">
        <f>HYPERLINK("https://rhld.insurance.arkansas.gov/NPILookup?Npi=1851006738","1851006738")</f>
        <v>1851006738</v>
      </c>
      <c r="E10383" s="1" t="s">
        <v>5469</v>
      </c>
      <c r="F10383" s="2"/>
      <c r="G10383" s="2"/>
      <c r="H10383" s="2"/>
    </row>
    <row r="10384" spans="1:8" x14ac:dyDescent="0.25">
      <c r="A10384" s="1"/>
      <c r="B10384" s="1" t="s">
        <v>5161</v>
      </c>
      <c r="C10384" s="1" t="s">
        <v>5162</v>
      </c>
      <c r="D10384" s="22" t="str">
        <f>HYPERLINK("https://rhld.insurance.arkansas.gov/NPILookup?Npi=1851063143","1851063143")</f>
        <v>1851063143</v>
      </c>
      <c r="E10384" s="1" t="s">
        <v>19969</v>
      </c>
      <c r="F10384" s="2"/>
      <c r="G10384" s="2"/>
      <c r="H10384" s="2"/>
    </row>
    <row r="10385" spans="1:8" x14ac:dyDescent="0.25">
      <c r="A10385" s="1"/>
      <c r="B10385" s="1" t="s">
        <v>5161</v>
      </c>
      <c r="C10385" s="1" t="s">
        <v>5162</v>
      </c>
      <c r="D10385" s="22" t="str">
        <f>HYPERLINK("https://rhld.insurance.arkansas.gov/NPILookup?Npi=1851093678","1851093678")</f>
        <v>1851093678</v>
      </c>
      <c r="E10385" s="1" t="s">
        <v>11101</v>
      </c>
      <c r="F10385" s="2"/>
      <c r="G10385" s="2"/>
      <c r="H10385" s="2"/>
    </row>
    <row r="10386" spans="1:8" x14ac:dyDescent="0.25">
      <c r="A10386" s="1"/>
      <c r="B10386" s="1" t="s">
        <v>5161</v>
      </c>
      <c r="C10386" s="1" t="s">
        <v>5162</v>
      </c>
      <c r="D10386" s="22" t="str">
        <f>HYPERLINK("https://rhld.insurance.arkansas.gov/NPILookup?Npi=1851110597","1851110597")</f>
        <v>1851110597</v>
      </c>
      <c r="E10386" s="1" t="s">
        <v>31728</v>
      </c>
      <c r="F10386" s="2"/>
      <c r="G10386" s="2"/>
      <c r="H10386" s="2"/>
    </row>
    <row r="10387" spans="1:8" x14ac:dyDescent="0.25">
      <c r="A10387" s="1"/>
      <c r="B10387" s="1" t="s">
        <v>5161</v>
      </c>
      <c r="C10387" s="1" t="s">
        <v>5162</v>
      </c>
      <c r="D10387" s="22" t="str">
        <f>HYPERLINK("https://rhld.insurance.arkansas.gov/NPILookup?Npi=1851157267","1851157267")</f>
        <v>1851157267</v>
      </c>
      <c r="E10387" s="1" t="s">
        <v>5470</v>
      </c>
      <c r="F10387" s="2"/>
      <c r="G10387" s="2"/>
      <c r="H10387" s="2"/>
    </row>
    <row r="10388" spans="1:8" x14ac:dyDescent="0.25">
      <c r="A10388" s="1"/>
      <c r="B10388" s="1" t="s">
        <v>5161</v>
      </c>
      <c r="C10388" s="1" t="s">
        <v>5162</v>
      </c>
      <c r="D10388" s="22" t="str">
        <f>HYPERLINK("https://rhld.insurance.arkansas.gov/NPILookup?Npi=1851348171","1851348171")</f>
        <v>1851348171</v>
      </c>
      <c r="E10388" s="1" t="s">
        <v>5471</v>
      </c>
      <c r="F10388" s="2"/>
      <c r="G10388" s="2"/>
      <c r="H10388" s="2"/>
    </row>
    <row r="10389" spans="1:8" x14ac:dyDescent="0.25">
      <c r="A10389" s="1"/>
      <c r="B10389" s="1" t="s">
        <v>5161</v>
      </c>
      <c r="C10389" s="1" t="s">
        <v>5162</v>
      </c>
      <c r="D10389" s="22" t="str">
        <f>HYPERLINK("https://rhld.insurance.arkansas.gov/NPILookup?Npi=1851501217","1851501217")</f>
        <v>1851501217</v>
      </c>
      <c r="E10389" s="1" t="s">
        <v>19970</v>
      </c>
      <c r="F10389" s="2"/>
      <c r="G10389" s="2"/>
      <c r="H10389" s="2"/>
    </row>
    <row r="10390" spans="1:8" x14ac:dyDescent="0.25">
      <c r="A10390" s="1"/>
      <c r="B10390" s="1" t="s">
        <v>5161</v>
      </c>
      <c r="C10390" s="1" t="s">
        <v>5162</v>
      </c>
      <c r="D10390" s="22" t="str">
        <f>HYPERLINK("https://rhld.insurance.arkansas.gov/NPILookup?Npi=1851653935","1851653935")</f>
        <v>1851653935</v>
      </c>
      <c r="E10390" s="1" t="s">
        <v>19971</v>
      </c>
      <c r="F10390" s="2"/>
      <c r="G10390" s="2"/>
      <c r="H10390" s="2"/>
    </row>
    <row r="10391" spans="1:8" x14ac:dyDescent="0.25">
      <c r="A10391" s="1"/>
      <c r="B10391" s="1" t="s">
        <v>5161</v>
      </c>
      <c r="C10391" s="1" t="s">
        <v>5162</v>
      </c>
      <c r="D10391" s="22" t="str">
        <f>HYPERLINK("https://rhld.insurance.arkansas.gov/NPILookup?Npi=1851768303","1851768303")</f>
        <v>1851768303</v>
      </c>
      <c r="E10391" s="1" t="s">
        <v>5472</v>
      </c>
      <c r="F10391" s="2"/>
      <c r="G10391" s="2"/>
      <c r="H10391" s="2"/>
    </row>
    <row r="10392" spans="1:8" x14ac:dyDescent="0.25">
      <c r="A10392" s="1"/>
      <c r="B10392" s="1" t="s">
        <v>5161</v>
      </c>
      <c r="C10392" s="1" t="s">
        <v>5162</v>
      </c>
      <c r="D10392" s="22" t="str">
        <f>HYPERLINK("https://rhld.insurance.arkansas.gov/NPILookup?Npi=1851858377","1851858377")</f>
        <v>1851858377</v>
      </c>
      <c r="E10392" s="1" t="s">
        <v>19972</v>
      </c>
      <c r="F10392" s="2"/>
      <c r="G10392" s="2"/>
      <c r="H10392" s="2"/>
    </row>
    <row r="10393" spans="1:8" x14ac:dyDescent="0.25">
      <c r="A10393" s="1"/>
      <c r="B10393" s="1" t="s">
        <v>5161</v>
      </c>
      <c r="C10393" s="1" t="s">
        <v>5162</v>
      </c>
      <c r="D10393" s="22" t="str">
        <f>HYPERLINK("https://rhld.insurance.arkansas.gov/NPILookup?Npi=1851989230","1851989230")</f>
        <v>1851989230</v>
      </c>
      <c r="E10393" s="1" t="s">
        <v>19973</v>
      </c>
      <c r="F10393" s="2"/>
      <c r="G10393" s="2"/>
      <c r="H10393" s="2"/>
    </row>
    <row r="10394" spans="1:8" x14ac:dyDescent="0.25">
      <c r="A10394" s="1"/>
      <c r="B10394" s="1" t="s">
        <v>5161</v>
      </c>
      <c r="C10394" s="1" t="s">
        <v>5162</v>
      </c>
      <c r="D10394" s="22" t="str">
        <f>HYPERLINK("https://rhld.insurance.arkansas.gov/NPILookup?Npi=1851990253","1851990253")</f>
        <v>1851990253</v>
      </c>
      <c r="E10394" s="1" t="s">
        <v>19974</v>
      </c>
      <c r="F10394" s="2"/>
      <c r="G10394" s="2"/>
      <c r="H10394" s="2"/>
    </row>
    <row r="10395" spans="1:8" x14ac:dyDescent="0.25">
      <c r="A10395" s="1"/>
      <c r="B10395" s="1" t="s">
        <v>5161</v>
      </c>
      <c r="C10395" s="1" t="s">
        <v>5162</v>
      </c>
      <c r="D10395" s="22" t="str">
        <f>HYPERLINK("https://rhld.insurance.arkansas.gov/NPILookup?Npi=1861092603","1861092603")</f>
        <v>1861092603</v>
      </c>
      <c r="E10395" s="1" t="s">
        <v>19975</v>
      </c>
      <c r="F10395" s="2"/>
      <c r="G10395" s="2"/>
      <c r="H10395" s="2"/>
    </row>
    <row r="10396" spans="1:8" x14ac:dyDescent="0.25">
      <c r="A10396" s="1"/>
      <c r="B10396" s="1" t="s">
        <v>5161</v>
      </c>
      <c r="C10396" s="1" t="s">
        <v>5162</v>
      </c>
      <c r="D10396" s="22" t="str">
        <f>HYPERLINK("https://rhld.insurance.arkansas.gov/NPILookup?Npi=1861107450","1861107450")</f>
        <v>1861107450</v>
      </c>
      <c r="E10396" s="1" t="s">
        <v>19976</v>
      </c>
      <c r="F10396" s="2"/>
      <c r="G10396" s="2"/>
      <c r="H10396" s="2"/>
    </row>
    <row r="10397" spans="1:8" x14ac:dyDescent="0.25">
      <c r="A10397" s="1"/>
      <c r="B10397" s="1" t="s">
        <v>5161</v>
      </c>
      <c r="C10397" s="1" t="s">
        <v>5162</v>
      </c>
      <c r="D10397" s="22" t="str">
        <f>HYPERLINK("https://rhld.insurance.arkansas.gov/NPILookup?Npi=1861117178","1861117178")</f>
        <v>1861117178</v>
      </c>
      <c r="E10397" s="1" t="s">
        <v>19977</v>
      </c>
      <c r="F10397" s="2"/>
      <c r="G10397" s="2"/>
      <c r="H10397" s="2"/>
    </row>
    <row r="10398" spans="1:8" x14ac:dyDescent="0.25">
      <c r="A10398" s="1"/>
      <c r="B10398" s="1" t="s">
        <v>5161</v>
      </c>
      <c r="C10398" s="1" t="s">
        <v>5162</v>
      </c>
      <c r="D10398" s="22" t="str">
        <f>HYPERLINK("https://rhld.insurance.arkansas.gov/NPILookup?Npi=1861155814","1861155814")</f>
        <v>1861155814</v>
      </c>
      <c r="E10398" s="1" t="s">
        <v>11102</v>
      </c>
      <c r="F10398" s="2"/>
      <c r="G10398" s="2"/>
      <c r="H10398" s="2"/>
    </row>
    <row r="10399" spans="1:8" x14ac:dyDescent="0.25">
      <c r="A10399" s="1"/>
      <c r="B10399" s="1" t="s">
        <v>5161</v>
      </c>
      <c r="C10399" s="1" t="s">
        <v>5162</v>
      </c>
      <c r="D10399" s="22" t="str">
        <f>HYPERLINK("https://rhld.insurance.arkansas.gov/NPILookup?Npi=1861164535","1861164535")</f>
        <v>1861164535</v>
      </c>
      <c r="E10399" s="1" t="s">
        <v>5473</v>
      </c>
      <c r="F10399" s="2"/>
      <c r="G10399" s="2"/>
      <c r="H10399" s="2"/>
    </row>
    <row r="10400" spans="1:8" x14ac:dyDescent="0.25">
      <c r="A10400" s="1"/>
      <c r="B10400" s="1" t="s">
        <v>5161</v>
      </c>
      <c r="C10400" s="1" t="s">
        <v>5162</v>
      </c>
      <c r="D10400" s="22" t="str">
        <f>HYPERLINK("https://rhld.insurance.arkansas.gov/NPILookup?Npi=1861166860","1861166860")</f>
        <v>1861166860</v>
      </c>
      <c r="E10400" s="1" t="s">
        <v>19978</v>
      </c>
      <c r="F10400" s="2"/>
      <c r="G10400" s="2"/>
      <c r="H10400" s="2"/>
    </row>
    <row r="10401" spans="1:8" x14ac:dyDescent="0.25">
      <c r="A10401" s="1"/>
      <c r="B10401" s="1" t="s">
        <v>5161</v>
      </c>
      <c r="C10401" s="1" t="s">
        <v>5162</v>
      </c>
      <c r="D10401" s="22" t="str">
        <f>HYPERLINK("https://rhld.insurance.arkansas.gov/NPILookup?Npi=1861452112","1861452112")</f>
        <v>1861452112</v>
      </c>
      <c r="E10401" s="1" t="s">
        <v>5474</v>
      </c>
      <c r="F10401" s="2"/>
      <c r="G10401" s="2"/>
      <c r="H10401" s="2"/>
    </row>
    <row r="10402" spans="1:8" x14ac:dyDescent="0.25">
      <c r="A10402" s="1"/>
      <c r="B10402" s="1" t="s">
        <v>5161</v>
      </c>
      <c r="C10402" s="1" t="s">
        <v>5162</v>
      </c>
      <c r="D10402" s="22" t="str">
        <f>HYPERLINK("https://rhld.insurance.arkansas.gov/NPILookup?Npi=1861528358","1861528358")</f>
        <v>1861528358</v>
      </c>
      <c r="E10402" s="1" t="s">
        <v>11103</v>
      </c>
      <c r="F10402" s="2"/>
      <c r="G10402" s="2"/>
      <c r="H10402" s="2"/>
    </row>
    <row r="10403" spans="1:8" x14ac:dyDescent="0.25">
      <c r="A10403" s="1"/>
      <c r="B10403" s="1" t="s">
        <v>5161</v>
      </c>
      <c r="C10403" s="1" t="s">
        <v>5162</v>
      </c>
      <c r="D10403" s="22" t="str">
        <f>HYPERLINK("https://rhld.insurance.arkansas.gov/NPILookup?Npi=1861570848","1861570848")</f>
        <v>1861570848</v>
      </c>
      <c r="E10403" s="1" t="s">
        <v>19979</v>
      </c>
      <c r="F10403" s="2"/>
      <c r="G10403" s="2"/>
      <c r="H10403" s="2"/>
    </row>
    <row r="10404" spans="1:8" x14ac:dyDescent="0.25">
      <c r="A10404" s="1"/>
      <c r="B10404" s="1" t="s">
        <v>5161</v>
      </c>
      <c r="C10404" s="1" t="s">
        <v>5162</v>
      </c>
      <c r="D10404" s="22" t="str">
        <f>HYPERLINK("https://rhld.insurance.arkansas.gov/NPILookup?Npi=1861689267","1861689267")</f>
        <v>1861689267</v>
      </c>
      <c r="E10404" s="1" t="s">
        <v>19980</v>
      </c>
      <c r="F10404" s="2"/>
      <c r="G10404" s="2"/>
      <c r="H10404" s="2"/>
    </row>
    <row r="10405" spans="1:8" x14ac:dyDescent="0.25">
      <c r="A10405" s="1"/>
      <c r="B10405" s="1" t="s">
        <v>5161</v>
      </c>
      <c r="C10405" s="1" t="s">
        <v>5162</v>
      </c>
      <c r="D10405" s="22" t="str">
        <f>HYPERLINK("https://rhld.insurance.arkansas.gov/NPILookup?Npi=1861691560","1861691560")</f>
        <v>1861691560</v>
      </c>
      <c r="E10405" s="1" t="s">
        <v>11104</v>
      </c>
      <c r="F10405" s="2"/>
      <c r="G10405" s="2"/>
      <c r="H10405" s="2"/>
    </row>
    <row r="10406" spans="1:8" x14ac:dyDescent="0.25">
      <c r="A10406" s="1"/>
      <c r="B10406" s="1" t="s">
        <v>5161</v>
      </c>
      <c r="C10406" s="1" t="s">
        <v>5162</v>
      </c>
      <c r="D10406" s="22" t="str">
        <f>HYPERLINK("https://rhld.insurance.arkansas.gov/NPILookup?Npi=1861748808","1861748808")</f>
        <v>1861748808</v>
      </c>
      <c r="E10406" s="1" t="s">
        <v>5475</v>
      </c>
      <c r="F10406" s="2"/>
      <c r="G10406" s="2"/>
      <c r="H10406" s="2"/>
    </row>
    <row r="10407" spans="1:8" x14ac:dyDescent="0.25">
      <c r="A10407" s="1"/>
      <c r="B10407" s="1" t="s">
        <v>5161</v>
      </c>
      <c r="C10407" s="1" t="s">
        <v>5162</v>
      </c>
      <c r="D10407" s="22" t="str">
        <f>HYPERLINK("https://rhld.insurance.arkansas.gov/NPILookup?Npi=1861774093","1861774093")</f>
        <v>1861774093</v>
      </c>
      <c r="E10407" s="1" t="s">
        <v>19981</v>
      </c>
      <c r="F10407" s="2"/>
      <c r="G10407" s="2"/>
      <c r="H10407" s="2"/>
    </row>
    <row r="10408" spans="1:8" x14ac:dyDescent="0.25">
      <c r="A10408" s="1"/>
      <c r="B10408" s="1" t="s">
        <v>5161</v>
      </c>
      <c r="C10408" s="1" t="s">
        <v>5162</v>
      </c>
      <c r="D10408" s="22" t="str">
        <f>HYPERLINK("https://rhld.insurance.arkansas.gov/NPILookup?Npi=1861844052","1861844052")</f>
        <v>1861844052</v>
      </c>
      <c r="E10408" s="1" t="s">
        <v>19982</v>
      </c>
      <c r="F10408" s="2"/>
      <c r="G10408" s="2"/>
      <c r="H10408" s="2"/>
    </row>
    <row r="10409" spans="1:8" x14ac:dyDescent="0.25">
      <c r="A10409" s="1"/>
      <c r="B10409" s="1" t="s">
        <v>5161</v>
      </c>
      <c r="C10409" s="1" t="s">
        <v>5162</v>
      </c>
      <c r="D10409" s="22" t="str">
        <f>HYPERLINK("https://rhld.insurance.arkansas.gov/NPILookup?Npi=1861860686","1861860686")</f>
        <v>1861860686</v>
      </c>
      <c r="E10409" s="1" t="s">
        <v>5476</v>
      </c>
      <c r="F10409" s="2"/>
      <c r="G10409" s="2"/>
      <c r="H10409" s="2"/>
    </row>
    <row r="10410" spans="1:8" x14ac:dyDescent="0.25">
      <c r="A10410" s="1"/>
      <c r="B10410" s="1" t="s">
        <v>5161</v>
      </c>
      <c r="C10410" s="1" t="s">
        <v>5162</v>
      </c>
      <c r="D10410" s="22" t="str">
        <f>HYPERLINK("https://rhld.insurance.arkansas.gov/NPILookup?Npi=1861870826","1861870826")</f>
        <v>1861870826</v>
      </c>
      <c r="E10410" s="1" t="s">
        <v>19983</v>
      </c>
      <c r="F10410" s="2"/>
      <c r="G10410" s="2"/>
      <c r="H10410" s="2"/>
    </row>
    <row r="10411" spans="1:8" x14ac:dyDescent="0.25">
      <c r="A10411" s="1"/>
      <c r="B10411" s="1" t="s">
        <v>5161</v>
      </c>
      <c r="C10411" s="1" t="s">
        <v>5162</v>
      </c>
      <c r="D10411" s="22" t="str">
        <f>HYPERLINK("https://rhld.insurance.arkansas.gov/NPILookup?Npi=1861878563","1861878563")</f>
        <v>1861878563</v>
      </c>
      <c r="E10411" s="1" t="s">
        <v>11105</v>
      </c>
      <c r="F10411" s="2"/>
      <c r="G10411" s="2"/>
      <c r="H10411" s="2"/>
    </row>
    <row r="10412" spans="1:8" x14ac:dyDescent="0.25">
      <c r="A10412" s="1"/>
      <c r="B10412" s="1" t="s">
        <v>5161</v>
      </c>
      <c r="C10412" s="1" t="s">
        <v>5162</v>
      </c>
      <c r="D10412" s="22" t="str">
        <f>HYPERLINK("https://rhld.insurance.arkansas.gov/NPILookup?Npi=1861893364","1861893364")</f>
        <v>1861893364</v>
      </c>
      <c r="E10412" s="1" t="s">
        <v>5477</v>
      </c>
      <c r="F10412" s="2"/>
      <c r="G10412" s="2"/>
      <c r="H10412" s="2"/>
    </row>
    <row r="10413" spans="1:8" x14ac:dyDescent="0.25">
      <c r="A10413" s="1"/>
      <c r="B10413" s="1" t="s">
        <v>5161</v>
      </c>
      <c r="C10413" s="1" t="s">
        <v>5162</v>
      </c>
      <c r="D10413" s="22" t="str">
        <f>HYPERLINK("https://rhld.insurance.arkansas.gov/NPILookup?Npi=1861919664","1861919664")</f>
        <v>1861919664</v>
      </c>
      <c r="E10413" s="1" t="s">
        <v>31729</v>
      </c>
      <c r="F10413" s="2"/>
      <c r="G10413" s="2"/>
      <c r="H10413" s="2"/>
    </row>
    <row r="10414" spans="1:8" x14ac:dyDescent="0.25">
      <c r="A10414" s="1"/>
      <c r="B10414" s="1" t="s">
        <v>5161</v>
      </c>
      <c r="C10414" s="1" t="s">
        <v>5162</v>
      </c>
      <c r="D10414" s="22" t="str">
        <f>HYPERLINK("https://rhld.insurance.arkansas.gov/NPILookup?Npi=1861938649","1861938649")</f>
        <v>1861938649</v>
      </c>
      <c r="E10414" s="1" t="s">
        <v>5478</v>
      </c>
      <c r="F10414" s="2"/>
      <c r="G10414" s="2"/>
      <c r="H10414" s="2"/>
    </row>
    <row r="10415" spans="1:8" x14ac:dyDescent="0.25">
      <c r="A10415" s="1"/>
      <c r="B10415" s="1" t="s">
        <v>5161</v>
      </c>
      <c r="C10415" s="1" t="s">
        <v>5162</v>
      </c>
      <c r="D10415" s="22" t="str">
        <f>HYPERLINK("https://rhld.insurance.arkansas.gov/NPILookup?Npi=1861960312","1861960312")</f>
        <v>1861960312</v>
      </c>
      <c r="E10415" s="1" t="s">
        <v>11106</v>
      </c>
      <c r="F10415" s="2"/>
      <c r="G10415" s="2"/>
      <c r="H10415" s="2"/>
    </row>
    <row r="10416" spans="1:8" x14ac:dyDescent="0.25">
      <c r="A10416" s="1"/>
      <c r="B10416" s="1" t="s">
        <v>5161</v>
      </c>
      <c r="C10416" s="1" t="s">
        <v>5162</v>
      </c>
      <c r="D10416" s="22" t="str">
        <f>HYPERLINK("https://rhld.insurance.arkansas.gov/NPILookup?Npi=1861969545","1861969545")</f>
        <v>1861969545</v>
      </c>
      <c r="E10416" s="1" t="s">
        <v>19984</v>
      </c>
      <c r="F10416" s="2"/>
      <c r="G10416" s="2"/>
      <c r="H10416" s="2"/>
    </row>
    <row r="10417" spans="1:8" x14ac:dyDescent="0.25">
      <c r="A10417" s="1"/>
      <c r="B10417" s="1" t="s">
        <v>5161</v>
      </c>
      <c r="C10417" s="1" t="s">
        <v>5162</v>
      </c>
      <c r="D10417" s="22" t="str">
        <f>HYPERLINK("https://rhld.insurance.arkansas.gov/NPILookup?Npi=1861975286","1861975286")</f>
        <v>1861975286</v>
      </c>
      <c r="E10417" s="1" t="s">
        <v>5479</v>
      </c>
      <c r="F10417" s="2"/>
      <c r="G10417" s="2"/>
      <c r="H10417" s="2"/>
    </row>
    <row r="10418" spans="1:8" x14ac:dyDescent="0.25">
      <c r="A10418" s="1"/>
      <c r="B10418" s="1" t="s">
        <v>5161</v>
      </c>
      <c r="C10418" s="1" t="s">
        <v>5162</v>
      </c>
      <c r="D10418" s="22" t="str">
        <f>HYPERLINK("https://rhld.insurance.arkansas.gov/NPILookup?Npi=1861977035","1861977035")</f>
        <v>1861977035</v>
      </c>
      <c r="E10418" s="1" t="s">
        <v>19985</v>
      </c>
      <c r="F10418" s="2"/>
      <c r="G10418" s="2"/>
      <c r="H10418" s="2"/>
    </row>
    <row r="10419" spans="1:8" x14ac:dyDescent="0.25">
      <c r="A10419" s="1"/>
      <c r="B10419" s="1" t="s">
        <v>5161</v>
      </c>
      <c r="C10419" s="1" t="s">
        <v>5162</v>
      </c>
      <c r="D10419" s="22" t="str">
        <f>HYPERLINK("https://rhld.insurance.arkansas.gov/NPILookup?Npi=1861979262","1861979262")</f>
        <v>1861979262</v>
      </c>
      <c r="E10419" s="1" t="s">
        <v>5480</v>
      </c>
      <c r="F10419" s="2"/>
      <c r="G10419" s="2"/>
      <c r="H10419" s="2"/>
    </row>
    <row r="10420" spans="1:8" x14ac:dyDescent="0.25">
      <c r="A10420" s="1"/>
      <c r="B10420" s="1" t="s">
        <v>5161</v>
      </c>
      <c r="C10420" s="1" t="s">
        <v>5162</v>
      </c>
      <c r="D10420" s="22" t="str">
        <f>HYPERLINK("https://rhld.insurance.arkansas.gov/NPILookup?Npi=1871002907","1871002907")</f>
        <v>1871002907</v>
      </c>
      <c r="E10420" s="1" t="s">
        <v>5481</v>
      </c>
      <c r="F10420" s="2"/>
      <c r="G10420" s="2"/>
      <c r="H10420" s="2"/>
    </row>
    <row r="10421" spans="1:8" x14ac:dyDescent="0.25">
      <c r="A10421" s="1"/>
      <c r="B10421" s="1" t="s">
        <v>5161</v>
      </c>
      <c r="C10421" s="1" t="s">
        <v>5162</v>
      </c>
      <c r="D10421" s="22" t="str">
        <f>HYPERLINK("https://rhld.insurance.arkansas.gov/NPILookup?Npi=1871035972","1871035972")</f>
        <v>1871035972</v>
      </c>
      <c r="E10421" s="1" t="s">
        <v>19986</v>
      </c>
      <c r="F10421" s="2"/>
      <c r="G10421" s="2"/>
      <c r="H10421" s="2"/>
    </row>
    <row r="10422" spans="1:8" x14ac:dyDescent="0.25">
      <c r="A10422" s="1"/>
      <c r="B10422" s="1" t="s">
        <v>5161</v>
      </c>
      <c r="C10422" s="1" t="s">
        <v>5162</v>
      </c>
      <c r="D10422" s="22" t="str">
        <f>HYPERLINK("https://rhld.insurance.arkansas.gov/NPILookup?Npi=1871148379","1871148379")</f>
        <v>1871148379</v>
      </c>
      <c r="E10422" s="1" t="s">
        <v>5482</v>
      </c>
      <c r="F10422" s="2"/>
      <c r="G10422" s="2"/>
      <c r="H10422" s="2"/>
    </row>
    <row r="10423" spans="1:8" x14ac:dyDescent="0.25">
      <c r="A10423" s="1"/>
      <c r="B10423" s="1" t="s">
        <v>5161</v>
      </c>
      <c r="C10423" s="1" t="s">
        <v>5162</v>
      </c>
      <c r="D10423" s="22" t="str">
        <f>HYPERLINK("https://rhld.insurance.arkansas.gov/NPILookup?Npi=1871218891","1871218891")</f>
        <v>1871218891</v>
      </c>
      <c r="E10423" s="1" t="s">
        <v>19987</v>
      </c>
      <c r="F10423" s="2"/>
      <c r="G10423" s="2"/>
      <c r="H10423" s="2"/>
    </row>
    <row r="10424" spans="1:8" x14ac:dyDescent="0.25">
      <c r="A10424" s="1"/>
      <c r="B10424" s="1" t="s">
        <v>5161</v>
      </c>
      <c r="C10424" s="1" t="s">
        <v>5162</v>
      </c>
      <c r="D10424" s="22" t="str">
        <f>HYPERLINK("https://rhld.insurance.arkansas.gov/NPILookup?Npi=1871262733","1871262733")</f>
        <v>1871262733</v>
      </c>
      <c r="E10424" s="1" t="s">
        <v>5483</v>
      </c>
      <c r="F10424" s="2"/>
      <c r="G10424" s="2"/>
      <c r="H10424" s="2"/>
    </row>
    <row r="10425" spans="1:8" x14ac:dyDescent="0.25">
      <c r="A10425" s="1"/>
      <c r="B10425" s="1" t="s">
        <v>5161</v>
      </c>
      <c r="C10425" s="1" t="s">
        <v>5162</v>
      </c>
      <c r="D10425" s="22" t="str">
        <f>HYPERLINK("https://rhld.insurance.arkansas.gov/NPILookup?Npi=1871263434","1871263434")</f>
        <v>1871263434</v>
      </c>
      <c r="E10425" s="1" t="s">
        <v>19988</v>
      </c>
      <c r="F10425" s="2"/>
      <c r="G10425" s="2"/>
      <c r="H10425" s="2"/>
    </row>
    <row r="10426" spans="1:8" x14ac:dyDescent="0.25">
      <c r="A10426" s="1"/>
      <c r="B10426" s="1" t="s">
        <v>5161</v>
      </c>
      <c r="C10426" s="1" t="s">
        <v>5162</v>
      </c>
      <c r="D10426" s="22" t="str">
        <f>HYPERLINK("https://rhld.insurance.arkansas.gov/NPILookup?Npi=1871264341","1871264341")</f>
        <v>1871264341</v>
      </c>
      <c r="E10426" s="1" t="s">
        <v>19989</v>
      </c>
      <c r="F10426" s="2"/>
      <c r="G10426" s="2"/>
      <c r="H10426" s="2"/>
    </row>
    <row r="10427" spans="1:8" x14ac:dyDescent="0.25">
      <c r="A10427" s="1"/>
      <c r="B10427" s="1" t="s">
        <v>5161</v>
      </c>
      <c r="C10427" s="1" t="s">
        <v>5162</v>
      </c>
      <c r="D10427" s="22" t="str">
        <f>HYPERLINK("https://rhld.insurance.arkansas.gov/NPILookup?Npi=1871290718","1871290718")</f>
        <v>1871290718</v>
      </c>
      <c r="E10427" s="1" t="s">
        <v>19990</v>
      </c>
      <c r="F10427" s="2"/>
      <c r="G10427" s="2"/>
      <c r="H10427" s="2"/>
    </row>
    <row r="10428" spans="1:8" x14ac:dyDescent="0.25">
      <c r="A10428" s="1"/>
      <c r="B10428" s="1" t="s">
        <v>5161</v>
      </c>
      <c r="C10428" s="1" t="s">
        <v>5162</v>
      </c>
      <c r="D10428" s="22" t="str">
        <f>HYPERLINK("https://rhld.insurance.arkansas.gov/NPILookup?Npi=1871339226","1871339226")</f>
        <v>1871339226</v>
      </c>
      <c r="E10428" s="1" t="s">
        <v>19991</v>
      </c>
      <c r="F10428" s="2"/>
      <c r="G10428" s="2"/>
      <c r="H10428" s="2"/>
    </row>
    <row r="10429" spans="1:8" x14ac:dyDescent="0.25">
      <c r="A10429" s="1"/>
      <c r="B10429" s="1" t="s">
        <v>5161</v>
      </c>
      <c r="C10429" s="1" t="s">
        <v>5162</v>
      </c>
      <c r="D10429" s="22" t="str">
        <f>HYPERLINK("https://rhld.insurance.arkansas.gov/NPILookup?Npi=1871375022","1871375022")</f>
        <v>1871375022</v>
      </c>
      <c r="E10429" s="1" t="s">
        <v>5484</v>
      </c>
      <c r="F10429" s="2"/>
      <c r="G10429" s="2"/>
      <c r="H10429" s="2"/>
    </row>
    <row r="10430" spans="1:8" x14ac:dyDescent="0.25">
      <c r="A10430" s="1"/>
      <c r="B10430" s="1" t="s">
        <v>5161</v>
      </c>
      <c r="C10430" s="1" t="s">
        <v>5162</v>
      </c>
      <c r="D10430" s="22" t="str">
        <f>HYPERLINK("https://rhld.insurance.arkansas.gov/NPILookup?Npi=1871375394","1871375394")</f>
        <v>1871375394</v>
      </c>
      <c r="E10430" s="1" t="s">
        <v>19992</v>
      </c>
      <c r="F10430" s="2"/>
      <c r="G10430" s="2"/>
      <c r="H10430" s="2"/>
    </row>
    <row r="10431" spans="1:8" x14ac:dyDescent="0.25">
      <c r="A10431" s="1"/>
      <c r="B10431" s="1" t="s">
        <v>5161</v>
      </c>
      <c r="C10431" s="1" t="s">
        <v>5162</v>
      </c>
      <c r="D10431" s="22" t="str">
        <f>HYPERLINK("https://rhld.insurance.arkansas.gov/NPILookup?Npi=1871377010","1871377010")</f>
        <v>1871377010</v>
      </c>
      <c r="E10431" s="1" t="s">
        <v>5485</v>
      </c>
      <c r="F10431" s="2"/>
      <c r="G10431" s="2"/>
      <c r="H10431" s="2"/>
    </row>
    <row r="10432" spans="1:8" x14ac:dyDescent="0.25">
      <c r="A10432" s="1"/>
      <c r="B10432" s="1" t="s">
        <v>5161</v>
      </c>
      <c r="C10432" s="1" t="s">
        <v>5162</v>
      </c>
      <c r="D10432" s="22" t="str">
        <f>HYPERLINK("https://rhld.insurance.arkansas.gov/NPILookup?Npi=1871640516","1871640516")</f>
        <v>1871640516</v>
      </c>
      <c r="E10432" s="1" t="s">
        <v>19993</v>
      </c>
      <c r="F10432" s="2"/>
      <c r="G10432" s="2"/>
      <c r="H10432" s="2"/>
    </row>
    <row r="10433" spans="1:8" x14ac:dyDescent="0.25">
      <c r="A10433" s="1"/>
      <c r="B10433" s="1" t="s">
        <v>5161</v>
      </c>
      <c r="C10433" s="1" t="s">
        <v>5162</v>
      </c>
      <c r="D10433" s="22" t="str">
        <f>HYPERLINK("https://rhld.insurance.arkansas.gov/NPILookup?Npi=1871821355","1871821355")</f>
        <v>1871821355</v>
      </c>
      <c r="E10433" s="1" t="s">
        <v>31730</v>
      </c>
      <c r="F10433" s="2"/>
      <c r="G10433" s="2"/>
      <c r="H10433" s="2"/>
    </row>
    <row r="10434" spans="1:8" x14ac:dyDescent="0.25">
      <c r="A10434" s="1"/>
      <c r="B10434" s="1" t="s">
        <v>5161</v>
      </c>
      <c r="C10434" s="1" t="s">
        <v>5162</v>
      </c>
      <c r="D10434" s="22" t="str">
        <f>HYPERLINK("https://rhld.insurance.arkansas.gov/NPILookup?Npi=1871874206","1871874206")</f>
        <v>1871874206</v>
      </c>
      <c r="E10434" s="1" t="s">
        <v>19994</v>
      </c>
      <c r="F10434" s="2"/>
      <c r="G10434" s="2"/>
      <c r="H10434" s="2"/>
    </row>
    <row r="10435" spans="1:8" x14ac:dyDescent="0.25">
      <c r="A10435" s="1"/>
      <c r="B10435" s="1" t="s">
        <v>5161</v>
      </c>
      <c r="C10435" s="1" t="s">
        <v>5162</v>
      </c>
      <c r="D10435" s="22" t="str">
        <f>HYPERLINK("https://rhld.insurance.arkansas.gov/NPILookup?Npi=1871876086","1871876086")</f>
        <v>1871876086</v>
      </c>
      <c r="E10435" s="1" t="s">
        <v>19995</v>
      </c>
      <c r="F10435" s="2"/>
      <c r="G10435" s="2"/>
      <c r="H10435" s="2"/>
    </row>
    <row r="10436" spans="1:8" x14ac:dyDescent="0.25">
      <c r="A10436" s="1"/>
      <c r="B10436" s="1" t="s">
        <v>5161</v>
      </c>
      <c r="C10436" s="1" t="s">
        <v>5162</v>
      </c>
      <c r="D10436" s="22" t="str">
        <f>HYPERLINK("https://rhld.insurance.arkansas.gov/NPILookup?Npi=1871996561","1871996561")</f>
        <v>1871996561</v>
      </c>
      <c r="E10436" s="1" t="s">
        <v>19996</v>
      </c>
      <c r="F10436" s="2"/>
      <c r="G10436" s="2"/>
      <c r="H10436" s="2"/>
    </row>
    <row r="10437" spans="1:8" x14ac:dyDescent="0.25">
      <c r="A10437" s="1"/>
      <c r="B10437" s="1" t="s">
        <v>5161</v>
      </c>
      <c r="C10437" s="1" t="s">
        <v>5162</v>
      </c>
      <c r="D10437" s="22" t="str">
        <f>HYPERLINK("https://rhld.insurance.arkansas.gov/NPILookup?Npi=1881043743","1881043743")</f>
        <v>1881043743</v>
      </c>
      <c r="E10437" s="1" t="s">
        <v>19997</v>
      </c>
      <c r="F10437" s="2"/>
      <c r="G10437" s="2"/>
      <c r="H10437" s="2"/>
    </row>
    <row r="10438" spans="1:8" x14ac:dyDescent="0.25">
      <c r="A10438" s="1"/>
      <c r="B10438" s="1" t="s">
        <v>5161</v>
      </c>
      <c r="C10438" s="1" t="s">
        <v>5162</v>
      </c>
      <c r="D10438" s="22" t="str">
        <f>HYPERLINK("https://rhld.insurance.arkansas.gov/NPILookup?Npi=1881053148","1881053148")</f>
        <v>1881053148</v>
      </c>
      <c r="E10438" s="1" t="s">
        <v>5486</v>
      </c>
      <c r="F10438" s="2"/>
      <c r="G10438" s="2"/>
      <c r="H10438" s="2"/>
    </row>
    <row r="10439" spans="1:8" x14ac:dyDescent="0.25">
      <c r="A10439" s="1"/>
      <c r="B10439" s="1" t="s">
        <v>5161</v>
      </c>
      <c r="C10439" s="1" t="s">
        <v>5162</v>
      </c>
      <c r="D10439" s="22" t="str">
        <f>HYPERLINK("https://rhld.insurance.arkansas.gov/NPILookup?Npi=1881089407","1881089407")</f>
        <v>1881089407</v>
      </c>
      <c r="E10439" s="1" t="s">
        <v>5487</v>
      </c>
      <c r="F10439" s="2"/>
      <c r="G10439" s="2"/>
      <c r="H10439" s="2"/>
    </row>
    <row r="10440" spans="1:8" x14ac:dyDescent="0.25">
      <c r="A10440" s="1"/>
      <c r="B10440" s="1" t="s">
        <v>5161</v>
      </c>
      <c r="C10440" s="1" t="s">
        <v>5162</v>
      </c>
      <c r="D10440" s="22" t="str">
        <f>HYPERLINK("https://rhld.insurance.arkansas.gov/NPILookup?Npi=1881097251","1881097251")</f>
        <v>1881097251</v>
      </c>
      <c r="E10440" s="1" t="s">
        <v>19998</v>
      </c>
      <c r="F10440" s="2"/>
      <c r="G10440" s="2"/>
      <c r="H10440" s="2"/>
    </row>
    <row r="10441" spans="1:8" x14ac:dyDescent="0.25">
      <c r="A10441" s="1"/>
      <c r="B10441" s="1" t="s">
        <v>5161</v>
      </c>
      <c r="C10441" s="1" t="s">
        <v>5162</v>
      </c>
      <c r="D10441" s="22" t="str">
        <f>HYPERLINK("https://rhld.insurance.arkansas.gov/NPILookup?Npi=1881120475","1881120475")</f>
        <v>1881120475</v>
      </c>
      <c r="E10441" s="1" t="s">
        <v>19999</v>
      </c>
      <c r="F10441" s="2"/>
      <c r="G10441" s="2"/>
      <c r="H10441" s="2"/>
    </row>
    <row r="10442" spans="1:8" x14ac:dyDescent="0.25">
      <c r="A10442" s="1"/>
      <c r="B10442" s="1" t="s">
        <v>5161</v>
      </c>
      <c r="C10442" s="1" t="s">
        <v>5162</v>
      </c>
      <c r="D10442" s="22" t="str">
        <f>HYPERLINK("https://rhld.insurance.arkansas.gov/NPILookup?Npi=1881418903","1881418903")</f>
        <v>1881418903</v>
      </c>
      <c r="E10442" s="1" t="s">
        <v>31731</v>
      </c>
      <c r="F10442" s="2"/>
      <c r="G10442" s="2"/>
      <c r="H10442" s="2"/>
    </row>
    <row r="10443" spans="1:8" x14ac:dyDescent="0.25">
      <c r="A10443" s="1"/>
      <c r="B10443" s="1" t="s">
        <v>5161</v>
      </c>
      <c r="C10443" s="1" t="s">
        <v>5162</v>
      </c>
      <c r="D10443" s="22" t="str">
        <f>HYPERLINK("https://rhld.insurance.arkansas.gov/NPILookup?Npi=1881807949","1881807949")</f>
        <v>1881807949</v>
      </c>
      <c r="E10443" s="1" t="s">
        <v>5488</v>
      </c>
      <c r="F10443" s="2"/>
      <c r="G10443" s="2"/>
      <c r="H10443" s="2"/>
    </row>
    <row r="10444" spans="1:8" x14ac:dyDescent="0.25">
      <c r="A10444" s="1"/>
      <c r="B10444" s="1" t="s">
        <v>5161</v>
      </c>
      <c r="C10444" s="1" t="s">
        <v>5162</v>
      </c>
      <c r="D10444" s="22" t="str">
        <f>HYPERLINK("https://rhld.insurance.arkansas.gov/NPILookup?Npi=1881865053","1881865053")</f>
        <v>1881865053</v>
      </c>
      <c r="E10444" s="1" t="s">
        <v>20000</v>
      </c>
      <c r="F10444" s="2"/>
      <c r="G10444" s="2"/>
      <c r="H10444" s="2"/>
    </row>
    <row r="10445" spans="1:8" x14ac:dyDescent="0.25">
      <c r="A10445" s="1"/>
      <c r="B10445" s="1" t="s">
        <v>5161</v>
      </c>
      <c r="C10445" s="1" t="s">
        <v>5162</v>
      </c>
      <c r="D10445" s="22" t="str">
        <f>HYPERLINK("https://rhld.insurance.arkansas.gov/NPILookup?Npi=1881923480","1881923480")</f>
        <v>1881923480</v>
      </c>
      <c r="E10445" s="1" t="s">
        <v>20001</v>
      </c>
      <c r="F10445" s="2"/>
      <c r="G10445" s="2"/>
      <c r="H10445" s="2"/>
    </row>
    <row r="10446" spans="1:8" x14ac:dyDescent="0.25">
      <c r="A10446" s="1"/>
      <c r="B10446" s="1" t="s">
        <v>5161</v>
      </c>
      <c r="C10446" s="1" t="s">
        <v>5162</v>
      </c>
      <c r="D10446" s="22" t="str">
        <f>HYPERLINK("https://rhld.insurance.arkansas.gov/NPILookup?Npi=1891077442","1891077442")</f>
        <v>1891077442</v>
      </c>
      <c r="E10446" s="1" t="s">
        <v>11107</v>
      </c>
      <c r="F10446" s="2"/>
      <c r="G10446" s="2"/>
      <c r="H10446" s="2"/>
    </row>
    <row r="10447" spans="1:8" x14ac:dyDescent="0.25">
      <c r="A10447" s="1"/>
      <c r="B10447" s="1" t="s">
        <v>5161</v>
      </c>
      <c r="C10447" s="1" t="s">
        <v>5162</v>
      </c>
      <c r="D10447" s="22" t="str">
        <f>HYPERLINK("https://rhld.insurance.arkansas.gov/NPILookup?Npi=1891095279","1891095279")</f>
        <v>1891095279</v>
      </c>
      <c r="E10447" s="1" t="s">
        <v>5489</v>
      </c>
      <c r="F10447" s="2"/>
      <c r="G10447" s="2"/>
      <c r="H10447" s="2"/>
    </row>
    <row r="10448" spans="1:8" x14ac:dyDescent="0.25">
      <c r="A10448" s="1"/>
      <c r="B10448" s="1" t="s">
        <v>5161</v>
      </c>
      <c r="C10448" s="1" t="s">
        <v>5162</v>
      </c>
      <c r="D10448" s="22" t="str">
        <f>HYPERLINK("https://rhld.insurance.arkansas.gov/NPILookup?Npi=1891112553","1891112553")</f>
        <v>1891112553</v>
      </c>
      <c r="E10448" s="1" t="s">
        <v>20002</v>
      </c>
      <c r="F10448" s="2"/>
      <c r="G10448" s="2"/>
      <c r="H10448" s="2"/>
    </row>
    <row r="10449" spans="1:8" x14ac:dyDescent="0.25">
      <c r="A10449" s="1"/>
      <c r="B10449" s="1" t="s">
        <v>5161</v>
      </c>
      <c r="C10449" s="1" t="s">
        <v>5162</v>
      </c>
      <c r="D10449" s="22" t="str">
        <f>HYPERLINK("https://rhld.insurance.arkansas.gov/NPILookup?Npi=1891190914","1891190914")</f>
        <v>1891190914</v>
      </c>
      <c r="E10449" s="1" t="s">
        <v>5490</v>
      </c>
      <c r="F10449" s="2"/>
      <c r="G10449" s="2"/>
      <c r="H10449" s="2"/>
    </row>
    <row r="10450" spans="1:8" x14ac:dyDescent="0.25">
      <c r="A10450" s="1"/>
      <c r="B10450" s="1" t="s">
        <v>5161</v>
      </c>
      <c r="C10450" s="1" t="s">
        <v>5162</v>
      </c>
      <c r="D10450" s="22" t="str">
        <f>HYPERLINK("https://rhld.insurance.arkansas.gov/NPILookup?Npi=1891374849","1891374849")</f>
        <v>1891374849</v>
      </c>
      <c r="E10450" s="1" t="s">
        <v>5491</v>
      </c>
      <c r="F10450" s="2"/>
      <c r="G10450" s="2"/>
      <c r="H10450" s="2"/>
    </row>
    <row r="10451" spans="1:8" x14ac:dyDescent="0.25">
      <c r="A10451" s="1"/>
      <c r="B10451" s="1" t="s">
        <v>5161</v>
      </c>
      <c r="C10451" s="1" t="s">
        <v>5162</v>
      </c>
      <c r="D10451" s="22" t="str">
        <f>HYPERLINK("https://rhld.insurance.arkansas.gov/NPILookup?Npi=1891440350","1891440350")</f>
        <v>1891440350</v>
      </c>
      <c r="E10451" s="1" t="s">
        <v>5492</v>
      </c>
      <c r="F10451" s="2"/>
      <c r="G10451" s="2"/>
      <c r="H10451" s="2"/>
    </row>
    <row r="10452" spans="1:8" x14ac:dyDescent="0.25">
      <c r="A10452" s="1"/>
      <c r="B10452" s="1" t="s">
        <v>5161</v>
      </c>
      <c r="C10452" s="1" t="s">
        <v>5162</v>
      </c>
      <c r="D10452" s="22" t="str">
        <f>HYPERLINK("https://rhld.insurance.arkansas.gov/NPILookup?Npi=1891451514","1891451514")</f>
        <v>1891451514</v>
      </c>
      <c r="E10452" s="1" t="s">
        <v>5493</v>
      </c>
      <c r="F10452" s="2"/>
      <c r="G10452" s="2"/>
      <c r="H10452" s="2"/>
    </row>
    <row r="10453" spans="1:8" x14ac:dyDescent="0.25">
      <c r="A10453" s="1"/>
      <c r="B10453" s="1" t="s">
        <v>5161</v>
      </c>
      <c r="C10453" s="1" t="s">
        <v>5162</v>
      </c>
      <c r="D10453" s="22" t="str">
        <f>HYPERLINK("https://rhld.insurance.arkansas.gov/NPILookup?Npi=1891551206","1891551206")</f>
        <v>1891551206</v>
      </c>
      <c r="E10453" s="1" t="s">
        <v>5494</v>
      </c>
      <c r="F10453" s="2"/>
      <c r="G10453" s="2"/>
      <c r="H10453" s="2"/>
    </row>
    <row r="10454" spans="1:8" x14ac:dyDescent="0.25">
      <c r="A10454" s="1"/>
      <c r="B10454" s="1" t="s">
        <v>5161</v>
      </c>
      <c r="C10454" s="1" t="s">
        <v>5162</v>
      </c>
      <c r="D10454" s="22" t="str">
        <f>HYPERLINK("https://rhld.insurance.arkansas.gov/NPILookup?Npi=1891870200","1891870200")</f>
        <v>1891870200</v>
      </c>
      <c r="E10454" s="1" t="s">
        <v>3475</v>
      </c>
      <c r="F10454" s="2"/>
      <c r="G10454" s="2"/>
      <c r="H10454" s="2"/>
    </row>
    <row r="10455" spans="1:8" x14ac:dyDescent="0.25">
      <c r="A10455" s="1"/>
      <c r="B10455" s="1" t="s">
        <v>5161</v>
      </c>
      <c r="C10455" s="1" t="s">
        <v>5162</v>
      </c>
      <c r="D10455" s="22" t="str">
        <f>HYPERLINK("https://rhld.insurance.arkansas.gov/NPILookup?Npi=1891913539","1891913539")</f>
        <v>1891913539</v>
      </c>
      <c r="E10455" s="1" t="s">
        <v>20003</v>
      </c>
      <c r="F10455" s="2"/>
      <c r="G10455" s="2"/>
      <c r="H10455" s="2"/>
    </row>
    <row r="10456" spans="1:8" x14ac:dyDescent="0.25">
      <c r="A10456" s="1"/>
      <c r="B10456" s="1" t="s">
        <v>5161</v>
      </c>
      <c r="C10456" s="1" t="s">
        <v>5162</v>
      </c>
      <c r="D10456" s="22" t="str">
        <f>HYPERLINK("https://rhld.insurance.arkansas.gov/NPILookup?Npi=1891919148","1891919148")</f>
        <v>1891919148</v>
      </c>
      <c r="E10456" s="1" t="s">
        <v>20004</v>
      </c>
      <c r="F10456" s="2"/>
      <c r="G10456" s="2"/>
      <c r="H10456" s="2"/>
    </row>
    <row r="10457" spans="1:8" x14ac:dyDescent="0.25">
      <c r="A10457" s="1"/>
      <c r="B10457" s="1" t="s">
        <v>5161</v>
      </c>
      <c r="C10457" s="1" t="s">
        <v>5162</v>
      </c>
      <c r="D10457" s="22" t="str">
        <f>HYPERLINK("https://rhld.insurance.arkansas.gov/NPILookup?Npi=1902064827","1902064827")</f>
        <v>1902064827</v>
      </c>
      <c r="E10457" s="1" t="s">
        <v>31732</v>
      </c>
      <c r="F10457" s="2"/>
      <c r="G10457" s="2"/>
      <c r="H10457" s="2"/>
    </row>
    <row r="10458" spans="1:8" x14ac:dyDescent="0.25">
      <c r="A10458" s="1"/>
      <c r="B10458" s="1" t="s">
        <v>5161</v>
      </c>
      <c r="C10458" s="1" t="s">
        <v>5162</v>
      </c>
      <c r="D10458" s="22" t="str">
        <f>HYPERLINK("https://rhld.insurance.arkansas.gov/NPILookup?Npi=1902083777","1902083777")</f>
        <v>1902083777</v>
      </c>
      <c r="E10458" s="1" t="s">
        <v>5495</v>
      </c>
      <c r="F10458" s="2"/>
      <c r="G10458" s="2"/>
      <c r="H10458" s="2"/>
    </row>
    <row r="10459" spans="1:8" x14ac:dyDescent="0.25">
      <c r="A10459" s="1"/>
      <c r="B10459" s="1" t="s">
        <v>5161</v>
      </c>
      <c r="C10459" s="1" t="s">
        <v>5162</v>
      </c>
      <c r="D10459" s="22" t="str">
        <f>HYPERLINK("https://rhld.insurance.arkansas.gov/NPILookup?Npi=1902157001","1902157001")</f>
        <v>1902157001</v>
      </c>
      <c r="E10459" s="1" t="s">
        <v>20005</v>
      </c>
      <c r="F10459" s="2"/>
      <c r="G10459" s="2"/>
      <c r="H10459" s="2"/>
    </row>
    <row r="10460" spans="1:8" x14ac:dyDescent="0.25">
      <c r="A10460" s="1"/>
      <c r="B10460" s="1" t="s">
        <v>5161</v>
      </c>
      <c r="C10460" s="1" t="s">
        <v>5162</v>
      </c>
      <c r="D10460" s="22" t="str">
        <f>HYPERLINK("https://rhld.insurance.arkansas.gov/NPILookup?Npi=1902232325","1902232325")</f>
        <v>1902232325</v>
      </c>
      <c r="E10460" s="1" t="s">
        <v>20006</v>
      </c>
      <c r="F10460" s="2"/>
      <c r="G10460" s="2"/>
      <c r="H10460" s="2"/>
    </row>
    <row r="10461" spans="1:8" x14ac:dyDescent="0.25">
      <c r="A10461" s="1"/>
      <c r="B10461" s="1" t="s">
        <v>5161</v>
      </c>
      <c r="C10461" s="1" t="s">
        <v>5162</v>
      </c>
      <c r="D10461" s="22" t="str">
        <f>HYPERLINK("https://rhld.insurance.arkansas.gov/NPILookup?Npi=1902233968","1902233968")</f>
        <v>1902233968</v>
      </c>
      <c r="E10461" s="1" t="s">
        <v>20007</v>
      </c>
      <c r="F10461" s="2"/>
      <c r="G10461" s="2"/>
      <c r="H10461" s="2"/>
    </row>
    <row r="10462" spans="1:8" x14ac:dyDescent="0.25">
      <c r="A10462" s="1"/>
      <c r="B10462" s="1" t="s">
        <v>5161</v>
      </c>
      <c r="C10462" s="1" t="s">
        <v>5162</v>
      </c>
      <c r="D10462" s="22" t="str">
        <f>HYPERLINK("https://rhld.insurance.arkansas.gov/NPILookup?Npi=1902282957","1902282957")</f>
        <v>1902282957</v>
      </c>
      <c r="E10462" s="1" t="s">
        <v>20008</v>
      </c>
      <c r="F10462" s="2"/>
      <c r="G10462" s="2"/>
      <c r="H10462" s="2"/>
    </row>
    <row r="10463" spans="1:8" x14ac:dyDescent="0.25">
      <c r="A10463" s="1"/>
      <c r="B10463" s="1" t="s">
        <v>5161</v>
      </c>
      <c r="C10463" s="1" t="s">
        <v>5162</v>
      </c>
      <c r="D10463" s="22" t="str">
        <f>HYPERLINK("https://rhld.insurance.arkansas.gov/NPILookup?Npi=1902317258","1902317258")</f>
        <v>1902317258</v>
      </c>
      <c r="E10463" s="1" t="s">
        <v>31733</v>
      </c>
      <c r="F10463" s="2"/>
      <c r="G10463" s="2"/>
      <c r="H10463" s="2"/>
    </row>
    <row r="10464" spans="1:8" x14ac:dyDescent="0.25">
      <c r="A10464" s="1"/>
      <c r="B10464" s="1" t="s">
        <v>5161</v>
      </c>
      <c r="C10464" s="1" t="s">
        <v>5162</v>
      </c>
      <c r="D10464" s="22" t="str">
        <f>HYPERLINK("https://rhld.insurance.arkansas.gov/NPILookup?Npi=1902379704","1902379704")</f>
        <v>1902379704</v>
      </c>
      <c r="E10464" s="1" t="s">
        <v>11108</v>
      </c>
      <c r="F10464" s="2"/>
      <c r="G10464" s="2"/>
      <c r="H10464" s="2"/>
    </row>
    <row r="10465" spans="1:8" x14ac:dyDescent="0.25">
      <c r="A10465" s="1"/>
      <c r="B10465" s="1" t="s">
        <v>5161</v>
      </c>
      <c r="C10465" s="1" t="s">
        <v>5162</v>
      </c>
      <c r="D10465" s="22" t="str">
        <f>HYPERLINK("https://rhld.insurance.arkansas.gov/NPILookup?Npi=1902439060","1902439060")</f>
        <v>1902439060</v>
      </c>
      <c r="E10465" s="1" t="s">
        <v>20009</v>
      </c>
      <c r="F10465" s="2"/>
      <c r="G10465" s="2"/>
      <c r="H10465" s="2"/>
    </row>
    <row r="10466" spans="1:8" x14ac:dyDescent="0.25">
      <c r="A10466" s="1"/>
      <c r="B10466" s="1" t="s">
        <v>5161</v>
      </c>
      <c r="C10466" s="1" t="s">
        <v>5162</v>
      </c>
      <c r="D10466" s="22" t="str">
        <f>HYPERLINK("https://rhld.insurance.arkansas.gov/NPILookup?Npi=1902511397","1902511397")</f>
        <v>1902511397</v>
      </c>
      <c r="E10466" s="1" t="s">
        <v>5496</v>
      </c>
      <c r="F10466" s="2"/>
      <c r="G10466" s="2"/>
      <c r="H10466" s="2"/>
    </row>
    <row r="10467" spans="1:8" x14ac:dyDescent="0.25">
      <c r="A10467" s="1"/>
      <c r="B10467" s="1" t="s">
        <v>5161</v>
      </c>
      <c r="C10467" s="1" t="s">
        <v>5162</v>
      </c>
      <c r="D10467" s="22" t="str">
        <f>HYPERLINK("https://rhld.insurance.arkansas.gov/NPILookup?Npi=1902628720","1902628720")</f>
        <v>1902628720</v>
      </c>
      <c r="E10467" s="1" t="s">
        <v>31734</v>
      </c>
      <c r="F10467" s="2"/>
      <c r="G10467" s="2"/>
      <c r="H10467" s="2"/>
    </row>
    <row r="10468" spans="1:8" x14ac:dyDescent="0.25">
      <c r="A10468" s="1"/>
      <c r="B10468" s="1" t="s">
        <v>5161</v>
      </c>
      <c r="C10468" s="1" t="s">
        <v>5162</v>
      </c>
      <c r="D10468" s="22" t="str">
        <f>HYPERLINK("https://rhld.insurance.arkansas.gov/NPILookup?Npi=1902907249","1902907249")</f>
        <v>1902907249</v>
      </c>
      <c r="E10468" s="1" t="s">
        <v>11109</v>
      </c>
      <c r="F10468" s="2"/>
      <c r="G10468" s="2"/>
      <c r="H10468" s="2"/>
    </row>
    <row r="10469" spans="1:8" x14ac:dyDescent="0.25">
      <c r="A10469" s="1"/>
      <c r="B10469" s="1" t="s">
        <v>5161</v>
      </c>
      <c r="C10469" s="1" t="s">
        <v>5162</v>
      </c>
      <c r="D10469" s="22" t="str">
        <f>HYPERLINK("https://rhld.insurance.arkansas.gov/NPILookup?Npi=1902937352","1902937352")</f>
        <v>1902937352</v>
      </c>
      <c r="E10469" s="1" t="s">
        <v>2630</v>
      </c>
      <c r="F10469" s="2"/>
      <c r="G10469" s="2"/>
      <c r="H10469" s="2"/>
    </row>
    <row r="10470" spans="1:8" x14ac:dyDescent="0.25">
      <c r="A10470" s="1"/>
      <c r="B10470" s="1" t="s">
        <v>5161</v>
      </c>
      <c r="C10470" s="1" t="s">
        <v>5162</v>
      </c>
      <c r="D10470" s="22" t="str">
        <f>HYPERLINK("https://rhld.insurance.arkansas.gov/NPILookup?Npi=1902950181","1902950181")</f>
        <v>1902950181</v>
      </c>
      <c r="E10470" s="1" t="s">
        <v>20010</v>
      </c>
      <c r="F10470" s="2"/>
      <c r="G10470" s="2"/>
      <c r="H10470" s="2"/>
    </row>
    <row r="10471" spans="1:8" x14ac:dyDescent="0.25">
      <c r="A10471" s="1"/>
      <c r="B10471" s="1" t="s">
        <v>5161</v>
      </c>
      <c r="C10471" s="1" t="s">
        <v>5162</v>
      </c>
      <c r="D10471" s="22" t="str">
        <f>HYPERLINK("https://rhld.insurance.arkansas.gov/NPILookup?Npi=1902955743","1902955743")</f>
        <v>1902955743</v>
      </c>
      <c r="E10471" s="1" t="s">
        <v>20011</v>
      </c>
      <c r="F10471" s="2"/>
      <c r="G10471" s="2"/>
      <c r="H10471" s="2"/>
    </row>
    <row r="10472" spans="1:8" x14ac:dyDescent="0.25">
      <c r="A10472" s="1"/>
      <c r="B10472" s="1" t="s">
        <v>5161</v>
      </c>
      <c r="C10472" s="1" t="s">
        <v>5162</v>
      </c>
      <c r="D10472" s="22" t="str">
        <f>HYPERLINK("https://rhld.insurance.arkansas.gov/NPILookup?Npi=1912056219","1912056219")</f>
        <v>1912056219</v>
      </c>
      <c r="E10472" s="1" t="s">
        <v>5497</v>
      </c>
      <c r="F10472" s="2"/>
      <c r="G10472" s="2"/>
      <c r="H10472" s="2"/>
    </row>
    <row r="10473" spans="1:8" x14ac:dyDescent="0.25">
      <c r="A10473" s="1"/>
      <c r="B10473" s="1" t="s">
        <v>5161</v>
      </c>
      <c r="C10473" s="1" t="s">
        <v>5162</v>
      </c>
      <c r="D10473" s="22" t="str">
        <f>HYPERLINK("https://rhld.insurance.arkansas.gov/NPILookup?Npi=1912064395","1912064395")</f>
        <v>1912064395</v>
      </c>
      <c r="E10473" s="1" t="s">
        <v>5498</v>
      </c>
      <c r="F10473" s="2"/>
      <c r="G10473" s="2"/>
      <c r="H10473" s="2"/>
    </row>
    <row r="10474" spans="1:8" x14ac:dyDescent="0.25">
      <c r="A10474" s="1"/>
      <c r="B10474" s="1" t="s">
        <v>5161</v>
      </c>
      <c r="C10474" s="1" t="s">
        <v>5162</v>
      </c>
      <c r="D10474" s="22" t="str">
        <f>HYPERLINK("https://rhld.insurance.arkansas.gov/NPILookup?Npi=1912083098","1912083098")</f>
        <v>1912083098</v>
      </c>
      <c r="E10474" s="1" t="s">
        <v>20012</v>
      </c>
      <c r="F10474" s="2"/>
      <c r="G10474" s="2"/>
      <c r="H10474" s="2"/>
    </row>
    <row r="10475" spans="1:8" x14ac:dyDescent="0.25">
      <c r="A10475" s="1"/>
      <c r="B10475" s="1" t="s">
        <v>5161</v>
      </c>
      <c r="C10475" s="1" t="s">
        <v>5162</v>
      </c>
      <c r="D10475" s="22" t="str">
        <f>HYPERLINK("https://rhld.insurance.arkansas.gov/NPILookup?Npi=1912198987","1912198987")</f>
        <v>1912198987</v>
      </c>
      <c r="E10475" s="1" t="s">
        <v>11110</v>
      </c>
      <c r="F10475" s="2"/>
      <c r="G10475" s="2"/>
      <c r="H10475" s="2"/>
    </row>
    <row r="10476" spans="1:8" x14ac:dyDescent="0.25">
      <c r="A10476" s="1"/>
      <c r="B10476" s="1" t="s">
        <v>5161</v>
      </c>
      <c r="C10476" s="1" t="s">
        <v>5162</v>
      </c>
      <c r="D10476" s="22" t="str">
        <f>HYPERLINK("https://rhld.insurance.arkansas.gov/NPILookup?Npi=1912456070","1912456070")</f>
        <v>1912456070</v>
      </c>
      <c r="E10476" s="1" t="s">
        <v>11111</v>
      </c>
      <c r="F10476" s="2"/>
      <c r="G10476" s="2"/>
      <c r="H10476" s="2"/>
    </row>
    <row r="10477" spans="1:8" x14ac:dyDescent="0.25">
      <c r="A10477" s="1"/>
      <c r="B10477" s="1" t="s">
        <v>5161</v>
      </c>
      <c r="C10477" s="1" t="s">
        <v>5162</v>
      </c>
      <c r="D10477" s="22" t="str">
        <f>HYPERLINK("https://rhld.insurance.arkansas.gov/NPILookup?Npi=1912506221","1912506221")</f>
        <v>1912506221</v>
      </c>
      <c r="E10477" s="1" t="s">
        <v>11112</v>
      </c>
      <c r="F10477" s="2"/>
      <c r="G10477" s="2"/>
      <c r="H10477" s="2"/>
    </row>
    <row r="10478" spans="1:8" x14ac:dyDescent="0.25">
      <c r="A10478" s="1"/>
      <c r="B10478" s="1" t="s">
        <v>5161</v>
      </c>
      <c r="C10478" s="1" t="s">
        <v>5162</v>
      </c>
      <c r="D10478" s="22" t="str">
        <f>HYPERLINK("https://rhld.insurance.arkansas.gov/NPILookup?Npi=1912507294","1912507294")</f>
        <v>1912507294</v>
      </c>
      <c r="E10478" s="1" t="s">
        <v>20013</v>
      </c>
      <c r="F10478" s="2"/>
      <c r="G10478" s="2"/>
      <c r="H10478" s="2"/>
    </row>
    <row r="10479" spans="1:8" x14ac:dyDescent="0.25">
      <c r="A10479" s="1"/>
      <c r="B10479" s="1" t="s">
        <v>5161</v>
      </c>
      <c r="C10479" s="1" t="s">
        <v>5162</v>
      </c>
      <c r="D10479" s="22" t="str">
        <f>HYPERLINK("https://rhld.insurance.arkansas.gov/NPILookup?Npi=1912513334","1912513334")</f>
        <v>1912513334</v>
      </c>
      <c r="E10479" s="1" t="s">
        <v>31735</v>
      </c>
      <c r="F10479" s="2"/>
      <c r="G10479" s="2"/>
      <c r="H10479" s="2"/>
    </row>
    <row r="10480" spans="1:8" x14ac:dyDescent="0.25">
      <c r="A10480" s="1"/>
      <c r="B10480" s="1" t="s">
        <v>5161</v>
      </c>
      <c r="C10480" s="1" t="s">
        <v>5162</v>
      </c>
      <c r="D10480" s="22" t="str">
        <f>HYPERLINK("https://rhld.insurance.arkansas.gov/NPILookup?Npi=1912525429","1912525429")</f>
        <v>1912525429</v>
      </c>
      <c r="E10480" s="1" t="s">
        <v>20014</v>
      </c>
      <c r="F10480" s="2"/>
      <c r="G10480" s="2"/>
      <c r="H10480" s="2"/>
    </row>
    <row r="10481" spans="1:8" x14ac:dyDescent="0.25">
      <c r="A10481" s="1"/>
      <c r="B10481" s="1" t="s">
        <v>5161</v>
      </c>
      <c r="C10481" s="1" t="s">
        <v>5162</v>
      </c>
      <c r="D10481" s="22" t="str">
        <f>HYPERLINK("https://rhld.insurance.arkansas.gov/NPILookup?Npi=1912621095","1912621095")</f>
        <v>1912621095</v>
      </c>
      <c r="E10481" s="1" t="s">
        <v>20015</v>
      </c>
      <c r="F10481" s="2"/>
      <c r="G10481" s="2"/>
      <c r="H10481" s="2"/>
    </row>
    <row r="10482" spans="1:8" x14ac:dyDescent="0.25">
      <c r="A10482" s="1"/>
      <c r="B10482" s="1" t="s">
        <v>5161</v>
      </c>
      <c r="C10482" s="1" t="s">
        <v>5162</v>
      </c>
      <c r="D10482" s="22" t="str">
        <f>HYPERLINK("https://rhld.insurance.arkansas.gov/NPILookup?Npi=1912621194","1912621194")</f>
        <v>1912621194</v>
      </c>
      <c r="E10482" s="1" t="s">
        <v>20016</v>
      </c>
      <c r="F10482" s="2"/>
      <c r="G10482" s="2"/>
      <c r="H10482" s="2"/>
    </row>
    <row r="10483" spans="1:8" x14ac:dyDescent="0.25">
      <c r="A10483" s="1"/>
      <c r="B10483" s="1" t="s">
        <v>5161</v>
      </c>
      <c r="C10483" s="1" t="s">
        <v>5162</v>
      </c>
      <c r="D10483" s="22" t="str">
        <f>HYPERLINK("https://rhld.insurance.arkansas.gov/NPILookup?Npi=1912670845","1912670845")</f>
        <v>1912670845</v>
      </c>
      <c r="E10483" s="1" t="s">
        <v>11113</v>
      </c>
      <c r="F10483" s="2"/>
      <c r="G10483" s="2"/>
      <c r="H10483" s="2"/>
    </row>
    <row r="10484" spans="1:8" x14ac:dyDescent="0.25">
      <c r="A10484" s="1"/>
      <c r="B10484" s="1" t="s">
        <v>5161</v>
      </c>
      <c r="C10484" s="1" t="s">
        <v>5162</v>
      </c>
      <c r="D10484" s="22" t="str">
        <f>HYPERLINK("https://rhld.insurance.arkansas.gov/NPILookup?Npi=1922131820","1922131820")</f>
        <v>1922131820</v>
      </c>
      <c r="E10484" s="1" t="s">
        <v>20017</v>
      </c>
      <c r="F10484" s="2"/>
      <c r="G10484" s="2"/>
      <c r="H10484" s="2"/>
    </row>
    <row r="10485" spans="1:8" x14ac:dyDescent="0.25">
      <c r="A10485" s="1"/>
      <c r="B10485" s="1" t="s">
        <v>5161</v>
      </c>
      <c r="C10485" s="1" t="s">
        <v>5162</v>
      </c>
      <c r="D10485" s="22" t="str">
        <f>HYPERLINK("https://rhld.insurance.arkansas.gov/NPILookup?Npi=1922159904","1922159904")</f>
        <v>1922159904</v>
      </c>
      <c r="E10485" s="1" t="s">
        <v>20018</v>
      </c>
      <c r="F10485" s="2"/>
      <c r="G10485" s="2"/>
      <c r="H10485" s="2"/>
    </row>
    <row r="10486" spans="1:8" x14ac:dyDescent="0.25">
      <c r="A10486" s="1"/>
      <c r="B10486" s="1" t="s">
        <v>5161</v>
      </c>
      <c r="C10486" s="1" t="s">
        <v>5162</v>
      </c>
      <c r="D10486" s="22" t="str">
        <f>HYPERLINK("https://rhld.insurance.arkansas.gov/NPILookup?Npi=1922339910","1922339910")</f>
        <v>1922339910</v>
      </c>
      <c r="E10486" s="1" t="s">
        <v>20019</v>
      </c>
      <c r="F10486" s="2"/>
      <c r="G10486" s="2"/>
      <c r="H10486" s="2"/>
    </row>
    <row r="10487" spans="1:8" x14ac:dyDescent="0.25">
      <c r="A10487" s="1"/>
      <c r="B10487" s="1" t="s">
        <v>5161</v>
      </c>
      <c r="C10487" s="1" t="s">
        <v>5162</v>
      </c>
      <c r="D10487" s="22" t="str">
        <f>HYPERLINK("https://rhld.insurance.arkansas.gov/NPILookup?Npi=1922357177","1922357177")</f>
        <v>1922357177</v>
      </c>
      <c r="E10487" s="1" t="s">
        <v>11114</v>
      </c>
      <c r="F10487" s="2"/>
      <c r="G10487" s="2"/>
      <c r="H10487" s="2"/>
    </row>
    <row r="10488" spans="1:8" x14ac:dyDescent="0.25">
      <c r="A10488" s="1"/>
      <c r="B10488" s="1" t="s">
        <v>5161</v>
      </c>
      <c r="C10488" s="1" t="s">
        <v>5162</v>
      </c>
      <c r="D10488" s="22" t="str">
        <f>HYPERLINK("https://rhld.insurance.arkansas.gov/NPILookup?Npi=1922478395","1922478395")</f>
        <v>1922478395</v>
      </c>
      <c r="E10488" s="1" t="s">
        <v>5499</v>
      </c>
      <c r="F10488" s="2"/>
      <c r="G10488" s="2"/>
      <c r="H10488" s="2"/>
    </row>
    <row r="10489" spans="1:8" x14ac:dyDescent="0.25">
      <c r="A10489" s="1"/>
      <c r="B10489" s="1" t="s">
        <v>5161</v>
      </c>
      <c r="C10489" s="1" t="s">
        <v>5162</v>
      </c>
      <c r="D10489" s="22" t="str">
        <f>HYPERLINK("https://rhld.insurance.arkansas.gov/NPILookup?Npi=1922556174","1922556174")</f>
        <v>1922556174</v>
      </c>
      <c r="E10489" s="1" t="s">
        <v>18771</v>
      </c>
      <c r="F10489" s="2"/>
      <c r="G10489" s="2"/>
      <c r="H10489" s="2"/>
    </row>
    <row r="10490" spans="1:8" x14ac:dyDescent="0.25">
      <c r="A10490" s="1"/>
      <c r="B10490" s="1" t="s">
        <v>5161</v>
      </c>
      <c r="C10490" s="1" t="s">
        <v>5162</v>
      </c>
      <c r="D10490" s="22" t="str">
        <f>HYPERLINK("https://rhld.insurance.arkansas.gov/NPILookup?Npi=1922624089","1922624089")</f>
        <v>1922624089</v>
      </c>
      <c r="E10490" s="1" t="s">
        <v>20020</v>
      </c>
      <c r="F10490" s="2"/>
      <c r="G10490" s="2"/>
      <c r="H10490" s="2"/>
    </row>
    <row r="10491" spans="1:8" x14ac:dyDescent="0.25">
      <c r="A10491" s="1"/>
      <c r="B10491" s="1" t="s">
        <v>5161</v>
      </c>
      <c r="C10491" s="1" t="s">
        <v>5162</v>
      </c>
      <c r="D10491" s="22" t="str">
        <f>HYPERLINK("https://rhld.insurance.arkansas.gov/NPILookup?Npi=1922751700","1922751700")</f>
        <v>1922751700</v>
      </c>
      <c r="E10491" s="1" t="s">
        <v>20021</v>
      </c>
      <c r="F10491" s="2"/>
      <c r="G10491" s="2"/>
      <c r="H10491" s="2"/>
    </row>
    <row r="10492" spans="1:8" x14ac:dyDescent="0.25">
      <c r="A10492" s="1"/>
      <c r="B10492" s="1" t="s">
        <v>5161</v>
      </c>
      <c r="C10492" s="1" t="s">
        <v>5162</v>
      </c>
      <c r="D10492" s="22" t="str">
        <f>HYPERLINK("https://rhld.insurance.arkansas.gov/NPILookup?Npi=1922755255","1922755255")</f>
        <v>1922755255</v>
      </c>
      <c r="E10492" s="1" t="s">
        <v>5500</v>
      </c>
      <c r="F10492" s="2"/>
      <c r="G10492" s="2"/>
      <c r="H10492" s="2"/>
    </row>
    <row r="10493" spans="1:8" x14ac:dyDescent="0.25">
      <c r="A10493" s="1"/>
      <c r="B10493" s="1" t="s">
        <v>5161</v>
      </c>
      <c r="C10493" s="1" t="s">
        <v>5162</v>
      </c>
      <c r="D10493" s="22" t="str">
        <f>HYPERLINK("https://rhld.insurance.arkansas.gov/NPILookup?Npi=1922878644","1922878644")</f>
        <v>1922878644</v>
      </c>
      <c r="E10493" s="1" t="s">
        <v>5501</v>
      </c>
      <c r="F10493" s="2"/>
      <c r="G10493" s="2"/>
      <c r="H10493" s="2"/>
    </row>
    <row r="10494" spans="1:8" x14ac:dyDescent="0.25">
      <c r="A10494" s="1"/>
      <c r="B10494" s="1" t="s">
        <v>5161</v>
      </c>
      <c r="C10494" s="1" t="s">
        <v>5162</v>
      </c>
      <c r="D10494" s="22" t="str">
        <f>HYPERLINK("https://rhld.insurance.arkansas.gov/NPILookup?Npi=1932159944","1932159944")</f>
        <v>1932159944</v>
      </c>
      <c r="E10494" s="1" t="s">
        <v>5502</v>
      </c>
      <c r="F10494" s="2"/>
      <c r="G10494" s="2"/>
      <c r="H10494" s="2"/>
    </row>
    <row r="10495" spans="1:8" x14ac:dyDescent="0.25">
      <c r="A10495" s="1"/>
      <c r="B10495" s="1" t="s">
        <v>5161</v>
      </c>
      <c r="C10495" s="1" t="s">
        <v>5162</v>
      </c>
      <c r="D10495" s="22" t="str">
        <f>HYPERLINK("https://rhld.insurance.arkansas.gov/NPILookup?Npi=1932214202","1932214202")</f>
        <v>1932214202</v>
      </c>
      <c r="E10495" s="1" t="s">
        <v>20022</v>
      </c>
      <c r="F10495" s="2"/>
      <c r="G10495" s="2"/>
      <c r="H10495" s="2"/>
    </row>
    <row r="10496" spans="1:8" x14ac:dyDescent="0.25">
      <c r="A10496" s="1"/>
      <c r="B10496" s="1" t="s">
        <v>5161</v>
      </c>
      <c r="C10496" s="1" t="s">
        <v>5162</v>
      </c>
      <c r="D10496" s="22" t="str">
        <f>HYPERLINK("https://rhld.insurance.arkansas.gov/NPILookup?Npi=1932325453","1932325453")</f>
        <v>1932325453</v>
      </c>
      <c r="E10496" s="1" t="s">
        <v>20023</v>
      </c>
      <c r="F10496" s="2"/>
      <c r="G10496" s="2"/>
      <c r="H10496" s="2"/>
    </row>
    <row r="10497" spans="1:8" x14ac:dyDescent="0.25">
      <c r="A10497" s="1"/>
      <c r="B10497" s="1" t="s">
        <v>5161</v>
      </c>
      <c r="C10497" s="1" t="s">
        <v>5162</v>
      </c>
      <c r="D10497" s="22" t="str">
        <f>HYPERLINK("https://rhld.insurance.arkansas.gov/NPILookup?Npi=1932540572","1932540572")</f>
        <v>1932540572</v>
      </c>
      <c r="E10497" s="1" t="s">
        <v>20024</v>
      </c>
      <c r="F10497" s="2"/>
      <c r="G10497" s="2"/>
      <c r="H10497" s="2"/>
    </row>
    <row r="10498" spans="1:8" x14ac:dyDescent="0.25">
      <c r="A10498" s="1"/>
      <c r="B10498" s="1" t="s">
        <v>5161</v>
      </c>
      <c r="C10498" s="1" t="s">
        <v>5162</v>
      </c>
      <c r="D10498" s="22" t="str">
        <f>HYPERLINK("https://rhld.insurance.arkansas.gov/NPILookup?Npi=1932646890","1932646890")</f>
        <v>1932646890</v>
      </c>
      <c r="E10498" s="1" t="s">
        <v>20025</v>
      </c>
      <c r="F10498" s="2"/>
      <c r="G10498" s="2"/>
      <c r="H10498" s="2"/>
    </row>
    <row r="10499" spans="1:8" x14ac:dyDescent="0.25">
      <c r="A10499" s="1"/>
      <c r="B10499" s="1" t="s">
        <v>5161</v>
      </c>
      <c r="C10499" s="1" t="s">
        <v>5162</v>
      </c>
      <c r="D10499" s="22" t="str">
        <f>HYPERLINK("https://rhld.insurance.arkansas.gov/NPILookup?Npi=1932674728","1932674728")</f>
        <v>1932674728</v>
      </c>
      <c r="E10499" s="1" t="s">
        <v>20026</v>
      </c>
      <c r="F10499" s="2"/>
      <c r="G10499" s="2"/>
      <c r="H10499" s="2"/>
    </row>
    <row r="10500" spans="1:8" x14ac:dyDescent="0.25">
      <c r="A10500" s="1"/>
      <c r="B10500" s="1" t="s">
        <v>5161</v>
      </c>
      <c r="C10500" s="1" t="s">
        <v>5162</v>
      </c>
      <c r="D10500" s="22" t="str">
        <f>HYPERLINK("https://rhld.insurance.arkansas.gov/NPILookup?Npi=1932706942","1932706942")</f>
        <v>1932706942</v>
      </c>
      <c r="E10500" s="1" t="s">
        <v>5503</v>
      </c>
      <c r="F10500" s="2"/>
      <c r="G10500" s="2"/>
      <c r="H10500" s="2"/>
    </row>
    <row r="10501" spans="1:8" x14ac:dyDescent="0.25">
      <c r="A10501" s="1"/>
      <c r="B10501" s="1" t="s">
        <v>5161</v>
      </c>
      <c r="C10501" s="1" t="s">
        <v>5162</v>
      </c>
      <c r="D10501" s="22" t="str">
        <f>HYPERLINK("https://rhld.insurance.arkansas.gov/NPILookup?Npi=1932713641","1932713641")</f>
        <v>1932713641</v>
      </c>
      <c r="E10501" s="1" t="s">
        <v>11115</v>
      </c>
      <c r="F10501" s="2"/>
      <c r="G10501" s="2"/>
      <c r="H10501" s="2"/>
    </row>
    <row r="10502" spans="1:8" x14ac:dyDescent="0.25">
      <c r="A10502" s="1"/>
      <c r="B10502" s="1" t="s">
        <v>5161</v>
      </c>
      <c r="C10502" s="1" t="s">
        <v>5162</v>
      </c>
      <c r="D10502" s="22" t="str">
        <f>HYPERLINK("https://rhld.insurance.arkansas.gov/NPILookup?Npi=1932745478","1932745478")</f>
        <v>1932745478</v>
      </c>
      <c r="E10502" s="1" t="s">
        <v>20027</v>
      </c>
      <c r="F10502" s="2"/>
      <c r="G10502" s="2"/>
      <c r="H10502" s="2"/>
    </row>
    <row r="10503" spans="1:8" x14ac:dyDescent="0.25">
      <c r="A10503" s="1"/>
      <c r="B10503" s="1" t="s">
        <v>5161</v>
      </c>
      <c r="C10503" s="1" t="s">
        <v>5162</v>
      </c>
      <c r="D10503" s="22" t="str">
        <f>HYPERLINK("https://rhld.insurance.arkansas.gov/NPILookup?Npi=1932818291","1932818291")</f>
        <v>1932818291</v>
      </c>
      <c r="E10503" s="1" t="s">
        <v>20028</v>
      </c>
      <c r="F10503" s="2"/>
      <c r="G10503" s="2"/>
      <c r="H10503" s="2"/>
    </row>
    <row r="10504" spans="1:8" x14ac:dyDescent="0.25">
      <c r="A10504" s="1"/>
      <c r="B10504" s="1" t="s">
        <v>5161</v>
      </c>
      <c r="C10504" s="1" t="s">
        <v>5162</v>
      </c>
      <c r="D10504" s="22" t="str">
        <f>HYPERLINK("https://rhld.insurance.arkansas.gov/NPILookup?Npi=1932887890","1932887890")</f>
        <v>1932887890</v>
      </c>
      <c r="E10504" s="1" t="s">
        <v>5504</v>
      </c>
      <c r="F10504" s="2"/>
      <c r="G10504" s="2"/>
      <c r="H10504" s="2"/>
    </row>
    <row r="10505" spans="1:8" x14ac:dyDescent="0.25">
      <c r="A10505" s="1"/>
      <c r="B10505" s="1" t="s">
        <v>5161</v>
      </c>
      <c r="C10505" s="1" t="s">
        <v>5162</v>
      </c>
      <c r="D10505" s="22" t="str">
        <f>HYPERLINK("https://rhld.insurance.arkansas.gov/NPILookup?Npi=1932893690","1932893690")</f>
        <v>1932893690</v>
      </c>
      <c r="E10505" s="1" t="s">
        <v>5505</v>
      </c>
      <c r="F10505" s="2"/>
      <c r="G10505" s="2"/>
      <c r="H10505" s="2"/>
    </row>
    <row r="10506" spans="1:8" x14ac:dyDescent="0.25">
      <c r="A10506" s="1"/>
      <c r="B10506" s="1" t="s">
        <v>5161</v>
      </c>
      <c r="C10506" s="1" t="s">
        <v>5162</v>
      </c>
      <c r="D10506" s="22" t="str">
        <f>HYPERLINK("https://rhld.insurance.arkansas.gov/NPILookup?Npi=1942289384","1942289384")</f>
        <v>1942289384</v>
      </c>
      <c r="E10506" s="1" t="s">
        <v>11116</v>
      </c>
      <c r="F10506" s="2"/>
      <c r="G10506" s="2"/>
      <c r="H10506" s="2"/>
    </row>
    <row r="10507" spans="1:8" x14ac:dyDescent="0.25">
      <c r="A10507" s="1"/>
      <c r="B10507" s="1" t="s">
        <v>5161</v>
      </c>
      <c r="C10507" s="1" t="s">
        <v>5162</v>
      </c>
      <c r="D10507" s="22" t="str">
        <f>HYPERLINK("https://rhld.insurance.arkansas.gov/NPILookup?Npi=1942346473","1942346473")</f>
        <v>1942346473</v>
      </c>
      <c r="E10507" s="1" t="s">
        <v>2234</v>
      </c>
      <c r="F10507" s="2"/>
      <c r="G10507" s="2"/>
      <c r="H10507" s="2"/>
    </row>
    <row r="10508" spans="1:8" x14ac:dyDescent="0.25">
      <c r="A10508" s="1"/>
      <c r="B10508" s="1" t="s">
        <v>5161</v>
      </c>
      <c r="C10508" s="1" t="s">
        <v>5162</v>
      </c>
      <c r="D10508" s="22" t="str">
        <f>HYPERLINK("https://rhld.insurance.arkansas.gov/NPILookup?Npi=1942433149","1942433149")</f>
        <v>1942433149</v>
      </c>
      <c r="E10508" s="1" t="s">
        <v>31736</v>
      </c>
      <c r="F10508" s="2"/>
      <c r="G10508" s="2"/>
      <c r="H10508" s="2"/>
    </row>
    <row r="10509" spans="1:8" x14ac:dyDescent="0.25">
      <c r="A10509" s="1"/>
      <c r="B10509" s="1" t="s">
        <v>5161</v>
      </c>
      <c r="C10509" s="1" t="s">
        <v>5162</v>
      </c>
      <c r="D10509" s="22" t="str">
        <f>HYPERLINK("https://rhld.insurance.arkansas.gov/NPILookup?Npi=1942508072","1942508072")</f>
        <v>1942508072</v>
      </c>
      <c r="E10509" s="1" t="s">
        <v>5506</v>
      </c>
      <c r="F10509" s="2"/>
      <c r="G10509" s="2"/>
      <c r="H10509" s="2"/>
    </row>
    <row r="10510" spans="1:8" x14ac:dyDescent="0.25">
      <c r="A10510" s="1"/>
      <c r="B10510" s="1" t="s">
        <v>5161</v>
      </c>
      <c r="C10510" s="1" t="s">
        <v>5162</v>
      </c>
      <c r="D10510" s="22" t="str">
        <f>HYPERLINK("https://rhld.insurance.arkansas.gov/NPILookup?Npi=1942559935","1942559935")</f>
        <v>1942559935</v>
      </c>
      <c r="E10510" s="1" t="s">
        <v>11117</v>
      </c>
      <c r="F10510" s="2"/>
      <c r="G10510" s="2"/>
      <c r="H10510" s="2"/>
    </row>
    <row r="10511" spans="1:8" x14ac:dyDescent="0.25">
      <c r="A10511" s="1"/>
      <c r="B10511" s="1" t="s">
        <v>5161</v>
      </c>
      <c r="C10511" s="1" t="s">
        <v>5162</v>
      </c>
      <c r="D10511" s="22" t="str">
        <f>HYPERLINK("https://rhld.insurance.arkansas.gov/NPILookup?Npi=1942601562","1942601562")</f>
        <v>1942601562</v>
      </c>
      <c r="E10511" s="1" t="s">
        <v>13868</v>
      </c>
      <c r="F10511" s="2"/>
      <c r="G10511" s="2"/>
      <c r="H10511" s="2"/>
    </row>
    <row r="10512" spans="1:8" x14ac:dyDescent="0.25">
      <c r="A10512" s="1"/>
      <c r="B10512" s="1" t="s">
        <v>5161</v>
      </c>
      <c r="C10512" s="1" t="s">
        <v>5162</v>
      </c>
      <c r="D10512" s="22" t="str">
        <f>HYPERLINK("https://rhld.insurance.arkansas.gov/NPILookup?Npi=1942687892","1942687892")</f>
        <v>1942687892</v>
      </c>
      <c r="E10512" s="1" t="s">
        <v>20029</v>
      </c>
      <c r="F10512" s="2"/>
      <c r="G10512" s="2"/>
      <c r="H10512" s="2"/>
    </row>
    <row r="10513" spans="1:8" x14ac:dyDescent="0.25">
      <c r="A10513" s="1"/>
      <c r="B10513" s="1" t="s">
        <v>5161</v>
      </c>
      <c r="C10513" s="1" t="s">
        <v>5162</v>
      </c>
      <c r="D10513" s="22" t="str">
        <f>HYPERLINK("https://rhld.insurance.arkansas.gov/NPILookup?Npi=1942726070","1942726070")</f>
        <v>1942726070</v>
      </c>
      <c r="E10513" s="1" t="s">
        <v>20030</v>
      </c>
      <c r="F10513" s="2"/>
      <c r="G10513" s="2"/>
      <c r="H10513" s="2"/>
    </row>
    <row r="10514" spans="1:8" x14ac:dyDescent="0.25">
      <c r="A10514" s="1"/>
      <c r="B10514" s="1" t="s">
        <v>5161</v>
      </c>
      <c r="C10514" s="1" t="s">
        <v>5162</v>
      </c>
      <c r="D10514" s="22" t="str">
        <f>HYPERLINK("https://rhld.insurance.arkansas.gov/NPILookup?Npi=1942784251","1942784251")</f>
        <v>1942784251</v>
      </c>
      <c r="E10514" s="1" t="s">
        <v>20031</v>
      </c>
      <c r="F10514" s="2"/>
      <c r="G10514" s="2"/>
      <c r="H10514" s="2"/>
    </row>
    <row r="10515" spans="1:8" x14ac:dyDescent="0.25">
      <c r="A10515" s="1"/>
      <c r="B10515" s="1" t="s">
        <v>5161</v>
      </c>
      <c r="C10515" s="1" t="s">
        <v>5162</v>
      </c>
      <c r="D10515" s="22" t="str">
        <f>HYPERLINK("https://rhld.insurance.arkansas.gov/NPILookup?Npi=1942832928","1942832928")</f>
        <v>1942832928</v>
      </c>
      <c r="E10515" s="1" t="s">
        <v>5507</v>
      </c>
      <c r="F10515" s="2"/>
      <c r="G10515" s="2"/>
      <c r="H10515" s="2"/>
    </row>
    <row r="10516" spans="1:8" x14ac:dyDescent="0.25">
      <c r="A10516" s="1"/>
      <c r="B10516" s="1" t="s">
        <v>5161</v>
      </c>
      <c r="C10516" s="1" t="s">
        <v>5162</v>
      </c>
      <c r="D10516" s="22" t="str">
        <f>HYPERLINK("https://rhld.insurance.arkansas.gov/NPILookup?Npi=1942940960","1942940960")</f>
        <v>1942940960</v>
      </c>
      <c r="E10516" s="1" t="s">
        <v>5508</v>
      </c>
      <c r="F10516" s="2"/>
      <c r="G10516" s="2"/>
      <c r="H10516" s="2"/>
    </row>
    <row r="10517" spans="1:8" x14ac:dyDescent="0.25">
      <c r="A10517" s="1"/>
      <c r="B10517" s="1" t="s">
        <v>5161</v>
      </c>
      <c r="C10517" s="1" t="s">
        <v>5162</v>
      </c>
      <c r="D10517" s="22" t="str">
        <f>HYPERLINK("https://rhld.insurance.arkansas.gov/NPILookup?Npi=1942991161","1942991161")</f>
        <v>1942991161</v>
      </c>
      <c r="E10517" s="1" t="s">
        <v>31737</v>
      </c>
      <c r="F10517" s="2"/>
      <c r="G10517" s="2"/>
      <c r="H10517" s="2"/>
    </row>
    <row r="10518" spans="1:8" x14ac:dyDescent="0.25">
      <c r="A10518" s="1"/>
      <c r="B10518" s="1" t="s">
        <v>5161</v>
      </c>
      <c r="C10518" s="1" t="s">
        <v>5162</v>
      </c>
      <c r="D10518" s="22" t="str">
        <f>HYPERLINK("https://rhld.insurance.arkansas.gov/NPILookup?Npi=1952040321","1952040321")</f>
        <v>1952040321</v>
      </c>
      <c r="E10518" s="1" t="s">
        <v>5509</v>
      </c>
      <c r="F10518" s="2"/>
      <c r="G10518" s="2"/>
      <c r="H10518" s="2"/>
    </row>
    <row r="10519" spans="1:8" x14ac:dyDescent="0.25">
      <c r="A10519" s="1"/>
      <c r="B10519" s="1" t="s">
        <v>5161</v>
      </c>
      <c r="C10519" s="1" t="s">
        <v>5162</v>
      </c>
      <c r="D10519" s="22" t="str">
        <f>HYPERLINK("https://rhld.insurance.arkansas.gov/NPILookup?Npi=1952064917","1952064917")</f>
        <v>1952064917</v>
      </c>
      <c r="E10519" s="1" t="s">
        <v>20032</v>
      </c>
      <c r="F10519" s="2"/>
      <c r="G10519" s="2"/>
      <c r="H10519" s="2"/>
    </row>
    <row r="10520" spans="1:8" x14ac:dyDescent="0.25">
      <c r="A10520" s="1"/>
      <c r="B10520" s="1" t="s">
        <v>5161</v>
      </c>
      <c r="C10520" s="1" t="s">
        <v>5162</v>
      </c>
      <c r="D10520" s="22" t="str">
        <f>HYPERLINK("https://rhld.insurance.arkansas.gov/NPILookup?Npi=1952081283","1952081283")</f>
        <v>1952081283</v>
      </c>
      <c r="E10520" s="1" t="s">
        <v>11118</v>
      </c>
      <c r="F10520" s="2"/>
      <c r="G10520" s="2"/>
      <c r="H10520" s="2"/>
    </row>
    <row r="10521" spans="1:8" x14ac:dyDescent="0.25">
      <c r="A10521" s="1"/>
      <c r="B10521" s="1" t="s">
        <v>5161</v>
      </c>
      <c r="C10521" s="1" t="s">
        <v>5162</v>
      </c>
      <c r="D10521" s="22" t="str">
        <f>HYPERLINK("https://rhld.insurance.arkansas.gov/NPILookup?Npi=1952095903","1952095903")</f>
        <v>1952095903</v>
      </c>
      <c r="E10521" s="1" t="s">
        <v>5510</v>
      </c>
      <c r="F10521" s="2"/>
      <c r="G10521" s="2"/>
      <c r="H10521" s="2"/>
    </row>
    <row r="10522" spans="1:8" x14ac:dyDescent="0.25">
      <c r="A10522" s="1"/>
      <c r="B10522" s="1" t="s">
        <v>5161</v>
      </c>
      <c r="C10522" s="1" t="s">
        <v>5162</v>
      </c>
      <c r="D10522" s="22" t="str">
        <f>HYPERLINK("https://rhld.insurance.arkansas.gov/NPILookup?Npi=1952447880","1952447880")</f>
        <v>1952447880</v>
      </c>
      <c r="E10522" s="1" t="s">
        <v>20033</v>
      </c>
      <c r="F10522" s="2"/>
      <c r="G10522" s="2"/>
      <c r="H10522" s="2"/>
    </row>
    <row r="10523" spans="1:8" x14ac:dyDescent="0.25">
      <c r="A10523" s="1"/>
      <c r="B10523" s="1" t="s">
        <v>5161</v>
      </c>
      <c r="C10523" s="1" t="s">
        <v>5162</v>
      </c>
      <c r="D10523" s="22" t="str">
        <f>HYPERLINK("https://rhld.insurance.arkansas.gov/NPILookup?Npi=1952519811","1952519811")</f>
        <v>1952519811</v>
      </c>
      <c r="E10523" s="1" t="s">
        <v>20034</v>
      </c>
      <c r="F10523" s="2"/>
      <c r="G10523" s="2"/>
      <c r="H10523" s="2"/>
    </row>
    <row r="10524" spans="1:8" x14ac:dyDescent="0.25">
      <c r="A10524" s="1"/>
      <c r="B10524" s="1" t="s">
        <v>5161</v>
      </c>
      <c r="C10524" s="1" t="s">
        <v>5162</v>
      </c>
      <c r="D10524" s="22" t="str">
        <f>HYPERLINK("https://rhld.insurance.arkansas.gov/NPILookup?Npi=1952525537","1952525537")</f>
        <v>1952525537</v>
      </c>
      <c r="E10524" s="1" t="s">
        <v>20035</v>
      </c>
      <c r="F10524" s="2"/>
      <c r="G10524" s="2"/>
      <c r="H10524" s="2"/>
    </row>
    <row r="10525" spans="1:8" x14ac:dyDescent="0.25">
      <c r="A10525" s="1"/>
      <c r="B10525" s="1" t="s">
        <v>5161</v>
      </c>
      <c r="C10525" s="1" t="s">
        <v>5162</v>
      </c>
      <c r="D10525" s="22" t="str">
        <f>HYPERLINK("https://rhld.insurance.arkansas.gov/NPILookup?Npi=1952602229","1952602229")</f>
        <v>1952602229</v>
      </c>
      <c r="E10525" s="1" t="s">
        <v>20036</v>
      </c>
      <c r="F10525" s="2"/>
      <c r="G10525" s="2"/>
      <c r="H10525" s="2"/>
    </row>
    <row r="10526" spans="1:8" x14ac:dyDescent="0.25">
      <c r="A10526" s="1"/>
      <c r="B10526" s="1" t="s">
        <v>5161</v>
      </c>
      <c r="C10526" s="1" t="s">
        <v>5162</v>
      </c>
      <c r="D10526" s="22" t="str">
        <f>HYPERLINK("https://rhld.insurance.arkansas.gov/NPILookup?Npi=1952683740","1952683740")</f>
        <v>1952683740</v>
      </c>
      <c r="E10526" s="1" t="s">
        <v>5512</v>
      </c>
      <c r="F10526" s="2"/>
      <c r="G10526" s="2"/>
      <c r="H10526" s="2"/>
    </row>
    <row r="10527" spans="1:8" x14ac:dyDescent="0.25">
      <c r="A10527" s="1"/>
      <c r="B10527" s="1" t="s">
        <v>5161</v>
      </c>
      <c r="C10527" s="1" t="s">
        <v>5162</v>
      </c>
      <c r="D10527" s="22" t="str">
        <f>HYPERLINK("https://rhld.insurance.arkansas.gov/NPILookup?Npi=1952706996","1952706996")</f>
        <v>1952706996</v>
      </c>
      <c r="E10527" s="1" t="s">
        <v>20037</v>
      </c>
      <c r="F10527" s="2"/>
      <c r="G10527" s="2"/>
      <c r="H10527" s="2"/>
    </row>
    <row r="10528" spans="1:8" x14ac:dyDescent="0.25">
      <c r="A10528" s="1"/>
      <c r="B10528" s="1" t="s">
        <v>5161</v>
      </c>
      <c r="C10528" s="1" t="s">
        <v>5162</v>
      </c>
      <c r="D10528" s="22" t="str">
        <f>HYPERLINK("https://rhld.insurance.arkansas.gov/NPILookup?Npi=1952719114","1952719114")</f>
        <v>1952719114</v>
      </c>
      <c r="E10528" s="1" t="s">
        <v>5513</v>
      </c>
      <c r="F10528" s="2"/>
      <c r="G10528" s="2"/>
      <c r="H10528" s="2"/>
    </row>
    <row r="10529" spans="1:8" x14ac:dyDescent="0.25">
      <c r="A10529" s="1"/>
      <c r="B10529" s="1" t="s">
        <v>5161</v>
      </c>
      <c r="C10529" s="1" t="s">
        <v>5162</v>
      </c>
      <c r="D10529" s="22" t="str">
        <f>HYPERLINK("https://rhld.insurance.arkansas.gov/NPILookup?Npi=1952785602","1952785602")</f>
        <v>1952785602</v>
      </c>
      <c r="E10529" s="1" t="s">
        <v>20038</v>
      </c>
      <c r="F10529" s="2"/>
      <c r="G10529" s="2"/>
      <c r="H10529" s="2"/>
    </row>
    <row r="10530" spans="1:8" x14ac:dyDescent="0.25">
      <c r="A10530" s="1"/>
      <c r="B10530" s="1" t="s">
        <v>5161</v>
      </c>
      <c r="C10530" s="1" t="s">
        <v>5162</v>
      </c>
      <c r="D10530" s="22" t="str">
        <f>HYPERLINK("https://rhld.insurance.arkansas.gov/NPILookup?Npi=1952787624","1952787624")</f>
        <v>1952787624</v>
      </c>
      <c r="E10530" s="1" t="s">
        <v>5514</v>
      </c>
      <c r="F10530" s="2"/>
      <c r="G10530" s="2"/>
      <c r="H10530" s="2"/>
    </row>
    <row r="10531" spans="1:8" x14ac:dyDescent="0.25">
      <c r="A10531" s="1"/>
      <c r="B10531" s="1" t="s">
        <v>5161</v>
      </c>
      <c r="C10531" s="1" t="s">
        <v>5162</v>
      </c>
      <c r="D10531" s="22" t="str">
        <f>HYPERLINK("https://rhld.insurance.arkansas.gov/NPILookup?Npi=1952876930","1952876930")</f>
        <v>1952876930</v>
      </c>
      <c r="E10531" s="1" t="s">
        <v>20039</v>
      </c>
      <c r="F10531" s="2"/>
      <c r="G10531" s="2"/>
      <c r="H10531" s="2"/>
    </row>
    <row r="10532" spans="1:8" x14ac:dyDescent="0.25">
      <c r="A10532" s="1"/>
      <c r="B10532" s="1" t="s">
        <v>5161</v>
      </c>
      <c r="C10532" s="1" t="s">
        <v>5162</v>
      </c>
      <c r="D10532" s="22" t="str">
        <f>HYPERLINK("https://rhld.insurance.arkansas.gov/NPILookup?Npi=1952895534","1952895534")</f>
        <v>1952895534</v>
      </c>
      <c r="E10532" s="1" t="s">
        <v>20040</v>
      </c>
      <c r="F10532" s="2"/>
      <c r="G10532" s="2"/>
      <c r="H10532" s="2"/>
    </row>
    <row r="10533" spans="1:8" x14ac:dyDescent="0.25">
      <c r="A10533" s="1"/>
      <c r="B10533" s="1" t="s">
        <v>5161</v>
      </c>
      <c r="C10533" s="1" t="s">
        <v>5162</v>
      </c>
      <c r="D10533" s="22" t="str">
        <f>HYPERLINK("https://rhld.insurance.arkansas.gov/NPILookup?Npi=1952900102","1952900102")</f>
        <v>1952900102</v>
      </c>
      <c r="E10533" s="1" t="s">
        <v>20041</v>
      </c>
      <c r="F10533" s="2"/>
      <c r="G10533" s="2"/>
      <c r="H10533" s="2"/>
    </row>
    <row r="10534" spans="1:8" x14ac:dyDescent="0.25">
      <c r="A10534" s="1"/>
      <c r="B10534" s="1" t="s">
        <v>5161</v>
      </c>
      <c r="C10534" s="1" t="s">
        <v>5162</v>
      </c>
      <c r="D10534" s="22" t="str">
        <f>HYPERLINK("https://rhld.insurance.arkansas.gov/NPILookup?Npi=1952942021","1952942021")</f>
        <v>1952942021</v>
      </c>
      <c r="E10534" s="1" t="s">
        <v>5515</v>
      </c>
      <c r="F10534" s="2"/>
      <c r="G10534" s="2"/>
      <c r="H10534" s="2"/>
    </row>
    <row r="10535" spans="1:8" x14ac:dyDescent="0.25">
      <c r="A10535" s="1"/>
      <c r="B10535" s="1" t="s">
        <v>5161</v>
      </c>
      <c r="C10535" s="1" t="s">
        <v>5162</v>
      </c>
      <c r="D10535" s="22" t="str">
        <f>HYPERLINK("https://rhld.insurance.arkansas.gov/NPILookup?Npi=1952952111","1952952111")</f>
        <v>1952952111</v>
      </c>
      <c r="E10535" s="1" t="s">
        <v>5516</v>
      </c>
      <c r="F10535" s="2"/>
      <c r="G10535" s="2"/>
      <c r="H10535" s="2"/>
    </row>
    <row r="10536" spans="1:8" x14ac:dyDescent="0.25">
      <c r="A10536" s="1"/>
      <c r="B10536" s="1" t="s">
        <v>5161</v>
      </c>
      <c r="C10536" s="1" t="s">
        <v>5162</v>
      </c>
      <c r="D10536" s="22" t="str">
        <f>HYPERLINK("https://rhld.insurance.arkansas.gov/NPILookup?Npi=1962008722","1962008722")</f>
        <v>1962008722</v>
      </c>
      <c r="E10536" s="1" t="s">
        <v>11119</v>
      </c>
      <c r="F10536" s="2"/>
      <c r="G10536" s="2"/>
      <c r="H10536" s="2"/>
    </row>
    <row r="10537" spans="1:8" x14ac:dyDescent="0.25">
      <c r="A10537" s="1"/>
      <c r="B10537" s="1" t="s">
        <v>5161</v>
      </c>
      <c r="C10537" s="1" t="s">
        <v>5162</v>
      </c>
      <c r="D10537" s="22" t="str">
        <f>HYPERLINK("https://rhld.insurance.arkansas.gov/NPILookup?Npi=1962111906","1962111906")</f>
        <v>1962111906</v>
      </c>
      <c r="E10537" s="1" t="s">
        <v>20042</v>
      </c>
      <c r="F10537" s="2"/>
      <c r="G10537" s="2"/>
      <c r="H10537" s="2"/>
    </row>
    <row r="10538" spans="1:8" x14ac:dyDescent="0.25">
      <c r="A10538" s="1"/>
      <c r="B10538" s="1" t="s">
        <v>5161</v>
      </c>
      <c r="C10538" s="1" t="s">
        <v>5162</v>
      </c>
      <c r="D10538" s="22" t="str">
        <f>HYPERLINK("https://rhld.insurance.arkansas.gov/NPILookup?Npi=1962182964","1962182964")</f>
        <v>1962182964</v>
      </c>
      <c r="E10538" s="1" t="s">
        <v>31738</v>
      </c>
      <c r="F10538" s="2"/>
      <c r="G10538" s="2"/>
      <c r="H10538" s="2"/>
    </row>
    <row r="10539" spans="1:8" x14ac:dyDescent="0.25">
      <c r="A10539" s="1"/>
      <c r="B10539" s="1" t="s">
        <v>5161</v>
      </c>
      <c r="C10539" s="1" t="s">
        <v>5162</v>
      </c>
      <c r="D10539" s="22" t="str">
        <f>HYPERLINK("https://rhld.insurance.arkansas.gov/NPILookup?Npi=1962509950","1962509950")</f>
        <v>1962509950</v>
      </c>
      <c r="E10539" s="1" t="s">
        <v>5517</v>
      </c>
      <c r="F10539" s="2"/>
      <c r="G10539" s="2"/>
      <c r="H10539" s="2"/>
    </row>
    <row r="10540" spans="1:8" x14ac:dyDescent="0.25">
      <c r="A10540" s="1"/>
      <c r="B10540" s="1" t="s">
        <v>5161</v>
      </c>
      <c r="C10540" s="1" t="s">
        <v>5162</v>
      </c>
      <c r="D10540" s="22" t="str">
        <f>HYPERLINK("https://rhld.insurance.arkansas.gov/NPILookup?Npi=1962636282","1962636282")</f>
        <v>1962636282</v>
      </c>
      <c r="E10540" s="1" t="s">
        <v>5518</v>
      </c>
      <c r="F10540" s="2"/>
      <c r="G10540" s="2"/>
      <c r="H10540" s="2"/>
    </row>
    <row r="10541" spans="1:8" x14ac:dyDescent="0.25">
      <c r="A10541" s="1"/>
      <c r="B10541" s="1" t="s">
        <v>5161</v>
      </c>
      <c r="C10541" s="1" t="s">
        <v>5162</v>
      </c>
      <c r="D10541" s="22" t="str">
        <f>HYPERLINK("https://rhld.insurance.arkansas.gov/NPILookup?Npi=1962672162","1962672162")</f>
        <v>1962672162</v>
      </c>
      <c r="E10541" s="1" t="s">
        <v>11120</v>
      </c>
      <c r="F10541" s="2"/>
      <c r="G10541" s="2"/>
      <c r="H10541" s="2"/>
    </row>
    <row r="10542" spans="1:8" x14ac:dyDescent="0.25">
      <c r="A10542" s="1"/>
      <c r="B10542" s="1" t="s">
        <v>5161</v>
      </c>
      <c r="C10542" s="1" t="s">
        <v>5162</v>
      </c>
      <c r="D10542" s="22" t="str">
        <f>HYPERLINK("https://rhld.insurance.arkansas.gov/NPILookup?Npi=1962849968","1962849968")</f>
        <v>1962849968</v>
      </c>
      <c r="E10542" s="1" t="s">
        <v>20043</v>
      </c>
      <c r="F10542" s="2"/>
      <c r="G10542" s="2"/>
      <c r="H10542" s="2"/>
    </row>
    <row r="10543" spans="1:8" x14ac:dyDescent="0.25">
      <c r="A10543" s="1"/>
      <c r="B10543" s="1" t="s">
        <v>5161</v>
      </c>
      <c r="C10543" s="1" t="s">
        <v>5162</v>
      </c>
      <c r="D10543" s="22" t="str">
        <f>HYPERLINK("https://rhld.insurance.arkansas.gov/NPILookup?Npi=1962861427","1962861427")</f>
        <v>1962861427</v>
      </c>
      <c r="E10543" s="1" t="s">
        <v>11121</v>
      </c>
      <c r="F10543" s="2"/>
      <c r="G10543" s="2"/>
      <c r="H10543" s="2"/>
    </row>
    <row r="10544" spans="1:8" x14ac:dyDescent="0.25">
      <c r="A10544" s="1"/>
      <c r="B10544" s="1" t="s">
        <v>5161</v>
      </c>
      <c r="C10544" s="1" t="s">
        <v>5162</v>
      </c>
      <c r="D10544" s="22" t="str">
        <f>HYPERLINK("https://rhld.insurance.arkansas.gov/NPILookup?Npi=1972059731","1972059731")</f>
        <v>1972059731</v>
      </c>
      <c r="E10544" s="1" t="s">
        <v>20044</v>
      </c>
      <c r="F10544" s="2"/>
      <c r="G10544" s="2"/>
      <c r="H10544" s="2"/>
    </row>
    <row r="10545" spans="1:8" x14ac:dyDescent="0.25">
      <c r="A10545" s="1"/>
      <c r="B10545" s="1" t="s">
        <v>5161</v>
      </c>
      <c r="C10545" s="1" t="s">
        <v>5162</v>
      </c>
      <c r="D10545" s="22" t="str">
        <f>HYPERLINK("https://rhld.insurance.arkansas.gov/NPILookup?Npi=1972181394","1972181394")</f>
        <v>1972181394</v>
      </c>
      <c r="E10545" s="1" t="s">
        <v>20045</v>
      </c>
      <c r="F10545" s="2"/>
      <c r="G10545" s="2"/>
      <c r="H10545" s="2"/>
    </row>
    <row r="10546" spans="1:8" x14ac:dyDescent="0.25">
      <c r="A10546" s="1"/>
      <c r="B10546" s="1" t="s">
        <v>5161</v>
      </c>
      <c r="C10546" s="1" t="s">
        <v>5162</v>
      </c>
      <c r="D10546" s="22" t="str">
        <f>HYPERLINK("https://rhld.insurance.arkansas.gov/NPILookup?Npi=1972340214","1972340214")</f>
        <v>1972340214</v>
      </c>
      <c r="E10546" s="1" t="s">
        <v>31739</v>
      </c>
      <c r="F10546" s="2"/>
      <c r="G10546" s="2"/>
      <c r="H10546" s="2"/>
    </row>
    <row r="10547" spans="1:8" x14ac:dyDescent="0.25">
      <c r="A10547" s="1"/>
      <c r="B10547" s="1" t="s">
        <v>5161</v>
      </c>
      <c r="C10547" s="1" t="s">
        <v>5162</v>
      </c>
      <c r="D10547" s="22" t="str">
        <f>HYPERLINK("https://rhld.insurance.arkansas.gov/NPILookup?Npi=1972349629","1972349629")</f>
        <v>1972349629</v>
      </c>
      <c r="E10547" s="1" t="s">
        <v>20046</v>
      </c>
      <c r="F10547" s="2"/>
      <c r="G10547" s="2"/>
      <c r="H10547" s="2"/>
    </row>
    <row r="10548" spans="1:8" x14ac:dyDescent="0.25">
      <c r="A10548" s="1"/>
      <c r="B10548" s="1" t="s">
        <v>5161</v>
      </c>
      <c r="C10548" s="1" t="s">
        <v>5162</v>
      </c>
      <c r="D10548" s="22" t="str">
        <f>HYPERLINK("https://rhld.insurance.arkansas.gov/NPILookup?Npi=1972636280","1972636280")</f>
        <v>1972636280</v>
      </c>
      <c r="E10548" s="1" t="s">
        <v>20047</v>
      </c>
      <c r="F10548" s="2"/>
      <c r="G10548" s="2"/>
      <c r="H10548" s="2"/>
    </row>
    <row r="10549" spans="1:8" x14ac:dyDescent="0.25">
      <c r="A10549" s="1"/>
      <c r="B10549" s="1" t="s">
        <v>5161</v>
      </c>
      <c r="C10549" s="1" t="s">
        <v>5162</v>
      </c>
      <c r="D10549" s="22" t="str">
        <f>HYPERLINK("https://rhld.insurance.arkansas.gov/NPILookup?Npi=1972659126","1972659126")</f>
        <v>1972659126</v>
      </c>
      <c r="E10549" s="1" t="s">
        <v>20048</v>
      </c>
      <c r="F10549" s="2"/>
      <c r="G10549" s="2"/>
      <c r="H10549" s="2"/>
    </row>
    <row r="10550" spans="1:8" x14ac:dyDescent="0.25">
      <c r="A10550" s="1"/>
      <c r="B10550" s="1" t="s">
        <v>5161</v>
      </c>
      <c r="C10550" s="1" t="s">
        <v>5162</v>
      </c>
      <c r="D10550" s="22" t="str">
        <f>HYPERLINK("https://rhld.insurance.arkansas.gov/NPILookup?Npi=1972823326","1972823326")</f>
        <v>1972823326</v>
      </c>
      <c r="E10550" s="1" t="s">
        <v>5519</v>
      </c>
      <c r="F10550" s="2"/>
      <c r="G10550" s="2"/>
      <c r="H10550" s="2"/>
    </row>
    <row r="10551" spans="1:8" x14ac:dyDescent="0.25">
      <c r="A10551" s="1"/>
      <c r="B10551" s="1" t="s">
        <v>5161</v>
      </c>
      <c r="C10551" s="1" t="s">
        <v>5162</v>
      </c>
      <c r="D10551" s="22" t="str">
        <f>HYPERLINK("https://rhld.insurance.arkansas.gov/NPILookup?Npi=1972845782","1972845782")</f>
        <v>1972845782</v>
      </c>
      <c r="E10551" s="1" t="s">
        <v>20049</v>
      </c>
      <c r="F10551" s="2"/>
      <c r="G10551" s="2"/>
      <c r="H10551" s="2"/>
    </row>
    <row r="10552" spans="1:8" x14ac:dyDescent="0.25">
      <c r="A10552" s="1"/>
      <c r="B10552" s="1" t="s">
        <v>5161</v>
      </c>
      <c r="C10552" s="1" t="s">
        <v>5162</v>
      </c>
      <c r="D10552" s="22" t="str">
        <f>HYPERLINK("https://rhld.insurance.arkansas.gov/NPILookup?Npi=1972962264","1972962264")</f>
        <v>1972962264</v>
      </c>
      <c r="E10552" s="1" t="s">
        <v>20050</v>
      </c>
      <c r="F10552" s="2"/>
      <c r="G10552" s="2"/>
      <c r="H10552" s="2"/>
    </row>
    <row r="10553" spans="1:8" x14ac:dyDescent="0.25">
      <c r="A10553" s="1"/>
      <c r="B10553" s="1" t="s">
        <v>5161</v>
      </c>
      <c r="C10553" s="1" t="s">
        <v>5162</v>
      </c>
      <c r="D10553" s="22" t="str">
        <f>HYPERLINK("https://rhld.insurance.arkansas.gov/NPILookup?Npi=1982037560","1982037560")</f>
        <v>1982037560</v>
      </c>
      <c r="E10553" s="1" t="s">
        <v>5520</v>
      </c>
      <c r="F10553" s="2"/>
      <c r="G10553" s="2"/>
      <c r="H10553" s="2"/>
    </row>
    <row r="10554" spans="1:8" x14ac:dyDescent="0.25">
      <c r="A10554" s="1"/>
      <c r="B10554" s="1" t="s">
        <v>5161</v>
      </c>
      <c r="C10554" s="1" t="s">
        <v>5162</v>
      </c>
      <c r="D10554" s="22" t="str">
        <f>HYPERLINK("https://rhld.insurance.arkansas.gov/NPILookup?Npi=1982384384","1982384384")</f>
        <v>1982384384</v>
      </c>
      <c r="E10554" s="1" t="s">
        <v>5521</v>
      </c>
      <c r="F10554" s="2"/>
      <c r="G10554" s="2"/>
      <c r="H10554" s="2"/>
    </row>
    <row r="10555" spans="1:8" x14ac:dyDescent="0.25">
      <c r="A10555" s="1"/>
      <c r="B10555" s="1" t="s">
        <v>5161</v>
      </c>
      <c r="C10555" s="1" t="s">
        <v>5162</v>
      </c>
      <c r="D10555" s="22" t="str">
        <f>HYPERLINK("https://rhld.insurance.arkansas.gov/NPILookup?Npi=1982424305","1982424305")</f>
        <v>1982424305</v>
      </c>
      <c r="E10555" s="1" t="s">
        <v>20051</v>
      </c>
      <c r="F10555" s="2"/>
      <c r="G10555" s="2"/>
      <c r="H10555" s="2"/>
    </row>
    <row r="10556" spans="1:8" x14ac:dyDescent="0.25">
      <c r="A10556" s="1"/>
      <c r="B10556" s="1" t="s">
        <v>5161</v>
      </c>
      <c r="C10556" s="1" t="s">
        <v>5162</v>
      </c>
      <c r="D10556" s="22" t="str">
        <f>HYPERLINK("https://rhld.insurance.arkansas.gov/NPILookup?Npi=1982481842","1982481842")</f>
        <v>1982481842</v>
      </c>
      <c r="E10556" s="1" t="s">
        <v>31740</v>
      </c>
      <c r="F10556" s="2"/>
      <c r="G10556" s="2"/>
      <c r="H10556" s="2"/>
    </row>
    <row r="10557" spans="1:8" x14ac:dyDescent="0.25">
      <c r="A10557" s="1"/>
      <c r="B10557" s="1" t="s">
        <v>5161</v>
      </c>
      <c r="C10557" s="1" t="s">
        <v>5162</v>
      </c>
      <c r="D10557" s="22" t="str">
        <f>HYPERLINK("https://rhld.insurance.arkansas.gov/NPILookup?Npi=1992135487","1992135487")</f>
        <v>1992135487</v>
      </c>
      <c r="E10557" s="1" t="s">
        <v>5522</v>
      </c>
      <c r="F10557" s="2"/>
      <c r="G10557" s="2"/>
      <c r="H10557" s="2"/>
    </row>
    <row r="10558" spans="1:8" x14ac:dyDescent="0.25">
      <c r="A10558" s="1"/>
      <c r="B10558" s="1" t="s">
        <v>5161</v>
      </c>
      <c r="C10558" s="1" t="s">
        <v>5162</v>
      </c>
      <c r="D10558" s="22" t="str">
        <f>HYPERLINK("https://rhld.insurance.arkansas.gov/NPILookup?Npi=1992192140","1992192140")</f>
        <v>1992192140</v>
      </c>
      <c r="E10558" s="1" t="s">
        <v>20052</v>
      </c>
      <c r="F10558" s="2"/>
      <c r="G10558" s="2"/>
      <c r="H10558" s="2"/>
    </row>
    <row r="10559" spans="1:8" x14ac:dyDescent="0.25">
      <c r="A10559" s="1"/>
      <c r="B10559" s="1" t="s">
        <v>5161</v>
      </c>
      <c r="C10559" s="1" t="s">
        <v>5162</v>
      </c>
      <c r="D10559" s="22" t="str">
        <f>HYPERLINK("https://rhld.insurance.arkansas.gov/NPILookup?Npi=1992265078","1992265078")</f>
        <v>1992265078</v>
      </c>
      <c r="E10559" s="1" t="s">
        <v>20053</v>
      </c>
      <c r="F10559" s="2"/>
      <c r="G10559" s="2"/>
      <c r="H10559" s="2"/>
    </row>
    <row r="10560" spans="1:8" x14ac:dyDescent="0.25">
      <c r="A10560" s="1"/>
      <c r="B10560" s="1" t="s">
        <v>5161</v>
      </c>
      <c r="C10560" s="1" t="s">
        <v>5162</v>
      </c>
      <c r="D10560" s="22" t="str">
        <f>HYPERLINK("https://rhld.insurance.arkansas.gov/NPILookup?Npi=1992265722","1992265722")</f>
        <v>1992265722</v>
      </c>
      <c r="E10560" s="1" t="s">
        <v>20054</v>
      </c>
      <c r="F10560" s="2"/>
      <c r="G10560" s="2"/>
      <c r="H10560" s="2"/>
    </row>
    <row r="10561" spans="1:8" x14ac:dyDescent="0.25">
      <c r="A10561" s="1"/>
      <c r="B10561" s="1" t="s">
        <v>5161</v>
      </c>
      <c r="C10561" s="1" t="s">
        <v>5162</v>
      </c>
      <c r="D10561" s="22" t="str">
        <f>HYPERLINK("https://rhld.insurance.arkansas.gov/NPILookup?Npi=1992292445","1992292445")</f>
        <v>1992292445</v>
      </c>
      <c r="E10561" s="1" t="s">
        <v>11122</v>
      </c>
      <c r="F10561" s="2"/>
      <c r="G10561" s="2"/>
      <c r="H10561" s="2"/>
    </row>
    <row r="10562" spans="1:8" x14ac:dyDescent="0.25">
      <c r="A10562" s="1"/>
      <c r="B10562" s="1" t="s">
        <v>5161</v>
      </c>
      <c r="C10562" s="1" t="s">
        <v>5162</v>
      </c>
      <c r="D10562" s="22" t="str">
        <f>HYPERLINK("https://rhld.insurance.arkansas.gov/NPILookup?Npi=1992352637","1992352637")</f>
        <v>1992352637</v>
      </c>
      <c r="E10562" s="1" t="s">
        <v>5523</v>
      </c>
      <c r="F10562" s="2"/>
      <c r="G10562" s="2"/>
      <c r="H10562" s="2"/>
    </row>
    <row r="10563" spans="1:8" x14ac:dyDescent="0.25">
      <c r="A10563" s="1"/>
      <c r="B10563" s="1" t="s">
        <v>5161</v>
      </c>
      <c r="C10563" s="1" t="s">
        <v>5162</v>
      </c>
      <c r="D10563" s="22" t="str">
        <f>HYPERLINK("https://rhld.insurance.arkansas.gov/NPILookup?Npi=1992406474","1992406474")</f>
        <v>1992406474</v>
      </c>
      <c r="E10563" s="1" t="s">
        <v>5524</v>
      </c>
      <c r="F10563" s="2"/>
      <c r="G10563" s="2"/>
      <c r="H10563" s="2"/>
    </row>
    <row r="10564" spans="1:8" x14ac:dyDescent="0.25">
      <c r="A10564" s="1"/>
      <c r="B10564" s="1" t="s">
        <v>5161</v>
      </c>
      <c r="C10564" s="1" t="s">
        <v>5162</v>
      </c>
      <c r="D10564" s="22" t="str">
        <f>HYPERLINK("https://rhld.insurance.arkansas.gov/NPILookup?Npi=1992428593","1992428593")</f>
        <v>1992428593</v>
      </c>
      <c r="E10564" s="1" t="s">
        <v>3065</v>
      </c>
      <c r="F10564" s="2"/>
      <c r="G10564" s="2"/>
      <c r="H10564" s="2"/>
    </row>
    <row r="10565" spans="1:8" x14ac:dyDescent="0.25">
      <c r="A10565" s="1"/>
      <c r="B10565" s="1" t="s">
        <v>5161</v>
      </c>
      <c r="C10565" s="1" t="s">
        <v>5162</v>
      </c>
      <c r="D10565" s="22" t="str">
        <f>HYPERLINK("https://rhld.insurance.arkansas.gov/NPILookup?Npi=1992437719","1992437719")</f>
        <v>1992437719</v>
      </c>
      <c r="E10565" s="1" t="s">
        <v>20055</v>
      </c>
      <c r="F10565" s="2"/>
      <c r="G10565" s="2"/>
      <c r="H10565" s="2"/>
    </row>
    <row r="10566" spans="1:8" x14ac:dyDescent="0.25">
      <c r="A10566" s="1"/>
      <c r="B10566" s="1" t="s">
        <v>5161</v>
      </c>
      <c r="C10566" s="1" t="s">
        <v>5162</v>
      </c>
      <c r="D10566" s="22" t="str">
        <f>HYPERLINK("https://rhld.insurance.arkansas.gov/NPILookup?Npi=1992470082","1992470082")</f>
        <v>1992470082</v>
      </c>
      <c r="E10566" s="1" t="s">
        <v>20056</v>
      </c>
      <c r="F10566" s="2"/>
      <c r="G10566" s="2"/>
      <c r="H10566" s="2"/>
    </row>
    <row r="10567" spans="1:8" x14ac:dyDescent="0.25">
      <c r="A10567" s="1"/>
      <c r="B10567" s="1" t="s">
        <v>5161</v>
      </c>
      <c r="C10567" s="1" t="s">
        <v>5162</v>
      </c>
      <c r="D10567" s="22" t="str">
        <f>HYPERLINK("https://rhld.insurance.arkansas.gov/NPILookup?Npi=1992523724","1992523724")</f>
        <v>1992523724</v>
      </c>
      <c r="E10567" s="1" t="s">
        <v>31741</v>
      </c>
      <c r="F10567" s="2"/>
      <c r="G10567" s="2"/>
      <c r="H10567" s="2"/>
    </row>
    <row r="10568" spans="1:8" x14ac:dyDescent="0.25">
      <c r="A10568" s="1"/>
      <c r="B10568" s="1" t="s">
        <v>5161</v>
      </c>
      <c r="C10568" s="1" t="s">
        <v>5162</v>
      </c>
      <c r="D10568" s="22" t="str">
        <f>HYPERLINK("https://rhld.insurance.arkansas.gov/NPILookup?Npi=1992915409","1992915409")</f>
        <v>1992915409</v>
      </c>
      <c r="E10568" s="1" t="s">
        <v>5525</v>
      </c>
      <c r="F10568" s="2"/>
      <c r="G10568" s="2"/>
      <c r="H10568" s="2"/>
    </row>
    <row r="10569" spans="1:8" x14ac:dyDescent="0.25">
      <c r="A10569" s="1"/>
      <c r="B10569" s="1" t="s">
        <v>5526</v>
      </c>
      <c r="C10569" s="1" t="s">
        <v>5527</v>
      </c>
      <c r="D10569" s="22" t="str">
        <f>HYPERLINK("https://rhld.insurance.arkansas.gov/NPILookup?Npi=1003080854","1003080854")</f>
        <v>1003080854</v>
      </c>
      <c r="E10569" s="1" t="s">
        <v>11123</v>
      </c>
      <c r="F10569" s="2"/>
      <c r="G10569" s="2"/>
      <c r="H10569" s="2"/>
    </row>
    <row r="10570" spans="1:8" x14ac:dyDescent="0.25">
      <c r="A10570" s="1"/>
      <c r="B10570" s="1" t="s">
        <v>5526</v>
      </c>
      <c r="C10570" s="1" t="s">
        <v>5527</v>
      </c>
      <c r="D10570" s="22" t="str">
        <f>HYPERLINK("https://rhld.insurance.arkansas.gov/NPILookup?Npi=1003089590","1003089590")</f>
        <v>1003089590</v>
      </c>
      <c r="E10570" s="1" t="s">
        <v>5528</v>
      </c>
      <c r="F10570" s="2"/>
      <c r="G10570" s="2"/>
      <c r="H10570" s="2"/>
    </row>
    <row r="10571" spans="1:8" x14ac:dyDescent="0.25">
      <c r="A10571" s="1"/>
      <c r="B10571" s="1" t="s">
        <v>5526</v>
      </c>
      <c r="C10571" s="1" t="s">
        <v>5527</v>
      </c>
      <c r="D10571" s="22" t="str">
        <f>HYPERLINK("https://rhld.insurance.arkansas.gov/NPILookup?Npi=1003337544","1003337544")</f>
        <v>1003337544</v>
      </c>
      <c r="E10571" s="1" t="s">
        <v>5529</v>
      </c>
      <c r="F10571" s="2"/>
      <c r="G10571" s="2"/>
      <c r="H10571" s="2"/>
    </row>
    <row r="10572" spans="1:8" x14ac:dyDescent="0.25">
      <c r="A10572" s="1"/>
      <c r="B10572" s="1" t="s">
        <v>5526</v>
      </c>
      <c r="C10572" s="1" t="s">
        <v>5527</v>
      </c>
      <c r="D10572" s="22" t="str">
        <f>HYPERLINK("https://rhld.insurance.arkansas.gov/NPILookup?Npi=1003819269","1003819269")</f>
        <v>1003819269</v>
      </c>
      <c r="E10572" s="1" t="s">
        <v>20058</v>
      </c>
      <c r="F10572" s="2"/>
      <c r="G10572" s="2"/>
      <c r="H10572" s="2"/>
    </row>
    <row r="10573" spans="1:8" x14ac:dyDescent="0.25">
      <c r="A10573" s="1"/>
      <c r="B10573" s="1" t="s">
        <v>5526</v>
      </c>
      <c r="C10573" s="1" t="s">
        <v>5527</v>
      </c>
      <c r="D10573" s="22" t="str">
        <f>HYPERLINK("https://rhld.insurance.arkansas.gov/NPILookup?Npi=1003821752","1003821752")</f>
        <v>1003821752</v>
      </c>
      <c r="E10573" s="1" t="s">
        <v>5530</v>
      </c>
      <c r="F10573" s="2"/>
      <c r="G10573" s="2"/>
      <c r="H10573" s="2"/>
    </row>
    <row r="10574" spans="1:8" x14ac:dyDescent="0.25">
      <c r="A10574" s="1"/>
      <c r="B10574" s="1" t="s">
        <v>5526</v>
      </c>
      <c r="C10574" s="1" t="s">
        <v>5527</v>
      </c>
      <c r="D10574" s="22" t="str">
        <f>HYPERLINK("https://rhld.insurance.arkansas.gov/NPILookup?Npi=1003864893","1003864893")</f>
        <v>1003864893</v>
      </c>
      <c r="E10574" s="1" t="s">
        <v>11124</v>
      </c>
      <c r="F10574" s="2"/>
      <c r="G10574" s="2"/>
      <c r="H10574" s="2"/>
    </row>
    <row r="10575" spans="1:8" x14ac:dyDescent="0.25">
      <c r="A10575" s="1"/>
      <c r="B10575" s="1" t="s">
        <v>5526</v>
      </c>
      <c r="C10575" s="1" t="s">
        <v>5527</v>
      </c>
      <c r="D10575" s="22" t="str">
        <f>HYPERLINK("https://rhld.insurance.arkansas.gov/NPILookup?Npi=1023093986","1023093986")</f>
        <v>1023093986</v>
      </c>
      <c r="E10575" s="1" t="s">
        <v>10596</v>
      </c>
      <c r="F10575" s="2"/>
      <c r="G10575" s="2"/>
      <c r="H10575" s="2"/>
    </row>
    <row r="10576" spans="1:8" x14ac:dyDescent="0.25">
      <c r="A10576" s="1"/>
      <c r="B10576" s="1" t="s">
        <v>5526</v>
      </c>
      <c r="C10576" s="1" t="s">
        <v>5527</v>
      </c>
      <c r="D10576" s="22" t="str">
        <f>HYPERLINK("https://rhld.insurance.arkansas.gov/NPILookup?Npi=1033115746","1033115746")</f>
        <v>1033115746</v>
      </c>
      <c r="E10576" s="1" t="s">
        <v>11125</v>
      </c>
      <c r="F10576" s="2"/>
      <c r="G10576" s="2"/>
      <c r="H10576" s="2"/>
    </row>
    <row r="10577" spans="1:8" x14ac:dyDescent="0.25">
      <c r="A10577" s="1"/>
      <c r="B10577" s="1" t="s">
        <v>5526</v>
      </c>
      <c r="C10577" s="1" t="s">
        <v>5527</v>
      </c>
      <c r="D10577" s="22" t="str">
        <f>HYPERLINK("https://rhld.insurance.arkansas.gov/NPILookup?Npi=1033123195","1033123195")</f>
        <v>1033123195</v>
      </c>
      <c r="E10577" s="1" t="s">
        <v>31742</v>
      </c>
      <c r="F10577" s="2"/>
      <c r="G10577" s="2"/>
      <c r="H10577" s="2"/>
    </row>
    <row r="10578" spans="1:8" x14ac:dyDescent="0.25">
      <c r="A10578" s="1"/>
      <c r="B10578" s="1" t="s">
        <v>5526</v>
      </c>
      <c r="C10578" s="1" t="s">
        <v>5527</v>
      </c>
      <c r="D10578" s="22" t="str">
        <f>HYPERLINK("https://rhld.insurance.arkansas.gov/NPILookup?Npi=1033140777","1033140777")</f>
        <v>1033140777</v>
      </c>
      <c r="E10578" s="1" t="s">
        <v>5531</v>
      </c>
      <c r="F10578" s="2"/>
      <c r="G10578" s="2"/>
      <c r="H10578" s="2"/>
    </row>
    <row r="10579" spans="1:8" x14ac:dyDescent="0.25">
      <c r="A10579" s="1"/>
      <c r="B10579" s="1" t="s">
        <v>5526</v>
      </c>
      <c r="C10579" s="1" t="s">
        <v>5527</v>
      </c>
      <c r="D10579" s="22" t="str">
        <f>HYPERLINK("https://rhld.insurance.arkansas.gov/NPILookup?Npi=1033180229","1033180229")</f>
        <v>1033180229</v>
      </c>
      <c r="E10579" s="1" t="s">
        <v>631</v>
      </c>
      <c r="F10579" s="2"/>
      <c r="G10579" s="2"/>
      <c r="H10579" s="2"/>
    </row>
    <row r="10580" spans="1:8" x14ac:dyDescent="0.25">
      <c r="A10580" s="1"/>
      <c r="B10580" s="1" t="s">
        <v>5526</v>
      </c>
      <c r="C10580" s="1" t="s">
        <v>5527</v>
      </c>
      <c r="D10580" s="22" t="str">
        <f>HYPERLINK("https://rhld.insurance.arkansas.gov/NPILookup?Npi=1033421417","1033421417")</f>
        <v>1033421417</v>
      </c>
      <c r="E10580" s="1" t="s">
        <v>4210</v>
      </c>
      <c r="F10580" s="2"/>
      <c r="G10580" s="2"/>
      <c r="H10580" s="2"/>
    </row>
    <row r="10581" spans="1:8" x14ac:dyDescent="0.25">
      <c r="A10581" s="1"/>
      <c r="B10581" s="1" t="s">
        <v>5526</v>
      </c>
      <c r="C10581" s="1" t="s">
        <v>5527</v>
      </c>
      <c r="D10581" s="22" t="str">
        <f>HYPERLINK("https://rhld.insurance.arkansas.gov/NPILookup?Npi=1043300601","1043300601")</f>
        <v>1043300601</v>
      </c>
      <c r="E10581" s="1" t="s">
        <v>3443</v>
      </c>
      <c r="F10581" s="2"/>
      <c r="G10581" s="2"/>
      <c r="H10581" s="2"/>
    </row>
    <row r="10582" spans="1:8" x14ac:dyDescent="0.25">
      <c r="A10582" s="1"/>
      <c r="B10582" s="1" t="s">
        <v>5526</v>
      </c>
      <c r="C10582" s="1" t="s">
        <v>5527</v>
      </c>
      <c r="D10582" s="22" t="str">
        <f>HYPERLINK("https://rhld.insurance.arkansas.gov/NPILookup?Npi=1043575582","1043575582")</f>
        <v>1043575582</v>
      </c>
      <c r="E10582" s="1" t="s">
        <v>1153</v>
      </c>
      <c r="F10582" s="2"/>
      <c r="G10582" s="2"/>
      <c r="H10582" s="2"/>
    </row>
    <row r="10583" spans="1:8" x14ac:dyDescent="0.25">
      <c r="A10583" s="1"/>
      <c r="B10583" s="1" t="s">
        <v>5526</v>
      </c>
      <c r="C10583" s="1" t="s">
        <v>5527</v>
      </c>
      <c r="D10583" s="22" t="str">
        <f>HYPERLINK("https://rhld.insurance.arkansas.gov/NPILookup?Npi=1043576952","1043576952")</f>
        <v>1043576952</v>
      </c>
      <c r="E10583" s="1" t="s">
        <v>11127</v>
      </c>
      <c r="F10583" s="2"/>
      <c r="G10583" s="2"/>
      <c r="H10583" s="2"/>
    </row>
    <row r="10584" spans="1:8" x14ac:dyDescent="0.25">
      <c r="A10584" s="1"/>
      <c r="B10584" s="1" t="s">
        <v>5526</v>
      </c>
      <c r="C10584" s="1" t="s">
        <v>5527</v>
      </c>
      <c r="D10584" s="22" t="str">
        <f>HYPERLINK("https://rhld.insurance.arkansas.gov/NPILookup?Npi=1043651318","1043651318")</f>
        <v>1043651318</v>
      </c>
      <c r="E10584" s="1" t="s">
        <v>5532</v>
      </c>
      <c r="F10584" s="2"/>
      <c r="G10584" s="2"/>
      <c r="H10584" s="2"/>
    </row>
    <row r="10585" spans="1:8" x14ac:dyDescent="0.25">
      <c r="A10585" s="1"/>
      <c r="B10585" s="1" t="s">
        <v>5526</v>
      </c>
      <c r="C10585" s="1" t="s">
        <v>5527</v>
      </c>
      <c r="D10585" s="22" t="str">
        <f>HYPERLINK("https://rhld.insurance.arkansas.gov/NPILookup?Npi=1053303750","1053303750")</f>
        <v>1053303750</v>
      </c>
      <c r="E10585" s="1" t="s">
        <v>1902</v>
      </c>
      <c r="F10585" s="2"/>
      <c r="G10585" s="2"/>
      <c r="H10585" s="2"/>
    </row>
    <row r="10586" spans="1:8" x14ac:dyDescent="0.25">
      <c r="A10586" s="1"/>
      <c r="B10586" s="1" t="s">
        <v>5526</v>
      </c>
      <c r="C10586" s="1" t="s">
        <v>5527</v>
      </c>
      <c r="D10586" s="22" t="str">
        <f>HYPERLINK("https://rhld.insurance.arkansas.gov/NPILookup?Npi=1053317941","1053317941")</f>
        <v>1053317941</v>
      </c>
      <c r="E10586" s="1" t="s">
        <v>11128</v>
      </c>
      <c r="F10586" s="2"/>
      <c r="G10586" s="2"/>
      <c r="H10586" s="2"/>
    </row>
    <row r="10587" spans="1:8" x14ac:dyDescent="0.25">
      <c r="A10587" s="1"/>
      <c r="B10587" s="1" t="s">
        <v>5526</v>
      </c>
      <c r="C10587" s="1" t="s">
        <v>5527</v>
      </c>
      <c r="D10587" s="22" t="str">
        <f>HYPERLINK("https://rhld.insurance.arkansas.gov/NPILookup?Npi=1053340802","1053340802")</f>
        <v>1053340802</v>
      </c>
      <c r="E10587" s="1" t="s">
        <v>2231</v>
      </c>
      <c r="F10587" s="2"/>
      <c r="G10587" s="2"/>
      <c r="H10587" s="2"/>
    </row>
    <row r="10588" spans="1:8" x14ac:dyDescent="0.25">
      <c r="A10588" s="1"/>
      <c r="B10588" s="1" t="s">
        <v>5526</v>
      </c>
      <c r="C10588" s="1" t="s">
        <v>5527</v>
      </c>
      <c r="D10588" s="22" t="str">
        <f>HYPERLINK("https://rhld.insurance.arkansas.gov/NPILookup?Npi=1053426304","1053426304")</f>
        <v>1053426304</v>
      </c>
      <c r="E10588" s="1" t="s">
        <v>11129</v>
      </c>
      <c r="F10588" s="2"/>
      <c r="G10588" s="2"/>
      <c r="H10588" s="2"/>
    </row>
    <row r="10589" spans="1:8" x14ac:dyDescent="0.25">
      <c r="A10589" s="1"/>
      <c r="B10589" s="1" t="s">
        <v>5526</v>
      </c>
      <c r="C10589" s="1" t="s">
        <v>5527</v>
      </c>
      <c r="D10589" s="22" t="str">
        <f>HYPERLINK("https://rhld.insurance.arkansas.gov/NPILookup?Npi=1053546473","1053546473")</f>
        <v>1053546473</v>
      </c>
      <c r="E10589" s="1" t="s">
        <v>20059</v>
      </c>
      <c r="F10589" s="2"/>
      <c r="G10589" s="2"/>
      <c r="H10589" s="2"/>
    </row>
    <row r="10590" spans="1:8" x14ac:dyDescent="0.25">
      <c r="A10590" s="1"/>
      <c r="B10590" s="1" t="s">
        <v>5526</v>
      </c>
      <c r="C10590" s="1" t="s">
        <v>5527</v>
      </c>
      <c r="D10590" s="22" t="str">
        <f>HYPERLINK("https://rhld.insurance.arkansas.gov/NPILookup?Npi=1063494953","1063494953")</f>
        <v>1063494953</v>
      </c>
      <c r="E10590" s="1" t="s">
        <v>11130</v>
      </c>
      <c r="F10590" s="2"/>
      <c r="G10590" s="2"/>
      <c r="H10590" s="2"/>
    </row>
    <row r="10591" spans="1:8" x14ac:dyDescent="0.25">
      <c r="A10591" s="1"/>
      <c r="B10591" s="1" t="s">
        <v>5526</v>
      </c>
      <c r="C10591" s="1" t="s">
        <v>5527</v>
      </c>
      <c r="D10591" s="22" t="str">
        <f>HYPERLINK("https://rhld.insurance.arkansas.gov/NPILookup?Npi=1063526614","1063526614")</f>
        <v>1063526614</v>
      </c>
      <c r="E10591" s="1" t="s">
        <v>17174</v>
      </c>
      <c r="F10591" s="2"/>
      <c r="G10591" s="2"/>
      <c r="H10591" s="2"/>
    </row>
    <row r="10592" spans="1:8" x14ac:dyDescent="0.25">
      <c r="A10592" s="1"/>
      <c r="B10592" s="1" t="s">
        <v>5526</v>
      </c>
      <c r="C10592" s="1" t="s">
        <v>5527</v>
      </c>
      <c r="D10592" s="22" t="str">
        <f>HYPERLINK("https://rhld.insurance.arkansas.gov/NPILookup?Npi=1063582278","1063582278")</f>
        <v>1063582278</v>
      </c>
      <c r="E10592" s="1" t="s">
        <v>31743</v>
      </c>
      <c r="F10592" s="2"/>
      <c r="G10592" s="2"/>
      <c r="H10592" s="2"/>
    </row>
    <row r="10593" spans="1:8" x14ac:dyDescent="0.25">
      <c r="A10593" s="1"/>
      <c r="B10593" s="1" t="s">
        <v>5526</v>
      </c>
      <c r="C10593" s="1" t="s">
        <v>5527</v>
      </c>
      <c r="D10593" s="22" t="str">
        <f>HYPERLINK("https://rhld.insurance.arkansas.gov/NPILookup?Npi=1063779213","1063779213")</f>
        <v>1063779213</v>
      </c>
      <c r="E10593" s="1" t="s">
        <v>31744</v>
      </c>
      <c r="F10593" s="2"/>
      <c r="G10593" s="2"/>
      <c r="H10593" s="2"/>
    </row>
    <row r="10594" spans="1:8" x14ac:dyDescent="0.25">
      <c r="A10594" s="1"/>
      <c r="B10594" s="1" t="s">
        <v>5526</v>
      </c>
      <c r="C10594" s="1" t="s">
        <v>5527</v>
      </c>
      <c r="D10594" s="22" t="str">
        <f>HYPERLINK("https://rhld.insurance.arkansas.gov/NPILookup?Npi=1073036232","1073036232")</f>
        <v>1073036232</v>
      </c>
      <c r="E10594" s="1" t="s">
        <v>31745</v>
      </c>
      <c r="F10594" s="2"/>
      <c r="G10594" s="2"/>
      <c r="H10594" s="2"/>
    </row>
    <row r="10595" spans="1:8" x14ac:dyDescent="0.25">
      <c r="A10595" s="1"/>
      <c r="B10595" s="1" t="s">
        <v>5526</v>
      </c>
      <c r="C10595" s="1" t="s">
        <v>5527</v>
      </c>
      <c r="D10595" s="22" t="str">
        <f>HYPERLINK("https://rhld.insurance.arkansas.gov/NPILookup?Npi=1073737227","1073737227")</f>
        <v>1073737227</v>
      </c>
      <c r="E10595" s="1" t="s">
        <v>20061</v>
      </c>
      <c r="F10595" s="2"/>
      <c r="G10595" s="2"/>
      <c r="H10595" s="2"/>
    </row>
    <row r="10596" spans="1:8" x14ac:dyDescent="0.25">
      <c r="A10596" s="1"/>
      <c r="B10596" s="1" t="s">
        <v>5526</v>
      </c>
      <c r="C10596" s="1" t="s">
        <v>5527</v>
      </c>
      <c r="D10596" s="22" t="str">
        <f>HYPERLINK("https://rhld.insurance.arkansas.gov/NPILookup?Npi=1083618912","1083618912")</f>
        <v>1083618912</v>
      </c>
      <c r="E10596" s="1" t="s">
        <v>20062</v>
      </c>
      <c r="F10596" s="2"/>
      <c r="G10596" s="2"/>
      <c r="H10596" s="2"/>
    </row>
    <row r="10597" spans="1:8" x14ac:dyDescent="0.25">
      <c r="A10597" s="1"/>
      <c r="B10597" s="1" t="s">
        <v>5526</v>
      </c>
      <c r="C10597" s="1" t="s">
        <v>5527</v>
      </c>
      <c r="D10597" s="22" t="str">
        <f>HYPERLINK("https://rhld.insurance.arkansas.gov/NPILookup?Npi=1083643845","1083643845")</f>
        <v>1083643845</v>
      </c>
      <c r="E10597" s="1" t="s">
        <v>11131</v>
      </c>
      <c r="F10597" s="2"/>
      <c r="G10597" s="2"/>
      <c r="H10597" s="2"/>
    </row>
    <row r="10598" spans="1:8" x14ac:dyDescent="0.25">
      <c r="A10598" s="1"/>
      <c r="B10598" s="1" t="s">
        <v>5526</v>
      </c>
      <c r="C10598" s="1" t="s">
        <v>5527</v>
      </c>
      <c r="D10598" s="22" t="str">
        <f>HYPERLINK("https://rhld.insurance.arkansas.gov/NPILookup?Npi=1083685283","1083685283")</f>
        <v>1083685283</v>
      </c>
      <c r="E10598" s="1" t="s">
        <v>20063</v>
      </c>
      <c r="F10598" s="2"/>
      <c r="G10598" s="2"/>
      <c r="H10598" s="2"/>
    </row>
    <row r="10599" spans="1:8" x14ac:dyDescent="0.25">
      <c r="A10599" s="1"/>
      <c r="B10599" s="1" t="s">
        <v>5526</v>
      </c>
      <c r="C10599" s="1" t="s">
        <v>5527</v>
      </c>
      <c r="D10599" s="22" t="str">
        <f>HYPERLINK("https://rhld.insurance.arkansas.gov/NPILookup?Npi=1083838239","1083838239")</f>
        <v>1083838239</v>
      </c>
      <c r="E10599" s="1" t="s">
        <v>1559</v>
      </c>
      <c r="F10599" s="2"/>
      <c r="G10599" s="2"/>
      <c r="H10599" s="2"/>
    </row>
    <row r="10600" spans="1:8" x14ac:dyDescent="0.25">
      <c r="A10600" s="1"/>
      <c r="B10600" s="1" t="s">
        <v>5526</v>
      </c>
      <c r="C10600" s="1" t="s">
        <v>5527</v>
      </c>
      <c r="D10600" s="22" t="str">
        <f>HYPERLINK("https://rhld.insurance.arkansas.gov/NPILookup?Npi=1093058844","1093058844")</f>
        <v>1093058844</v>
      </c>
      <c r="E10600" s="1" t="s">
        <v>11132</v>
      </c>
      <c r="F10600" s="2"/>
      <c r="G10600" s="2"/>
      <c r="H10600" s="2"/>
    </row>
    <row r="10601" spans="1:8" x14ac:dyDescent="0.25">
      <c r="A10601" s="1"/>
      <c r="B10601" s="1" t="s">
        <v>5526</v>
      </c>
      <c r="C10601" s="1" t="s">
        <v>5527</v>
      </c>
      <c r="D10601" s="22" t="str">
        <f>HYPERLINK("https://rhld.insurance.arkansas.gov/NPILookup?Npi=1093094260","1093094260")</f>
        <v>1093094260</v>
      </c>
      <c r="E10601" s="1" t="s">
        <v>5533</v>
      </c>
      <c r="F10601" s="2"/>
      <c r="G10601" s="2"/>
      <c r="H10601" s="2"/>
    </row>
    <row r="10602" spans="1:8" x14ac:dyDescent="0.25">
      <c r="A10602" s="1"/>
      <c r="B10602" s="1" t="s">
        <v>5526</v>
      </c>
      <c r="C10602" s="1" t="s">
        <v>5527</v>
      </c>
      <c r="D10602" s="22" t="str">
        <f>HYPERLINK("https://rhld.insurance.arkansas.gov/NPILookup?Npi=1093849432","1093849432")</f>
        <v>1093849432</v>
      </c>
      <c r="E10602" s="1" t="s">
        <v>2232</v>
      </c>
      <c r="F10602" s="2"/>
      <c r="G10602" s="2"/>
      <c r="H10602" s="2"/>
    </row>
    <row r="10603" spans="1:8" x14ac:dyDescent="0.25">
      <c r="A10603" s="1"/>
      <c r="B10603" s="1" t="s">
        <v>5526</v>
      </c>
      <c r="C10603" s="1" t="s">
        <v>5527</v>
      </c>
      <c r="D10603" s="22" t="str">
        <f>HYPERLINK("https://rhld.insurance.arkansas.gov/NPILookup?Npi=1104201086","1104201086")</f>
        <v>1104201086</v>
      </c>
      <c r="E10603" s="1" t="s">
        <v>5534</v>
      </c>
      <c r="F10603" s="2"/>
      <c r="G10603" s="2"/>
      <c r="H10603" s="2"/>
    </row>
    <row r="10604" spans="1:8" x14ac:dyDescent="0.25">
      <c r="A10604" s="1"/>
      <c r="B10604" s="1" t="s">
        <v>5526</v>
      </c>
      <c r="C10604" s="1" t="s">
        <v>5527</v>
      </c>
      <c r="D10604" s="22" t="str">
        <f>HYPERLINK("https://rhld.insurance.arkansas.gov/NPILookup?Npi=1104897099","1104897099")</f>
        <v>1104897099</v>
      </c>
      <c r="E10604" s="1" t="s">
        <v>698</v>
      </c>
      <c r="F10604" s="2"/>
      <c r="G10604" s="2"/>
      <c r="H10604" s="2"/>
    </row>
    <row r="10605" spans="1:8" x14ac:dyDescent="0.25">
      <c r="A10605" s="1"/>
      <c r="B10605" s="1" t="s">
        <v>5526</v>
      </c>
      <c r="C10605" s="1" t="s">
        <v>5527</v>
      </c>
      <c r="D10605" s="22" t="str">
        <f>HYPERLINK("https://rhld.insurance.arkansas.gov/NPILookup?Npi=1114015989","1114015989")</f>
        <v>1114015989</v>
      </c>
      <c r="E10605" s="1" t="s">
        <v>20064</v>
      </c>
      <c r="F10605" s="2"/>
      <c r="G10605" s="2"/>
      <c r="H10605" s="2"/>
    </row>
    <row r="10606" spans="1:8" x14ac:dyDescent="0.25">
      <c r="A10606" s="1"/>
      <c r="B10606" s="1" t="s">
        <v>5526</v>
      </c>
      <c r="C10606" s="1" t="s">
        <v>5527</v>
      </c>
      <c r="D10606" s="22" t="str">
        <f>HYPERLINK("https://rhld.insurance.arkansas.gov/NPILookup?Npi=1114313962","1114313962")</f>
        <v>1114313962</v>
      </c>
      <c r="E10606" s="1" t="s">
        <v>5535</v>
      </c>
      <c r="F10606" s="2"/>
      <c r="G10606" s="2"/>
      <c r="H10606" s="2"/>
    </row>
    <row r="10607" spans="1:8" x14ac:dyDescent="0.25">
      <c r="A10607" s="1"/>
      <c r="B10607" s="1" t="s">
        <v>5526</v>
      </c>
      <c r="C10607" s="1" t="s">
        <v>5527</v>
      </c>
      <c r="D10607" s="22" t="str">
        <f>HYPERLINK("https://rhld.insurance.arkansas.gov/NPILookup?Npi=1114955085","1114955085")</f>
        <v>1114955085</v>
      </c>
      <c r="E10607" s="1" t="s">
        <v>418</v>
      </c>
      <c r="F10607" s="2"/>
      <c r="G10607" s="2"/>
      <c r="H10607" s="2"/>
    </row>
    <row r="10608" spans="1:8" x14ac:dyDescent="0.25">
      <c r="A10608" s="1"/>
      <c r="B10608" s="1" t="s">
        <v>5526</v>
      </c>
      <c r="C10608" s="1" t="s">
        <v>5527</v>
      </c>
      <c r="D10608" s="22" t="str">
        <f>HYPERLINK("https://rhld.insurance.arkansas.gov/NPILookup?Npi=1124024849","1124024849")</f>
        <v>1124024849</v>
      </c>
      <c r="E10608" s="1" t="s">
        <v>20065</v>
      </c>
      <c r="F10608" s="2"/>
      <c r="G10608" s="2"/>
      <c r="H10608" s="2"/>
    </row>
    <row r="10609" spans="1:8" x14ac:dyDescent="0.25">
      <c r="A10609" s="1"/>
      <c r="B10609" s="1" t="s">
        <v>5526</v>
      </c>
      <c r="C10609" s="1" t="s">
        <v>5527</v>
      </c>
      <c r="D10609" s="22" t="str">
        <f>HYPERLINK("https://rhld.insurance.arkansas.gov/NPILookup?Npi=1124218482","1124218482")</f>
        <v>1124218482</v>
      </c>
      <c r="E10609" s="1" t="s">
        <v>5536</v>
      </c>
      <c r="F10609" s="2"/>
      <c r="G10609" s="2"/>
      <c r="H10609" s="2"/>
    </row>
    <row r="10610" spans="1:8" x14ac:dyDescent="0.25">
      <c r="A10610" s="1"/>
      <c r="B10610" s="1" t="s">
        <v>5526</v>
      </c>
      <c r="C10610" s="1" t="s">
        <v>5527</v>
      </c>
      <c r="D10610" s="22" t="str">
        <f>HYPERLINK("https://rhld.insurance.arkansas.gov/NPILookup?Npi=1124231816","1124231816")</f>
        <v>1124231816</v>
      </c>
      <c r="E10610" s="1" t="s">
        <v>17224</v>
      </c>
      <c r="F10610" s="2"/>
      <c r="G10610" s="2"/>
      <c r="H10610" s="2"/>
    </row>
    <row r="10611" spans="1:8" x14ac:dyDescent="0.25">
      <c r="A10611" s="1"/>
      <c r="B10611" s="1" t="s">
        <v>5526</v>
      </c>
      <c r="C10611" s="1" t="s">
        <v>5527</v>
      </c>
      <c r="D10611" s="22" t="str">
        <f>HYPERLINK("https://rhld.insurance.arkansas.gov/NPILookup?Npi=1124241062","1124241062")</f>
        <v>1124241062</v>
      </c>
      <c r="E10611" s="1" t="s">
        <v>20066</v>
      </c>
      <c r="F10611" s="2"/>
      <c r="G10611" s="2"/>
      <c r="H10611" s="2"/>
    </row>
    <row r="10612" spans="1:8" x14ac:dyDescent="0.25">
      <c r="A10612" s="1"/>
      <c r="B10612" s="1" t="s">
        <v>5526</v>
      </c>
      <c r="C10612" s="1" t="s">
        <v>5527</v>
      </c>
      <c r="D10612" s="22" t="str">
        <f>HYPERLINK("https://rhld.insurance.arkansas.gov/NPILookup?Npi=1124387675","1124387675")</f>
        <v>1124387675</v>
      </c>
      <c r="E10612" s="1" t="s">
        <v>5537</v>
      </c>
      <c r="F10612" s="2"/>
      <c r="G10612" s="2"/>
      <c r="H10612" s="2"/>
    </row>
    <row r="10613" spans="1:8" x14ac:dyDescent="0.25">
      <c r="A10613" s="1"/>
      <c r="B10613" s="1" t="s">
        <v>5526</v>
      </c>
      <c r="C10613" s="1" t="s">
        <v>5527</v>
      </c>
      <c r="D10613" s="22" t="str">
        <f>HYPERLINK("https://rhld.insurance.arkansas.gov/NPILookup?Npi=1134219793","1134219793")</f>
        <v>1134219793</v>
      </c>
      <c r="E10613" s="1" t="s">
        <v>20067</v>
      </c>
      <c r="F10613" s="2"/>
      <c r="G10613" s="2"/>
      <c r="H10613" s="2"/>
    </row>
    <row r="10614" spans="1:8" x14ac:dyDescent="0.25">
      <c r="A10614" s="1"/>
      <c r="B10614" s="1" t="s">
        <v>5526</v>
      </c>
      <c r="C10614" s="1" t="s">
        <v>5527</v>
      </c>
      <c r="D10614" s="22" t="str">
        <f>HYPERLINK("https://rhld.insurance.arkansas.gov/NPILookup?Npi=1134315880","1134315880")</f>
        <v>1134315880</v>
      </c>
      <c r="E10614" s="1" t="s">
        <v>227</v>
      </c>
      <c r="F10614" s="2"/>
      <c r="G10614" s="2"/>
      <c r="H10614" s="2"/>
    </row>
    <row r="10615" spans="1:8" x14ac:dyDescent="0.25">
      <c r="A10615" s="1"/>
      <c r="B10615" s="1" t="s">
        <v>5526</v>
      </c>
      <c r="C10615" s="1" t="s">
        <v>5527</v>
      </c>
      <c r="D10615" s="22" t="str">
        <f>HYPERLINK("https://rhld.insurance.arkansas.gov/NPILookup?Npi=1134651284","1134651284")</f>
        <v>1134651284</v>
      </c>
      <c r="E10615" s="1" t="s">
        <v>11133</v>
      </c>
      <c r="F10615" s="2"/>
      <c r="G10615" s="2"/>
      <c r="H10615" s="2"/>
    </row>
    <row r="10616" spans="1:8" x14ac:dyDescent="0.25">
      <c r="A10616" s="1"/>
      <c r="B10616" s="1" t="s">
        <v>5526</v>
      </c>
      <c r="C10616" s="1" t="s">
        <v>5527</v>
      </c>
      <c r="D10616" s="22" t="str">
        <f>HYPERLINK("https://rhld.insurance.arkansas.gov/NPILookup?Npi=1144223280","1144223280")</f>
        <v>1144223280</v>
      </c>
      <c r="E10616" s="1" t="s">
        <v>20068</v>
      </c>
      <c r="F10616" s="2"/>
      <c r="G10616" s="2"/>
      <c r="H10616" s="2"/>
    </row>
    <row r="10617" spans="1:8" x14ac:dyDescent="0.25">
      <c r="A10617" s="1"/>
      <c r="B10617" s="1" t="s">
        <v>5526</v>
      </c>
      <c r="C10617" s="1" t="s">
        <v>5527</v>
      </c>
      <c r="D10617" s="22" t="str">
        <f>HYPERLINK("https://rhld.insurance.arkansas.gov/NPILookup?Npi=1144223298","1144223298")</f>
        <v>1144223298</v>
      </c>
      <c r="E10617" s="1" t="s">
        <v>20069</v>
      </c>
      <c r="F10617" s="2"/>
      <c r="G10617" s="2"/>
      <c r="H10617" s="2"/>
    </row>
    <row r="10618" spans="1:8" x14ac:dyDescent="0.25">
      <c r="A10618" s="1"/>
      <c r="B10618" s="1" t="s">
        <v>5526</v>
      </c>
      <c r="C10618" s="1" t="s">
        <v>5527</v>
      </c>
      <c r="D10618" s="22" t="str">
        <f>HYPERLINK("https://rhld.insurance.arkansas.gov/NPILookup?Npi=1144421009","1144421009")</f>
        <v>1144421009</v>
      </c>
      <c r="E10618" s="1" t="s">
        <v>11134</v>
      </c>
      <c r="F10618" s="2"/>
      <c r="G10618" s="2"/>
      <c r="H10618" s="2"/>
    </row>
    <row r="10619" spans="1:8" x14ac:dyDescent="0.25">
      <c r="A10619" s="1"/>
      <c r="B10619" s="1" t="s">
        <v>5526</v>
      </c>
      <c r="C10619" s="1" t="s">
        <v>5527</v>
      </c>
      <c r="D10619" s="22" t="str">
        <f>HYPERLINK("https://rhld.insurance.arkansas.gov/NPILookup?Npi=1144663923","1144663923")</f>
        <v>1144663923</v>
      </c>
      <c r="E10619" s="1" t="s">
        <v>13366</v>
      </c>
      <c r="F10619" s="2"/>
      <c r="G10619" s="2"/>
      <c r="H10619" s="2"/>
    </row>
    <row r="10620" spans="1:8" x14ac:dyDescent="0.25">
      <c r="A10620" s="1"/>
      <c r="B10620" s="1" t="s">
        <v>5526</v>
      </c>
      <c r="C10620" s="1" t="s">
        <v>5527</v>
      </c>
      <c r="D10620" s="22" t="str">
        <f>HYPERLINK("https://rhld.insurance.arkansas.gov/NPILookup?Npi=1144883703","1144883703")</f>
        <v>1144883703</v>
      </c>
      <c r="E10620" s="1" t="s">
        <v>20071</v>
      </c>
      <c r="F10620" s="2"/>
      <c r="G10620" s="2"/>
      <c r="H10620" s="2"/>
    </row>
    <row r="10621" spans="1:8" x14ac:dyDescent="0.25">
      <c r="A10621" s="1"/>
      <c r="B10621" s="1" t="s">
        <v>5526</v>
      </c>
      <c r="C10621" s="1" t="s">
        <v>5527</v>
      </c>
      <c r="D10621" s="22" t="str">
        <f>HYPERLINK("https://rhld.insurance.arkansas.gov/NPILookup?Npi=1154356533","1154356533")</f>
        <v>1154356533</v>
      </c>
      <c r="E10621" s="1" t="s">
        <v>20072</v>
      </c>
      <c r="F10621" s="2"/>
      <c r="G10621" s="2"/>
      <c r="H10621" s="2"/>
    </row>
    <row r="10622" spans="1:8" x14ac:dyDescent="0.25">
      <c r="A10622" s="1"/>
      <c r="B10622" s="1" t="s">
        <v>5526</v>
      </c>
      <c r="C10622" s="1" t="s">
        <v>5527</v>
      </c>
      <c r="D10622" s="22" t="str">
        <f>HYPERLINK("https://rhld.insurance.arkansas.gov/NPILookup?Npi=1154619021","1154619021")</f>
        <v>1154619021</v>
      </c>
      <c r="E10622" s="1" t="s">
        <v>20073</v>
      </c>
      <c r="F10622" s="2"/>
      <c r="G10622" s="2"/>
      <c r="H10622" s="2"/>
    </row>
    <row r="10623" spans="1:8" x14ac:dyDescent="0.25">
      <c r="A10623" s="1"/>
      <c r="B10623" s="1" t="s">
        <v>5526</v>
      </c>
      <c r="C10623" s="1" t="s">
        <v>5527</v>
      </c>
      <c r="D10623" s="22" t="str">
        <f>HYPERLINK("https://rhld.insurance.arkansas.gov/NPILookup?Npi=1154633857","1154633857")</f>
        <v>1154633857</v>
      </c>
      <c r="E10623" s="1" t="s">
        <v>20074</v>
      </c>
      <c r="F10623" s="2"/>
      <c r="G10623" s="2"/>
      <c r="H10623" s="2"/>
    </row>
    <row r="10624" spans="1:8" x14ac:dyDescent="0.25">
      <c r="A10624" s="1"/>
      <c r="B10624" s="1" t="s">
        <v>5526</v>
      </c>
      <c r="C10624" s="1" t="s">
        <v>5527</v>
      </c>
      <c r="D10624" s="22" t="str">
        <f>HYPERLINK("https://rhld.insurance.arkansas.gov/NPILookup?Npi=1154733103","1154733103")</f>
        <v>1154733103</v>
      </c>
      <c r="E10624" s="1" t="s">
        <v>20075</v>
      </c>
      <c r="F10624" s="2"/>
      <c r="G10624" s="2"/>
      <c r="H10624" s="2"/>
    </row>
    <row r="10625" spans="1:8" x14ac:dyDescent="0.25">
      <c r="A10625" s="1"/>
      <c r="B10625" s="1" t="s">
        <v>5526</v>
      </c>
      <c r="C10625" s="1" t="s">
        <v>5527</v>
      </c>
      <c r="D10625" s="22" t="str">
        <f>HYPERLINK("https://rhld.insurance.arkansas.gov/NPILookup?Npi=1164425278","1164425278")</f>
        <v>1164425278</v>
      </c>
      <c r="E10625" s="1" t="s">
        <v>419</v>
      </c>
      <c r="F10625" s="2"/>
      <c r="G10625" s="2"/>
      <c r="H10625" s="2"/>
    </row>
    <row r="10626" spans="1:8" x14ac:dyDescent="0.25">
      <c r="A10626" s="1"/>
      <c r="B10626" s="1" t="s">
        <v>5526</v>
      </c>
      <c r="C10626" s="1" t="s">
        <v>5527</v>
      </c>
      <c r="D10626" s="22" t="str">
        <f>HYPERLINK("https://rhld.insurance.arkansas.gov/NPILookup?Npi=1164468567","1164468567")</f>
        <v>1164468567</v>
      </c>
      <c r="E10626" s="1" t="s">
        <v>18375</v>
      </c>
      <c r="F10626" s="2"/>
      <c r="G10626" s="2"/>
      <c r="H10626" s="2"/>
    </row>
    <row r="10627" spans="1:8" x14ac:dyDescent="0.25">
      <c r="A10627" s="1"/>
      <c r="B10627" s="1" t="s">
        <v>5526</v>
      </c>
      <c r="C10627" s="1" t="s">
        <v>5527</v>
      </c>
      <c r="D10627" s="22" t="str">
        <f>HYPERLINK("https://rhld.insurance.arkansas.gov/NPILookup?Npi=1164484614","1164484614")</f>
        <v>1164484614</v>
      </c>
      <c r="E10627" s="1" t="s">
        <v>296</v>
      </c>
      <c r="F10627" s="2"/>
      <c r="G10627" s="2"/>
      <c r="H10627" s="2"/>
    </row>
    <row r="10628" spans="1:8" x14ac:dyDescent="0.25">
      <c r="A10628" s="1"/>
      <c r="B10628" s="1" t="s">
        <v>5526</v>
      </c>
      <c r="C10628" s="1" t="s">
        <v>5527</v>
      </c>
      <c r="D10628" s="22" t="str">
        <f>HYPERLINK("https://rhld.insurance.arkansas.gov/NPILookup?Npi=1164508883","1164508883")</f>
        <v>1164508883</v>
      </c>
      <c r="E10628" s="1" t="s">
        <v>5538</v>
      </c>
      <c r="F10628" s="2"/>
      <c r="G10628" s="2"/>
      <c r="H10628" s="2"/>
    </row>
    <row r="10629" spans="1:8" x14ac:dyDescent="0.25">
      <c r="A10629" s="1"/>
      <c r="B10629" s="1" t="s">
        <v>5526</v>
      </c>
      <c r="C10629" s="1" t="s">
        <v>5527</v>
      </c>
      <c r="D10629" s="22" t="str">
        <f>HYPERLINK("https://rhld.insurance.arkansas.gov/NPILookup?Npi=1164643714","1164643714")</f>
        <v>1164643714</v>
      </c>
      <c r="E10629" s="1" t="s">
        <v>3446</v>
      </c>
      <c r="F10629" s="2"/>
      <c r="G10629" s="2"/>
      <c r="H10629" s="2"/>
    </row>
    <row r="10630" spans="1:8" x14ac:dyDescent="0.25">
      <c r="A10630" s="1"/>
      <c r="B10630" s="1" t="s">
        <v>5526</v>
      </c>
      <c r="C10630" s="1" t="s">
        <v>5527</v>
      </c>
      <c r="D10630" s="22" t="str">
        <f>HYPERLINK("https://rhld.insurance.arkansas.gov/NPILookup?Npi=1164837829","1164837829")</f>
        <v>1164837829</v>
      </c>
      <c r="E10630" s="1" t="s">
        <v>13515</v>
      </c>
      <c r="F10630" s="2"/>
      <c r="G10630" s="2"/>
      <c r="H10630" s="2"/>
    </row>
    <row r="10631" spans="1:8" x14ac:dyDescent="0.25">
      <c r="A10631" s="1"/>
      <c r="B10631" s="1" t="s">
        <v>5526</v>
      </c>
      <c r="C10631" s="1" t="s">
        <v>5527</v>
      </c>
      <c r="D10631" s="22" t="str">
        <f>HYPERLINK("https://rhld.insurance.arkansas.gov/NPILookup?Npi=1174056121","1174056121")</f>
        <v>1174056121</v>
      </c>
      <c r="E10631" s="1" t="s">
        <v>4111</v>
      </c>
      <c r="F10631" s="2"/>
      <c r="G10631" s="2"/>
      <c r="H10631" s="2"/>
    </row>
    <row r="10632" spans="1:8" x14ac:dyDescent="0.25">
      <c r="A10632" s="1"/>
      <c r="B10632" s="1" t="s">
        <v>5526</v>
      </c>
      <c r="C10632" s="1" t="s">
        <v>5527</v>
      </c>
      <c r="D10632" s="22" t="str">
        <f>HYPERLINK("https://rhld.insurance.arkansas.gov/NPILookup?Npi=1174526735","1174526735")</f>
        <v>1174526735</v>
      </c>
      <c r="E10632" s="1" t="s">
        <v>5539</v>
      </c>
      <c r="F10632" s="2"/>
      <c r="G10632" s="2"/>
      <c r="H10632" s="2"/>
    </row>
    <row r="10633" spans="1:8" x14ac:dyDescent="0.25">
      <c r="A10633" s="1"/>
      <c r="B10633" s="1" t="s">
        <v>5526</v>
      </c>
      <c r="C10633" s="1" t="s">
        <v>5527</v>
      </c>
      <c r="D10633" s="22" t="str">
        <f>HYPERLINK("https://rhld.insurance.arkansas.gov/NPILookup?Npi=1174526750","1174526750")</f>
        <v>1174526750</v>
      </c>
      <c r="E10633" s="1" t="s">
        <v>20076</v>
      </c>
      <c r="F10633" s="2"/>
      <c r="G10633" s="2"/>
      <c r="H10633" s="2"/>
    </row>
    <row r="10634" spans="1:8" x14ac:dyDescent="0.25">
      <c r="A10634" s="1"/>
      <c r="B10634" s="1" t="s">
        <v>5526</v>
      </c>
      <c r="C10634" s="1" t="s">
        <v>5527</v>
      </c>
      <c r="D10634" s="22" t="str">
        <f>HYPERLINK("https://rhld.insurance.arkansas.gov/NPILookup?Npi=1174532469","1174532469")</f>
        <v>1174532469</v>
      </c>
      <c r="E10634" s="1" t="s">
        <v>31746</v>
      </c>
      <c r="F10634" s="2"/>
      <c r="G10634" s="2"/>
      <c r="H10634" s="2"/>
    </row>
    <row r="10635" spans="1:8" x14ac:dyDescent="0.25">
      <c r="A10635" s="1"/>
      <c r="B10635" s="1" t="s">
        <v>5526</v>
      </c>
      <c r="C10635" s="1" t="s">
        <v>5527</v>
      </c>
      <c r="D10635" s="22" t="str">
        <f>HYPERLINK("https://rhld.insurance.arkansas.gov/NPILookup?Npi=1174539159","1174539159")</f>
        <v>1174539159</v>
      </c>
      <c r="E10635" s="1" t="s">
        <v>20077</v>
      </c>
      <c r="F10635" s="2"/>
      <c r="G10635" s="2"/>
      <c r="H10635" s="2"/>
    </row>
    <row r="10636" spans="1:8" x14ac:dyDescent="0.25">
      <c r="A10636" s="1"/>
      <c r="B10636" s="1" t="s">
        <v>5526</v>
      </c>
      <c r="C10636" s="1" t="s">
        <v>5527</v>
      </c>
      <c r="D10636" s="22" t="str">
        <f>HYPERLINK("https://rhld.insurance.arkansas.gov/NPILookup?Npi=1174836209","1174836209")</f>
        <v>1174836209</v>
      </c>
      <c r="E10636" s="1" t="s">
        <v>20078</v>
      </c>
      <c r="F10636" s="2"/>
      <c r="G10636" s="2"/>
      <c r="H10636" s="2"/>
    </row>
    <row r="10637" spans="1:8" x14ac:dyDescent="0.25">
      <c r="A10637" s="1"/>
      <c r="B10637" s="1" t="s">
        <v>5526</v>
      </c>
      <c r="C10637" s="1" t="s">
        <v>5527</v>
      </c>
      <c r="D10637" s="22" t="str">
        <f>HYPERLINK("https://rhld.insurance.arkansas.gov/NPILookup?Npi=1174866891","1174866891")</f>
        <v>1174866891</v>
      </c>
      <c r="E10637" s="1" t="s">
        <v>11135</v>
      </c>
      <c r="F10637" s="2"/>
      <c r="G10637" s="2"/>
      <c r="H10637" s="2"/>
    </row>
    <row r="10638" spans="1:8" x14ac:dyDescent="0.25">
      <c r="A10638" s="1"/>
      <c r="B10638" s="1" t="s">
        <v>5526</v>
      </c>
      <c r="C10638" s="1" t="s">
        <v>5527</v>
      </c>
      <c r="D10638" s="22" t="str">
        <f>HYPERLINK("https://rhld.insurance.arkansas.gov/NPILookup?Npi=1184606071","1184606071")</f>
        <v>1184606071</v>
      </c>
      <c r="E10638" s="1" t="s">
        <v>20079</v>
      </c>
      <c r="F10638" s="2"/>
      <c r="G10638" s="2"/>
      <c r="H10638" s="2"/>
    </row>
    <row r="10639" spans="1:8" x14ac:dyDescent="0.25">
      <c r="A10639" s="1"/>
      <c r="B10639" s="1" t="s">
        <v>5526</v>
      </c>
      <c r="C10639" s="1" t="s">
        <v>5527</v>
      </c>
      <c r="D10639" s="22" t="str">
        <f>HYPERLINK("https://rhld.insurance.arkansas.gov/NPILookup?Npi=1184720807","1184720807")</f>
        <v>1184720807</v>
      </c>
      <c r="E10639" s="1" t="s">
        <v>31747</v>
      </c>
      <c r="F10639" s="2"/>
      <c r="G10639" s="2"/>
      <c r="H10639" s="2"/>
    </row>
    <row r="10640" spans="1:8" x14ac:dyDescent="0.25">
      <c r="A10640" s="1"/>
      <c r="B10640" s="1" t="s">
        <v>5526</v>
      </c>
      <c r="C10640" s="1" t="s">
        <v>5527</v>
      </c>
      <c r="D10640" s="22" t="str">
        <f>HYPERLINK("https://rhld.insurance.arkansas.gov/NPILookup?Npi=1184816829","1184816829")</f>
        <v>1184816829</v>
      </c>
      <c r="E10640" s="1" t="s">
        <v>5540</v>
      </c>
      <c r="F10640" s="2"/>
      <c r="G10640" s="2"/>
      <c r="H10640" s="2"/>
    </row>
    <row r="10641" spans="1:8" x14ac:dyDescent="0.25">
      <c r="A10641" s="1"/>
      <c r="B10641" s="1" t="s">
        <v>5526</v>
      </c>
      <c r="C10641" s="1" t="s">
        <v>5527</v>
      </c>
      <c r="D10641" s="22" t="str">
        <f>HYPERLINK("https://rhld.insurance.arkansas.gov/NPILookup?Npi=1184861270","1184861270")</f>
        <v>1184861270</v>
      </c>
      <c r="E10641" s="1" t="s">
        <v>20080</v>
      </c>
      <c r="F10641" s="2"/>
      <c r="G10641" s="2"/>
      <c r="H10641" s="2"/>
    </row>
    <row r="10642" spans="1:8" x14ac:dyDescent="0.25">
      <c r="A10642" s="1"/>
      <c r="B10642" s="1" t="s">
        <v>5526</v>
      </c>
      <c r="C10642" s="1" t="s">
        <v>5527</v>
      </c>
      <c r="D10642" s="22" t="str">
        <f>HYPERLINK("https://rhld.insurance.arkansas.gov/NPILookup?Npi=1184917544","1184917544")</f>
        <v>1184917544</v>
      </c>
      <c r="E10642" s="1" t="s">
        <v>18680</v>
      </c>
      <c r="F10642" s="2"/>
      <c r="G10642" s="2"/>
      <c r="H10642" s="2"/>
    </row>
    <row r="10643" spans="1:8" x14ac:dyDescent="0.25">
      <c r="A10643" s="1"/>
      <c r="B10643" s="1" t="s">
        <v>5526</v>
      </c>
      <c r="C10643" s="1" t="s">
        <v>5527</v>
      </c>
      <c r="D10643" s="22" t="str">
        <f>HYPERLINK("https://rhld.insurance.arkansas.gov/NPILookup?Npi=1194024208","1194024208")</f>
        <v>1194024208</v>
      </c>
      <c r="E10643" s="1" t="s">
        <v>11136</v>
      </c>
      <c r="F10643" s="2"/>
      <c r="G10643" s="2"/>
      <c r="H10643" s="2"/>
    </row>
    <row r="10644" spans="1:8" x14ac:dyDescent="0.25">
      <c r="A10644" s="1"/>
      <c r="B10644" s="1" t="s">
        <v>5526</v>
      </c>
      <c r="C10644" s="1" t="s">
        <v>5527</v>
      </c>
      <c r="D10644" s="22" t="str">
        <f>HYPERLINK("https://rhld.insurance.arkansas.gov/NPILookup?Npi=1194073015","1194073015")</f>
        <v>1194073015</v>
      </c>
      <c r="E10644" s="1" t="s">
        <v>5541</v>
      </c>
      <c r="F10644" s="2"/>
      <c r="G10644" s="2"/>
      <c r="H10644" s="2"/>
    </row>
    <row r="10645" spans="1:8" x14ac:dyDescent="0.25">
      <c r="A10645" s="1"/>
      <c r="B10645" s="1" t="s">
        <v>5526</v>
      </c>
      <c r="C10645" s="1" t="s">
        <v>5527</v>
      </c>
      <c r="D10645" s="22" t="str">
        <f>HYPERLINK("https://rhld.insurance.arkansas.gov/NPILookup?Npi=1194954222","1194954222")</f>
        <v>1194954222</v>
      </c>
      <c r="E10645" s="1" t="s">
        <v>741</v>
      </c>
      <c r="F10645" s="2"/>
      <c r="G10645" s="2"/>
      <c r="H10645" s="2"/>
    </row>
    <row r="10646" spans="1:8" x14ac:dyDescent="0.25">
      <c r="A10646" s="1"/>
      <c r="B10646" s="1" t="s">
        <v>5526</v>
      </c>
      <c r="C10646" s="1" t="s">
        <v>5527</v>
      </c>
      <c r="D10646" s="22" t="str">
        <f>HYPERLINK("https://rhld.insurance.arkansas.gov/NPILookup?Npi=1205254208","1205254208")</f>
        <v>1205254208</v>
      </c>
      <c r="E10646" s="1" t="s">
        <v>5542</v>
      </c>
      <c r="F10646" s="2"/>
      <c r="G10646" s="2"/>
      <c r="H10646" s="2"/>
    </row>
    <row r="10647" spans="1:8" x14ac:dyDescent="0.25">
      <c r="A10647" s="1"/>
      <c r="B10647" s="1" t="s">
        <v>5526</v>
      </c>
      <c r="C10647" s="1" t="s">
        <v>5527</v>
      </c>
      <c r="D10647" s="22" t="str">
        <f>HYPERLINK("https://rhld.insurance.arkansas.gov/NPILookup?Npi=1205844594","1205844594")</f>
        <v>1205844594</v>
      </c>
      <c r="E10647" s="1" t="s">
        <v>20081</v>
      </c>
      <c r="F10647" s="2"/>
      <c r="G10647" s="2"/>
      <c r="H10647" s="2"/>
    </row>
    <row r="10648" spans="1:8" x14ac:dyDescent="0.25">
      <c r="A10648" s="1"/>
      <c r="B10648" s="1" t="s">
        <v>5526</v>
      </c>
      <c r="C10648" s="1" t="s">
        <v>5527</v>
      </c>
      <c r="D10648" s="22" t="str">
        <f>HYPERLINK("https://rhld.insurance.arkansas.gov/NPILookup?Npi=1215000989","1215000989")</f>
        <v>1215000989</v>
      </c>
      <c r="E10648" s="1" t="s">
        <v>5543</v>
      </c>
      <c r="F10648" s="2"/>
      <c r="G10648" s="2"/>
      <c r="H10648" s="2"/>
    </row>
    <row r="10649" spans="1:8" x14ac:dyDescent="0.25">
      <c r="A10649" s="1"/>
      <c r="B10649" s="1" t="s">
        <v>5526</v>
      </c>
      <c r="C10649" s="1" t="s">
        <v>5527</v>
      </c>
      <c r="D10649" s="22" t="str">
        <f>HYPERLINK("https://rhld.insurance.arkansas.gov/NPILookup?Npi=1215311600","1215311600")</f>
        <v>1215311600</v>
      </c>
      <c r="E10649" s="1" t="s">
        <v>2536</v>
      </c>
      <c r="F10649" s="2"/>
      <c r="G10649" s="2"/>
      <c r="H10649" s="2"/>
    </row>
    <row r="10650" spans="1:8" x14ac:dyDescent="0.25">
      <c r="A10650" s="1"/>
      <c r="B10650" s="1" t="s">
        <v>5526</v>
      </c>
      <c r="C10650" s="1" t="s">
        <v>5527</v>
      </c>
      <c r="D10650" s="22" t="str">
        <f>HYPERLINK("https://rhld.insurance.arkansas.gov/NPILookup?Npi=1215928544","1215928544")</f>
        <v>1215928544</v>
      </c>
      <c r="E10650" s="1" t="s">
        <v>20083</v>
      </c>
      <c r="F10650" s="2"/>
      <c r="G10650" s="2"/>
      <c r="H10650" s="2"/>
    </row>
    <row r="10651" spans="1:8" x14ac:dyDescent="0.25">
      <c r="A10651" s="1"/>
      <c r="B10651" s="1" t="s">
        <v>5526</v>
      </c>
      <c r="C10651" s="1" t="s">
        <v>5527</v>
      </c>
      <c r="D10651" s="22" t="str">
        <f>HYPERLINK("https://rhld.insurance.arkansas.gov/NPILookup?Npi=1215930417","1215930417")</f>
        <v>1215930417</v>
      </c>
      <c r="E10651" s="1" t="s">
        <v>5544</v>
      </c>
      <c r="F10651" s="2"/>
      <c r="G10651" s="2"/>
      <c r="H10651" s="2"/>
    </row>
    <row r="10652" spans="1:8" x14ac:dyDescent="0.25">
      <c r="A10652" s="1"/>
      <c r="B10652" s="1" t="s">
        <v>5526</v>
      </c>
      <c r="C10652" s="1" t="s">
        <v>5527</v>
      </c>
      <c r="D10652" s="22" t="str">
        <f>HYPERLINK("https://rhld.insurance.arkansas.gov/NPILookup?Npi=1225018518","1225018518")</f>
        <v>1225018518</v>
      </c>
      <c r="E10652" s="1" t="s">
        <v>17320</v>
      </c>
      <c r="F10652" s="2"/>
      <c r="G10652" s="2"/>
      <c r="H10652" s="2"/>
    </row>
    <row r="10653" spans="1:8" x14ac:dyDescent="0.25">
      <c r="A10653" s="1"/>
      <c r="B10653" s="1" t="s">
        <v>5526</v>
      </c>
      <c r="C10653" s="1" t="s">
        <v>5527</v>
      </c>
      <c r="D10653" s="22" t="str">
        <f>HYPERLINK("https://rhld.insurance.arkansas.gov/NPILookup?Npi=1225031487","1225031487")</f>
        <v>1225031487</v>
      </c>
      <c r="E10653" s="1" t="s">
        <v>11137</v>
      </c>
      <c r="F10653" s="2"/>
      <c r="G10653" s="2"/>
      <c r="H10653" s="2"/>
    </row>
    <row r="10654" spans="1:8" x14ac:dyDescent="0.25">
      <c r="A10654" s="1"/>
      <c r="B10654" s="1" t="s">
        <v>5526</v>
      </c>
      <c r="C10654" s="1" t="s">
        <v>5527</v>
      </c>
      <c r="D10654" s="22" t="str">
        <f>HYPERLINK("https://rhld.insurance.arkansas.gov/NPILookup?Npi=1225097041","1225097041")</f>
        <v>1225097041</v>
      </c>
      <c r="E10654" s="1" t="s">
        <v>231</v>
      </c>
      <c r="F10654" s="2"/>
      <c r="G10654" s="2"/>
      <c r="H10654" s="2"/>
    </row>
    <row r="10655" spans="1:8" x14ac:dyDescent="0.25">
      <c r="A10655" s="1"/>
      <c r="B10655" s="1" t="s">
        <v>5526</v>
      </c>
      <c r="C10655" s="1" t="s">
        <v>5527</v>
      </c>
      <c r="D10655" s="22" t="str">
        <f>HYPERLINK("https://rhld.insurance.arkansas.gov/NPILookup?Npi=1225128713","1225128713")</f>
        <v>1225128713</v>
      </c>
      <c r="E10655" s="1" t="s">
        <v>18691</v>
      </c>
      <c r="F10655" s="2"/>
      <c r="G10655" s="2"/>
      <c r="H10655" s="2"/>
    </row>
    <row r="10656" spans="1:8" x14ac:dyDescent="0.25">
      <c r="A10656" s="1"/>
      <c r="B10656" s="1" t="s">
        <v>5526</v>
      </c>
      <c r="C10656" s="1" t="s">
        <v>5527</v>
      </c>
      <c r="D10656" s="22" t="str">
        <f>HYPERLINK("https://rhld.insurance.arkansas.gov/NPILookup?Npi=1225142102","1225142102")</f>
        <v>1225142102</v>
      </c>
      <c r="E10656" s="1" t="s">
        <v>962</v>
      </c>
      <c r="F10656" s="2"/>
      <c r="G10656" s="2"/>
      <c r="H10656" s="2"/>
    </row>
    <row r="10657" spans="1:8" x14ac:dyDescent="0.25">
      <c r="A10657" s="1"/>
      <c r="B10657" s="1" t="s">
        <v>5526</v>
      </c>
      <c r="C10657" s="1" t="s">
        <v>5527</v>
      </c>
      <c r="D10657" s="22" t="str">
        <f>HYPERLINK("https://rhld.insurance.arkansas.gov/NPILookup?Npi=1225200322","1225200322")</f>
        <v>1225200322</v>
      </c>
      <c r="E10657" s="1" t="s">
        <v>230</v>
      </c>
      <c r="F10657" s="2"/>
      <c r="G10657" s="2"/>
      <c r="H10657" s="2"/>
    </row>
    <row r="10658" spans="1:8" x14ac:dyDescent="0.25">
      <c r="A10658" s="1"/>
      <c r="B10658" s="1" t="s">
        <v>5526</v>
      </c>
      <c r="C10658" s="1" t="s">
        <v>5527</v>
      </c>
      <c r="D10658" s="22" t="str">
        <f>HYPERLINK("https://rhld.insurance.arkansas.gov/NPILookup?Npi=1235189069","1235189069")</f>
        <v>1235189069</v>
      </c>
      <c r="E10658" s="1" t="s">
        <v>18695</v>
      </c>
      <c r="F10658" s="2"/>
      <c r="G10658" s="2"/>
      <c r="H10658" s="2"/>
    </row>
    <row r="10659" spans="1:8" x14ac:dyDescent="0.25">
      <c r="A10659" s="1"/>
      <c r="B10659" s="1" t="s">
        <v>5526</v>
      </c>
      <c r="C10659" s="1" t="s">
        <v>5527</v>
      </c>
      <c r="D10659" s="22" t="str">
        <f>HYPERLINK("https://rhld.insurance.arkansas.gov/NPILookup?Npi=1235211392","1235211392")</f>
        <v>1235211392</v>
      </c>
      <c r="E10659" s="1" t="s">
        <v>20084</v>
      </c>
      <c r="F10659" s="2"/>
      <c r="G10659" s="2"/>
      <c r="H10659" s="2"/>
    </row>
    <row r="10660" spans="1:8" x14ac:dyDescent="0.25">
      <c r="A10660" s="1"/>
      <c r="B10660" s="1" t="s">
        <v>5526</v>
      </c>
      <c r="C10660" s="1" t="s">
        <v>5527</v>
      </c>
      <c r="D10660" s="22" t="str">
        <f>HYPERLINK("https://rhld.insurance.arkansas.gov/NPILookup?Npi=1235218991","1235218991")</f>
        <v>1235218991</v>
      </c>
      <c r="E10660" s="1" t="s">
        <v>5545</v>
      </c>
      <c r="F10660" s="2"/>
      <c r="G10660" s="2"/>
      <c r="H10660" s="2"/>
    </row>
    <row r="10661" spans="1:8" x14ac:dyDescent="0.25">
      <c r="A10661" s="1"/>
      <c r="B10661" s="1" t="s">
        <v>5526</v>
      </c>
      <c r="C10661" s="1" t="s">
        <v>5527</v>
      </c>
      <c r="D10661" s="22" t="str">
        <f>HYPERLINK("https://rhld.insurance.arkansas.gov/NPILookup?Npi=1235283581","1235283581")</f>
        <v>1235283581</v>
      </c>
      <c r="E10661" s="1" t="s">
        <v>3447</v>
      </c>
      <c r="F10661" s="2"/>
      <c r="G10661" s="2"/>
      <c r="H10661" s="2"/>
    </row>
    <row r="10662" spans="1:8" x14ac:dyDescent="0.25">
      <c r="A10662" s="1"/>
      <c r="B10662" s="1" t="s">
        <v>5526</v>
      </c>
      <c r="C10662" s="1" t="s">
        <v>5527</v>
      </c>
      <c r="D10662" s="22" t="str">
        <f>HYPERLINK("https://rhld.insurance.arkansas.gov/NPILookup?Npi=1235369307","1235369307")</f>
        <v>1235369307</v>
      </c>
      <c r="E10662" s="1" t="s">
        <v>132</v>
      </c>
      <c r="F10662" s="2"/>
      <c r="G10662" s="2"/>
      <c r="H10662" s="2"/>
    </row>
    <row r="10663" spans="1:8" x14ac:dyDescent="0.25">
      <c r="A10663" s="1"/>
      <c r="B10663" s="1" t="s">
        <v>5526</v>
      </c>
      <c r="C10663" s="1" t="s">
        <v>5527</v>
      </c>
      <c r="D10663" s="22" t="str">
        <f>HYPERLINK("https://rhld.insurance.arkansas.gov/NPILookup?Npi=1245262336","1245262336")</f>
        <v>1245262336</v>
      </c>
      <c r="E10663" s="1" t="s">
        <v>20085</v>
      </c>
      <c r="F10663" s="2"/>
      <c r="G10663" s="2"/>
      <c r="H10663" s="2"/>
    </row>
    <row r="10664" spans="1:8" x14ac:dyDescent="0.25">
      <c r="A10664" s="1"/>
      <c r="B10664" s="1" t="s">
        <v>5526</v>
      </c>
      <c r="C10664" s="1" t="s">
        <v>5527</v>
      </c>
      <c r="D10664" s="22" t="str">
        <f>HYPERLINK("https://rhld.insurance.arkansas.gov/NPILookup?Npi=1245375567","1245375567")</f>
        <v>1245375567</v>
      </c>
      <c r="E10664" s="1" t="s">
        <v>20086</v>
      </c>
      <c r="F10664" s="2"/>
      <c r="G10664" s="2"/>
      <c r="H10664" s="2"/>
    </row>
    <row r="10665" spans="1:8" x14ac:dyDescent="0.25">
      <c r="A10665" s="1"/>
      <c r="B10665" s="1" t="s">
        <v>5526</v>
      </c>
      <c r="C10665" s="1" t="s">
        <v>5527</v>
      </c>
      <c r="D10665" s="22" t="str">
        <f>HYPERLINK("https://rhld.insurance.arkansas.gov/NPILookup?Npi=1245631902","1245631902")</f>
        <v>1245631902</v>
      </c>
      <c r="E10665" s="1" t="s">
        <v>31748</v>
      </c>
      <c r="F10665" s="2"/>
      <c r="G10665" s="2"/>
      <c r="H10665" s="2"/>
    </row>
    <row r="10666" spans="1:8" x14ac:dyDescent="0.25">
      <c r="A10666" s="1"/>
      <c r="B10666" s="1" t="s">
        <v>5526</v>
      </c>
      <c r="C10666" s="1" t="s">
        <v>5527</v>
      </c>
      <c r="D10666" s="22" t="str">
        <f>HYPERLINK("https://rhld.insurance.arkansas.gov/NPILookup?Npi=1245670173","1245670173")</f>
        <v>1245670173</v>
      </c>
      <c r="E10666" s="1" t="s">
        <v>20087</v>
      </c>
      <c r="F10666" s="2"/>
      <c r="G10666" s="2"/>
      <c r="H10666" s="2"/>
    </row>
    <row r="10667" spans="1:8" x14ac:dyDescent="0.25">
      <c r="A10667" s="1"/>
      <c r="B10667" s="1" t="s">
        <v>5526</v>
      </c>
      <c r="C10667" s="1" t="s">
        <v>5527</v>
      </c>
      <c r="D10667" s="22" t="str">
        <f>HYPERLINK("https://rhld.insurance.arkansas.gov/NPILookup?Npi=1245763721","1245763721")</f>
        <v>1245763721</v>
      </c>
      <c r="E10667" s="1" t="s">
        <v>11138</v>
      </c>
      <c r="F10667" s="2"/>
      <c r="G10667" s="2"/>
      <c r="H10667" s="2"/>
    </row>
    <row r="10668" spans="1:8" x14ac:dyDescent="0.25">
      <c r="A10668" s="1"/>
      <c r="B10668" s="1" t="s">
        <v>5526</v>
      </c>
      <c r="C10668" s="1" t="s">
        <v>5527</v>
      </c>
      <c r="D10668" s="22" t="str">
        <f>HYPERLINK("https://rhld.insurance.arkansas.gov/NPILookup?Npi=1255327763","1255327763")</f>
        <v>1255327763</v>
      </c>
      <c r="E10668" s="1" t="s">
        <v>20089</v>
      </c>
      <c r="F10668" s="2"/>
      <c r="G10668" s="2"/>
      <c r="H10668" s="2"/>
    </row>
    <row r="10669" spans="1:8" x14ac:dyDescent="0.25">
      <c r="A10669" s="1"/>
      <c r="B10669" s="1" t="s">
        <v>5526</v>
      </c>
      <c r="C10669" s="1" t="s">
        <v>5527</v>
      </c>
      <c r="D10669" s="22" t="str">
        <f>HYPERLINK("https://rhld.insurance.arkansas.gov/NPILookup?Npi=1255334371","1255334371")</f>
        <v>1255334371</v>
      </c>
      <c r="E10669" s="1" t="s">
        <v>11139</v>
      </c>
      <c r="F10669" s="2"/>
      <c r="G10669" s="2"/>
      <c r="H10669" s="2"/>
    </row>
    <row r="10670" spans="1:8" x14ac:dyDescent="0.25">
      <c r="A10670" s="1"/>
      <c r="B10670" s="1" t="s">
        <v>5526</v>
      </c>
      <c r="C10670" s="1" t="s">
        <v>5527</v>
      </c>
      <c r="D10670" s="22" t="str">
        <f>HYPERLINK("https://rhld.insurance.arkansas.gov/NPILookup?Npi=1255344131","1255344131")</f>
        <v>1255344131</v>
      </c>
      <c r="E10670" s="1" t="s">
        <v>20090</v>
      </c>
      <c r="F10670" s="2"/>
      <c r="G10670" s="2"/>
      <c r="H10670" s="2"/>
    </row>
    <row r="10671" spans="1:8" x14ac:dyDescent="0.25">
      <c r="A10671" s="1"/>
      <c r="B10671" s="1" t="s">
        <v>5526</v>
      </c>
      <c r="C10671" s="1" t="s">
        <v>5527</v>
      </c>
      <c r="D10671" s="22" t="str">
        <f>HYPERLINK("https://rhld.insurance.arkansas.gov/NPILookup?Npi=1255539581","1255539581")</f>
        <v>1255539581</v>
      </c>
      <c r="E10671" s="1" t="s">
        <v>20091</v>
      </c>
      <c r="F10671" s="2"/>
      <c r="G10671" s="2"/>
      <c r="H10671" s="2"/>
    </row>
    <row r="10672" spans="1:8" x14ac:dyDescent="0.25">
      <c r="A10672" s="1"/>
      <c r="B10672" s="1" t="s">
        <v>5526</v>
      </c>
      <c r="C10672" s="1" t="s">
        <v>5527</v>
      </c>
      <c r="D10672" s="22" t="str">
        <f>HYPERLINK("https://rhld.insurance.arkansas.gov/NPILookup?Npi=1265428676","1265428676")</f>
        <v>1265428676</v>
      </c>
      <c r="E10672" s="1" t="s">
        <v>11140</v>
      </c>
      <c r="F10672" s="2"/>
      <c r="G10672" s="2"/>
      <c r="H10672" s="2"/>
    </row>
    <row r="10673" spans="1:8" x14ac:dyDescent="0.25">
      <c r="A10673" s="1"/>
      <c r="B10673" s="1" t="s">
        <v>5526</v>
      </c>
      <c r="C10673" s="1" t="s">
        <v>5527</v>
      </c>
      <c r="D10673" s="22" t="str">
        <f>HYPERLINK("https://rhld.insurance.arkansas.gov/NPILookup?Npi=1265875470","1265875470")</f>
        <v>1265875470</v>
      </c>
      <c r="E10673" s="1" t="s">
        <v>20092</v>
      </c>
      <c r="F10673" s="2"/>
      <c r="G10673" s="2"/>
      <c r="H10673" s="2"/>
    </row>
    <row r="10674" spans="1:8" x14ac:dyDescent="0.25">
      <c r="A10674" s="1"/>
      <c r="B10674" s="1" t="s">
        <v>5526</v>
      </c>
      <c r="C10674" s="1" t="s">
        <v>5527</v>
      </c>
      <c r="D10674" s="22" t="str">
        <f>HYPERLINK("https://rhld.insurance.arkansas.gov/NPILookup?Npi=1265887467","1265887467")</f>
        <v>1265887467</v>
      </c>
      <c r="E10674" s="1" t="s">
        <v>5546</v>
      </c>
      <c r="F10674" s="2"/>
      <c r="G10674" s="2"/>
      <c r="H10674" s="2"/>
    </row>
    <row r="10675" spans="1:8" x14ac:dyDescent="0.25">
      <c r="A10675" s="1"/>
      <c r="B10675" s="1" t="s">
        <v>5526</v>
      </c>
      <c r="C10675" s="1" t="s">
        <v>5527</v>
      </c>
      <c r="D10675" s="22" t="str">
        <f>HYPERLINK("https://rhld.insurance.arkansas.gov/NPILookup?Npi=1275532715","1275532715")</f>
        <v>1275532715</v>
      </c>
      <c r="E10675" s="1" t="s">
        <v>20093</v>
      </c>
      <c r="F10675" s="2"/>
      <c r="G10675" s="2"/>
      <c r="H10675" s="2"/>
    </row>
    <row r="10676" spans="1:8" x14ac:dyDescent="0.25">
      <c r="A10676" s="1"/>
      <c r="B10676" s="1" t="s">
        <v>5526</v>
      </c>
      <c r="C10676" s="1" t="s">
        <v>5527</v>
      </c>
      <c r="D10676" s="22" t="str">
        <f>HYPERLINK("https://rhld.insurance.arkansas.gov/NPILookup?Npi=1275559924","1275559924")</f>
        <v>1275559924</v>
      </c>
      <c r="E10676" s="1" t="s">
        <v>20094</v>
      </c>
      <c r="F10676" s="2"/>
      <c r="G10676" s="2"/>
      <c r="H10676" s="2"/>
    </row>
    <row r="10677" spans="1:8" x14ac:dyDescent="0.25">
      <c r="A10677" s="1"/>
      <c r="B10677" s="1" t="s">
        <v>5526</v>
      </c>
      <c r="C10677" s="1" t="s">
        <v>5527</v>
      </c>
      <c r="D10677" s="22" t="str">
        <f>HYPERLINK("https://rhld.insurance.arkansas.gov/NPILookup?Npi=1275655466","1275655466")</f>
        <v>1275655466</v>
      </c>
      <c r="E10677" s="1" t="s">
        <v>20095</v>
      </c>
      <c r="F10677" s="2"/>
      <c r="G10677" s="2"/>
      <c r="H10677" s="2"/>
    </row>
    <row r="10678" spans="1:8" x14ac:dyDescent="0.25">
      <c r="A10678" s="1"/>
      <c r="B10678" s="1" t="s">
        <v>5526</v>
      </c>
      <c r="C10678" s="1" t="s">
        <v>5527</v>
      </c>
      <c r="D10678" s="22" t="str">
        <f>HYPERLINK("https://rhld.insurance.arkansas.gov/NPILookup?Npi=1275707879","1275707879")</f>
        <v>1275707879</v>
      </c>
      <c r="E10678" s="1" t="s">
        <v>20096</v>
      </c>
      <c r="F10678" s="2"/>
      <c r="G10678" s="2"/>
      <c r="H10678" s="2"/>
    </row>
    <row r="10679" spans="1:8" x14ac:dyDescent="0.25">
      <c r="A10679" s="1"/>
      <c r="B10679" s="1" t="s">
        <v>5526</v>
      </c>
      <c r="C10679" s="1" t="s">
        <v>5527</v>
      </c>
      <c r="D10679" s="22" t="str">
        <f>HYPERLINK("https://rhld.insurance.arkansas.gov/NPILookup?Npi=1275828063","1275828063")</f>
        <v>1275828063</v>
      </c>
      <c r="E10679" s="1" t="s">
        <v>20097</v>
      </c>
      <c r="F10679" s="2"/>
      <c r="G10679" s="2"/>
      <c r="H10679" s="2"/>
    </row>
    <row r="10680" spans="1:8" x14ac:dyDescent="0.25">
      <c r="A10680" s="1"/>
      <c r="B10680" s="1" t="s">
        <v>5526</v>
      </c>
      <c r="C10680" s="1" t="s">
        <v>5527</v>
      </c>
      <c r="D10680" s="22" t="str">
        <f>HYPERLINK("https://rhld.insurance.arkansas.gov/NPILookup?Npi=1275995540","1275995540")</f>
        <v>1275995540</v>
      </c>
      <c r="E10680" s="1" t="s">
        <v>20098</v>
      </c>
      <c r="F10680" s="2"/>
      <c r="G10680" s="2"/>
      <c r="H10680" s="2"/>
    </row>
    <row r="10681" spans="1:8" x14ac:dyDescent="0.25">
      <c r="A10681" s="1"/>
      <c r="B10681" s="1" t="s">
        <v>5526</v>
      </c>
      <c r="C10681" s="1" t="s">
        <v>5527</v>
      </c>
      <c r="D10681" s="22" t="str">
        <f>HYPERLINK("https://rhld.insurance.arkansas.gov/NPILookup?Npi=1285981498","1285981498")</f>
        <v>1285981498</v>
      </c>
      <c r="E10681" s="1" t="s">
        <v>20099</v>
      </c>
      <c r="F10681" s="2"/>
      <c r="G10681" s="2"/>
      <c r="H10681" s="2"/>
    </row>
    <row r="10682" spans="1:8" x14ac:dyDescent="0.25">
      <c r="A10682" s="1"/>
      <c r="B10682" s="1" t="s">
        <v>5526</v>
      </c>
      <c r="C10682" s="1" t="s">
        <v>5527</v>
      </c>
      <c r="D10682" s="22" t="str">
        <f>HYPERLINK("https://rhld.insurance.arkansas.gov/NPILookup?Npi=1295702934","1295702934")</f>
        <v>1295702934</v>
      </c>
      <c r="E10682" s="1" t="s">
        <v>10623</v>
      </c>
      <c r="F10682" s="2"/>
      <c r="G10682" s="2"/>
      <c r="H10682" s="2"/>
    </row>
    <row r="10683" spans="1:8" x14ac:dyDescent="0.25">
      <c r="A10683" s="1"/>
      <c r="B10683" s="1" t="s">
        <v>5526</v>
      </c>
      <c r="C10683" s="1" t="s">
        <v>5527</v>
      </c>
      <c r="D10683" s="22" t="str">
        <f>HYPERLINK("https://rhld.insurance.arkansas.gov/NPILookup?Npi=1295717189","1295717189")</f>
        <v>1295717189</v>
      </c>
      <c r="E10683" s="1" t="s">
        <v>20100</v>
      </c>
      <c r="F10683" s="2"/>
      <c r="G10683" s="2"/>
      <c r="H10683" s="2"/>
    </row>
    <row r="10684" spans="1:8" x14ac:dyDescent="0.25">
      <c r="A10684" s="1"/>
      <c r="B10684" s="1" t="s">
        <v>5526</v>
      </c>
      <c r="C10684" s="1" t="s">
        <v>5527</v>
      </c>
      <c r="D10684" s="22" t="str">
        <f>HYPERLINK("https://rhld.insurance.arkansas.gov/NPILookup?Npi=1295778330","1295778330")</f>
        <v>1295778330</v>
      </c>
      <c r="E10684" s="1" t="s">
        <v>20101</v>
      </c>
      <c r="F10684" s="2"/>
      <c r="G10684" s="2"/>
      <c r="H10684" s="2"/>
    </row>
    <row r="10685" spans="1:8" x14ac:dyDescent="0.25">
      <c r="A10685" s="1"/>
      <c r="B10685" s="1" t="s">
        <v>5526</v>
      </c>
      <c r="C10685" s="1" t="s">
        <v>5527</v>
      </c>
      <c r="D10685" s="22" t="str">
        <f>HYPERLINK("https://rhld.insurance.arkansas.gov/NPILookup?Npi=1295922995","1295922995")</f>
        <v>1295922995</v>
      </c>
      <c r="E10685" s="1" t="s">
        <v>11141</v>
      </c>
      <c r="F10685" s="2"/>
      <c r="G10685" s="2"/>
      <c r="H10685" s="2"/>
    </row>
    <row r="10686" spans="1:8" x14ac:dyDescent="0.25">
      <c r="A10686" s="1"/>
      <c r="B10686" s="1" t="s">
        <v>5526</v>
      </c>
      <c r="C10686" s="1" t="s">
        <v>5527</v>
      </c>
      <c r="D10686" s="22" t="str">
        <f>HYPERLINK("https://rhld.insurance.arkansas.gov/NPILookup?Npi=1295931855","1295931855")</f>
        <v>1295931855</v>
      </c>
      <c r="E10686" s="1" t="s">
        <v>20102</v>
      </c>
      <c r="F10686" s="2"/>
      <c r="G10686" s="2"/>
      <c r="H10686" s="2"/>
    </row>
    <row r="10687" spans="1:8" x14ac:dyDescent="0.25">
      <c r="A10687" s="1"/>
      <c r="B10687" s="1" t="s">
        <v>5526</v>
      </c>
      <c r="C10687" s="1" t="s">
        <v>5527</v>
      </c>
      <c r="D10687" s="22" t="str">
        <f>HYPERLINK("https://rhld.insurance.arkansas.gov/NPILookup?Npi=1306086632","1306086632")</f>
        <v>1306086632</v>
      </c>
      <c r="E10687" s="1" t="s">
        <v>20103</v>
      </c>
      <c r="F10687" s="2"/>
      <c r="G10687" s="2"/>
      <c r="H10687" s="2"/>
    </row>
    <row r="10688" spans="1:8" x14ac:dyDescent="0.25">
      <c r="A10688" s="1"/>
      <c r="B10688" s="1" t="s">
        <v>5526</v>
      </c>
      <c r="C10688" s="1" t="s">
        <v>5527</v>
      </c>
      <c r="D10688" s="22" t="str">
        <f>HYPERLINK("https://rhld.insurance.arkansas.gov/NPILookup?Npi=1306090725","1306090725")</f>
        <v>1306090725</v>
      </c>
      <c r="E10688" s="1" t="s">
        <v>1154</v>
      </c>
      <c r="F10688" s="2"/>
      <c r="G10688" s="2"/>
      <c r="H10688" s="2"/>
    </row>
    <row r="10689" spans="1:8" x14ac:dyDescent="0.25">
      <c r="A10689" s="1"/>
      <c r="B10689" s="1" t="s">
        <v>5526</v>
      </c>
      <c r="C10689" s="1" t="s">
        <v>5527</v>
      </c>
      <c r="D10689" s="22" t="str">
        <f>HYPERLINK("https://rhld.insurance.arkansas.gov/NPILookup?Npi=1306220736","1306220736")</f>
        <v>1306220736</v>
      </c>
      <c r="E10689" s="1" t="s">
        <v>20104</v>
      </c>
      <c r="F10689" s="2"/>
      <c r="G10689" s="2"/>
      <c r="H10689" s="2"/>
    </row>
    <row r="10690" spans="1:8" x14ac:dyDescent="0.25">
      <c r="A10690" s="1"/>
      <c r="B10690" s="1" t="s">
        <v>5526</v>
      </c>
      <c r="C10690" s="1" t="s">
        <v>5527</v>
      </c>
      <c r="D10690" s="22" t="str">
        <f>HYPERLINK("https://rhld.insurance.arkansas.gov/NPILookup?Npi=1306288642","1306288642")</f>
        <v>1306288642</v>
      </c>
      <c r="E10690" s="1" t="s">
        <v>31749</v>
      </c>
      <c r="F10690" s="2"/>
      <c r="G10690" s="2"/>
      <c r="H10690" s="2"/>
    </row>
    <row r="10691" spans="1:8" x14ac:dyDescent="0.25">
      <c r="A10691" s="1"/>
      <c r="B10691" s="1" t="s">
        <v>5526</v>
      </c>
      <c r="C10691" s="1" t="s">
        <v>5527</v>
      </c>
      <c r="D10691" s="22" t="str">
        <f>HYPERLINK("https://rhld.insurance.arkansas.gov/NPILookup?Npi=1306815634","1306815634")</f>
        <v>1306815634</v>
      </c>
      <c r="E10691" s="1" t="s">
        <v>3448</v>
      </c>
      <c r="F10691" s="2"/>
      <c r="G10691" s="2"/>
      <c r="H10691" s="2"/>
    </row>
    <row r="10692" spans="1:8" x14ac:dyDescent="0.25">
      <c r="A10692" s="1"/>
      <c r="B10692" s="1" t="s">
        <v>5526</v>
      </c>
      <c r="C10692" s="1" t="s">
        <v>5527</v>
      </c>
      <c r="D10692" s="22" t="str">
        <f>HYPERLINK("https://rhld.insurance.arkansas.gov/NPILookup?Npi=1306826250","1306826250")</f>
        <v>1306826250</v>
      </c>
      <c r="E10692" s="1" t="s">
        <v>28628</v>
      </c>
      <c r="F10692" s="2"/>
      <c r="G10692" s="2"/>
      <c r="H10692" s="2"/>
    </row>
    <row r="10693" spans="1:8" x14ac:dyDescent="0.25">
      <c r="A10693" s="1"/>
      <c r="B10693" s="1" t="s">
        <v>5526</v>
      </c>
      <c r="C10693" s="1" t="s">
        <v>5527</v>
      </c>
      <c r="D10693" s="22" t="str">
        <f>HYPERLINK("https://rhld.insurance.arkansas.gov/NPILookup?Npi=1306886825","1306886825")</f>
        <v>1306886825</v>
      </c>
      <c r="E10693" s="1" t="s">
        <v>3449</v>
      </c>
      <c r="F10693" s="2"/>
      <c r="G10693" s="2"/>
      <c r="H10693" s="2"/>
    </row>
    <row r="10694" spans="1:8" x14ac:dyDescent="0.25">
      <c r="A10694" s="1"/>
      <c r="B10694" s="1" t="s">
        <v>5526</v>
      </c>
      <c r="C10694" s="1" t="s">
        <v>5527</v>
      </c>
      <c r="D10694" s="22" t="str">
        <f>HYPERLINK("https://rhld.insurance.arkansas.gov/NPILookup?Npi=1316023328","1316023328")</f>
        <v>1316023328</v>
      </c>
      <c r="E10694" s="1" t="s">
        <v>11142</v>
      </c>
      <c r="F10694" s="2"/>
      <c r="G10694" s="2"/>
      <c r="H10694" s="2"/>
    </row>
    <row r="10695" spans="1:8" x14ac:dyDescent="0.25">
      <c r="A10695" s="1"/>
      <c r="B10695" s="1" t="s">
        <v>5526</v>
      </c>
      <c r="C10695" s="1" t="s">
        <v>5527</v>
      </c>
      <c r="D10695" s="22" t="str">
        <f>HYPERLINK("https://rhld.insurance.arkansas.gov/NPILookup?Npi=1316148547","1316148547")</f>
        <v>1316148547</v>
      </c>
      <c r="E10695" s="1" t="s">
        <v>11143</v>
      </c>
      <c r="F10695" s="2"/>
      <c r="G10695" s="2"/>
      <c r="H10695" s="2"/>
    </row>
    <row r="10696" spans="1:8" x14ac:dyDescent="0.25">
      <c r="A10696" s="1"/>
      <c r="B10696" s="1" t="s">
        <v>5526</v>
      </c>
      <c r="C10696" s="1" t="s">
        <v>5527</v>
      </c>
      <c r="D10696" s="22" t="str">
        <f>HYPERLINK("https://rhld.insurance.arkansas.gov/NPILookup?Npi=1316914773","1316914773")</f>
        <v>1316914773</v>
      </c>
      <c r="E10696" s="1" t="s">
        <v>11144</v>
      </c>
      <c r="F10696" s="2"/>
      <c r="G10696" s="2"/>
      <c r="H10696" s="2"/>
    </row>
    <row r="10697" spans="1:8" x14ac:dyDescent="0.25">
      <c r="A10697" s="1"/>
      <c r="B10697" s="1" t="s">
        <v>5526</v>
      </c>
      <c r="C10697" s="1" t="s">
        <v>5527</v>
      </c>
      <c r="D10697" s="22" t="str">
        <f>HYPERLINK("https://rhld.insurance.arkansas.gov/NPILookup?Npi=1316957921","1316957921")</f>
        <v>1316957921</v>
      </c>
      <c r="E10697" s="1" t="s">
        <v>426</v>
      </c>
      <c r="F10697" s="2"/>
      <c r="G10697" s="2"/>
      <c r="H10697" s="2"/>
    </row>
    <row r="10698" spans="1:8" x14ac:dyDescent="0.25">
      <c r="A10698" s="1"/>
      <c r="B10698" s="1" t="s">
        <v>5526</v>
      </c>
      <c r="C10698" s="1" t="s">
        <v>5527</v>
      </c>
      <c r="D10698" s="22" t="str">
        <f>HYPERLINK("https://rhld.insurance.arkansas.gov/NPILookup?Npi=1326070277","1326070277")</f>
        <v>1326070277</v>
      </c>
      <c r="E10698" s="1" t="s">
        <v>20105</v>
      </c>
      <c r="F10698" s="2"/>
      <c r="G10698" s="2"/>
      <c r="H10698" s="2"/>
    </row>
    <row r="10699" spans="1:8" x14ac:dyDescent="0.25">
      <c r="A10699" s="1"/>
      <c r="B10699" s="1" t="s">
        <v>5526</v>
      </c>
      <c r="C10699" s="1" t="s">
        <v>5527</v>
      </c>
      <c r="D10699" s="22" t="str">
        <f>HYPERLINK("https://rhld.insurance.arkansas.gov/NPILookup?Npi=1326303470","1326303470")</f>
        <v>1326303470</v>
      </c>
      <c r="E10699" s="1" t="s">
        <v>20106</v>
      </c>
      <c r="F10699" s="2"/>
      <c r="G10699" s="2"/>
      <c r="H10699" s="2"/>
    </row>
    <row r="10700" spans="1:8" x14ac:dyDescent="0.25">
      <c r="A10700" s="1"/>
      <c r="B10700" s="1" t="s">
        <v>5526</v>
      </c>
      <c r="C10700" s="1" t="s">
        <v>5527</v>
      </c>
      <c r="D10700" s="22" t="str">
        <f>HYPERLINK("https://rhld.insurance.arkansas.gov/NPILookup?Npi=1336100262","1336100262")</f>
        <v>1336100262</v>
      </c>
      <c r="E10700" s="1" t="s">
        <v>18729</v>
      </c>
      <c r="F10700" s="2"/>
      <c r="G10700" s="2"/>
      <c r="H10700" s="2"/>
    </row>
    <row r="10701" spans="1:8" x14ac:dyDescent="0.25">
      <c r="A10701" s="1"/>
      <c r="B10701" s="1" t="s">
        <v>5526</v>
      </c>
      <c r="C10701" s="1" t="s">
        <v>5527</v>
      </c>
      <c r="D10701" s="22" t="str">
        <f>HYPERLINK("https://rhld.insurance.arkansas.gov/NPILookup?Npi=1336147263","1336147263")</f>
        <v>1336147263</v>
      </c>
      <c r="E10701" s="1" t="s">
        <v>20107</v>
      </c>
      <c r="F10701" s="2"/>
      <c r="G10701" s="2"/>
      <c r="H10701" s="2"/>
    </row>
    <row r="10702" spans="1:8" x14ac:dyDescent="0.25">
      <c r="A10702" s="1"/>
      <c r="B10702" s="1" t="s">
        <v>5526</v>
      </c>
      <c r="C10702" s="1" t="s">
        <v>5527</v>
      </c>
      <c r="D10702" s="22" t="str">
        <f>HYPERLINK("https://rhld.insurance.arkansas.gov/NPILookup?Npi=1336149731","1336149731")</f>
        <v>1336149731</v>
      </c>
      <c r="E10702" s="1" t="s">
        <v>20108</v>
      </c>
      <c r="F10702" s="2"/>
      <c r="G10702" s="2"/>
      <c r="H10702" s="2"/>
    </row>
    <row r="10703" spans="1:8" x14ac:dyDescent="0.25">
      <c r="A10703" s="1"/>
      <c r="B10703" s="1" t="s">
        <v>5526</v>
      </c>
      <c r="C10703" s="1" t="s">
        <v>5527</v>
      </c>
      <c r="D10703" s="22" t="str">
        <f>HYPERLINK("https://rhld.insurance.arkansas.gov/NPILookup?Npi=1336522895","1336522895")</f>
        <v>1336522895</v>
      </c>
      <c r="E10703" s="1" t="s">
        <v>20109</v>
      </c>
      <c r="F10703" s="2"/>
      <c r="G10703" s="2"/>
      <c r="H10703" s="2"/>
    </row>
    <row r="10704" spans="1:8" x14ac:dyDescent="0.25">
      <c r="A10704" s="1"/>
      <c r="B10704" s="1" t="s">
        <v>5526</v>
      </c>
      <c r="C10704" s="1" t="s">
        <v>5527</v>
      </c>
      <c r="D10704" s="22" t="str">
        <f>HYPERLINK("https://rhld.insurance.arkansas.gov/NPILookup?Npi=1336593557","1336593557")</f>
        <v>1336593557</v>
      </c>
      <c r="E10704" s="1" t="s">
        <v>20110</v>
      </c>
      <c r="F10704" s="2"/>
      <c r="G10704" s="2"/>
      <c r="H10704" s="2"/>
    </row>
    <row r="10705" spans="1:8" x14ac:dyDescent="0.25">
      <c r="A10705" s="1"/>
      <c r="B10705" s="1" t="s">
        <v>5526</v>
      </c>
      <c r="C10705" s="1" t="s">
        <v>5527</v>
      </c>
      <c r="D10705" s="22" t="str">
        <f>HYPERLINK("https://rhld.insurance.arkansas.gov/NPILookup?Npi=1346227048","1346227048")</f>
        <v>1346227048</v>
      </c>
      <c r="E10705" s="1" t="s">
        <v>20111</v>
      </c>
      <c r="F10705" s="2"/>
      <c r="G10705" s="2"/>
      <c r="H10705" s="2"/>
    </row>
    <row r="10706" spans="1:8" x14ac:dyDescent="0.25">
      <c r="A10706" s="1"/>
      <c r="B10706" s="1" t="s">
        <v>5526</v>
      </c>
      <c r="C10706" s="1" t="s">
        <v>5527</v>
      </c>
      <c r="D10706" s="22" t="str">
        <f>HYPERLINK("https://rhld.insurance.arkansas.gov/NPILookup?Npi=1346243466","1346243466")</f>
        <v>1346243466</v>
      </c>
      <c r="E10706" s="1" t="s">
        <v>20112</v>
      </c>
      <c r="F10706" s="2"/>
      <c r="G10706" s="2"/>
      <c r="H10706" s="2"/>
    </row>
    <row r="10707" spans="1:8" x14ac:dyDescent="0.25">
      <c r="A10707" s="1"/>
      <c r="B10707" s="1" t="s">
        <v>5526</v>
      </c>
      <c r="C10707" s="1" t="s">
        <v>5527</v>
      </c>
      <c r="D10707" s="22" t="str">
        <f>HYPERLINK("https://rhld.insurance.arkansas.gov/NPILookup?Npi=1346602679","1346602679")</f>
        <v>1346602679</v>
      </c>
      <c r="E10707" s="1" t="s">
        <v>20113</v>
      </c>
      <c r="F10707" s="2"/>
      <c r="G10707" s="2"/>
      <c r="H10707" s="2"/>
    </row>
    <row r="10708" spans="1:8" x14ac:dyDescent="0.25">
      <c r="A10708" s="1"/>
      <c r="B10708" s="1" t="s">
        <v>5526</v>
      </c>
      <c r="C10708" s="1" t="s">
        <v>5527</v>
      </c>
      <c r="D10708" s="22" t="str">
        <f>HYPERLINK("https://rhld.insurance.arkansas.gov/NPILookup?Npi=1356312466","1356312466")</f>
        <v>1356312466</v>
      </c>
      <c r="E10708" s="1" t="s">
        <v>20114</v>
      </c>
      <c r="F10708" s="2"/>
      <c r="G10708" s="2"/>
      <c r="H10708" s="2"/>
    </row>
    <row r="10709" spans="1:8" x14ac:dyDescent="0.25">
      <c r="A10709" s="1"/>
      <c r="B10709" s="1" t="s">
        <v>5526</v>
      </c>
      <c r="C10709" s="1" t="s">
        <v>5527</v>
      </c>
      <c r="D10709" s="22" t="str">
        <f>HYPERLINK("https://rhld.insurance.arkansas.gov/NPILookup?Npi=1356391064","1356391064")</f>
        <v>1356391064</v>
      </c>
      <c r="E10709" s="1" t="s">
        <v>20115</v>
      </c>
      <c r="F10709" s="2"/>
      <c r="G10709" s="2"/>
      <c r="H10709" s="2"/>
    </row>
    <row r="10710" spans="1:8" x14ac:dyDescent="0.25">
      <c r="A10710" s="1"/>
      <c r="B10710" s="1" t="s">
        <v>5526</v>
      </c>
      <c r="C10710" s="1" t="s">
        <v>5527</v>
      </c>
      <c r="D10710" s="22" t="str">
        <f>HYPERLINK("https://rhld.insurance.arkansas.gov/NPILookup?Npi=1356422612","1356422612")</f>
        <v>1356422612</v>
      </c>
      <c r="E10710" s="1" t="s">
        <v>20116</v>
      </c>
      <c r="F10710" s="2"/>
      <c r="G10710" s="2"/>
      <c r="H10710" s="2"/>
    </row>
    <row r="10711" spans="1:8" x14ac:dyDescent="0.25">
      <c r="A10711" s="1"/>
      <c r="B10711" s="1" t="s">
        <v>5526</v>
      </c>
      <c r="C10711" s="1" t="s">
        <v>5527</v>
      </c>
      <c r="D10711" s="22" t="str">
        <f>HYPERLINK("https://rhld.insurance.arkansas.gov/NPILookup?Npi=1356533046","1356533046")</f>
        <v>1356533046</v>
      </c>
      <c r="E10711" s="1" t="s">
        <v>11145</v>
      </c>
      <c r="F10711" s="2"/>
      <c r="G10711" s="2"/>
      <c r="H10711" s="2"/>
    </row>
    <row r="10712" spans="1:8" x14ac:dyDescent="0.25">
      <c r="A10712" s="1"/>
      <c r="B10712" s="1" t="s">
        <v>5526</v>
      </c>
      <c r="C10712" s="1" t="s">
        <v>5527</v>
      </c>
      <c r="D10712" s="22" t="str">
        <f>HYPERLINK("https://rhld.insurance.arkansas.gov/NPILookup?Npi=1366761975","1366761975")</f>
        <v>1366761975</v>
      </c>
      <c r="E10712" s="1" t="s">
        <v>11146</v>
      </c>
      <c r="F10712" s="2"/>
      <c r="G10712" s="2"/>
      <c r="H10712" s="2"/>
    </row>
    <row r="10713" spans="1:8" x14ac:dyDescent="0.25">
      <c r="A10713" s="1"/>
      <c r="B10713" s="1" t="s">
        <v>5526</v>
      </c>
      <c r="C10713" s="1" t="s">
        <v>5527</v>
      </c>
      <c r="D10713" s="22" t="str">
        <f>HYPERLINK("https://rhld.insurance.arkansas.gov/NPILookup?Npi=1376539288","1376539288")</f>
        <v>1376539288</v>
      </c>
      <c r="E10713" s="1" t="s">
        <v>18435</v>
      </c>
      <c r="F10713" s="2"/>
      <c r="G10713" s="2"/>
      <c r="H10713" s="2"/>
    </row>
    <row r="10714" spans="1:8" x14ac:dyDescent="0.25">
      <c r="A10714" s="1"/>
      <c r="B10714" s="1" t="s">
        <v>5526</v>
      </c>
      <c r="C10714" s="1" t="s">
        <v>5527</v>
      </c>
      <c r="D10714" s="22" t="str">
        <f>HYPERLINK("https://rhld.insurance.arkansas.gov/NPILookup?Npi=1376993899","1376993899")</f>
        <v>1376993899</v>
      </c>
      <c r="E10714" s="1" t="s">
        <v>20117</v>
      </c>
      <c r="F10714" s="2"/>
      <c r="G10714" s="2"/>
      <c r="H10714" s="2"/>
    </row>
    <row r="10715" spans="1:8" x14ac:dyDescent="0.25">
      <c r="A10715" s="1"/>
      <c r="B10715" s="1" t="s">
        <v>5526</v>
      </c>
      <c r="C10715" s="1" t="s">
        <v>5527</v>
      </c>
      <c r="D10715" s="22" t="str">
        <f>HYPERLINK("https://rhld.insurance.arkansas.gov/NPILookup?Npi=1386684603","1386684603")</f>
        <v>1386684603</v>
      </c>
      <c r="E10715" s="1" t="s">
        <v>3451</v>
      </c>
      <c r="F10715" s="2"/>
      <c r="G10715" s="2"/>
      <c r="H10715" s="2"/>
    </row>
    <row r="10716" spans="1:8" x14ac:dyDescent="0.25">
      <c r="A10716" s="1"/>
      <c r="B10716" s="1" t="s">
        <v>5526</v>
      </c>
      <c r="C10716" s="1" t="s">
        <v>5527</v>
      </c>
      <c r="D10716" s="22" t="str">
        <f>HYPERLINK("https://rhld.insurance.arkansas.gov/NPILookup?Npi=1386695674","1386695674")</f>
        <v>1386695674</v>
      </c>
      <c r="E10716" s="1" t="s">
        <v>11147</v>
      </c>
      <c r="F10716" s="2"/>
      <c r="G10716" s="2"/>
      <c r="H10716" s="2"/>
    </row>
    <row r="10717" spans="1:8" x14ac:dyDescent="0.25">
      <c r="A10717" s="1"/>
      <c r="B10717" s="1" t="s">
        <v>5526</v>
      </c>
      <c r="C10717" s="1" t="s">
        <v>5527</v>
      </c>
      <c r="D10717" s="22" t="str">
        <f>HYPERLINK("https://rhld.insurance.arkansas.gov/NPILookup?Npi=1386721421","1386721421")</f>
        <v>1386721421</v>
      </c>
      <c r="E10717" s="1" t="s">
        <v>11148</v>
      </c>
      <c r="F10717" s="2"/>
      <c r="G10717" s="2"/>
      <c r="H10717" s="2"/>
    </row>
    <row r="10718" spans="1:8" x14ac:dyDescent="0.25">
      <c r="A10718" s="1"/>
      <c r="B10718" s="1" t="s">
        <v>5526</v>
      </c>
      <c r="C10718" s="1" t="s">
        <v>5527</v>
      </c>
      <c r="D10718" s="22" t="str">
        <f>HYPERLINK("https://rhld.insurance.arkansas.gov/NPILookup?Npi=1396013363","1396013363")</f>
        <v>1396013363</v>
      </c>
      <c r="E10718" s="1" t="s">
        <v>20118</v>
      </c>
      <c r="F10718" s="2"/>
      <c r="G10718" s="2"/>
      <c r="H10718" s="2"/>
    </row>
    <row r="10719" spans="1:8" x14ac:dyDescent="0.25">
      <c r="A10719" s="1"/>
      <c r="B10719" s="1" t="s">
        <v>5526</v>
      </c>
      <c r="C10719" s="1" t="s">
        <v>5527</v>
      </c>
      <c r="D10719" s="22" t="str">
        <f>HYPERLINK("https://rhld.insurance.arkansas.gov/NPILookup?Npi=1396035465","1396035465")</f>
        <v>1396035465</v>
      </c>
      <c r="E10719" s="1" t="s">
        <v>20119</v>
      </c>
      <c r="F10719" s="2"/>
      <c r="G10719" s="2"/>
      <c r="H10719" s="2"/>
    </row>
    <row r="10720" spans="1:8" x14ac:dyDescent="0.25">
      <c r="A10720" s="1"/>
      <c r="B10720" s="1" t="s">
        <v>5526</v>
      </c>
      <c r="C10720" s="1" t="s">
        <v>5527</v>
      </c>
      <c r="D10720" s="22" t="str">
        <f>HYPERLINK("https://rhld.insurance.arkansas.gov/NPILookup?Npi=1396852273","1396852273")</f>
        <v>1396852273</v>
      </c>
      <c r="E10720" s="1" t="s">
        <v>20120</v>
      </c>
      <c r="F10720" s="2"/>
      <c r="G10720" s="2"/>
      <c r="H10720" s="2"/>
    </row>
    <row r="10721" spans="1:8" x14ac:dyDescent="0.25">
      <c r="A10721" s="1"/>
      <c r="B10721" s="1" t="s">
        <v>5526</v>
      </c>
      <c r="C10721" s="1" t="s">
        <v>5527</v>
      </c>
      <c r="D10721" s="22" t="str">
        <f>HYPERLINK("https://rhld.insurance.arkansas.gov/NPILookup?Npi=1407028574","1407028574")</f>
        <v>1407028574</v>
      </c>
      <c r="E10721" s="1" t="s">
        <v>5547</v>
      </c>
      <c r="F10721" s="2"/>
      <c r="G10721" s="2"/>
      <c r="H10721" s="2"/>
    </row>
    <row r="10722" spans="1:8" x14ac:dyDescent="0.25">
      <c r="A10722" s="1"/>
      <c r="B10722" s="1" t="s">
        <v>5526</v>
      </c>
      <c r="C10722" s="1" t="s">
        <v>5527</v>
      </c>
      <c r="D10722" s="22" t="str">
        <f>HYPERLINK("https://rhld.insurance.arkansas.gov/NPILookup?Npi=1407232184","1407232184")</f>
        <v>1407232184</v>
      </c>
      <c r="E10722" s="1" t="s">
        <v>11149</v>
      </c>
      <c r="F10722" s="2"/>
      <c r="G10722" s="2"/>
      <c r="H10722" s="2"/>
    </row>
    <row r="10723" spans="1:8" x14ac:dyDescent="0.25">
      <c r="A10723" s="1"/>
      <c r="B10723" s="1" t="s">
        <v>5526</v>
      </c>
      <c r="C10723" s="1" t="s">
        <v>5527</v>
      </c>
      <c r="D10723" s="22" t="str">
        <f>HYPERLINK("https://rhld.insurance.arkansas.gov/NPILookup?Npi=1407858244","1407858244")</f>
        <v>1407858244</v>
      </c>
      <c r="E10723" s="1" t="s">
        <v>20121</v>
      </c>
      <c r="F10723" s="2"/>
      <c r="G10723" s="2"/>
      <c r="H10723" s="2"/>
    </row>
    <row r="10724" spans="1:8" x14ac:dyDescent="0.25">
      <c r="A10724" s="1"/>
      <c r="B10724" s="1" t="s">
        <v>5526</v>
      </c>
      <c r="C10724" s="1" t="s">
        <v>5527</v>
      </c>
      <c r="D10724" s="22" t="str">
        <f>HYPERLINK("https://rhld.insurance.arkansas.gov/NPILookup?Npi=1407877947","1407877947")</f>
        <v>1407877947</v>
      </c>
      <c r="E10724" s="1" t="s">
        <v>422</v>
      </c>
      <c r="F10724" s="2"/>
      <c r="G10724" s="2"/>
      <c r="H10724" s="2"/>
    </row>
    <row r="10725" spans="1:8" x14ac:dyDescent="0.25">
      <c r="A10725" s="1"/>
      <c r="B10725" s="1" t="s">
        <v>5526</v>
      </c>
      <c r="C10725" s="1" t="s">
        <v>5527</v>
      </c>
      <c r="D10725" s="22" t="str">
        <f>HYPERLINK("https://rhld.insurance.arkansas.gov/NPILookup?Npi=1417114174","1417114174")</f>
        <v>1417114174</v>
      </c>
      <c r="E10725" s="1" t="s">
        <v>1344</v>
      </c>
      <c r="F10725" s="2"/>
      <c r="G10725" s="2"/>
      <c r="H10725" s="2"/>
    </row>
    <row r="10726" spans="1:8" x14ac:dyDescent="0.25">
      <c r="A10726" s="1"/>
      <c r="B10726" s="1" t="s">
        <v>5526</v>
      </c>
      <c r="C10726" s="1" t="s">
        <v>5527</v>
      </c>
      <c r="D10726" s="22" t="str">
        <f>HYPERLINK("https://rhld.insurance.arkansas.gov/NPILookup?Npi=1417900374","1417900374")</f>
        <v>1417900374</v>
      </c>
      <c r="E10726" s="1" t="s">
        <v>20122</v>
      </c>
      <c r="F10726" s="2"/>
      <c r="G10726" s="2"/>
      <c r="H10726" s="2"/>
    </row>
    <row r="10727" spans="1:8" x14ac:dyDescent="0.25">
      <c r="A10727" s="1"/>
      <c r="B10727" s="1" t="s">
        <v>5526</v>
      </c>
      <c r="C10727" s="1" t="s">
        <v>5527</v>
      </c>
      <c r="D10727" s="22" t="str">
        <f>HYPERLINK("https://rhld.insurance.arkansas.gov/NPILookup?Npi=1417977471","1417977471")</f>
        <v>1417977471</v>
      </c>
      <c r="E10727" s="1" t="s">
        <v>7438</v>
      </c>
      <c r="F10727" s="2"/>
      <c r="G10727" s="2"/>
      <c r="H10727" s="2"/>
    </row>
    <row r="10728" spans="1:8" x14ac:dyDescent="0.25">
      <c r="A10728" s="1"/>
      <c r="B10728" s="1" t="s">
        <v>5526</v>
      </c>
      <c r="C10728" s="1" t="s">
        <v>5527</v>
      </c>
      <c r="D10728" s="22" t="str">
        <f>HYPERLINK("https://rhld.insurance.arkansas.gov/NPILookup?Npi=1427051200","1427051200")</f>
        <v>1427051200</v>
      </c>
      <c r="E10728" s="1" t="s">
        <v>11150</v>
      </c>
      <c r="F10728" s="2"/>
      <c r="G10728" s="2"/>
      <c r="H10728" s="2"/>
    </row>
    <row r="10729" spans="1:8" x14ac:dyDescent="0.25">
      <c r="A10729" s="1"/>
      <c r="B10729" s="1" t="s">
        <v>5526</v>
      </c>
      <c r="C10729" s="1" t="s">
        <v>5527</v>
      </c>
      <c r="D10729" s="22" t="str">
        <f>HYPERLINK("https://rhld.insurance.arkansas.gov/NPILookup?Npi=1437133352","1437133352")</f>
        <v>1437133352</v>
      </c>
      <c r="E10729" s="1" t="s">
        <v>31750</v>
      </c>
      <c r="F10729" s="2"/>
      <c r="G10729" s="2"/>
      <c r="H10729" s="2"/>
    </row>
    <row r="10730" spans="1:8" x14ac:dyDescent="0.25">
      <c r="A10730" s="1"/>
      <c r="B10730" s="1" t="s">
        <v>5526</v>
      </c>
      <c r="C10730" s="1" t="s">
        <v>5527</v>
      </c>
      <c r="D10730" s="22" t="str">
        <f>HYPERLINK("https://rhld.insurance.arkansas.gov/NPILookup?Npi=1437188273","1437188273")</f>
        <v>1437188273</v>
      </c>
      <c r="E10730" s="1" t="s">
        <v>18760</v>
      </c>
      <c r="F10730" s="2"/>
      <c r="G10730" s="2"/>
      <c r="H10730" s="2"/>
    </row>
    <row r="10731" spans="1:8" x14ac:dyDescent="0.25">
      <c r="A10731" s="1"/>
      <c r="B10731" s="1" t="s">
        <v>5526</v>
      </c>
      <c r="C10731" s="1" t="s">
        <v>5527</v>
      </c>
      <c r="D10731" s="22" t="str">
        <f>HYPERLINK("https://rhld.insurance.arkansas.gov/NPILookup?Npi=1447506365","1447506365")</f>
        <v>1447506365</v>
      </c>
      <c r="E10731" s="1" t="s">
        <v>20124</v>
      </c>
      <c r="F10731" s="2"/>
      <c r="G10731" s="2"/>
      <c r="H10731" s="2"/>
    </row>
    <row r="10732" spans="1:8" x14ac:dyDescent="0.25">
      <c r="A10732" s="1"/>
      <c r="B10732" s="1" t="s">
        <v>5526</v>
      </c>
      <c r="C10732" s="1" t="s">
        <v>5527</v>
      </c>
      <c r="D10732" s="22" t="str">
        <f>HYPERLINK("https://rhld.insurance.arkansas.gov/NPILookup?Npi=1447591912","1447591912")</f>
        <v>1447591912</v>
      </c>
      <c r="E10732" s="1" t="s">
        <v>1264</v>
      </c>
      <c r="F10732" s="2"/>
      <c r="G10732" s="2"/>
      <c r="H10732" s="2"/>
    </row>
    <row r="10733" spans="1:8" x14ac:dyDescent="0.25">
      <c r="A10733" s="1"/>
      <c r="B10733" s="1" t="s">
        <v>5526</v>
      </c>
      <c r="C10733" s="1" t="s">
        <v>5527</v>
      </c>
      <c r="D10733" s="22" t="str">
        <f>HYPERLINK("https://rhld.insurance.arkansas.gov/NPILookup?Npi=1447662572","1447662572")</f>
        <v>1447662572</v>
      </c>
      <c r="E10733" s="1" t="s">
        <v>20125</v>
      </c>
      <c r="F10733" s="2"/>
      <c r="G10733" s="2"/>
      <c r="H10733" s="2"/>
    </row>
    <row r="10734" spans="1:8" x14ac:dyDescent="0.25">
      <c r="A10734" s="1"/>
      <c r="B10734" s="1" t="s">
        <v>5526</v>
      </c>
      <c r="C10734" s="1" t="s">
        <v>5527</v>
      </c>
      <c r="D10734" s="22" t="str">
        <f>HYPERLINK("https://rhld.insurance.arkansas.gov/NPILookup?Npi=1447664917","1447664917")</f>
        <v>1447664917</v>
      </c>
      <c r="E10734" s="1" t="s">
        <v>5548</v>
      </c>
      <c r="F10734" s="2"/>
      <c r="G10734" s="2"/>
      <c r="H10734" s="2"/>
    </row>
    <row r="10735" spans="1:8" x14ac:dyDescent="0.25">
      <c r="A10735" s="1"/>
      <c r="B10735" s="1" t="s">
        <v>5526</v>
      </c>
      <c r="C10735" s="1" t="s">
        <v>5527</v>
      </c>
      <c r="D10735" s="22" t="str">
        <f>HYPERLINK("https://rhld.insurance.arkansas.gov/NPILookup?Npi=1447715024","1447715024")</f>
        <v>1447715024</v>
      </c>
      <c r="E10735" s="1" t="s">
        <v>3453</v>
      </c>
      <c r="F10735" s="2"/>
      <c r="G10735" s="2"/>
      <c r="H10735" s="2"/>
    </row>
    <row r="10736" spans="1:8" x14ac:dyDescent="0.25">
      <c r="A10736" s="1"/>
      <c r="B10736" s="1" t="s">
        <v>5526</v>
      </c>
      <c r="C10736" s="1" t="s">
        <v>5527</v>
      </c>
      <c r="D10736" s="22" t="str">
        <f>HYPERLINK("https://rhld.insurance.arkansas.gov/NPILookup?Npi=1457355166","1457355166")</f>
        <v>1457355166</v>
      </c>
      <c r="E10736" s="1" t="s">
        <v>11151</v>
      </c>
      <c r="F10736" s="2"/>
      <c r="G10736" s="2"/>
      <c r="H10736" s="2"/>
    </row>
    <row r="10737" spans="1:8" x14ac:dyDescent="0.25">
      <c r="A10737" s="1"/>
      <c r="B10737" s="1" t="s">
        <v>5526</v>
      </c>
      <c r="C10737" s="1" t="s">
        <v>5527</v>
      </c>
      <c r="D10737" s="22" t="str">
        <f>HYPERLINK("https://rhld.insurance.arkansas.gov/NPILookup?Npi=1457445579","1457445579")</f>
        <v>1457445579</v>
      </c>
      <c r="E10737" s="1" t="s">
        <v>20126</v>
      </c>
      <c r="F10737" s="2"/>
      <c r="G10737" s="2"/>
      <c r="H10737" s="2"/>
    </row>
    <row r="10738" spans="1:8" x14ac:dyDescent="0.25">
      <c r="A10738" s="1"/>
      <c r="B10738" s="1" t="s">
        <v>5526</v>
      </c>
      <c r="C10738" s="1" t="s">
        <v>5527</v>
      </c>
      <c r="D10738" s="22" t="str">
        <f>HYPERLINK("https://rhld.insurance.arkansas.gov/NPILookup?Npi=1457767436","1457767436")</f>
        <v>1457767436</v>
      </c>
      <c r="E10738" s="1" t="s">
        <v>20127</v>
      </c>
      <c r="F10738" s="2"/>
      <c r="G10738" s="2"/>
      <c r="H10738" s="2"/>
    </row>
    <row r="10739" spans="1:8" x14ac:dyDescent="0.25">
      <c r="A10739" s="1"/>
      <c r="B10739" s="1" t="s">
        <v>5526</v>
      </c>
      <c r="C10739" s="1" t="s">
        <v>5527</v>
      </c>
      <c r="D10739" s="22" t="str">
        <f>HYPERLINK("https://rhld.insurance.arkansas.gov/NPILookup?Npi=1467427740","1467427740")</f>
        <v>1467427740</v>
      </c>
      <c r="E10739" s="1" t="s">
        <v>17549</v>
      </c>
      <c r="F10739" s="2"/>
      <c r="G10739" s="2"/>
      <c r="H10739" s="2"/>
    </row>
    <row r="10740" spans="1:8" x14ac:dyDescent="0.25">
      <c r="A10740" s="1"/>
      <c r="B10740" s="1" t="s">
        <v>5526</v>
      </c>
      <c r="C10740" s="1" t="s">
        <v>5527</v>
      </c>
      <c r="D10740" s="22" t="str">
        <f>HYPERLINK("https://rhld.insurance.arkansas.gov/NPILookup?Npi=1467455055","1467455055")</f>
        <v>1467455055</v>
      </c>
      <c r="E10740" s="1" t="s">
        <v>20128</v>
      </c>
      <c r="F10740" s="2"/>
      <c r="G10740" s="2"/>
      <c r="H10740" s="2"/>
    </row>
    <row r="10741" spans="1:8" x14ac:dyDescent="0.25">
      <c r="A10741" s="1"/>
      <c r="B10741" s="1" t="s">
        <v>5526</v>
      </c>
      <c r="C10741" s="1" t="s">
        <v>5527</v>
      </c>
      <c r="D10741" s="22" t="str">
        <f>HYPERLINK("https://rhld.insurance.arkansas.gov/NPILookup?Npi=1467455279","1467455279")</f>
        <v>1467455279</v>
      </c>
      <c r="E10741" s="1" t="s">
        <v>420</v>
      </c>
      <c r="F10741" s="2"/>
      <c r="G10741" s="2"/>
      <c r="H10741" s="2"/>
    </row>
    <row r="10742" spans="1:8" x14ac:dyDescent="0.25">
      <c r="A10742" s="1"/>
      <c r="B10742" s="1" t="s">
        <v>5526</v>
      </c>
      <c r="C10742" s="1" t="s">
        <v>5527</v>
      </c>
      <c r="D10742" s="22" t="str">
        <f>HYPERLINK("https://rhld.insurance.arkansas.gov/NPILookup?Npi=1467458356","1467458356")</f>
        <v>1467458356</v>
      </c>
      <c r="E10742" s="1" t="s">
        <v>17552</v>
      </c>
      <c r="F10742" s="2"/>
      <c r="G10742" s="2"/>
      <c r="H10742" s="2"/>
    </row>
    <row r="10743" spans="1:8" x14ac:dyDescent="0.25">
      <c r="A10743" s="1"/>
      <c r="B10743" s="1" t="s">
        <v>5526</v>
      </c>
      <c r="C10743" s="1" t="s">
        <v>5527</v>
      </c>
      <c r="D10743" s="22" t="str">
        <f>HYPERLINK("https://rhld.insurance.arkansas.gov/NPILookup?Npi=1467670984","1467670984")</f>
        <v>1467670984</v>
      </c>
      <c r="E10743" s="1" t="s">
        <v>20129</v>
      </c>
      <c r="F10743" s="2"/>
      <c r="G10743" s="2"/>
      <c r="H10743" s="2"/>
    </row>
    <row r="10744" spans="1:8" x14ac:dyDescent="0.25">
      <c r="A10744" s="1"/>
      <c r="B10744" s="1" t="s">
        <v>5526</v>
      </c>
      <c r="C10744" s="1" t="s">
        <v>5527</v>
      </c>
      <c r="D10744" s="22" t="str">
        <f>HYPERLINK("https://rhld.insurance.arkansas.gov/NPILookup?Npi=1467671792","1467671792")</f>
        <v>1467671792</v>
      </c>
      <c r="E10744" s="1" t="s">
        <v>20130</v>
      </c>
      <c r="F10744" s="2"/>
      <c r="G10744" s="2"/>
      <c r="H10744" s="2"/>
    </row>
    <row r="10745" spans="1:8" x14ac:dyDescent="0.25">
      <c r="A10745" s="1"/>
      <c r="B10745" s="1" t="s">
        <v>5526</v>
      </c>
      <c r="C10745" s="1" t="s">
        <v>5527</v>
      </c>
      <c r="D10745" s="22" t="str">
        <f>HYPERLINK("https://rhld.insurance.arkansas.gov/NPILookup?Npi=1477516524","1477516524")</f>
        <v>1477516524</v>
      </c>
      <c r="E10745" s="1" t="s">
        <v>4381</v>
      </c>
      <c r="F10745" s="2"/>
      <c r="G10745" s="2"/>
      <c r="H10745" s="2"/>
    </row>
    <row r="10746" spans="1:8" x14ac:dyDescent="0.25">
      <c r="A10746" s="1"/>
      <c r="B10746" s="1" t="s">
        <v>5526</v>
      </c>
      <c r="C10746" s="1" t="s">
        <v>5527</v>
      </c>
      <c r="D10746" s="22" t="str">
        <f>HYPERLINK("https://rhld.insurance.arkansas.gov/NPILookup?Npi=1477524668","1477524668")</f>
        <v>1477524668</v>
      </c>
      <c r="E10746" s="1" t="s">
        <v>20131</v>
      </c>
      <c r="F10746" s="2"/>
      <c r="G10746" s="2"/>
      <c r="H10746" s="2"/>
    </row>
    <row r="10747" spans="1:8" x14ac:dyDescent="0.25">
      <c r="A10747" s="1"/>
      <c r="B10747" s="1" t="s">
        <v>5526</v>
      </c>
      <c r="C10747" s="1" t="s">
        <v>5527</v>
      </c>
      <c r="D10747" s="22" t="str">
        <f>HYPERLINK("https://rhld.insurance.arkansas.gov/NPILookup?Npi=1477551380","1477551380")</f>
        <v>1477551380</v>
      </c>
      <c r="E10747" s="1" t="s">
        <v>31751</v>
      </c>
      <c r="F10747" s="2"/>
      <c r="G10747" s="2"/>
      <c r="H10747" s="2"/>
    </row>
    <row r="10748" spans="1:8" x14ac:dyDescent="0.25">
      <c r="A10748" s="1"/>
      <c r="B10748" s="1" t="s">
        <v>5526</v>
      </c>
      <c r="C10748" s="1" t="s">
        <v>5527</v>
      </c>
      <c r="D10748" s="22" t="str">
        <f>HYPERLINK("https://rhld.insurance.arkansas.gov/NPILookup?Npi=1477557064","1477557064")</f>
        <v>1477557064</v>
      </c>
      <c r="E10748" s="1" t="s">
        <v>321</v>
      </c>
      <c r="F10748" s="2"/>
      <c r="G10748" s="2"/>
      <c r="H10748" s="2"/>
    </row>
    <row r="10749" spans="1:8" x14ac:dyDescent="0.25">
      <c r="A10749" s="1"/>
      <c r="B10749" s="1" t="s">
        <v>5526</v>
      </c>
      <c r="C10749" s="1" t="s">
        <v>5527</v>
      </c>
      <c r="D10749" s="22" t="str">
        <f>HYPERLINK("https://rhld.insurance.arkansas.gov/NPILookup?Npi=1477585347","1477585347")</f>
        <v>1477585347</v>
      </c>
      <c r="E10749" s="1" t="s">
        <v>963</v>
      </c>
      <c r="F10749" s="2"/>
      <c r="G10749" s="2"/>
      <c r="H10749" s="2"/>
    </row>
    <row r="10750" spans="1:8" x14ac:dyDescent="0.25">
      <c r="A10750" s="1"/>
      <c r="B10750" s="1" t="s">
        <v>5526</v>
      </c>
      <c r="C10750" s="1" t="s">
        <v>5527</v>
      </c>
      <c r="D10750" s="22" t="str">
        <f>HYPERLINK("https://rhld.insurance.arkansas.gov/NPILookup?Npi=1477643955","1477643955")</f>
        <v>1477643955</v>
      </c>
      <c r="E10750" s="1" t="s">
        <v>20132</v>
      </c>
      <c r="F10750" s="2"/>
      <c r="G10750" s="2"/>
      <c r="H10750" s="2"/>
    </row>
    <row r="10751" spans="1:8" x14ac:dyDescent="0.25">
      <c r="A10751" s="1"/>
      <c r="B10751" s="1" t="s">
        <v>5526</v>
      </c>
      <c r="C10751" s="1" t="s">
        <v>5527</v>
      </c>
      <c r="D10751" s="22" t="str">
        <f>HYPERLINK("https://rhld.insurance.arkansas.gov/NPILookup?Npi=1477680197","1477680197")</f>
        <v>1477680197</v>
      </c>
      <c r="E10751" s="1" t="s">
        <v>18469</v>
      </c>
      <c r="F10751" s="2"/>
      <c r="G10751" s="2"/>
      <c r="H10751" s="2"/>
    </row>
    <row r="10752" spans="1:8" x14ac:dyDescent="0.25">
      <c r="A10752" s="1"/>
      <c r="B10752" s="1" t="s">
        <v>5526</v>
      </c>
      <c r="C10752" s="1" t="s">
        <v>5527</v>
      </c>
      <c r="D10752" s="22" t="str">
        <f>HYPERLINK("https://rhld.insurance.arkansas.gov/NPILookup?Npi=1477731263","1477731263")</f>
        <v>1477731263</v>
      </c>
      <c r="E10752" s="1" t="s">
        <v>20133</v>
      </c>
      <c r="F10752" s="2"/>
      <c r="G10752" s="2"/>
      <c r="H10752" s="2"/>
    </row>
    <row r="10753" spans="1:8" x14ac:dyDescent="0.25">
      <c r="A10753" s="1"/>
      <c r="B10753" s="1" t="s">
        <v>5526</v>
      </c>
      <c r="C10753" s="1" t="s">
        <v>5527</v>
      </c>
      <c r="D10753" s="22" t="str">
        <f>HYPERLINK("https://rhld.insurance.arkansas.gov/NPILookup?Npi=1477760437","1477760437")</f>
        <v>1477760437</v>
      </c>
      <c r="E10753" s="1" t="s">
        <v>964</v>
      </c>
      <c r="F10753" s="2"/>
      <c r="G10753" s="2"/>
      <c r="H10753" s="2"/>
    </row>
    <row r="10754" spans="1:8" x14ac:dyDescent="0.25">
      <c r="A10754" s="1"/>
      <c r="B10754" s="1" t="s">
        <v>5526</v>
      </c>
      <c r="C10754" s="1" t="s">
        <v>5527</v>
      </c>
      <c r="D10754" s="22" t="str">
        <f>HYPERLINK("https://rhld.insurance.arkansas.gov/NPILookup?Npi=1487611760","1487611760")</f>
        <v>1487611760</v>
      </c>
      <c r="E10754" s="1" t="s">
        <v>10746</v>
      </c>
      <c r="F10754" s="2"/>
      <c r="G10754" s="2"/>
      <c r="H10754" s="2"/>
    </row>
    <row r="10755" spans="1:8" x14ac:dyDescent="0.25">
      <c r="A10755" s="1"/>
      <c r="B10755" s="1" t="s">
        <v>5526</v>
      </c>
      <c r="C10755" s="1" t="s">
        <v>5527</v>
      </c>
      <c r="D10755" s="22" t="str">
        <f>HYPERLINK("https://rhld.insurance.arkansas.gov/NPILookup?Npi=1497011415","1497011415")</f>
        <v>1497011415</v>
      </c>
      <c r="E10755" s="1" t="s">
        <v>20134</v>
      </c>
      <c r="F10755" s="2"/>
      <c r="G10755" s="2"/>
      <c r="H10755" s="2"/>
    </row>
    <row r="10756" spans="1:8" x14ac:dyDescent="0.25">
      <c r="A10756" s="1"/>
      <c r="B10756" s="1" t="s">
        <v>5526</v>
      </c>
      <c r="C10756" s="1" t="s">
        <v>5527</v>
      </c>
      <c r="D10756" s="22" t="str">
        <f>HYPERLINK("https://rhld.insurance.arkansas.gov/NPILookup?Npi=1497040299","1497040299")</f>
        <v>1497040299</v>
      </c>
      <c r="E10756" s="1" t="s">
        <v>20135</v>
      </c>
      <c r="F10756" s="2"/>
      <c r="G10756" s="2"/>
      <c r="H10756" s="2"/>
    </row>
    <row r="10757" spans="1:8" x14ac:dyDescent="0.25">
      <c r="A10757" s="1"/>
      <c r="B10757" s="1" t="s">
        <v>5526</v>
      </c>
      <c r="C10757" s="1" t="s">
        <v>5527</v>
      </c>
      <c r="D10757" s="22" t="str">
        <f>HYPERLINK("https://rhld.insurance.arkansas.gov/NPILookup?Npi=1497133649","1497133649")</f>
        <v>1497133649</v>
      </c>
      <c r="E10757" s="1" t="s">
        <v>20136</v>
      </c>
      <c r="F10757" s="2"/>
      <c r="G10757" s="2"/>
      <c r="H10757" s="2"/>
    </row>
    <row r="10758" spans="1:8" x14ac:dyDescent="0.25">
      <c r="A10758" s="1"/>
      <c r="B10758" s="1" t="s">
        <v>5526</v>
      </c>
      <c r="C10758" s="1" t="s">
        <v>5527</v>
      </c>
      <c r="D10758" s="22" t="str">
        <f>HYPERLINK("https://rhld.insurance.arkansas.gov/NPILookup?Npi=1497713267","1497713267")</f>
        <v>1497713267</v>
      </c>
      <c r="E10758" s="1" t="s">
        <v>3454</v>
      </c>
      <c r="F10758" s="2"/>
      <c r="G10758" s="2"/>
      <c r="H10758" s="2"/>
    </row>
    <row r="10759" spans="1:8" x14ac:dyDescent="0.25">
      <c r="A10759" s="1"/>
      <c r="B10759" s="1" t="s">
        <v>5526</v>
      </c>
      <c r="C10759" s="1" t="s">
        <v>5527</v>
      </c>
      <c r="D10759" s="22" t="str">
        <f>HYPERLINK("https://rhld.insurance.arkansas.gov/NPILookup?Npi=1497751390","1497751390")</f>
        <v>1497751390</v>
      </c>
      <c r="E10759" s="1" t="s">
        <v>20137</v>
      </c>
      <c r="F10759" s="2"/>
      <c r="G10759" s="2"/>
      <c r="H10759" s="2"/>
    </row>
    <row r="10760" spans="1:8" x14ac:dyDescent="0.25">
      <c r="A10760" s="1"/>
      <c r="B10760" s="1" t="s">
        <v>5526</v>
      </c>
      <c r="C10760" s="1" t="s">
        <v>5527</v>
      </c>
      <c r="D10760" s="22" t="str">
        <f>HYPERLINK("https://rhld.insurance.arkansas.gov/NPILookup?Npi=1508152471","1508152471")</f>
        <v>1508152471</v>
      </c>
      <c r="E10760" s="1" t="s">
        <v>20138</v>
      </c>
      <c r="F10760" s="2"/>
      <c r="G10760" s="2"/>
      <c r="H10760" s="2"/>
    </row>
    <row r="10761" spans="1:8" x14ac:dyDescent="0.25">
      <c r="A10761" s="1"/>
      <c r="B10761" s="1" t="s">
        <v>5526</v>
      </c>
      <c r="C10761" s="1" t="s">
        <v>5527</v>
      </c>
      <c r="D10761" s="22" t="str">
        <f>HYPERLINK("https://rhld.insurance.arkansas.gov/NPILookup?Npi=1508160102","1508160102")</f>
        <v>1508160102</v>
      </c>
      <c r="E10761" s="1" t="s">
        <v>5549</v>
      </c>
      <c r="F10761" s="2"/>
      <c r="G10761" s="2"/>
      <c r="H10761" s="2"/>
    </row>
    <row r="10762" spans="1:8" x14ac:dyDescent="0.25">
      <c r="A10762" s="1"/>
      <c r="B10762" s="1" t="s">
        <v>5526</v>
      </c>
      <c r="C10762" s="1" t="s">
        <v>5527</v>
      </c>
      <c r="D10762" s="22" t="str">
        <f>HYPERLINK("https://rhld.insurance.arkansas.gov/NPILookup?Npi=1508220450","1508220450")</f>
        <v>1508220450</v>
      </c>
      <c r="E10762" s="1" t="s">
        <v>20139</v>
      </c>
      <c r="F10762" s="2"/>
      <c r="G10762" s="2"/>
      <c r="H10762" s="2"/>
    </row>
    <row r="10763" spans="1:8" x14ac:dyDescent="0.25">
      <c r="A10763" s="1"/>
      <c r="B10763" s="1" t="s">
        <v>5526</v>
      </c>
      <c r="C10763" s="1" t="s">
        <v>5527</v>
      </c>
      <c r="D10763" s="22" t="str">
        <f>HYPERLINK("https://rhld.insurance.arkansas.gov/NPILookup?Npi=1508276916","1508276916")</f>
        <v>1508276916</v>
      </c>
      <c r="E10763" s="1" t="s">
        <v>20140</v>
      </c>
      <c r="F10763" s="2"/>
      <c r="G10763" s="2"/>
      <c r="H10763" s="2"/>
    </row>
    <row r="10764" spans="1:8" x14ac:dyDescent="0.25">
      <c r="A10764" s="1"/>
      <c r="B10764" s="1" t="s">
        <v>5526</v>
      </c>
      <c r="C10764" s="1" t="s">
        <v>5527</v>
      </c>
      <c r="D10764" s="22" t="str">
        <f>HYPERLINK("https://rhld.insurance.arkansas.gov/NPILookup?Npi=1508887191","1508887191")</f>
        <v>1508887191</v>
      </c>
      <c r="E10764" s="1" t="s">
        <v>11152</v>
      </c>
      <c r="F10764" s="2"/>
      <c r="G10764" s="2"/>
      <c r="H10764" s="2"/>
    </row>
    <row r="10765" spans="1:8" x14ac:dyDescent="0.25">
      <c r="A10765" s="1"/>
      <c r="B10765" s="1" t="s">
        <v>5526</v>
      </c>
      <c r="C10765" s="1" t="s">
        <v>5527</v>
      </c>
      <c r="D10765" s="22" t="str">
        <f>HYPERLINK("https://rhld.insurance.arkansas.gov/NPILookup?Npi=1518014307","1518014307")</f>
        <v>1518014307</v>
      </c>
      <c r="E10765" s="1" t="s">
        <v>20142</v>
      </c>
      <c r="F10765" s="2"/>
      <c r="G10765" s="2"/>
      <c r="H10765" s="2"/>
    </row>
    <row r="10766" spans="1:8" x14ac:dyDescent="0.25">
      <c r="A10766" s="1"/>
      <c r="B10766" s="1" t="s">
        <v>5526</v>
      </c>
      <c r="C10766" s="1" t="s">
        <v>5527</v>
      </c>
      <c r="D10766" s="22" t="str">
        <f>HYPERLINK("https://rhld.insurance.arkansas.gov/NPILookup?Npi=1518165729","1518165729")</f>
        <v>1518165729</v>
      </c>
      <c r="E10766" s="1" t="s">
        <v>965</v>
      </c>
      <c r="F10766" s="2"/>
      <c r="G10766" s="2"/>
      <c r="H10766" s="2"/>
    </row>
    <row r="10767" spans="1:8" x14ac:dyDescent="0.25">
      <c r="A10767" s="1"/>
      <c r="B10767" s="1" t="s">
        <v>5526</v>
      </c>
      <c r="C10767" s="1" t="s">
        <v>5527</v>
      </c>
      <c r="D10767" s="22" t="str">
        <f>HYPERLINK("https://rhld.insurance.arkansas.gov/NPILookup?Npi=1518300557","1518300557")</f>
        <v>1518300557</v>
      </c>
      <c r="E10767" s="1" t="s">
        <v>20143</v>
      </c>
      <c r="F10767" s="2"/>
      <c r="G10767" s="2"/>
      <c r="H10767" s="2"/>
    </row>
    <row r="10768" spans="1:8" x14ac:dyDescent="0.25">
      <c r="A10768" s="1"/>
      <c r="B10768" s="1" t="s">
        <v>5526</v>
      </c>
      <c r="C10768" s="1" t="s">
        <v>5527</v>
      </c>
      <c r="D10768" s="22" t="str">
        <f>HYPERLINK("https://rhld.insurance.arkansas.gov/NPILookup?Npi=1518347582","1518347582")</f>
        <v>1518347582</v>
      </c>
      <c r="E10768" s="1" t="s">
        <v>20144</v>
      </c>
      <c r="F10768" s="2"/>
      <c r="G10768" s="2"/>
      <c r="H10768" s="2"/>
    </row>
    <row r="10769" spans="1:8" x14ac:dyDescent="0.25">
      <c r="A10769" s="1"/>
      <c r="B10769" s="1" t="s">
        <v>5526</v>
      </c>
      <c r="C10769" s="1" t="s">
        <v>5527</v>
      </c>
      <c r="D10769" s="22" t="str">
        <f>HYPERLINK("https://rhld.insurance.arkansas.gov/NPILookup?Npi=1518348523","1518348523")</f>
        <v>1518348523</v>
      </c>
      <c r="E10769" s="1" t="s">
        <v>11153</v>
      </c>
      <c r="F10769" s="2"/>
      <c r="G10769" s="2"/>
      <c r="H10769" s="2"/>
    </row>
    <row r="10770" spans="1:8" x14ac:dyDescent="0.25">
      <c r="A10770" s="1"/>
      <c r="B10770" s="1" t="s">
        <v>5526</v>
      </c>
      <c r="C10770" s="1" t="s">
        <v>5527</v>
      </c>
      <c r="D10770" s="22" t="str">
        <f>HYPERLINK("https://rhld.insurance.arkansas.gov/NPILookup?Npi=1528066495","1528066495")</f>
        <v>1528066495</v>
      </c>
      <c r="E10770" s="1" t="s">
        <v>5550</v>
      </c>
      <c r="F10770" s="2"/>
      <c r="G10770" s="2"/>
      <c r="H10770" s="2"/>
    </row>
    <row r="10771" spans="1:8" x14ac:dyDescent="0.25">
      <c r="A10771" s="1"/>
      <c r="B10771" s="1" t="s">
        <v>5526</v>
      </c>
      <c r="C10771" s="1" t="s">
        <v>5527</v>
      </c>
      <c r="D10771" s="22" t="str">
        <f>HYPERLINK("https://rhld.insurance.arkansas.gov/NPILookup?Npi=1528276763","1528276763")</f>
        <v>1528276763</v>
      </c>
      <c r="E10771" s="1" t="s">
        <v>20145</v>
      </c>
      <c r="F10771" s="2"/>
      <c r="G10771" s="2"/>
      <c r="H10771" s="2"/>
    </row>
    <row r="10772" spans="1:8" x14ac:dyDescent="0.25">
      <c r="A10772" s="1"/>
      <c r="B10772" s="1" t="s">
        <v>5526</v>
      </c>
      <c r="C10772" s="1" t="s">
        <v>5527</v>
      </c>
      <c r="D10772" s="22" t="str">
        <f>HYPERLINK("https://rhld.insurance.arkansas.gov/NPILookup?Npi=1538202395","1538202395")</f>
        <v>1538202395</v>
      </c>
      <c r="E10772" s="1" t="s">
        <v>5551</v>
      </c>
      <c r="F10772" s="2"/>
      <c r="G10772" s="2"/>
      <c r="H10772" s="2"/>
    </row>
    <row r="10773" spans="1:8" x14ac:dyDescent="0.25">
      <c r="A10773" s="1"/>
      <c r="B10773" s="1" t="s">
        <v>5526</v>
      </c>
      <c r="C10773" s="1" t="s">
        <v>5527</v>
      </c>
      <c r="D10773" s="22" t="str">
        <f>HYPERLINK("https://rhld.insurance.arkansas.gov/NPILookup?Npi=1538249016","1538249016")</f>
        <v>1538249016</v>
      </c>
      <c r="E10773" s="1" t="s">
        <v>2327</v>
      </c>
      <c r="F10773" s="2"/>
      <c r="G10773" s="2"/>
      <c r="H10773" s="2"/>
    </row>
    <row r="10774" spans="1:8" x14ac:dyDescent="0.25">
      <c r="A10774" s="1"/>
      <c r="B10774" s="1" t="s">
        <v>5526</v>
      </c>
      <c r="C10774" s="1" t="s">
        <v>5527</v>
      </c>
      <c r="D10774" s="22" t="str">
        <f>HYPERLINK("https://rhld.insurance.arkansas.gov/NPILookup?Npi=1538426333","1538426333")</f>
        <v>1538426333</v>
      </c>
      <c r="E10774" s="1" t="s">
        <v>1046</v>
      </c>
      <c r="F10774" s="2"/>
      <c r="G10774" s="2"/>
      <c r="H10774" s="2"/>
    </row>
    <row r="10775" spans="1:8" x14ac:dyDescent="0.25">
      <c r="A10775" s="1"/>
      <c r="B10775" s="1" t="s">
        <v>5526</v>
      </c>
      <c r="C10775" s="1" t="s">
        <v>5527</v>
      </c>
      <c r="D10775" s="22" t="str">
        <f>HYPERLINK("https://rhld.insurance.arkansas.gov/NPILookup?Npi=1538460225","1538460225")</f>
        <v>1538460225</v>
      </c>
      <c r="E10775" s="1" t="s">
        <v>20146</v>
      </c>
      <c r="F10775" s="2"/>
      <c r="G10775" s="2"/>
      <c r="H10775" s="2"/>
    </row>
    <row r="10776" spans="1:8" x14ac:dyDescent="0.25">
      <c r="A10776" s="1"/>
      <c r="B10776" s="1" t="s">
        <v>5526</v>
      </c>
      <c r="C10776" s="1" t="s">
        <v>5527</v>
      </c>
      <c r="D10776" s="22" t="str">
        <f>HYPERLINK("https://rhld.insurance.arkansas.gov/NPILookup?Npi=1538469481","1538469481")</f>
        <v>1538469481</v>
      </c>
      <c r="E10776" s="1" t="s">
        <v>5552</v>
      </c>
      <c r="F10776" s="2"/>
      <c r="G10776" s="2"/>
      <c r="H10776" s="2"/>
    </row>
    <row r="10777" spans="1:8" x14ac:dyDescent="0.25">
      <c r="A10777" s="1"/>
      <c r="B10777" s="1" t="s">
        <v>5526</v>
      </c>
      <c r="C10777" s="1" t="s">
        <v>5527</v>
      </c>
      <c r="D10777" s="22" t="str">
        <f>HYPERLINK("https://rhld.insurance.arkansas.gov/NPILookup?Npi=1548268592","1548268592")</f>
        <v>1548268592</v>
      </c>
      <c r="E10777" s="1" t="s">
        <v>20147</v>
      </c>
      <c r="F10777" s="2"/>
      <c r="G10777" s="2"/>
      <c r="H10777" s="2"/>
    </row>
    <row r="10778" spans="1:8" x14ac:dyDescent="0.25">
      <c r="A10778" s="1"/>
      <c r="B10778" s="1" t="s">
        <v>5526</v>
      </c>
      <c r="C10778" s="1" t="s">
        <v>5527</v>
      </c>
      <c r="D10778" s="22" t="str">
        <f>HYPERLINK("https://rhld.insurance.arkansas.gov/NPILookup?Npi=1548317340","1548317340")</f>
        <v>1548317340</v>
      </c>
      <c r="E10778" s="1" t="s">
        <v>12958</v>
      </c>
      <c r="F10778" s="2"/>
      <c r="G10778" s="2"/>
      <c r="H10778" s="2"/>
    </row>
    <row r="10779" spans="1:8" x14ac:dyDescent="0.25">
      <c r="A10779" s="1"/>
      <c r="B10779" s="1" t="s">
        <v>5526</v>
      </c>
      <c r="C10779" s="1" t="s">
        <v>5527</v>
      </c>
      <c r="D10779" s="22" t="str">
        <f>HYPERLINK("https://rhld.insurance.arkansas.gov/NPILookup?Npi=1548371289","1548371289")</f>
        <v>1548371289</v>
      </c>
      <c r="E10779" s="1" t="s">
        <v>2750</v>
      </c>
      <c r="F10779" s="2"/>
      <c r="G10779" s="2"/>
      <c r="H10779" s="2"/>
    </row>
    <row r="10780" spans="1:8" x14ac:dyDescent="0.25">
      <c r="A10780" s="1"/>
      <c r="B10780" s="1" t="s">
        <v>5526</v>
      </c>
      <c r="C10780" s="1" t="s">
        <v>5527</v>
      </c>
      <c r="D10780" s="22" t="str">
        <f>HYPERLINK("https://rhld.insurance.arkansas.gov/NPILookup?Npi=1548668916","1548668916")</f>
        <v>1548668916</v>
      </c>
      <c r="E10780" s="1" t="s">
        <v>11154</v>
      </c>
      <c r="F10780" s="2"/>
      <c r="G10780" s="2"/>
      <c r="H10780" s="2"/>
    </row>
    <row r="10781" spans="1:8" x14ac:dyDescent="0.25">
      <c r="A10781" s="1"/>
      <c r="B10781" s="1" t="s">
        <v>5526</v>
      </c>
      <c r="C10781" s="1" t="s">
        <v>5527</v>
      </c>
      <c r="D10781" s="22" t="str">
        <f>HYPERLINK("https://rhld.insurance.arkansas.gov/NPILookup?Npi=1558323816","1558323816")</f>
        <v>1558323816</v>
      </c>
      <c r="E10781" s="1" t="s">
        <v>20148</v>
      </c>
      <c r="F10781" s="2"/>
      <c r="G10781" s="2"/>
      <c r="H10781" s="2"/>
    </row>
    <row r="10782" spans="1:8" x14ac:dyDescent="0.25">
      <c r="A10782" s="1"/>
      <c r="B10782" s="1" t="s">
        <v>5526</v>
      </c>
      <c r="C10782" s="1" t="s">
        <v>5527</v>
      </c>
      <c r="D10782" s="22" t="str">
        <f>HYPERLINK("https://rhld.insurance.arkansas.gov/NPILookup?Npi=1558325118","1558325118")</f>
        <v>1558325118</v>
      </c>
      <c r="E10782" s="1" t="s">
        <v>20149</v>
      </c>
      <c r="F10782" s="2"/>
      <c r="G10782" s="2"/>
      <c r="H10782" s="2"/>
    </row>
    <row r="10783" spans="1:8" x14ac:dyDescent="0.25">
      <c r="A10783" s="1"/>
      <c r="B10783" s="1" t="s">
        <v>5526</v>
      </c>
      <c r="C10783" s="1" t="s">
        <v>5527</v>
      </c>
      <c r="D10783" s="22" t="str">
        <f>HYPERLINK("https://rhld.insurance.arkansas.gov/NPILookup?Npi=1558436337","1558436337")</f>
        <v>1558436337</v>
      </c>
      <c r="E10783" s="1" t="s">
        <v>20150</v>
      </c>
      <c r="F10783" s="2"/>
      <c r="G10783" s="2"/>
      <c r="H10783" s="2"/>
    </row>
    <row r="10784" spans="1:8" x14ac:dyDescent="0.25">
      <c r="A10784" s="1"/>
      <c r="B10784" s="1" t="s">
        <v>5526</v>
      </c>
      <c r="C10784" s="1" t="s">
        <v>5527</v>
      </c>
      <c r="D10784" s="22" t="str">
        <f>HYPERLINK("https://rhld.insurance.arkansas.gov/NPILookup?Npi=1558474122","1558474122")</f>
        <v>1558474122</v>
      </c>
      <c r="E10784" s="1" t="s">
        <v>1436</v>
      </c>
      <c r="F10784" s="2"/>
      <c r="G10784" s="2"/>
      <c r="H10784" s="2"/>
    </row>
    <row r="10785" spans="1:8" x14ac:dyDescent="0.25">
      <c r="A10785" s="1"/>
      <c r="B10785" s="1" t="s">
        <v>5526</v>
      </c>
      <c r="C10785" s="1" t="s">
        <v>5527</v>
      </c>
      <c r="D10785" s="22" t="str">
        <f>HYPERLINK("https://rhld.insurance.arkansas.gov/NPILookup?Npi=1558561126","1558561126")</f>
        <v>1558561126</v>
      </c>
      <c r="E10785" s="1" t="s">
        <v>20151</v>
      </c>
      <c r="F10785" s="2"/>
      <c r="G10785" s="2"/>
      <c r="H10785" s="2"/>
    </row>
    <row r="10786" spans="1:8" x14ac:dyDescent="0.25">
      <c r="A10786" s="1"/>
      <c r="B10786" s="1" t="s">
        <v>5526</v>
      </c>
      <c r="C10786" s="1" t="s">
        <v>5527</v>
      </c>
      <c r="D10786" s="22" t="str">
        <f>HYPERLINK("https://rhld.insurance.arkansas.gov/NPILookup?Npi=1558630624","1558630624")</f>
        <v>1558630624</v>
      </c>
      <c r="E10786" s="1" t="s">
        <v>1345</v>
      </c>
      <c r="F10786" s="2"/>
      <c r="G10786" s="2"/>
      <c r="H10786" s="2"/>
    </row>
    <row r="10787" spans="1:8" x14ac:dyDescent="0.25">
      <c r="A10787" s="1"/>
      <c r="B10787" s="1" t="s">
        <v>5526</v>
      </c>
      <c r="C10787" s="1" t="s">
        <v>5527</v>
      </c>
      <c r="D10787" s="22" t="str">
        <f>HYPERLINK("https://rhld.insurance.arkansas.gov/NPILookup?Npi=1558704536","1558704536")</f>
        <v>1558704536</v>
      </c>
      <c r="E10787" s="1" t="s">
        <v>20152</v>
      </c>
      <c r="F10787" s="2"/>
      <c r="G10787" s="2"/>
      <c r="H10787" s="2"/>
    </row>
    <row r="10788" spans="1:8" x14ac:dyDescent="0.25">
      <c r="A10788" s="1"/>
      <c r="B10788" s="1" t="s">
        <v>5526</v>
      </c>
      <c r="C10788" s="1" t="s">
        <v>5527</v>
      </c>
      <c r="D10788" s="22" t="str">
        <f>HYPERLINK("https://rhld.insurance.arkansas.gov/NPILookup?Npi=1558857946","1558857946")</f>
        <v>1558857946</v>
      </c>
      <c r="E10788" s="1" t="s">
        <v>20153</v>
      </c>
      <c r="F10788" s="2"/>
      <c r="G10788" s="2"/>
      <c r="H10788" s="2"/>
    </row>
    <row r="10789" spans="1:8" x14ac:dyDescent="0.25">
      <c r="A10789" s="1"/>
      <c r="B10789" s="1" t="s">
        <v>5526</v>
      </c>
      <c r="C10789" s="1" t="s">
        <v>5527</v>
      </c>
      <c r="D10789" s="22" t="str">
        <f>HYPERLINK("https://rhld.insurance.arkansas.gov/NPILookup?Npi=1568441368","1568441368")</f>
        <v>1568441368</v>
      </c>
      <c r="E10789" s="1" t="s">
        <v>20154</v>
      </c>
      <c r="F10789" s="2"/>
      <c r="G10789" s="2"/>
      <c r="H10789" s="2"/>
    </row>
    <row r="10790" spans="1:8" x14ac:dyDescent="0.25">
      <c r="A10790" s="1"/>
      <c r="B10790" s="1" t="s">
        <v>5526</v>
      </c>
      <c r="C10790" s="1" t="s">
        <v>5527</v>
      </c>
      <c r="D10790" s="22" t="str">
        <f>HYPERLINK("https://rhld.insurance.arkansas.gov/NPILookup?Npi=1568476901","1568476901")</f>
        <v>1568476901</v>
      </c>
      <c r="E10790" s="1" t="s">
        <v>20155</v>
      </c>
      <c r="F10790" s="2"/>
      <c r="G10790" s="2"/>
      <c r="H10790" s="2"/>
    </row>
    <row r="10791" spans="1:8" x14ac:dyDescent="0.25">
      <c r="A10791" s="1"/>
      <c r="B10791" s="1" t="s">
        <v>5526</v>
      </c>
      <c r="C10791" s="1" t="s">
        <v>5527</v>
      </c>
      <c r="D10791" s="22" t="str">
        <f>HYPERLINK("https://rhld.insurance.arkansas.gov/NPILookup?Npi=1578529202","1578529202")</f>
        <v>1578529202</v>
      </c>
      <c r="E10791" s="1" t="s">
        <v>11155</v>
      </c>
      <c r="F10791" s="2"/>
      <c r="G10791" s="2"/>
      <c r="H10791" s="2"/>
    </row>
    <row r="10792" spans="1:8" x14ac:dyDescent="0.25">
      <c r="A10792" s="1"/>
      <c r="B10792" s="1" t="s">
        <v>5526</v>
      </c>
      <c r="C10792" s="1" t="s">
        <v>5527</v>
      </c>
      <c r="D10792" s="22" t="str">
        <f>HYPERLINK("https://rhld.insurance.arkansas.gov/NPILookup?Npi=1578548376","1578548376")</f>
        <v>1578548376</v>
      </c>
      <c r="E10792" s="1" t="s">
        <v>11156</v>
      </c>
      <c r="F10792" s="2"/>
      <c r="G10792" s="2"/>
      <c r="H10792" s="2"/>
    </row>
    <row r="10793" spans="1:8" x14ac:dyDescent="0.25">
      <c r="A10793" s="1"/>
      <c r="B10793" s="1" t="s">
        <v>5526</v>
      </c>
      <c r="C10793" s="1" t="s">
        <v>5527</v>
      </c>
      <c r="D10793" s="22" t="str">
        <f>HYPERLINK("https://rhld.insurance.arkansas.gov/NPILookup?Npi=1578673836","1578673836")</f>
        <v>1578673836</v>
      </c>
      <c r="E10793" s="1" t="s">
        <v>18503</v>
      </c>
      <c r="F10793" s="2"/>
      <c r="G10793" s="2"/>
      <c r="H10793" s="2"/>
    </row>
    <row r="10794" spans="1:8" x14ac:dyDescent="0.25">
      <c r="A10794" s="1"/>
      <c r="B10794" s="1" t="s">
        <v>5526</v>
      </c>
      <c r="C10794" s="1" t="s">
        <v>5527</v>
      </c>
      <c r="D10794" s="22" t="str">
        <f>HYPERLINK("https://rhld.insurance.arkansas.gov/NPILookup?Npi=1578723276","1578723276")</f>
        <v>1578723276</v>
      </c>
      <c r="E10794" s="1" t="s">
        <v>11157</v>
      </c>
      <c r="F10794" s="2"/>
      <c r="G10794" s="2"/>
      <c r="H10794" s="2"/>
    </row>
    <row r="10795" spans="1:8" x14ac:dyDescent="0.25">
      <c r="A10795" s="1"/>
      <c r="B10795" s="1" t="s">
        <v>5526</v>
      </c>
      <c r="C10795" s="1" t="s">
        <v>5527</v>
      </c>
      <c r="D10795" s="22" t="str">
        <f>HYPERLINK("https://rhld.insurance.arkansas.gov/NPILookup?Npi=1588001382","1588001382")</f>
        <v>1588001382</v>
      </c>
      <c r="E10795" s="1" t="s">
        <v>18804</v>
      </c>
      <c r="F10795" s="2"/>
      <c r="G10795" s="2"/>
      <c r="H10795" s="2"/>
    </row>
    <row r="10796" spans="1:8" x14ac:dyDescent="0.25">
      <c r="A10796" s="1"/>
      <c r="B10796" s="1" t="s">
        <v>5526</v>
      </c>
      <c r="C10796" s="1" t="s">
        <v>5527</v>
      </c>
      <c r="D10796" s="22" t="str">
        <f>HYPERLINK("https://rhld.insurance.arkansas.gov/NPILookup?Npi=1588671085","1588671085")</f>
        <v>1588671085</v>
      </c>
      <c r="E10796" s="1" t="s">
        <v>2234</v>
      </c>
      <c r="F10796" s="2"/>
      <c r="G10796" s="2"/>
      <c r="H10796" s="2"/>
    </row>
    <row r="10797" spans="1:8" x14ac:dyDescent="0.25">
      <c r="A10797" s="1"/>
      <c r="B10797" s="1" t="s">
        <v>5526</v>
      </c>
      <c r="C10797" s="1" t="s">
        <v>5527</v>
      </c>
      <c r="D10797" s="22" t="str">
        <f>HYPERLINK("https://rhld.insurance.arkansas.gov/NPILookup?Npi=1588715429","1588715429")</f>
        <v>1588715429</v>
      </c>
      <c r="E10797" s="1" t="s">
        <v>20156</v>
      </c>
      <c r="F10797" s="2"/>
      <c r="G10797" s="2"/>
      <c r="H10797" s="2"/>
    </row>
    <row r="10798" spans="1:8" x14ac:dyDescent="0.25">
      <c r="A10798" s="1"/>
      <c r="B10798" s="1" t="s">
        <v>5526</v>
      </c>
      <c r="C10798" s="1" t="s">
        <v>5527</v>
      </c>
      <c r="D10798" s="22" t="str">
        <f>HYPERLINK("https://rhld.insurance.arkansas.gov/NPILookup?Npi=1588715916","1588715916")</f>
        <v>1588715916</v>
      </c>
      <c r="E10798" s="1" t="s">
        <v>20157</v>
      </c>
      <c r="F10798" s="2"/>
      <c r="G10798" s="2"/>
      <c r="H10798" s="2"/>
    </row>
    <row r="10799" spans="1:8" x14ac:dyDescent="0.25">
      <c r="A10799" s="1"/>
      <c r="B10799" s="1" t="s">
        <v>5526</v>
      </c>
      <c r="C10799" s="1" t="s">
        <v>5527</v>
      </c>
      <c r="D10799" s="22" t="str">
        <f>HYPERLINK("https://rhld.insurance.arkansas.gov/NPILookup?Npi=1598733545","1598733545")</f>
        <v>1598733545</v>
      </c>
      <c r="E10799" s="1" t="s">
        <v>11158</v>
      </c>
      <c r="F10799" s="2"/>
      <c r="G10799" s="2"/>
      <c r="H10799" s="2"/>
    </row>
    <row r="10800" spans="1:8" x14ac:dyDescent="0.25">
      <c r="A10800" s="1"/>
      <c r="B10800" s="1" t="s">
        <v>5526</v>
      </c>
      <c r="C10800" s="1" t="s">
        <v>5527</v>
      </c>
      <c r="D10800" s="22" t="str">
        <f>HYPERLINK("https://rhld.insurance.arkansas.gov/NPILookup?Npi=1598747164","1598747164")</f>
        <v>1598747164</v>
      </c>
      <c r="E10800" s="1" t="s">
        <v>20158</v>
      </c>
      <c r="F10800" s="2"/>
      <c r="G10800" s="2"/>
      <c r="H10800" s="2"/>
    </row>
    <row r="10801" spans="1:8" x14ac:dyDescent="0.25">
      <c r="A10801" s="1"/>
      <c r="B10801" s="1" t="s">
        <v>5526</v>
      </c>
      <c r="C10801" s="1" t="s">
        <v>5527</v>
      </c>
      <c r="D10801" s="22" t="str">
        <f>HYPERLINK("https://rhld.insurance.arkansas.gov/NPILookup?Npi=1598811788","1598811788")</f>
        <v>1598811788</v>
      </c>
      <c r="E10801" s="1" t="s">
        <v>20159</v>
      </c>
      <c r="F10801" s="2"/>
      <c r="G10801" s="2"/>
      <c r="H10801" s="2"/>
    </row>
    <row r="10802" spans="1:8" x14ac:dyDescent="0.25">
      <c r="A10802" s="1"/>
      <c r="B10802" s="1" t="s">
        <v>5526</v>
      </c>
      <c r="C10802" s="1" t="s">
        <v>5527</v>
      </c>
      <c r="D10802" s="22" t="str">
        <f>HYPERLINK("https://rhld.insurance.arkansas.gov/NPILookup?Npi=1598990194","1598990194")</f>
        <v>1598990194</v>
      </c>
      <c r="E10802" s="1" t="s">
        <v>5553</v>
      </c>
      <c r="F10802" s="2"/>
      <c r="G10802" s="2"/>
      <c r="H10802" s="2"/>
    </row>
    <row r="10803" spans="1:8" x14ac:dyDescent="0.25">
      <c r="A10803" s="1"/>
      <c r="B10803" s="1" t="s">
        <v>5526</v>
      </c>
      <c r="C10803" s="1" t="s">
        <v>5527</v>
      </c>
      <c r="D10803" s="22" t="str">
        <f>HYPERLINK("https://rhld.insurance.arkansas.gov/NPILookup?Npi=1609072347","1609072347")</f>
        <v>1609072347</v>
      </c>
      <c r="E10803" s="1" t="s">
        <v>20160</v>
      </c>
      <c r="F10803" s="2"/>
      <c r="G10803" s="2"/>
      <c r="H10803" s="2"/>
    </row>
    <row r="10804" spans="1:8" x14ac:dyDescent="0.25">
      <c r="A10804" s="1"/>
      <c r="B10804" s="1" t="s">
        <v>5526</v>
      </c>
      <c r="C10804" s="1" t="s">
        <v>5527</v>
      </c>
      <c r="D10804" s="22" t="str">
        <f>HYPERLINK("https://rhld.insurance.arkansas.gov/NPILookup?Npi=1609096775","1609096775")</f>
        <v>1609096775</v>
      </c>
      <c r="E10804" s="1" t="s">
        <v>20161</v>
      </c>
      <c r="F10804" s="2"/>
      <c r="G10804" s="2"/>
      <c r="H10804" s="2"/>
    </row>
    <row r="10805" spans="1:8" x14ac:dyDescent="0.25">
      <c r="A10805" s="1"/>
      <c r="B10805" s="1" t="s">
        <v>5526</v>
      </c>
      <c r="C10805" s="1" t="s">
        <v>5527</v>
      </c>
      <c r="D10805" s="22" t="str">
        <f>HYPERLINK("https://rhld.insurance.arkansas.gov/NPILookup?Npi=1609135797","1609135797")</f>
        <v>1609135797</v>
      </c>
      <c r="E10805" s="1" t="s">
        <v>11159</v>
      </c>
      <c r="F10805" s="2"/>
      <c r="G10805" s="2"/>
      <c r="H10805" s="2"/>
    </row>
    <row r="10806" spans="1:8" x14ac:dyDescent="0.25">
      <c r="A10806" s="1"/>
      <c r="B10806" s="1" t="s">
        <v>5526</v>
      </c>
      <c r="C10806" s="1" t="s">
        <v>5527</v>
      </c>
      <c r="D10806" s="22" t="str">
        <f>HYPERLINK("https://rhld.insurance.arkansas.gov/NPILookup?Npi=1609140078","1609140078")</f>
        <v>1609140078</v>
      </c>
      <c r="E10806" s="1" t="s">
        <v>11160</v>
      </c>
      <c r="F10806" s="2"/>
      <c r="G10806" s="2"/>
      <c r="H10806" s="2"/>
    </row>
    <row r="10807" spans="1:8" x14ac:dyDescent="0.25">
      <c r="A10807" s="1"/>
      <c r="B10807" s="1" t="s">
        <v>5526</v>
      </c>
      <c r="C10807" s="1" t="s">
        <v>5527</v>
      </c>
      <c r="D10807" s="22" t="str">
        <f>HYPERLINK("https://rhld.insurance.arkansas.gov/NPILookup?Npi=1609209949","1609209949")</f>
        <v>1609209949</v>
      </c>
      <c r="E10807" s="1" t="s">
        <v>5554</v>
      </c>
      <c r="F10807" s="2"/>
      <c r="G10807" s="2"/>
      <c r="H10807" s="2"/>
    </row>
    <row r="10808" spans="1:8" x14ac:dyDescent="0.25">
      <c r="A10808" s="1"/>
      <c r="B10808" s="1" t="s">
        <v>5526</v>
      </c>
      <c r="C10808" s="1" t="s">
        <v>5527</v>
      </c>
      <c r="D10808" s="22" t="str">
        <f>HYPERLINK("https://rhld.insurance.arkansas.gov/NPILookup?Npi=1609984368","1609984368")</f>
        <v>1609984368</v>
      </c>
      <c r="E10808" s="1" t="s">
        <v>20162</v>
      </c>
      <c r="F10808" s="2"/>
      <c r="G10808" s="2"/>
      <c r="H10808" s="2"/>
    </row>
    <row r="10809" spans="1:8" x14ac:dyDescent="0.25">
      <c r="A10809" s="1"/>
      <c r="B10809" s="1" t="s">
        <v>5526</v>
      </c>
      <c r="C10809" s="1" t="s">
        <v>5527</v>
      </c>
      <c r="D10809" s="22" t="str">
        <f>HYPERLINK("https://rhld.insurance.arkansas.gov/NPILookup?Npi=1619067105","1619067105")</f>
        <v>1619067105</v>
      </c>
      <c r="E10809" s="1" t="s">
        <v>20163</v>
      </c>
      <c r="F10809" s="2"/>
      <c r="G10809" s="2"/>
      <c r="H10809" s="2"/>
    </row>
    <row r="10810" spans="1:8" x14ac:dyDescent="0.25">
      <c r="A10810" s="1"/>
      <c r="B10810" s="1" t="s">
        <v>5526</v>
      </c>
      <c r="C10810" s="1" t="s">
        <v>5527</v>
      </c>
      <c r="D10810" s="22" t="str">
        <f>HYPERLINK("https://rhld.insurance.arkansas.gov/NPILookup?Npi=1619137247","1619137247")</f>
        <v>1619137247</v>
      </c>
      <c r="E10810" s="1" t="s">
        <v>11161</v>
      </c>
      <c r="F10810" s="2"/>
      <c r="G10810" s="2"/>
      <c r="H10810" s="2"/>
    </row>
    <row r="10811" spans="1:8" x14ac:dyDescent="0.25">
      <c r="A10811" s="1"/>
      <c r="B10811" s="1" t="s">
        <v>5526</v>
      </c>
      <c r="C10811" s="1" t="s">
        <v>5527</v>
      </c>
      <c r="D10811" s="22" t="str">
        <f>HYPERLINK("https://rhld.insurance.arkansas.gov/NPILookup?Npi=1619198512","1619198512")</f>
        <v>1619198512</v>
      </c>
      <c r="E10811" s="1" t="s">
        <v>11162</v>
      </c>
      <c r="F10811" s="2"/>
      <c r="G10811" s="2"/>
      <c r="H10811" s="2"/>
    </row>
    <row r="10812" spans="1:8" x14ac:dyDescent="0.25">
      <c r="A10812" s="1"/>
      <c r="B10812" s="1" t="s">
        <v>5526</v>
      </c>
      <c r="C10812" s="1" t="s">
        <v>5527</v>
      </c>
      <c r="D10812" s="22" t="str">
        <f>HYPERLINK("https://rhld.insurance.arkansas.gov/NPILookup?Npi=1619237005","1619237005")</f>
        <v>1619237005</v>
      </c>
      <c r="E10812" s="1" t="s">
        <v>5555</v>
      </c>
      <c r="F10812" s="2"/>
      <c r="G10812" s="2"/>
      <c r="H10812" s="2"/>
    </row>
    <row r="10813" spans="1:8" x14ac:dyDescent="0.25">
      <c r="A10813" s="1"/>
      <c r="B10813" s="1" t="s">
        <v>5526</v>
      </c>
      <c r="C10813" s="1" t="s">
        <v>5527</v>
      </c>
      <c r="D10813" s="22" t="str">
        <f>HYPERLINK("https://rhld.insurance.arkansas.gov/NPILookup?Npi=1619362688","1619362688")</f>
        <v>1619362688</v>
      </c>
      <c r="E10813" s="1" t="s">
        <v>5556</v>
      </c>
      <c r="F10813" s="2"/>
      <c r="G10813" s="2"/>
      <c r="H10813" s="2"/>
    </row>
    <row r="10814" spans="1:8" x14ac:dyDescent="0.25">
      <c r="A10814" s="1"/>
      <c r="B10814" s="1" t="s">
        <v>5526</v>
      </c>
      <c r="C10814" s="1" t="s">
        <v>5527</v>
      </c>
      <c r="D10814" s="22" t="str">
        <f>HYPERLINK("https://rhld.insurance.arkansas.gov/NPILookup?Npi=1619397346","1619397346")</f>
        <v>1619397346</v>
      </c>
      <c r="E10814" s="1" t="s">
        <v>20164</v>
      </c>
      <c r="F10814" s="2"/>
      <c r="G10814" s="2"/>
      <c r="H10814" s="2"/>
    </row>
    <row r="10815" spans="1:8" x14ac:dyDescent="0.25">
      <c r="A10815" s="1"/>
      <c r="B10815" s="1" t="s">
        <v>5526</v>
      </c>
      <c r="C10815" s="1" t="s">
        <v>5527</v>
      </c>
      <c r="D10815" s="22" t="str">
        <f>HYPERLINK("https://rhld.insurance.arkansas.gov/NPILookup?Npi=1619959525","1619959525")</f>
        <v>1619959525</v>
      </c>
      <c r="E10815" s="1" t="s">
        <v>11163</v>
      </c>
      <c r="F10815" s="2"/>
      <c r="G10815" s="2"/>
      <c r="H10815" s="2"/>
    </row>
    <row r="10816" spans="1:8" x14ac:dyDescent="0.25">
      <c r="A10816" s="1"/>
      <c r="B10816" s="1" t="s">
        <v>5526</v>
      </c>
      <c r="C10816" s="1" t="s">
        <v>5527</v>
      </c>
      <c r="D10816" s="22" t="str">
        <f>HYPERLINK("https://rhld.insurance.arkansas.gov/NPILookup?Npi=1619973500","1619973500")</f>
        <v>1619973500</v>
      </c>
      <c r="E10816" s="1" t="s">
        <v>20165</v>
      </c>
      <c r="F10816" s="2"/>
      <c r="G10816" s="2"/>
      <c r="H10816" s="2"/>
    </row>
    <row r="10817" spans="1:8" x14ac:dyDescent="0.25">
      <c r="A10817" s="1"/>
      <c r="B10817" s="1" t="s">
        <v>5526</v>
      </c>
      <c r="C10817" s="1" t="s">
        <v>5527</v>
      </c>
      <c r="D10817" s="22" t="str">
        <f>HYPERLINK("https://rhld.insurance.arkansas.gov/NPILookup?Npi=1629142997","1629142997")</f>
        <v>1629142997</v>
      </c>
      <c r="E10817" s="1" t="s">
        <v>5557</v>
      </c>
      <c r="F10817" s="2"/>
      <c r="G10817" s="2"/>
      <c r="H10817" s="2"/>
    </row>
    <row r="10818" spans="1:8" x14ac:dyDescent="0.25">
      <c r="A10818" s="1"/>
      <c r="B10818" s="1" t="s">
        <v>5526</v>
      </c>
      <c r="C10818" s="1" t="s">
        <v>5527</v>
      </c>
      <c r="D10818" s="22" t="str">
        <f>HYPERLINK("https://rhld.insurance.arkansas.gov/NPILookup?Npi=1629175922","1629175922")</f>
        <v>1629175922</v>
      </c>
      <c r="E10818" s="1" t="s">
        <v>11164</v>
      </c>
      <c r="F10818" s="2"/>
      <c r="G10818" s="2"/>
      <c r="H10818" s="2"/>
    </row>
    <row r="10819" spans="1:8" x14ac:dyDescent="0.25">
      <c r="A10819" s="1"/>
      <c r="B10819" s="1" t="s">
        <v>5526</v>
      </c>
      <c r="C10819" s="1" t="s">
        <v>5527</v>
      </c>
      <c r="D10819" s="22" t="str">
        <f>HYPERLINK("https://rhld.insurance.arkansas.gov/NPILookup?Npi=1639145741","1639145741")</f>
        <v>1639145741</v>
      </c>
      <c r="E10819" s="1" t="s">
        <v>11165</v>
      </c>
      <c r="F10819" s="2"/>
      <c r="G10819" s="2"/>
      <c r="H10819" s="2"/>
    </row>
    <row r="10820" spans="1:8" x14ac:dyDescent="0.25">
      <c r="A10820" s="1"/>
      <c r="B10820" s="1" t="s">
        <v>5526</v>
      </c>
      <c r="C10820" s="1" t="s">
        <v>5527</v>
      </c>
      <c r="D10820" s="22" t="str">
        <f>HYPERLINK("https://rhld.insurance.arkansas.gov/NPILookup?Npi=1639170665","1639170665")</f>
        <v>1639170665</v>
      </c>
      <c r="E10820" s="1" t="s">
        <v>11166</v>
      </c>
      <c r="F10820" s="2"/>
      <c r="G10820" s="2"/>
      <c r="H10820" s="2"/>
    </row>
    <row r="10821" spans="1:8" x14ac:dyDescent="0.25">
      <c r="A10821" s="1"/>
      <c r="B10821" s="1" t="s">
        <v>5526</v>
      </c>
      <c r="C10821" s="1" t="s">
        <v>5527</v>
      </c>
      <c r="D10821" s="22" t="str">
        <f>HYPERLINK("https://rhld.insurance.arkansas.gov/NPILookup?Npi=1639270440","1639270440")</f>
        <v>1639270440</v>
      </c>
      <c r="E10821" s="1" t="s">
        <v>20166</v>
      </c>
      <c r="F10821" s="2"/>
      <c r="G10821" s="2"/>
      <c r="H10821" s="2"/>
    </row>
    <row r="10822" spans="1:8" x14ac:dyDescent="0.25">
      <c r="A10822" s="1"/>
      <c r="B10822" s="1" t="s">
        <v>5526</v>
      </c>
      <c r="C10822" s="1" t="s">
        <v>5527</v>
      </c>
      <c r="D10822" s="22" t="str">
        <f>HYPERLINK("https://rhld.insurance.arkansas.gov/NPILookup?Npi=1639359714","1639359714")</f>
        <v>1639359714</v>
      </c>
      <c r="E10822" s="1" t="s">
        <v>20167</v>
      </c>
      <c r="F10822" s="2"/>
      <c r="G10822" s="2"/>
      <c r="H10822" s="2"/>
    </row>
    <row r="10823" spans="1:8" x14ac:dyDescent="0.25">
      <c r="A10823" s="1"/>
      <c r="B10823" s="1" t="s">
        <v>5526</v>
      </c>
      <c r="C10823" s="1" t="s">
        <v>5527</v>
      </c>
      <c r="D10823" s="22" t="str">
        <f>HYPERLINK("https://rhld.insurance.arkansas.gov/NPILookup?Npi=1639520406","1639520406")</f>
        <v>1639520406</v>
      </c>
      <c r="E10823" s="1" t="s">
        <v>5558</v>
      </c>
      <c r="F10823" s="2"/>
      <c r="G10823" s="2"/>
      <c r="H10823" s="2"/>
    </row>
    <row r="10824" spans="1:8" x14ac:dyDescent="0.25">
      <c r="A10824" s="1"/>
      <c r="B10824" s="1" t="s">
        <v>5526</v>
      </c>
      <c r="C10824" s="1" t="s">
        <v>5527</v>
      </c>
      <c r="D10824" s="22" t="str">
        <f>HYPERLINK("https://rhld.insurance.arkansas.gov/NPILookup?Npi=1639537830","1639537830")</f>
        <v>1639537830</v>
      </c>
      <c r="E10824" s="1" t="s">
        <v>20168</v>
      </c>
      <c r="F10824" s="2"/>
      <c r="G10824" s="2"/>
      <c r="H10824" s="2"/>
    </row>
    <row r="10825" spans="1:8" x14ac:dyDescent="0.25">
      <c r="A10825" s="1"/>
      <c r="B10825" s="1" t="s">
        <v>5526</v>
      </c>
      <c r="C10825" s="1" t="s">
        <v>5527</v>
      </c>
      <c r="D10825" s="22" t="str">
        <f>HYPERLINK("https://rhld.insurance.arkansas.gov/NPILookup?Npi=1639699770","1639699770")</f>
        <v>1639699770</v>
      </c>
      <c r="E10825" s="1" t="s">
        <v>5559</v>
      </c>
      <c r="F10825" s="2"/>
      <c r="G10825" s="2"/>
      <c r="H10825" s="2"/>
    </row>
    <row r="10826" spans="1:8" x14ac:dyDescent="0.25">
      <c r="A10826" s="1"/>
      <c r="B10826" s="1" t="s">
        <v>5526</v>
      </c>
      <c r="C10826" s="1" t="s">
        <v>5527</v>
      </c>
      <c r="D10826" s="22" t="str">
        <f>HYPERLINK("https://rhld.insurance.arkansas.gov/NPILookup?Npi=1649525866","1649525866")</f>
        <v>1649525866</v>
      </c>
      <c r="E10826" s="1" t="s">
        <v>11167</v>
      </c>
      <c r="F10826" s="2"/>
      <c r="G10826" s="2"/>
      <c r="H10826" s="2"/>
    </row>
    <row r="10827" spans="1:8" x14ac:dyDescent="0.25">
      <c r="A10827" s="1"/>
      <c r="B10827" s="1" t="s">
        <v>5526</v>
      </c>
      <c r="C10827" s="1" t="s">
        <v>5527</v>
      </c>
      <c r="D10827" s="22" t="str">
        <f>HYPERLINK("https://rhld.insurance.arkansas.gov/NPILookup?Npi=1649633009","1649633009")</f>
        <v>1649633009</v>
      </c>
      <c r="E10827" s="1" t="s">
        <v>20170</v>
      </c>
      <c r="F10827" s="2"/>
      <c r="G10827" s="2"/>
      <c r="H10827" s="2"/>
    </row>
    <row r="10828" spans="1:8" x14ac:dyDescent="0.25">
      <c r="A10828" s="1"/>
      <c r="B10828" s="1" t="s">
        <v>5526</v>
      </c>
      <c r="C10828" s="1" t="s">
        <v>5527</v>
      </c>
      <c r="D10828" s="22" t="str">
        <f>HYPERLINK("https://rhld.insurance.arkansas.gov/NPILookup?Npi=1659323608","1659323608")</f>
        <v>1659323608</v>
      </c>
      <c r="E10828" s="1" t="s">
        <v>423</v>
      </c>
      <c r="F10828" s="2"/>
      <c r="G10828" s="2"/>
      <c r="H10828" s="2"/>
    </row>
    <row r="10829" spans="1:8" x14ac:dyDescent="0.25">
      <c r="A10829" s="1"/>
      <c r="B10829" s="1" t="s">
        <v>5526</v>
      </c>
      <c r="C10829" s="1" t="s">
        <v>5527</v>
      </c>
      <c r="D10829" s="22" t="str">
        <f>HYPERLINK("https://rhld.insurance.arkansas.gov/NPILookup?Npi=1679529473","1679529473")</f>
        <v>1679529473</v>
      </c>
      <c r="E10829" s="1" t="s">
        <v>11168</v>
      </c>
      <c r="F10829" s="2"/>
      <c r="G10829" s="2"/>
      <c r="H10829" s="2"/>
    </row>
    <row r="10830" spans="1:8" x14ac:dyDescent="0.25">
      <c r="A10830" s="1"/>
      <c r="B10830" s="1" t="s">
        <v>5526</v>
      </c>
      <c r="C10830" s="1" t="s">
        <v>5527</v>
      </c>
      <c r="D10830" s="22" t="str">
        <f>HYPERLINK("https://rhld.insurance.arkansas.gov/NPILookup?Npi=1679737969","1679737969")</f>
        <v>1679737969</v>
      </c>
      <c r="E10830" s="1" t="s">
        <v>31752</v>
      </c>
      <c r="F10830" s="2"/>
      <c r="G10830" s="2"/>
      <c r="H10830" s="2"/>
    </row>
    <row r="10831" spans="1:8" x14ac:dyDescent="0.25">
      <c r="A10831" s="1"/>
      <c r="B10831" s="1" t="s">
        <v>5526</v>
      </c>
      <c r="C10831" s="1" t="s">
        <v>5527</v>
      </c>
      <c r="D10831" s="22" t="str">
        <f>HYPERLINK("https://rhld.insurance.arkansas.gov/NPILookup?Npi=1679785471","1679785471")</f>
        <v>1679785471</v>
      </c>
      <c r="E10831" s="1" t="s">
        <v>910</v>
      </c>
      <c r="F10831" s="2"/>
      <c r="G10831" s="2"/>
      <c r="H10831" s="2"/>
    </row>
    <row r="10832" spans="1:8" x14ac:dyDescent="0.25">
      <c r="A10832" s="1"/>
      <c r="B10832" s="1" t="s">
        <v>5526</v>
      </c>
      <c r="C10832" s="1" t="s">
        <v>5527</v>
      </c>
      <c r="D10832" s="22" t="str">
        <f>HYPERLINK("https://rhld.insurance.arkansas.gov/NPILookup?Npi=1679981229","1679981229")</f>
        <v>1679981229</v>
      </c>
      <c r="E10832" s="1" t="s">
        <v>20171</v>
      </c>
      <c r="F10832" s="2"/>
      <c r="G10832" s="2"/>
      <c r="H10832" s="2"/>
    </row>
    <row r="10833" spans="1:8" x14ac:dyDescent="0.25">
      <c r="A10833" s="1"/>
      <c r="B10833" s="1" t="s">
        <v>5526</v>
      </c>
      <c r="C10833" s="1" t="s">
        <v>5527</v>
      </c>
      <c r="D10833" s="22" t="str">
        <f>HYPERLINK("https://rhld.insurance.arkansas.gov/NPILookup?Npi=1689097313","1689097313")</f>
        <v>1689097313</v>
      </c>
      <c r="E10833" s="1" t="s">
        <v>11169</v>
      </c>
      <c r="F10833" s="2"/>
      <c r="G10833" s="2"/>
      <c r="H10833" s="2"/>
    </row>
    <row r="10834" spans="1:8" x14ac:dyDescent="0.25">
      <c r="A10834" s="1"/>
      <c r="B10834" s="1" t="s">
        <v>5526</v>
      </c>
      <c r="C10834" s="1" t="s">
        <v>5527</v>
      </c>
      <c r="D10834" s="22" t="str">
        <f>HYPERLINK("https://rhld.insurance.arkansas.gov/NPILookup?Npi=1689921017","1689921017")</f>
        <v>1689921017</v>
      </c>
      <c r="E10834" s="1" t="s">
        <v>20172</v>
      </c>
      <c r="F10834" s="2"/>
      <c r="G10834" s="2"/>
      <c r="H10834" s="2"/>
    </row>
    <row r="10835" spans="1:8" x14ac:dyDescent="0.25">
      <c r="A10835" s="1"/>
      <c r="B10835" s="1" t="s">
        <v>5526</v>
      </c>
      <c r="C10835" s="1" t="s">
        <v>5527</v>
      </c>
      <c r="D10835" s="22" t="str">
        <f>HYPERLINK("https://rhld.insurance.arkansas.gov/NPILookup?Npi=1699206946","1699206946")</f>
        <v>1699206946</v>
      </c>
      <c r="E10835" s="1" t="s">
        <v>10016</v>
      </c>
      <c r="F10835" s="2"/>
      <c r="G10835" s="2"/>
      <c r="H10835" s="2"/>
    </row>
    <row r="10836" spans="1:8" x14ac:dyDescent="0.25">
      <c r="A10836" s="1"/>
      <c r="B10836" s="1" t="s">
        <v>5526</v>
      </c>
      <c r="C10836" s="1" t="s">
        <v>5527</v>
      </c>
      <c r="D10836" s="22" t="str">
        <f>HYPERLINK("https://rhld.insurance.arkansas.gov/NPILookup?Npi=1699209478","1699209478")</f>
        <v>1699209478</v>
      </c>
      <c r="E10836" s="1" t="s">
        <v>5560</v>
      </c>
      <c r="F10836" s="2"/>
      <c r="G10836" s="2"/>
      <c r="H10836" s="2"/>
    </row>
    <row r="10837" spans="1:8" x14ac:dyDescent="0.25">
      <c r="A10837" s="1"/>
      <c r="B10837" s="1" t="s">
        <v>5526</v>
      </c>
      <c r="C10837" s="1" t="s">
        <v>5527</v>
      </c>
      <c r="D10837" s="22" t="str">
        <f>HYPERLINK("https://rhld.insurance.arkansas.gov/NPILookup?Npi=1699936252","1699936252")</f>
        <v>1699936252</v>
      </c>
      <c r="E10837" s="1" t="s">
        <v>20173</v>
      </c>
      <c r="F10837" s="2"/>
      <c r="G10837" s="2"/>
      <c r="H10837" s="2"/>
    </row>
    <row r="10838" spans="1:8" x14ac:dyDescent="0.25">
      <c r="A10838" s="1"/>
      <c r="B10838" s="1" t="s">
        <v>5526</v>
      </c>
      <c r="C10838" s="1" t="s">
        <v>5527</v>
      </c>
      <c r="D10838" s="22" t="str">
        <f>HYPERLINK("https://rhld.insurance.arkansas.gov/NPILookup?Npi=1700045689","1700045689")</f>
        <v>1700045689</v>
      </c>
      <c r="E10838" s="1" t="s">
        <v>10668</v>
      </c>
      <c r="F10838" s="2"/>
      <c r="G10838" s="2"/>
      <c r="H10838" s="2"/>
    </row>
    <row r="10839" spans="1:8" x14ac:dyDescent="0.25">
      <c r="A10839" s="1"/>
      <c r="B10839" s="1" t="s">
        <v>5526</v>
      </c>
      <c r="C10839" s="1" t="s">
        <v>5527</v>
      </c>
      <c r="D10839" s="22" t="str">
        <f>HYPERLINK("https://rhld.insurance.arkansas.gov/NPILookup?Npi=1700822863","1700822863")</f>
        <v>1700822863</v>
      </c>
      <c r="E10839" s="1" t="s">
        <v>20175</v>
      </c>
      <c r="F10839" s="2"/>
      <c r="G10839" s="2"/>
      <c r="H10839" s="2"/>
    </row>
    <row r="10840" spans="1:8" x14ac:dyDescent="0.25">
      <c r="A10840" s="1"/>
      <c r="B10840" s="1" t="s">
        <v>5526</v>
      </c>
      <c r="C10840" s="1" t="s">
        <v>5527</v>
      </c>
      <c r="D10840" s="22" t="str">
        <f>HYPERLINK("https://rhld.insurance.arkansas.gov/NPILookup?Npi=1700840980","1700840980")</f>
        <v>1700840980</v>
      </c>
      <c r="E10840" s="1" t="s">
        <v>403</v>
      </c>
      <c r="F10840" s="2"/>
      <c r="G10840" s="2"/>
      <c r="H10840" s="2"/>
    </row>
    <row r="10841" spans="1:8" x14ac:dyDescent="0.25">
      <c r="A10841" s="1"/>
      <c r="B10841" s="1" t="s">
        <v>5526</v>
      </c>
      <c r="C10841" s="1" t="s">
        <v>5527</v>
      </c>
      <c r="D10841" s="22" t="str">
        <f>HYPERLINK("https://rhld.insurance.arkansas.gov/NPILookup?Npi=1700846045","1700846045")</f>
        <v>1700846045</v>
      </c>
      <c r="E10841" s="1" t="s">
        <v>417</v>
      </c>
      <c r="F10841" s="2"/>
      <c r="G10841" s="2"/>
      <c r="H10841" s="2"/>
    </row>
    <row r="10842" spans="1:8" x14ac:dyDescent="0.25">
      <c r="A10842" s="1"/>
      <c r="B10842" s="1" t="s">
        <v>5526</v>
      </c>
      <c r="C10842" s="1" t="s">
        <v>5527</v>
      </c>
      <c r="D10842" s="22" t="str">
        <f>HYPERLINK("https://rhld.insurance.arkansas.gov/NPILookup?Npi=1700892387","1700892387")</f>
        <v>1700892387</v>
      </c>
      <c r="E10842" s="1" t="s">
        <v>428</v>
      </c>
      <c r="F10842" s="2"/>
      <c r="G10842" s="2"/>
      <c r="H10842" s="2"/>
    </row>
    <row r="10843" spans="1:8" x14ac:dyDescent="0.25">
      <c r="A10843" s="1"/>
      <c r="B10843" s="1" t="s">
        <v>5526</v>
      </c>
      <c r="C10843" s="1" t="s">
        <v>5527</v>
      </c>
      <c r="D10843" s="22" t="str">
        <f>HYPERLINK("https://rhld.insurance.arkansas.gov/NPILookup?Npi=1700999265","1700999265")</f>
        <v>1700999265</v>
      </c>
      <c r="E10843" s="1" t="s">
        <v>20176</v>
      </c>
      <c r="F10843" s="2"/>
      <c r="G10843" s="2"/>
      <c r="H10843" s="2"/>
    </row>
    <row r="10844" spans="1:8" x14ac:dyDescent="0.25">
      <c r="A10844" s="1"/>
      <c r="B10844" s="1" t="s">
        <v>5526</v>
      </c>
      <c r="C10844" s="1" t="s">
        <v>5527</v>
      </c>
      <c r="D10844" s="22" t="str">
        <f>HYPERLINK("https://rhld.insurance.arkansas.gov/NPILookup?Npi=1710122601","1710122601")</f>
        <v>1710122601</v>
      </c>
      <c r="E10844" s="1" t="s">
        <v>20177</v>
      </c>
      <c r="F10844" s="2"/>
      <c r="G10844" s="2"/>
      <c r="H10844" s="2"/>
    </row>
    <row r="10845" spans="1:8" x14ac:dyDescent="0.25">
      <c r="A10845" s="1"/>
      <c r="B10845" s="1" t="s">
        <v>5526</v>
      </c>
      <c r="C10845" s="1" t="s">
        <v>5527</v>
      </c>
      <c r="D10845" s="22" t="str">
        <f>HYPERLINK("https://rhld.insurance.arkansas.gov/NPILookup?Npi=1710188867","1710188867")</f>
        <v>1710188867</v>
      </c>
      <c r="E10845" s="1" t="s">
        <v>31753</v>
      </c>
      <c r="F10845" s="2"/>
      <c r="G10845" s="2"/>
      <c r="H10845" s="2"/>
    </row>
    <row r="10846" spans="1:8" x14ac:dyDescent="0.25">
      <c r="A10846" s="1"/>
      <c r="B10846" s="1" t="s">
        <v>5526</v>
      </c>
      <c r="C10846" s="1" t="s">
        <v>5527</v>
      </c>
      <c r="D10846" s="22" t="str">
        <f>HYPERLINK("https://rhld.insurance.arkansas.gov/NPILookup?Npi=1710339643","1710339643")</f>
        <v>1710339643</v>
      </c>
      <c r="E10846" s="1" t="s">
        <v>11171</v>
      </c>
      <c r="F10846" s="2"/>
      <c r="G10846" s="2"/>
      <c r="H10846" s="2"/>
    </row>
    <row r="10847" spans="1:8" x14ac:dyDescent="0.25">
      <c r="A10847" s="1"/>
      <c r="B10847" s="1" t="s">
        <v>5526</v>
      </c>
      <c r="C10847" s="1" t="s">
        <v>5527</v>
      </c>
      <c r="D10847" s="22" t="str">
        <f>HYPERLINK("https://rhld.insurance.arkansas.gov/NPILookup?Npi=1710396486","1710396486")</f>
        <v>1710396486</v>
      </c>
      <c r="E10847" s="1" t="s">
        <v>20178</v>
      </c>
      <c r="F10847" s="2"/>
      <c r="G10847" s="2"/>
      <c r="H10847" s="2"/>
    </row>
    <row r="10848" spans="1:8" x14ac:dyDescent="0.25">
      <c r="A10848" s="1"/>
      <c r="B10848" s="1" t="s">
        <v>5526</v>
      </c>
      <c r="C10848" s="1" t="s">
        <v>5527</v>
      </c>
      <c r="D10848" s="22" t="str">
        <f>HYPERLINK("https://rhld.insurance.arkansas.gov/NPILookup?Npi=1710902820","1710902820")</f>
        <v>1710902820</v>
      </c>
      <c r="E10848" s="1" t="s">
        <v>5561</v>
      </c>
      <c r="F10848" s="2"/>
      <c r="G10848" s="2"/>
      <c r="H10848" s="2"/>
    </row>
    <row r="10849" spans="1:8" x14ac:dyDescent="0.25">
      <c r="A10849" s="1"/>
      <c r="B10849" s="1" t="s">
        <v>5526</v>
      </c>
      <c r="C10849" s="1" t="s">
        <v>5527</v>
      </c>
      <c r="D10849" s="22" t="str">
        <f>HYPERLINK("https://rhld.insurance.arkansas.gov/NPILookup?Npi=1720017577","1720017577")</f>
        <v>1720017577</v>
      </c>
      <c r="E10849" s="1" t="s">
        <v>3458</v>
      </c>
      <c r="F10849" s="2"/>
      <c r="G10849" s="2"/>
      <c r="H10849" s="2"/>
    </row>
    <row r="10850" spans="1:8" x14ac:dyDescent="0.25">
      <c r="A10850" s="1"/>
      <c r="B10850" s="1" t="s">
        <v>5526</v>
      </c>
      <c r="C10850" s="1" t="s">
        <v>5527</v>
      </c>
      <c r="D10850" s="22" t="str">
        <f>HYPERLINK("https://rhld.insurance.arkansas.gov/NPILookup?Npi=1720174238","1720174238")</f>
        <v>1720174238</v>
      </c>
      <c r="E10850" s="1" t="s">
        <v>20179</v>
      </c>
      <c r="F10850" s="2"/>
      <c r="G10850" s="2"/>
      <c r="H10850" s="2"/>
    </row>
    <row r="10851" spans="1:8" x14ac:dyDescent="0.25">
      <c r="A10851" s="1"/>
      <c r="B10851" s="1" t="s">
        <v>5526</v>
      </c>
      <c r="C10851" s="1" t="s">
        <v>5527</v>
      </c>
      <c r="D10851" s="22" t="str">
        <f>HYPERLINK("https://rhld.insurance.arkansas.gov/NPILookup?Npi=1720408354","1720408354")</f>
        <v>1720408354</v>
      </c>
      <c r="E10851" s="1" t="s">
        <v>19237</v>
      </c>
      <c r="F10851" s="2"/>
      <c r="G10851" s="2"/>
      <c r="H10851" s="2"/>
    </row>
    <row r="10852" spans="1:8" x14ac:dyDescent="0.25">
      <c r="A10852" s="1"/>
      <c r="B10852" s="1" t="s">
        <v>5526</v>
      </c>
      <c r="C10852" s="1" t="s">
        <v>5527</v>
      </c>
      <c r="D10852" s="22" t="str">
        <f>HYPERLINK("https://rhld.insurance.arkansas.gov/NPILookup?Npi=1730193046","1730193046")</f>
        <v>1730193046</v>
      </c>
      <c r="E10852" s="1" t="s">
        <v>5562</v>
      </c>
      <c r="F10852" s="2"/>
      <c r="G10852" s="2"/>
      <c r="H10852" s="2"/>
    </row>
    <row r="10853" spans="1:8" x14ac:dyDescent="0.25">
      <c r="A10853" s="1"/>
      <c r="B10853" s="1" t="s">
        <v>5526</v>
      </c>
      <c r="C10853" s="1" t="s">
        <v>5527</v>
      </c>
      <c r="D10853" s="22" t="str">
        <f>HYPERLINK("https://rhld.insurance.arkansas.gov/NPILookup?Npi=1730313230","1730313230")</f>
        <v>1730313230</v>
      </c>
      <c r="E10853" s="1" t="s">
        <v>11172</v>
      </c>
      <c r="F10853" s="2"/>
      <c r="G10853" s="2"/>
      <c r="H10853" s="2"/>
    </row>
    <row r="10854" spans="1:8" x14ac:dyDescent="0.25">
      <c r="A10854" s="1"/>
      <c r="B10854" s="1" t="s">
        <v>5526</v>
      </c>
      <c r="C10854" s="1" t="s">
        <v>5527</v>
      </c>
      <c r="D10854" s="22" t="str">
        <f>HYPERLINK("https://rhld.insurance.arkansas.gov/NPILookup?Npi=1730403072","1730403072")</f>
        <v>1730403072</v>
      </c>
      <c r="E10854" s="1" t="s">
        <v>11173</v>
      </c>
      <c r="F10854" s="2"/>
      <c r="G10854" s="2"/>
      <c r="H10854" s="2"/>
    </row>
    <row r="10855" spans="1:8" x14ac:dyDescent="0.25">
      <c r="A10855" s="1"/>
      <c r="B10855" s="1" t="s">
        <v>5526</v>
      </c>
      <c r="C10855" s="1" t="s">
        <v>5527</v>
      </c>
      <c r="D10855" s="22" t="str">
        <f>HYPERLINK("https://rhld.insurance.arkansas.gov/NPILookup?Npi=1730567074","1730567074")</f>
        <v>1730567074</v>
      </c>
      <c r="E10855" s="1" t="s">
        <v>5563</v>
      </c>
      <c r="F10855" s="2"/>
      <c r="G10855" s="2"/>
      <c r="H10855" s="2"/>
    </row>
    <row r="10856" spans="1:8" x14ac:dyDescent="0.25">
      <c r="A10856" s="1"/>
      <c r="B10856" s="1" t="s">
        <v>5526</v>
      </c>
      <c r="C10856" s="1" t="s">
        <v>5527</v>
      </c>
      <c r="D10856" s="22" t="str">
        <f>HYPERLINK("https://rhld.insurance.arkansas.gov/NPILookup?Npi=1740404904","1740404904")</f>
        <v>1740404904</v>
      </c>
      <c r="E10856" s="1" t="s">
        <v>425</v>
      </c>
      <c r="F10856" s="2"/>
      <c r="G10856" s="2"/>
      <c r="H10856" s="2"/>
    </row>
    <row r="10857" spans="1:8" x14ac:dyDescent="0.25">
      <c r="A10857" s="1"/>
      <c r="B10857" s="1" t="s">
        <v>5526</v>
      </c>
      <c r="C10857" s="1" t="s">
        <v>5527</v>
      </c>
      <c r="D10857" s="22" t="str">
        <f>HYPERLINK("https://rhld.insurance.arkansas.gov/NPILookup?Npi=1740423912","1740423912")</f>
        <v>1740423912</v>
      </c>
      <c r="E10857" s="1" t="s">
        <v>20181</v>
      </c>
      <c r="F10857" s="2"/>
      <c r="G10857" s="2"/>
      <c r="H10857" s="2"/>
    </row>
    <row r="10858" spans="1:8" x14ac:dyDescent="0.25">
      <c r="A10858" s="1"/>
      <c r="B10858" s="1" t="s">
        <v>5526</v>
      </c>
      <c r="C10858" s="1" t="s">
        <v>5527</v>
      </c>
      <c r="D10858" s="22" t="str">
        <f>HYPERLINK("https://rhld.insurance.arkansas.gov/NPILookup?Npi=1740579739","1740579739")</f>
        <v>1740579739</v>
      </c>
      <c r="E10858" s="1" t="s">
        <v>11174</v>
      </c>
      <c r="F10858" s="2"/>
      <c r="G10858" s="2"/>
      <c r="H10858" s="2"/>
    </row>
    <row r="10859" spans="1:8" x14ac:dyDescent="0.25">
      <c r="A10859" s="1"/>
      <c r="B10859" s="1" t="s">
        <v>5526</v>
      </c>
      <c r="C10859" s="1" t="s">
        <v>5527</v>
      </c>
      <c r="D10859" s="22" t="str">
        <f>HYPERLINK("https://rhld.insurance.arkansas.gov/NPILookup?Npi=1750313631","1750313631")</f>
        <v>1750313631</v>
      </c>
      <c r="E10859" s="1" t="s">
        <v>424</v>
      </c>
      <c r="F10859" s="2"/>
      <c r="G10859" s="2"/>
      <c r="H10859" s="2"/>
    </row>
    <row r="10860" spans="1:8" x14ac:dyDescent="0.25">
      <c r="A10860" s="1"/>
      <c r="B10860" s="1" t="s">
        <v>5526</v>
      </c>
      <c r="C10860" s="1" t="s">
        <v>5527</v>
      </c>
      <c r="D10860" s="22" t="str">
        <f>HYPERLINK("https://rhld.insurance.arkansas.gov/NPILookup?Npi=1750528543","1750528543")</f>
        <v>1750528543</v>
      </c>
      <c r="E10860" s="1" t="s">
        <v>10674</v>
      </c>
      <c r="F10860" s="2"/>
      <c r="G10860" s="2"/>
      <c r="H10860" s="2"/>
    </row>
    <row r="10861" spans="1:8" x14ac:dyDescent="0.25">
      <c r="A10861" s="1"/>
      <c r="B10861" s="1" t="s">
        <v>5526</v>
      </c>
      <c r="C10861" s="1" t="s">
        <v>5527</v>
      </c>
      <c r="D10861" s="22" t="str">
        <f>HYPERLINK("https://rhld.insurance.arkansas.gov/NPILookup?Npi=1760448013","1760448013")</f>
        <v>1760448013</v>
      </c>
      <c r="E10861" s="1" t="s">
        <v>20182</v>
      </c>
      <c r="F10861" s="2"/>
      <c r="G10861" s="2"/>
      <c r="H10861" s="2"/>
    </row>
    <row r="10862" spans="1:8" x14ac:dyDescent="0.25">
      <c r="A10862" s="1"/>
      <c r="B10862" s="1" t="s">
        <v>5526</v>
      </c>
      <c r="C10862" s="1" t="s">
        <v>5527</v>
      </c>
      <c r="D10862" s="22" t="str">
        <f>HYPERLINK("https://rhld.insurance.arkansas.gov/NPILookup?Npi=1760469407","1760469407")</f>
        <v>1760469407</v>
      </c>
      <c r="E10862" s="1" t="s">
        <v>3459</v>
      </c>
      <c r="F10862" s="2"/>
      <c r="G10862" s="2"/>
      <c r="H10862" s="2"/>
    </row>
    <row r="10863" spans="1:8" x14ac:dyDescent="0.25">
      <c r="A10863" s="1"/>
      <c r="B10863" s="1" t="s">
        <v>5526</v>
      </c>
      <c r="C10863" s="1" t="s">
        <v>5527</v>
      </c>
      <c r="D10863" s="22" t="str">
        <f>HYPERLINK("https://rhld.insurance.arkansas.gov/NPILookup?Npi=1760611388","1760611388")</f>
        <v>1760611388</v>
      </c>
      <c r="E10863" s="1" t="s">
        <v>5564</v>
      </c>
      <c r="F10863" s="2"/>
      <c r="G10863" s="2"/>
      <c r="H10863" s="2"/>
    </row>
    <row r="10864" spans="1:8" x14ac:dyDescent="0.25">
      <c r="A10864" s="1"/>
      <c r="B10864" s="1" t="s">
        <v>5526</v>
      </c>
      <c r="C10864" s="1" t="s">
        <v>5527</v>
      </c>
      <c r="D10864" s="22" t="str">
        <f>HYPERLINK("https://rhld.insurance.arkansas.gov/NPILookup?Npi=1760779979","1760779979")</f>
        <v>1760779979</v>
      </c>
      <c r="E10864" s="1" t="s">
        <v>11175</v>
      </c>
      <c r="F10864" s="2"/>
      <c r="G10864" s="2"/>
      <c r="H10864" s="2"/>
    </row>
    <row r="10865" spans="1:8" x14ac:dyDescent="0.25">
      <c r="A10865" s="1"/>
      <c r="B10865" s="1" t="s">
        <v>5526</v>
      </c>
      <c r="C10865" s="1" t="s">
        <v>5527</v>
      </c>
      <c r="D10865" s="22" t="str">
        <f>HYPERLINK("https://rhld.insurance.arkansas.gov/NPILookup?Npi=1760845804","1760845804")</f>
        <v>1760845804</v>
      </c>
      <c r="E10865" s="1" t="s">
        <v>20183</v>
      </c>
      <c r="F10865" s="2"/>
      <c r="G10865" s="2"/>
      <c r="H10865" s="2"/>
    </row>
    <row r="10866" spans="1:8" x14ac:dyDescent="0.25">
      <c r="A10866" s="1"/>
      <c r="B10866" s="1" t="s">
        <v>5526</v>
      </c>
      <c r="C10866" s="1" t="s">
        <v>5527</v>
      </c>
      <c r="D10866" s="22" t="str">
        <f>HYPERLINK("https://rhld.insurance.arkansas.gov/NPILookup?Npi=1770526147","1770526147")</f>
        <v>1770526147</v>
      </c>
      <c r="E10866" s="1" t="s">
        <v>20184</v>
      </c>
      <c r="F10866" s="2"/>
      <c r="G10866" s="2"/>
      <c r="H10866" s="2"/>
    </row>
    <row r="10867" spans="1:8" x14ac:dyDescent="0.25">
      <c r="A10867" s="1"/>
      <c r="B10867" s="1" t="s">
        <v>5526</v>
      </c>
      <c r="C10867" s="1" t="s">
        <v>5527</v>
      </c>
      <c r="D10867" s="22" t="str">
        <f>HYPERLINK("https://rhld.insurance.arkansas.gov/NPILookup?Npi=1770549511","1770549511")</f>
        <v>1770549511</v>
      </c>
      <c r="E10867" s="1" t="s">
        <v>20185</v>
      </c>
      <c r="F10867" s="2"/>
      <c r="G10867" s="2"/>
      <c r="H10867" s="2"/>
    </row>
    <row r="10868" spans="1:8" x14ac:dyDescent="0.25">
      <c r="A10868" s="1"/>
      <c r="B10868" s="1" t="s">
        <v>5526</v>
      </c>
      <c r="C10868" s="1" t="s">
        <v>5527</v>
      </c>
      <c r="D10868" s="22" t="str">
        <f>HYPERLINK("https://rhld.insurance.arkansas.gov/NPILookup?Npi=1770581662","1770581662")</f>
        <v>1770581662</v>
      </c>
      <c r="E10868" s="1" t="s">
        <v>20186</v>
      </c>
      <c r="F10868" s="2"/>
      <c r="G10868" s="2"/>
      <c r="H10868" s="2"/>
    </row>
    <row r="10869" spans="1:8" x14ac:dyDescent="0.25">
      <c r="A10869" s="1"/>
      <c r="B10869" s="1" t="s">
        <v>5526</v>
      </c>
      <c r="C10869" s="1" t="s">
        <v>5527</v>
      </c>
      <c r="D10869" s="22" t="str">
        <f>HYPERLINK("https://rhld.insurance.arkansas.gov/NPILookup?Npi=1770870289","1770870289")</f>
        <v>1770870289</v>
      </c>
      <c r="E10869" s="1" t="s">
        <v>3460</v>
      </c>
      <c r="F10869" s="2"/>
      <c r="G10869" s="2"/>
      <c r="H10869" s="2"/>
    </row>
    <row r="10870" spans="1:8" x14ac:dyDescent="0.25">
      <c r="A10870" s="1"/>
      <c r="B10870" s="1" t="s">
        <v>5526</v>
      </c>
      <c r="C10870" s="1" t="s">
        <v>5527</v>
      </c>
      <c r="D10870" s="22" t="str">
        <f>HYPERLINK("https://rhld.insurance.arkansas.gov/NPILookup?Npi=1780079780","1780079780")</f>
        <v>1780079780</v>
      </c>
      <c r="E10870" s="1" t="s">
        <v>17878</v>
      </c>
      <c r="F10870" s="2"/>
      <c r="G10870" s="2"/>
      <c r="H10870" s="2"/>
    </row>
    <row r="10871" spans="1:8" x14ac:dyDescent="0.25">
      <c r="A10871" s="1"/>
      <c r="B10871" s="1" t="s">
        <v>5526</v>
      </c>
      <c r="C10871" s="1" t="s">
        <v>5527</v>
      </c>
      <c r="D10871" s="22" t="str">
        <f>HYPERLINK("https://rhld.insurance.arkansas.gov/NPILookup?Npi=1780091975","1780091975")</f>
        <v>1780091975</v>
      </c>
      <c r="E10871" s="1" t="s">
        <v>11176</v>
      </c>
      <c r="F10871" s="2"/>
      <c r="G10871" s="2"/>
      <c r="H10871" s="2"/>
    </row>
    <row r="10872" spans="1:8" x14ac:dyDescent="0.25">
      <c r="A10872" s="1"/>
      <c r="B10872" s="1" t="s">
        <v>5526</v>
      </c>
      <c r="C10872" s="1" t="s">
        <v>5527</v>
      </c>
      <c r="D10872" s="22" t="str">
        <f>HYPERLINK("https://rhld.insurance.arkansas.gov/NPILookup?Npi=1780802330","1780802330")</f>
        <v>1780802330</v>
      </c>
      <c r="E10872" s="1" t="s">
        <v>20187</v>
      </c>
      <c r="F10872" s="2"/>
      <c r="G10872" s="2"/>
      <c r="H10872" s="2"/>
    </row>
    <row r="10873" spans="1:8" x14ac:dyDescent="0.25">
      <c r="A10873" s="1"/>
      <c r="B10873" s="1" t="s">
        <v>5526</v>
      </c>
      <c r="C10873" s="1" t="s">
        <v>5527</v>
      </c>
      <c r="D10873" s="22" t="str">
        <f>HYPERLINK("https://rhld.insurance.arkansas.gov/NPILookup?Npi=1780868620","1780868620")</f>
        <v>1780868620</v>
      </c>
      <c r="E10873" s="1" t="s">
        <v>5566</v>
      </c>
      <c r="F10873" s="2"/>
      <c r="G10873" s="2"/>
      <c r="H10873" s="2"/>
    </row>
    <row r="10874" spans="1:8" x14ac:dyDescent="0.25">
      <c r="A10874" s="1"/>
      <c r="B10874" s="1" t="s">
        <v>5526</v>
      </c>
      <c r="C10874" s="1" t="s">
        <v>5527</v>
      </c>
      <c r="D10874" s="22" t="str">
        <f>HYPERLINK("https://rhld.insurance.arkansas.gov/NPILookup?Npi=1780927244","1780927244")</f>
        <v>1780927244</v>
      </c>
      <c r="E10874" s="1" t="s">
        <v>1346</v>
      </c>
      <c r="F10874" s="2"/>
      <c r="G10874" s="2"/>
      <c r="H10874" s="2"/>
    </row>
    <row r="10875" spans="1:8" x14ac:dyDescent="0.25">
      <c r="A10875" s="1"/>
      <c r="B10875" s="1" t="s">
        <v>5526</v>
      </c>
      <c r="C10875" s="1" t="s">
        <v>5527</v>
      </c>
      <c r="D10875" s="22" t="str">
        <f>HYPERLINK("https://rhld.insurance.arkansas.gov/NPILookup?Npi=1790788347","1790788347")</f>
        <v>1790788347</v>
      </c>
      <c r="E10875" s="1" t="s">
        <v>20188</v>
      </c>
      <c r="F10875" s="2"/>
      <c r="G10875" s="2"/>
      <c r="H10875" s="2"/>
    </row>
    <row r="10876" spans="1:8" x14ac:dyDescent="0.25">
      <c r="A10876" s="1"/>
      <c r="B10876" s="1" t="s">
        <v>5526</v>
      </c>
      <c r="C10876" s="1" t="s">
        <v>5527</v>
      </c>
      <c r="D10876" s="22" t="str">
        <f>HYPERLINK("https://rhld.insurance.arkansas.gov/NPILookup?Npi=1790904027","1790904027")</f>
        <v>1790904027</v>
      </c>
      <c r="E10876" s="1" t="s">
        <v>11177</v>
      </c>
      <c r="F10876" s="2"/>
      <c r="G10876" s="2"/>
      <c r="H10876" s="2"/>
    </row>
    <row r="10877" spans="1:8" x14ac:dyDescent="0.25">
      <c r="A10877" s="1"/>
      <c r="B10877" s="1" t="s">
        <v>5526</v>
      </c>
      <c r="C10877" s="1" t="s">
        <v>5527</v>
      </c>
      <c r="D10877" s="22" t="str">
        <f>HYPERLINK("https://rhld.insurance.arkansas.gov/NPILookup?Npi=1790999308","1790999308")</f>
        <v>1790999308</v>
      </c>
      <c r="E10877" s="1" t="s">
        <v>18573</v>
      </c>
      <c r="F10877" s="2"/>
      <c r="G10877" s="2"/>
      <c r="H10877" s="2"/>
    </row>
    <row r="10878" spans="1:8" x14ac:dyDescent="0.25">
      <c r="A10878" s="1"/>
      <c r="B10878" s="1" t="s">
        <v>5526</v>
      </c>
      <c r="C10878" s="1" t="s">
        <v>5527</v>
      </c>
      <c r="D10878" s="22" t="str">
        <f>HYPERLINK("https://rhld.insurance.arkansas.gov/NPILookup?Npi=1801103643","1801103643")</f>
        <v>1801103643</v>
      </c>
      <c r="E10878" s="1" t="s">
        <v>20189</v>
      </c>
      <c r="F10878" s="2"/>
      <c r="G10878" s="2"/>
      <c r="H10878" s="2"/>
    </row>
    <row r="10879" spans="1:8" x14ac:dyDescent="0.25">
      <c r="A10879" s="1"/>
      <c r="B10879" s="1" t="s">
        <v>5526</v>
      </c>
      <c r="C10879" s="1" t="s">
        <v>5527</v>
      </c>
      <c r="D10879" s="22" t="str">
        <f>HYPERLINK("https://rhld.insurance.arkansas.gov/NPILookup?Npi=1801552955","1801552955")</f>
        <v>1801552955</v>
      </c>
      <c r="E10879" s="1" t="s">
        <v>11178</v>
      </c>
      <c r="F10879" s="2"/>
      <c r="G10879" s="2"/>
      <c r="H10879" s="2"/>
    </row>
    <row r="10880" spans="1:8" x14ac:dyDescent="0.25">
      <c r="A10880" s="1"/>
      <c r="B10880" s="1" t="s">
        <v>5526</v>
      </c>
      <c r="C10880" s="1" t="s">
        <v>5527</v>
      </c>
      <c r="D10880" s="22" t="str">
        <f>HYPERLINK("https://rhld.insurance.arkansas.gov/NPILookup?Npi=1801825781","1801825781")</f>
        <v>1801825781</v>
      </c>
      <c r="E10880" s="1" t="s">
        <v>1066</v>
      </c>
      <c r="F10880" s="2"/>
      <c r="G10880" s="2"/>
      <c r="H10880" s="2"/>
    </row>
    <row r="10881" spans="1:8" x14ac:dyDescent="0.25">
      <c r="A10881" s="1"/>
      <c r="B10881" s="1" t="s">
        <v>5526</v>
      </c>
      <c r="C10881" s="1" t="s">
        <v>5527</v>
      </c>
      <c r="D10881" s="22" t="str">
        <f>HYPERLINK("https://rhld.insurance.arkansas.gov/NPILookup?Npi=1801869235","1801869235")</f>
        <v>1801869235</v>
      </c>
      <c r="E10881" s="1" t="s">
        <v>20190</v>
      </c>
      <c r="F10881" s="2"/>
      <c r="G10881" s="2"/>
      <c r="H10881" s="2"/>
    </row>
    <row r="10882" spans="1:8" x14ac:dyDescent="0.25">
      <c r="A10882" s="1"/>
      <c r="B10882" s="1" t="s">
        <v>5526</v>
      </c>
      <c r="C10882" s="1" t="s">
        <v>5527</v>
      </c>
      <c r="D10882" s="22" t="str">
        <f>HYPERLINK("https://rhld.insurance.arkansas.gov/NPILookup?Npi=1811252752","1811252752")</f>
        <v>1811252752</v>
      </c>
      <c r="E10882" s="1" t="s">
        <v>20191</v>
      </c>
      <c r="F10882" s="2"/>
      <c r="G10882" s="2"/>
      <c r="H10882" s="2"/>
    </row>
    <row r="10883" spans="1:8" x14ac:dyDescent="0.25">
      <c r="A10883" s="1"/>
      <c r="B10883" s="1" t="s">
        <v>5526</v>
      </c>
      <c r="C10883" s="1" t="s">
        <v>5527</v>
      </c>
      <c r="D10883" s="22" t="str">
        <f>HYPERLINK("https://rhld.insurance.arkansas.gov/NPILookup?Npi=1811330897","1811330897")</f>
        <v>1811330897</v>
      </c>
      <c r="E10883" s="1" t="s">
        <v>18889</v>
      </c>
      <c r="F10883" s="2"/>
      <c r="G10883" s="2"/>
      <c r="H10883" s="2"/>
    </row>
    <row r="10884" spans="1:8" x14ac:dyDescent="0.25">
      <c r="A10884" s="1"/>
      <c r="B10884" s="1" t="s">
        <v>5526</v>
      </c>
      <c r="C10884" s="1" t="s">
        <v>5527</v>
      </c>
      <c r="D10884" s="22" t="str">
        <f>HYPERLINK("https://rhld.insurance.arkansas.gov/NPILookup?Npi=1811922545","1811922545")</f>
        <v>1811922545</v>
      </c>
      <c r="E10884" s="1" t="s">
        <v>20192</v>
      </c>
      <c r="F10884" s="2"/>
      <c r="G10884" s="2"/>
      <c r="H10884" s="2"/>
    </row>
    <row r="10885" spans="1:8" x14ac:dyDescent="0.25">
      <c r="A10885" s="1"/>
      <c r="B10885" s="1" t="s">
        <v>5526</v>
      </c>
      <c r="C10885" s="1" t="s">
        <v>5527</v>
      </c>
      <c r="D10885" s="22" t="str">
        <f>HYPERLINK("https://rhld.insurance.arkansas.gov/NPILookup?Npi=1821058991","1821058991")</f>
        <v>1821058991</v>
      </c>
      <c r="E10885" s="1" t="s">
        <v>17914</v>
      </c>
      <c r="F10885" s="2"/>
      <c r="G10885" s="2"/>
      <c r="H10885" s="2"/>
    </row>
    <row r="10886" spans="1:8" x14ac:dyDescent="0.25">
      <c r="A10886" s="1"/>
      <c r="B10886" s="1" t="s">
        <v>5526</v>
      </c>
      <c r="C10886" s="1" t="s">
        <v>5527</v>
      </c>
      <c r="D10886" s="22" t="str">
        <f>HYPERLINK("https://rhld.insurance.arkansas.gov/NPILookup?Npi=1821301052","1821301052")</f>
        <v>1821301052</v>
      </c>
      <c r="E10886" s="1" t="s">
        <v>5568</v>
      </c>
      <c r="F10886" s="2"/>
      <c r="G10886" s="2"/>
      <c r="H10886" s="2"/>
    </row>
    <row r="10887" spans="1:8" x14ac:dyDescent="0.25">
      <c r="A10887" s="1"/>
      <c r="B10887" s="1" t="s">
        <v>5526</v>
      </c>
      <c r="C10887" s="1" t="s">
        <v>5527</v>
      </c>
      <c r="D10887" s="22" t="str">
        <f>HYPERLINK("https://rhld.insurance.arkansas.gov/NPILookup?Npi=1821356478","1821356478")</f>
        <v>1821356478</v>
      </c>
      <c r="E10887" s="1" t="s">
        <v>20193</v>
      </c>
      <c r="F10887" s="2"/>
      <c r="G10887" s="2"/>
      <c r="H10887" s="2"/>
    </row>
    <row r="10888" spans="1:8" x14ac:dyDescent="0.25">
      <c r="A10888" s="1"/>
      <c r="B10888" s="1" t="s">
        <v>5526</v>
      </c>
      <c r="C10888" s="1" t="s">
        <v>5527</v>
      </c>
      <c r="D10888" s="22" t="str">
        <f>HYPERLINK("https://rhld.insurance.arkansas.gov/NPILookup?Npi=1831106038","1831106038")</f>
        <v>1831106038</v>
      </c>
      <c r="E10888" s="1" t="s">
        <v>20194</v>
      </c>
      <c r="F10888" s="2"/>
      <c r="G10888" s="2"/>
      <c r="H10888" s="2"/>
    </row>
    <row r="10889" spans="1:8" x14ac:dyDescent="0.25">
      <c r="A10889" s="1"/>
      <c r="B10889" s="1" t="s">
        <v>5526</v>
      </c>
      <c r="C10889" s="1" t="s">
        <v>5527</v>
      </c>
      <c r="D10889" s="22" t="str">
        <f>HYPERLINK("https://rhld.insurance.arkansas.gov/NPILookup?Npi=1831181247","1831181247")</f>
        <v>1831181247</v>
      </c>
      <c r="E10889" s="1" t="s">
        <v>17922</v>
      </c>
      <c r="F10889" s="2"/>
      <c r="G10889" s="2"/>
      <c r="H10889" s="2"/>
    </row>
    <row r="10890" spans="1:8" x14ac:dyDescent="0.25">
      <c r="A10890" s="1"/>
      <c r="B10890" s="1" t="s">
        <v>5526</v>
      </c>
      <c r="C10890" s="1" t="s">
        <v>5527</v>
      </c>
      <c r="D10890" s="22" t="str">
        <f>HYPERLINK("https://rhld.insurance.arkansas.gov/NPILookup?Npi=1831289313","1831289313")</f>
        <v>1831289313</v>
      </c>
      <c r="E10890" s="1" t="s">
        <v>11179</v>
      </c>
      <c r="F10890" s="2"/>
      <c r="G10890" s="2"/>
      <c r="H10890" s="2"/>
    </row>
    <row r="10891" spans="1:8" x14ac:dyDescent="0.25">
      <c r="A10891" s="1"/>
      <c r="B10891" s="1" t="s">
        <v>5526</v>
      </c>
      <c r="C10891" s="1" t="s">
        <v>5527</v>
      </c>
      <c r="D10891" s="22" t="str">
        <f>HYPERLINK("https://rhld.insurance.arkansas.gov/NPILookup?Npi=1841277589","1841277589")</f>
        <v>1841277589</v>
      </c>
      <c r="E10891" s="1" t="s">
        <v>11180</v>
      </c>
      <c r="F10891" s="2"/>
      <c r="G10891" s="2"/>
      <c r="H10891" s="2"/>
    </row>
    <row r="10892" spans="1:8" x14ac:dyDescent="0.25">
      <c r="A10892" s="1"/>
      <c r="B10892" s="1" t="s">
        <v>5526</v>
      </c>
      <c r="C10892" s="1" t="s">
        <v>5527</v>
      </c>
      <c r="D10892" s="22" t="str">
        <f>HYPERLINK("https://rhld.insurance.arkansas.gov/NPILookup?Npi=1841278678","1841278678")</f>
        <v>1841278678</v>
      </c>
      <c r="E10892" s="1" t="s">
        <v>20195</v>
      </c>
      <c r="F10892" s="2"/>
      <c r="G10892" s="2"/>
      <c r="H10892" s="2"/>
    </row>
    <row r="10893" spans="1:8" x14ac:dyDescent="0.25">
      <c r="A10893" s="1"/>
      <c r="B10893" s="1" t="s">
        <v>5526</v>
      </c>
      <c r="C10893" s="1" t="s">
        <v>5527</v>
      </c>
      <c r="D10893" s="22" t="str">
        <f>HYPERLINK("https://rhld.insurance.arkansas.gov/NPILookup?Npi=1841293545","1841293545")</f>
        <v>1841293545</v>
      </c>
      <c r="E10893" s="1" t="s">
        <v>20196</v>
      </c>
      <c r="F10893" s="2"/>
      <c r="G10893" s="2"/>
      <c r="H10893" s="2"/>
    </row>
    <row r="10894" spans="1:8" x14ac:dyDescent="0.25">
      <c r="A10894" s="1"/>
      <c r="B10894" s="1" t="s">
        <v>5526</v>
      </c>
      <c r="C10894" s="1" t="s">
        <v>5527</v>
      </c>
      <c r="D10894" s="22" t="str">
        <f>HYPERLINK("https://rhld.insurance.arkansas.gov/NPILookup?Npi=1841295383","1841295383")</f>
        <v>1841295383</v>
      </c>
      <c r="E10894" s="1" t="s">
        <v>20197</v>
      </c>
      <c r="F10894" s="2"/>
      <c r="G10894" s="2"/>
      <c r="H10894" s="2"/>
    </row>
    <row r="10895" spans="1:8" x14ac:dyDescent="0.25">
      <c r="A10895" s="1"/>
      <c r="B10895" s="1" t="s">
        <v>5526</v>
      </c>
      <c r="C10895" s="1" t="s">
        <v>5527</v>
      </c>
      <c r="D10895" s="22" t="str">
        <f>HYPERLINK("https://rhld.insurance.arkansas.gov/NPILookup?Npi=1841381050","1841381050")</f>
        <v>1841381050</v>
      </c>
      <c r="E10895" s="1" t="s">
        <v>20198</v>
      </c>
      <c r="F10895" s="2"/>
      <c r="G10895" s="2"/>
      <c r="H10895" s="2"/>
    </row>
    <row r="10896" spans="1:8" x14ac:dyDescent="0.25">
      <c r="A10896" s="1"/>
      <c r="B10896" s="1" t="s">
        <v>5526</v>
      </c>
      <c r="C10896" s="1" t="s">
        <v>5527</v>
      </c>
      <c r="D10896" s="22" t="str">
        <f>HYPERLINK("https://rhld.insurance.arkansas.gov/NPILookup?Npi=1841648094","1841648094")</f>
        <v>1841648094</v>
      </c>
      <c r="E10896" s="1" t="s">
        <v>20199</v>
      </c>
      <c r="F10896" s="2"/>
      <c r="G10896" s="2"/>
      <c r="H10896" s="2"/>
    </row>
    <row r="10897" spans="1:8" x14ac:dyDescent="0.25">
      <c r="A10897" s="1"/>
      <c r="B10897" s="1" t="s">
        <v>5526</v>
      </c>
      <c r="C10897" s="1" t="s">
        <v>5527</v>
      </c>
      <c r="D10897" s="22" t="str">
        <f>HYPERLINK("https://rhld.insurance.arkansas.gov/NPILookup?Npi=1851320691","1851320691")</f>
        <v>1851320691</v>
      </c>
      <c r="E10897" s="1" t="s">
        <v>3462</v>
      </c>
      <c r="F10897" s="2"/>
      <c r="G10897" s="2"/>
      <c r="H10897" s="2"/>
    </row>
    <row r="10898" spans="1:8" x14ac:dyDescent="0.25">
      <c r="A10898" s="1"/>
      <c r="B10898" s="1" t="s">
        <v>5526</v>
      </c>
      <c r="C10898" s="1" t="s">
        <v>5527</v>
      </c>
      <c r="D10898" s="22" t="str">
        <f>HYPERLINK("https://rhld.insurance.arkansas.gov/NPILookup?Npi=1851399638","1851399638")</f>
        <v>1851399638</v>
      </c>
      <c r="E10898" s="1" t="s">
        <v>381</v>
      </c>
      <c r="F10898" s="2"/>
      <c r="G10898" s="2"/>
      <c r="H10898" s="2"/>
    </row>
    <row r="10899" spans="1:8" x14ac:dyDescent="0.25">
      <c r="A10899" s="1"/>
      <c r="B10899" s="1" t="s">
        <v>5526</v>
      </c>
      <c r="C10899" s="1" t="s">
        <v>5527</v>
      </c>
      <c r="D10899" s="22" t="str">
        <f>HYPERLINK("https://rhld.insurance.arkansas.gov/NPILookup?Npi=1851478796","1851478796")</f>
        <v>1851478796</v>
      </c>
      <c r="E10899" s="1" t="s">
        <v>2235</v>
      </c>
      <c r="F10899" s="2"/>
      <c r="G10899" s="2"/>
      <c r="H10899" s="2"/>
    </row>
    <row r="10900" spans="1:8" x14ac:dyDescent="0.25">
      <c r="A10900" s="1"/>
      <c r="B10900" s="1" t="s">
        <v>5526</v>
      </c>
      <c r="C10900" s="1" t="s">
        <v>5527</v>
      </c>
      <c r="D10900" s="22" t="str">
        <f>HYPERLINK("https://rhld.insurance.arkansas.gov/NPILookup?Npi=1861472565","1861472565")</f>
        <v>1861472565</v>
      </c>
      <c r="E10900" s="1" t="s">
        <v>10683</v>
      </c>
      <c r="F10900" s="2"/>
      <c r="G10900" s="2"/>
      <c r="H10900" s="2"/>
    </row>
    <row r="10901" spans="1:8" x14ac:dyDescent="0.25">
      <c r="A10901" s="1"/>
      <c r="B10901" s="1" t="s">
        <v>5526</v>
      </c>
      <c r="C10901" s="1" t="s">
        <v>5527</v>
      </c>
      <c r="D10901" s="22" t="str">
        <f>HYPERLINK("https://rhld.insurance.arkansas.gov/NPILookup?Npi=1861495889","1861495889")</f>
        <v>1861495889</v>
      </c>
      <c r="E10901" s="1" t="s">
        <v>20200</v>
      </c>
      <c r="F10901" s="2"/>
      <c r="G10901" s="2"/>
      <c r="H10901" s="2"/>
    </row>
    <row r="10902" spans="1:8" x14ac:dyDescent="0.25">
      <c r="A10902" s="1"/>
      <c r="B10902" s="1" t="s">
        <v>5526</v>
      </c>
      <c r="C10902" s="1" t="s">
        <v>5527</v>
      </c>
      <c r="D10902" s="22" t="str">
        <f>HYPERLINK("https://rhld.insurance.arkansas.gov/NPILookup?Npi=1871702779","1871702779")</f>
        <v>1871702779</v>
      </c>
      <c r="E10902" s="1" t="s">
        <v>5569</v>
      </c>
      <c r="F10902" s="2"/>
      <c r="G10902" s="2"/>
      <c r="H10902" s="2"/>
    </row>
    <row r="10903" spans="1:8" x14ac:dyDescent="0.25">
      <c r="A10903" s="1"/>
      <c r="B10903" s="1" t="s">
        <v>5526</v>
      </c>
      <c r="C10903" s="1" t="s">
        <v>5527</v>
      </c>
      <c r="D10903" s="22" t="str">
        <f>HYPERLINK("https://rhld.insurance.arkansas.gov/NPILookup?Npi=1871755447","1871755447")</f>
        <v>1871755447</v>
      </c>
      <c r="E10903" s="1" t="s">
        <v>20201</v>
      </c>
      <c r="F10903" s="2"/>
      <c r="G10903" s="2"/>
      <c r="H10903" s="2"/>
    </row>
    <row r="10904" spans="1:8" x14ac:dyDescent="0.25">
      <c r="A10904" s="1"/>
      <c r="B10904" s="1" t="s">
        <v>5526</v>
      </c>
      <c r="C10904" s="1" t="s">
        <v>5527</v>
      </c>
      <c r="D10904" s="22" t="str">
        <f>HYPERLINK("https://rhld.insurance.arkansas.gov/NPILookup?Npi=1871767152","1871767152")</f>
        <v>1871767152</v>
      </c>
      <c r="E10904" s="1" t="s">
        <v>20202</v>
      </c>
      <c r="F10904" s="2"/>
      <c r="G10904" s="2"/>
      <c r="H10904" s="2"/>
    </row>
    <row r="10905" spans="1:8" x14ac:dyDescent="0.25">
      <c r="A10905" s="1"/>
      <c r="B10905" s="1" t="s">
        <v>5526</v>
      </c>
      <c r="C10905" s="1" t="s">
        <v>5527</v>
      </c>
      <c r="D10905" s="22" t="str">
        <f>HYPERLINK("https://rhld.insurance.arkansas.gov/NPILookup?Npi=1871945204","1871945204")</f>
        <v>1871945204</v>
      </c>
      <c r="E10905" s="1" t="s">
        <v>20203</v>
      </c>
      <c r="F10905" s="2"/>
      <c r="G10905" s="2"/>
      <c r="H10905" s="2"/>
    </row>
    <row r="10906" spans="1:8" x14ac:dyDescent="0.25">
      <c r="A10906" s="1"/>
      <c r="B10906" s="1" t="s">
        <v>5526</v>
      </c>
      <c r="C10906" s="1" t="s">
        <v>5527</v>
      </c>
      <c r="D10906" s="22" t="str">
        <f>HYPERLINK("https://rhld.insurance.arkansas.gov/NPILookup?Npi=1871970731","1871970731")</f>
        <v>1871970731</v>
      </c>
      <c r="E10906" s="1" t="s">
        <v>20204</v>
      </c>
      <c r="F10906" s="2"/>
      <c r="G10906" s="2"/>
      <c r="H10906" s="2"/>
    </row>
    <row r="10907" spans="1:8" x14ac:dyDescent="0.25">
      <c r="A10907" s="1"/>
      <c r="B10907" s="1" t="s">
        <v>5526</v>
      </c>
      <c r="C10907" s="1" t="s">
        <v>5527</v>
      </c>
      <c r="D10907" s="22" t="str">
        <f>HYPERLINK("https://rhld.insurance.arkansas.gov/NPILookup?Npi=1881697662","1881697662")</f>
        <v>1881697662</v>
      </c>
      <c r="E10907" s="1" t="s">
        <v>20205</v>
      </c>
      <c r="F10907" s="2"/>
      <c r="G10907" s="2"/>
      <c r="H10907" s="2"/>
    </row>
    <row r="10908" spans="1:8" x14ac:dyDescent="0.25">
      <c r="A10908" s="1"/>
      <c r="B10908" s="1" t="s">
        <v>5526</v>
      </c>
      <c r="C10908" s="1" t="s">
        <v>5527</v>
      </c>
      <c r="D10908" s="22" t="str">
        <f>HYPERLINK("https://rhld.insurance.arkansas.gov/NPILookup?Npi=1881792513","1881792513")</f>
        <v>1881792513</v>
      </c>
      <c r="E10908" s="1" t="s">
        <v>647</v>
      </c>
      <c r="F10908" s="2"/>
      <c r="G10908" s="2"/>
      <c r="H10908" s="2"/>
    </row>
    <row r="10909" spans="1:8" x14ac:dyDescent="0.25">
      <c r="A10909" s="1"/>
      <c r="B10909" s="1" t="s">
        <v>5526</v>
      </c>
      <c r="C10909" s="1" t="s">
        <v>5527</v>
      </c>
      <c r="D10909" s="22" t="str">
        <f>HYPERLINK("https://rhld.insurance.arkansas.gov/NPILookup?Npi=1881813202","1881813202")</f>
        <v>1881813202</v>
      </c>
      <c r="E10909" s="1" t="s">
        <v>5570</v>
      </c>
      <c r="F10909" s="2"/>
      <c r="G10909" s="2"/>
      <c r="H10909" s="2"/>
    </row>
    <row r="10910" spans="1:8" x14ac:dyDescent="0.25">
      <c r="A10910" s="1"/>
      <c r="B10910" s="1" t="s">
        <v>5526</v>
      </c>
      <c r="C10910" s="1" t="s">
        <v>5527</v>
      </c>
      <c r="D10910" s="22" t="str">
        <f>HYPERLINK("https://rhld.insurance.arkansas.gov/NPILookup?Npi=1891834016","1891834016")</f>
        <v>1891834016</v>
      </c>
      <c r="E10910" s="1" t="s">
        <v>20206</v>
      </c>
      <c r="F10910" s="2"/>
      <c r="G10910" s="2"/>
      <c r="H10910" s="2"/>
    </row>
    <row r="10911" spans="1:8" x14ac:dyDescent="0.25">
      <c r="A10911" s="1"/>
      <c r="B10911" s="1" t="s">
        <v>5526</v>
      </c>
      <c r="C10911" s="1" t="s">
        <v>5527</v>
      </c>
      <c r="D10911" s="22" t="str">
        <f>HYPERLINK("https://rhld.insurance.arkansas.gov/NPILookup?Npi=1902087232","1902087232")</f>
        <v>1902087232</v>
      </c>
      <c r="E10911" s="1" t="s">
        <v>1155</v>
      </c>
      <c r="F10911" s="2"/>
      <c r="G10911" s="2"/>
      <c r="H10911" s="2"/>
    </row>
    <row r="10912" spans="1:8" x14ac:dyDescent="0.25">
      <c r="A10912" s="1"/>
      <c r="B10912" s="1" t="s">
        <v>5526</v>
      </c>
      <c r="C10912" s="1" t="s">
        <v>5527</v>
      </c>
      <c r="D10912" s="22" t="str">
        <f>HYPERLINK("https://rhld.insurance.arkansas.gov/NPILookup?Npi=1902284326","1902284326")</f>
        <v>1902284326</v>
      </c>
      <c r="E10912" s="1" t="s">
        <v>3463</v>
      </c>
      <c r="F10912" s="2"/>
      <c r="G10912" s="2"/>
      <c r="H10912" s="2"/>
    </row>
    <row r="10913" spans="1:8" x14ac:dyDescent="0.25">
      <c r="A10913" s="1"/>
      <c r="B10913" s="1" t="s">
        <v>5526</v>
      </c>
      <c r="C10913" s="1" t="s">
        <v>5527</v>
      </c>
      <c r="D10913" s="22" t="str">
        <f>HYPERLINK("https://rhld.insurance.arkansas.gov/NPILookup?Npi=1902809197","1902809197")</f>
        <v>1902809197</v>
      </c>
      <c r="E10913" s="1" t="s">
        <v>20207</v>
      </c>
      <c r="F10913" s="2"/>
      <c r="G10913" s="2"/>
      <c r="H10913" s="2"/>
    </row>
    <row r="10914" spans="1:8" x14ac:dyDescent="0.25">
      <c r="A10914" s="1"/>
      <c r="B10914" s="1" t="s">
        <v>5526</v>
      </c>
      <c r="C10914" s="1" t="s">
        <v>5527</v>
      </c>
      <c r="D10914" s="22" t="str">
        <f>HYPERLINK("https://rhld.insurance.arkansas.gov/NPILookup?Npi=1902883754","1902883754")</f>
        <v>1902883754</v>
      </c>
      <c r="E10914" s="1" t="s">
        <v>20208</v>
      </c>
      <c r="F10914" s="2"/>
      <c r="G10914" s="2"/>
      <c r="H10914" s="2"/>
    </row>
    <row r="10915" spans="1:8" x14ac:dyDescent="0.25">
      <c r="A10915" s="1"/>
      <c r="B10915" s="1" t="s">
        <v>5526</v>
      </c>
      <c r="C10915" s="1" t="s">
        <v>5527</v>
      </c>
      <c r="D10915" s="22" t="str">
        <f>HYPERLINK("https://rhld.insurance.arkansas.gov/NPILookup?Npi=1912108671","1912108671")</f>
        <v>1912108671</v>
      </c>
      <c r="E10915" s="1" t="s">
        <v>20209</v>
      </c>
      <c r="F10915" s="2"/>
      <c r="G10915" s="2"/>
      <c r="H10915" s="2"/>
    </row>
    <row r="10916" spans="1:8" x14ac:dyDescent="0.25">
      <c r="A10916" s="1"/>
      <c r="B10916" s="1" t="s">
        <v>5526</v>
      </c>
      <c r="C10916" s="1" t="s">
        <v>5527</v>
      </c>
      <c r="D10916" s="22" t="str">
        <f>HYPERLINK("https://rhld.insurance.arkansas.gov/NPILookup?Npi=1912173766","1912173766")</f>
        <v>1912173766</v>
      </c>
      <c r="E10916" s="1" t="s">
        <v>4195</v>
      </c>
      <c r="F10916" s="2"/>
      <c r="G10916" s="2"/>
      <c r="H10916" s="2"/>
    </row>
    <row r="10917" spans="1:8" x14ac:dyDescent="0.25">
      <c r="A10917" s="1"/>
      <c r="B10917" s="1" t="s">
        <v>5526</v>
      </c>
      <c r="C10917" s="1" t="s">
        <v>5527</v>
      </c>
      <c r="D10917" s="22" t="str">
        <f>HYPERLINK("https://rhld.insurance.arkansas.gov/NPILookup?Npi=1912223512","1912223512")</f>
        <v>1912223512</v>
      </c>
      <c r="E10917" s="1" t="s">
        <v>20210</v>
      </c>
      <c r="F10917" s="2"/>
      <c r="G10917" s="2"/>
      <c r="H10917" s="2"/>
    </row>
    <row r="10918" spans="1:8" x14ac:dyDescent="0.25">
      <c r="A10918" s="1"/>
      <c r="B10918" s="1" t="s">
        <v>5526</v>
      </c>
      <c r="C10918" s="1" t="s">
        <v>5527</v>
      </c>
      <c r="D10918" s="22" t="str">
        <f>HYPERLINK("https://rhld.insurance.arkansas.gov/NPILookup?Npi=1912266156","1912266156")</f>
        <v>1912266156</v>
      </c>
      <c r="E10918" s="1" t="s">
        <v>11181</v>
      </c>
      <c r="F10918" s="2"/>
      <c r="G10918" s="2"/>
      <c r="H10918" s="2"/>
    </row>
    <row r="10919" spans="1:8" x14ac:dyDescent="0.25">
      <c r="A10919" s="1"/>
      <c r="B10919" s="1" t="s">
        <v>5526</v>
      </c>
      <c r="C10919" s="1" t="s">
        <v>5527</v>
      </c>
      <c r="D10919" s="22" t="str">
        <f>HYPERLINK("https://rhld.insurance.arkansas.gov/NPILookup?Npi=1912900507","1912900507")</f>
        <v>1912900507</v>
      </c>
      <c r="E10919" s="1" t="s">
        <v>20211</v>
      </c>
      <c r="F10919" s="2"/>
      <c r="G10919" s="2"/>
      <c r="H10919" s="2"/>
    </row>
    <row r="10920" spans="1:8" x14ac:dyDescent="0.25">
      <c r="A10920" s="1"/>
      <c r="B10920" s="1" t="s">
        <v>5526</v>
      </c>
      <c r="C10920" s="1" t="s">
        <v>5527</v>
      </c>
      <c r="D10920" s="22" t="str">
        <f>HYPERLINK("https://rhld.insurance.arkansas.gov/NPILookup?Npi=1922027200","1922027200")</f>
        <v>1922027200</v>
      </c>
      <c r="E10920" s="1" t="s">
        <v>1122</v>
      </c>
      <c r="F10920" s="2"/>
      <c r="G10920" s="2"/>
      <c r="H10920" s="2"/>
    </row>
    <row r="10921" spans="1:8" x14ac:dyDescent="0.25">
      <c r="A10921" s="1"/>
      <c r="B10921" s="1" t="s">
        <v>5526</v>
      </c>
      <c r="C10921" s="1" t="s">
        <v>5527</v>
      </c>
      <c r="D10921" s="22" t="str">
        <f>HYPERLINK("https://rhld.insurance.arkansas.gov/NPILookup?Npi=1922072891","1922072891")</f>
        <v>1922072891</v>
      </c>
      <c r="E10921" s="1" t="s">
        <v>20212</v>
      </c>
      <c r="F10921" s="2"/>
      <c r="G10921" s="2"/>
      <c r="H10921" s="2"/>
    </row>
    <row r="10922" spans="1:8" x14ac:dyDescent="0.25">
      <c r="A10922" s="1"/>
      <c r="B10922" s="1" t="s">
        <v>5526</v>
      </c>
      <c r="C10922" s="1" t="s">
        <v>5527</v>
      </c>
      <c r="D10922" s="22" t="str">
        <f>HYPERLINK("https://rhld.insurance.arkansas.gov/NPILookup?Npi=1922203082","1922203082")</f>
        <v>1922203082</v>
      </c>
      <c r="E10922" s="1" t="s">
        <v>20213</v>
      </c>
      <c r="F10922" s="2"/>
      <c r="G10922" s="2"/>
      <c r="H10922" s="2"/>
    </row>
    <row r="10923" spans="1:8" x14ac:dyDescent="0.25">
      <c r="A10923" s="1"/>
      <c r="B10923" s="1" t="s">
        <v>5526</v>
      </c>
      <c r="C10923" s="1" t="s">
        <v>5527</v>
      </c>
      <c r="D10923" s="22" t="str">
        <f>HYPERLINK("https://rhld.insurance.arkansas.gov/NPILookup?Npi=1922330844","1922330844")</f>
        <v>1922330844</v>
      </c>
      <c r="E10923" s="1" t="s">
        <v>20214</v>
      </c>
      <c r="F10923" s="2"/>
      <c r="G10923" s="2"/>
      <c r="H10923" s="2"/>
    </row>
    <row r="10924" spans="1:8" x14ac:dyDescent="0.25">
      <c r="A10924" s="1"/>
      <c r="B10924" s="1" t="s">
        <v>5526</v>
      </c>
      <c r="C10924" s="1" t="s">
        <v>5527</v>
      </c>
      <c r="D10924" s="22" t="str">
        <f>HYPERLINK("https://rhld.insurance.arkansas.gov/NPILookup?Npi=1922404367","1922404367")</f>
        <v>1922404367</v>
      </c>
      <c r="E10924" s="1" t="s">
        <v>20215</v>
      </c>
      <c r="F10924" s="2"/>
      <c r="G10924" s="2"/>
      <c r="H10924" s="2"/>
    </row>
    <row r="10925" spans="1:8" x14ac:dyDescent="0.25">
      <c r="A10925" s="1"/>
      <c r="B10925" s="1" t="s">
        <v>5526</v>
      </c>
      <c r="C10925" s="1" t="s">
        <v>5527</v>
      </c>
      <c r="D10925" s="22" t="str">
        <f>HYPERLINK("https://rhld.insurance.arkansas.gov/NPILookup?Npi=1922441468","1922441468")</f>
        <v>1922441468</v>
      </c>
      <c r="E10925" s="1" t="s">
        <v>31754</v>
      </c>
      <c r="F10925" s="2"/>
      <c r="G10925" s="2"/>
      <c r="H10925" s="2"/>
    </row>
    <row r="10926" spans="1:8" x14ac:dyDescent="0.25">
      <c r="A10926" s="1"/>
      <c r="B10926" s="1" t="s">
        <v>5526</v>
      </c>
      <c r="C10926" s="1" t="s">
        <v>5527</v>
      </c>
      <c r="D10926" s="22" t="str">
        <f>HYPERLINK("https://rhld.insurance.arkansas.gov/NPILookup?Npi=1922448075","1922448075")</f>
        <v>1922448075</v>
      </c>
      <c r="E10926" s="1" t="s">
        <v>20216</v>
      </c>
      <c r="F10926" s="2"/>
      <c r="G10926" s="2"/>
      <c r="H10926" s="2"/>
    </row>
    <row r="10927" spans="1:8" x14ac:dyDescent="0.25">
      <c r="A10927" s="1"/>
      <c r="B10927" s="1" t="s">
        <v>5526</v>
      </c>
      <c r="C10927" s="1" t="s">
        <v>5527</v>
      </c>
      <c r="D10927" s="22" t="str">
        <f>HYPERLINK("https://rhld.insurance.arkansas.gov/NPILookup?Npi=1922480177","1922480177")</f>
        <v>1922480177</v>
      </c>
      <c r="E10927" s="1" t="s">
        <v>20217</v>
      </c>
      <c r="F10927" s="2"/>
      <c r="G10927" s="2"/>
      <c r="H10927" s="2"/>
    </row>
    <row r="10928" spans="1:8" x14ac:dyDescent="0.25">
      <c r="A10928" s="1"/>
      <c r="B10928" s="1" t="s">
        <v>5526</v>
      </c>
      <c r="C10928" s="1" t="s">
        <v>5527</v>
      </c>
      <c r="D10928" s="22" t="str">
        <f>HYPERLINK("https://rhld.insurance.arkansas.gov/NPILookup?Npi=1932339876","1932339876")</f>
        <v>1932339876</v>
      </c>
      <c r="E10928" s="1" t="s">
        <v>11182</v>
      </c>
      <c r="F10928" s="2"/>
      <c r="G10928" s="2"/>
      <c r="H10928" s="2"/>
    </row>
    <row r="10929" spans="1:8" x14ac:dyDescent="0.25">
      <c r="A10929" s="1"/>
      <c r="B10929" s="1" t="s">
        <v>5526</v>
      </c>
      <c r="C10929" s="1" t="s">
        <v>5527</v>
      </c>
      <c r="D10929" s="22" t="str">
        <f>HYPERLINK("https://rhld.insurance.arkansas.gov/NPILookup?Npi=1932496957","1932496957")</f>
        <v>1932496957</v>
      </c>
      <c r="E10929" s="1" t="s">
        <v>20218</v>
      </c>
      <c r="F10929" s="2"/>
      <c r="G10929" s="2"/>
      <c r="H10929" s="2"/>
    </row>
    <row r="10930" spans="1:8" x14ac:dyDescent="0.25">
      <c r="A10930" s="1"/>
      <c r="B10930" s="1" t="s">
        <v>5526</v>
      </c>
      <c r="C10930" s="1" t="s">
        <v>5527</v>
      </c>
      <c r="D10930" s="22" t="str">
        <f>HYPERLINK("https://rhld.insurance.arkansas.gov/NPILookup?Npi=1932562725","1932562725")</f>
        <v>1932562725</v>
      </c>
      <c r="E10930" s="1" t="s">
        <v>18932</v>
      </c>
      <c r="F10930" s="2"/>
      <c r="G10930" s="2"/>
      <c r="H10930" s="2"/>
    </row>
    <row r="10931" spans="1:8" x14ac:dyDescent="0.25">
      <c r="A10931" s="1"/>
      <c r="B10931" s="1" t="s">
        <v>5526</v>
      </c>
      <c r="C10931" s="1" t="s">
        <v>5527</v>
      </c>
      <c r="D10931" s="22" t="str">
        <f>HYPERLINK("https://rhld.insurance.arkansas.gov/NPILookup?Npi=1932581022","1932581022")</f>
        <v>1932581022</v>
      </c>
      <c r="E10931" s="1" t="s">
        <v>20219</v>
      </c>
      <c r="F10931" s="2"/>
      <c r="G10931" s="2"/>
      <c r="H10931" s="2"/>
    </row>
    <row r="10932" spans="1:8" x14ac:dyDescent="0.25">
      <c r="A10932" s="1"/>
      <c r="B10932" s="1" t="s">
        <v>5526</v>
      </c>
      <c r="C10932" s="1" t="s">
        <v>5527</v>
      </c>
      <c r="D10932" s="22" t="str">
        <f>HYPERLINK("https://rhld.insurance.arkansas.gov/NPILookup?Npi=1942203682","1942203682")</f>
        <v>1942203682</v>
      </c>
      <c r="E10932" s="1" t="s">
        <v>11183</v>
      </c>
      <c r="F10932" s="2"/>
      <c r="G10932" s="2"/>
      <c r="H10932" s="2"/>
    </row>
    <row r="10933" spans="1:8" x14ac:dyDescent="0.25">
      <c r="A10933" s="1"/>
      <c r="B10933" s="1" t="s">
        <v>5526</v>
      </c>
      <c r="C10933" s="1" t="s">
        <v>5527</v>
      </c>
      <c r="D10933" s="22" t="str">
        <f>HYPERLINK("https://rhld.insurance.arkansas.gov/NPILookup?Npi=1942516182","1942516182")</f>
        <v>1942516182</v>
      </c>
      <c r="E10933" s="1" t="s">
        <v>20220</v>
      </c>
      <c r="F10933" s="2"/>
      <c r="G10933" s="2"/>
      <c r="H10933" s="2"/>
    </row>
    <row r="10934" spans="1:8" x14ac:dyDescent="0.25">
      <c r="A10934" s="1"/>
      <c r="B10934" s="1" t="s">
        <v>5526</v>
      </c>
      <c r="C10934" s="1" t="s">
        <v>5527</v>
      </c>
      <c r="D10934" s="22" t="str">
        <f>HYPERLINK("https://rhld.insurance.arkansas.gov/NPILookup?Npi=1952372120","1952372120")</f>
        <v>1952372120</v>
      </c>
      <c r="E10934" s="1" t="s">
        <v>20221</v>
      </c>
      <c r="F10934" s="2"/>
      <c r="G10934" s="2"/>
      <c r="H10934" s="2"/>
    </row>
    <row r="10935" spans="1:8" x14ac:dyDescent="0.25">
      <c r="A10935" s="1"/>
      <c r="B10935" s="1" t="s">
        <v>5526</v>
      </c>
      <c r="C10935" s="1" t="s">
        <v>5527</v>
      </c>
      <c r="D10935" s="22" t="str">
        <f>HYPERLINK("https://rhld.insurance.arkansas.gov/NPILookup?Npi=1952375156","1952375156")</f>
        <v>1952375156</v>
      </c>
      <c r="E10935" s="1" t="s">
        <v>20222</v>
      </c>
      <c r="F10935" s="2"/>
      <c r="G10935" s="2"/>
      <c r="H10935" s="2"/>
    </row>
    <row r="10936" spans="1:8" x14ac:dyDescent="0.25">
      <c r="A10936" s="1"/>
      <c r="B10936" s="1" t="s">
        <v>5526</v>
      </c>
      <c r="C10936" s="1" t="s">
        <v>5527</v>
      </c>
      <c r="D10936" s="22" t="str">
        <f>HYPERLINK("https://rhld.insurance.arkansas.gov/NPILookup?Npi=1952380107","1952380107")</f>
        <v>1952380107</v>
      </c>
      <c r="E10936" s="1" t="s">
        <v>20223</v>
      </c>
      <c r="F10936" s="2"/>
      <c r="G10936" s="2"/>
      <c r="H10936" s="2"/>
    </row>
    <row r="10937" spans="1:8" x14ac:dyDescent="0.25">
      <c r="A10937" s="1"/>
      <c r="B10937" s="1" t="s">
        <v>5526</v>
      </c>
      <c r="C10937" s="1" t="s">
        <v>5527</v>
      </c>
      <c r="D10937" s="22" t="str">
        <f>HYPERLINK("https://rhld.insurance.arkansas.gov/NPILookup?Npi=1952491516","1952491516")</f>
        <v>1952491516</v>
      </c>
      <c r="E10937" s="1" t="s">
        <v>11184</v>
      </c>
      <c r="F10937" s="2"/>
      <c r="G10937" s="2"/>
      <c r="H10937" s="2"/>
    </row>
    <row r="10938" spans="1:8" x14ac:dyDescent="0.25">
      <c r="A10938" s="1"/>
      <c r="B10938" s="1" t="s">
        <v>5526</v>
      </c>
      <c r="C10938" s="1" t="s">
        <v>5527</v>
      </c>
      <c r="D10938" s="22" t="str">
        <f>HYPERLINK("https://rhld.insurance.arkansas.gov/NPILookup?Npi=1952533697","1952533697")</f>
        <v>1952533697</v>
      </c>
      <c r="E10938" s="1" t="s">
        <v>20224</v>
      </c>
      <c r="F10938" s="2"/>
      <c r="G10938" s="2"/>
      <c r="H10938" s="2"/>
    </row>
    <row r="10939" spans="1:8" x14ac:dyDescent="0.25">
      <c r="A10939" s="1"/>
      <c r="B10939" s="1" t="s">
        <v>5526</v>
      </c>
      <c r="C10939" s="1" t="s">
        <v>5527</v>
      </c>
      <c r="D10939" s="22" t="str">
        <f>HYPERLINK("https://rhld.insurance.arkansas.gov/NPILookup?Npi=1962405753","1962405753")</f>
        <v>1962405753</v>
      </c>
      <c r="E10939" s="1" t="s">
        <v>20225</v>
      </c>
      <c r="F10939" s="2"/>
      <c r="G10939" s="2"/>
      <c r="H10939" s="2"/>
    </row>
    <row r="10940" spans="1:8" x14ac:dyDescent="0.25">
      <c r="A10940" s="1"/>
      <c r="B10940" s="1" t="s">
        <v>5526</v>
      </c>
      <c r="C10940" s="1" t="s">
        <v>5527</v>
      </c>
      <c r="D10940" s="22" t="str">
        <f>HYPERLINK("https://rhld.insurance.arkansas.gov/NPILookup?Npi=1962497594","1962497594")</f>
        <v>1962497594</v>
      </c>
      <c r="E10940" s="1" t="s">
        <v>5572</v>
      </c>
      <c r="F10940" s="2"/>
      <c r="G10940" s="2"/>
      <c r="H10940" s="2"/>
    </row>
    <row r="10941" spans="1:8" x14ac:dyDescent="0.25">
      <c r="A10941" s="1"/>
      <c r="B10941" s="1" t="s">
        <v>5526</v>
      </c>
      <c r="C10941" s="1" t="s">
        <v>5527</v>
      </c>
      <c r="D10941" s="22" t="str">
        <f>HYPERLINK("https://rhld.insurance.arkansas.gov/NPILookup?Npi=1972577930","1972577930")</f>
        <v>1972577930</v>
      </c>
      <c r="E10941" s="1" t="s">
        <v>11185</v>
      </c>
      <c r="F10941" s="2"/>
      <c r="G10941" s="2"/>
      <c r="H10941" s="2"/>
    </row>
    <row r="10942" spans="1:8" x14ac:dyDescent="0.25">
      <c r="A10942" s="1"/>
      <c r="B10942" s="1" t="s">
        <v>5526</v>
      </c>
      <c r="C10942" s="1" t="s">
        <v>5527</v>
      </c>
      <c r="D10942" s="22" t="str">
        <f>HYPERLINK("https://rhld.insurance.arkansas.gov/NPILookup?Npi=1972693455","1972693455")</f>
        <v>1972693455</v>
      </c>
      <c r="E10942" s="1" t="s">
        <v>20227</v>
      </c>
      <c r="F10942" s="2"/>
      <c r="G10942" s="2"/>
      <c r="H10942" s="2"/>
    </row>
    <row r="10943" spans="1:8" x14ac:dyDescent="0.25">
      <c r="A10943" s="1"/>
      <c r="B10943" s="1" t="s">
        <v>5526</v>
      </c>
      <c r="C10943" s="1" t="s">
        <v>5527</v>
      </c>
      <c r="D10943" s="22" t="str">
        <f>HYPERLINK("https://rhld.insurance.arkansas.gov/NPILookup?Npi=1972739720","1972739720")</f>
        <v>1972739720</v>
      </c>
      <c r="E10943" s="1" t="s">
        <v>11186</v>
      </c>
      <c r="F10943" s="2"/>
      <c r="G10943" s="2"/>
      <c r="H10943" s="2"/>
    </row>
    <row r="10944" spans="1:8" x14ac:dyDescent="0.25">
      <c r="A10944" s="1"/>
      <c r="B10944" s="1" t="s">
        <v>5526</v>
      </c>
      <c r="C10944" s="1" t="s">
        <v>5527</v>
      </c>
      <c r="D10944" s="22" t="str">
        <f>HYPERLINK("https://rhld.insurance.arkansas.gov/NPILookup?Npi=1982087771","1982087771")</f>
        <v>1982087771</v>
      </c>
      <c r="E10944" s="1" t="s">
        <v>11187</v>
      </c>
      <c r="F10944" s="2"/>
      <c r="G10944" s="2"/>
      <c r="H10944" s="2"/>
    </row>
    <row r="10945" spans="1:8" x14ac:dyDescent="0.25">
      <c r="A10945" s="1"/>
      <c r="B10945" s="1" t="s">
        <v>5526</v>
      </c>
      <c r="C10945" s="1" t="s">
        <v>5527</v>
      </c>
      <c r="D10945" s="22" t="str">
        <f>HYPERLINK("https://rhld.insurance.arkansas.gov/NPILookup?Npi=1982090270","1982090270")</f>
        <v>1982090270</v>
      </c>
      <c r="E10945" s="1" t="s">
        <v>20228</v>
      </c>
      <c r="F10945" s="2"/>
      <c r="G10945" s="2"/>
      <c r="H10945" s="2"/>
    </row>
    <row r="10946" spans="1:8" x14ac:dyDescent="0.25">
      <c r="A10946" s="1"/>
      <c r="B10946" s="1" t="s">
        <v>5526</v>
      </c>
      <c r="C10946" s="1" t="s">
        <v>5527</v>
      </c>
      <c r="D10946" s="22" t="str">
        <f>HYPERLINK("https://rhld.insurance.arkansas.gov/NPILookup?Npi=1982602785","1982602785")</f>
        <v>1982602785</v>
      </c>
      <c r="E10946" s="1" t="s">
        <v>20229</v>
      </c>
      <c r="F10946" s="2"/>
      <c r="G10946" s="2"/>
      <c r="H10946" s="2"/>
    </row>
    <row r="10947" spans="1:8" x14ac:dyDescent="0.25">
      <c r="A10947" s="1"/>
      <c r="B10947" s="1" t="s">
        <v>5526</v>
      </c>
      <c r="C10947" s="1" t="s">
        <v>5527</v>
      </c>
      <c r="D10947" s="22" t="str">
        <f>HYPERLINK("https://rhld.insurance.arkansas.gov/NPILookup?Npi=1992859573","1992859573")</f>
        <v>1992859573</v>
      </c>
      <c r="E10947" s="1" t="s">
        <v>20230</v>
      </c>
      <c r="F10947" s="2"/>
      <c r="G10947" s="2"/>
      <c r="H10947" s="2"/>
    </row>
    <row r="10948" spans="1:8" x14ac:dyDescent="0.25">
      <c r="A10948" s="1"/>
      <c r="B10948" s="1" t="s">
        <v>5573</v>
      </c>
      <c r="C10948" s="1" t="s">
        <v>5574</v>
      </c>
      <c r="D10948" s="22" t="str">
        <f>HYPERLINK("https://rhld.insurance.arkansas.gov/NPILookup?Npi=1013017094","1013017094")</f>
        <v>1013017094</v>
      </c>
      <c r="E10948" s="1" t="s">
        <v>20231</v>
      </c>
      <c r="F10948" s="2"/>
      <c r="G10948" s="2"/>
      <c r="H10948" s="2"/>
    </row>
    <row r="10949" spans="1:8" x14ac:dyDescent="0.25">
      <c r="A10949" s="1"/>
      <c r="B10949" s="1" t="s">
        <v>5573</v>
      </c>
      <c r="C10949" s="1" t="s">
        <v>5574</v>
      </c>
      <c r="D10949" s="22" t="str">
        <f>HYPERLINK("https://rhld.insurance.arkansas.gov/NPILookup?Npi=1013030782","1013030782")</f>
        <v>1013030782</v>
      </c>
      <c r="E10949" s="1" t="s">
        <v>5575</v>
      </c>
      <c r="F10949" s="2"/>
      <c r="G10949" s="2"/>
      <c r="H10949" s="2"/>
    </row>
    <row r="10950" spans="1:8" x14ac:dyDescent="0.25">
      <c r="A10950" s="1"/>
      <c r="B10950" s="1" t="s">
        <v>5573</v>
      </c>
      <c r="C10950" s="1" t="s">
        <v>5574</v>
      </c>
      <c r="D10950" s="22" t="str">
        <f>HYPERLINK("https://rhld.insurance.arkansas.gov/NPILookup?Npi=1013329044","1013329044")</f>
        <v>1013329044</v>
      </c>
      <c r="E10950" s="1" t="s">
        <v>5576</v>
      </c>
      <c r="F10950" s="2"/>
      <c r="G10950" s="2"/>
      <c r="H10950" s="2"/>
    </row>
    <row r="10951" spans="1:8" x14ac:dyDescent="0.25">
      <c r="A10951" s="1"/>
      <c r="B10951" s="1" t="s">
        <v>5573</v>
      </c>
      <c r="C10951" s="1" t="s">
        <v>5574</v>
      </c>
      <c r="D10951" s="22" t="str">
        <f>HYPERLINK("https://rhld.insurance.arkansas.gov/NPILookup?Npi=1023000338","1023000338")</f>
        <v>1023000338</v>
      </c>
      <c r="E10951" s="1" t="s">
        <v>5577</v>
      </c>
      <c r="F10951" s="2"/>
      <c r="G10951" s="2"/>
      <c r="H10951" s="2"/>
    </row>
    <row r="10952" spans="1:8" x14ac:dyDescent="0.25">
      <c r="A10952" s="1"/>
      <c r="B10952" s="1" t="s">
        <v>5573</v>
      </c>
      <c r="C10952" s="1" t="s">
        <v>5574</v>
      </c>
      <c r="D10952" s="22" t="str">
        <f>HYPERLINK("https://rhld.insurance.arkansas.gov/NPILookup?Npi=1023513728","1023513728")</f>
        <v>1023513728</v>
      </c>
      <c r="E10952" s="1" t="s">
        <v>5578</v>
      </c>
      <c r="F10952" s="2"/>
      <c r="G10952" s="2"/>
      <c r="H10952" s="2"/>
    </row>
    <row r="10953" spans="1:8" x14ac:dyDescent="0.25">
      <c r="A10953" s="1"/>
      <c r="B10953" s="1" t="s">
        <v>5573</v>
      </c>
      <c r="C10953" s="1" t="s">
        <v>5574</v>
      </c>
      <c r="D10953" s="22" t="str">
        <f>HYPERLINK("https://rhld.insurance.arkansas.gov/NPILookup?Npi=1043366925","1043366925")</f>
        <v>1043366925</v>
      </c>
      <c r="E10953" s="1" t="s">
        <v>11188</v>
      </c>
      <c r="F10953" s="2"/>
      <c r="G10953" s="2"/>
      <c r="H10953" s="2"/>
    </row>
    <row r="10954" spans="1:8" x14ac:dyDescent="0.25">
      <c r="A10954" s="1"/>
      <c r="B10954" s="1" t="s">
        <v>5573</v>
      </c>
      <c r="C10954" s="1" t="s">
        <v>5574</v>
      </c>
      <c r="D10954" s="22" t="str">
        <f>HYPERLINK("https://rhld.insurance.arkansas.gov/NPILookup?Npi=1043743339","1043743339")</f>
        <v>1043743339</v>
      </c>
      <c r="E10954" s="1" t="s">
        <v>20232</v>
      </c>
      <c r="F10954" s="2"/>
      <c r="G10954" s="2"/>
      <c r="H10954" s="2"/>
    </row>
    <row r="10955" spans="1:8" x14ac:dyDescent="0.25">
      <c r="A10955" s="1"/>
      <c r="B10955" s="1" t="s">
        <v>5573</v>
      </c>
      <c r="C10955" s="1" t="s">
        <v>5574</v>
      </c>
      <c r="D10955" s="22" t="str">
        <f>HYPERLINK("https://rhld.insurance.arkansas.gov/NPILookup?Npi=1053308320","1053308320")</f>
        <v>1053308320</v>
      </c>
      <c r="E10955" s="1" t="s">
        <v>18346</v>
      </c>
      <c r="F10955" s="2"/>
      <c r="G10955" s="2"/>
      <c r="H10955" s="2"/>
    </row>
    <row r="10956" spans="1:8" x14ac:dyDescent="0.25">
      <c r="A10956" s="1"/>
      <c r="B10956" s="1" t="s">
        <v>5573</v>
      </c>
      <c r="C10956" s="1" t="s">
        <v>5574</v>
      </c>
      <c r="D10956" s="22" t="str">
        <f>HYPERLINK("https://rhld.insurance.arkansas.gov/NPILookup?Npi=1063437515","1063437515")</f>
        <v>1063437515</v>
      </c>
      <c r="E10956" s="1" t="s">
        <v>20233</v>
      </c>
      <c r="F10956" s="2"/>
      <c r="G10956" s="2"/>
      <c r="H10956" s="2"/>
    </row>
    <row r="10957" spans="1:8" x14ac:dyDescent="0.25">
      <c r="A10957" s="1"/>
      <c r="B10957" s="1" t="s">
        <v>5573</v>
      </c>
      <c r="C10957" s="1" t="s">
        <v>5574</v>
      </c>
      <c r="D10957" s="22" t="str">
        <f>HYPERLINK("https://rhld.insurance.arkansas.gov/NPILookup?Npi=1063467256","1063467256")</f>
        <v>1063467256</v>
      </c>
      <c r="E10957" s="1" t="s">
        <v>20234</v>
      </c>
      <c r="F10957" s="2"/>
      <c r="G10957" s="2"/>
      <c r="H10957" s="2"/>
    </row>
    <row r="10958" spans="1:8" x14ac:dyDescent="0.25">
      <c r="A10958" s="1"/>
      <c r="B10958" s="1" t="s">
        <v>5573</v>
      </c>
      <c r="C10958" s="1" t="s">
        <v>5574</v>
      </c>
      <c r="D10958" s="22" t="str">
        <f>HYPERLINK("https://rhld.insurance.arkansas.gov/NPILookup?Npi=1073558318","1073558318")</f>
        <v>1073558318</v>
      </c>
      <c r="E10958" s="1" t="s">
        <v>2290</v>
      </c>
      <c r="F10958" s="2"/>
      <c r="G10958" s="2"/>
      <c r="H10958" s="2"/>
    </row>
    <row r="10959" spans="1:8" x14ac:dyDescent="0.25">
      <c r="A10959" s="1"/>
      <c r="B10959" s="1" t="s">
        <v>5573</v>
      </c>
      <c r="C10959" s="1" t="s">
        <v>5574</v>
      </c>
      <c r="D10959" s="22" t="str">
        <f>HYPERLINK("https://rhld.insurance.arkansas.gov/NPILookup?Npi=1083758544","1083758544")</f>
        <v>1083758544</v>
      </c>
      <c r="E10959" s="1" t="s">
        <v>20235</v>
      </c>
      <c r="F10959" s="2"/>
      <c r="G10959" s="2"/>
      <c r="H10959" s="2"/>
    </row>
    <row r="10960" spans="1:8" x14ac:dyDescent="0.25">
      <c r="A10960" s="1"/>
      <c r="B10960" s="1" t="s">
        <v>5573</v>
      </c>
      <c r="C10960" s="1" t="s">
        <v>5574</v>
      </c>
      <c r="D10960" s="22" t="str">
        <f>HYPERLINK("https://rhld.insurance.arkansas.gov/NPILookup?Npi=1083903785","1083903785")</f>
        <v>1083903785</v>
      </c>
      <c r="E10960" s="1" t="s">
        <v>20236</v>
      </c>
      <c r="F10960" s="2"/>
      <c r="G10960" s="2"/>
      <c r="H10960" s="2"/>
    </row>
    <row r="10961" spans="1:8" x14ac:dyDescent="0.25">
      <c r="A10961" s="1"/>
      <c r="B10961" s="1" t="s">
        <v>5573</v>
      </c>
      <c r="C10961" s="1" t="s">
        <v>5574</v>
      </c>
      <c r="D10961" s="22" t="str">
        <f>HYPERLINK("https://rhld.insurance.arkansas.gov/NPILookup?Npi=1104879964","1104879964")</f>
        <v>1104879964</v>
      </c>
      <c r="E10961" s="1" t="s">
        <v>31755</v>
      </c>
      <c r="F10961" s="2"/>
      <c r="G10961" s="2"/>
      <c r="H10961" s="2"/>
    </row>
    <row r="10962" spans="1:8" x14ac:dyDescent="0.25">
      <c r="A10962" s="1"/>
      <c r="B10962" s="1" t="s">
        <v>5573</v>
      </c>
      <c r="C10962" s="1" t="s">
        <v>5574</v>
      </c>
      <c r="D10962" s="22" t="str">
        <f>HYPERLINK("https://rhld.insurance.arkansas.gov/NPILookup?Npi=1104883693","1104883693")</f>
        <v>1104883693</v>
      </c>
      <c r="E10962" s="1" t="s">
        <v>4280</v>
      </c>
      <c r="F10962" s="2"/>
      <c r="G10962" s="2"/>
      <c r="H10962" s="2"/>
    </row>
    <row r="10963" spans="1:8" x14ac:dyDescent="0.25">
      <c r="A10963" s="1"/>
      <c r="B10963" s="1" t="s">
        <v>5573</v>
      </c>
      <c r="C10963" s="1" t="s">
        <v>5574</v>
      </c>
      <c r="D10963" s="22" t="str">
        <f>HYPERLINK("https://rhld.insurance.arkansas.gov/NPILookup?Npi=1124445085","1124445085")</f>
        <v>1124445085</v>
      </c>
      <c r="E10963" s="1" t="s">
        <v>20237</v>
      </c>
      <c r="F10963" s="2"/>
      <c r="G10963" s="2"/>
      <c r="H10963" s="2"/>
    </row>
    <row r="10964" spans="1:8" x14ac:dyDescent="0.25">
      <c r="A10964" s="1"/>
      <c r="B10964" s="1" t="s">
        <v>5573</v>
      </c>
      <c r="C10964" s="1" t="s">
        <v>5574</v>
      </c>
      <c r="D10964" s="22" t="str">
        <f>HYPERLINK("https://rhld.insurance.arkansas.gov/NPILookup?Npi=1134156052","1134156052")</f>
        <v>1134156052</v>
      </c>
      <c r="E10964" s="1" t="s">
        <v>11189</v>
      </c>
      <c r="F10964" s="2"/>
      <c r="G10964" s="2"/>
      <c r="H10964" s="2"/>
    </row>
    <row r="10965" spans="1:8" x14ac:dyDescent="0.25">
      <c r="A10965" s="1"/>
      <c r="B10965" s="1" t="s">
        <v>5573</v>
      </c>
      <c r="C10965" s="1" t="s">
        <v>5574</v>
      </c>
      <c r="D10965" s="22" t="str">
        <f>HYPERLINK("https://rhld.insurance.arkansas.gov/NPILookup?Npi=1134163314","1134163314")</f>
        <v>1134163314</v>
      </c>
      <c r="E10965" s="1" t="s">
        <v>20238</v>
      </c>
      <c r="F10965" s="2"/>
      <c r="G10965" s="2"/>
      <c r="H10965" s="2"/>
    </row>
    <row r="10966" spans="1:8" x14ac:dyDescent="0.25">
      <c r="A10966" s="1"/>
      <c r="B10966" s="1" t="s">
        <v>5573</v>
      </c>
      <c r="C10966" s="1" t="s">
        <v>5574</v>
      </c>
      <c r="D10966" s="22" t="str">
        <f>HYPERLINK("https://rhld.insurance.arkansas.gov/NPILookup?Npi=1134183304","1134183304")</f>
        <v>1134183304</v>
      </c>
      <c r="E10966" s="1" t="s">
        <v>20239</v>
      </c>
      <c r="F10966" s="2"/>
      <c r="G10966" s="2"/>
      <c r="H10966" s="2"/>
    </row>
    <row r="10967" spans="1:8" x14ac:dyDescent="0.25">
      <c r="A10967" s="1"/>
      <c r="B10967" s="1" t="s">
        <v>5573</v>
      </c>
      <c r="C10967" s="1" t="s">
        <v>5574</v>
      </c>
      <c r="D10967" s="22" t="str">
        <f>HYPERLINK("https://rhld.insurance.arkansas.gov/NPILookup?Npi=1144485418","1144485418")</f>
        <v>1144485418</v>
      </c>
      <c r="E10967" s="1" t="s">
        <v>20240</v>
      </c>
      <c r="F10967" s="2"/>
      <c r="G10967" s="2"/>
      <c r="H10967" s="2"/>
    </row>
    <row r="10968" spans="1:8" x14ac:dyDescent="0.25">
      <c r="A10968" s="1"/>
      <c r="B10968" s="1" t="s">
        <v>5573</v>
      </c>
      <c r="C10968" s="1" t="s">
        <v>5574</v>
      </c>
      <c r="D10968" s="22" t="str">
        <f>HYPERLINK("https://rhld.insurance.arkansas.gov/NPILookup?Npi=1144586280","1144586280")</f>
        <v>1144586280</v>
      </c>
      <c r="E10968" s="1" t="s">
        <v>20070</v>
      </c>
      <c r="F10968" s="2"/>
      <c r="G10968" s="2"/>
      <c r="H10968" s="2"/>
    </row>
    <row r="10969" spans="1:8" x14ac:dyDescent="0.25">
      <c r="A10969" s="1"/>
      <c r="B10969" s="1" t="s">
        <v>5573</v>
      </c>
      <c r="C10969" s="1" t="s">
        <v>5574</v>
      </c>
      <c r="D10969" s="22" t="str">
        <f>HYPERLINK("https://rhld.insurance.arkansas.gov/NPILookup?Npi=1154434264","1154434264")</f>
        <v>1154434264</v>
      </c>
      <c r="E10969" s="1" t="s">
        <v>31756</v>
      </c>
      <c r="F10969" s="2"/>
      <c r="G10969" s="2"/>
      <c r="H10969" s="2"/>
    </row>
    <row r="10970" spans="1:8" x14ac:dyDescent="0.25">
      <c r="A10970" s="1"/>
      <c r="B10970" s="1" t="s">
        <v>5573</v>
      </c>
      <c r="C10970" s="1" t="s">
        <v>5574</v>
      </c>
      <c r="D10970" s="22" t="str">
        <f>HYPERLINK("https://rhld.insurance.arkansas.gov/NPILookup?Npi=1154827889","1154827889")</f>
        <v>1154827889</v>
      </c>
      <c r="E10970" s="1" t="s">
        <v>5579</v>
      </c>
      <c r="F10970" s="2"/>
      <c r="G10970" s="2"/>
      <c r="H10970" s="2"/>
    </row>
    <row r="10971" spans="1:8" x14ac:dyDescent="0.25">
      <c r="A10971" s="1"/>
      <c r="B10971" s="1" t="s">
        <v>5573</v>
      </c>
      <c r="C10971" s="1" t="s">
        <v>5574</v>
      </c>
      <c r="D10971" s="22" t="str">
        <f>HYPERLINK("https://rhld.insurance.arkansas.gov/NPILookup?Npi=1164488573","1164488573")</f>
        <v>1164488573</v>
      </c>
      <c r="E10971" s="1" t="s">
        <v>20241</v>
      </c>
      <c r="F10971" s="2"/>
      <c r="G10971" s="2"/>
      <c r="H10971" s="2"/>
    </row>
    <row r="10972" spans="1:8" x14ac:dyDescent="0.25">
      <c r="A10972" s="1"/>
      <c r="B10972" s="1" t="s">
        <v>5573</v>
      </c>
      <c r="C10972" s="1" t="s">
        <v>5574</v>
      </c>
      <c r="D10972" s="22" t="str">
        <f>HYPERLINK("https://rhld.insurance.arkansas.gov/NPILookup?Npi=1174611511","1174611511")</f>
        <v>1174611511</v>
      </c>
      <c r="E10972" s="1" t="s">
        <v>11190</v>
      </c>
      <c r="F10972" s="2"/>
      <c r="G10972" s="2"/>
      <c r="H10972" s="2"/>
    </row>
    <row r="10973" spans="1:8" x14ac:dyDescent="0.25">
      <c r="A10973" s="1"/>
      <c r="B10973" s="1" t="s">
        <v>5573</v>
      </c>
      <c r="C10973" s="1" t="s">
        <v>5574</v>
      </c>
      <c r="D10973" s="22" t="str">
        <f>HYPERLINK("https://rhld.insurance.arkansas.gov/NPILookup?Npi=1174816235","1174816235")</f>
        <v>1174816235</v>
      </c>
      <c r="E10973" s="1" t="s">
        <v>11191</v>
      </c>
      <c r="F10973" s="2"/>
      <c r="G10973" s="2"/>
      <c r="H10973" s="2"/>
    </row>
    <row r="10974" spans="1:8" x14ac:dyDescent="0.25">
      <c r="A10974" s="1"/>
      <c r="B10974" s="1" t="s">
        <v>5573</v>
      </c>
      <c r="C10974" s="1" t="s">
        <v>5574</v>
      </c>
      <c r="D10974" s="22" t="str">
        <f>HYPERLINK("https://rhld.insurance.arkansas.gov/NPILookup?Npi=1184011470","1184011470")</f>
        <v>1184011470</v>
      </c>
      <c r="E10974" s="1" t="s">
        <v>20242</v>
      </c>
      <c r="F10974" s="2"/>
      <c r="G10974" s="2"/>
      <c r="H10974" s="2"/>
    </row>
    <row r="10975" spans="1:8" x14ac:dyDescent="0.25">
      <c r="A10975" s="1"/>
      <c r="B10975" s="1" t="s">
        <v>5573</v>
      </c>
      <c r="C10975" s="1" t="s">
        <v>5574</v>
      </c>
      <c r="D10975" s="22" t="str">
        <f>HYPERLINK("https://rhld.insurance.arkansas.gov/NPILookup?Npi=1184674608","1184674608")</f>
        <v>1184674608</v>
      </c>
      <c r="E10975" s="1" t="s">
        <v>11192</v>
      </c>
      <c r="F10975" s="2"/>
      <c r="G10975" s="2"/>
      <c r="H10975" s="2"/>
    </row>
    <row r="10976" spans="1:8" x14ac:dyDescent="0.25">
      <c r="A10976" s="1"/>
      <c r="B10976" s="1" t="s">
        <v>5573</v>
      </c>
      <c r="C10976" s="1" t="s">
        <v>5574</v>
      </c>
      <c r="D10976" s="22" t="str">
        <f>HYPERLINK("https://rhld.insurance.arkansas.gov/NPILookup?Npi=1184951220","1184951220")</f>
        <v>1184951220</v>
      </c>
      <c r="E10976" s="1" t="s">
        <v>20243</v>
      </c>
      <c r="F10976" s="2"/>
      <c r="G10976" s="2"/>
      <c r="H10976" s="2"/>
    </row>
    <row r="10977" spans="1:8" x14ac:dyDescent="0.25">
      <c r="A10977" s="1"/>
      <c r="B10977" s="1" t="s">
        <v>5573</v>
      </c>
      <c r="C10977" s="1" t="s">
        <v>5574</v>
      </c>
      <c r="D10977" s="22" t="str">
        <f>HYPERLINK("https://rhld.insurance.arkansas.gov/NPILookup?Npi=1194287482","1194287482")</f>
        <v>1194287482</v>
      </c>
      <c r="E10977" s="1" t="s">
        <v>20244</v>
      </c>
      <c r="F10977" s="2"/>
      <c r="G10977" s="2"/>
      <c r="H10977" s="2"/>
    </row>
    <row r="10978" spans="1:8" x14ac:dyDescent="0.25">
      <c r="A10978" s="1"/>
      <c r="B10978" s="1" t="s">
        <v>5573</v>
      </c>
      <c r="C10978" s="1" t="s">
        <v>5574</v>
      </c>
      <c r="D10978" s="22" t="str">
        <f>HYPERLINK("https://rhld.insurance.arkansas.gov/NPILookup?Npi=1205066859","1205066859")</f>
        <v>1205066859</v>
      </c>
      <c r="E10978" s="1" t="s">
        <v>20245</v>
      </c>
      <c r="F10978" s="2"/>
      <c r="G10978" s="2"/>
      <c r="H10978" s="2"/>
    </row>
    <row r="10979" spans="1:8" x14ac:dyDescent="0.25">
      <c r="A10979" s="1"/>
      <c r="B10979" s="1" t="s">
        <v>5573</v>
      </c>
      <c r="C10979" s="1" t="s">
        <v>5574</v>
      </c>
      <c r="D10979" s="22" t="str">
        <f>HYPERLINK("https://rhld.insurance.arkansas.gov/NPILookup?Npi=1215068796","1215068796")</f>
        <v>1215068796</v>
      </c>
      <c r="E10979" s="1" t="s">
        <v>5581</v>
      </c>
      <c r="F10979" s="2"/>
      <c r="G10979" s="2"/>
      <c r="H10979" s="2"/>
    </row>
    <row r="10980" spans="1:8" x14ac:dyDescent="0.25">
      <c r="A10980" s="1"/>
      <c r="B10980" s="1" t="s">
        <v>5573</v>
      </c>
      <c r="C10980" s="1" t="s">
        <v>5574</v>
      </c>
      <c r="D10980" s="22" t="str">
        <f>HYPERLINK("https://rhld.insurance.arkansas.gov/NPILookup?Npi=1225238215","1225238215")</f>
        <v>1225238215</v>
      </c>
      <c r="E10980" s="1" t="s">
        <v>20246</v>
      </c>
      <c r="F10980" s="2"/>
      <c r="G10980" s="2"/>
      <c r="H10980" s="2"/>
    </row>
    <row r="10981" spans="1:8" x14ac:dyDescent="0.25">
      <c r="A10981" s="1"/>
      <c r="B10981" s="1" t="s">
        <v>5573</v>
      </c>
      <c r="C10981" s="1" t="s">
        <v>5574</v>
      </c>
      <c r="D10981" s="22" t="str">
        <f>HYPERLINK("https://rhld.insurance.arkansas.gov/NPILookup?Npi=1235172446","1235172446")</f>
        <v>1235172446</v>
      </c>
      <c r="E10981" s="1" t="s">
        <v>20247</v>
      </c>
      <c r="F10981" s="2"/>
      <c r="G10981" s="2"/>
      <c r="H10981" s="2"/>
    </row>
    <row r="10982" spans="1:8" x14ac:dyDescent="0.25">
      <c r="A10982" s="1"/>
      <c r="B10982" s="1" t="s">
        <v>5573</v>
      </c>
      <c r="C10982" s="1" t="s">
        <v>5574</v>
      </c>
      <c r="D10982" s="22" t="str">
        <f>HYPERLINK("https://rhld.insurance.arkansas.gov/NPILookup?Npi=1235176892","1235176892")</f>
        <v>1235176892</v>
      </c>
      <c r="E10982" s="1" t="s">
        <v>5582</v>
      </c>
      <c r="F10982" s="2"/>
      <c r="G10982" s="2"/>
      <c r="H10982" s="2"/>
    </row>
    <row r="10983" spans="1:8" x14ac:dyDescent="0.25">
      <c r="A10983" s="1"/>
      <c r="B10983" s="1" t="s">
        <v>5573</v>
      </c>
      <c r="C10983" s="1" t="s">
        <v>5574</v>
      </c>
      <c r="D10983" s="22" t="str">
        <f>HYPERLINK("https://rhld.insurance.arkansas.gov/NPILookup?Npi=1235452723","1235452723")</f>
        <v>1235452723</v>
      </c>
      <c r="E10983" s="1" t="s">
        <v>1362</v>
      </c>
      <c r="F10983" s="2"/>
      <c r="G10983" s="2"/>
      <c r="H10983" s="2"/>
    </row>
    <row r="10984" spans="1:8" x14ac:dyDescent="0.25">
      <c r="A10984" s="1"/>
      <c r="B10984" s="1" t="s">
        <v>5573</v>
      </c>
      <c r="C10984" s="1" t="s">
        <v>5574</v>
      </c>
      <c r="D10984" s="22" t="str">
        <f>HYPERLINK("https://rhld.insurance.arkansas.gov/NPILookup?Npi=1255323663","1255323663")</f>
        <v>1255323663</v>
      </c>
      <c r="E10984" s="1" t="s">
        <v>20088</v>
      </c>
      <c r="F10984" s="2"/>
      <c r="G10984" s="2"/>
      <c r="H10984" s="2"/>
    </row>
    <row r="10985" spans="1:8" x14ac:dyDescent="0.25">
      <c r="A10985" s="1"/>
      <c r="B10985" s="1" t="s">
        <v>5573</v>
      </c>
      <c r="C10985" s="1" t="s">
        <v>5574</v>
      </c>
      <c r="D10985" s="22" t="str">
        <f>HYPERLINK("https://rhld.insurance.arkansas.gov/NPILookup?Npi=1255484283","1255484283")</f>
        <v>1255484283</v>
      </c>
      <c r="E10985" s="1" t="s">
        <v>11193</v>
      </c>
      <c r="F10985" s="2"/>
      <c r="G10985" s="2"/>
      <c r="H10985" s="2"/>
    </row>
    <row r="10986" spans="1:8" x14ac:dyDescent="0.25">
      <c r="A10986" s="1"/>
      <c r="B10986" s="1" t="s">
        <v>5573</v>
      </c>
      <c r="C10986" s="1" t="s">
        <v>5574</v>
      </c>
      <c r="D10986" s="22" t="str">
        <f>HYPERLINK("https://rhld.insurance.arkansas.gov/NPILookup?Npi=1255563128","1255563128")</f>
        <v>1255563128</v>
      </c>
      <c r="E10986" s="1" t="s">
        <v>5583</v>
      </c>
      <c r="F10986" s="2"/>
      <c r="G10986" s="2"/>
      <c r="H10986" s="2"/>
    </row>
    <row r="10987" spans="1:8" x14ac:dyDescent="0.25">
      <c r="A10987" s="1"/>
      <c r="B10987" s="1" t="s">
        <v>5573</v>
      </c>
      <c r="C10987" s="1" t="s">
        <v>5574</v>
      </c>
      <c r="D10987" s="22" t="str">
        <f>HYPERLINK("https://rhld.insurance.arkansas.gov/NPILookup?Npi=1265757918","1265757918")</f>
        <v>1265757918</v>
      </c>
      <c r="E10987" s="1" t="s">
        <v>20248</v>
      </c>
      <c r="F10987" s="2"/>
      <c r="G10987" s="2"/>
      <c r="H10987" s="2"/>
    </row>
    <row r="10988" spans="1:8" x14ac:dyDescent="0.25">
      <c r="A10988" s="1"/>
      <c r="B10988" s="1" t="s">
        <v>5573</v>
      </c>
      <c r="C10988" s="1" t="s">
        <v>5574</v>
      </c>
      <c r="D10988" s="22" t="str">
        <f>HYPERLINK("https://rhld.insurance.arkansas.gov/NPILookup?Npi=1265759864","1265759864")</f>
        <v>1265759864</v>
      </c>
      <c r="E10988" s="1" t="s">
        <v>5584</v>
      </c>
      <c r="F10988" s="2"/>
      <c r="G10988" s="2"/>
      <c r="H10988" s="2"/>
    </row>
    <row r="10989" spans="1:8" x14ac:dyDescent="0.25">
      <c r="A10989" s="1"/>
      <c r="B10989" s="1" t="s">
        <v>5573</v>
      </c>
      <c r="C10989" s="1" t="s">
        <v>5574</v>
      </c>
      <c r="D10989" s="22" t="str">
        <f>HYPERLINK("https://rhld.insurance.arkansas.gov/NPILookup?Npi=1265850325","1265850325")</f>
        <v>1265850325</v>
      </c>
      <c r="E10989" s="1" t="s">
        <v>5585</v>
      </c>
      <c r="F10989" s="2"/>
      <c r="G10989" s="2"/>
      <c r="H10989" s="2"/>
    </row>
    <row r="10990" spans="1:8" x14ac:dyDescent="0.25">
      <c r="A10990" s="1"/>
      <c r="B10990" s="1" t="s">
        <v>5573</v>
      </c>
      <c r="C10990" s="1" t="s">
        <v>5574</v>
      </c>
      <c r="D10990" s="22" t="str">
        <f>HYPERLINK("https://rhld.insurance.arkansas.gov/NPILookup?Npi=1285154484","1285154484")</f>
        <v>1285154484</v>
      </c>
      <c r="E10990" s="1" t="s">
        <v>20249</v>
      </c>
      <c r="F10990" s="2"/>
      <c r="G10990" s="2"/>
      <c r="H10990" s="2"/>
    </row>
    <row r="10991" spans="1:8" x14ac:dyDescent="0.25">
      <c r="A10991" s="1"/>
      <c r="B10991" s="1" t="s">
        <v>5573</v>
      </c>
      <c r="C10991" s="1" t="s">
        <v>5574</v>
      </c>
      <c r="D10991" s="22" t="str">
        <f>HYPERLINK("https://rhld.insurance.arkansas.gov/NPILookup?Npi=1285869362","1285869362")</f>
        <v>1285869362</v>
      </c>
      <c r="E10991" s="1" t="s">
        <v>20250</v>
      </c>
      <c r="F10991" s="2"/>
      <c r="G10991" s="2"/>
      <c r="H10991" s="2"/>
    </row>
    <row r="10992" spans="1:8" x14ac:dyDescent="0.25">
      <c r="A10992" s="1"/>
      <c r="B10992" s="1" t="s">
        <v>5573</v>
      </c>
      <c r="C10992" s="1" t="s">
        <v>5574</v>
      </c>
      <c r="D10992" s="22" t="str">
        <f>HYPERLINK("https://rhld.insurance.arkansas.gov/NPILookup?Npi=1295738680","1295738680")</f>
        <v>1295738680</v>
      </c>
      <c r="E10992" s="1" t="s">
        <v>5586</v>
      </c>
      <c r="F10992" s="2"/>
      <c r="G10992" s="2"/>
      <c r="H10992" s="2"/>
    </row>
    <row r="10993" spans="1:8" x14ac:dyDescent="0.25">
      <c r="A10993" s="1"/>
      <c r="B10993" s="1" t="s">
        <v>5573</v>
      </c>
      <c r="C10993" s="1" t="s">
        <v>5574</v>
      </c>
      <c r="D10993" s="22" t="str">
        <f>HYPERLINK("https://rhld.insurance.arkansas.gov/NPILookup?Npi=1295858975","1295858975")</f>
        <v>1295858975</v>
      </c>
      <c r="E10993" s="1" t="s">
        <v>20251</v>
      </c>
      <c r="F10993" s="2"/>
      <c r="G10993" s="2"/>
      <c r="H10993" s="2"/>
    </row>
    <row r="10994" spans="1:8" x14ac:dyDescent="0.25">
      <c r="A10994" s="1"/>
      <c r="B10994" s="1" t="s">
        <v>5573</v>
      </c>
      <c r="C10994" s="1" t="s">
        <v>5574</v>
      </c>
      <c r="D10994" s="22" t="str">
        <f>HYPERLINK("https://rhld.insurance.arkansas.gov/NPILookup?Npi=1295976272","1295976272")</f>
        <v>1295976272</v>
      </c>
      <c r="E10994" s="1" t="s">
        <v>2280</v>
      </c>
      <c r="F10994" s="2"/>
      <c r="G10994" s="2"/>
      <c r="H10994" s="2"/>
    </row>
    <row r="10995" spans="1:8" x14ac:dyDescent="0.25">
      <c r="A10995" s="1"/>
      <c r="B10995" s="1" t="s">
        <v>5573</v>
      </c>
      <c r="C10995" s="1" t="s">
        <v>5574</v>
      </c>
      <c r="D10995" s="22" t="str">
        <f>HYPERLINK("https://rhld.insurance.arkansas.gov/NPILookup?Npi=1306884853","1306884853")</f>
        <v>1306884853</v>
      </c>
      <c r="E10995" s="1" t="s">
        <v>11194</v>
      </c>
      <c r="F10995" s="2"/>
      <c r="G10995" s="2"/>
      <c r="H10995" s="2"/>
    </row>
    <row r="10996" spans="1:8" x14ac:dyDescent="0.25">
      <c r="A10996" s="1"/>
      <c r="B10996" s="1" t="s">
        <v>5573</v>
      </c>
      <c r="C10996" s="1" t="s">
        <v>5574</v>
      </c>
      <c r="D10996" s="22" t="str">
        <f>HYPERLINK("https://rhld.insurance.arkansas.gov/NPILookup?Npi=1316144041","1316144041")</f>
        <v>1316144041</v>
      </c>
      <c r="E10996" s="1" t="s">
        <v>1719</v>
      </c>
      <c r="F10996" s="2"/>
      <c r="G10996" s="2"/>
      <c r="H10996" s="2"/>
    </row>
    <row r="10997" spans="1:8" x14ac:dyDescent="0.25">
      <c r="A10997" s="1"/>
      <c r="B10997" s="1" t="s">
        <v>5573</v>
      </c>
      <c r="C10997" s="1" t="s">
        <v>5574</v>
      </c>
      <c r="D10997" s="22" t="str">
        <f>HYPERLINK("https://rhld.insurance.arkansas.gov/NPILookup?Npi=1316181662","1316181662")</f>
        <v>1316181662</v>
      </c>
      <c r="E10997" s="1" t="s">
        <v>20252</v>
      </c>
      <c r="F10997" s="2"/>
      <c r="G10997" s="2"/>
      <c r="H10997" s="2"/>
    </row>
    <row r="10998" spans="1:8" x14ac:dyDescent="0.25">
      <c r="A10998" s="1"/>
      <c r="B10998" s="1" t="s">
        <v>5573</v>
      </c>
      <c r="C10998" s="1" t="s">
        <v>5574</v>
      </c>
      <c r="D10998" s="22" t="str">
        <f>HYPERLINK("https://rhld.insurance.arkansas.gov/NPILookup?Npi=1336106681","1336106681")</f>
        <v>1336106681</v>
      </c>
      <c r="E10998" s="1" t="s">
        <v>5587</v>
      </c>
      <c r="F10998" s="2"/>
      <c r="G10998" s="2"/>
      <c r="H10998" s="2"/>
    </row>
    <row r="10999" spans="1:8" x14ac:dyDescent="0.25">
      <c r="A10999" s="1"/>
      <c r="B10999" s="1" t="s">
        <v>5573</v>
      </c>
      <c r="C10999" s="1" t="s">
        <v>5574</v>
      </c>
      <c r="D10999" s="22" t="str">
        <f>HYPERLINK("https://rhld.insurance.arkansas.gov/NPILookup?Npi=1336174242","1336174242")</f>
        <v>1336174242</v>
      </c>
      <c r="E10999" s="1" t="s">
        <v>5588</v>
      </c>
      <c r="F10999" s="2"/>
      <c r="G10999" s="2"/>
      <c r="H10999" s="2"/>
    </row>
    <row r="11000" spans="1:8" x14ac:dyDescent="0.25">
      <c r="A11000" s="1"/>
      <c r="B11000" s="1" t="s">
        <v>5573</v>
      </c>
      <c r="C11000" s="1" t="s">
        <v>5574</v>
      </c>
      <c r="D11000" s="22" t="str">
        <f>HYPERLINK("https://rhld.insurance.arkansas.gov/NPILookup?Npi=1336291038","1336291038")</f>
        <v>1336291038</v>
      </c>
      <c r="E11000" s="1" t="s">
        <v>5589</v>
      </c>
      <c r="F11000" s="2"/>
      <c r="G11000" s="2"/>
      <c r="H11000" s="2"/>
    </row>
    <row r="11001" spans="1:8" x14ac:dyDescent="0.25">
      <c r="A11001" s="1"/>
      <c r="B11001" s="1" t="s">
        <v>5573</v>
      </c>
      <c r="C11001" s="1" t="s">
        <v>5574</v>
      </c>
      <c r="D11001" s="22" t="str">
        <f>HYPERLINK("https://rhld.insurance.arkansas.gov/NPILookup?Npi=1346213311","1346213311")</f>
        <v>1346213311</v>
      </c>
      <c r="E11001" s="1" t="s">
        <v>10649</v>
      </c>
      <c r="F11001" s="2"/>
      <c r="G11001" s="2"/>
      <c r="H11001" s="2"/>
    </row>
    <row r="11002" spans="1:8" x14ac:dyDescent="0.25">
      <c r="A11002" s="1"/>
      <c r="B11002" s="1" t="s">
        <v>5573</v>
      </c>
      <c r="C11002" s="1" t="s">
        <v>5574</v>
      </c>
      <c r="D11002" s="22" t="str">
        <f>HYPERLINK("https://rhld.insurance.arkansas.gov/NPILookup?Npi=1356455463","1356455463")</f>
        <v>1356455463</v>
      </c>
      <c r="E11002" s="1" t="s">
        <v>5590</v>
      </c>
      <c r="F11002" s="2"/>
      <c r="G11002" s="2"/>
      <c r="H11002" s="2"/>
    </row>
    <row r="11003" spans="1:8" x14ac:dyDescent="0.25">
      <c r="A11003" s="1"/>
      <c r="B11003" s="1" t="s">
        <v>5573</v>
      </c>
      <c r="C11003" s="1" t="s">
        <v>5574</v>
      </c>
      <c r="D11003" s="22" t="str">
        <f>HYPERLINK("https://rhld.insurance.arkansas.gov/NPILookup?Npi=1366445835","1366445835")</f>
        <v>1366445835</v>
      </c>
      <c r="E11003" s="1" t="s">
        <v>2430</v>
      </c>
      <c r="F11003" s="2"/>
      <c r="G11003" s="2"/>
      <c r="H11003" s="2"/>
    </row>
    <row r="11004" spans="1:8" x14ac:dyDescent="0.25">
      <c r="A11004" s="1"/>
      <c r="B11004" s="1" t="s">
        <v>5573</v>
      </c>
      <c r="C11004" s="1" t="s">
        <v>5574</v>
      </c>
      <c r="D11004" s="22" t="str">
        <f>HYPERLINK("https://rhld.insurance.arkansas.gov/NPILookup?Npi=1366447401","1366447401")</f>
        <v>1366447401</v>
      </c>
      <c r="E11004" s="1" t="s">
        <v>5591</v>
      </c>
      <c r="F11004" s="2"/>
      <c r="G11004" s="2"/>
      <c r="H11004" s="2"/>
    </row>
    <row r="11005" spans="1:8" x14ac:dyDescent="0.25">
      <c r="A11005" s="1"/>
      <c r="B11005" s="1" t="s">
        <v>5573</v>
      </c>
      <c r="C11005" s="1" t="s">
        <v>5574</v>
      </c>
      <c r="D11005" s="22" t="str">
        <f>HYPERLINK("https://rhld.insurance.arkansas.gov/NPILookup?Npi=1366769069","1366769069")</f>
        <v>1366769069</v>
      </c>
      <c r="E11005" s="1" t="s">
        <v>5592</v>
      </c>
      <c r="F11005" s="2"/>
      <c r="G11005" s="2"/>
      <c r="H11005" s="2"/>
    </row>
    <row r="11006" spans="1:8" x14ac:dyDescent="0.25">
      <c r="A11006" s="1"/>
      <c r="B11006" s="1" t="s">
        <v>5573</v>
      </c>
      <c r="C11006" s="1" t="s">
        <v>5574</v>
      </c>
      <c r="D11006" s="22" t="str">
        <f>HYPERLINK("https://rhld.insurance.arkansas.gov/NPILookup?Npi=1376530550","1376530550")</f>
        <v>1376530550</v>
      </c>
      <c r="E11006" s="1" t="s">
        <v>20253</v>
      </c>
      <c r="F11006" s="2"/>
      <c r="G11006" s="2"/>
      <c r="H11006" s="2"/>
    </row>
    <row r="11007" spans="1:8" x14ac:dyDescent="0.25">
      <c r="A11007" s="1"/>
      <c r="B11007" s="1" t="s">
        <v>5573</v>
      </c>
      <c r="C11007" s="1" t="s">
        <v>5574</v>
      </c>
      <c r="D11007" s="22" t="str">
        <f>HYPERLINK("https://rhld.insurance.arkansas.gov/NPILookup?Npi=1407083058","1407083058")</f>
        <v>1407083058</v>
      </c>
      <c r="E11007" s="1" t="s">
        <v>11195</v>
      </c>
      <c r="F11007" s="2"/>
      <c r="G11007" s="2"/>
      <c r="H11007" s="2"/>
    </row>
    <row r="11008" spans="1:8" x14ac:dyDescent="0.25">
      <c r="A11008" s="1"/>
      <c r="B11008" s="1" t="s">
        <v>5573</v>
      </c>
      <c r="C11008" s="1" t="s">
        <v>5574</v>
      </c>
      <c r="D11008" s="22" t="str">
        <f>HYPERLINK("https://rhld.insurance.arkansas.gov/NPILookup?Npi=1407387053","1407387053")</f>
        <v>1407387053</v>
      </c>
      <c r="E11008" s="1" t="s">
        <v>11196</v>
      </c>
      <c r="F11008" s="2"/>
      <c r="G11008" s="2"/>
      <c r="H11008" s="2"/>
    </row>
    <row r="11009" spans="1:8" x14ac:dyDescent="0.25">
      <c r="A11009" s="1"/>
      <c r="B11009" s="1" t="s">
        <v>5573</v>
      </c>
      <c r="C11009" s="1" t="s">
        <v>5574</v>
      </c>
      <c r="D11009" s="22" t="str">
        <f>HYPERLINK("https://rhld.insurance.arkansas.gov/NPILookup?Npi=1407964208","1407964208")</f>
        <v>1407964208</v>
      </c>
      <c r="E11009" s="1" t="s">
        <v>20254</v>
      </c>
      <c r="F11009" s="2"/>
      <c r="G11009" s="2"/>
      <c r="H11009" s="2"/>
    </row>
    <row r="11010" spans="1:8" x14ac:dyDescent="0.25">
      <c r="A11010" s="1"/>
      <c r="B11010" s="1" t="s">
        <v>5573</v>
      </c>
      <c r="C11010" s="1" t="s">
        <v>5574</v>
      </c>
      <c r="D11010" s="22" t="str">
        <f>HYPERLINK("https://rhld.insurance.arkansas.gov/NPILookup?Npi=1417151481","1417151481")</f>
        <v>1417151481</v>
      </c>
      <c r="E11010" s="1" t="s">
        <v>20255</v>
      </c>
      <c r="F11010" s="2"/>
      <c r="G11010" s="2"/>
      <c r="H11010" s="2"/>
    </row>
    <row r="11011" spans="1:8" x14ac:dyDescent="0.25">
      <c r="A11011" s="1"/>
      <c r="B11011" s="1" t="s">
        <v>5573</v>
      </c>
      <c r="C11011" s="1" t="s">
        <v>5574</v>
      </c>
      <c r="D11011" s="22" t="str">
        <f>HYPERLINK("https://rhld.insurance.arkansas.gov/NPILookup?Npi=1417311762","1417311762")</f>
        <v>1417311762</v>
      </c>
      <c r="E11011" s="1" t="s">
        <v>20256</v>
      </c>
      <c r="F11011" s="2"/>
      <c r="G11011" s="2"/>
      <c r="H11011" s="2"/>
    </row>
    <row r="11012" spans="1:8" x14ac:dyDescent="0.25">
      <c r="A11012" s="1"/>
      <c r="B11012" s="1" t="s">
        <v>5573</v>
      </c>
      <c r="C11012" s="1" t="s">
        <v>5574</v>
      </c>
      <c r="D11012" s="22" t="str">
        <f>HYPERLINK("https://rhld.insurance.arkansas.gov/NPILookup?Npi=1417901570","1417901570")</f>
        <v>1417901570</v>
      </c>
      <c r="E11012" s="1" t="s">
        <v>20257</v>
      </c>
      <c r="F11012" s="2"/>
      <c r="G11012" s="2"/>
      <c r="H11012" s="2"/>
    </row>
    <row r="11013" spans="1:8" x14ac:dyDescent="0.25">
      <c r="A11013" s="1"/>
      <c r="B11013" s="1" t="s">
        <v>5573</v>
      </c>
      <c r="C11013" s="1" t="s">
        <v>5574</v>
      </c>
      <c r="D11013" s="22" t="str">
        <f>HYPERLINK("https://rhld.insurance.arkansas.gov/NPILookup?Npi=1437154630","1437154630")</f>
        <v>1437154630</v>
      </c>
      <c r="E11013" s="1" t="s">
        <v>20258</v>
      </c>
      <c r="F11013" s="2"/>
      <c r="G11013" s="2"/>
      <c r="H11013" s="2"/>
    </row>
    <row r="11014" spans="1:8" x14ac:dyDescent="0.25">
      <c r="A11014" s="1"/>
      <c r="B11014" s="1" t="s">
        <v>5573</v>
      </c>
      <c r="C11014" s="1" t="s">
        <v>5574</v>
      </c>
      <c r="D11014" s="22" t="str">
        <f>HYPERLINK("https://rhld.insurance.arkansas.gov/NPILookup?Npi=1447273107","1447273107")</f>
        <v>1447273107</v>
      </c>
      <c r="E11014" s="1" t="s">
        <v>20259</v>
      </c>
      <c r="F11014" s="2"/>
      <c r="G11014" s="2"/>
      <c r="H11014" s="2"/>
    </row>
    <row r="11015" spans="1:8" x14ac:dyDescent="0.25">
      <c r="A11015" s="1"/>
      <c r="B11015" s="1" t="s">
        <v>5573</v>
      </c>
      <c r="C11015" s="1" t="s">
        <v>5574</v>
      </c>
      <c r="D11015" s="22" t="str">
        <f>HYPERLINK("https://rhld.insurance.arkansas.gov/NPILookup?Npi=1457367526","1457367526")</f>
        <v>1457367526</v>
      </c>
      <c r="E11015" s="1" t="s">
        <v>5593</v>
      </c>
      <c r="F11015" s="2"/>
      <c r="G11015" s="2"/>
      <c r="H11015" s="2"/>
    </row>
    <row r="11016" spans="1:8" x14ac:dyDescent="0.25">
      <c r="A11016" s="1"/>
      <c r="B11016" s="1" t="s">
        <v>5573</v>
      </c>
      <c r="C11016" s="1" t="s">
        <v>5574</v>
      </c>
      <c r="D11016" s="22" t="str">
        <f>HYPERLINK("https://rhld.insurance.arkansas.gov/NPILookup?Npi=1457649709","1457649709")</f>
        <v>1457649709</v>
      </c>
      <c r="E11016" s="1" t="s">
        <v>5594</v>
      </c>
      <c r="F11016" s="2"/>
      <c r="G11016" s="2"/>
      <c r="H11016" s="2"/>
    </row>
    <row r="11017" spans="1:8" x14ac:dyDescent="0.25">
      <c r="A11017" s="1"/>
      <c r="B11017" s="1" t="s">
        <v>5573</v>
      </c>
      <c r="C11017" s="1" t="s">
        <v>5574</v>
      </c>
      <c r="D11017" s="22" t="str">
        <f>HYPERLINK("https://rhld.insurance.arkansas.gov/NPILookup?Npi=1457814774","1457814774")</f>
        <v>1457814774</v>
      </c>
      <c r="E11017" s="1" t="s">
        <v>31757</v>
      </c>
      <c r="F11017" s="2"/>
      <c r="G11017" s="2"/>
      <c r="H11017" s="2"/>
    </row>
    <row r="11018" spans="1:8" x14ac:dyDescent="0.25">
      <c r="A11018" s="1"/>
      <c r="B11018" s="1" t="s">
        <v>5573</v>
      </c>
      <c r="C11018" s="1" t="s">
        <v>5574</v>
      </c>
      <c r="D11018" s="22" t="str">
        <f>HYPERLINK("https://rhld.insurance.arkansas.gov/NPILookup?Npi=1457880353","1457880353")</f>
        <v>1457880353</v>
      </c>
      <c r="E11018" s="1" t="s">
        <v>5168</v>
      </c>
      <c r="F11018" s="2"/>
      <c r="G11018" s="2"/>
      <c r="H11018" s="2"/>
    </row>
    <row r="11019" spans="1:8" x14ac:dyDescent="0.25">
      <c r="A11019" s="1"/>
      <c r="B11019" s="1" t="s">
        <v>5573</v>
      </c>
      <c r="C11019" s="1" t="s">
        <v>5574</v>
      </c>
      <c r="D11019" s="22" t="str">
        <f>HYPERLINK("https://rhld.insurance.arkansas.gov/NPILookup?Npi=1467567867","1467567867")</f>
        <v>1467567867</v>
      </c>
      <c r="E11019" s="1" t="s">
        <v>20260</v>
      </c>
      <c r="F11019" s="2"/>
      <c r="G11019" s="2"/>
      <c r="H11019" s="2"/>
    </row>
    <row r="11020" spans="1:8" x14ac:dyDescent="0.25">
      <c r="A11020" s="1"/>
      <c r="B11020" s="1" t="s">
        <v>5573</v>
      </c>
      <c r="C11020" s="1" t="s">
        <v>5574</v>
      </c>
      <c r="D11020" s="22" t="str">
        <f>HYPERLINK("https://rhld.insurance.arkansas.gov/NPILookup?Npi=1477828796","1477828796")</f>
        <v>1477828796</v>
      </c>
      <c r="E11020" s="1" t="s">
        <v>5595</v>
      </c>
      <c r="F11020" s="2"/>
      <c r="G11020" s="2"/>
      <c r="H11020" s="2"/>
    </row>
    <row r="11021" spans="1:8" x14ac:dyDescent="0.25">
      <c r="A11021" s="1"/>
      <c r="B11021" s="1" t="s">
        <v>5573</v>
      </c>
      <c r="C11021" s="1" t="s">
        <v>5574</v>
      </c>
      <c r="D11021" s="22" t="str">
        <f>HYPERLINK("https://rhld.insurance.arkansas.gov/NPILookup?Npi=1477936128","1477936128")</f>
        <v>1477936128</v>
      </c>
      <c r="E11021" s="1" t="s">
        <v>5596</v>
      </c>
      <c r="F11021" s="2"/>
      <c r="G11021" s="2"/>
      <c r="H11021" s="2"/>
    </row>
    <row r="11022" spans="1:8" x14ac:dyDescent="0.25">
      <c r="A11022" s="1"/>
      <c r="B11022" s="1" t="s">
        <v>5573</v>
      </c>
      <c r="C11022" s="1" t="s">
        <v>5574</v>
      </c>
      <c r="D11022" s="22" t="str">
        <f>HYPERLINK("https://rhld.insurance.arkansas.gov/NPILookup?Npi=1487896973","1487896973")</f>
        <v>1487896973</v>
      </c>
      <c r="E11022" s="1" t="s">
        <v>11197</v>
      </c>
      <c r="F11022" s="2"/>
      <c r="G11022" s="2"/>
      <c r="H11022" s="2"/>
    </row>
    <row r="11023" spans="1:8" x14ac:dyDescent="0.25">
      <c r="A11023" s="1"/>
      <c r="B11023" s="1" t="s">
        <v>5573</v>
      </c>
      <c r="C11023" s="1" t="s">
        <v>5574</v>
      </c>
      <c r="D11023" s="22" t="str">
        <f>HYPERLINK("https://rhld.insurance.arkansas.gov/NPILookup?Npi=1487942413","1487942413")</f>
        <v>1487942413</v>
      </c>
      <c r="E11023" s="1" t="s">
        <v>20261</v>
      </c>
      <c r="F11023" s="2"/>
      <c r="G11023" s="2"/>
      <c r="H11023" s="2"/>
    </row>
    <row r="11024" spans="1:8" x14ac:dyDescent="0.25">
      <c r="A11024" s="1"/>
      <c r="B11024" s="1" t="s">
        <v>5573</v>
      </c>
      <c r="C11024" s="1" t="s">
        <v>5574</v>
      </c>
      <c r="D11024" s="22" t="str">
        <f>HYPERLINK("https://rhld.insurance.arkansas.gov/NPILookup?Npi=1497997050","1497997050")</f>
        <v>1497997050</v>
      </c>
      <c r="E11024" s="1" t="s">
        <v>5597</v>
      </c>
      <c r="F11024" s="2"/>
      <c r="G11024" s="2"/>
      <c r="H11024" s="2"/>
    </row>
    <row r="11025" spans="1:8" x14ac:dyDescent="0.25">
      <c r="A11025" s="1"/>
      <c r="B11025" s="1" t="s">
        <v>5573</v>
      </c>
      <c r="C11025" s="1" t="s">
        <v>5574</v>
      </c>
      <c r="D11025" s="22" t="str">
        <f>HYPERLINK("https://rhld.insurance.arkansas.gov/NPILookup?Npi=1508153685","1508153685")</f>
        <v>1508153685</v>
      </c>
      <c r="E11025" s="1" t="s">
        <v>5598</v>
      </c>
      <c r="F11025" s="2"/>
      <c r="G11025" s="2"/>
      <c r="H11025" s="2"/>
    </row>
    <row r="11026" spans="1:8" x14ac:dyDescent="0.25">
      <c r="A11026" s="1"/>
      <c r="B11026" s="1" t="s">
        <v>5573</v>
      </c>
      <c r="C11026" s="1" t="s">
        <v>5574</v>
      </c>
      <c r="D11026" s="22" t="str">
        <f>HYPERLINK("https://rhld.insurance.arkansas.gov/NPILookup?Npi=1508839572","1508839572")</f>
        <v>1508839572</v>
      </c>
      <c r="E11026" s="1" t="s">
        <v>20141</v>
      </c>
      <c r="F11026" s="2"/>
      <c r="G11026" s="2"/>
      <c r="H11026" s="2"/>
    </row>
    <row r="11027" spans="1:8" x14ac:dyDescent="0.25">
      <c r="A11027" s="1"/>
      <c r="B11027" s="1" t="s">
        <v>5573</v>
      </c>
      <c r="C11027" s="1" t="s">
        <v>5574</v>
      </c>
      <c r="D11027" s="22" t="str">
        <f>HYPERLINK("https://rhld.insurance.arkansas.gov/NPILookup?Npi=1508971995","1508971995")</f>
        <v>1508971995</v>
      </c>
      <c r="E11027" s="1" t="s">
        <v>20262</v>
      </c>
      <c r="F11027" s="2"/>
      <c r="G11027" s="2"/>
      <c r="H11027" s="2"/>
    </row>
    <row r="11028" spans="1:8" x14ac:dyDescent="0.25">
      <c r="A11028" s="1"/>
      <c r="B11028" s="1" t="s">
        <v>5573</v>
      </c>
      <c r="C11028" s="1" t="s">
        <v>5574</v>
      </c>
      <c r="D11028" s="22" t="str">
        <f>HYPERLINK("https://rhld.insurance.arkansas.gov/NPILookup?Npi=1518960392","1518960392")</f>
        <v>1518960392</v>
      </c>
      <c r="E11028" s="1" t="s">
        <v>20263</v>
      </c>
      <c r="F11028" s="2"/>
      <c r="G11028" s="2"/>
      <c r="H11028" s="2"/>
    </row>
    <row r="11029" spans="1:8" x14ac:dyDescent="0.25">
      <c r="A11029" s="1"/>
      <c r="B11029" s="1" t="s">
        <v>5573</v>
      </c>
      <c r="C11029" s="1" t="s">
        <v>5574</v>
      </c>
      <c r="D11029" s="22" t="str">
        <f>HYPERLINK("https://rhld.insurance.arkansas.gov/NPILookup?Npi=1528012820","1528012820")</f>
        <v>1528012820</v>
      </c>
      <c r="E11029" s="1" t="s">
        <v>5599</v>
      </c>
      <c r="F11029" s="2"/>
      <c r="G11029" s="2"/>
      <c r="H11029" s="2"/>
    </row>
    <row r="11030" spans="1:8" x14ac:dyDescent="0.25">
      <c r="A11030" s="1"/>
      <c r="B11030" s="1" t="s">
        <v>5573</v>
      </c>
      <c r="C11030" s="1" t="s">
        <v>5574</v>
      </c>
      <c r="D11030" s="22" t="str">
        <f>HYPERLINK("https://rhld.insurance.arkansas.gov/NPILookup?Npi=1528390200","1528390200")</f>
        <v>1528390200</v>
      </c>
      <c r="E11030" s="1" t="s">
        <v>966</v>
      </c>
      <c r="F11030" s="2"/>
      <c r="G11030" s="2"/>
      <c r="H11030" s="2"/>
    </row>
    <row r="11031" spans="1:8" x14ac:dyDescent="0.25">
      <c r="A11031" s="1"/>
      <c r="B11031" s="1" t="s">
        <v>5573</v>
      </c>
      <c r="C11031" s="1" t="s">
        <v>5574</v>
      </c>
      <c r="D11031" s="22" t="str">
        <f>HYPERLINK("https://rhld.insurance.arkansas.gov/NPILookup?Npi=1538162797","1538162797")</f>
        <v>1538162797</v>
      </c>
      <c r="E11031" s="1" t="s">
        <v>20264</v>
      </c>
      <c r="F11031" s="2"/>
      <c r="G11031" s="2"/>
      <c r="H11031" s="2"/>
    </row>
    <row r="11032" spans="1:8" x14ac:dyDescent="0.25">
      <c r="A11032" s="1"/>
      <c r="B11032" s="1" t="s">
        <v>5573</v>
      </c>
      <c r="C11032" s="1" t="s">
        <v>5574</v>
      </c>
      <c r="D11032" s="22" t="str">
        <f>HYPERLINK("https://rhld.insurance.arkansas.gov/NPILookup?Npi=1548218381","1548218381")</f>
        <v>1548218381</v>
      </c>
      <c r="E11032" s="1" t="s">
        <v>5600</v>
      </c>
      <c r="F11032" s="2"/>
      <c r="G11032" s="2"/>
      <c r="H11032" s="2"/>
    </row>
    <row r="11033" spans="1:8" x14ac:dyDescent="0.25">
      <c r="A11033" s="1"/>
      <c r="B11033" s="1" t="s">
        <v>5573</v>
      </c>
      <c r="C11033" s="1" t="s">
        <v>5574</v>
      </c>
      <c r="D11033" s="22" t="str">
        <f>HYPERLINK("https://rhld.insurance.arkansas.gov/NPILookup?Npi=1548264971","1548264971")</f>
        <v>1548264971</v>
      </c>
      <c r="E11033" s="1" t="s">
        <v>11198</v>
      </c>
      <c r="F11033" s="2"/>
      <c r="G11033" s="2"/>
      <c r="H11033" s="2"/>
    </row>
    <row r="11034" spans="1:8" x14ac:dyDescent="0.25">
      <c r="A11034" s="1"/>
      <c r="B11034" s="1" t="s">
        <v>5573</v>
      </c>
      <c r="C11034" s="1" t="s">
        <v>5574</v>
      </c>
      <c r="D11034" s="22" t="str">
        <f>HYPERLINK("https://rhld.insurance.arkansas.gov/NPILookup?Npi=1548552037","1548552037")</f>
        <v>1548552037</v>
      </c>
      <c r="E11034" s="1" t="s">
        <v>5601</v>
      </c>
      <c r="F11034" s="2"/>
      <c r="G11034" s="2"/>
      <c r="H11034" s="2"/>
    </row>
    <row r="11035" spans="1:8" x14ac:dyDescent="0.25">
      <c r="A11035" s="1"/>
      <c r="B11035" s="1" t="s">
        <v>5573</v>
      </c>
      <c r="C11035" s="1" t="s">
        <v>5574</v>
      </c>
      <c r="D11035" s="22" t="str">
        <f>HYPERLINK("https://rhld.insurance.arkansas.gov/NPILookup?Npi=1558329169","1558329169")</f>
        <v>1558329169</v>
      </c>
      <c r="E11035" s="1" t="s">
        <v>20265</v>
      </c>
      <c r="F11035" s="2"/>
      <c r="G11035" s="2"/>
      <c r="H11035" s="2"/>
    </row>
    <row r="11036" spans="1:8" x14ac:dyDescent="0.25">
      <c r="A11036" s="1"/>
      <c r="B11036" s="1" t="s">
        <v>5573</v>
      </c>
      <c r="C11036" s="1" t="s">
        <v>5574</v>
      </c>
      <c r="D11036" s="22" t="str">
        <f>HYPERLINK("https://rhld.insurance.arkansas.gov/NPILookup?Npi=1558578666","1558578666")</f>
        <v>1558578666</v>
      </c>
      <c r="E11036" s="1" t="s">
        <v>20266</v>
      </c>
      <c r="F11036" s="2"/>
      <c r="G11036" s="2"/>
      <c r="H11036" s="2"/>
    </row>
    <row r="11037" spans="1:8" x14ac:dyDescent="0.25">
      <c r="A11037" s="1"/>
      <c r="B11037" s="1" t="s">
        <v>5573</v>
      </c>
      <c r="C11037" s="1" t="s">
        <v>5574</v>
      </c>
      <c r="D11037" s="22" t="str">
        <f>HYPERLINK("https://rhld.insurance.arkansas.gov/NPILookup?Npi=1558742346","1558742346")</f>
        <v>1558742346</v>
      </c>
      <c r="E11037" s="1" t="s">
        <v>5602</v>
      </c>
      <c r="F11037" s="2"/>
      <c r="G11037" s="2"/>
      <c r="H11037" s="2"/>
    </row>
    <row r="11038" spans="1:8" x14ac:dyDescent="0.25">
      <c r="A11038" s="1"/>
      <c r="B11038" s="1" t="s">
        <v>5573</v>
      </c>
      <c r="C11038" s="1" t="s">
        <v>5574</v>
      </c>
      <c r="D11038" s="22" t="str">
        <f>HYPERLINK("https://rhld.insurance.arkansas.gov/NPILookup?Npi=1568494631","1568494631")</f>
        <v>1568494631</v>
      </c>
      <c r="E11038" s="1" t="s">
        <v>20267</v>
      </c>
      <c r="F11038" s="2"/>
      <c r="G11038" s="2"/>
      <c r="H11038" s="2"/>
    </row>
    <row r="11039" spans="1:8" x14ac:dyDescent="0.25">
      <c r="A11039" s="1"/>
      <c r="B11039" s="1" t="s">
        <v>5573</v>
      </c>
      <c r="C11039" s="1" t="s">
        <v>5574</v>
      </c>
      <c r="D11039" s="22" t="str">
        <f>HYPERLINK("https://rhld.insurance.arkansas.gov/NPILookup?Npi=1568676948","1568676948")</f>
        <v>1568676948</v>
      </c>
      <c r="E11039" s="1" t="s">
        <v>5603</v>
      </c>
      <c r="F11039" s="2"/>
      <c r="G11039" s="2"/>
      <c r="H11039" s="2"/>
    </row>
    <row r="11040" spans="1:8" x14ac:dyDescent="0.25">
      <c r="A11040" s="1"/>
      <c r="B11040" s="1" t="s">
        <v>5573</v>
      </c>
      <c r="C11040" s="1" t="s">
        <v>5574</v>
      </c>
      <c r="D11040" s="22" t="str">
        <f>HYPERLINK("https://rhld.insurance.arkansas.gov/NPILookup?Npi=1578502324","1578502324")</f>
        <v>1578502324</v>
      </c>
      <c r="E11040" s="1" t="s">
        <v>3456</v>
      </c>
      <c r="F11040" s="2"/>
      <c r="G11040" s="2"/>
      <c r="H11040" s="2"/>
    </row>
    <row r="11041" spans="1:8" x14ac:dyDescent="0.25">
      <c r="A11041" s="1"/>
      <c r="B11041" s="1" t="s">
        <v>5573</v>
      </c>
      <c r="C11041" s="1" t="s">
        <v>5574</v>
      </c>
      <c r="D11041" s="22" t="str">
        <f>HYPERLINK("https://rhld.insurance.arkansas.gov/NPILookup?Npi=1578538575","1578538575")</f>
        <v>1578538575</v>
      </c>
      <c r="E11041" s="1" t="s">
        <v>10197</v>
      </c>
      <c r="F11041" s="2"/>
      <c r="G11041" s="2"/>
      <c r="H11041" s="2"/>
    </row>
    <row r="11042" spans="1:8" x14ac:dyDescent="0.25">
      <c r="A11042" s="1"/>
      <c r="B11042" s="1" t="s">
        <v>5573</v>
      </c>
      <c r="C11042" s="1" t="s">
        <v>5574</v>
      </c>
      <c r="D11042" s="22" t="str">
        <f>HYPERLINK("https://rhld.insurance.arkansas.gov/NPILookup?Npi=1578550851","1578550851")</f>
        <v>1578550851</v>
      </c>
      <c r="E11042" s="1" t="s">
        <v>20268</v>
      </c>
      <c r="F11042" s="2"/>
      <c r="G11042" s="2"/>
      <c r="H11042" s="2"/>
    </row>
    <row r="11043" spans="1:8" x14ac:dyDescent="0.25">
      <c r="A11043" s="1"/>
      <c r="B11043" s="1" t="s">
        <v>5573</v>
      </c>
      <c r="C11043" s="1" t="s">
        <v>5574</v>
      </c>
      <c r="D11043" s="22" t="str">
        <f>HYPERLINK("https://rhld.insurance.arkansas.gov/NPILookup?Npi=1588649396","1588649396")</f>
        <v>1588649396</v>
      </c>
      <c r="E11043" s="1" t="s">
        <v>17684</v>
      </c>
      <c r="F11043" s="2"/>
      <c r="G11043" s="2"/>
      <c r="H11043" s="2"/>
    </row>
    <row r="11044" spans="1:8" x14ac:dyDescent="0.25">
      <c r="A11044" s="1"/>
      <c r="B11044" s="1" t="s">
        <v>5573</v>
      </c>
      <c r="C11044" s="1" t="s">
        <v>5574</v>
      </c>
      <c r="D11044" s="22" t="str">
        <f>HYPERLINK("https://rhld.insurance.arkansas.gov/NPILookup?Npi=1598847188","1598847188")</f>
        <v>1598847188</v>
      </c>
      <c r="E11044" s="1" t="s">
        <v>17701</v>
      </c>
      <c r="F11044" s="2"/>
      <c r="G11044" s="2"/>
      <c r="H11044" s="2"/>
    </row>
    <row r="11045" spans="1:8" x14ac:dyDescent="0.25">
      <c r="A11045" s="1"/>
      <c r="B11045" s="1" t="s">
        <v>5573</v>
      </c>
      <c r="C11045" s="1" t="s">
        <v>5574</v>
      </c>
      <c r="D11045" s="22" t="str">
        <f>HYPERLINK("https://rhld.insurance.arkansas.gov/NPILookup?Npi=1619339868","1619339868")</f>
        <v>1619339868</v>
      </c>
      <c r="E11045" s="1" t="s">
        <v>20269</v>
      </c>
      <c r="F11045" s="2"/>
      <c r="G11045" s="2"/>
      <c r="H11045" s="2"/>
    </row>
    <row r="11046" spans="1:8" x14ac:dyDescent="0.25">
      <c r="A11046" s="1"/>
      <c r="B11046" s="1" t="s">
        <v>5573</v>
      </c>
      <c r="C11046" s="1" t="s">
        <v>5574</v>
      </c>
      <c r="D11046" s="22" t="str">
        <f>HYPERLINK("https://rhld.insurance.arkansas.gov/NPILookup?Npi=1619927241","1619927241")</f>
        <v>1619927241</v>
      </c>
      <c r="E11046" s="1" t="s">
        <v>20270</v>
      </c>
      <c r="F11046" s="2"/>
      <c r="G11046" s="2"/>
      <c r="H11046" s="2"/>
    </row>
    <row r="11047" spans="1:8" x14ac:dyDescent="0.25">
      <c r="A11047" s="1"/>
      <c r="B11047" s="1" t="s">
        <v>5573</v>
      </c>
      <c r="C11047" s="1" t="s">
        <v>5574</v>
      </c>
      <c r="D11047" s="22" t="str">
        <f>HYPERLINK("https://rhld.insurance.arkansas.gov/NPILookup?Npi=1639478837","1639478837")</f>
        <v>1639478837</v>
      </c>
      <c r="E11047" s="1" t="s">
        <v>5604</v>
      </c>
      <c r="F11047" s="2"/>
      <c r="G11047" s="2"/>
      <c r="H11047" s="2"/>
    </row>
    <row r="11048" spans="1:8" x14ac:dyDescent="0.25">
      <c r="A11048" s="1"/>
      <c r="B11048" s="1" t="s">
        <v>5573</v>
      </c>
      <c r="C11048" s="1" t="s">
        <v>5574</v>
      </c>
      <c r="D11048" s="22" t="str">
        <f>HYPERLINK("https://rhld.insurance.arkansas.gov/NPILookup?Npi=1639515059","1639515059")</f>
        <v>1639515059</v>
      </c>
      <c r="E11048" s="1" t="s">
        <v>11199</v>
      </c>
      <c r="F11048" s="2"/>
      <c r="G11048" s="2"/>
      <c r="H11048" s="2"/>
    </row>
    <row r="11049" spans="1:8" x14ac:dyDescent="0.25">
      <c r="A11049" s="1"/>
      <c r="B11049" s="1" t="s">
        <v>5573</v>
      </c>
      <c r="C11049" s="1" t="s">
        <v>5574</v>
      </c>
      <c r="D11049" s="22" t="str">
        <f>HYPERLINK("https://rhld.insurance.arkansas.gov/NPILookup?Npi=1649267824","1649267824")</f>
        <v>1649267824</v>
      </c>
      <c r="E11049" s="1" t="s">
        <v>20169</v>
      </c>
      <c r="F11049" s="2"/>
      <c r="G11049" s="2"/>
      <c r="H11049" s="2"/>
    </row>
    <row r="11050" spans="1:8" x14ac:dyDescent="0.25">
      <c r="A11050" s="1"/>
      <c r="B11050" s="1" t="s">
        <v>5573</v>
      </c>
      <c r="C11050" s="1" t="s">
        <v>5574</v>
      </c>
      <c r="D11050" s="22" t="str">
        <f>HYPERLINK("https://rhld.insurance.arkansas.gov/NPILookup?Npi=1649764283","1649764283")</f>
        <v>1649764283</v>
      </c>
      <c r="E11050" s="1" t="s">
        <v>20271</v>
      </c>
      <c r="F11050" s="2"/>
      <c r="G11050" s="2"/>
      <c r="H11050" s="2"/>
    </row>
    <row r="11051" spans="1:8" x14ac:dyDescent="0.25">
      <c r="A11051" s="1"/>
      <c r="B11051" s="1" t="s">
        <v>5573</v>
      </c>
      <c r="C11051" s="1" t="s">
        <v>5574</v>
      </c>
      <c r="D11051" s="22" t="str">
        <f>HYPERLINK("https://rhld.insurance.arkansas.gov/NPILookup?Npi=1659320083","1659320083")</f>
        <v>1659320083</v>
      </c>
      <c r="E11051" s="1" t="s">
        <v>20272</v>
      </c>
      <c r="F11051" s="2"/>
      <c r="G11051" s="2"/>
      <c r="H11051" s="2"/>
    </row>
    <row r="11052" spans="1:8" x14ac:dyDescent="0.25">
      <c r="A11052" s="1"/>
      <c r="B11052" s="1" t="s">
        <v>5573</v>
      </c>
      <c r="C11052" s="1" t="s">
        <v>5574</v>
      </c>
      <c r="D11052" s="22" t="str">
        <f>HYPERLINK("https://rhld.insurance.arkansas.gov/NPILookup?Npi=1659506517","1659506517")</f>
        <v>1659506517</v>
      </c>
      <c r="E11052" s="1" t="s">
        <v>11200</v>
      </c>
      <c r="F11052" s="2"/>
      <c r="G11052" s="2"/>
      <c r="H11052" s="2"/>
    </row>
    <row r="11053" spans="1:8" x14ac:dyDescent="0.25">
      <c r="A11053" s="1"/>
      <c r="B11053" s="1" t="s">
        <v>5573</v>
      </c>
      <c r="C11053" s="1" t="s">
        <v>5574</v>
      </c>
      <c r="D11053" s="22" t="str">
        <f>HYPERLINK("https://rhld.insurance.arkansas.gov/NPILookup?Npi=1669444246","1669444246")</f>
        <v>1669444246</v>
      </c>
      <c r="E11053" s="1" t="s">
        <v>5605</v>
      </c>
      <c r="F11053" s="2"/>
      <c r="G11053" s="2"/>
      <c r="H11053" s="2"/>
    </row>
    <row r="11054" spans="1:8" x14ac:dyDescent="0.25">
      <c r="A11054" s="1"/>
      <c r="B11054" s="1" t="s">
        <v>5573</v>
      </c>
      <c r="C11054" s="1" t="s">
        <v>5574</v>
      </c>
      <c r="D11054" s="22" t="str">
        <f>HYPERLINK("https://rhld.insurance.arkansas.gov/NPILookup?Npi=1669556684","1669556684")</f>
        <v>1669556684</v>
      </c>
      <c r="E11054" s="1" t="s">
        <v>20273</v>
      </c>
      <c r="F11054" s="2"/>
      <c r="G11054" s="2"/>
      <c r="H11054" s="2"/>
    </row>
    <row r="11055" spans="1:8" x14ac:dyDescent="0.25">
      <c r="A11055" s="1"/>
      <c r="B11055" s="1" t="s">
        <v>5573</v>
      </c>
      <c r="C11055" s="1" t="s">
        <v>5574</v>
      </c>
      <c r="D11055" s="22" t="str">
        <f>HYPERLINK("https://rhld.insurance.arkansas.gov/NPILookup?Npi=1689659039","1689659039")</f>
        <v>1689659039</v>
      </c>
      <c r="E11055" s="1" t="s">
        <v>5606</v>
      </c>
      <c r="F11055" s="2"/>
      <c r="G11055" s="2"/>
      <c r="H11055" s="2"/>
    </row>
    <row r="11056" spans="1:8" x14ac:dyDescent="0.25">
      <c r="A11056" s="1"/>
      <c r="B11056" s="1" t="s">
        <v>5573</v>
      </c>
      <c r="C11056" s="1" t="s">
        <v>5574</v>
      </c>
      <c r="D11056" s="22" t="str">
        <f>HYPERLINK("https://rhld.insurance.arkansas.gov/NPILookup?Npi=1689899676","1689899676")</f>
        <v>1689899676</v>
      </c>
      <c r="E11056" s="1" t="s">
        <v>20274</v>
      </c>
      <c r="F11056" s="2"/>
      <c r="G11056" s="2"/>
      <c r="H11056" s="2"/>
    </row>
    <row r="11057" spans="1:8" x14ac:dyDescent="0.25">
      <c r="A11057" s="1"/>
      <c r="B11057" s="1" t="s">
        <v>5573</v>
      </c>
      <c r="C11057" s="1" t="s">
        <v>5574</v>
      </c>
      <c r="D11057" s="22" t="str">
        <f>HYPERLINK("https://rhld.insurance.arkansas.gov/NPILookup?Npi=1699064337","1699064337")</f>
        <v>1699064337</v>
      </c>
      <c r="E11057" s="1" t="s">
        <v>11201</v>
      </c>
      <c r="F11057" s="2"/>
      <c r="G11057" s="2"/>
      <c r="H11057" s="2"/>
    </row>
    <row r="11058" spans="1:8" x14ac:dyDescent="0.25">
      <c r="A11058" s="1"/>
      <c r="B11058" s="1" t="s">
        <v>5573</v>
      </c>
      <c r="C11058" s="1" t="s">
        <v>5574</v>
      </c>
      <c r="D11058" s="22" t="str">
        <f>HYPERLINK("https://rhld.insurance.arkansas.gov/NPILookup?Npi=1699777854","1699777854")</f>
        <v>1699777854</v>
      </c>
      <c r="E11058" s="1" t="s">
        <v>20275</v>
      </c>
      <c r="F11058" s="2"/>
      <c r="G11058" s="2"/>
      <c r="H11058" s="2"/>
    </row>
    <row r="11059" spans="1:8" x14ac:dyDescent="0.25">
      <c r="A11059" s="1"/>
      <c r="B11059" s="1" t="s">
        <v>5573</v>
      </c>
      <c r="C11059" s="1" t="s">
        <v>5574</v>
      </c>
      <c r="D11059" s="22" t="str">
        <f>HYPERLINK("https://rhld.insurance.arkansas.gov/NPILookup?Npi=1699782912","1699782912")</f>
        <v>1699782912</v>
      </c>
      <c r="E11059" s="1" t="s">
        <v>20276</v>
      </c>
      <c r="F11059" s="2"/>
      <c r="G11059" s="2"/>
      <c r="H11059" s="2"/>
    </row>
    <row r="11060" spans="1:8" x14ac:dyDescent="0.25">
      <c r="A11060" s="1"/>
      <c r="B11060" s="1" t="s">
        <v>5573</v>
      </c>
      <c r="C11060" s="1" t="s">
        <v>5574</v>
      </c>
      <c r="D11060" s="22" t="str">
        <f>HYPERLINK("https://rhld.insurance.arkansas.gov/NPILookup?Npi=1699823468","1699823468")</f>
        <v>1699823468</v>
      </c>
      <c r="E11060" s="1" t="s">
        <v>20277</v>
      </c>
      <c r="F11060" s="2"/>
      <c r="G11060" s="2"/>
      <c r="H11060" s="2"/>
    </row>
    <row r="11061" spans="1:8" x14ac:dyDescent="0.25">
      <c r="A11061" s="1"/>
      <c r="B11061" s="1" t="s">
        <v>5573</v>
      </c>
      <c r="C11061" s="1" t="s">
        <v>5574</v>
      </c>
      <c r="D11061" s="22" t="str">
        <f>HYPERLINK("https://rhld.insurance.arkansas.gov/NPILookup?Npi=1710093166","1710093166")</f>
        <v>1710093166</v>
      </c>
      <c r="E11061" s="1" t="s">
        <v>31758</v>
      </c>
      <c r="F11061" s="2"/>
      <c r="G11061" s="2"/>
      <c r="H11061" s="2"/>
    </row>
    <row r="11062" spans="1:8" x14ac:dyDescent="0.25">
      <c r="A11062" s="1"/>
      <c r="B11062" s="1" t="s">
        <v>5573</v>
      </c>
      <c r="C11062" s="1" t="s">
        <v>5574</v>
      </c>
      <c r="D11062" s="22" t="str">
        <f>HYPERLINK("https://rhld.insurance.arkansas.gov/NPILookup?Npi=1710997655","1710997655")</f>
        <v>1710997655</v>
      </c>
      <c r="E11062" s="1" t="s">
        <v>11202</v>
      </c>
      <c r="F11062" s="2"/>
      <c r="G11062" s="2"/>
      <c r="H11062" s="2"/>
    </row>
    <row r="11063" spans="1:8" x14ac:dyDescent="0.25">
      <c r="A11063" s="1"/>
      <c r="B11063" s="1" t="s">
        <v>5573</v>
      </c>
      <c r="C11063" s="1" t="s">
        <v>5574</v>
      </c>
      <c r="D11063" s="22" t="str">
        <f>HYPERLINK("https://rhld.insurance.arkansas.gov/NPILookup?Npi=1720287048","1720287048")</f>
        <v>1720287048</v>
      </c>
      <c r="E11063" s="1" t="s">
        <v>11203</v>
      </c>
      <c r="F11063" s="2"/>
      <c r="G11063" s="2"/>
      <c r="H11063" s="2"/>
    </row>
    <row r="11064" spans="1:8" x14ac:dyDescent="0.25">
      <c r="A11064" s="1"/>
      <c r="B11064" s="1" t="s">
        <v>5573</v>
      </c>
      <c r="C11064" s="1" t="s">
        <v>5574</v>
      </c>
      <c r="D11064" s="22" t="str">
        <f>HYPERLINK("https://rhld.insurance.arkansas.gov/NPILookup?Npi=1730134065","1730134065")</f>
        <v>1730134065</v>
      </c>
      <c r="E11064" s="1" t="s">
        <v>20278</v>
      </c>
      <c r="F11064" s="2"/>
      <c r="G11064" s="2"/>
      <c r="H11064" s="2"/>
    </row>
    <row r="11065" spans="1:8" x14ac:dyDescent="0.25">
      <c r="A11065" s="1"/>
      <c r="B11065" s="1" t="s">
        <v>5573</v>
      </c>
      <c r="C11065" s="1" t="s">
        <v>5574</v>
      </c>
      <c r="D11065" s="22" t="str">
        <f>HYPERLINK("https://rhld.insurance.arkansas.gov/NPILookup?Npi=1730388166","1730388166")</f>
        <v>1730388166</v>
      </c>
      <c r="E11065" s="1" t="s">
        <v>796</v>
      </c>
      <c r="F11065" s="2"/>
      <c r="G11065" s="2"/>
      <c r="H11065" s="2"/>
    </row>
    <row r="11066" spans="1:8" x14ac:dyDescent="0.25">
      <c r="A11066" s="1"/>
      <c r="B11066" s="1" t="s">
        <v>5573</v>
      </c>
      <c r="C11066" s="1" t="s">
        <v>5574</v>
      </c>
      <c r="D11066" s="22" t="str">
        <f>HYPERLINK("https://rhld.insurance.arkansas.gov/NPILookup?Npi=1730717299","1730717299")</f>
        <v>1730717299</v>
      </c>
      <c r="E11066" s="1" t="s">
        <v>31759</v>
      </c>
      <c r="F11066" s="2"/>
      <c r="G11066" s="2"/>
      <c r="H11066" s="2"/>
    </row>
    <row r="11067" spans="1:8" x14ac:dyDescent="0.25">
      <c r="A11067" s="1"/>
      <c r="B11067" s="1" t="s">
        <v>5573</v>
      </c>
      <c r="C11067" s="1" t="s">
        <v>5574</v>
      </c>
      <c r="D11067" s="22" t="str">
        <f>HYPERLINK("https://rhld.insurance.arkansas.gov/NPILookup?Npi=1740200187","1740200187")</f>
        <v>1740200187</v>
      </c>
      <c r="E11067" s="1" t="s">
        <v>20279</v>
      </c>
      <c r="F11067" s="2"/>
      <c r="G11067" s="2"/>
      <c r="H11067" s="2"/>
    </row>
    <row r="11068" spans="1:8" x14ac:dyDescent="0.25">
      <c r="A11068" s="1"/>
      <c r="B11068" s="1" t="s">
        <v>5573</v>
      </c>
      <c r="C11068" s="1" t="s">
        <v>5574</v>
      </c>
      <c r="D11068" s="22" t="str">
        <f>HYPERLINK("https://rhld.insurance.arkansas.gov/NPILookup?Npi=1740252725","1740252725")</f>
        <v>1740252725</v>
      </c>
      <c r="E11068" s="1" t="s">
        <v>20280</v>
      </c>
      <c r="F11068" s="2"/>
      <c r="G11068" s="2"/>
      <c r="H11068" s="2"/>
    </row>
    <row r="11069" spans="1:8" x14ac:dyDescent="0.25">
      <c r="A11069" s="1"/>
      <c r="B11069" s="1" t="s">
        <v>5573</v>
      </c>
      <c r="C11069" s="1" t="s">
        <v>5574</v>
      </c>
      <c r="D11069" s="22" t="str">
        <f>HYPERLINK("https://rhld.insurance.arkansas.gov/NPILookup?Npi=1740272368","1740272368")</f>
        <v>1740272368</v>
      </c>
      <c r="E11069" s="1" t="s">
        <v>20180</v>
      </c>
      <c r="F11069" s="2"/>
      <c r="G11069" s="2"/>
      <c r="H11069" s="2"/>
    </row>
    <row r="11070" spans="1:8" x14ac:dyDescent="0.25">
      <c r="A11070" s="1"/>
      <c r="B11070" s="1" t="s">
        <v>5573</v>
      </c>
      <c r="C11070" s="1" t="s">
        <v>5574</v>
      </c>
      <c r="D11070" s="22" t="str">
        <f>HYPERLINK("https://rhld.insurance.arkansas.gov/NPILookup?Npi=1740440833","1740440833")</f>
        <v>1740440833</v>
      </c>
      <c r="E11070" s="1" t="s">
        <v>5607</v>
      </c>
      <c r="F11070" s="2"/>
      <c r="G11070" s="2"/>
      <c r="H11070" s="2"/>
    </row>
    <row r="11071" spans="1:8" x14ac:dyDescent="0.25">
      <c r="A11071" s="1"/>
      <c r="B11071" s="1" t="s">
        <v>5573</v>
      </c>
      <c r="C11071" s="1" t="s">
        <v>5574</v>
      </c>
      <c r="D11071" s="22" t="str">
        <f>HYPERLINK("https://rhld.insurance.arkansas.gov/NPILookup?Npi=1750303160","1750303160")</f>
        <v>1750303160</v>
      </c>
      <c r="E11071" s="1" t="s">
        <v>11204</v>
      </c>
      <c r="F11071" s="2"/>
      <c r="G11071" s="2"/>
      <c r="H11071" s="2"/>
    </row>
    <row r="11072" spans="1:8" x14ac:dyDescent="0.25">
      <c r="A11072" s="1"/>
      <c r="B11072" s="1" t="s">
        <v>5573</v>
      </c>
      <c r="C11072" s="1" t="s">
        <v>5574</v>
      </c>
      <c r="D11072" s="22" t="str">
        <f>HYPERLINK("https://rhld.insurance.arkansas.gov/NPILookup?Npi=1750397782","1750397782")</f>
        <v>1750397782</v>
      </c>
      <c r="E11072" s="1" t="s">
        <v>20281</v>
      </c>
      <c r="F11072" s="2"/>
      <c r="G11072" s="2"/>
      <c r="H11072" s="2"/>
    </row>
    <row r="11073" spans="1:8" x14ac:dyDescent="0.25">
      <c r="A11073" s="1"/>
      <c r="B11073" s="1" t="s">
        <v>5573</v>
      </c>
      <c r="C11073" s="1" t="s">
        <v>5574</v>
      </c>
      <c r="D11073" s="22" t="str">
        <f>HYPERLINK("https://rhld.insurance.arkansas.gov/NPILookup?Npi=1760430029","1760430029")</f>
        <v>1760430029</v>
      </c>
      <c r="E11073" s="1" t="s">
        <v>5608</v>
      </c>
      <c r="F11073" s="2"/>
      <c r="G11073" s="2"/>
      <c r="H11073" s="2"/>
    </row>
    <row r="11074" spans="1:8" x14ac:dyDescent="0.25">
      <c r="A11074" s="1"/>
      <c r="B11074" s="1" t="s">
        <v>5573</v>
      </c>
      <c r="C11074" s="1" t="s">
        <v>5574</v>
      </c>
      <c r="D11074" s="22" t="str">
        <f>HYPERLINK("https://rhld.insurance.arkansas.gov/NPILookup?Npi=1760441760","1760441760")</f>
        <v>1760441760</v>
      </c>
      <c r="E11074" s="1" t="s">
        <v>20282</v>
      </c>
      <c r="F11074" s="2"/>
      <c r="G11074" s="2"/>
      <c r="H11074" s="2"/>
    </row>
    <row r="11075" spans="1:8" x14ac:dyDescent="0.25">
      <c r="A11075" s="1"/>
      <c r="B11075" s="1" t="s">
        <v>5573</v>
      </c>
      <c r="C11075" s="1" t="s">
        <v>5574</v>
      </c>
      <c r="D11075" s="22" t="str">
        <f>HYPERLINK("https://rhld.insurance.arkansas.gov/NPILookup?Npi=1770564411","1770564411")</f>
        <v>1770564411</v>
      </c>
      <c r="E11075" s="1" t="s">
        <v>11205</v>
      </c>
      <c r="F11075" s="2"/>
      <c r="G11075" s="2"/>
      <c r="H11075" s="2"/>
    </row>
    <row r="11076" spans="1:8" x14ac:dyDescent="0.25">
      <c r="A11076" s="1"/>
      <c r="B11076" s="1" t="s">
        <v>5573</v>
      </c>
      <c r="C11076" s="1" t="s">
        <v>5574</v>
      </c>
      <c r="D11076" s="22" t="str">
        <f>HYPERLINK("https://rhld.insurance.arkansas.gov/NPILookup?Npi=1770808735","1770808735")</f>
        <v>1770808735</v>
      </c>
      <c r="E11076" s="1" t="s">
        <v>11206</v>
      </c>
      <c r="F11076" s="2"/>
      <c r="G11076" s="2"/>
      <c r="H11076" s="2"/>
    </row>
    <row r="11077" spans="1:8" x14ac:dyDescent="0.25">
      <c r="A11077" s="1"/>
      <c r="B11077" s="1" t="s">
        <v>5573</v>
      </c>
      <c r="C11077" s="1" t="s">
        <v>5574</v>
      </c>
      <c r="D11077" s="22" t="str">
        <f>HYPERLINK("https://rhld.insurance.arkansas.gov/NPILookup?Npi=1770994667","1770994667")</f>
        <v>1770994667</v>
      </c>
      <c r="E11077" s="1" t="s">
        <v>1437</v>
      </c>
      <c r="F11077" s="2"/>
      <c r="G11077" s="2"/>
      <c r="H11077" s="2"/>
    </row>
    <row r="11078" spans="1:8" x14ac:dyDescent="0.25">
      <c r="A11078" s="1"/>
      <c r="B11078" s="1" t="s">
        <v>5573</v>
      </c>
      <c r="C11078" s="1" t="s">
        <v>5574</v>
      </c>
      <c r="D11078" s="22" t="str">
        <f>HYPERLINK("https://rhld.insurance.arkansas.gov/NPILookup?Npi=1780827212","1780827212")</f>
        <v>1780827212</v>
      </c>
      <c r="E11078" s="1" t="s">
        <v>11207</v>
      </c>
      <c r="F11078" s="2"/>
      <c r="G11078" s="2"/>
      <c r="H11078" s="2"/>
    </row>
    <row r="11079" spans="1:8" x14ac:dyDescent="0.25">
      <c r="A11079" s="1"/>
      <c r="B11079" s="1" t="s">
        <v>5573</v>
      </c>
      <c r="C11079" s="1" t="s">
        <v>5574</v>
      </c>
      <c r="D11079" s="22" t="str">
        <f>HYPERLINK("https://rhld.insurance.arkansas.gov/NPILookup?Npi=1790720779","1790720779")</f>
        <v>1790720779</v>
      </c>
      <c r="E11079" s="1" t="s">
        <v>20283</v>
      </c>
      <c r="F11079" s="2"/>
      <c r="G11079" s="2"/>
      <c r="H11079" s="2"/>
    </row>
    <row r="11080" spans="1:8" x14ac:dyDescent="0.25">
      <c r="A11080" s="1"/>
      <c r="B11080" s="1" t="s">
        <v>5573</v>
      </c>
      <c r="C11080" s="1" t="s">
        <v>5574</v>
      </c>
      <c r="D11080" s="22" t="str">
        <f>HYPERLINK("https://rhld.insurance.arkansas.gov/NPILookup?Npi=1790758761","1790758761")</f>
        <v>1790758761</v>
      </c>
      <c r="E11080" s="1" t="s">
        <v>11208</v>
      </c>
      <c r="F11080" s="2"/>
      <c r="G11080" s="2"/>
      <c r="H11080" s="2"/>
    </row>
    <row r="11081" spans="1:8" x14ac:dyDescent="0.25">
      <c r="A11081" s="1"/>
      <c r="B11081" s="1" t="s">
        <v>5573</v>
      </c>
      <c r="C11081" s="1" t="s">
        <v>5574</v>
      </c>
      <c r="D11081" s="22" t="str">
        <f>HYPERLINK("https://rhld.insurance.arkansas.gov/NPILookup?Npi=1801849690","1801849690")</f>
        <v>1801849690</v>
      </c>
      <c r="E11081" s="1" t="s">
        <v>20284</v>
      </c>
      <c r="F11081" s="2"/>
      <c r="G11081" s="2"/>
      <c r="H11081" s="2"/>
    </row>
    <row r="11082" spans="1:8" x14ac:dyDescent="0.25">
      <c r="A11082" s="1"/>
      <c r="B11082" s="1" t="s">
        <v>5573</v>
      </c>
      <c r="C11082" s="1" t="s">
        <v>5574</v>
      </c>
      <c r="D11082" s="22" t="str">
        <f>HYPERLINK("https://rhld.insurance.arkansas.gov/NPILookup?Npi=1811208010","1811208010")</f>
        <v>1811208010</v>
      </c>
      <c r="E11082" s="1" t="s">
        <v>3461</v>
      </c>
      <c r="F11082" s="2"/>
      <c r="G11082" s="2"/>
      <c r="H11082" s="2"/>
    </row>
    <row r="11083" spans="1:8" x14ac:dyDescent="0.25">
      <c r="A11083" s="1"/>
      <c r="B11083" s="1" t="s">
        <v>5573</v>
      </c>
      <c r="C11083" s="1" t="s">
        <v>5574</v>
      </c>
      <c r="D11083" s="22" t="str">
        <f>HYPERLINK("https://rhld.insurance.arkansas.gov/NPILookup?Npi=1811983489","1811983489")</f>
        <v>1811983489</v>
      </c>
      <c r="E11083" s="1" t="s">
        <v>20285</v>
      </c>
      <c r="F11083" s="2"/>
      <c r="G11083" s="2"/>
      <c r="H11083" s="2"/>
    </row>
    <row r="11084" spans="1:8" x14ac:dyDescent="0.25">
      <c r="A11084" s="1"/>
      <c r="B11084" s="1" t="s">
        <v>5573</v>
      </c>
      <c r="C11084" s="1" t="s">
        <v>5574</v>
      </c>
      <c r="D11084" s="22" t="str">
        <f>HYPERLINK("https://rhld.insurance.arkansas.gov/NPILookup?Npi=1821382409","1821382409")</f>
        <v>1821382409</v>
      </c>
      <c r="E11084" s="1" t="s">
        <v>11209</v>
      </c>
      <c r="F11084" s="2"/>
      <c r="G11084" s="2"/>
      <c r="H11084" s="2"/>
    </row>
    <row r="11085" spans="1:8" x14ac:dyDescent="0.25">
      <c r="A11085" s="1"/>
      <c r="B11085" s="1" t="s">
        <v>5573</v>
      </c>
      <c r="C11085" s="1" t="s">
        <v>5574</v>
      </c>
      <c r="D11085" s="22" t="str">
        <f>HYPERLINK("https://rhld.insurance.arkansas.gov/NPILookup?Npi=1831141829","1831141829")</f>
        <v>1831141829</v>
      </c>
      <c r="E11085" s="1" t="s">
        <v>20286</v>
      </c>
      <c r="F11085" s="2"/>
      <c r="G11085" s="2"/>
      <c r="H11085" s="2"/>
    </row>
    <row r="11086" spans="1:8" x14ac:dyDescent="0.25">
      <c r="A11086" s="1"/>
      <c r="B11086" s="1" t="s">
        <v>5573</v>
      </c>
      <c r="C11086" s="1" t="s">
        <v>5574</v>
      </c>
      <c r="D11086" s="22" t="str">
        <f>HYPERLINK("https://rhld.insurance.arkansas.gov/NPILookup?Npi=1831509330","1831509330")</f>
        <v>1831509330</v>
      </c>
      <c r="E11086" s="1" t="s">
        <v>11210</v>
      </c>
      <c r="F11086" s="2"/>
      <c r="G11086" s="2"/>
      <c r="H11086" s="2"/>
    </row>
    <row r="11087" spans="1:8" x14ac:dyDescent="0.25">
      <c r="A11087" s="1"/>
      <c r="B11087" s="1" t="s">
        <v>5573</v>
      </c>
      <c r="C11087" s="1" t="s">
        <v>5574</v>
      </c>
      <c r="D11087" s="22" t="str">
        <f>HYPERLINK("https://rhld.insurance.arkansas.gov/NPILookup?Npi=1851344006","1851344006")</f>
        <v>1851344006</v>
      </c>
      <c r="E11087" s="1" t="s">
        <v>1265</v>
      </c>
      <c r="F11087" s="2"/>
      <c r="G11087" s="2"/>
      <c r="H11087" s="2"/>
    </row>
    <row r="11088" spans="1:8" x14ac:dyDescent="0.25">
      <c r="A11088" s="1"/>
      <c r="B11088" s="1" t="s">
        <v>5573</v>
      </c>
      <c r="C11088" s="1" t="s">
        <v>5574</v>
      </c>
      <c r="D11088" s="22" t="str">
        <f>HYPERLINK("https://rhld.insurance.arkansas.gov/NPILookup?Npi=1851408934","1851408934")</f>
        <v>1851408934</v>
      </c>
      <c r="E11088" s="1" t="s">
        <v>20287</v>
      </c>
      <c r="F11088" s="2"/>
      <c r="G11088" s="2"/>
      <c r="H11088" s="2"/>
    </row>
    <row r="11089" spans="1:8" x14ac:dyDescent="0.25">
      <c r="A11089" s="1"/>
      <c r="B11089" s="1" t="s">
        <v>5573</v>
      </c>
      <c r="C11089" s="1" t="s">
        <v>5574</v>
      </c>
      <c r="D11089" s="22" t="str">
        <f>HYPERLINK("https://rhld.insurance.arkansas.gov/NPILookup?Npi=1851482723","1851482723")</f>
        <v>1851482723</v>
      </c>
      <c r="E11089" s="1" t="s">
        <v>11211</v>
      </c>
      <c r="F11089" s="2"/>
      <c r="G11089" s="2"/>
      <c r="H11089" s="2"/>
    </row>
    <row r="11090" spans="1:8" x14ac:dyDescent="0.25">
      <c r="A11090" s="1"/>
      <c r="B11090" s="1" t="s">
        <v>5573</v>
      </c>
      <c r="C11090" s="1" t="s">
        <v>5574</v>
      </c>
      <c r="D11090" s="22" t="str">
        <f>HYPERLINK("https://rhld.insurance.arkansas.gov/NPILookup?Npi=1861442436","1861442436")</f>
        <v>1861442436</v>
      </c>
      <c r="E11090" s="1" t="s">
        <v>20288</v>
      </c>
      <c r="F11090" s="2"/>
      <c r="G11090" s="2"/>
      <c r="H11090" s="2"/>
    </row>
    <row r="11091" spans="1:8" x14ac:dyDescent="0.25">
      <c r="A11091" s="1"/>
      <c r="B11091" s="1" t="s">
        <v>5573</v>
      </c>
      <c r="C11091" s="1" t="s">
        <v>5574</v>
      </c>
      <c r="D11091" s="22" t="str">
        <f>HYPERLINK("https://rhld.insurance.arkansas.gov/NPILookup?Npi=1871545269","1871545269")</f>
        <v>1871545269</v>
      </c>
      <c r="E11091" s="1" t="s">
        <v>20289</v>
      </c>
      <c r="F11091" s="2"/>
      <c r="G11091" s="2"/>
      <c r="H11091" s="2"/>
    </row>
    <row r="11092" spans="1:8" x14ac:dyDescent="0.25">
      <c r="A11092" s="1"/>
      <c r="B11092" s="1" t="s">
        <v>5573</v>
      </c>
      <c r="C11092" s="1" t="s">
        <v>5574</v>
      </c>
      <c r="D11092" s="22" t="str">
        <f>HYPERLINK("https://rhld.insurance.arkansas.gov/NPILookup?Npi=1871684746","1871684746")</f>
        <v>1871684746</v>
      </c>
      <c r="E11092" s="1" t="s">
        <v>20290</v>
      </c>
      <c r="F11092" s="2"/>
      <c r="G11092" s="2"/>
      <c r="H11092" s="2"/>
    </row>
    <row r="11093" spans="1:8" x14ac:dyDescent="0.25">
      <c r="A11093" s="1"/>
      <c r="B11093" s="1" t="s">
        <v>5573</v>
      </c>
      <c r="C11093" s="1" t="s">
        <v>5574</v>
      </c>
      <c r="D11093" s="22" t="str">
        <f>HYPERLINK("https://rhld.insurance.arkansas.gov/NPILookup?Npi=1881697266","1881697266")</f>
        <v>1881697266</v>
      </c>
      <c r="E11093" s="1" t="s">
        <v>5609</v>
      </c>
      <c r="F11093" s="2"/>
      <c r="G11093" s="2"/>
      <c r="H11093" s="2"/>
    </row>
    <row r="11094" spans="1:8" x14ac:dyDescent="0.25">
      <c r="A11094" s="1"/>
      <c r="B11094" s="1" t="s">
        <v>5573</v>
      </c>
      <c r="C11094" s="1" t="s">
        <v>5574</v>
      </c>
      <c r="D11094" s="22" t="str">
        <f>HYPERLINK("https://rhld.insurance.arkansas.gov/NPILookup?Npi=1891051611","1891051611")</f>
        <v>1891051611</v>
      </c>
      <c r="E11094" s="1" t="s">
        <v>11212</v>
      </c>
      <c r="F11094" s="2"/>
      <c r="G11094" s="2"/>
      <c r="H11094" s="2"/>
    </row>
    <row r="11095" spans="1:8" x14ac:dyDescent="0.25">
      <c r="A11095" s="1"/>
      <c r="B11095" s="1" t="s">
        <v>5573</v>
      </c>
      <c r="C11095" s="1" t="s">
        <v>5574</v>
      </c>
      <c r="D11095" s="22" t="str">
        <f>HYPERLINK("https://rhld.insurance.arkansas.gov/NPILookup?Npi=1891145538","1891145538")</f>
        <v>1891145538</v>
      </c>
      <c r="E11095" s="1" t="s">
        <v>31760</v>
      </c>
      <c r="F11095" s="2"/>
      <c r="G11095" s="2"/>
      <c r="H11095" s="2"/>
    </row>
    <row r="11096" spans="1:8" x14ac:dyDescent="0.25">
      <c r="A11096" s="1"/>
      <c r="B11096" s="1" t="s">
        <v>5573</v>
      </c>
      <c r="C11096" s="1" t="s">
        <v>5574</v>
      </c>
      <c r="D11096" s="22" t="str">
        <f>HYPERLINK("https://rhld.insurance.arkansas.gov/NPILookup?Npi=1891792941","1891792941")</f>
        <v>1891792941</v>
      </c>
      <c r="E11096" s="1" t="s">
        <v>20291</v>
      </c>
      <c r="F11096" s="2"/>
      <c r="G11096" s="2"/>
      <c r="H11096" s="2"/>
    </row>
    <row r="11097" spans="1:8" x14ac:dyDescent="0.25">
      <c r="A11097" s="1"/>
      <c r="B11097" s="1" t="s">
        <v>5573</v>
      </c>
      <c r="C11097" s="1" t="s">
        <v>5574</v>
      </c>
      <c r="D11097" s="22" t="str">
        <f>HYPERLINK("https://rhld.insurance.arkansas.gov/NPILookup?Npi=1891912556","1891912556")</f>
        <v>1891912556</v>
      </c>
      <c r="E11097" s="1" t="s">
        <v>20292</v>
      </c>
      <c r="F11097" s="2"/>
      <c r="G11097" s="2"/>
      <c r="H11097" s="2"/>
    </row>
    <row r="11098" spans="1:8" x14ac:dyDescent="0.25">
      <c r="A11098" s="1"/>
      <c r="B11098" s="1" t="s">
        <v>5573</v>
      </c>
      <c r="C11098" s="1" t="s">
        <v>5574</v>
      </c>
      <c r="D11098" s="22" t="str">
        <f>HYPERLINK("https://rhld.insurance.arkansas.gov/NPILookup?Npi=1891923918","1891923918")</f>
        <v>1891923918</v>
      </c>
      <c r="E11098" s="1" t="s">
        <v>243</v>
      </c>
      <c r="F11098" s="2"/>
      <c r="G11098" s="2"/>
      <c r="H11098" s="2"/>
    </row>
    <row r="11099" spans="1:8" x14ac:dyDescent="0.25">
      <c r="A11099" s="1"/>
      <c r="B11099" s="1" t="s">
        <v>5573</v>
      </c>
      <c r="C11099" s="1" t="s">
        <v>5574</v>
      </c>
      <c r="D11099" s="22" t="str">
        <f>HYPERLINK("https://rhld.insurance.arkansas.gov/NPILookup?Npi=1902127269","1902127269")</f>
        <v>1902127269</v>
      </c>
      <c r="E11099" s="1" t="s">
        <v>5610</v>
      </c>
      <c r="F11099" s="2"/>
      <c r="G11099" s="2"/>
      <c r="H11099" s="2"/>
    </row>
    <row r="11100" spans="1:8" x14ac:dyDescent="0.25">
      <c r="A11100" s="1"/>
      <c r="B11100" s="1" t="s">
        <v>5573</v>
      </c>
      <c r="C11100" s="1" t="s">
        <v>5574</v>
      </c>
      <c r="D11100" s="22" t="str">
        <f>HYPERLINK("https://rhld.insurance.arkansas.gov/NPILookup?Npi=1912993619","1912993619")</f>
        <v>1912993619</v>
      </c>
      <c r="E11100" s="1" t="s">
        <v>11213</v>
      </c>
      <c r="F11100" s="2"/>
      <c r="G11100" s="2"/>
      <c r="H11100" s="2"/>
    </row>
    <row r="11101" spans="1:8" x14ac:dyDescent="0.25">
      <c r="A11101" s="1"/>
      <c r="B11101" s="1" t="s">
        <v>5573</v>
      </c>
      <c r="C11101" s="1" t="s">
        <v>5574</v>
      </c>
      <c r="D11101" s="22" t="str">
        <f>HYPERLINK("https://rhld.insurance.arkansas.gov/NPILookup?Npi=1922104157","1922104157")</f>
        <v>1922104157</v>
      </c>
      <c r="E11101" s="1" t="s">
        <v>1903</v>
      </c>
      <c r="F11101" s="2"/>
      <c r="G11101" s="2"/>
      <c r="H11101" s="2"/>
    </row>
    <row r="11102" spans="1:8" x14ac:dyDescent="0.25">
      <c r="A11102" s="1"/>
      <c r="B11102" s="1" t="s">
        <v>5573</v>
      </c>
      <c r="C11102" s="1" t="s">
        <v>5574</v>
      </c>
      <c r="D11102" s="22" t="str">
        <f>HYPERLINK("https://rhld.insurance.arkansas.gov/NPILookup?Npi=1922121698","1922121698")</f>
        <v>1922121698</v>
      </c>
      <c r="E11102" s="1" t="s">
        <v>20293</v>
      </c>
      <c r="F11102" s="2"/>
      <c r="G11102" s="2"/>
      <c r="H11102" s="2"/>
    </row>
    <row r="11103" spans="1:8" x14ac:dyDescent="0.25">
      <c r="A11103" s="1"/>
      <c r="B11103" s="1" t="s">
        <v>5573</v>
      </c>
      <c r="C11103" s="1" t="s">
        <v>5574</v>
      </c>
      <c r="D11103" s="22" t="str">
        <f>HYPERLINK("https://rhld.insurance.arkansas.gov/NPILookup?Npi=1922288372","1922288372")</f>
        <v>1922288372</v>
      </c>
      <c r="E11103" s="1" t="s">
        <v>20294</v>
      </c>
      <c r="F11103" s="2"/>
      <c r="G11103" s="2"/>
      <c r="H11103" s="2"/>
    </row>
    <row r="11104" spans="1:8" x14ac:dyDescent="0.25">
      <c r="A11104" s="1"/>
      <c r="B11104" s="1" t="s">
        <v>5573</v>
      </c>
      <c r="C11104" s="1" t="s">
        <v>5574</v>
      </c>
      <c r="D11104" s="22" t="str">
        <f>HYPERLINK("https://rhld.insurance.arkansas.gov/NPILookup?Npi=1932322989","1932322989")</f>
        <v>1932322989</v>
      </c>
      <c r="E11104" s="1" t="s">
        <v>421</v>
      </c>
      <c r="F11104" s="2"/>
      <c r="G11104" s="2"/>
      <c r="H11104" s="2"/>
    </row>
    <row r="11105" spans="1:8" x14ac:dyDescent="0.25">
      <c r="A11105" s="1"/>
      <c r="B11105" s="1" t="s">
        <v>5573</v>
      </c>
      <c r="C11105" s="1" t="s">
        <v>5574</v>
      </c>
      <c r="D11105" s="22" t="str">
        <f>HYPERLINK("https://rhld.insurance.arkansas.gov/NPILookup?Npi=1952508699","1952508699")</f>
        <v>1952508699</v>
      </c>
      <c r="E11105" s="1" t="s">
        <v>4544</v>
      </c>
      <c r="F11105" s="2"/>
      <c r="G11105" s="2"/>
      <c r="H11105" s="2"/>
    </row>
    <row r="11106" spans="1:8" x14ac:dyDescent="0.25">
      <c r="A11106" s="1"/>
      <c r="B11106" s="1" t="s">
        <v>5573</v>
      </c>
      <c r="C11106" s="1" t="s">
        <v>5574</v>
      </c>
      <c r="D11106" s="22" t="str">
        <f>HYPERLINK("https://rhld.insurance.arkansas.gov/NPILookup?Npi=1972506046","1972506046")</f>
        <v>1972506046</v>
      </c>
      <c r="E11106" s="1" t="s">
        <v>20226</v>
      </c>
      <c r="F11106" s="2"/>
      <c r="G11106" s="2"/>
      <c r="H11106" s="2"/>
    </row>
    <row r="11107" spans="1:8" x14ac:dyDescent="0.25">
      <c r="A11107" s="1"/>
      <c r="B11107" s="1" t="s">
        <v>5573</v>
      </c>
      <c r="C11107" s="1" t="s">
        <v>5574</v>
      </c>
      <c r="D11107" s="22" t="str">
        <f>HYPERLINK("https://rhld.insurance.arkansas.gov/NPILookup?Npi=1972710572","1972710572")</f>
        <v>1972710572</v>
      </c>
      <c r="E11107" s="1" t="s">
        <v>5611</v>
      </c>
      <c r="F11107" s="2"/>
      <c r="G11107" s="2"/>
      <c r="H11107" s="2"/>
    </row>
    <row r="11108" spans="1:8" x14ac:dyDescent="0.25">
      <c r="A11108" s="1"/>
      <c r="B11108" s="1" t="s">
        <v>5573</v>
      </c>
      <c r="C11108" s="1" t="s">
        <v>5574</v>
      </c>
      <c r="D11108" s="22" t="str">
        <f>HYPERLINK("https://rhld.insurance.arkansas.gov/NPILookup?Npi=1972728988","1972728988")</f>
        <v>1972728988</v>
      </c>
      <c r="E11108" s="1" t="s">
        <v>11214</v>
      </c>
      <c r="F11108" s="2"/>
      <c r="G11108" s="2"/>
      <c r="H11108" s="2"/>
    </row>
    <row r="11109" spans="1:8" x14ac:dyDescent="0.25">
      <c r="A11109" s="1"/>
      <c r="B11109" s="1" t="s">
        <v>5573</v>
      </c>
      <c r="C11109" s="1" t="s">
        <v>5574</v>
      </c>
      <c r="D11109" s="22" t="str">
        <f>HYPERLINK("https://rhld.insurance.arkansas.gov/NPILookup?Npi=1972882207","1972882207")</f>
        <v>1972882207</v>
      </c>
      <c r="E11109" s="1" t="s">
        <v>11215</v>
      </c>
      <c r="F11109" s="2"/>
      <c r="G11109" s="2"/>
      <c r="H11109" s="2"/>
    </row>
    <row r="11110" spans="1:8" x14ac:dyDescent="0.25">
      <c r="A11110" s="1"/>
      <c r="B11110" s="1" t="s">
        <v>5573</v>
      </c>
      <c r="C11110" s="1" t="s">
        <v>5574</v>
      </c>
      <c r="D11110" s="22" t="str">
        <f>HYPERLINK("https://rhld.insurance.arkansas.gov/NPILookup?Npi=1982666442","1982666442")</f>
        <v>1982666442</v>
      </c>
      <c r="E11110" s="1" t="s">
        <v>11216</v>
      </c>
      <c r="F11110" s="2"/>
      <c r="G11110" s="2"/>
      <c r="H11110" s="2"/>
    </row>
    <row r="11111" spans="1:8" x14ac:dyDescent="0.25">
      <c r="A11111" s="1"/>
      <c r="B11111" s="1" t="s">
        <v>5573</v>
      </c>
      <c r="C11111" s="1" t="s">
        <v>5574</v>
      </c>
      <c r="D11111" s="22" t="str">
        <f>HYPERLINK("https://rhld.insurance.arkansas.gov/NPILookup?Npi=1982693313","1982693313")</f>
        <v>1982693313</v>
      </c>
      <c r="E11111" s="1" t="s">
        <v>19305</v>
      </c>
      <c r="F11111" s="2"/>
      <c r="G11111" s="2"/>
      <c r="H11111" s="2"/>
    </row>
    <row r="11112" spans="1:8" x14ac:dyDescent="0.25">
      <c r="A11112" s="1"/>
      <c r="B11112" s="1" t="s">
        <v>5573</v>
      </c>
      <c r="C11112" s="1" t="s">
        <v>5574</v>
      </c>
      <c r="D11112" s="22" t="str">
        <f>HYPERLINK("https://rhld.insurance.arkansas.gov/NPILookup?Npi=1982719381","1982719381")</f>
        <v>1982719381</v>
      </c>
      <c r="E11112" s="1" t="s">
        <v>5612</v>
      </c>
      <c r="F11112" s="2"/>
      <c r="G11112" s="2"/>
      <c r="H11112" s="2"/>
    </row>
    <row r="11113" spans="1:8" x14ac:dyDescent="0.25">
      <c r="A11113" s="1"/>
      <c r="B11113" s="1" t="s">
        <v>5573</v>
      </c>
      <c r="C11113" s="1" t="s">
        <v>5574</v>
      </c>
      <c r="D11113" s="22" t="str">
        <f>HYPERLINK("https://rhld.insurance.arkansas.gov/NPILookup?Npi=1992750079","1992750079")</f>
        <v>1992750079</v>
      </c>
      <c r="E11113" s="1" t="s">
        <v>5613</v>
      </c>
      <c r="F11113" s="2"/>
      <c r="G11113" s="2"/>
      <c r="H11113" s="2"/>
    </row>
    <row r="11114" spans="1:8" x14ac:dyDescent="0.25">
      <c r="A11114" s="1"/>
      <c r="B11114" s="1" t="s">
        <v>5573</v>
      </c>
      <c r="C11114" s="1" t="s">
        <v>5574</v>
      </c>
      <c r="D11114" s="22" t="str">
        <f>HYPERLINK("https://rhld.insurance.arkansas.gov/NPILookup?Npi=1992794341","1992794341")</f>
        <v>1992794341</v>
      </c>
      <c r="E11114" s="1" t="s">
        <v>20295</v>
      </c>
      <c r="F11114" s="2"/>
      <c r="G11114" s="2"/>
      <c r="H11114" s="2"/>
    </row>
    <row r="11115" spans="1:8" x14ac:dyDescent="0.25">
      <c r="A11115" s="1"/>
      <c r="B11115" s="1" t="s">
        <v>5614</v>
      </c>
      <c r="C11115" s="1" t="s">
        <v>5615</v>
      </c>
      <c r="D11115" s="22" t="str">
        <f>HYPERLINK("https://rhld.insurance.arkansas.gov/NPILookup?Npi=1003044355","1003044355")</f>
        <v>1003044355</v>
      </c>
      <c r="E11115" s="1" t="s">
        <v>5616</v>
      </c>
      <c r="F11115" s="2"/>
      <c r="G11115" s="2"/>
      <c r="H11115" s="2"/>
    </row>
    <row r="11116" spans="1:8" x14ac:dyDescent="0.25">
      <c r="A11116" s="1"/>
      <c r="B11116" s="1" t="s">
        <v>5614</v>
      </c>
      <c r="C11116" s="1" t="s">
        <v>5615</v>
      </c>
      <c r="D11116" s="22" t="str">
        <f>HYPERLINK("https://rhld.insurance.arkansas.gov/NPILookup?Npi=1003104498","1003104498")</f>
        <v>1003104498</v>
      </c>
      <c r="E11116" s="1" t="s">
        <v>3584</v>
      </c>
      <c r="F11116" s="2"/>
      <c r="G11116" s="2"/>
      <c r="H11116" s="2"/>
    </row>
    <row r="11117" spans="1:8" x14ac:dyDescent="0.25">
      <c r="A11117" s="1"/>
      <c r="B11117" s="1" t="s">
        <v>5614</v>
      </c>
      <c r="C11117" s="1" t="s">
        <v>5615</v>
      </c>
      <c r="D11117" s="22" t="str">
        <f>HYPERLINK("https://rhld.insurance.arkansas.gov/NPILookup?Npi=1003807785","1003807785")</f>
        <v>1003807785</v>
      </c>
      <c r="E11117" s="1" t="s">
        <v>20296</v>
      </c>
      <c r="F11117" s="2"/>
      <c r="G11117" s="2"/>
      <c r="H11117" s="2"/>
    </row>
    <row r="11118" spans="1:8" x14ac:dyDescent="0.25">
      <c r="A11118" s="1"/>
      <c r="B11118" s="1" t="s">
        <v>5614</v>
      </c>
      <c r="C11118" s="1" t="s">
        <v>5615</v>
      </c>
      <c r="D11118" s="22" t="str">
        <f>HYPERLINK("https://rhld.insurance.arkansas.gov/NPILookup?Npi=1003876582","1003876582")</f>
        <v>1003876582</v>
      </c>
      <c r="E11118" s="1" t="s">
        <v>16851</v>
      </c>
      <c r="F11118" s="2"/>
      <c r="G11118" s="2"/>
      <c r="H11118" s="2"/>
    </row>
    <row r="11119" spans="1:8" x14ac:dyDescent="0.25">
      <c r="A11119" s="1"/>
      <c r="B11119" s="1" t="s">
        <v>5614</v>
      </c>
      <c r="C11119" s="1" t="s">
        <v>5615</v>
      </c>
      <c r="D11119" s="22" t="str">
        <f>HYPERLINK("https://rhld.insurance.arkansas.gov/NPILookup?Npi=1003885138","1003885138")</f>
        <v>1003885138</v>
      </c>
      <c r="E11119" s="1" t="s">
        <v>2565</v>
      </c>
      <c r="F11119" s="2"/>
      <c r="G11119" s="2"/>
      <c r="H11119" s="2"/>
    </row>
    <row r="11120" spans="1:8" x14ac:dyDescent="0.25">
      <c r="A11120" s="1"/>
      <c r="B11120" s="1" t="s">
        <v>5614</v>
      </c>
      <c r="C11120" s="1" t="s">
        <v>5615</v>
      </c>
      <c r="D11120" s="22" t="str">
        <f>HYPERLINK("https://rhld.insurance.arkansas.gov/NPILookup?Npi=1003906595","1003906595")</f>
        <v>1003906595</v>
      </c>
      <c r="E11120" s="1" t="s">
        <v>2297</v>
      </c>
      <c r="F11120" s="2"/>
      <c r="G11120" s="2"/>
      <c r="H11120" s="2"/>
    </row>
    <row r="11121" spans="1:8" x14ac:dyDescent="0.25">
      <c r="A11121" s="1"/>
      <c r="B11121" s="1" t="s">
        <v>5614</v>
      </c>
      <c r="C11121" s="1" t="s">
        <v>5615</v>
      </c>
      <c r="D11121" s="22" t="str">
        <f>HYPERLINK("https://rhld.insurance.arkansas.gov/NPILookup?Npi=1003957374","1003957374")</f>
        <v>1003957374</v>
      </c>
      <c r="E11121" s="1" t="s">
        <v>20297</v>
      </c>
      <c r="F11121" s="2"/>
      <c r="G11121" s="2"/>
      <c r="H11121" s="2"/>
    </row>
    <row r="11122" spans="1:8" x14ac:dyDescent="0.25">
      <c r="A11122" s="1"/>
      <c r="B11122" s="1" t="s">
        <v>5614</v>
      </c>
      <c r="C11122" s="1" t="s">
        <v>5615</v>
      </c>
      <c r="D11122" s="22" t="str">
        <f>HYPERLINK("https://rhld.insurance.arkansas.gov/NPILookup?Npi=1013013648","1013013648")</f>
        <v>1013013648</v>
      </c>
      <c r="E11122" s="1" t="s">
        <v>11217</v>
      </c>
      <c r="F11122" s="2"/>
      <c r="G11122" s="2"/>
      <c r="H11122" s="2"/>
    </row>
    <row r="11123" spans="1:8" x14ac:dyDescent="0.25">
      <c r="A11123" s="1"/>
      <c r="B11123" s="1" t="s">
        <v>5614</v>
      </c>
      <c r="C11123" s="1" t="s">
        <v>5615</v>
      </c>
      <c r="D11123" s="22" t="str">
        <f>HYPERLINK("https://rhld.insurance.arkansas.gov/NPILookup?Npi=1013087139","1013087139")</f>
        <v>1013087139</v>
      </c>
      <c r="E11123" s="1" t="s">
        <v>20298</v>
      </c>
      <c r="F11123" s="2"/>
      <c r="G11123" s="2"/>
      <c r="H11123" s="2"/>
    </row>
    <row r="11124" spans="1:8" x14ac:dyDescent="0.25">
      <c r="A11124" s="1"/>
      <c r="B11124" s="1" t="s">
        <v>5614</v>
      </c>
      <c r="C11124" s="1" t="s">
        <v>5615</v>
      </c>
      <c r="D11124" s="22" t="str">
        <f>HYPERLINK("https://rhld.insurance.arkansas.gov/NPILookup?Npi=1013229442","1013229442")</f>
        <v>1013229442</v>
      </c>
      <c r="E11124" s="1" t="s">
        <v>11218</v>
      </c>
      <c r="F11124" s="2"/>
      <c r="G11124" s="2"/>
      <c r="H11124" s="2"/>
    </row>
    <row r="11125" spans="1:8" x14ac:dyDescent="0.25">
      <c r="A11125" s="1"/>
      <c r="B11125" s="1" t="s">
        <v>5614</v>
      </c>
      <c r="C11125" s="1" t="s">
        <v>5615</v>
      </c>
      <c r="D11125" s="22" t="str">
        <f>HYPERLINK("https://rhld.insurance.arkansas.gov/NPILookup?Npi=1013698570","1013698570")</f>
        <v>1013698570</v>
      </c>
      <c r="E11125" s="1" t="s">
        <v>11219</v>
      </c>
      <c r="F11125" s="2"/>
      <c r="G11125" s="2"/>
      <c r="H11125" s="2"/>
    </row>
    <row r="11126" spans="1:8" x14ac:dyDescent="0.25">
      <c r="A11126" s="1"/>
      <c r="B11126" s="1" t="s">
        <v>5614</v>
      </c>
      <c r="C11126" s="1" t="s">
        <v>5615</v>
      </c>
      <c r="D11126" s="22" t="str">
        <f>HYPERLINK("https://rhld.insurance.arkansas.gov/NPILookup?Npi=1013789056","1013789056")</f>
        <v>1013789056</v>
      </c>
      <c r="E11126" s="1" t="s">
        <v>5617</v>
      </c>
      <c r="F11126" s="2"/>
      <c r="G11126" s="2"/>
      <c r="H11126" s="2"/>
    </row>
    <row r="11127" spans="1:8" x14ac:dyDescent="0.25">
      <c r="A11127" s="1"/>
      <c r="B11127" s="1" t="s">
        <v>5614</v>
      </c>
      <c r="C11127" s="1" t="s">
        <v>5615</v>
      </c>
      <c r="D11127" s="22" t="str">
        <f>HYPERLINK("https://rhld.insurance.arkansas.gov/NPILookup?Npi=1023092343","1023092343")</f>
        <v>1023092343</v>
      </c>
      <c r="E11127" s="1" t="s">
        <v>479</v>
      </c>
      <c r="F11127" s="2"/>
      <c r="G11127" s="2"/>
      <c r="H11127" s="2"/>
    </row>
    <row r="11128" spans="1:8" x14ac:dyDescent="0.25">
      <c r="A11128" s="1"/>
      <c r="B11128" s="1" t="s">
        <v>5614</v>
      </c>
      <c r="C11128" s="1" t="s">
        <v>5615</v>
      </c>
      <c r="D11128" s="22" t="str">
        <f>HYPERLINK("https://rhld.insurance.arkansas.gov/NPILookup?Npi=1023122017","1023122017")</f>
        <v>1023122017</v>
      </c>
      <c r="E11128" s="1" t="s">
        <v>11220</v>
      </c>
      <c r="F11128" s="2"/>
      <c r="G11128" s="2"/>
      <c r="H11128" s="2"/>
    </row>
    <row r="11129" spans="1:8" x14ac:dyDescent="0.25">
      <c r="A11129" s="1"/>
      <c r="B11129" s="1" t="s">
        <v>5614</v>
      </c>
      <c r="C11129" s="1" t="s">
        <v>5615</v>
      </c>
      <c r="D11129" s="22" t="str">
        <f>HYPERLINK("https://rhld.insurance.arkansas.gov/NPILookup?Npi=1023897253","1023897253")</f>
        <v>1023897253</v>
      </c>
      <c r="E11129" s="1" t="s">
        <v>20299</v>
      </c>
      <c r="F11129" s="2"/>
      <c r="G11129" s="2"/>
      <c r="H11129" s="2"/>
    </row>
    <row r="11130" spans="1:8" x14ac:dyDescent="0.25">
      <c r="A11130" s="1"/>
      <c r="B11130" s="1" t="s">
        <v>5614</v>
      </c>
      <c r="C11130" s="1" t="s">
        <v>5615</v>
      </c>
      <c r="D11130" s="22" t="str">
        <f>HYPERLINK("https://rhld.insurance.arkansas.gov/NPILookup?Npi=1033112420","1033112420")</f>
        <v>1033112420</v>
      </c>
      <c r="E11130" s="1" t="s">
        <v>20300</v>
      </c>
      <c r="F11130" s="2"/>
      <c r="G11130" s="2"/>
      <c r="H11130" s="2"/>
    </row>
    <row r="11131" spans="1:8" x14ac:dyDescent="0.25">
      <c r="A11131" s="1"/>
      <c r="B11131" s="1" t="s">
        <v>5614</v>
      </c>
      <c r="C11131" s="1" t="s">
        <v>5615</v>
      </c>
      <c r="D11131" s="22" t="str">
        <f>HYPERLINK("https://rhld.insurance.arkansas.gov/NPILookup?Npi=1033112446","1033112446")</f>
        <v>1033112446</v>
      </c>
      <c r="E11131" s="1" t="s">
        <v>20301</v>
      </c>
      <c r="F11131" s="2"/>
      <c r="G11131" s="2"/>
      <c r="H11131" s="2"/>
    </row>
    <row r="11132" spans="1:8" x14ac:dyDescent="0.25">
      <c r="A11132" s="1"/>
      <c r="B11132" s="1" t="s">
        <v>5614</v>
      </c>
      <c r="C11132" s="1" t="s">
        <v>5615</v>
      </c>
      <c r="D11132" s="22" t="str">
        <f>HYPERLINK("https://rhld.insurance.arkansas.gov/NPILookup?Npi=1033117593","1033117593")</f>
        <v>1033117593</v>
      </c>
      <c r="E11132" s="1" t="s">
        <v>20302</v>
      </c>
      <c r="F11132" s="2"/>
      <c r="G11132" s="2"/>
      <c r="H11132" s="2"/>
    </row>
    <row r="11133" spans="1:8" x14ac:dyDescent="0.25">
      <c r="A11133" s="1"/>
      <c r="B11133" s="1" t="s">
        <v>5614</v>
      </c>
      <c r="C11133" s="1" t="s">
        <v>5615</v>
      </c>
      <c r="D11133" s="22" t="str">
        <f>HYPERLINK("https://rhld.insurance.arkansas.gov/NPILookup?Npi=1033407226","1033407226")</f>
        <v>1033407226</v>
      </c>
      <c r="E11133" s="1" t="s">
        <v>989</v>
      </c>
      <c r="F11133" s="2"/>
      <c r="G11133" s="2"/>
      <c r="H11133" s="2"/>
    </row>
    <row r="11134" spans="1:8" x14ac:dyDescent="0.25">
      <c r="A11134" s="1"/>
      <c r="B11134" s="1" t="s">
        <v>5614</v>
      </c>
      <c r="C11134" s="1" t="s">
        <v>5615</v>
      </c>
      <c r="D11134" s="22" t="str">
        <f>HYPERLINK("https://rhld.insurance.arkansas.gov/NPILookup?Npi=1033571088","1033571088")</f>
        <v>1033571088</v>
      </c>
      <c r="E11134" s="1" t="s">
        <v>2566</v>
      </c>
      <c r="F11134" s="2"/>
      <c r="G11134" s="2"/>
      <c r="H11134" s="2"/>
    </row>
    <row r="11135" spans="1:8" x14ac:dyDescent="0.25">
      <c r="A11135" s="1"/>
      <c r="B11135" s="1" t="s">
        <v>5614</v>
      </c>
      <c r="C11135" s="1" t="s">
        <v>5615</v>
      </c>
      <c r="D11135" s="22" t="str">
        <f>HYPERLINK("https://rhld.insurance.arkansas.gov/NPILookup?Npi=1033770482","1033770482")</f>
        <v>1033770482</v>
      </c>
      <c r="E11135" s="1" t="s">
        <v>20303</v>
      </c>
      <c r="F11135" s="2"/>
      <c r="G11135" s="2"/>
      <c r="H11135" s="2"/>
    </row>
    <row r="11136" spans="1:8" x14ac:dyDescent="0.25">
      <c r="A11136" s="1"/>
      <c r="B11136" s="1" t="s">
        <v>5614</v>
      </c>
      <c r="C11136" s="1" t="s">
        <v>5615</v>
      </c>
      <c r="D11136" s="22" t="str">
        <f>HYPERLINK("https://rhld.insurance.arkansas.gov/NPILookup?Npi=1043220874","1043220874")</f>
        <v>1043220874</v>
      </c>
      <c r="E11136" s="1" t="s">
        <v>20304</v>
      </c>
      <c r="F11136" s="2"/>
      <c r="G11136" s="2"/>
      <c r="H11136" s="2"/>
    </row>
    <row r="11137" spans="1:8" x14ac:dyDescent="0.25">
      <c r="A11137" s="1"/>
      <c r="B11137" s="1" t="s">
        <v>5614</v>
      </c>
      <c r="C11137" s="1" t="s">
        <v>5615</v>
      </c>
      <c r="D11137" s="22" t="str">
        <f>HYPERLINK("https://rhld.insurance.arkansas.gov/NPILookup?Npi=1043221799","1043221799")</f>
        <v>1043221799</v>
      </c>
      <c r="E11137" s="1" t="s">
        <v>2492</v>
      </c>
      <c r="F11137" s="2"/>
      <c r="G11137" s="2"/>
      <c r="H11137" s="2"/>
    </row>
    <row r="11138" spans="1:8" x14ac:dyDescent="0.25">
      <c r="A11138" s="1"/>
      <c r="B11138" s="1" t="s">
        <v>5614</v>
      </c>
      <c r="C11138" s="1" t="s">
        <v>5615</v>
      </c>
      <c r="D11138" s="22" t="str">
        <f>HYPERLINK("https://rhld.insurance.arkansas.gov/NPILookup?Npi=1043288202","1043288202")</f>
        <v>1043288202</v>
      </c>
      <c r="E11138" s="1" t="s">
        <v>463</v>
      </c>
      <c r="F11138" s="2"/>
      <c r="G11138" s="2"/>
      <c r="H11138" s="2"/>
    </row>
    <row r="11139" spans="1:8" x14ac:dyDescent="0.25">
      <c r="A11139" s="1"/>
      <c r="B11139" s="1" t="s">
        <v>5614</v>
      </c>
      <c r="C11139" s="1" t="s">
        <v>5615</v>
      </c>
      <c r="D11139" s="22" t="str">
        <f>HYPERLINK("https://rhld.insurance.arkansas.gov/NPILookup?Npi=1043289101","1043289101")</f>
        <v>1043289101</v>
      </c>
      <c r="E11139" s="1" t="s">
        <v>20305</v>
      </c>
      <c r="F11139" s="2"/>
      <c r="G11139" s="2"/>
      <c r="H11139" s="2"/>
    </row>
    <row r="11140" spans="1:8" x14ac:dyDescent="0.25">
      <c r="A11140" s="1"/>
      <c r="B11140" s="1" t="s">
        <v>5614</v>
      </c>
      <c r="C11140" s="1" t="s">
        <v>5615</v>
      </c>
      <c r="D11140" s="22" t="str">
        <f>HYPERLINK("https://rhld.insurance.arkansas.gov/NPILookup?Npi=1043289119","1043289119")</f>
        <v>1043289119</v>
      </c>
      <c r="E11140" s="1" t="s">
        <v>5618</v>
      </c>
      <c r="F11140" s="2"/>
      <c r="G11140" s="2"/>
      <c r="H11140" s="2"/>
    </row>
    <row r="11141" spans="1:8" x14ac:dyDescent="0.25">
      <c r="A11141" s="1"/>
      <c r="B11141" s="1" t="s">
        <v>5614</v>
      </c>
      <c r="C11141" s="1" t="s">
        <v>5615</v>
      </c>
      <c r="D11141" s="22" t="str">
        <f>HYPERLINK("https://rhld.insurance.arkansas.gov/NPILookup?Npi=1043355506","1043355506")</f>
        <v>1043355506</v>
      </c>
      <c r="E11141" s="1" t="s">
        <v>20306</v>
      </c>
      <c r="F11141" s="2"/>
      <c r="G11141" s="2"/>
      <c r="H11141" s="2"/>
    </row>
    <row r="11142" spans="1:8" x14ac:dyDescent="0.25">
      <c r="A11142" s="1"/>
      <c r="B11142" s="1" t="s">
        <v>5614</v>
      </c>
      <c r="C11142" s="1" t="s">
        <v>5615</v>
      </c>
      <c r="D11142" s="22" t="str">
        <f>HYPERLINK("https://rhld.insurance.arkansas.gov/NPILookup?Npi=1043449713","1043449713")</f>
        <v>1043449713</v>
      </c>
      <c r="E11142" s="1" t="s">
        <v>20307</v>
      </c>
      <c r="F11142" s="2"/>
      <c r="G11142" s="2"/>
      <c r="H11142" s="2"/>
    </row>
    <row r="11143" spans="1:8" x14ac:dyDescent="0.25">
      <c r="A11143" s="1"/>
      <c r="B11143" s="1" t="s">
        <v>5614</v>
      </c>
      <c r="C11143" s="1" t="s">
        <v>5615</v>
      </c>
      <c r="D11143" s="22" t="str">
        <f>HYPERLINK("https://rhld.insurance.arkansas.gov/NPILookup?Npi=1043570757","1043570757")</f>
        <v>1043570757</v>
      </c>
      <c r="E11143" s="1" t="s">
        <v>20308</v>
      </c>
      <c r="F11143" s="2"/>
      <c r="G11143" s="2"/>
      <c r="H11143" s="2"/>
    </row>
    <row r="11144" spans="1:8" x14ac:dyDescent="0.25">
      <c r="A11144" s="1"/>
      <c r="B11144" s="1" t="s">
        <v>5614</v>
      </c>
      <c r="C11144" s="1" t="s">
        <v>5615</v>
      </c>
      <c r="D11144" s="22" t="str">
        <f>HYPERLINK("https://rhld.insurance.arkansas.gov/NPILookup?Npi=1043573280","1043573280")</f>
        <v>1043573280</v>
      </c>
      <c r="E11144" s="1" t="s">
        <v>20309</v>
      </c>
      <c r="F11144" s="2"/>
      <c r="G11144" s="2"/>
      <c r="H11144" s="2"/>
    </row>
    <row r="11145" spans="1:8" x14ac:dyDescent="0.25">
      <c r="A11145" s="1"/>
      <c r="B11145" s="1" t="s">
        <v>5614</v>
      </c>
      <c r="C11145" s="1" t="s">
        <v>5615</v>
      </c>
      <c r="D11145" s="22" t="str">
        <f>HYPERLINK("https://rhld.insurance.arkansas.gov/NPILookup?Npi=1043747595","1043747595")</f>
        <v>1043747595</v>
      </c>
      <c r="E11145" s="1" t="s">
        <v>20310</v>
      </c>
      <c r="F11145" s="2"/>
      <c r="G11145" s="2"/>
      <c r="H11145" s="2"/>
    </row>
    <row r="11146" spans="1:8" x14ac:dyDescent="0.25">
      <c r="A11146" s="1"/>
      <c r="B11146" s="1" t="s">
        <v>5614</v>
      </c>
      <c r="C11146" s="1" t="s">
        <v>5615</v>
      </c>
      <c r="D11146" s="22" t="str">
        <f>HYPERLINK("https://rhld.insurance.arkansas.gov/NPILookup?Npi=1053417360","1053417360")</f>
        <v>1053417360</v>
      </c>
      <c r="E11146" s="1" t="s">
        <v>20311</v>
      </c>
      <c r="F11146" s="2"/>
      <c r="G11146" s="2"/>
      <c r="H11146" s="2"/>
    </row>
    <row r="11147" spans="1:8" x14ac:dyDescent="0.25">
      <c r="A11147" s="1"/>
      <c r="B11147" s="1" t="s">
        <v>5614</v>
      </c>
      <c r="C11147" s="1" t="s">
        <v>5615</v>
      </c>
      <c r="D11147" s="22" t="str">
        <f>HYPERLINK("https://rhld.insurance.arkansas.gov/NPILookup?Npi=1053481457","1053481457")</f>
        <v>1053481457</v>
      </c>
      <c r="E11147" s="1" t="s">
        <v>20312</v>
      </c>
      <c r="F11147" s="2"/>
      <c r="G11147" s="2"/>
      <c r="H11147" s="2"/>
    </row>
    <row r="11148" spans="1:8" x14ac:dyDescent="0.25">
      <c r="A11148" s="1"/>
      <c r="B11148" s="1" t="s">
        <v>5614</v>
      </c>
      <c r="C11148" s="1" t="s">
        <v>5615</v>
      </c>
      <c r="D11148" s="22" t="str">
        <f>HYPERLINK("https://rhld.insurance.arkansas.gov/NPILookup?Npi=1053484139","1053484139")</f>
        <v>1053484139</v>
      </c>
      <c r="E11148" s="1" t="s">
        <v>20313</v>
      </c>
      <c r="F11148" s="2"/>
      <c r="G11148" s="2"/>
      <c r="H11148" s="2"/>
    </row>
    <row r="11149" spans="1:8" x14ac:dyDescent="0.25">
      <c r="A11149" s="1"/>
      <c r="B11149" s="1" t="s">
        <v>5614</v>
      </c>
      <c r="C11149" s="1" t="s">
        <v>5615</v>
      </c>
      <c r="D11149" s="22" t="str">
        <f>HYPERLINK("https://rhld.insurance.arkansas.gov/NPILookup?Npi=1063048098","1063048098")</f>
        <v>1063048098</v>
      </c>
      <c r="E11149" s="1" t="s">
        <v>20314</v>
      </c>
      <c r="F11149" s="2"/>
      <c r="G11149" s="2"/>
      <c r="H11149" s="2"/>
    </row>
    <row r="11150" spans="1:8" x14ac:dyDescent="0.25">
      <c r="A11150" s="1"/>
      <c r="B11150" s="1" t="s">
        <v>5614</v>
      </c>
      <c r="C11150" s="1" t="s">
        <v>5615</v>
      </c>
      <c r="D11150" s="22" t="str">
        <f>HYPERLINK("https://rhld.insurance.arkansas.gov/NPILookup?Npi=1063082907","1063082907")</f>
        <v>1063082907</v>
      </c>
      <c r="E11150" s="1" t="s">
        <v>20315</v>
      </c>
      <c r="F11150" s="2"/>
      <c r="G11150" s="2"/>
      <c r="H11150" s="2"/>
    </row>
    <row r="11151" spans="1:8" x14ac:dyDescent="0.25">
      <c r="A11151" s="1"/>
      <c r="B11151" s="1" t="s">
        <v>5614</v>
      </c>
      <c r="C11151" s="1" t="s">
        <v>5615</v>
      </c>
      <c r="D11151" s="22" t="str">
        <f>HYPERLINK("https://rhld.insurance.arkansas.gov/NPILookup?Npi=1063184430","1063184430")</f>
        <v>1063184430</v>
      </c>
      <c r="E11151" s="1" t="s">
        <v>20316</v>
      </c>
      <c r="F11151" s="2"/>
      <c r="G11151" s="2"/>
      <c r="H11151" s="2"/>
    </row>
    <row r="11152" spans="1:8" x14ac:dyDescent="0.25">
      <c r="A11152" s="1"/>
      <c r="B11152" s="1" t="s">
        <v>5614</v>
      </c>
      <c r="C11152" s="1" t="s">
        <v>5615</v>
      </c>
      <c r="D11152" s="22" t="str">
        <f>HYPERLINK("https://rhld.insurance.arkansas.gov/NPILookup?Npi=1063448405","1063448405")</f>
        <v>1063448405</v>
      </c>
      <c r="E11152" s="1" t="s">
        <v>20317</v>
      </c>
      <c r="F11152" s="2"/>
      <c r="G11152" s="2"/>
      <c r="H11152" s="2"/>
    </row>
    <row r="11153" spans="1:8" x14ac:dyDescent="0.25">
      <c r="A11153" s="1"/>
      <c r="B11153" s="1" t="s">
        <v>5614</v>
      </c>
      <c r="C11153" s="1" t="s">
        <v>5615</v>
      </c>
      <c r="D11153" s="22" t="str">
        <f>HYPERLINK("https://rhld.insurance.arkansas.gov/NPILookup?Npi=1063693406","1063693406")</f>
        <v>1063693406</v>
      </c>
      <c r="E11153" s="1" t="s">
        <v>20318</v>
      </c>
      <c r="F11153" s="2"/>
      <c r="G11153" s="2"/>
      <c r="H11153" s="2"/>
    </row>
    <row r="11154" spans="1:8" x14ac:dyDescent="0.25">
      <c r="A11154" s="1"/>
      <c r="B11154" s="1" t="s">
        <v>5614</v>
      </c>
      <c r="C11154" s="1" t="s">
        <v>5615</v>
      </c>
      <c r="D11154" s="22" t="str">
        <f>HYPERLINK("https://rhld.insurance.arkansas.gov/NPILookup?Npi=1073280749","1073280749")</f>
        <v>1073280749</v>
      </c>
      <c r="E11154" s="1" t="s">
        <v>20319</v>
      </c>
      <c r="F11154" s="2"/>
      <c r="G11154" s="2"/>
      <c r="H11154" s="2"/>
    </row>
    <row r="11155" spans="1:8" x14ac:dyDescent="0.25">
      <c r="A11155" s="1"/>
      <c r="B11155" s="1" t="s">
        <v>5614</v>
      </c>
      <c r="C11155" s="1" t="s">
        <v>5615</v>
      </c>
      <c r="D11155" s="22" t="str">
        <f>HYPERLINK("https://rhld.insurance.arkansas.gov/NPILookup?Npi=1073549200","1073549200")</f>
        <v>1073549200</v>
      </c>
      <c r="E11155" s="1" t="s">
        <v>20320</v>
      </c>
      <c r="F11155" s="2"/>
      <c r="G11155" s="2"/>
      <c r="H11155" s="2"/>
    </row>
    <row r="11156" spans="1:8" x14ac:dyDescent="0.25">
      <c r="A11156" s="1"/>
      <c r="B11156" s="1" t="s">
        <v>5614</v>
      </c>
      <c r="C11156" s="1" t="s">
        <v>5615</v>
      </c>
      <c r="D11156" s="22" t="str">
        <f>HYPERLINK("https://rhld.insurance.arkansas.gov/NPILookup?Npi=1073564894","1073564894")</f>
        <v>1073564894</v>
      </c>
      <c r="E11156" s="1" t="s">
        <v>20321</v>
      </c>
      <c r="F11156" s="2"/>
      <c r="G11156" s="2"/>
      <c r="H11156" s="2"/>
    </row>
    <row r="11157" spans="1:8" x14ac:dyDescent="0.25">
      <c r="A11157" s="1"/>
      <c r="B11157" s="1" t="s">
        <v>5614</v>
      </c>
      <c r="C11157" s="1" t="s">
        <v>5615</v>
      </c>
      <c r="D11157" s="22" t="str">
        <f>HYPERLINK("https://rhld.insurance.arkansas.gov/NPILookup?Npi=1073691218","1073691218")</f>
        <v>1073691218</v>
      </c>
      <c r="E11157" s="1" t="s">
        <v>3585</v>
      </c>
      <c r="F11157" s="2"/>
      <c r="G11157" s="2"/>
      <c r="H11157" s="2"/>
    </row>
    <row r="11158" spans="1:8" x14ac:dyDescent="0.25">
      <c r="A11158" s="1"/>
      <c r="B11158" s="1" t="s">
        <v>5614</v>
      </c>
      <c r="C11158" s="1" t="s">
        <v>5615</v>
      </c>
      <c r="D11158" s="22" t="str">
        <f>HYPERLINK("https://rhld.insurance.arkansas.gov/NPILookup?Npi=1073946596","1073946596")</f>
        <v>1073946596</v>
      </c>
      <c r="E11158" s="1" t="s">
        <v>3586</v>
      </c>
      <c r="F11158" s="2"/>
      <c r="G11158" s="2"/>
      <c r="H11158" s="2"/>
    </row>
    <row r="11159" spans="1:8" x14ac:dyDescent="0.25">
      <c r="A11159" s="1"/>
      <c r="B11159" s="1" t="s">
        <v>5614</v>
      </c>
      <c r="C11159" s="1" t="s">
        <v>5615</v>
      </c>
      <c r="D11159" s="22" t="str">
        <f>HYPERLINK("https://rhld.insurance.arkansas.gov/NPILookup?Npi=1083027957","1083027957")</f>
        <v>1083027957</v>
      </c>
      <c r="E11159" s="1" t="s">
        <v>990</v>
      </c>
      <c r="F11159" s="2"/>
      <c r="G11159" s="2"/>
      <c r="H11159" s="2"/>
    </row>
    <row r="11160" spans="1:8" x14ac:dyDescent="0.25">
      <c r="A11160" s="1"/>
      <c r="B11160" s="1" t="s">
        <v>5614</v>
      </c>
      <c r="C11160" s="1" t="s">
        <v>5615</v>
      </c>
      <c r="D11160" s="22" t="str">
        <f>HYPERLINK("https://rhld.insurance.arkansas.gov/NPILookup?Npi=1083074363","1083074363")</f>
        <v>1083074363</v>
      </c>
      <c r="E11160" s="1" t="s">
        <v>3587</v>
      </c>
      <c r="F11160" s="2"/>
      <c r="G11160" s="2"/>
      <c r="H11160" s="2"/>
    </row>
    <row r="11161" spans="1:8" x14ac:dyDescent="0.25">
      <c r="A11161" s="1"/>
      <c r="B11161" s="1" t="s">
        <v>5614</v>
      </c>
      <c r="C11161" s="1" t="s">
        <v>5615</v>
      </c>
      <c r="D11161" s="22" t="str">
        <f>HYPERLINK("https://rhld.insurance.arkansas.gov/NPILookup?Npi=1083191555","1083191555")</f>
        <v>1083191555</v>
      </c>
      <c r="E11161" s="1" t="s">
        <v>20322</v>
      </c>
      <c r="F11161" s="2"/>
      <c r="G11161" s="2"/>
      <c r="H11161" s="2"/>
    </row>
    <row r="11162" spans="1:8" x14ac:dyDescent="0.25">
      <c r="A11162" s="1"/>
      <c r="B11162" s="1" t="s">
        <v>5614</v>
      </c>
      <c r="C11162" s="1" t="s">
        <v>5615</v>
      </c>
      <c r="D11162" s="22" t="str">
        <f>HYPERLINK("https://rhld.insurance.arkansas.gov/NPILookup?Npi=1083610505","1083610505")</f>
        <v>1083610505</v>
      </c>
      <c r="E11162" s="1" t="s">
        <v>20323</v>
      </c>
      <c r="F11162" s="2"/>
      <c r="G11162" s="2"/>
      <c r="H11162" s="2"/>
    </row>
    <row r="11163" spans="1:8" x14ac:dyDescent="0.25">
      <c r="A11163" s="1"/>
      <c r="B11163" s="1" t="s">
        <v>5614</v>
      </c>
      <c r="C11163" s="1" t="s">
        <v>5615</v>
      </c>
      <c r="D11163" s="22" t="str">
        <f>HYPERLINK("https://rhld.insurance.arkansas.gov/NPILookup?Npi=1083676027","1083676027")</f>
        <v>1083676027</v>
      </c>
      <c r="E11163" s="1" t="s">
        <v>20324</v>
      </c>
      <c r="F11163" s="2"/>
      <c r="G11163" s="2"/>
      <c r="H11163" s="2"/>
    </row>
    <row r="11164" spans="1:8" x14ac:dyDescent="0.25">
      <c r="A11164" s="1"/>
      <c r="B11164" s="1" t="s">
        <v>5614</v>
      </c>
      <c r="C11164" s="1" t="s">
        <v>5615</v>
      </c>
      <c r="D11164" s="22" t="str">
        <f>HYPERLINK("https://rhld.insurance.arkansas.gov/NPILookup?Npi=1083718373","1083718373")</f>
        <v>1083718373</v>
      </c>
      <c r="E11164" s="1" t="s">
        <v>20325</v>
      </c>
      <c r="F11164" s="2"/>
      <c r="G11164" s="2"/>
      <c r="H11164" s="2"/>
    </row>
    <row r="11165" spans="1:8" x14ac:dyDescent="0.25">
      <c r="A11165" s="1"/>
      <c r="B11165" s="1" t="s">
        <v>5614</v>
      </c>
      <c r="C11165" s="1" t="s">
        <v>5615</v>
      </c>
      <c r="D11165" s="22" t="str">
        <f>HYPERLINK("https://rhld.insurance.arkansas.gov/NPILookup?Npi=1083752570","1083752570")</f>
        <v>1083752570</v>
      </c>
      <c r="E11165" s="1" t="s">
        <v>20326</v>
      </c>
      <c r="F11165" s="2"/>
      <c r="G11165" s="2"/>
      <c r="H11165" s="2"/>
    </row>
    <row r="11166" spans="1:8" x14ac:dyDescent="0.25">
      <c r="A11166" s="1"/>
      <c r="B11166" s="1" t="s">
        <v>5614</v>
      </c>
      <c r="C11166" s="1" t="s">
        <v>5615</v>
      </c>
      <c r="D11166" s="22" t="str">
        <f>HYPERLINK("https://rhld.insurance.arkansas.gov/NPILookup?Npi=1083776611","1083776611")</f>
        <v>1083776611</v>
      </c>
      <c r="E11166" s="1" t="s">
        <v>20327</v>
      </c>
      <c r="F11166" s="2"/>
      <c r="G11166" s="2"/>
      <c r="H11166" s="2"/>
    </row>
    <row r="11167" spans="1:8" x14ac:dyDescent="0.25">
      <c r="A11167" s="1"/>
      <c r="B11167" s="1" t="s">
        <v>5614</v>
      </c>
      <c r="C11167" s="1" t="s">
        <v>5615</v>
      </c>
      <c r="D11167" s="22" t="str">
        <f>HYPERLINK("https://rhld.insurance.arkansas.gov/NPILookup?Npi=1083853337","1083853337")</f>
        <v>1083853337</v>
      </c>
      <c r="E11167" s="1" t="s">
        <v>5620</v>
      </c>
      <c r="F11167" s="2"/>
      <c r="G11167" s="2"/>
      <c r="H11167" s="2"/>
    </row>
    <row r="11168" spans="1:8" x14ac:dyDescent="0.25">
      <c r="A11168" s="1"/>
      <c r="B11168" s="1" t="s">
        <v>5614</v>
      </c>
      <c r="C11168" s="1" t="s">
        <v>5615</v>
      </c>
      <c r="D11168" s="22" t="str">
        <f>HYPERLINK("https://rhld.insurance.arkansas.gov/NPILookup?Npi=1093008302","1093008302")</f>
        <v>1093008302</v>
      </c>
      <c r="E11168" s="1" t="s">
        <v>1691</v>
      </c>
      <c r="F11168" s="2"/>
      <c r="G11168" s="2"/>
      <c r="H11168" s="2"/>
    </row>
    <row r="11169" spans="1:8" x14ac:dyDescent="0.25">
      <c r="A11169" s="1"/>
      <c r="B11169" s="1" t="s">
        <v>5614</v>
      </c>
      <c r="C11169" s="1" t="s">
        <v>5615</v>
      </c>
      <c r="D11169" s="22" t="str">
        <f>HYPERLINK("https://rhld.insurance.arkansas.gov/NPILookup?Npi=1093076820","1093076820")</f>
        <v>1093076820</v>
      </c>
      <c r="E11169" s="1" t="s">
        <v>20328</v>
      </c>
      <c r="F11169" s="2"/>
      <c r="G11169" s="2"/>
      <c r="H11169" s="2"/>
    </row>
    <row r="11170" spans="1:8" x14ac:dyDescent="0.25">
      <c r="A11170" s="1"/>
      <c r="B11170" s="1" t="s">
        <v>5614</v>
      </c>
      <c r="C11170" s="1" t="s">
        <v>5615</v>
      </c>
      <c r="D11170" s="22" t="str">
        <f>HYPERLINK("https://rhld.insurance.arkansas.gov/NPILookup?Npi=1093375008","1093375008")</f>
        <v>1093375008</v>
      </c>
      <c r="E11170" s="1" t="s">
        <v>2567</v>
      </c>
      <c r="F11170" s="2"/>
      <c r="G11170" s="2"/>
      <c r="H11170" s="2"/>
    </row>
    <row r="11171" spans="1:8" x14ac:dyDescent="0.25">
      <c r="A11171" s="1"/>
      <c r="B11171" s="1" t="s">
        <v>5614</v>
      </c>
      <c r="C11171" s="1" t="s">
        <v>5615</v>
      </c>
      <c r="D11171" s="22" t="str">
        <f>HYPERLINK("https://rhld.insurance.arkansas.gov/NPILookup?Npi=1093386781","1093386781")</f>
        <v>1093386781</v>
      </c>
      <c r="E11171" s="1" t="s">
        <v>5621</v>
      </c>
      <c r="F11171" s="2"/>
      <c r="G11171" s="2"/>
      <c r="H11171" s="2"/>
    </row>
    <row r="11172" spans="1:8" x14ac:dyDescent="0.25">
      <c r="A11172" s="1"/>
      <c r="B11172" s="1" t="s">
        <v>5614</v>
      </c>
      <c r="C11172" s="1" t="s">
        <v>5615</v>
      </c>
      <c r="D11172" s="22" t="str">
        <f>HYPERLINK("https://rhld.insurance.arkansas.gov/NPILookup?Npi=1093709081","1093709081")</f>
        <v>1093709081</v>
      </c>
      <c r="E11172" s="1" t="s">
        <v>20329</v>
      </c>
      <c r="F11172" s="2"/>
      <c r="G11172" s="2"/>
      <c r="H11172" s="2"/>
    </row>
    <row r="11173" spans="1:8" x14ac:dyDescent="0.25">
      <c r="A11173" s="1"/>
      <c r="B11173" s="1" t="s">
        <v>5614</v>
      </c>
      <c r="C11173" s="1" t="s">
        <v>5615</v>
      </c>
      <c r="D11173" s="22" t="str">
        <f>HYPERLINK("https://rhld.insurance.arkansas.gov/NPILookup?Npi=1093710857","1093710857")</f>
        <v>1093710857</v>
      </c>
      <c r="E11173" s="1" t="s">
        <v>20330</v>
      </c>
      <c r="F11173" s="2"/>
      <c r="G11173" s="2"/>
      <c r="H11173" s="2"/>
    </row>
    <row r="11174" spans="1:8" x14ac:dyDescent="0.25">
      <c r="A11174" s="1"/>
      <c r="B11174" s="1" t="s">
        <v>5614</v>
      </c>
      <c r="C11174" s="1" t="s">
        <v>5615</v>
      </c>
      <c r="D11174" s="22" t="str">
        <f>HYPERLINK("https://rhld.insurance.arkansas.gov/NPILookup?Npi=1093719957","1093719957")</f>
        <v>1093719957</v>
      </c>
      <c r="E11174" s="1" t="s">
        <v>3588</v>
      </c>
      <c r="F11174" s="2"/>
      <c r="G11174" s="2"/>
      <c r="H11174" s="2"/>
    </row>
    <row r="11175" spans="1:8" x14ac:dyDescent="0.25">
      <c r="A11175" s="1"/>
      <c r="B11175" s="1" t="s">
        <v>5614</v>
      </c>
      <c r="C11175" s="1" t="s">
        <v>5615</v>
      </c>
      <c r="D11175" s="22" t="str">
        <f>HYPERLINK("https://rhld.insurance.arkansas.gov/NPILookup?Npi=1093747735","1093747735")</f>
        <v>1093747735</v>
      </c>
      <c r="E11175" s="1" t="s">
        <v>20331</v>
      </c>
      <c r="F11175" s="2"/>
      <c r="G11175" s="2"/>
      <c r="H11175" s="2"/>
    </row>
    <row r="11176" spans="1:8" x14ac:dyDescent="0.25">
      <c r="A11176" s="1"/>
      <c r="B11176" s="1" t="s">
        <v>5614</v>
      </c>
      <c r="C11176" s="1" t="s">
        <v>5615</v>
      </c>
      <c r="D11176" s="22" t="str">
        <f>HYPERLINK("https://rhld.insurance.arkansas.gov/NPILookup?Npi=1093772816","1093772816")</f>
        <v>1093772816</v>
      </c>
      <c r="E11176" s="1" t="s">
        <v>20332</v>
      </c>
      <c r="F11176" s="2"/>
      <c r="G11176" s="2"/>
      <c r="H11176" s="2"/>
    </row>
    <row r="11177" spans="1:8" x14ac:dyDescent="0.25">
      <c r="A11177" s="1"/>
      <c r="B11177" s="1" t="s">
        <v>5614</v>
      </c>
      <c r="C11177" s="1" t="s">
        <v>5615</v>
      </c>
      <c r="D11177" s="22" t="str">
        <f>HYPERLINK("https://rhld.insurance.arkansas.gov/NPILookup?Npi=1093987893","1093987893")</f>
        <v>1093987893</v>
      </c>
      <c r="E11177" s="1" t="s">
        <v>20333</v>
      </c>
      <c r="F11177" s="2"/>
      <c r="G11177" s="2"/>
      <c r="H11177" s="2"/>
    </row>
    <row r="11178" spans="1:8" x14ac:dyDescent="0.25">
      <c r="A11178" s="1"/>
      <c r="B11178" s="1" t="s">
        <v>5614</v>
      </c>
      <c r="C11178" s="1" t="s">
        <v>5615</v>
      </c>
      <c r="D11178" s="22" t="str">
        <f>HYPERLINK("https://rhld.insurance.arkansas.gov/NPILookup?Npi=1104016484","1104016484")</f>
        <v>1104016484</v>
      </c>
      <c r="E11178" s="1" t="s">
        <v>20334</v>
      </c>
      <c r="F11178" s="2"/>
      <c r="G11178" s="2"/>
      <c r="H11178" s="2"/>
    </row>
    <row r="11179" spans="1:8" x14ac:dyDescent="0.25">
      <c r="A11179" s="1"/>
      <c r="B11179" s="1" t="s">
        <v>5614</v>
      </c>
      <c r="C11179" s="1" t="s">
        <v>5615</v>
      </c>
      <c r="D11179" s="22" t="str">
        <f>HYPERLINK("https://rhld.insurance.arkansas.gov/NPILookup?Npi=1104478296","1104478296")</f>
        <v>1104478296</v>
      </c>
      <c r="E11179" s="1" t="s">
        <v>20335</v>
      </c>
      <c r="F11179" s="2"/>
      <c r="G11179" s="2"/>
      <c r="H11179" s="2"/>
    </row>
    <row r="11180" spans="1:8" x14ac:dyDescent="0.25">
      <c r="A11180" s="1"/>
      <c r="B11180" s="1" t="s">
        <v>5614</v>
      </c>
      <c r="C11180" s="1" t="s">
        <v>5615</v>
      </c>
      <c r="D11180" s="22" t="str">
        <f>HYPERLINK("https://rhld.insurance.arkansas.gov/NPILookup?Npi=1104490044","1104490044")</f>
        <v>1104490044</v>
      </c>
      <c r="E11180" s="1" t="s">
        <v>20336</v>
      </c>
      <c r="F11180" s="2"/>
      <c r="G11180" s="2"/>
      <c r="H11180" s="2"/>
    </row>
    <row r="11181" spans="1:8" x14ac:dyDescent="0.25">
      <c r="A11181" s="1"/>
      <c r="B11181" s="1" t="s">
        <v>5614</v>
      </c>
      <c r="C11181" s="1" t="s">
        <v>5615</v>
      </c>
      <c r="D11181" s="22" t="str">
        <f>HYPERLINK("https://rhld.insurance.arkansas.gov/NPILookup?Npi=1104558410","1104558410")</f>
        <v>1104558410</v>
      </c>
      <c r="E11181" s="1" t="s">
        <v>20337</v>
      </c>
      <c r="F11181" s="2"/>
      <c r="G11181" s="2"/>
      <c r="H11181" s="2"/>
    </row>
    <row r="11182" spans="1:8" x14ac:dyDescent="0.25">
      <c r="A11182" s="1"/>
      <c r="B11182" s="1" t="s">
        <v>5614</v>
      </c>
      <c r="C11182" s="1" t="s">
        <v>5615</v>
      </c>
      <c r="D11182" s="22" t="str">
        <f>HYPERLINK("https://rhld.insurance.arkansas.gov/NPILookup?Npi=1104814656","1104814656")</f>
        <v>1104814656</v>
      </c>
      <c r="E11182" s="1" t="s">
        <v>20338</v>
      </c>
      <c r="F11182" s="2"/>
      <c r="G11182" s="2"/>
      <c r="H11182" s="2"/>
    </row>
    <row r="11183" spans="1:8" x14ac:dyDescent="0.25">
      <c r="A11183" s="1"/>
      <c r="B11183" s="1" t="s">
        <v>5614</v>
      </c>
      <c r="C11183" s="1" t="s">
        <v>5615</v>
      </c>
      <c r="D11183" s="22" t="str">
        <f>HYPERLINK("https://rhld.insurance.arkansas.gov/NPILookup?Npi=1104857333","1104857333")</f>
        <v>1104857333</v>
      </c>
      <c r="E11183" s="1" t="s">
        <v>20339</v>
      </c>
      <c r="F11183" s="2"/>
      <c r="G11183" s="2"/>
      <c r="H11183" s="2"/>
    </row>
    <row r="11184" spans="1:8" x14ac:dyDescent="0.25">
      <c r="A11184" s="1"/>
      <c r="B11184" s="1" t="s">
        <v>5614</v>
      </c>
      <c r="C11184" s="1" t="s">
        <v>5615</v>
      </c>
      <c r="D11184" s="22" t="str">
        <f>HYPERLINK("https://rhld.insurance.arkansas.gov/NPILookup?Npi=1104880657","1104880657")</f>
        <v>1104880657</v>
      </c>
      <c r="E11184" s="1" t="s">
        <v>11221</v>
      </c>
      <c r="F11184" s="2"/>
      <c r="G11184" s="2"/>
      <c r="H11184" s="2"/>
    </row>
    <row r="11185" spans="1:8" x14ac:dyDescent="0.25">
      <c r="A11185" s="1"/>
      <c r="B11185" s="1" t="s">
        <v>5614</v>
      </c>
      <c r="C11185" s="1" t="s">
        <v>5615</v>
      </c>
      <c r="D11185" s="22" t="str">
        <f>HYPERLINK("https://rhld.insurance.arkansas.gov/NPILookup?Npi=1104883701","1104883701")</f>
        <v>1104883701</v>
      </c>
      <c r="E11185" s="1" t="s">
        <v>991</v>
      </c>
      <c r="F11185" s="2"/>
      <c r="G11185" s="2"/>
      <c r="H11185" s="2"/>
    </row>
    <row r="11186" spans="1:8" x14ac:dyDescent="0.25">
      <c r="A11186" s="1"/>
      <c r="B11186" s="1" t="s">
        <v>5614</v>
      </c>
      <c r="C11186" s="1" t="s">
        <v>5615</v>
      </c>
      <c r="D11186" s="22" t="str">
        <f>HYPERLINK("https://rhld.insurance.arkansas.gov/NPILookup?Npi=1114051661","1114051661")</f>
        <v>1114051661</v>
      </c>
      <c r="E11186" s="1" t="s">
        <v>5622</v>
      </c>
      <c r="F11186" s="2"/>
      <c r="G11186" s="2"/>
      <c r="H11186" s="2"/>
    </row>
    <row r="11187" spans="1:8" x14ac:dyDescent="0.25">
      <c r="A11187" s="1"/>
      <c r="B11187" s="1" t="s">
        <v>5614</v>
      </c>
      <c r="C11187" s="1" t="s">
        <v>5615</v>
      </c>
      <c r="D11187" s="22" t="str">
        <f>HYPERLINK("https://rhld.insurance.arkansas.gov/NPILookup?Npi=1114301645","1114301645")</f>
        <v>1114301645</v>
      </c>
      <c r="E11187" s="1" t="s">
        <v>2298</v>
      </c>
      <c r="F11187" s="2"/>
      <c r="G11187" s="2"/>
      <c r="H11187" s="2"/>
    </row>
    <row r="11188" spans="1:8" x14ac:dyDescent="0.25">
      <c r="A11188" s="1"/>
      <c r="B11188" s="1" t="s">
        <v>5614</v>
      </c>
      <c r="C11188" s="1" t="s">
        <v>5615</v>
      </c>
      <c r="D11188" s="22" t="str">
        <f>HYPERLINK("https://rhld.insurance.arkansas.gov/NPILookup?Npi=1114374626","1114374626")</f>
        <v>1114374626</v>
      </c>
      <c r="E11188" s="1" t="s">
        <v>2299</v>
      </c>
      <c r="F11188" s="2"/>
      <c r="G11188" s="2"/>
      <c r="H11188" s="2"/>
    </row>
    <row r="11189" spans="1:8" x14ac:dyDescent="0.25">
      <c r="A11189" s="1"/>
      <c r="B11189" s="1" t="s">
        <v>5614</v>
      </c>
      <c r="C11189" s="1" t="s">
        <v>5615</v>
      </c>
      <c r="D11189" s="22" t="str">
        <f>HYPERLINK("https://rhld.insurance.arkansas.gov/NPILookup?Npi=1114488335","1114488335")</f>
        <v>1114488335</v>
      </c>
      <c r="E11189" s="1" t="s">
        <v>5623</v>
      </c>
      <c r="F11189" s="2"/>
      <c r="G11189" s="2"/>
      <c r="H11189" s="2"/>
    </row>
    <row r="11190" spans="1:8" x14ac:dyDescent="0.25">
      <c r="A11190" s="1"/>
      <c r="B11190" s="1" t="s">
        <v>5614</v>
      </c>
      <c r="C11190" s="1" t="s">
        <v>5615</v>
      </c>
      <c r="D11190" s="22" t="str">
        <f>HYPERLINK("https://rhld.insurance.arkansas.gov/NPILookup?Npi=1114597481","1114597481")</f>
        <v>1114597481</v>
      </c>
      <c r="E11190" s="1" t="s">
        <v>1506</v>
      </c>
      <c r="F11190" s="2"/>
      <c r="G11190" s="2"/>
      <c r="H11190" s="2"/>
    </row>
    <row r="11191" spans="1:8" x14ac:dyDescent="0.25">
      <c r="A11191" s="1"/>
      <c r="B11191" s="1" t="s">
        <v>5614</v>
      </c>
      <c r="C11191" s="1" t="s">
        <v>5615</v>
      </c>
      <c r="D11191" s="22" t="str">
        <f>HYPERLINK("https://rhld.insurance.arkansas.gov/NPILookup?Npi=1114656485","1114656485")</f>
        <v>1114656485</v>
      </c>
      <c r="E11191" s="1" t="s">
        <v>20340</v>
      </c>
      <c r="F11191" s="2"/>
      <c r="G11191" s="2"/>
      <c r="H11191" s="2"/>
    </row>
    <row r="11192" spans="1:8" x14ac:dyDescent="0.25">
      <c r="A11192" s="1"/>
      <c r="B11192" s="1" t="s">
        <v>5614</v>
      </c>
      <c r="C11192" s="1" t="s">
        <v>5615</v>
      </c>
      <c r="D11192" s="22" t="str">
        <f>HYPERLINK("https://rhld.insurance.arkansas.gov/NPILookup?Npi=1124052188","1124052188")</f>
        <v>1124052188</v>
      </c>
      <c r="E11192" s="1" t="s">
        <v>992</v>
      </c>
      <c r="F11192" s="2"/>
      <c r="G11192" s="2"/>
      <c r="H11192" s="2"/>
    </row>
    <row r="11193" spans="1:8" x14ac:dyDescent="0.25">
      <c r="A11193" s="1"/>
      <c r="B11193" s="1" t="s">
        <v>5614</v>
      </c>
      <c r="C11193" s="1" t="s">
        <v>5615</v>
      </c>
      <c r="D11193" s="22" t="str">
        <f>HYPERLINK("https://rhld.insurance.arkansas.gov/NPILookup?Npi=1124065479","1124065479")</f>
        <v>1124065479</v>
      </c>
      <c r="E11193" s="1" t="s">
        <v>11222</v>
      </c>
      <c r="F11193" s="2"/>
      <c r="G11193" s="2"/>
      <c r="H11193" s="2"/>
    </row>
    <row r="11194" spans="1:8" x14ac:dyDescent="0.25">
      <c r="A11194" s="1"/>
      <c r="B11194" s="1" t="s">
        <v>5614</v>
      </c>
      <c r="C11194" s="1" t="s">
        <v>5615</v>
      </c>
      <c r="D11194" s="22" t="str">
        <f>HYPERLINK("https://rhld.insurance.arkansas.gov/NPILookup?Npi=1124089222","1124089222")</f>
        <v>1124089222</v>
      </c>
      <c r="E11194" s="1" t="s">
        <v>20341</v>
      </c>
      <c r="F11194" s="2"/>
      <c r="G11194" s="2"/>
      <c r="H11194" s="2"/>
    </row>
    <row r="11195" spans="1:8" x14ac:dyDescent="0.25">
      <c r="A11195" s="1"/>
      <c r="B11195" s="1" t="s">
        <v>5614</v>
      </c>
      <c r="C11195" s="1" t="s">
        <v>5615</v>
      </c>
      <c r="D11195" s="22" t="str">
        <f>HYPERLINK("https://rhld.insurance.arkansas.gov/NPILookup?Npi=1134136096","1134136096")</f>
        <v>1134136096</v>
      </c>
      <c r="E11195" s="1" t="s">
        <v>3589</v>
      </c>
      <c r="F11195" s="2"/>
      <c r="G11195" s="2"/>
      <c r="H11195" s="2"/>
    </row>
    <row r="11196" spans="1:8" x14ac:dyDescent="0.25">
      <c r="A11196" s="1"/>
      <c r="B11196" s="1" t="s">
        <v>5614</v>
      </c>
      <c r="C11196" s="1" t="s">
        <v>5615</v>
      </c>
      <c r="D11196" s="22" t="str">
        <f>HYPERLINK("https://rhld.insurance.arkansas.gov/NPILookup?Npi=1134162282","1134162282")</f>
        <v>1134162282</v>
      </c>
      <c r="E11196" s="1" t="s">
        <v>1565</v>
      </c>
      <c r="F11196" s="2"/>
      <c r="G11196" s="2"/>
      <c r="H11196" s="2"/>
    </row>
    <row r="11197" spans="1:8" x14ac:dyDescent="0.25">
      <c r="A11197" s="1"/>
      <c r="B11197" s="1" t="s">
        <v>5614</v>
      </c>
      <c r="C11197" s="1" t="s">
        <v>5615</v>
      </c>
      <c r="D11197" s="22" t="str">
        <f>HYPERLINK("https://rhld.insurance.arkansas.gov/NPILookup?Npi=1134190416","1134190416")</f>
        <v>1134190416</v>
      </c>
      <c r="E11197" s="1" t="s">
        <v>20342</v>
      </c>
      <c r="F11197" s="2"/>
      <c r="G11197" s="2"/>
      <c r="H11197" s="2"/>
    </row>
    <row r="11198" spans="1:8" x14ac:dyDescent="0.25">
      <c r="A11198" s="1"/>
      <c r="B11198" s="1" t="s">
        <v>5614</v>
      </c>
      <c r="C11198" s="1" t="s">
        <v>5615</v>
      </c>
      <c r="D11198" s="22" t="str">
        <f>HYPERLINK("https://rhld.insurance.arkansas.gov/NPILookup?Npi=1134244783","1134244783")</f>
        <v>1134244783</v>
      </c>
      <c r="E11198" s="1" t="s">
        <v>472</v>
      </c>
      <c r="F11198" s="2"/>
      <c r="G11198" s="2"/>
      <c r="H11198" s="2"/>
    </row>
    <row r="11199" spans="1:8" x14ac:dyDescent="0.25">
      <c r="A11199" s="1"/>
      <c r="B11199" s="1" t="s">
        <v>5614</v>
      </c>
      <c r="C11199" s="1" t="s">
        <v>5615</v>
      </c>
      <c r="D11199" s="22" t="str">
        <f>HYPERLINK("https://rhld.insurance.arkansas.gov/NPILookup?Npi=1134515042","1134515042")</f>
        <v>1134515042</v>
      </c>
      <c r="E11199" s="1" t="s">
        <v>20343</v>
      </c>
      <c r="F11199" s="2"/>
      <c r="G11199" s="2"/>
      <c r="H11199" s="2"/>
    </row>
    <row r="11200" spans="1:8" x14ac:dyDescent="0.25">
      <c r="A11200" s="1"/>
      <c r="B11200" s="1" t="s">
        <v>5614</v>
      </c>
      <c r="C11200" s="1" t="s">
        <v>5615</v>
      </c>
      <c r="D11200" s="22" t="str">
        <f>HYPERLINK("https://rhld.insurance.arkansas.gov/NPILookup?Npi=1134534332","1134534332")</f>
        <v>1134534332</v>
      </c>
      <c r="E11200" s="1" t="s">
        <v>20344</v>
      </c>
      <c r="F11200" s="2"/>
      <c r="G11200" s="2"/>
      <c r="H11200" s="2"/>
    </row>
    <row r="11201" spans="1:8" x14ac:dyDescent="0.25">
      <c r="A11201" s="1"/>
      <c r="B11201" s="1" t="s">
        <v>5614</v>
      </c>
      <c r="C11201" s="1" t="s">
        <v>5615</v>
      </c>
      <c r="D11201" s="22" t="str">
        <f>HYPERLINK("https://rhld.insurance.arkansas.gov/NPILookup?Npi=1134579154","1134579154")</f>
        <v>1134579154</v>
      </c>
      <c r="E11201" s="1" t="s">
        <v>2300</v>
      </c>
      <c r="F11201" s="2"/>
      <c r="G11201" s="2"/>
      <c r="H11201" s="2"/>
    </row>
    <row r="11202" spans="1:8" x14ac:dyDescent="0.25">
      <c r="A11202" s="1"/>
      <c r="B11202" s="1" t="s">
        <v>5614</v>
      </c>
      <c r="C11202" s="1" t="s">
        <v>5615</v>
      </c>
      <c r="D11202" s="22" t="str">
        <f>HYPERLINK("https://rhld.insurance.arkansas.gov/NPILookup?Npi=1134610678","1134610678")</f>
        <v>1134610678</v>
      </c>
      <c r="E11202" s="1" t="s">
        <v>20345</v>
      </c>
      <c r="F11202" s="2"/>
      <c r="G11202" s="2"/>
      <c r="H11202" s="2"/>
    </row>
    <row r="11203" spans="1:8" x14ac:dyDescent="0.25">
      <c r="A11203" s="1"/>
      <c r="B11203" s="1" t="s">
        <v>5614</v>
      </c>
      <c r="C11203" s="1" t="s">
        <v>5615</v>
      </c>
      <c r="D11203" s="22" t="str">
        <f>HYPERLINK("https://rhld.insurance.arkansas.gov/NPILookup?Npi=1134649015","1134649015")</f>
        <v>1134649015</v>
      </c>
      <c r="E11203" s="1" t="s">
        <v>20346</v>
      </c>
      <c r="F11203" s="2"/>
      <c r="G11203" s="2"/>
      <c r="H11203" s="2"/>
    </row>
    <row r="11204" spans="1:8" x14ac:dyDescent="0.25">
      <c r="A11204" s="1"/>
      <c r="B11204" s="1" t="s">
        <v>5614</v>
      </c>
      <c r="C11204" s="1" t="s">
        <v>5615</v>
      </c>
      <c r="D11204" s="22" t="str">
        <f>HYPERLINK("https://rhld.insurance.arkansas.gov/NPILookup?Npi=1134797186","1134797186")</f>
        <v>1134797186</v>
      </c>
      <c r="E11204" s="1" t="s">
        <v>1921</v>
      </c>
      <c r="F11204" s="2"/>
      <c r="G11204" s="2"/>
      <c r="H11204" s="2"/>
    </row>
    <row r="11205" spans="1:8" x14ac:dyDescent="0.25">
      <c r="A11205" s="1"/>
      <c r="B11205" s="1" t="s">
        <v>5614</v>
      </c>
      <c r="C11205" s="1" t="s">
        <v>5615</v>
      </c>
      <c r="D11205" s="22" t="str">
        <f>HYPERLINK("https://rhld.insurance.arkansas.gov/NPILookup?Npi=1134867005","1134867005")</f>
        <v>1134867005</v>
      </c>
      <c r="E11205" s="1" t="s">
        <v>20347</v>
      </c>
      <c r="F11205" s="2"/>
      <c r="G11205" s="2"/>
      <c r="H11205" s="2"/>
    </row>
    <row r="11206" spans="1:8" x14ac:dyDescent="0.25">
      <c r="A11206" s="1"/>
      <c r="B11206" s="1" t="s">
        <v>5614</v>
      </c>
      <c r="C11206" s="1" t="s">
        <v>5615</v>
      </c>
      <c r="D11206" s="22" t="str">
        <f>HYPERLINK("https://rhld.insurance.arkansas.gov/NPILookup?Npi=1144228172","1144228172")</f>
        <v>1144228172</v>
      </c>
      <c r="E11206" s="1" t="s">
        <v>5625</v>
      </c>
      <c r="F11206" s="2"/>
      <c r="G11206" s="2"/>
      <c r="H11206" s="2"/>
    </row>
    <row r="11207" spans="1:8" x14ac:dyDescent="0.25">
      <c r="A11207" s="1"/>
      <c r="B11207" s="1" t="s">
        <v>5614</v>
      </c>
      <c r="C11207" s="1" t="s">
        <v>5615</v>
      </c>
      <c r="D11207" s="22" t="str">
        <f>HYPERLINK("https://rhld.insurance.arkansas.gov/NPILookup?Npi=1144410481","1144410481")</f>
        <v>1144410481</v>
      </c>
      <c r="E11207" s="1" t="s">
        <v>20348</v>
      </c>
      <c r="F11207" s="2"/>
      <c r="G11207" s="2"/>
      <c r="H11207" s="2"/>
    </row>
    <row r="11208" spans="1:8" x14ac:dyDescent="0.25">
      <c r="A11208" s="1"/>
      <c r="B11208" s="1" t="s">
        <v>5614</v>
      </c>
      <c r="C11208" s="1" t="s">
        <v>5615</v>
      </c>
      <c r="D11208" s="22" t="str">
        <f>HYPERLINK("https://rhld.insurance.arkansas.gov/NPILookup?Npi=1144468679","1144468679")</f>
        <v>1144468679</v>
      </c>
      <c r="E11208" s="1" t="s">
        <v>3590</v>
      </c>
      <c r="F11208" s="2"/>
      <c r="G11208" s="2"/>
      <c r="H11208" s="2"/>
    </row>
    <row r="11209" spans="1:8" x14ac:dyDescent="0.25">
      <c r="A11209" s="1"/>
      <c r="B11209" s="1" t="s">
        <v>5614</v>
      </c>
      <c r="C11209" s="1" t="s">
        <v>5615</v>
      </c>
      <c r="D11209" s="22" t="str">
        <f>HYPERLINK("https://rhld.insurance.arkansas.gov/NPILookup?Npi=1144848284","1144848284")</f>
        <v>1144848284</v>
      </c>
      <c r="E11209" s="1" t="s">
        <v>20349</v>
      </c>
      <c r="F11209" s="2"/>
      <c r="G11209" s="2"/>
      <c r="H11209" s="2"/>
    </row>
    <row r="11210" spans="1:8" x14ac:dyDescent="0.25">
      <c r="A11210" s="1"/>
      <c r="B11210" s="1" t="s">
        <v>5614</v>
      </c>
      <c r="C11210" s="1" t="s">
        <v>5615</v>
      </c>
      <c r="D11210" s="22" t="str">
        <f>HYPERLINK("https://rhld.insurance.arkansas.gov/NPILookup?Npi=1154071389","1154071389")</f>
        <v>1154071389</v>
      </c>
      <c r="E11210" s="1" t="s">
        <v>2568</v>
      </c>
      <c r="F11210" s="2"/>
      <c r="G11210" s="2"/>
      <c r="H11210" s="2"/>
    </row>
    <row r="11211" spans="1:8" x14ac:dyDescent="0.25">
      <c r="A11211" s="1"/>
      <c r="B11211" s="1" t="s">
        <v>5614</v>
      </c>
      <c r="C11211" s="1" t="s">
        <v>5615</v>
      </c>
      <c r="D11211" s="22" t="str">
        <f>HYPERLINK("https://rhld.insurance.arkansas.gov/NPILookup?Npi=1154330637","1154330637")</f>
        <v>1154330637</v>
      </c>
      <c r="E11211" s="1" t="s">
        <v>11223</v>
      </c>
      <c r="F11211" s="2"/>
      <c r="G11211" s="2"/>
      <c r="H11211" s="2"/>
    </row>
    <row r="11212" spans="1:8" x14ac:dyDescent="0.25">
      <c r="A11212" s="1"/>
      <c r="B11212" s="1" t="s">
        <v>5614</v>
      </c>
      <c r="C11212" s="1" t="s">
        <v>5615</v>
      </c>
      <c r="D11212" s="22" t="str">
        <f>HYPERLINK("https://rhld.insurance.arkansas.gov/NPILookup?Npi=1154378735","1154378735")</f>
        <v>1154378735</v>
      </c>
      <c r="E11212" s="1" t="s">
        <v>11224</v>
      </c>
      <c r="F11212" s="2"/>
      <c r="G11212" s="2"/>
      <c r="H11212" s="2"/>
    </row>
    <row r="11213" spans="1:8" x14ac:dyDescent="0.25">
      <c r="A11213" s="1"/>
      <c r="B11213" s="1" t="s">
        <v>5614</v>
      </c>
      <c r="C11213" s="1" t="s">
        <v>5615</v>
      </c>
      <c r="D11213" s="22" t="str">
        <f>HYPERLINK("https://rhld.insurance.arkansas.gov/NPILookup?Npi=1154522407","1154522407")</f>
        <v>1154522407</v>
      </c>
      <c r="E11213" s="1" t="s">
        <v>20350</v>
      </c>
      <c r="F11213" s="2"/>
      <c r="G11213" s="2"/>
      <c r="H11213" s="2"/>
    </row>
    <row r="11214" spans="1:8" x14ac:dyDescent="0.25">
      <c r="A11214" s="1"/>
      <c r="B11214" s="1" t="s">
        <v>5614</v>
      </c>
      <c r="C11214" s="1" t="s">
        <v>5615</v>
      </c>
      <c r="D11214" s="22" t="str">
        <f>HYPERLINK("https://rhld.insurance.arkansas.gov/NPILookup?Npi=1154540359","1154540359")</f>
        <v>1154540359</v>
      </c>
      <c r="E11214" s="1" t="s">
        <v>20351</v>
      </c>
      <c r="F11214" s="2"/>
      <c r="G11214" s="2"/>
      <c r="H11214" s="2"/>
    </row>
    <row r="11215" spans="1:8" x14ac:dyDescent="0.25">
      <c r="A11215" s="1"/>
      <c r="B11215" s="1" t="s">
        <v>5614</v>
      </c>
      <c r="C11215" s="1" t="s">
        <v>5615</v>
      </c>
      <c r="D11215" s="22" t="str">
        <f>HYPERLINK("https://rhld.insurance.arkansas.gov/NPILookup?Npi=1154543916","1154543916")</f>
        <v>1154543916</v>
      </c>
      <c r="E11215" s="1" t="s">
        <v>5626</v>
      </c>
      <c r="F11215" s="2"/>
      <c r="G11215" s="2"/>
      <c r="H11215" s="2"/>
    </row>
    <row r="11216" spans="1:8" x14ac:dyDescent="0.25">
      <c r="A11216" s="1"/>
      <c r="B11216" s="1" t="s">
        <v>5614</v>
      </c>
      <c r="C11216" s="1" t="s">
        <v>5615</v>
      </c>
      <c r="D11216" s="22" t="str">
        <f>HYPERLINK("https://rhld.insurance.arkansas.gov/NPILookup?Npi=1154673705","1154673705")</f>
        <v>1154673705</v>
      </c>
      <c r="E11216" s="1" t="s">
        <v>20352</v>
      </c>
      <c r="F11216" s="2"/>
      <c r="G11216" s="2"/>
      <c r="H11216" s="2"/>
    </row>
    <row r="11217" spans="1:8" x14ac:dyDescent="0.25">
      <c r="A11217" s="1"/>
      <c r="B11217" s="1" t="s">
        <v>5614</v>
      </c>
      <c r="C11217" s="1" t="s">
        <v>5615</v>
      </c>
      <c r="D11217" s="22" t="str">
        <f>HYPERLINK("https://rhld.insurance.arkansas.gov/NPILookup?Npi=1154807162","1154807162")</f>
        <v>1154807162</v>
      </c>
      <c r="E11217" s="1" t="s">
        <v>11225</v>
      </c>
      <c r="F11217" s="2"/>
      <c r="G11217" s="2"/>
      <c r="H11217" s="2"/>
    </row>
    <row r="11218" spans="1:8" x14ac:dyDescent="0.25">
      <c r="A11218" s="1"/>
      <c r="B11218" s="1" t="s">
        <v>5614</v>
      </c>
      <c r="C11218" s="1" t="s">
        <v>5615</v>
      </c>
      <c r="D11218" s="22" t="str">
        <f>HYPERLINK("https://rhld.insurance.arkansas.gov/NPILookup?Npi=1164464962","1164464962")</f>
        <v>1164464962</v>
      </c>
      <c r="E11218" s="1" t="s">
        <v>5627</v>
      </c>
      <c r="F11218" s="2"/>
      <c r="G11218" s="2"/>
      <c r="H11218" s="2"/>
    </row>
    <row r="11219" spans="1:8" x14ac:dyDescent="0.25">
      <c r="A11219" s="1"/>
      <c r="B11219" s="1" t="s">
        <v>5614</v>
      </c>
      <c r="C11219" s="1" t="s">
        <v>5615</v>
      </c>
      <c r="D11219" s="22" t="str">
        <f>HYPERLINK("https://rhld.insurance.arkansas.gov/NPILookup?Npi=1164478905","1164478905")</f>
        <v>1164478905</v>
      </c>
      <c r="E11219" s="1" t="s">
        <v>20353</v>
      </c>
      <c r="F11219" s="2"/>
      <c r="G11219" s="2"/>
      <c r="H11219" s="2"/>
    </row>
    <row r="11220" spans="1:8" x14ac:dyDescent="0.25">
      <c r="A11220" s="1"/>
      <c r="B11220" s="1" t="s">
        <v>5614</v>
      </c>
      <c r="C11220" s="1" t="s">
        <v>5615</v>
      </c>
      <c r="D11220" s="22" t="str">
        <f>HYPERLINK("https://rhld.insurance.arkansas.gov/NPILookup?Npi=1164714861","1164714861")</f>
        <v>1164714861</v>
      </c>
      <c r="E11220" s="1" t="s">
        <v>20354</v>
      </c>
      <c r="F11220" s="2"/>
      <c r="G11220" s="2"/>
      <c r="H11220" s="2"/>
    </row>
    <row r="11221" spans="1:8" x14ac:dyDescent="0.25">
      <c r="A11221" s="1"/>
      <c r="B11221" s="1" t="s">
        <v>5614</v>
      </c>
      <c r="C11221" s="1" t="s">
        <v>5615</v>
      </c>
      <c r="D11221" s="22" t="str">
        <f>HYPERLINK("https://rhld.insurance.arkansas.gov/NPILookup?Npi=1164982427","1164982427")</f>
        <v>1164982427</v>
      </c>
      <c r="E11221" s="1" t="s">
        <v>5628</v>
      </c>
      <c r="F11221" s="2"/>
      <c r="G11221" s="2"/>
      <c r="H11221" s="2"/>
    </row>
    <row r="11222" spans="1:8" x14ac:dyDescent="0.25">
      <c r="A11222" s="1"/>
      <c r="B11222" s="1" t="s">
        <v>5614</v>
      </c>
      <c r="C11222" s="1" t="s">
        <v>5615</v>
      </c>
      <c r="D11222" s="22" t="str">
        <f>HYPERLINK("https://rhld.insurance.arkansas.gov/NPILookup?Npi=1174009500","1174009500")</f>
        <v>1174009500</v>
      </c>
      <c r="E11222" s="1" t="s">
        <v>20355</v>
      </c>
      <c r="F11222" s="2"/>
      <c r="G11222" s="2"/>
      <c r="H11222" s="2"/>
    </row>
    <row r="11223" spans="1:8" x14ac:dyDescent="0.25">
      <c r="A11223" s="1"/>
      <c r="B11223" s="1" t="s">
        <v>5614</v>
      </c>
      <c r="C11223" s="1" t="s">
        <v>5615</v>
      </c>
      <c r="D11223" s="22" t="str">
        <f>HYPERLINK("https://rhld.insurance.arkansas.gov/NPILookup?Npi=1174052237","1174052237")</f>
        <v>1174052237</v>
      </c>
      <c r="E11223" s="1" t="s">
        <v>1922</v>
      </c>
      <c r="F11223" s="2"/>
      <c r="G11223" s="2"/>
      <c r="H11223" s="2"/>
    </row>
    <row r="11224" spans="1:8" x14ac:dyDescent="0.25">
      <c r="A11224" s="1"/>
      <c r="B11224" s="1" t="s">
        <v>5614</v>
      </c>
      <c r="C11224" s="1" t="s">
        <v>5615</v>
      </c>
      <c r="D11224" s="22" t="str">
        <f>HYPERLINK("https://rhld.insurance.arkansas.gov/NPILookup?Npi=1174054860","1174054860")</f>
        <v>1174054860</v>
      </c>
      <c r="E11224" s="1" t="s">
        <v>5629</v>
      </c>
      <c r="F11224" s="2"/>
      <c r="G11224" s="2"/>
      <c r="H11224" s="2"/>
    </row>
    <row r="11225" spans="1:8" x14ac:dyDescent="0.25">
      <c r="A11225" s="1"/>
      <c r="B11225" s="1" t="s">
        <v>5614</v>
      </c>
      <c r="C11225" s="1" t="s">
        <v>5615</v>
      </c>
      <c r="D11225" s="22" t="str">
        <f>HYPERLINK("https://rhld.insurance.arkansas.gov/NPILookup?Npi=1174184873","1174184873")</f>
        <v>1174184873</v>
      </c>
      <c r="E11225" s="1" t="s">
        <v>1456</v>
      </c>
      <c r="F11225" s="2"/>
      <c r="G11225" s="2"/>
      <c r="H11225" s="2"/>
    </row>
    <row r="11226" spans="1:8" x14ac:dyDescent="0.25">
      <c r="A11226" s="1"/>
      <c r="B11226" s="1" t="s">
        <v>5614</v>
      </c>
      <c r="C11226" s="1" t="s">
        <v>5615</v>
      </c>
      <c r="D11226" s="22" t="str">
        <f>HYPERLINK("https://rhld.insurance.arkansas.gov/NPILookup?Npi=1174191720","1174191720")</f>
        <v>1174191720</v>
      </c>
      <c r="E11226" s="1" t="s">
        <v>5630</v>
      </c>
      <c r="F11226" s="2"/>
      <c r="G11226" s="2"/>
      <c r="H11226" s="2"/>
    </row>
    <row r="11227" spans="1:8" x14ac:dyDescent="0.25">
      <c r="A11227" s="1"/>
      <c r="B11227" s="1" t="s">
        <v>5614</v>
      </c>
      <c r="C11227" s="1" t="s">
        <v>5615</v>
      </c>
      <c r="D11227" s="22" t="str">
        <f>HYPERLINK("https://rhld.insurance.arkansas.gov/NPILookup?Npi=1174628879","1174628879")</f>
        <v>1174628879</v>
      </c>
      <c r="E11227" s="1" t="s">
        <v>5631</v>
      </c>
      <c r="F11227" s="2"/>
      <c r="G11227" s="2"/>
      <c r="H11227" s="2"/>
    </row>
    <row r="11228" spans="1:8" x14ac:dyDescent="0.25">
      <c r="A11228" s="1"/>
      <c r="B11228" s="1" t="s">
        <v>5614</v>
      </c>
      <c r="C11228" s="1" t="s">
        <v>5615</v>
      </c>
      <c r="D11228" s="22" t="str">
        <f>HYPERLINK("https://rhld.insurance.arkansas.gov/NPILookup?Npi=1174699615","1174699615")</f>
        <v>1174699615</v>
      </c>
      <c r="E11228" s="1" t="s">
        <v>20356</v>
      </c>
      <c r="F11228" s="2"/>
      <c r="G11228" s="2"/>
      <c r="H11228" s="2"/>
    </row>
    <row r="11229" spans="1:8" x14ac:dyDescent="0.25">
      <c r="A11229" s="1"/>
      <c r="B11229" s="1" t="s">
        <v>5614</v>
      </c>
      <c r="C11229" s="1" t="s">
        <v>5615</v>
      </c>
      <c r="D11229" s="22" t="str">
        <f>HYPERLINK("https://rhld.insurance.arkansas.gov/NPILookup?Npi=1174729016","1174729016")</f>
        <v>1174729016</v>
      </c>
      <c r="E11229" s="1" t="s">
        <v>2301</v>
      </c>
      <c r="F11229" s="2"/>
      <c r="G11229" s="2"/>
      <c r="H11229" s="2"/>
    </row>
    <row r="11230" spans="1:8" x14ac:dyDescent="0.25">
      <c r="A11230" s="1"/>
      <c r="B11230" s="1" t="s">
        <v>5614</v>
      </c>
      <c r="C11230" s="1" t="s">
        <v>5615</v>
      </c>
      <c r="D11230" s="22" t="str">
        <f>HYPERLINK("https://rhld.insurance.arkansas.gov/NPILookup?Npi=1174811970","1174811970")</f>
        <v>1174811970</v>
      </c>
      <c r="E11230" s="1" t="s">
        <v>11226</v>
      </c>
      <c r="F11230" s="2"/>
      <c r="G11230" s="2"/>
      <c r="H11230" s="2"/>
    </row>
    <row r="11231" spans="1:8" x14ac:dyDescent="0.25">
      <c r="A11231" s="1"/>
      <c r="B11231" s="1" t="s">
        <v>5614</v>
      </c>
      <c r="C11231" s="1" t="s">
        <v>5615</v>
      </c>
      <c r="D11231" s="22" t="str">
        <f>HYPERLINK("https://rhld.insurance.arkansas.gov/NPILookup?Npi=1174837553","1174837553")</f>
        <v>1174837553</v>
      </c>
      <c r="E11231" s="1" t="s">
        <v>20357</v>
      </c>
      <c r="F11231" s="2"/>
      <c r="G11231" s="2"/>
      <c r="H11231" s="2"/>
    </row>
    <row r="11232" spans="1:8" x14ac:dyDescent="0.25">
      <c r="A11232" s="1"/>
      <c r="B11232" s="1" t="s">
        <v>5614</v>
      </c>
      <c r="C11232" s="1" t="s">
        <v>5615</v>
      </c>
      <c r="D11232" s="22" t="str">
        <f>HYPERLINK("https://rhld.insurance.arkansas.gov/NPILookup?Npi=1174879233","1174879233")</f>
        <v>1174879233</v>
      </c>
      <c r="E11232" s="1" t="s">
        <v>3591</v>
      </c>
      <c r="F11232" s="2"/>
      <c r="G11232" s="2"/>
      <c r="H11232" s="2"/>
    </row>
    <row r="11233" spans="1:8" x14ac:dyDescent="0.25">
      <c r="A11233" s="1"/>
      <c r="B11233" s="1" t="s">
        <v>5614</v>
      </c>
      <c r="C11233" s="1" t="s">
        <v>5615</v>
      </c>
      <c r="D11233" s="22" t="str">
        <f>HYPERLINK("https://rhld.insurance.arkansas.gov/NPILookup?Npi=1184010308","1184010308")</f>
        <v>1184010308</v>
      </c>
      <c r="E11233" s="1" t="s">
        <v>20358</v>
      </c>
      <c r="F11233" s="2"/>
      <c r="G11233" s="2"/>
      <c r="H11233" s="2"/>
    </row>
    <row r="11234" spans="1:8" x14ac:dyDescent="0.25">
      <c r="A11234" s="1"/>
      <c r="B11234" s="1" t="s">
        <v>5614</v>
      </c>
      <c r="C11234" s="1" t="s">
        <v>5615</v>
      </c>
      <c r="D11234" s="22" t="str">
        <f>HYPERLINK("https://rhld.insurance.arkansas.gov/NPILookup?Npi=1184172207","1184172207")</f>
        <v>1184172207</v>
      </c>
      <c r="E11234" s="1" t="s">
        <v>5632</v>
      </c>
      <c r="F11234" s="2"/>
      <c r="G11234" s="2"/>
      <c r="H11234" s="2"/>
    </row>
    <row r="11235" spans="1:8" x14ac:dyDescent="0.25">
      <c r="A11235" s="1"/>
      <c r="B11235" s="1" t="s">
        <v>5614</v>
      </c>
      <c r="C11235" s="1" t="s">
        <v>5615</v>
      </c>
      <c r="D11235" s="22" t="str">
        <f>HYPERLINK("https://rhld.insurance.arkansas.gov/NPILookup?Npi=1184359580","1184359580")</f>
        <v>1184359580</v>
      </c>
      <c r="E11235" s="1" t="s">
        <v>11227</v>
      </c>
      <c r="F11235" s="2"/>
      <c r="G11235" s="2"/>
      <c r="H11235" s="2"/>
    </row>
    <row r="11236" spans="1:8" x14ac:dyDescent="0.25">
      <c r="A11236" s="1"/>
      <c r="B11236" s="1" t="s">
        <v>5614</v>
      </c>
      <c r="C11236" s="1" t="s">
        <v>5615</v>
      </c>
      <c r="D11236" s="22" t="str">
        <f>HYPERLINK("https://rhld.insurance.arkansas.gov/NPILookup?Npi=1184617367","1184617367")</f>
        <v>1184617367</v>
      </c>
      <c r="E11236" s="1" t="s">
        <v>3592</v>
      </c>
      <c r="F11236" s="2"/>
      <c r="G11236" s="2"/>
      <c r="H11236" s="2"/>
    </row>
    <row r="11237" spans="1:8" x14ac:dyDescent="0.25">
      <c r="A11237" s="1"/>
      <c r="B11237" s="1" t="s">
        <v>5614</v>
      </c>
      <c r="C11237" s="1" t="s">
        <v>5615</v>
      </c>
      <c r="D11237" s="22" t="str">
        <f>HYPERLINK("https://rhld.insurance.arkansas.gov/NPILookup?Npi=1184621872","1184621872")</f>
        <v>1184621872</v>
      </c>
      <c r="E11237" s="1" t="s">
        <v>17062</v>
      </c>
      <c r="F11237" s="2"/>
      <c r="G11237" s="2"/>
      <c r="H11237" s="2"/>
    </row>
    <row r="11238" spans="1:8" x14ac:dyDescent="0.25">
      <c r="A11238" s="1"/>
      <c r="B11238" s="1" t="s">
        <v>5614</v>
      </c>
      <c r="C11238" s="1" t="s">
        <v>5615</v>
      </c>
      <c r="D11238" s="22" t="str">
        <f>HYPERLINK("https://rhld.insurance.arkansas.gov/NPILookup?Npi=1184633075","1184633075")</f>
        <v>1184633075</v>
      </c>
      <c r="E11238" s="1" t="s">
        <v>9805</v>
      </c>
      <c r="F11238" s="2"/>
      <c r="G11238" s="2"/>
      <c r="H11238" s="2"/>
    </row>
    <row r="11239" spans="1:8" x14ac:dyDescent="0.25">
      <c r="A11239" s="1"/>
      <c r="B11239" s="1" t="s">
        <v>5614</v>
      </c>
      <c r="C11239" s="1" t="s">
        <v>5615</v>
      </c>
      <c r="D11239" s="22" t="str">
        <f>HYPERLINK("https://rhld.insurance.arkansas.gov/NPILookup?Npi=1184804841","1184804841")</f>
        <v>1184804841</v>
      </c>
      <c r="E11239" s="1" t="s">
        <v>3593</v>
      </c>
      <c r="F11239" s="2"/>
      <c r="G11239" s="2"/>
      <c r="H11239" s="2"/>
    </row>
    <row r="11240" spans="1:8" x14ac:dyDescent="0.25">
      <c r="A11240" s="1"/>
      <c r="B11240" s="1" t="s">
        <v>5614</v>
      </c>
      <c r="C11240" s="1" t="s">
        <v>5615</v>
      </c>
      <c r="D11240" s="22" t="str">
        <f>HYPERLINK("https://rhld.insurance.arkansas.gov/NPILookup?Npi=1194203067","1194203067")</f>
        <v>1194203067</v>
      </c>
      <c r="E11240" s="1" t="s">
        <v>20359</v>
      </c>
      <c r="F11240" s="2"/>
      <c r="G11240" s="2"/>
      <c r="H11240" s="2"/>
    </row>
    <row r="11241" spans="1:8" x14ac:dyDescent="0.25">
      <c r="A11241" s="1"/>
      <c r="B11241" s="1" t="s">
        <v>5614</v>
      </c>
      <c r="C11241" s="1" t="s">
        <v>5615</v>
      </c>
      <c r="D11241" s="22" t="str">
        <f>HYPERLINK("https://rhld.insurance.arkansas.gov/NPILookup?Npi=1194321653","1194321653")</f>
        <v>1194321653</v>
      </c>
      <c r="E11241" s="1" t="s">
        <v>20360</v>
      </c>
      <c r="F11241" s="2"/>
      <c r="G11241" s="2"/>
      <c r="H11241" s="2"/>
    </row>
    <row r="11242" spans="1:8" x14ac:dyDescent="0.25">
      <c r="A11242" s="1"/>
      <c r="B11242" s="1" t="s">
        <v>5614</v>
      </c>
      <c r="C11242" s="1" t="s">
        <v>5615</v>
      </c>
      <c r="D11242" s="22" t="str">
        <f>HYPERLINK("https://rhld.insurance.arkansas.gov/NPILookup?Npi=1205491461","1205491461")</f>
        <v>1205491461</v>
      </c>
      <c r="E11242" s="1" t="s">
        <v>31761</v>
      </c>
      <c r="F11242" s="2"/>
      <c r="G11242" s="2"/>
      <c r="H11242" s="2"/>
    </row>
    <row r="11243" spans="1:8" x14ac:dyDescent="0.25">
      <c r="A11243" s="1"/>
      <c r="B11243" s="1" t="s">
        <v>5614</v>
      </c>
      <c r="C11243" s="1" t="s">
        <v>5615</v>
      </c>
      <c r="D11243" s="22" t="str">
        <f>HYPERLINK("https://rhld.insurance.arkansas.gov/NPILookup?Npi=1205569068","1205569068")</f>
        <v>1205569068</v>
      </c>
      <c r="E11243" s="1" t="s">
        <v>20361</v>
      </c>
      <c r="F11243" s="2"/>
      <c r="G11243" s="2"/>
      <c r="H11243" s="2"/>
    </row>
    <row r="11244" spans="1:8" x14ac:dyDescent="0.25">
      <c r="A11244" s="1"/>
      <c r="B11244" s="1" t="s">
        <v>5614</v>
      </c>
      <c r="C11244" s="1" t="s">
        <v>5615</v>
      </c>
      <c r="D11244" s="22" t="str">
        <f>HYPERLINK("https://rhld.insurance.arkansas.gov/NPILookup?Npi=1205815974","1205815974")</f>
        <v>1205815974</v>
      </c>
      <c r="E11244" s="1" t="s">
        <v>20362</v>
      </c>
      <c r="F11244" s="2"/>
      <c r="G11244" s="2"/>
      <c r="H11244" s="2"/>
    </row>
    <row r="11245" spans="1:8" x14ac:dyDescent="0.25">
      <c r="A11245" s="1"/>
      <c r="B11245" s="1" t="s">
        <v>5614</v>
      </c>
      <c r="C11245" s="1" t="s">
        <v>5615</v>
      </c>
      <c r="D11245" s="22" t="str">
        <f>HYPERLINK("https://rhld.insurance.arkansas.gov/NPILookup?Npi=1205893708","1205893708")</f>
        <v>1205893708</v>
      </c>
      <c r="E11245" s="1" t="s">
        <v>20363</v>
      </c>
      <c r="F11245" s="2"/>
      <c r="G11245" s="2"/>
      <c r="H11245" s="2"/>
    </row>
    <row r="11246" spans="1:8" x14ac:dyDescent="0.25">
      <c r="A11246" s="1"/>
      <c r="B11246" s="1" t="s">
        <v>5614</v>
      </c>
      <c r="C11246" s="1" t="s">
        <v>5615</v>
      </c>
      <c r="D11246" s="22" t="str">
        <f>HYPERLINK("https://rhld.insurance.arkansas.gov/NPILookup?Npi=1205935111","1205935111")</f>
        <v>1205935111</v>
      </c>
      <c r="E11246" s="1" t="s">
        <v>464</v>
      </c>
      <c r="F11246" s="2"/>
      <c r="G11246" s="2"/>
      <c r="H11246" s="2"/>
    </row>
    <row r="11247" spans="1:8" x14ac:dyDescent="0.25">
      <c r="A11247" s="1"/>
      <c r="B11247" s="1" t="s">
        <v>5614</v>
      </c>
      <c r="C11247" s="1" t="s">
        <v>5615</v>
      </c>
      <c r="D11247" s="22" t="str">
        <f>HYPERLINK("https://rhld.insurance.arkansas.gov/NPILookup?Npi=1205944337","1205944337")</f>
        <v>1205944337</v>
      </c>
      <c r="E11247" s="1" t="s">
        <v>2303</v>
      </c>
      <c r="F11247" s="2"/>
      <c r="G11247" s="2"/>
      <c r="H11247" s="2"/>
    </row>
    <row r="11248" spans="1:8" x14ac:dyDescent="0.25">
      <c r="A11248" s="1"/>
      <c r="B11248" s="1" t="s">
        <v>5614</v>
      </c>
      <c r="C11248" s="1" t="s">
        <v>5615</v>
      </c>
      <c r="D11248" s="22" t="str">
        <f>HYPERLINK("https://rhld.insurance.arkansas.gov/NPILookup?Npi=1205950011","1205950011")</f>
        <v>1205950011</v>
      </c>
      <c r="E11248" s="1" t="s">
        <v>20364</v>
      </c>
      <c r="F11248" s="2"/>
      <c r="G11248" s="2"/>
      <c r="H11248" s="2"/>
    </row>
    <row r="11249" spans="1:8" x14ac:dyDescent="0.25">
      <c r="A11249" s="1"/>
      <c r="B11249" s="1" t="s">
        <v>5614</v>
      </c>
      <c r="C11249" s="1" t="s">
        <v>5615</v>
      </c>
      <c r="D11249" s="22" t="str">
        <f>HYPERLINK("https://rhld.insurance.arkansas.gov/NPILookup?Npi=1215023320","1215023320")</f>
        <v>1215023320</v>
      </c>
      <c r="E11249" s="1" t="s">
        <v>2304</v>
      </c>
      <c r="F11249" s="2"/>
      <c r="G11249" s="2"/>
      <c r="H11249" s="2"/>
    </row>
    <row r="11250" spans="1:8" x14ac:dyDescent="0.25">
      <c r="A11250" s="1"/>
      <c r="B11250" s="1" t="s">
        <v>5614</v>
      </c>
      <c r="C11250" s="1" t="s">
        <v>5615</v>
      </c>
      <c r="D11250" s="22" t="str">
        <f>HYPERLINK("https://rhld.insurance.arkansas.gov/NPILookup?Npi=1215321427","1215321427")</f>
        <v>1215321427</v>
      </c>
      <c r="E11250" s="1" t="s">
        <v>2305</v>
      </c>
      <c r="F11250" s="2"/>
      <c r="G11250" s="2"/>
      <c r="H11250" s="2"/>
    </row>
    <row r="11251" spans="1:8" x14ac:dyDescent="0.25">
      <c r="A11251" s="1"/>
      <c r="B11251" s="1" t="s">
        <v>5614</v>
      </c>
      <c r="C11251" s="1" t="s">
        <v>5615</v>
      </c>
      <c r="D11251" s="22" t="str">
        <f>HYPERLINK("https://rhld.insurance.arkansas.gov/NPILookup?Npi=1215962295","1215962295")</f>
        <v>1215962295</v>
      </c>
      <c r="E11251" s="1" t="s">
        <v>20365</v>
      </c>
      <c r="F11251" s="2"/>
      <c r="G11251" s="2"/>
      <c r="H11251" s="2"/>
    </row>
    <row r="11252" spans="1:8" x14ac:dyDescent="0.25">
      <c r="A11252" s="1"/>
      <c r="B11252" s="1" t="s">
        <v>5614</v>
      </c>
      <c r="C11252" s="1" t="s">
        <v>5615</v>
      </c>
      <c r="D11252" s="22" t="str">
        <f>HYPERLINK("https://rhld.insurance.arkansas.gov/NPILookup?Npi=1215968425","1215968425")</f>
        <v>1215968425</v>
      </c>
      <c r="E11252" s="1" t="s">
        <v>20366</v>
      </c>
      <c r="F11252" s="2"/>
      <c r="G11252" s="2"/>
      <c r="H11252" s="2"/>
    </row>
    <row r="11253" spans="1:8" x14ac:dyDescent="0.25">
      <c r="A11253" s="1"/>
      <c r="B11253" s="1" t="s">
        <v>5614</v>
      </c>
      <c r="C11253" s="1" t="s">
        <v>5615</v>
      </c>
      <c r="D11253" s="22" t="str">
        <f>HYPERLINK("https://rhld.insurance.arkansas.gov/NPILookup?Npi=1215971106","1215971106")</f>
        <v>1215971106</v>
      </c>
      <c r="E11253" s="1" t="s">
        <v>20367</v>
      </c>
      <c r="F11253" s="2"/>
      <c r="G11253" s="2"/>
      <c r="H11253" s="2"/>
    </row>
    <row r="11254" spans="1:8" x14ac:dyDescent="0.25">
      <c r="A11254" s="1"/>
      <c r="B11254" s="1" t="s">
        <v>5614</v>
      </c>
      <c r="C11254" s="1" t="s">
        <v>5615</v>
      </c>
      <c r="D11254" s="22" t="str">
        <f>HYPERLINK("https://rhld.insurance.arkansas.gov/NPILookup?Npi=1215977871","1215977871")</f>
        <v>1215977871</v>
      </c>
      <c r="E11254" s="1" t="s">
        <v>668</v>
      </c>
      <c r="F11254" s="2"/>
      <c r="G11254" s="2"/>
      <c r="H11254" s="2"/>
    </row>
    <row r="11255" spans="1:8" x14ac:dyDescent="0.25">
      <c r="A11255" s="1"/>
      <c r="B11255" s="1" t="s">
        <v>5614</v>
      </c>
      <c r="C11255" s="1" t="s">
        <v>5615</v>
      </c>
      <c r="D11255" s="22" t="str">
        <f>HYPERLINK("https://rhld.insurance.arkansas.gov/NPILookup?Npi=1215998331","1215998331")</f>
        <v>1215998331</v>
      </c>
      <c r="E11255" s="1" t="s">
        <v>2306</v>
      </c>
      <c r="F11255" s="2"/>
      <c r="G11255" s="2"/>
      <c r="H11255" s="2"/>
    </row>
    <row r="11256" spans="1:8" x14ac:dyDescent="0.25">
      <c r="A11256" s="1"/>
      <c r="B11256" s="1" t="s">
        <v>5614</v>
      </c>
      <c r="C11256" s="1" t="s">
        <v>5615</v>
      </c>
      <c r="D11256" s="22" t="str">
        <f>HYPERLINK("https://rhld.insurance.arkansas.gov/NPILookup?Npi=1225006497","1225006497")</f>
        <v>1225006497</v>
      </c>
      <c r="E11256" s="1" t="s">
        <v>20368</v>
      </c>
      <c r="F11256" s="2"/>
      <c r="G11256" s="2"/>
      <c r="H11256" s="2"/>
    </row>
    <row r="11257" spans="1:8" x14ac:dyDescent="0.25">
      <c r="A11257" s="1"/>
      <c r="B11257" s="1" t="s">
        <v>5614</v>
      </c>
      <c r="C11257" s="1" t="s">
        <v>5615</v>
      </c>
      <c r="D11257" s="22" t="str">
        <f>HYPERLINK("https://rhld.insurance.arkansas.gov/NPILookup?Npi=1225035827","1225035827")</f>
        <v>1225035827</v>
      </c>
      <c r="E11257" s="1" t="s">
        <v>5633</v>
      </c>
      <c r="F11257" s="2"/>
      <c r="G11257" s="2"/>
      <c r="H11257" s="2"/>
    </row>
    <row r="11258" spans="1:8" x14ac:dyDescent="0.25">
      <c r="A11258" s="1"/>
      <c r="B11258" s="1" t="s">
        <v>5614</v>
      </c>
      <c r="C11258" s="1" t="s">
        <v>5615</v>
      </c>
      <c r="D11258" s="22" t="str">
        <f>HYPERLINK("https://rhld.insurance.arkansas.gov/NPILookup?Npi=1235129552","1235129552")</f>
        <v>1235129552</v>
      </c>
      <c r="E11258" s="1" t="s">
        <v>480</v>
      </c>
      <c r="F11258" s="2"/>
      <c r="G11258" s="2"/>
      <c r="H11258" s="2"/>
    </row>
    <row r="11259" spans="1:8" x14ac:dyDescent="0.25">
      <c r="A11259" s="1"/>
      <c r="B11259" s="1" t="s">
        <v>5614</v>
      </c>
      <c r="C11259" s="1" t="s">
        <v>5615</v>
      </c>
      <c r="D11259" s="22" t="str">
        <f>HYPERLINK("https://rhld.insurance.arkansas.gov/NPILookup?Npi=1235140120","1235140120")</f>
        <v>1235140120</v>
      </c>
      <c r="E11259" s="1" t="s">
        <v>11228</v>
      </c>
      <c r="F11259" s="2"/>
      <c r="G11259" s="2"/>
      <c r="H11259" s="2"/>
    </row>
    <row r="11260" spans="1:8" x14ac:dyDescent="0.25">
      <c r="A11260" s="1"/>
      <c r="B11260" s="1" t="s">
        <v>5614</v>
      </c>
      <c r="C11260" s="1" t="s">
        <v>5615</v>
      </c>
      <c r="D11260" s="22" t="str">
        <f>HYPERLINK("https://rhld.insurance.arkansas.gov/NPILookup?Npi=1235145046","1235145046")</f>
        <v>1235145046</v>
      </c>
      <c r="E11260" s="1" t="s">
        <v>20369</v>
      </c>
      <c r="F11260" s="2"/>
      <c r="G11260" s="2"/>
      <c r="H11260" s="2"/>
    </row>
    <row r="11261" spans="1:8" x14ac:dyDescent="0.25">
      <c r="A11261" s="1"/>
      <c r="B11261" s="1" t="s">
        <v>5614</v>
      </c>
      <c r="C11261" s="1" t="s">
        <v>5615</v>
      </c>
      <c r="D11261" s="22" t="str">
        <f>HYPERLINK("https://rhld.insurance.arkansas.gov/NPILookup?Npi=1235335118","1235335118")</f>
        <v>1235335118</v>
      </c>
      <c r="E11261" s="1" t="s">
        <v>20370</v>
      </c>
      <c r="F11261" s="2"/>
      <c r="G11261" s="2"/>
      <c r="H11261" s="2"/>
    </row>
    <row r="11262" spans="1:8" x14ac:dyDescent="0.25">
      <c r="A11262" s="1"/>
      <c r="B11262" s="1" t="s">
        <v>5614</v>
      </c>
      <c r="C11262" s="1" t="s">
        <v>5615</v>
      </c>
      <c r="D11262" s="22" t="str">
        <f>HYPERLINK("https://rhld.insurance.arkansas.gov/NPILookup?Npi=1235345414","1235345414")</f>
        <v>1235345414</v>
      </c>
      <c r="E11262" s="1" t="s">
        <v>20371</v>
      </c>
      <c r="F11262" s="2"/>
      <c r="G11262" s="2"/>
      <c r="H11262" s="2"/>
    </row>
    <row r="11263" spans="1:8" x14ac:dyDescent="0.25">
      <c r="A11263" s="1"/>
      <c r="B11263" s="1" t="s">
        <v>5614</v>
      </c>
      <c r="C11263" s="1" t="s">
        <v>5615</v>
      </c>
      <c r="D11263" s="22" t="str">
        <f>HYPERLINK("https://rhld.insurance.arkansas.gov/NPILookup?Npi=1235368622","1235368622")</f>
        <v>1235368622</v>
      </c>
      <c r="E11263" s="1" t="s">
        <v>11229</v>
      </c>
      <c r="F11263" s="2"/>
      <c r="G11263" s="2"/>
      <c r="H11263" s="2"/>
    </row>
    <row r="11264" spans="1:8" x14ac:dyDescent="0.25">
      <c r="A11264" s="1"/>
      <c r="B11264" s="1" t="s">
        <v>5614</v>
      </c>
      <c r="C11264" s="1" t="s">
        <v>5615</v>
      </c>
      <c r="D11264" s="22" t="str">
        <f>HYPERLINK("https://rhld.insurance.arkansas.gov/NPILookup?Npi=1235445297","1235445297")</f>
        <v>1235445297</v>
      </c>
      <c r="E11264" s="1" t="s">
        <v>3594</v>
      </c>
      <c r="F11264" s="2"/>
      <c r="G11264" s="2"/>
      <c r="H11264" s="2"/>
    </row>
    <row r="11265" spans="1:8" x14ac:dyDescent="0.25">
      <c r="A11265" s="1"/>
      <c r="B11265" s="1" t="s">
        <v>5614</v>
      </c>
      <c r="C11265" s="1" t="s">
        <v>5615</v>
      </c>
      <c r="D11265" s="22" t="str">
        <f>HYPERLINK("https://rhld.insurance.arkansas.gov/NPILookup?Npi=1235655051","1235655051")</f>
        <v>1235655051</v>
      </c>
      <c r="E11265" s="1" t="s">
        <v>16546</v>
      </c>
      <c r="F11265" s="2"/>
      <c r="G11265" s="2"/>
      <c r="H11265" s="2"/>
    </row>
    <row r="11266" spans="1:8" x14ac:dyDescent="0.25">
      <c r="A11266" s="1"/>
      <c r="B11266" s="1" t="s">
        <v>5614</v>
      </c>
      <c r="C11266" s="1" t="s">
        <v>5615</v>
      </c>
      <c r="D11266" s="22" t="str">
        <f>HYPERLINK("https://rhld.insurance.arkansas.gov/NPILookup?Npi=1245224179","1245224179")</f>
        <v>1245224179</v>
      </c>
      <c r="E11266" s="1" t="s">
        <v>3595</v>
      </c>
      <c r="F11266" s="2"/>
      <c r="G11266" s="2"/>
      <c r="H11266" s="2"/>
    </row>
    <row r="11267" spans="1:8" x14ac:dyDescent="0.25">
      <c r="A11267" s="1"/>
      <c r="B11267" s="1" t="s">
        <v>5614</v>
      </c>
      <c r="C11267" s="1" t="s">
        <v>5615</v>
      </c>
      <c r="D11267" s="22" t="str">
        <f>HYPERLINK("https://rhld.insurance.arkansas.gov/NPILookup?Npi=1245226463","1245226463")</f>
        <v>1245226463</v>
      </c>
      <c r="E11267" s="1" t="s">
        <v>20372</v>
      </c>
      <c r="F11267" s="2"/>
      <c r="G11267" s="2"/>
      <c r="H11267" s="2"/>
    </row>
    <row r="11268" spans="1:8" x14ac:dyDescent="0.25">
      <c r="A11268" s="1"/>
      <c r="B11268" s="1" t="s">
        <v>5614</v>
      </c>
      <c r="C11268" s="1" t="s">
        <v>5615</v>
      </c>
      <c r="D11268" s="22" t="str">
        <f>HYPERLINK("https://rhld.insurance.arkansas.gov/NPILookup?Npi=1245234103","1245234103")</f>
        <v>1245234103</v>
      </c>
      <c r="E11268" s="1" t="s">
        <v>20373</v>
      </c>
      <c r="F11268" s="2"/>
      <c r="G11268" s="2"/>
      <c r="H11268" s="2"/>
    </row>
    <row r="11269" spans="1:8" x14ac:dyDescent="0.25">
      <c r="A11269" s="1"/>
      <c r="B11269" s="1" t="s">
        <v>5614</v>
      </c>
      <c r="C11269" s="1" t="s">
        <v>5615</v>
      </c>
      <c r="D11269" s="22" t="str">
        <f>HYPERLINK("https://rhld.insurance.arkansas.gov/NPILookup?Npi=1245237171","1245237171")</f>
        <v>1245237171</v>
      </c>
      <c r="E11269" s="1" t="s">
        <v>11230</v>
      </c>
      <c r="F11269" s="2"/>
      <c r="G11269" s="2"/>
      <c r="H11269" s="2"/>
    </row>
    <row r="11270" spans="1:8" x14ac:dyDescent="0.25">
      <c r="A11270" s="1"/>
      <c r="B11270" s="1" t="s">
        <v>5614</v>
      </c>
      <c r="C11270" s="1" t="s">
        <v>5615</v>
      </c>
      <c r="D11270" s="22" t="str">
        <f>HYPERLINK("https://rhld.insurance.arkansas.gov/NPILookup?Npi=1245239904","1245239904")</f>
        <v>1245239904</v>
      </c>
      <c r="E11270" s="1" t="s">
        <v>3596</v>
      </c>
      <c r="F11270" s="2"/>
      <c r="G11270" s="2"/>
      <c r="H11270" s="2"/>
    </row>
    <row r="11271" spans="1:8" x14ac:dyDescent="0.25">
      <c r="A11271" s="1"/>
      <c r="B11271" s="1" t="s">
        <v>5614</v>
      </c>
      <c r="C11271" s="1" t="s">
        <v>5615</v>
      </c>
      <c r="D11271" s="22" t="str">
        <f>HYPERLINK("https://rhld.insurance.arkansas.gov/NPILookup?Npi=1245344605","1245344605")</f>
        <v>1245344605</v>
      </c>
      <c r="E11271" s="1" t="s">
        <v>11231</v>
      </c>
      <c r="F11271" s="2"/>
      <c r="G11271" s="2"/>
      <c r="H11271" s="2"/>
    </row>
    <row r="11272" spans="1:8" x14ac:dyDescent="0.25">
      <c r="A11272" s="1"/>
      <c r="B11272" s="1" t="s">
        <v>5614</v>
      </c>
      <c r="C11272" s="1" t="s">
        <v>5615</v>
      </c>
      <c r="D11272" s="22" t="str">
        <f>HYPERLINK("https://rhld.insurance.arkansas.gov/NPILookup?Npi=1245468743","1245468743")</f>
        <v>1245468743</v>
      </c>
      <c r="E11272" s="1" t="s">
        <v>20374</v>
      </c>
      <c r="F11272" s="2"/>
      <c r="G11272" s="2"/>
      <c r="H11272" s="2"/>
    </row>
    <row r="11273" spans="1:8" x14ac:dyDescent="0.25">
      <c r="A11273" s="1"/>
      <c r="B11273" s="1" t="s">
        <v>5614</v>
      </c>
      <c r="C11273" s="1" t="s">
        <v>5615</v>
      </c>
      <c r="D11273" s="22" t="str">
        <f>HYPERLINK("https://rhld.insurance.arkansas.gov/NPILookup?Npi=1245468925","1245468925")</f>
        <v>1245468925</v>
      </c>
      <c r="E11273" s="1" t="s">
        <v>20375</v>
      </c>
      <c r="F11273" s="2"/>
      <c r="G11273" s="2"/>
      <c r="H11273" s="2"/>
    </row>
    <row r="11274" spans="1:8" x14ac:dyDescent="0.25">
      <c r="A11274" s="1"/>
      <c r="B11274" s="1" t="s">
        <v>5614</v>
      </c>
      <c r="C11274" s="1" t="s">
        <v>5615</v>
      </c>
      <c r="D11274" s="22" t="str">
        <f>HYPERLINK("https://rhld.insurance.arkansas.gov/NPILookup?Npi=1245642867","1245642867")</f>
        <v>1245642867</v>
      </c>
      <c r="E11274" s="1" t="s">
        <v>1621</v>
      </c>
      <c r="F11274" s="2"/>
      <c r="G11274" s="2"/>
      <c r="H11274" s="2"/>
    </row>
    <row r="11275" spans="1:8" x14ac:dyDescent="0.25">
      <c r="A11275" s="1"/>
      <c r="B11275" s="1" t="s">
        <v>5614</v>
      </c>
      <c r="C11275" s="1" t="s">
        <v>5615</v>
      </c>
      <c r="D11275" s="22" t="str">
        <f>HYPERLINK("https://rhld.insurance.arkansas.gov/NPILookup?Npi=1245720069","1245720069")</f>
        <v>1245720069</v>
      </c>
      <c r="E11275" s="1" t="s">
        <v>20376</v>
      </c>
      <c r="F11275" s="2"/>
      <c r="G11275" s="2"/>
      <c r="H11275" s="2"/>
    </row>
    <row r="11276" spans="1:8" x14ac:dyDescent="0.25">
      <c r="A11276" s="1"/>
      <c r="B11276" s="1" t="s">
        <v>5614</v>
      </c>
      <c r="C11276" s="1" t="s">
        <v>5615</v>
      </c>
      <c r="D11276" s="22" t="str">
        <f>HYPERLINK("https://rhld.insurance.arkansas.gov/NPILookup?Npi=1255332433","1255332433")</f>
        <v>1255332433</v>
      </c>
      <c r="E11276" s="1" t="s">
        <v>11232</v>
      </c>
      <c r="F11276" s="2"/>
      <c r="G11276" s="2"/>
      <c r="H11276" s="2"/>
    </row>
    <row r="11277" spans="1:8" x14ac:dyDescent="0.25">
      <c r="A11277" s="1"/>
      <c r="B11277" s="1" t="s">
        <v>5614</v>
      </c>
      <c r="C11277" s="1" t="s">
        <v>5615</v>
      </c>
      <c r="D11277" s="22" t="str">
        <f>HYPERLINK("https://rhld.insurance.arkansas.gov/NPILookup?Npi=1255335675","1255335675")</f>
        <v>1255335675</v>
      </c>
      <c r="E11277" s="1" t="s">
        <v>11233</v>
      </c>
      <c r="F11277" s="2"/>
      <c r="G11277" s="2"/>
      <c r="H11277" s="2"/>
    </row>
    <row r="11278" spans="1:8" x14ac:dyDescent="0.25">
      <c r="A11278" s="1"/>
      <c r="B11278" s="1" t="s">
        <v>5614</v>
      </c>
      <c r="C11278" s="1" t="s">
        <v>5615</v>
      </c>
      <c r="D11278" s="22" t="str">
        <f>HYPERLINK("https://rhld.insurance.arkansas.gov/NPILookup?Npi=1255350021","1255350021")</f>
        <v>1255350021</v>
      </c>
      <c r="E11278" s="1" t="s">
        <v>11234</v>
      </c>
      <c r="F11278" s="2"/>
      <c r="G11278" s="2"/>
      <c r="H11278" s="2"/>
    </row>
    <row r="11279" spans="1:8" x14ac:dyDescent="0.25">
      <c r="A11279" s="1"/>
      <c r="B11279" s="1" t="s">
        <v>5614</v>
      </c>
      <c r="C11279" s="1" t="s">
        <v>5615</v>
      </c>
      <c r="D11279" s="22" t="str">
        <f>HYPERLINK("https://rhld.insurance.arkansas.gov/NPILookup?Npi=1255382438","1255382438")</f>
        <v>1255382438</v>
      </c>
      <c r="E11279" s="1" t="s">
        <v>20377</v>
      </c>
      <c r="F11279" s="2"/>
      <c r="G11279" s="2"/>
      <c r="H11279" s="2"/>
    </row>
    <row r="11280" spans="1:8" x14ac:dyDescent="0.25">
      <c r="A11280" s="1"/>
      <c r="B11280" s="1" t="s">
        <v>5614</v>
      </c>
      <c r="C11280" s="1" t="s">
        <v>5615</v>
      </c>
      <c r="D11280" s="22" t="str">
        <f>HYPERLINK("https://rhld.insurance.arkansas.gov/NPILookup?Npi=1255425401","1255425401")</f>
        <v>1255425401</v>
      </c>
      <c r="E11280" s="1" t="s">
        <v>11235</v>
      </c>
      <c r="F11280" s="2"/>
      <c r="G11280" s="2"/>
      <c r="H11280" s="2"/>
    </row>
    <row r="11281" spans="1:8" x14ac:dyDescent="0.25">
      <c r="A11281" s="1"/>
      <c r="B11281" s="1" t="s">
        <v>5614</v>
      </c>
      <c r="C11281" s="1" t="s">
        <v>5615</v>
      </c>
      <c r="D11281" s="22" t="str">
        <f>HYPERLINK("https://rhld.insurance.arkansas.gov/NPILookup?Npi=1255567657","1255567657")</f>
        <v>1255567657</v>
      </c>
      <c r="E11281" s="1" t="s">
        <v>11236</v>
      </c>
      <c r="F11281" s="2"/>
      <c r="G11281" s="2"/>
      <c r="H11281" s="2"/>
    </row>
    <row r="11282" spans="1:8" x14ac:dyDescent="0.25">
      <c r="A11282" s="1"/>
      <c r="B11282" s="1" t="s">
        <v>5614</v>
      </c>
      <c r="C11282" s="1" t="s">
        <v>5615</v>
      </c>
      <c r="D11282" s="22" t="str">
        <f>HYPERLINK("https://rhld.insurance.arkansas.gov/NPILookup?Npi=1255596300","1255596300")</f>
        <v>1255596300</v>
      </c>
      <c r="E11282" s="1" t="s">
        <v>20378</v>
      </c>
      <c r="F11282" s="2"/>
      <c r="G11282" s="2"/>
      <c r="H11282" s="2"/>
    </row>
    <row r="11283" spans="1:8" x14ac:dyDescent="0.25">
      <c r="A11283" s="1"/>
      <c r="B11283" s="1" t="s">
        <v>5614</v>
      </c>
      <c r="C11283" s="1" t="s">
        <v>5615</v>
      </c>
      <c r="D11283" s="22" t="str">
        <f>HYPERLINK("https://rhld.insurance.arkansas.gov/NPILookup?Npi=1255751442","1255751442")</f>
        <v>1255751442</v>
      </c>
      <c r="E11283" s="1" t="s">
        <v>11237</v>
      </c>
      <c r="F11283" s="2"/>
      <c r="G11283" s="2"/>
      <c r="H11283" s="2"/>
    </row>
    <row r="11284" spans="1:8" x14ac:dyDescent="0.25">
      <c r="A11284" s="1"/>
      <c r="B11284" s="1" t="s">
        <v>5614</v>
      </c>
      <c r="C11284" s="1" t="s">
        <v>5615</v>
      </c>
      <c r="D11284" s="22" t="str">
        <f>HYPERLINK("https://rhld.insurance.arkansas.gov/NPILookup?Npi=1255764387","1255764387")</f>
        <v>1255764387</v>
      </c>
      <c r="E11284" s="1" t="s">
        <v>11238</v>
      </c>
      <c r="F11284" s="2"/>
      <c r="G11284" s="2"/>
      <c r="H11284" s="2"/>
    </row>
    <row r="11285" spans="1:8" x14ac:dyDescent="0.25">
      <c r="A11285" s="1"/>
      <c r="B11285" s="1" t="s">
        <v>5614</v>
      </c>
      <c r="C11285" s="1" t="s">
        <v>5615</v>
      </c>
      <c r="D11285" s="22" t="str">
        <f>HYPERLINK("https://rhld.insurance.arkansas.gov/NPILookup?Npi=1265179055","1265179055")</f>
        <v>1265179055</v>
      </c>
      <c r="E11285" s="1" t="s">
        <v>5634</v>
      </c>
      <c r="F11285" s="2"/>
      <c r="G11285" s="2"/>
      <c r="H11285" s="2"/>
    </row>
    <row r="11286" spans="1:8" x14ac:dyDescent="0.25">
      <c r="A11286" s="1"/>
      <c r="B11286" s="1" t="s">
        <v>5614</v>
      </c>
      <c r="C11286" s="1" t="s">
        <v>5615</v>
      </c>
      <c r="D11286" s="22" t="str">
        <f>HYPERLINK("https://rhld.insurance.arkansas.gov/NPILookup?Npi=1265412183","1265412183")</f>
        <v>1265412183</v>
      </c>
      <c r="E11286" s="1" t="s">
        <v>20379</v>
      </c>
      <c r="F11286" s="2"/>
      <c r="G11286" s="2"/>
      <c r="H11286" s="2"/>
    </row>
    <row r="11287" spans="1:8" x14ac:dyDescent="0.25">
      <c r="A11287" s="1"/>
      <c r="B11287" s="1" t="s">
        <v>5614</v>
      </c>
      <c r="C11287" s="1" t="s">
        <v>5615</v>
      </c>
      <c r="D11287" s="22" t="str">
        <f>HYPERLINK("https://rhld.insurance.arkansas.gov/NPILookup?Npi=1265446793","1265446793")</f>
        <v>1265446793</v>
      </c>
      <c r="E11287" s="1" t="s">
        <v>20380</v>
      </c>
      <c r="F11287" s="2"/>
      <c r="G11287" s="2"/>
      <c r="H11287" s="2"/>
    </row>
    <row r="11288" spans="1:8" x14ac:dyDescent="0.25">
      <c r="A11288" s="1"/>
      <c r="B11288" s="1" t="s">
        <v>5614</v>
      </c>
      <c r="C11288" s="1" t="s">
        <v>5615</v>
      </c>
      <c r="D11288" s="22" t="str">
        <f>HYPERLINK("https://rhld.insurance.arkansas.gov/NPILookup?Npi=1265463483","1265463483")</f>
        <v>1265463483</v>
      </c>
      <c r="E11288" s="1" t="s">
        <v>20381</v>
      </c>
      <c r="F11288" s="2"/>
      <c r="G11288" s="2"/>
      <c r="H11288" s="2"/>
    </row>
    <row r="11289" spans="1:8" x14ac:dyDescent="0.25">
      <c r="A11289" s="1"/>
      <c r="B11289" s="1" t="s">
        <v>5614</v>
      </c>
      <c r="C11289" s="1" t="s">
        <v>5615</v>
      </c>
      <c r="D11289" s="22" t="str">
        <f>HYPERLINK("https://rhld.insurance.arkansas.gov/NPILookup?Npi=1265546170","1265546170")</f>
        <v>1265546170</v>
      </c>
      <c r="E11289" s="1" t="s">
        <v>11239</v>
      </c>
      <c r="F11289" s="2"/>
      <c r="G11289" s="2"/>
      <c r="H11289" s="2"/>
    </row>
    <row r="11290" spans="1:8" x14ac:dyDescent="0.25">
      <c r="A11290" s="1"/>
      <c r="B11290" s="1" t="s">
        <v>5614</v>
      </c>
      <c r="C11290" s="1" t="s">
        <v>5615</v>
      </c>
      <c r="D11290" s="22" t="str">
        <f>HYPERLINK("https://rhld.insurance.arkansas.gov/NPILookup?Npi=1265746564","1265746564")</f>
        <v>1265746564</v>
      </c>
      <c r="E11290" s="1" t="s">
        <v>2307</v>
      </c>
      <c r="F11290" s="2"/>
      <c r="G11290" s="2"/>
      <c r="H11290" s="2"/>
    </row>
    <row r="11291" spans="1:8" x14ac:dyDescent="0.25">
      <c r="A11291" s="1"/>
      <c r="B11291" s="1" t="s">
        <v>5614</v>
      </c>
      <c r="C11291" s="1" t="s">
        <v>5615</v>
      </c>
      <c r="D11291" s="22" t="str">
        <f>HYPERLINK("https://rhld.insurance.arkansas.gov/NPILookup?Npi=1265847362","1265847362")</f>
        <v>1265847362</v>
      </c>
      <c r="E11291" s="1" t="s">
        <v>11240</v>
      </c>
      <c r="F11291" s="2"/>
      <c r="G11291" s="2"/>
      <c r="H11291" s="2"/>
    </row>
    <row r="11292" spans="1:8" x14ac:dyDescent="0.25">
      <c r="A11292" s="1"/>
      <c r="B11292" s="1" t="s">
        <v>5614</v>
      </c>
      <c r="C11292" s="1" t="s">
        <v>5615</v>
      </c>
      <c r="D11292" s="22" t="str">
        <f>HYPERLINK("https://rhld.insurance.arkansas.gov/NPILookup?Npi=1275029258","1275029258")</f>
        <v>1275029258</v>
      </c>
      <c r="E11292" s="1" t="s">
        <v>20382</v>
      </c>
      <c r="F11292" s="2"/>
      <c r="G11292" s="2"/>
      <c r="H11292" s="2"/>
    </row>
    <row r="11293" spans="1:8" x14ac:dyDescent="0.25">
      <c r="A11293" s="1"/>
      <c r="B11293" s="1" t="s">
        <v>5614</v>
      </c>
      <c r="C11293" s="1" t="s">
        <v>5615</v>
      </c>
      <c r="D11293" s="22" t="str">
        <f>HYPERLINK("https://rhld.insurance.arkansas.gov/NPILookup?Npi=1275168213","1275168213")</f>
        <v>1275168213</v>
      </c>
      <c r="E11293" s="1" t="s">
        <v>3597</v>
      </c>
      <c r="F11293" s="2"/>
      <c r="G11293" s="2"/>
      <c r="H11293" s="2"/>
    </row>
    <row r="11294" spans="1:8" x14ac:dyDescent="0.25">
      <c r="A11294" s="1"/>
      <c r="B11294" s="1" t="s">
        <v>5614</v>
      </c>
      <c r="C11294" s="1" t="s">
        <v>5615</v>
      </c>
      <c r="D11294" s="22" t="str">
        <f>HYPERLINK("https://rhld.insurance.arkansas.gov/NPILookup?Npi=1275846750","1275846750")</f>
        <v>1275846750</v>
      </c>
      <c r="E11294" s="1" t="s">
        <v>473</v>
      </c>
      <c r="F11294" s="2"/>
      <c r="G11294" s="2"/>
      <c r="H11294" s="2"/>
    </row>
    <row r="11295" spans="1:8" x14ac:dyDescent="0.25">
      <c r="A11295" s="1"/>
      <c r="B11295" s="1" t="s">
        <v>5614</v>
      </c>
      <c r="C11295" s="1" t="s">
        <v>5615</v>
      </c>
      <c r="D11295" s="22" t="str">
        <f>HYPERLINK("https://rhld.insurance.arkansas.gov/NPILookup?Npi=1285160911","1285160911")</f>
        <v>1285160911</v>
      </c>
      <c r="E11295" s="1" t="s">
        <v>11241</v>
      </c>
      <c r="F11295" s="2"/>
      <c r="G11295" s="2"/>
      <c r="H11295" s="2"/>
    </row>
    <row r="11296" spans="1:8" x14ac:dyDescent="0.25">
      <c r="A11296" s="1"/>
      <c r="B11296" s="1" t="s">
        <v>5614</v>
      </c>
      <c r="C11296" s="1" t="s">
        <v>5615</v>
      </c>
      <c r="D11296" s="22" t="str">
        <f>HYPERLINK("https://rhld.insurance.arkansas.gov/NPILookup?Npi=1285188490","1285188490")</f>
        <v>1285188490</v>
      </c>
      <c r="E11296" s="1" t="s">
        <v>803</v>
      </c>
      <c r="F11296" s="2"/>
      <c r="G11296" s="2"/>
      <c r="H11296" s="2"/>
    </row>
    <row r="11297" spans="1:8" x14ac:dyDescent="0.25">
      <c r="A11297" s="1"/>
      <c r="B11297" s="1" t="s">
        <v>5614</v>
      </c>
      <c r="C11297" s="1" t="s">
        <v>5615</v>
      </c>
      <c r="D11297" s="22" t="str">
        <f>HYPERLINK("https://rhld.insurance.arkansas.gov/NPILookup?Npi=1285263210","1285263210")</f>
        <v>1285263210</v>
      </c>
      <c r="E11297" s="1" t="s">
        <v>20383</v>
      </c>
      <c r="F11297" s="2"/>
      <c r="G11297" s="2"/>
      <c r="H11297" s="2"/>
    </row>
    <row r="11298" spans="1:8" x14ac:dyDescent="0.25">
      <c r="A11298" s="1"/>
      <c r="B11298" s="1" t="s">
        <v>5614</v>
      </c>
      <c r="C11298" s="1" t="s">
        <v>5615</v>
      </c>
      <c r="D11298" s="22" t="str">
        <f>HYPERLINK("https://rhld.insurance.arkansas.gov/NPILookup?Npi=1285663583","1285663583")</f>
        <v>1285663583</v>
      </c>
      <c r="E11298" s="1" t="s">
        <v>20384</v>
      </c>
      <c r="F11298" s="2"/>
      <c r="G11298" s="2"/>
      <c r="H11298" s="2"/>
    </row>
    <row r="11299" spans="1:8" x14ac:dyDescent="0.25">
      <c r="A11299" s="1"/>
      <c r="B11299" s="1" t="s">
        <v>5614</v>
      </c>
      <c r="C11299" s="1" t="s">
        <v>5615</v>
      </c>
      <c r="D11299" s="22" t="str">
        <f>HYPERLINK("https://rhld.insurance.arkansas.gov/NPILookup?Npi=1285720672","1285720672")</f>
        <v>1285720672</v>
      </c>
      <c r="E11299" s="1" t="s">
        <v>5635</v>
      </c>
      <c r="F11299" s="2"/>
      <c r="G11299" s="2"/>
      <c r="H11299" s="2"/>
    </row>
    <row r="11300" spans="1:8" x14ac:dyDescent="0.25">
      <c r="A11300" s="1"/>
      <c r="B11300" s="1" t="s">
        <v>5614</v>
      </c>
      <c r="C11300" s="1" t="s">
        <v>5615</v>
      </c>
      <c r="D11300" s="22" t="str">
        <f>HYPERLINK("https://rhld.insurance.arkansas.gov/NPILookup?Npi=1285862862","1285862862")</f>
        <v>1285862862</v>
      </c>
      <c r="E11300" s="1" t="s">
        <v>11242</v>
      </c>
      <c r="F11300" s="2"/>
      <c r="G11300" s="2"/>
      <c r="H11300" s="2"/>
    </row>
    <row r="11301" spans="1:8" x14ac:dyDescent="0.25">
      <c r="A11301" s="1"/>
      <c r="B11301" s="1" t="s">
        <v>5614</v>
      </c>
      <c r="C11301" s="1" t="s">
        <v>5615</v>
      </c>
      <c r="D11301" s="22" t="str">
        <f>HYPERLINK("https://rhld.insurance.arkansas.gov/NPILookup?Npi=1295387546","1295387546")</f>
        <v>1295387546</v>
      </c>
      <c r="E11301" s="1" t="s">
        <v>3598</v>
      </c>
      <c r="F11301" s="2"/>
      <c r="G11301" s="2"/>
      <c r="H11301" s="2"/>
    </row>
    <row r="11302" spans="1:8" x14ac:dyDescent="0.25">
      <c r="A11302" s="1"/>
      <c r="B11302" s="1" t="s">
        <v>5614</v>
      </c>
      <c r="C11302" s="1" t="s">
        <v>5615</v>
      </c>
      <c r="D11302" s="22" t="str">
        <f>HYPERLINK("https://rhld.insurance.arkansas.gov/NPILookup?Npi=1295427870","1295427870")</f>
        <v>1295427870</v>
      </c>
      <c r="E11302" s="1" t="s">
        <v>11243</v>
      </c>
      <c r="F11302" s="2"/>
      <c r="G11302" s="2"/>
      <c r="H11302" s="2"/>
    </row>
    <row r="11303" spans="1:8" x14ac:dyDescent="0.25">
      <c r="A11303" s="1"/>
      <c r="B11303" s="1" t="s">
        <v>5614</v>
      </c>
      <c r="C11303" s="1" t="s">
        <v>5615</v>
      </c>
      <c r="D11303" s="22" t="str">
        <f>HYPERLINK("https://rhld.insurance.arkansas.gov/NPILookup?Npi=1295593051","1295593051")</f>
        <v>1295593051</v>
      </c>
      <c r="E11303" s="1" t="s">
        <v>20385</v>
      </c>
      <c r="F11303" s="2"/>
      <c r="G11303" s="2"/>
      <c r="H11303" s="2"/>
    </row>
    <row r="11304" spans="1:8" x14ac:dyDescent="0.25">
      <c r="A11304" s="1"/>
      <c r="B11304" s="1" t="s">
        <v>5614</v>
      </c>
      <c r="C11304" s="1" t="s">
        <v>5615</v>
      </c>
      <c r="D11304" s="22" t="str">
        <f>HYPERLINK("https://rhld.insurance.arkansas.gov/NPILookup?Npi=1295717940","1295717940")</f>
        <v>1295717940</v>
      </c>
      <c r="E11304" s="1" t="s">
        <v>20386</v>
      </c>
      <c r="F11304" s="2"/>
      <c r="G11304" s="2"/>
      <c r="H11304" s="2"/>
    </row>
    <row r="11305" spans="1:8" x14ac:dyDescent="0.25">
      <c r="A11305" s="1"/>
      <c r="B11305" s="1" t="s">
        <v>5614</v>
      </c>
      <c r="C11305" s="1" t="s">
        <v>5615</v>
      </c>
      <c r="D11305" s="22" t="str">
        <f>HYPERLINK("https://rhld.insurance.arkansas.gov/NPILookup?Npi=1295764108","1295764108")</f>
        <v>1295764108</v>
      </c>
      <c r="E11305" s="1" t="s">
        <v>31762</v>
      </c>
      <c r="F11305" s="2"/>
      <c r="G11305" s="2"/>
      <c r="H11305" s="2"/>
    </row>
    <row r="11306" spans="1:8" x14ac:dyDescent="0.25">
      <c r="A11306" s="1"/>
      <c r="B11306" s="1" t="s">
        <v>5614</v>
      </c>
      <c r="C11306" s="1" t="s">
        <v>5615</v>
      </c>
      <c r="D11306" s="22" t="str">
        <f>HYPERLINK("https://rhld.insurance.arkansas.gov/NPILookup?Npi=1295808319","1295808319")</f>
        <v>1295808319</v>
      </c>
      <c r="E11306" s="1" t="s">
        <v>5636</v>
      </c>
      <c r="F11306" s="2"/>
      <c r="G11306" s="2"/>
      <c r="H11306" s="2"/>
    </row>
    <row r="11307" spans="1:8" x14ac:dyDescent="0.25">
      <c r="A11307" s="1"/>
      <c r="B11307" s="1" t="s">
        <v>5614</v>
      </c>
      <c r="C11307" s="1" t="s">
        <v>5615</v>
      </c>
      <c r="D11307" s="22" t="str">
        <f>HYPERLINK("https://rhld.insurance.arkansas.gov/NPILookup?Npi=1295963999","1295963999")</f>
        <v>1295963999</v>
      </c>
      <c r="E11307" s="1" t="s">
        <v>20387</v>
      </c>
      <c r="F11307" s="2"/>
      <c r="G11307" s="2"/>
      <c r="H11307" s="2"/>
    </row>
    <row r="11308" spans="1:8" x14ac:dyDescent="0.25">
      <c r="A11308" s="1"/>
      <c r="B11308" s="1" t="s">
        <v>5614</v>
      </c>
      <c r="C11308" s="1" t="s">
        <v>5615</v>
      </c>
      <c r="D11308" s="22" t="str">
        <f>HYPERLINK("https://rhld.insurance.arkansas.gov/NPILookup?Npi=1295989697","1295989697")</f>
        <v>1295989697</v>
      </c>
      <c r="E11308" s="1" t="s">
        <v>20388</v>
      </c>
      <c r="F11308" s="2"/>
      <c r="G11308" s="2"/>
      <c r="H11308" s="2"/>
    </row>
    <row r="11309" spans="1:8" x14ac:dyDescent="0.25">
      <c r="A11309" s="1"/>
      <c r="B11309" s="1" t="s">
        <v>5614</v>
      </c>
      <c r="C11309" s="1" t="s">
        <v>5615</v>
      </c>
      <c r="D11309" s="22" t="str">
        <f>HYPERLINK("https://rhld.insurance.arkansas.gov/NPILookup?Npi=1306225214","1306225214")</f>
        <v>1306225214</v>
      </c>
      <c r="E11309" s="1" t="s">
        <v>20389</v>
      </c>
      <c r="F11309" s="2"/>
      <c r="G11309" s="2"/>
      <c r="H11309" s="2"/>
    </row>
    <row r="11310" spans="1:8" x14ac:dyDescent="0.25">
      <c r="A11310" s="1"/>
      <c r="B11310" s="1" t="s">
        <v>5614</v>
      </c>
      <c r="C11310" s="1" t="s">
        <v>5615</v>
      </c>
      <c r="D11310" s="22" t="str">
        <f>HYPERLINK("https://rhld.insurance.arkansas.gov/NPILookup?Npi=1306400775","1306400775")</f>
        <v>1306400775</v>
      </c>
      <c r="E11310" s="1" t="s">
        <v>20390</v>
      </c>
      <c r="F11310" s="2"/>
      <c r="G11310" s="2"/>
      <c r="H11310" s="2"/>
    </row>
    <row r="11311" spans="1:8" x14ac:dyDescent="0.25">
      <c r="A11311" s="1"/>
      <c r="B11311" s="1" t="s">
        <v>5614</v>
      </c>
      <c r="C11311" s="1" t="s">
        <v>5615</v>
      </c>
      <c r="D11311" s="22" t="str">
        <f>HYPERLINK("https://rhld.insurance.arkansas.gov/NPILookup?Npi=1306804273","1306804273")</f>
        <v>1306804273</v>
      </c>
      <c r="E11311" s="1" t="s">
        <v>5637</v>
      </c>
      <c r="F11311" s="2"/>
      <c r="G11311" s="2"/>
      <c r="H11311" s="2"/>
    </row>
    <row r="11312" spans="1:8" x14ac:dyDescent="0.25">
      <c r="A11312" s="1"/>
      <c r="B11312" s="1" t="s">
        <v>5614</v>
      </c>
      <c r="C11312" s="1" t="s">
        <v>5615</v>
      </c>
      <c r="D11312" s="22" t="str">
        <f>HYPERLINK("https://rhld.insurance.arkansas.gov/NPILookup?Npi=1306806609","1306806609")</f>
        <v>1306806609</v>
      </c>
      <c r="E11312" s="1" t="s">
        <v>20391</v>
      </c>
      <c r="F11312" s="2"/>
      <c r="G11312" s="2"/>
      <c r="H11312" s="2"/>
    </row>
    <row r="11313" spans="1:8" x14ac:dyDescent="0.25">
      <c r="A11313" s="1"/>
      <c r="B11313" s="1" t="s">
        <v>5614</v>
      </c>
      <c r="C11313" s="1" t="s">
        <v>5615</v>
      </c>
      <c r="D11313" s="22" t="str">
        <f>HYPERLINK("https://rhld.insurance.arkansas.gov/NPILookup?Npi=1306807839","1306807839")</f>
        <v>1306807839</v>
      </c>
      <c r="E11313" s="1" t="s">
        <v>2308</v>
      </c>
      <c r="F11313" s="2"/>
      <c r="G11313" s="2"/>
      <c r="H11313" s="2"/>
    </row>
    <row r="11314" spans="1:8" x14ac:dyDescent="0.25">
      <c r="A11314" s="1"/>
      <c r="B11314" s="1" t="s">
        <v>5614</v>
      </c>
      <c r="C11314" s="1" t="s">
        <v>5615</v>
      </c>
      <c r="D11314" s="22" t="str">
        <f>HYPERLINK("https://rhld.insurance.arkansas.gov/NPILookup?Npi=1306820360","1306820360")</f>
        <v>1306820360</v>
      </c>
      <c r="E11314" s="1" t="s">
        <v>20392</v>
      </c>
      <c r="F11314" s="2"/>
      <c r="G11314" s="2"/>
      <c r="H11314" s="2"/>
    </row>
    <row r="11315" spans="1:8" x14ac:dyDescent="0.25">
      <c r="A11315" s="1"/>
      <c r="B11315" s="1" t="s">
        <v>5614</v>
      </c>
      <c r="C11315" s="1" t="s">
        <v>5615</v>
      </c>
      <c r="D11315" s="22" t="str">
        <f>HYPERLINK("https://rhld.insurance.arkansas.gov/NPILookup?Npi=1306942503","1306942503")</f>
        <v>1306942503</v>
      </c>
      <c r="E11315" s="1" t="s">
        <v>20393</v>
      </c>
      <c r="F11315" s="2"/>
      <c r="G11315" s="2"/>
      <c r="H11315" s="2"/>
    </row>
    <row r="11316" spans="1:8" x14ac:dyDescent="0.25">
      <c r="A11316" s="1"/>
      <c r="B11316" s="1" t="s">
        <v>5614</v>
      </c>
      <c r="C11316" s="1" t="s">
        <v>5615</v>
      </c>
      <c r="D11316" s="22" t="str">
        <f>HYPERLINK("https://rhld.insurance.arkansas.gov/NPILookup?Npi=1306988399","1306988399")</f>
        <v>1306988399</v>
      </c>
      <c r="E11316" s="1" t="s">
        <v>2720</v>
      </c>
      <c r="F11316" s="2"/>
      <c r="G11316" s="2"/>
      <c r="H11316" s="2"/>
    </row>
    <row r="11317" spans="1:8" x14ac:dyDescent="0.25">
      <c r="A11317" s="1"/>
      <c r="B11317" s="1" t="s">
        <v>5614</v>
      </c>
      <c r="C11317" s="1" t="s">
        <v>5615</v>
      </c>
      <c r="D11317" s="22" t="str">
        <f>HYPERLINK("https://rhld.insurance.arkansas.gov/NPILookup?Npi=1316102437","1316102437")</f>
        <v>1316102437</v>
      </c>
      <c r="E11317" s="1" t="s">
        <v>11244</v>
      </c>
      <c r="F11317" s="2"/>
      <c r="G11317" s="2"/>
      <c r="H11317" s="2"/>
    </row>
    <row r="11318" spans="1:8" x14ac:dyDescent="0.25">
      <c r="A11318" s="1"/>
      <c r="B11318" s="1" t="s">
        <v>5614</v>
      </c>
      <c r="C11318" s="1" t="s">
        <v>5615</v>
      </c>
      <c r="D11318" s="22" t="str">
        <f>HYPERLINK("https://rhld.insurance.arkansas.gov/NPILookup?Npi=1316166507","1316166507")</f>
        <v>1316166507</v>
      </c>
      <c r="E11318" s="1" t="s">
        <v>11245</v>
      </c>
      <c r="F11318" s="2"/>
      <c r="G11318" s="2"/>
      <c r="H11318" s="2"/>
    </row>
    <row r="11319" spans="1:8" x14ac:dyDescent="0.25">
      <c r="A11319" s="1"/>
      <c r="B11319" s="1" t="s">
        <v>5614</v>
      </c>
      <c r="C11319" s="1" t="s">
        <v>5615</v>
      </c>
      <c r="D11319" s="22" t="str">
        <f>HYPERLINK("https://rhld.insurance.arkansas.gov/NPILookup?Npi=1316166697","1316166697")</f>
        <v>1316166697</v>
      </c>
      <c r="E11319" s="1" t="s">
        <v>20394</v>
      </c>
      <c r="F11319" s="2"/>
      <c r="G11319" s="2"/>
      <c r="H11319" s="2"/>
    </row>
    <row r="11320" spans="1:8" x14ac:dyDescent="0.25">
      <c r="A11320" s="1"/>
      <c r="B11320" s="1" t="s">
        <v>5614</v>
      </c>
      <c r="C11320" s="1" t="s">
        <v>5615</v>
      </c>
      <c r="D11320" s="22" t="str">
        <f>HYPERLINK("https://rhld.insurance.arkansas.gov/NPILookup?Npi=1316177454","1316177454")</f>
        <v>1316177454</v>
      </c>
      <c r="E11320" s="1" t="s">
        <v>20395</v>
      </c>
      <c r="F11320" s="2"/>
      <c r="G11320" s="2"/>
      <c r="H11320" s="2"/>
    </row>
    <row r="11321" spans="1:8" x14ac:dyDescent="0.25">
      <c r="A11321" s="1"/>
      <c r="B11321" s="1" t="s">
        <v>5614</v>
      </c>
      <c r="C11321" s="1" t="s">
        <v>5615</v>
      </c>
      <c r="D11321" s="22" t="str">
        <f>HYPERLINK("https://rhld.insurance.arkansas.gov/NPILookup?Npi=1316178155","1316178155")</f>
        <v>1316178155</v>
      </c>
      <c r="E11321" s="1" t="s">
        <v>20396</v>
      </c>
      <c r="F11321" s="2"/>
      <c r="G11321" s="2"/>
      <c r="H11321" s="2"/>
    </row>
    <row r="11322" spans="1:8" x14ac:dyDescent="0.25">
      <c r="A11322" s="1"/>
      <c r="B11322" s="1" t="s">
        <v>5614</v>
      </c>
      <c r="C11322" s="1" t="s">
        <v>5615</v>
      </c>
      <c r="D11322" s="22" t="str">
        <f>HYPERLINK("https://rhld.insurance.arkansas.gov/NPILookup?Npi=1316406945","1316406945")</f>
        <v>1316406945</v>
      </c>
      <c r="E11322" s="1" t="s">
        <v>2569</v>
      </c>
      <c r="F11322" s="2"/>
      <c r="G11322" s="2"/>
      <c r="H11322" s="2"/>
    </row>
    <row r="11323" spans="1:8" x14ac:dyDescent="0.25">
      <c r="A11323" s="1"/>
      <c r="B11323" s="1" t="s">
        <v>5614</v>
      </c>
      <c r="C11323" s="1" t="s">
        <v>5615</v>
      </c>
      <c r="D11323" s="22" t="str">
        <f>HYPERLINK("https://rhld.insurance.arkansas.gov/NPILookup?Npi=1316670748","1316670748")</f>
        <v>1316670748</v>
      </c>
      <c r="E11323" s="1" t="s">
        <v>5638</v>
      </c>
      <c r="F11323" s="2"/>
      <c r="G11323" s="2"/>
      <c r="H11323" s="2"/>
    </row>
    <row r="11324" spans="1:8" x14ac:dyDescent="0.25">
      <c r="A11324" s="1"/>
      <c r="B11324" s="1" t="s">
        <v>5614</v>
      </c>
      <c r="C11324" s="1" t="s">
        <v>5615</v>
      </c>
      <c r="D11324" s="22" t="str">
        <f>HYPERLINK("https://rhld.insurance.arkansas.gov/NPILookup?Npi=1316926454","1316926454")</f>
        <v>1316926454</v>
      </c>
      <c r="E11324" s="1" t="s">
        <v>10137</v>
      </c>
      <c r="F11324" s="2"/>
      <c r="G11324" s="2"/>
      <c r="H11324" s="2"/>
    </row>
    <row r="11325" spans="1:8" x14ac:dyDescent="0.25">
      <c r="A11325" s="1"/>
      <c r="B11325" s="1" t="s">
        <v>5614</v>
      </c>
      <c r="C11325" s="1" t="s">
        <v>5615</v>
      </c>
      <c r="D11325" s="22" t="str">
        <f>HYPERLINK("https://rhld.insurance.arkansas.gov/NPILookup?Npi=1326249889","1326249889")</f>
        <v>1326249889</v>
      </c>
      <c r="E11325" s="1" t="s">
        <v>5639</v>
      </c>
      <c r="F11325" s="2"/>
      <c r="G11325" s="2"/>
      <c r="H11325" s="2"/>
    </row>
    <row r="11326" spans="1:8" x14ac:dyDescent="0.25">
      <c r="A11326" s="1"/>
      <c r="B11326" s="1" t="s">
        <v>5614</v>
      </c>
      <c r="C11326" s="1" t="s">
        <v>5615</v>
      </c>
      <c r="D11326" s="22" t="str">
        <f>HYPERLINK("https://rhld.insurance.arkansas.gov/NPILookup?Npi=1326256918","1326256918")</f>
        <v>1326256918</v>
      </c>
      <c r="E11326" s="1" t="s">
        <v>3599</v>
      </c>
      <c r="F11326" s="2"/>
      <c r="G11326" s="2"/>
      <c r="H11326" s="2"/>
    </row>
    <row r="11327" spans="1:8" x14ac:dyDescent="0.25">
      <c r="A11327" s="1"/>
      <c r="B11327" s="1" t="s">
        <v>5614</v>
      </c>
      <c r="C11327" s="1" t="s">
        <v>5615</v>
      </c>
      <c r="D11327" s="22" t="str">
        <f>HYPERLINK("https://rhld.insurance.arkansas.gov/NPILookup?Npi=1326363086","1326363086")</f>
        <v>1326363086</v>
      </c>
      <c r="E11327" s="1" t="s">
        <v>3600</v>
      </c>
      <c r="F11327" s="2"/>
      <c r="G11327" s="2"/>
      <c r="H11327" s="2"/>
    </row>
    <row r="11328" spans="1:8" x14ac:dyDescent="0.25">
      <c r="A11328" s="1"/>
      <c r="B11328" s="1" t="s">
        <v>5614</v>
      </c>
      <c r="C11328" s="1" t="s">
        <v>5615</v>
      </c>
      <c r="D11328" s="22" t="str">
        <f>HYPERLINK("https://rhld.insurance.arkansas.gov/NPILookup?Npi=1326364456","1326364456")</f>
        <v>1326364456</v>
      </c>
      <c r="E11328" s="1" t="s">
        <v>469</v>
      </c>
      <c r="F11328" s="2"/>
      <c r="G11328" s="2"/>
      <c r="H11328" s="2"/>
    </row>
    <row r="11329" spans="1:8" x14ac:dyDescent="0.25">
      <c r="A11329" s="1"/>
      <c r="B11329" s="1" t="s">
        <v>5614</v>
      </c>
      <c r="C11329" s="1" t="s">
        <v>5615</v>
      </c>
      <c r="D11329" s="22" t="str">
        <f>HYPERLINK("https://rhld.insurance.arkansas.gov/NPILookup?Npi=1336112465","1336112465")</f>
        <v>1336112465</v>
      </c>
      <c r="E11329" s="1" t="s">
        <v>466</v>
      </c>
      <c r="F11329" s="2"/>
      <c r="G11329" s="2"/>
      <c r="H11329" s="2"/>
    </row>
    <row r="11330" spans="1:8" x14ac:dyDescent="0.25">
      <c r="A11330" s="1"/>
      <c r="B11330" s="1" t="s">
        <v>5614</v>
      </c>
      <c r="C11330" s="1" t="s">
        <v>5615</v>
      </c>
      <c r="D11330" s="22" t="str">
        <f>HYPERLINK("https://rhld.insurance.arkansas.gov/NPILookup?Npi=1336377845","1336377845")</f>
        <v>1336377845</v>
      </c>
      <c r="E11330" s="1" t="s">
        <v>20397</v>
      </c>
      <c r="F11330" s="2"/>
      <c r="G11330" s="2"/>
      <c r="H11330" s="2"/>
    </row>
    <row r="11331" spans="1:8" x14ac:dyDescent="0.25">
      <c r="A11331" s="1"/>
      <c r="B11331" s="1" t="s">
        <v>5614</v>
      </c>
      <c r="C11331" s="1" t="s">
        <v>5615</v>
      </c>
      <c r="D11331" s="22" t="str">
        <f>HYPERLINK("https://rhld.insurance.arkansas.gov/NPILookup?Npi=1336692623","1336692623")</f>
        <v>1336692623</v>
      </c>
      <c r="E11331" s="1" t="s">
        <v>20398</v>
      </c>
      <c r="F11331" s="2"/>
      <c r="G11331" s="2"/>
      <c r="H11331" s="2"/>
    </row>
    <row r="11332" spans="1:8" x14ac:dyDescent="0.25">
      <c r="A11332" s="1"/>
      <c r="B11332" s="1" t="s">
        <v>5614</v>
      </c>
      <c r="C11332" s="1" t="s">
        <v>5615</v>
      </c>
      <c r="D11332" s="22" t="str">
        <f>HYPERLINK("https://rhld.insurance.arkansas.gov/NPILookup?Npi=1346206406","1346206406")</f>
        <v>1346206406</v>
      </c>
      <c r="E11332" s="1" t="s">
        <v>16665</v>
      </c>
      <c r="F11332" s="2"/>
      <c r="G11332" s="2"/>
      <c r="H11332" s="2"/>
    </row>
    <row r="11333" spans="1:8" x14ac:dyDescent="0.25">
      <c r="A11333" s="1"/>
      <c r="B11333" s="1" t="s">
        <v>5614</v>
      </c>
      <c r="C11333" s="1" t="s">
        <v>5615</v>
      </c>
      <c r="D11333" s="22" t="str">
        <f>HYPERLINK("https://rhld.insurance.arkansas.gov/NPILookup?Npi=1346241015","1346241015")</f>
        <v>1346241015</v>
      </c>
      <c r="E11333" s="1" t="s">
        <v>11246</v>
      </c>
      <c r="F11333" s="2"/>
      <c r="G11333" s="2"/>
      <c r="H11333" s="2"/>
    </row>
    <row r="11334" spans="1:8" x14ac:dyDescent="0.25">
      <c r="A11334" s="1"/>
      <c r="B11334" s="1" t="s">
        <v>5614</v>
      </c>
      <c r="C11334" s="1" t="s">
        <v>5615</v>
      </c>
      <c r="D11334" s="22" t="str">
        <f>HYPERLINK("https://rhld.insurance.arkansas.gov/NPILookup?Npi=1346248226","1346248226")</f>
        <v>1346248226</v>
      </c>
      <c r="E11334" s="1" t="s">
        <v>1923</v>
      </c>
      <c r="F11334" s="2"/>
      <c r="G11334" s="2"/>
      <c r="H11334" s="2"/>
    </row>
    <row r="11335" spans="1:8" x14ac:dyDescent="0.25">
      <c r="A11335" s="1"/>
      <c r="B11335" s="1" t="s">
        <v>5614</v>
      </c>
      <c r="C11335" s="1" t="s">
        <v>5615</v>
      </c>
      <c r="D11335" s="22" t="str">
        <f>HYPERLINK("https://rhld.insurance.arkansas.gov/NPILookup?Npi=1346285517","1346285517")</f>
        <v>1346285517</v>
      </c>
      <c r="E11335" s="1" t="s">
        <v>20399</v>
      </c>
      <c r="F11335" s="2"/>
      <c r="G11335" s="2"/>
      <c r="H11335" s="2"/>
    </row>
    <row r="11336" spans="1:8" x14ac:dyDescent="0.25">
      <c r="A11336" s="1"/>
      <c r="B11336" s="1" t="s">
        <v>5614</v>
      </c>
      <c r="C11336" s="1" t="s">
        <v>5615</v>
      </c>
      <c r="D11336" s="22" t="str">
        <f>HYPERLINK("https://rhld.insurance.arkansas.gov/NPILookup?Npi=1346295565","1346295565")</f>
        <v>1346295565</v>
      </c>
      <c r="E11336" s="1" t="s">
        <v>722</v>
      </c>
      <c r="F11336" s="2"/>
      <c r="G11336" s="2"/>
      <c r="H11336" s="2"/>
    </row>
    <row r="11337" spans="1:8" x14ac:dyDescent="0.25">
      <c r="A11337" s="1"/>
      <c r="B11337" s="1" t="s">
        <v>5614</v>
      </c>
      <c r="C11337" s="1" t="s">
        <v>5615</v>
      </c>
      <c r="D11337" s="22" t="str">
        <f>HYPERLINK("https://rhld.insurance.arkansas.gov/NPILookup?Npi=1346496445","1346496445")</f>
        <v>1346496445</v>
      </c>
      <c r="E11337" s="1" t="s">
        <v>3601</v>
      </c>
      <c r="F11337" s="2"/>
      <c r="G11337" s="2"/>
      <c r="H11337" s="2"/>
    </row>
    <row r="11338" spans="1:8" x14ac:dyDescent="0.25">
      <c r="A11338" s="1"/>
      <c r="B11338" s="1" t="s">
        <v>5614</v>
      </c>
      <c r="C11338" s="1" t="s">
        <v>5615</v>
      </c>
      <c r="D11338" s="22" t="str">
        <f>HYPERLINK("https://rhld.insurance.arkansas.gov/NPILookup?Npi=1346736337","1346736337")</f>
        <v>1346736337</v>
      </c>
      <c r="E11338" s="1" t="s">
        <v>11247</v>
      </c>
      <c r="F11338" s="2"/>
      <c r="G11338" s="2"/>
      <c r="H11338" s="2"/>
    </row>
    <row r="11339" spans="1:8" x14ac:dyDescent="0.25">
      <c r="A11339" s="1"/>
      <c r="B11339" s="1" t="s">
        <v>5614</v>
      </c>
      <c r="C11339" s="1" t="s">
        <v>5615</v>
      </c>
      <c r="D11339" s="22" t="str">
        <f>HYPERLINK("https://rhld.insurance.arkansas.gov/NPILookup?Npi=1346866985","1346866985")</f>
        <v>1346866985</v>
      </c>
      <c r="E11339" s="1" t="s">
        <v>20400</v>
      </c>
      <c r="F11339" s="2"/>
      <c r="G11339" s="2"/>
      <c r="H11339" s="2"/>
    </row>
    <row r="11340" spans="1:8" x14ac:dyDescent="0.25">
      <c r="A11340" s="1"/>
      <c r="B11340" s="1" t="s">
        <v>5614</v>
      </c>
      <c r="C11340" s="1" t="s">
        <v>5615</v>
      </c>
      <c r="D11340" s="22" t="str">
        <f>HYPERLINK("https://rhld.insurance.arkansas.gov/NPILookup?Npi=1346924073","1346924073")</f>
        <v>1346924073</v>
      </c>
      <c r="E11340" s="1" t="s">
        <v>5640</v>
      </c>
      <c r="F11340" s="2"/>
      <c r="G11340" s="2"/>
      <c r="H11340" s="2"/>
    </row>
    <row r="11341" spans="1:8" x14ac:dyDescent="0.25">
      <c r="A11341" s="1"/>
      <c r="B11341" s="1" t="s">
        <v>5614</v>
      </c>
      <c r="C11341" s="1" t="s">
        <v>5615</v>
      </c>
      <c r="D11341" s="22" t="str">
        <f>HYPERLINK("https://rhld.insurance.arkansas.gov/NPILookup?Npi=1356074090","1356074090")</f>
        <v>1356074090</v>
      </c>
      <c r="E11341" s="1" t="s">
        <v>2570</v>
      </c>
      <c r="F11341" s="2"/>
      <c r="G11341" s="2"/>
      <c r="H11341" s="2"/>
    </row>
    <row r="11342" spans="1:8" x14ac:dyDescent="0.25">
      <c r="A11342" s="1"/>
      <c r="B11342" s="1" t="s">
        <v>5614</v>
      </c>
      <c r="C11342" s="1" t="s">
        <v>5615</v>
      </c>
      <c r="D11342" s="22" t="str">
        <f>HYPERLINK("https://rhld.insurance.arkansas.gov/NPILookup?Npi=1356321616","1356321616")</f>
        <v>1356321616</v>
      </c>
      <c r="E11342" s="1" t="s">
        <v>20401</v>
      </c>
      <c r="F11342" s="2"/>
      <c r="G11342" s="2"/>
      <c r="H11342" s="2"/>
    </row>
    <row r="11343" spans="1:8" x14ac:dyDescent="0.25">
      <c r="A11343" s="1"/>
      <c r="B11343" s="1" t="s">
        <v>5614</v>
      </c>
      <c r="C11343" s="1" t="s">
        <v>5615</v>
      </c>
      <c r="D11343" s="22" t="str">
        <f>HYPERLINK("https://rhld.insurance.arkansas.gov/NPILookup?Npi=1356341754","1356341754")</f>
        <v>1356341754</v>
      </c>
      <c r="E11343" s="1" t="s">
        <v>20402</v>
      </c>
      <c r="F11343" s="2"/>
      <c r="G11343" s="2"/>
      <c r="H11343" s="2"/>
    </row>
    <row r="11344" spans="1:8" x14ac:dyDescent="0.25">
      <c r="A11344" s="1"/>
      <c r="B11344" s="1" t="s">
        <v>5614</v>
      </c>
      <c r="C11344" s="1" t="s">
        <v>5615</v>
      </c>
      <c r="D11344" s="22" t="str">
        <f>HYPERLINK("https://rhld.insurance.arkansas.gov/NPILookup?Npi=1356358493","1356358493")</f>
        <v>1356358493</v>
      </c>
      <c r="E11344" s="1" t="s">
        <v>16758</v>
      </c>
      <c r="F11344" s="2"/>
      <c r="G11344" s="2"/>
      <c r="H11344" s="2"/>
    </row>
    <row r="11345" spans="1:8" x14ac:dyDescent="0.25">
      <c r="A11345" s="1"/>
      <c r="B11345" s="1" t="s">
        <v>5614</v>
      </c>
      <c r="C11345" s="1" t="s">
        <v>5615</v>
      </c>
      <c r="D11345" s="22" t="str">
        <f>HYPERLINK("https://rhld.insurance.arkansas.gov/NPILookup?Npi=1356409882","1356409882")</f>
        <v>1356409882</v>
      </c>
      <c r="E11345" s="1" t="s">
        <v>20403</v>
      </c>
      <c r="F11345" s="2"/>
      <c r="G11345" s="2"/>
      <c r="H11345" s="2"/>
    </row>
    <row r="11346" spans="1:8" x14ac:dyDescent="0.25">
      <c r="A11346" s="1"/>
      <c r="B11346" s="1" t="s">
        <v>5614</v>
      </c>
      <c r="C11346" s="1" t="s">
        <v>5615</v>
      </c>
      <c r="D11346" s="22" t="str">
        <f>HYPERLINK("https://rhld.insurance.arkansas.gov/NPILookup?Npi=1356532709","1356532709")</f>
        <v>1356532709</v>
      </c>
      <c r="E11346" s="1" t="s">
        <v>11249</v>
      </c>
      <c r="F11346" s="2"/>
      <c r="G11346" s="2"/>
      <c r="H11346" s="2"/>
    </row>
    <row r="11347" spans="1:8" x14ac:dyDescent="0.25">
      <c r="A11347" s="1"/>
      <c r="B11347" s="1" t="s">
        <v>5614</v>
      </c>
      <c r="C11347" s="1" t="s">
        <v>5615</v>
      </c>
      <c r="D11347" s="22" t="str">
        <f>HYPERLINK("https://rhld.insurance.arkansas.gov/NPILookup?Npi=1356978977","1356978977")</f>
        <v>1356978977</v>
      </c>
      <c r="E11347" s="1" t="s">
        <v>20404</v>
      </c>
      <c r="F11347" s="2"/>
      <c r="G11347" s="2"/>
      <c r="H11347" s="2"/>
    </row>
    <row r="11348" spans="1:8" x14ac:dyDescent="0.25">
      <c r="A11348" s="1"/>
      <c r="B11348" s="1" t="s">
        <v>5614</v>
      </c>
      <c r="C11348" s="1" t="s">
        <v>5615</v>
      </c>
      <c r="D11348" s="22" t="str">
        <f>HYPERLINK("https://rhld.insurance.arkansas.gov/NPILookup?Npi=1366127318","1366127318")</f>
        <v>1366127318</v>
      </c>
      <c r="E11348" s="1" t="s">
        <v>5641</v>
      </c>
      <c r="F11348" s="2"/>
      <c r="G11348" s="2"/>
      <c r="H11348" s="2"/>
    </row>
    <row r="11349" spans="1:8" x14ac:dyDescent="0.25">
      <c r="A11349" s="1"/>
      <c r="B11349" s="1" t="s">
        <v>5614</v>
      </c>
      <c r="C11349" s="1" t="s">
        <v>5615</v>
      </c>
      <c r="D11349" s="22" t="str">
        <f>HYPERLINK("https://rhld.insurance.arkansas.gov/NPILookup?Npi=1366163958","1366163958")</f>
        <v>1366163958</v>
      </c>
      <c r="E11349" s="1" t="s">
        <v>20405</v>
      </c>
      <c r="F11349" s="2"/>
      <c r="G11349" s="2"/>
      <c r="H11349" s="2"/>
    </row>
    <row r="11350" spans="1:8" x14ac:dyDescent="0.25">
      <c r="A11350" s="1"/>
      <c r="B11350" s="1" t="s">
        <v>5614</v>
      </c>
      <c r="C11350" s="1" t="s">
        <v>5615</v>
      </c>
      <c r="D11350" s="22" t="str">
        <f>HYPERLINK("https://rhld.insurance.arkansas.gov/NPILookup?Npi=1366406654","1366406654")</f>
        <v>1366406654</v>
      </c>
      <c r="E11350" s="1" t="s">
        <v>9987</v>
      </c>
      <c r="F11350" s="2"/>
      <c r="G11350" s="2"/>
      <c r="H11350" s="2"/>
    </row>
    <row r="11351" spans="1:8" x14ac:dyDescent="0.25">
      <c r="A11351" s="1"/>
      <c r="B11351" s="1" t="s">
        <v>5614</v>
      </c>
      <c r="C11351" s="1" t="s">
        <v>5615</v>
      </c>
      <c r="D11351" s="22" t="str">
        <f>HYPERLINK("https://rhld.insurance.arkansas.gov/NPILookup?Npi=1366424996","1366424996")</f>
        <v>1366424996</v>
      </c>
      <c r="E11351" s="1" t="s">
        <v>20406</v>
      </c>
      <c r="F11351" s="2"/>
      <c r="G11351" s="2"/>
      <c r="H11351" s="2"/>
    </row>
    <row r="11352" spans="1:8" x14ac:dyDescent="0.25">
      <c r="A11352" s="1"/>
      <c r="B11352" s="1" t="s">
        <v>5614</v>
      </c>
      <c r="C11352" s="1" t="s">
        <v>5615</v>
      </c>
      <c r="D11352" s="22" t="str">
        <f>HYPERLINK("https://rhld.insurance.arkansas.gov/NPILookup?Npi=1366456972","1366456972")</f>
        <v>1366456972</v>
      </c>
      <c r="E11352" s="1" t="s">
        <v>2309</v>
      </c>
      <c r="F11352" s="2"/>
      <c r="G11352" s="2"/>
      <c r="H11352" s="2"/>
    </row>
    <row r="11353" spans="1:8" x14ac:dyDescent="0.25">
      <c r="A11353" s="1"/>
      <c r="B11353" s="1" t="s">
        <v>5614</v>
      </c>
      <c r="C11353" s="1" t="s">
        <v>5615</v>
      </c>
      <c r="D11353" s="22" t="str">
        <f>HYPERLINK("https://rhld.insurance.arkansas.gov/NPILookup?Npi=1366474538","1366474538")</f>
        <v>1366474538</v>
      </c>
      <c r="E11353" s="1" t="s">
        <v>3603</v>
      </c>
      <c r="F11353" s="2"/>
      <c r="G11353" s="2"/>
      <c r="H11353" s="2"/>
    </row>
    <row r="11354" spans="1:8" x14ac:dyDescent="0.25">
      <c r="A11354" s="1"/>
      <c r="B11354" s="1" t="s">
        <v>5614</v>
      </c>
      <c r="C11354" s="1" t="s">
        <v>5615</v>
      </c>
      <c r="D11354" s="22" t="str">
        <f>HYPERLINK("https://rhld.insurance.arkansas.gov/NPILookup?Npi=1366484479","1366484479")</f>
        <v>1366484479</v>
      </c>
      <c r="E11354" s="1" t="s">
        <v>20407</v>
      </c>
      <c r="F11354" s="2"/>
      <c r="G11354" s="2"/>
      <c r="H11354" s="2"/>
    </row>
    <row r="11355" spans="1:8" x14ac:dyDescent="0.25">
      <c r="A11355" s="1"/>
      <c r="B11355" s="1" t="s">
        <v>5614</v>
      </c>
      <c r="C11355" s="1" t="s">
        <v>5615</v>
      </c>
      <c r="D11355" s="22" t="str">
        <f>HYPERLINK("https://rhld.insurance.arkansas.gov/NPILookup?Npi=1376114470","1376114470")</f>
        <v>1376114470</v>
      </c>
      <c r="E11355" s="1" t="s">
        <v>20408</v>
      </c>
      <c r="F11355" s="2"/>
      <c r="G11355" s="2"/>
      <c r="H11355" s="2"/>
    </row>
    <row r="11356" spans="1:8" x14ac:dyDescent="0.25">
      <c r="A11356" s="1"/>
      <c r="B11356" s="1" t="s">
        <v>5614</v>
      </c>
      <c r="C11356" s="1" t="s">
        <v>5615</v>
      </c>
      <c r="D11356" s="22" t="str">
        <f>HYPERLINK("https://rhld.insurance.arkansas.gov/NPILookup?Npi=1376503169","1376503169")</f>
        <v>1376503169</v>
      </c>
      <c r="E11356" s="1" t="s">
        <v>2415</v>
      </c>
      <c r="F11356" s="2"/>
      <c r="G11356" s="2"/>
      <c r="H11356" s="2"/>
    </row>
    <row r="11357" spans="1:8" x14ac:dyDescent="0.25">
      <c r="A11357" s="1"/>
      <c r="B11357" s="1" t="s">
        <v>5614</v>
      </c>
      <c r="C11357" s="1" t="s">
        <v>5615</v>
      </c>
      <c r="D11357" s="22" t="str">
        <f>HYPERLINK("https://rhld.insurance.arkansas.gov/NPILookup?Npi=1376520908","1376520908")</f>
        <v>1376520908</v>
      </c>
      <c r="E11357" s="1" t="s">
        <v>20409</v>
      </c>
      <c r="F11357" s="2"/>
      <c r="G11357" s="2"/>
      <c r="H11357" s="2"/>
    </row>
    <row r="11358" spans="1:8" x14ac:dyDescent="0.25">
      <c r="A11358" s="1"/>
      <c r="B11358" s="1" t="s">
        <v>5614</v>
      </c>
      <c r="C11358" s="1" t="s">
        <v>5615</v>
      </c>
      <c r="D11358" s="22" t="str">
        <f>HYPERLINK("https://rhld.insurance.arkansas.gov/NPILookup?Npi=1376582817","1376582817")</f>
        <v>1376582817</v>
      </c>
      <c r="E11358" s="1" t="s">
        <v>11250</v>
      </c>
      <c r="F11358" s="2"/>
      <c r="G11358" s="2"/>
      <c r="H11358" s="2"/>
    </row>
    <row r="11359" spans="1:8" x14ac:dyDescent="0.25">
      <c r="A11359" s="1"/>
      <c r="B11359" s="1" t="s">
        <v>5614</v>
      </c>
      <c r="C11359" s="1" t="s">
        <v>5615</v>
      </c>
      <c r="D11359" s="22" t="str">
        <f>HYPERLINK("https://rhld.insurance.arkansas.gov/NPILookup?Npi=1376594556","1376594556")</f>
        <v>1376594556</v>
      </c>
      <c r="E11359" s="1" t="s">
        <v>20410</v>
      </c>
      <c r="F11359" s="2"/>
      <c r="G11359" s="2"/>
      <c r="H11359" s="2"/>
    </row>
    <row r="11360" spans="1:8" x14ac:dyDescent="0.25">
      <c r="A11360" s="1"/>
      <c r="B11360" s="1" t="s">
        <v>5614</v>
      </c>
      <c r="C11360" s="1" t="s">
        <v>5615</v>
      </c>
      <c r="D11360" s="22" t="str">
        <f>HYPERLINK("https://rhld.insurance.arkansas.gov/NPILookup?Npi=1376659334","1376659334")</f>
        <v>1376659334</v>
      </c>
      <c r="E11360" s="1" t="s">
        <v>20411</v>
      </c>
      <c r="F11360" s="2"/>
      <c r="G11360" s="2"/>
      <c r="H11360" s="2"/>
    </row>
    <row r="11361" spans="1:8" x14ac:dyDescent="0.25">
      <c r="A11361" s="1"/>
      <c r="B11361" s="1" t="s">
        <v>5614</v>
      </c>
      <c r="C11361" s="1" t="s">
        <v>5615</v>
      </c>
      <c r="D11361" s="22" t="str">
        <f>HYPERLINK("https://rhld.insurance.arkansas.gov/NPILookup?Npi=1376662890","1376662890")</f>
        <v>1376662890</v>
      </c>
      <c r="E11361" s="1" t="s">
        <v>20412</v>
      </c>
      <c r="F11361" s="2"/>
      <c r="G11361" s="2"/>
      <c r="H11361" s="2"/>
    </row>
    <row r="11362" spans="1:8" x14ac:dyDescent="0.25">
      <c r="A11362" s="1"/>
      <c r="B11362" s="1" t="s">
        <v>5614</v>
      </c>
      <c r="C11362" s="1" t="s">
        <v>5615</v>
      </c>
      <c r="D11362" s="22" t="str">
        <f>HYPERLINK("https://rhld.insurance.arkansas.gov/NPILookup?Npi=1376899633","1376899633")</f>
        <v>1376899633</v>
      </c>
      <c r="E11362" s="1" t="s">
        <v>20413</v>
      </c>
      <c r="F11362" s="2"/>
      <c r="G11362" s="2"/>
      <c r="H11362" s="2"/>
    </row>
    <row r="11363" spans="1:8" x14ac:dyDescent="0.25">
      <c r="A11363" s="1"/>
      <c r="B11363" s="1" t="s">
        <v>5614</v>
      </c>
      <c r="C11363" s="1" t="s">
        <v>5615</v>
      </c>
      <c r="D11363" s="22" t="str">
        <f>HYPERLINK("https://rhld.insurance.arkansas.gov/NPILookup?Npi=1386098648","1386098648")</f>
        <v>1386098648</v>
      </c>
      <c r="E11363" s="1" t="s">
        <v>20414</v>
      </c>
      <c r="F11363" s="2"/>
      <c r="G11363" s="2"/>
      <c r="H11363" s="2"/>
    </row>
    <row r="11364" spans="1:8" x14ac:dyDescent="0.25">
      <c r="A11364" s="1"/>
      <c r="B11364" s="1" t="s">
        <v>5614</v>
      </c>
      <c r="C11364" s="1" t="s">
        <v>5615</v>
      </c>
      <c r="D11364" s="22" t="str">
        <f>HYPERLINK("https://rhld.insurance.arkansas.gov/NPILookup?Npi=1386177574","1386177574")</f>
        <v>1386177574</v>
      </c>
      <c r="E11364" s="1" t="s">
        <v>2571</v>
      </c>
      <c r="F11364" s="2"/>
      <c r="G11364" s="2"/>
      <c r="H11364" s="2"/>
    </row>
    <row r="11365" spans="1:8" x14ac:dyDescent="0.25">
      <c r="A11365" s="1"/>
      <c r="B11365" s="1" t="s">
        <v>5614</v>
      </c>
      <c r="C11365" s="1" t="s">
        <v>5615</v>
      </c>
      <c r="D11365" s="22" t="str">
        <f>HYPERLINK("https://rhld.insurance.arkansas.gov/NPILookup?Npi=1386602159","1386602159")</f>
        <v>1386602159</v>
      </c>
      <c r="E11365" s="1" t="s">
        <v>2310</v>
      </c>
      <c r="F11365" s="2"/>
      <c r="G11365" s="2"/>
      <c r="H11365" s="2"/>
    </row>
    <row r="11366" spans="1:8" x14ac:dyDescent="0.25">
      <c r="A11366" s="1"/>
      <c r="B11366" s="1" t="s">
        <v>5614</v>
      </c>
      <c r="C11366" s="1" t="s">
        <v>5615</v>
      </c>
      <c r="D11366" s="22" t="str">
        <f>HYPERLINK("https://rhld.insurance.arkansas.gov/NPILookup?Npi=1386617405","1386617405")</f>
        <v>1386617405</v>
      </c>
      <c r="E11366" s="1" t="s">
        <v>11251</v>
      </c>
      <c r="F11366" s="2"/>
      <c r="G11366" s="2"/>
      <c r="H11366" s="2"/>
    </row>
    <row r="11367" spans="1:8" x14ac:dyDescent="0.25">
      <c r="A11367" s="1"/>
      <c r="B11367" s="1" t="s">
        <v>5614</v>
      </c>
      <c r="C11367" s="1" t="s">
        <v>5615</v>
      </c>
      <c r="D11367" s="22" t="str">
        <f>HYPERLINK("https://rhld.insurance.arkansas.gov/NPILookup?Npi=1386651545","1386651545")</f>
        <v>1386651545</v>
      </c>
      <c r="E11367" s="1" t="s">
        <v>3604</v>
      </c>
      <c r="F11367" s="2"/>
      <c r="G11367" s="2"/>
      <c r="H11367" s="2"/>
    </row>
    <row r="11368" spans="1:8" x14ac:dyDescent="0.25">
      <c r="A11368" s="1"/>
      <c r="B11368" s="1" t="s">
        <v>5614</v>
      </c>
      <c r="C11368" s="1" t="s">
        <v>5615</v>
      </c>
      <c r="D11368" s="22" t="str">
        <f>HYPERLINK("https://rhld.insurance.arkansas.gov/NPILookup?Npi=1386702819","1386702819")</f>
        <v>1386702819</v>
      </c>
      <c r="E11368" s="1" t="s">
        <v>20415</v>
      </c>
      <c r="F11368" s="2"/>
      <c r="G11368" s="2"/>
      <c r="H11368" s="2"/>
    </row>
    <row r="11369" spans="1:8" x14ac:dyDescent="0.25">
      <c r="A11369" s="1"/>
      <c r="B11369" s="1" t="s">
        <v>5614</v>
      </c>
      <c r="C11369" s="1" t="s">
        <v>5615</v>
      </c>
      <c r="D11369" s="22" t="str">
        <f>HYPERLINK("https://rhld.insurance.arkansas.gov/NPILookup?Npi=1386705747","1386705747")</f>
        <v>1386705747</v>
      </c>
      <c r="E11369" s="1" t="s">
        <v>20416</v>
      </c>
      <c r="F11369" s="2"/>
      <c r="G11369" s="2"/>
      <c r="H11369" s="2"/>
    </row>
    <row r="11370" spans="1:8" x14ac:dyDescent="0.25">
      <c r="A11370" s="1"/>
      <c r="B11370" s="1" t="s">
        <v>5614</v>
      </c>
      <c r="C11370" s="1" t="s">
        <v>5615</v>
      </c>
      <c r="D11370" s="22" t="str">
        <f>HYPERLINK("https://rhld.insurance.arkansas.gov/NPILookup?Npi=1386734879","1386734879")</f>
        <v>1386734879</v>
      </c>
      <c r="E11370" s="1" t="s">
        <v>31763</v>
      </c>
      <c r="F11370" s="2"/>
      <c r="G11370" s="2"/>
      <c r="H11370" s="2"/>
    </row>
    <row r="11371" spans="1:8" x14ac:dyDescent="0.25">
      <c r="A11371" s="1"/>
      <c r="B11371" s="1" t="s">
        <v>5614</v>
      </c>
      <c r="C11371" s="1" t="s">
        <v>5615</v>
      </c>
      <c r="D11371" s="22" t="str">
        <f>HYPERLINK("https://rhld.insurance.arkansas.gov/NPILookup?Npi=1386877405","1386877405")</f>
        <v>1386877405</v>
      </c>
      <c r="E11371" s="1" t="s">
        <v>20320</v>
      </c>
      <c r="F11371" s="2"/>
      <c r="G11371" s="2"/>
      <c r="H11371" s="2"/>
    </row>
    <row r="11372" spans="1:8" x14ac:dyDescent="0.25">
      <c r="A11372" s="1"/>
      <c r="B11372" s="1" t="s">
        <v>5614</v>
      </c>
      <c r="C11372" s="1" t="s">
        <v>5615</v>
      </c>
      <c r="D11372" s="22" t="str">
        <f>HYPERLINK("https://rhld.insurance.arkansas.gov/NPILookup?Npi=1386932333","1386932333")</f>
        <v>1386932333</v>
      </c>
      <c r="E11372" s="1" t="s">
        <v>5687</v>
      </c>
      <c r="F11372" s="2"/>
      <c r="G11372" s="2"/>
      <c r="H11372" s="2"/>
    </row>
    <row r="11373" spans="1:8" x14ac:dyDescent="0.25">
      <c r="A11373" s="1"/>
      <c r="B11373" s="1" t="s">
        <v>5614</v>
      </c>
      <c r="C11373" s="1" t="s">
        <v>5615</v>
      </c>
      <c r="D11373" s="22" t="str">
        <f>HYPERLINK("https://rhld.insurance.arkansas.gov/NPILookup?Npi=1396130555","1396130555")</f>
        <v>1396130555</v>
      </c>
      <c r="E11373" s="1" t="s">
        <v>20417</v>
      </c>
      <c r="F11373" s="2"/>
      <c r="G11373" s="2"/>
      <c r="H11373" s="2"/>
    </row>
    <row r="11374" spans="1:8" x14ac:dyDescent="0.25">
      <c r="A11374" s="1"/>
      <c r="B11374" s="1" t="s">
        <v>5614</v>
      </c>
      <c r="C11374" s="1" t="s">
        <v>5615</v>
      </c>
      <c r="D11374" s="22" t="str">
        <f>HYPERLINK("https://rhld.insurance.arkansas.gov/NPILookup?Npi=1396264842","1396264842")</f>
        <v>1396264842</v>
      </c>
      <c r="E11374" s="1" t="s">
        <v>20418</v>
      </c>
      <c r="F11374" s="2"/>
      <c r="G11374" s="2"/>
      <c r="H11374" s="2"/>
    </row>
    <row r="11375" spans="1:8" x14ac:dyDescent="0.25">
      <c r="A11375" s="1"/>
      <c r="B11375" s="1" t="s">
        <v>5614</v>
      </c>
      <c r="C11375" s="1" t="s">
        <v>5615</v>
      </c>
      <c r="D11375" s="22" t="str">
        <f>HYPERLINK("https://rhld.insurance.arkansas.gov/NPILookup?Npi=1396757084","1396757084")</f>
        <v>1396757084</v>
      </c>
      <c r="E11375" s="1" t="s">
        <v>20419</v>
      </c>
      <c r="F11375" s="2"/>
      <c r="G11375" s="2"/>
      <c r="H11375" s="2"/>
    </row>
    <row r="11376" spans="1:8" x14ac:dyDescent="0.25">
      <c r="A11376" s="1"/>
      <c r="B11376" s="1" t="s">
        <v>5614</v>
      </c>
      <c r="C11376" s="1" t="s">
        <v>5615</v>
      </c>
      <c r="D11376" s="22" t="str">
        <f>HYPERLINK("https://rhld.insurance.arkansas.gov/NPILookup?Npi=1396766291","1396766291")</f>
        <v>1396766291</v>
      </c>
      <c r="E11376" s="1" t="s">
        <v>5643</v>
      </c>
      <c r="F11376" s="2"/>
      <c r="G11376" s="2"/>
      <c r="H11376" s="2"/>
    </row>
    <row r="11377" spans="1:8" x14ac:dyDescent="0.25">
      <c r="A11377" s="1"/>
      <c r="B11377" s="1" t="s">
        <v>5614</v>
      </c>
      <c r="C11377" s="1" t="s">
        <v>5615</v>
      </c>
      <c r="D11377" s="22" t="str">
        <f>HYPERLINK("https://rhld.insurance.arkansas.gov/NPILookup?Npi=1396840922","1396840922")</f>
        <v>1396840922</v>
      </c>
      <c r="E11377" s="1" t="s">
        <v>20420</v>
      </c>
      <c r="F11377" s="2"/>
      <c r="G11377" s="2"/>
      <c r="H11377" s="2"/>
    </row>
    <row r="11378" spans="1:8" x14ac:dyDescent="0.25">
      <c r="A11378" s="1"/>
      <c r="B11378" s="1" t="s">
        <v>5614</v>
      </c>
      <c r="C11378" s="1" t="s">
        <v>5615</v>
      </c>
      <c r="D11378" s="22" t="str">
        <f>HYPERLINK("https://rhld.insurance.arkansas.gov/NPILookup?Npi=1396901674","1396901674")</f>
        <v>1396901674</v>
      </c>
      <c r="E11378" s="1" t="s">
        <v>20421</v>
      </c>
      <c r="F11378" s="2"/>
      <c r="G11378" s="2"/>
      <c r="H11378" s="2"/>
    </row>
    <row r="11379" spans="1:8" x14ac:dyDescent="0.25">
      <c r="A11379" s="1"/>
      <c r="B11379" s="1" t="s">
        <v>5614</v>
      </c>
      <c r="C11379" s="1" t="s">
        <v>5615</v>
      </c>
      <c r="D11379" s="22" t="str">
        <f>HYPERLINK("https://rhld.insurance.arkansas.gov/NPILookup?Npi=1396978029","1396978029")</f>
        <v>1396978029</v>
      </c>
      <c r="E11379" s="1" t="s">
        <v>3605</v>
      </c>
      <c r="F11379" s="2"/>
      <c r="G11379" s="2"/>
      <c r="H11379" s="2"/>
    </row>
    <row r="11380" spans="1:8" x14ac:dyDescent="0.25">
      <c r="A11380" s="1"/>
      <c r="B11380" s="1" t="s">
        <v>5614</v>
      </c>
      <c r="C11380" s="1" t="s">
        <v>5615</v>
      </c>
      <c r="D11380" s="22" t="str">
        <f>HYPERLINK("https://rhld.insurance.arkansas.gov/NPILookup?Npi=1407099955","1407099955")</f>
        <v>1407099955</v>
      </c>
      <c r="E11380" s="1" t="s">
        <v>20422</v>
      </c>
      <c r="F11380" s="2"/>
      <c r="G11380" s="2"/>
      <c r="H11380" s="2"/>
    </row>
    <row r="11381" spans="1:8" x14ac:dyDescent="0.25">
      <c r="A11381" s="1"/>
      <c r="B11381" s="1" t="s">
        <v>5614</v>
      </c>
      <c r="C11381" s="1" t="s">
        <v>5615</v>
      </c>
      <c r="D11381" s="22" t="str">
        <f>HYPERLINK("https://rhld.insurance.arkansas.gov/NPILookup?Npi=1407342371","1407342371")</f>
        <v>1407342371</v>
      </c>
      <c r="E11381" s="1" t="s">
        <v>20423</v>
      </c>
      <c r="F11381" s="2"/>
      <c r="G11381" s="2"/>
      <c r="H11381" s="2"/>
    </row>
    <row r="11382" spans="1:8" x14ac:dyDescent="0.25">
      <c r="A11382" s="1"/>
      <c r="B11382" s="1" t="s">
        <v>5614</v>
      </c>
      <c r="C11382" s="1" t="s">
        <v>5615</v>
      </c>
      <c r="D11382" s="22" t="str">
        <f>HYPERLINK("https://rhld.insurance.arkansas.gov/NPILookup?Npi=1407885015","1407885015")</f>
        <v>1407885015</v>
      </c>
      <c r="E11382" s="1" t="s">
        <v>20424</v>
      </c>
      <c r="F11382" s="2"/>
      <c r="G11382" s="2"/>
      <c r="H11382" s="2"/>
    </row>
    <row r="11383" spans="1:8" x14ac:dyDescent="0.25">
      <c r="A11383" s="1"/>
      <c r="B11383" s="1" t="s">
        <v>5614</v>
      </c>
      <c r="C11383" s="1" t="s">
        <v>5615</v>
      </c>
      <c r="D11383" s="22" t="str">
        <f>HYPERLINK("https://rhld.insurance.arkansas.gov/NPILookup?Npi=1417016312","1417016312")</f>
        <v>1417016312</v>
      </c>
      <c r="E11383" s="1" t="s">
        <v>20425</v>
      </c>
      <c r="F11383" s="2"/>
      <c r="G11383" s="2"/>
      <c r="H11383" s="2"/>
    </row>
    <row r="11384" spans="1:8" x14ac:dyDescent="0.25">
      <c r="A11384" s="1"/>
      <c r="B11384" s="1" t="s">
        <v>5614</v>
      </c>
      <c r="C11384" s="1" t="s">
        <v>5615</v>
      </c>
      <c r="D11384" s="22" t="str">
        <f>HYPERLINK("https://rhld.insurance.arkansas.gov/NPILookup?Npi=1417067067","1417067067")</f>
        <v>1417067067</v>
      </c>
      <c r="E11384" s="1" t="s">
        <v>2106</v>
      </c>
      <c r="F11384" s="2"/>
      <c r="G11384" s="2"/>
      <c r="H11384" s="2"/>
    </row>
    <row r="11385" spans="1:8" x14ac:dyDescent="0.25">
      <c r="A11385" s="1"/>
      <c r="B11385" s="1" t="s">
        <v>5614</v>
      </c>
      <c r="C11385" s="1" t="s">
        <v>5615</v>
      </c>
      <c r="D11385" s="22" t="str">
        <f>HYPERLINK("https://rhld.insurance.arkansas.gov/NPILookup?Npi=1417067752","1417067752")</f>
        <v>1417067752</v>
      </c>
      <c r="E11385" s="1" t="s">
        <v>3548</v>
      </c>
      <c r="F11385" s="2"/>
      <c r="G11385" s="2"/>
      <c r="H11385" s="2"/>
    </row>
    <row r="11386" spans="1:8" x14ac:dyDescent="0.25">
      <c r="A11386" s="1"/>
      <c r="B11386" s="1" t="s">
        <v>5614</v>
      </c>
      <c r="C11386" s="1" t="s">
        <v>5615</v>
      </c>
      <c r="D11386" s="22" t="str">
        <f>HYPERLINK("https://rhld.insurance.arkansas.gov/NPILookup?Npi=1417098153","1417098153")</f>
        <v>1417098153</v>
      </c>
      <c r="E11386" s="1" t="s">
        <v>20426</v>
      </c>
      <c r="F11386" s="2"/>
      <c r="G11386" s="2"/>
      <c r="H11386" s="2"/>
    </row>
    <row r="11387" spans="1:8" x14ac:dyDescent="0.25">
      <c r="A11387" s="1"/>
      <c r="B11387" s="1" t="s">
        <v>5614</v>
      </c>
      <c r="C11387" s="1" t="s">
        <v>5615</v>
      </c>
      <c r="D11387" s="22" t="str">
        <f>HYPERLINK("https://rhld.insurance.arkansas.gov/NPILookup?Npi=1417190877","1417190877")</f>
        <v>1417190877</v>
      </c>
      <c r="E11387" s="1" t="s">
        <v>11252</v>
      </c>
      <c r="F11387" s="2"/>
      <c r="G11387" s="2"/>
      <c r="H11387" s="2"/>
    </row>
    <row r="11388" spans="1:8" x14ac:dyDescent="0.25">
      <c r="A11388" s="1"/>
      <c r="B11388" s="1" t="s">
        <v>5614</v>
      </c>
      <c r="C11388" s="1" t="s">
        <v>5615</v>
      </c>
      <c r="D11388" s="22" t="str">
        <f>HYPERLINK("https://rhld.insurance.arkansas.gov/NPILookup?Npi=1417260019","1417260019")</f>
        <v>1417260019</v>
      </c>
      <c r="E11388" s="1" t="s">
        <v>2311</v>
      </c>
      <c r="F11388" s="2"/>
      <c r="G11388" s="2"/>
      <c r="H11388" s="2"/>
    </row>
    <row r="11389" spans="1:8" x14ac:dyDescent="0.25">
      <c r="A11389" s="1"/>
      <c r="B11389" s="1" t="s">
        <v>5614</v>
      </c>
      <c r="C11389" s="1" t="s">
        <v>5615</v>
      </c>
      <c r="D11389" s="22" t="str">
        <f>HYPERLINK("https://rhld.insurance.arkansas.gov/NPILookup?Npi=1417330101","1417330101")</f>
        <v>1417330101</v>
      </c>
      <c r="E11389" s="1" t="s">
        <v>20427</v>
      </c>
      <c r="F11389" s="2"/>
      <c r="G11389" s="2"/>
      <c r="H11389" s="2"/>
    </row>
    <row r="11390" spans="1:8" x14ac:dyDescent="0.25">
      <c r="A11390" s="1"/>
      <c r="B11390" s="1" t="s">
        <v>5614</v>
      </c>
      <c r="C11390" s="1" t="s">
        <v>5615</v>
      </c>
      <c r="D11390" s="22" t="str">
        <f>HYPERLINK("https://rhld.insurance.arkansas.gov/NPILookup?Npi=1417394404","1417394404")</f>
        <v>1417394404</v>
      </c>
      <c r="E11390" s="1" t="s">
        <v>20428</v>
      </c>
      <c r="F11390" s="2"/>
      <c r="G11390" s="2"/>
      <c r="H11390" s="2"/>
    </row>
    <row r="11391" spans="1:8" x14ac:dyDescent="0.25">
      <c r="A11391" s="1"/>
      <c r="B11391" s="1" t="s">
        <v>5614</v>
      </c>
      <c r="C11391" s="1" t="s">
        <v>5615</v>
      </c>
      <c r="D11391" s="22" t="str">
        <f>HYPERLINK("https://rhld.insurance.arkansas.gov/NPILookup?Npi=1417479452","1417479452")</f>
        <v>1417479452</v>
      </c>
      <c r="E11391" s="1" t="s">
        <v>11253</v>
      </c>
      <c r="F11391" s="2"/>
      <c r="G11391" s="2"/>
      <c r="H11391" s="2"/>
    </row>
    <row r="11392" spans="1:8" x14ac:dyDescent="0.25">
      <c r="A11392" s="1"/>
      <c r="B11392" s="1" t="s">
        <v>5614</v>
      </c>
      <c r="C11392" s="1" t="s">
        <v>5615</v>
      </c>
      <c r="D11392" s="22" t="str">
        <f>HYPERLINK("https://rhld.insurance.arkansas.gov/NPILookup?Npi=1417914896","1417914896")</f>
        <v>1417914896</v>
      </c>
      <c r="E11392" s="1" t="s">
        <v>20429</v>
      </c>
      <c r="F11392" s="2"/>
      <c r="G11392" s="2"/>
      <c r="H11392" s="2"/>
    </row>
    <row r="11393" spans="1:8" x14ac:dyDescent="0.25">
      <c r="A11393" s="1"/>
      <c r="B11393" s="1" t="s">
        <v>5614</v>
      </c>
      <c r="C11393" s="1" t="s">
        <v>5615</v>
      </c>
      <c r="D11393" s="22" t="str">
        <f>HYPERLINK("https://rhld.insurance.arkansas.gov/NPILookup?Npi=1417950353","1417950353")</f>
        <v>1417950353</v>
      </c>
      <c r="E11393" s="1" t="s">
        <v>11254</v>
      </c>
      <c r="F11393" s="2"/>
      <c r="G11393" s="2"/>
      <c r="H11393" s="2"/>
    </row>
    <row r="11394" spans="1:8" x14ac:dyDescent="0.25">
      <c r="A11394" s="1"/>
      <c r="B11394" s="1" t="s">
        <v>5614</v>
      </c>
      <c r="C11394" s="1" t="s">
        <v>5615</v>
      </c>
      <c r="D11394" s="22" t="str">
        <f>HYPERLINK("https://rhld.insurance.arkansas.gov/NPILookup?Npi=1427026715","1427026715")</f>
        <v>1427026715</v>
      </c>
      <c r="E11394" s="1" t="s">
        <v>20430</v>
      </c>
      <c r="F11394" s="2"/>
      <c r="G11394" s="2"/>
      <c r="H11394" s="2"/>
    </row>
    <row r="11395" spans="1:8" x14ac:dyDescent="0.25">
      <c r="A11395" s="1"/>
      <c r="B11395" s="1" t="s">
        <v>5614</v>
      </c>
      <c r="C11395" s="1" t="s">
        <v>5615</v>
      </c>
      <c r="D11395" s="22" t="str">
        <f>HYPERLINK("https://rhld.insurance.arkansas.gov/NPILookup?Npi=1427050111","1427050111")</f>
        <v>1427050111</v>
      </c>
      <c r="E11395" s="1" t="s">
        <v>20431</v>
      </c>
      <c r="F11395" s="2"/>
      <c r="G11395" s="2"/>
      <c r="H11395" s="2"/>
    </row>
    <row r="11396" spans="1:8" x14ac:dyDescent="0.25">
      <c r="A11396" s="1"/>
      <c r="B11396" s="1" t="s">
        <v>5614</v>
      </c>
      <c r="C11396" s="1" t="s">
        <v>5615</v>
      </c>
      <c r="D11396" s="22" t="str">
        <f>HYPERLINK("https://rhld.insurance.arkansas.gov/NPILookup?Npi=1427215623","1427215623")</f>
        <v>1427215623</v>
      </c>
      <c r="E11396" s="1" t="s">
        <v>3606</v>
      </c>
      <c r="F11396" s="2"/>
      <c r="G11396" s="2"/>
      <c r="H11396" s="2"/>
    </row>
    <row r="11397" spans="1:8" x14ac:dyDescent="0.25">
      <c r="A11397" s="1"/>
      <c r="B11397" s="1" t="s">
        <v>5614</v>
      </c>
      <c r="C11397" s="1" t="s">
        <v>5615</v>
      </c>
      <c r="D11397" s="22" t="str">
        <f>HYPERLINK("https://rhld.insurance.arkansas.gov/NPILookup?Npi=1427400928","1427400928")</f>
        <v>1427400928</v>
      </c>
      <c r="E11397" s="1" t="s">
        <v>20432</v>
      </c>
      <c r="F11397" s="2"/>
      <c r="G11397" s="2"/>
      <c r="H11397" s="2"/>
    </row>
    <row r="11398" spans="1:8" x14ac:dyDescent="0.25">
      <c r="A11398" s="1"/>
      <c r="B11398" s="1" t="s">
        <v>5614</v>
      </c>
      <c r="C11398" s="1" t="s">
        <v>5615</v>
      </c>
      <c r="D11398" s="22" t="str">
        <f>HYPERLINK("https://rhld.insurance.arkansas.gov/NPILookup?Npi=1437539533","1437539533")</f>
        <v>1437539533</v>
      </c>
      <c r="E11398" s="1" t="s">
        <v>5644</v>
      </c>
      <c r="F11398" s="2"/>
      <c r="G11398" s="2"/>
      <c r="H11398" s="2"/>
    </row>
    <row r="11399" spans="1:8" x14ac:dyDescent="0.25">
      <c r="A11399" s="1"/>
      <c r="B11399" s="1" t="s">
        <v>5614</v>
      </c>
      <c r="C11399" s="1" t="s">
        <v>5615</v>
      </c>
      <c r="D11399" s="22" t="str">
        <f>HYPERLINK("https://rhld.insurance.arkansas.gov/NPILookup?Npi=1437710373","1437710373")</f>
        <v>1437710373</v>
      </c>
      <c r="E11399" s="1" t="s">
        <v>2572</v>
      </c>
      <c r="F11399" s="2"/>
      <c r="G11399" s="2"/>
      <c r="H11399" s="2"/>
    </row>
    <row r="11400" spans="1:8" x14ac:dyDescent="0.25">
      <c r="A11400" s="1"/>
      <c r="B11400" s="1" t="s">
        <v>5614</v>
      </c>
      <c r="C11400" s="1" t="s">
        <v>5615</v>
      </c>
      <c r="D11400" s="22" t="str">
        <f>HYPERLINK("https://rhld.insurance.arkansas.gov/NPILookup?Npi=1437805793","1437805793")</f>
        <v>1437805793</v>
      </c>
      <c r="E11400" s="1" t="s">
        <v>11255</v>
      </c>
      <c r="F11400" s="2"/>
      <c r="G11400" s="2"/>
      <c r="H11400" s="2"/>
    </row>
    <row r="11401" spans="1:8" x14ac:dyDescent="0.25">
      <c r="A11401" s="1"/>
      <c r="B11401" s="1" t="s">
        <v>5614</v>
      </c>
      <c r="C11401" s="1" t="s">
        <v>5615</v>
      </c>
      <c r="D11401" s="22" t="str">
        <f>HYPERLINK("https://rhld.insurance.arkansas.gov/NPILookup?Npi=1447201629","1447201629")</f>
        <v>1447201629</v>
      </c>
      <c r="E11401" s="1" t="s">
        <v>20433</v>
      </c>
      <c r="F11401" s="2"/>
      <c r="G11401" s="2"/>
      <c r="H11401" s="2"/>
    </row>
    <row r="11402" spans="1:8" x14ac:dyDescent="0.25">
      <c r="A11402" s="1"/>
      <c r="B11402" s="1" t="s">
        <v>5614</v>
      </c>
      <c r="C11402" s="1" t="s">
        <v>5615</v>
      </c>
      <c r="D11402" s="22" t="str">
        <f>HYPERLINK("https://rhld.insurance.arkansas.gov/NPILookup?Npi=1447234760","1447234760")</f>
        <v>1447234760</v>
      </c>
      <c r="E11402" s="1" t="s">
        <v>20434</v>
      </c>
      <c r="F11402" s="2"/>
      <c r="G11402" s="2"/>
      <c r="H11402" s="2"/>
    </row>
    <row r="11403" spans="1:8" x14ac:dyDescent="0.25">
      <c r="A11403" s="1"/>
      <c r="B11403" s="1" t="s">
        <v>5614</v>
      </c>
      <c r="C11403" s="1" t="s">
        <v>5615</v>
      </c>
      <c r="D11403" s="22" t="str">
        <f>HYPERLINK("https://rhld.insurance.arkansas.gov/NPILookup?Npi=1447239629","1447239629")</f>
        <v>1447239629</v>
      </c>
      <c r="E11403" s="1" t="s">
        <v>20435</v>
      </c>
      <c r="F11403" s="2"/>
      <c r="G11403" s="2"/>
      <c r="H11403" s="2"/>
    </row>
    <row r="11404" spans="1:8" x14ac:dyDescent="0.25">
      <c r="A11404" s="1"/>
      <c r="B11404" s="1" t="s">
        <v>5614</v>
      </c>
      <c r="C11404" s="1" t="s">
        <v>5615</v>
      </c>
      <c r="D11404" s="22" t="str">
        <f>HYPERLINK("https://rhld.insurance.arkansas.gov/NPILookup?Npi=1447246517","1447246517")</f>
        <v>1447246517</v>
      </c>
      <c r="E11404" s="1" t="s">
        <v>19157</v>
      </c>
      <c r="F11404" s="2"/>
      <c r="G11404" s="2"/>
      <c r="H11404" s="2"/>
    </row>
    <row r="11405" spans="1:8" x14ac:dyDescent="0.25">
      <c r="A11405" s="1"/>
      <c r="B11405" s="1" t="s">
        <v>5614</v>
      </c>
      <c r="C11405" s="1" t="s">
        <v>5615</v>
      </c>
      <c r="D11405" s="22" t="str">
        <f>HYPERLINK("https://rhld.insurance.arkansas.gov/NPILookup?Npi=1447307095","1447307095")</f>
        <v>1447307095</v>
      </c>
      <c r="E11405" s="1" t="s">
        <v>11256</v>
      </c>
      <c r="F11405" s="2"/>
      <c r="G11405" s="2"/>
      <c r="H11405" s="2"/>
    </row>
    <row r="11406" spans="1:8" x14ac:dyDescent="0.25">
      <c r="A11406" s="1"/>
      <c r="B11406" s="1" t="s">
        <v>5614</v>
      </c>
      <c r="C11406" s="1" t="s">
        <v>5615</v>
      </c>
      <c r="D11406" s="22" t="str">
        <f>HYPERLINK("https://rhld.insurance.arkansas.gov/NPILookup?Npi=1447387170","1447387170")</f>
        <v>1447387170</v>
      </c>
      <c r="E11406" s="1" t="s">
        <v>20436</v>
      </c>
      <c r="F11406" s="2"/>
      <c r="G11406" s="2"/>
      <c r="H11406" s="2"/>
    </row>
    <row r="11407" spans="1:8" x14ac:dyDescent="0.25">
      <c r="A11407" s="1"/>
      <c r="B11407" s="1" t="s">
        <v>5614</v>
      </c>
      <c r="C11407" s="1" t="s">
        <v>5615</v>
      </c>
      <c r="D11407" s="22" t="str">
        <f>HYPERLINK("https://rhld.insurance.arkansas.gov/NPILookup?Npi=1447412945","1447412945")</f>
        <v>1447412945</v>
      </c>
      <c r="E11407" s="1" t="s">
        <v>20437</v>
      </c>
      <c r="F11407" s="2"/>
      <c r="G11407" s="2"/>
      <c r="H11407" s="2"/>
    </row>
    <row r="11408" spans="1:8" x14ac:dyDescent="0.25">
      <c r="A11408" s="1"/>
      <c r="B11408" s="1" t="s">
        <v>5614</v>
      </c>
      <c r="C11408" s="1" t="s">
        <v>5615</v>
      </c>
      <c r="D11408" s="22" t="str">
        <f>HYPERLINK("https://rhld.insurance.arkansas.gov/NPILookup?Npi=1447538897","1447538897")</f>
        <v>1447538897</v>
      </c>
      <c r="E11408" s="1" t="s">
        <v>2312</v>
      </c>
      <c r="F11408" s="2"/>
      <c r="G11408" s="2"/>
      <c r="H11408" s="2"/>
    </row>
    <row r="11409" spans="1:8" x14ac:dyDescent="0.25">
      <c r="A11409" s="1"/>
      <c r="B11409" s="1" t="s">
        <v>5614</v>
      </c>
      <c r="C11409" s="1" t="s">
        <v>5615</v>
      </c>
      <c r="D11409" s="22" t="str">
        <f>HYPERLINK("https://rhld.insurance.arkansas.gov/NPILookup?Npi=1457316002","1457316002")</f>
        <v>1457316002</v>
      </c>
      <c r="E11409" s="1" t="s">
        <v>20438</v>
      </c>
      <c r="F11409" s="2"/>
      <c r="G11409" s="2"/>
      <c r="H11409" s="2"/>
    </row>
    <row r="11410" spans="1:8" x14ac:dyDescent="0.25">
      <c r="A11410" s="1"/>
      <c r="B11410" s="1" t="s">
        <v>5614</v>
      </c>
      <c r="C11410" s="1" t="s">
        <v>5615</v>
      </c>
      <c r="D11410" s="22" t="str">
        <f>HYPERLINK("https://rhld.insurance.arkansas.gov/NPILookup?Npi=1457373466","1457373466")</f>
        <v>1457373466</v>
      </c>
      <c r="E11410" s="1" t="s">
        <v>20439</v>
      </c>
      <c r="F11410" s="2"/>
      <c r="G11410" s="2"/>
      <c r="H11410" s="2"/>
    </row>
    <row r="11411" spans="1:8" x14ac:dyDescent="0.25">
      <c r="A11411" s="1"/>
      <c r="B11411" s="1" t="s">
        <v>5614</v>
      </c>
      <c r="C11411" s="1" t="s">
        <v>5615</v>
      </c>
      <c r="D11411" s="22" t="str">
        <f>HYPERLINK("https://rhld.insurance.arkansas.gov/NPILookup?Npi=1457379083","1457379083")</f>
        <v>1457379083</v>
      </c>
      <c r="E11411" s="1" t="s">
        <v>20440</v>
      </c>
      <c r="F11411" s="2"/>
      <c r="G11411" s="2"/>
      <c r="H11411" s="2"/>
    </row>
    <row r="11412" spans="1:8" x14ac:dyDescent="0.25">
      <c r="A11412" s="1"/>
      <c r="B11412" s="1" t="s">
        <v>5614</v>
      </c>
      <c r="C11412" s="1" t="s">
        <v>5615</v>
      </c>
      <c r="D11412" s="22" t="str">
        <f>HYPERLINK("https://rhld.insurance.arkansas.gov/NPILookup?Npi=1457390080","1457390080")</f>
        <v>1457390080</v>
      </c>
      <c r="E11412" s="1" t="s">
        <v>20441</v>
      </c>
      <c r="F11412" s="2"/>
      <c r="G11412" s="2"/>
      <c r="H11412" s="2"/>
    </row>
    <row r="11413" spans="1:8" x14ac:dyDescent="0.25">
      <c r="A11413" s="1"/>
      <c r="B11413" s="1" t="s">
        <v>5614</v>
      </c>
      <c r="C11413" s="1" t="s">
        <v>5615</v>
      </c>
      <c r="D11413" s="22" t="str">
        <f>HYPERLINK("https://rhld.insurance.arkansas.gov/NPILookup?Npi=1457445991","1457445991")</f>
        <v>1457445991</v>
      </c>
      <c r="E11413" s="1" t="s">
        <v>20442</v>
      </c>
      <c r="F11413" s="2"/>
      <c r="G11413" s="2"/>
      <c r="H11413" s="2"/>
    </row>
    <row r="11414" spans="1:8" x14ac:dyDescent="0.25">
      <c r="A11414" s="1"/>
      <c r="B11414" s="1" t="s">
        <v>5614</v>
      </c>
      <c r="C11414" s="1" t="s">
        <v>5615</v>
      </c>
      <c r="D11414" s="22" t="str">
        <f>HYPERLINK("https://rhld.insurance.arkansas.gov/NPILookup?Npi=1457569881","1457569881")</f>
        <v>1457569881</v>
      </c>
      <c r="E11414" s="1" t="s">
        <v>1282</v>
      </c>
      <c r="F11414" s="2"/>
      <c r="G11414" s="2"/>
      <c r="H11414" s="2"/>
    </row>
    <row r="11415" spans="1:8" x14ac:dyDescent="0.25">
      <c r="A11415" s="1"/>
      <c r="B11415" s="1" t="s">
        <v>5614</v>
      </c>
      <c r="C11415" s="1" t="s">
        <v>5615</v>
      </c>
      <c r="D11415" s="22" t="str">
        <f>HYPERLINK("https://rhld.insurance.arkansas.gov/NPILookup?Npi=1457685331","1457685331")</f>
        <v>1457685331</v>
      </c>
      <c r="E11415" s="1" t="s">
        <v>10465</v>
      </c>
      <c r="F11415" s="2"/>
      <c r="G11415" s="2"/>
      <c r="H11415" s="2"/>
    </row>
    <row r="11416" spans="1:8" x14ac:dyDescent="0.25">
      <c r="A11416" s="1"/>
      <c r="B11416" s="1" t="s">
        <v>5614</v>
      </c>
      <c r="C11416" s="1" t="s">
        <v>5615</v>
      </c>
      <c r="D11416" s="22" t="str">
        <f>HYPERLINK("https://rhld.insurance.arkansas.gov/NPILookup?Npi=1457734063","1457734063")</f>
        <v>1457734063</v>
      </c>
      <c r="E11416" s="1" t="s">
        <v>20443</v>
      </c>
      <c r="F11416" s="2"/>
      <c r="G11416" s="2"/>
      <c r="H11416" s="2"/>
    </row>
    <row r="11417" spans="1:8" x14ac:dyDescent="0.25">
      <c r="A11417" s="1"/>
      <c r="B11417" s="1" t="s">
        <v>5614</v>
      </c>
      <c r="C11417" s="1" t="s">
        <v>5615</v>
      </c>
      <c r="D11417" s="22" t="str">
        <f>HYPERLINK("https://rhld.insurance.arkansas.gov/NPILookup?Npi=1457739831","1457739831")</f>
        <v>1457739831</v>
      </c>
      <c r="E11417" s="1" t="s">
        <v>11257</v>
      </c>
      <c r="F11417" s="2"/>
      <c r="G11417" s="2"/>
      <c r="H11417" s="2"/>
    </row>
    <row r="11418" spans="1:8" x14ac:dyDescent="0.25">
      <c r="A11418" s="1"/>
      <c r="B11418" s="1" t="s">
        <v>5614</v>
      </c>
      <c r="C11418" s="1" t="s">
        <v>5615</v>
      </c>
      <c r="D11418" s="22" t="str">
        <f>HYPERLINK("https://rhld.insurance.arkansas.gov/NPILookup?Npi=1467022590","1467022590")</f>
        <v>1467022590</v>
      </c>
      <c r="E11418" s="1" t="s">
        <v>1924</v>
      </c>
      <c r="F11418" s="2"/>
      <c r="G11418" s="2"/>
      <c r="H11418" s="2"/>
    </row>
    <row r="11419" spans="1:8" x14ac:dyDescent="0.25">
      <c r="A11419" s="1"/>
      <c r="B11419" s="1" t="s">
        <v>5614</v>
      </c>
      <c r="C11419" s="1" t="s">
        <v>5615</v>
      </c>
      <c r="D11419" s="22" t="str">
        <f>HYPERLINK("https://rhld.insurance.arkansas.gov/NPILookup?Npi=1467079079","1467079079")</f>
        <v>1467079079</v>
      </c>
      <c r="E11419" s="1" t="s">
        <v>20444</v>
      </c>
      <c r="F11419" s="2"/>
      <c r="G11419" s="2"/>
      <c r="H11419" s="2"/>
    </row>
    <row r="11420" spans="1:8" x14ac:dyDescent="0.25">
      <c r="A11420" s="1"/>
      <c r="B11420" s="1" t="s">
        <v>5614</v>
      </c>
      <c r="C11420" s="1" t="s">
        <v>5615</v>
      </c>
      <c r="D11420" s="22" t="str">
        <f>HYPERLINK("https://rhld.insurance.arkansas.gov/NPILookup?Npi=1467079194","1467079194")</f>
        <v>1467079194</v>
      </c>
      <c r="E11420" s="1" t="s">
        <v>1622</v>
      </c>
      <c r="F11420" s="2"/>
      <c r="G11420" s="2"/>
      <c r="H11420" s="2"/>
    </row>
    <row r="11421" spans="1:8" x14ac:dyDescent="0.25">
      <c r="A11421" s="1"/>
      <c r="B11421" s="1" t="s">
        <v>5614</v>
      </c>
      <c r="C11421" s="1" t="s">
        <v>5615</v>
      </c>
      <c r="D11421" s="22" t="str">
        <f>HYPERLINK("https://rhld.insurance.arkansas.gov/NPILookup?Npi=1467424374","1467424374")</f>
        <v>1467424374</v>
      </c>
      <c r="E11421" s="1" t="s">
        <v>20445</v>
      </c>
      <c r="F11421" s="2"/>
      <c r="G11421" s="2"/>
      <c r="H11421" s="2"/>
    </row>
    <row r="11422" spans="1:8" x14ac:dyDescent="0.25">
      <c r="A11422" s="1"/>
      <c r="B11422" s="1" t="s">
        <v>5614</v>
      </c>
      <c r="C11422" s="1" t="s">
        <v>5615</v>
      </c>
      <c r="D11422" s="22" t="str">
        <f>HYPERLINK("https://rhld.insurance.arkansas.gov/NPILookup?Npi=1467444026","1467444026")</f>
        <v>1467444026</v>
      </c>
      <c r="E11422" s="1" t="s">
        <v>20446</v>
      </c>
      <c r="F11422" s="2"/>
      <c r="G11422" s="2"/>
      <c r="H11422" s="2"/>
    </row>
    <row r="11423" spans="1:8" x14ac:dyDescent="0.25">
      <c r="A11423" s="1"/>
      <c r="B11423" s="1" t="s">
        <v>5614</v>
      </c>
      <c r="C11423" s="1" t="s">
        <v>5615</v>
      </c>
      <c r="D11423" s="22" t="str">
        <f>HYPERLINK("https://rhld.insurance.arkansas.gov/NPILookup?Npi=1467469718","1467469718")</f>
        <v>1467469718</v>
      </c>
      <c r="E11423" s="1" t="s">
        <v>20447</v>
      </c>
      <c r="F11423" s="2"/>
      <c r="G11423" s="2"/>
      <c r="H11423" s="2"/>
    </row>
    <row r="11424" spans="1:8" x14ac:dyDescent="0.25">
      <c r="A11424" s="1"/>
      <c r="B11424" s="1" t="s">
        <v>5614</v>
      </c>
      <c r="C11424" s="1" t="s">
        <v>5615</v>
      </c>
      <c r="D11424" s="22" t="str">
        <f>HYPERLINK("https://rhld.insurance.arkansas.gov/NPILookup?Npi=1467481796","1467481796")</f>
        <v>1467481796</v>
      </c>
      <c r="E11424" s="1" t="s">
        <v>1069</v>
      </c>
      <c r="F11424" s="2"/>
      <c r="G11424" s="2"/>
      <c r="H11424" s="2"/>
    </row>
    <row r="11425" spans="1:8" x14ac:dyDescent="0.25">
      <c r="A11425" s="1"/>
      <c r="B11425" s="1" t="s">
        <v>5614</v>
      </c>
      <c r="C11425" s="1" t="s">
        <v>5615</v>
      </c>
      <c r="D11425" s="22" t="str">
        <f>HYPERLINK("https://rhld.insurance.arkansas.gov/NPILookup?Npi=1467485359","1467485359")</f>
        <v>1467485359</v>
      </c>
      <c r="E11425" s="1" t="s">
        <v>17689</v>
      </c>
      <c r="F11425" s="2"/>
      <c r="G11425" s="2"/>
      <c r="H11425" s="2"/>
    </row>
    <row r="11426" spans="1:8" x14ac:dyDescent="0.25">
      <c r="A11426" s="1"/>
      <c r="B11426" s="1" t="s">
        <v>5614</v>
      </c>
      <c r="C11426" s="1" t="s">
        <v>5615</v>
      </c>
      <c r="D11426" s="22" t="str">
        <f>HYPERLINK("https://rhld.insurance.arkansas.gov/NPILookup?Npi=1467486753","1467486753")</f>
        <v>1467486753</v>
      </c>
      <c r="E11426" s="1" t="s">
        <v>20448</v>
      </c>
      <c r="F11426" s="2"/>
      <c r="G11426" s="2"/>
      <c r="H11426" s="2"/>
    </row>
    <row r="11427" spans="1:8" x14ac:dyDescent="0.25">
      <c r="A11427" s="1"/>
      <c r="B11427" s="1" t="s">
        <v>5614</v>
      </c>
      <c r="C11427" s="1" t="s">
        <v>5615</v>
      </c>
      <c r="D11427" s="22" t="str">
        <f>HYPERLINK("https://rhld.insurance.arkansas.gov/NPILookup?Npi=1467487744","1467487744")</f>
        <v>1467487744</v>
      </c>
      <c r="E11427" s="1" t="s">
        <v>20449</v>
      </c>
      <c r="F11427" s="2"/>
      <c r="G11427" s="2"/>
      <c r="H11427" s="2"/>
    </row>
    <row r="11428" spans="1:8" x14ac:dyDescent="0.25">
      <c r="A11428" s="1"/>
      <c r="B11428" s="1" t="s">
        <v>5614</v>
      </c>
      <c r="C11428" s="1" t="s">
        <v>5615</v>
      </c>
      <c r="D11428" s="22" t="str">
        <f>HYPERLINK("https://rhld.insurance.arkansas.gov/NPILookup?Npi=1467531970","1467531970")</f>
        <v>1467531970</v>
      </c>
      <c r="E11428" s="1" t="s">
        <v>3607</v>
      </c>
      <c r="F11428" s="2"/>
      <c r="G11428" s="2"/>
      <c r="H11428" s="2"/>
    </row>
    <row r="11429" spans="1:8" x14ac:dyDescent="0.25">
      <c r="A11429" s="1"/>
      <c r="B11429" s="1" t="s">
        <v>5614</v>
      </c>
      <c r="C11429" s="1" t="s">
        <v>5615</v>
      </c>
      <c r="D11429" s="22" t="str">
        <f>HYPERLINK("https://rhld.insurance.arkansas.gov/NPILookup?Npi=1467566521","1467566521")</f>
        <v>1467566521</v>
      </c>
      <c r="E11429" s="1" t="s">
        <v>11258</v>
      </c>
      <c r="F11429" s="2"/>
      <c r="G11429" s="2"/>
      <c r="H11429" s="2"/>
    </row>
    <row r="11430" spans="1:8" x14ac:dyDescent="0.25">
      <c r="A11430" s="1"/>
      <c r="B11430" s="1" t="s">
        <v>5614</v>
      </c>
      <c r="C11430" s="1" t="s">
        <v>5615</v>
      </c>
      <c r="D11430" s="22" t="str">
        <f>HYPERLINK("https://rhld.insurance.arkansas.gov/NPILookup?Npi=1467568675","1467568675")</f>
        <v>1467568675</v>
      </c>
      <c r="E11430" s="1" t="s">
        <v>20450</v>
      </c>
      <c r="F11430" s="2"/>
      <c r="G11430" s="2"/>
      <c r="H11430" s="2"/>
    </row>
    <row r="11431" spans="1:8" x14ac:dyDescent="0.25">
      <c r="A11431" s="1"/>
      <c r="B11431" s="1" t="s">
        <v>5614</v>
      </c>
      <c r="C11431" s="1" t="s">
        <v>5615</v>
      </c>
      <c r="D11431" s="22" t="str">
        <f>HYPERLINK("https://rhld.insurance.arkansas.gov/NPILookup?Npi=1467613711","1467613711")</f>
        <v>1467613711</v>
      </c>
      <c r="E11431" s="1" t="s">
        <v>20451</v>
      </c>
      <c r="F11431" s="2"/>
      <c r="G11431" s="2"/>
      <c r="H11431" s="2"/>
    </row>
    <row r="11432" spans="1:8" x14ac:dyDescent="0.25">
      <c r="A11432" s="1"/>
      <c r="B11432" s="1" t="s">
        <v>5614</v>
      </c>
      <c r="C11432" s="1" t="s">
        <v>5615</v>
      </c>
      <c r="D11432" s="22" t="str">
        <f>HYPERLINK("https://rhld.insurance.arkansas.gov/NPILookup?Npi=1467644229","1467644229")</f>
        <v>1467644229</v>
      </c>
      <c r="E11432" s="1" t="s">
        <v>20452</v>
      </c>
      <c r="F11432" s="2"/>
      <c r="G11432" s="2"/>
      <c r="H11432" s="2"/>
    </row>
    <row r="11433" spans="1:8" x14ac:dyDescent="0.25">
      <c r="A11433" s="1"/>
      <c r="B11433" s="1" t="s">
        <v>5614</v>
      </c>
      <c r="C11433" s="1" t="s">
        <v>5615</v>
      </c>
      <c r="D11433" s="22" t="str">
        <f>HYPERLINK("https://rhld.insurance.arkansas.gov/NPILookup?Npi=1467696518","1467696518")</f>
        <v>1467696518</v>
      </c>
      <c r="E11433" s="1" t="s">
        <v>11259</v>
      </c>
      <c r="F11433" s="2"/>
      <c r="G11433" s="2"/>
      <c r="H11433" s="2"/>
    </row>
    <row r="11434" spans="1:8" x14ac:dyDescent="0.25">
      <c r="A11434" s="1"/>
      <c r="B11434" s="1" t="s">
        <v>5614</v>
      </c>
      <c r="C11434" s="1" t="s">
        <v>5615</v>
      </c>
      <c r="D11434" s="22" t="str">
        <f>HYPERLINK("https://rhld.insurance.arkansas.gov/NPILookup?Npi=1467878520","1467878520")</f>
        <v>1467878520</v>
      </c>
      <c r="E11434" s="1" t="s">
        <v>20453</v>
      </c>
      <c r="F11434" s="2"/>
      <c r="G11434" s="2"/>
      <c r="H11434" s="2"/>
    </row>
    <row r="11435" spans="1:8" x14ac:dyDescent="0.25">
      <c r="A11435" s="1"/>
      <c r="B11435" s="1" t="s">
        <v>5614</v>
      </c>
      <c r="C11435" s="1" t="s">
        <v>5615</v>
      </c>
      <c r="D11435" s="22" t="str">
        <f>HYPERLINK("https://rhld.insurance.arkansas.gov/NPILookup?Npi=1467974287","1467974287")</f>
        <v>1467974287</v>
      </c>
      <c r="E11435" s="1" t="s">
        <v>20454</v>
      </c>
      <c r="F11435" s="2"/>
      <c r="G11435" s="2"/>
      <c r="H11435" s="2"/>
    </row>
    <row r="11436" spans="1:8" x14ac:dyDescent="0.25">
      <c r="A11436" s="1"/>
      <c r="B11436" s="1" t="s">
        <v>5614</v>
      </c>
      <c r="C11436" s="1" t="s">
        <v>5615</v>
      </c>
      <c r="D11436" s="22" t="str">
        <f>HYPERLINK("https://rhld.insurance.arkansas.gov/NPILookup?Npi=1477510212","1477510212")</f>
        <v>1477510212</v>
      </c>
      <c r="E11436" s="1" t="s">
        <v>20455</v>
      </c>
      <c r="F11436" s="2"/>
      <c r="G11436" s="2"/>
      <c r="H11436" s="2"/>
    </row>
    <row r="11437" spans="1:8" x14ac:dyDescent="0.25">
      <c r="A11437" s="1"/>
      <c r="B11437" s="1" t="s">
        <v>5614</v>
      </c>
      <c r="C11437" s="1" t="s">
        <v>5615</v>
      </c>
      <c r="D11437" s="22" t="str">
        <f>HYPERLINK("https://rhld.insurance.arkansas.gov/NPILookup?Npi=1477510857","1477510857")</f>
        <v>1477510857</v>
      </c>
      <c r="E11437" s="1" t="s">
        <v>20456</v>
      </c>
      <c r="F11437" s="2"/>
      <c r="G11437" s="2"/>
      <c r="H11437" s="2"/>
    </row>
    <row r="11438" spans="1:8" x14ac:dyDescent="0.25">
      <c r="A11438" s="1"/>
      <c r="B11438" s="1" t="s">
        <v>5614</v>
      </c>
      <c r="C11438" s="1" t="s">
        <v>5615</v>
      </c>
      <c r="D11438" s="22" t="str">
        <f>HYPERLINK("https://rhld.insurance.arkansas.gov/NPILookup?Npi=1477524973","1477524973")</f>
        <v>1477524973</v>
      </c>
      <c r="E11438" s="1" t="s">
        <v>20457</v>
      </c>
      <c r="F11438" s="2"/>
      <c r="G11438" s="2"/>
      <c r="H11438" s="2"/>
    </row>
    <row r="11439" spans="1:8" x14ac:dyDescent="0.25">
      <c r="A11439" s="1"/>
      <c r="B11439" s="1" t="s">
        <v>5614</v>
      </c>
      <c r="C11439" s="1" t="s">
        <v>5615</v>
      </c>
      <c r="D11439" s="22" t="str">
        <f>HYPERLINK("https://rhld.insurance.arkansas.gov/NPILookup?Npi=1477636033","1477636033")</f>
        <v>1477636033</v>
      </c>
      <c r="E11439" s="1" t="s">
        <v>20458</v>
      </c>
      <c r="F11439" s="2"/>
      <c r="G11439" s="2"/>
      <c r="H11439" s="2"/>
    </row>
    <row r="11440" spans="1:8" x14ac:dyDescent="0.25">
      <c r="A11440" s="1"/>
      <c r="B11440" s="1" t="s">
        <v>5614</v>
      </c>
      <c r="C11440" s="1" t="s">
        <v>5615</v>
      </c>
      <c r="D11440" s="22" t="str">
        <f>HYPERLINK("https://rhld.insurance.arkansas.gov/NPILookup?Npi=1477643906","1477643906")</f>
        <v>1477643906</v>
      </c>
      <c r="E11440" s="1" t="s">
        <v>20459</v>
      </c>
      <c r="F11440" s="2"/>
      <c r="G11440" s="2"/>
      <c r="H11440" s="2"/>
    </row>
    <row r="11441" spans="1:8" x14ac:dyDescent="0.25">
      <c r="A11441" s="1"/>
      <c r="B11441" s="1" t="s">
        <v>5614</v>
      </c>
      <c r="C11441" s="1" t="s">
        <v>5615</v>
      </c>
      <c r="D11441" s="22" t="str">
        <f>HYPERLINK("https://rhld.insurance.arkansas.gov/NPILookup?Npi=1477656213","1477656213")</f>
        <v>1477656213</v>
      </c>
      <c r="E11441" s="1" t="s">
        <v>2313</v>
      </c>
      <c r="F11441" s="2"/>
      <c r="G11441" s="2"/>
      <c r="H11441" s="2"/>
    </row>
    <row r="11442" spans="1:8" x14ac:dyDescent="0.25">
      <c r="A11442" s="1"/>
      <c r="B11442" s="1" t="s">
        <v>5614</v>
      </c>
      <c r="C11442" s="1" t="s">
        <v>5615</v>
      </c>
      <c r="D11442" s="22" t="str">
        <f>HYPERLINK("https://rhld.insurance.arkansas.gov/NPILookup?Npi=1477858769","1477858769")</f>
        <v>1477858769</v>
      </c>
      <c r="E11442" s="1" t="s">
        <v>5646</v>
      </c>
      <c r="F11442" s="2"/>
      <c r="G11442" s="2"/>
      <c r="H11442" s="2"/>
    </row>
    <row r="11443" spans="1:8" x14ac:dyDescent="0.25">
      <c r="A11443" s="1"/>
      <c r="B11443" s="1" t="s">
        <v>5614</v>
      </c>
      <c r="C11443" s="1" t="s">
        <v>5615</v>
      </c>
      <c r="D11443" s="22" t="str">
        <f>HYPERLINK("https://rhld.insurance.arkansas.gov/NPILookup?Npi=1477931863","1477931863")</f>
        <v>1477931863</v>
      </c>
      <c r="E11443" s="1" t="s">
        <v>20460</v>
      </c>
      <c r="F11443" s="2"/>
      <c r="G11443" s="2"/>
      <c r="H11443" s="2"/>
    </row>
    <row r="11444" spans="1:8" x14ac:dyDescent="0.25">
      <c r="A11444" s="1"/>
      <c r="B11444" s="1" t="s">
        <v>5614</v>
      </c>
      <c r="C11444" s="1" t="s">
        <v>5615</v>
      </c>
      <c r="D11444" s="22" t="str">
        <f>HYPERLINK("https://rhld.insurance.arkansas.gov/NPILookup?Npi=1487629481","1487629481")</f>
        <v>1487629481</v>
      </c>
      <c r="E11444" s="1" t="s">
        <v>20461</v>
      </c>
      <c r="F11444" s="2"/>
      <c r="G11444" s="2"/>
      <c r="H11444" s="2"/>
    </row>
    <row r="11445" spans="1:8" x14ac:dyDescent="0.25">
      <c r="A11445" s="1"/>
      <c r="B11445" s="1" t="s">
        <v>5614</v>
      </c>
      <c r="C11445" s="1" t="s">
        <v>5615</v>
      </c>
      <c r="D11445" s="22" t="str">
        <f>HYPERLINK("https://rhld.insurance.arkansas.gov/NPILookup?Npi=1487744975","1487744975")</f>
        <v>1487744975</v>
      </c>
      <c r="E11445" s="1" t="s">
        <v>20462</v>
      </c>
      <c r="F11445" s="2"/>
      <c r="G11445" s="2"/>
      <c r="H11445" s="2"/>
    </row>
    <row r="11446" spans="1:8" x14ac:dyDescent="0.25">
      <c r="A11446" s="1"/>
      <c r="B11446" s="1" t="s">
        <v>5614</v>
      </c>
      <c r="C11446" s="1" t="s">
        <v>5615</v>
      </c>
      <c r="D11446" s="22" t="str">
        <f>HYPERLINK("https://rhld.insurance.arkansas.gov/NPILookup?Npi=1487779062","1487779062")</f>
        <v>1487779062</v>
      </c>
      <c r="E11446" s="1" t="s">
        <v>3608</v>
      </c>
      <c r="F11446" s="2"/>
      <c r="G11446" s="2"/>
      <c r="H11446" s="2"/>
    </row>
    <row r="11447" spans="1:8" x14ac:dyDescent="0.25">
      <c r="A11447" s="1"/>
      <c r="B11447" s="1" t="s">
        <v>5614</v>
      </c>
      <c r="C11447" s="1" t="s">
        <v>5615</v>
      </c>
      <c r="D11447" s="22" t="str">
        <f>HYPERLINK("https://rhld.insurance.arkansas.gov/NPILookup?Npi=1487829347","1487829347")</f>
        <v>1487829347</v>
      </c>
      <c r="E11447" s="1" t="s">
        <v>11260</v>
      </c>
      <c r="F11447" s="2"/>
      <c r="G11447" s="2"/>
      <c r="H11447" s="2"/>
    </row>
    <row r="11448" spans="1:8" x14ac:dyDescent="0.25">
      <c r="A11448" s="1"/>
      <c r="B11448" s="1" t="s">
        <v>5614</v>
      </c>
      <c r="C11448" s="1" t="s">
        <v>5615</v>
      </c>
      <c r="D11448" s="22" t="str">
        <f>HYPERLINK("https://rhld.insurance.arkansas.gov/NPILookup?Npi=1487844171","1487844171")</f>
        <v>1487844171</v>
      </c>
      <c r="E11448" s="1" t="s">
        <v>20463</v>
      </c>
      <c r="F11448" s="2"/>
      <c r="G11448" s="2"/>
      <c r="H11448" s="2"/>
    </row>
    <row r="11449" spans="1:8" x14ac:dyDescent="0.25">
      <c r="A11449" s="1"/>
      <c r="B11449" s="1" t="s">
        <v>5614</v>
      </c>
      <c r="C11449" s="1" t="s">
        <v>5615</v>
      </c>
      <c r="D11449" s="22" t="str">
        <f>HYPERLINK("https://rhld.insurance.arkansas.gov/NPILookup?Npi=1487884813","1487884813")</f>
        <v>1487884813</v>
      </c>
      <c r="E11449" s="1" t="s">
        <v>20464</v>
      </c>
      <c r="F11449" s="2"/>
      <c r="G11449" s="2"/>
      <c r="H11449" s="2"/>
    </row>
    <row r="11450" spans="1:8" x14ac:dyDescent="0.25">
      <c r="A11450" s="1"/>
      <c r="B11450" s="1" t="s">
        <v>5614</v>
      </c>
      <c r="C11450" s="1" t="s">
        <v>5615</v>
      </c>
      <c r="D11450" s="22" t="str">
        <f>HYPERLINK("https://rhld.insurance.arkansas.gov/NPILookup?Npi=1487910691","1487910691")</f>
        <v>1487910691</v>
      </c>
      <c r="E11450" s="1" t="s">
        <v>20465</v>
      </c>
      <c r="F11450" s="2"/>
      <c r="G11450" s="2"/>
      <c r="H11450" s="2"/>
    </row>
    <row r="11451" spans="1:8" x14ac:dyDescent="0.25">
      <c r="A11451" s="1"/>
      <c r="B11451" s="1" t="s">
        <v>5614</v>
      </c>
      <c r="C11451" s="1" t="s">
        <v>5615</v>
      </c>
      <c r="D11451" s="22" t="str">
        <f>HYPERLINK("https://rhld.insurance.arkansas.gov/NPILookup?Npi=1487915963","1487915963")</f>
        <v>1487915963</v>
      </c>
      <c r="E11451" s="1" t="s">
        <v>1070</v>
      </c>
      <c r="F11451" s="2"/>
      <c r="G11451" s="2"/>
      <c r="H11451" s="2"/>
    </row>
    <row r="11452" spans="1:8" x14ac:dyDescent="0.25">
      <c r="A11452" s="1"/>
      <c r="B11452" s="1" t="s">
        <v>5614</v>
      </c>
      <c r="C11452" s="1" t="s">
        <v>5615</v>
      </c>
      <c r="D11452" s="22" t="str">
        <f>HYPERLINK("https://rhld.insurance.arkansas.gov/NPILookup?Npi=1497169247","1497169247")</f>
        <v>1497169247</v>
      </c>
      <c r="E11452" s="1" t="s">
        <v>3640</v>
      </c>
      <c r="F11452" s="2"/>
      <c r="G11452" s="2"/>
      <c r="H11452" s="2"/>
    </row>
    <row r="11453" spans="1:8" x14ac:dyDescent="0.25">
      <c r="A11453" s="1"/>
      <c r="B11453" s="1" t="s">
        <v>5614</v>
      </c>
      <c r="C11453" s="1" t="s">
        <v>5615</v>
      </c>
      <c r="D11453" s="22" t="str">
        <f>HYPERLINK("https://rhld.insurance.arkansas.gov/NPILookup?Npi=1497714075","1497714075")</f>
        <v>1497714075</v>
      </c>
      <c r="E11453" s="1" t="s">
        <v>3609</v>
      </c>
      <c r="F11453" s="2"/>
      <c r="G11453" s="2"/>
      <c r="H11453" s="2"/>
    </row>
    <row r="11454" spans="1:8" x14ac:dyDescent="0.25">
      <c r="A11454" s="1"/>
      <c r="B11454" s="1" t="s">
        <v>5614</v>
      </c>
      <c r="C11454" s="1" t="s">
        <v>5615</v>
      </c>
      <c r="D11454" s="22" t="str">
        <f>HYPERLINK("https://rhld.insurance.arkansas.gov/NPILookup?Npi=1508028218","1508028218")</f>
        <v>1508028218</v>
      </c>
      <c r="E11454" s="1" t="s">
        <v>11261</v>
      </c>
      <c r="F11454" s="2"/>
      <c r="G11454" s="2"/>
      <c r="H11454" s="2"/>
    </row>
    <row r="11455" spans="1:8" x14ac:dyDescent="0.25">
      <c r="A11455" s="1"/>
      <c r="B11455" s="1" t="s">
        <v>5614</v>
      </c>
      <c r="C11455" s="1" t="s">
        <v>5615</v>
      </c>
      <c r="D11455" s="22" t="str">
        <f>HYPERLINK("https://rhld.insurance.arkansas.gov/NPILookup?Npi=1508350950","1508350950")</f>
        <v>1508350950</v>
      </c>
      <c r="E11455" s="1" t="s">
        <v>3610</v>
      </c>
      <c r="F11455" s="2"/>
      <c r="G11455" s="2"/>
      <c r="H11455" s="2"/>
    </row>
    <row r="11456" spans="1:8" x14ac:dyDescent="0.25">
      <c r="A11456" s="1"/>
      <c r="B11456" s="1" t="s">
        <v>5614</v>
      </c>
      <c r="C11456" s="1" t="s">
        <v>5615</v>
      </c>
      <c r="D11456" s="22" t="str">
        <f>HYPERLINK("https://rhld.insurance.arkansas.gov/NPILookup?Npi=1508360553","1508360553")</f>
        <v>1508360553</v>
      </c>
      <c r="E11456" s="1" t="s">
        <v>20466</v>
      </c>
      <c r="F11456" s="2"/>
      <c r="G11456" s="2"/>
      <c r="H11456" s="2"/>
    </row>
    <row r="11457" spans="1:8" x14ac:dyDescent="0.25">
      <c r="A11457" s="1"/>
      <c r="B11457" s="1" t="s">
        <v>5614</v>
      </c>
      <c r="C11457" s="1" t="s">
        <v>5615</v>
      </c>
      <c r="D11457" s="22" t="str">
        <f>HYPERLINK("https://rhld.insurance.arkansas.gov/NPILookup?Npi=1508803487","1508803487")</f>
        <v>1508803487</v>
      </c>
      <c r="E11457" s="1" t="s">
        <v>20467</v>
      </c>
      <c r="F11457" s="2"/>
      <c r="G11457" s="2"/>
      <c r="H11457" s="2"/>
    </row>
    <row r="11458" spans="1:8" x14ac:dyDescent="0.25">
      <c r="A11458" s="1"/>
      <c r="B11458" s="1" t="s">
        <v>5614</v>
      </c>
      <c r="C11458" s="1" t="s">
        <v>5615</v>
      </c>
      <c r="D11458" s="22" t="str">
        <f>HYPERLINK("https://rhld.insurance.arkansas.gov/NPILookup?Npi=1508812686","1508812686")</f>
        <v>1508812686</v>
      </c>
      <c r="E11458" s="1" t="s">
        <v>11262</v>
      </c>
      <c r="F11458" s="2"/>
      <c r="G11458" s="2"/>
      <c r="H11458" s="2"/>
    </row>
    <row r="11459" spans="1:8" x14ac:dyDescent="0.25">
      <c r="A11459" s="1"/>
      <c r="B11459" s="1" t="s">
        <v>5614</v>
      </c>
      <c r="C11459" s="1" t="s">
        <v>5615</v>
      </c>
      <c r="D11459" s="22" t="str">
        <f>HYPERLINK("https://rhld.insurance.arkansas.gov/NPILookup?Npi=1508875139","1508875139")</f>
        <v>1508875139</v>
      </c>
      <c r="E11459" s="1" t="s">
        <v>20468</v>
      </c>
      <c r="F11459" s="2"/>
      <c r="G11459" s="2"/>
      <c r="H11459" s="2"/>
    </row>
    <row r="11460" spans="1:8" x14ac:dyDescent="0.25">
      <c r="A11460" s="1"/>
      <c r="B11460" s="1" t="s">
        <v>5614</v>
      </c>
      <c r="C11460" s="1" t="s">
        <v>5615</v>
      </c>
      <c r="D11460" s="22" t="str">
        <f>HYPERLINK("https://rhld.insurance.arkansas.gov/NPILookup?Npi=1508894304","1508894304")</f>
        <v>1508894304</v>
      </c>
      <c r="E11460" s="1" t="s">
        <v>20469</v>
      </c>
      <c r="F11460" s="2"/>
      <c r="G11460" s="2"/>
      <c r="H11460" s="2"/>
    </row>
    <row r="11461" spans="1:8" x14ac:dyDescent="0.25">
      <c r="A11461" s="1"/>
      <c r="B11461" s="1" t="s">
        <v>5614</v>
      </c>
      <c r="C11461" s="1" t="s">
        <v>5615</v>
      </c>
      <c r="D11461" s="22" t="str">
        <f>HYPERLINK("https://rhld.insurance.arkansas.gov/NPILookup?Npi=1508910167","1508910167")</f>
        <v>1508910167</v>
      </c>
      <c r="E11461" s="1" t="s">
        <v>20470</v>
      </c>
      <c r="F11461" s="2"/>
      <c r="G11461" s="2"/>
      <c r="H11461" s="2"/>
    </row>
    <row r="11462" spans="1:8" x14ac:dyDescent="0.25">
      <c r="A11462" s="1"/>
      <c r="B11462" s="1" t="s">
        <v>5614</v>
      </c>
      <c r="C11462" s="1" t="s">
        <v>5615</v>
      </c>
      <c r="D11462" s="22" t="str">
        <f>HYPERLINK("https://rhld.insurance.arkansas.gov/NPILookup?Npi=1518016435","1518016435")</f>
        <v>1518016435</v>
      </c>
      <c r="E11462" s="1" t="s">
        <v>5647</v>
      </c>
      <c r="F11462" s="2"/>
      <c r="G11462" s="2"/>
      <c r="H11462" s="2"/>
    </row>
    <row r="11463" spans="1:8" x14ac:dyDescent="0.25">
      <c r="A11463" s="1"/>
      <c r="B11463" s="1" t="s">
        <v>5614</v>
      </c>
      <c r="C11463" s="1" t="s">
        <v>5615</v>
      </c>
      <c r="D11463" s="22" t="str">
        <f>HYPERLINK("https://rhld.insurance.arkansas.gov/NPILookup?Npi=1518182526","1518182526")</f>
        <v>1518182526</v>
      </c>
      <c r="E11463" s="1" t="s">
        <v>20472</v>
      </c>
      <c r="F11463" s="2"/>
      <c r="G11463" s="2"/>
      <c r="H11463" s="2"/>
    </row>
    <row r="11464" spans="1:8" x14ac:dyDescent="0.25">
      <c r="A11464" s="1"/>
      <c r="B11464" s="1" t="s">
        <v>5614</v>
      </c>
      <c r="C11464" s="1" t="s">
        <v>5615</v>
      </c>
      <c r="D11464" s="22" t="str">
        <f>HYPERLINK("https://rhld.insurance.arkansas.gov/NPILookup?Npi=1518932730","1518932730")</f>
        <v>1518932730</v>
      </c>
      <c r="E11464" s="1" t="s">
        <v>20473</v>
      </c>
      <c r="F11464" s="2"/>
      <c r="G11464" s="2"/>
      <c r="H11464" s="2"/>
    </row>
    <row r="11465" spans="1:8" x14ac:dyDescent="0.25">
      <c r="A11465" s="1"/>
      <c r="B11465" s="1" t="s">
        <v>5614</v>
      </c>
      <c r="C11465" s="1" t="s">
        <v>5615</v>
      </c>
      <c r="D11465" s="22" t="str">
        <f>HYPERLINK("https://rhld.insurance.arkansas.gov/NPILookup?Npi=1518956119","1518956119")</f>
        <v>1518956119</v>
      </c>
      <c r="E11465" s="1" t="s">
        <v>20474</v>
      </c>
      <c r="F11465" s="2"/>
      <c r="G11465" s="2"/>
      <c r="H11465" s="2"/>
    </row>
    <row r="11466" spans="1:8" x14ac:dyDescent="0.25">
      <c r="A11466" s="1"/>
      <c r="B11466" s="1" t="s">
        <v>5614</v>
      </c>
      <c r="C11466" s="1" t="s">
        <v>5615</v>
      </c>
      <c r="D11466" s="22" t="str">
        <f>HYPERLINK("https://rhld.insurance.arkansas.gov/NPILookup?Npi=1518961929","1518961929")</f>
        <v>1518961929</v>
      </c>
      <c r="E11466" s="1" t="s">
        <v>3611</v>
      </c>
      <c r="F11466" s="2"/>
      <c r="G11466" s="2"/>
      <c r="H11466" s="2"/>
    </row>
    <row r="11467" spans="1:8" x14ac:dyDescent="0.25">
      <c r="A11467" s="1"/>
      <c r="B11467" s="1" t="s">
        <v>5614</v>
      </c>
      <c r="C11467" s="1" t="s">
        <v>5615</v>
      </c>
      <c r="D11467" s="22" t="str">
        <f>HYPERLINK("https://rhld.insurance.arkansas.gov/NPILookup?Npi=1528262979","1528262979")</f>
        <v>1528262979</v>
      </c>
      <c r="E11467" s="1" t="s">
        <v>20475</v>
      </c>
      <c r="F11467" s="2"/>
      <c r="G11467" s="2"/>
      <c r="H11467" s="2"/>
    </row>
    <row r="11468" spans="1:8" x14ac:dyDescent="0.25">
      <c r="A11468" s="1"/>
      <c r="B11468" s="1" t="s">
        <v>5614</v>
      </c>
      <c r="C11468" s="1" t="s">
        <v>5615</v>
      </c>
      <c r="D11468" s="22" t="str">
        <f>HYPERLINK("https://rhld.insurance.arkansas.gov/NPILookup?Npi=1528278322","1528278322")</f>
        <v>1528278322</v>
      </c>
      <c r="E11468" s="1" t="s">
        <v>10648</v>
      </c>
      <c r="F11468" s="2"/>
      <c r="G11468" s="2"/>
      <c r="H11468" s="2"/>
    </row>
    <row r="11469" spans="1:8" x14ac:dyDescent="0.25">
      <c r="A11469" s="1"/>
      <c r="B11469" s="1" t="s">
        <v>5614</v>
      </c>
      <c r="C11469" s="1" t="s">
        <v>5615</v>
      </c>
      <c r="D11469" s="22" t="str">
        <f>HYPERLINK("https://rhld.insurance.arkansas.gov/NPILookup?Npi=1528371150","1528371150")</f>
        <v>1528371150</v>
      </c>
      <c r="E11469" s="1" t="s">
        <v>20476</v>
      </c>
      <c r="F11469" s="2"/>
      <c r="G11469" s="2"/>
      <c r="H11469" s="2"/>
    </row>
    <row r="11470" spans="1:8" x14ac:dyDescent="0.25">
      <c r="A11470" s="1"/>
      <c r="B11470" s="1" t="s">
        <v>5614</v>
      </c>
      <c r="C11470" s="1" t="s">
        <v>5615</v>
      </c>
      <c r="D11470" s="22" t="str">
        <f>HYPERLINK("https://rhld.insurance.arkansas.gov/NPILookup?Npi=1538152616","1538152616")</f>
        <v>1538152616</v>
      </c>
      <c r="E11470" s="1" t="s">
        <v>20477</v>
      </c>
      <c r="F11470" s="2"/>
      <c r="G11470" s="2"/>
      <c r="H11470" s="2"/>
    </row>
    <row r="11471" spans="1:8" x14ac:dyDescent="0.25">
      <c r="A11471" s="1"/>
      <c r="B11471" s="1" t="s">
        <v>5614</v>
      </c>
      <c r="C11471" s="1" t="s">
        <v>5615</v>
      </c>
      <c r="D11471" s="22" t="str">
        <f>HYPERLINK("https://rhld.insurance.arkansas.gov/NPILookup?Npi=1538154117","1538154117")</f>
        <v>1538154117</v>
      </c>
      <c r="E11471" s="1" t="s">
        <v>20478</v>
      </c>
      <c r="F11471" s="2"/>
      <c r="G11471" s="2"/>
      <c r="H11471" s="2"/>
    </row>
    <row r="11472" spans="1:8" x14ac:dyDescent="0.25">
      <c r="A11472" s="1"/>
      <c r="B11472" s="1" t="s">
        <v>5614</v>
      </c>
      <c r="C11472" s="1" t="s">
        <v>5615</v>
      </c>
      <c r="D11472" s="22" t="str">
        <f>HYPERLINK("https://rhld.insurance.arkansas.gov/NPILookup?Npi=1538168455","1538168455")</f>
        <v>1538168455</v>
      </c>
      <c r="E11472" s="1" t="s">
        <v>2314</v>
      </c>
      <c r="F11472" s="2"/>
      <c r="G11472" s="2"/>
      <c r="H11472" s="2"/>
    </row>
    <row r="11473" spans="1:8" x14ac:dyDescent="0.25">
      <c r="A11473" s="1"/>
      <c r="B11473" s="1" t="s">
        <v>5614</v>
      </c>
      <c r="C11473" s="1" t="s">
        <v>5615</v>
      </c>
      <c r="D11473" s="22" t="str">
        <f>HYPERLINK("https://rhld.insurance.arkansas.gov/NPILookup?Npi=1538172267","1538172267")</f>
        <v>1538172267</v>
      </c>
      <c r="E11473" s="1" t="s">
        <v>3612</v>
      </c>
      <c r="F11473" s="2"/>
      <c r="G11473" s="2"/>
      <c r="H11473" s="2"/>
    </row>
    <row r="11474" spans="1:8" x14ac:dyDescent="0.25">
      <c r="A11474" s="1"/>
      <c r="B11474" s="1" t="s">
        <v>5614</v>
      </c>
      <c r="C11474" s="1" t="s">
        <v>5615</v>
      </c>
      <c r="D11474" s="22" t="str">
        <f>HYPERLINK("https://rhld.insurance.arkansas.gov/NPILookup?Npi=1538217229","1538217229")</f>
        <v>1538217229</v>
      </c>
      <c r="E11474" s="1" t="s">
        <v>993</v>
      </c>
      <c r="F11474" s="2"/>
      <c r="G11474" s="2"/>
      <c r="H11474" s="2"/>
    </row>
    <row r="11475" spans="1:8" x14ac:dyDescent="0.25">
      <c r="A11475" s="1"/>
      <c r="B11475" s="1" t="s">
        <v>5614</v>
      </c>
      <c r="C11475" s="1" t="s">
        <v>5615</v>
      </c>
      <c r="D11475" s="22" t="str">
        <f>HYPERLINK("https://rhld.insurance.arkansas.gov/NPILookup?Npi=1538312202","1538312202")</f>
        <v>1538312202</v>
      </c>
      <c r="E11475" s="1" t="s">
        <v>8274</v>
      </c>
      <c r="F11475" s="2"/>
      <c r="G11475" s="2"/>
      <c r="H11475" s="2"/>
    </row>
    <row r="11476" spans="1:8" x14ac:dyDescent="0.25">
      <c r="A11476" s="1"/>
      <c r="B11476" s="1" t="s">
        <v>5614</v>
      </c>
      <c r="C11476" s="1" t="s">
        <v>5615</v>
      </c>
      <c r="D11476" s="22" t="str">
        <f>HYPERLINK("https://rhld.insurance.arkansas.gov/NPILookup?Npi=1538328489","1538328489")</f>
        <v>1538328489</v>
      </c>
      <c r="E11476" s="1" t="s">
        <v>20479</v>
      </c>
      <c r="F11476" s="2"/>
      <c r="G11476" s="2"/>
      <c r="H11476" s="2"/>
    </row>
    <row r="11477" spans="1:8" x14ac:dyDescent="0.25">
      <c r="A11477" s="1"/>
      <c r="B11477" s="1" t="s">
        <v>5614</v>
      </c>
      <c r="C11477" s="1" t="s">
        <v>5615</v>
      </c>
      <c r="D11477" s="22" t="str">
        <f>HYPERLINK("https://rhld.insurance.arkansas.gov/NPILookup?Npi=1548234560","1548234560")</f>
        <v>1548234560</v>
      </c>
      <c r="E11477" s="1" t="s">
        <v>20480</v>
      </c>
      <c r="F11477" s="2"/>
      <c r="G11477" s="2"/>
      <c r="H11477" s="2"/>
    </row>
    <row r="11478" spans="1:8" x14ac:dyDescent="0.25">
      <c r="A11478" s="1"/>
      <c r="B11478" s="1" t="s">
        <v>5614</v>
      </c>
      <c r="C11478" s="1" t="s">
        <v>5615</v>
      </c>
      <c r="D11478" s="22" t="str">
        <f>HYPERLINK("https://rhld.insurance.arkansas.gov/NPILookup?Npi=1548353626","1548353626")</f>
        <v>1548353626</v>
      </c>
      <c r="E11478" s="1" t="s">
        <v>20481</v>
      </c>
      <c r="F11478" s="2"/>
      <c r="G11478" s="2"/>
      <c r="H11478" s="2"/>
    </row>
    <row r="11479" spans="1:8" x14ac:dyDescent="0.25">
      <c r="A11479" s="1"/>
      <c r="B11479" s="1" t="s">
        <v>5614</v>
      </c>
      <c r="C11479" s="1" t="s">
        <v>5615</v>
      </c>
      <c r="D11479" s="22" t="str">
        <f>HYPERLINK("https://rhld.insurance.arkansas.gov/NPILookup?Npi=1548692668","1548692668")</f>
        <v>1548692668</v>
      </c>
      <c r="E11479" s="1" t="s">
        <v>10950</v>
      </c>
      <c r="F11479" s="2"/>
      <c r="G11479" s="2"/>
      <c r="H11479" s="2"/>
    </row>
    <row r="11480" spans="1:8" x14ac:dyDescent="0.25">
      <c r="A11480" s="1"/>
      <c r="B11480" s="1" t="s">
        <v>5614</v>
      </c>
      <c r="C11480" s="1" t="s">
        <v>5615</v>
      </c>
      <c r="D11480" s="22" t="str">
        <f>HYPERLINK("https://rhld.insurance.arkansas.gov/NPILookup?Npi=1548699317","1548699317")</f>
        <v>1548699317</v>
      </c>
      <c r="E11480" s="1" t="s">
        <v>11263</v>
      </c>
      <c r="F11480" s="2"/>
      <c r="G11480" s="2"/>
      <c r="H11480" s="2"/>
    </row>
    <row r="11481" spans="1:8" x14ac:dyDescent="0.25">
      <c r="A11481" s="1"/>
      <c r="B11481" s="1" t="s">
        <v>5614</v>
      </c>
      <c r="C11481" s="1" t="s">
        <v>5615</v>
      </c>
      <c r="D11481" s="22" t="str">
        <f>HYPERLINK("https://rhld.insurance.arkansas.gov/NPILookup?Npi=1558380303","1558380303")</f>
        <v>1558380303</v>
      </c>
      <c r="E11481" s="1" t="s">
        <v>20482</v>
      </c>
      <c r="F11481" s="2"/>
      <c r="G11481" s="2"/>
      <c r="H11481" s="2"/>
    </row>
    <row r="11482" spans="1:8" x14ac:dyDescent="0.25">
      <c r="A11482" s="1"/>
      <c r="B11482" s="1" t="s">
        <v>5614</v>
      </c>
      <c r="C11482" s="1" t="s">
        <v>5615</v>
      </c>
      <c r="D11482" s="22" t="str">
        <f>HYPERLINK("https://rhld.insurance.arkansas.gov/NPILookup?Npi=1558593863","1558593863")</f>
        <v>1558593863</v>
      </c>
      <c r="E11482" s="1" t="s">
        <v>20483</v>
      </c>
      <c r="F11482" s="2"/>
      <c r="G11482" s="2"/>
      <c r="H11482" s="2"/>
    </row>
    <row r="11483" spans="1:8" x14ac:dyDescent="0.25">
      <c r="A11483" s="1"/>
      <c r="B11483" s="1" t="s">
        <v>5614</v>
      </c>
      <c r="C11483" s="1" t="s">
        <v>5615</v>
      </c>
      <c r="D11483" s="22" t="str">
        <f>HYPERLINK("https://rhld.insurance.arkansas.gov/NPILookup?Npi=1558774588","1558774588")</f>
        <v>1558774588</v>
      </c>
      <c r="E11483" s="1" t="s">
        <v>11264</v>
      </c>
      <c r="F11483" s="2"/>
      <c r="G11483" s="2"/>
      <c r="H11483" s="2"/>
    </row>
    <row r="11484" spans="1:8" x14ac:dyDescent="0.25">
      <c r="A11484" s="1"/>
      <c r="B11484" s="1" t="s">
        <v>5614</v>
      </c>
      <c r="C11484" s="1" t="s">
        <v>5615</v>
      </c>
      <c r="D11484" s="22" t="str">
        <f>HYPERLINK("https://rhld.insurance.arkansas.gov/NPILookup?Npi=1558820381","1558820381")</f>
        <v>1558820381</v>
      </c>
      <c r="E11484" s="1" t="s">
        <v>20484</v>
      </c>
      <c r="F11484" s="2"/>
      <c r="G11484" s="2"/>
      <c r="H11484" s="2"/>
    </row>
    <row r="11485" spans="1:8" x14ac:dyDescent="0.25">
      <c r="A11485" s="1"/>
      <c r="B11485" s="1" t="s">
        <v>5614</v>
      </c>
      <c r="C11485" s="1" t="s">
        <v>5615</v>
      </c>
      <c r="D11485" s="22" t="str">
        <f>HYPERLINK("https://rhld.insurance.arkansas.gov/NPILookup?Npi=1568024230","1568024230")</f>
        <v>1568024230</v>
      </c>
      <c r="E11485" s="1" t="s">
        <v>3613</v>
      </c>
      <c r="F11485" s="2"/>
      <c r="G11485" s="2"/>
      <c r="H11485" s="2"/>
    </row>
    <row r="11486" spans="1:8" x14ac:dyDescent="0.25">
      <c r="A11486" s="1"/>
      <c r="B11486" s="1" t="s">
        <v>5614</v>
      </c>
      <c r="C11486" s="1" t="s">
        <v>5615</v>
      </c>
      <c r="D11486" s="22" t="str">
        <f>HYPERLINK("https://rhld.insurance.arkansas.gov/NPILookup?Npi=1568442366","1568442366")</f>
        <v>1568442366</v>
      </c>
      <c r="E11486" s="1" t="s">
        <v>3614</v>
      </c>
      <c r="F11486" s="2"/>
      <c r="G11486" s="2"/>
      <c r="H11486" s="2"/>
    </row>
    <row r="11487" spans="1:8" x14ac:dyDescent="0.25">
      <c r="A11487" s="1"/>
      <c r="B11487" s="1" t="s">
        <v>5614</v>
      </c>
      <c r="C11487" s="1" t="s">
        <v>5615</v>
      </c>
      <c r="D11487" s="22" t="str">
        <f>HYPERLINK("https://rhld.insurance.arkansas.gov/NPILookup?Npi=1568455921","1568455921")</f>
        <v>1568455921</v>
      </c>
      <c r="E11487" s="1" t="s">
        <v>20485</v>
      </c>
      <c r="F11487" s="2"/>
      <c r="G11487" s="2"/>
      <c r="H11487" s="2"/>
    </row>
    <row r="11488" spans="1:8" x14ac:dyDescent="0.25">
      <c r="A11488" s="1"/>
      <c r="B11488" s="1" t="s">
        <v>5614</v>
      </c>
      <c r="C11488" s="1" t="s">
        <v>5615</v>
      </c>
      <c r="D11488" s="22" t="str">
        <f>HYPERLINK("https://rhld.insurance.arkansas.gov/NPILookup?Npi=1568481646","1568481646")</f>
        <v>1568481646</v>
      </c>
      <c r="E11488" s="1" t="s">
        <v>20486</v>
      </c>
      <c r="F11488" s="2"/>
      <c r="G11488" s="2"/>
      <c r="H11488" s="2"/>
    </row>
    <row r="11489" spans="1:8" x14ac:dyDescent="0.25">
      <c r="A11489" s="1"/>
      <c r="B11489" s="1" t="s">
        <v>5614</v>
      </c>
      <c r="C11489" s="1" t="s">
        <v>5615</v>
      </c>
      <c r="D11489" s="22" t="str">
        <f>HYPERLINK("https://rhld.insurance.arkansas.gov/NPILookup?Npi=1568510949","1568510949")</f>
        <v>1568510949</v>
      </c>
      <c r="E11489" s="1" t="s">
        <v>3615</v>
      </c>
      <c r="F11489" s="2"/>
      <c r="G11489" s="2"/>
      <c r="H11489" s="2"/>
    </row>
    <row r="11490" spans="1:8" x14ac:dyDescent="0.25">
      <c r="A11490" s="1"/>
      <c r="B11490" s="1" t="s">
        <v>5614</v>
      </c>
      <c r="C11490" s="1" t="s">
        <v>5615</v>
      </c>
      <c r="D11490" s="22" t="str">
        <f>HYPERLINK("https://rhld.insurance.arkansas.gov/NPILookup?Npi=1568552057","1568552057")</f>
        <v>1568552057</v>
      </c>
      <c r="E11490" s="1" t="s">
        <v>11265</v>
      </c>
      <c r="F11490" s="2"/>
      <c r="G11490" s="2"/>
      <c r="H11490" s="2"/>
    </row>
    <row r="11491" spans="1:8" x14ac:dyDescent="0.25">
      <c r="A11491" s="1"/>
      <c r="B11491" s="1" t="s">
        <v>5614</v>
      </c>
      <c r="C11491" s="1" t="s">
        <v>5615</v>
      </c>
      <c r="D11491" s="22" t="str">
        <f>HYPERLINK("https://rhld.insurance.arkansas.gov/NPILookup?Npi=1568627958","1568627958")</f>
        <v>1568627958</v>
      </c>
      <c r="E11491" s="1" t="s">
        <v>16758</v>
      </c>
      <c r="F11491" s="2"/>
      <c r="G11491" s="2"/>
      <c r="H11491" s="2"/>
    </row>
    <row r="11492" spans="1:8" x14ac:dyDescent="0.25">
      <c r="A11492" s="1"/>
      <c r="B11492" s="1" t="s">
        <v>5614</v>
      </c>
      <c r="C11492" s="1" t="s">
        <v>5615</v>
      </c>
      <c r="D11492" s="22" t="str">
        <f>HYPERLINK("https://rhld.insurance.arkansas.gov/NPILookup?Npi=1568812345","1568812345")</f>
        <v>1568812345</v>
      </c>
      <c r="E11492" s="1" t="s">
        <v>20487</v>
      </c>
      <c r="F11492" s="2"/>
      <c r="G11492" s="2"/>
      <c r="H11492" s="2"/>
    </row>
    <row r="11493" spans="1:8" x14ac:dyDescent="0.25">
      <c r="A11493" s="1"/>
      <c r="B11493" s="1" t="s">
        <v>5614</v>
      </c>
      <c r="C11493" s="1" t="s">
        <v>5615</v>
      </c>
      <c r="D11493" s="22" t="str">
        <f>HYPERLINK("https://rhld.insurance.arkansas.gov/NPILookup?Npi=1568843159","1568843159")</f>
        <v>1568843159</v>
      </c>
      <c r="E11493" s="1" t="s">
        <v>20488</v>
      </c>
      <c r="F11493" s="2"/>
      <c r="G11493" s="2"/>
      <c r="H11493" s="2"/>
    </row>
    <row r="11494" spans="1:8" x14ac:dyDescent="0.25">
      <c r="A11494" s="1"/>
      <c r="B11494" s="1" t="s">
        <v>5614</v>
      </c>
      <c r="C11494" s="1" t="s">
        <v>5615</v>
      </c>
      <c r="D11494" s="22" t="str">
        <f>HYPERLINK("https://rhld.insurance.arkansas.gov/NPILookup?Npi=1578133484","1578133484")</f>
        <v>1578133484</v>
      </c>
      <c r="E11494" s="1" t="s">
        <v>31764</v>
      </c>
      <c r="F11494" s="2"/>
      <c r="G11494" s="2"/>
      <c r="H11494" s="2"/>
    </row>
    <row r="11495" spans="1:8" x14ac:dyDescent="0.25">
      <c r="A11495" s="1"/>
      <c r="B11495" s="1" t="s">
        <v>5614</v>
      </c>
      <c r="C11495" s="1" t="s">
        <v>5615</v>
      </c>
      <c r="D11495" s="22" t="str">
        <f>HYPERLINK("https://rhld.insurance.arkansas.gov/NPILookup?Npi=1578513461","1578513461")</f>
        <v>1578513461</v>
      </c>
      <c r="E11495" s="1" t="s">
        <v>11266</v>
      </c>
      <c r="F11495" s="2"/>
      <c r="G11495" s="2"/>
      <c r="H11495" s="2"/>
    </row>
    <row r="11496" spans="1:8" x14ac:dyDescent="0.25">
      <c r="A11496" s="1"/>
      <c r="B11496" s="1" t="s">
        <v>5614</v>
      </c>
      <c r="C11496" s="1" t="s">
        <v>5615</v>
      </c>
      <c r="D11496" s="22" t="str">
        <f>HYPERLINK("https://rhld.insurance.arkansas.gov/NPILookup?Npi=1578566865","1578566865")</f>
        <v>1578566865</v>
      </c>
      <c r="E11496" s="1" t="s">
        <v>20489</v>
      </c>
      <c r="F11496" s="2"/>
      <c r="G11496" s="2"/>
      <c r="H11496" s="2"/>
    </row>
    <row r="11497" spans="1:8" x14ac:dyDescent="0.25">
      <c r="A11497" s="1"/>
      <c r="B11497" s="1" t="s">
        <v>5614</v>
      </c>
      <c r="C11497" s="1" t="s">
        <v>5615</v>
      </c>
      <c r="D11497" s="22" t="str">
        <f>HYPERLINK("https://rhld.insurance.arkansas.gov/NPILookup?Npi=1578640660","1578640660")</f>
        <v>1578640660</v>
      </c>
      <c r="E11497" s="1" t="s">
        <v>20490</v>
      </c>
      <c r="F11497" s="2"/>
      <c r="G11497" s="2"/>
      <c r="H11497" s="2"/>
    </row>
    <row r="11498" spans="1:8" x14ac:dyDescent="0.25">
      <c r="A11498" s="1"/>
      <c r="B11498" s="1" t="s">
        <v>5614</v>
      </c>
      <c r="C11498" s="1" t="s">
        <v>5615</v>
      </c>
      <c r="D11498" s="22" t="str">
        <f>HYPERLINK("https://rhld.insurance.arkansas.gov/NPILookup?Npi=1578653069","1578653069")</f>
        <v>1578653069</v>
      </c>
      <c r="E11498" s="1" t="s">
        <v>20491</v>
      </c>
      <c r="F11498" s="2"/>
      <c r="G11498" s="2"/>
      <c r="H11498" s="2"/>
    </row>
    <row r="11499" spans="1:8" x14ac:dyDescent="0.25">
      <c r="A11499" s="1"/>
      <c r="B11499" s="1" t="s">
        <v>5614</v>
      </c>
      <c r="C11499" s="1" t="s">
        <v>5615</v>
      </c>
      <c r="D11499" s="22" t="str">
        <f>HYPERLINK("https://rhld.insurance.arkansas.gov/NPILookup?Npi=1578673455","1578673455")</f>
        <v>1578673455</v>
      </c>
      <c r="E11499" s="1" t="s">
        <v>20492</v>
      </c>
      <c r="F11499" s="2"/>
      <c r="G11499" s="2"/>
      <c r="H11499" s="2"/>
    </row>
    <row r="11500" spans="1:8" x14ac:dyDescent="0.25">
      <c r="A11500" s="1"/>
      <c r="B11500" s="1" t="s">
        <v>5614</v>
      </c>
      <c r="C11500" s="1" t="s">
        <v>5615</v>
      </c>
      <c r="D11500" s="22" t="str">
        <f>HYPERLINK("https://rhld.insurance.arkansas.gov/NPILookup?Npi=1578678629","1578678629")</f>
        <v>1578678629</v>
      </c>
      <c r="E11500" s="1" t="s">
        <v>20493</v>
      </c>
      <c r="F11500" s="2"/>
      <c r="G11500" s="2"/>
      <c r="H11500" s="2"/>
    </row>
    <row r="11501" spans="1:8" x14ac:dyDescent="0.25">
      <c r="A11501" s="1"/>
      <c r="B11501" s="1" t="s">
        <v>5614</v>
      </c>
      <c r="C11501" s="1" t="s">
        <v>5615</v>
      </c>
      <c r="D11501" s="22" t="str">
        <f>HYPERLINK("https://rhld.insurance.arkansas.gov/NPILookup?Npi=1578684007","1578684007")</f>
        <v>1578684007</v>
      </c>
      <c r="E11501" s="1" t="s">
        <v>20494</v>
      </c>
      <c r="F11501" s="2"/>
      <c r="G11501" s="2"/>
      <c r="H11501" s="2"/>
    </row>
    <row r="11502" spans="1:8" x14ac:dyDescent="0.25">
      <c r="A11502" s="1"/>
      <c r="B11502" s="1" t="s">
        <v>5614</v>
      </c>
      <c r="C11502" s="1" t="s">
        <v>5615</v>
      </c>
      <c r="D11502" s="22" t="str">
        <f>HYPERLINK("https://rhld.insurance.arkansas.gov/NPILookup?Npi=1578753364","1578753364")</f>
        <v>1578753364</v>
      </c>
      <c r="E11502" s="1" t="s">
        <v>12187</v>
      </c>
      <c r="F11502" s="2"/>
      <c r="G11502" s="2"/>
      <c r="H11502" s="2"/>
    </row>
    <row r="11503" spans="1:8" x14ac:dyDescent="0.25">
      <c r="A11503" s="1"/>
      <c r="B11503" s="1" t="s">
        <v>5614</v>
      </c>
      <c r="C11503" s="1" t="s">
        <v>5615</v>
      </c>
      <c r="D11503" s="22" t="str">
        <f>HYPERLINK("https://rhld.insurance.arkansas.gov/NPILookup?Npi=1578761011","1578761011")</f>
        <v>1578761011</v>
      </c>
      <c r="E11503" s="1" t="s">
        <v>20495</v>
      </c>
      <c r="F11503" s="2"/>
      <c r="G11503" s="2"/>
      <c r="H11503" s="2"/>
    </row>
    <row r="11504" spans="1:8" x14ac:dyDescent="0.25">
      <c r="A11504" s="1"/>
      <c r="B11504" s="1" t="s">
        <v>5614</v>
      </c>
      <c r="C11504" s="1" t="s">
        <v>5615</v>
      </c>
      <c r="D11504" s="22" t="str">
        <f>HYPERLINK("https://rhld.insurance.arkansas.gov/NPILookup?Npi=1578899506","1578899506")</f>
        <v>1578899506</v>
      </c>
      <c r="E11504" s="1" t="s">
        <v>994</v>
      </c>
      <c r="F11504" s="2"/>
      <c r="G11504" s="2"/>
      <c r="H11504" s="2"/>
    </row>
    <row r="11505" spans="1:8" x14ac:dyDescent="0.25">
      <c r="A11505" s="1"/>
      <c r="B11505" s="1" t="s">
        <v>5614</v>
      </c>
      <c r="C11505" s="1" t="s">
        <v>5615</v>
      </c>
      <c r="D11505" s="22" t="str">
        <f>HYPERLINK("https://rhld.insurance.arkansas.gov/NPILookup?Npi=1588285613","1588285613")</f>
        <v>1588285613</v>
      </c>
      <c r="E11505" s="1" t="s">
        <v>3617</v>
      </c>
      <c r="F11505" s="2"/>
      <c r="G11505" s="2"/>
      <c r="H11505" s="2"/>
    </row>
    <row r="11506" spans="1:8" x14ac:dyDescent="0.25">
      <c r="A11506" s="1"/>
      <c r="B11506" s="1" t="s">
        <v>5614</v>
      </c>
      <c r="C11506" s="1" t="s">
        <v>5615</v>
      </c>
      <c r="D11506" s="22" t="str">
        <f>HYPERLINK("https://rhld.insurance.arkansas.gov/NPILookup?Npi=1588627939","1588627939")</f>
        <v>1588627939</v>
      </c>
      <c r="E11506" s="1" t="s">
        <v>20496</v>
      </c>
      <c r="F11506" s="2"/>
      <c r="G11506" s="2"/>
      <c r="H11506" s="2"/>
    </row>
    <row r="11507" spans="1:8" x14ac:dyDescent="0.25">
      <c r="A11507" s="1"/>
      <c r="B11507" s="1" t="s">
        <v>5614</v>
      </c>
      <c r="C11507" s="1" t="s">
        <v>5615</v>
      </c>
      <c r="D11507" s="22" t="str">
        <f>HYPERLINK("https://rhld.insurance.arkansas.gov/NPILookup?Npi=1588640072","1588640072")</f>
        <v>1588640072</v>
      </c>
      <c r="E11507" s="1" t="s">
        <v>20497</v>
      </c>
      <c r="F11507" s="2"/>
      <c r="G11507" s="2"/>
      <c r="H11507" s="2"/>
    </row>
    <row r="11508" spans="1:8" x14ac:dyDescent="0.25">
      <c r="A11508" s="1"/>
      <c r="B11508" s="1" t="s">
        <v>5614</v>
      </c>
      <c r="C11508" s="1" t="s">
        <v>5615</v>
      </c>
      <c r="D11508" s="22" t="str">
        <f>HYPERLINK("https://rhld.insurance.arkansas.gov/NPILookup?Npi=1588666499","1588666499")</f>
        <v>1588666499</v>
      </c>
      <c r="E11508" s="1" t="s">
        <v>20498</v>
      </c>
      <c r="F11508" s="2"/>
      <c r="G11508" s="2"/>
      <c r="H11508" s="2"/>
    </row>
    <row r="11509" spans="1:8" x14ac:dyDescent="0.25">
      <c r="A11509" s="1"/>
      <c r="B11509" s="1" t="s">
        <v>5614</v>
      </c>
      <c r="C11509" s="1" t="s">
        <v>5615</v>
      </c>
      <c r="D11509" s="22" t="str">
        <f>HYPERLINK("https://rhld.insurance.arkansas.gov/NPILookup?Npi=1588671499","1588671499")</f>
        <v>1588671499</v>
      </c>
      <c r="E11509" s="1" t="s">
        <v>20499</v>
      </c>
      <c r="F11509" s="2"/>
      <c r="G11509" s="2"/>
      <c r="H11509" s="2"/>
    </row>
    <row r="11510" spans="1:8" x14ac:dyDescent="0.25">
      <c r="A11510" s="1"/>
      <c r="B11510" s="1" t="s">
        <v>5614</v>
      </c>
      <c r="C11510" s="1" t="s">
        <v>5615</v>
      </c>
      <c r="D11510" s="22" t="str">
        <f>HYPERLINK("https://rhld.insurance.arkansas.gov/NPILookup?Npi=1588854343","1588854343")</f>
        <v>1588854343</v>
      </c>
      <c r="E11510" s="1" t="s">
        <v>20500</v>
      </c>
      <c r="F11510" s="2"/>
      <c r="G11510" s="2"/>
      <c r="H11510" s="2"/>
    </row>
    <row r="11511" spans="1:8" x14ac:dyDescent="0.25">
      <c r="A11511" s="1"/>
      <c r="B11511" s="1" t="s">
        <v>5614</v>
      </c>
      <c r="C11511" s="1" t="s">
        <v>5615</v>
      </c>
      <c r="D11511" s="22" t="str">
        <f>HYPERLINK("https://rhld.insurance.arkansas.gov/NPILookup?Npi=1598079451","1598079451")</f>
        <v>1598079451</v>
      </c>
      <c r="E11511" s="1" t="s">
        <v>11267</v>
      </c>
      <c r="F11511" s="2"/>
      <c r="G11511" s="2"/>
      <c r="H11511" s="2"/>
    </row>
    <row r="11512" spans="1:8" x14ac:dyDescent="0.25">
      <c r="A11512" s="1"/>
      <c r="B11512" s="1" t="s">
        <v>5614</v>
      </c>
      <c r="C11512" s="1" t="s">
        <v>5615</v>
      </c>
      <c r="D11512" s="22" t="str">
        <f>HYPERLINK("https://rhld.insurance.arkansas.gov/NPILookup?Npi=1598179715","1598179715")</f>
        <v>1598179715</v>
      </c>
      <c r="E11512" s="1" t="s">
        <v>20501</v>
      </c>
      <c r="F11512" s="2"/>
      <c r="G11512" s="2"/>
      <c r="H11512" s="2"/>
    </row>
    <row r="11513" spans="1:8" x14ac:dyDescent="0.25">
      <c r="A11513" s="1"/>
      <c r="B11513" s="1" t="s">
        <v>5614</v>
      </c>
      <c r="C11513" s="1" t="s">
        <v>5615</v>
      </c>
      <c r="D11513" s="22" t="str">
        <f>HYPERLINK("https://rhld.insurance.arkansas.gov/NPILookup?Npi=1598438103","1598438103")</f>
        <v>1598438103</v>
      </c>
      <c r="E11513" s="1" t="s">
        <v>11268</v>
      </c>
      <c r="F11513" s="2"/>
      <c r="G11513" s="2"/>
      <c r="H11513" s="2"/>
    </row>
    <row r="11514" spans="1:8" x14ac:dyDescent="0.25">
      <c r="A11514" s="1"/>
      <c r="B11514" s="1" t="s">
        <v>5614</v>
      </c>
      <c r="C11514" s="1" t="s">
        <v>5615</v>
      </c>
      <c r="D11514" s="22" t="str">
        <f>HYPERLINK("https://rhld.insurance.arkansas.gov/NPILookup?Npi=1598498420","1598498420")</f>
        <v>1598498420</v>
      </c>
      <c r="E11514" s="1" t="s">
        <v>20502</v>
      </c>
      <c r="F11514" s="2"/>
      <c r="G11514" s="2"/>
      <c r="H11514" s="2"/>
    </row>
    <row r="11515" spans="1:8" x14ac:dyDescent="0.25">
      <c r="A11515" s="1"/>
      <c r="B11515" s="1" t="s">
        <v>5614</v>
      </c>
      <c r="C11515" s="1" t="s">
        <v>5615</v>
      </c>
      <c r="D11515" s="22" t="str">
        <f>HYPERLINK("https://rhld.insurance.arkansas.gov/NPILookup?Npi=1598737405","1598737405")</f>
        <v>1598737405</v>
      </c>
      <c r="E11515" s="1" t="s">
        <v>20503</v>
      </c>
      <c r="F11515" s="2"/>
      <c r="G11515" s="2"/>
      <c r="H11515" s="2"/>
    </row>
    <row r="11516" spans="1:8" x14ac:dyDescent="0.25">
      <c r="A11516" s="1"/>
      <c r="B11516" s="1" t="s">
        <v>5614</v>
      </c>
      <c r="C11516" s="1" t="s">
        <v>5615</v>
      </c>
      <c r="D11516" s="22" t="str">
        <f>HYPERLINK("https://rhld.insurance.arkansas.gov/NPILookup?Npi=1598745713","1598745713")</f>
        <v>1598745713</v>
      </c>
      <c r="E11516" s="1" t="s">
        <v>20504</v>
      </c>
      <c r="F11516" s="2"/>
      <c r="G11516" s="2"/>
      <c r="H11516" s="2"/>
    </row>
    <row r="11517" spans="1:8" x14ac:dyDescent="0.25">
      <c r="A11517" s="1"/>
      <c r="B11517" s="1" t="s">
        <v>5614</v>
      </c>
      <c r="C11517" s="1" t="s">
        <v>5615</v>
      </c>
      <c r="D11517" s="22" t="str">
        <f>HYPERLINK("https://rhld.insurance.arkansas.gov/NPILookup?Npi=1598779209","1598779209")</f>
        <v>1598779209</v>
      </c>
      <c r="E11517" s="1" t="s">
        <v>3618</v>
      </c>
      <c r="F11517" s="2"/>
      <c r="G11517" s="2"/>
      <c r="H11517" s="2"/>
    </row>
    <row r="11518" spans="1:8" x14ac:dyDescent="0.25">
      <c r="A11518" s="1"/>
      <c r="B11518" s="1" t="s">
        <v>5614</v>
      </c>
      <c r="C11518" s="1" t="s">
        <v>5615</v>
      </c>
      <c r="D11518" s="22" t="str">
        <f>HYPERLINK("https://rhld.insurance.arkansas.gov/NPILookup?Npi=1598876526","1598876526")</f>
        <v>1598876526</v>
      </c>
      <c r="E11518" s="1" t="s">
        <v>5649</v>
      </c>
      <c r="F11518" s="2"/>
      <c r="G11518" s="2"/>
      <c r="H11518" s="2"/>
    </row>
    <row r="11519" spans="1:8" x14ac:dyDescent="0.25">
      <c r="A11519" s="1"/>
      <c r="B11519" s="1" t="s">
        <v>5614</v>
      </c>
      <c r="C11519" s="1" t="s">
        <v>5615</v>
      </c>
      <c r="D11519" s="22" t="str">
        <f>HYPERLINK("https://rhld.insurance.arkansas.gov/NPILookup?Npi=1598906026","1598906026")</f>
        <v>1598906026</v>
      </c>
      <c r="E11519" s="1" t="s">
        <v>20505</v>
      </c>
      <c r="F11519" s="2"/>
      <c r="G11519" s="2"/>
      <c r="H11519" s="2"/>
    </row>
    <row r="11520" spans="1:8" x14ac:dyDescent="0.25">
      <c r="A11520" s="1"/>
      <c r="B11520" s="1" t="s">
        <v>5614</v>
      </c>
      <c r="C11520" s="1" t="s">
        <v>5615</v>
      </c>
      <c r="D11520" s="22" t="str">
        <f>HYPERLINK("https://rhld.insurance.arkansas.gov/NPILookup?Npi=1598933475","1598933475")</f>
        <v>1598933475</v>
      </c>
      <c r="E11520" s="1" t="s">
        <v>5650</v>
      </c>
      <c r="F11520" s="2"/>
      <c r="G11520" s="2"/>
      <c r="H11520" s="2"/>
    </row>
    <row r="11521" spans="1:8" x14ac:dyDescent="0.25">
      <c r="A11521" s="1"/>
      <c r="B11521" s="1" t="s">
        <v>5614</v>
      </c>
      <c r="C11521" s="1" t="s">
        <v>5615</v>
      </c>
      <c r="D11521" s="22" t="str">
        <f>HYPERLINK("https://rhld.insurance.arkansas.gov/NPILookup?Npi=1598995128","1598995128")</f>
        <v>1598995128</v>
      </c>
      <c r="E11521" s="1" t="s">
        <v>11269</v>
      </c>
      <c r="F11521" s="2"/>
      <c r="G11521" s="2"/>
      <c r="H11521" s="2"/>
    </row>
    <row r="11522" spans="1:8" x14ac:dyDescent="0.25">
      <c r="A11522" s="1"/>
      <c r="B11522" s="1" t="s">
        <v>5614</v>
      </c>
      <c r="C11522" s="1" t="s">
        <v>5615</v>
      </c>
      <c r="D11522" s="22" t="str">
        <f>HYPERLINK("https://rhld.insurance.arkansas.gov/NPILookup?Npi=1609211234","1609211234")</f>
        <v>1609211234</v>
      </c>
      <c r="E11522" s="1" t="s">
        <v>995</v>
      </c>
      <c r="F11522" s="2"/>
      <c r="G11522" s="2"/>
      <c r="H11522" s="2"/>
    </row>
    <row r="11523" spans="1:8" x14ac:dyDescent="0.25">
      <c r="A11523" s="1"/>
      <c r="B11523" s="1" t="s">
        <v>5614</v>
      </c>
      <c r="C11523" s="1" t="s">
        <v>5615</v>
      </c>
      <c r="D11523" s="22" t="str">
        <f>HYPERLINK("https://rhld.insurance.arkansas.gov/NPILookup?Npi=1609372796","1609372796")</f>
        <v>1609372796</v>
      </c>
      <c r="E11523" s="1" t="s">
        <v>11270</v>
      </c>
      <c r="F11523" s="2"/>
      <c r="G11523" s="2"/>
      <c r="H11523" s="2"/>
    </row>
    <row r="11524" spans="1:8" x14ac:dyDescent="0.25">
      <c r="A11524" s="1"/>
      <c r="B11524" s="1" t="s">
        <v>5614</v>
      </c>
      <c r="C11524" s="1" t="s">
        <v>5615</v>
      </c>
      <c r="D11524" s="22" t="str">
        <f>HYPERLINK("https://rhld.insurance.arkansas.gov/NPILookup?Npi=1609459239","1609459239")</f>
        <v>1609459239</v>
      </c>
      <c r="E11524" s="1" t="s">
        <v>11271</v>
      </c>
      <c r="F11524" s="2"/>
      <c r="G11524" s="2"/>
      <c r="H11524" s="2"/>
    </row>
    <row r="11525" spans="1:8" x14ac:dyDescent="0.25">
      <c r="A11525" s="1"/>
      <c r="B11525" s="1" t="s">
        <v>5614</v>
      </c>
      <c r="C11525" s="1" t="s">
        <v>5615</v>
      </c>
      <c r="D11525" s="22" t="str">
        <f>HYPERLINK("https://rhld.insurance.arkansas.gov/NPILookup?Npi=1609544279","1609544279")</f>
        <v>1609544279</v>
      </c>
      <c r="E11525" s="1" t="s">
        <v>5651</v>
      </c>
      <c r="F11525" s="2"/>
      <c r="G11525" s="2"/>
      <c r="H11525" s="2"/>
    </row>
    <row r="11526" spans="1:8" x14ac:dyDescent="0.25">
      <c r="A11526" s="1"/>
      <c r="B11526" s="1" t="s">
        <v>5614</v>
      </c>
      <c r="C11526" s="1" t="s">
        <v>5615</v>
      </c>
      <c r="D11526" s="22" t="str">
        <f>HYPERLINK("https://rhld.insurance.arkansas.gov/NPILookup?Npi=1609850916","1609850916")</f>
        <v>1609850916</v>
      </c>
      <c r="E11526" s="1" t="s">
        <v>3619</v>
      </c>
      <c r="F11526" s="2"/>
      <c r="G11526" s="2"/>
      <c r="H11526" s="2"/>
    </row>
    <row r="11527" spans="1:8" x14ac:dyDescent="0.25">
      <c r="A11527" s="1"/>
      <c r="B11527" s="1" t="s">
        <v>5614</v>
      </c>
      <c r="C11527" s="1" t="s">
        <v>5615</v>
      </c>
      <c r="D11527" s="22" t="str">
        <f>HYPERLINK("https://rhld.insurance.arkansas.gov/NPILookup?Npi=1609885805","1609885805")</f>
        <v>1609885805</v>
      </c>
      <c r="E11527" s="1" t="s">
        <v>11272</v>
      </c>
      <c r="F11527" s="2"/>
      <c r="G11527" s="2"/>
      <c r="H11527" s="2"/>
    </row>
    <row r="11528" spans="1:8" x14ac:dyDescent="0.25">
      <c r="A11528" s="1"/>
      <c r="B11528" s="1" t="s">
        <v>5614</v>
      </c>
      <c r="C11528" s="1" t="s">
        <v>5615</v>
      </c>
      <c r="D11528" s="22" t="str">
        <f>HYPERLINK("https://rhld.insurance.arkansas.gov/NPILookup?Npi=1609894948","1609894948")</f>
        <v>1609894948</v>
      </c>
      <c r="E11528" s="1" t="s">
        <v>20506</v>
      </c>
      <c r="F11528" s="2"/>
      <c r="G11528" s="2"/>
      <c r="H11528" s="2"/>
    </row>
    <row r="11529" spans="1:8" x14ac:dyDescent="0.25">
      <c r="A11529" s="1"/>
      <c r="B11529" s="1" t="s">
        <v>5614</v>
      </c>
      <c r="C11529" s="1" t="s">
        <v>5615</v>
      </c>
      <c r="D11529" s="22" t="str">
        <f>HYPERLINK("https://rhld.insurance.arkansas.gov/NPILookup?Npi=1609953827","1609953827")</f>
        <v>1609953827</v>
      </c>
      <c r="E11529" s="1" t="s">
        <v>11273</v>
      </c>
      <c r="F11529" s="2"/>
      <c r="G11529" s="2"/>
      <c r="H11529" s="2"/>
    </row>
    <row r="11530" spans="1:8" x14ac:dyDescent="0.25">
      <c r="A11530" s="1"/>
      <c r="B11530" s="1" t="s">
        <v>5614</v>
      </c>
      <c r="C11530" s="1" t="s">
        <v>5615</v>
      </c>
      <c r="D11530" s="22" t="str">
        <f>HYPERLINK("https://rhld.insurance.arkansas.gov/NPILookup?Npi=1609963941","1609963941")</f>
        <v>1609963941</v>
      </c>
      <c r="E11530" s="1" t="s">
        <v>20507</v>
      </c>
      <c r="F11530" s="2"/>
      <c r="G11530" s="2"/>
      <c r="H11530" s="2"/>
    </row>
    <row r="11531" spans="1:8" x14ac:dyDescent="0.25">
      <c r="A11531" s="1"/>
      <c r="B11531" s="1" t="s">
        <v>5614</v>
      </c>
      <c r="C11531" s="1" t="s">
        <v>5615</v>
      </c>
      <c r="D11531" s="22" t="str">
        <f>HYPERLINK("https://rhld.insurance.arkansas.gov/NPILookup?Npi=1619111762","1619111762")</f>
        <v>1619111762</v>
      </c>
      <c r="E11531" s="1" t="s">
        <v>20508</v>
      </c>
      <c r="F11531" s="2"/>
      <c r="G11531" s="2"/>
      <c r="H11531" s="2"/>
    </row>
    <row r="11532" spans="1:8" x14ac:dyDescent="0.25">
      <c r="A11532" s="1"/>
      <c r="B11532" s="1" t="s">
        <v>5614</v>
      </c>
      <c r="C11532" s="1" t="s">
        <v>5615</v>
      </c>
      <c r="D11532" s="22" t="str">
        <f>HYPERLINK("https://rhld.insurance.arkansas.gov/NPILookup?Npi=1619602083","1619602083")</f>
        <v>1619602083</v>
      </c>
      <c r="E11532" s="1" t="s">
        <v>20509</v>
      </c>
      <c r="F11532" s="2"/>
      <c r="G11532" s="2"/>
      <c r="H11532" s="2"/>
    </row>
    <row r="11533" spans="1:8" x14ac:dyDescent="0.25">
      <c r="A11533" s="1"/>
      <c r="B11533" s="1" t="s">
        <v>5614</v>
      </c>
      <c r="C11533" s="1" t="s">
        <v>5615</v>
      </c>
      <c r="D11533" s="22" t="str">
        <f>HYPERLINK("https://rhld.insurance.arkansas.gov/NPILookup?Npi=1619939832","1619939832")</f>
        <v>1619939832</v>
      </c>
      <c r="E11533" s="1" t="s">
        <v>3620</v>
      </c>
      <c r="F11533" s="2"/>
      <c r="G11533" s="2"/>
      <c r="H11533" s="2"/>
    </row>
    <row r="11534" spans="1:8" x14ac:dyDescent="0.25">
      <c r="A11534" s="1"/>
      <c r="B11534" s="1" t="s">
        <v>5614</v>
      </c>
      <c r="C11534" s="1" t="s">
        <v>5615</v>
      </c>
      <c r="D11534" s="22" t="str">
        <f>HYPERLINK("https://rhld.insurance.arkansas.gov/NPILookup?Npi=1619981024","1619981024")</f>
        <v>1619981024</v>
      </c>
      <c r="E11534" s="1" t="s">
        <v>5653</v>
      </c>
      <c r="F11534" s="2"/>
      <c r="G11534" s="2"/>
      <c r="H11534" s="2"/>
    </row>
    <row r="11535" spans="1:8" x14ac:dyDescent="0.25">
      <c r="A11535" s="1"/>
      <c r="B11535" s="1" t="s">
        <v>5614</v>
      </c>
      <c r="C11535" s="1" t="s">
        <v>5615</v>
      </c>
      <c r="D11535" s="22" t="str">
        <f>HYPERLINK("https://rhld.insurance.arkansas.gov/NPILookup?Npi=1629028733","1629028733")</f>
        <v>1629028733</v>
      </c>
      <c r="E11535" s="1" t="s">
        <v>3621</v>
      </c>
      <c r="F11535" s="2"/>
      <c r="G11535" s="2"/>
      <c r="H11535" s="2"/>
    </row>
    <row r="11536" spans="1:8" x14ac:dyDescent="0.25">
      <c r="A11536" s="1"/>
      <c r="B11536" s="1" t="s">
        <v>5614</v>
      </c>
      <c r="C11536" s="1" t="s">
        <v>5615</v>
      </c>
      <c r="D11536" s="22" t="str">
        <f>HYPERLINK("https://rhld.insurance.arkansas.gov/NPILookup?Npi=1629061502","1629061502")</f>
        <v>1629061502</v>
      </c>
      <c r="E11536" s="1" t="s">
        <v>3622</v>
      </c>
      <c r="F11536" s="2"/>
      <c r="G11536" s="2"/>
      <c r="H11536" s="2"/>
    </row>
    <row r="11537" spans="1:8" x14ac:dyDescent="0.25">
      <c r="A11537" s="1"/>
      <c r="B11537" s="1" t="s">
        <v>5614</v>
      </c>
      <c r="C11537" s="1" t="s">
        <v>5615</v>
      </c>
      <c r="D11537" s="22" t="str">
        <f>HYPERLINK("https://rhld.insurance.arkansas.gov/NPILookup?Npi=1629082250","1629082250")</f>
        <v>1629082250</v>
      </c>
      <c r="E11537" s="1" t="s">
        <v>20510</v>
      </c>
      <c r="F11537" s="2"/>
      <c r="G11537" s="2"/>
      <c r="H11537" s="2"/>
    </row>
    <row r="11538" spans="1:8" x14ac:dyDescent="0.25">
      <c r="A11538" s="1"/>
      <c r="B11538" s="1" t="s">
        <v>5614</v>
      </c>
      <c r="C11538" s="1" t="s">
        <v>5615</v>
      </c>
      <c r="D11538" s="22" t="str">
        <f>HYPERLINK("https://rhld.insurance.arkansas.gov/NPILookup?Npi=1639185341","1639185341")</f>
        <v>1639185341</v>
      </c>
      <c r="E11538" s="1" t="s">
        <v>6758</v>
      </c>
      <c r="F11538" s="2"/>
      <c r="G11538" s="2"/>
      <c r="H11538" s="2"/>
    </row>
    <row r="11539" spans="1:8" x14ac:dyDescent="0.25">
      <c r="A11539" s="1"/>
      <c r="B11539" s="1" t="s">
        <v>5614</v>
      </c>
      <c r="C11539" s="1" t="s">
        <v>5615</v>
      </c>
      <c r="D11539" s="22" t="str">
        <f>HYPERLINK("https://rhld.insurance.arkansas.gov/NPILookup?Npi=1639444904","1639444904")</f>
        <v>1639444904</v>
      </c>
      <c r="E11539" s="1" t="s">
        <v>5654</v>
      </c>
      <c r="F11539" s="2"/>
      <c r="G11539" s="2"/>
      <c r="H11539" s="2"/>
    </row>
    <row r="11540" spans="1:8" x14ac:dyDescent="0.25">
      <c r="A11540" s="1"/>
      <c r="B11540" s="1" t="s">
        <v>5614</v>
      </c>
      <c r="C11540" s="1" t="s">
        <v>5615</v>
      </c>
      <c r="D11540" s="22" t="str">
        <f>HYPERLINK("https://rhld.insurance.arkansas.gov/NPILookup?Npi=1639467426","1639467426")</f>
        <v>1639467426</v>
      </c>
      <c r="E11540" s="1" t="s">
        <v>11274</v>
      </c>
      <c r="F11540" s="2"/>
      <c r="G11540" s="2"/>
      <c r="H11540" s="2"/>
    </row>
    <row r="11541" spans="1:8" x14ac:dyDescent="0.25">
      <c r="A11541" s="1"/>
      <c r="B11541" s="1" t="s">
        <v>5614</v>
      </c>
      <c r="C11541" s="1" t="s">
        <v>5615</v>
      </c>
      <c r="D11541" s="22" t="str">
        <f>HYPERLINK("https://rhld.insurance.arkansas.gov/NPILookup?Npi=1639532823","1639532823")</f>
        <v>1639532823</v>
      </c>
      <c r="E11541" s="1" t="s">
        <v>11275</v>
      </c>
      <c r="F11541" s="2"/>
      <c r="G11541" s="2"/>
      <c r="H11541" s="2"/>
    </row>
    <row r="11542" spans="1:8" x14ac:dyDescent="0.25">
      <c r="A11542" s="1"/>
      <c r="B11542" s="1" t="s">
        <v>5614</v>
      </c>
      <c r="C11542" s="1" t="s">
        <v>5615</v>
      </c>
      <c r="D11542" s="22" t="str">
        <f>HYPERLINK("https://rhld.insurance.arkansas.gov/NPILookup?Npi=1639860257","1639860257")</f>
        <v>1639860257</v>
      </c>
      <c r="E11542" s="1" t="s">
        <v>20511</v>
      </c>
      <c r="F11542" s="2"/>
      <c r="G11542" s="2"/>
      <c r="H11542" s="2"/>
    </row>
    <row r="11543" spans="1:8" x14ac:dyDescent="0.25">
      <c r="A11543" s="1"/>
      <c r="B11543" s="1" t="s">
        <v>5614</v>
      </c>
      <c r="C11543" s="1" t="s">
        <v>5615</v>
      </c>
      <c r="D11543" s="22" t="str">
        <f>HYPERLINK("https://rhld.insurance.arkansas.gov/NPILookup?Npi=1649260050","1649260050")</f>
        <v>1649260050</v>
      </c>
      <c r="E11543" s="1" t="s">
        <v>20512</v>
      </c>
      <c r="F11543" s="2"/>
      <c r="G11543" s="2"/>
      <c r="H11543" s="2"/>
    </row>
    <row r="11544" spans="1:8" x14ac:dyDescent="0.25">
      <c r="A11544" s="1"/>
      <c r="B11544" s="1" t="s">
        <v>5614</v>
      </c>
      <c r="C11544" s="1" t="s">
        <v>5615</v>
      </c>
      <c r="D11544" s="22" t="str">
        <f>HYPERLINK("https://rhld.insurance.arkansas.gov/NPILookup?Npi=1649471921","1649471921")</f>
        <v>1649471921</v>
      </c>
      <c r="E11544" s="1" t="s">
        <v>481</v>
      </c>
      <c r="F11544" s="2"/>
      <c r="G11544" s="2"/>
      <c r="H11544" s="2"/>
    </row>
    <row r="11545" spans="1:8" x14ac:dyDescent="0.25">
      <c r="A11545" s="1"/>
      <c r="B11545" s="1" t="s">
        <v>5614</v>
      </c>
      <c r="C11545" s="1" t="s">
        <v>5615</v>
      </c>
      <c r="D11545" s="22" t="str">
        <f>HYPERLINK("https://rhld.insurance.arkansas.gov/NPILookup?Npi=1649526807","1649526807")</f>
        <v>1649526807</v>
      </c>
      <c r="E11545" s="1" t="s">
        <v>476</v>
      </c>
      <c r="F11545" s="2"/>
      <c r="G11545" s="2"/>
      <c r="H11545" s="2"/>
    </row>
    <row r="11546" spans="1:8" x14ac:dyDescent="0.25">
      <c r="A11546" s="1"/>
      <c r="B11546" s="1" t="s">
        <v>5614</v>
      </c>
      <c r="C11546" s="1" t="s">
        <v>5615</v>
      </c>
      <c r="D11546" s="22" t="str">
        <f>HYPERLINK("https://rhld.insurance.arkansas.gov/NPILookup?Npi=1649653007","1649653007")</f>
        <v>1649653007</v>
      </c>
      <c r="E11546" s="1" t="s">
        <v>20513</v>
      </c>
      <c r="F11546" s="2"/>
      <c r="G11546" s="2"/>
      <c r="H11546" s="2"/>
    </row>
    <row r="11547" spans="1:8" x14ac:dyDescent="0.25">
      <c r="A11547" s="1"/>
      <c r="B11547" s="1" t="s">
        <v>5614</v>
      </c>
      <c r="C11547" s="1" t="s">
        <v>5615</v>
      </c>
      <c r="D11547" s="22" t="str">
        <f>HYPERLINK("https://rhld.insurance.arkansas.gov/NPILookup?Npi=1659340040","1659340040")</f>
        <v>1659340040</v>
      </c>
      <c r="E11547" s="1" t="s">
        <v>3623</v>
      </c>
      <c r="F11547" s="2"/>
      <c r="G11547" s="2"/>
      <c r="H11547" s="2"/>
    </row>
    <row r="11548" spans="1:8" x14ac:dyDescent="0.25">
      <c r="A11548" s="1"/>
      <c r="B11548" s="1" t="s">
        <v>5614</v>
      </c>
      <c r="C11548" s="1" t="s">
        <v>5615</v>
      </c>
      <c r="D11548" s="22" t="str">
        <f>HYPERLINK("https://rhld.insurance.arkansas.gov/NPILookup?Npi=1659374429","1659374429")</f>
        <v>1659374429</v>
      </c>
      <c r="E11548" s="1" t="s">
        <v>17396</v>
      </c>
      <c r="F11548" s="2"/>
      <c r="G11548" s="2"/>
      <c r="H11548" s="2"/>
    </row>
    <row r="11549" spans="1:8" x14ac:dyDescent="0.25">
      <c r="A11549" s="1"/>
      <c r="B11549" s="1" t="s">
        <v>5614</v>
      </c>
      <c r="C11549" s="1" t="s">
        <v>5615</v>
      </c>
      <c r="D11549" s="22" t="str">
        <f>HYPERLINK("https://rhld.insurance.arkansas.gov/NPILookup?Npi=1659414662","1659414662")</f>
        <v>1659414662</v>
      </c>
      <c r="E11549" s="1" t="s">
        <v>2259</v>
      </c>
      <c r="F11549" s="2"/>
      <c r="G11549" s="2"/>
      <c r="H11549" s="2"/>
    </row>
    <row r="11550" spans="1:8" x14ac:dyDescent="0.25">
      <c r="A11550" s="1"/>
      <c r="B11550" s="1" t="s">
        <v>5614</v>
      </c>
      <c r="C11550" s="1" t="s">
        <v>5615</v>
      </c>
      <c r="D11550" s="22" t="str">
        <f>HYPERLINK("https://rhld.insurance.arkansas.gov/NPILookup?Npi=1659557171","1659557171")</f>
        <v>1659557171</v>
      </c>
      <c r="E11550" s="1" t="s">
        <v>20514</v>
      </c>
      <c r="F11550" s="2"/>
      <c r="G11550" s="2"/>
      <c r="H11550" s="2"/>
    </row>
    <row r="11551" spans="1:8" x14ac:dyDescent="0.25">
      <c r="A11551" s="1"/>
      <c r="B11551" s="1" t="s">
        <v>5614</v>
      </c>
      <c r="C11551" s="1" t="s">
        <v>5615</v>
      </c>
      <c r="D11551" s="22" t="str">
        <f>HYPERLINK("https://rhld.insurance.arkansas.gov/NPILookup?Npi=1659687242","1659687242")</f>
        <v>1659687242</v>
      </c>
      <c r="E11551" s="1" t="s">
        <v>682</v>
      </c>
      <c r="F11551" s="2"/>
      <c r="G11551" s="2"/>
      <c r="H11551" s="2"/>
    </row>
    <row r="11552" spans="1:8" x14ac:dyDescent="0.25">
      <c r="A11552" s="1"/>
      <c r="B11552" s="1" t="s">
        <v>5614</v>
      </c>
      <c r="C11552" s="1" t="s">
        <v>5615</v>
      </c>
      <c r="D11552" s="22" t="str">
        <f>HYPERLINK("https://rhld.insurance.arkansas.gov/NPILookup?Npi=1659953693","1659953693")</f>
        <v>1659953693</v>
      </c>
      <c r="E11552" s="1" t="s">
        <v>20515</v>
      </c>
      <c r="F11552" s="2"/>
      <c r="G11552" s="2"/>
      <c r="H11552" s="2"/>
    </row>
    <row r="11553" spans="1:8" x14ac:dyDescent="0.25">
      <c r="A11553" s="1"/>
      <c r="B11553" s="1" t="s">
        <v>5614</v>
      </c>
      <c r="C11553" s="1" t="s">
        <v>5615</v>
      </c>
      <c r="D11553" s="22" t="str">
        <f>HYPERLINK("https://rhld.insurance.arkansas.gov/NPILookup?Npi=1669430914","1669430914")</f>
        <v>1669430914</v>
      </c>
      <c r="E11553" s="1" t="s">
        <v>20516</v>
      </c>
      <c r="F11553" s="2"/>
      <c r="G11553" s="2"/>
      <c r="H11553" s="2"/>
    </row>
    <row r="11554" spans="1:8" x14ac:dyDescent="0.25">
      <c r="A11554" s="1"/>
      <c r="B11554" s="1" t="s">
        <v>5614</v>
      </c>
      <c r="C11554" s="1" t="s">
        <v>5615</v>
      </c>
      <c r="D11554" s="22" t="str">
        <f>HYPERLINK("https://rhld.insurance.arkansas.gov/NPILookup?Npi=1669456166","1669456166")</f>
        <v>1669456166</v>
      </c>
      <c r="E11554" s="1" t="s">
        <v>5655</v>
      </c>
      <c r="F11554" s="2"/>
      <c r="G11554" s="2"/>
      <c r="H11554" s="2"/>
    </row>
    <row r="11555" spans="1:8" x14ac:dyDescent="0.25">
      <c r="A11555" s="1"/>
      <c r="B11555" s="1" t="s">
        <v>5614</v>
      </c>
      <c r="C11555" s="1" t="s">
        <v>5615</v>
      </c>
      <c r="D11555" s="22" t="str">
        <f>HYPERLINK("https://rhld.insurance.arkansas.gov/NPILookup?Npi=1669458162","1669458162")</f>
        <v>1669458162</v>
      </c>
      <c r="E11555" s="1" t="s">
        <v>11276</v>
      </c>
      <c r="F11555" s="2"/>
      <c r="G11555" s="2"/>
      <c r="H11555" s="2"/>
    </row>
    <row r="11556" spans="1:8" x14ac:dyDescent="0.25">
      <c r="A11556" s="1"/>
      <c r="B11556" s="1" t="s">
        <v>5614</v>
      </c>
      <c r="C11556" s="1" t="s">
        <v>5615</v>
      </c>
      <c r="D11556" s="22" t="str">
        <f>HYPERLINK("https://rhld.insurance.arkansas.gov/NPILookup?Npi=1669463352","1669463352")</f>
        <v>1669463352</v>
      </c>
      <c r="E11556" s="1" t="s">
        <v>20517</v>
      </c>
      <c r="F11556" s="2"/>
      <c r="G11556" s="2"/>
      <c r="H11556" s="2"/>
    </row>
    <row r="11557" spans="1:8" x14ac:dyDescent="0.25">
      <c r="A11557" s="1"/>
      <c r="B11557" s="1" t="s">
        <v>5614</v>
      </c>
      <c r="C11557" s="1" t="s">
        <v>5615</v>
      </c>
      <c r="D11557" s="22" t="str">
        <f>HYPERLINK("https://rhld.insurance.arkansas.gov/NPILookup?Npi=1669470183","1669470183")</f>
        <v>1669470183</v>
      </c>
      <c r="E11557" s="1" t="s">
        <v>11277</v>
      </c>
      <c r="F11557" s="2"/>
      <c r="G11557" s="2"/>
      <c r="H11557" s="2"/>
    </row>
    <row r="11558" spans="1:8" x14ac:dyDescent="0.25">
      <c r="A11558" s="1"/>
      <c r="B11558" s="1" t="s">
        <v>5614</v>
      </c>
      <c r="C11558" s="1" t="s">
        <v>5615</v>
      </c>
      <c r="D11558" s="22" t="str">
        <f>HYPERLINK("https://rhld.insurance.arkansas.gov/NPILookup?Npi=1669492781","1669492781")</f>
        <v>1669492781</v>
      </c>
      <c r="E11558" s="1" t="s">
        <v>20518</v>
      </c>
      <c r="F11558" s="2"/>
      <c r="G11558" s="2"/>
      <c r="H11558" s="2"/>
    </row>
    <row r="11559" spans="1:8" x14ac:dyDescent="0.25">
      <c r="A11559" s="1"/>
      <c r="B11559" s="1" t="s">
        <v>5614</v>
      </c>
      <c r="C11559" s="1" t="s">
        <v>5615</v>
      </c>
      <c r="D11559" s="22" t="str">
        <f>HYPERLINK("https://rhld.insurance.arkansas.gov/NPILookup?Npi=1669562153","1669562153")</f>
        <v>1669562153</v>
      </c>
      <c r="E11559" s="1" t="s">
        <v>2573</v>
      </c>
      <c r="F11559" s="2"/>
      <c r="G11559" s="2"/>
      <c r="H11559" s="2"/>
    </row>
    <row r="11560" spans="1:8" x14ac:dyDescent="0.25">
      <c r="A11560" s="1"/>
      <c r="B11560" s="1" t="s">
        <v>5614</v>
      </c>
      <c r="C11560" s="1" t="s">
        <v>5615</v>
      </c>
      <c r="D11560" s="22" t="str">
        <f>HYPERLINK("https://rhld.insurance.arkansas.gov/NPILookup?Npi=1669670063","1669670063")</f>
        <v>1669670063</v>
      </c>
      <c r="E11560" s="1" t="s">
        <v>11278</v>
      </c>
      <c r="F11560" s="2"/>
      <c r="G11560" s="2"/>
      <c r="H11560" s="2"/>
    </row>
    <row r="11561" spans="1:8" x14ac:dyDescent="0.25">
      <c r="A11561" s="1"/>
      <c r="B11561" s="1" t="s">
        <v>5614</v>
      </c>
      <c r="C11561" s="1" t="s">
        <v>5615</v>
      </c>
      <c r="D11561" s="22" t="str">
        <f>HYPERLINK("https://rhld.insurance.arkansas.gov/NPILookup?Npi=1679208276","1679208276")</f>
        <v>1679208276</v>
      </c>
      <c r="E11561" s="1" t="s">
        <v>11279</v>
      </c>
      <c r="F11561" s="2"/>
      <c r="G11561" s="2"/>
      <c r="H11561" s="2"/>
    </row>
    <row r="11562" spans="1:8" x14ac:dyDescent="0.25">
      <c r="A11562" s="1"/>
      <c r="B11562" s="1" t="s">
        <v>5614</v>
      </c>
      <c r="C11562" s="1" t="s">
        <v>5615</v>
      </c>
      <c r="D11562" s="22" t="str">
        <f>HYPERLINK("https://rhld.insurance.arkansas.gov/NPILookup?Npi=1679514343","1679514343")</f>
        <v>1679514343</v>
      </c>
      <c r="E11562" s="1" t="s">
        <v>20519</v>
      </c>
      <c r="F11562" s="2"/>
      <c r="G11562" s="2"/>
      <c r="H11562" s="2"/>
    </row>
    <row r="11563" spans="1:8" x14ac:dyDescent="0.25">
      <c r="A11563" s="1"/>
      <c r="B11563" s="1" t="s">
        <v>5614</v>
      </c>
      <c r="C11563" s="1" t="s">
        <v>5615</v>
      </c>
      <c r="D11563" s="22" t="str">
        <f>HYPERLINK("https://rhld.insurance.arkansas.gov/NPILookup?Npi=1679593008","1679593008")</f>
        <v>1679593008</v>
      </c>
      <c r="E11563" s="1" t="s">
        <v>5656</v>
      </c>
      <c r="F11563" s="2"/>
      <c r="G11563" s="2"/>
      <c r="H11563" s="2"/>
    </row>
    <row r="11564" spans="1:8" x14ac:dyDescent="0.25">
      <c r="A11564" s="1"/>
      <c r="B11564" s="1" t="s">
        <v>5614</v>
      </c>
      <c r="C11564" s="1" t="s">
        <v>5615</v>
      </c>
      <c r="D11564" s="22" t="str">
        <f>HYPERLINK("https://rhld.insurance.arkansas.gov/NPILookup?Npi=1679626675","1679626675")</f>
        <v>1679626675</v>
      </c>
      <c r="E11564" s="1" t="s">
        <v>11280</v>
      </c>
      <c r="F11564" s="2"/>
      <c r="G11564" s="2"/>
      <c r="H11564" s="2"/>
    </row>
    <row r="11565" spans="1:8" x14ac:dyDescent="0.25">
      <c r="A11565" s="1"/>
      <c r="B11565" s="1" t="s">
        <v>5614</v>
      </c>
      <c r="C11565" s="1" t="s">
        <v>5615</v>
      </c>
      <c r="D11565" s="22" t="str">
        <f>HYPERLINK("https://rhld.insurance.arkansas.gov/NPILookup?Npi=1679702096","1679702096")</f>
        <v>1679702096</v>
      </c>
      <c r="E11565" s="1" t="s">
        <v>20520</v>
      </c>
      <c r="F11565" s="2"/>
      <c r="G11565" s="2"/>
      <c r="H11565" s="2"/>
    </row>
    <row r="11566" spans="1:8" x14ac:dyDescent="0.25">
      <c r="A11566" s="1"/>
      <c r="B11566" s="1" t="s">
        <v>5614</v>
      </c>
      <c r="C11566" s="1" t="s">
        <v>5615</v>
      </c>
      <c r="D11566" s="22" t="str">
        <f>HYPERLINK("https://rhld.insurance.arkansas.gov/NPILookup?Npi=1679798698","1679798698")</f>
        <v>1679798698</v>
      </c>
      <c r="E11566" s="1" t="s">
        <v>20521</v>
      </c>
      <c r="F11566" s="2"/>
      <c r="G11566" s="2"/>
      <c r="H11566" s="2"/>
    </row>
    <row r="11567" spans="1:8" x14ac:dyDescent="0.25">
      <c r="A11567" s="1"/>
      <c r="B11567" s="1" t="s">
        <v>5614</v>
      </c>
      <c r="C11567" s="1" t="s">
        <v>5615</v>
      </c>
      <c r="D11567" s="22" t="str">
        <f>HYPERLINK("https://rhld.insurance.arkansas.gov/NPILookup?Npi=1679816102","1679816102")</f>
        <v>1679816102</v>
      </c>
      <c r="E11567" s="1" t="s">
        <v>20522</v>
      </c>
      <c r="F11567" s="2"/>
      <c r="G11567" s="2"/>
      <c r="H11567" s="2"/>
    </row>
    <row r="11568" spans="1:8" x14ac:dyDescent="0.25">
      <c r="A11568" s="1"/>
      <c r="B11568" s="1" t="s">
        <v>5614</v>
      </c>
      <c r="C11568" s="1" t="s">
        <v>5615</v>
      </c>
      <c r="D11568" s="22" t="str">
        <f>HYPERLINK("https://rhld.insurance.arkansas.gov/NPILookup?Npi=1689100471","1689100471")</f>
        <v>1689100471</v>
      </c>
      <c r="E11568" s="1" t="s">
        <v>5657</v>
      </c>
      <c r="F11568" s="2"/>
      <c r="G11568" s="2"/>
      <c r="H11568" s="2"/>
    </row>
    <row r="11569" spans="1:8" x14ac:dyDescent="0.25">
      <c r="A11569" s="1"/>
      <c r="B11569" s="1" t="s">
        <v>5614</v>
      </c>
      <c r="C11569" s="1" t="s">
        <v>5615</v>
      </c>
      <c r="D11569" s="22" t="str">
        <f>HYPERLINK("https://rhld.insurance.arkansas.gov/NPILookup?Npi=1689640310","1689640310")</f>
        <v>1689640310</v>
      </c>
      <c r="E11569" s="1" t="s">
        <v>20523</v>
      </c>
      <c r="F11569" s="2"/>
      <c r="G11569" s="2"/>
      <c r="H11569" s="2"/>
    </row>
    <row r="11570" spans="1:8" x14ac:dyDescent="0.25">
      <c r="A11570" s="1"/>
      <c r="B11570" s="1" t="s">
        <v>5614</v>
      </c>
      <c r="C11570" s="1" t="s">
        <v>5615</v>
      </c>
      <c r="D11570" s="22" t="str">
        <f>HYPERLINK("https://rhld.insurance.arkansas.gov/NPILookup?Npi=1689681413","1689681413")</f>
        <v>1689681413</v>
      </c>
      <c r="E11570" s="1" t="s">
        <v>20524</v>
      </c>
      <c r="F11570" s="2"/>
      <c r="G11570" s="2"/>
      <c r="H11570" s="2"/>
    </row>
    <row r="11571" spans="1:8" x14ac:dyDescent="0.25">
      <c r="A11571" s="1"/>
      <c r="B11571" s="1" t="s">
        <v>5614</v>
      </c>
      <c r="C11571" s="1" t="s">
        <v>5615</v>
      </c>
      <c r="D11571" s="22" t="str">
        <f>HYPERLINK("https://rhld.insurance.arkansas.gov/NPILookup?Npi=1689682957","1689682957")</f>
        <v>1689682957</v>
      </c>
      <c r="E11571" s="1" t="s">
        <v>20525</v>
      </c>
      <c r="F11571" s="2"/>
      <c r="G11571" s="2"/>
      <c r="H11571" s="2"/>
    </row>
    <row r="11572" spans="1:8" x14ac:dyDescent="0.25">
      <c r="A11572" s="1"/>
      <c r="B11572" s="1" t="s">
        <v>5614</v>
      </c>
      <c r="C11572" s="1" t="s">
        <v>5615</v>
      </c>
      <c r="D11572" s="22" t="str">
        <f>HYPERLINK("https://rhld.insurance.arkansas.gov/NPILookup?Npi=1689697864","1689697864")</f>
        <v>1689697864</v>
      </c>
      <c r="E11572" s="1" t="s">
        <v>20526</v>
      </c>
      <c r="F11572" s="2"/>
      <c r="G11572" s="2"/>
      <c r="H11572" s="2"/>
    </row>
    <row r="11573" spans="1:8" x14ac:dyDescent="0.25">
      <c r="A11573" s="1"/>
      <c r="B11573" s="1" t="s">
        <v>5614</v>
      </c>
      <c r="C11573" s="1" t="s">
        <v>5615</v>
      </c>
      <c r="D11573" s="22" t="str">
        <f>HYPERLINK("https://rhld.insurance.arkansas.gov/NPILookup?Npi=1689725970","1689725970")</f>
        <v>1689725970</v>
      </c>
      <c r="E11573" s="1" t="s">
        <v>20527</v>
      </c>
      <c r="F11573" s="2"/>
      <c r="G11573" s="2"/>
      <c r="H11573" s="2"/>
    </row>
    <row r="11574" spans="1:8" x14ac:dyDescent="0.25">
      <c r="A11574" s="1"/>
      <c r="B11574" s="1" t="s">
        <v>5614</v>
      </c>
      <c r="C11574" s="1" t="s">
        <v>5615</v>
      </c>
      <c r="D11574" s="22" t="str">
        <f>HYPERLINK("https://rhld.insurance.arkansas.gov/NPILookup?Npi=1689784985","1689784985")</f>
        <v>1689784985</v>
      </c>
      <c r="E11574" s="1" t="s">
        <v>20528</v>
      </c>
      <c r="F11574" s="2"/>
      <c r="G11574" s="2"/>
      <c r="H11574" s="2"/>
    </row>
    <row r="11575" spans="1:8" x14ac:dyDescent="0.25">
      <c r="A11575" s="1"/>
      <c r="B11575" s="1" t="s">
        <v>5614</v>
      </c>
      <c r="C11575" s="1" t="s">
        <v>5615</v>
      </c>
      <c r="D11575" s="22" t="str">
        <f>HYPERLINK("https://rhld.insurance.arkansas.gov/NPILookup?Npi=1689794703","1689794703")</f>
        <v>1689794703</v>
      </c>
      <c r="E11575" s="1" t="s">
        <v>20529</v>
      </c>
      <c r="F11575" s="2"/>
      <c r="G11575" s="2"/>
      <c r="H11575" s="2"/>
    </row>
    <row r="11576" spans="1:8" x14ac:dyDescent="0.25">
      <c r="A11576" s="1"/>
      <c r="B11576" s="1" t="s">
        <v>5614</v>
      </c>
      <c r="C11576" s="1" t="s">
        <v>5615</v>
      </c>
      <c r="D11576" s="22" t="str">
        <f>HYPERLINK("https://rhld.insurance.arkansas.gov/NPILookup?Npi=1689836652","1689836652")</f>
        <v>1689836652</v>
      </c>
      <c r="E11576" s="1" t="s">
        <v>9783</v>
      </c>
      <c r="F11576" s="2"/>
      <c r="G11576" s="2"/>
      <c r="H11576" s="2"/>
    </row>
    <row r="11577" spans="1:8" x14ac:dyDescent="0.25">
      <c r="A11577" s="1"/>
      <c r="B11577" s="1" t="s">
        <v>5614</v>
      </c>
      <c r="C11577" s="1" t="s">
        <v>5615</v>
      </c>
      <c r="D11577" s="22" t="str">
        <f>HYPERLINK("https://rhld.insurance.arkansas.gov/NPILookup?Npi=1689853533","1689853533")</f>
        <v>1689853533</v>
      </c>
      <c r="E11577" s="1" t="s">
        <v>1832</v>
      </c>
      <c r="F11577" s="2"/>
      <c r="G11577" s="2"/>
      <c r="H11577" s="2"/>
    </row>
    <row r="11578" spans="1:8" x14ac:dyDescent="0.25">
      <c r="A11578" s="1"/>
      <c r="B11578" s="1" t="s">
        <v>5614</v>
      </c>
      <c r="C11578" s="1" t="s">
        <v>5615</v>
      </c>
      <c r="D11578" s="22" t="str">
        <f>HYPERLINK("https://rhld.insurance.arkansas.gov/NPILookup?Npi=1699120162","1699120162")</f>
        <v>1699120162</v>
      </c>
      <c r="E11578" s="1" t="s">
        <v>20530</v>
      </c>
      <c r="F11578" s="2"/>
      <c r="G11578" s="2"/>
      <c r="H11578" s="2"/>
    </row>
    <row r="11579" spans="1:8" x14ac:dyDescent="0.25">
      <c r="A11579" s="1"/>
      <c r="B11579" s="1" t="s">
        <v>5614</v>
      </c>
      <c r="C11579" s="1" t="s">
        <v>5615</v>
      </c>
      <c r="D11579" s="22" t="str">
        <f>HYPERLINK("https://rhld.insurance.arkansas.gov/NPILookup?Npi=1699347211","1699347211")</f>
        <v>1699347211</v>
      </c>
      <c r="E11579" s="1" t="s">
        <v>11281</v>
      </c>
      <c r="F11579" s="2"/>
      <c r="G11579" s="2"/>
      <c r="H11579" s="2"/>
    </row>
    <row r="11580" spans="1:8" x14ac:dyDescent="0.25">
      <c r="A11580" s="1"/>
      <c r="B11580" s="1" t="s">
        <v>5614</v>
      </c>
      <c r="C11580" s="1" t="s">
        <v>5615</v>
      </c>
      <c r="D11580" s="22" t="str">
        <f>HYPERLINK("https://rhld.insurance.arkansas.gov/NPILookup?Npi=1699700864","1699700864")</f>
        <v>1699700864</v>
      </c>
      <c r="E11580" s="1" t="s">
        <v>20531</v>
      </c>
      <c r="F11580" s="2"/>
      <c r="G11580" s="2"/>
      <c r="H11580" s="2"/>
    </row>
    <row r="11581" spans="1:8" x14ac:dyDescent="0.25">
      <c r="A11581" s="1"/>
      <c r="B11581" s="1" t="s">
        <v>5614</v>
      </c>
      <c r="C11581" s="1" t="s">
        <v>5615</v>
      </c>
      <c r="D11581" s="22" t="str">
        <f>HYPERLINK("https://rhld.insurance.arkansas.gov/NPILookup?Npi=1699734368","1699734368")</f>
        <v>1699734368</v>
      </c>
      <c r="E11581" s="1" t="s">
        <v>3624</v>
      </c>
      <c r="F11581" s="2"/>
      <c r="G11581" s="2"/>
      <c r="H11581" s="2"/>
    </row>
    <row r="11582" spans="1:8" x14ac:dyDescent="0.25">
      <c r="A11582" s="1"/>
      <c r="B11582" s="1" t="s">
        <v>5614</v>
      </c>
      <c r="C11582" s="1" t="s">
        <v>5615</v>
      </c>
      <c r="D11582" s="22" t="str">
        <f>HYPERLINK("https://rhld.insurance.arkansas.gov/NPILookup?Npi=1699747568","1699747568")</f>
        <v>1699747568</v>
      </c>
      <c r="E11582" s="1" t="s">
        <v>11282</v>
      </c>
      <c r="F11582" s="2"/>
      <c r="G11582" s="2"/>
      <c r="H11582" s="2"/>
    </row>
    <row r="11583" spans="1:8" x14ac:dyDescent="0.25">
      <c r="A11583" s="1"/>
      <c r="B11583" s="1" t="s">
        <v>5614</v>
      </c>
      <c r="C11583" s="1" t="s">
        <v>5615</v>
      </c>
      <c r="D11583" s="22" t="str">
        <f>HYPERLINK("https://rhld.insurance.arkansas.gov/NPILookup?Npi=1699872036","1699872036")</f>
        <v>1699872036</v>
      </c>
      <c r="E11583" s="1" t="s">
        <v>3058</v>
      </c>
      <c r="F11583" s="2"/>
      <c r="G11583" s="2"/>
      <c r="H11583" s="2"/>
    </row>
    <row r="11584" spans="1:8" x14ac:dyDescent="0.25">
      <c r="A11584" s="1"/>
      <c r="B11584" s="1" t="s">
        <v>5614</v>
      </c>
      <c r="C11584" s="1" t="s">
        <v>5615</v>
      </c>
      <c r="D11584" s="22" t="str">
        <f>HYPERLINK("https://rhld.insurance.arkansas.gov/NPILookup?Npi=1699875401","1699875401")</f>
        <v>1699875401</v>
      </c>
      <c r="E11584" s="1" t="s">
        <v>11283</v>
      </c>
      <c r="F11584" s="2"/>
      <c r="G11584" s="2"/>
      <c r="H11584" s="2"/>
    </row>
    <row r="11585" spans="1:8" x14ac:dyDescent="0.25">
      <c r="A11585" s="1"/>
      <c r="B11585" s="1" t="s">
        <v>5614</v>
      </c>
      <c r="C11585" s="1" t="s">
        <v>5615</v>
      </c>
      <c r="D11585" s="22" t="str">
        <f>HYPERLINK("https://rhld.insurance.arkansas.gov/NPILookup?Npi=1700237153","1700237153")</f>
        <v>1700237153</v>
      </c>
      <c r="E11585" s="1" t="s">
        <v>20532</v>
      </c>
      <c r="F11585" s="2"/>
      <c r="G11585" s="2"/>
      <c r="H11585" s="2"/>
    </row>
    <row r="11586" spans="1:8" x14ac:dyDescent="0.25">
      <c r="A11586" s="1"/>
      <c r="B11586" s="1" t="s">
        <v>5614</v>
      </c>
      <c r="C11586" s="1" t="s">
        <v>5615</v>
      </c>
      <c r="D11586" s="22" t="str">
        <f>HYPERLINK("https://rhld.insurance.arkansas.gov/NPILookup?Npi=1710077151","1710077151")</f>
        <v>1710077151</v>
      </c>
      <c r="E11586" s="1" t="s">
        <v>11284</v>
      </c>
      <c r="F11586" s="2"/>
      <c r="G11586" s="2"/>
      <c r="H11586" s="2"/>
    </row>
    <row r="11587" spans="1:8" x14ac:dyDescent="0.25">
      <c r="A11587" s="1"/>
      <c r="B11587" s="1" t="s">
        <v>5614</v>
      </c>
      <c r="C11587" s="1" t="s">
        <v>5615</v>
      </c>
      <c r="D11587" s="22" t="str">
        <f>HYPERLINK("https://rhld.insurance.arkansas.gov/NPILookup?Npi=1710101977","1710101977")</f>
        <v>1710101977</v>
      </c>
      <c r="E11587" s="1" t="s">
        <v>20533</v>
      </c>
      <c r="F11587" s="2"/>
      <c r="G11587" s="2"/>
      <c r="H11587" s="2"/>
    </row>
    <row r="11588" spans="1:8" x14ac:dyDescent="0.25">
      <c r="A11588" s="1"/>
      <c r="B11588" s="1" t="s">
        <v>5614</v>
      </c>
      <c r="C11588" s="1" t="s">
        <v>5615</v>
      </c>
      <c r="D11588" s="22" t="str">
        <f>HYPERLINK("https://rhld.insurance.arkansas.gov/NPILookup?Npi=1710321955","1710321955")</f>
        <v>1710321955</v>
      </c>
      <c r="E11588" s="1" t="s">
        <v>11285</v>
      </c>
      <c r="F11588" s="2"/>
      <c r="G11588" s="2"/>
      <c r="H11588" s="2"/>
    </row>
    <row r="11589" spans="1:8" x14ac:dyDescent="0.25">
      <c r="A11589" s="1"/>
      <c r="B11589" s="1" t="s">
        <v>5614</v>
      </c>
      <c r="C11589" s="1" t="s">
        <v>5615</v>
      </c>
      <c r="D11589" s="22" t="str">
        <f>HYPERLINK("https://rhld.insurance.arkansas.gov/NPILookup?Npi=1710624390","1710624390")</f>
        <v>1710624390</v>
      </c>
      <c r="E11589" s="1" t="s">
        <v>20534</v>
      </c>
      <c r="F11589" s="2"/>
      <c r="G11589" s="2"/>
      <c r="H11589" s="2"/>
    </row>
    <row r="11590" spans="1:8" x14ac:dyDescent="0.25">
      <c r="A11590" s="1"/>
      <c r="B11590" s="1" t="s">
        <v>5614</v>
      </c>
      <c r="C11590" s="1" t="s">
        <v>5615</v>
      </c>
      <c r="D11590" s="22" t="str">
        <f>HYPERLINK("https://rhld.insurance.arkansas.gov/NPILookup?Npi=1710654058","1710654058")</f>
        <v>1710654058</v>
      </c>
      <c r="E11590" s="1" t="s">
        <v>20535</v>
      </c>
      <c r="F11590" s="2"/>
      <c r="G11590" s="2"/>
      <c r="H11590" s="2"/>
    </row>
    <row r="11591" spans="1:8" x14ac:dyDescent="0.25">
      <c r="A11591" s="1"/>
      <c r="B11591" s="1" t="s">
        <v>5614</v>
      </c>
      <c r="C11591" s="1" t="s">
        <v>5615</v>
      </c>
      <c r="D11591" s="22" t="str">
        <f>HYPERLINK("https://rhld.insurance.arkansas.gov/NPILookup?Npi=1720016272","1720016272")</f>
        <v>1720016272</v>
      </c>
      <c r="E11591" s="1" t="s">
        <v>11286</v>
      </c>
      <c r="F11591" s="2"/>
      <c r="G11591" s="2"/>
      <c r="H11591" s="2"/>
    </row>
    <row r="11592" spans="1:8" x14ac:dyDescent="0.25">
      <c r="A11592" s="1"/>
      <c r="B11592" s="1" t="s">
        <v>5614</v>
      </c>
      <c r="C11592" s="1" t="s">
        <v>5615</v>
      </c>
      <c r="D11592" s="22" t="str">
        <f>HYPERLINK("https://rhld.insurance.arkansas.gov/NPILookup?Npi=1720420037","1720420037")</f>
        <v>1720420037</v>
      </c>
      <c r="E11592" s="1" t="s">
        <v>310</v>
      </c>
      <c r="F11592" s="2"/>
      <c r="G11592" s="2"/>
      <c r="H11592" s="2"/>
    </row>
    <row r="11593" spans="1:8" x14ac:dyDescent="0.25">
      <c r="A11593" s="1"/>
      <c r="B11593" s="1" t="s">
        <v>5614</v>
      </c>
      <c r="C11593" s="1" t="s">
        <v>5615</v>
      </c>
      <c r="D11593" s="22" t="str">
        <f>HYPERLINK("https://rhld.insurance.arkansas.gov/NPILookup?Npi=1720423577","1720423577")</f>
        <v>1720423577</v>
      </c>
      <c r="E11593" s="1" t="s">
        <v>20536</v>
      </c>
      <c r="F11593" s="2"/>
      <c r="G11593" s="2"/>
      <c r="H11593" s="2"/>
    </row>
    <row r="11594" spans="1:8" x14ac:dyDescent="0.25">
      <c r="A11594" s="1"/>
      <c r="B11594" s="1" t="s">
        <v>5614</v>
      </c>
      <c r="C11594" s="1" t="s">
        <v>5615</v>
      </c>
      <c r="D11594" s="22" t="str">
        <f>HYPERLINK("https://rhld.insurance.arkansas.gov/NPILookup?Npi=1720430200","1720430200")</f>
        <v>1720430200</v>
      </c>
      <c r="E11594" s="1" t="s">
        <v>11287</v>
      </c>
      <c r="F11594" s="2"/>
      <c r="G11594" s="2"/>
      <c r="H11594" s="2"/>
    </row>
    <row r="11595" spans="1:8" x14ac:dyDescent="0.25">
      <c r="A11595" s="1"/>
      <c r="B11595" s="1" t="s">
        <v>5614</v>
      </c>
      <c r="C11595" s="1" t="s">
        <v>5615</v>
      </c>
      <c r="D11595" s="22" t="str">
        <f>HYPERLINK("https://rhld.insurance.arkansas.gov/NPILookup?Npi=1730139692","1730139692")</f>
        <v>1730139692</v>
      </c>
      <c r="E11595" s="1" t="s">
        <v>20537</v>
      </c>
      <c r="F11595" s="2"/>
      <c r="G11595" s="2"/>
      <c r="H11595" s="2"/>
    </row>
    <row r="11596" spans="1:8" x14ac:dyDescent="0.25">
      <c r="A11596" s="1"/>
      <c r="B11596" s="1" t="s">
        <v>5614</v>
      </c>
      <c r="C11596" s="1" t="s">
        <v>5615</v>
      </c>
      <c r="D11596" s="22" t="str">
        <f>HYPERLINK("https://rhld.insurance.arkansas.gov/NPILookup?Npi=1730142530","1730142530")</f>
        <v>1730142530</v>
      </c>
      <c r="E11596" s="1" t="s">
        <v>3625</v>
      </c>
      <c r="F11596" s="2"/>
      <c r="G11596" s="2"/>
      <c r="H11596" s="2"/>
    </row>
    <row r="11597" spans="1:8" x14ac:dyDescent="0.25">
      <c r="A11597" s="1"/>
      <c r="B11597" s="1" t="s">
        <v>5614</v>
      </c>
      <c r="C11597" s="1" t="s">
        <v>5615</v>
      </c>
      <c r="D11597" s="22" t="str">
        <f>HYPERLINK("https://rhld.insurance.arkansas.gov/NPILookup?Npi=1730146028","1730146028")</f>
        <v>1730146028</v>
      </c>
      <c r="E11597" s="1" t="s">
        <v>20538</v>
      </c>
      <c r="F11597" s="2"/>
      <c r="G11597" s="2"/>
      <c r="H11597" s="2"/>
    </row>
    <row r="11598" spans="1:8" x14ac:dyDescent="0.25">
      <c r="A11598" s="1"/>
      <c r="B11598" s="1" t="s">
        <v>5614</v>
      </c>
      <c r="C11598" s="1" t="s">
        <v>5615</v>
      </c>
      <c r="D11598" s="22" t="str">
        <f>HYPERLINK("https://rhld.insurance.arkansas.gov/NPILookup?Npi=1730185588","1730185588")</f>
        <v>1730185588</v>
      </c>
      <c r="E11598" s="1" t="s">
        <v>20539</v>
      </c>
      <c r="F11598" s="2"/>
      <c r="G11598" s="2"/>
      <c r="H11598" s="2"/>
    </row>
    <row r="11599" spans="1:8" x14ac:dyDescent="0.25">
      <c r="A11599" s="1"/>
      <c r="B11599" s="1" t="s">
        <v>5614</v>
      </c>
      <c r="C11599" s="1" t="s">
        <v>5615</v>
      </c>
      <c r="D11599" s="22" t="str">
        <f>HYPERLINK("https://rhld.insurance.arkansas.gov/NPILookup?Npi=1730328410","1730328410")</f>
        <v>1730328410</v>
      </c>
      <c r="E11599" s="1" t="s">
        <v>31765</v>
      </c>
      <c r="F11599" s="2"/>
      <c r="G11599" s="2"/>
      <c r="H11599" s="2"/>
    </row>
    <row r="11600" spans="1:8" x14ac:dyDescent="0.25">
      <c r="A11600" s="1"/>
      <c r="B11600" s="1" t="s">
        <v>5614</v>
      </c>
      <c r="C11600" s="1" t="s">
        <v>5615</v>
      </c>
      <c r="D11600" s="22" t="str">
        <f>HYPERLINK("https://rhld.insurance.arkansas.gov/NPILookup?Npi=1730556580","1730556580")</f>
        <v>1730556580</v>
      </c>
      <c r="E11600" s="1" t="s">
        <v>3626</v>
      </c>
      <c r="F11600" s="2"/>
      <c r="G11600" s="2"/>
      <c r="H11600" s="2"/>
    </row>
    <row r="11601" spans="1:8" x14ac:dyDescent="0.25">
      <c r="A11601" s="1"/>
      <c r="B11601" s="1" t="s">
        <v>5614</v>
      </c>
      <c r="C11601" s="1" t="s">
        <v>5615</v>
      </c>
      <c r="D11601" s="22" t="str">
        <f>HYPERLINK("https://rhld.insurance.arkansas.gov/NPILookup?Npi=1740224898","1740224898")</f>
        <v>1740224898</v>
      </c>
      <c r="E11601" s="1" t="s">
        <v>20540</v>
      </c>
      <c r="F11601" s="2"/>
      <c r="G11601" s="2"/>
      <c r="H11601" s="2"/>
    </row>
    <row r="11602" spans="1:8" x14ac:dyDescent="0.25">
      <c r="A11602" s="1"/>
      <c r="B11602" s="1" t="s">
        <v>5614</v>
      </c>
      <c r="C11602" s="1" t="s">
        <v>5615</v>
      </c>
      <c r="D11602" s="22" t="str">
        <f>HYPERLINK("https://rhld.insurance.arkansas.gov/NPILookup?Npi=1740251867","1740251867")</f>
        <v>1740251867</v>
      </c>
      <c r="E11602" s="1" t="s">
        <v>468</v>
      </c>
      <c r="F11602" s="2"/>
      <c r="G11602" s="2"/>
      <c r="H11602" s="2"/>
    </row>
    <row r="11603" spans="1:8" x14ac:dyDescent="0.25">
      <c r="A11603" s="1"/>
      <c r="B11603" s="1" t="s">
        <v>5614</v>
      </c>
      <c r="C11603" s="1" t="s">
        <v>5615</v>
      </c>
      <c r="D11603" s="22" t="str">
        <f>HYPERLINK("https://rhld.insurance.arkansas.gov/NPILookup?Npi=1740275775","1740275775")</f>
        <v>1740275775</v>
      </c>
      <c r="E11603" s="1" t="s">
        <v>470</v>
      </c>
      <c r="F11603" s="2"/>
      <c r="G11603" s="2"/>
      <c r="H11603" s="2"/>
    </row>
    <row r="11604" spans="1:8" x14ac:dyDescent="0.25">
      <c r="A11604" s="1"/>
      <c r="B11604" s="1" t="s">
        <v>5614</v>
      </c>
      <c r="C11604" s="1" t="s">
        <v>5615</v>
      </c>
      <c r="D11604" s="22" t="str">
        <f>HYPERLINK("https://rhld.insurance.arkansas.gov/NPILookup?Npi=1740400472","1740400472")</f>
        <v>1740400472</v>
      </c>
      <c r="E11604" s="1" t="s">
        <v>20541</v>
      </c>
      <c r="F11604" s="2"/>
      <c r="G11604" s="2"/>
      <c r="H11604" s="2"/>
    </row>
    <row r="11605" spans="1:8" x14ac:dyDescent="0.25">
      <c r="A11605" s="1"/>
      <c r="B11605" s="1" t="s">
        <v>5614</v>
      </c>
      <c r="C11605" s="1" t="s">
        <v>5615</v>
      </c>
      <c r="D11605" s="22" t="str">
        <f>HYPERLINK("https://rhld.insurance.arkansas.gov/NPILookup?Npi=1750346383","1750346383")</f>
        <v>1750346383</v>
      </c>
      <c r="E11605" s="1" t="s">
        <v>417</v>
      </c>
      <c r="F11605" s="2"/>
      <c r="G11605" s="2"/>
      <c r="H11605" s="2"/>
    </row>
    <row r="11606" spans="1:8" x14ac:dyDescent="0.25">
      <c r="A11606" s="1"/>
      <c r="B11606" s="1" t="s">
        <v>5614</v>
      </c>
      <c r="C11606" s="1" t="s">
        <v>5615</v>
      </c>
      <c r="D11606" s="22" t="str">
        <f>HYPERLINK("https://rhld.insurance.arkansas.gov/NPILookup?Npi=1750378691","1750378691")</f>
        <v>1750378691</v>
      </c>
      <c r="E11606" s="1" t="s">
        <v>3627</v>
      </c>
      <c r="F11606" s="2"/>
      <c r="G11606" s="2"/>
      <c r="H11606" s="2"/>
    </row>
    <row r="11607" spans="1:8" x14ac:dyDescent="0.25">
      <c r="A11607" s="1"/>
      <c r="B11607" s="1" t="s">
        <v>5614</v>
      </c>
      <c r="C11607" s="1" t="s">
        <v>5615</v>
      </c>
      <c r="D11607" s="22" t="str">
        <f>HYPERLINK("https://rhld.insurance.arkansas.gov/NPILookup?Npi=1750397675","1750397675")</f>
        <v>1750397675</v>
      </c>
      <c r="E11607" s="1" t="s">
        <v>20542</v>
      </c>
      <c r="F11607" s="2"/>
      <c r="G11607" s="2"/>
      <c r="H11607" s="2"/>
    </row>
    <row r="11608" spans="1:8" x14ac:dyDescent="0.25">
      <c r="A11608" s="1"/>
      <c r="B11608" s="1" t="s">
        <v>5614</v>
      </c>
      <c r="C11608" s="1" t="s">
        <v>5615</v>
      </c>
      <c r="D11608" s="22" t="str">
        <f>HYPERLINK("https://rhld.insurance.arkansas.gov/NPILookup?Npi=1750606570","1750606570")</f>
        <v>1750606570</v>
      </c>
      <c r="E11608" s="1" t="s">
        <v>20543</v>
      </c>
      <c r="F11608" s="2"/>
      <c r="G11608" s="2"/>
      <c r="H11608" s="2"/>
    </row>
    <row r="11609" spans="1:8" x14ac:dyDescent="0.25">
      <c r="A11609" s="1"/>
      <c r="B11609" s="1" t="s">
        <v>5614</v>
      </c>
      <c r="C11609" s="1" t="s">
        <v>5615</v>
      </c>
      <c r="D11609" s="22" t="str">
        <f>HYPERLINK("https://rhld.insurance.arkansas.gov/NPILookup?Npi=1750732616","1750732616")</f>
        <v>1750732616</v>
      </c>
      <c r="E11609" s="1" t="s">
        <v>11288</v>
      </c>
      <c r="F11609" s="2"/>
      <c r="G11609" s="2"/>
      <c r="H11609" s="2"/>
    </row>
    <row r="11610" spans="1:8" x14ac:dyDescent="0.25">
      <c r="A11610" s="1"/>
      <c r="B11610" s="1" t="s">
        <v>5614</v>
      </c>
      <c r="C11610" s="1" t="s">
        <v>5615</v>
      </c>
      <c r="D11610" s="22" t="str">
        <f>HYPERLINK("https://rhld.insurance.arkansas.gov/NPILookup?Npi=1750754545","1750754545")</f>
        <v>1750754545</v>
      </c>
      <c r="E11610" s="1" t="s">
        <v>11289</v>
      </c>
      <c r="F11610" s="2"/>
      <c r="G11610" s="2"/>
      <c r="H11610" s="2"/>
    </row>
    <row r="11611" spans="1:8" x14ac:dyDescent="0.25">
      <c r="A11611" s="1"/>
      <c r="B11611" s="1" t="s">
        <v>5614</v>
      </c>
      <c r="C11611" s="1" t="s">
        <v>5615</v>
      </c>
      <c r="D11611" s="22" t="str">
        <f>HYPERLINK("https://rhld.insurance.arkansas.gov/NPILookup?Npi=1750919981","1750919981")</f>
        <v>1750919981</v>
      </c>
      <c r="E11611" s="1" t="s">
        <v>20544</v>
      </c>
      <c r="F11611" s="2"/>
      <c r="G11611" s="2"/>
      <c r="H11611" s="2"/>
    </row>
    <row r="11612" spans="1:8" x14ac:dyDescent="0.25">
      <c r="A11612" s="1"/>
      <c r="B11612" s="1" t="s">
        <v>5614</v>
      </c>
      <c r="C11612" s="1" t="s">
        <v>5615</v>
      </c>
      <c r="D11612" s="22" t="str">
        <f>HYPERLINK("https://rhld.insurance.arkansas.gov/NPILookup?Npi=1760425854","1760425854")</f>
        <v>1760425854</v>
      </c>
      <c r="E11612" s="1" t="s">
        <v>11290</v>
      </c>
      <c r="F11612" s="2"/>
      <c r="G11612" s="2"/>
      <c r="H11612" s="2"/>
    </row>
    <row r="11613" spans="1:8" x14ac:dyDescent="0.25">
      <c r="A11613" s="1"/>
      <c r="B11613" s="1" t="s">
        <v>5614</v>
      </c>
      <c r="C11613" s="1" t="s">
        <v>5615</v>
      </c>
      <c r="D11613" s="22" t="str">
        <f>HYPERLINK("https://rhld.insurance.arkansas.gov/NPILookup?Npi=1760462584","1760462584")</f>
        <v>1760462584</v>
      </c>
      <c r="E11613" s="1" t="s">
        <v>20545</v>
      </c>
      <c r="F11613" s="2"/>
      <c r="G11613" s="2"/>
      <c r="H11613" s="2"/>
    </row>
    <row r="11614" spans="1:8" x14ac:dyDescent="0.25">
      <c r="A11614" s="1"/>
      <c r="B11614" s="1" t="s">
        <v>5614</v>
      </c>
      <c r="C11614" s="1" t="s">
        <v>5615</v>
      </c>
      <c r="D11614" s="22" t="str">
        <f>HYPERLINK("https://rhld.insurance.arkansas.gov/NPILookup?Npi=1760488498","1760488498")</f>
        <v>1760488498</v>
      </c>
      <c r="E11614" s="1" t="s">
        <v>3629</v>
      </c>
      <c r="F11614" s="2"/>
      <c r="G11614" s="2"/>
      <c r="H11614" s="2"/>
    </row>
    <row r="11615" spans="1:8" x14ac:dyDescent="0.25">
      <c r="A11615" s="1"/>
      <c r="B11615" s="1" t="s">
        <v>5614</v>
      </c>
      <c r="C11615" s="1" t="s">
        <v>5615</v>
      </c>
      <c r="D11615" s="22" t="str">
        <f>HYPERLINK("https://rhld.insurance.arkansas.gov/NPILookup?Npi=1760614598","1760614598")</f>
        <v>1760614598</v>
      </c>
      <c r="E11615" s="1" t="s">
        <v>11291</v>
      </c>
      <c r="F11615" s="2"/>
      <c r="G11615" s="2"/>
      <c r="H11615" s="2"/>
    </row>
    <row r="11616" spans="1:8" x14ac:dyDescent="0.25">
      <c r="A11616" s="1"/>
      <c r="B11616" s="1" t="s">
        <v>5614</v>
      </c>
      <c r="C11616" s="1" t="s">
        <v>5615</v>
      </c>
      <c r="D11616" s="22" t="str">
        <f>HYPERLINK("https://rhld.insurance.arkansas.gov/NPILookup?Npi=1760672331","1760672331")</f>
        <v>1760672331</v>
      </c>
      <c r="E11616" s="1" t="s">
        <v>2574</v>
      </c>
      <c r="F11616" s="2"/>
      <c r="G11616" s="2"/>
      <c r="H11616" s="2"/>
    </row>
    <row r="11617" spans="1:8" x14ac:dyDescent="0.25">
      <c r="A11617" s="1"/>
      <c r="B11617" s="1" t="s">
        <v>5614</v>
      </c>
      <c r="C11617" s="1" t="s">
        <v>5615</v>
      </c>
      <c r="D11617" s="22" t="str">
        <f>HYPERLINK("https://rhld.insurance.arkansas.gov/NPILookup?Npi=1770144495","1770144495")</f>
        <v>1770144495</v>
      </c>
      <c r="E11617" s="1" t="s">
        <v>20546</v>
      </c>
      <c r="F11617" s="2"/>
      <c r="G11617" s="2"/>
      <c r="H11617" s="2"/>
    </row>
    <row r="11618" spans="1:8" x14ac:dyDescent="0.25">
      <c r="A11618" s="1"/>
      <c r="B11618" s="1" t="s">
        <v>5614</v>
      </c>
      <c r="C11618" s="1" t="s">
        <v>5615</v>
      </c>
      <c r="D11618" s="22" t="str">
        <f>HYPERLINK("https://rhld.insurance.arkansas.gov/NPILookup?Npi=1770504458","1770504458")</f>
        <v>1770504458</v>
      </c>
      <c r="E11618" s="1" t="s">
        <v>20547</v>
      </c>
      <c r="F11618" s="2"/>
      <c r="G11618" s="2"/>
      <c r="H11618" s="2"/>
    </row>
    <row r="11619" spans="1:8" x14ac:dyDescent="0.25">
      <c r="A11619" s="1"/>
      <c r="B11619" s="1" t="s">
        <v>5614</v>
      </c>
      <c r="C11619" s="1" t="s">
        <v>5615</v>
      </c>
      <c r="D11619" s="22" t="str">
        <f>HYPERLINK("https://rhld.insurance.arkansas.gov/NPILookup?Npi=1770542508","1770542508")</f>
        <v>1770542508</v>
      </c>
      <c r="E11619" s="1" t="s">
        <v>5661</v>
      </c>
      <c r="F11619" s="2"/>
      <c r="G11619" s="2"/>
      <c r="H11619" s="2"/>
    </row>
    <row r="11620" spans="1:8" x14ac:dyDescent="0.25">
      <c r="A11620" s="1"/>
      <c r="B11620" s="1" t="s">
        <v>5614</v>
      </c>
      <c r="C11620" s="1" t="s">
        <v>5615</v>
      </c>
      <c r="D11620" s="22" t="str">
        <f>HYPERLINK("https://rhld.insurance.arkansas.gov/NPILookup?Npi=1770559403","1770559403")</f>
        <v>1770559403</v>
      </c>
      <c r="E11620" s="1" t="s">
        <v>326</v>
      </c>
      <c r="F11620" s="2"/>
      <c r="G11620" s="2"/>
      <c r="H11620" s="2"/>
    </row>
    <row r="11621" spans="1:8" x14ac:dyDescent="0.25">
      <c r="A11621" s="1"/>
      <c r="B11621" s="1" t="s">
        <v>5614</v>
      </c>
      <c r="C11621" s="1" t="s">
        <v>5615</v>
      </c>
      <c r="D11621" s="22" t="str">
        <f>HYPERLINK("https://rhld.insurance.arkansas.gov/NPILookup?Npi=1770578239","1770578239")</f>
        <v>1770578239</v>
      </c>
      <c r="E11621" s="1" t="s">
        <v>5662</v>
      </c>
      <c r="F11621" s="2"/>
      <c r="G11621" s="2"/>
      <c r="H11621" s="2"/>
    </row>
    <row r="11622" spans="1:8" x14ac:dyDescent="0.25">
      <c r="A11622" s="1"/>
      <c r="B11622" s="1" t="s">
        <v>5614</v>
      </c>
      <c r="C11622" s="1" t="s">
        <v>5615</v>
      </c>
      <c r="D11622" s="22" t="str">
        <f>HYPERLINK("https://rhld.insurance.arkansas.gov/NPILookup?Npi=1770579179","1770579179")</f>
        <v>1770579179</v>
      </c>
      <c r="E11622" s="1" t="s">
        <v>5663</v>
      </c>
      <c r="F11622" s="2"/>
      <c r="G11622" s="2"/>
      <c r="H11622" s="2"/>
    </row>
    <row r="11623" spans="1:8" x14ac:dyDescent="0.25">
      <c r="A11623" s="1"/>
      <c r="B11623" s="1" t="s">
        <v>5614</v>
      </c>
      <c r="C11623" s="1" t="s">
        <v>5615</v>
      </c>
      <c r="D11623" s="22" t="str">
        <f>HYPERLINK("https://rhld.insurance.arkansas.gov/NPILookup?Npi=1770586521","1770586521")</f>
        <v>1770586521</v>
      </c>
      <c r="E11623" s="1" t="s">
        <v>20548</v>
      </c>
      <c r="F11623" s="2"/>
      <c r="G11623" s="2"/>
      <c r="H11623" s="2"/>
    </row>
    <row r="11624" spans="1:8" x14ac:dyDescent="0.25">
      <c r="A11624" s="1"/>
      <c r="B11624" s="1" t="s">
        <v>5614</v>
      </c>
      <c r="C11624" s="1" t="s">
        <v>5615</v>
      </c>
      <c r="D11624" s="22" t="str">
        <f>HYPERLINK("https://rhld.insurance.arkansas.gov/NPILookup?Npi=1770660748","1770660748")</f>
        <v>1770660748</v>
      </c>
      <c r="E11624" s="1" t="s">
        <v>20549</v>
      </c>
      <c r="F11624" s="2"/>
      <c r="G11624" s="2"/>
      <c r="H11624" s="2"/>
    </row>
    <row r="11625" spans="1:8" x14ac:dyDescent="0.25">
      <c r="A11625" s="1"/>
      <c r="B11625" s="1" t="s">
        <v>5614</v>
      </c>
      <c r="C11625" s="1" t="s">
        <v>5615</v>
      </c>
      <c r="D11625" s="22" t="str">
        <f>HYPERLINK("https://rhld.insurance.arkansas.gov/NPILookup?Npi=1770701690","1770701690")</f>
        <v>1770701690</v>
      </c>
      <c r="E11625" s="1" t="s">
        <v>20550</v>
      </c>
      <c r="F11625" s="2"/>
      <c r="G11625" s="2"/>
      <c r="H11625" s="2"/>
    </row>
    <row r="11626" spans="1:8" x14ac:dyDescent="0.25">
      <c r="A11626" s="1"/>
      <c r="B11626" s="1" t="s">
        <v>5614</v>
      </c>
      <c r="C11626" s="1" t="s">
        <v>5615</v>
      </c>
      <c r="D11626" s="22" t="str">
        <f>HYPERLINK("https://rhld.insurance.arkansas.gov/NPILookup?Npi=1770740896","1770740896")</f>
        <v>1770740896</v>
      </c>
      <c r="E11626" s="1" t="s">
        <v>20551</v>
      </c>
      <c r="F11626" s="2"/>
      <c r="G11626" s="2"/>
      <c r="H11626" s="2"/>
    </row>
    <row r="11627" spans="1:8" x14ac:dyDescent="0.25">
      <c r="A11627" s="1"/>
      <c r="B11627" s="1" t="s">
        <v>5614</v>
      </c>
      <c r="C11627" s="1" t="s">
        <v>5615</v>
      </c>
      <c r="D11627" s="22" t="str">
        <f>HYPERLINK("https://rhld.insurance.arkansas.gov/NPILookup?Npi=1770838401","1770838401")</f>
        <v>1770838401</v>
      </c>
      <c r="E11627" s="1" t="s">
        <v>1012</v>
      </c>
      <c r="F11627" s="2"/>
      <c r="G11627" s="2"/>
      <c r="H11627" s="2"/>
    </row>
    <row r="11628" spans="1:8" x14ac:dyDescent="0.25">
      <c r="A11628" s="1"/>
      <c r="B11628" s="1" t="s">
        <v>5614</v>
      </c>
      <c r="C11628" s="1" t="s">
        <v>5615</v>
      </c>
      <c r="D11628" s="22" t="str">
        <f>HYPERLINK("https://rhld.insurance.arkansas.gov/NPILookup?Npi=1770995201","1770995201")</f>
        <v>1770995201</v>
      </c>
      <c r="E11628" s="1" t="s">
        <v>20552</v>
      </c>
      <c r="F11628" s="2"/>
      <c r="G11628" s="2"/>
      <c r="H11628" s="2"/>
    </row>
    <row r="11629" spans="1:8" x14ac:dyDescent="0.25">
      <c r="A11629" s="1"/>
      <c r="B11629" s="1" t="s">
        <v>5614</v>
      </c>
      <c r="C11629" s="1" t="s">
        <v>5615</v>
      </c>
      <c r="D11629" s="22" t="str">
        <f>HYPERLINK("https://rhld.insurance.arkansas.gov/NPILookup?Npi=1770996845","1770996845")</f>
        <v>1770996845</v>
      </c>
      <c r="E11629" s="1" t="s">
        <v>20553</v>
      </c>
      <c r="F11629" s="2"/>
      <c r="G11629" s="2"/>
      <c r="H11629" s="2"/>
    </row>
    <row r="11630" spans="1:8" x14ac:dyDescent="0.25">
      <c r="A11630" s="1"/>
      <c r="B11630" s="1" t="s">
        <v>5614</v>
      </c>
      <c r="C11630" s="1" t="s">
        <v>5615</v>
      </c>
      <c r="D11630" s="22" t="str">
        <f>HYPERLINK("https://rhld.insurance.arkansas.gov/NPILookup?Npi=1780067587","1780067587")</f>
        <v>1780067587</v>
      </c>
      <c r="E11630" s="1" t="s">
        <v>1457</v>
      </c>
      <c r="F11630" s="2"/>
      <c r="G11630" s="2"/>
      <c r="H11630" s="2"/>
    </row>
    <row r="11631" spans="1:8" x14ac:dyDescent="0.25">
      <c r="A11631" s="1"/>
      <c r="B11631" s="1" t="s">
        <v>5614</v>
      </c>
      <c r="C11631" s="1" t="s">
        <v>5615</v>
      </c>
      <c r="D11631" s="22" t="str">
        <f>HYPERLINK("https://rhld.insurance.arkansas.gov/NPILookup?Npi=1780188193","1780188193")</f>
        <v>1780188193</v>
      </c>
      <c r="E11631" s="1" t="s">
        <v>20554</v>
      </c>
      <c r="F11631" s="2"/>
      <c r="G11631" s="2"/>
      <c r="H11631" s="2"/>
    </row>
    <row r="11632" spans="1:8" x14ac:dyDescent="0.25">
      <c r="A11632" s="1"/>
      <c r="B11632" s="1" t="s">
        <v>5614</v>
      </c>
      <c r="C11632" s="1" t="s">
        <v>5615</v>
      </c>
      <c r="D11632" s="22" t="str">
        <f>HYPERLINK("https://rhld.insurance.arkansas.gov/NPILookup?Npi=1780361907","1780361907")</f>
        <v>1780361907</v>
      </c>
      <c r="E11632" s="1" t="s">
        <v>5914</v>
      </c>
      <c r="F11632" s="2"/>
      <c r="G11632" s="2"/>
      <c r="H11632" s="2"/>
    </row>
    <row r="11633" spans="1:8" x14ac:dyDescent="0.25">
      <c r="A11633" s="1"/>
      <c r="B11633" s="1" t="s">
        <v>5614</v>
      </c>
      <c r="C11633" s="1" t="s">
        <v>5615</v>
      </c>
      <c r="D11633" s="22" t="str">
        <f>HYPERLINK("https://rhld.insurance.arkansas.gov/NPILookup?Npi=1780362939","1780362939")</f>
        <v>1780362939</v>
      </c>
      <c r="E11633" s="1" t="s">
        <v>5664</v>
      </c>
      <c r="F11633" s="2"/>
      <c r="G11633" s="2"/>
      <c r="H11633" s="2"/>
    </row>
    <row r="11634" spans="1:8" x14ac:dyDescent="0.25">
      <c r="A11634" s="1"/>
      <c r="B11634" s="1" t="s">
        <v>5614</v>
      </c>
      <c r="C11634" s="1" t="s">
        <v>5615</v>
      </c>
      <c r="D11634" s="22" t="str">
        <f>HYPERLINK("https://rhld.insurance.arkansas.gov/NPILookup?Npi=1780619718","1780619718")</f>
        <v>1780619718</v>
      </c>
      <c r="E11634" s="1" t="s">
        <v>3630</v>
      </c>
      <c r="F11634" s="2"/>
      <c r="G11634" s="2"/>
      <c r="H11634" s="2"/>
    </row>
    <row r="11635" spans="1:8" x14ac:dyDescent="0.25">
      <c r="A11635" s="1"/>
      <c r="B11635" s="1" t="s">
        <v>5614</v>
      </c>
      <c r="C11635" s="1" t="s">
        <v>5615</v>
      </c>
      <c r="D11635" s="22" t="str">
        <f>HYPERLINK("https://rhld.insurance.arkansas.gov/NPILookup?Npi=1780640219","1780640219")</f>
        <v>1780640219</v>
      </c>
      <c r="E11635" s="1" t="s">
        <v>2316</v>
      </c>
      <c r="F11635" s="2"/>
      <c r="G11635" s="2"/>
      <c r="H11635" s="2"/>
    </row>
    <row r="11636" spans="1:8" x14ac:dyDescent="0.25">
      <c r="A11636" s="1"/>
      <c r="B11636" s="1" t="s">
        <v>5614</v>
      </c>
      <c r="C11636" s="1" t="s">
        <v>5615</v>
      </c>
      <c r="D11636" s="22" t="str">
        <f>HYPERLINK("https://rhld.insurance.arkansas.gov/NPILookup?Npi=1780752022","1780752022")</f>
        <v>1780752022</v>
      </c>
      <c r="E11636" s="1" t="s">
        <v>20555</v>
      </c>
      <c r="F11636" s="2"/>
      <c r="G11636" s="2"/>
      <c r="H11636" s="2"/>
    </row>
    <row r="11637" spans="1:8" x14ac:dyDescent="0.25">
      <c r="A11637" s="1"/>
      <c r="B11637" s="1" t="s">
        <v>5614</v>
      </c>
      <c r="C11637" s="1" t="s">
        <v>5615</v>
      </c>
      <c r="D11637" s="22" t="str">
        <f>HYPERLINK("https://rhld.insurance.arkansas.gov/NPILookup?Npi=1780860551","1780860551")</f>
        <v>1780860551</v>
      </c>
      <c r="E11637" s="1" t="s">
        <v>20556</v>
      </c>
      <c r="F11637" s="2"/>
      <c r="G11637" s="2"/>
      <c r="H11637" s="2"/>
    </row>
    <row r="11638" spans="1:8" x14ac:dyDescent="0.25">
      <c r="A11638" s="1"/>
      <c r="B11638" s="1" t="s">
        <v>5614</v>
      </c>
      <c r="C11638" s="1" t="s">
        <v>5615</v>
      </c>
      <c r="D11638" s="22" t="str">
        <f>HYPERLINK("https://rhld.insurance.arkansas.gov/NPILookup?Npi=1790147155","1790147155")</f>
        <v>1790147155</v>
      </c>
      <c r="E11638" s="1" t="s">
        <v>20557</v>
      </c>
      <c r="F11638" s="2"/>
      <c r="G11638" s="2"/>
      <c r="H11638" s="2"/>
    </row>
    <row r="11639" spans="1:8" x14ac:dyDescent="0.25">
      <c r="A11639" s="1"/>
      <c r="B11639" s="1" t="s">
        <v>5614</v>
      </c>
      <c r="C11639" s="1" t="s">
        <v>5615</v>
      </c>
      <c r="D11639" s="22" t="str">
        <f>HYPERLINK("https://rhld.insurance.arkansas.gov/NPILookup?Npi=1790734499","1790734499")</f>
        <v>1790734499</v>
      </c>
      <c r="E11639" s="1" t="s">
        <v>332</v>
      </c>
      <c r="F11639" s="2"/>
      <c r="G11639" s="2"/>
      <c r="H11639" s="2"/>
    </row>
    <row r="11640" spans="1:8" x14ac:dyDescent="0.25">
      <c r="A11640" s="1"/>
      <c r="B11640" s="1" t="s">
        <v>5614</v>
      </c>
      <c r="C11640" s="1" t="s">
        <v>5615</v>
      </c>
      <c r="D11640" s="22" t="str">
        <f>HYPERLINK("https://rhld.insurance.arkansas.gov/NPILookup?Npi=1790764454","1790764454")</f>
        <v>1790764454</v>
      </c>
      <c r="E11640" s="1" t="s">
        <v>1925</v>
      </c>
      <c r="F11640" s="2"/>
      <c r="G11640" s="2"/>
      <c r="H11640" s="2"/>
    </row>
    <row r="11641" spans="1:8" x14ac:dyDescent="0.25">
      <c r="A11641" s="1"/>
      <c r="B11641" s="1" t="s">
        <v>5614</v>
      </c>
      <c r="C11641" s="1" t="s">
        <v>5615</v>
      </c>
      <c r="D11641" s="22" t="str">
        <f>HYPERLINK("https://rhld.insurance.arkansas.gov/NPILookup?Npi=1790779676","1790779676")</f>
        <v>1790779676</v>
      </c>
      <c r="E11641" s="1" t="s">
        <v>20558</v>
      </c>
      <c r="F11641" s="2"/>
      <c r="G11641" s="2"/>
      <c r="H11641" s="2"/>
    </row>
    <row r="11642" spans="1:8" x14ac:dyDescent="0.25">
      <c r="A11642" s="1"/>
      <c r="B11642" s="1" t="s">
        <v>5614</v>
      </c>
      <c r="C11642" s="1" t="s">
        <v>5615</v>
      </c>
      <c r="D11642" s="22" t="str">
        <f>HYPERLINK("https://rhld.insurance.arkansas.gov/NPILookup?Npi=1801184098","1801184098")</f>
        <v>1801184098</v>
      </c>
      <c r="E11642" s="1" t="s">
        <v>1926</v>
      </c>
      <c r="F11642" s="2"/>
      <c r="G11642" s="2"/>
      <c r="H11642" s="2"/>
    </row>
    <row r="11643" spans="1:8" x14ac:dyDescent="0.25">
      <c r="A11643" s="1"/>
      <c r="B11643" s="1" t="s">
        <v>5614</v>
      </c>
      <c r="C11643" s="1" t="s">
        <v>5615</v>
      </c>
      <c r="D11643" s="22" t="str">
        <f>HYPERLINK("https://rhld.insurance.arkansas.gov/NPILookup?Npi=1801201264","1801201264")</f>
        <v>1801201264</v>
      </c>
      <c r="E11643" s="1" t="s">
        <v>20559</v>
      </c>
      <c r="F11643" s="2"/>
      <c r="G11643" s="2"/>
      <c r="H11643" s="2"/>
    </row>
    <row r="11644" spans="1:8" x14ac:dyDescent="0.25">
      <c r="A11644" s="1"/>
      <c r="B11644" s="1" t="s">
        <v>5614</v>
      </c>
      <c r="C11644" s="1" t="s">
        <v>5615</v>
      </c>
      <c r="D11644" s="22" t="str">
        <f>HYPERLINK("https://rhld.insurance.arkansas.gov/NPILookup?Npi=1801515879","1801515879")</f>
        <v>1801515879</v>
      </c>
      <c r="E11644" s="1" t="s">
        <v>20560</v>
      </c>
      <c r="F11644" s="2"/>
      <c r="G11644" s="2"/>
      <c r="H11644" s="2"/>
    </row>
    <row r="11645" spans="1:8" x14ac:dyDescent="0.25">
      <c r="A11645" s="1"/>
      <c r="B11645" s="1" t="s">
        <v>5614</v>
      </c>
      <c r="C11645" s="1" t="s">
        <v>5615</v>
      </c>
      <c r="D11645" s="22" t="str">
        <f>HYPERLINK("https://rhld.insurance.arkansas.gov/NPILookup?Npi=1801871595","1801871595")</f>
        <v>1801871595</v>
      </c>
      <c r="E11645" s="1" t="s">
        <v>1288</v>
      </c>
      <c r="F11645" s="2"/>
      <c r="G11645" s="2"/>
      <c r="H11645" s="2"/>
    </row>
    <row r="11646" spans="1:8" x14ac:dyDescent="0.25">
      <c r="A11646" s="1"/>
      <c r="B11646" s="1" t="s">
        <v>5614</v>
      </c>
      <c r="C11646" s="1" t="s">
        <v>5615</v>
      </c>
      <c r="D11646" s="22" t="str">
        <f>HYPERLINK("https://rhld.insurance.arkansas.gov/NPILookup?Npi=1801875794","1801875794")</f>
        <v>1801875794</v>
      </c>
      <c r="E11646" s="1" t="s">
        <v>20561</v>
      </c>
      <c r="F11646" s="2"/>
      <c r="G11646" s="2"/>
      <c r="H11646" s="2"/>
    </row>
    <row r="11647" spans="1:8" x14ac:dyDescent="0.25">
      <c r="A11647" s="1"/>
      <c r="B11647" s="1" t="s">
        <v>5614</v>
      </c>
      <c r="C11647" s="1" t="s">
        <v>5615</v>
      </c>
      <c r="D11647" s="22" t="str">
        <f>HYPERLINK("https://rhld.insurance.arkansas.gov/NPILookup?Npi=1801887971","1801887971")</f>
        <v>1801887971</v>
      </c>
      <c r="E11647" s="1" t="s">
        <v>11292</v>
      </c>
      <c r="F11647" s="2"/>
      <c r="G11647" s="2"/>
      <c r="H11647" s="2"/>
    </row>
    <row r="11648" spans="1:8" x14ac:dyDescent="0.25">
      <c r="A11648" s="1"/>
      <c r="B11648" s="1" t="s">
        <v>5614</v>
      </c>
      <c r="C11648" s="1" t="s">
        <v>5615</v>
      </c>
      <c r="D11648" s="22" t="str">
        <f>HYPERLINK("https://rhld.insurance.arkansas.gov/NPILookup?Npi=1801994579","1801994579")</f>
        <v>1801994579</v>
      </c>
      <c r="E11648" s="1" t="s">
        <v>20562</v>
      </c>
      <c r="F11648" s="2"/>
      <c r="G11648" s="2"/>
      <c r="H11648" s="2"/>
    </row>
    <row r="11649" spans="1:8" x14ac:dyDescent="0.25">
      <c r="A11649" s="1"/>
      <c r="B11649" s="1" t="s">
        <v>5614</v>
      </c>
      <c r="C11649" s="1" t="s">
        <v>5615</v>
      </c>
      <c r="D11649" s="22" t="str">
        <f>HYPERLINK("https://rhld.insurance.arkansas.gov/NPILookup?Npi=1811052640","1811052640")</f>
        <v>1811052640</v>
      </c>
      <c r="E11649" s="1" t="s">
        <v>1060</v>
      </c>
      <c r="F11649" s="2"/>
      <c r="G11649" s="2"/>
      <c r="H11649" s="2"/>
    </row>
    <row r="11650" spans="1:8" x14ac:dyDescent="0.25">
      <c r="A11650" s="1"/>
      <c r="B11650" s="1" t="s">
        <v>5614</v>
      </c>
      <c r="C11650" s="1" t="s">
        <v>5615</v>
      </c>
      <c r="D11650" s="22" t="str">
        <f>HYPERLINK("https://rhld.insurance.arkansas.gov/NPILookup?Npi=1811300841","1811300841")</f>
        <v>1811300841</v>
      </c>
      <c r="E11650" s="1" t="s">
        <v>20563</v>
      </c>
      <c r="F11650" s="2"/>
      <c r="G11650" s="2"/>
      <c r="H11650" s="2"/>
    </row>
    <row r="11651" spans="1:8" x14ac:dyDescent="0.25">
      <c r="A11651" s="1"/>
      <c r="B11651" s="1" t="s">
        <v>5614</v>
      </c>
      <c r="C11651" s="1" t="s">
        <v>5615</v>
      </c>
      <c r="D11651" s="22" t="str">
        <f>HYPERLINK("https://rhld.insurance.arkansas.gov/NPILookup?Npi=1811345077","1811345077")</f>
        <v>1811345077</v>
      </c>
      <c r="E11651" s="1" t="s">
        <v>20564</v>
      </c>
      <c r="F11651" s="2"/>
      <c r="G11651" s="2"/>
      <c r="H11651" s="2"/>
    </row>
    <row r="11652" spans="1:8" x14ac:dyDescent="0.25">
      <c r="A11652" s="1"/>
      <c r="B11652" s="1" t="s">
        <v>5614</v>
      </c>
      <c r="C11652" s="1" t="s">
        <v>5615</v>
      </c>
      <c r="D11652" s="22" t="str">
        <f>HYPERLINK("https://rhld.insurance.arkansas.gov/NPILookup?Npi=1811493729","1811493729")</f>
        <v>1811493729</v>
      </c>
      <c r="E11652" s="1" t="s">
        <v>20565</v>
      </c>
      <c r="F11652" s="2"/>
      <c r="G11652" s="2"/>
      <c r="H11652" s="2"/>
    </row>
    <row r="11653" spans="1:8" x14ac:dyDescent="0.25">
      <c r="A11653" s="1"/>
      <c r="B11653" s="1" t="s">
        <v>5614</v>
      </c>
      <c r="C11653" s="1" t="s">
        <v>5615</v>
      </c>
      <c r="D11653" s="22" t="str">
        <f>HYPERLINK("https://rhld.insurance.arkansas.gov/NPILookup?Npi=1811552045","1811552045")</f>
        <v>1811552045</v>
      </c>
      <c r="E11653" s="1" t="s">
        <v>5665</v>
      </c>
      <c r="F11653" s="2"/>
      <c r="G11653" s="2"/>
      <c r="H11653" s="2"/>
    </row>
    <row r="11654" spans="1:8" x14ac:dyDescent="0.25">
      <c r="A11654" s="1"/>
      <c r="B11654" s="1" t="s">
        <v>5614</v>
      </c>
      <c r="C11654" s="1" t="s">
        <v>5615</v>
      </c>
      <c r="D11654" s="22" t="str">
        <f>HYPERLINK("https://rhld.insurance.arkansas.gov/NPILookup?Npi=1811578602","1811578602")</f>
        <v>1811578602</v>
      </c>
      <c r="E11654" s="1" t="s">
        <v>20566</v>
      </c>
      <c r="F11654" s="2"/>
      <c r="G11654" s="2"/>
      <c r="H11654" s="2"/>
    </row>
    <row r="11655" spans="1:8" x14ac:dyDescent="0.25">
      <c r="A11655" s="1"/>
      <c r="B11655" s="1" t="s">
        <v>5614</v>
      </c>
      <c r="C11655" s="1" t="s">
        <v>5615</v>
      </c>
      <c r="D11655" s="22" t="str">
        <f>HYPERLINK("https://rhld.insurance.arkansas.gov/NPILookup?Npi=1811973779","1811973779")</f>
        <v>1811973779</v>
      </c>
      <c r="E11655" s="1" t="s">
        <v>3631</v>
      </c>
      <c r="F11655" s="2"/>
      <c r="G11655" s="2"/>
      <c r="H11655" s="2"/>
    </row>
    <row r="11656" spans="1:8" x14ac:dyDescent="0.25">
      <c r="A11656" s="1"/>
      <c r="B11656" s="1" t="s">
        <v>5614</v>
      </c>
      <c r="C11656" s="1" t="s">
        <v>5615</v>
      </c>
      <c r="D11656" s="22" t="str">
        <f>HYPERLINK("https://rhld.insurance.arkansas.gov/NPILookup?Npi=1821035569","1821035569")</f>
        <v>1821035569</v>
      </c>
      <c r="E11656" s="1" t="s">
        <v>1167</v>
      </c>
      <c r="F11656" s="2"/>
      <c r="G11656" s="2"/>
      <c r="H11656" s="2"/>
    </row>
    <row r="11657" spans="1:8" x14ac:dyDescent="0.25">
      <c r="A11657" s="1"/>
      <c r="B11657" s="1" t="s">
        <v>5614</v>
      </c>
      <c r="C11657" s="1" t="s">
        <v>5615</v>
      </c>
      <c r="D11657" s="22" t="str">
        <f>HYPERLINK("https://rhld.insurance.arkansas.gov/NPILookup?Npi=1821185091","1821185091")</f>
        <v>1821185091</v>
      </c>
      <c r="E11657" s="1" t="s">
        <v>1071</v>
      </c>
      <c r="F11657" s="2"/>
      <c r="G11657" s="2"/>
      <c r="H11657" s="2"/>
    </row>
    <row r="11658" spans="1:8" x14ac:dyDescent="0.25">
      <c r="A11658" s="1"/>
      <c r="B11658" s="1" t="s">
        <v>5614</v>
      </c>
      <c r="C11658" s="1" t="s">
        <v>5615</v>
      </c>
      <c r="D11658" s="22" t="str">
        <f>HYPERLINK("https://rhld.insurance.arkansas.gov/NPILookup?Npi=1821188319","1821188319")</f>
        <v>1821188319</v>
      </c>
      <c r="E11658" s="1" t="s">
        <v>20567</v>
      </c>
      <c r="F11658" s="2"/>
      <c r="G11658" s="2"/>
      <c r="H11658" s="2"/>
    </row>
    <row r="11659" spans="1:8" x14ac:dyDescent="0.25">
      <c r="A11659" s="1"/>
      <c r="B11659" s="1" t="s">
        <v>5614</v>
      </c>
      <c r="C11659" s="1" t="s">
        <v>5615</v>
      </c>
      <c r="D11659" s="22" t="str">
        <f>HYPERLINK("https://rhld.insurance.arkansas.gov/NPILookup?Npi=1821228552","1821228552")</f>
        <v>1821228552</v>
      </c>
      <c r="E11659" s="1" t="s">
        <v>20568</v>
      </c>
      <c r="F11659" s="2"/>
      <c r="G11659" s="2"/>
      <c r="H11659" s="2"/>
    </row>
    <row r="11660" spans="1:8" x14ac:dyDescent="0.25">
      <c r="A11660" s="1"/>
      <c r="B11660" s="1" t="s">
        <v>5614</v>
      </c>
      <c r="C11660" s="1" t="s">
        <v>5615</v>
      </c>
      <c r="D11660" s="22" t="str">
        <f>HYPERLINK("https://rhld.insurance.arkansas.gov/NPILookup?Npi=1821345562","1821345562")</f>
        <v>1821345562</v>
      </c>
      <c r="E11660" s="1" t="s">
        <v>20569</v>
      </c>
      <c r="F11660" s="2"/>
      <c r="G11660" s="2"/>
      <c r="H11660" s="2"/>
    </row>
    <row r="11661" spans="1:8" x14ac:dyDescent="0.25">
      <c r="A11661" s="1"/>
      <c r="B11661" s="1" t="s">
        <v>5614</v>
      </c>
      <c r="C11661" s="1" t="s">
        <v>5615</v>
      </c>
      <c r="D11661" s="22" t="str">
        <f>HYPERLINK("https://rhld.insurance.arkansas.gov/NPILookup?Npi=1821420902","1821420902")</f>
        <v>1821420902</v>
      </c>
      <c r="E11661" s="1" t="s">
        <v>20570</v>
      </c>
      <c r="F11661" s="2"/>
      <c r="G11661" s="2"/>
      <c r="H11661" s="2"/>
    </row>
    <row r="11662" spans="1:8" x14ac:dyDescent="0.25">
      <c r="A11662" s="1"/>
      <c r="B11662" s="1" t="s">
        <v>5614</v>
      </c>
      <c r="C11662" s="1" t="s">
        <v>5615</v>
      </c>
      <c r="D11662" s="22" t="str">
        <f>HYPERLINK("https://rhld.insurance.arkansas.gov/NPILookup?Npi=1821452681","1821452681")</f>
        <v>1821452681</v>
      </c>
      <c r="E11662" s="1" t="s">
        <v>5666</v>
      </c>
      <c r="F11662" s="2"/>
      <c r="G11662" s="2"/>
      <c r="H11662" s="2"/>
    </row>
    <row r="11663" spans="1:8" x14ac:dyDescent="0.25">
      <c r="A11663" s="1"/>
      <c r="B11663" s="1" t="s">
        <v>5614</v>
      </c>
      <c r="C11663" s="1" t="s">
        <v>5615</v>
      </c>
      <c r="D11663" s="22" t="str">
        <f>HYPERLINK("https://rhld.insurance.arkansas.gov/NPILookup?Npi=1821551714","1821551714")</f>
        <v>1821551714</v>
      </c>
      <c r="E11663" s="1" t="s">
        <v>20571</v>
      </c>
      <c r="F11663" s="2"/>
      <c r="G11663" s="2"/>
      <c r="H11663" s="2"/>
    </row>
    <row r="11664" spans="1:8" x14ac:dyDescent="0.25">
      <c r="A11664" s="1"/>
      <c r="B11664" s="1" t="s">
        <v>5614</v>
      </c>
      <c r="C11664" s="1" t="s">
        <v>5615</v>
      </c>
      <c r="D11664" s="22" t="str">
        <f>HYPERLINK("https://rhld.insurance.arkansas.gov/NPILookup?Npi=1821860354","1821860354")</f>
        <v>1821860354</v>
      </c>
      <c r="E11664" s="1" t="s">
        <v>31766</v>
      </c>
      <c r="F11664" s="2"/>
      <c r="G11664" s="2"/>
      <c r="H11664" s="2"/>
    </row>
    <row r="11665" spans="1:8" x14ac:dyDescent="0.25">
      <c r="A11665" s="1"/>
      <c r="B11665" s="1" t="s">
        <v>5614</v>
      </c>
      <c r="C11665" s="1" t="s">
        <v>5615</v>
      </c>
      <c r="D11665" s="22" t="str">
        <f>HYPERLINK("https://rhld.insurance.arkansas.gov/NPILookup?Npi=1831160951","1831160951")</f>
        <v>1831160951</v>
      </c>
      <c r="E11665" s="1" t="s">
        <v>3632</v>
      </c>
      <c r="F11665" s="2"/>
      <c r="G11665" s="2"/>
      <c r="H11665" s="2"/>
    </row>
    <row r="11666" spans="1:8" x14ac:dyDescent="0.25">
      <c r="A11666" s="1"/>
      <c r="B11666" s="1" t="s">
        <v>5614</v>
      </c>
      <c r="C11666" s="1" t="s">
        <v>5615</v>
      </c>
      <c r="D11666" s="22" t="str">
        <f>HYPERLINK("https://rhld.insurance.arkansas.gov/NPILookup?Npi=1831482603","1831482603")</f>
        <v>1831482603</v>
      </c>
      <c r="E11666" s="1" t="s">
        <v>2317</v>
      </c>
      <c r="F11666" s="2"/>
      <c r="G11666" s="2"/>
      <c r="H11666" s="2"/>
    </row>
    <row r="11667" spans="1:8" x14ac:dyDescent="0.25">
      <c r="A11667" s="1"/>
      <c r="B11667" s="1" t="s">
        <v>5614</v>
      </c>
      <c r="C11667" s="1" t="s">
        <v>5615</v>
      </c>
      <c r="D11667" s="22" t="str">
        <f>HYPERLINK("https://rhld.insurance.arkansas.gov/NPILookup?Npi=1831505460","1831505460")</f>
        <v>1831505460</v>
      </c>
      <c r="E11667" s="1" t="s">
        <v>284</v>
      </c>
      <c r="F11667" s="2"/>
      <c r="G11667" s="2"/>
      <c r="H11667" s="2"/>
    </row>
    <row r="11668" spans="1:8" x14ac:dyDescent="0.25">
      <c r="A11668" s="1"/>
      <c r="B11668" s="1" t="s">
        <v>5614</v>
      </c>
      <c r="C11668" s="1" t="s">
        <v>5615</v>
      </c>
      <c r="D11668" s="22" t="str">
        <f>HYPERLINK("https://rhld.insurance.arkansas.gov/NPILookup?Npi=1841259116","1841259116")</f>
        <v>1841259116</v>
      </c>
      <c r="E11668" s="1" t="s">
        <v>3633</v>
      </c>
      <c r="F11668" s="2"/>
      <c r="G11668" s="2"/>
      <c r="H11668" s="2"/>
    </row>
    <row r="11669" spans="1:8" x14ac:dyDescent="0.25">
      <c r="A11669" s="1"/>
      <c r="B11669" s="1" t="s">
        <v>5614</v>
      </c>
      <c r="C11669" s="1" t="s">
        <v>5615</v>
      </c>
      <c r="D11669" s="22" t="str">
        <f>HYPERLINK("https://rhld.insurance.arkansas.gov/NPILookup?Npi=1841262730","1841262730")</f>
        <v>1841262730</v>
      </c>
      <c r="E11669" s="1" t="s">
        <v>20572</v>
      </c>
      <c r="F11669" s="2"/>
      <c r="G11669" s="2"/>
      <c r="H11669" s="2"/>
    </row>
    <row r="11670" spans="1:8" x14ac:dyDescent="0.25">
      <c r="A11670" s="1"/>
      <c r="B11670" s="1" t="s">
        <v>5614</v>
      </c>
      <c r="C11670" s="1" t="s">
        <v>5615</v>
      </c>
      <c r="D11670" s="22" t="str">
        <f>HYPERLINK("https://rhld.insurance.arkansas.gov/NPILookup?Npi=1841481405","1841481405")</f>
        <v>1841481405</v>
      </c>
      <c r="E11670" s="1" t="s">
        <v>1362</v>
      </c>
      <c r="F11670" s="2"/>
      <c r="G11670" s="2"/>
      <c r="H11670" s="2"/>
    </row>
    <row r="11671" spans="1:8" x14ac:dyDescent="0.25">
      <c r="A11671" s="1"/>
      <c r="B11671" s="1" t="s">
        <v>5614</v>
      </c>
      <c r="C11671" s="1" t="s">
        <v>5615</v>
      </c>
      <c r="D11671" s="22" t="str">
        <f>HYPERLINK("https://rhld.insurance.arkansas.gov/NPILookup?Npi=1841646494","1841646494")</f>
        <v>1841646494</v>
      </c>
      <c r="E11671" s="1" t="s">
        <v>20573</v>
      </c>
      <c r="F11671" s="2"/>
      <c r="G11671" s="2"/>
      <c r="H11671" s="2"/>
    </row>
    <row r="11672" spans="1:8" x14ac:dyDescent="0.25">
      <c r="A11672" s="1"/>
      <c r="B11672" s="1" t="s">
        <v>5614</v>
      </c>
      <c r="C11672" s="1" t="s">
        <v>5615</v>
      </c>
      <c r="D11672" s="22" t="str">
        <f>HYPERLINK("https://rhld.insurance.arkansas.gov/NPILookup?Npi=1841678901","1841678901")</f>
        <v>1841678901</v>
      </c>
      <c r="E11672" s="1" t="s">
        <v>20574</v>
      </c>
      <c r="F11672" s="2"/>
      <c r="G11672" s="2"/>
      <c r="H11672" s="2"/>
    </row>
    <row r="11673" spans="1:8" x14ac:dyDescent="0.25">
      <c r="A11673" s="1"/>
      <c r="B11673" s="1" t="s">
        <v>5614</v>
      </c>
      <c r="C11673" s="1" t="s">
        <v>5615</v>
      </c>
      <c r="D11673" s="22" t="str">
        <f>HYPERLINK("https://rhld.insurance.arkansas.gov/NPILookup?Npi=1841786571","1841786571")</f>
        <v>1841786571</v>
      </c>
      <c r="E11673" s="1" t="s">
        <v>20575</v>
      </c>
      <c r="F11673" s="2"/>
      <c r="G11673" s="2"/>
      <c r="H11673" s="2"/>
    </row>
    <row r="11674" spans="1:8" x14ac:dyDescent="0.25">
      <c r="A11674" s="1"/>
      <c r="B11674" s="1" t="s">
        <v>5614</v>
      </c>
      <c r="C11674" s="1" t="s">
        <v>5615</v>
      </c>
      <c r="D11674" s="22" t="str">
        <f>HYPERLINK("https://rhld.insurance.arkansas.gov/NPILookup?Npi=1851373484","1851373484")</f>
        <v>1851373484</v>
      </c>
      <c r="E11674" s="1" t="s">
        <v>20576</v>
      </c>
      <c r="F11674" s="2"/>
      <c r="G11674" s="2"/>
      <c r="H11674" s="2"/>
    </row>
    <row r="11675" spans="1:8" x14ac:dyDescent="0.25">
      <c r="A11675" s="1"/>
      <c r="B11675" s="1" t="s">
        <v>5614</v>
      </c>
      <c r="C11675" s="1" t="s">
        <v>5615</v>
      </c>
      <c r="D11675" s="22" t="str">
        <f>HYPERLINK("https://rhld.insurance.arkansas.gov/NPILookup?Npi=1851395446","1851395446")</f>
        <v>1851395446</v>
      </c>
      <c r="E11675" s="1" t="s">
        <v>11293</v>
      </c>
      <c r="F11675" s="2"/>
      <c r="G11675" s="2"/>
      <c r="H11675" s="2"/>
    </row>
    <row r="11676" spans="1:8" x14ac:dyDescent="0.25">
      <c r="A11676" s="1"/>
      <c r="B11676" s="1" t="s">
        <v>5614</v>
      </c>
      <c r="C11676" s="1" t="s">
        <v>5615</v>
      </c>
      <c r="D11676" s="22" t="str">
        <f>HYPERLINK("https://rhld.insurance.arkansas.gov/NPILookup?Npi=1851777445","1851777445")</f>
        <v>1851777445</v>
      </c>
      <c r="E11676" s="1" t="s">
        <v>467</v>
      </c>
      <c r="F11676" s="2"/>
      <c r="G11676" s="2"/>
      <c r="H11676" s="2"/>
    </row>
    <row r="11677" spans="1:8" x14ac:dyDescent="0.25">
      <c r="A11677" s="1"/>
      <c r="B11677" s="1" t="s">
        <v>5614</v>
      </c>
      <c r="C11677" s="1" t="s">
        <v>5615</v>
      </c>
      <c r="D11677" s="22" t="str">
        <f>HYPERLINK("https://rhld.insurance.arkansas.gov/NPILookup?Npi=1851858252","1851858252")</f>
        <v>1851858252</v>
      </c>
      <c r="E11677" s="1" t="s">
        <v>20577</v>
      </c>
      <c r="F11677" s="2"/>
      <c r="G11677" s="2"/>
      <c r="H11677" s="2"/>
    </row>
    <row r="11678" spans="1:8" x14ac:dyDescent="0.25">
      <c r="A11678" s="1"/>
      <c r="B11678" s="1" t="s">
        <v>5614</v>
      </c>
      <c r="C11678" s="1" t="s">
        <v>5615</v>
      </c>
      <c r="D11678" s="22" t="str">
        <f>HYPERLINK("https://rhld.insurance.arkansas.gov/NPILookup?Npi=1861130304","1861130304")</f>
        <v>1861130304</v>
      </c>
      <c r="E11678" s="1" t="s">
        <v>11294</v>
      </c>
      <c r="F11678" s="2"/>
      <c r="G11678" s="2"/>
      <c r="H11678" s="2"/>
    </row>
    <row r="11679" spans="1:8" x14ac:dyDescent="0.25">
      <c r="A11679" s="1"/>
      <c r="B11679" s="1" t="s">
        <v>5614</v>
      </c>
      <c r="C11679" s="1" t="s">
        <v>5615</v>
      </c>
      <c r="D11679" s="22" t="str">
        <f>HYPERLINK("https://rhld.insurance.arkansas.gov/NPILookup?Npi=1861405243","1861405243")</f>
        <v>1861405243</v>
      </c>
      <c r="E11679" s="1" t="s">
        <v>20578</v>
      </c>
      <c r="F11679" s="2"/>
      <c r="G11679" s="2"/>
      <c r="H11679" s="2"/>
    </row>
    <row r="11680" spans="1:8" x14ac:dyDescent="0.25">
      <c r="A11680" s="1"/>
      <c r="B11680" s="1" t="s">
        <v>5614</v>
      </c>
      <c r="C11680" s="1" t="s">
        <v>5615</v>
      </c>
      <c r="D11680" s="22" t="str">
        <f>HYPERLINK("https://rhld.insurance.arkansas.gov/NPILookup?Npi=1861476707","1861476707")</f>
        <v>1861476707</v>
      </c>
      <c r="E11680" s="1" t="s">
        <v>20579</v>
      </c>
      <c r="F11680" s="2"/>
      <c r="G11680" s="2"/>
      <c r="H11680" s="2"/>
    </row>
    <row r="11681" spans="1:8" x14ac:dyDescent="0.25">
      <c r="A11681" s="1"/>
      <c r="B11681" s="1" t="s">
        <v>5614</v>
      </c>
      <c r="C11681" s="1" t="s">
        <v>5615</v>
      </c>
      <c r="D11681" s="22" t="str">
        <f>HYPERLINK("https://rhld.insurance.arkansas.gov/NPILookup?Npi=1861485427","1861485427")</f>
        <v>1861485427</v>
      </c>
      <c r="E11681" s="1" t="s">
        <v>2318</v>
      </c>
      <c r="F11681" s="2"/>
      <c r="G11681" s="2"/>
      <c r="H11681" s="2"/>
    </row>
    <row r="11682" spans="1:8" x14ac:dyDescent="0.25">
      <c r="A11682" s="1"/>
      <c r="B11682" s="1" t="s">
        <v>5614</v>
      </c>
      <c r="C11682" s="1" t="s">
        <v>5615</v>
      </c>
      <c r="D11682" s="22" t="str">
        <f>HYPERLINK("https://rhld.insurance.arkansas.gov/NPILookup?Npi=1861495780","1861495780")</f>
        <v>1861495780</v>
      </c>
      <c r="E11682" s="1" t="s">
        <v>11298</v>
      </c>
      <c r="F11682" s="2"/>
      <c r="G11682" s="2"/>
      <c r="H11682" s="2"/>
    </row>
    <row r="11683" spans="1:8" x14ac:dyDescent="0.25">
      <c r="A11683" s="1"/>
      <c r="B11683" s="1" t="s">
        <v>5614</v>
      </c>
      <c r="C11683" s="1" t="s">
        <v>5615</v>
      </c>
      <c r="D11683" s="22" t="str">
        <f>HYPERLINK("https://rhld.insurance.arkansas.gov/NPILookup?Npi=1861500175","1861500175")</f>
        <v>1861500175</v>
      </c>
      <c r="E11683" s="1" t="s">
        <v>20580</v>
      </c>
      <c r="F11683" s="2"/>
      <c r="G11683" s="2"/>
      <c r="H11683" s="2"/>
    </row>
    <row r="11684" spans="1:8" x14ac:dyDescent="0.25">
      <c r="A11684" s="1"/>
      <c r="B11684" s="1" t="s">
        <v>5614</v>
      </c>
      <c r="C11684" s="1" t="s">
        <v>5615</v>
      </c>
      <c r="D11684" s="22" t="str">
        <f>HYPERLINK("https://rhld.insurance.arkansas.gov/NPILookup?Npi=1871685065","1871685065")</f>
        <v>1871685065</v>
      </c>
      <c r="E11684" s="1" t="s">
        <v>11299</v>
      </c>
      <c r="F11684" s="2"/>
      <c r="G11684" s="2"/>
      <c r="H11684" s="2"/>
    </row>
    <row r="11685" spans="1:8" x14ac:dyDescent="0.25">
      <c r="A11685" s="1"/>
      <c r="B11685" s="1" t="s">
        <v>5614</v>
      </c>
      <c r="C11685" s="1" t="s">
        <v>5615</v>
      </c>
      <c r="D11685" s="22" t="str">
        <f>HYPERLINK("https://rhld.insurance.arkansas.gov/NPILookup?Npi=1871694877","1871694877")</f>
        <v>1871694877</v>
      </c>
      <c r="E11685" s="1" t="s">
        <v>3634</v>
      </c>
      <c r="F11685" s="2"/>
      <c r="G11685" s="2"/>
      <c r="H11685" s="2"/>
    </row>
    <row r="11686" spans="1:8" x14ac:dyDescent="0.25">
      <c r="A11686" s="1"/>
      <c r="B11686" s="1" t="s">
        <v>5614</v>
      </c>
      <c r="C11686" s="1" t="s">
        <v>5615</v>
      </c>
      <c r="D11686" s="22" t="str">
        <f>HYPERLINK("https://rhld.insurance.arkansas.gov/NPILookup?Npi=1871702340","1871702340")</f>
        <v>1871702340</v>
      </c>
      <c r="E11686" s="1" t="s">
        <v>20581</v>
      </c>
      <c r="F11686" s="2"/>
      <c r="G11686" s="2"/>
      <c r="H11686" s="2"/>
    </row>
    <row r="11687" spans="1:8" x14ac:dyDescent="0.25">
      <c r="A11687" s="1"/>
      <c r="B11687" s="1" t="s">
        <v>5614</v>
      </c>
      <c r="C11687" s="1" t="s">
        <v>5615</v>
      </c>
      <c r="D11687" s="22" t="str">
        <f>HYPERLINK("https://rhld.insurance.arkansas.gov/NPILookup?Npi=1871743195","1871743195")</f>
        <v>1871743195</v>
      </c>
      <c r="E11687" s="1" t="s">
        <v>20582</v>
      </c>
      <c r="F11687" s="2"/>
      <c r="G11687" s="2"/>
      <c r="H11687" s="2"/>
    </row>
    <row r="11688" spans="1:8" x14ac:dyDescent="0.25">
      <c r="A11688" s="1"/>
      <c r="B11688" s="1" t="s">
        <v>5614</v>
      </c>
      <c r="C11688" s="1" t="s">
        <v>5615</v>
      </c>
      <c r="D11688" s="22" t="str">
        <f>HYPERLINK("https://rhld.insurance.arkansas.gov/NPILookup?Npi=1871783258","1871783258")</f>
        <v>1871783258</v>
      </c>
      <c r="E11688" s="1" t="s">
        <v>20583</v>
      </c>
      <c r="F11688" s="2"/>
      <c r="G11688" s="2"/>
      <c r="H11688" s="2"/>
    </row>
    <row r="11689" spans="1:8" x14ac:dyDescent="0.25">
      <c r="A11689" s="1"/>
      <c r="B11689" s="1" t="s">
        <v>5614</v>
      </c>
      <c r="C11689" s="1" t="s">
        <v>5615</v>
      </c>
      <c r="D11689" s="22" t="str">
        <f>HYPERLINK("https://rhld.insurance.arkansas.gov/NPILookup?Npi=1871810606","1871810606")</f>
        <v>1871810606</v>
      </c>
      <c r="E11689" s="1" t="s">
        <v>20584</v>
      </c>
      <c r="F11689" s="2"/>
      <c r="G11689" s="2"/>
      <c r="H11689" s="2"/>
    </row>
    <row r="11690" spans="1:8" x14ac:dyDescent="0.25">
      <c r="A11690" s="1"/>
      <c r="B11690" s="1" t="s">
        <v>5614</v>
      </c>
      <c r="C11690" s="1" t="s">
        <v>5615</v>
      </c>
      <c r="D11690" s="22" t="str">
        <f>HYPERLINK("https://rhld.insurance.arkansas.gov/NPILookup?Npi=1871912204","1871912204")</f>
        <v>1871912204</v>
      </c>
      <c r="E11690" s="1" t="s">
        <v>20585</v>
      </c>
      <c r="F11690" s="2"/>
      <c r="G11690" s="2"/>
      <c r="H11690" s="2"/>
    </row>
    <row r="11691" spans="1:8" x14ac:dyDescent="0.25">
      <c r="A11691" s="1"/>
      <c r="B11691" s="1" t="s">
        <v>5614</v>
      </c>
      <c r="C11691" s="1" t="s">
        <v>5615</v>
      </c>
      <c r="D11691" s="22" t="str">
        <f>HYPERLINK("https://rhld.insurance.arkansas.gov/NPILookup?Npi=1871935122","1871935122")</f>
        <v>1871935122</v>
      </c>
      <c r="E11691" s="1" t="s">
        <v>3635</v>
      </c>
      <c r="F11691" s="2"/>
      <c r="G11691" s="2"/>
      <c r="H11691" s="2"/>
    </row>
    <row r="11692" spans="1:8" x14ac:dyDescent="0.25">
      <c r="A11692" s="1"/>
      <c r="B11692" s="1" t="s">
        <v>5614</v>
      </c>
      <c r="C11692" s="1" t="s">
        <v>5615</v>
      </c>
      <c r="D11692" s="22" t="str">
        <f>HYPERLINK("https://rhld.insurance.arkansas.gov/NPILookup?Npi=1871937870","1871937870")</f>
        <v>1871937870</v>
      </c>
      <c r="E11692" s="1" t="s">
        <v>20586</v>
      </c>
      <c r="F11692" s="2"/>
      <c r="G11692" s="2"/>
      <c r="H11692" s="2"/>
    </row>
    <row r="11693" spans="1:8" x14ac:dyDescent="0.25">
      <c r="A11693" s="1"/>
      <c r="B11693" s="1" t="s">
        <v>5614</v>
      </c>
      <c r="C11693" s="1" t="s">
        <v>5615</v>
      </c>
      <c r="D11693" s="22" t="str">
        <f>HYPERLINK("https://rhld.insurance.arkansas.gov/NPILookup?Npi=1881076651","1881076651")</f>
        <v>1881076651</v>
      </c>
      <c r="E11693" s="1" t="s">
        <v>20587</v>
      </c>
      <c r="F11693" s="2"/>
      <c r="G11693" s="2"/>
      <c r="H11693" s="2"/>
    </row>
    <row r="11694" spans="1:8" x14ac:dyDescent="0.25">
      <c r="A11694" s="1"/>
      <c r="B11694" s="1" t="s">
        <v>5614</v>
      </c>
      <c r="C11694" s="1" t="s">
        <v>5615</v>
      </c>
      <c r="D11694" s="22" t="str">
        <f>HYPERLINK("https://rhld.insurance.arkansas.gov/NPILookup?Npi=1881077675","1881077675")</f>
        <v>1881077675</v>
      </c>
      <c r="E11694" s="1" t="s">
        <v>20588</v>
      </c>
      <c r="F11694" s="2"/>
      <c r="G11694" s="2"/>
      <c r="H11694" s="2"/>
    </row>
    <row r="11695" spans="1:8" x14ac:dyDescent="0.25">
      <c r="A11695" s="1"/>
      <c r="B11695" s="1" t="s">
        <v>5614</v>
      </c>
      <c r="C11695" s="1" t="s">
        <v>5615</v>
      </c>
      <c r="D11695" s="22" t="str">
        <f>HYPERLINK("https://rhld.insurance.arkansas.gov/NPILookup?Npi=1881327963","1881327963")</f>
        <v>1881327963</v>
      </c>
      <c r="E11695" s="1" t="s">
        <v>5667</v>
      </c>
      <c r="F11695" s="2"/>
      <c r="G11695" s="2"/>
      <c r="H11695" s="2"/>
    </row>
    <row r="11696" spans="1:8" x14ac:dyDescent="0.25">
      <c r="A11696" s="1"/>
      <c r="B11696" s="1" t="s">
        <v>5614</v>
      </c>
      <c r="C11696" s="1" t="s">
        <v>5615</v>
      </c>
      <c r="D11696" s="22" t="str">
        <f>HYPERLINK("https://rhld.insurance.arkansas.gov/NPILookup?Npi=1881423655","1881423655")</f>
        <v>1881423655</v>
      </c>
      <c r="E11696" s="1" t="s">
        <v>20589</v>
      </c>
      <c r="F11696" s="2"/>
      <c r="G11696" s="2"/>
      <c r="H11696" s="2"/>
    </row>
    <row r="11697" spans="1:8" x14ac:dyDescent="0.25">
      <c r="A11697" s="1"/>
      <c r="B11697" s="1" t="s">
        <v>5614</v>
      </c>
      <c r="C11697" s="1" t="s">
        <v>5615</v>
      </c>
      <c r="D11697" s="22" t="str">
        <f>HYPERLINK("https://rhld.insurance.arkansas.gov/NPILookup?Npi=1881612059","1881612059")</f>
        <v>1881612059</v>
      </c>
      <c r="E11697" s="1" t="s">
        <v>11300</v>
      </c>
      <c r="F11697" s="2"/>
      <c r="G11697" s="2"/>
      <c r="H11697" s="2"/>
    </row>
    <row r="11698" spans="1:8" x14ac:dyDescent="0.25">
      <c r="A11698" s="1"/>
      <c r="B11698" s="1" t="s">
        <v>5614</v>
      </c>
      <c r="C11698" s="1" t="s">
        <v>5615</v>
      </c>
      <c r="D11698" s="22" t="str">
        <f>HYPERLINK("https://rhld.insurance.arkansas.gov/NPILookup?Npi=1881638328","1881638328")</f>
        <v>1881638328</v>
      </c>
      <c r="E11698" s="1" t="s">
        <v>20590</v>
      </c>
      <c r="F11698" s="2"/>
      <c r="G11698" s="2"/>
      <c r="H11698" s="2"/>
    </row>
    <row r="11699" spans="1:8" x14ac:dyDescent="0.25">
      <c r="A11699" s="1"/>
      <c r="B11699" s="1" t="s">
        <v>5614</v>
      </c>
      <c r="C11699" s="1" t="s">
        <v>5615</v>
      </c>
      <c r="D11699" s="22" t="str">
        <f>HYPERLINK("https://rhld.insurance.arkansas.gov/NPILookup?Npi=1881646198","1881646198")</f>
        <v>1881646198</v>
      </c>
      <c r="E11699" s="1" t="s">
        <v>20591</v>
      </c>
      <c r="F11699" s="2"/>
      <c r="G11699" s="2"/>
      <c r="H11699" s="2"/>
    </row>
    <row r="11700" spans="1:8" x14ac:dyDescent="0.25">
      <c r="A11700" s="1"/>
      <c r="B11700" s="1" t="s">
        <v>5614</v>
      </c>
      <c r="C11700" s="1" t="s">
        <v>5615</v>
      </c>
      <c r="D11700" s="22" t="str">
        <f>HYPERLINK("https://rhld.insurance.arkansas.gov/NPILookup?Npi=1881679033","1881679033")</f>
        <v>1881679033</v>
      </c>
      <c r="E11700" s="1" t="s">
        <v>20592</v>
      </c>
      <c r="F11700" s="2"/>
      <c r="G11700" s="2"/>
      <c r="H11700" s="2"/>
    </row>
    <row r="11701" spans="1:8" x14ac:dyDescent="0.25">
      <c r="A11701" s="1"/>
      <c r="B11701" s="1" t="s">
        <v>5614</v>
      </c>
      <c r="C11701" s="1" t="s">
        <v>5615</v>
      </c>
      <c r="D11701" s="22" t="str">
        <f>HYPERLINK("https://rhld.insurance.arkansas.gov/NPILookup?Npi=1881897817","1881897817")</f>
        <v>1881897817</v>
      </c>
      <c r="E11701" s="1" t="s">
        <v>20593</v>
      </c>
      <c r="F11701" s="2"/>
      <c r="G11701" s="2"/>
      <c r="H11701" s="2"/>
    </row>
    <row r="11702" spans="1:8" x14ac:dyDescent="0.25">
      <c r="A11702" s="1"/>
      <c r="B11702" s="1" t="s">
        <v>5614</v>
      </c>
      <c r="C11702" s="1" t="s">
        <v>5615</v>
      </c>
      <c r="D11702" s="22" t="str">
        <f>HYPERLINK("https://rhld.insurance.arkansas.gov/NPILookup?Npi=1881958437","1881958437")</f>
        <v>1881958437</v>
      </c>
      <c r="E11702" s="1" t="s">
        <v>20594</v>
      </c>
      <c r="F11702" s="2"/>
      <c r="G11702" s="2"/>
      <c r="H11702" s="2"/>
    </row>
    <row r="11703" spans="1:8" x14ac:dyDescent="0.25">
      <c r="A11703" s="1"/>
      <c r="B11703" s="1" t="s">
        <v>5614</v>
      </c>
      <c r="C11703" s="1" t="s">
        <v>5615</v>
      </c>
      <c r="D11703" s="22" t="str">
        <f>HYPERLINK("https://rhld.insurance.arkansas.gov/NPILookup?Npi=1891211025","1891211025")</f>
        <v>1891211025</v>
      </c>
      <c r="E11703" s="1" t="s">
        <v>11301</v>
      </c>
      <c r="F11703" s="2"/>
      <c r="G11703" s="2"/>
      <c r="H11703" s="2"/>
    </row>
    <row r="11704" spans="1:8" x14ac:dyDescent="0.25">
      <c r="A11704" s="1"/>
      <c r="B11704" s="1" t="s">
        <v>5614</v>
      </c>
      <c r="C11704" s="1" t="s">
        <v>5615</v>
      </c>
      <c r="D11704" s="22" t="str">
        <f>HYPERLINK("https://rhld.insurance.arkansas.gov/NPILookup?Npi=1891471140","1891471140")</f>
        <v>1891471140</v>
      </c>
      <c r="E11704" s="1" t="s">
        <v>5668</v>
      </c>
      <c r="F11704" s="2"/>
      <c r="G11704" s="2"/>
      <c r="H11704" s="2"/>
    </row>
    <row r="11705" spans="1:8" x14ac:dyDescent="0.25">
      <c r="A11705" s="1"/>
      <c r="B11705" s="1" t="s">
        <v>5614</v>
      </c>
      <c r="C11705" s="1" t="s">
        <v>5615</v>
      </c>
      <c r="D11705" s="22" t="str">
        <f>HYPERLINK("https://rhld.insurance.arkansas.gov/NPILookup?Npi=1891757399","1891757399")</f>
        <v>1891757399</v>
      </c>
      <c r="E11705" s="1" t="s">
        <v>3636</v>
      </c>
      <c r="F11705" s="2"/>
      <c r="G11705" s="2"/>
      <c r="H11705" s="2"/>
    </row>
    <row r="11706" spans="1:8" x14ac:dyDescent="0.25">
      <c r="A11706" s="1"/>
      <c r="B11706" s="1" t="s">
        <v>5614</v>
      </c>
      <c r="C11706" s="1" t="s">
        <v>5615</v>
      </c>
      <c r="D11706" s="22" t="str">
        <f>HYPERLINK("https://rhld.insurance.arkansas.gov/NPILookup?Npi=1891760773","1891760773")</f>
        <v>1891760773</v>
      </c>
      <c r="E11706" s="1" t="s">
        <v>3637</v>
      </c>
      <c r="F11706" s="2"/>
      <c r="G11706" s="2"/>
      <c r="H11706" s="2"/>
    </row>
    <row r="11707" spans="1:8" x14ac:dyDescent="0.25">
      <c r="A11707" s="1"/>
      <c r="B11707" s="1" t="s">
        <v>5614</v>
      </c>
      <c r="C11707" s="1" t="s">
        <v>5615</v>
      </c>
      <c r="D11707" s="22" t="str">
        <f>HYPERLINK("https://rhld.insurance.arkansas.gov/NPILookup?Npi=1891806782","1891806782")</f>
        <v>1891806782</v>
      </c>
      <c r="E11707" s="1" t="s">
        <v>19283</v>
      </c>
      <c r="F11707" s="2"/>
      <c r="G11707" s="2"/>
      <c r="H11707" s="2"/>
    </row>
    <row r="11708" spans="1:8" x14ac:dyDescent="0.25">
      <c r="A11708" s="1"/>
      <c r="B11708" s="1" t="s">
        <v>5614</v>
      </c>
      <c r="C11708" s="1" t="s">
        <v>5615</v>
      </c>
      <c r="D11708" s="22" t="str">
        <f>HYPERLINK("https://rhld.insurance.arkansas.gov/NPILookup?Npi=1902096589","1902096589")</f>
        <v>1902096589</v>
      </c>
      <c r="E11708" s="1" t="s">
        <v>20595</v>
      </c>
      <c r="F11708" s="2"/>
      <c r="G11708" s="2"/>
      <c r="H11708" s="2"/>
    </row>
    <row r="11709" spans="1:8" x14ac:dyDescent="0.25">
      <c r="A11709" s="1"/>
      <c r="B11709" s="1" t="s">
        <v>5614</v>
      </c>
      <c r="C11709" s="1" t="s">
        <v>5615</v>
      </c>
      <c r="D11709" s="22" t="str">
        <f>HYPERLINK("https://rhld.insurance.arkansas.gov/NPILookup?Npi=1902104227","1902104227")</f>
        <v>1902104227</v>
      </c>
      <c r="E11709" s="1" t="s">
        <v>20596</v>
      </c>
      <c r="F11709" s="2"/>
      <c r="G11709" s="2"/>
      <c r="H11709" s="2"/>
    </row>
    <row r="11710" spans="1:8" x14ac:dyDescent="0.25">
      <c r="A11710" s="1"/>
      <c r="B11710" s="1" t="s">
        <v>5614</v>
      </c>
      <c r="C11710" s="1" t="s">
        <v>5615</v>
      </c>
      <c r="D11710" s="22" t="str">
        <f>HYPERLINK("https://rhld.insurance.arkansas.gov/NPILookup?Npi=1902805534","1902805534")</f>
        <v>1902805534</v>
      </c>
      <c r="E11710" s="1" t="s">
        <v>11302</v>
      </c>
      <c r="F11710" s="2"/>
      <c r="G11710" s="2"/>
      <c r="H11710" s="2"/>
    </row>
    <row r="11711" spans="1:8" x14ac:dyDescent="0.25">
      <c r="A11711" s="1"/>
      <c r="B11711" s="1" t="s">
        <v>5614</v>
      </c>
      <c r="C11711" s="1" t="s">
        <v>5615</v>
      </c>
      <c r="D11711" s="22" t="str">
        <f>HYPERLINK("https://rhld.insurance.arkansas.gov/NPILookup?Npi=1902805823","1902805823")</f>
        <v>1902805823</v>
      </c>
      <c r="E11711" s="1" t="s">
        <v>20597</v>
      </c>
      <c r="F11711" s="2"/>
      <c r="G11711" s="2"/>
      <c r="H11711" s="2"/>
    </row>
    <row r="11712" spans="1:8" x14ac:dyDescent="0.25">
      <c r="A11712" s="1"/>
      <c r="B11712" s="1" t="s">
        <v>5614</v>
      </c>
      <c r="C11712" s="1" t="s">
        <v>5615</v>
      </c>
      <c r="D11712" s="22" t="str">
        <f>HYPERLINK("https://rhld.insurance.arkansas.gov/NPILookup?Npi=1902813314","1902813314")</f>
        <v>1902813314</v>
      </c>
      <c r="E11712" s="1" t="s">
        <v>20598</v>
      </c>
      <c r="F11712" s="2"/>
      <c r="G11712" s="2"/>
      <c r="H11712" s="2"/>
    </row>
    <row r="11713" spans="1:8" x14ac:dyDescent="0.25">
      <c r="A11713" s="1"/>
      <c r="B11713" s="1" t="s">
        <v>5614</v>
      </c>
      <c r="C11713" s="1" t="s">
        <v>5615</v>
      </c>
      <c r="D11713" s="22" t="str">
        <f>HYPERLINK("https://rhld.insurance.arkansas.gov/NPILookup?Npi=1902853393","1902853393")</f>
        <v>1902853393</v>
      </c>
      <c r="E11713" s="1" t="s">
        <v>20599</v>
      </c>
      <c r="F11713" s="2"/>
      <c r="G11713" s="2"/>
      <c r="H11713" s="2"/>
    </row>
    <row r="11714" spans="1:8" x14ac:dyDescent="0.25">
      <c r="A11714" s="1"/>
      <c r="B11714" s="1" t="s">
        <v>5614</v>
      </c>
      <c r="C11714" s="1" t="s">
        <v>5615</v>
      </c>
      <c r="D11714" s="22" t="str">
        <f>HYPERLINK("https://rhld.insurance.arkansas.gov/NPILookup?Npi=1902880214","1902880214")</f>
        <v>1902880214</v>
      </c>
      <c r="E11714" s="1" t="s">
        <v>1544</v>
      </c>
      <c r="F11714" s="2"/>
      <c r="G11714" s="2"/>
      <c r="H11714" s="2"/>
    </row>
    <row r="11715" spans="1:8" x14ac:dyDescent="0.25">
      <c r="A11715" s="1"/>
      <c r="B11715" s="1" t="s">
        <v>5614</v>
      </c>
      <c r="C11715" s="1" t="s">
        <v>5615</v>
      </c>
      <c r="D11715" s="22" t="str">
        <f>HYPERLINK("https://rhld.insurance.arkansas.gov/NPILookup?Npi=1912266404","1912266404")</f>
        <v>1912266404</v>
      </c>
      <c r="E11715" s="1" t="s">
        <v>20600</v>
      </c>
      <c r="F11715" s="2"/>
      <c r="G11715" s="2"/>
      <c r="H11715" s="2"/>
    </row>
    <row r="11716" spans="1:8" x14ac:dyDescent="0.25">
      <c r="A11716" s="1"/>
      <c r="B11716" s="1" t="s">
        <v>5614</v>
      </c>
      <c r="C11716" s="1" t="s">
        <v>5615</v>
      </c>
      <c r="D11716" s="22" t="str">
        <f>HYPERLINK("https://rhld.insurance.arkansas.gov/NPILookup?Npi=1912310392","1912310392")</f>
        <v>1912310392</v>
      </c>
      <c r="E11716" s="1" t="s">
        <v>20601</v>
      </c>
      <c r="F11716" s="2"/>
      <c r="G11716" s="2"/>
      <c r="H11716" s="2"/>
    </row>
    <row r="11717" spans="1:8" x14ac:dyDescent="0.25">
      <c r="A11717" s="1"/>
      <c r="B11717" s="1" t="s">
        <v>5614</v>
      </c>
      <c r="C11717" s="1" t="s">
        <v>5615</v>
      </c>
      <c r="D11717" s="22" t="str">
        <f>HYPERLINK("https://rhld.insurance.arkansas.gov/NPILookup?Npi=1912639261","1912639261")</f>
        <v>1912639261</v>
      </c>
      <c r="E11717" s="1" t="s">
        <v>20602</v>
      </c>
      <c r="F11717" s="2"/>
      <c r="G11717" s="2"/>
      <c r="H11717" s="2"/>
    </row>
    <row r="11718" spans="1:8" x14ac:dyDescent="0.25">
      <c r="A11718" s="1"/>
      <c r="B11718" s="1" t="s">
        <v>5614</v>
      </c>
      <c r="C11718" s="1" t="s">
        <v>5615</v>
      </c>
      <c r="D11718" s="22" t="str">
        <f>HYPERLINK("https://rhld.insurance.arkansas.gov/NPILookup?Npi=1912906876","1912906876")</f>
        <v>1912906876</v>
      </c>
      <c r="E11718" s="1" t="s">
        <v>20603</v>
      </c>
      <c r="F11718" s="2"/>
      <c r="G11718" s="2"/>
      <c r="H11718" s="2"/>
    </row>
    <row r="11719" spans="1:8" x14ac:dyDescent="0.25">
      <c r="A11719" s="1"/>
      <c r="B11719" s="1" t="s">
        <v>5614</v>
      </c>
      <c r="C11719" s="1" t="s">
        <v>5615</v>
      </c>
      <c r="D11719" s="22" t="str">
        <f>HYPERLINK("https://rhld.insurance.arkansas.gov/NPILookup?Npi=1912911645","1912911645")</f>
        <v>1912911645</v>
      </c>
      <c r="E11719" s="1" t="s">
        <v>20604</v>
      </c>
      <c r="F11719" s="2"/>
      <c r="G11719" s="2"/>
      <c r="H11719" s="2"/>
    </row>
    <row r="11720" spans="1:8" x14ac:dyDescent="0.25">
      <c r="A11720" s="1"/>
      <c r="B11720" s="1" t="s">
        <v>5614</v>
      </c>
      <c r="C11720" s="1" t="s">
        <v>5615</v>
      </c>
      <c r="D11720" s="22" t="str">
        <f>HYPERLINK("https://rhld.insurance.arkansas.gov/NPILookup?Npi=1912937574","1912937574")</f>
        <v>1912937574</v>
      </c>
      <c r="E11720" s="1" t="s">
        <v>3638</v>
      </c>
      <c r="F11720" s="2"/>
      <c r="G11720" s="2"/>
      <c r="H11720" s="2"/>
    </row>
    <row r="11721" spans="1:8" x14ac:dyDescent="0.25">
      <c r="A11721" s="1"/>
      <c r="B11721" s="1" t="s">
        <v>5614</v>
      </c>
      <c r="C11721" s="1" t="s">
        <v>5615</v>
      </c>
      <c r="D11721" s="22" t="str">
        <f>HYPERLINK("https://rhld.insurance.arkansas.gov/NPILookup?Npi=1912951187","1912951187")</f>
        <v>1912951187</v>
      </c>
      <c r="E11721" s="1" t="s">
        <v>20605</v>
      </c>
      <c r="F11721" s="2"/>
      <c r="G11721" s="2"/>
      <c r="H11721" s="2"/>
    </row>
    <row r="11722" spans="1:8" x14ac:dyDescent="0.25">
      <c r="A11722" s="1"/>
      <c r="B11722" s="1" t="s">
        <v>5614</v>
      </c>
      <c r="C11722" s="1" t="s">
        <v>5615</v>
      </c>
      <c r="D11722" s="22" t="str">
        <f>HYPERLINK("https://rhld.insurance.arkansas.gov/NPILookup?Npi=1912988577","1912988577")</f>
        <v>1912988577</v>
      </c>
      <c r="E11722" s="1" t="s">
        <v>20606</v>
      </c>
      <c r="F11722" s="2"/>
      <c r="G11722" s="2"/>
      <c r="H11722" s="2"/>
    </row>
    <row r="11723" spans="1:8" x14ac:dyDescent="0.25">
      <c r="A11723" s="1"/>
      <c r="B11723" s="1" t="s">
        <v>5614</v>
      </c>
      <c r="C11723" s="1" t="s">
        <v>5615</v>
      </c>
      <c r="D11723" s="22" t="str">
        <f>HYPERLINK("https://rhld.insurance.arkansas.gov/NPILookup?Npi=1922447853","1922447853")</f>
        <v>1922447853</v>
      </c>
      <c r="E11723" s="1" t="s">
        <v>11303</v>
      </c>
      <c r="F11723" s="2"/>
      <c r="G11723" s="2"/>
      <c r="H11723" s="2"/>
    </row>
    <row r="11724" spans="1:8" x14ac:dyDescent="0.25">
      <c r="A11724" s="1"/>
      <c r="B11724" s="1" t="s">
        <v>5614</v>
      </c>
      <c r="C11724" s="1" t="s">
        <v>5615</v>
      </c>
      <c r="D11724" s="22" t="str">
        <f>HYPERLINK("https://rhld.insurance.arkansas.gov/NPILookup?Npi=1922529536","1922529536")</f>
        <v>1922529536</v>
      </c>
      <c r="E11724" s="1" t="s">
        <v>20607</v>
      </c>
      <c r="F11724" s="2"/>
      <c r="G11724" s="2"/>
      <c r="H11724" s="2"/>
    </row>
    <row r="11725" spans="1:8" x14ac:dyDescent="0.25">
      <c r="A11725" s="1"/>
      <c r="B11725" s="1" t="s">
        <v>5614</v>
      </c>
      <c r="C11725" s="1" t="s">
        <v>5615</v>
      </c>
      <c r="D11725" s="22" t="str">
        <f>HYPERLINK("https://rhld.insurance.arkansas.gov/NPILookup?Npi=1932368099","1932368099")</f>
        <v>1932368099</v>
      </c>
      <c r="E11725" s="1" t="s">
        <v>20608</v>
      </c>
      <c r="F11725" s="2"/>
      <c r="G11725" s="2"/>
      <c r="H11725" s="2"/>
    </row>
    <row r="11726" spans="1:8" x14ac:dyDescent="0.25">
      <c r="A11726" s="1"/>
      <c r="B11726" s="1" t="s">
        <v>5614</v>
      </c>
      <c r="C11726" s="1" t="s">
        <v>5615</v>
      </c>
      <c r="D11726" s="22" t="str">
        <f>HYPERLINK("https://rhld.insurance.arkansas.gov/NPILookup?Npi=1932555919","1932555919")</f>
        <v>1932555919</v>
      </c>
      <c r="E11726" s="1" t="s">
        <v>20609</v>
      </c>
      <c r="F11726" s="2"/>
      <c r="G11726" s="2"/>
      <c r="H11726" s="2"/>
    </row>
    <row r="11727" spans="1:8" x14ac:dyDescent="0.25">
      <c r="A11727" s="1"/>
      <c r="B11727" s="1" t="s">
        <v>5614</v>
      </c>
      <c r="C11727" s="1" t="s">
        <v>5615</v>
      </c>
      <c r="D11727" s="22" t="str">
        <f>HYPERLINK("https://rhld.insurance.arkansas.gov/NPILookup?Npi=1932733185","1932733185")</f>
        <v>1932733185</v>
      </c>
      <c r="E11727" s="1" t="s">
        <v>20610</v>
      </c>
      <c r="F11727" s="2"/>
      <c r="G11727" s="2"/>
      <c r="H11727" s="2"/>
    </row>
    <row r="11728" spans="1:8" x14ac:dyDescent="0.25">
      <c r="A11728" s="1"/>
      <c r="B11728" s="1" t="s">
        <v>5614</v>
      </c>
      <c r="C11728" s="1" t="s">
        <v>5615</v>
      </c>
      <c r="D11728" s="22" t="str">
        <f>HYPERLINK("https://rhld.insurance.arkansas.gov/NPILookup?Npi=1942209572","1942209572")</f>
        <v>1942209572</v>
      </c>
      <c r="E11728" s="1" t="s">
        <v>3639</v>
      </c>
      <c r="F11728" s="2"/>
      <c r="G11728" s="2"/>
      <c r="H11728" s="2"/>
    </row>
    <row r="11729" spans="1:8" x14ac:dyDescent="0.25">
      <c r="A11729" s="1"/>
      <c r="B11729" s="1" t="s">
        <v>5614</v>
      </c>
      <c r="C11729" s="1" t="s">
        <v>5615</v>
      </c>
      <c r="D11729" s="22" t="str">
        <f>HYPERLINK("https://rhld.insurance.arkansas.gov/NPILookup?Npi=1942229190","1942229190")</f>
        <v>1942229190</v>
      </c>
      <c r="E11729" s="1" t="s">
        <v>20611</v>
      </c>
      <c r="F11729" s="2"/>
      <c r="G11729" s="2"/>
      <c r="H11729" s="2"/>
    </row>
    <row r="11730" spans="1:8" x14ac:dyDescent="0.25">
      <c r="A11730" s="1"/>
      <c r="B11730" s="1" t="s">
        <v>5614</v>
      </c>
      <c r="C11730" s="1" t="s">
        <v>5615</v>
      </c>
      <c r="D11730" s="22" t="str">
        <f>HYPERLINK("https://rhld.insurance.arkansas.gov/NPILookup?Npi=1942238340","1942238340")</f>
        <v>1942238340</v>
      </c>
      <c r="E11730" s="1" t="s">
        <v>20612</v>
      </c>
      <c r="F11730" s="2"/>
      <c r="G11730" s="2"/>
      <c r="H11730" s="2"/>
    </row>
    <row r="11731" spans="1:8" x14ac:dyDescent="0.25">
      <c r="A11731" s="1"/>
      <c r="B11731" s="1" t="s">
        <v>5614</v>
      </c>
      <c r="C11731" s="1" t="s">
        <v>5615</v>
      </c>
      <c r="D11731" s="22" t="str">
        <f>HYPERLINK("https://rhld.insurance.arkansas.gov/NPILookup?Npi=1942244389","1942244389")</f>
        <v>1942244389</v>
      </c>
      <c r="E11731" s="1" t="s">
        <v>20613</v>
      </c>
      <c r="F11731" s="2"/>
      <c r="G11731" s="2"/>
      <c r="H11731" s="2"/>
    </row>
    <row r="11732" spans="1:8" x14ac:dyDescent="0.25">
      <c r="A11732" s="1"/>
      <c r="B11732" s="1" t="s">
        <v>5614</v>
      </c>
      <c r="C11732" s="1" t="s">
        <v>5615</v>
      </c>
      <c r="D11732" s="22" t="str">
        <f>HYPERLINK("https://rhld.insurance.arkansas.gov/NPILookup?Npi=1942444211","1942444211")</f>
        <v>1942444211</v>
      </c>
      <c r="E11732" s="1" t="s">
        <v>20614</v>
      </c>
      <c r="F11732" s="2"/>
      <c r="G11732" s="2"/>
      <c r="H11732" s="2"/>
    </row>
    <row r="11733" spans="1:8" x14ac:dyDescent="0.25">
      <c r="A11733" s="1"/>
      <c r="B11733" s="1" t="s">
        <v>5614</v>
      </c>
      <c r="C11733" s="1" t="s">
        <v>5615</v>
      </c>
      <c r="D11733" s="22" t="str">
        <f>HYPERLINK("https://rhld.insurance.arkansas.gov/NPILookup?Npi=1942490263","1942490263")</f>
        <v>1942490263</v>
      </c>
      <c r="E11733" s="1" t="s">
        <v>20615</v>
      </c>
      <c r="F11733" s="2"/>
      <c r="G11733" s="2"/>
      <c r="H11733" s="2"/>
    </row>
    <row r="11734" spans="1:8" x14ac:dyDescent="0.25">
      <c r="A11734" s="1"/>
      <c r="B11734" s="1" t="s">
        <v>5614</v>
      </c>
      <c r="C11734" s="1" t="s">
        <v>5615</v>
      </c>
      <c r="D11734" s="22" t="str">
        <f>HYPERLINK("https://rhld.insurance.arkansas.gov/NPILookup?Npi=1942493234","1942493234")</f>
        <v>1942493234</v>
      </c>
      <c r="E11734" s="1" t="s">
        <v>20616</v>
      </c>
      <c r="F11734" s="2"/>
      <c r="G11734" s="2"/>
      <c r="H11734" s="2"/>
    </row>
    <row r="11735" spans="1:8" x14ac:dyDescent="0.25">
      <c r="A11735" s="1"/>
      <c r="B11735" s="1" t="s">
        <v>5614</v>
      </c>
      <c r="C11735" s="1" t="s">
        <v>5615</v>
      </c>
      <c r="D11735" s="22" t="str">
        <f>HYPERLINK("https://rhld.insurance.arkansas.gov/NPILookup?Npi=1942532486","1942532486")</f>
        <v>1942532486</v>
      </c>
      <c r="E11735" s="1" t="s">
        <v>20617</v>
      </c>
      <c r="F11735" s="2"/>
      <c r="G11735" s="2"/>
      <c r="H11735" s="2"/>
    </row>
    <row r="11736" spans="1:8" x14ac:dyDescent="0.25">
      <c r="A11736" s="1"/>
      <c r="B11736" s="1" t="s">
        <v>5614</v>
      </c>
      <c r="C11736" s="1" t="s">
        <v>5615</v>
      </c>
      <c r="D11736" s="22" t="str">
        <f>HYPERLINK("https://rhld.insurance.arkansas.gov/NPILookup?Npi=1942573639","1942573639")</f>
        <v>1942573639</v>
      </c>
      <c r="E11736" s="1" t="s">
        <v>11304</v>
      </c>
      <c r="F11736" s="2"/>
      <c r="G11736" s="2"/>
      <c r="H11736" s="2"/>
    </row>
    <row r="11737" spans="1:8" x14ac:dyDescent="0.25">
      <c r="A11737" s="1"/>
      <c r="B11737" s="1" t="s">
        <v>5614</v>
      </c>
      <c r="C11737" s="1" t="s">
        <v>5615</v>
      </c>
      <c r="D11737" s="22" t="str">
        <f>HYPERLINK("https://rhld.insurance.arkansas.gov/NPILookup?Npi=1942642285","1942642285")</f>
        <v>1942642285</v>
      </c>
      <c r="E11737" s="1" t="s">
        <v>20618</v>
      </c>
      <c r="F11737" s="2"/>
      <c r="G11737" s="2"/>
      <c r="H11737" s="2"/>
    </row>
    <row r="11738" spans="1:8" x14ac:dyDescent="0.25">
      <c r="A11738" s="1"/>
      <c r="B11738" s="1" t="s">
        <v>5614</v>
      </c>
      <c r="C11738" s="1" t="s">
        <v>5615</v>
      </c>
      <c r="D11738" s="22" t="str">
        <f>HYPERLINK("https://rhld.insurance.arkansas.gov/NPILookup?Npi=1942817275","1942817275")</f>
        <v>1942817275</v>
      </c>
      <c r="E11738" s="1" t="s">
        <v>20619</v>
      </c>
      <c r="F11738" s="2"/>
      <c r="G11738" s="2"/>
      <c r="H11738" s="2"/>
    </row>
    <row r="11739" spans="1:8" x14ac:dyDescent="0.25">
      <c r="A11739" s="1"/>
      <c r="B11739" s="1" t="s">
        <v>5614</v>
      </c>
      <c r="C11739" s="1" t="s">
        <v>5615</v>
      </c>
      <c r="D11739" s="22" t="str">
        <f>HYPERLINK("https://rhld.insurance.arkansas.gov/NPILookup?Npi=1952308769","1952308769")</f>
        <v>1952308769</v>
      </c>
      <c r="E11739" s="1" t="s">
        <v>31767</v>
      </c>
      <c r="F11739" s="2"/>
      <c r="G11739" s="2"/>
      <c r="H11739" s="2"/>
    </row>
    <row r="11740" spans="1:8" x14ac:dyDescent="0.25">
      <c r="A11740" s="1"/>
      <c r="B11740" s="1" t="s">
        <v>5614</v>
      </c>
      <c r="C11740" s="1" t="s">
        <v>5615</v>
      </c>
      <c r="D11740" s="22" t="str">
        <f>HYPERLINK("https://rhld.insurance.arkansas.gov/NPILookup?Npi=1952352106","1952352106")</f>
        <v>1952352106</v>
      </c>
      <c r="E11740" s="1" t="s">
        <v>11305</v>
      </c>
      <c r="F11740" s="2"/>
      <c r="G11740" s="2"/>
      <c r="H11740" s="2"/>
    </row>
    <row r="11741" spans="1:8" x14ac:dyDescent="0.25">
      <c r="A11741" s="1"/>
      <c r="B11741" s="1" t="s">
        <v>5614</v>
      </c>
      <c r="C11741" s="1" t="s">
        <v>5615</v>
      </c>
      <c r="D11741" s="22" t="str">
        <f>HYPERLINK("https://rhld.insurance.arkansas.gov/NPILookup?Npi=1952389520","1952389520")</f>
        <v>1952389520</v>
      </c>
      <c r="E11741" s="1" t="s">
        <v>20620</v>
      </c>
      <c r="F11741" s="2"/>
      <c r="G11741" s="2"/>
      <c r="H11741" s="2"/>
    </row>
    <row r="11742" spans="1:8" x14ac:dyDescent="0.25">
      <c r="A11742" s="1"/>
      <c r="B11742" s="1" t="s">
        <v>5614</v>
      </c>
      <c r="C11742" s="1" t="s">
        <v>5615</v>
      </c>
      <c r="D11742" s="22" t="str">
        <f>HYPERLINK("https://rhld.insurance.arkansas.gov/NPILookup?Npi=1952395543","1952395543")</f>
        <v>1952395543</v>
      </c>
      <c r="E11742" s="1" t="s">
        <v>20621</v>
      </c>
      <c r="F11742" s="2"/>
      <c r="G11742" s="2"/>
      <c r="H11742" s="2"/>
    </row>
    <row r="11743" spans="1:8" x14ac:dyDescent="0.25">
      <c r="A11743" s="1"/>
      <c r="B11743" s="1" t="s">
        <v>5614</v>
      </c>
      <c r="C11743" s="1" t="s">
        <v>5615</v>
      </c>
      <c r="D11743" s="22" t="str">
        <f>HYPERLINK("https://rhld.insurance.arkansas.gov/NPILookup?Npi=1952399156","1952399156")</f>
        <v>1952399156</v>
      </c>
      <c r="E11743" s="1" t="s">
        <v>20622</v>
      </c>
      <c r="F11743" s="2"/>
      <c r="G11743" s="2"/>
      <c r="H11743" s="2"/>
    </row>
    <row r="11744" spans="1:8" x14ac:dyDescent="0.25">
      <c r="A11744" s="1"/>
      <c r="B11744" s="1" t="s">
        <v>5614</v>
      </c>
      <c r="C11744" s="1" t="s">
        <v>5615</v>
      </c>
      <c r="D11744" s="22" t="str">
        <f>HYPERLINK("https://rhld.insurance.arkansas.gov/NPILookup?Npi=1952500373","1952500373")</f>
        <v>1952500373</v>
      </c>
      <c r="E11744" s="1" t="s">
        <v>20623</v>
      </c>
      <c r="F11744" s="2"/>
      <c r="G11744" s="2"/>
      <c r="H11744" s="2"/>
    </row>
    <row r="11745" spans="1:8" x14ac:dyDescent="0.25">
      <c r="A11745" s="1"/>
      <c r="B11745" s="1" t="s">
        <v>5614</v>
      </c>
      <c r="C11745" s="1" t="s">
        <v>5615</v>
      </c>
      <c r="D11745" s="22" t="str">
        <f>HYPERLINK("https://rhld.insurance.arkansas.gov/NPILookup?Npi=1952614869","1952614869")</f>
        <v>1952614869</v>
      </c>
      <c r="E11745" s="1" t="s">
        <v>20624</v>
      </c>
      <c r="F11745" s="2"/>
      <c r="G11745" s="2"/>
      <c r="H11745" s="2"/>
    </row>
    <row r="11746" spans="1:8" x14ac:dyDescent="0.25">
      <c r="A11746" s="1"/>
      <c r="B11746" s="1" t="s">
        <v>5614</v>
      </c>
      <c r="C11746" s="1" t="s">
        <v>5615</v>
      </c>
      <c r="D11746" s="22" t="str">
        <f>HYPERLINK("https://rhld.insurance.arkansas.gov/NPILookup?Npi=1952729600","1952729600")</f>
        <v>1952729600</v>
      </c>
      <c r="E11746" s="1" t="s">
        <v>5669</v>
      </c>
      <c r="F11746" s="2"/>
      <c r="G11746" s="2"/>
      <c r="H11746" s="2"/>
    </row>
    <row r="11747" spans="1:8" x14ac:dyDescent="0.25">
      <c r="A11747" s="1"/>
      <c r="B11747" s="1" t="s">
        <v>5614</v>
      </c>
      <c r="C11747" s="1" t="s">
        <v>5615</v>
      </c>
      <c r="D11747" s="22" t="str">
        <f>HYPERLINK("https://rhld.insurance.arkansas.gov/NPILookup?Npi=1962029587","1962029587")</f>
        <v>1962029587</v>
      </c>
      <c r="E11747" s="1" t="s">
        <v>5670</v>
      </c>
      <c r="F11747" s="2"/>
      <c r="G11747" s="2"/>
      <c r="H11747" s="2"/>
    </row>
    <row r="11748" spans="1:8" x14ac:dyDescent="0.25">
      <c r="A11748" s="1"/>
      <c r="B11748" s="1" t="s">
        <v>5614</v>
      </c>
      <c r="C11748" s="1" t="s">
        <v>5615</v>
      </c>
      <c r="D11748" s="22" t="str">
        <f>HYPERLINK("https://rhld.insurance.arkansas.gov/NPILookup?Npi=1962407791","1962407791")</f>
        <v>1962407791</v>
      </c>
      <c r="E11748" s="1" t="s">
        <v>11306</v>
      </c>
      <c r="F11748" s="2"/>
      <c r="G11748" s="2"/>
      <c r="H11748" s="2"/>
    </row>
    <row r="11749" spans="1:8" x14ac:dyDescent="0.25">
      <c r="A11749" s="1"/>
      <c r="B11749" s="1" t="s">
        <v>5614</v>
      </c>
      <c r="C11749" s="1" t="s">
        <v>5615</v>
      </c>
      <c r="D11749" s="22" t="str">
        <f>HYPERLINK("https://rhld.insurance.arkansas.gov/NPILookup?Npi=1962449892","1962449892")</f>
        <v>1962449892</v>
      </c>
      <c r="E11749" s="1" t="s">
        <v>2319</v>
      </c>
      <c r="F11749" s="2"/>
      <c r="G11749" s="2"/>
      <c r="H11749" s="2"/>
    </row>
    <row r="11750" spans="1:8" x14ac:dyDescent="0.25">
      <c r="A11750" s="1"/>
      <c r="B11750" s="1" t="s">
        <v>5614</v>
      </c>
      <c r="C11750" s="1" t="s">
        <v>5615</v>
      </c>
      <c r="D11750" s="22" t="str">
        <f>HYPERLINK("https://rhld.insurance.arkansas.gov/NPILookup?Npi=1962497826","1962497826")</f>
        <v>1962497826</v>
      </c>
      <c r="E11750" s="1" t="s">
        <v>20625</v>
      </c>
      <c r="F11750" s="2"/>
      <c r="G11750" s="2"/>
      <c r="H11750" s="2"/>
    </row>
    <row r="11751" spans="1:8" x14ac:dyDescent="0.25">
      <c r="A11751" s="1"/>
      <c r="B11751" s="1" t="s">
        <v>5614</v>
      </c>
      <c r="C11751" s="1" t="s">
        <v>5615</v>
      </c>
      <c r="D11751" s="22" t="str">
        <f>HYPERLINK("https://rhld.insurance.arkansas.gov/NPILookup?Npi=1962631150","1962631150")</f>
        <v>1962631150</v>
      </c>
      <c r="E11751" s="1" t="s">
        <v>20626</v>
      </c>
      <c r="F11751" s="2"/>
      <c r="G11751" s="2"/>
      <c r="H11751" s="2"/>
    </row>
    <row r="11752" spans="1:8" x14ac:dyDescent="0.25">
      <c r="A11752" s="1"/>
      <c r="B11752" s="1" t="s">
        <v>5614</v>
      </c>
      <c r="C11752" s="1" t="s">
        <v>5615</v>
      </c>
      <c r="D11752" s="22" t="str">
        <f>HYPERLINK("https://rhld.insurance.arkansas.gov/NPILookup?Npi=1962813303","1962813303")</f>
        <v>1962813303</v>
      </c>
      <c r="E11752" s="1" t="s">
        <v>5671</v>
      </c>
      <c r="F11752" s="2"/>
      <c r="G11752" s="2"/>
      <c r="H11752" s="2"/>
    </row>
    <row r="11753" spans="1:8" x14ac:dyDescent="0.25">
      <c r="A11753" s="1"/>
      <c r="B11753" s="1" t="s">
        <v>5614</v>
      </c>
      <c r="C11753" s="1" t="s">
        <v>5615</v>
      </c>
      <c r="D11753" s="22" t="str">
        <f>HYPERLINK("https://rhld.insurance.arkansas.gov/NPILookup?Npi=1962998773","1962998773")</f>
        <v>1962998773</v>
      </c>
      <c r="E11753" s="1" t="s">
        <v>20627</v>
      </c>
      <c r="F11753" s="2"/>
      <c r="G11753" s="2"/>
      <c r="H11753" s="2"/>
    </row>
    <row r="11754" spans="1:8" x14ac:dyDescent="0.25">
      <c r="A11754" s="1"/>
      <c r="B11754" s="1" t="s">
        <v>5614</v>
      </c>
      <c r="C11754" s="1" t="s">
        <v>5615</v>
      </c>
      <c r="D11754" s="22" t="str">
        <f>HYPERLINK("https://rhld.insurance.arkansas.gov/NPILookup?Npi=1972502763","1972502763")</f>
        <v>1972502763</v>
      </c>
      <c r="E11754" s="1" t="s">
        <v>11307</v>
      </c>
      <c r="F11754" s="2"/>
      <c r="G11754" s="2"/>
      <c r="H11754" s="2"/>
    </row>
    <row r="11755" spans="1:8" x14ac:dyDescent="0.25">
      <c r="A11755" s="1"/>
      <c r="B11755" s="1" t="s">
        <v>5614</v>
      </c>
      <c r="C11755" s="1" t="s">
        <v>5615</v>
      </c>
      <c r="D11755" s="22" t="str">
        <f>HYPERLINK("https://rhld.insurance.arkansas.gov/NPILookup?Npi=1972517662","1972517662")</f>
        <v>1972517662</v>
      </c>
      <c r="E11755" s="1" t="s">
        <v>474</v>
      </c>
      <c r="F11755" s="2"/>
      <c r="G11755" s="2"/>
      <c r="H11755" s="2"/>
    </row>
    <row r="11756" spans="1:8" x14ac:dyDescent="0.25">
      <c r="A11756" s="1"/>
      <c r="B11756" s="1" t="s">
        <v>5614</v>
      </c>
      <c r="C11756" s="1" t="s">
        <v>5615</v>
      </c>
      <c r="D11756" s="22" t="str">
        <f>HYPERLINK("https://rhld.insurance.arkansas.gov/NPILookup?Npi=1972519783","1972519783")</f>
        <v>1972519783</v>
      </c>
      <c r="E11756" s="1" t="s">
        <v>20628</v>
      </c>
      <c r="F11756" s="2"/>
      <c r="G11756" s="2"/>
      <c r="H11756" s="2"/>
    </row>
    <row r="11757" spans="1:8" x14ac:dyDescent="0.25">
      <c r="A11757" s="1"/>
      <c r="B11757" s="1" t="s">
        <v>5614</v>
      </c>
      <c r="C11757" s="1" t="s">
        <v>5615</v>
      </c>
      <c r="D11757" s="22" t="str">
        <f>HYPERLINK("https://rhld.insurance.arkansas.gov/NPILookup?Npi=1972542579","1972542579")</f>
        <v>1972542579</v>
      </c>
      <c r="E11757" s="1" t="s">
        <v>11308</v>
      </c>
      <c r="F11757" s="2"/>
      <c r="G11757" s="2"/>
      <c r="H11757" s="2"/>
    </row>
    <row r="11758" spans="1:8" x14ac:dyDescent="0.25">
      <c r="A11758" s="1"/>
      <c r="B11758" s="1" t="s">
        <v>5614</v>
      </c>
      <c r="C11758" s="1" t="s">
        <v>5615</v>
      </c>
      <c r="D11758" s="22" t="str">
        <f>HYPERLINK("https://rhld.insurance.arkansas.gov/NPILookup?Npi=1972569036","1972569036")</f>
        <v>1972569036</v>
      </c>
      <c r="E11758" s="1" t="s">
        <v>20629</v>
      </c>
      <c r="F11758" s="2"/>
      <c r="G11758" s="2"/>
      <c r="H11758" s="2"/>
    </row>
    <row r="11759" spans="1:8" x14ac:dyDescent="0.25">
      <c r="A11759" s="1"/>
      <c r="B11759" s="1" t="s">
        <v>5614</v>
      </c>
      <c r="C11759" s="1" t="s">
        <v>5615</v>
      </c>
      <c r="D11759" s="22" t="str">
        <f>HYPERLINK("https://rhld.insurance.arkansas.gov/NPILookup?Npi=1972569382","1972569382")</f>
        <v>1972569382</v>
      </c>
      <c r="E11759" s="1" t="s">
        <v>20630</v>
      </c>
      <c r="F11759" s="2"/>
      <c r="G11759" s="2"/>
      <c r="H11759" s="2"/>
    </row>
    <row r="11760" spans="1:8" x14ac:dyDescent="0.25">
      <c r="A11760" s="1"/>
      <c r="B11760" s="1" t="s">
        <v>5614</v>
      </c>
      <c r="C11760" s="1" t="s">
        <v>5615</v>
      </c>
      <c r="D11760" s="22" t="str">
        <f>HYPERLINK("https://rhld.insurance.arkansas.gov/NPILookup?Npi=1972571289","1972571289")</f>
        <v>1972571289</v>
      </c>
      <c r="E11760" s="1" t="s">
        <v>20631</v>
      </c>
      <c r="F11760" s="2"/>
      <c r="G11760" s="2"/>
      <c r="H11760" s="2"/>
    </row>
    <row r="11761" spans="1:8" x14ac:dyDescent="0.25">
      <c r="A11761" s="1"/>
      <c r="B11761" s="1" t="s">
        <v>5614</v>
      </c>
      <c r="C11761" s="1" t="s">
        <v>5615</v>
      </c>
      <c r="D11761" s="22" t="str">
        <f>HYPERLINK("https://rhld.insurance.arkansas.gov/NPILookup?Npi=1972575702","1972575702")</f>
        <v>1972575702</v>
      </c>
      <c r="E11761" s="1" t="s">
        <v>996</v>
      </c>
      <c r="F11761" s="2"/>
      <c r="G11761" s="2"/>
      <c r="H11761" s="2"/>
    </row>
    <row r="11762" spans="1:8" x14ac:dyDescent="0.25">
      <c r="A11762" s="1"/>
      <c r="B11762" s="1" t="s">
        <v>5614</v>
      </c>
      <c r="C11762" s="1" t="s">
        <v>5615</v>
      </c>
      <c r="D11762" s="22" t="str">
        <f>HYPERLINK("https://rhld.insurance.arkansas.gov/NPILookup?Npi=1972588184","1972588184")</f>
        <v>1972588184</v>
      </c>
      <c r="E11762" s="1" t="s">
        <v>20632</v>
      </c>
      <c r="F11762" s="2"/>
      <c r="G11762" s="2"/>
      <c r="H11762" s="2"/>
    </row>
    <row r="11763" spans="1:8" x14ac:dyDescent="0.25">
      <c r="A11763" s="1"/>
      <c r="B11763" s="1" t="s">
        <v>5614</v>
      </c>
      <c r="C11763" s="1" t="s">
        <v>5615</v>
      </c>
      <c r="D11763" s="22" t="str">
        <f>HYPERLINK("https://rhld.insurance.arkansas.gov/NPILookup?Npi=1972594323","1972594323")</f>
        <v>1972594323</v>
      </c>
      <c r="E11763" s="1" t="s">
        <v>5673</v>
      </c>
      <c r="F11763" s="2"/>
      <c r="G11763" s="2"/>
      <c r="H11763" s="2"/>
    </row>
    <row r="11764" spans="1:8" x14ac:dyDescent="0.25">
      <c r="A11764" s="1"/>
      <c r="B11764" s="1" t="s">
        <v>5614</v>
      </c>
      <c r="C11764" s="1" t="s">
        <v>5615</v>
      </c>
      <c r="D11764" s="22" t="str">
        <f>HYPERLINK("https://rhld.insurance.arkansas.gov/NPILookup?Npi=1982047643","1982047643")</f>
        <v>1982047643</v>
      </c>
      <c r="E11764" s="1" t="s">
        <v>20633</v>
      </c>
      <c r="F11764" s="2"/>
      <c r="G11764" s="2"/>
      <c r="H11764" s="2"/>
    </row>
    <row r="11765" spans="1:8" x14ac:dyDescent="0.25">
      <c r="A11765" s="1"/>
      <c r="B11765" s="1" t="s">
        <v>5614</v>
      </c>
      <c r="C11765" s="1" t="s">
        <v>5615</v>
      </c>
      <c r="D11765" s="22" t="str">
        <f>HYPERLINK("https://rhld.insurance.arkansas.gov/NPILookup?Npi=1982055174","1982055174")</f>
        <v>1982055174</v>
      </c>
      <c r="E11765" s="1" t="s">
        <v>5674</v>
      </c>
      <c r="F11765" s="2"/>
      <c r="G11765" s="2"/>
      <c r="H11765" s="2"/>
    </row>
    <row r="11766" spans="1:8" x14ac:dyDescent="0.25">
      <c r="A11766" s="1"/>
      <c r="B11766" s="1" t="s">
        <v>5614</v>
      </c>
      <c r="C11766" s="1" t="s">
        <v>5615</v>
      </c>
      <c r="D11766" s="22" t="str">
        <f>HYPERLINK("https://rhld.insurance.arkansas.gov/NPILookup?Npi=1982337085","1982337085")</f>
        <v>1982337085</v>
      </c>
      <c r="E11766" s="1" t="s">
        <v>5510</v>
      </c>
      <c r="F11766" s="2"/>
      <c r="G11766" s="2"/>
      <c r="H11766" s="2"/>
    </row>
    <row r="11767" spans="1:8" x14ac:dyDescent="0.25">
      <c r="A11767" s="1"/>
      <c r="B11767" s="1" t="s">
        <v>5614</v>
      </c>
      <c r="C11767" s="1" t="s">
        <v>5615</v>
      </c>
      <c r="D11767" s="22" t="str">
        <f>HYPERLINK("https://rhld.insurance.arkansas.gov/NPILookup?Npi=1982609665","1982609665")</f>
        <v>1982609665</v>
      </c>
      <c r="E11767" s="1" t="s">
        <v>20634</v>
      </c>
      <c r="F11767" s="2"/>
      <c r="G11767" s="2"/>
      <c r="H11767" s="2"/>
    </row>
    <row r="11768" spans="1:8" x14ac:dyDescent="0.25">
      <c r="A11768" s="1"/>
      <c r="B11768" s="1" t="s">
        <v>5614</v>
      </c>
      <c r="C11768" s="1" t="s">
        <v>5615</v>
      </c>
      <c r="D11768" s="22" t="str">
        <f>HYPERLINK("https://rhld.insurance.arkansas.gov/NPILookup?Npi=1982615977","1982615977")</f>
        <v>1982615977</v>
      </c>
      <c r="E11768" s="1" t="s">
        <v>11309</v>
      </c>
      <c r="F11768" s="2"/>
      <c r="G11768" s="2"/>
      <c r="H11768" s="2"/>
    </row>
    <row r="11769" spans="1:8" x14ac:dyDescent="0.25">
      <c r="A11769" s="1"/>
      <c r="B11769" s="1" t="s">
        <v>5614</v>
      </c>
      <c r="C11769" s="1" t="s">
        <v>5615</v>
      </c>
      <c r="D11769" s="22" t="str">
        <f>HYPERLINK("https://rhld.insurance.arkansas.gov/NPILookup?Npi=1982662375","1982662375")</f>
        <v>1982662375</v>
      </c>
      <c r="E11769" s="1" t="s">
        <v>20635</v>
      </c>
      <c r="F11769" s="2"/>
      <c r="G11769" s="2"/>
      <c r="H11769" s="2"/>
    </row>
    <row r="11770" spans="1:8" x14ac:dyDescent="0.25">
      <c r="A11770" s="1"/>
      <c r="B11770" s="1" t="s">
        <v>5614</v>
      </c>
      <c r="C11770" s="1" t="s">
        <v>5615</v>
      </c>
      <c r="D11770" s="22" t="str">
        <f>HYPERLINK("https://rhld.insurance.arkansas.gov/NPILookup?Npi=1982757985","1982757985")</f>
        <v>1982757985</v>
      </c>
      <c r="E11770" s="1" t="s">
        <v>3641</v>
      </c>
      <c r="F11770" s="2"/>
      <c r="G11770" s="2"/>
      <c r="H11770" s="2"/>
    </row>
    <row r="11771" spans="1:8" x14ac:dyDescent="0.25">
      <c r="A11771" s="1"/>
      <c r="B11771" s="1" t="s">
        <v>5614</v>
      </c>
      <c r="C11771" s="1" t="s">
        <v>5615</v>
      </c>
      <c r="D11771" s="22" t="str">
        <f>HYPERLINK("https://rhld.insurance.arkansas.gov/NPILookup?Npi=1982860144","1982860144")</f>
        <v>1982860144</v>
      </c>
      <c r="E11771" s="1" t="s">
        <v>2320</v>
      </c>
      <c r="F11771" s="2"/>
      <c r="G11771" s="2"/>
      <c r="H11771" s="2"/>
    </row>
    <row r="11772" spans="1:8" x14ac:dyDescent="0.25">
      <c r="A11772" s="1"/>
      <c r="B11772" s="1" t="s">
        <v>5614</v>
      </c>
      <c r="C11772" s="1" t="s">
        <v>5615</v>
      </c>
      <c r="D11772" s="22" t="str">
        <f>HYPERLINK("https://rhld.insurance.arkansas.gov/NPILookup?Npi=1992022800","1992022800")</f>
        <v>1992022800</v>
      </c>
      <c r="E11772" s="1" t="s">
        <v>20636</v>
      </c>
      <c r="F11772" s="2"/>
      <c r="G11772" s="2"/>
      <c r="H11772" s="2"/>
    </row>
    <row r="11773" spans="1:8" x14ac:dyDescent="0.25">
      <c r="A11773" s="1"/>
      <c r="B11773" s="1" t="s">
        <v>5614</v>
      </c>
      <c r="C11773" s="1" t="s">
        <v>5615</v>
      </c>
      <c r="D11773" s="22" t="str">
        <f>HYPERLINK("https://rhld.insurance.arkansas.gov/NPILookup?Npi=1992232235","1992232235")</f>
        <v>1992232235</v>
      </c>
      <c r="E11773" s="1" t="s">
        <v>20637</v>
      </c>
      <c r="F11773" s="2"/>
      <c r="G11773" s="2"/>
      <c r="H11773" s="2"/>
    </row>
    <row r="11774" spans="1:8" x14ac:dyDescent="0.25">
      <c r="A11774" s="1"/>
      <c r="B11774" s="1" t="s">
        <v>5614</v>
      </c>
      <c r="C11774" s="1" t="s">
        <v>5615</v>
      </c>
      <c r="D11774" s="22" t="str">
        <f>HYPERLINK("https://rhld.insurance.arkansas.gov/NPILookup?Npi=1992385009","1992385009")</f>
        <v>1992385009</v>
      </c>
      <c r="E11774" s="1" t="s">
        <v>11310</v>
      </c>
      <c r="F11774" s="2"/>
      <c r="G11774" s="2"/>
      <c r="H11774" s="2"/>
    </row>
    <row r="11775" spans="1:8" x14ac:dyDescent="0.25">
      <c r="A11775" s="1"/>
      <c r="B11775" s="1" t="s">
        <v>5614</v>
      </c>
      <c r="C11775" s="1" t="s">
        <v>5615</v>
      </c>
      <c r="D11775" s="22" t="str">
        <f>HYPERLINK("https://rhld.insurance.arkansas.gov/NPILookup?Npi=1992716286","1992716286")</f>
        <v>1992716286</v>
      </c>
      <c r="E11775" s="1" t="s">
        <v>20638</v>
      </c>
      <c r="F11775" s="2"/>
      <c r="G11775" s="2"/>
      <c r="H11775" s="2"/>
    </row>
    <row r="11776" spans="1:8" x14ac:dyDescent="0.25">
      <c r="A11776" s="1"/>
      <c r="B11776" s="1" t="s">
        <v>5614</v>
      </c>
      <c r="C11776" s="1" t="s">
        <v>5615</v>
      </c>
      <c r="D11776" s="22" t="str">
        <f>HYPERLINK("https://rhld.insurance.arkansas.gov/NPILookup?Npi=1992729859","1992729859")</f>
        <v>1992729859</v>
      </c>
      <c r="E11776" s="1" t="s">
        <v>20639</v>
      </c>
      <c r="F11776" s="2"/>
      <c r="G11776" s="2"/>
      <c r="H11776" s="2"/>
    </row>
    <row r="11777" spans="1:8" x14ac:dyDescent="0.25">
      <c r="A11777" s="1"/>
      <c r="B11777" s="1" t="s">
        <v>5614</v>
      </c>
      <c r="C11777" s="1" t="s">
        <v>5615</v>
      </c>
      <c r="D11777" s="22" t="str">
        <f>HYPERLINK("https://rhld.insurance.arkansas.gov/NPILookup?Npi=1992733562","1992733562")</f>
        <v>1992733562</v>
      </c>
      <c r="E11777" s="1" t="s">
        <v>11311</v>
      </c>
      <c r="F11777" s="2"/>
      <c r="G11777" s="2"/>
      <c r="H11777" s="2"/>
    </row>
    <row r="11778" spans="1:8" x14ac:dyDescent="0.25">
      <c r="A11778" s="1"/>
      <c r="B11778" s="1" t="s">
        <v>5614</v>
      </c>
      <c r="C11778" s="1" t="s">
        <v>5615</v>
      </c>
      <c r="D11778" s="22" t="str">
        <f>HYPERLINK("https://rhld.insurance.arkansas.gov/NPILookup?Npi=1992772941","1992772941")</f>
        <v>1992772941</v>
      </c>
      <c r="E11778" s="1" t="s">
        <v>5675</v>
      </c>
      <c r="F11778" s="2"/>
      <c r="G11778" s="2"/>
      <c r="H11778" s="2"/>
    </row>
    <row r="11779" spans="1:8" x14ac:dyDescent="0.25">
      <c r="A11779" s="1"/>
      <c r="B11779" s="1" t="s">
        <v>5614</v>
      </c>
      <c r="C11779" s="1" t="s">
        <v>5615</v>
      </c>
      <c r="D11779" s="22" t="str">
        <f>HYPERLINK("https://rhld.insurance.arkansas.gov/NPILookup?Npi=1992779722","1992779722")</f>
        <v>1992779722</v>
      </c>
      <c r="E11779" s="1" t="s">
        <v>1566</v>
      </c>
      <c r="F11779" s="2"/>
      <c r="G11779" s="2"/>
      <c r="H11779" s="2"/>
    </row>
    <row r="11780" spans="1:8" x14ac:dyDescent="0.25">
      <c r="A11780" s="1"/>
      <c r="B11780" s="1" t="s">
        <v>5614</v>
      </c>
      <c r="C11780" s="1" t="s">
        <v>5615</v>
      </c>
      <c r="D11780" s="22" t="str">
        <f>HYPERLINK("https://rhld.insurance.arkansas.gov/NPILookup?Npi=1992779938","1992779938")</f>
        <v>1992779938</v>
      </c>
      <c r="E11780" s="1" t="s">
        <v>20640</v>
      </c>
      <c r="F11780" s="2"/>
      <c r="G11780" s="2"/>
      <c r="H11780" s="2"/>
    </row>
    <row r="11781" spans="1:8" x14ac:dyDescent="0.25">
      <c r="A11781" s="1"/>
      <c r="B11781" s="1" t="s">
        <v>5614</v>
      </c>
      <c r="C11781" s="1" t="s">
        <v>5615</v>
      </c>
      <c r="D11781" s="22" t="str">
        <f>HYPERLINK("https://rhld.insurance.arkansas.gov/NPILookup?Npi=1992937718","1992937718")</f>
        <v>1992937718</v>
      </c>
      <c r="E11781" s="1" t="s">
        <v>478</v>
      </c>
      <c r="F11781" s="2"/>
      <c r="G11781" s="2"/>
      <c r="H11781" s="2"/>
    </row>
    <row r="11782" spans="1:8" x14ac:dyDescent="0.25">
      <c r="A11782" s="1"/>
      <c r="B11782" s="1" t="s">
        <v>5614</v>
      </c>
      <c r="C11782" s="1" t="s">
        <v>5615</v>
      </c>
      <c r="D11782" s="22" t="str">
        <f>HYPERLINK("https://rhld.insurance.arkansas.gov/NPILookup?Npi=1992997969","1992997969")</f>
        <v>1992997969</v>
      </c>
      <c r="E11782" s="1" t="s">
        <v>20641</v>
      </c>
      <c r="F11782" s="2"/>
      <c r="G11782" s="2"/>
      <c r="H11782" s="2"/>
    </row>
    <row r="11783" spans="1:8" x14ac:dyDescent="0.25">
      <c r="A11783" s="1"/>
      <c r="B11783" s="1" t="s">
        <v>5676</v>
      </c>
      <c r="C11783" s="1" t="s">
        <v>5677</v>
      </c>
      <c r="D11783" s="22" t="str">
        <f>HYPERLINK("https://rhld.insurance.arkansas.gov/NPILookup?Npi=1003208695","1003208695")</f>
        <v>1003208695</v>
      </c>
      <c r="E11783" s="1" t="s">
        <v>20642</v>
      </c>
      <c r="F11783" s="2"/>
      <c r="G11783" s="2"/>
      <c r="H11783" s="2"/>
    </row>
    <row r="11784" spans="1:8" x14ac:dyDescent="0.25">
      <c r="A11784" s="1"/>
      <c r="B11784" s="1" t="s">
        <v>5676</v>
      </c>
      <c r="C11784" s="1" t="s">
        <v>5677</v>
      </c>
      <c r="D11784" s="22" t="str">
        <f>HYPERLINK("https://rhld.insurance.arkansas.gov/NPILookup?Npi=1003228891","1003228891")</f>
        <v>1003228891</v>
      </c>
      <c r="E11784" s="1" t="s">
        <v>11312</v>
      </c>
      <c r="F11784" s="2"/>
      <c r="G11784" s="2"/>
      <c r="H11784" s="2"/>
    </row>
    <row r="11785" spans="1:8" x14ac:dyDescent="0.25">
      <c r="A11785" s="1"/>
      <c r="B11785" s="1" t="s">
        <v>5676</v>
      </c>
      <c r="C11785" s="1" t="s">
        <v>5677</v>
      </c>
      <c r="D11785" s="22" t="str">
        <f>HYPERLINK("https://rhld.insurance.arkansas.gov/NPILookup?Npi=1003264789","1003264789")</f>
        <v>1003264789</v>
      </c>
      <c r="E11785" s="1" t="s">
        <v>20643</v>
      </c>
      <c r="F11785" s="2"/>
      <c r="G11785" s="2"/>
      <c r="H11785" s="2"/>
    </row>
    <row r="11786" spans="1:8" x14ac:dyDescent="0.25">
      <c r="A11786" s="1"/>
      <c r="B11786" s="1" t="s">
        <v>5676</v>
      </c>
      <c r="C11786" s="1" t="s">
        <v>5677</v>
      </c>
      <c r="D11786" s="22" t="str">
        <f>HYPERLINK("https://rhld.insurance.arkansas.gov/NPILookup?Npi=1003812645","1003812645")</f>
        <v>1003812645</v>
      </c>
      <c r="E11786" s="1" t="s">
        <v>5679</v>
      </c>
      <c r="F11786" s="2"/>
      <c r="G11786" s="2"/>
      <c r="H11786" s="2"/>
    </row>
    <row r="11787" spans="1:8" x14ac:dyDescent="0.25">
      <c r="A11787" s="1"/>
      <c r="B11787" s="1" t="s">
        <v>5676</v>
      </c>
      <c r="C11787" s="1" t="s">
        <v>5677</v>
      </c>
      <c r="D11787" s="22" t="str">
        <f>HYPERLINK("https://rhld.insurance.arkansas.gov/NPILookup?Npi=1013086644","1013086644")</f>
        <v>1013086644</v>
      </c>
      <c r="E11787" s="1" t="s">
        <v>20644</v>
      </c>
      <c r="F11787" s="2"/>
      <c r="G11787" s="2"/>
      <c r="H11787" s="2"/>
    </row>
    <row r="11788" spans="1:8" x14ac:dyDescent="0.25">
      <c r="A11788" s="1"/>
      <c r="B11788" s="1" t="s">
        <v>5676</v>
      </c>
      <c r="C11788" s="1" t="s">
        <v>5677</v>
      </c>
      <c r="D11788" s="22" t="str">
        <f>HYPERLINK("https://rhld.insurance.arkansas.gov/NPILookup?Npi=1013118025","1013118025")</f>
        <v>1013118025</v>
      </c>
      <c r="E11788" s="1" t="s">
        <v>20645</v>
      </c>
      <c r="F11788" s="2"/>
      <c r="G11788" s="2"/>
      <c r="H11788" s="2"/>
    </row>
    <row r="11789" spans="1:8" x14ac:dyDescent="0.25">
      <c r="A11789" s="1"/>
      <c r="B11789" s="1" t="s">
        <v>5676</v>
      </c>
      <c r="C11789" s="1" t="s">
        <v>5677</v>
      </c>
      <c r="D11789" s="22" t="str">
        <f>HYPERLINK("https://rhld.insurance.arkansas.gov/NPILookup?Npi=1013131747","1013131747")</f>
        <v>1013131747</v>
      </c>
      <c r="E11789" s="1" t="s">
        <v>5680</v>
      </c>
      <c r="F11789" s="2"/>
      <c r="G11789" s="2"/>
      <c r="H11789" s="2"/>
    </row>
    <row r="11790" spans="1:8" x14ac:dyDescent="0.25">
      <c r="A11790" s="1"/>
      <c r="B11790" s="1" t="s">
        <v>5676</v>
      </c>
      <c r="C11790" s="1" t="s">
        <v>5677</v>
      </c>
      <c r="D11790" s="22" t="str">
        <f>HYPERLINK("https://rhld.insurance.arkansas.gov/NPILookup?Npi=1013177609","1013177609")</f>
        <v>1013177609</v>
      </c>
      <c r="E11790" s="1" t="s">
        <v>11313</v>
      </c>
      <c r="F11790" s="2"/>
      <c r="G11790" s="2"/>
      <c r="H11790" s="2"/>
    </row>
    <row r="11791" spans="1:8" x14ac:dyDescent="0.25">
      <c r="A11791" s="1"/>
      <c r="B11791" s="1" t="s">
        <v>5676</v>
      </c>
      <c r="C11791" s="1" t="s">
        <v>5677</v>
      </c>
      <c r="D11791" s="22" t="str">
        <f>HYPERLINK("https://rhld.insurance.arkansas.gov/NPILookup?Npi=1013278084","1013278084")</f>
        <v>1013278084</v>
      </c>
      <c r="E11791" s="1" t="s">
        <v>20646</v>
      </c>
      <c r="F11791" s="2"/>
      <c r="G11791" s="2"/>
      <c r="H11791" s="2"/>
    </row>
    <row r="11792" spans="1:8" x14ac:dyDescent="0.25">
      <c r="A11792" s="1"/>
      <c r="B11792" s="1" t="s">
        <v>5676</v>
      </c>
      <c r="C11792" s="1" t="s">
        <v>5677</v>
      </c>
      <c r="D11792" s="22" t="str">
        <f>HYPERLINK("https://rhld.insurance.arkansas.gov/NPILookup?Npi=1013956325","1013956325")</f>
        <v>1013956325</v>
      </c>
      <c r="E11792" s="1" t="s">
        <v>5681</v>
      </c>
      <c r="F11792" s="2"/>
      <c r="G11792" s="2"/>
      <c r="H11792" s="2"/>
    </row>
    <row r="11793" spans="1:8" x14ac:dyDescent="0.25">
      <c r="A11793" s="1"/>
      <c r="B11793" s="1" t="s">
        <v>5676</v>
      </c>
      <c r="C11793" s="1" t="s">
        <v>5677</v>
      </c>
      <c r="D11793" s="22" t="str">
        <f>HYPERLINK("https://rhld.insurance.arkansas.gov/NPILookup?Npi=1023031168","1023031168")</f>
        <v>1023031168</v>
      </c>
      <c r="E11793" s="1" t="s">
        <v>20647</v>
      </c>
      <c r="F11793" s="2"/>
      <c r="G11793" s="2"/>
      <c r="H11793" s="2"/>
    </row>
    <row r="11794" spans="1:8" x14ac:dyDescent="0.25">
      <c r="A11794" s="1"/>
      <c r="B11794" s="1" t="s">
        <v>5676</v>
      </c>
      <c r="C11794" s="1" t="s">
        <v>5677</v>
      </c>
      <c r="D11794" s="22" t="str">
        <f>HYPERLINK("https://rhld.insurance.arkansas.gov/NPILookup?Npi=1023179975","1023179975")</f>
        <v>1023179975</v>
      </c>
      <c r="E11794" s="1" t="s">
        <v>5682</v>
      </c>
      <c r="F11794" s="2"/>
      <c r="G11794" s="2"/>
      <c r="H11794" s="2"/>
    </row>
    <row r="11795" spans="1:8" x14ac:dyDescent="0.25">
      <c r="A11795" s="1"/>
      <c r="B11795" s="1" t="s">
        <v>5676</v>
      </c>
      <c r="C11795" s="1" t="s">
        <v>5677</v>
      </c>
      <c r="D11795" s="22" t="str">
        <f>HYPERLINK("https://rhld.insurance.arkansas.gov/NPILookup?Npi=1023234416","1023234416")</f>
        <v>1023234416</v>
      </c>
      <c r="E11795" s="1" t="s">
        <v>20648</v>
      </c>
      <c r="F11795" s="2"/>
      <c r="G11795" s="2"/>
      <c r="H11795" s="2"/>
    </row>
    <row r="11796" spans="1:8" x14ac:dyDescent="0.25">
      <c r="A11796" s="1"/>
      <c r="B11796" s="1" t="s">
        <v>5676</v>
      </c>
      <c r="C11796" s="1" t="s">
        <v>5677</v>
      </c>
      <c r="D11796" s="22" t="str">
        <f>HYPERLINK("https://rhld.insurance.arkansas.gov/NPILookup?Npi=1033175138","1033175138")</f>
        <v>1033175138</v>
      </c>
      <c r="E11796" s="1" t="s">
        <v>20649</v>
      </c>
      <c r="F11796" s="2"/>
      <c r="G11796" s="2"/>
      <c r="H11796" s="2"/>
    </row>
    <row r="11797" spans="1:8" x14ac:dyDescent="0.25">
      <c r="A11797" s="1"/>
      <c r="B11797" s="1" t="s">
        <v>5676</v>
      </c>
      <c r="C11797" s="1" t="s">
        <v>5677</v>
      </c>
      <c r="D11797" s="22" t="str">
        <f>HYPERLINK("https://rhld.insurance.arkansas.gov/NPILookup?Npi=1033182050","1033182050")</f>
        <v>1033182050</v>
      </c>
      <c r="E11797" s="1" t="s">
        <v>5683</v>
      </c>
      <c r="F11797" s="2"/>
      <c r="G11797" s="2"/>
      <c r="H11797" s="2"/>
    </row>
    <row r="11798" spans="1:8" x14ac:dyDescent="0.25">
      <c r="A11798" s="1"/>
      <c r="B11798" s="1" t="s">
        <v>5676</v>
      </c>
      <c r="C11798" s="1" t="s">
        <v>5677</v>
      </c>
      <c r="D11798" s="22" t="str">
        <f>HYPERLINK("https://rhld.insurance.arkansas.gov/NPILookup?Npi=1033197215","1033197215")</f>
        <v>1033197215</v>
      </c>
      <c r="E11798" s="1" t="s">
        <v>11314</v>
      </c>
      <c r="F11798" s="2"/>
      <c r="G11798" s="2"/>
      <c r="H11798" s="2"/>
    </row>
    <row r="11799" spans="1:8" x14ac:dyDescent="0.25">
      <c r="A11799" s="1"/>
      <c r="B11799" s="1" t="s">
        <v>5676</v>
      </c>
      <c r="C11799" s="1" t="s">
        <v>5677</v>
      </c>
      <c r="D11799" s="22" t="str">
        <f>HYPERLINK("https://rhld.insurance.arkansas.gov/NPILookup?Npi=1033452446","1033452446")</f>
        <v>1033452446</v>
      </c>
      <c r="E11799" s="1" t="s">
        <v>20650</v>
      </c>
      <c r="F11799" s="2"/>
      <c r="G11799" s="2"/>
      <c r="H11799" s="2"/>
    </row>
    <row r="11800" spans="1:8" x14ac:dyDescent="0.25">
      <c r="A11800" s="1"/>
      <c r="B11800" s="1" t="s">
        <v>5676</v>
      </c>
      <c r="C11800" s="1" t="s">
        <v>5677</v>
      </c>
      <c r="D11800" s="22" t="str">
        <f>HYPERLINK("https://rhld.insurance.arkansas.gov/NPILookup?Npi=1043200611","1043200611")</f>
        <v>1043200611</v>
      </c>
      <c r="E11800" s="1" t="s">
        <v>11315</v>
      </c>
      <c r="F11800" s="2"/>
      <c r="G11800" s="2"/>
      <c r="H11800" s="2"/>
    </row>
    <row r="11801" spans="1:8" x14ac:dyDescent="0.25">
      <c r="A11801" s="1"/>
      <c r="B11801" s="1" t="s">
        <v>5676</v>
      </c>
      <c r="C11801" s="1" t="s">
        <v>5677</v>
      </c>
      <c r="D11801" s="22" t="str">
        <f>HYPERLINK("https://rhld.insurance.arkansas.gov/NPILookup?Npi=1043269491","1043269491")</f>
        <v>1043269491</v>
      </c>
      <c r="E11801" s="1" t="s">
        <v>11316</v>
      </c>
      <c r="F11801" s="2"/>
      <c r="G11801" s="2"/>
      <c r="H11801" s="2"/>
    </row>
    <row r="11802" spans="1:8" x14ac:dyDescent="0.25">
      <c r="A11802" s="1"/>
      <c r="B11802" s="1" t="s">
        <v>5676</v>
      </c>
      <c r="C11802" s="1" t="s">
        <v>5677</v>
      </c>
      <c r="D11802" s="22" t="str">
        <f>HYPERLINK("https://rhld.insurance.arkansas.gov/NPILookup?Npi=1043574650","1043574650")</f>
        <v>1043574650</v>
      </c>
      <c r="E11802" s="1" t="s">
        <v>20651</v>
      </c>
      <c r="F11802" s="2"/>
      <c r="G11802" s="2"/>
      <c r="H11802" s="2"/>
    </row>
    <row r="11803" spans="1:8" x14ac:dyDescent="0.25">
      <c r="A11803" s="1"/>
      <c r="B11803" s="1" t="s">
        <v>5676</v>
      </c>
      <c r="C11803" s="1" t="s">
        <v>5677</v>
      </c>
      <c r="D11803" s="22" t="str">
        <f>HYPERLINK("https://rhld.insurance.arkansas.gov/NPILookup?Npi=1053314096","1053314096")</f>
        <v>1053314096</v>
      </c>
      <c r="E11803" s="1" t="s">
        <v>20652</v>
      </c>
      <c r="F11803" s="2"/>
      <c r="G11803" s="2"/>
      <c r="H11803" s="2"/>
    </row>
    <row r="11804" spans="1:8" x14ac:dyDescent="0.25">
      <c r="A11804" s="1"/>
      <c r="B11804" s="1" t="s">
        <v>5676</v>
      </c>
      <c r="C11804" s="1" t="s">
        <v>5677</v>
      </c>
      <c r="D11804" s="22" t="str">
        <f>HYPERLINK("https://rhld.insurance.arkansas.gov/NPILookup?Npi=1053384545","1053384545")</f>
        <v>1053384545</v>
      </c>
      <c r="E11804" s="1" t="s">
        <v>20653</v>
      </c>
      <c r="F11804" s="2"/>
      <c r="G11804" s="2"/>
      <c r="H11804" s="2"/>
    </row>
    <row r="11805" spans="1:8" x14ac:dyDescent="0.25">
      <c r="A11805" s="1"/>
      <c r="B11805" s="1" t="s">
        <v>5676</v>
      </c>
      <c r="C11805" s="1" t="s">
        <v>5677</v>
      </c>
      <c r="D11805" s="22" t="str">
        <f>HYPERLINK("https://rhld.insurance.arkansas.gov/NPILookup?Npi=1053601591","1053601591")</f>
        <v>1053601591</v>
      </c>
      <c r="E11805" s="1" t="s">
        <v>20654</v>
      </c>
      <c r="F11805" s="2"/>
      <c r="G11805" s="2"/>
      <c r="H11805" s="2"/>
    </row>
    <row r="11806" spans="1:8" x14ac:dyDescent="0.25">
      <c r="A11806" s="1"/>
      <c r="B11806" s="1" t="s">
        <v>5676</v>
      </c>
      <c r="C11806" s="1" t="s">
        <v>5677</v>
      </c>
      <c r="D11806" s="22" t="str">
        <f>HYPERLINK("https://rhld.insurance.arkansas.gov/NPILookup?Npi=1063028454","1063028454")</f>
        <v>1063028454</v>
      </c>
      <c r="E11806" s="1" t="s">
        <v>20655</v>
      </c>
      <c r="F11806" s="2"/>
      <c r="G11806" s="2"/>
      <c r="H11806" s="2"/>
    </row>
    <row r="11807" spans="1:8" x14ac:dyDescent="0.25">
      <c r="A11807" s="1"/>
      <c r="B11807" s="1" t="s">
        <v>5676</v>
      </c>
      <c r="C11807" s="1" t="s">
        <v>5677</v>
      </c>
      <c r="D11807" s="22" t="str">
        <f>HYPERLINK("https://rhld.insurance.arkansas.gov/NPILookup?Npi=1063448736","1063448736")</f>
        <v>1063448736</v>
      </c>
      <c r="E11807" s="1" t="s">
        <v>5684</v>
      </c>
      <c r="F11807" s="2"/>
      <c r="G11807" s="2"/>
      <c r="H11807" s="2"/>
    </row>
    <row r="11808" spans="1:8" x14ac:dyDescent="0.25">
      <c r="A11808" s="1"/>
      <c r="B11808" s="1" t="s">
        <v>5676</v>
      </c>
      <c r="C11808" s="1" t="s">
        <v>5677</v>
      </c>
      <c r="D11808" s="22" t="str">
        <f>HYPERLINK("https://rhld.insurance.arkansas.gov/NPILookup?Npi=1063477651","1063477651")</f>
        <v>1063477651</v>
      </c>
      <c r="E11808" s="1" t="s">
        <v>5731</v>
      </c>
      <c r="F11808" s="2"/>
      <c r="G11808" s="2"/>
      <c r="H11808" s="2"/>
    </row>
    <row r="11809" spans="1:8" x14ac:dyDescent="0.25">
      <c r="A11809" s="1"/>
      <c r="B11809" s="1" t="s">
        <v>5676</v>
      </c>
      <c r="C11809" s="1" t="s">
        <v>5677</v>
      </c>
      <c r="D11809" s="22" t="str">
        <f>HYPERLINK("https://rhld.insurance.arkansas.gov/NPILookup?Npi=1063483055","1063483055")</f>
        <v>1063483055</v>
      </c>
      <c r="E11809" s="1" t="s">
        <v>11987</v>
      </c>
      <c r="F11809" s="2"/>
      <c r="G11809" s="2"/>
      <c r="H11809" s="2"/>
    </row>
    <row r="11810" spans="1:8" x14ac:dyDescent="0.25">
      <c r="A11810" s="1"/>
      <c r="B11810" s="1" t="s">
        <v>5676</v>
      </c>
      <c r="C11810" s="1" t="s">
        <v>5677</v>
      </c>
      <c r="D11810" s="22" t="str">
        <f>HYPERLINK("https://rhld.insurance.arkansas.gov/NPILookup?Npi=1063483824","1063483824")</f>
        <v>1063483824</v>
      </c>
      <c r="E11810" s="1" t="s">
        <v>20656</v>
      </c>
      <c r="F11810" s="2"/>
      <c r="G11810" s="2"/>
      <c r="H11810" s="2"/>
    </row>
    <row r="11811" spans="1:8" x14ac:dyDescent="0.25">
      <c r="A11811" s="1"/>
      <c r="B11811" s="1" t="s">
        <v>5676</v>
      </c>
      <c r="C11811" s="1" t="s">
        <v>5677</v>
      </c>
      <c r="D11811" s="22" t="str">
        <f>HYPERLINK("https://rhld.insurance.arkansas.gov/NPILookup?Npi=1063638104","1063638104")</f>
        <v>1063638104</v>
      </c>
      <c r="E11811" s="1" t="s">
        <v>10600</v>
      </c>
      <c r="F11811" s="2"/>
      <c r="G11811" s="2"/>
      <c r="H11811" s="2"/>
    </row>
    <row r="11812" spans="1:8" x14ac:dyDescent="0.25">
      <c r="A11812" s="1"/>
      <c r="B11812" s="1" t="s">
        <v>5676</v>
      </c>
      <c r="C11812" s="1" t="s">
        <v>5677</v>
      </c>
      <c r="D11812" s="22" t="str">
        <f>HYPERLINK("https://rhld.insurance.arkansas.gov/NPILookup?Npi=1063932291","1063932291")</f>
        <v>1063932291</v>
      </c>
      <c r="E11812" s="1" t="s">
        <v>11317</v>
      </c>
      <c r="F11812" s="2"/>
      <c r="G11812" s="2"/>
      <c r="H11812" s="2"/>
    </row>
    <row r="11813" spans="1:8" x14ac:dyDescent="0.25">
      <c r="A11813" s="1"/>
      <c r="B11813" s="1" t="s">
        <v>5676</v>
      </c>
      <c r="C11813" s="1" t="s">
        <v>5677</v>
      </c>
      <c r="D11813" s="22" t="str">
        <f>HYPERLINK("https://rhld.insurance.arkansas.gov/NPILookup?Npi=1063975043","1063975043")</f>
        <v>1063975043</v>
      </c>
      <c r="E11813" s="1" t="s">
        <v>20657</v>
      </c>
      <c r="F11813" s="2"/>
      <c r="G11813" s="2"/>
      <c r="H11813" s="2"/>
    </row>
    <row r="11814" spans="1:8" x14ac:dyDescent="0.25">
      <c r="A11814" s="1"/>
      <c r="B11814" s="1" t="s">
        <v>5676</v>
      </c>
      <c r="C11814" s="1" t="s">
        <v>5677</v>
      </c>
      <c r="D11814" s="22" t="str">
        <f>HYPERLINK("https://rhld.insurance.arkansas.gov/NPILookup?Npi=1073505541","1073505541")</f>
        <v>1073505541</v>
      </c>
      <c r="E11814" s="1" t="s">
        <v>11318</v>
      </c>
      <c r="F11814" s="2"/>
      <c r="G11814" s="2"/>
      <c r="H11814" s="2"/>
    </row>
    <row r="11815" spans="1:8" x14ac:dyDescent="0.25">
      <c r="A11815" s="1"/>
      <c r="B11815" s="1" t="s">
        <v>5676</v>
      </c>
      <c r="C11815" s="1" t="s">
        <v>5677</v>
      </c>
      <c r="D11815" s="22" t="str">
        <f>HYPERLINK("https://rhld.insurance.arkansas.gov/NPILookup?Npi=1073566766","1073566766")</f>
        <v>1073566766</v>
      </c>
      <c r="E11815" s="1" t="s">
        <v>11319</v>
      </c>
      <c r="F11815" s="2"/>
      <c r="G11815" s="2"/>
      <c r="H11815" s="2"/>
    </row>
    <row r="11816" spans="1:8" x14ac:dyDescent="0.25">
      <c r="A11816" s="1"/>
      <c r="B11816" s="1" t="s">
        <v>5676</v>
      </c>
      <c r="C11816" s="1" t="s">
        <v>5677</v>
      </c>
      <c r="D11816" s="22" t="str">
        <f>HYPERLINK("https://rhld.insurance.arkansas.gov/NPILookup?Npi=1073771671","1073771671")</f>
        <v>1073771671</v>
      </c>
      <c r="E11816" s="1" t="s">
        <v>11320</v>
      </c>
      <c r="F11816" s="2"/>
      <c r="G11816" s="2"/>
      <c r="H11816" s="2"/>
    </row>
    <row r="11817" spans="1:8" x14ac:dyDescent="0.25">
      <c r="A11817" s="1"/>
      <c r="B11817" s="1" t="s">
        <v>5676</v>
      </c>
      <c r="C11817" s="1" t="s">
        <v>5677</v>
      </c>
      <c r="D11817" s="22" t="str">
        <f>HYPERLINK("https://rhld.insurance.arkansas.gov/NPILookup?Npi=1073788998","1073788998")</f>
        <v>1073788998</v>
      </c>
      <c r="E11817" s="1" t="s">
        <v>5680</v>
      </c>
      <c r="F11817" s="2"/>
      <c r="G11817" s="2"/>
      <c r="H11817" s="2"/>
    </row>
    <row r="11818" spans="1:8" x14ac:dyDescent="0.25">
      <c r="A11818" s="1"/>
      <c r="B11818" s="1" t="s">
        <v>5676</v>
      </c>
      <c r="C11818" s="1" t="s">
        <v>5677</v>
      </c>
      <c r="D11818" s="22" t="str">
        <f>HYPERLINK("https://rhld.insurance.arkansas.gov/NPILookup?Npi=1083606933","1083606933")</f>
        <v>1083606933</v>
      </c>
      <c r="E11818" s="1" t="s">
        <v>20658</v>
      </c>
      <c r="F11818" s="2"/>
      <c r="G11818" s="2"/>
      <c r="H11818" s="2"/>
    </row>
    <row r="11819" spans="1:8" x14ac:dyDescent="0.25">
      <c r="A11819" s="1"/>
      <c r="B11819" s="1" t="s">
        <v>5676</v>
      </c>
      <c r="C11819" s="1" t="s">
        <v>5677</v>
      </c>
      <c r="D11819" s="22" t="str">
        <f>HYPERLINK("https://rhld.insurance.arkansas.gov/NPILookup?Npi=1083675367","1083675367")</f>
        <v>1083675367</v>
      </c>
      <c r="E11819" s="1" t="s">
        <v>11321</v>
      </c>
      <c r="F11819" s="2"/>
      <c r="G11819" s="2"/>
      <c r="H11819" s="2"/>
    </row>
    <row r="11820" spans="1:8" x14ac:dyDescent="0.25">
      <c r="A11820" s="1"/>
      <c r="B11820" s="1" t="s">
        <v>5676</v>
      </c>
      <c r="C11820" s="1" t="s">
        <v>5677</v>
      </c>
      <c r="D11820" s="22" t="str">
        <f>HYPERLINK("https://rhld.insurance.arkansas.gov/NPILookup?Npi=1083682108","1083682108")</f>
        <v>1083682108</v>
      </c>
      <c r="E11820" s="1" t="s">
        <v>20659</v>
      </c>
      <c r="F11820" s="2"/>
      <c r="G11820" s="2"/>
      <c r="H11820" s="2"/>
    </row>
    <row r="11821" spans="1:8" x14ac:dyDescent="0.25">
      <c r="A11821" s="1"/>
      <c r="B11821" s="1" t="s">
        <v>5676</v>
      </c>
      <c r="C11821" s="1" t="s">
        <v>5677</v>
      </c>
      <c r="D11821" s="22" t="str">
        <f>HYPERLINK("https://rhld.insurance.arkansas.gov/NPILookup?Npi=1093014136","1093014136")</f>
        <v>1093014136</v>
      </c>
      <c r="E11821" s="1" t="s">
        <v>20660</v>
      </c>
      <c r="F11821" s="2"/>
      <c r="G11821" s="2"/>
      <c r="H11821" s="2"/>
    </row>
    <row r="11822" spans="1:8" x14ac:dyDescent="0.25">
      <c r="A11822" s="1"/>
      <c r="B11822" s="1" t="s">
        <v>5676</v>
      </c>
      <c r="C11822" s="1" t="s">
        <v>5677</v>
      </c>
      <c r="D11822" s="22" t="str">
        <f>HYPERLINK("https://rhld.insurance.arkansas.gov/NPILookup?Npi=1093209090","1093209090")</f>
        <v>1093209090</v>
      </c>
      <c r="E11822" s="1" t="s">
        <v>20661</v>
      </c>
      <c r="F11822" s="2"/>
      <c r="G11822" s="2"/>
      <c r="H11822" s="2"/>
    </row>
    <row r="11823" spans="1:8" x14ac:dyDescent="0.25">
      <c r="A11823" s="1"/>
      <c r="B11823" s="1" t="s">
        <v>5676</v>
      </c>
      <c r="C11823" s="1" t="s">
        <v>5677</v>
      </c>
      <c r="D11823" s="22" t="str">
        <f>HYPERLINK("https://rhld.insurance.arkansas.gov/NPILookup?Npi=1093371288","1093371288")</f>
        <v>1093371288</v>
      </c>
      <c r="E11823" s="1" t="s">
        <v>20662</v>
      </c>
      <c r="F11823" s="2"/>
      <c r="G11823" s="2"/>
      <c r="H11823" s="2"/>
    </row>
    <row r="11824" spans="1:8" x14ac:dyDescent="0.25">
      <c r="A11824" s="1"/>
      <c r="B11824" s="1" t="s">
        <v>5676</v>
      </c>
      <c r="C11824" s="1" t="s">
        <v>5677</v>
      </c>
      <c r="D11824" s="22" t="str">
        <f>HYPERLINK("https://rhld.insurance.arkansas.gov/NPILookup?Npi=1093957565","1093957565")</f>
        <v>1093957565</v>
      </c>
      <c r="E11824" s="1" t="s">
        <v>1167</v>
      </c>
      <c r="F11824" s="2"/>
      <c r="G11824" s="2"/>
      <c r="H11824" s="2"/>
    </row>
    <row r="11825" spans="1:8" x14ac:dyDescent="0.25">
      <c r="A11825" s="1"/>
      <c r="B11825" s="1" t="s">
        <v>5676</v>
      </c>
      <c r="C11825" s="1" t="s">
        <v>5677</v>
      </c>
      <c r="D11825" s="22" t="str">
        <f>HYPERLINK("https://rhld.insurance.arkansas.gov/NPILookup?Npi=1104055201","1104055201")</f>
        <v>1104055201</v>
      </c>
      <c r="E11825" s="1" t="s">
        <v>20663</v>
      </c>
      <c r="F11825" s="2"/>
      <c r="G11825" s="2"/>
      <c r="H11825" s="2"/>
    </row>
    <row r="11826" spans="1:8" x14ac:dyDescent="0.25">
      <c r="A11826" s="1"/>
      <c r="B11826" s="1" t="s">
        <v>5676</v>
      </c>
      <c r="C11826" s="1" t="s">
        <v>5677</v>
      </c>
      <c r="D11826" s="22" t="str">
        <f>HYPERLINK("https://rhld.insurance.arkansas.gov/NPILookup?Npi=1104086263","1104086263")</f>
        <v>1104086263</v>
      </c>
      <c r="E11826" s="1" t="s">
        <v>20664</v>
      </c>
      <c r="F11826" s="2"/>
      <c r="G11826" s="2"/>
      <c r="H11826" s="2"/>
    </row>
    <row r="11827" spans="1:8" x14ac:dyDescent="0.25">
      <c r="A11827" s="1"/>
      <c r="B11827" s="1" t="s">
        <v>5676</v>
      </c>
      <c r="C11827" s="1" t="s">
        <v>5677</v>
      </c>
      <c r="D11827" s="22" t="str">
        <f>HYPERLINK("https://rhld.insurance.arkansas.gov/NPILookup?Npi=1104280460","1104280460")</f>
        <v>1104280460</v>
      </c>
      <c r="E11827" s="1" t="s">
        <v>11322</v>
      </c>
      <c r="F11827" s="2"/>
      <c r="G11827" s="2"/>
      <c r="H11827" s="2"/>
    </row>
    <row r="11828" spans="1:8" x14ac:dyDescent="0.25">
      <c r="A11828" s="1"/>
      <c r="B11828" s="1" t="s">
        <v>5676</v>
      </c>
      <c r="C11828" s="1" t="s">
        <v>5677</v>
      </c>
      <c r="D11828" s="22" t="str">
        <f>HYPERLINK("https://rhld.insurance.arkansas.gov/NPILookup?Npi=1104807924","1104807924")</f>
        <v>1104807924</v>
      </c>
      <c r="E11828" s="1" t="s">
        <v>20665</v>
      </c>
      <c r="F11828" s="2"/>
      <c r="G11828" s="2"/>
      <c r="H11828" s="2"/>
    </row>
    <row r="11829" spans="1:8" x14ac:dyDescent="0.25">
      <c r="A11829" s="1"/>
      <c r="B11829" s="1" t="s">
        <v>5676</v>
      </c>
      <c r="C11829" s="1" t="s">
        <v>5677</v>
      </c>
      <c r="D11829" s="22" t="str">
        <f>HYPERLINK("https://rhld.insurance.arkansas.gov/NPILookup?Npi=1104832179","1104832179")</f>
        <v>1104832179</v>
      </c>
      <c r="E11829" s="1" t="s">
        <v>5686</v>
      </c>
      <c r="F11829" s="2"/>
      <c r="G11829" s="2"/>
      <c r="H11829" s="2"/>
    </row>
    <row r="11830" spans="1:8" x14ac:dyDescent="0.25">
      <c r="A11830" s="1"/>
      <c r="B11830" s="1" t="s">
        <v>5676</v>
      </c>
      <c r="C11830" s="1" t="s">
        <v>5677</v>
      </c>
      <c r="D11830" s="22" t="str">
        <f>HYPERLINK("https://rhld.insurance.arkansas.gov/NPILookup?Npi=1114314481","1114314481")</f>
        <v>1114314481</v>
      </c>
      <c r="E11830" s="1" t="s">
        <v>20666</v>
      </c>
      <c r="F11830" s="2"/>
      <c r="G11830" s="2"/>
      <c r="H11830" s="2"/>
    </row>
    <row r="11831" spans="1:8" x14ac:dyDescent="0.25">
      <c r="A11831" s="1"/>
      <c r="B11831" s="1" t="s">
        <v>5676</v>
      </c>
      <c r="C11831" s="1" t="s">
        <v>5677</v>
      </c>
      <c r="D11831" s="22" t="str">
        <f>HYPERLINK("https://rhld.insurance.arkansas.gov/NPILookup?Npi=1124008446","1124008446")</f>
        <v>1124008446</v>
      </c>
      <c r="E11831" s="1" t="s">
        <v>20667</v>
      </c>
      <c r="F11831" s="2"/>
      <c r="G11831" s="2"/>
      <c r="H11831" s="2"/>
    </row>
    <row r="11832" spans="1:8" x14ac:dyDescent="0.25">
      <c r="A11832" s="1"/>
      <c r="B11832" s="1" t="s">
        <v>5676</v>
      </c>
      <c r="C11832" s="1" t="s">
        <v>5677</v>
      </c>
      <c r="D11832" s="22" t="str">
        <f>HYPERLINK("https://rhld.insurance.arkansas.gov/NPILookup?Npi=1124012000","1124012000")</f>
        <v>1124012000</v>
      </c>
      <c r="E11832" s="1" t="s">
        <v>20668</v>
      </c>
      <c r="F11832" s="2"/>
      <c r="G11832" s="2"/>
      <c r="H11832" s="2"/>
    </row>
    <row r="11833" spans="1:8" x14ac:dyDescent="0.25">
      <c r="A11833" s="1"/>
      <c r="B11833" s="1" t="s">
        <v>5676</v>
      </c>
      <c r="C11833" s="1" t="s">
        <v>5677</v>
      </c>
      <c r="D11833" s="22" t="str">
        <f>HYPERLINK("https://rhld.insurance.arkansas.gov/NPILookup?Npi=1124015821","1124015821")</f>
        <v>1124015821</v>
      </c>
      <c r="E11833" s="1" t="s">
        <v>20669</v>
      </c>
      <c r="F11833" s="2"/>
      <c r="G11833" s="2"/>
      <c r="H11833" s="2"/>
    </row>
    <row r="11834" spans="1:8" x14ac:dyDescent="0.25">
      <c r="A11834" s="1"/>
      <c r="B11834" s="1" t="s">
        <v>5676</v>
      </c>
      <c r="C11834" s="1" t="s">
        <v>5677</v>
      </c>
      <c r="D11834" s="22" t="str">
        <f>HYPERLINK("https://rhld.insurance.arkansas.gov/NPILookup?Npi=1124099841","1124099841")</f>
        <v>1124099841</v>
      </c>
      <c r="E11834" s="1" t="s">
        <v>20670</v>
      </c>
      <c r="F11834" s="2"/>
      <c r="G11834" s="2"/>
      <c r="H11834" s="2"/>
    </row>
    <row r="11835" spans="1:8" x14ac:dyDescent="0.25">
      <c r="A11835" s="1"/>
      <c r="B11835" s="1" t="s">
        <v>5676</v>
      </c>
      <c r="C11835" s="1" t="s">
        <v>5677</v>
      </c>
      <c r="D11835" s="22" t="str">
        <f>HYPERLINK("https://rhld.insurance.arkansas.gov/NPILookup?Npi=1124134952","1124134952")</f>
        <v>1124134952</v>
      </c>
      <c r="E11835" s="1" t="s">
        <v>5687</v>
      </c>
      <c r="F11835" s="2"/>
      <c r="G11835" s="2"/>
      <c r="H11835" s="2"/>
    </row>
    <row r="11836" spans="1:8" x14ac:dyDescent="0.25">
      <c r="A11836" s="1"/>
      <c r="B11836" s="1" t="s">
        <v>5676</v>
      </c>
      <c r="C11836" s="1" t="s">
        <v>5677</v>
      </c>
      <c r="D11836" s="22" t="str">
        <f>HYPERLINK("https://rhld.insurance.arkansas.gov/NPILookup?Npi=1124211271","1124211271")</f>
        <v>1124211271</v>
      </c>
      <c r="E11836" s="1" t="s">
        <v>10605</v>
      </c>
      <c r="F11836" s="2"/>
      <c r="G11836" s="2"/>
      <c r="H11836" s="2"/>
    </row>
    <row r="11837" spans="1:8" x14ac:dyDescent="0.25">
      <c r="A11837" s="1"/>
      <c r="B11837" s="1" t="s">
        <v>5676</v>
      </c>
      <c r="C11837" s="1" t="s">
        <v>5677</v>
      </c>
      <c r="D11837" s="22" t="str">
        <f>HYPERLINK("https://rhld.insurance.arkansas.gov/NPILookup?Npi=1124463807","1124463807")</f>
        <v>1124463807</v>
      </c>
      <c r="E11837" s="1" t="s">
        <v>5688</v>
      </c>
      <c r="F11837" s="2"/>
      <c r="G11837" s="2"/>
      <c r="H11837" s="2"/>
    </row>
    <row r="11838" spans="1:8" x14ac:dyDescent="0.25">
      <c r="A11838" s="1"/>
      <c r="B11838" s="1" t="s">
        <v>5676</v>
      </c>
      <c r="C11838" s="1" t="s">
        <v>5677</v>
      </c>
      <c r="D11838" s="22" t="str">
        <f>HYPERLINK("https://rhld.insurance.arkansas.gov/NPILookup?Npi=1124472410","1124472410")</f>
        <v>1124472410</v>
      </c>
      <c r="E11838" s="1" t="s">
        <v>11323</v>
      </c>
      <c r="F11838" s="2"/>
      <c r="G11838" s="2"/>
      <c r="H11838" s="2"/>
    </row>
    <row r="11839" spans="1:8" x14ac:dyDescent="0.25">
      <c r="A11839" s="1"/>
      <c r="B11839" s="1" t="s">
        <v>5676</v>
      </c>
      <c r="C11839" s="1" t="s">
        <v>5677</v>
      </c>
      <c r="D11839" s="22" t="str">
        <f>HYPERLINK("https://rhld.insurance.arkansas.gov/NPILookup?Npi=1134111099","1134111099")</f>
        <v>1134111099</v>
      </c>
      <c r="E11839" s="1" t="s">
        <v>11324</v>
      </c>
      <c r="F11839" s="2"/>
      <c r="G11839" s="2"/>
      <c r="H11839" s="2"/>
    </row>
    <row r="11840" spans="1:8" x14ac:dyDescent="0.25">
      <c r="A11840" s="1"/>
      <c r="B11840" s="1" t="s">
        <v>5676</v>
      </c>
      <c r="C11840" s="1" t="s">
        <v>5677</v>
      </c>
      <c r="D11840" s="22" t="str">
        <f>HYPERLINK("https://rhld.insurance.arkansas.gov/NPILookup?Npi=1134195712","1134195712")</f>
        <v>1134195712</v>
      </c>
      <c r="E11840" s="1" t="s">
        <v>5689</v>
      </c>
      <c r="F11840" s="2"/>
      <c r="G11840" s="2"/>
      <c r="H11840" s="2"/>
    </row>
    <row r="11841" spans="1:8" x14ac:dyDescent="0.25">
      <c r="A11841" s="1"/>
      <c r="B11841" s="1" t="s">
        <v>5676</v>
      </c>
      <c r="C11841" s="1" t="s">
        <v>5677</v>
      </c>
      <c r="D11841" s="22" t="str">
        <f>HYPERLINK("https://rhld.insurance.arkansas.gov/NPILookup?Npi=1134238793","1134238793")</f>
        <v>1134238793</v>
      </c>
      <c r="E11841" s="1" t="s">
        <v>20671</v>
      </c>
      <c r="F11841" s="2"/>
      <c r="G11841" s="2"/>
      <c r="H11841" s="2"/>
    </row>
    <row r="11842" spans="1:8" x14ac:dyDescent="0.25">
      <c r="A11842" s="1"/>
      <c r="B11842" s="1" t="s">
        <v>5676</v>
      </c>
      <c r="C11842" s="1" t="s">
        <v>5677</v>
      </c>
      <c r="D11842" s="22" t="str">
        <f>HYPERLINK("https://rhld.insurance.arkansas.gov/NPILookup?Npi=1134386592","1134386592")</f>
        <v>1134386592</v>
      </c>
      <c r="E11842" s="1" t="s">
        <v>20672</v>
      </c>
      <c r="F11842" s="2"/>
      <c r="G11842" s="2"/>
      <c r="H11842" s="2"/>
    </row>
    <row r="11843" spans="1:8" x14ac:dyDescent="0.25">
      <c r="A11843" s="1"/>
      <c r="B11843" s="1" t="s">
        <v>5676</v>
      </c>
      <c r="C11843" s="1" t="s">
        <v>5677</v>
      </c>
      <c r="D11843" s="22" t="str">
        <f>HYPERLINK("https://rhld.insurance.arkansas.gov/NPILookup?Npi=1134488174","1134488174")</f>
        <v>1134488174</v>
      </c>
      <c r="E11843" s="1" t="s">
        <v>5690</v>
      </c>
      <c r="F11843" s="2"/>
      <c r="G11843" s="2"/>
      <c r="H11843" s="2"/>
    </row>
    <row r="11844" spans="1:8" x14ac:dyDescent="0.25">
      <c r="A11844" s="1"/>
      <c r="B11844" s="1" t="s">
        <v>5676</v>
      </c>
      <c r="C11844" s="1" t="s">
        <v>5677</v>
      </c>
      <c r="D11844" s="22" t="str">
        <f>HYPERLINK("https://rhld.insurance.arkansas.gov/NPILookup?Npi=1134494339","1134494339")</f>
        <v>1134494339</v>
      </c>
      <c r="E11844" s="1" t="s">
        <v>20673</v>
      </c>
      <c r="F11844" s="2"/>
      <c r="G11844" s="2"/>
      <c r="H11844" s="2"/>
    </row>
    <row r="11845" spans="1:8" x14ac:dyDescent="0.25">
      <c r="A11845" s="1"/>
      <c r="B11845" s="1" t="s">
        <v>5676</v>
      </c>
      <c r="C11845" s="1" t="s">
        <v>5677</v>
      </c>
      <c r="D11845" s="22" t="str">
        <f>HYPERLINK("https://rhld.insurance.arkansas.gov/NPILookup?Npi=1144208224","1144208224")</f>
        <v>1144208224</v>
      </c>
      <c r="E11845" s="1" t="s">
        <v>4703</v>
      </c>
      <c r="F11845" s="2"/>
      <c r="G11845" s="2"/>
      <c r="H11845" s="2"/>
    </row>
    <row r="11846" spans="1:8" x14ac:dyDescent="0.25">
      <c r="A11846" s="1"/>
      <c r="B11846" s="1" t="s">
        <v>5676</v>
      </c>
      <c r="C11846" s="1" t="s">
        <v>5677</v>
      </c>
      <c r="D11846" s="22" t="str">
        <f>HYPERLINK("https://rhld.insurance.arkansas.gov/NPILookup?Npi=1144212523","1144212523")</f>
        <v>1144212523</v>
      </c>
      <c r="E11846" s="1" t="s">
        <v>5691</v>
      </c>
      <c r="F11846" s="2"/>
      <c r="G11846" s="2"/>
      <c r="H11846" s="2"/>
    </row>
    <row r="11847" spans="1:8" x14ac:dyDescent="0.25">
      <c r="A11847" s="1"/>
      <c r="B11847" s="1" t="s">
        <v>5676</v>
      </c>
      <c r="C11847" s="1" t="s">
        <v>5677</v>
      </c>
      <c r="D11847" s="22" t="str">
        <f>HYPERLINK("https://rhld.insurance.arkansas.gov/NPILookup?Npi=1144213653","1144213653")</f>
        <v>1144213653</v>
      </c>
      <c r="E11847" s="1" t="s">
        <v>20674</v>
      </c>
      <c r="F11847" s="2"/>
      <c r="G11847" s="2"/>
      <c r="H11847" s="2"/>
    </row>
    <row r="11848" spans="1:8" x14ac:dyDescent="0.25">
      <c r="A11848" s="1"/>
      <c r="B11848" s="1" t="s">
        <v>5676</v>
      </c>
      <c r="C11848" s="1" t="s">
        <v>5677</v>
      </c>
      <c r="D11848" s="22" t="str">
        <f>HYPERLINK("https://rhld.insurance.arkansas.gov/NPILookup?Npi=1144223256","1144223256")</f>
        <v>1144223256</v>
      </c>
      <c r="E11848" s="1" t="s">
        <v>20675</v>
      </c>
      <c r="F11848" s="2"/>
      <c r="G11848" s="2"/>
      <c r="H11848" s="2"/>
    </row>
    <row r="11849" spans="1:8" x14ac:dyDescent="0.25">
      <c r="A11849" s="1"/>
      <c r="B11849" s="1" t="s">
        <v>5676</v>
      </c>
      <c r="C11849" s="1" t="s">
        <v>5677</v>
      </c>
      <c r="D11849" s="22" t="str">
        <f>HYPERLINK("https://rhld.insurance.arkansas.gov/NPILookup?Npi=1144293630","1144293630")</f>
        <v>1144293630</v>
      </c>
      <c r="E11849" s="1" t="s">
        <v>20676</v>
      </c>
      <c r="F11849" s="2"/>
      <c r="G11849" s="2"/>
      <c r="H11849" s="2"/>
    </row>
    <row r="11850" spans="1:8" x14ac:dyDescent="0.25">
      <c r="A11850" s="1"/>
      <c r="B11850" s="1" t="s">
        <v>5676</v>
      </c>
      <c r="C11850" s="1" t="s">
        <v>5677</v>
      </c>
      <c r="D11850" s="22" t="str">
        <f>HYPERLINK("https://rhld.insurance.arkansas.gov/NPILookup?Npi=1144541210","1144541210")</f>
        <v>1144541210</v>
      </c>
      <c r="E11850" s="1" t="s">
        <v>5692</v>
      </c>
      <c r="F11850" s="2"/>
      <c r="G11850" s="2"/>
      <c r="H11850" s="2"/>
    </row>
    <row r="11851" spans="1:8" x14ac:dyDescent="0.25">
      <c r="A11851" s="1"/>
      <c r="B11851" s="1" t="s">
        <v>5676</v>
      </c>
      <c r="C11851" s="1" t="s">
        <v>5677</v>
      </c>
      <c r="D11851" s="22" t="str">
        <f>HYPERLINK("https://rhld.insurance.arkansas.gov/NPILookup?Npi=1154318038","1154318038")</f>
        <v>1154318038</v>
      </c>
      <c r="E11851" s="1" t="s">
        <v>20677</v>
      </c>
      <c r="F11851" s="2"/>
      <c r="G11851" s="2"/>
      <c r="H11851" s="2"/>
    </row>
    <row r="11852" spans="1:8" x14ac:dyDescent="0.25">
      <c r="A11852" s="1"/>
      <c r="B11852" s="1" t="s">
        <v>5676</v>
      </c>
      <c r="C11852" s="1" t="s">
        <v>5677</v>
      </c>
      <c r="D11852" s="22" t="str">
        <f>HYPERLINK("https://rhld.insurance.arkansas.gov/NPILookup?Npi=1154318947","1154318947")</f>
        <v>1154318947</v>
      </c>
      <c r="E11852" s="1" t="s">
        <v>5693</v>
      </c>
      <c r="F11852" s="2"/>
      <c r="G11852" s="2"/>
      <c r="H11852" s="2"/>
    </row>
    <row r="11853" spans="1:8" x14ac:dyDescent="0.25">
      <c r="A11853" s="1"/>
      <c r="B11853" s="1" t="s">
        <v>5676</v>
      </c>
      <c r="C11853" s="1" t="s">
        <v>5677</v>
      </c>
      <c r="D11853" s="22" t="str">
        <f>HYPERLINK("https://rhld.insurance.arkansas.gov/NPILookup?Npi=1154413227","1154413227")</f>
        <v>1154413227</v>
      </c>
      <c r="E11853" s="1" t="s">
        <v>11326</v>
      </c>
      <c r="F11853" s="2"/>
      <c r="G11853" s="2"/>
      <c r="H11853" s="2"/>
    </row>
    <row r="11854" spans="1:8" x14ac:dyDescent="0.25">
      <c r="A11854" s="1"/>
      <c r="B11854" s="1" t="s">
        <v>5676</v>
      </c>
      <c r="C11854" s="1" t="s">
        <v>5677</v>
      </c>
      <c r="D11854" s="22" t="str">
        <f>HYPERLINK("https://rhld.insurance.arkansas.gov/NPILookup?Npi=1154540490","1154540490")</f>
        <v>1154540490</v>
      </c>
      <c r="E11854" s="1" t="s">
        <v>20678</v>
      </c>
      <c r="F11854" s="2"/>
      <c r="G11854" s="2"/>
      <c r="H11854" s="2"/>
    </row>
    <row r="11855" spans="1:8" x14ac:dyDescent="0.25">
      <c r="A11855" s="1"/>
      <c r="B11855" s="1" t="s">
        <v>5676</v>
      </c>
      <c r="C11855" s="1" t="s">
        <v>5677</v>
      </c>
      <c r="D11855" s="22" t="str">
        <f>HYPERLINK("https://rhld.insurance.arkansas.gov/NPILookup?Npi=1154548972","1154548972")</f>
        <v>1154548972</v>
      </c>
      <c r="E11855" s="1" t="s">
        <v>5694</v>
      </c>
      <c r="F11855" s="2"/>
      <c r="G11855" s="2"/>
      <c r="H11855" s="2"/>
    </row>
    <row r="11856" spans="1:8" x14ac:dyDescent="0.25">
      <c r="A11856" s="1"/>
      <c r="B11856" s="1" t="s">
        <v>5676</v>
      </c>
      <c r="C11856" s="1" t="s">
        <v>5677</v>
      </c>
      <c r="D11856" s="22" t="str">
        <f>HYPERLINK("https://rhld.insurance.arkansas.gov/NPILookup?Npi=1154556678","1154556678")</f>
        <v>1154556678</v>
      </c>
      <c r="E11856" s="1" t="s">
        <v>11327</v>
      </c>
      <c r="F11856" s="2"/>
      <c r="G11856" s="2"/>
      <c r="H11856" s="2"/>
    </row>
    <row r="11857" spans="1:8" x14ac:dyDescent="0.25">
      <c r="A11857" s="1"/>
      <c r="B11857" s="1" t="s">
        <v>5676</v>
      </c>
      <c r="C11857" s="1" t="s">
        <v>5677</v>
      </c>
      <c r="D11857" s="22" t="str">
        <f>HYPERLINK("https://rhld.insurance.arkansas.gov/NPILookup?Npi=1154601805","1154601805")</f>
        <v>1154601805</v>
      </c>
      <c r="E11857" s="1" t="s">
        <v>5695</v>
      </c>
      <c r="F11857" s="2"/>
      <c r="G11857" s="2"/>
      <c r="H11857" s="2"/>
    </row>
    <row r="11858" spans="1:8" x14ac:dyDescent="0.25">
      <c r="A11858" s="1"/>
      <c r="B11858" s="1" t="s">
        <v>5676</v>
      </c>
      <c r="C11858" s="1" t="s">
        <v>5677</v>
      </c>
      <c r="D11858" s="22" t="str">
        <f>HYPERLINK("https://rhld.insurance.arkansas.gov/NPILookup?Npi=1154717296","1154717296")</f>
        <v>1154717296</v>
      </c>
      <c r="E11858" s="1" t="s">
        <v>5696</v>
      </c>
      <c r="F11858" s="2"/>
      <c r="G11858" s="2"/>
      <c r="H11858" s="2"/>
    </row>
    <row r="11859" spans="1:8" x14ac:dyDescent="0.25">
      <c r="A11859" s="1"/>
      <c r="B11859" s="1" t="s">
        <v>5676</v>
      </c>
      <c r="C11859" s="1" t="s">
        <v>5677</v>
      </c>
      <c r="D11859" s="22" t="str">
        <f>HYPERLINK("https://rhld.insurance.arkansas.gov/NPILookup?Npi=1154736817","1154736817")</f>
        <v>1154736817</v>
      </c>
      <c r="E11859" s="1" t="s">
        <v>11328</v>
      </c>
      <c r="F11859" s="2"/>
      <c r="G11859" s="2"/>
      <c r="H11859" s="2"/>
    </row>
    <row r="11860" spans="1:8" x14ac:dyDescent="0.25">
      <c r="A11860" s="1"/>
      <c r="B11860" s="1" t="s">
        <v>5676</v>
      </c>
      <c r="C11860" s="1" t="s">
        <v>5677</v>
      </c>
      <c r="D11860" s="22" t="str">
        <f>HYPERLINK("https://rhld.insurance.arkansas.gov/NPILookup?Npi=1164418992","1164418992")</f>
        <v>1164418992</v>
      </c>
      <c r="E11860" s="1" t="s">
        <v>11329</v>
      </c>
      <c r="F11860" s="2"/>
      <c r="G11860" s="2"/>
      <c r="H11860" s="2"/>
    </row>
    <row r="11861" spans="1:8" x14ac:dyDescent="0.25">
      <c r="A11861" s="1"/>
      <c r="B11861" s="1" t="s">
        <v>5676</v>
      </c>
      <c r="C11861" s="1" t="s">
        <v>5677</v>
      </c>
      <c r="D11861" s="22" t="str">
        <f>HYPERLINK("https://rhld.insurance.arkansas.gov/NPILookup?Npi=1164818654","1164818654")</f>
        <v>1164818654</v>
      </c>
      <c r="E11861" s="1" t="s">
        <v>20679</v>
      </c>
      <c r="F11861" s="2"/>
      <c r="G11861" s="2"/>
      <c r="H11861" s="2"/>
    </row>
    <row r="11862" spans="1:8" x14ac:dyDescent="0.25">
      <c r="A11862" s="1"/>
      <c r="B11862" s="1" t="s">
        <v>5676</v>
      </c>
      <c r="C11862" s="1" t="s">
        <v>5677</v>
      </c>
      <c r="D11862" s="22" t="str">
        <f>HYPERLINK("https://rhld.insurance.arkansas.gov/NPILookup?Npi=1164953469","1164953469")</f>
        <v>1164953469</v>
      </c>
      <c r="E11862" s="1" t="s">
        <v>11330</v>
      </c>
      <c r="F11862" s="2"/>
      <c r="G11862" s="2"/>
      <c r="H11862" s="2"/>
    </row>
    <row r="11863" spans="1:8" x14ac:dyDescent="0.25">
      <c r="A11863" s="1"/>
      <c r="B11863" s="1" t="s">
        <v>5676</v>
      </c>
      <c r="C11863" s="1" t="s">
        <v>5677</v>
      </c>
      <c r="D11863" s="22" t="str">
        <f>HYPERLINK("https://rhld.insurance.arkansas.gov/NPILookup?Npi=1174684229","1174684229")</f>
        <v>1174684229</v>
      </c>
      <c r="E11863" s="1" t="s">
        <v>20680</v>
      </c>
      <c r="F11863" s="2"/>
      <c r="G11863" s="2"/>
      <c r="H11863" s="2"/>
    </row>
    <row r="11864" spans="1:8" x14ac:dyDescent="0.25">
      <c r="A11864" s="1"/>
      <c r="B11864" s="1" t="s">
        <v>5676</v>
      </c>
      <c r="C11864" s="1" t="s">
        <v>5677</v>
      </c>
      <c r="D11864" s="22" t="str">
        <f>HYPERLINK("https://rhld.insurance.arkansas.gov/NPILookup?Npi=1174759203","1174759203")</f>
        <v>1174759203</v>
      </c>
      <c r="E11864" s="1" t="s">
        <v>11331</v>
      </c>
      <c r="F11864" s="2"/>
      <c r="G11864" s="2"/>
      <c r="H11864" s="2"/>
    </row>
    <row r="11865" spans="1:8" x14ac:dyDescent="0.25">
      <c r="A11865" s="1"/>
      <c r="B11865" s="1" t="s">
        <v>5676</v>
      </c>
      <c r="C11865" s="1" t="s">
        <v>5677</v>
      </c>
      <c r="D11865" s="22" t="str">
        <f>HYPERLINK("https://rhld.insurance.arkansas.gov/NPILookup?Npi=1184018632","1184018632")</f>
        <v>1184018632</v>
      </c>
      <c r="E11865" s="1" t="s">
        <v>5697</v>
      </c>
      <c r="F11865" s="2"/>
      <c r="G11865" s="2"/>
      <c r="H11865" s="2"/>
    </row>
    <row r="11866" spans="1:8" x14ac:dyDescent="0.25">
      <c r="A11866" s="1"/>
      <c r="B11866" s="1" t="s">
        <v>5676</v>
      </c>
      <c r="C11866" s="1" t="s">
        <v>5677</v>
      </c>
      <c r="D11866" s="22" t="str">
        <f>HYPERLINK("https://rhld.insurance.arkansas.gov/NPILookup?Npi=1184157125","1184157125")</f>
        <v>1184157125</v>
      </c>
      <c r="E11866" s="1" t="s">
        <v>5699</v>
      </c>
      <c r="F11866" s="2"/>
      <c r="G11866" s="2"/>
      <c r="H11866" s="2"/>
    </row>
    <row r="11867" spans="1:8" x14ac:dyDescent="0.25">
      <c r="A11867" s="1"/>
      <c r="B11867" s="1" t="s">
        <v>5676</v>
      </c>
      <c r="C11867" s="1" t="s">
        <v>5677</v>
      </c>
      <c r="D11867" s="22" t="str">
        <f>HYPERLINK("https://rhld.insurance.arkansas.gov/NPILookup?Npi=1184627820","1184627820")</f>
        <v>1184627820</v>
      </c>
      <c r="E11867" s="1" t="s">
        <v>20681</v>
      </c>
      <c r="F11867" s="2"/>
      <c r="G11867" s="2"/>
      <c r="H11867" s="2"/>
    </row>
    <row r="11868" spans="1:8" x14ac:dyDescent="0.25">
      <c r="A11868" s="1"/>
      <c r="B11868" s="1" t="s">
        <v>5676</v>
      </c>
      <c r="C11868" s="1" t="s">
        <v>5677</v>
      </c>
      <c r="D11868" s="22" t="str">
        <f>HYPERLINK("https://rhld.insurance.arkansas.gov/NPILookup?Npi=1184684375","1184684375")</f>
        <v>1184684375</v>
      </c>
      <c r="E11868" s="1" t="s">
        <v>20682</v>
      </c>
      <c r="F11868" s="2"/>
      <c r="G11868" s="2"/>
      <c r="H11868" s="2"/>
    </row>
    <row r="11869" spans="1:8" x14ac:dyDescent="0.25">
      <c r="A11869" s="1"/>
      <c r="B11869" s="1" t="s">
        <v>5676</v>
      </c>
      <c r="C11869" s="1" t="s">
        <v>5677</v>
      </c>
      <c r="D11869" s="22" t="str">
        <f>HYPERLINK("https://rhld.insurance.arkansas.gov/NPILookup?Npi=1194258335","1194258335")</f>
        <v>1194258335</v>
      </c>
      <c r="E11869" s="1" t="s">
        <v>8068</v>
      </c>
      <c r="F11869" s="2"/>
      <c r="G11869" s="2"/>
      <c r="H11869" s="2"/>
    </row>
    <row r="11870" spans="1:8" x14ac:dyDescent="0.25">
      <c r="A11870" s="1"/>
      <c r="B11870" s="1" t="s">
        <v>5676</v>
      </c>
      <c r="C11870" s="1" t="s">
        <v>5677</v>
      </c>
      <c r="D11870" s="22" t="str">
        <f>HYPERLINK("https://rhld.insurance.arkansas.gov/NPILookup?Npi=1194305672","1194305672")</f>
        <v>1194305672</v>
      </c>
      <c r="E11870" s="1" t="s">
        <v>11332</v>
      </c>
      <c r="F11870" s="2"/>
      <c r="G11870" s="2"/>
      <c r="H11870" s="2"/>
    </row>
    <row r="11871" spans="1:8" x14ac:dyDescent="0.25">
      <c r="A11871" s="1"/>
      <c r="B11871" s="1" t="s">
        <v>5676</v>
      </c>
      <c r="C11871" s="1" t="s">
        <v>5677</v>
      </c>
      <c r="D11871" s="22" t="str">
        <f>HYPERLINK("https://rhld.insurance.arkansas.gov/NPILookup?Npi=1194700021","1194700021")</f>
        <v>1194700021</v>
      </c>
      <c r="E11871" s="1" t="s">
        <v>5700</v>
      </c>
      <c r="F11871" s="2"/>
      <c r="G11871" s="2"/>
      <c r="H11871" s="2"/>
    </row>
    <row r="11872" spans="1:8" x14ac:dyDescent="0.25">
      <c r="A11872" s="1"/>
      <c r="B11872" s="1" t="s">
        <v>5676</v>
      </c>
      <c r="C11872" s="1" t="s">
        <v>5677</v>
      </c>
      <c r="D11872" s="22" t="str">
        <f>HYPERLINK("https://rhld.insurance.arkansas.gov/NPILookup?Npi=1194750893","1194750893")</f>
        <v>1194750893</v>
      </c>
      <c r="E11872" s="1" t="s">
        <v>20683</v>
      </c>
      <c r="F11872" s="2"/>
      <c r="G11872" s="2"/>
      <c r="H11872" s="2"/>
    </row>
    <row r="11873" spans="1:8" x14ac:dyDescent="0.25">
      <c r="A11873" s="1"/>
      <c r="B11873" s="1" t="s">
        <v>5676</v>
      </c>
      <c r="C11873" s="1" t="s">
        <v>5677</v>
      </c>
      <c r="D11873" s="22" t="str">
        <f>HYPERLINK("https://rhld.insurance.arkansas.gov/NPILookup?Npi=1194863290","1194863290")</f>
        <v>1194863290</v>
      </c>
      <c r="E11873" s="1" t="s">
        <v>11333</v>
      </c>
      <c r="F11873" s="2"/>
      <c r="G11873" s="2"/>
      <c r="H11873" s="2"/>
    </row>
    <row r="11874" spans="1:8" x14ac:dyDescent="0.25">
      <c r="A11874" s="1"/>
      <c r="B11874" s="1" t="s">
        <v>5676</v>
      </c>
      <c r="C11874" s="1" t="s">
        <v>5677</v>
      </c>
      <c r="D11874" s="22" t="str">
        <f>HYPERLINK("https://rhld.insurance.arkansas.gov/NPILookup?Npi=1205264074","1205264074")</f>
        <v>1205264074</v>
      </c>
      <c r="E11874" s="1" t="s">
        <v>11334</v>
      </c>
      <c r="F11874" s="2"/>
      <c r="G11874" s="2"/>
      <c r="H11874" s="2"/>
    </row>
    <row r="11875" spans="1:8" x14ac:dyDescent="0.25">
      <c r="A11875" s="1"/>
      <c r="B11875" s="1" t="s">
        <v>5676</v>
      </c>
      <c r="C11875" s="1" t="s">
        <v>5677</v>
      </c>
      <c r="D11875" s="22" t="str">
        <f>HYPERLINK("https://rhld.insurance.arkansas.gov/NPILookup?Npi=1205833142","1205833142")</f>
        <v>1205833142</v>
      </c>
      <c r="E11875" s="1" t="s">
        <v>31768</v>
      </c>
      <c r="F11875" s="2"/>
      <c r="G11875" s="2"/>
      <c r="H11875" s="2"/>
    </row>
    <row r="11876" spans="1:8" x14ac:dyDescent="0.25">
      <c r="A11876" s="1"/>
      <c r="B11876" s="1" t="s">
        <v>5676</v>
      </c>
      <c r="C11876" s="1" t="s">
        <v>5677</v>
      </c>
      <c r="D11876" s="22" t="str">
        <f>HYPERLINK("https://rhld.insurance.arkansas.gov/NPILookup?Npi=1215067996","1215067996")</f>
        <v>1215067996</v>
      </c>
      <c r="E11876" s="1" t="s">
        <v>20684</v>
      </c>
      <c r="F11876" s="2"/>
      <c r="G11876" s="2"/>
      <c r="H11876" s="2"/>
    </row>
    <row r="11877" spans="1:8" x14ac:dyDescent="0.25">
      <c r="A11877" s="1"/>
      <c r="B11877" s="1" t="s">
        <v>5676</v>
      </c>
      <c r="C11877" s="1" t="s">
        <v>5677</v>
      </c>
      <c r="D11877" s="22" t="str">
        <f>HYPERLINK("https://rhld.insurance.arkansas.gov/NPILookup?Npi=1215220546","1215220546")</f>
        <v>1215220546</v>
      </c>
      <c r="E11877" s="1" t="s">
        <v>5701</v>
      </c>
      <c r="F11877" s="2"/>
      <c r="G11877" s="2"/>
      <c r="H11877" s="2"/>
    </row>
    <row r="11878" spans="1:8" x14ac:dyDescent="0.25">
      <c r="A11878" s="1"/>
      <c r="B11878" s="1" t="s">
        <v>5676</v>
      </c>
      <c r="C11878" s="1" t="s">
        <v>5677</v>
      </c>
      <c r="D11878" s="22" t="str">
        <f>HYPERLINK("https://rhld.insurance.arkansas.gov/NPILookup?Npi=1215257308","1215257308")</f>
        <v>1215257308</v>
      </c>
      <c r="E11878" s="1" t="s">
        <v>20685</v>
      </c>
      <c r="F11878" s="2"/>
      <c r="G11878" s="2"/>
      <c r="H11878" s="2"/>
    </row>
    <row r="11879" spans="1:8" x14ac:dyDescent="0.25">
      <c r="A11879" s="1"/>
      <c r="B11879" s="1" t="s">
        <v>5676</v>
      </c>
      <c r="C11879" s="1" t="s">
        <v>5677</v>
      </c>
      <c r="D11879" s="22" t="str">
        <f>HYPERLINK("https://rhld.insurance.arkansas.gov/NPILookup?Npi=1215373196","1215373196")</f>
        <v>1215373196</v>
      </c>
      <c r="E11879" s="1" t="s">
        <v>3879</v>
      </c>
      <c r="F11879" s="2"/>
      <c r="G11879" s="2"/>
      <c r="H11879" s="2"/>
    </row>
    <row r="11880" spans="1:8" x14ac:dyDescent="0.25">
      <c r="A11880" s="1"/>
      <c r="B11880" s="1" t="s">
        <v>5676</v>
      </c>
      <c r="C11880" s="1" t="s">
        <v>5677</v>
      </c>
      <c r="D11880" s="22" t="str">
        <f>HYPERLINK("https://rhld.insurance.arkansas.gov/NPILookup?Npi=1215469556","1215469556")</f>
        <v>1215469556</v>
      </c>
      <c r="E11880" s="1" t="s">
        <v>4909</v>
      </c>
      <c r="F11880" s="2"/>
      <c r="G11880" s="2"/>
      <c r="H11880" s="2"/>
    </row>
    <row r="11881" spans="1:8" x14ac:dyDescent="0.25">
      <c r="A11881" s="1"/>
      <c r="B11881" s="1" t="s">
        <v>5676</v>
      </c>
      <c r="C11881" s="1" t="s">
        <v>5677</v>
      </c>
      <c r="D11881" s="22" t="str">
        <f>HYPERLINK("https://rhld.insurance.arkansas.gov/NPILookup?Npi=1215908710","1215908710")</f>
        <v>1215908710</v>
      </c>
      <c r="E11881" s="1" t="s">
        <v>20686</v>
      </c>
      <c r="F11881" s="2"/>
      <c r="G11881" s="2"/>
      <c r="H11881" s="2"/>
    </row>
    <row r="11882" spans="1:8" x14ac:dyDescent="0.25">
      <c r="A11882" s="1"/>
      <c r="B11882" s="1" t="s">
        <v>5676</v>
      </c>
      <c r="C11882" s="1" t="s">
        <v>5677</v>
      </c>
      <c r="D11882" s="22" t="str">
        <f>HYPERLINK("https://rhld.insurance.arkansas.gov/NPILookup?Npi=1225023260","1225023260")</f>
        <v>1225023260</v>
      </c>
      <c r="E11882" s="1" t="s">
        <v>20687</v>
      </c>
      <c r="F11882" s="2"/>
      <c r="G11882" s="2"/>
      <c r="H11882" s="2"/>
    </row>
    <row r="11883" spans="1:8" x14ac:dyDescent="0.25">
      <c r="A11883" s="1"/>
      <c r="B11883" s="1" t="s">
        <v>5676</v>
      </c>
      <c r="C11883" s="1" t="s">
        <v>5677</v>
      </c>
      <c r="D11883" s="22" t="str">
        <f>HYPERLINK("https://rhld.insurance.arkansas.gov/NPILookup?Npi=1225036924","1225036924")</f>
        <v>1225036924</v>
      </c>
      <c r="E11883" s="1" t="s">
        <v>20688</v>
      </c>
      <c r="F11883" s="2"/>
      <c r="G11883" s="2"/>
      <c r="H11883" s="2"/>
    </row>
    <row r="11884" spans="1:8" x14ac:dyDescent="0.25">
      <c r="A11884" s="1"/>
      <c r="B11884" s="1" t="s">
        <v>5676</v>
      </c>
      <c r="C11884" s="1" t="s">
        <v>5677</v>
      </c>
      <c r="D11884" s="22" t="str">
        <f>HYPERLINK("https://rhld.insurance.arkansas.gov/NPILookup?Npi=1225038383","1225038383")</f>
        <v>1225038383</v>
      </c>
      <c r="E11884" s="1" t="s">
        <v>11335</v>
      </c>
      <c r="F11884" s="2"/>
      <c r="G11884" s="2"/>
      <c r="H11884" s="2"/>
    </row>
    <row r="11885" spans="1:8" x14ac:dyDescent="0.25">
      <c r="A11885" s="1"/>
      <c r="B11885" s="1" t="s">
        <v>5676</v>
      </c>
      <c r="C11885" s="1" t="s">
        <v>5677</v>
      </c>
      <c r="D11885" s="22" t="str">
        <f>HYPERLINK("https://rhld.insurance.arkansas.gov/NPILookup?Npi=1235102724","1235102724")</f>
        <v>1235102724</v>
      </c>
      <c r="E11885" s="1" t="s">
        <v>9821</v>
      </c>
      <c r="F11885" s="2"/>
      <c r="G11885" s="2"/>
      <c r="H11885" s="2"/>
    </row>
    <row r="11886" spans="1:8" x14ac:dyDescent="0.25">
      <c r="A11886" s="1"/>
      <c r="B11886" s="1" t="s">
        <v>5676</v>
      </c>
      <c r="C11886" s="1" t="s">
        <v>5677</v>
      </c>
      <c r="D11886" s="22" t="str">
        <f>HYPERLINK("https://rhld.insurance.arkansas.gov/NPILookup?Npi=1235140211","1235140211")</f>
        <v>1235140211</v>
      </c>
      <c r="E11886" s="1" t="s">
        <v>11336</v>
      </c>
      <c r="F11886" s="2"/>
      <c r="G11886" s="2"/>
      <c r="H11886" s="2"/>
    </row>
    <row r="11887" spans="1:8" x14ac:dyDescent="0.25">
      <c r="A11887" s="1"/>
      <c r="B11887" s="1" t="s">
        <v>5676</v>
      </c>
      <c r="C11887" s="1" t="s">
        <v>5677</v>
      </c>
      <c r="D11887" s="22" t="str">
        <f>HYPERLINK("https://rhld.insurance.arkansas.gov/NPILookup?Npi=1235289596","1235289596")</f>
        <v>1235289596</v>
      </c>
      <c r="E11887" s="1" t="s">
        <v>11337</v>
      </c>
      <c r="F11887" s="2"/>
      <c r="G11887" s="2"/>
      <c r="H11887" s="2"/>
    </row>
    <row r="11888" spans="1:8" x14ac:dyDescent="0.25">
      <c r="A11888" s="1"/>
      <c r="B11888" s="1" t="s">
        <v>5676</v>
      </c>
      <c r="C11888" s="1" t="s">
        <v>5677</v>
      </c>
      <c r="D11888" s="22" t="str">
        <f>HYPERLINK("https://rhld.insurance.arkansas.gov/NPILookup?Npi=1235399163","1235399163")</f>
        <v>1235399163</v>
      </c>
      <c r="E11888" s="1" t="s">
        <v>20689</v>
      </c>
      <c r="F11888" s="2"/>
      <c r="G11888" s="2"/>
      <c r="H11888" s="2"/>
    </row>
    <row r="11889" spans="1:8" x14ac:dyDescent="0.25">
      <c r="A11889" s="1"/>
      <c r="B11889" s="1" t="s">
        <v>5676</v>
      </c>
      <c r="C11889" s="1" t="s">
        <v>5677</v>
      </c>
      <c r="D11889" s="22" t="str">
        <f>HYPERLINK("https://rhld.insurance.arkansas.gov/NPILookup?Npi=1235459884","1235459884")</f>
        <v>1235459884</v>
      </c>
      <c r="E11889" s="1" t="s">
        <v>20690</v>
      </c>
      <c r="F11889" s="2"/>
      <c r="G11889" s="2"/>
      <c r="H11889" s="2"/>
    </row>
    <row r="11890" spans="1:8" x14ac:dyDescent="0.25">
      <c r="A11890" s="1"/>
      <c r="B11890" s="1" t="s">
        <v>5676</v>
      </c>
      <c r="C11890" s="1" t="s">
        <v>5677</v>
      </c>
      <c r="D11890" s="22" t="str">
        <f>HYPERLINK("https://rhld.insurance.arkansas.gov/NPILookup?Npi=1235524653","1235524653")</f>
        <v>1235524653</v>
      </c>
      <c r="E11890" s="1" t="s">
        <v>20691</v>
      </c>
      <c r="F11890" s="2"/>
      <c r="G11890" s="2"/>
      <c r="H11890" s="2"/>
    </row>
    <row r="11891" spans="1:8" x14ac:dyDescent="0.25">
      <c r="A11891" s="1"/>
      <c r="B11891" s="1" t="s">
        <v>5676</v>
      </c>
      <c r="C11891" s="1" t="s">
        <v>5677</v>
      </c>
      <c r="D11891" s="22" t="str">
        <f>HYPERLINK("https://rhld.insurance.arkansas.gov/NPILookup?Npi=1245203736","1245203736")</f>
        <v>1245203736</v>
      </c>
      <c r="E11891" s="1" t="s">
        <v>5685</v>
      </c>
      <c r="F11891" s="2"/>
      <c r="G11891" s="2"/>
      <c r="H11891" s="2"/>
    </row>
    <row r="11892" spans="1:8" x14ac:dyDescent="0.25">
      <c r="A11892" s="1"/>
      <c r="B11892" s="1" t="s">
        <v>5676</v>
      </c>
      <c r="C11892" s="1" t="s">
        <v>5677</v>
      </c>
      <c r="D11892" s="22" t="str">
        <f>HYPERLINK("https://rhld.insurance.arkansas.gov/NPILookup?Npi=1245222116","1245222116")</f>
        <v>1245222116</v>
      </c>
      <c r="E11892" s="1" t="s">
        <v>20693</v>
      </c>
      <c r="F11892" s="2"/>
      <c r="G11892" s="2"/>
      <c r="H11892" s="2"/>
    </row>
    <row r="11893" spans="1:8" x14ac:dyDescent="0.25">
      <c r="A11893" s="1"/>
      <c r="B11893" s="1" t="s">
        <v>5676</v>
      </c>
      <c r="C11893" s="1" t="s">
        <v>5677</v>
      </c>
      <c r="D11893" s="22" t="str">
        <f>HYPERLINK("https://rhld.insurance.arkansas.gov/NPILookup?Npi=1245222959","1245222959")</f>
        <v>1245222959</v>
      </c>
      <c r="E11893" s="1" t="s">
        <v>5702</v>
      </c>
      <c r="F11893" s="2"/>
      <c r="G11893" s="2"/>
      <c r="H11893" s="2"/>
    </row>
    <row r="11894" spans="1:8" x14ac:dyDescent="0.25">
      <c r="A11894" s="1"/>
      <c r="B11894" s="1" t="s">
        <v>5676</v>
      </c>
      <c r="C11894" s="1" t="s">
        <v>5677</v>
      </c>
      <c r="D11894" s="22" t="str">
        <f>HYPERLINK("https://rhld.insurance.arkansas.gov/NPILookup?Npi=1245421676","1245421676")</f>
        <v>1245421676</v>
      </c>
      <c r="E11894" s="1" t="s">
        <v>11338</v>
      </c>
      <c r="F11894" s="2"/>
      <c r="G11894" s="2"/>
      <c r="H11894" s="2"/>
    </row>
    <row r="11895" spans="1:8" x14ac:dyDescent="0.25">
      <c r="A11895" s="1"/>
      <c r="B11895" s="1" t="s">
        <v>5676</v>
      </c>
      <c r="C11895" s="1" t="s">
        <v>5677</v>
      </c>
      <c r="D11895" s="22" t="str">
        <f>HYPERLINK("https://rhld.insurance.arkansas.gov/NPILookup?Npi=1245487198","1245487198")</f>
        <v>1245487198</v>
      </c>
      <c r="E11895" s="1" t="s">
        <v>20694</v>
      </c>
      <c r="F11895" s="2"/>
      <c r="G11895" s="2"/>
      <c r="H11895" s="2"/>
    </row>
    <row r="11896" spans="1:8" x14ac:dyDescent="0.25">
      <c r="A11896" s="1"/>
      <c r="B11896" s="1" t="s">
        <v>5676</v>
      </c>
      <c r="C11896" s="1" t="s">
        <v>5677</v>
      </c>
      <c r="D11896" s="22" t="str">
        <f>HYPERLINK("https://rhld.insurance.arkansas.gov/NPILookup?Npi=1245501436","1245501436")</f>
        <v>1245501436</v>
      </c>
      <c r="E11896" s="1" t="s">
        <v>20695</v>
      </c>
      <c r="F11896" s="2"/>
      <c r="G11896" s="2"/>
      <c r="H11896" s="2"/>
    </row>
    <row r="11897" spans="1:8" x14ac:dyDescent="0.25">
      <c r="A11897" s="1"/>
      <c r="B11897" s="1" t="s">
        <v>5676</v>
      </c>
      <c r="C11897" s="1" t="s">
        <v>5677</v>
      </c>
      <c r="D11897" s="22" t="str">
        <f>HYPERLINK("https://rhld.insurance.arkansas.gov/NPILookup?Npi=1245673938","1245673938")</f>
        <v>1245673938</v>
      </c>
      <c r="E11897" s="1" t="s">
        <v>5703</v>
      </c>
      <c r="F11897" s="2"/>
      <c r="G11897" s="2"/>
      <c r="H11897" s="2"/>
    </row>
    <row r="11898" spans="1:8" x14ac:dyDescent="0.25">
      <c r="A11898" s="1"/>
      <c r="B11898" s="1" t="s">
        <v>5676</v>
      </c>
      <c r="C11898" s="1" t="s">
        <v>5677</v>
      </c>
      <c r="D11898" s="22" t="str">
        <f>HYPERLINK("https://rhld.insurance.arkansas.gov/NPILookup?Npi=1245694371","1245694371")</f>
        <v>1245694371</v>
      </c>
      <c r="E11898" s="1" t="s">
        <v>5704</v>
      </c>
      <c r="F11898" s="2"/>
      <c r="G11898" s="2"/>
      <c r="H11898" s="2"/>
    </row>
    <row r="11899" spans="1:8" x14ac:dyDescent="0.25">
      <c r="A11899" s="1"/>
      <c r="B11899" s="1" t="s">
        <v>5676</v>
      </c>
      <c r="C11899" s="1" t="s">
        <v>5677</v>
      </c>
      <c r="D11899" s="22" t="str">
        <f>HYPERLINK("https://rhld.insurance.arkansas.gov/NPILookup?Npi=1245791250","1245791250")</f>
        <v>1245791250</v>
      </c>
      <c r="E11899" s="1" t="s">
        <v>20696</v>
      </c>
      <c r="F11899" s="2"/>
      <c r="G11899" s="2"/>
      <c r="H11899" s="2"/>
    </row>
    <row r="11900" spans="1:8" x14ac:dyDescent="0.25">
      <c r="A11900" s="1"/>
      <c r="B11900" s="1" t="s">
        <v>5676</v>
      </c>
      <c r="C11900" s="1" t="s">
        <v>5677</v>
      </c>
      <c r="D11900" s="22" t="str">
        <f>HYPERLINK("https://rhld.insurance.arkansas.gov/NPILookup?Npi=1255042347","1255042347")</f>
        <v>1255042347</v>
      </c>
      <c r="E11900" s="1" t="s">
        <v>20697</v>
      </c>
      <c r="F11900" s="2"/>
      <c r="G11900" s="2"/>
      <c r="H11900" s="2"/>
    </row>
    <row r="11901" spans="1:8" x14ac:dyDescent="0.25">
      <c r="A11901" s="1"/>
      <c r="B11901" s="1" t="s">
        <v>5676</v>
      </c>
      <c r="C11901" s="1" t="s">
        <v>5677</v>
      </c>
      <c r="D11901" s="22" t="str">
        <f>HYPERLINK("https://rhld.insurance.arkansas.gov/NPILookup?Npi=1255446191","1255446191")</f>
        <v>1255446191</v>
      </c>
      <c r="E11901" s="1" t="s">
        <v>4727</v>
      </c>
      <c r="F11901" s="2"/>
      <c r="G11901" s="2"/>
      <c r="H11901" s="2"/>
    </row>
    <row r="11902" spans="1:8" x14ac:dyDescent="0.25">
      <c r="A11902" s="1"/>
      <c r="B11902" s="1" t="s">
        <v>5676</v>
      </c>
      <c r="C11902" s="1" t="s">
        <v>5677</v>
      </c>
      <c r="D11902" s="22" t="str">
        <f>HYPERLINK("https://rhld.insurance.arkansas.gov/NPILookup?Npi=1255599841","1255599841")</f>
        <v>1255599841</v>
      </c>
      <c r="E11902" s="1" t="s">
        <v>20698</v>
      </c>
      <c r="F11902" s="2"/>
      <c r="G11902" s="2"/>
      <c r="H11902" s="2"/>
    </row>
    <row r="11903" spans="1:8" x14ac:dyDescent="0.25">
      <c r="A11903" s="1"/>
      <c r="B11903" s="1" t="s">
        <v>5676</v>
      </c>
      <c r="C11903" s="1" t="s">
        <v>5677</v>
      </c>
      <c r="D11903" s="22" t="str">
        <f>HYPERLINK("https://rhld.insurance.arkansas.gov/NPILookup?Npi=1265429765","1265429765")</f>
        <v>1265429765</v>
      </c>
      <c r="E11903" s="1" t="s">
        <v>20699</v>
      </c>
      <c r="F11903" s="2"/>
      <c r="G11903" s="2"/>
      <c r="H11903" s="2"/>
    </row>
    <row r="11904" spans="1:8" x14ac:dyDescent="0.25">
      <c r="A11904" s="1"/>
      <c r="B11904" s="1" t="s">
        <v>5676</v>
      </c>
      <c r="C11904" s="1" t="s">
        <v>5677</v>
      </c>
      <c r="D11904" s="22" t="str">
        <f>HYPERLINK("https://rhld.insurance.arkansas.gov/NPILookup?Npi=1265465157","1265465157")</f>
        <v>1265465157</v>
      </c>
      <c r="E11904" s="1" t="s">
        <v>5705</v>
      </c>
      <c r="F11904" s="2"/>
      <c r="G11904" s="2"/>
      <c r="H11904" s="2"/>
    </row>
    <row r="11905" spans="1:8" x14ac:dyDescent="0.25">
      <c r="A11905" s="1"/>
      <c r="B11905" s="1" t="s">
        <v>5676</v>
      </c>
      <c r="C11905" s="1" t="s">
        <v>5677</v>
      </c>
      <c r="D11905" s="22" t="str">
        <f>HYPERLINK("https://rhld.insurance.arkansas.gov/NPILookup?Npi=1265520589","1265520589")</f>
        <v>1265520589</v>
      </c>
      <c r="E11905" s="1" t="s">
        <v>20700</v>
      </c>
      <c r="F11905" s="2"/>
      <c r="G11905" s="2"/>
      <c r="H11905" s="2"/>
    </row>
    <row r="11906" spans="1:8" x14ac:dyDescent="0.25">
      <c r="A11906" s="1"/>
      <c r="B11906" s="1" t="s">
        <v>5676</v>
      </c>
      <c r="C11906" s="1" t="s">
        <v>5677</v>
      </c>
      <c r="D11906" s="22" t="str">
        <f>HYPERLINK("https://rhld.insurance.arkansas.gov/NPILookup?Npi=1265644090","1265644090")</f>
        <v>1265644090</v>
      </c>
      <c r="E11906" s="1" t="s">
        <v>20701</v>
      </c>
      <c r="F11906" s="2"/>
      <c r="G11906" s="2"/>
      <c r="H11906" s="2"/>
    </row>
    <row r="11907" spans="1:8" x14ac:dyDescent="0.25">
      <c r="A11907" s="1"/>
      <c r="B11907" s="1" t="s">
        <v>5676</v>
      </c>
      <c r="C11907" s="1" t="s">
        <v>5677</v>
      </c>
      <c r="D11907" s="22" t="str">
        <f>HYPERLINK("https://rhld.insurance.arkansas.gov/NPILookup?Npi=1265688733","1265688733")</f>
        <v>1265688733</v>
      </c>
      <c r="E11907" s="1" t="s">
        <v>20702</v>
      </c>
      <c r="F11907" s="2"/>
      <c r="G11907" s="2"/>
      <c r="H11907" s="2"/>
    </row>
    <row r="11908" spans="1:8" x14ac:dyDescent="0.25">
      <c r="A11908" s="1"/>
      <c r="B11908" s="1" t="s">
        <v>5676</v>
      </c>
      <c r="C11908" s="1" t="s">
        <v>5677</v>
      </c>
      <c r="D11908" s="22" t="str">
        <f>HYPERLINK("https://rhld.insurance.arkansas.gov/NPILookup?Npi=1275518110","1275518110")</f>
        <v>1275518110</v>
      </c>
      <c r="E11908" s="1" t="s">
        <v>5706</v>
      </c>
      <c r="F11908" s="2"/>
      <c r="G11908" s="2"/>
      <c r="H11908" s="2"/>
    </row>
    <row r="11909" spans="1:8" x14ac:dyDescent="0.25">
      <c r="A11909" s="1"/>
      <c r="B11909" s="1" t="s">
        <v>5676</v>
      </c>
      <c r="C11909" s="1" t="s">
        <v>5677</v>
      </c>
      <c r="D11909" s="22" t="str">
        <f>HYPERLINK("https://rhld.insurance.arkansas.gov/NPILookup?Npi=1275520843","1275520843")</f>
        <v>1275520843</v>
      </c>
      <c r="E11909" s="1" t="s">
        <v>11339</v>
      </c>
      <c r="F11909" s="2"/>
      <c r="G11909" s="2"/>
      <c r="H11909" s="2"/>
    </row>
    <row r="11910" spans="1:8" x14ac:dyDescent="0.25">
      <c r="A11910" s="1"/>
      <c r="B11910" s="1" t="s">
        <v>5676</v>
      </c>
      <c r="C11910" s="1" t="s">
        <v>5677</v>
      </c>
      <c r="D11910" s="22" t="str">
        <f>HYPERLINK("https://rhld.insurance.arkansas.gov/NPILookup?Npi=1275542581","1275542581")</f>
        <v>1275542581</v>
      </c>
      <c r="E11910" s="1" t="s">
        <v>18404</v>
      </c>
      <c r="F11910" s="2"/>
      <c r="G11910" s="2"/>
      <c r="H11910" s="2"/>
    </row>
    <row r="11911" spans="1:8" x14ac:dyDescent="0.25">
      <c r="A11911" s="1"/>
      <c r="B11911" s="1" t="s">
        <v>5676</v>
      </c>
      <c r="C11911" s="1" t="s">
        <v>5677</v>
      </c>
      <c r="D11911" s="22" t="str">
        <f>HYPERLINK("https://rhld.insurance.arkansas.gov/NPILookup?Npi=1275701963","1275701963")</f>
        <v>1275701963</v>
      </c>
      <c r="E11911" s="1" t="s">
        <v>5707</v>
      </c>
      <c r="F11911" s="2"/>
      <c r="G11911" s="2"/>
      <c r="H11911" s="2"/>
    </row>
    <row r="11912" spans="1:8" x14ac:dyDescent="0.25">
      <c r="A11912" s="1"/>
      <c r="B11912" s="1" t="s">
        <v>5676</v>
      </c>
      <c r="C11912" s="1" t="s">
        <v>5677</v>
      </c>
      <c r="D11912" s="22" t="str">
        <f>HYPERLINK("https://rhld.insurance.arkansas.gov/NPILookup?Npi=1275829723","1275829723")</f>
        <v>1275829723</v>
      </c>
      <c r="E11912" s="1" t="s">
        <v>5708</v>
      </c>
      <c r="F11912" s="2"/>
      <c r="G11912" s="2"/>
      <c r="H11912" s="2"/>
    </row>
    <row r="11913" spans="1:8" x14ac:dyDescent="0.25">
      <c r="A11913" s="1"/>
      <c r="B11913" s="1" t="s">
        <v>5676</v>
      </c>
      <c r="C11913" s="1" t="s">
        <v>5677</v>
      </c>
      <c r="D11913" s="22" t="str">
        <f>HYPERLINK("https://rhld.insurance.arkansas.gov/NPILookup?Npi=1285621664","1285621664")</f>
        <v>1285621664</v>
      </c>
      <c r="E11913" s="1" t="s">
        <v>20703</v>
      </c>
      <c r="F11913" s="2"/>
      <c r="G11913" s="2"/>
      <c r="H11913" s="2"/>
    </row>
    <row r="11914" spans="1:8" x14ac:dyDescent="0.25">
      <c r="A11914" s="1"/>
      <c r="B11914" s="1" t="s">
        <v>5676</v>
      </c>
      <c r="C11914" s="1" t="s">
        <v>5677</v>
      </c>
      <c r="D11914" s="22" t="str">
        <f>HYPERLINK("https://rhld.insurance.arkansas.gov/NPILookup?Npi=1285678300","1285678300")</f>
        <v>1285678300</v>
      </c>
      <c r="E11914" s="1" t="s">
        <v>5709</v>
      </c>
      <c r="F11914" s="2"/>
      <c r="G11914" s="2"/>
      <c r="H11914" s="2"/>
    </row>
    <row r="11915" spans="1:8" x14ac:dyDescent="0.25">
      <c r="A11915" s="1"/>
      <c r="B11915" s="1" t="s">
        <v>5676</v>
      </c>
      <c r="C11915" s="1" t="s">
        <v>5677</v>
      </c>
      <c r="D11915" s="22" t="str">
        <f>HYPERLINK("https://rhld.insurance.arkansas.gov/NPILookup?Npi=1285692152","1285692152")</f>
        <v>1285692152</v>
      </c>
      <c r="E11915" s="1" t="s">
        <v>11340</v>
      </c>
      <c r="F11915" s="2"/>
      <c r="G11915" s="2"/>
      <c r="H11915" s="2"/>
    </row>
    <row r="11916" spans="1:8" x14ac:dyDescent="0.25">
      <c r="A11916" s="1"/>
      <c r="B11916" s="1" t="s">
        <v>5676</v>
      </c>
      <c r="C11916" s="1" t="s">
        <v>5677</v>
      </c>
      <c r="D11916" s="22" t="str">
        <f>HYPERLINK("https://rhld.insurance.arkansas.gov/NPILookup?Npi=1285834804","1285834804")</f>
        <v>1285834804</v>
      </c>
      <c r="E11916" s="1" t="s">
        <v>20704</v>
      </c>
      <c r="F11916" s="2"/>
      <c r="G11916" s="2"/>
      <c r="H11916" s="2"/>
    </row>
    <row r="11917" spans="1:8" x14ac:dyDescent="0.25">
      <c r="A11917" s="1"/>
      <c r="B11917" s="1" t="s">
        <v>5676</v>
      </c>
      <c r="C11917" s="1" t="s">
        <v>5677</v>
      </c>
      <c r="D11917" s="22" t="str">
        <f>HYPERLINK("https://rhld.insurance.arkansas.gov/NPILookup?Npi=1285835850","1285835850")</f>
        <v>1285835850</v>
      </c>
      <c r="E11917" s="1" t="s">
        <v>11341</v>
      </c>
      <c r="F11917" s="2"/>
      <c r="G11917" s="2"/>
      <c r="H11917" s="2"/>
    </row>
    <row r="11918" spans="1:8" x14ac:dyDescent="0.25">
      <c r="A11918" s="1"/>
      <c r="B11918" s="1" t="s">
        <v>5676</v>
      </c>
      <c r="C11918" s="1" t="s">
        <v>5677</v>
      </c>
      <c r="D11918" s="22" t="str">
        <f>HYPERLINK("https://rhld.insurance.arkansas.gov/NPILookup?Npi=1285892950","1285892950")</f>
        <v>1285892950</v>
      </c>
      <c r="E11918" s="1" t="s">
        <v>20705</v>
      </c>
      <c r="F11918" s="2"/>
      <c r="G11918" s="2"/>
      <c r="H11918" s="2"/>
    </row>
    <row r="11919" spans="1:8" x14ac:dyDescent="0.25">
      <c r="A11919" s="1"/>
      <c r="B11919" s="1" t="s">
        <v>5676</v>
      </c>
      <c r="C11919" s="1" t="s">
        <v>5677</v>
      </c>
      <c r="D11919" s="22" t="str">
        <f>HYPERLINK("https://rhld.insurance.arkansas.gov/NPILookup?Npi=1295727154","1295727154")</f>
        <v>1295727154</v>
      </c>
      <c r="E11919" s="1" t="s">
        <v>11342</v>
      </c>
      <c r="F11919" s="2"/>
      <c r="G11919" s="2"/>
      <c r="H11919" s="2"/>
    </row>
    <row r="11920" spans="1:8" x14ac:dyDescent="0.25">
      <c r="A11920" s="1"/>
      <c r="B11920" s="1" t="s">
        <v>5676</v>
      </c>
      <c r="C11920" s="1" t="s">
        <v>5677</v>
      </c>
      <c r="D11920" s="22" t="str">
        <f>HYPERLINK("https://rhld.insurance.arkansas.gov/NPILookup?Npi=1295729655","1295729655")</f>
        <v>1295729655</v>
      </c>
      <c r="E11920" s="1" t="s">
        <v>11343</v>
      </c>
      <c r="F11920" s="2"/>
      <c r="G11920" s="2"/>
      <c r="H11920" s="2"/>
    </row>
    <row r="11921" spans="1:8" x14ac:dyDescent="0.25">
      <c r="A11921" s="1"/>
      <c r="B11921" s="1" t="s">
        <v>5676</v>
      </c>
      <c r="C11921" s="1" t="s">
        <v>5677</v>
      </c>
      <c r="D11921" s="22" t="str">
        <f>HYPERLINK("https://rhld.insurance.arkansas.gov/NPILookup?Npi=1295776037","1295776037")</f>
        <v>1295776037</v>
      </c>
      <c r="E11921" s="1" t="s">
        <v>5710</v>
      </c>
      <c r="F11921" s="2"/>
      <c r="G11921" s="2"/>
      <c r="H11921" s="2"/>
    </row>
    <row r="11922" spans="1:8" x14ac:dyDescent="0.25">
      <c r="A11922" s="1"/>
      <c r="B11922" s="1" t="s">
        <v>5676</v>
      </c>
      <c r="C11922" s="1" t="s">
        <v>5677</v>
      </c>
      <c r="D11922" s="22" t="str">
        <f>HYPERLINK("https://rhld.insurance.arkansas.gov/NPILookup?Npi=1295976280","1295976280")</f>
        <v>1295976280</v>
      </c>
      <c r="E11922" s="1" t="s">
        <v>20707</v>
      </c>
      <c r="F11922" s="2"/>
      <c r="G11922" s="2"/>
      <c r="H11922" s="2"/>
    </row>
    <row r="11923" spans="1:8" x14ac:dyDescent="0.25">
      <c r="A11923" s="1"/>
      <c r="B11923" s="1" t="s">
        <v>5676</v>
      </c>
      <c r="C11923" s="1" t="s">
        <v>5677</v>
      </c>
      <c r="D11923" s="22" t="str">
        <f>HYPERLINK("https://rhld.insurance.arkansas.gov/NPILookup?Npi=1295978443","1295978443")</f>
        <v>1295978443</v>
      </c>
      <c r="E11923" s="1" t="s">
        <v>95</v>
      </c>
      <c r="F11923" s="2"/>
      <c r="G11923" s="2"/>
      <c r="H11923" s="2"/>
    </row>
    <row r="11924" spans="1:8" x14ac:dyDescent="0.25">
      <c r="A11924" s="1"/>
      <c r="B11924" s="1" t="s">
        <v>5676</v>
      </c>
      <c r="C11924" s="1" t="s">
        <v>5677</v>
      </c>
      <c r="D11924" s="22" t="str">
        <f>HYPERLINK("https://rhld.insurance.arkansas.gov/NPILookup?Npi=1306163779","1306163779")</f>
        <v>1306163779</v>
      </c>
      <c r="E11924" s="1" t="s">
        <v>16180</v>
      </c>
      <c r="F11924" s="2"/>
      <c r="G11924" s="2"/>
      <c r="H11924" s="2"/>
    </row>
    <row r="11925" spans="1:8" x14ac:dyDescent="0.25">
      <c r="A11925" s="1"/>
      <c r="B11925" s="1" t="s">
        <v>5676</v>
      </c>
      <c r="C11925" s="1" t="s">
        <v>5677</v>
      </c>
      <c r="D11925" s="22" t="str">
        <f>HYPERLINK("https://rhld.insurance.arkansas.gov/NPILookup?Npi=1306376801","1306376801")</f>
        <v>1306376801</v>
      </c>
      <c r="E11925" s="1" t="s">
        <v>5711</v>
      </c>
      <c r="F11925" s="2"/>
      <c r="G11925" s="2"/>
      <c r="H11925" s="2"/>
    </row>
    <row r="11926" spans="1:8" x14ac:dyDescent="0.25">
      <c r="A11926" s="1"/>
      <c r="B11926" s="1" t="s">
        <v>5676</v>
      </c>
      <c r="C11926" s="1" t="s">
        <v>5677</v>
      </c>
      <c r="D11926" s="22" t="str">
        <f>HYPERLINK("https://rhld.insurance.arkansas.gov/NPILookup?Npi=1306831144","1306831144")</f>
        <v>1306831144</v>
      </c>
      <c r="E11926" s="1" t="s">
        <v>20708</v>
      </c>
      <c r="F11926" s="2"/>
      <c r="G11926" s="2"/>
      <c r="H11926" s="2"/>
    </row>
    <row r="11927" spans="1:8" x14ac:dyDescent="0.25">
      <c r="A11927" s="1"/>
      <c r="B11927" s="1" t="s">
        <v>5676</v>
      </c>
      <c r="C11927" s="1" t="s">
        <v>5677</v>
      </c>
      <c r="D11927" s="22" t="str">
        <f>HYPERLINK("https://rhld.insurance.arkansas.gov/NPILookup?Npi=1316092323","1316092323")</f>
        <v>1316092323</v>
      </c>
      <c r="E11927" s="1" t="s">
        <v>5712</v>
      </c>
      <c r="F11927" s="2"/>
      <c r="G11927" s="2"/>
      <c r="H11927" s="2"/>
    </row>
    <row r="11928" spans="1:8" x14ac:dyDescent="0.25">
      <c r="A11928" s="1"/>
      <c r="B11928" s="1" t="s">
        <v>5676</v>
      </c>
      <c r="C11928" s="1" t="s">
        <v>5677</v>
      </c>
      <c r="D11928" s="22" t="str">
        <f>HYPERLINK("https://rhld.insurance.arkansas.gov/NPILookup?Npi=1316142821","1316142821")</f>
        <v>1316142821</v>
      </c>
      <c r="E11928" s="1" t="s">
        <v>20709</v>
      </c>
      <c r="F11928" s="2"/>
      <c r="G11928" s="2"/>
      <c r="H11928" s="2"/>
    </row>
    <row r="11929" spans="1:8" x14ac:dyDescent="0.25">
      <c r="A11929" s="1"/>
      <c r="B11929" s="1" t="s">
        <v>5676</v>
      </c>
      <c r="C11929" s="1" t="s">
        <v>5677</v>
      </c>
      <c r="D11929" s="22" t="str">
        <f>HYPERLINK("https://rhld.insurance.arkansas.gov/NPILookup?Npi=1316166648","1316166648")</f>
        <v>1316166648</v>
      </c>
      <c r="E11929" s="1" t="s">
        <v>5713</v>
      </c>
      <c r="F11929" s="2"/>
      <c r="G11929" s="2"/>
      <c r="H11929" s="2"/>
    </row>
    <row r="11930" spans="1:8" x14ac:dyDescent="0.25">
      <c r="A11930" s="1"/>
      <c r="B11930" s="1" t="s">
        <v>5676</v>
      </c>
      <c r="C11930" s="1" t="s">
        <v>5677</v>
      </c>
      <c r="D11930" s="22" t="str">
        <f>HYPERLINK("https://rhld.insurance.arkansas.gov/NPILookup?Npi=1316280563","1316280563")</f>
        <v>1316280563</v>
      </c>
      <c r="E11930" s="1" t="s">
        <v>18416</v>
      </c>
      <c r="F11930" s="2"/>
      <c r="G11930" s="2"/>
      <c r="H11930" s="2"/>
    </row>
    <row r="11931" spans="1:8" x14ac:dyDescent="0.25">
      <c r="A11931" s="1"/>
      <c r="B11931" s="1" t="s">
        <v>5676</v>
      </c>
      <c r="C11931" s="1" t="s">
        <v>5677</v>
      </c>
      <c r="D11931" s="22" t="str">
        <f>HYPERLINK("https://rhld.insurance.arkansas.gov/NPILookup?Npi=1316300486","1316300486")</f>
        <v>1316300486</v>
      </c>
      <c r="E11931" s="1" t="s">
        <v>31769</v>
      </c>
      <c r="F11931" s="2"/>
      <c r="G11931" s="2"/>
      <c r="H11931" s="2"/>
    </row>
    <row r="11932" spans="1:8" x14ac:dyDescent="0.25">
      <c r="A11932" s="1"/>
      <c r="B11932" s="1" t="s">
        <v>5676</v>
      </c>
      <c r="C11932" s="1" t="s">
        <v>5677</v>
      </c>
      <c r="D11932" s="22" t="str">
        <f>HYPERLINK("https://rhld.insurance.arkansas.gov/NPILookup?Npi=1316909690","1316909690")</f>
        <v>1316909690</v>
      </c>
      <c r="E11932" s="1" t="s">
        <v>11344</v>
      </c>
      <c r="F11932" s="2"/>
      <c r="G11932" s="2"/>
      <c r="H11932" s="2"/>
    </row>
    <row r="11933" spans="1:8" x14ac:dyDescent="0.25">
      <c r="A11933" s="1"/>
      <c r="B11933" s="1" t="s">
        <v>5676</v>
      </c>
      <c r="C11933" s="1" t="s">
        <v>5677</v>
      </c>
      <c r="D11933" s="22" t="str">
        <f>HYPERLINK("https://rhld.insurance.arkansas.gov/NPILookup?Npi=1316933138","1316933138")</f>
        <v>1316933138</v>
      </c>
      <c r="E11933" s="1" t="s">
        <v>5714</v>
      </c>
      <c r="F11933" s="2"/>
      <c r="G11933" s="2"/>
      <c r="H11933" s="2"/>
    </row>
    <row r="11934" spans="1:8" x14ac:dyDescent="0.25">
      <c r="A11934" s="1"/>
      <c r="B11934" s="1" t="s">
        <v>5676</v>
      </c>
      <c r="C11934" s="1" t="s">
        <v>5677</v>
      </c>
      <c r="D11934" s="22" t="str">
        <f>HYPERLINK("https://rhld.insurance.arkansas.gov/NPILookup?Npi=1326029497","1326029497")</f>
        <v>1326029497</v>
      </c>
      <c r="E11934" s="1" t="s">
        <v>31770</v>
      </c>
      <c r="F11934" s="2"/>
      <c r="G11934" s="2"/>
      <c r="H11934" s="2"/>
    </row>
    <row r="11935" spans="1:8" x14ac:dyDescent="0.25">
      <c r="A11935" s="1"/>
      <c r="B11935" s="1" t="s">
        <v>5676</v>
      </c>
      <c r="C11935" s="1" t="s">
        <v>5677</v>
      </c>
      <c r="D11935" s="22" t="str">
        <f>HYPERLINK("https://rhld.insurance.arkansas.gov/NPILookup?Npi=1336123512","1336123512")</f>
        <v>1336123512</v>
      </c>
      <c r="E11935" s="1" t="s">
        <v>11345</v>
      </c>
      <c r="F11935" s="2"/>
      <c r="G11935" s="2"/>
      <c r="H11935" s="2"/>
    </row>
    <row r="11936" spans="1:8" x14ac:dyDescent="0.25">
      <c r="A11936" s="1"/>
      <c r="B11936" s="1" t="s">
        <v>5676</v>
      </c>
      <c r="C11936" s="1" t="s">
        <v>5677</v>
      </c>
      <c r="D11936" s="22" t="str">
        <f>HYPERLINK("https://rhld.insurance.arkansas.gov/NPILookup?Npi=1336159425","1336159425")</f>
        <v>1336159425</v>
      </c>
      <c r="E11936" s="1" t="s">
        <v>12759</v>
      </c>
      <c r="F11936" s="2"/>
      <c r="G11936" s="2"/>
      <c r="H11936" s="2"/>
    </row>
    <row r="11937" spans="1:8" x14ac:dyDescent="0.25">
      <c r="A11937" s="1"/>
      <c r="B11937" s="1" t="s">
        <v>5676</v>
      </c>
      <c r="C11937" s="1" t="s">
        <v>5677</v>
      </c>
      <c r="D11937" s="22" t="str">
        <f>HYPERLINK("https://rhld.insurance.arkansas.gov/NPILookup?Npi=1336368661","1336368661")</f>
        <v>1336368661</v>
      </c>
      <c r="E11937" s="1" t="s">
        <v>20710</v>
      </c>
      <c r="F11937" s="2"/>
      <c r="G11937" s="2"/>
      <c r="H11937" s="2"/>
    </row>
    <row r="11938" spans="1:8" x14ac:dyDescent="0.25">
      <c r="A11938" s="1"/>
      <c r="B11938" s="1" t="s">
        <v>5676</v>
      </c>
      <c r="C11938" s="1" t="s">
        <v>5677</v>
      </c>
      <c r="D11938" s="22" t="str">
        <f>HYPERLINK("https://rhld.insurance.arkansas.gov/NPILookup?Npi=1346215209","1346215209")</f>
        <v>1346215209</v>
      </c>
      <c r="E11938" s="1" t="s">
        <v>20711</v>
      </c>
      <c r="F11938" s="2"/>
      <c r="G11938" s="2"/>
      <c r="H11938" s="2"/>
    </row>
    <row r="11939" spans="1:8" x14ac:dyDescent="0.25">
      <c r="A11939" s="1"/>
      <c r="B11939" s="1" t="s">
        <v>5676</v>
      </c>
      <c r="C11939" s="1" t="s">
        <v>5677</v>
      </c>
      <c r="D11939" s="22" t="str">
        <f>HYPERLINK("https://rhld.insurance.arkansas.gov/NPILookup?Npi=1346257870","1346257870")</f>
        <v>1346257870</v>
      </c>
      <c r="E11939" s="1" t="s">
        <v>5715</v>
      </c>
      <c r="F11939" s="2"/>
      <c r="G11939" s="2"/>
      <c r="H11939" s="2"/>
    </row>
    <row r="11940" spans="1:8" x14ac:dyDescent="0.25">
      <c r="A11940" s="1"/>
      <c r="B11940" s="1" t="s">
        <v>5676</v>
      </c>
      <c r="C11940" s="1" t="s">
        <v>5677</v>
      </c>
      <c r="D11940" s="22" t="str">
        <f>HYPERLINK("https://rhld.insurance.arkansas.gov/NPILookup?Npi=1346680709","1346680709")</f>
        <v>1346680709</v>
      </c>
      <c r="E11940" s="1" t="s">
        <v>2269</v>
      </c>
      <c r="F11940" s="2"/>
      <c r="G11940" s="2"/>
      <c r="H11940" s="2"/>
    </row>
    <row r="11941" spans="1:8" x14ac:dyDescent="0.25">
      <c r="A11941" s="1"/>
      <c r="B11941" s="1" t="s">
        <v>5676</v>
      </c>
      <c r="C11941" s="1" t="s">
        <v>5677</v>
      </c>
      <c r="D11941" s="22" t="str">
        <f>HYPERLINK("https://rhld.insurance.arkansas.gov/NPILookup?Npi=1346807013","1346807013")</f>
        <v>1346807013</v>
      </c>
      <c r="E11941" s="1" t="s">
        <v>20712</v>
      </c>
      <c r="F11941" s="2"/>
      <c r="G11941" s="2"/>
      <c r="H11941" s="2"/>
    </row>
    <row r="11942" spans="1:8" x14ac:dyDescent="0.25">
      <c r="A11942" s="1"/>
      <c r="B11942" s="1" t="s">
        <v>5676</v>
      </c>
      <c r="C11942" s="1" t="s">
        <v>5677</v>
      </c>
      <c r="D11942" s="22" t="str">
        <f>HYPERLINK("https://rhld.insurance.arkansas.gov/NPILookup?Npi=1356319123","1356319123")</f>
        <v>1356319123</v>
      </c>
      <c r="E11942" s="1" t="s">
        <v>20713</v>
      </c>
      <c r="F11942" s="2"/>
      <c r="G11942" s="2"/>
      <c r="H11942" s="2"/>
    </row>
    <row r="11943" spans="1:8" x14ac:dyDescent="0.25">
      <c r="A11943" s="1"/>
      <c r="B11943" s="1" t="s">
        <v>5676</v>
      </c>
      <c r="C11943" s="1" t="s">
        <v>5677</v>
      </c>
      <c r="D11943" s="22" t="str">
        <f>HYPERLINK("https://rhld.insurance.arkansas.gov/NPILookup?Npi=1356560692","1356560692")</f>
        <v>1356560692</v>
      </c>
      <c r="E11943" s="1" t="s">
        <v>20715</v>
      </c>
      <c r="F11943" s="2"/>
      <c r="G11943" s="2"/>
      <c r="H11943" s="2"/>
    </row>
    <row r="11944" spans="1:8" x14ac:dyDescent="0.25">
      <c r="A11944" s="1"/>
      <c r="B11944" s="1" t="s">
        <v>5676</v>
      </c>
      <c r="C11944" s="1" t="s">
        <v>5677</v>
      </c>
      <c r="D11944" s="22" t="str">
        <f>HYPERLINK("https://rhld.insurance.arkansas.gov/NPILookup?Npi=1356621130","1356621130")</f>
        <v>1356621130</v>
      </c>
      <c r="E11944" s="1" t="s">
        <v>11347</v>
      </c>
      <c r="F11944" s="2"/>
      <c r="G11944" s="2"/>
      <c r="H11944" s="2"/>
    </row>
    <row r="11945" spans="1:8" x14ac:dyDescent="0.25">
      <c r="A11945" s="1"/>
      <c r="B11945" s="1" t="s">
        <v>5676</v>
      </c>
      <c r="C11945" s="1" t="s">
        <v>5677</v>
      </c>
      <c r="D11945" s="22" t="str">
        <f>HYPERLINK("https://rhld.insurance.arkansas.gov/NPILookup?Npi=1356796684","1356796684")</f>
        <v>1356796684</v>
      </c>
      <c r="E11945" s="1" t="s">
        <v>20716</v>
      </c>
      <c r="F11945" s="2"/>
      <c r="G11945" s="2"/>
      <c r="H11945" s="2"/>
    </row>
    <row r="11946" spans="1:8" x14ac:dyDescent="0.25">
      <c r="A11946" s="1"/>
      <c r="B11946" s="1" t="s">
        <v>5676</v>
      </c>
      <c r="C11946" s="1" t="s">
        <v>5677</v>
      </c>
      <c r="D11946" s="22" t="str">
        <f>HYPERLINK("https://rhld.insurance.arkansas.gov/NPILookup?Npi=1366415010","1366415010")</f>
        <v>1366415010</v>
      </c>
      <c r="E11946" s="1" t="s">
        <v>20717</v>
      </c>
      <c r="F11946" s="2"/>
      <c r="G11946" s="2"/>
      <c r="H11946" s="2"/>
    </row>
    <row r="11947" spans="1:8" x14ac:dyDescent="0.25">
      <c r="A11947" s="1"/>
      <c r="B11947" s="1" t="s">
        <v>5676</v>
      </c>
      <c r="C11947" s="1" t="s">
        <v>5677</v>
      </c>
      <c r="D11947" s="22" t="str">
        <f>HYPERLINK("https://rhld.insurance.arkansas.gov/NPILookup?Npi=1366805715","1366805715")</f>
        <v>1366805715</v>
      </c>
      <c r="E11947" s="1" t="s">
        <v>20719</v>
      </c>
      <c r="F11947" s="2"/>
      <c r="G11947" s="2"/>
      <c r="H11947" s="2"/>
    </row>
    <row r="11948" spans="1:8" x14ac:dyDescent="0.25">
      <c r="A11948" s="1"/>
      <c r="B11948" s="1" t="s">
        <v>5676</v>
      </c>
      <c r="C11948" s="1" t="s">
        <v>5677</v>
      </c>
      <c r="D11948" s="22" t="str">
        <f>HYPERLINK("https://rhld.insurance.arkansas.gov/NPILookup?Npi=1376004176","1376004176")</f>
        <v>1376004176</v>
      </c>
      <c r="E11948" s="1" t="s">
        <v>20720</v>
      </c>
      <c r="F11948" s="2"/>
      <c r="G11948" s="2"/>
      <c r="H11948" s="2"/>
    </row>
    <row r="11949" spans="1:8" x14ac:dyDescent="0.25">
      <c r="A11949" s="1"/>
      <c r="B11949" s="1" t="s">
        <v>5676</v>
      </c>
      <c r="C11949" s="1" t="s">
        <v>5677</v>
      </c>
      <c r="D11949" s="22" t="str">
        <f>HYPERLINK("https://rhld.insurance.arkansas.gov/NPILookup?Npi=1376557892","1376557892")</f>
        <v>1376557892</v>
      </c>
      <c r="E11949" s="1" t="s">
        <v>20721</v>
      </c>
      <c r="F11949" s="2"/>
      <c r="G11949" s="2"/>
      <c r="H11949" s="2"/>
    </row>
    <row r="11950" spans="1:8" x14ac:dyDescent="0.25">
      <c r="A11950" s="1"/>
      <c r="B11950" s="1" t="s">
        <v>5676</v>
      </c>
      <c r="C11950" s="1" t="s">
        <v>5677</v>
      </c>
      <c r="D11950" s="22" t="str">
        <f>HYPERLINK("https://rhld.insurance.arkansas.gov/NPILookup?Npi=1376569210","1376569210")</f>
        <v>1376569210</v>
      </c>
      <c r="E11950" s="1" t="s">
        <v>20722</v>
      </c>
      <c r="F11950" s="2"/>
      <c r="G11950" s="2"/>
      <c r="H11950" s="2"/>
    </row>
    <row r="11951" spans="1:8" x14ac:dyDescent="0.25">
      <c r="A11951" s="1"/>
      <c r="B11951" s="1" t="s">
        <v>5676</v>
      </c>
      <c r="C11951" s="1" t="s">
        <v>5677</v>
      </c>
      <c r="D11951" s="22" t="str">
        <f>HYPERLINK("https://rhld.insurance.arkansas.gov/NPILookup?Npi=1376861849","1376861849")</f>
        <v>1376861849</v>
      </c>
      <c r="E11951" s="1" t="s">
        <v>20723</v>
      </c>
      <c r="F11951" s="2"/>
      <c r="G11951" s="2"/>
      <c r="H11951" s="2"/>
    </row>
    <row r="11952" spans="1:8" x14ac:dyDescent="0.25">
      <c r="A11952" s="1"/>
      <c r="B11952" s="1" t="s">
        <v>5676</v>
      </c>
      <c r="C11952" s="1" t="s">
        <v>5677</v>
      </c>
      <c r="D11952" s="22" t="str">
        <f>HYPERLINK("https://rhld.insurance.arkansas.gov/NPILookup?Npi=1386609360","1386609360")</f>
        <v>1386609360</v>
      </c>
      <c r="E11952" s="1" t="s">
        <v>20724</v>
      </c>
      <c r="F11952" s="2"/>
      <c r="G11952" s="2"/>
      <c r="H11952" s="2"/>
    </row>
    <row r="11953" spans="1:8" x14ac:dyDescent="0.25">
      <c r="A11953" s="1"/>
      <c r="B11953" s="1" t="s">
        <v>5676</v>
      </c>
      <c r="C11953" s="1" t="s">
        <v>5677</v>
      </c>
      <c r="D11953" s="22" t="str">
        <f>HYPERLINK("https://rhld.insurance.arkansas.gov/NPILookup?Npi=1386617561","1386617561")</f>
        <v>1386617561</v>
      </c>
      <c r="E11953" s="1" t="s">
        <v>2161</v>
      </c>
      <c r="F11953" s="2"/>
      <c r="G11953" s="2"/>
      <c r="H11953" s="2"/>
    </row>
    <row r="11954" spans="1:8" x14ac:dyDescent="0.25">
      <c r="A11954" s="1"/>
      <c r="B11954" s="1" t="s">
        <v>5676</v>
      </c>
      <c r="C11954" s="1" t="s">
        <v>5677</v>
      </c>
      <c r="D11954" s="22" t="str">
        <f>HYPERLINK("https://rhld.insurance.arkansas.gov/NPILookup?Npi=1386631976","1386631976")</f>
        <v>1386631976</v>
      </c>
      <c r="E11954" s="1" t="s">
        <v>5716</v>
      </c>
      <c r="F11954" s="2"/>
      <c r="G11954" s="2"/>
      <c r="H11954" s="2"/>
    </row>
    <row r="11955" spans="1:8" x14ac:dyDescent="0.25">
      <c r="A11955" s="1"/>
      <c r="B11955" s="1" t="s">
        <v>5676</v>
      </c>
      <c r="C11955" s="1" t="s">
        <v>5677</v>
      </c>
      <c r="D11955" s="22" t="str">
        <f>HYPERLINK("https://rhld.insurance.arkansas.gov/NPILookup?Npi=1386639334","1386639334")</f>
        <v>1386639334</v>
      </c>
      <c r="E11955" s="1" t="s">
        <v>5717</v>
      </c>
      <c r="F11955" s="2"/>
      <c r="G11955" s="2"/>
      <c r="H11955" s="2"/>
    </row>
    <row r="11956" spans="1:8" x14ac:dyDescent="0.25">
      <c r="A11956" s="1"/>
      <c r="B11956" s="1" t="s">
        <v>5676</v>
      </c>
      <c r="C11956" s="1" t="s">
        <v>5677</v>
      </c>
      <c r="D11956" s="22" t="str">
        <f>HYPERLINK("https://rhld.insurance.arkansas.gov/NPILookup?Npi=1386644953","1386644953")</f>
        <v>1386644953</v>
      </c>
      <c r="E11956" s="1" t="s">
        <v>20725</v>
      </c>
      <c r="F11956" s="2"/>
      <c r="G11956" s="2"/>
      <c r="H11956" s="2"/>
    </row>
    <row r="11957" spans="1:8" x14ac:dyDescent="0.25">
      <c r="A11957" s="1"/>
      <c r="B11957" s="1" t="s">
        <v>5676</v>
      </c>
      <c r="C11957" s="1" t="s">
        <v>5677</v>
      </c>
      <c r="D11957" s="22" t="str">
        <f>HYPERLINK("https://rhld.insurance.arkansas.gov/NPILookup?Npi=1386863611","1386863611")</f>
        <v>1386863611</v>
      </c>
      <c r="E11957" s="1" t="s">
        <v>1694</v>
      </c>
      <c r="F11957" s="2"/>
      <c r="G11957" s="2"/>
      <c r="H11957" s="2"/>
    </row>
    <row r="11958" spans="1:8" x14ac:dyDescent="0.25">
      <c r="A11958" s="1"/>
      <c r="B11958" s="1" t="s">
        <v>5676</v>
      </c>
      <c r="C11958" s="1" t="s">
        <v>5677</v>
      </c>
      <c r="D11958" s="22" t="str">
        <f>HYPERLINK("https://rhld.insurance.arkansas.gov/NPILookup?Npi=1396190401","1396190401")</f>
        <v>1396190401</v>
      </c>
      <c r="E11958" s="1" t="s">
        <v>5718</v>
      </c>
      <c r="F11958" s="2"/>
      <c r="G11958" s="2"/>
      <c r="H11958" s="2"/>
    </row>
    <row r="11959" spans="1:8" x14ac:dyDescent="0.25">
      <c r="A11959" s="1"/>
      <c r="B11959" s="1" t="s">
        <v>5676</v>
      </c>
      <c r="C11959" s="1" t="s">
        <v>5677</v>
      </c>
      <c r="D11959" s="22" t="str">
        <f>HYPERLINK("https://rhld.insurance.arkansas.gov/NPILookup?Npi=1396732335","1396732335")</f>
        <v>1396732335</v>
      </c>
      <c r="E11959" s="1" t="s">
        <v>20726</v>
      </c>
      <c r="F11959" s="2"/>
      <c r="G11959" s="2"/>
      <c r="H11959" s="2"/>
    </row>
    <row r="11960" spans="1:8" x14ac:dyDescent="0.25">
      <c r="A11960" s="1"/>
      <c r="B11960" s="1" t="s">
        <v>5676</v>
      </c>
      <c r="C11960" s="1" t="s">
        <v>5677</v>
      </c>
      <c r="D11960" s="22" t="str">
        <f>HYPERLINK("https://rhld.insurance.arkansas.gov/NPILookup?Npi=1396819645","1396819645")</f>
        <v>1396819645</v>
      </c>
      <c r="E11960" s="1" t="s">
        <v>11349</v>
      </c>
      <c r="F11960" s="2"/>
      <c r="G11960" s="2"/>
      <c r="H11960" s="2"/>
    </row>
    <row r="11961" spans="1:8" x14ac:dyDescent="0.25">
      <c r="A11961" s="1"/>
      <c r="B11961" s="1" t="s">
        <v>5676</v>
      </c>
      <c r="C11961" s="1" t="s">
        <v>5677</v>
      </c>
      <c r="D11961" s="22" t="str">
        <f>HYPERLINK("https://rhld.insurance.arkansas.gov/NPILookup?Npi=1407075732","1407075732")</f>
        <v>1407075732</v>
      </c>
      <c r="E11961" s="1" t="s">
        <v>20727</v>
      </c>
      <c r="F11961" s="2"/>
      <c r="G11961" s="2"/>
      <c r="H11961" s="2"/>
    </row>
    <row r="11962" spans="1:8" x14ac:dyDescent="0.25">
      <c r="A11962" s="1"/>
      <c r="B11962" s="1" t="s">
        <v>5676</v>
      </c>
      <c r="C11962" s="1" t="s">
        <v>5677</v>
      </c>
      <c r="D11962" s="22" t="str">
        <f>HYPERLINK("https://rhld.insurance.arkansas.gov/NPILookup?Npi=1407122203","1407122203")</f>
        <v>1407122203</v>
      </c>
      <c r="E11962" s="1" t="s">
        <v>5719</v>
      </c>
      <c r="F11962" s="2"/>
      <c r="G11962" s="2"/>
      <c r="H11962" s="2"/>
    </row>
    <row r="11963" spans="1:8" x14ac:dyDescent="0.25">
      <c r="A11963" s="1"/>
      <c r="B11963" s="1" t="s">
        <v>5676</v>
      </c>
      <c r="C11963" s="1" t="s">
        <v>5677</v>
      </c>
      <c r="D11963" s="22" t="str">
        <f>HYPERLINK("https://rhld.insurance.arkansas.gov/NPILookup?Npi=1407887797","1407887797")</f>
        <v>1407887797</v>
      </c>
      <c r="E11963" s="1" t="s">
        <v>11350</v>
      </c>
      <c r="F11963" s="2"/>
      <c r="G11963" s="2"/>
      <c r="H11963" s="2"/>
    </row>
    <row r="11964" spans="1:8" x14ac:dyDescent="0.25">
      <c r="A11964" s="1"/>
      <c r="B11964" s="1" t="s">
        <v>5676</v>
      </c>
      <c r="C11964" s="1" t="s">
        <v>5677</v>
      </c>
      <c r="D11964" s="22" t="str">
        <f>HYPERLINK("https://rhld.insurance.arkansas.gov/NPILookup?Npi=1407898083","1407898083")</f>
        <v>1407898083</v>
      </c>
      <c r="E11964" s="1" t="s">
        <v>5720</v>
      </c>
      <c r="F11964" s="2"/>
      <c r="G11964" s="2"/>
      <c r="H11964" s="2"/>
    </row>
    <row r="11965" spans="1:8" x14ac:dyDescent="0.25">
      <c r="A11965" s="1"/>
      <c r="B11965" s="1" t="s">
        <v>5676</v>
      </c>
      <c r="C11965" s="1" t="s">
        <v>5677</v>
      </c>
      <c r="D11965" s="22" t="str">
        <f>HYPERLINK("https://rhld.insurance.arkansas.gov/NPILookup?Npi=1417002965","1417002965")</f>
        <v>1417002965</v>
      </c>
      <c r="E11965" s="1" t="s">
        <v>20728</v>
      </c>
      <c r="F11965" s="2"/>
      <c r="G11965" s="2"/>
      <c r="H11965" s="2"/>
    </row>
    <row r="11966" spans="1:8" x14ac:dyDescent="0.25">
      <c r="A11966" s="1"/>
      <c r="B11966" s="1" t="s">
        <v>5676</v>
      </c>
      <c r="C11966" s="1" t="s">
        <v>5677</v>
      </c>
      <c r="D11966" s="22" t="str">
        <f>HYPERLINK("https://rhld.insurance.arkansas.gov/NPILookup?Npi=1417338773","1417338773")</f>
        <v>1417338773</v>
      </c>
      <c r="E11966" s="1" t="s">
        <v>5721</v>
      </c>
      <c r="F11966" s="2"/>
      <c r="G11966" s="2"/>
      <c r="H11966" s="2"/>
    </row>
    <row r="11967" spans="1:8" x14ac:dyDescent="0.25">
      <c r="A11967" s="1"/>
      <c r="B11967" s="1" t="s">
        <v>5676</v>
      </c>
      <c r="C11967" s="1" t="s">
        <v>5677</v>
      </c>
      <c r="D11967" s="22" t="str">
        <f>HYPERLINK("https://rhld.insurance.arkansas.gov/NPILookup?Npi=1417453234","1417453234")</f>
        <v>1417453234</v>
      </c>
      <c r="E11967" s="1" t="s">
        <v>4755</v>
      </c>
      <c r="F11967" s="2"/>
      <c r="G11967" s="2"/>
      <c r="H11967" s="2"/>
    </row>
    <row r="11968" spans="1:8" x14ac:dyDescent="0.25">
      <c r="A11968" s="1"/>
      <c r="B11968" s="1" t="s">
        <v>5676</v>
      </c>
      <c r="C11968" s="1" t="s">
        <v>5677</v>
      </c>
      <c r="D11968" s="22" t="str">
        <f>HYPERLINK("https://rhld.insurance.arkansas.gov/NPILookup?Npi=1417913567","1417913567")</f>
        <v>1417913567</v>
      </c>
      <c r="E11968" s="1" t="s">
        <v>5722</v>
      </c>
      <c r="F11968" s="2"/>
      <c r="G11968" s="2"/>
      <c r="H11968" s="2"/>
    </row>
    <row r="11969" spans="1:8" x14ac:dyDescent="0.25">
      <c r="A11969" s="1"/>
      <c r="B11969" s="1" t="s">
        <v>5676</v>
      </c>
      <c r="C11969" s="1" t="s">
        <v>5677</v>
      </c>
      <c r="D11969" s="22" t="str">
        <f>HYPERLINK("https://rhld.insurance.arkansas.gov/NPILookup?Npi=1427044197","1427044197")</f>
        <v>1427044197</v>
      </c>
      <c r="E11969" s="1" t="s">
        <v>20729</v>
      </c>
      <c r="F11969" s="2"/>
      <c r="G11969" s="2"/>
      <c r="H11969" s="2"/>
    </row>
    <row r="11970" spans="1:8" x14ac:dyDescent="0.25">
      <c r="A11970" s="1"/>
      <c r="B11970" s="1" t="s">
        <v>5676</v>
      </c>
      <c r="C11970" s="1" t="s">
        <v>5677</v>
      </c>
      <c r="D11970" s="22" t="str">
        <f>HYPERLINK("https://rhld.insurance.arkansas.gov/NPILookup?Npi=1427444009","1427444009")</f>
        <v>1427444009</v>
      </c>
      <c r="E11970" s="1" t="s">
        <v>20730</v>
      </c>
      <c r="F11970" s="2"/>
      <c r="G11970" s="2"/>
      <c r="H11970" s="2"/>
    </row>
    <row r="11971" spans="1:8" x14ac:dyDescent="0.25">
      <c r="A11971" s="1"/>
      <c r="B11971" s="1" t="s">
        <v>5676</v>
      </c>
      <c r="C11971" s="1" t="s">
        <v>5677</v>
      </c>
      <c r="D11971" s="22" t="str">
        <f>HYPERLINK("https://rhld.insurance.arkansas.gov/NPILookup?Npi=1427468453","1427468453")</f>
        <v>1427468453</v>
      </c>
      <c r="E11971" s="1" t="s">
        <v>20731</v>
      </c>
      <c r="F11971" s="2"/>
      <c r="G11971" s="2"/>
      <c r="H11971" s="2"/>
    </row>
    <row r="11972" spans="1:8" x14ac:dyDescent="0.25">
      <c r="A11972" s="1"/>
      <c r="B11972" s="1" t="s">
        <v>5676</v>
      </c>
      <c r="C11972" s="1" t="s">
        <v>5677</v>
      </c>
      <c r="D11972" s="22" t="str">
        <f>HYPERLINK("https://rhld.insurance.arkansas.gov/NPILookup?Npi=1427542497","1427542497")</f>
        <v>1427542497</v>
      </c>
      <c r="E11972" s="1" t="s">
        <v>20732</v>
      </c>
      <c r="F11972" s="2"/>
      <c r="G11972" s="2"/>
      <c r="H11972" s="2"/>
    </row>
    <row r="11973" spans="1:8" x14ac:dyDescent="0.25">
      <c r="A11973" s="1"/>
      <c r="B11973" s="1" t="s">
        <v>5676</v>
      </c>
      <c r="C11973" s="1" t="s">
        <v>5677</v>
      </c>
      <c r="D11973" s="22" t="str">
        <f>HYPERLINK("https://rhld.insurance.arkansas.gov/NPILookup?Npi=1437116787","1437116787")</f>
        <v>1437116787</v>
      </c>
      <c r="E11973" s="1" t="s">
        <v>20733</v>
      </c>
      <c r="F11973" s="2"/>
      <c r="G11973" s="2"/>
      <c r="H11973" s="2"/>
    </row>
    <row r="11974" spans="1:8" x14ac:dyDescent="0.25">
      <c r="A11974" s="1"/>
      <c r="B11974" s="1" t="s">
        <v>5676</v>
      </c>
      <c r="C11974" s="1" t="s">
        <v>5677</v>
      </c>
      <c r="D11974" s="22" t="str">
        <f>HYPERLINK("https://rhld.insurance.arkansas.gov/NPILookup?Npi=1447221908","1447221908")</f>
        <v>1447221908</v>
      </c>
      <c r="E11974" s="1" t="s">
        <v>31771</v>
      </c>
      <c r="F11974" s="2"/>
      <c r="G11974" s="2"/>
      <c r="H11974" s="2"/>
    </row>
    <row r="11975" spans="1:8" x14ac:dyDescent="0.25">
      <c r="A11975" s="1"/>
      <c r="B11975" s="1" t="s">
        <v>5676</v>
      </c>
      <c r="C11975" s="1" t="s">
        <v>5677</v>
      </c>
      <c r="D11975" s="22" t="str">
        <f>HYPERLINK("https://rhld.insurance.arkansas.gov/NPILookup?Npi=1447745245","1447745245")</f>
        <v>1447745245</v>
      </c>
      <c r="E11975" s="1" t="s">
        <v>20734</v>
      </c>
      <c r="F11975" s="2"/>
      <c r="G11975" s="2"/>
      <c r="H11975" s="2"/>
    </row>
    <row r="11976" spans="1:8" x14ac:dyDescent="0.25">
      <c r="A11976" s="1"/>
      <c r="B11976" s="1" t="s">
        <v>5676</v>
      </c>
      <c r="C11976" s="1" t="s">
        <v>5677</v>
      </c>
      <c r="D11976" s="22" t="str">
        <f>HYPERLINK("https://rhld.insurance.arkansas.gov/NPILookup?Npi=1457333460","1457333460")</f>
        <v>1457333460</v>
      </c>
      <c r="E11976" s="1" t="s">
        <v>5724</v>
      </c>
      <c r="F11976" s="2"/>
      <c r="G11976" s="2"/>
      <c r="H11976" s="2"/>
    </row>
    <row r="11977" spans="1:8" x14ac:dyDescent="0.25">
      <c r="A11977" s="1"/>
      <c r="B11977" s="1" t="s">
        <v>5676</v>
      </c>
      <c r="C11977" s="1" t="s">
        <v>5677</v>
      </c>
      <c r="D11977" s="22" t="str">
        <f>HYPERLINK("https://rhld.insurance.arkansas.gov/NPILookup?Npi=1457339715","1457339715")</f>
        <v>1457339715</v>
      </c>
      <c r="E11977" s="1" t="s">
        <v>5725</v>
      </c>
      <c r="F11977" s="2"/>
      <c r="G11977" s="2"/>
      <c r="H11977" s="2"/>
    </row>
    <row r="11978" spans="1:8" x14ac:dyDescent="0.25">
      <c r="A11978" s="1"/>
      <c r="B11978" s="1" t="s">
        <v>5676</v>
      </c>
      <c r="C11978" s="1" t="s">
        <v>5677</v>
      </c>
      <c r="D11978" s="22" t="str">
        <f>HYPERLINK("https://rhld.insurance.arkansas.gov/NPILookup?Npi=1457520801","1457520801")</f>
        <v>1457520801</v>
      </c>
      <c r="E11978" s="1" t="s">
        <v>5726</v>
      </c>
      <c r="F11978" s="2"/>
      <c r="G11978" s="2"/>
      <c r="H11978" s="2"/>
    </row>
    <row r="11979" spans="1:8" x14ac:dyDescent="0.25">
      <c r="A11979" s="1"/>
      <c r="B11979" s="1" t="s">
        <v>5676</v>
      </c>
      <c r="C11979" s="1" t="s">
        <v>5677</v>
      </c>
      <c r="D11979" s="22" t="str">
        <f>HYPERLINK("https://rhld.insurance.arkansas.gov/NPILookup?Npi=1457770588","1457770588")</f>
        <v>1457770588</v>
      </c>
      <c r="E11979" s="1" t="s">
        <v>20735</v>
      </c>
      <c r="F11979" s="2"/>
      <c r="G11979" s="2"/>
      <c r="H11979" s="2"/>
    </row>
    <row r="11980" spans="1:8" x14ac:dyDescent="0.25">
      <c r="A11980" s="1"/>
      <c r="B11980" s="1" t="s">
        <v>5676</v>
      </c>
      <c r="C11980" s="1" t="s">
        <v>5677</v>
      </c>
      <c r="D11980" s="22" t="str">
        <f>HYPERLINK("https://rhld.insurance.arkansas.gov/NPILookup?Npi=1467430702","1467430702")</f>
        <v>1467430702</v>
      </c>
      <c r="E11980" s="1" t="s">
        <v>11351</v>
      </c>
      <c r="F11980" s="2"/>
      <c r="G11980" s="2"/>
      <c r="H11980" s="2"/>
    </row>
    <row r="11981" spans="1:8" x14ac:dyDescent="0.25">
      <c r="A11981" s="1"/>
      <c r="B11981" s="1" t="s">
        <v>5676</v>
      </c>
      <c r="C11981" s="1" t="s">
        <v>5677</v>
      </c>
      <c r="D11981" s="22" t="str">
        <f>HYPERLINK("https://rhld.insurance.arkansas.gov/NPILookup?Npi=1467493940","1467493940")</f>
        <v>1467493940</v>
      </c>
      <c r="E11981" s="1" t="s">
        <v>5727</v>
      </c>
      <c r="F11981" s="2"/>
      <c r="G11981" s="2"/>
      <c r="H11981" s="2"/>
    </row>
    <row r="11982" spans="1:8" x14ac:dyDescent="0.25">
      <c r="A11982" s="1"/>
      <c r="B11982" s="1" t="s">
        <v>5676</v>
      </c>
      <c r="C11982" s="1" t="s">
        <v>5677</v>
      </c>
      <c r="D11982" s="22" t="str">
        <f>HYPERLINK("https://rhld.insurance.arkansas.gov/NPILookup?Npi=1467717801","1467717801")</f>
        <v>1467717801</v>
      </c>
      <c r="E11982" s="1" t="s">
        <v>20736</v>
      </c>
      <c r="F11982" s="2"/>
      <c r="G11982" s="2"/>
      <c r="H11982" s="2"/>
    </row>
    <row r="11983" spans="1:8" x14ac:dyDescent="0.25">
      <c r="A11983" s="1"/>
      <c r="B11983" s="1" t="s">
        <v>5676</v>
      </c>
      <c r="C11983" s="1" t="s">
        <v>5677</v>
      </c>
      <c r="D11983" s="22" t="str">
        <f>HYPERLINK("https://rhld.insurance.arkansas.gov/NPILookup?Npi=1467718619","1467718619")</f>
        <v>1467718619</v>
      </c>
      <c r="E11983" s="1" t="s">
        <v>11352</v>
      </c>
      <c r="F11983" s="2"/>
      <c r="G11983" s="2"/>
      <c r="H11983" s="2"/>
    </row>
    <row r="11984" spans="1:8" x14ac:dyDescent="0.25">
      <c r="A11984" s="1"/>
      <c r="B11984" s="1" t="s">
        <v>5676</v>
      </c>
      <c r="C11984" s="1" t="s">
        <v>5677</v>
      </c>
      <c r="D11984" s="22" t="str">
        <f>HYPERLINK("https://rhld.insurance.arkansas.gov/NPILookup?Npi=1467940783","1467940783")</f>
        <v>1467940783</v>
      </c>
      <c r="E11984" s="1" t="s">
        <v>5728</v>
      </c>
      <c r="F11984" s="2"/>
      <c r="G11984" s="2"/>
      <c r="H11984" s="2"/>
    </row>
    <row r="11985" spans="1:8" x14ac:dyDescent="0.25">
      <c r="A11985" s="1"/>
      <c r="B11985" s="1" t="s">
        <v>5676</v>
      </c>
      <c r="C11985" s="1" t="s">
        <v>5677</v>
      </c>
      <c r="D11985" s="22" t="str">
        <f>HYPERLINK("https://rhld.insurance.arkansas.gov/NPILookup?Npi=1467987545","1467987545")</f>
        <v>1467987545</v>
      </c>
      <c r="E11985" s="1" t="s">
        <v>7257</v>
      </c>
      <c r="F11985" s="2"/>
      <c r="G11985" s="2"/>
      <c r="H11985" s="2"/>
    </row>
    <row r="11986" spans="1:8" x14ac:dyDescent="0.25">
      <c r="A11986" s="1"/>
      <c r="B11986" s="1" t="s">
        <v>5676</v>
      </c>
      <c r="C11986" s="1" t="s">
        <v>5677</v>
      </c>
      <c r="D11986" s="22" t="str">
        <f>HYPERLINK("https://rhld.insurance.arkansas.gov/NPILookup?Npi=1477086999","1477086999")</f>
        <v>1477086999</v>
      </c>
      <c r="E11986" s="1" t="s">
        <v>5729</v>
      </c>
      <c r="F11986" s="2"/>
      <c r="G11986" s="2"/>
      <c r="H11986" s="2"/>
    </row>
    <row r="11987" spans="1:8" x14ac:dyDescent="0.25">
      <c r="A11987" s="1"/>
      <c r="B11987" s="1" t="s">
        <v>5676</v>
      </c>
      <c r="C11987" s="1" t="s">
        <v>5677</v>
      </c>
      <c r="D11987" s="22" t="str">
        <f>HYPERLINK("https://rhld.insurance.arkansas.gov/NPILookup?Npi=1477565166","1477565166")</f>
        <v>1477565166</v>
      </c>
      <c r="E11987" s="1" t="s">
        <v>20737</v>
      </c>
      <c r="F11987" s="2"/>
      <c r="G11987" s="2"/>
      <c r="H11987" s="2"/>
    </row>
    <row r="11988" spans="1:8" x14ac:dyDescent="0.25">
      <c r="A11988" s="1"/>
      <c r="B11988" s="1" t="s">
        <v>5676</v>
      </c>
      <c r="C11988" s="1" t="s">
        <v>5677</v>
      </c>
      <c r="D11988" s="22" t="str">
        <f>HYPERLINK("https://rhld.insurance.arkansas.gov/NPILookup?Npi=1477780799","1477780799")</f>
        <v>1477780799</v>
      </c>
      <c r="E11988" s="1" t="s">
        <v>20738</v>
      </c>
      <c r="F11988" s="2"/>
      <c r="G11988" s="2"/>
      <c r="H11988" s="2"/>
    </row>
    <row r="11989" spans="1:8" x14ac:dyDescent="0.25">
      <c r="A11989" s="1"/>
      <c r="B11989" s="1" t="s">
        <v>5676</v>
      </c>
      <c r="C11989" s="1" t="s">
        <v>5677</v>
      </c>
      <c r="D11989" s="22" t="str">
        <f>HYPERLINK("https://rhld.insurance.arkansas.gov/NPILookup?Npi=1477936615","1477936615")</f>
        <v>1477936615</v>
      </c>
      <c r="E11989" s="1" t="s">
        <v>20739</v>
      </c>
      <c r="F11989" s="2"/>
      <c r="G11989" s="2"/>
      <c r="H11989" s="2"/>
    </row>
    <row r="11990" spans="1:8" x14ac:dyDescent="0.25">
      <c r="A11990" s="1"/>
      <c r="B11990" s="1" t="s">
        <v>5676</v>
      </c>
      <c r="C11990" s="1" t="s">
        <v>5677</v>
      </c>
      <c r="D11990" s="22" t="str">
        <f>HYPERLINK("https://rhld.insurance.arkansas.gov/NPILookup?Npi=1477966398","1477966398")</f>
        <v>1477966398</v>
      </c>
      <c r="E11990" s="1" t="s">
        <v>20740</v>
      </c>
      <c r="F11990" s="2"/>
      <c r="G11990" s="2"/>
      <c r="H11990" s="2"/>
    </row>
    <row r="11991" spans="1:8" x14ac:dyDescent="0.25">
      <c r="A11991" s="1"/>
      <c r="B11991" s="1" t="s">
        <v>5676</v>
      </c>
      <c r="C11991" s="1" t="s">
        <v>5677</v>
      </c>
      <c r="D11991" s="22" t="str">
        <f>HYPERLINK("https://rhld.insurance.arkansas.gov/NPILookup?Npi=1487269080","1487269080")</f>
        <v>1487269080</v>
      </c>
      <c r="E11991" s="1" t="s">
        <v>31772</v>
      </c>
      <c r="F11991" s="2"/>
      <c r="G11991" s="2"/>
      <c r="H11991" s="2"/>
    </row>
    <row r="11992" spans="1:8" x14ac:dyDescent="0.25">
      <c r="A11992" s="1"/>
      <c r="B11992" s="1" t="s">
        <v>5676</v>
      </c>
      <c r="C11992" s="1" t="s">
        <v>5677</v>
      </c>
      <c r="D11992" s="22" t="str">
        <f>HYPERLINK("https://rhld.insurance.arkansas.gov/NPILookup?Npi=1487640108","1487640108")</f>
        <v>1487640108</v>
      </c>
      <c r="E11992" s="1" t="s">
        <v>11353</v>
      </c>
      <c r="F11992" s="2"/>
      <c r="G11992" s="2"/>
      <c r="H11992" s="2"/>
    </row>
    <row r="11993" spans="1:8" x14ac:dyDescent="0.25">
      <c r="A11993" s="1"/>
      <c r="B11993" s="1" t="s">
        <v>5676</v>
      </c>
      <c r="C11993" s="1" t="s">
        <v>5677</v>
      </c>
      <c r="D11993" s="22" t="str">
        <f>HYPERLINK("https://rhld.insurance.arkansas.gov/NPILookup?Npi=1487720744","1487720744")</f>
        <v>1487720744</v>
      </c>
      <c r="E11993" s="1" t="s">
        <v>11354</v>
      </c>
      <c r="F11993" s="2"/>
      <c r="G11993" s="2"/>
      <c r="H11993" s="2"/>
    </row>
    <row r="11994" spans="1:8" x14ac:dyDescent="0.25">
      <c r="A11994" s="1"/>
      <c r="B11994" s="1" t="s">
        <v>5676</v>
      </c>
      <c r="C11994" s="1" t="s">
        <v>5677</v>
      </c>
      <c r="D11994" s="22" t="str">
        <f>HYPERLINK("https://rhld.insurance.arkansas.gov/NPILookup?Npi=1487844585","1487844585")</f>
        <v>1487844585</v>
      </c>
      <c r="E11994" s="1" t="s">
        <v>11355</v>
      </c>
      <c r="F11994" s="2"/>
      <c r="G11994" s="2"/>
      <c r="H11994" s="2"/>
    </row>
    <row r="11995" spans="1:8" x14ac:dyDescent="0.25">
      <c r="A11995" s="1"/>
      <c r="B11995" s="1" t="s">
        <v>5676</v>
      </c>
      <c r="C11995" s="1" t="s">
        <v>5677</v>
      </c>
      <c r="D11995" s="22" t="str">
        <f>HYPERLINK("https://rhld.insurance.arkansas.gov/NPILookup?Npi=1487859609","1487859609")</f>
        <v>1487859609</v>
      </c>
      <c r="E11995" s="1" t="s">
        <v>7336</v>
      </c>
      <c r="F11995" s="2"/>
      <c r="G11995" s="2"/>
      <c r="H11995" s="2"/>
    </row>
    <row r="11996" spans="1:8" x14ac:dyDescent="0.25">
      <c r="A11996" s="1"/>
      <c r="B11996" s="1" t="s">
        <v>5676</v>
      </c>
      <c r="C11996" s="1" t="s">
        <v>5677</v>
      </c>
      <c r="D11996" s="22" t="str">
        <f>HYPERLINK("https://rhld.insurance.arkansas.gov/NPILookup?Npi=1487947768","1487947768")</f>
        <v>1487947768</v>
      </c>
      <c r="E11996" s="1" t="s">
        <v>20741</v>
      </c>
      <c r="F11996" s="2"/>
      <c r="G11996" s="2"/>
      <c r="H11996" s="2"/>
    </row>
    <row r="11997" spans="1:8" x14ac:dyDescent="0.25">
      <c r="A11997" s="1"/>
      <c r="B11997" s="1" t="s">
        <v>5676</v>
      </c>
      <c r="C11997" s="1" t="s">
        <v>5677</v>
      </c>
      <c r="D11997" s="22" t="str">
        <f>HYPERLINK("https://rhld.insurance.arkansas.gov/NPILookup?Npi=1497071146","1497071146")</f>
        <v>1497071146</v>
      </c>
      <c r="E11997" s="1" t="s">
        <v>20742</v>
      </c>
      <c r="F11997" s="2"/>
      <c r="G11997" s="2"/>
      <c r="H11997" s="2"/>
    </row>
    <row r="11998" spans="1:8" x14ac:dyDescent="0.25">
      <c r="A11998" s="1"/>
      <c r="B11998" s="1" t="s">
        <v>5676</v>
      </c>
      <c r="C11998" s="1" t="s">
        <v>5677</v>
      </c>
      <c r="D11998" s="22" t="str">
        <f>HYPERLINK("https://rhld.insurance.arkansas.gov/NPILookup?Npi=1497171888","1497171888")</f>
        <v>1497171888</v>
      </c>
      <c r="E11998" s="1" t="s">
        <v>413</v>
      </c>
      <c r="F11998" s="2"/>
      <c r="G11998" s="2"/>
      <c r="H11998" s="2"/>
    </row>
    <row r="11999" spans="1:8" x14ac:dyDescent="0.25">
      <c r="A11999" s="1"/>
      <c r="B11999" s="1" t="s">
        <v>5676</v>
      </c>
      <c r="C11999" s="1" t="s">
        <v>5677</v>
      </c>
      <c r="D11999" s="22" t="str">
        <f>HYPERLINK("https://rhld.insurance.arkansas.gov/NPILookup?Npi=1497868897","1497868897")</f>
        <v>1497868897</v>
      </c>
      <c r="E11999" s="1" t="s">
        <v>5730</v>
      </c>
      <c r="F11999" s="2"/>
      <c r="G11999" s="2"/>
      <c r="H11999" s="2"/>
    </row>
    <row r="12000" spans="1:8" x14ac:dyDescent="0.25">
      <c r="A12000" s="1"/>
      <c r="B12000" s="1" t="s">
        <v>5676</v>
      </c>
      <c r="C12000" s="1" t="s">
        <v>5677</v>
      </c>
      <c r="D12000" s="22" t="str">
        <f>HYPERLINK("https://rhld.insurance.arkansas.gov/NPILookup?Npi=1497922793","1497922793")</f>
        <v>1497922793</v>
      </c>
      <c r="E12000" s="1" t="s">
        <v>200</v>
      </c>
      <c r="F12000" s="2"/>
      <c r="G12000" s="2"/>
      <c r="H12000" s="2"/>
    </row>
    <row r="12001" spans="1:8" x14ac:dyDescent="0.25">
      <c r="A12001" s="1"/>
      <c r="B12001" s="1" t="s">
        <v>5676</v>
      </c>
      <c r="C12001" s="1" t="s">
        <v>5677</v>
      </c>
      <c r="D12001" s="22" t="str">
        <f>HYPERLINK("https://rhld.insurance.arkansas.gov/NPILookup?Npi=1508283995","1508283995")</f>
        <v>1508283995</v>
      </c>
      <c r="E12001" s="1" t="s">
        <v>20743</v>
      </c>
      <c r="F12001" s="2"/>
      <c r="G12001" s="2"/>
      <c r="H12001" s="2"/>
    </row>
    <row r="12002" spans="1:8" x14ac:dyDescent="0.25">
      <c r="A12002" s="1"/>
      <c r="B12002" s="1" t="s">
        <v>5676</v>
      </c>
      <c r="C12002" s="1" t="s">
        <v>5677</v>
      </c>
      <c r="D12002" s="22" t="str">
        <f>HYPERLINK("https://rhld.insurance.arkansas.gov/NPILookup?Npi=1508853250","1508853250")</f>
        <v>1508853250</v>
      </c>
      <c r="E12002" s="1" t="s">
        <v>20744</v>
      </c>
      <c r="F12002" s="2"/>
      <c r="G12002" s="2"/>
      <c r="H12002" s="2"/>
    </row>
    <row r="12003" spans="1:8" x14ac:dyDescent="0.25">
      <c r="A12003" s="1"/>
      <c r="B12003" s="1" t="s">
        <v>5676</v>
      </c>
      <c r="C12003" s="1" t="s">
        <v>5677</v>
      </c>
      <c r="D12003" s="22" t="str">
        <f>HYPERLINK("https://rhld.insurance.arkansas.gov/NPILookup?Npi=1508858036","1508858036")</f>
        <v>1508858036</v>
      </c>
      <c r="E12003" s="1" t="s">
        <v>20745</v>
      </c>
      <c r="F12003" s="2"/>
      <c r="G12003" s="2"/>
      <c r="H12003" s="2"/>
    </row>
    <row r="12004" spans="1:8" x14ac:dyDescent="0.25">
      <c r="A12004" s="1"/>
      <c r="B12004" s="1" t="s">
        <v>5676</v>
      </c>
      <c r="C12004" s="1" t="s">
        <v>5677</v>
      </c>
      <c r="D12004" s="22" t="str">
        <f>HYPERLINK("https://rhld.insurance.arkansas.gov/NPILookup?Npi=1508897018","1508897018")</f>
        <v>1508897018</v>
      </c>
      <c r="E12004" s="1" t="s">
        <v>20746</v>
      </c>
      <c r="F12004" s="2"/>
      <c r="G12004" s="2"/>
      <c r="H12004" s="2"/>
    </row>
    <row r="12005" spans="1:8" x14ac:dyDescent="0.25">
      <c r="A12005" s="1"/>
      <c r="B12005" s="1" t="s">
        <v>5676</v>
      </c>
      <c r="C12005" s="1" t="s">
        <v>5677</v>
      </c>
      <c r="D12005" s="22" t="str">
        <f>HYPERLINK("https://rhld.insurance.arkansas.gov/NPILookup?Npi=1518071638","1518071638")</f>
        <v>1518071638</v>
      </c>
      <c r="E12005" s="1" t="s">
        <v>20471</v>
      </c>
      <c r="F12005" s="2"/>
      <c r="G12005" s="2"/>
      <c r="H12005" s="2"/>
    </row>
    <row r="12006" spans="1:8" x14ac:dyDescent="0.25">
      <c r="A12006" s="1"/>
      <c r="B12006" s="1" t="s">
        <v>5676</v>
      </c>
      <c r="C12006" s="1" t="s">
        <v>5677</v>
      </c>
      <c r="D12006" s="22" t="str">
        <f>HYPERLINK("https://rhld.insurance.arkansas.gov/NPILookup?Npi=1518226398","1518226398")</f>
        <v>1518226398</v>
      </c>
      <c r="E12006" s="1" t="s">
        <v>5732</v>
      </c>
      <c r="F12006" s="2"/>
      <c r="G12006" s="2"/>
      <c r="H12006" s="2"/>
    </row>
    <row r="12007" spans="1:8" x14ac:dyDescent="0.25">
      <c r="A12007" s="1"/>
      <c r="B12007" s="1" t="s">
        <v>5676</v>
      </c>
      <c r="C12007" s="1" t="s">
        <v>5677</v>
      </c>
      <c r="D12007" s="22" t="str">
        <f>HYPERLINK("https://rhld.insurance.arkansas.gov/NPILookup?Npi=1518366475","1518366475")</f>
        <v>1518366475</v>
      </c>
      <c r="E12007" s="1" t="s">
        <v>20747</v>
      </c>
      <c r="F12007" s="2"/>
      <c r="G12007" s="2"/>
      <c r="H12007" s="2"/>
    </row>
    <row r="12008" spans="1:8" x14ac:dyDescent="0.25">
      <c r="A12008" s="1"/>
      <c r="B12008" s="1" t="s">
        <v>5676</v>
      </c>
      <c r="C12008" s="1" t="s">
        <v>5677</v>
      </c>
      <c r="D12008" s="22" t="str">
        <f>HYPERLINK("https://rhld.insurance.arkansas.gov/NPILookup?Npi=1518377431","1518377431")</f>
        <v>1518377431</v>
      </c>
      <c r="E12008" s="1" t="s">
        <v>5733</v>
      </c>
      <c r="F12008" s="2"/>
      <c r="G12008" s="2"/>
      <c r="H12008" s="2"/>
    </row>
    <row r="12009" spans="1:8" x14ac:dyDescent="0.25">
      <c r="A12009" s="1"/>
      <c r="B12009" s="1" t="s">
        <v>5676</v>
      </c>
      <c r="C12009" s="1" t="s">
        <v>5677</v>
      </c>
      <c r="D12009" s="22" t="str">
        <f>HYPERLINK("https://rhld.insurance.arkansas.gov/NPILookup?Npi=1528046786","1528046786")</f>
        <v>1528046786</v>
      </c>
      <c r="E12009" s="1" t="s">
        <v>20748</v>
      </c>
      <c r="F12009" s="2"/>
      <c r="G12009" s="2"/>
      <c r="H12009" s="2"/>
    </row>
    <row r="12010" spans="1:8" x14ac:dyDescent="0.25">
      <c r="A12010" s="1"/>
      <c r="B12010" s="1" t="s">
        <v>5676</v>
      </c>
      <c r="C12010" s="1" t="s">
        <v>5677</v>
      </c>
      <c r="D12010" s="22" t="str">
        <f>HYPERLINK("https://rhld.insurance.arkansas.gov/NPILookup?Npi=1528077955","1528077955")</f>
        <v>1528077955</v>
      </c>
      <c r="E12010" s="1" t="s">
        <v>11356</v>
      </c>
      <c r="F12010" s="2"/>
      <c r="G12010" s="2"/>
      <c r="H12010" s="2"/>
    </row>
    <row r="12011" spans="1:8" x14ac:dyDescent="0.25">
      <c r="A12011" s="1"/>
      <c r="B12011" s="1" t="s">
        <v>5676</v>
      </c>
      <c r="C12011" s="1" t="s">
        <v>5677</v>
      </c>
      <c r="D12011" s="22" t="str">
        <f>HYPERLINK("https://rhld.insurance.arkansas.gov/NPILookup?Npi=1528173697","1528173697")</f>
        <v>1528173697</v>
      </c>
      <c r="E12011" s="1" t="s">
        <v>11357</v>
      </c>
      <c r="F12011" s="2"/>
      <c r="G12011" s="2"/>
      <c r="H12011" s="2"/>
    </row>
    <row r="12012" spans="1:8" x14ac:dyDescent="0.25">
      <c r="A12012" s="1"/>
      <c r="B12012" s="1" t="s">
        <v>5676</v>
      </c>
      <c r="C12012" s="1" t="s">
        <v>5677</v>
      </c>
      <c r="D12012" s="22" t="str">
        <f>HYPERLINK("https://rhld.insurance.arkansas.gov/NPILookup?Npi=1538145842","1538145842")</f>
        <v>1538145842</v>
      </c>
      <c r="E12012" s="1" t="s">
        <v>20750</v>
      </c>
      <c r="F12012" s="2"/>
      <c r="G12012" s="2"/>
      <c r="H12012" s="2"/>
    </row>
    <row r="12013" spans="1:8" x14ac:dyDescent="0.25">
      <c r="A12013" s="1"/>
      <c r="B12013" s="1" t="s">
        <v>5676</v>
      </c>
      <c r="C12013" s="1" t="s">
        <v>5677</v>
      </c>
      <c r="D12013" s="22" t="str">
        <f>HYPERLINK("https://rhld.insurance.arkansas.gov/NPILookup?Npi=1538156492","1538156492")</f>
        <v>1538156492</v>
      </c>
      <c r="E12013" s="1" t="s">
        <v>20751</v>
      </c>
      <c r="F12013" s="2"/>
      <c r="G12013" s="2"/>
      <c r="H12013" s="2"/>
    </row>
    <row r="12014" spans="1:8" x14ac:dyDescent="0.25">
      <c r="A12014" s="1"/>
      <c r="B12014" s="1" t="s">
        <v>5676</v>
      </c>
      <c r="C12014" s="1" t="s">
        <v>5677</v>
      </c>
      <c r="D12014" s="22" t="str">
        <f>HYPERLINK("https://rhld.insurance.arkansas.gov/NPILookup?Npi=1538300454","1538300454")</f>
        <v>1538300454</v>
      </c>
      <c r="E12014" s="1" t="s">
        <v>20752</v>
      </c>
      <c r="F12014" s="2"/>
      <c r="G12014" s="2"/>
      <c r="H12014" s="2"/>
    </row>
    <row r="12015" spans="1:8" x14ac:dyDescent="0.25">
      <c r="A12015" s="1"/>
      <c r="B12015" s="1" t="s">
        <v>5676</v>
      </c>
      <c r="C12015" s="1" t="s">
        <v>5677</v>
      </c>
      <c r="D12015" s="22" t="str">
        <f>HYPERLINK("https://rhld.insurance.arkansas.gov/NPILookup?Npi=1538622667","1538622667")</f>
        <v>1538622667</v>
      </c>
      <c r="E12015" s="1" t="s">
        <v>20753</v>
      </c>
      <c r="F12015" s="2"/>
      <c r="G12015" s="2"/>
      <c r="H12015" s="2"/>
    </row>
    <row r="12016" spans="1:8" x14ac:dyDescent="0.25">
      <c r="A12016" s="1"/>
      <c r="B12016" s="1" t="s">
        <v>5676</v>
      </c>
      <c r="C12016" s="1" t="s">
        <v>5677</v>
      </c>
      <c r="D12016" s="22" t="str">
        <f>HYPERLINK("https://rhld.insurance.arkansas.gov/NPILookup?Npi=1538628508","1538628508")</f>
        <v>1538628508</v>
      </c>
      <c r="E12016" s="1" t="s">
        <v>20754</v>
      </c>
      <c r="F12016" s="2"/>
      <c r="G12016" s="2"/>
      <c r="H12016" s="2"/>
    </row>
    <row r="12017" spans="1:8" x14ac:dyDescent="0.25">
      <c r="A12017" s="1"/>
      <c r="B12017" s="1" t="s">
        <v>5676</v>
      </c>
      <c r="C12017" s="1" t="s">
        <v>5677</v>
      </c>
      <c r="D12017" s="22" t="str">
        <f>HYPERLINK("https://rhld.insurance.arkansas.gov/NPILookup?Npi=1548254915","1548254915")</f>
        <v>1548254915</v>
      </c>
      <c r="E12017" s="1" t="s">
        <v>20755</v>
      </c>
      <c r="F12017" s="2"/>
      <c r="G12017" s="2"/>
      <c r="H12017" s="2"/>
    </row>
    <row r="12018" spans="1:8" x14ac:dyDescent="0.25">
      <c r="A12018" s="1"/>
      <c r="B12018" s="1" t="s">
        <v>5676</v>
      </c>
      <c r="C12018" s="1" t="s">
        <v>5677</v>
      </c>
      <c r="D12018" s="22" t="str">
        <f>HYPERLINK("https://rhld.insurance.arkansas.gov/NPILookup?Npi=1548340359","1548340359")</f>
        <v>1548340359</v>
      </c>
      <c r="E12018" s="1" t="s">
        <v>5734</v>
      </c>
      <c r="F12018" s="2"/>
      <c r="G12018" s="2"/>
      <c r="H12018" s="2"/>
    </row>
    <row r="12019" spans="1:8" x14ac:dyDescent="0.25">
      <c r="A12019" s="1"/>
      <c r="B12019" s="1" t="s">
        <v>5676</v>
      </c>
      <c r="C12019" s="1" t="s">
        <v>5677</v>
      </c>
      <c r="D12019" s="22" t="str">
        <f>HYPERLINK("https://rhld.insurance.arkansas.gov/NPILookup?Npi=1548389455","1548389455")</f>
        <v>1548389455</v>
      </c>
      <c r="E12019" s="1" t="s">
        <v>20757</v>
      </c>
      <c r="F12019" s="2"/>
      <c r="G12019" s="2"/>
      <c r="H12019" s="2"/>
    </row>
    <row r="12020" spans="1:8" x14ac:dyDescent="0.25">
      <c r="A12020" s="1"/>
      <c r="B12020" s="1" t="s">
        <v>5676</v>
      </c>
      <c r="C12020" s="1" t="s">
        <v>5677</v>
      </c>
      <c r="D12020" s="22" t="str">
        <f>HYPERLINK("https://rhld.insurance.arkansas.gov/NPILookup?Npi=1548558273","1548558273")</f>
        <v>1548558273</v>
      </c>
      <c r="E12020" s="1" t="s">
        <v>5735</v>
      </c>
      <c r="F12020" s="2"/>
      <c r="G12020" s="2"/>
      <c r="H12020" s="2"/>
    </row>
    <row r="12021" spans="1:8" x14ac:dyDescent="0.25">
      <c r="A12021" s="1"/>
      <c r="B12021" s="1" t="s">
        <v>5676</v>
      </c>
      <c r="C12021" s="1" t="s">
        <v>5677</v>
      </c>
      <c r="D12021" s="22" t="str">
        <f>HYPERLINK("https://rhld.insurance.arkansas.gov/NPILookup?Npi=1558306902","1558306902")</f>
        <v>1558306902</v>
      </c>
      <c r="E12021" s="1" t="s">
        <v>2302</v>
      </c>
      <c r="F12021" s="2"/>
      <c r="G12021" s="2"/>
      <c r="H12021" s="2"/>
    </row>
    <row r="12022" spans="1:8" x14ac:dyDescent="0.25">
      <c r="A12022" s="1"/>
      <c r="B12022" s="1" t="s">
        <v>5676</v>
      </c>
      <c r="C12022" s="1" t="s">
        <v>5677</v>
      </c>
      <c r="D12022" s="22" t="str">
        <f>HYPERLINK("https://rhld.insurance.arkansas.gov/NPILookup?Npi=1558323501","1558323501")</f>
        <v>1558323501</v>
      </c>
      <c r="E12022" s="1" t="s">
        <v>20758</v>
      </c>
      <c r="F12022" s="2"/>
      <c r="G12022" s="2"/>
      <c r="H12022" s="2"/>
    </row>
    <row r="12023" spans="1:8" x14ac:dyDescent="0.25">
      <c r="A12023" s="1"/>
      <c r="B12023" s="1" t="s">
        <v>5676</v>
      </c>
      <c r="C12023" s="1" t="s">
        <v>5677</v>
      </c>
      <c r="D12023" s="22" t="str">
        <f>HYPERLINK("https://rhld.insurance.arkansas.gov/NPILookup?Npi=1558326454","1558326454")</f>
        <v>1558326454</v>
      </c>
      <c r="E12023" s="1" t="s">
        <v>20759</v>
      </c>
      <c r="F12023" s="2"/>
      <c r="G12023" s="2"/>
      <c r="H12023" s="2"/>
    </row>
    <row r="12024" spans="1:8" x14ac:dyDescent="0.25">
      <c r="A12024" s="1"/>
      <c r="B12024" s="1" t="s">
        <v>5676</v>
      </c>
      <c r="C12024" s="1" t="s">
        <v>5677</v>
      </c>
      <c r="D12024" s="22" t="str">
        <f>HYPERLINK("https://rhld.insurance.arkansas.gov/NPILookup?Npi=1558335299","1558335299")</f>
        <v>1558335299</v>
      </c>
      <c r="E12024" s="1" t="s">
        <v>20760</v>
      </c>
      <c r="F12024" s="2"/>
      <c r="G12024" s="2"/>
      <c r="H12024" s="2"/>
    </row>
    <row r="12025" spans="1:8" x14ac:dyDescent="0.25">
      <c r="A12025" s="1"/>
      <c r="B12025" s="1" t="s">
        <v>5676</v>
      </c>
      <c r="C12025" s="1" t="s">
        <v>5677</v>
      </c>
      <c r="D12025" s="22" t="str">
        <f>HYPERLINK("https://rhld.insurance.arkansas.gov/NPILookup?Npi=1558349712","1558349712")</f>
        <v>1558349712</v>
      </c>
      <c r="E12025" s="1" t="s">
        <v>20761</v>
      </c>
      <c r="F12025" s="2"/>
      <c r="G12025" s="2"/>
      <c r="H12025" s="2"/>
    </row>
    <row r="12026" spans="1:8" x14ac:dyDescent="0.25">
      <c r="A12026" s="1"/>
      <c r="B12026" s="1" t="s">
        <v>5676</v>
      </c>
      <c r="C12026" s="1" t="s">
        <v>5677</v>
      </c>
      <c r="D12026" s="22" t="str">
        <f>HYPERLINK("https://rhld.insurance.arkansas.gov/NPILookup?Npi=1558749028","1558749028")</f>
        <v>1558749028</v>
      </c>
      <c r="E12026" s="1" t="s">
        <v>20762</v>
      </c>
      <c r="F12026" s="2"/>
      <c r="G12026" s="2"/>
      <c r="H12026" s="2"/>
    </row>
    <row r="12027" spans="1:8" x14ac:dyDescent="0.25">
      <c r="A12027" s="1"/>
      <c r="B12027" s="1" t="s">
        <v>5676</v>
      </c>
      <c r="C12027" s="1" t="s">
        <v>5677</v>
      </c>
      <c r="D12027" s="22" t="str">
        <f>HYPERLINK("https://rhld.insurance.arkansas.gov/NPILookup?Npi=1568427573","1568427573")</f>
        <v>1568427573</v>
      </c>
      <c r="E12027" s="1" t="s">
        <v>20763</v>
      </c>
      <c r="F12027" s="2"/>
      <c r="G12027" s="2"/>
      <c r="H12027" s="2"/>
    </row>
    <row r="12028" spans="1:8" x14ac:dyDescent="0.25">
      <c r="A12028" s="1"/>
      <c r="B12028" s="1" t="s">
        <v>5676</v>
      </c>
      <c r="C12028" s="1" t="s">
        <v>5677</v>
      </c>
      <c r="D12028" s="22" t="str">
        <f>HYPERLINK("https://rhld.insurance.arkansas.gov/NPILookup?Npi=1568459345","1568459345")</f>
        <v>1568459345</v>
      </c>
      <c r="E12028" s="1" t="s">
        <v>20764</v>
      </c>
      <c r="F12028" s="2"/>
      <c r="G12028" s="2"/>
      <c r="H12028" s="2"/>
    </row>
    <row r="12029" spans="1:8" x14ac:dyDescent="0.25">
      <c r="A12029" s="1"/>
      <c r="B12029" s="1" t="s">
        <v>5676</v>
      </c>
      <c r="C12029" s="1" t="s">
        <v>5677</v>
      </c>
      <c r="D12029" s="22" t="str">
        <f>HYPERLINK("https://rhld.insurance.arkansas.gov/NPILookup?Npi=1568476141","1568476141")</f>
        <v>1568476141</v>
      </c>
      <c r="E12029" s="1" t="s">
        <v>5736</v>
      </c>
      <c r="F12029" s="2"/>
      <c r="G12029" s="2"/>
      <c r="H12029" s="2"/>
    </row>
    <row r="12030" spans="1:8" x14ac:dyDescent="0.25">
      <c r="A12030" s="1"/>
      <c r="B12030" s="1" t="s">
        <v>5676</v>
      </c>
      <c r="C12030" s="1" t="s">
        <v>5677</v>
      </c>
      <c r="D12030" s="22" t="str">
        <f>HYPERLINK("https://rhld.insurance.arkansas.gov/NPILookup?Npi=1578502407","1578502407")</f>
        <v>1578502407</v>
      </c>
      <c r="E12030" s="1" t="s">
        <v>20765</v>
      </c>
      <c r="F12030" s="2"/>
      <c r="G12030" s="2"/>
      <c r="H12030" s="2"/>
    </row>
    <row r="12031" spans="1:8" x14ac:dyDescent="0.25">
      <c r="A12031" s="1"/>
      <c r="B12031" s="1" t="s">
        <v>5676</v>
      </c>
      <c r="C12031" s="1" t="s">
        <v>5677</v>
      </c>
      <c r="D12031" s="22" t="str">
        <f>HYPERLINK("https://rhld.insurance.arkansas.gov/NPILookup?Npi=1578538443","1578538443")</f>
        <v>1578538443</v>
      </c>
      <c r="E12031" s="1" t="s">
        <v>11359</v>
      </c>
      <c r="F12031" s="2"/>
      <c r="G12031" s="2"/>
      <c r="H12031" s="2"/>
    </row>
    <row r="12032" spans="1:8" x14ac:dyDescent="0.25">
      <c r="A12032" s="1"/>
      <c r="B12032" s="1" t="s">
        <v>5676</v>
      </c>
      <c r="C12032" s="1" t="s">
        <v>5677</v>
      </c>
      <c r="D12032" s="22" t="str">
        <f>HYPERLINK("https://rhld.insurance.arkansas.gov/NPILookup?Npi=1578550976","1578550976")</f>
        <v>1578550976</v>
      </c>
      <c r="E12032" s="1" t="s">
        <v>20766</v>
      </c>
      <c r="F12032" s="2"/>
      <c r="G12032" s="2"/>
      <c r="H12032" s="2"/>
    </row>
    <row r="12033" spans="1:8" x14ac:dyDescent="0.25">
      <c r="A12033" s="1"/>
      <c r="B12033" s="1" t="s">
        <v>5676</v>
      </c>
      <c r="C12033" s="1" t="s">
        <v>5677</v>
      </c>
      <c r="D12033" s="22" t="str">
        <f>HYPERLINK("https://rhld.insurance.arkansas.gov/NPILookup?Npi=1578592895","1578592895")</f>
        <v>1578592895</v>
      </c>
      <c r="E12033" s="1" t="s">
        <v>3249</v>
      </c>
      <c r="F12033" s="2"/>
      <c r="G12033" s="2"/>
      <c r="H12033" s="2"/>
    </row>
    <row r="12034" spans="1:8" x14ac:dyDescent="0.25">
      <c r="A12034" s="1"/>
      <c r="B12034" s="1" t="s">
        <v>5676</v>
      </c>
      <c r="C12034" s="1" t="s">
        <v>5677</v>
      </c>
      <c r="D12034" s="22" t="str">
        <f>HYPERLINK("https://rhld.insurance.arkansas.gov/NPILookup?Npi=1588683510","1588683510")</f>
        <v>1588683510</v>
      </c>
      <c r="E12034" s="1" t="s">
        <v>8392</v>
      </c>
      <c r="F12034" s="2"/>
      <c r="G12034" s="2"/>
      <c r="H12034" s="2"/>
    </row>
    <row r="12035" spans="1:8" x14ac:dyDescent="0.25">
      <c r="A12035" s="1"/>
      <c r="B12035" s="1" t="s">
        <v>5676</v>
      </c>
      <c r="C12035" s="1" t="s">
        <v>5677</v>
      </c>
      <c r="D12035" s="22" t="str">
        <f>HYPERLINK("https://rhld.insurance.arkansas.gov/NPILookup?Npi=1588820864","1588820864")</f>
        <v>1588820864</v>
      </c>
      <c r="E12035" s="1" t="s">
        <v>20767</v>
      </c>
      <c r="F12035" s="2"/>
      <c r="G12035" s="2"/>
      <c r="H12035" s="2"/>
    </row>
    <row r="12036" spans="1:8" x14ac:dyDescent="0.25">
      <c r="A12036" s="1"/>
      <c r="B12036" s="1" t="s">
        <v>5676</v>
      </c>
      <c r="C12036" s="1" t="s">
        <v>5677</v>
      </c>
      <c r="D12036" s="22" t="str">
        <f>HYPERLINK("https://rhld.insurance.arkansas.gov/NPILookup?Npi=1588922579","1588922579")</f>
        <v>1588922579</v>
      </c>
      <c r="E12036" s="1" t="s">
        <v>11360</v>
      </c>
      <c r="F12036" s="2"/>
      <c r="G12036" s="2"/>
      <c r="H12036" s="2"/>
    </row>
    <row r="12037" spans="1:8" x14ac:dyDescent="0.25">
      <c r="A12037" s="1"/>
      <c r="B12037" s="1" t="s">
        <v>5676</v>
      </c>
      <c r="C12037" s="1" t="s">
        <v>5677</v>
      </c>
      <c r="D12037" s="22" t="str">
        <f>HYPERLINK("https://rhld.insurance.arkansas.gov/NPILookup?Npi=1598261349","1598261349")</f>
        <v>1598261349</v>
      </c>
      <c r="E12037" s="1" t="s">
        <v>20768</v>
      </c>
      <c r="F12037" s="2"/>
      <c r="G12037" s="2"/>
      <c r="H12037" s="2"/>
    </row>
    <row r="12038" spans="1:8" x14ac:dyDescent="0.25">
      <c r="A12038" s="1"/>
      <c r="B12038" s="1" t="s">
        <v>5676</v>
      </c>
      <c r="C12038" s="1" t="s">
        <v>5677</v>
      </c>
      <c r="D12038" s="22" t="str">
        <f>HYPERLINK("https://rhld.insurance.arkansas.gov/NPILookup?Npi=1598267585","1598267585")</f>
        <v>1598267585</v>
      </c>
      <c r="E12038" s="1" t="s">
        <v>20769</v>
      </c>
      <c r="F12038" s="2"/>
      <c r="G12038" s="2"/>
      <c r="H12038" s="2"/>
    </row>
    <row r="12039" spans="1:8" x14ac:dyDescent="0.25">
      <c r="A12039" s="1"/>
      <c r="B12039" s="1" t="s">
        <v>5676</v>
      </c>
      <c r="C12039" s="1" t="s">
        <v>5677</v>
      </c>
      <c r="D12039" s="22" t="str">
        <f>HYPERLINK("https://rhld.insurance.arkansas.gov/NPILookup?Npi=1598739708","1598739708")</f>
        <v>1598739708</v>
      </c>
      <c r="E12039" s="1" t="s">
        <v>5737</v>
      </c>
      <c r="F12039" s="2"/>
      <c r="G12039" s="2"/>
      <c r="H12039" s="2"/>
    </row>
    <row r="12040" spans="1:8" x14ac:dyDescent="0.25">
      <c r="A12040" s="1"/>
      <c r="B12040" s="1" t="s">
        <v>5676</v>
      </c>
      <c r="C12040" s="1" t="s">
        <v>5677</v>
      </c>
      <c r="D12040" s="22" t="str">
        <f>HYPERLINK("https://rhld.insurance.arkansas.gov/NPILookup?Npi=1598743759","1598743759")</f>
        <v>1598743759</v>
      </c>
      <c r="E12040" s="1" t="s">
        <v>5738</v>
      </c>
      <c r="F12040" s="2"/>
      <c r="G12040" s="2"/>
      <c r="H12040" s="2"/>
    </row>
    <row r="12041" spans="1:8" x14ac:dyDescent="0.25">
      <c r="A12041" s="1"/>
      <c r="B12041" s="1" t="s">
        <v>5676</v>
      </c>
      <c r="C12041" s="1" t="s">
        <v>5677</v>
      </c>
      <c r="D12041" s="22" t="str">
        <f>HYPERLINK("https://rhld.insurance.arkansas.gov/NPILookup?Npi=1598750366","1598750366")</f>
        <v>1598750366</v>
      </c>
      <c r="E12041" s="1" t="s">
        <v>20770</v>
      </c>
      <c r="F12041" s="2"/>
      <c r="G12041" s="2"/>
      <c r="H12041" s="2"/>
    </row>
    <row r="12042" spans="1:8" x14ac:dyDescent="0.25">
      <c r="A12042" s="1"/>
      <c r="B12042" s="1" t="s">
        <v>5676</v>
      </c>
      <c r="C12042" s="1" t="s">
        <v>5677</v>
      </c>
      <c r="D12042" s="22" t="str">
        <f>HYPERLINK("https://rhld.insurance.arkansas.gov/NPILookup?Npi=1598750788","1598750788")</f>
        <v>1598750788</v>
      </c>
      <c r="E12042" s="1" t="s">
        <v>20771</v>
      </c>
      <c r="F12042" s="2"/>
      <c r="G12042" s="2"/>
      <c r="H12042" s="2"/>
    </row>
    <row r="12043" spans="1:8" x14ac:dyDescent="0.25">
      <c r="A12043" s="1"/>
      <c r="B12043" s="1" t="s">
        <v>5676</v>
      </c>
      <c r="C12043" s="1" t="s">
        <v>5677</v>
      </c>
      <c r="D12043" s="22" t="str">
        <f>HYPERLINK("https://rhld.insurance.arkansas.gov/NPILookup?Npi=1598845851","1598845851")</f>
        <v>1598845851</v>
      </c>
      <c r="E12043" s="1" t="s">
        <v>20772</v>
      </c>
      <c r="F12043" s="2"/>
      <c r="G12043" s="2"/>
      <c r="H12043" s="2"/>
    </row>
    <row r="12044" spans="1:8" x14ac:dyDescent="0.25">
      <c r="A12044" s="1"/>
      <c r="B12044" s="1" t="s">
        <v>5676</v>
      </c>
      <c r="C12044" s="1" t="s">
        <v>5677</v>
      </c>
      <c r="D12044" s="22" t="str">
        <f>HYPERLINK("https://rhld.insurance.arkansas.gov/NPILookup?Npi=1598910481","1598910481")</f>
        <v>1598910481</v>
      </c>
      <c r="E12044" s="1" t="s">
        <v>20773</v>
      </c>
      <c r="F12044" s="2"/>
      <c r="G12044" s="2"/>
      <c r="H12044" s="2"/>
    </row>
    <row r="12045" spans="1:8" x14ac:dyDescent="0.25">
      <c r="A12045" s="1"/>
      <c r="B12045" s="1" t="s">
        <v>5676</v>
      </c>
      <c r="C12045" s="1" t="s">
        <v>5677</v>
      </c>
      <c r="D12045" s="22" t="str">
        <f>HYPERLINK("https://rhld.insurance.arkansas.gov/NPILookup?Npi=1598921447","1598921447")</f>
        <v>1598921447</v>
      </c>
      <c r="E12045" s="1" t="s">
        <v>5739</v>
      </c>
      <c r="F12045" s="2"/>
      <c r="G12045" s="2"/>
      <c r="H12045" s="2"/>
    </row>
    <row r="12046" spans="1:8" x14ac:dyDescent="0.25">
      <c r="A12046" s="1"/>
      <c r="B12046" s="1" t="s">
        <v>5676</v>
      </c>
      <c r="C12046" s="1" t="s">
        <v>5677</v>
      </c>
      <c r="D12046" s="22" t="str">
        <f>HYPERLINK("https://rhld.insurance.arkansas.gov/NPILookup?Npi=1609287168","1609287168")</f>
        <v>1609287168</v>
      </c>
      <c r="E12046" s="1" t="s">
        <v>5740</v>
      </c>
      <c r="F12046" s="2"/>
      <c r="G12046" s="2"/>
      <c r="H12046" s="2"/>
    </row>
    <row r="12047" spans="1:8" x14ac:dyDescent="0.25">
      <c r="A12047" s="1"/>
      <c r="B12047" s="1" t="s">
        <v>5676</v>
      </c>
      <c r="C12047" s="1" t="s">
        <v>5677</v>
      </c>
      <c r="D12047" s="22" t="str">
        <f>HYPERLINK("https://rhld.insurance.arkansas.gov/NPILookup?Npi=1609813401","1609813401")</f>
        <v>1609813401</v>
      </c>
      <c r="E12047" s="1" t="s">
        <v>11361</v>
      </c>
      <c r="F12047" s="2"/>
      <c r="G12047" s="2"/>
      <c r="H12047" s="2"/>
    </row>
    <row r="12048" spans="1:8" x14ac:dyDescent="0.25">
      <c r="A12048" s="1"/>
      <c r="B12048" s="1" t="s">
        <v>5676</v>
      </c>
      <c r="C12048" s="1" t="s">
        <v>5677</v>
      </c>
      <c r="D12048" s="22" t="str">
        <f>HYPERLINK("https://rhld.insurance.arkansas.gov/NPILookup?Npi=1609927342","1609927342")</f>
        <v>1609927342</v>
      </c>
      <c r="E12048" s="1" t="s">
        <v>11362</v>
      </c>
      <c r="F12048" s="2"/>
      <c r="G12048" s="2"/>
      <c r="H12048" s="2"/>
    </row>
    <row r="12049" spans="1:8" x14ac:dyDescent="0.25">
      <c r="A12049" s="1"/>
      <c r="B12049" s="1" t="s">
        <v>5676</v>
      </c>
      <c r="C12049" s="1" t="s">
        <v>5677</v>
      </c>
      <c r="D12049" s="22" t="str">
        <f>HYPERLINK("https://rhld.insurance.arkansas.gov/NPILookup?Npi=1619397262","1619397262")</f>
        <v>1619397262</v>
      </c>
      <c r="E12049" s="1" t="s">
        <v>20774</v>
      </c>
      <c r="F12049" s="2"/>
      <c r="G12049" s="2"/>
      <c r="H12049" s="2"/>
    </row>
    <row r="12050" spans="1:8" x14ac:dyDescent="0.25">
      <c r="A12050" s="1"/>
      <c r="B12050" s="1" t="s">
        <v>5676</v>
      </c>
      <c r="C12050" s="1" t="s">
        <v>5677</v>
      </c>
      <c r="D12050" s="22" t="str">
        <f>HYPERLINK("https://rhld.insurance.arkansas.gov/NPILookup?Npi=1619955945","1619955945")</f>
        <v>1619955945</v>
      </c>
      <c r="E12050" s="1" t="s">
        <v>5741</v>
      </c>
      <c r="F12050" s="2"/>
      <c r="G12050" s="2"/>
      <c r="H12050" s="2"/>
    </row>
    <row r="12051" spans="1:8" x14ac:dyDescent="0.25">
      <c r="A12051" s="1"/>
      <c r="B12051" s="1" t="s">
        <v>5676</v>
      </c>
      <c r="C12051" s="1" t="s">
        <v>5677</v>
      </c>
      <c r="D12051" s="22" t="str">
        <f>HYPERLINK("https://rhld.insurance.arkansas.gov/NPILookup?Npi=1619969599","1619969599")</f>
        <v>1619969599</v>
      </c>
      <c r="E12051" s="1" t="s">
        <v>5742</v>
      </c>
      <c r="F12051" s="2"/>
      <c r="G12051" s="2"/>
      <c r="H12051" s="2"/>
    </row>
    <row r="12052" spans="1:8" x14ac:dyDescent="0.25">
      <c r="A12052" s="1"/>
      <c r="B12052" s="1" t="s">
        <v>5676</v>
      </c>
      <c r="C12052" s="1" t="s">
        <v>5677</v>
      </c>
      <c r="D12052" s="22" t="str">
        <f>HYPERLINK("https://rhld.insurance.arkansas.gov/NPILookup?Npi=1629068200","1629068200")</f>
        <v>1629068200</v>
      </c>
      <c r="E12052" s="1" t="s">
        <v>5743</v>
      </c>
      <c r="F12052" s="2"/>
      <c r="G12052" s="2"/>
      <c r="H12052" s="2"/>
    </row>
    <row r="12053" spans="1:8" x14ac:dyDescent="0.25">
      <c r="A12053" s="1"/>
      <c r="B12053" s="1" t="s">
        <v>5676</v>
      </c>
      <c r="C12053" s="1" t="s">
        <v>5677</v>
      </c>
      <c r="D12053" s="22" t="str">
        <f>HYPERLINK("https://rhld.insurance.arkansas.gov/NPILookup?Npi=1629295209","1629295209")</f>
        <v>1629295209</v>
      </c>
      <c r="E12053" s="1" t="s">
        <v>5744</v>
      </c>
      <c r="F12053" s="2"/>
      <c r="G12053" s="2"/>
      <c r="H12053" s="2"/>
    </row>
    <row r="12054" spans="1:8" x14ac:dyDescent="0.25">
      <c r="A12054" s="1"/>
      <c r="B12054" s="1" t="s">
        <v>5676</v>
      </c>
      <c r="C12054" s="1" t="s">
        <v>5677</v>
      </c>
      <c r="D12054" s="22" t="str">
        <f>HYPERLINK("https://rhld.insurance.arkansas.gov/NPILookup?Npi=1629297957","1629297957")</f>
        <v>1629297957</v>
      </c>
      <c r="E12054" s="1" t="s">
        <v>20775</v>
      </c>
      <c r="F12054" s="2"/>
      <c r="G12054" s="2"/>
      <c r="H12054" s="2"/>
    </row>
    <row r="12055" spans="1:8" x14ac:dyDescent="0.25">
      <c r="A12055" s="1"/>
      <c r="B12055" s="1" t="s">
        <v>5676</v>
      </c>
      <c r="C12055" s="1" t="s">
        <v>5677</v>
      </c>
      <c r="D12055" s="22" t="str">
        <f>HYPERLINK("https://rhld.insurance.arkansas.gov/NPILookup?Npi=1629383997","1629383997")</f>
        <v>1629383997</v>
      </c>
      <c r="E12055" s="1" t="s">
        <v>11363</v>
      </c>
      <c r="F12055" s="2"/>
      <c r="G12055" s="2"/>
      <c r="H12055" s="2"/>
    </row>
    <row r="12056" spans="1:8" x14ac:dyDescent="0.25">
      <c r="A12056" s="1"/>
      <c r="B12056" s="1" t="s">
        <v>5676</v>
      </c>
      <c r="C12056" s="1" t="s">
        <v>5677</v>
      </c>
      <c r="D12056" s="22" t="str">
        <f>HYPERLINK("https://rhld.insurance.arkansas.gov/NPILookup?Npi=1629464896","1629464896")</f>
        <v>1629464896</v>
      </c>
      <c r="E12056" s="1" t="s">
        <v>20776</v>
      </c>
      <c r="F12056" s="2"/>
      <c r="G12056" s="2"/>
      <c r="H12056" s="2"/>
    </row>
    <row r="12057" spans="1:8" x14ac:dyDescent="0.25">
      <c r="A12057" s="1"/>
      <c r="B12057" s="1" t="s">
        <v>5676</v>
      </c>
      <c r="C12057" s="1" t="s">
        <v>5677</v>
      </c>
      <c r="D12057" s="22" t="str">
        <f>HYPERLINK("https://rhld.insurance.arkansas.gov/NPILookup?Npi=1629497078","1629497078")</f>
        <v>1629497078</v>
      </c>
      <c r="E12057" s="1" t="s">
        <v>20777</v>
      </c>
      <c r="F12057" s="2"/>
      <c r="G12057" s="2"/>
      <c r="H12057" s="2"/>
    </row>
    <row r="12058" spans="1:8" x14ac:dyDescent="0.25">
      <c r="A12058" s="1"/>
      <c r="B12058" s="1" t="s">
        <v>5676</v>
      </c>
      <c r="C12058" s="1" t="s">
        <v>5677</v>
      </c>
      <c r="D12058" s="22" t="str">
        <f>HYPERLINK("https://rhld.insurance.arkansas.gov/NPILookup?Npi=1629573787","1629573787")</f>
        <v>1629573787</v>
      </c>
      <c r="E12058" s="1" t="s">
        <v>20778</v>
      </c>
      <c r="F12058" s="2"/>
      <c r="G12058" s="2"/>
      <c r="H12058" s="2"/>
    </row>
    <row r="12059" spans="1:8" x14ac:dyDescent="0.25">
      <c r="A12059" s="1"/>
      <c r="B12059" s="1" t="s">
        <v>5676</v>
      </c>
      <c r="C12059" s="1" t="s">
        <v>5677</v>
      </c>
      <c r="D12059" s="22" t="str">
        <f>HYPERLINK("https://rhld.insurance.arkansas.gov/NPILookup?Npi=1639163959","1639163959")</f>
        <v>1639163959</v>
      </c>
      <c r="E12059" s="1" t="s">
        <v>20779</v>
      </c>
      <c r="F12059" s="2"/>
      <c r="G12059" s="2"/>
      <c r="H12059" s="2"/>
    </row>
    <row r="12060" spans="1:8" x14ac:dyDescent="0.25">
      <c r="A12060" s="1"/>
      <c r="B12060" s="1" t="s">
        <v>5676</v>
      </c>
      <c r="C12060" s="1" t="s">
        <v>5677</v>
      </c>
      <c r="D12060" s="22" t="str">
        <f>HYPERLINK("https://rhld.insurance.arkansas.gov/NPILookup?Npi=1639164023","1639164023")</f>
        <v>1639164023</v>
      </c>
      <c r="E12060" s="1" t="s">
        <v>20780</v>
      </c>
      <c r="F12060" s="2"/>
      <c r="G12060" s="2"/>
      <c r="H12060" s="2"/>
    </row>
    <row r="12061" spans="1:8" x14ac:dyDescent="0.25">
      <c r="A12061" s="1"/>
      <c r="B12061" s="1" t="s">
        <v>5676</v>
      </c>
      <c r="C12061" s="1" t="s">
        <v>5677</v>
      </c>
      <c r="D12061" s="22" t="str">
        <f>HYPERLINK("https://rhld.insurance.arkansas.gov/NPILookup?Npi=1639370257","1639370257")</f>
        <v>1639370257</v>
      </c>
      <c r="E12061" s="1" t="s">
        <v>11364</v>
      </c>
      <c r="F12061" s="2"/>
      <c r="G12061" s="2"/>
      <c r="H12061" s="2"/>
    </row>
    <row r="12062" spans="1:8" x14ac:dyDescent="0.25">
      <c r="A12062" s="1"/>
      <c r="B12062" s="1" t="s">
        <v>5676</v>
      </c>
      <c r="C12062" s="1" t="s">
        <v>5677</v>
      </c>
      <c r="D12062" s="22" t="str">
        <f>HYPERLINK("https://rhld.insurance.arkansas.gov/NPILookup?Npi=1639437700","1639437700")</f>
        <v>1639437700</v>
      </c>
      <c r="E12062" s="1" t="s">
        <v>5745</v>
      </c>
      <c r="F12062" s="2"/>
      <c r="G12062" s="2"/>
      <c r="H12062" s="2"/>
    </row>
    <row r="12063" spans="1:8" x14ac:dyDescent="0.25">
      <c r="A12063" s="1"/>
      <c r="B12063" s="1" t="s">
        <v>5676</v>
      </c>
      <c r="C12063" s="1" t="s">
        <v>5677</v>
      </c>
      <c r="D12063" s="22" t="str">
        <f>HYPERLINK("https://rhld.insurance.arkansas.gov/NPILookup?Npi=1639667694","1639667694")</f>
        <v>1639667694</v>
      </c>
      <c r="E12063" s="1" t="s">
        <v>20781</v>
      </c>
      <c r="F12063" s="2"/>
      <c r="G12063" s="2"/>
      <c r="H12063" s="2"/>
    </row>
    <row r="12064" spans="1:8" x14ac:dyDescent="0.25">
      <c r="A12064" s="1"/>
      <c r="B12064" s="1" t="s">
        <v>5676</v>
      </c>
      <c r="C12064" s="1" t="s">
        <v>5677</v>
      </c>
      <c r="D12064" s="22" t="str">
        <f>HYPERLINK("https://rhld.insurance.arkansas.gov/NPILookup?Npi=1649499971","1649499971")</f>
        <v>1649499971</v>
      </c>
      <c r="E12064" s="1" t="s">
        <v>11365</v>
      </c>
      <c r="F12064" s="2"/>
      <c r="G12064" s="2"/>
      <c r="H12064" s="2"/>
    </row>
    <row r="12065" spans="1:8" x14ac:dyDescent="0.25">
      <c r="A12065" s="1"/>
      <c r="B12065" s="1" t="s">
        <v>5676</v>
      </c>
      <c r="C12065" s="1" t="s">
        <v>5677</v>
      </c>
      <c r="D12065" s="22" t="str">
        <f>HYPERLINK("https://rhld.insurance.arkansas.gov/NPILookup?Npi=1649554593","1649554593")</f>
        <v>1649554593</v>
      </c>
      <c r="E12065" s="1" t="s">
        <v>5746</v>
      </c>
      <c r="F12065" s="2"/>
      <c r="G12065" s="2"/>
      <c r="H12065" s="2"/>
    </row>
    <row r="12066" spans="1:8" x14ac:dyDescent="0.25">
      <c r="A12066" s="1"/>
      <c r="B12066" s="1" t="s">
        <v>5676</v>
      </c>
      <c r="C12066" s="1" t="s">
        <v>5677</v>
      </c>
      <c r="D12066" s="22" t="str">
        <f>HYPERLINK("https://rhld.insurance.arkansas.gov/NPILookup?Npi=1659330090","1659330090")</f>
        <v>1659330090</v>
      </c>
      <c r="E12066" s="1" t="s">
        <v>20782</v>
      </c>
      <c r="F12066" s="2"/>
      <c r="G12066" s="2"/>
      <c r="H12066" s="2"/>
    </row>
    <row r="12067" spans="1:8" x14ac:dyDescent="0.25">
      <c r="A12067" s="1"/>
      <c r="B12067" s="1" t="s">
        <v>5676</v>
      </c>
      <c r="C12067" s="1" t="s">
        <v>5677</v>
      </c>
      <c r="D12067" s="22" t="str">
        <f>HYPERLINK("https://rhld.insurance.arkansas.gov/NPILookup?Npi=1659363570","1659363570")</f>
        <v>1659363570</v>
      </c>
      <c r="E12067" s="1" t="s">
        <v>11366</v>
      </c>
      <c r="F12067" s="2"/>
      <c r="G12067" s="2"/>
      <c r="H12067" s="2"/>
    </row>
    <row r="12068" spans="1:8" x14ac:dyDescent="0.25">
      <c r="A12068" s="1"/>
      <c r="B12068" s="1" t="s">
        <v>5676</v>
      </c>
      <c r="C12068" s="1" t="s">
        <v>5677</v>
      </c>
      <c r="D12068" s="22" t="str">
        <f>HYPERLINK("https://rhld.insurance.arkansas.gov/NPILookup?Npi=1659767531","1659767531")</f>
        <v>1659767531</v>
      </c>
      <c r="E12068" s="1" t="s">
        <v>20783</v>
      </c>
      <c r="F12068" s="2"/>
      <c r="G12068" s="2"/>
      <c r="H12068" s="2"/>
    </row>
    <row r="12069" spans="1:8" x14ac:dyDescent="0.25">
      <c r="A12069" s="1"/>
      <c r="B12069" s="1" t="s">
        <v>5676</v>
      </c>
      <c r="C12069" s="1" t="s">
        <v>5677</v>
      </c>
      <c r="D12069" s="22" t="str">
        <f>HYPERLINK("https://rhld.insurance.arkansas.gov/NPILookup?Npi=1669457917","1669457917")</f>
        <v>1669457917</v>
      </c>
      <c r="E12069" s="1" t="s">
        <v>20784</v>
      </c>
      <c r="F12069" s="2"/>
      <c r="G12069" s="2"/>
      <c r="H12069" s="2"/>
    </row>
    <row r="12070" spans="1:8" x14ac:dyDescent="0.25">
      <c r="A12070" s="1"/>
      <c r="B12070" s="1" t="s">
        <v>5676</v>
      </c>
      <c r="C12070" s="1" t="s">
        <v>5677</v>
      </c>
      <c r="D12070" s="22" t="str">
        <f>HYPERLINK("https://rhld.insurance.arkansas.gov/NPILookup?Npi=1669481321","1669481321")</f>
        <v>1669481321</v>
      </c>
      <c r="E12070" s="1" t="s">
        <v>11367</v>
      </c>
      <c r="F12070" s="2"/>
      <c r="G12070" s="2"/>
      <c r="H12070" s="2"/>
    </row>
    <row r="12071" spans="1:8" x14ac:dyDescent="0.25">
      <c r="A12071" s="1"/>
      <c r="B12071" s="1" t="s">
        <v>5676</v>
      </c>
      <c r="C12071" s="1" t="s">
        <v>5677</v>
      </c>
      <c r="D12071" s="22" t="str">
        <f>HYPERLINK("https://rhld.insurance.arkansas.gov/NPILookup?Npi=1669490736","1669490736")</f>
        <v>1669490736</v>
      </c>
      <c r="E12071" s="1" t="s">
        <v>20785</v>
      </c>
      <c r="F12071" s="2"/>
      <c r="G12071" s="2"/>
      <c r="H12071" s="2"/>
    </row>
    <row r="12072" spans="1:8" x14ac:dyDescent="0.25">
      <c r="A12072" s="1"/>
      <c r="B12072" s="1" t="s">
        <v>5676</v>
      </c>
      <c r="C12072" s="1" t="s">
        <v>5677</v>
      </c>
      <c r="D12072" s="22" t="str">
        <f>HYPERLINK("https://rhld.insurance.arkansas.gov/NPILookup?Npi=1669960365","1669960365")</f>
        <v>1669960365</v>
      </c>
      <c r="E12072" s="1" t="s">
        <v>4213</v>
      </c>
      <c r="F12072" s="2"/>
      <c r="G12072" s="2"/>
      <c r="H12072" s="2"/>
    </row>
    <row r="12073" spans="1:8" x14ac:dyDescent="0.25">
      <c r="A12073" s="1"/>
      <c r="B12073" s="1" t="s">
        <v>5676</v>
      </c>
      <c r="C12073" s="1" t="s">
        <v>5677</v>
      </c>
      <c r="D12073" s="22" t="str">
        <f>HYPERLINK("https://rhld.insurance.arkansas.gov/NPILookup?Npi=1679516231","1679516231")</f>
        <v>1679516231</v>
      </c>
      <c r="E12073" s="1" t="s">
        <v>5747</v>
      </c>
      <c r="F12073" s="2"/>
      <c r="G12073" s="2"/>
      <c r="H12073" s="2"/>
    </row>
    <row r="12074" spans="1:8" x14ac:dyDescent="0.25">
      <c r="A12074" s="1"/>
      <c r="B12074" s="1" t="s">
        <v>5676</v>
      </c>
      <c r="C12074" s="1" t="s">
        <v>5677</v>
      </c>
      <c r="D12074" s="22" t="str">
        <f>HYPERLINK("https://rhld.insurance.arkansas.gov/NPILookup?Npi=1679527352","1679527352")</f>
        <v>1679527352</v>
      </c>
      <c r="E12074" s="1" t="s">
        <v>20786</v>
      </c>
      <c r="F12074" s="2"/>
      <c r="G12074" s="2"/>
      <c r="H12074" s="2"/>
    </row>
    <row r="12075" spans="1:8" x14ac:dyDescent="0.25">
      <c r="A12075" s="1"/>
      <c r="B12075" s="1" t="s">
        <v>5676</v>
      </c>
      <c r="C12075" s="1" t="s">
        <v>5677</v>
      </c>
      <c r="D12075" s="22" t="str">
        <f>HYPERLINK("https://rhld.insurance.arkansas.gov/NPILookup?Npi=1689237869","1689237869")</f>
        <v>1689237869</v>
      </c>
      <c r="E12075" s="1" t="s">
        <v>31773</v>
      </c>
      <c r="F12075" s="2"/>
      <c r="G12075" s="2"/>
      <c r="H12075" s="2"/>
    </row>
    <row r="12076" spans="1:8" x14ac:dyDescent="0.25">
      <c r="A12076" s="1"/>
      <c r="B12076" s="1" t="s">
        <v>5676</v>
      </c>
      <c r="C12076" s="1" t="s">
        <v>5677</v>
      </c>
      <c r="D12076" s="22" t="str">
        <f>HYPERLINK("https://rhld.insurance.arkansas.gov/NPILookup?Npi=1689630352","1689630352")</f>
        <v>1689630352</v>
      </c>
      <c r="E12076" s="1" t="s">
        <v>11368</v>
      </c>
      <c r="F12076" s="2"/>
      <c r="G12076" s="2"/>
      <c r="H12076" s="2"/>
    </row>
    <row r="12077" spans="1:8" x14ac:dyDescent="0.25">
      <c r="A12077" s="1"/>
      <c r="B12077" s="1" t="s">
        <v>5676</v>
      </c>
      <c r="C12077" s="1" t="s">
        <v>5677</v>
      </c>
      <c r="D12077" s="22" t="str">
        <f>HYPERLINK("https://rhld.insurance.arkansas.gov/NPILookup?Npi=1689646226","1689646226")</f>
        <v>1689646226</v>
      </c>
      <c r="E12077" s="1" t="s">
        <v>11369</v>
      </c>
      <c r="F12077" s="2"/>
      <c r="G12077" s="2"/>
      <c r="H12077" s="2"/>
    </row>
    <row r="12078" spans="1:8" x14ac:dyDescent="0.25">
      <c r="A12078" s="1"/>
      <c r="B12078" s="1" t="s">
        <v>5676</v>
      </c>
      <c r="C12078" s="1" t="s">
        <v>5677</v>
      </c>
      <c r="D12078" s="22" t="str">
        <f>HYPERLINK("https://rhld.insurance.arkansas.gov/NPILookup?Npi=1689660375","1689660375")</f>
        <v>1689660375</v>
      </c>
      <c r="E12078" s="1" t="s">
        <v>20787</v>
      </c>
      <c r="F12078" s="2"/>
      <c r="G12078" s="2"/>
      <c r="H12078" s="2"/>
    </row>
    <row r="12079" spans="1:8" x14ac:dyDescent="0.25">
      <c r="A12079" s="1"/>
      <c r="B12079" s="1" t="s">
        <v>5676</v>
      </c>
      <c r="C12079" s="1" t="s">
        <v>5677</v>
      </c>
      <c r="D12079" s="22" t="str">
        <f>HYPERLINK("https://rhld.insurance.arkansas.gov/NPILookup?Npi=1689793507","1689793507")</f>
        <v>1689793507</v>
      </c>
      <c r="E12079" s="1" t="s">
        <v>20788</v>
      </c>
      <c r="F12079" s="2"/>
      <c r="G12079" s="2"/>
      <c r="H12079" s="2"/>
    </row>
    <row r="12080" spans="1:8" x14ac:dyDescent="0.25">
      <c r="A12080" s="1"/>
      <c r="B12080" s="1" t="s">
        <v>5676</v>
      </c>
      <c r="C12080" s="1" t="s">
        <v>5677</v>
      </c>
      <c r="D12080" s="22" t="str">
        <f>HYPERLINK("https://rhld.insurance.arkansas.gov/NPILookup?Npi=1689818155","1689818155")</f>
        <v>1689818155</v>
      </c>
      <c r="E12080" s="1" t="s">
        <v>11370</v>
      </c>
      <c r="F12080" s="2"/>
      <c r="G12080" s="2"/>
      <c r="H12080" s="2"/>
    </row>
    <row r="12081" spans="1:8" x14ac:dyDescent="0.25">
      <c r="A12081" s="1"/>
      <c r="B12081" s="1" t="s">
        <v>5676</v>
      </c>
      <c r="C12081" s="1" t="s">
        <v>5677</v>
      </c>
      <c r="D12081" s="22" t="str">
        <f>HYPERLINK("https://rhld.insurance.arkansas.gov/NPILookup?Npi=1699096768","1699096768")</f>
        <v>1699096768</v>
      </c>
      <c r="E12081" s="1" t="s">
        <v>20789</v>
      </c>
      <c r="F12081" s="2"/>
      <c r="G12081" s="2"/>
      <c r="H12081" s="2"/>
    </row>
    <row r="12082" spans="1:8" x14ac:dyDescent="0.25">
      <c r="A12082" s="1"/>
      <c r="B12082" s="1" t="s">
        <v>5676</v>
      </c>
      <c r="C12082" s="1" t="s">
        <v>5677</v>
      </c>
      <c r="D12082" s="22" t="str">
        <f>HYPERLINK("https://rhld.insurance.arkansas.gov/NPILookup?Npi=1699270611","1699270611")</f>
        <v>1699270611</v>
      </c>
      <c r="E12082" s="1" t="s">
        <v>20790</v>
      </c>
      <c r="F12082" s="2"/>
      <c r="G12082" s="2"/>
      <c r="H12082" s="2"/>
    </row>
    <row r="12083" spans="1:8" x14ac:dyDescent="0.25">
      <c r="A12083" s="1"/>
      <c r="B12083" s="1" t="s">
        <v>5676</v>
      </c>
      <c r="C12083" s="1" t="s">
        <v>5677</v>
      </c>
      <c r="D12083" s="22" t="str">
        <f>HYPERLINK("https://rhld.insurance.arkansas.gov/NPILookup?Npi=1699271601","1699271601")</f>
        <v>1699271601</v>
      </c>
      <c r="E12083" s="1" t="s">
        <v>20791</v>
      </c>
      <c r="F12083" s="2"/>
      <c r="G12083" s="2"/>
      <c r="H12083" s="2"/>
    </row>
    <row r="12084" spans="1:8" x14ac:dyDescent="0.25">
      <c r="A12084" s="1"/>
      <c r="B12084" s="1" t="s">
        <v>5676</v>
      </c>
      <c r="C12084" s="1" t="s">
        <v>5677</v>
      </c>
      <c r="D12084" s="22" t="str">
        <f>HYPERLINK("https://rhld.insurance.arkansas.gov/NPILookup?Npi=1699706887","1699706887")</f>
        <v>1699706887</v>
      </c>
      <c r="E12084" s="1" t="s">
        <v>20792</v>
      </c>
      <c r="F12084" s="2"/>
      <c r="G12084" s="2"/>
      <c r="H12084" s="2"/>
    </row>
    <row r="12085" spans="1:8" x14ac:dyDescent="0.25">
      <c r="A12085" s="1"/>
      <c r="B12085" s="1" t="s">
        <v>5676</v>
      </c>
      <c r="C12085" s="1" t="s">
        <v>5677</v>
      </c>
      <c r="D12085" s="22" t="str">
        <f>HYPERLINK("https://rhld.insurance.arkansas.gov/NPILookup?Npi=1699730689","1699730689")</f>
        <v>1699730689</v>
      </c>
      <c r="E12085" s="1" t="s">
        <v>20793</v>
      </c>
      <c r="F12085" s="2"/>
      <c r="G12085" s="2"/>
      <c r="H12085" s="2"/>
    </row>
    <row r="12086" spans="1:8" x14ac:dyDescent="0.25">
      <c r="A12086" s="1"/>
      <c r="B12086" s="1" t="s">
        <v>5676</v>
      </c>
      <c r="C12086" s="1" t="s">
        <v>5677</v>
      </c>
      <c r="D12086" s="22" t="str">
        <f>HYPERLINK("https://rhld.insurance.arkansas.gov/NPILookup?Npi=1699761387","1699761387")</f>
        <v>1699761387</v>
      </c>
      <c r="E12086" s="1" t="s">
        <v>20794</v>
      </c>
      <c r="F12086" s="2"/>
      <c r="G12086" s="2"/>
      <c r="H12086" s="2"/>
    </row>
    <row r="12087" spans="1:8" x14ac:dyDescent="0.25">
      <c r="A12087" s="1"/>
      <c r="B12087" s="1" t="s">
        <v>5676</v>
      </c>
      <c r="C12087" s="1" t="s">
        <v>5677</v>
      </c>
      <c r="D12087" s="22" t="str">
        <f>HYPERLINK("https://rhld.insurance.arkansas.gov/NPILookup?Npi=1700080389","1700080389")</f>
        <v>1700080389</v>
      </c>
      <c r="E12087" s="1" t="s">
        <v>11371</v>
      </c>
      <c r="F12087" s="2"/>
      <c r="G12087" s="2"/>
      <c r="H12087" s="2"/>
    </row>
    <row r="12088" spans="1:8" x14ac:dyDescent="0.25">
      <c r="A12088" s="1"/>
      <c r="B12088" s="1" t="s">
        <v>5676</v>
      </c>
      <c r="C12088" s="1" t="s">
        <v>5677</v>
      </c>
      <c r="D12088" s="22" t="str">
        <f>HYPERLINK("https://rhld.insurance.arkansas.gov/NPILookup?Npi=1700176203","1700176203")</f>
        <v>1700176203</v>
      </c>
      <c r="E12088" s="1" t="s">
        <v>20795</v>
      </c>
      <c r="F12088" s="2"/>
      <c r="G12088" s="2"/>
      <c r="H12088" s="2"/>
    </row>
    <row r="12089" spans="1:8" x14ac:dyDescent="0.25">
      <c r="A12089" s="1"/>
      <c r="B12089" s="1" t="s">
        <v>5676</v>
      </c>
      <c r="C12089" s="1" t="s">
        <v>5677</v>
      </c>
      <c r="D12089" s="22" t="str">
        <f>HYPERLINK("https://rhld.insurance.arkansas.gov/NPILookup?Npi=1700204997","1700204997")</f>
        <v>1700204997</v>
      </c>
      <c r="E12089" s="1" t="s">
        <v>18544</v>
      </c>
      <c r="F12089" s="2"/>
      <c r="G12089" s="2"/>
      <c r="H12089" s="2"/>
    </row>
    <row r="12090" spans="1:8" x14ac:dyDescent="0.25">
      <c r="A12090" s="1"/>
      <c r="B12090" s="1" t="s">
        <v>5676</v>
      </c>
      <c r="C12090" s="1" t="s">
        <v>5677</v>
      </c>
      <c r="D12090" s="22" t="str">
        <f>HYPERLINK("https://rhld.insurance.arkansas.gov/NPILookup?Npi=1700273729","1700273729")</f>
        <v>1700273729</v>
      </c>
      <c r="E12090" s="1" t="s">
        <v>20796</v>
      </c>
      <c r="F12090" s="2"/>
      <c r="G12090" s="2"/>
      <c r="H12090" s="2"/>
    </row>
    <row r="12091" spans="1:8" x14ac:dyDescent="0.25">
      <c r="A12091" s="1"/>
      <c r="B12091" s="1" t="s">
        <v>5676</v>
      </c>
      <c r="C12091" s="1" t="s">
        <v>5677</v>
      </c>
      <c r="D12091" s="22" t="str">
        <f>HYPERLINK("https://rhld.insurance.arkansas.gov/NPILookup?Npi=1700319530","1700319530")</f>
        <v>1700319530</v>
      </c>
      <c r="E12091" s="1" t="s">
        <v>20797</v>
      </c>
      <c r="F12091" s="2"/>
      <c r="G12091" s="2"/>
      <c r="H12091" s="2"/>
    </row>
    <row r="12092" spans="1:8" x14ac:dyDescent="0.25">
      <c r="A12092" s="1"/>
      <c r="B12092" s="1" t="s">
        <v>5676</v>
      </c>
      <c r="C12092" s="1" t="s">
        <v>5677</v>
      </c>
      <c r="D12092" s="22" t="str">
        <f>HYPERLINK("https://rhld.insurance.arkansas.gov/NPILookup?Npi=1700831872","1700831872")</f>
        <v>1700831872</v>
      </c>
      <c r="E12092" s="1" t="s">
        <v>2338</v>
      </c>
      <c r="F12092" s="2"/>
      <c r="G12092" s="2"/>
      <c r="H12092" s="2"/>
    </row>
    <row r="12093" spans="1:8" x14ac:dyDescent="0.25">
      <c r="A12093" s="1"/>
      <c r="B12093" s="1" t="s">
        <v>5676</v>
      </c>
      <c r="C12093" s="1" t="s">
        <v>5677</v>
      </c>
      <c r="D12093" s="22" t="str">
        <f>HYPERLINK("https://rhld.insurance.arkansas.gov/NPILookup?Npi=1700889730","1700889730")</f>
        <v>1700889730</v>
      </c>
      <c r="E12093" s="1" t="s">
        <v>20798</v>
      </c>
      <c r="F12093" s="2"/>
      <c r="G12093" s="2"/>
      <c r="H12093" s="2"/>
    </row>
    <row r="12094" spans="1:8" x14ac:dyDescent="0.25">
      <c r="A12094" s="1"/>
      <c r="B12094" s="1" t="s">
        <v>5676</v>
      </c>
      <c r="C12094" s="1" t="s">
        <v>5677</v>
      </c>
      <c r="D12094" s="22" t="str">
        <f>HYPERLINK("https://rhld.insurance.arkansas.gov/NPILookup?Npi=1710145701","1710145701")</f>
        <v>1710145701</v>
      </c>
      <c r="E12094" s="1" t="s">
        <v>11372</v>
      </c>
      <c r="F12094" s="2"/>
      <c r="G12094" s="2"/>
      <c r="H12094" s="2"/>
    </row>
    <row r="12095" spans="1:8" x14ac:dyDescent="0.25">
      <c r="A12095" s="1"/>
      <c r="B12095" s="1" t="s">
        <v>5676</v>
      </c>
      <c r="C12095" s="1" t="s">
        <v>5677</v>
      </c>
      <c r="D12095" s="22" t="str">
        <f>HYPERLINK("https://rhld.insurance.arkansas.gov/NPILookup?Npi=1710962444","1710962444")</f>
        <v>1710962444</v>
      </c>
      <c r="E12095" s="1" t="s">
        <v>20799</v>
      </c>
      <c r="F12095" s="2"/>
      <c r="G12095" s="2"/>
      <c r="H12095" s="2"/>
    </row>
    <row r="12096" spans="1:8" x14ac:dyDescent="0.25">
      <c r="A12096" s="1"/>
      <c r="B12096" s="1" t="s">
        <v>5676</v>
      </c>
      <c r="C12096" s="1" t="s">
        <v>5677</v>
      </c>
      <c r="D12096" s="22" t="str">
        <f>HYPERLINK("https://rhld.insurance.arkansas.gov/NPILookup?Npi=1710974605","1710974605")</f>
        <v>1710974605</v>
      </c>
      <c r="E12096" s="1" t="s">
        <v>11373</v>
      </c>
      <c r="F12096" s="2"/>
      <c r="G12096" s="2"/>
      <c r="H12096" s="2"/>
    </row>
    <row r="12097" spans="1:8" x14ac:dyDescent="0.25">
      <c r="A12097" s="1"/>
      <c r="B12097" s="1" t="s">
        <v>5676</v>
      </c>
      <c r="C12097" s="1" t="s">
        <v>5677</v>
      </c>
      <c r="D12097" s="22" t="str">
        <f>HYPERLINK("https://rhld.insurance.arkansas.gov/NPILookup?Npi=1720081847","1720081847")</f>
        <v>1720081847</v>
      </c>
      <c r="E12097" s="1" t="s">
        <v>5748</v>
      </c>
      <c r="F12097" s="2"/>
      <c r="G12097" s="2"/>
      <c r="H12097" s="2"/>
    </row>
    <row r="12098" spans="1:8" x14ac:dyDescent="0.25">
      <c r="A12098" s="1"/>
      <c r="B12098" s="1" t="s">
        <v>5676</v>
      </c>
      <c r="C12098" s="1" t="s">
        <v>5677</v>
      </c>
      <c r="D12098" s="22" t="str">
        <f>HYPERLINK("https://rhld.insurance.arkansas.gov/NPILookup?Npi=1720178213","1720178213")</f>
        <v>1720178213</v>
      </c>
      <c r="E12098" s="1" t="s">
        <v>20800</v>
      </c>
      <c r="F12098" s="2"/>
      <c r="G12098" s="2"/>
      <c r="H12098" s="2"/>
    </row>
    <row r="12099" spans="1:8" x14ac:dyDescent="0.25">
      <c r="A12099" s="1"/>
      <c r="B12099" s="1" t="s">
        <v>5676</v>
      </c>
      <c r="C12099" s="1" t="s">
        <v>5677</v>
      </c>
      <c r="D12099" s="22" t="str">
        <f>HYPERLINK("https://rhld.insurance.arkansas.gov/NPILookup?Npi=1720519366","1720519366")</f>
        <v>1720519366</v>
      </c>
      <c r="E12099" s="1" t="s">
        <v>5749</v>
      </c>
      <c r="F12099" s="2"/>
      <c r="G12099" s="2"/>
      <c r="H12099" s="2"/>
    </row>
    <row r="12100" spans="1:8" x14ac:dyDescent="0.25">
      <c r="A12100" s="1"/>
      <c r="B12100" s="1" t="s">
        <v>5676</v>
      </c>
      <c r="C12100" s="1" t="s">
        <v>5677</v>
      </c>
      <c r="D12100" s="22" t="str">
        <f>HYPERLINK("https://rhld.insurance.arkansas.gov/NPILookup?Npi=1730118290","1730118290")</f>
        <v>1730118290</v>
      </c>
      <c r="E12100" s="1" t="s">
        <v>20801</v>
      </c>
      <c r="F12100" s="2"/>
      <c r="G12100" s="2"/>
      <c r="H12100" s="2"/>
    </row>
    <row r="12101" spans="1:8" x14ac:dyDescent="0.25">
      <c r="A12101" s="1"/>
      <c r="B12101" s="1" t="s">
        <v>5676</v>
      </c>
      <c r="C12101" s="1" t="s">
        <v>5677</v>
      </c>
      <c r="D12101" s="22" t="str">
        <f>HYPERLINK("https://rhld.insurance.arkansas.gov/NPILookup?Npi=1730146986","1730146986")</f>
        <v>1730146986</v>
      </c>
      <c r="E12101" s="1" t="s">
        <v>20802</v>
      </c>
      <c r="F12101" s="2"/>
      <c r="G12101" s="2"/>
      <c r="H12101" s="2"/>
    </row>
    <row r="12102" spans="1:8" x14ac:dyDescent="0.25">
      <c r="A12102" s="1"/>
      <c r="B12102" s="1" t="s">
        <v>5676</v>
      </c>
      <c r="C12102" s="1" t="s">
        <v>5677</v>
      </c>
      <c r="D12102" s="22" t="str">
        <f>HYPERLINK("https://rhld.insurance.arkansas.gov/NPILookup?Npi=1730171273","1730171273")</f>
        <v>1730171273</v>
      </c>
      <c r="E12102" s="1" t="s">
        <v>20803</v>
      </c>
      <c r="F12102" s="2"/>
      <c r="G12102" s="2"/>
      <c r="H12102" s="2"/>
    </row>
    <row r="12103" spans="1:8" x14ac:dyDescent="0.25">
      <c r="A12103" s="1"/>
      <c r="B12103" s="1" t="s">
        <v>5676</v>
      </c>
      <c r="C12103" s="1" t="s">
        <v>5677</v>
      </c>
      <c r="D12103" s="22" t="str">
        <f>HYPERLINK("https://rhld.insurance.arkansas.gov/NPILookup?Npi=1730288432","1730288432")</f>
        <v>1730288432</v>
      </c>
      <c r="E12103" s="1" t="s">
        <v>20804</v>
      </c>
      <c r="F12103" s="2"/>
      <c r="G12103" s="2"/>
      <c r="H12103" s="2"/>
    </row>
    <row r="12104" spans="1:8" x14ac:dyDescent="0.25">
      <c r="A12104" s="1"/>
      <c r="B12104" s="1" t="s">
        <v>5676</v>
      </c>
      <c r="C12104" s="1" t="s">
        <v>5677</v>
      </c>
      <c r="D12104" s="22" t="str">
        <f>HYPERLINK("https://rhld.insurance.arkansas.gov/NPILookup?Npi=1730385741","1730385741")</f>
        <v>1730385741</v>
      </c>
      <c r="E12104" s="1" t="s">
        <v>20805</v>
      </c>
      <c r="F12104" s="2"/>
      <c r="G12104" s="2"/>
      <c r="H12104" s="2"/>
    </row>
    <row r="12105" spans="1:8" x14ac:dyDescent="0.25">
      <c r="A12105" s="1"/>
      <c r="B12105" s="1" t="s">
        <v>5676</v>
      </c>
      <c r="C12105" s="1" t="s">
        <v>5677</v>
      </c>
      <c r="D12105" s="22" t="str">
        <f>HYPERLINK("https://rhld.insurance.arkansas.gov/NPILookup?Npi=1730395542","1730395542")</f>
        <v>1730395542</v>
      </c>
      <c r="E12105" s="1" t="s">
        <v>20806</v>
      </c>
      <c r="F12105" s="2"/>
      <c r="G12105" s="2"/>
      <c r="H12105" s="2"/>
    </row>
    <row r="12106" spans="1:8" x14ac:dyDescent="0.25">
      <c r="A12106" s="1"/>
      <c r="B12106" s="1" t="s">
        <v>5676</v>
      </c>
      <c r="C12106" s="1" t="s">
        <v>5677</v>
      </c>
      <c r="D12106" s="22" t="str">
        <f>HYPERLINK("https://rhld.insurance.arkansas.gov/NPILookup?Npi=1730448234","1730448234")</f>
        <v>1730448234</v>
      </c>
      <c r="E12106" s="1" t="s">
        <v>5750</v>
      </c>
      <c r="F12106" s="2"/>
      <c r="G12106" s="2"/>
      <c r="H12106" s="2"/>
    </row>
    <row r="12107" spans="1:8" x14ac:dyDescent="0.25">
      <c r="A12107" s="1"/>
      <c r="B12107" s="1" t="s">
        <v>5676</v>
      </c>
      <c r="C12107" s="1" t="s">
        <v>5677</v>
      </c>
      <c r="D12107" s="22" t="str">
        <f>HYPERLINK("https://rhld.insurance.arkansas.gov/NPILookup?Npi=1740331743","1740331743")</f>
        <v>1740331743</v>
      </c>
      <c r="E12107" s="1" t="s">
        <v>20807</v>
      </c>
      <c r="F12107" s="2"/>
      <c r="G12107" s="2"/>
      <c r="H12107" s="2"/>
    </row>
    <row r="12108" spans="1:8" x14ac:dyDescent="0.25">
      <c r="A12108" s="1"/>
      <c r="B12108" s="1" t="s">
        <v>5676</v>
      </c>
      <c r="C12108" s="1" t="s">
        <v>5677</v>
      </c>
      <c r="D12108" s="22" t="str">
        <f>HYPERLINK("https://rhld.insurance.arkansas.gov/NPILookup?Npi=1740337625","1740337625")</f>
        <v>1740337625</v>
      </c>
      <c r="E12108" s="1" t="s">
        <v>20808</v>
      </c>
      <c r="F12108" s="2"/>
      <c r="G12108" s="2"/>
      <c r="H12108" s="2"/>
    </row>
    <row r="12109" spans="1:8" x14ac:dyDescent="0.25">
      <c r="A12109" s="1"/>
      <c r="B12109" s="1" t="s">
        <v>5676</v>
      </c>
      <c r="C12109" s="1" t="s">
        <v>5677</v>
      </c>
      <c r="D12109" s="22" t="str">
        <f>HYPERLINK("https://rhld.insurance.arkansas.gov/NPILookup?Npi=1750369922","1750369922")</f>
        <v>1750369922</v>
      </c>
      <c r="E12109" s="1" t="s">
        <v>11374</v>
      </c>
      <c r="F12109" s="2"/>
      <c r="G12109" s="2"/>
      <c r="H12109" s="2"/>
    </row>
    <row r="12110" spans="1:8" x14ac:dyDescent="0.25">
      <c r="A12110" s="1"/>
      <c r="B12110" s="1" t="s">
        <v>5676</v>
      </c>
      <c r="C12110" s="1" t="s">
        <v>5677</v>
      </c>
      <c r="D12110" s="22" t="str">
        <f>HYPERLINK("https://rhld.insurance.arkansas.gov/NPILookup?Npi=1750378337","1750378337")</f>
        <v>1750378337</v>
      </c>
      <c r="E12110" s="1" t="s">
        <v>20809</v>
      </c>
      <c r="F12110" s="2"/>
      <c r="G12110" s="2"/>
      <c r="H12110" s="2"/>
    </row>
    <row r="12111" spans="1:8" x14ac:dyDescent="0.25">
      <c r="A12111" s="1"/>
      <c r="B12111" s="1" t="s">
        <v>5676</v>
      </c>
      <c r="C12111" s="1" t="s">
        <v>5677</v>
      </c>
      <c r="D12111" s="22" t="str">
        <f>HYPERLINK("https://rhld.insurance.arkansas.gov/NPILookup?Npi=1750437927","1750437927")</f>
        <v>1750437927</v>
      </c>
      <c r="E12111" s="1" t="s">
        <v>20810</v>
      </c>
      <c r="F12111" s="2"/>
      <c r="G12111" s="2"/>
      <c r="H12111" s="2"/>
    </row>
    <row r="12112" spans="1:8" x14ac:dyDescent="0.25">
      <c r="A12112" s="1"/>
      <c r="B12112" s="1" t="s">
        <v>5676</v>
      </c>
      <c r="C12112" s="1" t="s">
        <v>5677</v>
      </c>
      <c r="D12112" s="22" t="str">
        <f>HYPERLINK("https://rhld.insurance.arkansas.gov/NPILookup?Npi=1750493649","1750493649")</f>
        <v>1750493649</v>
      </c>
      <c r="E12112" s="1" t="s">
        <v>20811</v>
      </c>
      <c r="F12112" s="2"/>
      <c r="G12112" s="2"/>
      <c r="H12112" s="2"/>
    </row>
    <row r="12113" spans="1:8" x14ac:dyDescent="0.25">
      <c r="A12113" s="1"/>
      <c r="B12113" s="1" t="s">
        <v>5676</v>
      </c>
      <c r="C12113" s="1" t="s">
        <v>5677</v>
      </c>
      <c r="D12113" s="22" t="str">
        <f>HYPERLINK("https://rhld.insurance.arkansas.gov/NPILookup?Npi=1750590196","1750590196")</f>
        <v>1750590196</v>
      </c>
      <c r="E12113" s="1" t="s">
        <v>20812</v>
      </c>
      <c r="F12113" s="2"/>
      <c r="G12113" s="2"/>
      <c r="H12113" s="2"/>
    </row>
    <row r="12114" spans="1:8" x14ac:dyDescent="0.25">
      <c r="A12114" s="1"/>
      <c r="B12114" s="1" t="s">
        <v>5676</v>
      </c>
      <c r="C12114" s="1" t="s">
        <v>5677</v>
      </c>
      <c r="D12114" s="22" t="str">
        <f>HYPERLINK("https://rhld.insurance.arkansas.gov/NPILookup?Npi=1750592606","1750592606")</f>
        <v>1750592606</v>
      </c>
      <c r="E12114" s="1" t="s">
        <v>11375</v>
      </c>
      <c r="F12114" s="2"/>
      <c r="G12114" s="2"/>
      <c r="H12114" s="2"/>
    </row>
    <row r="12115" spans="1:8" x14ac:dyDescent="0.25">
      <c r="A12115" s="1"/>
      <c r="B12115" s="1" t="s">
        <v>5676</v>
      </c>
      <c r="C12115" s="1" t="s">
        <v>5677</v>
      </c>
      <c r="D12115" s="22" t="str">
        <f>HYPERLINK("https://rhld.insurance.arkansas.gov/NPILookup?Npi=1750812707","1750812707")</f>
        <v>1750812707</v>
      </c>
      <c r="E12115" s="1" t="s">
        <v>5751</v>
      </c>
      <c r="F12115" s="2"/>
      <c r="G12115" s="2"/>
      <c r="H12115" s="2"/>
    </row>
    <row r="12116" spans="1:8" x14ac:dyDescent="0.25">
      <c r="A12116" s="1"/>
      <c r="B12116" s="1" t="s">
        <v>5676</v>
      </c>
      <c r="C12116" s="1" t="s">
        <v>5677</v>
      </c>
      <c r="D12116" s="22" t="str">
        <f>HYPERLINK("https://rhld.insurance.arkansas.gov/NPILookup?Npi=1760410542","1760410542")</f>
        <v>1760410542</v>
      </c>
      <c r="E12116" s="1" t="s">
        <v>5752</v>
      </c>
      <c r="F12116" s="2"/>
      <c r="G12116" s="2"/>
      <c r="H12116" s="2"/>
    </row>
    <row r="12117" spans="1:8" x14ac:dyDescent="0.25">
      <c r="A12117" s="1"/>
      <c r="B12117" s="1" t="s">
        <v>5676</v>
      </c>
      <c r="C12117" s="1" t="s">
        <v>5677</v>
      </c>
      <c r="D12117" s="22" t="str">
        <f>HYPERLINK("https://rhld.insurance.arkansas.gov/NPILookup?Npi=1770622441","1770622441")</f>
        <v>1770622441</v>
      </c>
      <c r="E12117" s="1" t="s">
        <v>5753</v>
      </c>
      <c r="F12117" s="2"/>
      <c r="G12117" s="2"/>
      <c r="H12117" s="2"/>
    </row>
    <row r="12118" spans="1:8" x14ac:dyDescent="0.25">
      <c r="A12118" s="1"/>
      <c r="B12118" s="1" t="s">
        <v>5676</v>
      </c>
      <c r="C12118" s="1" t="s">
        <v>5677</v>
      </c>
      <c r="D12118" s="22" t="str">
        <f>HYPERLINK("https://rhld.insurance.arkansas.gov/NPILookup?Npi=1770743833","1770743833")</f>
        <v>1770743833</v>
      </c>
      <c r="E12118" s="1" t="s">
        <v>20813</v>
      </c>
      <c r="F12118" s="2"/>
      <c r="G12118" s="2"/>
      <c r="H12118" s="2"/>
    </row>
    <row r="12119" spans="1:8" x14ac:dyDescent="0.25">
      <c r="A12119" s="1"/>
      <c r="B12119" s="1" t="s">
        <v>5676</v>
      </c>
      <c r="C12119" s="1" t="s">
        <v>5677</v>
      </c>
      <c r="D12119" s="22" t="str">
        <f>HYPERLINK("https://rhld.insurance.arkansas.gov/NPILookup?Npi=1770750176","1770750176")</f>
        <v>1770750176</v>
      </c>
      <c r="E12119" s="1" t="s">
        <v>11377</v>
      </c>
      <c r="F12119" s="2"/>
      <c r="G12119" s="2"/>
      <c r="H12119" s="2"/>
    </row>
    <row r="12120" spans="1:8" x14ac:dyDescent="0.25">
      <c r="A12120" s="1"/>
      <c r="B12120" s="1" t="s">
        <v>5676</v>
      </c>
      <c r="C12120" s="1" t="s">
        <v>5677</v>
      </c>
      <c r="D12120" s="22" t="str">
        <f>HYPERLINK("https://rhld.insurance.arkansas.gov/NPILookup?Npi=1770838443","1770838443")</f>
        <v>1770838443</v>
      </c>
      <c r="E12120" s="1" t="s">
        <v>5754</v>
      </c>
      <c r="F12120" s="2"/>
      <c r="G12120" s="2"/>
      <c r="H12120" s="2"/>
    </row>
    <row r="12121" spans="1:8" x14ac:dyDescent="0.25">
      <c r="A12121" s="1"/>
      <c r="B12121" s="1" t="s">
        <v>5676</v>
      </c>
      <c r="C12121" s="1" t="s">
        <v>5677</v>
      </c>
      <c r="D12121" s="22" t="str">
        <f>HYPERLINK("https://rhld.insurance.arkansas.gov/NPILookup?Npi=1780181370","1780181370")</f>
        <v>1780181370</v>
      </c>
      <c r="E12121" s="1" t="s">
        <v>20814</v>
      </c>
      <c r="F12121" s="2"/>
      <c r="G12121" s="2"/>
      <c r="H12121" s="2"/>
    </row>
    <row r="12122" spans="1:8" x14ac:dyDescent="0.25">
      <c r="A12122" s="1"/>
      <c r="B12122" s="1" t="s">
        <v>5676</v>
      </c>
      <c r="C12122" s="1" t="s">
        <v>5677</v>
      </c>
      <c r="D12122" s="22" t="str">
        <f>HYPERLINK("https://rhld.insurance.arkansas.gov/NPILookup?Npi=1780656850","1780656850")</f>
        <v>1780656850</v>
      </c>
      <c r="E12122" s="1" t="s">
        <v>11325</v>
      </c>
      <c r="F12122" s="2"/>
      <c r="G12122" s="2"/>
      <c r="H12122" s="2"/>
    </row>
    <row r="12123" spans="1:8" x14ac:dyDescent="0.25">
      <c r="A12123" s="1"/>
      <c r="B12123" s="1" t="s">
        <v>5676</v>
      </c>
      <c r="C12123" s="1" t="s">
        <v>5677</v>
      </c>
      <c r="D12123" s="22" t="str">
        <f>HYPERLINK("https://rhld.insurance.arkansas.gov/NPILookup?Npi=1790003499","1790003499")</f>
        <v>1790003499</v>
      </c>
      <c r="E12123" s="1" t="s">
        <v>20816</v>
      </c>
      <c r="F12123" s="2"/>
      <c r="G12123" s="2"/>
      <c r="H12123" s="2"/>
    </row>
    <row r="12124" spans="1:8" x14ac:dyDescent="0.25">
      <c r="A12124" s="1"/>
      <c r="B12124" s="1" t="s">
        <v>5676</v>
      </c>
      <c r="C12124" s="1" t="s">
        <v>5677</v>
      </c>
      <c r="D12124" s="22" t="str">
        <f>HYPERLINK("https://rhld.insurance.arkansas.gov/NPILookup?Npi=1790075323","1790075323")</f>
        <v>1790075323</v>
      </c>
      <c r="E12124" s="1" t="s">
        <v>5755</v>
      </c>
      <c r="F12124" s="2"/>
      <c r="G12124" s="2"/>
      <c r="H12124" s="2"/>
    </row>
    <row r="12125" spans="1:8" x14ac:dyDescent="0.25">
      <c r="A12125" s="1"/>
      <c r="B12125" s="1" t="s">
        <v>5676</v>
      </c>
      <c r="C12125" s="1" t="s">
        <v>5677</v>
      </c>
      <c r="D12125" s="22" t="str">
        <f>HYPERLINK("https://rhld.insurance.arkansas.gov/NPILookup?Npi=1790706505","1790706505")</f>
        <v>1790706505</v>
      </c>
      <c r="E12125" s="1" t="s">
        <v>31774</v>
      </c>
      <c r="F12125" s="2"/>
      <c r="G12125" s="2"/>
      <c r="H12125" s="2"/>
    </row>
    <row r="12126" spans="1:8" x14ac:dyDescent="0.25">
      <c r="A12126" s="1"/>
      <c r="B12126" s="1" t="s">
        <v>5676</v>
      </c>
      <c r="C12126" s="1" t="s">
        <v>5677</v>
      </c>
      <c r="D12126" s="22" t="str">
        <f>HYPERLINK("https://rhld.insurance.arkansas.gov/NPILookup?Npi=1790729127","1790729127")</f>
        <v>1790729127</v>
      </c>
      <c r="E12126" s="1" t="s">
        <v>11378</v>
      </c>
      <c r="F12126" s="2"/>
      <c r="G12126" s="2"/>
      <c r="H12126" s="2"/>
    </row>
    <row r="12127" spans="1:8" x14ac:dyDescent="0.25">
      <c r="A12127" s="1"/>
      <c r="B12127" s="1" t="s">
        <v>5676</v>
      </c>
      <c r="C12127" s="1" t="s">
        <v>5677</v>
      </c>
      <c r="D12127" s="22" t="str">
        <f>HYPERLINK("https://rhld.insurance.arkansas.gov/NPILookup?Npi=1790745099","1790745099")</f>
        <v>1790745099</v>
      </c>
      <c r="E12127" s="1" t="s">
        <v>5756</v>
      </c>
      <c r="F12127" s="2"/>
      <c r="G12127" s="2"/>
      <c r="H12127" s="2"/>
    </row>
    <row r="12128" spans="1:8" x14ac:dyDescent="0.25">
      <c r="A12128" s="1"/>
      <c r="B12128" s="1" t="s">
        <v>5676</v>
      </c>
      <c r="C12128" s="1" t="s">
        <v>5677</v>
      </c>
      <c r="D12128" s="22" t="str">
        <f>HYPERLINK("https://rhld.insurance.arkansas.gov/NPILookup?Npi=1790772374","1790772374")</f>
        <v>1790772374</v>
      </c>
      <c r="E12128" s="1" t="s">
        <v>31775</v>
      </c>
      <c r="F12128" s="2"/>
      <c r="G12128" s="2"/>
      <c r="H12128" s="2"/>
    </row>
    <row r="12129" spans="1:8" x14ac:dyDescent="0.25">
      <c r="A12129" s="1"/>
      <c r="B12129" s="1" t="s">
        <v>5676</v>
      </c>
      <c r="C12129" s="1" t="s">
        <v>5677</v>
      </c>
      <c r="D12129" s="22" t="str">
        <f>HYPERLINK("https://rhld.insurance.arkansas.gov/NPILookup?Npi=1790817427","1790817427")</f>
        <v>1790817427</v>
      </c>
      <c r="E12129" s="1" t="s">
        <v>20817</v>
      </c>
      <c r="F12129" s="2"/>
      <c r="G12129" s="2"/>
      <c r="H12129" s="2"/>
    </row>
    <row r="12130" spans="1:8" x14ac:dyDescent="0.25">
      <c r="A12130" s="1"/>
      <c r="B12130" s="1" t="s">
        <v>5676</v>
      </c>
      <c r="C12130" s="1" t="s">
        <v>5677</v>
      </c>
      <c r="D12130" s="22" t="str">
        <f>HYPERLINK("https://rhld.insurance.arkansas.gov/NPILookup?Npi=1790952406","1790952406")</f>
        <v>1790952406</v>
      </c>
      <c r="E12130" s="1" t="s">
        <v>5757</v>
      </c>
      <c r="F12130" s="2"/>
      <c r="G12130" s="2"/>
      <c r="H12130" s="2"/>
    </row>
    <row r="12131" spans="1:8" x14ac:dyDescent="0.25">
      <c r="A12131" s="1"/>
      <c r="B12131" s="1" t="s">
        <v>5676</v>
      </c>
      <c r="C12131" s="1" t="s">
        <v>5677</v>
      </c>
      <c r="D12131" s="22" t="str">
        <f>HYPERLINK("https://rhld.insurance.arkansas.gov/NPILookup?Npi=1801075759","1801075759")</f>
        <v>1801075759</v>
      </c>
      <c r="E12131" s="1" t="s">
        <v>20818</v>
      </c>
      <c r="F12131" s="2"/>
      <c r="G12131" s="2"/>
      <c r="H12131" s="2"/>
    </row>
    <row r="12132" spans="1:8" x14ac:dyDescent="0.25">
      <c r="A12132" s="1"/>
      <c r="B12132" s="1" t="s">
        <v>5676</v>
      </c>
      <c r="C12132" s="1" t="s">
        <v>5677</v>
      </c>
      <c r="D12132" s="22" t="str">
        <f>HYPERLINK("https://rhld.insurance.arkansas.gov/NPILookup?Npi=1801154984","1801154984")</f>
        <v>1801154984</v>
      </c>
      <c r="E12132" s="1" t="s">
        <v>20819</v>
      </c>
      <c r="F12132" s="2"/>
      <c r="G12132" s="2"/>
      <c r="H12132" s="2"/>
    </row>
    <row r="12133" spans="1:8" x14ac:dyDescent="0.25">
      <c r="A12133" s="1"/>
      <c r="B12133" s="1" t="s">
        <v>5676</v>
      </c>
      <c r="C12133" s="1" t="s">
        <v>5677</v>
      </c>
      <c r="D12133" s="22" t="str">
        <f>HYPERLINK("https://rhld.insurance.arkansas.gov/NPILookup?Npi=1801327317","1801327317")</f>
        <v>1801327317</v>
      </c>
      <c r="E12133" s="1" t="s">
        <v>11379</v>
      </c>
      <c r="F12133" s="2"/>
      <c r="G12133" s="2"/>
      <c r="H12133" s="2"/>
    </row>
    <row r="12134" spans="1:8" x14ac:dyDescent="0.25">
      <c r="A12134" s="1"/>
      <c r="B12134" s="1" t="s">
        <v>5676</v>
      </c>
      <c r="C12134" s="1" t="s">
        <v>5677</v>
      </c>
      <c r="D12134" s="22" t="str">
        <f>HYPERLINK("https://rhld.insurance.arkansas.gov/NPILookup?Npi=1801847025","1801847025")</f>
        <v>1801847025</v>
      </c>
      <c r="E12134" s="1" t="s">
        <v>20820</v>
      </c>
      <c r="F12134" s="2"/>
      <c r="G12134" s="2"/>
      <c r="H12134" s="2"/>
    </row>
    <row r="12135" spans="1:8" x14ac:dyDescent="0.25">
      <c r="A12135" s="1"/>
      <c r="B12135" s="1" t="s">
        <v>5676</v>
      </c>
      <c r="C12135" s="1" t="s">
        <v>5677</v>
      </c>
      <c r="D12135" s="22" t="str">
        <f>HYPERLINK("https://rhld.insurance.arkansas.gov/NPILookup?Npi=1801874078","1801874078")</f>
        <v>1801874078</v>
      </c>
      <c r="E12135" s="1" t="s">
        <v>20821</v>
      </c>
      <c r="F12135" s="2"/>
      <c r="G12135" s="2"/>
      <c r="H12135" s="2"/>
    </row>
    <row r="12136" spans="1:8" x14ac:dyDescent="0.25">
      <c r="A12136" s="1"/>
      <c r="B12136" s="1" t="s">
        <v>5676</v>
      </c>
      <c r="C12136" s="1" t="s">
        <v>5677</v>
      </c>
      <c r="D12136" s="22" t="str">
        <f>HYPERLINK("https://rhld.insurance.arkansas.gov/NPILookup?Npi=1811061450","1811061450")</f>
        <v>1811061450</v>
      </c>
      <c r="E12136" s="1" t="s">
        <v>17903</v>
      </c>
      <c r="F12136" s="2"/>
      <c r="G12136" s="2"/>
      <c r="H12136" s="2"/>
    </row>
    <row r="12137" spans="1:8" x14ac:dyDescent="0.25">
      <c r="A12137" s="1"/>
      <c r="B12137" s="1" t="s">
        <v>5676</v>
      </c>
      <c r="C12137" s="1" t="s">
        <v>5677</v>
      </c>
      <c r="D12137" s="22" t="str">
        <f>HYPERLINK("https://rhld.insurance.arkansas.gov/NPILookup?Npi=1811486566","1811486566")</f>
        <v>1811486566</v>
      </c>
      <c r="E12137" s="1" t="s">
        <v>5759</v>
      </c>
      <c r="F12137" s="2"/>
      <c r="G12137" s="2"/>
      <c r="H12137" s="2"/>
    </row>
    <row r="12138" spans="1:8" x14ac:dyDescent="0.25">
      <c r="A12138" s="1"/>
      <c r="B12138" s="1" t="s">
        <v>5676</v>
      </c>
      <c r="C12138" s="1" t="s">
        <v>5677</v>
      </c>
      <c r="D12138" s="22" t="str">
        <f>HYPERLINK("https://rhld.insurance.arkansas.gov/NPILookup?Npi=1811919335","1811919335")</f>
        <v>1811919335</v>
      </c>
      <c r="E12138" s="1" t="s">
        <v>5760</v>
      </c>
      <c r="F12138" s="2"/>
      <c r="G12138" s="2"/>
      <c r="H12138" s="2"/>
    </row>
    <row r="12139" spans="1:8" x14ac:dyDescent="0.25">
      <c r="A12139" s="1"/>
      <c r="B12139" s="1" t="s">
        <v>5676</v>
      </c>
      <c r="C12139" s="1" t="s">
        <v>5677</v>
      </c>
      <c r="D12139" s="22" t="str">
        <f>HYPERLINK("https://rhld.insurance.arkansas.gov/NPILookup?Npi=1821057480","1821057480")</f>
        <v>1821057480</v>
      </c>
      <c r="E12139" s="1" t="s">
        <v>11380</v>
      </c>
      <c r="F12139" s="2"/>
      <c r="G12139" s="2"/>
      <c r="H12139" s="2"/>
    </row>
    <row r="12140" spans="1:8" x14ac:dyDescent="0.25">
      <c r="A12140" s="1"/>
      <c r="B12140" s="1" t="s">
        <v>5676</v>
      </c>
      <c r="C12140" s="1" t="s">
        <v>5677</v>
      </c>
      <c r="D12140" s="22" t="str">
        <f>HYPERLINK("https://rhld.insurance.arkansas.gov/NPILookup?Npi=1821084633","1821084633")</f>
        <v>1821084633</v>
      </c>
      <c r="E12140" s="1" t="s">
        <v>5761</v>
      </c>
      <c r="F12140" s="2"/>
      <c r="G12140" s="2"/>
      <c r="H12140" s="2"/>
    </row>
    <row r="12141" spans="1:8" x14ac:dyDescent="0.25">
      <c r="A12141" s="1"/>
      <c r="B12141" s="1" t="s">
        <v>5676</v>
      </c>
      <c r="C12141" s="1" t="s">
        <v>5677</v>
      </c>
      <c r="D12141" s="22" t="str">
        <f>HYPERLINK("https://rhld.insurance.arkansas.gov/NPILookup?Npi=1821319856","1821319856")</f>
        <v>1821319856</v>
      </c>
      <c r="E12141" s="1" t="s">
        <v>20822</v>
      </c>
      <c r="F12141" s="2"/>
      <c r="G12141" s="2"/>
      <c r="H12141" s="2"/>
    </row>
    <row r="12142" spans="1:8" x14ac:dyDescent="0.25">
      <c r="A12142" s="1"/>
      <c r="B12142" s="1" t="s">
        <v>5676</v>
      </c>
      <c r="C12142" s="1" t="s">
        <v>5677</v>
      </c>
      <c r="D12142" s="22" t="str">
        <f>HYPERLINK("https://rhld.insurance.arkansas.gov/NPILookup?Npi=1831136423","1831136423")</f>
        <v>1831136423</v>
      </c>
      <c r="E12142" s="1" t="s">
        <v>11381</v>
      </c>
      <c r="F12142" s="2"/>
      <c r="G12142" s="2"/>
      <c r="H12142" s="2"/>
    </row>
    <row r="12143" spans="1:8" x14ac:dyDescent="0.25">
      <c r="A12143" s="1"/>
      <c r="B12143" s="1" t="s">
        <v>5676</v>
      </c>
      <c r="C12143" s="1" t="s">
        <v>5677</v>
      </c>
      <c r="D12143" s="22" t="str">
        <f>HYPERLINK("https://rhld.insurance.arkansas.gov/NPILookup?Npi=1831184886","1831184886")</f>
        <v>1831184886</v>
      </c>
      <c r="E12143" s="1" t="s">
        <v>20823</v>
      </c>
      <c r="F12143" s="2"/>
      <c r="G12143" s="2"/>
      <c r="H12143" s="2"/>
    </row>
    <row r="12144" spans="1:8" x14ac:dyDescent="0.25">
      <c r="A12144" s="1"/>
      <c r="B12144" s="1" t="s">
        <v>5676</v>
      </c>
      <c r="C12144" s="1" t="s">
        <v>5677</v>
      </c>
      <c r="D12144" s="22" t="str">
        <f>HYPERLINK("https://rhld.insurance.arkansas.gov/NPILookup?Npi=1831186709","1831186709")</f>
        <v>1831186709</v>
      </c>
      <c r="E12144" s="1" t="s">
        <v>20824</v>
      </c>
      <c r="F12144" s="2"/>
      <c r="G12144" s="2"/>
      <c r="H12144" s="2"/>
    </row>
    <row r="12145" spans="1:8" x14ac:dyDescent="0.25">
      <c r="A12145" s="1"/>
      <c r="B12145" s="1" t="s">
        <v>5676</v>
      </c>
      <c r="C12145" s="1" t="s">
        <v>5677</v>
      </c>
      <c r="D12145" s="22" t="str">
        <f>HYPERLINK("https://rhld.insurance.arkansas.gov/NPILookup?Npi=1831362573","1831362573")</f>
        <v>1831362573</v>
      </c>
      <c r="E12145" s="1" t="s">
        <v>5762</v>
      </c>
      <c r="F12145" s="2"/>
      <c r="G12145" s="2"/>
      <c r="H12145" s="2"/>
    </row>
    <row r="12146" spans="1:8" x14ac:dyDescent="0.25">
      <c r="A12146" s="1"/>
      <c r="B12146" s="1" t="s">
        <v>5676</v>
      </c>
      <c r="C12146" s="1" t="s">
        <v>5677</v>
      </c>
      <c r="D12146" s="22" t="str">
        <f>HYPERLINK("https://rhld.insurance.arkansas.gov/NPILookup?Npi=1831487396","1831487396")</f>
        <v>1831487396</v>
      </c>
      <c r="E12146" s="1" t="s">
        <v>4508</v>
      </c>
      <c r="F12146" s="2"/>
      <c r="G12146" s="2"/>
      <c r="H12146" s="2"/>
    </row>
    <row r="12147" spans="1:8" x14ac:dyDescent="0.25">
      <c r="A12147" s="1"/>
      <c r="B12147" s="1" t="s">
        <v>5676</v>
      </c>
      <c r="C12147" s="1" t="s">
        <v>5677</v>
      </c>
      <c r="D12147" s="22" t="str">
        <f>HYPERLINK("https://rhld.insurance.arkansas.gov/NPILookup?Npi=1841218617","1841218617")</f>
        <v>1841218617</v>
      </c>
      <c r="E12147" s="1" t="s">
        <v>5763</v>
      </c>
      <c r="F12147" s="2"/>
      <c r="G12147" s="2"/>
      <c r="H12147" s="2"/>
    </row>
    <row r="12148" spans="1:8" x14ac:dyDescent="0.25">
      <c r="A12148" s="1"/>
      <c r="B12148" s="1" t="s">
        <v>5676</v>
      </c>
      <c r="C12148" s="1" t="s">
        <v>5677</v>
      </c>
      <c r="D12148" s="22" t="str">
        <f>HYPERLINK("https://rhld.insurance.arkansas.gov/NPILookup?Npi=1841276169","1841276169")</f>
        <v>1841276169</v>
      </c>
      <c r="E12148" s="1" t="s">
        <v>20825</v>
      </c>
      <c r="F12148" s="2"/>
      <c r="G12148" s="2"/>
      <c r="H12148" s="2"/>
    </row>
    <row r="12149" spans="1:8" x14ac:dyDescent="0.25">
      <c r="A12149" s="1"/>
      <c r="B12149" s="1" t="s">
        <v>5676</v>
      </c>
      <c r="C12149" s="1" t="s">
        <v>5677</v>
      </c>
      <c r="D12149" s="22" t="str">
        <f>HYPERLINK("https://rhld.insurance.arkansas.gov/NPILookup?Npi=1841287737","1841287737")</f>
        <v>1841287737</v>
      </c>
      <c r="E12149" s="1" t="s">
        <v>11382</v>
      </c>
      <c r="F12149" s="2"/>
      <c r="G12149" s="2"/>
      <c r="H12149" s="2"/>
    </row>
    <row r="12150" spans="1:8" x14ac:dyDescent="0.25">
      <c r="A12150" s="1"/>
      <c r="B12150" s="1" t="s">
        <v>5676</v>
      </c>
      <c r="C12150" s="1" t="s">
        <v>5677</v>
      </c>
      <c r="D12150" s="22" t="str">
        <f>HYPERLINK("https://rhld.insurance.arkansas.gov/NPILookup?Npi=1841610458","1841610458")</f>
        <v>1841610458</v>
      </c>
      <c r="E12150" s="1" t="s">
        <v>20826</v>
      </c>
      <c r="F12150" s="2"/>
      <c r="G12150" s="2"/>
      <c r="H12150" s="2"/>
    </row>
    <row r="12151" spans="1:8" x14ac:dyDescent="0.25">
      <c r="A12151" s="1"/>
      <c r="B12151" s="1" t="s">
        <v>5676</v>
      </c>
      <c r="C12151" s="1" t="s">
        <v>5677</v>
      </c>
      <c r="D12151" s="22" t="str">
        <f>HYPERLINK("https://rhld.insurance.arkansas.gov/NPILookup?Npi=1851324784","1851324784")</f>
        <v>1851324784</v>
      </c>
      <c r="E12151" s="1" t="s">
        <v>20827</v>
      </c>
      <c r="F12151" s="2"/>
      <c r="G12151" s="2"/>
      <c r="H12151" s="2"/>
    </row>
    <row r="12152" spans="1:8" x14ac:dyDescent="0.25">
      <c r="A12152" s="1"/>
      <c r="B12152" s="1" t="s">
        <v>5676</v>
      </c>
      <c r="C12152" s="1" t="s">
        <v>5677</v>
      </c>
      <c r="D12152" s="22" t="str">
        <f>HYPERLINK("https://rhld.insurance.arkansas.gov/NPILookup?Npi=1851340442","1851340442")</f>
        <v>1851340442</v>
      </c>
      <c r="E12152" s="1" t="s">
        <v>20828</v>
      </c>
      <c r="F12152" s="2"/>
      <c r="G12152" s="2"/>
      <c r="H12152" s="2"/>
    </row>
    <row r="12153" spans="1:8" x14ac:dyDescent="0.25">
      <c r="A12153" s="1"/>
      <c r="B12153" s="1" t="s">
        <v>5676</v>
      </c>
      <c r="C12153" s="1" t="s">
        <v>5677</v>
      </c>
      <c r="D12153" s="22" t="str">
        <f>HYPERLINK("https://rhld.insurance.arkansas.gov/NPILookup?Npi=1851371769","1851371769")</f>
        <v>1851371769</v>
      </c>
      <c r="E12153" s="1" t="s">
        <v>20829</v>
      </c>
      <c r="F12153" s="2"/>
      <c r="G12153" s="2"/>
      <c r="H12153" s="2"/>
    </row>
    <row r="12154" spans="1:8" x14ac:dyDescent="0.25">
      <c r="A12154" s="1"/>
      <c r="B12154" s="1" t="s">
        <v>5676</v>
      </c>
      <c r="C12154" s="1" t="s">
        <v>5677</v>
      </c>
      <c r="D12154" s="22" t="str">
        <f>HYPERLINK("https://rhld.insurance.arkansas.gov/NPILookup?Npi=1851511703","1851511703")</f>
        <v>1851511703</v>
      </c>
      <c r="E12154" s="1" t="s">
        <v>20830</v>
      </c>
      <c r="F12154" s="2"/>
      <c r="G12154" s="2"/>
      <c r="H12154" s="2"/>
    </row>
    <row r="12155" spans="1:8" x14ac:dyDescent="0.25">
      <c r="A12155" s="1"/>
      <c r="B12155" s="1" t="s">
        <v>5676</v>
      </c>
      <c r="C12155" s="1" t="s">
        <v>5677</v>
      </c>
      <c r="D12155" s="22" t="str">
        <f>HYPERLINK("https://rhld.insurance.arkansas.gov/NPILookup?Npi=1851555239","1851555239")</f>
        <v>1851555239</v>
      </c>
      <c r="E12155" s="1" t="s">
        <v>5764</v>
      </c>
      <c r="F12155" s="2"/>
      <c r="G12155" s="2"/>
      <c r="H12155" s="2"/>
    </row>
    <row r="12156" spans="1:8" x14ac:dyDescent="0.25">
      <c r="A12156" s="1"/>
      <c r="B12156" s="1" t="s">
        <v>5676</v>
      </c>
      <c r="C12156" s="1" t="s">
        <v>5677</v>
      </c>
      <c r="D12156" s="22" t="str">
        <f>HYPERLINK("https://rhld.insurance.arkansas.gov/NPILookup?Npi=1861409625","1861409625")</f>
        <v>1861409625</v>
      </c>
      <c r="E12156" s="1" t="s">
        <v>20831</v>
      </c>
      <c r="F12156" s="2"/>
      <c r="G12156" s="2"/>
      <c r="H12156" s="2"/>
    </row>
    <row r="12157" spans="1:8" x14ac:dyDescent="0.25">
      <c r="A12157" s="1"/>
      <c r="B12157" s="1" t="s">
        <v>5676</v>
      </c>
      <c r="C12157" s="1" t="s">
        <v>5677</v>
      </c>
      <c r="D12157" s="22" t="str">
        <f>HYPERLINK("https://rhld.insurance.arkansas.gov/NPILookup?Npi=1861441198","1861441198")</f>
        <v>1861441198</v>
      </c>
      <c r="E12157" s="1" t="s">
        <v>20832</v>
      </c>
      <c r="F12157" s="2"/>
      <c r="G12157" s="2"/>
      <c r="H12157" s="2"/>
    </row>
    <row r="12158" spans="1:8" x14ac:dyDescent="0.25">
      <c r="A12158" s="1"/>
      <c r="B12158" s="1" t="s">
        <v>5676</v>
      </c>
      <c r="C12158" s="1" t="s">
        <v>5677</v>
      </c>
      <c r="D12158" s="22" t="str">
        <f>HYPERLINK("https://rhld.insurance.arkansas.gov/NPILookup?Npi=1861488561","1861488561")</f>
        <v>1861488561</v>
      </c>
      <c r="E12158" s="1" t="s">
        <v>20833</v>
      </c>
      <c r="F12158" s="2"/>
      <c r="G12158" s="2"/>
      <c r="H12158" s="2"/>
    </row>
    <row r="12159" spans="1:8" x14ac:dyDescent="0.25">
      <c r="A12159" s="1"/>
      <c r="B12159" s="1" t="s">
        <v>5676</v>
      </c>
      <c r="C12159" s="1" t="s">
        <v>5677</v>
      </c>
      <c r="D12159" s="22" t="str">
        <f>HYPERLINK("https://rhld.insurance.arkansas.gov/NPILookup?Npi=1871530386","1871530386")</f>
        <v>1871530386</v>
      </c>
      <c r="E12159" s="1" t="s">
        <v>31776</v>
      </c>
      <c r="F12159" s="2"/>
      <c r="G12159" s="2"/>
      <c r="H12159" s="2"/>
    </row>
    <row r="12160" spans="1:8" x14ac:dyDescent="0.25">
      <c r="A12160" s="1"/>
      <c r="B12160" s="1" t="s">
        <v>5676</v>
      </c>
      <c r="C12160" s="1" t="s">
        <v>5677</v>
      </c>
      <c r="D12160" s="22" t="str">
        <f>HYPERLINK("https://rhld.insurance.arkansas.gov/NPILookup?Npi=1871547745","1871547745")</f>
        <v>1871547745</v>
      </c>
      <c r="E12160" s="1" t="s">
        <v>20834</v>
      </c>
      <c r="F12160" s="2"/>
      <c r="G12160" s="2"/>
      <c r="H12160" s="2"/>
    </row>
    <row r="12161" spans="1:8" x14ac:dyDescent="0.25">
      <c r="A12161" s="1"/>
      <c r="B12161" s="1" t="s">
        <v>5676</v>
      </c>
      <c r="C12161" s="1" t="s">
        <v>5677</v>
      </c>
      <c r="D12161" s="22" t="str">
        <f>HYPERLINK("https://rhld.insurance.arkansas.gov/NPILookup?Npi=1871571059","1871571059")</f>
        <v>1871571059</v>
      </c>
      <c r="E12161" s="1" t="s">
        <v>5765</v>
      </c>
      <c r="F12161" s="2"/>
      <c r="G12161" s="2"/>
      <c r="H12161" s="2"/>
    </row>
    <row r="12162" spans="1:8" x14ac:dyDescent="0.25">
      <c r="A12162" s="1"/>
      <c r="B12162" s="1" t="s">
        <v>5676</v>
      </c>
      <c r="C12162" s="1" t="s">
        <v>5677</v>
      </c>
      <c r="D12162" s="22" t="str">
        <f>HYPERLINK("https://rhld.insurance.arkansas.gov/NPILookup?Npi=1871585752","1871585752")</f>
        <v>1871585752</v>
      </c>
      <c r="E12162" s="1" t="s">
        <v>20835</v>
      </c>
      <c r="F12162" s="2"/>
      <c r="G12162" s="2"/>
      <c r="H12162" s="2"/>
    </row>
    <row r="12163" spans="1:8" x14ac:dyDescent="0.25">
      <c r="A12163" s="1"/>
      <c r="B12163" s="1" t="s">
        <v>5676</v>
      </c>
      <c r="C12163" s="1" t="s">
        <v>5677</v>
      </c>
      <c r="D12163" s="22" t="str">
        <f>HYPERLINK("https://rhld.insurance.arkansas.gov/NPILookup?Npi=1871589283","1871589283")</f>
        <v>1871589283</v>
      </c>
      <c r="E12163" s="1" t="s">
        <v>20836</v>
      </c>
      <c r="F12163" s="2"/>
      <c r="G12163" s="2"/>
      <c r="H12163" s="2"/>
    </row>
    <row r="12164" spans="1:8" x14ac:dyDescent="0.25">
      <c r="A12164" s="1"/>
      <c r="B12164" s="1" t="s">
        <v>5676</v>
      </c>
      <c r="C12164" s="1" t="s">
        <v>5677</v>
      </c>
      <c r="D12164" s="22" t="str">
        <f>HYPERLINK("https://rhld.insurance.arkansas.gov/NPILookup?Npi=1871596882","1871596882")</f>
        <v>1871596882</v>
      </c>
      <c r="E12164" s="1" t="s">
        <v>20837</v>
      </c>
      <c r="F12164" s="2"/>
      <c r="G12164" s="2"/>
      <c r="H12164" s="2"/>
    </row>
    <row r="12165" spans="1:8" x14ac:dyDescent="0.25">
      <c r="A12165" s="1"/>
      <c r="B12165" s="1" t="s">
        <v>5676</v>
      </c>
      <c r="C12165" s="1" t="s">
        <v>5677</v>
      </c>
      <c r="D12165" s="22" t="str">
        <f>HYPERLINK("https://rhld.insurance.arkansas.gov/NPILookup?Npi=1871759563","1871759563")</f>
        <v>1871759563</v>
      </c>
      <c r="E12165" s="1" t="s">
        <v>20838</v>
      </c>
      <c r="F12165" s="2"/>
      <c r="G12165" s="2"/>
      <c r="H12165" s="2"/>
    </row>
    <row r="12166" spans="1:8" x14ac:dyDescent="0.25">
      <c r="A12166" s="1"/>
      <c r="B12166" s="1" t="s">
        <v>5676</v>
      </c>
      <c r="C12166" s="1" t="s">
        <v>5677</v>
      </c>
      <c r="D12166" s="22" t="str">
        <f>HYPERLINK("https://rhld.insurance.arkansas.gov/NPILookup?Npi=1871795807","1871795807")</f>
        <v>1871795807</v>
      </c>
      <c r="E12166" s="1" t="s">
        <v>11383</v>
      </c>
      <c r="F12166" s="2"/>
      <c r="G12166" s="2"/>
      <c r="H12166" s="2"/>
    </row>
    <row r="12167" spans="1:8" x14ac:dyDescent="0.25">
      <c r="A12167" s="1"/>
      <c r="B12167" s="1" t="s">
        <v>5676</v>
      </c>
      <c r="C12167" s="1" t="s">
        <v>5677</v>
      </c>
      <c r="D12167" s="22" t="str">
        <f>HYPERLINK("https://rhld.insurance.arkansas.gov/NPILookup?Npi=1881650554","1881650554")</f>
        <v>1881650554</v>
      </c>
      <c r="E12167" s="1" t="s">
        <v>5766</v>
      </c>
      <c r="F12167" s="2"/>
      <c r="G12167" s="2"/>
      <c r="H12167" s="2"/>
    </row>
    <row r="12168" spans="1:8" x14ac:dyDescent="0.25">
      <c r="A12168" s="1"/>
      <c r="B12168" s="1" t="s">
        <v>5676</v>
      </c>
      <c r="C12168" s="1" t="s">
        <v>5677</v>
      </c>
      <c r="D12168" s="22" t="str">
        <f>HYPERLINK("https://rhld.insurance.arkansas.gov/NPILookup?Npi=1881663078","1881663078")</f>
        <v>1881663078</v>
      </c>
      <c r="E12168" s="1" t="s">
        <v>31777</v>
      </c>
      <c r="F12168" s="2"/>
      <c r="G12168" s="2"/>
      <c r="H12168" s="2"/>
    </row>
    <row r="12169" spans="1:8" x14ac:dyDescent="0.25">
      <c r="A12169" s="1"/>
      <c r="B12169" s="1" t="s">
        <v>5676</v>
      </c>
      <c r="C12169" s="1" t="s">
        <v>5677</v>
      </c>
      <c r="D12169" s="22" t="str">
        <f>HYPERLINK("https://rhld.insurance.arkansas.gov/NPILookup?Npi=1881859478","1881859478")</f>
        <v>1881859478</v>
      </c>
      <c r="E12169" s="1" t="s">
        <v>20839</v>
      </c>
      <c r="F12169" s="2"/>
      <c r="G12169" s="2"/>
      <c r="H12169" s="2"/>
    </row>
    <row r="12170" spans="1:8" x14ac:dyDescent="0.25">
      <c r="A12170" s="1"/>
      <c r="B12170" s="1" t="s">
        <v>5676</v>
      </c>
      <c r="C12170" s="1" t="s">
        <v>5677</v>
      </c>
      <c r="D12170" s="22" t="str">
        <f>HYPERLINK("https://rhld.insurance.arkansas.gov/NPILookup?Npi=1891139572","1891139572")</f>
        <v>1891139572</v>
      </c>
      <c r="E12170" s="1" t="s">
        <v>20840</v>
      </c>
      <c r="F12170" s="2"/>
      <c r="G12170" s="2"/>
      <c r="H12170" s="2"/>
    </row>
    <row r="12171" spans="1:8" x14ac:dyDescent="0.25">
      <c r="A12171" s="1"/>
      <c r="B12171" s="1" t="s">
        <v>5676</v>
      </c>
      <c r="C12171" s="1" t="s">
        <v>5677</v>
      </c>
      <c r="D12171" s="22" t="str">
        <f>HYPERLINK("https://rhld.insurance.arkansas.gov/NPILookup?Npi=1891796736","1891796736")</f>
        <v>1891796736</v>
      </c>
      <c r="E12171" s="1" t="s">
        <v>20841</v>
      </c>
      <c r="F12171" s="2"/>
      <c r="G12171" s="2"/>
      <c r="H12171" s="2"/>
    </row>
    <row r="12172" spans="1:8" x14ac:dyDescent="0.25">
      <c r="A12172" s="1"/>
      <c r="B12172" s="1" t="s">
        <v>5676</v>
      </c>
      <c r="C12172" s="1" t="s">
        <v>5677</v>
      </c>
      <c r="D12172" s="22" t="str">
        <f>HYPERLINK("https://rhld.insurance.arkansas.gov/NPILookup?Npi=1891967147","1891967147")</f>
        <v>1891967147</v>
      </c>
      <c r="E12172" s="1" t="s">
        <v>20842</v>
      </c>
      <c r="F12172" s="2"/>
      <c r="G12172" s="2"/>
      <c r="H12172" s="2"/>
    </row>
    <row r="12173" spans="1:8" x14ac:dyDescent="0.25">
      <c r="A12173" s="1"/>
      <c r="B12173" s="1" t="s">
        <v>5676</v>
      </c>
      <c r="C12173" s="1" t="s">
        <v>5677</v>
      </c>
      <c r="D12173" s="22" t="str">
        <f>HYPERLINK("https://rhld.insurance.arkansas.gov/NPILookup?Npi=1902023278","1902023278")</f>
        <v>1902023278</v>
      </c>
      <c r="E12173" s="1" t="s">
        <v>20843</v>
      </c>
      <c r="F12173" s="2"/>
      <c r="G12173" s="2"/>
      <c r="H12173" s="2"/>
    </row>
    <row r="12174" spans="1:8" x14ac:dyDescent="0.25">
      <c r="A12174" s="1"/>
      <c r="B12174" s="1" t="s">
        <v>5676</v>
      </c>
      <c r="C12174" s="1" t="s">
        <v>5677</v>
      </c>
      <c r="D12174" s="22" t="str">
        <f>HYPERLINK("https://rhld.insurance.arkansas.gov/NPILookup?Npi=1902028947","1902028947")</f>
        <v>1902028947</v>
      </c>
      <c r="E12174" s="1" t="s">
        <v>20844</v>
      </c>
      <c r="F12174" s="2"/>
      <c r="G12174" s="2"/>
      <c r="H12174" s="2"/>
    </row>
    <row r="12175" spans="1:8" x14ac:dyDescent="0.25">
      <c r="A12175" s="1"/>
      <c r="B12175" s="1" t="s">
        <v>5676</v>
      </c>
      <c r="C12175" s="1" t="s">
        <v>5677</v>
      </c>
      <c r="D12175" s="22" t="str">
        <f>HYPERLINK("https://rhld.insurance.arkansas.gov/NPILookup?Npi=1902225766","1902225766")</f>
        <v>1902225766</v>
      </c>
      <c r="E12175" s="1" t="s">
        <v>5767</v>
      </c>
      <c r="F12175" s="2"/>
      <c r="G12175" s="2"/>
      <c r="H12175" s="2"/>
    </row>
    <row r="12176" spans="1:8" x14ac:dyDescent="0.25">
      <c r="A12176" s="1"/>
      <c r="B12176" s="1" t="s">
        <v>5676</v>
      </c>
      <c r="C12176" s="1" t="s">
        <v>5677</v>
      </c>
      <c r="D12176" s="22" t="str">
        <f>HYPERLINK("https://rhld.insurance.arkansas.gov/NPILookup?Npi=1902260508","1902260508")</f>
        <v>1902260508</v>
      </c>
      <c r="E12176" s="1" t="s">
        <v>11384</v>
      </c>
      <c r="F12176" s="2"/>
      <c r="G12176" s="2"/>
      <c r="H12176" s="2"/>
    </row>
    <row r="12177" spans="1:8" x14ac:dyDescent="0.25">
      <c r="A12177" s="1"/>
      <c r="B12177" s="1" t="s">
        <v>5676</v>
      </c>
      <c r="C12177" s="1" t="s">
        <v>5677</v>
      </c>
      <c r="D12177" s="22" t="str">
        <f>HYPERLINK("https://rhld.insurance.arkansas.gov/NPILookup?Npi=1902292360","1902292360")</f>
        <v>1902292360</v>
      </c>
      <c r="E12177" s="1" t="s">
        <v>20845</v>
      </c>
      <c r="F12177" s="2"/>
      <c r="G12177" s="2"/>
      <c r="H12177" s="2"/>
    </row>
    <row r="12178" spans="1:8" x14ac:dyDescent="0.25">
      <c r="A12178" s="1"/>
      <c r="B12178" s="1" t="s">
        <v>5676</v>
      </c>
      <c r="C12178" s="1" t="s">
        <v>5677</v>
      </c>
      <c r="D12178" s="22" t="str">
        <f>HYPERLINK("https://rhld.insurance.arkansas.gov/NPILookup?Npi=1902303803","1902303803")</f>
        <v>1902303803</v>
      </c>
      <c r="E12178" s="1" t="s">
        <v>20846</v>
      </c>
      <c r="F12178" s="2"/>
      <c r="G12178" s="2"/>
      <c r="H12178" s="2"/>
    </row>
    <row r="12179" spans="1:8" x14ac:dyDescent="0.25">
      <c r="A12179" s="1"/>
      <c r="B12179" s="1" t="s">
        <v>5676</v>
      </c>
      <c r="C12179" s="1" t="s">
        <v>5677</v>
      </c>
      <c r="D12179" s="22" t="str">
        <f>HYPERLINK("https://rhld.insurance.arkansas.gov/NPILookup?Npi=1902340318","1902340318")</f>
        <v>1902340318</v>
      </c>
      <c r="E12179" s="1" t="s">
        <v>4495</v>
      </c>
      <c r="F12179" s="2"/>
      <c r="G12179" s="2"/>
      <c r="H12179" s="2"/>
    </row>
    <row r="12180" spans="1:8" x14ac:dyDescent="0.25">
      <c r="A12180" s="1"/>
      <c r="B12180" s="1" t="s">
        <v>5676</v>
      </c>
      <c r="C12180" s="1" t="s">
        <v>5677</v>
      </c>
      <c r="D12180" s="22" t="str">
        <f>HYPERLINK("https://rhld.insurance.arkansas.gov/NPILookup?Npi=1902811300","1902811300")</f>
        <v>1902811300</v>
      </c>
      <c r="E12180" s="1" t="s">
        <v>20847</v>
      </c>
      <c r="F12180" s="2"/>
      <c r="G12180" s="2"/>
      <c r="H12180" s="2"/>
    </row>
    <row r="12181" spans="1:8" x14ac:dyDescent="0.25">
      <c r="A12181" s="1"/>
      <c r="B12181" s="1" t="s">
        <v>5676</v>
      </c>
      <c r="C12181" s="1" t="s">
        <v>5677</v>
      </c>
      <c r="D12181" s="22" t="str">
        <f>HYPERLINK("https://rhld.insurance.arkansas.gov/NPILookup?Npi=1902878440","1902878440")</f>
        <v>1902878440</v>
      </c>
      <c r="E12181" s="1" t="s">
        <v>20848</v>
      </c>
      <c r="F12181" s="2"/>
      <c r="G12181" s="2"/>
      <c r="H12181" s="2"/>
    </row>
    <row r="12182" spans="1:8" x14ac:dyDescent="0.25">
      <c r="A12182" s="1"/>
      <c r="B12182" s="1" t="s">
        <v>5676</v>
      </c>
      <c r="C12182" s="1" t="s">
        <v>5677</v>
      </c>
      <c r="D12182" s="22" t="str">
        <f>HYPERLINK("https://rhld.insurance.arkansas.gov/NPILookup?Npi=1902881758","1902881758")</f>
        <v>1902881758</v>
      </c>
      <c r="E12182" s="1" t="s">
        <v>5768</v>
      </c>
      <c r="F12182" s="2"/>
      <c r="G12182" s="2"/>
      <c r="H12182" s="2"/>
    </row>
    <row r="12183" spans="1:8" x14ac:dyDescent="0.25">
      <c r="A12183" s="1"/>
      <c r="B12183" s="1" t="s">
        <v>5676</v>
      </c>
      <c r="C12183" s="1" t="s">
        <v>5677</v>
      </c>
      <c r="D12183" s="22" t="str">
        <f>HYPERLINK("https://rhld.insurance.arkansas.gov/NPILookup?Npi=1902884232","1902884232")</f>
        <v>1902884232</v>
      </c>
      <c r="E12183" s="1" t="s">
        <v>11385</v>
      </c>
      <c r="F12183" s="2"/>
      <c r="G12183" s="2"/>
      <c r="H12183" s="2"/>
    </row>
    <row r="12184" spans="1:8" x14ac:dyDescent="0.25">
      <c r="A12184" s="1"/>
      <c r="B12184" s="1" t="s">
        <v>5676</v>
      </c>
      <c r="C12184" s="1" t="s">
        <v>5677</v>
      </c>
      <c r="D12184" s="22" t="str">
        <f>HYPERLINK("https://rhld.insurance.arkansas.gov/NPILookup?Npi=1912948910","1912948910")</f>
        <v>1912948910</v>
      </c>
      <c r="E12184" s="1" t="s">
        <v>20849</v>
      </c>
      <c r="F12184" s="2"/>
      <c r="G12184" s="2"/>
      <c r="H12184" s="2"/>
    </row>
    <row r="12185" spans="1:8" x14ac:dyDescent="0.25">
      <c r="A12185" s="1"/>
      <c r="B12185" s="1" t="s">
        <v>5676</v>
      </c>
      <c r="C12185" s="1" t="s">
        <v>5677</v>
      </c>
      <c r="D12185" s="22" t="str">
        <f>HYPERLINK("https://rhld.insurance.arkansas.gov/NPILookup?Npi=1912994450","1912994450")</f>
        <v>1912994450</v>
      </c>
      <c r="E12185" s="1" t="s">
        <v>20850</v>
      </c>
      <c r="F12185" s="2"/>
      <c r="G12185" s="2"/>
      <c r="H12185" s="2"/>
    </row>
    <row r="12186" spans="1:8" x14ac:dyDescent="0.25">
      <c r="A12186" s="1"/>
      <c r="B12186" s="1" t="s">
        <v>5676</v>
      </c>
      <c r="C12186" s="1" t="s">
        <v>5677</v>
      </c>
      <c r="D12186" s="22" t="str">
        <f>HYPERLINK("https://rhld.insurance.arkansas.gov/NPILookup?Npi=1922071737","1922071737")</f>
        <v>1922071737</v>
      </c>
      <c r="E12186" s="1" t="s">
        <v>5769</v>
      </c>
      <c r="F12186" s="2"/>
      <c r="G12186" s="2"/>
      <c r="H12186" s="2"/>
    </row>
    <row r="12187" spans="1:8" x14ac:dyDescent="0.25">
      <c r="A12187" s="1"/>
      <c r="B12187" s="1" t="s">
        <v>5676</v>
      </c>
      <c r="C12187" s="1" t="s">
        <v>5677</v>
      </c>
      <c r="D12187" s="22" t="str">
        <f>HYPERLINK("https://rhld.insurance.arkansas.gov/NPILookup?Npi=1922090471","1922090471")</f>
        <v>1922090471</v>
      </c>
      <c r="E12187" s="1" t="s">
        <v>31778</v>
      </c>
      <c r="F12187" s="2"/>
      <c r="G12187" s="2"/>
      <c r="H12187" s="2"/>
    </row>
    <row r="12188" spans="1:8" x14ac:dyDescent="0.25">
      <c r="A12188" s="1"/>
      <c r="B12188" s="1" t="s">
        <v>5676</v>
      </c>
      <c r="C12188" s="1" t="s">
        <v>5677</v>
      </c>
      <c r="D12188" s="22" t="str">
        <f>HYPERLINK("https://rhld.insurance.arkansas.gov/NPILookup?Npi=1922179522","1922179522")</f>
        <v>1922179522</v>
      </c>
      <c r="E12188" s="1" t="s">
        <v>20851</v>
      </c>
      <c r="F12188" s="2"/>
      <c r="G12188" s="2"/>
      <c r="H12188" s="2"/>
    </row>
    <row r="12189" spans="1:8" x14ac:dyDescent="0.25">
      <c r="A12189" s="1"/>
      <c r="B12189" s="1" t="s">
        <v>5676</v>
      </c>
      <c r="C12189" s="1" t="s">
        <v>5677</v>
      </c>
      <c r="D12189" s="22" t="str">
        <f>HYPERLINK("https://rhld.insurance.arkansas.gov/NPILookup?Npi=1922214923","1922214923")</f>
        <v>1922214923</v>
      </c>
      <c r="E12189" s="1" t="s">
        <v>20852</v>
      </c>
      <c r="F12189" s="2"/>
      <c r="G12189" s="2"/>
      <c r="H12189" s="2"/>
    </row>
    <row r="12190" spans="1:8" x14ac:dyDescent="0.25">
      <c r="A12190" s="1"/>
      <c r="B12190" s="1" t="s">
        <v>5676</v>
      </c>
      <c r="C12190" s="1" t="s">
        <v>5677</v>
      </c>
      <c r="D12190" s="22" t="str">
        <f>HYPERLINK("https://rhld.insurance.arkansas.gov/NPILookup?Npi=1922325737","1922325737")</f>
        <v>1922325737</v>
      </c>
      <c r="E12190" s="1" t="s">
        <v>20853</v>
      </c>
      <c r="F12190" s="2"/>
      <c r="G12190" s="2"/>
      <c r="H12190" s="2"/>
    </row>
    <row r="12191" spans="1:8" x14ac:dyDescent="0.25">
      <c r="A12191" s="1"/>
      <c r="B12191" s="1" t="s">
        <v>5676</v>
      </c>
      <c r="C12191" s="1" t="s">
        <v>5677</v>
      </c>
      <c r="D12191" s="22" t="str">
        <f>HYPERLINK("https://rhld.insurance.arkansas.gov/NPILookup?Npi=1922327485","1922327485")</f>
        <v>1922327485</v>
      </c>
      <c r="E12191" s="1" t="s">
        <v>5770</v>
      </c>
      <c r="F12191" s="2"/>
      <c r="G12191" s="2"/>
      <c r="H12191" s="2"/>
    </row>
    <row r="12192" spans="1:8" x14ac:dyDescent="0.25">
      <c r="A12192" s="1"/>
      <c r="B12192" s="1" t="s">
        <v>5676</v>
      </c>
      <c r="C12192" s="1" t="s">
        <v>5677</v>
      </c>
      <c r="D12192" s="22" t="str">
        <f>HYPERLINK("https://rhld.insurance.arkansas.gov/NPILookup?Npi=1922495779","1922495779")</f>
        <v>1922495779</v>
      </c>
      <c r="E12192" s="1" t="s">
        <v>5771</v>
      </c>
      <c r="F12192" s="2"/>
      <c r="G12192" s="2"/>
      <c r="H12192" s="2"/>
    </row>
    <row r="12193" spans="1:8" x14ac:dyDescent="0.25">
      <c r="A12193" s="1"/>
      <c r="B12193" s="1" t="s">
        <v>5676</v>
      </c>
      <c r="C12193" s="1" t="s">
        <v>5677</v>
      </c>
      <c r="D12193" s="22" t="str">
        <f>HYPERLINK("https://rhld.insurance.arkansas.gov/NPILookup?Npi=1922528496","1922528496")</f>
        <v>1922528496</v>
      </c>
      <c r="E12193" s="1" t="s">
        <v>20854</v>
      </c>
      <c r="F12193" s="2"/>
      <c r="G12193" s="2"/>
      <c r="H12193" s="2"/>
    </row>
    <row r="12194" spans="1:8" x14ac:dyDescent="0.25">
      <c r="A12194" s="1"/>
      <c r="B12194" s="1" t="s">
        <v>5676</v>
      </c>
      <c r="C12194" s="1" t="s">
        <v>5677</v>
      </c>
      <c r="D12194" s="22" t="str">
        <f>HYPERLINK("https://rhld.insurance.arkansas.gov/NPILookup?Npi=1932121662","1932121662")</f>
        <v>1932121662</v>
      </c>
      <c r="E12194" s="1" t="s">
        <v>20855</v>
      </c>
      <c r="F12194" s="2"/>
      <c r="G12194" s="2"/>
      <c r="H12194" s="2"/>
    </row>
    <row r="12195" spans="1:8" x14ac:dyDescent="0.25">
      <c r="A12195" s="1"/>
      <c r="B12195" s="1" t="s">
        <v>5676</v>
      </c>
      <c r="C12195" s="1" t="s">
        <v>5677</v>
      </c>
      <c r="D12195" s="22" t="str">
        <f>HYPERLINK("https://rhld.insurance.arkansas.gov/NPILookup?Npi=1932173457","1932173457")</f>
        <v>1932173457</v>
      </c>
      <c r="E12195" s="1" t="s">
        <v>20856</v>
      </c>
      <c r="F12195" s="2"/>
      <c r="G12195" s="2"/>
      <c r="H12195" s="2"/>
    </row>
    <row r="12196" spans="1:8" x14ac:dyDescent="0.25">
      <c r="A12196" s="1"/>
      <c r="B12196" s="1" t="s">
        <v>5676</v>
      </c>
      <c r="C12196" s="1" t="s">
        <v>5677</v>
      </c>
      <c r="D12196" s="22" t="str">
        <f>HYPERLINK("https://rhld.insurance.arkansas.gov/NPILookup?Npi=1932191616","1932191616")</f>
        <v>1932191616</v>
      </c>
      <c r="E12196" s="1" t="s">
        <v>20857</v>
      </c>
      <c r="F12196" s="2"/>
      <c r="G12196" s="2"/>
      <c r="H12196" s="2"/>
    </row>
    <row r="12197" spans="1:8" x14ac:dyDescent="0.25">
      <c r="A12197" s="1"/>
      <c r="B12197" s="1" t="s">
        <v>5676</v>
      </c>
      <c r="C12197" s="1" t="s">
        <v>5677</v>
      </c>
      <c r="D12197" s="22" t="str">
        <f>HYPERLINK("https://rhld.insurance.arkansas.gov/NPILookup?Npi=1932200508","1932200508")</f>
        <v>1932200508</v>
      </c>
      <c r="E12197" s="1" t="s">
        <v>5772</v>
      </c>
      <c r="F12197" s="2"/>
      <c r="G12197" s="2"/>
      <c r="H12197" s="2"/>
    </row>
    <row r="12198" spans="1:8" x14ac:dyDescent="0.25">
      <c r="A12198" s="1"/>
      <c r="B12198" s="1" t="s">
        <v>5676</v>
      </c>
      <c r="C12198" s="1" t="s">
        <v>5677</v>
      </c>
      <c r="D12198" s="22" t="str">
        <f>HYPERLINK("https://rhld.insurance.arkansas.gov/NPILookup?Npi=1932242153","1932242153")</f>
        <v>1932242153</v>
      </c>
      <c r="E12198" s="1" t="s">
        <v>5773</v>
      </c>
      <c r="F12198" s="2"/>
      <c r="G12198" s="2"/>
      <c r="H12198" s="2"/>
    </row>
    <row r="12199" spans="1:8" x14ac:dyDescent="0.25">
      <c r="A12199" s="1"/>
      <c r="B12199" s="1" t="s">
        <v>5676</v>
      </c>
      <c r="C12199" s="1" t="s">
        <v>5677</v>
      </c>
      <c r="D12199" s="22" t="str">
        <f>HYPERLINK("https://rhld.insurance.arkansas.gov/NPILookup?Npi=1932300530","1932300530")</f>
        <v>1932300530</v>
      </c>
      <c r="E12199" s="1" t="s">
        <v>20858</v>
      </c>
      <c r="F12199" s="2"/>
      <c r="G12199" s="2"/>
      <c r="H12199" s="2"/>
    </row>
    <row r="12200" spans="1:8" x14ac:dyDescent="0.25">
      <c r="A12200" s="1"/>
      <c r="B12200" s="1" t="s">
        <v>5676</v>
      </c>
      <c r="C12200" s="1" t="s">
        <v>5677</v>
      </c>
      <c r="D12200" s="22" t="str">
        <f>HYPERLINK("https://rhld.insurance.arkansas.gov/NPILookup?Npi=1932633591","1932633591")</f>
        <v>1932633591</v>
      </c>
      <c r="E12200" s="1" t="s">
        <v>5774</v>
      </c>
      <c r="F12200" s="2"/>
      <c r="G12200" s="2"/>
      <c r="H12200" s="2"/>
    </row>
    <row r="12201" spans="1:8" x14ac:dyDescent="0.25">
      <c r="A12201" s="1"/>
      <c r="B12201" s="1" t="s">
        <v>5676</v>
      </c>
      <c r="C12201" s="1" t="s">
        <v>5677</v>
      </c>
      <c r="D12201" s="22" t="str">
        <f>HYPERLINK("https://rhld.insurance.arkansas.gov/NPILookup?Npi=1942295985","1942295985")</f>
        <v>1942295985</v>
      </c>
      <c r="E12201" s="1" t="s">
        <v>20859</v>
      </c>
      <c r="F12201" s="2"/>
      <c r="G12201" s="2"/>
      <c r="H12201" s="2"/>
    </row>
    <row r="12202" spans="1:8" x14ac:dyDescent="0.25">
      <c r="A12202" s="1"/>
      <c r="B12202" s="1" t="s">
        <v>5676</v>
      </c>
      <c r="C12202" s="1" t="s">
        <v>5677</v>
      </c>
      <c r="D12202" s="22" t="str">
        <f>HYPERLINK("https://rhld.insurance.arkansas.gov/NPILookup?Npi=1952368565","1952368565")</f>
        <v>1952368565</v>
      </c>
      <c r="E12202" s="1" t="s">
        <v>20860</v>
      </c>
      <c r="F12202" s="2"/>
      <c r="G12202" s="2"/>
      <c r="H12202" s="2"/>
    </row>
    <row r="12203" spans="1:8" x14ac:dyDescent="0.25">
      <c r="A12203" s="1"/>
      <c r="B12203" s="1" t="s">
        <v>5676</v>
      </c>
      <c r="C12203" s="1" t="s">
        <v>5677</v>
      </c>
      <c r="D12203" s="22" t="str">
        <f>HYPERLINK("https://rhld.insurance.arkansas.gov/NPILookup?Npi=1952374498","1952374498")</f>
        <v>1952374498</v>
      </c>
      <c r="E12203" s="1" t="s">
        <v>31779</v>
      </c>
      <c r="F12203" s="2"/>
      <c r="G12203" s="2"/>
      <c r="H12203" s="2"/>
    </row>
    <row r="12204" spans="1:8" x14ac:dyDescent="0.25">
      <c r="A12204" s="1"/>
      <c r="B12204" s="1" t="s">
        <v>5676</v>
      </c>
      <c r="C12204" s="1" t="s">
        <v>5677</v>
      </c>
      <c r="D12204" s="22" t="str">
        <f>HYPERLINK("https://rhld.insurance.arkansas.gov/NPILookup?Npi=1952385460","1952385460")</f>
        <v>1952385460</v>
      </c>
      <c r="E12204" s="1" t="s">
        <v>11386</v>
      </c>
      <c r="F12204" s="2"/>
      <c r="G12204" s="2"/>
      <c r="H12204" s="2"/>
    </row>
    <row r="12205" spans="1:8" x14ac:dyDescent="0.25">
      <c r="A12205" s="1"/>
      <c r="B12205" s="1" t="s">
        <v>5676</v>
      </c>
      <c r="C12205" s="1" t="s">
        <v>5677</v>
      </c>
      <c r="D12205" s="22" t="str">
        <f>HYPERLINK("https://rhld.insurance.arkansas.gov/NPILookup?Npi=1952389280","1952389280")</f>
        <v>1952389280</v>
      </c>
      <c r="E12205" s="1" t="s">
        <v>20861</v>
      </c>
      <c r="F12205" s="2"/>
      <c r="G12205" s="2"/>
      <c r="H12205" s="2"/>
    </row>
    <row r="12206" spans="1:8" x14ac:dyDescent="0.25">
      <c r="A12206" s="1"/>
      <c r="B12206" s="1" t="s">
        <v>5676</v>
      </c>
      <c r="C12206" s="1" t="s">
        <v>5677</v>
      </c>
      <c r="D12206" s="22" t="str">
        <f>HYPERLINK("https://rhld.insurance.arkansas.gov/NPILookup?Npi=1952398646","1952398646")</f>
        <v>1952398646</v>
      </c>
      <c r="E12206" s="1" t="s">
        <v>11387</v>
      </c>
      <c r="F12206" s="2"/>
      <c r="G12206" s="2"/>
      <c r="H12206" s="2"/>
    </row>
    <row r="12207" spans="1:8" x14ac:dyDescent="0.25">
      <c r="A12207" s="1"/>
      <c r="B12207" s="1" t="s">
        <v>5676</v>
      </c>
      <c r="C12207" s="1" t="s">
        <v>5677</v>
      </c>
      <c r="D12207" s="22" t="str">
        <f>HYPERLINK("https://rhld.insurance.arkansas.gov/NPILookup?Npi=1952412892","1952412892")</f>
        <v>1952412892</v>
      </c>
      <c r="E12207" s="1" t="s">
        <v>20862</v>
      </c>
      <c r="F12207" s="2"/>
      <c r="G12207" s="2"/>
      <c r="H12207" s="2"/>
    </row>
    <row r="12208" spans="1:8" x14ac:dyDescent="0.25">
      <c r="A12208" s="1"/>
      <c r="B12208" s="1" t="s">
        <v>5676</v>
      </c>
      <c r="C12208" s="1" t="s">
        <v>5677</v>
      </c>
      <c r="D12208" s="22" t="str">
        <f>HYPERLINK("https://rhld.insurance.arkansas.gov/NPILookup?Npi=1952460917","1952460917")</f>
        <v>1952460917</v>
      </c>
      <c r="E12208" s="1" t="s">
        <v>5775</v>
      </c>
      <c r="F12208" s="2"/>
      <c r="G12208" s="2"/>
      <c r="H12208" s="2"/>
    </row>
    <row r="12209" spans="1:8" x14ac:dyDescent="0.25">
      <c r="A12209" s="1"/>
      <c r="B12209" s="1" t="s">
        <v>5676</v>
      </c>
      <c r="C12209" s="1" t="s">
        <v>5677</v>
      </c>
      <c r="D12209" s="22" t="str">
        <f>HYPERLINK("https://rhld.insurance.arkansas.gov/NPILookup?Npi=1952536641","1952536641")</f>
        <v>1952536641</v>
      </c>
      <c r="E12209" s="1" t="s">
        <v>20863</v>
      </c>
      <c r="F12209" s="2"/>
      <c r="G12209" s="2"/>
      <c r="H12209" s="2"/>
    </row>
    <row r="12210" spans="1:8" x14ac:dyDescent="0.25">
      <c r="A12210" s="1"/>
      <c r="B12210" s="1" t="s">
        <v>5676</v>
      </c>
      <c r="C12210" s="1" t="s">
        <v>5677</v>
      </c>
      <c r="D12210" s="22" t="str">
        <f>HYPERLINK("https://rhld.insurance.arkansas.gov/NPILookup?Npi=1952563215","1952563215")</f>
        <v>1952563215</v>
      </c>
      <c r="E12210" s="1" t="s">
        <v>5776</v>
      </c>
      <c r="F12210" s="2"/>
      <c r="G12210" s="2"/>
      <c r="H12210" s="2"/>
    </row>
    <row r="12211" spans="1:8" x14ac:dyDescent="0.25">
      <c r="A12211" s="1"/>
      <c r="B12211" s="1" t="s">
        <v>5676</v>
      </c>
      <c r="C12211" s="1" t="s">
        <v>5677</v>
      </c>
      <c r="D12211" s="22" t="str">
        <f>HYPERLINK("https://rhld.insurance.arkansas.gov/NPILookup?Npi=1952715187","1952715187")</f>
        <v>1952715187</v>
      </c>
      <c r="E12211" s="1" t="s">
        <v>5777</v>
      </c>
      <c r="F12211" s="2"/>
      <c r="G12211" s="2"/>
      <c r="H12211" s="2"/>
    </row>
    <row r="12212" spans="1:8" x14ac:dyDescent="0.25">
      <c r="A12212" s="1"/>
      <c r="B12212" s="1" t="s">
        <v>5676</v>
      </c>
      <c r="C12212" s="1" t="s">
        <v>5677</v>
      </c>
      <c r="D12212" s="22" t="str">
        <f>HYPERLINK("https://rhld.insurance.arkansas.gov/NPILookup?Npi=1952724494","1952724494")</f>
        <v>1952724494</v>
      </c>
      <c r="E12212" s="1" t="s">
        <v>11388</v>
      </c>
      <c r="F12212" s="2"/>
      <c r="G12212" s="2"/>
      <c r="H12212" s="2"/>
    </row>
    <row r="12213" spans="1:8" x14ac:dyDescent="0.25">
      <c r="A12213" s="1"/>
      <c r="B12213" s="1" t="s">
        <v>5676</v>
      </c>
      <c r="C12213" s="1" t="s">
        <v>5677</v>
      </c>
      <c r="D12213" s="22" t="str">
        <f>HYPERLINK("https://rhld.insurance.arkansas.gov/NPILookup?Npi=1952745655","1952745655")</f>
        <v>1952745655</v>
      </c>
      <c r="E12213" s="1" t="s">
        <v>20864</v>
      </c>
      <c r="F12213" s="2"/>
      <c r="G12213" s="2"/>
      <c r="H12213" s="2"/>
    </row>
    <row r="12214" spans="1:8" x14ac:dyDescent="0.25">
      <c r="A12214" s="1"/>
      <c r="B12214" s="1" t="s">
        <v>5676</v>
      </c>
      <c r="C12214" s="1" t="s">
        <v>5677</v>
      </c>
      <c r="D12214" s="22" t="str">
        <f>HYPERLINK("https://rhld.insurance.arkansas.gov/NPILookup?Npi=1962461707","1962461707")</f>
        <v>1962461707</v>
      </c>
      <c r="E12214" s="1" t="s">
        <v>20866</v>
      </c>
      <c r="F12214" s="2"/>
      <c r="G12214" s="2"/>
      <c r="H12214" s="2"/>
    </row>
    <row r="12215" spans="1:8" x14ac:dyDescent="0.25">
      <c r="A12215" s="1"/>
      <c r="B12215" s="1" t="s">
        <v>5676</v>
      </c>
      <c r="C12215" s="1" t="s">
        <v>5677</v>
      </c>
      <c r="D12215" s="22" t="str">
        <f>HYPERLINK("https://rhld.insurance.arkansas.gov/NPILookup?Npi=1962636605","1962636605")</f>
        <v>1962636605</v>
      </c>
      <c r="E12215" s="1" t="s">
        <v>20867</v>
      </c>
      <c r="F12215" s="2"/>
      <c r="G12215" s="2"/>
      <c r="H12215" s="2"/>
    </row>
    <row r="12216" spans="1:8" x14ac:dyDescent="0.25">
      <c r="A12216" s="1"/>
      <c r="B12216" s="1" t="s">
        <v>5676</v>
      </c>
      <c r="C12216" s="1" t="s">
        <v>5677</v>
      </c>
      <c r="D12216" s="22" t="str">
        <f>HYPERLINK("https://rhld.insurance.arkansas.gov/NPILookup?Npi=1962766311","1962766311")</f>
        <v>1962766311</v>
      </c>
      <c r="E12216" s="1" t="s">
        <v>20868</v>
      </c>
      <c r="F12216" s="2"/>
      <c r="G12216" s="2"/>
      <c r="H12216" s="2"/>
    </row>
    <row r="12217" spans="1:8" x14ac:dyDescent="0.25">
      <c r="A12217" s="1"/>
      <c r="B12217" s="1" t="s">
        <v>5676</v>
      </c>
      <c r="C12217" s="1" t="s">
        <v>5677</v>
      </c>
      <c r="D12217" s="22" t="str">
        <f>HYPERLINK("https://rhld.insurance.arkansas.gov/NPILookup?Npi=1962906438","1962906438")</f>
        <v>1962906438</v>
      </c>
      <c r="E12217" s="1" t="s">
        <v>6576</v>
      </c>
      <c r="F12217" s="2"/>
      <c r="G12217" s="2"/>
      <c r="H12217" s="2"/>
    </row>
    <row r="12218" spans="1:8" x14ac:dyDescent="0.25">
      <c r="A12218" s="1"/>
      <c r="B12218" s="1" t="s">
        <v>5676</v>
      </c>
      <c r="C12218" s="1" t="s">
        <v>5677</v>
      </c>
      <c r="D12218" s="22" t="str">
        <f>HYPERLINK("https://rhld.insurance.arkansas.gov/NPILookup?Npi=1972571248","1972571248")</f>
        <v>1972571248</v>
      </c>
      <c r="E12218" s="1" t="s">
        <v>5778</v>
      </c>
      <c r="F12218" s="2"/>
      <c r="G12218" s="2"/>
      <c r="H12218" s="2"/>
    </row>
    <row r="12219" spans="1:8" x14ac:dyDescent="0.25">
      <c r="A12219" s="1"/>
      <c r="B12219" s="1" t="s">
        <v>5676</v>
      </c>
      <c r="C12219" s="1" t="s">
        <v>5677</v>
      </c>
      <c r="D12219" s="22" t="str">
        <f>HYPERLINK("https://rhld.insurance.arkansas.gov/NPILookup?Npi=1972575264","1972575264")</f>
        <v>1972575264</v>
      </c>
      <c r="E12219" s="1" t="s">
        <v>11389</v>
      </c>
      <c r="F12219" s="2"/>
      <c r="G12219" s="2"/>
      <c r="H12219" s="2"/>
    </row>
    <row r="12220" spans="1:8" x14ac:dyDescent="0.25">
      <c r="A12220" s="1"/>
      <c r="B12220" s="1" t="s">
        <v>5676</v>
      </c>
      <c r="C12220" s="1" t="s">
        <v>5677</v>
      </c>
      <c r="D12220" s="22" t="str">
        <f>HYPERLINK("https://rhld.insurance.arkansas.gov/NPILookup?Npi=1972576072","1972576072")</f>
        <v>1972576072</v>
      </c>
      <c r="E12220" s="1" t="s">
        <v>11390</v>
      </c>
      <c r="F12220" s="2"/>
      <c r="G12220" s="2"/>
      <c r="H12220" s="2"/>
    </row>
    <row r="12221" spans="1:8" x14ac:dyDescent="0.25">
      <c r="A12221" s="1"/>
      <c r="B12221" s="1" t="s">
        <v>5676</v>
      </c>
      <c r="C12221" s="1" t="s">
        <v>5677</v>
      </c>
      <c r="D12221" s="22" t="str">
        <f>HYPERLINK("https://rhld.insurance.arkansas.gov/NPILookup?Npi=1972579605","1972579605")</f>
        <v>1972579605</v>
      </c>
      <c r="E12221" s="1" t="s">
        <v>5779</v>
      </c>
      <c r="F12221" s="2"/>
      <c r="G12221" s="2"/>
      <c r="H12221" s="2"/>
    </row>
    <row r="12222" spans="1:8" x14ac:dyDescent="0.25">
      <c r="A12222" s="1"/>
      <c r="B12222" s="1" t="s">
        <v>5676</v>
      </c>
      <c r="C12222" s="1" t="s">
        <v>5677</v>
      </c>
      <c r="D12222" s="22" t="str">
        <f>HYPERLINK("https://rhld.insurance.arkansas.gov/NPILookup?Npi=1972722205","1972722205")</f>
        <v>1972722205</v>
      </c>
      <c r="E12222" s="1" t="s">
        <v>11391</v>
      </c>
      <c r="F12222" s="2"/>
      <c r="G12222" s="2"/>
      <c r="H12222" s="2"/>
    </row>
    <row r="12223" spans="1:8" x14ac:dyDescent="0.25">
      <c r="A12223" s="1"/>
      <c r="B12223" s="1" t="s">
        <v>5676</v>
      </c>
      <c r="C12223" s="1" t="s">
        <v>5677</v>
      </c>
      <c r="D12223" s="22" t="str">
        <f>HYPERLINK("https://rhld.insurance.arkansas.gov/NPILookup?Npi=1982696464","1982696464")</f>
        <v>1982696464</v>
      </c>
      <c r="E12223" s="1" t="s">
        <v>11392</v>
      </c>
      <c r="F12223" s="2"/>
      <c r="G12223" s="2"/>
      <c r="H12223" s="2"/>
    </row>
    <row r="12224" spans="1:8" x14ac:dyDescent="0.25">
      <c r="A12224" s="1"/>
      <c r="B12224" s="1" t="s">
        <v>5676</v>
      </c>
      <c r="C12224" s="1" t="s">
        <v>5677</v>
      </c>
      <c r="D12224" s="22" t="str">
        <f>HYPERLINK("https://rhld.insurance.arkansas.gov/NPILookup?Npi=1982717138","1982717138")</f>
        <v>1982717138</v>
      </c>
      <c r="E12224" s="1" t="s">
        <v>20869</v>
      </c>
      <c r="F12224" s="2"/>
      <c r="G12224" s="2"/>
      <c r="H12224" s="2"/>
    </row>
    <row r="12225" spans="1:8" x14ac:dyDescent="0.25">
      <c r="A12225" s="1"/>
      <c r="B12225" s="1" t="s">
        <v>5676</v>
      </c>
      <c r="C12225" s="1" t="s">
        <v>5677</v>
      </c>
      <c r="D12225" s="22" t="str">
        <f>HYPERLINK("https://rhld.insurance.arkansas.gov/NPILookup?Npi=1982823217","1982823217")</f>
        <v>1982823217</v>
      </c>
      <c r="E12225" s="1" t="s">
        <v>20870</v>
      </c>
      <c r="F12225" s="2"/>
      <c r="G12225" s="2"/>
      <c r="H12225" s="2"/>
    </row>
    <row r="12226" spans="1:8" x14ac:dyDescent="0.25">
      <c r="A12226" s="1"/>
      <c r="B12226" s="1" t="s">
        <v>5676</v>
      </c>
      <c r="C12226" s="1" t="s">
        <v>5677</v>
      </c>
      <c r="D12226" s="22" t="str">
        <f>HYPERLINK("https://rhld.insurance.arkansas.gov/NPILookup?Npi=1992117089","1992117089")</f>
        <v>1992117089</v>
      </c>
      <c r="E12226" s="1" t="s">
        <v>31780</v>
      </c>
      <c r="F12226" s="2"/>
      <c r="G12226" s="2"/>
      <c r="H12226" s="2"/>
    </row>
    <row r="12227" spans="1:8" x14ac:dyDescent="0.25">
      <c r="A12227" s="1"/>
      <c r="B12227" s="1" t="s">
        <v>5676</v>
      </c>
      <c r="C12227" s="1" t="s">
        <v>5677</v>
      </c>
      <c r="D12227" s="22" t="str">
        <f>HYPERLINK("https://rhld.insurance.arkansas.gov/NPILookup?Npi=1992762629","1992762629")</f>
        <v>1992762629</v>
      </c>
      <c r="E12227" s="1" t="s">
        <v>5780</v>
      </c>
      <c r="F12227" s="2"/>
      <c r="G12227" s="2"/>
      <c r="H12227" s="2"/>
    </row>
    <row r="12228" spans="1:8" x14ac:dyDescent="0.25">
      <c r="A12228" s="1"/>
      <c r="B12228" s="1" t="s">
        <v>5676</v>
      </c>
      <c r="C12228" s="1" t="s">
        <v>5677</v>
      </c>
      <c r="D12228" s="22" t="str">
        <f>HYPERLINK("https://rhld.insurance.arkansas.gov/NPILookup?Npi=1992780738","1992780738")</f>
        <v>1992780738</v>
      </c>
      <c r="E12228" s="1" t="s">
        <v>5781</v>
      </c>
      <c r="F12228" s="2"/>
      <c r="G12228" s="2"/>
      <c r="H12228" s="2"/>
    </row>
    <row r="12229" spans="1:8" x14ac:dyDescent="0.25">
      <c r="A12229" s="1"/>
      <c r="B12229" s="1" t="s">
        <v>5676</v>
      </c>
      <c r="C12229" s="1" t="s">
        <v>5677</v>
      </c>
      <c r="D12229" s="22" t="str">
        <f>HYPERLINK("https://rhld.insurance.arkansas.gov/NPILookup?Npi=1992799555","1992799555")</f>
        <v>1992799555</v>
      </c>
      <c r="E12229" s="1" t="s">
        <v>20871</v>
      </c>
      <c r="F12229" s="2"/>
      <c r="G12229" s="2"/>
      <c r="H12229" s="2"/>
    </row>
    <row r="12230" spans="1:8" x14ac:dyDescent="0.25">
      <c r="A12230" s="1"/>
      <c r="B12230" s="1" t="s">
        <v>5676</v>
      </c>
      <c r="C12230" s="1" t="s">
        <v>5677</v>
      </c>
      <c r="D12230" s="22" t="str">
        <f>HYPERLINK("https://rhld.insurance.arkansas.gov/NPILookup?Npi=1992924229","1992924229")</f>
        <v>1992924229</v>
      </c>
      <c r="E12230" s="1" t="s">
        <v>20872</v>
      </c>
      <c r="F12230" s="2"/>
      <c r="G12230" s="2"/>
      <c r="H12230" s="2"/>
    </row>
    <row r="12231" spans="1:8" x14ac:dyDescent="0.25">
      <c r="A12231" s="1"/>
      <c r="B12231" s="1" t="s">
        <v>5676</v>
      </c>
      <c r="C12231" s="1" t="s">
        <v>5677</v>
      </c>
      <c r="D12231" s="22" t="str">
        <f>HYPERLINK("https://rhld.insurance.arkansas.gov/NPILookup?Npi=1992966295","1992966295")</f>
        <v>1992966295</v>
      </c>
      <c r="E12231" s="1" t="s">
        <v>20873</v>
      </c>
      <c r="F12231" s="2"/>
      <c r="G12231" s="2"/>
      <c r="H12231" s="2"/>
    </row>
    <row r="12232" spans="1:8" x14ac:dyDescent="0.25">
      <c r="A12232" s="1"/>
      <c r="B12232" s="1" t="s">
        <v>5782</v>
      </c>
      <c r="C12232" s="1" t="s">
        <v>5783</v>
      </c>
      <c r="D12232" s="22" t="str">
        <f>HYPERLINK("https://rhld.insurance.arkansas.gov/NPILookup?Npi=1003005687","1003005687")</f>
        <v>1003005687</v>
      </c>
      <c r="E12232" s="1" t="s">
        <v>20874</v>
      </c>
      <c r="F12232" s="2"/>
      <c r="G12232" s="2"/>
      <c r="H12232" s="2"/>
    </row>
    <row r="12233" spans="1:8" x14ac:dyDescent="0.25">
      <c r="A12233" s="1"/>
      <c r="B12233" s="1" t="s">
        <v>5782</v>
      </c>
      <c r="C12233" s="1" t="s">
        <v>5783</v>
      </c>
      <c r="D12233" s="22" t="str">
        <f>HYPERLINK("https://rhld.insurance.arkansas.gov/NPILookup?Npi=1003027061","1003027061")</f>
        <v>1003027061</v>
      </c>
      <c r="E12233" s="1" t="s">
        <v>20875</v>
      </c>
      <c r="F12233" s="2"/>
      <c r="G12233" s="2"/>
      <c r="H12233" s="2"/>
    </row>
    <row r="12234" spans="1:8" x14ac:dyDescent="0.25">
      <c r="A12234" s="1"/>
      <c r="B12234" s="1" t="s">
        <v>5782</v>
      </c>
      <c r="C12234" s="1" t="s">
        <v>5783</v>
      </c>
      <c r="D12234" s="22" t="str">
        <f>HYPERLINK("https://rhld.insurance.arkansas.gov/NPILookup?Npi=1003036302","1003036302")</f>
        <v>1003036302</v>
      </c>
      <c r="E12234" s="1" t="s">
        <v>20876</v>
      </c>
      <c r="F12234" s="2"/>
      <c r="G12234" s="2"/>
      <c r="H12234" s="2"/>
    </row>
    <row r="12235" spans="1:8" x14ac:dyDescent="0.25">
      <c r="A12235" s="1"/>
      <c r="B12235" s="1" t="s">
        <v>5782</v>
      </c>
      <c r="C12235" s="1" t="s">
        <v>5783</v>
      </c>
      <c r="D12235" s="22" t="str">
        <f>HYPERLINK("https://rhld.insurance.arkansas.gov/NPILookup?Npi=1003042540","1003042540")</f>
        <v>1003042540</v>
      </c>
      <c r="E12235" s="1" t="s">
        <v>11393</v>
      </c>
      <c r="F12235" s="2"/>
      <c r="G12235" s="2"/>
      <c r="H12235" s="2"/>
    </row>
    <row r="12236" spans="1:8" x14ac:dyDescent="0.25">
      <c r="A12236" s="1"/>
      <c r="B12236" s="1" t="s">
        <v>5782</v>
      </c>
      <c r="C12236" s="1" t="s">
        <v>5783</v>
      </c>
      <c r="D12236" s="22" t="str">
        <f>HYPERLINK("https://rhld.insurance.arkansas.gov/NPILookup?Npi=1003056938","1003056938")</f>
        <v>1003056938</v>
      </c>
      <c r="E12236" s="1" t="s">
        <v>11394</v>
      </c>
      <c r="F12236" s="2"/>
      <c r="G12236" s="2"/>
      <c r="H12236" s="2"/>
    </row>
    <row r="12237" spans="1:8" x14ac:dyDescent="0.25">
      <c r="A12237" s="1"/>
      <c r="B12237" s="1" t="s">
        <v>5782</v>
      </c>
      <c r="C12237" s="1" t="s">
        <v>5783</v>
      </c>
      <c r="D12237" s="22" t="str">
        <f>HYPERLINK("https://rhld.insurance.arkansas.gov/NPILookup?Npi=1003058850","1003058850")</f>
        <v>1003058850</v>
      </c>
      <c r="E12237" s="1" t="s">
        <v>20877</v>
      </c>
      <c r="F12237" s="2"/>
      <c r="G12237" s="2"/>
      <c r="H12237" s="2"/>
    </row>
    <row r="12238" spans="1:8" x14ac:dyDescent="0.25">
      <c r="A12238" s="1"/>
      <c r="B12238" s="1" t="s">
        <v>5782</v>
      </c>
      <c r="C12238" s="1" t="s">
        <v>5783</v>
      </c>
      <c r="D12238" s="22" t="str">
        <f>HYPERLINK("https://rhld.insurance.arkansas.gov/NPILookup?Npi=1003064460","1003064460")</f>
        <v>1003064460</v>
      </c>
      <c r="E12238" s="1" t="s">
        <v>20878</v>
      </c>
      <c r="F12238" s="2"/>
      <c r="G12238" s="2"/>
      <c r="H12238" s="2"/>
    </row>
    <row r="12239" spans="1:8" x14ac:dyDescent="0.25">
      <c r="A12239" s="1"/>
      <c r="B12239" s="1" t="s">
        <v>5782</v>
      </c>
      <c r="C12239" s="1" t="s">
        <v>5783</v>
      </c>
      <c r="D12239" s="22" t="str">
        <f>HYPERLINK("https://rhld.insurance.arkansas.gov/NPILookup?Npi=1003095415","1003095415")</f>
        <v>1003095415</v>
      </c>
      <c r="E12239" s="1" t="s">
        <v>391</v>
      </c>
      <c r="F12239" s="2"/>
      <c r="G12239" s="2"/>
      <c r="H12239" s="2"/>
    </row>
    <row r="12240" spans="1:8" x14ac:dyDescent="0.25">
      <c r="A12240" s="1"/>
      <c r="B12240" s="1" t="s">
        <v>5782</v>
      </c>
      <c r="C12240" s="1" t="s">
        <v>5783</v>
      </c>
      <c r="D12240" s="22" t="str">
        <f>HYPERLINK("https://rhld.insurance.arkansas.gov/NPILookup?Npi=1003110420","1003110420")</f>
        <v>1003110420</v>
      </c>
      <c r="E12240" s="1" t="s">
        <v>3251</v>
      </c>
      <c r="F12240" s="2"/>
      <c r="G12240" s="2"/>
      <c r="H12240" s="2"/>
    </row>
    <row r="12241" spans="1:8" x14ac:dyDescent="0.25">
      <c r="A12241" s="1"/>
      <c r="B12241" s="1" t="s">
        <v>5782</v>
      </c>
      <c r="C12241" s="1" t="s">
        <v>5783</v>
      </c>
      <c r="D12241" s="22" t="str">
        <f>HYPERLINK("https://rhld.insurance.arkansas.gov/NPILookup?Npi=1003114943","1003114943")</f>
        <v>1003114943</v>
      </c>
      <c r="E12241" s="1" t="s">
        <v>2873</v>
      </c>
      <c r="F12241" s="2"/>
      <c r="G12241" s="2"/>
      <c r="H12241" s="2"/>
    </row>
    <row r="12242" spans="1:8" x14ac:dyDescent="0.25">
      <c r="A12242" s="1"/>
      <c r="B12242" s="1" t="s">
        <v>5782</v>
      </c>
      <c r="C12242" s="1" t="s">
        <v>5783</v>
      </c>
      <c r="D12242" s="22" t="str">
        <f>HYPERLINK("https://rhld.insurance.arkansas.gov/NPILookup?Npi=1003117227","1003117227")</f>
        <v>1003117227</v>
      </c>
      <c r="E12242" s="1" t="s">
        <v>20879</v>
      </c>
      <c r="F12242" s="2"/>
      <c r="G12242" s="2"/>
      <c r="H12242" s="2"/>
    </row>
    <row r="12243" spans="1:8" x14ac:dyDescent="0.25">
      <c r="A12243" s="1"/>
      <c r="B12243" s="1" t="s">
        <v>5782</v>
      </c>
      <c r="C12243" s="1" t="s">
        <v>5783</v>
      </c>
      <c r="D12243" s="22" t="str">
        <f>HYPERLINK("https://rhld.insurance.arkansas.gov/NPILookup?Npi=1003129560","1003129560")</f>
        <v>1003129560</v>
      </c>
      <c r="E12243" s="1" t="s">
        <v>5784</v>
      </c>
      <c r="F12243" s="2"/>
      <c r="G12243" s="2"/>
      <c r="H12243" s="2"/>
    </row>
    <row r="12244" spans="1:8" x14ac:dyDescent="0.25">
      <c r="A12244" s="1"/>
      <c r="B12244" s="1" t="s">
        <v>5782</v>
      </c>
      <c r="C12244" s="1" t="s">
        <v>5783</v>
      </c>
      <c r="D12244" s="22" t="str">
        <f>HYPERLINK("https://rhld.insurance.arkansas.gov/NPILookup?Npi=1003138710","1003138710")</f>
        <v>1003138710</v>
      </c>
      <c r="E12244" s="1" t="s">
        <v>1651</v>
      </c>
      <c r="F12244" s="2"/>
      <c r="G12244" s="2"/>
      <c r="H12244" s="2"/>
    </row>
    <row r="12245" spans="1:8" x14ac:dyDescent="0.25">
      <c r="A12245" s="1"/>
      <c r="B12245" s="1" t="s">
        <v>5782</v>
      </c>
      <c r="C12245" s="1" t="s">
        <v>5783</v>
      </c>
      <c r="D12245" s="22" t="str">
        <f>HYPERLINK("https://rhld.insurance.arkansas.gov/NPILookup?Npi=1003163080","1003163080")</f>
        <v>1003163080</v>
      </c>
      <c r="E12245" s="1" t="s">
        <v>312</v>
      </c>
      <c r="F12245" s="2"/>
      <c r="G12245" s="2"/>
      <c r="H12245" s="2"/>
    </row>
    <row r="12246" spans="1:8" x14ac:dyDescent="0.25">
      <c r="A12246" s="1"/>
      <c r="B12246" s="1" t="s">
        <v>5782</v>
      </c>
      <c r="C12246" s="1" t="s">
        <v>5783</v>
      </c>
      <c r="D12246" s="22" t="str">
        <f>HYPERLINK("https://rhld.insurance.arkansas.gov/NPILookup?Npi=1003173774","1003173774")</f>
        <v>1003173774</v>
      </c>
      <c r="E12246" s="1" t="s">
        <v>20880</v>
      </c>
      <c r="F12246" s="2"/>
      <c r="G12246" s="2"/>
      <c r="H12246" s="2"/>
    </row>
    <row r="12247" spans="1:8" x14ac:dyDescent="0.25">
      <c r="A12247" s="1"/>
      <c r="B12247" s="1" t="s">
        <v>5782</v>
      </c>
      <c r="C12247" s="1" t="s">
        <v>5783</v>
      </c>
      <c r="D12247" s="22" t="str">
        <f>HYPERLINK("https://rhld.insurance.arkansas.gov/NPILookup?Npi=1003192972","1003192972")</f>
        <v>1003192972</v>
      </c>
      <c r="E12247" s="1" t="s">
        <v>779</v>
      </c>
      <c r="F12247" s="2"/>
      <c r="G12247" s="2"/>
      <c r="H12247" s="2"/>
    </row>
    <row r="12248" spans="1:8" x14ac:dyDescent="0.25">
      <c r="A12248" s="1"/>
      <c r="B12248" s="1" t="s">
        <v>5782</v>
      </c>
      <c r="C12248" s="1" t="s">
        <v>5783</v>
      </c>
      <c r="D12248" s="22" t="str">
        <f>HYPERLINK("https://rhld.insurance.arkansas.gov/NPILookup?Npi=1003193822","1003193822")</f>
        <v>1003193822</v>
      </c>
      <c r="E12248" s="1" t="s">
        <v>3171</v>
      </c>
      <c r="F12248" s="2"/>
      <c r="G12248" s="2"/>
      <c r="H12248" s="2"/>
    </row>
    <row r="12249" spans="1:8" x14ac:dyDescent="0.25">
      <c r="A12249" s="1"/>
      <c r="B12249" s="1" t="s">
        <v>5782</v>
      </c>
      <c r="C12249" s="1" t="s">
        <v>5783</v>
      </c>
      <c r="D12249" s="22" t="str">
        <f>HYPERLINK("https://rhld.insurance.arkansas.gov/NPILookup?Npi=1003204496","1003204496")</f>
        <v>1003204496</v>
      </c>
      <c r="E12249" s="1" t="s">
        <v>20881</v>
      </c>
      <c r="F12249" s="2"/>
      <c r="G12249" s="2"/>
      <c r="H12249" s="2"/>
    </row>
    <row r="12250" spans="1:8" x14ac:dyDescent="0.25">
      <c r="A12250" s="1"/>
      <c r="B12250" s="1" t="s">
        <v>5782</v>
      </c>
      <c r="C12250" s="1" t="s">
        <v>5783</v>
      </c>
      <c r="D12250" s="22" t="str">
        <f>HYPERLINK("https://rhld.insurance.arkansas.gov/NPILookup?Npi=1003207242","1003207242")</f>
        <v>1003207242</v>
      </c>
      <c r="E12250" s="1" t="s">
        <v>11396</v>
      </c>
      <c r="F12250" s="2"/>
      <c r="G12250" s="2"/>
      <c r="H12250" s="2"/>
    </row>
    <row r="12251" spans="1:8" x14ac:dyDescent="0.25">
      <c r="A12251" s="1"/>
      <c r="B12251" s="1" t="s">
        <v>5782</v>
      </c>
      <c r="C12251" s="1" t="s">
        <v>5783</v>
      </c>
      <c r="D12251" s="22" t="str">
        <f>HYPERLINK("https://rhld.insurance.arkansas.gov/NPILookup?Npi=1003220906","1003220906")</f>
        <v>1003220906</v>
      </c>
      <c r="E12251" s="1" t="s">
        <v>1312</v>
      </c>
      <c r="F12251" s="2"/>
      <c r="G12251" s="2"/>
      <c r="H12251" s="2"/>
    </row>
    <row r="12252" spans="1:8" x14ac:dyDescent="0.25">
      <c r="A12252" s="1"/>
      <c r="B12252" s="1" t="s">
        <v>5782</v>
      </c>
      <c r="C12252" s="1" t="s">
        <v>5783</v>
      </c>
      <c r="D12252" s="22" t="str">
        <f>HYPERLINK("https://rhld.insurance.arkansas.gov/NPILookup?Npi=1003225301","1003225301")</f>
        <v>1003225301</v>
      </c>
      <c r="E12252" s="1" t="s">
        <v>5785</v>
      </c>
      <c r="F12252" s="2"/>
      <c r="G12252" s="2"/>
      <c r="H12252" s="2"/>
    </row>
    <row r="12253" spans="1:8" x14ac:dyDescent="0.25">
      <c r="A12253" s="1"/>
      <c r="B12253" s="1" t="s">
        <v>5782</v>
      </c>
      <c r="C12253" s="1" t="s">
        <v>5783</v>
      </c>
      <c r="D12253" s="22" t="str">
        <f>HYPERLINK("https://rhld.insurance.arkansas.gov/NPILookup?Npi=1003232141","1003232141")</f>
        <v>1003232141</v>
      </c>
      <c r="E12253" s="1" t="s">
        <v>20882</v>
      </c>
      <c r="F12253" s="2"/>
      <c r="G12253" s="2"/>
      <c r="H12253" s="2"/>
    </row>
    <row r="12254" spans="1:8" x14ac:dyDescent="0.25">
      <c r="A12254" s="1"/>
      <c r="B12254" s="1" t="s">
        <v>5782</v>
      </c>
      <c r="C12254" s="1" t="s">
        <v>5783</v>
      </c>
      <c r="D12254" s="22" t="str">
        <f>HYPERLINK("https://rhld.insurance.arkansas.gov/NPILookup?Npi=1003233693","1003233693")</f>
        <v>1003233693</v>
      </c>
      <c r="E12254" s="1" t="s">
        <v>11397</v>
      </c>
      <c r="F12254" s="2"/>
      <c r="G12254" s="2"/>
      <c r="H12254" s="2"/>
    </row>
    <row r="12255" spans="1:8" x14ac:dyDescent="0.25">
      <c r="A12255" s="1"/>
      <c r="B12255" s="1" t="s">
        <v>5782</v>
      </c>
      <c r="C12255" s="1" t="s">
        <v>5783</v>
      </c>
      <c r="D12255" s="22" t="str">
        <f>HYPERLINK("https://rhld.insurance.arkansas.gov/NPILookup?Npi=1003236340","1003236340")</f>
        <v>1003236340</v>
      </c>
      <c r="E12255" s="1" t="s">
        <v>11398</v>
      </c>
      <c r="F12255" s="2"/>
      <c r="G12255" s="2"/>
      <c r="H12255" s="2"/>
    </row>
    <row r="12256" spans="1:8" x14ac:dyDescent="0.25">
      <c r="A12256" s="1"/>
      <c r="B12256" s="1" t="s">
        <v>5782</v>
      </c>
      <c r="C12256" s="1" t="s">
        <v>5783</v>
      </c>
      <c r="D12256" s="22" t="str">
        <f>HYPERLINK("https://rhld.insurance.arkansas.gov/NPILookup?Npi=1003236837","1003236837")</f>
        <v>1003236837</v>
      </c>
      <c r="E12256" s="1" t="s">
        <v>5786</v>
      </c>
      <c r="F12256" s="2"/>
      <c r="G12256" s="2"/>
      <c r="H12256" s="2"/>
    </row>
    <row r="12257" spans="1:8" x14ac:dyDescent="0.25">
      <c r="A12257" s="1"/>
      <c r="B12257" s="1" t="s">
        <v>5782</v>
      </c>
      <c r="C12257" s="1" t="s">
        <v>5783</v>
      </c>
      <c r="D12257" s="22" t="str">
        <f>HYPERLINK("https://rhld.insurance.arkansas.gov/NPILookup?Npi=1003237900","1003237900")</f>
        <v>1003237900</v>
      </c>
      <c r="E12257" s="1" t="s">
        <v>20883</v>
      </c>
      <c r="F12257" s="2"/>
      <c r="G12257" s="2"/>
      <c r="H12257" s="2"/>
    </row>
    <row r="12258" spans="1:8" x14ac:dyDescent="0.25">
      <c r="A12258" s="1"/>
      <c r="B12258" s="1" t="s">
        <v>5782</v>
      </c>
      <c r="C12258" s="1" t="s">
        <v>5783</v>
      </c>
      <c r="D12258" s="22" t="str">
        <f>HYPERLINK("https://rhld.insurance.arkansas.gov/NPILookup?Npi=1003239849","1003239849")</f>
        <v>1003239849</v>
      </c>
      <c r="E12258" s="1" t="s">
        <v>5285</v>
      </c>
      <c r="F12258" s="2"/>
      <c r="G12258" s="2"/>
      <c r="H12258" s="2"/>
    </row>
    <row r="12259" spans="1:8" x14ac:dyDescent="0.25">
      <c r="A12259" s="1"/>
      <c r="B12259" s="1" t="s">
        <v>5782</v>
      </c>
      <c r="C12259" s="1" t="s">
        <v>5783</v>
      </c>
      <c r="D12259" s="22" t="str">
        <f>HYPERLINK("https://rhld.insurance.arkansas.gov/NPILookup?Npi=1003293556","1003293556")</f>
        <v>1003293556</v>
      </c>
      <c r="E12259" s="1" t="s">
        <v>20884</v>
      </c>
      <c r="F12259" s="2"/>
      <c r="G12259" s="2"/>
      <c r="H12259" s="2"/>
    </row>
    <row r="12260" spans="1:8" x14ac:dyDescent="0.25">
      <c r="A12260" s="1"/>
      <c r="B12260" s="1" t="s">
        <v>5782</v>
      </c>
      <c r="C12260" s="1" t="s">
        <v>5783</v>
      </c>
      <c r="D12260" s="22" t="str">
        <f>HYPERLINK("https://rhld.insurance.arkansas.gov/NPILookup?Npi=1003306853","1003306853")</f>
        <v>1003306853</v>
      </c>
      <c r="E12260" s="1" t="s">
        <v>20885</v>
      </c>
      <c r="F12260" s="2"/>
      <c r="G12260" s="2"/>
      <c r="H12260" s="2"/>
    </row>
    <row r="12261" spans="1:8" x14ac:dyDescent="0.25">
      <c r="A12261" s="1"/>
      <c r="B12261" s="1" t="s">
        <v>5782</v>
      </c>
      <c r="C12261" s="1" t="s">
        <v>5783</v>
      </c>
      <c r="D12261" s="22" t="str">
        <f>HYPERLINK("https://rhld.insurance.arkansas.gov/NPILookup?Npi=1003312497","1003312497")</f>
        <v>1003312497</v>
      </c>
      <c r="E12261" s="1" t="s">
        <v>5787</v>
      </c>
      <c r="F12261" s="2"/>
      <c r="G12261" s="2"/>
      <c r="H12261" s="2"/>
    </row>
    <row r="12262" spans="1:8" x14ac:dyDescent="0.25">
      <c r="A12262" s="1"/>
      <c r="B12262" s="1" t="s">
        <v>5782</v>
      </c>
      <c r="C12262" s="1" t="s">
        <v>5783</v>
      </c>
      <c r="D12262" s="22" t="str">
        <f>HYPERLINK("https://rhld.insurance.arkansas.gov/NPILookup?Npi=1003314196","1003314196")</f>
        <v>1003314196</v>
      </c>
      <c r="E12262" s="1" t="s">
        <v>20886</v>
      </c>
      <c r="F12262" s="2"/>
      <c r="G12262" s="2"/>
      <c r="H12262" s="2"/>
    </row>
    <row r="12263" spans="1:8" x14ac:dyDescent="0.25">
      <c r="A12263" s="1"/>
      <c r="B12263" s="1" t="s">
        <v>5782</v>
      </c>
      <c r="C12263" s="1" t="s">
        <v>5783</v>
      </c>
      <c r="D12263" s="22" t="str">
        <f>HYPERLINK("https://rhld.insurance.arkansas.gov/NPILookup?Npi=1003327677","1003327677")</f>
        <v>1003327677</v>
      </c>
      <c r="E12263" s="1" t="s">
        <v>20887</v>
      </c>
      <c r="F12263" s="2"/>
      <c r="G12263" s="2"/>
      <c r="H12263" s="2"/>
    </row>
    <row r="12264" spans="1:8" x14ac:dyDescent="0.25">
      <c r="A12264" s="1"/>
      <c r="B12264" s="1" t="s">
        <v>5782</v>
      </c>
      <c r="C12264" s="1" t="s">
        <v>5783</v>
      </c>
      <c r="D12264" s="22" t="str">
        <f>HYPERLINK("https://rhld.insurance.arkansas.gov/NPILookup?Npi=1003355488","1003355488")</f>
        <v>1003355488</v>
      </c>
      <c r="E12264" s="1" t="s">
        <v>31781</v>
      </c>
      <c r="F12264" s="2"/>
      <c r="G12264" s="2"/>
      <c r="H12264" s="2"/>
    </row>
    <row r="12265" spans="1:8" x14ac:dyDescent="0.25">
      <c r="A12265" s="1"/>
      <c r="B12265" s="1" t="s">
        <v>5782</v>
      </c>
      <c r="C12265" s="1" t="s">
        <v>5783</v>
      </c>
      <c r="D12265" s="22" t="str">
        <f>HYPERLINK("https://rhld.insurance.arkansas.gov/NPILookup?Npi=1003369950","1003369950")</f>
        <v>1003369950</v>
      </c>
      <c r="E12265" s="1" t="s">
        <v>11401</v>
      </c>
      <c r="F12265" s="2"/>
      <c r="G12265" s="2"/>
      <c r="H12265" s="2"/>
    </row>
    <row r="12266" spans="1:8" x14ac:dyDescent="0.25">
      <c r="A12266" s="1"/>
      <c r="B12266" s="1" t="s">
        <v>5782</v>
      </c>
      <c r="C12266" s="1" t="s">
        <v>5783</v>
      </c>
      <c r="D12266" s="22" t="str">
        <f>HYPERLINK("https://rhld.insurance.arkansas.gov/NPILookup?Npi=1003371709","1003371709")</f>
        <v>1003371709</v>
      </c>
      <c r="E12266" s="1" t="s">
        <v>20888</v>
      </c>
      <c r="F12266" s="2"/>
      <c r="G12266" s="2"/>
      <c r="H12266" s="2"/>
    </row>
    <row r="12267" spans="1:8" x14ac:dyDescent="0.25">
      <c r="A12267" s="1"/>
      <c r="B12267" s="1" t="s">
        <v>5782</v>
      </c>
      <c r="C12267" s="1" t="s">
        <v>5783</v>
      </c>
      <c r="D12267" s="22" t="str">
        <f>HYPERLINK("https://rhld.insurance.arkansas.gov/NPILookup?Npi=1003394602","1003394602")</f>
        <v>1003394602</v>
      </c>
      <c r="E12267" s="1" t="s">
        <v>20889</v>
      </c>
      <c r="F12267" s="2"/>
      <c r="G12267" s="2"/>
      <c r="H12267" s="2"/>
    </row>
    <row r="12268" spans="1:8" x14ac:dyDescent="0.25">
      <c r="A12268" s="1"/>
      <c r="B12268" s="1" t="s">
        <v>5782</v>
      </c>
      <c r="C12268" s="1" t="s">
        <v>5783</v>
      </c>
      <c r="D12268" s="22" t="str">
        <f>HYPERLINK("https://rhld.insurance.arkansas.gov/NPILookup?Npi=1003423740","1003423740")</f>
        <v>1003423740</v>
      </c>
      <c r="E12268" s="1" t="s">
        <v>11402</v>
      </c>
      <c r="F12268" s="2"/>
      <c r="G12268" s="2"/>
      <c r="H12268" s="2"/>
    </row>
    <row r="12269" spans="1:8" x14ac:dyDescent="0.25">
      <c r="A12269" s="1"/>
      <c r="B12269" s="1" t="s">
        <v>5782</v>
      </c>
      <c r="C12269" s="1" t="s">
        <v>5783</v>
      </c>
      <c r="D12269" s="22" t="str">
        <f>HYPERLINK("https://rhld.insurance.arkansas.gov/NPILookup?Npi=1003445214","1003445214")</f>
        <v>1003445214</v>
      </c>
      <c r="E12269" s="1" t="s">
        <v>20890</v>
      </c>
      <c r="F12269" s="2"/>
      <c r="G12269" s="2"/>
      <c r="H12269" s="2"/>
    </row>
    <row r="12270" spans="1:8" x14ac:dyDescent="0.25">
      <c r="A12270" s="1"/>
      <c r="B12270" s="1" t="s">
        <v>5782</v>
      </c>
      <c r="C12270" s="1" t="s">
        <v>5783</v>
      </c>
      <c r="D12270" s="22" t="str">
        <f>HYPERLINK("https://rhld.insurance.arkansas.gov/NPILookup?Npi=1003455833","1003455833")</f>
        <v>1003455833</v>
      </c>
      <c r="E12270" s="1" t="s">
        <v>20891</v>
      </c>
      <c r="F12270" s="2"/>
      <c r="G12270" s="2"/>
      <c r="H12270" s="2"/>
    </row>
    <row r="12271" spans="1:8" x14ac:dyDescent="0.25">
      <c r="A12271" s="1"/>
      <c r="B12271" s="1" t="s">
        <v>5782</v>
      </c>
      <c r="C12271" s="1" t="s">
        <v>5783</v>
      </c>
      <c r="D12271" s="22" t="str">
        <f>HYPERLINK("https://rhld.insurance.arkansas.gov/NPILookup?Npi=1003471673","1003471673")</f>
        <v>1003471673</v>
      </c>
      <c r="E12271" s="1" t="s">
        <v>5788</v>
      </c>
      <c r="F12271" s="2"/>
      <c r="G12271" s="2"/>
      <c r="H12271" s="2"/>
    </row>
    <row r="12272" spans="1:8" x14ac:dyDescent="0.25">
      <c r="A12272" s="1"/>
      <c r="B12272" s="1" t="s">
        <v>5782</v>
      </c>
      <c r="C12272" s="1" t="s">
        <v>5783</v>
      </c>
      <c r="D12272" s="22" t="str">
        <f>HYPERLINK("https://rhld.insurance.arkansas.gov/NPILookup?Npi=1003486986","1003486986")</f>
        <v>1003486986</v>
      </c>
      <c r="E12272" s="1" t="s">
        <v>5789</v>
      </c>
      <c r="F12272" s="2"/>
      <c r="G12272" s="2"/>
      <c r="H12272" s="2"/>
    </row>
    <row r="12273" spans="1:8" x14ac:dyDescent="0.25">
      <c r="A12273" s="1"/>
      <c r="B12273" s="1" t="s">
        <v>5782</v>
      </c>
      <c r="C12273" s="1" t="s">
        <v>5783</v>
      </c>
      <c r="D12273" s="22" t="str">
        <f>HYPERLINK("https://rhld.insurance.arkansas.gov/NPILookup?Npi=1003490384","1003490384")</f>
        <v>1003490384</v>
      </c>
      <c r="E12273" s="1" t="s">
        <v>5321</v>
      </c>
      <c r="F12273" s="2"/>
      <c r="G12273" s="2"/>
      <c r="H12273" s="2"/>
    </row>
    <row r="12274" spans="1:8" x14ac:dyDescent="0.25">
      <c r="A12274" s="1"/>
      <c r="B12274" s="1" t="s">
        <v>5782</v>
      </c>
      <c r="C12274" s="1" t="s">
        <v>5783</v>
      </c>
      <c r="D12274" s="22" t="str">
        <f>HYPERLINK("https://rhld.insurance.arkansas.gov/NPILookup?Npi=1003493636","1003493636")</f>
        <v>1003493636</v>
      </c>
      <c r="E12274" s="1" t="s">
        <v>20892</v>
      </c>
      <c r="F12274" s="2"/>
      <c r="G12274" s="2"/>
      <c r="H12274" s="2"/>
    </row>
    <row r="12275" spans="1:8" x14ac:dyDescent="0.25">
      <c r="A12275" s="1"/>
      <c r="B12275" s="1" t="s">
        <v>5782</v>
      </c>
      <c r="C12275" s="1" t="s">
        <v>5783</v>
      </c>
      <c r="D12275" s="22" t="str">
        <f>HYPERLINK("https://rhld.insurance.arkansas.gov/NPILookup?Npi=1003531518","1003531518")</f>
        <v>1003531518</v>
      </c>
      <c r="E12275" s="1" t="s">
        <v>20893</v>
      </c>
      <c r="F12275" s="2"/>
      <c r="G12275" s="2"/>
      <c r="H12275" s="2"/>
    </row>
    <row r="12276" spans="1:8" x14ac:dyDescent="0.25">
      <c r="A12276" s="1"/>
      <c r="B12276" s="1" t="s">
        <v>5782</v>
      </c>
      <c r="C12276" s="1" t="s">
        <v>5783</v>
      </c>
      <c r="D12276" s="22" t="str">
        <f>HYPERLINK("https://rhld.insurance.arkansas.gov/NPILookup?Npi=1003540014","1003540014")</f>
        <v>1003540014</v>
      </c>
      <c r="E12276" s="1" t="s">
        <v>11403</v>
      </c>
      <c r="F12276" s="2"/>
      <c r="G12276" s="2"/>
      <c r="H12276" s="2"/>
    </row>
    <row r="12277" spans="1:8" x14ac:dyDescent="0.25">
      <c r="A12277" s="1"/>
      <c r="B12277" s="1" t="s">
        <v>5782</v>
      </c>
      <c r="C12277" s="1" t="s">
        <v>5783</v>
      </c>
      <c r="D12277" s="22" t="str">
        <f>HYPERLINK("https://rhld.insurance.arkansas.gov/NPILookup?Npi=1003540725","1003540725")</f>
        <v>1003540725</v>
      </c>
      <c r="E12277" s="1" t="s">
        <v>5790</v>
      </c>
      <c r="F12277" s="2"/>
      <c r="G12277" s="2"/>
      <c r="H12277" s="2"/>
    </row>
    <row r="12278" spans="1:8" x14ac:dyDescent="0.25">
      <c r="A12278" s="1"/>
      <c r="B12278" s="1" t="s">
        <v>5782</v>
      </c>
      <c r="C12278" s="1" t="s">
        <v>5783</v>
      </c>
      <c r="D12278" s="22" t="str">
        <f>HYPERLINK("https://rhld.insurance.arkansas.gov/NPILookup?Npi=1003557109","1003557109")</f>
        <v>1003557109</v>
      </c>
      <c r="E12278" s="1" t="s">
        <v>5791</v>
      </c>
      <c r="F12278" s="2"/>
      <c r="G12278" s="2"/>
      <c r="H12278" s="2"/>
    </row>
    <row r="12279" spans="1:8" x14ac:dyDescent="0.25">
      <c r="A12279" s="1"/>
      <c r="B12279" s="1" t="s">
        <v>5782</v>
      </c>
      <c r="C12279" s="1" t="s">
        <v>5783</v>
      </c>
      <c r="D12279" s="22" t="str">
        <f>HYPERLINK("https://rhld.insurance.arkansas.gov/NPILookup?Npi=1003563032","1003563032")</f>
        <v>1003563032</v>
      </c>
      <c r="E12279" s="1" t="s">
        <v>31782</v>
      </c>
      <c r="F12279" s="2"/>
      <c r="G12279" s="2"/>
      <c r="H12279" s="2"/>
    </row>
    <row r="12280" spans="1:8" x14ac:dyDescent="0.25">
      <c r="A12280" s="1"/>
      <c r="B12280" s="1" t="s">
        <v>5782</v>
      </c>
      <c r="C12280" s="1" t="s">
        <v>5783</v>
      </c>
      <c r="D12280" s="22" t="str">
        <f>HYPERLINK("https://rhld.insurance.arkansas.gov/NPILookup?Npi=1003564154","1003564154")</f>
        <v>1003564154</v>
      </c>
      <c r="E12280" s="1" t="s">
        <v>20894</v>
      </c>
      <c r="F12280" s="2"/>
      <c r="G12280" s="2"/>
      <c r="H12280" s="2"/>
    </row>
    <row r="12281" spans="1:8" x14ac:dyDescent="0.25">
      <c r="A12281" s="1"/>
      <c r="B12281" s="1" t="s">
        <v>5782</v>
      </c>
      <c r="C12281" s="1" t="s">
        <v>5783</v>
      </c>
      <c r="D12281" s="22" t="str">
        <f>HYPERLINK("https://rhld.insurance.arkansas.gov/NPILookup?Npi=1003581950","1003581950")</f>
        <v>1003581950</v>
      </c>
      <c r="E12281" s="1" t="s">
        <v>20895</v>
      </c>
      <c r="F12281" s="2"/>
      <c r="G12281" s="2"/>
      <c r="H12281" s="2"/>
    </row>
    <row r="12282" spans="1:8" x14ac:dyDescent="0.25">
      <c r="A12282" s="1"/>
      <c r="B12282" s="1" t="s">
        <v>5782</v>
      </c>
      <c r="C12282" s="1" t="s">
        <v>5783</v>
      </c>
      <c r="D12282" s="22" t="str">
        <f>HYPERLINK("https://rhld.insurance.arkansas.gov/NPILookup?Npi=1003671074","1003671074")</f>
        <v>1003671074</v>
      </c>
      <c r="E12282" s="1" t="s">
        <v>20896</v>
      </c>
      <c r="F12282" s="2"/>
      <c r="G12282" s="2"/>
      <c r="H12282" s="2"/>
    </row>
    <row r="12283" spans="1:8" x14ac:dyDescent="0.25">
      <c r="A12283" s="1"/>
      <c r="B12283" s="1" t="s">
        <v>5782</v>
      </c>
      <c r="C12283" s="1" t="s">
        <v>5783</v>
      </c>
      <c r="D12283" s="22" t="str">
        <f>HYPERLINK("https://rhld.insurance.arkansas.gov/NPILookup?Npi=1003678988","1003678988")</f>
        <v>1003678988</v>
      </c>
      <c r="E12283" s="1" t="s">
        <v>4808</v>
      </c>
      <c r="F12283" s="2"/>
      <c r="G12283" s="2"/>
      <c r="H12283" s="2"/>
    </row>
    <row r="12284" spans="1:8" x14ac:dyDescent="0.25">
      <c r="A12284" s="1"/>
      <c r="B12284" s="1" t="s">
        <v>5782</v>
      </c>
      <c r="C12284" s="1" t="s">
        <v>5783</v>
      </c>
      <c r="D12284" s="22" t="str">
        <f>HYPERLINK("https://rhld.insurance.arkansas.gov/NPILookup?Npi=1003813957","1003813957")</f>
        <v>1003813957</v>
      </c>
      <c r="E12284" s="1" t="s">
        <v>5792</v>
      </c>
      <c r="F12284" s="2"/>
      <c r="G12284" s="2"/>
      <c r="H12284" s="2"/>
    </row>
    <row r="12285" spans="1:8" x14ac:dyDescent="0.25">
      <c r="A12285" s="1"/>
      <c r="B12285" s="1" t="s">
        <v>5782</v>
      </c>
      <c r="C12285" s="1" t="s">
        <v>5783</v>
      </c>
      <c r="D12285" s="22" t="str">
        <f>HYPERLINK("https://rhld.insurance.arkansas.gov/NPILookup?Npi=1003841115","1003841115")</f>
        <v>1003841115</v>
      </c>
      <c r="E12285" s="1" t="s">
        <v>20897</v>
      </c>
      <c r="F12285" s="2"/>
      <c r="G12285" s="2"/>
      <c r="H12285" s="2"/>
    </row>
    <row r="12286" spans="1:8" x14ac:dyDescent="0.25">
      <c r="A12286" s="1"/>
      <c r="B12286" s="1" t="s">
        <v>5782</v>
      </c>
      <c r="C12286" s="1" t="s">
        <v>5783</v>
      </c>
      <c r="D12286" s="22" t="str">
        <f>HYPERLINK("https://rhld.insurance.arkansas.gov/NPILookup?Npi=1003843277","1003843277")</f>
        <v>1003843277</v>
      </c>
      <c r="E12286" s="1" t="s">
        <v>20898</v>
      </c>
      <c r="F12286" s="2"/>
      <c r="G12286" s="2"/>
      <c r="H12286" s="2"/>
    </row>
    <row r="12287" spans="1:8" x14ac:dyDescent="0.25">
      <c r="A12287" s="1"/>
      <c r="B12287" s="1" t="s">
        <v>5782</v>
      </c>
      <c r="C12287" s="1" t="s">
        <v>5783</v>
      </c>
      <c r="D12287" s="22" t="str">
        <f>HYPERLINK("https://rhld.insurance.arkansas.gov/NPILookup?Npi=1003860362","1003860362")</f>
        <v>1003860362</v>
      </c>
      <c r="E12287" s="1" t="s">
        <v>20899</v>
      </c>
      <c r="F12287" s="2"/>
      <c r="G12287" s="2"/>
      <c r="H12287" s="2"/>
    </row>
    <row r="12288" spans="1:8" x14ac:dyDescent="0.25">
      <c r="A12288" s="1"/>
      <c r="B12288" s="1" t="s">
        <v>5782</v>
      </c>
      <c r="C12288" s="1" t="s">
        <v>5783</v>
      </c>
      <c r="D12288" s="22" t="str">
        <f>HYPERLINK("https://rhld.insurance.arkansas.gov/NPILookup?Npi=1003873985","1003873985")</f>
        <v>1003873985</v>
      </c>
      <c r="E12288" s="1" t="s">
        <v>323</v>
      </c>
      <c r="F12288" s="2"/>
      <c r="G12288" s="2"/>
      <c r="H12288" s="2"/>
    </row>
    <row r="12289" spans="1:8" x14ac:dyDescent="0.25">
      <c r="A12289" s="1"/>
      <c r="B12289" s="1" t="s">
        <v>5782</v>
      </c>
      <c r="C12289" s="1" t="s">
        <v>5783</v>
      </c>
      <c r="D12289" s="22" t="str">
        <f>HYPERLINK("https://rhld.insurance.arkansas.gov/NPILookup?Npi=1003901604","1003901604")</f>
        <v>1003901604</v>
      </c>
      <c r="E12289" s="1" t="s">
        <v>20900</v>
      </c>
      <c r="F12289" s="2"/>
      <c r="G12289" s="2"/>
      <c r="H12289" s="2"/>
    </row>
    <row r="12290" spans="1:8" x14ac:dyDescent="0.25">
      <c r="A12290" s="1"/>
      <c r="B12290" s="1" t="s">
        <v>5782</v>
      </c>
      <c r="C12290" s="1" t="s">
        <v>5783</v>
      </c>
      <c r="D12290" s="22" t="str">
        <f>HYPERLINK("https://rhld.insurance.arkansas.gov/NPILookup?Npi=1003917535","1003917535")</f>
        <v>1003917535</v>
      </c>
      <c r="E12290" s="1" t="s">
        <v>5793</v>
      </c>
      <c r="F12290" s="2"/>
      <c r="G12290" s="2"/>
      <c r="H12290" s="2"/>
    </row>
    <row r="12291" spans="1:8" x14ac:dyDescent="0.25">
      <c r="A12291" s="1"/>
      <c r="B12291" s="1" t="s">
        <v>5782</v>
      </c>
      <c r="C12291" s="1" t="s">
        <v>5783</v>
      </c>
      <c r="D12291" s="22" t="str">
        <f>HYPERLINK("https://rhld.insurance.arkansas.gov/NPILookup?Npi=1003951682","1003951682")</f>
        <v>1003951682</v>
      </c>
      <c r="E12291" s="1" t="s">
        <v>20901</v>
      </c>
      <c r="F12291" s="2"/>
      <c r="G12291" s="2"/>
      <c r="H12291" s="2"/>
    </row>
    <row r="12292" spans="1:8" x14ac:dyDescent="0.25">
      <c r="A12292" s="1"/>
      <c r="B12292" s="1" t="s">
        <v>5782</v>
      </c>
      <c r="C12292" s="1" t="s">
        <v>5783</v>
      </c>
      <c r="D12292" s="22" t="str">
        <f>HYPERLINK("https://rhld.insurance.arkansas.gov/NPILookup?Npi=1003980236","1003980236")</f>
        <v>1003980236</v>
      </c>
      <c r="E12292" s="1" t="s">
        <v>20902</v>
      </c>
      <c r="F12292" s="2"/>
      <c r="G12292" s="2"/>
      <c r="H12292" s="2"/>
    </row>
    <row r="12293" spans="1:8" x14ac:dyDescent="0.25">
      <c r="A12293" s="1"/>
      <c r="B12293" s="1" t="s">
        <v>5782</v>
      </c>
      <c r="C12293" s="1" t="s">
        <v>5783</v>
      </c>
      <c r="D12293" s="22" t="str">
        <f>HYPERLINK("https://rhld.insurance.arkansas.gov/NPILookup?Npi=1003987165","1003987165")</f>
        <v>1003987165</v>
      </c>
      <c r="E12293" s="1" t="s">
        <v>11404</v>
      </c>
      <c r="F12293" s="2"/>
      <c r="G12293" s="2"/>
      <c r="H12293" s="2"/>
    </row>
    <row r="12294" spans="1:8" x14ac:dyDescent="0.25">
      <c r="A12294" s="1"/>
      <c r="B12294" s="1" t="s">
        <v>5782</v>
      </c>
      <c r="C12294" s="1" t="s">
        <v>5783</v>
      </c>
      <c r="D12294" s="22" t="str">
        <f>HYPERLINK("https://rhld.insurance.arkansas.gov/NPILookup?Npi=1013020494","1013020494")</f>
        <v>1013020494</v>
      </c>
      <c r="E12294" s="1" t="s">
        <v>324</v>
      </c>
      <c r="F12294" s="2"/>
      <c r="G12294" s="2"/>
      <c r="H12294" s="2"/>
    </row>
    <row r="12295" spans="1:8" x14ac:dyDescent="0.25">
      <c r="A12295" s="1"/>
      <c r="B12295" s="1" t="s">
        <v>5782</v>
      </c>
      <c r="C12295" s="1" t="s">
        <v>5783</v>
      </c>
      <c r="D12295" s="22" t="str">
        <f>HYPERLINK("https://rhld.insurance.arkansas.gov/NPILookup?Npi=1013024454","1013024454")</f>
        <v>1013024454</v>
      </c>
      <c r="E12295" s="1" t="s">
        <v>5794</v>
      </c>
      <c r="F12295" s="2"/>
      <c r="G12295" s="2"/>
      <c r="H12295" s="2"/>
    </row>
    <row r="12296" spans="1:8" x14ac:dyDescent="0.25">
      <c r="A12296" s="1"/>
      <c r="B12296" s="1" t="s">
        <v>5782</v>
      </c>
      <c r="C12296" s="1" t="s">
        <v>5783</v>
      </c>
      <c r="D12296" s="22" t="str">
        <f>HYPERLINK("https://rhld.insurance.arkansas.gov/NPILookup?Npi=1013032754","1013032754")</f>
        <v>1013032754</v>
      </c>
      <c r="E12296" s="1" t="s">
        <v>1413</v>
      </c>
      <c r="F12296" s="2"/>
      <c r="G12296" s="2"/>
      <c r="H12296" s="2"/>
    </row>
    <row r="12297" spans="1:8" x14ac:dyDescent="0.25">
      <c r="A12297" s="1"/>
      <c r="B12297" s="1" t="s">
        <v>5782</v>
      </c>
      <c r="C12297" s="1" t="s">
        <v>5783</v>
      </c>
      <c r="D12297" s="22" t="str">
        <f>HYPERLINK("https://rhld.insurance.arkansas.gov/NPILookup?Npi=1013033984","1013033984")</f>
        <v>1013033984</v>
      </c>
      <c r="E12297" s="1" t="s">
        <v>20903</v>
      </c>
      <c r="F12297" s="2"/>
      <c r="G12297" s="2"/>
      <c r="H12297" s="2"/>
    </row>
    <row r="12298" spans="1:8" x14ac:dyDescent="0.25">
      <c r="A12298" s="1"/>
      <c r="B12298" s="1" t="s">
        <v>5782</v>
      </c>
      <c r="C12298" s="1" t="s">
        <v>5783</v>
      </c>
      <c r="D12298" s="22" t="str">
        <f>HYPERLINK("https://rhld.insurance.arkansas.gov/NPILookup?Npi=1013041847","1013041847")</f>
        <v>1013041847</v>
      </c>
      <c r="E12298" s="1" t="s">
        <v>20904</v>
      </c>
      <c r="F12298" s="2"/>
      <c r="G12298" s="2"/>
      <c r="H12298" s="2"/>
    </row>
    <row r="12299" spans="1:8" x14ac:dyDescent="0.25">
      <c r="A12299" s="1"/>
      <c r="B12299" s="1" t="s">
        <v>5782</v>
      </c>
      <c r="C12299" s="1" t="s">
        <v>5783</v>
      </c>
      <c r="D12299" s="22" t="str">
        <f>HYPERLINK("https://rhld.insurance.arkansas.gov/NPILookup?Npi=1013043793","1013043793")</f>
        <v>1013043793</v>
      </c>
      <c r="E12299" s="1" t="s">
        <v>20905</v>
      </c>
      <c r="F12299" s="2"/>
      <c r="G12299" s="2"/>
      <c r="H12299" s="2"/>
    </row>
    <row r="12300" spans="1:8" x14ac:dyDescent="0.25">
      <c r="A12300" s="1"/>
      <c r="B12300" s="1" t="s">
        <v>5782</v>
      </c>
      <c r="C12300" s="1" t="s">
        <v>5783</v>
      </c>
      <c r="D12300" s="22" t="str">
        <f>HYPERLINK("https://rhld.insurance.arkansas.gov/NPILookup?Npi=1013047406","1013047406")</f>
        <v>1013047406</v>
      </c>
      <c r="E12300" s="1" t="s">
        <v>20906</v>
      </c>
      <c r="F12300" s="2"/>
      <c r="G12300" s="2"/>
      <c r="H12300" s="2"/>
    </row>
    <row r="12301" spans="1:8" x14ac:dyDescent="0.25">
      <c r="A12301" s="1"/>
      <c r="B12301" s="1" t="s">
        <v>5782</v>
      </c>
      <c r="C12301" s="1" t="s">
        <v>5783</v>
      </c>
      <c r="D12301" s="22" t="str">
        <f>HYPERLINK("https://rhld.insurance.arkansas.gov/NPILookup?Npi=1013051473","1013051473")</f>
        <v>1013051473</v>
      </c>
      <c r="E12301" s="1" t="s">
        <v>20907</v>
      </c>
      <c r="F12301" s="2"/>
      <c r="G12301" s="2"/>
      <c r="H12301" s="2"/>
    </row>
    <row r="12302" spans="1:8" x14ac:dyDescent="0.25">
      <c r="A12302" s="1"/>
      <c r="B12302" s="1" t="s">
        <v>5782</v>
      </c>
      <c r="C12302" s="1" t="s">
        <v>5783</v>
      </c>
      <c r="D12302" s="22" t="str">
        <f>HYPERLINK("https://rhld.insurance.arkansas.gov/NPILookup?Npi=1013055490","1013055490")</f>
        <v>1013055490</v>
      </c>
      <c r="E12302" s="1" t="s">
        <v>735</v>
      </c>
      <c r="F12302" s="2"/>
      <c r="G12302" s="2"/>
      <c r="H12302" s="2"/>
    </row>
    <row r="12303" spans="1:8" x14ac:dyDescent="0.25">
      <c r="A12303" s="1"/>
      <c r="B12303" s="1" t="s">
        <v>5782</v>
      </c>
      <c r="C12303" s="1" t="s">
        <v>5783</v>
      </c>
      <c r="D12303" s="22" t="str">
        <f>HYPERLINK("https://rhld.insurance.arkansas.gov/NPILookup?Npi=1013105964","1013105964")</f>
        <v>1013105964</v>
      </c>
      <c r="E12303" s="1" t="s">
        <v>20908</v>
      </c>
      <c r="F12303" s="2"/>
      <c r="G12303" s="2"/>
      <c r="H12303" s="2"/>
    </row>
    <row r="12304" spans="1:8" x14ac:dyDescent="0.25">
      <c r="A12304" s="1"/>
      <c r="B12304" s="1" t="s">
        <v>5782</v>
      </c>
      <c r="C12304" s="1" t="s">
        <v>5783</v>
      </c>
      <c r="D12304" s="22" t="str">
        <f>HYPERLINK("https://rhld.insurance.arkansas.gov/NPILookup?Npi=1013151372","1013151372")</f>
        <v>1013151372</v>
      </c>
      <c r="E12304" s="1" t="s">
        <v>20909</v>
      </c>
      <c r="F12304" s="2"/>
      <c r="G12304" s="2"/>
      <c r="H12304" s="2"/>
    </row>
    <row r="12305" spans="1:8" x14ac:dyDescent="0.25">
      <c r="A12305" s="1"/>
      <c r="B12305" s="1" t="s">
        <v>5782</v>
      </c>
      <c r="C12305" s="1" t="s">
        <v>5783</v>
      </c>
      <c r="D12305" s="22" t="str">
        <f>HYPERLINK("https://rhld.insurance.arkansas.gov/NPILookup?Npi=1013161892","1013161892")</f>
        <v>1013161892</v>
      </c>
      <c r="E12305" s="1" t="s">
        <v>2452</v>
      </c>
      <c r="F12305" s="2"/>
      <c r="G12305" s="2"/>
      <c r="H12305" s="2"/>
    </row>
    <row r="12306" spans="1:8" x14ac:dyDescent="0.25">
      <c r="A12306" s="1"/>
      <c r="B12306" s="1" t="s">
        <v>5782</v>
      </c>
      <c r="C12306" s="1" t="s">
        <v>5783</v>
      </c>
      <c r="D12306" s="22" t="str">
        <f>HYPERLINK("https://rhld.insurance.arkansas.gov/NPILookup?Npi=1013168442","1013168442")</f>
        <v>1013168442</v>
      </c>
      <c r="E12306" s="1" t="s">
        <v>20910</v>
      </c>
      <c r="F12306" s="2"/>
      <c r="G12306" s="2"/>
      <c r="H12306" s="2"/>
    </row>
    <row r="12307" spans="1:8" x14ac:dyDescent="0.25">
      <c r="A12307" s="1"/>
      <c r="B12307" s="1" t="s">
        <v>5782</v>
      </c>
      <c r="C12307" s="1" t="s">
        <v>5783</v>
      </c>
      <c r="D12307" s="22" t="str">
        <f>HYPERLINK("https://rhld.insurance.arkansas.gov/NPILookup?Npi=1013169176","1013169176")</f>
        <v>1013169176</v>
      </c>
      <c r="E12307" s="1" t="s">
        <v>3172</v>
      </c>
      <c r="F12307" s="2"/>
      <c r="G12307" s="2"/>
      <c r="H12307" s="2"/>
    </row>
    <row r="12308" spans="1:8" x14ac:dyDescent="0.25">
      <c r="A12308" s="1"/>
      <c r="B12308" s="1" t="s">
        <v>5782</v>
      </c>
      <c r="C12308" s="1" t="s">
        <v>5783</v>
      </c>
      <c r="D12308" s="22" t="str">
        <f>HYPERLINK("https://rhld.insurance.arkansas.gov/NPILookup?Npi=1013187202","1013187202")</f>
        <v>1013187202</v>
      </c>
      <c r="E12308" s="1" t="s">
        <v>20911</v>
      </c>
      <c r="F12308" s="2"/>
      <c r="G12308" s="2"/>
      <c r="H12308" s="2"/>
    </row>
    <row r="12309" spans="1:8" x14ac:dyDescent="0.25">
      <c r="A12309" s="1"/>
      <c r="B12309" s="1" t="s">
        <v>5782</v>
      </c>
      <c r="C12309" s="1" t="s">
        <v>5783</v>
      </c>
      <c r="D12309" s="22" t="str">
        <f>HYPERLINK("https://rhld.insurance.arkansas.gov/NPILookup?Npi=1013211424","1013211424")</f>
        <v>1013211424</v>
      </c>
      <c r="E12309" s="1" t="s">
        <v>1889</v>
      </c>
      <c r="F12309" s="2"/>
      <c r="G12309" s="2"/>
      <c r="H12309" s="2"/>
    </row>
    <row r="12310" spans="1:8" x14ac:dyDescent="0.25">
      <c r="A12310" s="1"/>
      <c r="B12310" s="1" t="s">
        <v>5782</v>
      </c>
      <c r="C12310" s="1" t="s">
        <v>5783</v>
      </c>
      <c r="D12310" s="22" t="str">
        <f>HYPERLINK("https://rhld.insurance.arkansas.gov/NPILookup?Npi=1013220011","1013220011")</f>
        <v>1013220011</v>
      </c>
      <c r="E12310" s="1" t="s">
        <v>20912</v>
      </c>
      <c r="F12310" s="2"/>
      <c r="G12310" s="2"/>
      <c r="H12310" s="2"/>
    </row>
    <row r="12311" spans="1:8" x14ac:dyDescent="0.25">
      <c r="A12311" s="1"/>
      <c r="B12311" s="1" t="s">
        <v>5782</v>
      </c>
      <c r="C12311" s="1" t="s">
        <v>5783</v>
      </c>
      <c r="D12311" s="22" t="str">
        <f>HYPERLINK("https://rhld.insurance.arkansas.gov/NPILookup?Npi=1013221258","1013221258")</f>
        <v>1013221258</v>
      </c>
      <c r="E12311" s="1" t="s">
        <v>1243</v>
      </c>
      <c r="F12311" s="2"/>
      <c r="G12311" s="2"/>
      <c r="H12311" s="2"/>
    </row>
    <row r="12312" spans="1:8" x14ac:dyDescent="0.25">
      <c r="A12312" s="1"/>
      <c r="B12312" s="1" t="s">
        <v>5782</v>
      </c>
      <c r="C12312" s="1" t="s">
        <v>5783</v>
      </c>
      <c r="D12312" s="22" t="str">
        <f>HYPERLINK("https://rhld.insurance.arkansas.gov/NPILookup?Npi=1013229046","1013229046")</f>
        <v>1013229046</v>
      </c>
      <c r="E12312" s="1" t="s">
        <v>20913</v>
      </c>
      <c r="F12312" s="2"/>
      <c r="G12312" s="2"/>
      <c r="H12312" s="2"/>
    </row>
    <row r="12313" spans="1:8" x14ac:dyDescent="0.25">
      <c r="A12313" s="1"/>
      <c r="B12313" s="1" t="s">
        <v>5782</v>
      </c>
      <c r="C12313" s="1" t="s">
        <v>5783</v>
      </c>
      <c r="D12313" s="22" t="str">
        <f>HYPERLINK("https://rhld.insurance.arkansas.gov/NPILookup?Npi=1013236033","1013236033")</f>
        <v>1013236033</v>
      </c>
      <c r="E12313" s="1" t="s">
        <v>20914</v>
      </c>
      <c r="F12313" s="2"/>
      <c r="G12313" s="2"/>
      <c r="H12313" s="2"/>
    </row>
    <row r="12314" spans="1:8" x14ac:dyDescent="0.25">
      <c r="A12314" s="1"/>
      <c r="B12314" s="1" t="s">
        <v>5782</v>
      </c>
      <c r="C12314" s="1" t="s">
        <v>5783</v>
      </c>
      <c r="D12314" s="22" t="str">
        <f>HYPERLINK("https://rhld.insurance.arkansas.gov/NPILookup?Npi=1013243179","1013243179")</f>
        <v>1013243179</v>
      </c>
      <c r="E12314" s="1" t="s">
        <v>5795</v>
      </c>
      <c r="F12314" s="2"/>
      <c r="G12314" s="2"/>
      <c r="H12314" s="2"/>
    </row>
    <row r="12315" spans="1:8" x14ac:dyDescent="0.25">
      <c r="A12315" s="1"/>
      <c r="B12315" s="1" t="s">
        <v>5782</v>
      </c>
      <c r="C12315" s="1" t="s">
        <v>5783</v>
      </c>
      <c r="D12315" s="22" t="str">
        <f>HYPERLINK("https://rhld.insurance.arkansas.gov/NPILookup?Npi=1013267384","1013267384")</f>
        <v>1013267384</v>
      </c>
      <c r="E12315" s="1" t="s">
        <v>5796</v>
      </c>
      <c r="F12315" s="2"/>
      <c r="G12315" s="2"/>
      <c r="H12315" s="2"/>
    </row>
    <row r="12316" spans="1:8" x14ac:dyDescent="0.25">
      <c r="A12316" s="1"/>
      <c r="B12316" s="1" t="s">
        <v>5782</v>
      </c>
      <c r="C12316" s="1" t="s">
        <v>5783</v>
      </c>
      <c r="D12316" s="22" t="str">
        <f>HYPERLINK("https://rhld.insurance.arkansas.gov/NPILookup?Npi=1013268531","1013268531")</f>
        <v>1013268531</v>
      </c>
      <c r="E12316" s="1" t="s">
        <v>20915</v>
      </c>
      <c r="F12316" s="2"/>
      <c r="G12316" s="2"/>
      <c r="H12316" s="2"/>
    </row>
    <row r="12317" spans="1:8" x14ac:dyDescent="0.25">
      <c r="A12317" s="1"/>
      <c r="B12317" s="1" t="s">
        <v>5782</v>
      </c>
      <c r="C12317" s="1" t="s">
        <v>5783</v>
      </c>
      <c r="D12317" s="22" t="str">
        <f>HYPERLINK("https://rhld.insurance.arkansas.gov/NPILookup?Npi=1013269133","1013269133")</f>
        <v>1013269133</v>
      </c>
      <c r="E12317" s="1" t="s">
        <v>5797</v>
      </c>
      <c r="F12317" s="2"/>
      <c r="G12317" s="2"/>
      <c r="H12317" s="2"/>
    </row>
    <row r="12318" spans="1:8" x14ac:dyDescent="0.25">
      <c r="A12318" s="1"/>
      <c r="B12318" s="1" t="s">
        <v>5782</v>
      </c>
      <c r="C12318" s="1" t="s">
        <v>5783</v>
      </c>
      <c r="D12318" s="22" t="str">
        <f>HYPERLINK("https://rhld.insurance.arkansas.gov/NPILookup?Npi=1013296300","1013296300")</f>
        <v>1013296300</v>
      </c>
      <c r="E12318" s="1" t="s">
        <v>20916</v>
      </c>
      <c r="F12318" s="2"/>
      <c r="G12318" s="2"/>
      <c r="H12318" s="2"/>
    </row>
    <row r="12319" spans="1:8" x14ac:dyDescent="0.25">
      <c r="A12319" s="1"/>
      <c r="B12319" s="1" t="s">
        <v>5782</v>
      </c>
      <c r="C12319" s="1" t="s">
        <v>5783</v>
      </c>
      <c r="D12319" s="22" t="str">
        <f>HYPERLINK("https://rhld.insurance.arkansas.gov/NPILookup?Npi=1013313279","1013313279")</f>
        <v>1013313279</v>
      </c>
      <c r="E12319" s="1" t="s">
        <v>20917</v>
      </c>
      <c r="F12319" s="2"/>
      <c r="G12319" s="2"/>
      <c r="H12319" s="2"/>
    </row>
    <row r="12320" spans="1:8" x14ac:dyDescent="0.25">
      <c r="A12320" s="1"/>
      <c r="B12320" s="1" t="s">
        <v>5782</v>
      </c>
      <c r="C12320" s="1" t="s">
        <v>5783</v>
      </c>
      <c r="D12320" s="22" t="str">
        <f>HYPERLINK("https://rhld.insurance.arkansas.gov/NPILookup?Npi=1013316645","1013316645")</f>
        <v>1013316645</v>
      </c>
      <c r="E12320" s="1" t="s">
        <v>20918</v>
      </c>
      <c r="F12320" s="2"/>
      <c r="G12320" s="2"/>
      <c r="H12320" s="2"/>
    </row>
    <row r="12321" spans="1:8" x14ac:dyDescent="0.25">
      <c r="A12321" s="1"/>
      <c r="B12321" s="1" t="s">
        <v>5782</v>
      </c>
      <c r="C12321" s="1" t="s">
        <v>5783</v>
      </c>
      <c r="D12321" s="22" t="str">
        <f>HYPERLINK("https://rhld.insurance.arkansas.gov/NPILookup?Npi=1013317155","1013317155")</f>
        <v>1013317155</v>
      </c>
      <c r="E12321" s="1" t="s">
        <v>5798</v>
      </c>
      <c r="F12321" s="2"/>
      <c r="G12321" s="2"/>
      <c r="H12321" s="2"/>
    </row>
    <row r="12322" spans="1:8" x14ac:dyDescent="0.25">
      <c r="A12322" s="1"/>
      <c r="B12322" s="1" t="s">
        <v>5782</v>
      </c>
      <c r="C12322" s="1" t="s">
        <v>5783</v>
      </c>
      <c r="D12322" s="22" t="str">
        <f>HYPERLINK("https://rhld.insurance.arkansas.gov/NPILookup?Npi=1013341346","1013341346")</f>
        <v>1013341346</v>
      </c>
      <c r="E12322" s="1" t="s">
        <v>20919</v>
      </c>
      <c r="F12322" s="2"/>
      <c r="G12322" s="2"/>
      <c r="H12322" s="2"/>
    </row>
    <row r="12323" spans="1:8" x14ac:dyDescent="0.25">
      <c r="A12323" s="1"/>
      <c r="B12323" s="1" t="s">
        <v>5782</v>
      </c>
      <c r="C12323" s="1" t="s">
        <v>5783</v>
      </c>
      <c r="D12323" s="22" t="str">
        <f>HYPERLINK("https://rhld.insurance.arkansas.gov/NPILookup?Npi=1013347798","1013347798")</f>
        <v>1013347798</v>
      </c>
      <c r="E12323" s="1" t="s">
        <v>11406</v>
      </c>
      <c r="F12323" s="2"/>
      <c r="G12323" s="2"/>
      <c r="H12323" s="2"/>
    </row>
    <row r="12324" spans="1:8" x14ac:dyDescent="0.25">
      <c r="A12324" s="1"/>
      <c r="B12324" s="1" t="s">
        <v>5782</v>
      </c>
      <c r="C12324" s="1" t="s">
        <v>5783</v>
      </c>
      <c r="D12324" s="22" t="str">
        <f>HYPERLINK("https://rhld.insurance.arkansas.gov/NPILookup?Npi=1013349208","1013349208")</f>
        <v>1013349208</v>
      </c>
      <c r="E12324" s="1" t="s">
        <v>20920</v>
      </c>
      <c r="F12324" s="2"/>
      <c r="G12324" s="2"/>
      <c r="H12324" s="2"/>
    </row>
    <row r="12325" spans="1:8" x14ac:dyDescent="0.25">
      <c r="A12325" s="1"/>
      <c r="B12325" s="1" t="s">
        <v>5782</v>
      </c>
      <c r="C12325" s="1" t="s">
        <v>5783</v>
      </c>
      <c r="D12325" s="22" t="str">
        <f>HYPERLINK("https://rhld.insurance.arkansas.gov/NPILookup?Npi=1013358522","1013358522")</f>
        <v>1013358522</v>
      </c>
      <c r="E12325" s="1" t="s">
        <v>11407</v>
      </c>
      <c r="F12325" s="2"/>
      <c r="G12325" s="2"/>
      <c r="H12325" s="2"/>
    </row>
    <row r="12326" spans="1:8" x14ac:dyDescent="0.25">
      <c r="A12326" s="1"/>
      <c r="B12326" s="1" t="s">
        <v>5782</v>
      </c>
      <c r="C12326" s="1" t="s">
        <v>5783</v>
      </c>
      <c r="D12326" s="22" t="str">
        <f>HYPERLINK("https://rhld.insurance.arkansas.gov/NPILookup?Npi=1013366459","1013366459")</f>
        <v>1013366459</v>
      </c>
      <c r="E12326" s="1" t="s">
        <v>5799</v>
      </c>
      <c r="F12326" s="2"/>
      <c r="G12326" s="2"/>
      <c r="H12326" s="2"/>
    </row>
    <row r="12327" spans="1:8" x14ac:dyDescent="0.25">
      <c r="A12327" s="1"/>
      <c r="B12327" s="1" t="s">
        <v>5782</v>
      </c>
      <c r="C12327" s="1" t="s">
        <v>5783</v>
      </c>
      <c r="D12327" s="22" t="str">
        <f>HYPERLINK("https://rhld.insurance.arkansas.gov/NPILookup?Npi=1013367754","1013367754")</f>
        <v>1013367754</v>
      </c>
      <c r="E12327" s="1" t="s">
        <v>5800</v>
      </c>
      <c r="F12327" s="2"/>
      <c r="G12327" s="2"/>
      <c r="H12327" s="2"/>
    </row>
    <row r="12328" spans="1:8" x14ac:dyDescent="0.25">
      <c r="A12328" s="1"/>
      <c r="B12328" s="1" t="s">
        <v>5782</v>
      </c>
      <c r="C12328" s="1" t="s">
        <v>5783</v>
      </c>
      <c r="D12328" s="22" t="str">
        <f>HYPERLINK("https://rhld.insurance.arkansas.gov/NPILookup?Npi=1013369404","1013369404")</f>
        <v>1013369404</v>
      </c>
      <c r="E12328" s="1" t="s">
        <v>20921</v>
      </c>
      <c r="F12328" s="2"/>
      <c r="G12328" s="2"/>
      <c r="H12328" s="2"/>
    </row>
    <row r="12329" spans="1:8" x14ac:dyDescent="0.25">
      <c r="A12329" s="1"/>
      <c r="B12329" s="1" t="s">
        <v>5782</v>
      </c>
      <c r="C12329" s="1" t="s">
        <v>5783</v>
      </c>
      <c r="D12329" s="22" t="str">
        <f>HYPERLINK("https://rhld.insurance.arkansas.gov/NPILookup?Npi=1013375179","1013375179")</f>
        <v>1013375179</v>
      </c>
      <c r="E12329" s="1" t="s">
        <v>2034</v>
      </c>
      <c r="F12329" s="2"/>
      <c r="G12329" s="2"/>
      <c r="H12329" s="2"/>
    </row>
    <row r="12330" spans="1:8" x14ac:dyDescent="0.25">
      <c r="A12330" s="1"/>
      <c r="B12330" s="1" t="s">
        <v>5782</v>
      </c>
      <c r="C12330" s="1" t="s">
        <v>5783</v>
      </c>
      <c r="D12330" s="22" t="str">
        <f>HYPERLINK("https://rhld.insurance.arkansas.gov/NPILookup?Npi=1013380930","1013380930")</f>
        <v>1013380930</v>
      </c>
      <c r="E12330" s="1" t="s">
        <v>1652</v>
      </c>
      <c r="F12330" s="2"/>
      <c r="G12330" s="2"/>
      <c r="H12330" s="2"/>
    </row>
    <row r="12331" spans="1:8" x14ac:dyDescent="0.25">
      <c r="A12331" s="1"/>
      <c r="B12331" s="1" t="s">
        <v>5782</v>
      </c>
      <c r="C12331" s="1" t="s">
        <v>5783</v>
      </c>
      <c r="D12331" s="22" t="str">
        <f>HYPERLINK("https://rhld.insurance.arkansas.gov/NPILookup?Npi=1013408137","1013408137")</f>
        <v>1013408137</v>
      </c>
      <c r="E12331" s="1" t="s">
        <v>20922</v>
      </c>
      <c r="F12331" s="2"/>
      <c r="G12331" s="2"/>
      <c r="H12331" s="2"/>
    </row>
    <row r="12332" spans="1:8" x14ac:dyDescent="0.25">
      <c r="A12332" s="1"/>
      <c r="B12332" s="1" t="s">
        <v>5782</v>
      </c>
      <c r="C12332" s="1" t="s">
        <v>5783</v>
      </c>
      <c r="D12332" s="22" t="str">
        <f>HYPERLINK("https://rhld.insurance.arkansas.gov/NPILookup?Npi=1013408715","1013408715")</f>
        <v>1013408715</v>
      </c>
      <c r="E12332" s="1" t="s">
        <v>20923</v>
      </c>
      <c r="F12332" s="2"/>
      <c r="G12332" s="2"/>
      <c r="H12332" s="2"/>
    </row>
    <row r="12333" spans="1:8" x14ac:dyDescent="0.25">
      <c r="A12333" s="1"/>
      <c r="B12333" s="1" t="s">
        <v>5782</v>
      </c>
      <c r="C12333" s="1" t="s">
        <v>5783</v>
      </c>
      <c r="D12333" s="22" t="str">
        <f>HYPERLINK("https://rhld.insurance.arkansas.gov/NPILookup?Npi=1013416601","1013416601")</f>
        <v>1013416601</v>
      </c>
      <c r="E12333" s="1" t="s">
        <v>11408</v>
      </c>
      <c r="F12333" s="2"/>
      <c r="G12333" s="2"/>
      <c r="H12333" s="2"/>
    </row>
    <row r="12334" spans="1:8" x14ac:dyDescent="0.25">
      <c r="A12334" s="1"/>
      <c r="B12334" s="1" t="s">
        <v>5782</v>
      </c>
      <c r="C12334" s="1" t="s">
        <v>5783</v>
      </c>
      <c r="D12334" s="22" t="str">
        <f>HYPERLINK("https://rhld.insurance.arkansas.gov/NPILookup?Npi=1013421130","1013421130")</f>
        <v>1013421130</v>
      </c>
      <c r="E12334" s="1" t="s">
        <v>5801</v>
      </c>
      <c r="F12334" s="2"/>
      <c r="G12334" s="2"/>
      <c r="H12334" s="2"/>
    </row>
    <row r="12335" spans="1:8" x14ac:dyDescent="0.25">
      <c r="A12335" s="1"/>
      <c r="B12335" s="1" t="s">
        <v>5782</v>
      </c>
      <c r="C12335" s="1" t="s">
        <v>5783</v>
      </c>
      <c r="D12335" s="22" t="str">
        <f>HYPERLINK("https://rhld.insurance.arkansas.gov/NPILookup?Npi=1013429190","1013429190")</f>
        <v>1013429190</v>
      </c>
      <c r="E12335" s="1" t="s">
        <v>20924</v>
      </c>
      <c r="F12335" s="2"/>
      <c r="G12335" s="2"/>
      <c r="H12335" s="2"/>
    </row>
    <row r="12336" spans="1:8" x14ac:dyDescent="0.25">
      <c r="A12336" s="1"/>
      <c r="B12336" s="1" t="s">
        <v>5782</v>
      </c>
      <c r="C12336" s="1" t="s">
        <v>5783</v>
      </c>
      <c r="D12336" s="22" t="str">
        <f>HYPERLINK("https://rhld.insurance.arkansas.gov/NPILookup?Npi=1013445055","1013445055")</f>
        <v>1013445055</v>
      </c>
      <c r="E12336" s="1" t="s">
        <v>31783</v>
      </c>
      <c r="F12336" s="2"/>
      <c r="G12336" s="2"/>
      <c r="H12336" s="2"/>
    </row>
    <row r="12337" spans="1:8" x14ac:dyDescent="0.25">
      <c r="A12337" s="1"/>
      <c r="B12337" s="1" t="s">
        <v>5782</v>
      </c>
      <c r="C12337" s="1" t="s">
        <v>5783</v>
      </c>
      <c r="D12337" s="22" t="str">
        <f>HYPERLINK("https://rhld.insurance.arkansas.gov/NPILookup?Npi=1013446616","1013446616")</f>
        <v>1013446616</v>
      </c>
      <c r="E12337" s="1" t="s">
        <v>20925</v>
      </c>
      <c r="F12337" s="2"/>
      <c r="G12337" s="2"/>
      <c r="H12337" s="2"/>
    </row>
    <row r="12338" spans="1:8" x14ac:dyDescent="0.25">
      <c r="A12338" s="1"/>
      <c r="B12338" s="1" t="s">
        <v>5782</v>
      </c>
      <c r="C12338" s="1" t="s">
        <v>5783</v>
      </c>
      <c r="D12338" s="22" t="str">
        <f>HYPERLINK("https://rhld.insurance.arkansas.gov/NPILookup?Npi=1013450030","1013450030")</f>
        <v>1013450030</v>
      </c>
      <c r="E12338" s="1" t="s">
        <v>5802</v>
      </c>
      <c r="F12338" s="2"/>
      <c r="G12338" s="2"/>
      <c r="H12338" s="2"/>
    </row>
    <row r="12339" spans="1:8" x14ac:dyDescent="0.25">
      <c r="A12339" s="1"/>
      <c r="B12339" s="1" t="s">
        <v>5782</v>
      </c>
      <c r="C12339" s="1" t="s">
        <v>5783</v>
      </c>
      <c r="D12339" s="22" t="str">
        <f>HYPERLINK("https://rhld.insurance.arkansas.gov/NPILookup?Npi=1013451830","1013451830")</f>
        <v>1013451830</v>
      </c>
      <c r="E12339" s="1" t="s">
        <v>5803</v>
      </c>
      <c r="F12339" s="2"/>
      <c r="G12339" s="2"/>
      <c r="H12339" s="2"/>
    </row>
    <row r="12340" spans="1:8" x14ac:dyDescent="0.25">
      <c r="A12340" s="1"/>
      <c r="B12340" s="1" t="s">
        <v>5782</v>
      </c>
      <c r="C12340" s="1" t="s">
        <v>5783</v>
      </c>
      <c r="D12340" s="22" t="str">
        <f>HYPERLINK("https://rhld.insurance.arkansas.gov/NPILookup?Npi=1013461607","1013461607")</f>
        <v>1013461607</v>
      </c>
      <c r="E12340" s="1" t="s">
        <v>20926</v>
      </c>
      <c r="F12340" s="2"/>
      <c r="G12340" s="2"/>
      <c r="H12340" s="2"/>
    </row>
    <row r="12341" spans="1:8" x14ac:dyDescent="0.25">
      <c r="A12341" s="1"/>
      <c r="B12341" s="1" t="s">
        <v>5782</v>
      </c>
      <c r="C12341" s="1" t="s">
        <v>5783</v>
      </c>
      <c r="D12341" s="22" t="str">
        <f>HYPERLINK("https://rhld.insurance.arkansas.gov/NPILookup?Npi=1013465301","1013465301")</f>
        <v>1013465301</v>
      </c>
      <c r="E12341" s="1" t="s">
        <v>20927</v>
      </c>
      <c r="F12341" s="2"/>
      <c r="G12341" s="2"/>
      <c r="H12341" s="2"/>
    </row>
    <row r="12342" spans="1:8" x14ac:dyDescent="0.25">
      <c r="A12342" s="1"/>
      <c r="B12342" s="1" t="s">
        <v>5782</v>
      </c>
      <c r="C12342" s="1" t="s">
        <v>5783</v>
      </c>
      <c r="D12342" s="22" t="str">
        <f>HYPERLINK("https://rhld.insurance.arkansas.gov/NPILookup?Npi=1013483700","1013483700")</f>
        <v>1013483700</v>
      </c>
      <c r="E12342" s="1" t="s">
        <v>1739</v>
      </c>
      <c r="F12342" s="2"/>
      <c r="G12342" s="2"/>
      <c r="H12342" s="2"/>
    </row>
    <row r="12343" spans="1:8" x14ac:dyDescent="0.25">
      <c r="A12343" s="1"/>
      <c r="B12343" s="1" t="s">
        <v>5782</v>
      </c>
      <c r="C12343" s="1" t="s">
        <v>5783</v>
      </c>
      <c r="D12343" s="22" t="str">
        <f>HYPERLINK("https://rhld.insurance.arkansas.gov/NPILookup?Npi=1013492511","1013492511")</f>
        <v>1013492511</v>
      </c>
      <c r="E12343" s="1" t="s">
        <v>20928</v>
      </c>
      <c r="F12343" s="2"/>
      <c r="G12343" s="2"/>
      <c r="H12343" s="2"/>
    </row>
    <row r="12344" spans="1:8" x14ac:dyDescent="0.25">
      <c r="A12344" s="1"/>
      <c r="B12344" s="1" t="s">
        <v>5782</v>
      </c>
      <c r="C12344" s="1" t="s">
        <v>5783</v>
      </c>
      <c r="D12344" s="22" t="str">
        <f>HYPERLINK("https://rhld.insurance.arkansas.gov/NPILookup?Npi=1013513423","1013513423")</f>
        <v>1013513423</v>
      </c>
      <c r="E12344" s="1" t="s">
        <v>20929</v>
      </c>
      <c r="F12344" s="2"/>
      <c r="G12344" s="2"/>
      <c r="H12344" s="2"/>
    </row>
    <row r="12345" spans="1:8" x14ac:dyDescent="0.25">
      <c r="A12345" s="1"/>
      <c r="B12345" s="1" t="s">
        <v>5782</v>
      </c>
      <c r="C12345" s="1" t="s">
        <v>5783</v>
      </c>
      <c r="D12345" s="22" t="str">
        <f>HYPERLINK("https://rhld.insurance.arkansas.gov/NPILookup?Npi=1013513894","1013513894")</f>
        <v>1013513894</v>
      </c>
      <c r="E12345" s="1" t="s">
        <v>5804</v>
      </c>
      <c r="F12345" s="2"/>
      <c r="G12345" s="2"/>
      <c r="H12345" s="2"/>
    </row>
    <row r="12346" spans="1:8" x14ac:dyDescent="0.25">
      <c r="A12346" s="1"/>
      <c r="B12346" s="1" t="s">
        <v>5782</v>
      </c>
      <c r="C12346" s="1" t="s">
        <v>5783</v>
      </c>
      <c r="D12346" s="22" t="str">
        <f>HYPERLINK("https://rhld.insurance.arkansas.gov/NPILookup?Npi=1013532563","1013532563")</f>
        <v>1013532563</v>
      </c>
      <c r="E12346" s="1" t="s">
        <v>20930</v>
      </c>
      <c r="F12346" s="2"/>
      <c r="G12346" s="2"/>
      <c r="H12346" s="2"/>
    </row>
    <row r="12347" spans="1:8" x14ac:dyDescent="0.25">
      <c r="A12347" s="1"/>
      <c r="B12347" s="1" t="s">
        <v>5782</v>
      </c>
      <c r="C12347" s="1" t="s">
        <v>5783</v>
      </c>
      <c r="D12347" s="22" t="str">
        <f>HYPERLINK("https://rhld.insurance.arkansas.gov/NPILookup?Npi=1013540616","1013540616")</f>
        <v>1013540616</v>
      </c>
      <c r="E12347" s="1" t="s">
        <v>2453</v>
      </c>
      <c r="F12347" s="2"/>
      <c r="G12347" s="2"/>
      <c r="H12347" s="2"/>
    </row>
    <row r="12348" spans="1:8" x14ac:dyDescent="0.25">
      <c r="A12348" s="1"/>
      <c r="B12348" s="1" t="s">
        <v>5782</v>
      </c>
      <c r="C12348" s="1" t="s">
        <v>5783</v>
      </c>
      <c r="D12348" s="22" t="str">
        <f>HYPERLINK("https://rhld.insurance.arkansas.gov/NPILookup?Npi=1013546290","1013546290")</f>
        <v>1013546290</v>
      </c>
      <c r="E12348" s="1" t="s">
        <v>20931</v>
      </c>
      <c r="F12348" s="2"/>
      <c r="G12348" s="2"/>
      <c r="H12348" s="2"/>
    </row>
    <row r="12349" spans="1:8" x14ac:dyDescent="0.25">
      <c r="A12349" s="1"/>
      <c r="B12349" s="1" t="s">
        <v>5782</v>
      </c>
      <c r="C12349" s="1" t="s">
        <v>5783</v>
      </c>
      <c r="D12349" s="22" t="str">
        <f>HYPERLINK("https://rhld.insurance.arkansas.gov/NPILookup?Npi=1013546654","1013546654")</f>
        <v>1013546654</v>
      </c>
      <c r="E12349" s="1" t="s">
        <v>5805</v>
      </c>
      <c r="F12349" s="2"/>
      <c r="G12349" s="2"/>
      <c r="H12349" s="2"/>
    </row>
    <row r="12350" spans="1:8" x14ac:dyDescent="0.25">
      <c r="A12350" s="1"/>
      <c r="B12350" s="1" t="s">
        <v>5782</v>
      </c>
      <c r="C12350" s="1" t="s">
        <v>5783</v>
      </c>
      <c r="D12350" s="22" t="str">
        <f>HYPERLINK("https://rhld.insurance.arkansas.gov/NPILookup?Npi=1013548783","1013548783")</f>
        <v>1013548783</v>
      </c>
      <c r="E12350" s="1" t="s">
        <v>20932</v>
      </c>
      <c r="F12350" s="2"/>
      <c r="G12350" s="2"/>
      <c r="H12350" s="2"/>
    </row>
    <row r="12351" spans="1:8" x14ac:dyDescent="0.25">
      <c r="A12351" s="1"/>
      <c r="B12351" s="1" t="s">
        <v>5782</v>
      </c>
      <c r="C12351" s="1" t="s">
        <v>5783</v>
      </c>
      <c r="D12351" s="22" t="str">
        <f>HYPERLINK("https://rhld.insurance.arkansas.gov/NPILookup?Npi=1013554211","1013554211")</f>
        <v>1013554211</v>
      </c>
      <c r="E12351" s="1" t="s">
        <v>20933</v>
      </c>
      <c r="F12351" s="2"/>
      <c r="G12351" s="2"/>
      <c r="H12351" s="2"/>
    </row>
    <row r="12352" spans="1:8" x14ac:dyDescent="0.25">
      <c r="A12352" s="1"/>
      <c r="B12352" s="1" t="s">
        <v>5782</v>
      </c>
      <c r="C12352" s="1" t="s">
        <v>5783</v>
      </c>
      <c r="D12352" s="22" t="str">
        <f>HYPERLINK("https://rhld.insurance.arkansas.gov/NPILookup?Npi=1013595420","1013595420")</f>
        <v>1013595420</v>
      </c>
      <c r="E12352" s="1" t="s">
        <v>11409</v>
      </c>
      <c r="F12352" s="2"/>
      <c r="G12352" s="2"/>
      <c r="H12352" s="2"/>
    </row>
    <row r="12353" spans="1:8" x14ac:dyDescent="0.25">
      <c r="A12353" s="1"/>
      <c r="B12353" s="1" t="s">
        <v>5782</v>
      </c>
      <c r="C12353" s="1" t="s">
        <v>5783</v>
      </c>
      <c r="D12353" s="22" t="str">
        <f>HYPERLINK("https://rhld.insurance.arkansas.gov/NPILookup?Npi=1013658384","1013658384")</f>
        <v>1013658384</v>
      </c>
      <c r="E12353" s="1" t="s">
        <v>5806</v>
      </c>
      <c r="F12353" s="2"/>
      <c r="G12353" s="2"/>
      <c r="H12353" s="2"/>
    </row>
    <row r="12354" spans="1:8" x14ac:dyDescent="0.25">
      <c r="A12354" s="1"/>
      <c r="B12354" s="1" t="s">
        <v>5782</v>
      </c>
      <c r="C12354" s="1" t="s">
        <v>5783</v>
      </c>
      <c r="D12354" s="22" t="str">
        <f>HYPERLINK("https://rhld.insurance.arkansas.gov/NPILookup?Npi=1013662220","1013662220")</f>
        <v>1013662220</v>
      </c>
      <c r="E12354" s="1" t="s">
        <v>5807</v>
      </c>
      <c r="F12354" s="2"/>
      <c r="G12354" s="2"/>
      <c r="H12354" s="2"/>
    </row>
    <row r="12355" spans="1:8" x14ac:dyDescent="0.25">
      <c r="A12355" s="1"/>
      <c r="B12355" s="1" t="s">
        <v>5782</v>
      </c>
      <c r="C12355" s="1" t="s">
        <v>5783</v>
      </c>
      <c r="D12355" s="22" t="str">
        <f>HYPERLINK("https://rhld.insurance.arkansas.gov/NPILookup?Npi=1013667351","1013667351")</f>
        <v>1013667351</v>
      </c>
      <c r="E12355" s="1" t="s">
        <v>5808</v>
      </c>
      <c r="F12355" s="2"/>
      <c r="G12355" s="2"/>
      <c r="H12355" s="2"/>
    </row>
    <row r="12356" spans="1:8" x14ac:dyDescent="0.25">
      <c r="A12356" s="1"/>
      <c r="B12356" s="1" t="s">
        <v>5782</v>
      </c>
      <c r="C12356" s="1" t="s">
        <v>5783</v>
      </c>
      <c r="D12356" s="22" t="str">
        <f>HYPERLINK("https://rhld.insurance.arkansas.gov/NPILookup?Npi=1013677681","1013677681")</f>
        <v>1013677681</v>
      </c>
      <c r="E12356" s="1" t="s">
        <v>11410</v>
      </c>
      <c r="F12356" s="2"/>
      <c r="G12356" s="2"/>
      <c r="H12356" s="2"/>
    </row>
    <row r="12357" spans="1:8" x14ac:dyDescent="0.25">
      <c r="A12357" s="1"/>
      <c r="B12357" s="1" t="s">
        <v>5782</v>
      </c>
      <c r="C12357" s="1" t="s">
        <v>5783</v>
      </c>
      <c r="D12357" s="22" t="str">
        <f>HYPERLINK("https://rhld.insurance.arkansas.gov/NPILookup?Npi=1013685916","1013685916")</f>
        <v>1013685916</v>
      </c>
      <c r="E12357" s="1" t="s">
        <v>5810</v>
      </c>
      <c r="F12357" s="2"/>
      <c r="G12357" s="2"/>
      <c r="H12357" s="2"/>
    </row>
    <row r="12358" spans="1:8" x14ac:dyDescent="0.25">
      <c r="A12358" s="1"/>
      <c r="B12358" s="1" t="s">
        <v>5782</v>
      </c>
      <c r="C12358" s="1" t="s">
        <v>5783</v>
      </c>
      <c r="D12358" s="22" t="str">
        <f>HYPERLINK("https://rhld.insurance.arkansas.gov/NPILookup?Npi=1013754787","1013754787")</f>
        <v>1013754787</v>
      </c>
      <c r="E12358" s="1" t="s">
        <v>20934</v>
      </c>
      <c r="F12358" s="2"/>
      <c r="G12358" s="2"/>
      <c r="H12358" s="2"/>
    </row>
    <row r="12359" spans="1:8" x14ac:dyDescent="0.25">
      <c r="A12359" s="1"/>
      <c r="B12359" s="1" t="s">
        <v>5782</v>
      </c>
      <c r="C12359" s="1" t="s">
        <v>5783</v>
      </c>
      <c r="D12359" s="22" t="str">
        <f>HYPERLINK("https://rhld.insurance.arkansas.gov/NPILookup?Npi=1013764588","1013764588")</f>
        <v>1013764588</v>
      </c>
      <c r="E12359" s="1" t="s">
        <v>31784</v>
      </c>
      <c r="F12359" s="2"/>
      <c r="G12359" s="2"/>
      <c r="H12359" s="2"/>
    </row>
    <row r="12360" spans="1:8" x14ac:dyDescent="0.25">
      <c r="A12360" s="1"/>
      <c r="B12360" s="1" t="s">
        <v>5782</v>
      </c>
      <c r="C12360" s="1" t="s">
        <v>5783</v>
      </c>
      <c r="D12360" s="22" t="str">
        <f>HYPERLINK("https://rhld.insurance.arkansas.gov/NPILookup?Npi=1013797570","1013797570")</f>
        <v>1013797570</v>
      </c>
      <c r="E12360" s="1" t="s">
        <v>20935</v>
      </c>
      <c r="F12360" s="2"/>
      <c r="G12360" s="2"/>
      <c r="H12360" s="2"/>
    </row>
    <row r="12361" spans="1:8" x14ac:dyDescent="0.25">
      <c r="A12361" s="1"/>
      <c r="B12361" s="1" t="s">
        <v>5782</v>
      </c>
      <c r="C12361" s="1" t="s">
        <v>5783</v>
      </c>
      <c r="D12361" s="22" t="str">
        <f>HYPERLINK("https://rhld.insurance.arkansas.gov/NPILookup?Npi=1013972314","1013972314")</f>
        <v>1013972314</v>
      </c>
      <c r="E12361" s="1" t="s">
        <v>20936</v>
      </c>
      <c r="F12361" s="2"/>
      <c r="G12361" s="2"/>
      <c r="H12361" s="2"/>
    </row>
    <row r="12362" spans="1:8" x14ac:dyDescent="0.25">
      <c r="A12362" s="1"/>
      <c r="B12362" s="1" t="s">
        <v>5782</v>
      </c>
      <c r="C12362" s="1" t="s">
        <v>5783</v>
      </c>
      <c r="D12362" s="22" t="str">
        <f>HYPERLINK("https://rhld.insurance.arkansas.gov/NPILookup?Npi=1023003548","1023003548")</f>
        <v>1023003548</v>
      </c>
      <c r="E12362" s="1" t="s">
        <v>334</v>
      </c>
      <c r="F12362" s="2"/>
      <c r="G12362" s="2"/>
      <c r="H12362" s="2"/>
    </row>
    <row r="12363" spans="1:8" x14ac:dyDescent="0.25">
      <c r="A12363" s="1"/>
      <c r="B12363" s="1" t="s">
        <v>5782</v>
      </c>
      <c r="C12363" s="1" t="s">
        <v>5783</v>
      </c>
      <c r="D12363" s="22" t="str">
        <f>HYPERLINK("https://rhld.insurance.arkansas.gov/NPILookup?Npi=1023026606","1023026606")</f>
        <v>1023026606</v>
      </c>
      <c r="E12363" s="1" t="s">
        <v>2143</v>
      </c>
      <c r="F12363" s="2"/>
      <c r="G12363" s="2"/>
      <c r="H12363" s="2"/>
    </row>
    <row r="12364" spans="1:8" x14ac:dyDescent="0.25">
      <c r="A12364" s="1"/>
      <c r="B12364" s="1" t="s">
        <v>5782</v>
      </c>
      <c r="C12364" s="1" t="s">
        <v>5783</v>
      </c>
      <c r="D12364" s="22" t="str">
        <f>HYPERLINK("https://rhld.insurance.arkansas.gov/NPILookup?Npi=1023087350","1023087350")</f>
        <v>1023087350</v>
      </c>
      <c r="E12364" s="1" t="s">
        <v>392</v>
      </c>
      <c r="F12364" s="2"/>
      <c r="G12364" s="2"/>
      <c r="H12364" s="2"/>
    </row>
    <row r="12365" spans="1:8" x14ac:dyDescent="0.25">
      <c r="A12365" s="1"/>
      <c r="B12365" s="1" t="s">
        <v>5782</v>
      </c>
      <c r="C12365" s="1" t="s">
        <v>5783</v>
      </c>
      <c r="D12365" s="22" t="str">
        <f>HYPERLINK("https://rhld.insurance.arkansas.gov/NPILookup?Npi=1023124559","1023124559")</f>
        <v>1023124559</v>
      </c>
      <c r="E12365" s="1" t="s">
        <v>20937</v>
      </c>
      <c r="F12365" s="2"/>
      <c r="G12365" s="2"/>
      <c r="H12365" s="2"/>
    </row>
    <row r="12366" spans="1:8" x14ac:dyDescent="0.25">
      <c r="A12366" s="1"/>
      <c r="B12366" s="1" t="s">
        <v>5782</v>
      </c>
      <c r="C12366" s="1" t="s">
        <v>5783</v>
      </c>
      <c r="D12366" s="22" t="str">
        <f>HYPERLINK("https://rhld.insurance.arkansas.gov/NPILookup?Npi=1023143898","1023143898")</f>
        <v>1023143898</v>
      </c>
      <c r="E12366" s="1" t="s">
        <v>341</v>
      </c>
      <c r="F12366" s="2"/>
      <c r="G12366" s="2"/>
      <c r="H12366" s="2"/>
    </row>
    <row r="12367" spans="1:8" x14ac:dyDescent="0.25">
      <c r="A12367" s="1"/>
      <c r="B12367" s="1" t="s">
        <v>5782</v>
      </c>
      <c r="C12367" s="1" t="s">
        <v>5783</v>
      </c>
      <c r="D12367" s="22" t="str">
        <f>HYPERLINK("https://rhld.insurance.arkansas.gov/NPILookup?Npi=1023198702","1023198702")</f>
        <v>1023198702</v>
      </c>
      <c r="E12367" s="1" t="s">
        <v>20938</v>
      </c>
      <c r="F12367" s="2"/>
      <c r="G12367" s="2"/>
      <c r="H12367" s="2"/>
    </row>
    <row r="12368" spans="1:8" x14ac:dyDescent="0.25">
      <c r="A12368" s="1"/>
      <c r="B12368" s="1" t="s">
        <v>5782</v>
      </c>
      <c r="C12368" s="1" t="s">
        <v>5783</v>
      </c>
      <c r="D12368" s="22" t="str">
        <f>HYPERLINK("https://rhld.insurance.arkansas.gov/NPILookup?Npi=1023202330","1023202330")</f>
        <v>1023202330</v>
      </c>
      <c r="E12368" s="1" t="s">
        <v>11412</v>
      </c>
      <c r="F12368" s="2"/>
      <c r="G12368" s="2"/>
      <c r="H12368" s="2"/>
    </row>
    <row r="12369" spans="1:8" x14ac:dyDescent="0.25">
      <c r="A12369" s="1"/>
      <c r="B12369" s="1" t="s">
        <v>5782</v>
      </c>
      <c r="C12369" s="1" t="s">
        <v>5783</v>
      </c>
      <c r="D12369" s="22" t="str">
        <f>HYPERLINK("https://rhld.insurance.arkansas.gov/NPILookup?Npi=1023206604","1023206604")</f>
        <v>1023206604</v>
      </c>
      <c r="E12369" s="1" t="s">
        <v>5811</v>
      </c>
      <c r="F12369" s="2"/>
      <c r="G12369" s="2"/>
      <c r="H12369" s="2"/>
    </row>
    <row r="12370" spans="1:8" x14ac:dyDescent="0.25">
      <c r="A12370" s="1"/>
      <c r="B12370" s="1" t="s">
        <v>5782</v>
      </c>
      <c r="C12370" s="1" t="s">
        <v>5783</v>
      </c>
      <c r="D12370" s="22" t="str">
        <f>HYPERLINK("https://rhld.insurance.arkansas.gov/NPILookup?Npi=1023213451","1023213451")</f>
        <v>1023213451</v>
      </c>
      <c r="E12370" s="1" t="s">
        <v>5812</v>
      </c>
      <c r="F12370" s="2"/>
      <c r="G12370" s="2"/>
      <c r="H12370" s="2"/>
    </row>
    <row r="12371" spans="1:8" x14ac:dyDescent="0.25">
      <c r="A12371" s="1"/>
      <c r="B12371" s="1" t="s">
        <v>5782</v>
      </c>
      <c r="C12371" s="1" t="s">
        <v>5783</v>
      </c>
      <c r="D12371" s="22" t="str">
        <f>HYPERLINK("https://rhld.insurance.arkansas.gov/NPILookup?Npi=1023222700","1023222700")</f>
        <v>1023222700</v>
      </c>
      <c r="E12371" s="1" t="s">
        <v>1838</v>
      </c>
      <c r="F12371" s="2"/>
      <c r="G12371" s="2"/>
      <c r="H12371" s="2"/>
    </row>
    <row r="12372" spans="1:8" x14ac:dyDescent="0.25">
      <c r="A12372" s="1"/>
      <c r="B12372" s="1" t="s">
        <v>5782</v>
      </c>
      <c r="C12372" s="1" t="s">
        <v>5783</v>
      </c>
      <c r="D12372" s="22" t="str">
        <f>HYPERLINK("https://rhld.insurance.arkansas.gov/NPILookup?Npi=1023245156","1023245156")</f>
        <v>1023245156</v>
      </c>
      <c r="E12372" s="1" t="s">
        <v>2144</v>
      </c>
      <c r="F12372" s="2"/>
      <c r="G12372" s="2"/>
      <c r="H12372" s="2"/>
    </row>
    <row r="12373" spans="1:8" x14ac:dyDescent="0.25">
      <c r="A12373" s="1"/>
      <c r="B12373" s="1" t="s">
        <v>5782</v>
      </c>
      <c r="C12373" s="1" t="s">
        <v>5783</v>
      </c>
      <c r="D12373" s="22" t="str">
        <f>HYPERLINK("https://rhld.insurance.arkansas.gov/NPILookup?Npi=1023270543","1023270543")</f>
        <v>1023270543</v>
      </c>
      <c r="E12373" s="1" t="s">
        <v>192</v>
      </c>
      <c r="F12373" s="2"/>
      <c r="G12373" s="2"/>
      <c r="H12373" s="2"/>
    </row>
    <row r="12374" spans="1:8" x14ac:dyDescent="0.25">
      <c r="A12374" s="1"/>
      <c r="B12374" s="1" t="s">
        <v>5782</v>
      </c>
      <c r="C12374" s="1" t="s">
        <v>5783</v>
      </c>
      <c r="D12374" s="22" t="str">
        <f>HYPERLINK("https://rhld.insurance.arkansas.gov/NPILookup?Npi=1023272259","1023272259")</f>
        <v>1023272259</v>
      </c>
      <c r="E12374" s="1" t="s">
        <v>922</v>
      </c>
      <c r="F12374" s="2"/>
      <c r="G12374" s="2"/>
      <c r="H12374" s="2"/>
    </row>
    <row r="12375" spans="1:8" x14ac:dyDescent="0.25">
      <c r="A12375" s="1"/>
      <c r="B12375" s="1" t="s">
        <v>5782</v>
      </c>
      <c r="C12375" s="1" t="s">
        <v>5783</v>
      </c>
      <c r="D12375" s="22" t="str">
        <f>HYPERLINK("https://rhld.insurance.arkansas.gov/NPILookup?Npi=1023274347","1023274347")</f>
        <v>1023274347</v>
      </c>
      <c r="E12375" s="1" t="s">
        <v>3207</v>
      </c>
      <c r="F12375" s="2"/>
      <c r="G12375" s="2"/>
      <c r="H12375" s="2"/>
    </row>
    <row r="12376" spans="1:8" x14ac:dyDescent="0.25">
      <c r="A12376" s="1"/>
      <c r="B12376" s="1" t="s">
        <v>5782</v>
      </c>
      <c r="C12376" s="1" t="s">
        <v>5783</v>
      </c>
      <c r="D12376" s="22" t="str">
        <f>HYPERLINK("https://rhld.insurance.arkansas.gov/NPILookup?Npi=1023285392","1023285392")</f>
        <v>1023285392</v>
      </c>
      <c r="E12376" s="1" t="s">
        <v>20939</v>
      </c>
      <c r="F12376" s="2"/>
      <c r="G12376" s="2"/>
      <c r="H12376" s="2"/>
    </row>
    <row r="12377" spans="1:8" x14ac:dyDescent="0.25">
      <c r="A12377" s="1"/>
      <c r="B12377" s="1" t="s">
        <v>5782</v>
      </c>
      <c r="C12377" s="1" t="s">
        <v>5783</v>
      </c>
      <c r="D12377" s="22" t="str">
        <f>HYPERLINK("https://rhld.insurance.arkansas.gov/NPILookup?Npi=1023286481","1023286481")</f>
        <v>1023286481</v>
      </c>
      <c r="E12377" s="1" t="s">
        <v>1060</v>
      </c>
      <c r="F12377" s="2"/>
      <c r="G12377" s="2"/>
      <c r="H12377" s="2"/>
    </row>
    <row r="12378" spans="1:8" x14ac:dyDescent="0.25">
      <c r="A12378" s="1"/>
      <c r="B12378" s="1" t="s">
        <v>5782</v>
      </c>
      <c r="C12378" s="1" t="s">
        <v>5783</v>
      </c>
      <c r="D12378" s="22" t="str">
        <f>HYPERLINK("https://rhld.insurance.arkansas.gov/NPILookup?Npi=1023288826","1023288826")</f>
        <v>1023288826</v>
      </c>
      <c r="E12378" s="1" t="s">
        <v>20940</v>
      </c>
      <c r="F12378" s="2"/>
      <c r="G12378" s="2"/>
      <c r="H12378" s="2"/>
    </row>
    <row r="12379" spans="1:8" x14ac:dyDescent="0.25">
      <c r="A12379" s="1"/>
      <c r="B12379" s="1" t="s">
        <v>5782</v>
      </c>
      <c r="C12379" s="1" t="s">
        <v>5783</v>
      </c>
      <c r="D12379" s="22" t="str">
        <f>HYPERLINK("https://rhld.insurance.arkansas.gov/NPILookup?Npi=1023296886","1023296886")</f>
        <v>1023296886</v>
      </c>
      <c r="E12379" s="1" t="s">
        <v>20941</v>
      </c>
      <c r="F12379" s="2"/>
      <c r="G12379" s="2"/>
      <c r="H12379" s="2"/>
    </row>
    <row r="12380" spans="1:8" x14ac:dyDescent="0.25">
      <c r="A12380" s="1"/>
      <c r="B12380" s="1" t="s">
        <v>5782</v>
      </c>
      <c r="C12380" s="1" t="s">
        <v>5783</v>
      </c>
      <c r="D12380" s="22" t="str">
        <f>HYPERLINK("https://rhld.insurance.arkansas.gov/NPILookup?Npi=1023300035","1023300035")</f>
        <v>1023300035</v>
      </c>
      <c r="E12380" s="1" t="s">
        <v>206</v>
      </c>
      <c r="F12380" s="2"/>
      <c r="G12380" s="2"/>
      <c r="H12380" s="2"/>
    </row>
    <row r="12381" spans="1:8" x14ac:dyDescent="0.25">
      <c r="A12381" s="1"/>
      <c r="B12381" s="1" t="s">
        <v>5782</v>
      </c>
      <c r="C12381" s="1" t="s">
        <v>5783</v>
      </c>
      <c r="D12381" s="22" t="str">
        <f>HYPERLINK("https://rhld.insurance.arkansas.gov/NPILookup?Npi=1023301611","1023301611")</f>
        <v>1023301611</v>
      </c>
      <c r="E12381" s="1" t="s">
        <v>20942</v>
      </c>
      <c r="F12381" s="2"/>
      <c r="G12381" s="2"/>
      <c r="H12381" s="2"/>
    </row>
    <row r="12382" spans="1:8" x14ac:dyDescent="0.25">
      <c r="A12382" s="1"/>
      <c r="B12382" s="1" t="s">
        <v>5782</v>
      </c>
      <c r="C12382" s="1" t="s">
        <v>5783</v>
      </c>
      <c r="D12382" s="22" t="str">
        <f>HYPERLINK("https://rhld.insurance.arkansas.gov/NPILookup?Npi=1023317914","1023317914")</f>
        <v>1023317914</v>
      </c>
      <c r="E12382" s="1" t="s">
        <v>20943</v>
      </c>
      <c r="F12382" s="2"/>
      <c r="G12382" s="2"/>
      <c r="H12382" s="2"/>
    </row>
    <row r="12383" spans="1:8" x14ac:dyDescent="0.25">
      <c r="A12383" s="1"/>
      <c r="B12383" s="1" t="s">
        <v>5782</v>
      </c>
      <c r="C12383" s="1" t="s">
        <v>5783</v>
      </c>
      <c r="D12383" s="22" t="str">
        <f>HYPERLINK("https://rhld.insurance.arkansas.gov/NPILookup?Npi=1023318011","1023318011")</f>
        <v>1023318011</v>
      </c>
      <c r="E12383" s="1" t="s">
        <v>20944</v>
      </c>
      <c r="F12383" s="2"/>
      <c r="G12383" s="2"/>
      <c r="H12383" s="2"/>
    </row>
    <row r="12384" spans="1:8" x14ac:dyDescent="0.25">
      <c r="A12384" s="1"/>
      <c r="B12384" s="1" t="s">
        <v>5782</v>
      </c>
      <c r="C12384" s="1" t="s">
        <v>5783</v>
      </c>
      <c r="D12384" s="22" t="str">
        <f>HYPERLINK("https://rhld.insurance.arkansas.gov/NPILookup?Npi=1023337730","1023337730")</f>
        <v>1023337730</v>
      </c>
      <c r="E12384" s="1" t="s">
        <v>20946</v>
      </c>
      <c r="F12384" s="2"/>
      <c r="G12384" s="2"/>
      <c r="H12384" s="2"/>
    </row>
    <row r="12385" spans="1:8" x14ac:dyDescent="0.25">
      <c r="A12385" s="1"/>
      <c r="B12385" s="1" t="s">
        <v>5782</v>
      </c>
      <c r="C12385" s="1" t="s">
        <v>5783</v>
      </c>
      <c r="D12385" s="22" t="str">
        <f>HYPERLINK("https://rhld.insurance.arkansas.gov/NPILookup?Npi=1023340544","1023340544")</f>
        <v>1023340544</v>
      </c>
      <c r="E12385" s="1" t="s">
        <v>11413</v>
      </c>
      <c r="F12385" s="2"/>
      <c r="G12385" s="2"/>
      <c r="H12385" s="2"/>
    </row>
    <row r="12386" spans="1:8" x14ac:dyDescent="0.25">
      <c r="A12386" s="1"/>
      <c r="B12386" s="1" t="s">
        <v>5782</v>
      </c>
      <c r="C12386" s="1" t="s">
        <v>5783</v>
      </c>
      <c r="D12386" s="22" t="str">
        <f>HYPERLINK("https://rhld.insurance.arkansas.gov/NPILookup?Npi=1023342136","1023342136")</f>
        <v>1023342136</v>
      </c>
      <c r="E12386" s="1" t="s">
        <v>20947</v>
      </c>
      <c r="F12386" s="2"/>
      <c r="G12386" s="2"/>
      <c r="H12386" s="2"/>
    </row>
    <row r="12387" spans="1:8" x14ac:dyDescent="0.25">
      <c r="A12387" s="1"/>
      <c r="B12387" s="1" t="s">
        <v>5782</v>
      </c>
      <c r="C12387" s="1" t="s">
        <v>5783</v>
      </c>
      <c r="D12387" s="22" t="str">
        <f>HYPERLINK("https://rhld.insurance.arkansas.gov/NPILookup?Npi=1023370814","1023370814")</f>
        <v>1023370814</v>
      </c>
      <c r="E12387" s="1" t="s">
        <v>20948</v>
      </c>
      <c r="F12387" s="2"/>
      <c r="G12387" s="2"/>
      <c r="H12387" s="2"/>
    </row>
    <row r="12388" spans="1:8" x14ac:dyDescent="0.25">
      <c r="A12388" s="1"/>
      <c r="B12388" s="1" t="s">
        <v>5782</v>
      </c>
      <c r="C12388" s="1" t="s">
        <v>5783</v>
      </c>
      <c r="D12388" s="22" t="str">
        <f>HYPERLINK("https://rhld.insurance.arkansas.gov/NPILookup?Npi=1023390275","1023390275")</f>
        <v>1023390275</v>
      </c>
      <c r="E12388" s="1" t="s">
        <v>5729</v>
      </c>
      <c r="F12388" s="2"/>
      <c r="G12388" s="2"/>
      <c r="H12388" s="2"/>
    </row>
    <row r="12389" spans="1:8" x14ac:dyDescent="0.25">
      <c r="A12389" s="1"/>
      <c r="B12389" s="1" t="s">
        <v>5782</v>
      </c>
      <c r="C12389" s="1" t="s">
        <v>5783</v>
      </c>
      <c r="D12389" s="22" t="str">
        <f>HYPERLINK("https://rhld.insurance.arkansas.gov/NPILookup?Npi=1023391505","1023391505")</f>
        <v>1023391505</v>
      </c>
      <c r="E12389" s="1" t="s">
        <v>20949</v>
      </c>
      <c r="F12389" s="2"/>
      <c r="G12389" s="2"/>
      <c r="H12389" s="2"/>
    </row>
    <row r="12390" spans="1:8" x14ac:dyDescent="0.25">
      <c r="A12390" s="1"/>
      <c r="B12390" s="1" t="s">
        <v>5782</v>
      </c>
      <c r="C12390" s="1" t="s">
        <v>5783</v>
      </c>
      <c r="D12390" s="22" t="str">
        <f>HYPERLINK("https://rhld.insurance.arkansas.gov/NPILookup?Npi=1023393287","1023393287")</f>
        <v>1023393287</v>
      </c>
      <c r="E12390" s="1" t="s">
        <v>5814</v>
      </c>
      <c r="F12390" s="2"/>
      <c r="G12390" s="2"/>
      <c r="H12390" s="2"/>
    </row>
    <row r="12391" spans="1:8" x14ac:dyDescent="0.25">
      <c r="A12391" s="1"/>
      <c r="B12391" s="1" t="s">
        <v>5782</v>
      </c>
      <c r="C12391" s="1" t="s">
        <v>5783</v>
      </c>
      <c r="D12391" s="22" t="str">
        <f>HYPERLINK("https://rhld.insurance.arkansas.gov/NPILookup?Npi=1023396504","1023396504")</f>
        <v>1023396504</v>
      </c>
      <c r="E12391" s="1" t="s">
        <v>11414</v>
      </c>
      <c r="F12391" s="2"/>
      <c r="G12391" s="2"/>
      <c r="H12391" s="2"/>
    </row>
    <row r="12392" spans="1:8" x14ac:dyDescent="0.25">
      <c r="A12392" s="1"/>
      <c r="B12392" s="1" t="s">
        <v>5782</v>
      </c>
      <c r="C12392" s="1" t="s">
        <v>5783</v>
      </c>
      <c r="D12392" s="22" t="str">
        <f>HYPERLINK("https://rhld.insurance.arkansas.gov/NPILookup?Npi=1023397270","1023397270")</f>
        <v>1023397270</v>
      </c>
      <c r="E12392" s="1" t="s">
        <v>5815</v>
      </c>
      <c r="F12392" s="2"/>
      <c r="G12392" s="2"/>
      <c r="H12392" s="2"/>
    </row>
    <row r="12393" spans="1:8" x14ac:dyDescent="0.25">
      <c r="A12393" s="1"/>
      <c r="B12393" s="1" t="s">
        <v>5782</v>
      </c>
      <c r="C12393" s="1" t="s">
        <v>5783</v>
      </c>
      <c r="D12393" s="22" t="str">
        <f>HYPERLINK("https://rhld.insurance.arkansas.gov/NPILookup?Npi=1023404183","1023404183")</f>
        <v>1023404183</v>
      </c>
      <c r="E12393" s="1" t="s">
        <v>20950</v>
      </c>
      <c r="F12393" s="2"/>
      <c r="G12393" s="2"/>
      <c r="H12393" s="2"/>
    </row>
    <row r="12394" spans="1:8" x14ac:dyDescent="0.25">
      <c r="A12394" s="1"/>
      <c r="B12394" s="1" t="s">
        <v>5782</v>
      </c>
      <c r="C12394" s="1" t="s">
        <v>5783</v>
      </c>
      <c r="D12394" s="22" t="str">
        <f>HYPERLINK("https://rhld.insurance.arkansas.gov/NPILookup?Npi=1023413325","1023413325")</f>
        <v>1023413325</v>
      </c>
      <c r="E12394" s="1" t="s">
        <v>3173</v>
      </c>
      <c r="F12394" s="2"/>
      <c r="G12394" s="2"/>
      <c r="H12394" s="2"/>
    </row>
    <row r="12395" spans="1:8" x14ac:dyDescent="0.25">
      <c r="A12395" s="1"/>
      <c r="B12395" s="1" t="s">
        <v>5782</v>
      </c>
      <c r="C12395" s="1" t="s">
        <v>5783</v>
      </c>
      <c r="D12395" s="22" t="str">
        <f>HYPERLINK("https://rhld.insurance.arkansas.gov/NPILookup?Npi=1023421302","1023421302")</f>
        <v>1023421302</v>
      </c>
      <c r="E12395" s="1" t="s">
        <v>20951</v>
      </c>
      <c r="F12395" s="2"/>
      <c r="G12395" s="2"/>
      <c r="H12395" s="2"/>
    </row>
    <row r="12396" spans="1:8" x14ac:dyDescent="0.25">
      <c r="A12396" s="1"/>
      <c r="B12396" s="1" t="s">
        <v>5782</v>
      </c>
      <c r="C12396" s="1" t="s">
        <v>5783</v>
      </c>
      <c r="D12396" s="22" t="str">
        <f>HYPERLINK("https://rhld.insurance.arkansas.gov/NPILookup?Npi=1023423837","1023423837")</f>
        <v>1023423837</v>
      </c>
      <c r="E12396" s="1" t="s">
        <v>20952</v>
      </c>
      <c r="F12396" s="2"/>
      <c r="G12396" s="2"/>
      <c r="H12396" s="2"/>
    </row>
    <row r="12397" spans="1:8" x14ac:dyDescent="0.25">
      <c r="A12397" s="1"/>
      <c r="B12397" s="1" t="s">
        <v>5782</v>
      </c>
      <c r="C12397" s="1" t="s">
        <v>5783</v>
      </c>
      <c r="D12397" s="22" t="str">
        <f>HYPERLINK("https://rhld.insurance.arkansas.gov/NPILookup?Npi=1023437084","1023437084")</f>
        <v>1023437084</v>
      </c>
      <c r="E12397" s="1" t="s">
        <v>20953</v>
      </c>
      <c r="F12397" s="2"/>
      <c r="G12397" s="2"/>
      <c r="H12397" s="2"/>
    </row>
    <row r="12398" spans="1:8" x14ac:dyDescent="0.25">
      <c r="A12398" s="1"/>
      <c r="B12398" s="1" t="s">
        <v>5782</v>
      </c>
      <c r="C12398" s="1" t="s">
        <v>5783</v>
      </c>
      <c r="D12398" s="22" t="str">
        <f>HYPERLINK("https://rhld.insurance.arkansas.gov/NPILookup?Npi=1023453552","1023453552")</f>
        <v>1023453552</v>
      </c>
      <c r="E12398" s="1" t="s">
        <v>20954</v>
      </c>
      <c r="F12398" s="2"/>
      <c r="G12398" s="2"/>
      <c r="H12398" s="2"/>
    </row>
    <row r="12399" spans="1:8" x14ac:dyDescent="0.25">
      <c r="A12399" s="1"/>
      <c r="B12399" s="1" t="s">
        <v>5782</v>
      </c>
      <c r="C12399" s="1" t="s">
        <v>5783</v>
      </c>
      <c r="D12399" s="22" t="str">
        <f>HYPERLINK("https://rhld.insurance.arkansas.gov/NPILookup?Npi=1023484888","1023484888")</f>
        <v>1023484888</v>
      </c>
      <c r="E12399" s="1" t="s">
        <v>11416</v>
      </c>
      <c r="F12399" s="2"/>
      <c r="G12399" s="2"/>
      <c r="H12399" s="2"/>
    </row>
    <row r="12400" spans="1:8" x14ac:dyDescent="0.25">
      <c r="A12400" s="1"/>
      <c r="B12400" s="1" t="s">
        <v>5782</v>
      </c>
      <c r="C12400" s="1" t="s">
        <v>5783</v>
      </c>
      <c r="D12400" s="22" t="str">
        <f>HYPERLINK("https://rhld.insurance.arkansas.gov/NPILookup?Npi=1023490976","1023490976")</f>
        <v>1023490976</v>
      </c>
      <c r="E12400" s="1" t="s">
        <v>20955</v>
      </c>
      <c r="F12400" s="2"/>
      <c r="G12400" s="2"/>
      <c r="H12400" s="2"/>
    </row>
    <row r="12401" spans="1:8" x14ac:dyDescent="0.25">
      <c r="A12401" s="1"/>
      <c r="B12401" s="1" t="s">
        <v>5782</v>
      </c>
      <c r="C12401" s="1" t="s">
        <v>5783</v>
      </c>
      <c r="D12401" s="22" t="str">
        <f>HYPERLINK("https://rhld.insurance.arkansas.gov/NPILookup?Npi=1023518073","1023518073")</f>
        <v>1023518073</v>
      </c>
      <c r="E12401" s="1" t="s">
        <v>5816</v>
      </c>
      <c r="F12401" s="2"/>
      <c r="G12401" s="2"/>
      <c r="H12401" s="2"/>
    </row>
    <row r="12402" spans="1:8" x14ac:dyDescent="0.25">
      <c r="A12402" s="1"/>
      <c r="B12402" s="1" t="s">
        <v>5782</v>
      </c>
      <c r="C12402" s="1" t="s">
        <v>5783</v>
      </c>
      <c r="D12402" s="22" t="str">
        <f>HYPERLINK("https://rhld.insurance.arkansas.gov/NPILookup?Npi=1023519717","1023519717")</f>
        <v>1023519717</v>
      </c>
      <c r="E12402" s="1" t="s">
        <v>20956</v>
      </c>
      <c r="F12402" s="2"/>
      <c r="G12402" s="2"/>
      <c r="H12402" s="2"/>
    </row>
    <row r="12403" spans="1:8" x14ac:dyDescent="0.25">
      <c r="A12403" s="1"/>
      <c r="B12403" s="1" t="s">
        <v>5782</v>
      </c>
      <c r="C12403" s="1" t="s">
        <v>5783</v>
      </c>
      <c r="D12403" s="22" t="str">
        <f>HYPERLINK("https://rhld.insurance.arkansas.gov/NPILookup?Npi=1023521978","1023521978")</f>
        <v>1023521978</v>
      </c>
      <c r="E12403" s="1" t="s">
        <v>5817</v>
      </c>
      <c r="F12403" s="2"/>
      <c r="G12403" s="2"/>
      <c r="H12403" s="2"/>
    </row>
    <row r="12404" spans="1:8" x14ac:dyDescent="0.25">
      <c r="A12404" s="1"/>
      <c r="B12404" s="1" t="s">
        <v>5782</v>
      </c>
      <c r="C12404" s="1" t="s">
        <v>5783</v>
      </c>
      <c r="D12404" s="22" t="str">
        <f>HYPERLINK("https://rhld.insurance.arkansas.gov/NPILookup?Npi=1023525060","1023525060")</f>
        <v>1023525060</v>
      </c>
      <c r="E12404" s="1" t="s">
        <v>11417</v>
      </c>
      <c r="F12404" s="2"/>
      <c r="G12404" s="2"/>
      <c r="H12404" s="2"/>
    </row>
    <row r="12405" spans="1:8" x14ac:dyDescent="0.25">
      <c r="A12405" s="1"/>
      <c r="B12405" s="1" t="s">
        <v>5782</v>
      </c>
      <c r="C12405" s="1" t="s">
        <v>5783</v>
      </c>
      <c r="D12405" s="22" t="str">
        <f>HYPERLINK("https://rhld.insurance.arkansas.gov/NPILookup?Npi=1023537529","1023537529")</f>
        <v>1023537529</v>
      </c>
      <c r="E12405" s="1" t="s">
        <v>5818</v>
      </c>
      <c r="F12405" s="2"/>
      <c r="G12405" s="2"/>
      <c r="H12405" s="2"/>
    </row>
    <row r="12406" spans="1:8" x14ac:dyDescent="0.25">
      <c r="A12406" s="1"/>
      <c r="B12406" s="1" t="s">
        <v>5782</v>
      </c>
      <c r="C12406" s="1" t="s">
        <v>5783</v>
      </c>
      <c r="D12406" s="22" t="str">
        <f>HYPERLINK("https://rhld.insurance.arkansas.gov/NPILookup?Npi=1023555364","1023555364")</f>
        <v>1023555364</v>
      </c>
      <c r="E12406" s="1" t="s">
        <v>11418</v>
      </c>
      <c r="F12406" s="2"/>
      <c r="G12406" s="2"/>
      <c r="H12406" s="2"/>
    </row>
    <row r="12407" spans="1:8" x14ac:dyDescent="0.25">
      <c r="A12407" s="1"/>
      <c r="B12407" s="1" t="s">
        <v>5782</v>
      </c>
      <c r="C12407" s="1" t="s">
        <v>5783</v>
      </c>
      <c r="D12407" s="22" t="str">
        <f>HYPERLINK("https://rhld.insurance.arkansas.gov/NPILookup?Npi=1023568151","1023568151")</f>
        <v>1023568151</v>
      </c>
      <c r="E12407" s="1" t="s">
        <v>20957</v>
      </c>
      <c r="F12407" s="2"/>
      <c r="G12407" s="2"/>
      <c r="H12407" s="2"/>
    </row>
    <row r="12408" spans="1:8" x14ac:dyDescent="0.25">
      <c r="A12408" s="1"/>
      <c r="B12408" s="1" t="s">
        <v>5782</v>
      </c>
      <c r="C12408" s="1" t="s">
        <v>5783</v>
      </c>
      <c r="D12408" s="22" t="str">
        <f>HYPERLINK("https://rhld.insurance.arkansas.gov/NPILookup?Npi=1023580990","1023580990")</f>
        <v>1023580990</v>
      </c>
      <c r="E12408" s="1" t="s">
        <v>20958</v>
      </c>
      <c r="F12408" s="2"/>
      <c r="G12408" s="2"/>
      <c r="H12408" s="2"/>
    </row>
    <row r="12409" spans="1:8" x14ac:dyDescent="0.25">
      <c r="A12409" s="1"/>
      <c r="B12409" s="1" t="s">
        <v>5782</v>
      </c>
      <c r="C12409" s="1" t="s">
        <v>5783</v>
      </c>
      <c r="D12409" s="22" t="str">
        <f>HYPERLINK("https://rhld.insurance.arkansas.gov/NPILookup?Npi=1023587524","1023587524")</f>
        <v>1023587524</v>
      </c>
      <c r="E12409" s="1" t="s">
        <v>20959</v>
      </c>
      <c r="F12409" s="2"/>
      <c r="G12409" s="2"/>
      <c r="H12409" s="2"/>
    </row>
    <row r="12410" spans="1:8" x14ac:dyDescent="0.25">
      <c r="A12410" s="1"/>
      <c r="B12410" s="1" t="s">
        <v>5782</v>
      </c>
      <c r="C12410" s="1" t="s">
        <v>5783</v>
      </c>
      <c r="D12410" s="22" t="str">
        <f>HYPERLINK("https://rhld.insurance.arkansas.gov/NPILookup?Npi=1023609476","1023609476")</f>
        <v>1023609476</v>
      </c>
      <c r="E12410" s="1" t="s">
        <v>5820</v>
      </c>
      <c r="F12410" s="2"/>
      <c r="G12410" s="2"/>
      <c r="H12410" s="2"/>
    </row>
    <row r="12411" spans="1:8" x14ac:dyDescent="0.25">
      <c r="A12411" s="1"/>
      <c r="B12411" s="1" t="s">
        <v>5782</v>
      </c>
      <c r="C12411" s="1" t="s">
        <v>5783</v>
      </c>
      <c r="D12411" s="22" t="str">
        <f>HYPERLINK("https://rhld.insurance.arkansas.gov/NPILookup?Npi=1023629342","1023629342")</f>
        <v>1023629342</v>
      </c>
      <c r="E12411" s="1" t="s">
        <v>2454</v>
      </c>
      <c r="F12411" s="2"/>
      <c r="G12411" s="2"/>
      <c r="H12411" s="2"/>
    </row>
    <row r="12412" spans="1:8" x14ac:dyDescent="0.25">
      <c r="A12412" s="1"/>
      <c r="B12412" s="1" t="s">
        <v>5782</v>
      </c>
      <c r="C12412" s="1" t="s">
        <v>5783</v>
      </c>
      <c r="D12412" s="22" t="str">
        <f>HYPERLINK("https://rhld.insurance.arkansas.gov/NPILookup?Npi=1023638301","1023638301")</f>
        <v>1023638301</v>
      </c>
      <c r="E12412" s="1" t="s">
        <v>11419</v>
      </c>
      <c r="F12412" s="2"/>
      <c r="G12412" s="2"/>
      <c r="H12412" s="2"/>
    </row>
    <row r="12413" spans="1:8" x14ac:dyDescent="0.25">
      <c r="A12413" s="1"/>
      <c r="B12413" s="1" t="s">
        <v>5782</v>
      </c>
      <c r="C12413" s="1" t="s">
        <v>5783</v>
      </c>
      <c r="D12413" s="22" t="str">
        <f>HYPERLINK("https://rhld.insurance.arkansas.gov/NPILookup?Npi=1023655248","1023655248")</f>
        <v>1023655248</v>
      </c>
      <c r="E12413" s="1" t="s">
        <v>20960</v>
      </c>
      <c r="F12413" s="2"/>
      <c r="G12413" s="2"/>
      <c r="H12413" s="2"/>
    </row>
    <row r="12414" spans="1:8" x14ac:dyDescent="0.25">
      <c r="A12414" s="1"/>
      <c r="B12414" s="1" t="s">
        <v>5782</v>
      </c>
      <c r="C12414" s="1" t="s">
        <v>5783</v>
      </c>
      <c r="D12414" s="22" t="str">
        <f>HYPERLINK("https://rhld.insurance.arkansas.gov/NPILookup?Npi=1023666351","1023666351")</f>
        <v>1023666351</v>
      </c>
      <c r="E12414" s="1" t="s">
        <v>20961</v>
      </c>
      <c r="F12414" s="2"/>
      <c r="G12414" s="2"/>
      <c r="H12414" s="2"/>
    </row>
    <row r="12415" spans="1:8" x14ac:dyDescent="0.25">
      <c r="A12415" s="1"/>
      <c r="B12415" s="1" t="s">
        <v>5782</v>
      </c>
      <c r="C12415" s="1" t="s">
        <v>5783</v>
      </c>
      <c r="D12415" s="22" t="str">
        <f>HYPERLINK("https://rhld.insurance.arkansas.gov/NPILookup?Npi=1023693249","1023693249")</f>
        <v>1023693249</v>
      </c>
      <c r="E12415" s="1" t="s">
        <v>20962</v>
      </c>
      <c r="F12415" s="2"/>
      <c r="G12415" s="2"/>
      <c r="H12415" s="2"/>
    </row>
    <row r="12416" spans="1:8" x14ac:dyDescent="0.25">
      <c r="A12416" s="1"/>
      <c r="B12416" s="1" t="s">
        <v>5782</v>
      </c>
      <c r="C12416" s="1" t="s">
        <v>5783</v>
      </c>
      <c r="D12416" s="22" t="str">
        <f>HYPERLINK("https://rhld.insurance.arkansas.gov/NPILookup?Npi=1023757135","1023757135")</f>
        <v>1023757135</v>
      </c>
      <c r="E12416" s="1" t="s">
        <v>20963</v>
      </c>
      <c r="F12416" s="2"/>
      <c r="G12416" s="2"/>
      <c r="H12416" s="2"/>
    </row>
    <row r="12417" spans="1:8" x14ac:dyDescent="0.25">
      <c r="A12417" s="1"/>
      <c r="B12417" s="1" t="s">
        <v>5782</v>
      </c>
      <c r="C12417" s="1" t="s">
        <v>5783</v>
      </c>
      <c r="D12417" s="22" t="str">
        <f>HYPERLINK("https://rhld.insurance.arkansas.gov/NPILookup?Npi=1023778461","1023778461")</f>
        <v>1023778461</v>
      </c>
      <c r="E12417" s="1" t="s">
        <v>20964</v>
      </c>
      <c r="F12417" s="2"/>
      <c r="G12417" s="2"/>
      <c r="H12417" s="2"/>
    </row>
    <row r="12418" spans="1:8" x14ac:dyDescent="0.25">
      <c r="A12418" s="1"/>
      <c r="B12418" s="1" t="s">
        <v>5782</v>
      </c>
      <c r="C12418" s="1" t="s">
        <v>5783</v>
      </c>
      <c r="D12418" s="22" t="str">
        <f>HYPERLINK("https://rhld.insurance.arkansas.gov/NPILookup?Npi=1023783131","1023783131")</f>
        <v>1023783131</v>
      </c>
      <c r="E12418" s="1" t="s">
        <v>2261</v>
      </c>
      <c r="F12418" s="2"/>
      <c r="G12418" s="2"/>
      <c r="H12418" s="2"/>
    </row>
    <row r="12419" spans="1:8" x14ac:dyDescent="0.25">
      <c r="A12419" s="1"/>
      <c r="B12419" s="1" t="s">
        <v>5782</v>
      </c>
      <c r="C12419" s="1" t="s">
        <v>5783</v>
      </c>
      <c r="D12419" s="22" t="str">
        <f>HYPERLINK("https://rhld.insurance.arkansas.gov/NPILookup?Npi=1023792157","1023792157")</f>
        <v>1023792157</v>
      </c>
      <c r="E12419" s="1" t="s">
        <v>5821</v>
      </c>
      <c r="F12419" s="2"/>
      <c r="G12419" s="2"/>
      <c r="H12419" s="2"/>
    </row>
    <row r="12420" spans="1:8" x14ac:dyDescent="0.25">
      <c r="A12420" s="1"/>
      <c r="B12420" s="1" t="s">
        <v>5782</v>
      </c>
      <c r="C12420" s="1" t="s">
        <v>5783</v>
      </c>
      <c r="D12420" s="22" t="str">
        <f>HYPERLINK("https://rhld.insurance.arkansas.gov/NPILookup?Npi=1033109640","1033109640")</f>
        <v>1033109640</v>
      </c>
      <c r="E12420" s="1" t="s">
        <v>20965</v>
      </c>
      <c r="F12420" s="2"/>
      <c r="G12420" s="2"/>
      <c r="H12420" s="2"/>
    </row>
    <row r="12421" spans="1:8" x14ac:dyDescent="0.25">
      <c r="A12421" s="1"/>
      <c r="B12421" s="1" t="s">
        <v>5782</v>
      </c>
      <c r="C12421" s="1" t="s">
        <v>5783</v>
      </c>
      <c r="D12421" s="22" t="str">
        <f>HYPERLINK("https://rhld.insurance.arkansas.gov/NPILookup?Npi=1033123294","1033123294")</f>
        <v>1033123294</v>
      </c>
      <c r="E12421" s="1" t="s">
        <v>20966</v>
      </c>
      <c r="F12421" s="2"/>
      <c r="G12421" s="2"/>
      <c r="H12421" s="2"/>
    </row>
    <row r="12422" spans="1:8" x14ac:dyDescent="0.25">
      <c r="A12422" s="1"/>
      <c r="B12422" s="1" t="s">
        <v>5782</v>
      </c>
      <c r="C12422" s="1" t="s">
        <v>5783</v>
      </c>
      <c r="D12422" s="22" t="str">
        <f>HYPERLINK("https://rhld.insurance.arkansas.gov/NPILookup?Npi=1033147111","1033147111")</f>
        <v>1033147111</v>
      </c>
      <c r="E12422" s="1" t="s">
        <v>20967</v>
      </c>
      <c r="F12422" s="2"/>
      <c r="G12422" s="2"/>
      <c r="H12422" s="2"/>
    </row>
    <row r="12423" spans="1:8" x14ac:dyDescent="0.25">
      <c r="A12423" s="1"/>
      <c r="B12423" s="1" t="s">
        <v>5782</v>
      </c>
      <c r="C12423" s="1" t="s">
        <v>5783</v>
      </c>
      <c r="D12423" s="22" t="str">
        <f>HYPERLINK("https://rhld.insurance.arkansas.gov/NPILookup?Npi=1033176847","1033176847")</f>
        <v>1033176847</v>
      </c>
      <c r="E12423" s="1" t="s">
        <v>11420</v>
      </c>
      <c r="F12423" s="2"/>
      <c r="G12423" s="2"/>
      <c r="H12423" s="2"/>
    </row>
    <row r="12424" spans="1:8" x14ac:dyDescent="0.25">
      <c r="A12424" s="1"/>
      <c r="B12424" s="1" t="s">
        <v>5782</v>
      </c>
      <c r="C12424" s="1" t="s">
        <v>5783</v>
      </c>
      <c r="D12424" s="22" t="str">
        <f>HYPERLINK("https://rhld.insurance.arkansas.gov/NPILookup?Npi=1033196324","1033196324")</f>
        <v>1033196324</v>
      </c>
      <c r="E12424" s="1" t="s">
        <v>1049</v>
      </c>
      <c r="F12424" s="2"/>
      <c r="G12424" s="2"/>
      <c r="H12424" s="2"/>
    </row>
    <row r="12425" spans="1:8" x14ac:dyDescent="0.25">
      <c r="A12425" s="1"/>
      <c r="B12425" s="1" t="s">
        <v>5782</v>
      </c>
      <c r="C12425" s="1" t="s">
        <v>5783</v>
      </c>
      <c r="D12425" s="22" t="str">
        <f>HYPERLINK("https://rhld.insurance.arkansas.gov/NPILookup?Npi=1033235205","1033235205")</f>
        <v>1033235205</v>
      </c>
      <c r="E12425" s="1" t="s">
        <v>11421</v>
      </c>
      <c r="F12425" s="2"/>
      <c r="G12425" s="2"/>
      <c r="H12425" s="2"/>
    </row>
    <row r="12426" spans="1:8" x14ac:dyDescent="0.25">
      <c r="A12426" s="1"/>
      <c r="B12426" s="1" t="s">
        <v>5782</v>
      </c>
      <c r="C12426" s="1" t="s">
        <v>5783</v>
      </c>
      <c r="D12426" s="22" t="str">
        <f>HYPERLINK("https://rhld.insurance.arkansas.gov/NPILookup?Npi=1033280391","1033280391")</f>
        <v>1033280391</v>
      </c>
      <c r="E12426" s="1" t="s">
        <v>20968</v>
      </c>
      <c r="F12426" s="2"/>
      <c r="G12426" s="2"/>
      <c r="H12426" s="2"/>
    </row>
    <row r="12427" spans="1:8" x14ac:dyDescent="0.25">
      <c r="A12427" s="1"/>
      <c r="B12427" s="1" t="s">
        <v>5782</v>
      </c>
      <c r="C12427" s="1" t="s">
        <v>5783</v>
      </c>
      <c r="D12427" s="22" t="str">
        <f>HYPERLINK("https://rhld.insurance.arkansas.gov/NPILookup?Npi=1033316807","1033316807")</f>
        <v>1033316807</v>
      </c>
      <c r="E12427" s="1" t="s">
        <v>5822</v>
      </c>
      <c r="F12427" s="2"/>
      <c r="G12427" s="2"/>
      <c r="H12427" s="2"/>
    </row>
    <row r="12428" spans="1:8" x14ac:dyDescent="0.25">
      <c r="A12428" s="1"/>
      <c r="B12428" s="1" t="s">
        <v>5782</v>
      </c>
      <c r="C12428" s="1" t="s">
        <v>5783</v>
      </c>
      <c r="D12428" s="22" t="str">
        <f>HYPERLINK("https://rhld.insurance.arkansas.gov/NPILookup?Npi=1033359088","1033359088")</f>
        <v>1033359088</v>
      </c>
      <c r="E12428" s="1" t="s">
        <v>20969</v>
      </c>
      <c r="F12428" s="2"/>
      <c r="G12428" s="2"/>
      <c r="H12428" s="2"/>
    </row>
    <row r="12429" spans="1:8" x14ac:dyDescent="0.25">
      <c r="A12429" s="1"/>
      <c r="B12429" s="1" t="s">
        <v>5782</v>
      </c>
      <c r="C12429" s="1" t="s">
        <v>5783</v>
      </c>
      <c r="D12429" s="22" t="str">
        <f>HYPERLINK("https://rhld.insurance.arkansas.gov/NPILookup?Npi=1033366158","1033366158")</f>
        <v>1033366158</v>
      </c>
      <c r="E12429" s="1" t="s">
        <v>11423</v>
      </c>
      <c r="F12429" s="2"/>
      <c r="G12429" s="2"/>
      <c r="H12429" s="2"/>
    </row>
    <row r="12430" spans="1:8" x14ac:dyDescent="0.25">
      <c r="A12430" s="1"/>
      <c r="B12430" s="1" t="s">
        <v>5782</v>
      </c>
      <c r="C12430" s="1" t="s">
        <v>5783</v>
      </c>
      <c r="D12430" s="22" t="str">
        <f>HYPERLINK("https://rhld.insurance.arkansas.gov/NPILookup?Npi=1033367412","1033367412")</f>
        <v>1033367412</v>
      </c>
      <c r="E12430" s="1" t="s">
        <v>20970</v>
      </c>
      <c r="F12430" s="2"/>
      <c r="G12430" s="2"/>
      <c r="H12430" s="2"/>
    </row>
    <row r="12431" spans="1:8" x14ac:dyDescent="0.25">
      <c r="A12431" s="1"/>
      <c r="B12431" s="1" t="s">
        <v>5782</v>
      </c>
      <c r="C12431" s="1" t="s">
        <v>5783</v>
      </c>
      <c r="D12431" s="22" t="str">
        <f>HYPERLINK("https://rhld.insurance.arkansas.gov/NPILookup?Npi=1033382734","1033382734")</f>
        <v>1033382734</v>
      </c>
      <c r="E12431" s="1" t="s">
        <v>5823</v>
      </c>
      <c r="F12431" s="2"/>
      <c r="G12431" s="2"/>
      <c r="H12431" s="2"/>
    </row>
    <row r="12432" spans="1:8" x14ac:dyDescent="0.25">
      <c r="A12432" s="1"/>
      <c r="B12432" s="1" t="s">
        <v>5782</v>
      </c>
      <c r="C12432" s="1" t="s">
        <v>5783</v>
      </c>
      <c r="D12432" s="22" t="str">
        <f>HYPERLINK("https://rhld.insurance.arkansas.gov/NPILookup?Npi=1033425483","1033425483")</f>
        <v>1033425483</v>
      </c>
      <c r="E12432" s="1" t="s">
        <v>20971</v>
      </c>
      <c r="F12432" s="2"/>
      <c r="G12432" s="2"/>
      <c r="H12432" s="2"/>
    </row>
    <row r="12433" spans="1:8" x14ac:dyDescent="0.25">
      <c r="A12433" s="1"/>
      <c r="B12433" s="1" t="s">
        <v>5782</v>
      </c>
      <c r="C12433" s="1" t="s">
        <v>5783</v>
      </c>
      <c r="D12433" s="22" t="str">
        <f>HYPERLINK("https://rhld.insurance.arkansas.gov/NPILookup?Npi=1033436472","1033436472")</f>
        <v>1033436472</v>
      </c>
      <c r="E12433" s="1" t="s">
        <v>20972</v>
      </c>
      <c r="F12433" s="2"/>
      <c r="G12433" s="2"/>
      <c r="H12433" s="2"/>
    </row>
    <row r="12434" spans="1:8" x14ac:dyDescent="0.25">
      <c r="A12434" s="1"/>
      <c r="B12434" s="1" t="s">
        <v>5782</v>
      </c>
      <c r="C12434" s="1" t="s">
        <v>5783</v>
      </c>
      <c r="D12434" s="22" t="str">
        <f>HYPERLINK("https://rhld.insurance.arkansas.gov/NPILookup?Npi=1033457411","1033457411")</f>
        <v>1033457411</v>
      </c>
      <c r="E12434" s="1" t="s">
        <v>5824</v>
      </c>
      <c r="F12434" s="2"/>
      <c r="G12434" s="2"/>
      <c r="H12434" s="2"/>
    </row>
    <row r="12435" spans="1:8" x14ac:dyDescent="0.25">
      <c r="A12435" s="1"/>
      <c r="B12435" s="1" t="s">
        <v>5782</v>
      </c>
      <c r="C12435" s="1" t="s">
        <v>5783</v>
      </c>
      <c r="D12435" s="22" t="str">
        <f>HYPERLINK("https://rhld.insurance.arkansas.gov/NPILookup?Npi=1033458716","1033458716")</f>
        <v>1033458716</v>
      </c>
      <c r="E12435" s="1" t="s">
        <v>20973</v>
      </c>
      <c r="F12435" s="2"/>
      <c r="G12435" s="2"/>
      <c r="H12435" s="2"/>
    </row>
    <row r="12436" spans="1:8" x14ac:dyDescent="0.25">
      <c r="A12436" s="1"/>
      <c r="B12436" s="1" t="s">
        <v>5782</v>
      </c>
      <c r="C12436" s="1" t="s">
        <v>5783</v>
      </c>
      <c r="D12436" s="22" t="str">
        <f>HYPERLINK("https://rhld.insurance.arkansas.gov/NPILookup?Npi=1033460043","1033460043")</f>
        <v>1033460043</v>
      </c>
      <c r="E12436" s="1" t="s">
        <v>5825</v>
      </c>
      <c r="F12436" s="2"/>
      <c r="G12436" s="2"/>
      <c r="H12436" s="2"/>
    </row>
    <row r="12437" spans="1:8" x14ac:dyDescent="0.25">
      <c r="A12437" s="1"/>
      <c r="B12437" s="1" t="s">
        <v>5782</v>
      </c>
      <c r="C12437" s="1" t="s">
        <v>5783</v>
      </c>
      <c r="D12437" s="22" t="str">
        <f>HYPERLINK("https://rhld.insurance.arkansas.gov/NPILookup?Npi=1033461629","1033461629")</f>
        <v>1033461629</v>
      </c>
      <c r="E12437" s="1" t="s">
        <v>31785</v>
      </c>
      <c r="F12437" s="2"/>
      <c r="G12437" s="2"/>
      <c r="H12437" s="2"/>
    </row>
    <row r="12438" spans="1:8" x14ac:dyDescent="0.25">
      <c r="A12438" s="1"/>
      <c r="B12438" s="1" t="s">
        <v>5782</v>
      </c>
      <c r="C12438" s="1" t="s">
        <v>5783</v>
      </c>
      <c r="D12438" s="22" t="str">
        <f>HYPERLINK("https://rhld.insurance.arkansas.gov/NPILookup?Npi=1033464870","1033464870")</f>
        <v>1033464870</v>
      </c>
      <c r="E12438" s="1" t="s">
        <v>20974</v>
      </c>
      <c r="F12438" s="2"/>
      <c r="G12438" s="2"/>
      <c r="H12438" s="2"/>
    </row>
    <row r="12439" spans="1:8" x14ac:dyDescent="0.25">
      <c r="A12439" s="1"/>
      <c r="B12439" s="1" t="s">
        <v>5782</v>
      </c>
      <c r="C12439" s="1" t="s">
        <v>5783</v>
      </c>
      <c r="D12439" s="22" t="str">
        <f>HYPERLINK("https://rhld.insurance.arkansas.gov/NPILookup?Npi=1033472303","1033472303")</f>
        <v>1033472303</v>
      </c>
      <c r="E12439" s="1" t="s">
        <v>5826</v>
      </c>
      <c r="F12439" s="2"/>
      <c r="G12439" s="2"/>
      <c r="H12439" s="2"/>
    </row>
    <row r="12440" spans="1:8" x14ac:dyDescent="0.25">
      <c r="A12440" s="1"/>
      <c r="B12440" s="1" t="s">
        <v>5782</v>
      </c>
      <c r="C12440" s="1" t="s">
        <v>5783</v>
      </c>
      <c r="D12440" s="22" t="str">
        <f>HYPERLINK("https://rhld.insurance.arkansas.gov/NPILookup?Npi=1033472964","1033472964")</f>
        <v>1033472964</v>
      </c>
      <c r="E12440" s="1" t="s">
        <v>3175</v>
      </c>
      <c r="F12440" s="2"/>
      <c r="G12440" s="2"/>
      <c r="H12440" s="2"/>
    </row>
    <row r="12441" spans="1:8" x14ac:dyDescent="0.25">
      <c r="A12441" s="1"/>
      <c r="B12441" s="1" t="s">
        <v>5782</v>
      </c>
      <c r="C12441" s="1" t="s">
        <v>5783</v>
      </c>
      <c r="D12441" s="22" t="str">
        <f>HYPERLINK("https://rhld.insurance.arkansas.gov/NPILookup?Npi=1033474101","1033474101")</f>
        <v>1033474101</v>
      </c>
      <c r="E12441" s="1" t="s">
        <v>1653</v>
      </c>
      <c r="F12441" s="2"/>
      <c r="G12441" s="2"/>
      <c r="H12441" s="2"/>
    </row>
    <row r="12442" spans="1:8" x14ac:dyDescent="0.25">
      <c r="A12442" s="1"/>
      <c r="B12442" s="1" t="s">
        <v>5782</v>
      </c>
      <c r="C12442" s="1" t="s">
        <v>5783</v>
      </c>
      <c r="D12442" s="22" t="str">
        <f>HYPERLINK("https://rhld.insurance.arkansas.gov/NPILookup?Npi=1033483706","1033483706")</f>
        <v>1033483706</v>
      </c>
      <c r="E12442" s="1" t="s">
        <v>20975</v>
      </c>
      <c r="F12442" s="2"/>
      <c r="G12442" s="2"/>
      <c r="H12442" s="2"/>
    </row>
    <row r="12443" spans="1:8" x14ac:dyDescent="0.25">
      <c r="A12443" s="1"/>
      <c r="B12443" s="1" t="s">
        <v>5782</v>
      </c>
      <c r="C12443" s="1" t="s">
        <v>5783</v>
      </c>
      <c r="D12443" s="22" t="str">
        <f>HYPERLINK("https://rhld.insurance.arkansas.gov/NPILookup?Npi=1033484605","1033484605")</f>
        <v>1033484605</v>
      </c>
      <c r="E12443" s="1" t="s">
        <v>11424</v>
      </c>
      <c r="F12443" s="2"/>
      <c r="G12443" s="2"/>
      <c r="H12443" s="2"/>
    </row>
    <row r="12444" spans="1:8" x14ac:dyDescent="0.25">
      <c r="A12444" s="1"/>
      <c r="B12444" s="1" t="s">
        <v>5782</v>
      </c>
      <c r="C12444" s="1" t="s">
        <v>5783</v>
      </c>
      <c r="D12444" s="22" t="str">
        <f>HYPERLINK("https://rhld.insurance.arkansas.gov/NPILookup?Npi=1033501259","1033501259")</f>
        <v>1033501259</v>
      </c>
      <c r="E12444" s="1" t="s">
        <v>5827</v>
      </c>
      <c r="F12444" s="2"/>
      <c r="G12444" s="2"/>
      <c r="H12444" s="2"/>
    </row>
    <row r="12445" spans="1:8" x14ac:dyDescent="0.25">
      <c r="A12445" s="1"/>
      <c r="B12445" s="1" t="s">
        <v>5782</v>
      </c>
      <c r="C12445" s="1" t="s">
        <v>5783</v>
      </c>
      <c r="D12445" s="22" t="str">
        <f>HYPERLINK("https://rhld.insurance.arkansas.gov/NPILookup?Npi=1033504956","1033504956")</f>
        <v>1033504956</v>
      </c>
      <c r="E12445" s="1" t="s">
        <v>31786</v>
      </c>
      <c r="F12445" s="2"/>
      <c r="G12445" s="2"/>
      <c r="H12445" s="2"/>
    </row>
    <row r="12446" spans="1:8" x14ac:dyDescent="0.25">
      <c r="A12446" s="1"/>
      <c r="B12446" s="1" t="s">
        <v>5782</v>
      </c>
      <c r="C12446" s="1" t="s">
        <v>5783</v>
      </c>
      <c r="D12446" s="22" t="str">
        <f>HYPERLINK("https://rhld.insurance.arkansas.gov/NPILookup?Npi=1033505136","1033505136")</f>
        <v>1033505136</v>
      </c>
      <c r="E12446" s="1" t="s">
        <v>5828</v>
      </c>
      <c r="F12446" s="2"/>
      <c r="G12446" s="2"/>
      <c r="H12446" s="2"/>
    </row>
    <row r="12447" spans="1:8" x14ac:dyDescent="0.25">
      <c r="A12447" s="1"/>
      <c r="B12447" s="1" t="s">
        <v>5782</v>
      </c>
      <c r="C12447" s="1" t="s">
        <v>5783</v>
      </c>
      <c r="D12447" s="22" t="str">
        <f>HYPERLINK("https://rhld.insurance.arkansas.gov/NPILookup?Npi=1033510037","1033510037")</f>
        <v>1033510037</v>
      </c>
      <c r="E12447" s="1" t="s">
        <v>1495</v>
      </c>
      <c r="F12447" s="2"/>
      <c r="G12447" s="2"/>
      <c r="H12447" s="2"/>
    </row>
    <row r="12448" spans="1:8" x14ac:dyDescent="0.25">
      <c r="A12448" s="1"/>
      <c r="B12448" s="1" t="s">
        <v>5782</v>
      </c>
      <c r="C12448" s="1" t="s">
        <v>5783</v>
      </c>
      <c r="D12448" s="22" t="str">
        <f>HYPERLINK("https://rhld.insurance.arkansas.gov/NPILookup?Npi=1033513809","1033513809")</f>
        <v>1033513809</v>
      </c>
      <c r="E12448" s="1" t="s">
        <v>11425</v>
      </c>
      <c r="F12448" s="2"/>
      <c r="G12448" s="2"/>
      <c r="H12448" s="2"/>
    </row>
    <row r="12449" spans="1:8" x14ac:dyDescent="0.25">
      <c r="A12449" s="1"/>
      <c r="B12449" s="1" t="s">
        <v>5782</v>
      </c>
      <c r="C12449" s="1" t="s">
        <v>5783</v>
      </c>
      <c r="D12449" s="22" t="str">
        <f>HYPERLINK("https://rhld.insurance.arkansas.gov/NPILookup?Npi=1033515341","1033515341")</f>
        <v>1033515341</v>
      </c>
      <c r="E12449" s="1" t="s">
        <v>20976</v>
      </c>
      <c r="F12449" s="2"/>
      <c r="G12449" s="2"/>
      <c r="H12449" s="2"/>
    </row>
    <row r="12450" spans="1:8" x14ac:dyDescent="0.25">
      <c r="A12450" s="1"/>
      <c r="B12450" s="1" t="s">
        <v>5782</v>
      </c>
      <c r="C12450" s="1" t="s">
        <v>5783</v>
      </c>
      <c r="D12450" s="22" t="str">
        <f>HYPERLINK("https://rhld.insurance.arkansas.gov/NPILookup?Npi=1033522412","1033522412")</f>
        <v>1033522412</v>
      </c>
      <c r="E12450" s="1" t="s">
        <v>20977</v>
      </c>
      <c r="F12450" s="2"/>
      <c r="G12450" s="2"/>
      <c r="H12450" s="2"/>
    </row>
    <row r="12451" spans="1:8" x14ac:dyDescent="0.25">
      <c r="A12451" s="1"/>
      <c r="B12451" s="1" t="s">
        <v>5782</v>
      </c>
      <c r="C12451" s="1" t="s">
        <v>5783</v>
      </c>
      <c r="D12451" s="22" t="str">
        <f>HYPERLINK("https://rhld.insurance.arkansas.gov/NPILookup?Npi=1033527213","1033527213")</f>
        <v>1033527213</v>
      </c>
      <c r="E12451" s="1" t="s">
        <v>1951</v>
      </c>
      <c r="F12451" s="2"/>
      <c r="G12451" s="2"/>
      <c r="H12451" s="2"/>
    </row>
    <row r="12452" spans="1:8" x14ac:dyDescent="0.25">
      <c r="A12452" s="1"/>
      <c r="B12452" s="1" t="s">
        <v>5782</v>
      </c>
      <c r="C12452" s="1" t="s">
        <v>5783</v>
      </c>
      <c r="D12452" s="22" t="str">
        <f>HYPERLINK("https://rhld.insurance.arkansas.gov/NPILookup?Npi=1033556303","1033556303")</f>
        <v>1033556303</v>
      </c>
      <c r="E12452" s="1" t="s">
        <v>11426</v>
      </c>
      <c r="F12452" s="2"/>
      <c r="G12452" s="2"/>
      <c r="H12452" s="2"/>
    </row>
    <row r="12453" spans="1:8" x14ac:dyDescent="0.25">
      <c r="A12453" s="1"/>
      <c r="B12453" s="1" t="s">
        <v>5782</v>
      </c>
      <c r="C12453" s="1" t="s">
        <v>5783</v>
      </c>
      <c r="D12453" s="22" t="str">
        <f>HYPERLINK("https://rhld.insurance.arkansas.gov/NPILookup?Npi=1033578323","1033578323")</f>
        <v>1033578323</v>
      </c>
      <c r="E12453" s="1" t="s">
        <v>11427</v>
      </c>
      <c r="F12453" s="2"/>
      <c r="G12453" s="2"/>
      <c r="H12453" s="2"/>
    </row>
    <row r="12454" spans="1:8" x14ac:dyDescent="0.25">
      <c r="A12454" s="1"/>
      <c r="B12454" s="1" t="s">
        <v>5782</v>
      </c>
      <c r="C12454" s="1" t="s">
        <v>5783</v>
      </c>
      <c r="D12454" s="22" t="str">
        <f>HYPERLINK("https://rhld.insurance.arkansas.gov/NPILookup?Npi=1033601703","1033601703")</f>
        <v>1033601703</v>
      </c>
      <c r="E12454" s="1" t="s">
        <v>1839</v>
      </c>
      <c r="F12454" s="2"/>
      <c r="G12454" s="2"/>
      <c r="H12454" s="2"/>
    </row>
    <row r="12455" spans="1:8" x14ac:dyDescent="0.25">
      <c r="A12455" s="1"/>
      <c r="B12455" s="1" t="s">
        <v>5782</v>
      </c>
      <c r="C12455" s="1" t="s">
        <v>5783</v>
      </c>
      <c r="D12455" s="22" t="str">
        <f>HYPERLINK("https://rhld.insurance.arkansas.gov/NPILookup?Npi=1033618376","1033618376")</f>
        <v>1033618376</v>
      </c>
      <c r="E12455" s="1" t="s">
        <v>1895</v>
      </c>
      <c r="F12455" s="2"/>
      <c r="G12455" s="2"/>
      <c r="H12455" s="2"/>
    </row>
    <row r="12456" spans="1:8" x14ac:dyDescent="0.25">
      <c r="A12456" s="1"/>
      <c r="B12456" s="1" t="s">
        <v>5782</v>
      </c>
      <c r="C12456" s="1" t="s">
        <v>5783</v>
      </c>
      <c r="D12456" s="22" t="str">
        <f>HYPERLINK("https://rhld.insurance.arkansas.gov/NPILookup?Npi=1033619077","1033619077")</f>
        <v>1033619077</v>
      </c>
      <c r="E12456" s="1" t="s">
        <v>20978</v>
      </c>
      <c r="F12456" s="2"/>
      <c r="G12456" s="2"/>
      <c r="H12456" s="2"/>
    </row>
    <row r="12457" spans="1:8" x14ac:dyDescent="0.25">
      <c r="A12457" s="1"/>
      <c r="B12457" s="1" t="s">
        <v>5782</v>
      </c>
      <c r="C12457" s="1" t="s">
        <v>5783</v>
      </c>
      <c r="D12457" s="22" t="str">
        <f>HYPERLINK("https://rhld.insurance.arkansas.gov/NPILookup?Npi=1033619622","1033619622")</f>
        <v>1033619622</v>
      </c>
      <c r="E12457" s="1" t="s">
        <v>5829</v>
      </c>
      <c r="F12457" s="2"/>
      <c r="G12457" s="2"/>
      <c r="H12457" s="2"/>
    </row>
    <row r="12458" spans="1:8" x14ac:dyDescent="0.25">
      <c r="A12458" s="1"/>
      <c r="B12458" s="1" t="s">
        <v>5782</v>
      </c>
      <c r="C12458" s="1" t="s">
        <v>5783</v>
      </c>
      <c r="D12458" s="22" t="str">
        <f>HYPERLINK("https://rhld.insurance.arkansas.gov/NPILookup?Npi=1033628995","1033628995")</f>
        <v>1033628995</v>
      </c>
      <c r="E12458" s="1" t="s">
        <v>5830</v>
      </c>
      <c r="F12458" s="2"/>
      <c r="G12458" s="2"/>
      <c r="H12458" s="2"/>
    </row>
    <row r="12459" spans="1:8" x14ac:dyDescent="0.25">
      <c r="A12459" s="1"/>
      <c r="B12459" s="1" t="s">
        <v>5782</v>
      </c>
      <c r="C12459" s="1" t="s">
        <v>5783</v>
      </c>
      <c r="D12459" s="22" t="str">
        <f>HYPERLINK("https://rhld.insurance.arkansas.gov/NPILookup?Npi=1033634670","1033634670")</f>
        <v>1033634670</v>
      </c>
      <c r="E12459" s="1" t="s">
        <v>11428</v>
      </c>
      <c r="F12459" s="2"/>
      <c r="G12459" s="2"/>
      <c r="H12459" s="2"/>
    </row>
    <row r="12460" spans="1:8" x14ac:dyDescent="0.25">
      <c r="A12460" s="1"/>
      <c r="B12460" s="1" t="s">
        <v>5782</v>
      </c>
      <c r="C12460" s="1" t="s">
        <v>5783</v>
      </c>
      <c r="D12460" s="22" t="str">
        <f>HYPERLINK("https://rhld.insurance.arkansas.gov/NPILookup?Npi=1033635974","1033635974")</f>
        <v>1033635974</v>
      </c>
      <c r="E12460" s="1" t="s">
        <v>1245</v>
      </c>
      <c r="F12460" s="2"/>
      <c r="G12460" s="2"/>
      <c r="H12460" s="2"/>
    </row>
    <row r="12461" spans="1:8" x14ac:dyDescent="0.25">
      <c r="A12461" s="1"/>
      <c r="B12461" s="1" t="s">
        <v>5782</v>
      </c>
      <c r="C12461" s="1" t="s">
        <v>5783</v>
      </c>
      <c r="D12461" s="22" t="str">
        <f>HYPERLINK("https://rhld.insurance.arkansas.gov/NPILookup?Npi=1033649892","1033649892")</f>
        <v>1033649892</v>
      </c>
      <c r="E12461" s="1" t="s">
        <v>31787</v>
      </c>
      <c r="F12461" s="2"/>
      <c r="G12461" s="2"/>
      <c r="H12461" s="2"/>
    </row>
    <row r="12462" spans="1:8" x14ac:dyDescent="0.25">
      <c r="A12462" s="1"/>
      <c r="B12462" s="1" t="s">
        <v>5782</v>
      </c>
      <c r="C12462" s="1" t="s">
        <v>5783</v>
      </c>
      <c r="D12462" s="22" t="str">
        <f>HYPERLINK("https://rhld.insurance.arkansas.gov/NPILookup?Npi=1033660071","1033660071")</f>
        <v>1033660071</v>
      </c>
      <c r="E12462" s="1" t="s">
        <v>1589</v>
      </c>
      <c r="F12462" s="2"/>
      <c r="G12462" s="2"/>
      <c r="H12462" s="2"/>
    </row>
    <row r="12463" spans="1:8" x14ac:dyDescent="0.25">
      <c r="A12463" s="1"/>
      <c r="B12463" s="1" t="s">
        <v>5782</v>
      </c>
      <c r="C12463" s="1" t="s">
        <v>5783</v>
      </c>
      <c r="D12463" s="22" t="str">
        <f>HYPERLINK("https://rhld.insurance.arkansas.gov/NPILookup?Npi=1033663331","1033663331")</f>
        <v>1033663331</v>
      </c>
      <c r="E12463" s="1" t="s">
        <v>20979</v>
      </c>
      <c r="F12463" s="2"/>
      <c r="G12463" s="2"/>
      <c r="H12463" s="2"/>
    </row>
    <row r="12464" spans="1:8" x14ac:dyDescent="0.25">
      <c r="A12464" s="1"/>
      <c r="B12464" s="1" t="s">
        <v>5782</v>
      </c>
      <c r="C12464" s="1" t="s">
        <v>5783</v>
      </c>
      <c r="D12464" s="22" t="str">
        <f>HYPERLINK("https://rhld.insurance.arkansas.gov/NPILookup?Npi=1033667431","1033667431")</f>
        <v>1033667431</v>
      </c>
      <c r="E12464" s="1" t="s">
        <v>5832</v>
      </c>
      <c r="F12464" s="2"/>
      <c r="G12464" s="2"/>
      <c r="H12464" s="2"/>
    </row>
    <row r="12465" spans="1:8" x14ac:dyDescent="0.25">
      <c r="A12465" s="1"/>
      <c r="B12465" s="1" t="s">
        <v>5782</v>
      </c>
      <c r="C12465" s="1" t="s">
        <v>5783</v>
      </c>
      <c r="D12465" s="22" t="str">
        <f>HYPERLINK("https://rhld.insurance.arkansas.gov/NPILookup?Npi=1033682554","1033682554")</f>
        <v>1033682554</v>
      </c>
      <c r="E12465" s="1" t="s">
        <v>20980</v>
      </c>
      <c r="F12465" s="2"/>
      <c r="G12465" s="2"/>
      <c r="H12465" s="2"/>
    </row>
    <row r="12466" spans="1:8" x14ac:dyDescent="0.25">
      <c r="A12466" s="1"/>
      <c r="B12466" s="1" t="s">
        <v>5782</v>
      </c>
      <c r="C12466" s="1" t="s">
        <v>5783</v>
      </c>
      <c r="D12466" s="22" t="str">
        <f>HYPERLINK("https://rhld.insurance.arkansas.gov/NPILookup?Npi=1033698576","1033698576")</f>
        <v>1033698576</v>
      </c>
      <c r="E12466" s="1" t="s">
        <v>20981</v>
      </c>
      <c r="F12466" s="2"/>
      <c r="G12466" s="2"/>
      <c r="H12466" s="2"/>
    </row>
    <row r="12467" spans="1:8" x14ac:dyDescent="0.25">
      <c r="A12467" s="1"/>
      <c r="B12467" s="1" t="s">
        <v>5782</v>
      </c>
      <c r="C12467" s="1" t="s">
        <v>5783</v>
      </c>
      <c r="D12467" s="22" t="str">
        <f>HYPERLINK("https://rhld.insurance.arkansas.gov/NPILookup?Npi=1033711205","1033711205")</f>
        <v>1033711205</v>
      </c>
      <c r="E12467" s="1" t="s">
        <v>31788</v>
      </c>
      <c r="F12467" s="2"/>
      <c r="G12467" s="2"/>
      <c r="H12467" s="2"/>
    </row>
    <row r="12468" spans="1:8" x14ac:dyDescent="0.25">
      <c r="A12468" s="1"/>
      <c r="B12468" s="1" t="s">
        <v>5782</v>
      </c>
      <c r="C12468" s="1" t="s">
        <v>5783</v>
      </c>
      <c r="D12468" s="22" t="str">
        <f>HYPERLINK("https://rhld.insurance.arkansas.gov/NPILookup?Npi=1033718804","1033718804")</f>
        <v>1033718804</v>
      </c>
      <c r="E12468" s="1" t="s">
        <v>18794</v>
      </c>
      <c r="F12468" s="2"/>
      <c r="G12468" s="2"/>
      <c r="H12468" s="2"/>
    </row>
    <row r="12469" spans="1:8" x14ac:dyDescent="0.25">
      <c r="A12469" s="1"/>
      <c r="B12469" s="1" t="s">
        <v>5782</v>
      </c>
      <c r="C12469" s="1" t="s">
        <v>5783</v>
      </c>
      <c r="D12469" s="22" t="str">
        <f>HYPERLINK("https://rhld.insurance.arkansas.gov/NPILookup?Npi=1033721758","1033721758")</f>
        <v>1033721758</v>
      </c>
      <c r="E12469" s="1" t="s">
        <v>5833</v>
      </c>
      <c r="F12469" s="2"/>
      <c r="G12469" s="2"/>
      <c r="H12469" s="2"/>
    </row>
    <row r="12470" spans="1:8" x14ac:dyDescent="0.25">
      <c r="A12470" s="1"/>
      <c r="B12470" s="1" t="s">
        <v>5782</v>
      </c>
      <c r="C12470" s="1" t="s">
        <v>5783</v>
      </c>
      <c r="D12470" s="22" t="str">
        <f>HYPERLINK("https://rhld.insurance.arkansas.gov/NPILookup?Npi=1033721816","1033721816")</f>
        <v>1033721816</v>
      </c>
      <c r="E12470" s="1" t="s">
        <v>20982</v>
      </c>
      <c r="F12470" s="2"/>
      <c r="G12470" s="2"/>
      <c r="H12470" s="2"/>
    </row>
    <row r="12471" spans="1:8" x14ac:dyDescent="0.25">
      <c r="A12471" s="1"/>
      <c r="B12471" s="1" t="s">
        <v>5782</v>
      </c>
      <c r="C12471" s="1" t="s">
        <v>5783</v>
      </c>
      <c r="D12471" s="22" t="str">
        <f>HYPERLINK("https://rhld.insurance.arkansas.gov/NPILookup?Npi=1033737549","1033737549")</f>
        <v>1033737549</v>
      </c>
      <c r="E12471" s="1" t="s">
        <v>5834</v>
      </c>
      <c r="F12471" s="2"/>
      <c r="G12471" s="2"/>
      <c r="H12471" s="2"/>
    </row>
    <row r="12472" spans="1:8" x14ac:dyDescent="0.25">
      <c r="A12472" s="1"/>
      <c r="B12472" s="1" t="s">
        <v>5782</v>
      </c>
      <c r="C12472" s="1" t="s">
        <v>5783</v>
      </c>
      <c r="D12472" s="22" t="str">
        <f>HYPERLINK("https://rhld.insurance.arkansas.gov/NPILookup?Npi=1033750914","1033750914")</f>
        <v>1033750914</v>
      </c>
      <c r="E12472" s="1" t="s">
        <v>20983</v>
      </c>
      <c r="F12472" s="2"/>
      <c r="G12472" s="2"/>
      <c r="H12472" s="2"/>
    </row>
    <row r="12473" spans="1:8" x14ac:dyDescent="0.25">
      <c r="A12473" s="1"/>
      <c r="B12473" s="1" t="s">
        <v>5782</v>
      </c>
      <c r="C12473" s="1" t="s">
        <v>5783</v>
      </c>
      <c r="D12473" s="22" t="str">
        <f>HYPERLINK("https://rhld.insurance.arkansas.gov/NPILookup?Npi=1033757968","1033757968")</f>
        <v>1033757968</v>
      </c>
      <c r="E12473" s="1" t="s">
        <v>20984</v>
      </c>
      <c r="F12473" s="2"/>
      <c r="G12473" s="2"/>
      <c r="H12473" s="2"/>
    </row>
    <row r="12474" spans="1:8" x14ac:dyDescent="0.25">
      <c r="A12474" s="1"/>
      <c r="B12474" s="1" t="s">
        <v>5782</v>
      </c>
      <c r="C12474" s="1" t="s">
        <v>5783</v>
      </c>
      <c r="D12474" s="22" t="str">
        <f>HYPERLINK("https://rhld.insurance.arkansas.gov/NPILookup?Npi=1033763263","1033763263")</f>
        <v>1033763263</v>
      </c>
      <c r="E12474" s="1" t="s">
        <v>20985</v>
      </c>
      <c r="F12474" s="2"/>
      <c r="G12474" s="2"/>
      <c r="H12474" s="2"/>
    </row>
    <row r="12475" spans="1:8" x14ac:dyDescent="0.25">
      <c r="A12475" s="1"/>
      <c r="B12475" s="1" t="s">
        <v>5782</v>
      </c>
      <c r="C12475" s="1" t="s">
        <v>5783</v>
      </c>
      <c r="D12475" s="22" t="str">
        <f>HYPERLINK("https://rhld.insurance.arkansas.gov/NPILookup?Npi=1033765458","1033765458")</f>
        <v>1033765458</v>
      </c>
      <c r="E12475" s="1" t="s">
        <v>5835</v>
      </c>
      <c r="F12475" s="2"/>
      <c r="G12475" s="2"/>
      <c r="H12475" s="2"/>
    </row>
    <row r="12476" spans="1:8" x14ac:dyDescent="0.25">
      <c r="A12476" s="1"/>
      <c r="B12476" s="1" t="s">
        <v>5782</v>
      </c>
      <c r="C12476" s="1" t="s">
        <v>5783</v>
      </c>
      <c r="D12476" s="22" t="str">
        <f>HYPERLINK("https://rhld.insurance.arkansas.gov/NPILookup?Npi=1033765490","1033765490")</f>
        <v>1033765490</v>
      </c>
      <c r="E12476" s="1" t="s">
        <v>20986</v>
      </c>
      <c r="F12476" s="2"/>
      <c r="G12476" s="2"/>
      <c r="H12476" s="2"/>
    </row>
    <row r="12477" spans="1:8" x14ac:dyDescent="0.25">
      <c r="A12477" s="1"/>
      <c r="B12477" s="1" t="s">
        <v>5782</v>
      </c>
      <c r="C12477" s="1" t="s">
        <v>5783</v>
      </c>
      <c r="D12477" s="22" t="str">
        <f>HYPERLINK("https://rhld.insurance.arkansas.gov/NPILookup?Npi=1033804687","1033804687")</f>
        <v>1033804687</v>
      </c>
      <c r="E12477" s="1" t="s">
        <v>5836</v>
      </c>
      <c r="F12477" s="2"/>
      <c r="G12477" s="2"/>
      <c r="H12477" s="2"/>
    </row>
    <row r="12478" spans="1:8" x14ac:dyDescent="0.25">
      <c r="A12478" s="1"/>
      <c r="B12478" s="1" t="s">
        <v>5782</v>
      </c>
      <c r="C12478" s="1" t="s">
        <v>5783</v>
      </c>
      <c r="D12478" s="22" t="str">
        <f>HYPERLINK("https://rhld.insurance.arkansas.gov/NPILookup?Npi=1033834239","1033834239")</f>
        <v>1033834239</v>
      </c>
      <c r="E12478" s="1" t="s">
        <v>5837</v>
      </c>
      <c r="F12478" s="2"/>
      <c r="G12478" s="2"/>
      <c r="H12478" s="2"/>
    </row>
    <row r="12479" spans="1:8" x14ac:dyDescent="0.25">
      <c r="A12479" s="1"/>
      <c r="B12479" s="1" t="s">
        <v>5782</v>
      </c>
      <c r="C12479" s="1" t="s">
        <v>5783</v>
      </c>
      <c r="D12479" s="22" t="str">
        <f>HYPERLINK("https://rhld.insurance.arkansas.gov/NPILookup?Npi=1033838487","1033838487")</f>
        <v>1033838487</v>
      </c>
      <c r="E12479" s="1" t="s">
        <v>11429</v>
      </c>
      <c r="F12479" s="2"/>
      <c r="G12479" s="2"/>
      <c r="H12479" s="2"/>
    </row>
    <row r="12480" spans="1:8" x14ac:dyDescent="0.25">
      <c r="A12480" s="1"/>
      <c r="B12480" s="1" t="s">
        <v>5782</v>
      </c>
      <c r="C12480" s="1" t="s">
        <v>5783</v>
      </c>
      <c r="D12480" s="22" t="str">
        <f>HYPERLINK("https://rhld.insurance.arkansas.gov/NPILookup?Npi=1033868807","1033868807")</f>
        <v>1033868807</v>
      </c>
      <c r="E12480" s="1" t="s">
        <v>5838</v>
      </c>
      <c r="F12480" s="2"/>
      <c r="G12480" s="2"/>
      <c r="H12480" s="2"/>
    </row>
    <row r="12481" spans="1:8" x14ac:dyDescent="0.25">
      <c r="A12481" s="1"/>
      <c r="B12481" s="1" t="s">
        <v>5782</v>
      </c>
      <c r="C12481" s="1" t="s">
        <v>5783</v>
      </c>
      <c r="D12481" s="22" t="str">
        <f>HYPERLINK("https://rhld.insurance.arkansas.gov/NPILookup?Npi=1033879465","1033879465")</f>
        <v>1033879465</v>
      </c>
      <c r="E12481" s="1" t="s">
        <v>20987</v>
      </c>
      <c r="F12481" s="2"/>
      <c r="G12481" s="2"/>
      <c r="H12481" s="2"/>
    </row>
    <row r="12482" spans="1:8" x14ac:dyDescent="0.25">
      <c r="A12482" s="1"/>
      <c r="B12482" s="1" t="s">
        <v>5782</v>
      </c>
      <c r="C12482" s="1" t="s">
        <v>5783</v>
      </c>
      <c r="D12482" s="22" t="str">
        <f>HYPERLINK("https://rhld.insurance.arkansas.gov/NPILookup?Npi=1033886585","1033886585")</f>
        <v>1033886585</v>
      </c>
      <c r="E12482" s="1" t="s">
        <v>11430</v>
      </c>
      <c r="F12482" s="2"/>
      <c r="G12482" s="2"/>
      <c r="H12482" s="2"/>
    </row>
    <row r="12483" spans="1:8" x14ac:dyDescent="0.25">
      <c r="A12483" s="1"/>
      <c r="B12483" s="1" t="s">
        <v>5782</v>
      </c>
      <c r="C12483" s="1" t="s">
        <v>5783</v>
      </c>
      <c r="D12483" s="22" t="str">
        <f>HYPERLINK("https://rhld.insurance.arkansas.gov/NPILookup?Npi=1033993977","1033993977")</f>
        <v>1033993977</v>
      </c>
      <c r="E12483" s="1" t="s">
        <v>20988</v>
      </c>
      <c r="F12483" s="2"/>
      <c r="G12483" s="2"/>
      <c r="H12483" s="2"/>
    </row>
    <row r="12484" spans="1:8" x14ac:dyDescent="0.25">
      <c r="A12484" s="1"/>
      <c r="B12484" s="1" t="s">
        <v>5782</v>
      </c>
      <c r="C12484" s="1" t="s">
        <v>5783</v>
      </c>
      <c r="D12484" s="22" t="str">
        <f>HYPERLINK("https://rhld.insurance.arkansas.gov/NPILookup?Npi=1033996079","1033996079")</f>
        <v>1033996079</v>
      </c>
      <c r="E12484" s="1" t="s">
        <v>5987</v>
      </c>
      <c r="F12484" s="2"/>
      <c r="G12484" s="2"/>
      <c r="H12484" s="2"/>
    </row>
    <row r="12485" spans="1:8" x14ac:dyDescent="0.25">
      <c r="A12485" s="1"/>
      <c r="B12485" s="1" t="s">
        <v>5782</v>
      </c>
      <c r="C12485" s="1" t="s">
        <v>5783</v>
      </c>
      <c r="D12485" s="22" t="str">
        <f>HYPERLINK("https://rhld.insurance.arkansas.gov/NPILookup?Npi=1043074396","1043074396")</f>
        <v>1043074396</v>
      </c>
      <c r="E12485" s="1" t="s">
        <v>20989</v>
      </c>
      <c r="F12485" s="2"/>
      <c r="G12485" s="2"/>
      <c r="H12485" s="2"/>
    </row>
    <row r="12486" spans="1:8" x14ac:dyDescent="0.25">
      <c r="A12486" s="1"/>
      <c r="B12486" s="1" t="s">
        <v>5782</v>
      </c>
      <c r="C12486" s="1" t="s">
        <v>5783</v>
      </c>
      <c r="D12486" s="22" t="str">
        <f>HYPERLINK("https://rhld.insurance.arkansas.gov/NPILookup?Npi=1043074628","1043074628")</f>
        <v>1043074628</v>
      </c>
      <c r="E12486" s="1" t="s">
        <v>5839</v>
      </c>
      <c r="F12486" s="2"/>
      <c r="G12486" s="2"/>
      <c r="H12486" s="2"/>
    </row>
    <row r="12487" spans="1:8" x14ac:dyDescent="0.25">
      <c r="A12487" s="1"/>
      <c r="B12487" s="1" t="s">
        <v>5782</v>
      </c>
      <c r="C12487" s="1" t="s">
        <v>5783</v>
      </c>
      <c r="D12487" s="22" t="str">
        <f>HYPERLINK("https://rhld.insurance.arkansas.gov/NPILookup?Npi=1043201254","1043201254")</f>
        <v>1043201254</v>
      </c>
      <c r="E12487" s="1" t="s">
        <v>923</v>
      </c>
      <c r="F12487" s="2"/>
      <c r="G12487" s="2"/>
      <c r="H12487" s="2"/>
    </row>
    <row r="12488" spans="1:8" x14ac:dyDescent="0.25">
      <c r="A12488" s="1"/>
      <c r="B12488" s="1" t="s">
        <v>5782</v>
      </c>
      <c r="C12488" s="1" t="s">
        <v>5783</v>
      </c>
      <c r="D12488" s="22" t="str">
        <f>HYPERLINK("https://rhld.insurance.arkansas.gov/NPILookup?Npi=1043229487","1043229487")</f>
        <v>1043229487</v>
      </c>
      <c r="E12488" s="1" t="s">
        <v>331</v>
      </c>
      <c r="F12488" s="2"/>
      <c r="G12488" s="2"/>
      <c r="H12488" s="2"/>
    </row>
    <row r="12489" spans="1:8" x14ac:dyDescent="0.25">
      <c r="A12489" s="1"/>
      <c r="B12489" s="1" t="s">
        <v>5782</v>
      </c>
      <c r="C12489" s="1" t="s">
        <v>5783</v>
      </c>
      <c r="D12489" s="22" t="str">
        <f>HYPERLINK("https://rhld.insurance.arkansas.gov/NPILookup?Npi=1043239585","1043239585")</f>
        <v>1043239585</v>
      </c>
      <c r="E12489" s="1" t="s">
        <v>20990</v>
      </c>
      <c r="F12489" s="2"/>
      <c r="G12489" s="2"/>
      <c r="H12489" s="2"/>
    </row>
    <row r="12490" spans="1:8" x14ac:dyDescent="0.25">
      <c r="A12490" s="1"/>
      <c r="B12490" s="1" t="s">
        <v>5782</v>
      </c>
      <c r="C12490" s="1" t="s">
        <v>5783</v>
      </c>
      <c r="D12490" s="22" t="str">
        <f>HYPERLINK("https://rhld.insurance.arkansas.gov/NPILookup?Npi=1043264443","1043264443")</f>
        <v>1043264443</v>
      </c>
      <c r="E12490" s="1" t="s">
        <v>697</v>
      </c>
      <c r="F12490" s="2"/>
      <c r="G12490" s="2"/>
      <c r="H12490" s="2"/>
    </row>
    <row r="12491" spans="1:8" x14ac:dyDescent="0.25">
      <c r="A12491" s="1"/>
      <c r="B12491" s="1" t="s">
        <v>5782</v>
      </c>
      <c r="C12491" s="1" t="s">
        <v>5783</v>
      </c>
      <c r="D12491" s="22" t="str">
        <f>HYPERLINK("https://rhld.insurance.arkansas.gov/NPILookup?Npi=1043282056","1043282056")</f>
        <v>1043282056</v>
      </c>
      <c r="E12491" s="1" t="s">
        <v>20991</v>
      </c>
      <c r="F12491" s="2"/>
      <c r="G12491" s="2"/>
      <c r="H12491" s="2"/>
    </row>
    <row r="12492" spans="1:8" x14ac:dyDescent="0.25">
      <c r="A12492" s="1"/>
      <c r="B12492" s="1" t="s">
        <v>5782</v>
      </c>
      <c r="C12492" s="1" t="s">
        <v>5783</v>
      </c>
      <c r="D12492" s="22" t="str">
        <f>HYPERLINK("https://rhld.insurance.arkansas.gov/NPILookup?Npi=1043297302","1043297302")</f>
        <v>1043297302</v>
      </c>
      <c r="E12492" s="1" t="s">
        <v>3176</v>
      </c>
      <c r="F12492" s="2"/>
      <c r="G12492" s="2"/>
      <c r="H12492" s="2"/>
    </row>
    <row r="12493" spans="1:8" x14ac:dyDescent="0.25">
      <c r="A12493" s="1"/>
      <c r="B12493" s="1" t="s">
        <v>5782</v>
      </c>
      <c r="C12493" s="1" t="s">
        <v>5783</v>
      </c>
      <c r="D12493" s="22" t="str">
        <f>HYPERLINK("https://rhld.insurance.arkansas.gov/NPILookup?Npi=1043299332","1043299332")</f>
        <v>1043299332</v>
      </c>
      <c r="E12493" s="1" t="s">
        <v>20992</v>
      </c>
      <c r="F12493" s="2"/>
      <c r="G12493" s="2"/>
      <c r="H12493" s="2"/>
    </row>
    <row r="12494" spans="1:8" x14ac:dyDescent="0.25">
      <c r="A12494" s="1"/>
      <c r="B12494" s="1" t="s">
        <v>5782</v>
      </c>
      <c r="C12494" s="1" t="s">
        <v>5783</v>
      </c>
      <c r="D12494" s="22" t="str">
        <f>HYPERLINK("https://rhld.insurance.arkansas.gov/NPILookup?Npi=1043302185","1043302185")</f>
        <v>1043302185</v>
      </c>
      <c r="E12494" s="1" t="s">
        <v>16523</v>
      </c>
      <c r="F12494" s="2"/>
      <c r="G12494" s="2"/>
      <c r="H12494" s="2"/>
    </row>
    <row r="12495" spans="1:8" x14ac:dyDescent="0.25">
      <c r="A12495" s="1"/>
      <c r="B12495" s="1" t="s">
        <v>5782</v>
      </c>
      <c r="C12495" s="1" t="s">
        <v>5783</v>
      </c>
      <c r="D12495" s="22" t="str">
        <f>HYPERLINK("https://rhld.insurance.arkansas.gov/NPILookup?Npi=1043309131","1043309131")</f>
        <v>1043309131</v>
      </c>
      <c r="E12495" s="1" t="s">
        <v>342</v>
      </c>
      <c r="F12495" s="2"/>
      <c r="G12495" s="2"/>
      <c r="H12495" s="2"/>
    </row>
    <row r="12496" spans="1:8" x14ac:dyDescent="0.25">
      <c r="A12496" s="1"/>
      <c r="B12496" s="1" t="s">
        <v>5782</v>
      </c>
      <c r="C12496" s="1" t="s">
        <v>5783</v>
      </c>
      <c r="D12496" s="22" t="str">
        <f>HYPERLINK("https://rhld.insurance.arkansas.gov/NPILookup?Npi=1043309800","1043309800")</f>
        <v>1043309800</v>
      </c>
      <c r="E12496" s="1" t="s">
        <v>1050</v>
      </c>
      <c r="F12496" s="2"/>
      <c r="G12496" s="2"/>
      <c r="H12496" s="2"/>
    </row>
    <row r="12497" spans="1:8" x14ac:dyDescent="0.25">
      <c r="A12497" s="1"/>
      <c r="B12497" s="1" t="s">
        <v>5782</v>
      </c>
      <c r="C12497" s="1" t="s">
        <v>5783</v>
      </c>
      <c r="D12497" s="22" t="str">
        <f>HYPERLINK("https://rhld.insurance.arkansas.gov/NPILookup?Npi=1043337553","1043337553")</f>
        <v>1043337553</v>
      </c>
      <c r="E12497" s="1" t="s">
        <v>11431</v>
      </c>
      <c r="F12497" s="2"/>
      <c r="G12497" s="2"/>
      <c r="H12497" s="2"/>
    </row>
    <row r="12498" spans="1:8" x14ac:dyDescent="0.25">
      <c r="A12498" s="1"/>
      <c r="B12498" s="1" t="s">
        <v>5782</v>
      </c>
      <c r="C12498" s="1" t="s">
        <v>5783</v>
      </c>
      <c r="D12498" s="22" t="str">
        <f>HYPERLINK("https://rhld.insurance.arkansas.gov/NPILookup?Npi=1043348972","1043348972")</f>
        <v>1043348972</v>
      </c>
      <c r="E12498" s="1" t="s">
        <v>381</v>
      </c>
      <c r="F12498" s="2"/>
      <c r="G12498" s="2"/>
      <c r="H12498" s="2"/>
    </row>
    <row r="12499" spans="1:8" x14ac:dyDescent="0.25">
      <c r="A12499" s="1"/>
      <c r="B12499" s="1" t="s">
        <v>5782</v>
      </c>
      <c r="C12499" s="1" t="s">
        <v>5783</v>
      </c>
      <c r="D12499" s="22" t="str">
        <f>HYPERLINK("https://rhld.insurance.arkansas.gov/NPILookup?Npi=1043365620","1043365620")</f>
        <v>1043365620</v>
      </c>
      <c r="E12499" s="1" t="s">
        <v>20993</v>
      </c>
      <c r="F12499" s="2"/>
      <c r="G12499" s="2"/>
      <c r="H12499" s="2"/>
    </row>
    <row r="12500" spans="1:8" x14ac:dyDescent="0.25">
      <c r="A12500" s="1"/>
      <c r="B12500" s="1" t="s">
        <v>5782</v>
      </c>
      <c r="C12500" s="1" t="s">
        <v>5783</v>
      </c>
      <c r="D12500" s="22" t="str">
        <f>HYPERLINK("https://rhld.insurance.arkansas.gov/NPILookup?Npi=1043371271","1043371271")</f>
        <v>1043371271</v>
      </c>
      <c r="E12500" s="1" t="s">
        <v>20994</v>
      </c>
      <c r="F12500" s="2"/>
      <c r="G12500" s="2"/>
      <c r="H12500" s="2"/>
    </row>
    <row r="12501" spans="1:8" x14ac:dyDescent="0.25">
      <c r="A12501" s="1"/>
      <c r="B12501" s="1" t="s">
        <v>5782</v>
      </c>
      <c r="C12501" s="1" t="s">
        <v>5783</v>
      </c>
      <c r="D12501" s="22" t="str">
        <f>HYPERLINK("https://rhld.insurance.arkansas.gov/NPILookup?Npi=1043373616","1043373616")</f>
        <v>1043373616</v>
      </c>
      <c r="E12501" s="1" t="s">
        <v>1051</v>
      </c>
      <c r="F12501" s="2"/>
      <c r="G12501" s="2"/>
      <c r="H12501" s="2"/>
    </row>
    <row r="12502" spans="1:8" x14ac:dyDescent="0.25">
      <c r="A12502" s="1"/>
      <c r="B12502" s="1" t="s">
        <v>5782</v>
      </c>
      <c r="C12502" s="1" t="s">
        <v>5783</v>
      </c>
      <c r="D12502" s="22" t="str">
        <f>HYPERLINK("https://rhld.insurance.arkansas.gov/NPILookup?Npi=1043405392","1043405392")</f>
        <v>1043405392</v>
      </c>
      <c r="E12502" s="1" t="s">
        <v>2145</v>
      </c>
      <c r="F12502" s="2"/>
      <c r="G12502" s="2"/>
      <c r="H12502" s="2"/>
    </row>
    <row r="12503" spans="1:8" x14ac:dyDescent="0.25">
      <c r="A12503" s="1"/>
      <c r="B12503" s="1" t="s">
        <v>5782</v>
      </c>
      <c r="C12503" s="1" t="s">
        <v>5783</v>
      </c>
      <c r="D12503" s="22" t="str">
        <f>HYPERLINK("https://rhld.insurance.arkansas.gov/NPILookup?Npi=1043410608","1043410608")</f>
        <v>1043410608</v>
      </c>
      <c r="E12503" s="1" t="s">
        <v>20995</v>
      </c>
      <c r="F12503" s="2"/>
      <c r="G12503" s="2"/>
      <c r="H12503" s="2"/>
    </row>
    <row r="12504" spans="1:8" x14ac:dyDescent="0.25">
      <c r="A12504" s="1"/>
      <c r="B12504" s="1" t="s">
        <v>5782</v>
      </c>
      <c r="C12504" s="1" t="s">
        <v>5783</v>
      </c>
      <c r="D12504" s="22" t="str">
        <f>HYPERLINK("https://rhld.insurance.arkansas.gov/NPILookup?Npi=1043415474","1043415474")</f>
        <v>1043415474</v>
      </c>
      <c r="E12504" s="1" t="s">
        <v>20996</v>
      </c>
      <c r="F12504" s="2"/>
      <c r="G12504" s="2"/>
      <c r="H12504" s="2"/>
    </row>
    <row r="12505" spans="1:8" x14ac:dyDescent="0.25">
      <c r="A12505" s="1"/>
      <c r="B12505" s="1" t="s">
        <v>5782</v>
      </c>
      <c r="C12505" s="1" t="s">
        <v>5783</v>
      </c>
      <c r="D12505" s="22" t="str">
        <f>HYPERLINK("https://rhld.insurance.arkansas.gov/NPILookup?Npi=1043416522","1043416522")</f>
        <v>1043416522</v>
      </c>
      <c r="E12505" s="1" t="s">
        <v>20997</v>
      </c>
      <c r="F12505" s="2"/>
      <c r="G12505" s="2"/>
      <c r="H12505" s="2"/>
    </row>
    <row r="12506" spans="1:8" x14ac:dyDescent="0.25">
      <c r="A12506" s="1"/>
      <c r="B12506" s="1" t="s">
        <v>5782</v>
      </c>
      <c r="C12506" s="1" t="s">
        <v>5783</v>
      </c>
      <c r="D12506" s="22" t="str">
        <f>HYPERLINK("https://rhld.insurance.arkansas.gov/NPILookup?Npi=1043426109","1043426109")</f>
        <v>1043426109</v>
      </c>
      <c r="E12506" s="1" t="s">
        <v>20998</v>
      </c>
      <c r="F12506" s="2"/>
      <c r="G12506" s="2"/>
      <c r="H12506" s="2"/>
    </row>
    <row r="12507" spans="1:8" x14ac:dyDescent="0.25">
      <c r="A12507" s="1"/>
      <c r="B12507" s="1" t="s">
        <v>5782</v>
      </c>
      <c r="C12507" s="1" t="s">
        <v>5783</v>
      </c>
      <c r="D12507" s="22" t="str">
        <f>HYPERLINK("https://rhld.insurance.arkansas.gov/NPILookup?Npi=1043468291","1043468291")</f>
        <v>1043468291</v>
      </c>
      <c r="E12507" s="1" t="s">
        <v>20999</v>
      </c>
      <c r="F12507" s="2"/>
      <c r="G12507" s="2"/>
      <c r="H12507" s="2"/>
    </row>
    <row r="12508" spans="1:8" x14ac:dyDescent="0.25">
      <c r="A12508" s="1"/>
      <c r="B12508" s="1" t="s">
        <v>5782</v>
      </c>
      <c r="C12508" s="1" t="s">
        <v>5783</v>
      </c>
      <c r="D12508" s="22" t="str">
        <f>HYPERLINK("https://rhld.insurance.arkansas.gov/NPILookup?Npi=1043474778","1043474778")</f>
        <v>1043474778</v>
      </c>
      <c r="E12508" s="1" t="s">
        <v>1470</v>
      </c>
      <c r="F12508" s="2"/>
      <c r="G12508" s="2"/>
      <c r="H12508" s="2"/>
    </row>
    <row r="12509" spans="1:8" x14ac:dyDescent="0.25">
      <c r="A12509" s="1"/>
      <c r="B12509" s="1" t="s">
        <v>5782</v>
      </c>
      <c r="C12509" s="1" t="s">
        <v>5783</v>
      </c>
      <c r="D12509" s="22" t="str">
        <f>HYPERLINK("https://rhld.insurance.arkansas.gov/NPILookup?Npi=1043487721","1043487721")</f>
        <v>1043487721</v>
      </c>
      <c r="E12509" s="1" t="s">
        <v>11432</v>
      </c>
      <c r="F12509" s="2"/>
      <c r="G12509" s="2"/>
      <c r="H12509" s="2"/>
    </row>
    <row r="12510" spans="1:8" x14ac:dyDescent="0.25">
      <c r="A12510" s="1"/>
      <c r="B12510" s="1" t="s">
        <v>5782</v>
      </c>
      <c r="C12510" s="1" t="s">
        <v>5783</v>
      </c>
      <c r="D12510" s="22" t="str">
        <f>HYPERLINK("https://rhld.insurance.arkansas.gov/NPILookup?Npi=1043517923","1043517923")</f>
        <v>1043517923</v>
      </c>
      <c r="E12510" s="1" t="s">
        <v>17689</v>
      </c>
      <c r="F12510" s="2"/>
      <c r="G12510" s="2"/>
      <c r="H12510" s="2"/>
    </row>
    <row r="12511" spans="1:8" x14ac:dyDescent="0.25">
      <c r="A12511" s="1"/>
      <c r="B12511" s="1" t="s">
        <v>5782</v>
      </c>
      <c r="C12511" s="1" t="s">
        <v>5783</v>
      </c>
      <c r="D12511" s="22" t="str">
        <f>HYPERLINK("https://rhld.insurance.arkansas.gov/NPILookup?Npi=1043521370","1043521370")</f>
        <v>1043521370</v>
      </c>
      <c r="E12511" s="1" t="s">
        <v>21000</v>
      </c>
      <c r="F12511" s="2"/>
      <c r="G12511" s="2"/>
      <c r="H12511" s="2"/>
    </row>
    <row r="12512" spans="1:8" x14ac:dyDescent="0.25">
      <c r="A12512" s="1"/>
      <c r="B12512" s="1" t="s">
        <v>5782</v>
      </c>
      <c r="C12512" s="1" t="s">
        <v>5783</v>
      </c>
      <c r="D12512" s="22" t="str">
        <f>HYPERLINK("https://rhld.insurance.arkansas.gov/NPILookup?Npi=1043528052","1043528052")</f>
        <v>1043528052</v>
      </c>
      <c r="E12512" s="1" t="s">
        <v>21001</v>
      </c>
      <c r="F12512" s="2"/>
      <c r="G12512" s="2"/>
      <c r="H12512" s="2"/>
    </row>
    <row r="12513" spans="1:8" x14ac:dyDescent="0.25">
      <c r="A12513" s="1"/>
      <c r="B12513" s="1" t="s">
        <v>5782</v>
      </c>
      <c r="C12513" s="1" t="s">
        <v>5783</v>
      </c>
      <c r="D12513" s="22" t="str">
        <f>HYPERLINK("https://rhld.insurance.arkansas.gov/NPILookup?Npi=1043529571","1043529571")</f>
        <v>1043529571</v>
      </c>
      <c r="E12513" s="1" t="s">
        <v>21002</v>
      </c>
      <c r="F12513" s="2"/>
      <c r="G12513" s="2"/>
      <c r="H12513" s="2"/>
    </row>
    <row r="12514" spans="1:8" x14ac:dyDescent="0.25">
      <c r="A12514" s="1"/>
      <c r="B12514" s="1" t="s">
        <v>5782</v>
      </c>
      <c r="C12514" s="1" t="s">
        <v>5783</v>
      </c>
      <c r="D12514" s="22" t="str">
        <f>HYPERLINK("https://rhld.insurance.arkansas.gov/NPILookup?Npi=1043532740","1043532740")</f>
        <v>1043532740</v>
      </c>
      <c r="E12514" s="1" t="s">
        <v>1414</v>
      </c>
      <c r="F12514" s="2"/>
      <c r="G12514" s="2"/>
      <c r="H12514" s="2"/>
    </row>
    <row r="12515" spans="1:8" x14ac:dyDescent="0.25">
      <c r="A12515" s="1"/>
      <c r="B12515" s="1" t="s">
        <v>5782</v>
      </c>
      <c r="C12515" s="1" t="s">
        <v>5783</v>
      </c>
      <c r="D12515" s="22" t="str">
        <f>HYPERLINK("https://rhld.insurance.arkansas.gov/NPILookup?Npi=1043533326","1043533326")</f>
        <v>1043533326</v>
      </c>
      <c r="E12515" s="1" t="s">
        <v>924</v>
      </c>
      <c r="F12515" s="2"/>
      <c r="G12515" s="2"/>
      <c r="H12515" s="2"/>
    </row>
    <row r="12516" spans="1:8" x14ac:dyDescent="0.25">
      <c r="A12516" s="1"/>
      <c r="B12516" s="1" t="s">
        <v>5782</v>
      </c>
      <c r="C12516" s="1" t="s">
        <v>5783</v>
      </c>
      <c r="D12516" s="22" t="str">
        <f>HYPERLINK("https://rhld.insurance.arkansas.gov/NPILookup?Npi=1043539075","1043539075")</f>
        <v>1043539075</v>
      </c>
      <c r="E12516" s="1" t="s">
        <v>21003</v>
      </c>
      <c r="F12516" s="2"/>
      <c r="G12516" s="2"/>
      <c r="H12516" s="2"/>
    </row>
    <row r="12517" spans="1:8" x14ac:dyDescent="0.25">
      <c r="A12517" s="1"/>
      <c r="B12517" s="1" t="s">
        <v>5782</v>
      </c>
      <c r="C12517" s="1" t="s">
        <v>5783</v>
      </c>
      <c r="D12517" s="22" t="str">
        <f>HYPERLINK("https://rhld.insurance.arkansas.gov/NPILookup?Npi=1043545700","1043545700")</f>
        <v>1043545700</v>
      </c>
      <c r="E12517" s="1" t="s">
        <v>11433</v>
      </c>
      <c r="F12517" s="2"/>
      <c r="G12517" s="2"/>
      <c r="H12517" s="2"/>
    </row>
    <row r="12518" spans="1:8" x14ac:dyDescent="0.25">
      <c r="A12518" s="1"/>
      <c r="B12518" s="1" t="s">
        <v>5782</v>
      </c>
      <c r="C12518" s="1" t="s">
        <v>5783</v>
      </c>
      <c r="D12518" s="22" t="str">
        <f>HYPERLINK("https://rhld.insurance.arkansas.gov/NPILookup?Npi=1043577885","1043577885")</f>
        <v>1043577885</v>
      </c>
      <c r="E12518" s="1" t="s">
        <v>21004</v>
      </c>
      <c r="F12518" s="2"/>
      <c r="G12518" s="2"/>
      <c r="H12518" s="2"/>
    </row>
    <row r="12519" spans="1:8" x14ac:dyDescent="0.25">
      <c r="A12519" s="1"/>
      <c r="B12519" s="1" t="s">
        <v>5782</v>
      </c>
      <c r="C12519" s="1" t="s">
        <v>5783</v>
      </c>
      <c r="D12519" s="22" t="str">
        <f>HYPERLINK("https://rhld.insurance.arkansas.gov/NPILookup?Npi=1043592082","1043592082")</f>
        <v>1043592082</v>
      </c>
      <c r="E12519" s="1" t="s">
        <v>21005</v>
      </c>
      <c r="F12519" s="2"/>
      <c r="G12519" s="2"/>
      <c r="H12519" s="2"/>
    </row>
    <row r="12520" spans="1:8" x14ac:dyDescent="0.25">
      <c r="A12520" s="1"/>
      <c r="B12520" s="1" t="s">
        <v>5782</v>
      </c>
      <c r="C12520" s="1" t="s">
        <v>5783</v>
      </c>
      <c r="D12520" s="22" t="str">
        <f>HYPERLINK("https://rhld.insurance.arkansas.gov/NPILookup?Npi=1043623721","1043623721")</f>
        <v>1043623721</v>
      </c>
      <c r="E12520" s="1" t="s">
        <v>21006</v>
      </c>
      <c r="F12520" s="2"/>
      <c r="G12520" s="2"/>
      <c r="H12520" s="2"/>
    </row>
    <row r="12521" spans="1:8" x14ac:dyDescent="0.25">
      <c r="A12521" s="1"/>
      <c r="B12521" s="1" t="s">
        <v>5782</v>
      </c>
      <c r="C12521" s="1" t="s">
        <v>5783</v>
      </c>
      <c r="D12521" s="22" t="str">
        <f>HYPERLINK("https://rhld.insurance.arkansas.gov/NPILookup?Npi=1043632268","1043632268")</f>
        <v>1043632268</v>
      </c>
      <c r="E12521" s="1" t="s">
        <v>1415</v>
      </c>
      <c r="F12521" s="2"/>
      <c r="G12521" s="2"/>
      <c r="H12521" s="2"/>
    </row>
    <row r="12522" spans="1:8" x14ac:dyDescent="0.25">
      <c r="A12522" s="1"/>
      <c r="B12522" s="1" t="s">
        <v>5782</v>
      </c>
      <c r="C12522" s="1" t="s">
        <v>5783</v>
      </c>
      <c r="D12522" s="22" t="str">
        <f>HYPERLINK("https://rhld.insurance.arkansas.gov/NPILookup?Npi=1043637101","1043637101")</f>
        <v>1043637101</v>
      </c>
      <c r="E12522" s="1" t="s">
        <v>11434</v>
      </c>
      <c r="F12522" s="2"/>
      <c r="G12522" s="2"/>
      <c r="H12522" s="2"/>
    </row>
    <row r="12523" spans="1:8" x14ac:dyDescent="0.25">
      <c r="A12523" s="1"/>
      <c r="B12523" s="1" t="s">
        <v>5782</v>
      </c>
      <c r="C12523" s="1" t="s">
        <v>5783</v>
      </c>
      <c r="D12523" s="22" t="str">
        <f>HYPERLINK("https://rhld.insurance.arkansas.gov/NPILookup?Npi=1043641863","1043641863")</f>
        <v>1043641863</v>
      </c>
      <c r="E12523" s="1" t="s">
        <v>21007</v>
      </c>
      <c r="F12523" s="2"/>
      <c r="G12523" s="2"/>
      <c r="H12523" s="2"/>
    </row>
    <row r="12524" spans="1:8" x14ac:dyDescent="0.25">
      <c r="A12524" s="1"/>
      <c r="B12524" s="1" t="s">
        <v>5782</v>
      </c>
      <c r="C12524" s="1" t="s">
        <v>5783</v>
      </c>
      <c r="D12524" s="22" t="str">
        <f>HYPERLINK("https://rhld.insurance.arkansas.gov/NPILookup?Npi=1043646342","1043646342")</f>
        <v>1043646342</v>
      </c>
      <c r="E12524" s="1" t="s">
        <v>21008</v>
      </c>
      <c r="F12524" s="2"/>
      <c r="G12524" s="2"/>
      <c r="H12524" s="2"/>
    </row>
    <row r="12525" spans="1:8" x14ac:dyDescent="0.25">
      <c r="A12525" s="1"/>
      <c r="B12525" s="1" t="s">
        <v>5782</v>
      </c>
      <c r="C12525" s="1" t="s">
        <v>5783</v>
      </c>
      <c r="D12525" s="22" t="str">
        <f>HYPERLINK("https://rhld.insurance.arkansas.gov/NPILookup?Npi=1043648843","1043648843")</f>
        <v>1043648843</v>
      </c>
      <c r="E12525" s="1" t="s">
        <v>361</v>
      </c>
      <c r="F12525" s="2"/>
      <c r="G12525" s="2"/>
      <c r="H12525" s="2"/>
    </row>
    <row r="12526" spans="1:8" x14ac:dyDescent="0.25">
      <c r="A12526" s="1"/>
      <c r="B12526" s="1" t="s">
        <v>5782</v>
      </c>
      <c r="C12526" s="1" t="s">
        <v>5783</v>
      </c>
      <c r="D12526" s="22" t="str">
        <f>HYPERLINK("https://rhld.insurance.arkansas.gov/NPILookup?Npi=1043661135","1043661135")</f>
        <v>1043661135</v>
      </c>
      <c r="E12526" s="1" t="s">
        <v>21009</v>
      </c>
      <c r="F12526" s="2"/>
      <c r="G12526" s="2"/>
      <c r="H12526" s="2"/>
    </row>
    <row r="12527" spans="1:8" x14ac:dyDescent="0.25">
      <c r="A12527" s="1"/>
      <c r="B12527" s="1" t="s">
        <v>5782</v>
      </c>
      <c r="C12527" s="1" t="s">
        <v>5783</v>
      </c>
      <c r="D12527" s="22" t="str">
        <f>HYPERLINK("https://rhld.insurance.arkansas.gov/NPILookup?Npi=1043661739","1043661739")</f>
        <v>1043661739</v>
      </c>
      <c r="E12527" s="1" t="s">
        <v>1496</v>
      </c>
      <c r="F12527" s="2"/>
      <c r="G12527" s="2"/>
      <c r="H12527" s="2"/>
    </row>
    <row r="12528" spans="1:8" x14ac:dyDescent="0.25">
      <c r="A12528" s="1"/>
      <c r="B12528" s="1" t="s">
        <v>5782</v>
      </c>
      <c r="C12528" s="1" t="s">
        <v>5783</v>
      </c>
      <c r="D12528" s="22" t="str">
        <f>HYPERLINK("https://rhld.insurance.arkansas.gov/NPILookup?Npi=1043668999","1043668999")</f>
        <v>1043668999</v>
      </c>
      <c r="E12528" s="1" t="s">
        <v>21010</v>
      </c>
      <c r="F12528" s="2"/>
      <c r="G12528" s="2"/>
      <c r="H12528" s="2"/>
    </row>
    <row r="12529" spans="1:8" x14ac:dyDescent="0.25">
      <c r="A12529" s="1"/>
      <c r="B12529" s="1" t="s">
        <v>5782</v>
      </c>
      <c r="C12529" s="1" t="s">
        <v>5783</v>
      </c>
      <c r="D12529" s="22" t="str">
        <f>HYPERLINK("https://rhld.insurance.arkansas.gov/NPILookup?Npi=1043681398","1043681398")</f>
        <v>1043681398</v>
      </c>
      <c r="E12529" s="1" t="s">
        <v>1654</v>
      </c>
      <c r="F12529" s="2"/>
      <c r="G12529" s="2"/>
      <c r="H12529" s="2"/>
    </row>
    <row r="12530" spans="1:8" x14ac:dyDescent="0.25">
      <c r="A12530" s="1"/>
      <c r="B12530" s="1" t="s">
        <v>5782</v>
      </c>
      <c r="C12530" s="1" t="s">
        <v>5783</v>
      </c>
      <c r="D12530" s="22" t="str">
        <f>HYPERLINK("https://rhld.insurance.arkansas.gov/NPILookup?Npi=1043702574","1043702574")</f>
        <v>1043702574</v>
      </c>
      <c r="E12530" s="1" t="s">
        <v>11435</v>
      </c>
      <c r="F12530" s="2"/>
      <c r="G12530" s="2"/>
      <c r="H12530" s="2"/>
    </row>
    <row r="12531" spans="1:8" x14ac:dyDescent="0.25">
      <c r="A12531" s="1"/>
      <c r="B12531" s="1" t="s">
        <v>5782</v>
      </c>
      <c r="C12531" s="1" t="s">
        <v>5783</v>
      </c>
      <c r="D12531" s="22" t="str">
        <f>HYPERLINK("https://rhld.insurance.arkansas.gov/NPILookup?Npi=1043704356","1043704356")</f>
        <v>1043704356</v>
      </c>
      <c r="E12531" s="1" t="s">
        <v>21012</v>
      </c>
      <c r="F12531" s="2"/>
      <c r="G12531" s="2"/>
      <c r="H12531" s="2"/>
    </row>
    <row r="12532" spans="1:8" x14ac:dyDescent="0.25">
      <c r="A12532" s="1"/>
      <c r="B12532" s="1" t="s">
        <v>5782</v>
      </c>
      <c r="C12532" s="1" t="s">
        <v>5783</v>
      </c>
      <c r="D12532" s="22" t="str">
        <f>HYPERLINK("https://rhld.insurance.arkansas.gov/NPILookup?Npi=1043705254","1043705254")</f>
        <v>1043705254</v>
      </c>
      <c r="E12532" s="1" t="s">
        <v>1840</v>
      </c>
      <c r="F12532" s="2"/>
      <c r="G12532" s="2"/>
      <c r="H12532" s="2"/>
    </row>
    <row r="12533" spans="1:8" x14ac:dyDescent="0.25">
      <c r="A12533" s="1"/>
      <c r="B12533" s="1" t="s">
        <v>5782</v>
      </c>
      <c r="C12533" s="1" t="s">
        <v>5783</v>
      </c>
      <c r="D12533" s="22" t="str">
        <f>HYPERLINK("https://rhld.insurance.arkansas.gov/NPILookup?Npi=1043705726","1043705726")</f>
        <v>1043705726</v>
      </c>
      <c r="E12533" s="1" t="s">
        <v>21013</v>
      </c>
      <c r="F12533" s="2"/>
      <c r="G12533" s="2"/>
      <c r="H12533" s="2"/>
    </row>
    <row r="12534" spans="1:8" x14ac:dyDescent="0.25">
      <c r="A12534" s="1"/>
      <c r="B12534" s="1" t="s">
        <v>5782</v>
      </c>
      <c r="C12534" s="1" t="s">
        <v>5783</v>
      </c>
      <c r="D12534" s="22" t="str">
        <f>HYPERLINK("https://rhld.insurance.arkansas.gov/NPILookup?Npi=1043721863","1043721863")</f>
        <v>1043721863</v>
      </c>
      <c r="E12534" s="1" t="s">
        <v>16758</v>
      </c>
      <c r="F12534" s="2"/>
      <c r="G12534" s="2"/>
      <c r="H12534" s="2"/>
    </row>
    <row r="12535" spans="1:8" x14ac:dyDescent="0.25">
      <c r="A12535" s="1"/>
      <c r="B12535" s="1" t="s">
        <v>5782</v>
      </c>
      <c r="C12535" s="1" t="s">
        <v>5783</v>
      </c>
      <c r="D12535" s="22" t="str">
        <f>HYPERLINK("https://rhld.insurance.arkansas.gov/NPILookup?Npi=1043752793","1043752793")</f>
        <v>1043752793</v>
      </c>
      <c r="E12535" s="1" t="s">
        <v>5840</v>
      </c>
      <c r="F12535" s="2"/>
      <c r="G12535" s="2"/>
      <c r="H12535" s="2"/>
    </row>
    <row r="12536" spans="1:8" x14ac:dyDescent="0.25">
      <c r="A12536" s="1"/>
      <c r="B12536" s="1" t="s">
        <v>5782</v>
      </c>
      <c r="C12536" s="1" t="s">
        <v>5783</v>
      </c>
      <c r="D12536" s="22" t="str">
        <f>HYPERLINK("https://rhld.insurance.arkansas.gov/NPILookup?Npi=1043755150","1043755150")</f>
        <v>1043755150</v>
      </c>
      <c r="E12536" s="1" t="s">
        <v>21014</v>
      </c>
      <c r="F12536" s="2"/>
      <c r="G12536" s="2"/>
      <c r="H12536" s="2"/>
    </row>
    <row r="12537" spans="1:8" x14ac:dyDescent="0.25">
      <c r="A12537" s="1"/>
      <c r="B12537" s="1" t="s">
        <v>5782</v>
      </c>
      <c r="C12537" s="1" t="s">
        <v>5783</v>
      </c>
      <c r="D12537" s="22" t="str">
        <f>HYPERLINK("https://rhld.insurance.arkansas.gov/NPILookup?Npi=1043783343","1043783343")</f>
        <v>1043783343</v>
      </c>
      <c r="E12537" s="1" t="s">
        <v>3178</v>
      </c>
      <c r="F12537" s="2"/>
      <c r="G12537" s="2"/>
      <c r="H12537" s="2"/>
    </row>
    <row r="12538" spans="1:8" x14ac:dyDescent="0.25">
      <c r="A12538" s="1"/>
      <c r="B12538" s="1" t="s">
        <v>5782</v>
      </c>
      <c r="C12538" s="1" t="s">
        <v>5783</v>
      </c>
      <c r="D12538" s="22" t="str">
        <f>HYPERLINK("https://rhld.insurance.arkansas.gov/NPILookup?Npi=1043790611","1043790611")</f>
        <v>1043790611</v>
      </c>
      <c r="E12538" s="1" t="s">
        <v>1313</v>
      </c>
      <c r="F12538" s="2"/>
      <c r="G12538" s="2"/>
      <c r="H12538" s="2"/>
    </row>
    <row r="12539" spans="1:8" x14ac:dyDescent="0.25">
      <c r="A12539" s="1"/>
      <c r="B12539" s="1" t="s">
        <v>5782</v>
      </c>
      <c r="C12539" s="1" t="s">
        <v>5783</v>
      </c>
      <c r="D12539" s="22" t="str">
        <f>HYPERLINK("https://rhld.insurance.arkansas.gov/NPILookup?Npi=1043795958","1043795958")</f>
        <v>1043795958</v>
      </c>
      <c r="E12539" s="1" t="s">
        <v>21015</v>
      </c>
      <c r="F12539" s="2"/>
      <c r="G12539" s="2"/>
      <c r="H12539" s="2"/>
    </row>
    <row r="12540" spans="1:8" x14ac:dyDescent="0.25">
      <c r="A12540" s="1"/>
      <c r="B12540" s="1" t="s">
        <v>5782</v>
      </c>
      <c r="C12540" s="1" t="s">
        <v>5783</v>
      </c>
      <c r="D12540" s="22" t="str">
        <f>HYPERLINK("https://rhld.insurance.arkansas.gov/NPILookup?Npi=1043796840","1043796840")</f>
        <v>1043796840</v>
      </c>
      <c r="E12540" s="1" t="s">
        <v>5841</v>
      </c>
      <c r="F12540" s="2"/>
      <c r="G12540" s="2"/>
      <c r="H12540" s="2"/>
    </row>
    <row r="12541" spans="1:8" x14ac:dyDescent="0.25">
      <c r="A12541" s="1"/>
      <c r="B12541" s="1" t="s">
        <v>5782</v>
      </c>
      <c r="C12541" s="1" t="s">
        <v>5783</v>
      </c>
      <c r="D12541" s="22" t="str">
        <f>HYPERLINK("https://rhld.insurance.arkansas.gov/NPILookup?Npi=1043797681","1043797681")</f>
        <v>1043797681</v>
      </c>
      <c r="E12541" s="1" t="s">
        <v>5842</v>
      </c>
      <c r="F12541" s="2"/>
      <c r="G12541" s="2"/>
      <c r="H12541" s="2"/>
    </row>
    <row r="12542" spans="1:8" x14ac:dyDescent="0.25">
      <c r="A12542" s="1"/>
      <c r="B12542" s="1" t="s">
        <v>5782</v>
      </c>
      <c r="C12542" s="1" t="s">
        <v>5783</v>
      </c>
      <c r="D12542" s="22" t="str">
        <f>HYPERLINK("https://rhld.insurance.arkansas.gov/NPILookup?Npi=1043804446","1043804446")</f>
        <v>1043804446</v>
      </c>
      <c r="E12542" s="1" t="s">
        <v>21016</v>
      </c>
      <c r="F12542" s="2"/>
      <c r="G12542" s="2"/>
      <c r="H12542" s="2"/>
    </row>
    <row r="12543" spans="1:8" x14ac:dyDescent="0.25">
      <c r="A12543" s="1"/>
      <c r="B12543" s="1" t="s">
        <v>5782</v>
      </c>
      <c r="C12543" s="1" t="s">
        <v>5783</v>
      </c>
      <c r="D12543" s="22" t="str">
        <f>HYPERLINK("https://rhld.insurance.arkansas.gov/NPILookup?Npi=1043806516","1043806516")</f>
        <v>1043806516</v>
      </c>
      <c r="E12543" s="1" t="s">
        <v>21017</v>
      </c>
      <c r="F12543" s="2"/>
      <c r="G12543" s="2"/>
      <c r="H12543" s="2"/>
    </row>
    <row r="12544" spans="1:8" x14ac:dyDescent="0.25">
      <c r="A12544" s="1"/>
      <c r="B12544" s="1" t="s">
        <v>5782</v>
      </c>
      <c r="C12544" s="1" t="s">
        <v>5783</v>
      </c>
      <c r="D12544" s="22" t="str">
        <f>HYPERLINK("https://rhld.insurance.arkansas.gov/NPILookup?Npi=1043808496","1043808496")</f>
        <v>1043808496</v>
      </c>
      <c r="E12544" s="1" t="s">
        <v>11436</v>
      </c>
      <c r="F12544" s="2"/>
      <c r="G12544" s="2"/>
      <c r="H12544" s="2"/>
    </row>
    <row r="12545" spans="1:8" x14ac:dyDescent="0.25">
      <c r="A12545" s="1"/>
      <c r="B12545" s="1" t="s">
        <v>5782</v>
      </c>
      <c r="C12545" s="1" t="s">
        <v>5783</v>
      </c>
      <c r="D12545" s="22" t="str">
        <f>HYPERLINK("https://rhld.insurance.arkansas.gov/NPILookup?Npi=1043809791","1043809791")</f>
        <v>1043809791</v>
      </c>
      <c r="E12545" s="1" t="s">
        <v>5843</v>
      </c>
      <c r="F12545" s="2"/>
      <c r="G12545" s="2"/>
      <c r="H12545" s="2"/>
    </row>
    <row r="12546" spans="1:8" x14ac:dyDescent="0.25">
      <c r="A12546" s="1"/>
      <c r="B12546" s="1" t="s">
        <v>5782</v>
      </c>
      <c r="C12546" s="1" t="s">
        <v>5783</v>
      </c>
      <c r="D12546" s="22" t="str">
        <f>HYPERLINK("https://rhld.insurance.arkansas.gov/NPILookup?Npi=1043811136","1043811136")</f>
        <v>1043811136</v>
      </c>
      <c r="E12546" s="1" t="s">
        <v>21018</v>
      </c>
      <c r="F12546" s="2"/>
      <c r="G12546" s="2"/>
      <c r="H12546" s="2"/>
    </row>
    <row r="12547" spans="1:8" x14ac:dyDescent="0.25">
      <c r="A12547" s="1"/>
      <c r="B12547" s="1" t="s">
        <v>5782</v>
      </c>
      <c r="C12547" s="1" t="s">
        <v>5783</v>
      </c>
      <c r="D12547" s="22" t="str">
        <f>HYPERLINK("https://rhld.insurance.arkansas.gov/NPILookup?Npi=1043821598","1043821598")</f>
        <v>1043821598</v>
      </c>
      <c r="E12547" s="1" t="s">
        <v>31789</v>
      </c>
      <c r="F12547" s="2"/>
      <c r="G12547" s="2"/>
      <c r="H12547" s="2"/>
    </row>
    <row r="12548" spans="1:8" x14ac:dyDescent="0.25">
      <c r="A12548" s="1"/>
      <c r="B12548" s="1" t="s">
        <v>5782</v>
      </c>
      <c r="C12548" s="1" t="s">
        <v>5783</v>
      </c>
      <c r="D12548" s="22" t="str">
        <f>HYPERLINK("https://rhld.insurance.arkansas.gov/NPILookup?Npi=1043850829","1043850829")</f>
        <v>1043850829</v>
      </c>
      <c r="E12548" s="1" t="s">
        <v>5844</v>
      </c>
      <c r="F12548" s="2"/>
      <c r="G12548" s="2"/>
      <c r="H12548" s="2"/>
    </row>
    <row r="12549" spans="1:8" x14ac:dyDescent="0.25">
      <c r="A12549" s="1"/>
      <c r="B12549" s="1" t="s">
        <v>5782</v>
      </c>
      <c r="C12549" s="1" t="s">
        <v>5783</v>
      </c>
      <c r="D12549" s="22" t="str">
        <f>HYPERLINK("https://rhld.insurance.arkansas.gov/NPILookup?Npi=1043857253","1043857253")</f>
        <v>1043857253</v>
      </c>
      <c r="E12549" s="1" t="s">
        <v>5845</v>
      </c>
      <c r="F12549" s="2"/>
      <c r="G12549" s="2"/>
      <c r="H12549" s="2"/>
    </row>
    <row r="12550" spans="1:8" x14ac:dyDescent="0.25">
      <c r="A12550" s="1"/>
      <c r="B12550" s="1" t="s">
        <v>5782</v>
      </c>
      <c r="C12550" s="1" t="s">
        <v>5783</v>
      </c>
      <c r="D12550" s="22" t="str">
        <f>HYPERLINK("https://rhld.insurance.arkansas.gov/NPILookup?Npi=1043860323","1043860323")</f>
        <v>1043860323</v>
      </c>
      <c r="E12550" s="1" t="s">
        <v>3179</v>
      </c>
      <c r="F12550" s="2"/>
      <c r="G12550" s="2"/>
      <c r="H12550" s="2"/>
    </row>
    <row r="12551" spans="1:8" x14ac:dyDescent="0.25">
      <c r="A12551" s="1"/>
      <c r="B12551" s="1" t="s">
        <v>5782</v>
      </c>
      <c r="C12551" s="1" t="s">
        <v>5783</v>
      </c>
      <c r="D12551" s="22" t="str">
        <f>HYPERLINK("https://rhld.insurance.arkansas.gov/NPILookup?Npi=1043867914","1043867914")</f>
        <v>1043867914</v>
      </c>
      <c r="E12551" s="1" t="s">
        <v>21019</v>
      </c>
      <c r="F12551" s="2"/>
      <c r="G12551" s="2"/>
      <c r="H12551" s="2"/>
    </row>
    <row r="12552" spans="1:8" x14ac:dyDescent="0.25">
      <c r="A12552" s="1"/>
      <c r="B12552" s="1" t="s">
        <v>5782</v>
      </c>
      <c r="C12552" s="1" t="s">
        <v>5783</v>
      </c>
      <c r="D12552" s="22" t="str">
        <f>HYPERLINK("https://rhld.insurance.arkansas.gov/NPILookup?Npi=1043875602","1043875602")</f>
        <v>1043875602</v>
      </c>
      <c r="E12552" s="1" t="s">
        <v>21020</v>
      </c>
      <c r="F12552" s="2"/>
      <c r="G12552" s="2"/>
      <c r="H12552" s="2"/>
    </row>
    <row r="12553" spans="1:8" x14ac:dyDescent="0.25">
      <c r="A12553" s="1"/>
      <c r="B12553" s="1" t="s">
        <v>5782</v>
      </c>
      <c r="C12553" s="1" t="s">
        <v>5783</v>
      </c>
      <c r="D12553" s="22" t="str">
        <f>HYPERLINK("https://rhld.insurance.arkansas.gov/NPILookup?Npi=1043886393","1043886393")</f>
        <v>1043886393</v>
      </c>
      <c r="E12553" s="1" t="s">
        <v>31790</v>
      </c>
      <c r="F12553" s="2"/>
      <c r="G12553" s="2"/>
      <c r="H12553" s="2"/>
    </row>
    <row r="12554" spans="1:8" x14ac:dyDescent="0.25">
      <c r="A12554" s="1"/>
      <c r="B12554" s="1" t="s">
        <v>5782</v>
      </c>
      <c r="C12554" s="1" t="s">
        <v>5783</v>
      </c>
      <c r="D12554" s="22" t="str">
        <f>HYPERLINK("https://rhld.insurance.arkansas.gov/NPILookup?Npi=1043897937","1043897937")</f>
        <v>1043897937</v>
      </c>
      <c r="E12554" s="1" t="s">
        <v>11437</v>
      </c>
      <c r="F12554" s="2"/>
      <c r="G12554" s="2"/>
      <c r="H12554" s="2"/>
    </row>
    <row r="12555" spans="1:8" x14ac:dyDescent="0.25">
      <c r="A12555" s="1"/>
      <c r="B12555" s="1" t="s">
        <v>5782</v>
      </c>
      <c r="C12555" s="1" t="s">
        <v>5783</v>
      </c>
      <c r="D12555" s="22" t="str">
        <f>HYPERLINK("https://rhld.insurance.arkansas.gov/NPILookup?Npi=1043907223","1043907223")</f>
        <v>1043907223</v>
      </c>
      <c r="E12555" s="1" t="s">
        <v>5846</v>
      </c>
      <c r="F12555" s="2"/>
      <c r="G12555" s="2"/>
      <c r="H12555" s="2"/>
    </row>
    <row r="12556" spans="1:8" x14ac:dyDescent="0.25">
      <c r="A12556" s="1"/>
      <c r="B12556" s="1" t="s">
        <v>5782</v>
      </c>
      <c r="C12556" s="1" t="s">
        <v>5783</v>
      </c>
      <c r="D12556" s="22" t="str">
        <f>HYPERLINK("https://rhld.insurance.arkansas.gov/NPILookup?Npi=1043941867","1043941867")</f>
        <v>1043941867</v>
      </c>
      <c r="E12556" s="1" t="s">
        <v>31791</v>
      </c>
      <c r="F12556" s="2"/>
      <c r="G12556" s="2"/>
      <c r="H12556" s="2"/>
    </row>
    <row r="12557" spans="1:8" x14ac:dyDescent="0.25">
      <c r="A12557" s="1"/>
      <c r="B12557" s="1" t="s">
        <v>5782</v>
      </c>
      <c r="C12557" s="1" t="s">
        <v>5783</v>
      </c>
      <c r="D12557" s="22" t="str">
        <f>HYPERLINK("https://rhld.insurance.arkansas.gov/NPILookup?Npi=1043951106","1043951106")</f>
        <v>1043951106</v>
      </c>
      <c r="E12557" s="1" t="s">
        <v>21021</v>
      </c>
      <c r="F12557" s="2"/>
      <c r="G12557" s="2"/>
      <c r="H12557" s="2"/>
    </row>
    <row r="12558" spans="1:8" x14ac:dyDescent="0.25">
      <c r="A12558" s="1"/>
      <c r="B12558" s="1" t="s">
        <v>5782</v>
      </c>
      <c r="C12558" s="1" t="s">
        <v>5783</v>
      </c>
      <c r="D12558" s="22" t="str">
        <f>HYPERLINK("https://rhld.insurance.arkansas.gov/NPILookup?Npi=1043957954","1043957954")</f>
        <v>1043957954</v>
      </c>
      <c r="E12558" s="1" t="s">
        <v>5847</v>
      </c>
      <c r="F12558" s="2"/>
      <c r="G12558" s="2"/>
      <c r="H12558" s="2"/>
    </row>
    <row r="12559" spans="1:8" x14ac:dyDescent="0.25">
      <c r="A12559" s="1"/>
      <c r="B12559" s="1" t="s">
        <v>5782</v>
      </c>
      <c r="C12559" s="1" t="s">
        <v>5783</v>
      </c>
      <c r="D12559" s="22" t="str">
        <f>HYPERLINK("https://rhld.insurance.arkansas.gov/NPILookup?Npi=1043960297","1043960297")</f>
        <v>1043960297</v>
      </c>
      <c r="E12559" s="1" t="s">
        <v>21022</v>
      </c>
      <c r="F12559" s="2"/>
      <c r="G12559" s="2"/>
      <c r="H12559" s="2"/>
    </row>
    <row r="12560" spans="1:8" x14ac:dyDescent="0.25">
      <c r="A12560" s="1"/>
      <c r="B12560" s="1" t="s">
        <v>5782</v>
      </c>
      <c r="C12560" s="1" t="s">
        <v>5783</v>
      </c>
      <c r="D12560" s="22" t="str">
        <f>HYPERLINK("https://rhld.insurance.arkansas.gov/NPILookup?Npi=1043973480","1043973480")</f>
        <v>1043973480</v>
      </c>
      <c r="E12560" s="1" t="s">
        <v>21023</v>
      </c>
      <c r="F12560" s="2"/>
      <c r="G12560" s="2"/>
      <c r="H12560" s="2"/>
    </row>
    <row r="12561" spans="1:8" x14ac:dyDescent="0.25">
      <c r="A12561" s="1"/>
      <c r="B12561" s="1" t="s">
        <v>5782</v>
      </c>
      <c r="C12561" s="1" t="s">
        <v>5783</v>
      </c>
      <c r="D12561" s="22" t="str">
        <f>HYPERLINK("https://rhld.insurance.arkansas.gov/NPILookup?Npi=1043976483","1043976483")</f>
        <v>1043976483</v>
      </c>
      <c r="E12561" s="1" t="s">
        <v>5849</v>
      </c>
      <c r="F12561" s="2"/>
      <c r="G12561" s="2"/>
      <c r="H12561" s="2"/>
    </row>
    <row r="12562" spans="1:8" x14ac:dyDescent="0.25">
      <c r="A12562" s="1"/>
      <c r="B12562" s="1" t="s">
        <v>5782</v>
      </c>
      <c r="C12562" s="1" t="s">
        <v>5783</v>
      </c>
      <c r="D12562" s="22" t="str">
        <f>HYPERLINK("https://rhld.insurance.arkansas.gov/NPILookup?Npi=1043978422","1043978422")</f>
        <v>1043978422</v>
      </c>
      <c r="E12562" s="1" t="s">
        <v>21024</v>
      </c>
      <c r="F12562" s="2"/>
      <c r="G12562" s="2"/>
      <c r="H12562" s="2"/>
    </row>
    <row r="12563" spans="1:8" x14ac:dyDescent="0.25">
      <c r="A12563" s="1"/>
      <c r="B12563" s="1" t="s">
        <v>5782</v>
      </c>
      <c r="C12563" s="1" t="s">
        <v>5783</v>
      </c>
      <c r="D12563" s="22" t="str">
        <f>HYPERLINK("https://rhld.insurance.arkansas.gov/NPILookup?Npi=1043985823","1043985823")</f>
        <v>1043985823</v>
      </c>
      <c r="E12563" s="1" t="s">
        <v>5850</v>
      </c>
      <c r="F12563" s="2"/>
      <c r="G12563" s="2"/>
      <c r="H12563" s="2"/>
    </row>
    <row r="12564" spans="1:8" x14ac:dyDescent="0.25">
      <c r="A12564" s="1"/>
      <c r="B12564" s="1" t="s">
        <v>5782</v>
      </c>
      <c r="C12564" s="1" t="s">
        <v>5783</v>
      </c>
      <c r="D12564" s="22" t="str">
        <f>HYPERLINK("https://rhld.insurance.arkansas.gov/NPILookup?Npi=1043988710","1043988710")</f>
        <v>1043988710</v>
      </c>
      <c r="E12564" s="1" t="s">
        <v>5851</v>
      </c>
      <c r="F12564" s="2"/>
      <c r="G12564" s="2"/>
      <c r="H12564" s="2"/>
    </row>
    <row r="12565" spans="1:8" x14ac:dyDescent="0.25">
      <c r="A12565" s="1"/>
      <c r="B12565" s="1" t="s">
        <v>5782</v>
      </c>
      <c r="C12565" s="1" t="s">
        <v>5783</v>
      </c>
      <c r="D12565" s="22" t="str">
        <f>HYPERLINK("https://rhld.insurance.arkansas.gov/NPILookup?Npi=1043999477","1043999477")</f>
        <v>1043999477</v>
      </c>
      <c r="E12565" s="1" t="s">
        <v>5852</v>
      </c>
      <c r="F12565" s="2"/>
      <c r="G12565" s="2"/>
      <c r="H12565" s="2"/>
    </row>
    <row r="12566" spans="1:8" x14ac:dyDescent="0.25">
      <c r="A12566" s="1"/>
      <c r="B12566" s="1" t="s">
        <v>5782</v>
      </c>
      <c r="C12566" s="1" t="s">
        <v>5783</v>
      </c>
      <c r="D12566" s="22" t="str">
        <f>HYPERLINK("https://rhld.insurance.arkansas.gov/NPILookup?Npi=1053041251","1053041251")</f>
        <v>1053041251</v>
      </c>
      <c r="E12566" s="1" t="s">
        <v>21025</v>
      </c>
      <c r="F12566" s="2"/>
      <c r="G12566" s="2"/>
      <c r="H12566" s="2"/>
    </row>
    <row r="12567" spans="1:8" x14ac:dyDescent="0.25">
      <c r="A12567" s="1"/>
      <c r="B12567" s="1" t="s">
        <v>5782</v>
      </c>
      <c r="C12567" s="1" t="s">
        <v>5783</v>
      </c>
      <c r="D12567" s="22" t="str">
        <f>HYPERLINK("https://rhld.insurance.arkansas.gov/NPILookup?Npi=1053046219","1053046219")</f>
        <v>1053046219</v>
      </c>
      <c r="E12567" s="1" t="s">
        <v>21026</v>
      </c>
      <c r="F12567" s="2"/>
      <c r="G12567" s="2"/>
      <c r="H12567" s="2"/>
    </row>
    <row r="12568" spans="1:8" x14ac:dyDescent="0.25">
      <c r="A12568" s="1"/>
      <c r="B12568" s="1" t="s">
        <v>5782</v>
      </c>
      <c r="C12568" s="1" t="s">
        <v>5783</v>
      </c>
      <c r="D12568" s="22" t="str">
        <f>HYPERLINK("https://rhld.insurance.arkansas.gov/NPILookup?Npi=1053052365","1053052365")</f>
        <v>1053052365</v>
      </c>
      <c r="E12568" s="1" t="s">
        <v>5853</v>
      </c>
      <c r="F12568" s="2"/>
      <c r="G12568" s="2"/>
      <c r="H12568" s="2"/>
    </row>
    <row r="12569" spans="1:8" x14ac:dyDescent="0.25">
      <c r="A12569" s="1"/>
      <c r="B12569" s="1" t="s">
        <v>5782</v>
      </c>
      <c r="C12569" s="1" t="s">
        <v>5783</v>
      </c>
      <c r="D12569" s="22" t="str">
        <f>HYPERLINK("https://rhld.insurance.arkansas.gov/NPILookup?Npi=1053069898","1053069898")</f>
        <v>1053069898</v>
      </c>
      <c r="E12569" s="1" t="s">
        <v>21027</v>
      </c>
      <c r="F12569" s="2"/>
      <c r="G12569" s="2"/>
      <c r="H12569" s="2"/>
    </row>
    <row r="12570" spans="1:8" x14ac:dyDescent="0.25">
      <c r="A12570" s="1"/>
      <c r="B12570" s="1" t="s">
        <v>5782</v>
      </c>
      <c r="C12570" s="1" t="s">
        <v>5783</v>
      </c>
      <c r="D12570" s="22" t="str">
        <f>HYPERLINK("https://rhld.insurance.arkansas.gov/NPILookup?Npi=1053184309","1053184309")</f>
        <v>1053184309</v>
      </c>
      <c r="E12570" s="1" t="s">
        <v>5854</v>
      </c>
      <c r="F12570" s="2"/>
      <c r="G12570" s="2"/>
      <c r="H12570" s="2"/>
    </row>
    <row r="12571" spans="1:8" x14ac:dyDescent="0.25">
      <c r="A12571" s="1"/>
      <c r="B12571" s="1" t="s">
        <v>5782</v>
      </c>
      <c r="C12571" s="1" t="s">
        <v>5783</v>
      </c>
      <c r="D12571" s="22" t="str">
        <f>HYPERLINK("https://rhld.insurance.arkansas.gov/NPILookup?Npi=1053191536","1053191536")</f>
        <v>1053191536</v>
      </c>
      <c r="E12571" s="1" t="s">
        <v>5855</v>
      </c>
      <c r="F12571" s="2"/>
      <c r="G12571" s="2"/>
      <c r="H12571" s="2"/>
    </row>
    <row r="12572" spans="1:8" x14ac:dyDescent="0.25">
      <c r="A12572" s="1"/>
      <c r="B12572" s="1" t="s">
        <v>5782</v>
      </c>
      <c r="C12572" s="1" t="s">
        <v>5783</v>
      </c>
      <c r="D12572" s="22" t="str">
        <f>HYPERLINK("https://rhld.insurance.arkansas.gov/NPILookup?Npi=1053306159","1053306159")</f>
        <v>1053306159</v>
      </c>
      <c r="E12572" s="1" t="s">
        <v>21028</v>
      </c>
      <c r="F12572" s="2"/>
      <c r="G12572" s="2"/>
      <c r="H12572" s="2"/>
    </row>
    <row r="12573" spans="1:8" x14ac:dyDescent="0.25">
      <c r="A12573" s="1"/>
      <c r="B12573" s="1" t="s">
        <v>5782</v>
      </c>
      <c r="C12573" s="1" t="s">
        <v>5783</v>
      </c>
      <c r="D12573" s="22" t="str">
        <f>HYPERLINK("https://rhld.insurance.arkansas.gov/NPILookup?Npi=1053345066","1053345066")</f>
        <v>1053345066</v>
      </c>
      <c r="E12573" s="1" t="s">
        <v>21029</v>
      </c>
      <c r="F12573" s="2"/>
      <c r="G12573" s="2"/>
      <c r="H12573" s="2"/>
    </row>
    <row r="12574" spans="1:8" x14ac:dyDescent="0.25">
      <c r="A12574" s="1"/>
      <c r="B12574" s="1" t="s">
        <v>5782</v>
      </c>
      <c r="C12574" s="1" t="s">
        <v>5783</v>
      </c>
      <c r="D12574" s="22" t="str">
        <f>HYPERLINK("https://rhld.insurance.arkansas.gov/NPILookup?Npi=1053348474","1053348474")</f>
        <v>1053348474</v>
      </c>
      <c r="E12574" s="1" t="s">
        <v>954</v>
      </c>
      <c r="F12574" s="2"/>
      <c r="G12574" s="2"/>
      <c r="H12574" s="2"/>
    </row>
    <row r="12575" spans="1:8" x14ac:dyDescent="0.25">
      <c r="A12575" s="1"/>
      <c r="B12575" s="1" t="s">
        <v>5782</v>
      </c>
      <c r="C12575" s="1" t="s">
        <v>5783</v>
      </c>
      <c r="D12575" s="22" t="str">
        <f>HYPERLINK("https://rhld.insurance.arkansas.gov/NPILookup?Npi=1053353003","1053353003")</f>
        <v>1053353003</v>
      </c>
      <c r="E12575" s="1" t="s">
        <v>21030</v>
      </c>
      <c r="F12575" s="2"/>
      <c r="G12575" s="2"/>
      <c r="H12575" s="2"/>
    </row>
    <row r="12576" spans="1:8" x14ac:dyDescent="0.25">
      <c r="A12576" s="1"/>
      <c r="B12576" s="1" t="s">
        <v>5782</v>
      </c>
      <c r="C12576" s="1" t="s">
        <v>5783</v>
      </c>
      <c r="D12576" s="22" t="str">
        <f>HYPERLINK("https://rhld.insurance.arkansas.gov/NPILookup?Npi=1053401497","1053401497")</f>
        <v>1053401497</v>
      </c>
      <c r="E12576" s="1" t="s">
        <v>21031</v>
      </c>
      <c r="F12576" s="2"/>
      <c r="G12576" s="2"/>
      <c r="H12576" s="2"/>
    </row>
    <row r="12577" spans="1:8" x14ac:dyDescent="0.25">
      <c r="A12577" s="1"/>
      <c r="B12577" s="1" t="s">
        <v>5782</v>
      </c>
      <c r="C12577" s="1" t="s">
        <v>5783</v>
      </c>
      <c r="D12577" s="22" t="str">
        <f>HYPERLINK("https://rhld.insurance.arkansas.gov/NPILookup?Npi=1053435552","1053435552")</f>
        <v>1053435552</v>
      </c>
      <c r="E12577" s="1" t="s">
        <v>21032</v>
      </c>
      <c r="F12577" s="2"/>
      <c r="G12577" s="2"/>
      <c r="H12577" s="2"/>
    </row>
    <row r="12578" spans="1:8" x14ac:dyDescent="0.25">
      <c r="A12578" s="1"/>
      <c r="B12578" s="1" t="s">
        <v>5782</v>
      </c>
      <c r="C12578" s="1" t="s">
        <v>5783</v>
      </c>
      <c r="D12578" s="22" t="str">
        <f>HYPERLINK("https://rhld.insurance.arkansas.gov/NPILookup?Npi=1053436048","1053436048")</f>
        <v>1053436048</v>
      </c>
      <c r="E12578" s="1" t="s">
        <v>3180</v>
      </c>
      <c r="F12578" s="2"/>
      <c r="G12578" s="2"/>
      <c r="H12578" s="2"/>
    </row>
    <row r="12579" spans="1:8" x14ac:dyDescent="0.25">
      <c r="A12579" s="1"/>
      <c r="B12579" s="1" t="s">
        <v>5782</v>
      </c>
      <c r="C12579" s="1" t="s">
        <v>5783</v>
      </c>
      <c r="D12579" s="22" t="str">
        <f>HYPERLINK("https://rhld.insurance.arkansas.gov/NPILookup?Npi=1053439836","1053439836")</f>
        <v>1053439836</v>
      </c>
      <c r="E12579" s="1" t="s">
        <v>21033</v>
      </c>
      <c r="F12579" s="2"/>
      <c r="G12579" s="2"/>
      <c r="H12579" s="2"/>
    </row>
    <row r="12580" spans="1:8" x14ac:dyDescent="0.25">
      <c r="A12580" s="1"/>
      <c r="B12580" s="1" t="s">
        <v>5782</v>
      </c>
      <c r="C12580" s="1" t="s">
        <v>5783</v>
      </c>
      <c r="D12580" s="22" t="str">
        <f>HYPERLINK("https://rhld.insurance.arkansas.gov/NPILookup?Npi=1053445759","1053445759")</f>
        <v>1053445759</v>
      </c>
      <c r="E12580" s="1" t="s">
        <v>21034</v>
      </c>
      <c r="F12580" s="2"/>
      <c r="G12580" s="2"/>
      <c r="H12580" s="2"/>
    </row>
    <row r="12581" spans="1:8" x14ac:dyDescent="0.25">
      <c r="A12581" s="1"/>
      <c r="B12581" s="1" t="s">
        <v>5782</v>
      </c>
      <c r="C12581" s="1" t="s">
        <v>5783</v>
      </c>
      <c r="D12581" s="22" t="str">
        <f>HYPERLINK("https://rhld.insurance.arkansas.gov/NPILookup?Npi=1053490649","1053490649")</f>
        <v>1053490649</v>
      </c>
      <c r="E12581" s="1" t="s">
        <v>21035</v>
      </c>
      <c r="F12581" s="2"/>
      <c r="G12581" s="2"/>
      <c r="H12581" s="2"/>
    </row>
    <row r="12582" spans="1:8" x14ac:dyDescent="0.25">
      <c r="A12582" s="1"/>
      <c r="B12582" s="1" t="s">
        <v>5782</v>
      </c>
      <c r="C12582" s="1" t="s">
        <v>5783</v>
      </c>
      <c r="D12582" s="22" t="str">
        <f>HYPERLINK("https://rhld.insurance.arkansas.gov/NPILookup?Npi=1053503656","1053503656")</f>
        <v>1053503656</v>
      </c>
      <c r="E12582" s="1" t="s">
        <v>21036</v>
      </c>
      <c r="F12582" s="2"/>
      <c r="G12582" s="2"/>
      <c r="H12582" s="2"/>
    </row>
    <row r="12583" spans="1:8" x14ac:dyDescent="0.25">
      <c r="A12583" s="1"/>
      <c r="B12583" s="1" t="s">
        <v>5782</v>
      </c>
      <c r="C12583" s="1" t="s">
        <v>5783</v>
      </c>
      <c r="D12583" s="22" t="str">
        <f>HYPERLINK("https://rhld.insurance.arkansas.gov/NPILookup?Npi=1053540732","1053540732")</f>
        <v>1053540732</v>
      </c>
      <c r="E12583" s="1" t="s">
        <v>21037</v>
      </c>
      <c r="F12583" s="2"/>
      <c r="G12583" s="2"/>
      <c r="H12583" s="2"/>
    </row>
    <row r="12584" spans="1:8" x14ac:dyDescent="0.25">
      <c r="A12584" s="1"/>
      <c r="B12584" s="1" t="s">
        <v>5782</v>
      </c>
      <c r="C12584" s="1" t="s">
        <v>5783</v>
      </c>
      <c r="D12584" s="22" t="str">
        <f>HYPERLINK("https://rhld.insurance.arkansas.gov/NPILookup?Npi=1053546291","1053546291")</f>
        <v>1053546291</v>
      </c>
      <c r="E12584" s="1" t="s">
        <v>2456</v>
      </c>
      <c r="F12584" s="2"/>
      <c r="G12584" s="2"/>
      <c r="H12584" s="2"/>
    </row>
    <row r="12585" spans="1:8" x14ac:dyDescent="0.25">
      <c r="A12585" s="1"/>
      <c r="B12585" s="1" t="s">
        <v>5782</v>
      </c>
      <c r="C12585" s="1" t="s">
        <v>5783</v>
      </c>
      <c r="D12585" s="22" t="str">
        <f>HYPERLINK("https://rhld.insurance.arkansas.gov/NPILookup?Npi=1053547513","1053547513")</f>
        <v>1053547513</v>
      </c>
      <c r="E12585" s="1" t="s">
        <v>398</v>
      </c>
      <c r="F12585" s="2"/>
      <c r="G12585" s="2"/>
      <c r="H12585" s="2"/>
    </row>
    <row r="12586" spans="1:8" x14ac:dyDescent="0.25">
      <c r="A12586" s="1"/>
      <c r="B12586" s="1" t="s">
        <v>5782</v>
      </c>
      <c r="C12586" s="1" t="s">
        <v>5783</v>
      </c>
      <c r="D12586" s="22" t="str">
        <f>HYPERLINK("https://rhld.insurance.arkansas.gov/NPILookup?Npi=1053557140","1053557140")</f>
        <v>1053557140</v>
      </c>
      <c r="E12586" s="1" t="s">
        <v>21038</v>
      </c>
      <c r="F12586" s="2"/>
      <c r="G12586" s="2"/>
      <c r="H12586" s="2"/>
    </row>
    <row r="12587" spans="1:8" x14ac:dyDescent="0.25">
      <c r="A12587" s="1"/>
      <c r="B12587" s="1" t="s">
        <v>5782</v>
      </c>
      <c r="C12587" s="1" t="s">
        <v>5783</v>
      </c>
      <c r="D12587" s="22" t="str">
        <f>HYPERLINK("https://rhld.insurance.arkansas.gov/NPILookup?Npi=1053562389","1053562389")</f>
        <v>1053562389</v>
      </c>
      <c r="E12587" s="1" t="s">
        <v>21039</v>
      </c>
      <c r="F12587" s="2"/>
      <c r="G12587" s="2"/>
      <c r="H12587" s="2"/>
    </row>
    <row r="12588" spans="1:8" x14ac:dyDescent="0.25">
      <c r="A12588" s="1"/>
      <c r="B12588" s="1" t="s">
        <v>5782</v>
      </c>
      <c r="C12588" s="1" t="s">
        <v>5783</v>
      </c>
      <c r="D12588" s="22" t="str">
        <f>HYPERLINK("https://rhld.insurance.arkansas.gov/NPILookup?Npi=1053566414","1053566414")</f>
        <v>1053566414</v>
      </c>
      <c r="E12588" s="1" t="s">
        <v>21040</v>
      </c>
      <c r="F12588" s="2"/>
      <c r="G12588" s="2"/>
      <c r="H12588" s="2"/>
    </row>
    <row r="12589" spans="1:8" x14ac:dyDescent="0.25">
      <c r="A12589" s="1"/>
      <c r="B12589" s="1" t="s">
        <v>5782</v>
      </c>
      <c r="C12589" s="1" t="s">
        <v>5783</v>
      </c>
      <c r="D12589" s="22" t="str">
        <f>HYPERLINK("https://rhld.insurance.arkansas.gov/NPILookup?Npi=1053566877","1053566877")</f>
        <v>1053566877</v>
      </c>
      <c r="E12589" s="1" t="s">
        <v>363</v>
      </c>
      <c r="F12589" s="2"/>
      <c r="G12589" s="2"/>
      <c r="H12589" s="2"/>
    </row>
    <row r="12590" spans="1:8" x14ac:dyDescent="0.25">
      <c r="A12590" s="1"/>
      <c r="B12590" s="1" t="s">
        <v>5782</v>
      </c>
      <c r="C12590" s="1" t="s">
        <v>5783</v>
      </c>
      <c r="D12590" s="22" t="str">
        <f>HYPERLINK("https://rhld.insurance.arkansas.gov/NPILookup?Npi=1053577486","1053577486")</f>
        <v>1053577486</v>
      </c>
      <c r="E12590" s="1" t="s">
        <v>21041</v>
      </c>
      <c r="F12590" s="2"/>
      <c r="G12590" s="2"/>
      <c r="H12590" s="2"/>
    </row>
    <row r="12591" spans="1:8" x14ac:dyDescent="0.25">
      <c r="A12591" s="1"/>
      <c r="B12591" s="1" t="s">
        <v>5782</v>
      </c>
      <c r="C12591" s="1" t="s">
        <v>5783</v>
      </c>
      <c r="D12591" s="22" t="str">
        <f>HYPERLINK("https://rhld.insurance.arkansas.gov/NPILookup?Npi=1053596403","1053596403")</f>
        <v>1053596403</v>
      </c>
      <c r="E12591" s="1" t="s">
        <v>1710</v>
      </c>
      <c r="F12591" s="2"/>
      <c r="G12591" s="2"/>
      <c r="H12591" s="2"/>
    </row>
    <row r="12592" spans="1:8" x14ac:dyDescent="0.25">
      <c r="A12592" s="1"/>
      <c r="B12592" s="1" t="s">
        <v>5782</v>
      </c>
      <c r="C12592" s="1" t="s">
        <v>5783</v>
      </c>
      <c r="D12592" s="22" t="str">
        <f>HYPERLINK("https://rhld.insurance.arkansas.gov/NPILookup?Npi=1053607069","1053607069")</f>
        <v>1053607069</v>
      </c>
      <c r="E12592" s="1" t="s">
        <v>11438</v>
      </c>
      <c r="F12592" s="2"/>
      <c r="G12592" s="2"/>
      <c r="H12592" s="2"/>
    </row>
    <row r="12593" spans="1:8" x14ac:dyDescent="0.25">
      <c r="A12593" s="1"/>
      <c r="B12593" s="1" t="s">
        <v>5782</v>
      </c>
      <c r="C12593" s="1" t="s">
        <v>5783</v>
      </c>
      <c r="D12593" s="22" t="str">
        <f>HYPERLINK("https://rhld.insurance.arkansas.gov/NPILookup?Npi=1053607366","1053607366")</f>
        <v>1053607366</v>
      </c>
      <c r="E12593" s="1" t="s">
        <v>11439</v>
      </c>
      <c r="F12593" s="2"/>
      <c r="G12593" s="2"/>
      <c r="H12593" s="2"/>
    </row>
    <row r="12594" spans="1:8" x14ac:dyDescent="0.25">
      <c r="A12594" s="1"/>
      <c r="B12594" s="1" t="s">
        <v>5782</v>
      </c>
      <c r="C12594" s="1" t="s">
        <v>5783</v>
      </c>
      <c r="D12594" s="22" t="str">
        <f>HYPERLINK("https://rhld.insurance.arkansas.gov/NPILookup?Npi=1053628891","1053628891")</f>
        <v>1053628891</v>
      </c>
      <c r="E12594" s="1" t="s">
        <v>21042</v>
      </c>
      <c r="F12594" s="2"/>
      <c r="G12594" s="2"/>
      <c r="H12594" s="2"/>
    </row>
    <row r="12595" spans="1:8" x14ac:dyDescent="0.25">
      <c r="A12595" s="1"/>
      <c r="B12595" s="1" t="s">
        <v>5782</v>
      </c>
      <c r="C12595" s="1" t="s">
        <v>5783</v>
      </c>
      <c r="D12595" s="22" t="str">
        <f>HYPERLINK("https://rhld.insurance.arkansas.gov/NPILookup?Npi=1053660266","1053660266")</f>
        <v>1053660266</v>
      </c>
      <c r="E12595" s="1" t="s">
        <v>21043</v>
      </c>
      <c r="F12595" s="2"/>
      <c r="G12595" s="2"/>
      <c r="H12595" s="2"/>
    </row>
    <row r="12596" spans="1:8" x14ac:dyDescent="0.25">
      <c r="A12596" s="1"/>
      <c r="B12596" s="1" t="s">
        <v>5782</v>
      </c>
      <c r="C12596" s="1" t="s">
        <v>5783</v>
      </c>
      <c r="D12596" s="22" t="str">
        <f>HYPERLINK("https://rhld.insurance.arkansas.gov/NPILookup?Npi=1053675686","1053675686")</f>
        <v>1053675686</v>
      </c>
      <c r="E12596" s="1" t="s">
        <v>21044</v>
      </c>
      <c r="F12596" s="2"/>
      <c r="G12596" s="2"/>
      <c r="H12596" s="2"/>
    </row>
    <row r="12597" spans="1:8" x14ac:dyDescent="0.25">
      <c r="A12597" s="1"/>
      <c r="B12597" s="1" t="s">
        <v>5782</v>
      </c>
      <c r="C12597" s="1" t="s">
        <v>5783</v>
      </c>
      <c r="D12597" s="22" t="str">
        <f>HYPERLINK("https://rhld.insurance.arkansas.gov/NPILookup?Npi=1053681122","1053681122")</f>
        <v>1053681122</v>
      </c>
      <c r="E12597" s="1" t="s">
        <v>5857</v>
      </c>
      <c r="F12597" s="2"/>
      <c r="G12597" s="2"/>
      <c r="H12597" s="2"/>
    </row>
    <row r="12598" spans="1:8" x14ac:dyDescent="0.25">
      <c r="A12598" s="1"/>
      <c r="B12598" s="1" t="s">
        <v>5782</v>
      </c>
      <c r="C12598" s="1" t="s">
        <v>5783</v>
      </c>
      <c r="D12598" s="22" t="str">
        <f>HYPERLINK("https://rhld.insurance.arkansas.gov/NPILookup?Npi=1053690206","1053690206")</f>
        <v>1053690206</v>
      </c>
      <c r="E12598" s="1" t="s">
        <v>21045</v>
      </c>
      <c r="F12598" s="2"/>
      <c r="G12598" s="2"/>
      <c r="H12598" s="2"/>
    </row>
    <row r="12599" spans="1:8" x14ac:dyDescent="0.25">
      <c r="A12599" s="1"/>
      <c r="B12599" s="1" t="s">
        <v>5782</v>
      </c>
      <c r="C12599" s="1" t="s">
        <v>5783</v>
      </c>
      <c r="D12599" s="22" t="str">
        <f>HYPERLINK("https://rhld.insurance.arkansas.gov/NPILookup?Npi=1053697607","1053697607")</f>
        <v>1053697607</v>
      </c>
      <c r="E12599" s="1" t="s">
        <v>11395</v>
      </c>
      <c r="F12599" s="2"/>
      <c r="G12599" s="2"/>
      <c r="H12599" s="2"/>
    </row>
    <row r="12600" spans="1:8" x14ac:dyDescent="0.25">
      <c r="A12600" s="1"/>
      <c r="B12600" s="1" t="s">
        <v>5782</v>
      </c>
      <c r="C12600" s="1" t="s">
        <v>5783</v>
      </c>
      <c r="D12600" s="22" t="str">
        <f>HYPERLINK("https://rhld.insurance.arkansas.gov/NPILookup?Npi=1053720144","1053720144")</f>
        <v>1053720144</v>
      </c>
      <c r="E12600" s="1" t="s">
        <v>21046</v>
      </c>
      <c r="F12600" s="2"/>
      <c r="G12600" s="2"/>
      <c r="H12600" s="2"/>
    </row>
    <row r="12601" spans="1:8" x14ac:dyDescent="0.25">
      <c r="A12601" s="1"/>
      <c r="B12601" s="1" t="s">
        <v>5782</v>
      </c>
      <c r="C12601" s="1" t="s">
        <v>5783</v>
      </c>
      <c r="D12601" s="22" t="str">
        <f>HYPERLINK("https://rhld.insurance.arkansas.gov/NPILookup?Npi=1053733840","1053733840")</f>
        <v>1053733840</v>
      </c>
      <c r="E12601" s="1" t="s">
        <v>21047</v>
      </c>
      <c r="F12601" s="2"/>
      <c r="G12601" s="2"/>
      <c r="H12601" s="2"/>
    </row>
    <row r="12602" spans="1:8" x14ac:dyDescent="0.25">
      <c r="A12602" s="1"/>
      <c r="B12602" s="1" t="s">
        <v>5782</v>
      </c>
      <c r="C12602" s="1" t="s">
        <v>5783</v>
      </c>
      <c r="D12602" s="22" t="str">
        <f>HYPERLINK("https://rhld.insurance.arkansas.gov/NPILookup?Npi=1053734079","1053734079")</f>
        <v>1053734079</v>
      </c>
      <c r="E12602" s="1" t="s">
        <v>21048</v>
      </c>
      <c r="F12602" s="2"/>
      <c r="G12602" s="2"/>
      <c r="H12602" s="2"/>
    </row>
    <row r="12603" spans="1:8" x14ac:dyDescent="0.25">
      <c r="A12603" s="1"/>
      <c r="B12603" s="1" t="s">
        <v>5782</v>
      </c>
      <c r="C12603" s="1" t="s">
        <v>5783</v>
      </c>
      <c r="D12603" s="22" t="str">
        <f>HYPERLINK("https://rhld.insurance.arkansas.gov/NPILookup?Npi=1053735142","1053735142")</f>
        <v>1053735142</v>
      </c>
      <c r="E12603" s="1" t="s">
        <v>21049</v>
      </c>
      <c r="F12603" s="2"/>
      <c r="G12603" s="2"/>
      <c r="H12603" s="2"/>
    </row>
    <row r="12604" spans="1:8" x14ac:dyDescent="0.25">
      <c r="A12604" s="1"/>
      <c r="B12604" s="1" t="s">
        <v>5782</v>
      </c>
      <c r="C12604" s="1" t="s">
        <v>5783</v>
      </c>
      <c r="D12604" s="22" t="str">
        <f>HYPERLINK("https://rhld.insurance.arkansas.gov/NPILookup?Npi=1053743096","1053743096")</f>
        <v>1053743096</v>
      </c>
      <c r="E12604" s="1" t="s">
        <v>21050</v>
      </c>
      <c r="F12604" s="2"/>
      <c r="G12604" s="2"/>
      <c r="H12604" s="2"/>
    </row>
    <row r="12605" spans="1:8" x14ac:dyDescent="0.25">
      <c r="A12605" s="1"/>
      <c r="B12605" s="1" t="s">
        <v>5782</v>
      </c>
      <c r="C12605" s="1" t="s">
        <v>5783</v>
      </c>
      <c r="D12605" s="22" t="str">
        <f>HYPERLINK("https://rhld.insurance.arkansas.gov/NPILookup?Npi=1053760843","1053760843")</f>
        <v>1053760843</v>
      </c>
      <c r="E12605" s="1" t="s">
        <v>5858</v>
      </c>
      <c r="F12605" s="2"/>
      <c r="G12605" s="2"/>
      <c r="H12605" s="2"/>
    </row>
    <row r="12606" spans="1:8" x14ac:dyDescent="0.25">
      <c r="A12606" s="1"/>
      <c r="B12606" s="1" t="s">
        <v>5782</v>
      </c>
      <c r="C12606" s="1" t="s">
        <v>5783</v>
      </c>
      <c r="D12606" s="22" t="str">
        <f>HYPERLINK("https://rhld.insurance.arkansas.gov/NPILookup?Npi=1053768911","1053768911")</f>
        <v>1053768911</v>
      </c>
      <c r="E12606" s="1" t="s">
        <v>21051</v>
      </c>
      <c r="F12606" s="2"/>
      <c r="G12606" s="2"/>
      <c r="H12606" s="2"/>
    </row>
    <row r="12607" spans="1:8" x14ac:dyDescent="0.25">
      <c r="A12607" s="1"/>
      <c r="B12607" s="1" t="s">
        <v>5782</v>
      </c>
      <c r="C12607" s="1" t="s">
        <v>5783</v>
      </c>
      <c r="D12607" s="22" t="str">
        <f>HYPERLINK("https://rhld.insurance.arkansas.gov/NPILookup?Npi=1053783480","1053783480")</f>
        <v>1053783480</v>
      </c>
      <c r="E12607" s="1" t="s">
        <v>21052</v>
      </c>
      <c r="F12607" s="2"/>
      <c r="G12607" s="2"/>
      <c r="H12607" s="2"/>
    </row>
    <row r="12608" spans="1:8" x14ac:dyDescent="0.25">
      <c r="A12608" s="1"/>
      <c r="B12608" s="1" t="s">
        <v>5782</v>
      </c>
      <c r="C12608" s="1" t="s">
        <v>5783</v>
      </c>
      <c r="D12608" s="22" t="str">
        <f>HYPERLINK("https://rhld.insurance.arkansas.gov/NPILookup?Npi=1053786004","1053786004")</f>
        <v>1053786004</v>
      </c>
      <c r="E12608" s="1" t="s">
        <v>11441</v>
      </c>
      <c r="F12608" s="2"/>
      <c r="G12608" s="2"/>
      <c r="H12608" s="2"/>
    </row>
    <row r="12609" spans="1:8" x14ac:dyDescent="0.25">
      <c r="A12609" s="1"/>
      <c r="B12609" s="1" t="s">
        <v>5782</v>
      </c>
      <c r="C12609" s="1" t="s">
        <v>5783</v>
      </c>
      <c r="D12609" s="22" t="str">
        <f>HYPERLINK("https://rhld.insurance.arkansas.gov/NPILookup?Npi=1053788877","1053788877")</f>
        <v>1053788877</v>
      </c>
      <c r="E12609" s="1" t="s">
        <v>357</v>
      </c>
      <c r="F12609" s="2"/>
      <c r="G12609" s="2"/>
      <c r="H12609" s="2"/>
    </row>
    <row r="12610" spans="1:8" x14ac:dyDescent="0.25">
      <c r="A12610" s="1"/>
      <c r="B12610" s="1" t="s">
        <v>5782</v>
      </c>
      <c r="C12610" s="1" t="s">
        <v>5783</v>
      </c>
      <c r="D12610" s="22" t="str">
        <f>HYPERLINK("https://rhld.insurance.arkansas.gov/NPILookup?Npi=1053795799","1053795799")</f>
        <v>1053795799</v>
      </c>
      <c r="E12610" s="1" t="s">
        <v>21053</v>
      </c>
      <c r="F12610" s="2"/>
      <c r="G12610" s="2"/>
      <c r="H12610" s="2"/>
    </row>
    <row r="12611" spans="1:8" x14ac:dyDescent="0.25">
      <c r="A12611" s="1"/>
      <c r="B12611" s="1" t="s">
        <v>5782</v>
      </c>
      <c r="C12611" s="1" t="s">
        <v>5783</v>
      </c>
      <c r="D12611" s="22" t="str">
        <f>HYPERLINK("https://rhld.insurance.arkansas.gov/NPILookup?Npi=1053803569","1053803569")</f>
        <v>1053803569</v>
      </c>
      <c r="E12611" s="1" t="s">
        <v>21054</v>
      </c>
      <c r="F12611" s="2"/>
      <c r="G12611" s="2"/>
      <c r="H12611" s="2"/>
    </row>
    <row r="12612" spans="1:8" x14ac:dyDescent="0.25">
      <c r="A12612" s="1"/>
      <c r="B12612" s="1" t="s">
        <v>5782</v>
      </c>
      <c r="C12612" s="1" t="s">
        <v>5783</v>
      </c>
      <c r="D12612" s="22" t="str">
        <f>HYPERLINK("https://rhld.insurance.arkansas.gov/NPILookup?Npi=1053808691","1053808691")</f>
        <v>1053808691</v>
      </c>
      <c r="E12612" s="1" t="s">
        <v>2455</v>
      </c>
      <c r="F12612" s="2"/>
      <c r="G12612" s="2"/>
      <c r="H12612" s="2"/>
    </row>
    <row r="12613" spans="1:8" x14ac:dyDescent="0.25">
      <c r="A12613" s="1"/>
      <c r="B12613" s="1" t="s">
        <v>5782</v>
      </c>
      <c r="C12613" s="1" t="s">
        <v>5783</v>
      </c>
      <c r="D12613" s="22" t="str">
        <f>HYPERLINK("https://rhld.insurance.arkansas.gov/NPILookup?Npi=1053822023","1053822023")</f>
        <v>1053822023</v>
      </c>
      <c r="E12613" s="1" t="s">
        <v>21055</v>
      </c>
      <c r="F12613" s="2"/>
      <c r="G12613" s="2"/>
      <c r="H12613" s="2"/>
    </row>
    <row r="12614" spans="1:8" x14ac:dyDescent="0.25">
      <c r="A12614" s="1"/>
      <c r="B12614" s="1" t="s">
        <v>5782</v>
      </c>
      <c r="C12614" s="1" t="s">
        <v>5783</v>
      </c>
      <c r="D12614" s="22" t="str">
        <f>HYPERLINK("https://rhld.insurance.arkansas.gov/NPILookup?Npi=1053824250","1053824250")</f>
        <v>1053824250</v>
      </c>
      <c r="E12614" s="1" t="s">
        <v>21056</v>
      </c>
      <c r="F12614" s="2"/>
      <c r="G12614" s="2"/>
      <c r="H12614" s="2"/>
    </row>
    <row r="12615" spans="1:8" x14ac:dyDescent="0.25">
      <c r="A12615" s="1"/>
      <c r="B12615" s="1" t="s">
        <v>5782</v>
      </c>
      <c r="C12615" s="1" t="s">
        <v>5783</v>
      </c>
      <c r="D12615" s="22" t="str">
        <f>HYPERLINK("https://rhld.insurance.arkansas.gov/NPILookup?Npi=1053833061","1053833061")</f>
        <v>1053833061</v>
      </c>
      <c r="E12615" s="1" t="s">
        <v>21057</v>
      </c>
      <c r="F12615" s="2"/>
      <c r="G12615" s="2"/>
      <c r="H12615" s="2"/>
    </row>
    <row r="12616" spans="1:8" x14ac:dyDescent="0.25">
      <c r="A12616" s="1"/>
      <c r="B12616" s="1" t="s">
        <v>5782</v>
      </c>
      <c r="C12616" s="1" t="s">
        <v>5783</v>
      </c>
      <c r="D12616" s="22" t="str">
        <f>HYPERLINK("https://rhld.insurance.arkansas.gov/NPILookup?Npi=1053843631","1053843631")</f>
        <v>1053843631</v>
      </c>
      <c r="E12616" s="1" t="s">
        <v>830</v>
      </c>
      <c r="F12616" s="2"/>
      <c r="G12616" s="2"/>
      <c r="H12616" s="2"/>
    </row>
    <row r="12617" spans="1:8" x14ac:dyDescent="0.25">
      <c r="A12617" s="1"/>
      <c r="B12617" s="1" t="s">
        <v>5782</v>
      </c>
      <c r="C12617" s="1" t="s">
        <v>5783</v>
      </c>
      <c r="D12617" s="22" t="str">
        <f>HYPERLINK("https://rhld.insurance.arkansas.gov/NPILookup?Npi=1053850339","1053850339")</f>
        <v>1053850339</v>
      </c>
      <c r="E12617" s="1" t="s">
        <v>21058</v>
      </c>
      <c r="F12617" s="2"/>
      <c r="G12617" s="2"/>
      <c r="H12617" s="2"/>
    </row>
    <row r="12618" spans="1:8" x14ac:dyDescent="0.25">
      <c r="A12618" s="1"/>
      <c r="B12618" s="1" t="s">
        <v>5782</v>
      </c>
      <c r="C12618" s="1" t="s">
        <v>5783</v>
      </c>
      <c r="D12618" s="22" t="str">
        <f>HYPERLINK("https://rhld.insurance.arkansas.gov/NPILookup?Npi=1053862672","1053862672")</f>
        <v>1053862672</v>
      </c>
      <c r="E12618" s="1" t="s">
        <v>5860</v>
      </c>
      <c r="F12618" s="2"/>
      <c r="G12618" s="2"/>
      <c r="H12618" s="2"/>
    </row>
    <row r="12619" spans="1:8" x14ac:dyDescent="0.25">
      <c r="A12619" s="1"/>
      <c r="B12619" s="1" t="s">
        <v>5782</v>
      </c>
      <c r="C12619" s="1" t="s">
        <v>5783</v>
      </c>
      <c r="D12619" s="22" t="str">
        <f>HYPERLINK("https://rhld.insurance.arkansas.gov/NPILookup?Npi=1053888768","1053888768")</f>
        <v>1053888768</v>
      </c>
      <c r="E12619" s="1" t="s">
        <v>3182</v>
      </c>
      <c r="F12619" s="2"/>
      <c r="G12619" s="2"/>
      <c r="H12619" s="2"/>
    </row>
    <row r="12620" spans="1:8" x14ac:dyDescent="0.25">
      <c r="A12620" s="1"/>
      <c r="B12620" s="1" t="s">
        <v>5782</v>
      </c>
      <c r="C12620" s="1" t="s">
        <v>5783</v>
      </c>
      <c r="D12620" s="22" t="str">
        <f>HYPERLINK("https://rhld.insurance.arkansas.gov/NPILookup?Npi=1053891937","1053891937")</f>
        <v>1053891937</v>
      </c>
      <c r="E12620" s="1" t="s">
        <v>1590</v>
      </c>
      <c r="F12620" s="2"/>
      <c r="G12620" s="2"/>
      <c r="H12620" s="2"/>
    </row>
    <row r="12621" spans="1:8" x14ac:dyDescent="0.25">
      <c r="A12621" s="1"/>
      <c r="B12621" s="1" t="s">
        <v>5782</v>
      </c>
      <c r="C12621" s="1" t="s">
        <v>5783</v>
      </c>
      <c r="D12621" s="22" t="str">
        <f>HYPERLINK("https://rhld.insurance.arkansas.gov/NPILookup?Npi=1053895292","1053895292")</f>
        <v>1053895292</v>
      </c>
      <c r="E12621" s="1" t="s">
        <v>21059</v>
      </c>
      <c r="F12621" s="2"/>
      <c r="G12621" s="2"/>
      <c r="H12621" s="2"/>
    </row>
    <row r="12622" spans="1:8" x14ac:dyDescent="0.25">
      <c r="A12622" s="1"/>
      <c r="B12622" s="1" t="s">
        <v>5782</v>
      </c>
      <c r="C12622" s="1" t="s">
        <v>5783</v>
      </c>
      <c r="D12622" s="22" t="str">
        <f>HYPERLINK("https://rhld.insurance.arkansas.gov/NPILookup?Npi=1053896811","1053896811")</f>
        <v>1053896811</v>
      </c>
      <c r="E12622" s="1" t="s">
        <v>5861</v>
      </c>
      <c r="F12622" s="2"/>
      <c r="G12622" s="2"/>
      <c r="H12622" s="2"/>
    </row>
    <row r="12623" spans="1:8" x14ac:dyDescent="0.25">
      <c r="A12623" s="1"/>
      <c r="B12623" s="1" t="s">
        <v>5782</v>
      </c>
      <c r="C12623" s="1" t="s">
        <v>5783</v>
      </c>
      <c r="D12623" s="22" t="str">
        <f>HYPERLINK("https://rhld.insurance.arkansas.gov/NPILookup?Npi=1053912360","1053912360")</f>
        <v>1053912360</v>
      </c>
      <c r="E12623" s="1" t="s">
        <v>11442</v>
      </c>
      <c r="F12623" s="2"/>
      <c r="G12623" s="2"/>
      <c r="H12623" s="2"/>
    </row>
    <row r="12624" spans="1:8" x14ac:dyDescent="0.25">
      <c r="A12624" s="1"/>
      <c r="B12624" s="1" t="s">
        <v>5782</v>
      </c>
      <c r="C12624" s="1" t="s">
        <v>5783</v>
      </c>
      <c r="D12624" s="22" t="str">
        <f>HYPERLINK("https://rhld.insurance.arkansas.gov/NPILookup?Npi=1053921320","1053921320")</f>
        <v>1053921320</v>
      </c>
      <c r="E12624" s="1" t="s">
        <v>11443</v>
      </c>
      <c r="F12624" s="2"/>
      <c r="G12624" s="2"/>
      <c r="H12624" s="2"/>
    </row>
    <row r="12625" spans="1:8" x14ac:dyDescent="0.25">
      <c r="A12625" s="1"/>
      <c r="B12625" s="1" t="s">
        <v>5782</v>
      </c>
      <c r="C12625" s="1" t="s">
        <v>5783</v>
      </c>
      <c r="D12625" s="22" t="str">
        <f>HYPERLINK("https://rhld.insurance.arkansas.gov/NPILookup?Npi=1053956375","1053956375")</f>
        <v>1053956375</v>
      </c>
      <c r="E12625" s="1" t="s">
        <v>5809</v>
      </c>
      <c r="F12625" s="2"/>
      <c r="G12625" s="2"/>
      <c r="H12625" s="2"/>
    </row>
    <row r="12626" spans="1:8" x14ac:dyDescent="0.25">
      <c r="A12626" s="1"/>
      <c r="B12626" s="1" t="s">
        <v>5782</v>
      </c>
      <c r="C12626" s="1" t="s">
        <v>5783</v>
      </c>
      <c r="D12626" s="22" t="str">
        <f>HYPERLINK("https://rhld.insurance.arkansas.gov/NPILookup?Npi=1053974030","1053974030")</f>
        <v>1053974030</v>
      </c>
      <c r="E12626" s="1" t="s">
        <v>21060</v>
      </c>
      <c r="F12626" s="2"/>
      <c r="G12626" s="2"/>
      <c r="H12626" s="2"/>
    </row>
    <row r="12627" spans="1:8" x14ac:dyDescent="0.25">
      <c r="A12627" s="1"/>
      <c r="B12627" s="1" t="s">
        <v>5782</v>
      </c>
      <c r="C12627" s="1" t="s">
        <v>5783</v>
      </c>
      <c r="D12627" s="22" t="str">
        <f>HYPERLINK("https://rhld.insurance.arkansas.gov/NPILookup?Npi=1053982512","1053982512")</f>
        <v>1053982512</v>
      </c>
      <c r="E12627" s="1" t="s">
        <v>21061</v>
      </c>
      <c r="F12627" s="2"/>
      <c r="G12627" s="2"/>
      <c r="H12627" s="2"/>
    </row>
    <row r="12628" spans="1:8" x14ac:dyDescent="0.25">
      <c r="A12628" s="1"/>
      <c r="B12628" s="1" t="s">
        <v>5782</v>
      </c>
      <c r="C12628" s="1" t="s">
        <v>5783</v>
      </c>
      <c r="D12628" s="22" t="str">
        <f>HYPERLINK("https://rhld.insurance.arkansas.gov/NPILookup?Npi=1063007755","1063007755")</f>
        <v>1063007755</v>
      </c>
      <c r="E12628" s="1" t="s">
        <v>5862</v>
      </c>
      <c r="F12628" s="2"/>
      <c r="G12628" s="2"/>
      <c r="H12628" s="2"/>
    </row>
    <row r="12629" spans="1:8" x14ac:dyDescent="0.25">
      <c r="A12629" s="1"/>
      <c r="B12629" s="1" t="s">
        <v>5782</v>
      </c>
      <c r="C12629" s="1" t="s">
        <v>5783</v>
      </c>
      <c r="D12629" s="22" t="str">
        <f>HYPERLINK("https://rhld.insurance.arkansas.gov/NPILookup?Npi=1063008712","1063008712")</f>
        <v>1063008712</v>
      </c>
      <c r="E12629" s="1" t="s">
        <v>11444</v>
      </c>
      <c r="F12629" s="2"/>
      <c r="G12629" s="2"/>
      <c r="H12629" s="2"/>
    </row>
    <row r="12630" spans="1:8" x14ac:dyDescent="0.25">
      <c r="A12630" s="1"/>
      <c r="B12630" s="1" t="s">
        <v>5782</v>
      </c>
      <c r="C12630" s="1" t="s">
        <v>5783</v>
      </c>
      <c r="D12630" s="22" t="str">
        <f>HYPERLINK("https://rhld.insurance.arkansas.gov/NPILookup?Npi=1063008787","1063008787")</f>
        <v>1063008787</v>
      </c>
      <c r="E12630" s="1" t="s">
        <v>21062</v>
      </c>
      <c r="F12630" s="2"/>
      <c r="G12630" s="2"/>
      <c r="H12630" s="2"/>
    </row>
    <row r="12631" spans="1:8" x14ac:dyDescent="0.25">
      <c r="A12631" s="1"/>
      <c r="B12631" s="1" t="s">
        <v>5782</v>
      </c>
      <c r="C12631" s="1" t="s">
        <v>5783</v>
      </c>
      <c r="D12631" s="22" t="str">
        <f>HYPERLINK("https://rhld.insurance.arkansas.gov/NPILookup?Npi=1063016962","1063016962")</f>
        <v>1063016962</v>
      </c>
      <c r="E12631" s="1" t="s">
        <v>21063</v>
      </c>
      <c r="F12631" s="2"/>
      <c r="G12631" s="2"/>
      <c r="H12631" s="2"/>
    </row>
    <row r="12632" spans="1:8" x14ac:dyDescent="0.25">
      <c r="A12632" s="1"/>
      <c r="B12632" s="1" t="s">
        <v>5782</v>
      </c>
      <c r="C12632" s="1" t="s">
        <v>5783</v>
      </c>
      <c r="D12632" s="22" t="str">
        <f>HYPERLINK("https://rhld.insurance.arkansas.gov/NPILookup?Npi=1063024131","1063024131")</f>
        <v>1063024131</v>
      </c>
      <c r="E12632" s="1" t="s">
        <v>5863</v>
      </c>
      <c r="F12632" s="2"/>
      <c r="G12632" s="2"/>
      <c r="H12632" s="2"/>
    </row>
    <row r="12633" spans="1:8" x14ac:dyDescent="0.25">
      <c r="A12633" s="1"/>
      <c r="B12633" s="1" t="s">
        <v>5782</v>
      </c>
      <c r="C12633" s="1" t="s">
        <v>5783</v>
      </c>
      <c r="D12633" s="22" t="str">
        <f>HYPERLINK("https://rhld.insurance.arkansas.gov/NPILookup?Npi=1063045458","1063045458")</f>
        <v>1063045458</v>
      </c>
      <c r="E12633" s="1" t="s">
        <v>11445</v>
      </c>
      <c r="F12633" s="2"/>
      <c r="G12633" s="2"/>
      <c r="H12633" s="2"/>
    </row>
    <row r="12634" spans="1:8" x14ac:dyDescent="0.25">
      <c r="A12634" s="1"/>
      <c r="B12634" s="1" t="s">
        <v>5782</v>
      </c>
      <c r="C12634" s="1" t="s">
        <v>5783</v>
      </c>
      <c r="D12634" s="22" t="str">
        <f>HYPERLINK("https://rhld.insurance.arkansas.gov/NPILookup?Npi=1063052181","1063052181")</f>
        <v>1063052181</v>
      </c>
      <c r="E12634" s="1" t="s">
        <v>11446</v>
      </c>
      <c r="F12634" s="2"/>
      <c r="G12634" s="2"/>
      <c r="H12634" s="2"/>
    </row>
    <row r="12635" spans="1:8" x14ac:dyDescent="0.25">
      <c r="A12635" s="1"/>
      <c r="B12635" s="1" t="s">
        <v>5782</v>
      </c>
      <c r="C12635" s="1" t="s">
        <v>5783</v>
      </c>
      <c r="D12635" s="22" t="str">
        <f>HYPERLINK("https://rhld.insurance.arkansas.gov/NPILookup?Npi=1063054955","1063054955")</f>
        <v>1063054955</v>
      </c>
      <c r="E12635" s="1" t="s">
        <v>11447</v>
      </c>
      <c r="F12635" s="2"/>
      <c r="G12635" s="2"/>
      <c r="H12635" s="2"/>
    </row>
    <row r="12636" spans="1:8" x14ac:dyDescent="0.25">
      <c r="A12636" s="1"/>
      <c r="B12636" s="1" t="s">
        <v>5782</v>
      </c>
      <c r="C12636" s="1" t="s">
        <v>5783</v>
      </c>
      <c r="D12636" s="22" t="str">
        <f>HYPERLINK("https://rhld.insurance.arkansas.gov/NPILookup?Npi=1063074664","1063074664")</f>
        <v>1063074664</v>
      </c>
      <c r="E12636" s="1" t="s">
        <v>5864</v>
      </c>
      <c r="F12636" s="2"/>
      <c r="G12636" s="2"/>
      <c r="H12636" s="2"/>
    </row>
    <row r="12637" spans="1:8" x14ac:dyDescent="0.25">
      <c r="A12637" s="1"/>
      <c r="B12637" s="1" t="s">
        <v>5782</v>
      </c>
      <c r="C12637" s="1" t="s">
        <v>5783</v>
      </c>
      <c r="D12637" s="22" t="str">
        <f>HYPERLINK("https://rhld.insurance.arkansas.gov/NPILookup?Npi=1063091205","1063091205")</f>
        <v>1063091205</v>
      </c>
      <c r="E12637" s="1" t="s">
        <v>21065</v>
      </c>
      <c r="F12637" s="2"/>
      <c r="G12637" s="2"/>
      <c r="H12637" s="2"/>
    </row>
    <row r="12638" spans="1:8" x14ac:dyDescent="0.25">
      <c r="A12638" s="1"/>
      <c r="B12638" s="1" t="s">
        <v>5782</v>
      </c>
      <c r="C12638" s="1" t="s">
        <v>5783</v>
      </c>
      <c r="D12638" s="22" t="str">
        <f>HYPERLINK("https://rhld.insurance.arkansas.gov/NPILookup?Npi=1063093870","1063093870")</f>
        <v>1063093870</v>
      </c>
      <c r="E12638" s="1" t="s">
        <v>11448</v>
      </c>
      <c r="F12638" s="2"/>
      <c r="G12638" s="2"/>
      <c r="H12638" s="2"/>
    </row>
    <row r="12639" spans="1:8" x14ac:dyDescent="0.25">
      <c r="A12639" s="1"/>
      <c r="B12639" s="1" t="s">
        <v>5782</v>
      </c>
      <c r="C12639" s="1" t="s">
        <v>5783</v>
      </c>
      <c r="D12639" s="22" t="str">
        <f>HYPERLINK("https://rhld.insurance.arkansas.gov/NPILookup?Npi=1063118404","1063118404")</f>
        <v>1063118404</v>
      </c>
      <c r="E12639" s="1" t="s">
        <v>5865</v>
      </c>
      <c r="F12639" s="2"/>
      <c r="G12639" s="2"/>
      <c r="H12639" s="2"/>
    </row>
    <row r="12640" spans="1:8" x14ac:dyDescent="0.25">
      <c r="A12640" s="1"/>
      <c r="B12640" s="1" t="s">
        <v>5782</v>
      </c>
      <c r="C12640" s="1" t="s">
        <v>5783</v>
      </c>
      <c r="D12640" s="22" t="str">
        <f>HYPERLINK("https://rhld.insurance.arkansas.gov/NPILookup?Npi=1063131316","1063131316")</f>
        <v>1063131316</v>
      </c>
      <c r="E12640" s="1" t="s">
        <v>5866</v>
      </c>
      <c r="F12640" s="2"/>
      <c r="G12640" s="2"/>
      <c r="H12640" s="2"/>
    </row>
    <row r="12641" spans="1:8" x14ac:dyDescent="0.25">
      <c r="A12641" s="1"/>
      <c r="B12641" s="1" t="s">
        <v>5782</v>
      </c>
      <c r="C12641" s="1" t="s">
        <v>5783</v>
      </c>
      <c r="D12641" s="22" t="str">
        <f>HYPERLINK("https://rhld.insurance.arkansas.gov/NPILookup?Npi=1063143923","1063143923")</f>
        <v>1063143923</v>
      </c>
      <c r="E12641" s="1" t="s">
        <v>5867</v>
      </c>
      <c r="F12641" s="2"/>
      <c r="G12641" s="2"/>
      <c r="H12641" s="2"/>
    </row>
    <row r="12642" spans="1:8" x14ac:dyDescent="0.25">
      <c r="A12642" s="1"/>
      <c r="B12642" s="1" t="s">
        <v>5782</v>
      </c>
      <c r="C12642" s="1" t="s">
        <v>5783</v>
      </c>
      <c r="D12642" s="22" t="str">
        <f>HYPERLINK("https://rhld.insurance.arkansas.gov/NPILookup?Npi=1063146686","1063146686")</f>
        <v>1063146686</v>
      </c>
      <c r="E12642" s="1" t="s">
        <v>21066</v>
      </c>
      <c r="F12642" s="2"/>
      <c r="G12642" s="2"/>
      <c r="H12642" s="2"/>
    </row>
    <row r="12643" spans="1:8" x14ac:dyDescent="0.25">
      <c r="A12643" s="1"/>
      <c r="B12643" s="1" t="s">
        <v>5782</v>
      </c>
      <c r="C12643" s="1" t="s">
        <v>5783</v>
      </c>
      <c r="D12643" s="22" t="str">
        <f>HYPERLINK("https://rhld.insurance.arkansas.gov/NPILookup?Npi=1063160109","1063160109")</f>
        <v>1063160109</v>
      </c>
      <c r="E12643" s="1" t="s">
        <v>21067</v>
      </c>
      <c r="F12643" s="2"/>
      <c r="G12643" s="2"/>
      <c r="H12643" s="2"/>
    </row>
    <row r="12644" spans="1:8" x14ac:dyDescent="0.25">
      <c r="A12644" s="1"/>
      <c r="B12644" s="1" t="s">
        <v>5782</v>
      </c>
      <c r="C12644" s="1" t="s">
        <v>5783</v>
      </c>
      <c r="D12644" s="22" t="str">
        <f>HYPERLINK("https://rhld.insurance.arkansas.gov/NPILookup?Npi=1063185452","1063185452")</f>
        <v>1063185452</v>
      </c>
      <c r="E12644" s="1" t="s">
        <v>21068</v>
      </c>
      <c r="F12644" s="2"/>
      <c r="G12644" s="2"/>
      <c r="H12644" s="2"/>
    </row>
    <row r="12645" spans="1:8" x14ac:dyDescent="0.25">
      <c r="A12645" s="1"/>
      <c r="B12645" s="1" t="s">
        <v>5782</v>
      </c>
      <c r="C12645" s="1" t="s">
        <v>5783</v>
      </c>
      <c r="D12645" s="22" t="str">
        <f>HYPERLINK("https://rhld.insurance.arkansas.gov/NPILookup?Npi=1063198190","1063198190")</f>
        <v>1063198190</v>
      </c>
      <c r="E12645" s="1" t="s">
        <v>5868</v>
      </c>
      <c r="F12645" s="2"/>
      <c r="G12645" s="2"/>
      <c r="H12645" s="2"/>
    </row>
    <row r="12646" spans="1:8" x14ac:dyDescent="0.25">
      <c r="A12646" s="1"/>
      <c r="B12646" s="1" t="s">
        <v>5782</v>
      </c>
      <c r="C12646" s="1" t="s">
        <v>5783</v>
      </c>
      <c r="D12646" s="22" t="str">
        <f>HYPERLINK("https://rhld.insurance.arkansas.gov/NPILookup?Npi=1063210011","1063210011")</f>
        <v>1063210011</v>
      </c>
      <c r="E12646" s="1" t="s">
        <v>31792</v>
      </c>
      <c r="F12646" s="2"/>
      <c r="G12646" s="2"/>
      <c r="H12646" s="2"/>
    </row>
    <row r="12647" spans="1:8" x14ac:dyDescent="0.25">
      <c r="A12647" s="1"/>
      <c r="B12647" s="1" t="s">
        <v>5782</v>
      </c>
      <c r="C12647" s="1" t="s">
        <v>5783</v>
      </c>
      <c r="D12647" s="22" t="str">
        <f>HYPERLINK("https://rhld.insurance.arkansas.gov/NPILookup?Npi=1063271823","1063271823")</f>
        <v>1063271823</v>
      </c>
      <c r="E12647" s="1" t="s">
        <v>21069</v>
      </c>
      <c r="F12647" s="2"/>
      <c r="G12647" s="2"/>
      <c r="H12647" s="2"/>
    </row>
    <row r="12648" spans="1:8" x14ac:dyDescent="0.25">
      <c r="A12648" s="1"/>
      <c r="B12648" s="1" t="s">
        <v>5782</v>
      </c>
      <c r="C12648" s="1" t="s">
        <v>5783</v>
      </c>
      <c r="D12648" s="22" t="str">
        <f>HYPERLINK("https://rhld.insurance.arkansas.gov/NPILookup?Npi=1063482677","1063482677")</f>
        <v>1063482677</v>
      </c>
      <c r="E12648" s="1" t="s">
        <v>5869</v>
      </c>
      <c r="F12648" s="2"/>
      <c r="G12648" s="2"/>
      <c r="H12648" s="2"/>
    </row>
    <row r="12649" spans="1:8" x14ac:dyDescent="0.25">
      <c r="A12649" s="1"/>
      <c r="B12649" s="1" t="s">
        <v>5782</v>
      </c>
      <c r="C12649" s="1" t="s">
        <v>5783</v>
      </c>
      <c r="D12649" s="22" t="str">
        <f>HYPERLINK("https://rhld.insurance.arkansas.gov/NPILookup?Npi=1063501146","1063501146")</f>
        <v>1063501146</v>
      </c>
      <c r="E12649" s="1" t="s">
        <v>18401</v>
      </c>
      <c r="F12649" s="2"/>
      <c r="G12649" s="2"/>
      <c r="H12649" s="2"/>
    </row>
    <row r="12650" spans="1:8" x14ac:dyDescent="0.25">
      <c r="A12650" s="1"/>
      <c r="B12650" s="1" t="s">
        <v>5782</v>
      </c>
      <c r="C12650" s="1" t="s">
        <v>5783</v>
      </c>
      <c r="D12650" s="22" t="str">
        <f>HYPERLINK("https://rhld.insurance.arkansas.gov/NPILookup?Npi=1063507697","1063507697")</f>
        <v>1063507697</v>
      </c>
      <c r="E12650" s="1" t="s">
        <v>2146</v>
      </c>
      <c r="F12650" s="2"/>
      <c r="G12650" s="2"/>
      <c r="H12650" s="2"/>
    </row>
    <row r="12651" spans="1:8" x14ac:dyDescent="0.25">
      <c r="A12651" s="1"/>
      <c r="B12651" s="1" t="s">
        <v>5782</v>
      </c>
      <c r="C12651" s="1" t="s">
        <v>5783</v>
      </c>
      <c r="D12651" s="22" t="str">
        <f>HYPERLINK("https://rhld.insurance.arkansas.gov/NPILookup?Npi=1063508471","1063508471")</f>
        <v>1063508471</v>
      </c>
      <c r="E12651" s="1" t="s">
        <v>21070</v>
      </c>
      <c r="F12651" s="2"/>
      <c r="G12651" s="2"/>
      <c r="H12651" s="2"/>
    </row>
    <row r="12652" spans="1:8" x14ac:dyDescent="0.25">
      <c r="A12652" s="1"/>
      <c r="B12652" s="1" t="s">
        <v>5782</v>
      </c>
      <c r="C12652" s="1" t="s">
        <v>5783</v>
      </c>
      <c r="D12652" s="22" t="str">
        <f>HYPERLINK("https://rhld.insurance.arkansas.gov/NPILookup?Npi=1063526325","1063526325")</f>
        <v>1063526325</v>
      </c>
      <c r="E12652" s="1" t="s">
        <v>21071</v>
      </c>
      <c r="F12652" s="2"/>
      <c r="G12652" s="2"/>
      <c r="H12652" s="2"/>
    </row>
    <row r="12653" spans="1:8" x14ac:dyDescent="0.25">
      <c r="A12653" s="1"/>
      <c r="B12653" s="1" t="s">
        <v>5782</v>
      </c>
      <c r="C12653" s="1" t="s">
        <v>5783</v>
      </c>
      <c r="D12653" s="22" t="str">
        <f>HYPERLINK("https://rhld.insurance.arkansas.gov/NPILookup?Npi=1063536837","1063536837")</f>
        <v>1063536837</v>
      </c>
      <c r="E12653" s="1" t="s">
        <v>21072</v>
      </c>
      <c r="F12653" s="2"/>
      <c r="G12653" s="2"/>
      <c r="H12653" s="2"/>
    </row>
    <row r="12654" spans="1:8" x14ac:dyDescent="0.25">
      <c r="A12654" s="1"/>
      <c r="B12654" s="1" t="s">
        <v>5782</v>
      </c>
      <c r="C12654" s="1" t="s">
        <v>5783</v>
      </c>
      <c r="D12654" s="22" t="str">
        <f>HYPERLINK("https://rhld.insurance.arkansas.gov/NPILookup?Npi=1063600997","1063600997")</f>
        <v>1063600997</v>
      </c>
      <c r="E12654" s="1" t="s">
        <v>11449</v>
      </c>
      <c r="F12654" s="2"/>
      <c r="G12654" s="2"/>
      <c r="H12654" s="2"/>
    </row>
    <row r="12655" spans="1:8" x14ac:dyDescent="0.25">
      <c r="A12655" s="1"/>
      <c r="B12655" s="1" t="s">
        <v>5782</v>
      </c>
      <c r="C12655" s="1" t="s">
        <v>5783</v>
      </c>
      <c r="D12655" s="22" t="str">
        <f>HYPERLINK("https://rhld.insurance.arkansas.gov/NPILookup?Npi=1063619070","1063619070")</f>
        <v>1063619070</v>
      </c>
      <c r="E12655" s="1" t="s">
        <v>20638</v>
      </c>
      <c r="F12655" s="2"/>
      <c r="G12655" s="2"/>
      <c r="H12655" s="2"/>
    </row>
    <row r="12656" spans="1:8" x14ac:dyDescent="0.25">
      <c r="A12656" s="1"/>
      <c r="B12656" s="1" t="s">
        <v>5782</v>
      </c>
      <c r="C12656" s="1" t="s">
        <v>5783</v>
      </c>
      <c r="D12656" s="22" t="str">
        <f>HYPERLINK("https://rhld.insurance.arkansas.gov/NPILookup?Npi=1063636918","1063636918")</f>
        <v>1063636918</v>
      </c>
      <c r="E12656" s="1" t="s">
        <v>5870</v>
      </c>
      <c r="F12656" s="2"/>
      <c r="G12656" s="2"/>
      <c r="H12656" s="2"/>
    </row>
    <row r="12657" spans="1:8" x14ac:dyDescent="0.25">
      <c r="A12657" s="1"/>
      <c r="B12657" s="1" t="s">
        <v>5782</v>
      </c>
      <c r="C12657" s="1" t="s">
        <v>5783</v>
      </c>
      <c r="D12657" s="22" t="str">
        <f>HYPERLINK("https://rhld.insurance.arkansas.gov/NPILookup?Npi=1063652907","1063652907")</f>
        <v>1063652907</v>
      </c>
      <c r="E12657" s="1" t="s">
        <v>11451</v>
      </c>
      <c r="F12657" s="2"/>
      <c r="G12657" s="2"/>
      <c r="H12657" s="2"/>
    </row>
    <row r="12658" spans="1:8" x14ac:dyDescent="0.25">
      <c r="A12658" s="1"/>
      <c r="B12658" s="1" t="s">
        <v>5782</v>
      </c>
      <c r="C12658" s="1" t="s">
        <v>5783</v>
      </c>
      <c r="D12658" s="22" t="str">
        <f>HYPERLINK("https://rhld.insurance.arkansas.gov/NPILookup?Npi=1063663300","1063663300")</f>
        <v>1063663300</v>
      </c>
      <c r="E12658" s="1" t="s">
        <v>21073</v>
      </c>
      <c r="F12658" s="2"/>
      <c r="G12658" s="2"/>
      <c r="H12658" s="2"/>
    </row>
    <row r="12659" spans="1:8" x14ac:dyDescent="0.25">
      <c r="A12659" s="1"/>
      <c r="B12659" s="1" t="s">
        <v>5782</v>
      </c>
      <c r="C12659" s="1" t="s">
        <v>5783</v>
      </c>
      <c r="D12659" s="22" t="str">
        <f>HYPERLINK("https://rhld.insurance.arkansas.gov/NPILookup?Npi=1063685840","1063685840")</f>
        <v>1063685840</v>
      </c>
      <c r="E12659" s="1" t="s">
        <v>1841</v>
      </c>
      <c r="F12659" s="2"/>
      <c r="G12659" s="2"/>
      <c r="H12659" s="2"/>
    </row>
    <row r="12660" spans="1:8" x14ac:dyDescent="0.25">
      <c r="A12660" s="1"/>
      <c r="B12660" s="1" t="s">
        <v>5782</v>
      </c>
      <c r="C12660" s="1" t="s">
        <v>5783</v>
      </c>
      <c r="D12660" s="22" t="str">
        <f>HYPERLINK("https://rhld.insurance.arkansas.gov/NPILookup?Npi=1063689560","1063689560")</f>
        <v>1063689560</v>
      </c>
      <c r="E12660" s="1" t="s">
        <v>11453</v>
      </c>
      <c r="F12660" s="2"/>
      <c r="G12660" s="2"/>
      <c r="H12660" s="2"/>
    </row>
    <row r="12661" spans="1:8" x14ac:dyDescent="0.25">
      <c r="A12661" s="1"/>
      <c r="B12661" s="1" t="s">
        <v>5782</v>
      </c>
      <c r="C12661" s="1" t="s">
        <v>5783</v>
      </c>
      <c r="D12661" s="22" t="str">
        <f>HYPERLINK("https://rhld.insurance.arkansas.gov/NPILookup?Npi=1063693893","1063693893")</f>
        <v>1063693893</v>
      </c>
      <c r="E12661" s="1" t="s">
        <v>5871</v>
      </c>
      <c r="F12661" s="2"/>
      <c r="G12661" s="2"/>
      <c r="H12661" s="2"/>
    </row>
    <row r="12662" spans="1:8" x14ac:dyDescent="0.25">
      <c r="A12662" s="1"/>
      <c r="B12662" s="1" t="s">
        <v>5782</v>
      </c>
      <c r="C12662" s="1" t="s">
        <v>5783</v>
      </c>
      <c r="D12662" s="22" t="str">
        <f>HYPERLINK("https://rhld.insurance.arkansas.gov/NPILookup?Npi=1063727246","1063727246")</f>
        <v>1063727246</v>
      </c>
      <c r="E12662" s="1" t="s">
        <v>21074</v>
      </c>
      <c r="F12662" s="2"/>
      <c r="G12662" s="2"/>
      <c r="H12662" s="2"/>
    </row>
    <row r="12663" spans="1:8" x14ac:dyDescent="0.25">
      <c r="A12663" s="1"/>
      <c r="B12663" s="1" t="s">
        <v>5782</v>
      </c>
      <c r="C12663" s="1" t="s">
        <v>5783</v>
      </c>
      <c r="D12663" s="22" t="str">
        <f>HYPERLINK("https://rhld.insurance.arkansas.gov/NPILookup?Npi=1063748689","1063748689")</f>
        <v>1063748689</v>
      </c>
      <c r="E12663" s="1" t="s">
        <v>5872</v>
      </c>
      <c r="F12663" s="2"/>
      <c r="G12663" s="2"/>
      <c r="H12663" s="2"/>
    </row>
    <row r="12664" spans="1:8" x14ac:dyDescent="0.25">
      <c r="A12664" s="1"/>
      <c r="B12664" s="1" t="s">
        <v>5782</v>
      </c>
      <c r="C12664" s="1" t="s">
        <v>5783</v>
      </c>
      <c r="D12664" s="22" t="str">
        <f>HYPERLINK("https://rhld.insurance.arkansas.gov/NPILookup?Npi=1063750404","1063750404")</f>
        <v>1063750404</v>
      </c>
      <c r="E12664" s="1" t="s">
        <v>21075</v>
      </c>
      <c r="F12664" s="2"/>
      <c r="G12664" s="2"/>
      <c r="H12664" s="2"/>
    </row>
    <row r="12665" spans="1:8" x14ac:dyDescent="0.25">
      <c r="A12665" s="1"/>
      <c r="B12665" s="1" t="s">
        <v>5782</v>
      </c>
      <c r="C12665" s="1" t="s">
        <v>5783</v>
      </c>
      <c r="D12665" s="22" t="str">
        <f>HYPERLINK("https://rhld.insurance.arkansas.gov/NPILookup?Npi=1063757052","1063757052")</f>
        <v>1063757052</v>
      </c>
      <c r="E12665" s="1" t="s">
        <v>21076</v>
      </c>
      <c r="F12665" s="2"/>
      <c r="G12665" s="2"/>
      <c r="H12665" s="2"/>
    </row>
    <row r="12666" spans="1:8" x14ac:dyDescent="0.25">
      <c r="A12666" s="1"/>
      <c r="B12666" s="1" t="s">
        <v>5782</v>
      </c>
      <c r="C12666" s="1" t="s">
        <v>5783</v>
      </c>
      <c r="D12666" s="22" t="str">
        <f>HYPERLINK("https://rhld.insurance.arkansas.gov/NPILookup?Npi=1063760916","1063760916")</f>
        <v>1063760916</v>
      </c>
      <c r="E12666" s="1" t="s">
        <v>21077</v>
      </c>
      <c r="F12666" s="2"/>
      <c r="G12666" s="2"/>
      <c r="H12666" s="2"/>
    </row>
    <row r="12667" spans="1:8" x14ac:dyDescent="0.25">
      <c r="A12667" s="1"/>
      <c r="B12667" s="1" t="s">
        <v>5782</v>
      </c>
      <c r="C12667" s="1" t="s">
        <v>5783</v>
      </c>
      <c r="D12667" s="22" t="str">
        <f>HYPERLINK("https://rhld.insurance.arkansas.gov/NPILookup?Npi=1063772515","1063772515")</f>
        <v>1063772515</v>
      </c>
      <c r="E12667" s="1" t="s">
        <v>21078</v>
      </c>
      <c r="F12667" s="2"/>
      <c r="G12667" s="2"/>
      <c r="H12667" s="2"/>
    </row>
    <row r="12668" spans="1:8" x14ac:dyDescent="0.25">
      <c r="A12668" s="1"/>
      <c r="B12668" s="1" t="s">
        <v>5782</v>
      </c>
      <c r="C12668" s="1" t="s">
        <v>5783</v>
      </c>
      <c r="D12668" s="22" t="str">
        <f>HYPERLINK("https://rhld.insurance.arkansas.gov/NPILookup?Npi=1063791598","1063791598")</f>
        <v>1063791598</v>
      </c>
      <c r="E12668" s="1" t="s">
        <v>21079</v>
      </c>
      <c r="F12668" s="2"/>
      <c r="G12668" s="2"/>
      <c r="H12668" s="2"/>
    </row>
    <row r="12669" spans="1:8" x14ac:dyDescent="0.25">
      <c r="A12669" s="1"/>
      <c r="B12669" s="1" t="s">
        <v>5782</v>
      </c>
      <c r="C12669" s="1" t="s">
        <v>5783</v>
      </c>
      <c r="D12669" s="22" t="str">
        <f>HYPERLINK("https://rhld.insurance.arkansas.gov/NPILookup?Npi=1063829745","1063829745")</f>
        <v>1063829745</v>
      </c>
      <c r="E12669" s="1" t="s">
        <v>11454</v>
      </c>
      <c r="F12669" s="2"/>
      <c r="G12669" s="2"/>
      <c r="H12669" s="2"/>
    </row>
    <row r="12670" spans="1:8" x14ac:dyDescent="0.25">
      <c r="A12670" s="1"/>
      <c r="B12670" s="1" t="s">
        <v>5782</v>
      </c>
      <c r="C12670" s="1" t="s">
        <v>5783</v>
      </c>
      <c r="D12670" s="22" t="str">
        <f>HYPERLINK("https://rhld.insurance.arkansas.gov/NPILookup?Npi=1063833812","1063833812")</f>
        <v>1063833812</v>
      </c>
      <c r="E12670" s="1" t="s">
        <v>6954</v>
      </c>
      <c r="F12670" s="2"/>
      <c r="G12670" s="2"/>
      <c r="H12670" s="2"/>
    </row>
    <row r="12671" spans="1:8" x14ac:dyDescent="0.25">
      <c r="A12671" s="1"/>
      <c r="B12671" s="1" t="s">
        <v>5782</v>
      </c>
      <c r="C12671" s="1" t="s">
        <v>5783</v>
      </c>
      <c r="D12671" s="22" t="str">
        <f>HYPERLINK("https://rhld.insurance.arkansas.gov/NPILookup?Npi=1063838506","1063838506")</f>
        <v>1063838506</v>
      </c>
      <c r="E12671" s="1" t="s">
        <v>5873</v>
      </c>
      <c r="F12671" s="2"/>
      <c r="G12671" s="2"/>
      <c r="H12671" s="2"/>
    </row>
    <row r="12672" spans="1:8" x14ac:dyDescent="0.25">
      <c r="A12672" s="1"/>
      <c r="B12672" s="1" t="s">
        <v>5782</v>
      </c>
      <c r="C12672" s="1" t="s">
        <v>5783</v>
      </c>
      <c r="D12672" s="22" t="str">
        <f>HYPERLINK("https://rhld.insurance.arkansas.gov/NPILookup?Npi=1063851715","1063851715")</f>
        <v>1063851715</v>
      </c>
      <c r="E12672" s="1" t="s">
        <v>3173</v>
      </c>
      <c r="F12672" s="2"/>
      <c r="G12672" s="2"/>
      <c r="H12672" s="2"/>
    </row>
    <row r="12673" spans="1:8" x14ac:dyDescent="0.25">
      <c r="A12673" s="1"/>
      <c r="B12673" s="1" t="s">
        <v>5782</v>
      </c>
      <c r="C12673" s="1" t="s">
        <v>5783</v>
      </c>
      <c r="D12673" s="22" t="str">
        <f>HYPERLINK("https://rhld.insurance.arkansas.gov/NPILookup?Npi=1063875912","1063875912")</f>
        <v>1063875912</v>
      </c>
      <c r="E12673" s="1" t="s">
        <v>21080</v>
      </c>
      <c r="F12673" s="2"/>
      <c r="G12673" s="2"/>
      <c r="H12673" s="2"/>
    </row>
    <row r="12674" spans="1:8" x14ac:dyDescent="0.25">
      <c r="A12674" s="1"/>
      <c r="B12674" s="1" t="s">
        <v>5782</v>
      </c>
      <c r="C12674" s="1" t="s">
        <v>5783</v>
      </c>
      <c r="D12674" s="22" t="str">
        <f>HYPERLINK("https://rhld.insurance.arkansas.gov/NPILookup?Npi=1063898989","1063898989")</f>
        <v>1063898989</v>
      </c>
      <c r="E12674" s="1" t="s">
        <v>11455</v>
      </c>
      <c r="F12674" s="2"/>
      <c r="G12674" s="2"/>
      <c r="H12674" s="2"/>
    </row>
    <row r="12675" spans="1:8" x14ac:dyDescent="0.25">
      <c r="A12675" s="1"/>
      <c r="B12675" s="1" t="s">
        <v>5782</v>
      </c>
      <c r="C12675" s="1" t="s">
        <v>5783</v>
      </c>
      <c r="D12675" s="22" t="str">
        <f>HYPERLINK("https://rhld.insurance.arkansas.gov/NPILookup?Npi=1063915742","1063915742")</f>
        <v>1063915742</v>
      </c>
      <c r="E12675" s="1" t="s">
        <v>5875</v>
      </c>
      <c r="F12675" s="2"/>
      <c r="G12675" s="2"/>
      <c r="H12675" s="2"/>
    </row>
    <row r="12676" spans="1:8" x14ac:dyDescent="0.25">
      <c r="A12676" s="1"/>
      <c r="B12676" s="1" t="s">
        <v>5782</v>
      </c>
      <c r="C12676" s="1" t="s">
        <v>5783</v>
      </c>
      <c r="D12676" s="22" t="str">
        <f>HYPERLINK("https://rhld.insurance.arkansas.gov/NPILookup?Npi=1063960458","1063960458")</f>
        <v>1063960458</v>
      </c>
      <c r="E12676" s="1" t="s">
        <v>21081</v>
      </c>
      <c r="F12676" s="2"/>
      <c r="G12676" s="2"/>
      <c r="H12676" s="2"/>
    </row>
    <row r="12677" spans="1:8" x14ac:dyDescent="0.25">
      <c r="A12677" s="1"/>
      <c r="B12677" s="1" t="s">
        <v>5782</v>
      </c>
      <c r="C12677" s="1" t="s">
        <v>5783</v>
      </c>
      <c r="D12677" s="22" t="str">
        <f>HYPERLINK("https://rhld.insurance.arkansas.gov/NPILookup?Npi=1063961696","1063961696")</f>
        <v>1063961696</v>
      </c>
      <c r="E12677" s="1" t="s">
        <v>5877</v>
      </c>
      <c r="F12677" s="2"/>
      <c r="G12677" s="2"/>
      <c r="H12677" s="2"/>
    </row>
    <row r="12678" spans="1:8" x14ac:dyDescent="0.25">
      <c r="A12678" s="1"/>
      <c r="B12678" s="1" t="s">
        <v>5782</v>
      </c>
      <c r="C12678" s="1" t="s">
        <v>5783</v>
      </c>
      <c r="D12678" s="22" t="str">
        <f>HYPERLINK("https://rhld.insurance.arkansas.gov/NPILookup?Npi=1063965192","1063965192")</f>
        <v>1063965192</v>
      </c>
      <c r="E12678" s="1" t="s">
        <v>3125</v>
      </c>
      <c r="F12678" s="2"/>
      <c r="G12678" s="2"/>
      <c r="H12678" s="2"/>
    </row>
    <row r="12679" spans="1:8" x14ac:dyDescent="0.25">
      <c r="A12679" s="1"/>
      <c r="B12679" s="1" t="s">
        <v>5782</v>
      </c>
      <c r="C12679" s="1" t="s">
        <v>5783</v>
      </c>
      <c r="D12679" s="22" t="str">
        <f>HYPERLINK("https://rhld.insurance.arkansas.gov/NPILookup?Npi=1073012621","1073012621")</f>
        <v>1073012621</v>
      </c>
      <c r="E12679" s="1" t="s">
        <v>21082</v>
      </c>
      <c r="F12679" s="2"/>
      <c r="G12679" s="2"/>
      <c r="H12679" s="2"/>
    </row>
    <row r="12680" spans="1:8" x14ac:dyDescent="0.25">
      <c r="A12680" s="1"/>
      <c r="B12680" s="1" t="s">
        <v>5782</v>
      </c>
      <c r="C12680" s="1" t="s">
        <v>5783</v>
      </c>
      <c r="D12680" s="22" t="str">
        <f>HYPERLINK("https://rhld.insurance.arkansas.gov/NPILookup?Npi=1073017646","1073017646")</f>
        <v>1073017646</v>
      </c>
      <c r="E12680" s="1" t="s">
        <v>21083</v>
      </c>
      <c r="F12680" s="2"/>
      <c r="G12680" s="2"/>
      <c r="H12680" s="2"/>
    </row>
    <row r="12681" spans="1:8" x14ac:dyDescent="0.25">
      <c r="A12681" s="1"/>
      <c r="B12681" s="1" t="s">
        <v>5782</v>
      </c>
      <c r="C12681" s="1" t="s">
        <v>5783</v>
      </c>
      <c r="D12681" s="22" t="str">
        <f>HYPERLINK("https://rhld.insurance.arkansas.gov/NPILookup?Npi=1073020392","1073020392")</f>
        <v>1073020392</v>
      </c>
      <c r="E12681" s="1" t="s">
        <v>21085</v>
      </c>
      <c r="F12681" s="2"/>
      <c r="G12681" s="2"/>
      <c r="H12681" s="2"/>
    </row>
    <row r="12682" spans="1:8" x14ac:dyDescent="0.25">
      <c r="A12682" s="1"/>
      <c r="B12682" s="1" t="s">
        <v>5782</v>
      </c>
      <c r="C12682" s="1" t="s">
        <v>5783</v>
      </c>
      <c r="D12682" s="22" t="str">
        <f>HYPERLINK("https://rhld.insurance.arkansas.gov/NPILookup?Npi=1073021499","1073021499")</f>
        <v>1073021499</v>
      </c>
      <c r="E12682" s="1" t="s">
        <v>5879</v>
      </c>
      <c r="F12682" s="2"/>
      <c r="G12682" s="2"/>
      <c r="H12682" s="2"/>
    </row>
    <row r="12683" spans="1:8" x14ac:dyDescent="0.25">
      <c r="A12683" s="1"/>
      <c r="B12683" s="1" t="s">
        <v>5782</v>
      </c>
      <c r="C12683" s="1" t="s">
        <v>5783</v>
      </c>
      <c r="D12683" s="22" t="str">
        <f>HYPERLINK("https://rhld.insurance.arkansas.gov/NPILookup?Npi=1073022166","1073022166")</f>
        <v>1073022166</v>
      </c>
      <c r="E12683" s="1" t="s">
        <v>11456</v>
      </c>
      <c r="F12683" s="2"/>
      <c r="G12683" s="2"/>
      <c r="H12683" s="2"/>
    </row>
    <row r="12684" spans="1:8" x14ac:dyDescent="0.25">
      <c r="A12684" s="1"/>
      <c r="B12684" s="1" t="s">
        <v>5782</v>
      </c>
      <c r="C12684" s="1" t="s">
        <v>5783</v>
      </c>
      <c r="D12684" s="22" t="str">
        <f>HYPERLINK("https://rhld.insurance.arkansas.gov/NPILookup?Npi=1073041976","1073041976")</f>
        <v>1073041976</v>
      </c>
      <c r="E12684" s="1" t="s">
        <v>11457</v>
      </c>
      <c r="F12684" s="2"/>
      <c r="G12684" s="2"/>
      <c r="H12684" s="2"/>
    </row>
    <row r="12685" spans="1:8" x14ac:dyDescent="0.25">
      <c r="A12685" s="1"/>
      <c r="B12685" s="1" t="s">
        <v>5782</v>
      </c>
      <c r="C12685" s="1" t="s">
        <v>5783</v>
      </c>
      <c r="D12685" s="22" t="str">
        <f>HYPERLINK("https://rhld.insurance.arkansas.gov/NPILookup?Npi=1073050191","1073050191")</f>
        <v>1073050191</v>
      </c>
      <c r="E12685" s="1" t="s">
        <v>21086</v>
      </c>
      <c r="F12685" s="2"/>
      <c r="G12685" s="2"/>
      <c r="H12685" s="2"/>
    </row>
    <row r="12686" spans="1:8" x14ac:dyDescent="0.25">
      <c r="A12686" s="1"/>
      <c r="B12686" s="1" t="s">
        <v>5782</v>
      </c>
      <c r="C12686" s="1" t="s">
        <v>5783</v>
      </c>
      <c r="D12686" s="22" t="str">
        <f>HYPERLINK("https://rhld.insurance.arkansas.gov/NPILookup?Npi=1073070702","1073070702")</f>
        <v>1073070702</v>
      </c>
      <c r="E12686" s="1" t="s">
        <v>5880</v>
      </c>
      <c r="F12686" s="2"/>
      <c r="G12686" s="2"/>
      <c r="H12686" s="2"/>
    </row>
    <row r="12687" spans="1:8" x14ac:dyDescent="0.25">
      <c r="A12687" s="1"/>
      <c r="B12687" s="1" t="s">
        <v>5782</v>
      </c>
      <c r="C12687" s="1" t="s">
        <v>5783</v>
      </c>
      <c r="D12687" s="22" t="str">
        <f>HYPERLINK("https://rhld.insurance.arkansas.gov/NPILookup?Npi=1073072583","1073072583")</f>
        <v>1073072583</v>
      </c>
      <c r="E12687" s="1" t="s">
        <v>31793</v>
      </c>
      <c r="F12687" s="2"/>
      <c r="G12687" s="2"/>
      <c r="H12687" s="2"/>
    </row>
    <row r="12688" spans="1:8" x14ac:dyDescent="0.25">
      <c r="A12688" s="1"/>
      <c r="B12688" s="1" t="s">
        <v>5782</v>
      </c>
      <c r="C12688" s="1" t="s">
        <v>5783</v>
      </c>
      <c r="D12688" s="22" t="str">
        <f>HYPERLINK("https://rhld.insurance.arkansas.gov/NPILookup?Npi=1073092185","1073092185")</f>
        <v>1073092185</v>
      </c>
      <c r="E12688" s="1" t="s">
        <v>5881</v>
      </c>
      <c r="F12688" s="2"/>
      <c r="G12688" s="2"/>
      <c r="H12688" s="2"/>
    </row>
    <row r="12689" spans="1:8" x14ac:dyDescent="0.25">
      <c r="A12689" s="1"/>
      <c r="B12689" s="1" t="s">
        <v>5782</v>
      </c>
      <c r="C12689" s="1" t="s">
        <v>5783</v>
      </c>
      <c r="D12689" s="22" t="str">
        <f>HYPERLINK("https://rhld.insurance.arkansas.gov/NPILookup?Npi=1073099198","1073099198")</f>
        <v>1073099198</v>
      </c>
      <c r="E12689" s="1" t="s">
        <v>2500</v>
      </c>
      <c r="F12689" s="2"/>
      <c r="G12689" s="2"/>
      <c r="H12689" s="2"/>
    </row>
    <row r="12690" spans="1:8" x14ac:dyDescent="0.25">
      <c r="A12690" s="1"/>
      <c r="B12690" s="1" t="s">
        <v>5782</v>
      </c>
      <c r="C12690" s="1" t="s">
        <v>5783</v>
      </c>
      <c r="D12690" s="22" t="str">
        <f>HYPERLINK("https://rhld.insurance.arkansas.gov/NPILookup?Npi=1073102604","1073102604")</f>
        <v>1073102604</v>
      </c>
      <c r="E12690" s="1" t="s">
        <v>21087</v>
      </c>
      <c r="F12690" s="2"/>
      <c r="G12690" s="2"/>
      <c r="H12690" s="2"/>
    </row>
    <row r="12691" spans="1:8" x14ac:dyDescent="0.25">
      <c r="A12691" s="1"/>
      <c r="B12691" s="1" t="s">
        <v>5782</v>
      </c>
      <c r="C12691" s="1" t="s">
        <v>5783</v>
      </c>
      <c r="D12691" s="22" t="str">
        <f>HYPERLINK("https://rhld.insurance.arkansas.gov/NPILookup?Npi=1073110524","1073110524")</f>
        <v>1073110524</v>
      </c>
      <c r="E12691" s="1" t="s">
        <v>11458</v>
      </c>
      <c r="F12691" s="2"/>
      <c r="G12691" s="2"/>
      <c r="H12691" s="2"/>
    </row>
    <row r="12692" spans="1:8" x14ac:dyDescent="0.25">
      <c r="A12692" s="1"/>
      <c r="B12692" s="1" t="s">
        <v>5782</v>
      </c>
      <c r="C12692" s="1" t="s">
        <v>5783</v>
      </c>
      <c r="D12692" s="22" t="str">
        <f>HYPERLINK("https://rhld.insurance.arkansas.gov/NPILookup?Npi=1073131751","1073131751")</f>
        <v>1073131751</v>
      </c>
      <c r="E12692" s="1" t="s">
        <v>21088</v>
      </c>
      <c r="F12692" s="2"/>
      <c r="G12692" s="2"/>
      <c r="H12692" s="2"/>
    </row>
    <row r="12693" spans="1:8" x14ac:dyDescent="0.25">
      <c r="A12693" s="1"/>
      <c r="B12693" s="1" t="s">
        <v>5782</v>
      </c>
      <c r="C12693" s="1" t="s">
        <v>5783</v>
      </c>
      <c r="D12693" s="22" t="str">
        <f>HYPERLINK("https://rhld.insurance.arkansas.gov/NPILookup?Npi=1073137253","1073137253")</f>
        <v>1073137253</v>
      </c>
      <c r="E12693" s="1" t="s">
        <v>21089</v>
      </c>
      <c r="F12693" s="2"/>
      <c r="G12693" s="2"/>
      <c r="H12693" s="2"/>
    </row>
    <row r="12694" spans="1:8" x14ac:dyDescent="0.25">
      <c r="A12694" s="1"/>
      <c r="B12694" s="1" t="s">
        <v>5782</v>
      </c>
      <c r="C12694" s="1" t="s">
        <v>5783</v>
      </c>
      <c r="D12694" s="22" t="str">
        <f>HYPERLINK("https://rhld.insurance.arkansas.gov/NPILookup?Npi=1073146510","1073146510")</f>
        <v>1073146510</v>
      </c>
      <c r="E12694" s="1" t="s">
        <v>1591</v>
      </c>
      <c r="F12694" s="2"/>
      <c r="G12694" s="2"/>
      <c r="H12694" s="2"/>
    </row>
    <row r="12695" spans="1:8" x14ac:dyDescent="0.25">
      <c r="A12695" s="1"/>
      <c r="B12695" s="1" t="s">
        <v>5782</v>
      </c>
      <c r="C12695" s="1" t="s">
        <v>5783</v>
      </c>
      <c r="D12695" s="22" t="str">
        <f>HYPERLINK("https://rhld.insurance.arkansas.gov/NPILookup?Npi=1073148318","1073148318")</f>
        <v>1073148318</v>
      </c>
      <c r="E12695" s="1" t="s">
        <v>21090</v>
      </c>
      <c r="F12695" s="2"/>
      <c r="G12695" s="2"/>
      <c r="H12695" s="2"/>
    </row>
    <row r="12696" spans="1:8" x14ac:dyDescent="0.25">
      <c r="A12696" s="1"/>
      <c r="B12696" s="1" t="s">
        <v>5782</v>
      </c>
      <c r="C12696" s="1" t="s">
        <v>5783</v>
      </c>
      <c r="D12696" s="22" t="str">
        <f>HYPERLINK("https://rhld.insurance.arkansas.gov/NPILookup?Npi=1073193892","1073193892")</f>
        <v>1073193892</v>
      </c>
      <c r="E12696" s="1" t="s">
        <v>5882</v>
      </c>
      <c r="F12696" s="2"/>
      <c r="G12696" s="2"/>
      <c r="H12696" s="2"/>
    </row>
    <row r="12697" spans="1:8" x14ac:dyDescent="0.25">
      <c r="A12697" s="1"/>
      <c r="B12697" s="1" t="s">
        <v>5782</v>
      </c>
      <c r="C12697" s="1" t="s">
        <v>5783</v>
      </c>
      <c r="D12697" s="22" t="str">
        <f>HYPERLINK("https://rhld.insurance.arkansas.gov/NPILookup?Npi=1073243085","1073243085")</f>
        <v>1073243085</v>
      </c>
      <c r="E12697" s="1" t="s">
        <v>5883</v>
      </c>
      <c r="F12697" s="2"/>
      <c r="G12697" s="2"/>
      <c r="H12697" s="2"/>
    </row>
    <row r="12698" spans="1:8" x14ac:dyDescent="0.25">
      <c r="A12698" s="1"/>
      <c r="B12698" s="1" t="s">
        <v>5782</v>
      </c>
      <c r="C12698" s="1" t="s">
        <v>5783</v>
      </c>
      <c r="D12698" s="22" t="str">
        <f>HYPERLINK("https://rhld.insurance.arkansas.gov/NPILookup?Npi=1073247433","1073247433")</f>
        <v>1073247433</v>
      </c>
      <c r="E12698" s="1" t="s">
        <v>31794</v>
      </c>
      <c r="F12698" s="2"/>
      <c r="G12698" s="2"/>
      <c r="H12698" s="2"/>
    </row>
    <row r="12699" spans="1:8" x14ac:dyDescent="0.25">
      <c r="A12699" s="1"/>
      <c r="B12699" s="1" t="s">
        <v>5782</v>
      </c>
      <c r="C12699" s="1" t="s">
        <v>5783</v>
      </c>
      <c r="D12699" s="22" t="str">
        <f>HYPERLINK("https://rhld.insurance.arkansas.gov/NPILookup?Npi=1073253225","1073253225")</f>
        <v>1073253225</v>
      </c>
      <c r="E12699" s="1" t="s">
        <v>21092</v>
      </c>
      <c r="F12699" s="2"/>
      <c r="G12699" s="2"/>
      <c r="H12699" s="2"/>
    </row>
    <row r="12700" spans="1:8" x14ac:dyDescent="0.25">
      <c r="A12700" s="1"/>
      <c r="B12700" s="1" t="s">
        <v>5782</v>
      </c>
      <c r="C12700" s="1" t="s">
        <v>5783</v>
      </c>
      <c r="D12700" s="22" t="str">
        <f>HYPERLINK("https://rhld.insurance.arkansas.gov/NPILookup?Npi=1073260972","1073260972")</f>
        <v>1073260972</v>
      </c>
      <c r="E12700" s="1" t="s">
        <v>5884</v>
      </c>
      <c r="F12700" s="2"/>
      <c r="G12700" s="2"/>
      <c r="H12700" s="2"/>
    </row>
    <row r="12701" spans="1:8" x14ac:dyDescent="0.25">
      <c r="A12701" s="1"/>
      <c r="B12701" s="1" t="s">
        <v>5782</v>
      </c>
      <c r="C12701" s="1" t="s">
        <v>5783</v>
      </c>
      <c r="D12701" s="22" t="str">
        <f>HYPERLINK("https://rhld.insurance.arkansas.gov/NPILookup?Npi=1073288569","1073288569")</f>
        <v>1073288569</v>
      </c>
      <c r="E12701" s="1" t="s">
        <v>5885</v>
      </c>
      <c r="F12701" s="2"/>
      <c r="G12701" s="2"/>
      <c r="H12701" s="2"/>
    </row>
    <row r="12702" spans="1:8" x14ac:dyDescent="0.25">
      <c r="A12702" s="1"/>
      <c r="B12702" s="1" t="s">
        <v>5782</v>
      </c>
      <c r="C12702" s="1" t="s">
        <v>5783</v>
      </c>
      <c r="D12702" s="22" t="str">
        <f>HYPERLINK("https://rhld.insurance.arkansas.gov/NPILookup?Npi=1073510582","1073510582")</f>
        <v>1073510582</v>
      </c>
      <c r="E12702" s="1" t="s">
        <v>21093</v>
      </c>
      <c r="F12702" s="2"/>
      <c r="G12702" s="2"/>
      <c r="H12702" s="2"/>
    </row>
    <row r="12703" spans="1:8" x14ac:dyDescent="0.25">
      <c r="A12703" s="1"/>
      <c r="B12703" s="1" t="s">
        <v>5782</v>
      </c>
      <c r="C12703" s="1" t="s">
        <v>5783</v>
      </c>
      <c r="D12703" s="22" t="str">
        <f>HYPERLINK("https://rhld.insurance.arkansas.gov/NPILookup?Npi=1073529491","1073529491")</f>
        <v>1073529491</v>
      </c>
      <c r="E12703" s="1" t="s">
        <v>5886</v>
      </c>
      <c r="F12703" s="2"/>
      <c r="G12703" s="2"/>
      <c r="H12703" s="2"/>
    </row>
    <row r="12704" spans="1:8" x14ac:dyDescent="0.25">
      <c r="A12704" s="1"/>
      <c r="B12704" s="1" t="s">
        <v>5782</v>
      </c>
      <c r="C12704" s="1" t="s">
        <v>5783</v>
      </c>
      <c r="D12704" s="22" t="str">
        <f>HYPERLINK("https://rhld.insurance.arkansas.gov/NPILookup?Npi=1073540555","1073540555")</f>
        <v>1073540555</v>
      </c>
      <c r="E12704" s="1" t="s">
        <v>706</v>
      </c>
      <c r="F12704" s="2"/>
      <c r="G12704" s="2"/>
      <c r="H12704" s="2"/>
    </row>
    <row r="12705" spans="1:8" x14ac:dyDescent="0.25">
      <c r="A12705" s="1"/>
      <c r="B12705" s="1" t="s">
        <v>5782</v>
      </c>
      <c r="C12705" s="1" t="s">
        <v>5783</v>
      </c>
      <c r="D12705" s="22" t="str">
        <f>HYPERLINK("https://rhld.insurance.arkansas.gov/NPILookup?Npi=1073637435","1073637435")</f>
        <v>1073637435</v>
      </c>
      <c r="E12705" s="1" t="s">
        <v>5887</v>
      </c>
      <c r="F12705" s="2"/>
      <c r="G12705" s="2"/>
      <c r="H12705" s="2"/>
    </row>
    <row r="12706" spans="1:8" x14ac:dyDescent="0.25">
      <c r="A12706" s="1"/>
      <c r="B12706" s="1" t="s">
        <v>5782</v>
      </c>
      <c r="C12706" s="1" t="s">
        <v>5783</v>
      </c>
      <c r="D12706" s="22" t="str">
        <f>HYPERLINK("https://rhld.insurance.arkansas.gov/NPILookup?Npi=1073638755","1073638755")</f>
        <v>1073638755</v>
      </c>
      <c r="E12706" s="1" t="s">
        <v>1592</v>
      </c>
      <c r="F12706" s="2"/>
      <c r="G12706" s="2"/>
      <c r="H12706" s="2"/>
    </row>
    <row r="12707" spans="1:8" x14ac:dyDescent="0.25">
      <c r="A12707" s="1"/>
      <c r="B12707" s="1" t="s">
        <v>5782</v>
      </c>
      <c r="C12707" s="1" t="s">
        <v>5783</v>
      </c>
      <c r="D12707" s="22" t="str">
        <f>HYPERLINK("https://rhld.insurance.arkansas.gov/NPILookup?Npi=1073641700","1073641700")</f>
        <v>1073641700</v>
      </c>
      <c r="E12707" s="1" t="s">
        <v>21094</v>
      </c>
      <c r="F12707" s="2"/>
      <c r="G12707" s="2"/>
      <c r="H12707" s="2"/>
    </row>
    <row r="12708" spans="1:8" x14ac:dyDescent="0.25">
      <c r="A12708" s="1"/>
      <c r="B12708" s="1" t="s">
        <v>5782</v>
      </c>
      <c r="C12708" s="1" t="s">
        <v>5783</v>
      </c>
      <c r="D12708" s="22" t="str">
        <f>HYPERLINK("https://rhld.insurance.arkansas.gov/NPILookup?Npi=1073701652","1073701652")</f>
        <v>1073701652</v>
      </c>
      <c r="E12708" s="1" t="s">
        <v>21095</v>
      </c>
      <c r="F12708" s="2"/>
      <c r="G12708" s="2"/>
      <c r="H12708" s="2"/>
    </row>
    <row r="12709" spans="1:8" x14ac:dyDescent="0.25">
      <c r="A12709" s="1"/>
      <c r="B12709" s="1" t="s">
        <v>5782</v>
      </c>
      <c r="C12709" s="1" t="s">
        <v>5783</v>
      </c>
      <c r="D12709" s="22" t="str">
        <f>HYPERLINK("https://rhld.insurance.arkansas.gov/NPILookup?Npi=1073734919","1073734919")</f>
        <v>1073734919</v>
      </c>
      <c r="E12709" s="1" t="s">
        <v>11609</v>
      </c>
      <c r="F12709" s="2"/>
      <c r="G12709" s="2"/>
      <c r="H12709" s="2"/>
    </row>
    <row r="12710" spans="1:8" x14ac:dyDescent="0.25">
      <c r="A12710" s="1"/>
      <c r="B12710" s="1" t="s">
        <v>5782</v>
      </c>
      <c r="C12710" s="1" t="s">
        <v>5783</v>
      </c>
      <c r="D12710" s="22" t="str">
        <f>HYPERLINK("https://rhld.insurance.arkansas.gov/NPILookup?Npi=1073745212","1073745212")</f>
        <v>1073745212</v>
      </c>
      <c r="E12710" s="1" t="s">
        <v>31795</v>
      </c>
      <c r="F12710" s="2"/>
      <c r="G12710" s="2"/>
      <c r="H12710" s="2"/>
    </row>
    <row r="12711" spans="1:8" x14ac:dyDescent="0.25">
      <c r="A12711" s="1"/>
      <c r="B12711" s="1" t="s">
        <v>5782</v>
      </c>
      <c r="C12711" s="1" t="s">
        <v>5783</v>
      </c>
      <c r="D12711" s="22" t="str">
        <f>HYPERLINK("https://rhld.insurance.arkansas.gov/NPILookup?Npi=1073747531","1073747531")</f>
        <v>1073747531</v>
      </c>
      <c r="E12711" s="1" t="s">
        <v>21096</v>
      </c>
      <c r="F12711" s="2"/>
      <c r="G12711" s="2"/>
      <c r="H12711" s="2"/>
    </row>
    <row r="12712" spans="1:8" x14ac:dyDescent="0.25">
      <c r="A12712" s="1"/>
      <c r="B12712" s="1" t="s">
        <v>5782</v>
      </c>
      <c r="C12712" s="1" t="s">
        <v>5783</v>
      </c>
      <c r="D12712" s="22" t="str">
        <f>HYPERLINK("https://rhld.insurance.arkansas.gov/NPILookup?Npi=1073751301","1073751301")</f>
        <v>1073751301</v>
      </c>
      <c r="E12712" s="1" t="s">
        <v>11460</v>
      </c>
      <c r="F12712" s="2"/>
      <c r="G12712" s="2"/>
      <c r="H12712" s="2"/>
    </row>
    <row r="12713" spans="1:8" x14ac:dyDescent="0.25">
      <c r="A12713" s="1"/>
      <c r="B12713" s="1" t="s">
        <v>5782</v>
      </c>
      <c r="C12713" s="1" t="s">
        <v>5783</v>
      </c>
      <c r="D12713" s="22" t="str">
        <f>HYPERLINK("https://rhld.insurance.arkansas.gov/NPILookup?Npi=1073752275","1073752275")</f>
        <v>1073752275</v>
      </c>
      <c r="E12713" s="1" t="s">
        <v>21097</v>
      </c>
      <c r="F12713" s="2"/>
      <c r="G12713" s="2"/>
      <c r="H12713" s="2"/>
    </row>
    <row r="12714" spans="1:8" x14ac:dyDescent="0.25">
      <c r="A12714" s="1"/>
      <c r="B12714" s="1" t="s">
        <v>5782</v>
      </c>
      <c r="C12714" s="1" t="s">
        <v>5783</v>
      </c>
      <c r="D12714" s="22" t="str">
        <f>HYPERLINK("https://rhld.insurance.arkansas.gov/NPILookup?Npi=1073754768","1073754768")</f>
        <v>1073754768</v>
      </c>
      <c r="E12714" s="1" t="s">
        <v>21098</v>
      </c>
      <c r="F12714" s="2"/>
      <c r="G12714" s="2"/>
      <c r="H12714" s="2"/>
    </row>
    <row r="12715" spans="1:8" x14ac:dyDescent="0.25">
      <c r="A12715" s="1"/>
      <c r="B12715" s="1" t="s">
        <v>5782</v>
      </c>
      <c r="C12715" s="1" t="s">
        <v>5783</v>
      </c>
      <c r="D12715" s="22" t="str">
        <f>HYPERLINK("https://rhld.insurance.arkansas.gov/NPILookup?Npi=1073764304","1073764304")</f>
        <v>1073764304</v>
      </c>
      <c r="E12715" s="1" t="s">
        <v>3184</v>
      </c>
      <c r="F12715" s="2"/>
      <c r="G12715" s="2"/>
      <c r="H12715" s="2"/>
    </row>
    <row r="12716" spans="1:8" x14ac:dyDescent="0.25">
      <c r="A12716" s="1"/>
      <c r="B12716" s="1" t="s">
        <v>5782</v>
      </c>
      <c r="C12716" s="1" t="s">
        <v>5783</v>
      </c>
      <c r="D12716" s="22" t="str">
        <f>HYPERLINK("https://rhld.insurance.arkansas.gov/NPILookup?Npi=1073764320","1073764320")</f>
        <v>1073764320</v>
      </c>
      <c r="E12716" s="1" t="s">
        <v>925</v>
      </c>
      <c r="F12716" s="2"/>
      <c r="G12716" s="2"/>
      <c r="H12716" s="2"/>
    </row>
    <row r="12717" spans="1:8" x14ac:dyDescent="0.25">
      <c r="A12717" s="1"/>
      <c r="B12717" s="1" t="s">
        <v>5782</v>
      </c>
      <c r="C12717" s="1" t="s">
        <v>5783</v>
      </c>
      <c r="D12717" s="22" t="str">
        <f>HYPERLINK("https://rhld.insurance.arkansas.gov/NPILookup?Npi=1073765657","1073765657")</f>
        <v>1073765657</v>
      </c>
      <c r="E12717" s="1" t="s">
        <v>21099</v>
      </c>
      <c r="F12717" s="2"/>
      <c r="G12717" s="2"/>
      <c r="H12717" s="2"/>
    </row>
    <row r="12718" spans="1:8" x14ac:dyDescent="0.25">
      <c r="A12718" s="1"/>
      <c r="B12718" s="1" t="s">
        <v>5782</v>
      </c>
      <c r="C12718" s="1" t="s">
        <v>5783</v>
      </c>
      <c r="D12718" s="22" t="str">
        <f>HYPERLINK("https://rhld.insurance.arkansas.gov/NPILookup?Npi=1073795589","1073795589")</f>
        <v>1073795589</v>
      </c>
      <c r="E12718" s="1" t="s">
        <v>21100</v>
      </c>
      <c r="F12718" s="2"/>
      <c r="G12718" s="2"/>
      <c r="H12718" s="2"/>
    </row>
    <row r="12719" spans="1:8" x14ac:dyDescent="0.25">
      <c r="A12719" s="1"/>
      <c r="B12719" s="1" t="s">
        <v>5782</v>
      </c>
      <c r="C12719" s="1" t="s">
        <v>5783</v>
      </c>
      <c r="D12719" s="22" t="str">
        <f>HYPERLINK("https://rhld.insurance.arkansas.gov/NPILookup?Npi=1073801338","1073801338")</f>
        <v>1073801338</v>
      </c>
      <c r="E12719" s="1" t="s">
        <v>21101</v>
      </c>
      <c r="F12719" s="2"/>
      <c r="G12719" s="2"/>
      <c r="H12719" s="2"/>
    </row>
    <row r="12720" spans="1:8" x14ac:dyDescent="0.25">
      <c r="A12720" s="1"/>
      <c r="B12720" s="1" t="s">
        <v>5782</v>
      </c>
      <c r="C12720" s="1" t="s">
        <v>5783</v>
      </c>
      <c r="D12720" s="22" t="str">
        <f>HYPERLINK("https://rhld.insurance.arkansas.gov/NPILookup?Npi=1073806790","1073806790")</f>
        <v>1073806790</v>
      </c>
      <c r="E12720" s="1" t="s">
        <v>11461</v>
      </c>
      <c r="F12720" s="2"/>
      <c r="G12720" s="2"/>
      <c r="H12720" s="2"/>
    </row>
    <row r="12721" spans="1:8" x14ac:dyDescent="0.25">
      <c r="A12721" s="1"/>
      <c r="B12721" s="1" t="s">
        <v>5782</v>
      </c>
      <c r="C12721" s="1" t="s">
        <v>5783</v>
      </c>
      <c r="D12721" s="22" t="str">
        <f>HYPERLINK("https://rhld.insurance.arkansas.gov/NPILookup?Npi=1073809976","1073809976")</f>
        <v>1073809976</v>
      </c>
      <c r="E12721" s="1" t="s">
        <v>21102</v>
      </c>
      <c r="F12721" s="2"/>
      <c r="G12721" s="2"/>
      <c r="H12721" s="2"/>
    </row>
    <row r="12722" spans="1:8" x14ac:dyDescent="0.25">
      <c r="A12722" s="1"/>
      <c r="B12722" s="1" t="s">
        <v>5782</v>
      </c>
      <c r="C12722" s="1" t="s">
        <v>5783</v>
      </c>
      <c r="D12722" s="22" t="str">
        <f>HYPERLINK("https://rhld.insurance.arkansas.gov/NPILookup?Npi=1073832119","1073832119")</f>
        <v>1073832119</v>
      </c>
      <c r="E12722" s="1" t="s">
        <v>5888</v>
      </c>
      <c r="F12722" s="2"/>
      <c r="G12722" s="2"/>
      <c r="H12722" s="2"/>
    </row>
    <row r="12723" spans="1:8" x14ac:dyDescent="0.25">
      <c r="A12723" s="1"/>
      <c r="B12723" s="1" t="s">
        <v>5782</v>
      </c>
      <c r="C12723" s="1" t="s">
        <v>5783</v>
      </c>
      <c r="D12723" s="22" t="str">
        <f>HYPERLINK("https://rhld.insurance.arkansas.gov/NPILookup?Npi=1073841219","1073841219")</f>
        <v>1073841219</v>
      </c>
      <c r="E12723" s="1" t="s">
        <v>11841</v>
      </c>
      <c r="F12723" s="2"/>
      <c r="G12723" s="2"/>
      <c r="H12723" s="2"/>
    </row>
    <row r="12724" spans="1:8" x14ac:dyDescent="0.25">
      <c r="A12724" s="1"/>
      <c r="B12724" s="1" t="s">
        <v>5782</v>
      </c>
      <c r="C12724" s="1" t="s">
        <v>5783</v>
      </c>
      <c r="D12724" s="22" t="str">
        <f>HYPERLINK("https://rhld.insurance.arkansas.gov/NPILookup?Npi=1073846457","1073846457")</f>
        <v>1073846457</v>
      </c>
      <c r="E12724" s="1" t="s">
        <v>21103</v>
      </c>
      <c r="F12724" s="2"/>
      <c r="G12724" s="2"/>
      <c r="H12724" s="2"/>
    </row>
    <row r="12725" spans="1:8" x14ac:dyDescent="0.25">
      <c r="A12725" s="1"/>
      <c r="B12725" s="1" t="s">
        <v>5782</v>
      </c>
      <c r="C12725" s="1" t="s">
        <v>5783</v>
      </c>
      <c r="D12725" s="22" t="str">
        <f>HYPERLINK("https://rhld.insurance.arkansas.gov/NPILookup?Npi=1073847570","1073847570")</f>
        <v>1073847570</v>
      </c>
      <c r="E12725" s="1" t="s">
        <v>21104</v>
      </c>
      <c r="F12725" s="2"/>
      <c r="G12725" s="2"/>
      <c r="H12725" s="2"/>
    </row>
    <row r="12726" spans="1:8" x14ac:dyDescent="0.25">
      <c r="A12726" s="1"/>
      <c r="B12726" s="1" t="s">
        <v>5782</v>
      </c>
      <c r="C12726" s="1" t="s">
        <v>5783</v>
      </c>
      <c r="D12726" s="22" t="str">
        <f>HYPERLINK("https://rhld.insurance.arkansas.gov/NPILookup?Npi=1073851952","1073851952")</f>
        <v>1073851952</v>
      </c>
      <c r="E12726" s="1" t="s">
        <v>21105</v>
      </c>
      <c r="F12726" s="2"/>
      <c r="G12726" s="2"/>
      <c r="H12726" s="2"/>
    </row>
    <row r="12727" spans="1:8" x14ac:dyDescent="0.25">
      <c r="A12727" s="1"/>
      <c r="B12727" s="1" t="s">
        <v>5782</v>
      </c>
      <c r="C12727" s="1" t="s">
        <v>5783</v>
      </c>
      <c r="D12727" s="22" t="str">
        <f>HYPERLINK("https://rhld.insurance.arkansas.gov/NPILookup?Npi=1073874541","1073874541")</f>
        <v>1073874541</v>
      </c>
      <c r="E12727" s="1" t="s">
        <v>21106</v>
      </c>
      <c r="F12727" s="2"/>
      <c r="G12727" s="2"/>
      <c r="H12727" s="2"/>
    </row>
    <row r="12728" spans="1:8" x14ac:dyDescent="0.25">
      <c r="A12728" s="1"/>
      <c r="B12728" s="1" t="s">
        <v>5782</v>
      </c>
      <c r="C12728" s="1" t="s">
        <v>5783</v>
      </c>
      <c r="D12728" s="22" t="str">
        <f>HYPERLINK("https://rhld.insurance.arkansas.gov/NPILookup?Npi=1073874665","1073874665")</f>
        <v>1073874665</v>
      </c>
      <c r="E12728" s="1" t="s">
        <v>21107</v>
      </c>
      <c r="F12728" s="2"/>
      <c r="G12728" s="2"/>
      <c r="H12728" s="2"/>
    </row>
    <row r="12729" spans="1:8" x14ac:dyDescent="0.25">
      <c r="A12729" s="1"/>
      <c r="B12729" s="1" t="s">
        <v>5782</v>
      </c>
      <c r="C12729" s="1" t="s">
        <v>5783</v>
      </c>
      <c r="D12729" s="22" t="str">
        <f>HYPERLINK("https://rhld.insurance.arkansas.gov/NPILookup?Npi=1073888756","1073888756")</f>
        <v>1073888756</v>
      </c>
      <c r="E12729" s="1" t="s">
        <v>21108</v>
      </c>
      <c r="F12729" s="2"/>
      <c r="G12729" s="2"/>
      <c r="H12729" s="2"/>
    </row>
    <row r="12730" spans="1:8" x14ac:dyDescent="0.25">
      <c r="A12730" s="1"/>
      <c r="B12730" s="1" t="s">
        <v>5782</v>
      </c>
      <c r="C12730" s="1" t="s">
        <v>5783</v>
      </c>
      <c r="D12730" s="22" t="str">
        <f>HYPERLINK("https://rhld.insurance.arkansas.gov/NPILookup?Npi=1073891453","1073891453")</f>
        <v>1073891453</v>
      </c>
      <c r="E12730" s="1" t="s">
        <v>21109</v>
      </c>
      <c r="F12730" s="2"/>
      <c r="G12730" s="2"/>
      <c r="H12730" s="2"/>
    </row>
    <row r="12731" spans="1:8" x14ac:dyDescent="0.25">
      <c r="A12731" s="1"/>
      <c r="B12731" s="1" t="s">
        <v>5782</v>
      </c>
      <c r="C12731" s="1" t="s">
        <v>5783</v>
      </c>
      <c r="D12731" s="22" t="str">
        <f>HYPERLINK("https://rhld.insurance.arkansas.gov/NPILookup?Npi=1073892634","1073892634")</f>
        <v>1073892634</v>
      </c>
      <c r="E12731" s="1" t="s">
        <v>11462</v>
      </c>
      <c r="F12731" s="2"/>
      <c r="G12731" s="2"/>
      <c r="H12731" s="2"/>
    </row>
    <row r="12732" spans="1:8" x14ac:dyDescent="0.25">
      <c r="A12732" s="1"/>
      <c r="B12732" s="1" t="s">
        <v>5782</v>
      </c>
      <c r="C12732" s="1" t="s">
        <v>5783</v>
      </c>
      <c r="D12732" s="22" t="str">
        <f>HYPERLINK("https://rhld.insurance.arkansas.gov/NPILookup?Npi=1073893012","1073893012")</f>
        <v>1073893012</v>
      </c>
      <c r="E12732" s="1" t="s">
        <v>21110</v>
      </c>
      <c r="F12732" s="2"/>
      <c r="G12732" s="2"/>
      <c r="H12732" s="2"/>
    </row>
    <row r="12733" spans="1:8" x14ac:dyDescent="0.25">
      <c r="A12733" s="1"/>
      <c r="B12733" s="1" t="s">
        <v>5782</v>
      </c>
      <c r="C12733" s="1" t="s">
        <v>5783</v>
      </c>
      <c r="D12733" s="22" t="str">
        <f>HYPERLINK("https://rhld.insurance.arkansas.gov/NPILookup?Npi=1073894366","1073894366")</f>
        <v>1073894366</v>
      </c>
      <c r="E12733" s="1" t="s">
        <v>5890</v>
      </c>
      <c r="F12733" s="2"/>
      <c r="G12733" s="2"/>
      <c r="H12733" s="2"/>
    </row>
    <row r="12734" spans="1:8" x14ac:dyDescent="0.25">
      <c r="A12734" s="1"/>
      <c r="B12734" s="1" t="s">
        <v>5782</v>
      </c>
      <c r="C12734" s="1" t="s">
        <v>5783</v>
      </c>
      <c r="D12734" s="22" t="str">
        <f>HYPERLINK("https://rhld.insurance.arkansas.gov/NPILookup?Npi=1073896213","1073896213")</f>
        <v>1073896213</v>
      </c>
      <c r="E12734" s="1" t="s">
        <v>21111</v>
      </c>
      <c r="F12734" s="2"/>
      <c r="G12734" s="2"/>
      <c r="H12734" s="2"/>
    </row>
    <row r="12735" spans="1:8" x14ac:dyDescent="0.25">
      <c r="A12735" s="1"/>
      <c r="B12735" s="1" t="s">
        <v>5782</v>
      </c>
      <c r="C12735" s="1" t="s">
        <v>5783</v>
      </c>
      <c r="D12735" s="22" t="str">
        <f>HYPERLINK("https://rhld.insurance.arkansas.gov/NPILookup?Npi=1073909719","1073909719")</f>
        <v>1073909719</v>
      </c>
      <c r="E12735" s="1" t="s">
        <v>20653</v>
      </c>
      <c r="F12735" s="2"/>
      <c r="G12735" s="2"/>
      <c r="H12735" s="2"/>
    </row>
    <row r="12736" spans="1:8" x14ac:dyDescent="0.25">
      <c r="A12736" s="1"/>
      <c r="B12736" s="1" t="s">
        <v>5782</v>
      </c>
      <c r="C12736" s="1" t="s">
        <v>5783</v>
      </c>
      <c r="D12736" s="22" t="str">
        <f>HYPERLINK("https://rhld.insurance.arkansas.gov/NPILookup?Npi=1073915849","1073915849")</f>
        <v>1073915849</v>
      </c>
      <c r="E12736" s="1" t="s">
        <v>21112</v>
      </c>
      <c r="F12736" s="2"/>
      <c r="G12736" s="2"/>
      <c r="H12736" s="2"/>
    </row>
    <row r="12737" spans="1:8" x14ac:dyDescent="0.25">
      <c r="A12737" s="1"/>
      <c r="B12737" s="1" t="s">
        <v>5782</v>
      </c>
      <c r="C12737" s="1" t="s">
        <v>5783</v>
      </c>
      <c r="D12737" s="22" t="str">
        <f>HYPERLINK("https://rhld.insurance.arkansas.gov/NPILookup?Npi=1073923504","1073923504")</f>
        <v>1073923504</v>
      </c>
      <c r="E12737" s="1" t="s">
        <v>21113</v>
      </c>
      <c r="F12737" s="2"/>
      <c r="G12737" s="2"/>
      <c r="H12737" s="2"/>
    </row>
    <row r="12738" spans="1:8" x14ac:dyDescent="0.25">
      <c r="A12738" s="1"/>
      <c r="B12738" s="1" t="s">
        <v>5782</v>
      </c>
      <c r="C12738" s="1" t="s">
        <v>5783</v>
      </c>
      <c r="D12738" s="22" t="str">
        <f>HYPERLINK("https://rhld.insurance.arkansas.gov/NPILookup?Npi=1073941514","1073941514")</f>
        <v>1073941514</v>
      </c>
      <c r="E12738" s="1" t="s">
        <v>11761</v>
      </c>
      <c r="F12738" s="2"/>
      <c r="G12738" s="2"/>
      <c r="H12738" s="2"/>
    </row>
    <row r="12739" spans="1:8" x14ac:dyDescent="0.25">
      <c r="A12739" s="1"/>
      <c r="B12739" s="1" t="s">
        <v>5782</v>
      </c>
      <c r="C12739" s="1" t="s">
        <v>5783</v>
      </c>
      <c r="D12739" s="22" t="str">
        <f>HYPERLINK("https://rhld.insurance.arkansas.gov/NPILookup?Npi=1073962072","1073962072")</f>
        <v>1073962072</v>
      </c>
      <c r="E12739" s="1" t="s">
        <v>5892</v>
      </c>
      <c r="F12739" s="2"/>
      <c r="G12739" s="2"/>
      <c r="H12739" s="2"/>
    </row>
    <row r="12740" spans="1:8" x14ac:dyDescent="0.25">
      <c r="A12740" s="1"/>
      <c r="B12740" s="1" t="s">
        <v>5782</v>
      </c>
      <c r="C12740" s="1" t="s">
        <v>5783</v>
      </c>
      <c r="D12740" s="22" t="str">
        <f>HYPERLINK("https://rhld.insurance.arkansas.gov/NPILookup?Npi=1073971255","1073971255")</f>
        <v>1073971255</v>
      </c>
      <c r="E12740" s="1" t="s">
        <v>21114</v>
      </c>
      <c r="F12740" s="2"/>
      <c r="G12740" s="2"/>
      <c r="H12740" s="2"/>
    </row>
    <row r="12741" spans="1:8" x14ac:dyDescent="0.25">
      <c r="A12741" s="1"/>
      <c r="B12741" s="1" t="s">
        <v>5782</v>
      </c>
      <c r="C12741" s="1" t="s">
        <v>5783</v>
      </c>
      <c r="D12741" s="22" t="str">
        <f>HYPERLINK("https://rhld.insurance.arkansas.gov/NPILookup?Npi=1073977203","1073977203")</f>
        <v>1073977203</v>
      </c>
      <c r="E12741" s="1" t="s">
        <v>21115</v>
      </c>
      <c r="F12741" s="2"/>
      <c r="G12741" s="2"/>
      <c r="H12741" s="2"/>
    </row>
    <row r="12742" spans="1:8" x14ac:dyDescent="0.25">
      <c r="A12742" s="1"/>
      <c r="B12742" s="1" t="s">
        <v>5782</v>
      </c>
      <c r="C12742" s="1" t="s">
        <v>5783</v>
      </c>
      <c r="D12742" s="22" t="str">
        <f>HYPERLINK("https://rhld.insurance.arkansas.gov/NPILookup?Npi=1073977476","1073977476")</f>
        <v>1073977476</v>
      </c>
      <c r="E12742" s="1" t="s">
        <v>3185</v>
      </c>
      <c r="F12742" s="2"/>
      <c r="G12742" s="2"/>
      <c r="H12742" s="2"/>
    </row>
    <row r="12743" spans="1:8" x14ac:dyDescent="0.25">
      <c r="A12743" s="1"/>
      <c r="B12743" s="1" t="s">
        <v>5782</v>
      </c>
      <c r="C12743" s="1" t="s">
        <v>5783</v>
      </c>
      <c r="D12743" s="22" t="str">
        <f>HYPERLINK("https://rhld.insurance.arkansas.gov/NPILookup?Npi=1073982203","1073982203")</f>
        <v>1073982203</v>
      </c>
      <c r="E12743" s="1" t="s">
        <v>21116</v>
      </c>
      <c r="F12743" s="2"/>
      <c r="G12743" s="2"/>
      <c r="H12743" s="2"/>
    </row>
    <row r="12744" spans="1:8" x14ac:dyDescent="0.25">
      <c r="A12744" s="1"/>
      <c r="B12744" s="1" t="s">
        <v>5782</v>
      </c>
      <c r="C12744" s="1" t="s">
        <v>5783</v>
      </c>
      <c r="D12744" s="22" t="str">
        <f>HYPERLINK("https://rhld.insurance.arkansas.gov/NPILookup?Npi=1073986576","1073986576")</f>
        <v>1073986576</v>
      </c>
      <c r="E12744" s="1" t="s">
        <v>1416</v>
      </c>
      <c r="F12744" s="2"/>
      <c r="G12744" s="2"/>
      <c r="H12744" s="2"/>
    </row>
    <row r="12745" spans="1:8" x14ac:dyDescent="0.25">
      <c r="A12745" s="1"/>
      <c r="B12745" s="1" t="s">
        <v>5782</v>
      </c>
      <c r="C12745" s="1" t="s">
        <v>5783</v>
      </c>
      <c r="D12745" s="22" t="str">
        <f>HYPERLINK("https://rhld.insurance.arkansas.gov/NPILookup?Npi=1083013643","1083013643")</f>
        <v>1083013643</v>
      </c>
      <c r="E12745" s="1" t="s">
        <v>21117</v>
      </c>
      <c r="F12745" s="2"/>
      <c r="G12745" s="2"/>
      <c r="H12745" s="2"/>
    </row>
    <row r="12746" spans="1:8" x14ac:dyDescent="0.25">
      <c r="A12746" s="1"/>
      <c r="B12746" s="1" t="s">
        <v>5782</v>
      </c>
      <c r="C12746" s="1" t="s">
        <v>5783</v>
      </c>
      <c r="D12746" s="22" t="str">
        <f>HYPERLINK("https://rhld.insurance.arkansas.gov/NPILookup?Npi=1083031603","1083031603")</f>
        <v>1083031603</v>
      </c>
      <c r="E12746" s="1" t="s">
        <v>1314</v>
      </c>
      <c r="F12746" s="2"/>
      <c r="G12746" s="2"/>
      <c r="H12746" s="2"/>
    </row>
    <row r="12747" spans="1:8" x14ac:dyDescent="0.25">
      <c r="A12747" s="1"/>
      <c r="B12747" s="1" t="s">
        <v>5782</v>
      </c>
      <c r="C12747" s="1" t="s">
        <v>5783</v>
      </c>
      <c r="D12747" s="22" t="str">
        <f>HYPERLINK("https://rhld.insurance.arkansas.gov/NPILookup?Npi=1083049324","1083049324")</f>
        <v>1083049324</v>
      </c>
      <c r="E12747" s="1" t="s">
        <v>1315</v>
      </c>
      <c r="F12747" s="2"/>
      <c r="G12747" s="2"/>
      <c r="H12747" s="2"/>
    </row>
    <row r="12748" spans="1:8" x14ac:dyDescent="0.25">
      <c r="A12748" s="1"/>
      <c r="B12748" s="1" t="s">
        <v>5782</v>
      </c>
      <c r="C12748" s="1" t="s">
        <v>5783</v>
      </c>
      <c r="D12748" s="22" t="str">
        <f>HYPERLINK("https://rhld.insurance.arkansas.gov/NPILookup?Npi=1083065999","1083065999")</f>
        <v>1083065999</v>
      </c>
      <c r="E12748" s="1" t="s">
        <v>1497</v>
      </c>
      <c r="F12748" s="2"/>
      <c r="G12748" s="2"/>
      <c r="H12748" s="2"/>
    </row>
    <row r="12749" spans="1:8" x14ac:dyDescent="0.25">
      <c r="A12749" s="1"/>
      <c r="B12749" s="1" t="s">
        <v>5782</v>
      </c>
      <c r="C12749" s="1" t="s">
        <v>5783</v>
      </c>
      <c r="D12749" s="22" t="str">
        <f>HYPERLINK("https://rhld.insurance.arkansas.gov/NPILookup?Npi=1083082739","1083082739")</f>
        <v>1083082739</v>
      </c>
      <c r="E12749" s="1" t="s">
        <v>21118</v>
      </c>
      <c r="F12749" s="2"/>
      <c r="G12749" s="2"/>
      <c r="H12749" s="2"/>
    </row>
    <row r="12750" spans="1:8" x14ac:dyDescent="0.25">
      <c r="A12750" s="1"/>
      <c r="B12750" s="1" t="s">
        <v>5782</v>
      </c>
      <c r="C12750" s="1" t="s">
        <v>5783</v>
      </c>
      <c r="D12750" s="22" t="str">
        <f>HYPERLINK("https://rhld.insurance.arkansas.gov/NPILookup?Npi=1083112718","1083112718")</f>
        <v>1083112718</v>
      </c>
      <c r="E12750" s="1" t="s">
        <v>21119</v>
      </c>
      <c r="F12750" s="2"/>
      <c r="G12750" s="2"/>
      <c r="H12750" s="2"/>
    </row>
    <row r="12751" spans="1:8" x14ac:dyDescent="0.25">
      <c r="A12751" s="1"/>
      <c r="B12751" s="1" t="s">
        <v>5782</v>
      </c>
      <c r="C12751" s="1" t="s">
        <v>5783</v>
      </c>
      <c r="D12751" s="22" t="str">
        <f>HYPERLINK("https://rhld.insurance.arkansas.gov/NPILookup?Npi=1083132823","1083132823")</f>
        <v>1083132823</v>
      </c>
      <c r="E12751" s="1" t="s">
        <v>21120</v>
      </c>
      <c r="F12751" s="2"/>
      <c r="G12751" s="2"/>
      <c r="H12751" s="2"/>
    </row>
    <row r="12752" spans="1:8" x14ac:dyDescent="0.25">
      <c r="A12752" s="1"/>
      <c r="B12752" s="1" t="s">
        <v>5782</v>
      </c>
      <c r="C12752" s="1" t="s">
        <v>5783</v>
      </c>
      <c r="D12752" s="22" t="str">
        <f>HYPERLINK("https://rhld.insurance.arkansas.gov/NPILookup?Npi=1083141253","1083141253")</f>
        <v>1083141253</v>
      </c>
      <c r="E12752" s="1" t="s">
        <v>21121</v>
      </c>
      <c r="F12752" s="2"/>
      <c r="G12752" s="2"/>
      <c r="H12752" s="2"/>
    </row>
    <row r="12753" spans="1:8" x14ac:dyDescent="0.25">
      <c r="A12753" s="1"/>
      <c r="B12753" s="1" t="s">
        <v>5782</v>
      </c>
      <c r="C12753" s="1" t="s">
        <v>5783</v>
      </c>
      <c r="D12753" s="22" t="str">
        <f>HYPERLINK("https://rhld.insurance.arkansas.gov/NPILookup?Npi=1083176259","1083176259")</f>
        <v>1083176259</v>
      </c>
      <c r="E12753" s="1" t="s">
        <v>21122</v>
      </c>
      <c r="F12753" s="2"/>
      <c r="G12753" s="2"/>
      <c r="H12753" s="2"/>
    </row>
    <row r="12754" spans="1:8" x14ac:dyDescent="0.25">
      <c r="A12754" s="1"/>
      <c r="B12754" s="1" t="s">
        <v>5782</v>
      </c>
      <c r="C12754" s="1" t="s">
        <v>5783</v>
      </c>
      <c r="D12754" s="22" t="str">
        <f>HYPERLINK("https://rhld.insurance.arkansas.gov/NPILookup?Npi=1083186274","1083186274")</f>
        <v>1083186274</v>
      </c>
      <c r="E12754" s="1" t="s">
        <v>21123</v>
      </c>
      <c r="F12754" s="2"/>
      <c r="G12754" s="2"/>
      <c r="H12754" s="2"/>
    </row>
    <row r="12755" spans="1:8" x14ac:dyDescent="0.25">
      <c r="A12755" s="1"/>
      <c r="B12755" s="1" t="s">
        <v>5782</v>
      </c>
      <c r="C12755" s="1" t="s">
        <v>5783</v>
      </c>
      <c r="D12755" s="22" t="str">
        <f>HYPERLINK("https://rhld.insurance.arkansas.gov/NPILookup?Npi=1083186431","1083186431")</f>
        <v>1083186431</v>
      </c>
      <c r="E12755" s="1" t="s">
        <v>2457</v>
      </c>
      <c r="F12755" s="2"/>
      <c r="G12755" s="2"/>
      <c r="H12755" s="2"/>
    </row>
    <row r="12756" spans="1:8" x14ac:dyDescent="0.25">
      <c r="A12756" s="1"/>
      <c r="B12756" s="1" t="s">
        <v>5782</v>
      </c>
      <c r="C12756" s="1" t="s">
        <v>5783</v>
      </c>
      <c r="D12756" s="22" t="str">
        <f>HYPERLINK("https://rhld.insurance.arkansas.gov/NPILookup?Npi=1083206585","1083206585")</f>
        <v>1083206585</v>
      </c>
      <c r="E12756" s="1" t="s">
        <v>11463</v>
      </c>
      <c r="F12756" s="2"/>
      <c r="G12756" s="2"/>
      <c r="H12756" s="2"/>
    </row>
    <row r="12757" spans="1:8" x14ac:dyDescent="0.25">
      <c r="A12757" s="1"/>
      <c r="B12757" s="1" t="s">
        <v>5782</v>
      </c>
      <c r="C12757" s="1" t="s">
        <v>5783</v>
      </c>
      <c r="D12757" s="22" t="str">
        <f>HYPERLINK("https://rhld.insurance.arkansas.gov/NPILookup?Npi=1083216303","1083216303")</f>
        <v>1083216303</v>
      </c>
      <c r="E12757" s="1" t="s">
        <v>5894</v>
      </c>
      <c r="F12757" s="2"/>
      <c r="G12757" s="2"/>
      <c r="H12757" s="2"/>
    </row>
    <row r="12758" spans="1:8" x14ac:dyDescent="0.25">
      <c r="A12758" s="1"/>
      <c r="B12758" s="1" t="s">
        <v>5782</v>
      </c>
      <c r="C12758" s="1" t="s">
        <v>5783</v>
      </c>
      <c r="D12758" s="22" t="str">
        <f>HYPERLINK("https://rhld.insurance.arkansas.gov/NPILookup?Npi=1083223010","1083223010")</f>
        <v>1083223010</v>
      </c>
      <c r="E12758" s="1" t="s">
        <v>21124</v>
      </c>
      <c r="F12758" s="2"/>
      <c r="G12758" s="2"/>
      <c r="H12758" s="2"/>
    </row>
    <row r="12759" spans="1:8" x14ac:dyDescent="0.25">
      <c r="A12759" s="1"/>
      <c r="B12759" s="1" t="s">
        <v>5782</v>
      </c>
      <c r="C12759" s="1" t="s">
        <v>5783</v>
      </c>
      <c r="D12759" s="22" t="str">
        <f>HYPERLINK("https://rhld.insurance.arkansas.gov/NPILookup?Npi=1083223101","1083223101")</f>
        <v>1083223101</v>
      </c>
      <c r="E12759" s="1" t="s">
        <v>21125</v>
      </c>
      <c r="F12759" s="2"/>
      <c r="G12759" s="2"/>
      <c r="H12759" s="2"/>
    </row>
    <row r="12760" spans="1:8" x14ac:dyDescent="0.25">
      <c r="A12760" s="1"/>
      <c r="B12760" s="1" t="s">
        <v>5782</v>
      </c>
      <c r="C12760" s="1" t="s">
        <v>5783</v>
      </c>
      <c r="D12760" s="22" t="str">
        <f>HYPERLINK("https://rhld.insurance.arkansas.gov/NPILookup?Npi=1083224364","1083224364")</f>
        <v>1083224364</v>
      </c>
      <c r="E12760" s="1" t="s">
        <v>21126</v>
      </c>
      <c r="F12760" s="2"/>
      <c r="G12760" s="2"/>
      <c r="H12760" s="2"/>
    </row>
    <row r="12761" spans="1:8" x14ac:dyDescent="0.25">
      <c r="A12761" s="1"/>
      <c r="B12761" s="1" t="s">
        <v>5782</v>
      </c>
      <c r="C12761" s="1" t="s">
        <v>5783</v>
      </c>
      <c r="D12761" s="22" t="str">
        <f>HYPERLINK("https://rhld.insurance.arkansas.gov/NPILookup?Npi=1083241541","1083241541")</f>
        <v>1083241541</v>
      </c>
      <c r="E12761" s="1" t="s">
        <v>21127</v>
      </c>
      <c r="F12761" s="2"/>
      <c r="G12761" s="2"/>
      <c r="H12761" s="2"/>
    </row>
    <row r="12762" spans="1:8" x14ac:dyDescent="0.25">
      <c r="A12762" s="1"/>
      <c r="B12762" s="1" t="s">
        <v>5782</v>
      </c>
      <c r="C12762" s="1" t="s">
        <v>5783</v>
      </c>
      <c r="D12762" s="22" t="str">
        <f>HYPERLINK("https://rhld.insurance.arkansas.gov/NPILookup?Npi=1083248777","1083248777")</f>
        <v>1083248777</v>
      </c>
      <c r="E12762" s="1" t="s">
        <v>5895</v>
      </c>
      <c r="F12762" s="2"/>
      <c r="G12762" s="2"/>
      <c r="H12762" s="2"/>
    </row>
    <row r="12763" spans="1:8" x14ac:dyDescent="0.25">
      <c r="A12763" s="1"/>
      <c r="B12763" s="1" t="s">
        <v>5782</v>
      </c>
      <c r="C12763" s="1" t="s">
        <v>5783</v>
      </c>
      <c r="D12763" s="22" t="str">
        <f>HYPERLINK("https://rhld.insurance.arkansas.gov/NPILookup?Npi=1083256820","1083256820")</f>
        <v>1083256820</v>
      </c>
      <c r="E12763" s="1" t="s">
        <v>21128</v>
      </c>
      <c r="F12763" s="2"/>
      <c r="G12763" s="2"/>
      <c r="H12763" s="2"/>
    </row>
    <row r="12764" spans="1:8" x14ac:dyDescent="0.25">
      <c r="A12764" s="1"/>
      <c r="B12764" s="1" t="s">
        <v>5782</v>
      </c>
      <c r="C12764" s="1" t="s">
        <v>5783</v>
      </c>
      <c r="D12764" s="22" t="str">
        <f>HYPERLINK("https://rhld.insurance.arkansas.gov/NPILookup?Npi=1083265896","1083265896")</f>
        <v>1083265896</v>
      </c>
      <c r="E12764" s="1" t="s">
        <v>21129</v>
      </c>
      <c r="F12764" s="2"/>
      <c r="G12764" s="2"/>
      <c r="H12764" s="2"/>
    </row>
    <row r="12765" spans="1:8" x14ac:dyDescent="0.25">
      <c r="A12765" s="1"/>
      <c r="B12765" s="1" t="s">
        <v>5782</v>
      </c>
      <c r="C12765" s="1" t="s">
        <v>5783</v>
      </c>
      <c r="D12765" s="22" t="str">
        <f>HYPERLINK("https://rhld.insurance.arkansas.gov/NPILookup?Npi=1083269401","1083269401")</f>
        <v>1083269401</v>
      </c>
      <c r="E12765" s="1" t="s">
        <v>5896</v>
      </c>
      <c r="F12765" s="2"/>
      <c r="G12765" s="2"/>
      <c r="H12765" s="2"/>
    </row>
    <row r="12766" spans="1:8" x14ac:dyDescent="0.25">
      <c r="A12766" s="1"/>
      <c r="B12766" s="1" t="s">
        <v>5782</v>
      </c>
      <c r="C12766" s="1" t="s">
        <v>5783</v>
      </c>
      <c r="D12766" s="22" t="str">
        <f>HYPERLINK("https://rhld.insurance.arkansas.gov/NPILookup?Npi=1083281562","1083281562")</f>
        <v>1083281562</v>
      </c>
      <c r="E12766" s="1" t="s">
        <v>5897</v>
      </c>
      <c r="F12766" s="2"/>
      <c r="G12766" s="2"/>
      <c r="H12766" s="2"/>
    </row>
    <row r="12767" spans="1:8" x14ac:dyDescent="0.25">
      <c r="A12767" s="1"/>
      <c r="B12767" s="1" t="s">
        <v>5782</v>
      </c>
      <c r="C12767" s="1" t="s">
        <v>5783</v>
      </c>
      <c r="D12767" s="22" t="str">
        <f>HYPERLINK("https://rhld.insurance.arkansas.gov/NPILookup?Npi=1083296800","1083296800")</f>
        <v>1083296800</v>
      </c>
      <c r="E12767" s="1" t="s">
        <v>11464</v>
      </c>
      <c r="F12767" s="2"/>
      <c r="G12767" s="2"/>
      <c r="H12767" s="2"/>
    </row>
    <row r="12768" spans="1:8" x14ac:dyDescent="0.25">
      <c r="A12768" s="1"/>
      <c r="B12768" s="1" t="s">
        <v>5782</v>
      </c>
      <c r="C12768" s="1" t="s">
        <v>5783</v>
      </c>
      <c r="D12768" s="22" t="str">
        <f>HYPERLINK("https://rhld.insurance.arkansas.gov/NPILookup?Npi=1083319750","1083319750")</f>
        <v>1083319750</v>
      </c>
      <c r="E12768" s="1" t="s">
        <v>5898</v>
      </c>
      <c r="F12768" s="2"/>
      <c r="G12768" s="2"/>
      <c r="H12768" s="2"/>
    </row>
    <row r="12769" spans="1:8" x14ac:dyDescent="0.25">
      <c r="A12769" s="1"/>
      <c r="B12769" s="1" t="s">
        <v>5782</v>
      </c>
      <c r="C12769" s="1" t="s">
        <v>5783</v>
      </c>
      <c r="D12769" s="22" t="str">
        <f>HYPERLINK("https://rhld.insurance.arkansas.gov/NPILookup?Npi=1083320238","1083320238")</f>
        <v>1083320238</v>
      </c>
      <c r="E12769" s="1" t="s">
        <v>5899</v>
      </c>
      <c r="F12769" s="2"/>
      <c r="G12769" s="2"/>
      <c r="H12769" s="2"/>
    </row>
    <row r="12770" spans="1:8" x14ac:dyDescent="0.25">
      <c r="A12770" s="1"/>
      <c r="B12770" s="1" t="s">
        <v>5782</v>
      </c>
      <c r="C12770" s="1" t="s">
        <v>5783</v>
      </c>
      <c r="D12770" s="22" t="str">
        <f>HYPERLINK("https://rhld.insurance.arkansas.gov/NPILookup?Npi=1083344378","1083344378")</f>
        <v>1083344378</v>
      </c>
      <c r="E12770" s="1" t="s">
        <v>31796</v>
      </c>
      <c r="F12770" s="2"/>
      <c r="G12770" s="2"/>
      <c r="H12770" s="2"/>
    </row>
    <row r="12771" spans="1:8" x14ac:dyDescent="0.25">
      <c r="A12771" s="1"/>
      <c r="B12771" s="1" t="s">
        <v>5782</v>
      </c>
      <c r="C12771" s="1" t="s">
        <v>5783</v>
      </c>
      <c r="D12771" s="22" t="str">
        <f>HYPERLINK("https://rhld.insurance.arkansas.gov/NPILookup?Npi=1083357073","1083357073")</f>
        <v>1083357073</v>
      </c>
      <c r="E12771" s="1" t="s">
        <v>11465</v>
      </c>
      <c r="F12771" s="2"/>
      <c r="G12771" s="2"/>
      <c r="H12771" s="2"/>
    </row>
    <row r="12772" spans="1:8" x14ac:dyDescent="0.25">
      <c r="A12772" s="1"/>
      <c r="B12772" s="1" t="s">
        <v>5782</v>
      </c>
      <c r="C12772" s="1" t="s">
        <v>5783</v>
      </c>
      <c r="D12772" s="22" t="str">
        <f>HYPERLINK("https://rhld.insurance.arkansas.gov/NPILookup?Npi=1083460356","1083460356")</f>
        <v>1083460356</v>
      </c>
      <c r="E12772" s="1" t="s">
        <v>21130</v>
      </c>
      <c r="F12772" s="2"/>
      <c r="G12772" s="2"/>
      <c r="H12772" s="2"/>
    </row>
    <row r="12773" spans="1:8" x14ac:dyDescent="0.25">
      <c r="A12773" s="1"/>
      <c r="B12773" s="1" t="s">
        <v>5782</v>
      </c>
      <c r="C12773" s="1" t="s">
        <v>5783</v>
      </c>
      <c r="D12773" s="22" t="str">
        <f>HYPERLINK("https://rhld.insurance.arkansas.gov/NPILookup?Npi=1083466791","1083466791")</f>
        <v>1083466791</v>
      </c>
      <c r="E12773" s="1" t="s">
        <v>21131</v>
      </c>
      <c r="F12773" s="2"/>
      <c r="G12773" s="2"/>
      <c r="H12773" s="2"/>
    </row>
    <row r="12774" spans="1:8" x14ac:dyDescent="0.25">
      <c r="A12774" s="1"/>
      <c r="B12774" s="1" t="s">
        <v>5782</v>
      </c>
      <c r="C12774" s="1" t="s">
        <v>5783</v>
      </c>
      <c r="D12774" s="22" t="str">
        <f>HYPERLINK("https://rhld.insurance.arkansas.gov/NPILookup?Npi=1083480297","1083480297")</f>
        <v>1083480297</v>
      </c>
      <c r="E12774" s="1" t="s">
        <v>6135</v>
      </c>
      <c r="F12774" s="2"/>
      <c r="G12774" s="2"/>
      <c r="H12774" s="2"/>
    </row>
    <row r="12775" spans="1:8" x14ac:dyDescent="0.25">
      <c r="A12775" s="1"/>
      <c r="B12775" s="1" t="s">
        <v>5782</v>
      </c>
      <c r="C12775" s="1" t="s">
        <v>5783</v>
      </c>
      <c r="D12775" s="22" t="str">
        <f>HYPERLINK("https://rhld.insurance.arkansas.gov/NPILookup?Npi=1083481501","1083481501")</f>
        <v>1083481501</v>
      </c>
      <c r="E12775" s="1" t="s">
        <v>21132</v>
      </c>
      <c r="F12775" s="2"/>
      <c r="G12775" s="2"/>
      <c r="H12775" s="2"/>
    </row>
    <row r="12776" spans="1:8" x14ac:dyDescent="0.25">
      <c r="A12776" s="1"/>
      <c r="B12776" s="1" t="s">
        <v>5782</v>
      </c>
      <c r="C12776" s="1" t="s">
        <v>5783</v>
      </c>
      <c r="D12776" s="22" t="str">
        <f>HYPERLINK("https://rhld.insurance.arkansas.gov/NPILookup?Npi=1083499974","1083499974")</f>
        <v>1083499974</v>
      </c>
      <c r="E12776" s="1" t="s">
        <v>11466</v>
      </c>
      <c r="F12776" s="2"/>
      <c r="G12776" s="2"/>
      <c r="H12776" s="2"/>
    </row>
    <row r="12777" spans="1:8" x14ac:dyDescent="0.25">
      <c r="A12777" s="1"/>
      <c r="B12777" s="1" t="s">
        <v>5782</v>
      </c>
      <c r="C12777" s="1" t="s">
        <v>5783</v>
      </c>
      <c r="D12777" s="22" t="str">
        <f>HYPERLINK("https://rhld.insurance.arkansas.gov/NPILookup?Npi=1083611495","1083611495")</f>
        <v>1083611495</v>
      </c>
      <c r="E12777" s="1" t="s">
        <v>21133</v>
      </c>
      <c r="F12777" s="2"/>
      <c r="G12777" s="2"/>
      <c r="H12777" s="2"/>
    </row>
    <row r="12778" spans="1:8" x14ac:dyDescent="0.25">
      <c r="A12778" s="1"/>
      <c r="B12778" s="1" t="s">
        <v>5782</v>
      </c>
      <c r="C12778" s="1" t="s">
        <v>5783</v>
      </c>
      <c r="D12778" s="22" t="str">
        <f>HYPERLINK("https://rhld.insurance.arkansas.gov/NPILookup?Npi=1083652432","1083652432")</f>
        <v>1083652432</v>
      </c>
      <c r="E12778" s="1" t="s">
        <v>16518</v>
      </c>
      <c r="F12778" s="2"/>
      <c r="G12778" s="2"/>
      <c r="H12778" s="2"/>
    </row>
    <row r="12779" spans="1:8" x14ac:dyDescent="0.25">
      <c r="A12779" s="1"/>
      <c r="B12779" s="1" t="s">
        <v>5782</v>
      </c>
      <c r="C12779" s="1" t="s">
        <v>5783</v>
      </c>
      <c r="D12779" s="22" t="str">
        <f>HYPERLINK("https://rhld.insurance.arkansas.gov/NPILookup?Npi=1083672299","1083672299")</f>
        <v>1083672299</v>
      </c>
      <c r="E12779" s="1" t="s">
        <v>1555</v>
      </c>
      <c r="F12779" s="2"/>
      <c r="G12779" s="2"/>
      <c r="H12779" s="2"/>
    </row>
    <row r="12780" spans="1:8" x14ac:dyDescent="0.25">
      <c r="A12780" s="1"/>
      <c r="B12780" s="1" t="s">
        <v>5782</v>
      </c>
      <c r="C12780" s="1" t="s">
        <v>5783</v>
      </c>
      <c r="D12780" s="22" t="str">
        <f>HYPERLINK("https://rhld.insurance.arkansas.gov/NPILookup?Npi=1083676092","1083676092")</f>
        <v>1083676092</v>
      </c>
      <c r="E12780" s="1" t="s">
        <v>21135</v>
      </c>
      <c r="F12780" s="2"/>
      <c r="G12780" s="2"/>
      <c r="H12780" s="2"/>
    </row>
    <row r="12781" spans="1:8" x14ac:dyDescent="0.25">
      <c r="A12781" s="1"/>
      <c r="B12781" s="1" t="s">
        <v>5782</v>
      </c>
      <c r="C12781" s="1" t="s">
        <v>5783</v>
      </c>
      <c r="D12781" s="22" t="str">
        <f>HYPERLINK("https://rhld.insurance.arkansas.gov/NPILookup?Npi=1083725519","1083725519")</f>
        <v>1083725519</v>
      </c>
      <c r="E12781" s="1" t="s">
        <v>11467</v>
      </c>
      <c r="F12781" s="2"/>
      <c r="G12781" s="2"/>
      <c r="H12781" s="2"/>
    </row>
    <row r="12782" spans="1:8" x14ac:dyDescent="0.25">
      <c r="A12782" s="1"/>
      <c r="B12782" s="1" t="s">
        <v>5782</v>
      </c>
      <c r="C12782" s="1" t="s">
        <v>5783</v>
      </c>
      <c r="D12782" s="22" t="str">
        <f>HYPERLINK("https://rhld.insurance.arkansas.gov/NPILookup?Npi=1083735062","1083735062")</f>
        <v>1083735062</v>
      </c>
      <c r="E12782" s="1" t="s">
        <v>12045</v>
      </c>
      <c r="F12782" s="2"/>
      <c r="G12782" s="2"/>
      <c r="H12782" s="2"/>
    </row>
    <row r="12783" spans="1:8" x14ac:dyDescent="0.25">
      <c r="A12783" s="1"/>
      <c r="B12783" s="1" t="s">
        <v>5782</v>
      </c>
      <c r="C12783" s="1" t="s">
        <v>5783</v>
      </c>
      <c r="D12783" s="22" t="str">
        <f>HYPERLINK("https://rhld.insurance.arkansas.gov/NPILookup?Npi=1083750640","1083750640")</f>
        <v>1083750640</v>
      </c>
      <c r="E12783" s="1" t="s">
        <v>21136</v>
      </c>
      <c r="F12783" s="2"/>
      <c r="G12783" s="2"/>
      <c r="H12783" s="2"/>
    </row>
    <row r="12784" spans="1:8" x14ac:dyDescent="0.25">
      <c r="A12784" s="1"/>
      <c r="B12784" s="1" t="s">
        <v>5782</v>
      </c>
      <c r="C12784" s="1" t="s">
        <v>5783</v>
      </c>
      <c r="D12784" s="22" t="str">
        <f>HYPERLINK("https://rhld.insurance.arkansas.gov/NPILookup?Npi=1083761464","1083761464")</f>
        <v>1083761464</v>
      </c>
      <c r="E12784" s="1" t="s">
        <v>21137</v>
      </c>
      <c r="F12784" s="2"/>
      <c r="G12784" s="2"/>
      <c r="H12784" s="2"/>
    </row>
    <row r="12785" spans="1:8" x14ac:dyDescent="0.25">
      <c r="A12785" s="1"/>
      <c r="B12785" s="1" t="s">
        <v>5782</v>
      </c>
      <c r="C12785" s="1" t="s">
        <v>5783</v>
      </c>
      <c r="D12785" s="22" t="str">
        <f>HYPERLINK("https://rhld.insurance.arkansas.gov/NPILookup?Npi=1083785554","1083785554")</f>
        <v>1083785554</v>
      </c>
      <c r="E12785" s="1" t="s">
        <v>21138</v>
      </c>
      <c r="F12785" s="2"/>
      <c r="G12785" s="2"/>
      <c r="H12785" s="2"/>
    </row>
    <row r="12786" spans="1:8" x14ac:dyDescent="0.25">
      <c r="A12786" s="1"/>
      <c r="B12786" s="1" t="s">
        <v>5782</v>
      </c>
      <c r="C12786" s="1" t="s">
        <v>5783</v>
      </c>
      <c r="D12786" s="22" t="str">
        <f>HYPERLINK("https://rhld.insurance.arkansas.gov/NPILookup?Npi=1083799837","1083799837")</f>
        <v>1083799837</v>
      </c>
      <c r="E12786" s="1" t="s">
        <v>5900</v>
      </c>
      <c r="F12786" s="2"/>
      <c r="G12786" s="2"/>
      <c r="H12786" s="2"/>
    </row>
    <row r="12787" spans="1:8" x14ac:dyDescent="0.25">
      <c r="A12787" s="1"/>
      <c r="B12787" s="1" t="s">
        <v>5782</v>
      </c>
      <c r="C12787" s="1" t="s">
        <v>5783</v>
      </c>
      <c r="D12787" s="22" t="str">
        <f>HYPERLINK("https://rhld.insurance.arkansas.gov/NPILookup?Npi=1083803936","1083803936")</f>
        <v>1083803936</v>
      </c>
      <c r="E12787" s="1" t="s">
        <v>21139</v>
      </c>
      <c r="F12787" s="2"/>
      <c r="G12787" s="2"/>
      <c r="H12787" s="2"/>
    </row>
    <row r="12788" spans="1:8" x14ac:dyDescent="0.25">
      <c r="A12788" s="1"/>
      <c r="B12788" s="1" t="s">
        <v>5782</v>
      </c>
      <c r="C12788" s="1" t="s">
        <v>5783</v>
      </c>
      <c r="D12788" s="22" t="str">
        <f>HYPERLINK("https://rhld.insurance.arkansas.gov/NPILookup?Npi=1083813471","1083813471")</f>
        <v>1083813471</v>
      </c>
      <c r="E12788" s="1" t="s">
        <v>21140</v>
      </c>
      <c r="F12788" s="2"/>
      <c r="G12788" s="2"/>
      <c r="H12788" s="2"/>
    </row>
    <row r="12789" spans="1:8" x14ac:dyDescent="0.25">
      <c r="A12789" s="1"/>
      <c r="B12789" s="1" t="s">
        <v>5782</v>
      </c>
      <c r="C12789" s="1" t="s">
        <v>5783</v>
      </c>
      <c r="D12789" s="22" t="str">
        <f>HYPERLINK("https://rhld.insurance.arkansas.gov/NPILookup?Npi=1083822605","1083822605")</f>
        <v>1083822605</v>
      </c>
      <c r="E12789" s="1" t="s">
        <v>21141</v>
      </c>
      <c r="F12789" s="2"/>
      <c r="G12789" s="2"/>
      <c r="H12789" s="2"/>
    </row>
    <row r="12790" spans="1:8" x14ac:dyDescent="0.25">
      <c r="A12790" s="1"/>
      <c r="B12790" s="1" t="s">
        <v>5782</v>
      </c>
      <c r="C12790" s="1" t="s">
        <v>5783</v>
      </c>
      <c r="D12790" s="22" t="str">
        <f>HYPERLINK("https://rhld.insurance.arkansas.gov/NPILookup?Npi=1083824452","1083824452")</f>
        <v>1083824452</v>
      </c>
      <c r="E12790" s="1" t="s">
        <v>1754</v>
      </c>
      <c r="F12790" s="2"/>
      <c r="G12790" s="2"/>
      <c r="H12790" s="2"/>
    </row>
    <row r="12791" spans="1:8" x14ac:dyDescent="0.25">
      <c r="A12791" s="1"/>
      <c r="B12791" s="1" t="s">
        <v>5782</v>
      </c>
      <c r="C12791" s="1" t="s">
        <v>5783</v>
      </c>
      <c r="D12791" s="22" t="str">
        <f>HYPERLINK("https://rhld.insurance.arkansas.gov/NPILookup?Npi=1083850887","1083850887")</f>
        <v>1083850887</v>
      </c>
      <c r="E12791" s="1" t="s">
        <v>21142</v>
      </c>
      <c r="F12791" s="2"/>
      <c r="G12791" s="2"/>
      <c r="H12791" s="2"/>
    </row>
    <row r="12792" spans="1:8" x14ac:dyDescent="0.25">
      <c r="A12792" s="1"/>
      <c r="B12792" s="1" t="s">
        <v>5782</v>
      </c>
      <c r="C12792" s="1" t="s">
        <v>5783</v>
      </c>
      <c r="D12792" s="22" t="str">
        <f>HYPERLINK("https://rhld.insurance.arkansas.gov/NPILookup?Npi=1083858815","1083858815")</f>
        <v>1083858815</v>
      </c>
      <c r="E12792" s="1" t="s">
        <v>1842</v>
      </c>
      <c r="F12792" s="2"/>
      <c r="G12792" s="2"/>
      <c r="H12792" s="2"/>
    </row>
    <row r="12793" spans="1:8" x14ac:dyDescent="0.25">
      <c r="A12793" s="1"/>
      <c r="B12793" s="1" t="s">
        <v>5782</v>
      </c>
      <c r="C12793" s="1" t="s">
        <v>5783</v>
      </c>
      <c r="D12793" s="22" t="str">
        <f>HYPERLINK("https://rhld.insurance.arkansas.gov/NPILookup?Npi=1083864896","1083864896")</f>
        <v>1083864896</v>
      </c>
      <c r="E12793" s="1" t="s">
        <v>21143</v>
      </c>
      <c r="F12793" s="2"/>
      <c r="G12793" s="2"/>
      <c r="H12793" s="2"/>
    </row>
    <row r="12794" spans="1:8" x14ac:dyDescent="0.25">
      <c r="A12794" s="1"/>
      <c r="B12794" s="1" t="s">
        <v>5782</v>
      </c>
      <c r="C12794" s="1" t="s">
        <v>5783</v>
      </c>
      <c r="D12794" s="22" t="str">
        <f>HYPERLINK("https://rhld.insurance.arkansas.gov/NPILookup?Npi=1083865307","1083865307")</f>
        <v>1083865307</v>
      </c>
      <c r="E12794" s="1" t="s">
        <v>2147</v>
      </c>
      <c r="F12794" s="2"/>
      <c r="G12794" s="2"/>
      <c r="H12794" s="2"/>
    </row>
    <row r="12795" spans="1:8" x14ac:dyDescent="0.25">
      <c r="A12795" s="1"/>
      <c r="B12795" s="1" t="s">
        <v>5782</v>
      </c>
      <c r="C12795" s="1" t="s">
        <v>5783</v>
      </c>
      <c r="D12795" s="22" t="str">
        <f>HYPERLINK("https://rhld.insurance.arkansas.gov/NPILookup?Npi=1083873012","1083873012")</f>
        <v>1083873012</v>
      </c>
      <c r="E12795" s="1" t="s">
        <v>11468</v>
      </c>
      <c r="F12795" s="2"/>
      <c r="G12795" s="2"/>
      <c r="H12795" s="2"/>
    </row>
    <row r="12796" spans="1:8" x14ac:dyDescent="0.25">
      <c r="A12796" s="1"/>
      <c r="B12796" s="1" t="s">
        <v>5782</v>
      </c>
      <c r="C12796" s="1" t="s">
        <v>5783</v>
      </c>
      <c r="D12796" s="22" t="str">
        <f>HYPERLINK("https://rhld.insurance.arkansas.gov/NPILookup?Npi=1083879167","1083879167")</f>
        <v>1083879167</v>
      </c>
      <c r="E12796" s="1" t="s">
        <v>3536</v>
      </c>
      <c r="F12796" s="2"/>
      <c r="G12796" s="2"/>
      <c r="H12796" s="2"/>
    </row>
    <row r="12797" spans="1:8" x14ac:dyDescent="0.25">
      <c r="A12797" s="1"/>
      <c r="B12797" s="1" t="s">
        <v>5782</v>
      </c>
      <c r="C12797" s="1" t="s">
        <v>5783</v>
      </c>
      <c r="D12797" s="22" t="str">
        <f>HYPERLINK("https://rhld.insurance.arkansas.gov/NPILookup?Npi=1083882906","1083882906")</f>
        <v>1083882906</v>
      </c>
      <c r="E12797" s="1" t="s">
        <v>21144</v>
      </c>
      <c r="F12797" s="2"/>
      <c r="G12797" s="2"/>
      <c r="H12797" s="2"/>
    </row>
    <row r="12798" spans="1:8" x14ac:dyDescent="0.25">
      <c r="A12798" s="1"/>
      <c r="B12798" s="1" t="s">
        <v>5782</v>
      </c>
      <c r="C12798" s="1" t="s">
        <v>5783</v>
      </c>
      <c r="D12798" s="22" t="str">
        <f>HYPERLINK("https://rhld.insurance.arkansas.gov/NPILookup?Npi=1083893887","1083893887")</f>
        <v>1083893887</v>
      </c>
      <c r="E12798" s="1" t="s">
        <v>11470</v>
      </c>
      <c r="F12798" s="2"/>
      <c r="G12798" s="2"/>
      <c r="H12798" s="2"/>
    </row>
    <row r="12799" spans="1:8" x14ac:dyDescent="0.25">
      <c r="A12799" s="1"/>
      <c r="B12799" s="1" t="s">
        <v>5782</v>
      </c>
      <c r="C12799" s="1" t="s">
        <v>5783</v>
      </c>
      <c r="D12799" s="22" t="str">
        <f>HYPERLINK("https://rhld.insurance.arkansas.gov/NPILookup?Npi=1083922603","1083922603")</f>
        <v>1083922603</v>
      </c>
      <c r="E12799" s="1" t="s">
        <v>5901</v>
      </c>
      <c r="F12799" s="2"/>
      <c r="G12799" s="2"/>
      <c r="H12799" s="2"/>
    </row>
    <row r="12800" spans="1:8" x14ac:dyDescent="0.25">
      <c r="A12800" s="1"/>
      <c r="B12800" s="1" t="s">
        <v>5782</v>
      </c>
      <c r="C12800" s="1" t="s">
        <v>5783</v>
      </c>
      <c r="D12800" s="22" t="str">
        <f>HYPERLINK("https://rhld.insurance.arkansas.gov/NPILookup?Npi=1083929624","1083929624")</f>
        <v>1083929624</v>
      </c>
      <c r="E12800" s="1" t="s">
        <v>3188</v>
      </c>
      <c r="F12800" s="2"/>
      <c r="G12800" s="2"/>
      <c r="H12800" s="2"/>
    </row>
    <row r="12801" spans="1:8" x14ac:dyDescent="0.25">
      <c r="A12801" s="1"/>
      <c r="B12801" s="1" t="s">
        <v>5782</v>
      </c>
      <c r="C12801" s="1" t="s">
        <v>5783</v>
      </c>
      <c r="D12801" s="22" t="str">
        <f>HYPERLINK("https://rhld.insurance.arkansas.gov/NPILookup?Npi=1083934228","1083934228")</f>
        <v>1083934228</v>
      </c>
      <c r="E12801" s="1" t="s">
        <v>5902</v>
      </c>
      <c r="F12801" s="2"/>
      <c r="G12801" s="2"/>
      <c r="H12801" s="2"/>
    </row>
    <row r="12802" spans="1:8" x14ac:dyDescent="0.25">
      <c r="A12802" s="1"/>
      <c r="B12802" s="1" t="s">
        <v>5782</v>
      </c>
      <c r="C12802" s="1" t="s">
        <v>5783</v>
      </c>
      <c r="D12802" s="22" t="str">
        <f>HYPERLINK("https://rhld.insurance.arkansas.gov/NPILookup?Npi=1083937858","1083937858")</f>
        <v>1083937858</v>
      </c>
      <c r="E12802" s="1" t="s">
        <v>21145</v>
      </c>
      <c r="F12802" s="2"/>
      <c r="G12802" s="2"/>
      <c r="H12802" s="2"/>
    </row>
    <row r="12803" spans="1:8" x14ac:dyDescent="0.25">
      <c r="A12803" s="1"/>
      <c r="B12803" s="1" t="s">
        <v>5782</v>
      </c>
      <c r="C12803" s="1" t="s">
        <v>5783</v>
      </c>
      <c r="D12803" s="22" t="str">
        <f>HYPERLINK("https://rhld.insurance.arkansas.gov/NPILookup?Npi=1083946867","1083946867")</f>
        <v>1083946867</v>
      </c>
      <c r="E12803" s="1" t="s">
        <v>5903</v>
      </c>
      <c r="F12803" s="2"/>
      <c r="G12803" s="2"/>
      <c r="H12803" s="2"/>
    </row>
    <row r="12804" spans="1:8" x14ac:dyDescent="0.25">
      <c r="A12804" s="1"/>
      <c r="B12804" s="1" t="s">
        <v>5782</v>
      </c>
      <c r="C12804" s="1" t="s">
        <v>5783</v>
      </c>
      <c r="D12804" s="22" t="str">
        <f>HYPERLINK("https://rhld.insurance.arkansas.gov/NPILookup?Npi=1083960520","1083960520")</f>
        <v>1083960520</v>
      </c>
      <c r="E12804" s="1" t="s">
        <v>21146</v>
      </c>
      <c r="F12804" s="2"/>
      <c r="G12804" s="2"/>
      <c r="H12804" s="2"/>
    </row>
    <row r="12805" spans="1:8" x14ac:dyDescent="0.25">
      <c r="A12805" s="1"/>
      <c r="B12805" s="1" t="s">
        <v>5782</v>
      </c>
      <c r="C12805" s="1" t="s">
        <v>5783</v>
      </c>
      <c r="D12805" s="22" t="str">
        <f>HYPERLINK("https://rhld.insurance.arkansas.gov/NPILookup?Npi=1083967152","1083967152")</f>
        <v>1083967152</v>
      </c>
      <c r="E12805" s="1" t="s">
        <v>21147</v>
      </c>
      <c r="F12805" s="2"/>
      <c r="G12805" s="2"/>
      <c r="H12805" s="2"/>
    </row>
    <row r="12806" spans="1:8" x14ac:dyDescent="0.25">
      <c r="A12806" s="1"/>
      <c r="B12806" s="1" t="s">
        <v>5782</v>
      </c>
      <c r="C12806" s="1" t="s">
        <v>5783</v>
      </c>
      <c r="D12806" s="22" t="str">
        <f>HYPERLINK("https://rhld.insurance.arkansas.gov/NPILookup?Npi=1083993414","1083993414")</f>
        <v>1083993414</v>
      </c>
      <c r="E12806" s="1" t="s">
        <v>21148</v>
      </c>
      <c r="F12806" s="2"/>
      <c r="G12806" s="2"/>
      <c r="H12806" s="2"/>
    </row>
    <row r="12807" spans="1:8" x14ac:dyDescent="0.25">
      <c r="A12807" s="1"/>
      <c r="B12807" s="1" t="s">
        <v>5782</v>
      </c>
      <c r="C12807" s="1" t="s">
        <v>5783</v>
      </c>
      <c r="D12807" s="22" t="str">
        <f>HYPERLINK("https://rhld.insurance.arkansas.gov/NPILookup?Npi=1093022832","1093022832")</f>
        <v>1093022832</v>
      </c>
      <c r="E12807" s="1" t="s">
        <v>3189</v>
      </c>
      <c r="F12807" s="2"/>
      <c r="G12807" s="2"/>
      <c r="H12807" s="2"/>
    </row>
    <row r="12808" spans="1:8" x14ac:dyDescent="0.25">
      <c r="A12808" s="1"/>
      <c r="B12808" s="1" t="s">
        <v>5782</v>
      </c>
      <c r="C12808" s="1" t="s">
        <v>5783</v>
      </c>
      <c r="D12808" s="22" t="str">
        <f>HYPERLINK("https://rhld.insurance.arkansas.gov/NPILookup?Npi=1093049447","1093049447")</f>
        <v>1093049447</v>
      </c>
      <c r="E12808" s="1" t="s">
        <v>21149</v>
      </c>
      <c r="F12808" s="2"/>
      <c r="G12808" s="2"/>
      <c r="H12808" s="2"/>
    </row>
    <row r="12809" spans="1:8" x14ac:dyDescent="0.25">
      <c r="A12809" s="1"/>
      <c r="B12809" s="1" t="s">
        <v>5782</v>
      </c>
      <c r="C12809" s="1" t="s">
        <v>5783</v>
      </c>
      <c r="D12809" s="22" t="str">
        <f>HYPERLINK("https://rhld.insurance.arkansas.gov/NPILookup?Npi=1093075079","1093075079")</f>
        <v>1093075079</v>
      </c>
      <c r="E12809" s="1" t="s">
        <v>11471</v>
      </c>
      <c r="F12809" s="2"/>
      <c r="G12809" s="2"/>
      <c r="H12809" s="2"/>
    </row>
    <row r="12810" spans="1:8" x14ac:dyDescent="0.25">
      <c r="A12810" s="1"/>
      <c r="B12810" s="1" t="s">
        <v>5782</v>
      </c>
      <c r="C12810" s="1" t="s">
        <v>5783</v>
      </c>
      <c r="D12810" s="22" t="str">
        <f>HYPERLINK("https://rhld.insurance.arkansas.gov/NPILookup?Npi=1093088031","1093088031")</f>
        <v>1093088031</v>
      </c>
      <c r="E12810" s="1" t="s">
        <v>21150</v>
      </c>
      <c r="F12810" s="2"/>
      <c r="G12810" s="2"/>
      <c r="H12810" s="2"/>
    </row>
    <row r="12811" spans="1:8" x14ac:dyDescent="0.25">
      <c r="A12811" s="1"/>
      <c r="B12811" s="1" t="s">
        <v>5782</v>
      </c>
      <c r="C12811" s="1" t="s">
        <v>5783</v>
      </c>
      <c r="D12811" s="22" t="str">
        <f>HYPERLINK("https://rhld.insurance.arkansas.gov/NPILookup?Npi=1093089708","1093089708")</f>
        <v>1093089708</v>
      </c>
      <c r="E12811" s="1" t="s">
        <v>11472</v>
      </c>
      <c r="F12811" s="2"/>
      <c r="G12811" s="2"/>
      <c r="H12811" s="2"/>
    </row>
    <row r="12812" spans="1:8" x14ac:dyDescent="0.25">
      <c r="A12812" s="1"/>
      <c r="B12812" s="1" t="s">
        <v>5782</v>
      </c>
      <c r="C12812" s="1" t="s">
        <v>5783</v>
      </c>
      <c r="D12812" s="22" t="str">
        <f>HYPERLINK("https://rhld.insurance.arkansas.gov/NPILookup?Npi=1093091167","1093091167")</f>
        <v>1093091167</v>
      </c>
      <c r="E12812" s="1" t="s">
        <v>21151</v>
      </c>
      <c r="F12812" s="2"/>
      <c r="G12812" s="2"/>
      <c r="H12812" s="2"/>
    </row>
    <row r="12813" spans="1:8" x14ac:dyDescent="0.25">
      <c r="A12813" s="1"/>
      <c r="B12813" s="1" t="s">
        <v>5782</v>
      </c>
      <c r="C12813" s="1" t="s">
        <v>5783</v>
      </c>
      <c r="D12813" s="22" t="str">
        <f>HYPERLINK("https://rhld.insurance.arkansas.gov/NPILookup?Npi=1093091522","1093091522")</f>
        <v>1093091522</v>
      </c>
      <c r="E12813" s="1" t="s">
        <v>11473</v>
      </c>
      <c r="F12813" s="2"/>
      <c r="G12813" s="2"/>
      <c r="H12813" s="2"/>
    </row>
    <row r="12814" spans="1:8" x14ac:dyDescent="0.25">
      <c r="A12814" s="1"/>
      <c r="B12814" s="1" t="s">
        <v>5782</v>
      </c>
      <c r="C12814" s="1" t="s">
        <v>5783</v>
      </c>
      <c r="D12814" s="22" t="str">
        <f>HYPERLINK("https://rhld.insurance.arkansas.gov/NPILookup?Npi=1093105397","1093105397")</f>
        <v>1093105397</v>
      </c>
      <c r="E12814" s="1" t="s">
        <v>1843</v>
      </c>
      <c r="F12814" s="2"/>
      <c r="G12814" s="2"/>
      <c r="H12814" s="2"/>
    </row>
    <row r="12815" spans="1:8" x14ac:dyDescent="0.25">
      <c r="A12815" s="1"/>
      <c r="B12815" s="1" t="s">
        <v>5782</v>
      </c>
      <c r="C12815" s="1" t="s">
        <v>5783</v>
      </c>
      <c r="D12815" s="22" t="str">
        <f>HYPERLINK("https://rhld.insurance.arkansas.gov/NPILookup?Npi=1093115644","1093115644")</f>
        <v>1093115644</v>
      </c>
      <c r="E12815" s="1" t="s">
        <v>5904</v>
      </c>
      <c r="F12815" s="2"/>
      <c r="G12815" s="2"/>
      <c r="H12815" s="2"/>
    </row>
    <row r="12816" spans="1:8" x14ac:dyDescent="0.25">
      <c r="A12816" s="1"/>
      <c r="B12816" s="1" t="s">
        <v>5782</v>
      </c>
      <c r="C12816" s="1" t="s">
        <v>5783</v>
      </c>
      <c r="D12816" s="22" t="str">
        <f>HYPERLINK("https://rhld.insurance.arkansas.gov/NPILookup?Npi=1093137119","1093137119")</f>
        <v>1093137119</v>
      </c>
      <c r="E12816" s="1" t="s">
        <v>1711</v>
      </c>
      <c r="F12816" s="2"/>
      <c r="G12816" s="2"/>
      <c r="H12816" s="2"/>
    </row>
    <row r="12817" spans="1:8" x14ac:dyDescent="0.25">
      <c r="A12817" s="1"/>
      <c r="B12817" s="1" t="s">
        <v>5782</v>
      </c>
      <c r="C12817" s="1" t="s">
        <v>5783</v>
      </c>
      <c r="D12817" s="22" t="str">
        <f>HYPERLINK("https://rhld.insurance.arkansas.gov/NPILookup?Npi=1093138745","1093138745")</f>
        <v>1093138745</v>
      </c>
      <c r="E12817" s="1" t="s">
        <v>5905</v>
      </c>
      <c r="F12817" s="2"/>
      <c r="G12817" s="2"/>
      <c r="H12817" s="2"/>
    </row>
    <row r="12818" spans="1:8" x14ac:dyDescent="0.25">
      <c r="A12818" s="1"/>
      <c r="B12818" s="1" t="s">
        <v>5782</v>
      </c>
      <c r="C12818" s="1" t="s">
        <v>5783</v>
      </c>
      <c r="D12818" s="22" t="str">
        <f>HYPERLINK("https://rhld.insurance.arkansas.gov/NPILookup?Npi=1093139180","1093139180")</f>
        <v>1093139180</v>
      </c>
      <c r="E12818" s="1" t="s">
        <v>21152</v>
      </c>
      <c r="F12818" s="2"/>
      <c r="G12818" s="2"/>
      <c r="H12818" s="2"/>
    </row>
    <row r="12819" spans="1:8" x14ac:dyDescent="0.25">
      <c r="A12819" s="1"/>
      <c r="B12819" s="1" t="s">
        <v>5782</v>
      </c>
      <c r="C12819" s="1" t="s">
        <v>5783</v>
      </c>
      <c r="D12819" s="22" t="str">
        <f>HYPERLINK("https://rhld.insurance.arkansas.gov/NPILookup?Npi=1093140345","1093140345")</f>
        <v>1093140345</v>
      </c>
      <c r="E12819" s="1" t="s">
        <v>5906</v>
      </c>
      <c r="F12819" s="2"/>
      <c r="G12819" s="2"/>
      <c r="H12819" s="2"/>
    </row>
    <row r="12820" spans="1:8" x14ac:dyDescent="0.25">
      <c r="A12820" s="1"/>
      <c r="B12820" s="1" t="s">
        <v>5782</v>
      </c>
      <c r="C12820" s="1" t="s">
        <v>5783</v>
      </c>
      <c r="D12820" s="22" t="str">
        <f>HYPERLINK("https://rhld.insurance.arkansas.gov/NPILookup?Npi=1093148249","1093148249")</f>
        <v>1093148249</v>
      </c>
      <c r="E12820" s="1" t="s">
        <v>21153</v>
      </c>
      <c r="F12820" s="2"/>
      <c r="G12820" s="2"/>
      <c r="H12820" s="2"/>
    </row>
    <row r="12821" spans="1:8" x14ac:dyDescent="0.25">
      <c r="A12821" s="1"/>
      <c r="B12821" s="1" t="s">
        <v>5782</v>
      </c>
      <c r="C12821" s="1" t="s">
        <v>5783</v>
      </c>
      <c r="D12821" s="22" t="str">
        <f>HYPERLINK("https://rhld.insurance.arkansas.gov/NPILookup?Npi=1093148629","1093148629")</f>
        <v>1093148629</v>
      </c>
      <c r="E12821" s="1" t="s">
        <v>21154</v>
      </c>
      <c r="F12821" s="2"/>
      <c r="G12821" s="2"/>
      <c r="H12821" s="2"/>
    </row>
    <row r="12822" spans="1:8" x14ac:dyDescent="0.25">
      <c r="A12822" s="1"/>
      <c r="B12822" s="1" t="s">
        <v>5782</v>
      </c>
      <c r="C12822" s="1" t="s">
        <v>5783</v>
      </c>
      <c r="D12822" s="22" t="str">
        <f>HYPERLINK("https://rhld.insurance.arkansas.gov/NPILookup?Npi=1093153223","1093153223")</f>
        <v>1093153223</v>
      </c>
      <c r="E12822" s="1" t="s">
        <v>5907</v>
      </c>
      <c r="F12822" s="2"/>
      <c r="G12822" s="2"/>
      <c r="H12822" s="2"/>
    </row>
    <row r="12823" spans="1:8" x14ac:dyDescent="0.25">
      <c r="A12823" s="1"/>
      <c r="B12823" s="1" t="s">
        <v>5782</v>
      </c>
      <c r="C12823" s="1" t="s">
        <v>5783</v>
      </c>
      <c r="D12823" s="22" t="str">
        <f>HYPERLINK("https://rhld.insurance.arkansas.gov/NPILookup?Npi=1093180580","1093180580")</f>
        <v>1093180580</v>
      </c>
      <c r="E12823" s="1" t="s">
        <v>21155</v>
      </c>
      <c r="F12823" s="2"/>
      <c r="G12823" s="2"/>
      <c r="H12823" s="2"/>
    </row>
    <row r="12824" spans="1:8" x14ac:dyDescent="0.25">
      <c r="A12824" s="1"/>
      <c r="B12824" s="1" t="s">
        <v>5782</v>
      </c>
      <c r="C12824" s="1" t="s">
        <v>5783</v>
      </c>
      <c r="D12824" s="22" t="str">
        <f>HYPERLINK("https://rhld.insurance.arkansas.gov/NPILookup?Npi=1093181588","1093181588")</f>
        <v>1093181588</v>
      </c>
      <c r="E12824" s="1" t="s">
        <v>2458</v>
      </c>
      <c r="F12824" s="2"/>
      <c r="G12824" s="2"/>
      <c r="H12824" s="2"/>
    </row>
    <row r="12825" spans="1:8" x14ac:dyDescent="0.25">
      <c r="A12825" s="1"/>
      <c r="B12825" s="1" t="s">
        <v>5782</v>
      </c>
      <c r="C12825" s="1" t="s">
        <v>5783</v>
      </c>
      <c r="D12825" s="22" t="str">
        <f>HYPERLINK("https://rhld.insurance.arkansas.gov/NPILookup?Npi=1093182297","1093182297")</f>
        <v>1093182297</v>
      </c>
      <c r="E12825" s="1" t="s">
        <v>21156</v>
      </c>
      <c r="F12825" s="2"/>
      <c r="G12825" s="2"/>
      <c r="H12825" s="2"/>
    </row>
    <row r="12826" spans="1:8" x14ac:dyDescent="0.25">
      <c r="A12826" s="1"/>
      <c r="B12826" s="1" t="s">
        <v>5782</v>
      </c>
      <c r="C12826" s="1" t="s">
        <v>5783</v>
      </c>
      <c r="D12826" s="22" t="str">
        <f>HYPERLINK("https://rhld.insurance.arkansas.gov/NPILookup?Npi=1093192338","1093192338")</f>
        <v>1093192338</v>
      </c>
      <c r="E12826" s="1" t="s">
        <v>21157</v>
      </c>
      <c r="F12826" s="2"/>
      <c r="G12826" s="2"/>
      <c r="H12826" s="2"/>
    </row>
    <row r="12827" spans="1:8" x14ac:dyDescent="0.25">
      <c r="A12827" s="1"/>
      <c r="B12827" s="1" t="s">
        <v>5782</v>
      </c>
      <c r="C12827" s="1" t="s">
        <v>5783</v>
      </c>
      <c r="D12827" s="22" t="str">
        <f>HYPERLINK("https://rhld.insurance.arkansas.gov/NPILookup?Npi=1093196313","1093196313")</f>
        <v>1093196313</v>
      </c>
      <c r="E12827" s="1" t="s">
        <v>11474</v>
      </c>
      <c r="F12827" s="2"/>
      <c r="G12827" s="2"/>
      <c r="H12827" s="2"/>
    </row>
    <row r="12828" spans="1:8" x14ac:dyDescent="0.25">
      <c r="A12828" s="1"/>
      <c r="B12828" s="1" t="s">
        <v>5782</v>
      </c>
      <c r="C12828" s="1" t="s">
        <v>5783</v>
      </c>
      <c r="D12828" s="22" t="str">
        <f>HYPERLINK("https://rhld.insurance.arkansas.gov/NPILookup?Npi=1093205270","1093205270")</f>
        <v>1093205270</v>
      </c>
      <c r="E12828" s="1" t="s">
        <v>21158</v>
      </c>
      <c r="F12828" s="2"/>
      <c r="G12828" s="2"/>
      <c r="H12828" s="2"/>
    </row>
    <row r="12829" spans="1:8" x14ac:dyDescent="0.25">
      <c r="A12829" s="1"/>
      <c r="B12829" s="1" t="s">
        <v>5782</v>
      </c>
      <c r="C12829" s="1" t="s">
        <v>5783</v>
      </c>
      <c r="D12829" s="22" t="str">
        <f>HYPERLINK("https://rhld.insurance.arkansas.gov/NPILookup?Npi=1093207615","1093207615")</f>
        <v>1093207615</v>
      </c>
      <c r="E12829" s="1" t="s">
        <v>1247</v>
      </c>
      <c r="F12829" s="2"/>
      <c r="G12829" s="2"/>
      <c r="H12829" s="2"/>
    </row>
    <row r="12830" spans="1:8" x14ac:dyDescent="0.25">
      <c r="A12830" s="1"/>
      <c r="B12830" s="1" t="s">
        <v>5782</v>
      </c>
      <c r="C12830" s="1" t="s">
        <v>5783</v>
      </c>
      <c r="D12830" s="22" t="str">
        <f>HYPERLINK("https://rhld.insurance.arkansas.gov/NPILookup?Npi=1093221608","1093221608")</f>
        <v>1093221608</v>
      </c>
      <c r="E12830" s="1" t="s">
        <v>5908</v>
      </c>
      <c r="F12830" s="2"/>
      <c r="G12830" s="2"/>
      <c r="H12830" s="2"/>
    </row>
    <row r="12831" spans="1:8" x14ac:dyDescent="0.25">
      <c r="A12831" s="1"/>
      <c r="B12831" s="1" t="s">
        <v>5782</v>
      </c>
      <c r="C12831" s="1" t="s">
        <v>5783</v>
      </c>
      <c r="D12831" s="22" t="str">
        <f>HYPERLINK("https://rhld.insurance.arkansas.gov/NPILookup?Npi=1093225849","1093225849")</f>
        <v>1093225849</v>
      </c>
      <c r="E12831" s="1" t="s">
        <v>21159</v>
      </c>
      <c r="F12831" s="2"/>
      <c r="G12831" s="2"/>
      <c r="H12831" s="2"/>
    </row>
    <row r="12832" spans="1:8" x14ac:dyDescent="0.25">
      <c r="A12832" s="1"/>
      <c r="B12832" s="1" t="s">
        <v>5782</v>
      </c>
      <c r="C12832" s="1" t="s">
        <v>5783</v>
      </c>
      <c r="D12832" s="22" t="str">
        <f>HYPERLINK("https://rhld.insurance.arkansas.gov/NPILookup?Npi=1093231441","1093231441")</f>
        <v>1093231441</v>
      </c>
      <c r="E12832" s="1" t="s">
        <v>5909</v>
      </c>
      <c r="F12832" s="2"/>
      <c r="G12832" s="2"/>
      <c r="H12832" s="2"/>
    </row>
    <row r="12833" spans="1:8" x14ac:dyDescent="0.25">
      <c r="A12833" s="1"/>
      <c r="B12833" s="1" t="s">
        <v>5782</v>
      </c>
      <c r="C12833" s="1" t="s">
        <v>5783</v>
      </c>
      <c r="D12833" s="22" t="str">
        <f>HYPERLINK("https://rhld.insurance.arkansas.gov/NPILookup?Npi=1093231573","1093231573")</f>
        <v>1093231573</v>
      </c>
      <c r="E12833" s="1" t="s">
        <v>5910</v>
      </c>
      <c r="F12833" s="2"/>
      <c r="G12833" s="2"/>
      <c r="H12833" s="2"/>
    </row>
    <row r="12834" spans="1:8" x14ac:dyDescent="0.25">
      <c r="A12834" s="1"/>
      <c r="B12834" s="1" t="s">
        <v>5782</v>
      </c>
      <c r="C12834" s="1" t="s">
        <v>5783</v>
      </c>
      <c r="D12834" s="22" t="str">
        <f>HYPERLINK("https://rhld.insurance.arkansas.gov/NPILookup?Npi=1093246977","1093246977")</f>
        <v>1093246977</v>
      </c>
      <c r="E12834" s="1" t="s">
        <v>11475</v>
      </c>
      <c r="F12834" s="2"/>
      <c r="G12834" s="2"/>
      <c r="H12834" s="2"/>
    </row>
    <row r="12835" spans="1:8" x14ac:dyDescent="0.25">
      <c r="A12835" s="1"/>
      <c r="B12835" s="1" t="s">
        <v>5782</v>
      </c>
      <c r="C12835" s="1" t="s">
        <v>5783</v>
      </c>
      <c r="D12835" s="22" t="str">
        <f>HYPERLINK("https://rhld.insurance.arkansas.gov/NPILookup?Npi=1093280067","1093280067")</f>
        <v>1093280067</v>
      </c>
      <c r="E12835" s="1" t="s">
        <v>21160</v>
      </c>
      <c r="F12835" s="2"/>
      <c r="G12835" s="2"/>
      <c r="H12835" s="2"/>
    </row>
    <row r="12836" spans="1:8" x14ac:dyDescent="0.25">
      <c r="A12836" s="1"/>
      <c r="B12836" s="1" t="s">
        <v>5782</v>
      </c>
      <c r="C12836" s="1" t="s">
        <v>5783</v>
      </c>
      <c r="D12836" s="22" t="str">
        <f>HYPERLINK("https://rhld.insurance.arkansas.gov/NPILookup?Npi=1093283293","1093283293")</f>
        <v>1093283293</v>
      </c>
      <c r="E12836" s="1" t="s">
        <v>21161</v>
      </c>
      <c r="F12836" s="2"/>
      <c r="G12836" s="2"/>
      <c r="H12836" s="2"/>
    </row>
    <row r="12837" spans="1:8" x14ac:dyDescent="0.25">
      <c r="A12837" s="1"/>
      <c r="B12837" s="1" t="s">
        <v>5782</v>
      </c>
      <c r="C12837" s="1" t="s">
        <v>5783</v>
      </c>
      <c r="D12837" s="22" t="str">
        <f>HYPERLINK("https://rhld.insurance.arkansas.gov/NPILookup?Npi=1093283657","1093283657")</f>
        <v>1093283657</v>
      </c>
      <c r="E12837" s="1" t="s">
        <v>21162</v>
      </c>
      <c r="F12837" s="2"/>
      <c r="G12837" s="2"/>
      <c r="H12837" s="2"/>
    </row>
    <row r="12838" spans="1:8" x14ac:dyDescent="0.25">
      <c r="A12838" s="1"/>
      <c r="B12838" s="1" t="s">
        <v>5782</v>
      </c>
      <c r="C12838" s="1" t="s">
        <v>5783</v>
      </c>
      <c r="D12838" s="22" t="str">
        <f>HYPERLINK("https://rhld.insurance.arkansas.gov/NPILookup?Npi=1093293193","1093293193")</f>
        <v>1093293193</v>
      </c>
      <c r="E12838" s="1" t="s">
        <v>21163</v>
      </c>
      <c r="F12838" s="2"/>
      <c r="G12838" s="2"/>
      <c r="H12838" s="2"/>
    </row>
    <row r="12839" spans="1:8" x14ac:dyDescent="0.25">
      <c r="A12839" s="1"/>
      <c r="B12839" s="1" t="s">
        <v>5782</v>
      </c>
      <c r="C12839" s="1" t="s">
        <v>5783</v>
      </c>
      <c r="D12839" s="22" t="str">
        <f>HYPERLINK("https://rhld.insurance.arkansas.gov/NPILookup?Npi=1093309106","1093309106")</f>
        <v>1093309106</v>
      </c>
      <c r="E12839" s="1" t="s">
        <v>5911</v>
      </c>
      <c r="F12839" s="2"/>
      <c r="G12839" s="2"/>
      <c r="H12839" s="2"/>
    </row>
    <row r="12840" spans="1:8" x14ac:dyDescent="0.25">
      <c r="A12840" s="1"/>
      <c r="B12840" s="1" t="s">
        <v>5782</v>
      </c>
      <c r="C12840" s="1" t="s">
        <v>5783</v>
      </c>
      <c r="D12840" s="22" t="str">
        <f>HYPERLINK("https://rhld.insurance.arkansas.gov/NPILookup?Npi=1093317166","1093317166")</f>
        <v>1093317166</v>
      </c>
      <c r="E12840" s="1" t="s">
        <v>5912</v>
      </c>
      <c r="F12840" s="2"/>
      <c r="G12840" s="2"/>
      <c r="H12840" s="2"/>
    </row>
    <row r="12841" spans="1:8" x14ac:dyDescent="0.25">
      <c r="A12841" s="1"/>
      <c r="B12841" s="1" t="s">
        <v>5782</v>
      </c>
      <c r="C12841" s="1" t="s">
        <v>5783</v>
      </c>
      <c r="D12841" s="22" t="str">
        <f>HYPERLINK("https://rhld.insurance.arkansas.gov/NPILookup?Npi=1093322927","1093322927")</f>
        <v>1093322927</v>
      </c>
      <c r="E12841" s="1" t="s">
        <v>8639</v>
      </c>
      <c r="F12841" s="2"/>
      <c r="G12841" s="2"/>
      <c r="H12841" s="2"/>
    </row>
    <row r="12842" spans="1:8" x14ac:dyDescent="0.25">
      <c r="A12842" s="1"/>
      <c r="B12842" s="1" t="s">
        <v>5782</v>
      </c>
      <c r="C12842" s="1" t="s">
        <v>5783</v>
      </c>
      <c r="D12842" s="22" t="str">
        <f>HYPERLINK("https://rhld.insurance.arkansas.gov/NPILookup?Npi=1093347791","1093347791")</f>
        <v>1093347791</v>
      </c>
      <c r="E12842" s="1" t="s">
        <v>21164</v>
      </c>
      <c r="F12842" s="2"/>
      <c r="G12842" s="2"/>
      <c r="H12842" s="2"/>
    </row>
    <row r="12843" spans="1:8" x14ac:dyDescent="0.25">
      <c r="A12843" s="1"/>
      <c r="B12843" s="1" t="s">
        <v>5782</v>
      </c>
      <c r="C12843" s="1" t="s">
        <v>5783</v>
      </c>
      <c r="D12843" s="22" t="str">
        <f>HYPERLINK("https://rhld.insurance.arkansas.gov/NPILookup?Npi=1093352635","1093352635")</f>
        <v>1093352635</v>
      </c>
      <c r="E12843" s="1" t="s">
        <v>11476</v>
      </c>
      <c r="F12843" s="2"/>
      <c r="G12843" s="2"/>
      <c r="H12843" s="2"/>
    </row>
    <row r="12844" spans="1:8" x14ac:dyDescent="0.25">
      <c r="A12844" s="1"/>
      <c r="B12844" s="1" t="s">
        <v>5782</v>
      </c>
      <c r="C12844" s="1" t="s">
        <v>5783</v>
      </c>
      <c r="D12844" s="22" t="str">
        <f>HYPERLINK("https://rhld.insurance.arkansas.gov/NPILookup?Npi=1093367138","1093367138")</f>
        <v>1093367138</v>
      </c>
      <c r="E12844" s="1" t="s">
        <v>7195</v>
      </c>
      <c r="F12844" s="2"/>
      <c r="G12844" s="2"/>
      <c r="H12844" s="2"/>
    </row>
    <row r="12845" spans="1:8" x14ac:dyDescent="0.25">
      <c r="A12845" s="1"/>
      <c r="B12845" s="1" t="s">
        <v>5782</v>
      </c>
      <c r="C12845" s="1" t="s">
        <v>5783</v>
      </c>
      <c r="D12845" s="22" t="str">
        <f>HYPERLINK("https://rhld.insurance.arkansas.gov/NPILookup?Npi=1093367351","1093367351")</f>
        <v>1093367351</v>
      </c>
      <c r="E12845" s="1" t="s">
        <v>5913</v>
      </c>
      <c r="F12845" s="2"/>
      <c r="G12845" s="2"/>
      <c r="H12845" s="2"/>
    </row>
    <row r="12846" spans="1:8" x14ac:dyDescent="0.25">
      <c r="A12846" s="1"/>
      <c r="B12846" s="1" t="s">
        <v>5782</v>
      </c>
      <c r="C12846" s="1" t="s">
        <v>5783</v>
      </c>
      <c r="D12846" s="22" t="str">
        <f>HYPERLINK("https://rhld.insurance.arkansas.gov/NPILookup?Npi=1093372625","1093372625")</f>
        <v>1093372625</v>
      </c>
      <c r="E12846" s="1" t="s">
        <v>5914</v>
      </c>
      <c r="F12846" s="2"/>
      <c r="G12846" s="2"/>
      <c r="H12846" s="2"/>
    </row>
    <row r="12847" spans="1:8" x14ac:dyDescent="0.25">
      <c r="A12847" s="1"/>
      <c r="B12847" s="1" t="s">
        <v>5782</v>
      </c>
      <c r="C12847" s="1" t="s">
        <v>5783</v>
      </c>
      <c r="D12847" s="22" t="str">
        <f>HYPERLINK("https://rhld.insurance.arkansas.gov/NPILookup?Npi=1093376881","1093376881")</f>
        <v>1093376881</v>
      </c>
      <c r="E12847" s="1" t="s">
        <v>21165</v>
      </c>
      <c r="F12847" s="2"/>
      <c r="G12847" s="2"/>
      <c r="H12847" s="2"/>
    </row>
    <row r="12848" spans="1:8" x14ac:dyDescent="0.25">
      <c r="A12848" s="1"/>
      <c r="B12848" s="1" t="s">
        <v>5782</v>
      </c>
      <c r="C12848" s="1" t="s">
        <v>5783</v>
      </c>
      <c r="D12848" s="22" t="str">
        <f>HYPERLINK("https://rhld.insurance.arkansas.gov/NPILookup?Npi=1093395220","1093395220")</f>
        <v>1093395220</v>
      </c>
      <c r="E12848" s="1" t="s">
        <v>18944</v>
      </c>
      <c r="F12848" s="2"/>
      <c r="G12848" s="2"/>
      <c r="H12848" s="2"/>
    </row>
    <row r="12849" spans="1:8" x14ac:dyDescent="0.25">
      <c r="A12849" s="1"/>
      <c r="B12849" s="1" t="s">
        <v>5782</v>
      </c>
      <c r="C12849" s="1" t="s">
        <v>5783</v>
      </c>
      <c r="D12849" s="22" t="str">
        <f>HYPERLINK("https://rhld.insurance.arkansas.gov/NPILookup?Npi=1093395345","1093395345")</f>
        <v>1093395345</v>
      </c>
      <c r="E12849" s="1" t="s">
        <v>5915</v>
      </c>
      <c r="F12849" s="2"/>
      <c r="G12849" s="2"/>
      <c r="H12849" s="2"/>
    </row>
    <row r="12850" spans="1:8" x14ac:dyDescent="0.25">
      <c r="A12850" s="1"/>
      <c r="B12850" s="1" t="s">
        <v>5782</v>
      </c>
      <c r="C12850" s="1" t="s">
        <v>5783</v>
      </c>
      <c r="D12850" s="22" t="str">
        <f>HYPERLINK("https://rhld.insurance.arkansas.gov/NPILookup?Npi=1093413395","1093413395")</f>
        <v>1093413395</v>
      </c>
      <c r="E12850" s="1" t="s">
        <v>21166</v>
      </c>
      <c r="F12850" s="2"/>
      <c r="G12850" s="2"/>
      <c r="H12850" s="2"/>
    </row>
    <row r="12851" spans="1:8" x14ac:dyDescent="0.25">
      <c r="A12851" s="1"/>
      <c r="B12851" s="1" t="s">
        <v>5782</v>
      </c>
      <c r="C12851" s="1" t="s">
        <v>5783</v>
      </c>
      <c r="D12851" s="22" t="str">
        <f>HYPERLINK("https://rhld.insurance.arkansas.gov/NPILookup?Npi=1093446882","1093446882")</f>
        <v>1093446882</v>
      </c>
      <c r="E12851" s="1" t="s">
        <v>11477</v>
      </c>
      <c r="F12851" s="2"/>
      <c r="G12851" s="2"/>
      <c r="H12851" s="2"/>
    </row>
    <row r="12852" spans="1:8" x14ac:dyDescent="0.25">
      <c r="A12852" s="1"/>
      <c r="B12852" s="1" t="s">
        <v>5782</v>
      </c>
      <c r="C12852" s="1" t="s">
        <v>5783</v>
      </c>
      <c r="D12852" s="22" t="str">
        <f>HYPERLINK("https://rhld.insurance.arkansas.gov/NPILookup?Npi=1093488173","1093488173")</f>
        <v>1093488173</v>
      </c>
      <c r="E12852" s="1" t="s">
        <v>5916</v>
      </c>
      <c r="F12852" s="2"/>
      <c r="G12852" s="2"/>
      <c r="H12852" s="2"/>
    </row>
    <row r="12853" spans="1:8" x14ac:dyDescent="0.25">
      <c r="A12853" s="1"/>
      <c r="B12853" s="1" t="s">
        <v>5782</v>
      </c>
      <c r="C12853" s="1" t="s">
        <v>5783</v>
      </c>
      <c r="D12853" s="22" t="str">
        <f>HYPERLINK("https://rhld.insurance.arkansas.gov/NPILookup?Npi=1093550741","1093550741")</f>
        <v>1093550741</v>
      </c>
      <c r="E12853" s="1" t="s">
        <v>31797</v>
      </c>
      <c r="F12853" s="2"/>
      <c r="G12853" s="2"/>
      <c r="H12853" s="2"/>
    </row>
    <row r="12854" spans="1:8" x14ac:dyDescent="0.25">
      <c r="A12854" s="1"/>
      <c r="B12854" s="1" t="s">
        <v>5782</v>
      </c>
      <c r="C12854" s="1" t="s">
        <v>5783</v>
      </c>
      <c r="D12854" s="22" t="str">
        <f>HYPERLINK("https://rhld.insurance.arkansas.gov/NPILookup?Npi=1093571556","1093571556")</f>
        <v>1093571556</v>
      </c>
      <c r="E12854" s="1" t="s">
        <v>5917</v>
      </c>
      <c r="F12854" s="2"/>
      <c r="G12854" s="2"/>
      <c r="H12854" s="2"/>
    </row>
    <row r="12855" spans="1:8" x14ac:dyDescent="0.25">
      <c r="A12855" s="1"/>
      <c r="B12855" s="1" t="s">
        <v>5782</v>
      </c>
      <c r="C12855" s="1" t="s">
        <v>5783</v>
      </c>
      <c r="D12855" s="22" t="str">
        <f>HYPERLINK("https://rhld.insurance.arkansas.gov/NPILookup?Npi=1093700601","1093700601")</f>
        <v>1093700601</v>
      </c>
      <c r="E12855" s="1" t="s">
        <v>11677</v>
      </c>
      <c r="F12855" s="2"/>
      <c r="G12855" s="2"/>
      <c r="H12855" s="2"/>
    </row>
    <row r="12856" spans="1:8" x14ac:dyDescent="0.25">
      <c r="A12856" s="1"/>
      <c r="B12856" s="1" t="s">
        <v>5782</v>
      </c>
      <c r="C12856" s="1" t="s">
        <v>5783</v>
      </c>
      <c r="D12856" s="22" t="str">
        <f>HYPERLINK("https://rhld.insurance.arkansas.gov/NPILookup?Npi=1093722415","1093722415")</f>
        <v>1093722415</v>
      </c>
      <c r="E12856" s="1" t="s">
        <v>11478</v>
      </c>
      <c r="F12856" s="2"/>
      <c r="G12856" s="2"/>
      <c r="H12856" s="2"/>
    </row>
    <row r="12857" spans="1:8" x14ac:dyDescent="0.25">
      <c r="A12857" s="1"/>
      <c r="B12857" s="1" t="s">
        <v>5782</v>
      </c>
      <c r="C12857" s="1" t="s">
        <v>5783</v>
      </c>
      <c r="D12857" s="22" t="str">
        <f>HYPERLINK("https://rhld.insurance.arkansas.gov/NPILookup?Npi=1093741902","1093741902")</f>
        <v>1093741902</v>
      </c>
      <c r="E12857" s="1" t="s">
        <v>21167</v>
      </c>
      <c r="F12857" s="2"/>
      <c r="G12857" s="2"/>
      <c r="H12857" s="2"/>
    </row>
    <row r="12858" spans="1:8" x14ac:dyDescent="0.25">
      <c r="A12858" s="1"/>
      <c r="B12858" s="1" t="s">
        <v>5782</v>
      </c>
      <c r="C12858" s="1" t="s">
        <v>5783</v>
      </c>
      <c r="D12858" s="22" t="str">
        <f>HYPERLINK("https://rhld.insurance.arkansas.gov/NPILookup?Npi=1093743429","1093743429")</f>
        <v>1093743429</v>
      </c>
      <c r="E12858" s="1" t="s">
        <v>21168</v>
      </c>
      <c r="F12858" s="2"/>
      <c r="G12858" s="2"/>
      <c r="H12858" s="2"/>
    </row>
    <row r="12859" spans="1:8" x14ac:dyDescent="0.25">
      <c r="A12859" s="1"/>
      <c r="B12859" s="1" t="s">
        <v>5782</v>
      </c>
      <c r="C12859" s="1" t="s">
        <v>5783</v>
      </c>
      <c r="D12859" s="22" t="str">
        <f>HYPERLINK("https://rhld.insurance.arkansas.gov/NPILookup?Npi=1093804106","1093804106")</f>
        <v>1093804106</v>
      </c>
      <c r="E12859" s="1" t="s">
        <v>21169</v>
      </c>
      <c r="F12859" s="2"/>
      <c r="G12859" s="2"/>
      <c r="H12859" s="2"/>
    </row>
    <row r="12860" spans="1:8" x14ac:dyDescent="0.25">
      <c r="A12860" s="1"/>
      <c r="B12860" s="1" t="s">
        <v>5782</v>
      </c>
      <c r="C12860" s="1" t="s">
        <v>5783</v>
      </c>
      <c r="D12860" s="22" t="str">
        <f>HYPERLINK("https://rhld.insurance.arkansas.gov/NPILookup?Npi=1093810947","1093810947")</f>
        <v>1093810947</v>
      </c>
      <c r="E12860" s="1" t="s">
        <v>21170</v>
      </c>
      <c r="F12860" s="2"/>
      <c r="G12860" s="2"/>
      <c r="H12860" s="2"/>
    </row>
    <row r="12861" spans="1:8" x14ac:dyDescent="0.25">
      <c r="A12861" s="1"/>
      <c r="B12861" s="1" t="s">
        <v>5782</v>
      </c>
      <c r="C12861" s="1" t="s">
        <v>5783</v>
      </c>
      <c r="D12861" s="22" t="str">
        <f>HYPERLINK("https://rhld.insurance.arkansas.gov/NPILookup?Npi=1093828063","1093828063")</f>
        <v>1093828063</v>
      </c>
      <c r="E12861" s="1" t="s">
        <v>16665</v>
      </c>
      <c r="F12861" s="2"/>
      <c r="G12861" s="2"/>
      <c r="H12861" s="2"/>
    </row>
    <row r="12862" spans="1:8" x14ac:dyDescent="0.25">
      <c r="A12862" s="1"/>
      <c r="B12862" s="1" t="s">
        <v>5782</v>
      </c>
      <c r="C12862" s="1" t="s">
        <v>5783</v>
      </c>
      <c r="D12862" s="22" t="str">
        <f>HYPERLINK("https://rhld.insurance.arkansas.gov/NPILookup?Npi=1093842882","1093842882")</f>
        <v>1093842882</v>
      </c>
      <c r="E12862" s="1" t="s">
        <v>21171</v>
      </c>
      <c r="F12862" s="2"/>
      <c r="G12862" s="2"/>
      <c r="H12862" s="2"/>
    </row>
    <row r="12863" spans="1:8" x14ac:dyDescent="0.25">
      <c r="A12863" s="1"/>
      <c r="B12863" s="1" t="s">
        <v>5782</v>
      </c>
      <c r="C12863" s="1" t="s">
        <v>5783</v>
      </c>
      <c r="D12863" s="22" t="str">
        <f>HYPERLINK("https://rhld.insurance.arkansas.gov/NPILookup?Npi=1093887945","1093887945")</f>
        <v>1093887945</v>
      </c>
      <c r="E12863" s="1" t="s">
        <v>21172</v>
      </c>
      <c r="F12863" s="2"/>
      <c r="G12863" s="2"/>
      <c r="H12863" s="2"/>
    </row>
    <row r="12864" spans="1:8" x14ac:dyDescent="0.25">
      <c r="A12864" s="1"/>
      <c r="B12864" s="1" t="s">
        <v>5782</v>
      </c>
      <c r="C12864" s="1" t="s">
        <v>5783</v>
      </c>
      <c r="D12864" s="22" t="str">
        <f>HYPERLINK("https://rhld.insurance.arkansas.gov/NPILookup?Npi=1093901928","1093901928")</f>
        <v>1093901928</v>
      </c>
      <c r="E12864" s="1" t="s">
        <v>21173</v>
      </c>
      <c r="F12864" s="2"/>
      <c r="G12864" s="2"/>
      <c r="H12864" s="2"/>
    </row>
    <row r="12865" spans="1:8" x14ac:dyDescent="0.25">
      <c r="A12865" s="1"/>
      <c r="B12865" s="1" t="s">
        <v>5782</v>
      </c>
      <c r="C12865" s="1" t="s">
        <v>5783</v>
      </c>
      <c r="D12865" s="22" t="str">
        <f>HYPERLINK("https://rhld.insurance.arkansas.gov/NPILookup?Npi=1093904716","1093904716")</f>
        <v>1093904716</v>
      </c>
      <c r="E12865" s="1" t="s">
        <v>5918</v>
      </c>
      <c r="F12865" s="2"/>
      <c r="G12865" s="2"/>
      <c r="H12865" s="2"/>
    </row>
    <row r="12866" spans="1:8" x14ac:dyDescent="0.25">
      <c r="A12866" s="1"/>
      <c r="B12866" s="1" t="s">
        <v>5782</v>
      </c>
      <c r="C12866" s="1" t="s">
        <v>5783</v>
      </c>
      <c r="D12866" s="22" t="str">
        <f>HYPERLINK("https://rhld.insurance.arkansas.gov/NPILookup?Npi=1093960411","1093960411")</f>
        <v>1093960411</v>
      </c>
      <c r="E12866" s="1" t="s">
        <v>21174</v>
      </c>
      <c r="F12866" s="2"/>
      <c r="G12866" s="2"/>
      <c r="H12866" s="2"/>
    </row>
    <row r="12867" spans="1:8" x14ac:dyDescent="0.25">
      <c r="A12867" s="1"/>
      <c r="B12867" s="1" t="s">
        <v>5782</v>
      </c>
      <c r="C12867" s="1" t="s">
        <v>5783</v>
      </c>
      <c r="D12867" s="22" t="str">
        <f>HYPERLINK("https://rhld.insurance.arkansas.gov/NPILookup?Npi=1093963860","1093963860")</f>
        <v>1093963860</v>
      </c>
      <c r="E12867" s="1" t="s">
        <v>21175</v>
      </c>
      <c r="F12867" s="2"/>
      <c r="G12867" s="2"/>
      <c r="H12867" s="2"/>
    </row>
    <row r="12868" spans="1:8" x14ac:dyDescent="0.25">
      <c r="A12868" s="1"/>
      <c r="B12868" s="1" t="s">
        <v>5782</v>
      </c>
      <c r="C12868" s="1" t="s">
        <v>5783</v>
      </c>
      <c r="D12868" s="22" t="str">
        <f>HYPERLINK("https://rhld.insurance.arkansas.gov/NPILookup?Npi=1093977266","1093977266")</f>
        <v>1093977266</v>
      </c>
      <c r="E12868" s="1" t="s">
        <v>5919</v>
      </c>
      <c r="F12868" s="2"/>
      <c r="G12868" s="2"/>
      <c r="H12868" s="2"/>
    </row>
    <row r="12869" spans="1:8" x14ac:dyDescent="0.25">
      <c r="A12869" s="1"/>
      <c r="B12869" s="1" t="s">
        <v>5782</v>
      </c>
      <c r="C12869" s="1" t="s">
        <v>5783</v>
      </c>
      <c r="D12869" s="22" t="str">
        <f>HYPERLINK("https://rhld.insurance.arkansas.gov/NPILookup?Npi=1104015668","1104015668")</f>
        <v>1104015668</v>
      </c>
      <c r="E12869" s="1" t="s">
        <v>21176</v>
      </c>
      <c r="F12869" s="2"/>
      <c r="G12869" s="2"/>
      <c r="H12869" s="2"/>
    </row>
    <row r="12870" spans="1:8" x14ac:dyDescent="0.25">
      <c r="A12870" s="1"/>
      <c r="B12870" s="1" t="s">
        <v>5782</v>
      </c>
      <c r="C12870" s="1" t="s">
        <v>5783</v>
      </c>
      <c r="D12870" s="22" t="str">
        <f>HYPERLINK("https://rhld.insurance.arkansas.gov/NPILookup?Npi=1104019108","1104019108")</f>
        <v>1104019108</v>
      </c>
      <c r="E12870" s="1" t="s">
        <v>21177</v>
      </c>
      <c r="F12870" s="2"/>
      <c r="G12870" s="2"/>
      <c r="H12870" s="2"/>
    </row>
    <row r="12871" spans="1:8" x14ac:dyDescent="0.25">
      <c r="A12871" s="1"/>
      <c r="B12871" s="1" t="s">
        <v>5782</v>
      </c>
      <c r="C12871" s="1" t="s">
        <v>5783</v>
      </c>
      <c r="D12871" s="22" t="str">
        <f>HYPERLINK("https://rhld.insurance.arkansas.gov/NPILookup?Npi=1104032127","1104032127")</f>
        <v>1104032127</v>
      </c>
      <c r="E12871" s="1" t="s">
        <v>11479</v>
      </c>
      <c r="F12871" s="2"/>
      <c r="G12871" s="2"/>
      <c r="H12871" s="2"/>
    </row>
    <row r="12872" spans="1:8" x14ac:dyDescent="0.25">
      <c r="A12872" s="1"/>
      <c r="B12872" s="1" t="s">
        <v>5782</v>
      </c>
      <c r="C12872" s="1" t="s">
        <v>5783</v>
      </c>
      <c r="D12872" s="22" t="str">
        <f>HYPERLINK("https://rhld.insurance.arkansas.gov/NPILookup?Npi=1104036250","1104036250")</f>
        <v>1104036250</v>
      </c>
      <c r="E12872" s="1" t="s">
        <v>401</v>
      </c>
      <c r="F12872" s="2"/>
      <c r="G12872" s="2"/>
      <c r="H12872" s="2"/>
    </row>
    <row r="12873" spans="1:8" x14ac:dyDescent="0.25">
      <c r="A12873" s="1"/>
      <c r="B12873" s="1" t="s">
        <v>5782</v>
      </c>
      <c r="C12873" s="1" t="s">
        <v>5783</v>
      </c>
      <c r="D12873" s="22" t="str">
        <f>HYPERLINK("https://rhld.insurance.arkansas.gov/NPILookup?Npi=1104063031","1104063031")</f>
        <v>1104063031</v>
      </c>
      <c r="E12873" s="1" t="s">
        <v>21178</v>
      </c>
      <c r="F12873" s="2"/>
      <c r="G12873" s="2"/>
      <c r="H12873" s="2"/>
    </row>
    <row r="12874" spans="1:8" x14ac:dyDescent="0.25">
      <c r="A12874" s="1"/>
      <c r="B12874" s="1" t="s">
        <v>5782</v>
      </c>
      <c r="C12874" s="1" t="s">
        <v>5783</v>
      </c>
      <c r="D12874" s="22" t="str">
        <f>HYPERLINK("https://rhld.insurance.arkansas.gov/NPILookup?Npi=1104066299","1104066299")</f>
        <v>1104066299</v>
      </c>
      <c r="E12874" s="1" t="s">
        <v>21179</v>
      </c>
      <c r="F12874" s="2"/>
      <c r="G12874" s="2"/>
      <c r="H12874" s="2"/>
    </row>
    <row r="12875" spans="1:8" x14ac:dyDescent="0.25">
      <c r="A12875" s="1"/>
      <c r="B12875" s="1" t="s">
        <v>5782</v>
      </c>
      <c r="C12875" s="1" t="s">
        <v>5783</v>
      </c>
      <c r="D12875" s="22" t="str">
        <f>HYPERLINK("https://rhld.insurance.arkansas.gov/NPILookup?Npi=1104077189","1104077189")</f>
        <v>1104077189</v>
      </c>
      <c r="E12875" s="1" t="s">
        <v>11480</v>
      </c>
      <c r="F12875" s="2"/>
      <c r="G12875" s="2"/>
      <c r="H12875" s="2"/>
    </row>
    <row r="12876" spans="1:8" x14ac:dyDescent="0.25">
      <c r="A12876" s="1"/>
      <c r="B12876" s="1" t="s">
        <v>5782</v>
      </c>
      <c r="C12876" s="1" t="s">
        <v>5783</v>
      </c>
      <c r="D12876" s="22" t="str">
        <f>HYPERLINK("https://rhld.insurance.arkansas.gov/NPILookup?Npi=1104077437","1104077437")</f>
        <v>1104077437</v>
      </c>
      <c r="E12876" s="1" t="s">
        <v>21180</v>
      </c>
      <c r="F12876" s="2"/>
      <c r="G12876" s="2"/>
      <c r="H12876" s="2"/>
    </row>
    <row r="12877" spans="1:8" x14ac:dyDescent="0.25">
      <c r="A12877" s="1"/>
      <c r="B12877" s="1" t="s">
        <v>5782</v>
      </c>
      <c r="C12877" s="1" t="s">
        <v>5783</v>
      </c>
      <c r="D12877" s="22" t="str">
        <f>HYPERLINK("https://rhld.insurance.arkansas.gov/NPILookup?Npi=1104100072","1104100072")</f>
        <v>1104100072</v>
      </c>
      <c r="E12877" s="1" t="s">
        <v>21181</v>
      </c>
      <c r="F12877" s="2"/>
      <c r="G12877" s="2"/>
      <c r="H12877" s="2"/>
    </row>
    <row r="12878" spans="1:8" x14ac:dyDescent="0.25">
      <c r="A12878" s="1"/>
      <c r="B12878" s="1" t="s">
        <v>5782</v>
      </c>
      <c r="C12878" s="1" t="s">
        <v>5783</v>
      </c>
      <c r="D12878" s="22" t="str">
        <f>HYPERLINK("https://rhld.insurance.arkansas.gov/NPILookup?Npi=1104121342","1104121342")</f>
        <v>1104121342</v>
      </c>
      <c r="E12878" s="1" t="s">
        <v>21182</v>
      </c>
      <c r="F12878" s="2"/>
      <c r="G12878" s="2"/>
      <c r="H12878" s="2"/>
    </row>
    <row r="12879" spans="1:8" x14ac:dyDescent="0.25">
      <c r="A12879" s="1"/>
      <c r="B12879" s="1" t="s">
        <v>5782</v>
      </c>
      <c r="C12879" s="1" t="s">
        <v>5783</v>
      </c>
      <c r="D12879" s="22" t="str">
        <f>HYPERLINK("https://rhld.insurance.arkansas.gov/NPILookup?Npi=1104121896","1104121896")</f>
        <v>1104121896</v>
      </c>
      <c r="E12879" s="1" t="s">
        <v>21183</v>
      </c>
      <c r="F12879" s="2"/>
      <c r="G12879" s="2"/>
      <c r="H12879" s="2"/>
    </row>
    <row r="12880" spans="1:8" x14ac:dyDescent="0.25">
      <c r="A12880" s="1"/>
      <c r="B12880" s="1" t="s">
        <v>5782</v>
      </c>
      <c r="C12880" s="1" t="s">
        <v>5783</v>
      </c>
      <c r="D12880" s="22" t="str">
        <f>HYPERLINK("https://rhld.insurance.arkansas.gov/NPILookup?Npi=1104138015","1104138015")</f>
        <v>1104138015</v>
      </c>
      <c r="E12880" s="1" t="s">
        <v>325</v>
      </c>
      <c r="F12880" s="2"/>
      <c r="G12880" s="2"/>
      <c r="H12880" s="2"/>
    </row>
    <row r="12881" spans="1:8" x14ac:dyDescent="0.25">
      <c r="A12881" s="1"/>
      <c r="B12881" s="1" t="s">
        <v>5782</v>
      </c>
      <c r="C12881" s="1" t="s">
        <v>5783</v>
      </c>
      <c r="D12881" s="22" t="str">
        <f>HYPERLINK("https://rhld.insurance.arkansas.gov/NPILookup?Npi=1104147743","1104147743")</f>
        <v>1104147743</v>
      </c>
      <c r="E12881" s="1" t="s">
        <v>5920</v>
      </c>
      <c r="F12881" s="2"/>
      <c r="G12881" s="2"/>
      <c r="H12881" s="2"/>
    </row>
    <row r="12882" spans="1:8" x14ac:dyDescent="0.25">
      <c r="A12882" s="1"/>
      <c r="B12882" s="1" t="s">
        <v>5782</v>
      </c>
      <c r="C12882" s="1" t="s">
        <v>5783</v>
      </c>
      <c r="D12882" s="22" t="str">
        <f>HYPERLINK("https://rhld.insurance.arkansas.gov/NPILookup?Npi=1104150978","1104150978")</f>
        <v>1104150978</v>
      </c>
      <c r="E12882" s="1" t="s">
        <v>21184</v>
      </c>
      <c r="F12882" s="2"/>
      <c r="G12882" s="2"/>
      <c r="H12882" s="2"/>
    </row>
    <row r="12883" spans="1:8" x14ac:dyDescent="0.25">
      <c r="A12883" s="1"/>
      <c r="B12883" s="1" t="s">
        <v>5782</v>
      </c>
      <c r="C12883" s="1" t="s">
        <v>5783</v>
      </c>
      <c r="D12883" s="22" t="str">
        <f>HYPERLINK("https://rhld.insurance.arkansas.gov/NPILookup?Npi=1104152800","1104152800")</f>
        <v>1104152800</v>
      </c>
      <c r="E12883" s="1" t="s">
        <v>21185</v>
      </c>
      <c r="F12883" s="2"/>
      <c r="G12883" s="2"/>
      <c r="H12883" s="2"/>
    </row>
    <row r="12884" spans="1:8" x14ac:dyDescent="0.25">
      <c r="A12884" s="1"/>
      <c r="B12884" s="1" t="s">
        <v>5782</v>
      </c>
      <c r="C12884" s="1" t="s">
        <v>5783</v>
      </c>
      <c r="D12884" s="22" t="str">
        <f>HYPERLINK("https://rhld.insurance.arkansas.gov/NPILookup?Npi=1104200328","1104200328")</f>
        <v>1104200328</v>
      </c>
      <c r="E12884" s="1" t="s">
        <v>21186</v>
      </c>
      <c r="F12884" s="2"/>
      <c r="G12884" s="2"/>
      <c r="H12884" s="2"/>
    </row>
    <row r="12885" spans="1:8" x14ac:dyDescent="0.25">
      <c r="A12885" s="1"/>
      <c r="B12885" s="1" t="s">
        <v>5782</v>
      </c>
      <c r="C12885" s="1" t="s">
        <v>5783</v>
      </c>
      <c r="D12885" s="22" t="str">
        <f>HYPERLINK("https://rhld.insurance.arkansas.gov/NPILookup?Npi=1104209329","1104209329")</f>
        <v>1104209329</v>
      </c>
      <c r="E12885" s="1" t="s">
        <v>31798</v>
      </c>
      <c r="F12885" s="2"/>
      <c r="G12885" s="2"/>
      <c r="H12885" s="2"/>
    </row>
    <row r="12886" spans="1:8" x14ac:dyDescent="0.25">
      <c r="A12886" s="1"/>
      <c r="B12886" s="1" t="s">
        <v>5782</v>
      </c>
      <c r="C12886" s="1" t="s">
        <v>5783</v>
      </c>
      <c r="D12886" s="22" t="str">
        <f>HYPERLINK("https://rhld.insurance.arkansas.gov/NPILookup?Npi=1104213842","1104213842")</f>
        <v>1104213842</v>
      </c>
      <c r="E12886" s="1" t="s">
        <v>11481</v>
      </c>
      <c r="F12886" s="2"/>
      <c r="G12886" s="2"/>
      <c r="H12886" s="2"/>
    </row>
    <row r="12887" spans="1:8" x14ac:dyDescent="0.25">
      <c r="A12887" s="1"/>
      <c r="B12887" s="1" t="s">
        <v>5782</v>
      </c>
      <c r="C12887" s="1" t="s">
        <v>5783</v>
      </c>
      <c r="D12887" s="22" t="str">
        <f>HYPERLINK("https://rhld.insurance.arkansas.gov/NPILookup?Npi=1104214576","1104214576")</f>
        <v>1104214576</v>
      </c>
      <c r="E12887" s="1" t="s">
        <v>21187</v>
      </c>
      <c r="F12887" s="2"/>
      <c r="G12887" s="2"/>
      <c r="H12887" s="2"/>
    </row>
    <row r="12888" spans="1:8" x14ac:dyDescent="0.25">
      <c r="A12888" s="1"/>
      <c r="B12888" s="1" t="s">
        <v>5782</v>
      </c>
      <c r="C12888" s="1" t="s">
        <v>5783</v>
      </c>
      <c r="D12888" s="22" t="str">
        <f>HYPERLINK("https://rhld.insurance.arkansas.gov/NPILookup?Npi=1104215557","1104215557")</f>
        <v>1104215557</v>
      </c>
      <c r="E12888" s="1" t="s">
        <v>11482</v>
      </c>
      <c r="F12888" s="2"/>
      <c r="G12888" s="2"/>
      <c r="H12888" s="2"/>
    </row>
    <row r="12889" spans="1:8" x14ac:dyDescent="0.25">
      <c r="A12889" s="1"/>
      <c r="B12889" s="1" t="s">
        <v>5782</v>
      </c>
      <c r="C12889" s="1" t="s">
        <v>5783</v>
      </c>
      <c r="D12889" s="22" t="str">
        <f>HYPERLINK("https://rhld.insurance.arkansas.gov/NPILookup?Npi=1104227586","1104227586")</f>
        <v>1104227586</v>
      </c>
      <c r="E12889" s="1" t="s">
        <v>21188</v>
      </c>
      <c r="F12889" s="2"/>
      <c r="G12889" s="2"/>
      <c r="H12889" s="2"/>
    </row>
    <row r="12890" spans="1:8" x14ac:dyDescent="0.25">
      <c r="A12890" s="1"/>
      <c r="B12890" s="1" t="s">
        <v>5782</v>
      </c>
      <c r="C12890" s="1" t="s">
        <v>5783</v>
      </c>
      <c r="D12890" s="22" t="str">
        <f>HYPERLINK("https://rhld.insurance.arkansas.gov/NPILookup?Npi=1104229871","1104229871")</f>
        <v>1104229871</v>
      </c>
      <c r="E12890" s="1" t="s">
        <v>21189</v>
      </c>
      <c r="F12890" s="2"/>
      <c r="G12890" s="2"/>
      <c r="H12890" s="2"/>
    </row>
    <row r="12891" spans="1:8" x14ac:dyDescent="0.25">
      <c r="A12891" s="1"/>
      <c r="B12891" s="1" t="s">
        <v>5782</v>
      </c>
      <c r="C12891" s="1" t="s">
        <v>5783</v>
      </c>
      <c r="D12891" s="22" t="str">
        <f>HYPERLINK("https://rhld.insurance.arkansas.gov/NPILookup?Npi=1104234004","1104234004")</f>
        <v>1104234004</v>
      </c>
      <c r="E12891" s="1" t="s">
        <v>21190</v>
      </c>
      <c r="F12891" s="2"/>
      <c r="G12891" s="2"/>
      <c r="H12891" s="2"/>
    </row>
    <row r="12892" spans="1:8" x14ac:dyDescent="0.25">
      <c r="A12892" s="1"/>
      <c r="B12892" s="1" t="s">
        <v>5782</v>
      </c>
      <c r="C12892" s="1" t="s">
        <v>5783</v>
      </c>
      <c r="D12892" s="22" t="str">
        <f>HYPERLINK("https://rhld.insurance.arkansas.gov/NPILookup?Npi=1104242742","1104242742")</f>
        <v>1104242742</v>
      </c>
      <c r="E12892" s="1" t="s">
        <v>21191</v>
      </c>
      <c r="F12892" s="2"/>
      <c r="G12892" s="2"/>
      <c r="H12892" s="2"/>
    </row>
    <row r="12893" spans="1:8" x14ac:dyDescent="0.25">
      <c r="A12893" s="1"/>
      <c r="B12893" s="1" t="s">
        <v>5782</v>
      </c>
      <c r="C12893" s="1" t="s">
        <v>5783</v>
      </c>
      <c r="D12893" s="22" t="str">
        <f>HYPERLINK("https://rhld.insurance.arkansas.gov/NPILookup?Npi=1104251180","1104251180")</f>
        <v>1104251180</v>
      </c>
      <c r="E12893" s="1" t="s">
        <v>21192</v>
      </c>
      <c r="F12893" s="2"/>
      <c r="G12893" s="2"/>
      <c r="H12893" s="2"/>
    </row>
    <row r="12894" spans="1:8" x14ac:dyDescent="0.25">
      <c r="A12894" s="1"/>
      <c r="B12894" s="1" t="s">
        <v>5782</v>
      </c>
      <c r="C12894" s="1" t="s">
        <v>5783</v>
      </c>
      <c r="D12894" s="22" t="str">
        <f>HYPERLINK("https://rhld.insurance.arkansas.gov/NPILookup?Npi=1104254176","1104254176")</f>
        <v>1104254176</v>
      </c>
      <c r="E12894" s="1" t="s">
        <v>5921</v>
      </c>
      <c r="F12894" s="2"/>
      <c r="G12894" s="2"/>
      <c r="H12894" s="2"/>
    </row>
    <row r="12895" spans="1:8" x14ac:dyDescent="0.25">
      <c r="A12895" s="1"/>
      <c r="B12895" s="1" t="s">
        <v>5782</v>
      </c>
      <c r="C12895" s="1" t="s">
        <v>5783</v>
      </c>
      <c r="D12895" s="22" t="str">
        <f>HYPERLINK("https://rhld.insurance.arkansas.gov/NPILookup?Npi=1104259928","1104259928")</f>
        <v>1104259928</v>
      </c>
      <c r="E12895" s="1" t="s">
        <v>21193</v>
      </c>
      <c r="F12895" s="2"/>
      <c r="G12895" s="2"/>
      <c r="H12895" s="2"/>
    </row>
    <row r="12896" spans="1:8" x14ac:dyDescent="0.25">
      <c r="A12896" s="1"/>
      <c r="B12896" s="1" t="s">
        <v>5782</v>
      </c>
      <c r="C12896" s="1" t="s">
        <v>5783</v>
      </c>
      <c r="D12896" s="22" t="str">
        <f>HYPERLINK("https://rhld.insurance.arkansas.gov/NPILookup?Npi=1104272616","1104272616")</f>
        <v>1104272616</v>
      </c>
      <c r="E12896" s="1" t="s">
        <v>21194</v>
      </c>
      <c r="F12896" s="2"/>
      <c r="G12896" s="2"/>
      <c r="H12896" s="2"/>
    </row>
    <row r="12897" spans="1:8" x14ac:dyDescent="0.25">
      <c r="A12897" s="1"/>
      <c r="B12897" s="1" t="s">
        <v>5782</v>
      </c>
      <c r="C12897" s="1" t="s">
        <v>5783</v>
      </c>
      <c r="D12897" s="22" t="str">
        <f>HYPERLINK("https://rhld.insurance.arkansas.gov/NPILookup?Npi=1104281922","1104281922")</f>
        <v>1104281922</v>
      </c>
      <c r="E12897" s="1" t="s">
        <v>5922</v>
      </c>
      <c r="F12897" s="2"/>
      <c r="G12897" s="2"/>
      <c r="H12897" s="2"/>
    </row>
    <row r="12898" spans="1:8" x14ac:dyDescent="0.25">
      <c r="A12898" s="1"/>
      <c r="B12898" s="1" t="s">
        <v>5782</v>
      </c>
      <c r="C12898" s="1" t="s">
        <v>5783</v>
      </c>
      <c r="D12898" s="22" t="str">
        <f>HYPERLINK("https://rhld.insurance.arkansas.gov/NPILookup?Npi=1104288471","1104288471")</f>
        <v>1104288471</v>
      </c>
      <c r="E12898" s="1" t="s">
        <v>21195</v>
      </c>
      <c r="F12898" s="2"/>
      <c r="G12898" s="2"/>
      <c r="H12898" s="2"/>
    </row>
    <row r="12899" spans="1:8" x14ac:dyDescent="0.25">
      <c r="A12899" s="1"/>
      <c r="B12899" s="1" t="s">
        <v>5782</v>
      </c>
      <c r="C12899" s="1" t="s">
        <v>5783</v>
      </c>
      <c r="D12899" s="22" t="str">
        <f>HYPERLINK("https://rhld.insurance.arkansas.gov/NPILookup?Npi=1104296078","1104296078")</f>
        <v>1104296078</v>
      </c>
      <c r="E12899" s="1" t="s">
        <v>3300</v>
      </c>
      <c r="F12899" s="2"/>
      <c r="G12899" s="2"/>
      <c r="H12899" s="2"/>
    </row>
    <row r="12900" spans="1:8" x14ac:dyDescent="0.25">
      <c r="A12900" s="1"/>
      <c r="B12900" s="1" t="s">
        <v>5782</v>
      </c>
      <c r="C12900" s="1" t="s">
        <v>5783</v>
      </c>
      <c r="D12900" s="22" t="str">
        <f>HYPERLINK("https://rhld.insurance.arkansas.gov/NPILookup?Npi=1104303338","1104303338")</f>
        <v>1104303338</v>
      </c>
      <c r="E12900" s="1" t="s">
        <v>1417</v>
      </c>
      <c r="F12900" s="2"/>
      <c r="G12900" s="2"/>
      <c r="H12900" s="2"/>
    </row>
    <row r="12901" spans="1:8" x14ac:dyDescent="0.25">
      <c r="A12901" s="1"/>
      <c r="B12901" s="1" t="s">
        <v>5782</v>
      </c>
      <c r="C12901" s="1" t="s">
        <v>5783</v>
      </c>
      <c r="D12901" s="22" t="str">
        <f>HYPERLINK("https://rhld.insurance.arkansas.gov/NPILookup?Npi=1104309178","1104309178")</f>
        <v>1104309178</v>
      </c>
      <c r="E12901" s="1" t="s">
        <v>2148</v>
      </c>
      <c r="F12901" s="2"/>
      <c r="G12901" s="2"/>
      <c r="H12901" s="2"/>
    </row>
    <row r="12902" spans="1:8" x14ac:dyDescent="0.25">
      <c r="A12902" s="1"/>
      <c r="B12902" s="1" t="s">
        <v>5782</v>
      </c>
      <c r="C12902" s="1" t="s">
        <v>5783</v>
      </c>
      <c r="D12902" s="22" t="str">
        <f>HYPERLINK("https://rhld.insurance.arkansas.gov/NPILookup?Npi=1104312420","1104312420")</f>
        <v>1104312420</v>
      </c>
      <c r="E12902" s="1" t="s">
        <v>12199</v>
      </c>
      <c r="F12902" s="2"/>
      <c r="G12902" s="2"/>
      <c r="H12902" s="2"/>
    </row>
    <row r="12903" spans="1:8" x14ac:dyDescent="0.25">
      <c r="A12903" s="1"/>
      <c r="B12903" s="1" t="s">
        <v>5782</v>
      </c>
      <c r="C12903" s="1" t="s">
        <v>5783</v>
      </c>
      <c r="D12903" s="22" t="str">
        <f>HYPERLINK("https://rhld.insurance.arkansas.gov/NPILookup?Npi=1104329986","1104329986")</f>
        <v>1104329986</v>
      </c>
      <c r="E12903" s="1" t="s">
        <v>5923</v>
      </c>
      <c r="F12903" s="2"/>
      <c r="G12903" s="2"/>
      <c r="H12903" s="2"/>
    </row>
    <row r="12904" spans="1:8" x14ac:dyDescent="0.25">
      <c r="A12904" s="1"/>
      <c r="B12904" s="1" t="s">
        <v>5782</v>
      </c>
      <c r="C12904" s="1" t="s">
        <v>5783</v>
      </c>
      <c r="D12904" s="22" t="str">
        <f>HYPERLINK("https://rhld.insurance.arkansas.gov/NPILookup?Npi=1104336981","1104336981")</f>
        <v>1104336981</v>
      </c>
      <c r="E12904" s="1" t="s">
        <v>21196</v>
      </c>
      <c r="F12904" s="2"/>
      <c r="G12904" s="2"/>
      <c r="H12904" s="2"/>
    </row>
    <row r="12905" spans="1:8" x14ac:dyDescent="0.25">
      <c r="A12905" s="1"/>
      <c r="B12905" s="1" t="s">
        <v>5782</v>
      </c>
      <c r="C12905" s="1" t="s">
        <v>5783</v>
      </c>
      <c r="D12905" s="22" t="str">
        <f>HYPERLINK("https://rhld.insurance.arkansas.gov/NPILookup?Npi=1104340975","1104340975")</f>
        <v>1104340975</v>
      </c>
      <c r="E12905" s="1" t="s">
        <v>21197</v>
      </c>
      <c r="F12905" s="2"/>
      <c r="G12905" s="2"/>
      <c r="H12905" s="2"/>
    </row>
    <row r="12906" spans="1:8" x14ac:dyDescent="0.25">
      <c r="A12906" s="1"/>
      <c r="B12906" s="1" t="s">
        <v>5782</v>
      </c>
      <c r="C12906" s="1" t="s">
        <v>5783</v>
      </c>
      <c r="D12906" s="22" t="str">
        <f>HYPERLINK("https://rhld.insurance.arkansas.gov/NPILookup?Npi=1104342278","1104342278")</f>
        <v>1104342278</v>
      </c>
      <c r="E12906" s="1" t="s">
        <v>1844</v>
      </c>
      <c r="F12906" s="2"/>
      <c r="G12906" s="2"/>
      <c r="H12906" s="2"/>
    </row>
    <row r="12907" spans="1:8" x14ac:dyDescent="0.25">
      <c r="A12907" s="1"/>
      <c r="B12907" s="1" t="s">
        <v>5782</v>
      </c>
      <c r="C12907" s="1" t="s">
        <v>5783</v>
      </c>
      <c r="D12907" s="22" t="str">
        <f>HYPERLINK("https://rhld.insurance.arkansas.gov/NPILookup?Npi=1104361880","1104361880")</f>
        <v>1104361880</v>
      </c>
      <c r="E12907" s="1" t="s">
        <v>11484</v>
      </c>
      <c r="F12907" s="2"/>
      <c r="G12907" s="2"/>
      <c r="H12907" s="2"/>
    </row>
    <row r="12908" spans="1:8" x14ac:dyDescent="0.25">
      <c r="A12908" s="1"/>
      <c r="B12908" s="1" t="s">
        <v>5782</v>
      </c>
      <c r="C12908" s="1" t="s">
        <v>5783</v>
      </c>
      <c r="D12908" s="22" t="str">
        <f>HYPERLINK("https://rhld.insurance.arkansas.gov/NPILookup?Npi=1104371202","1104371202")</f>
        <v>1104371202</v>
      </c>
      <c r="E12908" s="1" t="s">
        <v>21198</v>
      </c>
      <c r="F12908" s="2"/>
      <c r="G12908" s="2"/>
      <c r="H12908" s="2"/>
    </row>
    <row r="12909" spans="1:8" x14ac:dyDescent="0.25">
      <c r="A12909" s="1"/>
      <c r="B12909" s="1" t="s">
        <v>5782</v>
      </c>
      <c r="C12909" s="1" t="s">
        <v>5783</v>
      </c>
      <c r="D12909" s="22" t="str">
        <f>HYPERLINK("https://rhld.insurance.arkansas.gov/NPILookup?Npi=1104382712","1104382712")</f>
        <v>1104382712</v>
      </c>
      <c r="E12909" s="1" t="s">
        <v>21199</v>
      </c>
      <c r="F12909" s="2"/>
      <c r="G12909" s="2"/>
      <c r="H12909" s="2"/>
    </row>
    <row r="12910" spans="1:8" x14ac:dyDescent="0.25">
      <c r="A12910" s="1"/>
      <c r="B12910" s="1" t="s">
        <v>5782</v>
      </c>
      <c r="C12910" s="1" t="s">
        <v>5783</v>
      </c>
      <c r="D12910" s="22" t="str">
        <f>HYPERLINK("https://rhld.insurance.arkansas.gov/NPILookup?Npi=1104386028","1104386028")</f>
        <v>1104386028</v>
      </c>
      <c r="E12910" s="1" t="s">
        <v>5924</v>
      </c>
      <c r="F12910" s="2"/>
      <c r="G12910" s="2"/>
      <c r="H12910" s="2"/>
    </row>
    <row r="12911" spans="1:8" x14ac:dyDescent="0.25">
      <c r="A12911" s="1"/>
      <c r="B12911" s="1" t="s">
        <v>5782</v>
      </c>
      <c r="C12911" s="1" t="s">
        <v>5783</v>
      </c>
      <c r="D12911" s="22" t="str">
        <f>HYPERLINK("https://rhld.insurance.arkansas.gov/NPILookup?Npi=1104401025","1104401025")</f>
        <v>1104401025</v>
      </c>
      <c r="E12911" s="1" t="s">
        <v>21200</v>
      </c>
      <c r="F12911" s="2"/>
      <c r="G12911" s="2"/>
      <c r="H12911" s="2"/>
    </row>
    <row r="12912" spans="1:8" x14ac:dyDescent="0.25">
      <c r="A12912" s="1"/>
      <c r="B12912" s="1" t="s">
        <v>5782</v>
      </c>
      <c r="C12912" s="1" t="s">
        <v>5783</v>
      </c>
      <c r="D12912" s="22" t="str">
        <f>HYPERLINK("https://rhld.insurance.arkansas.gov/NPILookup?Npi=1104419621","1104419621")</f>
        <v>1104419621</v>
      </c>
      <c r="E12912" s="1" t="s">
        <v>31799</v>
      </c>
      <c r="F12912" s="2"/>
      <c r="G12912" s="2"/>
      <c r="H12912" s="2"/>
    </row>
    <row r="12913" spans="1:8" x14ac:dyDescent="0.25">
      <c r="A12913" s="1"/>
      <c r="B12913" s="1" t="s">
        <v>5782</v>
      </c>
      <c r="C12913" s="1" t="s">
        <v>5783</v>
      </c>
      <c r="D12913" s="22" t="str">
        <f>HYPERLINK("https://rhld.insurance.arkansas.gov/NPILookup?Npi=1104447614","1104447614")</f>
        <v>1104447614</v>
      </c>
      <c r="E12913" s="1" t="s">
        <v>5926</v>
      </c>
      <c r="F12913" s="2"/>
      <c r="G12913" s="2"/>
      <c r="H12913" s="2"/>
    </row>
    <row r="12914" spans="1:8" x14ac:dyDescent="0.25">
      <c r="A12914" s="1"/>
      <c r="B12914" s="1" t="s">
        <v>5782</v>
      </c>
      <c r="C12914" s="1" t="s">
        <v>5783</v>
      </c>
      <c r="D12914" s="22" t="str">
        <f>HYPERLINK("https://rhld.insurance.arkansas.gov/NPILookup?Npi=1104459114","1104459114")</f>
        <v>1104459114</v>
      </c>
      <c r="E12914" s="1" t="s">
        <v>21201</v>
      </c>
      <c r="F12914" s="2"/>
      <c r="G12914" s="2"/>
      <c r="H12914" s="2"/>
    </row>
    <row r="12915" spans="1:8" x14ac:dyDescent="0.25">
      <c r="A12915" s="1"/>
      <c r="B12915" s="1" t="s">
        <v>5782</v>
      </c>
      <c r="C12915" s="1" t="s">
        <v>5783</v>
      </c>
      <c r="D12915" s="22" t="str">
        <f>HYPERLINK("https://rhld.insurance.arkansas.gov/NPILookup?Npi=1104464445","1104464445")</f>
        <v>1104464445</v>
      </c>
      <c r="E12915" s="1" t="s">
        <v>21202</v>
      </c>
      <c r="F12915" s="2"/>
      <c r="G12915" s="2"/>
      <c r="H12915" s="2"/>
    </row>
    <row r="12916" spans="1:8" x14ac:dyDescent="0.25">
      <c r="A12916" s="1"/>
      <c r="B12916" s="1" t="s">
        <v>5782</v>
      </c>
      <c r="C12916" s="1" t="s">
        <v>5783</v>
      </c>
      <c r="D12916" s="22" t="str">
        <f>HYPERLINK("https://rhld.insurance.arkansas.gov/NPILookup?Npi=1104465293","1104465293")</f>
        <v>1104465293</v>
      </c>
      <c r="E12916" s="1" t="s">
        <v>21203</v>
      </c>
      <c r="F12916" s="2"/>
      <c r="G12916" s="2"/>
      <c r="H12916" s="2"/>
    </row>
    <row r="12917" spans="1:8" x14ac:dyDescent="0.25">
      <c r="A12917" s="1"/>
      <c r="B12917" s="1" t="s">
        <v>5782</v>
      </c>
      <c r="C12917" s="1" t="s">
        <v>5783</v>
      </c>
      <c r="D12917" s="22" t="str">
        <f>HYPERLINK("https://rhld.insurance.arkansas.gov/NPILookup?Npi=1104473198","1104473198")</f>
        <v>1104473198</v>
      </c>
      <c r="E12917" s="1" t="s">
        <v>21204</v>
      </c>
      <c r="F12917" s="2"/>
      <c r="G12917" s="2"/>
      <c r="H12917" s="2"/>
    </row>
    <row r="12918" spans="1:8" x14ac:dyDescent="0.25">
      <c r="A12918" s="1"/>
      <c r="B12918" s="1" t="s">
        <v>5782</v>
      </c>
      <c r="C12918" s="1" t="s">
        <v>5783</v>
      </c>
      <c r="D12918" s="22" t="str">
        <f>HYPERLINK("https://rhld.insurance.arkansas.gov/NPILookup?Npi=1104507839","1104507839")</f>
        <v>1104507839</v>
      </c>
      <c r="E12918" s="1" t="s">
        <v>21205</v>
      </c>
      <c r="F12918" s="2"/>
      <c r="G12918" s="2"/>
      <c r="H12918" s="2"/>
    </row>
    <row r="12919" spans="1:8" x14ac:dyDescent="0.25">
      <c r="A12919" s="1"/>
      <c r="B12919" s="1" t="s">
        <v>5782</v>
      </c>
      <c r="C12919" s="1" t="s">
        <v>5783</v>
      </c>
      <c r="D12919" s="22" t="str">
        <f>HYPERLINK("https://rhld.insurance.arkansas.gov/NPILookup?Npi=1104529064","1104529064")</f>
        <v>1104529064</v>
      </c>
      <c r="E12919" s="1" t="s">
        <v>5927</v>
      </c>
      <c r="F12919" s="2"/>
      <c r="G12919" s="2"/>
      <c r="H12919" s="2"/>
    </row>
    <row r="12920" spans="1:8" x14ac:dyDescent="0.25">
      <c r="A12920" s="1"/>
      <c r="B12920" s="1" t="s">
        <v>5782</v>
      </c>
      <c r="C12920" s="1" t="s">
        <v>5783</v>
      </c>
      <c r="D12920" s="22" t="str">
        <f>HYPERLINK("https://rhld.insurance.arkansas.gov/NPILookup?Npi=1104540483","1104540483")</f>
        <v>1104540483</v>
      </c>
      <c r="E12920" s="1" t="s">
        <v>21206</v>
      </c>
      <c r="F12920" s="2"/>
      <c r="G12920" s="2"/>
      <c r="H12920" s="2"/>
    </row>
    <row r="12921" spans="1:8" x14ac:dyDescent="0.25">
      <c r="A12921" s="1"/>
      <c r="B12921" s="1" t="s">
        <v>5782</v>
      </c>
      <c r="C12921" s="1" t="s">
        <v>5783</v>
      </c>
      <c r="D12921" s="22" t="str">
        <f>HYPERLINK("https://rhld.insurance.arkansas.gov/NPILookup?Npi=1104562289","1104562289")</f>
        <v>1104562289</v>
      </c>
      <c r="E12921" s="1" t="s">
        <v>21207</v>
      </c>
      <c r="F12921" s="2"/>
      <c r="G12921" s="2"/>
      <c r="H12921" s="2"/>
    </row>
    <row r="12922" spans="1:8" x14ac:dyDescent="0.25">
      <c r="A12922" s="1"/>
      <c r="B12922" s="1" t="s">
        <v>5782</v>
      </c>
      <c r="C12922" s="1" t="s">
        <v>5783</v>
      </c>
      <c r="D12922" s="22" t="str">
        <f>HYPERLINK("https://rhld.insurance.arkansas.gov/NPILookup?Npi=1104876341","1104876341")</f>
        <v>1104876341</v>
      </c>
      <c r="E12922" s="1" t="s">
        <v>21208</v>
      </c>
      <c r="F12922" s="2"/>
      <c r="G12922" s="2"/>
      <c r="H12922" s="2"/>
    </row>
    <row r="12923" spans="1:8" x14ac:dyDescent="0.25">
      <c r="A12923" s="1"/>
      <c r="B12923" s="1" t="s">
        <v>5782</v>
      </c>
      <c r="C12923" s="1" t="s">
        <v>5783</v>
      </c>
      <c r="D12923" s="22" t="str">
        <f>HYPERLINK("https://rhld.insurance.arkansas.gov/NPILookup?Npi=1104907302","1104907302")</f>
        <v>1104907302</v>
      </c>
      <c r="E12923" s="1" t="s">
        <v>21209</v>
      </c>
      <c r="F12923" s="2"/>
      <c r="G12923" s="2"/>
      <c r="H12923" s="2"/>
    </row>
    <row r="12924" spans="1:8" x14ac:dyDescent="0.25">
      <c r="A12924" s="1"/>
      <c r="B12924" s="1" t="s">
        <v>5782</v>
      </c>
      <c r="C12924" s="1" t="s">
        <v>5783</v>
      </c>
      <c r="D12924" s="22" t="str">
        <f>HYPERLINK("https://rhld.insurance.arkansas.gov/NPILookup?Npi=1104944883","1104944883")</f>
        <v>1104944883</v>
      </c>
      <c r="E12924" s="1" t="s">
        <v>11485</v>
      </c>
      <c r="F12924" s="2"/>
      <c r="G12924" s="2"/>
      <c r="H12924" s="2"/>
    </row>
    <row r="12925" spans="1:8" x14ac:dyDescent="0.25">
      <c r="A12925" s="1"/>
      <c r="B12925" s="1" t="s">
        <v>5782</v>
      </c>
      <c r="C12925" s="1" t="s">
        <v>5783</v>
      </c>
      <c r="D12925" s="22" t="str">
        <f>HYPERLINK("https://rhld.insurance.arkansas.gov/NPILookup?Npi=1104955814","1104955814")</f>
        <v>1104955814</v>
      </c>
      <c r="E12925" s="1" t="s">
        <v>1655</v>
      </c>
      <c r="F12925" s="2"/>
      <c r="G12925" s="2"/>
      <c r="H12925" s="2"/>
    </row>
    <row r="12926" spans="1:8" x14ac:dyDescent="0.25">
      <c r="A12926" s="1"/>
      <c r="B12926" s="1" t="s">
        <v>5782</v>
      </c>
      <c r="C12926" s="1" t="s">
        <v>5783</v>
      </c>
      <c r="D12926" s="22" t="str">
        <f>HYPERLINK("https://rhld.insurance.arkansas.gov/NPILookup?Npi=1104957414","1104957414")</f>
        <v>1104957414</v>
      </c>
      <c r="E12926" s="1" t="s">
        <v>10233</v>
      </c>
      <c r="F12926" s="2"/>
      <c r="G12926" s="2"/>
      <c r="H12926" s="2"/>
    </row>
    <row r="12927" spans="1:8" x14ac:dyDescent="0.25">
      <c r="A12927" s="1"/>
      <c r="B12927" s="1" t="s">
        <v>5782</v>
      </c>
      <c r="C12927" s="1" t="s">
        <v>5783</v>
      </c>
      <c r="D12927" s="22" t="str">
        <f>HYPERLINK("https://rhld.insurance.arkansas.gov/NPILookup?Npi=1114018876","1114018876")</f>
        <v>1114018876</v>
      </c>
      <c r="E12927" s="1" t="s">
        <v>11486</v>
      </c>
      <c r="F12927" s="2"/>
      <c r="G12927" s="2"/>
      <c r="H12927" s="2"/>
    </row>
    <row r="12928" spans="1:8" x14ac:dyDescent="0.25">
      <c r="A12928" s="1"/>
      <c r="B12928" s="1" t="s">
        <v>5782</v>
      </c>
      <c r="C12928" s="1" t="s">
        <v>5783</v>
      </c>
      <c r="D12928" s="22" t="str">
        <f>HYPERLINK("https://rhld.insurance.arkansas.gov/NPILookup?Npi=1114026762","1114026762")</f>
        <v>1114026762</v>
      </c>
      <c r="E12928" s="1" t="s">
        <v>1125</v>
      </c>
      <c r="F12928" s="2"/>
      <c r="G12928" s="2"/>
      <c r="H12928" s="2"/>
    </row>
    <row r="12929" spans="1:8" x14ac:dyDescent="0.25">
      <c r="A12929" s="1"/>
      <c r="B12929" s="1" t="s">
        <v>5782</v>
      </c>
      <c r="C12929" s="1" t="s">
        <v>5783</v>
      </c>
      <c r="D12929" s="22" t="str">
        <f>HYPERLINK("https://rhld.insurance.arkansas.gov/NPILookup?Npi=1114030277","1114030277")</f>
        <v>1114030277</v>
      </c>
      <c r="E12929" s="1" t="s">
        <v>11487</v>
      </c>
      <c r="F12929" s="2"/>
      <c r="G12929" s="2"/>
      <c r="H12929" s="2"/>
    </row>
    <row r="12930" spans="1:8" x14ac:dyDescent="0.25">
      <c r="A12930" s="1"/>
      <c r="B12930" s="1" t="s">
        <v>5782</v>
      </c>
      <c r="C12930" s="1" t="s">
        <v>5783</v>
      </c>
      <c r="D12930" s="22" t="str">
        <f>HYPERLINK("https://rhld.insurance.arkansas.gov/NPILookup?Npi=1114060944","1114060944")</f>
        <v>1114060944</v>
      </c>
      <c r="E12930" s="1" t="s">
        <v>21210</v>
      </c>
      <c r="F12930" s="2"/>
      <c r="G12930" s="2"/>
      <c r="H12930" s="2"/>
    </row>
    <row r="12931" spans="1:8" x14ac:dyDescent="0.25">
      <c r="A12931" s="1"/>
      <c r="B12931" s="1" t="s">
        <v>5782</v>
      </c>
      <c r="C12931" s="1" t="s">
        <v>5783</v>
      </c>
      <c r="D12931" s="22" t="str">
        <f>HYPERLINK("https://rhld.insurance.arkansas.gov/NPILookup?Npi=1114063765","1114063765")</f>
        <v>1114063765</v>
      </c>
      <c r="E12931" s="1" t="s">
        <v>21211</v>
      </c>
      <c r="F12931" s="2"/>
      <c r="G12931" s="2"/>
      <c r="H12931" s="2"/>
    </row>
    <row r="12932" spans="1:8" x14ac:dyDescent="0.25">
      <c r="A12932" s="1"/>
      <c r="B12932" s="1" t="s">
        <v>5782</v>
      </c>
      <c r="C12932" s="1" t="s">
        <v>5783</v>
      </c>
      <c r="D12932" s="22" t="str">
        <f>HYPERLINK("https://rhld.insurance.arkansas.gov/NPILookup?Npi=1114100328","1114100328")</f>
        <v>1114100328</v>
      </c>
      <c r="E12932" s="1" t="s">
        <v>21212</v>
      </c>
      <c r="F12932" s="2"/>
      <c r="G12932" s="2"/>
      <c r="H12932" s="2"/>
    </row>
    <row r="12933" spans="1:8" x14ac:dyDescent="0.25">
      <c r="A12933" s="1"/>
      <c r="B12933" s="1" t="s">
        <v>5782</v>
      </c>
      <c r="C12933" s="1" t="s">
        <v>5783</v>
      </c>
      <c r="D12933" s="22" t="str">
        <f>HYPERLINK("https://rhld.insurance.arkansas.gov/NPILookup?Npi=1114109733","1114109733")</f>
        <v>1114109733</v>
      </c>
      <c r="E12933" s="1" t="s">
        <v>11488</v>
      </c>
      <c r="F12933" s="2"/>
      <c r="G12933" s="2"/>
      <c r="H12933" s="2"/>
    </row>
    <row r="12934" spans="1:8" x14ac:dyDescent="0.25">
      <c r="A12934" s="1"/>
      <c r="B12934" s="1" t="s">
        <v>5782</v>
      </c>
      <c r="C12934" s="1" t="s">
        <v>5783</v>
      </c>
      <c r="D12934" s="22" t="str">
        <f>HYPERLINK("https://rhld.insurance.arkansas.gov/NPILookup?Npi=1114170057","1114170057")</f>
        <v>1114170057</v>
      </c>
      <c r="E12934" s="1" t="s">
        <v>21213</v>
      </c>
      <c r="F12934" s="2"/>
      <c r="G12934" s="2"/>
      <c r="H12934" s="2"/>
    </row>
    <row r="12935" spans="1:8" x14ac:dyDescent="0.25">
      <c r="A12935" s="1"/>
      <c r="B12935" s="1" t="s">
        <v>5782</v>
      </c>
      <c r="C12935" s="1" t="s">
        <v>5783</v>
      </c>
      <c r="D12935" s="22" t="str">
        <f>HYPERLINK("https://rhld.insurance.arkansas.gov/NPILookup?Npi=1114175445","1114175445")</f>
        <v>1114175445</v>
      </c>
      <c r="E12935" s="1" t="s">
        <v>5929</v>
      </c>
      <c r="F12935" s="2"/>
      <c r="G12935" s="2"/>
      <c r="H12935" s="2"/>
    </row>
    <row r="12936" spans="1:8" x14ac:dyDescent="0.25">
      <c r="A12936" s="1"/>
      <c r="B12936" s="1" t="s">
        <v>5782</v>
      </c>
      <c r="C12936" s="1" t="s">
        <v>5783</v>
      </c>
      <c r="D12936" s="22" t="str">
        <f>HYPERLINK("https://rhld.insurance.arkansas.gov/NPILookup?Npi=1114182060","1114182060")</f>
        <v>1114182060</v>
      </c>
      <c r="E12936" s="1" t="s">
        <v>5930</v>
      </c>
      <c r="F12936" s="2"/>
      <c r="G12936" s="2"/>
      <c r="H12936" s="2"/>
    </row>
    <row r="12937" spans="1:8" x14ac:dyDescent="0.25">
      <c r="A12937" s="1"/>
      <c r="B12937" s="1" t="s">
        <v>5782</v>
      </c>
      <c r="C12937" s="1" t="s">
        <v>5783</v>
      </c>
      <c r="D12937" s="22" t="str">
        <f>HYPERLINK("https://rhld.insurance.arkansas.gov/NPILookup?Npi=1114203353","1114203353")</f>
        <v>1114203353</v>
      </c>
      <c r="E12937" s="1" t="s">
        <v>1316</v>
      </c>
      <c r="F12937" s="2"/>
      <c r="G12937" s="2"/>
      <c r="H12937" s="2"/>
    </row>
    <row r="12938" spans="1:8" x14ac:dyDescent="0.25">
      <c r="A12938" s="1"/>
      <c r="B12938" s="1" t="s">
        <v>5782</v>
      </c>
      <c r="C12938" s="1" t="s">
        <v>5783</v>
      </c>
      <c r="D12938" s="22" t="str">
        <f>HYPERLINK("https://rhld.insurance.arkansas.gov/NPILookup?Npi=1114203874","1114203874")</f>
        <v>1114203874</v>
      </c>
      <c r="E12938" s="1" t="s">
        <v>11489</v>
      </c>
      <c r="F12938" s="2"/>
      <c r="G12938" s="2"/>
      <c r="H12938" s="2"/>
    </row>
    <row r="12939" spans="1:8" x14ac:dyDescent="0.25">
      <c r="A12939" s="1"/>
      <c r="B12939" s="1" t="s">
        <v>5782</v>
      </c>
      <c r="C12939" s="1" t="s">
        <v>5783</v>
      </c>
      <c r="D12939" s="22" t="str">
        <f>HYPERLINK("https://rhld.insurance.arkansas.gov/NPILookup?Npi=1114222932","1114222932")</f>
        <v>1114222932</v>
      </c>
      <c r="E12939" s="1" t="s">
        <v>21214</v>
      </c>
      <c r="F12939" s="2"/>
      <c r="G12939" s="2"/>
      <c r="H12939" s="2"/>
    </row>
    <row r="12940" spans="1:8" x14ac:dyDescent="0.25">
      <c r="A12940" s="1"/>
      <c r="B12940" s="1" t="s">
        <v>5782</v>
      </c>
      <c r="C12940" s="1" t="s">
        <v>5783</v>
      </c>
      <c r="D12940" s="22" t="str">
        <f>HYPERLINK("https://rhld.insurance.arkansas.gov/NPILookup?Npi=1114229077","1114229077")</f>
        <v>1114229077</v>
      </c>
      <c r="E12940" s="1" t="s">
        <v>1717</v>
      </c>
      <c r="F12940" s="2"/>
      <c r="G12940" s="2"/>
      <c r="H12940" s="2"/>
    </row>
    <row r="12941" spans="1:8" x14ac:dyDescent="0.25">
      <c r="A12941" s="1"/>
      <c r="B12941" s="1" t="s">
        <v>5782</v>
      </c>
      <c r="C12941" s="1" t="s">
        <v>5783</v>
      </c>
      <c r="D12941" s="22" t="str">
        <f>HYPERLINK("https://rhld.insurance.arkansas.gov/NPILookup?Npi=1114230349","1114230349")</f>
        <v>1114230349</v>
      </c>
      <c r="E12941" s="1" t="s">
        <v>11490</v>
      </c>
      <c r="F12941" s="2"/>
      <c r="G12941" s="2"/>
      <c r="H12941" s="2"/>
    </row>
    <row r="12942" spans="1:8" x14ac:dyDescent="0.25">
      <c r="A12942" s="1"/>
      <c r="B12942" s="1" t="s">
        <v>5782</v>
      </c>
      <c r="C12942" s="1" t="s">
        <v>5783</v>
      </c>
      <c r="D12942" s="22" t="str">
        <f>HYPERLINK("https://rhld.insurance.arkansas.gov/NPILookup?Npi=1114233889","1114233889")</f>
        <v>1114233889</v>
      </c>
      <c r="E12942" s="1" t="s">
        <v>21215</v>
      </c>
      <c r="F12942" s="2"/>
      <c r="G12942" s="2"/>
      <c r="H12942" s="2"/>
    </row>
    <row r="12943" spans="1:8" x14ac:dyDescent="0.25">
      <c r="A12943" s="1"/>
      <c r="B12943" s="1" t="s">
        <v>5782</v>
      </c>
      <c r="C12943" s="1" t="s">
        <v>5783</v>
      </c>
      <c r="D12943" s="22" t="str">
        <f>HYPERLINK("https://rhld.insurance.arkansas.gov/NPILookup?Npi=1114236130","1114236130")</f>
        <v>1114236130</v>
      </c>
      <c r="E12943" s="1" t="s">
        <v>777</v>
      </c>
      <c r="F12943" s="2"/>
      <c r="G12943" s="2"/>
      <c r="H12943" s="2"/>
    </row>
    <row r="12944" spans="1:8" x14ac:dyDescent="0.25">
      <c r="A12944" s="1"/>
      <c r="B12944" s="1" t="s">
        <v>5782</v>
      </c>
      <c r="C12944" s="1" t="s">
        <v>5783</v>
      </c>
      <c r="D12944" s="22" t="str">
        <f>HYPERLINK("https://rhld.insurance.arkansas.gov/NPILookup?Npi=1114246824","1114246824")</f>
        <v>1114246824</v>
      </c>
      <c r="E12944" s="1" t="s">
        <v>5931</v>
      </c>
      <c r="F12944" s="2"/>
      <c r="G12944" s="2"/>
      <c r="H12944" s="2"/>
    </row>
    <row r="12945" spans="1:8" x14ac:dyDescent="0.25">
      <c r="A12945" s="1"/>
      <c r="B12945" s="1" t="s">
        <v>5782</v>
      </c>
      <c r="C12945" s="1" t="s">
        <v>5783</v>
      </c>
      <c r="D12945" s="22" t="str">
        <f>HYPERLINK("https://rhld.insurance.arkansas.gov/NPILookup?Npi=1114264298","1114264298")</f>
        <v>1114264298</v>
      </c>
      <c r="E12945" s="1" t="s">
        <v>1498</v>
      </c>
      <c r="F12945" s="2"/>
      <c r="G12945" s="2"/>
      <c r="H12945" s="2"/>
    </row>
    <row r="12946" spans="1:8" x14ac:dyDescent="0.25">
      <c r="A12946" s="1"/>
      <c r="B12946" s="1" t="s">
        <v>5782</v>
      </c>
      <c r="C12946" s="1" t="s">
        <v>5783</v>
      </c>
      <c r="D12946" s="22" t="str">
        <f>HYPERLINK("https://rhld.insurance.arkansas.gov/NPILookup?Npi=1114264769","1114264769")</f>
        <v>1114264769</v>
      </c>
      <c r="E12946" s="1" t="s">
        <v>21216</v>
      </c>
      <c r="F12946" s="2"/>
      <c r="G12946" s="2"/>
      <c r="H12946" s="2"/>
    </row>
    <row r="12947" spans="1:8" x14ac:dyDescent="0.25">
      <c r="A12947" s="1"/>
      <c r="B12947" s="1" t="s">
        <v>5782</v>
      </c>
      <c r="C12947" s="1" t="s">
        <v>5783</v>
      </c>
      <c r="D12947" s="22" t="str">
        <f>HYPERLINK("https://rhld.insurance.arkansas.gov/NPILookup?Npi=1114288453","1114288453")</f>
        <v>1114288453</v>
      </c>
      <c r="E12947" s="1" t="s">
        <v>399</v>
      </c>
      <c r="F12947" s="2"/>
      <c r="G12947" s="2"/>
      <c r="H12947" s="2"/>
    </row>
    <row r="12948" spans="1:8" x14ac:dyDescent="0.25">
      <c r="A12948" s="1"/>
      <c r="B12948" s="1" t="s">
        <v>5782</v>
      </c>
      <c r="C12948" s="1" t="s">
        <v>5783</v>
      </c>
      <c r="D12948" s="22" t="str">
        <f>HYPERLINK("https://rhld.insurance.arkansas.gov/NPILookup?Npi=1114307188","1114307188")</f>
        <v>1114307188</v>
      </c>
      <c r="E12948" s="1" t="s">
        <v>21217</v>
      </c>
      <c r="F12948" s="2"/>
      <c r="G12948" s="2"/>
      <c r="H12948" s="2"/>
    </row>
    <row r="12949" spans="1:8" x14ac:dyDescent="0.25">
      <c r="A12949" s="1"/>
      <c r="B12949" s="1" t="s">
        <v>5782</v>
      </c>
      <c r="C12949" s="1" t="s">
        <v>5783</v>
      </c>
      <c r="D12949" s="22" t="str">
        <f>HYPERLINK("https://rhld.insurance.arkansas.gov/NPILookup?Npi=1114310133","1114310133")</f>
        <v>1114310133</v>
      </c>
      <c r="E12949" s="1" t="s">
        <v>5933</v>
      </c>
      <c r="F12949" s="2"/>
      <c r="G12949" s="2"/>
      <c r="H12949" s="2"/>
    </row>
    <row r="12950" spans="1:8" x14ac:dyDescent="0.25">
      <c r="A12950" s="1"/>
      <c r="B12950" s="1" t="s">
        <v>5782</v>
      </c>
      <c r="C12950" s="1" t="s">
        <v>5783</v>
      </c>
      <c r="D12950" s="22" t="str">
        <f>HYPERLINK("https://rhld.insurance.arkansas.gov/NPILookup?Npi=1114324746","1114324746")</f>
        <v>1114324746</v>
      </c>
      <c r="E12950" s="1" t="s">
        <v>948</v>
      </c>
      <c r="F12950" s="2"/>
      <c r="G12950" s="2"/>
      <c r="H12950" s="2"/>
    </row>
    <row r="12951" spans="1:8" x14ac:dyDescent="0.25">
      <c r="A12951" s="1"/>
      <c r="B12951" s="1" t="s">
        <v>5782</v>
      </c>
      <c r="C12951" s="1" t="s">
        <v>5783</v>
      </c>
      <c r="D12951" s="22" t="str">
        <f>HYPERLINK("https://rhld.insurance.arkansas.gov/NPILookup?Npi=1114330214","1114330214")</f>
        <v>1114330214</v>
      </c>
      <c r="E12951" s="1" t="s">
        <v>21218</v>
      </c>
      <c r="F12951" s="2"/>
      <c r="G12951" s="2"/>
      <c r="H12951" s="2"/>
    </row>
    <row r="12952" spans="1:8" x14ac:dyDescent="0.25">
      <c r="A12952" s="1"/>
      <c r="B12952" s="1" t="s">
        <v>5782</v>
      </c>
      <c r="C12952" s="1" t="s">
        <v>5783</v>
      </c>
      <c r="D12952" s="22" t="str">
        <f>HYPERLINK("https://rhld.insurance.arkansas.gov/NPILookup?Npi=1114334471","1114334471")</f>
        <v>1114334471</v>
      </c>
      <c r="E12952" s="1" t="s">
        <v>3191</v>
      </c>
      <c r="F12952" s="2"/>
      <c r="G12952" s="2"/>
      <c r="H12952" s="2"/>
    </row>
    <row r="12953" spans="1:8" x14ac:dyDescent="0.25">
      <c r="A12953" s="1"/>
      <c r="B12953" s="1" t="s">
        <v>5782</v>
      </c>
      <c r="C12953" s="1" t="s">
        <v>5783</v>
      </c>
      <c r="D12953" s="22" t="str">
        <f>HYPERLINK("https://rhld.insurance.arkansas.gov/NPILookup?Npi=1114336377","1114336377")</f>
        <v>1114336377</v>
      </c>
      <c r="E12953" s="1" t="s">
        <v>21219</v>
      </c>
      <c r="F12953" s="2"/>
      <c r="G12953" s="2"/>
      <c r="H12953" s="2"/>
    </row>
    <row r="12954" spans="1:8" x14ac:dyDescent="0.25">
      <c r="A12954" s="1"/>
      <c r="B12954" s="1" t="s">
        <v>5782</v>
      </c>
      <c r="C12954" s="1" t="s">
        <v>5783</v>
      </c>
      <c r="D12954" s="22" t="str">
        <f>HYPERLINK("https://rhld.insurance.arkansas.gov/NPILookup?Npi=1114374295","1114374295")</f>
        <v>1114374295</v>
      </c>
      <c r="E12954" s="1" t="s">
        <v>21220</v>
      </c>
      <c r="F12954" s="2"/>
      <c r="G12954" s="2"/>
      <c r="H12954" s="2"/>
    </row>
    <row r="12955" spans="1:8" x14ac:dyDescent="0.25">
      <c r="A12955" s="1"/>
      <c r="B12955" s="1" t="s">
        <v>5782</v>
      </c>
      <c r="C12955" s="1" t="s">
        <v>5783</v>
      </c>
      <c r="D12955" s="22" t="str">
        <f>HYPERLINK("https://rhld.insurance.arkansas.gov/NPILookup?Npi=1114384690","1114384690")</f>
        <v>1114384690</v>
      </c>
      <c r="E12955" s="1" t="s">
        <v>5934</v>
      </c>
      <c r="F12955" s="2"/>
      <c r="G12955" s="2"/>
      <c r="H12955" s="2"/>
    </row>
    <row r="12956" spans="1:8" x14ac:dyDescent="0.25">
      <c r="A12956" s="1"/>
      <c r="B12956" s="1" t="s">
        <v>5782</v>
      </c>
      <c r="C12956" s="1" t="s">
        <v>5783</v>
      </c>
      <c r="D12956" s="22" t="str">
        <f>HYPERLINK("https://rhld.insurance.arkansas.gov/NPILookup?Npi=1114391737","1114391737")</f>
        <v>1114391737</v>
      </c>
      <c r="E12956" s="1" t="s">
        <v>3192</v>
      </c>
      <c r="F12956" s="2"/>
      <c r="G12956" s="2"/>
      <c r="H12956" s="2"/>
    </row>
    <row r="12957" spans="1:8" x14ac:dyDescent="0.25">
      <c r="A12957" s="1"/>
      <c r="B12957" s="1" t="s">
        <v>5782</v>
      </c>
      <c r="C12957" s="1" t="s">
        <v>5783</v>
      </c>
      <c r="D12957" s="22" t="str">
        <f>HYPERLINK("https://rhld.insurance.arkansas.gov/NPILookup?Npi=1114392412","1114392412")</f>
        <v>1114392412</v>
      </c>
      <c r="E12957" s="1" t="s">
        <v>21221</v>
      </c>
      <c r="F12957" s="2"/>
      <c r="G12957" s="2"/>
      <c r="H12957" s="2"/>
    </row>
    <row r="12958" spans="1:8" x14ac:dyDescent="0.25">
      <c r="A12958" s="1"/>
      <c r="B12958" s="1" t="s">
        <v>5782</v>
      </c>
      <c r="C12958" s="1" t="s">
        <v>5783</v>
      </c>
      <c r="D12958" s="22" t="str">
        <f>HYPERLINK("https://rhld.insurance.arkansas.gov/NPILookup?Npi=1114395282","1114395282")</f>
        <v>1114395282</v>
      </c>
      <c r="E12958" s="1" t="s">
        <v>11491</v>
      </c>
      <c r="F12958" s="2"/>
      <c r="G12958" s="2"/>
      <c r="H12958" s="2"/>
    </row>
    <row r="12959" spans="1:8" x14ac:dyDescent="0.25">
      <c r="A12959" s="1"/>
      <c r="B12959" s="1" t="s">
        <v>5782</v>
      </c>
      <c r="C12959" s="1" t="s">
        <v>5783</v>
      </c>
      <c r="D12959" s="22" t="str">
        <f>HYPERLINK("https://rhld.insurance.arkansas.gov/NPILookup?Npi=1114409174","1114409174")</f>
        <v>1114409174</v>
      </c>
      <c r="E12959" s="1" t="s">
        <v>11967</v>
      </c>
      <c r="F12959" s="2"/>
      <c r="G12959" s="2"/>
      <c r="H12959" s="2"/>
    </row>
    <row r="12960" spans="1:8" x14ac:dyDescent="0.25">
      <c r="A12960" s="1"/>
      <c r="B12960" s="1" t="s">
        <v>5782</v>
      </c>
      <c r="C12960" s="1" t="s">
        <v>5783</v>
      </c>
      <c r="D12960" s="22" t="str">
        <f>HYPERLINK("https://rhld.insurance.arkansas.gov/NPILookup?Npi=1114460466","1114460466")</f>
        <v>1114460466</v>
      </c>
      <c r="E12960" s="1" t="s">
        <v>1317</v>
      </c>
      <c r="F12960" s="2"/>
      <c r="G12960" s="2"/>
      <c r="H12960" s="2"/>
    </row>
    <row r="12961" spans="1:8" x14ac:dyDescent="0.25">
      <c r="A12961" s="1"/>
      <c r="B12961" s="1" t="s">
        <v>5782</v>
      </c>
      <c r="C12961" s="1" t="s">
        <v>5783</v>
      </c>
      <c r="D12961" s="22" t="str">
        <f>HYPERLINK("https://rhld.insurance.arkansas.gov/NPILookup?Npi=1114473261","1114473261")</f>
        <v>1114473261</v>
      </c>
      <c r="E12961" s="1" t="s">
        <v>1318</v>
      </c>
      <c r="F12961" s="2"/>
      <c r="G12961" s="2"/>
      <c r="H12961" s="2"/>
    </row>
    <row r="12962" spans="1:8" x14ac:dyDescent="0.25">
      <c r="A12962" s="1"/>
      <c r="B12962" s="1" t="s">
        <v>5782</v>
      </c>
      <c r="C12962" s="1" t="s">
        <v>5783</v>
      </c>
      <c r="D12962" s="22" t="str">
        <f>HYPERLINK("https://rhld.insurance.arkansas.gov/NPILookup?Npi=1114475720","1114475720")</f>
        <v>1114475720</v>
      </c>
      <c r="E12962" s="1" t="s">
        <v>21222</v>
      </c>
      <c r="F12962" s="2"/>
      <c r="G12962" s="2"/>
      <c r="H12962" s="2"/>
    </row>
    <row r="12963" spans="1:8" x14ac:dyDescent="0.25">
      <c r="A12963" s="1"/>
      <c r="B12963" s="1" t="s">
        <v>5782</v>
      </c>
      <c r="C12963" s="1" t="s">
        <v>5783</v>
      </c>
      <c r="D12963" s="22" t="str">
        <f>HYPERLINK("https://rhld.insurance.arkansas.gov/NPILookup?Npi=1114488269","1114488269")</f>
        <v>1114488269</v>
      </c>
      <c r="E12963" s="1" t="s">
        <v>21223</v>
      </c>
      <c r="F12963" s="2"/>
      <c r="G12963" s="2"/>
      <c r="H12963" s="2"/>
    </row>
    <row r="12964" spans="1:8" x14ac:dyDescent="0.25">
      <c r="A12964" s="1"/>
      <c r="B12964" s="1" t="s">
        <v>5782</v>
      </c>
      <c r="C12964" s="1" t="s">
        <v>5783</v>
      </c>
      <c r="D12964" s="22" t="str">
        <f>HYPERLINK("https://rhld.insurance.arkansas.gov/NPILookup?Npi=1114503554","1114503554")</f>
        <v>1114503554</v>
      </c>
      <c r="E12964" s="1" t="s">
        <v>21224</v>
      </c>
      <c r="F12964" s="2"/>
      <c r="G12964" s="2"/>
      <c r="H12964" s="2"/>
    </row>
    <row r="12965" spans="1:8" x14ac:dyDescent="0.25">
      <c r="A12965" s="1"/>
      <c r="B12965" s="1" t="s">
        <v>5782</v>
      </c>
      <c r="C12965" s="1" t="s">
        <v>5783</v>
      </c>
      <c r="D12965" s="22" t="str">
        <f>HYPERLINK("https://rhld.insurance.arkansas.gov/NPILookup?Npi=1114522976","1114522976")</f>
        <v>1114522976</v>
      </c>
      <c r="E12965" s="1" t="s">
        <v>21225</v>
      </c>
      <c r="F12965" s="2"/>
      <c r="G12965" s="2"/>
      <c r="H12965" s="2"/>
    </row>
    <row r="12966" spans="1:8" x14ac:dyDescent="0.25">
      <c r="A12966" s="1"/>
      <c r="B12966" s="1" t="s">
        <v>5782</v>
      </c>
      <c r="C12966" s="1" t="s">
        <v>5783</v>
      </c>
      <c r="D12966" s="22" t="str">
        <f>HYPERLINK("https://rhld.insurance.arkansas.gov/NPILookup?Npi=1114523313","1114523313")</f>
        <v>1114523313</v>
      </c>
      <c r="E12966" s="1" t="s">
        <v>31800</v>
      </c>
      <c r="F12966" s="2"/>
      <c r="G12966" s="2"/>
      <c r="H12966" s="2"/>
    </row>
    <row r="12967" spans="1:8" x14ac:dyDescent="0.25">
      <c r="A12967" s="1"/>
      <c r="B12967" s="1" t="s">
        <v>5782</v>
      </c>
      <c r="C12967" s="1" t="s">
        <v>5783</v>
      </c>
      <c r="D12967" s="22" t="str">
        <f>HYPERLINK("https://rhld.insurance.arkansas.gov/NPILookup?Npi=1114525284","1114525284")</f>
        <v>1114525284</v>
      </c>
      <c r="E12967" s="1" t="s">
        <v>11492</v>
      </c>
      <c r="F12967" s="2"/>
      <c r="G12967" s="2"/>
      <c r="H12967" s="2"/>
    </row>
    <row r="12968" spans="1:8" x14ac:dyDescent="0.25">
      <c r="A12968" s="1"/>
      <c r="B12968" s="1" t="s">
        <v>5782</v>
      </c>
      <c r="C12968" s="1" t="s">
        <v>5783</v>
      </c>
      <c r="D12968" s="22" t="str">
        <f>HYPERLINK("https://rhld.insurance.arkansas.gov/NPILookup?Npi=1114538592","1114538592")</f>
        <v>1114538592</v>
      </c>
      <c r="E12968" s="1" t="s">
        <v>5935</v>
      </c>
      <c r="F12968" s="2"/>
      <c r="G12968" s="2"/>
      <c r="H12968" s="2"/>
    </row>
    <row r="12969" spans="1:8" x14ac:dyDescent="0.25">
      <c r="A12969" s="1"/>
      <c r="B12969" s="1" t="s">
        <v>5782</v>
      </c>
      <c r="C12969" s="1" t="s">
        <v>5783</v>
      </c>
      <c r="D12969" s="22" t="str">
        <f>HYPERLINK("https://rhld.insurance.arkansas.gov/NPILookup?Npi=1114540051","1114540051")</f>
        <v>1114540051</v>
      </c>
      <c r="E12969" s="1" t="s">
        <v>21226</v>
      </c>
      <c r="F12969" s="2"/>
      <c r="G12969" s="2"/>
      <c r="H12969" s="2"/>
    </row>
    <row r="12970" spans="1:8" x14ac:dyDescent="0.25">
      <c r="A12970" s="1"/>
      <c r="B12970" s="1" t="s">
        <v>5782</v>
      </c>
      <c r="C12970" s="1" t="s">
        <v>5783</v>
      </c>
      <c r="D12970" s="22" t="str">
        <f>HYPERLINK("https://rhld.insurance.arkansas.gov/NPILookup?Npi=1114551868","1114551868")</f>
        <v>1114551868</v>
      </c>
      <c r="E12970" s="1" t="s">
        <v>21227</v>
      </c>
      <c r="F12970" s="2"/>
      <c r="G12970" s="2"/>
      <c r="H12970" s="2"/>
    </row>
    <row r="12971" spans="1:8" x14ac:dyDescent="0.25">
      <c r="A12971" s="1"/>
      <c r="B12971" s="1" t="s">
        <v>5782</v>
      </c>
      <c r="C12971" s="1" t="s">
        <v>5783</v>
      </c>
      <c r="D12971" s="22" t="str">
        <f>HYPERLINK("https://rhld.insurance.arkansas.gov/NPILookup?Npi=1114556958","1114556958")</f>
        <v>1114556958</v>
      </c>
      <c r="E12971" s="1" t="s">
        <v>31801</v>
      </c>
      <c r="F12971" s="2"/>
      <c r="G12971" s="2"/>
      <c r="H12971" s="2"/>
    </row>
    <row r="12972" spans="1:8" x14ac:dyDescent="0.25">
      <c r="A12972" s="1"/>
      <c r="B12972" s="1" t="s">
        <v>5782</v>
      </c>
      <c r="C12972" s="1" t="s">
        <v>5783</v>
      </c>
      <c r="D12972" s="22" t="str">
        <f>HYPERLINK("https://rhld.insurance.arkansas.gov/NPILookup?Npi=1114560596","1114560596")</f>
        <v>1114560596</v>
      </c>
      <c r="E12972" s="1" t="s">
        <v>5936</v>
      </c>
      <c r="F12972" s="2"/>
      <c r="G12972" s="2"/>
      <c r="H12972" s="2"/>
    </row>
    <row r="12973" spans="1:8" x14ac:dyDescent="0.25">
      <c r="A12973" s="1"/>
      <c r="B12973" s="1" t="s">
        <v>5782</v>
      </c>
      <c r="C12973" s="1" t="s">
        <v>5783</v>
      </c>
      <c r="D12973" s="22" t="str">
        <f>HYPERLINK("https://rhld.insurance.arkansas.gov/NPILookup?Npi=1114562071","1114562071")</f>
        <v>1114562071</v>
      </c>
      <c r="E12973" s="1" t="s">
        <v>21228</v>
      </c>
      <c r="F12973" s="2"/>
      <c r="G12973" s="2"/>
      <c r="H12973" s="2"/>
    </row>
    <row r="12974" spans="1:8" x14ac:dyDescent="0.25">
      <c r="A12974" s="1"/>
      <c r="B12974" s="1" t="s">
        <v>5782</v>
      </c>
      <c r="C12974" s="1" t="s">
        <v>5783</v>
      </c>
      <c r="D12974" s="22" t="str">
        <f>HYPERLINK("https://rhld.insurance.arkansas.gov/NPILookup?Npi=1114564028","1114564028")</f>
        <v>1114564028</v>
      </c>
      <c r="E12974" s="1" t="s">
        <v>2153</v>
      </c>
      <c r="F12974" s="2"/>
      <c r="G12974" s="2"/>
      <c r="H12974" s="2"/>
    </row>
    <row r="12975" spans="1:8" x14ac:dyDescent="0.25">
      <c r="A12975" s="1"/>
      <c r="B12975" s="1" t="s">
        <v>5782</v>
      </c>
      <c r="C12975" s="1" t="s">
        <v>5783</v>
      </c>
      <c r="D12975" s="22" t="str">
        <f>HYPERLINK("https://rhld.insurance.arkansas.gov/NPILookup?Npi=1114565538","1114565538")</f>
        <v>1114565538</v>
      </c>
      <c r="E12975" s="1" t="s">
        <v>21229</v>
      </c>
      <c r="F12975" s="2"/>
      <c r="G12975" s="2"/>
      <c r="H12975" s="2"/>
    </row>
    <row r="12976" spans="1:8" x14ac:dyDescent="0.25">
      <c r="A12976" s="1"/>
      <c r="B12976" s="1" t="s">
        <v>5782</v>
      </c>
      <c r="C12976" s="1" t="s">
        <v>5783</v>
      </c>
      <c r="D12976" s="22" t="str">
        <f>HYPERLINK("https://rhld.insurance.arkansas.gov/NPILookup?Npi=1114569118","1114569118")</f>
        <v>1114569118</v>
      </c>
      <c r="E12976" s="1" t="s">
        <v>4088</v>
      </c>
      <c r="F12976" s="2"/>
      <c r="G12976" s="2"/>
      <c r="H12976" s="2"/>
    </row>
    <row r="12977" spans="1:8" x14ac:dyDescent="0.25">
      <c r="A12977" s="1"/>
      <c r="B12977" s="1" t="s">
        <v>5782</v>
      </c>
      <c r="C12977" s="1" t="s">
        <v>5783</v>
      </c>
      <c r="D12977" s="22" t="str">
        <f>HYPERLINK("https://rhld.insurance.arkansas.gov/NPILookup?Npi=1114569167","1114569167")</f>
        <v>1114569167</v>
      </c>
      <c r="E12977" s="1" t="s">
        <v>11493</v>
      </c>
      <c r="F12977" s="2"/>
      <c r="G12977" s="2"/>
      <c r="H12977" s="2"/>
    </row>
    <row r="12978" spans="1:8" x14ac:dyDescent="0.25">
      <c r="A12978" s="1"/>
      <c r="B12978" s="1" t="s">
        <v>5782</v>
      </c>
      <c r="C12978" s="1" t="s">
        <v>5783</v>
      </c>
      <c r="D12978" s="22" t="str">
        <f>HYPERLINK("https://rhld.insurance.arkansas.gov/NPILookup?Npi=1114571072","1114571072")</f>
        <v>1114571072</v>
      </c>
      <c r="E12978" s="1" t="s">
        <v>1845</v>
      </c>
      <c r="F12978" s="2"/>
      <c r="G12978" s="2"/>
      <c r="H12978" s="2"/>
    </row>
    <row r="12979" spans="1:8" x14ac:dyDescent="0.25">
      <c r="A12979" s="1"/>
      <c r="B12979" s="1" t="s">
        <v>5782</v>
      </c>
      <c r="C12979" s="1" t="s">
        <v>5783</v>
      </c>
      <c r="D12979" s="22" t="str">
        <f>HYPERLINK("https://rhld.insurance.arkansas.gov/NPILookup?Npi=1114578168","1114578168")</f>
        <v>1114578168</v>
      </c>
      <c r="E12979" s="1" t="s">
        <v>21230</v>
      </c>
      <c r="F12979" s="2"/>
      <c r="G12979" s="2"/>
      <c r="H12979" s="2"/>
    </row>
    <row r="12980" spans="1:8" x14ac:dyDescent="0.25">
      <c r="A12980" s="1"/>
      <c r="B12980" s="1" t="s">
        <v>5782</v>
      </c>
      <c r="C12980" s="1" t="s">
        <v>5783</v>
      </c>
      <c r="D12980" s="22" t="str">
        <f>HYPERLINK("https://rhld.insurance.arkansas.gov/NPILookup?Npi=1114578903","1114578903")</f>
        <v>1114578903</v>
      </c>
      <c r="E12980" s="1" t="s">
        <v>21231</v>
      </c>
      <c r="F12980" s="2"/>
      <c r="G12980" s="2"/>
      <c r="H12980" s="2"/>
    </row>
    <row r="12981" spans="1:8" x14ac:dyDescent="0.25">
      <c r="A12981" s="1"/>
      <c r="B12981" s="1" t="s">
        <v>5782</v>
      </c>
      <c r="C12981" s="1" t="s">
        <v>5783</v>
      </c>
      <c r="D12981" s="22" t="str">
        <f>HYPERLINK("https://rhld.insurance.arkansas.gov/NPILookup?Npi=1114611209","1114611209")</f>
        <v>1114611209</v>
      </c>
      <c r="E12981" s="1" t="s">
        <v>21232</v>
      </c>
      <c r="F12981" s="2"/>
      <c r="G12981" s="2"/>
      <c r="H12981" s="2"/>
    </row>
    <row r="12982" spans="1:8" x14ac:dyDescent="0.25">
      <c r="A12982" s="1"/>
      <c r="B12982" s="1" t="s">
        <v>5782</v>
      </c>
      <c r="C12982" s="1" t="s">
        <v>5783</v>
      </c>
      <c r="D12982" s="22" t="str">
        <f>HYPERLINK("https://rhld.insurance.arkansas.gov/NPILookup?Npi=1114627163","1114627163")</f>
        <v>1114627163</v>
      </c>
      <c r="E12982" s="1" t="s">
        <v>21233</v>
      </c>
      <c r="F12982" s="2"/>
      <c r="G12982" s="2"/>
      <c r="H12982" s="2"/>
    </row>
    <row r="12983" spans="1:8" x14ac:dyDescent="0.25">
      <c r="A12983" s="1"/>
      <c r="B12983" s="1" t="s">
        <v>5782</v>
      </c>
      <c r="C12983" s="1" t="s">
        <v>5783</v>
      </c>
      <c r="D12983" s="22" t="str">
        <f>HYPERLINK("https://rhld.insurance.arkansas.gov/NPILookup?Npi=1114655198","1114655198")</f>
        <v>1114655198</v>
      </c>
      <c r="E12983" s="1" t="s">
        <v>11494</v>
      </c>
      <c r="F12983" s="2"/>
      <c r="G12983" s="2"/>
      <c r="H12983" s="2"/>
    </row>
    <row r="12984" spans="1:8" x14ac:dyDescent="0.25">
      <c r="A12984" s="1"/>
      <c r="B12984" s="1" t="s">
        <v>5782</v>
      </c>
      <c r="C12984" s="1" t="s">
        <v>5783</v>
      </c>
      <c r="D12984" s="22" t="str">
        <f>HYPERLINK("https://rhld.insurance.arkansas.gov/NPILookup?Npi=1114673670","1114673670")</f>
        <v>1114673670</v>
      </c>
      <c r="E12984" s="1" t="s">
        <v>21234</v>
      </c>
      <c r="F12984" s="2"/>
      <c r="G12984" s="2"/>
      <c r="H12984" s="2"/>
    </row>
    <row r="12985" spans="1:8" x14ac:dyDescent="0.25">
      <c r="A12985" s="1"/>
      <c r="B12985" s="1" t="s">
        <v>5782</v>
      </c>
      <c r="C12985" s="1" t="s">
        <v>5783</v>
      </c>
      <c r="D12985" s="22" t="str">
        <f>HYPERLINK("https://rhld.insurance.arkansas.gov/NPILookup?Npi=1114689031","1114689031")</f>
        <v>1114689031</v>
      </c>
      <c r="E12985" s="1" t="s">
        <v>2459</v>
      </c>
      <c r="F12985" s="2"/>
      <c r="G12985" s="2"/>
      <c r="H12985" s="2"/>
    </row>
    <row r="12986" spans="1:8" x14ac:dyDescent="0.25">
      <c r="A12986" s="1"/>
      <c r="B12986" s="1" t="s">
        <v>5782</v>
      </c>
      <c r="C12986" s="1" t="s">
        <v>5783</v>
      </c>
      <c r="D12986" s="22" t="str">
        <f>HYPERLINK("https://rhld.insurance.arkansas.gov/NPILookup?Npi=1114702883","1114702883")</f>
        <v>1114702883</v>
      </c>
      <c r="E12986" s="1" t="s">
        <v>5937</v>
      </c>
      <c r="F12986" s="2"/>
      <c r="G12986" s="2"/>
      <c r="H12986" s="2"/>
    </row>
    <row r="12987" spans="1:8" x14ac:dyDescent="0.25">
      <c r="A12987" s="1"/>
      <c r="B12987" s="1" t="s">
        <v>5782</v>
      </c>
      <c r="C12987" s="1" t="s">
        <v>5783</v>
      </c>
      <c r="D12987" s="22" t="str">
        <f>HYPERLINK("https://rhld.insurance.arkansas.gov/NPILookup?Npi=1114797883","1114797883")</f>
        <v>1114797883</v>
      </c>
      <c r="E12987" s="1" t="s">
        <v>21235</v>
      </c>
      <c r="F12987" s="2"/>
      <c r="G12987" s="2"/>
      <c r="H12987" s="2"/>
    </row>
    <row r="12988" spans="1:8" x14ac:dyDescent="0.25">
      <c r="A12988" s="1"/>
      <c r="B12988" s="1" t="s">
        <v>5782</v>
      </c>
      <c r="C12988" s="1" t="s">
        <v>5783</v>
      </c>
      <c r="D12988" s="22" t="str">
        <f>HYPERLINK("https://rhld.insurance.arkansas.gov/NPILookup?Npi=1114959012","1114959012")</f>
        <v>1114959012</v>
      </c>
      <c r="E12988" s="1" t="s">
        <v>5938</v>
      </c>
      <c r="F12988" s="2"/>
      <c r="G12988" s="2"/>
      <c r="H12988" s="2"/>
    </row>
    <row r="12989" spans="1:8" x14ac:dyDescent="0.25">
      <c r="A12989" s="1"/>
      <c r="B12989" s="1" t="s">
        <v>5782</v>
      </c>
      <c r="C12989" s="1" t="s">
        <v>5783</v>
      </c>
      <c r="D12989" s="22" t="str">
        <f>HYPERLINK("https://rhld.insurance.arkansas.gov/NPILookup?Npi=1114972809","1114972809")</f>
        <v>1114972809</v>
      </c>
      <c r="E12989" s="1" t="s">
        <v>21236</v>
      </c>
      <c r="F12989" s="2"/>
      <c r="G12989" s="2"/>
      <c r="H12989" s="2"/>
    </row>
    <row r="12990" spans="1:8" x14ac:dyDescent="0.25">
      <c r="A12990" s="1"/>
      <c r="B12990" s="1" t="s">
        <v>5782</v>
      </c>
      <c r="C12990" s="1" t="s">
        <v>5783</v>
      </c>
      <c r="D12990" s="22" t="str">
        <f>HYPERLINK("https://rhld.insurance.arkansas.gov/NPILookup?Npi=1124035449","1124035449")</f>
        <v>1124035449</v>
      </c>
      <c r="E12990" s="1" t="s">
        <v>5939</v>
      </c>
      <c r="F12990" s="2"/>
      <c r="G12990" s="2"/>
      <c r="H12990" s="2"/>
    </row>
    <row r="12991" spans="1:8" x14ac:dyDescent="0.25">
      <c r="A12991" s="1"/>
      <c r="B12991" s="1" t="s">
        <v>5782</v>
      </c>
      <c r="C12991" s="1" t="s">
        <v>5783</v>
      </c>
      <c r="D12991" s="22" t="str">
        <f>HYPERLINK("https://rhld.insurance.arkansas.gov/NPILookup?Npi=1124042833","1124042833")</f>
        <v>1124042833</v>
      </c>
      <c r="E12991" s="1" t="s">
        <v>21238</v>
      </c>
      <c r="F12991" s="2"/>
      <c r="G12991" s="2"/>
      <c r="H12991" s="2"/>
    </row>
    <row r="12992" spans="1:8" x14ac:dyDescent="0.25">
      <c r="A12992" s="1"/>
      <c r="B12992" s="1" t="s">
        <v>5782</v>
      </c>
      <c r="C12992" s="1" t="s">
        <v>5783</v>
      </c>
      <c r="D12992" s="22" t="str">
        <f>HYPERLINK("https://rhld.insurance.arkansas.gov/NPILookup?Npi=1124048871","1124048871")</f>
        <v>1124048871</v>
      </c>
      <c r="E12992" s="1" t="s">
        <v>11495</v>
      </c>
      <c r="F12992" s="2"/>
      <c r="G12992" s="2"/>
      <c r="H12992" s="2"/>
    </row>
    <row r="12993" spans="1:8" x14ac:dyDescent="0.25">
      <c r="A12993" s="1"/>
      <c r="B12993" s="1" t="s">
        <v>5782</v>
      </c>
      <c r="C12993" s="1" t="s">
        <v>5783</v>
      </c>
      <c r="D12993" s="22" t="str">
        <f>HYPERLINK("https://rhld.insurance.arkansas.gov/NPILookup?Npi=1124074802","1124074802")</f>
        <v>1124074802</v>
      </c>
      <c r="E12993" s="1" t="s">
        <v>11496</v>
      </c>
      <c r="F12993" s="2"/>
      <c r="G12993" s="2"/>
      <c r="H12993" s="2"/>
    </row>
    <row r="12994" spans="1:8" x14ac:dyDescent="0.25">
      <c r="A12994" s="1"/>
      <c r="B12994" s="1" t="s">
        <v>5782</v>
      </c>
      <c r="C12994" s="1" t="s">
        <v>5783</v>
      </c>
      <c r="D12994" s="22" t="str">
        <f>HYPERLINK("https://rhld.insurance.arkansas.gov/NPILookup?Npi=1124080981","1124080981")</f>
        <v>1124080981</v>
      </c>
      <c r="E12994" s="1" t="s">
        <v>3193</v>
      </c>
      <c r="F12994" s="2"/>
      <c r="G12994" s="2"/>
      <c r="H12994" s="2"/>
    </row>
    <row r="12995" spans="1:8" x14ac:dyDescent="0.25">
      <c r="A12995" s="1"/>
      <c r="B12995" s="1" t="s">
        <v>5782</v>
      </c>
      <c r="C12995" s="1" t="s">
        <v>5783</v>
      </c>
      <c r="D12995" s="22" t="str">
        <f>HYPERLINK("https://rhld.insurance.arkansas.gov/NPILookup?Npi=1124106539","1124106539")</f>
        <v>1124106539</v>
      </c>
      <c r="E12995" s="1" t="s">
        <v>21239</v>
      </c>
      <c r="F12995" s="2"/>
      <c r="G12995" s="2"/>
      <c r="H12995" s="2"/>
    </row>
    <row r="12996" spans="1:8" x14ac:dyDescent="0.25">
      <c r="A12996" s="1"/>
      <c r="B12996" s="1" t="s">
        <v>5782</v>
      </c>
      <c r="C12996" s="1" t="s">
        <v>5783</v>
      </c>
      <c r="D12996" s="22" t="str">
        <f>HYPERLINK("https://rhld.insurance.arkansas.gov/NPILookup?Npi=1124112990","1124112990")</f>
        <v>1124112990</v>
      </c>
      <c r="E12996" s="1" t="s">
        <v>11497</v>
      </c>
      <c r="F12996" s="2"/>
      <c r="G12996" s="2"/>
      <c r="H12996" s="2"/>
    </row>
    <row r="12997" spans="1:8" x14ac:dyDescent="0.25">
      <c r="A12997" s="1"/>
      <c r="B12997" s="1" t="s">
        <v>5782</v>
      </c>
      <c r="C12997" s="1" t="s">
        <v>5783</v>
      </c>
      <c r="D12997" s="22" t="str">
        <f>HYPERLINK("https://rhld.insurance.arkansas.gov/NPILookup?Npi=1124120712","1124120712")</f>
        <v>1124120712</v>
      </c>
      <c r="E12997" s="1" t="s">
        <v>21240</v>
      </c>
      <c r="F12997" s="2"/>
      <c r="G12997" s="2"/>
      <c r="H12997" s="2"/>
    </row>
    <row r="12998" spans="1:8" x14ac:dyDescent="0.25">
      <c r="A12998" s="1"/>
      <c r="B12998" s="1" t="s">
        <v>5782</v>
      </c>
      <c r="C12998" s="1" t="s">
        <v>5783</v>
      </c>
      <c r="D12998" s="22" t="str">
        <f>HYPERLINK("https://rhld.insurance.arkansas.gov/NPILookup?Npi=1124139019","1124139019")</f>
        <v>1124139019</v>
      </c>
      <c r="E12998" s="1" t="s">
        <v>21241</v>
      </c>
      <c r="F12998" s="2"/>
      <c r="G12998" s="2"/>
      <c r="H12998" s="2"/>
    </row>
    <row r="12999" spans="1:8" x14ac:dyDescent="0.25">
      <c r="A12999" s="1"/>
      <c r="B12999" s="1" t="s">
        <v>5782</v>
      </c>
      <c r="C12999" s="1" t="s">
        <v>5783</v>
      </c>
      <c r="D12999" s="22" t="str">
        <f>HYPERLINK("https://rhld.insurance.arkansas.gov/NPILookup?Npi=1124151436","1124151436")</f>
        <v>1124151436</v>
      </c>
      <c r="E12999" s="1" t="s">
        <v>21242</v>
      </c>
      <c r="F12999" s="2"/>
      <c r="G12999" s="2"/>
      <c r="H12999" s="2"/>
    </row>
    <row r="13000" spans="1:8" x14ac:dyDescent="0.25">
      <c r="A13000" s="1"/>
      <c r="B13000" s="1" t="s">
        <v>5782</v>
      </c>
      <c r="C13000" s="1" t="s">
        <v>5783</v>
      </c>
      <c r="D13000" s="22" t="str">
        <f>HYPERLINK("https://rhld.insurance.arkansas.gov/NPILookup?Npi=1124156179","1124156179")</f>
        <v>1124156179</v>
      </c>
      <c r="E13000" s="1" t="s">
        <v>21243</v>
      </c>
      <c r="F13000" s="2"/>
      <c r="G13000" s="2"/>
      <c r="H13000" s="2"/>
    </row>
    <row r="13001" spans="1:8" x14ac:dyDescent="0.25">
      <c r="A13001" s="1"/>
      <c r="B13001" s="1" t="s">
        <v>5782</v>
      </c>
      <c r="C13001" s="1" t="s">
        <v>5783</v>
      </c>
      <c r="D13001" s="22" t="str">
        <f>HYPERLINK("https://rhld.insurance.arkansas.gov/NPILookup?Npi=1124159306","1124159306")</f>
        <v>1124159306</v>
      </c>
      <c r="E13001" s="1" t="s">
        <v>11498</v>
      </c>
      <c r="F13001" s="2"/>
      <c r="G13001" s="2"/>
      <c r="H13001" s="2"/>
    </row>
    <row r="13002" spans="1:8" x14ac:dyDescent="0.25">
      <c r="A13002" s="1"/>
      <c r="B13002" s="1" t="s">
        <v>5782</v>
      </c>
      <c r="C13002" s="1" t="s">
        <v>5783</v>
      </c>
      <c r="D13002" s="22" t="str">
        <f>HYPERLINK("https://rhld.insurance.arkansas.gov/NPILookup?Npi=1124182548","1124182548")</f>
        <v>1124182548</v>
      </c>
      <c r="E13002" s="1" t="s">
        <v>5940</v>
      </c>
      <c r="F13002" s="2"/>
      <c r="G13002" s="2"/>
      <c r="H13002" s="2"/>
    </row>
    <row r="13003" spans="1:8" x14ac:dyDescent="0.25">
      <c r="A13003" s="1"/>
      <c r="B13003" s="1" t="s">
        <v>5782</v>
      </c>
      <c r="C13003" s="1" t="s">
        <v>5783</v>
      </c>
      <c r="D13003" s="22" t="str">
        <f>HYPERLINK("https://rhld.insurance.arkansas.gov/NPILookup?Npi=1124215256","1124215256")</f>
        <v>1124215256</v>
      </c>
      <c r="E13003" s="1" t="s">
        <v>21244</v>
      </c>
      <c r="F13003" s="2"/>
      <c r="G13003" s="2"/>
      <c r="H13003" s="2"/>
    </row>
    <row r="13004" spans="1:8" x14ac:dyDescent="0.25">
      <c r="A13004" s="1"/>
      <c r="B13004" s="1" t="s">
        <v>5782</v>
      </c>
      <c r="C13004" s="1" t="s">
        <v>5783</v>
      </c>
      <c r="D13004" s="22" t="str">
        <f>HYPERLINK("https://rhld.insurance.arkansas.gov/NPILookup?Npi=1124218177","1124218177")</f>
        <v>1124218177</v>
      </c>
      <c r="E13004" s="1" t="s">
        <v>1052</v>
      </c>
      <c r="F13004" s="2"/>
      <c r="G13004" s="2"/>
      <c r="H13004" s="2"/>
    </row>
    <row r="13005" spans="1:8" x14ac:dyDescent="0.25">
      <c r="A13005" s="1"/>
      <c r="B13005" s="1" t="s">
        <v>5782</v>
      </c>
      <c r="C13005" s="1" t="s">
        <v>5783</v>
      </c>
      <c r="D13005" s="22" t="str">
        <f>HYPERLINK("https://rhld.insurance.arkansas.gov/NPILookup?Npi=1124224035","1124224035")</f>
        <v>1124224035</v>
      </c>
      <c r="E13005" s="1" t="s">
        <v>11450</v>
      </c>
      <c r="F13005" s="2"/>
      <c r="G13005" s="2"/>
      <c r="H13005" s="2"/>
    </row>
    <row r="13006" spans="1:8" x14ac:dyDescent="0.25">
      <c r="A13006" s="1"/>
      <c r="B13006" s="1" t="s">
        <v>5782</v>
      </c>
      <c r="C13006" s="1" t="s">
        <v>5783</v>
      </c>
      <c r="D13006" s="22" t="str">
        <f>HYPERLINK("https://rhld.insurance.arkansas.gov/NPILookup?Npi=1124243985","1124243985")</f>
        <v>1124243985</v>
      </c>
      <c r="E13006" s="1" t="s">
        <v>21245</v>
      </c>
      <c r="F13006" s="2"/>
      <c r="G13006" s="2"/>
      <c r="H13006" s="2"/>
    </row>
    <row r="13007" spans="1:8" x14ac:dyDescent="0.25">
      <c r="A13007" s="1"/>
      <c r="B13007" s="1" t="s">
        <v>5782</v>
      </c>
      <c r="C13007" s="1" t="s">
        <v>5783</v>
      </c>
      <c r="D13007" s="22" t="str">
        <f>HYPERLINK("https://rhld.insurance.arkansas.gov/NPILookup?Npi=1124265053","1124265053")</f>
        <v>1124265053</v>
      </c>
      <c r="E13007" s="1" t="s">
        <v>382</v>
      </c>
      <c r="F13007" s="2"/>
      <c r="G13007" s="2"/>
      <c r="H13007" s="2"/>
    </row>
    <row r="13008" spans="1:8" x14ac:dyDescent="0.25">
      <c r="A13008" s="1"/>
      <c r="B13008" s="1" t="s">
        <v>5782</v>
      </c>
      <c r="C13008" s="1" t="s">
        <v>5783</v>
      </c>
      <c r="D13008" s="22" t="str">
        <f>HYPERLINK("https://rhld.insurance.arkansas.gov/NPILookup?Npi=1124267109","1124267109")</f>
        <v>1124267109</v>
      </c>
      <c r="E13008" s="1" t="s">
        <v>21246</v>
      </c>
      <c r="F13008" s="2"/>
      <c r="G13008" s="2"/>
      <c r="H13008" s="2"/>
    </row>
    <row r="13009" spans="1:8" x14ac:dyDescent="0.25">
      <c r="A13009" s="1"/>
      <c r="B13009" s="1" t="s">
        <v>5782</v>
      </c>
      <c r="C13009" s="1" t="s">
        <v>5783</v>
      </c>
      <c r="D13009" s="22" t="str">
        <f>HYPERLINK("https://rhld.insurance.arkansas.gov/NPILookup?Npi=1124268065","1124268065")</f>
        <v>1124268065</v>
      </c>
      <c r="E13009" s="1" t="s">
        <v>31802</v>
      </c>
      <c r="F13009" s="2"/>
      <c r="G13009" s="2"/>
      <c r="H13009" s="2"/>
    </row>
    <row r="13010" spans="1:8" x14ac:dyDescent="0.25">
      <c r="A13010" s="1"/>
      <c r="B13010" s="1" t="s">
        <v>5782</v>
      </c>
      <c r="C13010" s="1" t="s">
        <v>5783</v>
      </c>
      <c r="D13010" s="22" t="str">
        <f>HYPERLINK("https://rhld.insurance.arkansas.gov/NPILookup?Npi=1124277876","1124277876")</f>
        <v>1124277876</v>
      </c>
      <c r="E13010" s="1" t="s">
        <v>21247</v>
      </c>
      <c r="F13010" s="2"/>
      <c r="G13010" s="2"/>
      <c r="H13010" s="2"/>
    </row>
    <row r="13011" spans="1:8" x14ac:dyDescent="0.25">
      <c r="A13011" s="1"/>
      <c r="B13011" s="1" t="s">
        <v>5782</v>
      </c>
      <c r="C13011" s="1" t="s">
        <v>5783</v>
      </c>
      <c r="D13011" s="22" t="str">
        <f>HYPERLINK("https://rhld.insurance.arkansas.gov/NPILookup?Npi=1124283619","1124283619")</f>
        <v>1124283619</v>
      </c>
      <c r="E13011" s="1" t="s">
        <v>11499</v>
      </c>
      <c r="F13011" s="2"/>
      <c r="G13011" s="2"/>
      <c r="H13011" s="2"/>
    </row>
    <row r="13012" spans="1:8" x14ac:dyDescent="0.25">
      <c r="A13012" s="1"/>
      <c r="B13012" s="1" t="s">
        <v>5782</v>
      </c>
      <c r="C13012" s="1" t="s">
        <v>5783</v>
      </c>
      <c r="D13012" s="22" t="str">
        <f>HYPERLINK("https://rhld.insurance.arkansas.gov/NPILookup?Npi=1124300389","1124300389")</f>
        <v>1124300389</v>
      </c>
      <c r="E13012" s="1" t="s">
        <v>21248</v>
      </c>
      <c r="F13012" s="2"/>
      <c r="G13012" s="2"/>
      <c r="H13012" s="2"/>
    </row>
    <row r="13013" spans="1:8" x14ac:dyDescent="0.25">
      <c r="A13013" s="1"/>
      <c r="B13013" s="1" t="s">
        <v>5782</v>
      </c>
      <c r="C13013" s="1" t="s">
        <v>5783</v>
      </c>
      <c r="D13013" s="22" t="str">
        <f>HYPERLINK("https://rhld.insurance.arkansas.gov/NPILookup?Npi=1124309018","1124309018")</f>
        <v>1124309018</v>
      </c>
      <c r="E13013" s="1" t="s">
        <v>21249</v>
      </c>
      <c r="F13013" s="2"/>
      <c r="G13013" s="2"/>
      <c r="H13013" s="2"/>
    </row>
    <row r="13014" spans="1:8" x14ac:dyDescent="0.25">
      <c r="A13014" s="1"/>
      <c r="B13014" s="1" t="s">
        <v>5782</v>
      </c>
      <c r="C13014" s="1" t="s">
        <v>5783</v>
      </c>
      <c r="D13014" s="22" t="str">
        <f>HYPERLINK("https://rhld.insurance.arkansas.gov/NPILookup?Npi=1124329321","1124329321")</f>
        <v>1124329321</v>
      </c>
      <c r="E13014" s="1" t="s">
        <v>1499</v>
      </c>
      <c r="F13014" s="2"/>
      <c r="G13014" s="2"/>
      <c r="H13014" s="2"/>
    </row>
    <row r="13015" spans="1:8" x14ac:dyDescent="0.25">
      <c r="A13015" s="1"/>
      <c r="B13015" s="1" t="s">
        <v>5782</v>
      </c>
      <c r="C13015" s="1" t="s">
        <v>5783</v>
      </c>
      <c r="D13015" s="22" t="str">
        <f>HYPERLINK("https://rhld.insurance.arkansas.gov/NPILookup?Npi=1124331285","1124331285")</f>
        <v>1124331285</v>
      </c>
      <c r="E13015" s="1" t="s">
        <v>21250</v>
      </c>
      <c r="F13015" s="2"/>
      <c r="G13015" s="2"/>
      <c r="H13015" s="2"/>
    </row>
    <row r="13016" spans="1:8" x14ac:dyDescent="0.25">
      <c r="A13016" s="1"/>
      <c r="B13016" s="1" t="s">
        <v>5782</v>
      </c>
      <c r="C13016" s="1" t="s">
        <v>5783</v>
      </c>
      <c r="D13016" s="22" t="str">
        <f>HYPERLINK("https://rhld.insurance.arkansas.gov/NPILookup?Npi=1124338298","1124338298")</f>
        <v>1124338298</v>
      </c>
      <c r="E13016" s="1" t="s">
        <v>5941</v>
      </c>
      <c r="F13016" s="2"/>
      <c r="G13016" s="2"/>
      <c r="H13016" s="2"/>
    </row>
    <row r="13017" spans="1:8" x14ac:dyDescent="0.25">
      <c r="A13017" s="1"/>
      <c r="B13017" s="1" t="s">
        <v>5782</v>
      </c>
      <c r="C13017" s="1" t="s">
        <v>5783</v>
      </c>
      <c r="D13017" s="22" t="str">
        <f>HYPERLINK("https://rhld.insurance.arkansas.gov/NPILookup?Npi=1124372552","1124372552")</f>
        <v>1124372552</v>
      </c>
      <c r="E13017" s="1" t="s">
        <v>11500</v>
      </c>
      <c r="F13017" s="2"/>
      <c r="G13017" s="2"/>
      <c r="H13017" s="2"/>
    </row>
    <row r="13018" spans="1:8" x14ac:dyDescent="0.25">
      <c r="A13018" s="1"/>
      <c r="B13018" s="1" t="s">
        <v>5782</v>
      </c>
      <c r="C13018" s="1" t="s">
        <v>5783</v>
      </c>
      <c r="D13018" s="22" t="str">
        <f>HYPERLINK("https://rhld.insurance.arkansas.gov/NPILookup?Npi=1124378039","1124378039")</f>
        <v>1124378039</v>
      </c>
      <c r="E13018" s="1" t="s">
        <v>21251</v>
      </c>
      <c r="F13018" s="2"/>
      <c r="G13018" s="2"/>
      <c r="H13018" s="2"/>
    </row>
    <row r="13019" spans="1:8" x14ac:dyDescent="0.25">
      <c r="A13019" s="1"/>
      <c r="B13019" s="1" t="s">
        <v>5782</v>
      </c>
      <c r="C13019" s="1" t="s">
        <v>5783</v>
      </c>
      <c r="D13019" s="22" t="str">
        <f>HYPERLINK("https://rhld.insurance.arkansas.gov/NPILookup?Npi=1124385224","1124385224")</f>
        <v>1124385224</v>
      </c>
      <c r="E13019" s="1" t="s">
        <v>11501</v>
      </c>
      <c r="F13019" s="2"/>
      <c r="G13019" s="2"/>
      <c r="H13019" s="2"/>
    </row>
    <row r="13020" spans="1:8" x14ac:dyDescent="0.25">
      <c r="A13020" s="1"/>
      <c r="B13020" s="1" t="s">
        <v>5782</v>
      </c>
      <c r="C13020" s="1" t="s">
        <v>5783</v>
      </c>
      <c r="D13020" s="22" t="str">
        <f>HYPERLINK("https://rhld.insurance.arkansas.gov/NPILookup?Npi=1124386248","1124386248")</f>
        <v>1124386248</v>
      </c>
      <c r="E13020" s="1" t="s">
        <v>21252</v>
      </c>
      <c r="F13020" s="2"/>
      <c r="G13020" s="2"/>
      <c r="H13020" s="2"/>
    </row>
    <row r="13021" spans="1:8" x14ac:dyDescent="0.25">
      <c r="A13021" s="1"/>
      <c r="B13021" s="1" t="s">
        <v>5782</v>
      </c>
      <c r="C13021" s="1" t="s">
        <v>5783</v>
      </c>
      <c r="D13021" s="22" t="str">
        <f>HYPERLINK("https://rhld.insurance.arkansas.gov/NPILookup?Npi=1124390919","1124390919")</f>
        <v>1124390919</v>
      </c>
      <c r="E13021" s="1" t="s">
        <v>5942</v>
      </c>
      <c r="F13021" s="2"/>
      <c r="G13021" s="2"/>
      <c r="H13021" s="2"/>
    </row>
    <row r="13022" spans="1:8" x14ac:dyDescent="0.25">
      <c r="A13022" s="1"/>
      <c r="B13022" s="1" t="s">
        <v>5782</v>
      </c>
      <c r="C13022" s="1" t="s">
        <v>5783</v>
      </c>
      <c r="D13022" s="22" t="str">
        <f>HYPERLINK("https://rhld.insurance.arkansas.gov/NPILookup?Npi=1124401096","1124401096")</f>
        <v>1124401096</v>
      </c>
      <c r="E13022" s="1" t="s">
        <v>1418</v>
      </c>
      <c r="F13022" s="2"/>
      <c r="G13022" s="2"/>
      <c r="H13022" s="2"/>
    </row>
    <row r="13023" spans="1:8" x14ac:dyDescent="0.25">
      <c r="A13023" s="1"/>
      <c r="B13023" s="1" t="s">
        <v>5782</v>
      </c>
      <c r="C13023" s="1" t="s">
        <v>5783</v>
      </c>
      <c r="D13023" s="22" t="str">
        <f>HYPERLINK("https://rhld.insurance.arkansas.gov/NPILookup?Npi=1124409149","1124409149")</f>
        <v>1124409149</v>
      </c>
      <c r="E13023" s="1" t="s">
        <v>1500</v>
      </c>
      <c r="F13023" s="2"/>
      <c r="G13023" s="2"/>
      <c r="H13023" s="2"/>
    </row>
    <row r="13024" spans="1:8" x14ac:dyDescent="0.25">
      <c r="A13024" s="1"/>
      <c r="B13024" s="1" t="s">
        <v>5782</v>
      </c>
      <c r="C13024" s="1" t="s">
        <v>5783</v>
      </c>
      <c r="D13024" s="22" t="str">
        <f>HYPERLINK("https://rhld.insurance.arkansas.gov/NPILookup?Npi=1124417142","1124417142")</f>
        <v>1124417142</v>
      </c>
      <c r="E13024" s="1" t="s">
        <v>21253</v>
      </c>
      <c r="F13024" s="2"/>
      <c r="G13024" s="2"/>
      <c r="H13024" s="2"/>
    </row>
    <row r="13025" spans="1:8" x14ac:dyDescent="0.25">
      <c r="A13025" s="1"/>
      <c r="B13025" s="1" t="s">
        <v>5782</v>
      </c>
      <c r="C13025" s="1" t="s">
        <v>5783</v>
      </c>
      <c r="D13025" s="22" t="str">
        <f>HYPERLINK("https://rhld.insurance.arkansas.gov/NPILookup?Npi=1124455225","1124455225")</f>
        <v>1124455225</v>
      </c>
      <c r="E13025" s="1" t="s">
        <v>21254</v>
      </c>
      <c r="F13025" s="2"/>
      <c r="G13025" s="2"/>
      <c r="H13025" s="2"/>
    </row>
    <row r="13026" spans="1:8" x14ac:dyDescent="0.25">
      <c r="A13026" s="1"/>
      <c r="B13026" s="1" t="s">
        <v>5782</v>
      </c>
      <c r="C13026" s="1" t="s">
        <v>5783</v>
      </c>
      <c r="D13026" s="22" t="str">
        <f>HYPERLINK("https://rhld.insurance.arkansas.gov/NPILookup?Npi=1124457130","1124457130")</f>
        <v>1124457130</v>
      </c>
      <c r="E13026" s="1" t="s">
        <v>5943</v>
      </c>
      <c r="F13026" s="2"/>
      <c r="G13026" s="2"/>
      <c r="H13026" s="2"/>
    </row>
    <row r="13027" spans="1:8" x14ac:dyDescent="0.25">
      <c r="A13027" s="1"/>
      <c r="B13027" s="1" t="s">
        <v>5782</v>
      </c>
      <c r="C13027" s="1" t="s">
        <v>5783</v>
      </c>
      <c r="D13027" s="22" t="str">
        <f>HYPERLINK("https://rhld.insurance.arkansas.gov/NPILookup?Npi=1124459235","1124459235")</f>
        <v>1124459235</v>
      </c>
      <c r="E13027" s="1" t="s">
        <v>13617</v>
      </c>
      <c r="F13027" s="2"/>
      <c r="G13027" s="2"/>
      <c r="H13027" s="2"/>
    </row>
    <row r="13028" spans="1:8" x14ac:dyDescent="0.25">
      <c r="A13028" s="1"/>
      <c r="B13028" s="1" t="s">
        <v>5782</v>
      </c>
      <c r="C13028" s="1" t="s">
        <v>5783</v>
      </c>
      <c r="D13028" s="22" t="str">
        <f>HYPERLINK("https://rhld.insurance.arkansas.gov/NPILookup?Npi=1124464607","1124464607")</f>
        <v>1124464607</v>
      </c>
      <c r="E13028" s="1" t="s">
        <v>2149</v>
      </c>
      <c r="F13028" s="2"/>
      <c r="G13028" s="2"/>
      <c r="H13028" s="2"/>
    </row>
    <row r="13029" spans="1:8" x14ac:dyDescent="0.25">
      <c r="A13029" s="1"/>
      <c r="B13029" s="1" t="s">
        <v>5782</v>
      </c>
      <c r="C13029" s="1" t="s">
        <v>5783</v>
      </c>
      <c r="D13029" s="22" t="str">
        <f>HYPERLINK("https://rhld.insurance.arkansas.gov/NPILookup?Npi=1124472030","1124472030")</f>
        <v>1124472030</v>
      </c>
      <c r="E13029" s="1" t="s">
        <v>5944</v>
      </c>
      <c r="F13029" s="2"/>
      <c r="G13029" s="2"/>
      <c r="H13029" s="2"/>
    </row>
    <row r="13030" spans="1:8" x14ac:dyDescent="0.25">
      <c r="A13030" s="1"/>
      <c r="B13030" s="1" t="s">
        <v>5782</v>
      </c>
      <c r="C13030" s="1" t="s">
        <v>5783</v>
      </c>
      <c r="D13030" s="22" t="str">
        <f>HYPERLINK("https://rhld.insurance.arkansas.gov/NPILookup?Npi=1124474556","1124474556")</f>
        <v>1124474556</v>
      </c>
      <c r="E13030" s="1" t="s">
        <v>21255</v>
      </c>
      <c r="F13030" s="2"/>
      <c r="G13030" s="2"/>
      <c r="H13030" s="2"/>
    </row>
    <row r="13031" spans="1:8" x14ac:dyDescent="0.25">
      <c r="A13031" s="1"/>
      <c r="B13031" s="1" t="s">
        <v>5782</v>
      </c>
      <c r="C13031" s="1" t="s">
        <v>5783</v>
      </c>
      <c r="D13031" s="22" t="str">
        <f>HYPERLINK("https://rhld.insurance.arkansas.gov/NPILookup?Npi=1124476767","1124476767")</f>
        <v>1124476767</v>
      </c>
      <c r="E13031" s="1" t="s">
        <v>21256</v>
      </c>
      <c r="F13031" s="2"/>
      <c r="G13031" s="2"/>
      <c r="H13031" s="2"/>
    </row>
    <row r="13032" spans="1:8" x14ac:dyDescent="0.25">
      <c r="A13032" s="1"/>
      <c r="B13032" s="1" t="s">
        <v>5782</v>
      </c>
      <c r="C13032" s="1" t="s">
        <v>5783</v>
      </c>
      <c r="D13032" s="22" t="str">
        <f>HYPERLINK("https://rhld.insurance.arkansas.gov/NPILookup?Npi=1124477955","1124477955")</f>
        <v>1124477955</v>
      </c>
      <c r="E13032" s="1" t="s">
        <v>11502</v>
      </c>
      <c r="F13032" s="2"/>
      <c r="G13032" s="2"/>
      <c r="H13032" s="2"/>
    </row>
    <row r="13033" spans="1:8" x14ac:dyDescent="0.25">
      <c r="A13033" s="1"/>
      <c r="B13033" s="1" t="s">
        <v>5782</v>
      </c>
      <c r="C13033" s="1" t="s">
        <v>5783</v>
      </c>
      <c r="D13033" s="22" t="str">
        <f>HYPERLINK("https://rhld.insurance.arkansas.gov/NPILookup?Npi=1124490768","1124490768")</f>
        <v>1124490768</v>
      </c>
      <c r="E13033" s="1" t="s">
        <v>5945</v>
      </c>
      <c r="F13033" s="2"/>
      <c r="G13033" s="2"/>
      <c r="H13033" s="2"/>
    </row>
    <row r="13034" spans="1:8" x14ac:dyDescent="0.25">
      <c r="A13034" s="1"/>
      <c r="B13034" s="1" t="s">
        <v>5782</v>
      </c>
      <c r="C13034" s="1" t="s">
        <v>5783</v>
      </c>
      <c r="D13034" s="22" t="str">
        <f>HYPERLINK("https://rhld.insurance.arkansas.gov/NPILookup?Npi=1124495023","1124495023")</f>
        <v>1124495023</v>
      </c>
      <c r="E13034" s="1" t="s">
        <v>21257</v>
      </c>
      <c r="F13034" s="2"/>
      <c r="G13034" s="2"/>
      <c r="H13034" s="2"/>
    </row>
    <row r="13035" spans="1:8" x14ac:dyDescent="0.25">
      <c r="A13035" s="1"/>
      <c r="B13035" s="1" t="s">
        <v>5782</v>
      </c>
      <c r="C13035" s="1" t="s">
        <v>5783</v>
      </c>
      <c r="D13035" s="22" t="str">
        <f>HYPERLINK("https://rhld.insurance.arkansas.gov/NPILookup?Npi=1124495510","1124495510")</f>
        <v>1124495510</v>
      </c>
      <c r="E13035" s="1" t="s">
        <v>21258</v>
      </c>
      <c r="F13035" s="2"/>
      <c r="G13035" s="2"/>
      <c r="H13035" s="2"/>
    </row>
    <row r="13036" spans="1:8" x14ac:dyDescent="0.25">
      <c r="A13036" s="1"/>
      <c r="B13036" s="1" t="s">
        <v>5782</v>
      </c>
      <c r="C13036" s="1" t="s">
        <v>5783</v>
      </c>
      <c r="D13036" s="22" t="str">
        <f>HYPERLINK("https://rhld.insurance.arkansas.gov/NPILookup?Npi=1124495551","1124495551")</f>
        <v>1124495551</v>
      </c>
      <c r="E13036" s="1" t="s">
        <v>21259</v>
      </c>
      <c r="F13036" s="2"/>
      <c r="G13036" s="2"/>
      <c r="H13036" s="2"/>
    </row>
    <row r="13037" spans="1:8" x14ac:dyDescent="0.25">
      <c r="A13037" s="1"/>
      <c r="B13037" s="1" t="s">
        <v>5782</v>
      </c>
      <c r="C13037" s="1" t="s">
        <v>5783</v>
      </c>
      <c r="D13037" s="22" t="str">
        <f>HYPERLINK("https://rhld.insurance.arkansas.gov/NPILookup?Npi=1124535638","1124535638")</f>
        <v>1124535638</v>
      </c>
      <c r="E13037" s="1" t="s">
        <v>1692</v>
      </c>
      <c r="F13037" s="2"/>
      <c r="G13037" s="2"/>
      <c r="H13037" s="2"/>
    </row>
    <row r="13038" spans="1:8" x14ac:dyDescent="0.25">
      <c r="A13038" s="1"/>
      <c r="B13038" s="1" t="s">
        <v>5782</v>
      </c>
      <c r="C13038" s="1" t="s">
        <v>5783</v>
      </c>
      <c r="D13038" s="22" t="str">
        <f>HYPERLINK("https://rhld.insurance.arkansas.gov/NPILookup?Npi=1124563234","1124563234")</f>
        <v>1124563234</v>
      </c>
      <c r="E13038" s="1" t="s">
        <v>1501</v>
      </c>
      <c r="F13038" s="2"/>
      <c r="G13038" s="2"/>
      <c r="H13038" s="2"/>
    </row>
    <row r="13039" spans="1:8" x14ac:dyDescent="0.25">
      <c r="A13039" s="1"/>
      <c r="B13039" s="1" t="s">
        <v>5782</v>
      </c>
      <c r="C13039" s="1" t="s">
        <v>5783</v>
      </c>
      <c r="D13039" s="22" t="str">
        <f>HYPERLINK("https://rhld.insurance.arkansas.gov/NPILookup?Npi=1124575295","1124575295")</f>
        <v>1124575295</v>
      </c>
      <c r="E13039" s="1" t="s">
        <v>11503</v>
      </c>
      <c r="F13039" s="2"/>
      <c r="G13039" s="2"/>
      <c r="H13039" s="2"/>
    </row>
    <row r="13040" spans="1:8" x14ac:dyDescent="0.25">
      <c r="A13040" s="1"/>
      <c r="B13040" s="1" t="s">
        <v>5782</v>
      </c>
      <c r="C13040" s="1" t="s">
        <v>5783</v>
      </c>
      <c r="D13040" s="22" t="str">
        <f>HYPERLINK("https://rhld.insurance.arkansas.gov/NPILookup?Npi=1124589395","1124589395")</f>
        <v>1124589395</v>
      </c>
      <c r="E13040" s="1" t="s">
        <v>21260</v>
      </c>
      <c r="F13040" s="2"/>
      <c r="G13040" s="2"/>
      <c r="H13040" s="2"/>
    </row>
    <row r="13041" spans="1:8" x14ac:dyDescent="0.25">
      <c r="A13041" s="1"/>
      <c r="B13041" s="1" t="s">
        <v>5782</v>
      </c>
      <c r="C13041" s="1" t="s">
        <v>5783</v>
      </c>
      <c r="D13041" s="22" t="str">
        <f>HYPERLINK("https://rhld.insurance.arkansas.gov/NPILookup?Npi=1124590146","1124590146")</f>
        <v>1124590146</v>
      </c>
      <c r="E13041" s="1" t="s">
        <v>11504</v>
      </c>
      <c r="F13041" s="2"/>
      <c r="G13041" s="2"/>
      <c r="H13041" s="2"/>
    </row>
    <row r="13042" spans="1:8" x14ac:dyDescent="0.25">
      <c r="A13042" s="1"/>
      <c r="B13042" s="1" t="s">
        <v>5782</v>
      </c>
      <c r="C13042" s="1" t="s">
        <v>5783</v>
      </c>
      <c r="D13042" s="22" t="str">
        <f>HYPERLINK("https://rhld.insurance.arkansas.gov/NPILookup?Npi=1124595079","1124595079")</f>
        <v>1124595079</v>
      </c>
      <c r="E13042" s="1" t="s">
        <v>21261</v>
      </c>
      <c r="F13042" s="2"/>
      <c r="G13042" s="2"/>
      <c r="H13042" s="2"/>
    </row>
    <row r="13043" spans="1:8" x14ac:dyDescent="0.25">
      <c r="A13043" s="1"/>
      <c r="B13043" s="1" t="s">
        <v>5782</v>
      </c>
      <c r="C13043" s="1" t="s">
        <v>5783</v>
      </c>
      <c r="D13043" s="22" t="str">
        <f>HYPERLINK("https://rhld.insurance.arkansas.gov/NPILookup?Npi=1124627690","1124627690")</f>
        <v>1124627690</v>
      </c>
      <c r="E13043" s="1" t="s">
        <v>21263</v>
      </c>
      <c r="F13043" s="2"/>
      <c r="G13043" s="2"/>
      <c r="H13043" s="2"/>
    </row>
    <row r="13044" spans="1:8" x14ac:dyDescent="0.25">
      <c r="A13044" s="1"/>
      <c r="B13044" s="1" t="s">
        <v>5782</v>
      </c>
      <c r="C13044" s="1" t="s">
        <v>5783</v>
      </c>
      <c r="D13044" s="22" t="str">
        <f>HYPERLINK("https://rhld.insurance.arkansas.gov/NPILookup?Npi=1124641063","1124641063")</f>
        <v>1124641063</v>
      </c>
      <c r="E13044" s="1" t="s">
        <v>21264</v>
      </c>
      <c r="F13044" s="2"/>
      <c r="G13044" s="2"/>
      <c r="H13044" s="2"/>
    </row>
    <row r="13045" spans="1:8" x14ac:dyDescent="0.25">
      <c r="A13045" s="1"/>
      <c r="B13045" s="1" t="s">
        <v>5782</v>
      </c>
      <c r="C13045" s="1" t="s">
        <v>5783</v>
      </c>
      <c r="D13045" s="22" t="str">
        <f>HYPERLINK("https://rhld.insurance.arkansas.gov/NPILookup?Npi=1124646799","1124646799")</f>
        <v>1124646799</v>
      </c>
      <c r="E13045" s="1" t="s">
        <v>21265</v>
      </c>
      <c r="F13045" s="2"/>
      <c r="G13045" s="2"/>
      <c r="H13045" s="2"/>
    </row>
    <row r="13046" spans="1:8" x14ac:dyDescent="0.25">
      <c r="A13046" s="1"/>
      <c r="B13046" s="1" t="s">
        <v>5782</v>
      </c>
      <c r="C13046" s="1" t="s">
        <v>5783</v>
      </c>
      <c r="D13046" s="22" t="str">
        <f>HYPERLINK("https://rhld.insurance.arkansas.gov/NPILookup?Npi=1124665047","1124665047")</f>
        <v>1124665047</v>
      </c>
      <c r="E13046" s="1" t="s">
        <v>11505</v>
      </c>
      <c r="F13046" s="2"/>
      <c r="G13046" s="2"/>
      <c r="H13046" s="2"/>
    </row>
    <row r="13047" spans="1:8" x14ac:dyDescent="0.25">
      <c r="A13047" s="1"/>
      <c r="B13047" s="1" t="s">
        <v>5782</v>
      </c>
      <c r="C13047" s="1" t="s">
        <v>5783</v>
      </c>
      <c r="D13047" s="22" t="str">
        <f>HYPERLINK("https://rhld.insurance.arkansas.gov/NPILookup?Npi=1124671722","1124671722")</f>
        <v>1124671722</v>
      </c>
      <c r="E13047" s="1" t="s">
        <v>5511</v>
      </c>
      <c r="F13047" s="2"/>
      <c r="G13047" s="2"/>
      <c r="H13047" s="2"/>
    </row>
    <row r="13048" spans="1:8" x14ac:dyDescent="0.25">
      <c r="A13048" s="1"/>
      <c r="B13048" s="1" t="s">
        <v>5782</v>
      </c>
      <c r="C13048" s="1" t="s">
        <v>5783</v>
      </c>
      <c r="D13048" s="22" t="str">
        <f>HYPERLINK("https://rhld.insurance.arkansas.gov/NPILookup?Npi=1124691506","1124691506")</f>
        <v>1124691506</v>
      </c>
      <c r="E13048" s="1" t="s">
        <v>5946</v>
      </c>
      <c r="F13048" s="2"/>
      <c r="G13048" s="2"/>
      <c r="H13048" s="2"/>
    </row>
    <row r="13049" spans="1:8" x14ac:dyDescent="0.25">
      <c r="A13049" s="1"/>
      <c r="B13049" s="1" t="s">
        <v>5782</v>
      </c>
      <c r="C13049" s="1" t="s">
        <v>5783</v>
      </c>
      <c r="D13049" s="22" t="str">
        <f>HYPERLINK("https://rhld.insurance.arkansas.gov/NPILookup?Npi=1124695176","1124695176")</f>
        <v>1124695176</v>
      </c>
      <c r="E13049" s="1" t="s">
        <v>21266</v>
      </c>
      <c r="F13049" s="2"/>
      <c r="G13049" s="2"/>
      <c r="H13049" s="2"/>
    </row>
    <row r="13050" spans="1:8" x14ac:dyDescent="0.25">
      <c r="A13050" s="1"/>
      <c r="B13050" s="1" t="s">
        <v>5782</v>
      </c>
      <c r="C13050" s="1" t="s">
        <v>5783</v>
      </c>
      <c r="D13050" s="22" t="str">
        <f>HYPERLINK("https://rhld.insurance.arkansas.gov/NPILookup?Npi=1124705645","1124705645")</f>
        <v>1124705645</v>
      </c>
      <c r="E13050" s="1" t="s">
        <v>5947</v>
      </c>
      <c r="F13050" s="2"/>
      <c r="G13050" s="2"/>
      <c r="H13050" s="2"/>
    </row>
    <row r="13051" spans="1:8" x14ac:dyDescent="0.25">
      <c r="A13051" s="1"/>
      <c r="B13051" s="1" t="s">
        <v>5782</v>
      </c>
      <c r="C13051" s="1" t="s">
        <v>5783</v>
      </c>
      <c r="D13051" s="22" t="str">
        <f>HYPERLINK("https://rhld.insurance.arkansas.gov/NPILookup?Npi=1124723515","1124723515")</f>
        <v>1124723515</v>
      </c>
      <c r="E13051" s="1" t="s">
        <v>5948</v>
      </c>
      <c r="F13051" s="2"/>
      <c r="G13051" s="2"/>
      <c r="H13051" s="2"/>
    </row>
    <row r="13052" spans="1:8" x14ac:dyDescent="0.25">
      <c r="A13052" s="1"/>
      <c r="B13052" s="1" t="s">
        <v>5782</v>
      </c>
      <c r="C13052" s="1" t="s">
        <v>5783</v>
      </c>
      <c r="D13052" s="22" t="str">
        <f>HYPERLINK("https://rhld.insurance.arkansas.gov/NPILookup?Npi=1124725452","1124725452")</f>
        <v>1124725452</v>
      </c>
      <c r="E13052" s="1" t="s">
        <v>31803</v>
      </c>
      <c r="F13052" s="2"/>
      <c r="G13052" s="2"/>
      <c r="H13052" s="2"/>
    </row>
    <row r="13053" spans="1:8" x14ac:dyDescent="0.25">
      <c r="A13053" s="1"/>
      <c r="B13053" s="1" t="s">
        <v>5782</v>
      </c>
      <c r="C13053" s="1" t="s">
        <v>5783</v>
      </c>
      <c r="D13053" s="22" t="str">
        <f>HYPERLINK("https://rhld.insurance.arkansas.gov/NPILookup?Npi=1124733472","1124733472")</f>
        <v>1124733472</v>
      </c>
      <c r="E13053" s="1" t="s">
        <v>5949</v>
      </c>
      <c r="F13053" s="2"/>
      <c r="G13053" s="2"/>
      <c r="H13053" s="2"/>
    </row>
    <row r="13054" spans="1:8" x14ac:dyDescent="0.25">
      <c r="A13054" s="1"/>
      <c r="B13054" s="1" t="s">
        <v>5782</v>
      </c>
      <c r="C13054" s="1" t="s">
        <v>5783</v>
      </c>
      <c r="D13054" s="22" t="str">
        <f>HYPERLINK("https://rhld.insurance.arkansas.gov/NPILookup?Npi=1124768015","1124768015")</f>
        <v>1124768015</v>
      </c>
      <c r="E13054" s="1" t="s">
        <v>21267</v>
      </c>
      <c r="F13054" s="2"/>
      <c r="G13054" s="2"/>
      <c r="H13054" s="2"/>
    </row>
    <row r="13055" spans="1:8" x14ac:dyDescent="0.25">
      <c r="A13055" s="1"/>
      <c r="B13055" s="1" t="s">
        <v>5782</v>
      </c>
      <c r="C13055" s="1" t="s">
        <v>5783</v>
      </c>
      <c r="D13055" s="22" t="str">
        <f>HYPERLINK("https://rhld.insurance.arkansas.gov/NPILookup?Npi=1124770557","1124770557")</f>
        <v>1124770557</v>
      </c>
      <c r="E13055" s="1" t="s">
        <v>21268</v>
      </c>
      <c r="F13055" s="2"/>
      <c r="G13055" s="2"/>
      <c r="H13055" s="2"/>
    </row>
    <row r="13056" spans="1:8" x14ac:dyDescent="0.25">
      <c r="A13056" s="1"/>
      <c r="B13056" s="1" t="s">
        <v>5782</v>
      </c>
      <c r="C13056" s="1" t="s">
        <v>5783</v>
      </c>
      <c r="D13056" s="22" t="str">
        <f>HYPERLINK("https://rhld.insurance.arkansas.gov/NPILookup?Npi=1134100712","1134100712")</f>
        <v>1134100712</v>
      </c>
      <c r="E13056" s="1" t="s">
        <v>11506</v>
      </c>
      <c r="F13056" s="2"/>
      <c r="G13056" s="2"/>
      <c r="H13056" s="2"/>
    </row>
    <row r="13057" spans="1:8" x14ac:dyDescent="0.25">
      <c r="A13057" s="1"/>
      <c r="B13057" s="1" t="s">
        <v>5782</v>
      </c>
      <c r="C13057" s="1" t="s">
        <v>5783</v>
      </c>
      <c r="D13057" s="22" t="str">
        <f>HYPERLINK("https://rhld.insurance.arkansas.gov/NPILookup?Npi=1134182520","1134182520")</f>
        <v>1134182520</v>
      </c>
      <c r="E13057" s="1" t="s">
        <v>5950</v>
      </c>
      <c r="F13057" s="2"/>
      <c r="G13057" s="2"/>
      <c r="H13057" s="2"/>
    </row>
    <row r="13058" spans="1:8" x14ac:dyDescent="0.25">
      <c r="A13058" s="1"/>
      <c r="B13058" s="1" t="s">
        <v>5782</v>
      </c>
      <c r="C13058" s="1" t="s">
        <v>5783</v>
      </c>
      <c r="D13058" s="22" t="str">
        <f>HYPERLINK("https://rhld.insurance.arkansas.gov/NPILookup?Npi=1134202484","1134202484")</f>
        <v>1134202484</v>
      </c>
      <c r="E13058" s="1" t="s">
        <v>1248</v>
      </c>
      <c r="F13058" s="2"/>
      <c r="G13058" s="2"/>
      <c r="H13058" s="2"/>
    </row>
    <row r="13059" spans="1:8" x14ac:dyDescent="0.25">
      <c r="A13059" s="1"/>
      <c r="B13059" s="1" t="s">
        <v>5782</v>
      </c>
      <c r="C13059" s="1" t="s">
        <v>5783</v>
      </c>
      <c r="D13059" s="22" t="str">
        <f>HYPERLINK("https://rhld.insurance.arkansas.gov/NPILookup?Npi=1134212947","1134212947")</f>
        <v>1134212947</v>
      </c>
      <c r="E13059" s="1" t="s">
        <v>21269</v>
      </c>
      <c r="F13059" s="2"/>
      <c r="G13059" s="2"/>
      <c r="H13059" s="2"/>
    </row>
    <row r="13060" spans="1:8" x14ac:dyDescent="0.25">
      <c r="A13060" s="1"/>
      <c r="B13060" s="1" t="s">
        <v>5782</v>
      </c>
      <c r="C13060" s="1" t="s">
        <v>5783</v>
      </c>
      <c r="D13060" s="22" t="str">
        <f>HYPERLINK("https://rhld.insurance.arkansas.gov/NPILookup?Npi=1134248164","1134248164")</f>
        <v>1134248164</v>
      </c>
      <c r="E13060" s="1" t="s">
        <v>2150</v>
      </c>
      <c r="F13060" s="2"/>
      <c r="G13060" s="2"/>
      <c r="H13060" s="2"/>
    </row>
    <row r="13061" spans="1:8" x14ac:dyDescent="0.25">
      <c r="A13061" s="1"/>
      <c r="B13061" s="1" t="s">
        <v>5782</v>
      </c>
      <c r="C13061" s="1" t="s">
        <v>5783</v>
      </c>
      <c r="D13061" s="22" t="str">
        <f>HYPERLINK("https://rhld.insurance.arkansas.gov/NPILookup?Npi=1134258072","1134258072")</f>
        <v>1134258072</v>
      </c>
      <c r="E13061" s="1" t="s">
        <v>1419</v>
      </c>
      <c r="F13061" s="2"/>
      <c r="G13061" s="2"/>
      <c r="H13061" s="2"/>
    </row>
    <row r="13062" spans="1:8" x14ac:dyDescent="0.25">
      <c r="A13062" s="1"/>
      <c r="B13062" s="1" t="s">
        <v>5782</v>
      </c>
      <c r="C13062" s="1" t="s">
        <v>5783</v>
      </c>
      <c r="D13062" s="22" t="str">
        <f>HYPERLINK("https://rhld.insurance.arkansas.gov/NPILookup?Npi=1134259443","1134259443")</f>
        <v>1134259443</v>
      </c>
      <c r="E13062" s="1" t="s">
        <v>21270</v>
      </c>
      <c r="F13062" s="2"/>
      <c r="G13062" s="2"/>
      <c r="H13062" s="2"/>
    </row>
    <row r="13063" spans="1:8" x14ac:dyDescent="0.25">
      <c r="A13063" s="1"/>
      <c r="B13063" s="1" t="s">
        <v>5782</v>
      </c>
      <c r="C13063" s="1" t="s">
        <v>5783</v>
      </c>
      <c r="D13063" s="22" t="str">
        <f>HYPERLINK("https://rhld.insurance.arkansas.gov/NPILookup?Npi=1134310048","1134310048")</f>
        <v>1134310048</v>
      </c>
      <c r="E13063" s="1" t="s">
        <v>21271</v>
      </c>
      <c r="F13063" s="2"/>
      <c r="G13063" s="2"/>
      <c r="H13063" s="2"/>
    </row>
    <row r="13064" spans="1:8" x14ac:dyDescent="0.25">
      <c r="A13064" s="1"/>
      <c r="B13064" s="1" t="s">
        <v>5782</v>
      </c>
      <c r="C13064" s="1" t="s">
        <v>5783</v>
      </c>
      <c r="D13064" s="22" t="str">
        <f>HYPERLINK("https://rhld.insurance.arkansas.gov/NPILookup?Npi=1134328131","1134328131")</f>
        <v>1134328131</v>
      </c>
      <c r="E13064" s="1" t="s">
        <v>21272</v>
      </c>
      <c r="F13064" s="2"/>
      <c r="G13064" s="2"/>
      <c r="H13064" s="2"/>
    </row>
    <row r="13065" spans="1:8" x14ac:dyDescent="0.25">
      <c r="A13065" s="1"/>
      <c r="B13065" s="1" t="s">
        <v>5782</v>
      </c>
      <c r="C13065" s="1" t="s">
        <v>5783</v>
      </c>
      <c r="D13065" s="22" t="str">
        <f>HYPERLINK("https://rhld.insurance.arkansas.gov/NPILookup?Npi=1134337744","1134337744")</f>
        <v>1134337744</v>
      </c>
      <c r="E13065" s="1" t="s">
        <v>2178</v>
      </c>
      <c r="F13065" s="2"/>
      <c r="G13065" s="2"/>
      <c r="H13065" s="2"/>
    </row>
    <row r="13066" spans="1:8" x14ac:dyDescent="0.25">
      <c r="A13066" s="1"/>
      <c r="B13066" s="1" t="s">
        <v>5782</v>
      </c>
      <c r="C13066" s="1" t="s">
        <v>5783</v>
      </c>
      <c r="D13066" s="22" t="str">
        <f>HYPERLINK("https://rhld.insurance.arkansas.gov/NPILookup?Npi=1134365281","1134365281")</f>
        <v>1134365281</v>
      </c>
      <c r="E13066" s="1" t="s">
        <v>11508</v>
      </c>
      <c r="F13066" s="2"/>
      <c r="G13066" s="2"/>
      <c r="H13066" s="2"/>
    </row>
    <row r="13067" spans="1:8" x14ac:dyDescent="0.25">
      <c r="A13067" s="1"/>
      <c r="B13067" s="1" t="s">
        <v>5782</v>
      </c>
      <c r="C13067" s="1" t="s">
        <v>5783</v>
      </c>
      <c r="D13067" s="22" t="str">
        <f>HYPERLINK("https://rhld.insurance.arkansas.gov/NPILookup?Npi=1134370125","1134370125")</f>
        <v>1134370125</v>
      </c>
      <c r="E13067" s="1" t="s">
        <v>12240</v>
      </c>
      <c r="F13067" s="2"/>
      <c r="G13067" s="2"/>
      <c r="H13067" s="2"/>
    </row>
    <row r="13068" spans="1:8" x14ac:dyDescent="0.25">
      <c r="A13068" s="1"/>
      <c r="B13068" s="1" t="s">
        <v>5782</v>
      </c>
      <c r="C13068" s="1" t="s">
        <v>5783</v>
      </c>
      <c r="D13068" s="22" t="str">
        <f>HYPERLINK("https://rhld.insurance.arkansas.gov/NPILookup?Npi=1134372147","1134372147")</f>
        <v>1134372147</v>
      </c>
      <c r="E13068" s="1" t="s">
        <v>383</v>
      </c>
      <c r="F13068" s="2"/>
      <c r="G13068" s="2"/>
      <c r="H13068" s="2"/>
    </row>
    <row r="13069" spans="1:8" x14ac:dyDescent="0.25">
      <c r="A13069" s="1"/>
      <c r="B13069" s="1" t="s">
        <v>5782</v>
      </c>
      <c r="C13069" s="1" t="s">
        <v>5783</v>
      </c>
      <c r="D13069" s="22" t="str">
        <f>HYPERLINK("https://rhld.insurance.arkansas.gov/NPILookup?Npi=1134377013","1134377013")</f>
        <v>1134377013</v>
      </c>
      <c r="E13069" s="1" t="s">
        <v>21273</v>
      </c>
      <c r="F13069" s="2"/>
      <c r="G13069" s="2"/>
      <c r="H13069" s="2"/>
    </row>
    <row r="13070" spans="1:8" x14ac:dyDescent="0.25">
      <c r="A13070" s="1"/>
      <c r="B13070" s="1" t="s">
        <v>5782</v>
      </c>
      <c r="C13070" s="1" t="s">
        <v>5783</v>
      </c>
      <c r="D13070" s="22" t="str">
        <f>HYPERLINK("https://rhld.insurance.arkansas.gov/NPILookup?Npi=1134377583","1134377583")</f>
        <v>1134377583</v>
      </c>
      <c r="E13070" s="1" t="s">
        <v>21274</v>
      </c>
      <c r="F13070" s="2"/>
      <c r="G13070" s="2"/>
      <c r="H13070" s="2"/>
    </row>
    <row r="13071" spans="1:8" x14ac:dyDescent="0.25">
      <c r="A13071" s="1"/>
      <c r="B13071" s="1" t="s">
        <v>5782</v>
      </c>
      <c r="C13071" s="1" t="s">
        <v>5783</v>
      </c>
      <c r="D13071" s="22" t="str">
        <f>HYPERLINK("https://rhld.insurance.arkansas.gov/NPILookup?Npi=1134396807","1134396807")</f>
        <v>1134396807</v>
      </c>
      <c r="E13071" s="1" t="s">
        <v>21275</v>
      </c>
      <c r="F13071" s="2"/>
      <c r="G13071" s="2"/>
      <c r="H13071" s="2"/>
    </row>
    <row r="13072" spans="1:8" x14ac:dyDescent="0.25">
      <c r="A13072" s="1"/>
      <c r="B13072" s="1" t="s">
        <v>5782</v>
      </c>
      <c r="C13072" s="1" t="s">
        <v>5783</v>
      </c>
      <c r="D13072" s="22" t="str">
        <f>HYPERLINK("https://rhld.insurance.arkansas.gov/NPILookup?Npi=1134402613","1134402613")</f>
        <v>1134402613</v>
      </c>
      <c r="E13072" s="1" t="s">
        <v>21276</v>
      </c>
      <c r="F13072" s="2"/>
      <c r="G13072" s="2"/>
      <c r="H13072" s="2"/>
    </row>
    <row r="13073" spans="1:8" x14ac:dyDescent="0.25">
      <c r="A13073" s="1"/>
      <c r="B13073" s="1" t="s">
        <v>5782</v>
      </c>
      <c r="C13073" s="1" t="s">
        <v>5783</v>
      </c>
      <c r="D13073" s="22" t="str">
        <f>HYPERLINK("https://rhld.insurance.arkansas.gov/NPILookup?Npi=1134405806","1134405806")</f>
        <v>1134405806</v>
      </c>
      <c r="E13073" s="1" t="s">
        <v>778</v>
      </c>
      <c r="F13073" s="2"/>
      <c r="G13073" s="2"/>
      <c r="H13073" s="2"/>
    </row>
    <row r="13074" spans="1:8" x14ac:dyDescent="0.25">
      <c r="A13074" s="1"/>
      <c r="B13074" s="1" t="s">
        <v>5782</v>
      </c>
      <c r="C13074" s="1" t="s">
        <v>5783</v>
      </c>
      <c r="D13074" s="22" t="str">
        <f>HYPERLINK("https://rhld.insurance.arkansas.gov/NPILookup?Npi=1134408636","1134408636")</f>
        <v>1134408636</v>
      </c>
      <c r="E13074" s="1" t="s">
        <v>3207</v>
      </c>
      <c r="F13074" s="2"/>
      <c r="G13074" s="2"/>
      <c r="H13074" s="2"/>
    </row>
    <row r="13075" spans="1:8" x14ac:dyDescent="0.25">
      <c r="A13075" s="1"/>
      <c r="B13075" s="1" t="s">
        <v>5782</v>
      </c>
      <c r="C13075" s="1" t="s">
        <v>5783</v>
      </c>
      <c r="D13075" s="22" t="str">
        <f>HYPERLINK("https://rhld.insurance.arkansas.gov/NPILookup?Npi=1134410467","1134410467")</f>
        <v>1134410467</v>
      </c>
      <c r="E13075" s="1" t="s">
        <v>5951</v>
      </c>
      <c r="F13075" s="2"/>
      <c r="G13075" s="2"/>
      <c r="H13075" s="2"/>
    </row>
    <row r="13076" spans="1:8" x14ac:dyDescent="0.25">
      <c r="A13076" s="1"/>
      <c r="B13076" s="1" t="s">
        <v>5782</v>
      </c>
      <c r="C13076" s="1" t="s">
        <v>5783</v>
      </c>
      <c r="D13076" s="22" t="str">
        <f>HYPERLINK("https://rhld.insurance.arkansas.gov/NPILookup?Npi=1134411036","1134411036")</f>
        <v>1134411036</v>
      </c>
      <c r="E13076" s="1" t="s">
        <v>12154</v>
      </c>
      <c r="F13076" s="2"/>
      <c r="G13076" s="2"/>
      <c r="H13076" s="2"/>
    </row>
    <row r="13077" spans="1:8" x14ac:dyDescent="0.25">
      <c r="A13077" s="1"/>
      <c r="B13077" s="1" t="s">
        <v>5782</v>
      </c>
      <c r="C13077" s="1" t="s">
        <v>5783</v>
      </c>
      <c r="D13077" s="22" t="str">
        <f>HYPERLINK("https://rhld.insurance.arkansas.gov/NPILookup?Npi=1134415367","1134415367")</f>
        <v>1134415367</v>
      </c>
      <c r="E13077" s="1" t="s">
        <v>21277</v>
      </c>
      <c r="F13077" s="2"/>
      <c r="G13077" s="2"/>
      <c r="H13077" s="2"/>
    </row>
    <row r="13078" spans="1:8" x14ac:dyDescent="0.25">
      <c r="A13078" s="1"/>
      <c r="B13078" s="1" t="s">
        <v>5782</v>
      </c>
      <c r="C13078" s="1" t="s">
        <v>5783</v>
      </c>
      <c r="D13078" s="22" t="str">
        <f>HYPERLINK("https://rhld.insurance.arkansas.gov/NPILookup?Npi=1134432602","1134432602")</f>
        <v>1134432602</v>
      </c>
      <c r="E13078" s="1" t="s">
        <v>3195</v>
      </c>
      <c r="F13078" s="2"/>
      <c r="G13078" s="2"/>
      <c r="H13078" s="2"/>
    </row>
    <row r="13079" spans="1:8" x14ac:dyDescent="0.25">
      <c r="A13079" s="1"/>
      <c r="B13079" s="1" t="s">
        <v>5782</v>
      </c>
      <c r="C13079" s="1" t="s">
        <v>5783</v>
      </c>
      <c r="D13079" s="22" t="str">
        <f>HYPERLINK("https://rhld.insurance.arkansas.gov/NPILookup?Npi=1134437676","1134437676")</f>
        <v>1134437676</v>
      </c>
      <c r="E13079" s="1" t="s">
        <v>21278</v>
      </c>
      <c r="F13079" s="2"/>
      <c r="G13079" s="2"/>
      <c r="H13079" s="2"/>
    </row>
    <row r="13080" spans="1:8" x14ac:dyDescent="0.25">
      <c r="A13080" s="1"/>
      <c r="B13080" s="1" t="s">
        <v>5782</v>
      </c>
      <c r="C13080" s="1" t="s">
        <v>5783</v>
      </c>
      <c r="D13080" s="22" t="str">
        <f>HYPERLINK("https://rhld.insurance.arkansas.gov/NPILookup?Npi=1134442015","1134442015")</f>
        <v>1134442015</v>
      </c>
      <c r="E13080" s="1" t="s">
        <v>21279</v>
      </c>
      <c r="F13080" s="2"/>
      <c r="G13080" s="2"/>
      <c r="H13080" s="2"/>
    </row>
    <row r="13081" spans="1:8" x14ac:dyDescent="0.25">
      <c r="A13081" s="1"/>
      <c r="B13081" s="1" t="s">
        <v>5782</v>
      </c>
      <c r="C13081" s="1" t="s">
        <v>5783</v>
      </c>
      <c r="D13081" s="22" t="str">
        <f>HYPERLINK("https://rhld.insurance.arkansas.gov/NPILookup?Npi=1134448582","1134448582")</f>
        <v>1134448582</v>
      </c>
      <c r="E13081" s="1" t="s">
        <v>21280</v>
      </c>
      <c r="F13081" s="2"/>
      <c r="G13081" s="2"/>
      <c r="H13081" s="2"/>
    </row>
    <row r="13082" spans="1:8" x14ac:dyDescent="0.25">
      <c r="A13082" s="1"/>
      <c r="B13082" s="1" t="s">
        <v>5782</v>
      </c>
      <c r="C13082" s="1" t="s">
        <v>5783</v>
      </c>
      <c r="D13082" s="22" t="str">
        <f>HYPERLINK("https://rhld.insurance.arkansas.gov/NPILookup?Npi=1134452071","1134452071")</f>
        <v>1134452071</v>
      </c>
      <c r="E13082" s="1" t="s">
        <v>11509</v>
      </c>
      <c r="F13082" s="2"/>
      <c r="G13082" s="2"/>
      <c r="H13082" s="2"/>
    </row>
    <row r="13083" spans="1:8" x14ac:dyDescent="0.25">
      <c r="A13083" s="1"/>
      <c r="B13083" s="1" t="s">
        <v>5782</v>
      </c>
      <c r="C13083" s="1" t="s">
        <v>5783</v>
      </c>
      <c r="D13083" s="22" t="str">
        <f>HYPERLINK("https://rhld.insurance.arkansas.gov/NPILookup?Npi=1134459555","1134459555")</f>
        <v>1134459555</v>
      </c>
      <c r="E13083" s="1" t="s">
        <v>5952</v>
      </c>
      <c r="F13083" s="2"/>
      <c r="G13083" s="2"/>
      <c r="H13083" s="2"/>
    </row>
    <row r="13084" spans="1:8" x14ac:dyDescent="0.25">
      <c r="A13084" s="1"/>
      <c r="B13084" s="1" t="s">
        <v>5782</v>
      </c>
      <c r="C13084" s="1" t="s">
        <v>5783</v>
      </c>
      <c r="D13084" s="22" t="str">
        <f>HYPERLINK("https://rhld.insurance.arkansas.gov/NPILookup?Npi=1134468051","1134468051")</f>
        <v>1134468051</v>
      </c>
      <c r="E13084" s="1" t="s">
        <v>2151</v>
      </c>
      <c r="F13084" s="2"/>
      <c r="G13084" s="2"/>
      <c r="H13084" s="2"/>
    </row>
    <row r="13085" spans="1:8" x14ac:dyDescent="0.25">
      <c r="A13085" s="1"/>
      <c r="B13085" s="1" t="s">
        <v>5782</v>
      </c>
      <c r="C13085" s="1" t="s">
        <v>5783</v>
      </c>
      <c r="D13085" s="22" t="str">
        <f>HYPERLINK("https://rhld.insurance.arkansas.gov/NPILookup?Npi=1134468895","1134468895")</f>
        <v>1134468895</v>
      </c>
      <c r="E13085" s="1" t="s">
        <v>21281</v>
      </c>
      <c r="F13085" s="2"/>
      <c r="G13085" s="2"/>
      <c r="H13085" s="2"/>
    </row>
    <row r="13086" spans="1:8" x14ac:dyDescent="0.25">
      <c r="A13086" s="1"/>
      <c r="B13086" s="1" t="s">
        <v>5782</v>
      </c>
      <c r="C13086" s="1" t="s">
        <v>5783</v>
      </c>
      <c r="D13086" s="22" t="str">
        <f>HYPERLINK("https://rhld.insurance.arkansas.gov/NPILookup?Npi=1134477003","1134477003")</f>
        <v>1134477003</v>
      </c>
      <c r="E13086" s="1" t="s">
        <v>1053</v>
      </c>
      <c r="F13086" s="2"/>
      <c r="G13086" s="2"/>
      <c r="H13086" s="2"/>
    </row>
    <row r="13087" spans="1:8" x14ac:dyDescent="0.25">
      <c r="A13087" s="1"/>
      <c r="B13087" s="1" t="s">
        <v>5782</v>
      </c>
      <c r="C13087" s="1" t="s">
        <v>5783</v>
      </c>
      <c r="D13087" s="22" t="str">
        <f>HYPERLINK("https://rhld.insurance.arkansas.gov/NPILookup?Npi=1134504947","1134504947")</f>
        <v>1134504947</v>
      </c>
      <c r="E13087" s="1" t="s">
        <v>12021</v>
      </c>
      <c r="F13087" s="2"/>
      <c r="G13087" s="2"/>
      <c r="H13087" s="2"/>
    </row>
    <row r="13088" spans="1:8" x14ac:dyDescent="0.25">
      <c r="A13088" s="1"/>
      <c r="B13088" s="1" t="s">
        <v>5782</v>
      </c>
      <c r="C13088" s="1" t="s">
        <v>5783</v>
      </c>
      <c r="D13088" s="22" t="str">
        <f>HYPERLINK("https://rhld.insurance.arkansas.gov/NPILookup?Npi=1134529241","1134529241")</f>
        <v>1134529241</v>
      </c>
      <c r="E13088" s="1" t="s">
        <v>21282</v>
      </c>
      <c r="F13088" s="2"/>
      <c r="G13088" s="2"/>
      <c r="H13088" s="2"/>
    </row>
    <row r="13089" spans="1:8" x14ac:dyDescent="0.25">
      <c r="A13089" s="1"/>
      <c r="B13089" s="1" t="s">
        <v>5782</v>
      </c>
      <c r="C13089" s="1" t="s">
        <v>5783</v>
      </c>
      <c r="D13089" s="22" t="str">
        <f>HYPERLINK("https://rhld.insurance.arkansas.gov/NPILookup?Npi=1134543531","1134543531")</f>
        <v>1134543531</v>
      </c>
      <c r="E13089" s="1" t="s">
        <v>3196</v>
      </c>
      <c r="F13089" s="2"/>
      <c r="G13089" s="2"/>
      <c r="H13089" s="2"/>
    </row>
    <row r="13090" spans="1:8" x14ac:dyDescent="0.25">
      <c r="A13090" s="1"/>
      <c r="B13090" s="1" t="s">
        <v>5782</v>
      </c>
      <c r="C13090" s="1" t="s">
        <v>5783</v>
      </c>
      <c r="D13090" s="22" t="str">
        <f>HYPERLINK("https://rhld.insurance.arkansas.gov/NPILookup?Npi=1134561004","1134561004")</f>
        <v>1134561004</v>
      </c>
      <c r="E13090" s="1" t="s">
        <v>11510</v>
      </c>
      <c r="F13090" s="2"/>
      <c r="G13090" s="2"/>
      <c r="H13090" s="2"/>
    </row>
    <row r="13091" spans="1:8" x14ac:dyDescent="0.25">
      <c r="A13091" s="1"/>
      <c r="B13091" s="1" t="s">
        <v>5782</v>
      </c>
      <c r="C13091" s="1" t="s">
        <v>5783</v>
      </c>
      <c r="D13091" s="22" t="str">
        <f>HYPERLINK("https://rhld.insurance.arkansas.gov/NPILookup?Npi=1134583834","1134583834")</f>
        <v>1134583834</v>
      </c>
      <c r="E13091" s="1" t="s">
        <v>5953</v>
      </c>
      <c r="F13091" s="2"/>
      <c r="G13091" s="2"/>
      <c r="H13091" s="2"/>
    </row>
    <row r="13092" spans="1:8" x14ac:dyDescent="0.25">
      <c r="A13092" s="1"/>
      <c r="B13092" s="1" t="s">
        <v>5782</v>
      </c>
      <c r="C13092" s="1" t="s">
        <v>5783</v>
      </c>
      <c r="D13092" s="22" t="str">
        <f>HYPERLINK("https://rhld.insurance.arkansas.gov/NPILookup?Npi=1134584196","1134584196")</f>
        <v>1134584196</v>
      </c>
      <c r="E13092" s="1" t="s">
        <v>21283</v>
      </c>
      <c r="F13092" s="2"/>
      <c r="G13092" s="2"/>
      <c r="H13092" s="2"/>
    </row>
    <row r="13093" spans="1:8" x14ac:dyDescent="0.25">
      <c r="A13093" s="1"/>
      <c r="B13093" s="1" t="s">
        <v>5782</v>
      </c>
      <c r="C13093" s="1" t="s">
        <v>5783</v>
      </c>
      <c r="D13093" s="22" t="str">
        <f>HYPERLINK("https://rhld.insurance.arkansas.gov/NPILookup?Npi=1134587470","1134587470")</f>
        <v>1134587470</v>
      </c>
      <c r="E13093" s="1" t="s">
        <v>5954</v>
      </c>
      <c r="F13093" s="2"/>
      <c r="G13093" s="2"/>
      <c r="H13093" s="2"/>
    </row>
    <row r="13094" spans="1:8" x14ac:dyDescent="0.25">
      <c r="A13094" s="1"/>
      <c r="B13094" s="1" t="s">
        <v>5782</v>
      </c>
      <c r="C13094" s="1" t="s">
        <v>5783</v>
      </c>
      <c r="D13094" s="22" t="str">
        <f>HYPERLINK("https://rhld.insurance.arkansas.gov/NPILookup?Npi=1134588452","1134588452")</f>
        <v>1134588452</v>
      </c>
      <c r="E13094" s="1" t="s">
        <v>21284</v>
      </c>
      <c r="F13094" s="2"/>
      <c r="G13094" s="2"/>
      <c r="H13094" s="2"/>
    </row>
    <row r="13095" spans="1:8" x14ac:dyDescent="0.25">
      <c r="A13095" s="1"/>
      <c r="B13095" s="1" t="s">
        <v>5782</v>
      </c>
      <c r="C13095" s="1" t="s">
        <v>5783</v>
      </c>
      <c r="D13095" s="22" t="str">
        <f>HYPERLINK("https://rhld.insurance.arkansas.gov/NPILookup?Npi=1134603236","1134603236")</f>
        <v>1134603236</v>
      </c>
      <c r="E13095" s="1" t="s">
        <v>873</v>
      </c>
      <c r="F13095" s="2"/>
      <c r="G13095" s="2"/>
      <c r="H13095" s="2"/>
    </row>
    <row r="13096" spans="1:8" x14ac:dyDescent="0.25">
      <c r="A13096" s="1"/>
      <c r="B13096" s="1" t="s">
        <v>5782</v>
      </c>
      <c r="C13096" s="1" t="s">
        <v>5783</v>
      </c>
      <c r="D13096" s="22" t="str">
        <f>HYPERLINK("https://rhld.insurance.arkansas.gov/NPILookup?Npi=1134604010","1134604010")</f>
        <v>1134604010</v>
      </c>
      <c r="E13096" s="1" t="s">
        <v>5955</v>
      </c>
      <c r="F13096" s="2"/>
      <c r="G13096" s="2"/>
      <c r="H13096" s="2"/>
    </row>
    <row r="13097" spans="1:8" x14ac:dyDescent="0.25">
      <c r="A13097" s="1"/>
      <c r="B13097" s="1" t="s">
        <v>5782</v>
      </c>
      <c r="C13097" s="1" t="s">
        <v>5783</v>
      </c>
      <c r="D13097" s="22" t="str">
        <f>HYPERLINK("https://rhld.insurance.arkansas.gov/NPILookup?Npi=1134608698","1134608698")</f>
        <v>1134608698</v>
      </c>
      <c r="E13097" s="1" t="s">
        <v>21285</v>
      </c>
      <c r="F13097" s="2"/>
      <c r="G13097" s="2"/>
      <c r="H13097" s="2"/>
    </row>
    <row r="13098" spans="1:8" x14ac:dyDescent="0.25">
      <c r="A13098" s="1"/>
      <c r="B13098" s="1" t="s">
        <v>5782</v>
      </c>
      <c r="C13098" s="1" t="s">
        <v>5783</v>
      </c>
      <c r="D13098" s="22" t="str">
        <f>HYPERLINK("https://rhld.insurance.arkansas.gov/NPILookup?Npi=1134618671","1134618671")</f>
        <v>1134618671</v>
      </c>
      <c r="E13098" s="1" t="s">
        <v>21286</v>
      </c>
      <c r="F13098" s="2"/>
      <c r="G13098" s="2"/>
      <c r="H13098" s="2"/>
    </row>
    <row r="13099" spans="1:8" x14ac:dyDescent="0.25">
      <c r="A13099" s="1"/>
      <c r="B13099" s="1" t="s">
        <v>5782</v>
      </c>
      <c r="C13099" s="1" t="s">
        <v>5783</v>
      </c>
      <c r="D13099" s="22" t="str">
        <f>HYPERLINK("https://rhld.insurance.arkansas.gov/NPILookup?Npi=1134624521","1134624521")</f>
        <v>1134624521</v>
      </c>
      <c r="E13099" s="1" t="s">
        <v>21287</v>
      </c>
      <c r="F13099" s="2"/>
      <c r="G13099" s="2"/>
      <c r="H13099" s="2"/>
    </row>
    <row r="13100" spans="1:8" x14ac:dyDescent="0.25">
      <c r="A13100" s="1"/>
      <c r="B13100" s="1" t="s">
        <v>5782</v>
      </c>
      <c r="C13100" s="1" t="s">
        <v>5783</v>
      </c>
      <c r="D13100" s="22" t="str">
        <f>HYPERLINK("https://rhld.insurance.arkansas.gov/NPILookup?Npi=1134627961","1134627961")</f>
        <v>1134627961</v>
      </c>
      <c r="E13100" s="1" t="s">
        <v>5956</v>
      </c>
      <c r="F13100" s="2"/>
      <c r="G13100" s="2"/>
      <c r="H13100" s="2"/>
    </row>
    <row r="13101" spans="1:8" x14ac:dyDescent="0.25">
      <c r="A13101" s="1"/>
      <c r="B13101" s="1" t="s">
        <v>5782</v>
      </c>
      <c r="C13101" s="1" t="s">
        <v>5783</v>
      </c>
      <c r="D13101" s="22" t="str">
        <f>HYPERLINK("https://rhld.insurance.arkansas.gov/NPILookup?Npi=1134639875","1134639875")</f>
        <v>1134639875</v>
      </c>
      <c r="E13101" s="1" t="s">
        <v>21288</v>
      </c>
      <c r="F13101" s="2"/>
      <c r="G13101" s="2"/>
      <c r="H13101" s="2"/>
    </row>
    <row r="13102" spans="1:8" x14ac:dyDescent="0.25">
      <c r="A13102" s="1"/>
      <c r="B13102" s="1" t="s">
        <v>5782</v>
      </c>
      <c r="C13102" s="1" t="s">
        <v>5783</v>
      </c>
      <c r="D13102" s="22" t="str">
        <f>HYPERLINK("https://rhld.insurance.arkansas.gov/NPILookup?Npi=1134643174","1134643174")</f>
        <v>1134643174</v>
      </c>
      <c r="E13102" s="1" t="s">
        <v>3434</v>
      </c>
      <c r="F13102" s="2"/>
      <c r="G13102" s="2"/>
      <c r="H13102" s="2"/>
    </row>
    <row r="13103" spans="1:8" x14ac:dyDescent="0.25">
      <c r="A13103" s="1"/>
      <c r="B13103" s="1" t="s">
        <v>5782</v>
      </c>
      <c r="C13103" s="1" t="s">
        <v>5783</v>
      </c>
      <c r="D13103" s="22" t="str">
        <f>HYPERLINK("https://rhld.insurance.arkansas.gov/NPILookup?Npi=1134659014","1134659014")</f>
        <v>1134659014</v>
      </c>
      <c r="E13103" s="1" t="s">
        <v>21289</v>
      </c>
      <c r="F13103" s="2"/>
      <c r="G13103" s="2"/>
      <c r="H13103" s="2"/>
    </row>
    <row r="13104" spans="1:8" x14ac:dyDescent="0.25">
      <c r="A13104" s="1"/>
      <c r="B13104" s="1" t="s">
        <v>5782</v>
      </c>
      <c r="C13104" s="1" t="s">
        <v>5783</v>
      </c>
      <c r="D13104" s="22" t="str">
        <f>HYPERLINK("https://rhld.insurance.arkansas.gov/NPILookup?Npi=1134666472","1134666472")</f>
        <v>1134666472</v>
      </c>
      <c r="E13104" s="1" t="s">
        <v>21290</v>
      </c>
      <c r="F13104" s="2"/>
      <c r="G13104" s="2"/>
      <c r="H13104" s="2"/>
    </row>
    <row r="13105" spans="1:8" x14ac:dyDescent="0.25">
      <c r="A13105" s="1"/>
      <c r="B13105" s="1" t="s">
        <v>5782</v>
      </c>
      <c r="C13105" s="1" t="s">
        <v>5783</v>
      </c>
      <c r="D13105" s="22" t="str">
        <f>HYPERLINK("https://rhld.insurance.arkansas.gov/NPILookup?Npi=1134674906","1134674906")</f>
        <v>1134674906</v>
      </c>
      <c r="E13105" s="1" t="s">
        <v>21291</v>
      </c>
      <c r="F13105" s="2"/>
      <c r="G13105" s="2"/>
      <c r="H13105" s="2"/>
    </row>
    <row r="13106" spans="1:8" x14ac:dyDescent="0.25">
      <c r="A13106" s="1"/>
      <c r="B13106" s="1" t="s">
        <v>5782</v>
      </c>
      <c r="C13106" s="1" t="s">
        <v>5783</v>
      </c>
      <c r="D13106" s="22" t="str">
        <f>HYPERLINK("https://rhld.insurance.arkansas.gov/NPILookup?Npi=1134695950","1134695950")</f>
        <v>1134695950</v>
      </c>
      <c r="E13106" s="1" t="s">
        <v>5958</v>
      </c>
      <c r="F13106" s="2"/>
      <c r="G13106" s="2"/>
      <c r="H13106" s="2"/>
    </row>
    <row r="13107" spans="1:8" x14ac:dyDescent="0.25">
      <c r="A13107" s="1"/>
      <c r="B13107" s="1" t="s">
        <v>5782</v>
      </c>
      <c r="C13107" s="1" t="s">
        <v>5783</v>
      </c>
      <c r="D13107" s="22" t="str">
        <f>HYPERLINK("https://rhld.insurance.arkansas.gov/NPILookup?Npi=1134696164","1134696164")</f>
        <v>1134696164</v>
      </c>
      <c r="E13107" s="1" t="s">
        <v>5959</v>
      </c>
      <c r="F13107" s="2"/>
      <c r="G13107" s="2"/>
      <c r="H13107" s="2"/>
    </row>
    <row r="13108" spans="1:8" x14ac:dyDescent="0.25">
      <c r="A13108" s="1"/>
      <c r="B13108" s="1" t="s">
        <v>5782</v>
      </c>
      <c r="C13108" s="1" t="s">
        <v>5783</v>
      </c>
      <c r="D13108" s="22" t="str">
        <f>HYPERLINK("https://rhld.insurance.arkansas.gov/NPILookup?Npi=1134697790","1134697790")</f>
        <v>1134697790</v>
      </c>
      <c r="E13108" s="1" t="s">
        <v>21292</v>
      </c>
      <c r="F13108" s="2"/>
      <c r="G13108" s="2"/>
      <c r="H13108" s="2"/>
    </row>
    <row r="13109" spans="1:8" x14ac:dyDescent="0.25">
      <c r="A13109" s="1"/>
      <c r="B13109" s="1" t="s">
        <v>5782</v>
      </c>
      <c r="C13109" s="1" t="s">
        <v>5783</v>
      </c>
      <c r="D13109" s="22" t="str">
        <f>HYPERLINK("https://rhld.insurance.arkansas.gov/NPILookup?Npi=1134701063","1134701063")</f>
        <v>1134701063</v>
      </c>
      <c r="E13109" s="1" t="s">
        <v>11511</v>
      </c>
      <c r="F13109" s="2"/>
      <c r="G13109" s="2"/>
      <c r="H13109" s="2"/>
    </row>
    <row r="13110" spans="1:8" x14ac:dyDescent="0.25">
      <c r="A13110" s="1"/>
      <c r="B13110" s="1" t="s">
        <v>5782</v>
      </c>
      <c r="C13110" s="1" t="s">
        <v>5783</v>
      </c>
      <c r="D13110" s="22" t="str">
        <f>HYPERLINK("https://rhld.insurance.arkansas.gov/NPILookup?Npi=1134702491","1134702491")</f>
        <v>1134702491</v>
      </c>
      <c r="E13110" s="1" t="s">
        <v>11512</v>
      </c>
      <c r="F13110" s="2"/>
      <c r="G13110" s="2"/>
      <c r="H13110" s="2"/>
    </row>
    <row r="13111" spans="1:8" x14ac:dyDescent="0.25">
      <c r="A13111" s="1"/>
      <c r="B13111" s="1" t="s">
        <v>5782</v>
      </c>
      <c r="C13111" s="1" t="s">
        <v>5783</v>
      </c>
      <c r="D13111" s="22" t="str">
        <f>HYPERLINK("https://rhld.insurance.arkansas.gov/NPILookup?Npi=1134718968","1134718968")</f>
        <v>1134718968</v>
      </c>
      <c r="E13111" s="1" t="s">
        <v>21293</v>
      </c>
      <c r="F13111" s="2"/>
      <c r="G13111" s="2"/>
      <c r="H13111" s="2"/>
    </row>
    <row r="13112" spans="1:8" x14ac:dyDescent="0.25">
      <c r="A13112" s="1"/>
      <c r="B13112" s="1" t="s">
        <v>5782</v>
      </c>
      <c r="C13112" s="1" t="s">
        <v>5783</v>
      </c>
      <c r="D13112" s="22" t="str">
        <f>HYPERLINK("https://rhld.insurance.arkansas.gov/NPILookup?Npi=1134725302","1134725302")</f>
        <v>1134725302</v>
      </c>
      <c r="E13112" s="1" t="s">
        <v>21294</v>
      </c>
      <c r="F13112" s="2"/>
      <c r="G13112" s="2"/>
      <c r="H13112" s="2"/>
    </row>
    <row r="13113" spans="1:8" x14ac:dyDescent="0.25">
      <c r="A13113" s="1"/>
      <c r="B13113" s="1" t="s">
        <v>5782</v>
      </c>
      <c r="C13113" s="1" t="s">
        <v>5783</v>
      </c>
      <c r="D13113" s="22" t="str">
        <f>HYPERLINK("https://rhld.insurance.arkansas.gov/NPILookup?Npi=1134732696","1134732696")</f>
        <v>1134732696</v>
      </c>
      <c r="E13113" s="1" t="s">
        <v>5960</v>
      </c>
      <c r="F13113" s="2"/>
      <c r="G13113" s="2"/>
      <c r="H13113" s="2"/>
    </row>
    <row r="13114" spans="1:8" x14ac:dyDescent="0.25">
      <c r="A13114" s="1"/>
      <c r="B13114" s="1" t="s">
        <v>5782</v>
      </c>
      <c r="C13114" s="1" t="s">
        <v>5783</v>
      </c>
      <c r="D13114" s="22" t="str">
        <f>HYPERLINK("https://rhld.insurance.arkansas.gov/NPILookup?Npi=1134734494","1134734494")</f>
        <v>1134734494</v>
      </c>
      <c r="E13114" s="1" t="s">
        <v>11513</v>
      </c>
      <c r="F13114" s="2"/>
      <c r="G13114" s="2"/>
      <c r="H13114" s="2"/>
    </row>
    <row r="13115" spans="1:8" x14ac:dyDescent="0.25">
      <c r="A13115" s="1"/>
      <c r="B13115" s="1" t="s">
        <v>5782</v>
      </c>
      <c r="C13115" s="1" t="s">
        <v>5783</v>
      </c>
      <c r="D13115" s="22" t="str">
        <f>HYPERLINK("https://rhld.insurance.arkansas.gov/NPILookup?Npi=1134772999","1134772999")</f>
        <v>1134772999</v>
      </c>
      <c r="E13115" s="1" t="s">
        <v>427</v>
      </c>
      <c r="F13115" s="2"/>
      <c r="G13115" s="2"/>
      <c r="H13115" s="2"/>
    </row>
    <row r="13116" spans="1:8" x14ac:dyDescent="0.25">
      <c r="A13116" s="1"/>
      <c r="B13116" s="1" t="s">
        <v>5782</v>
      </c>
      <c r="C13116" s="1" t="s">
        <v>5783</v>
      </c>
      <c r="D13116" s="22" t="str">
        <f>HYPERLINK("https://rhld.insurance.arkansas.gov/NPILookup?Npi=1134831456","1134831456")</f>
        <v>1134831456</v>
      </c>
      <c r="E13116" s="1" t="s">
        <v>11514</v>
      </c>
      <c r="F13116" s="2"/>
      <c r="G13116" s="2"/>
      <c r="H13116" s="2"/>
    </row>
    <row r="13117" spans="1:8" x14ac:dyDescent="0.25">
      <c r="A13117" s="1"/>
      <c r="B13117" s="1" t="s">
        <v>5782</v>
      </c>
      <c r="C13117" s="1" t="s">
        <v>5783</v>
      </c>
      <c r="D13117" s="22" t="str">
        <f>HYPERLINK("https://rhld.insurance.arkansas.gov/NPILookup?Npi=1134839673","1134839673")</f>
        <v>1134839673</v>
      </c>
      <c r="E13117" s="1" t="s">
        <v>5961</v>
      </c>
      <c r="F13117" s="2"/>
      <c r="G13117" s="2"/>
      <c r="H13117" s="2"/>
    </row>
    <row r="13118" spans="1:8" x14ac:dyDescent="0.25">
      <c r="A13118" s="1"/>
      <c r="B13118" s="1" t="s">
        <v>5782</v>
      </c>
      <c r="C13118" s="1" t="s">
        <v>5783</v>
      </c>
      <c r="D13118" s="22" t="str">
        <f>HYPERLINK("https://rhld.insurance.arkansas.gov/NPILookup?Npi=1134841380","1134841380")</f>
        <v>1134841380</v>
      </c>
      <c r="E13118" s="1" t="s">
        <v>5962</v>
      </c>
      <c r="F13118" s="2"/>
      <c r="G13118" s="2"/>
      <c r="H13118" s="2"/>
    </row>
    <row r="13119" spans="1:8" x14ac:dyDescent="0.25">
      <c r="A13119" s="1"/>
      <c r="B13119" s="1" t="s">
        <v>5782</v>
      </c>
      <c r="C13119" s="1" t="s">
        <v>5783</v>
      </c>
      <c r="D13119" s="22" t="str">
        <f>HYPERLINK("https://rhld.insurance.arkansas.gov/NPILookup?Npi=1134852817","1134852817")</f>
        <v>1134852817</v>
      </c>
      <c r="E13119" s="1" t="s">
        <v>21295</v>
      </c>
      <c r="F13119" s="2"/>
      <c r="G13119" s="2"/>
      <c r="H13119" s="2"/>
    </row>
    <row r="13120" spans="1:8" x14ac:dyDescent="0.25">
      <c r="A13120" s="1"/>
      <c r="B13120" s="1" t="s">
        <v>5782</v>
      </c>
      <c r="C13120" s="1" t="s">
        <v>5783</v>
      </c>
      <c r="D13120" s="22" t="str">
        <f>HYPERLINK("https://rhld.insurance.arkansas.gov/NPILookup?Npi=1134860257","1134860257")</f>
        <v>1134860257</v>
      </c>
      <c r="E13120" s="1" t="s">
        <v>21296</v>
      </c>
      <c r="F13120" s="2"/>
      <c r="G13120" s="2"/>
      <c r="H13120" s="2"/>
    </row>
    <row r="13121" spans="1:8" x14ac:dyDescent="0.25">
      <c r="A13121" s="1"/>
      <c r="B13121" s="1" t="s">
        <v>5782</v>
      </c>
      <c r="C13121" s="1" t="s">
        <v>5783</v>
      </c>
      <c r="D13121" s="22" t="str">
        <f>HYPERLINK("https://rhld.insurance.arkansas.gov/NPILookup?Npi=1134870124","1134870124")</f>
        <v>1134870124</v>
      </c>
      <c r="E13121" s="1" t="s">
        <v>5963</v>
      </c>
      <c r="F13121" s="2"/>
      <c r="G13121" s="2"/>
      <c r="H13121" s="2"/>
    </row>
    <row r="13122" spans="1:8" x14ac:dyDescent="0.25">
      <c r="A13122" s="1"/>
      <c r="B13122" s="1" t="s">
        <v>5782</v>
      </c>
      <c r="C13122" s="1" t="s">
        <v>5783</v>
      </c>
      <c r="D13122" s="22" t="str">
        <f>HYPERLINK("https://rhld.insurance.arkansas.gov/NPILookup?Npi=1134902075","1134902075")</f>
        <v>1134902075</v>
      </c>
      <c r="E13122" s="1" t="s">
        <v>21297</v>
      </c>
      <c r="F13122" s="2"/>
      <c r="G13122" s="2"/>
      <c r="H13122" s="2"/>
    </row>
    <row r="13123" spans="1:8" x14ac:dyDescent="0.25">
      <c r="A13123" s="1"/>
      <c r="B13123" s="1" t="s">
        <v>5782</v>
      </c>
      <c r="C13123" s="1" t="s">
        <v>5783</v>
      </c>
      <c r="D13123" s="22" t="str">
        <f>HYPERLINK("https://rhld.insurance.arkansas.gov/NPILookup?Npi=1144003518","1144003518")</f>
        <v>1144003518</v>
      </c>
      <c r="E13123" s="1" t="s">
        <v>6272</v>
      </c>
      <c r="F13123" s="2"/>
      <c r="G13123" s="2"/>
      <c r="H13123" s="2"/>
    </row>
    <row r="13124" spans="1:8" x14ac:dyDescent="0.25">
      <c r="A13124" s="1"/>
      <c r="B13124" s="1" t="s">
        <v>5782</v>
      </c>
      <c r="C13124" s="1" t="s">
        <v>5783</v>
      </c>
      <c r="D13124" s="22" t="str">
        <f>HYPERLINK("https://rhld.insurance.arkansas.gov/NPILookup?Npi=1144094855","1144094855")</f>
        <v>1144094855</v>
      </c>
      <c r="E13124" s="1" t="s">
        <v>4808</v>
      </c>
      <c r="F13124" s="2"/>
      <c r="G13124" s="2"/>
      <c r="H13124" s="2"/>
    </row>
    <row r="13125" spans="1:8" x14ac:dyDescent="0.25">
      <c r="A13125" s="1"/>
      <c r="B13125" s="1" t="s">
        <v>5782</v>
      </c>
      <c r="C13125" s="1" t="s">
        <v>5783</v>
      </c>
      <c r="D13125" s="22" t="str">
        <f>HYPERLINK("https://rhld.insurance.arkansas.gov/NPILookup?Npi=1144209479","1144209479")</f>
        <v>1144209479</v>
      </c>
      <c r="E13125" s="1" t="s">
        <v>1126</v>
      </c>
      <c r="F13125" s="2"/>
      <c r="G13125" s="2"/>
      <c r="H13125" s="2"/>
    </row>
    <row r="13126" spans="1:8" x14ac:dyDescent="0.25">
      <c r="A13126" s="1"/>
      <c r="B13126" s="1" t="s">
        <v>5782</v>
      </c>
      <c r="C13126" s="1" t="s">
        <v>5783</v>
      </c>
      <c r="D13126" s="22" t="str">
        <f>HYPERLINK("https://rhld.insurance.arkansas.gov/NPILookup?Npi=1144252412","1144252412")</f>
        <v>1144252412</v>
      </c>
      <c r="E13126" s="1" t="s">
        <v>21298</v>
      </c>
      <c r="F13126" s="2"/>
      <c r="G13126" s="2"/>
      <c r="H13126" s="2"/>
    </row>
    <row r="13127" spans="1:8" x14ac:dyDescent="0.25">
      <c r="A13127" s="1"/>
      <c r="B13127" s="1" t="s">
        <v>5782</v>
      </c>
      <c r="C13127" s="1" t="s">
        <v>5783</v>
      </c>
      <c r="D13127" s="22" t="str">
        <f>HYPERLINK("https://rhld.insurance.arkansas.gov/NPILookup?Npi=1144257916","1144257916")</f>
        <v>1144257916</v>
      </c>
      <c r="E13127" s="1" t="s">
        <v>11515</v>
      </c>
      <c r="F13127" s="2"/>
      <c r="G13127" s="2"/>
      <c r="H13127" s="2"/>
    </row>
    <row r="13128" spans="1:8" x14ac:dyDescent="0.25">
      <c r="A13128" s="1"/>
      <c r="B13128" s="1" t="s">
        <v>5782</v>
      </c>
      <c r="C13128" s="1" t="s">
        <v>5783</v>
      </c>
      <c r="D13128" s="22" t="str">
        <f>HYPERLINK("https://rhld.insurance.arkansas.gov/NPILookup?Npi=1144312596","1144312596")</f>
        <v>1144312596</v>
      </c>
      <c r="E13128" s="1" t="s">
        <v>11516</v>
      </c>
      <c r="F13128" s="2"/>
      <c r="G13128" s="2"/>
      <c r="H13128" s="2"/>
    </row>
    <row r="13129" spans="1:8" x14ac:dyDescent="0.25">
      <c r="A13129" s="1"/>
      <c r="B13129" s="1" t="s">
        <v>5782</v>
      </c>
      <c r="C13129" s="1" t="s">
        <v>5783</v>
      </c>
      <c r="D13129" s="22" t="str">
        <f>HYPERLINK("https://rhld.insurance.arkansas.gov/NPILookup?Npi=1144322033","1144322033")</f>
        <v>1144322033</v>
      </c>
      <c r="E13129" s="1" t="s">
        <v>5965</v>
      </c>
      <c r="F13129" s="2"/>
      <c r="G13129" s="2"/>
      <c r="H13129" s="2"/>
    </row>
    <row r="13130" spans="1:8" x14ac:dyDescent="0.25">
      <c r="A13130" s="1"/>
      <c r="B13130" s="1" t="s">
        <v>5782</v>
      </c>
      <c r="C13130" s="1" t="s">
        <v>5783</v>
      </c>
      <c r="D13130" s="22" t="str">
        <f>HYPERLINK("https://rhld.insurance.arkansas.gov/NPILookup?Npi=1144356155","1144356155")</f>
        <v>1144356155</v>
      </c>
      <c r="E13130" s="1" t="s">
        <v>5966</v>
      </c>
      <c r="F13130" s="2"/>
      <c r="G13130" s="2"/>
      <c r="H13130" s="2"/>
    </row>
    <row r="13131" spans="1:8" x14ac:dyDescent="0.25">
      <c r="A13131" s="1"/>
      <c r="B13131" s="1" t="s">
        <v>5782</v>
      </c>
      <c r="C13131" s="1" t="s">
        <v>5783</v>
      </c>
      <c r="D13131" s="22" t="str">
        <f>HYPERLINK("https://rhld.insurance.arkansas.gov/NPILookup?Npi=1144357930","1144357930")</f>
        <v>1144357930</v>
      </c>
      <c r="E13131" s="1" t="s">
        <v>1846</v>
      </c>
      <c r="F13131" s="2"/>
      <c r="G13131" s="2"/>
      <c r="H13131" s="2"/>
    </row>
    <row r="13132" spans="1:8" x14ac:dyDescent="0.25">
      <c r="A13132" s="1"/>
      <c r="B13132" s="1" t="s">
        <v>5782</v>
      </c>
      <c r="C13132" s="1" t="s">
        <v>5783</v>
      </c>
      <c r="D13132" s="22" t="str">
        <f>HYPERLINK("https://rhld.insurance.arkansas.gov/NPILookup?Npi=1144370396","1144370396")</f>
        <v>1144370396</v>
      </c>
      <c r="E13132" s="1" t="s">
        <v>335</v>
      </c>
      <c r="F13132" s="2"/>
      <c r="G13132" s="2"/>
      <c r="H13132" s="2"/>
    </row>
    <row r="13133" spans="1:8" x14ac:dyDescent="0.25">
      <c r="A13133" s="1"/>
      <c r="B13133" s="1" t="s">
        <v>5782</v>
      </c>
      <c r="C13133" s="1" t="s">
        <v>5783</v>
      </c>
      <c r="D13133" s="22" t="str">
        <f>HYPERLINK("https://rhld.insurance.arkansas.gov/NPILookup?Npi=1144398967","1144398967")</f>
        <v>1144398967</v>
      </c>
      <c r="E13133" s="1" t="s">
        <v>21299</v>
      </c>
      <c r="F13133" s="2"/>
      <c r="G13133" s="2"/>
      <c r="H13133" s="2"/>
    </row>
    <row r="13134" spans="1:8" x14ac:dyDescent="0.25">
      <c r="A13134" s="1"/>
      <c r="B13134" s="1" t="s">
        <v>5782</v>
      </c>
      <c r="C13134" s="1" t="s">
        <v>5783</v>
      </c>
      <c r="D13134" s="22" t="str">
        <f>HYPERLINK("https://rhld.insurance.arkansas.gov/NPILookup?Npi=1144400912","1144400912")</f>
        <v>1144400912</v>
      </c>
      <c r="E13134" s="1" t="s">
        <v>336</v>
      </c>
      <c r="F13134" s="2"/>
      <c r="G13134" s="2"/>
      <c r="H13134" s="2"/>
    </row>
    <row r="13135" spans="1:8" x14ac:dyDescent="0.25">
      <c r="A13135" s="1"/>
      <c r="B13135" s="1" t="s">
        <v>5782</v>
      </c>
      <c r="C13135" s="1" t="s">
        <v>5783</v>
      </c>
      <c r="D13135" s="22" t="str">
        <f>HYPERLINK("https://rhld.insurance.arkansas.gov/NPILookup?Npi=1144417171","1144417171")</f>
        <v>1144417171</v>
      </c>
      <c r="E13135" s="1" t="s">
        <v>3198</v>
      </c>
      <c r="F13135" s="2"/>
      <c r="G13135" s="2"/>
      <c r="H13135" s="2"/>
    </row>
    <row r="13136" spans="1:8" x14ac:dyDescent="0.25">
      <c r="A13136" s="1"/>
      <c r="B13136" s="1" t="s">
        <v>5782</v>
      </c>
      <c r="C13136" s="1" t="s">
        <v>5783</v>
      </c>
      <c r="D13136" s="22" t="str">
        <f>HYPERLINK("https://rhld.insurance.arkansas.gov/NPILookup?Npi=1144434416","1144434416")</f>
        <v>1144434416</v>
      </c>
      <c r="E13136" s="1" t="s">
        <v>21301</v>
      </c>
      <c r="F13136" s="2"/>
      <c r="G13136" s="2"/>
      <c r="H13136" s="2"/>
    </row>
    <row r="13137" spans="1:8" x14ac:dyDescent="0.25">
      <c r="A13137" s="1"/>
      <c r="B13137" s="1" t="s">
        <v>5782</v>
      </c>
      <c r="C13137" s="1" t="s">
        <v>5783</v>
      </c>
      <c r="D13137" s="22" t="str">
        <f>HYPERLINK("https://rhld.insurance.arkansas.gov/NPILookup?Npi=1144438557","1144438557")</f>
        <v>1144438557</v>
      </c>
      <c r="E13137" s="1" t="s">
        <v>11450</v>
      </c>
      <c r="F13137" s="2"/>
      <c r="G13137" s="2"/>
      <c r="H13137" s="2"/>
    </row>
    <row r="13138" spans="1:8" x14ac:dyDescent="0.25">
      <c r="A13138" s="1"/>
      <c r="B13138" s="1" t="s">
        <v>5782</v>
      </c>
      <c r="C13138" s="1" t="s">
        <v>5783</v>
      </c>
      <c r="D13138" s="22" t="str">
        <f>HYPERLINK("https://rhld.insurance.arkansas.gov/NPILookup?Npi=1144459207","1144459207")</f>
        <v>1144459207</v>
      </c>
      <c r="E13138" s="1" t="s">
        <v>5967</v>
      </c>
      <c r="F13138" s="2"/>
      <c r="G13138" s="2"/>
      <c r="H13138" s="2"/>
    </row>
    <row r="13139" spans="1:8" x14ac:dyDescent="0.25">
      <c r="A13139" s="1"/>
      <c r="B13139" s="1" t="s">
        <v>5782</v>
      </c>
      <c r="C13139" s="1" t="s">
        <v>5783</v>
      </c>
      <c r="D13139" s="22" t="str">
        <f>HYPERLINK("https://rhld.insurance.arkansas.gov/NPILookup?Npi=1144465139","1144465139")</f>
        <v>1144465139</v>
      </c>
      <c r="E13139" s="1" t="s">
        <v>21302</v>
      </c>
      <c r="F13139" s="2"/>
      <c r="G13139" s="2"/>
      <c r="H13139" s="2"/>
    </row>
    <row r="13140" spans="1:8" x14ac:dyDescent="0.25">
      <c r="A13140" s="1"/>
      <c r="B13140" s="1" t="s">
        <v>5782</v>
      </c>
      <c r="C13140" s="1" t="s">
        <v>5783</v>
      </c>
      <c r="D13140" s="22" t="str">
        <f>HYPERLINK("https://rhld.insurance.arkansas.gov/NPILookup?Npi=1144473430","1144473430")</f>
        <v>1144473430</v>
      </c>
      <c r="E13140" s="1" t="s">
        <v>21303</v>
      </c>
      <c r="F13140" s="2"/>
      <c r="G13140" s="2"/>
      <c r="H13140" s="2"/>
    </row>
    <row r="13141" spans="1:8" x14ac:dyDescent="0.25">
      <c r="A13141" s="1"/>
      <c r="B13141" s="1" t="s">
        <v>5782</v>
      </c>
      <c r="C13141" s="1" t="s">
        <v>5783</v>
      </c>
      <c r="D13141" s="22" t="str">
        <f>HYPERLINK("https://rhld.insurance.arkansas.gov/NPILookup?Npi=1144475724","1144475724")</f>
        <v>1144475724</v>
      </c>
      <c r="E13141" s="1" t="s">
        <v>21304</v>
      </c>
      <c r="F13141" s="2"/>
      <c r="G13141" s="2"/>
      <c r="H13141" s="2"/>
    </row>
    <row r="13142" spans="1:8" x14ac:dyDescent="0.25">
      <c r="A13142" s="1"/>
      <c r="B13142" s="1" t="s">
        <v>5782</v>
      </c>
      <c r="C13142" s="1" t="s">
        <v>5783</v>
      </c>
      <c r="D13142" s="22" t="str">
        <f>HYPERLINK("https://rhld.insurance.arkansas.gov/NPILookup?Npi=1144482498","1144482498")</f>
        <v>1144482498</v>
      </c>
      <c r="E13142" s="1" t="s">
        <v>926</v>
      </c>
      <c r="F13142" s="2"/>
      <c r="G13142" s="2"/>
      <c r="H13142" s="2"/>
    </row>
    <row r="13143" spans="1:8" x14ac:dyDescent="0.25">
      <c r="A13143" s="1"/>
      <c r="B13143" s="1" t="s">
        <v>5782</v>
      </c>
      <c r="C13143" s="1" t="s">
        <v>5783</v>
      </c>
      <c r="D13143" s="22" t="str">
        <f>HYPERLINK("https://rhld.insurance.arkansas.gov/NPILookup?Npi=1144497652","1144497652")</f>
        <v>1144497652</v>
      </c>
      <c r="E13143" s="1" t="s">
        <v>21305</v>
      </c>
      <c r="F13143" s="2"/>
      <c r="G13143" s="2"/>
      <c r="H13143" s="2"/>
    </row>
    <row r="13144" spans="1:8" x14ac:dyDescent="0.25">
      <c r="A13144" s="1"/>
      <c r="B13144" s="1" t="s">
        <v>5782</v>
      </c>
      <c r="C13144" s="1" t="s">
        <v>5783</v>
      </c>
      <c r="D13144" s="22" t="str">
        <f>HYPERLINK("https://rhld.insurance.arkansas.gov/NPILookup?Npi=1144498981","1144498981")</f>
        <v>1144498981</v>
      </c>
      <c r="E13144" s="1" t="s">
        <v>21306</v>
      </c>
      <c r="F13144" s="2"/>
      <c r="G13144" s="2"/>
      <c r="H13144" s="2"/>
    </row>
    <row r="13145" spans="1:8" x14ac:dyDescent="0.25">
      <c r="A13145" s="1"/>
      <c r="B13145" s="1" t="s">
        <v>5782</v>
      </c>
      <c r="C13145" s="1" t="s">
        <v>5783</v>
      </c>
      <c r="D13145" s="22" t="str">
        <f>HYPERLINK("https://rhld.insurance.arkansas.gov/NPILookup?Npi=1144500570","1144500570")</f>
        <v>1144500570</v>
      </c>
      <c r="E13145" s="1" t="s">
        <v>21307</v>
      </c>
      <c r="F13145" s="2"/>
      <c r="G13145" s="2"/>
      <c r="H13145" s="2"/>
    </row>
    <row r="13146" spans="1:8" x14ac:dyDescent="0.25">
      <c r="A13146" s="1"/>
      <c r="B13146" s="1" t="s">
        <v>5782</v>
      </c>
      <c r="C13146" s="1" t="s">
        <v>5783</v>
      </c>
      <c r="D13146" s="22" t="str">
        <f>HYPERLINK("https://rhld.insurance.arkansas.gov/NPILookup?Npi=1144501503","1144501503")</f>
        <v>1144501503</v>
      </c>
      <c r="E13146" s="1" t="s">
        <v>21308</v>
      </c>
      <c r="F13146" s="2"/>
      <c r="G13146" s="2"/>
      <c r="H13146" s="2"/>
    </row>
    <row r="13147" spans="1:8" x14ac:dyDescent="0.25">
      <c r="A13147" s="1"/>
      <c r="B13147" s="1" t="s">
        <v>5782</v>
      </c>
      <c r="C13147" s="1" t="s">
        <v>5783</v>
      </c>
      <c r="D13147" s="22" t="str">
        <f>HYPERLINK("https://rhld.insurance.arkansas.gov/NPILookup?Npi=1144502238","1144502238")</f>
        <v>1144502238</v>
      </c>
      <c r="E13147" s="1" t="s">
        <v>5968</v>
      </c>
      <c r="F13147" s="2"/>
      <c r="G13147" s="2"/>
      <c r="H13147" s="2"/>
    </row>
    <row r="13148" spans="1:8" x14ac:dyDescent="0.25">
      <c r="A13148" s="1"/>
      <c r="B13148" s="1" t="s">
        <v>5782</v>
      </c>
      <c r="C13148" s="1" t="s">
        <v>5783</v>
      </c>
      <c r="D13148" s="22" t="str">
        <f>HYPERLINK("https://rhld.insurance.arkansas.gov/NPILookup?Npi=1144543026","1144543026")</f>
        <v>1144543026</v>
      </c>
      <c r="E13148" s="1" t="s">
        <v>21309</v>
      </c>
      <c r="F13148" s="2"/>
      <c r="G13148" s="2"/>
      <c r="H13148" s="2"/>
    </row>
    <row r="13149" spans="1:8" x14ac:dyDescent="0.25">
      <c r="A13149" s="1"/>
      <c r="B13149" s="1" t="s">
        <v>5782</v>
      </c>
      <c r="C13149" s="1" t="s">
        <v>5783</v>
      </c>
      <c r="D13149" s="22" t="str">
        <f>HYPERLINK("https://rhld.insurance.arkansas.gov/NPILookup?Npi=1144557588","1144557588")</f>
        <v>1144557588</v>
      </c>
      <c r="E13149" s="1" t="s">
        <v>553</v>
      </c>
      <c r="F13149" s="2"/>
      <c r="G13149" s="2"/>
      <c r="H13149" s="2"/>
    </row>
    <row r="13150" spans="1:8" x14ac:dyDescent="0.25">
      <c r="A13150" s="1"/>
      <c r="B13150" s="1" t="s">
        <v>5782</v>
      </c>
      <c r="C13150" s="1" t="s">
        <v>5783</v>
      </c>
      <c r="D13150" s="22" t="str">
        <f>HYPERLINK("https://rhld.insurance.arkansas.gov/NPILookup?Npi=1144595422","1144595422")</f>
        <v>1144595422</v>
      </c>
      <c r="E13150" s="1" t="s">
        <v>21310</v>
      </c>
      <c r="F13150" s="2"/>
      <c r="G13150" s="2"/>
      <c r="H13150" s="2"/>
    </row>
    <row r="13151" spans="1:8" x14ac:dyDescent="0.25">
      <c r="A13151" s="1"/>
      <c r="B13151" s="1" t="s">
        <v>5782</v>
      </c>
      <c r="C13151" s="1" t="s">
        <v>5783</v>
      </c>
      <c r="D13151" s="22" t="str">
        <f>HYPERLINK("https://rhld.insurance.arkansas.gov/NPILookup?Npi=1144606567","1144606567")</f>
        <v>1144606567</v>
      </c>
      <c r="E13151" s="1" t="s">
        <v>21311</v>
      </c>
      <c r="F13151" s="2"/>
      <c r="G13151" s="2"/>
      <c r="H13151" s="2"/>
    </row>
    <row r="13152" spans="1:8" x14ac:dyDescent="0.25">
      <c r="A13152" s="1"/>
      <c r="B13152" s="1" t="s">
        <v>5782</v>
      </c>
      <c r="C13152" s="1" t="s">
        <v>5783</v>
      </c>
      <c r="D13152" s="22" t="str">
        <f>HYPERLINK("https://rhld.insurance.arkansas.gov/NPILookup?Npi=1144645698","1144645698")</f>
        <v>1144645698</v>
      </c>
      <c r="E13152" s="1" t="s">
        <v>11517</v>
      </c>
      <c r="F13152" s="2"/>
      <c r="G13152" s="2"/>
      <c r="H13152" s="2"/>
    </row>
    <row r="13153" spans="1:8" x14ac:dyDescent="0.25">
      <c r="A13153" s="1"/>
      <c r="B13153" s="1" t="s">
        <v>5782</v>
      </c>
      <c r="C13153" s="1" t="s">
        <v>5783</v>
      </c>
      <c r="D13153" s="22" t="str">
        <f>HYPERLINK("https://rhld.insurance.arkansas.gov/NPILookup?Npi=1144645920","1144645920")</f>
        <v>1144645920</v>
      </c>
      <c r="E13153" s="1" t="s">
        <v>21312</v>
      </c>
      <c r="F13153" s="2"/>
      <c r="G13153" s="2"/>
      <c r="H13153" s="2"/>
    </row>
    <row r="13154" spans="1:8" x14ac:dyDescent="0.25">
      <c r="A13154" s="1"/>
      <c r="B13154" s="1" t="s">
        <v>5782</v>
      </c>
      <c r="C13154" s="1" t="s">
        <v>5783</v>
      </c>
      <c r="D13154" s="22" t="str">
        <f>HYPERLINK("https://rhld.insurance.arkansas.gov/NPILookup?Npi=1144685678","1144685678")</f>
        <v>1144685678</v>
      </c>
      <c r="E13154" s="1" t="s">
        <v>5969</v>
      </c>
      <c r="F13154" s="2"/>
      <c r="G13154" s="2"/>
      <c r="H13154" s="2"/>
    </row>
    <row r="13155" spans="1:8" x14ac:dyDescent="0.25">
      <c r="A13155" s="1"/>
      <c r="B13155" s="1" t="s">
        <v>5782</v>
      </c>
      <c r="C13155" s="1" t="s">
        <v>5783</v>
      </c>
      <c r="D13155" s="22" t="str">
        <f>HYPERLINK("https://rhld.insurance.arkansas.gov/NPILookup?Npi=1144685744","1144685744")</f>
        <v>1144685744</v>
      </c>
      <c r="E13155" s="1" t="s">
        <v>21313</v>
      </c>
      <c r="F13155" s="2"/>
      <c r="G13155" s="2"/>
      <c r="H13155" s="2"/>
    </row>
    <row r="13156" spans="1:8" x14ac:dyDescent="0.25">
      <c r="A13156" s="1"/>
      <c r="B13156" s="1" t="s">
        <v>5782</v>
      </c>
      <c r="C13156" s="1" t="s">
        <v>5783</v>
      </c>
      <c r="D13156" s="22" t="str">
        <f>HYPERLINK("https://rhld.insurance.arkansas.gov/NPILookup?Npi=1144697475","1144697475")</f>
        <v>1144697475</v>
      </c>
      <c r="E13156" s="1" t="s">
        <v>21314</v>
      </c>
      <c r="F13156" s="2"/>
      <c r="G13156" s="2"/>
      <c r="H13156" s="2"/>
    </row>
    <row r="13157" spans="1:8" x14ac:dyDescent="0.25">
      <c r="A13157" s="1"/>
      <c r="B13157" s="1" t="s">
        <v>5782</v>
      </c>
      <c r="C13157" s="1" t="s">
        <v>5783</v>
      </c>
      <c r="D13157" s="22" t="str">
        <f>HYPERLINK("https://rhld.insurance.arkansas.gov/NPILookup?Npi=1144700725","1144700725")</f>
        <v>1144700725</v>
      </c>
      <c r="E13157" s="1" t="s">
        <v>5970</v>
      </c>
      <c r="F13157" s="2"/>
      <c r="G13157" s="2"/>
      <c r="H13157" s="2"/>
    </row>
    <row r="13158" spans="1:8" x14ac:dyDescent="0.25">
      <c r="A13158" s="1"/>
      <c r="B13158" s="1" t="s">
        <v>5782</v>
      </c>
      <c r="C13158" s="1" t="s">
        <v>5783</v>
      </c>
      <c r="D13158" s="22" t="str">
        <f>HYPERLINK("https://rhld.insurance.arkansas.gov/NPILookup?Npi=1144707746","1144707746")</f>
        <v>1144707746</v>
      </c>
      <c r="E13158" s="1" t="s">
        <v>21315</v>
      </c>
      <c r="F13158" s="2"/>
      <c r="G13158" s="2"/>
      <c r="H13158" s="2"/>
    </row>
    <row r="13159" spans="1:8" x14ac:dyDescent="0.25">
      <c r="A13159" s="1"/>
      <c r="B13159" s="1" t="s">
        <v>5782</v>
      </c>
      <c r="C13159" s="1" t="s">
        <v>5783</v>
      </c>
      <c r="D13159" s="22" t="str">
        <f>HYPERLINK("https://rhld.insurance.arkansas.gov/NPILookup?Npi=1144722430","1144722430")</f>
        <v>1144722430</v>
      </c>
      <c r="E13159" s="1" t="s">
        <v>21316</v>
      </c>
      <c r="F13159" s="2"/>
      <c r="G13159" s="2"/>
      <c r="H13159" s="2"/>
    </row>
    <row r="13160" spans="1:8" x14ac:dyDescent="0.25">
      <c r="A13160" s="1"/>
      <c r="B13160" s="1" t="s">
        <v>5782</v>
      </c>
      <c r="C13160" s="1" t="s">
        <v>5783</v>
      </c>
      <c r="D13160" s="22" t="str">
        <f>HYPERLINK("https://rhld.insurance.arkansas.gov/NPILookup?Npi=1144732405","1144732405")</f>
        <v>1144732405</v>
      </c>
      <c r="E13160" s="1" t="s">
        <v>21317</v>
      </c>
      <c r="F13160" s="2"/>
      <c r="G13160" s="2"/>
      <c r="H13160" s="2"/>
    </row>
    <row r="13161" spans="1:8" x14ac:dyDescent="0.25">
      <c r="A13161" s="1"/>
      <c r="B13161" s="1" t="s">
        <v>5782</v>
      </c>
      <c r="C13161" s="1" t="s">
        <v>5783</v>
      </c>
      <c r="D13161" s="22" t="str">
        <f>HYPERLINK("https://rhld.insurance.arkansas.gov/NPILookup?Npi=1144739145","1144739145")</f>
        <v>1144739145</v>
      </c>
      <c r="E13161" s="1" t="s">
        <v>21318</v>
      </c>
      <c r="F13161" s="2"/>
      <c r="G13161" s="2"/>
      <c r="H13161" s="2"/>
    </row>
    <row r="13162" spans="1:8" x14ac:dyDescent="0.25">
      <c r="A13162" s="1"/>
      <c r="B13162" s="1" t="s">
        <v>5782</v>
      </c>
      <c r="C13162" s="1" t="s">
        <v>5783</v>
      </c>
      <c r="D13162" s="22" t="str">
        <f>HYPERLINK("https://rhld.insurance.arkansas.gov/NPILookup?Npi=1144748526","1144748526")</f>
        <v>1144748526</v>
      </c>
      <c r="E13162" s="1" t="s">
        <v>21319</v>
      </c>
      <c r="F13162" s="2"/>
      <c r="G13162" s="2"/>
      <c r="H13162" s="2"/>
    </row>
    <row r="13163" spans="1:8" x14ac:dyDescent="0.25">
      <c r="A13163" s="1"/>
      <c r="B13163" s="1" t="s">
        <v>5782</v>
      </c>
      <c r="C13163" s="1" t="s">
        <v>5783</v>
      </c>
      <c r="D13163" s="22" t="str">
        <f>HYPERLINK("https://rhld.insurance.arkansas.gov/NPILookup?Npi=1144771395","1144771395")</f>
        <v>1144771395</v>
      </c>
      <c r="E13163" s="1" t="s">
        <v>21320</v>
      </c>
      <c r="F13163" s="2"/>
      <c r="G13163" s="2"/>
      <c r="H13163" s="2"/>
    </row>
    <row r="13164" spans="1:8" x14ac:dyDescent="0.25">
      <c r="A13164" s="1"/>
      <c r="B13164" s="1" t="s">
        <v>5782</v>
      </c>
      <c r="C13164" s="1" t="s">
        <v>5783</v>
      </c>
      <c r="D13164" s="22" t="str">
        <f>HYPERLINK("https://rhld.insurance.arkansas.gov/NPILookup?Npi=1144779547","1144779547")</f>
        <v>1144779547</v>
      </c>
      <c r="E13164" s="1" t="s">
        <v>5971</v>
      </c>
      <c r="F13164" s="2"/>
      <c r="G13164" s="2"/>
      <c r="H13164" s="2"/>
    </row>
    <row r="13165" spans="1:8" x14ac:dyDescent="0.25">
      <c r="A13165" s="1"/>
      <c r="B13165" s="1" t="s">
        <v>5782</v>
      </c>
      <c r="C13165" s="1" t="s">
        <v>5783</v>
      </c>
      <c r="D13165" s="22" t="str">
        <f>HYPERLINK("https://rhld.insurance.arkansas.gov/NPILookup?Npi=1144793910","1144793910")</f>
        <v>1144793910</v>
      </c>
      <c r="E13165" s="1" t="s">
        <v>1847</v>
      </c>
      <c r="F13165" s="2"/>
      <c r="G13165" s="2"/>
      <c r="H13165" s="2"/>
    </row>
    <row r="13166" spans="1:8" x14ac:dyDescent="0.25">
      <c r="A13166" s="1"/>
      <c r="B13166" s="1" t="s">
        <v>5782</v>
      </c>
      <c r="C13166" s="1" t="s">
        <v>5783</v>
      </c>
      <c r="D13166" s="22" t="str">
        <f>HYPERLINK("https://rhld.insurance.arkansas.gov/NPILookup?Npi=1144799636","1144799636")</f>
        <v>1144799636</v>
      </c>
      <c r="E13166" s="1" t="s">
        <v>21321</v>
      </c>
      <c r="F13166" s="2"/>
      <c r="G13166" s="2"/>
      <c r="H13166" s="2"/>
    </row>
    <row r="13167" spans="1:8" x14ac:dyDescent="0.25">
      <c r="A13167" s="1"/>
      <c r="B13167" s="1" t="s">
        <v>5782</v>
      </c>
      <c r="C13167" s="1" t="s">
        <v>5783</v>
      </c>
      <c r="D13167" s="22" t="str">
        <f>HYPERLINK("https://rhld.insurance.arkansas.gov/NPILookup?Npi=1144848821","1144848821")</f>
        <v>1144848821</v>
      </c>
      <c r="E13167" s="1" t="s">
        <v>5972</v>
      </c>
      <c r="F13167" s="2"/>
      <c r="G13167" s="2"/>
      <c r="H13167" s="2"/>
    </row>
    <row r="13168" spans="1:8" x14ac:dyDescent="0.25">
      <c r="A13168" s="1"/>
      <c r="B13168" s="1" t="s">
        <v>5782</v>
      </c>
      <c r="C13168" s="1" t="s">
        <v>5783</v>
      </c>
      <c r="D13168" s="22" t="str">
        <f>HYPERLINK("https://rhld.insurance.arkansas.gov/NPILookup?Npi=1144852336","1144852336")</f>
        <v>1144852336</v>
      </c>
      <c r="E13168" s="1" t="s">
        <v>1656</v>
      </c>
      <c r="F13168" s="2"/>
      <c r="G13168" s="2"/>
      <c r="H13168" s="2"/>
    </row>
    <row r="13169" spans="1:8" x14ac:dyDescent="0.25">
      <c r="A13169" s="1"/>
      <c r="B13169" s="1" t="s">
        <v>5782</v>
      </c>
      <c r="C13169" s="1" t="s">
        <v>5783</v>
      </c>
      <c r="D13169" s="22" t="str">
        <f>HYPERLINK("https://rhld.insurance.arkansas.gov/NPILookup?Npi=1144852765","1144852765")</f>
        <v>1144852765</v>
      </c>
      <c r="E13169" s="1" t="s">
        <v>5973</v>
      </c>
      <c r="F13169" s="2"/>
      <c r="G13169" s="2"/>
      <c r="H13169" s="2"/>
    </row>
    <row r="13170" spans="1:8" x14ac:dyDescent="0.25">
      <c r="A13170" s="1"/>
      <c r="B13170" s="1" t="s">
        <v>5782</v>
      </c>
      <c r="C13170" s="1" t="s">
        <v>5783</v>
      </c>
      <c r="D13170" s="22" t="str">
        <f>HYPERLINK("https://rhld.insurance.arkansas.gov/NPILookup?Npi=1144857996","1144857996")</f>
        <v>1144857996</v>
      </c>
      <c r="E13170" s="1" t="s">
        <v>21322</v>
      </c>
      <c r="F13170" s="2"/>
      <c r="G13170" s="2"/>
      <c r="H13170" s="2"/>
    </row>
    <row r="13171" spans="1:8" x14ac:dyDescent="0.25">
      <c r="A13171" s="1"/>
      <c r="B13171" s="1" t="s">
        <v>5782</v>
      </c>
      <c r="C13171" s="1" t="s">
        <v>5783</v>
      </c>
      <c r="D13171" s="22" t="str">
        <f>HYPERLINK("https://rhld.insurance.arkansas.gov/NPILookup?Npi=1144860321","1144860321")</f>
        <v>1144860321</v>
      </c>
      <c r="E13171" s="1" t="s">
        <v>21323</v>
      </c>
      <c r="F13171" s="2"/>
      <c r="G13171" s="2"/>
      <c r="H13171" s="2"/>
    </row>
    <row r="13172" spans="1:8" x14ac:dyDescent="0.25">
      <c r="A13172" s="1"/>
      <c r="B13172" s="1" t="s">
        <v>5782</v>
      </c>
      <c r="C13172" s="1" t="s">
        <v>5783</v>
      </c>
      <c r="D13172" s="22" t="str">
        <f>HYPERLINK("https://rhld.insurance.arkansas.gov/NPILookup?Npi=1144873498","1144873498")</f>
        <v>1144873498</v>
      </c>
      <c r="E13172" s="1" t="s">
        <v>21324</v>
      </c>
      <c r="F13172" s="2"/>
      <c r="G13172" s="2"/>
      <c r="H13172" s="2"/>
    </row>
    <row r="13173" spans="1:8" x14ac:dyDescent="0.25">
      <c r="A13173" s="1"/>
      <c r="B13173" s="1" t="s">
        <v>5782</v>
      </c>
      <c r="C13173" s="1" t="s">
        <v>5783</v>
      </c>
      <c r="D13173" s="22" t="str">
        <f>HYPERLINK("https://rhld.insurance.arkansas.gov/NPILookup?Npi=1144879404","1144879404")</f>
        <v>1144879404</v>
      </c>
      <c r="E13173" s="1" t="s">
        <v>3199</v>
      </c>
      <c r="F13173" s="2"/>
      <c r="G13173" s="2"/>
      <c r="H13173" s="2"/>
    </row>
    <row r="13174" spans="1:8" x14ac:dyDescent="0.25">
      <c r="A13174" s="1"/>
      <c r="B13174" s="1" t="s">
        <v>5782</v>
      </c>
      <c r="C13174" s="1" t="s">
        <v>5783</v>
      </c>
      <c r="D13174" s="22" t="str">
        <f>HYPERLINK("https://rhld.insurance.arkansas.gov/NPILookup?Npi=1144890708","1144890708")</f>
        <v>1144890708</v>
      </c>
      <c r="E13174" s="1" t="s">
        <v>5974</v>
      </c>
      <c r="F13174" s="2"/>
      <c r="G13174" s="2"/>
      <c r="H13174" s="2"/>
    </row>
    <row r="13175" spans="1:8" x14ac:dyDescent="0.25">
      <c r="A13175" s="1"/>
      <c r="B13175" s="1" t="s">
        <v>5782</v>
      </c>
      <c r="C13175" s="1" t="s">
        <v>5783</v>
      </c>
      <c r="D13175" s="22" t="str">
        <f>HYPERLINK("https://rhld.insurance.arkansas.gov/NPILookup?Npi=1144899972","1144899972")</f>
        <v>1144899972</v>
      </c>
      <c r="E13175" s="1" t="s">
        <v>1848</v>
      </c>
      <c r="F13175" s="2"/>
      <c r="G13175" s="2"/>
      <c r="H13175" s="2"/>
    </row>
    <row r="13176" spans="1:8" x14ac:dyDescent="0.25">
      <c r="A13176" s="1"/>
      <c r="B13176" s="1" t="s">
        <v>5782</v>
      </c>
      <c r="C13176" s="1" t="s">
        <v>5783</v>
      </c>
      <c r="D13176" s="22" t="str">
        <f>HYPERLINK("https://rhld.insurance.arkansas.gov/NPILookup?Npi=1144932872","1144932872")</f>
        <v>1144932872</v>
      </c>
      <c r="E13176" s="1" t="s">
        <v>31804</v>
      </c>
      <c r="F13176" s="2"/>
      <c r="G13176" s="2"/>
      <c r="H13176" s="2"/>
    </row>
    <row r="13177" spans="1:8" x14ac:dyDescent="0.25">
      <c r="A13177" s="1"/>
      <c r="B13177" s="1" t="s">
        <v>5782</v>
      </c>
      <c r="C13177" s="1" t="s">
        <v>5783</v>
      </c>
      <c r="D13177" s="22" t="str">
        <f>HYPERLINK("https://rhld.insurance.arkansas.gov/NPILookup?Npi=1144958752","1144958752")</f>
        <v>1144958752</v>
      </c>
      <c r="E13177" s="1" t="s">
        <v>5674</v>
      </c>
      <c r="F13177" s="2"/>
      <c r="G13177" s="2"/>
      <c r="H13177" s="2"/>
    </row>
    <row r="13178" spans="1:8" x14ac:dyDescent="0.25">
      <c r="A13178" s="1"/>
      <c r="B13178" s="1" t="s">
        <v>5782</v>
      </c>
      <c r="C13178" s="1" t="s">
        <v>5783</v>
      </c>
      <c r="D13178" s="22" t="str">
        <f>HYPERLINK("https://rhld.insurance.arkansas.gov/NPILookup?Npi=1144965021","1144965021")</f>
        <v>1144965021</v>
      </c>
      <c r="E13178" s="1" t="s">
        <v>21325</v>
      </c>
      <c r="F13178" s="2"/>
      <c r="G13178" s="2"/>
      <c r="H13178" s="2"/>
    </row>
    <row r="13179" spans="1:8" x14ac:dyDescent="0.25">
      <c r="A13179" s="1"/>
      <c r="B13179" s="1" t="s">
        <v>5782</v>
      </c>
      <c r="C13179" s="1" t="s">
        <v>5783</v>
      </c>
      <c r="D13179" s="22" t="str">
        <f>HYPERLINK("https://rhld.insurance.arkansas.gov/NPILookup?Npi=1144975780","1144975780")</f>
        <v>1144975780</v>
      </c>
      <c r="E13179" s="1" t="s">
        <v>5975</v>
      </c>
      <c r="F13179" s="2"/>
      <c r="G13179" s="2"/>
      <c r="H13179" s="2"/>
    </row>
    <row r="13180" spans="1:8" x14ac:dyDescent="0.25">
      <c r="A13180" s="1"/>
      <c r="B13180" s="1" t="s">
        <v>5782</v>
      </c>
      <c r="C13180" s="1" t="s">
        <v>5783</v>
      </c>
      <c r="D13180" s="22" t="str">
        <f>HYPERLINK("https://rhld.insurance.arkansas.gov/NPILookup?Npi=1144986159","1144986159")</f>
        <v>1144986159</v>
      </c>
      <c r="E13180" s="1" t="s">
        <v>21326</v>
      </c>
      <c r="F13180" s="2"/>
      <c r="G13180" s="2"/>
      <c r="H13180" s="2"/>
    </row>
    <row r="13181" spans="1:8" x14ac:dyDescent="0.25">
      <c r="A13181" s="1"/>
      <c r="B13181" s="1" t="s">
        <v>5782</v>
      </c>
      <c r="C13181" s="1" t="s">
        <v>5783</v>
      </c>
      <c r="D13181" s="22" t="str">
        <f>HYPERLINK("https://rhld.insurance.arkansas.gov/NPILookup?Npi=1144990219","1144990219")</f>
        <v>1144990219</v>
      </c>
      <c r="E13181" s="1" t="s">
        <v>31805</v>
      </c>
      <c r="F13181" s="2"/>
      <c r="G13181" s="2"/>
      <c r="H13181" s="2"/>
    </row>
    <row r="13182" spans="1:8" x14ac:dyDescent="0.25">
      <c r="A13182" s="1"/>
      <c r="B13182" s="1" t="s">
        <v>5782</v>
      </c>
      <c r="C13182" s="1" t="s">
        <v>5783</v>
      </c>
      <c r="D13182" s="22" t="str">
        <f>HYPERLINK("https://rhld.insurance.arkansas.gov/NPILookup?Npi=1144991472","1144991472")</f>
        <v>1144991472</v>
      </c>
      <c r="E13182" s="1" t="s">
        <v>5976</v>
      </c>
      <c r="F13182" s="2"/>
      <c r="G13182" s="2"/>
      <c r="H13182" s="2"/>
    </row>
    <row r="13183" spans="1:8" x14ac:dyDescent="0.25">
      <c r="A13183" s="1"/>
      <c r="B13183" s="1" t="s">
        <v>5782</v>
      </c>
      <c r="C13183" s="1" t="s">
        <v>5783</v>
      </c>
      <c r="D13183" s="22" t="str">
        <f>HYPERLINK("https://rhld.insurance.arkansas.gov/NPILookup?Npi=1144994369","1144994369")</f>
        <v>1144994369</v>
      </c>
      <c r="E13183" s="1" t="s">
        <v>5957</v>
      </c>
      <c r="F13183" s="2"/>
      <c r="G13183" s="2"/>
      <c r="H13183" s="2"/>
    </row>
    <row r="13184" spans="1:8" x14ac:dyDescent="0.25">
      <c r="A13184" s="1"/>
      <c r="B13184" s="1" t="s">
        <v>5782</v>
      </c>
      <c r="C13184" s="1" t="s">
        <v>5783</v>
      </c>
      <c r="D13184" s="22" t="str">
        <f>HYPERLINK("https://rhld.insurance.arkansas.gov/NPILookup?Npi=1144996042","1144996042")</f>
        <v>1144996042</v>
      </c>
      <c r="E13184" s="1" t="s">
        <v>11518</v>
      </c>
      <c r="F13184" s="2"/>
      <c r="G13184" s="2"/>
      <c r="H13184" s="2"/>
    </row>
    <row r="13185" spans="1:8" x14ac:dyDescent="0.25">
      <c r="A13185" s="1"/>
      <c r="B13185" s="1" t="s">
        <v>5782</v>
      </c>
      <c r="C13185" s="1" t="s">
        <v>5783</v>
      </c>
      <c r="D13185" s="22" t="str">
        <f>HYPERLINK("https://rhld.insurance.arkansas.gov/NPILookup?Npi=1144998618","1144998618")</f>
        <v>1144998618</v>
      </c>
      <c r="E13185" s="1" t="s">
        <v>21327</v>
      </c>
      <c r="F13185" s="2"/>
      <c r="G13185" s="2"/>
      <c r="H13185" s="2"/>
    </row>
    <row r="13186" spans="1:8" x14ac:dyDescent="0.25">
      <c r="A13186" s="1"/>
      <c r="B13186" s="1" t="s">
        <v>5782</v>
      </c>
      <c r="C13186" s="1" t="s">
        <v>5783</v>
      </c>
      <c r="D13186" s="22" t="str">
        <f>HYPERLINK("https://rhld.insurance.arkansas.gov/NPILookup?Npi=1154021731","1154021731")</f>
        <v>1154021731</v>
      </c>
      <c r="E13186" s="1" t="s">
        <v>5865</v>
      </c>
      <c r="F13186" s="2"/>
      <c r="G13186" s="2"/>
      <c r="H13186" s="2"/>
    </row>
    <row r="13187" spans="1:8" x14ac:dyDescent="0.25">
      <c r="A13187" s="1"/>
      <c r="B13187" s="1" t="s">
        <v>5782</v>
      </c>
      <c r="C13187" s="1" t="s">
        <v>5783</v>
      </c>
      <c r="D13187" s="22" t="str">
        <f>HYPERLINK("https://rhld.insurance.arkansas.gov/NPILookup?Npi=1154043941","1154043941")</f>
        <v>1154043941</v>
      </c>
      <c r="E13187" s="1" t="s">
        <v>21328</v>
      </c>
      <c r="F13187" s="2"/>
      <c r="G13187" s="2"/>
      <c r="H13187" s="2"/>
    </row>
    <row r="13188" spans="1:8" x14ac:dyDescent="0.25">
      <c r="A13188" s="1"/>
      <c r="B13188" s="1" t="s">
        <v>5782</v>
      </c>
      <c r="C13188" s="1" t="s">
        <v>5783</v>
      </c>
      <c r="D13188" s="22" t="str">
        <f>HYPERLINK("https://rhld.insurance.arkansas.gov/NPILookup?Npi=1154050243","1154050243")</f>
        <v>1154050243</v>
      </c>
      <c r="E13188" s="1" t="s">
        <v>21329</v>
      </c>
      <c r="F13188" s="2"/>
      <c r="G13188" s="2"/>
      <c r="H13188" s="2"/>
    </row>
    <row r="13189" spans="1:8" x14ac:dyDescent="0.25">
      <c r="A13189" s="1"/>
      <c r="B13189" s="1" t="s">
        <v>5782</v>
      </c>
      <c r="C13189" s="1" t="s">
        <v>5783</v>
      </c>
      <c r="D13189" s="22" t="str">
        <f>HYPERLINK("https://rhld.insurance.arkansas.gov/NPILookup?Npi=1154051035","1154051035")</f>
        <v>1154051035</v>
      </c>
      <c r="E13189" s="1" t="s">
        <v>21330</v>
      </c>
      <c r="F13189" s="2"/>
      <c r="G13189" s="2"/>
      <c r="H13189" s="2"/>
    </row>
    <row r="13190" spans="1:8" x14ac:dyDescent="0.25">
      <c r="A13190" s="1"/>
      <c r="B13190" s="1" t="s">
        <v>5782</v>
      </c>
      <c r="C13190" s="1" t="s">
        <v>5783</v>
      </c>
      <c r="D13190" s="22" t="str">
        <f>HYPERLINK("https://rhld.insurance.arkansas.gov/NPILookup?Npi=1154059764","1154059764")</f>
        <v>1154059764</v>
      </c>
      <c r="E13190" s="1" t="s">
        <v>11519</v>
      </c>
      <c r="F13190" s="2"/>
      <c r="G13190" s="2"/>
      <c r="H13190" s="2"/>
    </row>
    <row r="13191" spans="1:8" x14ac:dyDescent="0.25">
      <c r="A13191" s="1"/>
      <c r="B13191" s="1" t="s">
        <v>5782</v>
      </c>
      <c r="C13191" s="1" t="s">
        <v>5783</v>
      </c>
      <c r="D13191" s="22" t="str">
        <f>HYPERLINK("https://rhld.insurance.arkansas.gov/NPILookup?Npi=1154069367","1154069367")</f>
        <v>1154069367</v>
      </c>
      <c r="E13191" s="1" t="s">
        <v>21331</v>
      </c>
      <c r="F13191" s="2"/>
      <c r="G13191" s="2"/>
      <c r="H13191" s="2"/>
    </row>
    <row r="13192" spans="1:8" x14ac:dyDescent="0.25">
      <c r="A13192" s="1"/>
      <c r="B13192" s="1" t="s">
        <v>5782</v>
      </c>
      <c r="C13192" s="1" t="s">
        <v>5783</v>
      </c>
      <c r="D13192" s="22" t="str">
        <f>HYPERLINK("https://rhld.insurance.arkansas.gov/NPILookup?Npi=1154070803","1154070803")</f>
        <v>1154070803</v>
      </c>
      <c r="E13192" s="1" t="s">
        <v>31806</v>
      </c>
      <c r="F13192" s="2"/>
      <c r="G13192" s="2"/>
      <c r="H13192" s="2"/>
    </row>
    <row r="13193" spans="1:8" x14ac:dyDescent="0.25">
      <c r="A13193" s="1"/>
      <c r="B13193" s="1" t="s">
        <v>5782</v>
      </c>
      <c r="C13193" s="1" t="s">
        <v>5783</v>
      </c>
      <c r="D13193" s="22" t="str">
        <f>HYPERLINK("https://rhld.insurance.arkansas.gov/NPILookup?Npi=1154081461","1154081461")</f>
        <v>1154081461</v>
      </c>
      <c r="E13193" s="1" t="s">
        <v>21332</v>
      </c>
      <c r="F13193" s="2"/>
      <c r="G13193" s="2"/>
      <c r="H13193" s="2"/>
    </row>
    <row r="13194" spans="1:8" x14ac:dyDescent="0.25">
      <c r="A13194" s="1"/>
      <c r="B13194" s="1" t="s">
        <v>5782</v>
      </c>
      <c r="C13194" s="1" t="s">
        <v>5783</v>
      </c>
      <c r="D13194" s="22" t="str">
        <f>HYPERLINK("https://rhld.insurance.arkansas.gov/NPILookup?Npi=1154082956","1154082956")</f>
        <v>1154082956</v>
      </c>
      <c r="E13194" s="1" t="s">
        <v>5978</v>
      </c>
      <c r="F13194" s="2"/>
      <c r="G13194" s="2"/>
      <c r="H13194" s="2"/>
    </row>
    <row r="13195" spans="1:8" x14ac:dyDescent="0.25">
      <c r="A13195" s="1"/>
      <c r="B13195" s="1" t="s">
        <v>5782</v>
      </c>
      <c r="C13195" s="1" t="s">
        <v>5783</v>
      </c>
      <c r="D13195" s="22" t="str">
        <f>HYPERLINK("https://rhld.insurance.arkansas.gov/NPILookup?Npi=1154098788","1154098788")</f>
        <v>1154098788</v>
      </c>
      <c r="E13195" s="1" t="s">
        <v>2460</v>
      </c>
      <c r="F13195" s="2"/>
      <c r="G13195" s="2"/>
      <c r="H13195" s="2"/>
    </row>
    <row r="13196" spans="1:8" x14ac:dyDescent="0.25">
      <c r="A13196" s="1"/>
      <c r="B13196" s="1" t="s">
        <v>5782</v>
      </c>
      <c r="C13196" s="1" t="s">
        <v>5783</v>
      </c>
      <c r="D13196" s="22" t="str">
        <f>HYPERLINK("https://rhld.insurance.arkansas.gov/NPILookup?Npi=1154103752","1154103752")</f>
        <v>1154103752</v>
      </c>
      <c r="E13196" s="1" t="s">
        <v>21333</v>
      </c>
      <c r="F13196" s="2"/>
      <c r="G13196" s="2"/>
      <c r="H13196" s="2"/>
    </row>
    <row r="13197" spans="1:8" x14ac:dyDescent="0.25">
      <c r="A13197" s="1"/>
      <c r="B13197" s="1" t="s">
        <v>5782</v>
      </c>
      <c r="C13197" s="1" t="s">
        <v>5783</v>
      </c>
      <c r="D13197" s="22" t="str">
        <f>HYPERLINK("https://rhld.insurance.arkansas.gov/NPILookup?Npi=1154129427","1154129427")</f>
        <v>1154129427</v>
      </c>
      <c r="E13197" s="1" t="s">
        <v>31807</v>
      </c>
      <c r="F13197" s="2"/>
      <c r="G13197" s="2"/>
      <c r="H13197" s="2"/>
    </row>
    <row r="13198" spans="1:8" x14ac:dyDescent="0.25">
      <c r="A13198" s="1"/>
      <c r="B13198" s="1" t="s">
        <v>5782</v>
      </c>
      <c r="C13198" s="1" t="s">
        <v>5783</v>
      </c>
      <c r="D13198" s="22" t="str">
        <f>HYPERLINK("https://rhld.insurance.arkansas.gov/NPILookup?Npi=1154141026","1154141026")</f>
        <v>1154141026</v>
      </c>
      <c r="E13198" s="1" t="s">
        <v>31808</v>
      </c>
      <c r="F13198" s="2"/>
      <c r="G13198" s="2"/>
      <c r="H13198" s="2"/>
    </row>
    <row r="13199" spans="1:8" x14ac:dyDescent="0.25">
      <c r="A13199" s="1"/>
      <c r="B13199" s="1" t="s">
        <v>5782</v>
      </c>
      <c r="C13199" s="1" t="s">
        <v>5783</v>
      </c>
      <c r="D13199" s="22" t="str">
        <f>HYPERLINK("https://rhld.insurance.arkansas.gov/NPILookup?Npi=1154158699","1154158699")</f>
        <v>1154158699</v>
      </c>
      <c r="E13199" s="1" t="s">
        <v>31809</v>
      </c>
      <c r="F13199" s="2"/>
      <c r="G13199" s="2"/>
      <c r="H13199" s="2"/>
    </row>
    <row r="13200" spans="1:8" x14ac:dyDescent="0.25">
      <c r="A13200" s="1"/>
      <c r="B13200" s="1" t="s">
        <v>5782</v>
      </c>
      <c r="C13200" s="1" t="s">
        <v>5783</v>
      </c>
      <c r="D13200" s="22" t="str">
        <f>HYPERLINK("https://rhld.insurance.arkansas.gov/NPILookup?Npi=1154158764","1154158764")</f>
        <v>1154158764</v>
      </c>
      <c r="E13200" s="1" t="s">
        <v>31810</v>
      </c>
      <c r="F13200" s="2"/>
      <c r="G13200" s="2"/>
      <c r="H13200" s="2"/>
    </row>
    <row r="13201" spans="1:8" x14ac:dyDescent="0.25">
      <c r="A13201" s="1"/>
      <c r="B13201" s="1" t="s">
        <v>5782</v>
      </c>
      <c r="C13201" s="1" t="s">
        <v>5783</v>
      </c>
      <c r="D13201" s="22" t="str">
        <f>HYPERLINK("https://rhld.insurance.arkansas.gov/NPILookup?Npi=1154194579","1154194579")</f>
        <v>1154194579</v>
      </c>
      <c r="E13201" s="1" t="s">
        <v>5979</v>
      </c>
      <c r="F13201" s="2"/>
      <c r="G13201" s="2"/>
      <c r="H13201" s="2"/>
    </row>
    <row r="13202" spans="1:8" x14ac:dyDescent="0.25">
      <c r="A13202" s="1"/>
      <c r="B13202" s="1" t="s">
        <v>5782</v>
      </c>
      <c r="C13202" s="1" t="s">
        <v>5783</v>
      </c>
      <c r="D13202" s="22" t="str">
        <f>HYPERLINK("https://rhld.insurance.arkansas.gov/NPILookup?Npi=1154195881","1154195881")</f>
        <v>1154195881</v>
      </c>
      <c r="E13202" s="1" t="s">
        <v>21334</v>
      </c>
      <c r="F13202" s="2"/>
      <c r="G13202" s="2"/>
      <c r="H13202" s="2"/>
    </row>
    <row r="13203" spans="1:8" x14ac:dyDescent="0.25">
      <c r="A13203" s="1"/>
      <c r="B13203" s="1" t="s">
        <v>5782</v>
      </c>
      <c r="C13203" s="1" t="s">
        <v>5783</v>
      </c>
      <c r="D13203" s="22" t="str">
        <f>HYPERLINK("https://rhld.insurance.arkansas.gov/NPILookup?Npi=1154343499","1154343499")</f>
        <v>1154343499</v>
      </c>
      <c r="E13203" s="1" t="s">
        <v>21335</v>
      </c>
      <c r="F13203" s="2"/>
      <c r="G13203" s="2"/>
      <c r="H13203" s="2"/>
    </row>
    <row r="13204" spans="1:8" x14ac:dyDescent="0.25">
      <c r="A13204" s="1"/>
      <c r="B13204" s="1" t="s">
        <v>5782</v>
      </c>
      <c r="C13204" s="1" t="s">
        <v>5783</v>
      </c>
      <c r="D13204" s="22" t="str">
        <f>HYPERLINK("https://rhld.insurance.arkansas.gov/NPILookup?Npi=1154372134","1154372134")</f>
        <v>1154372134</v>
      </c>
      <c r="E13204" s="1" t="s">
        <v>21336</v>
      </c>
      <c r="F13204" s="2"/>
      <c r="G13204" s="2"/>
      <c r="H13204" s="2"/>
    </row>
    <row r="13205" spans="1:8" x14ac:dyDescent="0.25">
      <c r="A13205" s="1"/>
      <c r="B13205" s="1" t="s">
        <v>5782</v>
      </c>
      <c r="C13205" s="1" t="s">
        <v>5783</v>
      </c>
      <c r="D13205" s="22" t="str">
        <f>HYPERLINK("https://rhld.insurance.arkansas.gov/NPILookup?Npi=1154397982","1154397982")</f>
        <v>1154397982</v>
      </c>
      <c r="E13205" s="1" t="s">
        <v>21338</v>
      </c>
      <c r="F13205" s="2"/>
      <c r="G13205" s="2"/>
      <c r="H13205" s="2"/>
    </row>
    <row r="13206" spans="1:8" x14ac:dyDescent="0.25">
      <c r="A13206" s="1"/>
      <c r="B13206" s="1" t="s">
        <v>5782</v>
      </c>
      <c r="C13206" s="1" t="s">
        <v>5783</v>
      </c>
      <c r="D13206" s="22" t="str">
        <f>HYPERLINK("https://rhld.insurance.arkansas.gov/NPILookup?Npi=1154410793","1154410793")</f>
        <v>1154410793</v>
      </c>
      <c r="E13206" s="1" t="s">
        <v>21339</v>
      </c>
      <c r="F13206" s="2"/>
      <c r="G13206" s="2"/>
      <c r="H13206" s="2"/>
    </row>
    <row r="13207" spans="1:8" x14ac:dyDescent="0.25">
      <c r="A13207" s="1"/>
      <c r="B13207" s="1" t="s">
        <v>5782</v>
      </c>
      <c r="C13207" s="1" t="s">
        <v>5783</v>
      </c>
      <c r="D13207" s="22" t="str">
        <f>HYPERLINK("https://rhld.insurance.arkansas.gov/NPILookup?Npi=1154421394","1154421394")</f>
        <v>1154421394</v>
      </c>
      <c r="E13207" s="1" t="s">
        <v>21340</v>
      </c>
      <c r="F13207" s="2"/>
      <c r="G13207" s="2"/>
      <c r="H13207" s="2"/>
    </row>
    <row r="13208" spans="1:8" x14ac:dyDescent="0.25">
      <c r="A13208" s="1"/>
      <c r="B13208" s="1" t="s">
        <v>5782</v>
      </c>
      <c r="C13208" s="1" t="s">
        <v>5783</v>
      </c>
      <c r="D13208" s="22" t="str">
        <f>HYPERLINK("https://rhld.insurance.arkansas.gov/NPILookup?Npi=1154432441","1154432441")</f>
        <v>1154432441</v>
      </c>
      <c r="E13208" s="1" t="s">
        <v>21341</v>
      </c>
      <c r="F13208" s="2"/>
      <c r="G13208" s="2"/>
      <c r="H13208" s="2"/>
    </row>
    <row r="13209" spans="1:8" x14ac:dyDescent="0.25">
      <c r="A13209" s="1"/>
      <c r="B13209" s="1" t="s">
        <v>5782</v>
      </c>
      <c r="C13209" s="1" t="s">
        <v>5783</v>
      </c>
      <c r="D13209" s="22" t="str">
        <f>HYPERLINK("https://rhld.insurance.arkansas.gov/NPILookup?Npi=1154434413","1154434413")</f>
        <v>1154434413</v>
      </c>
      <c r="E13209" s="1" t="s">
        <v>21342</v>
      </c>
      <c r="F13209" s="2"/>
      <c r="G13209" s="2"/>
      <c r="H13209" s="2"/>
    </row>
    <row r="13210" spans="1:8" x14ac:dyDescent="0.25">
      <c r="A13210" s="1"/>
      <c r="B13210" s="1" t="s">
        <v>5782</v>
      </c>
      <c r="C13210" s="1" t="s">
        <v>5783</v>
      </c>
      <c r="D13210" s="22" t="str">
        <f>HYPERLINK("https://rhld.insurance.arkansas.gov/NPILookup?Npi=1154448470","1154448470")</f>
        <v>1154448470</v>
      </c>
      <c r="E13210" s="1" t="s">
        <v>11521</v>
      </c>
      <c r="F13210" s="2"/>
      <c r="G13210" s="2"/>
      <c r="H13210" s="2"/>
    </row>
    <row r="13211" spans="1:8" x14ac:dyDescent="0.25">
      <c r="A13211" s="1"/>
      <c r="B13211" s="1" t="s">
        <v>5782</v>
      </c>
      <c r="C13211" s="1" t="s">
        <v>5783</v>
      </c>
      <c r="D13211" s="22" t="str">
        <f>HYPERLINK("https://rhld.insurance.arkansas.gov/NPILookup?Npi=1154497469","1154497469")</f>
        <v>1154497469</v>
      </c>
      <c r="E13211" s="1" t="s">
        <v>21343</v>
      </c>
      <c r="F13211" s="2"/>
      <c r="G13211" s="2"/>
      <c r="H13211" s="2"/>
    </row>
    <row r="13212" spans="1:8" x14ac:dyDescent="0.25">
      <c r="A13212" s="1"/>
      <c r="B13212" s="1" t="s">
        <v>5782</v>
      </c>
      <c r="C13212" s="1" t="s">
        <v>5783</v>
      </c>
      <c r="D13212" s="22" t="str">
        <f>HYPERLINK("https://rhld.insurance.arkansas.gov/NPILookup?Npi=1154535169","1154535169")</f>
        <v>1154535169</v>
      </c>
      <c r="E13212" s="1" t="s">
        <v>2411</v>
      </c>
      <c r="F13212" s="2"/>
      <c r="G13212" s="2"/>
      <c r="H13212" s="2"/>
    </row>
    <row r="13213" spans="1:8" x14ac:dyDescent="0.25">
      <c r="A13213" s="1"/>
      <c r="B13213" s="1" t="s">
        <v>5782</v>
      </c>
      <c r="C13213" s="1" t="s">
        <v>5783</v>
      </c>
      <c r="D13213" s="22" t="str">
        <f>HYPERLINK("https://rhld.insurance.arkansas.gov/NPILookup?Npi=1154553238","1154553238")</f>
        <v>1154553238</v>
      </c>
      <c r="E13213" s="1" t="s">
        <v>2461</v>
      </c>
      <c r="F13213" s="2"/>
      <c r="G13213" s="2"/>
      <c r="H13213" s="2"/>
    </row>
    <row r="13214" spans="1:8" x14ac:dyDescent="0.25">
      <c r="A13214" s="1"/>
      <c r="B13214" s="1" t="s">
        <v>5782</v>
      </c>
      <c r="C13214" s="1" t="s">
        <v>5783</v>
      </c>
      <c r="D13214" s="22" t="str">
        <f>HYPERLINK("https://rhld.insurance.arkansas.gov/NPILookup?Npi=1154570521","1154570521")</f>
        <v>1154570521</v>
      </c>
      <c r="E13214" s="1" t="s">
        <v>21344</v>
      </c>
      <c r="F13214" s="2"/>
      <c r="G13214" s="2"/>
      <c r="H13214" s="2"/>
    </row>
    <row r="13215" spans="1:8" x14ac:dyDescent="0.25">
      <c r="A13215" s="1"/>
      <c r="B13215" s="1" t="s">
        <v>5782</v>
      </c>
      <c r="C13215" s="1" t="s">
        <v>5783</v>
      </c>
      <c r="D13215" s="22" t="str">
        <f>HYPERLINK("https://rhld.insurance.arkansas.gov/NPILookup?Npi=1154570604","1154570604")</f>
        <v>1154570604</v>
      </c>
      <c r="E13215" s="1" t="s">
        <v>3200</v>
      </c>
      <c r="F13215" s="2"/>
      <c r="G13215" s="2"/>
      <c r="H13215" s="2"/>
    </row>
    <row r="13216" spans="1:8" x14ac:dyDescent="0.25">
      <c r="A13216" s="1"/>
      <c r="B13216" s="1" t="s">
        <v>5782</v>
      </c>
      <c r="C13216" s="1" t="s">
        <v>5783</v>
      </c>
      <c r="D13216" s="22" t="str">
        <f>HYPERLINK("https://rhld.insurance.arkansas.gov/NPILookup?Npi=1154577807","1154577807")</f>
        <v>1154577807</v>
      </c>
      <c r="E13216" s="1" t="s">
        <v>21345</v>
      </c>
      <c r="F13216" s="2"/>
      <c r="G13216" s="2"/>
      <c r="H13216" s="2"/>
    </row>
    <row r="13217" spans="1:8" x14ac:dyDescent="0.25">
      <c r="A13217" s="1"/>
      <c r="B13217" s="1" t="s">
        <v>5782</v>
      </c>
      <c r="C13217" s="1" t="s">
        <v>5783</v>
      </c>
      <c r="D13217" s="22" t="str">
        <f>HYPERLINK("https://rhld.insurance.arkansas.gov/NPILookup?Npi=1154579902","1154579902")</f>
        <v>1154579902</v>
      </c>
      <c r="E13217" s="1" t="s">
        <v>396</v>
      </c>
      <c r="F13217" s="2"/>
      <c r="G13217" s="2"/>
      <c r="H13217" s="2"/>
    </row>
    <row r="13218" spans="1:8" x14ac:dyDescent="0.25">
      <c r="A13218" s="1"/>
      <c r="B13218" s="1" t="s">
        <v>5782</v>
      </c>
      <c r="C13218" s="1" t="s">
        <v>5783</v>
      </c>
      <c r="D13218" s="22" t="str">
        <f>HYPERLINK("https://rhld.insurance.arkansas.gov/NPILookup?Npi=1154579977","1154579977")</f>
        <v>1154579977</v>
      </c>
      <c r="E13218" s="1" t="s">
        <v>21346</v>
      </c>
      <c r="F13218" s="2"/>
      <c r="G13218" s="2"/>
      <c r="H13218" s="2"/>
    </row>
    <row r="13219" spans="1:8" x14ac:dyDescent="0.25">
      <c r="A13219" s="1"/>
      <c r="B13219" s="1" t="s">
        <v>5782</v>
      </c>
      <c r="C13219" s="1" t="s">
        <v>5783</v>
      </c>
      <c r="D13219" s="22" t="str">
        <f>HYPERLINK("https://rhld.insurance.arkansas.gov/NPILookup?Npi=1154591584","1154591584")</f>
        <v>1154591584</v>
      </c>
      <c r="E13219" s="1" t="s">
        <v>5980</v>
      </c>
      <c r="F13219" s="2"/>
      <c r="G13219" s="2"/>
      <c r="H13219" s="2"/>
    </row>
    <row r="13220" spans="1:8" x14ac:dyDescent="0.25">
      <c r="A13220" s="1"/>
      <c r="B13220" s="1" t="s">
        <v>5782</v>
      </c>
      <c r="C13220" s="1" t="s">
        <v>5783</v>
      </c>
      <c r="D13220" s="22" t="str">
        <f>HYPERLINK("https://rhld.insurance.arkansas.gov/NPILookup?Npi=1154600088","1154600088")</f>
        <v>1154600088</v>
      </c>
      <c r="E13220" s="1" t="s">
        <v>21347</v>
      </c>
      <c r="F13220" s="2"/>
      <c r="G13220" s="2"/>
      <c r="H13220" s="2"/>
    </row>
    <row r="13221" spans="1:8" x14ac:dyDescent="0.25">
      <c r="A13221" s="1"/>
      <c r="B13221" s="1" t="s">
        <v>5782</v>
      </c>
      <c r="C13221" s="1" t="s">
        <v>5783</v>
      </c>
      <c r="D13221" s="22" t="str">
        <f>HYPERLINK("https://rhld.insurance.arkansas.gov/NPILookup?Npi=1154603249","1154603249")</f>
        <v>1154603249</v>
      </c>
      <c r="E13221" s="1" t="s">
        <v>3201</v>
      </c>
      <c r="F13221" s="2"/>
      <c r="G13221" s="2"/>
      <c r="H13221" s="2"/>
    </row>
    <row r="13222" spans="1:8" x14ac:dyDescent="0.25">
      <c r="A13222" s="1"/>
      <c r="B13222" s="1" t="s">
        <v>5782</v>
      </c>
      <c r="C13222" s="1" t="s">
        <v>5783</v>
      </c>
      <c r="D13222" s="22" t="str">
        <f>HYPERLINK("https://rhld.insurance.arkansas.gov/NPILookup?Npi=1154648558","1154648558")</f>
        <v>1154648558</v>
      </c>
      <c r="E13222" s="1" t="s">
        <v>5981</v>
      </c>
      <c r="F13222" s="2"/>
      <c r="G13222" s="2"/>
      <c r="H13222" s="2"/>
    </row>
    <row r="13223" spans="1:8" x14ac:dyDescent="0.25">
      <c r="A13223" s="1"/>
      <c r="B13223" s="1" t="s">
        <v>5782</v>
      </c>
      <c r="C13223" s="1" t="s">
        <v>5783</v>
      </c>
      <c r="D13223" s="22" t="str">
        <f>HYPERLINK("https://rhld.insurance.arkansas.gov/NPILookup?Npi=1154665552","1154665552")</f>
        <v>1154665552</v>
      </c>
      <c r="E13223" s="1" t="s">
        <v>11522</v>
      </c>
      <c r="F13223" s="2"/>
      <c r="G13223" s="2"/>
      <c r="H13223" s="2"/>
    </row>
    <row r="13224" spans="1:8" x14ac:dyDescent="0.25">
      <c r="A13224" s="1"/>
      <c r="B13224" s="1" t="s">
        <v>5782</v>
      </c>
      <c r="C13224" s="1" t="s">
        <v>5783</v>
      </c>
      <c r="D13224" s="22" t="str">
        <f>HYPERLINK("https://rhld.insurance.arkansas.gov/NPILookup?Npi=1154684322","1154684322")</f>
        <v>1154684322</v>
      </c>
      <c r="E13224" s="1" t="s">
        <v>21348</v>
      </c>
      <c r="F13224" s="2"/>
      <c r="G13224" s="2"/>
      <c r="H13224" s="2"/>
    </row>
    <row r="13225" spans="1:8" x14ac:dyDescent="0.25">
      <c r="A13225" s="1"/>
      <c r="B13225" s="1" t="s">
        <v>5782</v>
      </c>
      <c r="C13225" s="1" t="s">
        <v>5783</v>
      </c>
      <c r="D13225" s="22" t="str">
        <f>HYPERLINK("https://rhld.insurance.arkansas.gov/NPILookup?Npi=1154694172","1154694172")</f>
        <v>1154694172</v>
      </c>
      <c r="E13225" s="1" t="s">
        <v>21349</v>
      </c>
      <c r="F13225" s="2"/>
      <c r="G13225" s="2"/>
      <c r="H13225" s="2"/>
    </row>
    <row r="13226" spans="1:8" x14ac:dyDescent="0.25">
      <c r="A13226" s="1"/>
      <c r="B13226" s="1" t="s">
        <v>5782</v>
      </c>
      <c r="C13226" s="1" t="s">
        <v>5783</v>
      </c>
      <c r="D13226" s="22" t="str">
        <f>HYPERLINK("https://rhld.insurance.arkansas.gov/NPILookup?Npi=1154700664","1154700664")</f>
        <v>1154700664</v>
      </c>
      <c r="E13226" s="1" t="s">
        <v>3202</v>
      </c>
      <c r="F13226" s="2"/>
      <c r="G13226" s="2"/>
      <c r="H13226" s="2"/>
    </row>
    <row r="13227" spans="1:8" x14ac:dyDescent="0.25">
      <c r="A13227" s="1"/>
      <c r="B13227" s="1" t="s">
        <v>5782</v>
      </c>
      <c r="C13227" s="1" t="s">
        <v>5783</v>
      </c>
      <c r="D13227" s="22" t="str">
        <f>HYPERLINK("https://rhld.insurance.arkansas.gov/NPILookup?Npi=1154702272","1154702272")</f>
        <v>1154702272</v>
      </c>
      <c r="E13227" s="1" t="s">
        <v>1593</v>
      </c>
      <c r="F13227" s="2"/>
      <c r="G13227" s="2"/>
      <c r="H13227" s="2"/>
    </row>
    <row r="13228" spans="1:8" x14ac:dyDescent="0.25">
      <c r="A13228" s="1"/>
      <c r="B13228" s="1" t="s">
        <v>5782</v>
      </c>
      <c r="C13228" s="1" t="s">
        <v>5783</v>
      </c>
      <c r="D13228" s="22" t="str">
        <f>HYPERLINK("https://rhld.insurance.arkansas.gov/NPILookup?Npi=1154735280","1154735280")</f>
        <v>1154735280</v>
      </c>
      <c r="E13228" s="1" t="s">
        <v>11523</v>
      </c>
      <c r="F13228" s="2"/>
      <c r="G13228" s="2"/>
      <c r="H13228" s="2"/>
    </row>
    <row r="13229" spans="1:8" x14ac:dyDescent="0.25">
      <c r="A13229" s="1"/>
      <c r="B13229" s="1" t="s">
        <v>5782</v>
      </c>
      <c r="C13229" s="1" t="s">
        <v>5783</v>
      </c>
      <c r="D13229" s="22" t="str">
        <f>HYPERLINK("https://rhld.insurance.arkansas.gov/NPILookup?Npi=1154735306","1154735306")</f>
        <v>1154735306</v>
      </c>
      <c r="E13229" s="1" t="s">
        <v>5983</v>
      </c>
      <c r="F13229" s="2"/>
      <c r="G13229" s="2"/>
      <c r="H13229" s="2"/>
    </row>
    <row r="13230" spans="1:8" x14ac:dyDescent="0.25">
      <c r="A13230" s="1"/>
      <c r="B13230" s="1" t="s">
        <v>5782</v>
      </c>
      <c r="C13230" s="1" t="s">
        <v>5783</v>
      </c>
      <c r="D13230" s="22" t="str">
        <f>HYPERLINK("https://rhld.insurance.arkansas.gov/NPILookup?Npi=1154735769","1154735769")</f>
        <v>1154735769</v>
      </c>
      <c r="E13230" s="1" t="s">
        <v>21350</v>
      </c>
      <c r="F13230" s="2"/>
      <c r="G13230" s="2"/>
      <c r="H13230" s="2"/>
    </row>
    <row r="13231" spans="1:8" x14ac:dyDescent="0.25">
      <c r="A13231" s="1"/>
      <c r="B13231" s="1" t="s">
        <v>5782</v>
      </c>
      <c r="C13231" s="1" t="s">
        <v>5783</v>
      </c>
      <c r="D13231" s="22" t="str">
        <f>HYPERLINK("https://rhld.insurance.arkansas.gov/NPILookup?Npi=1154746717","1154746717")</f>
        <v>1154746717</v>
      </c>
      <c r="E13231" s="1" t="s">
        <v>11524</v>
      </c>
      <c r="F13231" s="2"/>
      <c r="G13231" s="2"/>
      <c r="H13231" s="2"/>
    </row>
    <row r="13232" spans="1:8" x14ac:dyDescent="0.25">
      <c r="A13232" s="1"/>
      <c r="B13232" s="1" t="s">
        <v>5782</v>
      </c>
      <c r="C13232" s="1" t="s">
        <v>5783</v>
      </c>
      <c r="D13232" s="22" t="str">
        <f>HYPERLINK("https://rhld.insurance.arkansas.gov/NPILookup?Npi=1154752582","1154752582")</f>
        <v>1154752582</v>
      </c>
      <c r="E13232" s="1" t="s">
        <v>21351</v>
      </c>
      <c r="F13232" s="2"/>
      <c r="G13232" s="2"/>
      <c r="H13232" s="2"/>
    </row>
    <row r="13233" spans="1:8" x14ac:dyDescent="0.25">
      <c r="A13233" s="1"/>
      <c r="B13233" s="1" t="s">
        <v>5782</v>
      </c>
      <c r="C13233" s="1" t="s">
        <v>5783</v>
      </c>
      <c r="D13233" s="22" t="str">
        <f>HYPERLINK("https://rhld.insurance.arkansas.gov/NPILookup?Npi=1154772689","1154772689")</f>
        <v>1154772689</v>
      </c>
      <c r="E13233" s="1" t="s">
        <v>1319</v>
      </c>
      <c r="F13233" s="2"/>
      <c r="G13233" s="2"/>
      <c r="H13233" s="2"/>
    </row>
    <row r="13234" spans="1:8" x14ac:dyDescent="0.25">
      <c r="A13234" s="1"/>
      <c r="B13234" s="1" t="s">
        <v>5782</v>
      </c>
      <c r="C13234" s="1" t="s">
        <v>5783</v>
      </c>
      <c r="D13234" s="22" t="str">
        <f>HYPERLINK("https://rhld.insurance.arkansas.gov/NPILookup?Npi=1154773729","1154773729")</f>
        <v>1154773729</v>
      </c>
      <c r="E13234" s="1" t="s">
        <v>16665</v>
      </c>
      <c r="F13234" s="2"/>
      <c r="G13234" s="2"/>
      <c r="H13234" s="2"/>
    </row>
    <row r="13235" spans="1:8" x14ac:dyDescent="0.25">
      <c r="A13235" s="1"/>
      <c r="B13235" s="1" t="s">
        <v>5782</v>
      </c>
      <c r="C13235" s="1" t="s">
        <v>5783</v>
      </c>
      <c r="D13235" s="22" t="str">
        <f>HYPERLINK("https://rhld.insurance.arkansas.gov/NPILookup?Npi=1154789337","1154789337")</f>
        <v>1154789337</v>
      </c>
      <c r="E13235" s="1" t="s">
        <v>5984</v>
      </c>
      <c r="F13235" s="2"/>
      <c r="G13235" s="2"/>
      <c r="H13235" s="2"/>
    </row>
    <row r="13236" spans="1:8" x14ac:dyDescent="0.25">
      <c r="A13236" s="1"/>
      <c r="B13236" s="1" t="s">
        <v>5782</v>
      </c>
      <c r="C13236" s="1" t="s">
        <v>5783</v>
      </c>
      <c r="D13236" s="22" t="str">
        <f>HYPERLINK("https://rhld.insurance.arkansas.gov/NPILookup?Npi=1154800563","1154800563")</f>
        <v>1154800563</v>
      </c>
      <c r="E13236" s="1" t="s">
        <v>21352</v>
      </c>
      <c r="F13236" s="2"/>
      <c r="G13236" s="2"/>
      <c r="H13236" s="2"/>
    </row>
    <row r="13237" spans="1:8" x14ac:dyDescent="0.25">
      <c r="A13237" s="1"/>
      <c r="B13237" s="1" t="s">
        <v>5782</v>
      </c>
      <c r="C13237" s="1" t="s">
        <v>5783</v>
      </c>
      <c r="D13237" s="22" t="str">
        <f>HYPERLINK("https://rhld.insurance.arkansas.gov/NPILookup?Npi=1154801934","1154801934")</f>
        <v>1154801934</v>
      </c>
      <c r="E13237" s="1" t="s">
        <v>21353</v>
      </c>
      <c r="F13237" s="2"/>
      <c r="G13237" s="2"/>
      <c r="H13237" s="2"/>
    </row>
    <row r="13238" spans="1:8" x14ac:dyDescent="0.25">
      <c r="A13238" s="1"/>
      <c r="B13238" s="1" t="s">
        <v>5782</v>
      </c>
      <c r="C13238" s="1" t="s">
        <v>5783</v>
      </c>
      <c r="D13238" s="22" t="str">
        <f>HYPERLINK("https://rhld.insurance.arkansas.gov/NPILookup?Npi=1154806552","1154806552")</f>
        <v>1154806552</v>
      </c>
      <c r="E13238" s="1" t="s">
        <v>21354</v>
      </c>
      <c r="F13238" s="2"/>
      <c r="G13238" s="2"/>
      <c r="H13238" s="2"/>
    </row>
    <row r="13239" spans="1:8" x14ac:dyDescent="0.25">
      <c r="A13239" s="1"/>
      <c r="B13239" s="1" t="s">
        <v>5782</v>
      </c>
      <c r="C13239" s="1" t="s">
        <v>5783</v>
      </c>
      <c r="D13239" s="22" t="str">
        <f>HYPERLINK("https://rhld.insurance.arkansas.gov/NPILookup?Npi=1154834802","1154834802")</f>
        <v>1154834802</v>
      </c>
      <c r="E13239" s="1" t="s">
        <v>21355</v>
      </c>
      <c r="F13239" s="2"/>
      <c r="G13239" s="2"/>
      <c r="H13239" s="2"/>
    </row>
    <row r="13240" spans="1:8" x14ac:dyDescent="0.25">
      <c r="A13240" s="1"/>
      <c r="B13240" s="1" t="s">
        <v>5782</v>
      </c>
      <c r="C13240" s="1" t="s">
        <v>5783</v>
      </c>
      <c r="D13240" s="22" t="str">
        <f>HYPERLINK("https://rhld.insurance.arkansas.gov/NPILookup?Npi=1154847325","1154847325")</f>
        <v>1154847325</v>
      </c>
      <c r="E13240" s="1" t="s">
        <v>21356</v>
      </c>
      <c r="F13240" s="2"/>
      <c r="G13240" s="2"/>
      <c r="H13240" s="2"/>
    </row>
    <row r="13241" spans="1:8" x14ac:dyDescent="0.25">
      <c r="A13241" s="1"/>
      <c r="B13241" s="1" t="s">
        <v>5782</v>
      </c>
      <c r="C13241" s="1" t="s">
        <v>5783</v>
      </c>
      <c r="D13241" s="22" t="str">
        <f>HYPERLINK("https://rhld.insurance.arkansas.gov/NPILookup?Npi=1154879740","1154879740")</f>
        <v>1154879740</v>
      </c>
      <c r="E13241" s="1" t="s">
        <v>21357</v>
      </c>
      <c r="F13241" s="2"/>
      <c r="G13241" s="2"/>
      <c r="H13241" s="2"/>
    </row>
    <row r="13242" spans="1:8" x14ac:dyDescent="0.25">
      <c r="A13242" s="1"/>
      <c r="B13242" s="1" t="s">
        <v>5782</v>
      </c>
      <c r="C13242" s="1" t="s">
        <v>5783</v>
      </c>
      <c r="D13242" s="22" t="str">
        <f>HYPERLINK("https://rhld.insurance.arkansas.gov/NPILookup?Npi=1154889699","1154889699")</f>
        <v>1154889699</v>
      </c>
      <c r="E13242" s="1" t="s">
        <v>1849</v>
      </c>
      <c r="F13242" s="2"/>
      <c r="G13242" s="2"/>
      <c r="H13242" s="2"/>
    </row>
    <row r="13243" spans="1:8" x14ac:dyDescent="0.25">
      <c r="A13243" s="1"/>
      <c r="B13243" s="1" t="s">
        <v>5782</v>
      </c>
      <c r="C13243" s="1" t="s">
        <v>5783</v>
      </c>
      <c r="D13243" s="22" t="str">
        <f>HYPERLINK("https://rhld.insurance.arkansas.gov/NPILookup?Npi=1154890887","1154890887")</f>
        <v>1154890887</v>
      </c>
      <c r="E13243" s="1" t="s">
        <v>1594</v>
      </c>
      <c r="F13243" s="2"/>
      <c r="G13243" s="2"/>
      <c r="H13243" s="2"/>
    </row>
    <row r="13244" spans="1:8" x14ac:dyDescent="0.25">
      <c r="A13244" s="1"/>
      <c r="B13244" s="1" t="s">
        <v>5782</v>
      </c>
      <c r="C13244" s="1" t="s">
        <v>5783</v>
      </c>
      <c r="D13244" s="22" t="str">
        <f>HYPERLINK("https://rhld.insurance.arkansas.gov/NPILookup?Npi=1154913663","1154913663")</f>
        <v>1154913663</v>
      </c>
      <c r="E13244" s="1" t="s">
        <v>5985</v>
      </c>
      <c r="F13244" s="2"/>
      <c r="G13244" s="2"/>
      <c r="H13244" s="2"/>
    </row>
    <row r="13245" spans="1:8" x14ac:dyDescent="0.25">
      <c r="A13245" s="1"/>
      <c r="B13245" s="1" t="s">
        <v>5782</v>
      </c>
      <c r="C13245" s="1" t="s">
        <v>5783</v>
      </c>
      <c r="D13245" s="22" t="str">
        <f>HYPERLINK("https://rhld.insurance.arkansas.gov/NPILookup?Npi=1154928356","1154928356")</f>
        <v>1154928356</v>
      </c>
      <c r="E13245" s="1" t="s">
        <v>21358</v>
      </c>
      <c r="F13245" s="2"/>
      <c r="G13245" s="2"/>
      <c r="H13245" s="2"/>
    </row>
    <row r="13246" spans="1:8" x14ac:dyDescent="0.25">
      <c r="A13246" s="1"/>
      <c r="B13246" s="1" t="s">
        <v>5782</v>
      </c>
      <c r="C13246" s="1" t="s">
        <v>5783</v>
      </c>
      <c r="D13246" s="22" t="str">
        <f>HYPERLINK("https://rhld.insurance.arkansas.gov/NPILookup?Npi=1154959161","1154959161")</f>
        <v>1154959161</v>
      </c>
      <c r="E13246" s="1" t="s">
        <v>31811</v>
      </c>
      <c r="F13246" s="2"/>
      <c r="G13246" s="2"/>
      <c r="H13246" s="2"/>
    </row>
    <row r="13247" spans="1:8" x14ac:dyDescent="0.25">
      <c r="A13247" s="1"/>
      <c r="B13247" s="1" t="s">
        <v>5782</v>
      </c>
      <c r="C13247" s="1" t="s">
        <v>5783</v>
      </c>
      <c r="D13247" s="22" t="str">
        <f>HYPERLINK("https://rhld.insurance.arkansas.gov/NPILookup?Npi=1154960946","1154960946")</f>
        <v>1154960946</v>
      </c>
      <c r="E13247" s="1" t="s">
        <v>5986</v>
      </c>
      <c r="F13247" s="2"/>
      <c r="G13247" s="2"/>
      <c r="H13247" s="2"/>
    </row>
    <row r="13248" spans="1:8" x14ac:dyDescent="0.25">
      <c r="A13248" s="1"/>
      <c r="B13248" s="1" t="s">
        <v>5782</v>
      </c>
      <c r="C13248" s="1" t="s">
        <v>5783</v>
      </c>
      <c r="D13248" s="22" t="str">
        <f>HYPERLINK("https://rhld.insurance.arkansas.gov/NPILookup?Npi=1154964708","1154964708")</f>
        <v>1154964708</v>
      </c>
      <c r="E13248" s="1" t="s">
        <v>21359</v>
      </c>
      <c r="F13248" s="2"/>
      <c r="G13248" s="2"/>
      <c r="H13248" s="2"/>
    </row>
    <row r="13249" spans="1:8" x14ac:dyDescent="0.25">
      <c r="A13249" s="1"/>
      <c r="B13249" s="1" t="s">
        <v>5782</v>
      </c>
      <c r="C13249" s="1" t="s">
        <v>5783</v>
      </c>
      <c r="D13249" s="22" t="str">
        <f>HYPERLINK("https://rhld.insurance.arkansas.gov/NPILookup?Npi=1154981991","1154981991")</f>
        <v>1154981991</v>
      </c>
      <c r="E13249" s="1" t="s">
        <v>21360</v>
      </c>
      <c r="F13249" s="2"/>
      <c r="G13249" s="2"/>
      <c r="H13249" s="2"/>
    </row>
    <row r="13250" spans="1:8" x14ac:dyDescent="0.25">
      <c r="A13250" s="1"/>
      <c r="B13250" s="1" t="s">
        <v>5782</v>
      </c>
      <c r="C13250" s="1" t="s">
        <v>5783</v>
      </c>
      <c r="D13250" s="22" t="str">
        <f>HYPERLINK("https://rhld.insurance.arkansas.gov/NPILookup?Npi=1154994374","1154994374")</f>
        <v>1154994374</v>
      </c>
      <c r="E13250" s="1" t="s">
        <v>21361</v>
      </c>
      <c r="F13250" s="2"/>
      <c r="G13250" s="2"/>
      <c r="H13250" s="2"/>
    </row>
    <row r="13251" spans="1:8" x14ac:dyDescent="0.25">
      <c r="A13251" s="1"/>
      <c r="B13251" s="1" t="s">
        <v>5782</v>
      </c>
      <c r="C13251" s="1" t="s">
        <v>5783</v>
      </c>
      <c r="D13251" s="22" t="str">
        <f>HYPERLINK("https://rhld.insurance.arkansas.gov/NPILookup?Npi=1154998136","1154998136")</f>
        <v>1154998136</v>
      </c>
      <c r="E13251" s="1" t="s">
        <v>21362</v>
      </c>
      <c r="F13251" s="2"/>
      <c r="G13251" s="2"/>
      <c r="H13251" s="2"/>
    </row>
    <row r="13252" spans="1:8" x14ac:dyDescent="0.25">
      <c r="A13252" s="1"/>
      <c r="B13252" s="1" t="s">
        <v>5782</v>
      </c>
      <c r="C13252" s="1" t="s">
        <v>5783</v>
      </c>
      <c r="D13252" s="22" t="str">
        <f>HYPERLINK("https://rhld.insurance.arkansas.gov/NPILookup?Npi=1164006516","1164006516")</f>
        <v>1164006516</v>
      </c>
      <c r="E13252" s="1" t="s">
        <v>21363</v>
      </c>
      <c r="F13252" s="2"/>
      <c r="G13252" s="2"/>
      <c r="H13252" s="2"/>
    </row>
    <row r="13253" spans="1:8" x14ac:dyDescent="0.25">
      <c r="A13253" s="1"/>
      <c r="B13253" s="1" t="s">
        <v>5782</v>
      </c>
      <c r="C13253" s="1" t="s">
        <v>5783</v>
      </c>
      <c r="D13253" s="22" t="str">
        <f>HYPERLINK("https://rhld.insurance.arkansas.gov/NPILookup?Npi=1164010484","1164010484")</f>
        <v>1164010484</v>
      </c>
      <c r="E13253" s="1" t="s">
        <v>21364</v>
      </c>
      <c r="F13253" s="2"/>
      <c r="G13253" s="2"/>
      <c r="H13253" s="2"/>
    </row>
    <row r="13254" spans="1:8" x14ac:dyDescent="0.25">
      <c r="A13254" s="1"/>
      <c r="B13254" s="1" t="s">
        <v>5782</v>
      </c>
      <c r="C13254" s="1" t="s">
        <v>5783</v>
      </c>
      <c r="D13254" s="22" t="str">
        <f>HYPERLINK("https://rhld.insurance.arkansas.gov/NPILookup?Npi=1164031951","1164031951")</f>
        <v>1164031951</v>
      </c>
      <c r="E13254" s="1" t="s">
        <v>3435</v>
      </c>
      <c r="F13254" s="2"/>
      <c r="G13254" s="2"/>
      <c r="H13254" s="2"/>
    </row>
    <row r="13255" spans="1:8" x14ac:dyDescent="0.25">
      <c r="A13255" s="1"/>
      <c r="B13255" s="1" t="s">
        <v>5782</v>
      </c>
      <c r="C13255" s="1" t="s">
        <v>5783</v>
      </c>
      <c r="D13255" s="22" t="str">
        <f>HYPERLINK("https://rhld.insurance.arkansas.gov/NPILookup?Npi=1164054649","1164054649")</f>
        <v>1164054649</v>
      </c>
      <c r="E13255" s="1" t="s">
        <v>21365</v>
      </c>
      <c r="F13255" s="2"/>
      <c r="G13255" s="2"/>
      <c r="H13255" s="2"/>
    </row>
    <row r="13256" spans="1:8" x14ac:dyDescent="0.25">
      <c r="A13256" s="1"/>
      <c r="B13256" s="1" t="s">
        <v>5782</v>
      </c>
      <c r="C13256" s="1" t="s">
        <v>5783</v>
      </c>
      <c r="D13256" s="22" t="str">
        <f>HYPERLINK("https://rhld.insurance.arkansas.gov/NPILookup?Npi=1164054789","1164054789")</f>
        <v>1164054789</v>
      </c>
      <c r="E13256" s="1" t="s">
        <v>1657</v>
      </c>
      <c r="F13256" s="2"/>
      <c r="G13256" s="2"/>
      <c r="H13256" s="2"/>
    </row>
    <row r="13257" spans="1:8" x14ac:dyDescent="0.25">
      <c r="A13257" s="1"/>
      <c r="B13257" s="1" t="s">
        <v>5782</v>
      </c>
      <c r="C13257" s="1" t="s">
        <v>5783</v>
      </c>
      <c r="D13257" s="22" t="str">
        <f>HYPERLINK("https://rhld.insurance.arkansas.gov/NPILookup?Npi=1164055265","1164055265")</f>
        <v>1164055265</v>
      </c>
      <c r="E13257" s="1" t="s">
        <v>2462</v>
      </c>
      <c r="F13257" s="2"/>
      <c r="G13257" s="2"/>
      <c r="H13257" s="2"/>
    </row>
    <row r="13258" spans="1:8" x14ac:dyDescent="0.25">
      <c r="A13258" s="1"/>
      <c r="B13258" s="1" t="s">
        <v>5782</v>
      </c>
      <c r="C13258" s="1" t="s">
        <v>5783</v>
      </c>
      <c r="D13258" s="22" t="str">
        <f>HYPERLINK("https://rhld.insurance.arkansas.gov/NPILookup?Npi=1164061065","1164061065")</f>
        <v>1164061065</v>
      </c>
      <c r="E13258" s="1" t="s">
        <v>21366</v>
      </c>
      <c r="F13258" s="2"/>
      <c r="G13258" s="2"/>
      <c r="H13258" s="2"/>
    </row>
    <row r="13259" spans="1:8" x14ac:dyDescent="0.25">
      <c r="A13259" s="1"/>
      <c r="B13259" s="1" t="s">
        <v>5782</v>
      </c>
      <c r="C13259" s="1" t="s">
        <v>5783</v>
      </c>
      <c r="D13259" s="22" t="str">
        <f>HYPERLINK("https://rhld.insurance.arkansas.gov/NPILookup?Npi=1164068961","1164068961")</f>
        <v>1164068961</v>
      </c>
      <c r="E13259" s="1" t="s">
        <v>11526</v>
      </c>
      <c r="F13259" s="2"/>
      <c r="G13259" s="2"/>
      <c r="H13259" s="2"/>
    </row>
    <row r="13260" spans="1:8" x14ac:dyDescent="0.25">
      <c r="A13260" s="1"/>
      <c r="B13260" s="1" t="s">
        <v>5782</v>
      </c>
      <c r="C13260" s="1" t="s">
        <v>5783</v>
      </c>
      <c r="D13260" s="22" t="str">
        <f>HYPERLINK("https://rhld.insurance.arkansas.gov/NPILookup?Npi=1164079968","1164079968")</f>
        <v>1164079968</v>
      </c>
      <c r="E13260" s="1" t="s">
        <v>21367</v>
      </c>
      <c r="F13260" s="2"/>
      <c r="G13260" s="2"/>
      <c r="H13260" s="2"/>
    </row>
    <row r="13261" spans="1:8" x14ac:dyDescent="0.25">
      <c r="A13261" s="1"/>
      <c r="B13261" s="1" t="s">
        <v>5782</v>
      </c>
      <c r="C13261" s="1" t="s">
        <v>5783</v>
      </c>
      <c r="D13261" s="22" t="str">
        <f>HYPERLINK("https://rhld.insurance.arkansas.gov/NPILookup?Npi=1164084869","1164084869")</f>
        <v>1164084869</v>
      </c>
      <c r="E13261" s="1" t="s">
        <v>5988</v>
      </c>
      <c r="F13261" s="2"/>
      <c r="G13261" s="2"/>
      <c r="H13261" s="2"/>
    </row>
    <row r="13262" spans="1:8" x14ac:dyDescent="0.25">
      <c r="A13262" s="1"/>
      <c r="B13262" s="1" t="s">
        <v>5782</v>
      </c>
      <c r="C13262" s="1" t="s">
        <v>5783</v>
      </c>
      <c r="D13262" s="22" t="str">
        <f>HYPERLINK("https://rhld.insurance.arkansas.gov/NPILookup?Npi=1164095733","1164095733")</f>
        <v>1164095733</v>
      </c>
      <c r="E13262" s="1" t="s">
        <v>11527</v>
      </c>
      <c r="F13262" s="2"/>
      <c r="G13262" s="2"/>
      <c r="H13262" s="2"/>
    </row>
    <row r="13263" spans="1:8" x14ac:dyDescent="0.25">
      <c r="A13263" s="1"/>
      <c r="B13263" s="1" t="s">
        <v>5782</v>
      </c>
      <c r="C13263" s="1" t="s">
        <v>5783</v>
      </c>
      <c r="D13263" s="22" t="str">
        <f>HYPERLINK("https://rhld.insurance.arkansas.gov/NPILookup?Npi=1164099875","1164099875")</f>
        <v>1164099875</v>
      </c>
      <c r="E13263" s="1" t="s">
        <v>5989</v>
      </c>
      <c r="F13263" s="2"/>
      <c r="G13263" s="2"/>
      <c r="H13263" s="2"/>
    </row>
    <row r="13264" spans="1:8" x14ac:dyDescent="0.25">
      <c r="A13264" s="1"/>
      <c r="B13264" s="1" t="s">
        <v>5782</v>
      </c>
      <c r="C13264" s="1" t="s">
        <v>5783</v>
      </c>
      <c r="D13264" s="22" t="str">
        <f>HYPERLINK("https://rhld.insurance.arkansas.gov/NPILookup?Npi=1164131330","1164131330")</f>
        <v>1164131330</v>
      </c>
      <c r="E13264" s="1" t="s">
        <v>5990</v>
      </c>
      <c r="F13264" s="2"/>
      <c r="G13264" s="2"/>
      <c r="H13264" s="2"/>
    </row>
    <row r="13265" spans="1:8" x14ac:dyDescent="0.25">
      <c r="A13265" s="1"/>
      <c r="B13265" s="1" t="s">
        <v>5782</v>
      </c>
      <c r="C13265" s="1" t="s">
        <v>5783</v>
      </c>
      <c r="D13265" s="22" t="str">
        <f>HYPERLINK("https://rhld.insurance.arkansas.gov/NPILookup?Npi=1164146866","1164146866")</f>
        <v>1164146866</v>
      </c>
      <c r="E13265" s="1" t="s">
        <v>21368</v>
      </c>
      <c r="F13265" s="2"/>
      <c r="G13265" s="2"/>
      <c r="H13265" s="2"/>
    </row>
    <row r="13266" spans="1:8" x14ac:dyDescent="0.25">
      <c r="A13266" s="1"/>
      <c r="B13266" s="1" t="s">
        <v>5782</v>
      </c>
      <c r="C13266" s="1" t="s">
        <v>5783</v>
      </c>
      <c r="D13266" s="22" t="str">
        <f>HYPERLINK("https://rhld.insurance.arkansas.gov/NPILookup?Npi=1164156584","1164156584")</f>
        <v>1164156584</v>
      </c>
      <c r="E13266" s="1" t="s">
        <v>5991</v>
      </c>
      <c r="F13266" s="2"/>
      <c r="G13266" s="2"/>
      <c r="H13266" s="2"/>
    </row>
    <row r="13267" spans="1:8" x14ac:dyDescent="0.25">
      <c r="A13267" s="1"/>
      <c r="B13267" s="1" t="s">
        <v>5782</v>
      </c>
      <c r="C13267" s="1" t="s">
        <v>5783</v>
      </c>
      <c r="D13267" s="22" t="str">
        <f>HYPERLINK("https://rhld.insurance.arkansas.gov/NPILookup?Npi=1164255030","1164255030")</f>
        <v>1164255030</v>
      </c>
      <c r="E13267" s="1" t="s">
        <v>21369</v>
      </c>
      <c r="F13267" s="2"/>
      <c r="G13267" s="2"/>
      <c r="H13267" s="2"/>
    </row>
    <row r="13268" spans="1:8" x14ac:dyDescent="0.25">
      <c r="A13268" s="1"/>
      <c r="B13268" s="1" t="s">
        <v>5782</v>
      </c>
      <c r="C13268" s="1" t="s">
        <v>5783</v>
      </c>
      <c r="D13268" s="22" t="str">
        <f>HYPERLINK("https://rhld.insurance.arkansas.gov/NPILookup?Npi=1164269361","1164269361")</f>
        <v>1164269361</v>
      </c>
      <c r="E13268" s="1" t="s">
        <v>21370</v>
      </c>
      <c r="F13268" s="2"/>
      <c r="G13268" s="2"/>
      <c r="H13268" s="2"/>
    </row>
    <row r="13269" spans="1:8" x14ac:dyDescent="0.25">
      <c r="A13269" s="1"/>
      <c r="B13269" s="1" t="s">
        <v>5782</v>
      </c>
      <c r="C13269" s="1" t="s">
        <v>5783</v>
      </c>
      <c r="D13269" s="22" t="str">
        <f>HYPERLINK("https://rhld.insurance.arkansas.gov/NPILookup?Npi=1164417127","1164417127")</f>
        <v>1164417127</v>
      </c>
      <c r="E13269" s="1" t="s">
        <v>1127</v>
      </c>
      <c r="F13269" s="2"/>
      <c r="G13269" s="2"/>
      <c r="H13269" s="2"/>
    </row>
    <row r="13270" spans="1:8" x14ac:dyDescent="0.25">
      <c r="A13270" s="1"/>
      <c r="B13270" s="1" t="s">
        <v>5782</v>
      </c>
      <c r="C13270" s="1" t="s">
        <v>5783</v>
      </c>
      <c r="D13270" s="22" t="str">
        <f>HYPERLINK("https://rhld.insurance.arkansas.gov/NPILookup?Npi=1164437810","1164437810")</f>
        <v>1164437810</v>
      </c>
      <c r="E13270" s="1" t="s">
        <v>21371</v>
      </c>
      <c r="F13270" s="2"/>
      <c r="G13270" s="2"/>
      <c r="H13270" s="2"/>
    </row>
    <row r="13271" spans="1:8" x14ac:dyDescent="0.25">
      <c r="A13271" s="1"/>
      <c r="B13271" s="1" t="s">
        <v>5782</v>
      </c>
      <c r="C13271" s="1" t="s">
        <v>5783</v>
      </c>
      <c r="D13271" s="22" t="str">
        <f>HYPERLINK("https://rhld.insurance.arkansas.gov/NPILookup?Npi=1164450623","1164450623")</f>
        <v>1164450623</v>
      </c>
      <c r="E13271" s="1" t="s">
        <v>21372</v>
      </c>
      <c r="F13271" s="2"/>
      <c r="G13271" s="2"/>
      <c r="H13271" s="2"/>
    </row>
    <row r="13272" spans="1:8" x14ac:dyDescent="0.25">
      <c r="A13272" s="1"/>
      <c r="B13272" s="1" t="s">
        <v>5782</v>
      </c>
      <c r="C13272" s="1" t="s">
        <v>5783</v>
      </c>
      <c r="D13272" s="22" t="str">
        <f>HYPERLINK("https://rhld.insurance.arkansas.gov/NPILookup?Npi=1164461216","1164461216")</f>
        <v>1164461216</v>
      </c>
      <c r="E13272" s="1" t="s">
        <v>5992</v>
      </c>
      <c r="F13272" s="2"/>
      <c r="G13272" s="2"/>
      <c r="H13272" s="2"/>
    </row>
    <row r="13273" spans="1:8" x14ac:dyDescent="0.25">
      <c r="A13273" s="1"/>
      <c r="B13273" s="1" t="s">
        <v>5782</v>
      </c>
      <c r="C13273" s="1" t="s">
        <v>5783</v>
      </c>
      <c r="D13273" s="22" t="str">
        <f>HYPERLINK("https://rhld.insurance.arkansas.gov/NPILookup?Npi=1164489290","1164489290")</f>
        <v>1164489290</v>
      </c>
      <c r="E13273" s="1" t="s">
        <v>21373</v>
      </c>
      <c r="F13273" s="2"/>
      <c r="G13273" s="2"/>
      <c r="H13273" s="2"/>
    </row>
    <row r="13274" spans="1:8" x14ac:dyDescent="0.25">
      <c r="A13274" s="1"/>
      <c r="B13274" s="1" t="s">
        <v>5782</v>
      </c>
      <c r="C13274" s="1" t="s">
        <v>5783</v>
      </c>
      <c r="D13274" s="22" t="str">
        <f>HYPERLINK("https://rhld.insurance.arkansas.gov/NPILookup?Npi=1164504494","1164504494")</f>
        <v>1164504494</v>
      </c>
      <c r="E13274" s="1" t="s">
        <v>5993</v>
      </c>
      <c r="F13274" s="2"/>
      <c r="G13274" s="2"/>
      <c r="H13274" s="2"/>
    </row>
    <row r="13275" spans="1:8" x14ac:dyDescent="0.25">
      <c r="A13275" s="1"/>
      <c r="B13275" s="1" t="s">
        <v>5782</v>
      </c>
      <c r="C13275" s="1" t="s">
        <v>5783</v>
      </c>
      <c r="D13275" s="22" t="str">
        <f>HYPERLINK("https://rhld.insurance.arkansas.gov/NPILookup?Npi=1164512737","1164512737")</f>
        <v>1164512737</v>
      </c>
      <c r="E13275" s="1" t="s">
        <v>21374</v>
      </c>
      <c r="F13275" s="2"/>
      <c r="G13275" s="2"/>
      <c r="H13275" s="2"/>
    </row>
    <row r="13276" spans="1:8" x14ac:dyDescent="0.25">
      <c r="A13276" s="1"/>
      <c r="B13276" s="1" t="s">
        <v>5782</v>
      </c>
      <c r="C13276" s="1" t="s">
        <v>5783</v>
      </c>
      <c r="D13276" s="22" t="str">
        <f>HYPERLINK("https://rhld.insurance.arkansas.gov/NPILookup?Npi=1164535522","1164535522")</f>
        <v>1164535522</v>
      </c>
      <c r="E13276" s="1" t="s">
        <v>21375</v>
      </c>
      <c r="F13276" s="2"/>
      <c r="G13276" s="2"/>
      <c r="H13276" s="2"/>
    </row>
    <row r="13277" spans="1:8" x14ac:dyDescent="0.25">
      <c r="A13277" s="1"/>
      <c r="B13277" s="1" t="s">
        <v>5782</v>
      </c>
      <c r="C13277" s="1" t="s">
        <v>5783</v>
      </c>
      <c r="D13277" s="22" t="str">
        <f>HYPERLINK("https://rhld.insurance.arkansas.gov/NPILookup?Npi=1164552170","1164552170")</f>
        <v>1164552170</v>
      </c>
      <c r="E13277" s="1" t="s">
        <v>11529</v>
      </c>
      <c r="F13277" s="2"/>
      <c r="G13277" s="2"/>
      <c r="H13277" s="2"/>
    </row>
    <row r="13278" spans="1:8" x14ac:dyDescent="0.25">
      <c r="A13278" s="1"/>
      <c r="B13278" s="1" t="s">
        <v>5782</v>
      </c>
      <c r="C13278" s="1" t="s">
        <v>5783</v>
      </c>
      <c r="D13278" s="22" t="str">
        <f>HYPERLINK("https://rhld.insurance.arkansas.gov/NPILookup?Npi=1164557682","1164557682")</f>
        <v>1164557682</v>
      </c>
      <c r="E13278" s="1" t="s">
        <v>370</v>
      </c>
      <c r="F13278" s="2"/>
      <c r="G13278" s="2"/>
      <c r="H13278" s="2"/>
    </row>
    <row r="13279" spans="1:8" x14ac:dyDescent="0.25">
      <c r="A13279" s="1"/>
      <c r="B13279" s="1" t="s">
        <v>5782</v>
      </c>
      <c r="C13279" s="1" t="s">
        <v>5783</v>
      </c>
      <c r="D13279" s="22" t="str">
        <f>HYPERLINK("https://rhld.insurance.arkansas.gov/NPILookup?Npi=1164590261","1164590261")</f>
        <v>1164590261</v>
      </c>
      <c r="E13279" s="1" t="s">
        <v>21377</v>
      </c>
      <c r="F13279" s="2"/>
      <c r="G13279" s="2"/>
      <c r="H13279" s="2"/>
    </row>
    <row r="13280" spans="1:8" x14ac:dyDescent="0.25">
      <c r="A13280" s="1"/>
      <c r="B13280" s="1" t="s">
        <v>5782</v>
      </c>
      <c r="C13280" s="1" t="s">
        <v>5783</v>
      </c>
      <c r="D13280" s="22" t="str">
        <f>HYPERLINK("https://rhld.insurance.arkansas.gov/NPILookup?Npi=1164597183","1164597183")</f>
        <v>1164597183</v>
      </c>
      <c r="E13280" s="1" t="s">
        <v>321</v>
      </c>
      <c r="F13280" s="2"/>
      <c r="G13280" s="2"/>
      <c r="H13280" s="2"/>
    </row>
    <row r="13281" spans="1:8" x14ac:dyDescent="0.25">
      <c r="A13281" s="1"/>
      <c r="B13281" s="1" t="s">
        <v>5782</v>
      </c>
      <c r="C13281" s="1" t="s">
        <v>5783</v>
      </c>
      <c r="D13281" s="22" t="str">
        <f>HYPERLINK("https://rhld.insurance.arkansas.gov/NPILookup?Npi=1164604443","1164604443")</f>
        <v>1164604443</v>
      </c>
      <c r="E13281" s="1" t="s">
        <v>21378</v>
      </c>
      <c r="F13281" s="2"/>
      <c r="G13281" s="2"/>
      <c r="H13281" s="2"/>
    </row>
    <row r="13282" spans="1:8" x14ac:dyDescent="0.25">
      <c r="A13282" s="1"/>
      <c r="B13282" s="1" t="s">
        <v>5782</v>
      </c>
      <c r="C13282" s="1" t="s">
        <v>5783</v>
      </c>
      <c r="D13282" s="22" t="str">
        <f>HYPERLINK("https://rhld.insurance.arkansas.gov/NPILookup?Npi=1164608832","1164608832")</f>
        <v>1164608832</v>
      </c>
      <c r="E13282" s="1" t="s">
        <v>3203</v>
      </c>
      <c r="F13282" s="2"/>
      <c r="G13282" s="2"/>
      <c r="H13282" s="2"/>
    </row>
    <row r="13283" spans="1:8" x14ac:dyDescent="0.25">
      <c r="A13283" s="1"/>
      <c r="B13283" s="1" t="s">
        <v>5782</v>
      </c>
      <c r="C13283" s="1" t="s">
        <v>5783</v>
      </c>
      <c r="D13283" s="22" t="str">
        <f>HYPERLINK("https://rhld.insurance.arkansas.gov/NPILookup?Npi=1164614921","1164614921")</f>
        <v>1164614921</v>
      </c>
      <c r="E13283" s="1" t="s">
        <v>1054</v>
      </c>
      <c r="F13283" s="2"/>
      <c r="G13283" s="2"/>
      <c r="H13283" s="2"/>
    </row>
    <row r="13284" spans="1:8" x14ac:dyDescent="0.25">
      <c r="A13284" s="1"/>
      <c r="B13284" s="1" t="s">
        <v>5782</v>
      </c>
      <c r="C13284" s="1" t="s">
        <v>5783</v>
      </c>
      <c r="D13284" s="22" t="str">
        <f>HYPERLINK("https://rhld.insurance.arkansas.gov/NPILookup?Npi=1164626628","1164626628")</f>
        <v>1164626628</v>
      </c>
      <c r="E13284" s="1" t="s">
        <v>21379</v>
      </c>
      <c r="F13284" s="2"/>
      <c r="G13284" s="2"/>
      <c r="H13284" s="2"/>
    </row>
    <row r="13285" spans="1:8" x14ac:dyDescent="0.25">
      <c r="A13285" s="1"/>
      <c r="B13285" s="1" t="s">
        <v>5782</v>
      </c>
      <c r="C13285" s="1" t="s">
        <v>5783</v>
      </c>
      <c r="D13285" s="22" t="str">
        <f>HYPERLINK("https://rhld.insurance.arkansas.gov/NPILookup?Npi=1164645396","1164645396")</f>
        <v>1164645396</v>
      </c>
      <c r="E13285" s="1" t="s">
        <v>5995</v>
      </c>
      <c r="F13285" s="2"/>
      <c r="G13285" s="2"/>
      <c r="H13285" s="2"/>
    </row>
    <row r="13286" spans="1:8" x14ac:dyDescent="0.25">
      <c r="A13286" s="1"/>
      <c r="B13286" s="1" t="s">
        <v>5782</v>
      </c>
      <c r="C13286" s="1" t="s">
        <v>5783</v>
      </c>
      <c r="D13286" s="22" t="str">
        <f>HYPERLINK("https://rhld.insurance.arkansas.gov/NPILookup?Npi=1164652855","1164652855")</f>
        <v>1164652855</v>
      </c>
      <c r="E13286" s="1" t="s">
        <v>3528</v>
      </c>
      <c r="F13286" s="2"/>
      <c r="G13286" s="2"/>
      <c r="H13286" s="2"/>
    </row>
    <row r="13287" spans="1:8" x14ac:dyDescent="0.25">
      <c r="A13287" s="1"/>
      <c r="B13287" s="1" t="s">
        <v>5782</v>
      </c>
      <c r="C13287" s="1" t="s">
        <v>5783</v>
      </c>
      <c r="D13287" s="22" t="str">
        <f>HYPERLINK("https://rhld.insurance.arkansas.gov/NPILookup?Npi=1164654919","1164654919")</f>
        <v>1164654919</v>
      </c>
      <c r="E13287" s="1" t="s">
        <v>1850</v>
      </c>
      <c r="F13287" s="2"/>
      <c r="G13287" s="2"/>
      <c r="H13287" s="2"/>
    </row>
    <row r="13288" spans="1:8" x14ac:dyDescent="0.25">
      <c r="A13288" s="1"/>
      <c r="B13288" s="1" t="s">
        <v>5782</v>
      </c>
      <c r="C13288" s="1" t="s">
        <v>5783</v>
      </c>
      <c r="D13288" s="22" t="str">
        <f>HYPERLINK("https://rhld.insurance.arkansas.gov/NPILookup?Npi=1164659157","1164659157")</f>
        <v>1164659157</v>
      </c>
      <c r="E13288" s="1" t="s">
        <v>11530</v>
      </c>
      <c r="F13288" s="2"/>
      <c r="G13288" s="2"/>
      <c r="H13288" s="2"/>
    </row>
    <row r="13289" spans="1:8" x14ac:dyDescent="0.25">
      <c r="A13289" s="1"/>
      <c r="B13289" s="1" t="s">
        <v>5782</v>
      </c>
      <c r="C13289" s="1" t="s">
        <v>5783</v>
      </c>
      <c r="D13289" s="22" t="str">
        <f>HYPERLINK("https://rhld.insurance.arkansas.gov/NPILookup?Npi=1164671913","1164671913")</f>
        <v>1164671913</v>
      </c>
      <c r="E13289" s="1" t="s">
        <v>21380</v>
      </c>
      <c r="F13289" s="2"/>
      <c r="G13289" s="2"/>
      <c r="H13289" s="2"/>
    </row>
    <row r="13290" spans="1:8" x14ac:dyDescent="0.25">
      <c r="A13290" s="1"/>
      <c r="B13290" s="1" t="s">
        <v>5782</v>
      </c>
      <c r="C13290" s="1" t="s">
        <v>5783</v>
      </c>
      <c r="D13290" s="22" t="str">
        <f>HYPERLINK("https://rhld.insurance.arkansas.gov/NPILookup?Npi=1164701694","1164701694")</f>
        <v>1164701694</v>
      </c>
      <c r="E13290" s="1" t="s">
        <v>21381</v>
      </c>
      <c r="F13290" s="2"/>
      <c r="G13290" s="2"/>
      <c r="H13290" s="2"/>
    </row>
    <row r="13291" spans="1:8" x14ac:dyDescent="0.25">
      <c r="A13291" s="1"/>
      <c r="B13291" s="1" t="s">
        <v>5782</v>
      </c>
      <c r="C13291" s="1" t="s">
        <v>5783</v>
      </c>
      <c r="D13291" s="22" t="str">
        <f>HYPERLINK("https://rhld.insurance.arkansas.gov/NPILookup?Npi=1164705695","1164705695")</f>
        <v>1164705695</v>
      </c>
      <c r="E13291" s="1" t="s">
        <v>21382</v>
      </c>
      <c r="F13291" s="2"/>
      <c r="G13291" s="2"/>
      <c r="H13291" s="2"/>
    </row>
    <row r="13292" spans="1:8" x14ac:dyDescent="0.25">
      <c r="A13292" s="1"/>
      <c r="B13292" s="1" t="s">
        <v>5782</v>
      </c>
      <c r="C13292" s="1" t="s">
        <v>5783</v>
      </c>
      <c r="D13292" s="22" t="str">
        <f>HYPERLINK("https://rhld.insurance.arkansas.gov/NPILookup?Npi=1164707824","1164707824")</f>
        <v>1164707824</v>
      </c>
      <c r="E13292" s="1" t="s">
        <v>21383</v>
      </c>
      <c r="F13292" s="2"/>
      <c r="G13292" s="2"/>
      <c r="H13292" s="2"/>
    </row>
    <row r="13293" spans="1:8" x14ac:dyDescent="0.25">
      <c r="A13293" s="1"/>
      <c r="B13293" s="1" t="s">
        <v>5782</v>
      </c>
      <c r="C13293" s="1" t="s">
        <v>5783</v>
      </c>
      <c r="D13293" s="22" t="str">
        <f>HYPERLINK("https://rhld.insurance.arkansas.gov/NPILookup?Npi=1164713582","1164713582")</f>
        <v>1164713582</v>
      </c>
      <c r="E13293" s="1" t="s">
        <v>21384</v>
      </c>
      <c r="F13293" s="2"/>
      <c r="G13293" s="2"/>
      <c r="H13293" s="2"/>
    </row>
    <row r="13294" spans="1:8" x14ac:dyDescent="0.25">
      <c r="A13294" s="1"/>
      <c r="B13294" s="1" t="s">
        <v>5782</v>
      </c>
      <c r="C13294" s="1" t="s">
        <v>5783</v>
      </c>
      <c r="D13294" s="22" t="str">
        <f>HYPERLINK("https://rhld.insurance.arkansas.gov/NPILookup?Npi=1164722302","1164722302")</f>
        <v>1164722302</v>
      </c>
      <c r="E13294" s="1" t="s">
        <v>1320</v>
      </c>
      <c r="F13294" s="2"/>
      <c r="G13294" s="2"/>
      <c r="H13294" s="2"/>
    </row>
    <row r="13295" spans="1:8" x14ac:dyDescent="0.25">
      <c r="A13295" s="1"/>
      <c r="B13295" s="1" t="s">
        <v>5782</v>
      </c>
      <c r="C13295" s="1" t="s">
        <v>5783</v>
      </c>
      <c r="D13295" s="22" t="str">
        <f>HYPERLINK("https://rhld.insurance.arkansas.gov/NPILookup?Npi=1164730867","1164730867")</f>
        <v>1164730867</v>
      </c>
      <c r="E13295" s="1" t="s">
        <v>1055</v>
      </c>
      <c r="F13295" s="2"/>
      <c r="G13295" s="2"/>
      <c r="H13295" s="2"/>
    </row>
    <row r="13296" spans="1:8" x14ac:dyDescent="0.25">
      <c r="A13296" s="1"/>
      <c r="B13296" s="1" t="s">
        <v>5782</v>
      </c>
      <c r="C13296" s="1" t="s">
        <v>5783</v>
      </c>
      <c r="D13296" s="22" t="str">
        <f>HYPERLINK("https://rhld.insurance.arkansas.gov/NPILookup?Npi=1164735239","1164735239")</f>
        <v>1164735239</v>
      </c>
      <c r="E13296" s="1" t="s">
        <v>21385</v>
      </c>
      <c r="F13296" s="2"/>
      <c r="G13296" s="2"/>
      <c r="H13296" s="2"/>
    </row>
    <row r="13297" spans="1:8" x14ac:dyDescent="0.25">
      <c r="A13297" s="1"/>
      <c r="B13297" s="1" t="s">
        <v>5782</v>
      </c>
      <c r="C13297" s="1" t="s">
        <v>5783</v>
      </c>
      <c r="D13297" s="22" t="str">
        <f>HYPERLINK("https://rhld.insurance.arkansas.gov/NPILookup?Npi=1164743217","1164743217")</f>
        <v>1164743217</v>
      </c>
      <c r="E13297" s="1" t="s">
        <v>1128</v>
      </c>
      <c r="F13297" s="2"/>
      <c r="G13297" s="2"/>
      <c r="H13297" s="2"/>
    </row>
    <row r="13298" spans="1:8" x14ac:dyDescent="0.25">
      <c r="A13298" s="1"/>
      <c r="B13298" s="1" t="s">
        <v>5782</v>
      </c>
      <c r="C13298" s="1" t="s">
        <v>5783</v>
      </c>
      <c r="D13298" s="22" t="str">
        <f>HYPERLINK("https://rhld.insurance.arkansas.gov/NPILookup?Npi=1164753323","1164753323")</f>
        <v>1164753323</v>
      </c>
      <c r="E13298" s="1" t="s">
        <v>5996</v>
      </c>
      <c r="F13298" s="2"/>
      <c r="G13298" s="2"/>
      <c r="H13298" s="2"/>
    </row>
    <row r="13299" spans="1:8" x14ac:dyDescent="0.25">
      <c r="A13299" s="1"/>
      <c r="B13299" s="1" t="s">
        <v>5782</v>
      </c>
      <c r="C13299" s="1" t="s">
        <v>5783</v>
      </c>
      <c r="D13299" s="22" t="str">
        <f>HYPERLINK("https://rhld.insurance.arkansas.gov/NPILookup?Npi=1164774717","1164774717")</f>
        <v>1164774717</v>
      </c>
      <c r="E13299" s="1" t="s">
        <v>21386</v>
      </c>
      <c r="F13299" s="2"/>
      <c r="G13299" s="2"/>
      <c r="H13299" s="2"/>
    </row>
    <row r="13300" spans="1:8" x14ac:dyDescent="0.25">
      <c r="A13300" s="1"/>
      <c r="B13300" s="1" t="s">
        <v>5782</v>
      </c>
      <c r="C13300" s="1" t="s">
        <v>5783</v>
      </c>
      <c r="D13300" s="22" t="str">
        <f>HYPERLINK("https://rhld.insurance.arkansas.gov/NPILookup?Npi=1164780391","1164780391")</f>
        <v>1164780391</v>
      </c>
      <c r="E13300" s="1" t="s">
        <v>371</v>
      </c>
      <c r="F13300" s="2"/>
      <c r="G13300" s="2"/>
      <c r="H13300" s="2"/>
    </row>
    <row r="13301" spans="1:8" x14ac:dyDescent="0.25">
      <c r="A13301" s="1"/>
      <c r="B13301" s="1" t="s">
        <v>5782</v>
      </c>
      <c r="C13301" s="1" t="s">
        <v>5783</v>
      </c>
      <c r="D13301" s="22" t="str">
        <f>HYPERLINK("https://rhld.insurance.arkansas.gov/NPILookup?Npi=1164782124","1164782124")</f>
        <v>1164782124</v>
      </c>
      <c r="E13301" s="1" t="s">
        <v>2157</v>
      </c>
      <c r="F13301" s="2"/>
      <c r="G13301" s="2"/>
      <c r="H13301" s="2"/>
    </row>
    <row r="13302" spans="1:8" x14ac:dyDescent="0.25">
      <c r="A13302" s="1"/>
      <c r="B13302" s="1" t="s">
        <v>5782</v>
      </c>
      <c r="C13302" s="1" t="s">
        <v>5783</v>
      </c>
      <c r="D13302" s="22" t="str">
        <f>HYPERLINK("https://rhld.insurance.arkansas.gov/NPILookup?Npi=1164802195","1164802195")</f>
        <v>1164802195</v>
      </c>
      <c r="E13302" s="1" t="s">
        <v>5997</v>
      </c>
      <c r="F13302" s="2"/>
      <c r="G13302" s="2"/>
      <c r="H13302" s="2"/>
    </row>
    <row r="13303" spans="1:8" x14ac:dyDescent="0.25">
      <c r="A13303" s="1"/>
      <c r="B13303" s="1" t="s">
        <v>5782</v>
      </c>
      <c r="C13303" s="1" t="s">
        <v>5783</v>
      </c>
      <c r="D13303" s="22" t="str">
        <f>HYPERLINK("https://rhld.insurance.arkansas.gov/NPILookup?Npi=1164802468","1164802468")</f>
        <v>1164802468</v>
      </c>
      <c r="E13303" s="1" t="s">
        <v>21387</v>
      </c>
      <c r="F13303" s="2"/>
      <c r="G13303" s="2"/>
      <c r="H13303" s="2"/>
    </row>
    <row r="13304" spans="1:8" x14ac:dyDescent="0.25">
      <c r="A13304" s="1"/>
      <c r="B13304" s="1" t="s">
        <v>5782</v>
      </c>
      <c r="C13304" s="1" t="s">
        <v>5783</v>
      </c>
      <c r="D13304" s="22" t="str">
        <f>HYPERLINK("https://rhld.insurance.arkansas.gov/NPILookup?Npi=1164803615","1164803615")</f>
        <v>1164803615</v>
      </c>
      <c r="E13304" s="1" t="s">
        <v>5261</v>
      </c>
      <c r="F13304" s="2"/>
      <c r="G13304" s="2"/>
      <c r="H13304" s="2"/>
    </row>
    <row r="13305" spans="1:8" x14ac:dyDescent="0.25">
      <c r="A13305" s="1"/>
      <c r="B13305" s="1" t="s">
        <v>5782</v>
      </c>
      <c r="C13305" s="1" t="s">
        <v>5783</v>
      </c>
      <c r="D13305" s="22" t="str">
        <f>HYPERLINK("https://rhld.insurance.arkansas.gov/NPILookup?Npi=1164811089","1164811089")</f>
        <v>1164811089</v>
      </c>
      <c r="E13305" s="1" t="s">
        <v>21388</v>
      </c>
      <c r="F13305" s="2"/>
      <c r="G13305" s="2"/>
      <c r="H13305" s="2"/>
    </row>
    <row r="13306" spans="1:8" x14ac:dyDescent="0.25">
      <c r="A13306" s="1"/>
      <c r="B13306" s="1" t="s">
        <v>5782</v>
      </c>
      <c r="C13306" s="1" t="s">
        <v>5783</v>
      </c>
      <c r="D13306" s="22" t="str">
        <f>HYPERLINK("https://rhld.insurance.arkansas.gov/NPILookup?Npi=1164824934","1164824934")</f>
        <v>1164824934</v>
      </c>
      <c r="E13306" s="1" t="s">
        <v>21389</v>
      </c>
      <c r="F13306" s="2"/>
      <c r="G13306" s="2"/>
      <c r="H13306" s="2"/>
    </row>
    <row r="13307" spans="1:8" x14ac:dyDescent="0.25">
      <c r="A13307" s="1"/>
      <c r="B13307" s="1" t="s">
        <v>5782</v>
      </c>
      <c r="C13307" s="1" t="s">
        <v>5783</v>
      </c>
      <c r="D13307" s="22" t="str">
        <f>HYPERLINK("https://rhld.insurance.arkansas.gov/NPILookup?Npi=1164838660","1164838660")</f>
        <v>1164838660</v>
      </c>
      <c r="E13307" s="1" t="s">
        <v>5396</v>
      </c>
      <c r="F13307" s="2"/>
      <c r="G13307" s="2"/>
      <c r="H13307" s="2"/>
    </row>
    <row r="13308" spans="1:8" x14ac:dyDescent="0.25">
      <c r="A13308" s="1"/>
      <c r="B13308" s="1" t="s">
        <v>5782</v>
      </c>
      <c r="C13308" s="1" t="s">
        <v>5783</v>
      </c>
      <c r="D13308" s="22" t="str">
        <f>HYPERLINK("https://rhld.insurance.arkansas.gov/NPILookup?Npi=1164850103","1164850103")</f>
        <v>1164850103</v>
      </c>
      <c r="E13308" s="1" t="s">
        <v>3205</v>
      </c>
      <c r="F13308" s="2"/>
      <c r="G13308" s="2"/>
      <c r="H13308" s="2"/>
    </row>
    <row r="13309" spans="1:8" x14ac:dyDescent="0.25">
      <c r="A13309" s="1"/>
      <c r="B13309" s="1" t="s">
        <v>5782</v>
      </c>
      <c r="C13309" s="1" t="s">
        <v>5783</v>
      </c>
      <c r="D13309" s="22" t="str">
        <f>HYPERLINK("https://rhld.insurance.arkansas.gov/NPILookup?Npi=1164855201","1164855201")</f>
        <v>1164855201</v>
      </c>
      <c r="E13309" s="1" t="s">
        <v>1053</v>
      </c>
      <c r="F13309" s="2"/>
      <c r="G13309" s="2"/>
      <c r="H13309" s="2"/>
    </row>
    <row r="13310" spans="1:8" x14ac:dyDescent="0.25">
      <c r="A13310" s="1"/>
      <c r="B13310" s="1" t="s">
        <v>5782</v>
      </c>
      <c r="C13310" s="1" t="s">
        <v>5783</v>
      </c>
      <c r="D13310" s="22" t="str">
        <f>HYPERLINK("https://rhld.insurance.arkansas.gov/NPILookup?Npi=1164867784","1164867784")</f>
        <v>1164867784</v>
      </c>
      <c r="E13310" s="1" t="s">
        <v>21390</v>
      </c>
      <c r="F13310" s="2"/>
      <c r="G13310" s="2"/>
      <c r="H13310" s="2"/>
    </row>
    <row r="13311" spans="1:8" x14ac:dyDescent="0.25">
      <c r="A13311" s="1"/>
      <c r="B13311" s="1" t="s">
        <v>5782</v>
      </c>
      <c r="C13311" s="1" t="s">
        <v>5783</v>
      </c>
      <c r="D13311" s="22" t="str">
        <f>HYPERLINK("https://rhld.insurance.arkansas.gov/NPILookup?Npi=1164868709","1164868709")</f>
        <v>1164868709</v>
      </c>
      <c r="E13311" s="1" t="s">
        <v>21391</v>
      </c>
      <c r="F13311" s="2"/>
      <c r="G13311" s="2"/>
      <c r="H13311" s="2"/>
    </row>
    <row r="13312" spans="1:8" x14ac:dyDescent="0.25">
      <c r="A13312" s="1"/>
      <c r="B13312" s="1" t="s">
        <v>5782</v>
      </c>
      <c r="C13312" s="1" t="s">
        <v>5783</v>
      </c>
      <c r="D13312" s="22" t="str">
        <f>HYPERLINK("https://rhld.insurance.arkansas.gov/NPILookup?Npi=1164869988","1164869988")</f>
        <v>1164869988</v>
      </c>
      <c r="E13312" s="1" t="s">
        <v>21392</v>
      </c>
      <c r="F13312" s="2"/>
      <c r="G13312" s="2"/>
      <c r="H13312" s="2"/>
    </row>
    <row r="13313" spans="1:8" x14ac:dyDescent="0.25">
      <c r="A13313" s="1"/>
      <c r="B13313" s="1" t="s">
        <v>5782</v>
      </c>
      <c r="C13313" s="1" t="s">
        <v>5783</v>
      </c>
      <c r="D13313" s="22" t="str">
        <f>HYPERLINK("https://rhld.insurance.arkansas.gov/NPILookup?Npi=1164879417","1164879417")</f>
        <v>1164879417</v>
      </c>
      <c r="E13313" s="1" t="s">
        <v>21393</v>
      </c>
      <c r="F13313" s="2"/>
      <c r="G13313" s="2"/>
      <c r="H13313" s="2"/>
    </row>
    <row r="13314" spans="1:8" x14ac:dyDescent="0.25">
      <c r="A13314" s="1"/>
      <c r="B13314" s="1" t="s">
        <v>5782</v>
      </c>
      <c r="C13314" s="1" t="s">
        <v>5783</v>
      </c>
      <c r="D13314" s="22" t="str">
        <f>HYPERLINK("https://rhld.insurance.arkansas.gov/NPILookup?Npi=1164882106","1164882106")</f>
        <v>1164882106</v>
      </c>
      <c r="E13314" s="1" t="s">
        <v>21394</v>
      </c>
      <c r="F13314" s="2"/>
      <c r="G13314" s="2"/>
      <c r="H13314" s="2"/>
    </row>
    <row r="13315" spans="1:8" x14ac:dyDescent="0.25">
      <c r="A13315" s="1"/>
      <c r="B13315" s="1" t="s">
        <v>5782</v>
      </c>
      <c r="C13315" s="1" t="s">
        <v>5783</v>
      </c>
      <c r="D13315" s="22" t="str">
        <f>HYPERLINK("https://rhld.insurance.arkansas.gov/NPILookup?Npi=1164882494","1164882494")</f>
        <v>1164882494</v>
      </c>
      <c r="E13315" s="1" t="s">
        <v>11532</v>
      </c>
      <c r="F13315" s="2"/>
      <c r="G13315" s="2"/>
      <c r="H13315" s="2"/>
    </row>
    <row r="13316" spans="1:8" x14ac:dyDescent="0.25">
      <c r="A13316" s="1"/>
      <c r="B13316" s="1" t="s">
        <v>5782</v>
      </c>
      <c r="C13316" s="1" t="s">
        <v>5783</v>
      </c>
      <c r="D13316" s="22" t="str">
        <f>HYPERLINK("https://rhld.insurance.arkansas.gov/NPILookup?Npi=1164887600","1164887600")</f>
        <v>1164887600</v>
      </c>
      <c r="E13316" s="1" t="s">
        <v>5998</v>
      </c>
      <c r="F13316" s="2"/>
      <c r="G13316" s="2"/>
      <c r="H13316" s="2"/>
    </row>
    <row r="13317" spans="1:8" x14ac:dyDescent="0.25">
      <c r="A13317" s="1"/>
      <c r="B13317" s="1" t="s">
        <v>5782</v>
      </c>
      <c r="C13317" s="1" t="s">
        <v>5783</v>
      </c>
      <c r="D13317" s="22" t="str">
        <f>HYPERLINK("https://rhld.insurance.arkansas.gov/NPILookup?Npi=1164891933","1164891933")</f>
        <v>1164891933</v>
      </c>
      <c r="E13317" s="1" t="s">
        <v>1690</v>
      </c>
      <c r="F13317" s="2"/>
      <c r="G13317" s="2"/>
      <c r="H13317" s="2"/>
    </row>
    <row r="13318" spans="1:8" x14ac:dyDescent="0.25">
      <c r="A13318" s="1"/>
      <c r="B13318" s="1" t="s">
        <v>5782</v>
      </c>
      <c r="C13318" s="1" t="s">
        <v>5783</v>
      </c>
      <c r="D13318" s="22" t="str">
        <f>HYPERLINK("https://rhld.insurance.arkansas.gov/NPILookup?Npi=1164908778","1164908778")</f>
        <v>1164908778</v>
      </c>
      <c r="E13318" s="1" t="s">
        <v>21395</v>
      </c>
      <c r="F13318" s="2"/>
      <c r="G13318" s="2"/>
      <c r="H13318" s="2"/>
    </row>
    <row r="13319" spans="1:8" x14ac:dyDescent="0.25">
      <c r="A13319" s="1"/>
      <c r="B13319" s="1" t="s">
        <v>5782</v>
      </c>
      <c r="C13319" s="1" t="s">
        <v>5783</v>
      </c>
      <c r="D13319" s="22" t="str">
        <f>HYPERLINK("https://rhld.insurance.arkansas.gov/NPILookup?Npi=1164927281","1164927281")</f>
        <v>1164927281</v>
      </c>
      <c r="E13319" s="1" t="s">
        <v>21396</v>
      </c>
      <c r="F13319" s="2"/>
      <c r="G13319" s="2"/>
      <c r="H13319" s="2"/>
    </row>
    <row r="13320" spans="1:8" x14ac:dyDescent="0.25">
      <c r="A13320" s="1"/>
      <c r="B13320" s="1" t="s">
        <v>5782</v>
      </c>
      <c r="C13320" s="1" t="s">
        <v>5783</v>
      </c>
      <c r="D13320" s="22" t="str">
        <f>HYPERLINK("https://rhld.insurance.arkansas.gov/NPILookup?Npi=1164933453","1164933453")</f>
        <v>1164933453</v>
      </c>
      <c r="E13320" s="1" t="s">
        <v>5999</v>
      </c>
      <c r="F13320" s="2"/>
      <c r="G13320" s="2"/>
      <c r="H13320" s="2"/>
    </row>
    <row r="13321" spans="1:8" x14ac:dyDescent="0.25">
      <c r="A13321" s="1"/>
      <c r="B13321" s="1" t="s">
        <v>5782</v>
      </c>
      <c r="C13321" s="1" t="s">
        <v>5783</v>
      </c>
      <c r="D13321" s="22" t="str">
        <f>HYPERLINK("https://rhld.insurance.arkansas.gov/NPILookup?Npi=1164941928","1164941928")</f>
        <v>1164941928</v>
      </c>
      <c r="E13321" s="1" t="s">
        <v>6000</v>
      </c>
      <c r="F13321" s="2"/>
      <c r="G13321" s="2"/>
      <c r="H13321" s="2"/>
    </row>
    <row r="13322" spans="1:8" x14ac:dyDescent="0.25">
      <c r="A13322" s="1"/>
      <c r="B13322" s="1" t="s">
        <v>5782</v>
      </c>
      <c r="C13322" s="1" t="s">
        <v>5783</v>
      </c>
      <c r="D13322" s="22" t="str">
        <f>HYPERLINK("https://rhld.insurance.arkansas.gov/NPILookup?Npi=1164951992","1164951992")</f>
        <v>1164951992</v>
      </c>
      <c r="E13322" s="1" t="s">
        <v>11533</v>
      </c>
      <c r="F13322" s="2"/>
      <c r="G13322" s="2"/>
      <c r="H13322" s="2"/>
    </row>
    <row r="13323" spans="1:8" x14ac:dyDescent="0.25">
      <c r="A13323" s="1"/>
      <c r="B13323" s="1" t="s">
        <v>5782</v>
      </c>
      <c r="C13323" s="1" t="s">
        <v>5783</v>
      </c>
      <c r="D13323" s="22" t="str">
        <f>HYPERLINK("https://rhld.insurance.arkansas.gov/NPILookup?Npi=1164960225","1164960225")</f>
        <v>1164960225</v>
      </c>
      <c r="E13323" s="1" t="s">
        <v>11534</v>
      </c>
      <c r="F13323" s="2"/>
      <c r="G13323" s="2"/>
      <c r="H13323" s="2"/>
    </row>
    <row r="13324" spans="1:8" x14ac:dyDescent="0.25">
      <c r="A13324" s="1"/>
      <c r="B13324" s="1" t="s">
        <v>5782</v>
      </c>
      <c r="C13324" s="1" t="s">
        <v>5783</v>
      </c>
      <c r="D13324" s="22" t="str">
        <f>HYPERLINK("https://rhld.insurance.arkansas.gov/NPILookup?Npi=1164964656","1164964656")</f>
        <v>1164964656</v>
      </c>
      <c r="E13324" s="1" t="s">
        <v>5465</v>
      </c>
      <c r="F13324" s="2"/>
      <c r="G13324" s="2"/>
      <c r="H13324" s="2"/>
    </row>
    <row r="13325" spans="1:8" x14ac:dyDescent="0.25">
      <c r="A13325" s="1"/>
      <c r="B13325" s="1" t="s">
        <v>5782</v>
      </c>
      <c r="C13325" s="1" t="s">
        <v>5783</v>
      </c>
      <c r="D13325" s="22" t="str">
        <f>HYPERLINK("https://rhld.insurance.arkansas.gov/NPILookup?Npi=1174009260","1174009260")</f>
        <v>1174009260</v>
      </c>
      <c r="E13325" s="1" t="s">
        <v>21397</v>
      </c>
      <c r="F13325" s="2"/>
      <c r="G13325" s="2"/>
      <c r="H13325" s="2"/>
    </row>
    <row r="13326" spans="1:8" x14ac:dyDescent="0.25">
      <c r="A13326" s="1"/>
      <c r="B13326" s="1" t="s">
        <v>5782</v>
      </c>
      <c r="C13326" s="1" t="s">
        <v>5783</v>
      </c>
      <c r="D13326" s="22" t="str">
        <f>HYPERLINK("https://rhld.insurance.arkansas.gov/NPILookup?Npi=1174009781","1174009781")</f>
        <v>1174009781</v>
      </c>
      <c r="E13326" s="1" t="s">
        <v>21398</v>
      </c>
      <c r="F13326" s="2"/>
      <c r="G13326" s="2"/>
      <c r="H13326" s="2"/>
    </row>
    <row r="13327" spans="1:8" x14ac:dyDescent="0.25">
      <c r="A13327" s="1"/>
      <c r="B13327" s="1" t="s">
        <v>5782</v>
      </c>
      <c r="C13327" s="1" t="s">
        <v>5783</v>
      </c>
      <c r="D13327" s="22" t="str">
        <f>HYPERLINK("https://rhld.insurance.arkansas.gov/NPILookup?Npi=1174032213","1174032213")</f>
        <v>1174032213</v>
      </c>
      <c r="E13327" s="1" t="s">
        <v>6001</v>
      </c>
      <c r="F13327" s="2"/>
      <c r="G13327" s="2"/>
      <c r="H13327" s="2"/>
    </row>
    <row r="13328" spans="1:8" x14ac:dyDescent="0.25">
      <c r="A13328" s="1"/>
      <c r="B13328" s="1" t="s">
        <v>5782</v>
      </c>
      <c r="C13328" s="1" t="s">
        <v>5783</v>
      </c>
      <c r="D13328" s="22" t="str">
        <f>HYPERLINK("https://rhld.insurance.arkansas.gov/NPILookup?Npi=1174047484","1174047484")</f>
        <v>1174047484</v>
      </c>
      <c r="E13328" s="1" t="s">
        <v>6002</v>
      </c>
      <c r="F13328" s="2"/>
      <c r="G13328" s="2"/>
      <c r="H13328" s="2"/>
    </row>
    <row r="13329" spans="1:8" x14ac:dyDescent="0.25">
      <c r="A13329" s="1"/>
      <c r="B13329" s="1" t="s">
        <v>5782</v>
      </c>
      <c r="C13329" s="1" t="s">
        <v>5783</v>
      </c>
      <c r="D13329" s="22" t="str">
        <f>HYPERLINK("https://rhld.insurance.arkansas.gov/NPILookup?Npi=1174059554","1174059554")</f>
        <v>1174059554</v>
      </c>
      <c r="E13329" s="1" t="s">
        <v>11536</v>
      </c>
      <c r="F13329" s="2"/>
      <c r="G13329" s="2"/>
      <c r="H13329" s="2"/>
    </row>
    <row r="13330" spans="1:8" x14ac:dyDescent="0.25">
      <c r="A13330" s="1"/>
      <c r="B13330" s="1" t="s">
        <v>5782</v>
      </c>
      <c r="C13330" s="1" t="s">
        <v>5783</v>
      </c>
      <c r="D13330" s="22" t="str">
        <f>HYPERLINK("https://rhld.insurance.arkansas.gov/NPILookup?Npi=1174071583","1174071583")</f>
        <v>1174071583</v>
      </c>
      <c r="E13330" s="1" t="s">
        <v>21399</v>
      </c>
      <c r="F13330" s="2"/>
      <c r="G13330" s="2"/>
      <c r="H13330" s="2"/>
    </row>
    <row r="13331" spans="1:8" x14ac:dyDescent="0.25">
      <c r="A13331" s="1"/>
      <c r="B13331" s="1" t="s">
        <v>5782</v>
      </c>
      <c r="C13331" s="1" t="s">
        <v>5783</v>
      </c>
      <c r="D13331" s="22" t="str">
        <f>HYPERLINK("https://rhld.insurance.arkansas.gov/NPILookup?Npi=1174073878","1174073878")</f>
        <v>1174073878</v>
      </c>
      <c r="E13331" s="1" t="s">
        <v>21400</v>
      </c>
      <c r="F13331" s="2"/>
      <c r="G13331" s="2"/>
      <c r="H13331" s="2"/>
    </row>
    <row r="13332" spans="1:8" x14ac:dyDescent="0.25">
      <c r="A13332" s="1"/>
      <c r="B13332" s="1" t="s">
        <v>5782</v>
      </c>
      <c r="C13332" s="1" t="s">
        <v>5783</v>
      </c>
      <c r="D13332" s="22" t="str">
        <f>HYPERLINK("https://rhld.insurance.arkansas.gov/NPILookup?Npi=1174075378","1174075378")</f>
        <v>1174075378</v>
      </c>
      <c r="E13332" s="1" t="s">
        <v>6003</v>
      </c>
      <c r="F13332" s="2"/>
      <c r="G13332" s="2"/>
      <c r="H13332" s="2"/>
    </row>
    <row r="13333" spans="1:8" x14ac:dyDescent="0.25">
      <c r="A13333" s="1"/>
      <c r="B13333" s="1" t="s">
        <v>5782</v>
      </c>
      <c r="C13333" s="1" t="s">
        <v>5783</v>
      </c>
      <c r="D13333" s="22" t="str">
        <f>HYPERLINK("https://rhld.insurance.arkansas.gov/NPILookup?Npi=1174094825","1174094825")</f>
        <v>1174094825</v>
      </c>
      <c r="E13333" s="1" t="s">
        <v>21401</v>
      </c>
      <c r="F13333" s="2"/>
      <c r="G13333" s="2"/>
      <c r="H13333" s="2"/>
    </row>
    <row r="13334" spans="1:8" x14ac:dyDescent="0.25">
      <c r="A13334" s="1"/>
      <c r="B13334" s="1" t="s">
        <v>5782</v>
      </c>
      <c r="C13334" s="1" t="s">
        <v>5783</v>
      </c>
      <c r="D13334" s="22" t="str">
        <f>HYPERLINK("https://rhld.insurance.arkansas.gov/NPILookup?Npi=1174098115","1174098115")</f>
        <v>1174098115</v>
      </c>
      <c r="E13334" s="1" t="s">
        <v>21402</v>
      </c>
      <c r="F13334" s="2"/>
      <c r="G13334" s="2"/>
      <c r="H13334" s="2"/>
    </row>
    <row r="13335" spans="1:8" x14ac:dyDescent="0.25">
      <c r="A13335" s="1"/>
      <c r="B13335" s="1" t="s">
        <v>5782</v>
      </c>
      <c r="C13335" s="1" t="s">
        <v>5783</v>
      </c>
      <c r="D13335" s="22" t="str">
        <f>HYPERLINK("https://rhld.insurance.arkansas.gov/NPILookup?Npi=1174115265","1174115265")</f>
        <v>1174115265</v>
      </c>
      <c r="E13335" s="1" t="s">
        <v>21403</v>
      </c>
      <c r="F13335" s="2"/>
      <c r="G13335" s="2"/>
      <c r="H13335" s="2"/>
    </row>
    <row r="13336" spans="1:8" x14ac:dyDescent="0.25">
      <c r="A13336" s="1"/>
      <c r="B13336" s="1" t="s">
        <v>5782</v>
      </c>
      <c r="C13336" s="1" t="s">
        <v>5783</v>
      </c>
      <c r="D13336" s="22" t="str">
        <f>HYPERLINK("https://rhld.insurance.arkansas.gov/NPILookup?Npi=1174119796","1174119796")</f>
        <v>1174119796</v>
      </c>
      <c r="E13336" s="1" t="s">
        <v>21404</v>
      </c>
      <c r="F13336" s="2"/>
      <c r="G13336" s="2"/>
      <c r="H13336" s="2"/>
    </row>
    <row r="13337" spans="1:8" x14ac:dyDescent="0.25">
      <c r="A13337" s="1"/>
      <c r="B13337" s="1" t="s">
        <v>5782</v>
      </c>
      <c r="C13337" s="1" t="s">
        <v>5783</v>
      </c>
      <c r="D13337" s="22" t="str">
        <f>HYPERLINK("https://rhld.insurance.arkansas.gov/NPILookup?Npi=1174155006","1174155006")</f>
        <v>1174155006</v>
      </c>
      <c r="E13337" s="1" t="s">
        <v>2464</v>
      </c>
      <c r="F13337" s="2"/>
      <c r="G13337" s="2"/>
      <c r="H13337" s="2"/>
    </row>
    <row r="13338" spans="1:8" x14ac:dyDescent="0.25">
      <c r="A13338" s="1"/>
      <c r="B13338" s="1" t="s">
        <v>5782</v>
      </c>
      <c r="C13338" s="1" t="s">
        <v>5783</v>
      </c>
      <c r="D13338" s="22" t="str">
        <f>HYPERLINK("https://rhld.insurance.arkansas.gov/NPILookup?Npi=1174181952","1174181952")</f>
        <v>1174181952</v>
      </c>
      <c r="E13338" s="1" t="s">
        <v>21405</v>
      </c>
      <c r="F13338" s="2"/>
      <c r="G13338" s="2"/>
      <c r="H13338" s="2"/>
    </row>
    <row r="13339" spans="1:8" x14ac:dyDescent="0.25">
      <c r="A13339" s="1"/>
      <c r="B13339" s="1" t="s">
        <v>5782</v>
      </c>
      <c r="C13339" s="1" t="s">
        <v>5783</v>
      </c>
      <c r="D13339" s="22" t="str">
        <f>HYPERLINK("https://rhld.insurance.arkansas.gov/NPILookup?Npi=1174184733","1174184733")</f>
        <v>1174184733</v>
      </c>
      <c r="E13339" s="1" t="s">
        <v>11537</v>
      </c>
      <c r="F13339" s="2"/>
      <c r="G13339" s="2"/>
      <c r="H13339" s="2"/>
    </row>
    <row r="13340" spans="1:8" x14ac:dyDescent="0.25">
      <c r="A13340" s="1"/>
      <c r="B13340" s="1" t="s">
        <v>5782</v>
      </c>
      <c r="C13340" s="1" t="s">
        <v>5783</v>
      </c>
      <c r="D13340" s="22" t="str">
        <f>HYPERLINK("https://rhld.insurance.arkansas.gov/NPILookup?Npi=1174199087","1174199087")</f>
        <v>1174199087</v>
      </c>
      <c r="E13340" s="1" t="s">
        <v>21406</v>
      </c>
      <c r="F13340" s="2"/>
      <c r="G13340" s="2"/>
      <c r="H13340" s="2"/>
    </row>
    <row r="13341" spans="1:8" x14ac:dyDescent="0.25">
      <c r="A13341" s="1"/>
      <c r="B13341" s="1" t="s">
        <v>5782</v>
      </c>
      <c r="C13341" s="1" t="s">
        <v>5783</v>
      </c>
      <c r="D13341" s="22" t="str">
        <f>HYPERLINK("https://rhld.insurance.arkansas.gov/NPILookup?Npi=1174199632","1174199632")</f>
        <v>1174199632</v>
      </c>
      <c r="E13341" s="1" t="s">
        <v>21407</v>
      </c>
      <c r="F13341" s="2"/>
      <c r="G13341" s="2"/>
      <c r="H13341" s="2"/>
    </row>
    <row r="13342" spans="1:8" x14ac:dyDescent="0.25">
      <c r="A13342" s="1"/>
      <c r="B13342" s="1" t="s">
        <v>5782</v>
      </c>
      <c r="C13342" s="1" t="s">
        <v>5783</v>
      </c>
      <c r="D13342" s="22" t="str">
        <f>HYPERLINK("https://rhld.insurance.arkansas.gov/NPILookup?Npi=1174216907","1174216907")</f>
        <v>1174216907</v>
      </c>
      <c r="E13342" s="1" t="s">
        <v>6004</v>
      </c>
      <c r="F13342" s="2"/>
      <c r="G13342" s="2"/>
      <c r="H13342" s="2"/>
    </row>
    <row r="13343" spans="1:8" x14ac:dyDescent="0.25">
      <c r="A13343" s="1"/>
      <c r="B13343" s="1" t="s">
        <v>5782</v>
      </c>
      <c r="C13343" s="1" t="s">
        <v>5783</v>
      </c>
      <c r="D13343" s="22" t="str">
        <f>HYPERLINK("https://rhld.insurance.arkansas.gov/NPILookup?Npi=1174221741","1174221741")</f>
        <v>1174221741</v>
      </c>
      <c r="E13343" s="1" t="s">
        <v>21408</v>
      </c>
      <c r="F13343" s="2"/>
      <c r="G13343" s="2"/>
      <c r="H13343" s="2"/>
    </row>
    <row r="13344" spans="1:8" x14ac:dyDescent="0.25">
      <c r="A13344" s="1"/>
      <c r="B13344" s="1" t="s">
        <v>5782</v>
      </c>
      <c r="C13344" s="1" t="s">
        <v>5783</v>
      </c>
      <c r="D13344" s="22" t="str">
        <f>HYPERLINK("https://rhld.insurance.arkansas.gov/NPILookup?Npi=1174229983","1174229983")</f>
        <v>1174229983</v>
      </c>
      <c r="E13344" s="1" t="s">
        <v>13131</v>
      </c>
      <c r="F13344" s="2"/>
      <c r="G13344" s="2"/>
      <c r="H13344" s="2"/>
    </row>
    <row r="13345" spans="1:8" x14ac:dyDescent="0.25">
      <c r="A13345" s="1"/>
      <c r="B13345" s="1" t="s">
        <v>5782</v>
      </c>
      <c r="C13345" s="1" t="s">
        <v>5783</v>
      </c>
      <c r="D13345" s="22" t="str">
        <f>HYPERLINK("https://rhld.insurance.arkansas.gov/NPILookup?Npi=1174251789","1174251789")</f>
        <v>1174251789</v>
      </c>
      <c r="E13345" s="1" t="s">
        <v>146</v>
      </c>
      <c r="F13345" s="2"/>
      <c r="G13345" s="2"/>
      <c r="H13345" s="2"/>
    </row>
    <row r="13346" spans="1:8" x14ac:dyDescent="0.25">
      <c r="A13346" s="1"/>
      <c r="B13346" s="1" t="s">
        <v>5782</v>
      </c>
      <c r="C13346" s="1" t="s">
        <v>5783</v>
      </c>
      <c r="D13346" s="22" t="str">
        <f>HYPERLINK("https://rhld.insurance.arkansas.gov/NPILookup?Npi=1174274419","1174274419")</f>
        <v>1174274419</v>
      </c>
      <c r="E13346" s="1" t="s">
        <v>21409</v>
      </c>
      <c r="F13346" s="2"/>
      <c r="G13346" s="2"/>
      <c r="H13346" s="2"/>
    </row>
    <row r="13347" spans="1:8" x14ac:dyDescent="0.25">
      <c r="A13347" s="1"/>
      <c r="B13347" s="1" t="s">
        <v>5782</v>
      </c>
      <c r="C13347" s="1" t="s">
        <v>5783</v>
      </c>
      <c r="D13347" s="22" t="str">
        <f>HYPERLINK("https://rhld.insurance.arkansas.gov/NPILookup?Npi=1174284624","1174284624")</f>
        <v>1174284624</v>
      </c>
      <c r="E13347" s="1" t="s">
        <v>11538</v>
      </c>
      <c r="F13347" s="2"/>
      <c r="G13347" s="2"/>
      <c r="H13347" s="2"/>
    </row>
    <row r="13348" spans="1:8" x14ac:dyDescent="0.25">
      <c r="A13348" s="1"/>
      <c r="B13348" s="1" t="s">
        <v>5782</v>
      </c>
      <c r="C13348" s="1" t="s">
        <v>5783</v>
      </c>
      <c r="D13348" s="22" t="str">
        <f>HYPERLINK("https://rhld.insurance.arkansas.gov/NPILookup?Npi=1174309017","1174309017")</f>
        <v>1174309017</v>
      </c>
      <c r="E13348" s="1" t="s">
        <v>21410</v>
      </c>
      <c r="F13348" s="2"/>
      <c r="G13348" s="2"/>
      <c r="H13348" s="2"/>
    </row>
    <row r="13349" spans="1:8" x14ac:dyDescent="0.25">
      <c r="A13349" s="1"/>
      <c r="B13349" s="1" t="s">
        <v>5782</v>
      </c>
      <c r="C13349" s="1" t="s">
        <v>5783</v>
      </c>
      <c r="D13349" s="22" t="str">
        <f>HYPERLINK("https://rhld.insurance.arkansas.gov/NPILookup?Npi=1174501548","1174501548")</f>
        <v>1174501548</v>
      </c>
      <c r="E13349" s="1" t="s">
        <v>31812</v>
      </c>
      <c r="F13349" s="2"/>
      <c r="G13349" s="2"/>
      <c r="H13349" s="2"/>
    </row>
    <row r="13350" spans="1:8" x14ac:dyDescent="0.25">
      <c r="A13350" s="1"/>
      <c r="B13350" s="1" t="s">
        <v>5782</v>
      </c>
      <c r="C13350" s="1" t="s">
        <v>5783</v>
      </c>
      <c r="D13350" s="22" t="str">
        <f>HYPERLINK("https://rhld.insurance.arkansas.gov/NPILookup?Npi=1174542492","1174542492")</f>
        <v>1174542492</v>
      </c>
      <c r="E13350" s="1" t="s">
        <v>21411</v>
      </c>
      <c r="F13350" s="2"/>
      <c r="G13350" s="2"/>
      <c r="H13350" s="2"/>
    </row>
    <row r="13351" spans="1:8" x14ac:dyDescent="0.25">
      <c r="A13351" s="1"/>
      <c r="B13351" s="1" t="s">
        <v>5782</v>
      </c>
      <c r="C13351" s="1" t="s">
        <v>5783</v>
      </c>
      <c r="D13351" s="22" t="str">
        <f>HYPERLINK("https://rhld.insurance.arkansas.gov/NPILookup?Npi=1174600944","1174600944")</f>
        <v>1174600944</v>
      </c>
      <c r="E13351" s="1" t="s">
        <v>21412</v>
      </c>
      <c r="F13351" s="2"/>
      <c r="G13351" s="2"/>
      <c r="H13351" s="2"/>
    </row>
    <row r="13352" spans="1:8" x14ac:dyDescent="0.25">
      <c r="A13352" s="1"/>
      <c r="B13352" s="1" t="s">
        <v>5782</v>
      </c>
      <c r="C13352" s="1" t="s">
        <v>5783</v>
      </c>
      <c r="D13352" s="22" t="str">
        <f>HYPERLINK("https://rhld.insurance.arkansas.gov/NPILookup?Npi=1174640635","1174640635")</f>
        <v>1174640635</v>
      </c>
      <c r="E13352" s="1" t="s">
        <v>21413</v>
      </c>
      <c r="F13352" s="2"/>
      <c r="G13352" s="2"/>
      <c r="H13352" s="2"/>
    </row>
    <row r="13353" spans="1:8" x14ac:dyDescent="0.25">
      <c r="A13353" s="1"/>
      <c r="B13353" s="1" t="s">
        <v>5782</v>
      </c>
      <c r="C13353" s="1" t="s">
        <v>5783</v>
      </c>
      <c r="D13353" s="22" t="str">
        <f>HYPERLINK("https://rhld.insurance.arkansas.gov/NPILookup?Npi=1174641278","1174641278")</f>
        <v>1174641278</v>
      </c>
      <c r="E13353" s="1" t="s">
        <v>21414</v>
      </c>
      <c r="F13353" s="2"/>
      <c r="G13353" s="2"/>
      <c r="H13353" s="2"/>
    </row>
    <row r="13354" spans="1:8" x14ac:dyDescent="0.25">
      <c r="A13354" s="1"/>
      <c r="B13354" s="1" t="s">
        <v>5782</v>
      </c>
      <c r="C13354" s="1" t="s">
        <v>5783</v>
      </c>
      <c r="D13354" s="22" t="str">
        <f>HYPERLINK("https://rhld.insurance.arkansas.gov/NPILookup?Npi=1174645626","1174645626")</f>
        <v>1174645626</v>
      </c>
      <c r="E13354" s="1" t="s">
        <v>21415</v>
      </c>
      <c r="F13354" s="2"/>
      <c r="G13354" s="2"/>
      <c r="H13354" s="2"/>
    </row>
    <row r="13355" spans="1:8" x14ac:dyDescent="0.25">
      <c r="A13355" s="1"/>
      <c r="B13355" s="1" t="s">
        <v>5782</v>
      </c>
      <c r="C13355" s="1" t="s">
        <v>5783</v>
      </c>
      <c r="D13355" s="22" t="str">
        <f>HYPERLINK("https://rhld.insurance.arkansas.gov/NPILookup?Npi=1174667380","1174667380")</f>
        <v>1174667380</v>
      </c>
      <c r="E13355" s="1" t="s">
        <v>21416</v>
      </c>
      <c r="F13355" s="2"/>
      <c r="G13355" s="2"/>
      <c r="H13355" s="2"/>
    </row>
    <row r="13356" spans="1:8" x14ac:dyDescent="0.25">
      <c r="A13356" s="1"/>
      <c r="B13356" s="1" t="s">
        <v>5782</v>
      </c>
      <c r="C13356" s="1" t="s">
        <v>5783</v>
      </c>
      <c r="D13356" s="22" t="str">
        <f>HYPERLINK("https://rhld.insurance.arkansas.gov/NPILookup?Npi=1174676142","1174676142")</f>
        <v>1174676142</v>
      </c>
      <c r="E13356" s="1" t="s">
        <v>2159</v>
      </c>
      <c r="F13356" s="2"/>
      <c r="G13356" s="2"/>
      <c r="H13356" s="2"/>
    </row>
    <row r="13357" spans="1:8" x14ac:dyDescent="0.25">
      <c r="A13357" s="1"/>
      <c r="B13357" s="1" t="s">
        <v>5782</v>
      </c>
      <c r="C13357" s="1" t="s">
        <v>5783</v>
      </c>
      <c r="D13357" s="22" t="str">
        <f>HYPERLINK("https://rhld.insurance.arkansas.gov/NPILookup?Npi=1174678080","1174678080")</f>
        <v>1174678080</v>
      </c>
      <c r="E13357" s="1" t="s">
        <v>21417</v>
      </c>
      <c r="F13357" s="2"/>
      <c r="G13357" s="2"/>
      <c r="H13357" s="2"/>
    </row>
    <row r="13358" spans="1:8" x14ac:dyDescent="0.25">
      <c r="A13358" s="1"/>
      <c r="B13358" s="1" t="s">
        <v>5782</v>
      </c>
      <c r="C13358" s="1" t="s">
        <v>5783</v>
      </c>
      <c r="D13358" s="22" t="str">
        <f>HYPERLINK("https://rhld.insurance.arkansas.gov/NPILookup?Npi=1174711261","1174711261")</f>
        <v>1174711261</v>
      </c>
      <c r="E13358" s="1" t="s">
        <v>21418</v>
      </c>
      <c r="F13358" s="2"/>
      <c r="G13358" s="2"/>
      <c r="H13358" s="2"/>
    </row>
    <row r="13359" spans="1:8" x14ac:dyDescent="0.25">
      <c r="A13359" s="1"/>
      <c r="B13359" s="1" t="s">
        <v>5782</v>
      </c>
      <c r="C13359" s="1" t="s">
        <v>5783</v>
      </c>
      <c r="D13359" s="22" t="str">
        <f>HYPERLINK("https://rhld.insurance.arkansas.gov/NPILookup?Npi=1174771091","1174771091")</f>
        <v>1174771091</v>
      </c>
      <c r="E13359" s="1" t="s">
        <v>21419</v>
      </c>
      <c r="F13359" s="2"/>
      <c r="G13359" s="2"/>
      <c r="H13359" s="2"/>
    </row>
    <row r="13360" spans="1:8" x14ac:dyDescent="0.25">
      <c r="A13360" s="1"/>
      <c r="B13360" s="1" t="s">
        <v>5782</v>
      </c>
      <c r="C13360" s="1" t="s">
        <v>5783</v>
      </c>
      <c r="D13360" s="22" t="str">
        <f>HYPERLINK("https://rhld.insurance.arkansas.gov/NPILookup?Npi=1174772180","1174772180")</f>
        <v>1174772180</v>
      </c>
      <c r="E13360" s="1" t="s">
        <v>21420</v>
      </c>
      <c r="F13360" s="2"/>
      <c r="G13360" s="2"/>
      <c r="H13360" s="2"/>
    </row>
    <row r="13361" spans="1:8" x14ac:dyDescent="0.25">
      <c r="A13361" s="1"/>
      <c r="B13361" s="1" t="s">
        <v>5782</v>
      </c>
      <c r="C13361" s="1" t="s">
        <v>5783</v>
      </c>
      <c r="D13361" s="22" t="str">
        <f>HYPERLINK("https://rhld.insurance.arkansas.gov/NPILookup?Npi=1174792238","1174792238")</f>
        <v>1174792238</v>
      </c>
      <c r="E13361" s="1" t="s">
        <v>21421</v>
      </c>
      <c r="F13361" s="2"/>
      <c r="G13361" s="2"/>
      <c r="H13361" s="2"/>
    </row>
    <row r="13362" spans="1:8" x14ac:dyDescent="0.25">
      <c r="A13362" s="1"/>
      <c r="B13362" s="1" t="s">
        <v>5782</v>
      </c>
      <c r="C13362" s="1" t="s">
        <v>5783</v>
      </c>
      <c r="D13362" s="22" t="str">
        <f>HYPERLINK("https://rhld.insurance.arkansas.gov/NPILookup?Npi=1174806913","1174806913")</f>
        <v>1174806913</v>
      </c>
      <c r="E13362" s="1" t="s">
        <v>3206</v>
      </c>
      <c r="F13362" s="2"/>
      <c r="G13362" s="2"/>
      <c r="H13362" s="2"/>
    </row>
    <row r="13363" spans="1:8" x14ac:dyDescent="0.25">
      <c r="A13363" s="1"/>
      <c r="B13363" s="1" t="s">
        <v>5782</v>
      </c>
      <c r="C13363" s="1" t="s">
        <v>5783</v>
      </c>
      <c r="D13363" s="22" t="str">
        <f>HYPERLINK("https://rhld.insurance.arkansas.gov/NPILookup?Npi=1174811236","1174811236")</f>
        <v>1174811236</v>
      </c>
      <c r="E13363" s="1" t="s">
        <v>3280</v>
      </c>
      <c r="F13363" s="2"/>
      <c r="G13363" s="2"/>
      <c r="H13363" s="2"/>
    </row>
    <row r="13364" spans="1:8" x14ac:dyDescent="0.25">
      <c r="A13364" s="1"/>
      <c r="B13364" s="1" t="s">
        <v>5782</v>
      </c>
      <c r="C13364" s="1" t="s">
        <v>5783</v>
      </c>
      <c r="D13364" s="22" t="str">
        <f>HYPERLINK("https://rhld.insurance.arkansas.gov/NPILookup?Npi=1174829634","1174829634")</f>
        <v>1174829634</v>
      </c>
      <c r="E13364" s="1" t="s">
        <v>11539</v>
      </c>
      <c r="F13364" s="2"/>
      <c r="G13364" s="2"/>
      <c r="H13364" s="2"/>
    </row>
    <row r="13365" spans="1:8" x14ac:dyDescent="0.25">
      <c r="A13365" s="1"/>
      <c r="B13365" s="1" t="s">
        <v>5782</v>
      </c>
      <c r="C13365" s="1" t="s">
        <v>5783</v>
      </c>
      <c r="D13365" s="22" t="str">
        <f>HYPERLINK("https://rhld.insurance.arkansas.gov/NPILookup?Npi=1174839641","1174839641")</f>
        <v>1174839641</v>
      </c>
      <c r="E13365" s="1" t="s">
        <v>3208</v>
      </c>
      <c r="F13365" s="2"/>
      <c r="G13365" s="2"/>
      <c r="H13365" s="2"/>
    </row>
    <row r="13366" spans="1:8" x14ac:dyDescent="0.25">
      <c r="A13366" s="1"/>
      <c r="B13366" s="1" t="s">
        <v>5782</v>
      </c>
      <c r="C13366" s="1" t="s">
        <v>5783</v>
      </c>
      <c r="D13366" s="22" t="str">
        <f>HYPERLINK("https://rhld.insurance.arkansas.gov/NPILookup?Npi=1174845242","1174845242")</f>
        <v>1174845242</v>
      </c>
      <c r="E13366" s="1" t="s">
        <v>21422</v>
      </c>
      <c r="F13366" s="2"/>
      <c r="G13366" s="2"/>
      <c r="H13366" s="2"/>
    </row>
    <row r="13367" spans="1:8" x14ac:dyDescent="0.25">
      <c r="A13367" s="1"/>
      <c r="B13367" s="1" t="s">
        <v>5782</v>
      </c>
      <c r="C13367" s="1" t="s">
        <v>5783</v>
      </c>
      <c r="D13367" s="22" t="str">
        <f>HYPERLINK("https://rhld.insurance.arkansas.gov/NPILookup?Npi=1174872873","1174872873")</f>
        <v>1174872873</v>
      </c>
      <c r="E13367" s="1" t="s">
        <v>11540</v>
      </c>
      <c r="F13367" s="2"/>
      <c r="G13367" s="2"/>
      <c r="H13367" s="2"/>
    </row>
    <row r="13368" spans="1:8" x14ac:dyDescent="0.25">
      <c r="A13368" s="1"/>
      <c r="B13368" s="1" t="s">
        <v>5782</v>
      </c>
      <c r="C13368" s="1" t="s">
        <v>5783</v>
      </c>
      <c r="D13368" s="22" t="str">
        <f>HYPERLINK("https://rhld.insurance.arkansas.gov/NPILookup?Npi=1174874077","1174874077")</f>
        <v>1174874077</v>
      </c>
      <c r="E13368" s="1" t="s">
        <v>31813</v>
      </c>
      <c r="F13368" s="2"/>
      <c r="G13368" s="2"/>
      <c r="H13368" s="2"/>
    </row>
    <row r="13369" spans="1:8" x14ac:dyDescent="0.25">
      <c r="A13369" s="1"/>
      <c r="B13369" s="1" t="s">
        <v>5782</v>
      </c>
      <c r="C13369" s="1" t="s">
        <v>5783</v>
      </c>
      <c r="D13369" s="22" t="str">
        <f>HYPERLINK("https://rhld.insurance.arkansas.gov/NPILookup?Npi=1174879852","1174879852")</f>
        <v>1174879852</v>
      </c>
      <c r="E13369" s="1" t="s">
        <v>2160</v>
      </c>
      <c r="F13369" s="2"/>
      <c r="G13369" s="2"/>
      <c r="H13369" s="2"/>
    </row>
    <row r="13370" spans="1:8" x14ac:dyDescent="0.25">
      <c r="A13370" s="1"/>
      <c r="B13370" s="1" t="s">
        <v>5782</v>
      </c>
      <c r="C13370" s="1" t="s">
        <v>5783</v>
      </c>
      <c r="D13370" s="22" t="str">
        <f>HYPERLINK("https://rhld.insurance.arkansas.gov/NPILookup?Npi=1174890248","1174890248")</f>
        <v>1174890248</v>
      </c>
      <c r="E13370" s="1" t="s">
        <v>21423</v>
      </c>
      <c r="F13370" s="2"/>
      <c r="G13370" s="2"/>
      <c r="H13370" s="2"/>
    </row>
    <row r="13371" spans="1:8" x14ac:dyDescent="0.25">
      <c r="A13371" s="1"/>
      <c r="B13371" s="1" t="s">
        <v>5782</v>
      </c>
      <c r="C13371" s="1" t="s">
        <v>5783</v>
      </c>
      <c r="D13371" s="22" t="str">
        <f>HYPERLINK("https://rhld.insurance.arkansas.gov/NPILookup?Npi=1174893440","1174893440")</f>
        <v>1174893440</v>
      </c>
      <c r="E13371" s="1" t="s">
        <v>21424</v>
      </c>
      <c r="F13371" s="2"/>
      <c r="G13371" s="2"/>
      <c r="H13371" s="2"/>
    </row>
    <row r="13372" spans="1:8" x14ac:dyDescent="0.25">
      <c r="A13372" s="1"/>
      <c r="B13372" s="1" t="s">
        <v>5782</v>
      </c>
      <c r="C13372" s="1" t="s">
        <v>5783</v>
      </c>
      <c r="D13372" s="22" t="str">
        <f>HYPERLINK("https://rhld.insurance.arkansas.gov/NPILookup?Npi=1174929236","1174929236")</f>
        <v>1174929236</v>
      </c>
      <c r="E13372" s="1" t="s">
        <v>11405</v>
      </c>
      <c r="F13372" s="2"/>
      <c r="G13372" s="2"/>
      <c r="H13372" s="2"/>
    </row>
    <row r="13373" spans="1:8" x14ac:dyDescent="0.25">
      <c r="A13373" s="1"/>
      <c r="B13373" s="1" t="s">
        <v>5782</v>
      </c>
      <c r="C13373" s="1" t="s">
        <v>5783</v>
      </c>
      <c r="D13373" s="22" t="str">
        <f>HYPERLINK("https://rhld.insurance.arkansas.gov/NPILookup?Npi=1174946149","1174946149")</f>
        <v>1174946149</v>
      </c>
      <c r="E13373" s="1" t="s">
        <v>21425</v>
      </c>
      <c r="F13373" s="2"/>
      <c r="G13373" s="2"/>
      <c r="H13373" s="2"/>
    </row>
    <row r="13374" spans="1:8" x14ac:dyDescent="0.25">
      <c r="A13374" s="1"/>
      <c r="B13374" s="1" t="s">
        <v>5782</v>
      </c>
      <c r="C13374" s="1" t="s">
        <v>5783</v>
      </c>
      <c r="D13374" s="22" t="str">
        <f>HYPERLINK("https://rhld.insurance.arkansas.gov/NPILookup?Npi=1174957104","1174957104")</f>
        <v>1174957104</v>
      </c>
      <c r="E13374" s="1" t="s">
        <v>21426</v>
      </c>
      <c r="F13374" s="2"/>
      <c r="G13374" s="2"/>
      <c r="H13374" s="2"/>
    </row>
    <row r="13375" spans="1:8" x14ac:dyDescent="0.25">
      <c r="A13375" s="1"/>
      <c r="B13375" s="1" t="s">
        <v>5782</v>
      </c>
      <c r="C13375" s="1" t="s">
        <v>5783</v>
      </c>
      <c r="D13375" s="22" t="str">
        <f>HYPERLINK("https://rhld.insurance.arkansas.gov/NPILookup?Npi=1174977466","1174977466")</f>
        <v>1174977466</v>
      </c>
      <c r="E13375" s="1" t="s">
        <v>21427</v>
      </c>
      <c r="F13375" s="2"/>
      <c r="G13375" s="2"/>
      <c r="H13375" s="2"/>
    </row>
    <row r="13376" spans="1:8" x14ac:dyDescent="0.25">
      <c r="A13376" s="1"/>
      <c r="B13376" s="1" t="s">
        <v>5782</v>
      </c>
      <c r="C13376" s="1" t="s">
        <v>5783</v>
      </c>
      <c r="D13376" s="22" t="str">
        <f>HYPERLINK("https://rhld.insurance.arkansas.gov/NPILookup?Npi=1174981724","1174981724")</f>
        <v>1174981724</v>
      </c>
      <c r="E13376" s="1" t="s">
        <v>16937</v>
      </c>
      <c r="F13376" s="2"/>
      <c r="G13376" s="2"/>
      <c r="H13376" s="2"/>
    </row>
    <row r="13377" spans="1:8" x14ac:dyDescent="0.25">
      <c r="A13377" s="1"/>
      <c r="B13377" s="1" t="s">
        <v>5782</v>
      </c>
      <c r="C13377" s="1" t="s">
        <v>5783</v>
      </c>
      <c r="D13377" s="22" t="str">
        <f>HYPERLINK("https://rhld.insurance.arkansas.gov/NPILookup?Npi=1184005043","1184005043")</f>
        <v>1184005043</v>
      </c>
      <c r="E13377" s="1" t="s">
        <v>21428</v>
      </c>
      <c r="F13377" s="2"/>
      <c r="G13377" s="2"/>
      <c r="H13377" s="2"/>
    </row>
    <row r="13378" spans="1:8" x14ac:dyDescent="0.25">
      <c r="A13378" s="1"/>
      <c r="B13378" s="1" t="s">
        <v>5782</v>
      </c>
      <c r="C13378" s="1" t="s">
        <v>5783</v>
      </c>
      <c r="D13378" s="22" t="str">
        <f>HYPERLINK("https://rhld.insurance.arkansas.gov/NPILookup?Npi=1184020273","1184020273")</f>
        <v>1184020273</v>
      </c>
      <c r="E13378" s="1" t="s">
        <v>6005</v>
      </c>
      <c r="F13378" s="2"/>
      <c r="G13378" s="2"/>
      <c r="H13378" s="2"/>
    </row>
    <row r="13379" spans="1:8" x14ac:dyDescent="0.25">
      <c r="A13379" s="1"/>
      <c r="B13379" s="1" t="s">
        <v>5782</v>
      </c>
      <c r="C13379" s="1" t="s">
        <v>5783</v>
      </c>
      <c r="D13379" s="22" t="str">
        <f>HYPERLINK("https://rhld.insurance.arkansas.gov/NPILookup?Npi=1184031395","1184031395")</f>
        <v>1184031395</v>
      </c>
      <c r="E13379" s="1" t="s">
        <v>21429</v>
      </c>
      <c r="F13379" s="2"/>
      <c r="G13379" s="2"/>
      <c r="H13379" s="2"/>
    </row>
    <row r="13380" spans="1:8" x14ac:dyDescent="0.25">
      <c r="A13380" s="1"/>
      <c r="B13380" s="1" t="s">
        <v>5782</v>
      </c>
      <c r="C13380" s="1" t="s">
        <v>5783</v>
      </c>
      <c r="D13380" s="22" t="str">
        <f>HYPERLINK("https://rhld.insurance.arkansas.gov/NPILookup?Npi=1184034126","1184034126")</f>
        <v>1184034126</v>
      </c>
      <c r="E13380" s="1" t="s">
        <v>21430</v>
      </c>
      <c r="F13380" s="2"/>
      <c r="G13380" s="2"/>
      <c r="H13380" s="2"/>
    </row>
    <row r="13381" spans="1:8" x14ac:dyDescent="0.25">
      <c r="A13381" s="1"/>
      <c r="B13381" s="1" t="s">
        <v>5782</v>
      </c>
      <c r="C13381" s="1" t="s">
        <v>5783</v>
      </c>
      <c r="D13381" s="22" t="str">
        <f>HYPERLINK("https://rhld.insurance.arkansas.gov/NPILookup?Npi=1184041808","1184041808")</f>
        <v>1184041808</v>
      </c>
      <c r="E13381" s="1" t="s">
        <v>21431</v>
      </c>
      <c r="F13381" s="2"/>
      <c r="G13381" s="2"/>
      <c r="H13381" s="2"/>
    </row>
    <row r="13382" spans="1:8" x14ac:dyDescent="0.25">
      <c r="A13382" s="1"/>
      <c r="B13382" s="1" t="s">
        <v>5782</v>
      </c>
      <c r="C13382" s="1" t="s">
        <v>5783</v>
      </c>
      <c r="D13382" s="22" t="str">
        <f>HYPERLINK("https://rhld.insurance.arkansas.gov/NPILookup?Npi=1184054819","1184054819")</f>
        <v>1184054819</v>
      </c>
      <c r="E13382" s="1" t="s">
        <v>3289</v>
      </c>
      <c r="F13382" s="2"/>
      <c r="G13382" s="2"/>
      <c r="H13382" s="2"/>
    </row>
    <row r="13383" spans="1:8" x14ac:dyDescent="0.25">
      <c r="A13383" s="1"/>
      <c r="B13383" s="1" t="s">
        <v>5782</v>
      </c>
      <c r="C13383" s="1" t="s">
        <v>5783</v>
      </c>
      <c r="D13383" s="22" t="str">
        <f>HYPERLINK("https://rhld.insurance.arkansas.gov/NPILookup?Npi=1184064644","1184064644")</f>
        <v>1184064644</v>
      </c>
      <c r="E13383" s="1" t="s">
        <v>6006</v>
      </c>
      <c r="F13383" s="2"/>
      <c r="G13383" s="2"/>
      <c r="H13383" s="2"/>
    </row>
    <row r="13384" spans="1:8" x14ac:dyDescent="0.25">
      <c r="A13384" s="1"/>
      <c r="B13384" s="1" t="s">
        <v>5782</v>
      </c>
      <c r="C13384" s="1" t="s">
        <v>5783</v>
      </c>
      <c r="D13384" s="22" t="str">
        <f>HYPERLINK("https://rhld.insurance.arkansas.gov/NPILookup?Npi=1184078875","1184078875")</f>
        <v>1184078875</v>
      </c>
      <c r="E13384" s="1" t="s">
        <v>11542</v>
      </c>
      <c r="F13384" s="2"/>
      <c r="G13384" s="2"/>
      <c r="H13384" s="2"/>
    </row>
    <row r="13385" spans="1:8" x14ac:dyDescent="0.25">
      <c r="A13385" s="1"/>
      <c r="B13385" s="1" t="s">
        <v>5782</v>
      </c>
      <c r="C13385" s="1" t="s">
        <v>5783</v>
      </c>
      <c r="D13385" s="22" t="str">
        <f>HYPERLINK("https://rhld.insurance.arkansas.gov/NPILookup?Npi=1184097511","1184097511")</f>
        <v>1184097511</v>
      </c>
      <c r="E13385" s="1" t="s">
        <v>3209</v>
      </c>
      <c r="F13385" s="2"/>
      <c r="G13385" s="2"/>
      <c r="H13385" s="2"/>
    </row>
    <row r="13386" spans="1:8" x14ac:dyDescent="0.25">
      <c r="A13386" s="1"/>
      <c r="B13386" s="1" t="s">
        <v>5782</v>
      </c>
      <c r="C13386" s="1" t="s">
        <v>5783</v>
      </c>
      <c r="D13386" s="22" t="str">
        <f>HYPERLINK("https://rhld.insurance.arkansas.gov/NPILookup?Npi=1184110942","1184110942")</f>
        <v>1184110942</v>
      </c>
      <c r="E13386" s="1" t="s">
        <v>11543</v>
      </c>
      <c r="F13386" s="2"/>
      <c r="G13386" s="2"/>
      <c r="H13386" s="2"/>
    </row>
    <row r="13387" spans="1:8" x14ac:dyDescent="0.25">
      <c r="A13387" s="1"/>
      <c r="B13387" s="1" t="s">
        <v>5782</v>
      </c>
      <c r="C13387" s="1" t="s">
        <v>5783</v>
      </c>
      <c r="D13387" s="22" t="str">
        <f>HYPERLINK("https://rhld.insurance.arkansas.gov/NPILookup?Npi=1184114001","1184114001")</f>
        <v>1184114001</v>
      </c>
      <c r="E13387" s="1" t="s">
        <v>6007</v>
      </c>
      <c r="F13387" s="2"/>
      <c r="G13387" s="2"/>
      <c r="H13387" s="2"/>
    </row>
    <row r="13388" spans="1:8" x14ac:dyDescent="0.25">
      <c r="A13388" s="1"/>
      <c r="B13388" s="1" t="s">
        <v>5782</v>
      </c>
      <c r="C13388" s="1" t="s">
        <v>5783</v>
      </c>
      <c r="D13388" s="22" t="str">
        <f>HYPERLINK("https://rhld.insurance.arkansas.gov/NPILookup?Npi=1184123002","1184123002")</f>
        <v>1184123002</v>
      </c>
      <c r="E13388" s="1" t="s">
        <v>21432</v>
      </c>
      <c r="F13388" s="2"/>
      <c r="G13388" s="2"/>
      <c r="H13388" s="2"/>
    </row>
    <row r="13389" spans="1:8" x14ac:dyDescent="0.25">
      <c r="A13389" s="1"/>
      <c r="B13389" s="1" t="s">
        <v>5782</v>
      </c>
      <c r="C13389" s="1" t="s">
        <v>5783</v>
      </c>
      <c r="D13389" s="22" t="str">
        <f>HYPERLINK("https://rhld.insurance.arkansas.gov/NPILookup?Npi=1184125833","1184125833")</f>
        <v>1184125833</v>
      </c>
      <c r="E13389" s="1" t="s">
        <v>21433</v>
      </c>
      <c r="F13389" s="2"/>
      <c r="G13389" s="2"/>
      <c r="H13389" s="2"/>
    </row>
    <row r="13390" spans="1:8" x14ac:dyDescent="0.25">
      <c r="A13390" s="1"/>
      <c r="B13390" s="1" t="s">
        <v>5782</v>
      </c>
      <c r="C13390" s="1" t="s">
        <v>5783</v>
      </c>
      <c r="D13390" s="22" t="str">
        <f>HYPERLINK("https://rhld.insurance.arkansas.gov/NPILookup?Npi=1184127276","1184127276")</f>
        <v>1184127276</v>
      </c>
      <c r="E13390" s="1" t="s">
        <v>6008</v>
      </c>
      <c r="F13390" s="2"/>
      <c r="G13390" s="2"/>
      <c r="H13390" s="2"/>
    </row>
    <row r="13391" spans="1:8" x14ac:dyDescent="0.25">
      <c r="A13391" s="1"/>
      <c r="B13391" s="1" t="s">
        <v>5782</v>
      </c>
      <c r="C13391" s="1" t="s">
        <v>5783</v>
      </c>
      <c r="D13391" s="22" t="str">
        <f>HYPERLINK("https://rhld.insurance.arkansas.gov/NPILookup?Npi=1184131252","1184131252")</f>
        <v>1184131252</v>
      </c>
      <c r="E13391" s="1" t="s">
        <v>6009</v>
      </c>
      <c r="F13391" s="2"/>
      <c r="G13391" s="2"/>
      <c r="H13391" s="2"/>
    </row>
    <row r="13392" spans="1:8" x14ac:dyDescent="0.25">
      <c r="A13392" s="1"/>
      <c r="B13392" s="1" t="s">
        <v>5782</v>
      </c>
      <c r="C13392" s="1" t="s">
        <v>5783</v>
      </c>
      <c r="D13392" s="22" t="str">
        <f>HYPERLINK("https://rhld.insurance.arkansas.gov/NPILookup?Npi=1184132417","1184132417")</f>
        <v>1184132417</v>
      </c>
      <c r="E13392" s="1" t="s">
        <v>21434</v>
      </c>
      <c r="F13392" s="2"/>
      <c r="G13392" s="2"/>
      <c r="H13392" s="2"/>
    </row>
    <row r="13393" spans="1:8" x14ac:dyDescent="0.25">
      <c r="A13393" s="1"/>
      <c r="B13393" s="1" t="s">
        <v>5782</v>
      </c>
      <c r="C13393" s="1" t="s">
        <v>5783</v>
      </c>
      <c r="D13393" s="22" t="str">
        <f>HYPERLINK("https://rhld.insurance.arkansas.gov/NPILookup?Npi=1184133548","1184133548")</f>
        <v>1184133548</v>
      </c>
      <c r="E13393" s="1" t="s">
        <v>21435</v>
      </c>
      <c r="F13393" s="2"/>
      <c r="G13393" s="2"/>
      <c r="H13393" s="2"/>
    </row>
    <row r="13394" spans="1:8" x14ac:dyDescent="0.25">
      <c r="A13394" s="1"/>
      <c r="B13394" s="1" t="s">
        <v>5782</v>
      </c>
      <c r="C13394" s="1" t="s">
        <v>5783</v>
      </c>
      <c r="D13394" s="22" t="str">
        <f>HYPERLINK("https://rhld.insurance.arkansas.gov/NPILookup?Npi=1184147464","1184147464")</f>
        <v>1184147464</v>
      </c>
      <c r="E13394" s="1" t="s">
        <v>11544</v>
      </c>
      <c r="F13394" s="2"/>
      <c r="G13394" s="2"/>
      <c r="H13394" s="2"/>
    </row>
    <row r="13395" spans="1:8" x14ac:dyDescent="0.25">
      <c r="A13395" s="1"/>
      <c r="B13395" s="1" t="s">
        <v>5782</v>
      </c>
      <c r="C13395" s="1" t="s">
        <v>5783</v>
      </c>
      <c r="D13395" s="22" t="str">
        <f>HYPERLINK("https://rhld.insurance.arkansas.gov/NPILookup?Npi=1184153553","1184153553")</f>
        <v>1184153553</v>
      </c>
      <c r="E13395" s="1" t="s">
        <v>11545</v>
      </c>
      <c r="F13395" s="2"/>
      <c r="G13395" s="2"/>
      <c r="H13395" s="2"/>
    </row>
    <row r="13396" spans="1:8" x14ac:dyDescent="0.25">
      <c r="A13396" s="1"/>
      <c r="B13396" s="1" t="s">
        <v>5782</v>
      </c>
      <c r="C13396" s="1" t="s">
        <v>5783</v>
      </c>
      <c r="D13396" s="22" t="str">
        <f>HYPERLINK("https://rhld.insurance.arkansas.gov/NPILookup?Npi=1184168999","1184168999")</f>
        <v>1184168999</v>
      </c>
      <c r="E13396" s="1" t="s">
        <v>21436</v>
      </c>
      <c r="F13396" s="2"/>
      <c r="G13396" s="2"/>
      <c r="H13396" s="2"/>
    </row>
    <row r="13397" spans="1:8" x14ac:dyDescent="0.25">
      <c r="A13397" s="1"/>
      <c r="B13397" s="1" t="s">
        <v>5782</v>
      </c>
      <c r="C13397" s="1" t="s">
        <v>5783</v>
      </c>
      <c r="D13397" s="22" t="str">
        <f>HYPERLINK("https://rhld.insurance.arkansas.gov/NPILookup?Npi=1184196735","1184196735")</f>
        <v>1184196735</v>
      </c>
      <c r="E13397" s="1" t="s">
        <v>21437</v>
      </c>
      <c r="F13397" s="2"/>
      <c r="G13397" s="2"/>
      <c r="H13397" s="2"/>
    </row>
    <row r="13398" spans="1:8" x14ac:dyDescent="0.25">
      <c r="A13398" s="1"/>
      <c r="B13398" s="1" t="s">
        <v>5782</v>
      </c>
      <c r="C13398" s="1" t="s">
        <v>5783</v>
      </c>
      <c r="D13398" s="22" t="str">
        <f>HYPERLINK("https://rhld.insurance.arkansas.gov/NPILookup?Npi=1184232605","1184232605")</f>
        <v>1184232605</v>
      </c>
      <c r="E13398" s="1" t="s">
        <v>6010</v>
      </c>
      <c r="F13398" s="2"/>
      <c r="G13398" s="2"/>
      <c r="H13398" s="2"/>
    </row>
    <row r="13399" spans="1:8" x14ac:dyDescent="0.25">
      <c r="A13399" s="1"/>
      <c r="B13399" s="1" t="s">
        <v>5782</v>
      </c>
      <c r="C13399" s="1" t="s">
        <v>5783</v>
      </c>
      <c r="D13399" s="22" t="str">
        <f>HYPERLINK("https://rhld.insurance.arkansas.gov/NPILookup?Npi=1184245805","1184245805")</f>
        <v>1184245805</v>
      </c>
      <c r="E13399" s="1" t="s">
        <v>6012</v>
      </c>
      <c r="F13399" s="2"/>
      <c r="G13399" s="2"/>
      <c r="H13399" s="2"/>
    </row>
    <row r="13400" spans="1:8" x14ac:dyDescent="0.25">
      <c r="A13400" s="1"/>
      <c r="B13400" s="1" t="s">
        <v>5782</v>
      </c>
      <c r="C13400" s="1" t="s">
        <v>5783</v>
      </c>
      <c r="D13400" s="22" t="str">
        <f>HYPERLINK("https://rhld.insurance.arkansas.gov/NPILookup?Npi=1184249104","1184249104")</f>
        <v>1184249104</v>
      </c>
      <c r="E13400" s="1" t="s">
        <v>21438</v>
      </c>
      <c r="F13400" s="2"/>
      <c r="G13400" s="2"/>
      <c r="H13400" s="2"/>
    </row>
    <row r="13401" spans="1:8" x14ac:dyDescent="0.25">
      <c r="A13401" s="1"/>
      <c r="B13401" s="1" t="s">
        <v>5782</v>
      </c>
      <c r="C13401" s="1" t="s">
        <v>5783</v>
      </c>
      <c r="D13401" s="22" t="str">
        <f>HYPERLINK("https://rhld.insurance.arkansas.gov/NPILookup?Npi=1184254120","1184254120")</f>
        <v>1184254120</v>
      </c>
      <c r="E13401" s="1" t="s">
        <v>21439</v>
      </c>
      <c r="F13401" s="2"/>
      <c r="G13401" s="2"/>
      <c r="H13401" s="2"/>
    </row>
    <row r="13402" spans="1:8" x14ac:dyDescent="0.25">
      <c r="A13402" s="1"/>
      <c r="B13402" s="1" t="s">
        <v>5782</v>
      </c>
      <c r="C13402" s="1" t="s">
        <v>5783</v>
      </c>
      <c r="D13402" s="22" t="str">
        <f>HYPERLINK("https://rhld.insurance.arkansas.gov/NPILookup?Npi=1184269771","1184269771")</f>
        <v>1184269771</v>
      </c>
      <c r="E13402" s="1" t="s">
        <v>11547</v>
      </c>
      <c r="F13402" s="2"/>
      <c r="G13402" s="2"/>
      <c r="H13402" s="2"/>
    </row>
    <row r="13403" spans="1:8" x14ac:dyDescent="0.25">
      <c r="A13403" s="1"/>
      <c r="B13403" s="1" t="s">
        <v>5782</v>
      </c>
      <c r="C13403" s="1" t="s">
        <v>5783</v>
      </c>
      <c r="D13403" s="22" t="str">
        <f>HYPERLINK("https://rhld.insurance.arkansas.gov/NPILookup?Npi=1184271702","1184271702")</f>
        <v>1184271702</v>
      </c>
      <c r="E13403" s="1" t="s">
        <v>6014</v>
      </c>
      <c r="F13403" s="2"/>
      <c r="G13403" s="2"/>
      <c r="H13403" s="2"/>
    </row>
    <row r="13404" spans="1:8" x14ac:dyDescent="0.25">
      <c r="A13404" s="1"/>
      <c r="B13404" s="1" t="s">
        <v>5782</v>
      </c>
      <c r="C13404" s="1" t="s">
        <v>5783</v>
      </c>
      <c r="D13404" s="22" t="str">
        <f>HYPERLINK("https://rhld.insurance.arkansas.gov/NPILookup?Npi=1184284473","1184284473")</f>
        <v>1184284473</v>
      </c>
      <c r="E13404" s="1" t="s">
        <v>1658</v>
      </c>
      <c r="F13404" s="2"/>
      <c r="G13404" s="2"/>
      <c r="H13404" s="2"/>
    </row>
    <row r="13405" spans="1:8" x14ac:dyDescent="0.25">
      <c r="A13405" s="1"/>
      <c r="B13405" s="1" t="s">
        <v>5782</v>
      </c>
      <c r="C13405" s="1" t="s">
        <v>5783</v>
      </c>
      <c r="D13405" s="22" t="str">
        <f>HYPERLINK("https://rhld.insurance.arkansas.gov/NPILookup?Npi=1184287351","1184287351")</f>
        <v>1184287351</v>
      </c>
      <c r="E13405" s="1" t="s">
        <v>1372</v>
      </c>
      <c r="F13405" s="2"/>
      <c r="G13405" s="2"/>
      <c r="H13405" s="2"/>
    </row>
    <row r="13406" spans="1:8" x14ac:dyDescent="0.25">
      <c r="A13406" s="1"/>
      <c r="B13406" s="1" t="s">
        <v>5782</v>
      </c>
      <c r="C13406" s="1" t="s">
        <v>5783</v>
      </c>
      <c r="D13406" s="22" t="str">
        <f>HYPERLINK("https://rhld.insurance.arkansas.gov/NPILookup?Npi=1184290439","1184290439")</f>
        <v>1184290439</v>
      </c>
      <c r="E13406" s="1" t="s">
        <v>21440</v>
      </c>
      <c r="F13406" s="2"/>
      <c r="G13406" s="2"/>
      <c r="H13406" s="2"/>
    </row>
    <row r="13407" spans="1:8" x14ac:dyDescent="0.25">
      <c r="A13407" s="1"/>
      <c r="B13407" s="1" t="s">
        <v>5782</v>
      </c>
      <c r="C13407" s="1" t="s">
        <v>5783</v>
      </c>
      <c r="D13407" s="22" t="str">
        <f>HYPERLINK("https://rhld.insurance.arkansas.gov/NPILookup?Npi=1184299224","1184299224")</f>
        <v>1184299224</v>
      </c>
      <c r="E13407" s="1" t="s">
        <v>11548</v>
      </c>
      <c r="F13407" s="2"/>
      <c r="G13407" s="2"/>
      <c r="H13407" s="2"/>
    </row>
    <row r="13408" spans="1:8" x14ac:dyDescent="0.25">
      <c r="A13408" s="1"/>
      <c r="B13408" s="1" t="s">
        <v>5782</v>
      </c>
      <c r="C13408" s="1" t="s">
        <v>5783</v>
      </c>
      <c r="D13408" s="22" t="str">
        <f>HYPERLINK("https://rhld.insurance.arkansas.gov/NPILookup?Npi=1184300717","1184300717")</f>
        <v>1184300717</v>
      </c>
      <c r="E13408" s="1" t="s">
        <v>11549</v>
      </c>
      <c r="F13408" s="2"/>
      <c r="G13408" s="2"/>
      <c r="H13408" s="2"/>
    </row>
    <row r="13409" spans="1:8" x14ac:dyDescent="0.25">
      <c r="A13409" s="1"/>
      <c r="B13409" s="1" t="s">
        <v>5782</v>
      </c>
      <c r="C13409" s="1" t="s">
        <v>5783</v>
      </c>
      <c r="D13409" s="22" t="str">
        <f>HYPERLINK("https://rhld.insurance.arkansas.gov/NPILookup?Npi=1184303992","1184303992")</f>
        <v>1184303992</v>
      </c>
      <c r="E13409" s="1" t="s">
        <v>6015</v>
      </c>
      <c r="F13409" s="2"/>
      <c r="G13409" s="2"/>
      <c r="H13409" s="2"/>
    </row>
    <row r="13410" spans="1:8" x14ac:dyDescent="0.25">
      <c r="A13410" s="1"/>
      <c r="B13410" s="1" t="s">
        <v>5782</v>
      </c>
      <c r="C13410" s="1" t="s">
        <v>5783</v>
      </c>
      <c r="D13410" s="22" t="str">
        <f>HYPERLINK("https://rhld.insurance.arkansas.gov/NPILookup?Npi=1184316366","1184316366")</f>
        <v>1184316366</v>
      </c>
      <c r="E13410" s="1" t="s">
        <v>11550</v>
      </c>
      <c r="F13410" s="2"/>
      <c r="G13410" s="2"/>
      <c r="H13410" s="2"/>
    </row>
    <row r="13411" spans="1:8" x14ac:dyDescent="0.25">
      <c r="A13411" s="1"/>
      <c r="B13411" s="1" t="s">
        <v>5782</v>
      </c>
      <c r="C13411" s="1" t="s">
        <v>5783</v>
      </c>
      <c r="D13411" s="22" t="str">
        <f>HYPERLINK("https://rhld.insurance.arkansas.gov/NPILookup?Npi=1184339558","1184339558")</f>
        <v>1184339558</v>
      </c>
      <c r="E13411" s="1" t="s">
        <v>6016</v>
      </c>
      <c r="F13411" s="2"/>
      <c r="G13411" s="2"/>
      <c r="H13411" s="2"/>
    </row>
    <row r="13412" spans="1:8" x14ac:dyDescent="0.25">
      <c r="A13412" s="1"/>
      <c r="B13412" s="1" t="s">
        <v>5782</v>
      </c>
      <c r="C13412" s="1" t="s">
        <v>5783</v>
      </c>
      <c r="D13412" s="22" t="str">
        <f>HYPERLINK("https://rhld.insurance.arkansas.gov/NPILookup?Npi=1184364515","1184364515")</f>
        <v>1184364515</v>
      </c>
      <c r="E13412" s="1" t="s">
        <v>31814</v>
      </c>
      <c r="F13412" s="2"/>
      <c r="G13412" s="2"/>
      <c r="H13412" s="2"/>
    </row>
    <row r="13413" spans="1:8" x14ac:dyDescent="0.25">
      <c r="A13413" s="1"/>
      <c r="B13413" s="1" t="s">
        <v>5782</v>
      </c>
      <c r="C13413" s="1" t="s">
        <v>5783</v>
      </c>
      <c r="D13413" s="22" t="str">
        <f>HYPERLINK("https://rhld.insurance.arkansas.gov/NPILookup?Npi=1184371676","1184371676")</f>
        <v>1184371676</v>
      </c>
      <c r="E13413" s="1" t="s">
        <v>11551</v>
      </c>
      <c r="F13413" s="2"/>
      <c r="G13413" s="2"/>
      <c r="H13413" s="2"/>
    </row>
    <row r="13414" spans="1:8" x14ac:dyDescent="0.25">
      <c r="A13414" s="1"/>
      <c r="B13414" s="1" t="s">
        <v>5782</v>
      </c>
      <c r="C13414" s="1" t="s">
        <v>5783</v>
      </c>
      <c r="D13414" s="22" t="str">
        <f>HYPERLINK("https://rhld.insurance.arkansas.gov/NPILookup?Npi=1184382475","1184382475")</f>
        <v>1184382475</v>
      </c>
      <c r="E13414" s="1" t="s">
        <v>11552</v>
      </c>
      <c r="F13414" s="2"/>
      <c r="G13414" s="2"/>
      <c r="H13414" s="2"/>
    </row>
    <row r="13415" spans="1:8" x14ac:dyDescent="0.25">
      <c r="A13415" s="1"/>
      <c r="B13415" s="1" t="s">
        <v>5782</v>
      </c>
      <c r="C13415" s="1" t="s">
        <v>5783</v>
      </c>
      <c r="D13415" s="22" t="str">
        <f>HYPERLINK("https://rhld.insurance.arkansas.gov/NPILookup?Npi=1184382731","1184382731")</f>
        <v>1184382731</v>
      </c>
      <c r="E13415" s="1" t="s">
        <v>1851</v>
      </c>
      <c r="F13415" s="2"/>
      <c r="G13415" s="2"/>
      <c r="H13415" s="2"/>
    </row>
    <row r="13416" spans="1:8" x14ac:dyDescent="0.25">
      <c r="A13416" s="1"/>
      <c r="B13416" s="1" t="s">
        <v>5782</v>
      </c>
      <c r="C13416" s="1" t="s">
        <v>5783</v>
      </c>
      <c r="D13416" s="22" t="str">
        <f>HYPERLINK("https://rhld.insurance.arkansas.gov/NPILookup?Npi=1184390981","1184390981")</f>
        <v>1184390981</v>
      </c>
      <c r="E13416" s="1" t="s">
        <v>21441</v>
      </c>
      <c r="F13416" s="2"/>
      <c r="G13416" s="2"/>
      <c r="H13416" s="2"/>
    </row>
    <row r="13417" spans="1:8" x14ac:dyDescent="0.25">
      <c r="A13417" s="1"/>
      <c r="B13417" s="1" t="s">
        <v>5782</v>
      </c>
      <c r="C13417" s="1" t="s">
        <v>5783</v>
      </c>
      <c r="D13417" s="22" t="str">
        <f>HYPERLINK("https://rhld.insurance.arkansas.gov/NPILookup?Npi=1184406142","1184406142")</f>
        <v>1184406142</v>
      </c>
      <c r="E13417" s="1" t="s">
        <v>6017</v>
      </c>
      <c r="F13417" s="2"/>
      <c r="G13417" s="2"/>
      <c r="H13417" s="2"/>
    </row>
    <row r="13418" spans="1:8" x14ac:dyDescent="0.25">
      <c r="A13418" s="1"/>
      <c r="B13418" s="1" t="s">
        <v>5782</v>
      </c>
      <c r="C13418" s="1" t="s">
        <v>5783</v>
      </c>
      <c r="D13418" s="22" t="str">
        <f>HYPERLINK("https://rhld.insurance.arkansas.gov/NPILookup?Npi=1184461022","1184461022")</f>
        <v>1184461022</v>
      </c>
      <c r="E13418" s="1" t="s">
        <v>21442</v>
      </c>
      <c r="F13418" s="2"/>
      <c r="G13418" s="2"/>
      <c r="H13418" s="2"/>
    </row>
    <row r="13419" spans="1:8" x14ac:dyDescent="0.25">
      <c r="A13419" s="1"/>
      <c r="B13419" s="1" t="s">
        <v>5782</v>
      </c>
      <c r="C13419" s="1" t="s">
        <v>5783</v>
      </c>
      <c r="D13419" s="22" t="str">
        <f>HYPERLINK("https://rhld.insurance.arkansas.gov/NPILookup?Npi=1184617995","1184617995")</f>
        <v>1184617995</v>
      </c>
      <c r="E13419" s="1" t="s">
        <v>31815</v>
      </c>
      <c r="F13419" s="2"/>
      <c r="G13419" s="2"/>
      <c r="H13419" s="2"/>
    </row>
    <row r="13420" spans="1:8" x14ac:dyDescent="0.25">
      <c r="A13420" s="1"/>
      <c r="B13420" s="1" t="s">
        <v>5782</v>
      </c>
      <c r="C13420" s="1" t="s">
        <v>5783</v>
      </c>
      <c r="D13420" s="22" t="str">
        <f>HYPERLINK("https://rhld.insurance.arkansas.gov/NPILookup?Npi=1184646432","1184646432")</f>
        <v>1184646432</v>
      </c>
      <c r="E13420" s="1" t="s">
        <v>11553</v>
      </c>
      <c r="F13420" s="2"/>
      <c r="G13420" s="2"/>
      <c r="H13420" s="2"/>
    </row>
    <row r="13421" spans="1:8" x14ac:dyDescent="0.25">
      <c r="A13421" s="1"/>
      <c r="B13421" s="1" t="s">
        <v>5782</v>
      </c>
      <c r="C13421" s="1" t="s">
        <v>5783</v>
      </c>
      <c r="D13421" s="22" t="str">
        <f>HYPERLINK("https://rhld.insurance.arkansas.gov/NPILookup?Npi=1184660631","1184660631")</f>
        <v>1184660631</v>
      </c>
      <c r="E13421" s="1" t="s">
        <v>21443</v>
      </c>
      <c r="F13421" s="2"/>
      <c r="G13421" s="2"/>
      <c r="H13421" s="2"/>
    </row>
    <row r="13422" spans="1:8" x14ac:dyDescent="0.25">
      <c r="A13422" s="1"/>
      <c r="B13422" s="1" t="s">
        <v>5782</v>
      </c>
      <c r="C13422" s="1" t="s">
        <v>5783</v>
      </c>
      <c r="D13422" s="22" t="str">
        <f>HYPERLINK("https://rhld.insurance.arkansas.gov/NPILookup?Npi=1184665358","1184665358")</f>
        <v>1184665358</v>
      </c>
      <c r="E13422" s="1" t="s">
        <v>21444</v>
      </c>
      <c r="F13422" s="2"/>
      <c r="G13422" s="2"/>
      <c r="H13422" s="2"/>
    </row>
    <row r="13423" spans="1:8" x14ac:dyDescent="0.25">
      <c r="A13423" s="1"/>
      <c r="B13423" s="1" t="s">
        <v>5782</v>
      </c>
      <c r="C13423" s="1" t="s">
        <v>5783</v>
      </c>
      <c r="D13423" s="22" t="str">
        <f>HYPERLINK("https://rhld.insurance.arkansas.gov/NPILookup?Npi=1184714750","1184714750")</f>
        <v>1184714750</v>
      </c>
      <c r="E13423" s="1" t="s">
        <v>3210</v>
      </c>
      <c r="F13423" s="2"/>
      <c r="G13423" s="2"/>
      <c r="H13423" s="2"/>
    </row>
    <row r="13424" spans="1:8" x14ac:dyDescent="0.25">
      <c r="A13424" s="1"/>
      <c r="B13424" s="1" t="s">
        <v>5782</v>
      </c>
      <c r="C13424" s="1" t="s">
        <v>5783</v>
      </c>
      <c r="D13424" s="22" t="str">
        <f>HYPERLINK("https://rhld.insurance.arkansas.gov/NPILookup?Npi=1184723207","1184723207")</f>
        <v>1184723207</v>
      </c>
      <c r="E13424" s="1" t="s">
        <v>21445</v>
      </c>
      <c r="F13424" s="2"/>
      <c r="G13424" s="2"/>
      <c r="H13424" s="2"/>
    </row>
    <row r="13425" spans="1:8" x14ac:dyDescent="0.25">
      <c r="A13425" s="1"/>
      <c r="B13425" s="1" t="s">
        <v>5782</v>
      </c>
      <c r="C13425" s="1" t="s">
        <v>5783</v>
      </c>
      <c r="D13425" s="22" t="str">
        <f>HYPERLINK("https://rhld.insurance.arkansas.gov/NPILookup?Npi=1184752412","1184752412")</f>
        <v>1184752412</v>
      </c>
      <c r="E13425" s="1" t="s">
        <v>1706</v>
      </c>
      <c r="F13425" s="2"/>
      <c r="G13425" s="2"/>
      <c r="H13425" s="2"/>
    </row>
    <row r="13426" spans="1:8" x14ac:dyDescent="0.25">
      <c r="A13426" s="1"/>
      <c r="B13426" s="1" t="s">
        <v>5782</v>
      </c>
      <c r="C13426" s="1" t="s">
        <v>5783</v>
      </c>
      <c r="D13426" s="22" t="str">
        <f>HYPERLINK("https://rhld.insurance.arkansas.gov/NPILookup?Npi=1184777872","1184777872")</f>
        <v>1184777872</v>
      </c>
      <c r="E13426" s="1" t="s">
        <v>21446</v>
      </c>
      <c r="F13426" s="2"/>
      <c r="G13426" s="2"/>
      <c r="H13426" s="2"/>
    </row>
    <row r="13427" spans="1:8" x14ac:dyDescent="0.25">
      <c r="A13427" s="1"/>
      <c r="B13427" s="1" t="s">
        <v>5782</v>
      </c>
      <c r="C13427" s="1" t="s">
        <v>5783</v>
      </c>
      <c r="D13427" s="22" t="str">
        <f>HYPERLINK("https://rhld.insurance.arkansas.gov/NPILookup?Npi=1184782443","1184782443")</f>
        <v>1184782443</v>
      </c>
      <c r="E13427" s="1" t="s">
        <v>6018</v>
      </c>
      <c r="F13427" s="2"/>
      <c r="G13427" s="2"/>
      <c r="H13427" s="2"/>
    </row>
    <row r="13428" spans="1:8" x14ac:dyDescent="0.25">
      <c r="A13428" s="1"/>
      <c r="B13428" s="1" t="s">
        <v>5782</v>
      </c>
      <c r="C13428" s="1" t="s">
        <v>5783</v>
      </c>
      <c r="D13428" s="22" t="str">
        <f>HYPERLINK("https://rhld.insurance.arkansas.gov/NPILookup?Npi=1184827685","1184827685")</f>
        <v>1184827685</v>
      </c>
      <c r="E13428" s="1" t="s">
        <v>11555</v>
      </c>
      <c r="F13428" s="2"/>
      <c r="G13428" s="2"/>
      <c r="H13428" s="2"/>
    </row>
    <row r="13429" spans="1:8" x14ac:dyDescent="0.25">
      <c r="A13429" s="1"/>
      <c r="B13429" s="1" t="s">
        <v>5782</v>
      </c>
      <c r="C13429" s="1" t="s">
        <v>5783</v>
      </c>
      <c r="D13429" s="22" t="str">
        <f>HYPERLINK("https://rhld.insurance.arkansas.gov/NPILookup?Npi=1184828303","1184828303")</f>
        <v>1184828303</v>
      </c>
      <c r="E13429" s="1" t="s">
        <v>6019</v>
      </c>
      <c r="F13429" s="2"/>
      <c r="G13429" s="2"/>
      <c r="H13429" s="2"/>
    </row>
    <row r="13430" spans="1:8" x14ac:dyDescent="0.25">
      <c r="A13430" s="1"/>
      <c r="B13430" s="1" t="s">
        <v>5782</v>
      </c>
      <c r="C13430" s="1" t="s">
        <v>5783</v>
      </c>
      <c r="D13430" s="22" t="str">
        <f>HYPERLINK("https://rhld.insurance.arkansas.gov/NPILookup?Npi=1184830507","1184830507")</f>
        <v>1184830507</v>
      </c>
      <c r="E13430" s="1" t="s">
        <v>11556</v>
      </c>
      <c r="F13430" s="2"/>
      <c r="G13430" s="2"/>
      <c r="H13430" s="2"/>
    </row>
    <row r="13431" spans="1:8" x14ac:dyDescent="0.25">
      <c r="A13431" s="1"/>
      <c r="B13431" s="1" t="s">
        <v>5782</v>
      </c>
      <c r="C13431" s="1" t="s">
        <v>5783</v>
      </c>
      <c r="D13431" s="22" t="str">
        <f>HYPERLINK("https://rhld.insurance.arkansas.gov/NPILookup?Npi=1184833634","1184833634")</f>
        <v>1184833634</v>
      </c>
      <c r="E13431" s="1" t="s">
        <v>2465</v>
      </c>
      <c r="F13431" s="2"/>
      <c r="G13431" s="2"/>
      <c r="H13431" s="2"/>
    </row>
    <row r="13432" spans="1:8" x14ac:dyDescent="0.25">
      <c r="A13432" s="1"/>
      <c r="B13432" s="1" t="s">
        <v>5782</v>
      </c>
      <c r="C13432" s="1" t="s">
        <v>5783</v>
      </c>
      <c r="D13432" s="22" t="str">
        <f>HYPERLINK("https://rhld.insurance.arkansas.gov/NPILookup?Npi=1184839706","1184839706")</f>
        <v>1184839706</v>
      </c>
      <c r="E13432" s="1" t="s">
        <v>21447</v>
      </c>
      <c r="F13432" s="2"/>
      <c r="G13432" s="2"/>
      <c r="H13432" s="2"/>
    </row>
    <row r="13433" spans="1:8" x14ac:dyDescent="0.25">
      <c r="A13433" s="1"/>
      <c r="B13433" s="1" t="s">
        <v>5782</v>
      </c>
      <c r="C13433" s="1" t="s">
        <v>5783</v>
      </c>
      <c r="D13433" s="22" t="str">
        <f>HYPERLINK("https://rhld.insurance.arkansas.gov/NPILookup?Npi=1184840068","1184840068")</f>
        <v>1184840068</v>
      </c>
      <c r="E13433" s="1" t="s">
        <v>21448</v>
      </c>
      <c r="F13433" s="2"/>
      <c r="G13433" s="2"/>
      <c r="H13433" s="2"/>
    </row>
    <row r="13434" spans="1:8" x14ac:dyDescent="0.25">
      <c r="A13434" s="1"/>
      <c r="B13434" s="1" t="s">
        <v>5782</v>
      </c>
      <c r="C13434" s="1" t="s">
        <v>5783</v>
      </c>
      <c r="D13434" s="22" t="str">
        <f>HYPERLINK("https://rhld.insurance.arkansas.gov/NPILookup?Npi=1184847303","1184847303")</f>
        <v>1184847303</v>
      </c>
      <c r="E13434" s="1" t="s">
        <v>21449</v>
      </c>
      <c r="F13434" s="2"/>
      <c r="G13434" s="2"/>
      <c r="H13434" s="2"/>
    </row>
    <row r="13435" spans="1:8" x14ac:dyDescent="0.25">
      <c r="A13435" s="1"/>
      <c r="B13435" s="1" t="s">
        <v>5782</v>
      </c>
      <c r="C13435" s="1" t="s">
        <v>5783</v>
      </c>
      <c r="D13435" s="22" t="str">
        <f>HYPERLINK("https://rhld.insurance.arkansas.gov/NPILookup?Npi=1184853921","1184853921")</f>
        <v>1184853921</v>
      </c>
      <c r="E13435" s="1" t="s">
        <v>3212</v>
      </c>
      <c r="F13435" s="2"/>
      <c r="G13435" s="2"/>
      <c r="H13435" s="2"/>
    </row>
    <row r="13436" spans="1:8" x14ac:dyDescent="0.25">
      <c r="A13436" s="1"/>
      <c r="B13436" s="1" t="s">
        <v>5782</v>
      </c>
      <c r="C13436" s="1" t="s">
        <v>5783</v>
      </c>
      <c r="D13436" s="22" t="str">
        <f>HYPERLINK("https://rhld.insurance.arkansas.gov/NPILookup?Npi=1184857369","1184857369")</f>
        <v>1184857369</v>
      </c>
      <c r="E13436" s="1" t="s">
        <v>780</v>
      </c>
      <c r="F13436" s="2"/>
      <c r="G13436" s="2"/>
      <c r="H13436" s="2"/>
    </row>
    <row r="13437" spans="1:8" x14ac:dyDescent="0.25">
      <c r="A13437" s="1"/>
      <c r="B13437" s="1" t="s">
        <v>5782</v>
      </c>
      <c r="C13437" s="1" t="s">
        <v>5783</v>
      </c>
      <c r="D13437" s="22" t="str">
        <f>HYPERLINK("https://rhld.insurance.arkansas.gov/NPILookup?Npi=1184860942","1184860942")</f>
        <v>1184860942</v>
      </c>
      <c r="E13437" s="1" t="s">
        <v>303</v>
      </c>
      <c r="F13437" s="2"/>
      <c r="G13437" s="2"/>
      <c r="H13437" s="2"/>
    </row>
    <row r="13438" spans="1:8" x14ac:dyDescent="0.25">
      <c r="A13438" s="1"/>
      <c r="B13438" s="1" t="s">
        <v>5782</v>
      </c>
      <c r="C13438" s="1" t="s">
        <v>5783</v>
      </c>
      <c r="D13438" s="22" t="str">
        <f>HYPERLINK("https://rhld.insurance.arkansas.gov/NPILookup?Npi=1184864761","1184864761")</f>
        <v>1184864761</v>
      </c>
      <c r="E13438" s="1" t="s">
        <v>21450</v>
      </c>
      <c r="F13438" s="2"/>
      <c r="G13438" s="2"/>
      <c r="H13438" s="2"/>
    </row>
    <row r="13439" spans="1:8" x14ac:dyDescent="0.25">
      <c r="A13439" s="1"/>
      <c r="B13439" s="1" t="s">
        <v>5782</v>
      </c>
      <c r="C13439" s="1" t="s">
        <v>5783</v>
      </c>
      <c r="D13439" s="22" t="str">
        <f>HYPERLINK("https://rhld.insurance.arkansas.gov/NPILookup?Npi=1184892242","1184892242")</f>
        <v>1184892242</v>
      </c>
      <c r="E13439" s="1" t="s">
        <v>1329</v>
      </c>
      <c r="F13439" s="2"/>
      <c r="G13439" s="2"/>
      <c r="H13439" s="2"/>
    </row>
    <row r="13440" spans="1:8" x14ac:dyDescent="0.25">
      <c r="A13440" s="1"/>
      <c r="B13440" s="1" t="s">
        <v>5782</v>
      </c>
      <c r="C13440" s="1" t="s">
        <v>5783</v>
      </c>
      <c r="D13440" s="22" t="str">
        <f>HYPERLINK("https://rhld.insurance.arkansas.gov/NPILookup?Npi=1184907313","1184907313")</f>
        <v>1184907313</v>
      </c>
      <c r="E13440" s="1" t="s">
        <v>21451</v>
      </c>
      <c r="F13440" s="2"/>
      <c r="G13440" s="2"/>
      <c r="H13440" s="2"/>
    </row>
    <row r="13441" spans="1:8" x14ac:dyDescent="0.25">
      <c r="A13441" s="1"/>
      <c r="B13441" s="1" t="s">
        <v>5782</v>
      </c>
      <c r="C13441" s="1" t="s">
        <v>5783</v>
      </c>
      <c r="D13441" s="22" t="str">
        <f>HYPERLINK("https://rhld.insurance.arkansas.gov/NPILookup?Npi=1184914152","1184914152")</f>
        <v>1184914152</v>
      </c>
      <c r="E13441" s="1" t="s">
        <v>21452</v>
      </c>
      <c r="F13441" s="2"/>
      <c r="G13441" s="2"/>
      <c r="H13441" s="2"/>
    </row>
    <row r="13442" spans="1:8" x14ac:dyDescent="0.25">
      <c r="A13442" s="1"/>
      <c r="B13442" s="1" t="s">
        <v>5782</v>
      </c>
      <c r="C13442" s="1" t="s">
        <v>5783</v>
      </c>
      <c r="D13442" s="22" t="str">
        <f>HYPERLINK("https://rhld.insurance.arkansas.gov/NPILookup?Npi=1184921496","1184921496")</f>
        <v>1184921496</v>
      </c>
      <c r="E13442" s="1" t="s">
        <v>6020</v>
      </c>
      <c r="F13442" s="2"/>
      <c r="G13442" s="2"/>
      <c r="H13442" s="2"/>
    </row>
    <row r="13443" spans="1:8" x14ac:dyDescent="0.25">
      <c r="A13443" s="1"/>
      <c r="B13443" s="1" t="s">
        <v>5782</v>
      </c>
      <c r="C13443" s="1" t="s">
        <v>5783</v>
      </c>
      <c r="D13443" s="22" t="str">
        <f>HYPERLINK("https://rhld.insurance.arkansas.gov/NPILookup?Npi=1184921603","1184921603")</f>
        <v>1184921603</v>
      </c>
      <c r="E13443" s="1" t="s">
        <v>901</v>
      </c>
      <c r="F13443" s="2"/>
      <c r="G13443" s="2"/>
      <c r="H13443" s="2"/>
    </row>
    <row r="13444" spans="1:8" x14ac:dyDescent="0.25">
      <c r="A13444" s="1"/>
      <c r="B13444" s="1" t="s">
        <v>5782</v>
      </c>
      <c r="C13444" s="1" t="s">
        <v>5783</v>
      </c>
      <c r="D13444" s="22" t="str">
        <f>HYPERLINK("https://rhld.insurance.arkansas.gov/NPILookup?Npi=1184928301","1184928301")</f>
        <v>1184928301</v>
      </c>
      <c r="E13444" s="1" t="s">
        <v>21453</v>
      </c>
      <c r="F13444" s="2"/>
      <c r="G13444" s="2"/>
      <c r="H13444" s="2"/>
    </row>
    <row r="13445" spans="1:8" x14ac:dyDescent="0.25">
      <c r="A13445" s="1"/>
      <c r="B13445" s="1" t="s">
        <v>5782</v>
      </c>
      <c r="C13445" s="1" t="s">
        <v>5783</v>
      </c>
      <c r="D13445" s="22" t="str">
        <f>HYPERLINK("https://rhld.insurance.arkansas.gov/NPILookup?Npi=1184941403","1184941403")</f>
        <v>1184941403</v>
      </c>
      <c r="E13445" s="1" t="s">
        <v>21454</v>
      </c>
      <c r="F13445" s="2"/>
      <c r="G13445" s="2"/>
      <c r="H13445" s="2"/>
    </row>
    <row r="13446" spans="1:8" x14ac:dyDescent="0.25">
      <c r="A13446" s="1"/>
      <c r="B13446" s="1" t="s">
        <v>5782</v>
      </c>
      <c r="C13446" s="1" t="s">
        <v>5783</v>
      </c>
      <c r="D13446" s="22" t="str">
        <f>HYPERLINK("https://rhld.insurance.arkansas.gov/NPILookup?Npi=1184974487","1184974487")</f>
        <v>1184974487</v>
      </c>
      <c r="E13446" s="1" t="s">
        <v>21455</v>
      </c>
      <c r="F13446" s="2"/>
      <c r="G13446" s="2"/>
      <c r="H13446" s="2"/>
    </row>
    <row r="13447" spans="1:8" x14ac:dyDescent="0.25">
      <c r="A13447" s="1"/>
      <c r="B13447" s="1" t="s">
        <v>5782</v>
      </c>
      <c r="C13447" s="1" t="s">
        <v>5783</v>
      </c>
      <c r="D13447" s="22" t="str">
        <f>HYPERLINK("https://rhld.insurance.arkansas.gov/NPILookup?Npi=1184985343","1184985343")</f>
        <v>1184985343</v>
      </c>
      <c r="E13447" s="1" t="s">
        <v>21456</v>
      </c>
      <c r="F13447" s="2"/>
      <c r="G13447" s="2"/>
      <c r="H13447" s="2"/>
    </row>
    <row r="13448" spans="1:8" x14ac:dyDescent="0.25">
      <c r="A13448" s="1"/>
      <c r="B13448" s="1" t="s">
        <v>5782</v>
      </c>
      <c r="C13448" s="1" t="s">
        <v>5783</v>
      </c>
      <c r="D13448" s="22" t="str">
        <f>HYPERLINK("https://rhld.insurance.arkansas.gov/NPILookup?Npi=1184993750","1184993750")</f>
        <v>1184993750</v>
      </c>
      <c r="E13448" s="1" t="s">
        <v>1712</v>
      </c>
      <c r="F13448" s="2"/>
      <c r="G13448" s="2"/>
      <c r="H13448" s="2"/>
    </row>
    <row r="13449" spans="1:8" x14ac:dyDescent="0.25">
      <c r="A13449" s="1"/>
      <c r="B13449" s="1" t="s">
        <v>5782</v>
      </c>
      <c r="C13449" s="1" t="s">
        <v>5783</v>
      </c>
      <c r="D13449" s="22" t="str">
        <f>HYPERLINK("https://rhld.insurance.arkansas.gov/NPILookup?Npi=1184998429","1184998429")</f>
        <v>1184998429</v>
      </c>
      <c r="E13449" s="1" t="s">
        <v>21457</v>
      </c>
      <c r="F13449" s="2"/>
      <c r="G13449" s="2"/>
      <c r="H13449" s="2"/>
    </row>
    <row r="13450" spans="1:8" x14ac:dyDescent="0.25">
      <c r="A13450" s="1"/>
      <c r="B13450" s="1" t="s">
        <v>5782</v>
      </c>
      <c r="C13450" s="1" t="s">
        <v>5783</v>
      </c>
      <c r="D13450" s="22" t="str">
        <f>HYPERLINK("https://rhld.insurance.arkansas.gov/NPILookup?Npi=1194002956","1194002956")</f>
        <v>1194002956</v>
      </c>
      <c r="E13450" s="1" t="s">
        <v>1713</v>
      </c>
      <c r="F13450" s="2"/>
      <c r="G13450" s="2"/>
      <c r="H13450" s="2"/>
    </row>
    <row r="13451" spans="1:8" x14ac:dyDescent="0.25">
      <c r="A13451" s="1"/>
      <c r="B13451" s="1" t="s">
        <v>5782</v>
      </c>
      <c r="C13451" s="1" t="s">
        <v>5783</v>
      </c>
      <c r="D13451" s="22" t="str">
        <f>HYPERLINK("https://rhld.insurance.arkansas.gov/NPILookup?Npi=1194004192","1194004192")</f>
        <v>1194004192</v>
      </c>
      <c r="E13451" s="1" t="s">
        <v>6021</v>
      </c>
      <c r="F13451" s="2"/>
      <c r="G13451" s="2"/>
      <c r="H13451" s="2"/>
    </row>
    <row r="13452" spans="1:8" x14ac:dyDescent="0.25">
      <c r="A13452" s="1"/>
      <c r="B13452" s="1" t="s">
        <v>5782</v>
      </c>
      <c r="C13452" s="1" t="s">
        <v>5783</v>
      </c>
      <c r="D13452" s="22" t="str">
        <f>HYPERLINK("https://rhld.insurance.arkansas.gov/NPILookup?Npi=1194009431","1194009431")</f>
        <v>1194009431</v>
      </c>
      <c r="E13452" s="1" t="s">
        <v>21458</v>
      </c>
      <c r="F13452" s="2"/>
      <c r="G13452" s="2"/>
      <c r="H13452" s="2"/>
    </row>
    <row r="13453" spans="1:8" x14ac:dyDescent="0.25">
      <c r="A13453" s="1"/>
      <c r="B13453" s="1" t="s">
        <v>5782</v>
      </c>
      <c r="C13453" s="1" t="s">
        <v>5783</v>
      </c>
      <c r="D13453" s="22" t="str">
        <f>HYPERLINK("https://rhld.insurance.arkansas.gov/NPILookup?Npi=1194085779","1194085779")</f>
        <v>1194085779</v>
      </c>
      <c r="E13453" s="1" t="s">
        <v>31816</v>
      </c>
      <c r="F13453" s="2"/>
      <c r="G13453" s="2"/>
      <c r="H13453" s="2"/>
    </row>
    <row r="13454" spans="1:8" x14ac:dyDescent="0.25">
      <c r="A13454" s="1"/>
      <c r="B13454" s="1" t="s">
        <v>5782</v>
      </c>
      <c r="C13454" s="1" t="s">
        <v>5783</v>
      </c>
      <c r="D13454" s="22" t="str">
        <f>HYPERLINK("https://rhld.insurance.arkansas.gov/NPILookup?Npi=1194095067","1194095067")</f>
        <v>1194095067</v>
      </c>
      <c r="E13454" s="1" t="s">
        <v>21459</v>
      </c>
      <c r="F13454" s="2"/>
      <c r="G13454" s="2"/>
      <c r="H13454" s="2"/>
    </row>
    <row r="13455" spans="1:8" x14ac:dyDescent="0.25">
      <c r="A13455" s="1"/>
      <c r="B13455" s="1" t="s">
        <v>5782</v>
      </c>
      <c r="C13455" s="1" t="s">
        <v>5783</v>
      </c>
      <c r="D13455" s="22" t="str">
        <f>HYPERLINK("https://rhld.insurance.arkansas.gov/NPILookup?Npi=1194097824","1194097824")</f>
        <v>1194097824</v>
      </c>
      <c r="E13455" s="1" t="s">
        <v>11557</v>
      </c>
      <c r="F13455" s="2"/>
      <c r="G13455" s="2"/>
      <c r="H13455" s="2"/>
    </row>
    <row r="13456" spans="1:8" x14ac:dyDescent="0.25">
      <c r="A13456" s="1"/>
      <c r="B13456" s="1" t="s">
        <v>5782</v>
      </c>
      <c r="C13456" s="1" t="s">
        <v>5783</v>
      </c>
      <c r="D13456" s="22" t="str">
        <f>HYPERLINK("https://rhld.insurance.arkansas.gov/NPILookup?Npi=1194114009","1194114009")</f>
        <v>1194114009</v>
      </c>
      <c r="E13456" s="1" t="s">
        <v>11558</v>
      </c>
      <c r="F13456" s="2"/>
      <c r="G13456" s="2"/>
      <c r="H13456" s="2"/>
    </row>
    <row r="13457" spans="1:8" x14ac:dyDescent="0.25">
      <c r="A13457" s="1"/>
      <c r="B13457" s="1" t="s">
        <v>5782</v>
      </c>
      <c r="C13457" s="1" t="s">
        <v>5783</v>
      </c>
      <c r="D13457" s="22" t="str">
        <f>HYPERLINK("https://rhld.insurance.arkansas.gov/NPILookup?Npi=1194116715","1194116715")</f>
        <v>1194116715</v>
      </c>
      <c r="E13457" s="1" t="s">
        <v>31817</v>
      </c>
      <c r="F13457" s="2"/>
      <c r="G13457" s="2"/>
      <c r="H13457" s="2"/>
    </row>
    <row r="13458" spans="1:8" x14ac:dyDescent="0.25">
      <c r="A13458" s="1"/>
      <c r="B13458" s="1" t="s">
        <v>5782</v>
      </c>
      <c r="C13458" s="1" t="s">
        <v>5783</v>
      </c>
      <c r="D13458" s="22" t="str">
        <f>HYPERLINK("https://rhld.insurance.arkansas.gov/NPILookup?Npi=1194118125","1194118125")</f>
        <v>1194118125</v>
      </c>
      <c r="E13458" s="1" t="s">
        <v>3213</v>
      </c>
      <c r="F13458" s="2"/>
      <c r="G13458" s="2"/>
      <c r="H13458" s="2"/>
    </row>
    <row r="13459" spans="1:8" x14ac:dyDescent="0.25">
      <c r="A13459" s="1"/>
      <c r="B13459" s="1" t="s">
        <v>5782</v>
      </c>
      <c r="C13459" s="1" t="s">
        <v>5783</v>
      </c>
      <c r="D13459" s="22" t="str">
        <f>HYPERLINK("https://rhld.insurance.arkansas.gov/NPILookup?Npi=1194119016","1194119016")</f>
        <v>1194119016</v>
      </c>
      <c r="E13459" s="1" t="s">
        <v>21460</v>
      </c>
      <c r="F13459" s="2"/>
      <c r="G13459" s="2"/>
      <c r="H13459" s="2"/>
    </row>
    <row r="13460" spans="1:8" x14ac:dyDescent="0.25">
      <c r="A13460" s="1"/>
      <c r="B13460" s="1" t="s">
        <v>5782</v>
      </c>
      <c r="C13460" s="1" t="s">
        <v>5783</v>
      </c>
      <c r="D13460" s="22" t="str">
        <f>HYPERLINK("https://rhld.insurance.arkansas.gov/NPILookup?Npi=1194131466","1194131466")</f>
        <v>1194131466</v>
      </c>
      <c r="E13460" s="1" t="s">
        <v>6022</v>
      </c>
      <c r="F13460" s="2"/>
      <c r="G13460" s="2"/>
      <c r="H13460" s="2"/>
    </row>
    <row r="13461" spans="1:8" x14ac:dyDescent="0.25">
      <c r="A13461" s="1"/>
      <c r="B13461" s="1" t="s">
        <v>5782</v>
      </c>
      <c r="C13461" s="1" t="s">
        <v>5783</v>
      </c>
      <c r="D13461" s="22" t="str">
        <f>HYPERLINK("https://rhld.insurance.arkansas.gov/NPILookup?Npi=1194134494","1194134494")</f>
        <v>1194134494</v>
      </c>
      <c r="E13461" s="1" t="s">
        <v>21461</v>
      </c>
      <c r="F13461" s="2"/>
      <c r="G13461" s="2"/>
      <c r="H13461" s="2"/>
    </row>
    <row r="13462" spans="1:8" x14ac:dyDescent="0.25">
      <c r="A13462" s="1"/>
      <c r="B13462" s="1" t="s">
        <v>5782</v>
      </c>
      <c r="C13462" s="1" t="s">
        <v>5783</v>
      </c>
      <c r="D13462" s="22" t="str">
        <f>HYPERLINK("https://rhld.insurance.arkansas.gov/NPILookup?Npi=1194146100","1194146100")</f>
        <v>1194146100</v>
      </c>
      <c r="E13462" s="1" t="s">
        <v>21462</v>
      </c>
      <c r="F13462" s="2"/>
      <c r="G13462" s="2"/>
      <c r="H13462" s="2"/>
    </row>
    <row r="13463" spans="1:8" x14ac:dyDescent="0.25">
      <c r="A13463" s="1"/>
      <c r="B13463" s="1" t="s">
        <v>5782</v>
      </c>
      <c r="C13463" s="1" t="s">
        <v>5783</v>
      </c>
      <c r="D13463" s="22" t="str">
        <f>HYPERLINK("https://rhld.insurance.arkansas.gov/NPILookup?Npi=1194158394","1194158394")</f>
        <v>1194158394</v>
      </c>
      <c r="E13463" s="1" t="s">
        <v>3214</v>
      </c>
      <c r="F13463" s="2"/>
      <c r="G13463" s="2"/>
      <c r="H13463" s="2"/>
    </row>
    <row r="13464" spans="1:8" x14ac:dyDescent="0.25">
      <c r="A13464" s="1"/>
      <c r="B13464" s="1" t="s">
        <v>5782</v>
      </c>
      <c r="C13464" s="1" t="s">
        <v>5783</v>
      </c>
      <c r="D13464" s="22" t="str">
        <f>HYPERLINK("https://rhld.insurance.arkansas.gov/NPILookup?Npi=1194167379","1194167379")</f>
        <v>1194167379</v>
      </c>
      <c r="E13464" s="1" t="s">
        <v>21463</v>
      </c>
      <c r="F13464" s="2"/>
      <c r="G13464" s="2"/>
      <c r="H13464" s="2"/>
    </row>
    <row r="13465" spans="1:8" x14ac:dyDescent="0.25">
      <c r="A13465" s="1"/>
      <c r="B13465" s="1" t="s">
        <v>5782</v>
      </c>
      <c r="C13465" s="1" t="s">
        <v>5783</v>
      </c>
      <c r="D13465" s="22" t="str">
        <f>HYPERLINK("https://rhld.insurance.arkansas.gov/NPILookup?Npi=1194170134","1194170134")</f>
        <v>1194170134</v>
      </c>
      <c r="E13465" s="1" t="s">
        <v>6023</v>
      </c>
      <c r="F13465" s="2"/>
      <c r="G13465" s="2"/>
      <c r="H13465" s="2"/>
    </row>
    <row r="13466" spans="1:8" x14ac:dyDescent="0.25">
      <c r="A13466" s="1"/>
      <c r="B13466" s="1" t="s">
        <v>5782</v>
      </c>
      <c r="C13466" s="1" t="s">
        <v>5783</v>
      </c>
      <c r="D13466" s="22" t="str">
        <f>HYPERLINK("https://rhld.insurance.arkansas.gov/NPILookup?Npi=1194175570","1194175570")</f>
        <v>1194175570</v>
      </c>
      <c r="E13466" s="1" t="s">
        <v>2700</v>
      </c>
      <c r="F13466" s="2"/>
      <c r="G13466" s="2"/>
      <c r="H13466" s="2"/>
    </row>
    <row r="13467" spans="1:8" x14ac:dyDescent="0.25">
      <c r="A13467" s="1"/>
      <c r="B13467" s="1" t="s">
        <v>5782</v>
      </c>
      <c r="C13467" s="1" t="s">
        <v>5783</v>
      </c>
      <c r="D13467" s="22" t="str">
        <f>HYPERLINK("https://rhld.insurance.arkansas.gov/NPILookup?Npi=1194179366","1194179366")</f>
        <v>1194179366</v>
      </c>
      <c r="E13467" s="1" t="s">
        <v>1503</v>
      </c>
      <c r="F13467" s="2"/>
      <c r="G13467" s="2"/>
      <c r="H13467" s="2"/>
    </row>
    <row r="13468" spans="1:8" x14ac:dyDescent="0.25">
      <c r="A13468" s="1"/>
      <c r="B13468" s="1" t="s">
        <v>5782</v>
      </c>
      <c r="C13468" s="1" t="s">
        <v>5783</v>
      </c>
      <c r="D13468" s="22" t="str">
        <f>HYPERLINK("https://rhld.insurance.arkansas.gov/NPILookup?Npi=1194187815","1194187815")</f>
        <v>1194187815</v>
      </c>
      <c r="E13468" s="1" t="s">
        <v>11559</v>
      </c>
      <c r="F13468" s="2"/>
      <c r="G13468" s="2"/>
      <c r="H13468" s="2"/>
    </row>
    <row r="13469" spans="1:8" x14ac:dyDescent="0.25">
      <c r="A13469" s="1"/>
      <c r="B13469" s="1" t="s">
        <v>5782</v>
      </c>
      <c r="C13469" s="1" t="s">
        <v>5783</v>
      </c>
      <c r="D13469" s="22" t="str">
        <f>HYPERLINK("https://rhld.insurance.arkansas.gov/NPILookup?Npi=1194194076","1194194076")</f>
        <v>1194194076</v>
      </c>
      <c r="E13469" s="1" t="s">
        <v>1321</v>
      </c>
      <c r="F13469" s="2"/>
      <c r="G13469" s="2"/>
      <c r="H13469" s="2"/>
    </row>
    <row r="13470" spans="1:8" x14ac:dyDescent="0.25">
      <c r="A13470" s="1"/>
      <c r="B13470" s="1" t="s">
        <v>5782</v>
      </c>
      <c r="C13470" s="1" t="s">
        <v>5783</v>
      </c>
      <c r="D13470" s="22" t="str">
        <f>HYPERLINK("https://rhld.insurance.arkansas.gov/NPILookup?Npi=1194199208","1194199208")</f>
        <v>1194199208</v>
      </c>
      <c r="E13470" s="1" t="s">
        <v>21464</v>
      </c>
      <c r="F13470" s="2"/>
      <c r="G13470" s="2"/>
      <c r="H13470" s="2"/>
    </row>
    <row r="13471" spans="1:8" x14ac:dyDescent="0.25">
      <c r="A13471" s="1"/>
      <c r="B13471" s="1" t="s">
        <v>5782</v>
      </c>
      <c r="C13471" s="1" t="s">
        <v>5783</v>
      </c>
      <c r="D13471" s="22" t="str">
        <f>HYPERLINK("https://rhld.insurance.arkansas.gov/NPILookup?Npi=1194201400","1194201400")</f>
        <v>1194201400</v>
      </c>
      <c r="E13471" s="1" t="s">
        <v>21465</v>
      </c>
      <c r="F13471" s="2"/>
      <c r="G13471" s="2"/>
      <c r="H13471" s="2"/>
    </row>
    <row r="13472" spans="1:8" x14ac:dyDescent="0.25">
      <c r="A13472" s="1"/>
      <c r="B13472" s="1" t="s">
        <v>5782</v>
      </c>
      <c r="C13472" s="1" t="s">
        <v>5783</v>
      </c>
      <c r="D13472" s="22" t="str">
        <f>HYPERLINK("https://rhld.insurance.arkansas.gov/NPILookup?Npi=1194202531","1194202531")</f>
        <v>1194202531</v>
      </c>
      <c r="E13472" s="1" t="s">
        <v>6024</v>
      </c>
      <c r="F13472" s="2"/>
      <c r="G13472" s="2"/>
      <c r="H13472" s="2"/>
    </row>
    <row r="13473" spans="1:8" x14ac:dyDescent="0.25">
      <c r="A13473" s="1"/>
      <c r="B13473" s="1" t="s">
        <v>5782</v>
      </c>
      <c r="C13473" s="1" t="s">
        <v>5783</v>
      </c>
      <c r="D13473" s="22" t="str">
        <f>HYPERLINK("https://rhld.insurance.arkansas.gov/NPILookup?Npi=1194216226","1194216226")</f>
        <v>1194216226</v>
      </c>
      <c r="E13473" s="1" t="s">
        <v>3215</v>
      </c>
      <c r="F13473" s="2"/>
      <c r="G13473" s="2"/>
      <c r="H13473" s="2"/>
    </row>
    <row r="13474" spans="1:8" x14ac:dyDescent="0.25">
      <c r="A13474" s="1"/>
      <c r="B13474" s="1" t="s">
        <v>5782</v>
      </c>
      <c r="C13474" s="1" t="s">
        <v>5783</v>
      </c>
      <c r="D13474" s="22" t="str">
        <f>HYPERLINK("https://rhld.insurance.arkansas.gov/NPILookup?Npi=1194216374","1194216374")</f>
        <v>1194216374</v>
      </c>
      <c r="E13474" s="1" t="s">
        <v>21466</v>
      </c>
      <c r="F13474" s="2"/>
      <c r="G13474" s="2"/>
      <c r="H13474" s="2"/>
    </row>
    <row r="13475" spans="1:8" x14ac:dyDescent="0.25">
      <c r="A13475" s="1"/>
      <c r="B13475" s="1" t="s">
        <v>5782</v>
      </c>
      <c r="C13475" s="1" t="s">
        <v>5783</v>
      </c>
      <c r="D13475" s="22" t="str">
        <f>HYPERLINK("https://rhld.insurance.arkansas.gov/NPILookup?Npi=1194222059","1194222059")</f>
        <v>1194222059</v>
      </c>
      <c r="E13475" s="1" t="s">
        <v>21467</v>
      </c>
      <c r="F13475" s="2"/>
      <c r="G13475" s="2"/>
      <c r="H13475" s="2"/>
    </row>
    <row r="13476" spans="1:8" x14ac:dyDescent="0.25">
      <c r="A13476" s="1"/>
      <c r="B13476" s="1" t="s">
        <v>5782</v>
      </c>
      <c r="C13476" s="1" t="s">
        <v>5783</v>
      </c>
      <c r="D13476" s="22" t="str">
        <f>HYPERLINK("https://rhld.insurance.arkansas.gov/NPILookup?Npi=1194226530","1194226530")</f>
        <v>1194226530</v>
      </c>
      <c r="E13476" s="1" t="s">
        <v>6025</v>
      </c>
      <c r="F13476" s="2"/>
      <c r="G13476" s="2"/>
      <c r="H13476" s="2"/>
    </row>
    <row r="13477" spans="1:8" x14ac:dyDescent="0.25">
      <c r="A13477" s="1"/>
      <c r="B13477" s="1" t="s">
        <v>5782</v>
      </c>
      <c r="C13477" s="1" t="s">
        <v>5783</v>
      </c>
      <c r="D13477" s="22" t="str">
        <f>HYPERLINK("https://rhld.insurance.arkansas.gov/NPILookup?Npi=1194236935","1194236935")</f>
        <v>1194236935</v>
      </c>
      <c r="E13477" s="1" t="s">
        <v>11560</v>
      </c>
      <c r="F13477" s="2"/>
      <c r="G13477" s="2"/>
      <c r="H13477" s="2"/>
    </row>
    <row r="13478" spans="1:8" x14ac:dyDescent="0.25">
      <c r="A13478" s="1"/>
      <c r="B13478" s="1" t="s">
        <v>5782</v>
      </c>
      <c r="C13478" s="1" t="s">
        <v>5783</v>
      </c>
      <c r="D13478" s="22" t="str">
        <f>HYPERLINK("https://rhld.insurance.arkansas.gov/NPILookup?Npi=1194242099","1194242099")</f>
        <v>1194242099</v>
      </c>
      <c r="E13478" s="1" t="s">
        <v>21469</v>
      </c>
      <c r="F13478" s="2"/>
      <c r="G13478" s="2"/>
      <c r="H13478" s="2"/>
    </row>
    <row r="13479" spans="1:8" x14ac:dyDescent="0.25">
      <c r="A13479" s="1"/>
      <c r="B13479" s="1" t="s">
        <v>5782</v>
      </c>
      <c r="C13479" s="1" t="s">
        <v>5783</v>
      </c>
      <c r="D13479" s="22" t="str">
        <f>HYPERLINK("https://rhld.insurance.arkansas.gov/NPILookup?Npi=1194254631","1194254631")</f>
        <v>1194254631</v>
      </c>
      <c r="E13479" s="1" t="s">
        <v>11561</v>
      </c>
      <c r="F13479" s="2"/>
      <c r="G13479" s="2"/>
      <c r="H13479" s="2"/>
    </row>
    <row r="13480" spans="1:8" x14ac:dyDescent="0.25">
      <c r="A13480" s="1"/>
      <c r="B13480" s="1" t="s">
        <v>5782</v>
      </c>
      <c r="C13480" s="1" t="s">
        <v>5783</v>
      </c>
      <c r="D13480" s="22" t="str">
        <f>HYPERLINK("https://rhld.insurance.arkansas.gov/NPILookup?Npi=1194261826","1194261826")</f>
        <v>1194261826</v>
      </c>
      <c r="E13480" s="1" t="s">
        <v>6026</v>
      </c>
      <c r="F13480" s="2"/>
      <c r="G13480" s="2"/>
      <c r="H13480" s="2"/>
    </row>
    <row r="13481" spans="1:8" x14ac:dyDescent="0.25">
      <c r="A13481" s="1"/>
      <c r="B13481" s="1" t="s">
        <v>5782</v>
      </c>
      <c r="C13481" s="1" t="s">
        <v>5783</v>
      </c>
      <c r="D13481" s="22" t="str">
        <f>HYPERLINK("https://rhld.insurance.arkansas.gov/NPILookup?Npi=1194267401","1194267401")</f>
        <v>1194267401</v>
      </c>
      <c r="E13481" s="1" t="s">
        <v>1322</v>
      </c>
      <c r="F13481" s="2"/>
      <c r="G13481" s="2"/>
      <c r="H13481" s="2"/>
    </row>
    <row r="13482" spans="1:8" x14ac:dyDescent="0.25">
      <c r="A13482" s="1"/>
      <c r="B13482" s="1" t="s">
        <v>5782</v>
      </c>
      <c r="C13482" s="1" t="s">
        <v>5783</v>
      </c>
      <c r="D13482" s="22" t="str">
        <f>HYPERLINK("https://rhld.insurance.arkansas.gov/NPILookup?Npi=1194277947","1194277947")</f>
        <v>1194277947</v>
      </c>
      <c r="E13482" s="1" t="s">
        <v>5197</v>
      </c>
      <c r="F13482" s="2"/>
      <c r="G13482" s="2"/>
      <c r="H13482" s="2"/>
    </row>
    <row r="13483" spans="1:8" x14ac:dyDescent="0.25">
      <c r="A13483" s="1"/>
      <c r="B13483" s="1" t="s">
        <v>5782</v>
      </c>
      <c r="C13483" s="1" t="s">
        <v>5783</v>
      </c>
      <c r="D13483" s="22" t="str">
        <f>HYPERLINK("https://rhld.insurance.arkansas.gov/NPILookup?Npi=1194285569","1194285569")</f>
        <v>1194285569</v>
      </c>
      <c r="E13483" s="1" t="s">
        <v>31818</v>
      </c>
      <c r="F13483" s="2"/>
      <c r="G13483" s="2"/>
      <c r="H13483" s="2"/>
    </row>
    <row r="13484" spans="1:8" x14ac:dyDescent="0.25">
      <c r="A13484" s="1"/>
      <c r="B13484" s="1" t="s">
        <v>5782</v>
      </c>
      <c r="C13484" s="1" t="s">
        <v>5783</v>
      </c>
      <c r="D13484" s="22" t="str">
        <f>HYPERLINK("https://rhld.insurance.arkansas.gov/NPILookup?Npi=1194297648","1194297648")</f>
        <v>1194297648</v>
      </c>
      <c r="E13484" s="1" t="s">
        <v>21470</v>
      </c>
      <c r="F13484" s="2"/>
      <c r="G13484" s="2"/>
      <c r="H13484" s="2"/>
    </row>
    <row r="13485" spans="1:8" x14ac:dyDescent="0.25">
      <c r="A13485" s="1"/>
      <c r="B13485" s="1" t="s">
        <v>5782</v>
      </c>
      <c r="C13485" s="1" t="s">
        <v>5783</v>
      </c>
      <c r="D13485" s="22" t="str">
        <f>HYPERLINK("https://rhld.insurance.arkansas.gov/NPILookup?Npi=1194343947","1194343947")</f>
        <v>1194343947</v>
      </c>
      <c r="E13485" s="1" t="s">
        <v>21471</v>
      </c>
      <c r="F13485" s="2"/>
      <c r="G13485" s="2"/>
      <c r="H13485" s="2"/>
    </row>
    <row r="13486" spans="1:8" x14ac:dyDescent="0.25">
      <c r="A13486" s="1"/>
      <c r="B13486" s="1" t="s">
        <v>5782</v>
      </c>
      <c r="C13486" s="1" t="s">
        <v>5783</v>
      </c>
      <c r="D13486" s="22" t="str">
        <f>HYPERLINK("https://rhld.insurance.arkansas.gov/NPILookup?Npi=1194351726","1194351726")</f>
        <v>1194351726</v>
      </c>
      <c r="E13486" s="1" t="s">
        <v>21472</v>
      </c>
      <c r="F13486" s="2"/>
      <c r="G13486" s="2"/>
      <c r="H13486" s="2"/>
    </row>
    <row r="13487" spans="1:8" x14ac:dyDescent="0.25">
      <c r="A13487" s="1"/>
      <c r="B13487" s="1" t="s">
        <v>5782</v>
      </c>
      <c r="C13487" s="1" t="s">
        <v>5783</v>
      </c>
      <c r="D13487" s="22" t="str">
        <f>HYPERLINK("https://rhld.insurance.arkansas.gov/NPILookup?Npi=1194359182","1194359182")</f>
        <v>1194359182</v>
      </c>
      <c r="E13487" s="1" t="s">
        <v>5957</v>
      </c>
      <c r="F13487" s="2"/>
      <c r="G13487" s="2"/>
      <c r="H13487" s="2"/>
    </row>
    <row r="13488" spans="1:8" x14ac:dyDescent="0.25">
      <c r="A13488" s="1"/>
      <c r="B13488" s="1" t="s">
        <v>5782</v>
      </c>
      <c r="C13488" s="1" t="s">
        <v>5783</v>
      </c>
      <c r="D13488" s="22" t="str">
        <f>HYPERLINK("https://rhld.insurance.arkansas.gov/NPILookup?Npi=1194366294","1194366294")</f>
        <v>1194366294</v>
      </c>
      <c r="E13488" s="1" t="s">
        <v>21473</v>
      </c>
      <c r="F13488" s="2"/>
      <c r="G13488" s="2"/>
      <c r="H13488" s="2"/>
    </row>
    <row r="13489" spans="1:8" x14ac:dyDescent="0.25">
      <c r="A13489" s="1"/>
      <c r="B13489" s="1" t="s">
        <v>5782</v>
      </c>
      <c r="C13489" s="1" t="s">
        <v>5783</v>
      </c>
      <c r="D13489" s="22" t="str">
        <f>HYPERLINK("https://rhld.insurance.arkansas.gov/NPILookup?Npi=1194366450","1194366450")</f>
        <v>1194366450</v>
      </c>
      <c r="E13489" s="1" t="s">
        <v>21474</v>
      </c>
      <c r="F13489" s="2"/>
      <c r="G13489" s="2"/>
      <c r="H13489" s="2"/>
    </row>
    <row r="13490" spans="1:8" x14ac:dyDescent="0.25">
      <c r="A13490" s="1"/>
      <c r="B13490" s="1" t="s">
        <v>5782</v>
      </c>
      <c r="C13490" s="1" t="s">
        <v>5783</v>
      </c>
      <c r="D13490" s="22" t="str">
        <f>HYPERLINK("https://rhld.insurance.arkansas.gov/NPILookup?Npi=1194386839","1194386839")</f>
        <v>1194386839</v>
      </c>
      <c r="E13490" s="1" t="s">
        <v>3216</v>
      </c>
      <c r="F13490" s="2"/>
      <c r="G13490" s="2"/>
      <c r="H13490" s="2"/>
    </row>
    <row r="13491" spans="1:8" x14ac:dyDescent="0.25">
      <c r="A13491" s="1"/>
      <c r="B13491" s="1" t="s">
        <v>5782</v>
      </c>
      <c r="C13491" s="1" t="s">
        <v>5783</v>
      </c>
      <c r="D13491" s="22" t="str">
        <f>HYPERLINK("https://rhld.insurance.arkansas.gov/NPILookup?Npi=1194393603","1194393603")</f>
        <v>1194393603</v>
      </c>
      <c r="E13491" s="1" t="s">
        <v>21475</v>
      </c>
      <c r="F13491" s="2"/>
      <c r="G13491" s="2"/>
      <c r="H13491" s="2"/>
    </row>
    <row r="13492" spans="1:8" x14ac:dyDescent="0.25">
      <c r="A13492" s="1"/>
      <c r="B13492" s="1" t="s">
        <v>5782</v>
      </c>
      <c r="C13492" s="1" t="s">
        <v>5783</v>
      </c>
      <c r="D13492" s="22" t="str">
        <f>HYPERLINK("https://rhld.insurance.arkansas.gov/NPILookup?Npi=1194400663","1194400663")</f>
        <v>1194400663</v>
      </c>
      <c r="E13492" s="1" t="s">
        <v>21476</v>
      </c>
      <c r="F13492" s="2"/>
      <c r="G13492" s="2"/>
      <c r="H13492" s="2"/>
    </row>
    <row r="13493" spans="1:8" x14ac:dyDescent="0.25">
      <c r="A13493" s="1"/>
      <c r="B13493" s="1" t="s">
        <v>5782</v>
      </c>
      <c r="C13493" s="1" t="s">
        <v>5783</v>
      </c>
      <c r="D13493" s="22" t="str">
        <f>HYPERLINK("https://rhld.insurance.arkansas.gov/NPILookup?Npi=1194400754","1194400754")</f>
        <v>1194400754</v>
      </c>
      <c r="E13493" s="1" t="s">
        <v>6027</v>
      </c>
      <c r="F13493" s="2"/>
      <c r="G13493" s="2"/>
      <c r="H13493" s="2"/>
    </row>
    <row r="13494" spans="1:8" x14ac:dyDescent="0.25">
      <c r="A13494" s="1"/>
      <c r="B13494" s="1" t="s">
        <v>5782</v>
      </c>
      <c r="C13494" s="1" t="s">
        <v>5783</v>
      </c>
      <c r="D13494" s="22" t="str">
        <f>HYPERLINK("https://rhld.insurance.arkansas.gov/NPILookup?Npi=1194406645","1194406645")</f>
        <v>1194406645</v>
      </c>
      <c r="E13494" s="1" t="s">
        <v>6028</v>
      </c>
      <c r="F13494" s="2"/>
      <c r="G13494" s="2"/>
      <c r="H13494" s="2"/>
    </row>
    <row r="13495" spans="1:8" x14ac:dyDescent="0.25">
      <c r="A13495" s="1"/>
      <c r="B13495" s="1" t="s">
        <v>5782</v>
      </c>
      <c r="C13495" s="1" t="s">
        <v>5783</v>
      </c>
      <c r="D13495" s="22" t="str">
        <f>HYPERLINK("https://rhld.insurance.arkansas.gov/NPILookup?Npi=1194440826","1194440826")</f>
        <v>1194440826</v>
      </c>
      <c r="E13495" s="1" t="s">
        <v>11562</v>
      </c>
      <c r="F13495" s="2"/>
      <c r="G13495" s="2"/>
      <c r="H13495" s="2"/>
    </row>
    <row r="13496" spans="1:8" x14ac:dyDescent="0.25">
      <c r="A13496" s="1"/>
      <c r="B13496" s="1" t="s">
        <v>5782</v>
      </c>
      <c r="C13496" s="1" t="s">
        <v>5783</v>
      </c>
      <c r="D13496" s="22" t="str">
        <f>HYPERLINK("https://rhld.insurance.arkansas.gov/NPILookup?Npi=1194446096","1194446096")</f>
        <v>1194446096</v>
      </c>
      <c r="E13496" s="1" t="s">
        <v>21477</v>
      </c>
      <c r="F13496" s="2"/>
      <c r="G13496" s="2"/>
      <c r="H13496" s="2"/>
    </row>
    <row r="13497" spans="1:8" x14ac:dyDescent="0.25">
      <c r="A13497" s="1"/>
      <c r="B13497" s="1" t="s">
        <v>5782</v>
      </c>
      <c r="C13497" s="1" t="s">
        <v>5783</v>
      </c>
      <c r="D13497" s="22" t="str">
        <f>HYPERLINK("https://rhld.insurance.arkansas.gov/NPILookup?Npi=1194448530","1194448530")</f>
        <v>1194448530</v>
      </c>
      <c r="E13497" s="1" t="s">
        <v>6029</v>
      </c>
      <c r="F13497" s="2"/>
      <c r="G13497" s="2"/>
      <c r="H13497" s="2"/>
    </row>
    <row r="13498" spans="1:8" x14ac:dyDescent="0.25">
      <c r="A13498" s="1"/>
      <c r="B13498" s="1" t="s">
        <v>5782</v>
      </c>
      <c r="C13498" s="1" t="s">
        <v>5783</v>
      </c>
      <c r="D13498" s="22" t="str">
        <f>HYPERLINK("https://rhld.insurance.arkansas.gov/NPILookup?Npi=1194453704","1194453704")</f>
        <v>1194453704</v>
      </c>
      <c r="E13498" s="1" t="s">
        <v>21478</v>
      </c>
      <c r="F13498" s="2"/>
      <c r="G13498" s="2"/>
      <c r="H13498" s="2"/>
    </row>
    <row r="13499" spans="1:8" x14ac:dyDescent="0.25">
      <c r="A13499" s="1"/>
      <c r="B13499" s="1" t="s">
        <v>5782</v>
      </c>
      <c r="C13499" s="1" t="s">
        <v>5783</v>
      </c>
      <c r="D13499" s="22" t="str">
        <f>HYPERLINK("https://rhld.insurance.arkansas.gov/NPILookup?Npi=1194473447","1194473447")</f>
        <v>1194473447</v>
      </c>
      <c r="E13499" s="1" t="s">
        <v>21479</v>
      </c>
      <c r="F13499" s="2"/>
      <c r="G13499" s="2"/>
      <c r="H13499" s="2"/>
    </row>
    <row r="13500" spans="1:8" x14ac:dyDescent="0.25">
      <c r="A13500" s="1"/>
      <c r="B13500" s="1" t="s">
        <v>5782</v>
      </c>
      <c r="C13500" s="1" t="s">
        <v>5783</v>
      </c>
      <c r="D13500" s="22" t="str">
        <f>HYPERLINK("https://rhld.insurance.arkansas.gov/NPILookup?Npi=1194497206","1194497206")</f>
        <v>1194497206</v>
      </c>
      <c r="E13500" s="1" t="s">
        <v>6030</v>
      </c>
      <c r="F13500" s="2"/>
      <c r="G13500" s="2"/>
      <c r="H13500" s="2"/>
    </row>
    <row r="13501" spans="1:8" x14ac:dyDescent="0.25">
      <c r="A13501" s="1"/>
      <c r="B13501" s="1" t="s">
        <v>5782</v>
      </c>
      <c r="C13501" s="1" t="s">
        <v>5783</v>
      </c>
      <c r="D13501" s="22" t="str">
        <f>HYPERLINK("https://rhld.insurance.arkansas.gov/NPILookup?Npi=1194526996","1194526996")</f>
        <v>1194526996</v>
      </c>
      <c r="E13501" s="1" t="s">
        <v>31819</v>
      </c>
      <c r="F13501" s="2"/>
      <c r="G13501" s="2"/>
      <c r="H13501" s="2"/>
    </row>
    <row r="13502" spans="1:8" x14ac:dyDescent="0.25">
      <c r="A13502" s="1"/>
      <c r="B13502" s="1" t="s">
        <v>5782</v>
      </c>
      <c r="C13502" s="1" t="s">
        <v>5783</v>
      </c>
      <c r="D13502" s="22" t="str">
        <f>HYPERLINK("https://rhld.insurance.arkansas.gov/NPILookup?Npi=1194556753","1194556753")</f>
        <v>1194556753</v>
      </c>
      <c r="E13502" s="1" t="s">
        <v>21480</v>
      </c>
      <c r="F13502" s="2"/>
      <c r="G13502" s="2"/>
      <c r="H13502" s="2"/>
    </row>
    <row r="13503" spans="1:8" x14ac:dyDescent="0.25">
      <c r="A13503" s="1"/>
      <c r="B13503" s="1" t="s">
        <v>5782</v>
      </c>
      <c r="C13503" s="1" t="s">
        <v>5783</v>
      </c>
      <c r="D13503" s="22" t="str">
        <f>HYPERLINK("https://rhld.insurance.arkansas.gov/NPILookup?Npi=1194574756","1194574756")</f>
        <v>1194574756</v>
      </c>
      <c r="E13503" s="1" t="s">
        <v>21481</v>
      </c>
      <c r="F13503" s="2"/>
      <c r="G13503" s="2"/>
      <c r="H13503" s="2"/>
    </row>
    <row r="13504" spans="1:8" x14ac:dyDescent="0.25">
      <c r="A13504" s="1"/>
      <c r="B13504" s="1" t="s">
        <v>5782</v>
      </c>
      <c r="C13504" s="1" t="s">
        <v>5783</v>
      </c>
      <c r="D13504" s="22" t="str">
        <f>HYPERLINK("https://rhld.insurance.arkansas.gov/NPILookup?Npi=1194762906","1194762906")</f>
        <v>1194762906</v>
      </c>
      <c r="E13504" s="1" t="s">
        <v>11297</v>
      </c>
      <c r="F13504" s="2"/>
      <c r="G13504" s="2"/>
      <c r="H13504" s="2"/>
    </row>
    <row r="13505" spans="1:8" x14ac:dyDescent="0.25">
      <c r="A13505" s="1"/>
      <c r="B13505" s="1" t="s">
        <v>5782</v>
      </c>
      <c r="C13505" s="1" t="s">
        <v>5783</v>
      </c>
      <c r="D13505" s="22" t="str">
        <f>HYPERLINK("https://rhld.insurance.arkansas.gov/NPILookup?Npi=1194770024","1194770024")</f>
        <v>1194770024</v>
      </c>
      <c r="E13505" s="1" t="s">
        <v>6031</v>
      </c>
      <c r="F13505" s="2"/>
      <c r="G13505" s="2"/>
      <c r="H13505" s="2"/>
    </row>
    <row r="13506" spans="1:8" x14ac:dyDescent="0.25">
      <c r="A13506" s="1"/>
      <c r="B13506" s="1" t="s">
        <v>5782</v>
      </c>
      <c r="C13506" s="1" t="s">
        <v>5783</v>
      </c>
      <c r="D13506" s="22" t="str">
        <f>HYPERLINK("https://rhld.insurance.arkansas.gov/NPILookup?Npi=1194783456","1194783456")</f>
        <v>1194783456</v>
      </c>
      <c r="E13506" s="1" t="s">
        <v>11563</v>
      </c>
      <c r="F13506" s="2"/>
      <c r="G13506" s="2"/>
      <c r="H13506" s="2"/>
    </row>
    <row r="13507" spans="1:8" x14ac:dyDescent="0.25">
      <c r="A13507" s="1"/>
      <c r="B13507" s="1" t="s">
        <v>5782</v>
      </c>
      <c r="C13507" s="1" t="s">
        <v>5783</v>
      </c>
      <c r="D13507" s="22" t="str">
        <f>HYPERLINK("https://rhld.insurance.arkansas.gov/NPILookup?Npi=1194789495","1194789495")</f>
        <v>1194789495</v>
      </c>
      <c r="E13507" s="1" t="s">
        <v>21482</v>
      </c>
      <c r="F13507" s="2"/>
      <c r="G13507" s="2"/>
      <c r="H13507" s="2"/>
    </row>
    <row r="13508" spans="1:8" x14ac:dyDescent="0.25">
      <c r="A13508" s="1"/>
      <c r="B13508" s="1" t="s">
        <v>5782</v>
      </c>
      <c r="C13508" s="1" t="s">
        <v>5783</v>
      </c>
      <c r="D13508" s="22" t="str">
        <f>HYPERLINK("https://rhld.insurance.arkansas.gov/NPILookup?Npi=1194794586","1194794586")</f>
        <v>1194794586</v>
      </c>
      <c r="E13508" s="1" t="s">
        <v>11564</v>
      </c>
      <c r="F13508" s="2"/>
      <c r="G13508" s="2"/>
      <c r="H13508" s="2"/>
    </row>
    <row r="13509" spans="1:8" x14ac:dyDescent="0.25">
      <c r="A13509" s="1"/>
      <c r="B13509" s="1" t="s">
        <v>5782</v>
      </c>
      <c r="C13509" s="1" t="s">
        <v>5783</v>
      </c>
      <c r="D13509" s="22" t="str">
        <f>HYPERLINK("https://rhld.insurance.arkansas.gov/NPILookup?Npi=1194811323","1194811323")</f>
        <v>1194811323</v>
      </c>
      <c r="E13509" s="1" t="s">
        <v>2429</v>
      </c>
      <c r="F13509" s="2"/>
      <c r="G13509" s="2"/>
      <c r="H13509" s="2"/>
    </row>
    <row r="13510" spans="1:8" x14ac:dyDescent="0.25">
      <c r="A13510" s="1"/>
      <c r="B13510" s="1" t="s">
        <v>5782</v>
      </c>
      <c r="C13510" s="1" t="s">
        <v>5783</v>
      </c>
      <c r="D13510" s="22" t="str">
        <f>HYPERLINK("https://rhld.insurance.arkansas.gov/NPILookup?Npi=1194843474","1194843474")</f>
        <v>1194843474</v>
      </c>
      <c r="E13510" s="1" t="s">
        <v>6032</v>
      </c>
      <c r="F13510" s="2"/>
      <c r="G13510" s="2"/>
      <c r="H13510" s="2"/>
    </row>
    <row r="13511" spans="1:8" x14ac:dyDescent="0.25">
      <c r="A13511" s="1"/>
      <c r="B13511" s="1" t="s">
        <v>5782</v>
      </c>
      <c r="C13511" s="1" t="s">
        <v>5783</v>
      </c>
      <c r="D13511" s="22" t="str">
        <f>HYPERLINK("https://rhld.insurance.arkansas.gov/NPILookup?Npi=1194851766","1194851766")</f>
        <v>1194851766</v>
      </c>
      <c r="E13511" s="1" t="s">
        <v>21483</v>
      </c>
      <c r="F13511" s="2"/>
      <c r="G13511" s="2"/>
      <c r="H13511" s="2"/>
    </row>
    <row r="13512" spans="1:8" x14ac:dyDescent="0.25">
      <c r="A13512" s="1"/>
      <c r="B13512" s="1" t="s">
        <v>5782</v>
      </c>
      <c r="C13512" s="1" t="s">
        <v>5783</v>
      </c>
      <c r="D13512" s="22" t="str">
        <f>HYPERLINK("https://rhld.insurance.arkansas.gov/NPILookup?Npi=1194888123","1194888123")</f>
        <v>1194888123</v>
      </c>
      <c r="E13512" s="1" t="s">
        <v>21484</v>
      </c>
      <c r="F13512" s="2"/>
      <c r="G13512" s="2"/>
      <c r="H13512" s="2"/>
    </row>
    <row r="13513" spans="1:8" x14ac:dyDescent="0.25">
      <c r="A13513" s="1"/>
      <c r="B13513" s="1" t="s">
        <v>5782</v>
      </c>
      <c r="C13513" s="1" t="s">
        <v>5783</v>
      </c>
      <c r="D13513" s="22" t="str">
        <f>HYPERLINK("https://rhld.insurance.arkansas.gov/NPILookup?Npi=1194910620","1194910620")</f>
        <v>1194910620</v>
      </c>
      <c r="E13513" s="1" t="s">
        <v>3218</v>
      </c>
      <c r="F13513" s="2"/>
      <c r="G13513" s="2"/>
      <c r="H13513" s="2"/>
    </row>
    <row r="13514" spans="1:8" x14ac:dyDescent="0.25">
      <c r="A13514" s="1"/>
      <c r="B13514" s="1" t="s">
        <v>5782</v>
      </c>
      <c r="C13514" s="1" t="s">
        <v>5783</v>
      </c>
      <c r="D13514" s="22" t="str">
        <f>HYPERLINK("https://rhld.insurance.arkansas.gov/NPILookup?Npi=1194918912","1194918912")</f>
        <v>1194918912</v>
      </c>
      <c r="E13514" s="1" t="s">
        <v>31820</v>
      </c>
      <c r="F13514" s="2"/>
      <c r="G13514" s="2"/>
      <c r="H13514" s="2"/>
    </row>
    <row r="13515" spans="1:8" x14ac:dyDescent="0.25">
      <c r="A13515" s="1"/>
      <c r="B13515" s="1" t="s">
        <v>5782</v>
      </c>
      <c r="C13515" s="1" t="s">
        <v>5783</v>
      </c>
      <c r="D13515" s="22" t="str">
        <f>HYPERLINK("https://rhld.insurance.arkansas.gov/NPILookup?Npi=1194923532","1194923532")</f>
        <v>1194923532</v>
      </c>
      <c r="E13515" s="1" t="s">
        <v>5416</v>
      </c>
      <c r="F13515" s="2"/>
      <c r="G13515" s="2"/>
      <c r="H13515" s="2"/>
    </row>
    <row r="13516" spans="1:8" x14ac:dyDescent="0.25">
      <c r="A13516" s="1"/>
      <c r="B13516" s="1" t="s">
        <v>5782</v>
      </c>
      <c r="C13516" s="1" t="s">
        <v>5783</v>
      </c>
      <c r="D13516" s="22" t="str">
        <f>HYPERLINK("https://rhld.insurance.arkansas.gov/NPILookup?Npi=1194923805","1194923805")</f>
        <v>1194923805</v>
      </c>
      <c r="E13516" s="1" t="s">
        <v>21485</v>
      </c>
      <c r="F13516" s="2"/>
      <c r="G13516" s="2"/>
      <c r="H13516" s="2"/>
    </row>
    <row r="13517" spans="1:8" x14ac:dyDescent="0.25">
      <c r="A13517" s="1"/>
      <c r="B13517" s="1" t="s">
        <v>5782</v>
      </c>
      <c r="C13517" s="1" t="s">
        <v>5783</v>
      </c>
      <c r="D13517" s="22" t="str">
        <f>HYPERLINK("https://rhld.insurance.arkansas.gov/NPILookup?Npi=1194927087","1194927087")</f>
        <v>1194927087</v>
      </c>
      <c r="E13517" s="1" t="s">
        <v>15736</v>
      </c>
      <c r="F13517" s="2"/>
      <c r="G13517" s="2"/>
      <c r="H13517" s="2"/>
    </row>
    <row r="13518" spans="1:8" x14ac:dyDescent="0.25">
      <c r="A13518" s="1"/>
      <c r="B13518" s="1" t="s">
        <v>5782</v>
      </c>
      <c r="C13518" s="1" t="s">
        <v>5783</v>
      </c>
      <c r="D13518" s="22" t="str">
        <f>HYPERLINK("https://rhld.insurance.arkansas.gov/NPILookup?Npi=1194928218","1194928218")</f>
        <v>1194928218</v>
      </c>
      <c r="E13518" s="1" t="s">
        <v>21486</v>
      </c>
      <c r="F13518" s="2"/>
      <c r="G13518" s="2"/>
      <c r="H13518" s="2"/>
    </row>
    <row r="13519" spans="1:8" x14ac:dyDescent="0.25">
      <c r="A13519" s="1"/>
      <c r="B13519" s="1" t="s">
        <v>5782</v>
      </c>
      <c r="C13519" s="1" t="s">
        <v>5783</v>
      </c>
      <c r="D13519" s="22" t="str">
        <f>HYPERLINK("https://rhld.insurance.arkansas.gov/NPILookup?Npi=1194950774","1194950774")</f>
        <v>1194950774</v>
      </c>
      <c r="E13519" s="1" t="s">
        <v>21487</v>
      </c>
      <c r="F13519" s="2"/>
      <c r="G13519" s="2"/>
      <c r="H13519" s="2"/>
    </row>
    <row r="13520" spans="1:8" x14ac:dyDescent="0.25">
      <c r="A13520" s="1"/>
      <c r="B13520" s="1" t="s">
        <v>5782</v>
      </c>
      <c r="C13520" s="1" t="s">
        <v>5783</v>
      </c>
      <c r="D13520" s="22" t="str">
        <f>HYPERLINK("https://rhld.insurance.arkansas.gov/NPILookup?Npi=1194960302","1194960302")</f>
        <v>1194960302</v>
      </c>
      <c r="E13520" s="1" t="s">
        <v>6033</v>
      </c>
      <c r="F13520" s="2"/>
      <c r="G13520" s="2"/>
      <c r="H13520" s="2"/>
    </row>
    <row r="13521" spans="1:8" x14ac:dyDescent="0.25">
      <c r="A13521" s="1"/>
      <c r="B13521" s="1" t="s">
        <v>5782</v>
      </c>
      <c r="C13521" s="1" t="s">
        <v>5783</v>
      </c>
      <c r="D13521" s="22" t="str">
        <f>HYPERLINK("https://rhld.insurance.arkansas.gov/NPILookup?Npi=1194960740","1194960740")</f>
        <v>1194960740</v>
      </c>
      <c r="E13521" s="1" t="s">
        <v>21488</v>
      </c>
      <c r="F13521" s="2"/>
      <c r="G13521" s="2"/>
      <c r="H13521" s="2"/>
    </row>
    <row r="13522" spans="1:8" x14ac:dyDescent="0.25">
      <c r="A13522" s="1"/>
      <c r="B13522" s="1" t="s">
        <v>5782</v>
      </c>
      <c r="C13522" s="1" t="s">
        <v>5783</v>
      </c>
      <c r="D13522" s="22" t="str">
        <f>HYPERLINK("https://rhld.insurance.arkansas.gov/NPILookup?Npi=1194973412","1194973412")</f>
        <v>1194973412</v>
      </c>
      <c r="E13522" s="1" t="s">
        <v>21489</v>
      </c>
      <c r="F13522" s="2"/>
      <c r="G13522" s="2"/>
      <c r="H13522" s="2"/>
    </row>
    <row r="13523" spans="1:8" x14ac:dyDescent="0.25">
      <c r="A13523" s="1"/>
      <c r="B13523" s="1" t="s">
        <v>5782</v>
      </c>
      <c r="C13523" s="1" t="s">
        <v>5783</v>
      </c>
      <c r="D13523" s="22" t="str">
        <f>HYPERLINK("https://rhld.insurance.arkansas.gov/NPILookup?Npi=1194979849","1194979849")</f>
        <v>1194979849</v>
      </c>
      <c r="E13523" s="1" t="s">
        <v>21490</v>
      </c>
      <c r="F13523" s="2"/>
      <c r="G13523" s="2"/>
      <c r="H13523" s="2"/>
    </row>
    <row r="13524" spans="1:8" x14ac:dyDescent="0.25">
      <c r="A13524" s="1"/>
      <c r="B13524" s="1" t="s">
        <v>5782</v>
      </c>
      <c r="C13524" s="1" t="s">
        <v>5783</v>
      </c>
      <c r="D13524" s="22" t="str">
        <f>HYPERLINK("https://rhld.insurance.arkansas.gov/NPILookup?Npi=1194981704","1194981704")</f>
        <v>1194981704</v>
      </c>
      <c r="E13524" s="1" t="s">
        <v>21491</v>
      </c>
      <c r="F13524" s="2"/>
      <c r="G13524" s="2"/>
      <c r="H13524" s="2"/>
    </row>
    <row r="13525" spans="1:8" x14ac:dyDescent="0.25">
      <c r="A13525" s="1"/>
      <c r="B13525" s="1" t="s">
        <v>5782</v>
      </c>
      <c r="C13525" s="1" t="s">
        <v>5783</v>
      </c>
      <c r="D13525" s="22" t="str">
        <f>HYPERLINK("https://rhld.insurance.arkansas.gov/NPILookup?Npi=1194982397","1194982397")</f>
        <v>1194982397</v>
      </c>
      <c r="E13525" s="1" t="s">
        <v>7830</v>
      </c>
      <c r="F13525" s="2"/>
      <c r="G13525" s="2"/>
      <c r="H13525" s="2"/>
    </row>
    <row r="13526" spans="1:8" x14ac:dyDescent="0.25">
      <c r="A13526" s="1"/>
      <c r="B13526" s="1" t="s">
        <v>5782</v>
      </c>
      <c r="C13526" s="1" t="s">
        <v>5783</v>
      </c>
      <c r="D13526" s="22" t="str">
        <f>HYPERLINK("https://rhld.insurance.arkansas.gov/NPILookup?Npi=1194999615","1194999615")</f>
        <v>1194999615</v>
      </c>
      <c r="E13526" s="1" t="s">
        <v>6034</v>
      </c>
      <c r="F13526" s="2"/>
      <c r="G13526" s="2"/>
      <c r="H13526" s="2"/>
    </row>
    <row r="13527" spans="1:8" x14ac:dyDescent="0.25">
      <c r="A13527" s="1"/>
      <c r="B13527" s="1" t="s">
        <v>5782</v>
      </c>
      <c r="C13527" s="1" t="s">
        <v>5783</v>
      </c>
      <c r="D13527" s="22" t="str">
        <f>HYPERLINK("https://rhld.insurance.arkansas.gov/NPILookup?Npi=1205003688","1205003688")</f>
        <v>1205003688</v>
      </c>
      <c r="E13527" s="1" t="s">
        <v>21492</v>
      </c>
      <c r="F13527" s="2"/>
      <c r="G13527" s="2"/>
      <c r="H13527" s="2"/>
    </row>
    <row r="13528" spans="1:8" x14ac:dyDescent="0.25">
      <c r="A13528" s="1"/>
      <c r="B13528" s="1" t="s">
        <v>5782</v>
      </c>
      <c r="C13528" s="1" t="s">
        <v>5783</v>
      </c>
      <c r="D13528" s="22" t="str">
        <f>HYPERLINK("https://rhld.insurance.arkansas.gov/NPILookup?Npi=1205011327","1205011327")</f>
        <v>1205011327</v>
      </c>
      <c r="E13528" s="1" t="s">
        <v>21493</v>
      </c>
      <c r="F13528" s="2"/>
      <c r="G13528" s="2"/>
      <c r="H13528" s="2"/>
    </row>
    <row r="13529" spans="1:8" x14ac:dyDescent="0.25">
      <c r="A13529" s="1"/>
      <c r="B13529" s="1" t="s">
        <v>5782</v>
      </c>
      <c r="C13529" s="1" t="s">
        <v>5783</v>
      </c>
      <c r="D13529" s="22" t="str">
        <f>HYPERLINK("https://rhld.insurance.arkansas.gov/NPILookup?Npi=1205013893","1205013893")</f>
        <v>1205013893</v>
      </c>
      <c r="E13529" s="1" t="s">
        <v>21494</v>
      </c>
      <c r="F13529" s="2"/>
      <c r="G13529" s="2"/>
      <c r="H13529" s="2"/>
    </row>
    <row r="13530" spans="1:8" x14ac:dyDescent="0.25">
      <c r="A13530" s="1"/>
      <c r="B13530" s="1" t="s">
        <v>5782</v>
      </c>
      <c r="C13530" s="1" t="s">
        <v>5783</v>
      </c>
      <c r="D13530" s="22" t="str">
        <f>HYPERLINK("https://rhld.insurance.arkansas.gov/NPILookup?Npi=1205038874","1205038874")</f>
        <v>1205038874</v>
      </c>
      <c r="E13530" s="1" t="s">
        <v>2162</v>
      </c>
      <c r="F13530" s="2"/>
      <c r="G13530" s="2"/>
      <c r="H13530" s="2"/>
    </row>
    <row r="13531" spans="1:8" x14ac:dyDescent="0.25">
      <c r="A13531" s="1"/>
      <c r="B13531" s="1" t="s">
        <v>5782</v>
      </c>
      <c r="C13531" s="1" t="s">
        <v>5783</v>
      </c>
      <c r="D13531" s="22" t="str">
        <f>HYPERLINK("https://rhld.insurance.arkansas.gov/NPILookup?Npi=1205041696","1205041696")</f>
        <v>1205041696</v>
      </c>
      <c r="E13531" s="1" t="s">
        <v>21495</v>
      </c>
      <c r="F13531" s="2"/>
      <c r="G13531" s="2"/>
      <c r="H13531" s="2"/>
    </row>
    <row r="13532" spans="1:8" x14ac:dyDescent="0.25">
      <c r="A13532" s="1"/>
      <c r="B13532" s="1" t="s">
        <v>5782</v>
      </c>
      <c r="C13532" s="1" t="s">
        <v>5783</v>
      </c>
      <c r="D13532" s="22" t="str">
        <f>HYPERLINK("https://rhld.insurance.arkansas.gov/NPILookup?Npi=1205071636","1205071636")</f>
        <v>1205071636</v>
      </c>
      <c r="E13532" s="1" t="s">
        <v>21496</v>
      </c>
      <c r="F13532" s="2"/>
      <c r="G13532" s="2"/>
      <c r="H13532" s="2"/>
    </row>
    <row r="13533" spans="1:8" x14ac:dyDescent="0.25">
      <c r="A13533" s="1"/>
      <c r="B13533" s="1" t="s">
        <v>5782</v>
      </c>
      <c r="C13533" s="1" t="s">
        <v>5783</v>
      </c>
      <c r="D13533" s="22" t="str">
        <f>HYPERLINK("https://rhld.insurance.arkansas.gov/NPILookup?Npi=1205073210","1205073210")</f>
        <v>1205073210</v>
      </c>
      <c r="E13533" s="1" t="s">
        <v>11565</v>
      </c>
      <c r="F13533" s="2"/>
      <c r="G13533" s="2"/>
      <c r="H13533" s="2"/>
    </row>
    <row r="13534" spans="1:8" x14ac:dyDescent="0.25">
      <c r="A13534" s="1"/>
      <c r="B13534" s="1" t="s">
        <v>5782</v>
      </c>
      <c r="C13534" s="1" t="s">
        <v>5783</v>
      </c>
      <c r="D13534" s="22" t="str">
        <f>HYPERLINK("https://rhld.insurance.arkansas.gov/NPILookup?Npi=1205076403","1205076403")</f>
        <v>1205076403</v>
      </c>
      <c r="E13534" s="1" t="s">
        <v>21497</v>
      </c>
      <c r="F13534" s="2"/>
      <c r="G13534" s="2"/>
      <c r="H13534" s="2"/>
    </row>
    <row r="13535" spans="1:8" x14ac:dyDescent="0.25">
      <c r="A13535" s="1"/>
      <c r="B13535" s="1" t="s">
        <v>5782</v>
      </c>
      <c r="C13535" s="1" t="s">
        <v>5783</v>
      </c>
      <c r="D13535" s="22" t="str">
        <f>HYPERLINK("https://rhld.insurance.arkansas.gov/NPILookup?Npi=1205076551","1205076551")</f>
        <v>1205076551</v>
      </c>
      <c r="E13535" s="1" t="s">
        <v>11566</v>
      </c>
      <c r="F13535" s="2"/>
      <c r="G13535" s="2"/>
      <c r="H13535" s="2"/>
    </row>
    <row r="13536" spans="1:8" x14ac:dyDescent="0.25">
      <c r="A13536" s="1"/>
      <c r="B13536" s="1" t="s">
        <v>5782</v>
      </c>
      <c r="C13536" s="1" t="s">
        <v>5783</v>
      </c>
      <c r="D13536" s="22" t="str">
        <f>HYPERLINK("https://rhld.insurance.arkansas.gov/NPILookup?Npi=1205084621","1205084621")</f>
        <v>1205084621</v>
      </c>
      <c r="E13536" s="1" t="s">
        <v>554</v>
      </c>
      <c r="F13536" s="2"/>
      <c r="G13536" s="2"/>
      <c r="H13536" s="2"/>
    </row>
    <row r="13537" spans="1:8" x14ac:dyDescent="0.25">
      <c r="A13537" s="1"/>
      <c r="B13537" s="1" t="s">
        <v>5782</v>
      </c>
      <c r="C13537" s="1" t="s">
        <v>5783</v>
      </c>
      <c r="D13537" s="22" t="str">
        <f>HYPERLINK("https://rhld.insurance.arkansas.gov/NPILookup?Npi=1205085461","1205085461")</f>
        <v>1205085461</v>
      </c>
      <c r="E13537" s="1" t="s">
        <v>21498</v>
      </c>
      <c r="F13537" s="2"/>
      <c r="G13537" s="2"/>
      <c r="H13537" s="2"/>
    </row>
    <row r="13538" spans="1:8" x14ac:dyDescent="0.25">
      <c r="A13538" s="1"/>
      <c r="B13538" s="1" t="s">
        <v>5782</v>
      </c>
      <c r="C13538" s="1" t="s">
        <v>5783</v>
      </c>
      <c r="D13538" s="22" t="str">
        <f>HYPERLINK("https://rhld.insurance.arkansas.gov/NPILookup?Npi=1205086279","1205086279")</f>
        <v>1205086279</v>
      </c>
      <c r="E13538" s="1" t="s">
        <v>3219</v>
      </c>
      <c r="F13538" s="2"/>
      <c r="G13538" s="2"/>
      <c r="H13538" s="2"/>
    </row>
    <row r="13539" spans="1:8" x14ac:dyDescent="0.25">
      <c r="A13539" s="1"/>
      <c r="B13539" s="1" t="s">
        <v>5782</v>
      </c>
      <c r="C13539" s="1" t="s">
        <v>5783</v>
      </c>
      <c r="D13539" s="22" t="str">
        <f>HYPERLINK("https://rhld.insurance.arkansas.gov/NPILookup?Npi=1205093507","1205093507")</f>
        <v>1205093507</v>
      </c>
      <c r="E13539" s="1" t="s">
        <v>11567</v>
      </c>
      <c r="F13539" s="2"/>
      <c r="G13539" s="2"/>
      <c r="H13539" s="2"/>
    </row>
    <row r="13540" spans="1:8" x14ac:dyDescent="0.25">
      <c r="A13540" s="1"/>
      <c r="B13540" s="1" t="s">
        <v>5782</v>
      </c>
      <c r="C13540" s="1" t="s">
        <v>5783</v>
      </c>
      <c r="D13540" s="22" t="str">
        <f>HYPERLINK("https://rhld.insurance.arkansas.gov/NPILookup?Npi=1205112182","1205112182")</f>
        <v>1205112182</v>
      </c>
      <c r="E13540" s="1" t="s">
        <v>20320</v>
      </c>
      <c r="F13540" s="2"/>
      <c r="G13540" s="2"/>
      <c r="H13540" s="2"/>
    </row>
    <row r="13541" spans="1:8" x14ac:dyDescent="0.25">
      <c r="A13541" s="1"/>
      <c r="B13541" s="1" t="s">
        <v>5782</v>
      </c>
      <c r="C13541" s="1" t="s">
        <v>5783</v>
      </c>
      <c r="D13541" s="22" t="str">
        <f>HYPERLINK("https://rhld.insurance.arkansas.gov/NPILookup?Npi=1205118049","1205118049")</f>
        <v>1205118049</v>
      </c>
      <c r="E13541" s="1" t="s">
        <v>21499</v>
      </c>
      <c r="F13541" s="2"/>
      <c r="G13541" s="2"/>
      <c r="H13541" s="2"/>
    </row>
    <row r="13542" spans="1:8" x14ac:dyDescent="0.25">
      <c r="A13542" s="1"/>
      <c r="B13542" s="1" t="s">
        <v>5782</v>
      </c>
      <c r="C13542" s="1" t="s">
        <v>5783</v>
      </c>
      <c r="D13542" s="22" t="str">
        <f>HYPERLINK("https://rhld.insurance.arkansas.gov/NPILookup?Npi=1205138013","1205138013")</f>
        <v>1205138013</v>
      </c>
      <c r="E13542" s="1" t="s">
        <v>21500</v>
      </c>
      <c r="F13542" s="2"/>
      <c r="G13542" s="2"/>
      <c r="H13542" s="2"/>
    </row>
    <row r="13543" spans="1:8" x14ac:dyDescent="0.25">
      <c r="A13543" s="1"/>
      <c r="B13543" s="1" t="s">
        <v>5782</v>
      </c>
      <c r="C13543" s="1" t="s">
        <v>5783</v>
      </c>
      <c r="D13543" s="22" t="str">
        <f>HYPERLINK("https://rhld.insurance.arkansas.gov/NPILookup?Npi=1205165354","1205165354")</f>
        <v>1205165354</v>
      </c>
      <c r="E13543" s="1" t="s">
        <v>21501</v>
      </c>
      <c r="F13543" s="2"/>
      <c r="G13543" s="2"/>
      <c r="H13543" s="2"/>
    </row>
    <row r="13544" spans="1:8" x14ac:dyDescent="0.25">
      <c r="A13544" s="1"/>
      <c r="B13544" s="1" t="s">
        <v>5782</v>
      </c>
      <c r="C13544" s="1" t="s">
        <v>5783</v>
      </c>
      <c r="D13544" s="22" t="str">
        <f>HYPERLINK("https://rhld.insurance.arkansas.gov/NPILookup?Npi=1205176047","1205176047")</f>
        <v>1205176047</v>
      </c>
      <c r="E13544" s="1" t="s">
        <v>21502</v>
      </c>
      <c r="F13544" s="2"/>
      <c r="G13544" s="2"/>
      <c r="H13544" s="2"/>
    </row>
    <row r="13545" spans="1:8" x14ac:dyDescent="0.25">
      <c r="A13545" s="1"/>
      <c r="B13545" s="1" t="s">
        <v>5782</v>
      </c>
      <c r="C13545" s="1" t="s">
        <v>5783</v>
      </c>
      <c r="D13545" s="22" t="str">
        <f>HYPERLINK("https://rhld.insurance.arkansas.gov/NPILookup?Npi=1205177060","1205177060")</f>
        <v>1205177060</v>
      </c>
      <c r="E13545" s="1" t="s">
        <v>21503</v>
      </c>
      <c r="F13545" s="2"/>
      <c r="G13545" s="2"/>
      <c r="H13545" s="2"/>
    </row>
    <row r="13546" spans="1:8" x14ac:dyDescent="0.25">
      <c r="A13546" s="1"/>
      <c r="B13546" s="1" t="s">
        <v>5782</v>
      </c>
      <c r="C13546" s="1" t="s">
        <v>5783</v>
      </c>
      <c r="D13546" s="22" t="str">
        <f>HYPERLINK("https://rhld.insurance.arkansas.gov/NPILookup?Npi=1205219631","1205219631")</f>
        <v>1205219631</v>
      </c>
      <c r="E13546" s="1" t="s">
        <v>343</v>
      </c>
      <c r="F13546" s="2"/>
      <c r="G13546" s="2"/>
      <c r="H13546" s="2"/>
    </row>
    <row r="13547" spans="1:8" x14ac:dyDescent="0.25">
      <c r="A13547" s="1"/>
      <c r="B13547" s="1" t="s">
        <v>5782</v>
      </c>
      <c r="C13547" s="1" t="s">
        <v>5783</v>
      </c>
      <c r="D13547" s="22" t="str">
        <f>HYPERLINK("https://rhld.insurance.arkansas.gov/NPILookup?Npi=1205247228","1205247228")</f>
        <v>1205247228</v>
      </c>
      <c r="E13547" s="1" t="s">
        <v>21504</v>
      </c>
      <c r="F13547" s="2"/>
      <c r="G13547" s="2"/>
      <c r="H13547" s="2"/>
    </row>
    <row r="13548" spans="1:8" x14ac:dyDescent="0.25">
      <c r="A13548" s="1"/>
      <c r="B13548" s="1" t="s">
        <v>5782</v>
      </c>
      <c r="C13548" s="1" t="s">
        <v>5783</v>
      </c>
      <c r="D13548" s="22" t="str">
        <f>HYPERLINK("https://rhld.insurance.arkansas.gov/NPILookup?Npi=1205249976","1205249976")</f>
        <v>1205249976</v>
      </c>
      <c r="E13548" s="1" t="s">
        <v>842</v>
      </c>
      <c r="F13548" s="2"/>
      <c r="G13548" s="2"/>
      <c r="H13548" s="2"/>
    </row>
    <row r="13549" spans="1:8" x14ac:dyDescent="0.25">
      <c r="A13549" s="1"/>
      <c r="B13549" s="1" t="s">
        <v>5782</v>
      </c>
      <c r="C13549" s="1" t="s">
        <v>5783</v>
      </c>
      <c r="D13549" s="22" t="str">
        <f>HYPERLINK("https://rhld.insurance.arkansas.gov/NPILookup?Npi=1205250693","1205250693")</f>
        <v>1205250693</v>
      </c>
      <c r="E13549" s="1" t="s">
        <v>21505</v>
      </c>
      <c r="F13549" s="2"/>
      <c r="G13549" s="2"/>
      <c r="H13549" s="2"/>
    </row>
    <row r="13550" spans="1:8" x14ac:dyDescent="0.25">
      <c r="A13550" s="1"/>
      <c r="B13550" s="1" t="s">
        <v>5782</v>
      </c>
      <c r="C13550" s="1" t="s">
        <v>5783</v>
      </c>
      <c r="D13550" s="22" t="str">
        <f>HYPERLINK("https://rhld.insurance.arkansas.gov/NPILookup?Npi=1205258944","1205258944")</f>
        <v>1205258944</v>
      </c>
      <c r="E13550" s="1" t="s">
        <v>11569</v>
      </c>
      <c r="F13550" s="2"/>
      <c r="G13550" s="2"/>
      <c r="H13550" s="2"/>
    </row>
    <row r="13551" spans="1:8" x14ac:dyDescent="0.25">
      <c r="A13551" s="1"/>
      <c r="B13551" s="1" t="s">
        <v>5782</v>
      </c>
      <c r="C13551" s="1" t="s">
        <v>5783</v>
      </c>
      <c r="D13551" s="22" t="str">
        <f>HYPERLINK("https://rhld.insurance.arkansas.gov/NPILookup?Npi=1205277977","1205277977")</f>
        <v>1205277977</v>
      </c>
      <c r="E13551" s="1" t="s">
        <v>6035</v>
      </c>
      <c r="F13551" s="2"/>
      <c r="G13551" s="2"/>
      <c r="H13551" s="2"/>
    </row>
    <row r="13552" spans="1:8" x14ac:dyDescent="0.25">
      <c r="A13552" s="1"/>
      <c r="B13552" s="1" t="s">
        <v>5782</v>
      </c>
      <c r="C13552" s="1" t="s">
        <v>5783</v>
      </c>
      <c r="D13552" s="22" t="str">
        <f>HYPERLINK("https://rhld.insurance.arkansas.gov/NPILookup?Npi=1205285566","1205285566")</f>
        <v>1205285566</v>
      </c>
      <c r="E13552" s="1" t="s">
        <v>21506</v>
      </c>
      <c r="F13552" s="2"/>
      <c r="G13552" s="2"/>
      <c r="H13552" s="2"/>
    </row>
    <row r="13553" spans="1:8" x14ac:dyDescent="0.25">
      <c r="A13553" s="1"/>
      <c r="B13553" s="1" t="s">
        <v>5782</v>
      </c>
      <c r="C13553" s="1" t="s">
        <v>5783</v>
      </c>
      <c r="D13553" s="22" t="str">
        <f>HYPERLINK("https://rhld.insurance.arkansas.gov/NPILookup?Npi=1205292042","1205292042")</f>
        <v>1205292042</v>
      </c>
      <c r="E13553" s="1" t="s">
        <v>21507</v>
      </c>
      <c r="F13553" s="2"/>
      <c r="G13553" s="2"/>
      <c r="H13553" s="2"/>
    </row>
    <row r="13554" spans="1:8" x14ac:dyDescent="0.25">
      <c r="A13554" s="1"/>
      <c r="B13554" s="1" t="s">
        <v>5782</v>
      </c>
      <c r="C13554" s="1" t="s">
        <v>5783</v>
      </c>
      <c r="D13554" s="22" t="str">
        <f>HYPERLINK("https://rhld.insurance.arkansas.gov/NPILookup?Npi=1205294675","1205294675")</f>
        <v>1205294675</v>
      </c>
      <c r="E13554" s="1" t="s">
        <v>21508</v>
      </c>
      <c r="F13554" s="2"/>
      <c r="G13554" s="2"/>
      <c r="H13554" s="2"/>
    </row>
    <row r="13555" spans="1:8" x14ac:dyDescent="0.25">
      <c r="A13555" s="1"/>
      <c r="B13555" s="1" t="s">
        <v>5782</v>
      </c>
      <c r="C13555" s="1" t="s">
        <v>5783</v>
      </c>
      <c r="D13555" s="22" t="str">
        <f>HYPERLINK("https://rhld.insurance.arkansas.gov/NPILookup?Npi=1205296068","1205296068")</f>
        <v>1205296068</v>
      </c>
      <c r="E13555" s="1" t="s">
        <v>11570</v>
      </c>
      <c r="F13555" s="2"/>
      <c r="G13555" s="2"/>
      <c r="H13555" s="2"/>
    </row>
    <row r="13556" spans="1:8" x14ac:dyDescent="0.25">
      <c r="A13556" s="1"/>
      <c r="B13556" s="1" t="s">
        <v>5782</v>
      </c>
      <c r="C13556" s="1" t="s">
        <v>5783</v>
      </c>
      <c r="D13556" s="22" t="str">
        <f>HYPERLINK("https://rhld.insurance.arkansas.gov/NPILookup?Npi=1205316601","1205316601")</f>
        <v>1205316601</v>
      </c>
      <c r="E13556" s="1" t="s">
        <v>1504</v>
      </c>
      <c r="F13556" s="2"/>
      <c r="G13556" s="2"/>
      <c r="H13556" s="2"/>
    </row>
    <row r="13557" spans="1:8" x14ac:dyDescent="0.25">
      <c r="A13557" s="1"/>
      <c r="B13557" s="1" t="s">
        <v>5782</v>
      </c>
      <c r="C13557" s="1" t="s">
        <v>5783</v>
      </c>
      <c r="D13557" s="22" t="str">
        <f>HYPERLINK("https://rhld.insurance.arkansas.gov/NPILookup?Npi=1205318490","1205318490")</f>
        <v>1205318490</v>
      </c>
      <c r="E13557" s="1" t="s">
        <v>21509</v>
      </c>
      <c r="F13557" s="2"/>
      <c r="G13557" s="2"/>
      <c r="H13557" s="2"/>
    </row>
    <row r="13558" spans="1:8" x14ac:dyDescent="0.25">
      <c r="A13558" s="1"/>
      <c r="B13558" s="1" t="s">
        <v>5782</v>
      </c>
      <c r="C13558" s="1" t="s">
        <v>5783</v>
      </c>
      <c r="D13558" s="22" t="str">
        <f>HYPERLINK("https://rhld.insurance.arkansas.gov/NPILookup?Npi=1205336930","1205336930")</f>
        <v>1205336930</v>
      </c>
      <c r="E13558" s="1" t="s">
        <v>6037</v>
      </c>
      <c r="F13558" s="2"/>
      <c r="G13558" s="2"/>
      <c r="H13558" s="2"/>
    </row>
    <row r="13559" spans="1:8" x14ac:dyDescent="0.25">
      <c r="A13559" s="1"/>
      <c r="B13559" s="1" t="s">
        <v>5782</v>
      </c>
      <c r="C13559" s="1" t="s">
        <v>5783</v>
      </c>
      <c r="D13559" s="22" t="str">
        <f>HYPERLINK("https://rhld.insurance.arkansas.gov/NPILookup?Npi=1205359510","1205359510")</f>
        <v>1205359510</v>
      </c>
      <c r="E13559" s="1" t="s">
        <v>12186</v>
      </c>
      <c r="F13559" s="2"/>
      <c r="G13559" s="2"/>
      <c r="H13559" s="2"/>
    </row>
    <row r="13560" spans="1:8" x14ac:dyDescent="0.25">
      <c r="A13560" s="1"/>
      <c r="B13560" s="1" t="s">
        <v>5782</v>
      </c>
      <c r="C13560" s="1" t="s">
        <v>5783</v>
      </c>
      <c r="D13560" s="22" t="str">
        <f>HYPERLINK("https://rhld.insurance.arkansas.gov/NPILookup?Npi=1205376209","1205376209")</f>
        <v>1205376209</v>
      </c>
      <c r="E13560" s="1" t="s">
        <v>31821</v>
      </c>
      <c r="F13560" s="2"/>
      <c r="G13560" s="2"/>
      <c r="H13560" s="2"/>
    </row>
    <row r="13561" spans="1:8" x14ac:dyDescent="0.25">
      <c r="A13561" s="1"/>
      <c r="B13561" s="1" t="s">
        <v>5782</v>
      </c>
      <c r="C13561" s="1" t="s">
        <v>5783</v>
      </c>
      <c r="D13561" s="22" t="str">
        <f>HYPERLINK("https://rhld.insurance.arkansas.gov/NPILookup?Npi=1205399003","1205399003")</f>
        <v>1205399003</v>
      </c>
      <c r="E13561" s="1" t="s">
        <v>11571</v>
      </c>
      <c r="F13561" s="2"/>
      <c r="G13561" s="2"/>
      <c r="H13561" s="2"/>
    </row>
    <row r="13562" spans="1:8" x14ac:dyDescent="0.25">
      <c r="A13562" s="1"/>
      <c r="B13562" s="1" t="s">
        <v>5782</v>
      </c>
      <c r="C13562" s="1" t="s">
        <v>5783</v>
      </c>
      <c r="D13562" s="22" t="str">
        <f>HYPERLINK("https://rhld.insurance.arkansas.gov/NPILookup?Npi=1205399540","1205399540")</f>
        <v>1205399540</v>
      </c>
      <c r="E13562" s="1" t="s">
        <v>6038</v>
      </c>
      <c r="F13562" s="2"/>
      <c r="G13562" s="2"/>
      <c r="H13562" s="2"/>
    </row>
    <row r="13563" spans="1:8" x14ac:dyDescent="0.25">
      <c r="A13563" s="1"/>
      <c r="B13563" s="1" t="s">
        <v>5782</v>
      </c>
      <c r="C13563" s="1" t="s">
        <v>5783</v>
      </c>
      <c r="D13563" s="22" t="str">
        <f>HYPERLINK("https://rhld.insurance.arkansas.gov/NPILookup?Npi=1205399920","1205399920")</f>
        <v>1205399920</v>
      </c>
      <c r="E13563" s="1" t="s">
        <v>21510</v>
      </c>
      <c r="F13563" s="2"/>
      <c r="G13563" s="2"/>
      <c r="H13563" s="2"/>
    </row>
    <row r="13564" spans="1:8" x14ac:dyDescent="0.25">
      <c r="A13564" s="1"/>
      <c r="B13564" s="1" t="s">
        <v>5782</v>
      </c>
      <c r="C13564" s="1" t="s">
        <v>5783</v>
      </c>
      <c r="D13564" s="22" t="str">
        <f>HYPERLINK("https://rhld.insurance.arkansas.gov/NPILookup?Npi=1205422094","1205422094")</f>
        <v>1205422094</v>
      </c>
      <c r="E13564" s="1" t="s">
        <v>6039</v>
      </c>
      <c r="F13564" s="2"/>
      <c r="G13564" s="2"/>
      <c r="H13564" s="2"/>
    </row>
    <row r="13565" spans="1:8" x14ac:dyDescent="0.25">
      <c r="A13565" s="1"/>
      <c r="B13565" s="1" t="s">
        <v>5782</v>
      </c>
      <c r="C13565" s="1" t="s">
        <v>5783</v>
      </c>
      <c r="D13565" s="22" t="str">
        <f>HYPERLINK("https://rhld.insurance.arkansas.gov/NPILookup?Npi=1205432382","1205432382")</f>
        <v>1205432382</v>
      </c>
      <c r="E13565" s="1" t="s">
        <v>21511</v>
      </c>
      <c r="F13565" s="2"/>
      <c r="G13565" s="2"/>
      <c r="H13565" s="2"/>
    </row>
    <row r="13566" spans="1:8" x14ac:dyDescent="0.25">
      <c r="A13566" s="1"/>
      <c r="B13566" s="1" t="s">
        <v>5782</v>
      </c>
      <c r="C13566" s="1" t="s">
        <v>5783</v>
      </c>
      <c r="D13566" s="22" t="str">
        <f>HYPERLINK("https://rhld.insurance.arkansas.gov/NPILookup?Npi=1205434917","1205434917")</f>
        <v>1205434917</v>
      </c>
      <c r="E13566" s="1" t="s">
        <v>6040</v>
      </c>
      <c r="F13566" s="2"/>
      <c r="G13566" s="2"/>
      <c r="H13566" s="2"/>
    </row>
    <row r="13567" spans="1:8" x14ac:dyDescent="0.25">
      <c r="A13567" s="1"/>
      <c r="B13567" s="1" t="s">
        <v>5782</v>
      </c>
      <c r="C13567" s="1" t="s">
        <v>5783</v>
      </c>
      <c r="D13567" s="22" t="str">
        <f>HYPERLINK("https://rhld.insurance.arkansas.gov/NPILookup?Npi=1205483211","1205483211")</f>
        <v>1205483211</v>
      </c>
      <c r="E13567" s="1" t="s">
        <v>21512</v>
      </c>
      <c r="F13567" s="2"/>
      <c r="G13567" s="2"/>
      <c r="H13567" s="2"/>
    </row>
    <row r="13568" spans="1:8" x14ac:dyDescent="0.25">
      <c r="A13568" s="1"/>
      <c r="B13568" s="1" t="s">
        <v>5782</v>
      </c>
      <c r="C13568" s="1" t="s">
        <v>5783</v>
      </c>
      <c r="D13568" s="22" t="str">
        <f>HYPERLINK("https://rhld.insurance.arkansas.gov/NPILookup?Npi=1205519360","1205519360")</f>
        <v>1205519360</v>
      </c>
      <c r="E13568" s="1" t="s">
        <v>21513</v>
      </c>
      <c r="F13568" s="2"/>
      <c r="G13568" s="2"/>
      <c r="H13568" s="2"/>
    </row>
    <row r="13569" spans="1:8" x14ac:dyDescent="0.25">
      <c r="A13569" s="1"/>
      <c r="B13569" s="1" t="s">
        <v>5782</v>
      </c>
      <c r="C13569" s="1" t="s">
        <v>5783</v>
      </c>
      <c r="D13569" s="22" t="str">
        <f>HYPERLINK("https://rhld.insurance.arkansas.gov/NPILookup?Npi=1205532876","1205532876")</f>
        <v>1205532876</v>
      </c>
      <c r="E13569" s="1" t="s">
        <v>6041</v>
      </c>
      <c r="F13569" s="2"/>
      <c r="G13569" s="2"/>
      <c r="H13569" s="2"/>
    </row>
    <row r="13570" spans="1:8" x14ac:dyDescent="0.25">
      <c r="A13570" s="1"/>
      <c r="B13570" s="1" t="s">
        <v>5782</v>
      </c>
      <c r="C13570" s="1" t="s">
        <v>5783</v>
      </c>
      <c r="D13570" s="22" t="str">
        <f>HYPERLINK("https://rhld.insurance.arkansas.gov/NPILookup?Npi=1205533007","1205533007")</f>
        <v>1205533007</v>
      </c>
      <c r="E13570" s="1" t="s">
        <v>21514</v>
      </c>
      <c r="F13570" s="2"/>
      <c r="G13570" s="2"/>
      <c r="H13570" s="2"/>
    </row>
    <row r="13571" spans="1:8" x14ac:dyDescent="0.25">
      <c r="A13571" s="1"/>
      <c r="B13571" s="1" t="s">
        <v>5782</v>
      </c>
      <c r="C13571" s="1" t="s">
        <v>5783</v>
      </c>
      <c r="D13571" s="22" t="str">
        <f>HYPERLINK("https://rhld.insurance.arkansas.gov/NPILookup?Npi=1205563087","1205563087")</f>
        <v>1205563087</v>
      </c>
      <c r="E13571" s="1" t="s">
        <v>6042</v>
      </c>
      <c r="F13571" s="2"/>
      <c r="G13571" s="2"/>
      <c r="H13571" s="2"/>
    </row>
    <row r="13572" spans="1:8" x14ac:dyDescent="0.25">
      <c r="A13572" s="1"/>
      <c r="B13572" s="1" t="s">
        <v>5782</v>
      </c>
      <c r="C13572" s="1" t="s">
        <v>5783</v>
      </c>
      <c r="D13572" s="22" t="str">
        <f>HYPERLINK("https://rhld.insurance.arkansas.gov/NPILookup?Npi=1205565801","1205565801")</f>
        <v>1205565801</v>
      </c>
      <c r="E13572" s="1" t="s">
        <v>21515</v>
      </c>
      <c r="F13572" s="2"/>
      <c r="G13572" s="2"/>
      <c r="H13572" s="2"/>
    </row>
    <row r="13573" spans="1:8" x14ac:dyDescent="0.25">
      <c r="A13573" s="1"/>
      <c r="B13573" s="1" t="s">
        <v>5782</v>
      </c>
      <c r="C13573" s="1" t="s">
        <v>5783</v>
      </c>
      <c r="D13573" s="22" t="str">
        <f>HYPERLINK("https://rhld.insurance.arkansas.gov/NPILookup?Npi=1205573375","1205573375")</f>
        <v>1205573375</v>
      </c>
      <c r="E13573" s="1" t="s">
        <v>21516</v>
      </c>
      <c r="F13573" s="2"/>
      <c r="G13573" s="2"/>
      <c r="H13573" s="2"/>
    </row>
    <row r="13574" spans="1:8" x14ac:dyDescent="0.25">
      <c r="A13574" s="1"/>
      <c r="B13574" s="1" t="s">
        <v>5782</v>
      </c>
      <c r="C13574" s="1" t="s">
        <v>5783</v>
      </c>
      <c r="D13574" s="22" t="str">
        <f>HYPERLINK("https://rhld.insurance.arkansas.gov/NPILookup?Npi=1205679727","1205679727")</f>
        <v>1205679727</v>
      </c>
      <c r="E13574" s="1" t="s">
        <v>21517</v>
      </c>
      <c r="F13574" s="2"/>
      <c r="G13574" s="2"/>
      <c r="H13574" s="2"/>
    </row>
    <row r="13575" spans="1:8" x14ac:dyDescent="0.25">
      <c r="A13575" s="1"/>
      <c r="B13575" s="1" t="s">
        <v>5782</v>
      </c>
      <c r="C13575" s="1" t="s">
        <v>5783</v>
      </c>
      <c r="D13575" s="22" t="str">
        <f>HYPERLINK("https://rhld.insurance.arkansas.gov/NPILookup?Npi=1205846706","1205846706")</f>
        <v>1205846706</v>
      </c>
      <c r="E13575" s="1" t="s">
        <v>21518</v>
      </c>
      <c r="F13575" s="2"/>
      <c r="G13575" s="2"/>
      <c r="H13575" s="2"/>
    </row>
    <row r="13576" spans="1:8" x14ac:dyDescent="0.25">
      <c r="A13576" s="1"/>
      <c r="B13576" s="1" t="s">
        <v>5782</v>
      </c>
      <c r="C13576" s="1" t="s">
        <v>5783</v>
      </c>
      <c r="D13576" s="22" t="str">
        <f>HYPERLINK("https://rhld.insurance.arkansas.gov/NPILookup?Npi=1205878162","1205878162")</f>
        <v>1205878162</v>
      </c>
      <c r="E13576" s="1" t="s">
        <v>17545</v>
      </c>
      <c r="F13576" s="2"/>
      <c r="G13576" s="2"/>
      <c r="H13576" s="2"/>
    </row>
    <row r="13577" spans="1:8" x14ac:dyDescent="0.25">
      <c r="A13577" s="1"/>
      <c r="B13577" s="1" t="s">
        <v>5782</v>
      </c>
      <c r="C13577" s="1" t="s">
        <v>5783</v>
      </c>
      <c r="D13577" s="22" t="str">
        <f>HYPERLINK("https://rhld.insurance.arkansas.gov/NPILookup?Npi=1205927944","1205927944")</f>
        <v>1205927944</v>
      </c>
      <c r="E13577" s="1" t="s">
        <v>21519</v>
      </c>
      <c r="F13577" s="2"/>
      <c r="G13577" s="2"/>
      <c r="H13577" s="2"/>
    </row>
    <row r="13578" spans="1:8" x14ac:dyDescent="0.25">
      <c r="A13578" s="1"/>
      <c r="B13578" s="1" t="s">
        <v>5782</v>
      </c>
      <c r="C13578" s="1" t="s">
        <v>5783</v>
      </c>
      <c r="D13578" s="22" t="str">
        <f>HYPERLINK("https://rhld.insurance.arkansas.gov/NPILookup?Npi=1205957834","1205957834")</f>
        <v>1205957834</v>
      </c>
      <c r="E13578" s="1" t="s">
        <v>21520</v>
      </c>
      <c r="F13578" s="2"/>
      <c r="G13578" s="2"/>
      <c r="H13578" s="2"/>
    </row>
    <row r="13579" spans="1:8" x14ac:dyDescent="0.25">
      <c r="A13579" s="1"/>
      <c r="B13579" s="1" t="s">
        <v>5782</v>
      </c>
      <c r="C13579" s="1" t="s">
        <v>5783</v>
      </c>
      <c r="D13579" s="22" t="str">
        <f>HYPERLINK("https://rhld.insurance.arkansas.gov/NPILookup?Npi=1215000401","1215000401")</f>
        <v>1215000401</v>
      </c>
      <c r="E13579" s="1" t="s">
        <v>11572</v>
      </c>
      <c r="F13579" s="2"/>
      <c r="G13579" s="2"/>
      <c r="H13579" s="2"/>
    </row>
    <row r="13580" spans="1:8" x14ac:dyDescent="0.25">
      <c r="A13580" s="1"/>
      <c r="B13580" s="1" t="s">
        <v>5782</v>
      </c>
      <c r="C13580" s="1" t="s">
        <v>5783</v>
      </c>
      <c r="D13580" s="22" t="str">
        <f>HYPERLINK("https://rhld.insurance.arkansas.gov/NPILookup?Npi=1215008842","1215008842")</f>
        <v>1215008842</v>
      </c>
      <c r="E13580" s="1" t="s">
        <v>21521</v>
      </c>
      <c r="F13580" s="2"/>
      <c r="G13580" s="2"/>
      <c r="H13580" s="2"/>
    </row>
    <row r="13581" spans="1:8" x14ac:dyDescent="0.25">
      <c r="A13581" s="1"/>
      <c r="B13581" s="1" t="s">
        <v>5782</v>
      </c>
      <c r="C13581" s="1" t="s">
        <v>5783</v>
      </c>
      <c r="D13581" s="22" t="str">
        <f>HYPERLINK("https://rhld.insurance.arkansas.gov/NPILookup?Npi=1215051263","1215051263")</f>
        <v>1215051263</v>
      </c>
      <c r="E13581" s="1" t="s">
        <v>3220</v>
      </c>
      <c r="F13581" s="2"/>
      <c r="G13581" s="2"/>
      <c r="H13581" s="2"/>
    </row>
    <row r="13582" spans="1:8" x14ac:dyDescent="0.25">
      <c r="A13582" s="1"/>
      <c r="B13582" s="1" t="s">
        <v>5782</v>
      </c>
      <c r="C13582" s="1" t="s">
        <v>5783</v>
      </c>
      <c r="D13582" s="22" t="str">
        <f>HYPERLINK("https://rhld.insurance.arkansas.gov/NPILookup?Npi=1215052329","1215052329")</f>
        <v>1215052329</v>
      </c>
      <c r="E13582" s="1" t="s">
        <v>21522</v>
      </c>
      <c r="F13582" s="2"/>
      <c r="G13582" s="2"/>
      <c r="H13582" s="2"/>
    </row>
    <row r="13583" spans="1:8" x14ac:dyDescent="0.25">
      <c r="A13583" s="1"/>
      <c r="B13583" s="1" t="s">
        <v>5782</v>
      </c>
      <c r="C13583" s="1" t="s">
        <v>5783</v>
      </c>
      <c r="D13583" s="22" t="str">
        <f>HYPERLINK("https://rhld.insurance.arkansas.gov/NPILookup?Npi=1215059993","1215059993")</f>
        <v>1215059993</v>
      </c>
      <c r="E13583" s="1" t="s">
        <v>11573</v>
      </c>
      <c r="F13583" s="2"/>
      <c r="G13583" s="2"/>
      <c r="H13583" s="2"/>
    </row>
    <row r="13584" spans="1:8" x14ac:dyDescent="0.25">
      <c r="A13584" s="1"/>
      <c r="B13584" s="1" t="s">
        <v>5782</v>
      </c>
      <c r="C13584" s="1" t="s">
        <v>5783</v>
      </c>
      <c r="D13584" s="22" t="str">
        <f>HYPERLINK("https://rhld.insurance.arkansas.gov/NPILookup?Npi=1215079546","1215079546")</f>
        <v>1215079546</v>
      </c>
      <c r="E13584" s="1" t="s">
        <v>21523</v>
      </c>
      <c r="F13584" s="2"/>
      <c r="G13584" s="2"/>
      <c r="H13584" s="2"/>
    </row>
    <row r="13585" spans="1:8" x14ac:dyDescent="0.25">
      <c r="A13585" s="1"/>
      <c r="B13585" s="1" t="s">
        <v>5782</v>
      </c>
      <c r="C13585" s="1" t="s">
        <v>5783</v>
      </c>
      <c r="D13585" s="22" t="str">
        <f>HYPERLINK("https://rhld.insurance.arkansas.gov/NPILookup?Npi=1215087572","1215087572")</f>
        <v>1215087572</v>
      </c>
      <c r="E13585" s="1" t="s">
        <v>21524</v>
      </c>
      <c r="F13585" s="2"/>
      <c r="G13585" s="2"/>
      <c r="H13585" s="2"/>
    </row>
    <row r="13586" spans="1:8" x14ac:dyDescent="0.25">
      <c r="A13586" s="1"/>
      <c r="B13586" s="1" t="s">
        <v>5782</v>
      </c>
      <c r="C13586" s="1" t="s">
        <v>5783</v>
      </c>
      <c r="D13586" s="22" t="str">
        <f>HYPERLINK("https://rhld.insurance.arkansas.gov/NPILookup?Npi=1215093992","1215093992")</f>
        <v>1215093992</v>
      </c>
      <c r="E13586" s="1" t="s">
        <v>21525</v>
      </c>
      <c r="F13586" s="2"/>
      <c r="G13586" s="2"/>
      <c r="H13586" s="2"/>
    </row>
    <row r="13587" spans="1:8" x14ac:dyDescent="0.25">
      <c r="A13587" s="1"/>
      <c r="B13587" s="1" t="s">
        <v>5782</v>
      </c>
      <c r="C13587" s="1" t="s">
        <v>5783</v>
      </c>
      <c r="D13587" s="22" t="str">
        <f>HYPERLINK("https://rhld.insurance.arkansas.gov/NPILookup?Npi=1215095211","1215095211")</f>
        <v>1215095211</v>
      </c>
      <c r="E13587" s="1" t="s">
        <v>364</v>
      </c>
      <c r="F13587" s="2"/>
      <c r="G13587" s="2"/>
      <c r="H13587" s="2"/>
    </row>
    <row r="13588" spans="1:8" x14ac:dyDescent="0.25">
      <c r="A13588" s="1"/>
      <c r="B13588" s="1" t="s">
        <v>5782</v>
      </c>
      <c r="C13588" s="1" t="s">
        <v>5783</v>
      </c>
      <c r="D13588" s="22" t="str">
        <f>HYPERLINK("https://rhld.insurance.arkansas.gov/NPILookup?Npi=1215104740","1215104740")</f>
        <v>1215104740</v>
      </c>
      <c r="E13588" s="1" t="s">
        <v>3221</v>
      </c>
      <c r="F13588" s="2"/>
      <c r="G13588" s="2"/>
      <c r="H13588" s="2"/>
    </row>
    <row r="13589" spans="1:8" x14ac:dyDescent="0.25">
      <c r="A13589" s="1"/>
      <c r="B13589" s="1" t="s">
        <v>5782</v>
      </c>
      <c r="C13589" s="1" t="s">
        <v>5783</v>
      </c>
      <c r="D13589" s="22" t="str">
        <f>HYPERLINK("https://rhld.insurance.arkansas.gov/NPILookup?Npi=1215110861","1215110861")</f>
        <v>1215110861</v>
      </c>
      <c r="E13589" s="1" t="s">
        <v>3222</v>
      </c>
      <c r="F13589" s="2"/>
      <c r="G13589" s="2"/>
      <c r="H13589" s="2"/>
    </row>
    <row r="13590" spans="1:8" x14ac:dyDescent="0.25">
      <c r="A13590" s="1"/>
      <c r="B13590" s="1" t="s">
        <v>5782</v>
      </c>
      <c r="C13590" s="1" t="s">
        <v>5783</v>
      </c>
      <c r="D13590" s="22" t="str">
        <f>HYPERLINK("https://rhld.insurance.arkansas.gov/NPILookup?Npi=1215137153","1215137153")</f>
        <v>1215137153</v>
      </c>
      <c r="E13590" s="1" t="s">
        <v>21526</v>
      </c>
      <c r="F13590" s="2"/>
      <c r="G13590" s="2"/>
      <c r="H13590" s="2"/>
    </row>
    <row r="13591" spans="1:8" x14ac:dyDescent="0.25">
      <c r="A13591" s="1"/>
      <c r="B13591" s="1" t="s">
        <v>5782</v>
      </c>
      <c r="C13591" s="1" t="s">
        <v>5783</v>
      </c>
      <c r="D13591" s="22" t="str">
        <f>HYPERLINK("https://rhld.insurance.arkansas.gov/NPILookup?Npi=1215158563","1215158563")</f>
        <v>1215158563</v>
      </c>
      <c r="E13591" s="1" t="s">
        <v>11574</v>
      </c>
      <c r="F13591" s="2"/>
      <c r="G13591" s="2"/>
      <c r="H13591" s="2"/>
    </row>
    <row r="13592" spans="1:8" x14ac:dyDescent="0.25">
      <c r="A13592" s="1"/>
      <c r="B13592" s="1" t="s">
        <v>5782</v>
      </c>
      <c r="C13592" s="1" t="s">
        <v>5783</v>
      </c>
      <c r="D13592" s="22" t="str">
        <f>HYPERLINK("https://rhld.insurance.arkansas.gov/NPILookup?Npi=1215166848","1215166848")</f>
        <v>1215166848</v>
      </c>
      <c r="E13592" s="1" t="s">
        <v>11575</v>
      </c>
      <c r="F13592" s="2"/>
      <c r="G13592" s="2"/>
      <c r="H13592" s="2"/>
    </row>
    <row r="13593" spans="1:8" x14ac:dyDescent="0.25">
      <c r="A13593" s="1"/>
      <c r="B13593" s="1" t="s">
        <v>5782</v>
      </c>
      <c r="C13593" s="1" t="s">
        <v>5783</v>
      </c>
      <c r="D13593" s="22" t="str">
        <f>HYPERLINK("https://rhld.insurance.arkansas.gov/NPILookup?Npi=1215183280","1215183280")</f>
        <v>1215183280</v>
      </c>
      <c r="E13593" s="1" t="s">
        <v>21527</v>
      </c>
      <c r="F13593" s="2"/>
      <c r="G13593" s="2"/>
      <c r="H13593" s="2"/>
    </row>
    <row r="13594" spans="1:8" x14ac:dyDescent="0.25">
      <c r="A13594" s="1"/>
      <c r="B13594" s="1" t="s">
        <v>5782</v>
      </c>
      <c r="C13594" s="1" t="s">
        <v>5783</v>
      </c>
      <c r="D13594" s="22" t="str">
        <f>HYPERLINK("https://rhld.insurance.arkansas.gov/NPILookup?Npi=1215208392","1215208392")</f>
        <v>1215208392</v>
      </c>
      <c r="E13594" s="1" t="s">
        <v>3223</v>
      </c>
      <c r="F13594" s="2"/>
      <c r="G13594" s="2"/>
      <c r="H13594" s="2"/>
    </row>
    <row r="13595" spans="1:8" x14ac:dyDescent="0.25">
      <c r="A13595" s="1"/>
      <c r="B13595" s="1" t="s">
        <v>5782</v>
      </c>
      <c r="C13595" s="1" t="s">
        <v>5783</v>
      </c>
      <c r="D13595" s="22" t="str">
        <f>HYPERLINK("https://rhld.insurance.arkansas.gov/NPILookup?Npi=1215212089","1215212089")</f>
        <v>1215212089</v>
      </c>
      <c r="E13595" s="1" t="s">
        <v>11576</v>
      </c>
      <c r="F13595" s="2"/>
      <c r="G13595" s="2"/>
      <c r="H13595" s="2"/>
    </row>
    <row r="13596" spans="1:8" x14ac:dyDescent="0.25">
      <c r="A13596" s="1"/>
      <c r="B13596" s="1" t="s">
        <v>5782</v>
      </c>
      <c r="C13596" s="1" t="s">
        <v>5783</v>
      </c>
      <c r="D13596" s="22" t="str">
        <f>HYPERLINK("https://rhld.insurance.arkansas.gov/NPILookup?Npi=1215221734","1215221734")</f>
        <v>1215221734</v>
      </c>
      <c r="E13596" s="1" t="s">
        <v>1659</v>
      </c>
      <c r="F13596" s="2"/>
      <c r="G13596" s="2"/>
      <c r="H13596" s="2"/>
    </row>
    <row r="13597" spans="1:8" x14ac:dyDescent="0.25">
      <c r="A13597" s="1"/>
      <c r="B13597" s="1" t="s">
        <v>5782</v>
      </c>
      <c r="C13597" s="1" t="s">
        <v>5783</v>
      </c>
      <c r="D13597" s="22" t="str">
        <f>HYPERLINK("https://rhld.insurance.arkansas.gov/NPILookup?Npi=1215225438","1215225438")</f>
        <v>1215225438</v>
      </c>
      <c r="E13597" s="1" t="s">
        <v>21528</v>
      </c>
      <c r="F13597" s="2"/>
      <c r="G13597" s="2"/>
      <c r="H13597" s="2"/>
    </row>
    <row r="13598" spans="1:8" x14ac:dyDescent="0.25">
      <c r="A13598" s="1"/>
      <c r="B13598" s="1" t="s">
        <v>5782</v>
      </c>
      <c r="C13598" s="1" t="s">
        <v>5783</v>
      </c>
      <c r="D13598" s="22" t="str">
        <f>HYPERLINK("https://rhld.insurance.arkansas.gov/NPILookup?Npi=1215226121","1215226121")</f>
        <v>1215226121</v>
      </c>
      <c r="E13598" s="1" t="s">
        <v>21529</v>
      </c>
      <c r="F13598" s="2"/>
      <c r="G13598" s="2"/>
      <c r="H13598" s="2"/>
    </row>
    <row r="13599" spans="1:8" x14ac:dyDescent="0.25">
      <c r="A13599" s="1"/>
      <c r="B13599" s="1" t="s">
        <v>5782</v>
      </c>
      <c r="C13599" s="1" t="s">
        <v>5783</v>
      </c>
      <c r="D13599" s="22" t="str">
        <f>HYPERLINK("https://rhld.insurance.arkansas.gov/NPILookup?Npi=1215236534","1215236534")</f>
        <v>1215236534</v>
      </c>
      <c r="E13599" s="1" t="s">
        <v>21530</v>
      </c>
      <c r="F13599" s="2"/>
      <c r="G13599" s="2"/>
      <c r="H13599" s="2"/>
    </row>
    <row r="13600" spans="1:8" x14ac:dyDescent="0.25">
      <c r="A13600" s="1"/>
      <c r="B13600" s="1" t="s">
        <v>5782</v>
      </c>
      <c r="C13600" s="1" t="s">
        <v>5783</v>
      </c>
      <c r="D13600" s="22" t="str">
        <f>HYPERLINK("https://rhld.insurance.arkansas.gov/NPILookup?Npi=1215239850","1215239850")</f>
        <v>1215239850</v>
      </c>
      <c r="E13600" s="1" t="s">
        <v>6044</v>
      </c>
      <c r="F13600" s="2"/>
      <c r="G13600" s="2"/>
      <c r="H13600" s="2"/>
    </row>
    <row r="13601" spans="1:8" x14ac:dyDescent="0.25">
      <c r="A13601" s="1"/>
      <c r="B13601" s="1" t="s">
        <v>5782</v>
      </c>
      <c r="C13601" s="1" t="s">
        <v>5783</v>
      </c>
      <c r="D13601" s="22" t="str">
        <f>HYPERLINK("https://rhld.insurance.arkansas.gov/NPILookup?Npi=1215269279","1215269279")</f>
        <v>1215269279</v>
      </c>
      <c r="E13601" s="1" t="s">
        <v>2163</v>
      </c>
      <c r="F13601" s="2"/>
      <c r="G13601" s="2"/>
      <c r="H13601" s="2"/>
    </row>
    <row r="13602" spans="1:8" x14ac:dyDescent="0.25">
      <c r="A13602" s="1"/>
      <c r="B13602" s="1" t="s">
        <v>5782</v>
      </c>
      <c r="C13602" s="1" t="s">
        <v>5783</v>
      </c>
      <c r="D13602" s="22" t="str">
        <f>HYPERLINK("https://rhld.insurance.arkansas.gov/NPILookup?Npi=1215274063","1215274063")</f>
        <v>1215274063</v>
      </c>
      <c r="E13602" s="1" t="s">
        <v>6045</v>
      </c>
      <c r="F13602" s="2"/>
      <c r="G13602" s="2"/>
      <c r="H13602" s="2"/>
    </row>
    <row r="13603" spans="1:8" x14ac:dyDescent="0.25">
      <c r="A13603" s="1"/>
      <c r="B13603" s="1" t="s">
        <v>5782</v>
      </c>
      <c r="C13603" s="1" t="s">
        <v>5783</v>
      </c>
      <c r="D13603" s="22" t="str">
        <f>HYPERLINK("https://rhld.insurance.arkansas.gov/NPILookup?Npi=1215283718","1215283718")</f>
        <v>1215283718</v>
      </c>
      <c r="E13603" s="1" t="s">
        <v>400</v>
      </c>
      <c r="F13603" s="2"/>
      <c r="G13603" s="2"/>
      <c r="H13603" s="2"/>
    </row>
    <row r="13604" spans="1:8" x14ac:dyDescent="0.25">
      <c r="A13604" s="1"/>
      <c r="B13604" s="1" t="s">
        <v>5782</v>
      </c>
      <c r="C13604" s="1" t="s">
        <v>5783</v>
      </c>
      <c r="D13604" s="22" t="str">
        <f>HYPERLINK("https://rhld.insurance.arkansas.gov/NPILookup?Npi=1215285028","1215285028")</f>
        <v>1215285028</v>
      </c>
      <c r="E13604" s="1" t="s">
        <v>21531</v>
      </c>
      <c r="F13604" s="2"/>
      <c r="G13604" s="2"/>
      <c r="H13604" s="2"/>
    </row>
    <row r="13605" spans="1:8" x14ac:dyDescent="0.25">
      <c r="A13605" s="1"/>
      <c r="B13605" s="1" t="s">
        <v>5782</v>
      </c>
      <c r="C13605" s="1" t="s">
        <v>5783</v>
      </c>
      <c r="D13605" s="22" t="str">
        <f>HYPERLINK("https://rhld.insurance.arkansas.gov/NPILookup?Npi=1215295050","1215295050")</f>
        <v>1215295050</v>
      </c>
      <c r="E13605" s="1" t="s">
        <v>11578</v>
      </c>
      <c r="F13605" s="2"/>
      <c r="G13605" s="2"/>
      <c r="H13605" s="2"/>
    </row>
    <row r="13606" spans="1:8" x14ac:dyDescent="0.25">
      <c r="A13606" s="1"/>
      <c r="B13606" s="1" t="s">
        <v>5782</v>
      </c>
      <c r="C13606" s="1" t="s">
        <v>5783</v>
      </c>
      <c r="D13606" s="22" t="str">
        <f>HYPERLINK("https://rhld.insurance.arkansas.gov/NPILookup?Npi=1215310784","1215310784")</f>
        <v>1215310784</v>
      </c>
      <c r="E13606" s="1" t="s">
        <v>1753</v>
      </c>
      <c r="F13606" s="2"/>
      <c r="G13606" s="2"/>
      <c r="H13606" s="2"/>
    </row>
    <row r="13607" spans="1:8" x14ac:dyDescent="0.25">
      <c r="A13607" s="1"/>
      <c r="B13607" s="1" t="s">
        <v>5782</v>
      </c>
      <c r="C13607" s="1" t="s">
        <v>5783</v>
      </c>
      <c r="D13607" s="22" t="str">
        <f>HYPERLINK("https://rhld.insurance.arkansas.gov/NPILookup?Npi=1215333075","1215333075")</f>
        <v>1215333075</v>
      </c>
      <c r="E13607" s="1" t="s">
        <v>11579</v>
      </c>
      <c r="F13607" s="2"/>
      <c r="G13607" s="2"/>
      <c r="H13607" s="2"/>
    </row>
    <row r="13608" spans="1:8" x14ac:dyDescent="0.25">
      <c r="A13608" s="1"/>
      <c r="B13608" s="1" t="s">
        <v>5782</v>
      </c>
      <c r="C13608" s="1" t="s">
        <v>5783</v>
      </c>
      <c r="D13608" s="22" t="str">
        <f>HYPERLINK("https://rhld.insurance.arkansas.gov/NPILookup?Npi=1215343207","1215343207")</f>
        <v>1215343207</v>
      </c>
      <c r="E13608" s="1" t="s">
        <v>21532</v>
      </c>
      <c r="F13608" s="2"/>
      <c r="G13608" s="2"/>
      <c r="H13608" s="2"/>
    </row>
    <row r="13609" spans="1:8" x14ac:dyDescent="0.25">
      <c r="A13609" s="1"/>
      <c r="B13609" s="1" t="s">
        <v>5782</v>
      </c>
      <c r="C13609" s="1" t="s">
        <v>5783</v>
      </c>
      <c r="D13609" s="22" t="str">
        <f>HYPERLINK("https://rhld.insurance.arkansas.gov/NPILookup?Npi=1215352695","1215352695")</f>
        <v>1215352695</v>
      </c>
      <c r="E13609" s="1" t="s">
        <v>21533</v>
      </c>
      <c r="F13609" s="2"/>
      <c r="G13609" s="2"/>
      <c r="H13609" s="2"/>
    </row>
    <row r="13610" spans="1:8" x14ac:dyDescent="0.25">
      <c r="A13610" s="1"/>
      <c r="B13610" s="1" t="s">
        <v>5782</v>
      </c>
      <c r="C13610" s="1" t="s">
        <v>5783</v>
      </c>
      <c r="D13610" s="22" t="str">
        <f>HYPERLINK("https://rhld.insurance.arkansas.gov/NPILookup?Npi=1215362488","1215362488")</f>
        <v>1215362488</v>
      </c>
      <c r="E13610" s="1" t="s">
        <v>3224</v>
      </c>
      <c r="F13610" s="2"/>
      <c r="G13610" s="2"/>
      <c r="H13610" s="2"/>
    </row>
    <row r="13611" spans="1:8" x14ac:dyDescent="0.25">
      <c r="A13611" s="1"/>
      <c r="B13611" s="1" t="s">
        <v>5782</v>
      </c>
      <c r="C13611" s="1" t="s">
        <v>5783</v>
      </c>
      <c r="D13611" s="22" t="str">
        <f>HYPERLINK("https://rhld.insurance.arkansas.gov/NPILookup?Npi=1215375316","1215375316")</f>
        <v>1215375316</v>
      </c>
      <c r="E13611" s="1" t="s">
        <v>6047</v>
      </c>
      <c r="F13611" s="2"/>
      <c r="G13611" s="2"/>
      <c r="H13611" s="2"/>
    </row>
    <row r="13612" spans="1:8" x14ac:dyDescent="0.25">
      <c r="A13612" s="1"/>
      <c r="B13612" s="1" t="s">
        <v>5782</v>
      </c>
      <c r="C13612" s="1" t="s">
        <v>5783</v>
      </c>
      <c r="D13612" s="22" t="str">
        <f>HYPERLINK("https://rhld.insurance.arkansas.gov/NPILookup?Npi=1215384664","1215384664")</f>
        <v>1215384664</v>
      </c>
      <c r="E13612" s="1" t="s">
        <v>11580</v>
      </c>
      <c r="F13612" s="2"/>
      <c r="G13612" s="2"/>
      <c r="H13612" s="2"/>
    </row>
    <row r="13613" spans="1:8" x14ac:dyDescent="0.25">
      <c r="A13613" s="1"/>
      <c r="B13613" s="1" t="s">
        <v>5782</v>
      </c>
      <c r="C13613" s="1" t="s">
        <v>5783</v>
      </c>
      <c r="D13613" s="22" t="str">
        <f>HYPERLINK("https://rhld.insurance.arkansas.gov/NPILookup?Npi=1215401088","1215401088")</f>
        <v>1215401088</v>
      </c>
      <c r="E13613" s="1" t="s">
        <v>21534</v>
      </c>
      <c r="F13613" s="2"/>
      <c r="G13613" s="2"/>
      <c r="H13613" s="2"/>
    </row>
    <row r="13614" spans="1:8" x14ac:dyDescent="0.25">
      <c r="A13614" s="1"/>
      <c r="B13614" s="1" t="s">
        <v>5782</v>
      </c>
      <c r="C13614" s="1" t="s">
        <v>5783</v>
      </c>
      <c r="D13614" s="22" t="str">
        <f>HYPERLINK("https://rhld.insurance.arkansas.gov/NPILookup?Npi=1215403670","1215403670")</f>
        <v>1215403670</v>
      </c>
      <c r="E13614" s="1" t="s">
        <v>21535</v>
      </c>
      <c r="F13614" s="2"/>
      <c r="G13614" s="2"/>
      <c r="H13614" s="2"/>
    </row>
    <row r="13615" spans="1:8" x14ac:dyDescent="0.25">
      <c r="A13615" s="1"/>
      <c r="B13615" s="1" t="s">
        <v>5782</v>
      </c>
      <c r="C13615" s="1" t="s">
        <v>5783</v>
      </c>
      <c r="D13615" s="22" t="str">
        <f>HYPERLINK("https://rhld.insurance.arkansas.gov/NPILookup?Npi=1215432364","1215432364")</f>
        <v>1215432364</v>
      </c>
      <c r="E13615" s="1" t="s">
        <v>21536</v>
      </c>
      <c r="F13615" s="2"/>
      <c r="G13615" s="2"/>
      <c r="H13615" s="2"/>
    </row>
    <row r="13616" spans="1:8" x14ac:dyDescent="0.25">
      <c r="A13616" s="1"/>
      <c r="B13616" s="1" t="s">
        <v>5782</v>
      </c>
      <c r="C13616" s="1" t="s">
        <v>5783</v>
      </c>
      <c r="D13616" s="22" t="str">
        <f>HYPERLINK("https://rhld.insurance.arkansas.gov/NPILookup?Npi=1215437322","1215437322")</f>
        <v>1215437322</v>
      </c>
      <c r="E13616" s="1" t="s">
        <v>21537</v>
      </c>
      <c r="F13616" s="2"/>
      <c r="G13616" s="2"/>
      <c r="H13616" s="2"/>
    </row>
    <row r="13617" spans="1:8" x14ac:dyDescent="0.25">
      <c r="A13617" s="1"/>
      <c r="B13617" s="1" t="s">
        <v>5782</v>
      </c>
      <c r="C13617" s="1" t="s">
        <v>5783</v>
      </c>
      <c r="D13617" s="22" t="str">
        <f>HYPERLINK("https://rhld.insurance.arkansas.gov/NPILookup?Npi=1215444633","1215444633")</f>
        <v>1215444633</v>
      </c>
      <c r="E13617" s="1" t="s">
        <v>21538</v>
      </c>
      <c r="F13617" s="2"/>
      <c r="G13617" s="2"/>
      <c r="H13617" s="2"/>
    </row>
    <row r="13618" spans="1:8" x14ac:dyDescent="0.25">
      <c r="A13618" s="1"/>
      <c r="B13618" s="1" t="s">
        <v>5782</v>
      </c>
      <c r="C13618" s="1" t="s">
        <v>5783</v>
      </c>
      <c r="D13618" s="22" t="str">
        <f>HYPERLINK("https://rhld.insurance.arkansas.gov/NPILookup?Npi=1215467766","1215467766")</f>
        <v>1215467766</v>
      </c>
      <c r="E13618" s="1" t="s">
        <v>21539</v>
      </c>
      <c r="F13618" s="2"/>
      <c r="G13618" s="2"/>
      <c r="H13618" s="2"/>
    </row>
    <row r="13619" spans="1:8" x14ac:dyDescent="0.25">
      <c r="A13619" s="1"/>
      <c r="B13619" s="1" t="s">
        <v>5782</v>
      </c>
      <c r="C13619" s="1" t="s">
        <v>5783</v>
      </c>
      <c r="D13619" s="22" t="str">
        <f>HYPERLINK("https://rhld.insurance.arkansas.gov/NPILookup?Npi=1215492046","1215492046")</f>
        <v>1215492046</v>
      </c>
      <c r="E13619" s="1" t="s">
        <v>21540</v>
      </c>
      <c r="F13619" s="2"/>
      <c r="G13619" s="2"/>
      <c r="H13619" s="2"/>
    </row>
    <row r="13620" spans="1:8" x14ac:dyDescent="0.25">
      <c r="A13620" s="1"/>
      <c r="B13620" s="1" t="s">
        <v>5782</v>
      </c>
      <c r="C13620" s="1" t="s">
        <v>5783</v>
      </c>
      <c r="D13620" s="22" t="str">
        <f>HYPERLINK("https://rhld.insurance.arkansas.gov/NPILookup?Npi=1215493135","1215493135")</f>
        <v>1215493135</v>
      </c>
      <c r="E13620" s="1" t="s">
        <v>6048</v>
      </c>
      <c r="F13620" s="2"/>
      <c r="G13620" s="2"/>
      <c r="H13620" s="2"/>
    </row>
    <row r="13621" spans="1:8" x14ac:dyDescent="0.25">
      <c r="A13621" s="1"/>
      <c r="B13621" s="1" t="s">
        <v>5782</v>
      </c>
      <c r="C13621" s="1" t="s">
        <v>5783</v>
      </c>
      <c r="D13621" s="22" t="str">
        <f>HYPERLINK("https://rhld.insurance.arkansas.gov/NPILookup?Npi=1215503016","1215503016")</f>
        <v>1215503016</v>
      </c>
      <c r="E13621" s="1" t="s">
        <v>31822</v>
      </c>
      <c r="F13621" s="2"/>
      <c r="G13621" s="2"/>
      <c r="H13621" s="2"/>
    </row>
    <row r="13622" spans="1:8" x14ac:dyDescent="0.25">
      <c r="A13622" s="1"/>
      <c r="B13622" s="1" t="s">
        <v>5782</v>
      </c>
      <c r="C13622" s="1" t="s">
        <v>5783</v>
      </c>
      <c r="D13622" s="22" t="str">
        <f>HYPERLINK("https://rhld.insurance.arkansas.gov/NPILookup?Npi=1215505961","1215505961")</f>
        <v>1215505961</v>
      </c>
      <c r="E13622" s="1" t="s">
        <v>5916</v>
      </c>
      <c r="F13622" s="2"/>
      <c r="G13622" s="2"/>
      <c r="H13622" s="2"/>
    </row>
    <row r="13623" spans="1:8" x14ac:dyDescent="0.25">
      <c r="A13623" s="1"/>
      <c r="B13623" s="1" t="s">
        <v>5782</v>
      </c>
      <c r="C13623" s="1" t="s">
        <v>5783</v>
      </c>
      <c r="D13623" s="22" t="str">
        <f>HYPERLINK("https://rhld.insurance.arkansas.gov/NPILookup?Npi=1215509146","1215509146")</f>
        <v>1215509146</v>
      </c>
      <c r="E13623" s="1" t="s">
        <v>6049</v>
      </c>
      <c r="F13623" s="2"/>
      <c r="G13623" s="2"/>
      <c r="H13623" s="2"/>
    </row>
    <row r="13624" spans="1:8" x14ac:dyDescent="0.25">
      <c r="A13624" s="1"/>
      <c r="B13624" s="1" t="s">
        <v>5782</v>
      </c>
      <c r="C13624" s="1" t="s">
        <v>5783</v>
      </c>
      <c r="D13624" s="22" t="str">
        <f>HYPERLINK("https://rhld.insurance.arkansas.gov/NPILookup?Npi=1215532452","1215532452")</f>
        <v>1215532452</v>
      </c>
      <c r="E13624" s="1" t="s">
        <v>11581</v>
      </c>
      <c r="F13624" s="2"/>
      <c r="G13624" s="2"/>
      <c r="H13624" s="2"/>
    </row>
    <row r="13625" spans="1:8" x14ac:dyDescent="0.25">
      <c r="A13625" s="1"/>
      <c r="B13625" s="1" t="s">
        <v>5782</v>
      </c>
      <c r="C13625" s="1" t="s">
        <v>5783</v>
      </c>
      <c r="D13625" s="22" t="str">
        <f>HYPERLINK("https://rhld.insurance.arkansas.gov/NPILookup?Npi=1215562459","1215562459")</f>
        <v>1215562459</v>
      </c>
      <c r="E13625" s="1" t="s">
        <v>6050</v>
      </c>
      <c r="F13625" s="2"/>
      <c r="G13625" s="2"/>
      <c r="H13625" s="2"/>
    </row>
    <row r="13626" spans="1:8" x14ac:dyDescent="0.25">
      <c r="A13626" s="1"/>
      <c r="B13626" s="1" t="s">
        <v>5782</v>
      </c>
      <c r="C13626" s="1" t="s">
        <v>5783</v>
      </c>
      <c r="D13626" s="22" t="str">
        <f>HYPERLINK("https://rhld.insurance.arkansas.gov/NPILookup?Npi=1215564349","1215564349")</f>
        <v>1215564349</v>
      </c>
      <c r="E13626" s="1" t="s">
        <v>31823</v>
      </c>
      <c r="F13626" s="2"/>
      <c r="G13626" s="2"/>
      <c r="H13626" s="2"/>
    </row>
    <row r="13627" spans="1:8" x14ac:dyDescent="0.25">
      <c r="A13627" s="1"/>
      <c r="B13627" s="1" t="s">
        <v>5782</v>
      </c>
      <c r="C13627" s="1" t="s">
        <v>5783</v>
      </c>
      <c r="D13627" s="22" t="str">
        <f>HYPERLINK("https://rhld.insurance.arkansas.gov/NPILookup?Npi=1215567128","1215567128")</f>
        <v>1215567128</v>
      </c>
      <c r="E13627" s="1" t="s">
        <v>21541</v>
      </c>
      <c r="F13627" s="2"/>
      <c r="G13627" s="2"/>
      <c r="H13627" s="2"/>
    </row>
    <row r="13628" spans="1:8" x14ac:dyDescent="0.25">
      <c r="A13628" s="1"/>
      <c r="B13628" s="1" t="s">
        <v>5782</v>
      </c>
      <c r="C13628" s="1" t="s">
        <v>5783</v>
      </c>
      <c r="D13628" s="22" t="str">
        <f>HYPERLINK("https://rhld.insurance.arkansas.gov/NPILookup?Npi=1215595699","1215595699")</f>
        <v>1215595699</v>
      </c>
      <c r="E13628" s="1" t="s">
        <v>6051</v>
      </c>
      <c r="F13628" s="2"/>
      <c r="G13628" s="2"/>
      <c r="H13628" s="2"/>
    </row>
    <row r="13629" spans="1:8" x14ac:dyDescent="0.25">
      <c r="A13629" s="1"/>
      <c r="B13629" s="1" t="s">
        <v>5782</v>
      </c>
      <c r="C13629" s="1" t="s">
        <v>5783</v>
      </c>
      <c r="D13629" s="22" t="str">
        <f>HYPERLINK("https://rhld.insurance.arkansas.gov/NPILookup?Npi=1215597059","1215597059")</f>
        <v>1215597059</v>
      </c>
      <c r="E13629" s="1" t="s">
        <v>6052</v>
      </c>
      <c r="F13629" s="2"/>
      <c r="G13629" s="2"/>
      <c r="H13629" s="2"/>
    </row>
    <row r="13630" spans="1:8" x14ac:dyDescent="0.25">
      <c r="A13630" s="1"/>
      <c r="B13630" s="1" t="s">
        <v>5782</v>
      </c>
      <c r="C13630" s="1" t="s">
        <v>5783</v>
      </c>
      <c r="D13630" s="22" t="str">
        <f>HYPERLINK("https://rhld.insurance.arkansas.gov/NPILookup?Npi=1215633524","1215633524")</f>
        <v>1215633524</v>
      </c>
      <c r="E13630" s="1" t="s">
        <v>21542</v>
      </c>
      <c r="F13630" s="2"/>
      <c r="G13630" s="2"/>
      <c r="H13630" s="2"/>
    </row>
    <row r="13631" spans="1:8" x14ac:dyDescent="0.25">
      <c r="A13631" s="1"/>
      <c r="B13631" s="1" t="s">
        <v>5782</v>
      </c>
      <c r="C13631" s="1" t="s">
        <v>5783</v>
      </c>
      <c r="D13631" s="22" t="str">
        <f>HYPERLINK("https://rhld.insurance.arkansas.gov/NPILookup?Npi=1215638275","1215638275")</f>
        <v>1215638275</v>
      </c>
      <c r="E13631" s="1" t="s">
        <v>6053</v>
      </c>
      <c r="F13631" s="2"/>
      <c r="G13631" s="2"/>
      <c r="H13631" s="2"/>
    </row>
    <row r="13632" spans="1:8" x14ac:dyDescent="0.25">
      <c r="A13632" s="1"/>
      <c r="B13632" s="1" t="s">
        <v>5782</v>
      </c>
      <c r="C13632" s="1" t="s">
        <v>5783</v>
      </c>
      <c r="D13632" s="22" t="str">
        <f>HYPERLINK("https://rhld.insurance.arkansas.gov/NPILookup?Npi=1215685615","1215685615")</f>
        <v>1215685615</v>
      </c>
      <c r="E13632" s="1" t="s">
        <v>11582</v>
      </c>
      <c r="F13632" s="2"/>
      <c r="G13632" s="2"/>
      <c r="H13632" s="2"/>
    </row>
    <row r="13633" spans="1:8" x14ac:dyDescent="0.25">
      <c r="A13633" s="1"/>
      <c r="B13633" s="1" t="s">
        <v>5782</v>
      </c>
      <c r="C13633" s="1" t="s">
        <v>5783</v>
      </c>
      <c r="D13633" s="22" t="str">
        <f>HYPERLINK("https://rhld.insurance.arkansas.gov/NPILookup?Npi=1215687637","1215687637")</f>
        <v>1215687637</v>
      </c>
      <c r="E13633" s="1" t="s">
        <v>21543</v>
      </c>
      <c r="F13633" s="2"/>
      <c r="G13633" s="2"/>
      <c r="H13633" s="2"/>
    </row>
    <row r="13634" spans="1:8" x14ac:dyDescent="0.25">
      <c r="A13634" s="1"/>
      <c r="B13634" s="1" t="s">
        <v>5782</v>
      </c>
      <c r="C13634" s="1" t="s">
        <v>5783</v>
      </c>
      <c r="D13634" s="22" t="str">
        <f>HYPERLINK("https://rhld.insurance.arkansas.gov/NPILookup?Npi=1215701453","1215701453")</f>
        <v>1215701453</v>
      </c>
      <c r="E13634" s="1" t="s">
        <v>31824</v>
      </c>
      <c r="F13634" s="2"/>
      <c r="G13634" s="2"/>
      <c r="H13634" s="2"/>
    </row>
    <row r="13635" spans="1:8" x14ac:dyDescent="0.25">
      <c r="A13635" s="1"/>
      <c r="B13635" s="1" t="s">
        <v>5782</v>
      </c>
      <c r="C13635" s="1" t="s">
        <v>5783</v>
      </c>
      <c r="D13635" s="22" t="str">
        <f>HYPERLINK("https://rhld.insurance.arkansas.gov/NPILookup?Npi=1215771266","1215771266")</f>
        <v>1215771266</v>
      </c>
      <c r="E13635" s="1" t="s">
        <v>21544</v>
      </c>
      <c r="F13635" s="2"/>
      <c r="G13635" s="2"/>
      <c r="H13635" s="2"/>
    </row>
    <row r="13636" spans="1:8" x14ac:dyDescent="0.25">
      <c r="A13636" s="1"/>
      <c r="B13636" s="1" t="s">
        <v>5782</v>
      </c>
      <c r="C13636" s="1" t="s">
        <v>5783</v>
      </c>
      <c r="D13636" s="22" t="str">
        <f>HYPERLINK("https://rhld.insurance.arkansas.gov/NPILookup?Npi=1215940515","1215940515")</f>
        <v>1215940515</v>
      </c>
      <c r="E13636" s="1" t="s">
        <v>6054</v>
      </c>
      <c r="F13636" s="2"/>
      <c r="G13636" s="2"/>
      <c r="H13636" s="2"/>
    </row>
    <row r="13637" spans="1:8" x14ac:dyDescent="0.25">
      <c r="A13637" s="1"/>
      <c r="B13637" s="1" t="s">
        <v>5782</v>
      </c>
      <c r="C13637" s="1" t="s">
        <v>5783</v>
      </c>
      <c r="D13637" s="22" t="str">
        <f>HYPERLINK("https://rhld.insurance.arkansas.gov/NPILookup?Npi=1215967799","1215967799")</f>
        <v>1215967799</v>
      </c>
      <c r="E13637" s="1" t="s">
        <v>2466</v>
      </c>
      <c r="F13637" s="2"/>
      <c r="G13637" s="2"/>
      <c r="H13637" s="2"/>
    </row>
    <row r="13638" spans="1:8" x14ac:dyDescent="0.25">
      <c r="A13638" s="1"/>
      <c r="B13638" s="1" t="s">
        <v>5782</v>
      </c>
      <c r="C13638" s="1" t="s">
        <v>5783</v>
      </c>
      <c r="D13638" s="22" t="str">
        <f>HYPERLINK("https://rhld.insurance.arkansas.gov/NPILookup?Npi=1215979679","1215979679")</f>
        <v>1215979679</v>
      </c>
      <c r="E13638" s="1" t="s">
        <v>11583</v>
      </c>
      <c r="F13638" s="2"/>
      <c r="G13638" s="2"/>
      <c r="H13638" s="2"/>
    </row>
    <row r="13639" spans="1:8" x14ac:dyDescent="0.25">
      <c r="A13639" s="1"/>
      <c r="B13639" s="1" t="s">
        <v>5782</v>
      </c>
      <c r="C13639" s="1" t="s">
        <v>5783</v>
      </c>
      <c r="D13639" s="22" t="str">
        <f>HYPERLINK("https://rhld.insurance.arkansas.gov/NPILookup?Npi=1215994876","1215994876")</f>
        <v>1215994876</v>
      </c>
      <c r="E13639" s="1" t="s">
        <v>21545</v>
      </c>
      <c r="F13639" s="2"/>
      <c r="G13639" s="2"/>
      <c r="H13639" s="2"/>
    </row>
    <row r="13640" spans="1:8" x14ac:dyDescent="0.25">
      <c r="A13640" s="1"/>
      <c r="B13640" s="1" t="s">
        <v>5782</v>
      </c>
      <c r="C13640" s="1" t="s">
        <v>5783</v>
      </c>
      <c r="D13640" s="22" t="str">
        <f>HYPERLINK("https://rhld.insurance.arkansas.gov/NPILookup?Npi=1225027832","1225027832")</f>
        <v>1225027832</v>
      </c>
      <c r="E13640" s="1" t="s">
        <v>6055</v>
      </c>
      <c r="F13640" s="2"/>
      <c r="G13640" s="2"/>
      <c r="H13640" s="2"/>
    </row>
    <row r="13641" spans="1:8" x14ac:dyDescent="0.25">
      <c r="A13641" s="1"/>
      <c r="B13641" s="1" t="s">
        <v>5782</v>
      </c>
      <c r="C13641" s="1" t="s">
        <v>5783</v>
      </c>
      <c r="D13641" s="22" t="str">
        <f>HYPERLINK("https://rhld.insurance.arkansas.gov/NPILookup?Npi=1225064280","1225064280")</f>
        <v>1225064280</v>
      </c>
      <c r="E13641" s="1" t="s">
        <v>11584</v>
      </c>
      <c r="F13641" s="2"/>
      <c r="G13641" s="2"/>
      <c r="H13641" s="2"/>
    </row>
    <row r="13642" spans="1:8" x14ac:dyDescent="0.25">
      <c r="A13642" s="1"/>
      <c r="B13642" s="1" t="s">
        <v>5782</v>
      </c>
      <c r="C13642" s="1" t="s">
        <v>5783</v>
      </c>
      <c r="D13642" s="22" t="str">
        <f>HYPERLINK("https://rhld.insurance.arkansas.gov/NPILookup?Npi=1225149529","1225149529")</f>
        <v>1225149529</v>
      </c>
      <c r="E13642" s="1" t="s">
        <v>11585</v>
      </c>
      <c r="F13642" s="2"/>
      <c r="G13642" s="2"/>
      <c r="H13642" s="2"/>
    </row>
    <row r="13643" spans="1:8" x14ac:dyDescent="0.25">
      <c r="A13643" s="1"/>
      <c r="B13643" s="1" t="s">
        <v>5782</v>
      </c>
      <c r="C13643" s="1" t="s">
        <v>5783</v>
      </c>
      <c r="D13643" s="22" t="str">
        <f>HYPERLINK("https://rhld.insurance.arkansas.gov/NPILookup?Npi=1225178171","1225178171")</f>
        <v>1225178171</v>
      </c>
      <c r="E13643" s="1" t="s">
        <v>11943</v>
      </c>
      <c r="F13643" s="2"/>
      <c r="G13643" s="2"/>
      <c r="H13643" s="2"/>
    </row>
    <row r="13644" spans="1:8" x14ac:dyDescent="0.25">
      <c r="A13644" s="1"/>
      <c r="B13644" s="1" t="s">
        <v>5782</v>
      </c>
      <c r="C13644" s="1" t="s">
        <v>5783</v>
      </c>
      <c r="D13644" s="22" t="str">
        <f>HYPERLINK("https://rhld.insurance.arkansas.gov/NPILookup?Npi=1225205404","1225205404")</f>
        <v>1225205404</v>
      </c>
      <c r="E13644" s="1" t="s">
        <v>6056</v>
      </c>
      <c r="F13644" s="2"/>
      <c r="G13644" s="2"/>
      <c r="H13644" s="2"/>
    </row>
    <row r="13645" spans="1:8" x14ac:dyDescent="0.25">
      <c r="A13645" s="1"/>
      <c r="B13645" s="1" t="s">
        <v>5782</v>
      </c>
      <c r="C13645" s="1" t="s">
        <v>5783</v>
      </c>
      <c r="D13645" s="22" t="str">
        <f>HYPERLINK("https://rhld.insurance.arkansas.gov/NPILookup?Npi=1225217557","1225217557")</f>
        <v>1225217557</v>
      </c>
      <c r="E13645" s="1" t="s">
        <v>21546</v>
      </c>
      <c r="F13645" s="2"/>
      <c r="G13645" s="2"/>
      <c r="H13645" s="2"/>
    </row>
    <row r="13646" spans="1:8" x14ac:dyDescent="0.25">
      <c r="A13646" s="1"/>
      <c r="B13646" s="1" t="s">
        <v>5782</v>
      </c>
      <c r="C13646" s="1" t="s">
        <v>5783</v>
      </c>
      <c r="D13646" s="22" t="str">
        <f>HYPERLINK("https://rhld.insurance.arkansas.gov/NPILookup?Npi=1225227945","1225227945")</f>
        <v>1225227945</v>
      </c>
      <c r="E13646" s="1" t="s">
        <v>21547</v>
      </c>
      <c r="F13646" s="2"/>
      <c r="G13646" s="2"/>
      <c r="H13646" s="2"/>
    </row>
    <row r="13647" spans="1:8" x14ac:dyDescent="0.25">
      <c r="A13647" s="1"/>
      <c r="B13647" s="1" t="s">
        <v>5782</v>
      </c>
      <c r="C13647" s="1" t="s">
        <v>5783</v>
      </c>
      <c r="D13647" s="22" t="str">
        <f>HYPERLINK("https://rhld.insurance.arkansas.gov/NPILookup?Npi=1225241284","1225241284")</f>
        <v>1225241284</v>
      </c>
      <c r="E13647" s="1" t="s">
        <v>21548</v>
      </c>
      <c r="F13647" s="2"/>
      <c r="G13647" s="2"/>
      <c r="H13647" s="2"/>
    </row>
    <row r="13648" spans="1:8" x14ac:dyDescent="0.25">
      <c r="A13648" s="1"/>
      <c r="B13648" s="1" t="s">
        <v>5782</v>
      </c>
      <c r="C13648" s="1" t="s">
        <v>5783</v>
      </c>
      <c r="D13648" s="22" t="str">
        <f>HYPERLINK("https://rhld.insurance.arkansas.gov/NPILookup?Npi=1225242043","1225242043")</f>
        <v>1225242043</v>
      </c>
      <c r="E13648" s="1" t="s">
        <v>21549</v>
      </c>
      <c r="F13648" s="2"/>
      <c r="G13648" s="2"/>
      <c r="H13648" s="2"/>
    </row>
    <row r="13649" spans="1:8" x14ac:dyDescent="0.25">
      <c r="A13649" s="1"/>
      <c r="B13649" s="1" t="s">
        <v>5782</v>
      </c>
      <c r="C13649" s="1" t="s">
        <v>5783</v>
      </c>
      <c r="D13649" s="22" t="str">
        <f>HYPERLINK("https://rhld.insurance.arkansas.gov/NPILookup?Npi=1225248834","1225248834")</f>
        <v>1225248834</v>
      </c>
      <c r="E13649" s="1" t="s">
        <v>11586</v>
      </c>
      <c r="F13649" s="2"/>
      <c r="G13649" s="2"/>
      <c r="H13649" s="2"/>
    </row>
    <row r="13650" spans="1:8" x14ac:dyDescent="0.25">
      <c r="A13650" s="1"/>
      <c r="B13650" s="1" t="s">
        <v>5782</v>
      </c>
      <c r="C13650" s="1" t="s">
        <v>5783</v>
      </c>
      <c r="D13650" s="22" t="str">
        <f>HYPERLINK("https://rhld.insurance.arkansas.gov/NPILookup?Npi=1225249774","1225249774")</f>
        <v>1225249774</v>
      </c>
      <c r="E13650" s="1" t="s">
        <v>305</v>
      </c>
      <c r="F13650" s="2"/>
      <c r="G13650" s="2"/>
      <c r="H13650" s="2"/>
    </row>
    <row r="13651" spans="1:8" x14ac:dyDescent="0.25">
      <c r="A13651" s="1"/>
      <c r="B13651" s="1" t="s">
        <v>5782</v>
      </c>
      <c r="C13651" s="1" t="s">
        <v>5783</v>
      </c>
      <c r="D13651" s="22" t="str">
        <f>HYPERLINK("https://rhld.insurance.arkansas.gov/NPILookup?Npi=1225261282","1225261282")</f>
        <v>1225261282</v>
      </c>
      <c r="E13651" s="1" t="s">
        <v>3225</v>
      </c>
      <c r="F13651" s="2"/>
      <c r="G13651" s="2"/>
      <c r="H13651" s="2"/>
    </row>
    <row r="13652" spans="1:8" x14ac:dyDescent="0.25">
      <c r="A13652" s="1"/>
      <c r="B13652" s="1" t="s">
        <v>5782</v>
      </c>
      <c r="C13652" s="1" t="s">
        <v>5783</v>
      </c>
      <c r="D13652" s="22" t="str">
        <f>HYPERLINK("https://rhld.insurance.arkansas.gov/NPILookup?Npi=1225261605","1225261605")</f>
        <v>1225261605</v>
      </c>
      <c r="E13652" s="1" t="s">
        <v>21550</v>
      </c>
      <c r="F13652" s="2"/>
      <c r="G13652" s="2"/>
      <c r="H13652" s="2"/>
    </row>
    <row r="13653" spans="1:8" x14ac:dyDescent="0.25">
      <c r="A13653" s="1"/>
      <c r="B13653" s="1" t="s">
        <v>5782</v>
      </c>
      <c r="C13653" s="1" t="s">
        <v>5783</v>
      </c>
      <c r="D13653" s="22" t="str">
        <f>HYPERLINK("https://rhld.insurance.arkansas.gov/NPILookup?Npi=1225284201","1225284201")</f>
        <v>1225284201</v>
      </c>
      <c r="E13653" s="1" t="s">
        <v>21551</v>
      </c>
      <c r="F13653" s="2"/>
      <c r="G13653" s="2"/>
      <c r="H13653" s="2"/>
    </row>
    <row r="13654" spans="1:8" x14ac:dyDescent="0.25">
      <c r="A13654" s="1"/>
      <c r="B13654" s="1" t="s">
        <v>5782</v>
      </c>
      <c r="C13654" s="1" t="s">
        <v>5783</v>
      </c>
      <c r="D13654" s="22" t="str">
        <f>HYPERLINK("https://rhld.insurance.arkansas.gov/NPILookup?Npi=1225286545","1225286545")</f>
        <v>1225286545</v>
      </c>
      <c r="E13654" s="1" t="s">
        <v>11587</v>
      </c>
      <c r="F13654" s="2"/>
      <c r="G13654" s="2"/>
      <c r="H13654" s="2"/>
    </row>
    <row r="13655" spans="1:8" x14ac:dyDescent="0.25">
      <c r="A13655" s="1"/>
      <c r="B13655" s="1" t="s">
        <v>5782</v>
      </c>
      <c r="C13655" s="1" t="s">
        <v>5783</v>
      </c>
      <c r="D13655" s="22" t="str">
        <f>HYPERLINK("https://rhld.insurance.arkansas.gov/NPILookup?Npi=1225314321","1225314321")</f>
        <v>1225314321</v>
      </c>
      <c r="E13655" s="1" t="s">
        <v>21552</v>
      </c>
      <c r="F13655" s="2"/>
      <c r="G13655" s="2"/>
      <c r="H13655" s="2"/>
    </row>
    <row r="13656" spans="1:8" x14ac:dyDescent="0.25">
      <c r="A13656" s="1"/>
      <c r="B13656" s="1" t="s">
        <v>5782</v>
      </c>
      <c r="C13656" s="1" t="s">
        <v>5783</v>
      </c>
      <c r="D13656" s="22" t="str">
        <f>HYPERLINK("https://rhld.insurance.arkansas.gov/NPILookup?Npi=1225314461","1225314461")</f>
        <v>1225314461</v>
      </c>
      <c r="E13656" s="1" t="s">
        <v>6057</v>
      </c>
      <c r="F13656" s="2"/>
      <c r="G13656" s="2"/>
      <c r="H13656" s="2"/>
    </row>
    <row r="13657" spans="1:8" x14ac:dyDescent="0.25">
      <c r="A13657" s="1"/>
      <c r="B13657" s="1" t="s">
        <v>5782</v>
      </c>
      <c r="C13657" s="1" t="s">
        <v>5783</v>
      </c>
      <c r="D13657" s="22" t="str">
        <f>HYPERLINK("https://rhld.insurance.arkansas.gov/NPILookup?Npi=1225317092","1225317092")</f>
        <v>1225317092</v>
      </c>
      <c r="E13657" s="1" t="s">
        <v>21553</v>
      </c>
      <c r="F13657" s="2"/>
      <c r="G13657" s="2"/>
      <c r="H13657" s="2"/>
    </row>
    <row r="13658" spans="1:8" x14ac:dyDescent="0.25">
      <c r="A13658" s="1"/>
      <c r="B13658" s="1" t="s">
        <v>5782</v>
      </c>
      <c r="C13658" s="1" t="s">
        <v>5783</v>
      </c>
      <c r="D13658" s="22" t="str">
        <f>HYPERLINK("https://rhld.insurance.arkansas.gov/NPILookup?Npi=1225320518","1225320518")</f>
        <v>1225320518</v>
      </c>
      <c r="E13658" s="1" t="s">
        <v>21554</v>
      </c>
      <c r="F13658" s="2"/>
      <c r="G13658" s="2"/>
      <c r="H13658" s="2"/>
    </row>
    <row r="13659" spans="1:8" x14ac:dyDescent="0.25">
      <c r="A13659" s="1"/>
      <c r="B13659" s="1" t="s">
        <v>5782</v>
      </c>
      <c r="C13659" s="1" t="s">
        <v>5783</v>
      </c>
      <c r="D13659" s="22" t="str">
        <f>HYPERLINK("https://rhld.insurance.arkansas.gov/NPILookup?Npi=1225340771","1225340771")</f>
        <v>1225340771</v>
      </c>
      <c r="E13659" s="1" t="s">
        <v>6058</v>
      </c>
      <c r="F13659" s="2"/>
      <c r="G13659" s="2"/>
      <c r="H13659" s="2"/>
    </row>
    <row r="13660" spans="1:8" x14ac:dyDescent="0.25">
      <c r="A13660" s="1"/>
      <c r="B13660" s="1" t="s">
        <v>5782</v>
      </c>
      <c r="C13660" s="1" t="s">
        <v>5783</v>
      </c>
      <c r="D13660" s="22" t="str">
        <f>HYPERLINK("https://rhld.insurance.arkansas.gov/NPILookup?Npi=1225363237","1225363237")</f>
        <v>1225363237</v>
      </c>
      <c r="E13660" s="1" t="s">
        <v>3226</v>
      </c>
      <c r="F13660" s="2"/>
      <c r="G13660" s="2"/>
      <c r="H13660" s="2"/>
    </row>
    <row r="13661" spans="1:8" x14ac:dyDescent="0.25">
      <c r="A13661" s="1"/>
      <c r="B13661" s="1" t="s">
        <v>5782</v>
      </c>
      <c r="C13661" s="1" t="s">
        <v>5783</v>
      </c>
      <c r="D13661" s="22" t="str">
        <f>HYPERLINK("https://rhld.insurance.arkansas.gov/NPILookup?Npi=1225375553","1225375553")</f>
        <v>1225375553</v>
      </c>
      <c r="E13661" s="1" t="s">
        <v>1505</v>
      </c>
      <c r="F13661" s="2"/>
      <c r="G13661" s="2"/>
      <c r="H13661" s="2"/>
    </row>
    <row r="13662" spans="1:8" x14ac:dyDescent="0.25">
      <c r="A13662" s="1"/>
      <c r="B13662" s="1" t="s">
        <v>5782</v>
      </c>
      <c r="C13662" s="1" t="s">
        <v>5783</v>
      </c>
      <c r="D13662" s="22" t="str">
        <f>HYPERLINK("https://rhld.insurance.arkansas.gov/NPILookup?Npi=1225384233","1225384233")</f>
        <v>1225384233</v>
      </c>
      <c r="E13662" s="1" t="s">
        <v>21555</v>
      </c>
      <c r="F13662" s="2"/>
      <c r="G13662" s="2"/>
      <c r="H13662" s="2"/>
    </row>
    <row r="13663" spans="1:8" x14ac:dyDescent="0.25">
      <c r="A13663" s="1"/>
      <c r="B13663" s="1" t="s">
        <v>5782</v>
      </c>
      <c r="C13663" s="1" t="s">
        <v>5783</v>
      </c>
      <c r="D13663" s="22" t="str">
        <f>HYPERLINK("https://rhld.insurance.arkansas.gov/NPILookup?Npi=1225411143","1225411143")</f>
        <v>1225411143</v>
      </c>
      <c r="E13663" s="1" t="s">
        <v>3227</v>
      </c>
      <c r="F13663" s="2"/>
      <c r="G13663" s="2"/>
      <c r="H13663" s="2"/>
    </row>
    <row r="13664" spans="1:8" x14ac:dyDescent="0.25">
      <c r="A13664" s="1"/>
      <c r="B13664" s="1" t="s">
        <v>5782</v>
      </c>
      <c r="C13664" s="1" t="s">
        <v>5783</v>
      </c>
      <c r="D13664" s="22" t="str">
        <f>HYPERLINK("https://rhld.insurance.arkansas.gov/NPILookup?Npi=1225445653","1225445653")</f>
        <v>1225445653</v>
      </c>
      <c r="E13664" s="1" t="s">
        <v>21556</v>
      </c>
      <c r="F13664" s="2"/>
      <c r="G13664" s="2"/>
      <c r="H13664" s="2"/>
    </row>
    <row r="13665" spans="1:8" x14ac:dyDescent="0.25">
      <c r="A13665" s="1"/>
      <c r="B13665" s="1" t="s">
        <v>5782</v>
      </c>
      <c r="C13665" s="1" t="s">
        <v>5783</v>
      </c>
      <c r="D13665" s="22" t="str">
        <f>HYPERLINK("https://rhld.insurance.arkansas.gov/NPILookup?Npi=1225447899","1225447899")</f>
        <v>1225447899</v>
      </c>
      <c r="E13665" s="1" t="s">
        <v>21557</v>
      </c>
      <c r="F13665" s="2"/>
      <c r="G13665" s="2"/>
      <c r="H13665" s="2"/>
    </row>
    <row r="13666" spans="1:8" x14ac:dyDescent="0.25">
      <c r="A13666" s="1"/>
      <c r="B13666" s="1" t="s">
        <v>5782</v>
      </c>
      <c r="C13666" s="1" t="s">
        <v>5783</v>
      </c>
      <c r="D13666" s="22" t="str">
        <f>HYPERLINK("https://rhld.insurance.arkansas.gov/NPILookup?Npi=1225454820","1225454820")</f>
        <v>1225454820</v>
      </c>
      <c r="E13666" s="1" t="s">
        <v>21558</v>
      </c>
      <c r="F13666" s="2"/>
      <c r="G13666" s="2"/>
      <c r="H13666" s="2"/>
    </row>
    <row r="13667" spans="1:8" x14ac:dyDescent="0.25">
      <c r="A13667" s="1"/>
      <c r="B13667" s="1" t="s">
        <v>5782</v>
      </c>
      <c r="C13667" s="1" t="s">
        <v>5783</v>
      </c>
      <c r="D13667" s="22" t="str">
        <f>HYPERLINK("https://rhld.insurance.arkansas.gov/NPILookup?Npi=1225460561","1225460561")</f>
        <v>1225460561</v>
      </c>
      <c r="E13667" s="1" t="s">
        <v>21559</v>
      </c>
      <c r="F13667" s="2"/>
      <c r="G13667" s="2"/>
      <c r="H13667" s="2"/>
    </row>
    <row r="13668" spans="1:8" x14ac:dyDescent="0.25">
      <c r="A13668" s="1"/>
      <c r="B13668" s="1" t="s">
        <v>5782</v>
      </c>
      <c r="C13668" s="1" t="s">
        <v>5783</v>
      </c>
      <c r="D13668" s="22" t="str">
        <f>HYPERLINK("https://rhld.insurance.arkansas.gov/NPILookup?Npi=1225469364","1225469364")</f>
        <v>1225469364</v>
      </c>
      <c r="E13668" s="1" t="s">
        <v>21560</v>
      </c>
      <c r="F13668" s="2"/>
      <c r="G13668" s="2"/>
      <c r="H13668" s="2"/>
    </row>
    <row r="13669" spans="1:8" x14ac:dyDescent="0.25">
      <c r="A13669" s="1"/>
      <c r="B13669" s="1" t="s">
        <v>5782</v>
      </c>
      <c r="C13669" s="1" t="s">
        <v>5783</v>
      </c>
      <c r="D13669" s="22" t="str">
        <f>HYPERLINK("https://rhld.insurance.arkansas.gov/NPILookup?Npi=1225475551","1225475551")</f>
        <v>1225475551</v>
      </c>
      <c r="E13669" s="1" t="s">
        <v>21561</v>
      </c>
      <c r="F13669" s="2"/>
      <c r="G13669" s="2"/>
      <c r="H13669" s="2"/>
    </row>
    <row r="13670" spans="1:8" x14ac:dyDescent="0.25">
      <c r="A13670" s="1"/>
      <c r="B13670" s="1" t="s">
        <v>5782</v>
      </c>
      <c r="C13670" s="1" t="s">
        <v>5783</v>
      </c>
      <c r="D13670" s="22" t="str">
        <f>HYPERLINK("https://rhld.insurance.arkansas.gov/NPILookup?Npi=1225478951","1225478951")</f>
        <v>1225478951</v>
      </c>
      <c r="E13670" s="1" t="s">
        <v>21562</v>
      </c>
      <c r="F13670" s="2"/>
      <c r="G13670" s="2"/>
      <c r="H13670" s="2"/>
    </row>
    <row r="13671" spans="1:8" x14ac:dyDescent="0.25">
      <c r="A13671" s="1"/>
      <c r="B13671" s="1" t="s">
        <v>5782</v>
      </c>
      <c r="C13671" s="1" t="s">
        <v>5783</v>
      </c>
      <c r="D13671" s="22" t="str">
        <f>HYPERLINK("https://rhld.insurance.arkansas.gov/NPILookup?Npi=1225484561","1225484561")</f>
        <v>1225484561</v>
      </c>
      <c r="E13671" s="1" t="s">
        <v>21563</v>
      </c>
      <c r="F13671" s="2"/>
      <c r="G13671" s="2"/>
      <c r="H13671" s="2"/>
    </row>
    <row r="13672" spans="1:8" x14ac:dyDescent="0.25">
      <c r="A13672" s="1"/>
      <c r="B13672" s="1" t="s">
        <v>5782</v>
      </c>
      <c r="C13672" s="1" t="s">
        <v>5783</v>
      </c>
      <c r="D13672" s="22" t="str">
        <f>HYPERLINK("https://rhld.insurance.arkansas.gov/NPILookup?Npi=1225492275","1225492275")</f>
        <v>1225492275</v>
      </c>
      <c r="E13672" s="1" t="s">
        <v>11588</v>
      </c>
      <c r="F13672" s="2"/>
      <c r="G13672" s="2"/>
      <c r="H13672" s="2"/>
    </row>
    <row r="13673" spans="1:8" x14ac:dyDescent="0.25">
      <c r="A13673" s="1"/>
      <c r="B13673" s="1" t="s">
        <v>5782</v>
      </c>
      <c r="C13673" s="1" t="s">
        <v>5783</v>
      </c>
      <c r="D13673" s="22" t="str">
        <f>HYPERLINK("https://rhld.insurance.arkansas.gov/NPILookup?Npi=1225494925","1225494925")</f>
        <v>1225494925</v>
      </c>
      <c r="E13673" s="1" t="s">
        <v>21564</v>
      </c>
      <c r="F13673" s="2"/>
      <c r="G13673" s="2"/>
      <c r="H13673" s="2"/>
    </row>
    <row r="13674" spans="1:8" x14ac:dyDescent="0.25">
      <c r="A13674" s="1"/>
      <c r="B13674" s="1" t="s">
        <v>5782</v>
      </c>
      <c r="C13674" s="1" t="s">
        <v>5783</v>
      </c>
      <c r="D13674" s="22" t="str">
        <f>HYPERLINK("https://rhld.insurance.arkansas.gov/NPILookup?Npi=1225502651","1225502651")</f>
        <v>1225502651</v>
      </c>
      <c r="E13674" s="1" t="s">
        <v>21565</v>
      </c>
      <c r="F13674" s="2"/>
      <c r="G13674" s="2"/>
      <c r="H13674" s="2"/>
    </row>
    <row r="13675" spans="1:8" x14ac:dyDescent="0.25">
      <c r="A13675" s="1"/>
      <c r="B13675" s="1" t="s">
        <v>5782</v>
      </c>
      <c r="C13675" s="1" t="s">
        <v>5783</v>
      </c>
      <c r="D13675" s="22" t="str">
        <f>HYPERLINK("https://rhld.insurance.arkansas.gov/NPILookup?Npi=1225508047","1225508047")</f>
        <v>1225508047</v>
      </c>
      <c r="E13675" s="1" t="s">
        <v>6059</v>
      </c>
      <c r="F13675" s="2"/>
      <c r="G13675" s="2"/>
      <c r="H13675" s="2"/>
    </row>
    <row r="13676" spans="1:8" x14ac:dyDescent="0.25">
      <c r="A13676" s="1"/>
      <c r="B13676" s="1" t="s">
        <v>5782</v>
      </c>
      <c r="C13676" s="1" t="s">
        <v>5783</v>
      </c>
      <c r="D13676" s="22" t="str">
        <f>HYPERLINK("https://rhld.insurance.arkansas.gov/NPILookup?Npi=1225518384","1225518384")</f>
        <v>1225518384</v>
      </c>
      <c r="E13676" s="1" t="s">
        <v>21566</v>
      </c>
      <c r="F13676" s="2"/>
      <c r="G13676" s="2"/>
      <c r="H13676" s="2"/>
    </row>
    <row r="13677" spans="1:8" x14ac:dyDescent="0.25">
      <c r="A13677" s="1"/>
      <c r="B13677" s="1" t="s">
        <v>5782</v>
      </c>
      <c r="C13677" s="1" t="s">
        <v>5783</v>
      </c>
      <c r="D13677" s="22" t="str">
        <f>HYPERLINK("https://rhld.insurance.arkansas.gov/NPILookup?Npi=1225551054","1225551054")</f>
        <v>1225551054</v>
      </c>
      <c r="E13677" s="1" t="s">
        <v>21567</v>
      </c>
      <c r="F13677" s="2"/>
      <c r="G13677" s="2"/>
      <c r="H13677" s="2"/>
    </row>
    <row r="13678" spans="1:8" x14ac:dyDescent="0.25">
      <c r="A13678" s="1"/>
      <c r="B13678" s="1" t="s">
        <v>5782</v>
      </c>
      <c r="C13678" s="1" t="s">
        <v>5783</v>
      </c>
      <c r="D13678" s="22" t="str">
        <f>HYPERLINK("https://rhld.insurance.arkansas.gov/NPILookup?Npi=1225568041","1225568041")</f>
        <v>1225568041</v>
      </c>
      <c r="E13678" s="1" t="s">
        <v>3228</v>
      </c>
      <c r="F13678" s="2"/>
      <c r="G13678" s="2"/>
      <c r="H13678" s="2"/>
    </row>
    <row r="13679" spans="1:8" x14ac:dyDescent="0.25">
      <c r="A13679" s="1"/>
      <c r="B13679" s="1" t="s">
        <v>5782</v>
      </c>
      <c r="C13679" s="1" t="s">
        <v>5783</v>
      </c>
      <c r="D13679" s="22" t="str">
        <f>HYPERLINK("https://rhld.insurance.arkansas.gov/NPILookup?Npi=1225577059","1225577059")</f>
        <v>1225577059</v>
      </c>
      <c r="E13679" s="1" t="s">
        <v>11589</v>
      </c>
      <c r="F13679" s="2"/>
      <c r="G13679" s="2"/>
      <c r="H13679" s="2"/>
    </row>
    <row r="13680" spans="1:8" x14ac:dyDescent="0.25">
      <c r="A13680" s="1"/>
      <c r="B13680" s="1" t="s">
        <v>5782</v>
      </c>
      <c r="C13680" s="1" t="s">
        <v>5783</v>
      </c>
      <c r="D13680" s="22" t="str">
        <f>HYPERLINK("https://rhld.insurance.arkansas.gov/NPILookup?Npi=1225594740","1225594740")</f>
        <v>1225594740</v>
      </c>
      <c r="E13680" s="1" t="s">
        <v>21568</v>
      </c>
      <c r="F13680" s="2"/>
      <c r="G13680" s="2"/>
      <c r="H13680" s="2"/>
    </row>
    <row r="13681" spans="1:8" x14ac:dyDescent="0.25">
      <c r="A13681" s="1"/>
      <c r="B13681" s="1" t="s">
        <v>5782</v>
      </c>
      <c r="C13681" s="1" t="s">
        <v>5783</v>
      </c>
      <c r="D13681" s="22" t="str">
        <f>HYPERLINK("https://rhld.insurance.arkansas.gov/NPILookup?Npi=1225600315","1225600315")</f>
        <v>1225600315</v>
      </c>
      <c r="E13681" s="1" t="s">
        <v>6060</v>
      </c>
      <c r="F13681" s="2"/>
      <c r="G13681" s="2"/>
      <c r="H13681" s="2"/>
    </row>
    <row r="13682" spans="1:8" x14ac:dyDescent="0.25">
      <c r="A13682" s="1"/>
      <c r="B13682" s="1" t="s">
        <v>5782</v>
      </c>
      <c r="C13682" s="1" t="s">
        <v>5783</v>
      </c>
      <c r="D13682" s="22" t="str">
        <f>HYPERLINK("https://rhld.insurance.arkansas.gov/NPILookup?Npi=1225620149","1225620149")</f>
        <v>1225620149</v>
      </c>
      <c r="E13682" s="1" t="s">
        <v>21569</v>
      </c>
      <c r="F13682" s="2"/>
      <c r="G13682" s="2"/>
      <c r="H13682" s="2"/>
    </row>
    <row r="13683" spans="1:8" x14ac:dyDescent="0.25">
      <c r="A13683" s="1"/>
      <c r="B13683" s="1" t="s">
        <v>5782</v>
      </c>
      <c r="C13683" s="1" t="s">
        <v>5783</v>
      </c>
      <c r="D13683" s="22" t="str">
        <f>HYPERLINK("https://rhld.insurance.arkansas.gov/NPILookup?Npi=1225626591","1225626591")</f>
        <v>1225626591</v>
      </c>
      <c r="E13683" s="1" t="s">
        <v>21570</v>
      </c>
      <c r="F13683" s="2"/>
      <c r="G13683" s="2"/>
      <c r="H13683" s="2"/>
    </row>
    <row r="13684" spans="1:8" x14ac:dyDescent="0.25">
      <c r="A13684" s="1"/>
      <c r="B13684" s="1" t="s">
        <v>5782</v>
      </c>
      <c r="C13684" s="1" t="s">
        <v>5783</v>
      </c>
      <c r="D13684" s="22" t="str">
        <f>HYPERLINK("https://rhld.insurance.arkansas.gov/NPILookup?Npi=1225633340","1225633340")</f>
        <v>1225633340</v>
      </c>
      <c r="E13684" s="1" t="s">
        <v>21571</v>
      </c>
      <c r="F13684" s="2"/>
      <c r="G13684" s="2"/>
      <c r="H13684" s="2"/>
    </row>
    <row r="13685" spans="1:8" x14ac:dyDescent="0.25">
      <c r="A13685" s="1"/>
      <c r="B13685" s="1" t="s">
        <v>5782</v>
      </c>
      <c r="C13685" s="1" t="s">
        <v>5783</v>
      </c>
      <c r="D13685" s="22" t="str">
        <f>HYPERLINK("https://rhld.insurance.arkansas.gov/NPILookup?Npi=1225661945","1225661945")</f>
        <v>1225661945</v>
      </c>
      <c r="E13685" s="1" t="s">
        <v>21572</v>
      </c>
      <c r="F13685" s="2"/>
      <c r="G13685" s="2"/>
      <c r="H13685" s="2"/>
    </row>
    <row r="13686" spans="1:8" x14ac:dyDescent="0.25">
      <c r="A13686" s="1"/>
      <c r="B13686" s="1" t="s">
        <v>5782</v>
      </c>
      <c r="C13686" s="1" t="s">
        <v>5783</v>
      </c>
      <c r="D13686" s="22" t="str">
        <f>HYPERLINK("https://rhld.insurance.arkansas.gov/NPILookup?Npi=1225685142","1225685142")</f>
        <v>1225685142</v>
      </c>
      <c r="E13686" s="1" t="s">
        <v>21573</v>
      </c>
      <c r="F13686" s="2"/>
      <c r="G13686" s="2"/>
      <c r="H13686" s="2"/>
    </row>
    <row r="13687" spans="1:8" x14ac:dyDescent="0.25">
      <c r="A13687" s="1"/>
      <c r="B13687" s="1" t="s">
        <v>5782</v>
      </c>
      <c r="C13687" s="1" t="s">
        <v>5783</v>
      </c>
      <c r="D13687" s="22" t="str">
        <f>HYPERLINK("https://rhld.insurance.arkansas.gov/NPILookup?Npi=1225691058","1225691058")</f>
        <v>1225691058</v>
      </c>
      <c r="E13687" s="1" t="s">
        <v>21574</v>
      </c>
      <c r="F13687" s="2"/>
      <c r="G13687" s="2"/>
      <c r="H13687" s="2"/>
    </row>
    <row r="13688" spans="1:8" x14ac:dyDescent="0.25">
      <c r="A13688" s="1"/>
      <c r="B13688" s="1" t="s">
        <v>5782</v>
      </c>
      <c r="C13688" s="1" t="s">
        <v>5783</v>
      </c>
      <c r="D13688" s="22" t="str">
        <f>HYPERLINK("https://rhld.insurance.arkansas.gov/NPILookup?Npi=1225692205","1225692205")</f>
        <v>1225692205</v>
      </c>
      <c r="E13688" s="1" t="s">
        <v>6061</v>
      </c>
      <c r="F13688" s="2"/>
      <c r="G13688" s="2"/>
      <c r="H13688" s="2"/>
    </row>
    <row r="13689" spans="1:8" x14ac:dyDescent="0.25">
      <c r="A13689" s="1"/>
      <c r="B13689" s="1" t="s">
        <v>5782</v>
      </c>
      <c r="C13689" s="1" t="s">
        <v>5783</v>
      </c>
      <c r="D13689" s="22" t="str">
        <f>HYPERLINK("https://rhld.insurance.arkansas.gov/NPILookup?Npi=1225695729","1225695729")</f>
        <v>1225695729</v>
      </c>
      <c r="E13689" s="1" t="s">
        <v>21575</v>
      </c>
      <c r="F13689" s="2"/>
      <c r="G13689" s="2"/>
      <c r="H13689" s="2"/>
    </row>
    <row r="13690" spans="1:8" x14ac:dyDescent="0.25">
      <c r="A13690" s="1"/>
      <c r="B13690" s="1" t="s">
        <v>5782</v>
      </c>
      <c r="C13690" s="1" t="s">
        <v>5783</v>
      </c>
      <c r="D13690" s="22" t="str">
        <f>HYPERLINK("https://rhld.insurance.arkansas.gov/NPILookup?Npi=1225717754","1225717754")</f>
        <v>1225717754</v>
      </c>
      <c r="E13690" s="1" t="s">
        <v>5208</v>
      </c>
      <c r="F13690" s="2"/>
      <c r="G13690" s="2"/>
      <c r="H13690" s="2"/>
    </row>
    <row r="13691" spans="1:8" x14ac:dyDescent="0.25">
      <c r="A13691" s="1"/>
      <c r="B13691" s="1" t="s">
        <v>5782</v>
      </c>
      <c r="C13691" s="1" t="s">
        <v>5783</v>
      </c>
      <c r="D13691" s="22" t="str">
        <f>HYPERLINK("https://rhld.insurance.arkansas.gov/NPILookup?Npi=1225722572","1225722572")</f>
        <v>1225722572</v>
      </c>
      <c r="E13691" s="1" t="s">
        <v>6062</v>
      </c>
      <c r="F13691" s="2"/>
      <c r="G13691" s="2"/>
      <c r="H13691" s="2"/>
    </row>
    <row r="13692" spans="1:8" x14ac:dyDescent="0.25">
      <c r="A13692" s="1"/>
      <c r="B13692" s="1" t="s">
        <v>5782</v>
      </c>
      <c r="C13692" s="1" t="s">
        <v>5783</v>
      </c>
      <c r="D13692" s="22" t="str">
        <f>HYPERLINK("https://rhld.insurance.arkansas.gov/NPILookup?Npi=1225726797","1225726797")</f>
        <v>1225726797</v>
      </c>
      <c r="E13692" s="1" t="s">
        <v>11590</v>
      </c>
      <c r="F13692" s="2"/>
      <c r="G13692" s="2"/>
      <c r="H13692" s="2"/>
    </row>
    <row r="13693" spans="1:8" x14ac:dyDescent="0.25">
      <c r="A13693" s="1"/>
      <c r="B13693" s="1" t="s">
        <v>5782</v>
      </c>
      <c r="C13693" s="1" t="s">
        <v>5783</v>
      </c>
      <c r="D13693" s="22" t="str">
        <f>HYPERLINK("https://rhld.insurance.arkansas.gov/NPILookup?Npi=1225736325","1225736325")</f>
        <v>1225736325</v>
      </c>
      <c r="E13693" s="1" t="s">
        <v>21576</v>
      </c>
      <c r="F13693" s="2"/>
      <c r="G13693" s="2"/>
      <c r="H13693" s="2"/>
    </row>
    <row r="13694" spans="1:8" x14ac:dyDescent="0.25">
      <c r="A13694" s="1"/>
      <c r="B13694" s="1" t="s">
        <v>5782</v>
      </c>
      <c r="C13694" s="1" t="s">
        <v>5783</v>
      </c>
      <c r="D13694" s="22" t="str">
        <f>HYPERLINK("https://rhld.insurance.arkansas.gov/NPILookup?Npi=1225752660","1225752660")</f>
        <v>1225752660</v>
      </c>
      <c r="E13694" s="1" t="s">
        <v>11591</v>
      </c>
      <c r="F13694" s="2"/>
      <c r="G13694" s="2"/>
      <c r="H13694" s="2"/>
    </row>
    <row r="13695" spans="1:8" x14ac:dyDescent="0.25">
      <c r="A13695" s="1"/>
      <c r="B13695" s="1" t="s">
        <v>5782</v>
      </c>
      <c r="C13695" s="1" t="s">
        <v>5783</v>
      </c>
      <c r="D13695" s="22" t="str">
        <f>HYPERLINK("https://rhld.insurance.arkansas.gov/NPILookup?Npi=1225764483","1225764483")</f>
        <v>1225764483</v>
      </c>
      <c r="E13695" s="1" t="s">
        <v>21577</v>
      </c>
      <c r="F13695" s="2"/>
      <c r="G13695" s="2"/>
      <c r="H13695" s="2"/>
    </row>
    <row r="13696" spans="1:8" x14ac:dyDescent="0.25">
      <c r="A13696" s="1"/>
      <c r="B13696" s="1" t="s">
        <v>5782</v>
      </c>
      <c r="C13696" s="1" t="s">
        <v>5783</v>
      </c>
      <c r="D13696" s="22" t="str">
        <f>HYPERLINK("https://rhld.insurance.arkansas.gov/NPILookup?Npi=1225772858","1225772858")</f>
        <v>1225772858</v>
      </c>
      <c r="E13696" s="1" t="s">
        <v>21578</v>
      </c>
      <c r="F13696" s="2"/>
      <c r="G13696" s="2"/>
      <c r="H13696" s="2"/>
    </row>
    <row r="13697" spans="1:8" x14ac:dyDescent="0.25">
      <c r="A13697" s="1"/>
      <c r="B13697" s="1" t="s">
        <v>5782</v>
      </c>
      <c r="C13697" s="1" t="s">
        <v>5783</v>
      </c>
      <c r="D13697" s="22" t="str">
        <f>HYPERLINK("https://rhld.insurance.arkansas.gov/NPILookup?Npi=1225792294","1225792294")</f>
        <v>1225792294</v>
      </c>
      <c r="E13697" s="1" t="s">
        <v>21579</v>
      </c>
      <c r="F13697" s="2"/>
      <c r="G13697" s="2"/>
      <c r="H13697" s="2"/>
    </row>
    <row r="13698" spans="1:8" x14ac:dyDescent="0.25">
      <c r="A13698" s="1"/>
      <c r="B13698" s="1" t="s">
        <v>5782</v>
      </c>
      <c r="C13698" s="1" t="s">
        <v>5783</v>
      </c>
      <c r="D13698" s="22" t="str">
        <f>HYPERLINK("https://rhld.insurance.arkansas.gov/NPILookup?Npi=1225801160","1225801160")</f>
        <v>1225801160</v>
      </c>
      <c r="E13698" s="1" t="s">
        <v>5809</v>
      </c>
      <c r="F13698" s="2"/>
      <c r="G13698" s="2"/>
      <c r="H13698" s="2"/>
    </row>
    <row r="13699" spans="1:8" x14ac:dyDescent="0.25">
      <c r="A13699" s="1"/>
      <c r="B13699" s="1" t="s">
        <v>5782</v>
      </c>
      <c r="C13699" s="1" t="s">
        <v>5783</v>
      </c>
      <c r="D13699" s="22" t="str">
        <f>HYPERLINK("https://rhld.insurance.arkansas.gov/NPILookup?Npi=1225848864","1225848864")</f>
        <v>1225848864</v>
      </c>
      <c r="E13699" s="1" t="s">
        <v>31825</v>
      </c>
      <c r="F13699" s="2"/>
      <c r="G13699" s="2"/>
      <c r="H13699" s="2"/>
    </row>
    <row r="13700" spans="1:8" x14ac:dyDescent="0.25">
      <c r="A13700" s="1"/>
      <c r="B13700" s="1" t="s">
        <v>5782</v>
      </c>
      <c r="C13700" s="1" t="s">
        <v>5783</v>
      </c>
      <c r="D13700" s="22" t="str">
        <f>HYPERLINK("https://rhld.insurance.arkansas.gov/NPILookup?Npi=1225862097","1225862097")</f>
        <v>1225862097</v>
      </c>
      <c r="E13700" s="1" t="s">
        <v>31826</v>
      </c>
      <c r="F13700" s="2"/>
      <c r="G13700" s="2"/>
      <c r="H13700" s="2"/>
    </row>
    <row r="13701" spans="1:8" x14ac:dyDescent="0.25">
      <c r="A13701" s="1"/>
      <c r="B13701" s="1" t="s">
        <v>5782</v>
      </c>
      <c r="C13701" s="1" t="s">
        <v>5783</v>
      </c>
      <c r="D13701" s="22" t="str">
        <f>HYPERLINK("https://rhld.insurance.arkansas.gov/NPILookup?Npi=1235151382","1235151382")</f>
        <v>1235151382</v>
      </c>
      <c r="E13701" s="1" t="s">
        <v>11592</v>
      </c>
      <c r="F13701" s="2"/>
      <c r="G13701" s="2"/>
      <c r="H13701" s="2"/>
    </row>
    <row r="13702" spans="1:8" x14ac:dyDescent="0.25">
      <c r="A13702" s="1"/>
      <c r="B13702" s="1" t="s">
        <v>5782</v>
      </c>
      <c r="C13702" s="1" t="s">
        <v>5783</v>
      </c>
      <c r="D13702" s="22" t="str">
        <f>HYPERLINK("https://rhld.insurance.arkansas.gov/NPILookup?Npi=1235167578","1235167578")</f>
        <v>1235167578</v>
      </c>
      <c r="E13702" s="1" t="s">
        <v>21580</v>
      </c>
      <c r="F13702" s="2"/>
      <c r="G13702" s="2"/>
      <c r="H13702" s="2"/>
    </row>
    <row r="13703" spans="1:8" x14ac:dyDescent="0.25">
      <c r="A13703" s="1"/>
      <c r="B13703" s="1" t="s">
        <v>5782</v>
      </c>
      <c r="C13703" s="1" t="s">
        <v>5783</v>
      </c>
      <c r="D13703" s="22" t="str">
        <f>HYPERLINK("https://rhld.insurance.arkansas.gov/NPILookup?Npi=1235170382","1235170382")</f>
        <v>1235170382</v>
      </c>
      <c r="E13703" s="1" t="s">
        <v>11593</v>
      </c>
      <c r="F13703" s="2"/>
      <c r="G13703" s="2"/>
      <c r="H13703" s="2"/>
    </row>
    <row r="13704" spans="1:8" x14ac:dyDescent="0.25">
      <c r="A13704" s="1"/>
      <c r="B13704" s="1" t="s">
        <v>5782</v>
      </c>
      <c r="C13704" s="1" t="s">
        <v>5783</v>
      </c>
      <c r="D13704" s="22" t="str">
        <f>HYPERLINK("https://rhld.insurance.arkansas.gov/NPILookup?Npi=1235250358","1235250358")</f>
        <v>1235250358</v>
      </c>
      <c r="E13704" s="1" t="s">
        <v>3229</v>
      </c>
      <c r="F13704" s="2"/>
      <c r="G13704" s="2"/>
      <c r="H13704" s="2"/>
    </row>
    <row r="13705" spans="1:8" x14ac:dyDescent="0.25">
      <c r="A13705" s="1"/>
      <c r="B13705" s="1" t="s">
        <v>5782</v>
      </c>
      <c r="C13705" s="1" t="s">
        <v>5783</v>
      </c>
      <c r="D13705" s="22" t="str">
        <f>HYPERLINK("https://rhld.insurance.arkansas.gov/NPILookup?Npi=1235269382","1235269382")</f>
        <v>1235269382</v>
      </c>
      <c r="E13705" s="1" t="s">
        <v>21581</v>
      </c>
      <c r="F13705" s="2"/>
      <c r="G13705" s="2"/>
      <c r="H13705" s="2"/>
    </row>
    <row r="13706" spans="1:8" x14ac:dyDescent="0.25">
      <c r="A13706" s="1"/>
      <c r="B13706" s="1" t="s">
        <v>5782</v>
      </c>
      <c r="C13706" s="1" t="s">
        <v>5783</v>
      </c>
      <c r="D13706" s="22" t="str">
        <f>HYPERLINK("https://rhld.insurance.arkansas.gov/NPILookup?Npi=1235278607","1235278607")</f>
        <v>1235278607</v>
      </c>
      <c r="E13706" s="1" t="s">
        <v>6064</v>
      </c>
      <c r="F13706" s="2"/>
      <c r="G13706" s="2"/>
      <c r="H13706" s="2"/>
    </row>
    <row r="13707" spans="1:8" x14ac:dyDescent="0.25">
      <c r="A13707" s="1"/>
      <c r="B13707" s="1" t="s">
        <v>5782</v>
      </c>
      <c r="C13707" s="1" t="s">
        <v>5783</v>
      </c>
      <c r="D13707" s="22" t="str">
        <f>HYPERLINK("https://rhld.insurance.arkansas.gov/NPILookup?Npi=1235312430","1235312430")</f>
        <v>1235312430</v>
      </c>
      <c r="E13707" s="1" t="s">
        <v>11594</v>
      </c>
      <c r="F13707" s="2"/>
      <c r="G13707" s="2"/>
      <c r="H13707" s="2"/>
    </row>
    <row r="13708" spans="1:8" x14ac:dyDescent="0.25">
      <c r="A13708" s="1"/>
      <c r="B13708" s="1" t="s">
        <v>5782</v>
      </c>
      <c r="C13708" s="1" t="s">
        <v>5783</v>
      </c>
      <c r="D13708" s="22" t="str">
        <f>HYPERLINK("https://rhld.insurance.arkansas.gov/NPILookup?Npi=1235336066","1235336066")</f>
        <v>1235336066</v>
      </c>
      <c r="E13708" s="1" t="s">
        <v>6048</v>
      </c>
      <c r="F13708" s="2"/>
      <c r="G13708" s="2"/>
      <c r="H13708" s="2"/>
    </row>
    <row r="13709" spans="1:8" x14ac:dyDescent="0.25">
      <c r="A13709" s="1"/>
      <c r="B13709" s="1" t="s">
        <v>5782</v>
      </c>
      <c r="C13709" s="1" t="s">
        <v>5783</v>
      </c>
      <c r="D13709" s="22" t="str">
        <f>HYPERLINK("https://rhld.insurance.arkansas.gov/NPILookup?Npi=1235339425","1235339425")</f>
        <v>1235339425</v>
      </c>
      <c r="E13709" s="1" t="s">
        <v>21582</v>
      </c>
      <c r="F13709" s="2"/>
      <c r="G13709" s="2"/>
      <c r="H13709" s="2"/>
    </row>
    <row r="13710" spans="1:8" x14ac:dyDescent="0.25">
      <c r="A13710" s="1"/>
      <c r="B13710" s="1" t="s">
        <v>5782</v>
      </c>
      <c r="C13710" s="1" t="s">
        <v>5783</v>
      </c>
      <c r="D13710" s="22" t="str">
        <f>HYPERLINK("https://rhld.insurance.arkansas.gov/NPILookup?Npi=1235344318","1235344318")</f>
        <v>1235344318</v>
      </c>
      <c r="E13710" s="1" t="s">
        <v>6065</v>
      </c>
      <c r="F13710" s="2"/>
      <c r="G13710" s="2"/>
      <c r="H13710" s="2"/>
    </row>
    <row r="13711" spans="1:8" x14ac:dyDescent="0.25">
      <c r="A13711" s="1"/>
      <c r="B13711" s="1" t="s">
        <v>5782</v>
      </c>
      <c r="C13711" s="1" t="s">
        <v>5783</v>
      </c>
      <c r="D13711" s="22" t="str">
        <f>HYPERLINK("https://rhld.insurance.arkansas.gov/NPILookup?Npi=1235372442","1235372442")</f>
        <v>1235372442</v>
      </c>
      <c r="E13711" s="1" t="s">
        <v>31827</v>
      </c>
      <c r="F13711" s="2"/>
      <c r="G13711" s="2"/>
      <c r="H13711" s="2"/>
    </row>
    <row r="13712" spans="1:8" x14ac:dyDescent="0.25">
      <c r="A13712" s="1"/>
      <c r="B13712" s="1" t="s">
        <v>5782</v>
      </c>
      <c r="C13712" s="1" t="s">
        <v>5783</v>
      </c>
      <c r="D13712" s="22" t="str">
        <f>HYPERLINK("https://rhld.insurance.arkansas.gov/NPILookup?Npi=1235380221","1235380221")</f>
        <v>1235380221</v>
      </c>
      <c r="E13712" s="1" t="s">
        <v>21583</v>
      </c>
      <c r="F13712" s="2"/>
      <c r="G13712" s="2"/>
      <c r="H13712" s="2"/>
    </row>
    <row r="13713" spans="1:8" x14ac:dyDescent="0.25">
      <c r="A13713" s="1"/>
      <c r="B13713" s="1" t="s">
        <v>5782</v>
      </c>
      <c r="C13713" s="1" t="s">
        <v>5783</v>
      </c>
      <c r="D13713" s="22" t="str">
        <f>HYPERLINK("https://rhld.insurance.arkansas.gov/NPILookup?Npi=1235425935","1235425935")</f>
        <v>1235425935</v>
      </c>
      <c r="E13713" s="1" t="s">
        <v>21584</v>
      </c>
      <c r="F13713" s="2"/>
      <c r="G13713" s="2"/>
      <c r="H13713" s="2"/>
    </row>
    <row r="13714" spans="1:8" x14ac:dyDescent="0.25">
      <c r="A13714" s="1"/>
      <c r="B13714" s="1" t="s">
        <v>5782</v>
      </c>
      <c r="C13714" s="1" t="s">
        <v>5783</v>
      </c>
      <c r="D13714" s="22" t="str">
        <f>HYPERLINK("https://rhld.insurance.arkansas.gov/NPILookup?Npi=1235441684","1235441684")</f>
        <v>1235441684</v>
      </c>
      <c r="E13714" s="1" t="s">
        <v>11595</v>
      </c>
      <c r="F13714" s="2"/>
      <c r="G13714" s="2"/>
      <c r="H13714" s="2"/>
    </row>
    <row r="13715" spans="1:8" x14ac:dyDescent="0.25">
      <c r="A13715" s="1"/>
      <c r="B13715" s="1" t="s">
        <v>5782</v>
      </c>
      <c r="C13715" s="1" t="s">
        <v>5783</v>
      </c>
      <c r="D13715" s="22" t="str">
        <f>HYPERLINK("https://rhld.insurance.arkansas.gov/NPILookup?Npi=1235446733","1235446733")</f>
        <v>1235446733</v>
      </c>
      <c r="E13715" s="1" t="s">
        <v>21585</v>
      </c>
      <c r="F13715" s="2"/>
      <c r="G13715" s="2"/>
      <c r="H13715" s="2"/>
    </row>
    <row r="13716" spans="1:8" x14ac:dyDescent="0.25">
      <c r="A13716" s="1"/>
      <c r="B13716" s="1" t="s">
        <v>5782</v>
      </c>
      <c r="C13716" s="1" t="s">
        <v>5783</v>
      </c>
      <c r="D13716" s="22" t="str">
        <f>HYPERLINK("https://rhld.insurance.arkansas.gov/NPILookup?Npi=1235462987","1235462987")</f>
        <v>1235462987</v>
      </c>
      <c r="E13716" s="1" t="s">
        <v>781</v>
      </c>
      <c r="F13716" s="2"/>
      <c r="G13716" s="2"/>
      <c r="H13716" s="2"/>
    </row>
    <row r="13717" spans="1:8" x14ac:dyDescent="0.25">
      <c r="A13717" s="1"/>
      <c r="B13717" s="1" t="s">
        <v>5782</v>
      </c>
      <c r="C13717" s="1" t="s">
        <v>5783</v>
      </c>
      <c r="D13717" s="22" t="str">
        <f>HYPERLINK("https://rhld.insurance.arkansas.gov/NPILookup?Npi=1235479411","1235479411")</f>
        <v>1235479411</v>
      </c>
      <c r="E13717" s="1" t="s">
        <v>6066</v>
      </c>
      <c r="F13717" s="2"/>
      <c r="G13717" s="2"/>
      <c r="H13717" s="2"/>
    </row>
    <row r="13718" spans="1:8" x14ac:dyDescent="0.25">
      <c r="A13718" s="1"/>
      <c r="B13718" s="1" t="s">
        <v>5782</v>
      </c>
      <c r="C13718" s="1" t="s">
        <v>5783</v>
      </c>
      <c r="D13718" s="22" t="str">
        <f>HYPERLINK("https://rhld.insurance.arkansas.gov/NPILookup?Npi=1235494329","1235494329")</f>
        <v>1235494329</v>
      </c>
      <c r="E13718" s="1" t="s">
        <v>11804</v>
      </c>
      <c r="F13718" s="2"/>
      <c r="G13718" s="2"/>
      <c r="H13718" s="2"/>
    </row>
    <row r="13719" spans="1:8" x14ac:dyDescent="0.25">
      <c r="A13719" s="1"/>
      <c r="B13719" s="1" t="s">
        <v>5782</v>
      </c>
      <c r="C13719" s="1" t="s">
        <v>5783</v>
      </c>
      <c r="D13719" s="22" t="str">
        <f>HYPERLINK("https://rhld.insurance.arkansas.gov/NPILookup?Npi=1235500851","1235500851")</f>
        <v>1235500851</v>
      </c>
      <c r="E13719" s="1" t="s">
        <v>6067</v>
      </c>
      <c r="F13719" s="2"/>
      <c r="G13719" s="2"/>
      <c r="H13719" s="2"/>
    </row>
    <row r="13720" spans="1:8" x14ac:dyDescent="0.25">
      <c r="A13720" s="1"/>
      <c r="B13720" s="1" t="s">
        <v>5782</v>
      </c>
      <c r="C13720" s="1" t="s">
        <v>5783</v>
      </c>
      <c r="D13720" s="22" t="str">
        <f>HYPERLINK("https://rhld.insurance.arkansas.gov/NPILookup?Npi=1235501594","1235501594")</f>
        <v>1235501594</v>
      </c>
      <c r="E13720" s="1" t="s">
        <v>21586</v>
      </c>
      <c r="F13720" s="2"/>
      <c r="G13720" s="2"/>
      <c r="H13720" s="2"/>
    </row>
    <row r="13721" spans="1:8" x14ac:dyDescent="0.25">
      <c r="A13721" s="1"/>
      <c r="B13721" s="1" t="s">
        <v>5782</v>
      </c>
      <c r="C13721" s="1" t="s">
        <v>5783</v>
      </c>
      <c r="D13721" s="22" t="str">
        <f>HYPERLINK("https://rhld.insurance.arkansas.gov/NPILookup?Npi=1235506213","1235506213")</f>
        <v>1235506213</v>
      </c>
      <c r="E13721" s="1" t="s">
        <v>21587</v>
      </c>
      <c r="F13721" s="2"/>
      <c r="G13721" s="2"/>
      <c r="H13721" s="2"/>
    </row>
    <row r="13722" spans="1:8" x14ac:dyDescent="0.25">
      <c r="A13722" s="1"/>
      <c r="B13722" s="1" t="s">
        <v>5782</v>
      </c>
      <c r="C13722" s="1" t="s">
        <v>5783</v>
      </c>
      <c r="D13722" s="22" t="str">
        <f>HYPERLINK("https://rhld.insurance.arkansas.gov/NPILookup?Npi=1235518804","1235518804")</f>
        <v>1235518804</v>
      </c>
      <c r="E13722" s="1" t="s">
        <v>21588</v>
      </c>
      <c r="F13722" s="2"/>
      <c r="G13722" s="2"/>
      <c r="H13722" s="2"/>
    </row>
    <row r="13723" spans="1:8" x14ac:dyDescent="0.25">
      <c r="A13723" s="1"/>
      <c r="B13723" s="1" t="s">
        <v>5782</v>
      </c>
      <c r="C13723" s="1" t="s">
        <v>5783</v>
      </c>
      <c r="D13723" s="22" t="str">
        <f>HYPERLINK("https://rhld.insurance.arkansas.gov/NPILookup?Npi=1235543927","1235543927")</f>
        <v>1235543927</v>
      </c>
      <c r="E13723" s="1" t="s">
        <v>21589</v>
      </c>
      <c r="F13723" s="2"/>
      <c r="G13723" s="2"/>
      <c r="H13723" s="2"/>
    </row>
    <row r="13724" spans="1:8" x14ac:dyDescent="0.25">
      <c r="A13724" s="1"/>
      <c r="B13724" s="1" t="s">
        <v>5782</v>
      </c>
      <c r="C13724" s="1" t="s">
        <v>5783</v>
      </c>
      <c r="D13724" s="22" t="str">
        <f>HYPERLINK("https://rhld.insurance.arkansas.gov/NPILookup?Npi=1235547589","1235547589")</f>
        <v>1235547589</v>
      </c>
      <c r="E13724" s="1" t="s">
        <v>11597</v>
      </c>
      <c r="F13724" s="2"/>
      <c r="G13724" s="2"/>
      <c r="H13724" s="2"/>
    </row>
    <row r="13725" spans="1:8" x14ac:dyDescent="0.25">
      <c r="A13725" s="1"/>
      <c r="B13725" s="1" t="s">
        <v>5782</v>
      </c>
      <c r="C13725" s="1" t="s">
        <v>5783</v>
      </c>
      <c r="D13725" s="22" t="str">
        <f>HYPERLINK("https://rhld.insurance.arkansas.gov/NPILookup?Npi=1235549528","1235549528")</f>
        <v>1235549528</v>
      </c>
      <c r="E13725" s="1" t="s">
        <v>21590</v>
      </c>
      <c r="F13725" s="2"/>
      <c r="G13725" s="2"/>
      <c r="H13725" s="2"/>
    </row>
    <row r="13726" spans="1:8" x14ac:dyDescent="0.25">
      <c r="A13726" s="1"/>
      <c r="B13726" s="1" t="s">
        <v>5782</v>
      </c>
      <c r="C13726" s="1" t="s">
        <v>5783</v>
      </c>
      <c r="D13726" s="22" t="str">
        <f>HYPERLINK("https://rhld.insurance.arkansas.gov/NPILookup?Npi=1235552373","1235552373")</f>
        <v>1235552373</v>
      </c>
      <c r="E13726" s="1" t="s">
        <v>6068</v>
      </c>
      <c r="F13726" s="2"/>
      <c r="G13726" s="2"/>
      <c r="H13726" s="2"/>
    </row>
    <row r="13727" spans="1:8" x14ac:dyDescent="0.25">
      <c r="A13727" s="1"/>
      <c r="B13727" s="1" t="s">
        <v>5782</v>
      </c>
      <c r="C13727" s="1" t="s">
        <v>5783</v>
      </c>
      <c r="D13727" s="22" t="str">
        <f>HYPERLINK("https://rhld.insurance.arkansas.gov/NPILookup?Npi=1235565060","1235565060")</f>
        <v>1235565060</v>
      </c>
      <c r="E13727" s="1" t="s">
        <v>1056</v>
      </c>
      <c r="F13727" s="2"/>
      <c r="G13727" s="2"/>
      <c r="H13727" s="2"/>
    </row>
    <row r="13728" spans="1:8" x14ac:dyDescent="0.25">
      <c r="A13728" s="1"/>
      <c r="B13728" s="1" t="s">
        <v>5782</v>
      </c>
      <c r="C13728" s="1" t="s">
        <v>5783</v>
      </c>
      <c r="D13728" s="22" t="str">
        <f>HYPERLINK("https://rhld.insurance.arkansas.gov/NPILookup?Npi=1235565714","1235565714")</f>
        <v>1235565714</v>
      </c>
      <c r="E13728" s="1" t="s">
        <v>21591</v>
      </c>
      <c r="F13728" s="2"/>
      <c r="G13728" s="2"/>
      <c r="H13728" s="2"/>
    </row>
    <row r="13729" spans="1:8" x14ac:dyDescent="0.25">
      <c r="A13729" s="1"/>
      <c r="B13729" s="1" t="s">
        <v>5782</v>
      </c>
      <c r="C13729" s="1" t="s">
        <v>5783</v>
      </c>
      <c r="D13729" s="22" t="str">
        <f>HYPERLINK("https://rhld.insurance.arkansas.gov/NPILookup?Npi=1235567132","1235567132")</f>
        <v>1235567132</v>
      </c>
      <c r="E13729" s="1" t="s">
        <v>21592</v>
      </c>
      <c r="F13729" s="2"/>
      <c r="G13729" s="2"/>
      <c r="H13729" s="2"/>
    </row>
    <row r="13730" spans="1:8" x14ac:dyDescent="0.25">
      <c r="A13730" s="1"/>
      <c r="B13730" s="1" t="s">
        <v>5782</v>
      </c>
      <c r="C13730" s="1" t="s">
        <v>5783</v>
      </c>
      <c r="D13730" s="22" t="str">
        <f>HYPERLINK("https://rhld.insurance.arkansas.gov/NPILookup?Npi=1235574443","1235574443")</f>
        <v>1235574443</v>
      </c>
      <c r="E13730" s="1" t="s">
        <v>11598</v>
      </c>
      <c r="F13730" s="2"/>
      <c r="G13730" s="2"/>
      <c r="H13730" s="2"/>
    </row>
    <row r="13731" spans="1:8" x14ac:dyDescent="0.25">
      <c r="A13731" s="1"/>
      <c r="B13731" s="1" t="s">
        <v>5782</v>
      </c>
      <c r="C13731" s="1" t="s">
        <v>5783</v>
      </c>
      <c r="D13731" s="22" t="str">
        <f>HYPERLINK("https://rhld.insurance.arkansas.gov/NPILookup?Npi=1235581869","1235581869")</f>
        <v>1235581869</v>
      </c>
      <c r="E13731" s="1" t="s">
        <v>11699</v>
      </c>
      <c r="F13731" s="2"/>
      <c r="G13731" s="2"/>
      <c r="H13731" s="2"/>
    </row>
    <row r="13732" spans="1:8" x14ac:dyDescent="0.25">
      <c r="A13732" s="1"/>
      <c r="B13732" s="1" t="s">
        <v>5782</v>
      </c>
      <c r="C13732" s="1" t="s">
        <v>5783</v>
      </c>
      <c r="D13732" s="22" t="str">
        <f>HYPERLINK("https://rhld.insurance.arkansas.gov/NPILookup?Npi=1235582438","1235582438")</f>
        <v>1235582438</v>
      </c>
      <c r="E13732" s="1" t="s">
        <v>21593</v>
      </c>
      <c r="F13732" s="2"/>
      <c r="G13732" s="2"/>
      <c r="H13732" s="2"/>
    </row>
    <row r="13733" spans="1:8" x14ac:dyDescent="0.25">
      <c r="A13733" s="1"/>
      <c r="B13733" s="1" t="s">
        <v>5782</v>
      </c>
      <c r="C13733" s="1" t="s">
        <v>5783</v>
      </c>
      <c r="D13733" s="22" t="str">
        <f>HYPERLINK("https://rhld.insurance.arkansas.gov/NPILookup?Npi=1235590316","1235590316")</f>
        <v>1235590316</v>
      </c>
      <c r="E13733" s="1" t="s">
        <v>21594</v>
      </c>
      <c r="F13733" s="2"/>
      <c r="G13733" s="2"/>
      <c r="H13733" s="2"/>
    </row>
    <row r="13734" spans="1:8" x14ac:dyDescent="0.25">
      <c r="A13734" s="1"/>
      <c r="B13734" s="1" t="s">
        <v>5782</v>
      </c>
      <c r="C13734" s="1" t="s">
        <v>5783</v>
      </c>
      <c r="D13734" s="22" t="str">
        <f>HYPERLINK("https://rhld.insurance.arkansas.gov/NPILookup?Npi=1235593377","1235593377")</f>
        <v>1235593377</v>
      </c>
      <c r="E13734" s="1" t="s">
        <v>21595</v>
      </c>
      <c r="F13734" s="2"/>
      <c r="G13734" s="2"/>
      <c r="H13734" s="2"/>
    </row>
    <row r="13735" spans="1:8" x14ac:dyDescent="0.25">
      <c r="A13735" s="1"/>
      <c r="B13735" s="1" t="s">
        <v>5782</v>
      </c>
      <c r="C13735" s="1" t="s">
        <v>5783</v>
      </c>
      <c r="D13735" s="22" t="str">
        <f>HYPERLINK("https://rhld.insurance.arkansas.gov/NPILookup?Npi=1235600099","1235600099")</f>
        <v>1235600099</v>
      </c>
      <c r="E13735" s="1" t="s">
        <v>362</v>
      </c>
      <c r="F13735" s="2"/>
      <c r="G13735" s="2"/>
      <c r="H13735" s="2"/>
    </row>
    <row r="13736" spans="1:8" x14ac:dyDescent="0.25">
      <c r="A13736" s="1"/>
      <c r="B13736" s="1" t="s">
        <v>5782</v>
      </c>
      <c r="C13736" s="1" t="s">
        <v>5783</v>
      </c>
      <c r="D13736" s="22" t="str">
        <f>HYPERLINK("https://rhld.insurance.arkansas.gov/NPILookup?Npi=1235603614","1235603614")</f>
        <v>1235603614</v>
      </c>
      <c r="E13736" s="1" t="s">
        <v>2713</v>
      </c>
      <c r="F13736" s="2"/>
      <c r="G13736" s="2"/>
      <c r="H13736" s="2"/>
    </row>
    <row r="13737" spans="1:8" x14ac:dyDescent="0.25">
      <c r="A13737" s="1"/>
      <c r="B13737" s="1" t="s">
        <v>5782</v>
      </c>
      <c r="C13737" s="1" t="s">
        <v>5783</v>
      </c>
      <c r="D13737" s="22" t="str">
        <f>HYPERLINK("https://rhld.insurance.arkansas.gov/NPILookup?Npi=1235619206","1235619206")</f>
        <v>1235619206</v>
      </c>
      <c r="E13737" s="1" t="s">
        <v>21596</v>
      </c>
      <c r="F13737" s="2"/>
      <c r="G13737" s="2"/>
      <c r="H13737" s="2"/>
    </row>
    <row r="13738" spans="1:8" x14ac:dyDescent="0.25">
      <c r="A13738" s="1"/>
      <c r="B13738" s="1" t="s">
        <v>5782</v>
      </c>
      <c r="C13738" s="1" t="s">
        <v>5783</v>
      </c>
      <c r="D13738" s="22" t="str">
        <f>HYPERLINK("https://rhld.insurance.arkansas.gov/NPILookup?Npi=1235625617","1235625617")</f>
        <v>1235625617</v>
      </c>
      <c r="E13738" s="1" t="s">
        <v>11600</v>
      </c>
      <c r="F13738" s="2"/>
      <c r="G13738" s="2"/>
      <c r="H13738" s="2"/>
    </row>
    <row r="13739" spans="1:8" x14ac:dyDescent="0.25">
      <c r="A13739" s="1"/>
      <c r="B13739" s="1" t="s">
        <v>5782</v>
      </c>
      <c r="C13739" s="1" t="s">
        <v>5783</v>
      </c>
      <c r="D13739" s="22" t="str">
        <f>HYPERLINK("https://rhld.insurance.arkansas.gov/NPILookup?Npi=1235645508","1235645508")</f>
        <v>1235645508</v>
      </c>
      <c r="E13739" s="1" t="s">
        <v>3230</v>
      </c>
      <c r="F13739" s="2"/>
      <c r="G13739" s="2"/>
      <c r="H13739" s="2"/>
    </row>
    <row r="13740" spans="1:8" x14ac:dyDescent="0.25">
      <c r="A13740" s="1"/>
      <c r="B13740" s="1" t="s">
        <v>5782</v>
      </c>
      <c r="C13740" s="1" t="s">
        <v>5783</v>
      </c>
      <c r="D13740" s="22" t="str">
        <f>HYPERLINK("https://rhld.insurance.arkansas.gov/NPILookup?Npi=1235647801","1235647801")</f>
        <v>1235647801</v>
      </c>
      <c r="E13740" s="1" t="s">
        <v>6069</v>
      </c>
      <c r="F13740" s="2"/>
      <c r="G13740" s="2"/>
      <c r="H13740" s="2"/>
    </row>
    <row r="13741" spans="1:8" x14ac:dyDescent="0.25">
      <c r="A13741" s="1"/>
      <c r="B13741" s="1" t="s">
        <v>5782</v>
      </c>
      <c r="C13741" s="1" t="s">
        <v>5783</v>
      </c>
      <c r="D13741" s="22" t="str">
        <f>HYPERLINK("https://rhld.insurance.arkansas.gov/NPILookup?Npi=1235649450","1235649450")</f>
        <v>1235649450</v>
      </c>
      <c r="E13741" s="1" t="s">
        <v>6070</v>
      </c>
      <c r="F13741" s="2"/>
      <c r="G13741" s="2"/>
      <c r="H13741" s="2"/>
    </row>
    <row r="13742" spans="1:8" x14ac:dyDescent="0.25">
      <c r="A13742" s="1"/>
      <c r="B13742" s="1" t="s">
        <v>5782</v>
      </c>
      <c r="C13742" s="1" t="s">
        <v>5783</v>
      </c>
      <c r="D13742" s="22" t="str">
        <f>HYPERLINK("https://rhld.insurance.arkansas.gov/NPILookup?Npi=1235661919","1235661919")</f>
        <v>1235661919</v>
      </c>
      <c r="E13742" s="1" t="s">
        <v>6071</v>
      </c>
      <c r="F13742" s="2"/>
      <c r="G13742" s="2"/>
      <c r="H13742" s="2"/>
    </row>
    <row r="13743" spans="1:8" x14ac:dyDescent="0.25">
      <c r="A13743" s="1"/>
      <c r="B13743" s="1" t="s">
        <v>5782</v>
      </c>
      <c r="C13743" s="1" t="s">
        <v>5783</v>
      </c>
      <c r="D13743" s="22" t="str">
        <f>HYPERLINK("https://rhld.insurance.arkansas.gov/NPILookup?Npi=1235695529","1235695529")</f>
        <v>1235695529</v>
      </c>
      <c r="E13743" s="1" t="s">
        <v>11601</v>
      </c>
      <c r="F13743" s="2"/>
      <c r="G13743" s="2"/>
      <c r="H13743" s="2"/>
    </row>
    <row r="13744" spans="1:8" x14ac:dyDescent="0.25">
      <c r="A13744" s="1"/>
      <c r="B13744" s="1" t="s">
        <v>5782</v>
      </c>
      <c r="C13744" s="1" t="s">
        <v>5783</v>
      </c>
      <c r="D13744" s="22" t="str">
        <f>HYPERLINK("https://rhld.insurance.arkansas.gov/NPILookup?Npi=1235702325","1235702325")</f>
        <v>1235702325</v>
      </c>
      <c r="E13744" s="1" t="s">
        <v>6072</v>
      </c>
      <c r="F13744" s="2"/>
      <c r="G13744" s="2"/>
      <c r="H13744" s="2"/>
    </row>
    <row r="13745" spans="1:8" x14ac:dyDescent="0.25">
      <c r="A13745" s="1"/>
      <c r="B13745" s="1" t="s">
        <v>5782</v>
      </c>
      <c r="C13745" s="1" t="s">
        <v>5783</v>
      </c>
      <c r="D13745" s="22" t="str">
        <f>HYPERLINK("https://rhld.insurance.arkansas.gov/NPILookup?Npi=1235705054","1235705054")</f>
        <v>1235705054</v>
      </c>
      <c r="E13745" s="1" t="s">
        <v>2467</v>
      </c>
      <c r="F13745" s="2"/>
      <c r="G13745" s="2"/>
      <c r="H13745" s="2"/>
    </row>
    <row r="13746" spans="1:8" x14ac:dyDescent="0.25">
      <c r="A13746" s="1"/>
      <c r="B13746" s="1" t="s">
        <v>5782</v>
      </c>
      <c r="C13746" s="1" t="s">
        <v>5783</v>
      </c>
      <c r="D13746" s="22" t="str">
        <f>HYPERLINK("https://rhld.insurance.arkansas.gov/NPILookup?Npi=1235705989","1235705989")</f>
        <v>1235705989</v>
      </c>
      <c r="E13746" s="1" t="s">
        <v>21597</v>
      </c>
      <c r="F13746" s="2"/>
      <c r="G13746" s="2"/>
      <c r="H13746" s="2"/>
    </row>
    <row r="13747" spans="1:8" x14ac:dyDescent="0.25">
      <c r="A13747" s="1"/>
      <c r="B13747" s="1" t="s">
        <v>5782</v>
      </c>
      <c r="C13747" s="1" t="s">
        <v>5783</v>
      </c>
      <c r="D13747" s="22" t="str">
        <f>HYPERLINK("https://rhld.insurance.arkansas.gov/NPILookup?Npi=1235739194","1235739194")</f>
        <v>1235739194</v>
      </c>
      <c r="E13747" s="1" t="s">
        <v>1853</v>
      </c>
      <c r="F13747" s="2"/>
      <c r="G13747" s="2"/>
      <c r="H13747" s="2"/>
    </row>
    <row r="13748" spans="1:8" x14ac:dyDescent="0.25">
      <c r="A13748" s="1"/>
      <c r="B13748" s="1" t="s">
        <v>5782</v>
      </c>
      <c r="C13748" s="1" t="s">
        <v>5783</v>
      </c>
      <c r="D13748" s="22" t="str">
        <f>HYPERLINK("https://rhld.insurance.arkansas.gov/NPILookup?Npi=1235750399","1235750399")</f>
        <v>1235750399</v>
      </c>
      <c r="E13748" s="1" t="s">
        <v>11602</v>
      </c>
      <c r="F13748" s="2"/>
      <c r="G13748" s="2"/>
      <c r="H13748" s="2"/>
    </row>
    <row r="13749" spans="1:8" x14ac:dyDescent="0.25">
      <c r="A13749" s="1"/>
      <c r="B13749" s="1" t="s">
        <v>5782</v>
      </c>
      <c r="C13749" s="1" t="s">
        <v>5783</v>
      </c>
      <c r="D13749" s="22" t="str">
        <f>HYPERLINK("https://rhld.insurance.arkansas.gov/NPILookup?Npi=1235755638","1235755638")</f>
        <v>1235755638</v>
      </c>
      <c r="E13749" s="1" t="s">
        <v>21598</v>
      </c>
      <c r="F13749" s="2"/>
      <c r="G13749" s="2"/>
      <c r="H13749" s="2"/>
    </row>
    <row r="13750" spans="1:8" x14ac:dyDescent="0.25">
      <c r="A13750" s="1"/>
      <c r="B13750" s="1" t="s">
        <v>5782</v>
      </c>
      <c r="C13750" s="1" t="s">
        <v>5783</v>
      </c>
      <c r="D13750" s="22" t="str">
        <f>HYPERLINK("https://rhld.insurance.arkansas.gov/NPILookup?Npi=1235757816","1235757816")</f>
        <v>1235757816</v>
      </c>
      <c r="E13750" s="1" t="s">
        <v>21599</v>
      </c>
      <c r="F13750" s="2"/>
      <c r="G13750" s="2"/>
      <c r="H13750" s="2"/>
    </row>
    <row r="13751" spans="1:8" x14ac:dyDescent="0.25">
      <c r="A13751" s="1"/>
      <c r="B13751" s="1" t="s">
        <v>5782</v>
      </c>
      <c r="C13751" s="1" t="s">
        <v>5783</v>
      </c>
      <c r="D13751" s="22" t="str">
        <f>HYPERLINK("https://rhld.insurance.arkansas.gov/NPILookup?Npi=1235769332","1235769332")</f>
        <v>1235769332</v>
      </c>
      <c r="E13751" s="1" t="s">
        <v>6073</v>
      </c>
      <c r="F13751" s="2"/>
      <c r="G13751" s="2"/>
      <c r="H13751" s="2"/>
    </row>
    <row r="13752" spans="1:8" x14ac:dyDescent="0.25">
      <c r="A13752" s="1"/>
      <c r="B13752" s="1" t="s">
        <v>5782</v>
      </c>
      <c r="C13752" s="1" t="s">
        <v>5783</v>
      </c>
      <c r="D13752" s="22" t="str">
        <f>HYPERLINK("https://rhld.insurance.arkansas.gov/NPILookup?Npi=1235781931","1235781931")</f>
        <v>1235781931</v>
      </c>
      <c r="E13752" s="1" t="s">
        <v>21600</v>
      </c>
      <c r="F13752" s="2"/>
      <c r="G13752" s="2"/>
      <c r="H13752" s="2"/>
    </row>
    <row r="13753" spans="1:8" x14ac:dyDescent="0.25">
      <c r="A13753" s="1"/>
      <c r="B13753" s="1" t="s">
        <v>5782</v>
      </c>
      <c r="C13753" s="1" t="s">
        <v>5783</v>
      </c>
      <c r="D13753" s="22" t="str">
        <f>HYPERLINK("https://rhld.insurance.arkansas.gov/NPILookup?Npi=1235786955","1235786955")</f>
        <v>1235786955</v>
      </c>
      <c r="E13753" s="1" t="s">
        <v>21601</v>
      </c>
      <c r="F13753" s="2"/>
      <c r="G13753" s="2"/>
      <c r="H13753" s="2"/>
    </row>
    <row r="13754" spans="1:8" x14ac:dyDescent="0.25">
      <c r="A13754" s="1"/>
      <c r="B13754" s="1" t="s">
        <v>5782</v>
      </c>
      <c r="C13754" s="1" t="s">
        <v>5783</v>
      </c>
      <c r="D13754" s="22" t="str">
        <f>HYPERLINK("https://rhld.insurance.arkansas.gov/NPILookup?Npi=1235795188","1235795188")</f>
        <v>1235795188</v>
      </c>
      <c r="E13754" s="1" t="s">
        <v>6074</v>
      </c>
      <c r="F13754" s="2"/>
      <c r="G13754" s="2"/>
      <c r="H13754" s="2"/>
    </row>
    <row r="13755" spans="1:8" x14ac:dyDescent="0.25">
      <c r="A13755" s="1"/>
      <c r="B13755" s="1" t="s">
        <v>5782</v>
      </c>
      <c r="C13755" s="1" t="s">
        <v>5783</v>
      </c>
      <c r="D13755" s="22" t="str">
        <f>HYPERLINK("https://rhld.insurance.arkansas.gov/NPILookup?Npi=1235807967","1235807967")</f>
        <v>1235807967</v>
      </c>
      <c r="E13755" s="1" t="s">
        <v>21602</v>
      </c>
      <c r="F13755" s="2"/>
      <c r="G13755" s="2"/>
      <c r="H13755" s="2"/>
    </row>
    <row r="13756" spans="1:8" x14ac:dyDescent="0.25">
      <c r="A13756" s="1"/>
      <c r="B13756" s="1" t="s">
        <v>5782</v>
      </c>
      <c r="C13756" s="1" t="s">
        <v>5783</v>
      </c>
      <c r="D13756" s="22" t="str">
        <f>HYPERLINK("https://rhld.insurance.arkansas.gov/NPILookup?Npi=1235811092","1235811092")</f>
        <v>1235811092</v>
      </c>
      <c r="E13756" s="1" t="s">
        <v>6075</v>
      </c>
      <c r="F13756" s="2"/>
      <c r="G13756" s="2"/>
      <c r="H13756" s="2"/>
    </row>
    <row r="13757" spans="1:8" x14ac:dyDescent="0.25">
      <c r="A13757" s="1"/>
      <c r="B13757" s="1" t="s">
        <v>5782</v>
      </c>
      <c r="C13757" s="1" t="s">
        <v>5783</v>
      </c>
      <c r="D13757" s="22" t="str">
        <f>HYPERLINK("https://rhld.insurance.arkansas.gov/NPILookup?Npi=1235845017","1235845017")</f>
        <v>1235845017</v>
      </c>
      <c r="E13757" s="1" t="s">
        <v>6076</v>
      </c>
      <c r="F13757" s="2"/>
      <c r="G13757" s="2"/>
      <c r="H13757" s="2"/>
    </row>
    <row r="13758" spans="1:8" x14ac:dyDescent="0.25">
      <c r="A13758" s="1"/>
      <c r="B13758" s="1" t="s">
        <v>5782</v>
      </c>
      <c r="C13758" s="1" t="s">
        <v>5783</v>
      </c>
      <c r="D13758" s="22" t="str">
        <f>HYPERLINK("https://rhld.insurance.arkansas.gov/NPILookup?Npi=1235851973","1235851973")</f>
        <v>1235851973</v>
      </c>
      <c r="E13758" s="1" t="s">
        <v>6077</v>
      </c>
      <c r="F13758" s="2"/>
      <c r="G13758" s="2"/>
      <c r="H13758" s="2"/>
    </row>
    <row r="13759" spans="1:8" x14ac:dyDescent="0.25">
      <c r="A13759" s="1"/>
      <c r="B13759" s="1" t="s">
        <v>5782</v>
      </c>
      <c r="C13759" s="1" t="s">
        <v>5783</v>
      </c>
      <c r="D13759" s="22" t="str">
        <f>HYPERLINK("https://rhld.insurance.arkansas.gov/NPILookup?Npi=1235863135","1235863135")</f>
        <v>1235863135</v>
      </c>
      <c r="E13759" s="1" t="s">
        <v>31828</v>
      </c>
      <c r="F13759" s="2"/>
      <c r="G13759" s="2"/>
      <c r="H13759" s="2"/>
    </row>
    <row r="13760" spans="1:8" x14ac:dyDescent="0.25">
      <c r="A13760" s="1"/>
      <c r="B13760" s="1" t="s">
        <v>5782</v>
      </c>
      <c r="C13760" s="1" t="s">
        <v>5783</v>
      </c>
      <c r="D13760" s="22" t="str">
        <f>HYPERLINK("https://rhld.insurance.arkansas.gov/NPILookup?Npi=1235866658","1235866658")</f>
        <v>1235866658</v>
      </c>
      <c r="E13760" s="1" t="s">
        <v>31829</v>
      </c>
      <c r="F13760" s="2"/>
      <c r="G13760" s="2"/>
      <c r="H13760" s="2"/>
    </row>
    <row r="13761" spans="1:8" x14ac:dyDescent="0.25">
      <c r="A13761" s="1"/>
      <c r="B13761" s="1" t="s">
        <v>5782</v>
      </c>
      <c r="C13761" s="1" t="s">
        <v>5783</v>
      </c>
      <c r="D13761" s="22" t="str">
        <f>HYPERLINK("https://rhld.insurance.arkansas.gov/NPILookup?Npi=1235873878","1235873878")</f>
        <v>1235873878</v>
      </c>
      <c r="E13761" s="1" t="s">
        <v>21603</v>
      </c>
      <c r="F13761" s="2"/>
      <c r="G13761" s="2"/>
      <c r="H13761" s="2"/>
    </row>
    <row r="13762" spans="1:8" x14ac:dyDescent="0.25">
      <c r="A13762" s="1"/>
      <c r="B13762" s="1" t="s">
        <v>5782</v>
      </c>
      <c r="C13762" s="1" t="s">
        <v>5783</v>
      </c>
      <c r="D13762" s="22" t="str">
        <f>HYPERLINK("https://rhld.insurance.arkansas.gov/NPILookup?Npi=1235894023","1235894023")</f>
        <v>1235894023</v>
      </c>
      <c r="E13762" s="1" t="s">
        <v>6079</v>
      </c>
      <c r="F13762" s="2"/>
      <c r="G13762" s="2"/>
      <c r="H13762" s="2"/>
    </row>
    <row r="13763" spans="1:8" x14ac:dyDescent="0.25">
      <c r="A13763" s="1"/>
      <c r="B13763" s="1" t="s">
        <v>5782</v>
      </c>
      <c r="C13763" s="1" t="s">
        <v>5783</v>
      </c>
      <c r="D13763" s="22" t="str">
        <f>HYPERLINK("https://rhld.insurance.arkansas.gov/NPILookup?Npi=1235895541","1235895541")</f>
        <v>1235895541</v>
      </c>
      <c r="E13763" s="1" t="s">
        <v>21604</v>
      </c>
      <c r="F13763" s="2"/>
      <c r="G13763" s="2"/>
      <c r="H13763" s="2"/>
    </row>
    <row r="13764" spans="1:8" x14ac:dyDescent="0.25">
      <c r="A13764" s="1"/>
      <c r="B13764" s="1" t="s">
        <v>5782</v>
      </c>
      <c r="C13764" s="1" t="s">
        <v>5783</v>
      </c>
      <c r="D13764" s="22" t="str">
        <f>HYPERLINK("https://rhld.insurance.arkansas.gov/NPILookup?Npi=1235941097","1235941097")</f>
        <v>1235941097</v>
      </c>
      <c r="E13764" s="1" t="s">
        <v>31830</v>
      </c>
      <c r="F13764" s="2"/>
      <c r="G13764" s="2"/>
      <c r="H13764" s="2"/>
    </row>
    <row r="13765" spans="1:8" x14ac:dyDescent="0.25">
      <c r="A13765" s="1"/>
      <c r="B13765" s="1" t="s">
        <v>5782</v>
      </c>
      <c r="C13765" s="1" t="s">
        <v>5783</v>
      </c>
      <c r="D13765" s="22" t="str">
        <f>HYPERLINK("https://rhld.insurance.arkansas.gov/NPILookup?Npi=1235942897","1235942897")</f>
        <v>1235942897</v>
      </c>
      <c r="E13765" s="1" t="s">
        <v>31831</v>
      </c>
      <c r="F13765" s="2"/>
      <c r="G13765" s="2"/>
      <c r="H13765" s="2"/>
    </row>
    <row r="13766" spans="1:8" x14ac:dyDescent="0.25">
      <c r="A13766" s="1"/>
      <c r="B13766" s="1" t="s">
        <v>5782</v>
      </c>
      <c r="C13766" s="1" t="s">
        <v>5783</v>
      </c>
      <c r="D13766" s="22" t="str">
        <f>HYPERLINK("https://rhld.insurance.arkansas.gov/NPILookup?Npi=1245014984","1245014984")</f>
        <v>1245014984</v>
      </c>
      <c r="E13766" s="1" t="s">
        <v>6080</v>
      </c>
      <c r="F13766" s="2"/>
      <c r="G13766" s="2"/>
      <c r="H13766" s="2"/>
    </row>
    <row r="13767" spans="1:8" x14ac:dyDescent="0.25">
      <c r="A13767" s="1"/>
      <c r="B13767" s="1" t="s">
        <v>5782</v>
      </c>
      <c r="C13767" s="1" t="s">
        <v>5783</v>
      </c>
      <c r="D13767" s="22" t="str">
        <f>HYPERLINK("https://rhld.insurance.arkansas.gov/NPILookup?Npi=1245043017","1245043017")</f>
        <v>1245043017</v>
      </c>
      <c r="E13767" s="1" t="s">
        <v>31832</v>
      </c>
      <c r="F13767" s="2"/>
      <c r="G13767" s="2"/>
      <c r="H13767" s="2"/>
    </row>
    <row r="13768" spans="1:8" x14ac:dyDescent="0.25">
      <c r="A13768" s="1"/>
      <c r="B13768" s="1" t="s">
        <v>5782</v>
      </c>
      <c r="C13768" s="1" t="s">
        <v>5783</v>
      </c>
      <c r="D13768" s="22" t="str">
        <f>HYPERLINK("https://rhld.insurance.arkansas.gov/NPILookup?Npi=1245096346","1245096346")</f>
        <v>1245096346</v>
      </c>
      <c r="E13768" s="1" t="s">
        <v>21605</v>
      </c>
      <c r="F13768" s="2"/>
      <c r="G13768" s="2"/>
      <c r="H13768" s="2"/>
    </row>
    <row r="13769" spans="1:8" x14ac:dyDescent="0.25">
      <c r="A13769" s="1"/>
      <c r="B13769" s="1" t="s">
        <v>5782</v>
      </c>
      <c r="C13769" s="1" t="s">
        <v>5783</v>
      </c>
      <c r="D13769" s="22" t="str">
        <f>HYPERLINK("https://rhld.insurance.arkansas.gov/NPILookup?Npi=1245225259","1245225259")</f>
        <v>1245225259</v>
      </c>
      <c r="E13769" s="1" t="s">
        <v>2468</v>
      </c>
      <c r="F13769" s="2"/>
      <c r="G13769" s="2"/>
      <c r="H13769" s="2"/>
    </row>
    <row r="13770" spans="1:8" x14ac:dyDescent="0.25">
      <c r="A13770" s="1"/>
      <c r="B13770" s="1" t="s">
        <v>5782</v>
      </c>
      <c r="C13770" s="1" t="s">
        <v>5783</v>
      </c>
      <c r="D13770" s="22" t="str">
        <f>HYPERLINK("https://rhld.insurance.arkansas.gov/NPILookup?Npi=1245274562","1245274562")</f>
        <v>1245274562</v>
      </c>
      <c r="E13770" s="1" t="s">
        <v>21606</v>
      </c>
      <c r="F13770" s="2"/>
      <c r="G13770" s="2"/>
      <c r="H13770" s="2"/>
    </row>
    <row r="13771" spans="1:8" x14ac:dyDescent="0.25">
      <c r="A13771" s="1"/>
      <c r="B13771" s="1" t="s">
        <v>5782</v>
      </c>
      <c r="C13771" s="1" t="s">
        <v>5783</v>
      </c>
      <c r="D13771" s="22" t="str">
        <f>HYPERLINK("https://rhld.insurance.arkansas.gov/NPILookup?Npi=1245280825","1245280825")</f>
        <v>1245280825</v>
      </c>
      <c r="E13771" s="1" t="s">
        <v>11603</v>
      </c>
      <c r="F13771" s="2"/>
      <c r="G13771" s="2"/>
      <c r="H13771" s="2"/>
    </row>
    <row r="13772" spans="1:8" x14ac:dyDescent="0.25">
      <c r="A13772" s="1"/>
      <c r="B13772" s="1" t="s">
        <v>5782</v>
      </c>
      <c r="C13772" s="1" t="s">
        <v>5783</v>
      </c>
      <c r="D13772" s="22" t="str">
        <f>HYPERLINK("https://rhld.insurance.arkansas.gov/NPILookup?Npi=1245283415","1245283415")</f>
        <v>1245283415</v>
      </c>
      <c r="E13772" s="1" t="s">
        <v>21607</v>
      </c>
      <c r="F13772" s="2"/>
      <c r="G13772" s="2"/>
      <c r="H13772" s="2"/>
    </row>
    <row r="13773" spans="1:8" x14ac:dyDescent="0.25">
      <c r="A13773" s="1"/>
      <c r="B13773" s="1" t="s">
        <v>5782</v>
      </c>
      <c r="C13773" s="1" t="s">
        <v>5783</v>
      </c>
      <c r="D13773" s="22" t="str">
        <f>HYPERLINK("https://rhld.insurance.arkansas.gov/NPILookup?Npi=1245291970","1245291970")</f>
        <v>1245291970</v>
      </c>
      <c r="E13773" s="1" t="s">
        <v>21608</v>
      </c>
      <c r="F13773" s="2"/>
      <c r="G13773" s="2"/>
      <c r="H13773" s="2"/>
    </row>
    <row r="13774" spans="1:8" x14ac:dyDescent="0.25">
      <c r="A13774" s="1"/>
      <c r="B13774" s="1" t="s">
        <v>5782</v>
      </c>
      <c r="C13774" s="1" t="s">
        <v>5783</v>
      </c>
      <c r="D13774" s="22" t="str">
        <f>HYPERLINK("https://rhld.insurance.arkansas.gov/NPILookup?Npi=1245318781","1245318781")</f>
        <v>1245318781</v>
      </c>
      <c r="E13774" s="1" t="s">
        <v>2167</v>
      </c>
      <c r="F13774" s="2"/>
      <c r="G13774" s="2"/>
      <c r="H13774" s="2"/>
    </row>
    <row r="13775" spans="1:8" x14ac:dyDescent="0.25">
      <c r="A13775" s="1"/>
      <c r="B13775" s="1" t="s">
        <v>5782</v>
      </c>
      <c r="C13775" s="1" t="s">
        <v>5783</v>
      </c>
      <c r="D13775" s="22" t="str">
        <f>HYPERLINK("https://rhld.insurance.arkansas.gov/NPILookup?Npi=1245356799","1245356799")</f>
        <v>1245356799</v>
      </c>
      <c r="E13775" s="1" t="s">
        <v>21609</v>
      </c>
      <c r="F13775" s="2"/>
      <c r="G13775" s="2"/>
      <c r="H13775" s="2"/>
    </row>
    <row r="13776" spans="1:8" x14ac:dyDescent="0.25">
      <c r="A13776" s="1"/>
      <c r="B13776" s="1" t="s">
        <v>5782</v>
      </c>
      <c r="C13776" s="1" t="s">
        <v>5783</v>
      </c>
      <c r="D13776" s="22" t="str">
        <f>HYPERLINK("https://rhld.insurance.arkansas.gov/NPILookup?Npi=1245359645","1245359645")</f>
        <v>1245359645</v>
      </c>
      <c r="E13776" s="1" t="s">
        <v>384</v>
      </c>
      <c r="F13776" s="2"/>
      <c r="G13776" s="2"/>
      <c r="H13776" s="2"/>
    </row>
    <row r="13777" spans="1:8" x14ac:dyDescent="0.25">
      <c r="A13777" s="1"/>
      <c r="B13777" s="1" t="s">
        <v>5782</v>
      </c>
      <c r="C13777" s="1" t="s">
        <v>5783</v>
      </c>
      <c r="D13777" s="22" t="str">
        <f>HYPERLINK("https://rhld.insurance.arkansas.gov/NPILookup?Npi=1245420520","1245420520")</f>
        <v>1245420520</v>
      </c>
      <c r="E13777" s="1" t="s">
        <v>21610</v>
      </c>
      <c r="F13777" s="2"/>
      <c r="G13777" s="2"/>
      <c r="H13777" s="2"/>
    </row>
    <row r="13778" spans="1:8" x14ac:dyDescent="0.25">
      <c r="A13778" s="1"/>
      <c r="B13778" s="1" t="s">
        <v>5782</v>
      </c>
      <c r="C13778" s="1" t="s">
        <v>5783</v>
      </c>
      <c r="D13778" s="22" t="str">
        <f>HYPERLINK("https://rhld.insurance.arkansas.gov/NPILookup?Npi=1245428242","1245428242")</f>
        <v>1245428242</v>
      </c>
      <c r="E13778" s="1" t="s">
        <v>21611</v>
      </c>
      <c r="F13778" s="2"/>
      <c r="G13778" s="2"/>
      <c r="H13778" s="2"/>
    </row>
    <row r="13779" spans="1:8" x14ac:dyDescent="0.25">
      <c r="A13779" s="1"/>
      <c r="B13779" s="1" t="s">
        <v>5782</v>
      </c>
      <c r="C13779" s="1" t="s">
        <v>5783</v>
      </c>
      <c r="D13779" s="22" t="str">
        <f>HYPERLINK("https://rhld.insurance.arkansas.gov/NPILookup?Npi=1245435544","1245435544")</f>
        <v>1245435544</v>
      </c>
      <c r="E13779" s="1" t="s">
        <v>3232</v>
      </c>
      <c r="F13779" s="2"/>
      <c r="G13779" s="2"/>
      <c r="H13779" s="2"/>
    </row>
    <row r="13780" spans="1:8" x14ac:dyDescent="0.25">
      <c r="A13780" s="1"/>
      <c r="B13780" s="1" t="s">
        <v>5782</v>
      </c>
      <c r="C13780" s="1" t="s">
        <v>5783</v>
      </c>
      <c r="D13780" s="22" t="str">
        <f>HYPERLINK("https://rhld.insurance.arkansas.gov/NPILookup?Npi=1245436161","1245436161")</f>
        <v>1245436161</v>
      </c>
      <c r="E13780" s="1" t="s">
        <v>5831</v>
      </c>
      <c r="F13780" s="2"/>
      <c r="G13780" s="2"/>
      <c r="H13780" s="2"/>
    </row>
    <row r="13781" spans="1:8" x14ac:dyDescent="0.25">
      <c r="A13781" s="1"/>
      <c r="B13781" s="1" t="s">
        <v>5782</v>
      </c>
      <c r="C13781" s="1" t="s">
        <v>5783</v>
      </c>
      <c r="D13781" s="22" t="str">
        <f>HYPERLINK("https://rhld.insurance.arkansas.gov/NPILookup?Npi=1245440403","1245440403")</f>
        <v>1245440403</v>
      </c>
      <c r="E13781" s="1" t="s">
        <v>21612</v>
      </c>
      <c r="F13781" s="2"/>
      <c r="G13781" s="2"/>
      <c r="H13781" s="2"/>
    </row>
    <row r="13782" spans="1:8" x14ac:dyDescent="0.25">
      <c r="A13782" s="1"/>
      <c r="B13782" s="1" t="s">
        <v>5782</v>
      </c>
      <c r="C13782" s="1" t="s">
        <v>5783</v>
      </c>
      <c r="D13782" s="22" t="str">
        <f>HYPERLINK("https://rhld.insurance.arkansas.gov/NPILookup?Npi=1245454347","1245454347")</f>
        <v>1245454347</v>
      </c>
      <c r="E13782" s="1" t="s">
        <v>21613</v>
      </c>
      <c r="F13782" s="2"/>
      <c r="G13782" s="2"/>
      <c r="H13782" s="2"/>
    </row>
    <row r="13783" spans="1:8" x14ac:dyDescent="0.25">
      <c r="A13783" s="1"/>
      <c r="B13783" s="1" t="s">
        <v>5782</v>
      </c>
      <c r="C13783" s="1" t="s">
        <v>5783</v>
      </c>
      <c r="D13783" s="22" t="str">
        <f>HYPERLINK("https://rhld.insurance.arkansas.gov/NPILookup?Npi=1245472026","1245472026")</f>
        <v>1245472026</v>
      </c>
      <c r="E13783" s="1" t="s">
        <v>21614</v>
      </c>
      <c r="F13783" s="2"/>
      <c r="G13783" s="2"/>
      <c r="H13783" s="2"/>
    </row>
    <row r="13784" spans="1:8" x14ac:dyDescent="0.25">
      <c r="A13784" s="1"/>
      <c r="B13784" s="1" t="s">
        <v>5782</v>
      </c>
      <c r="C13784" s="1" t="s">
        <v>5783</v>
      </c>
      <c r="D13784" s="22" t="str">
        <f>HYPERLINK("https://rhld.insurance.arkansas.gov/NPILookup?Npi=1245481522","1245481522")</f>
        <v>1245481522</v>
      </c>
      <c r="E13784" s="1" t="s">
        <v>21615</v>
      </c>
      <c r="F13784" s="2"/>
      <c r="G13784" s="2"/>
      <c r="H13784" s="2"/>
    </row>
    <row r="13785" spans="1:8" x14ac:dyDescent="0.25">
      <c r="A13785" s="1"/>
      <c r="B13785" s="1" t="s">
        <v>5782</v>
      </c>
      <c r="C13785" s="1" t="s">
        <v>5783</v>
      </c>
      <c r="D13785" s="22" t="str">
        <f>HYPERLINK("https://rhld.insurance.arkansas.gov/NPILookup?Npi=1245481563","1245481563")</f>
        <v>1245481563</v>
      </c>
      <c r="E13785" s="1" t="s">
        <v>21616</v>
      </c>
      <c r="F13785" s="2"/>
      <c r="G13785" s="2"/>
      <c r="H13785" s="2"/>
    </row>
    <row r="13786" spans="1:8" x14ac:dyDescent="0.25">
      <c r="A13786" s="1"/>
      <c r="B13786" s="1" t="s">
        <v>5782</v>
      </c>
      <c r="C13786" s="1" t="s">
        <v>5783</v>
      </c>
      <c r="D13786" s="22" t="str">
        <f>HYPERLINK("https://rhld.insurance.arkansas.gov/NPILookup?Npi=1245489350","1245489350")</f>
        <v>1245489350</v>
      </c>
      <c r="E13786" s="1" t="s">
        <v>928</v>
      </c>
      <c r="F13786" s="2"/>
      <c r="G13786" s="2"/>
      <c r="H13786" s="2"/>
    </row>
    <row r="13787" spans="1:8" x14ac:dyDescent="0.25">
      <c r="A13787" s="1"/>
      <c r="B13787" s="1" t="s">
        <v>5782</v>
      </c>
      <c r="C13787" s="1" t="s">
        <v>5783</v>
      </c>
      <c r="D13787" s="22" t="str">
        <f>HYPERLINK("https://rhld.insurance.arkansas.gov/NPILookup?Npi=1245527761","1245527761")</f>
        <v>1245527761</v>
      </c>
      <c r="E13787" s="1" t="s">
        <v>11604</v>
      </c>
      <c r="F13787" s="2"/>
      <c r="G13787" s="2"/>
      <c r="H13787" s="2"/>
    </row>
    <row r="13788" spans="1:8" x14ac:dyDescent="0.25">
      <c r="A13788" s="1"/>
      <c r="B13788" s="1" t="s">
        <v>5782</v>
      </c>
      <c r="C13788" s="1" t="s">
        <v>5783</v>
      </c>
      <c r="D13788" s="22" t="str">
        <f>HYPERLINK("https://rhld.insurance.arkansas.gov/NPILookup?Npi=1245529817","1245529817")</f>
        <v>1245529817</v>
      </c>
      <c r="E13788" s="1" t="s">
        <v>21617</v>
      </c>
      <c r="F13788" s="2"/>
      <c r="G13788" s="2"/>
      <c r="H13788" s="2"/>
    </row>
    <row r="13789" spans="1:8" x14ac:dyDescent="0.25">
      <c r="A13789" s="1"/>
      <c r="B13789" s="1" t="s">
        <v>5782</v>
      </c>
      <c r="C13789" s="1" t="s">
        <v>5783</v>
      </c>
      <c r="D13789" s="22" t="str">
        <f>HYPERLINK("https://rhld.insurance.arkansas.gov/NPILookup?Npi=1245531227","1245531227")</f>
        <v>1245531227</v>
      </c>
      <c r="E13789" s="1" t="s">
        <v>372</v>
      </c>
      <c r="F13789" s="2"/>
      <c r="G13789" s="2"/>
      <c r="H13789" s="2"/>
    </row>
    <row r="13790" spans="1:8" x14ac:dyDescent="0.25">
      <c r="A13790" s="1"/>
      <c r="B13790" s="1" t="s">
        <v>5782</v>
      </c>
      <c r="C13790" s="1" t="s">
        <v>5783</v>
      </c>
      <c r="D13790" s="22" t="str">
        <f>HYPERLINK("https://rhld.insurance.arkansas.gov/NPILookup?Npi=1245532894","1245532894")</f>
        <v>1245532894</v>
      </c>
      <c r="E13790" s="1" t="s">
        <v>21618</v>
      </c>
      <c r="F13790" s="2"/>
      <c r="G13790" s="2"/>
      <c r="H13790" s="2"/>
    </row>
    <row r="13791" spans="1:8" x14ac:dyDescent="0.25">
      <c r="A13791" s="1"/>
      <c r="B13791" s="1" t="s">
        <v>5782</v>
      </c>
      <c r="C13791" s="1" t="s">
        <v>5783</v>
      </c>
      <c r="D13791" s="22" t="str">
        <f>HYPERLINK("https://rhld.insurance.arkansas.gov/NPILookup?Npi=1245560671","1245560671")</f>
        <v>1245560671</v>
      </c>
      <c r="E13791" s="1" t="s">
        <v>21619</v>
      </c>
      <c r="F13791" s="2"/>
      <c r="G13791" s="2"/>
      <c r="H13791" s="2"/>
    </row>
    <row r="13792" spans="1:8" x14ac:dyDescent="0.25">
      <c r="A13792" s="1"/>
      <c r="B13792" s="1" t="s">
        <v>5782</v>
      </c>
      <c r="C13792" s="1" t="s">
        <v>5783</v>
      </c>
      <c r="D13792" s="22" t="str">
        <f>HYPERLINK("https://rhld.insurance.arkansas.gov/NPILookup?Npi=1245579127","1245579127")</f>
        <v>1245579127</v>
      </c>
      <c r="E13792" s="1" t="s">
        <v>21620</v>
      </c>
      <c r="F13792" s="2"/>
      <c r="G13792" s="2"/>
      <c r="H13792" s="2"/>
    </row>
    <row r="13793" spans="1:8" x14ac:dyDescent="0.25">
      <c r="A13793" s="1"/>
      <c r="B13793" s="1" t="s">
        <v>5782</v>
      </c>
      <c r="C13793" s="1" t="s">
        <v>5783</v>
      </c>
      <c r="D13793" s="22" t="str">
        <f>HYPERLINK("https://rhld.insurance.arkansas.gov/NPILookup?Npi=1245605096","1245605096")</f>
        <v>1245605096</v>
      </c>
      <c r="E13793" s="1" t="s">
        <v>1568</v>
      </c>
      <c r="F13793" s="2"/>
      <c r="G13793" s="2"/>
      <c r="H13793" s="2"/>
    </row>
    <row r="13794" spans="1:8" x14ac:dyDescent="0.25">
      <c r="A13794" s="1"/>
      <c r="B13794" s="1" t="s">
        <v>5782</v>
      </c>
      <c r="C13794" s="1" t="s">
        <v>5783</v>
      </c>
      <c r="D13794" s="22" t="str">
        <f>HYPERLINK("https://rhld.insurance.arkansas.gov/NPILookup?Npi=1245618354","1245618354")</f>
        <v>1245618354</v>
      </c>
      <c r="E13794" s="1" t="s">
        <v>12154</v>
      </c>
      <c r="F13794" s="2"/>
      <c r="G13794" s="2"/>
      <c r="H13794" s="2"/>
    </row>
    <row r="13795" spans="1:8" x14ac:dyDescent="0.25">
      <c r="A13795" s="1"/>
      <c r="B13795" s="1" t="s">
        <v>5782</v>
      </c>
      <c r="C13795" s="1" t="s">
        <v>5783</v>
      </c>
      <c r="D13795" s="22" t="str">
        <f>HYPERLINK("https://rhld.insurance.arkansas.gov/NPILookup?Npi=1245619758","1245619758")</f>
        <v>1245619758</v>
      </c>
      <c r="E13795" s="1" t="s">
        <v>6081</v>
      </c>
      <c r="F13795" s="2"/>
      <c r="G13795" s="2"/>
      <c r="H13795" s="2"/>
    </row>
    <row r="13796" spans="1:8" x14ac:dyDescent="0.25">
      <c r="A13796" s="1"/>
      <c r="B13796" s="1" t="s">
        <v>5782</v>
      </c>
      <c r="C13796" s="1" t="s">
        <v>5783</v>
      </c>
      <c r="D13796" s="22" t="str">
        <f>HYPERLINK("https://rhld.insurance.arkansas.gov/NPILookup?Npi=1245644434","1245644434")</f>
        <v>1245644434</v>
      </c>
      <c r="E13796" s="1" t="s">
        <v>12087</v>
      </c>
      <c r="F13796" s="2"/>
      <c r="G13796" s="2"/>
      <c r="H13796" s="2"/>
    </row>
    <row r="13797" spans="1:8" x14ac:dyDescent="0.25">
      <c r="A13797" s="1"/>
      <c r="B13797" s="1" t="s">
        <v>5782</v>
      </c>
      <c r="C13797" s="1" t="s">
        <v>5783</v>
      </c>
      <c r="D13797" s="22" t="str">
        <f>HYPERLINK("https://rhld.insurance.arkansas.gov/NPILookup?Npi=1245656602","1245656602")</f>
        <v>1245656602</v>
      </c>
      <c r="E13797" s="1" t="s">
        <v>11605</v>
      </c>
      <c r="F13797" s="2"/>
      <c r="G13797" s="2"/>
      <c r="H13797" s="2"/>
    </row>
    <row r="13798" spans="1:8" x14ac:dyDescent="0.25">
      <c r="A13798" s="1"/>
      <c r="B13798" s="1" t="s">
        <v>5782</v>
      </c>
      <c r="C13798" s="1" t="s">
        <v>5783</v>
      </c>
      <c r="D13798" s="22" t="str">
        <f>HYPERLINK("https://rhld.insurance.arkansas.gov/NPILookup?Npi=1245659952","1245659952")</f>
        <v>1245659952</v>
      </c>
      <c r="E13798" s="1" t="s">
        <v>1424</v>
      </c>
      <c r="F13798" s="2"/>
      <c r="G13798" s="2"/>
      <c r="H13798" s="2"/>
    </row>
    <row r="13799" spans="1:8" x14ac:dyDescent="0.25">
      <c r="A13799" s="1"/>
      <c r="B13799" s="1" t="s">
        <v>5782</v>
      </c>
      <c r="C13799" s="1" t="s">
        <v>5783</v>
      </c>
      <c r="D13799" s="22" t="str">
        <f>HYPERLINK("https://rhld.insurance.arkansas.gov/NPILookup?Npi=1245661412","1245661412")</f>
        <v>1245661412</v>
      </c>
      <c r="E13799" s="1" t="s">
        <v>11606</v>
      </c>
      <c r="F13799" s="2"/>
      <c r="G13799" s="2"/>
      <c r="H13799" s="2"/>
    </row>
    <row r="13800" spans="1:8" x14ac:dyDescent="0.25">
      <c r="A13800" s="1"/>
      <c r="B13800" s="1" t="s">
        <v>5782</v>
      </c>
      <c r="C13800" s="1" t="s">
        <v>5783</v>
      </c>
      <c r="D13800" s="22" t="str">
        <f>HYPERLINK("https://rhld.insurance.arkansas.gov/NPILookup?Npi=1245667237","1245667237")</f>
        <v>1245667237</v>
      </c>
      <c r="E13800" s="1" t="s">
        <v>6082</v>
      </c>
      <c r="F13800" s="2"/>
      <c r="G13800" s="2"/>
      <c r="H13800" s="2"/>
    </row>
    <row r="13801" spans="1:8" x14ac:dyDescent="0.25">
      <c r="A13801" s="1"/>
      <c r="B13801" s="1" t="s">
        <v>5782</v>
      </c>
      <c r="C13801" s="1" t="s">
        <v>5783</v>
      </c>
      <c r="D13801" s="22" t="str">
        <f>HYPERLINK("https://rhld.insurance.arkansas.gov/NPILookup?Npi=1245669365","1245669365")</f>
        <v>1245669365</v>
      </c>
      <c r="E13801" s="1" t="s">
        <v>21622</v>
      </c>
      <c r="F13801" s="2"/>
      <c r="G13801" s="2"/>
      <c r="H13801" s="2"/>
    </row>
    <row r="13802" spans="1:8" x14ac:dyDescent="0.25">
      <c r="A13802" s="1"/>
      <c r="B13802" s="1" t="s">
        <v>5782</v>
      </c>
      <c r="C13802" s="1" t="s">
        <v>5783</v>
      </c>
      <c r="D13802" s="22" t="str">
        <f>HYPERLINK("https://rhld.insurance.arkansas.gov/NPILookup?Npi=1245673656","1245673656")</f>
        <v>1245673656</v>
      </c>
      <c r="E13802" s="1" t="s">
        <v>21623</v>
      </c>
      <c r="F13802" s="2"/>
      <c r="G13802" s="2"/>
      <c r="H13802" s="2"/>
    </row>
    <row r="13803" spans="1:8" x14ac:dyDescent="0.25">
      <c r="A13803" s="1"/>
      <c r="B13803" s="1" t="s">
        <v>5782</v>
      </c>
      <c r="C13803" s="1" t="s">
        <v>5783</v>
      </c>
      <c r="D13803" s="22" t="str">
        <f>HYPERLINK("https://rhld.insurance.arkansas.gov/NPILookup?Npi=1245680958","1245680958")</f>
        <v>1245680958</v>
      </c>
      <c r="E13803" s="1" t="s">
        <v>11607</v>
      </c>
      <c r="F13803" s="2"/>
      <c r="G13803" s="2"/>
      <c r="H13803" s="2"/>
    </row>
    <row r="13804" spans="1:8" x14ac:dyDescent="0.25">
      <c r="A13804" s="1"/>
      <c r="B13804" s="1" t="s">
        <v>5782</v>
      </c>
      <c r="C13804" s="1" t="s">
        <v>5783</v>
      </c>
      <c r="D13804" s="22" t="str">
        <f>HYPERLINK("https://rhld.insurance.arkansas.gov/NPILookup?Npi=1245681774","1245681774")</f>
        <v>1245681774</v>
      </c>
      <c r="E13804" s="1" t="s">
        <v>11608</v>
      </c>
      <c r="F13804" s="2"/>
      <c r="G13804" s="2"/>
      <c r="H13804" s="2"/>
    </row>
    <row r="13805" spans="1:8" x14ac:dyDescent="0.25">
      <c r="A13805" s="1"/>
      <c r="B13805" s="1" t="s">
        <v>5782</v>
      </c>
      <c r="C13805" s="1" t="s">
        <v>5783</v>
      </c>
      <c r="D13805" s="22" t="str">
        <f>HYPERLINK("https://rhld.insurance.arkansas.gov/NPILookup?Npi=1245684356","1245684356")</f>
        <v>1245684356</v>
      </c>
      <c r="E13805" s="1" t="s">
        <v>21386</v>
      </c>
      <c r="F13805" s="2"/>
      <c r="G13805" s="2"/>
      <c r="H13805" s="2"/>
    </row>
    <row r="13806" spans="1:8" x14ac:dyDescent="0.25">
      <c r="A13806" s="1"/>
      <c r="B13806" s="1" t="s">
        <v>5782</v>
      </c>
      <c r="C13806" s="1" t="s">
        <v>5783</v>
      </c>
      <c r="D13806" s="22" t="str">
        <f>HYPERLINK("https://rhld.insurance.arkansas.gov/NPILookup?Npi=1245708627","1245708627")</f>
        <v>1245708627</v>
      </c>
      <c r="E13806" s="1" t="s">
        <v>21624</v>
      </c>
      <c r="F13806" s="2"/>
      <c r="G13806" s="2"/>
      <c r="H13806" s="2"/>
    </row>
    <row r="13807" spans="1:8" x14ac:dyDescent="0.25">
      <c r="A13807" s="1"/>
      <c r="B13807" s="1" t="s">
        <v>5782</v>
      </c>
      <c r="C13807" s="1" t="s">
        <v>5783</v>
      </c>
      <c r="D13807" s="22" t="str">
        <f>HYPERLINK("https://rhld.insurance.arkansas.gov/NPILookup?Npi=1245719590","1245719590")</f>
        <v>1245719590</v>
      </c>
      <c r="E13807" s="1" t="s">
        <v>3233</v>
      </c>
      <c r="F13807" s="2"/>
      <c r="G13807" s="2"/>
      <c r="H13807" s="2"/>
    </row>
    <row r="13808" spans="1:8" x14ac:dyDescent="0.25">
      <c r="A13808" s="1"/>
      <c r="B13808" s="1" t="s">
        <v>5782</v>
      </c>
      <c r="C13808" s="1" t="s">
        <v>5783</v>
      </c>
      <c r="D13808" s="22" t="str">
        <f>HYPERLINK("https://rhld.insurance.arkansas.gov/NPILookup?Npi=1245723204","1245723204")</f>
        <v>1245723204</v>
      </c>
      <c r="E13808" s="1" t="s">
        <v>21625</v>
      </c>
      <c r="F13808" s="2"/>
      <c r="G13808" s="2"/>
      <c r="H13808" s="2"/>
    </row>
    <row r="13809" spans="1:8" x14ac:dyDescent="0.25">
      <c r="A13809" s="1"/>
      <c r="B13809" s="1" t="s">
        <v>5782</v>
      </c>
      <c r="C13809" s="1" t="s">
        <v>5783</v>
      </c>
      <c r="D13809" s="22" t="str">
        <f>HYPERLINK("https://rhld.insurance.arkansas.gov/NPILookup?Npi=1245726256","1245726256")</f>
        <v>1245726256</v>
      </c>
      <c r="E13809" s="1" t="s">
        <v>21626</v>
      </c>
      <c r="F13809" s="2"/>
      <c r="G13809" s="2"/>
      <c r="H13809" s="2"/>
    </row>
    <row r="13810" spans="1:8" x14ac:dyDescent="0.25">
      <c r="A13810" s="1"/>
      <c r="B13810" s="1" t="s">
        <v>5782</v>
      </c>
      <c r="C13810" s="1" t="s">
        <v>5783</v>
      </c>
      <c r="D13810" s="22" t="str">
        <f>HYPERLINK("https://rhld.insurance.arkansas.gov/NPILookup?Npi=1245743665","1245743665")</f>
        <v>1245743665</v>
      </c>
      <c r="E13810" s="1" t="s">
        <v>6083</v>
      </c>
      <c r="F13810" s="2"/>
      <c r="G13810" s="2"/>
      <c r="H13810" s="2"/>
    </row>
    <row r="13811" spans="1:8" x14ac:dyDescent="0.25">
      <c r="A13811" s="1"/>
      <c r="B13811" s="1" t="s">
        <v>5782</v>
      </c>
      <c r="C13811" s="1" t="s">
        <v>5783</v>
      </c>
      <c r="D13811" s="22" t="str">
        <f>HYPERLINK("https://rhld.insurance.arkansas.gov/NPILookup?Npi=1245759703","1245759703")</f>
        <v>1245759703</v>
      </c>
      <c r="E13811" s="1" t="s">
        <v>5396</v>
      </c>
      <c r="F13811" s="2"/>
      <c r="G13811" s="2"/>
      <c r="H13811" s="2"/>
    </row>
    <row r="13812" spans="1:8" x14ac:dyDescent="0.25">
      <c r="A13812" s="1"/>
      <c r="B13812" s="1" t="s">
        <v>5782</v>
      </c>
      <c r="C13812" s="1" t="s">
        <v>5783</v>
      </c>
      <c r="D13812" s="22" t="str">
        <f>HYPERLINK("https://rhld.insurance.arkansas.gov/NPILookup?Npi=1245764620","1245764620")</f>
        <v>1245764620</v>
      </c>
      <c r="E13812" s="1" t="s">
        <v>20320</v>
      </c>
      <c r="F13812" s="2"/>
      <c r="G13812" s="2"/>
      <c r="H13812" s="2"/>
    </row>
    <row r="13813" spans="1:8" x14ac:dyDescent="0.25">
      <c r="A13813" s="1"/>
      <c r="B13813" s="1" t="s">
        <v>5782</v>
      </c>
      <c r="C13813" s="1" t="s">
        <v>5783</v>
      </c>
      <c r="D13813" s="22" t="str">
        <f>HYPERLINK("https://rhld.insurance.arkansas.gov/NPILookup?Npi=1245782259","1245782259")</f>
        <v>1245782259</v>
      </c>
      <c r="E13813" s="1" t="s">
        <v>21627</v>
      </c>
      <c r="F13813" s="2"/>
      <c r="G13813" s="2"/>
      <c r="H13813" s="2"/>
    </row>
    <row r="13814" spans="1:8" x14ac:dyDescent="0.25">
      <c r="A13814" s="1"/>
      <c r="B13814" s="1" t="s">
        <v>5782</v>
      </c>
      <c r="C13814" s="1" t="s">
        <v>5783</v>
      </c>
      <c r="D13814" s="22" t="str">
        <f>HYPERLINK("https://rhld.insurance.arkansas.gov/NPILookup?Npi=1245792183","1245792183")</f>
        <v>1245792183</v>
      </c>
      <c r="E13814" s="1" t="s">
        <v>21628</v>
      </c>
      <c r="F13814" s="2"/>
      <c r="G13814" s="2"/>
      <c r="H13814" s="2"/>
    </row>
    <row r="13815" spans="1:8" x14ac:dyDescent="0.25">
      <c r="A13815" s="1"/>
      <c r="B13815" s="1" t="s">
        <v>5782</v>
      </c>
      <c r="C13815" s="1" t="s">
        <v>5783</v>
      </c>
      <c r="D13815" s="22" t="str">
        <f>HYPERLINK("https://rhld.insurance.arkansas.gov/NPILookup?Npi=1245829290","1245829290")</f>
        <v>1245829290</v>
      </c>
      <c r="E13815" s="1" t="s">
        <v>21629</v>
      </c>
      <c r="F13815" s="2"/>
      <c r="G13815" s="2"/>
      <c r="H13815" s="2"/>
    </row>
    <row r="13816" spans="1:8" x14ac:dyDescent="0.25">
      <c r="A13816" s="1"/>
      <c r="B13816" s="1" t="s">
        <v>5782</v>
      </c>
      <c r="C13816" s="1" t="s">
        <v>5783</v>
      </c>
      <c r="D13816" s="22" t="str">
        <f>HYPERLINK("https://rhld.insurance.arkansas.gov/NPILookup?Npi=1245839422","1245839422")</f>
        <v>1245839422</v>
      </c>
      <c r="E13816" s="1" t="s">
        <v>6084</v>
      </c>
      <c r="F13816" s="2"/>
      <c r="G13816" s="2"/>
      <c r="H13816" s="2"/>
    </row>
    <row r="13817" spans="1:8" x14ac:dyDescent="0.25">
      <c r="A13817" s="1"/>
      <c r="B13817" s="1" t="s">
        <v>5782</v>
      </c>
      <c r="C13817" s="1" t="s">
        <v>5783</v>
      </c>
      <c r="D13817" s="22" t="str">
        <f>HYPERLINK("https://rhld.insurance.arkansas.gov/NPILookup?Npi=1245840800","1245840800")</f>
        <v>1245840800</v>
      </c>
      <c r="E13817" s="1" t="s">
        <v>21630</v>
      </c>
      <c r="F13817" s="2"/>
      <c r="G13817" s="2"/>
      <c r="H13817" s="2"/>
    </row>
    <row r="13818" spans="1:8" x14ac:dyDescent="0.25">
      <c r="A13818" s="1"/>
      <c r="B13818" s="1" t="s">
        <v>5782</v>
      </c>
      <c r="C13818" s="1" t="s">
        <v>5783</v>
      </c>
      <c r="D13818" s="22" t="str">
        <f>HYPERLINK("https://rhld.insurance.arkansas.gov/NPILookup?Npi=1245842764","1245842764")</f>
        <v>1245842764</v>
      </c>
      <c r="E13818" s="1" t="s">
        <v>21631</v>
      </c>
      <c r="F13818" s="2"/>
      <c r="G13818" s="2"/>
      <c r="H13818" s="2"/>
    </row>
    <row r="13819" spans="1:8" x14ac:dyDescent="0.25">
      <c r="A13819" s="1"/>
      <c r="B13819" s="1" t="s">
        <v>5782</v>
      </c>
      <c r="C13819" s="1" t="s">
        <v>5783</v>
      </c>
      <c r="D13819" s="22" t="str">
        <f>HYPERLINK("https://rhld.insurance.arkansas.gov/NPILookup?Npi=1245843838","1245843838")</f>
        <v>1245843838</v>
      </c>
      <c r="E13819" s="1" t="s">
        <v>21632</v>
      </c>
      <c r="F13819" s="2"/>
      <c r="G13819" s="2"/>
      <c r="H13819" s="2"/>
    </row>
    <row r="13820" spans="1:8" x14ac:dyDescent="0.25">
      <c r="A13820" s="1"/>
      <c r="B13820" s="1" t="s">
        <v>5782</v>
      </c>
      <c r="C13820" s="1" t="s">
        <v>5783</v>
      </c>
      <c r="D13820" s="22" t="str">
        <f>HYPERLINK("https://rhld.insurance.arkansas.gov/NPILookup?Npi=1245855436","1245855436")</f>
        <v>1245855436</v>
      </c>
      <c r="E13820" s="1" t="s">
        <v>11611</v>
      </c>
      <c r="F13820" s="2"/>
      <c r="G13820" s="2"/>
      <c r="H13820" s="2"/>
    </row>
    <row r="13821" spans="1:8" x14ac:dyDescent="0.25">
      <c r="A13821" s="1"/>
      <c r="B13821" s="1" t="s">
        <v>5782</v>
      </c>
      <c r="C13821" s="1" t="s">
        <v>5783</v>
      </c>
      <c r="D13821" s="22" t="str">
        <f>HYPERLINK("https://rhld.insurance.arkansas.gov/NPILookup?Npi=1245862853","1245862853")</f>
        <v>1245862853</v>
      </c>
      <c r="E13821" s="1" t="s">
        <v>21633</v>
      </c>
      <c r="F13821" s="2"/>
      <c r="G13821" s="2"/>
      <c r="H13821" s="2"/>
    </row>
    <row r="13822" spans="1:8" x14ac:dyDescent="0.25">
      <c r="A13822" s="1"/>
      <c r="B13822" s="1" t="s">
        <v>5782</v>
      </c>
      <c r="C13822" s="1" t="s">
        <v>5783</v>
      </c>
      <c r="D13822" s="22" t="str">
        <f>HYPERLINK("https://rhld.insurance.arkansas.gov/NPILookup?Npi=1245874528","1245874528")</f>
        <v>1245874528</v>
      </c>
      <c r="E13822" s="1" t="s">
        <v>31833</v>
      </c>
      <c r="F13822" s="2"/>
      <c r="G13822" s="2"/>
      <c r="H13822" s="2"/>
    </row>
    <row r="13823" spans="1:8" x14ac:dyDescent="0.25">
      <c r="A13823" s="1"/>
      <c r="B13823" s="1" t="s">
        <v>5782</v>
      </c>
      <c r="C13823" s="1" t="s">
        <v>5783</v>
      </c>
      <c r="D13823" s="22" t="str">
        <f>HYPERLINK("https://rhld.insurance.arkansas.gov/NPILookup?Npi=1245878404","1245878404")</f>
        <v>1245878404</v>
      </c>
      <c r="E13823" s="1" t="s">
        <v>6085</v>
      </c>
      <c r="F13823" s="2"/>
      <c r="G13823" s="2"/>
      <c r="H13823" s="2"/>
    </row>
    <row r="13824" spans="1:8" x14ac:dyDescent="0.25">
      <c r="A13824" s="1"/>
      <c r="B13824" s="1" t="s">
        <v>5782</v>
      </c>
      <c r="C13824" s="1" t="s">
        <v>5783</v>
      </c>
      <c r="D13824" s="22" t="str">
        <f>HYPERLINK("https://rhld.insurance.arkansas.gov/NPILookup?Npi=1245884915","1245884915")</f>
        <v>1245884915</v>
      </c>
      <c r="E13824" s="1" t="s">
        <v>6086</v>
      </c>
      <c r="F13824" s="2"/>
      <c r="G13824" s="2"/>
      <c r="H13824" s="2"/>
    </row>
    <row r="13825" spans="1:8" x14ac:dyDescent="0.25">
      <c r="A13825" s="1"/>
      <c r="B13825" s="1" t="s">
        <v>5782</v>
      </c>
      <c r="C13825" s="1" t="s">
        <v>5783</v>
      </c>
      <c r="D13825" s="22" t="str">
        <f>HYPERLINK("https://rhld.insurance.arkansas.gov/NPILookup?Npi=1245907823","1245907823")</f>
        <v>1245907823</v>
      </c>
      <c r="E13825" s="1" t="s">
        <v>6087</v>
      </c>
      <c r="F13825" s="2"/>
      <c r="G13825" s="2"/>
      <c r="H13825" s="2"/>
    </row>
    <row r="13826" spans="1:8" x14ac:dyDescent="0.25">
      <c r="A13826" s="1"/>
      <c r="B13826" s="1" t="s">
        <v>5782</v>
      </c>
      <c r="C13826" s="1" t="s">
        <v>5783</v>
      </c>
      <c r="D13826" s="22" t="str">
        <f>HYPERLINK("https://rhld.insurance.arkansas.gov/NPILookup?Npi=1245912898","1245912898")</f>
        <v>1245912898</v>
      </c>
      <c r="E13826" s="1" t="s">
        <v>6088</v>
      </c>
      <c r="F13826" s="2"/>
      <c r="G13826" s="2"/>
      <c r="H13826" s="2"/>
    </row>
    <row r="13827" spans="1:8" x14ac:dyDescent="0.25">
      <c r="A13827" s="1"/>
      <c r="B13827" s="1" t="s">
        <v>5782</v>
      </c>
      <c r="C13827" s="1" t="s">
        <v>5783</v>
      </c>
      <c r="D13827" s="22" t="str">
        <f>HYPERLINK("https://rhld.insurance.arkansas.gov/NPILookup?Npi=1245930874","1245930874")</f>
        <v>1245930874</v>
      </c>
      <c r="E13827" s="1" t="s">
        <v>6089</v>
      </c>
      <c r="F13827" s="2"/>
      <c r="G13827" s="2"/>
      <c r="H13827" s="2"/>
    </row>
    <row r="13828" spans="1:8" x14ac:dyDescent="0.25">
      <c r="A13828" s="1"/>
      <c r="B13828" s="1" t="s">
        <v>5782</v>
      </c>
      <c r="C13828" s="1" t="s">
        <v>5783</v>
      </c>
      <c r="D13828" s="22" t="str">
        <f>HYPERLINK("https://rhld.insurance.arkansas.gov/NPILookup?Npi=1245954197","1245954197")</f>
        <v>1245954197</v>
      </c>
      <c r="E13828" s="1" t="s">
        <v>6090</v>
      </c>
      <c r="F13828" s="2"/>
      <c r="G13828" s="2"/>
      <c r="H13828" s="2"/>
    </row>
    <row r="13829" spans="1:8" x14ac:dyDescent="0.25">
      <c r="A13829" s="1"/>
      <c r="B13829" s="1" t="s">
        <v>5782</v>
      </c>
      <c r="C13829" s="1" t="s">
        <v>5783</v>
      </c>
      <c r="D13829" s="22" t="str">
        <f>HYPERLINK("https://rhld.insurance.arkansas.gov/NPILookup?Npi=1245964709","1245964709")</f>
        <v>1245964709</v>
      </c>
      <c r="E13829" s="1" t="s">
        <v>1573</v>
      </c>
      <c r="F13829" s="2"/>
      <c r="G13829" s="2"/>
      <c r="H13829" s="2"/>
    </row>
    <row r="13830" spans="1:8" x14ac:dyDescent="0.25">
      <c r="A13830" s="1"/>
      <c r="B13830" s="1" t="s">
        <v>5782</v>
      </c>
      <c r="C13830" s="1" t="s">
        <v>5783</v>
      </c>
      <c r="D13830" s="22" t="str">
        <f>HYPERLINK("https://rhld.insurance.arkansas.gov/NPILookup?Npi=1245992866","1245992866")</f>
        <v>1245992866</v>
      </c>
      <c r="E13830" s="1" t="s">
        <v>6091</v>
      </c>
      <c r="F13830" s="2"/>
      <c r="G13830" s="2"/>
      <c r="H13830" s="2"/>
    </row>
    <row r="13831" spans="1:8" x14ac:dyDescent="0.25">
      <c r="A13831" s="1"/>
      <c r="B13831" s="1" t="s">
        <v>5782</v>
      </c>
      <c r="C13831" s="1" t="s">
        <v>5783</v>
      </c>
      <c r="D13831" s="22" t="str">
        <f>HYPERLINK("https://rhld.insurance.arkansas.gov/NPILookup?Npi=1245995398","1245995398")</f>
        <v>1245995398</v>
      </c>
      <c r="E13831" s="1" t="s">
        <v>21634</v>
      </c>
      <c r="F13831" s="2"/>
      <c r="G13831" s="2"/>
      <c r="H13831" s="2"/>
    </row>
    <row r="13832" spans="1:8" x14ac:dyDescent="0.25">
      <c r="A13832" s="1"/>
      <c r="B13832" s="1" t="s">
        <v>5782</v>
      </c>
      <c r="C13832" s="1" t="s">
        <v>5783</v>
      </c>
      <c r="D13832" s="22" t="str">
        <f>HYPERLINK("https://rhld.insurance.arkansas.gov/NPILookup?Npi=1245999036","1245999036")</f>
        <v>1245999036</v>
      </c>
      <c r="E13832" s="1" t="s">
        <v>31834</v>
      </c>
      <c r="F13832" s="2"/>
      <c r="G13832" s="2"/>
      <c r="H13832" s="2"/>
    </row>
    <row r="13833" spans="1:8" x14ac:dyDescent="0.25">
      <c r="A13833" s="1"/>
      <c r="B13833" s="1" t="s">
        <v>5782</v>
      </c>
      <c r="C13833" s="1" t="s">
        <v>5783</v>
      </c>
      <c r="D13833" s="22" t="str">
        <f>HYPERLINK("https://rhld.insurance.arkansas.gov/NPILookup?Npi=1255006367","1255006367")</f>
        <v>1255006367</v>
      </c>
      <c r="E13833" s="1" t="s">
        <v>2470</v>
      </c>
      <c r="F13833" s="2"/>
      <c r="G13833" s="2"/>
      <c r="H13833" s="2"/>
    </row>
    <row r="13834" spans="1:8" x14ac:dyDescent="0.25">
      <c r="A13834" s="1"/>
      <c r="B13834" s="1" t="s">
        <v>5782</v>
      </c>
      <c r="C13834" s="1" t="s">
        <v>5783</v>
      </c>
      <c r="D13834" s="22" t="str">
        <f>HYPERLINK("https://rhld.insurance.arkansas.gov/NPILookup?Npi=1255006417","1255006417")</f>
        <v>1255006417</v>
      </c>
      <c r="E13834" s="1" t="s">
        <v>21635</v>
      </c>
      <c r="F13834" s="2"/>
      <c r="G13834" s="2"/>
      <c r="H13834" s="2"/>
    </row>
    <row r="13835" spans="1:8" x14ac:dyDescent="0.25">
      <c r="A13835" s="1"/>
      <c r="B13835" s="1" t="s">
        <v>5782</v>
      </c>
      <c r="C13835" s="1" t="s">
        <v>5783</v>
      </c>
      <c r="D13835" s="22" t="str">
        <f>HYPERLINK("https://rhld.insurance.arkansas.gov/NPILookup?Npi=1255010815","1255010815")</f>
        <v>1255010815</v>
      </c>
      <c r="E13835" s="1" t="s">
        <v>4211</v>
      </c>
      <c r="F13835" s="2"/>
      <c r="G13835" s="2"/>
      <c r="H13835" s="2"/>
    </row>
    <row r="13836" spans="1:8" x14ac:dyDescent="0.25">
      <c r="A13836" s="1"/>
      <c r="B13836" s="1" t="s">
        <v>5782</v>
      </c>
      <c r="C13836" s="1" t="s">
        <v>5783</v>
      </c>
      <c r="D13836" s="22" t="str">
        <f>HYPERLINK("https://rhld.insurance.arkansas.gov/NPILookup?Npi=1255015889","1255015889")</f>
        <v>1255015889</v>
      </c>
      <c r="E13836" s="1" t="s">
        <v>21636</v>
      </c>
      <c r="F13836" s="2"/>
      <c r="G13836" s="2"/>
      <c r="H13836" s="2"/>
    </row>
    <row r="13837" spans="1:8" x14ac:dyDescent="0.25">
      <c r="A13837" s="1"/>
      <c r="B13837" s="1" t="s">
        <v>5782</v>
      </c>
      <c r="C13837" s="1" t="s">
        <v>5783</v>
      </c>
      <c r="D13837" s="22" t="str">
        <f>HYPERLINK("https://rhld.insurance.arkansas.gov/NPILookup?Npi=1255024162","1255024162")</f>
        <v>1255024162</v>
      </c>
      <c r="E13837" s="1" t="s">
        <v>6092</v>
      </c>
      <c r="F13837" s="2"/>
      <c r="G13837" s="2"/>
      <c r="H13837" s="2"/>
    </row>
    <row r="13838" spans="1:8" x14ac:dyDescent="0.25">
      <c r="A13838" s="1"/>
      <c r="B13838" s="1" t="s">
        <v>5782</v>
      </c>
      <c r="C13838" s="1" t="s">
        <v>5783</v>
      </c>
      <c r="D13838" s="22" t="str">
        <f>HYPERLINK("https://rhld.insurance.arkansas.gov/NPILookup?Npi=1255047841","1255047841")</f>
        <v>1255047841</v>
      </c>
      <c r="E13838" s="1" t="s">
        <v>6093</v>
      </c>
      <c r="F13838" s="2"/>
      <c r="G13838" s="2"/>
      <c r="H13838" s="2"/>
    </row>
    <row r="13839" spans="1:8" x14ac:dyDescent="0.25">
      <c r="A13839" s="1"/>
      <c r="B13839" s="1" t="s">
        <v>5782</v>
      </c>
      <c r="C13839" s="1" t="s">
        <v>5783</v>
      </c>
      <c r="D13839" s="22" t="str">
        <f>HYPERLINK("https://rhld.insurance.arkansas.gov/NPILookup?Npi=1255050399","1255050399")</f>
        <v>1255050399</v>
      </c>
      <c r="E13839" s="1" t="s">
        <v>6094</v>
      </c>
      <c r="F13839" s="2"/>
      <c r="G13839" s="2"/>
      <c r="H13839" s="2"/>
    </row>
    <row r="13840" spans="1:8" x14ac:dyDescent="0.25">
      <c r="A13840" s="1"/>
      <c r="B13840" s="1" t="s">
        <v>5782</v>
      </c>
      <c r="C13840" s="1" t="s">
        <v>5783</v>
      </c>
      <c r="D13840" s="22" t="str">
        <f>HYPERLINK("https://rhld.insurance.arkansas.gov/NPILookup?Npi=1255063129","1255063129")</f>
        <v>1255063129</v>
      </c>
      <c r="E13840" s="1" t="s">
        <v>21637</v>
      </c>
      <c r="F13840" s="2"/>
      <c r="G13840" s="2"/>
      <c r="H13840" s="2"/>
    </row>
    <row r="13841" spans="1:8" x14ac:dyDescent="0.25">
      <c r="A13841" s="1"/>
      <c r="B13841" s="1" t="s">
        <v>5782</v>
      </c>
      <c r="C13841" s="1" t="s">
        <v>5783</v>
      </c>
      <c r="D13841" s="22" t="str">
        <f>HYPERLINK("https://rhld.insurance.arkansas.gov/NPILookup?Npi=1255064317","1255064317")</f>
        <v>1255064317</v>
      </c>
      <c r="E13841" s="1" t="s">
        <v>21638</v>
      </c>
      <c r="F13841" s="2"/>
      <c r="G13841" s="2"/>
      <c r="H13841" s="2"/>
    </row>
    <row r="13842" spans="1:8" x14ac:dyDescent="0.25">
      <c r="A13842" s="1"/>
      <c r="B13842" s="1" t="s">
        <v>5782</v>
      </c>
      <c r="C13842" s="1" t="s">
        <v>5783</v>
      </c>
      <c r="D13842" s="22" t="str">
        <f>HYPERLINK("https://rhld.insurance.arkansas.gov/NPILookup?Npi=1255087532","1255087532")</f>
        <v>1255087532</v>
      </c>
      <c r="E13842" s="1" t="s">
        <v>6095</v>
      </c>
      <c r="F13842" s="2"/>
      <c r="G13842" s="2"/>
      <c r="H13842" s="2"/>
    </row>
    <row r="13843" spans="1:8" x14ac:dyDescent="0.25">
      <c r="A13843" s="1"/>
      <c r="B13843" s="1" t="s">
        <v>5782</v>
      </c>
      <c r="C13843" s="1" t="s">
        <v>5783</v>
      </c>
      <c r="D13843" s="22" t="str">
        <f>HYPERLINK("https://rhld.insurance.arkansas.gov/NPILookup?Npi=1255153649","1255153649")</f>
        <v>1255153649</v>
      </c>
      <c r="E13843" s="1" t="s">
        <v>31835</v>
      </c>
      <c r="F13843" s="2"/>
      <c r="G13843" s="2"/>
      <c r="H13843" s="2"/>
    </row>
    <row r="13844" spans="1:8" x14ac:dyDescent="0.25">
      <c r="A13844" s="1"/>
      <c r="B13844" s="1" t="s">
        <v>5782</v>
      </c>
      <c r="C13844" s="1" t="s">
        <v>5783</v>
      </c>
      <c r="D13844" s="22" t="str">
        <f>HYPERLINK("https://rhld.insurance.arkansas.gov/NPILookup?Npi=1255161576","1255161576")</f>
        <v>1255161576</v>
      </c>
      <c r="E13844" s="1" t="s">
        <v>21639</v>
      </c>
      <c r="F13844" s="2"/>
      <c r="G13844" s="2"/>
      <c r="H13844" s="2"/>
    </row>
    <row r="13845" spans="1:8" x14ac:dyDescent="0.25">
      <c r="A13845" s="1"/>
      <c r="B13845" s="1" t="s">
        <v>5782</v>
      </c>
      <c r="C13845" s="1" t="s">
        <v>5783</v>
      </c>
      <c r="D13845" s="22" t="str">
        <f>HYPERLINK("https://rhld.insurance.arkansas.gov/NPILookup?Npi=1255339461","1255339461")</f>
        <v>1255339461</v>
      </c>
      <c r="E13845" s="1" t="s">
        <v>21640</v>
      </c>
      <c r="F13845" s="2"/>
      <c r="G13845" s="2"/>
      <c r="H13845" s="2"/>
    </row>
    <row r="13846" spans="1:8" x14ac:dyDescent="0.25">
      <c r="A13846" s="1"/>
      <c r="B13846" s="1" t="s">
        <v>5782</v>
      </c>
      <c r="C13846" s="1" t="s">
        <v>5783</v>
      </c>
      <c r="D13846" s="22" t="str">
        <f>HYPERLINK("https://rhld.insurance.arkansas.gov/NPILookup?Npi=1255347126","1255347126")</f>
        <v>1255347126</v>
      </c>
      <c r="E13846" s="1" t="s">
        <v>21641</v>
      </c>
      <c r="F13846" s="2"/>
      <c r="G13846" s="2"/>
      <c r="H13846" s="2"/>
    </row>
    <row r="13847" spans="1:8" x14ac:dyDescent="0.25">
      <c r="A13847" s="1"/>
      <c r="B13847" s="1" t="s">
        <v>5782</v>
      </c>
      <c r="C13847" s="1" t="s">
        <v>5783</v>
      </c>
      <c r="D13847" s="22" t="str">
        <f>HYPERLINK("https://rhld.insurance.arkansas.gov/NPILookup?Npi=1255405353","1255405353")</f>
        <v>1255405353</v>
      </c>
      <c r="E13847" s="1" t="s">
        <v>21642</v>
      </c>
      <c r="F13847" s="2"/>
      <c r="G13847" s="2"/>
      <c r="H13847" s="2"/>
    </row>
    <row r="13848" spans="1:8" x14ac:dyDescent="0.25">
      <c r="A13848" s="1"/>
      <c r="B13848" s="1" t="s">
        <v>5782</v>
      </c>
      <c r="C13848" s="1" t="s">
        <v>5783</v>
      </c>
      <c r="D13848" s="22" t="str">
        <f>HYPERLINK("https://rhld.insurance.arkansas.gov/NPILookup?Npi=1255414595","1255414595")</f>
        <v>1255414595</v>
      </c>
      <c r="E13848" s="1" t="s">
        <v>344</v>
      </c>
      <c r="F13848" s="2"/>
      <c r="G13848" s="2"/>
      <c r="H13848" s="2"/>
    </row>
    <row r="13849" spans="1:8" x14ac:dyDescent="0.25">
      <c r="A13849" s="1"/>
      <c r="B13849" s="1" t="s">
        <v>5782</v>
      </c>
      <c r="C13849" s="1" t="s">
        <v>5783</v>
      </c>
      <c r="D13849" s="22" t="str">
        <f>HYPERLINK("https://rhld.insurance.arkansas.gov/NPILookup?Npi=1255461356","1255461356")</f>
        <v>1255461356</v>
      </c>
      <c r="E13849" s="1" t="s">
        <v>2168</v>
      </c>
      <c r="F13849" s="2"/>
      <c r="G13849" s="2"/>
      <c r="H13849" s="2"/>
    </row>
    <row r="13850" spans="1:8" x14ac:dyDescent="0.25">
      <c r="A13850" s="1"/>
      <c r="B13850" s="1" t="s">
        <v>5782</v>
      </c>
      <c r="C13850" s="1" t="s">
        <v>5783</v>
      </c>
      <c r="D13850" s="22" t="str">
        <f>HYPERLINK("https://rhld.insurance.arkansas.gov/NPILookup?Npi=1255465084","1255465084")</f>
        <v>1255465084</v>
      </c>
      <c r="E13850" s="1" t="s">
        <v>3234</v>
      </c>
      <c r="F13850" s="2"/>
      <c r="G13850" s="2"/>
      <c r="H13850" s="2"/>
    </row>
    <row r="13851" spans="1:8" x14ac:dyDescent="0.25">
      <c r="A13851" s="1"/>
      <c r="B13851" s="1" t="s">
        <v>5782</v>
      </c>
      <c r="C13851" s="1" t="s">
        <v>5783</v>
      </c>
      <c r="D13851" s="22" t="str">
        <f>HYPERLINK("https://rhld.insurance.arkansas.gov/NPILookup?Npi=1255505186","1255505186")</f>
        <v>1255505186</v>
      </c>
      <c r="E13851" s="1" t="s">
        <v>21643</v>
      </c>
      <c r="F13851" s="2"/>
      <c r="G13851" s="2"/>
      <c r="H13851" s="2"/>
    </row>
    <row r="13852" spans="1:8" x14ac:dyDescent="0.25">
      <c r="A13852" s="1"/>
      <c r="B13852" s="1" t="s">
        <v>5782</v>
      </c>
      <c r="C13852" s="1" t="s">
        <v>5783</v>
      </c>
      <c r="D13852" s="22" t="str">
        <f>HYPERLINK("https://rhld.insurance.arkansas.gov/NPILookup?Npi=1255521662","1255521662")</f>
        <v>1255521662</v>
      </c>
      <c r="E13852" s="1" t="s">
        <v>6096</v>
      </c>
      <c r="F13852" s="2"/>
      <c r="G13852" s="2"/>
      <c r="H13852" s="2"/>
    </row>
    <row r="13853" spans="1:8" x14ac:dyDescent="0.25">
      <c r="A13853" s="1"/>
      <c r="B13853" s="1" t="s">
        <v>5782</v>
      </c>
      <c r="C13853" s="1" t="s">
        <v>5783</v>
      </c>
      <c r="D13853" s="22" t="str">
        <f>HYPERLINK("https://rhld.insurance.arkansas.gov/NPILookup?Npi=1255523049","1255523049")</f>
        <v>1255523049</v>
      </c>
      <c r="E13853" s="1" t="s">
        <v>21644</v>
      </c>
      <c r="F13853" s="2"/>
      <c r="G13853" s="2"/>
      <c r="H13853" s="2"/>
    </row>
    <row r="13854" spans="1:8" x14ac:dyDescent="0.25">
      <c r="A13854" s="1"/>
      <c r="B13854" s="1" t="s">
        <v>5782</v>
      </c>
      <c r="C13854" s="1" t="s">
        <v>5783</v>
      </c>
      <c r="D13854" s="22" t="str">
        <f>HYPERLINK("https://rhld.insurance.arkansas.gov/NPILookup?Npi=1255543880","1255543880")</f>
        <v>1255543880</v>
      </c>
      <c r="E13854" s="1" t="s">
        <v>1421</v>
      </c>
      <c r="F13854" s="2"/>
      <c r="G13854" s="2"/>
      <c r="H13854" s="2"/>
    </row>
    <row r="13855" spans="1:8" x14ac:dyDescent="0.25">
      <c r="A13855" s="1"/>
      <c r="B13855" s="1" t="s">
        <v>5782</v>
      </c>
      <c r="C13855" s="1" t="s">
        <v>5783</v>
      </c>
      <c r="D13855" s="22" t="str">
        <f>HYPERLINK("https://rhld.insurance.arkansas.gov/NPILookup?Npi=1255548459","1255548459")</f>
        <v>1255548459</v>
      </c>
      <c r="E13855" s="1" t="s">
        <v>1323</v>
      </c>
      <c r="F13855" s="2"/>
      <c r="G13855" s="2"/>
      <c r="H13855" s="2"/>
    </row>
    <row r="13856" spans="1:8" x14ac:dyDescent="0.25">
      <c r="A13856" s="1"/>
      <c r="B13856" s="1" t="s">
        <v>5782</v>
      </c>
      <c r="C13856" s="1" t="s">
        <v>5783</v>
      </c>
      <c r="D13856" s="22" t="str">
        <f>HYPERLINK("https://rhld.insurance.arkansas.gov/NPILookup?Npi=1255560280","1255560280")</f>
        <v>1255560280</v>
      </c>
      <c r="E13856" s="1" t="s">
        <v>11612</v>
      </c>
      <c r="F13856" s="2"/>
      <c r="G13856" s="2"/>
      <c r="H13856" s="2"/>
    </row>
    <row r="13857" spans="1:8" x14ac:dyDescent="0.25">
      <c r="A13857" s="1"/>
      <c r="B13857" s="1" t="s">
        <v>5782</v>
      </c>
      <c r="C13857" s="1" t="s">
        <v>5783</v>
      </c>
      <c r="D13857" s="22" t="str">
        <f>HYPERLINK("https://rhld.insurance.arkansas.gov/NPILookup?Npi=1255564803","1255564803")</f>
        <v>1255564803</v>
      </c>
      <c r="E13857" s="1" t="s">
        <v>21645</v>
      </c>
      <c r="F13857" s="2"/>
      <c r="G13857" s="2"/>
      <c r="H13857" s="2"/>
    </row>
    <row r="13858" spans="1:8" x14ac:dyDescent="0.25">
      <c r="A13858" s="1"/>
      <c r="B13858" s="1" t="s">
        <v>5782</v>
      </c>
      <c r="C13858" s="1" t="s">
        <v>5783</v>
      </c>
      <c r="D13858" s="22" t="str">
        <f>HYPERLINK("https://rhld.insurance.arkansas.gov/NPILookup?Npi=1255578019","1255578019")</f>
        <v>1255578019</v>
      </c>
      <c r="E13858" s="1" t="s">
        <v>11613</v>
      </c>
      <c r="F13858" s="2"/>
      <c r="G13858" s="2"/>
      <c r="H13858" s="2"/>
    </row>
    <row r="13859" spans="1:8" x14ac:dyDescent="0.25">
      <c r="A13859" s="1"/>
      <c r="B13859" s="1" t="s">
        <v>5782</v>
      </c>
      <c r="C13859" s="1" t="s">
        <v>5783</v>
      </c>
      <c r="D13859" s="22" t="str">
        <f>HYPERLINK("https://rhld.insurance.arkansas.gov/NPILookup?Npi=1255580338","1255580338")</f>
        <v>1255580338</v>
      </c>
      <c r="E13859" s="1" t="s">
        <v>21646</v>
      </c>
      <c r="F13859" s="2"/>
      <c r="G13859" s="2"/>
      <c r="H13859" s="2"/>
    </row>
    <row r="13860" spans="1:8" x14ac:dyDescent="0.25">
      <c r="A13860" s="1"/>
      <c r="B13860" s="1" t="s">
        <v>5782</v>
      </c>
      <c r="C13860" s="1" t="s">
        <v>5783</v>
      </c>
      <c r="D13860" s="22" t="str">
        <f>HYPERLINK("https://rhld.insurance.arkansas.gov/NPILookup?Npi=1255580346","1255580346")</f>
        <v>1255580346</v>
      </c>
      <c r="E13860" s="1" t="s">
        <v>11614</v>
      </c>
      <c r="F13860" s="2"/>
      <c r="G13860" s="2"/>
      <c r="H13860" s="2"/>
    </row>
    <row r="13861" spans="1:8" x14ac:dyDescent="0.25">
      <c r="A13861" s="1"/>
      <c r="B13861" s="1" t="s">
        <v>5782</v>
      </c>
      <c r="C13861" s="1" t="s">
        <v>5783</v>
      </c>
      <c r="D13861" s="22" t="str">
        <f>HYPERLINK("https://rhld.insurance.arkansas.gov/NPILookup?Npi=1255582748","1255582748")</f>
        <v>1255582748</v>
      </c>
      <c r="E13861" s="1" t="s">
        <v>21647</v>
      </c>
      <c r="F13861" s="2"/>
      <c r="G13861" s="2"/>
      <c r="H13861" s="2"/>
    </row>
    <row r="13862" spans="1:8" x14ac:dyDescent="0.25">
      <c r="A13862" s="1"/>
      <c r="B13862" s="1" t="s">
        <v>5782</v>
      </c>
      <c r="C13862" s="1" t="s">
        <v>5783</v>
      </c>
      <c r="D13862" s="22" t="str">
        <f>HYPERLINK("https://rhld.insurance.arkansas.gov/NPILookup?Npi=1255584637","1255584637")</f>
        <v>1255584637</v>
      </c>
      <c r="E13862" s="1" t="s">
        <v>21648</v>
      </c>
      <c r="F13862" s="2"/>
      <c r="G13862" s="2"/>
      <c r="H13862" s="2"/>
    </row>
    <row r="13863" spans="1:8" x14ac:dyDescent="0.25">
      <c r="A13863" s="1"/>
      <c r="B13863" s="1" t="s">
        <v>5782</v>
      </c>
      <c r="C13863" s="1" t="s">
        <v>5783</v>
      </c>
      <c r="D13863" s="22" t="str">
        <f>HYPERLINK("https://rhld.insurance.arkansas.gov/NPILookup?Npi=1255590089","1255590089")</f>
        <v>1255590089</v>
      </c>
      <c r="E13863" s="1" t="s">
        <v>21649</v>
      </c>
      <c r="F13863" s="2"/>
      <c r="G13863" s="2"/>
      <c r="H13863" s="2"/>
    </row>
    <row r="13864" spans="1:8" x14ac:dyDescent="0.25">
      <c r="A13864" s="1"/>
      <c r="B13864" s="1" t="s">
        <v>5782</v>
      </c>
      <c r="C13864" s="1" t="s">
        <v>5783</v>
      </c>
      <c r="D13864" s="22" t="str">
        <f>HYPERLINK("https://rhld.insurance.arkansas.gov/NPILookup?Npi=1255598983","1255598983")</f>
        <v>1255598983</v>
      </c>
      <c r="E13864" s="1" t="s">
        <v>3235</v>
      </c>
      <c r="F13864" s="2"/>
      <c r="G13864" s="2"/>
      <c r="H13864" s="2"/>
    </row>
    <row r="13865" spans="1:8" x14ac:dyDescent="0.25">
      <c r="A13865" s="1"/>
      <c r="B13865" s="1" t="s">
        <v>5782</v>
      </c>
      <c r="C13865" s="1" t="s">
        <v>5783</v>
      </c>
      <c r="D13865" s="22" t="str">
        <f>HYPERLINK("https://rhld.insurance.arkansas.gov/NPILookup?Npi=1255616728","1255616728")</f>
        <v>1255616728</v>
      </c>
      <c r="E13865" s="1" t="s">
        <v>21650</v>
      </c>
      <c r="F13865" s="2"/>
      <c r="G13865" s="2"/>
      <c r="H13865" s="2"/>
    </row>
    <row r="13866" spans="1:8" x14ac:dyDescent="0.25">
      <c r="A13866" s="1"/>
      <c r="B13866" s="1" t="s">
        <v>5782</v>
      </c>
      <c r="C13866" s="1" t="s">
        <v>5783</v>
      </c>
      <c r="D13866" s="22" t="str">
        <f>HYPERLINK("https://rhld.insurance.arkansas.gov/NPILookup?Npi=1255636429","1255636429")</f>
        <v>1255636429</v>
      </c>
      <c r="E13866" s="1" t="s">
        <v>21651</v>
      </c>
      <c r="F13866" s="2"/>
      <c r="G13866" s="2"/>
      <c r="H13866" s="2"/>
    </row>
    <row r="13867" spans="1:8" x14ac:dyDescent="0.25">
      <c r="A13867" s="1"/>
      <c r="B13867" s="1" t="s">
        <v>5782</v>
      </c>
      <c r="C13867" s="1" t="s">
        <v>5783</v>
      </c>
      <c r="D13867" s="22" t="str">
        <f>HYPERLINK("https://rhld.insurance.arkansas.gov/NPILookup?Npi=1255701470","1255701470")</f>
        <v>1255701470</v>
      </c>
      <c r="E13867" s="1" t="s">
        <v>12206</v>
      </c>
      <c r="F13867" s="2"/>
      <c r="G13867" s="2"/>
      <c r="H13867" s="2"/>
    </row>
    <row r="13868" spans="1:8" x14ac:dyDescent="0.25">
      <c r="A13868" s="1"/>
      <c r="B13868" s="1" t="s">
        <v>5782</v>
      </c>
      <c r="C13868" s="1" t="s">
        <v>5783</v>
      </c>
      <c r="D13868" s="22" t="str">
        <f>HYPERLINK("https://rhld.insurance.arkansas.gov/NPILookup?Npi=1255707956","1255707956")</f>
        <v>1255707956</v>
      </c>
      <c r="E13868" s="1" t="s">
        <v>6097</v>
      </c>
      <c r="F13868" s="2"/>
      <c r="G13868" s="2"/>
      <c r="H13868" s="2"/>
    </row>
    <row r="13869" spans="1:8" x14ac:dyDescent="0.25">
      <c r="A13869" s="1"/>
      <c r="B13869" s="1" t="s">
        <v>5782</v>
      </c>
      <c r="C13869" s="1" t="s">
        <v>5783</v>
      </c>
      <c r="D13869" s="22" t="str">
        <f>HYPERLINK("https://rhld.insurance.arkansas.gov/NPILookup?Npi=1255723185","1255723185")</f>
        <v>1255723185</v>
      </c>
      <c r="E13869" s="1" t="s">
        <v>21652</v>
      </c>
      <c r="F13869" s="2"/>
      <c r="G13869" s="2"/>
      <c r="H13869" s="2"/>
    </row>
    <row r="13870" spans="1:8" x14ac:dyDescent="0.25">
      <c r="A13870" s="1"/>
      <c r="B13870" s="1" t="s">
        <v>5782</v>
      </c>
      <c r="C13870" s="1" t="s">
        <v>5783</v>
      </c>
      <c r="D13870" s="22" t="str">
        <f>HYPERLINK("https://rhld.insurance.arkansas.gov/NPILookup?Npi=1255753570","1255753570")</f>
        <v>1255753570</v>
      </c>
      <c r="E13870" s="1" t="s">
        <v>2142</v>
      </c>
      <c r="F13870" s="2"/>
      <c r="G13870" s="2"/>
      <c r="H13870" s="2"/>
    </row>
    <row r="13871" spans="1:8" x14ac:dyDescent="0.25">
      <c r="A13871" s="1"/>
      <c r="B13871" s="1" t="s">
        <v>5782</v>
      </c>
      <c r="C13871" s="1" t="s">
        <v>5783</v>
      </c>
      <c r="D13871" s="22" t="str">
        <f>HYPERLINK("https://rhld.insurance.arkansas.gov/NPILookup?Npi=1255781571","1255781571")</f>
        <v>1255781571</v>
      </c>
      <c r="E13871" s="1" t="s">
        <v>21653</v>
      </c>
      <c r="F13871" s="2"/>
      <c r="G13871" s="2"/>
      <c r="H13871" s="2"/>
    </row>
    <row r="13872" spans="1:8" x14ac:dyDescent="0.25">
      <c r="A13872" s="1"/>
      <c r="B13872" s="1" t="s">
        <v>5782</v>
      </c>
      <c r="C13872" s="1" t="s">
        <v>5783</v>
      </c>
      <c r="D13872" s="22" t="str">
        <f>HYPERLINK("https://rhld.insurance.arkansas.gov/NPILookup?Npi=1255781936","1255781936")</f>
        <v>1255781936</v>
      </c>
      <c r="E13872" s="1" t="s">
        <v>6098</v>
      </c>
      <c r="F13872" s="2"/>
      <c r="G13872" s="2"/>
      <c r="H13872" s="2"/>
    </row>
    <row r="13873" spans="1:8" x14ac:dyDescent="0.25">
      <c r="A13873" s="1"/>
      <c r="B13873" s="1" t="s">
        <v>5782</v>
      </c>
      <c r="C13873" s="1" t="s">
        <v>5783</v>
      </c>
      <c r="D13873" s="22" t="str">
        <f>HYPERLINK("https://rhld.insurance.arkansas.gov/NPILookup?Npi=1255782561","1255782561")</f>
        <v>1255782561</v>
      </c>
      <c r="E13873" s="1" t="s">
        <v>21654</v>
      </c>
      <c r="F13873" s="2"/>
      <c r="G13873" s="2"/>
      <c r="H13873" s="2"/>
    </row>
    <row r="13874" spans="1:8" x14ac:dyDescent="0.25">
      <c r="A13874" s="1"/>
      <c r="B13874" s="1" t="s">
        <v>5782</v>
      </c>
      <c r="C13874" s="1" t="s">
        <v>5783</v>
      </c>
      <c r="D13874" s="22" t="str">
        <f>HYPERLINK("https://rhld.insurance.arkansas.gov/NPILookup?Npi=1255788816","1255788816")</f>
        <v>1255788816</v>
      </c>
      <c r="E13874" s="1" t="s">
        <v>31836</v>
      </c>
      <c r="F13874" s="2"/>
      <c r="G13874" s="2"/>
      <c r="H13874" s="2"/>
    </row>
    <row r="13875" spans="1:8" x14ac:dyDescent="0.25">
      <c r="A13875" s="1"/>
      <c r="B13875" s="1" t="s">
        <v>5782</v>
      </c>
      <c r="C13875" s="1" t="s">
        <v>5783</v>
      </c>
      <c r="D13875" s="22" t="str">
        <f>HYPERLINK("https://rhld.insurance.arkansas.gov/NPILookup?Npi=1255793014","1255793014")</f>
        <v>1255793014</v>
      </c>
      <c r="E13875" s="1" t="s">
        <v>21655</v>
      </c>
      <c r="F13875" s="2"/>
      <c r="G13875" s="2"/>
      <c r="H13875" s="2"/>
    </row>
    <row r="13876" spans="1:8" x14ac:dyDescent="0.25">
      <c r="A13876" s="1"/>
      <c r="B13876" s="1" t="s">
        <v>5782</v>
      </c>
      <c r="C13876" s="1" t="s">
        <v>5783</v>
      </c>
      <c r="D13876" s="22" t="str">
        <f>HYPERLINK("https://rhld.insurance.arkansas.gov/NPILookup?Npi=1255797288","1255797288")</f>
        <v>1255797288</v>
      </c>
      <c r="E13876" s="1" t="s">
        <v>21656</v>
      </c>
      <c r="F13876" s="2"/>
      <c r="G13876" s="2"/>
      <c r="H13876" s="2"/>
    </row>
    <row r="13877" spans="1:8" x14ac:dyDescent="0.25">
      <c r="A13877" s="1"/>
      <c r="B13877" s="1" t="s">
        <v>5782</v>
      </c>
      <c r="C13877" s="1" t="s">
        <v>5783</v>
      </c>
      <c r="D13877" s="22" t="str">
        <f>HYPERLINK("https://rhld.insurance.arkansas.gov/NPILookup?Npi=1255805214","1255805214")</f>
        <v>1255805214</v>
      </c>
      <c r="E13877" s="1" t="s">
        <v>21657</v>
      </c>
      <c r="F13877" s="2"/>
      <c r="G13877" s="2"/>
      <c r="H13877" s="2"/>
    </row>
    <row r="13878" spans="1:8" x14ac:dyDescent="0.25">
      <c r="A13878" s="1"/>
      <c r="B13878" s="1" t="s">
        <v>5782</v>
      </c>
      <c r="C13878" s="1" t="s">
        <v>5783</v>
      </c>
      <c r="D13878" s="22" t="str">
        <f>HYPERLINK("https://rhld.insurance.arkansas.gov/NPILookup?Npi=1255807632","1255807632")</f>
        <v>1255807632</v>
      </c>
      <c r="E13878" s="1" t="s">
        <v>21658</v>
      </c>
      <c r="F13878" s="2"/>
      <c r="G13878" s="2"/>
      <c r="H13878" s="2"/>
    </row>
    <row r="13879" spans="1:8" x14ac:dyDescent="0.25">
      <c r="A13879" s="1"/>
      <c r="B13879" s="1" t="s">
        <v>5782</v>
      </c>
      <c r="C13879" s="1" t="s">
        <v>5783</v>
      </c>
      <c r="D13879" s="22" t="str">
        <f>HYPERLINK("https://rhld.insurance.arkansas.gov/NPILookup?Npi=1255811634","1255811634")</f>
        <v>1255811634</v>
      </c>
      <c r="E13879" s="1" t="s">
        <v>3029</v>
      </c>
      <c r="F13879" s="2"/>
      <c r="G13879" s="2"/>
      <c r="H13879" s="2"/>
    </row>
    <row r="13880" spans="1:8" x14ac:dyDescent="0.25">
      <c r="A13880" s="1"/>
      <c r="B13880" s="1" t="s">
        <v>5782</v>
      </c>
      <c r="C13880" s="1" t="s">
        <v>5783</v>
      </c>
      <c r="D13880" s="22" t="str">
        <f>HYPERLINK("https://rhld.insurance.arkansas.gov/NPILookup?Npi=1255839627","1255839627")</f>
        <v>1255839627</v>
      </c>
      <c r="E13880" s="1" t="s">
        <v>6099</v>
      </c>
      <c r="F13880" s="2"/>
      <c r="G13880" s="2"/>
      <c r="H13880" s="2"/>
    </row>
    <row r="13881" spans="1:8" x14ac:dyDescent="0.25">
      <c r="A13881" s="1"/>
      <c r="B13881" s="1" t="s">
        <v>5782</v>
      </c>
      <c r="C13881" s="1" t="s">
        <v>5783</v>
      </c>
      <c r="D13881" s="22" t="str">
        <f>HYPERLINK("https://rhld.insurance.arkansas.gov/NPILookup?Npi=1255841599","1255841599")</f>
        <v>1255841599</v>
      </c>
      <c r="E13881" s="1" t="s">
        <v>21659</v>
      </c>
      <c r="F13881" s="2"/>
      <c r="G13881" s="2"/>
      <c r="H13881" s="2"/>
    </row>
    <row r="13882" spans="1:8" x14ac:dyDescent="0.25">
      <c r="A13882" s="1"/>
      <c r="B13882" s="1" t="s">
        <v>5782</v>
      </c>
      <c r="C13882" s="1" t="s">
        <v>5783</v>
      </c>
      <c r="D13882" s="22" t="str">
        <f>HYPERLINK("https://rhld.insurance.arkansas.gov/NPILookup?Npi=1255849691","1255849691")</f>
        <v>1255849691</v>
      </c>
      <c r="E13882" s="1" t="s">
        <v>21660</v>
      </c>
      <c r="F13882" s="2"/>
      <c r="G13882" s="2"/>
      <c r="H13882" s="2"/>
    </row>
    <row r="13883" spans="1:8" x14ac:dyDescent="0.25">
      <c r="A13883" s="1"/>
      <c r="B13883" s="1" t="s">
        <v>5782</v>
      </c>
      <c r="C13883" s="1" t="s">
        <v>5783</v>
      </c>
      <c r="D13883" s="22" t="str">
        <f>HYPERLINK("https://rhld.insurance.arkansas.gov/NPILookup?Npi=1255865077","1255865077")</f>
        <v>1255865077</v>
      </c>
      <c r="E13883" s="1" t="s">
        <v>21661</v>
      </c>
      <c r="F13883" s="2"/>
      <c r="G13883" s="2"/>
      <c r="H13883" s="2"/>
    </row>
    <row r="13884" spans="1:8" x14ac:dyDescent="0.25">
      <c r="A13884" s="1"/>
      <c r="B13884" s="1" t="s">
        <v>5782</v>
      </c>
      <c r="C13884" s="1" t="s">
        <v>5783</v>
      </c>
      <c r="D13884" s="22" t="str">
        <f>HYPERLINK("https://rhld.insurance.arkansas.gov/NPILookup?Npi=1255879078","1255879078")</f>
        <v>1255879078</v>
      </c>
      <c r="E13884" s="1" t="s">
        <v>21662</v>
      </c>
      <c r="F13884" s="2"/>
      <c r="G13884" s="2"/>
      <c r="H13884" s="2"/>
    </row>
    <row r="13885" spans="1:8" x14ac:dyDescent="0.25">
      <c r="A13885" s="1"/>
      <c r="B13885" s="1" t="s">
        <v>5782</v>
      </c>
      <c r="C13885" s="1" t="s">
        <v>5783</v>
      </c>
      <c r="D13885" s="22" t="str">
        <f>HYPERLINK("https://rhld.insurance.arkansas.gov/NPILookup?Npi=1255885810","1255885810")</f>
        <v>1255885810</v>
      </c>
      <c r="E13885" s="1" t="s">
        <v>11616</v>
      </c>
      <c r="F13885" s="2"/>
      <c r="G13885" s="2"/>
      <c r="H13885" s="2"/>
    </row>
    <row r="13886" spans="1:8" x14ac:dyDescent="0.25">
      <c r="A13886" s="1"/>
      <c r="B13886" s="1" t="s">
        <v>5782</v>
      </c>
      <c r="C13886" s="1" t="s">
        <v>5783</v>
      </c>
      <c r="D13886" s="22" t="str">
        <f>HYPERLINK("https://rhld.insurance.arkansas.gov/NPILookup?Npi=1255887824","1255887824")</f>
        <v>1255887824</v>
      </c>
      <c r="E13886" s="1" t="s">
        <v>11617</v>
      </c>
      <c r="F13886" s="2"/>
      <c r="G13886" s="2"/>
      <c r="H13886" s="2"/>
    </row>
    <row r="13887" spans="1:8" x14ac:dyDescent="0.25">
      <c r="A13887" s="1"/>
      <c r="B13887" s="1" t="s">
        <v>5782</v>
      </c>
      <c r="C13887" s="1" t="s">
        <v>5783</v>
      </c>
      <c r="D13887" s="22" t="str">
        <f>HYPERLINK("https://rhld.insurance.arkansas.gov/NPILookup?Npi=1255904686","1255904686")</f>
        <v>1255904686</v>
      </c>
      <c r="E13887" s="1" t="s">
        <v>21663</v>
      </c>
      <c r="F13887" s="2"/>
      <c r="G13887" s="2"/>
      <c r="H13887" s="2"/>
    </row>
    <row r="13888" spans="1:8" x14ac:dyDescent="0.25">
      <c r="A13888" s="1"/>
      <c r="B13888" s="1" t="s">
        <v>5782</v>
      </c>
      <c r="C13888" s="1" t="s">
        <v>5783</v>
      </c>
      <c r="D13888" s="22" t="str">
        <f>HYPERLINK("https://rhld.insurance.arkansas.gov/NPILookup?Npi=1255923470","1255923470")</f>
        <v>1255923470</v>
      </c>
      <c r="E13888" s="1" t="s">
        <v>21664</v>
      </c>
      <c r="F13888" s="2"/>
      <c r="G13888" s="2"/>
      <c r="H13888" s="2"/>
    </row>
    <row r="13889" spans="1:8" x14ac:dyDescent="0.25">
      <c r="A13889" s="1"/>
      <c r="B13889" s="1" t="s">
        <v>5782</v>
      </c>
      <c r="C13889" s="1" t="s">
        <v>5783</v>
      </c>
      <c r="D13889" s="22" t="str">
        <f>HYPERLINK("https://rhld.insurance.arkansas.gov/NPILookup?Npi=1255925186","1255925186")</f>
        <v>1255925186</v>
      </c>
      <c r="E13889" s="1" t="s">
        <v>21665</v>
      </c>
      <c r="F13889" s="2"/>
      <c r="G13889" s="2"/>
      <c r="H13889" s="2"/>
    </row>
    <row r="13890" spans="1:8" x14ac:dyDescent="0.25">
      <c r="A13890" s="1"/>
      <c r="B13890" s="1" t="s">
        <v>5782</v>
      </c>
      <c r="C13890" s="1" t="s">
        <v>5783</v>
      </c>
      <c r="D13890" s="22" t="str">
        <f>HYPERLINK("https://rhld.insurance.arkansas.gov/NPILookup?Npi=1255928701","1255928701")</f>
        <v>1255928701</v>
      </c>
      <c r="E13890" s="1" t="s">
        <v>11618</v>
      </c>
      <c r="F13890" s="2"/>
      <c r="G13890" s="2"/>
      <c r="H13890" s="2"/>
    </row>
    <row r="13891" spans="1:8" x14ac:dyDescent="0.25">
      <c r="A13891" s="1"/>
      <c r="B13891" s="1" t="s">
        <v>5782</v>
      </c>
      <c r="C13891" s="1" t="s">
        <v>5783</v>
      </c>
      <c r="D13891" s="22" t="str">
        <f>HYPERLINK("https://rhld.insurance.arkansas.gov/NPILookup?Npi=1255960019","1255960019")</f>
        <v>1255960019</v>
      </c>
      <c r="E13891" s="1" t="s">
        <v>31837</v>
      </c>
      <c r="F13891" s="2"/>
      <c r="G13891" s="2"/>
      <c r="H13891" s="2"/>
    </row>
    <row r="13892" spans="1:8" x14ac:dyDescent="0.25">
      <c r="A13892" s="1"/>
      <c r="B13892" s="1" t="s">
        <v>5782</v>
      </c>
      <c r="C13892" s="1" t="s">
        <v>5783</v>
      </c>
      <c r="D13892" s="22" t="str">
        <f>HYPERLINK("https://rhld.insurance.arkansas.gov/NPILookup?Npi=1255985982","1255985982")</f>
        <v>1255985982</v>
      </c>
      <c r="E13892" s="1" t="s">
        <v>21666</v>
      </c>
      <c r="F13892" s="2"/>
      <c r="G13892" s="2"/>
      <c r="H13892" s="2"/>
    </row>
    <row r="13893" spans="1:8" x14ac:dyDescent="0.25">
      <c r="A13893" s="1"/>
      <c r="B13893" s="1" t="s">
        <v>5782</v>
      </c>
      <c r="C13893" s="1" t="s">
        <v>5783</v>
      </c>
      <c r="D13893" s="22" t="str">
        <f>HYPERLINK("https://rhld.insurance.arkansas.gov/NPILookup?Npi=1255987699","1255987699")</f>
        <v>1255987699</v>
      </c>
      <c r="E13893" s="1" t="s">
        <v>21667</v>
      </c>
      <c r="F13893" s="2"/>
      <c r="G13893" s="2"/>
      <c r="H13893" s="2"/>
    </row>
    <row r="13894" spans="1:8" x14ac:dyDescent="0.25">
      <c r="A13894" s="1"/>
      <c r="B13894" s="1" t="s">
        <v>5782</v>
      </c>
      <c r="C13894" s="1" t="s">
        <v>5783</v>
      </c>
      <c r="D13894" s="22" t="str">
        <f>HYPERLINK("https://rhld.insurance.arkansas.gov/NPILookup?Npi=1255989026","1255989026")</f>
        <v>1255989026</v>
      </c>
      <c r="E13894" s="1" t="s">
        <v>11619</v>
      </c>
      <c r="F13894" s="2"/>
      <c r="G13894" s="2"/>
      <c r="H13894" s="2"/>
    </row>
    <row r="13895" spans="1:8" x14ac:dyDescent="0.25">
      <c r="A13895" s="1"/>
      <c r="B13895" s="1" t="s">
        <v>5782</v>
      </c>
      <c r="C13895" s="1" t="s">
        <v>5783</v>
      </c>
      <c r="D13895" s="22" t="str">
        <f>HYPERLINK("https://rhld.insurance.arkansas.gov/NPILookup?Npi=1255992640","1255992640")</f>
        <v>1255992640</v>
      </c>
      <c r="E13895" s="1" t="s">
        <v>6101</v>
      </c>
      <c r="F13895" s="2"/>
      <c r="G13895" s="2"/>
      <c r="H13895" s="2"/>
    </row>
    <row r="13896" spans="1:8" x14ac:dyDescent="0.25">
      <c r="A13896" s="1"/>
      <c r="B13896" s="1" t="s">
        <v>5782</v>
      </c>
      <c r="C13896" s="1" t="s">
        <v>5783</v>
      </c>
      <c r="D13896" s="22" t="str">
        <f>HYPERLINK("https://rhld.insurance.arkansas.gov/NPILookup?Npi=1255995999","1255995999")</f>
        <v>1255995999</v>
      </c>
      <c r="E13896" s="1" t="s">
        <v>21668</v>
      </c>
      <c r="F13896" s="2"/>
      <c r="G13896" s="2"/>
      <c r="H13896" s="2"/>
    </row>
    <row r="13897" spans="1:8" x14ac:dyDescent="0.25">
      <c r="A13897" s="1"/>
      <c r="B13897" s="1" t="s">
        <v>5782</v>
      </c>
      <c r="C13897" s="1" t="s">
        <v>5783</v>
      </c>
      <c r="D13897" s="22" t="str">
        <f>HYPERLINK("https://rhld.insurance.arkansas.gov/NPILookup?Npi=1265001044","1265001044")</f>
        <v>1265001044</v>
      </c>
      <c r="E13897" s="1" t="s">
        <v>6102</v>
      </c>
      <c r="F13897" s="2"/>
      <c r="G13897" s="2"/>
      <c r="H13897" s="2"/>
    </row>
    <row r="13898" spans="1:8" x14ac:dyDescent="0.25">
      <c r="A13898" s="1"/>
      <c r="B13898" s="1" t="s">
        <v>5782</v>
      </c>
      <c r="C13898" s="1" t="s">
        <v>5783</v>
      </c>
      <c r="D13898" s="22" t="str">
        <f>HYPERLINK("https://rhld.insurance.arkansas.gov/NPILookup?Npi=1265030175","1265030175")</f>
        <v>1265030175</v>
      </c>
      <c r="E13898" s="1" t="s">
        <v>6103</v>
      </c>
      <c r="F13898" s="2"/>
      <c r="G13898" s="2"/>
      <c r="H13898" s="2"/>
    </row>
    <row r="13899" spans="1:8" x14ac:dyDescent="0.25">
      <c r="A13899" s="1"/>
      <c r="B13899" s="1" t="s">
        <v>5782</v>
      </c>
      <c r="C13899" s="1" t="s">
        <v>5783</v>
      </c>
      <c r="D13899" s="22" t="str">
        <f>HYPERLINK("https://rhld.insurance.arkansas.gov/NPILookup?Npi=1265035349","1265035349")</f>
        <v>1265035349</v>
      </c>
      <c r="E13899" s="1" t="s">
        <v>11620</v>
      </c>
      <c r="F13899" s="2"/>
      <c r="G13899" s="2"/>
      <c r="H13899" s="2"/>
    </row>
    <row r="13900" spans="1:8" x14ac:dyDescent="0.25">
      <c r="A13900" s="1"/>
      <c r="B13900" s="1" t="s">
        <v>5782</v>
      </c>
      <c r="C13900" s="1" t="s">
        <v>5783</v>
      </c>
      <c r="D13900" s="22" t="str">
        <f>HYPERLINK("https://rhld.insurance.arkansas.gov/NPILookup?Npi=1265039606","1265039606")</f>
        <v>1265039606</v>
      </c>
      <c r="E13900" s="1" t="s">
        <v>21669</v>
      </c>
      <c r="F13900" s="2"/>
      <c r="G13900" s="2"/>
      <c r="H13900" s="2"/>
    </row>
    <row r="13901" spans="1:8" x14ac:dyDescent="0.25">
      <c r="A13901" s="1"/>
      <c r="B13901" s="1" t="s">
        <v>5782</v>
      </c>
      <c r="C13901" s="1" t="s">
        <v>5783</v>
      </c>
      <c r="D13901" s="22" t="str">
        <f>HYPERLINK("https://rhld.insurance.arkansas.gov/NPILookup?Npi=1265045090","1265045090")</f>
        <v>1265045090</v>
      </c>
      <c r="E13901" s="1" t="s">
        <v>4449</v>
      </c>
      <c r="F13901" s="2"/>
      <c r="G13901" s="2"/>
      <c r="H13901" s="2"/>
    </row>
    <row r="13902" spans="1:8" x14ac:dyDescent="0.25">
      <c r="A13902" s="1"/>
      <c r="B13902" s="1" t="s">
        <v>5782</v>
      </c>
      <c r="C13902" s="1" t="s">
        <v>5783</v>
      </c>
      <c r="D13902" s="22" t="str">
        <f>HYPERLINK("https://rhld.insurance.arkansas.gov/NPILookup?Npi=1265046882","1265046882")</f>
        <v>1265046882</v>
      </c>
      <c r="E13902" s="1" t="s">
        <v>6104</v>
      </c>
      <c r="F13902" s="2"/>
      <c r="G13902" s="2"/>
      <c r="H13902" s="2"/>
    </row>
    <row r="13903" spans="1:8" x14ac:dyDescent="0.25">
      <c r="A13903" s="1"/>
      <c r="B13903" s="1" t="s">
        <v>5782</v>
      </c>
      <c r="C13903" s="1" t="s">
        <v>5783</v>
      </c>
      <c r="D13903" s="22" t="str">
        <f>HYPERLINK("https://rhld.insurance.arkansas.gov/NPILookup?Npi=1265064794","1265064794")</f>
        <v>1265064794</v>
      </c>
      <c r="E13903" s="1" t="s">
        <v>31838</v>
      </c>
      <c r="F13903" s="2"/>
      <c r="G13903" s="2"/>
      <c r="H13903" s="2"/>
    </row>
    <row r="13904" spans="1:8" x14ac:dyDescent="0.25">
      <c r="A13904" s="1"/>
      <c r="B13904" s="1" t="s">
        <v>5782</v>
      </c>
      <c r="C13904" s="1" t="s">
        <v>5783</v>
      </c>
      <c r="D13904" s="22" t="str">
        <f>HYPERLINK("https://rhld.insurance.arkansas.gov/NPILookup?Npi=1265068019","1265068019")</f>
        <v>1265068019</v>
      </c>
      <c r="E13904" s="1" t="s">
        <v>21670</v>
      </c>
      <c r="F13904" s="2"/>
      <c r="G13904" s="2"/>
      <c r="H13904" s="2"/>
    </row>
    <row r="13905" spans="1:8" x14ac:dyDescent="0.25">
      <c r="A13905" s="1"/>
      <c r="B13905" s="1" t="s">
        <v>5782</v>
      </c>
      <c r="C13905" s="1" t="s">
        <v>5783</v>
      </c>
      <c r="D13905" s="22" t="str">
        <f>HYPERLINK("https://rhld.insurance.arkansas.gov/NPILookup?Npi=1265071484","1265071484")</f>
        <v>1265071484</v>
      </c>
      <c r="E13905" s="1" t="s">
        <v>6105</v>
      </c>
      <c r="F13905" s="2"/>
      <c r="G13905" s="2"/>
      <c r="H13905" s="2"/>
    </row>
    <row r="13906" spans="1:8" x14ac:dyDescent="0.25">
      <c r="A13906" s="1"/>
      <c r="B13906" s="1" t="s">
        <v>5782</v>
      </c>
      <c r="C13906" s="1" t="s">
        <v>5783</v>
      </c>
      <c r="D13906" s="22" t="str">
        <f>HYPERLINK("https://rhld.insurance.arkansas.gov/NPILookup?Npi=1265087274","1265087274")</f>
        <v>1265087274</v>
      </c>
      <c r="E13906" s="1" t="s">
        <v>21671</v>
      </c>
      <c r="F13906" s="2"/>
      <c r="G13906" s="2"/>
      <c r="H13906" s="2"/>
    </row>
    <row r="13907" spans="1:8" x14ac:dyDescent="0.25">
      <c r="A13907" s="1"/>
      <c r="B13907" s="1" t="s">
        <v>5782</v>
      </c>
      <c r="C13907" s="1" t="s">
        <v>5783</v>
      </c>
      <c r="D13907" s="22" t="str">
        <f>HYPERLINK("https://rhld.insurance.arkansas.gov/NPILookup?Npi=1265095277","1265095277")</f>
        <v>1265095277</v>
      </c>
      <c r="E13907" s="1" t="s">
        <v>11621</v>
      </c>
      <c r="F13907" s="2"/>
      <c r="G13907" s="2"/>
      <c r="H13907" s="2"/>
    </row>
    <row r="13908" spans="1:8" x14ac:dyDescent="0.25">
      <c r="A13908" s="1"/>
      <c r="B13908" s="1" t="s">
        <v>5782</v>
      </c>
      <c r="C13908" s="1" t="s">
        <v>5783</v>
      </c>
      <c r="D13908" s="22" t="str">
        <f>HYPERLINK("https://rhld.insurance.arkansas.gov/NPILookup?Npi=1265099196","1265099196")</f>
        <v>1265099196</v>
      </c>
      <c r="E13908" s="1" t="s">
        <v>21672</v>
      </c>
      <c r="F13908" s="2"/>
      <c r="G13908" s="2"/>
      <c r="H13908" s="2"/>
    </row>
    <row r="13909" spans="1:8" x14ac:dyDescent="0.25">
      <c r="A13909" s="1"/>
      <c r="B13909" s="1" t="s">
        <v>5782</v>
      </c>
      <c r="C13909" s="1" t="s">
        <v>5783</v>
      </c>
      <c r="D13909" s="22" t="str">
        <f>HYPERLINK("https://rhld.insurance.arkansas.gov/NPILookup?Npi=1265111827","1265111827")</f>
        <v>1265111827</v>
      </c>
      <c r="E13909" s="1" t="s">
        <v>21673</v>
      </c>
      <c r="F13909" s="2"/>
      <c r="G13909" s="2"/>
      <c r="H13909" s="2"/>
    </row>
    <row r="13910" spans="1:8" x14ac:dyDescent="0.25">
      <c r="A13910" s="1"/>
      <c r="B13910" s="1" t="s">
        <v>5782</v>
      </c>
      <c r="C13910" s="1" t="s">
        <v>5783</v>
      </c>
      <c r="D13910" s="22" t="str">
        <f>HYPERLINK("https://rhld.insurance.arkansas.gov/NPILookup?Npi=1265142327","1265142327")</f>
        <v>1265142327</v>
      </c>
      <c r="E13910" s="1" t="s">
        <v>21674</v>
      </c>
      <c r="F13910" s="2"/>
      <c r="G13910" s="2"/>
      <c r="H13910" s="2"/>
    </row>
    <row r="13911" spans="1:8" x14ac:dyDescent="0.25">
      <c r="A13911" s="1"/>
      <c r="B13911" s="1" t="s">
        <v>5782</v>
      </c>
      <c r="C13911" s="1" t="s">
        <v>5783</v>
      </c>
      <c r="D13911" s="22" t="str">
        <f>HYPERLINK("https://rhld.insurance.arkansas.gov/NPILookup?Npi=1265148472","1265148472")</f>
        <v>1265148472</v>
      </c>
      <c r="E13911" s="1" t="s">
        <v>11622</v>
      </c>
      <c r="F13911" s="2"/>
      <c r="G13911" s="2"/>
      <c r="H13911" s="2"/>
    </row>
    <row r="13912" spans="1:8" x14ac:dyDescent="0.25">
      <c r="A13912" s="1"/>
      <c r="B13912" s="1" t="s">
        <v>5782</v>
      </c>
      <c r="C13912" s="1" t="s">
        <v>5783</v>
      </c>
      <c r="D13912" s="22" t="str">
        <f>HYPERLINK("https://rhld.insurance.arkansas.gov/NPILookup?Npi=1265162937","1265162937")</f>
        <v>1265162937</v>
      </c>
      <c r="E13912" s="1" t="s">
        <v>31839</v>
      </c>
      <c r="F13912" s="2"/>
      <c r="G13912" s="2"/>
      <c r="H13912" s="2"/>
    </row>
    <row r="13913" spans="1:8" x14ac:dyDescent="0.25">
      <c r="A13913" s="1"/>
      <c r="B13913" s="1" t="s">
        <v>5782</v>
      </c>
      <c r="C13913" s="1" t="s">
        <v>5783</v>
      </c>
      <c r="D13913" s="22" t="str">
        <f>HYPERLINK("https://rhld.insurance.arkansas.gov/NPILookup?Npi=1265163265","1265163265")</f>
        <v>1265163265</v>
      </c>
      <c r="E13913" s="1" t="s">
        <v>6106</v>
      </c>
      <c r="F13913" s="2"/>
      <c r="G13913" s="2"/>
      <c r="H13913" s="2"/>
    </row>
    <row r="13914" spans="1:8" x14ac:dyDescent="0.25">
      <c r="A13914" s="1"/>
      <c r="B13914" s="1" t="s">
        <v>5782</v>
      </c>
      <c r="C13914" s="1" t="s">
        <v>5783</v>
      </c>
      <c r="D13914" s="22" t="str">
        <f>HYPERLINK("https://rhld.insurance.arkansas.gov/NPILookup?Npi=1265195168","1265195168")</f>
        <v>1265195168</v>
      </c>
      <c r="E13914" s="1" t="s">
        <v>1854</v>
      </c>
      <c r="F13914" s="2"/>
      <c r="G13914" s="2"/>
      <c r="H13914" s="2"/>
    </row>
    <row r="13915" spans="1:8" x14ac:dyDescent="0.25">
      <c r="A13915" s="1"/>
      <c r="B13915" s="1" t="s">
        <v>5782</v>
      </c>
      <c r="C13915" s="1" t="s">
        <v>5783</v>
      </c>
      <c r="D13915" s="22" t="str">
        <f>HYPERLINK("https://rhld.insurance.arkansas.gov/NPILookup?Npi=1265268973","1265268973")</f>
        <v>1265268973</v>
      </c>
      <c r="E13915" s="1" t="s">
        <v>21675</v>
      </c>
      <c r="F13915" s="2"/>
      <c r="G13915" s="2"/>
      <c r="H13915" s="2"/>
    </row>
    <row r="13916" spans="1:8" x14ac:dyDescent="0.25">
      <c r="A13916" s="1"/>
      <c r="B13916" s="1" t="s">
        <v>5782</v>
      </c>
      <c r="C13916" s="1" t="s">
        <v>5783</v>
      </c>
      <c r="D13916" s="22" t="str">
        <f>HYPERLINK("https://rhld.insurance.arkansas.gov/NPILookup?Npi=1265404859","1265404859")</f>
        <v>1265404859</v>
      </c>
      <c r="E13916" s="1" t="s">
        <v>21676</v>
      </c>
      <c r="F13916" s="2"/>
      <c r="G13916" s="2"/>
      <c r="H13916" s="2"/>
    </row>
    <row r="13917" spans="1:8" x14ac:dyDescent="0.25">
      <c r="A13917" s="1"/>
      <c r="B13917" s="1" t="s">
        <v>5782</v>
      </c>
      <c r="C13917" s="1" t="s">
        <v>5783</v>
      </c>
      <c r="D13917" s="22" t="str">
        <f>HYPERLINK("https://rhld.insurance.arkansas.gov/NPILookup?Npi=1265430599","1265430599")</f>
        <v>1265430599</v>
      </c>
      <c r="E13917" s="1" t="s">
        <v>6108</v>
      </c>
      <c r="F13917" s="2"/>
      <c r="G13917" s="2"/>
      <c r="H13917" s="2"/>
    </row>
    <row r="13918" spans="1:8" x14ac:dyDescent="0.25">
      <c r="A13918" s="1"/>
      <c r="B13918" s="1" t="s">
        <v>5782</v>
      </c>
      <c r="C13918" s="1" t="s">
        <v>5783</v>
      </c>
      <c r="D13918" s="22" t="str">
        <f>HYPERLINK("https://rhld.insurance.arkansas.gov/NPILookup?Npi=1265433296","1265433296")</f>
        <v>1265433296</v>
      </c>
      <c r="E13918" s="1" t="s">
        <v>1714</v>
      </c>
      <c r="F13918" s="2"/>
      <c r="G13918" s="2"/>
      <c r="H13918" s="2"/>
    </row>
    <row r="13919" spans="1:8" x14ac:dyDescent="0.25">
      <c r="A13919" s="1"/>
      <c r="B13919" s="1" t="s">
        <v>5782</v>
      </c>
      <c r="C13919" s="1" t="s">
        <v>5783</v>
      </c>
      <c r="D13919" s="22" t="str">
        <f>HYPERLINK("https://rhld.insurance.arkansas.gov/NPILookup?Npi=1265441067","1265441067")</f>
        <v>1265441067</v>
      </c>
      <c r="E13919" s="1" t="s">
        <v>21677</v>
      </c>
      <c r="F13919" s="2"/>
      <c r="G13919" s="2"/>
      <c r="H13919" s="2"/>
    </row>
    <row r="13920" spans="1:8" x14ac:dyDescent="0.25">
      <c r="A13920" s="1"/>
      <c r="B13920" s="1" t="s">
        <v>5782</v>
      </c>
      <c r="C13920" s="1" t="s">
        <v>5783</v>
      </c>
      <c r="D13920" s="22" t="str">
        <f>HYPERLINK("https://rhld.insurance.arkansas.gov/NPILookup?Npi=1265451892","1265451892")</f>
        <v>1265451892</v>
      </c>
      <c r="E13920" s="1" t="s">
        <v>21678</v>
      </c>
      <c r="F13920" s="2"/>
      <c r="G13920" s="2"/>
      <c r="H13920" s="2"/>
    </row>
    <row r="13921" spans="1:8" x14ac:dyDescent="0.25">
      <c r="A13921" s="1"/>
      <c r="B13921" s="1" t="s">
        <v>5782</v>
      </c>
      <c r="C13921" s="1" t="s">
        <v>5783</v>
      </c>
      <c r="D13921" s="22" t="str">
        <f>HYPERLINK("https://rhld.insurance.arkansas.gov/NPILookup?Npi=1265477111","1265477111")</f>
        <v>1265477111</v>
      </c>
      <c r="E13921" s="1" t="s">
        <v>21679</v>
      </c>
      <c r="F13921" s="2"/>
      <c r="G13921" s="2"/>
      <c r="H13921" s="2"/>
    </row>
    <row r="13922" spans="1:8" x14ac:dyDescent="0.25">
      <c r="A13922" s="1"/>
      <c r="B13922" s="1" t="s">
        <v>5782</v>
      </c>
      <c r="C13922" s="1" t="s">
        <v>5783</v>
      </c>
      <c r="D13922" s="22" t="str">
        <f>HYPERLINK("https://rhld.insurance.arkansas.gov/NPILookup?Npi=1265504468","1265504468")</f>
        <v>1265504468</v>
      </c>
      <c r="E13922" s="1" t="s">
        <v>6109</v>
      </c>
      <c r="F13922" s="2"/>
      <c r="G13922" s="2"/>
      <c r="H13922" s="2"/>
    </row>
    <row r="13923" spans="1:8" x14ac:dyDescent="0.25">
      <c r="A13923" s="1"/>
      <c r="B13923" s="1" t="s">
        <v>5782</v>
      </c>
      <c r="C13923" s="1" t="s">
        <v>5783</v>
      </c>
      <c r="D13923" s="22" t="str">
        <f>HYPERLINK("https://rhld.insurance.arkansas.gov/NPILookup?Npi=1265542641","1265542641")</f>
        <v>1265542641</v>
      </c>
      <c r="E13923" s="1" t="s">
        <v>21680</v>
      </c>
      <c r="F13923" s="2"/>
      <c r="G13923" s="2"/>
      <c r="H13923" s="2"/>
    </row>
    <row r="13924" spans="1:8" x14ac:dyDescent="0.25">
      <c r="A13924" s="1"/>
      <c r="B13924" s="1" t="s">
        <v>5782</v>
      </c>
      <c r="C13924" s="1" t="s">
        <v>5783</v>
      </c>
      <c r="D13924" s="22" t="str">
        <f>HYPERLINK("https://rhld.insurance.arkansas.gov/NPILookup?Npi=1265579080","1265579080")</f>
        <v>1265579080</v>
      </c>
      <c r="E13924" s="1" t="s">
        <v>21681</v>
      </c>
      <c r="F13924" s="2"/>
      <c r="G13924" s="2"/>
      <c r="H13924" s="2"/>
    </row>
    <row r="13925" spans="1:8" x14ac:dyDescent="0.25">
      <c r="A13925" s="1"/>
      <c r="B13925" s="1" t="s">
        <v>5782</v>
      </c>
      <c r="C13925" s="1" t="s">
        <v>5783</v>
      </c>
      <c r="D13925" s="22" t="str">
        <f>HYPERLINK("https://rhld.insurance.arkansas.gov/NPILookup?Npi=1265589493","1265589493")</f>
        <v>1265589493</v>
      </c>
      <c r="E13925" s="1" t="s">
        <v>1131</v>
      </c>
      <c r="F13925" s="2"/>
      <c r="G13925" s="2"/>
      <c r="H13925" s="2"/>
    </row>
    <row r="13926" spans="1:8" x14ac:dyDescent="0.25">
      <c r="A13926" s="1"/>
      <c r="B13926" s="1" t="s">
        <v>5782</v>
      </c>
      <c r="C13926" s="1" t="s">
        <v>5783</v>
      </c>
      <c r="D13926" s="22" t="str">
        <f>HYPERLINK("https://rhld.insurance.arkansas.gov/NPILookup?Npi=1265590384","1265590384")</f>
        <v>1265590384</v>
      </c>
      <c r="E13926" s="1" t="s">
        <v>11624</v>
      </c>
      <c r="F13926" s="2"/>
      <c r="G13926" s="2"/>
      <c r="H13926" s="2"/>
    </row>
    <row r="13927" spans="1:8" x14ac:dyDescent="0.25">
      <c r="A13927" s="1"/>
      <c r="B13927" s="1" t="s">
        <v>5782</v>
      </c>
      <c r="C13927" s="1" t="s">
        <v>5783</v>
      </c>
      <c r="D13927" s="22" t="str">
        <f>HYPERLINK("https://rhld.insurance.arkansas.gov/NPILookup?Npi=1265592265","1265592265")</f>
        <v>1265592265</v>
      </c>
      <c r="E13927" s="1" t="s">
        <v>6110</v>
      </c>
      <c r="F13927" s="2"/>
      <c r="G13927" s="2"/>
      <c r="H13927" s="2"/>
    </row>
    <row r="13928" spans="1:8" x14ac:dyDescent="0.25">
      <c r="A13928" s="1"/>
      <c r="B13928" s="1" t="s">
        <v>5782</v>
      </c>
      <c r="C13928" s="1" t="s">
        <v>5783</v>
      </c>
      <c r="D13928" s="22" t="str">
        <f>HYPERLINK("https://rhld.insurance.arkansas.gov/NPILookup?Npi=1265594345","1265594345")</f>
        <v>1265594345</v>
      </c>
      <c r="E13928" s="1" t="s">
        <v>11625</v>
      </c>
      <c r="F13928" s="2"/>
      <c r="G13928" s="2"/>
      <c r="H13928" s="2"/>
    </row>
    <row r="13929" spans="1:8" x14ac:dyDescent="0.25">
      <c r="A13929" s="1"/>
      <c r="B13929" s="1" t="s">
        <v>5782</v>
      </c>
      <c r="C13929" s="1" t="s">
        <v>5783</v>
      </c>
      <c r="D13929" s="22" t="str">
        <f>HYPERLINK("https://rhld.insurance.arkansas.gov/NPILookup?Npi=1265609747","1265609747")</f>
        <v>1265609747</v>
      </c>
      <c r="E13929" s="1" t="s">
        <v>474</v>
      </c>
      <c r="F13929" s="2"/>
      <c r="G13929" s="2"/>
      <c r="H13929" s="2"/>
    </row>
    <row r="13930" spans="1:8" x14ac:dyDescent="0.25">
      <c r="A13930" s="1"/>
      <c r="B13930" s="1" t="s">
        <v>5782</v>
      </c>
      <c r="C13930" s="1" t="s">
        <v>5783</v>
      </c>
      <c r="D13930" s="22" t="str">
        <f>HYPERLINK("https://rhld.insurance.arkansas.gov/NPILookup?Npi=1265612303","1265612303")</f>
        <v>1265612303</v>
      </c>
      <c r="E13930" s="1" t="s">
        <v>11626</v>
      </c>
      <c r="F13930" s="2"/>
      <c r="G13930" s="2"/>
      <c r="H13930" s="2"/>
    </row>
    <row r="13931" spans="1:8" x14ac:dyDescent="0.25">
      <c r="A13931" s="1"/>
      <c r="B13931" s="1" t="s">
        <v>5782</v>
      </c>
      <c r="C13931" s="1" t="s">
        <v>5783</v>
      </c>
      <c r="D13931" s="22" t="str">
        <f>HYPERLINK("https://rhld.insurance.arkansas.gov/NPILookup?Npi=1265641914","1265641914")</f>
        <v>1265641914</v>
      </c>
      <c r="E13931" s="1" t="s">
        <v>11627</v>
      </c>
      <c r="F13931" s="2"/>
      <c r="G13931" s="2"/>
      <c r="H13931" s="2"/>
    </row>
    <row r="13932" spans="1:8" x14ac:dyDescent="0.25">
      <c r="A13932" s="1"/>
      <c r="B13932" s="1" t="s">
        <v>5782</v>
      </c>
      <c r="C13932" s="1" t="s">
        <v>5783</v>
      </c>
      <c r="D13932" s="22" t="str">
        <f>HYPERLINK("https://rhld.insurance.arkansas.gov/NPILookup?Npi=1265681936","1265681936")</f>
        <v>1265681936</v>
      </c>
      <c r="E13932" s="1" t="s">
        <v>6111</v>
      </c>
      <c r="F13932" s="2"/>
      <c r="G13932" s="2"/>
      <c r="H13932" s="2"/>
    </row>
    <row r="13933" spans="1:8" x14ac:dyDescent="0.25">
      <c r="A13933" s="1"/>
      <c r="B13933" s="1" t="s">
        <v>5782</v>
      </c>
      <c r="C13933" s="1" t="s">
        <v>5783</v>
      </c>
      <c r="D13933" s="22" t="str">
        <f>HYPERLINK("https://rhld.insurance.arkansas.gov/NPILookup?Npi=1265684203","1265684203")</f>
        <v>1265684203</v>
      </c>
      <c r="E13933" s="1" t="s">
        <v>3236</v>
      </c>
      <c r="F13933" s="2"/>
      <c r="G13933" s="2"/>
      <c r="H13933" s="2"/>
    </row>
    <row r="13934" spans="1:8" x14ac:dyDescent="0.25">
      <c r="A13934" s="1"/>
      <c r="B13934" s="1" t="s">
        <v>5782</v>
      </c>
      <c r="C13934" s="1" t="s">
        <v>5783</v>
      </c>
      <c r="D13934" s="22" t="str">
        <f>HYPERLINK("https://rhld.insurance.arkansas.gov/NPILookup?Npi=1265684369","1265684369")</f>
        <v>1265684369</v>
      </c>
      <c r="E13934" s="1" t="s">
        <v>11628</v>
      </c>
      <c r="F13934" s="2"/>
      <c r="G13934" s="2"/>
      <c r="H13934" s="2"/>
    </row>
    <row r="13935" spans="1:8" x14ac:dyDescent="0.25">
      <c r="A13935" s="1"/>
      <c r="B13935" s="1" t="s">
        <v>5782</v>
      </c>
      <c r="C13935" s="1" t="s">
        <v>5783</v>
      </c>
      <c r="D13935" s="22" t="str">
        <f>HYPERLINK("https://rhld.insurance.arkansas.gov/NPILookup?Npi=1265685119","1265685119")</f>
        <v>1265685119</v>
      </c>
      <c r="E13935" s="1" t="s">
        <v>21682</v>
      </c>
      <c r="F13935" s="2"/>
      <c r="G13935" s="2"/>
      <c r="H13935" s="2"/>
    </row>
    <row r="13936" spans="1:8" x14ac:dyDescent="0.25">
      <c r="A13936" s="1"/>
      <c r="B13936" s="1" t="s">
        <v>5782</v>
      </c>
      <c r="C13936" s="1" t="s">
        <v>5783</v>
      </c>
      <c r="D13936" s="22" t="str">
        <f>HYPERLINK("https://rhld.insurance.arkansas.gov/NPILookup?Npi=1265715817","1265715817")</f>
        <v>1265715817</v>
      </c>
      <c r="E13936" s="1" t="s">
        <v>6112</v>
      </c>
      <c r="F13936" s="2"/>
      <c r="G13936" s="2"/>
      <c r="H13936" s="2"/>
    </row>
    <row r="13937" spans="1:8" x14ac:dyDescent="0.25">
      <c r="A13937" s="1"/>
      <c r="B13937" s="1" t="s">
        <v>5782</v>
      </c>
      <c r="C13937" s="1" t="s">
        <v>5783</v>
      </c>
      <c r="D13937" s="22" t="str">
        <f>HYPERLINK("https://rhld.insurance.arkansas.gov/NPILookup?Npi=1265741185","1265741185")</f>
        <v>1265741185</v>
      </c>
      <c r="E13937" s="1" t="s">
        <v>1855</v>
      </c>
      <c r="F13937" s="2"/>
      <c r="G13937" s="2"/>
      <c r="H13937" s="2"/>
    </row>
    <row r="13938" spans="1:8" x14ac:dyDescent="0.25">
      <c r="A13938" s="1"/>
      <c r="B13938" s="1" t="s">
        <v>5782</v>
      </c>
      <c r="C13938" s="1" t="s">
        <v>5783</v>
      </c>
      <c r="D13938" s="22" t="str">
        <f>HYPERLINK("https://rhld.insurance.arkansas.gov/NPILookup?Npi=1265767073","1265767073")</f>
        <v>1265767073</v>
      </c>
      <c r="E13938" s="1" t="s">
        <v>21683</v>
      </c>
      <c r="F13938" s="2"/>
      <c r="G13938" s="2"/>
      <c r="H13938" s="2"/>
    </row>
    <row r="13939" spans="1:8" x14ac:dyDescent="0.25">
      <c r="A13939" s="1"/>
      <c r="B13939" s="1" t="s">
        <v>5782</v>
      </c>
      <c r="C13939" s="1" t="s">
        <v>5783</v>
      </c>
      <c r="D13939" s="22" t="str">
        <f>HYPERLINK("https://rhld.insurance.arkansas.gov/NPILookup?Npi=1265782601","1265782601")</f>
        <v>1265782601</v>
      </c>
      <c r="E13939" s="1" t="s">
        <v>31840</v>
      </c>
      <c r="F13939" s="2"/>
      <c r="G13939" s="2"/>
      <c r="H13939" s="2"/>
    </row>
    <row r="13940" spans="1:8" x14ac:dyDescent="0.25">
      <c r="A13940" s="1"/>
      <c r="B13940" s="1" t="s">
        <v>5782</v>
      </c>
      <c r="C13940" s="1" t="s">
        <v>5783</v>
      </c>
      <c r="D13940" s="22" t="str">
        <f>HYPERLINK("https://rhld.insurance.arkansas.gov/NPILookup?Npi=1265782767","1265782767")</f>
        <v>1265782767</v>
      </c>
      <c r="E13940" s="1" t="s">
        <v>21684</v>
      </c>
      <c r="F13940" s="2"/>
      <c r="G13940" s="2"/>
      <c r="H13940" s="2"/>
    </row>
    <row r="13941" spans="1:8" x14ac:dyDescent="0.25">
      <c r="A13941" s="1"/>
      <c r="B13941" s="1" t="s">
        <v>5782</v>
      </c>
      <c r="C13941" s="1" t="s">
        <v>5783</v>
      </c>
      <c r="D13941" s="22" t="str">
        <f>HYPERLINK("https://rhld.insurance.arkansas.gov/NPILookup?Npi=1265789465","1265789465")</f>
        <v>1265789465</v>
      </c>
      <c r="E13941" s="1" t="s">
        <v>21685</v>
      </c>
      <c r="F13941" s="2"/>
      <c r="G13941" s="2"/>
      <c r="H13941" s="2"/>
    </row>
    <row r="13942" spans="1:8" x14ac:dyDescent="0.25">
      <c r="A13942" s="1"/>
      <c r="B13942" s="1" t="s">
        <v>5782</v>
      </c>
      <c r="C13942" s="1" t="s">
        <v>5783</v>
      </c>
      <c r="D13942" s="22" t="str">
        <f>HYPERLINK("https://rhld.insurance.arkansas.gov/NPILookup?Npi=1265807325","1265807325")</f>
        <v>1265807325</v>
      </c>
      <c r="E13942" s="1" t="s">
        <v>6113</v>
      </c>
      <c r="F13942" s="2"/>
      <c r="G13942" s="2"/>
      <c r="H13942" s="2"/>
    </row>
    <row r="13943" spans="1:8" x14ac:dyDescent="0.25">
      <c r="A13943" s="1"/>
      <c r="B13943" s="1" t="s">
        <v>5782</v>
      </c>
      <c r="C13943" s="1" t="s">
        <v>5783</v>
      </c>
      <c r="D13943" s="22" t="str">
        <f>HYPERLINK("https://rhld.insurance.arkansas.gov/NPILookup?Npi=1265808281","1265808281")</f>
        <v>1265808281</v>
      </c>
      <c r="E13943" s="1" t="s">
        <v>31841</v>
      </c>
      <c r="F13943" s="2"/>
      <c r="G13943" s="2"/>
      <c r="H13943" s="2"/>
    </row>
    <row r="13944" spans="1:8" x14ac:dyDescent="0.25">
      <c r="A13944" s="1"/>
      <c r="B13944" s="1" t="s">
        <v>5782</v>
      </c>
      <c r="C13944" s="1" t="s">
        <v>5783</v>
      </c>
      <c r="D13944" s="22" t="str">
        <f>HYPERLINK("https://rhld.insurance.arkansas.gov/NPILookup?Npi=1265821318","1265821318")</f>
        <v>1265821318</v>
      </c>
      <c r="E13944" s="1" t="s">
        <v>21686</v>
      </c>
      <c r="F13944" s="2"/>
      <c r="G13944" s="2"/>
      <c r="H13944" s="2"/>
    </row>
    <row r="13945" spans="1:8" x14ac:dyDescent="0.25">
      <c r="A13945" s="1"/>
      <c r="B13945" s="1" t="s">
        <v>5782</v>
      </c>
      <c r="C13945" s="1" t="s">
        <v>5783</v>
      </c>
      <c r="D13945" s="22" t="str">
        <f>HYPERLINK("https://rhld.insurance.arkansas.gov/NPILookup?Npi=1265834733","1265834733")</f>
        <v>1265834733</v>
      </c>
      <c r="E13945" s="1" t="s">
        <v>5856</v>
      </c>
      <c r="F13945" s="2"/>
      <c r="G13945" s="2"/>
      <c r="H13945" s="2"/>
    </row>
    <row r="13946" spans="1:8" x14ac:dyDescent="0.25">
      <c r="A13946" s="1"/>
      <c r="B13946" s="1" t="s">
        <v>5782</v>
      </c>
      <c r="C13946" s="1" t="s">
        <v>5783</v>
      </c>
      <c r="D13946" s="22" t="str">
        <f>HYPERLINK("https://rhld.insurance.arkansas.gov/NPILookup?Npi=1265842520","1265842520")</f>
        <v>1265842520</v>
      </c>
      <c r="E13946" s="1" t="s">
        <v>21687</v>
      </c>
      <c r="F13946" s="2"/>
      <c r="G13946" s="2"/>
      <c r="H13946" s="2"/>
    </row>
    <row r="13947" spans="1:8" x14ac:dyDescent="0.25">
      <c r="A13947" s="1"/>
      <c r="B13947" s="1" t="s">
        <v>5782</v>
      </c>
      <c r="C13947" s="1" t="s">
        <v>5783</v>
      </c>
      <c r="D13947" s="22" t="str">
        <f>HYPERLINK("https://rhld.insurance.arkansas.gov/NPILookup?Npi=1265843106","1265843106")</f>
        <v>1265843106</v>
      </c>
      <c r="E13947" s="1" t="s">
        <v>2696</v>
      </c>
      <c r="F13947" s="2"/>
      <c r="G13947" s="2"/>
      <c r="H13947" s="2"/>
    </row>
    <row r="13948" spans="1:8" x14ac:dyDescent="0.25">
      <c r="A13948" s="1"/>
      <c r="B13948" s="1" t="s">
        <v>5782</v>
      </c>
      <c r="C13948" s="1" t="s">
        <v>5783</v>
      </c>
      <c r="D13948" s="22" t="str">
        <f>HYPERLINK("https://rhld.insurance.arkansas.gov/NPILookup?Npi=1265845788","1265845788")</f>
        <v>1265845788</v>
      </c>
      <c r="E13948" s="1" t="s">
        <v>21060</v>
      </c>
      <c r="F13948" s="2"/>
      <c r="G13948" s="2"/>
      <c r="H13948" s="2"/>
    </row>
    <row r="13949" spans="1:8" x14ac:dyDescent="0.25">
      <c r="A13949" s="1"/>
      <c r="B13949" s="1" t="s">
        <v>5782</v>
      </c>
      <c r="C13949" s="1" t="s">
        <v>5783</v>
      </c>
      <c r="D13949" s="22" t="str">
        <f>HYPERLINK("https://rhld.insurance.arkansas.gov/NPILookup?Npi=1265846620","1265846620")</f>
        <v>1265846620</v>
      </c>
      <c r="E13949" s="1" t="s">
        <v>21688</v>
      </c>
      <c r="F13949" s="2"/>
      <c r="G13949" s="2"/>
      <c r="H13949" s="2"/>
    </row>
    <row r="13950" spans="1:8" x14ac:dyDescent="0.25">
      <c r="A13950" s="1"/>
      <c r="B13950" s="1" t="s">
        <v>5782</v>
      </c>
      <c r="C13950" s="1" t="s">
        <v>5783</v>
      </c>
      <c r="D13950" s="22" t="str">
        <f>HYPERLINK("https://rhld.insurance.arkansas.gov/NPILookup?Npi=1265848063","1265848063")</f>
        <v>1265848063</v>
      </c>
      <c r="E13950" s="1" t="s">
        <v>6114</v>
      </c>
      <c r="F13950" s="2"/>
      <c r="G13950" s="2"/>
      <c r="H13950" s="2"/>
    </row>
    <row r="13951" spans="1:8" x14ac:dyDescent="0.25">
      <c r="A13951" s="1"/>
      <c r="B13951" s="1" t="s">
        <v>5782</v>
      </c>
      <c r="C13951" s="1" t="s">
        <v>5783</v>
      </c>
      <c r="D13951" s="22" t="str">
        <f>HYPERLINK("https://rhld.insurance.arkansas.gov/NPILookup?Npi=1265853162","1265853162")</f>
        <v>1265853162</v>
      </c>
      <c r="E13951" s="1" t="s">
        <v>21689</v>
      </c>
      <c r="F13951" s="2"/>
      <c r="G13951" s="2"/>
      <c r="H13951" s="2"/>
    </row>
    <row r="13952" spans="1:8" x14ac:dyDescent="0.25">
      <c r="A13952" s="1"/>
      <c r="B13952" s="1" t="s">
        <v>5782</v>
      </c>
      <c r="C13952" s="1" t="s">
        <v>5783</v>
      </c>
      <c r="D13952" s="22" t="str">
        <f>HYPERLINK("https://rhld.insurance.arkansas.gov/NPILookup?Npi=1265857312","1265857312")</f>
        <v>1265857312</v>
      </c>
      <c r="E13952" s="1" t="s">
        <v>2226</v>
      </c>
      <c r="F13952" s="2"/>
      <c r="G13952" s="2"/>
      <c r="H13952" s="2"/>
    </row>
    <row r="13953" spans="1:8" x14ac:dyDescent="0.25">
      <c r="A13953" s="1"/>
      <c r="B13953" s="1" t="s">
        <v>5782</v>
      </c>
      <c r="C13953" s="1" t="s">
        <v>5783</v>
      </c>
      <c r="D13953" s="22" t="str">
        <f>HYPERLINK("https://rhld.insurance.arkansas.gov/NPILookup?Npi=1265891246","1265891246")</f>
        <v>1265891246</v>
      </c>
      <c r="E13953" s="1" t="s">
        <v>6116</v>
      </c>
      <c r="F13953" s="2"/>
      <c r="G13953" s="2"/>
      <c r="H13953" s="2"/>
    </row>
    <row r="13954" spans="1:8" x14ac:dyDescent="0.25">
      <c r="A13954" s="1"/>
      <c r="B13954" s="1" t="s">
        <v>5782</v>
      </c>
      <c r="C13954" s="1" t="s">
        <v>5783</v>
      </c>
      <c r="D13954" s="22" t="str">
        <f>HYPERLINK("https://rhld.insurance.arkansas.gov/NPILookup?Npi=1265899462","1265899462")</f>
        <v>1265899462</v>
      </c>
      <c r="E13954" s="1" t="s">
        <v>21690</v>
      </c>
      <c r="F13954" s="2"/>
      <c r="G13954" s="2"/>
      <c r="H13954" s="2"/>
    </row>
    <row r="13955" spans="1:8" x14ac:dyDescent="0.25">
      <c r="A13955" s="1"/>
      <c r="B13955" s="1" t="s">
        <v>5782</v>
      </c>
      <c r="C13955" s="1" t="s">
        <v>5783</v>
      </c>
      <c r="D13955" s="22" t="str">
        <f>HYPERLINK("https://rhld.insurance.arkansas.gov/NPILookup?Npi=1265919864","1265919864")</f>
        <v>1265919864</v>
      </c>
      <c r="E13955" s="1" t="s">
        <v>6117</v>
      </c>
      <c r="F13955" s="2"/>
      <c r="G13955" s="2"/>
      <c r="H13955" s="2"/>
    </row>
    <row r="13956" spans="1:8" x14ac:dyDescent="0.25">
      <c r="A13956" s="1"/>
      <c r="B13956" s="1" t="s">
        <v>5782</v>
      </c>
      <c r="C13956" s="1" t="s">
        <v>5783</v>
      </c>
      <c r="D13956" s="22" t="str">
        <f>HYPERLINK("https://rhld.insurance.arkansas.gov/NPILookup?Npi=1265933733","1265933733")</f>
        <v>1265933733</v>
      </c>
      <c r="E13956" s="1" t="s">
        <v>21691</v>
      </c>
      <c r="F13956" s="2"/>
      <c r="G13956" s="2"/>
      <c r="H13956" s="2"/>
    </row>
    <row r="13957" spans="1:8" x14ac:dyDescent="0.25">
      <c r="A13957" s="1"/>
      <c r="B13957" s="1" t="s">
        <v>5782</v>
      </c>
      <c r="C13957" s="1" t="s">
        <v>5783</v>
      </c>
      <c r="D13957" s="22" t="str">
        <f>HYPERLINK("https://rhld.insurance.arkansas.gov/NPILookup?Npi=1265941090","1265941090")</f>
        <v>1265941090</v>
      </c>
      <c r="E13957" s="1" t="s">
        <v>21692</v>
      </c>
      <c r="F13957" s="2"/>
      <c r="G13957" s="2"/>
      <c r="H13957" s="2"/>
    </row>
    <row r="13958" spans="1:8" x14ac:dyDescent="0.25">
      <c r="A13958" s="1"/>
      <c r="B13958" s="1" t="s">
        <v>5782</v>
      </c>
      <c r="C13958" s="1" t="s">
        <v>5783</v>
      </c>
      <c r="D13958" s="22" t="str">
        <f>HYPERLINK("https://rhld.insurance.arkansas.gov/NPILookup?Npi=1265950034","1265950034")</f>
        <v>1265950034</v>
      </c>
      <c r="E13958" s="1" t="s">
        <v>927</v>
      </c>
      <c r="F13958" s="2"/>
      <c r="G13958" s="2"/>
      <c r="H13958" s="2"/>
    </row>
    <row r="13959" spans="1:8" x14ac:dyDescent="0.25">
      <c r="A13959" s="1"/>
      <c r="B13959" s="1" t="s">
        <v>5782</v>
      </c>
      <c r="C13959" s="1" t="s">
        <v>5783</v>
      </c>
      <c r="D13959" s="22" t="str">
        <f>HYPERLINK("https://rhld.insurance.arkansas.gov/NPILookup?Npi=1265968093","1265968093")</f>
        <v>1265968093</v>
      </c>
      <c r="E13959" s="1" t="s">
        <v>1506</v>
      </c>
      <c r="F13959" s="2"/>
      <c r="G13959" s="2"/>
      <c r="H13959" s="2"/>
    </row>
    <row r="13960" spans="1:8" x14ac:dyDescent="0.25">
      <c r="A13960" s="1"/>
      <c r="B13960" s="1" t="s">
        <v>5782</v>
      </c>
      <c r="C13960" s="1" t="s">
        <v>5783</v>
      </c>
      <c r="D13960" s="22" t="str">
        <f>HYPERLINK("https://rhld.insurance.arkansas.gov/NPILookup?Npi=1265973119","1265973119")</f>
        <v>1265973119</v>
      </c>
      <c r="E13960" s="1" t="s">
        <v>21693</v>
      </c>
      <c r="F13960" s="2"/>
      <c r="G13960" s="2"/>
      <c r="H13960" s="2"/>
    </row>
    <row r="13961" spans="1:8" x14ac:dyDescent="0.25">
      <c r="A13961" s="1"/>
      <c r="B13961" s="1" t="s">
        <v>5782</v>
      </c>
      <c r="C13961" s="1" t="s">
        <v>5783</v>
      </c>
      <c r="D13961" s="22" t="str">
        <f>HYPERLINK("https://rhld.insurance.arkansas.gov/NPILookup?Npi=1265975197","1265975197")</f>
        <v>1265975197</v>
      </c>
      <c r="E13961" s="1" t="s">
        <v>6118</v>
      </c>
      <c r="F13961" s="2"/>
      <c r="G13961" s="2"/>
      <c r="H13961" s="2"/>
    </row>
    <row r="13962" spans="1:8" x14ac:dyDescent="0.25">
      <c r="A13962" s="1"/>
      <c r="B13962" s="1" t="s">
        <v>5782</v>
      </c>
      <c r="C13962" s="1" t="s">
        <v>5783</v>
      </c>
      <c r="D13962" s="22" t="str">
        <f>HYPERLINK("https://rhld.insurance.arkansas.gov/NPILookup?Npi=1265980593","1265980593")</f>
        <v>1265980593</v>
      </c>
      <c r="E13962" s="1" t="s">
        <v>1595</v>
      </c>
      <c r="F13962" s="2"/>
      <c r="G13962" s="2"/>
      <c r="H13962" s="2"/>
    </row>
    <row r="13963" spans="1:8" x14ac:dyDescent="0.25">
      <c r="A13963" s="1"/>
      <c r="B13963" s="1" t="s">
        <v>5782</v>
      </c>
      <c r="C13963" s="1" t="s">
        <v>5783</v>
      </c>
      <c r="D13963" s="22" t="str">
        <f>HYPERLINK("https://rhld.insurance.arkansas.gov/NPILookup?Npi=1265981526","1265981526")</f>
        <v>1265981526</v>
      </c>
      <c r="E13963" s="1" t="s">
        <v>929</v>
      </c>
      <c r="F13963" s="2"/>
      <c r="G13963" s="2"/>
      <c r="H13963" s="2"/>
    </row>
    <row r="13964" spans="1:8" x14ac:dyDescent="0.25">
      <c r="A13964" s="1"/>
      <c r="B13964" s="1" t="s">
        <v>5782</v>
      </c>
      <c r="C13964" s="1" t="s">
        <v>5783</v>
      </c>
      <c r="D13964" s="22" t="str">
        <f>HYPERLINK("https://rhld.insurance.arkansas.gov/NPILookup?Npi=1265986186","1265986186")</f>
        <v>1265986186</v>
      </c>
      <c r="E13964" s="1" t="s">
        <v>221</v>
      </c>
      <c r="F13964" s="2"/>
      <c r="G13964" s="2"/>
      <c r="H13964" s="2"/>
    </row>
    <row r="13965" spans="1:8" x14ac:dyDescent="0.25">
      <c r="A13965" s="1"/>
      <c r="B13965" s="1" t="s">
        <v>5782</v>
      </c>
      <c r="C13965" s="1" t="s">
        <v>5783</v>
      </c>
      <c r="D13965" s="22" t="str">
        <f>HYPERLINK("https://rhld.insurance.arkansas.gov/NPILookup?Npi=1275001703","1275001703")</f>
        <v>1275001703</v>
      </c>
      <c r="E13965" s="1" t="s">
        <v>31842</v>
      </c>
      <c r="F13965" s="2"/>
      <c r="G13965" s="2"/>
      <c r="H13965" s="2"/>
    </row>
    <row r="13966" spans="1:8" x14ac:dyDescent="0.25">
      <c r="A13966" s="1"/>
      <c r="B13966" s="1" t="s">
        <v>5782</v>
      </c>
      <c r="C13966" s="1" t="s">
        <v>5783</v>
      </c>
      <c r="D13966" s="22" t="str">
        <f>HYPERLINK("https://rhld.insurance.arkansas.gov/NPILookup?Npi=1275006306","1275006306")</f>
        <v>1275006306</v>
      </c>
      <c r="E13966" s="1" t="s">
        <v>21694</v>
      </c>
      <c r="F13966" s="2"/>
      <c r="G13966" s="2"/>
      <c r="H13966" s="2"/>
    </row>
    <row r="13967" spans="1:8" x14ac:dyDescent="0.25">
      <c r="A13967" s="1"/>
      <c r="B13967" s="1" t="s">
        <v>5782</v>
      </c>
      <c r="C13967" s="1" t="s">
        <v>5783</v>
      </c>
      <c r="D13967" s="22" t="str">
        <f>HYPERLINK("https://rhld.insurance.arkansas.gov/NPILookup?Npi=1275018293","1275018293")</f>
        <v>1275018293</v>
      </c>
      <c r="E13967" s="1" t="s">
        <v>21695</v>
      </c>
      <c r="F13967" s="2"/>
      <c r="G13967" s="2"/>
      <c r="H13967" s="2"/>
    </row>
    <row r="13968" spans="1:8" x14ac:dyDescent="0.25">
      <c r="A13968" s="1"/>
      <c r="B13968" s="1" t="s">
        <v>5782</v>
      </c>
      <c r="C13968" s="1" t="s">
        <v>5783</v>
      </c>
      <c r="D13968" s="22" t="str">
        <f>HYPERLINK("https://rhld.insurance.arkansas.gov/NPILookup?Npi=1275078149","1275078149")</f>
        <v>1275078149</v>
      </c>
      <c r="E13968" s="1" t="s">
        <v>21696</v>
      </c>
      <c r="F13968" s="2"/>
      <c r="G13968" s="2"/>
      <c r="H13968" s="2"/>
    </row>
    <row r="13969" spans="1:8" x14ac:dyDescent="0.25">
      <c r="A13969" s="1"/>
      <c r="B13969" s="1" t="s">
        <v>5782</v>
      </c>
      <c r="C13969" s="1" t="s">
        <v>5783</v>
      </c>
      <c r="D13969" s="22" t="str">
        <f>HYPERLINK("https://rhld.insurance.arkansas.gov/NPILookup?Npi=1275105116","1275105116")</f>
        <v>1275105116</v>
      </c>
      <c r="E13969" s="1" t="s">
        <v>21697</v>
      </c>
      <c r="F13969" s="2"/>
      <c r="G13969" s="2"/>
      <c r="H13969" s="2"/>
    </row>
    <row r="13970" spans="1:8" x14ac:dyDescent="0.25">
      <c r="A13970" s="1"/>
      <c r="B13970" s="1" t="s">
        <v>5782</v>
      </c>
      <c r="C13970" s="1" t="s">
        <v>5783</v>
      </c>
      <c r="D13970" s="22" t="str">
        <f>HYPERLINK("https://rhld.insurance.arkansas.gov/NPILookup?Npi=1275123051","1275123051")</f>
        <v>1275123051</v>
      </c>
      <c r="E13970" s="1" t="s">
        <v>11630</v>
      </c>
      <c r="F13970" s="2"/>
      <c r="G13970" s="2"/>
      <c r="H13970" s="2"/>
    </row>
    <row r="13971" spans="1:8" x14ac:dyDescent="0.25">
      <c r="A13971" s="1"/>
      <c r="B13971" s="1" t="s">
        <v>5782</v>
      </c>
      <c r="C13971" s="1" t="s">
        <v>5783</v>
      </c>
      <c r="D13971" s="22" t="str">
        <f>HYPERLINK("https://rhld.insurance.arkansas.gov/NPILookup?Npi=1275141202","1275141202")</f>
        <v>1275141202</v>
      </c>
      <c r="E13971" s="1" t="s">
        <v>21698</v>
      </c>
      <c r="F13971" s="2"/>
      <c r="G13971" s="2"/>
      <c r="H13971" s="2"/>
    </row>
    <row r="13972" spans="1:8" x14ac:dyDescent="0.25">
      <c r="A13972" s="1"/>
      <c r="B13972" s="1" t="s">
        <v>5782</v>
      </c>
      <c r="C13972" s="1" t="s">
        <v>5783</v>
      </c>
      <c r="D13972" s="22" t="str">
        <f>HYPERLINK("https://rhld.insurance.arkansas.gov/NPILookup?Npi=1275146094","1275146094")</f>
        <v>1275146094</v>
      </c>
      <c r="E13972" s="1" t="s">
        <v>11631</v>
      </c>
      <c r="F13972" s="2"/>
      <c r="G13972" s="2"/>
      <c r="H13972" s="2"/>
    </row>
    <row r="13973" spans="1:8" x14ac:dyDescent="0.25">
      <c r="A13973" s="1"/>
      <c r="B13973" s="1" t="s">
        <v>5782</v>
      </c>
      <c r="C13973" s="1" t="s">
        <v>5783</v>
      </c>
      <c r="D13973" s="22" t="str">
        <f>HYPERLINK("https://rhld.insurance.arkansas.gov/NPILookup?Npi=1275164782","1275164782")</f>
        <v>1275164782</v>
      </c>
      <c r="E13973" s="1" t="s">
        <v>1856</v>
      </c>
      <c r="F13973" s="2"/>
      <c r="G13973" s="2"/>
      <c r="H13973" s="2"/>
    </row>
    <row r="13974" spans="1:8" x14ac:dyDescent="0.25">
      <c r="A13974" s="1"/>
      <c r="B13974" s="1" t="s">
        <v>5782</v>
      </c>
      <c r="C13974" s="1" t="s">
        <v>5783</v>
      </c>
      <c r="D13974" s="22" t="str">
        <f>HYPERLINK("https://rhld.insurance.arkansas.gov/NPILookup?Npi=1275164915","1275164915")</f>
        <v>1275164915</v>
      </c>
      <c r="E13974" s="1" t="s">
        <v>21699</v>
      </c>
      <c r="F13974" s="2"/>
      <c r="G13974" s="2"/>
      <c r="H13974" s="2"/>
    </row>
    <row r="13975" spans="1:8" x14ac:dyDescent="0.25">
      <c r="A13975" s="1"/>
      <c r="B13975" s="1" t="s">
        <v>5782</v>
      </c>
      <c r="C13975" s="1" t="s">
        <v>5783</v>
      </c>
      <c r="D13975" s="22" t="str">
        <f>HYPERLINK("https://rhld.insurance.arkansas.gov/NPILookup?Npi=1275170169","1275170169")</f>
        <v>1275170169</v>
      </c>
      <c r="E13975" s="1" t="s">
        <v>6119</v>
      </c>
      <c r="F13975" s="2"/>
      <c r="G13975" s="2"/>
      <c r="H13975" s="2"/>
    </row>
    <row r="13976" spans="1:8" x14ac:dyDescent="0.25">
      <c r="A13976" s="1"/>
      <c r="B13976" s="1" t="s">
        <v>5782</v>
      </c>
      <c r="C13976" s="1" t="s">
        <v>5783</v>
      </c>
      <c r="D13976" s="22" t="str">
        <f>HYPERLINK("https://rhld.insurance.arkansas.gov/NPILookup?Npi=1275198293","1275198293")</f>
        <v>1275198293</v>
      </c>
      <c r="E13976" s="1" t="s">
        <v>21700</v>
      </c>
      <c r="F13976" s="2"/>
      <c r="G13976" s="2"/>
      <c r="H13976" s="2"/>
    </row>
    <row r="13977" spans="1:8" x14ac:dyDescent="0.25">
      <c r="A13977" s="1"/>
      <c r="B13977" s="1" t="s">
        <v>5782</v>
      </c>
      <c r="C13977" s="1" t="s">
        <v>5783</v>
      </c>
      <c r="D13977" s="22" t="str">
        <f>HYPERLINK("https://rhld.insurance.arkansas.gov/NPILookup?Npi=1275202780","1275202780")</f>
        <v>1275202780</v>
      </c>
      <c r="E13977" s="1" t="s">
        <v>21701</v>
      </c>
      <c r="F13977" s="2"/>
      <c r="G13977" s="2"/>
      <c r="H13977" s="2"/>
    </row>
    <row r="13978" spans="1:8" x14ac:dyDescent="0.25">
      <c r="A13978" s="1"/>
      <c r="B13978" s="1" t="s">
        <v>5782</v>
      </c>
      <c r="C13978" s="1" t="s">
        <v>5783</v>
      </c>
      <c r="D13978" s="22" t="str">
        <f>HYPERLINK("https://rhld.insurance.arkansas.gov/NPILookup?Npi=1275204091","1275204091")</f>
        <v>1275204091</v>
      </c>
      <c r="E13978" s="1" t="s">
        <v>11632</v>
      </c>
      <c r="F13978" s="2"/>
      <c r="G13978" s="2"/>
      <c r="H13978" s="2"/>
    </row>
    <row r="13979" spans="1:8" x14ac:dyDescent="0.25">
      <c r="A13979" s="1"/>
      <c r="B13979" s="1" t="s">
        <v>5782</v>
      </c>
      <c r="C13979" s="1" t="s">
        <v>5783</v>
      </c>
      <c r="D13979" s="22" t="str">
        <f>HYPERLINK("https://rhld.insurance.arkansas.gov/NPILookup?Npi=1275212714","1275212714")</f>
        <v>1275212714</v>
      </c>
      <c r="E13979" s="1" t="s">
        <v>21702</v>
      </c>
      <c r="F13979" s="2"/>
      <c r="G13979" s="2"/>
      <c r="H13979" s="2"/>
    </row>
    <row r="13980" spans="1:8" x14ac:dyDescent="0.25">
      <c r="A13980" s="1"/>
      <c r="B13980" s="1" t="s">
        <v>5782</v>
      </c>
      <c r="C13980" s="1" t="s">
        <v>5783</v>
      </c>
      <c r="D13980" s="22" t="str">
        <f>HYPERLINK("https://rhld.insurance.arkansas.gov/NPILookup?Npi=1275296071","1275296071")</f>
        <v>1275296071</v>
      </c>
      <c r="E13980" s="1" t="s">
        <v>6700</v>
      </c>
      <c r="F13980" s="2"/>
      <c r="G13980" s="2"/>
      <c r="H13980" s="2"/>
    </row>
    <row r="13981" spans="1:8" x14ac:dyDescent="0.25">
      <c r="A13981" s="1"/>
      <c r="B13981" s="1" t="s">
        <v>5782</v>
      </c>
      <c r="C13981" s="1" t="s">
        <v>5783</v>
      </c>
      <c r="D13981" s="22" t="str">
        <f>HYPERLINK("https://rhld.insurance.arkansas.gov/NPILookup?Npi=1275306169","1275306169")</f>
        <v>1275306169</v>
      </c>
      <c r="E13981" s="1" t="s">
        <v>6120</v>
      </c>
      <c r="F13981" s="2"/>
      <c r="G13981" s="2"/>
      <c r="H13981" s="2"/>
    </row>
    <row r="13982" spans="1:8" x14ac:dyDescent="0.25">
      <c r="A13982" s="1"/>
      <c r="B13982" s="1" t="s">
        <v>5782</v>
      </c>
      <c r="C13982" s="1" t="s">
        <v>5783</v>
      </c>
      <c r="D13982" s="22" t="str">
        <f>HYPERLINK("https://rhld.insurance.arkansas.gov/NPILookup?Npi=1275315996","1275315996")</f>
        <v>1275315996</v>
      </c>
      <c r="E13982" s="1" t="s">
        <v>6121</v>
      </c>
      <c r="F13982" s="2"/>
      <c r="G13982" s="2"/>
      <c r="H13982" s="2"/>
    </row>
    <row r="13983" spans="1:8" x14ac:dyDescent="0.25">
      <c r="A13983" s="1"/>
      <c r="B13983" s="1" t="s">
        <v>5782</v>
      </c>
      <c r="C13983" s="1" t="s">
        <v>5783</v>
      </c>
      <c r="D13983" s="22" t="str">
        <f>HYPERLINK("https://rhld.insurance.arkansas.gov/NPILookup?Npi=1275347155","1275347155")</f>
        <v>1275347155</v>
      </c>
      <c r="E13983" s="1" t="s">
        <v>31843</v>
      </c>
      <c r="F13983" s="2"/>
      <c r="G13983" s="2"/>
      <c r="H13983" s="2"/>
    </row>
    <row r="13984" spans="1:8" x14ac:dyDescent="0.25">
      <c r="A13984" s="1"/>
      <c r="B13984" s="1" t="s">
        <v>5782</v>
      </c>
      <c r="C13984" s="1" t="s">
        <v>5783</v>
      </c>
      <c r="D13984" s="22" t="str">
        <f>HYPERLINK("https://rhld.insurance.arkansas.gov/NPILookup?Npi=1275388795","1275388795")</f>
        <v>1275388795</v>
      </c>
      <c r="E13984" s="1" t="s">
        <v>21703</v>
      </c>
      <c r="F13984" s="2"/>
      <c r="G13984" s="2"/>
      <c r="H13984" s="2"/>
    </row>
    <row r="13985" spans="1:8" x14ac:dyDescent="0.25">
      <c r="A13985" s="1"/>
      <c r="B13985" s="1" t="s">
        <v>5782</v>
      </c>
      <c r="C13985" s="1" t="s">
        <v>5783</v>
      </c>
      <c r="D13985" s="22" t="str">
        <f>HYPERLINK("https://rhld.insurance.arkansas.gov/NPILookup?Npi=1275506255","1275506255")</f>
        <v>1275506255</v>
      </c>
      <c r="E13985" s="1" t="s">
        <v>21704</v>
      </c>
      <c r="F13985" s="2"/>
      <c r="G13985" s="2"/>
      <c r="H13985" s="2"/>
    </row>
    <row r="13986" spans="1:8" x14ac:dyDescent="0.25">
      <c r="A13986" s="1"/>
      <c r="B13986" s="1" t="s">
        <v>5782</v>
      </c>
      <c r="C13986" s="1" t="s">
        <v>5783</v>
      </c>
      <c r="D13986" s="22" t="str">
        <f>HYPERLINK("https://rhld.insurance.arkansas.gov/NPILookup?Npi=1275526436","1275526436")</f>
        <v>1275526436</v>
      </c>
      <c r="E13986" s="1" t="s">
        <v>6122</v>
      </c>
      <c r="F13986" s="2"/>
      <c r="G13986" s="2"/>
      <c r="H13986" s="2"/>
    </row>
    <row r="13987" spans="1:8" x14ac:dyDescent="0.25">
      <c r="A13987" s="1"/>
      <c r="B13987" s="1" t="s">
        <v>5782</v>
      </c>
      <c r="C13987" s="1" t="s">
        <v>5783</v>
      </c>
      <c r="D13987" s="22" t="str">
        <f>HYPERLINK("https://rhld.insurance.arkansas.gov/NPILookup?Npi=1275553471","1275553471")</f>
        <v>1275553471</v>
      </c>
      <c r="E13987" s="1" t="s">
        <v>21705</v>
      </c>
      <c r="F13987" s="2"/>
      <c r="G13987" s="2"/>
      <c r="H13987" s="2"/>
    </row>
    <row r="13988" spans="1:8" x14ac:dyDescent="0.25">
      <c r="A13988" s="1"/>
      <c r="B13988" s="1" t="s">
        <v>5782</v>
      </c>
      <c r="C13988" s="1" t="s">
        <v>5783</v>
      </c>
      <c r="D13988" s="22" t="str">
        <f>HYPERLINK("https://rhld.insurance.arkansas.gov/NPILookup?Npi=1275596678","1275596678")</f>
        <v>1275596678</v>
      </c>
      <c r="E13988" s="1" t="s">
        <v>21706</v>
      </c>
      <c r="F13988" s="2"/>
      <c r="G13988" s="2"/>
      <c r="H13988" s="2"/>
    </row>
    <row r="13989" spans="1:8" x14ac:dyDescent="0.25">
      <c r="A13989" s="1"/>
      <c r="B13989" s="1" t="s">
        <v>5782</v>
      </c>
      <c r="C13989" s="1" t="s">
        <v>5783</v>
      </c>
      <c r="D13989" s="22" t="str">
        <f>HYPERLINK("https://rhld.insurance.arkansas.gov/NPILookup?Npi=1275610024","1275610024")</f>
        <v>1275610024</v>
      </c>
      <c r="E13989" s="1" t="s">
        <v>21707</v>
      </c>
      <c r="F13989" s="2"/>
      <c r="G13989" s="2"/>
      <c r="H13989" s="2"/>
    </row>
    <row r="13990" spans="1:8" x14ac:dyDescent="0.25">
      <c r="A13990" s="1"/>
      <c r="B13990" s="1" t="s">
        <v>5782</v>
      </c>
      <c r="C13990" s="1" t="s">
        <v>5783</v>
      </c>
      <c r="D13990" s="22" t="str">
        <f>HYPERLINK("https://rhld.insurance.arkansas.gov/NPILookup?Npi=1275633299","1275633299")</f>
        <v>1275633299</v>
      </c>
      <c r="E13990" s="1" t="s">
        <v>21708</v>
      </c>
      <c r="F13990" s="2"/>
      <c r="G13990" s="2"/>
      <c r="H13990" s="2"/>
    </row>
    <row r="13991" spans="1:8" x14ac:dyDescent="0.25">
      <c r="A13991" s="1"/>
      <c r="B13991" s="1" t="s">
        <v>5782</v>
      </c>
      <c r="C13991" s="1" t="s">
        <v>5783</v>
      </c>
      <c r="D13991" s="22" t="str">
        <f>HYPERLINK("https://rhld.insurance.arkansas.gov/NPILookup?Npi=1275643678","1275643678")</f>
        <v>1275643678</v>
      </c>
      <c r="E13991" s="1" t="s">
        <v>21709</v>
      </c>
      <c r="F13991" s="2"/>
      <c r="G13991" s="2"/>
      <c r="H13991" s="2"/>
    </row>
    <row r="13992" spans="1:8" x14ac:dyDescent="0.25">
      <c r="A13992" s="1"/>
      <c r="B13992" s="1" t="s">
        <v>5782</v>
      </c>
      <c r="C13992" s="1" t="s">
        <v>5783</v>
      </c>
      <c r="D13992" s="22" t="str">
        <f>HYPERLINK("https://rhld.insurance.arkansas.gov/NPILookup?Npi=1275673212","1275673212")</f>
        <v>1275673212</v>
      </c>
      <c r="E13992" s="1" t="s">
        <v>21710</v>
      </c>
      <c r="F13992" s="2"/>
      <c r="G13992" s="2"/>
      <c r="H13992" s="2"/>
    </row>
    <row r="13993" spans="1:8" x14ac:dyDescent="0.25">
      <c r="A13993" s="1"/>
      <c r="B13993" s="1" t="s">
        <v>5782</v>
      </c>
      <c r="C13993" s="1" t="s">
        <v>5783</v>
      </c>
      <c r="D13993" s="22" t="str">
        <f>HYPERLINK("https://rhld.insurance.arkansas.gov/NPILookup?Npi=1275678179","1275678179")</f>
        <v>1275678179</v>
      </c>
      <c r="E13993" s="1" t="s">
        <v>11633</v>
      </c>
      <c r="F13993" s="2"/>
      <c r="G13993" s="2"/>
      <c r="H13993" s="2"/>
    </row>
    <row r="13994" spans="1:8" x14ac:dyDescent="0.25">
      <c r="A13994" s="1"/>
      <c r="B13994" s="1" t="s">
        <v>5782</v>
      </c>
      <c r="C13994" s="1" t="s">
        <v>5783</v>
      </c>
      <c r="D13994" s="22" t="str">
        <f>HYPERLINK("https://rhld.insurance.arkansas.gov/NPILookup?Npi=1275679607","1275679607")</f>
        <v>1275679607</v>
      </c>
      <c r="E13994" s="1" t="s">
        <v>6123</v>
      </c>
      <c r="F13994" s="2"/>
      <c r="G13994" s="2"/>
      <c r="H13994" s="2"/>
    </row>
    <row r="13995" spans="1:8" x14ac:dyDescent="0.25">
      <c r="A13995" s="1"/>
      <c r="B13995" s="1" t="s">
        <v>5782</v>
      </c>
      <c r="C13995" s="1" t="s">
        <v>5783</v>
      </c>
      <c r="D13995" s="22" t="str">
        <f>HYPERLINK("https://rhld.insurance.arkansas.gov/NPILookup?Npi=1275680365","1275680365")</f>
        <v>1275680365</v>
      </c>
      <c r="E13995" s="1" t="s">
        <v>11634</v>
      </c>
      <c r="F13995" s="2"/>
      <c r="G13995" s="2"/>
      <c r="H13995" s="2"/>
    </row>
    <row r="13996" spans="1:8" x14ac:dyDescent="0.25">
      <c r="A13996" s="1"/>
      <c r="B13996" s="1" t="s">
        <v>5782</v>
      </c>
      <c r="C13996" s="1" t="s">
        <v>5783</v>
      </c>
      <c r="D13996" s="22" t="str">
        <f>HYPERLINK("https://rhld.insurance.arkansas.gov/NPILookup?Npi=1275709859","1275709859")</f>
        <v>1275709859</v>
      </c>
      <c r="E13996" s="1" t="s">
        <v>10861</v>
      </c>
      <c r="F13996" s="2"/>
      <c r="G13996" s="2"/>
      <c r="H13996" s="2"/>
    </row>
    <row r="13997" spans="1:8" x14ac:dyDescent="0.25">
      <c r="A13997" s="1"/>
      <c r="B13997" s="1" t="s">
        <v>5782</v>
      </c>
      <c r="C13997" s="1" t="s">
        <v>5783</v>
      </c>
      <c r="D13997" s="22" t="str">
        <f>HYPERLINK("https://rhld.insurance.arkansas.gov/NPILookup?Npi=1275713836","1275713836")</f>
        <v>1275713836</v>
      </c>
      <c r="E13997" s="1" t="s">
        <v>21711</v>
      </c>
      <c r="F13997" s="2"/>
      <c r="G13997" s="2"/>
      <c r="H13997" s="2"/>
    </row>
    <row r="13998" spans="1:8" x14ac:dyDescent="0.25">
      <c r="A13998" s="1"/>
      <c r="B13998" s="1" t="s">
        <v>5782</v>
      </c>
      <c r="C13998" s="1" t="s">
        <v>5783</v>
      </c>
      <c r="D13998" s="22" t="str">
        <f>HYPERLINK("https://rhld.insurance.arkansas.gov/NPILookup?Npi=1275716482","1275716482")</f>
        <v>1275716482</v>
      </c>
      <c r="E13998" s="1" t="s">
        <v>20114</v>
      </c>
      <c r="F13998" s="2"/>
      <c r="G13998" s="2"/>
      <c r="H13998" s="2"/>
    </row>
    <row r="13999" spans="1:8" x14ac:dyDescent="0.25">
      <c r="A13999" s="1"/>
      <c r="B13999" s="1" t="s">
        <v>5782</v>
      </c>
      <c r="C13999" s="1" t="s">
        <v>5783</v>
      </c>
      <c r="D13999" s="22" t="str">
        <f>HYPERLINK("https://rhld.insurance.arkansas.gov/NPILookup?Npi=1275728974","1275728974")</f>
        <v>1275728974</v>
      </c>
      <c r="E13999" s="1" t="s">
        <v>11635</v>
      </c>
      <c r="F13999" s="2"/>
      <c r="G13999" s="2"/>
      <c r="H13999" s="2"/>
    </row>
    <row r="14000" spans="1:8" x14ac:dyDescent="0.25">
      <c r="A14000" s="1"/>
      <c r="B14000" s="1" t="s">
        <v>5782</v>
      </c>
      <c r="C14000" s="1" t="s">
        <v>5783</v>
      </c>
      <c r="D14000" s="22" t="str">
        <f>HYPERLINK("https://rhld.insurance.arkansas.gov/NPILookup?Npi=1275736159","1275736159")</f>
        <v>1275736159</v>
      </c>
      <c r="E14000" s="1" t="s">
        <v>11636</v>
      </c>
      <c r="F14000" s="2"/>
      <c r="G14000" s="2"/>
      <c r="H14000" s="2"/>
    </row>
    <row r="14001" spans="1:8" x14ac:dyDescent="0.25">
      <c r="A14001" s="1"/>
      <c r="B14001" s="1" t="s">
        <v>5782</v>
      </c>
      <c r="C14001" s="1" t="s">
        <v>5783</v>
      </c>
      <c r="D14001" s="22" t="str">
        <f>HYPERLINK("https://rhld.insurance.arkansas.gov/NPILookup?Npi=1275753477","1275753477")</f>
        <v>1275753477</v>
      </c>
      <c r="E14001" s="1" t="s">
        <v>21712</v>
      </c>
      <c r="F14001" s="2"/>
      <c r="G14001" s="2"/>
      <c r="H14001" s="2"/>
    </row>
    <row r="14002" spans="1:8" x14ac:dyDescent="0.25">
      <c r="A14002" s="1"/>
      <c r="B14002" s="1" t="s">
        <v>5782</v>
      </c>
      <c r="C14002" s="1" t="s">
        <v>5783</v>
      </c>
      <c r="D14002" s="22" t="str">
        <f>HYPERLINK("https://rhld.insurance.arkansas.gov/NPILookup?Npi=1275769903","1275769903")</f>
        <v>1275769903</v>
      </c>
      <c r="E14002" s="1" t="s">
        <v>3238</v>
      </c>
      <c r="F14002" s="2"/>
      <c r="G14002" s="2"/>
      <c r="H14002" s="2"/>
    </row>
    <row r="14003" spans="1:8" x14ac:dyDescent="0.25">
      <c r="A14003" s="1"/>
      <c r="B14003" s="1" t="s">
        <v>5782</v>
      </c>
      <c r="C14003" s="1" t="s">
        <v>5783</v>
      </c>
      <c r="D14003" s="22" t="str">
        <f>HYPERLINK("https://rhld.insurance.arkansas.gov/NPILookup?Npi=1275783953","1275783953")</f>
        <v>1275783953</v>
      </c>
      <c r="E14003" s="1" t="s">
        <v>3239</v>
      </c>
      <c r="F14003" s="2"/>
      <c r="G14003" s="2"/>
      <c r="H14003" s="2"/>
    </row>
    <row r="14004" spans="1:8" x14ac:dyDescent="0.25">
      <c r="A14004" s="1"/>
      <c r="B14004" s="1" t="s">
        <v>5782</v>
      </c>
      <c r="C14004" s="1" t="s">
        <v>5783</v>
      </c>
      <c r="D14004" s="22" t="str">
        <f>HYPERLINK("https://rhld.insurance.arkansas.gov/NPILookup?Npi=1275784506","1275784506")</f>
        <v>1275784506</v>
      </c>
      <c r="E14004" s="1" t="s">
        <v>9783</v>
      </c>
      <c r="F14004" s="2"/>
      <c r="G14004" s="2"/>
      <c r="H14004" s="2"/>
    </row>
    <row r="14005" spans="1:8" x14ac:dyDescent="0.25">
      <c r="A14005" s="1"/>
      <c r="B14005" s="1" t="s">
        <v>5782</v>
      </c>
      <c r="C14005" s="1" t="s">
        <v>5783</v>
      </c>
      <c r="D14005" s="22" t="str">
        <f>HYPERLINK("https://rhld.insurance.arkansas.gov/NPILookup?Npi=1275811671","1275811671")</f>
        <v>1275811671</v>
      </c>
      <c r="E14005" s="1" t="s">
        <v>2170</v>
      </c>
      <c r="F14005" s="2"/>
      <c r="G14005" s="2"/>
      <c r="H14005" s="2"/>
    </row>
    <row r="14006" spans="1:8" x14ac:dyDescent="0.25">
      <c r="A14006" s="1"/>
      <c r="B14006" s="1" t="s">
        <v>5782</v>
      </c>
      <c r="C14006" s="1" t="s">
        <v>5783</v>
      </c>
      <c r="D14006" s="22" t="str">
        <f>HYPERLINK("https://rhld.insurance.arkansas.gov/NPILookup?Npi=1275818049","1275818049")</f>
        <v>1275818049</v>
      </c>
      <c r="E14006" s="1" t="s">
        <v>11637</v>
      </c>
      <c r="F14006" s="2"/>
      <c r="G14006" s="2"/>
      <c r="H14006" s="2"/>
    </row>
    <row r="14007" spans="1:8" x14ac:dyDescent="0.25">
      <c r="A14007" s="1"/>
      <c r="B14007" s="1" t="s">
        <v>5782</v>
      </c>
      <c r="C14007" s="1" t="s">
        <v>5783</v>
      </c>
      <c r="D14007" s="22" t="str">
        <f>HYPERLINK("https://rhld.insurance.arkansas.gov/NPILookup?Npi=1275819344","1275819344")</f>
        <v>1275819344</v>
      </c>
      <c r="E14007" s="1" t="s">
        <v>21713</v>
      </c>
      <c r="F14007" s="2"/>
      <c r="G14007" s="2"/>
      <c r="H14007" s="2"/>
    </row>
    <row r="14008" spans="1:8" x14ac:dyDescent="0.25">
      <c r="A14008" s="1"/>
      <c r="B14008" s="1" t="s">
        <v>5782</v>
      </c>
      <c r="C14008" s="1" t="s">
        <v>5783</v>
      </c>
      <c r="D14008" s="22" t="str">
        <f>HYPERLINK("https://rhld.insurance.arkansas.gov/NPILookup?Npi=1275821456","1275821456")</f>
        <v>1275821456</v>
      </c>
      <c r="E14008" s="1" t="s">
        <v>2489</v>
      </c>
      <c r="F14008" s="2"/>
      <c r="G14008" s="2"/>
      <c r="H14008" s="2"/>
    </row>
    <row r="14009" spans="1:8" x14ac:dyDescent="0.25">
      <c r="A14009" s="1"/>
      <c r="B14009" s="1" t="s">
        <v>5782</v>
      </c>
      <c r="C14009" s="1" t="s">
        <v>5783</v>
      </c>
      <c r="D14009" s="22" t="str">
        <f>HYPERLINK("https://rhld.insurance.arkansas.gov/NPILookup?Npi=1275831331","1275831331")</f>
        <v>1275831331</v>
      </c>
      <c r="E14009" s="1" t="s">
        <v>21714</v>
      </c>
      <c r="F14009" s="2"/>
      <c r="G14009" s="2"/>
      <c r="H14009" s="2"/>
    </row>
    <row r="14010" spans="1:8" x14ac:dyDescent="0.25">
      <c r="A14010" s="1"/>
      <c r="B14010" s="1" t="s">
        <v>5782</v>
      </c>
      <c r="C14010" s="1" t="s">
        <v>5783</v>
      </c>
      <c r="D14010" s="22" t="str">
        <f>HYPERLINK("https://rhld.insurance.arkansas.gov/NPILookup?Npi=1275869133","1275869133")</f>
        <v>1275869133</v>
      </c>
      <c r="E14010" s="1" t="s">
        <v>21715</v>
      </c>
      <c r="F14010" s="2"/>
      <c r="G14010" s="2"/>
      <c r="H14010" s="2"/>
    </row>
    <row r="14011" spans="1:8" x14ac:dyDescent="0.25">
      <c r="A14011" s="1"/>
      <c r="B14011" s="1" t="s">
        <v>5782</v>
      </c>
      <c r="C14011" s="1" t="s">
        <v>5783</v>
      </c>
      <c r="D14011" s="22" t="str">
        <f>HYPERLINK("https://rhld.insurance.arkansas.gov/NPILookup?Npi=1275885949","1275885949")</f>
        <v>1275885949</v>
      </c>
      <c r="E14011" s="1" t="s">
        <v>21716</v>
      </c>
      <c r="F14011" s="2"/>
      <c r="G14011" s="2"/>
      <c r="H14011" s="2"/>
    </row>
    <row r="14012" spans="1:8" x14ac:dyDescent="0.25">
      <c r="A14012" s="1"/>
      <c r="B14012" s="1" t="s">
        <v>5782</v>
      </c>
      <c r="C14012" s="1" t="s">
        <v>5783</v>
      </c>
      <c r="D14012" s="22" t="str">
        <f>HYPERLINK("https://rhld.insurance.arkansas.gov/NPILookup?Npi=1275895435","1275895435")</f>
        <v>1275895435</v>
      </c>
      <c r="E14012" s="1" t="s">
        <v>6124</v>
      </c>
      <c r="F14012" s="2"/>
      <c r="G14012" s="2"/>
      <c r="H14012" s="2"/>
    </row>
    <row r="14013" spans="1:8" x14ac:dyDescent="0.25">
      <c r="A14013" s="1"/>
      <c r="B14013" s="1" t="s">
        <v>5782</v>
      </c>
      <c r="C14013" s="1" t="s">
        <v>5783</v>
      </c>
      <c r="D14013" s="22" t="str">
        <f>HYPERLINK("https://rhld.insurance.arkansas.gov/NPILookup?Npi=1275898165","1275898165")</f>
        <v>1275898165</v>
      </c>
      <c r="E14013" s="1" t="s">
        <v>6125</v>
      </c>
      <c r="F14013" s="2"/>
      <c r="G14013" s="2"/>
      <c r="H14013" s="2"/>
    </row>
    <row r="14014" spans="1:8" x14ac:dyDescent="0.25">
      <c r="A14014" s="1"/>
      <c r="B14014" s="1" t="s">
        <v>5782</v>
      </c>
      <c r="C14014" s="1" t="s">
        <v>5783</v>
      </c>
      <c r="D14014" s="22" t="str">
        <f>HYPERLINK("https://rhld.insurance.arkansas.gov/NPILookup?Npi=1275901498","1275901498")</f>
        <v>1275901498</v>
      </c>
      <c r="E14014" s="1" t="s">
        <v>9752</v>
      </c>
      <c r="F14014" s="2"/>
      <c r="G14014" s="2"/>
      <c r="H14014" s="2"/>
    </row>
    <row r="14015" spans="1:8" x14ac:dyDescent="0.25">
      <c r="A14015" s="1"/>
      <c r="B14015" s="1" t="s">
        <v>5782</v>
      </c>
      <c r="C14015" s="1" t="s">
        <v>5783</v>
      </c>
      <c r="D14015" s="22" t="str">
        <f>HYPERLINK("https://rhld.insurance.arkansas.gov/NPILookup?Npi=1275914814","1275914814")</f>
        <v>1275914814</v>
      </c>
      <c r="E14015" s="1" t="s">
        <v>21717</v>
      </c>
      <c r="F14015" s="2"/>
      <c r="G14015" s="2"/>
      <c r="H14015" s="2"/>
    </row>
    <row r="14016" spans="1:8" x14ac:dyDescent="0.25">
      <c r="A14016" s="1"/>
      <c r="B14016" s="1" t="s">
        <v>5782</v>
      </c>
      <c r="C14016" s="1" t="s">
        <v>5783</v>
      </c>
      <c r="D14016" s="22" t="str">
        <f>HYPERLINK("https://rhld.insurance.arkansas.gov/NPILookup?Npi=1275916520","1275916520")</f>
        <v>1275916520</v>
      </c>
      <c r="E14016" s="1" t="s">
        <v>21718</v>
      </c>
      <c r="F14016" s="2"/>
      <c r="G14016" s="2"/>
      <c r="H14016" s="2"/>
    </row>
    <row r="14017" spans="1:8" x14ac:dyDescent="0.25">
      <c r="A14017" s="1"/>
      <c r="B14017" s="1" t="s">
        <v>5782</v>
      </c>
      <c r="C14017" s="1" t="s">
        <v>5783</v>
      </c>
      <c r="D14017" s="22" t="str">
        <f>HYPERLINK("https://rhld.insurance.arkansas.gov/NPILookup?Npi=1275918625","1275918625")</f>
        <v>1275918625</v>
      </c>
      <c r="E14017" s="1" t="s">
        <v>21719</v>
      </c>
      <c r="F14017" s="2"/>
      <c r="G14017" s="2"/>
      <c r="H14017" s="2"/>
    </row>
    <row r="14018" spans="1:8" x14ac:dyDescent="0.25">
      <c r="A14018" s="1"/>
      <c r="B14018" s="1" t="s">
        <v>5782</v>
      </c>
      <c r="C14018" s="1" t="s">
        <v>5783</v>
      </c>
      <c r="D14018" s="22" t="str">
        <f>HYPERLINK("https://rhld.insurance.arkansas.gov/NPILookup?Npi=1275937252","1275937252")</f>
        <v>1275937252</v>
      </c>
      <c r="E14018" s="1" t="s">
        <v>11638</v>
      </c>
      <c r="F14018" s="2"/>
      <c r="G14018" s="2"/>
      <c r="H14018" s="2"/>
    </row>
    <row r="14019" spans="1:8" x14ac:dyDescent="0.25">
      <c r="A14019" s="1"/>
      <c r="B14019" s="1" t="s">
        <v>5782</v>
      </c>
      <c r="C14019" s="1" t="s">
        <v>5783</v>
      </c>
      <c r="D14019" s="22" t="str">
        <f>HYPERLINK("https://rhld.insurance.arkansas.gov/NPILookup?Npi=1275954463","1275954463")</f>
        <v>1275954463</v>
      </c>
      <c r="E14019" s="1" t="s">
        <v>6126</v>
      </c>
      <c r="F14019" s="2"/>
      <c r="G14019" s="2"/>
      <c r="H14019" s="2"/>
    </row>
    <row r="14020" spans="1:8" x14ac:dyDescent="0.25">
      <c r="A14020" s="1"/>
      <c r="B14020" s="1" t="s">
        <v>5782</v>
      </c>
      <c r="C14020" s="1" t="s">
        <v>5783</v>
      </c>
      <c r="D14020" s="22" t="str">
        <f>HYPERLINK("https://rhld.insurance.arkansas.gov/NPILookup?Npi=1275960700","1275960700")</f>
        <v>1275960700</v>
      </c>
      <c r="E14020" s="1" t="s">
        <v>11639</v>
      </c>
      <c r="F14020" s="2"/>
      <c r="G14020" s="2"/>
      <c r="H14020" s="2"/>
    </row>
    <row r="14021" spans="1:8" x14ac:dyDescent="0.25">
      <c r="A14021" s="1"/>
      <c r="B14021" s="1" t="s">
        <v>5782</v>
      </c>
      <c r="C14021" s="1" t="s">
        <v>5783</v>
      </c>
      <c r="D14021" s="22" t="str">
        <f>HYPERLINK("https://rhld.insurance.arkansas.gov/NPILookup?Npi=1275960809","1275960809")</f>
        <v>1275960809</v>
      </c>
      <c r="E14021" s="1" t="s">
        <v>11640</v>
      </c>
      <c r="F14021" s="2"/>
      <c r="G14021" s="2"/>
      <c r="H14021" s="2"/>
    </row>
    <row r="14022" spans="1:8" x14ac:dyDescent="0.25">
      <c r="A14022" s="1"/>
      <c r="B14022" s="1" t="s">
        <v>5782</v>
      </c>
      <c r="C14022" s="1" t="s">
        <v>5783</v>
      </c>
      <c r="D14022" s="22" t="str">
        <f>HYPERLINK("https://rhld.insurance.arkansas.gov/NPILookup?Npi=1275962045","1275962045")</f>
        <v>1275962045</v>
      </c>
      <c r="E14022" s="1" t="s">
        <v>21720</v>
      </c>
      <c r="F14022" s="2"/>
      <c r="G14022" s="2"/>
      <c r="H14022" s="2"/>
    </row>
    <row r="14023" spans="1:8" x14ac:dyDescent="0.25">
      <c r="A14023" s="1"/>
      <c r="B14023" s="1" t="s">
        <v>5782</v>
      </c>
      <c r="C14023" s="1" t="s">
        <v>5783</v>
      </c>
      <c r="D14023" s="22" t="str">
        <f>HYPERLINK("https://rhld.insurance.arkansas.gov/NPILookup?Npi=1275970675","1275970675")</f>
        <v>1275970675</v>
      </c>
      <c r="E14023" s="1" t="s">
        <v>21721</v>
      </c>
      <c r="F14023" s="2"/>
      <c r="G14023" s="2"/>
      <c r="H14023" s="2"/>
    </row>
    <row r="14024" spans="1:8" x14ac:dyDescent="0.25">
      <c r="A14024" s="1"/>
      <c r="B14024" s="1" t="s">
        <v>5782</v>
      </c>
      <c r="C14024" s="1" t="s">
        <v>5783</v>
      </c>
      <c r="D14024" s="22" t="str">
        <f>HYPERLINK("https://rhld.insurance.arkansas.gov/NPILookup?Npi=1275976292","1275976292")</f>
        <v>1275976292</v>
      </c>
      <c r="E14024" s="1" t="s">
        <v>11641</v>
      </c>
      <c r="F14024" s="2"/>
      <c r="G14024" s="2"/>
      <c r="H14024" s="2"/>
    </row>
    <row r="14025" spans="1:8" x14ac:dyDescent="0.25">
      <c r="A14025" s="1"/>
      <c r="B14025" s="1" t="s">
        <v>5782</v>
      </c>
      <c r="C14025" s="1" t="s">
        <v>5783</v>
      </c>
      <c r="D14025" s="22" t="str">
        <f>HYPERLINK("https://rhld.insurance.arkansas.gov/NPILookup?Npi=1275984163","1275984163")</f>
        <v>1275984163</v>
      </c>
      <c r="E14025" s="1" t="s">
        <v>21722</v>
      </c>
      <c r="F14025" s="2"/>
      <c r="G14025" s="2"/>
      <c r="H14025" s="2"/>
    </row>
    <row r="14026" spans="1:8" x14ac:dyDescent="0.25">
      <c r="A14026" s="1"/>
      <c r="B14026" s="1" t="s">
        <v>5782</v>
      </c>
      <c r="C14026" s="1" t="s">
        <v>5783</v>
      </c>
      <c r="D14026" s="22" t="str">
        <f>HYPERLINK("https://rhld.insurance.arkansas.gov/NPILookup?Npi=1275985491","1275985491")</f>
        <v>1275985491</v>
      </c>
      <c r="E14026" s="1" t="s">
        <v>930</v>
      </c>
      <c r="F14026" s="2"/>
      <c r="G14026" s="2"/>
      <c r="H14026" s="2"/>
    </row>
    <row r="14027" spans="1:8" x14ac:dyDescent="0.25">
      <c r="A14027" s="1"/>
      <c r="B14027" s="1" t="s">
        <v>5782</v>
      </c>
      <c r="C14027" s="1" t="s">
        <v>5783</v>
      </c>
      <c r="D14027" s="22" t="str">
        <f>HYPERLINK("https://rhld.insurance.arkansas.gov/NPILookup?Npi=1275985566","1275985566")</f>
        <v>1275985566</v>
      </c>
      <c r="E14027" s="1" t="s">
        <v>21723</v>
      </c>
      <c r="F14027" s="2"/>
      <c r="G14027" s="2"/>
      <c r="H14027" s="2"/>
    </row>
    <row r="14028" spans="1:8" x14ac:dyDescent="0.25">
      <c r="A14028" s="1"/>
      <c r="B14028" s="1" t="s">
        <v>5782</v>
      </c>
      <c r="C14028" s="1" t="s">
        <v>5783</v>
      </c>
      <c r="D14028" s="22" t="str">
        <f>HYPERLINK("https://rhld.insurance.arkansas.gov/NPILookup?Npi=1285006841","1285006841")</f>
        <v>1285006841</v>
      </c>
      <c r="E14028" s="1" t="s">
        <v>21724</v>
      </c>
      <c r="F14028" s="2"/>
      <c r="G14028" s="2"/>
      <c r="H14028" s="2"/>
    </row>
    <row r="14029" spans="1:8" x14ac:dyDescent="0.25">
      <c r="A14029" s="1"/>
      <c r="B14029" s="1" t="s">
        <v>5782</v>
      </c>
      <c r="C14029" s="1" t="s">
        <v>5783</v>
      </c>
      <c r="D14029" s="22" t="str">
        <f>HYPERLINK("https://rhld.insurance.arkansas.gov/NPILookup?Npi=1285015677","1285015677")</f>
        <v>1285015677</v>
      </c>
      <c r="E14029" s="1" t="s">
        <v>21725</v>
      </c>
      <c r="F14029" s="2"/>
      <c r="G14029" s="2"/>
      <c r="H14029" s="2"/>
    </row>
    <row r="14030" spans="1:8" x14ac:dyDescent="0.25">
      <c r="A14030" s="1"/>
      <c r="B14030" s="1" t="s">
        <v>5782</v>
      </c>
      <c r="C14030" s="1" t="s">
        <v>5783</v>
      </c>
      <c r="D14030" s="22" t="str">
        <f>HYPERLINK("https://rhld.insurance.arkansas.gov/NPILookup?Npi=1285043588","1285043588")</f>
        <v>1285043588</v>
      </c>
      <c r="E14030" s="1" t="s">
        <v>21726</v>
      </c>
      <c r="F14030" s="2"/>
      <c r="G14030" s="2"/>
      <c r="H14030" s="2"/>
    </row>
    <row r="14031" spans="1:8" x14ac:dyDescent="0.25">
      <c r="A14031" s="1"/>
      <c r="B14031" s="1" t="s">
        <v>5782</v>
      </c>
      <c r="C14031" s="1" t="s">
        <v>5783</v>
      </c>
      <c r="D14031" s="22" t="str">
        <f>HYPERLINK("https://rhld.insurance.arkansas.gov/NPILookup?Npi=1285055327","1285055327")</f>
        <v>1285055327</v>
      </c>
      <c r="E14031" s="1" t="s">
        <v>21727</v>
      </c>
      <c r="F14031" s="2"/>
      <c r="G14031" s="2"/>
      <c r="H14031" s="2"/>
    </row>
    <row r="14032" spans="1:8" x14ac:dyDescent="0.25">
      <c r="A14032" s="1"/>
      <c r="B14032" s="1" t="s">
        <v>5782</v>
      </c>
      <c r="C14032" s="1" t="s">
        <v>5783</v>
      </c>
      <c r="D14032" s="22" t="str">
        <f>HYPERLINK("https://rhld.insurance.arkansas.gov/NPILookup?Npi=1285056861","1285056861")</f>
        <v>1285056861</v>
      </c>
      <c r="E14032" s="1" t="s">
        <v>6128</v>
      </c>
      <c r="F14032" s="2"/>
      <c r="G14032" s="2"/>
      <c r="H14032" s="2"/>
    </row>
    <row r="14033" spans="1:8" x14ac:dyDescent="0.25">
      <c r="A14033" s="1"/>
      <c r="B14033" s="1" t="s">
        <v>5782</v>
      </c>
      <c r="C14033" s="1" t="s">
        <v>5783</v>
      </c>
      <c r="D14033" s="22" t="str">
        <f>HYPERLINK("https://rhld.insurance.arkansas.gov/NPILookup?Npi=1285060012","1285060012")</f>
        <v>1285060012</v>
      </c>
      <c r="E14033" s="1" t="s">
        <v>3240</v>
      </c>
      <c r="F14033" s="2"/>
      <c r="G14033" s="2"/>
      <c r="H14033" s="2"/>
    </row>
    <row r="14034" spans="1:8" x14ac:dyDescent="0.25">
      <c r="A14034" s="1"/>
      <c r="B14034" s="1" t="s">
        <v>5782</v>
      </c>
      <c r="C14034" s="1" t="s">
        <v>5783</v>
      </c>
      <c r="D14034" s="22" t="str">
        <f>HYPERLINK("https://rhld.insurance.arkansas.gov/NPILookup?Npi=1285088484","1285088484")</f>
        <v>1285088484</v>
      </c>
      <c r="E14034" s="1" t="s">
        <v>6129</v>
      </c>
      <c r="F14034" s="2"/>
      <c r="G14034" s="2"/>
      <c r="H14034" s="2"/>
    </row>
    <row r="14035" spans="1:8" x14ac:dyDescent="0.25">
      <c r="A14035" s="1"/>
      <c r="B14035" s="1" t="s">
        <v>5782</v>
      </c>
      <c r="C14035" s="1" t="s">
        <v>5783</v>
      </c>
      <c r="D14035" s="22" t="str">
        <f>HYPERLINK("https://rhld.insurance.arkansas.gov/NPILookup?Npi=1285107144","1285107144")</f>
        <v>1285107144</v>
      </c>
      <c r="E14035" s="1" t="s">
        <v>21728</v>
      </c>
      <c r="F14035" s="2"/>
      <c r="G14035" s="2"/>
      <c r="H14035" s="2"/>
    </row>
    <row r="14036" spans="1:8" x14ac:dyDescent="0.25">
      <c r="A14036" s="1"/>
      <c r="B14036" s="1" t="s">
        <v>5782</v>
      </c>
      <c r="C14036" s="1" t="s">
        <v>5783</v>
      </c>
      <c r="D14036" s="22" t="str">
        <f>HYPERLINK("https://rhld.insurance.arkansas.gov/NPILookup?Npi=1285119206","1285119206")</f>
        <v>1285119206</v>
      </c>
      <c r="E14036" s="1" t="s">
        <v>1660</v>
      </c>
      <c r="F14036" s="2"/>
      <c r="G14036" s="2"/>
      <c r="H14036" s="2"/>
    </row>
    <row r="14037" spans="1:8" x14ac:dyDescent="0.25">
      <c r="A14037" s="1"/>
      <c r="B14037" s="1" t="s">
        <v>5782</v>
      </c>
      <c r="C14037" s="1" t="s">
        <v>5783</v>
      </c>
      <c r="D14037" s="22" t="str">
        <f>HYPERLINK("https://rhld.insurance.arkansas.gov/NPILookup?Npi=1285126235","1285126235")</f>
        <v>1285126235</v>
      </c>
      <c r="E14037" s="1" t="s">
        <v>11642</v>
      </c>
      <c r="F14037" s="2"/>
      <c r="G14037" s="2"/>
      <c r="H14037" s="2"/>
    </row>
    <row r="14038" spans="1:8" x14ac:dyDescent="0.25">
      <c r="A14038" s="1"/>
      <c r="B14038" s="1" t="s">
        <v>5782</v>
      </c>
      <c r="C14038" s="1" t="s">
        <v>5783</v>
      </c>
      <c r="D14038" s="22" t="str">
        <f>HYPERLINK("https://rhld.insurance.arkansas.gov/NPILookup?Npi=1285151761","1285151761")</f>
        <v>1285151761</v>
      </c>
      <c r="E14038" s="1" t="s">
        <v>1661</v>
      </c>
      <c r="F14038" s="2"/>
      <c r="G14038" s="2"/>
      <c r="H14038" s="2"/>
    </row>
    <row r="14039" spans="1:8" x14ac:dyDescent="0.25">
      <c r="A14039" s="1"/>
      <c r="B14039" s="1" t="s">
        <v>5782</v>
      </c>
      <c r="C14039" s="1" t="s">
        <v>5783</v>
      </c>
      <c r="D14039" s="22" t="str">
        <f>HYPERLINK("https://rhld.insurance.arkansas.gov/NPILookup?Npi=1285154815","1285154815")</f>
        <v>1285154815</v>
      </c>
      <c r="E14039" s="1" t="s">
        <v>6130</v>
      </c>
      <c r="F14039" s="2"/>
      <c r="G14039" s="2"/>
      <c r="H14039" s="2"/>
    </row>
    <row r="14040" spans="1:8" x14ac:dyDescent="0.25">
      <c r="A14040" s="1"/>
      <c r="B14040" s="1" t="s">
        <v>5782</v>
      </c>
      <c r="C14040" s="1" t="s">
        <v>5783</v>
      </c>
      <c r="D14040" s="22" t="str">
        <f>HYPERLINK("https://rhld.insurance.arkansas.gov/NPILookup?Npi=1285159327","1285159327")</f>
        <v>1285159327</v>
      </c>
      <c r="E14040" s="1" t="s">
        <v>11643</v>
      </c>
      <c r="F14040" s="2"/>
      <c r="G14040" s="2"/>
      <c r="H14040" s="2"/>
    </row>
    <row r="14041" spans="1:8" x14ac:dyDescent="0.25">
      <c r="A14041" s="1"/>
      <c r="B14041" s="1" t="s">
        <v>5782</v>
      </c>
      <c r="C14041" s="1" t="s">
        <v>5783</v>
      </c>
      <c r="D14041" s="22" t="str">
        <f>HYPERLINK("https://rhld.insurance.arkansas.gov/NPILookup?Npi=1285168914","1285168914")</f>
        <v>1285168914</v>
      </c>
      <c r="E14041" s="1" t="s">
        <v>21729</v>
      </c>
      <c r="F14041" s="2"/>
      <c r="G14041" s="2"/>
      <c r="H14041" s="2"/>
    </row>
    <row r="14042" spans="1:8" x14ac:dyDescent="0.25">
      <c r="A14042" s="1"/>
      <c r="B14042" s="1" t="s">
        <v>5782</v>
      </c>
      <c r="C14042" s="1" t="s">
        <v>5783</v>
      </c>
      <c r="D14042" s="22" t="str">
        <f>HYPERLINK("https://rhld.insurance.arkansas.gov/NPILookup?Npi=1285183822","1285183822")</f>
        <v>1285183822</v>
      </c>
      <c r="E14042" s="1" t="s">
        <v>21731</v>
      </c>
      <c r="F14042" s="2"/>
      <c r="G14042" s="2"/>
      <c r="H14042" s="2"/>
    </row>
    <row r="14043" spans="1:8" x14ac:dyDescent="0.25">
      <c r="A14043" s="1"/>
      <c r="B14043" s="1" t="s">
        <v>5782</v>
      </c>
      <c r="C14043" s="1" t="s">
        <v>5783</v>
      </c>
      <c r="D14043" s="22" t="str">
        <f>HYPERLINK("https://rhld.insurance.arkansas.gov/NPILookup?Npi=1285186692","1285186692")</f>
        <v>1285186692</v>
      </c>
      <c r="E14043" s="1" t="s">
        <v>1857</v>
      </c>
      <c r="F14043" s="2"/>
      <c r="G14043" s="2"/>
      <c r="H14043" s="2"/>
    </row>
    <row r="14044" spans="1:8" x14ac:dyDescent="0.25">
      <c r="A14044" s="1"/>
      <c r="B14044" s="1" t="s">
        <v>5782</v>
      </c>
      <c r="C14044" s="1" t="s">
        <v>5783</v>
      </c>
      <c r="D14044" s="22" t="str">
        <f>HYPERLINK("https://rhld.insurance.arkansas.gov/NPILookup?Npi=1285190686","1285190686")</f>
        <v>1285190686</v>
      </c>
      <c r="E14044" s="1" t="s">
        <v>11644</v>
      </c>
      <c r="F14044" s="2"/>
      <c r="G14044" s="2"/>
      <c r="H14044" s="2"/>
    </row>
    <row r="14045" spans="1:8" x14ac:dyDescent="0.25">
      <c r="A14045" s="1"/>
      <c r="B14045" s="1" t="s">
        <v>5782</v>
      </c>
      <c r="C14045" s="1" t="s">
        <v>5783</v>
      </c>
      <c r="D14045" s="22" t="str">
        <f>HYPERLINK("https://rhld.insurance.arkansas.gov/NPILookup?Npi=1285214775","1285214775")</f>
        <v>1285214775</v>
      </c>
      <c r="E14045" s="1" t="s">
        <v>21732</v>
      </c>
      <c r="F14045" s="2"/>
      <c r="G14045" s="2"/>
      <c r="H14045" s="2"/>
    </row>
    <row r="14046" spans="1:8" x14ac:dyDescent="0.25">
      <c r="A14046" s="1"/>
      <c r="B14046" s="1" t="s">
        <v>5782</v>
      </c>
      <c r="C14046" s="1" t="s">
        <v>5783</v>
      </c>
      <c r="D14046" s="22" t="str">
        <f>HYPERLINK("https://rhld.insurance.arkansas.gov/NPILookup?Npi=1285244202","1285244202")</f>
        <v>1285244202</v>
      </c>
      <c r="E14046" s="1" t="s">
        <v>6132</v>
      </c>
      <c r="F14046" s="2"/>
      <c r="G14046" s="2"/>
      <c r="H14046" s="2"/>
    </row>
    <row r="14047" spans="1:8" x14ac:dyDescent="0.25">
      <c r="A14047" s="1"/>
      <c r="B14047" s="1" t="s">
        <v>5782</v>
      </c>
      <c r="C14047" s="1" t="s">
        <v>5783</v>
      </c>
      <c r="D14047" s="22" t="str">
        <f>HYPERLINK("https://rhld.insurance.arkansas.gov/NPILookup?Npi=1285247072","1285247072")</f>
        <v>1285247072</v>
      </c>
      <c r="E14047" s="1" t="s">
        <v>11645</v>
      </c>
      <c r="F14047" s="2"/>
      <c r="G14047" s="2"/>
      <c r="H14047" s="2"/>
    </row>
    <row r="14048" spans="1:8" x14ac:dyDescent="0.25">
      <c r="A14048" s="1"/>
      <c r="B14048" s="1" t="s">
        <v>5782</v>
      </c>
      <c r="C14048" s="1" t="s">
        <v>5783</v>
      </c>
      <c r="D14048" s="22" t="str">
        <f>HYPERLINK("https://rhld.insurance.arkansas.gov/NPILookup?Npi=1285274340","1285274340")</f>
        <v>1285274340</v>
      </c>
      <c r="E14048" s="1" t="s">
        <v>21733</v>
      </c>
      <c r="F14048" s="2"/>
      <c r="G14048" s="2"/>
      <c r="H14048" s="2"/>
    </row>
    <row r="14049" spans="1:8" x14ac:dyDescent="0.25">
      <c r="A14049" s="1"/>
      <c r="B14049" s="1" t="s">
        <v>5782</v>
      </c>
      <c r="C14049" s="1" t="s">
        <v>5783</v>
      </c>
      <c r="D14049" s="22" t="str">
        <f>HYPERLINK("https://rhld.insurance.arkansas.gov/NPILookup?Npi=1285295816","1285295816")</f>
        <v>1285295816</v>
      </c>
      <c r="E14049" s="1" t="s">
        <v>6133</v>
      </c>
      <c r="F14049" s="2"/>
      <c r="G14049" s="2"/>
      <c r="H14049" s="2"/>
    </row>
    <row r="14050" spans="1:8" x14ac:dyDescent="0.25">
      <c r="A14050" s="1"/>
      <c r="B14050" s="1" t="s">
        <v>5782</v>
      </c>
      <c r="C14050" s="1" t="s">
        <v>5783</v>
      </c>
      <c r="D14050" s="22" t="str">
        <f>HYPERLINK("https://rhld.insurance.arkansas.gov/NPILookup?Npi=1285302760","1285302760")</f>
        <v>1285302760</v>
      </c>
      <c r="E14050" s="1" t="s">
        <v>31844</v>
      </c>
      <c r="F14050" s="2"/>
      <c r="G14050" s="2"/>
      <c r="H14050" s="2"/>
    </row>
    <row r="14051" spans="1:8" x14ac:dyDescent="0.25">
      <c r="A14051" s="1"/>
      <c r="B14051" s="1" t="s">
        <v>5782</v>
      </c>
      <c r="C14051" s="1" t="s">
        <v>5783</v>
      </c>
      <c r="D14051" s="22" t="str">
        <f>HYPERLINK("https://rhld.insurance.arkansas.gov/NPILookup?Npi=1285370155","1285370155")</f>
        <v>1285370155</v>
      </c>
      <c r="E14051" s="1" t="s">
        <v>21734</v>
      </c>
      <c r="F14051" s="2"/>
      <c r="G14051" s="2"/>
      <c r="H14051" s="2"/>
    </row>
    <row r="14052" spans="1:8" x14ac:dyDescent="0.25">
      <c r="A14052" s="1"/>
      <c r="B14052" s="1" t="s">
        <v>5782</v>
      </c>
      <c r="C14052" s="1" t="s">
        <v>5783</v>
      </c>
      <c r="D14052" s="22" t="str">
        <f>HYPERLINK("https://rhld.insurance.arkansas.gov/NPILookup?Npi=1285472381","1285472381")</f>
        <v>1285472381</v>
      </c>
      <c r="E14052" s="1" t="s">
        <v>31845</v>
      </c>
      <c r="F14052" s="2"/>
      <c r="G14052" s="2"/>
      <c r="H14052" s="2"/>
    </row>
    <row r="14053" spans="1:8" x14ac:dyDescent="0.25">
      <c r="A14053" s="1"/>
      <c r="B14053" s="1" t="s">
        <v>5782</v>
      </c>
      <c r="C14053" s="1" t="s">
        <v>5783</v>
      </c>
      <c r="D14053" s="22" t="str">
        <f>HYPERLINK("https://rhld.insurance.arkansas.gov/NPILookup?Npi=1285496547","1285496547")</f>
        <v>1285496547</v>
      </c>
      <c r="E14053" s="1" t="s">
        <v>21735</v>
      </c>
      <c r="F14053" s="2"/>
      <c r="G14053" s="2"/>
      <c r="H14053" s="2"/>
    </row>
    <row r="14054" spans="1:8" x14ac:dyDescent="0.25">
      <c r="A14054" s="1"/>
      <c r="B14054" s="1" t="s">
        <v>5782</v>
      </c>
      <c r="C14054" s="1" t="s">
        <v>5783</v>
      </c>
      <c r="D14054" s="22" t="str">
        <f>HYPERLINK("https://rhld.insurance.arkansas.gov/NPILookup?Npi=1285661181","1285661181")</f>
        <v>1285661181</v>
      </c>
      <c r="E14054" s="1" t="s">
        <v>6134</v>
      </c>
      <c r="F14054" s="2"/>
      <c r="G14054" s="2"/>
      <c r="H14054" s="2"/>
    </row>
    <row r="14055" spans="1:8" x14ac:dyDescent="0.25">
      <c r="A14055" s="1"/>
      <c r="B14055" s="1" t="s">
        <v>5782</v>
      </c>
      <c r="C14055" s="1" t="s">
        <v>5783</v>
      </c>
      <c r="D14055" s="22" t="str">
        <f>HYPERLINK("https://rhld.insurance.arkansas.gov/NPILookup?Npi=1285671297","1285671297")</f>
        <v>1285671297</v>
      </c>
      <c r="E14055" s="1" t="s">
        <v>3241</v>
      </c>
      <c r="F14055" s="2"/>
      <c r="G14055" s="2"/>
      <c r="H14055" s="2"/>
    </row>
    <row r="14056" spans="1:8" x14ac:dyDescent="0.25">
      <c r="A14056" s="1"/>
      <c r="B14056" s="1" t="s">
        <v>5782</v>
      </c>
      <c r="C14056" s="1" t="s">
        <v>5783</v>
      </c>
      <c r="D14056" s="22" t="str">
        <f>HYPERLINK("https://rhld.insurance.arkansas.gov/NPILookup?Npi=1285679738","1285679738")</f>
        <v>1285679738</v>
      </c>
      <c r="E14056" s="1" t="s">
        <v>15733</v>
      </c>
      <c r="F14056" s="2"/>
      <c r="G14056" s="2"/>
      <c r="H14056" s="2"/>
    </row>
    <row r="14057" spans="1:8" x14ac:dyDescent="0.25">
      <c r="A14057" s="1"/>
      <c r="B14057" s="1" t="s">
        <v>5782</v>
      </c>
      <c r="C14057" s="1" t="s">
        <v>5783</v>
      </c>
      <c r="D14057" s="22" t="str">
        <f>HYPERLINK("https://rhld.insurance.arkansas.gov/NPILookup?Npi=1285689240","1285689240")</f>
        <v>1285689240</v>
      </c>
      <c r="E14057" s="1" t="s">
        <v>21736</v>
      </c>
      <c r="F14057" s="2"/>
      <c r="G14057" s="2"/>
      <c r="H14057" s="2"/>
    </row>
    <row r="14058" spans="1:8" x14ac:dyDescent="0.25">
      <c r="A14058" s="1"/>
      <c r="B14058" s="1" t="s">
        <v>5782</v>
      </c>
      <c r="C14058" s="1" t="s">
        <v>5783</v>
      </c>
      <c r="D14058" s="22" t="str">
        <f>HYPERLINK("https://rhld.insurance.arkansas.gov/NPILookup?Npi=1285712588","1285712588")</f>
        <v>1285712588</v>
      </c>
      <c r="E14058" s="1" t="s">
        <v>11646</v>
      </c>
      <c r="F14058" s="2"/>
      <c r="G14058" s="2"/>
      <c r="H14058" s="2"/>
    </row>
    <row r="14059" spans="1:8" x14ac:dyDescent="0.25">
      <c r="A14059" s="1"/>
      <c r="B14059" s="1" t="s">
        <v>5782</v>
      </c>
      <c r="C14059" s="1" t="s">
        <v>5783</v>
      </c>
      <c r="D14059" s="22" t="str">
        <f>HYPERLINK("https://rhld.insurance.arkansas.gov/NPILookup?Npi=1285754960","1285754960")</f>
        <v>1285754960</v>
      </c>
      <c r="E14059" s="1" t="s">
        <v>3242</v>
      </c>
      <c r="F14059" s="2"/>
      <c r="G14059" s="2"/>
      <c r="H14059" s="2"/>
    </row>
    <row r="14060" spans="1:8" x14ac:dyDescent="0.25">
      <c r="A14060" s="1"/>
      <c r="B14060" s="1" t="s">
        <v>5782</v>
      </c>
      <c r="C14060" s="1" t="s">
        <v>5783</v>
      </c>
      <c r="D14060" s="22" t="str">
        <f>HYPERLINK("https://rhld.insurance.arkansas.gov/NPILookup?Npi=1285756973","1285756973")</f>
        <v>1285756973</v>
      </c>
      <c r="E14060" s="1" t="s">
        <v>3243</v>
      </c>
      <c r="F14060" s="2"/>
      <c r="G14060" s="2"/>
      <c r="H14060" s="2"/>
    </row>
    <row r="14061" spans="1:8" x14ac:dyDescent="0.25">
      <c r="A14061" s="1"/>
      <c r="B14061" s="1" t="s">
        <v>5782</v>
      </c>
      <c r="C14061" s="1" t="s">
        <v>5783</v>
      </c>
      <c r="D14061" s="22" t="str">
        <f>HYPERLINK("https://rhld.insurance.arkansas.gov/NPILookup?Npi=1285758698","1285758698")</f>
        <v>1285758698</v>
      </c>
      <c r="E14061" s="1" t="s">
        <v>21737</v>
      </c>
      <c r="F14061" s="2"/>
      <c r="G14061" s="2"/>
      <c r="H14061" s="2"/>
    </row>
    <row r="14062" spans="1:8" x14ac:dyDescent="0.25">
      <c r="A14062" s="1"/>
      <c r="B14062" s="1" t="s">
        <v>5782</v>
      </c>
      <c r="C14062" s="1" t="s">
        <v>5783</v>
      </c>
      <c r="D14062" s="22" t="str">
        <f>HYPERLINK("https://rhld.insurance.arkansas.gov/NPILookup?Npi=1285801522","1285801522")</f>
        <v>1285801522</v>
      </c>
      <c r="E14062" s="1" t="s">
        <v>21738</v>
      </c>
      <c r="F14062" s="2"/>
      <c r="G14062" s="2"/>
      <c r="H14062" s="2"/>
    </row>
    <row r="14063" spans="1:8" x14ac:dyDescent="0.25">
      <c r="A14063" s="1"/>
      <c r="B14063" s="1" t="s">
        <v>5782</v>
      </c>
      <c r="C14063" s="1" t="s">
        <v>5783</v>
      </c>
      <c r="D14063" s="22" t="str">
        <f>HYPERLINK("https://rhld.insurance.arkansas.gov/NPILookup?Npi=1285814970","1285814970")</f>
        <v>1285814970</v>
      </c>
      <c r="E14063" s="1" t="s">
        <v>11647</v>
      </c>
      <c r="F14063" s="2"/>
      <c r="G14063" s="2"/>
      <c r="H14063" s="2"/>
    </row>
    <row r="14064" spans="1:8" x14ac:dyDescent="0.25">
      <c r="A14064" s="1"/>
      <c r="B14064" s="1" t="s">
        <v>5782</v>
      </c>
      <c r="C14064" s="1" t="s">
        <v>5783</v>
      </c>
      <c r="D14064" s="22" t="str">
        <f>HYPERLINK("https://rhld.insurance.arkansas.gov/NPILookup?Npi=1285828129","1285828129")</f>
        <v>1285828129</v>
      </c>
      <c r="E14064" s="1" t="s">
        <v>21739</v>
      </c>
      <c r="F14064" s="2"/>
      <c r="G14064" s="2"/>
      <c r="H14064" s="2"/>
    </row>
    <row r="14065" spans="1:8" x14ac:dyDescent="0.25">
      <c r="A14065" s="1"/>
      <c r="B14065" s="1" t="s">
        <v>5782</v>
      </c>
      <c r="C14065" s="1" t="s">
        <v>5783</v>
      </c>
      <c r="D14065" s="22" t="str">
        <f>HYPERLINK("https://rhld.insurance.arkansas.gov/NPILookup?Npi=1285830679","1285830679")</f>
        <v>1285830679</v>
      </c>
      <c r="E14065" s="1" t="s">
        <v>11648</v>
      </c>
      <c r="F14065" s="2"/>
      <c r="G14065" s="2"/>
      <c r="H14065" s="2"/>
    </row>
    <row r="14066" spans="1:8" x14ac:dyDescent="0.25">
      <c r="A14066" s="1"/>
      <c r="B14066" s="1" t="s">
        <v>5782</v>
      </c>
      <c r="C14066" s="1" t="s">
        <v>5783</v>
      </c>
      <c r="D14066" s="22" t="str">
        <f>HYPERLINK("https://rhld.insurance.arkansas.gov/NPILookup?Npi=1285836130","1285836130")</f>
        <v>1285836130</v>
      </c>
      <c r="E14066" s="1" t="s">
        <v>21740</v>
      </c>
      <c r="F14066" s="2"/>
      <c r="G14066" s="2"/>
      <c r="H14066" s="2"/>
    </row>
    <row r="14067" spans="1:8" x14ac:dyDescent="0.25">
      <c r="A14067" s="1"/>
      <c r="B14067" s="1" t="s">
        <v>5782</v>
      </c>
      <c r="C14067" s="1" t="s">
        <v>5783</v>
      </c>
      <c r="D14067" s="22" t="str">
        <f>HYPERLINK("https://rhld.insurance.arkansas.gov/NPILookup?Npi=1285881383","1285881383")</f>
        <v>1285881383</v>
      </c>
      <c r="E14067" s="1" t="s">
        <v>21741</v>
      </c>
      <c r="F14067" s="2"/>
      <c r="G14067" s="2"/>
      <c r="H14067" s="2"/>
    </row>
    <row r="14068" spans="1:8" x14ac:dyDescent="0.25">
      <c r="A14068" s="1"/>
      <c r="B14068" s="1" t="s">
        <v>5782</v>
      </c>
      <c r="C14068" s="1" t="s">
        <v>5783</v>
      </c>
      <c r="D14068" s="22" t="str">
        <f>HYPERLINK("https://rhld.insurance.arkansas.gov/NPILookup?Npi=1285886192","1285886192")</f>
        <v>1285886192</v>
      </c>
      <c r="E14068" s="1" t="s">
        <v>11809</v>
      </c>
      <c r="F14068" s="2"/>
      <c r="G14068" s="2"/>
      <c r="H14068" s="2"/>
    </row>
    <row r="14069" spans="1:8" x14ac:dyDescent="0.25">
      <c r="A14069" s="1"/>
      <c r="B14069" s="1" t="s">
        <v>5782</v>
      </c>
      <c r="C14069" s="1" t="s">
        <v>5783</v>
      </c>
      <c r="D14069" s="22" t="str">
        <f>HYPERLINK("https://rhld.insurance.arkansas.gov/NPILookup?Npi=1285902650","1285902650")</f>
        <v>1285902650</v>
      </c>
      <c r="E14069" s="1" t="s">
        <v>6136</v>
      </c>
      <c r="F14069" s="2"/>
      <c r="G14069" s="2"/>
      <c r="H14069" s="2"/>
    </row>
    <row r="14070" spans="1:8" x14ac:dyDescent="0.25">
      <c r="A14070" s="1"/>
      <c r="B14070" s="1" t="s">
        <v>5782</v>
      </c>
      <c r="C14070" s="1" t="s">
        <v>5783</v>
      </c>
      <c r="D14070" s="22" t="str">
        <f>HYPERLINK("https://rhld.insurance.arkansas.gov/NPILookup?Npi=1285906966","1285906966")</f>
        <v>1285906966</v>
      </c>
      <c r="E14070" s="1" t="s">
        <v>11649</v>
      </c>
      <c r="F14070" s="2"/>
      <c r="G14070" s="2"/>
      <c r="H14070" s="2"/>
    </row>
    <row r="14071" spans="1:8" x14ac:dyDescent="0.25">
      <c r="A14071" s="1"/>
      <c r="B14071" s="1" t="s">
        <v>5782</v>
      </c>
      <c r="C14071" s="1" t="s">
        <v>5783</v>
      </c>
      <c r="D14071" s="22" t="str">
        <f>HYPERLINK("https://rhld.insurance.arkansas.gov/NPILookup?Npi=1285908616","1285908616")</f>
        <v>1285908616</v>
      </c>
      <c r="E14071" s="1" t="s">
        <v>2171</v>
      </c>
      <c r="F14071" s="2"/>
      <c r="G14071" s="2"/>
      <c r="H14071" s="2"/>
    </row>
    <row r="14072" spans="1:8" x14ac:dyDescent="0.25">
      <c r="A14072" s="1"/>
      <c r="B14072" s="1" t="s">
        <v>5782</v>
      </c>
      <c r="C14072" s="1" t="s">
        <v>5783</v>
      </c>
      <c r="D14072" s="22" t="str">
        <f>HYPERLINK("https://rhld.insurance.arkansas.gov/NPILookup?Npi=1285914432","1285914432")</f>
        <v>1285914432</v>
      </c>
      <c r="E14072" s="1" t="s">
        <v>3244</v>
      </c>
      <c r="F14072" s="2"/>
      <c r="G14072" s="2"/>
      <c r="H14072" s="2"/>
    </row>
    <row r="14073" spans="1:8" x14ac:dyDescent="0.25">
      <c r="A14073" s="1"/>
      <c r="B14073" s="1" t="s">
        <v>5782</v>
      </c>
      <c r="C14073" s="1" t="s">
        <v>5783</v>
      </c>
      <c r="D14073" s="22" t="str">
        <f>HYPERLINK("https://rhld.insurance.arkansas.gov/NPILookup?Npi=1285914556","1285914556")</f>
        <v>1285914556</v>
      </c>
      <c r="E14073" s="1" t="s">
        <v>939</v>
      </c>
      <c r="F14073" s="2"/>
      <c r="G14073" s="2"/>
      <c r="H14073" s="2"/>
    </row>
    <row r="14074" spans="1:8" x14ac:dyDescent="0.25">
      <c r="A14074" s="1"/>
      <c r="B14074" s="1" t="s">
        <v>5782</v>
      </c>
      <c r="C14074" s="1" t="s">
        <v>5783</v>
      </c>
      <c r="D14074" s="22" t="str">
        <f>HYPERLINK("https://rhld.insurance.arkansas.gov/NPILookup?Npi=1285916445","1285916445")</f>
        <v>1285916445</v>
      </c>
      <c r="E14074" s="1" t="s">
        <v>21742</v>
      </c>
      <c r="F14074" s="2"/>
      <c r="G14074" s="2"/>
      <c r="H14074" s="2"/>
    </row>
    <row r="14075" spans="1:8" x14ac:dyDescent="0.25">
      <c r="A14075" s="1"/>
      <c r="B14075" s="1" t="s">
        <v>5782</v>
      </c>
      <c r="C14075" s="1" t="s">
        <v>5783</v>
      </c>
      <c r="D14075" s="22" t="str">
        <f>HYPERLINK("https://rhld.insurance.arkansas.gov/NPILookup?Npi=1285937839","1285937839")</f>
        <v>1285937839</v>
      </c>
      <c r="E14075" s="1" t="s">
        <v>21743</v>
      </c>
      <c r="F14075" s="2"/>
      <c r="G14075" s="2"/>
      <c r="H14075" s="2"/>
    </row>
    <row r="14076" spans="1:8" x14ac:dyDescent="0.25">
      <c r="A14076" s="1"/>
      <c r="B14076" s="1" t="s">
        <v>5782</v>
      </c>
      <c r="C14076" s="1" t="s">
        <v>5783</v>
      </c>
      <c r="D14076" s="22" t="str">
        <f>HYPERLINK("https://rhld.insurance.arkansas.gov/NPILookup?Npi=1285938266","1285938266")</f>
        <v>1285938266</v>
      </c>
      <c r="E14076" s="1" t="s">
        <v>21744</v>
      </c>
      <c r="F14076" s="2"/>
      <c r="G14076" s="2"/>
      <c r="H14076" s="2"/>
    </row>
    <row r="14077" spans="1:8" x14ac:dyDescent="0.25">
      <c r="A14077" s="1"/>
      <c r="B14077" s="1" t="s">
        <v>5782</v>
      </c>
      <c r="C14077" s="1" t="s">
        <v>5783</v>
      </c>
      <c r="D14077" s="22" t="str">
        <f>HYPERLINK("https://rhld.insurance.arkansas.gov/NPILookup?Npi=1285941716","1285941716")</f>
        <v>1285941716</v>
      </c>
      <c r="E14077" s="1" t="s">
        <v>6137</v>
      </c>
      <c r="F14077" s="2"/>
      <c r="G14077" s="2"/>
      <c r="H14077" s="2"/>
    </row>
    <row r="14078" spans="1:8" x14ac:dyDescent="0.25">
      <c r="A14078" s="1"/>
      <c r="B14078" s="1" t="s">
        <v>5782</v>
      </c>
      <c r="C14078" s="1" t="s">
        <v>5783</v>
      </c>
      <c r="D14078" s="22" t="str">
        <f>HYPERLINK("https://rhld.insurance.arkansas.gov/NPILookup?Npi=1285951731","1285951731")</f>
        <v>1285951731</v>
      </c>
      <c r="E14078" s="1" t="s">
        <v>6138</v>
      </c>
      <c r="F14078" s="2"/>
      <c r="G14078" s="2"/>
      <c r="H14078" s="2"/>
    </row>
    <row r="14079" spans="1:8" x14ac:dyDescent="0.25">
      <c r="A14079" s="1"/>
      <c r="B14079" s="1" t="s">
        <v>5782</v>
      </c>
      <c r="C14079" s="1" t="s">
        <v>5783</v>
      </c>
      <c r="D14079" s="22" t="str">
        <f>HYPERLINK("https://rhld.insurance.arkansas.gov/NPILookup?Npi=1285956185","1285956185")</f>
        <v>1285956185</v>
      </c>
      <c r="E14079" s="1" t="s">
        <v>1507</v>
      </c>
      <c r="F14079" s="2"/>
      <c r="G14079" s="2"/>
      <c r="H14079" s="2"/>
    </row>
    <row r="14080" spans="1:8" x14ac:dyDescent="0.25">
      <c r="A14080" s="1"/>
      <c r="B14080" s="1" t="s">
        <v>5782</v>
      </c>
      <c r="C14080" s="1" t="s">
        <v>5783</v>
      </c>
      <c r="D14080" s="22" t="str">
        <f>HYPERLINK("https://rhld.insurance.arkansas.gov/NPILookup?Npi=1285979609","1285979609")</f>
        <v>1285979609</v>
      </c>
      <c r="E14080" s="1" t="s">
        <v>21745</v>
      </c>
      <c r="F14080" s="2"/>
      <c r="G14080" s="2"/>
      <c r="H14080" s="2"/>
    </row>
    <row r="14081" spans="1:8" x14ac:dyDescent="0.25">
      <c r="A14081" s="1"/>
      <c r="B14081" s="1" t="s">
        <v>5782</v>
      </c>
      <c r="C14081" s="1" t="s">
        <v>5783</v>
      </c>
      <c r="D14081" s="22" t="str">
        <f>HYPERLINK("https://rhld.insurance.arkansas.gov/NPILookup?Npi=1295001600","1295001600")</f>
        <v>1295001600</v>
      </c>
      <c r="E14081" s="1" t="s">
        <v>2749</v>
      </c>
      <c r="F14081" s="2"/>
      <c r="G14081" s="2"/>
      <c r="H14081" s="2"/>
    </row>
    <row r="14082" spans="1:8" x14ac:dyDescent="0.25">
      <c r="A14082" s="1"/>
      <c r="B14082" s="1" t="s">
        <v>5782</v>
      </c>
      <c r="C14082" s="1" t="s">
        <v>5783</v>
      </c>
      <c r="D14082" s="22" t="str">
        <f>HYPERLINK("https://rhld.insurance.arkansas.gov/NPILookup?Npi=1295004836","1295004836")</f>
        <v>1295004836</v>
      </c>
      <c r="E14082" s="1" t="s">
        <v>2172</v>
      </c>
      <c r="F14082" s="2"/>
      <c r="G14082" s="2"/>
      <c r="H14082" s="2"/>
    </row>
    <row r="14083" spans="1:8" x14ac:dyDescent="0.25">
      <c r="A14083" s="1"/>
      <c r="B14083" s="1" t="s">
        <v>5782</v>
      </c>
      <c r="C14083" s="1" t="s">
        <v>5783</v>
      </c>
      <c r="D14083" s="22" t="str">
        <f>HYPERLINK("https://rhld.insurance.arkansas.gov/NPILookup?Npi=1295008209","1295008209")</f>
        <v>1295008209</v>
      </c>
      <c r="E14083" s="1" t="s">
        <v>2173</v>
      </c>
      <c r="F14083" s="2"/>
      <c r="G14083" s="2"/>
      <c r="H14083" s="2"/>
    </row>
    <row r="14084" spans="1:8" x14ac:dyDescent="0.25">
      <c r="A14084" s="1"/>
      <c r="B14084" s="1" t="s">
        <v>5782</v>
      </c>
      <c r="C14084" s="1" t="s">
        <v>5783</v>
      </c>
      <c r="D14084" s="22" t="str">
        <f>HYPERLINK("https://rhld.insurance.arkansas.gov/NPILookup?Npi=1295015386","1295015386")</f>
        <v>1295015386</v>
      </c>
      <c r="E14084" s="1" t="s">
        <v>21746</v>
      </c>
      <c r="F14084" s="2"/>
      <c r="G14084" s="2"/>
      <c r="H14084" s="2"/>
    </row>
    <row r="14085" spans="1:8" x14ac:dyDescent="0.25">
      <c r="A14085" s="1"/>
      <c r="B14085" s="1" t="s">
        <v>5782</v>
      </c>
      <c r="C14085" s="1" t="s">
        <v>5783</v>
      </c>
      <c r="D14085" s="22" t="str">
        <f>HYPERLINK("https://rhld.insurance.arkansas.gov/NPILookup?Npi=1295017028","1295017028")</f>
        <v>1295017028</v>
      </c>
      <c r="E14085" s="1" t="s">
        <v>21747</v>
      </c>
      <c r="F14085" s="2"/>
      <c r="G14085" s="2"/>
      <c r="H14085" s="2"/>
    </row>
    <row r="14086" spans="1:8" x14ac:dyDescent="0.25">
      <c r="A14086" s="1"/>
      <c r="B14086" s="1" t="s">
        <v>5782</v>
      </c>
      <c r="C14086" s="1" t="s">
        <v>5783</v>
      </c>
      <c r="D14086" s="22" t="str">
        <f>HYPERLINK("https://rhld.insurance.arkansas.gov/NPILookup?Npi=1295018042","1295018042")</f>
        <v>1295018042</v>
      </c>
      <c r="E14086" s="1" t="s">
        <v>10403</v>
      </c>
      <c r="F14086" s="2"/>
      <c r="G14086" s="2"/>
      <c r="H14086" s="2"/>
    </row>
    <row r="14087" spans="1:8" x14ac:dyDescent="0.25">
      <c r="A14087" s="1"/>
      <c r="B14087" s="1" t="s">
        <v>5782</v>
      </c>
      <c r="C14087" s="1" t="s">
        <v>5783</v>
      </c>
      <c r="D14087" s="22" t="str">
        <f>HYPERLINK("https://rhld.insurance.arkansas.gov/NPILookup?Npi=1295039758","1295039758")</f>
        <v>1295039758</v>
      </c>
      <c r="E14087" s="1" t="s">
        <v>373</v>
      </c>
      <c r="F14087" s="2"/>
      <c r="G14087" s="2"/>
      <c r="H14087" s="2"/>
    </row>
    <row r="14088" spans="1:8" x14ac:dyDescent="0.25">
      <c r="A14088" s="1"/>
      <c r="B14088" s="1" t="s">
        <v>5782</v>
      </c>
      <c r="C14088" s="1" t="s">
        <v>5783</v>
      </c>
      <c r="D14088" s="22" t="str">
        <f>HYPERLINK("https://rhld.insurance.arkansas.gov/NPILookup?Npi=1295051746","1295051746")</f>
        <v>1295051746</v>
      </c>
      <c r="E14088" s="1" t="s">
        <v>21748</v>
      </c>
      <c r="F14088" s="2"/>
      <c r="G14088" s="2"/>
      <c r="H14088" s="2"/>
    </row>
    <row r="14089" spans="1:8" x14ac:dyDescent="0.25">
      <c r="A14089" s="1"/>
      <c r="B14089" s="1" t="s">
        <v>5782</v>
      </c>
      <c r="C14089" s="1" t="s">
        <v>5783</v>
      </c>
      <c r="D14089" s="22" t="str">
        <f>HYPERLINK("https://rhld.insurance.arkansas.gov/NPILookup?Npi=1295057974","1295057974")</f>
        <v>1295057974</v>
      </c>
      <c r="E14089" s="1" t="s">
        <v>402</v>
      </c>
      <c r="F14089" s="2"/>
      <c r="G14089" s="2"/>
      <c r="H14089" s="2"/>
    </row>
    <row r="14090" spans="1:8" x14ac:dyDescent="0.25">
      <c r="A14090" s="1"/>
      <c r="B14090" s="1" t="s">
        <v>5782</v>
      </c>
      <c r="C14090" s="1" t="s">
        <v>5783</v>
      </c>
      <c r="D14090" s="22" t="str">
        <f>HYPERLINK("https://rhld.insurance.arkansas.gov/NPILookup?Npi=1295079622","1295079622")</f>
        <v>1295079622</v>
      </c>
      <c r="E14090" s="1" t="s">
        <v>21749</v>
      </c>
      <c r="F14090" s="2"/>
      <c r="G14090" s="2"/>
      <c r="H14090" s="2"/>
    </row>
    <row r="14091" spans="1:8" x14ac:dyDescent="0.25">
      <c r="A14091" s="1"/>
      <c r="B14091" s="1" t="s">
        <v>5782</v>
      </c>
      <c r="C14091" s="1" t="s">
        <v>5783</v>
      </c>
      <c r="D14091" s="22" t="str">
        <f>HYPERLINK("https://rhld.insurance.arkansas.gov/NPILookup?Npi=1295081529","1295081529")</f>
        <v>1295081529</v>
      </c>
      <c r="E14091" s="1" t="s">
        <v>3245</v>
      </c>
      <c r="F14091" s="2"/>
      <c r="G14091" s="2"/>
      <c r="H14091" s="2"/>
    </row>
    <row r="14092" spans="1:8" x14ac:dyDescent="0.25">
      <c r="A14092" s="1"/>
      <c r="B14092" s="1" t="s">
        <v>5782</v>
      </c>
      <c r="C14092" s="1" t="s">
        <v>5783</v>
      </c>
      <c r="D14092" s="22" t="str">
        <f>HYPERLINK("https://rhld.insurance.arkansas.gov/NPILookup?Npi=1295095156","1295095156")</f>
        <v>1295095156</v>
      </c>
      <c r="E14092" s="1" t="s">
        <v>6139</v>
      </c>
      <c r="F14092" s="2"/>
      <c r="G14092" s="2"/>
      <c r="H14092" s="2"/>
    </row>
    <row r="14093" spans="1:8" x14ac:dyDescent="0.25">
      <c r="A14093" s="1"/>
      <c r="B14093" s="1" t="s">
        <v>5782</v>
      </c>
      <c r="C14093" s="1" t="s">
        <v>5783</v>
      </c>
      <c r="D14093" s="22" t="str">
        <f>HYPERLINK("https://rhld.insurance.arkansas.gov/NPILookup?Npi=1295107720","1295107720")</f>
        <v>1295107720</v>
      </c>
      <c r="E14093" s="1" t="s">
        <v>1508</v>
      </c>
      <c r="F14093" s="2"/>
      <c r="G14093" s="2"/>
      <c r="H14093" s="2"/>
    </row>
    <row r="14094" spans="1:8" x14ac:dyDescent="0.25">
      <c r="A14094" s="1"/>
      <c r="B14094" s="1" t="s">
        <v>5782</v>
      </c>
      <c r="C14094" s="1" t="s">
        <v>5783</v>
      </c>
      <c r="D14094" s="22" t="str">
        <f>HYPERLINK("https://rhld.insurance.arkansas.gov/NPILookup?Npi=1295124295","1295124295")</f>
        <v>1295124295</v>
      </c>
      <c r="E14094" s="1" t="s">
        <v>21750</v>
      </c>
      <c r="F14094" s="2"/>
      <c r="G14094" s="2"/>
      <c r="H14094" s="2"/>
    </row>
    <row r="14095" spans="1:8" x14ac:dyDescent="0.25">
      <c r="A14095" s="1"/>
      <c r="B14095" s="1" t="s">
        <v>5782</v>
      </c>
      <c r="C14095" s="1" t="s">
        <v>5783</v>
      </c>
      <c r="D14095" s="22" t="str">
        <f>HYPERLINK("https://rhld.insurance.arkansas.gov/NPILookup?Npi=1295146314","1295146314")</f>
        <v>1295146314</v>
      </c>
      <c r="E14095" s="1" t="s">
        <v>21751</v>
      </c>
      <c r="F14095" s="2"/>
      <c r="G14095" s="2"/>
      <c r="H14095" s="2"/>
    </row>
    <row r="14096" spans="1:8" x14ac:dyDescent="0.25">
      <c r="A14096" s="1"/>
      <c r="B14096" s="1" t="s">
        <v>5782</v>
      </c>
      <c r="C14096" s="1" t="s">
        <v>5783</v>
      </c>
      <c r="D14096" s="22" t="str">
        <f>HYPERLINK("https://rhld.insurance.arkansas.gov/NPILookup?Npi=1295147676","1295147676")</f>
        <v>1295147676</v>
      </c>
      <c r="E14096" s="1" t="s">
        <v>21752</v>
      </c>
      <c r="F14096" s="2"/>
      <c r="G14096" s="2"/>
      <c r="H14096" s="2"/>
    </row>
    <row r="14097" spans="1:8" x14ac:dyDescent="0.25">
      <c r="A14097" s="1"/>
      <c r="B14097" s="1" t="s">
        <v>5782</v>
      </c>
      <c r="C14097" s="1" t="s">
        <v>5783</v>
      </c>
      <c r="D14097" s="22" t="str">
        <f>HYPERLINK("https://rhld.insurance.arkansas.gov/NPILookup?Npi=1295148971","1295148971")</f>
        <v>1295148971</v>
      </c>
      <c r="E14097" s="1" t="s">
        <v>2471</v>
      </c>
      <c r="F14097" s="2"/>
      <c r="G14097" s="2"/>
      <c r="H14097" s="2"/>
    </row>
    <row r="14098" spans="1:8" x14ac:dyDescent="0.25">
      <c r="A14098" s="1"/>
      <c r="B14098" s="1" t="s">
        <v>5782</v>
      </c>
      <c r="C14098" s="1" t="s">
        <v>5783</v>
      </c>
      <c r="D14098" s="22" t="str">
        <f>HYPERLINK("https://rhld.insurance.arkansas.gov/NPILookup?Npi=1295149292","1295149292")</f>
        <v>1295149292</v>
      </c>
      <c r="E14098" s="1" t="s">
        <v>21753</v>
      </c>
      <c r="F14098" s="2"/>
      <c r="G14098" s="2"/>
      <c r="H14098" s="2"/>
    </row>
    <row r="14099" spans="1:8" x14ac:dyDescent="0.25">
      <c r="A14099" s="1"/>
      <c r="B14099" s="1" t="s">
        <v>5782</v>
      </c>
      <c r="C14099" s="1" t="s">
        <v>5783</v>
      </c>
      <c r="D14099" s="22" t="str">
        <f>HYPERLINK("https://rhld.insurance.arkansas.gov/NPILookup?Npi=1295170694","1295170694")</f>
        <v>1295170694</v>
      </c>
      <c r="E14099" s="1" t="s">
        <v>21754</v>
      </c>
      <c r="F14099" s="2"/>
      <c r="G14099" s="2"/>
      <c r="H14099" s="2"/>
    </row>
    <row r="14100" spans="1:8" x14ac:dyDescent="0.25">
      <c r="A14100" s="1"/>
      <c r="B14100" s="1" t="s">
        <v>5782</v>
      </c>
      <c r="C14100" s="1" t="s">
        <v>5783</v>
      </c>
      <c r="D14100" s="22" t="str">
        <f>HYPERLINK("https://rhld.insurance.arkansas.gov/NPILookup?Npi=1295171734","1295171734")</f>
        <v>1295171734</v>
      </c>
      <c r="E14100" s="1" t="s">
        <v>11650</v>
      </c>
      <c r="F14100" s="2"/>
      <c r="G14100" s="2"/>
      <c r="H14100" s="2"/>
    </row>
    <row r="14101" spans="1:8" x14ac:dyDescent="0.25">
      <c r="A14101" s="1"/>
      <c r="B14101" s="1" t="s">
        <v>5782</v>
      </c>
      <c r="C14101" s="1" t="s">
        <v>5783</v>
      </c>
      <c r="D14101" s="22" t="str">
        <f>HYPERLINK("https://rhld.insurance.arkansas.gov/NPILookup?Npi=1295173110","1295173110")</f>
        <v>1295173110</v>
      </c>
      <c r="E14101" s="1" t="s">
        <v>11651</v>
      </c>
      <c r="F14101" s="2"/>
      <c r="G14101" s="2"/>
      <c r="H14101" s="2"/>
    </row>
    <row r="14102" spans="1:8" x14ac:dyDescent="0.25">
      <c r="A14102" s="1"/>
      <c r="B14102" s="1" t="s">
        <v>5782</v>
      </c>
      <c r="C14102" s="1" t="s">
        <v>5783</v>
      </c>
      <c r="D14102" s="22" t="str">
        <f>HYPERLINK("https://rhld.insurance.arkansas.gov/NPILookup?Npi=1295176444","1295176444")</f>
        <v>1295176444</v>
      </c>
      <c r="E14102" s="1" t="s">
        <v>11652</v>
      </c>
      <c r="F14102" s="2"/>
      <c r="G14102" s="2"/>
      <c r="H14102" s="2"/>
    </row>
    <row r="14103" spans="1:8" x14ac:dyDescent="0.25">
      <c r="A14103" s="1"/>
      <c r="B14103" s="1" t="s">
        <v>5782</v>
      </c>
      <c r="C14103" s="1" t="s">
        <v>5783</v>
      </c>
      <c r="D14103" s="22" t="str">
        <f>HYPERLINK("https://rhld.insurance.arkansas.gov/NPILookup?Npi=1295183432","1295183432")</f>
        <v>1295183432</v>
      </c>
      <c r="E14103" s="1" t="s">
        <v>21755</v>
      </c>
      <c r="F14103" s="2"/>
      <c r="G14103" s="2"/>
      <c r="H14103" s="2"/>
    </row>
    <row r="14104" spans="1:8" x14ac:dyDescent="0.25">
      <c r="A14104" s="1"/>
      <c r="B14104" s="1" t="s">
        <v>5782</v>
      </c>
      <c r="C14104" s="1" t="s">
        <v>5783</v>
      </c>
      <c r="D14104" s="22" t="str">
        <f>HYPERLINK("https://rhld.insurance.arkansas.gov/NPILookup?Npi=1295193555","1295193555")</f>
        <v>1295193555</v>
      </c>
      <c r="E14104" s="1" t="s">
        <v>11653</v>
      </c>
      <c r="F14104" s="2"/>
      <c r="G14104" s="2"/>
      <c r="H14104" s="2"/>
    </row>
    <row r="14105" spans="1:8" x14ac:dyDescent="0.25">
      <c r="A14105" s="1"/>
      <c r="B14105" s="1" t="s">
        <v>5782</v>
      </c>
      <c r="C14105" s="1" t="s">
        <v>5783</v>
      </c>
      <c r="D14105" s="22" t="str">
        <f>HYPERLINK("https://rhld.insurance.arkansas.gov/NPILookup?Npi=1295194132","1295194132")</f>
        <v>1295194132</v>
      </c>
      <c r="E14105" s="1" t="s">
        <v>21756</v>
      </c>
      <c r="F14105" s="2"/>
      <c r="G14105" s="2"/>
      <c r="H14105" s="2"/>
    </row>
    <row r="14106" spans="1:8" x14ac:dyDescent="0.25">
      <c r="A14106" s="1"/>
      <c r="B14106" s="1" t="s">
        <v>5782</v>
      </c>
      <c r="C14106" s="1" t="s">
        <v>5783</v>
      </c>
      <c r="D14106" s="22" t="str">
        <f>HYPERLINK("https://rhld.insurance.arkansas.gov/NPILookup?Npi=1295214732","1295214732")</f>
        <v>1295214732</v>
      </c>
      <c r="E14106" s="1" t="s">
        <v>11620</v>
      </c>
      <c r="F14106" s="2"/>
      <c r="G14106" s="2"/>
      <c r="H14106" s="2"/>
    </row>
    <row r="14107" spans="1:8" x14ac:dyDescent="0.25">
      <c r="A14107" s="1"/>
      <c r="B14107" s="1" t="s">
        <v>5782</v>
      </c>
      <c r="C14107" s="1" t="s">
        <v>5783</v>
      </c>
      <c r="D14107" s="22" t="str">
        <f>HYPERLINK("https://rhld.insurance.arkansas.gov/NPILookup?Npi=1295217073","1295217073")</f>
        <v>1295217073</v>
      </c>
      <c r="E14107" s="1" t="s">
        <v>21757</v>
      </c>
      <c r="F14107" s="2"/>
      <c r="G14107" s="2"/>
      <c r="H14107" s="2"/>
    </row>
    <row r="14108" spans="1:8" x14ac:dyDescent="0.25">
      <c r="A14108" s="1"/>
      <c r="B14108" s="1" t="s">
        <v>5782</v>
      </c>
      <c r="C14108" s="1" t="s">
        <v>5783</v>
      </c>
      <c r="D14108" s="22" t="str">
        <f>HYPERLINK("https://rhld.insurance.arkansas.gov/NPILookup?Npi=1295230845","1295230845")</f>
        <v>1295230845</v>
      </c>
      <c r="E14108" s="1" t="s">
        <v>31846</v>
      </c>
      <c r="F14108" s="2"/>
      <c r="G14108" s="2"/>
      <c r="H14108" s="2"/>
    </row>
    <row r="14109" spans="1:8" x14ac:dyDescent="0.25">
      <c r="A14109" s="1"/>
      <c r="B14109" s="1" t="s">
        <v>5782</v>
      </c>
      <c r="C14109" s="1" t="s">
        <v>5783</v>
      </c>
      <c r="D14109" s="22" t="str">
        <f>HYPERLINK("https://rhld.insurance.arkansas.gov/NPILookup?Npi=1295241792","1295241792")</f>
        <v>1295241792</v>
      </c>
      <c r="E14109" s="1" t="s">
        <v>6140</v>
      </c>
      <c r="F14109" s="2"/>
      <c r="G14109" s="2"/>
      <c r="H14109" s="2"/>
    </row>
    <row r="14110" spans="1:8" x14ac:dyDescent="0.25">
      <c r="A14110" s="1"/>
      <c r="B14110" s="1" t="s">
        <v>5782</v>
      </c>
      <c r="C14110" s="1" t="s">
        <v>5783</v>
      </c>
      <c r="D14110" s="22" t="str">
        <f>HYPERLINK("https://rhld.insurance.arkansas.gov/NPILookup?Npi=1295245017","1295245017")</f>
        <v>1295245017</v>
      </c>
      <c r="E14110" s="1" t="s">
        <v>31847</v>
      </c>
      <c r="F14110" s="2"/>
      <c r="G14110" s="2"/>
      <c r="H14110" s="2"/>
    </row>
    <row r="14111" spans="1:8" x14ac:dyDescent="0.25">
      <c r="A14111" s="1"/>
      <c r="B14111" s="1" t="s">
        <v>5782</v>
      </c>
      <c r="C14111" s="1" t="s">
        <v>5783</v>
      </c>
      <c r="D14111" s="22" t="str">
        <f>HYPERLINK("https://rhld.insurance.arkansas.gov/NPILookup?Npi=1295246536","1295246536")</f>
        <v>1295246536</v>
      </c>
      <c r="E14111" s="1" t="s">
        <v>1858</v>
      </c>
      <c r="F14111" s="2"/>
      <c r="G14111" s="2"/>
      <c r="H14111" s="2"/>
    </row>
    <row r="14112" spans="1:8" x14ac:dyDescent="0.25">
      <c r="A14112" s="1"/>
      <c r="B14112" s="1" t="s">
        <v>5782</v>
      </c>
      <c r="C14112" s="1" t="s">
        <v>5783</v>
      </c>
      <c r="D14112" s="22" t="str">
        <f>HYPERLINK("https://rhld.insurance.arkansas.gov/NPILookup?Npi=1295260347","1295260347")</f>
        <v>1295260347</v>
      </c>
      <c r="E14112" s="1" t="s">
        <v>21758</v>
      </c>
      <c r="F14112" s="2"/>
      <c r="G14112" s="2"/>
      <c r="H14112" s="2"/>
    </row>
    <row r="14113" spans="1:8" x14ac:dyDescent="0.25">
      <c r="A14113" s="1"/>
      <c r="B14113" s="1" t="s">
        <v>5782</v>
      </c>
      <c r="C14113" s="1" t="s">
        <v>5783</v>
      </c>
      <c r="D14113" s="22" t="str">
        <f>HYPERLINK("https://rhld.insurance.arkansas.gov/NPILookup?Npi=1295263184","1295263184")</f>
        <v>1295263184</v>
      </c>
      <c r="E14113" s="1" t="s">
        <v>6141</v>
      </c>
      <c r="F14113" s="2"/>
      <c r="G14113" s="2"/>
      <c r="H14113" s="2"/>
    </row>
    <row r="14114" spans="1:8" x14ac:dyDescent="0.25">
      <c r="A14114" s="1"/>
      <c r="B14114" s="1" t="s">
        <v>5782</v>
      </c>
      <c r="C14114" s="1" t="s">
        <v>5783</v>
      </c>
      <c r="D14114" s="22" t="str">
        <f>HYPERLINK("https://rhld.insurance.arkansas.gov/NPILookup?Npi=1295267607","1295267607")</f>
        <v>1295267607</v>
      </c>
      <c r="E14114" s="1" t="s">
        <v>21759</v>
      </c>
      <c r="F14114" s="2"/>
      <c r="G14114" s="2"/>
      <c r="H14114" s="2"/>
    </row>
    <row r="14115" spans="1:8" x14ac:dyDescent="0.25">
      <c r="A14115" s="1"/>
      <c r="B14115" s="1" t="s">
        <v>5782</v>
      </c>
      <c r="C14115" s="1" t="s">
        <v>5783</v>
      </c>
      <c r="D14115" s="22" t="str">
        <f>HYPERLINK("https://rhld.insurance.arkansas.gov/NPILookup?Npi=1295337756","1295337756")</f>
        <v>1295337756</v>
      </c>
      <c r="E14115" s="1" t="s">
        <v>6142</v>
      </c>
      <c r="F14115" s="2"/>
      <c r="G14115" s="2"/>
      <c r="H14115" s="2"/>
    </row>
    <row r="14116" spans="1:8" x14ac:dyDescent="0.25">
      <c r="A14116" s="1"/>
      <c r="B14116" s="1" t="s">
        <v>5782</v>
      </c>
      <c r="C14116" s="1" t="s">
        <v>5783</v>
      </c>
      <c r="D14116" s="22" t="str">
        <f>HYPERLINK("https://rhld.insurance.arkansas.gov/NPILookup?Npi=1295343317","1295343317")</f>
        <v>1295343317</v>
      </c>
      <c r="E14116" s="1" t="s">
        <v>11654</v>
      </c>
      <c r="F14116" s="2"/>
      <c r="G14116" s="2"/>
      <c r="H14116" s="2"/>
    </row>
    <row r="14117" spans="1:8" x14ac:dyDescent="0.25">
      <c r="A14117" s="1"/>
      <c r="B14117" s="1" t="s">
        <v>5782</v>
      </c>
      <c r="C14117" s="1" t="s">
        <v>5783</v>
      </c>
      <c r="D14117" s="22" t="str">
        <f>HYPERLINK("https://rhld.insurance.arkansas.gov/NPILookup?Npi=1295344166","1295344166")</f>
        <v>1295344166</v>
      </c>
      <c r="E14117" s="1" t="s">
        <v>6143</v>
      </c>
      <c r="F14117" s="2"/>
      <c r="G14117" s="2"/>
      <c r="H14117" s="2"/>
    </row>
    <row r="14118" spans="1:8" x14ac:dyDescent="0.25">
      <c r="A14118" s="1"/>
      <c r="B14118" s="1" t="s">
        <v>5782</v>
      </c>
      <c r="C14118" s="1" t="s">
        <v>5783</v>
      </c>
      <c r="D14118" s="22" t="str">
        <f>HYPERLINK("https://rhld.insurance.arkansas.gov/NPILookup?Npi=1295372290","1295372290")</f>
        <v>1295372290</v>
      </c>
      <c r="E14118" s="1" t="s">
        <v>2144</v>
      </c>
      <c r="F14118" s="2"/>
      <c r="G14118" s="2"/>
      <c r="H14118" s="2"/>
    </row>
    <row r="14119" spans="1:8" x14ac:dyDescent="0.25">
      <c r="A14119" s="1"/>
      <c r="B14119" s="1" t="s">
        <v>5782</v>
      </c>
      <c r="C14119" s="1" t="s">
        <v>5783</v>
      </c>
      <c r="D14119" s="22" t="str">
        <f>HYPERLINK("https://rhld.insurance.arkansas.gov/NPILookup?Npi=1295378289","1295378289")</f>
        <v>1295378289</v>
      </c>
      <c r="E14119" s="1" t="s">
        <v>21760</v>
      </c>
      <c r="F14119" s="2"/>
      <c r="G14119" s="2"/>
      <c r="H14119" s="2"/>
    </row>
    <row r="14120" spans="1:8" x14ac:dyDescent="0.25">
      <c r="A14120" s="1"/>
      <c r="B14120" s="1" t="s">
        <v>5782</v>
      </c>
      <c r="C14120" s="1" t="s">
        <v>5783</v>
      </c>
      <c r="D14120" s="22" t="str">
        <f>HYPERLINK("https://rhld.insurance.arkansas.gov/NPILookup?Npi=1295386613","1295386613")</f>
        <v>1295386613</v>
      </c>
      <c r="E14120" s="1" t="s">
        <v>21761</v>
      </c>
      <c r="F14120" s="2"/>
      <c r="G14120" s="2"/>
      <c r="H14120" s="2"/>
    </row>
    <row r="14121" spans="1:8" x14ac:dyDescent="0.25">
      <c r="A14121" s="1"/>
      <c r="B14121" s="1" t="s">
        <v>5782</v>
      </c>
      <c r="C14121" s="1" t="s">
        <v>5783</v>
      </c>
      <c r="D14121" s="22" t="str">
        <f>HYPERLINK("https://rhld.insurance.arkansas.gov/NPILookup?Npi=1295387942","1295387942")</f>
        <v>1295387942</v>
      </c>
      <c r="E14121" s="1" t="s">
        <v>21762</v>
      </c>
      <c r="F14121" s="2"/>
      <c r="G14121" s="2"/>
      <c r="H14121" s="2"/>
    </row>
    <row r="14122" spans="1:8" x14ac:dyDescent="0.25">
      <c r="A14122" s="1"/>
      <c r="B14122" s="1" t="s">
        <v>5782</v>
      </c>
      <c r="C14122" s="1" t="s">
        <v>5783</v>
      </c>
      <c r="D14122" s="22" t="str">
        <f>HYPERLINK("https://rhld.insurance.arkansas.gov/NPILookup?Npi=1295389922","1295389922")</f>
        <v>1295389922</v>
      </c>
      <c r="E14122" s="1" t="s">
        <v>6144</v>
      </c>
      <c r="F14122" s="2"/>
      <c r="G14122" s="2"/>
      <c r="H14122" s="2"/>
    </row>
    <row r="14123" spans="1:8" x14ac:dyDescent="0.25">
      <c r="A14123" s="1"/>
      <c r="B14123" s="1" t="s">
        <v>5782</v>
      </c>
      <c r="C14123" s="1" t="s">
        <v>5783</v>
      </c>
      <c r="D14123" s="22" t="str">
        <f>HYPERLINK("https://rhld.insurance.arkansas.gov/NPILookup?Npi=1295400463","1295400463")</f>
        <v>1295400463</v>
      </c>
      <c r="E14123" s="1" t="s">
        <v>21763</v>
      </c>
      <c r="F14123" s="2"/>
      <c r="G14123" s="2"/>
      <c r="H14123" s="2"/>
    </row>
    <row r="14124" spans="1:8" x14ac:dyDescent="0.25">
      <c r="A14124" s="1"/>
      <c r="B14124" s="1" t="s">
        <v>5782</v>
      </c>
      <c r="C14124" s="1" t="s">
        <v>5783</v>
      </c>
      <c r="D14124" s="22" t="str">
        <f>HYPERLINK("https://rhld.insurance.arkansas.gov/NPILookup?Npi=1295411775","1295411775")</f>
        <v>1295411775</v>
      </c>
      <c r="E14124" s="1" t="s">
        <v>21764</v>
      </c>
      <c r="F14124" s="2"/>
      <c r="G14124" s="2"/>
      <c r="H14124" s="2"/>
    </row>
    <row r="14125" spans="1:8" x14ac:dyDescent="0.25">
      <c r="A14125" s="1"/>
      <c r="B14125" s="1" t="s">
        <v>5782</v>
      </c>
      <c r="C14125" s="1" t="s">
        <v>5783</v>
      </c>
      <c r="D14125" s="22" t="str">
        <f>HYPERLINK("https://rhld.insurance.arkansas.gov/NPILookup?Npi=1295436350","1295436350")</f>
        <v>1295436350</v>
      </c>
      <c r="E14125" s="1" t="s">
        <v>21765</v>
      </c>
      <c r="F14125" s="2"/>
      <c r="G14125" s="2"/>
      <c r="H14125" s="2"/>
    </row>
    <row r="14126" spans="1:8" x14ac:dyDescent="0.25">
      <c r="A14126" s="1"/>
      <c r="B14126" s="1" t="s">
        <v>5782</v>
      </c>
      <c r="C14126" s="1" t="s">
        <v>5783</v>
      </c>
      <c r="D14126" s="22" t="str">
        <f>HYPERLINK("https://rhld.insurance.arkansas.gov/NPILookup?Npi=1295445443","1295445443")</f>
        <v>1295445443</v>
      </c>
      <c r="E14126" s="1" t="s">
        <v>31848</v>
      </c>
      <c r="F14126" s="2"/>
      <c r="G14126" s="2"/>
      <c r="H14126" s="2"/>
    </row>
    <row r="14127" spans="1:8" x14ac:dyDescent="0.25">
      <c r="A14127" s="1"/>
      <c r="B14127" s="1" t="s">
        <v>5782</v>
      </c>
      <c r="C14127" s="1" t="s">
        <v>5783</v>
      </c>
      <c r="D14127" s="22" t="str">
        <f>HYPERLINK("https://rhld.insurance.arkansas.gov/NPILookup?Npi=1295474344","1295474344")</f>
        <v>1295474344</v>
      </c>
      <c r="E14127" s="1" t="s">
        <v>21766</v>
      </c>
      <c r="F14127" s="2"/>
      <c r="G14127" s="2"/>
      <c r="H14127" s="2"/>
    </row>
    <row r="14128" spans="1:8" x14ac:dyDescent="0.25">
      <c r="A14128" s="1"/>
      <c r="B14128" s="1" t="s">
        <v>5782</v>
      </c>
      <c r="C14128" s="1" t="s">
        <v>5783</v>
      </c>
      <c r="D14128" s="22" t="str">
        <f>HYPERLINK("https://rhld.insurance.arkansas.gov/NPILookup?Npi=1295489987","1295489987")</f>
        <v>1295489987</v>
      </c>
      <c r="E14128" s="1" t="s">
        <v>21767</v>
      </c>
      <c r="F14128" s="2"/>
      <c r="G14128" s="2"/>
      <c r="H14128" s="2"/>
    </row>
    <row r="14129" spans="1:8" x14ac:dyDescent="0.25">
      <c r="A14129" s="1"/>
      <c r="B14129" s="1" t="s">
        <v>5782</v>
      </c>
      <c r="C14129" s="1" t="s">
        <v>5783</v>
      </c>
      <c r="D14129" s="22" t="str">
        <f>HYPERLINK("https://rhld.insurance.arkansas.gov/NPILookup?Npi=1295536092","1295536092")</f>
        <v>1295536092</v>
      </c>
      <c r="E14129" s="1" t="s">
        <v>31849</v>
      </c>
      <c r="F14129" s="2"/>
      <c r="G14129" s="2"/>
      <c r="H14129" s="2"/>
    </row>
    <row r="14130" spans="1:8" x14ac:dyDescent="0.25">
      <c r="A14130" s="1"/>
      <c r="B14130" s="1" t="s">
        <v>5782</v>
      </c>
      <c r="C14130" s="1" t="s">
        <v>5783</v>
      </c>
      <c r="D14130" s="22" t="str">
        <f>HYPERLINK("https://rhld.insurance.arkansas.gov/NPILookup?Npi=1295590131","1295590131")</f>
        <v>1295590131</v>
      </c>
      <c r="E14130" s="1" t="s">
        <v>21768</v>
      </c>
      <c r="F14130" s="2"/>
      <c r="G14130" s="2"/>
      <c r="H14130" s="2"/>
    </row>
    <row r="14131" spans="1:8" x14ac:dyDescent="0.25">
      <c r="A14131" s="1"/>
      <c r="B14131" s="1" t="s">
        <v>5782</v>
      </c>
      <c r="C14131" s="1" t="s">
        <v>5783</v>
      </c>
      <c r="D14131" s="22" t="str">
        <f>HYPERLINK("https://rhld.insurance.arkansas.gov/NPILookup?Npi=1295751766","1295751766")</f>
        <v>1295751766</v>
      </c>
      <c r="E14131" s="1" t="s">
        <v>1250</v>
      </c>
      <c r="F14131" s="2"/>
      <c r="G14131" s="2"/>
      <c r="H14131" s="2"/>
    </row>
    <row r="14132" spans="1:8" x14ac:dyDescent="0.25">
      <c r="A14132" s="1"/>
      <c r="B14132" s="1" t="s">
        <v>5782</v>
      </c>
      <c r="C14132" s="1" t="s">
        <v>5783</v>
      </c>
      <c r="D14132" s="22" t="str">
        <f>HYPERLINK("https://rhld.insurance.arkansas.gov/NPILookup?Npi=1295780088","1295780088")</f>
        <v>1295780088</v>
      </c>
      <c r="E14132" s="1" t="s">
        <v>21769</v>
      </c>
      <c r="F14132" s="2"/>
      <c r="G14132" s="2"/>
      <c r="H14132" s="2"/>
    </row>
    <row r="14133" spans="1:8" x14ac:dyDescent="0.25">
      <c r="A14133" s="1"/>
      <c r="B14133" s="1" t="s">
        <v>5782</v>
      </c>
      <c r="C14133" s="1" t="s">
        <v>5783</v>
      </c>
      <c r="D14133" s="22" t="str">
        <f>HYPERLINK("https://rhld.insurance.arkansas.gov/NPILookup?Npi=1295793040","1295793040")</f>
        <v>1295793040</v>
      </c>
      <c r="E14133" s="1" t="s">
        <v>21770</v>
      </c>
      <c r="F14133" s="2"/>
      <c r="G14133" s="2"/>
      <c r="H14133" s="2"/>
    </row>
    <row r="14134" spans="1:8" x14ac:dyDescent="0.25">
      <c r="A14134" s="1"/>
      <c r="B14134" s="1" t="s">
        <v>5782</v>
      </c>
      <c r="C14134" s="1" t="s">
        <v>5783</v>
      </c>
      <c r="D14134" s="22" t="str">
        <f>HYPERLINK("https://rhld.insurance.arkansas.gov/NPILookup?Npi=1295800720","1295800720")</f>
        <v>1295800720</v>
      </c>
      <c r="E14134" s="1" t="s">
        <v>3322</v>
      </c>
      <c r="F14134" s="2"/>
      <c r="G14134" s="2"/>
      <c r="H14134" s="2"/>
    </row>
    <row r="14135" spans="1:8" x14ac:dyDescent="0.25">
      <c r="A14135" s="1"/>
      <c r="B14135" s="1" t="s">
        <v>5782</v>
      </c>
      <c r="C14135" s="1" t="s">
        <v>5783</v>
      </c>
      <c r="D14135" s="22" t="str">
        <f>HYPERLINK("https://rhld.insurance.arkansas.gov/NPILookup?Npi=1295825859","1295825859")</f>
        <v>1295825859</v>
      </c>
      <c r="E14135" s="1" t="s">
        <v>21771</v>
      </c>
      <c r="F14135" s="2"/>
      <c r="G14135" s="2"/>
      <c r="H14135" s="2"/>
    </row>
    <row r="14136" spans="1:8" x14ac:dyDescent="0.25">
      <c r="A14136" s="1"/>
      <c r="B14136" s="1" t="s">
        <v>5782</v>
      </c>
      <c r="C14136" s="1" t="s">
        <v>5783</v>
      </c>
      <c r="D14136" s="22" t="str">
        <f>HYPERLINK("https://rhld.insurance.arkansas.gov/NPILookup?Npi=1295825867","1295825867")</f>
        <v>1295825867</v>
      </c>
      <c r="E14136" s="1" t="s">
        <v>393</v>
      </c>
      <c r="F14136" s="2"/>
      <c r="G14136" s="2"/>
      <c r="H14136" s="2"/>
    </row>
    <row r="14137" spans="1:8" x14ac:dyDescent="0.25">
      <c r="A14137" s="1"/>
      <c r="B14137" s="1" t="s">
        <v>5782</v>
      </c>
      <c r="C14137" s="1" t="s">
        <v>5783</v>
      </c>
      <c r="D14137" s="22" t="str">
        <f>HYPERLINK("https://rhld.insurance.arkansas.gov/NPILookup?Npi=1295852887","1295852887")</f>
        <v>1295852887</v>
      </c>
      <c r="E14137" s="1" t="s">
        <v>21772</v>
      </c>
      <c r="F14137" s="2"/>
      <c r="G14137" s="2"/>
      <c r="H14137" s="2"/>
    </row>
    <row r="14138" spans="1:8" x14ac:dyDescent="0.25">
      <c r="A14138" s="1"/>
      <c r="B14138" s="1" t="s">
        <v>5782</v>
      </c>
      <c r="C14138" s="1" t="s">
        <v>5783</v>
      </c>
      <c r="D14138" s="22" t="str">
        <f>HYPERLINK("https://rhld.insurance.arkansas.gov/NPILookup?Npi=1295861326","1295861326")</f>
        <v>1295861326</v>
      </c>
      <c r="E14138" s="1" t="s">
        <v>6145</v>
      </c>
      <c r="F14138" s="2"/>
      <c r="G14138" s="2"/>
      <c r="H14138" s="2"/>
    </row>
    <row r="14139" spans="1:8" x14ac:dyDescent="0.25">
      <c r="A14139" s="1"/>
      <c r="B14139" s="1" t="s">
        <v>5782</v>
      </c>
      <c r="C14139" s="1" t="s">
        <v>5783</v>
      </c>
      <c r="D14139" s="22" t="str">
        <f>HYPERLINK("https://rhld.insurance.arkansas.gov/NPILookup?Npi=1295861573","1295861573")</f>
        <v>1295861573</v>
      </c>
      <c r="E14139" s="1" t="s">
        <v>2634</v>
      </c>
      <c r="F14139" s="2"/>
      <c r="G14139" s="2"/>
      <c r="H14139" s="2"/>
    </row>
    <row r="14140" spans="1:8" x14ac:dyDescent="0.25">
      <c r="A14140" s="1"/>
      <c r="B14140" s="1" t="s">
        <v>5782</v>
      </c>
      <c r="C14140" s="1" t="s">
        <v>5783</v>
      </c>
      <c r="D14140" s="22" t="str">
        <f>HYPERLINK("https://rhld.insurance.arkansas.gov/NPILookup?Npi=1295861649","1295861649")</f>
        <v>1295861649</v>
      </c>
      <c r="E14140" s="1" t="s">
        <v>21773</v>
      </c>
      <c r="F14140" s="2"/>
      <c r="G14140" s="2"/>
      <c r="H14140" s="2"/>
    </row>
    <row r="14141" spans="1:8" x14ac:dyDescent="0.25">
      <c r="A14141" s="1"/>
      <c r="B14141" s="1" t="s">
        <v>5782</v>
      </c>
      <c r="C14141" s="1" t="s">
        <v>5783</v>
      </c>
      <c r="D14141" s="22" t="str">
        <f>HYPERLINK("https://rhld.insurance.arkansas.gov/NPILookup?Npi=1295865947","1295865947")</f>
        <v>1295865947</v>
      </c>
      <c r="E14141" s="1" t="s">
        <v>11655</v>
      </c>
      <c r="F14141" s="2"/>
      <c r="G14141" s="2"/>
      <c r="H14141" s="2"/>
    </row>
    <row r="14142" spans="1:8" x14ac:dyDescent="0.25">
      <c r="A14142" s="1"/>
      <c r="B14142" s="1" t="s">
        <v>5782</v>
      </c>
      <c r="C14142" s="1" t="s">
        <v>5783</v>
      </c>
      <c r="D14142" s="22" t="str">
        <f>HYPERLINK("https://rhld.insurance.arkansas.gov/NPILookup?Npi=1295869311","1295869311")</f>
        <v>1295869311</v>
      </c>
      <c r="E14142" s="1" t="s">
        <v>6146</v>
      </c>
      <c r="F14142" s="2"/>
      <c r="G14142" s="2"/>
      <c r="H14142" s="2"/>
    </row>
    <row r="14143" spans="1:8" x14ac:dyDescent="0.25">
      <c r="A14143" s="1"/>
      <c r="B14143" s="1" t="s">
        <v>5782</v>
      </c>
      <c r="C14143" s="1" t="s">
        <v>5783</v>
      </c>
      <c r="D14143" s="22" t="str">
        <f>HYPERLINK("https://rhld.insurance.arkansas.gov/NPILookup?Npi=1295870640","1295870640")</f>
        <v>1295870640</v>
      </c>
      <c r="E14143" s="1" t="s">
        <v>21774</v>
      </c>
      <c r="F14143" s="2"/>
      <c r="G14143" s="2"/>
      <c r="H14143" s="2"/>
    </row>
    <row r="14144" spans="1:8" x14ac:dyDescent="0.25">
      <c r="A14144" s="1"/>
      <c r="B14144" s="1" t="s">
        <v>5782</v>
      </c>
      <c r="C14144" s="1" t="s">
        <v>5783</v>
      </c>
      <c r="D14144" s="22" t="str">
        <f>HYPERLINK("https://rhld.insurance.arkansas.gov/NPILookup?Npi=1295910974","1295910974")</f>
        <v>1295910974</v>
      </c>
      <c r="E14144" s="1" t="s">
        <v>11656</v>
      </c>
      <c r="F14144" s="2"/>
      <c r="G14144" s="2"/>
      <c r="H14144" s="2"/>
    </row>
    <row r="14145" spans="1:8" x14ac:dyDescent="0.25">
      <c r="A14145" s="1"/>
      <c r="B14145" s="1" t="s">
        <v>5782</v>
      </c>
      <c r="C14145" s="1" t="s">
        <v>5783</v>
      </c>
      <c r="D14145" s="22" t="str">
        <f>HYPERLINK("https://rhld.insurance.arkansas.gov/NPILookup?Npi=1295922292","1295922292")</f>
        <v>1295922292</v>
      </c>
      <c r="E14145" s="1" t="s">
        <v>21775</v>
      </c>
      <c r="F14145" s="2"/>
      <c r="G14145" s="2"/>
      <c r="H14145" s="2"/>
    </row>
    <row r="14146" spans="1:8" x14ac:dyDescent="0.25">
      <c r="A14146" s="1"/>
      <c r="B14146" s="1" t="s">
        <v>5782</v>
      </c>
      <c r="C14146" s="1" t="s">
        <v>5783</v>
      </c>
      <c r="D14146" s="22" t="str">
        <f>HYPERLINK("https://rhld.insurance.arkansas.gov/NPILookup?Npi=1295923878","1295923878")</f>
        <v>1295923878</v>
      </c>
      <c r="E14146" s="1" t="s">
        <v>11657</v>
      </c>
      <c r="F14146" s="2"/>
      <c r="G14146" s="2"/>
      <c r="H14146" s="2"/>
    </row>
    <row r="14147" spans="1:8" x14ac:dyDescent="0.25">
      <c r="A14147" s="1"/>
      <c r="B14147" s="1" t="s">
        <v>5782</v>
      </c>
      <c r="C14147" s="1" t="s">
        <v>5783</v>
      </c>
      <c r="D14147" s="22" t="str">
        <f>HYPERLINK("https://rhld.insurance.arkansas.gov/NPILookup?Npi=1295928018","1295928018")</f>
        <v>1295928018</v>
      </c>
      <c r="E14147" s="1" t="s">
        <v>1212</v>
      </c>
      <c r="F14147" s="2"/>
      <c r="G14147" s="2"/>
      <c r="H14147" s="2"/>
    </row>
    <row r="14148" spans="1:8" x14ac:dyDescent="0.25">
      <c r="A14148" s="1"/>
      <c r="B14148" s="1" t="s">
        <v>5782</v>
      </c>
      <c r="C14148" s="1" t="s">
        <v>5783</v>
      </c>
      <c r="D14148" s="22" t="str">
        <f>HYPERLINK("https://rhld.insurance.arkansas.gov/NPILookup?Npi=1295960896","1295960896")</f>
        <v>1295960896</v>
      </c>
      <c r="E14148" s="1" t="s">
        <v>21776</v>
      </c>
      <c r="F14148" s="2"/>
      <c r="G14148" s="2"/>
      <c r="H14148" s="2"/>
    </row>
    <row r="14149" spans="1:8" x14ac:dyDescent="0.25">
      <c r="A14149" s="1"/>
      <c r="B14149" s="1" t="s">
        <v>5782</v>
      </c>
      <c r="C14149" s="1" t="s">
        <v>5783</v>
      </c>
      <c r="D14149" s="22" t="str">
        <f>HYPERLINK("https://rhld.insurance.arkansas.gov/NPILookup?Npi=1295964443","1295964443")</f>
        <v>1295964443</v>
      </c>
      <c r="E14149" s="1" t="s">
        <v>2174</v>
      </c>
      <c r="F14149" s="2"/>
      <c r="G14149" s="2"/>
      <c r="H14149" s="2"/>
    </row>
    <row r="14150" spans="1:8" x14ac:dyDescent="0.25">
      <c r="A14150" s="1"/>
      <c r="B14150" s="1" t="s">
        <v>5782</v>
      </c>
      <c r="C14150" s="1" t="s">
        <v>5783</v>
      </c>
      <c r="D14150" s="22" t="str">
        <f>HYPERLINK("https://rhld.insurance.arkansas.gov/NPILookup?Npi=1295966364","1295966364")</f>
        <v>1295966364</v>
      </c>
      <c r="E14150" s="1" t="s">
        <v>21777</v>
      </c>
      <c r="F14150" s="2"/>
      <c r="G14150" s="2"/>
      <c r="H14150" s="2"/>
    </row>
    <row r="14151" spans="1:8" x14ac:dyDescent="0.25">
      <c r="A14151" s="1"/>
      <c r="B14151" s="1" t="s">
        <v>5782</v>
      </c>
      <c r="C14151" s="1" t="s">
        <v>5783</v>
      </c>
      <c r="D14151" s="22" t="str">
        <f>HYPERLINK("https://rhld.insurance.arkansas.gov/NPILookup?Npi=1295967313","1295967313")</f>
        <v>1295967313</v>
      </c>
      <c r="E14151" s="1" t="s">
        <v>2514</v>
      </c>
      <c r="F14151" s="2"/>
      <c r="G14151" s="2"/>
      <c r="H14151" s="2"/>
    </row>
    <row r="14152" spans="1:8" x14ac:dyDescent="0.25">
      <c r="A14152" s="1"/>
      <c r="B14152" s="1" t="s">
        <v>5782</v>
      </c>
      <c r="C14152" s="1" t="s">
        <v>5783</v>
      </c>
      <c r="D14152" s="22" t="str">
        <f>HYPERLINK("https://rhld.insurance.arkansas.gov/NPILookup?Npi=1295977726","1295977726")</f>
        <v>1295977726</v>
      </c>
      <c r="E14152" s="1" t="s">
        <v>6147</v>
      </c>
      <c r="F14152" s="2"/>
      <c r="G14152" s="2"/>
      <c r="H14152" s="2"/>
    </row>
    <row r="14153" spans="1:8" x14ac:dyDescent="0.25">
      <c r="A14153" s="1"/>
      <c r="B14153" s="1" t="s">
        <v>5782</v>
      </c>
      <c r="C14153" s="1" t="s">
        <v>5783</v>
      </c>
      <c r="D14153" s="22" t="str">
        <f>HYPERLINK("https://rhld.insurance.arkansas.gov/NPILookup?Npi=1295989945","1295989945")</f>
        <v>1295989945</v>
      </c>
      <c r="E14153" s="1" t="s">
        <v>314</v>
      </c>
      <c r="F14153" s="2"/>
      <c r="G14153" s="2"/>
      <c r="H14153" s="2"/>
    </row>
    <row r="14154" spans="1:8" x14ac:dyDescent="0.25">
      <c r="A14154" s="1"/>
      <c r="B14154" s="1" t="s">
        <v>5782</v>
      </c>
      <c r="C14154" s="1" t="s">
        <v>5783</v>
      </c>
      <c r="D14154" s="22" t="str">
        <f>HYPERLINK("https://rhld.insurance.arkansas.gov/NPILookup?Npi=1306002597","1306002597")</f>
        <v>1306002597</v>
      </c>
      <c r="E14154" s="1" t="s">
        <v>21778</v>
      </c>
      <c r="F14154" s="2"/>
      <c r="G14154" s="2"/>
      <c r="H14154" s="2"/>
    </row>
    <row r="14155" spans="1:8" x14ac:dyDescent="0.25">
      <c r="A14155" s="1"/>
      <c r="B14155" s="1" t="s">
        <v>5782</v>
      </c>
      <c r="C14155" s="1" t="s">
        <v>5783</v>
      </c>
      <c r="D14155" s="22" t="str">
        <f>HYPERLINK("https://rhld.insurance.arkansas.gov/NPILookup?Npi=1306003553","1306003553")</f>
        <v>1306003553</v>
      </c>
      <c r="E14155" s="1" t="s">
        <v>21779</v>
      </c>
      <c r="F14155" s="2"/>
      <c r="G14155" s="2"/>
      <c r="H14155" s="2"/>
    </row>
    <row r="14156" spans="1:8" x14ac:dyDescent="0.25">
      <c r="A14156" s="1"/>
      <c r="B14156" s="1" t="s">
        <v>5782</v>
      </c>
      <c r="C14156" s="1" t="s">
        <v>5783</v>
      </c>
      <c r="D14156" s="22" t="str">
        <f>HYPERLINK("https://rhld.insurance.arkansas.gov/NPILookup?Npi=1306026000","1306026000")</f>
        <v>1306026000</v>
      </c>
      <c r="E14156" s="1" t="s">
        <v>1509</v>
      </c>
      <c r="F14156" s="2"/>
      <c r="G14156" s="2"/>
      <c r="H14156" s="2"/>
    </row>
    <row r="14157" spans="1:8" x14ac:dyDescent="0.25">
      <c r="A14157" s="1"/>
      <c r="B14157" s="1" t="s">
        <v>5782</v>
      </c>
      <c r="C14157" s="1" t="s">
        <v>5783</v>
      </c>
      <c r="D14157" s="22" t="str">
        <f>HYPERLINK("https://rhld.insurance.arkansas.gov/NPILookup?Npi=1306073861","1306073861")</f>
        <v>1306073861</v>
      </c>
      <c r="E14157" s="1" t="s">
        <v>3246</v>
      </c>
      <c r="F14157" s="2"/>
      <c r="G14157" s="2"/>
      <c r="H14157" s="2"/>
    </row>
    <row r="14158" spans="1:8" x14ac:dyDescent="0.25">
      <c r="A14158" s="1"/>
      <c r="B14158" s="1" t="s">
        <v>5782</v>
      </c>
      <c r="C14158" s="1" t="s">
        <v>5783</v>
      </c>
      <c r="D14158" s="22" t="str">
        <f>HYPERLINK("https://rhld.insurance.arkansas.gov/NPILookup?Npi=1306086459","1306086459")</f>
        <v>1306086459</v>
      </c>
      <c r="E14158" s="1" t="s">
        <v>11658</v>
      </c>
      <c r="F14158" s="2"/>
      <c r="G14158" s="2"/>
      <c r="H14158" s="2"/>
    </row>
    <row r="14159" spans="1:8" x14ac:dyDescent="0.25">
      <c r="A14159" s="1"/>
      <c r="B14159" s="1" t="s">
        <v>5782</v>
      </c>
      <c r="C14159" s="1" t="s">
        <v>5783</v>
      </c>
      <c r="D14159" s="22" t="str">
        <f>HYPERLINK("https://rhld.insurance.arkansas.gov/NPILookup?Npi=1306089586","1306089586")</f>
        <v>1306089586</v>
      </c>
      <c r="E14159" s="1" t="s">
        <v>11659</v>
      </c>
      <c r="F14159" s="2"/>
      <c r="G14159" s="2"/>
      <c r="H14159" s="2"/>
    </row>
    <row r="14160" spans="1:8" x14ac:dyDescent="0.25">
      <c r="A14160" s="1"/>
      <c r="B14160" s="1" t="s">
        <v>5782</v>
      </c>
      <c r="C14160" s="1" t="s">
        <v>5783</v>
      </c>
      <c r="D14160" s="22" t="str">
        <f>HYPERLINK("https://rhld.insurance.arkansas.gov/NPILookup?Npi=1306094081","1306094081")</f>
        <v>1306094081</v>
      </c>
      <c r="E14160" s="1" t="s">
        <v>21780</v>
      </c>
      <c r="F14160" s="2"/>
      <c r="G14160" s="2"/>
      <c r="H14160" s="2"/>
    </row>
    <row r="14161" spans="1:8" x14ac:dyDescent="0.25">
      <c r="A14161" s="1"/>
      <c r="B14161" s="1" t="s">
        <v>5782</v>
      </c>
      <c r="C14161" s="1" t="s">
        <v>5783</v>
      </c>
      <c r="D14161" s="22" t="str">
        <f>HYPERLINK("https://rhld.insurance.arkansas.gov/NPILookup?Npi=1306096151","1306096151")</f>
        <v>1306096151</v>
      </c>
      <c r="E14161" s="1" t="s">
        <v>21781</v>
      </c>
      <c r="F14161" s="2"/>
      <c r="G14161" s="2"/>
      <c r="H14161" s="2"/>
    </row>
    <row r="14162" spans="1:8" x14ac:dyDescent="0.25">
      <c r="A14162" s="1"/>
      <c r="B14162" s="1" t="s">
        <v>5782</v>
      </c>
      <c r="C14162" s="1" t="s">
        <v>5783</v>
      </c>
      <c r="D14162" s="22" t="str">
        <f>HYPERLINK("https://rhld.insurance.arkansas.gov/NPILookup?Npi=1306131461","1306131461")</f>
        <v>1306131461</v>
      </c>
      <c r="E14162" s="1" t="s">
        <v>21431</v>
      </c>
      <c r="F14162" s="2"/>
      <c r="G14162" s="2"/>
      <c r="H14162" s="2"/>
    </row>
    <row r="14163" spans="1:8" x14ac:dyDescent="0.25">
      <c r="A14163" s="1"/>
      <c r="B14163" s="1" t="s">
        <v>5782</v>
      </c>
      <c r="C14163" s="1" t="s">
        <v>5783</v>
      </c>
      <c r="D14163" s="22" t="str">
        <f>HYPERLINK("https://rhld.insurance.arkansas.gov/NPILookup?Npi=1306147806","1306147806")</f>
        <v>1306147806</v>
      </c>
      <c r="E14163" s="1" t="s">
        <v>16518</v>
      </c>
      <c r="F14163" s="2"/>
      <c r="G14163" s="2"/>
      <c r="H14163" s="2"/>
    </row>
    <row r="14164" spans="1:8" x14ac:dyDescent="0.25">
      <c r="A14164" s="1"/>
      <c r="B14164" s="1" t="s">
        <v>5782</v>
      </c>
      <c r="C14164" s="1" t="s">
        <v>5783</v>
      </c>
      <c r="D14164" s="22" t="str">
        <f>HYPERLINK("https://rhld.insurance.arkansas.gov/NPILookup?Npi=1306166368","1306166368")</f>
        <v>1306166368</v>
      </c>
      <c r="E14164" s="1" t="s">
        <v>13984</v>
      </c>
      <c r="F14164" s="2"/>
      <c r="G14164" s="2"/>
      <c r="H14164" s="2"/>
    </row>
    <row r="14165" spans="1:8" x14ac:dyDescent="0.25">
      <c r="A14165" s="1"/>
      <c r="B14165" s="1" t="s">
        <v>5782</v>
      </c>
      <c r="C14165" s="1" t="s">
        <v>5783</v>
      </c>
      <c r="D14165" s="22" t="str">
        <f>HYPERLINK("https://rhld.insurance.arkansas.gov/NPILookup?Npi=1306168844","1306168844")</f>
        <v>1306168844</v>
      </c>
      <c r="E14165" s="1" t="s">
        <v>21782</v>
      </c>
      <c r="F14165" s="2"/>
      <c r="G14165" s="2"/>
      <c r="H14165" s="2"/>
    </row>
    <row r="14166" spans="1:8" x14ac:dyDescent="0.25">
      <c r="A14166" s="1"/>
      <c r="B14166" s="1" t="s">
        <v>5782</v>
      </c>
      <c r="C14166" s="1" t="s">
        <v>5783</v>
      </c>
      <c r="D14166" s="22" t="str">
        <f>HYPERLINK("https://rhld.insurance.arkansas.gov/NPILookup?Npi=1306176722","1306176722")</f>
        <v>1306176722</v>
      </c>
      <c r="E14166" s="1" t="s">
        <v>21783</v>
      </c>
      <c r="F14166" s="2"/>
      <c r="G14166" s="2"/>
      <c r="H14166" s="2"/>
    </row>
    <row r="14167" spans="1:8" x14ac:dyDescent="0.25">
      <c r="A14167" s="1"/>
      <c r="B14167" s="1" t="s">
        <v>5782</v>
      </c>
      <c r="C14167" s="1" t="s">
        <v>5783</v>
      </c>
      <c r="D14167" s="22" t="str">
        <f>HYPERLINK("https://rhld.insurance.arkansas.gov/NPILookup?Npi=1306177969","1306177969")</f>
        <v>1306177969</v>
      </c>
      <c r="E14167" s="1" t="s">
        <v>783</v>
      </c>
      <c r="F14167" s="2"/>
      <c r="G14167" s="2"/>
      <c r="H14167" s="2"/>
    </row>
    <row r="14168" spans="1:8" x14ac:dyDescent="0.25">
      <c r="A14168" s="1"/>
      <c r="B14168" s="1" t="s">
        <v>5782</v>
      </c>
      <c r="C14168" s="1" t="s">
        <v>5783</v>
      </c>
      <c r="D14168" s="22" t="str">
        <f>HYPERLINK("https://rhld.insurance.arkansas.gov/NPILookup?Npi=1306194485","1306194485")</f>
        <v>1306194485</v>
      </c>
      <c r="E14168" s="1" t="s">
        <v>1662</v>
      </c>
      <c r="F14168" s="2"/>
      <c r="G14168" s="2"/>
      <c r="H14168" s="2"/>
    </row>
    <row r="14169" spans="1:8" x14ac:dyDescent="0.25">
      <c r="A14169" s="1"/>
      <c r="B14169" s="1" t="s">
        <v>5782</v>
      </c>
      <c r="C14169" s="1" t="s">
        <v>5783</v>
      </c>
      <c r="D14169" s="22" t="str">
        <f>HYPERLINK("https://rhld.insurance.arkansas.gov/NPILookup?Npi=1306206529","1306206529")</f>
        <v>1306206529</v>
      </c>
      <c r="E14169" s="1" t="s">
        <v>21784</v>
      </c>
      <c r="F14169" s="2"/>
      <c r="G14169" s="2"/>
      <c r="H14169" s="2"/>
    </row>
    <row r="14170" spans="1:8" x14ac:dyDescent="0.25">
      <c r="A14170" s="1"/>
      <c r="B14170" s="1" t="s">
        <v>5782</v>
      </c>
      <c r="C14170" s="1" t="s">
        <v>5783</v>
      </c>
      <c r="D14170" s="22" t="str">
        <f>HYPERLINK("https://rhld.insurance.arkansas.gov/NPILookup?Npi=1306245345","1306245345")</f>
        <v>1306245345</v>
      </c>
      <c r="E14170" s="1" t="s">
        <v>21785</v>
      </c>
      <c r="F14170" s="2"/>
      <c r="G14170" s="2"/>
      <c r="H14170" s="2"/>
    </row>
    <row r="14171" spans="1:8" x14ac:dyDescent="0.25">
      <c r="A14171" s="1"/>
      <c r="B14171" s="1" t="s">
        <v>5782</v>
      </c>
      <c r="C14171" s="1" t="s">
        <v>5783</v>
      </c>
      <c r="D14171" s="22" t="str">
        <f>HYPERLINK("https://rhld.insurance.arkansas.gov/NPILookup?Npi=1306245451","1306245451")</f>
        <v>1306245451</v>
      </c>
      <c r="E14171" s="1" t="s">
        <v>21786</v>
      </c>
      <c r="F14171" s="2"/>
      <c r="G14171" s="2"/>
      <c r="H14171" s="2"/>
    </row>
    <row r="14172" spans="1:8" x14ac:dyDescent="0.25">
      <c r="A14172" s="1"/>
      <c r="B14172" s="1" t="s">
        <v>5782</v>
      </c>
      <c r="C14172" s="1" t="s">
        <v>5783</v>
      </c>
      <c r="D14172" s="22" t="str">
        <f>HYPERLINK("https://rhld.insurance.arkansas.gov/NPILookup?Npi=1306269808","1306269808")</f>
        <v>1306269808</v>
      </c>
      <c r="E14172" s="1" t="s">
        <v>21787</v>
      </c>
      <c r="F14172" s="2"/>
      <c r="G14172" s="2"/>
      <c r="H14172" s="2"/>
    </row>
    <row r="14173" spans="1:8" x14ac:dyDescent="0.25">
      <c r="A14173" s="1"/>
      <c r="B14173" s="1" t="s">
        <v>5782</v>
      </c>
      <c r="C14173" s="1" t="s">
        <v>5783</v>
      </c>
      <c r="D14173" s="22" t="str">
        <f>HYPERLINK("https://rhld.insurance.arkansas.gov/NPILookup?Npi=1306287487","1306287487")</f>
        <v>1306287487</v>
      </c>
      <c r="E14173" s="1" t="s">
        <v>6148</v>
      </c>
      <c r="F14173" s="2"/>
      <c r="G14173" s="2"/>
      <c r="H14173" s="2"/>
    </row>
    <row r="14174" spans="1:8" x14ac:dyDescent="0.25">
      <c r="A14174" s="1"/>
      <c r="B14174" s="1" t="s">
        <v>5782</v>
      </c>
      <c r="C14174" s="1" t="s">
        <v>5783</v>
      </c>
      <c r="D14174" s="22" t="str">
        <f>HYPERLINK("https://rhld.insurance.arkansas.gov/NPILookup?Npi=1306297510","1306297510")</f>
        <v>1306297510</v>
      </c>
      <c r="E14174" s="1" t="s">
        <v>21788</v>
      </c>
      <c r="F14174" s="2"/>
      <c r="G14174" s="2"/>
      <c r="H14174" s="2"/>
    </row>
    <row r="14175" spans="1:8" x14ac:dyDescent="0.25">
      <c r="A14175" s="1"/>
      <c r="B14175" s="1" t="s">
        <v>5782</v>
      </c>
      <c r="C14175" s="1" t="s">
        <v>5783</v>
      </c>
      <c r="D14175" s="22" t="str">
        <f>HYPERLINK("https://rhld.insurance.arkansas.gov/NPILookup?Npi=1306352737","1306352737")</f>
        <v>1306352737</v>
      </c>
      <c r="E14175" s="1" t="s">
        <v>11661</v>
      </c>
      <c r="F14175" s="2"/>
      <c r="G14175" s="2"/>
      <c r="H14175" s="2"/>
    </row>
    <row r="14176" spans="1:8" x14ac:dyDescent="0.25">
      <c r="A14176" s="1"/>
      <c r="B14176" s="1" t="s">
        <v>5782</v>
      </c>
      <c r="C14176" s="1" t="s">
        <v>5783</v>
      </c>
      <c r="D14176" s="22" t="str">
        <f>HYPERLINK("https://rhld.insurance.arkansas.gov/NPILookup?Npi=1306356415","1306356415")</f>
        <v>1306356415</v>
      </c>
      <c r="E14176" s="1" t="s">
        <v>6149</v>
      </c>
      <c r="F14176" s="2"/>
      <c r="G14176" s="2"/>
      <c r="H14176" s="2"/>
    </row>
    <row r="14177" spans="1:8" x14ac:dyDescent="0.25">
      <c r="A14177" s="1"/>
      <c r="B14177" s="1" t="s">
        <v>5782</v>
      </c>
      <c r="C14177" s="1" t="s">
        <v>5783</v>
      </c>
      <c r="D14177" s="22" t="str">
        <f>HYPERLINK("https://rhld.insurance.arkansas.gov/NPILookup?Npi=1306375407","1306375407")</f>
        <v>1306375407</v>
      </c>
      <c r="E14177" s="1" t="s">
        <v>21789</v>
      </c>
      <c r="F14177" s="2"/>
      <c r="G14177" s="2"/>
      <c r="H14177" s="2"/>
    </row>
    <row r="14178" spans="1:8" x14ac:dyDescent="0.25">
      <c r="A14178" s="1"/>
      <c r="B14178" s="1" t="s">
        <v>5782</v>
      </c>
      <c r="C14178" s="1" t="s">
        <v>5783</v>
      </c>
      <c r="D14178" s="22" t="str">
        <f>HYPERLINK("https://rhld.insurance.arkansas.gov/NPILookup?Npi=1306402169","1306402169")</f>
        <v>1306402169</v>
      </c>
      <c r="E14178" s="1" t="s">
        <v>11662</v>
      </c>
      <c r="F14178" s="2"/>
      <c r="G14178" s="2"/>
      <c r="H14178" s="2"/>
    </row>
    <row r="14179" spans="1:8" x14ac:dyDescent="0.25">
      <c r="A14179" s="1"/>
      <c r="B14179" s="1" t="s">
        <v>5782</v>
      </c>
      <c r="C14179" s="1" t="s">
        <v>5783</v>
      </c>
      <c r="D14179" s="22" t="str">
        <f>HYPERLINK("https://rhld.insurance.arkansas.gov/NPILookup?Npi=1306414867","1306414867")</f>
        <v>1306414867</v>
      </c>
      <c r="E14179" s="1" t="s">
        <v>6150</v>
      </c>
      <c r="F14179" s="2"/>
      <c r="G14179" s="2"/>
      <c r="H14179" s="2"/>
    </row>
    <row r="14180" spans="1:8" x14ac:dyDescent="0.25">
      <c r="A14180" s="1"/>
      <c r="B14180" s="1" t="s">
        <v>5782</v>
      </c>
      <c r="C14180" s="1" t="s">
        <v>5783</v>
      </c>
      <c r="D14180" s="22" t="str">
        <f>HYPERLINK("https://rhld.insurance.arkansas.gov/NPILookup?Npi=1306417324","1306417324")</f>
        <v>1306417324</v>
      </c>
      <c r="E14180" s="1" t="s">
        <v>11663</v>
      </c>
      <c r="F14180" s="2"/>
      <c r="G14180" s="2"/>
      <c r="H14180" s="2"/>
    </row>
    <row r="14181" spans="1:8" x14ac:dyDescent="0.25">
      <c r="A14181" s="1"/>
      <c r="B14181" s="1" t="s">
        <v>5782</v>
      </c>
      <c r="C14181" s="1" t="s">
        <v>5783</v>
      </c>
      <c r="D14181" s="22" t="str">
        <f>HYPERLINK("https://rhld.insurance.arkansas.gov/NPILookup?Npi=1306418124","1306418124")</f>
        <v>1306418124</v>
      </c>
      <c r="E14181" s="1" t="s">
        <v>21790</v>
      </c>
      <c r="F14181" s="2"/>
      <c r="G14181" s="2"/>
      <c r="H14181" s="2"/>
    </row>
    <row r="14182" spans="1:8" x14ac:dyDescent="0.25">
      <c r="A14182" s="1"/>
      <c r="B14182" s="1" t="s">
        <v>5782</v>
      </c>
      <c r="C14182" s="1" t="s">
        <v>5783</v>
      </c>
      <c r="D14182" s="22" t="str">
        <f>HYPERLINK("https://rhld.insurance.arkansas.gov/NPILookup?Npi=1306426150","1306426150")</f>
        <v>1306426150</v>
      </c>
      <c r="E14182" s="1" t="s">
        <v>6151</v>
      </c>
      <c r="F14182" s="2"/>
      <c r="G14182" s="2"/>
      <c r="H14182" s="2"/>
    </row>
    <row r="14183" spans="1:8" x14ac:dyDescent="0.25">
      <c r="A14183" s="1"/>
      <c r="B14183" s="1" t="s">
        <v>5782</v>
      </c>
      <c r="C14183" s="1" t="s">
        <v>5783</v>
      </c>
      <c r="D14183" s="22" t="str">
        <f>HYPERLINK("https://rhld.insurance.arkansas.gov/NPILookup?Npi=1306431747","1306431747")</f>
        <v>1306431747</v>
      </c>
      <c r="E14183" s="1" t="s">
        <v>21791</v>
      </c>
      <c r="F14183" s="2"/>
      <c r="G14183" s="2"/>
      <c r="H14183" s="2"/>
    </row>
    <row r="14184" spans="1:8" x14ac:dyDescent="0.25">
      <c r="A14184" s="1"/>
      <c r="B14184" s="1" t="s">
        <v>5782</v>
      </c>
      <c r="C14184" s="1" t="s">
        <v>5783</v>
      </c>
      <c r="D14184" s="22" t="str">
        <f>HYPERLINK("https://rhld.insurance.arkansas.gov/NPILookup?Npi=1306435052","1306435052")</f>
        <v>1306435052</v>
      </c>
      <c r="E14184" s="1" t="s">
        <v>6152</v>
      </c>
      <c r="F14184" s="2"/>
      <c r="G14184" s="2"/>
      <c r="H14184" s="2"/>
    </row>
    <row r="14185" spans="1:8" x14ac:dyDescent="0.25">
      <c r="A14185" s="1"/>
      <c r="B14185" s="1" t="s">
        <v>5782</v>
      </c>
      <c r="C14185" s="1" t="s">
        <v>5783</v>
      </c>
      <c r="D14185" s="22" t="str">
        <f>HYPERLINK("https://rhld.insurance.arkansas.gov/NPILookup?Npi=1306441936","1306441936")</f>
        <v>1306441936</v>
      </c>
      <c r="E14185" s="1" t="s">
        <v>21792</v>
      </c>
      <c r="F14185" s="2"/>
      <c r="G14185" s="2"/>
      <c r="H14185" s="2"/>
    </row>
    <row r="14186" spans="1:8" x14ac:dyDescent="0.25">
      <c r="A14186" s="1"/>
      <c r="B14186" s="1" t="s">
        <v>5782</v>
      </c>
      <c r="C14186" s="1" t="s">
        <v>5783</v>
      </c>
      <c r="D14186" s="22" t="str">
        <f>HYPERLINK("https://rhld.insurance.arkansas.gov/NPILookup?Npi=1306449566","1306449566")</f>
        <v>1306449566</v>
      </c>
      <c r="E14186" s="1" t="s">
        <v>3247</v>
      </c>
      <c r="F14186" s="2"/>
      <c r="G14186" s="2"/>
      <c r="H14186" s="2"/>
    </row>
    <row r="14187" spans="1:8" x14ac:dyDescent="0.25">
      <c r="A14187" s="1"/>
      <c r="B14187" s="1" t="s">
        <v>5782</v>
      </c>
      <c r="C14187" s="1" t="s">
        <v>5783</v>
      </c>
      <c r="D14187" s="22" t="str">
        <f>HYPERLINK("https://rhld.insurance.arkansas.gov/NPILookup?Npi=1306455860","1306455860")</f>
        <v>1306455860</v>
      </c>
      <c r="E14187" s="1" t="s">
        <v>3248</v>
      </c>
      <c r="F14187" s="2"/>
      <c r="G14187" s="2"/>
      <c r="H14187" s="2"/>
    </row>
    <row r="14188" spans="1:8" x14ac:dyDescent="0.25">
      <c r="A14188" s="1"/>
      <c r="B14188" s="1" t="s">
        <v>5782</v>
      </c>
      <c r="C14188" s="1" t="s">
        <v>5783</v>
      </c>
      <c r="D14188" s="22" t="str">
        <f>HYPERLINK("https://rhld.insurance.arkansas.gov/NPILookup?Npi=1306482674","1306482674")</f>
        <v>1306482674</v>
      </c>
      <c r="E14188" s="1" t="s">
        <v>21793</v>
      </c>
      <c r="F14188" s="2"/>
      <c r="G14188" s="2"/>
      <c r="H14188" s="2"/>
    </row>
    <row r="14189" spans="1:8" x14ac:dyDescent="0.25">
      <c r="A14189" s="1"/>
      <c r="B14189" s="1" t="s">
        <v>5782</v>
      </c>
      <c r="C14189" s="1" t="s">
        <v>5783</v>
      </c>
      <c r="D14189" s="22" t="str">
        <f>HYPERLINK("https://rhld.insurance.arkansas.gov/NPILookup?Npi=1306490024","1306490024")</f>
        <v>1306490024</v>
      </c>
      <c r="E14189" s="1" t="s">
        <v>11664</v>
      </c>
      <c r="F14189" s="2"/>
      <c r="G14189" s="2"/>
      <c r="H14189" s="2"/>
    </row>
    <row r="14190" spans="1:8" x14ac:dyDescent="0.25">
      <c r="A14190" s="1"/>
      <c r="B14190" s="1" t="s">
        <v>5782</v>
      </c>
      <c r="C14190" s="1" t="s">
        <v>5783</v>
      </c>
      <c r="D14190" s="22" t="str">
        <f>HYPERLINK("https://rhld.insurance.arkansas.gov/NPILookup?Npi=1306502539","1306502539")</f>
        <v>1306502539</v>
      </c>
      <c r="E14190" s="1" t="s">
        <v>21794</v>
      </c>
      <c r="F14190" s="2"/>
      <c r="G14190" s="2"/>
      <c r="H14190" s="2"/>
    </row>
    <row r="14191" spans="1:8" x14ac:dyDescent="0.25">
      <c r="A14191" s="1"/>
      <c r="B14191" s="1" t="s">
        <v>5782</v>
      </c>
      <c r="C14191" s="1" t="s">
        <v>5783</v>
      </c>
      <c r="D14191" s="22" t="str">
        <f>HYPERLINK("https://rhld.insurance.arkansas.gov/NPILookup?Npi=1306509716","1306509716")</f>
        <v>1306509716</v>
      </c>
      <c r="E14191" s="1" t="s">
        <v>21795</v>
      </c>
      <c r="F14191" s="2"/>
      <c r="G14191" s="2"/>
      <c r="H14191" s="2"/>
    </row>
    <row r="14192" spans="1:8" x14ac:dyDescent="0.25">
      <c r="A14192" s="1"/>
      <c r="B14192" s="1" t="s">
        <v>5782</v>
      </c>
      <c r="C14192" s="1" t="s">
        <v>5783</v>
      </c>
      <c r="D14192" s="22" t="str">
        <f>HYPERLINK("https://rhld.insurance.arkansas.gov/NPILookup?Npi=1306515630","1306515630")</f>
        <v>1306515630</v>
      </c>
      <c r="E14192" s="1" t="s">
        <v>6153</v>
      </c>
      <c r="F14192" s="2"/>
      <c r="G14192" s="2"/>
      <c r="H14192" s="2"/>
    </row>
    <row r="14193" spans="1:8" x14ac:dyDescent="0.25">
      <c r="A14193" s="1"/>
      <c r="B14193" s="1" t="s">
        <v>5782</v>
      </c>
      <c r="C14193" s="1" t="s">
        <v>5783</v>
      </c>
      <c r="D14193" s="22" t="str">
        <f>HYPERLINK("https://rhld.insurance.arkansas.gov/NPILookup?Npi=1306562418","1306562418")</f>
        <v>1306562418</v>
      </c>
      <c r="E14193" s="1" t="s">
        <v>21796</v>
      </c>
      <c r="F14193" s="2"/>
      <c r="G14193" s="2"/>
      <c r="H14193" s="2"/>
    </row>
    <row r="14194" spans="1:8" x14ac:dyDescent="0.25">
      <c r="A14194" s="1"/>
      <c r="B14194" s="1" t="s">
        <v>5782</v>
      </c>
      <c r="C14194" s="1" t="s">
        <v>5783</v>
      </c>
      <c r="D14194" s="22" t="str">
        <f>HYPERLINK("https://rhld.insurance.arkansas.gov/NPILookup?Npi=1306571617","1306571617")</f>
        <v>1306571617</v>
      </c>
      <c r="E14194" s="1" t="s">
        <v>10892</v>
      </c>
      <c r="F14194" s="2"/>
      <c r="G14194" s="2"/>
      <c r="H14194" s="2"/>
    </row>
    <row r="14195" spans="1:8" x14ac:dyDescent="0.25">
      <c r="A14195" s="1"/>
      <c r="B14195" s="1" t="s">
        <v>5782</v>
      </c>
      <c r="C14195" s="1" t="s">
        <v>5783</v>
      </c>
      <c r="D14195" s="22" t="str">
        <f>HYPERLINK("https://rhld.insurance.arkansas.gov/NPILookup?Npi=1306572151","1306572151")</f>
        <v>1306572151</v>
      </c>
      <c r="E14195" s="1" t="s">
        <v>31850</v>
      </c>
      <c r="F14195" s="2"/>
      <c r="G14195" s="2"/>
      <c r="H14195" s="2"/>
    </row>
    <row r="14196" spans="1:8" x14ac:dyDescent="0.25">
      <c r="A14196" s="1"/>
      <c r="B14196" s="1" t="s">
        <v>5782</v>
      </c>
      <c r="C14196" s="1" t="s">
        <v>5783</v>
      </c>
      <c r="D14196" s="22" t="str">
        <f>HYPERLINK("https://rhld.insurance.arkansas.gov/NPILookup?Npi=1306573266","1306573266")</f>
        <v>1306573266</v>
      </c>
      <c r="E14196" s="1" t="s">
        <v>5856</v>
      </c>
      <c r="F14196" s="2"/>
      <c r="G14196" s="2"/>
      <c r="H14196" s="2"/>
    </row>
    <row r="14197" spans="1:8" x14ac:dyDescent="0.25">
      <c r="A14197" s="1"/>
      <c r="B14197" s="1" t="s">
        <v>5782</v>
      </c>
      <c r="C14197" s="1" t="s">
        <v>5783</v>
      </c>
      <c r="D14197" s="22" t="str">
        <f>HYPERLINK("https://rhld.insurance.arkansas.gov/NPILookup?Npi=1306580030","1306580030")</f>
        <v>1306580030</v>
      </c>
      <c r="E14197" s="1" t="s">
        <v>31851</v>
      </c>
      <c r="F14197" s="2"/>
      <c r="G14197" s="2"/>
      <c r="H14197" s="2"/>
    </row>
    <row r="14198" spans="1:8" x14ac:dyDescent="0.25">
      <c r="A14198" s="1"/>
      <c r="B14198" s="1" t="s">
        <v>5782</v>
      </c>
      <c r="C14198" s="1" t="s">
        <v>5783</v>
      </c>
      <c r="D14198" s="22" t="str">
        <f>HYPERLINK("https://rhld.insurance.arkansas.gov/NPILookup?Npi=1306593199","1306593199")</f>
        <v>1306593199</v>
      </c>
      <c r="E14198" s="1" t="s">
        <v>6154</v>
      </c>
      <c r="F14198" s="2"/>
      <c r="G14198" s="2"/>
      <c r="H14198" s="2"/>
    </row>
    <row r="14199" spans="1:8" x14ac:dyDescent="0.25">
      <c r="A14199" s="1"/>
      <c r="B14199" s="1" t="s">
        <v>5782</v>
      </c>
      <c r="C14199" s="1" t="s">
        <v>5783</v>
      </c>
      <c r="D14199" s="22" t="str">
        <f>HYPERLINK("https://rhld.insurance.arkansas.gov/NPILookup?Npi=1306615125","1306615125")</f>
        <v>1306615125</v>
      </c>
      <c r="E14199" s="1" t="s">
        <v>6155</v>
      </c>
      <c r="F14199" s="2"/>
      <c r="G14199" s="2"/>
      <c r="H14199" s="2"/>
    </row>
    <row r="14200" spans="1:8" x14ac:dyDescent="0.25">
      <c r="A14200" s="1"/>
      <c r="B14200" s="1" t="s">
        <v>5782</v>
      </c>
      <c r="C14200" s="1" t="s">
        <v>5783</v>
      </c>
      <c r="D14200" s="22" t="str">
        <f>HYPERLINK("https://rhld.insurance.arkansas.gov/NPILookup?Npi=1306629258","1306629258")</f>
        <v>1306629258</v>
      </c>
      <c r="E14200" s="1" t="s">
        <v>21798</v>
      </c>
      <c r="F14200" s="2"/>
      <c r="G14200" s="2"/>
      <c r="H14200" s="2"/>
    </row>
    <row r="14201" spans="1:8" x14ac:dyDescent="0.25">
      <c r="A14201" s="1"/>
      <c r="B14201" s="1" t="s">
        <v>5782</v>
      </c>
      <c r="C14201" s="1" t="s">
        <v>5783</v>
      </c>
      <c r="D14201" s="22" t="str">
        <f>HYPERLINK("https://rhld.insurance.arkansas.gov/NPILookup?Npi=1306660618","1306660618")</f>
        <v>1306660618</v>
      </c>
      <c r="E14201" s="1" t="s">
        <v>31852</v>
      </c>
      <c r="F14201" s="2"/>
      <c r="G14201" s="2"/>
      <c r="H14201" s="2"/>
    </row>
    <row r="14202" spans="1:8" x14ac:dyDescent="0.25">
      <c r="A14202" s="1"/>
      <c r="B14202" s="1" t="s">
        <v>5782</v>
      </c>
      <c r="C14202" s="1" t="s">
        <v>5783</v>
      </c>
      <c r="D14202" s="22" t="str">
        <f>HYPERLINK("https://rhld.insurance.arkansas.gov/NPILookup?Npi=1306834015","1306834015")</f>
        <v>1306834015</v>
      </c>
      <c r="E14202" s="1" t="s">
        <v>3249</v>
      </c>
      <c r="F14202" s="2"/>
      <c r="G14202" s="2"/>
      <c r="H14202" s="2"/>
    </row>
    <row r="14203" spans="1:8" x14ac:dyDescent="0.25">
      <c r="A14203" s="1"/>
      <c r="B14203" s="1" t="s">
        <v>5782</v>
      </c>
      <c r="C14203" s="1" t="s">
        <v>5783</v>
      </c>
      <c r="D14203" s="22" t="str">
        <f>HYPERLINK("https://rhld.insurance.arkansas.gov/NPILookup?Npi=1306848940","1306848940")</f>
        <v>1306848940</v>
      </c>
      <c r="E14203" s="1" t="s">
        <v>21799</v>
      </c>
      <c r="F14203" s="2"/>
      <c r="G14203" s="2"/>
      <c r="H14203" s="2"/>
    </row>
    <row r="14204" spans="1:8" x14ac:dyDescent="0.25">
      <c r="A14204" s="1"/>
      <c r="B14204" s="1" t="s">
        <v>5782</v>
      </c>
      <c r="C14204" s="1" t="s">
        <v>5783</v>
      </c>
      <c r="D14204" s="22" t="str">
        <f>HYPERLINK("https://rhld.insurance.arkansas.gov/NPILookup?Npi=1306855036","1306855036")</f>
        <v>1306855036</v>
      </c>
      <c r="E14204" s="1" t="s">
        <v>6156</v>
      </c>
      <c r="F14204" s="2"/>
      <c r="G14204" s="2"/>
      <c r="H14204" s="2"/>
    </row>
    <row r="14205" spans="1:8" x14ac:dyDescent="0.25">
      <c r="A14205" s="1"/>
      <c r="B14205" s="1" t="s">
        <v>5782</v>
      </c>
      <c r="C14205" s="1" t="s">
        <v>5783</v>
      </c>
      <c r="D14205" s="22" t="str">
        <f>HYPERLINK("https://rhld.insurance.arkansas.gov/NPILookup?Npi=1306859616","1306859616")</f>
        <v>1306859616</v>
      </c>
      <c r="E14205" s="1" t="s">
        <v>231</v>
      </c>
      <c r="F14205" s="2"/>
      <c r="G14205" s="2"/>
      <c r="H14205" s="2"/>
    </row>
    <row r="14206" spans="1:8" x14ac:dyDescent="0.25">
      <c r="A14206" s="1"/>
      <c r="B14206" s="1" t="s">
        <v>5782</v>
      </c>
      <c r="C14206" s="1" t="s">
        <v>5783</v>
      </c>
      <c r="D14206" s="22" t="str">
        <f>HYPERLINK("https://rhld.insurance.arkansas.gov/NPILookup?Npi=1306862966","1306862966")</f>
        <v>1306862966</v>
      </c>
      <c r="E14206" s="1" t="s">
        <v>11665</v>
      </c>
      <c r="F14206" s="2"/>
      <c r="G14206" s="2"/>
      <c r="H14206" s="2"/>
    </row>
    <row r="14207" spans="1:8" x14ac:dyDescent="0.25">
      <c r="A14207" s="1"/>
      <c r="B14207" s="1" t="s">
        <v>5782</v>
      </c>
      <c r="C14207" s="1" t="s">
        <v>5783</v>
      </c>
      <c r="D14207" s="22" t="str">
        <f>HYPERLINK("https://rhld.insurance.arkansas.gov/NPILookup?Npi=1306875935","1306875935")</f>
        <v>1306875935</v>
      </c>
      <c r="E14207" s="1" t="s">
        <v>16809</v>
      </c>
      <c r="F14207" s="2"/>
      <c r="G14207" s="2"/>
      <c r="H14207" s="2"/>
    </row>
    <row r="14208" spans="1:8" x14ac:dyDescent="0.25">
      <c r="A14208" s="1"/>
      <c r="B14208" s="1" t="s">
        <v>5782</v>
      </c>
      <c r="C14208" s="1" t="s">
        <v>5783</v>
      </c>
      <c r="D14208" s="22" t="str">
        <f>HYPERLINK("https://rhld.insurance.arkansas.gov/NPILookup?Npi=1306890991","1306890991")</f>
        <v>1306890991</v>
      </c>
      <c r="E14208" s="1" t="s">
        <v>21800</v>
      </c>
      <c r="F14208" s="2"/>
      <c r="G14208" s="2"/>
      <c r="H14208" s="2"/>
    </row>
    <row r="14209" spans="1:8" x14ac:dyDescent="0.25">
      <c r="A14209" s="1"/>
      <c r="B14209" s="1" t="s">
        <v>5782</v>
      </c>
      <c r="C14209" s="1" t="s">
        <v>5783</v>
      </c>
      <c r="D14209" s="22" t="str">
        <f>HYPERLINK("https://rhld.insurance.arkansas.gov/NPILookup?Npi=1306909759","1306909759")</f>
        <v>1306909759</v>
      </c>
      <c r="E14209" s="1" t="s">
        <v>2409</v>
      </c>
      <c r="F14209" s="2"/>
      <c r="G14209" s="2"/>
      <c r="H14209" s="2"/>
    </row>
    <row r="14210" spans="1:8" x14ac:dyDescent="0.25">
      <c r="A14210" s="1"/>
      <c r="B14210" s="1" t="s">
        <v>5782</v>
      </c>
      <c r="C14210" s="1" t="s">
        <v>5783</v>
      </c>
      <c r="D14210" s="22" t="str">
        <f>HYPERLINK("https://rhld.insurance.arkansas.gov/NPILookup?Npi=1306916036","1306916036")</f>
        <v>1306916036</v>
      </c>
      <c r="E14210" s="1" t="s">
        <v>4192</v>
      </c>
      <c r="F14210" s="2"/>
      <c r="G14210" s="2"/>
      <c r="H14210" s="2"/>
    </row>
    <row r="14211" spans="1:8" x14ac:dyDescent="0.25">
      <c r="A14211" s="1"/>
      <c r="B14211" s="1" t="s">
        <v>5782</v>
      </c>
      <c r="C14211" s="1" t="s">
        <v>5783</v>
      </c>
      <c r="D14211" s="22" t="str">
        <f>HYPERLINK("https://rhld.insurance.arkansas.gov/NPILookup?Npi=1306921853","1306921853")</f>
        <v>1306921853</v>
      </c>
      <c r="E14211" s="1" t="s">
        <v>12186</v>
      </c>
      <c r="F14211" s="2"/>
      <c r="G14211" s="2"/>
      <c r="H14211" s="2"/>
    </row>
    <row r="14212" spans="1:8" x14ac:dyDescent="0.25">
      <c r="A14212" s="1"/>
      <c r="B14212" s="1" t="s">
        <v>5782</v>
      </c>
      <c r="C14212" s="1" t="s">
        <v>5783</v>
      </c>
      <c r="D14212" s="22" t="str">
        <f>HYPERLINK("https://rhld.insurance.arkansas.gov/NPILookup?Npi=1306926514","1306926514")</f>
        <v>1306926514</v>
      </c>
      <c r="E14212" s="1" t="s">
        <v>21801</v>
      </c>
      <c r="F14212" s="2"/>
      <c r="G14212" s="2"/>
      <c r="H14212" s="2"/>
    </row>
    <row r="14213" spans="1:8" x14ac:dyDescent="0.25">
      <c r="A14213" s="1"/>
      <c r="B14213" s="1" t="s">
        <v>5782</v>
      </c>
      <c r="C14213" s="1" t="s">
        <v>5783</v>
      </c>
      <c r="D14213" s="22" t="str">
        <f>HYPERLINK("https://rhld.insurance.arkansas.gov/NPILookup?Npi=1306986112","1306986112")</f>
        <v>1306986112</v>
      </c>
      <c r="E14213" s="1" t="s">
        <v>21802</v>
      </c>
      <c r="F14213" s="2"/>
      <c r="G14213" s="2"/>
      <c r="H14213" s="2"/>
    </row>
    <row r="14214" spans="1:8" x14ac:dyDescent="0.25">
      <c r="A14214" s="1"/>
      <c r="B14214" s="1" t="s">
        <v>5782</v>
      </c>
      <c r="C14214" s="1" t="s">
        <v>5783</v>
      </c>
      <c r="D14214" s="22" t="str">
        <f>HYPERLINK("https://rhld.insurance.arkansas.gov/NPILookup?Npi=1306999610","1306999610")</f>
        <v>1306999610</v>
      </c>
      <c r="E14214" s="1" t="s">
        <v>21803</v>
      </c>
      <c r="F14214" s="2"/>
      <c r="G14214" s="2"/>
      <c r="H14214" s="2"/>
    </row>
    <row r="14215" spans="1:8" x14ac:dyDescent="0.25">
      <c r="A14215" s="1"/>
      <c r="B14215" s="1" t="s">
        <v>5782</v>
      </c>
      <c r="C14215" s="1" t="s">
        <v>5783</v>
      </c>
      <c r="D14215" s="22" t="str">
        <f>HYPERLINK("https://rhld.insurance.arkansas.gov/NPILookup?Npi=1316005408","1316005408")</f>
        <v>1316005408</v>
      </c>
      <c r="E14215" s="1" t="s">
        <v>21804</v>
      </c>
      <c r="F14215" s="2"/>
      <c r="G14215" s="2"/>
      <c r="H14215" s="2"/>
    </row>
    <row r="14216" spans="1:8" x14ac:dyDescent="0.25">
      <c r="A14216" s="1"/>
      <c r="B14216" s="1" t="s">
        <v>5782</v>
      </c>
      <c r="C14216" s="1" t="s">
        <v>5783</v>
      </c>
      <c r="D14216" s="22" t="str">
        <f>HYPERLINK("https://rhld.insurance.arkansas.gov/NPILookup?Npi=1316006935","1316006935")</f>
        <v>1316006935</v>
      </c>
      <c r="E14216" s="1" t="s">
        <v>21805</v>
      </c>
      <c r="F14216" s="2"/>
      <c r="G14216" s="2"/>
      <c r="H14216" s="2"/>
    </row>
    <row r="14217" spans="1:8" x14ac:dyDescent="0.25">
      <c r="A14217" s="1"/>
      <c r="B14217" s="1" t="s">
        <v>5782</v>
      </c>
      <c r="C14217" s="1" t="s">
        <v>5783</v>
      </c>
      <c r="D14217" s="22" t="str">
        <f>HYPERLINK("https://rhld.insurance.arkansas.gov/NPILookup?Npi=1316071947","1316071947")</f>
        <v>1316071947</v>
      </c>
      <c r="E14217" s="1" t="s">
        <v>21806</v>
      </c>
      <c r="F14217" s="2"/>
      <c r="G14217" s="2"/>
      <c r="H14217" s="2"/>
    </row>
    <row r="14218" spans="1:8" x14ac:dyDescent="0.25">
      <c r="A14218" s="1"/>
      <c r="B14218" s="1" t="s">
        <v>5782</v>
      </c>
      <c r="C14218" s="1" t="s">
        <v>5783</v>
      </c>
      <c r="D14218" s="22" t="str">
        <f>HYPERLINK("https://rhld.insurance.arkansas.gov/NPILookup?Npi=1316082001","1316082001")</f>
        <v>1316082001</v>
      </c>
      <c r="E14218" s="1" t="s">
        <v>10106</v>
      </c>
      <c r="F14218" s="2"/>
      <c r="G14218" s="2"/>
      <c r="H14218" s="2"/>
    </row>
    <row r="14219" spans="1:8" x14ac:dyDescent="0.25">
      <c r="A14219" s="1"/>
      <c r="B14219" s="1" t="s">
        <v>5782</v>
      </c>
      <c r="C14219" s="1" t="s">
        <v>5783</v>
      </c>
      <c r="D14219" s="22" t="str">
        <f>HYPERLINK("https://rhld.insurance.arkansas.gov/NPILookup?Npi=1316084619","1316084619")</f>
        <v>1316084619</v>
      </c>
      <c r="E14219" s="1" t="s">
        <v>11666</v>
      </c>
      <c r="F14219" s="2"/>
      <c r="G14219" s="2"/>
      <c r="H14219" s="2"/>
    </row>
    <row r="14220" spans="1:8" x14ac:dyDescent="0.25">
      <c r="A14220" s="1"/>
      <c r="B14220" s="1" t="s">
        <v>5782</v>
      </c>
      <c r="C14220" s="1" t="s">
        <v>5783</v>
      </c>
      <c r="D14220" s="22" t="str">
        <f>HYPERLINK("https://rhld.insurance.arkansas.gov/NPILookup?Npi=1316090376","1316090376")</f>
        <v>1316090376</v>
      </c>
      <c r="E14220" s="1" t="s">
        <v>21807</v>
      </c>
      <c r="F14220" s="2"/>
      <c r="G14220" s="2"/>
      <c r="H14220" s="2"/>
    </row>
    <row r="14221" spans="1:8" x14ac:dyDescent="0.25">
      <c r="A14221" s="1"/>
      <c r="B14221" s="1" t="s">
        <v>5782</v>
      </c>
      <c r="C14221" s="1" t="s">
        <v>5783</v>
      </c>
      <c r="D14221" s="22" t="str">
        <f>HYPERLINK("https://rhld.insurance.arkansas.gov/NPILookup?Npi=1316090806","1316090806")</f>
        <v>1316090806</v>
      </c>
      <c r="E14221" s="1" t="s">
        <v>21808</v>
      </c>
      <c r="F14221" s="2"/>
      <c r="G14221" s="2"/>
      <c r="H14221" s="2"/>
    </row>
    <row r="14222" spans="1:8" x14ac:dyDescent="0.25">
      <c r="A14222" s="1"/>
      <c r="B14222" s="1" t="s">
        <v>5782</v>
      </c>
      <c r="C14222" s="1" t="s">
        <v>5783</v>
      </c>
      <c r="D14222" s="22" t="str">
        <f>HYPERLINK("https://rhld.insurance.arkansas.gov/NPILookup?Npi=1316098569","1316098569")</f>
        <v>1316098569</v>
      </c>
      <c r="E14222" s="1" t="s">
        <v>21809</v>
      </c>
      <c r="F14222" s="2"/>
      <c r="G14222" s="2"/>
      <c r="H14222" s="2"/>
    </row>
    <row r="14223" spans="1:8" x14ac:dyDescent="0.25">
      <c r="A14223" s="1"/>
      <c r="B14223" s="1" t="s">
        <v>5782</v>
      </c>
      <c r="C14223" s="1" t="s">
        <v>5783</v>
      </c>
      <c r="D14223" s="22" t="str">
        <f>HYPERLINK("https://rhld.insurance.arkansas.gov/NPILookup?Npi=1316098643","1316098643")</f>
        <v>1316098643</v>
      </c>
      <c r="E14223" s="1" t="s">
        <v>11667</v>
      </c>
      <c r="F14223" s="2"/>
      <c r="G14223" s="2"/>
      <c r="H14223" s="2"/>
    </row>
    <row r="14224" spans="1:8" x14ac:dyDescent="0.25">
      <c r="A14224" s="1"/>
      <c r="B14224" s="1" t="s">
        <v>5782</v>
      </c>
      <c r="C14224" s="1" t="s">
        <v>5783</v>
      </c>
      <c r="D14224" s="22" t="str">
        <f>HYPERLINK("https://rhld.insurance.arkansas.gov/NPILookup?Npi=1316127301","1316127301")</f>
        <v>1316127301</v>
      </c>
      <c r="E14224" s="1" t="s">
        <v>2213</v>
      </c>
      <c r="F14224" s="2"/>
      <c r="G14224" s="2"/>
      <c r="H14224" s="2"/>
    </row>
    <row r="14225" spans="1:8" x14ac:dyDescent="0.25">
      <c r="A14225" s="1"/>
      <c r="B14225" s="1" t="s">
        <v>5782</v>
      </c>
      <c r="C14225" s="1" t="s">
        <v>5783</v>
      </c>
      <c r="D14225" s="22" t="str">
        <f>HYPERLINK("https://rhld.insurance.arkansas.gov/NPILookup?Npi=1316145386","1316145386")</f>
        <v>1316145386</v>
      </c>
      <c r="E14225" s="1" t="s">
        <v>21810</v>
      </c>
      <c r="F14225" s="2"/>
      <c r="G14225" s="2"/>
      <c r="H14225" s="2"/>
    </row>
    <row r="14226" spans="1:8" x14ac:dyDescent="0.25">
      <c r="A14226" s="1"/>
      <c r="B14226" s="1" t="s">
        <v>5782</v>
      </c>
      <c r="C14226" s="1" t="s">
        <v>5783</v>
      </c>
      <c r="D14226" s="22" t="str">
        <f>HYPERLINK("https://rhld.insurance.arkansas.gov/NPILookup?Npi=1316163413","1316163413")</f>
        <v>1316163413</v>
      </c>
      <c r="E14226" s="1" t="s">
        <v>21812</v>
      </c>
      <c r="F14226" s="2"/>
      <c r="G14226" s="2"/>
      <c r="H14226" s="2"/>
    </row>
    <row r="14227" spans="1:8" x14ac:dyDescent="0.25">
      <c r="A14227" s="1"/>
      <c r="B14227" s="1" t="s">
        <v>5782</v>
      </c>
      <c r="C14227" s="1" t="s">
        <v>5783</v>
      </c>
      <c r="D14227" s="22" t="str">
        <f>HYPERLINK("https://rhld.insurance.arkansas.gov/NPILookup?Npi=1316183973","1316183973")</f>
        <v>1316183973</v>
      </c>
      <c r="E14227" s="1" t="s">
        <v>21813</v>
      </c>
      <c r="F14227" s="2"/>
      <c r="G14227" s="2"/>
      <c r="H14227" s="2"/>
    </row>
    <row r="14228" spans="1:8" x14ac:dyDescent="0.25">
      <c r="A14228" s="1"/>
      <c r="B14228" s="1" t="s">
        <v>5782</v>
      </c>
      <c r="C14228" s="1" t="s">
        <v>5783</v>
      </c>
      <c r="D14228" s="22" t="str">
        <f>HYPERLINK("https://rhld.insurance.arkansas.gov/NPILookup?Npi=1316190259","1316190259")</f>
        <v>1316190259</v>
      </c>
      <c r="E14228" s="1" t="s">
        <v>21814</v>
      </c>
      <c r="F14228" s="2"/>
      <c r="G14228" s="2"/>
      <c r="H14228" s="2"/>
    </row>
    <row r="14229" spans="1:8" x14ac:dyDescent="0.25">
      <c r="A14229" s="1"/>
      <c r="B14229" s="1" t="s">
        <v>5782</v>
      </c>
      <c r="C14229" s="1" t="s">
        <v>5783</v>
      </c>
      <c r="D14229" s="22" t="str">
        <f>HYPERLINK("https://rhld.insurance.arkansas.gov/NPILookup?Npi=1316198641","1316198641")</f>
        <v>1316198641</v>
      </c>
      <c r="E14229" s="1" t="s">
        <v>11669</v>
      </c>
      <c r="F14229" s="2"/>
      <c r="G14229" s="2"/>
      <c r="H14229" s="2"/>
    </row>
    <row r="14230" spans="1:8" x14ac:dyDescent="0.25">
      <c r="A14230" s="1"/>
      <c r="B14230" s="1" t="s">
        <v>5782</v>
      </c>
      <c r="C14230" s="1" t="s">
        <v>5783</v>
      </c>
      <c r="D14230" s="22" t="str">
        <f>HYPERLINK("https://rhld.insurance.arkansas.gov/NPILookup?Npi=1316204415","1316204415")</f>
        <v>1316204415</v>
      </c>
      <c r="E14230" s="1" t="s">
        <v>11670</v>
      </c>
      <c r="F14230" s="2"/>
      <c r="G14230" s="2"/>
      <c r="H14230" s="2"/>
    </row>
    <row r="14231" spans="1:8" x14ac:dyDescent="0.25">
      <c r="A14231" s="1"/>
      <c r="B14231" s="1" t="s">
        <v>5782</v>
      </c>
      <c r="C14231" s="1" t="s">
        <v>5783</v>
      </c>
      <c r="D14231" s="22" t="str">
        <f>HYPERLINK("https://rhld.insurance.arkansas.gov/NPILookup?Npi=1316207988","1316207988")</f>
        <v>1316207988</v>
      </c>
      <c r="E14231" s="1" t="s">
        <v>21815</v>
      </c>
      <c r="F14231" s="2"/>
      <c r="G14231" s="2"/>
      <c r="H14231" s="2"/>
    </row>
    <row r="14232" spans="1:8" x14ac:dyDescent="0.25">
      <c r="A14232" s="1"/>
      <c r="B14232" s="1" t="s">
        <v>5782</v>
      </c>
      <c r="C14232" s="1" t="s">
        <v>5783</v>
      </c>
      <c r="D14232" s="22" t="str">
        <f>HYPERLINK("https://rhld.insurance.arkansas.gov/NPILookup?Npi=1316224868","1316224868")</f>
        <v>1316224868</v>
      </c>
      <c r="E14232" s="1" t="s">
        <v>3254</v>
      </c>
      <c r="F14232" s="2"/>
      <c r="G14232" s="2"/>
      <c r="H14232" s="2"/>
    </row>
    <row r="14233" spans="1:8" x14ac:dyDescent="0.25">
      <c r="A14233" s="1"/>
      <c r="B14233" s="1" t="s">
        <v>5782</v>
      </c>
      <c r="C14233" s="1" t="s">
        <v>5783</v>
      </c>
      <c r="D14233" s="22" t="str">
        <f>HYPERLINK("https://rhld.insurance.arkansas.gov/NPILookup?Npi=1316254352","1316254352")</f>
        <v>1316254352</v>
      </c>
      <c r="E14233" s="1" t="s">
        <v>21816</v>
      </c>
      <c r="F14233" s="2"/>
      <c r="G14233" s="2"/>
      <c r="H14233" s="2"/>
    </row>
    <row r="14234" spans="1:8" x14ac:dyDescent="0.25">
      <c r="A14234" s="1"/>
      <c r="B14234" s="1" t="s">
        <v>5782</v>
      </c>
      <c r="C14234" s="1" t="s">
        <v>5783</v>
      </c>
      <c r="D14234" s="22" t="str">
        <f>HYPERLINK("https://rhld.insurance.arkansas.gov/NPILookup?Npi=1316256753","1316256753")</f>
        <v>1316256753</v>
      </c>
      <c r="E14234" s="1" t="s">
        <v>11671</v>
      </c>
      <c r="F14234" s="2"/>
      <c r="G14234" s="2"/>
      <c r="H14234" s="2"/>
    </row>
    <row r="14235" spans="1:8" x14ac:dyDescent="0.25">
      <c r="A14235" s="1"/>
      <c r="B14235" s="1" t="s">
        <v>5782</v>
      </c>
      <c r="C14235" s="1" t="s">
        <v>5783</v>
      </c>
      <c r="D14235" s="22" t="str">
        <f>HYPERLINK("https://rhld.insurance.arkansas.gov/NPILookup?Npi=1316264146","1316264146")</f>
        <v>1316264146</v>
      </c>
      <c r="E14235" s="1" t="s">
        <v>3255</v>
      </c>
      <c r="F14235" s="2"/>
      <c r="G14235" s="2"/>
      <c r="H14235" s="2"/>
    </row>
    <row r="14236" spans="1:8" x14ac:dyDescent="0.25">
      <c r="A14236" s="1"/>
      <c r="B14236" s="1" t="s">
        <v>5782</v>
      </c>
      <c r="C14236" s="1" t="s">
        <v>5783</v>
      </c>
      <c r="D14236" s="22" t="str">
        <f>HYPERLINK("https://rhld.insurance.arkansas.gov/NPILookup?Npi=1316273865","1316273865")</f>
        <v>1316273865</v>
      </c>
      <c r="E14236" s="1" t="s">
        <v>21817</v>
      </c>
      <c r="F14236" s="2"/>
      <c r="G14236" s="2"/>
      <c r="H14236" s="2"/>
    </row>
    <row r="14237" spans="1:8" x14ac:dyDescent="0.25">
      <c r="A14237" s="1"/>
      <c r="B14237" s="1" t="s">
        <v>5782</v>
      </c>
      <c r="C14237" s="1" t="s">
        <v>5783</v>
      </c>
      <c r="D14237" s="22" t="str">
        <f>HYPERLINK("https://rhld.insurance.arkansas.gov/NPILookup?Npi=1316310253","1316310253")</f>
        <v>1316310253</v>
      </c>
      <c r="E14237" s="1" t="s">
        <v>11672</v>
      </c>
      <c r="F14237" s="2"/>
      <c r="G14237" s="2"/>
      <c r="H14237" s="2"/>
    </row>
    <row r="14238" spans="1:8" x14ac:dyDescent="0.25">
      <c r="A14238" s="1"/>
      <c r="B14238" s="1" t="s">
        <v>5782</v>
      </c>
      <c r="C14238" s="1" t="s">
        <v>5783</v>
      </c>
      <c r="D14238" s="22" t="str">
        <f>HYPERLINK("https://rhld.insurance.arkansas.gov/NPILookup?Npi=1316312267","1316312267")</f>
        <v>1316312267</v>
      </c>
      <c r="E14238" s="1" t="s">
        <v>21818</v>
      </c>
      <c r="F14238" s="2"/>
      <c r="G14238" s="2"/>
      <c r="H14238" s="2"/>
    </row>
    <row r="14239" spans="1:8" x14ac:dyDescent="0.25">
      <c r="A14239" s="1"/>
      <c r="B14239" s="1" t="s">
        <v>5782</v>
      </c>
      <c r="C14239" s="1" t="s">
        <v>5783</v>
      </c>
      <c r="D14239" s="22" t="str">
        <f>HYPERLINK("https://rhld.insurance.arkansas.gov/NPILookup?Npi=1316312457","1316312457")</f>
        <v>1316312457</v>
      </c>
      <c r="E14239" s="1" t="s">
        <v>11673</v>
      </c>
      <c r="F14239" s="2"/>
      <c r="G14239" s="2"/>
      <c r="H14239" s="2"/>
    </row>
    <row r="14240" spans="1:8" x14ac:dyDescent="0.25">
      <c r="A14240" s="1"/>
      <c r="B14240" s="1" t="s">
        <v>5782</v>
      </c>
      <c r="C14240" s="1" t="s">
        <v>5783</v>
      </c>
      <c r="D14240" s="22" t="str">
        <f>HYPERLINK("https://rhld.insurance.arkansas.gov/NPILookup?Npi=1316322324","1316322324")</f>
        <v>1316322324</v>
      </c>
      <c r="E14240" s="1" t="s">
        <v>6157</v>
      </c>
      <c r="F14240" s="2"/>
      <c r="G14240" s="2"/>
      <c r="H14240" s="2"/>
    </row>
    <row r="14241" spans="1:8" x14ac:dyDescent="0.25">
      <c r="A14241" s="1"/>
      <c r="B14241" s="1" t="s">
        <v>5782</v>
      </c>
      <c r="C14241" s="1" t="s">
        <v>5783</v>
      </c>
      <c r="D14241" s="22" t="str">
        <f>HYPERLINK("https://rhld.insurance.arkansas.gov/NPILookup?Npi=1316328685","1316328685")</f>
        <v>1316328685</v>
      </c>
      <c r="E14241" s="1" t="s">
        <v>2710</v>
      </c>
      <c r="F14241" s="2"/>
      <c r="G14241" s="2"/>
      <c r="H14241" s="2"/>
    </row>
    <row r="14242" spans="1:8" x14ac:dyDescent="0.25">
      <c r="A14242" s="1"/>
      <c r="B14242" s="1" t="s">
        <v>5782</v>
      </c>
      <c r="C14242" s="1" t="s">
        <v>5783</v>
      </c>
      <c r="D14242" s="22" t="str">
        <f>HYPERLINK("https://rhld.insurance.arkansas.gov/NPILookup?Npi=1316360654","1316360654")</f>
        <v>1316360654</v>
      </c>
      <c r="E14242" s="1" t="s">
        <v>6158</v>
      </c>
      <c r="F14242" s="2"/>
      <c r="G14242" s="2"/>
      <c r="H14242" s="2"/>
    </row>
    <row r="14243" spans="1:8" x14ac:dyDescent="0.25">
      <c r="A14243" s="1"/>
      <c r="B14243" s="1" t="s">
        <v>5782</v>
      </c>
      <c r="C14243" s="1" t="s">
        <v>5783</v>
      </c>
      <c r="D14243" s="22" t="str">
        <f>HYPERLINK("https://rhld.insurance.arkansas.gov/NPILookup?Npi=1316376536","1316376536")</f>
        <v>1316376536</v>
      </c>
      <c r="E14243" s="1" t="s">
        <v>21819</v>
      </c>
      <c r="F14243" s="2"/>
      <c r="G14243" s="2"/>
      <c r="H14243" s="2"/>
    </row>
    <row r="14244" spans="1:8" x14ac:dyDescent="0.25">
      <c r="A14244" s="1"/>
      <c r="B14244" s="1" t="s">
        <v>5782</v>
      </c>
      <c r="C14244" s="1" t="s">
        <v>5783</v>
      </c>
      <c r="D14244" s="22" t="str">
        <f>HYPERLINK("https://rhld.insurance.arkansas.gov/NPILookup?Npi=1316383011","1316383011")</f>
        <v>1316383011</v>
      </c>
      <c r="E14244" s="1" t="s">
        <v>3257</v>
      </c>
      <c r="F14244" s="2"/>
      <c r="G14244" s="2"/>
      <c r="H14244" s="2"/>
    </row>
    <row r="14245" spans="1:8" x14ac:dyDescent="0.25">
      <c r="A14245" s="1"/>
      <c r="B14245" s="1" t="s">
        <v>5782</v>
      </c>
      <c r="C14245" s="1" t="s">
        <v>5783</v>
      </c>
      <c r="D14245" s="22" t="str">
        <f>HYPERLINK("https://rhld.insurance.arkansas.gov/NPILookup?Npi=1316386881","1316386881")</f>
        <v>1316386881</v>
      </c>
      <c r="E14245" s="1" t="s">
        <v>21820</v>
      </c>
      <c r="F14245" s="2"/>
      <c r="G14245" s="2"/>
      <c r="H14245" s="2"/>
    </row>
    <row r="14246" spans="1:8" x14ac:dyDescent="0.25">
      <c r="A14246" s="1"/>
      <c r="B14246" s="1" t="s">
        <v>5782</v>
      </c>
      <c r="C14246" s="1" t="s">
        <v>5783</v>
      </c>
      <c r="D14246" s="22" t="str">
        <f>HYPERLINK("https://rhld.insurance.arkansas.gov/NPILookup?Npi=1316401433","1316401433")</f>
        <v>1316401433</v>
      </c>
      <c r="E14246" s="1" t="s">
        <v>31853</v>
      </c>
      <c r="F14246" s="2"/>
      <c r="G14246" s="2"/>
      <c r="H14246" s="2"/>
    </row>
    <row r="14247" spans="1:8" x14ac:dyDescent="0.25">
      <c r="A14247" s="1"/>
      <c r="B14247" s="1" t="s">
        <v>5782</v>
      </c>
      <c r="C14247" s="1" t="s">
        <v>5783</v>
      </c>
      <c r="D14247" s="22" t="str">
        <f>HYPERLINK("https://rhld.insurance.arkansas.gov/NPILookup?Npi=1316403439","1316403439")</f>
        <v>1316403439</v>
      </c>
      <c r="E14247" s="1" t="s">
        <v>5510</v>
      </c>
      <c r="F14247" s="2"/>
      <c r="G14247" s="2"/>
      <c r="H14247" s="2"/>
    </row>
    <row r="14248" spans="1:8" x14ac:dyDescent="0.25">
      <c r="A14248" s="1"/>
      <c r="B14248" s="1" t="s">
        <v>5782</v>
      </c>
      <c r="C14248" s="1" t="s">
        <v>5783</v>
      </c>
      <c r="D14248" s="22" t="str">
        <f>HYPERLINK("https://rhld.insurance.arkansas.gov/NPILookup?Npi=1316412257","1316412257")</f>
        <v>1316412257</v>
      </c>
      <c r="E14248" s="1" t="s">
        <v>21821</v>
      </c>
      <c r="F14248" s="2"/>
      <c r="G14248" s="2"/>
      <c r="H14248" s="2"/>
    </row>
    <row r="14249" spans="1:8" x14ac:dyDescent="0.25">
      <c r="A14249" s="1"/>
      <c r="B14249" s="1" t="s">
        <v>5782</v>
      </c>
      <c r="C14249" s="1" t="s">
        <v>5783</v>
      </c>
      <c r="D14249" s="22" t="str">
        <f>HYPERLINK("https://rhld.insurance.arkansas.gov/NPILookup?Npi=1316423205","1316423205")</f>
        <v>1316423205</v>
      </c>
      <c r="E14249" s="1" t="s">
        <v>6159</v>
      </c>
      <c r="F14249" s="2"/>
      <c r="G14249" s="2"/>
      <c r="H14249" s="2"/>
    </row>
    <row r="14250" spans="1:8" x14ac:dyDescent="0.25">
      <c r="A14250" s="1"/>
      <c r="B14250" s="1" t="s">
        <v>5782</v>
      </c>
      <c r="C14250" s="1" t="s">
        <v>5783</v>
      </c>
      <c r="D14250" s="22" t="str">
        <f>HYPERLINK("https://rhld.insurance.arkansas.gov/NPILookup?Npi=1316426141","1316426141")</f>
        <v>1316426141</v>
      </c>
      <c r="E14250" s="1" t="s">
        <v>21822</v>
      </c>
      <c r="F14250" s="2"/>
      <c r="G14250" s="2"/>
      <c r="H14250" s="2"/>
    </row>
    <row r="14251" spans="1:8" x14ac:dyDescent="0.25">
      <c r="A14251" s="1"/>
      <c r="B14251" s="1" t="s">
        <v>5782</v>
      </c>
      <c r="C14251" s="1" t="s">
        <v>5783</v>
      </c>
      <c r="D14251" s="22" t="str">
        <f>HYPERLINK("https://rhld.insurance.arkansas.gov/NPILookup?Npi=1316427727","1316427727")</f>
        <v>1316427727</v>
      </c>
      <c r="E14251" s="1" t="s">
        <v>21823</v>
      </c>
      <c r="F14251" s="2"/>
      <c r="G14251" s="2"/>
      <c r="H14251" s="2"/>
    </row>
    <row r="14252" spans="1:8" x14ac:dyDescent="0.25">
      <c r="A14252" s="1"/>
      <c r="B14252" s="1" t="s">
        <v>5782</v>
      </c>
      <c r="C14252" s="1" t="s">
        <v>5783</v>
      </c>
      <c r="D14252" s="22" t="str">
        <f>HYPERLINK("https://rhld.insurance.arkansas.gov/NPILookup?Npi=1316436439","1316436439")</f>
        <v>1316436439</v>
      </c>
      <c r="E14252" s="1" t="s">
        <v>6160</v>
      </c>
      <c r="F14252" s="2"/>
      <c r="G14252" s="2"/>
      <c r="H14252" s="2"/>
    </row>
    <row r="14253" spans="1:8" x14ac:dyDescent="0.25">
      <c r="A14253" s="1"/>
      <c r="B14253" s="1" t="s">
        <v>5782</v>
      </c>
      <c r="C14253" s="1" t="s">
        <v>5783</v>
      </c>
      <c r="D14253" s="22" t="str">
        <f>HYPERLINK("https://rhld.insurance.arkansas.gov/NPILookup?Npi=1316473911","1316473911")</f>
        <v>1316473911</v>
      </c>
      <c r="E14253" s="1" t="s">
        <v>6161</v>
      </c>
      <c r="F14253" s="2"/>
      <c r="G14253" s="2"/>
      <c r="H14253" s="2"/>
    </row>
    <row r="14254" spans="1:8" x14ac:dyDescent="0.25">
      <c r="A14254" s="1"/>
      <c r="B14254" s="1" t="s">
        <v>5782</v>
      </c>
      <c r="C14254" s="1" t="s">
        <v>5783</v>
      </c>
      <c r="D14254" s="22" t="str">
        <f>HYPERLINK("https://rhld.insurance.arkansas.gov/NPILookup?Npi=1316495179","1316495179")</f>
        <v>1316495179</v>
      </c>
      <c r="E14254" s="1" t="s">
        <v>21824</v>
      </c>
      <c r="F14254" s="2"/>
      <c r="G14254" s="2"/>
      <c r="H14254" s="2"/>
    </row>
    <row r="14255" spans="1:8" x14ac:dyDescent="0.25">
      <c r="A14255" s="1"/>
      <c r="B14255" s="1" t="s">
        <v>5782</v>
      </c>
      <c r="C14255" s="1" t="s">
        <v>5783</v>
      </c>
      <c r="D14255" s="22" t="str">
        <f>HYPERLINK("https://rhld.insurance.arkansas.gov/NPILookup?Npi=1316495237","1316495237")</f>
        <v>1316495237</v>
      </c>
      <c r="E14255" s="1" t="s">
        <v>21825</v>
      </c>
      <c r="F14255" s="2"/>
      <c r="G14255" s="2"/>
      <c r="H14255" s="2"/>
    </row>
    <row r="14256" spans="1:8" x14ac:dyDescent="0.25">
      <c r="A14256" s="1"/>
      <c r="B14256" s="1" t="s">
        <v>5782</v>
      </c>
      <c r="C14256" s="1" t="s">
        <v>5783</v>
      </c>
      <c r="D14256" s="22" t="str">
        <f>HYPERLINK("https://rhld.insurance.arkansas.gov/NPILookup?Npi=1316506611","1316506611")</f>
        <v>1316506611</v>
      </c>
      <c r="E14256" s="1" t="s">
        <v>11674</v>
      </c>
      <c r="F14256" s="2"/>
      <c r="G14256" s="2"/>
      <c r="H14256" s="2"/>
    </row>
    <row r="14257" spans="1:8" x14ac:dyDescent="0.25">
      <c r="A14257" s="1"/>
      <c r="B14257" s="1" t="s">
        <v>5782</v>
      </c>
      <c r="C14257" s="1" t="s">
        <v>5783</v>
      </c>
      <c r="D14257" s="22" t="str">
        <f>HYPERLINK("https://rhld.insurance.arkansas.gov/NPILookup?Npi=1316531718","1316531718")</f>
        <v>1316531718</v>
      </c>
      <c r="E14257" s="1" t="s">
        <v>21826</v>
      </c>
      <c r="F14257" s="2"/>
      <c r="G14257" s="2"/>
      <c r="H14257" s="2"/>
    </row>
    <row r="14258" spans="1:8" x14ac:dyDescent="0.25">
      <c r="A14258" s="1"/>
      <c r="B14258" s="1" t="s">
        <v>5782</v>
      </c>
      <c r="C14258" s="1" t="s">
        <v>5783</v>
      </c>
      <c r="D14258" s="22" t="str">
        <f>HYPERLINK("https://rhld.insurance.arkansas.gov/NPILookup?Npi=1316543952","1316543952")</f>
        <v>1316543952</v>
      </c>
      <c r="E14258" s="1" t="s">
        <v>11675</v>
      </c>
      <c r="F14258" s="2"/>
      <c r="G14258" s="2"/>
      <c r="H14258" s="2"/>
    </row>
    <row r="14259" spans="1:8" x14ac:dyDescent="0.25">
      <c r="A14259" s="1"/>
      <c r="B14259" s="1" t="s">
        <v>5782</v>
      </c>
      <c r="C14259" s="1" t="s">
        <v>5783</v>
      </c>
      <c r="D14259" s="22" t="str">
        <f>HYPERLINK("https://rhld.insurance.arkansas.gov/NPILookup?Npi=1316565617","1316565617")</f>
        <v>1316565617</v>
      </c>
      <c r="E14259" s="1" t="s">
        <v>6163</v>
      </c>
      <c r="F14259" s="2"/>
      <c r="G14259" s="2"/>
      <c r="H14259" s="2"/>
    </row>
    <row r="14260" spans="1:8" x14ac:dyDescent="0.25">
      <c r="A14260" s="1"/>
      <c r="B14260" s="1" t="s">
        <v>5782</v>
      </c>
      <c r="C14260" s="1" t="s">
        <v>5783</v>
      </c>
      <c r="D14260" s="22" t="str">
        <f>HYPERLINK("https://rhld.insurance.arkansas.gov/NPILookup?Npi=1316584295","1316584295")</f>
        <v>1316584295</v>
      </c>
      <c r="E14260" s="1" t="s">
        <v>21827</v>
      </c>
      <c r="F14260" s="2"/>
      <c r="G14260" s="2"/>
      <c r="H14260" s="2"/>
    </row>
    <row r="14261" spans="1:8" x14ac:dyDescent="0.25">
      <c r="A14261" s="1"/>
      <c r="B14261" s="1" t="s">
        <v>5782</v>
      </c>
      <c r="C14261" s="1" t="s">
        <v>5783</v>
      </c>
      <c r="D14261" s="22" t="str">
        <f>HYPERLINK("https://rhld.insurance.arkansas.gov/NPILookup?Npi=1316612187","1316612187")</f>
        <v>1316612187</v>
      </c>
      <c r="E14261" s="1" t="s">
        <v>21828</v>
      </c>
      <c r="F14261" s="2"/>
      <c r="G14261" s="2"/>
      <c r="H14261" s="2"/>
    </row>
    <row r="14262" spans="1:8" x14ac:dyDescent="0.25">
      <c r="A14262" s="1"/>
      <c r="B14262" s="1" t="s">
        <v>5782</v>
      </c>
      <c r="C14262" s="1" t="s">
        <v>5783</v>
      </c>
      <c r="D14262" s="22" t="str">
        <f>HYPERLINK("https://rhld.insurance.arkansas.gov/NPILookup?Npi=1316623473","1316623473")</f>
        <v>1316623473</v>
      </c>
      <c r="E14262" s="1" t="s">
        <v>6164</v>
      </c>
      <c r="F14262" s="2"/>
      <c r="G14262" s="2"/>
      <c r="H14262" s="2"/>
    </row>
    <row r="14263" spans="1:8" x14ac:dyDescent="0.25">
      <c r="A14263" s="1"/>
      <c r="B14263" s="1" t="s">
        <v>5782</v>
      </c>
      <c r="C14263" s="1" t="s">
        <v>5783</v>
      </c>
      <c r="D14263" s="22" t="str">
        <f>HYPERLINK("https://rhld.insurance.arkansas.gov/NPILookup?Npi=1316624455","1316624455")</f>
        <v>1316624455</v>
      </c>
      <c r="E14263" s="1" t="s">
        <v>6416</v>
      </c>
      <c r="F14263" s="2"/>
      <c r="G14263" s="2"/>
      <c r="H14263" s="2"/>
    </row>
    <row r="14264" spans="1:8" x14ac:dyDescent="0.25">
      <c r="A14264" s="1"/>
      <c r="B14264" s="1" t="s">
        <v>5782</v>
      </c>
      <c r="C14264" s="1" t="s">
        <v>5783</v>
      </c>
      <c r="D14264" s="22" t="str">
        <f>HYPERLINK("https://rhld.insurance.arkansas.gov/NPILookup?Npi=1316633258","1316633258")</f>
        <v>1316633258</v>
      </c>
      <c r="E14264" s="1" t="s">
        <v>6165</v>
      </c>
      <c r="F14264" s="2"/>
      <c r="G14264" s="2"/>
      <c r="H14264" s="2"/>
    </row>
    <row r="14265" spans="1:8" x14ac:dyDescent="0.25">
      <c r="A14265" s="1"/>
      <c r="B14265" s="1" t="s">
        <v>5782</v>
      </c>
      <c r="C14265" s="1" t="s">
        <v>5783</v>
      </c>
      <c r="D14265" s="22" t="str">
        <f>HYPERLINK("https://rhld.insurance.arkansas.gov/NPILookup?Npi=1316651326","1316651326")</f>
        <v>1316651326</v>
      </c>
      <c r="E14265" s="1" t="s">
        <v>31854</v>
      </c>
      <c r="F14265" s="2"/>
      <c r="G14265" s="2"/>
      <c r="H14265" s="2"/>
    </row>
    <row r="14266" spans="1:8" x14ac:dyDescent="0.25">
      <c r="A14266" s="1"/>
      <c r="B14266" s="1" t="s">
        <v>5782</v>
      </c>
      <c r="C14266" s="1" t="s">
        <v>5783</v>
      </c>
      <c r="D14266" s="22" t="str">
        <f>HYPERLINK("https://rhld.insurance.arkansas.gov/NPILookup?Npi=1316678949","1316678949")</f>
        <v>1316678949</v>
      </c>
      <c r="E14266" s="1" t="s">
        <v>6166</v>
      </c>
      <c r="F14266" s="2"/>
      <c r="G14266" s="2"/>
      <c r="H14266" s="2"/>
    </row>
    <row r="14267" spans="1:8" x14ac:dyDescent="0.25">
      <c r="A14267" s="1"/>
      <c r="B14267" s="1" t="s">
        <v>5782</v>
      </c>
      <c r="C14267" s="1" t="s">
        <v>5783</v>
      </c>
      <c r="D14267" s="22" t="str">
        <f>HYPERLINK("https://rhld.insurance.arkansas.gov/NPILookup?Npi=1316699028","1316699028")</f>
        <v>1316699028</v>
      </c>
      <c r="E14267" s="1" t="s">
        <v>11676</v>
      </c>
      <c r="F14267" s="2"/>
      <c r="G14267" s="2"/>
      <c r="H14267" s="2"/>
    </row>
    <row r="14268" spans="1:8" x14ac:dyDescent="0.25">
      <c r="A14268" s="1"/>
      <c r="B14268" s="1" t="s">
        <v>5782</v>
      </c>
      <c r="C14268" s="1" t="s">
        <v>5783</v>
      </c>
      <c r="D14268" s="22" t="str">
        <f>HYPERLINK("https://rhld.insurance.arkansas.gov/NPILookup?Npi=1316705023","1316705023")</f>
        <v>1316705023</v>
      </c>
      <c r="E14268" s="1" t="s">
        <v>21829</v>
      </c>
      <c r="F14268" s="2"/>
      <c r="G14268" s="2"/>
      <c r="H14268" s="2"/>
    </row>
    <row r="14269" spans="1:8" x14ac:dyDescent="0.25">
      <c r="A14269" s="1"/>
      <c r="B14269" s="1" t="s">
        <v>5782</v>
      </c>
      <c r="C14269" s="1" t="s">
        <v>5783</v>
      </c>
      <c r="D14269" s="22" t="str">
        <f>HYPERLINK("https://rhld.insurance.arkansas.gov/NPILookup?Npi=1316922537","1316922537")</f>
        <v>1316922537</v>
      </c>
      <c r="E14269" s="1" t="s">
        <v>21830</v>
      </c>
      <c r="F14269" s="2"/>
      <c r="G14269" s="2"/>
      <c r="H14269" s="2"/>
    </row>
    <row r="14270" spans="1:8" x14ac:dyDescent="0.25">
      <c r="A14270" s="1"/>
      <c r="B14270" s="1" t="s">
        <v>5782</v>
      </c>
      <c r="C14270" s="1" t="s">
        <v>5783</v>
      </c>
      <c r="D14270" s="22" t="str">
        <f>HYPERLINK("https://rhld.insurance.arkansas.gov/NPILookup?Npi=1316924350","1316924350")</f>
        <v>1316924350</v>
      </c>
      <c r="E14270" s="1" t="s">
        <v>3259</v>
      </c>
      <c r="F14270" s="2"/>
      <c r="G14270" s="2"/>
      <c r="H14270" s="2"/>
    </row>
    <row r="14271" spans="1:8" x14ac:dyDescent="0.25">
      <c r="A14271" s="1"/>
      <c r="B14271" s="1" t="s">
        <v>5782</v>
      </c>
      <c r="C14271" s="1" t="s">
        <v>5783</v>
      </c>
      <c r="D14271" s="22" t="str">
        <f>HYPERLINK("https://rhld.insurance.arkansas.gov/NPILookup?Npi=1316943095","1316943095")</f>
        <v>1316943095</v>
      </c>
      <c r="E14271" s="1" t="s">
        <v>21831</v>
      </c>
      <c r="F14271" s="2"/>
      <c r="G14271" s="2"/>
      <c r="H14271" s="2"/>
    </row>
    <row r="14272" spans="1:8" x14ac:dyDescent="0.25">
      <c r="A14272" s="1"/>
      <c r="B14272" s="1" t="s">
        <v>5782</v>
      </c>
      <c r="C14272" s="1" t="s">
        <v>5783</v>
      </c>
      <c r="D14272" s="22" t="str">
        <f>HYPERLINK("https://rhld.insurance.arkansas.gov/NPILookup?Npi=1316950892","1316950892")</f>
        <v>1316950892</v>
      </c>
      <c r="E14272" s="1" t="s">
        <v>21832</v>
      </c>
      <c r="F14272" s="2"/>
      <c r="G14272" s="2"/>
      <c r="H14272" s="2"/>
    </row>
    <row r="14273" spans="1:8" x14ac:dyDescent="0.25">
      <c r="A14273" s="1"/>
      <c r="B14273" s="1" t="s">
        <v>5782</v>
      </c>
      <c r="C14273" s="1" t="s">
        <v>5783</v>
      </c>
      <c r="D14273" s="22" t="str">
        <f>HYPERLINK("https://rhld.insurance.arkansas.gov/NPILookup?Npi=1316957830","1316957830")</f>
        <v>1316957830</v>
      </c>
      <c r="E14273" s="1" t="s">
        <v>6167</v>
      </c>
      <c r="F14273" s="2"/>
      <c r="G14273" s="2"/>
      <c r="H14273" s="2"/>
    </row>
    <row r="14274" spans="1:8" x14ac:dyDescent="0.25">
      <c r="A14274" s="1"/>
      <c r="B14274" s="1" t="s">
        <v>5782</v>
      </c>
      <c r="C14274" s="1" t="s">
        <v>5783</v>
      </c>
      <c r="D14274" s="22" t="str">
        <f>HYPERLINK("https://rhld.insurance.arkansas.gov/NPILookup?Npi=1316969702","1316969702")</f>
        <v>1316969702</v>
      </c>
      <c r="E14274" s="1" t="s">
        <v>16397</v>
      </c>
      <c r="F14274" s="2"/>
      <c r="G14274" s="2"/>
      <c r="H14274" s="2"/>
    </row>
    <row r="14275" spans="1:8" x14ac:dyDescent="0.25">
      <c r="A14275" s="1"/>
      <c r="B14275" s="1" t="s">
        <v>5782</v>
      </c>
      <c r="C14275" s="1" t="s">
        <v>5783</v>
      </c>
      <c r="D14275" s="22" t="str">
        <f>HYPERLINK("https://rhld.insurance.arkansas.gov/NPILookup?Npi=1316970049","1316970049")</f>
        <v>1316970049</v>
      </c>
      <c r="E14275" s="1" t="s">
        <v>21833</v>
      </c>
      <c r="F14275" s="2"/>
      <c r="G14275" s="2"/>
      <c r="H14275" s="2"/>
    </row>
    <row r="14276" spans="1:8" x14ac:dyDescent="0.25">
      <c r="A14276" s="1"/>
      <c r="B14276" s="1" t="s">
        <v>5782</v>
      </c>
      <c r="C14276" s="1" t="s">
        <v>5783</v>
      </c>
      <c r="D14276" s="22" t="str">
        <f>HYPERLINK("https://rhld.insurance.arkansas.gov/NPILookup?Npi=1326066689","1326066689")</f>
        <v>1326066689</v>
      </c>
      <c r="E14276" s="1" t="s">
        <v>21834</v>
      </c>
      <c r="F14276" s="2"/>
      <c r="G14276" s="2"/>
      <c r="H14276" s="2"/>
    </row>
    <row r="14277" spans="1:8" x14ac:dyDescent="0.25">
      <c r="A14277" s="1"/>
      <c r="B14277" s="1" t="s">
        <v>5782</v>
      </c>
      <c r="C14277" s="1" t="s">
        <v>5783</v>
      </c>
      <c r="D14277" s="22" t="str">
        <f>HYPERLINK("https://rhld.insurance.arkansas.gov/NPILookup?Npi=1326066853","1326066853")</f>
        <v>1326066853</v>
      </c>
      <c r="E14277" s="1" t="s">
        <v>3260</v>
      </c>
      <c r="F14277" s="2"/>
      <c r="G14277" s="2"/>
      <c r="H14277" s="2"/>
    </row>
    <row r="14278" spans="1:8" x14ac:dyDescent="0.25">
      <c r="A14278" s="1"/>
      <c r="B14278" s="1" t="s">
        <v>5782</v>
      </c>
      <c r="C14278" s="1" t="s">
        <v>5783</v>
      </c>
      <c r="D14278" s="22" t="str">
        <f>HYPERLINK("https://rhld.insurance.arkansas.gov/NPILookup?Npi=1326090440","1326090440")</f>
        <v>1326090440</v>
      </c>
      <c r="E14278" s="1" t="s">
        <v>21835</v>
      </c>
      <c r="F14278" s="2"/>
      <c r="G14278" s="2"/>
      <c r="H14278" s="2"/>
    </row>
    <row r="14279" spans="1:8" x14ac:dyDescent="0.25">
      <c r="A14279" s="1"/>
      <c r="B14279" s="1" t="s">
        <v>5782</v>
      </c>
      <c r="C14279" s="1" t="s">
        <v>5783</v>
      </c>
      <c r="D14279" s="22" t="str">
        <f>HYPERLINK("https://rhld.insurance.arkansas.gov/NPILookup?Npi=1326125022","1326125022")</f>
        <v>1326125022</v>
      </c>
      <c r="E14279" s="1" t="s">
        <v>21836</v>
      </c>
      <c r="F14279" s="2"/>
      <c r="G14279" s="2"/>
      <c r="H14279" s="2"/>
    </row>
    <row r="14280" spans="1:8" x14ac:dyDescent="0.25">
      <c r="A14280" s="1"/>
      <c r="B14280" s="1" t="s">
        <v>5782</v>
      </c>
      <c r="C14280" s="1" t="s">
        <v>5783</v>
      </c>
      <c r="D14280" s="22" t="str">
        <f>HYPERLINK("https://rhld.insurance.arkansas.gov/NPILookup?Npi=1326169970","1326169970")</f>
        <v>1326169970</v>
      </c>
      <c r="E14280" s="1" t="s">
        <v>21837</v>
      </c>
      <c r="F14280" s="2"/>
      <c r="G14280" s="2"/>
      <c r="H14280" s="2"/>
    </row>
    <row r="14281" spans="1:8" x14ac:dyDescent="0.25">
      <c r="A14281" s="1"/>
      <c r="B14281" s="1" t="s">
        <v>5782</v>
      </c>
      <c r="C14281" s="1" t="s">
        <v>5783</v>
      </c>
      <c r="D14281" s="22" t="str">
        <f>HYPERLINK("https://rhld.insurance.arkansas.gov/NPILookup?Npi=1326199068","1326199068")</f>
        <v>1326199068</v>
      </c>
      <c r="E14281" s="1" t="s">
        <v>21838</v>
      </c>
      <c r="F14281" s="2"/>
      <c r="G14281" s="2"/>
      <c r="H14281" s="2"/>
    </row>
    <row r="14282" spans="1:8" x14ac:dyDescent="0.25">
      <c r="A14282" s="1"/>
      <c r="B14282" s="1" t="s">
        <v>5782</v>
      </c>
      <c r="C14282" s="1" t="s">
        <v>5783</v>
      </c>
      <c r="D14282" s="22" t="str">
        <f>HYPERLINK("https://rhld.insurance.arkansas.gov/NPILookup?Npi=1326214883","1326214883")</f>
        <v>1326214883</v>
      </c>
      <c r="E14282" s="1" t="s">
        <v>2176</v>
      </c>
      <c r="F14282" s="2"/>
      <c r="G14282" s="2"/>
      <c r="H14282" s="2"/>
    </row>
    <row r="14283" spans="1:8" x14ac:dyDescent="0.25">
      <c r="A14283" s="1"/>
      <c r="B14283" s="1" t="s">
        <v>5782</v>
      </c>
      <c r="C14283" s="1" t="s">
        <v>5783</v>
      </c>
      <c r="D14283" s="22" t="str">
        <f>HYPERLINK("https://rhld.insurance.arkansas.gov/NPILookup?Npi=1326215831","1326215831")</f>
        <v>1326215831</v>
      </c>
      <c r="E14283" s="1" t="s">
        <v>21839</v>
      </c>
      <c r="F14283" s="2"/>
      <c r="G14283" s="2"/>
      <c r="H14283" s="2"/>
    </row>
    <row r="14284" spans="1:8" x14ac:dyDescent="0.25">
      <c r="A14284" s="1"/>
      <c r="B14284" s="1" t="s">
        <v>5782</v>
      </c>
      <c r="C14284" s="1" t="s">
        <v>5783</v>
      </c>
      <c r="D14284" s="22" t="str">
        <f>HYPERLINK("https://rhld.insurance.arkansas.gov/NPILookup?Npi=1326220856","1326220856")</f>
        <v>1326220856</v>
      </c>
      <c r="E14284" s="1" t="s">
        <v>11678</v>
      </c>
      <c r="F14284" s="2"/>
      <c r="G14284" s="2"/>
      <c r="H14284" s="2"/>
    </row>
    <row r="14285" spans="1:8" x14ac:dyDescent="0.25">
      <c r="A14285" s="1"/>
      <c r="B14285" s="1" t="s">
        <v>5782</v>
      </c>
      <c r="C14285" s="1" t="s">
        <v>5783</v>
      </c>
      <c r="D14285" s="22" t="str">
        <f>HYPERLINK("https://rhld.insurance.arkansas.gov/NPILookup?Npi=1326222076","1326222076")</f>
        <v>1326222076</v>
      </c>
      <c r="E14285" s="1" t="s">
        <v>13321</v>
      </c>
      <c r="F14285" s="2"/>
      <c r="G14285" s="2"/>
      <c r="H14285" s="2"/>
    </row>
    <row r="14286" spans="1:8" x14ac:dyDescent="0.25">
      <c r="A14286" s="1"/>
      <c r="B14286" s="1" t="s">
        <v>5782</v>
      </c>
      <c r="C14286" s="1" t="s">
        <v>5783</v>
      </c>
      <c r="D14286" s="22" t="str">
        <f>HYPERLINK("https://rhld.insurance.arkansas.gov/NPILookup?Npi=1326222837","1326222837")</f>
        <v>1326222837</v>
      </c>
      <c r="E14286" s="1" t="s">
        <v>11679</v>
      </c>
      <c r="F14286" s="2"/>
      <c r="G14286" s="2"/>
      <c r="H14286" s="2"/>
    </row>
    <row r="14287" spans="1:8" x14ac:dyDescent="0.25">
      <c r="A14287" s="1"/>
      <c r="B14287" s="1" t="s">
        <v>5782</v>
      </c>
      <c r="C14287" s="1" t="s">
        <v>5783</v>
      </c>
      <c r="D14287" s="22" t="str">
        <f>HYPERLINK("https://rhld.insurance.arkansas.gov/NPILookup?Npi=1326231382","1326231382")</f>
        <v>1326231382</v>
      </c>
      <c r="E14287" s="1" t="s">
        <v>21840</v>
      </c>
      <c r="F14287" s="2"/>
      <c r="G14287" s="2"/>
      <c r="H14287" s="2"/>
    </row>
    <row r="14288" spans="1:8" x14ac:dyDescent="0.25">
      <c r="A14288" s="1"/>
      <c r="B14288" s="1" t="s">
        <v>5782</v>
      </c>
      <c r="C14288" s="1" t="s">
        <v>5783</v>
      </c>
      <c r="D14288" s="22" t="str">
        <f>HYPERLINK("https://rhld.insurance.arkansas.gov/NPILookup?Npi=1326248394","1326248394")</f>
        <v>1326248394</v>
      </c>
      <c r="E14288" s="1" t="s">
        <v>21841</v>
      </c>
      <c r="F14288" s="2"/>
      <c r="G14288" s="2"/>
      <c r="H14288" s="2"/>
    </row>
    <row r="14289" spans="1:8" x14ac:dyDescent="0.25">
      <c r="A14289" s="1"/>
      <c r="B14289" s="1" t="s">
        <v>5782</v>
      </c>
      <c r="C14289" s="1" t="s">
        <v>5783</v>
      </c>
      <c r="D14289" s="22" t="str">
        <f>HYPERLINK("https://rhld.insurance.arkansas.gov/NPILookup?Npi=1326258393","1326258393")</f>
        <v>1326258393</v>
      </c>
      <c r="E14289" s="1" t="s">
        <v>21842</v>
      </c>
      <c r="F14289" s="2"/>
      <c r="G14289" s="2"/>
      <c r="H14289" s="2"/>
    </row>
    <row r="14290" spans="1:8" x14ac:dyDescent="0.25">
      <c r="A14290" s="1"/>
      <c r="B14290" s="1" t="s">
        <v>5782</v>
      </c>
      <c r="C14290" s="1" t="s">
        <v>5783</v>
      </c>
      <c r="D14290" s="22" t="str">
        <f>HYPERLINK("https://rhld.insurance.arkansas.gov/NPILookup?Npi=1326289547","1326289547")</f>
        <v>1326289547</v>
      </c>
      <c r="E14290" s="1" t="s">
        <v>3181</v>
      </c>
      <c r="F14290" s="2"/>
      <c r="G14290" s="2"/>
      <c r="H14290" s="2"/>
    </row>
    <row r="14291" spans="1:8" x14ac:dyDescent="0.25">
      <c r="A14291" s="1"/>
      <c r="B14291" s="1" t="s">
        <v>5782</v>
      </c>
      <c r="C14291" s="1" t="s">
        <v>5783</v>
      </c>
      <c r="D14291" s="22" t="str">
        <f>HYPERLINK("https://rhld.insurance.arkansas.gov/NPILookup?Npi=1326294141","1326294141")</f>
        <v>1326294141</v>
      </c>
      <c r="E14291" s="1" t="s">
        <v>21843</v>
      </c>
      <c r="F14291" s="2"/>
      <c r="G14291" s="2"/>
      <c r="H14291" s="2"/>
    </row>
    <row r="14292" spans="1:8" x14ac:dyDescent="0.25">
      <c r="A14292" s="1"/>
      <c r="B14292" s="1" t="s">
        <v>5782</v>
      </c>
      <c r="C14292" s="1" t="s">
        <v>5783</v>
      </c>
      <c r="D14292" s="22" t="str">
        <f>HYPERLINK("https://rhld.insurance.arkansas.gov/NPILookup?Npi=1326295700","1326295700")</f>
        <v>1326295700</v>
      </c>
      <c r="E14292" s="1" t="s">
        <v>21844</v>
      </c>
      <c r="F14292" s="2"/>
      <c r="G14292" s="2"/>
      <c r="H14292" s="2"/>
    </row>
    <row r="14293" spans="1:8" x14ac:dyDescent="0.25">
      <c r="A14293" s="1"/>
      <c r="B14293" s="1" t="s">
        <v>5782</v>
      </c>
      <c r="C14293" s="1" t="s">
        <v>5783</v>
      </c>
      <c r="D14293" s="22" t="str">
        <f>HYPERLINK("https://rhld.insurance.arkansas.gov/NPILookup?Npi=1326320912","1326320912")</f>
        <v>1326320912</v>
      </c>
      <c r="E14293" s="1" t="s">
        <v>3250</v>
      </c>
      <c r="F14293" s="2"/>
      <c r="G14293" s="2"/>
      <c r="H14293" s="2"/>
    </row>
    <row r="14294" spans="1:8" x14ac:dyDescent="0.25">
      <c r="A14294" s="1"/>
      <c r="B14294" s="1" t="s">
        <v>5782</v>
      </c>
      <c r="C14294" s="1" t="s">
        <v>5783</v>
      </c>
      <c r="D14294" s="22" t="str">
        <f>HYPERLINK("https://rhld.insurance.arkansas.gov/NPILookup?Npi=1326324260","1326324260")</f>
        <v>1326324260</v>
      </c>
      <c r="E14294" s="1" t="s">
        <v>11680</v>
      </c>
      <c r="F14294" s="2"/>
      <c r="G14294" s="2"/>
      <c r="H14294" s="2"/>
    </row>
    <row r="14295" spans="1:8" x14ac:dyDescent="0.25">
      <c r="A14295" s="1"/>
      <c r="B14295" s="1" t="s">
        <v>5782</v>
      </c>
      <c r="C14295" s="1" t="s">
        <v>5783</v>
      </c>
      <c r="D14295" s="22" t="str">
        <f>HYPERLINK("https://rhld.insurance.arkansas.gov/NPILookup?Npi=1326343633","1326343633")</f>
        <v>1326343633</v>
      </c>
      <c r="E14295" s="1" t="s">
        <v>6168</v>
      </c>
      <c r="F14295" s="2"/>
      <c r="G14295" s="2"/>
      <c r="H14295" s="2"/>
    </row>
    <row r="14296" spans="1:8" x14ac:dyDescent="0.25">
      <c r="A14296" s="1"/>
      <c r="B14296" s="1" t="s">
        <v>5782</v>
      </c>
      <c r="C14296" s="1" t="s">
        <v>5783</v>
      </c>
      <c r="D14296" s="22" t="str">
        <f>HYPERLINK("https://rhld.insurance.arkansas.gov/NPILookup?Npi=1326343856","1326343856")</f>
        <v>1326343856</v>
      </c>
      <c r="E14296" s="1" t="s">
        <v>21845</v>
      </c>
      <c r="F14296" s="2"/>
      <c r="G14296" s="2"/>
      <c r="H14296" s="2"/>
    </row>
    <row r="14297" spans="1:8" x14ac:dyDescent="0.25">
      <c r="A14297" s="1"/>
      <c r="B14297" s="1" t="s">
        <v>5782</v>
      </c>
      <c r="C14297" s="1" t="s">
        <v>5783</v>
      </c>
      <c r="D14297" s="22" t="str">
        <f>HYPERLINK("https://rhld.insurance.arkansas.gov/NPILookup?Npi=1326347485","1326347485")</f>
        <v>1326347485</v>
      </c>
      <c r="E14297" s="1" t="s">
        <v>1511</v>
      </c>
      <c r="F14297" s="2"/>
      <c r="G14297" s="2"/>
      <c r="H14297" s="2"/>
    </row>
    <row r="14298" spans="1:8" x14ac:dyDescent="0.25">
      <c r="A14298" s="1"/>
      <c r="B14298" s="1" t="s">
        <v>5782</v>
      </c>
      <c r="C14298" s="1" t="s">
        <v>5783</v>
      </c>
      <c r="D14298" s="22" t="str">
        <f>HYPERLINK("https://rhld.insurance.arkansas.gov/NPILookup?Npi=1326348111","1326348111")</f>
        <v>1326348111</v>
      </c>
      <c r="E14298" s="1" t="s">
        <v>11681</v>
      </c>
      <c r="F14298" s="2"/>
      <c r="G14298" s="2"/>
      <c r="H14298" s="2"/>
    </row>
    <row r="14299" spans="1:8" x14ac:dyDescent="0.25">
      <c r="A14299" s="1"/>
      <c r="B14299" s="1" t="s">
        <v>5782</v>
      </c>
      <c r="C14299" s="1" t="s">
        <v>5783</v>
      </c>
      <c r="D14299" s="22" t="str">
        <f>HYPERLINK("https://rhld.insurance.arkansas.gov/NPILookup?Npi=1326358318","1326358318")</f>
        <v>1326358318</v>
      </c>
      <c r="E14299" s="1" t="s">
        <v>21846</v>
      </c>
      <c r="F14299" s="2"/>
      <c r="G14299" s="2"/>
      <c r="H14299" s="2"/>
    </row>
    <row r="14300" spans="1:8" x14ac:dyDescent="0.25">
      <c r="A14300" s="1"/>
      <c r="B14300" s="1" t="s">
        <v>5782</v>
      </c>
      <c r="C14300" s="1" t="s">
        <v>5783</v>
      </c>
      <c r="D14300" s="22" t="str">
        <f>HYPERLINK("https://rhld.insurance.arkansas.gov/NPILookup?Npi=1326371550","1326371550")</f>
        <v>1326371550</v>
      </c>
      <c r="E14300" s="1" t="s">
        <v>181</v>
      </c>
      <c r="F14300" s="2"/>
      <c r="G14300" s="2"/>
      <c r="H14300" s="2"/>
    </row>
    <row r="14301" spans="1:8" x14ac:dyDescent="0.25">
      <c r="A14301" s="1"/>
      <c r="B14301" s="1" t="s">
        <v>5782</v>
      </c>
      <c r="C14301" s="1" t="s">
        <v>5783</v>
      </c>
      <c r="D14301" s="22" t="str">
        <f>HYPERLINK("https://rhld.insurance.arkansas.gov/NPILookup?Npi=1326373648","1326373648")</f>
        <v>1326373648</v>
      </c>
      <c r="E14301" s="1" t="s">
        <v>21847</v>
      </c>
      <c r="F14301" s="2"/>
      <c r="G14301" s="2"/>
      <c r="H14301" s="2"/>
    </row>
    <row r="14302" spans="1:8" x14ac:dyDescent="0.25">
      <c r="A14302" s="1"/>
      <c r="B14302" s="1" t="s">
        <v>5782</v>
      </c>
      <c r="C14302" s="1" t="s">
        <v>5783</v>
      </c>
      <c r="D14302" s="22" t="str">
        <f>HYPERLINK("https://rhld.insurance.arkansas.gov/NPILookup?Npi=1326388307","1326388307")</f>
        <v>1326388307</v>
      </c>
      <c r="E14302" s="1" t="s">
        <v>6169</v>
      </c>
      <c r="F14302" s="2"/>
      <c r="G14302" s="2"/>
      <c r="H14302" s="2"/>
    </row>
    <row r="14303" spans="1:8" x14ac:dyDescent="0.25">
      <c r="A14303" s="1"/>
      <c r="B14303" s="1" t="s">
        <v>5782</v>
      </c>
      <c r="C14303" s="1" t="s">
        <v>5783</v>
      </c>
      <c r="D14303" s="22" t="str">
        <f>HYPERLINK("https://rhld.insurance.arkansas.gov/NPILookup?Npi=1326389891","1326389891")</f>
        <v>1326389891</v>
      </c>
      <c r="E14303" s="1" t="s">
        <v>17742</v>
      </c>
      <c r="F14303" s="2"/>
      <c r="G14303" s="2"/>
      <c r="H14303" s="2"/>
    </row>
    <row r="14304" spans="1:8" x14ac:dyDescent="0.25">
      <c r="A14304" s="1"/>
      <c r="B14304" s="1" t="s">
        <v>5782</v>
      </c>
      <c r="C14304" s="1" t="s">
        <v>5783</v>
      </c>
      <c r="D14304" s="22" t="str">
        <f>HYPERLINK("https://rhld.insurance.arkansas.gov/NPILookup?Npi=1326393497","1326393497")</f>
        <v>1326393497</v>
      </c>
      <c r="E14304" s="1" t="s">
        <v>21848</v>
      </c>
      <c r="F14304" s="2"/>
      <c r="G14304" s="2"/>
      <c r="H14304" s="2"/>
    </row>
    <row r="14305" spans="1:8" x14ac:dyDescent="0.25">
      <c r="A14305" s="1"/>
      <c r="B14305" s="1" t="s">
        <v>5782</v>
      </c>
      <c r="C14305" s="1" t="s">
        <v>5783</v>
      </c>
      <c r="D14305" s="22" t="str">
        <f>HYPERLINK("https://rhld.insurance.arkansas.gov/NPILookup?Npi=1326400805","1326400805")</f>
        <v>1326400805</v>
      </c>
      <c r="E14305" s="1" t="s">
        <v>2472</v>
      </c>
      <c r="F14305" s="2"/>
      <c r="G14305" s="2"/>
      <c r="H14305" s="2"/>
    </row>
    <row r="14306" spans="1:8" x14ac:dyDescent="0.25">
      <c r="A14306" s="1"/>
      <c r="B14306" s="1" t="s">
        <v>5782</v>
      </c>
      <c r="C14306" s="1" t="s">
        <v>5783</v>
      </c>
      <c r="D14306" s="22" t="str">
        <f>HYPERLINK("https://rhld.insurance.arkansas.gov/NPILookup?Npi=1326415233","1326415233")</f>
        <v>1326415233</v>
      </c>
      <c r="E14306" s="1" t="s">
        <v>11682</v>
      </c>
      <c r="F14306" s="2"/>
      <c r="G14306" s="2"/>
      <c r="H14306" s="2"/>
    </row>
    <row r="14307" spans="1:8" x14ac:dyDescent="0.25">
      <c r="A14307" s="1"/>
      <c r="B14307" s="1" t="s">
        <v>5782</v>
      </c>
      <c r="C14307" s="1" t="s">
        <v>5783</v>
      </c>
      <c r="D14307" s="22" t="str">
        <f>HYPERLINK("https://rhld.insurance.arkansas.gov/NPILookup?Npi=1326474529","1326474529")</f>
        <v>1326474529</v>
      </c>
      <c r="E14307" s="1" t="s">
        <v>21850</v>
      </c>
      <c r="F14307" s="2"/>
      <c r="G14307" s="2"/>
      <c r="H14307" s="2"/>
    </row>
    <row r="14308" spans="1:8" x14ac:dyDescent="0.25">
      <c r="A14308" s="1"/>
      <c r="B14308" s="1" t="s">
        <v>5782</v>
      </c>
      <c r="C14308" s="1" t="s">
        <v>5783</v>
      </c>
      <c r="D14308" s="22" t="str">
        <f>HYPERLINK("https://rhld.insurance.arkansas.gov/NPILookup?Npi=1326475179","1326475179")</f>
        <v>1326475179</v>
      </c>
      <c r="E14308" s="1" t="s">
        <v>11683</v>
      </c>
      <c r="F14308" s="2"/>
      <c r="G14308" s="2"/>
      <c r="H14308" s="2"/>
    </row>
    <row r="14309" spans="1:8" x14ac:dyDescent="0.25">
      <c r="A14309" s="1"/>
      <c r="B14309" s="1" t="s">
        <v>5782</v>
      </c>
      <c r="C14309" s="1" t="s">
        <v>5783</v>
      </c>
      <c r="D14309" s="22" t="str">
        <f>HYPERLINK("https://rhld.insurance.arkansas.gov/NPILookup?Npi=1326524927","1326524927")</f>
        <v>1326524927</v>
      </c>
      <c r="E14309" s="1" t="s">
        <v>21851</v>
      </c>
      <c r="F14309" s="2"/>
      <c r="G14309" s="2"/>
      <c r="H14309" s="2"/>
    </row>
    <row r="14310" spans="1:8" x14ac:dyDescent="0.25">
      <c r="A14310" s="1"/>
      <c r="B14310" s="1" t="s">
        <v>5782</v>
      </c>
      <c r="C14310" s="1" t="s">
        <v>5783</v>
      </c>
      <c r="D14310" s="22" t="str">
        <f>HYPERLINK("https://rhld.insurance.arkansas.gov/NPILookup?Npi=1326525007","1326525007")</f>
        <v>1326525007</v>
      </c>
      <c r="E14310" s="1" t="s">
        <v>3261</v>
      </c>
      <c r="F14310" s="2"/>
      <c r="G14310" s="2"/>
      <c r="H14310" s="2"/>
    </row>
    <row r="14311" spans="1:8" x14ac:dyDescent="0.25">
      <c r="A14311" s="1"/>
      <c r="B14311" s="1" t="s">
        <v>5782</v>
      </c>
      <c r="C14311" s="1" t="s">
        <v>5783</v>
      </c>
      <c r="D14311" s="22" t="str">
        <f>HYPERLINK("https://rhld.insurance.arkansas.gov/NPILookup?Npi=1326530148","1326530148")</f>
        <v>1326530148</v>
      </c>
      <c r="E14311" s="1" t="s">
        <v>1663</v>
      </c>
      <c r="F14311" s="2"/>
      <c r="G14311" s="2"/>
      <c r="H14311" s="2"/>
    </row>
    <row r="14312" spans="1:8" x14ac:dyDescent="0.25">
      <c r="A14312" s="1"/>
      <c r="B14312" s="1" t="s">
        <v>5782</v>
      </c>
      <c r="C14312" s="1" t="s">
        <v>5783</v>
      </c>
      <c r="D14312" s="22" t="str">
        <f>HYPERLINK("https://rhld.insurance.arkansas.gov/NPILookup?Npi=1326536822","1326536822")</f>
        <v>1326536822</v>
      </c>
      <c r="E14312" s="1" t="s">
        <v>11684</v>
      </c>
      <c r="F14312" s="2"/>
      <c r="G14312" s="2"/>
      <c r="H14312" s="2"/>
    </row>
    <row r="14313" spans="1:8" x14ac:dyDescent="0.25">
      <c r="A14313" s="1"/>
      <c r="B14313" s="1" t="s">
        <v>5782</v>
      </c>
      <c r="C14313" s="1" t="s">
        <v>5783</v>
      </c>
      <c r="D14313" s="22" t="str">
        <f>HYPERLINK("https://rhld.insurance.arkansas.gov/NPILookup?Npi=1326574914","1326574914")</f>
        <v>1326574914</v>
      </c>
      <c r="E14313" s="1" t="s">
        <v>6170</v>
      </c>
      <c r="F14313" s="2"/>
      <c r="G14313" s="2"/>
      <c r="H14313" s="2"/>
    </row>
    <row r="14314" spans="1:8" x14ac:dyDescent="0.25">
      <c r="A14314" s="1"/>
      <c r="B14314" s="1" t="s">
        <v>5782</v>
      </c>
      <c r="C14314" s="1" t="s">
        <v>5783</v>
      </c>
      <c r="D14314" s="22" t="str">
        <f>HYPERLINK("https://rhld.insurance.arkansas.gov/NPILookup?Npi=1326578717","1326578717")</f>
        <v>1326578717</v>
      </c>
      <c r="E14314" s="1" t="s">
        <v>21852</v>
      </c>
      <c r="F14314" s="2"/>
      <c r="G14314" s="2"/>
      <c r="H14314" s="2"/>
    </row>
    <row r="14315" spans="1:8" x14ac:dyDescent="0.25">
      <c r="A14315" s="1"/>
      <c r="B14315" s="1" t="s">
        <v>5782</v>
      </c>
      <c r="C14315" s="1" t="s">
        <v>5783</v>
      </c>
      <c r="D14315" s="22" t="str">
        <f>HYPERLINK("https://rhld.insurance.arkansas.gov/NPILookup?Npi=1326583675","1326583675")</f>
        <v>1326583675</v>
      </c>
      <c r="E14315" s="1" t="s">
        <v>11685</v>
      </c>
      <c r="F14315" s="2"/>
      <c r="G14315" s="2"/>
      <c r="H14315" s="2"/>
    </row>
    <row r="14316" spans="1:8" x14ac:dyDescent="0.25">
      <c r="A14316" s="1"/>
      <c r="B14316" s="1" t="s">
        <v>5782</v>
      </c>
      <c r="C14316" s="1" t="s">
        <v>5783</v>
      </c>
      <c r="D14316" s="22" t="str">
        <f>HYPERLINK("https://rhld.insurance.arkansas.gov/NPILookup?Npi=1326588526","1326588526")</f>
        <v>1326588526</v>
      </c>
      <c r="E14316" s="1" t="s">
        <v>6172</v>
      </c>
      <c r="F14316" s="2"/>
      <c r="G14316" s="2"/>
      <c r="H14316" s="2"/>
    </row>
    <row r="14317" spans="1:8" x14ac:dyDescent="0.25">
      <c r="A14317" s="1"/>
      <c r="B14317" s="1" t="s">
        <v>5782</v>
      </c>
      <c r="C14317" s="1" t="s">
        <v>5783</v>
      </c>
      <c r="D14317" s="22" t="str">
        <f>HYPERLINK("https://rhld.insurance.arkansas.gov/NPILookup?Npi=1326588872","1326588872")</f>
        <v>1326588872</v>
      </c>
      <c r="E14317" s="1" t="s">
        <v>6173</v>
      </c>
      <c r="F14317" s="2"/>
      <c r="G14317" s="2"/>
      <c r="H14317" s="2"/>
    </row>
    <row r="14318" spans="1:8" x14ac:dyDescent="0.25">
      <c r="A14318" s="1"/>
      <c r="B14318" s="1" t="s">
        <v>5782</v>
      </c>
      <c r="C14318" s="1" t="s">
        <v>5783</v>
      </c>
      <c r="D14318" s="22" t="str">
        <f>HYPERLINK("https://rhld.insurance.arkansas.gov/NPILookup?Npi=1326592817","1326592817")</f>
        <v>1326592817</v>
      </c>
      <c r="E14318" s="1" t="s">
        <v>21853</v>
      </c>
      <c r="F14318" s="2"/>
      <c r="G14318" s="2"/>
      <c r="H14318" s="2"/>
    </row>
    <row r="14319" spans="1:8" x14ac:dyDescent="0.25">
      <c r="A14319" s="1"/>
      <c r="B14319" s="1" t="s">
        <v>5782</v>
      </c>
      <c r="C14319" s="1" t="s">
        <v>5783</v>
      </c>
      <c r="D14319" s="22" t="str">
        <f>HYPERLINK("https://rhld.insurance.arkansas.gov/NPILookup?Npi=1326598582","1326598582")</f>
        <v>1326598582</v>
      </c>
      <c r="E14319" s="1" t="s">
        <v>21854</v>
      </c>
      <c r="F14319" s="2"/>
      <c r="G14319" s="2"/>
      <c r="H14319" s="2"/>
    </row>
    <row r="14320" spans="1:8" x14ac:dyDescent="0.25">
      <c r="A14320" s="1"/>
      <c r="B14320" s="1" t="s">
        <v>5782</v>
      </c>
      <c r="C14320" s="1" t="s">
        <v>5783</v>
      </c>
      <c r="D14320" s="22" t="str">
        <f>HYPERLINK("https://rhld.insurance.arkansas.gov/NPILookup?Npi=1326610064","1326610064")</f>
        <v>1326610064</v>
      </c>
      <c r="E14320" s="1" t="s">
        <v>21855</v>
      </c>
      <c r="F14320" s="2"/>
      <c r="G14320" s="2"/>
      <c r="H14320" s="2"/>
    </row>
    <row r="14321" spans="1:8" x14ac:dyDescent="0.25">
      <c r="A14321" s="1"/>
      <c r="B14321" s="1" t="s">
        <v>5782</v>
      </c>
      <c r="C14321" s="1" t="s">
        <v>5783</v>
      </c>
      <c r="D14321" s="22" t="str">
        <f>HYPERLINK("https://rhld.insurance.arkansas.gov/NPILookup?Npi=1326611245","1326611245")</f>
        <v>1326611245</v>
      </c>
      <c r="E14321" s="1" t="s">
        <v>6398</v>
      </c>
      <c r="F14321" s="2"/>
      <c r="G14321" s="2"/>
      <c r="H14321" s="2"/>
    </row>
    <row r="14322" spans="1:8" x14ac:dyDescent="0.25">
      <c r="A14322" s="1"/>
      <c r="B14322" s="1" t="s">
        <v>5782</v>
      </c>
      <c r="C14322" s="1" t="s">
        <v>5783</v>
      </c>
      <c r="D14322" s="22" t="str">
        <f>HYPERLINK("https://rhld.insurance.arkansas.gov/NPILookup?Npi=1326636036","1326636036")</f>
        <v>1326636036</v>
      </c>
      <c r="E14322" s="1" t="s">
        <v>11686</v>
      </c>
      <c r="F14322" s="2"/>
      <c r="G14322" s="2"/>
      <c r="H14322" s="2"/>
    </row>
    <row r="14323" spans="1:8" x14ac:dyDescent="0.25">
      <c r="A14323" s="1"/>
      <c r="B14323" s="1" t="s">
        <v>5782</v>
      </c>
      <c r="C14323" s="1" t="s">
        <v>5783</v>
      </c>
      <c r="D14323" s="22" t="str">
        <f>HYPERLINK("https://rhld.insurance.arkansas.gov/NPILookup?Npi=1326638180","1326638180")</f>
        <v>1326638180</v>
      </c>
      <c r="E14323" s="1" t="s">
        <v>11687</v>
      </c>
      <c r="F14323" s="2"/>
      <c r="G14323" s="2"/>
      <c r="H14323" s="2"/>
    </row>
    <row r="14324" spans="1:8" x14ac:dyDescent="0.25">
      <c r="A14324" s="1"/>
      <c r="B14324" s="1" t="s">
        <v>5782</v>
      </c>
      <c r="C14324" s="1" t="s">
        <v>5783</v>
      </c>
      <c r="D14324" s="22" t="str">
        <f>HYPERLINK("https://rhld.insurance.arkansas.gov/NPILookup?Npi=1326654435","1326654435")</f>
        <v>1326654435</v>
      </c>
      <c r="E14324" s="1" t="s">
        <v>2959</v>
      </c>
      <c r="F14324" s="2"/>
      <c r="G14324" s="2"/>
      <c r="H14324" s="2"/>
    </row>
    <row r="14325" spans="1:8" x14ac:dyDescent="0.25">
      <c r="A14325" s="1"/>
      <c r="B14325" s="1" t="s">
        <v>5782</v>
      </c>
      <c r="C14325" s="1" t="s">
        <v>5783</v>
      </c>
      <c r="D14325" s="22" t="str">
        <f>HYPERLINK("https://rhld.insurance.arkansas.gov/NPILookup?Npi=1326668088","1326668088")</f>
        <v>1326668088</v>
      </c>
      <c r="E14325" s="1" t="s">
        <v>6174</v>
      </c>
      <c r="F14325" s="2"/>
      <c r="G14325" s="2"/>
      <c r="H14325" s="2"/>
    </row>
    <row r="14326" spans="1:8" x14ac:dyDescent="0.25">
      <c r="A14326" s="1"/>
      <c r="B14326" s="1" t="s">
        <v>5782</v>
      </c>
      <c r="C14326" s="1" t="s">
        <v>5783</v>
      </c>
      <c r="D14326" s="22" t="str">
        <f>HYPERLINK("https://rhld.insurance.arkansas.gov/NPILookup?Npi=1326678509","1326678509")</f>
        <v>1326678509</v>
      </c>
      <c r="E14326" s="1" t="s">
        <v>11688</v>
      </c>
      <c r="F14326" s="2"/>
      <c r="G14326" s="2"/>
      <c r="H14326" s="2"/>
    </row>
    <row r="14327" spans="1:8" x14ac:dyDescent="0.25">
      <c r="A14327" s="1"/>
      <c r="B14327" s="1" t="s">
        <v>5782</v>
      </c>
      <c r="C14327" s="1" t="s">
        <v>5783</v>
      </c>
      <c r="D14327" s="22" t="str">
        <f>HYPERLINK("https://rhld.insurance.arkansas.gov/NPILookup?Npi=1326681792","1326681792")</f>
        <v>1326681792</v>
      </c>
      <c r="E14327" s="1" t="s">
        <v>21856</v>
      </c>
      <c r="F14327" s="2"/>
      <c r="G14327" s="2"/>
      <c r="H14327" s="2"/>
    </row>
    <row r="14328" spans="1:8" x14ac:dyDescent="0.25">
      <c r="A14328" s="1"/>
      <c r="B14328" s="1" t="s">
        <v>5782</v>
      </c>
      <c r="C14328" s="1" t="s">
        <v>5783</v>
      </c>
      <c r="D14328" s="22" t="str">
        <f>HYPERLINK("https://rhld.insurance.arkansas.gov/NPILookup?Npi=1326700055","1326700055")</f>
        <v>1326700055</v>
      </c>
      <c r="E14328" s="1" t="s">
        <v>21857</v>
      </c>
      <c r="F14328" s="2"/>
      <c r="G14328" s="2"/>
      <c r="H14328" s="2"/>
    </row>
    <row r="14329" spans="1:8" x14ac:dyDescent="0.25">
      <c r="A14329" s="1"/>
      <c r="B14329" s="1" t="s">
        <v>5782</v>
      </c>
      <c r="C14329" s="1" t="s">
        <v>5783</v>
      </c>
      <c r="D14329" s="22" t="str">
        <f>HYPERLINK("https://rhld.insurance.arkansas.gov/NPILookup?Npi=1326700949","1326700949")</f>
        <v>1326700949</v>
      </c>
      <c r="E14329" s="1" t="s">
        <v>21858</v>
      </c>
      <c r="F14329" s="2"/>
      <c r="G14329" s="2"/>
      <c r="H14329" s="2"/>
    </row>
    <row r="14330" spans="1:8" x14ac:dyDescent="0.25">
      <c r="A14330" s="1"/>
      <c r="B14330" s="1" t="s">
        <v>5782</v>
      </c>
      <c r="C14330" s="1" t="s">
        <v>5783</v>
      </c>
      <c r="D14330" s="22" t="str">
        <f>HYPERLINK("https://rhld.insurance.arkansas.gov/NPILookup?Npi=1326701988","1326701988")</f>
        <v>1326701988</v>
      </c>
      <c r="E14330" s="1" t="s">
        <v>21859</v>
      </c>
      <c r="F14330" s="2"/>
      <c r="G14330" s="2"/>
      <c r="H14330" s="2"/>
    </row>
    <row r="14331" spans="1:8" x14ac:dyDescent="0.25">
      <c r="A14331" s="1"/>
      <c r="B14331" s="1" t="s">
        <v>5782</v>
      </c>
      <c r="C14331" s="1" t="s">
        <v>5783</v>
      </c>
      <c r="D14331" s="22" t="str">
        <f>HYPERLINK("https://rhld.insurance.arkansas.gov/NPILookup?Npi=1326717422","1326717422")</f>
        <v>1326717422</v>
      </c>
      <c r="E14331" s="1" t="s">
        <v>21860</v>
      </c>
      <c r="F14331" s="2"/>
      <c r="G14331" s="2"/>
      <c r="H14331" s="2"/>
    </row>
    <row r="14332" spans="1:8" x14ac:dyDescent="0.25">
      <c r="A14332" s="1"/>
      <c r="B14332" s="1" t="s">
        <v>5782</v>
      </c>
      <c r="C14332" s="1" t="s">
        <v>5783</v>
      </c>
      <c r="D14332" s="22" t="str">
        <f>HYPERLINK("https://rhld.insurance.arkansas.gov/NPILookup?Npi=1326759648","1326759648")</f>
        <v>1326759648</v>
      </c>
      <c r="E14332" s="1" t="s">
        <v>21861</v>
      </c>
      <c r="F14332" s="2"/>
      <c r="G14332" s="2"/>
      <c r="H14332" s="2"/>
    </row>
    <row r="14333" spans="1:8" x14ac:dyDescent="0.25">
      <c r="A14333" s="1"/>
      <c r="B14333" s="1" t="s">
        <v>5782</v>
      </c>
      <c r="C14333" s="1" t="s">
        <v>5783</v>
      </c>
      <c r="D14333" s="22" t="str">
        <f>HYPERLINK("https://rhld.insurance.arkansas.gov/NPILookup?Npi=1326769027","1326769027")</f>
        <v>1326769027</v>
      </c>
      <c r="E14333" s="1" t="s">
        <v>21862</v>
      </c>
      <c r="F14333" s="2"/>
      <c r="G14333" s="2"/>
      <c r="H14333" s="2"/>
    </row>
    <row r="14334" spans="1:8" x14ac:dyDescent="0.25">
      <c r="A14334" s="1"/>
      <c r="B14334" s="1" t="s">
        <v>5782</v>
      </c>
      <c r="C14334" s="1" t="s">
        <v>5783</v>
      </c>
      <c r="D14334" s="22" t="str">
        <f>HYPERLINK("https://rhld.insurance.arkansas.gov/NPILookup?Npi=1326796152","1326796152")</f>
        <v>1326796152</v>
      </c>
      <c r="E14334" s="1" t="s">
        <v>6175</v>
      </c>
      <c r="F14334" s="2"/>
      <c r="G14334" s="2"/>
      <c r="H14334" s="2"/>
    </row>
    <row r="14335" spans="1:8" x14ac:dyDescent="0.25">
      <c r="A14335" s="1"/>
      <c r="B14335" s="1" t="s">
        <v>5782</v>
      </c>
      <c r="C14335" s="1" t="s">
        <v>5783</v>
      </c>
      <c r="D14335" s="22" t="str">
        <f>HYPERLINK("https://rhld.insurance.arkansas.gov/NPILookup?Npi=1326799818","1326799818")</f>
        <v>1326799818</v>
      </c>
      <c r="E14335" s="1" t="s">
        <v>21863</v>
      </c>
      <c r="F14335" s="2"/>
      <c r="G14335" s="2"/>
      <c r="H14335" s="2"/>
    </row>
    <row r="14336" spans="1:8" x14ac:dyDescent="0.25">
      <c r="A14336" s="1"/>
      <c r="B14336" s="1" t="s">
        <v>5782</v>
      </c>
      <c r="C14336" s="1" t="s">
        <v>5783</v>
      </c>
      <c r="D14336" s="22" t="str">
        <f>HYPERLINK("https://rhld.insurance.arkansas.gov/NPILookup?Npi=1326802265","1326802265")</f>
        <v>1326802265</v>
      </c>
      <c r="E14336" s="1" t="s">
        <v>6177</v>
      </c>
      <c r="F14336" s="2"/>
      <c r="G14336" s="2"/>
      <c r="H14336" s="2"/>
    </row>
    <row r="14337" spans="1:8" x14ac:dyDescent="0.25">
      <c r="A14337" s="1"/>
      <c r="B14337" s="1" t="s">
        <v>5782</v>
      </c>
      <c r="C14337" s="1" t="s">
        <v>5783</v>
      </c>
      <c r="D14337" s="22" t="str">
        <f>HYPERLINK("https://rhld.insurance.arkansas.gov/NPILookup?Npi=1326882028","1326882028")</f>
        <v>1326882028</v>
      </c>
      <c r="E14337" s="1" t="s">
        <v>31855</v>
      </c>
      <c r="F14337" s="2"/>
      <c r="G14337" s="2"/>
      <c r="H14337" s="2"/>
    </row>
    <row r="14338" spans="1:8" x14ac:dyDescent="0.25">
      <c r="A14338" s="1"/>
      <c r="B14338" s="1" t="s">
        <v>5782</v>
      </c>
      <c r="C14338" s="1" t="s">
        <v>5783</v>
      </c>
      <c r="D14338" s="22" t="str">
        <f>HYPERLINK("https://rhld.insurance.arkansas.gov/NPILookup?Npi=1336118942","1336118942")</f>
        <v>1336118942</v>
      </c>
      <c r="E14338" s="1" t="s">
        <v>328</v>
      </c>
      <c r="F14338" s="2"/>
      <c r="G14338" s="2"/>
      <c r="H14338" s="2"/>
    </row>
    <row r="14339" spans="1:8" x14ac:dyDescent="0.25">
      <c r="A14339" s="1"/>
      <c r="B14339" s="1" t="s">
        <v>5782</v>
      </c>
      <c r="C14339" s="1" t="s">
        <v>5783</v>
      </c>
      <c r="D14339" s="22" t="str">
        <f>HYPERLINK("https://rhld.insurance.arkansas.gov/NPILookup?Npi=1336174283","1336174283")</f>
        <v>1336174283</v>
      </c>
      <c r="E14339" s="1" t="s">
        <v>11689</v>
      </c>
      <c r="F14339" s="2"/>
      <c r="G14339" s="2"/>
      <c r="H14339" s="2"/>
    </row>
    <row r="14340" spans="1:8" x14ac:dyDescent="0.25">
      <c r="A14340" s="1"/>
      <c r="B14340" s="1" t="s">
        <v>5782</v>
      </c>
      <c r="C14340" s="1" t="s">
        <v>5783</v>
      </c>
      <c r="D14340" s="22" t="str">
        <f>HYPERLINK("https://rhld.insurance.arkansas.gov/NPILookup?Npi=1336184183","1336184183")</f>
        <v>1336184183</v>
      </c>
      <c r="E14340" s="1" t="s">
        <v>3262</v>
      </c>
      <c r="F14340" s="2"/>
      <c r="G14340" s="2"/>
      <c r="H14340" s="2"/>
    </row>
    <row r="14341" spans="1:8" x14ac:dyDescent="0.25">
      <c r="A14341" s="1"/>
      <c r="B14341" s="1" t="s">
        <v>5782</v>
      </c>
      <c r="C14341" s="1" t="s">
        <v>5783</v>
      </c>
      <c r="D14341" s="22" t="str">
        <f>HYPERLINK("https://rhld.insurance.arkansas.gov/NPILookup?Npi=1336211978","1336211978")</f>
        <v>1336211978</v>
      </c>
      <c r="E14341" s="1" t="s">
        <v>21864</v>
      </c>
      <c r="F14341" s="2"/>
      <c r="G14341" s="2"/>
      <c r="H14341" s="2"/>
    </row>
    <row r="14342" spans="1:8" x14ac:dyDescent="0.25">
      <c r="A14342" s="1"/>
      <c r="B14342" s="1" t="s">
        <v>5782</v>
      </c>
      <c r="C14342" s="1" t="s">
        <v>5783</v>
      </c>
      <c r="D14342" s="22" t="str">
        <f>HYPERLINK("https://rhld.insurance.arkansas.gov/NPILookup?Npi=1336213461","1336213461")</f>
        <v>1336213461</v>
      </c>
      <c r="E14342" s="1" t="s">
        <v>21865</v>
      </c>
      <c r="F14342" s="2"/>
      <c r="G14342" s="2"/>
      <c r="H14342" s="2"/>
    </row>
    <row r="14343" spans="1:8" x14ac:dyDescent="0.25">
      <c r="A14343" s="1"/>
      <c r="B14343" s="1" t="s">
        <v>5782</v>
      </c>
      <c r="C14343" s="1" t="s">
        <v>5783</v>
      </c>
      <c r="D14343" s="22" t="str">
        <f>HYPERLINK("https://rhld.insurance.arkansas.gov/NPILookup?Npi=1336241132","1336241132")</f>
        <v>1336241132</v>
      </c>
      <c r="E14343" s="1" t="s">
        <v>21866</v>
      </c>
      <c r="F14343" s="2"/>
      <c r="G14343" s="2"/>
      <c r="H14343" s="2"/>
    </row>
    <row r="14344" spans="1:8" x14ac:dyDescent="0.25">
      <c r="A14344" s="1"/>
      <c r="B14344" s="1" t="s">
        <v>5782</v>
      </c>
      <c r="C14344" s="1" t="s">
        <v>5783</v>
      </c>
      <c r="D14344" s="22" t="str">
        <f>HYPERLINK("https://rhld.insurance.arkansas.gov/NPILookup?Npi=1336247493","1336247493")</f>
        <v>1336247493</v>
      </c>
      <c r="E14344" s="1" t="s">
        <v>6178</v>
      </c>
      <c r="F14344" s="2"/>
      <c r="G14344" s="2"/>
      <c r="H14344" s="2"/>
    </row>
    <row r="14345" spans="1:8" x14ac:dyDescent="0.25">
      <c r="A14345" s="1"/>
      <c r="B14345" s="1" t="s">
        <v>5782</v>
      </c>
      <c r="C14345" s="1" t="s">
        <v>5783</v>
      </c>
      <c r="D14345" s="22" t="str">
        <f>HYPERLINK("https://rhld.insurance.arkansas.gov/NPILookup?Npi=1336259316","1336259316")</f>
        <v>1336259316</v>
      </c>
      <c r="E14345" s="1" t="s">
        <v>21867</v>
      </c>
      <c r="F14345" s="2"/>
      <c r="G14345" s="2"/>
      <c r="H14345" s="2"/>
    </row>
    <row r="14346" spans="1:8" x14ac:dyDescent="0.25">
      <c r="A14346" s="1"/>
      <c r="B14346" s="1" t="s">
        <v>5782</v>
      </c>
      <c r="C14346" s="1" t="s">
        <v>5783</v>
      </c>
      <c r="D14346" s="22" t="str">
        <f>HYPERLINK("https://rhld.insurance.arkansas.gov/NPILookup?Npi=1336266055","1336266055")</f>
        <v>1336266055</v>
      </c>
      <c r="E14346" s="1" t="s">
        <v>21868</v>
      </c>
      <c r="F14346" s="2"/>
      <c r="G14346" s="2"/>
      <c r="H14346" s="2"/>
    </row>
    <row r="14347" spans="1:8" x14ac:dyDescent="0.25">
      <c r="A14347" s="1"/>
      <c r="B14347" s="1" t="s">
        <v>5782</v>
      </c>
      <c r="C14347" s="1" t="s">
        <v>5783</v>
      </c>
      <c r="D14347" s="22" t="str">
        <f>HYPERLINK("https://rhld.insurance.arkansas.gov/NPILookup?Npi=1336273549","1336273549")</f>
        <v>1336273549</v>
      </c>
      <c r="E14347" s="1" t="s">
        <v>374</v>
      </c>
      <c r="F14347" s="2"/>
      <c r="G14347" s="2"/>
      <c r="H14347" s="2"/>
    </row>
    <row r="14348" spans="1:8" x14ac:dyDescent="0.25">
      <c r="A14348" s="1"/>
      <c r="B14348" s="1" t="s">
        <v>5782</v>
      </c>
      <c r="C14348" s="1" t="s">
        <v>5783</v>
      </c>
      <c r="D14348" s="22" t="str">
        <f>HYPERLINK("https://rhld.insurance.arkansas.gov/NPILookup?Npi=1336284488","1336284488")</f>
        <v>1336284488</v>
      </c>
      <c r="E14348" s="1" t="s">
        <v>21869</v>
      </c>
      <c r="F14348" s="2"/>
      <c r="G14348" s="2"/>
      <c r="H14348" s="2"/>
    </row>
    <row r="14349" spans="1:8" x14ac:dyDescent="0.25">
      <c r="A14349" s="1"/>
      <c r="B14349" s="1" t="s">
        <v>5782</v>
      </c>
      <c r="C14349" s="1" t="s">
        <v>5783</v>
      </c>
      <c r="D14349" s="22" t="str">
        <f>HYPERLINK("https://rhld.insurance.arkansas.gov/NPILookup?Npi=1336289453","1336289453")</f>
        <v>1336289453</v>
      </c>
      <c r="E14349" s="1" t="s">
        <v>21870</v>
      </c>
      <c r="F14349" s="2"/>
      <c r="G14349" s="2"/>
      <c r="H14349" s="2"/>
    </row>
    <row r="14350" spans="1:8" x14ac:dyDescent="0.25">
      <c r="A14350" s="1"/>
      <c r="B14350" s="1" t="s">
        <v>5782</v>
      </c>
      <c r="C14350" s="1" t="s">
        <v>5783</v>
      </c>
      <c r="D14350" s="22" t="str">
        <f>HYPERLINK("https://rhld.insurance.arkansas.gov/NPILookup?Npi=1336290675","1336290675")</f>
        <v>1336290675</v>
      </c>
      <c r="E14350" s="1" t="s">
        <v>11690</v>
      </c>
      <c r="F14350" s="2"/>
      <c r="G14350" s="2"/>
      <c r="H14350" s="2"/>
    </row>
    <row r="14351" spans="1:8" x14ac:dyDescent="0.25">
      <c r="A14351" s="1"/>
      <c r="B14351" s="1" t="s">
        <v>5782</v>
      </c>
      <c r="C14351" s="1" t="s">
        <v>5783</v>
      </c>
      <c r="D14351" s="22" t="str">
        <f>HYPERLINK("https://rhld.insurance.arkansas.gov/NPILookup?Npi=1336318260","1336318260")</f>
        <v>1336318260</v>
      </c>
      <c r="E14351" s="1" t="s">
        <v>18207</v>
      </c>
      <c r="F14351" s="2"/>
      <c r="G14351" s="2"/>
      <c r="H14351" s="2"/>
    </row>
    <row r="14352" spans="1:8" x14ac:dyDescent="0.25">
      <c r="A14352" s="1"/>
      <c r="B14352" s="1" t="s">
        <v>5782</v>
      </c>
      <c r="C14352" s="1" t="s">
        <v>5783</v>
      </c>
      <c r="D14352" s="22" t="str">
        <f>HYPERLINK("https://rhld.insurance.arkansas.gov/NPILookup?Npi=1336323534","1336323534")</f>
        <v>1336323534</v>
      </c>
      <c r="E14352" s="1" t="s">
        <v>11691</v>
      </c>
      <c r="F14352" s="2"/>
      <c r="G14352" s="2"/>
      <c r="H14352" s="2"/>
    </row>
    <row r="14353" spans="1:8" x14ac:dyDescent="0.25">
      <c r="A14353" s="1"/>
      <c r="B14353" s="1" t="s">
        <v>5782</v>
      </c>
      <c r="C14353" s="1" t="s">
        <v>5783</v>
      </c>
      <c r="D14353" s="22" t="str">
        <f>HYPERLINK("https://rhld.insurance.arkansas.gov/NPILookup?Npi=1336327196","1336327196")</f>
        <v>1336327196</v>
      </c>
      <c r="E14353" s="1" t="s">
        <v>6179</v>
      </c>
      <c r="F14353" s="2"/>
      <c r="G14353" s="2"/>
      <c r="H14353" s="2"/>
    </row>
    <row r="14354" spans="1:8" x14ac:dyDescent="0.25">
      <c r="A14354" s="1"/>
      <c r="B14354" s="1" t="s">
        <v>5782</v>
      </c>
      <c r="C14354" s="1" t="s">
        <v>5783</v>
      </c>
      <c r="D14354" s="22" t="str">
        <f>HYPERLINK("https://rhld.insurance.arkansas.gov/NPILookup?Npi=1336348317","1336348317")</f>
        <v>1336348317</v>
      </c>
      <c r="E14354" s="1" t="s">
        <v>6180</v>
      </c>
      <c r="F14354" s="2"/>
      <c r="G14354" s="2"/>
      <c r="H14354" s="2"/>
    </row>
    <row r="14355" spans="1:8" x14ac:dyDescent="0.25">
      <c r="A14355" s="1"/>
      <c r="B14355" s="1" t="s">
        <v>5782</v>
      </c>
      <c r="C14355" s="1" t="s">
        <v>5783</v>
      </c>
      <c r="D14355" s="22" t="str">
        <f>HYPERLINK("https://rhld.insurance.arkansas.gov/NPILookup?Npi=1336348788","1336348788")</f>
        <v>1336348788</v>
      </c>
      <c r="E14355" s="1" t="s">
        <v>21871</v>
      </c>
      <c r="F14355" s="2"/>
      <c r="G14355" s="2"/>
      <c r="H14355" s="2"/>
    </row>
    <row r="14356" spans="1:8" x14ac:dyDescent="0.25">
      <c r="A14356" s="1"/>
      <c r="B14356" s="1" t="s">
        <v>5782</v>
      </c>
      <c r="C14356" s="1" t="s">
        <v>5783</v>
      </c>
      <c r="D14356" s="22" t="str">
        <f>HYPERLINK("https://rhld.insurance.arkansas.gov/NPILookup?Npi=1336364009","1336364009")</f>
        <v>1336364009</v>
      </c>
      <c r="E14356" s="1" t="s">
        <v>21872</v>
      </c>
      <c r="F14356" s="2"/>
      <c r="G14356" s="2"/>
      <c r="H14356" s="2"/>
    </row>
    <row r="14357" spans="1:8" x14ac:dyDescent="0.25">
      <c r="A14357" s="1"/>
      <c r="B14357" s="1" t="s">
        <v>5782</v>
      </c>
      <c r="C14357" s="1" t="s">
        <v>5783</v>
      </c>
      <c r="D14357" s="22" t="str">
        <f>HYPERLINK("https://rhld.insurance.arkansas.gov/NPILookup?Npi=1336374586","1336374586")</f>
        <v>1336374586</v>
      </c>
      <c r="E14357" s="1" t="s">
        <v>11692</v>
      </c>
      <c r="F14357" s="2"/>
      <c r="G14357" s="2"/>
      <c r="H14357" s="2"/>
    </row>
    <row r="14358" spans="1:8" x14ac:dyDescent="0.25">
      <c r="A14358" s="1"/>
      <c r="B14358" s="1" t="s">
        <v>5782</v>
      </c>
      <c r="C14358" s="1" t="s">
        <v>5783</v>
      </c>
      <c r="D14358" s="22" t="str">
        <f>HYPERLINK("https://rhld.insurance.arkansas.gov/NPILookup?Npi=1336380559","1336380559")</f>
        <v>1336380559</v>
      </c>
      <c r="E14358" s="1" t="s">
        <v>21873</v>
      </c>
      <c r="F14358" s="2"/>
      <c r="G14358" s="2"/>
      <c r="H14358" s="2"/>
    </row>
    <row r="14359" spans="1:8" x14ac:dyDescent="0.25">
      <c r="A14359" s="1"/>
      <c r="B14359" s="1" t="s">
        <v>5782</v>
      </c>
      <c r="C14359" s="1" t="s">
        <v>5783</v>
      </c>
      <c r="D14359" s="22" t="str">
        <f>HYPERLINK("https://rhld.insurance.arkansas.gov/NPILookup?Npi=1336390673","1336390673")</f>
        <v>1336390673</v>
      </c>
      <c r="E14359" s="1" t="s">
        <v>12866</v>
      </c>
      <c r="F14359" s="2"/>
      <c r="G14359" s="2"/>
      <c r="H14359" s="2"/>
    </row>
    <row r="14360" spans="1:8" x14ac:dyDescent="0.25">
      <c r="A14360" s="1"/>
      <c r="B14360" s="1" t="s">
        <v>5782</v>
      </c>
      <c r="C14360" s="1" t="s">
        <v>5783</v>
      </c>
      <c r="D14360" s="22" t="str">
        <f>HYPERLINK("https://rhld.insurance.arkansas.gov/NPILookup?Npi=1336408533","1336408533")</f>
        <v>1336408533</v>
      </c>
      <c r="E14360" s="1" t="s">
        <v>17521</v>
      </c>
      <c r="F14360" s="2"/>
      <c r="G14360" s="2"/>
      <c r="H14360" s="2"/>
    </row>
    <row r="14361" spans="1:8" x14ac:dyDescent="0.25">
      <c r="A14361" s="1"/>
      <c r="B14361" s="1" t="s">
        <v>5782</v>
      </c>
      <c r="C14361" s="1" t="s">
        <v>5783</v>
      </c>
      <c r="D14361" s="22" t="str">
        <f>HYPERLINK("https://rhld.insurance.arkansas.gov/NPILookup?Npi=1336417823","1336417823")</f>
        <v>1336417823</v>
      </c>
      <c r="E14361" s="1" t="s">
        <v>11693</v>
      </c>
      <c r="F14361" s="2"/>
      <c r="G14361" s="2"/>
      <c r="H14361" s="2"/>
    </row>
    <row r="14362" spans="1:8" x14ac:dyDescent="0.25">
      <c r="A14362" s="1"/>
      <c r="B14362" s="1" t="s">
        <v>5782</v>
      </c>
      <c r="C14362" s="1" t="s">
        <v>5783</v>
      </c>
      <c r="D14362" s="22" t="str">
        <f>HYPERLINK("https://rhld.insurance.arkansas.gov/NPILookup?Npi=1336420298","1336420298")</f>
        <v>1336420298</v>
      </c>
      <c r="E14362" s="1" t="s">
        <v>21874</v>
      </c>
      <c r="F14362" s="2"/>
      <c r="G14362" s="2"/>
      <c r="H14362" s="2"/>
    </row>
    <row r="14363" spans="1:8" x14ac:dyDescent="0.25">
      <c r="A14363" s="1"/>
      <c r="B14363" s="1" t="s">
        <v>5782</v>
      </c>
      <c r="C14363" s="1" t="s">
        <v>5783</v>
      </c>
      <c r="D14363" s="22" t="str">
        <f>HYPERLINK("https://rhld.insurance.arkansas.gov/NPILookup?Npi=1336432236","1336432236")</f>
        <v>1336432236</v>
      </c>
      <c r="E14363" s="1" t="s">
        <v>21875</v>
      </c>
      <c r="F14363" s="2"/>
      <c r="G14363" s="2"/>
      <c r="H14363" s="2"/>
    </row>
    <row r="14364" spans="1:8" x14ac:dyDescent="0.25">
      <c r="A14364" s="1"/>
      <c r="B14364" s="1" t="s">
        <v>5782</v>
      </c>
      <c r="C14364" s="1" t="s">
        <v>5783</v>
      </c>
      <c r="D14364" s="22" t="str">
        <f>HYPERLINK("https://rhld.insurance.arkansas.gov/NPILookup?Npi=1336446384","1336446384")</f>
        <v>1336446384</v>
      </c>
      <c r="E14364" s="1" t="s">
        <v>21876</v>
      </c>
      <c r="F14364" s="2"/>
      <c r="G14364" s="2"/>
      <c r="H14364" s="2"/>
    </row>
    <row r="14365" spans="1:8" x14ac:dyDescent="0.25">
      <c r="A14365" s="1"/>
      <c r="B14365" s="1" t="s">
        <v>5782</v>
      </c>
      <c r="C14365" s="1" t="s">
        <v>5783</v>
      </c>
      <c r="D14365" s="22" t="str">
        <f>HYPERLINK("https://rhld.insurance.arkansas.gov/NPILookup?Npi=1336460393","1336460393")</f>
        <v>1336460393</v>
      </c>
      <c r="E14365" s="1" t="s">
        <v>2223</v>
      </c>
      <c r="F14365" s="2"/>
      <c r="G14365" s="2"/>
      <c r="H14365" s="2"/>
    </row>
    <row r="14366" spans="1:8" x14ac:dyDescent="0.25">
      <c r="A14366" s="1"/>
      <c r="B14366" s="1" t="s">
        <v>5782</v>
      </c>
      <c r="C14366" s="1" t="s">
        <v>5783</v>
      </c>
      <c r="D14366" s="22" t="str">
        <f>HYPERLINK("https://rhld.insurance.arkansas.gov/NPILookup?Npi=1336473248","1336473248")</f>
        <v>1336473248</v>
      </c>
      <c r="E14366" s="1" t="s">
        <v>6181</v>
      </c>
      <c r="F14366" s="2"/>
      <c r="G14366" s="2"/>
      <c r="H14366" s="2"/>
    </row>
    <row r="14367" spans="1:8" x14ac:dyDescent="0.25">
      <c r="A14367" s="1"/>
      <c r="B14367" s="1" t="s">
        <v>5782</v>
      </c>
      <c r="C14367" s="1" t="s">
        <v>5783</v>
      </c>
      <c r="D14367" s="22" t="str">
        <f>HYPERLINK("https://rhld.insurance.arkansas.gov/NPILookup?Npi=1336495936","1336495936")</f>
        <v>1336495936</v>
      </c>
      <c r="E14367" s="1" t="s">
        <v>21877</v>
      </c>
      <c r="F14367" s="2"/>
      <c r="G14367" s="2"/>
      <c r="H14367" s="2"/>
    </row>
    <row r="14368" spans="1:8" x14ac:dyDescent="0.25">
      <c r="A14368" s="1"/>
      <c r="B14368" s="1" t="s">
        <v>5782</v>
      </c>
      <c r="C14368" s="1" t="s">
        <v>5783</v>
      </c>
      <c r="D14368" s="22" t="str">
        <f>HYPERLINK("https://rhld.insurance.arkansas.gov/NPILookup?Npi=1336502152","1336502152")</f>
        <v>1336502152</v>
      </c>
      <c r="E14368" s="1" t="s">
        <v>21878</v>
      </c>
      <c r="F14368" s="2"/>
      <c r="G14368" s="2"/>
      <c r="H14368" s="2"/>
    </row>
    <row r="14369" spans="1:8" x14ac:dyDescent="0.25">
      <c r="A14369" s="1"/>
      <c r="B14369" s="1" t="s">
        <v>5782</v>
      </c>
      <c r="C14369" s="1" t="s">
        <v>5783</v>
      </c>
      <c r="D14369" s="22" t="str">
        <f>HYPERLINK("https://rhld.insurance.arkansas.gov/NPILookup?Npi=1336516897","1336516897")</f>
        <v>1336516897</v>
      </c>
      <c r="E14369" s="1" t="s">
        <v>21879</v>
      </c>
      <c r="F14369" s="2"/>
      <c r="G14369" s="2"/>
      <c r="H14369" s="2"/>
    </row>
    <row r="14370" spans="1:8" x14ac:dyDescent="0.25">
      <c r="A14370" s="1"/>
      <c r="B14370" s="1" t="s">
        <v>5782</v>
      </c>
      <c r="C14370" s="1" t="s">
        <v>5783</v>
      </c>
      <c r="D14370" s="22" t="str">
        <f>HYPERLINK("https://rhld.insurance.arkansas.gov/NPILookup?Npi=1336522291","1336522291")</f>
        <v>1336522291</v>
      </c>
      <c r="E14370" s="1" t="s">
        <v>1133</v>
      </c>
      <c r="F14370" s="2"/>
      <c r="G14370" s="2"/>
      <c r="H14370" s="2"/>
    </row>
    <row r="14371" spans="1:8" x14ac:dyDescent="0.25">
      <c r="A14371" s="1"/>
      <c r="B14371" s="1" t="s">
        <v>5782</v>
      </c>
      <c r="C14371" s="1" t="s">
        <v>5783</v>
      </c>
      <c r="D14371" s="22" t="str">
        <f>HYPERLINK("https://rhld.insurance.arkansas.gov/NPILookup?Npi=1336532977","1336532977")</f>
        <v>1336532977</v>
      </c>
      <c r="E14371" s="1" t="s">
        <v>21881</v>
      </c>
      <c r="F14371" s="2"/>
      <c r="G14371" s="2"/>
      <c r="H14371" s="2"/>
    </row>
    <row r="14372" spans="1:8" x14ac:dyDescent="0.25">
      <c r="A14372" s="1"/>
      <c r="B14372" s="1" t="s">
        <v>5782</v>
      </c>
      <c r="C14372" s="1" t="s">
        <v>5783</v>
      </c>
      <c r="D14372" s="22" t="str">
        <f>HYPERLINK("https://rhld.insurance.arkansas.gov/NPILookup?Npi=1336546068","1336546068")</f>
        <v>1336546068</v>
      </c>
      <c r="E14372" s="1" t="s">
        <v>21882</v>
      </c>
      <c r="F14372" s="2"/>
      <c r="G14372" s="2"/>
      <c r="H14372" s="2"/>
    </row>
    <row r="14373" spans="1:8" x14ac:dyDescent="0.25">
      <c r="A14373" s="1"/>
      <c r="B14373" s="1" t="s">
        <v>5782</v>
      </c>
      <c r="C14373" s="1" t="s">
        <v>5783</v>
      </c>
      <c r="D14373" s="22" t="str">
        <f>HYPERLINK("https://rhld.insurance.arkansas.gov/NPILookup?Npi=1336548528","1336548528")</f>
        <v>1336548528</v>
      </c>
      <c r="E14373" s="1" t="s">
        <v>21883</v>
      </c>
      <c r="F14373" s="2"/>
      <c r="G14373" s="2"/>
      <c r="H14373" s="2"/>
    </row>
    <row r="14374" spans="1:8" x14ac:dyDescent="0.25">
      <c r="A14374" s="1"/>
      <c r="B14374" s="1" t="s">
        <v>5782</v>
      </c>
      <c r="C14374" s="1" t="s">
        <v>5783</v>
      </c>
      <c r="D14374" s="22" t="str">
        <f>HYPERLINK("https://rhld.insurance.arkansas.gov/NPILookup?Npi=1336555309","1336555309")</f>
        <v>1336555309</v>
      </c>
      <c r="E14374" s="1" t="s">
        <v>2177</v>
      </c>
      <c r="F14374" s="2"/>
      <c r="G14374" s="2"/>
      <c r="H14374" s="2"/>
    </row>
    <row r="14375" spans="1:8" x14ac:dyDescent="0.25">
      <c r="A14375" s="1"/>
      <c r="B14375" s="1" t="s">
        <v>5782</v>
      </c>
      <c r="C14375" s="1" t="s">
        <v>5783</v>
      </c>
      <c r="D14375" s="22" t="str">
        <f>HYPERLINK("https://rhld.insurance.arkansas.gov/NPILookup?Npi=1336559699","1336559699")</f>
        <v>1336559699</v>
      </c>
      <c r="E14375" s="1" t="s">
        <v>2473</v>
      </c>
      <c r="F14375" s="2"/>
      <c r="G14375" s="2"/>
      <c r="H14375" s="2"/>
    </row>
    <row r="14376" spans="1:8" x14ac:dyDescent="0.25">
      <c r="A14376" s="1"/>
      <c r="B14376" s="1" t="s">
        <v>5782</v>
      </c>
      <c r="C14376" s="1" t="s">
        <v>5783</v>
      </c>
      <c r="D14376" s="22" t="str">
        <f>HYPERLINK("https://rhld.insurance.arkansas.gov/NPILookup?Npi=1336566009","1336566009")</f>
        <v>1336566009</v>
      </c>
      <c r="E14376" s="1" t="s">
        <v>3263</v>
      </c>
      <c r="F14376" s="2"/>
      <c r="G14376" s="2"/>
      <c r="H14376" s="2"/>
    </row>
    <row r="14377" spans="1:8" x14ac:dyDescent="0.25">
      <c r="A14377" s="1"/>
      <c r="B14377" s="1" t="s">
        <v>5782</v>
      </c>
      <c r="C14377" s="1" t="s">
        <v>5783</v>
      </c>
      <c r="D14377" s="22" t="str">
        <f>HYPERLINK("https://rhld.insurance.arkansas.gov/NPILookup?Npi=1336603117","1336603117")</f>
        <v>1336603117</v>
      </c>
      <c r="E14377" s="1" t="s">
        <v>21884</v>
      </c>
      <c r="F14377" s="2"/>
      <c r="G14377" s="2"/>
      <c r="H14377" s="2"/>
    </row>
    <row r="14378" spans="1:8" x14ac:dyDescent="0.25">
      <c r="A14378" s="1"/>
      <c r="B14378" s="1" t="s">
        <v>5782</v>
      </c>
      <c r="C14378" s="1" t="s">
        <v>5783</v>
      </c>
      <c r="D14378" s="22" t="str">
        <f>HYPERLINK("https://rhld.insurance.arkansas.gov/NPILookup?Npi=1336612811","1336612811")</f>
        <v>1336612811</v>
      </c>
      <c r="E14378" s="1" t="s">
        <v>21885</v>
      </c>
      <c r="F14378" s="2"/>
      <c r="G14378" s="2"/>
      <c r="H14378" s="2"/>
    </row>
    <row r="14379" spans="1:8" x14ac:dyDescent="0.25">
      <c r="A14379" s="1"/>
      <c r="B14379" s="1" t="s">
        <v>5782</v>
      </c>
      <c r="C14379" s="1" t="s">
        <v>5783</v>
      </c>
      <c r="D14379" s="22" t="str">
        <f>HYPERLINK("https://rhld.insurance.arkansas.gov/NPILookup?Npi=1336619261","1336619261")</f>
        <v>1336619261</v>
      </c>
      <c r="E14379" s="1" t="s">
        <v>4391</v>
      </c>
      <c r="F14379" s="2"/>
      <c r="G14379" s="2"/>
      <c r="H14379" s="2"/>
    </row>
    <row r="14380" spans="1:8" x14ac:dyDescent="0.25">
      <c r="A14380" s="1"/>
      <c r="B14380" s="1" t="s">
        <v>5782</v>
      </c>
      <c r="C14380" s="1" t="s">
        <v>5783</v>
      </c>
      <c r="D14380" s="22" t="str">
        <f>HYPERLINK("https://rhld.insurance.arkansas.gov/NPILookup?Npi=1336630052","1336630052")</f>
        <v>1336630052</v>
      </c>
      <c r="E14380" s="1" t="s">
        <v>1859</v>
      </c>
      <c r="F14380" s="2"/>
      <c r="G14380" s="2"/>
      <c r="H14380" s="2"/>
    </row>
    <row r="14381" spans="1:8" x14ac:dyDescent="0.25">
      <c r="A14381" s="1"/>
      <c r="B14381" s="1" t="s">
        <v>5782</v>
      </c>
      <c r="C14381" s="1" t="s">
        <v>5783</v>
      </c>
      <c r="D14381" s="22" t="str">
        <f>HYPERLINK("https://rhld.insurance.arkansas.gov/NPILookup?Npi=1336630425","1336630425")</f>
        <v>1336630425</v>
      </c>
      <c r="E14381" s="1" t="s">
        <v>21886</v>
      </c>
      <c r="F14381" s="2"/>
      <c r="G14381" s="2"/>
      <c r="H14381" s="2"/>
    </row>
    <row r="14382" spans="1:8" x14ac:dyDescent="0.25">
      <c r="A14382" s="1"/>
      <c r="B14382" s="1" t="s">
        <v>5782</v>
      </c>
      <c r="C14382" s="1" t="s">
        <v>5783</v>
      </c>
      <c r="D14382" s="22" t="str">
        <f>HYPERLINK("https://rhld.insurance.arkansas.gov/NPILookup?Npi=1336643097","1336643097")</f>
        <v>1336643097</v>
      </c>
      <c r="E14382" s="1" t="s">
        <v>5977</v>
      </c>
      <c r="F14382" s="2"/>
      <c r="G14382" s="2"/>
      <c r="H14382" s="2"/>
    </row>
    <row r="14383" spans="1:8" x14ac:dyDescent="0.25">
      <c r="A14383" s="1"/>
      <c r="B14383" s="1" t="s">
        <v>5782</v>
      </c>
      <c r="C14383" s="1" t="s">
        <v>5783</v>
      </c>
      <c r="D14383" s="22" t="str">
        <f>HYPERLINK("https://rhld.insurance.arkansas.gov/NPILookup?Npi=1336646561","1336646561")</f>
        <v>1336646561</v>
      </c>
      <c r="E14383" s="1" t="s">
        <v>21887</v>
      </c>
      <c r="F14383" s="2"/>
      <c r="G14383" s="2"/>
      <c r="H14383" s="2"/>
    </row>
    <row r="14384" spans="1:8" x14ac:dyDescent="0.25">
      <c r="A14384" s="1"/>
      <c r="B14384" s="1" t="s">
        <v>5782</v>
      </c>
      <c r="C14384" s="1" t="s">
        <v>5783</v>
      </c>
      <c r="D14384" s="22" t="str">
        <f>HYPERLINK("https://rhld.insurance.arkansas.gov/NPILookup?Npi=1336650589","1336650589")</f>
        <v>1336650589</v>
      </c>
      <c r="E14384" s="1" t="s">
        <v>21888</v>
      </c>
      <c r="F14384" s="2"/>
      <c r="G14384" s="2"/>
      <c r="H14384" s="2"/>
    </row>
    <row r="14385" spans="1:8" x14ac:dyDescent="0.25">
      <c r="A14385" s="1"/>
      <c r="B14385" s="1" t="s">
        <v>5782</v>
      </c>
      <c r="C14385" s="1" t="s">
        <v>5783</v>
      </c>
      <c r="D14385" s="22" t="str">
        <f>HYPERLINK("https://rhld.insurance.arkansas.gov/NPILookup?Npi=1336660935","1336660935")</f>
        <v>1336660935</v>
      </c>
      <c r="E14385" s="1" t="s">
        <v>11694</v>
      </c>
      <c r="F14385" s="2"/>
      <c r="G14385" s="2"/>
      <c r="H14385" s="2"/>
    </row>
    <row r="14386" spans="1:8" x14ac:dyDescent="0.25">
      <c r="A14386" s="1"/>
      <c r="B14386" s="1" t="s">
        <v>5782</v>
      </c>
      <c r="C14386" s="1" t="s">
        <v>5783</v>
      </c>
      <c r="D14386" s="22" t="str">
        <f>HYPERLINK("https://rhld.insurance.arkansas.gov/NPILookup?Npi=1336668102","1336668102")</f>
        <v>1336668102</v>
      </c>
      <c r="E14386" s="1" t="s">
        <v>11695</v>
      </c>
      <c r="F14386" s="2"/>
      <c r="G14386" s="2"/>
      <c r="H14386" s="2"/>
    </row>
    <row r="14387" spans="1:8" x14ac:dyDescent="0.25">
      <c r="A14387" s="1"/>
      <c r="B14387" s="1" t="s">
        <v>5782</v>
      </c>
      <c r="C14387" s="1" t="s">
        <v>5783</v>
      </c>
      <c r="D14387" s="22" t="str">
        <f>HYPERLINK("https://rhld.insurance.arkansas.gov/NPILookup?Npi=1336675297","1336675297")</f>
        <v>1336675297</v>
      </c>
      <c r="E14387" s="1" t="s">
        <v>6183</v>
      </c>
      <c r="F14387" s="2"/>
      <c r="G14387" s="2"/>
      <c r="H14387" s="2"/>
    </row>
    <row r="14388" spans="1:8" x14ac:dyDescent="0.25">
      <c r="A14388" s="1"/>
      <c r="B14388" s="1" t="s">
        <v>5782</v>
      </c>
      <c r="C14388" s="1" t="s">
        <v>5783</v>
      </c>
      <c r="D14388" s="22" t="str">
        <f>HYPERLINK("https://rhld.insurance.arkansas.gov/NPILookup?Npi=1336693258","1336693258")</f>
        <v>1336693258</v>
      </c>
      <c r="E14388" s="1" t="s">
        <v>21889</v>
      </c>
      <c r="F14388" s="2"/>
      <c r="G14388" s="2"/>
      <c r="H14388" s="2"/>
    </row>
    <row r="14389" spans="1:8" x14ac:dyDescent="0.25">
      <c r="A14389" s="1"/>
      <c r="B14389" s="1" t="s">
        <v>5782</v>
      </c>
      <c r="C14389" s="1" t="s">
        <v>5783</v>
      </c>
      <c r="D14389" s="22" t="str">
        <f>HYPERLINK("https://rhld.insurance.arkansas.gov/NPILookup?Npi=1336698059","1336698059")</f>
        <v>1336698059</v>
      </c>
      <c r="E14389" s="1" t="s">
        <v>6184</v>
      </c>
      <c r="F14389" s="2"/>
      <c r="G14389" s="2"/>
      <c r="H14389" s="2"/>
    </row>
    <row r="14390" spans="1:8" x14ac:dyDescent="0.25">
      <c r="A14390" s="1"/>
      <c r="B14390" s="1" t="s">
        <v>5782</v>
      </c>
      <c r="C14390" s="1" t="s">
        <v>5783</v>
      </c>
      <c r="D14390" s="22" t="str">
        <f>HYPERLINK("https://rhld.insurance.arkansas.gov/NPILookup?Npi=1336749290","1336749290")</f>
        <v>1336749290</v>
      </c>
      <c r="E14390" s="1" t="s">
        <v>21890</v>
      </c>
      <c r="F14390" s="2"/>
      <c r="G14390" s="2"/>
      <c r="H14390" s="2"/>
    </row>
    <row r="14391" spans="1:8" x14ac:dyDescent="0.25">
      <c r="A14391" s="1"/>
      <c r="B14391" s="1" t="s">
        <v>5782</v>
      </c>
      <c r="C14391" s="1" t="s">
        <v>5783</v>
      </c>
      <c r="D14391" s="22" t="str">
        <f>HYPERLINK("https://rhld.insurance.arkansas.gov/NPILookup?Npi=1336762855","1336762855")</f>
        <v>1336762855</v>
      </c>
      <c r="E14391" s="1" t="s">
        <v>21891</v>
      </c>
      <c r="F14391" s="2"/>
      <c r="G14391" s="2"/>
      <c r="H14391" s="2"/>
    </row>
    <row r="14392" spans="1:8" x14ac:dyDescent="0.25">
      <c r="A14392" s="1"/>
      <c r="B14392" s="1" t="s">
        <v>5782</v>
      </c>
      <c r="C14392" s="1" t="s">
        <v>5783</v>
      </c>
      <c r="D14392" s="22" t="str">
        <f>HYPERLINK("https://rhld.insurance.arkansas.gov/NPILookup?Npi=1336780444","1336780444")</f>
        <v>1336780444</v>
      </c>
      <c r="E14392" s="1" t="s">
        <v>11696</v>
      </c>
      <c r="F14392" s="2"/>
      <c r="G14392" s="2"/>
      <c r="H14392" s="2"/>
    </row>
    <row r="14393" spans="1:8" x14ac:dyDescent="0.25">
      <c r="A14393" s="1"/>
      <c r="B14393" s="1" t="s">
        <v>5782</v>
      </c>
      <c r="C14393" s="1" t="s">
        <v>5783</v>
      </c>
      <c r="D14393" s="22" t="str">
        <f>HYPERLINK("https://rhld.insurance.arkansas.gov/NPILookup?Npi=1336782762","1336782762")</f>
        <v>1336782762</v>
      </c>
      <c r="E14393" s="1" t="s">
        <v>21892</v>
      </c>
      <c r="F14393" s="2"/>
      <c r="G14393" s="2"/>
      <c r="H14393" s="2"/>
    </row>
    <row r="14394" spans="1:8" x14ac:dyDescent="0.25">
      <c r="A14394" s="1"/>
      <c r="B14394" s="1" t="s">
        <v>5782</v>
      </c>
      <c r="C14394" s="1" t="s">
        <v>5783</v>
      </c>
      <c r="D14394" s="22" t="str">
        <f>HYPERLINK("https://rhld.insurance.arkansas.gov/NPILookup?Npi=1336796960","1336796960")</f>
        <v>1336796960</v>
      </c>
      <c r="E14394" s="1" t="s">
        <v>21893</v>
      </c>
      <c r="F14394" s="2"/>
      <c r="G14394" s="2"/>
      <c r="H14394" s="2"/>
    </row>
    <row r="14395" spans="1:8" x14ac:dyDescent="0.25">
      <c r="A14395" s="1"/>
      <c r="B14395" s="1" t="s">
        <v>5782</v>
      </c>
      <c r="C14395" s="1" t="s">
        <v>5783</v>
      </c>
      <c r="D14395" s="22" t="str">
        <f>HYPERLINK("https://rhld.insurance.arkansas.gov/NPILookup?Npi=1336804467","1336804467")</f>
        <v>1336804467</v>
      </c>
      <c r="E14395" s="1" t="s">
        <v>21894</v>
      </c>
      <c r="F14395" s="2"/>
      <c r="G14395" s="2"/>
      <c r="H14395" s="2"/>
    </row>
    <row r="14396" spans="1:8" x14ac:dyDescent="0.25">
      <c r="A14396" s="1"/>
      <c r="B14396" s="1" t="s">
        <v>5782</v>
      </c>
      <c r="C14396" s="1" t="s">
        <v>5783</v>
      </c>
      <c r="D14396" s="22" t="str">
        <f>HYPERLINK("https://rhld.insurance.arkansas.gov/NPILookup?Npi=1336816750","1336816750")</f>
        <v>1336816750</v>
      </c>
      <c r="E14396" s="1" t="s">
        <v>11697</v>
      </c>
      <c r="F14396" s="2"/>
      <c r="G14396" s="2"/>
      <c r="H14396" s="2"/>
    </row>
    <row r="14397" spans="1:8" x14ac:dyDescent="0.25">
      <c r="A14397" s="1"/>
      <c r="B14397" s="1" t="s">
        <v>5782</v>
      </c>
      <c r="C14397" s="1" t="s">
        <v>5783</v>
      </c>
      <c r="D14397" s="22" t="str">
        <f>HYPERLINK("https://rhld.insurance.arkansas.gov/NPILookup?Npi=1336852243","1336852243")</f>
        <v>1336852243</v>
      </c>
      <c r="E14397" s="1" t="s">
        <v>7066</v>
      </c>
      <c r="F14397" s="2"/>
      <c r="G14397" s="2"/>
      <c r="H14397" s="2"/>
    </row>
    <row r="14398" spans="1:8" x14ac:dyDescent="0.25">
      <c r="A14398" s="1"/>
      <c r="B14398" s="1" t="s">
        <v>5782</v>
      </c>
      <c r="C14398" s="1" t="s">
        <v>5783</v>
      </c>
      <c r="D14398" s="22" t="str">
        <f>HYPERLINK("https://rhld.insurance.arkansas.gov/NPILookup?Npi=1336865492","1336865492")</f>
        <v>1336865492</v>
      </c>
      <c r="E14398" s="1" t="s">
        <v>21895</v>
      </c>
      <c r="F14398" s="2"/>
      <c r="G14398" s="2"/>
      <c r="H14398" s="2"/>
    </row>
    <row r="14399" spans="1:8" x14ac:dyDescent="0.25">
      <c r="A14399" s="1"/>
      <c r="B14399" s="1" t="s">
        <v>5782</v>
      </c>
      <c r="C14399" s="1" t="s">
        <v>5783</v>
      </c>
      <c r="D14399" s="22" t="str">
        <f>HYPERLINK("https://rhld.insurance.arkansas.gov/NPILookup?Npi=1336867670","1336867670")</f>
        <v>1336867670</v>
      </c>
      <c r="E14399" s="1" t="s">
        <v>31856</v>
      </c>
      <c r="F14399" s="2"/>
      <c r="G14399" s="2"/>
      <c r="H14399" s="2"/>
    </row>
    <row r="14400" spans="1:8" x14ac:dyDescent="0.25">
      <c r="A14400" s="1"/>
      <c r="B14400" s="1" t="s">
        <v>5782</v>
      </c>
      <c r="C14400" s="1" t="s">
        <v>5783</v>
      </c>
      <c r="D14400" s="22" t="str">
        <f>HYPERLINK("https://rhld.insurance.arkansas.gov/NPILookup?Npi=1336877307","1336877307")</f>
        <v>1336877307</v>
      </c>
      <c r="E14400" s="1" t="s">
        <v>6185</v>
      </c>
      <c r="F14400" s="2"/>
      <c r="G14400" s="2"/>
      <c r="H14400" s="2"/>
    </row>
    <row r="14401" spans="1:8" x14ac:dyDescent="0.25">
      <c r="A14401" s="1"/>
      <c r="B14401" s="1" t="s">
        <v>5782</v>
      </c>
      <c r="C14401" s="1" t="s">
        <v>5783</v>
      </c>
      <c r="D14401" s="22" t="str">
        <f>HYPERLINK("https://rhld.insurance.arkansas.gov/NPILookup?Npi=1336894492","1336894492")</f>
        <v>1336894492</v>
      </c>
      <c r="E14401" s="1" t="s">
        <v>2474</v>
      </c>
      <c r="F14401" s="2"/>
      <c r="G14401" s="2"/>
      <c r="H14401" s="2"/>
    </row>
    <row r="14402" spans="1:8" x14ac:dyDescent="0.25">
      <c r="A14402" s="1"/>
      <c r="B14402" s="1" t="s">
        <v>5782</v>
      </c>
      <c r="C14402" s="1" t="s">
        <v>5783</v>
      </c>
      <c r="D14402" s="22" t="str">
        <f>HYPERLINK("https://rhld.insurance.arkansas.gov/NPILookup?Npi=1336914175","1336914175")</f>
        <v>1336914175</v>
      </c>
      <c r="E14402" s="1" t="s">
        <v>6186</v>
      </c>
      <c r="F14402" s="2"/>
      <c r="G14402" s="2"/>
      <c r="H14402" s="2"/>
    </row>
    <row r="14403" spans="1:8" x14ac:dyDescent="0.25">
      <c r="A14403" s="1"/>
      <c r="B14403" s="1" t="s">
        <v>5782</v>
      </c>
      <c r="C14403" s="1" t="s">
        <v>5783</v>
      </c>
      <c r="D14403" s="22" t="str">
        <f>HYPERLINK("https://rhld.insurance.arkansas.gov/NPILookup?Npi=1336919638","1336919638")</f>
        <v>1336919638</v>
      </c>
      <c r="E14403" s="1" t="s">
        <v>6187</v>
      </c>
      <c r="F14403" s="2"/>
      <c r="G14403" s="2"/>
      <c r="H14403" s="2"/>
    </row>
    <row r="14404" spans="1:8" x14ac:dyDescent="0.25">
      <c r="A14404" s="1"/>
      <c r="B14404" s="1" t="s">
        <v>5782</v>
      </c>
      <c r="C14404" s="1" t="s">
        <v>5783</v>
      </c>
      <c r="D14404" s="22" t="str">
        <f>HYPERLINK("https://rhld.insurance.arkansas.gov/NPILookup?Npi=1336921105","1336921105")</f>
        <v>1336921105</v>
      </c>
      <c r="E14404" s="1" t="s">
        <v>951</v>
      </c>
      <c r="F14404" s="2"/>
      <c r="G14404" s="2"/>
      <c r="H14404" s="2"/>
    </row>
    <row r="14405" spans="1:8" x14ac:dyDescent="0.25">
      <c r="A14405" s="1"/>
      <c r="B14405" s="1" t="s">
        <v>5782</v>
      </c>
      <c r="C14405" s="1" t="s">
        <v>5783</v>
      </c>
      <c r="D14405" s="22" t="str">
        <f>HYPERLINK("https://rhld.insurance.arkansas.gov/NPILookup?Npi=1346056413","1346056413")</f>
        <v>1346056413</v>
      </c>
      <c r="E14405" s="1" t="s">
        <v>31857</v>
      </c>
      <c r="F14405" s="2"/>
      <c r="G14405" s="2"/>
      <c r="H14405" s="2"/>
    </row>
    <row r="14406" spans="1:8" x14ac:dyDescent="0.25">
      <c r="A14406" s="1"/>
      <c r="B14406" s="1" t="s">
        <v>5782</v>
      </c>
      <c r="C14406" s="1" t="s">
        <v>5783</v>
      </c>
      <c r="D14406" s="22" t="str">
        <f>HYPERLINK("https://rhld.insurance.arkansas.gov/NPILookup?Npi=1346215324","1346215324")</f>
        <v>1346215324</v>
      </c>
      <c r="E14406" s="1" t="s">
        <v>21896</v>
      </c>
      <c r="F14406" s="2"/>
      <c r="G14406" s="2"/>
      <c r="H14406" s="2"/>
    </row>
    <row r="14407" spans="1:8" x14ac:dyDescent="0.25">
      <c r="A14407" s="1"/>
      <c r="B14407" s="1" t="s">
        <v>5782</v>
      </c>
      <c r="C14407" s="1" t="s">
        <v>5783</v>
      </c>
      <c r="D14407" s="22" t="str">
        <f>HYPERLINK("https://rhld.insurance.arkansas.gov/NPILookup?Npi=1346219599","1346219599")</f>
        <v>1346219599</v>
      </c>
      <c r="E14407" s="1" t="s">
        <v>21897</v>
      </c>
      <c r="F14407" s="2"/>
      <c r="G14407" s="2"/>
      <c r="H14407" s="2"/>
    </row>
    <row r="14408" spans="1:8" x14ac:dyDescent="0.25">
      <c r="A14408" s="1"/>
      <c r="B14408" s="1" t="s">
        <v>5782</v>
      </c>
      <c r="C14408" s="1" t="s">
        <v>5783</v>
      </c>
      <c r="D14408" s="22" t="str">
        <f>HYPERLINK("https://rhld.insurance.arkansas.gov/NPILookup?Npi=1346295318","1346295318")</f>
        <v>1346295318</v>
      </c>
      <c r="E14408" s="1" t="s">
        <v>21898</v>
      </c>
      <c r="F14408" s="2"/>
      <c r="G14408" s="2"/>
      <c r="H14408" s="2"/>
    </row>
    <row r="14409" spans="1:8" x14ac:dyDescent="0.25">
      <c r="A14409" s="1"/>
      <c r="B14409" s="1" t="s">
        <v>5782</v>
      </c>
      <c r="C14409" s="1" t="s">
        <v>5783</v>
      </c>
      <c r="D14409" s="22" t="str">
        <f>HYPERLINK("https://rhld.insurance.arkansas.gov/NPILookup?Npi=1346339066","1346339066")</f>
        <v>1346339066</v>
      </c>
      <c r="E14409" s="1" t="s">
        <v>21899</v>
      </c>
      <c r="F14409" s="2"/>
      <c r="G14409" s="2"/>
      <c r="H14409" s="2"/>
    </row>
    <row r="14410" spans="1:8" x14ac:dyDescent="0.25">
      <c r="A14410" s="1"/>
      <c r="B14410" s="1" t="s">
        <v>5782</v>
      </c>
      <c r="C14410" s="1" t="s">
        <v>5783</v>
      </c>
      <c r="D14410" s="22" t="str">
        <f>HYPERLINK("https://rhld.insurance.arkansas.gov/NPILookup?Npi=1346368339","1346368339")</f>
        <v>1346368339</v>
      </c>
      <c r="E14410" s="1" t="s">
        <v>21900</v>
      </c>
      <c r="F14410" s="2"/>
      <c r="G14410" s="2"/>
      <c r="H14410" s="2"/>
    </row>
    <row r="14411" spans="1:8" x14ac:dyDescent="0.25">
      <c r="A14411" s="1"/>
      <c r="B14411" s="1" t="s">
        <v>5782</v>
      </c>
      <c r="C14411" s="1" t="s">
        <v>5783</v>
      </c>
      <c r="D14411" s="22" t="str">
        <f>HYPERLINK("https://rhld.insurance.arkansas.gov/NPILookup?Npi=1346375672","1346375672")</f>
        <v>1346375672</v>
      </c>
      <c r="E14411" s="1" t="s">
        <v>3264</v>
      </c>
      <c r="F14411" s="2"/>
      <c r="G14411" s="2"/>
      <c r="H14411" s="2"/>
    </row>
    <row r="14412" spans="1:8" x14ac:dyDescent="0.25">
      <c r="A14412" s="1"/>
      <c r="B14412" s="1" t="s">
        <v>5782</v>
      </c>
      <c r="C14412" s="1" t="s">
        <v>5783</v>
      </c>
      <c r="D14412" s="22" t="str">
        <f>HYPERLINK("https://rhld.insurance.arkansas.gov/NPILookup?Npi=1346404720","1346404720")</f>
        <v>1346404720</v>
      </c>
      <c r="E14412" s="1" t="s">
        <v>6188</v>
      </c>
      <c r="F14412" s="2"/>
      <c r="G14412" s="2"/>
      <c r="H14412" s="2"/>
    </row>
    <row r="14413" spans="1:8" x14ac:dyDescent="0.25">
      <c r="A14413" s="1"/>
      <c r="B14413" s="1" t="s">
        <v>5782</v>
      </c>
      <c r="C14413" s="1" t="s">
        <v>5783</v>
      </c>
      <c r="D14413" s="22" t="str">
        <f>HYPERLINK("https://rhld.insurance.arkansas.gov/NPILookup?Npi=1346406311","1346406311")</f>
        <v>1346406311</v>
      </c>
      <c r="E14413" s="1" t="s">
        <v>21901</v>
      </c>
      <c r="F14413" s="2"/>
      <c r="G14413" s="2"/>
      <c r="H14413" s="2"/>
    </row>
    <row r="14414" spans="1:8" x14ac:dyDescent="0.25">
      <c r="A14414" s="1"/>
      <c r="B14414" s="1" t="s">
        <v>5782</v>
      </c>
      <c r="C14414" s="1" t="s">
        <v>5783</v>
      </c>
      <c r="D14414" s="22" t="str">
        <f>HYPERLINK("https://rhld.insurance.arkansas.gov/NPILookup?Npi=1346410628","1346410628")</f>
        <v>1346410628</v>
      </c>
      <c r="E14414" s="1" t="s">
        <v>345</v>
      </c>
      <c r="F14414" s="2"/>
      <c r="G14414" s="2"/>
      <c r="H14414" s="2"/>
    </row>
    <row r="14415" spans="1:8" x14ac:dyDescent="0.25">
      <c r="A14415" s="1"/>
      <c r="B14415" s="1" t="s">
        <v>5782</v>
      </c>
      <c r="C14415" s="1" t="s">
        <v>5783</v>
      </c>
      <c r="D14415" s="22" t="str">
        <f>HYPERLINK("https://rhld.insurance.arkansas.gov/NPILookup?Npi=1346418514","1346418514")</f>
        <v>1346418514</v>
      </c>
      <c r="E14415" s="1" t="s">
        <v>21902</v>
      </c>
      <c r="F14415" s="2"/>
      <c r="G14415" s="2"/>
      <c r="H14415" s="2"/>
    </row>
    <row r="14416" spans="1:8" x14ac:dyDescent="0.25">
      <c r="A14416" s="1"/>
      <c r="B14416" s="1" t="s">
        <v>5782</v>
      </c>
      <c r="C14416" s="1" t="s">
        <v>5783</v>
      </c>
      <c r="D14416" s="22" t="str">
        <f>HYPERLINK("https://rhld.insurance.arkansas.gov/NPILookup?Npi=1346420809","1346420809")</f>
        <v>1346420809</v>
      </c>
      <c r="E14416" s="1" t="s">
        <v>1923</v>
      </c>
      <c r="F14416" s="2"/>
      <c r="G14416" s="2"/>
      <c r="H14416" s="2"/>
    </row>
    <row r="14417" spans="1:8" x14ac:dyDescent="0.25">
      <c r="A14417" s="1"/>
      <c r="B14417" s="1" t="s">
        <v>5782</v>
      </c>
      <c r="C14417" s="1" t="s">
        <v>5783</v>
      </c>
      <c r="D14417" s="22" t="str">
        <f>HYPERLINK("https://rhld.insurance.arkansas.gov/NPILookup?Npi=1346427093","1346427093")</f>
        <v>1346427093</v>
      </c>
      <c r="E14417" s="1" t="s">
        <v>21903</v>
      </c>
      <c r="F14417" s="2"/>
      <c r="G14417" s="2"/>
      <c r="H14417" s="2"/>
    </row>
    <row r="14418" spans="1:8" x14ac:dyDescent="0.25">
      <c r="A14418" s="1"/>
      <c r="B14418" s="1" t="s">
        <v>5782</v>
      </c>
      <c r="C14418" s="1" t="s">
        <v>5783</v>
      </c>
      <c r="D14418" s="22" t="str">
        <f>HYPERLINK("https://rhld.insurance.arkansas.gov/NPILookup?Npi=1346427549","1346427549")</f>
        <v>1346427549</v>
      </c>
      <c r="E14418" s="1" t="s">
        <v>21904</v>
      </c>
      <c r="F14418" s="2"/>
      <c r="G14418" s="2"/>
      <c r="H14418" s="2"/>
    </row>
    <row r="14419" spans="1:8" x14ac:dyDescent="0.25">
      <c r="A14419" s="1"/>
      <c r="B14419" s="1" t="s">
        <v>5782</v>
      </c>
      <c r="C14419" s="1" t="s">
        <v>5783</v>
      </c>
      <c r="D14419" s="22" t="str">
        <f>HYPERLINK("https://rhld.insurance.arkansas.gov/NPILookup?Npi=1346429446","1346429446")</f>
        <v>1346429446</v>
      </c>
      <c r="E14419" s="1" t="s">
        <v>21905</v>
      </c>
      <c r="F14419" s="2"/>
      <c r="G14419" s="2"/>
      <c r="H14419" s="2"/>
    </row>
    <row r="14420" spans="1:8" x14ac:dyDescent="0.25">
      <c r="A14420" s="1"/>
      <c r="B14420" s="1" t="s">
        <v>5782</v>
      </c>
      <c r="C14420" s="1" t="s">
        <v>5783</v>
      </c>
      <c r="D14420" s="22" t="str">
        <f>HYPERLINK("https://rhld.insurance.arkansas.gov/NPILookup?Npi=1346447539","1346447539")</f>
        <v>1346447539</v>
      </c>
      <c r="E14420" s="1" t="s">
        <v>5619</v>
      </c>
      <c r="F14420" s="2"/>
      <c r="G14420" s="2"/>
      <c r="H14420" s="2"/>
    </row>
    <row r="14421" spans="1:8" x14ac:dyDescent="0.25">
      <c r="A14421" s="1"/>
      <c r="B14421" s="1" t="s">
        <v>5782</v>
      </c>
      <c r="C14421" s="1" t="s">
        <v>5783</v>
      </c>
      <c r="D14421" s="22" t="str">
        <f>HYPERLINK("https://rhld.insurance.arkansas.gov/NPILookup?Npi=1346455169","1346455169")</f>
        <v>1346455169</v>
      </c>
      <c r="E14421" s="1" t="s">
        <v>21906</v>
      </c>
      <c r="F14421" s="2"/>
      <c r="G14421" s="2"/>
      <c r="H14421" s="2"/>
    </row>
    <row r="14422" spans="1:8" x14ac:dyDescent="0.25">
      <c r="A14422" s="1"/>
      <c r="B14422" s="1" t="s">
        <v>5782</v>
      </c>
      <c r="C14422" s="1" t="s">
        <v>5783</v>
      </c>
      <c r="D14422" s="22" t="str">
        <f>HYPERLINK("https://rhld.insurance.arkansas.gov/NPILookup?Npi=1346472941","1346472941")</f>
        <v>1346472941</v>
      </c>
      <c r="E14422" s="1" t="s">
        <v>856</v>
      </c>
      <c r="F14422" s="2"/>
      <c r="G14422" s="2"/>
      <c r="H14422" s="2"/>
    </row>
    <row r="14423" spans="1:8" x14ac:dyDescent="0.25">
      <c r="A14423" s="1"/>
      <c r="B14423" s="1" t="s">
        <v>5782</v>
      </c>
      <c r="C14423" s="1" t="s">
        <v>5783</v>
      </c>
      <c r="D14423" s="22" t="str">
        <f>HYPERLINK("https://rhld.insurance.arkansas.gov/NPILookup?Npi=1346476165","1346476165")</f>
        <v>1346476165</v>
      </c>
      <c r="E14423" s="1" t="s">
        <v>3265</v>
      </c>
      <c r="F14423" s="2"/>
      <c r="G14423" s="2"/>
      <c r="H14423" s="2"/>
    </row>
    <row r="14424" spans="1:8" x14ac:dyDescent="0.25">
      <c r="A14424" s="1"/>
      <c r="B14424" s="1" t="s">
        <v>5782</v>
      </c>
      <c r="C14424" s="1" t="s">
        <v>5783</v>
      </c>
      <c r="D14424" s="22" t="str">
        <f>HYPERLINK("https://rhld.insurance.arkansas.gov/NPILookup?Npi=1346476504","1346476504")</f>
        <v>1346476504</v>
      </c>
      <c r="E14424" s="1" t="s">
        <v>21907</v>
      </c>
      <c r="F14424" s="2"/>
      <c r="G14424" s="2"/>
      <c r="H14424" s="2"/>
    </row>
    <row r="14425" spans="1:8" x14ac:dyDescent="0.25">
      <c r="A14425" s="1"/>
      <c r="B14425" s="1" t="s">
        <v>5782</v>
      </c>
      <c r="C14425" s="1" t="s">
        <v>5783</v>
      </c>
      <c r="D14425" s="22" t="str">
        <f>HYPERLINK("https://rhld.insurance.arkansas.gov/NPILookup?Npi=1346486834","1346486834")</f>
        <v>1346486834</v>
      </c>
      <c r="E14425" s="1" t="s">
        <v>6190</v>
      </c>
      <c r="F14425" s="2"/>
      <c r="G14425" s="2"/>
      <c r="H14425" s="2"/>
    </row>
    <row r="14426" spans="1:8" x14ac:dyDescent="0.25">
      <c r="A14426" s="1"/>
      <c r="B14426" s="1" t="s">
        <v>5782</v>
      </c>
      <c r="C14426" s="1" t="s">
        <v>5783</v>
      </c>
      <c r="D14426" s="22" t="str">
        <f>HYPERLINK("https://rhld.insurance.arkansas.gov/NPILookup?Npi=1346491321","1346491321")</f>
        <v>1346491321</v>
      </c>
      <c r="E14426" s="1" t="s">
        <v>16397</v>
      </c>
      <c r="F14426" s="2"/>
      <c r="G14426" s="2"/>
      <c r="H14426" s="2"/>
    </row>
    <row r="14427" spans="1:8" x14ac:dyDescent="0.25">
      <c r="A14427" s="1"/>
      <c r="B14427" s="1" t="s">
        <v>5782</v>
      </c>
      <c r="C14427" s="1" t="s">
        <v>5783</v>
      </c>
      <c r="D14427" s="22" t="str">
        <f>HYPERLINK("https://rhld.insurance.arkansas.gov/NPILookup?Npi=1346492691","1346492691")</f>
        <v>1346492691</v>
      </c>
      <c r="E14427" s="1" t="s">
        <v>3266</v>
      </c>
      <c r="F14427" s="2"/>
      <c r="G14427" s="2"/>
      <c r="H14427" s="2"/>
    </row>
    <row r="14428" spans="1:8" x14ac:dyDescent="0.25">
      <c r="A14428" s="1"/>
      <c r="B14428" s="1" t="s">
        <v>5782</v>
      </c>
      <c r="C14428" s="1" t="s">
        <v>5783</v>
      </c>
      <c r="D14428" s="22" t="str">
        <f>HYPERLINK("https://rhld.insurance.arkansas.gov/NPILookup?Npi=1346501327","1346501327")</f>
        <v>1346501327</v>
      </c>
      <c r="E14428" s="1" t="s">
        <v>21908</v>
      </c>
      <c r="F14428" s="2"/>
      <c r="G14428" s="2"/>
      <c r="H14428" s="2"/>
    </row>
    <row r="14429" spans="1:8" x14ac:dyDescent="0.25">
      <c r="A14429" s="1"/>
      <c r="B14429" s="1" t="s">
        <v>5782</v>
      </c>
      <c r="C14429" s="1" t="s">
        <v>5783</v>
      </c>
      <c r="D14429" s="22" t="str">
        <f>HYPERLINK("https://rhld.insurance.arkansas.gov/NPILookup?Npi=1346501624","1346501624")</f>
        <v>1346501624</v>
      </c>
      <c r="E14429" s="1" t="s">
        <v>11700</v>
      </c>
      <c r="F14429" s="2"/>
      <c r="G14429" s="2"/>
      <c r="H14429" s="2"/>
    </row>
    <row r="14430" spans="1:8" x14ac:dyDescent="0.25">
      <c r="A14430" s="1"/>
      <c r="B14430" s="1" t="s">
        <v>5782</v>
      </c>
      <c r="C14430" s="1" t="s">
        <v>5783</v>
      </c>
      <c r="D14430" s="22" t="str">
        <f>HYPERLINK("https://rhld.insurance.arkansas.gov/NPILookup?Npi=1346514668","1346514668")</f>
        <v>1346514668</v>
      </c>
      <c r="E14430" s="1" t="s">
        <v>375</v>
      </c>
      <c r="F14430" s="2"/>
      <c r="G14430" s="2"/>
      <c r="H14430" s="2"/>
    </row>
    <row r="14431" spans="1:8" x14ac:dyDescent="0.25">
      <c r="A14431" s="1"/>
      <c r="B14431" s="1" t="s">
        <v>5782</v>
      </c>
      <c r="C14431" s="1" t="s">
        <v>5783</v>
      </c>
      <c r="D14431" s="22" t="str">
        <f>HYPERLINK("https://rhld.insurance.arkansas.gov/NPILookup?Npi=1346517596","1346517596")</f>
        <v>1346517596</v>
      </c>
      <c r="E14431" s="1" t="s">
        <v>21909</v>
      </c>
      <c r="F14431" s="2"/>
      <c r="G14431" s="2"/>
      <c r="H14431" s="2"/>
    </row>
    <row r="14432" spans="1:8" x14ac:dyDescent="0.25">
      <c r="A14432" s="1"/>
      <c r="B14432" s="1" t="s">
        <v>5782</v>
      </c>
      <c r="C14432" s="1" t="s">
        <v>5783</v>
      </c>
      <c r="D14432" s="22" t="str">
        <f>HYPERLINK("https://rhld.insurance.arkansas.gov/NPILookup?Npi=1346525060","1346525060")</f>
        <v>1346525060</v>
      </c>
      <c r="E14432" s="1" t="s">
        <v>21910</v>
      </c>
      <c r="F14432" s="2"/>
      <c r="G14432" s="2"/>
      <c r="H14432" s="2"/>
    </row>
    <row r="14433" spans="1:8" x14ac:dyDescent="0.25">
      <c r="A14433" s="1"/>
      <c r="B14433" s="1" t="s">
        <v>5782</v>
      </c>
      <c r="C14433" s="1" t="s">
        <v>5783</v>
      </c>
      <c r="D14433" s="22" t="str">
        <f>HYPERLINK("https://rhld.insurance.arkansas.gov/NPILookup?Npi=1346552627","1346552627")</f>
        <v>1346552627</v>
      </c>
      <c r="E14433" s="1" t="s">
        <v>337</v>
      </c>
      <c r="F14433" s="2"/>
      <c r="G14433" s="2"/>
      <c r="H14433" s="2"/>
    </row>
    <row r="14434" spans="1:8" x14ac:dyDescent="0.25">
      <c r="A14434" s="1"/>
      <c r="B14434" s="1" t="s">
        <v>5782</v>
      </c>
      <c r="C14434" s="1" t="s">
        <v>5783</v>
      </c>
      <c r="D14434" s="22" t="str">
        <f>HYPERLINK("https://rhld.insurance.arkansas.gov/NPILookup?Npi=1346555851","1346555851")</f>
        <v>1346555851</v>
      </c>
      <c r="E14434" s="1" t="s">
        <v>21911</v>
      </c>
      <c r="F14434" s="2"/>
      <c r="G14434" s="2"/>
      <c r="H14434" s="2"/>
    </row>
    <row r="14435" spans="1:8" x14ac:dyDescent="0.25">
      <c r="A14435" s="1"/>
      <c r="B14435" s="1" t="s">
        <v>5782</v>
      </c>
      <c r="C14435" s="1" t="s">
        <v>5783</v>
      </c>
      <c r="D14435" s="22" t="str">
        <f>HYPERLINK("https://rhld.insurance.arkansas.gov/NPILookup?Npi=1346564523","1346564523")</f>
        <v>1346564523</v>
      </c>
      <c r="E14435" s="1" t="s">
        <v>315</v>
      </c>
      <c r="F14435" s="2"/>
      <c r="G14435" s="2"/>
      <c r="H14435" s="2"/>
    </row>
    <row r="14436" spans="1:8" x14ac:dyDescent="0.25">
      <c r="A14436" s="1"/>
      <c r="B14436" s="1" t="s">
        <v>5782</v>
      </c>
      <c r="C14436" s="1" t="s">
        <v>5783</v>
      </c>
      <c r="D14436" s="22" t="str">
        <f>HYPERLINK("https://rhld.insurance.arkansas.gov/NPILookup?Npi=1346564648","1346564648")</f>
        <v>1346564648</v>
      </c>
      <c r="E14436" s="1" t="s">
        <v>21912</v>
      </c>
      <c r="F14436" s="2"/>
      <c r="G14436" s="2"/>
      <c r="H14436" s="2"/>
    </row>
    <row r="14437" spans="1:8" x14ac:dyDescent="0.25">
      <c r="A14437" s="1"/>
      <c r="B14437" s="1" t="s">
        <v>5782</v>
      </c>
      <c r="C14437" s="1" t="s">
        <v>5783</v>
      </c>
      <c r="D14437" s="22" t="str">
        <f>HYPERLINK("https://rhld.insurance.arkansas.gov/NPILookup?Npi=1346564937","1346564937")</f>
        <v>1346564937</v>
      </c>
      <c r="E14437" s="1" t="s">
        <v>11701</v>
      </c>
      <c r="F14437" s="2"/>
      <c r="G14437" s="2"/>
      <c r="H14437" s="2"/>
    </row>
    <row r="14438" spans="1:8" x14ac:dyDescent="0.25">
      <c r="A14438" s="1"/>
      <c r="B14438" s="1" t="s">
        <v>5782</v>
      </c>
      <c r="C14438" s="1" t="s">
        <v>5783</v>
      </c>
      <c r="D14438" s="22" t="str">
        <f>HYPERLINK("https://rhld.insurance.arkansas.gov/NPILookup?Npi=1346566502","1346566502")</f>
        <v>1346566502</v>
      </c>
      <c r="E14438" s="1" t="s">
        <v>21913</v>
      </c>
      <c r="F14438" s="2"/>
      <c r="G14438" s="2"/>
      <c r="H14438" s="2"/>
    </row>
    <row r="14439" spans="1:8" x14ac:dyDescent="0.25">
      <c r="A14439" s="1"/>
      <c r="B14439" s="1" t="s">
        <v>5782</v>
      </c>
      <c r="C14439" s="1" t="s">
        <v>5783</v>
      </c>
      <c r="D14439" s="22" t="str">
        <f>HYPERLINK("https://rhld.insurance.arkansas.gov/NPILookup?Npi=1346569761","1346569761")</f>
        <v>1346569761</v>
      </c>
      <c r="E14439" s="1" t="s">
        <v>6192</v>
      </c>
      <c r="F14439" s="2"/>
      <c r="G14439" s="2"/>
      <c r="H14439" s="2"/>
    </row>
    <row r="14440" spans="1:8" x14ac:dyDescent="0.25">
      <c r="A14440" s="1"/>
      <c r="B14440" s="1" t="s">
        <v>5782</v>
      </c>
      <c r="C14440" s="1" t="s">
        <v>5783</v>
      </c>
      <c r="D14440" s="22" t="str">
        <f>HYPERLINK("https://rhld.insurance.arkansas.gov/NPILookup?Npi=1346596590","1346596590")</f>
        <v>1346596590</v>
      </c>
      <c r="E14440" s="1" t="s">
        <v>11702</v>
      </c>
      <c r="F14440" s="2"/>
      <c r="G14440" s="2"/>
      <c r="H14440" s="2"/>
    </row>
    <row r="14441" spans="1:8" x14ac:dyDescent="0.25">
      <c r="A14441" s="1"/>
      <c r="B14441" s="1" t="s">
        <v>5782</v>
      </c>
      <c r="C14441" s="1" t="s">
        <v>5783</v>
      </c>
      <c r="D14441" s="22" t="str">
        <f>HYPERLINK("https://rhld.insurance.arkansas.gov/NPILookup?Npi=1346597531","1346597531")</f>
        <v>1346597531</v>
      </c>
      <c r="E14441" s="1" t="s">
        <v>21914</v>
      </c>
      <c r="F14441" s="2"/>
      <c r="G14441" s="2"/>
      <c r="H14441" s="2"/>
    </row>
    <row r="14442" spans="1:8" x14ac:dyDescent="0.25">
      <c r="A14442" s="1"/>
      <c r="B14442" s="1" t="s">
        <v>5782</v>
      </c>
      <c r="C14442" s="1" t="s">
        <v>5783</v>
      </c>
      <c r="D14442" s="22" t="str">
        <f>HYPERLINK("https://rhld.insurance.arkansas.gov/NPILookup?Npi=1346599461","1346599461")</f>
        <v>1346599461</v>
      </c>
      <c r="E14442" s="1" t="s">
        <v>21915</v>
      </c>
      <c r="F14442" s="2"/>
      <c r="G14442" s="2"/>
      <c r="H14442" s="2"/>
    </row>
    <row r="14443" spans="1:8" x14ac:dyDescent="0.25">
      <c r="A14443" s="1"/>
      <c r="B14443" s="1" t="s">
        <v>5782</v>
      </c>
      <c r="C14443" s="1" t="s">
        <v>5783</v>
      </c>
      <c r="D14443" s="22" t="str">
        <f>HYPERLINK("https://rhld.insurance.arkansas.gov/NPILookup?Npi=1346618709","1346618709")</f>
        <v>1346618709</v>
      </c>
      <c r="E14443" s="1" t="s">
        <v>21916</v>
      </c>
      <c r="F14443" s="2"/>
      <c r="G14443" s="2"/>
      <c r="H14443" s="2"/>
    </row>
    <row r="14444" spans="1:8" x14ac:dyDescent="0.25">
      <c r="A14444" s="1"/>
      <c r="B14444" s="1" t="s">
        <v>5782</v>
      </c>
      <c r="C14444" s="1" t="s">
        <v>5783</v>
      </c>
      <c r="D14444" s="22" t="str">
        <f>HYPERLINK("https://rhld.insurance.arkansas.gov/NPILookup?Npi=1346626850","1346626850")</f>
        <v>1346626850</v>
      </c>
      <c r="E14444" s="1" t="s">
        <v>6193</v>
      </c>
      <c r="F14444" s="2"/>
      <c r="G14444" s="2"/>
      <c r="H14444" s="2"/>
    </row>
    <row r="14445" spans="1:8" x14ac:dyDescent="0.25">
      <c r="A14445" s="1"/>
      <c r="B14445" s="1" t="s">
        <v>5782</v>
      </c>
      <c r="C14445" s="1" t="s">
        <v>5783</v>
      </c>
      <c r="D14445" s="22" t="str">
        <f>HYPERLINK("https://rhld.insurance.arkansas.gov/NPILookup?Npi=1346645413","1346645413")</f>
        <v>1346645413</v>
      </c>
      <c r="E14445" s="1" t="s">
        <v>21917</v>
      </c>
      <c r="F14445" s="2"/>
      <c r="G14445" s="2"/>
      <c r="H14445" s="2"/>
    </row>
    <row r="14446" spans="1:8" x14ac:dyDescent="0.25">
      <c r="A14446" s="1"/>
      <c r="B14446" s="1" t="s">
        <v>5782</v>
      </c>
      <c r="C14446" s="1" t="s">
        <v>5783</v>
      </c>
      <c r="D14446" s="22" t="str">
        <f>HYPERLINK("https://rhld.insurance.arkansas.gov/NPILookup?Npi=1346663234","1346663234")</f>
        <v>1346663234</v>
      </c>
      <c r="E14446" s="1" t="s">
        <v>21918</v>
      </c>
      <c r="F14446" s="2"/>
      <c r="G14446" s="2"/>
      <c r="H14446" s="2"/>
    </row>
    <row r="14447" spans="1:8" x14ac:dyDescent="0.25">
      <c r="A14447" s="1"/>
      <c r="B14447" s="1" t="s">
        <v>5782</v>
      </c>
      <c r="C14447" s="1" t="s">
        <v>5783</v>
      </c>
      <c r="D14447" s="22" t="str">
        <f>HYPERLINK("https://rhld.insurance.arkansas.gov/NPILookup?Npi=1346664968","1346664968")</f>
        <v>1346664968</v>
      </c>
      <c r="E14447" s="1" t="s">
        <v>21919</v>
      </c>
      <c r="F14447" s="2"/>
      <c r="G14447" s="2"/>
      <c r="H14447" s="2"/>
    </row>
    <row r="14448" spans="1:8" x14ac:dyDescent="0.25">
      <c r="A14448" s="1"/>
      <c r="B14448" s="1" t="s">
        <v>5782</v>
      </c>
      <c r="C14448" s="1" t="s">
        <v>5783</v>
      </c>
      <c r="D14448" s="22" t="str">
        <f>HYPERLINK("https://rhld.insurance.arkansas.gov/NPILookup?Npi=1346667383","1346667383")</f>
        <v>1346667383</v>
      </c>
      <c r="E14448" s="1" t="s">
        <v>340</v>
      </c>
      <c r="F14448" s="2"/>
      <c r="G14448" s="2"/>
      <c r="H14448" s="2"/>
    </row>
    <row r="14449" spans="1:8" x14ac:dyDescent="0.25">
      <c r="A14449" s="1"/>
      <c r="B14449" s="1" t="s">
        <v>5782</v>
      </c>
      <c r="C14449" s="1" t="s">
        <v>5783</v>
      </c>
      <c r="D14449" s="22" t="str">
        <f>HYPERLINK("https://rhld.insurance.arkansas.gov/NPILookup?Npi=1346697018","1346697018")</f>
        <v>1346697018</v>
      </c>
      <c r="E14449" s="1" t="s">
        <v>6194</v>
      </c>
      <c r="F14449" s="2"/>
      <c r="G14449" s="2"/>
      <c r="H14449" s="2"/>
    </row>
    <row r="14450" spans="1:8" x14ac:dyDescent="0.25">
      <c r="A14450" s="1"/>
      <c r="B14450" s="1" t="s">
        <v>5782</v>
      </c>
      <c r="C14450" s="1" t="s">
        <v>5783</v>
      </c>
      <c r="D14450" s="22" t="str">
        <f>HYPERLINK("https://rhld.insurance.arkansas.gov/NPILookup?Npi=1346702354","1346702354")</f>
        <v>1346702354</v>
      </c>
      <c r="E14450" s="1" t="s">
        <v>6195</v>
      </c>
      <c r="F14450" s="2"/>
      <c r="G14450" s="2"/>
      <c r="H14450" s="2"/>
    </row>
    <row r="14451" spans="1:8" x14ac:dyDescent="0.25">
      <c r="A14451" s="1"/>
      <c r="B14451" s="1" t="s">
        <v>5782</v>
      </c>
      <c r="C14451" s="1" t="s">
        <v>5783</v>
      </c>
      <c r="D14451" s="22" t="str">
        <f>HYPERLINK("https://rhld.insurance.arkansas.gov/NPILookup?Npi=1346705506","1346705506")</f>
        <v>1346705506</v>
      </c>
      <c r="E14451" s="1" t="s">
        <v>6196</v>
      </c>
      <c r="F14451" s="2"/>
      <c r="G14451" s="2"/>
      <c r="H14451" s="2"/>
    </row>
    <row r="14452" spans="1:8" x14ac:dyDescent="0.25">
      <c r="A14452" s="1"/>
      <c r="B14452" s="1" t="s">
        <v>5782</v>
      </c>
      <c r="C14452" s="1" t="s">
        <v>5783</v>
      </c>
      <c r="D14452" s="22" t="str">
        <f>HYPERLINK("https://rhld.insurance.arkansas.gov/NPILookup?Npi=1346706678","1346706678")</f>
        <v>1346706678</v>
      </c>
      <c r="E14452" s="1" t="s">
        <v>21920</v>
      </c>
      <c r="F14452" s="2"/>
      <c r="G14452" s="2"/>
      <c r="H14452" s="2"/>
    </row>
    <row r="14453" spans="1:8" x14ac:dyDescent="0.25">
      <c r="A14453" s="1"/>
      <c r="B14453" s="1" t="s">
        <v>5782</v>
      </c>
      <c r="C14453" s="1" t="s">
        <v>5783</v>
      </c>
      <c r="D14453" s="22" t="str">
        <f>HYPERLINK("https://rhld.insurance.arkansas.gov/NPILookup?Npi=1346710274","1346710274")</f>
        <v>1346710274</v>
      </c>
      <c r="E14453" s="1" t="s">
        <v>2601</v>
      </c>
      <c r="F14453" s="2"/>
      <c r="G14453" s="2"/>
      <c r="H14453" s="2"/>
    </row>
    <row r="14454" spans="1:8" x14ac:dyDescent="0.25">
      <c r="A14454" s="1"/>
      <c r="B14454" s="1" t="s">
        <v>5782</v>
      </c>
      <c r="C14454" s="1" t="s">
        <v>5783</v>
      </c>
      <c r="D14454" s="22" t="str">
        <f>HYPERLINK("https://rhld.insurance.arkansas.gov/NPILookup?Npi=1346721545","1346721545")</f>
        <v>1346721545</v>
      </c>
      <c r="E14454" s="1" t="s">
        <v>31858</v>
      </c>
      <c r="F14454" s="2"/>
      <c r="G14454" s="2"/>
      <c r="H14454" s="2"/>
    </row>
    <row r="14455" spans="1:8" x14ac:dyDescent="0.25">
      <c r="A14455" s="1"/>
      <c r="B14455" s="1" t="s">
        <v>5782</v>
      </c>
      <c r="C14455" s="1" t="s">
        <v>5783</v>
      </c>
      <c r="D14455" s="22" t="str">
        <f>HYPERLINK("https://rhld.insurance.arkansas.gov/NPILookup?Npi=1346727799","1346727799")</f>
        <v>1346727799</v>
      </c>
      <c r="E14455" s="1" t="s">
        <v>6197</v>
      </c>
      <c r="F14455" s="2"/>
      <c r="G14455" s="2"/>
      <c r="H14455" s="2"/>
    </row>
    <row r="14456" spans="1:8" x14ac:dyDescent="0.25">
      <c r="A14456" s="1"/>
      <c r="B14456" s="1" t="s">
        <v>5782</v>
      </c>
      <c r="C14456" s="1" t="s">
        <v>5783</v>
      </c>
      <c r="D14456" s="22" t="str">
        <f>HYPERLINK("https://rhld.insurance.arkansas.gov/NPILookup?Npi=1346748332","1346748332")</f>
        <v>1346748332</v>
      </c>
      <c r="E14456" s="1" t="s">
        <v>21921</v>
      </c>
      <c r="F14456" s="2"/>
      <c r="G14456" s="2"/>
      <c r="H14456" s="2"/>
    </row>
    <row r="14457" spans="1:8" x14ac:dyDescent="0.25">
      <c r="A14457" s="1"/>
      <c r="B14457" s="1" t="s">
        <v>5782</v>
      </c>
      <c r="C14457" s="1" t="s">
        <v>5783</v>
      </c>
      <c r="D14457" s="22" t="str">
        <f>HYPERLINK("https://rhld.insurance.arkansas.gov/NPILookup?Npi=1346748662","1346748662")</f>
        <v>1346748662</v>
      </c>
      <c r="E14457" s="1" t="s">
        <v>21922</v>
      </c>
      <c r="F14457" s="2"/>
      <c r="G14457" s="2"/>
      <c r="H14457" s="2"/>
    </row>
    <row r="14458" spans="1:8" x14ac:dyDescent="0.25">
      <c r="A14458" s="1"/>
      <c r="B14458" s="1" t="s">
        <v>5782</v>
      </c>
      <c r="C14458" s="1" t="s">
        <v>5783</v>
      </c>
      <c r="D14458" s="22" t="str">
        <f>HYPERLINK("https://rhld.insurance.arkansas.gov/NPILookup?Npi=1346756749","1346756749")</f>
        <v>1346756749</v>
      </c>
      <c r="E14458" s="1" t="s">
        <v>11703</v>
      </c>
      <c r="F14458" s="2"/>
      <c r="G14458" s="2"/>
      <c r="H14458" s="2"/>
    </row>
    <row r="14459" spans="1:8" x14ac:dyDescent="0.25">
      <c r="A14459" s="1"/>
      <c r="B14459" s="1" t="s">
        <v>5782</v>
      </c>
      <c r="C14459" s="1" t="s">
        <v>5783</v>
      </c>
      <c r="D14459" s="22" t="str">
        <f>HYPERLINK("https://rhld.insurance.arkansas.gov/NPILookup?Npi=1346763000","1346763000")</f>
        <v>1346763000</v>
      </c>
      <c r="E14459" s="1" t="s">
        <v>21923</v>
      </c>
      <c r="F14459" s="2"/>
      <c r="G14459" s="2"/>
      <c r="H14459" s="2"/>
    </row>
    <row r="14460" spans="1:8" x14ac:dyDescent="0.25">
      <c r="A14460" s="1"/>
      <c r="B14460" s="1" t="s">
        <v>5782</v>
      </c>
      <c r="C14460" s="1" t="s">
        <v>5783</v>
      </c>
      <c r="D14460" s="22" t="str">
        <f>HYPERLINK("https://rhld.insurance.arkansas.gov/NPILookup?Npi=1346776374","1346776374")</f>
        <v>1346776374</v>
      </c>
      <c r="E14460" s="1" t="s">
        <v>21924</v>
      </c>
      <c r="F14460" s="2"/>
      <c r="G14460" s="2"/>
      <c r="H14460" s="2"/>
    </row>
    <row r="14461" spans="1:8" x14ac:dyDescent="0.25">
      <c r="A14461" s="1"/>
      <c r="B14461" s="1" t="s">
        <v>5782</v>
      </c>
      <c r="C14461" s="1" t="s">
        <v>5783</v>
      </c>
      <c r="D14461" s="22" t="str">
        <f>HYPERLINK("https://rhld.insurance.arkansas.gov/NPILookup?Npi=1346785383","1346785383")</f>
        <v>1346785383</v>
      </c>
      <c r="E14461" s="1" t="s">
        <v>21925</v>
      </c>
      <c r="F14461" s="2"/>
      <c r="G14461" s="2"/>
      <c r="H14461" s="2"/>
    </row>
    <row r="14462" spans="1:8" x14ac:dyDescent="0.25">
      <c r="A14462" s="1"/>
      <c r="B14462" s="1" t="s">
        <v>5782</v>
      </c>
      <c r="C14462" s="1" t="s">
        <v>5783</v>
      </c>
      <c r="D14462" s="22" t="str">
        <f>HYPERLINK("https://rhld.insurance.arkansas.gov/NPILookup?Npi=1346812690","1346812690")</f>
        <v>1346812690</v>
      </c>
      <c r="E14462" s="1" t="s">
        <v>11704</v>
      </c>
      <c r="F14462" s="2"/>
      <c r="G14462" s="2"/>
      <c r="H14462" s="2"/>
    </row>
    <row r="14463" spans="1:8" x14ac:dyDescent="0.25">
      <c r="A14463" s="1"/>
      <c r="B14463" s="1" t="s">
        <v>5782</v>
      </c>
      <c r="C14463" s="1" t="s">
        <v>5783</v>
      </c>
      <c r="D14463" s="22" t="str">
        <f>HYPERLINK("https://rhld.insurance.arkansas.gov/NPILookup?Npi=1346814696","1346814696")</f>
        <v>1346814696</v>
      </c>
      <c r="E14463" s="1" t="s">
        <v>4808</v>
      </c>
      <c r="F14463" s="2"/>
      <c r="G14463" s="2"/>
      <c r="H14463" s="2"/>
    </row>
    <row r="14464" spans="1:8" x14ac:dyDescent="0.25">
      <c r="A14464" s="1"/>
      <c r="B14464" s="1" t="s">
        <v>5782</v>
      </c>
      <c r="C14464" s="1" t="s">
        <v>5783</v>
      </c>
      <c r="D14464" s="22" t="str">
        <f>HYPERLINK("https://rhld.insurance.arkansas.gov/NPILookup?Npi=1346821097","1346821097")</f>
        <v>1346821097</v>
      </c>
      <c r="E14464" s="1" t="s">
        <v>11705</v>
      </c>
      <c r="F14464" s="2"/>
      <c r="G14464" s="2"/>
      <c r="H14464" s="2"/>
    </row>
    <row r="14465" spans="1:8" x14ac:dyDescent="0.25">
      <c r="A14465" s="1"/>
      <c r="B14465" s="1" t="s">
        <v>5782</v>
      </c>
      <c r="C14465" s="1" t="s">
        <v>5783</v>
      </c>
      <c r="D14465" s="22" t="str">
        <f>HYPERLINK("https://rhld.insurance.arkansas.gov/NPILookup?Npi=1346835758","1346835758")</f>
        <v>1346835758</v>
      </c>
      <c r="E14465" s="1" t="s">
        <v>21926</v>
      </c>
      <c r="F14465" s="2"/>
      <c r="G14465" s="2"/>
      <c r="H14465" s="2"/>
    </row>
    <row r="14466" spans="1:8" x14ac:dyDescent="0.25">
      <c r="A14466" s="1"/>
      <c r="B14466" s="1" t="s">
        <v>5782</v>
      </c>
      <c r="C14466" s="1" t="s">
        <v>5783</v>
      </c>
      <c r="D14466" s="22" t="str">
        <f>HYPERLINK("https://rhld.insurance.arkansas.gov/NPILookup?Npi=1346842465","1346842465")</f>
        <v>1346842465</v>
      </c>
      <c r="E14466" s="1" t="s">
        <v>21927</v>
      </c>
      <c r="F14466" s="2"/>
      <c r="G14466" s="2"/>
      <c r="H14466" s="2"/>
    </row>
    <row r="14467" spans="1:8" x14ac:dyDescent="0.25">
      <c r="A14467" s="1"/>
      <c r="B14467" s="1" t="s">
        <v>5782</v>
      </c>
      <c r="C14467" s="1" t="s">
        <v>5783</v>
      </c>
      <c r="D14467" s="22" t="str">
        <f>HYPERLINK("https://rhld.insurance.arkansas.gov/NPILookup?Npi=1346847290","1346847290")</f>
        <v>1346847290</v>
      </c>
      <c r="E14467" s="1" t="s">
        <v>6100</v>
      </c>
      <c r="F14467" s="2"/>
      <c r="G14467" s="2"/>
      <c r="H14467" s="2"/>
    </row>
    <row r="14468" spans="1:8" x14ac:dyDescent="0.25">
      <c r="A14468" s="1"/>
      <c r="B14468" s="1" t="s">
        <v>5782</v>
      </c>
      <c r="C14468" s="1" t="s">
        <v>5783</v>
      </c>
      <c r="D14468" s="22" t="str">
        <f>HYPERLINK("https://rhld.insurance.arkansas.gov/NPILookup?Npi=1346851359","1346851359")</f>
        <v>1346851359</v>
      </c>
      <c r="E14468" s="1" t="s">
        <v>6198</v>
      </c>
      <c r="F14468" s="2"/>
      <c r="G14468" s="2"/>
      <c r="H14468" s="2"/>
    </row>
    <row r="14469" spans="1:8" x14ac:dyDescent="0.25">
      <c r="A14469" s="1"/>
      <c r="B14469" s="1" t="s">
        <v>5782</v>
      </c>
      <c r="C14469" s="1" t="s">
        <v>5783</v>
      </c>
      <c r="D14469" s="22" t="str">
        <f>HYPERLINK("https://rhld.insurance.arkansas.gov/NPILookup?Npi=1346854239","1346854239")</f>
        <v>1346854239</v>
      </c>
      <c r="E14469" s="1" t="s">
        <v>21928</v>
      </c>
      <c r="F14469" s="2"/>
      <c r="G14469" s="2"/>
      <c r="H14469" s="2"/>
    </row>
    <row r="14470" spans="1:8" x14ac:dyDescent="0.25">
      <c r="A14470" s="1"/>
      <c r="B14470" s="1" t="s">
        <v>5782</v>
      </c>
      <c r="C14470" s="1" t="s">
        <v>5783</v>
      </c>
      <c r="D14470" s="22" t="str">
        <f>HYPERLINK("https://rhld.insurance.arkansas.gov/NPILookup?Npi=1346866647","1346866647")</f>
        <v>1346866647</v>
      </c>
      <c r="E14470" s="1" t="s">
        <v>21929</v>
      </c>
      <c r="F14470" s="2"/>
      <c r="G14470" s="2"/>
      <c r="H14470" s="2"/>
    </row>
    <row r="14471" spans="1:8" x14ac:dyDescent="0.25">
      <c r="A14471" s="1"/>
      <c r="B14471" s="1" t="s">
        <v>5782</v>
      </c>
      <c r="C14471" s="1" t="s">
        <v>5783</v>
      </c>
      <c r="D14471" s="22" t="str">
        <f>HYPERLINK("https://rhld.insurance.arkansas.gov/NPILookup?Npi=1346876174","1346876174")</f>
        <v>1346876174</v>
      </c>
      <c r="E14471" s="1" t="s">
        <v>21930</v>
      </c>
      <c r="F14471" s="2"/>
      <c r="G14471" s="2"/>
      <c r="H14471" s="2"/>
    </row>
    <row r="14472" spans="1:8" x14ac:dyDescent="0.25">
      <c r="A14472" s="1"/>
      <c r="B14472" s="1" t="s">
        <v>5782</v>
      </c>
      <c r="C14472" s="1" t="s">
        <v>5783</v>
      </c>
      <c r="D14472" s="22" t="str">
        <f>HYPERLINK("https://rhld.insurance.arkansas.gov/NPILookup?Npi=1346881935","1346881935")</f>
        <v>1346881935</v>
      </c>
      <c r="E14472" s="1" t="s">
        <v>6199</v>
      </c>
      <c r="F14472" s="2"/>
      <c r="G14472" s="2"/>
      <c r="H14472" s="2"/>
    </row>
    <row r="14473" spans="1:8" x14ac:dyDescent="0.25">
      <c r="A14473" s="1"/>
      <c r="B14473" s="1" t="s">
        <v>5782</v>
      </c>
      <c r="C14473" s="1" t="s">
        <v>5783</v>
      </c>
      <c r="D14473" s="22" t="str">
        <f>HYPERLINK("https://rhld.insurance.arkansas.gov/NPILookup?Npi=1346913613","1346913613")</f>
        <v>1346913613</v>
      </c>
      <c r="E14473" s="1" t="s">
        <v>21931</v>
      </c>
      <c r="F14473" s="2"/>
      <c r="G14473" s="2"/>
      <c r="H14473" s="2"/>
    </row>
    <row r="14474" spans="1:8" x14ac:dyDescent="0.25">
      <c r="A14474" s="1"/>
      <c r="B14474" s="1" t="s">
        <v>5782</v>
      </c>
      <c r="C14474" s="1" t="s">
        <v>5783</v>
      </c>
      <c r="D14474" s="22" t="str">
        <f>HYPERLINK("https://rhld.insurance.arkansas.gov/NPILookup?Npi=1346950094","1346950094")</f>
        <v>1346950094</v>
      </c>
      <c r="E14474" s="1" t="s">
        <v>5672</v>
      </c>
      <c r="F14474" s="2"/>
      <c r="G14474" s="2"/>
      <c r="H14474" s="2"/>
    </row>
    <row r="14475" spans="1:8" x14ac:dyDescent="0.25">
      <c r="A14475" s="1"/>
      <c r="B14475" s="1" t="s">
        <v>5782</v>
      </c>
      <c r="C14475" s="1" t="s">
        <v>5783</v>
      </c>
      <c r="D14475" s="22" t="str">
        <f>HYPERLINK("https://rhld.insurance.arkansas.gov/NPILookup?Npi=1346958782","1346958782")</f>
        <v>1346958782</v>
      </c>
      <c r="E14475" s="1" t="s">
        <v>6200</v>
      </c>
      <c r="F14475" s="2"/>
      <c r="G14475" s="2"/>
      <c r="H14475" s="2"/>
    </row>
    <row r="14476" spans="1:8" x14ac:dyDescent="0.25">
      <c r="A14476" s="1"/>
      <c r="B14476" s="1" t="s">
        <v>5782</v>
      </c>
      <c r="C14476" s="1" t="s">
        <v>5783</v>
      </c>
      <c r="D14476" s="22" t="str">
        <f>HYPERLINK("https://rhld.insurance.arkansas.gov/NPILookup?Npi=1346959780","1346959780")</f>
        <v>1346959780</v>
      </c>
      <c r="E14476" s="1" t="s">
        <v>21932</v>
      </c>
      <c r="F14476" s="2"/>
      <c r="G14476" s="2"/>
      <c r="H14476" s="2"/>
    </row>
    <row r="14477" spans="1:8" x14ac:dyDescent="0.25">
      <c r="A14477" s="1"/>
      <c r="B14477" s="1" t="s">
        <v>5782</v>
      </c>
      <c r="C14477" s="1" t="s">
        <v>5783</v>
      </c>
      <c r="D14477" s="22" t="str">
        <f>HYPERLINK("https://rhld.insurance.arkansas.gov/NPILookup?Npi=1346962313","1346962313")</f>
        <v>1346962313</v>
      </c>
      <c r="E14477" s="1" t="s">
        <v>31859</v>
      </c>
      <c r="F14477" s="2"/>
      <c r="G14477" s="2"/>
      <c r="H14477" s="2"/>
    </row>
    <row r="14478" spans="1:8" x14ac:dyDescent="0.25">
      <c r="A14478" s="1"/>
      <c r="B14478" s="1" t="s">
        <v>5782</v>
      </c>
      <c r="C14478" s="1" t="s">
        <v>5783</v>
      </c>
      <c r="D14478" s="22" t="str">
        <f>HYPERLINK("https://rhld.insurance.arkansas.gov/NPILookup?Npi=1346964418","1346964418")</f>
        <v>1346964418</v>
      </c>
      <c r="E14478" s="1" t="s">
        <v>6201</v>
      </c>
      <c r="F14478" s="2"/>
      <c r="G14478" s="2"/>
      <c r="H14478" s="2"/>
    </row>
    <row r="14479" spans="1:8" x14ac:dyDescent="0.25">
      <c r="A14479" s="1"/>
      <c r="B14479" s="1" t="s">
        <v>5782</v>
      </c>
      <c r="C14479" s="1" t="s">
        <v>5783</v>
      </c>
      <c r="D14479" s="22" t="str">
        <f>HYPERLINK("https://rhld.insurance.arkansas.gov/NPILookup?Npi=1346976503","1346976503")</f>
        <v>1346976503</v>
      </c>
      <c r="E14479" s="1" t="s">
        <v>2475</v>
      </c>
      <c r="F14479" s="2"/>
      <c r="G14479" s="2"/>
      <c r="H14479" s="2"/>
    </row>
    <row r="14480" spans="1:8" x14ac:dyDescent="0.25">
      <c r="A14480" s="1"/>
      <c r="B14480" s="1" t="s">
        <v>5782</v>
      </c>
      <c r="C14480" s="1" t="s">
        <v>5783</v>
      </c>
      <c r="D14480" s="22" t="str">
        <f>HYPERLINK("https://rhld.insurance.arkansas.gov/NPILookup?Npi=1346994043","1346994043")</f>
        <v>1346994043</v>
      </c>
      <c r="E14480" s="1" t="s">
        <v>21933</v>
      </c>
      <c r="F14480" s="2"/>
      <c r="G14480" s="2"/>
      <c r="H14480" s="2"/>
    </row>
    <row r="14481" spans="1:8" x14ac:dyDescent="0.25">
      <c r="A14481" s="1"/>
      <c r="B14481" s="1" t="s">
        <v>5782</v>
      </c>
      <c r="C14481" s="1" t="s">
        <v>5783</v>
      </c>
      <c r="D14481" s="22" t="str">
        <f>HYPERLINK("https://rhld.insurance.arkansas.gov/NPILookup?Npi=1346997681","1346997681")</f>
        <v>1346997681</v>
      </c>
      <c r="E14481" s="1" t="s">
        <v>21934</v>
      </c>
      <c r="F14481" s="2"/>
      <c r="G14481" s="2"/>
      <c r="H14481" s="2"/>
    </row>
    <row r="14482" spans="1:8" x14ac:dyDescent="0.25">
      <c r="A14482" s="1"/>
      <c r="B14482" s="1" t="s">
        <v>5782</v>
      </c>
      <c r="C14482" s="1" t="s">
        <v>5783</v>
      </c>
      <c r="D14482" s="22" t="str">
        <f>HYPERLINK("https://rhld.insurance.arkansas.gov/NPILookup?Npi=1356009906","1356009906")</f>
        <v>1356009906</v>
      </c>
      <c r="E14482" s="1" t="s">
        <v>6203</v>
      </c>
      <c r="F14482" s="2"/>
      <c r="G14482" s="2"/>
      <c r="H14482" s="2"/>
    </row>
    <row r="14483" spans="1:8" x14ac:dyDescent="0.25">
      <c r="A14483" s="1"/>
      <c r="B14483" s="1" t="s">
        <v>5782</v>
      </c>
      <c r="C14483" s="1" t="s">
        <v>5783</v>
      </c>
      <c r="D14483" s="22" t="str">
        <f>HYPERLINK("https://rhld.insurance.arkansas.gov/NPILookup?Npi=1356048375","1356048375")</f>
        <v>1356048375</v>
      </c>
      <c r="E14483" s="1" t="s">
        <v>3966</v>
      </c>
      <c r="F14483" s="2"/>
      <c r="G14483" s="2"/>
      <c r="H14483" s="2"/>
    </row>
    <row r="14484" spans="1:8" x14ac:dyDescent="0.25">
      <c r="A14484" s="1"/>
      <c r="B14484" s="1" t="s">
        <v>5782</v>
      </c>
      <c r="C14484" s="1" t="s">
        <v>5783</v>
      </c>
      <c r="D14484" s="22" t="str">
        <f>HYPERLINK("https://rhld.insurance.arkansas.gov/NPILookup?Npi=1356051403","1356051403")</f>
        <v>1356051403</v>
      </c>
      <c r="E14484" s="1" t="s">
        <v>21935</v>
      </c>
      <c r="F14484" s="2"/>
      <c r="G14484" s="2"/>
      <c r="H14484" s="2"/>
    </row>
    <row r="14485" spans="1:8" x14ac:dyDescent="0.25">
      <c r="A14485" s="1"/>
      <c r="B14485" s="1" t="s">
        <v>5782</v>
      </c>
      <c r="C14485" s="1" t="s">
        <v>5783</v>
      </c>
      <c r="D14485" s="22" t="str">
        <f>HYPERLINK("https://rhld.insurance.arkansas.gov/NPILookup?Npi=1356072409","1356072409")</f>
        <v>1356072409</v>
      </c>
      <c r="E14485" s="1" t="s">
        <v>21936</v>
      </c>
      <c r="F14485" s="2"/>
      <c r="G14485" s="2"/>
      <c r="H14485" s="2"/>
    </row>
    <row r="14486" spans="1:8" x14ac:dyDescent="0.25">
      <c r="A14486" s="1"/>
      <c r="B14486" s="1" t="s">
        <v>5782</v>
      </c>
      <c r="C14486" s="1" t="s">
        <v>5783</v>
      </c>
      <c r="D14486" s="22" t="str">
        <f>HYPERLINK("https://rhld.insurance.arkansas.gov/NPILookup?Npi=1356077069","1356077069")</f>
        <v>1356077069</v>
      </c>
      <c r="E14486" s="1" t="s">
        <v>21937</v>
      </c>
      <c r="F14486" s="2"/>
      <c r="G14486" s="2"/>
      <c r="H14486" s="2"/>
    </row>
    <row r="14487" spans="1:8" x14ac:dyDescent="0.25">
      <c r="A14487" s="1"/>
      <c r="B14487" s="1" t="s">
        <v>5782</v>
      </c>
      <c r="C14487" s="1" t="s">
        <v>5783</v>
      </c>
      <c r="D14487" s="22" t="str">
        <f>HYPERLINK("https://rhld.insurance.arkansas.gov/NPILookup?Npi=1356095947","1356095947")</f>
        <v>1356095947</v>
      </c>
      <c r="E14487" s="1" t="s">
        <v>11706</v>
      </c>
      <c r="F14487" s="2"/>
      <c r="G14487" s="2"/>
      <c r="H14487" s="2"/>
    </row>
    <row r="14488" spans="1:8" x14ac:dyDescent="0.25">
      <c r="A14488" s="1"/>
      <c r="B14488" s="1" t="s">
        <v>5782</v>
      </c>
      <c r="C14488" s="1" t="s">
        <v>5783</v>
      </c>
      <c r="D14488" s="22" t="str">
        <f>HYPERLINK("https://rhld.insurance.arkansas.gov/NPILookup?Npi=1356114805","1356114805")</f>
        <v>1356114805</v>
      </c>
      <c r="E14488" s="1" t="s">
        <v>6204</v>
      </c>
      <c r="F14488" s="2"/>
      <c r="G14488" s="2"/>
      <c r="H14488" s="2"/>
    </row>
    <row r="14489" spans="1:8" x14ac:dyDescent="0.25">
      <c r="A14489" s="1"/>
      <c r="B14489" s="1" t="s">
        <v>5782</v>
      </c>
      <c r="C14489" s="1" t="s">
        <v>5783</v>
      </c>
      <c r="D14489" s="22" t="str">
        <f>HYPERLINK("https://rhld.insurance.arkansas.gov/NPILookup?Npi=1356126437","1356126437")</f>
        <v>1356126437</v>
      </c>
      <c r="E14489" s="1" t="s">
        <v>6147</v>
      </c>
      <c r="F14489" s="2"/>
      <c r="G14489" s="2"/>
      <c r="H14489" s="2"/>
    </row>
    <row r="14490" spans="1:8" x14ac:dyDescent="0.25">
      <c r="A14490" s="1"/>
      <c r="B14490" s="1" t="s">
        <v>5782</v>
      </c>
      <c r="C14490" s="1" t="s">
        <v>5783</v>
      </c>
      <c r="D14490" s="22" t="str">
        <f>HYPERLINK("https://rhld.insurance.arkansas.gov/NPILookup?Npi=1356149488","1356149488")</f>
        <v>1356149488</v>
      </c>
      <c r="E14490" s="1" t="s">
        <v>31860</v>
      </c>
      <c r="F14490" s="2"/>
      <c r="G14490" s="2"/>
      <c r="H14490" s="2"/>
    </row>
    <row r="14491" spans="1:8" x14ac:dyDescent="0.25">
      <c r="A14491" s="1"/>
      <c r="B14491" s="1" t="s">
        <v>5782</v>
      </c>
      <c r="C14491" s="1" t="s">
        <v>5783</v>
      </c>
      <c r="D14491" s="22" t="str">
        <f>HYPERLINK("https://rhld.insurance.arkansas.gov/NPILookup?Npi=1356155105","1356155105")</f>
        <v>1356155105</v>
      </c>
      <c r="E14491" s="1" t="s">
        <v>31861</v>
      </c>
      <c r="F14491" s="2"/>
      <c r="G14491" s="2"/>
      <c r="H14491" s="2"/>
    </row>
    <row r="14492" spans="1:8" x14ac:dyDescent="0.25">
      <c r="A14492" s="1"/>
      <c r="B14492" s="1" t="s">
        <v>5782</v>
      </c>
      <c r="C14492" s="1" t="s">
        <v>5783</v>
      </c>
      <c r="D14492" s="22" t="str">
        <f>HYPERLINK("https://rhld.insurance.arkansas.gov/NPILookup?Npi=1356307953","1356307953")</f>
        <v>1356307953</v>
      </c>
      <c r="E14492" s="1" t="s">
        <v>21938</v>
      </c>
      <c r="F14492" s="2"/>
      <c r="G14492" s="2"/>
      <c r="H14492" s="2"/>
    </row>
    <row r="14493" spans="1:8" x14ac:dyDescent="0.25">
      <c r="A14493" s="1"/>
      <c r="B14493" s="1" t="s">
        <v>5782</v>
      </c>
      <c r="C14493" s="1" t="s">
        <v>5783</v>
      </c>
      <c r="D14493" s="22" t="str">
        <f>HYPERLINK("https://rhld.insurance.arkansas.gov/NPILookup?Npi=1356313670","1356313670")</f>
        <v>1356313670</v>
      </c>
      <c r="E14493" s="1" t="s">
        <v>11707</v>
      </c>
      <c r="F14493" s="2"/>
      <c r="G14493" s="2"/>
      <c r="H14493" s="2"/>
    </row>
    <row r="14494" spans="1:8" x14ac:dyDescent="0.25">
      <c r="A14494" s="1"/>
      <c r="B14494" s="1" t="s">
        <v>5782</v>
      </c>
      <c r="C14494" s="1" t="s">
        <v>5783</v>
      </c>
      <c r="D14494" s="22" t="str">
        <f>HYPERLINK("https://rhld.insurance.arkansas.gov/NPILookup?Npi=1356382824","1356382824")</f>
        <v>1356382824</v>
      </c>
      <c r="E14494" s="1" t="s">
        <v>21939</v>
      </c>
      <c r="F14494" s="2"/>
      <c r="G14494" s="2"/>
      <c r="H14494" s="2"/>
    </row>
    <row r="14495" spans="1:8" x14ac:dyDescent="0.25">
      <c r="A14495" s="1"/>
      <c r="B14495" s="1" t="s">
        <v>5782</v>
      </c>
      <c r="C14495" s="1" t="s">
        <v>5783</v>
      </c>
      <c r="D14495" s="22" t="str">
        <f>HYPERLINK("https://rhld.insurance.arkansas.gov/NPILookup?Npi=1356411086","1356411086")</f>
        <v>1356411086</v>
      </c>
      <c r="E14495" s="1" t="s">
        <v>21940</v>
      </c>
      <c r="F14495" s="2"/>
      <c r="G14495" s="2"/>
      <c r="H14495" s="2"/>
    </row>
    <row r="14496" spans="1:8" x14ac:dyDescent="0.25">
      <c r="A14496" s="1"/>
      <c r="B14496" s="1" t="s">
        <v>5782</v>
      </c>
      <c r="C14496" s="1" t="s">
        <v>5783</v>
      </c>
      <c r="D14496" s="22" t="str">
        <f>HYPERLINK("https://rhld.insurance.arkansas.gov/NPILookup?Npi=1356422273","1356422273")</f>
        <v>1356422273</v>
      </c>
      <c r="E14496" s="1" t="s">
        <v>21941</v>
      </c>
      <c r="F14496" s="2"/>
      <c r="G14496" s="2"/>
      <c r="H14496" s="2"/>
    </row>
    <row r="14497" spans="1:8" x14ac:dyDescent="0.25">
      <c r="A14497" s="1"/>
      <c r="B14497" s="1" t="s">
        <v>5782</v>
      </c>
      <c r="C14497" s="1" t="s">
        <v>5783</v>
      </c>
      <c r="D14497" s="22" t="str">
        <f>HYPERLINK("https://rhld.insurance.arkansas.gov/NPILookup?Npi=1356429708","1356429708")</f>
        <v>1356429708</v>
      </c>
      <c r="E14497" s="1" t="s">
        <v>21942</v>
      </c>
      <c r="F14497" s="2"/>
      <c r="G14497" s="2"/>
      <c r="H14497" s="2"/>
    </row>
    <row r="14498" spans="1:8" x14ac:dyDescent="0.25">
      <c r="A14498" s="1"/>
      <c r="B14498" s="1" t="s">
        <v>5782</v>
      </c>
      <c r="C14498" s="1" t="s">
        <v>5783</v>
      </c>
      <c r="D14498" s="22" t="str">
        <f>HYPERLINK("https://rhld.insurance.arkansas.gov/NPILookup?Npi=1356431928","1356431928")</f>
        <v>1356431928</v>
      </c>
      <c r="E14498" s="1" t="s">
        <v>3267</v>
      </c>
      <c r="F14498" s="2"/>
      <c r="G14498" s="2"/>
      <c r="H14498" s="2"/>
    </row>
    <row r="14499" spans="1:8" x14ac:dyDescent="0.25">
      <c r="A14499" s="1"/>
      <c r="B14499" s="1" t="s">
        <v>5782</v>
      </c>
      <c r="C14499" s="1" t="s">
        <v>5783</v>
      </c>
      <c r="D14499" s="22" t="str">
        <f>HYPERLINK("https://rhld.insurance.arkansas.gov/NPILookup?Npi=1356458269","1356458269")</f>
        <v>1356458269</v>
      </c>
      <c r="E14499" s="1" t="s">
        <v>5813</v>
      </c>
      <c r="F14499" s="2"/>
      <c r="G14499" s="2"/>
      <c r="H14499" s="2"/>
    </row>
    <row r="14500" spans="1:8" x14ac:dyDescent="0.25">
      <c r="A14500" s="1"/>
      <c r="B14500" s="1" t="s">
        <v>5782</v>
      </c>
      <c r="C14500" s="1" t="s">
        <v>5783</v>
      </c>
      <c r="D14500" s="22" t="str">
        <f>HYPERLINK("https://rhld.insurance.arkansas.gov/NPILookup?Npi=1356502165","1356502165")</f>
        <v>1356502165</v>
      </c>
      <c r="E14500" s="1" t="s">
        <v>21943</v>
      </c>
      <c r="F14500" s="2"/>
      <c r="G14500" s="2"/>
      <c r="H14500" s="2"/>
    </row>
    <row r="14501" spans="1:8" x14ac:dyDescent="0.25">
      <c r="A14501" s="1"/>
      <c r="B14501" s="1" t="s">
        <v>5782</v>
      </c>
      <c r="C14501" s="1" t="s">
        <v>5783</v>
      </c>
      <c r="D14501" s="22" t="str">
        <f>HYPERLINK("https://rhld.insurance.arkansas.gov/NPILookup?Npi=1356516058","1356516058")</f>
        <v>1356516058</v>
      </c>
      <c r="E14501" s="1" t="s">
        <v>21944</v>
      </c>
      <c r="F14501" s="2"/>
      <c r="G14501" s="2"/>
      <c r="H14501" s="2"/>
    </row>
    <row r="14502" spans="1:8" x14ac:dyDescent="0.25">
      <c r="A14502" s="1"/>
      <c r="B14502" s="1" t="s">
        <v>5782</v>
      </c>
      <c r="C14502" s="1" t="s">
        <v>5783</v>
      </c>
      <c r="D14502" s="22" t="str">
        <f>HYPERLINK("https://rhld.insurance.arkansas.gov/NPILookup?Npi=1356539027","1356539027")</f>
        <v>1356539027</v>
      </c>
      <c r="E14502" s="1" t="s">
        <v>21945</v>
      </c>
      <c r="F14502" s="2"/>
      <c r="G14502" s="2"/>
      <c r="H14502" s="2"/>
    </row>
    <row r="14503" spans="1:8" x14ac:dyDescent="0.25">
      <c r="A14503" s="1"/>
      <c r="B14503" s="1" t="s">
        <v>5782</v>
      </c>
      <c r="C14503" s="1" t="s">
        <v>5783</v>
      </c>
      <c r="D14503" s="22" t="str">
        <f>HYPERLINK("https://rhld.insurance.arkansas.gov/NPILookup?Npi=1356547442","1356547442")</f>
        <v>1356547442</v>
      </c>
      <c r="E14503" s="1" t="s">
        <v>21946</v>
      </c>
      <c r="F14503" s="2"/>
      <c r="G14503" s="2"/>
      <c r="H14503" s="2"/>
    </row>
    <row r="14504" spans="1:8" x14ac:dyDescent="0.25">
      <c r="A14504" s="1"/>
      <c r="B14504" s="1" t="s">
        <v>5782</v>
      </c>
      <c r="C14504" s="1" t="s">
        <v>5783</v>
      </c>
      <c r="D14504" s="22" t="str">
        <f>HYPERLINK("https://rhld.insurance.arkansas.gov/NPILookup?Npi=1356574032","1356574032")</f>
        <v>1356574032</v>
      </c>
      <c r="E14504" s="1" t="s">
        <v>21947</v>
      </c>
      <c r="F14504" s="2"/>
      <c r="G14504" s="2"/>
      <c r="H14504" s="2"/>
    </row>
    <row r="14505" spans="1:8" x14ac:dyDescent="0.25">
      <c r="A14505" s="1"/>
      <c r="B14505" s="1" t="s">
        <v>5782</v>
      </c>
      <c r="C14505" s="1" t="s">
        <v>5783</v>
      </c>
      <c r="D14505" s="22" t="str">
        <f>HYPERLINK("https://rhld.insurance.arkansas.gov/NPILookup?Npi=1356580666","1356580666")</f>
        <v>1356580666</v>
      </c>
      <c r="E14505" s="1" t="s">
        <v>16432</v>
      </c>
      <c r="F14505" s="2"/>
      <c r="G14505" s="2"/>
      <c r="H14505" s="2"/>
    </row>
    <row r="14506" spans="1:8" x14ac:dyDescent="0.25">
      <c r="A14506" s="1"/>
      <c r="B14506" s="1" t="s">
        <v>5782</v>
      </c>
      <c r="C14506" s="1" t="s">
        <v>5783</v>
      </c>
      <c r="D14506" s="22" t="str">
        <f>HYPERLINK("https://rhld.insurance.arkansas.gov/NPILookup?Npi=1356592679","1356592679")</f>
        <v>1356592679</v>
      </c>
      <c r="E14506" s="1" t="s">
        <v>21948</v>
      </c>
      <c r="F14506" s="2"/>
      <c r="G14506" s="2"/>
      <c r="H14506" s="2"/>
    </row>
    <row r="14507" spans="1:8" x14ac:dyDescent="0.25">
      <c r="A14507" s="1"/>
      <c r="B14507" s="1" t="s">
        <v>5782</v>
      </c>
      <c r="C14507" s="1" t="s">
        <v>5783</v>
      </c>
      <c r="D14507" s="22" t="str">
        <f>HYPERLINK("https://rhld.insurance.arkansas.gov/NPILookup?Npi=1356595540","1356595540")</f>
        <v>1356595540</v>
      </c>
      <c r="E14507" s="1" t="s">
        <v>11708</v>
      </c>
      <c r="F14507" s="2"/>
      <c r="G14507" s="2"/>
      <c r="H14507" s="2"/>
    </row>
    <row r="14508" spans="1:8" x14ac:dyDescent="0.25">
      <c r="A14508" s="1"/>
      <c r="B14508" s="1" t="s">
        <v>5782</v>
      </c>
      <c r="C14508" s="1" t="s">
        <v>5783</v>
      </c>
      <c r="D14508" s="22" t="str">
        <f>HYPERLINK("https://rhld.insurance.arkansas.gov/NPILookup?Npi=1356618623","1356618623")</f>
        <v>1356618623</v>
      </c>
      <c r="E14508" s="1" t="s">
        <v>2179</v>
      </c>
      <c r="F14508" s="2"/>
      <c r="G14508" s="2"/>
      <c r="H14508" s="2"/>
    </row>
    <row r="14509" spans="1:8" x14ac:dyDescent="0.25">
      <c r="A14509" s="1"/>
      <c r="B14509" s="1" t="s">
        <v>5782</v>
      </c>
      <c r="C14509" s="1" t="s">
        <v>5783</v>
      </c>
      <c r="D14509" s="22" t="str">
        <f>HYPERLINK("https://rhld.insurance.arkansas.gov/NPILookup?Npi=1356618995","1356618995")</f>
        <v>1356618995</v>
      </c>
      <c r="E14509" s="1" t="s">
        <v>21949</v>
      </c>
      <c r="F14509" s="2"/>
      <c r="G14509" s="2"/>
      <c r="H14509" s="2"/>
    </row>
    <row r="14510" spans="1:8" x14ac:dyDescent="0.25">
      <c r="A14510" s="1"/>
      <c r="B14510" s="1" t="s">
        <v>5782</v>
      </c>
      <c r="C14510" s="1" t="s">
        <v>5783</v>
      </c>
      <c r="D14510" s="22" t="str">
        <f>HYPERLINK("https://rhld.insurance.arkansas.gov/NPILookup?Npi=1356622807","1356622807")</f>
        <v>1356622807</v>
      </c>
      <c r="E14510" s="1" t="s">
        <v>21950</v>
      </c>
      <c r="F14510" s="2"/>
      <c r="G14510" s="2"/>
      <c r="H14510" s="2"/>
    </row>
    <row r="14511" spans="1:8" x14ac:dyDescent="0.25">
      <c r="A14511" s="1"/>
      <c r="B14511" s="1" t="s">
        <v>5782</v>
      </c>
      <c r="C14511" s="1" t="s">
        <v>5783</v>
      </c>
      <c r="D14511" s="22" t="str">
        <f>HYPERLINK("https://rhld.insurance.arkansas.gov/NPILookup?Npi=1356644801","1356644801")</f>
        <v>1356644801</v>
      </c>
      <c r="E14511" s="1" t="s">
        <v>21951</v>
      </c>
      <c r="F14511" s="2"/>
      <c r="G14511" s="2"/>
      <c r="H14511" s="2"/>
    </row>
    <row r="14512" spans="1:8" x14ac:dyDescent="0.25">
      <c r="A14512" s="1"/>
      <c r="B14512" s="1" t="s">
        <v>5782</v>
      </c>
      <c r="C14512" s="1" t="s">
        <v>5783</v>
      </c>
      <c r="D14512" s="22" t="str">
        <f>HYPERLINK("https://rhld.insurance.arkansas.gov/NPILookup?Npi=1356645436","1356645436")</f>
        <v>1356645436</v>
      </c>
      <c r="E14512" s="1" t="s">
        <v>21952</v>
      </c>
      <c r="F14512" s="2"/>
      <c r="G14512" s="2"/>
      <c r="H14512" s="2"/>
    </row>
    <row r="14513" spans="1:8" x14ac:dyDescent="0.25">
      <c r="A14513" s="1"/>
      <c r="B14513" s="1" t="s">
        <v>5782</v>
      </c>
      <c r="C14513" s="1" t="s">
        <v>5783</v>
      </c>
      <c r="D14513" s="22" t="str">
        <f>HYPERLINK("https://rhld.insurance.arkansas.gov/NPILookup?Npi=1356649420","1356649420")</f>
        <v>1356649420</v>
      </c>
      <c r="E14513" s="1" t="s">
        <v>21953</v>
      </c>
      <c r="F14513" s="2"/>
      <c r="G14513" s="2"/>
      <c r="H14513" s="2"/>
    </row>
    <row r="14514" spans="1:8" x14ac:dyDescent="0.25">
      <c r="A14514" s="1"/>
      <c r="B14514" s="1" t="s">
        <v>5782</v>
      </c>
      <c r="C14514" s="1" t="s">
        <v>5783</v>
      </c>
      <c r="D14514" s="22" t="str">
        <f>HYPERLINK("https://rhld.insurance.arkansas.gov/NPILookup?Npi=1356659098","1356659098")</f>
        <v>1356659098</v>
      </c>
      <c r="E14514" s="1" t="s">
        <v>11709</v>
      </c>
      <c r="F14514" s="2"/>
      <c r="G14514" s="2"/>
      <c r="H14514" s="2"/>
    </row>
    <row r="14515" spans="1:8" x14ac:dyDescent="0.25">
      <c r="A14515" s="1"/>
      <c r="B14515" s="1" t="s">
        <v>5782</v>
      </c>
      <c r="C14515" s="1" t="s">
        <v>5783</v>
      </c>
      <c r="D14515" s="22" t="str">
        <f>HYPERLINK("https://rhld.insurance.arkansas.gov/NPILookup?Npi=1356665533","1356665533")</f>
        <v>1356665533</v>
      </c>
      <c r="E14515" s="1" t="s">
        <v>21954</v>
      </c>
      <c r="F14515" s="2"/>
      <c r="G14515" s="2"/>
      <c r="H14515" s="2"/>
    </row>
    <row r="14516" spans="1:8" x14ac:dyDescent="0.25">
      <c r="A14516" s="1"/>
      <c r="B14516" s="1" t="s">
        <v>5782</v>
      </c>
      <c r="C14516" s="1" t="s">
        <v>5783</v>
      </c>
      <c r="D14516" s="22" t="str">
        <f>HYPERLINK("https://rhld.insurance.arkansas.gov/NPILookup?Npi=1356667182","1356667182")</f>
        <v>1356667182</v>
      </c>
      <c r="E14516" s="1" t="s">
        <v>6205</v>
      </c>
      <c r="F14516" s="2"/>
      <c r="G14516" s="2"/>
      <c r="H14516" s="2"/>
    </row>
    <row r="14517" spans="1:8" x14ac:dyDescent="0.25">
      <c r="A14517" s="1"/>
      <c r="B14517" s="1" t="s">
        <v>5782</v>
      </c>
      <c r="C14517" s="1" t="s">
        <v>5783</v>
      </c>
      <c r="D14517" s="22" t="str">
        <f>HYPERLINK("https://rhld.insurance.arkansas.gov/NPILookup?Npi=1356679336","1356679336")</f>
        <v>1356679336</v>
      </c>
      <c r="E14517" s="1" t="s">
        <v>21955</v>
      </c>
      <c r="F14517" s="2"/>
      <c r="G14517" s="2"/>
      <c r="H14517" s="2"/>
    </row>
    <row r="14518" spans="1:8" x14ac:dyDescent="0.25">
      <c r="A14518" s="1"/>
      <c r="B14518" s="1" t="s">
        <v>5782</v>
      </c>
      <c r="C14518" s="1" t="s">
        <v>5783</v>
      </c>
      <c r="D14518" s="22" t="str">
        <f>HYPERLINK("https://rhld.insurance.arkansas.gov/NPILookup?Npi=1356682165","1356682165")</f>
        <v>1356682165</v>
      </c>
      <c r="E14518" s="1" t="s">
        <v>1860</v>
      </c>
      <c r="F14518" s="2"/>
      <c r="G14518" s="2"/>
      <c r="H14518" s="2"/>
    </row>
    <row r="14519" spans="1:8" x14ac:dyDescent="0.25">
      <c r="A14519" s="1"/>
      <c r="B14519" s="1" t="s">
        <v>5782</v>
      </c>
      <c r="C14519" s="1" t="s">
        <v>5783</v>
      </c>
      <c r="D14519" s="22" t="str">
        <f>HYPERLINK("https://rhld.insurance.arkansas.gov/NPILookup?Npi=1356696694","1356696694")</f>
        <v>1356696694</v>
      </c>
      <c r="E14519" s="1" t="s">
        <v>11710</v>
      </c>
      <c r="F14519" s="2"/>
      <c r="G14519" s="2"/>
      <c r="H14519" s="2"/>
    </row>
    <row r="14520" spans="1:8" x14ac:dyDescent="0.25">
      <c r="A14520" s="1"/>
      <c r="B14520" s="1" t="s">
        <v>5782</v>
      </c>
      <c r="C14520" s="1" t="s">
        <v>5783</v>
      </c>
      <c r="D14520" s="22" t="str">
        <f>HYPERLINK("https://rhld.insurance.arkansas.gov/NPILookup?Npi=1356706238","1356706238")</f>
        <v>1356706238</v>
      </c>
      <c r="E14520" s="1" t="s">
        <v>21956</v>
      </c>
      <c r="F14520" s="2"/>
      <c r="G14520" s="2"/>
      <c r="H14520" s="2"/>
    </row>
    <row r="14521" spans="1:8" x14ac:dyDescent="0.25">
      <c r="A14521" s="1"/>
      <c r="B14521" s="1" t="s">
        <v>5782</v>
      </c>
      <c r="C14521" s="1" t="s">
        <v>5783</v>
      </c>
      <c r="D14521" s="22" t="str">
        <f>HYPERLINK("https://rhld.insurance.arkansas.gov/NPILookup?Npi=1356712616","1356712616")</f>
        <v>1356712616</v>
      </c>
      <c r="E14521" s="1" t="s">
        <v>1329</v>
      </c>
      <c r="F14521" s="2"/>
      <c r="G14521" s="2"/>
      <c r="H14521" s="2"/>
    </row>
    <row r="14522" spans="1:8" x14ac:dyDescent="0.25">
      <c r="A14522" s="1"/>
      <c r="B14522" s="1" t="s">
        <v>5782</v>
      </c>
      <c r="C14522" s="1" t="s">
        <v>5783</v>
      </c>
      <c r="D14522" s="22" t="str">
        <f>HYPERLINK("https://rhld.insurance.arkansas.gov/NPILookup?Npi=1356717888","1356717888")</f>
        <v>1356717888</v>
      </c>
      <c r="E14522" s="1" t="s">
        <v>11711</v>
      </c>
      <c r="F14522" s="2"/>
      <c r="G14522" s="2"/>
      <c r="H14522" s="2"/>
    </row>
    <row r="14523" spans="1:8" x14ac:dyDescent="0.25">
      <c r="A14523" s="1"/>
      <c r="B14523" s="1" t="s">
        <v>5782</v>
      </c>
      <c r="C14523" s="1" t="s">
        <v>5783</v>
      </c>
      <c r="D14523" s="22" t="str">
        <f>HYPERLINK("https://rhld.insurance.arkansas.gov/NPILookup?Npi=1356742464","1356742464")</f>
        <v>1356742464</v>
      </c>
      <c r="E14523" s="1" t="s">
        <v>21957</v>
      </c>
      <c r="F14523" s="2"/>
      <c r="G14523" s="2"/>
      <c r="H14523" s="2"/>
    </row>
    <row r="14524" spans="1:8" x14ac:dyDescent="0.25">
      <c r="A14524" s="1"/>
      <c r="B14524" s="1" t="s">
        <v>5782</v>
      </c>
      <c r="C14524" s="1" t="s">
        <v>5783</v>
      </c>
      <c r="D14524" s="22" t="str">
        <f>HYPERLINK("https://rhld.insurance.arkansas.gov/NPILookup?Npi=1356745707","1356745707")</f>
        <v>1356745707</v>
      </c>
      <c r="E14524" s="1" t="s">
        <v>11712</v>
      </c>
      <c r="F14524" s="2"/>
      <c r="G14524" s="2"/>
      <c r="H14524" s="2"/>
    </row>
    <row r="14525" spans="1:8" x14ac:dyDescent="0.25">
      <c r="A14525" s="1"/>
      <c r="B14525" s="1" t="s">
        <v>5782</v>
      </c>
      <c r="C14525" s="1" t="s">
        <v>5783</v>
      </c>
      <c r="D14525" s="22" t="str">
        <f>HYPERLINK("https://rhld.insurance.arkansas.gov/NPILookup?Npi=1356749139","1356749139")</f>
        <v>1356749139</v>
      </c>
      <c r="E14525" s="1" t="s">
        <v>6206</v>
      </c>
      <c r="F14525" s="2"/>
      <c r="G14525" s="2"/>
      <c r="H14525" s="2"/>
    </row>
    <row r="14526" spans="1:8" x14ac:dyDescent="0.25">
      <c r="A14526" s="1"/>
      <c r="B14526" s="1" t="s">
        <v>5782</v>
      </c>
      <c r="C14526" s="1" t="s">
        <v>5783</v>
      </c>
      <c r="D14526" s="22" t="str">
        <f>HYPERLINK("https://rhld.insurance.arkansas.gov/NPILookup?Npi=1356756183","1356756183")</f>
        <v>1356756183</v>
      </c>
      <c r="E14526" s="1" t="s">
        <v>11713</v>
      </c>
      <c r="F14526" s="2"/>
      <c r="G14526" s="2"/>
      <c r="H14526" s="2"/>
    </row>
    <row r="14527" spans="1:8" x14ac:dyDescent="0.25">
      <c r="A14527" s="1"/>
      <c r="B14527" s="1" t="s">
        <v>5782</v>
      </c>
      <c r="C14527" s="1" t="s">
        <v>5783</v>
      </c>
      <c r="D14527" s="22" t="str">
        <f>HYPERLINK("https://rhld.insurance.arkansas.gov/NPILookup?Npi=1356813034","1356813034")</f>
        <v>1356813034</v>
      </c>
      <c r="E14527" s="1" t="s">
        <v>21958</v>
      </c>
      <c r="F14527" s="2"/>
      <c r="G14527" s="2"/>
      <c r="H14527" s="2"/>
    </row>
    <row r="14528" spans="1:8" x14ac:dyDescent="0.25">
      <c r="A14528" s="1"/>
      <c r="B14528" s="1" t="s">
        <v>5782</v>
      </c>
      <c r="C14528" s="1" t="s">
        <v>5783</v>
      </c>
      <c r="D14528" s="22" t="str">
        <f>HYPERLINK("https://rhld.insurance.arkansas.gov/NPILookup?Npi=1356830293","1356830293")</f>
        <v>1356830293</v>
      </c>
      <c r="E14528" s="1" t="s">
        <v>2180</v>
      </c>
      <c r="F14528" s="2"/>
      <c r="G14528" s="2"/>
      <c r="H14528" s="2"/>
    </row>
    <row r="14529" spans="1:8" x14ac:dyDescent="0.25">
      <c r="A14529" s="1"/>
      <c r="B14529" s="1" t="s">
        <v>5782</v>
      </c>
      <c r="C14529" s="1" t="s">
        <v>5783</v>
      </c>
      <c r="D14529" s="22" t="str">
        <f>HYPERLINK("https://rhld.insurance.arkansas.gov/NPILookup?Npi=1356831424","1356831424")</f>
        <v>1356831424</v>
      </c>
      <c r="E14529" s="1" t="s">
        <v>6207</v>
      </c>
      <c r="F14529" s="2"/>
      <c r="G14529" s="2"/>
      <c r="H14529" s="2"/>
    </row>
    <row r="14530" spans="1:8" x14ac:dyDescent="0.25">
      <c r="A14530" s="1"/>
      <c r="B14530" s="1" t="s">
        <v>5782</v>
      </c>
      <c r="C14530" s="1" t="s">
        <v>5783</v>
      </c>
      <c r="D14530" s="22" t="str">
        <f>HYPERLINK("https://rhld.insurance.arkansas.gov/NPILookup?Npi=1356850283","1356850283")</f>
        <v>1356850283</v>
      </c>
      <c r="E14530" s="1" t="s">
        <v>6208</v>
      </c>
      <c r="F14530" s="2"/>
      <c r="G14530" s="2"/>
      <c r="H14530" s="2"/>
    </row>
    <row r="14531" spans="1:8" x14ac:dyDescent="0.25">
      <c r="A14531" s="1"/>
      <c r="B14531" s="1" t="s">
        <v>5782</v>
      </c>
      <c r="C14531" s="1" t="s">
        <v>5783</v>
      </c>
      <c r="D14531" s="22" t="str">
        <f>HYPERLINK("https://rhld.insurance.arkansas.gov/NPILookup?Npi=1356865943","1356865943")</f>
        <v>1356865943</v>
      </c>
      <c r="E14531" s="1" t="s">
        <v>21959</v>
      </c>
      <c r="F14531" s="2"/>
      <c r="G14531" s="2"/>
      <c r="H14531" s="2"/>
    </row>
    <row r="14532" spans="1:8" x14ac:dyDescent="0.25">
      <c r="A14532" s="1"/>
      <c r="B14532" s="1" t="s">
        <v>5782</v>
      </c>
      <c r="C14532" s="1" t="s">
        <v>5783</v>
      </c>
      <c r="D14532" s="22" t="str">
        <f>HYPERLINK("https://rhld.insurance.arkansas.gov/NPILookup?Npi=1356869911","1356869911")</f>
        <v>1356869911</v>
      </c>
      <c r="E14532" s="1" t="s">
        <v>21960</v>
      </c>
      <c r="F14532" s="2"/>
      <c r="G14532" s="2"/>
      <c r="H14532" s="2"/>
    </row>
    <row r="14533" spans="1:8" x14ac:dyDescent="0.25">
      <c r="A14533" s="1"/>
      <c r="B14533" s="1" t="s">
        <v>5782</v>
      </c>
      <c r="C14533" s="1" t="s">
        <v>5783</v>
      </c>
      <c r="D14533" s="22" t="str">
        <f>HYPERLINK("https://rhld.insurance.arkansas.gov/NPILookup?Npi=1356889943","1356889943")</f>
        <v>1356889943</v>
      </c>
      <c r="E14533" s="1" t="s">
        <v>11714</v>
      </c>
      <c r="F14533" s="2"/>
      <c r="G14533" s="2"/>
      <c r="H14533" s="2"/>
    </row>
    <row r="14534" spans="1:8" x14ac:dyDescent="0.25">
      <c r="A14534" s="1"/>
      <c r="B14534" s="1" t="s">
        <v>5782</v>
      </c>
      <c r="C14534" s="1" t="s">
        <v>5783</v>
      </c>
      <c r="D14534" s="22" t="str">
        <f>HYPERLINK("https://rhld.insurance.arkansas.gov/NPILookup?Npi=1356902779","1356902779")</f>
        <v>1356902779</v>
      </c>
      <c r="E14534" s="1" t="s">
        <v>5848</v>
      </c>
      <c r="F14534" s="2"/>
      <c r="G14534" s="2"/>
      <c r="H14534" s="2"/>
    </row>
    <row r="14535" spans="1:8" x14ac:dyDescent="0.25">
      <c r="A14535" s="1"/>
      <c r="B14535" s="1" t="s">
        <v>5782</v>
      </c>
      <c r="C14535" s="1" t="s">
        <v>5783</v>
      </c>
      <c r="D14535" s="22" t="str">
        <f>HYPERLINK("https://rhld.insurance.arkansas.gov/NPILookup?Npi=1356930671","1356930671")</f>
        <v>1356930671</v>
      </c>
      <c r="E14535" s="1" t="s">
        <v>11715</v>
      </c>
      <c r="F14535" s="2"/>
      <c r="G14535" s="2"/>
      <c r="H14535" s="2"/>
    </row>
    <row r="14536" spans="1:8" x14ac:dyDescent="0.25">
      <c r="A14536" s="1"/>
      <c r="B14536" s="1" t="s">
        <v>5782</v>
      </c>
      <c r="C14536" s="1" t="s">
        <v>5783</v>
      </c>
      <c r="D14536" s="22" t="str">
        <f>HYPERLINK("https://rhld.insurance.arkansas.gov/NPILookup?Npi=1356933097","1356933097")</f>
        <v>1356933097</v>
      </c>
      <c r="E14536" s="1" t="s">
        <v>21961</v>
      </c>
      <c r="F14536" s="2"/>
      <c r="G14536" s="2"/>
      <c r="H14536" s="2"/>
    </row>
    <row r="14537" spans="1:8" x14ac:dyDescent="0.25">
      <c r="A14537" s="1"/>
      <c r="B14537" s="1" t="s">
        <v>5782</v>
      </c>
      <c r="C14537" s="1" t="s">
        <v>5783</v>
      </c>
      <c r="D14537" s="22" t="str">
        <f>HYPERLINK("https://rhld.insurance.arkansas.gov/NPILookup?Npi=1356934723","1356934723")</f>
        <v>1356934723</v>
      </c>
      <c r="E14537" s="1" t="s">
        <v>2476</v>
      </c>
      <c r="F14537" s="2"/>
      <c r="G14537" s="2"/>
      <c r="H14537" s="2"/>
    </row>
    <row r="14538" spans="1:8" x14ac:dyDescent="0.25">
      <c r="A14538" s="1"/>
      <c r="B14538" s="1" t="s">
        <v>5782</v>
      </c>
      <c r="C14538" s="1" t="s">
        <v>5783</v>
      </c>
      <c r="D14538" s="22" t="str">
        <f>HYPERLINK("https://rhld.insurance.arkansas.gov/NPILookup?Npi=1356936934","1356936934")</f>
        <v>1356936934</v>
      </c>
      <c r="E14538" s="1" t="s">
        <v>11716</v>
      </c>
      <c r="F14538" s="2"/>
      <c r="G14538" s="2"/>
      <c r="H14538" s="2"/>
    </row>
    <row r="14539" spans="1:8" x14ac:dyDescent="0.25">
      <c r="A14539" s="1"/>
      <c r="B14539" s="1" t="s">
        <v>5782</v>
      </c>
      <c r="C14539" s="1" t="s">
        <v>5783</v>
      </c>
      <c r="D14539" s="22" t="str">
        <f>HYPERLINK("https://rhld.insurance.arkansas.gov/NPILookup?Npi=1356943179","1356943179")</f>
        <v>1356943179</v>
      </c>
      <c r="E14539" s="1" t="s">
        <v>6210</v>
      </c>
      <c r="F14539" s="2"/>
      <c r="G14539" s="2"/>
      <c r="H14539" s="2"/>
    </row>
    <row r="14540" spans="1:8" x14ac:dyDescent="0.25">
      <c r="A14540" s="1"/>
      <c r="B14540" s="1" t="s">
        <v>5782</v>
      </c>
      <c r="C14540" s="1" t="s">
        <v>5783</v>
      </c>
      <c r="D14540" s="22" t="str">
        <f>HYPERLINK("https://rhld.insurance.arkansas.gov/NPILookup?Npi=1356956197","1356956197")</f>
        <v>1356956197</v>
      </c>
      <c r="E14540" s="1" t="s">
        <v>21962</v>
      </c>
      <c r="F14540" s="2"/>
      <c r="G14540" s="2"/>
      <c r="H14540" s="2"/>
    </row>
    <row r="14541" spans="1:8" x14ac:dyDescent="0.25">
      <c r="A14541" s="1"/>
      <c r="B14541" s="1" t="s">
        <v>5782</v>
      </c>
      <c r="C14541" s="1" t="s">
        <v>5783</v>
      </c>
      <c r="D14541" s="22" t="str">
        <f>HYPERLINK("https://rhld.insurance.arkansas.gov/NPILookup?Npi=1356959696","1356959696")</f>
        <v>1356959696</v>
      </c>
      <c r="E14541" s="1" t="s">
        <v>21963</v>
      </c>
      <c r="F14541" s="2"/>
      <c r="G14541" s="2"/>
      <c r="H14541" s="2"/>
    </row>
    <row r="14542" spans="1:8" x14ac:dyDescent="0.25">
      <c r="A14542" s="1"/>
      <c r="B14542" s="1" t="s">
        <v>5782</v>
      </c>
      <c r="C14542" s="1" t="s">
        <v>5783</v>
      </c>
      <c r="D14542" s="22" t="str">
        <f>HYPERLINK("https://rhld.insurance.arkansas.gov/NPILookup?Npi=1356978175","1356978175")</f>
        <v>1356978175</v>
      </c>
      <c r="E14542" s="1" t="s">
        <v>11717</v>
      </c>
      <c r="F14542" s="2"/>
      <c r="G14542" s="2"/>
      <c r="H14542" s="2"/>
    </row>
    <row r="14543" spans="1:8" x14ac:dyDescent="0.25">
      <c r="A14543" s="1"/>
      <c r="B14543" s="1" t="s">
        <v>5782</v>
      </c>
      <c r="C14543" s="1" t="s">
        <v>5783</v>
      </c>
      <c r="D14543" s="22" t="str">
        <f>HYPERLINK("https://rhld.insurance.arkansas.gov/NPILookup?Npi=1356980759","1356980759")</f>
        <v>1356980759</v>
      </c>
      <c r="E14543" s="1" t="s">
        <v>6211</v>
      </c>
      <c r="F14543" s="2"/>
      <c r="G14543" s="2"/>
      <c r="H14543" s="2"/>
    </row>
    <row r="14544" spans="1:8" x14ac:dyDescent="0.25">
      <c r="A14544" s="1"/>
      <c r="B14544" s="1" t="s">
        <v>5782</v>
      </c>
      <c r="C14544" s="1" t="s">
        <v>5783</v>
      </c>
      <c r="D14544" s="22" t="str">
        <f>HYPERLINK("https://rhld.insurance.arkansas.gov/NPILookup?Npi=1356991343","1356991343")</f>
        <v>1356991343</v>
      </c>
      <c r="E14544" s="1" t="s">
        <v>6212</v>
      </c>
      <c r="F14544" s="2"/>
      <c r="G14544" s="2"/>
      <c r="H14544" s="2"/>
    </row>
    <row r="14545" spans="1:8" x14ac:dyDescent="0.25">
      <c r="A14545" s="1"/>
      <c r="B14545" s="1" t="s">
        <v>5782</v>
      </c>
      <c r="C14545" s="1" t="s">
        <v>5783</v>
      </c>
      <c r="D14545" s="22" t="str">
        <f>HYPERLINK("https://rhld.insurance.arkansas.gov/NPILookup?Npi=1356995823","1356995823")</f>
        <v>1356995823</v>
      </c>
      <c r="E14545" s="1" t="s">
        <v>11718</v>
      </c>
      <c r="F14545" s="2"/>
      <c r="G14545" s="2"/>
      <c r="H14545" s="2"/>
    </row>
    <row r="14546" spans="1:8" x14ac:dyDescent="0.25">
      <c r="A14546" s="1"/>
      <c r="B14546" s="1" t="s">
        <v>5782</v>
      </c>
      <c r="C14546" s="1" t="s">
        <v>5783</v>
      </c>
      <c r="D14546" s="22" t="str">
        <f>HYPERLINK("https://rhld.insurance.arkansas.gov/NPILookup?Npi=1356996540","1356996540")</f>
        <v>1356996540</v>
      </c>
      <c r="E14546" s="1" t="s">
        <v>2181</v>
      </c>
      <c r="F14546" s="2"/>
      <c r="G14546" s="2"/>
      <c r="H14546" s="2"/>
    </row>
    <row r="14547" spans="1:8" x14ac:dyDescent="0.25">
      <c r="A14547" s="1"/>
      <c r="B14547" s="1" t="s">
        <v>5782</v>
      </c>
      <c r="C14547" s="1" t="s">
        <v>5783</v>
      </c>
      <c r="D14547" s="22" t="str">
        <f>HYPERLINK("https://rhld.insurance.arkansas.gov/NPILookup?Npi=1366009847","1366009847")</f>
        <v>1366009847</v>
      </c>
      <c r="E14547" s="1" t="s">
        <v>21964</v>
      </c>
      <c r="F14547" s="2"/>
      <c r="G14547" s="2"/>
      <c r="H14547" s="2"/>
    </row>
    <row r="14548" spans="1:8" x14ac:dyDescent="0.25">
      <c r="A14548" s="1"/>
      <c r="B14548" s="1" t="s">
        <v>5782</v>
      </c>
      <c r="C14548" s="1" t="s">
        <v>5783</v>
      </c>
      <c r="D14548" s="22" t="str">
        <f>HYPERLINK("https://rhld.insurance.arkansas.gov/NPILookup?Npi=1366017626","1366017626")</f>
        <v>1366017626</v>
      </c>
      <c r="E14548" s="1" t="s">
        <v>11719</v>
      </c>
      <c r="F14548" s="2"/>
      <c r="G14548" s="2"/>
      <c r="H14548" s="2"/>
    </row>
    <row r="14549" spans="1:8" x14ac:dyDescent="0.25">
      <c r="A14549" s="1"/>
      <c r="B14549" s="1" t="s">
        <v>5782</v>
      </c>
      <c r="C14549" s="1" t="s">
        <v>5783</v>
      </c>
      <c r="D14549" s="22" t="str">
        <f>HYPERLINK("https://rhld.insurance.arkansas.gov/NPILookup?Npi=1366033516","1366033516")</f>
        <v>1366033516</v>
      </c>
      <c r="E14549" s="1" t="s">
        <v>31862</v>
      </c>
      <c r="F14549" s="2"/>
      <c r="G14549" s="2"/>
      <c r="H14549" s="2"/>
    </row>
    <row r="14550" spans="1:8" x14ac:dyDescent="0.25">
      <c r="A14550" s="1"/>
      <c r="B14550" s="1" t="s">
        <v>5782</v>
      </c>
      <c r="C14550" s="1" t="s">
        <v>5783</v>
      </c>
      <c r="D14550" s="22" t="str">
        <f>HYPERLINK("https://rhld.insurance.arkansas.gov/NPILookup?Npi=1366037749","1366037749")</f>
        <v>1366037749</v>
      </c>
      <c r="E14550" s="1" t="s">
        <v>6213</v>
      </c>
      <c r="F14550" s="2"/>
      <c r="G14550" s="2"/>
      <c r="H14550" s="2"/>
    </row>
    <row r="14551" spans="1:8" x14ac:dyDescent="0.25">
      <c r="A14551" s="1"/>
      <c r="B14551" s="1" t="s">
        <v>5782</v>
      </c>
      <c r="C14551" s="1" t="s">
        <v>5783</v>
      </c>
      <c r="D14551" s="22" t="str">
        <f>HYPERLINK("https://rhld.insurance.arkansas.gov/NPILookup?Npi=1366055014","1366055014")</f>
        <v>1366055014</v>
      </c>
      <c r="E14551" s="1" t="s">
        <v>5285</v>
      </c>
      <c r="F14551" s="2"/>
      <c r="G14551" s="2"/>
      <c r="H14551" s="2"/>
    </row>
    <row r="14552" spans="1:8" x14ac:dyDescent="0.25">
      <c r="A14552" s="1"/>
      <c r="B14552" s="1" t="s">
        <v>5782</v>
      </c>
      <c r="C14552" s="1" t="s">
        <v>5783</v>
      </c>
      <c r="D14552" s="22" t="str">
        <f>HYPERLINK("https://rhld.insurance.arkansas.gov/NPILookup?Npi=1366055840","1366055840")</f>
        <v>1366055840</v>
      </c>
      <c r="E14552" s="1" t="s">
        <v>21965</v>
      </c>
      <c r="F14552" s="2"/>
      <c r="G14552" s="2"/>
      <c r="H14552" s="2"/>
    </row>
    <row r="14553" spans="1:8" x14ac:dyDescent="0.25">
      <c r="A14553" s="1"/>
      <c r="B14553" s="1" t="s">
        <v>5782</v>
      </c>
      <c r="C14553" s="1" t="s">
        <v>5783</v>
      </c>
      <c r="D14553" s="22" t="str">
        <f>HYPERLINK("https://rhld.insurance.arkansas.gov/NPILookup?Npi=1366062887","1366062887")</f>
        <v>1366062887</v>
      </c>
      <c r="E14553" s="1" t="s">
        <v>21966</v>
      </c>
      <c r="F14553" s="2"/>
      <c r="G14553" s="2"/>
      <c r="H14553" s="2"/>
    </row>
    <row r="14554" spans="1:8" x14ac:dyDescent="0.25">
      <c r="A14554" s="1"/>
      <c r="B14554" s="1" t="s">
        <v>5782</v>
      </c>
      <c r="C14554" s="1" t="s">
        <v>5783</v>
      </c>
      <c r="D14554" s="22" t="str">
        <f>HYPERLINK("https://rhld.insurance.arkansas.gov/NPILookup?Npi=1366075467","1366075467")</f>
        <v>1366075467</v>
      </c>
      <c r="E14554" s="1" t="s">
        <v>21967</v>
      </c>
      <c r="F14554" s="2"/>
      <c r="G14554" s="2"/>
      <c r="H14554" s="2"/>
    </row>
    <row r="14555" spans="1:8" x14ac:dyDescent="0.25">
      <c r="A14555" s="1"/>
      <c r="B14555" s="1" t="s">
        <v>5782</v>
      </c>
      <c r="C14555" s="1" t="s">
        <v>5783</v>
      </c>
      <c r="D14555" s="22" t="str">
        <f>HYPERLINK("https://rhld.insurance.arkansas.gov/NPILookup?Npi=1366105207","1366105207")</f>
        <v>1366105207</v>
      </c>
      <c r="E14555" s="1" t="s">
        <v>6214</v>
      </c>
      <c r="F14555" s="2"/>
      <c r="G14555" s="2"/>
      <c r="H14555" s="2"/>
    </row>
    <row r="14556" spans="1:8" x14ac:dyDescent="0.25">
      <c r="A14556" s="1"/>
      <c r="B14556" s="1" t="s">
        <v>5782</v>
      </c>
      <c r="C14556" s="1" t="s">
        <v>5783</v>
      </c>
      <c r="D14556" s="22" t="str">
        <f>HYPERLINK("https://rhld.insurance.arkansas.gov/NPILookup?Npi=1366114274","1366114274")</f>
        <v>1366114274</v>
      </c>
      <c r="E14556" s="1" t="s">
        <v>6215</v>
      </c>
      <c r="F14556" s="2"/>
      <c r="G14556" s="2"/>
      <c r="H14556" s="2"/>
    </row>
    <row r="14557" spans="1:8" x14ac:dyDescent="0.25">
      <c r="A14557" s="1"/>
      <c r="B14557" s="1" t="s">
        <v>5782</v>
      </c>
      <c r="C14557" s="1" t="s">
        <v>5783</v>
      </c>
      <c r="D14557" s="22" t="str">
        <f>HYPERLINK("https://rhld.insurance.arkansas.gov/NPILookup?Npi=1366115529","1366115529")</f>
        <v>1366115529</v>
      </c>
      <c r="E14557" s="1" t="s">
        <v>21968</v>
      </c>
      <c r="F14557" s="2"/>
      <c r="G14557" s="2"/>
      <c r="H14557" s="2"/>
    </row>
    <row r="14558" spans="1:8" x14ac:dyDescent="0.25">
      <c r="A14558" s="1"/>
      <c r="B14558" s="1" t="s">
        <v>5782</v>
      </c>
      <c r="C14558" s="1" t="s">
        <v>5783</v>
      </c>
      <c r="D14558" s="22" t="str">
        <f>HYPERLINK("https://rhld.insurance.arkansas.gov/NPILookup?Npi=1366129389","1366129389")</f>
        <v>1366129389</v>
      </c>
      <c r="E14558" s="1" t="s">
        <v>6216</v>
      </c>
      <c r="F14558" s="2"/>
      <c r="G14558" s="2"/>
      <c r="H14558" s="2"/>
    </row>
    <row r="14559" spans="1:8" x14ac:dyDescent="0.25">
      <c r="A14559" s="1"/>
      <c r="B14559" s="1" t="s">
        <v>5782</v>
      </c>
      <c r="C14559" s="1" t="s">
        <v>5783</v>
      </c>
      <c r="D14559" s="22" t="str">
        <f>HYPERLINK("https://rhld.insurance.arkansas.gov/NPILookup?Npi=1366151805","1366151805")</f>
        <v>1366151805</v>
      </c>
      <c r="E14559" s="1" t="s">
        <v>31863</v>
      </c>
      <c r="F14559" s="2"/>
      <c r="G14559" s="2"/>
      <c r="H14559" s="2"/>
    </row>
    <row r="14560" spans="1:8" x14ac:dyDescent="0.25">
      <c r="A14560" s="1"/>
      <c r="B14560" s="1" t="s">
        <v>5782</v>
      </c>
      <c r="C14560" s="1" t="s">
        <v>5783</v>
      </c>
      <c r="D14560" s="22" t="str">
        <f>HYPERLINK("https://rhld.insurance.arkansas.gov/NPILookup?Npi=1366164832","1366164832")</f>
        <v>1366164832</v>
      </c>
      <c r="E14560" s="1" t="s">
        <v>31864</v>
      </c>
      <c r="F14560" s="2"/>
      <c r="G14560" s="2"/>
      <c r="H14560" s="2"/>
    </row>
    <row r="14561" spans="1:8" x14ac:dyDescent="0.25">
      <c r="A14561" s="1"/>
      <c r="B14561" s="1" t="s">
        <v>5782</v>
      </c>
      <c r="C14561" s="1" t="s">
        <v>5783</v>
      </c>
      <c r="D14561" s="22" t="str">
        <f>HYPERLINK("https://rhld.insurance.arkansas.gov/NPILookup?Npi=1366188831","1366188831")</f>
        <v>1366188831</v>
      </c>
      <c r="E14561" s="1" t="s">
        <v>21969</v>
      </c>
      <c r="F14561" s="2"/>
      <c r="G14561" s="2"/>
      <c r="H14561" s="2"/>
    </row>
    <row r="14562" spans="1:8" x14ac:dyDescent="0.25">
      <c r="A14562" s="1"/>
      <c r="B14562" s="1" t="s">
        <v>5782</v>
      </c>
      <c r="C14562" s="1" t="s">
        <v>5783</v>
      </c>
      <c r="D14562" s="22" t="str">
        <f>HYPERLINK("https://rhld.insurance.arkansas.gov/NPILookup?Npi=1366198798","1366198798")</f>
        <v>1366198798</v>
      </c>
      <c r="E14562" s="1" t="s">
        <v>21970</v>
      </c>
      <c r="F14562" s="2"/>
      <c r="G14562" s="2"/>
      <c r="H14562" s="2"/>
    </row>
    <row r="14563" spans="1:8" x14ac:dyDescent="0.25">
      <c r="A14563" s="1"/>
      <c r="B14563" s="1" t="s">
        <v>5782</v>
      </c>
      <c r="C14563" s="1" t="s">
        <v>5783</v>
      </c>
      <c r="D14563" s="22" t="str">
        <f>HYPERLINK("https://rhld.insurance.arkansas.gov/NPILookup?Npi=1366222051","1366222051")</f>
        <v>1366222051</v>
      </c>
      <c r="E14563" s="1" t="s">
        <v>31865</v>
      </c>
      <c r="F14563" s="2"/>
      <c r="G14563" s="2"/>
      <c r="H14563" s="2"/>
    </row>
    <row r="14564" spans="1:8" x14ac:dyDescent="0.25">
      <c r="A14564" s="1"/>
      <c r="B14564" s="1" t="s">
        <v>5782</v>
      </c>
      <c r="C14564" s="1" t="s">
        <v>5783</v>
      </c>
      <c r="D14564" s="22" t="str">
        <f>HYPERLINK("https://rhld.insurance.arkansas.gov/NPILookup?Npi=1366250045","1366250045")</f>
        <v>1366250045</v>
      </c>
      <c r="E14564" s="1" t="s">
        <v>3261</v>
      </c>
      <c r="F14564" s="2"/>
      <c r="G14564" s="2"/>
      <c r="H14564" s="2"/>
    </row>
    <row r="14565" spans="1:8" x14ac:dyDescent="0.25">
      <c r="A14565" s="1"/>
      <c r="B14565" s="1" t="s">
        <v>5782</v>
      </c>
      <c r="C14565" s="1" t="s">
        <v>5783</v>
      </c>
      <c r="D14565" s="22" t="str">
        <f>HYPERLINK("https://rhld.insurance.arkansas.gov/NPILookup?Npi=1366410516","1366410516")</f>
        <v>1366410516</v>
      </c>
      <c r="E14565" s="1" t="s">
        <v>21971</v>
      </c>
      <c r="F14565" s="2"/>
      <c r="G14565" s="2"/>
      <c r="H14565" s="2"/>
    </row>
    <row r="14566" spans="1:8" x14ac:dyDescent="0.25">
      <c r="A14566" s="1"/>
      <c r="B14566" s="1" t="s">
        <v>5782</v>
      </c>
      <c r="C14566" s="1" t="s">
        <v>5783</v>
      </c>
      <c r="D14566" s="22" t="str">
        <f>HYPERLINK("https://rhld.insurance.arkansas.gov/NPILookup?Npi=1366479669","1366479669")</f>
        <v>1366479669</v>
      </c>
      <c r="E14566" s="1" t="s">
        <v>21527</v>
      </c>
      <c r="F14566" s="2"/>
      <c r="G14566" s="2"/>
      <c r="H14566" s="2"/>
    </row>
    <row r="14567" spans="1:8" x14ac:dyDescent="0.25">
      <c r="A14567" s="1"/>
      <c r="B14567" s="1" t="s">
        <v>5782</v>
      </c>
      <c r="C14567" s="1" t="s">
        <v>5783</v>
      </c>
      <c r="D14567" s="22" t="str">
        <f>HYPERLINK("https://rhld.insurance.arkansas.gov/NPILookup?Npi=1366533499","1366533499")</f>
        <v>1366533499</v>
      </c>
      <c r="E14567" s="1" t="s">
        <v>16809</v>
      </c>
      <c r="F14567" s="2"/>
      <c r="G14567" s="2"/>
      <c r="H14567" s="2"/>
    </row>
    <row r="14568" spans="1:8" x14ac:dyDescent="0.25">
      <c r="A14568" s="1"/>
      <c r="B14568" s="1" t="s">
        <v>5782</v>
      </c>
      <c r="C14568" s="1" t="s">
        <v>5783</v>
      </c>
      <c r="D14568" s="22" t="str">
        <f>HYPERLINK("https://rhld.insurance.arkansas.gov/NPILookup?Npi=1366535577","1366535577")</f>
        <v>1366535577</v>
      </c>
      <c r="E14568" s="1" t="s">
        <v>21972</v>
      </c>
      <c r="F14568" s="2"/>
      <c r="G14568" s="2"/>
      <c r="H14568" s="2"/>
    </row>
    <row r="14569" spans="1:8" x14ac:dyDescent="0.25">
      <c r="A14569" s="1"/>
      <c r="B14569" s="1" t="s">
        <v>5782</v>
      </c>
      <c r="C14569" s="1" t="s">
        <v>5783</v>
      </c>
      <c r="D14569" s="22" t="str">
        <f>HYPERLINK("https://rhld.insurance.arkansas.gov/NPILookup?Npi=1366555146","1366555146")</f>
        <v>1366555146</v>
      </c>
      <c r="E14569" s="1" t="s">
        <v>931</v>
      </c>
      <c r="F14569" s="2"/>
      <c r="G14569" s="2"/>
      <c r="H14569" s="2"/>
    </row>
    <row r="14570" spans="1:8" x14ac:dyDescent="0.25">
      <c r="A14570" s="1"/>
      <c r="B14570" s="1" t="s">
        <v>5782</v>
      </c>
      <c r="C14570" s="1" t="s">
        <v>5783</v>
      </c>
      <c r="D14570" s="22" t="str">
        <f>HYPERLINK("https://rhld.insurance.arkansas.gov/NPILookup?Npi=1366630378","1366630378")</f>
        <v>1366630378</v>
      </c>
      <c r="E14570" s="1" t="s">
        <v>21973</v>
      </c>
      <c r="F14570" s="2"/>
      <c r="G14570" s="2"/>
      <c r="H14570" s="2"/>
    </row>
    <row r="14571" spans="1:8" x14ac:dyDescent="0.25">
      <c r="A14571" s="1"/>
      <c r="B14571" s="1" t="s">
        <v>5782</v>
      </c>
      <c r="C14571" s="1" t="s">
        <v>5783</v>
      </c>
      <c r="D14571" s="22" t="str">
        <f>HYPERLINK("https://rhld.insurance.arkansas.gov/NPILookup?Npi=1366639684","1366639684")</f>
        <v>1366639684</v>
      </c>
      <c r="E14571" s="1" t="s">
        <v>21974</v>
      </c>
      <c r="F14571" s="2"/>
      <c r="G14571" s="2"/>
      <c r="H14571" s="2"/>
    </row>
    <row r="14572" spans="1:8" x14ac:dyDescent="0.25">
      <c r="A14572" s="1"/>
      <c r="B14572" s="1" t="s">
        <v>5782</v>
      </c>
      <c r="C14572" s="1" t="s">
        <v>5783</v>
      </c>
      <c r="D14572" s="22" t="str">
        <f>HYPERLINK("https://rhld.insurance.arkansas.gov/NPILookup?Npi=1366645905","1366645905")</f>
        <v>1366645905</v>
      </c>
      <c r="E14572" s="1" t="s">
        <v>17460</v>
      </c>
      <c r="F14572" s="2"/>
      <c r="G14572" s="2"/>
      <c r="H14572" s="2"/>
    </row>
    <row r="14573" spans="1:8" x14ac:dyDescent="0.25">
      <c r="A14573" s="1"/>
      <c r="B14573" s="1" t="s">
        <v>5782</v>
      </c>
      <c r="C14573" s="1" t="s">
        <v>5783</v>
      </c>
      <c r="D14573" s="22" t="str">
        <f>HYPERLINK("https://rhld.insurance.arkansas.gov/NPILookup?Npi=1366679144","1366679144")</f>
        <v>1366679144</v>
      </c>
      <c r="E14573" s="1" t="s">
        <v>642</v>
      </c>
      <c r="F14573" s="2"/>
      <c r="G14573" s="2"/>
      <c r="H14573" s="2"/>
    </row>
    <row r="14574" spans="1:8" x14ac:dyDescent="0.25">
      <c r="A14574" s="1"/>
      <c r="B14574" s="1" t="s">
        <v>5782</v>
      </c>
      <c r="C14574" s="1" t="s">
        <v>5783</v>
      </c>
      <c r="D14574" s="22" t="str">
        <f>HYPERLINK("https://rhld.insurance.arkansas.gov/NPILookup?Npi=1366680662","1366680662")</f>
        <v>1366680662</v>
      </c>
      <c r="E14574" s="1" t="s">
        <v>21975</v>
      </c>
      <c r="F14574" s="2"/>
      <c r="G14574" s="2"/>
      <c r="H14574" s="2"/>
    </row>
    <row r="14575" spans="1:8" x14ac:dyDescent="0.25">
      <c r="A14575" s="1"/>
      <c r="B14575" s="1" t="s">
        <v>5782</v>
      </c>
      <c r="C14575" s="1" t="s">
        <v>5783</v>
      </c>
      <c r="D14575" s="22" t="str">
        <f>HYPERLINK("https://rhld.insurance.arkansas.gov/NPILookup?Npi=1366682494","1366682494")</f>
        <v>1366682494</v>
      </c>
      <c r="E14575" s="1" t="s">
        <v>13771</v>
      </c>
      <c r="F14575" s="2"/>
      <c r="G14575" s="2"/>
      <c r="H14575" s="2"/>
    </row>
    <row r="14576" spans="1:8" x14ac:dyDescent="0.25">
      <c r="A14576" s="1"/>
      <c r="B14576" s="1" t="s">
        <v>5782</v>
      </c>
      <c r="C14576" s="1" t="s">
        <v>5783</v>
      </c>
      <c r="D14576" s="22" t="str">
        <f>HYPERLINK("https://rhld.insurance.arkansas.gov/NPILookup?Npi=1366685315","1366685315")</f>
        <v>1366685315</v>
      </c>
      <c r="E14576" s="1" t="s">
        <v>11720</v>
      </c>
      <c r="F14576" s="2"/>
      <c r="G14576" s="2"/>
      <c r="H14576" s="2"/>
    </row>
    <row r="14577" spans="1:8" x14ac:dyDescent="0.25">
      <c r="A14577" s="1"/>
      <c r="B14577" s="1" t="s">
        <v>5782</v>
      </c>
      <c r="C14577" s="1" t="s">
        <v>5783</v>
      </c>
      <c r="D14577" s="22" t="str">
        <f>HYPERLINK("https://rhld.insurance.arkansas.gov/NPILookup?Npi=1366690505","1366690505")</f>
        <v>1366690505</v>
      </c>
      <c r="E14577" s="1" t="s">
        <v>21976</v>
      </c>
      <c r="F14577" s="2"/>
      <c r="G14577" s="2"/>
      <c r="H14577" s="2"/>
    </row>
    <row r="14578" spans="1:8" x14ac:dyDescent="0.25">
      <c r="A14578" s="1"/>
      <c r="B14578" s="1" t="s">
        <v>5782</v>
      </c>
      <c r="C14578" s="1" t="s">
        <v>5783</v>
      </c>
      <c r="D14578" s="22" t="str">
        <f>HYPERLINK("https://rhld.insurance.arkansas.gov/NPILookup?Npi=1366690513","1366690513")</f>
        <v>1366690513</v>
      </c>
      <c r="E14578" s="1" t="s">
        <v>2182</v>
      </c>
      <c r="F14578" s="2"/>
      <c r="G14578" s="2"/>
      <c r="H14578" s="2"/>
    </row>
    <row r="14579" spans="1:8" x14ac:dyDescent="0.25">
      <c r="A14579" s="1"/>
      <c r="B14579" s="1" t="s">
        <v>5782</v>
      </c>
      <c r="C14579" s="1" t="s">
        <v>5783</v>
      </c>
      <c r="D14579" s="22" t="str">
        <f>HYPERLINK("https://rhld.insurance.arkansas.gov/NPILookup?Npi=1366691180","1366691180")</f>
        <v>1366691180</v>
      </c>
      <c r="E14579" s="1" t="s">
        <v>21977</v>
      </c>
      <c r="F14579" s="2"/>
      <c r="G14579" s="2"/>
      <c r="H14579" s="2"/>
    </row>
    <row r="14580" spans="1:8" x14ac:dyDescent="0.25">
      <c r="A14580" s="1"/>
      <c r="B14580" s="1" t="s">
        <v>5782</v>
      </c>
      <c r="C14580" s="1" t="s">
        <v>5783</v>
      </c>
      <c r="D14580" s="22" t="str">
        <f>HYPERLINK("https://rhld.insurance.arkansas.gov/NPILookup?Npi=1366702102","1366702102")</f>
        <v>1366702102</v>
      </c>
      <c r="E14580" s="1" t="s">
        <v>2183</v>
      </c>
      <c r="F14580" s="2"/>
      <c r="G14580" s="2"/>
      <c r="H14580" s="2"/>
    </row>
    <row r="14581" spans="1:8" x14ac:dyDescent="0.25">
      <c r="A14581" s="1"/>
      <c r="B14581" s="1" t="s">
        <v>5782</v>
      </c>
      <c r="C14581" s="1" t="s">
        <v>5783</v>
      </c>
      <c r="D14581" s="22" t="str">
        <f>HYPERLINK("https://rhld.insurance.arkansas.gov/NPILookup?Npi=1366702516","1366702516")</f>
        <v>1366702516</v>
      </c>
      <c r="E14581" s="1" t="s">
        <v>21978</v>
      </c>
      <c r="F14581" s="2"/>
      <c r="G14581" s="2"/>
      <c r="H14581" s="2"/>
    </row>
    <row r="14582" spans="1:8" x14ac:dyDescent="0.25">
      <c r="A14582" s="1"/>
      <c r="B14582" s="1" t="s">
        <v>5782</v>
      </c>
      <c r="C14582" s="1" t="s">
        <v>5783</v>
      </c>
      <c r="D14582" s="22" t="str">
        <f>HYPERLINK("https://rhld.insurance.arkansas.gov/NPILookup?Npi=1366709131","1366709131")</f>
        <v>1366709131</v>
      </c>
      <c r="E14582" s="1" t="s">
        <v>21979</v>
      </c>
      <c r="F14582" s="2"/>
      <c r="G14582" s="2"/>
      <c r="H14582" s="2"/>
    </row>
    <row r="14583" spans="1:8" x14ac:dyDescent="0.25">
      <c r="A14583" s="1"/>
      <c r="B14583" s="1" t="s">
        <v>5782</v>
      </c>
      <c r="C14583" s="1" t="s">
        <v>5783</v>
      </c>
      <c r="D14583" s="22" t="str">
        <f>HYPERLINK("https://rhld.insurance.arkansas.gov/NPILookup?Npi=1366709347","1366709347")</f>
        <v>1366709347</v>
      </c>
      <c r="E14583" s="1" t="s">
        <v>11721</v>
      </c>
      <c r="F14583" s="2"/>
      <c r="G14583" s="2"/>
      <c r="H14583" s="2"/>
    </row>
    <row r="14584" spans="1:8" x14ac:dyDescent="0.25">
      <c r="A14584" s="1"/>
      <c r="B14584" s="1" t="s">
        <v>5782</v>
      </c>
      <c r="C14584" s="1" t="s">
        <v>5783</v>
      </c>
      <c r="D14584" s="22" t="str">
        <f>HYPERLINK("https://rhld.insurance.arkansas.gov/NPILookup?Npi=1366725657","1366725657")</f>
        <v>1366725657</v>
      </c>
      <c r="E14584" s="1" t="s">
        <v>21980</v>
      </c>
      <c r="F14584" s="2"/>
      <c r="G14584" s="2"/>
      <c r="H14584" s="2"/>
    </row>
    <row r="14585" spans="1:8" x14ac:dyDescent="0.25">
      <c r="A14585" s="1"/>
      <c r="B14585" s="1" t="s">
        <v>5782</v>
      </c>
      <c r="C14585" s="1" t="s">
        <v>5783</v>
      </c>
      <c r="D14585" s="22" t="str">
        <f>HYPERLINK("https://rhld.insurance.arkansas.gov/NPILookup?Npi=1366747842","1366747842")</f>
        <v>1366747842</v>
      </c>
      <c r="E14585" s="1" t="s">
        <v>21981</v>
      </c>
      <c r="F14585" s="2"/>
      <c r="G14585" s="2"/>
      <c r="H14585" s="2"/>
    </row>
    <row r="14586" spans="1:8" x14ac:dyDescent="0.25">
      <c r="A14586" s="1"/>
      <c r="B14586" s="1" t="s">
        <v>5782</v>
      </c>
      <c r="C14586" s="1" t="s">
        <v>5783</v>
      </c>
      <c r="D14586" s="22" t="str">
        <f>HYPERLINK("https://rhld.insurance.arkansas.gov/NPILookup?Npi=1366752347","1366752347")</f>
        <v>1366752347</v>
      </c>
      <c r="E14586" s="1" t="s">
        <v>6217</v>
      </c>
      <c r="F14586" s="2"/>
      <c r="G14586" s="2"/>
      <c r="H14586" s="2"/>
    </row>
    <row r="14587" spans="1:8" x14ac:dyDescent="0.25">
      <c r="A14587" s="1"/>
      <c r="B14587" s="1" t="s">
        <v>5782</v>
      </c>
      <c r="C14587" s="1" t="s">
        <v>5783</v>
      </c>
      <c r="D14587" s="22" t="str">
        <f>HYPERLINK("https://rhld.insurance.arkansas.gov/NPILookup?Npi=1366762387","1366762387")</f>
        <v>1366762387</v>
      </c>
      <c r="E14587" s="1" t="s">
        <v>21982</v>
      </c>
      <c r="F14587" s="2"/>
      <c r="G14587" s="2"/>
      <c r="H14587" s="2"/>
    </row>
    <row r="14588" spans="1:8" x14ac:dyDescent="0.25">
      <c r="A14588" s="1"/>
      <c r="B14588" s="1" t="s">
        <v>5782</v>
      </c>
      <c r="C14588" s="1" t="s">
        <v>5783</v>
      </c>
      <c r="D14588" s="22" t="str">
        <f>HYPERLINK("https://rhld.insurance.arkansas.gov/NPILookup?Npi=1366763443","1366763443")</f>
        <v>1366763443</v>
      </c>
      <c r="E14588" s="1" t="s">
        <v>21983</v>
      </c>
      <c r="F14588" s="2"/>
      <c r="G14588" s="2"/>
      <c r="H14588" s="2"/>
    </row>
    <row r="14589" spans="1:8" x14ac:dyDescent="0.25">
      <c r="A14589" s="1"/>
      <c r="B14589" s="1" t="s">
        <v>5782</v>
      </c>
      <c r="C14589" s="1" t="s">
        <v>5783</v>
      </c>
      <c r="D14589" s="22" t="str">
        <f>HYPERLINK("https://rhld.insurance.arkansas.gov/NPILookup?Npi=1366764029","1366764029")</f>
        <v>1366764029</v>
      </c>
      <c r="E14589" s="1" t="s">
        <v>6218</v>
      </c>
      <c r="F14589" s="2"/>
      <c r="G14589" s="2"/>
      <c r="H14589" s="2"/>
    </row>
    <row r="14590" spans="1:8" x14ac:dyDescent="0.25">
      <c r="A14590" s="1"/>
      <c r="B14590" s="1" t="s">
        <v>5782</v>
      </c>
      <c r="C14590" s="1" t="s">
        <v>5783</v>
      </c>
      <c r="D14590" s="22" t="str">
        <f>HYPERLINK("https://rhld.insurance.arkansas.gov/NPILookup?Npi=1366772386","1366772386")</f>
        <v>1366772386</v>
      </c>
      <c r="E14590" s="1" t="s">
        <v>11722</v>
      </c>
      <c r="F14590" s="2"/>
      <c r="G14590" s="2"/>
      <c r="H14590" s="2"/>
    </row>
    <row r="14591" spans="1:8" x14ac:dyDescent="0.25">
      <c r="A14591" s="1"/>
      <c r="B14591" s="1" t="s">
        <v>5782</v>
      </c>
      <c r="C14591" s="1" t="s">
        <v>5783</v>
      </c>
      <c r="D14591" s="22" t="str">
        <f>HYPERLINK("https://rhld.insurance.arkansas.gov/NPILookup?Npi=1366773913","1366773913")</f>
        <v>1366773913</v>
      </c>
      <c r="E14591" s="1" t="s">
        <v>21984</v>
      </c>
      <c r="F14591" s="2"/>
      <c r="G14591" s="2"/>
      <c r="H14591" s="2"/>
    </row>
    <row r="14592" spans="1:8" x14ac:dyDescent="0.25">
      <c r="A14592" s="1"/>
      <c r="B14592" s="1" t="s">
        <v>5782</v>
      </c>
      <c r="C14592" s="1" t="s">
        <v>5783</v>
      </c>
      <c r="D14592" s="22" t="str">
        <f>HYPERLINK("https://rhld.insurance.arkansas.gov/NPILookup?Npi=1366784381","1366784381")</f>
        <v>1366784381</v>
      </c>
      <c r="E14592" s="1" t="s">
        <v>11723</v>
      </c>
      <c r="F14592" s="2"/>
      <c r="G14592" s="2"/>
      <c r="H14592" s="2"/>
    </row>
    <row r="14593" spans="1:8" x14ac:dyDescent="0.25">
      <c r="A14593" s="1"/>
      <c r="B14593" s="1" t="s">
        <v>5782</v>
      </c>
      <c r="C14593" s="1" t="s">
        <v>5783</v>
      </c>
      <c r="D14593" s="22" t="str">
        <f>HYPERLINK("https://rhld.insurance.arkansas.gov/NPILookup?Npi=1366785909","1366785909")</f>
        <v>1366785909</v>
      </c>
      <c r="E14593" s="1" t="s">
        <v>21985</v>
      </c>
      <c r="F14593" s="2"/>
      <c r="G14593" s="2"/>
      <c r="H14593" s="2"/>
    </row>
    <row r="14594" spans="1:8" x14ac:dyDescent="0.25">
      <c r="A14594" s="1"/>
      <c r="B14594" s="1" t="s">
        <v>5782</v>
      </c>
      <c r="C14594" s="1" t="s">
        <v>5783</v>
      </c>
      <c r="D14594" s="22" t="str">
        <f>HYPERLINK("https://rhld.insurance.arkansas.gov/NPILookup?Npi=1366787459","1366787459")</f>
        <v>1366787459</v>
      </c>
      <c r="E14594" s="1" t="s">
        <v>21986</v>
      </c>
      <c r="F14594" s="2"/>
      <c r="G14594" s="2"/>
      <c r="H14594" s="2"/>
    </row>
    <row r="14595" spans="1:8" x14ac:dyDescent="0.25">
      <c r="A14595" s="1"/>
      <c r="B14595" s="1" t="s">
        <v>5782</v>
      </c>
      <c r="C14595" s="1" t="s">
        <v>5783</v>
      </c>
      <c r="D14595" s="22" t="str">
        <f>HYPERLINK("https://rhld.insurance.arkansas.gov/NPILookup?Npi=1366797474","1366797474")</f>
        <v>1366797474</v>
      </c>
      <c r="E14595" s="1" t="s">
        <v>21987</v>
      </c>
      <c r="F14595" s="2"/>
      <c r="G14595" s="2"/>
      <c r="H14595" s="2"/>
    </row>
    <row r="14596" spans="1:8" x14ac:dyDescent="0.25">
      <c r="A14596" s="1"/>
      <c r="B14596" s="1" t="s">
        <v>5782</v>
      </c>
      <c r="C14596" s="1" t="s">
        <v>5783</v>
      </c>
      <c r="D14596" s="22" t="str">
        <f>HYPERLINK("https://rhld.insurance.arkansas.gov/NPILookup?Npi=1366801391","1366801391")</f>
        <v>1366801391</v>
      </c>
      <c r="E14596" s="1" t="s">
        <v>21988</v>
      </c>
      <c r="F14596" s="2"/>
      <c r="G14596" s="2"/>
      <c r="H14596" s="2"/>
    </row>
    <row r="14597" spans="1:8" x14ac:dyDescent="0.25">
      <c r="A14597" s="1"/>
      <c r="B14597" s="1" t="s">
        <v>5782</v>
      </c>
      <c r="C14597" s="1" t="s">
        <v>5783</v>
      </c>
      <c r="D14597" s="22" t="str">
        <f>HYPERLINK("https://rhld.insurance.arkansas.gov/NPILookup?Npi=1366803702","1366803702")</f>
        <v>1366803702</v>
      </c>
      <c r="E14597" s="1" t="s">
        <v>4217</v>
      </c>
      <c r="F14597" s="2"/>
      <c r="G14597" s="2"/>
      <c r="H14597" s="2"/>
    </row>
    <row r="14598" spans="1:8" x14ac:dyDescent="0.25">
      <c r="A14598" s="1"/>
      <c r="B14598" s="1" t="s">
        <v>5782</v>
      </c>
      <c r="C14598" s="1" t="s">
        <v>5783</v>
      </c>
      <c r="D14598" s="22" t="str">
        <f>HYPERLINK("https://rhld.insurance.arkansas.gov/NPILookup?Npi=1366804700","1366804700")</f>
        <v>1366804700</v>
      </c>
      <c r="E14598" s="1" t="s">
        <v>21278</v>
      </c>
      <c r="F14598" s="2"/>
      <c r="G14598" s="2"/>
      <c r="H14598" s="2"/>
    </row>
    <row r="14599" spans="1:8" x14ac:dyDescent="0.25">
      <c r="A14599" s="1"/>
      <c r="B14599" s="1" t="s">
        <v>5782</v>
      </c>
      <c r="C14599" s="1" t="s">
        <v>5783</v>
      </c>
      <c r="D14599" s="22" t="str">
        <f>HYPERLINK("https://rhld.insurance.arkansas.gov/NPILookup?Npi=1366822645","1366822645")</f>
        <v>1366822645</v>
      </c>
      <c r="E14599" s="1" t="s">
        <v>6219</v>
      </c>
      <c r="F14599" s="2"/>
      <c r="G14599" s="2"/>
      <c r="H14599" s="2"/>
    </row>
    <row r="14600" spans="1:8" x14ac:dyDescent="0.25">
      <c r="A14600" s="1"/>
      <c r="B14600" s="1" t="s">
        <v>5782</v>
      </c>
      <c r="C14600" s="1" t="s">
        <v>5783</v>
      </c>
      <c r="D14600" s="22" t="str">
        <f>HYPERLINK("https://rhld.insurance.arkansas.gov/NPILookup?Npi=1366824955","1366824955")</f>
        <v>1366824955</v>
      </c>
      <c r="E14600" s="1" t="s">
        <v>21989</v>
      </c>
      <c r="F14600" s="2"/>
      <c r="G14600" s="2"/>
      <c r="H14600" s="2"/>
    </row>
    <row r="14601" spans="1:8" x14ac:dyDescent="0.25">
      <c r="A14601" s="1"/>
      <c r="B14601" s="1" t="s">
        <v>5782</v>
      </c>
      <c r="C14601" s="1" t="s">
        <v>5783</v>
      </c>
      <c r="D14601" s="22" t="str">
        <f>HYPERLINK("https://rhld.insurance.arkansas.gov/NPILookup?Npi=1366865685","1366865685")</f>
        <v>1366865685</v>
      </c>
      <c r="E14601" s="1" t="s">
        <v>20320</v>
      </c>
      <c r="F14601" s="2"/>
      <c r="G14601" s="2"/>
      <c r="H14601" s="2"/>
    </row>
    <row r="14602" spans="1:8" x14ac:dyDescent="0.25">
      <c r="A14602" s="1"/>
      <c r="B14602" s="1" t="s">
        <v>5782</v>
      </c>
      <c r="C14602" s="1" t="s">
        <v>5783</v>
      </c>
      <c r="D14602" s="22" t="str">
        <f>HYPERLINK("https://rhld.insurance.arkansas.gov/NPILookup?Npi=1366872996","1366872996")</f>
        <v>1366872996</v>
      </c>
      <c r="E14602" s="1" t="s">
        <v>11725</v>
      </c>
      <c r="F14602" s="2"/>
      <c r="G14602" s="2"/>
      <c r="H14602" s="2"/>
    </row>
    <row r="14603" spans="1:8" x14ac:dyDescent="0.25">
      <c r="A14603" s="1"/>
      <c r="B14603" s="1" t="s">
        <v>5782</v>
      </c>
      <c r="C14603" s="1" t="s">
        <v>5783</v>
      </c>
      <c r="D14603" s="22" t="str">
        <f>HYPERLINK("https://rhld.insurance.arkansas.gov/NPILookup?Npi=1366876633","1366876633")</f>
        <v>1366876633</v>
      </c>
      <c r="E14603" s="1" t="s">
        <v>21990</v>
      </c>
      <c r="F14603" s="2"/>
      <c r="G14603" s="2"/>
      <c r="H14603" s="2"/>
    </row>
    <row r="14604" spans="1:8" x14ac:dyDescent="0.25">
      <c r="A14604" s="1"/>
      <c r="B14604" s="1" t="s">
        <v>5782</v>
      </c>
      <c r="C14604" s="1" t="s">
        <v>5783</v>
      </c>
      <c r="D14604" s="22" t="str">
        <f>HYPERLINK("https://rhld.insurance.arkansas.gov/NPILookup?Npi=1366877623","1366877623")</f>
        <v>1366877623</v>
      </c>
      <c r="E14604" s="1" t="s">
        <v>1861</v>
      </c>
      <c r="F14604" s="2"/>
      <c r="G14604" s="2"/>
      <c r="H14604" s="2"/>
    </row>
    <row r="14605" spans="1:8" x14ac:dyDescent="0.25">
      <c r="A14605" s="1"/>
      <c r="B14605" s="1" t="s">
        <v>5782</v>
      </c>
      <c r="C14605" s="1" t="s">
        <v>5783</v>
      </c>
      <c r="D14605" s="22" t="str">
        <f>HYPERLINK("https://rhld.insurance.arkansas.gov/NPILookup?Npi=1366878183","1366878183")</f>
        <v>1366878183</v>
      </c>
      <c r="E14605" s="1" t="s">
        <v>11726</v>
      </c>
      <c r="F14605" s="2"/>
      <c r="G14605" s="2"/>
      <c r="H14605" s="2"/>
    </row>
    <row r="14606" spans="1:8" x14ac:dyDescent="0.25">
      <c r="A14606" s="1"/>
      <c r="B14606" s="1" t="s">
        <v>5782</v>
      </c>
      <c r="C14606" s="1" t="s">
        <v>5783</v>
      </c>
      <c r="D14606" s="22" t="str">
        <f>HYPERLINK("https://rhld.insurance.arkansas.gov/NPILookup?Npi=1366889578","1366889578")</f>
        <v>1366889578</v>
      </c>
      <c r="E14606" s="1" t="s">
        <v>643</v>
      </c>
      <c r="F14606" s="2"/>
      <c r="G14606" s="2"/>
      <c r="H14606" s="2"/>
    </row>
    <row r="14607" spans="1:8" x14ac:dyDescent="0.25">
      <c r="A14607" s="1"/>
      <c r="B14607" s="1" t="s">
        <v>5782</v>
      </c>
      <c r="C14607" s="1" t="s">
        <v>5783</v>
      </c>
      <c r="D14607" s="22" t="str">
        <f>HYPERLINK("https://rhld.insurance.arkansas.gov/NPILookup?Npi=1366893869","1366893869")</f>
        <v>1366893869</v>
      </c>
      <c r="E14607" s="1" t="s">
        <v>21991</v>
      </c>
      <c r="F14607" s="2"/>
      <c r="G14607" s="2"/>
      <c r="H14607" s="2"/>
    </row>
    <row r="14608" spans="1:8" x14ac:dyDescent="0.25">
      <c r="A14608" s="1"/>
      <c r="B14608" s="1" t="s">
        <v>5782</v>
      </c>
      <c r="C14608" s="1" t="s">
        <v>5783</v>
      </c>
      <c r="D14608" s="22" t="str">
        <f>HYPERLINK("https://rhld.insurance.arkansas.gov/NPILookup?Npi=1366902033","1366902033")</f>
        <v>1366902033</v>
      </c>
      <c r="E14608" s="1" t="s">
        <v>6220</v>
      </c>
      <c r="F14608" s="2"/>
      <c r="G14608" s="2"/>
      <c r="H14608" s="2"/>
    </row>
    <row r="14609" spans="1:8" x14ac:dyDescent="0.25">
      <c r="A14609" s="1"/>
      <c r="B14609" s="1" t="s">
        <v>5782</v>
      </c>
      <c r="C14609" s="1" t="s">
        <v>5783</v>
      </c>
      <c r="D14609" s="22" t="str">
        <f>HYPERLINK("https://rhld.insurance.arkansas.gov/NPILookup?Npi=1366930802","1366930802")</f>
        <v>1366930802</v>
      </c>
      <c r="E14609" s="1" t="s">
        <v>21992</v>
      </c>
      <c r="F14609" s="2"/>
      <c r="G14609" s="2"/>
      <c r="H14609" s="2"/>
    </row>
    <row r="14610" spans="1:8" x14ac:dyDescent="0.25">
      <c r="A14610" s="1"/>
      <c r="B14610" s="1" t="s">
        <v>5782</v>
      </c>
      <c r="C14610" s="1" t="s">
        <v>5783</v>
      </c>
      <c r="D14610" s="22" t="str">
        <f>HYPERLINK("https://rhld.insurance.arkansas.gov/NPILookup?Npi=1366954570","1366954570")</f>
        <v>1366954570</v>
      </c>
      <c r="E14610" s="1" t="s">
        <v>11727</v>
      </c>
      <c r="F14610" s="2"/>
      <c r="G14610" s="2"/>
      <c r="H14610" s="2"/>
    </row>
    <row r="14611" spans="1:8" x14ac:dyDescent="0.25">
      <c r="A14611" s="1"/>
      <c r="B14611" s="1" t="s">
        <v>5782</v>
      </c>
      <c r="C14611" s="1" t="s">
        <v>5783</v>
      </c>
      <c r="D14611" s="22" t="str">
        <f>HYPERLINK("https://rhld.insurance.arkansas.gov/NPILookup?Npi=1366961658","1366961658")</f>
        <v>1366961658</v>
      </c>
      <c r="E14611" s="1" t="s">
        <v>6221</v>
      </c>
      <c r="F14611" s="2"/>
      <c r="G14611" s="2"/>
      <c r="H14611" s="2"/>
    </row>
    <row r="14612" spans="1:8" x14ac:dyDescent="0.25">
      <c r="A14612" s="1"/>
      <c r="B14612" s="1" t="s">
        <v>5782</v>
      </c>
      <c r="C14612" s="1" t="s">
        <v>5783</v>
      </c>
      <c r="D14612" s="22" t="str">
        <f>HYPERLINK("https://rhld.insurance.arkansas.gov/NPILookup?Npi=1366965196","1366965196")</f>
        <v>1366965196</v>
      </c>
      <c r="E14612" s="1" t="s">
        <v>21993</v>
      </c>
      <c r="F14612" s="2"/>
      <c r="G14612" s="2"/>
      <c r="H14612" s="2"/>
    </row>
    <row r="14613" spans="1:8" x14ac:dyDescent="0.25">
      <c r="A14613" s="1"/>
      <c r="B14613" s="1" t="s">
        <v>5782</v>
      </c>
      <c r="C14613" s="1" t="s">
        <v>5783</v>
      </c>
      <c r="D14613" s="22" t="str">
        <f>HYPERLINK("https://rhld.insurance.arkansas.gov/NPILookup?Npi=1366965824","1366965824")</f>
        <v>1366965824</v>
      </c>
      <c r="E14613" s="1" t="s">
        <v>6222</v>
      </c>
      <c r="F14613" s="2"/>
      <c r="G14613" s="2"/>
      <c r="H14613" s="2"/>
    </row>
    <row r="14614" spans="1:8" x14ac:dyDescent="0.25">
      <c r="A14614" s="1"/>
      <c r="B14614" s="1" t="s">
        <v>5782</v>
      </c>
      <c r="C14614" s="1" t="s">
        <v>5783</v>
      </c>
      <c r="D14614" s="22" t="str">
        <f>HYPERLINK("https://rhld.insurance.arkansas.gov/NPILookup?Npi=1366984056","1366984056")</f>
        <v>1366984056</v>
      </c>
      <c r="E14614" s="1" t="s">
        <v>21994</v>
      </c>
      <c r="F14614" s="2"/>
      <c r="G14614" s="2"/>
      <c r="H14614" s="2"/>
    </row>
    <row r="14615" spans="1:8" x14ac:dyDescent="0.25">
      <c r="A14615" s="1"/>
      <c r="B14615" s="1" t="s">
        <v>5782</v>
      </c>
      <c r="C14615" s="1" t="s">
        <v>5783</v>
      </c>
      <c r="D14615" s="22" t="str">
        <f>HYPERLINK("https://rhld.insurance.arkansas.gov/NPILookup?Npi=1366987703","1366987703")</f>
        <v>1366987703</v>
      </c>
      <c r="E14615" s="1" t="s">
        <v>1135</v>
      </c>
      <c r="F14615" s="2"/>
      <c r="G14615" s="2"/>
      <c r="H14615" s="2"/>
    </row>
    <row r="14616" spans="1:8" x14ac:dyDescent="0.25">
      <c r="A14616" s="1"/>
      <c r="B14616" s="1" t="s">
        <v>5782</v>
      </c>
      <c r="C14616" s="1" t="s">
        <v>5783</v>
      </c>
      <c r="D14616" s="22" t="str">
        <f>HYPERLINK("https://rhld.insurance.arkansas.gov/NPILookup?Npi=1366990343","1366990343")</f>
        <v>1366990343</v>
      </c>
      <c r="E14616" s="1" t="s">
        <v>21995</v>
      </c>
      <c r="F14616" s="2"/>
      <c r="G14616" s="2"/>
      <c r="H14616" s="2"/>
    </row>
    <row r="14617" spans="1:8" x14ac:dyDescent="0.25">
      <c r="A14617" s="1"/>
      <c r="B14617" s="1" t="s">
        <v>5782</v>
      </c>
      <c r="C14617" s="1" t="s">
        <v>5783</v>
      </c>
      <c r="D14617" s="22" t="str">
        <f>HYPERLINK("https://rhld.insurance.arkansas.gov/NPILookup?Npi=1366998676","1366998676")</f>
        <v>1366998676</v>
      </c>
      <c r="E14617" s="1" t="s">
        <v>10867</v>
      </c>
      <c r="F14617" s="2"/>
      <c r="G14617" s="2"/>
      <c r="H14617" s="2"/>
    </row>
    <row r="14618" spans="1:8" x14ac:dyDescent="0.25">
      <c r="A14618" s="1"/>
      <c r="B14618" s="1" t="s">
        <v>5782</v>
      </c>
      <c r="C14618" s="1" t="s">
        <v>5783</v>
      </c>
      <c r="D14618" s="22" t="str">
        <f>HYPERLINK("https://rhld.insurance.arkansas.gov/NPILookup?Npi=1376002402","1376002402")</f>
        <v>1376002402</v>
      </c>
      <c r="E14618" s="1" t="s">
        <v>6223</v>
      </c>
      <c r="F14618" s="2"/>
      <c r="G14618" s="2"/>
      <c r="H14618" s="2"/>
    </row>
    <row r="14619" spans="1:8" x14ac:dyDescent="0.25">
      <c r="A14619" s="1"/>
      <c r="B14619" s="1" t="s">
        <v>5782</v>
      </c>
      <c r="C14619" s="1" t="s">
        <v>5783</v>
      </c>
      <c r="D14619" s="22" t="str">
        <f>HYPERLINK("https://rhld.insurance.arkansas.gov/NPILookup?Npi=1376008920","1376008920")</f>
        <v>1376008920</v>
      </c>
      <c r="E14619" s="1" t="s">
        <v>21996</v>
      </c>
      <c r="F14619" s="2"/>
      <c r="G14619" s="2"/>
      <c r="H14619" s="2"/>
    </row>
    <row r="14620" spans="1:8" x14ac:dyDescent="0.25">
      <c r="A14620" s="1"/>
      <c r="B14620" s="1" t="s">
        <v>5782</v>
      </c>
      <c r="C14620" s="1" t="s">
        <v>5783</v>
      </c>
      <c r="D14620" s="22" t="str">
        <f>HYPERLINK("https://rhld.insurance.arkansas.gov/NPILookup?Npi=1376051508","1376051508")</f>
        <v>1376051508</v>
      </c>
      <c r="E14620" s="1" t="s">
        <v>21997</v>
      </c>
      <c r="F14620" s="2"/>
      <c r="G14620" s="2"/>
      <c r="H14620" s="2"/>
    </row>
    <row r="14621" spans="1:8" x14ac:dyDescent="0.25">
      <c r="A14621" s="1"/>
      <c r="B14621" s="1" t="s">
        <v>5782</v>
      </c>
      <c r="C14621" s="1" t="s">
        <v>5783</v>
      </c>
      <c r="D14621" s="22" t="str">
        <f>HYPERLINK("https://rhld.insurance.arkansas.gov/NPILookup?Npi=1376073759","1376073759")</f>
        <v>1376073759</v>
      </c>
      <c r="E14621" s="1" t="s">
        <v>21999</v>
      </c>
      <c r="F14621" s="2"/>
      <c r="G14621" s="2"/>
      <c r="H14621" s="2"/>
    </row>
    <row r="14622" spans="1:8" x14ac:dyDescent="0.25">
      <c r="A14622" s="1"/>
      <c r="B14622" s="1" t="s">
        <v>5782</v>
      </c>
      <c r="C14622" s="1" t="s">
        <v>5783</v>
      </c>
      <c r="D14622" s="22" t="str">
        <f>HYPERLINK("https://rhld.insurance.arkansas.gov/NPILookup?Npi=1376104927","1376104927")</f>
        <v>1376104927</v>
      </c>
      <c r="E14622" s="1" t="s">
        <v>22000</v>
      </c>
      <c r="F14622" s="2"/>
      <c r="G14622" s="2"/>
      <c r="H14622" s="2"/>
    </row>
    <row r="14623" spans="1:8" x14ac:dyDescent="0.25">
      <c r="A14623" s="1"/>
      <c r="B14623" s="1" t="s">
        <v>5782</v>
      </c>
      <c r="C14623" s="1" t="s">
        <v>5783</v>
      </c>
      <c r="D14623" s="22" t="str">
        <f>HYPERLINK("https://rhld.insurance.arkansas.gov/NPILookup?Npi=1376122622","1376122622")</f>
        <v>1376122622</v>
      </c>
      <c r="E14623" s="1" t="s">
        <v>6224</v>
      </c>
      <c r="F14623" s="2"/>
      <c r="G14623" s="2"/>
      <c r="H14623" s="2"/>
    </row>
    <row r="14624" spans="1:8" x14ac:dyDescent="0.25">
      <c r="A14624" s="1"/>
      <c r="B14624" s="1" t="s">
        <v>5782</v>
      </c>
      <c r="C14624" s="1" t="s">
        <v>5783</v>
      </c>
      <c r="D14624" s="22" t="str">
        <f>HYPERLINK("https://rhld.insurance.arkansas.gov/NPILookup?Npi=1376134197","1376134197")</f>
        <v>1376134197</v>
      </c>
      <c r="E14624" s="1" t="s">
        <v>6225</v>
      </c>
      <c r="F14624" s="2"/>
      <c r="G14624" s="2"/>
      <c r="H14624" s="2"/>
    </row>
    <row r="14625" spans="1:8" x14ac:dyDescent="0.25">
      <c r="A14625" s="1"/>
      <c r="B14625" s="1" t="s">
        <v>5782</v>
      </c>
      <c r="C14625" s="1" t="s">
        <v>5783</v>
      </c>
      <c r="D14625" s="22" t="str">
        <f>HYPERLINK("https://rhld.insurance.arkansas.gov/NPILookup?Npi=1376137463","1376137463")</f>
        <v>1376137463</v>
      </c>
      <c r="E14625" s="1" t="s">
        <v>11728</v>
      </c>
      <c r="F14625" s="2"/>
      <c r="G14625" s="2"/>
      <c r="H14625" s="2"/>
    </row>
    <row r="14626" spans="1:8" x14ac:dyDescent="0.25">
      <c r="A14626" s="1"/>
      <c r="B14626" s="1" t="s">
        <v>5782</v>
      </c>
      <c r="C14626" s="1" t="s">
        <v>5783</v>
      </c>
      <c r="D14626" s="22" t="str">
        <f>HYPERLINK("https://rhld.insurance.arkansas.gov/NPILookup?Npi=1376139642","1376139642")</f>
        <v>1376139642</v>
      </c>
      <c r="E14626" s="1" t="s">
        <v>22002</v>
      </c>
      <c r="F14626" s="2"/>
      <c r="G14626" s="2"/>
      <c r="H14626" s="2"/>
    </row>
    <row r="14627" spans="1:8" x14ac:dyDescent="0.25">
      <c r="A14627" s="1"/>
      <c r="B14627" s="1" t="s">
        <v>5782</v>
      </c>
      <c r="C14627" s="1" t="s">
        <v>5783</v>
      </c>
      <c r="D14627" s="22" t="str">
        <f>HYPERLINK("https://rhld.insurance.arkansas.gov/NPILookup?Npi=1376144816","1376144816")</f>
        <v>1376144816</v>
      </c>
      <c r="E14627" s="1" t="s">
        <v>11729</v>
      </c>
      <c r="F14627" s="2"/>
      <c r="G14627" s="2"/>
      <c r="H14627" s="2"/>
    </row>
    <row r="14628" spans="1:8" x14ac:dyDescent="0.25">
      <c r="A14628" s="1"/>
      <c r="B14628" s="1" t="s">
        <v>5782</v>
      </c>
      <c r="C14628" s="1" t="s">
        <v>5783</v>
      </c>
      <c r="D14628" s="22" t="str">
        <f>HYPERLINK("https://rhld.insurance.arkansas.gov/NPILookup?Npi=1376151696","1376151696")</f>
        <v>1376151696</v>
      </c>
      <c r="E14628" s="1" t="s">
        <v>11730</v>
      </c>
      <c r="F14628" s="2"/>
      <c r="G14628" s="2"/>
      <c r="H14628" s="2"/>
    </row>
    <row r="14629" spans="1:8" x14ac:dyDescent="0.25">
      <c r="A14629" s="1"/>
      <c r="B14629" s="1" t="s">
        <v>5782</v>
      </c>
      <c r="C14629" s="1" t="s">
        <v>5783</v>
      </c>
      <c r="D14629" s="22" t="str">
        <f>HYPERLINK("https://rhld.insurance.arkansas.gov/NPILookup?Npi=1376152702","1376152702")</f>
        <v>1376152702</v>
      </c>
      <c r="E14629" s="1" t="s">
        <v>22003</v>
      </c>
      <c r="F14629" s="2"/>
      <c r="G14629" s="2"/>
      <c r="H14629" s="2"/>
    </row>
    <row r="14630" spans="1:8" x14ac:dyDescent="0.25">
      <c r="A14630" s="1"/>
      <c r="B14630" s="1" t="s">
        <v>5782</v>
      </c>
      <c r="C14630" s="1" t="s">
        <v>5783</v>
      </c>
      <c r="D14630" s="22" t="str">
        <f>HYPERLINK("https://rhld.insurance.arkansas.gov/NPILookup?Npi=1376168120","1376168120")</f>
        <v>1376168120</v>
      </c>
      <c r="E14630" s="1" t="s">
        <v>6226</v>
      </c>
      <c r="F14630" s="2"/>
      <c r="G14630" s="2"/>
      <c r="H14630" s="2"/>
    </row>
    <row r="14631" spans="1:8" x14ac:dyDescent="0.25">
      <c r="A14631" s="1"/>
      <c r="B14631" s="1" t="s">
        <v>5782</v>
      </c>
      <c r="C14631" s="1" t="s">
        <v>5783</v>
      </c>
      <c r="D14631" s="22" t="str">
        <f>HYPERLINK("https://rhld.insurance.arkansas.gov/NPILookup?Npi=1376180513","1376180513")</f>
        <v>1376180513</v>
      </c>
      <c r="E14631" s="1" t="s">
        <v>6227</v>
      </c>
      <c r="F14631" s="2"/>
      <c r="G14631" s="2"/>
      <c r="H14631" s="2"/>
    </row>
    <row r="14632" spans="1:8" x14ac:dyDescent="0.25">
      <c r="A14632" s="1"/>
      <c r="B14632" s="1" t="s">
        <v>5782</v>
      </c>
      <c r="C14632" s="1" t="s">
        <v>5783</v>
      </c>
      <c r="D14632" s="22" t="str">
        <f>HYPERLINK("https://rhld.insurance.arkansas.gov/NPILookup?Npi=1376186700","1376186700")</f>
        <v>1376186700</v>
      </c>
      <c r="E14632" s="1" t="s">
        <v>6228</v>
      </c>
      <c r="F14632" s="2"/>
      <c r="G14632" s="2"/>
      <c r="H14632" s="2"/>
    </row>
    <row r="14633" spans="1:8" x14ac:dyDescent="0.25">
      <c r="A14633" s="1"/>
      <c r="B14633" s="1" t="s">
        <v>5782</v>
      </c>
      <c r="C14633" s="1" t="s">
        <v>5783</v>
      </c>
      <c r="D14633" s="22" t="str">
        <f>HYPERLINK("https://rhld.insurance.arkansas.gov/NPILookup?Npi=1376191502","1376191502")</f>
        <v>1376191502</v>
      </c>
      <c r="E14633" s="1" t="s">
        <v>6229</v>
      </c>
      <c r="F14633" s="2"/>
      <c r="G14633" s="2"/>
      <c r="H14633" s="2"/>
    </row>
    <row r="14634" spans="1:8" x14ac:dyDescent="0.25">
      <c r="A14634" s="1"/>
      <c r="B14634" s="1" t="s">
        <v>5782</v>
      </c>
      <c r="C14634" s="1" t="s">
        <v>5783</v>
      </c>
      <c r="D14634" s="22" t="str">
        <f>HYPERLINK("https://rhld.insurance.arkansas.gov/NPILookup?Npi=1376197822","1376197822")</f>
        <v>1376197822</v>
      </c>
      <c r="E14634" s="1" t="s">
        <v>6230</v>
      </c>
      <c r="F14634" s="2"/>
      <c r="G14634" s="2"/>
      <c r="H14634" s="2"/>
    </row>
    <row r="14635" spans="1:8" x14ac:dyDescent="0.25">
      <c r="A14635" s="1"/>
      <c r="B14635" s="1" t="s">
        <v>5782</v>
      </c>
      <c r="C14635" s="1" t="s">
        <v>5783</v>
      </c>
      <c r="D14635" s="22" t="str">
        <f>HYPERLINK("https://rhld.insurance.arkansas.gov/NPILookup?Npi=1376213124","1376213124")</f>
        <v>1376213124</v>
      </c>
      <c r="E14635" s="1" t="s">
        <v>22004</v>
      </c>
      <c r="F14635" s="2"/>
      <c r="G14635" s="2"/>
      <c r="H14635" s="2"/>
    </row>
    <row r="14636" spans="1:8" x14ac:dyDescent="0.25">
      <c r="A14636" s="1"/>
      <c r="B14636" s="1" t="s">
        <v>5782</v>
      </c>
      <c r="C14636" s="1" t="s">
        <v>5783</v>
      </c>
      <c r="D14636" s="22" t="str">
        <f>HYPERLINK("https://rhld.insurance.arkansas.gov/NPILookup?Npi=1376235804","1376235804")</f>
        <v>1376235804</v>
      </c>
      <c r="E14636" s="1" t="s">
        <v>6231</v>
      </c>
      <c r="F14636" s="2"/>
      <c r="G14636" s="2"/>
      <c r="H14636" s="2"/>
    </row>
    <row r="14637" spans="1:8" x14ac:dyDescent="0.25">
      <c r="A14637" s="1"/>
      <c r="B14637" s="1" t="s">
        <v>5782</v>
      </c>
      <c r="C14637" s="1" t="s">
        <v>5783</v>
      </c>
      <c r="D14637" s="22" t="str">
        <f>HYPERLINK("https://rhld.insurance.arkansas.gov/NPILookup?Npi=1376246389","1376246389")</f>
        <v>1376246389</v>
      </c>
      <c r="E14637" s="1" t="s">
        <v>31866</v>
      </c>
      <c r="F14637" s="2"/>
      <c r="G14637" s="2"/>
      <c r="H14637" s="2"/>
    </row>
    <row r="14638" spans="1:8" x14ac:dyDescent="0.25">
      <c r="A14638" s="1"/>
      <c r="B14638" s="1" t="s">
        <v>5782</v>
      </c>
      <c r="C14638" s="1" t="s">
        <v>5783</v>
      </c>
      <c r="D14638" s="22" t="str">
        <f>HYPERLINK("https://rhld.insurance.arkansas.gov/NPILookup?Npi=1376260455","1376260455")</f>
        <v>1376260455</v>
      </c>
      <c r="E14638" s="1" t="s">
        <v>22005</v>
      </c>
      <c r="F14638" s="2"/>
      <c r="G14638" s="2"/>
      <c r="H14638" s="2"/>
    </row>
    <row r="14639" spans="1:8" x14ac:dyDescent="0.25">
      <c r="A14639" s="1"/>
      <c r="B14639" s="1" t="s">
        <v>5782</v>
      </c>
      <c r="C14639" s="1" t="s">
        <v>5783</v>
      </c>
      <c r="D14639" s="22" t="str">
        <f>HYPERLINK("https://rhld.insurance.arkansas.gov/NPILookup?Npi=1376276956","1376276956")</f>
        <v>1376276956</v>
      </c>
      <c r="E14639" s="1" t="s">
        <v>31867</v>
      </c>
      <c r="F14639" s="2"/>
      <c r="G14639" s="2"/>
      <c r="H14639" s="2"/>
    </row>
    <row r="14640" spans="1:8" x14ac:dyDescent="0.25">
      <c r="A14640" s="1"/>
      <c r="B14640" s="1" t="s">
        <v>5782</v>
      </c>
      <c r="C14640" s="1" t="s">
        <v>5783</v>
      </c>
      <c r="D14640" s="22" t="str">
        <f>HYPERLINK("https://rhld.insurance.arkansas.gov/NPILookup?Npi=1376285205","1376285205")</f>
        <v>1376285205</v>
      </c>
      <c r="E14640" s="1" t="s">
        <v>22006</v>
      </c>
      <c r="F14640" s="2"/>
      <c r="G14640" s="2"/>
      <c r="H14640" s="2"/>
    </row>
    <row r="14641" spans="1:8" x14ac:dyDescent="0.25">
      <c r="A14641" s="1"/>
      <c r="B14641" s="1" t="s">
        <v>5782</v>
      </c>
      <c r="C14641" s="1" t="s">
        <v>5783</v>
      </c>
      <c r="D14641" s="22" t="str">
        <f>HYPERLINK("https://rhld.insurance.arkansas.gov/NPILookup?Npi=1376291278","1376291278")</f>
        <v>1376291278</v>
      </c>
      <c r="E14641" s="1" t="s">
        <v>11731</v>
      </c>
      <c r="F14641" s="2"/>
      <c r="G14641" s="2"/>
      <c r="H14641" s="2"/>
    </row>
    <row r="14642" spans="1:8" x14ac:dyDescent="0.25">
      <c r="A14642" s="1"/>
      <c r="B14642" s="1" t="s">
        <v>5782</v>
      </c>
      <c r="C14642" s="1" t="s">
        <v>5783</v>
      </c>
      <c r="D14642" s="22" t="str">
        <f>HYPERLINK("https://rhld.insurance.arkansas.gov/NPILookup?Npi=1376501593","1376501593")</f>
        <v>1376501593</v>
      </c>
      <c r="E14642" s="1" t="s">
        <v>183</v>
      </c>
      <c r="F14642" s="2"/>
      <c r="G14642" s="2"/>
      <c r="H14642" s="2"/>
    </row>
    <row r="14643" spans="1:8" x14ac:dyDescent="0.25">
      <c r="A14643" s="1"/>
      <c r="B14643" s="1" t="s">
        <v>5782</v>
      </c>
      <c r="C14643" s="1" t="s">
        <v>5783</v>
      </c>
      <c r="D14643" s="22" t="str">
        <f>HYPERLINK("https://rhld.insurance.arkansas.gov/NPILookup?Npi=1376503227","1376503227")</f>
        <v>1376503227</v>
      </c>
      <c r="E14643" s="1" t="s">
        <v>6232</v>
      </c>
      <c r="F14643" s="2"/>
      <c r="G14643" s="2"/>
      <c r="H14643" s="2"/>
    </row>
    <row r="14644" spans="1:8" x14ac:dyDescent="0.25">
      <c r="A14644" s="1"/>
      <c r="B14644" s="1" t="s">
        <v>5782</v>
      </c>
      <c r="C14644" s="1" t="s">
        <v>5783</v>
      </c>
      <c r="D14644" s="22" t="str">
        <f>HYPERLINK("https://rhld.insurance.arkansas.gov/NPILookup?Npi=1376516898","1376516898")</f>
        <v>1376516898</v>
      </c>
      <c r="E14644" s="1" t="s">
        <v>22007</v>
      </c>
      <c r="F14644" s="2"/>
      <c r="G14644" s="2"/>
      <c r="H14644" s="2"/>
    </row>
    <row r="14645" spans="1:8" x14ac:dyDescent="0.25">
      <c r="A14645" s="1"/>
      <c r="B14645" s="1" t="s">
        <v>5782</v>
      </c>
      <c r="C14645" s="1" t="s">
        <v>5783</v>
      </c>
      <c r="D14645" s="22" t="str">
        <f>HYPERLINK("https://rhld.insurance.arkansas.gov/NPILookup?Npi=1376568139","1376568139")</f>
        <v>1376568139</v>
      </c>
      <c r="E14645" s="1" t="s">
        <v>22008</v>
      </c>
      <c r="F14645" s="2"/>
      <c r="G14645" s="2"/>
      <c r="H14645" s="2"/>
    </row>
    <row r="14646" spans="1:8" x14ac:dyDescent="0.25">
      <c r="A14646" s="1"/>
      <c r="B14646" s="1" t="s">
        <v>5782</v>
      </c>
      <c r="C14646" s="1" t="s">
        <v>5783</v>
      </c>
      <c r="D14646" s="22" t="str">
        <f>HYPERLINK("https://rhld.insurance.arkansas.gov/NPILookup?Npi=1376581348","1376581348")</f>
        <v>1376581348</v>
      </c>
      <c r="E14646" s="1" t="s">
        <v>21527</v>
      </c>
      <c r="F14646" s="2"/>
      <c r="G14646" s="2"/>
      <c r="H14646" s="2"/>
    </row>
    <row r="14647" spans="1:8" x14ac:dyDescent="0.25">
      <c r="A14647" s="1"/>
      <c r="B14647" s="1" t="s">
        <v>5782</v>
      </c>
      <c r="C14647" s="1" t="s">
        <v>5783</v>
      </c>
      <c r="D14647" s="22" t="str">
        <f>HYPERLINK("https://rhld.insurance.arkansas.gov/NPILookup?Npi=1376586297","1376586297")</f>
        <v>1376586297</v>
      </c>
      <c r="E14647" s="1" t="s">
        <v>22009</v>
      </c>
      <c r="F14647" s="2"/>
      <c r="G14647" s="2"/>
      <c r="H14647" s="2"/>
    </row>
    <row r="14648" spans="1:8" x14ac:dyDescent="0.25">
      <c r="A14648" s="1"/>
      <c r="B14648" s="1" t="s">
        <v>5782</v>
      </c>
      <c r="C14648" s="1" t="s">
        <v>5783</v>
      </c>
      <c r="D14648" s="22" t="str">
        <f>HYPERLINK("https://rhld.insurance.arkansas.gov/NPILookup?Npi=1376591891","1376591891")</f>
        <v>1376591891</v>
      </c>
      <c r="E14648" s="1" t="s">
        <v>180</v>
      </c>
      <c r="F14648" s="2"/>
      <c r="G14648" s="2"/>
      <c r="H14648" s="2"/>
    </row>
    <row r="14649" spans="1:8" x14ac:dyDescent="0.25">
      <c r="A14649" s="1"/>
      <c r="B14649" s="1" t="s">
        <v>5782</v>
      </c>
      <c r="C14649" s="1" t="s">
        <v>5783</v>
      </c>
      <c r="D14649" s="22" t="str">
        <f>HYPERLINK("https://rhld.insurance.arkansas.gov/NPILookup?Npi=1376633594","1376633594")</f>
        <v>1376633594</v>
      </c>
      <c r="E14649" s="1" t="s">
        <v>22010</v>
      </c>
      <c r="F14649" s="2"/>
      <c r="G14649" s="2"/>
      <c r="H14649" s="2"/>
    </row>
    <row r="14650" spans="1:8" x14ac:dyDescent="0.25">
      <c r="A14650" s="1"/>
      <c r="B14650" s="1" t="s">
        <v>5782</v>
      </c>
      <c r="C14650" s="1" t="s">
        <v>5783</v>
      </c>
      <c r="D14650" s="22" t="str">
        <f>HYPERLINK("https://rhld.insurance.arkansas.gov/NPILookup?Npi=1376650481","1376650481")</f>
        <v>1376650481</v>
      </c>
      <c r="E14650" s="1" t="s">
        <v>3268</v>
      </c>
      <c r="F14650" s="2"/>
      <c r="G14650" s="2"/>
      <c r="H14650" s="2"/>
    </row>
    <row r="14651" spans="1:8" x14ac:dyDescent="0.25">
      <c r="A14651" s="1"/>
      <c r="B14651" s="1" t="s">
        <v>5782</v>
      </c>
      <c r="C14651" s="1" t="s">
        <v>5783</v>
      </c>
      <c r="D14651" s="22" t="str">
        <f>HYPERLINK("https://rhld.insurance.arkansas.gov/NPILookup?Npi=1376653519","1376653519")</f>
        <v>1376653519</v>
      </c>
      <c r="E14651" s="1" t="s">
        <v>11732</v>
      </c>
      <c r="F14651" s="2"/>
      <c r="G14651" s="2"/>
      <c r="H14651" s="2"/>
    </row>
    <row r="14652" spans="1:8" x14ac:dyDescent="0.25">
      <c r="A14652" s="1"/>
      <c r="B14652" s="1" t="s">
        <v>5782</v>
      </c>
      <c r="C14652" s="1" t="s">
        <v>5783</v>
      </c>
      <c r="D14652" s="22" t="str">
        <f>HYPERLINK("https://rhld.insurance.arkansas.gov/NPILookup?Npi=1376669580","1376669580")</f>
        <v>1376669580</v>
      </c>
      <c r="E14652" s="1" t="s">
        <v>782</v>
      </c>
      <c r="F14652" s="2"/>
      <c r="G14652" s="2"/>
      <c r="H14652" s="2"/>
    </row>
    <row r="14653" spans="1:8" x14ac:dyDescent="0.25">
      <c r="A14653" s="1"/>
      <c r="B14653" s="1" t="s">
        <v>5782</v>
      </c>
      <c r="C14653" s="1" t="s">
        <v>5783</v>
      </c>
      <c r="D14653" s="22" t="str">
        <f>HYPERLINK("https://rhld.insurance.arkansas.gov/NPILookup?Npi=1376676692","1376676692")</f>
        <v>1376676692</v>
      </c>
      <c r="E14653" s="1" t="s">
        <v>22011</v>
      </c>
      <c r="F14653" s="2"/>
      <c r="G14653" s="2"/>
      <c r="H14653" s="2"/>
    </row>
    <row r="14654" spans="1:8" x14ac:dyDescent="0.25">
      <c r="A14654" s="1"/>
      <c r="B14654" s="1" t="s">
        <v>5782</v>
      </c>
      <c r="C14654" s="1" t="s">
        <v>5783</v>
      </c>
      <c r="D14654" s="22" t="str">
        <f>HYPERLINK("https://rhld.insurance.arkansas.gov/NPILookup?Npi=1376711762","1376711762")</f>
        <v>1376711762</v>
      </c>
      <c r="E14654" s="1" t="s">
        <v>15936</v>
      </c>
      <c r="F14654" s="2"/>
      <c r="G14654" s="2"/>
      <c r="H14654" s="2"/>
    </row>
    <row r="14655" spans="1:8" x14ac:dyDescent="0.25">
      <c r="A14655" s="1"/>
      <c r="B14655" s="1" t="s">
        <v>5782</v>
      </c>
      <c r="C14655" s="1" t="s">
        <v>5783</v>
      </c>
      <c r="D14655" s="22" t="str">
        <f>HYPERLINK("https://rhld.insurance.arkansas.gov/NPILookup?Npi=1376719708","1376719708")</f>
        <v>1376719708</v>
      </c>
      <c r="E14655" s="1" t="s">
        <v>22012</v>
      </c>
      <c r="F14655" s="2"/>
      <c r="G14655" s="2"/>
      <c r="H14655" s="2"/>
    </row>
    <row r="14656" spans="1:8" x14ac:dyDescent="0.25">
      <c r="A14656" s="1"/>
      <c r="B14656" s="1" t="s">
        <v>5782</v>
      </c>
      <c r="C14656" s="1" t="s">
        <v>5783</v>
      </c>
      <c r="D14656" s="22" t="str">
        <f>HYPERLINK("https://rhld.insurance.arkansas.gov/NPILookup?Npi=1376749333","1376749333")</f>
        <v>1376749333</v>
      </c>
      <c r="E14656" s="1" t="s">
        <v>19175</v>
      </c>
      <c r="F14656" s="2"/>
      <c r="G14656" s="2"/>
      <c r="H14656" s="2"/>
    </row>
    <row r="14657" spans="1:8" x14ac:dyDescent="0.25">
      <c r="A14657" s="1"/>
      <c r="B14657" s="1" t="s">
        <v>5782</v>
      </c>
      <c r="C14657" s="1" t="s">
        <v>5783</v>
      </c>
      <c r="D14657" s="22" t="str">
        <f>HYPERLINK("https://rhld.insurance.arkansas.gov/NPILookup?Npi=1376754085","1376754085")</f>
        <v>1376754085</v>
      </c>
      <c r="E14657" s="1" t="s">
        <v>22013</v>
      </c>
      <c r="F14657" s="2"/>
      <c r="G14657" s="2"/>
      <c r="H14657" s="2"/>
    </row>
    <row r="14658" spans="1:8" x14ac:dyDescent="0.25">
      <c r="A14658" s="1"/>
      <c r="B14658" s="1" t="s">
        <v>5782</v>
      </c>
      <c r="C14658" s="1" t="s">
        <v>5783</v>
      </c>
      <c r="D14658" s="22" t="str">
        <f>HYPERLINK("https://rhld.insurance.arkansas.gov/NPILookup?Npi=1376756098","1376756098")</f>
        <v>1376756098</v>
      </c>
      <c r="E14658" s="1" t="s">
        <v>1664</v>
      </c>
      <c r="F14658" s="2"/>
      <c r="G14658" s="2"/>
      <c r="H14658" s="2"/>
    </row>
    <row r="14659" spans="1:8" x14ac:dyDescent="0.25">
      <c r="A14659" s="1"/>
      <c r="B14659" s="1" t="s">
        <v>5782</v>
      </c>
      <c r="C14659" s="1" t="s">
        <v>5783</v>
      </c>
      <c r="D14659" s="22" t="str">
        <f>HYPERLINK("https://rhld.insurance.arkansas.gov/NPILookup?Npi=1376774216","1376774216")</f>
        <v>1376774216</v>
      </c>
      <c r="E14659" s="1" t="s">
        <v>1057</v>
      </c>
      <c r="F14659" s="2"/>
      <c r="G14659" s="2"/>
      <c r="H14659" s="2"/>
    </row>
    <row r="14660" spans="1:8" x14ac:dyDescent="0.25">
      <c r="A14660" s="1"/>
      <c r="B14660" s="1" t="s">
        <v>5782</v>
      </c>
      <c r="C14660" s="1" t="s">
        <v>5783</v>
      </c>
      <c r="D14660" s="22" t="str">
        <f>HYPERLINK("https://rhld.insurance.arkansas.gov/NPILookup?Npi=1376792796","1376792796")</f>
        <v>1376792796</v>
      </c>
      <c r="E14660" s="1" t="s">
        <v>22014</v>
      </c>
      <c r="F14660" s="2"/>
      <c r="G14660" s="2"/>
      <c r="H14660" s="2"/>
    </row>
    <row r="14661" spans="1:8" x14ac:dyDescent="0.25">
      <c r="A14661" s="1"/>
      <c r="B14661" s="1" t="s">
        <v>5782</v>
      </c>
      <c r="C14661" s="1" t="s">
        <v>5783</v>
      </c>
      <c r="D14661" s="22" t="str">
        <f>HYPERLINK("https://rhld.insurance.arkansas.gov/NPILookup?Npi=1376794503","1376794503")</f>
        <v>1376794503</v>
      </c>
      <c r="E14661" s="1" t="s">
        <v>11415</v>
      </c>
      <c r="F14661" s="2"/>
      <c r="G14661" s="2"/>
      <c r="H14661" s="2"/>
    </row>
    <row r="14662" spans="1:8" x14ac:dyDescent="0.25">
      <c r="A14662" s="1"/>
      <c r="B14662" s="1" t="s">
        <v>5782</v>
      </c>
      <c r="C14662" s="1" t="s">
        <v>5783</v>
      </c>
      <c r="D14662" s="22" t="str">
        <f>HYPERLINK("https://rhld.insurance.arkansas.gov/NPILookup?Npi=1376800920","1376800920")</f>
        <v>1376800920</v>
      </c>
      <c r="E14662" s="1" t="s">
        <v>11734</v>
      </c>
      <c r="F14662" s="2"/>
      <c r="G14662" s="2"/>
      <c r="H14662" s="2"/>
    </row>
    <row r="14663" spans="1:8" x14ac:dyDescent="0.25">
      <c r="A14663" s="1"/>
      <c r="B14663" s="1" t="s">
        <v>5782</v>
      </c>
      <c r="C14663" s="1" t="s">
        <v>5783</v>
      </c>
      <c r="D14663" s="22" t="str">
        <f>HYPERLINK("https://rhld.insurance.arkansas.gov/NPILookup?Npi=1376818674","1376818674")</f>
        <v>1376818674</v>
      </c>
      <c r="E14663" s="1" t="s">
        <v>3271</v>
      </c>
      <c r="F14663" s="2"/>
      <c r="G14663" s="2"/>
      <c r="H14663" s="2"/>
    </row>
    <row r="14664" spans="1:8" x14ac:dyDescent="0.25">
      <c r="A14664" s="1"/>
      <c r="B14664" s="1" t="s">
        <v>5782</v>
      </c>
      <c r="C14664" s="1" t="s">
        <v>5783</v>
      </c>
      <c r="D14664" s="22" t="str">
        <f>HYPERLINK("https://rhld.insurance.arkansas.gov/NPILookup?Npi=1376819045","1376819045")</f>
        <v>1376819045</v>
      </c>
      <c r="E14664" s="1" t="s">
        <v>22015</v>
      </c>
      <c r="F14664" s="2"/>
      <c r="G14664" s="2"/>
      <c r="H14664" s="2"/>
    </row>
    <row r="14665" spans="1:8" x14ac:dyDescent="0.25">
      <c r="A14665" s="1"/>
      <c r="B14665" s="1" t="s">
        <v>5782</v>
      </c>
      <c r="C14665" s="1" t="s">
        <v>5783</v>
      </c>
      <c r="D14665" s="22" t="str">
        <f>HYPERLINK("https://rhld.insurance.arkansas.gov/NPILookup?Npi=1376824441","1376824441")</f>
        <v>1376824441</v>
      </c>
      <c r="E14665" s="1" t="s">
        <v>11735</v>
      </c>
      <c r="F14665" s="2"/>
      <c r="G14665" s="2"/>
      <c r="H14665" s="2"/>
    </row>
    <row r="14666" spans="1:8" x14ac:dyDescent="0.25">
      <c r="A14666" s="1"/>
      <c r="B14666" s="1" t="s">
        <v>5782</v>
      </c>
      <c r="C14666" s="1" t="s">
        <v>5783</v>
      </c>
      <c r="D14666" s="22" t="str">
        <f>HYPERLINK("https://rhld.insurance.arkansas.gov/NPILookup?Npi=1376842344","1376842344")</f>
        <v>1376842344</v>
      </c>
      <c r="E14666" s="1" t="s">
        <v>738</v>
      </c>
      <c r="F14666" s="2"/>
      <c r="G14666" s="2"/>
      <c r="H14666" s="2"/>
    </row>
    <row r="14667" spans="1:8" x14ac:dyDescent="0.25">
      <c r="A14667" s="1"/>
      <c r="B14667" s="1" t="s">
        <v>5782</v>
      </c>
      <c r="C14667" s="1" t="s">
        <v>5783</v>
      </c>
      <c r="D14667" s="22" t="str">
        <f>HYPERLINK("https://rhld.insurance.arkansas.gov/NPILookup?Npi=1376854273","1376854273")</f>
        <v>1376854273</v>
      </c>
      <c r="E14667" s="1" t="s">
        <v>22016</v>
      </c>
      <c r="F14667" s="2"/>
      <c r="G14667" s="2"/>
      <c r="H14667" s="2"/>
    </row>
    <row r="14668" spans="1:8" x14ac:dyDescent="0.25">
      <c r="A14668" s="1"/>
      <c r="B14668" s="1" t="s">
        <v>5782</v>
      </c>
      <c r="C14668" s="1" t="s">
        <v>5783</v>
      </c>
      <c r="D14668" s="22" t="str">
        <f>HYPERLINK("https://rhld.insurance.arkansas.gov/NPILookup?Npi=1376900662","1376900662")</f>
        <v>1376900662</v>
      </c>
      <c r="E14668" s="1" t="s">
        <v>22017</v>
      </c>
      <c r="F14668" s="2"/>
      <c r="G14668" s="2"/>
      <c r="H14668" s="2"/>
    </row>
    <row r="14669" spans="1:8" x14ac:dyDescent="0.25">
      <c r="A14669" s="1"/>
      <c r="B14669" s="1" t="s">
        <v>5782</v>
      </c>
      <c r="C14669" s="1" t="s">
        <v>5783</v>
      </c>
      <c r="D14669" s="22" t="str">
        <f>HYPERLINK("https://rhld.insurance.arkansas.gov/NPILookup?Npi=1376914630","1376914630")</f>
        <v>1376914630</v>
      </c>
      <c r="E14669" s="1" t="s">
        <v>22018</v>
      </c>
      <c r="F14669" s="2"/>
      <c r="G14669" s="2"/>
      <c r="H14669" s="2"/>
    </row>
    <row r="14670" spans="1:8" x14ac:dyDescent="0.25">
      <c r="A14670" s="1"/>
      <c r="B14670" s="1" t="s">
        <v>5782</v>
      </c>
      <c r="C14670" s="1" t="s">
        <v>5783</v>
      </c>
      <c r="D14670" s="22" t="str">
        <f>HYPERLINK("https://rhld.insurance.arkansas.gov/NPILookup?Npi=1376915215","1376915215")</f>
        <v>1376915215</v>
      </c>
      <c r="E14670" s="1" t="s">
        <v>22019</v>
      </c>
      <c r="F14670" s="2"/>
      <c r="G14670" s="2"/>
      <c r="H14670" s="2"/>
    </row>
    <row r="14671" spans="1:8" x14ac:dyDescent="0.25">
      <c r="A14671" s="1"/>
      <c r="B14671" s="1" t="s">
        <v>5782</v>
      </c>
      <c r="C14671" s="1" t="s">
        <v>5783</v>
      </c>
      <c r="D14671" s="22" t="str">
        <f>HYPERLINK("https://rhld.insurance.arkansas.gov/NPILookup?Npi=1376930883","1376930883")</f>
        <v>1376930883</v>
      </c>
      <c r="E14671" s="1" t="s">
        <v>11736</v>
      </c>
      <c r="F14671" s="2"/>
      <c r="G14671" s="2"/>
      <c r="H14671" s="2"/>
    </row>
    <row r="14672" spans="1:8" x14ac:dyDescent="0.25">
      <c r="A14672" s="1"/>
      <c r="B14672" s="1" t="s">
        <v>5782</v>
      </c>
      <c r="C14672" s="1" t="s">
        <v>5783</v>
      </c>
      <c r="D14672" s="22" t="str">
        <f>HYPERLINK("https://rhld.insurance.arkansas.gov/NPILookup?Npi=1376936690","1376936690")</f>
        <v>1376936690</v>
      </c>
      <c r="E14672" s="1" t="s">
        <v>22020</v>
      </c>
      <c r="F14672" s="2"/>
      <c r="G14672" s="2"/>
      <c r="H14672" s="2"/>
    </row>
    <row r="14673" spans="1:8" x14ac:dyDescent="0.25">
      <c r="A14673" s="1"/>
      <c r="B14673" s="1" t="s">
        <v>5782</v>
      </c>
      <c r="C14673" s="1" t="s">
        <v>5783</v>
      </c>
      <c r="D14673" s="22" t="str">
        <f>HYPERLINK("https://rhld.insurance.arkansas.gov/NPILookup?Npi=1376947812","1376947812")</f>
        <v>1376947812</v>
      </c>
      <c r="E14673" s="1" t="s">
        <v>11737</v>
      </c>
      <c r="F14673" s="2"/>
      <c r="G14673" s="2"/>
      <c r="H14673" s="2"/>
    </row>
    <row r="14674" spans="1:8" x14ac:dyDescent="0.25">
      <c r="A14674" s="1"/>
      <c r="B14674" s="1" t="s">
        <v>5782</v>
      </c>
      <c r="C14674" s="1" t="s">
        <v>5783</v>
      </c>
      <c r="D14674" s="22" t="str">
        <f>HYPERLINK("https://rhld.insurance.arkansas.gov/NPILookup?Npi=1376949875","1376949875")</f>
        <v>1376949875</v>
      </c>
      <c r="E14674" s="1" t="s">
        <v>11738</v>
      </c>
      <c r="F14674" s="2"/>
      <c r="G14674" s="2"/>
      <c r="H14674" s="2"/>
    </row>
    <row r="14675" spans="1:8" x14ac:dyDescent="0.25">
      <c r="A14675" s="1"/>
      <c r="B14675" s="1" t="s">
        <v>5782</v>
      </c>
      <c r="C14675" s="1" t="s">
        <v>5783</v>
      </c>
      <c r="D14675" s="22" t="str">
        <f>HYPERLINK("https://rhld.insurance.arkansas.gov/NPILookup?Npi=1376955765","1376955765")</f>
        <v>1376955765</v>
      </c>
      <c r="E14675" s="1" t="s">
        <v>22021</v>
      </c>
      <c r="F14675" s="2"/>
      <c r="G14675" s="2"/>
      <c r="H14675" s="2"/>
    </row>
    <row r="14676" spans="1:8" x14ac:dyDescent="0.25">
      <c r="A14676" s="1"/>
      <c r="B14676" s="1" t="s">
        <v>5782</v>
      </c>
      <c r="C14676" s="1" t="s">
        <v>5783</v>
      </c>
      <c r="D14676" s="22" t="str">
        <f>HYPERLINK("https://rhld.insurance.arkansas.gov/NPILookup?Npi=1376959122","1376959122")</f>
        <v>1376959122</v>
      </c>
      <c r="E14676" s="1" t="s">
        <v>22022</v>
      </c>
      <c r="F14676" s="2"/>
      <c r="G14676" s="2"/>
      <c r="H14676" s="2"/>
    </row>
    <row r="14677" spans="1:8" x14ac:dyDescent="0.25">
      <c r="A14677" s="1"/>
      <c r="B14677" s="1" t="s">
        <v>5782</v>
      </c>
      <c r="C14677" s="1" t="s">
        <v>5783</v>
      </c>
      <c r="D14677" s="22" t="str">
        <f>HYPERLINK("https://rhld.insurance.arkansas.gov/NPILookup?Npi=1376964213","1376964213")</f>
        <v>1376964213</v>
      </c>
      <c r="E14677" s="1" t="s">
        <v>12021</v>
      </c>
      <c r="F14677" s="2"/>
      <c r="G14677" s="2"/>
      <c r="H14677" s="2"/>
    </row>
    <row r="14678" spans="1:8" x14ac:dyDescent="0.25">
      <c r="A14678" s="1"/>
      <c r="B14678" s="1" t="s">
        <v>5782</v>
      </c>
      <c r="C14678" s="1" t="s">
        <v>5783</v>
      </c>
      <c r="D14678" s="22" t="str">
        <f>HYPERLINK("https://rhld.insurance.arkansas.gov/NPILookup?Npi=1376970871","1376970871")</f>
        <v>1376970871</v>
      </c>
      <c r="E14678" s="1" t="s">
        <v>6233</v>
      </c>
      <c r="F14678" s="2"/>
      <c r="G14678" s="2"/>
      <c r="H14678" s="2"/>
    </row>
    <row r="14679" spans="1:8" x14ac:dyDescent="0.25">
      <c r="A14679" s="1"/>
      <c r="B14679" s="1" t="s">
        <v>5782</v>
      </c>
      <c r="C14679" s="1" t="s">
        <v>5783</v>
      </c>
      <c r="D14679" s="22" t="str">
        <f>HYPERLINK("https://rhld.insurance.arkansas.gov/NPILookup?Npi=1376971267","1376971267")</f>
        <v>1376971267</v>
      </c>
      <c r="E14679" s="1" t="s">
        <v>3436</v>
      </c>
      <c r="F14679" s="2"/>
      <c r="G14679" s="2"/>
      <c r="H14679" s="2"/>
    </row>
    <row r="14680" spans="1:8" x14ac:dyDescent="0.25">
      <c r="A14680" s="1"/>
      <c r="B14680" s="1" t="s">
        <v>5782</v>
      </c>
      <c r="C14680" s="1" t="s">
        <v>5783</v>
      </c>
      <c r="D14680" s="22" t="str">
        <f>HYPERLINK("https://rhld.insurance.arkansas.gov/NPILookup?Npi=1376994756","1376994756")</f>
        <v>1376994756</v>
      </c>
      <c r="E14680" s="1" t="s">
        <v>22023</v>
      </c>
      <c r="F14680" s="2"/>
      <c r="G14680" s="2"/>
      <c r="H14680" s="2"/>
    </row>
    <row r="14681" spans="1:8" x14ac:dyDescent="0.25">
      <c r="A14681" s="1"/>
      <c r="B14681" s="1" t="s">
        <v>5782</v>
      </c>
      <c r="C14681" s="1" t="s">
        <v>5783</v>
      </c>
      <c r="D14681" s="22" t="str">
        <f>HYPERLINK("https://rhld.insurance.arkansas.gov/NPILookup?Npi=1386009074","1386009074")</f>
        <v>1386009074</v>
      </c>
      <c r="E14681" s="1" t="s">
        <v>22024</v>
      </c>
      <c r="F14681" s="2"/>
      <c r="G14681" s="2"/>
      <c r="H14681" s="2"/>
    </row>
    <row r="14682" spans="1:8" x14ac:dyDescent="0.25">
      <c r="A14682" s="1"/>
      <c r="B14682" s="1" t="s">
        <v>5782</v>
      </c>
      <c r="C14682" s="1" t="s">
        <v>5783</v>
      </c>
      <c r="D14682" s="22" t="str">
        <f>HYPERLINK("https://rhld.insurance.arkansas.gov/NPILookup?Npi=1386010536","1386010536")</f>
        <v>1386010536</v>
      </c>
      <c r="E14682" s="1" t="s">
        <v>22025</v>
      </c>
      <c r="F14682" s="2"/>
      <c r="G14682" s="2"/>
      <c r="H14682" s="2"/>
    </row>
    <row r="14683" spans="1:8" x14ac:dyDescent="0.25">
      <c r="A14683" s="1"/>
      <c r="B14683" s="1" t="s">
        <v>5782</v>
      </c>
      <c r="C14683" s="1" t="s">
        <v>5783</v>
      </c>
      <c r="D14683" s="22" t="str">
        <f>HYPERLINK("https://rhld.insurance.arkansas.gov/NPILookup?Npi=1386017374","1386017374")</f>
        <v>1386017374</v>
      </c>
      <c r="E14683" s="1" t="s">
        <v>11739</v>
      </c>
      <c r="F14683" s="2"/>
      <c r="G14683" s="2"/>
      <c r="H14683" s="2"/>
    </row>
    <row r="14684" spans="1:8" x14ac:dyDescent="0.25">
      <c r="A14684" s="1"/>
      <c r="B14684" s="1" t="s">
        <v>5782</v>
      </c>
      <c r="C14684" s="1" t="s">
        <v>5783</v>
      </c>
      <c r="D14684" s="22" t="str">
        <f>HYPERLINK("https://rhld.insurance.arkansas.gov/NPILookup?Npi=1386036382","1386036382")</f>
        <v>1386036382</v>
      </c>
      <c r="E14684" s="1" t="s">
        <v>22026</v>
      </c>
      <c r="F14684" s="2"/>
      <c r="G14684" s="2"/>
      <c r="H14684" s="2"/>
    </row>
    <row r="14685" spans="1:8" x14ac:dyDescent="0.25">
      <c r="A14685" s="1"/>
      <c r="B14685" s="1" t="s">
        <v>5782</v>
      </c>
      <c r="C14685" s="1" t="s">
        <v>5783</v>
      </c>
      <c r="D14685" s="22" t="str">
        <f>HYPERLINK("https://rhld.insurance.arkansas.gov/NPILookup?Npi=1386043537","1386043537")</f>
        <v>1386043537</v>
      </c>
      <c r="E14685" s="1" t="s">
        <v>22027</v>
      </c>
      <c r="F14685" s="2"/>
      <c r="G14685" s="2"/>
      <c r="H14685" s="2"/>
    </row>
    <row r="14686" spans="1:8" x14ac:dyDescent="0.25">
      <c r="A14686" s="1"/>
      <c r="B14686" s="1" t="s">
        <v>5782</v>
      </c>
      <c r="C14686" s="1" t="s">
        <v>5783</v>
      </c>
      <c r="D14686" s="22" t="str">
        <f>HYPERLINK("https://rhld.insurance.arkansas.gov/NPILookup?Npi=1386048353","1386048353")</f>
        <v>1386048353</v>
      </c>
      <c r="E14686" s="1" t="s">
        <v>4808</v>
      </c>
      <c r="F14686" s="2"/>
      <c r="G14686" s="2"/>
      <c r="H14686" s="2"/>
    </row>
    <row r="14687" spans="1:8" x14ac:dyDescent="0.25">
      <c r="A14687" s="1"/>
      <c r="B14687" s="1" t="s">
        <v>5782</v>
      </c>
      <c r="C14687" s="1" t="s">
        <v>5783</v>
      </c>
      <c r="D14687" s="22" t="str">
        <f>HYPERLINK("https://rhld.insurance.arkansas.gov/NPILookup?Npi=1386058758","1386058758")</f>
        <v>1386058758</v>
      </c>
      <c r="E14687" s="1" t="s">
        <v>11740</v>
      </c>
      <c r="F14687" s="2"/>
      <c r="G14687" s="2"/>
      <c r="H14687" s="2"/>
    </row>
    <row r="14688" spans="1:8" x14ac:dyDescent="0.25">
      <c r="A14688" s="1"/>
      <c r="B14688" s="1" t="s">
        <v>5782</v>
      </c>
      <c r="C14688" s="1" t="s">
        <v>5783</v>
      </c>
      <c r="D14688" s="22" t="str">
        <f>HYPERLINK("https://rhld.insurance.arkansas.gov/NPILookup?Npi=1386060010","1386060010")</f>
        <v>1386060010</v>
      </c>
      <c r="E14688" s="1" t="s">
        <v>2802</v>
      </c>
      <c r="F14688" s="2"/>
      <c r="G14688" s="2"/>
      <c r="H14688" s="2"/>
    </row>
    <row r="14689" spans="1:8" x14ac:dyDescent="0.25">
      <c r="A14689" s="1"/>
      <c r="B14689" s="1" t="s">
        <v>5782</v>
      </c>
      <c r="C14689" s="1" t="s">
        <v>5783</v>
      </c>
      <c r="D14689" s="22" t="str">
        <f>HYPERLINK("https://rhld.insurance.arkansas.gov/NPILookup?Npi=1386065712","1386065712")</f>
        <v>1386065712</v>
      </c>
      <c r="E14689" s="1" t="s">
        <v>11741</v>
      </c>
      <c r="F14689" s="2"/>
      <c r="G14689" s="2"/>
      <c r="H14689" s="2"/>
    </row>
    <row r="14690" spans="1:8" x14ac:dyDescent="0.25">
      <c r="A14690" s="1"/>
      <c r="B14690" s="1" t="s">
        <v>5782</v>
      </c>
      <c r="C14690" s="1" t="s">
        <v>5783</v>
      </c>
      <c r="D14690" s="22" t="str">
        <f>HYPERLINK("https://rhld.insurance.arkansas.gov/NPILookup?Npi=1386069961","1386069961")</f>
        <v>1386069961</v>
      </c>
      <c r="E14690" s="1" t="s">
        <v>22028</v>
      </c>
      <c r="F14690" s="2"/>
      <c r="G14690" s="2"/>
      <c r="H14690" s="2"/>
    </row>
    <row r="14691" spans="1:8" x14ac:dyDescent="0.25">
      <c r="A14691" s="1"/>
      <c r="B14691" s="1" t="s">
        <v>5782</v>
      </c>
      <c r="C14691" s="1" t="s">
        <v>5783</v>
      </c>
      <c r="D14691" s="22" t="str">
        <f>HYPERLINK("https://rhld.insurance.arkansas.gov/NPILookup?Npi=1386085728","1386085728")</f>
        <v>1386085728</v>
      </c>
      <c r="E14691" s="1" t="s">
        <v>11742</v>
      </c>
      <c r="F14691" s="2"/>
      <c r="G14691" s="2"/>
      <c r="H14691" s="2"/>
    </row>
    <row r="14692" spans="1:8" x14ac:dyDescent="0.25">
      <c r="A14692" s="1"/>
      <c r="B14692" s="1" t="s">
        <v>5782</v>
      </c>
      <c r="C14692" s="1" t="s">
        <v>5783</v>
      </c>
      <c r="D14692" s="22" t="str">
        <f>HYPERLINK("https://rhld.insurance.arkansas.gov/NPILookup?Npi=1386110807","1386110807")</f>
        <v>1386110807</v>
      </c>
      <c r="E14692" s="1" t="s">
        <v>22029</v>
      </c>
      <c r="F14692" s="2"/>
      <c r="G14692" s="2"/>
      <c r="H14692" s="2"/>
    </row>
    <row r="14693" spans="1:8" x14ac:dyDescent="0.25">
      <c r="A14693" s="1"/>
      <c r="B14693" s="1" t="s">
        <v>5782</v>
      </c>
      <c r="C14693" s="1" t="s">
        <v>5783</v>
      </c>
      <c r="D14693" s="22" t="str">
        <f>HYPERLINK("https://rhld.insurance.arkansas.gov/NPILookup?Npi=1386124105","1386124105")</f>
        <v>1386124105</v>
      </c>
      <c r="E14693" s="1" t="s">
        <v>16649</v>
      </c>
      <c r="F14693" s="2"/>
      <c r="G14693" s="2"/>
      <c r="H14693" s="2"/>
    </row>
    <row r="14694" spans="1:8" x14ac:dyDescent="0.25">
      <c r="A14694" s="1"/>
      <c r="B14694" s="1" t="s">
        <v>5782</v>
      </c>
      <c r="C14694" s="1" t="s">
        <v>5783</v>
      </c>
      <c r="D14694" s="22" t="str">
        <f>HYPERLINK("https://rhld.insurance.arkansas.gov/NPILookup?Npi=1386126639","1386126639")</f>
        <v>1386126639</v>
      </c>
      <c r="E14694" s="1" t="s">
        <v>22030</v>
      </c>
      <c r="F14694" s="2"/>
      <c r="G14694" s="2"/>
      <c r="H14694" s="2"/>
    </row>
    <row r="14695" spans="1:8" x14ac:dyDescent="0.25">
      <c r="A14695" s="1"/>
      <c r="B14695" s="1" t="s">
        <v>5782</v>
      </c>
      <c r="C14695" s="1" t="s">
        <v>5783</v>
      </c>
      <c r="D14695" s="22" t="str">
        <f>HYPERLINK("https://rhld.insurance.arkansas.gov/NPILookup?Npi=1386153393","1386153393")</f>
        <v>1386153393</v>
      </c>
      <c r="E14695" s="1" t="s">
        <v>31868</v>
      </c>
      <c r="F14695" s="2"/>
      <c r="G14695" s="2"/>
      <c r="H14695" s="2"/>
    </row>
    <row r="14696" spans="1:8" x14ac:dyDescent="0.25">
      <c r="A14696" s="1"/>
      <c r="B14696" s="1" t="s">
        <v>5782</v>
      </c>
      <c r="C14696" s="1" t="s">
        <v>5783</v>
      </c>
      <c r="D14696" s="22" t="str">
        <f>HYPERLINK("https://rhld.insurance.arkansas.gov/NPILookup?Npi=1386155620","1386155620")</f>
        <v>1386155620</v>
      </c>
      <c r="E14696" s="1" t="s">
        <v>22031</v>
      </c>
      <c r="F14696" s="2"/>
      <c r="G14696" s="2"/>
      <c r="H14696" s="2"/>
    </row>
    <row r="14697" spans="1:8" x14ac:dyDescent="0.25">
      <c r="A14697" s="1"/>
      <c r="B14697" s="1" t="s">
        <v>5782</v>
      </c>
      <c r="C14697" s="1" t="s">
        <v>5783</v>
      </c>
      <c r="D14697" s="22" t="str">
        <f>HYPERLINK("https://rhld.insurance.arkansas.gov/NPILookup?Npi=1386166783","1386166783")</f>
        <v>1386166783</v>
      </c>
      <c r="E14697" s="1" t="s">
        <v>932</v>
      </c>
      <c r="F14697" s="2"/>
      <c r="G14697" s="2"/>
      <c r="H14697" s="2"/>
    </row>
    <row r="14698" spans="1:8" x14ac:dyDescent="0.25">
      <c r="A14698" s="1"/>
      <c r="B14698" s="1" t="s">
        <v>5782</v>
      </c>
      <c r="C14698" s="1" t="s">
        <v>5783</v>
      </c>
      <c r="D14698" s="22" t="str">
        <f>HYPERLINK("https://rhld.insurance.arkansas.gov/NPILookup?Npi=1386193209","1386193209")</f>
        <v>1386193209</v>
      </c>
      <c r="E14698" s="1" t="s">
        <v>22032</v>
      </c>
      <c r="F14698" s="2"/>
      <c r="G14698" s="2"/>
      <c r="H14698" s="2"/>
    </row>
    <row r="14699" spans="1:8" x14ac:dyDescent="0.25">
      <c r="A14699" s="1"/>
      <c r="B14699" s="1" t="s">
        <v>5782</v>
      </c>
      <c r="C14699" s="1" t="s">
        <v>5783</v>
      </c>
      <c r="D14699" s="22" t="str">
        <f>HYPERLINK("https://rhld.insurance.arkansas.gov/NPILookup?Npi=1386216901","1386216901")</f>
        <v>1386216901</v>
      </c>
      <c r="E14699" s="1" t="s">
        <v>3979</v>
      </c>
      <c r="F14699" s="2"/>
      <c r="G14699" s="2"/>
      <c r="H14699" s="2"/>
    </row>
    <row r="14700" spans="1:8" x14ac:dyDescent="0.25">
      <c r="A14700" s="1"/>
      <c r="B14700" s="1" t="s">
        <v>5782</v>
      </c>
      <c r="C14700" s="1" t="s">
        <v>5783</v>
      </c>
      <c r="D14700" s="22" t="str">
        <f>HYPERLINK("https://rhld.insurance.arkansas.gov/NPILookup?Npi=1386230449","1386230449")</f>
        <v>1386230449</v>
      </c>
      <c r="E14700" s="1" t="s">
        <v>22033</v>
      </c>
      <c r="F14700" s="2"/>
      <c r="G14700" s="2"/>
      <c r="H14700" s="2"/>
    </row>
    <row r="14701" spans="1:8" x14ac:dyDescent="0.25">
      <c r="A14701" s="1"/>
      <c r="B14701" s="1" t="s">
        <v>5782</v>
      </c>
      <c r="C14701" s="1" t="s">
        <v>5783</v>
      </c>
      <c r="D14701" s="22" t="str">
        <f>HYPERLINK("https://rhld.insurance.arkansas.gov/NPILookup?Npi=1386246460","1386246460")</f>
        <v>1386246460</v>
      </c>
      <c r="E14701" s="1" t="s">
        <v>6234</v>
      </c>
      <c r="F14701" s="2"/>
      <c r="G14701" s="2"/>
      <c r="H14701" s="2"/>
    </row>
    <row r="14702" spans="1:8" x14ac:dyDescent="0.25">
      <c r="A14702" s="1"/>
      <c r="B14702" s="1" t="s">
        <v>5782</v>
      </c>
      <c r="C14702" s="1" t="s">
        <v>5783</v>
      </c>
      <c r="D14702" s="22" t="str">
        <f>HYPERLINK("https://rhld.insurance.arkansas.gov/NPILookup?Npi=1386257103","1386257103")</f>
        <v>1386257103</v>
      </c>
      <c r="E14702" s="1" t="s">
        <v>11743</v>
      </c>
      <c r="F14702" s="2"/>
      <c r="G14702" s="2"/>
      <c r="H14702" s="2"/>
    </row>
    <row r="14703" spans="1:8" x14ac:dyDescent="0.25">
      <c r="A14703" s="1"/>
      <c r="B14703" s="1" t="s">
        <v>5782</v>
      </c>
      <c r="C14703" s="1" t="s">
        <v>5783</v>
      </c>
      <c r="D14703" s="22" t="str">
        <f>HYPERLINK("https://rhld.insurance.arkansas.gov/NPILookup?Npi=1386270759","1386270759")</f>
        <v>1386270759</v>
      </c>
      <c r="E14703" s="1" t="s">
        <v>11744</v>
      </c>
      <c r="F14703" s="2"/>
      <c r="G14703" s="2"/>
      <c r="H14703" s="2"/>
    </row>
    <row r="14704" spans="1:8" x14ac:dyDescent="0.25">
      <c r="A14704" s="1"/>
      <c r="B14704" s="1" t="s">
        <v>5782</v>
      </c>
      <c r="C14704" s="1" t="s">
        <v>5783</v>
      </c>
      <c r="D14704" s="22" t="str">
        <f>HYPERLINK("https://rhld.insurance.arkansas.gov/NPILookup?Npi=1386279263","1386279263")</f>
        <v>1386279263</v>
      </c>
      <c r="E14704" s="1" t="s">
        <v>21769</v>
      </c>
      <c r="F14704" s="2"/>
      <c r="G14704" s="2"/>
      <c r="H14704" s="2"/>
    </row>
    <row r="14705" spans="1:8" x14ac:dyDescent="0.25">
      <c r="A14705" s="1"/>
      <c r="B14705" s="1" t="s">
        <v>5782</v>
      </c>
      <c r="C14705" s="1" t="s">
        <v>5783</v>
      </c>
      <c r="D14705" s="22" t="str">
        <f>HYPERLINK("https://rhld.insurance.arkansas.gov/NPILookup?Npi=1386290443","1386290443")</f>
        <v>1386290443</v>
      </c>
      <c r="E14705" s="1" t="s">
        <v>6235</v>
      </c>
      <c r="F14705" s="2"/>
      <c r="G14705" s="2"/>
      <c r="H14705" s="2"/>
    </row>
    <row r="14706" spans="1:8" x14ac:dyDescent="0.25">
      <c r="A14706" s="1"/>
      <c r="B14706" s="1" t="s">
        <v>5782</v>
      </c>
      <c r="C14706" s="1" t="s">
        <v>5783</v>
      </c>
      <c r="D14706" s="22" t="str">
        <f>HYPERLINK("https://rhld.insurance.arkansas.gov/NPILookup?Npi=1386291219","1386291219")</f>
        <v>1386291219</v>
      </c>
      <c r="E14706" s="1" t="s">
        <v>22034</v>
      </c>
      <c r="F14706" s="2"/>
      <c r="G14706" s="2"/>
      <c r="H14706" s="2"/>
    </row>
    <row r="14707" spans="1:8" x14ac:dyDescent="0.25">
      <c r="A14707" s="1"/>
      <c r="B14707" s="1" t="s">
        <v>5782</v>
      </c>
      <c r="C14707" s="1" t="s">
        <v>5783</v>
      </c>
      <c r="D14707" s="22" t="str">
        <f>HYPERLINK("https://rhld.insurance.arkansas.gov/NPILookup?Npi=1386307239","1386307239")</f>
        <v>1386307239</v>
      </c>
      <c r="E14707" s="1" t="s">
        <v>2477</v>
      </c>
      <c r="F14707" s="2"/>
      <c r="G14707" s="2"/>
      <c r="H14707" s="2"/>
    </row>
    <row r="14708" spans="1:8" x14ac:dyDescent="0.25">
      <c r="A14708" s="1"/>
      <c r="B14708" s="1" t="s">
        <v>5782</v>
      </c>
      <c r="C14708" s="1" t="s">
        <v>5783</v>
      </c>
      <c r="D14708" s="22" t="str">
        <f>HYPERLINK("https://rhld.insurance.arkansas.gov/NPILookup?Npi=1386334902","1386334902")</f>
        <v>1386334902</v>
      </c>
      <c r="E14708" s="1" t="s">
        <v>6236</v>
      </c>
      <c r="F14708" s="2"/>
      <c r="G14708" s="2"/>
      <c r="H14708" s="2"/>
    </row>
    <row r="14709" spans="1:8" x14ac:dyDescent="0.25">
      <c r="A14709" s="1"/>
      <c r="B14709" s="1" t="s">
        <v>5782</v>
      </c>
      <c r="C14709" s="1" t="s">
        <v>5783</v>
      </c>
      <c r="D14709" s="22" t="str">
        <f>HYPERLINK("https://rhld.insurance.arkansas.gov/NPILookup?Npi=1386350551","1386350551")</f>
        <v>1386350551</v>
      </c>
      <c r="E14709" s="1" t="s">
        <v>22035</v>
      </c>
      <c r="F14709" s="2"/>
      <c r="G14709" s="2"/>
      <c r="H14709" s="2"/>
    </row>
    <row r="14710" spans="1:8" x14ac:dyDescent="0.25">
      <c r="A14710" s="1"/>
      <c r="B14710" s="1" t="s">
        <v>5782</v>
      </c>
      <c r="C14710" s="1" t="s">
        <v>5783</v>
      </c>
      <c r="D14710" s="22" t="str">
        <f>HYPERLINK("https://rhld.insurance.arkansas.gov/NPILookup?Npi=1386354033","1386354033")</f>
        <v>1386354033</v>
      </c>
      <c r="E14710" s="1" t="s">
        <v>5396</v>
      </c>
      <c r="F14710" s="2"/>
      <c r="G14710" s="2"/>
      <c r="H14710" s="2"/>
    </row>
    <row r="14711" spans="1:8" x14ac:dyDescent="0.25">
      <c r="A14711" s="1"/>
      <c r="B14711" s="1" t="s">
        <v>5782</v>
      </c>
      <c r="C14711" s="1" t="s">
        <v>5783</v>
      </c>
      <c r="D14711" s="22" t="str">
        <f>HYPERLINK("https://rhld.insurance.arkansas.gov/NPILookup?Npi=1386360121","1386360121")</f>
        <v>1386360121</v>
      </c>
      <c r="E14711" s="1" t="s">
        <v>6237</v>
      </c>
      <c r="F14711" s="2"/>
      <c r="G14711" s="2"/>
      <c r="H14711" s="2"/>
    </row>
    <row r="14712" spans="1:8" x14ac:dyDescent="0.25">
      <c r="A14712" s="1"/>
      <c r="B14712" s="1" t="s">
        <v>5782</v>
      </c>
      <c r="C14712" s="1" t="s">
        <v>5783</v>
      </c>
      <c r="D14712" s="22" t="str">
        <f>HYPERLINK("https://rhld.insurance.arkansas.gov/NPILookup?Npi=1386385573","1386385573")</f>
        <v>1386385573</v>
      </c>
      <c r="E14712" s="1" t="s">
        <v>22036</v>
      </c>
      <c r="F14712" s="2"/>
      <c r="G14712" s="2"/>
      <c r="H14712" s="2"/>
    </row>
    <row r="14713" spans="1:8" x14ac:dyDescent="0.25">
      <c r="A14713" s="1"/>
      <c r="B14713" s="1" t="s">
        <v>5782</v>
      </c>
      <c r="C14713" s="1" t="s">
        <v>5783</v>
      </c>
      <c r="D14713" s="22" t="str">
        <f>HYPERLINK("https://rhld.insurance.arkansas.gov/NPILookup?Npi=1386391761","1386391761")</f>
        <v>1386391761</v>
      </c>
      <c r="E14713" s="1" t="s">
        <v>22037</v>
      </c>
      <c r="F14713" s="2"/>
      <c r="G14713" s="2"/>
      <c r="H14713" s="2"/>
    </row>
    <row r="14714" spans="1:8" x14ac:dyDescent="0.25">
      <c r="A14714" s="1"/>
      <c r="B14714" s="1" t="s">
        <v>5782</v>
      </c>
      <c r="C14714" s="1" t="s">
        <v>5783</v>
      </c>
      <c r="D14714" s="22" t="str">
        <f>HYPERLINK("https://rhld.insurance.arkansas.gov/NPILookup?Npi=1386397651","1386397651")</f>
        <v>1386397651</v>
      </c>
      <c r="E14714" s="1" t="s">
        <v>22038</v>
      </c>
      <c r="F14714" s="2"/>
      <c r="G14714" s="2"/>
      <c r="H14714" s="2"/>
    </row>
    <row r="14715" spans="1:8" x14ac:dyDescent="0.25">
      <c r="A14715" s="1"/>
      <c r="B14715" s="1" t="s">
        <v>5782</v>
      </c>
      <c r="C14715" s="1" t="s">
        <v>5783</v>
      </c>
      <c r="D14715" s="22" t="str">
        <f>HYPERLINK("https://rhld.insurance.arkansas.gov/NPILookup?Npi=1386653723","1386653723")</f>
        <v>1386653723</v>
      </c>
      <c r="E14715" s="1" t="s">
        <v>22039</v>
      </c>
      <c r="F14715" s="2"/>
      <c r="G14715" s="2"/>
      <c r="H14715" s="2"/>
    </row>
    <row r="14716" spans="1:8" x14ac:dyDescent="0.25">
      <c r="A14716" s="1"/>
      <c r="B14716" s="1" t="s">
        <v>5782</v>
      </c>
      <c r="C14716" s="1" t="s">
        <v>5783</v>
      </c>
      <c r="D14716" s="22" t="str">
        <f>HYPERLINK("https://rhld.insurance.arkansas.gov/NPILookup?Npi=1386657922","1386657922")</f>
        <v>1386657922</v>
      </c>
      <c r="E14716" s="1" t="s">
        <v>22040</v>
      </c>
      <c r="F14716" s="2"/>
      <c r="G14716" s="2"/>
      <c r="H14716" s="2"/>
    </row>
    <row r="14717" spans="1:8" x14ac:dyDescent="0.25">
      <c r="A14717" s="1"/>
      <c r="B14717" s="1" t="s">
        <v>5782</v>
      </c>
      <c r="C14717" s="1" t="s">
        <v>5783</v>
      </c>
      <c r="D14717" s="22" t="str">
        <f>HYPERLINK("https://rhld.insurance.arkansas.gov/NPILookup?Npi=1386676583","1386676583")</f>
        <v>1386676583</v>
      </c>
      <c r="E14717" s="1" t="s">
        <v>22041</v>
      </c>
      <c r="F14717" s="2"/>
      <c r="G14717" s="2"/>
      <c r="H14717" s="2"/>
    </row>
    <row r="14718" spans="1:8" x14ac:dyDescent="0.25">
      <c r="A14718" s="1"/>
      <c r="B14718" s="1" t="s">
        <v>5782</v>
      </c>
      <c r="C14718" s="1" t="s">
        <v>5783</v>
      </c>
      <c r="D14718" s="22" t="str">
        <f>HYPERLINK("https://rhld.insurance.arkansas.gov/NPILookup?Npi=1386702660","1386702660")</f>
        <v>1386702660</v>
      </c>
      <c r="E14718" s="1" t="s">
        <v>22042</v>
      </c>
      <c r="F14718" s="2"/>
      <c r="G14718" s="2"/>
      <c r="H14718" s="2"/>
    </row>
    <row r="14719" spans="1:8" x14ac:dyDescent="0.25">
      <c r="A14719" s="1"/>
      <c r="B14719" s="1" t="s">
        <v>5782</v>
      </c>
      <c r="C14719" s="1" t="s">
        <v>5783</v>
      </c>
      <c r="D14719" s="22" t="str">
        <f>HYPERLINK("https://rhld.insurance.arkansas.gov/NPILookup?Npi=1386704872","1386704872")</f>
        <v>1386704872</v>
      </c>
      <c r="E14719" s="1" t="s">
        <v>22043</v>
      </c>
      <c r="F14719" s="2"/>
      <c r="G14719" s="2"/>
      <c r="H14719" s="2"/>
    </row>
    <row r="14720" spans="1:8" x14ac:dyDescent="0.25">
      <c r="A14720" s="1"/>
      <c r="B14720" s="1" t="s">
        <v>5782</v>
      </c>
      <c r="C14720" s="1" t="s">
        <v>5783</v>
      </c>
      <c r="D14720" s="22" t="str">
        <f>HYPERLINK("https://rhld.insurance.arkansas.gov/NPILookup?Npi=1386718849","1386718849")</f>
        <v>1386718849</v>
      </c>
      <c r="E14720" s="1" t="s">
        <v>22044</v>
      </c>
      <c r="F14720" s="2"/>
      <c r="G14720" s="2"/>
      <c r="H14720" s="2"/>
    </row>
    <row r="14721" spans="1:8" x14ac:dyDescent="0.25">
      <c r="A14721" s="1"/>
      <c r="B14721" s="1" t="s">
        <v>5782</v>
      </c>
      <c r="C14721" s="1" t="s">
        <v>5783</v>
      </c>
      <c r="D14721" s="22" t="str">
        <f>HYPERLINK("https://rhld.insurance.arkansas.gov/NPILookup?Npi=1386734945","1386734945")</f>
        <v>1386734945</v>
      </c>
      <c r="E14721" s="1" t="s">
        <v>1058</v>
      </c>
      <c r="F14721" s="2"/>
      <c r="G14721" s="2"/>
      <c r="H14721" s="2"/>
    </row>
    <row r="14722" spans="1:8" x14ac:dyDescent="0.25">
      <c r="A14722" s="1"/>
      <c r="B14722" s="1" t="s">
        <v>5782</v>
      </c>
      <c r="C14722" s="1" t="s">
        <v>5783</v>
      </c>
      <c r="D14722" s="22" t="str">
        <f>HYPERLINK("https://rhld.insurance.arkansas.gov/NPILookup?Npi=1386752400","1386752400")</f>
        <v>1386752400</v>
      </c>
      <c r="E14722" s="1" t="s">
        <v>22045</v>
      </c>
      <c r="F14722" s="2"/>
      <c r="G14722" s="2"/>
      <c r="H14722" s="2"/>
    </row>
    <row r="14723" spans="1:8" x14ac:dyDescent="0.25">
      <c r="A14723" s="1"/>
      <c r="B14723" s="1" t="s">
        <v>5782</v>
      </c>
      <c r="C14723" s="1" t="s">
        <v>5783</v>
      </c>
      <c r="D14723" s="22" t="str">
        <f>HYPERLINK("https://rhld.insurance.arkansas.gov/NPILookup?Npi=1386759645","1386759645")</f>
        <v>1386759645</v>
      </c>
      <c r="E14723" s="1" t="s">
        <v>22046</v>
      </c>
      <c r="F14723" s="2"/>
      <c r="G14723" s="2"/>
      <c r="H14723" s="2"/>
    </row>
    <row r="14724" spans="1:8" x14ac:dyDescent="0.25">
      <c r="A14724" s="1"/>
      <c r="B14724" s="1" t="s">
        <v>5782</v>
      </c>
      <c r="C14724" s="1" t="s">
        <v>5783</v>
      </c>
      <c r="D14724" s="22" t="str">
        <f>HYPERLINK("https://rhld.insurance.arkansas.gov/NPILookup?Npi=1386790731","1386790731")</f>
        <v>1386790731</v>
      </c>
      <c r="E14724" s="1" t="s">
        <v>22047</v>
      </c>
      <c r="F14724" s="2"/>
      <c r="G14724" s="2"/>
      <c r="H14724" s="2"/>
    </row>
    <row r="14725" spans="1:8" x14ac:dyDescent="0.25">
      <c r="A14725" s="1"/>
      <c r="B14725" s="1" t="s">
        <v>5782</v>
      </c>
      <c r="C14725" s="1" t="s">
        <v>5783</v>
      </c>
      <c r="D14725" s="22" t="str">
        <f>HYPERLINK("https://rhld.insurance.arkansas.gov/NPILookup?Npi=1386792406","1386792406")</f>
        <v>1386792406</v>
      </c>
      <c r="E14725" s="1" t="s">
        <v>22048</v>
      </c>
      <c r="F14725" s="2"/>
      <c r="G14725" s="2"/>
      <c r="H14725" s="2"/>
    </row>
    <row r="14726" spans="1:8" x14ac:dyDescent="0.25">
      <c r="A14726" s="1"/>
      <c r="B14726" s="1" t="s">
        <v>5782</v>
      </c>
      <c r="C14726" s="1" t="s">
        <v>5783</v>
      </c>
      <c r="D14726" s="22" t="str">
        <f>HYPERLINK("https://rhld.insurance.arkansas.gov/NPILookup?Npi=1386801942","1386801942")</f>
        <v>1386801942</v>
      </c>
      <c r="E14726" s="1" t="s">
        <v>6238</v>
      </c>
      <c r="F14726" s="2"/>
      <c r="G14726" s="2"/>
      <c r="H14726" s="2"/>
    </row>
    <row r="14727" spans="1:8" x14ac:dyDescent="0.25">
      <c r="A14727" s="1"/>
      <c r="B14727" s="1" t="s">
        <v>5782</v>
      </c>
      <c r="C14727" s="1" t="s">
        <v>5783</v>
      </c>
      <c r="D14727" s="22" t="str">
        <f>HYPERLINK("https://rhld.insurance.arkansas.gov/NPILookup?Npi=1386809218","1386809218")</f>
        <v>1386809218</v>
      </c>
      <c r="E14727" s="1" t="s">
        <v>22049</v>
      </c>
      <c r="F14727" s="2"/>
      <c r="G14727" s="2"/>
      <c r="H14727" s="2"/>
    </row>
    <row r="14728" spans="1:8" x14ac:dyDescent="0.25">
      <c r="A14728" s="1"/>
      <c r="B14728" s="1" t="s">
        <v>5782</v>
      </c>
      <c r="C14728" s="1" t="s">
        <v>5783</v>
      </c>
      <c r="D14728" s="22" t="str">
        <f>HYPERLINK("https://rhld.insurance.arkansas.gov/NPILookup?Npi=1386810448","1386810448")</f>
        <v>1386810448</v>
      </c>
      <c r="E14728" s="1" t="s">
        <v>22050</v>
      </c>
      <c r="F14728" s="2"/>
      <c r="G14728" s="2"/>
      <c r="H14728" s="2"/>
    </row>
    <row r="14729" spans="1:8" x14ac:dyDescent="0.25">
      <c r="A14729" s="1"/>
      <c r="B14729" s="1" t="s">
        <v>5782</v>
      </c>
      <c r="C14729" s="1" t="s">
        <v>5783</v>
      </c>
      <c r="D14729" s="22" t="str">
        <f>HYPERLINK("https://rhld.insurance.arkansas.gov/NPILookup?Npi=1386811800","1386811800")</f>
        <v>1386811800</v>
      </c>
      <c r="E14729" s="1" t="s">
        <v>22051</v>
      </c>
      <c r="F14729" s="2"/>
      <c r="G14729" s="2"/>
      <c r="H14729" s="2"/>
    </row>
    <row r="14730" spans="1:8" x14ac:dyDescent="0.25">
      <c r="A14730" s="1"/>
      <c r="B14730" s="1" t="s">
        <v>5782</v>
      </c>
      <c r="C14730" s="1" t="s">
        <v>5783</v>
      </c>
      <c r="D14730" s="22" t="str">
        <f>HYPERLINK("https://rhld.insurance.arkansas.gov/NPILookup?Npi=1386828622","1386828622")</f>
        <v>1386828622</v>
      </c>
      <c r="E14730" s="1" t="s">
        <v>22052</v>
      </c>
      <c r="F14730" s="2"/>
      <c r="G14730" s="2"/>
      <c r="H14730" s="2"/>
    </row>
    <row r="14731" spans="1:8" x14ac:dyDescent="0.25">
      <c r="A14731" s="1"/>
      <c r="B14731" s="1" t="s">
        <v>5782</v>
      </c>
      <c r="C14731" s="1" t="s">
        <v>5783</v>
      </c>
      <c r="D14731" s="22" t="str">
        <f>HYPERLINK("https://rhld.insurance.arkansas.gov/NPILookup?Npi=1386857084","1386857084")</f>
        <v>1386857084</v>
      </c>
      <c r="E14731" s="1" t="s">
        <v>3273</v>
      </c>
      <c r="F14731" s="2"/>
      <c r="G14731" s="2"/>
      <c r="H14731" s="2"/>
    </row>
    <row r="14732" spans="1:8" x14ac:dyDescent="0.25">
      <c r="A14732" s="1"/>
      <c r="B14732" s="1" t="s">
        <v>5782</v>
      </c>
      <c r="C14732" s="1" t="s">
        <v>5783</v>
      </c>
      <c r="D14732" s="22" t="str">
        <f>HYPERLINK("https://rhld.insurance.arkansas.gov/NPILookup?Npi=1386870525","1386870525")</f>
        <v>1386870525</v>
      </c>
      <c r="E14732" s="1" t="s">
        <v>22053</v>
      </c>
      <c r="F14732" s="2"/>
      <c r="G14732" s="2"/>
      <c r="H14732" s="2"/>
    </row>
    <row r="14733" spans="1:8" x14ac:dyDescent="0.25">
      <c r="A14733" s="1"/>
      <c r="B14733" s="1" t="s">
        <v>5782</v>
      </c>
      <c r="C14733" s="1" t="s">
        <v>5783</v>
      </c>
      <c r="D14733" s="22" t="str">
        <f>HYPERLINK("https://rhld.insurance.arkansas.gov/NPILookup?Npi=1386881043","1386881043")</f>
        <v>1386881043</v>
      </c>
      <c r="E14733" s="1" t="s">
        <v>6239</v>
      </c>
      <c r="F14733" s="2"/>
      <c r="G14733" s="2"/>
      <c r="H14733" s="2"/>
    </row>
    <row r="14734" spans="1:8" x14ac:dyDescent="0.25">
      <c r="A14734" s="1"/>
      <c r="B14734" s="1" t="s">
        <v>5782</v>
      </c>
      <c r="C14734" s="1" t="s">
        <v>5783</v>
      </c>
      <c r="D14734" s="22" t="str">
        <f>HYPERLINK("https://rhld.insurance.arkansas.gov/NPILookup?Npi=1386911105","1386911105")</f>
        <v>1386911105</v>
      </c>
      <c r="E14734" s="1" t="s">
        <v>11745</v>
      </c>
      <c r="F14734" s="2"/>
      <c r="G14734" s="2"/>
      <c r="H14734" s="2"/>
    </row>
    <row r="14735" spans="1:8" x14ac:dyDescent="0.25">
      <c r="A14735" s="1"/>
      <c r="B14735" s="1" t="s">
        <v>5782</v>
      </c>
      <c r="C14735" s="1" t="s">
        <v>5783</v>
      </c>
      <c r="D14735" s="22" t="str">
        <f>HYPERLINK("https://rhld.insurance.arkansas.gov/NPILookup?Npi=1386939171","1386939171")</f>
        <v>1386939171</v>
      </c>
      <c r="E14735" s="1" t="s">
        <v>22054</v>
      </c>
      <c r="F14735" s="2"/>
      <c r="G14735" s="2"/>
      <c r="H14735" s="2"/>
    </row>
    <row r="14736" spans="1:8" x14ac:dyDescent="0.25">
      <c r="A14736" s="1"/>
      <c r="B14736" s="1" t="s">
        <v>5782</v>
      </c>
      <c r="C14736" s="1" t="s">
        <v>5783</v>
      </c>
      <c r="D14736" s="22" t="str">
        <f>HYPERLINK("https://rhld.insurance.arkansas.gov/NPILookup?Npi=1396002333","1396002333")</f>
        <v>1396002333</v>
      </c>
      <c r="E14736" s="1" t="s">
        <v>22055</v>
      </c>
      <c r="F14736" s="2"/>
      <c r="G14736" s="2"/>
      <c r="H14736" s="2"/>
    </row>
    <row r="14737" spans="1:8" x14ac:dyDescent="0.25">
      <c r="A14737" s="1"/>
      <c r="B14737" s="1" t="s">
        <v>5782</v>
      </c>
      <c r="C14737" s="1" t="s">
        <v>5783</v>
      </c>
      <c r="D14737" s="22" t="str">
        <f>HYPERLINK("https://rhld.insurance.arkansas.gov/NPILookup?Npi=1396021267","1396021267")</f>
        <v>1396021267</v>
      </c>
      <c r="E14737" s="1" t="s">
        <v>22056</v>
      </c>
      <c r="F14737" s="2"/>
      <c r="G14737" s="2"/>
      <c r="H14737" s="2"/>
    </row>
    <row r="14738" spans="1:8" x14ac:dyDescent="0.25">
      <c r="A14738" s="1"/>
      <c r="B14738" s="1" t="s">
        <v>5782</v>
      </c>
      <c r="C14738" s="1" t="s">
        <v>5783</v>
      </c>
      <c r="D14738" s="22" t="str">
        <f>HYPERLINK("https://rhld.insurance.arkansas.gov/NPILookup?Npi=1396053526","1396053526")</f>
        <v>1396053526</v>
      </c>
      <c r="E14738" s="1" t="s">
        <v>11746</v>
      </c>
      <c r="F14738" s="2"/>
      <c r="G14738" s="2"/>
      <c r="H14738" s="2"/>
    </row>
    <row r="14739" spans="1:8" x14ac:dyDescent="0.25">
      <c r="A14739" s="1"/>
      <c r="B14739" s="1" t="s">
        <v>5782</v>
      </c>
      <c r="C14739" s="1" t="s">
        <v>5783</v>
      </c>
      <c r="D14739" s="22" t="str">
        <f>HYPERLINK("https://rhld.insurance.arkansas.gov/NPILookup?Npi=1396055711","1396055711")</f>
        <v>1396055711</v>
      </c>
      <c r="E14739" s="1" t="s">
        <v>22057</v>
      </c>
      <c r="F14739" s="2"/>
      <c r="G14739" s="2"/>
      <c r="H14739" s="2"/>
    </row>
    <row r="14740" spans="1:8" x14ac:dyDescent="0.25">
      <c r="A14740" s="1"/>
      <c r="B14740" s="1" t="s">
        <v>5782</v>
      </c>
      <c r="C14740" s="1" t="s">
        <v>5783</v>
      </c>
      <c r="D14740" s="22" t="str">
        <f>HYPERLINK("https://rhld.insurance.arkansas.gov/NPILookup?Npi=1396059473","1396059473")</f>
        <v>1396059473</v>
      </c>
      <c r="E14740" s="1" t="s">
        <v>6240</v>
      </c>
      <c r="F14740" s="2"/>
      <c r="G14740" s="2"/>
      <c r="H14740" s="2"/>
    </row>
    <row r="14741" spans="1:8" x14ac:dyDescent="0.25">
      <c r="A14741" s="1"/>
      <c r="B14741" s="1" t="s">
        <v>5782</v>
      </c>
      <c r="C14741" s="1" t="s">
        <v>5783</v>
      </c>
      <c r="D14741" s="22" t="str">
        <f>HYPERLINK("https://rhld.insurance.arkansas.gov/NPILookup?Npi=1396074886","1396074886")</f>
        <v>1396074886</v>
      </c>
      <c r="E14741" s="1" t="s">
        <v>2184</v>
      </c>
      <c r="F14741" s="2"/>
      <c r="G14741" s="2"/>
      <c r="H14741" s="2"/>
    </row>
    <row r="14742" spans="1:8" x14ac:dyDescent="0.25">
      <c r="A14742" s="1"/>
      <c r="B14742" s="1" t="s">
        <v>5782</v>
      </c>
      <c r="C14742" s="1" t="s">
        <v>5783</v>
      </c>
      <c r="D14742" s="22" t="str">
        <f>HYPERLINK("https://rhld.insurance.arkansas.gov/NPILookup?Npi=1396084596","1396084596")</f>
        <v>1396084596</v>
      </c>
      <c r="E14742" s="1" t="s">
        <v>11747</v>
      </c>
      <c r="F14742" s="2"/>
      <c r="G14742" s="2"/>
      <c r="H14742" s="2"/>
    </row>
    <row r="14743" spans="1:8" x14ac:dyDescent="0.25">
      <c r="A14743" s="1"/>
      <c r="B14743" s="1" t="s">
        <v>5782</v>
      </c>
      <c r="C14743" s="1" t="s">
        <v>5783</v>
      </c>
      <c r="D14743" s="22" t="str">
        <f>HYPERLINK("https://rhld.insurance.arkansas.gov/NPILookup?Npi=1396116653","1396116653")</f>
        <v>1396116653</v>
      </c>
      <c r="E14743" s="1" t="s">
        <v>6241</v>
      </c>
      <c r="F14743" s="2"/>
      <c r="G14743" s="2"/>
      <c r="H14743" s="2"/>
    </row>
    <row r="14744" spans="1:8" x14ac:dyDescent="0.25">
      <c r="A14744" s="1"/>
      <c r="B14744" s="1" t="s">
        <v>5782</v>
      </c>
      <c r="C14744" s="1" t="s">
        <v>5783</v>
      </c>
      <c r="D14744" s="22" t="str">
        <f>HYPERLINK("https://rhld.insurance.arkansas.gov/NPILookup?Npi=1396134474","1396134474")</f>
        <v>1396134474</v>
      </c>
      <c r="E14744" s="1" t="s">
        <v>13959</v>
      </c>
      <c r="F14744" s="2"/>
      <c r="G14744" s="2"/>
      <c r="H14744" s="2"/>
    </row>
    <row r="14745" spans="1:8" x14ac:dyDescent="0.25">
      <c r="A14745" s="1"/>
      <c r="B14745" s="1" t="s">
        <v>5782</v>
      </c>
      <c r="C14745" s="1" t="s">
        <v>5783</v>
      </c>
      <c r="D14745" s="22" t="str">
        <f>HYPERLINK("https://rhld.insurance.arkansas.gov/NPILookup?Npi=1396139275","1396139275")</f>
        <v>1396139275</v>
      </c>
      <c r="E14745" s="1" t="s">
        <v>11748</v>
      </c>
      <c r="F14745" s="2"/>
      <c r="G14745" s="2"/>
      <c r="H14745" s="2"/>
    </row>
    <row r="14746" spans="1:8" x14ac:dyDescent="0.25">
      <c r="A14746" s="1"/>
      <c r="B14746" s="1" t="s">
        <v>5782</v>
      </c>
      <c r="C14746" s="1" t="s">
        <v>5783</v>
      </c>
      <c r="D14746" s="22" t="str">
        <f>HYPERLINK("https://rhld.insurance.arkansas.gov/NPILookup?Npi=1396144986","1396144986")</f>
        <v>1396144986</v>
      </c>
      <c r="E14746" s="1" t="s">
        <v>742</v>
      </c>
      <c r="F14746" s="2"/>
      <c r="G14746" s="2"/>
      <c r="H14746" s="2"/>
    </row>
    <row r="14747" spans="1:8" x14ac:dyDescent="0.25">
      <c r="A14747" s="1"/>
      <c r="B14747" s="1" t="s">
        <v>5782</v>
      </c>
      <c r="C14747" s="1" t="s">
        <v>5783</v>
      </c>
      <c r="D14747" s="22" t="str">
        <f>HYPERLINK("https://rhld.insurance.arkansas.gov/NPILookup?Npi=1396158564","1396158564")</f>
        <v>1396158564</v>
      </c>
      <c r="E14747" s="1" t="s">
        <v>11733</v>
      </c>
      <c r="F14747" s="2"/>
      <c r="G14747" s="2"/>
      <c r="H14747" s="2"/>
    </row>
    <row r="14748" spans="1:8" x14ac:dyDescent="0.25">
      <c r="A14748" s="1"/>
      <c r="B14748" s="1" t="s">
        <v>5782</v>
      </c>
      <c r="C14748" s="1" t="s">
        <v>5783</v>
      </c>
      <c r="D14748" s="22" t="str">
        <f>HYPERLINK("https://rhld.insurance.arkansas.gov/NPILookup?Npi=1396177531","1396177531")</f>
        <v>1396177531</v>
      </c>
      <c r="E14748" s="1" t="s">
        <v>22058</v>
      </c>
      <c r="F14748" s="2"/>
      <c r="G14748" s="2"/>
      <c r="H14748" s="2"/>
    </row>
    <row r="14749" spans="1:8" x14ac:dyDescent="0.25">
      <c r="A14749" s="1"/>
      <c r="B14749" s="1" t="s">
        <v>5782</v>
      </c>
      <c r="C14749" s="1" t="s">
        <v>5783</v>
      </c>
      <c r="D14749" s="22" t="str">
        <f>HYPERLINK("https://rhld.insurance.arkansas.gov/NPILookup?Npi=1396181491","1396181491")</f>
        <v>1396181491</v>
      </c>
      <c r="E14749" s="1" t="s">
        <v>11750</v>
      </c>
      <c r="F14749" s="2"/>
      <c r="G14749" s="2"/>
      <c r="H14749" s="2"/>
    </row>
    <row r="14750" spans="1:8" x14ac:dyDescent="0.25">
      <c r="A14750" s="1"/>
      <c r="B14750" s="1" t="s">
        <v>5782</v>
      </c>
      <c r="C14750" s="1" t="s">
        <v>5783</v>
      </c>
      <c r="D14750" s="22" t="str">
        <f>HYPERLINK("https://rhld.insurance.arkansas.gov/NPILookup?Npi=1396183091","1396183091")</f>
        <v>1396183091</v>
      </c>
      <c r="E14750" s="1" t="s">
        <v>22059</v>
      </c>
      <c r="F14750" s="2"/>
      <c r="G14750" s="2"/>
      <c r="H14750" s="2"/>
    </row>
    <row r="14751" spans="1:8" x14ac:dyDescent="0.25">
      <c r="A14751" s="1"/>
      <c r="B14751" s="1" t="s">
        <v>5782</v>
      </c>
      <c r="C14751" s="1" t="s">
        <v>5783</v>
      </c>
      <c r="D14751" s="22" t="str">
        <f>HYPERLINK("https://rhld.insurance.arkansas.gov/NPILookup?Npi=1396200978","1396200978")</f>
        <v>1396200978</v>
      </c>
      <c r="E14751" s="1" t="s">
        <v>22060</v>
      </c>
      <c r="F14751" s="2"/>
      <c r="G14751" s="2"/>
      <c r="H14751" s="2"/>
    </row>
    <row r="14752" spans="1:8" x14ac:dyDescent="0.25">
      <c r="A14752" s="1"/>
      <c r="B14752" s="1" t="s">
        <v>5782</v>
      </c>
      <c r="C14752" s="1" t="s">
        <v>5783</v>
      </c>
      <c r="D14752" s="22" t="str">
        <f>HYPERLINK("https://rhld.insurance.arkansas.gov/NPILookup?Npi=1396203790","1396203790")</f>
        <v>1396203790</v>
      </c>
      <c r="E14752" s="1" t="s">
        <v>11751</v>
      </c>
      <c r="F14752" s="2"/>
      <c r="G14752" s="2"/>
      <c r="H14752" s="2"/>
    </row>
    <row r="14753" spans="1:8" x14ac:dyDescent="0.25">
      <c r="A14753" s="1"/>
      <c r="B14753" s="1" t="s">
        <v>5782</v>
      </c>
      <c r="C14753" s="1" t="s">
        <v>5783</v>
      </c>
      <c r="D14753" s="22" t="str">
        <f>HYPERLINK("https://rhld.insurance.arkansas.gov/NPILookup?Npi=1396220836","1396220836")</f>
        <v>1396220836</v>
      </c>
      <c r="E14753" s="1" t="s">
        <v>11752</v>
      </c>
      <c r="F14753" s="2"/>
      <c r="G14753" s="2"/>
      <c r="H14753" s="2"/>
    </row>
    <row r="14754" spans="1:8" x14ac:dyDescent="0.25">
      <c r="A14754" s="1"/>
      <c r="B14754" s="1" t="s">
        <v>5782</v>
      </c>
      <c r="C14754" s="1" t="s">
        <v>5783</v>
      </c>
      <c r="D14754" s="22" t="str">
        <f>HYPERLINK("https://rhld.insurance.arkansas.gov/NPILookup?Npi=1396224002","1396224002")</f>
        <v>1396224002</v>
      </c>
      <c r="E14754" s="1" t="s">
        <v>22061</v>
      </c>
      <c r="F14754" s="2"/>
      <c r="G14754" s="2"/>
      <c r="H14754" s="2"/>
    </row>
    <row r="14755" spans="1:8" x14ac:dyDescent="0.25">
      <c r="A14755" s="1"/>
      <c r="B14755" s="1" t="s">
        <v>5782</v>
      </c>
      <c r="C14755" s="1" t="s">
        <v>5783</v>
      </c>
      <c r="D14755" s="22" t="str">
        <f>HYPERLINK("https://rhld.insurance.arkansas.gov/NPILookup?Npi=1396225504","1396225504")</f>
        <v>1396225504</v>
      </c>
      <c r="E14755" s="1" t="s">
        <v>11753</v>
      </c>
      <c r="F14755" s="2"/>
      <c r="G14755" s="2"/>
      <c r="H14755" s="2"/>
    </row>
    <row r="14756" spans="1:8" x14ac:dyDescent="0.25">
      <c r="A14756" s="1"/>
      <c r="B14756" s="1" t="s">
        <v>5782</v>
      </c>
      <c r="C14756" s="1" t="s">
        <v>5783</v>
      </c>
      <c r="D14756" s="22" t="str">
        <f>HYPERLINK("https://rhld.insurance.arkansas.gov/NPILookup?Npi=1396247375","1396247375")</f>
        <v>1396247375</v>
      </c>
      <c r="E14756" s="1" t="s">
        <v>22062</v>
      </c>
      <c r="F14756" s="2"/>
      <c r="G14756" s="2"/>
      <c r="H14756" s="2"/>
    </row>
    <row r="14757" spans="1:8" x14ac:dyDescent="0.25">
      <c r="A14757" s="1"/>
      <c r="B14757" s="1" t="s">
        <v>5782</v>
      </c>
      <c r="C14757" s="1" t="s">
        <v>5783</v>
      </c>
      <c r="D14757" s="22" t="str">
        <f>HYPERLINK("https://rhld.insurance.arkansas.gov/NPILookup?Npi=1396247474","1396247474")</f>
        <v>1396247474</v>
      </c>
      <c r="E14757" s="1" t="s">
        <v>22063</v>
      </c>
      <c r="F14757" s="2"/>
      <c r="G14757" s="2"/>
      <c r="H14757" s="2"/>
    </row>
    <row r="14758" spans="1:8" x14ac:dyDescent="0.25">
      <c r="A14758" s="1"/>
      <c r="B14758" s="1" t="s">
        <v>5782</v>
      </c>
      <c r="C14758" s="1" t="s">
        <v>5783</v>
      </c>
      <c r="D14758" s="22" t="str">
        <f>HYPERLINK("https://rhld.insurance.arkansas.gov/NPILookup?Npi=1396283875","1396283875")</f>
        <v>1396283875</v>
      </c>
      <c r="E14758" s="1" t="s">
        <v>22064</v>
      </c>
      <c r="F14758" s="2"/>
      <c r="G14758" s="2"/>
      <c r="H14758" s="2"/>
    </row>
    <row r="14759" spans="1:8" x14ac:dyDescent="0.25">
      <c r="A14759" s="1"/>
      <c r="B14759" s="1" t="s">
        <v>5782</v>
      </c>
      <c r="C14759" s="1" t="s">
        <v>5783</v>
      </c>
      <c r="D14759" s="22" t="str">
        <f>HYPERLINK("https://rhld.insurance.arkansas.gov/NPILookup?Npi=1396301495","1396301495")</f>
        <v>1396301495</v>
      </c>
      <c r="E14759" s="1" t="s">
        <v>11754</v>
      </c>
      <c r="F14759" s="2"/>
      <c r="G14759" s="2"/>
      <c r="H14759" s="2"/>
    </row>
    <row r="14760" spans="1:8" x14ac:dyDescent="0.25">
      <c r="A14760" s="1"/>
      <c r="B14760" s="1" t="s">
        <v>5782</v>
      </c>
      <c r="C14760" s="1" t="s">
        <v>5783</v>
      </c>
      <c r="D14760" s="22" t="str">
        <f>HYPERLINK("https://rhld.insurance.arkansas.gov/NPILookup?Npi=1396317558","1396317558")</f>
        <v>1396317558</v>
      </c>
      <c r="E14760" s="1" t="s">
        <v>22065</v>
      </c>
      <c r="F14760" s="2"/>
      <c r="G14760" s="2"/>
      <c r="H14760" s="2"/>
    </row>
    <row r="14761" spans="1:8" x14ac:dyDescent="0.25">
      <c r="A14761" s="1"/>
      <c r="B14761" s="1" t="s">
        <v>5782</v>
      </c>
      <c r="C14761" s="1" t="s">
        <v>5783</v>
      </c>
      <c r="D14761" s="22" t="str">
        <f>HYPERLINK("https://rhld.insurance.arkansas.gov/NPILookup?Npi=1396320321","1396320321")</f>
        <v>1396320321</v>
      </c>
      <c r="E14761" s="1" t="s">
        <v>22066</v>
      </c>
      <c r="F14761" s="2"/>
      <c r="G14761" s="2"/>
      <c r="H14761" s="2"/>
    </row>
    <row r="14762" spans="1:8" x14ac:dyDescent="0.25">
      <c r="A14762" s="1"/>
      <c r="B14762" s="1" t="s">
        <v>5782</v>
      </c>
      <c r="C14762" s="1" t="s">
        <v>5783</v>
      </c>
      <c r="D14762" s="22" t="str">
        <f>HYPERLINK("https://rhld.insurance.arkansas.gov/NPILookup?Npi=1396354411","1396354411")</f>
        <v>1396354411</v>
      </c>
      <c r="E14762" s="1" t="s">
        <v>6242</v>
      </c>
      <c r="F14762" s="2"/>
      <c r="G14762" s="2"/>
      <c r="H14762" s="2"/>
    </row>
    <row r="14763" spans="1:8" x14ac:dyDescent="0.25">
      <c r="A14763" s="1"/>
      <c r="B14763" s="1" t="s">
        <v>5782</v>
      </c>
      <c r="C14763" s="1" t="s">
        <v>5783</v>
      </c>
      <c r="D14763" s="22" t="str">
        <f>HYPERLINK("https://rhld.insurance.arkansas.gov/NPILookup?Npi=1396381927","1396381927")</f>
        <v>1396381927</v>
      </c>
      <c r="E14763" s="1" t="s">
        <v>1862</v>
      </c>
      <c r="F14763" s="2"/>
      <c r="G14763" s="2"/>
      <c r="H14763" s="2"/>
    </row>
    <row r="14764" spans="1:8" x14ac:dyDescent="0.25">
      <c r="A14764" s="1"/>
      <c r="B14764" s="1" t="s">
        <v>5782</v>
      </c>
      <c r="C14764" s="1" t="s">
        <v>5783</v>
      </c>
      <c r="D14764" s="22" t="str">
        <f>HYPERLINK("https://rhld.insurance.arkansas.gov/NPILookup?Npi=1396419107","1396419107")</f>
        <v>1396419107</v>
      </c>
      <c r="E14764" s="1" t="s">
        <v>22067</v>
      </c>
      <c r="F14764" s="2"/>
      <c r="G14764" s="2"/>
      <c r="H14764" s="2"/>
    </row>
    <row r="14765" spans="1:8" x14ac:dyDescent="0.25">
      <c r="A14765" s="1"/>
      <c r="B14765" s="1" t="s">
        <v>5782</v>
      </c>
      <c r="C14765" s="1" t="s">
        <v>5783</v>
      </c>
      <c r="D14765" s="22" t="str">
        <f>HYPERLINK("https://rhld.insurance.arkansas.gov/NPILookup?Npi=1396426847","1396426847")</f>
        <v>1396426847</v>
      </c>
      <c r="E14765" s="1" t="s">
        <v>11755</v>
      </c>
      <c r="F14765" s="2"/>
      <c r="G14765" s="2"/>
      <c r="H14765" s="2"/>
    </row>
    <row r="14766" spans="1:8" x14ac:dyDescent="0.25">
      <c r="A14766" s="1"/>
      <c r="B14766" s="1" t="s">
        <v>5782</v>
      </c>
      <c r="C14766" s="1" t="s">
        <v>5783</v>
      </c>
      <c r="D14766" s="22" t="str">
        <f>HYPERLINK("https://rhld.insurance.arkansas.gov/NPILookup?Npi=1396457081","1396457081")</f>
        <v>1396457081</v>
      </c>
      <c r="E14766" s="1" t="s">
        <v>22068</v>
      </c>
      <c r="F14766" s="2"/>
      <c r="G14766" s="2"/>
      <c r="H14766" s="2"/>
    </row>
    <row r="14767" spans="1:8" x14ac:dyDescent="0.25">
      <c r="A14767" s="1"/>
      <c r="B14767" s="1" t="s">
        <v>5782</v>
      </c>
      <c r="C14767" s="1" t="s">
        <v>5783</v>
      </c>
      <c r="D14767" s="22" t="str">
        <f>HYPERLINK("https://rhld.insurance.arkansas.gov/NPILookup?Npi=1396464194","1396464194")</f>
        <v>1396464194</v>
      </c>
      <c r="E14767" s="1" t="s">
        <v>6244</v>
      </c>
      <c r="F14767" s="2"/>
      <c r="G14767" s="2"/>
      <c r="H14767" s="2"/>
    </row>
    <row r="14768" spans="1:8" x14ac:dyDescent="0.25">
      <c r="A14768" s="1"/>
      <c r="B14768" s="1" t="s">
        <v>5782</v>
      </c>
      <c r="C14768" s="1" t="s">
        <v>5783</v>
      </c>
      <c r="D14768" s="22" t="str">
        <f>HYPERLINK("https://rhld.insurance.arkansas.gov/NPILookup?Npi=1396464475","1396464475")</f>
        <v>1396464475</v>
      </c>
      <c r="E14768" s="1" t="s">
        <v>6245</v>
      </c>
      <c r="F14768" s="2"/>
      <c r="G14768" s="2"/>
      <c r="H14768" s="2"/>
    </row>
    <row r="14769" spans="1:8" x14ac:dyDescent="0.25">
      <c r="A14769" s="1"/>
      <c r="B14769" s="1" t="s">
        <v>5782</v>
      </c>
      <c r="C14769" s="1" t="s">
        <v>5783</v>
      </c>
      <c r="D14769" s="22" t="str">
        <f>HYPERLINK("https://rhld.insurance.arkansas.gov/NPILookup?Npi=1396471298","1396471298")</f>
        <v>1396471298</v>
      </c>
      <c r="E14769" s="1" t="s">
        <v>11756</v>
      </c>
      <c r="F14769" s="2"/>
      <c r="G14769" s="2"/>
      <c r="H14769" s="2"/>
    </row>
    <row r="14770" spans="1:8" x14ac:dyDescent="0.25">
      <c r="A14770" s="1"/>
      <c r="B14770" s="1" t="s">
        <v>5782</v>
      </c>
      <c r="C14770" s="1" t="s">
        <v>5783</v>
      </c>
      <c r="D14770" s="22" t="str">
        <f>HYPERLINK("https://rhld.insurance.arkansas.gov/NPILookup?Npi=1396483301","1396483301")</f>
        <v>1396483301</v>
      </c>
      <c r="E14770" s="1" t="s">
        <v>6246</v>
      </c>
      <c r="F14770" s="2"/>
      <c r="G14770" s="2"/>
      <c r="H14770" s="2"/>
    </row>
    <row r="14771" spans="1:8" x14ac:dyDescent="0.25">
      <c r="A14771" s="1"/>
      <c r="B14771" s="1" t="s">
        <v>5782</v>
      </c>
      <c r="C14771" s="1" t="s">
        <v>5783</v>
      </c>
      <c r="D14771" s="22" t="str">
        <f>HYPERLINK("https://rhld.insurance.arkansas.gov/NPILookup?Npi=1396483822","1396483822")</f>
        <v>1396483822</v>
      </c>
      <c r="E14771" s="1" t="s">
        <v>22069</v>
      </c>
      <c r="F14771" s="2"/>
      <c r="G14771" s="2"/>
      <c r="H14771" s="2"/>
    </row>
    <row r="14772" spans="1:8" x14ac:dyDescent="0.25">
      <c r="A14772" s="1"/>
      <c r="B14772" s="1" t="s">
        <v>5782</v>
      </c>
      <c r="C14772" s="1" t="s">
        <v>5783</v>
      </c>
      <c r="D14772" s="22" t="str">
        <f>HYPERLINK("https://rhld.insurance.arkansas.gov/NPILookup?Npi=1396486353","1396486353")</f>
        <v>1396486353</v>
      </c>
      <c r="E14772" s="1" t="s">
        <v>11757</v>
      </c>
      <c r="F14772" s="2"/>
      <c r="G14772" s="2"/>
      <c r="H14772" s="2"/>
    </row>
    <row r="14773" spans="1:8" x14ac:dyDescent="0.25">
      <c r="A14773" s="1"/>
      <c r="B14773" s="1" t="s">
        <v>5782</v>
      </c>
      <c r="C14773" s="1" t="s">
        <v>5783</v>
      </c>
      <c r="D14773" s="22" t="str">
        <f>HYPERLINK("https://rhld.insurance.arkansas.gov/NPILookup?Npi=1396492393","1396492393")</f>
        <v>1396492393</v>
      </c>
      <c r="E14773" s="1" t="s">
        <v>22070</v>
      </c>
      <c r="F14773" s="2"/>
      <c r="G14773" s="2"/>
      <c r="H14773" s="2"/>
    </row>
    <row r="14774" spans="1:8" x14ac:dyDescent="0.25">
      <c r="A14774" s="1"/>
      <c r="B14774" s="1" t="s">
        <v>5782</v>
      </c>
      <c r="C14774" s="1" t="s">
        <v>5783</v>
      </c>
      <c r="D14774" s="22" t="str">
        <f>HYPERLINK("https://rhld.insurance.arkansas.gov/NPILookup?Npi=1396572707","1396572707")</f>
        <v>1396572707</v>
      </c>
      <c r="E14774" s="1" t="s">
        <v>31869</v>
      </c>
      <c r="F14774" s="2"/>
      <c r="G14774" s="2"/>
      <c r="H14774" s="2"/>
    </row>
    <row r="14775" spans="1:8" x14ac:dyDescent="0.25">
      <c r="A14775" s="1"/>
      <c r="B14775" s="1" t="s">
        <v>5782</v>
      </c>
      <c r="C14775" s="1" t="s">
        <v>5783</v>
      </c>
      <c r="D14775" s="22" t="str">
        <f>HYPERLINK("https://rhld.insurance.arkansas.gov/NPILookup?Npi=1396736401","1396736401")</f>
        <v>1396736401</v>
      </c>
      <c r="E14775" s="1" t="s">
        <v>22071</v>
      </c>
      <c r="F14775" s="2"/>
      <c r="G14775" s="2"/>
      <c r="H14775" s="2"/>
    </row>
    <row r="14776" spans="1:8" x14ac:dyDescent="0.25">
      <c r="A14776" s="1"/>
      <c r="B14776" s="1" t="s">
        <v>5782</v>
      </c>
      <c r="C14776" s="1" t="s">
        <v>5783</v>
      </c>
      <c r="D14776" s="22" t="str">
        <f>HYPERLINK("https://rhld.insurance.arkansas.gov/NPILookup?Npi=1396742706","1396742706")</f>
        <v>1396742706</v>
      </c>
      <c r="E14776" s="1" t="s">
        <v>22072</v>
      </c>
      <c r="F14776" s="2"/>
      <c r="G14776" s="2"/>
      <c r="H14776" s="2"/>
    </row>
    <row r="14777" spans="1:8" x14ac:dyDescent="0.25">
      <c r="A14777" s="1"/>
      <c r="B14777" s="1" t="s">
        <v>5782</v>
      </c>
      <c r="C14777" s="1" t="s">
        <v>5783</v>
      </c>
      <c r="D14777" s="22" t="str">
        <f>HYPERLINK("https://rhld.insurance.arkansas.gov/NPILookup?Npi=1396762977","1396762977")</f>
        <v>1396762977</v>
      </c>
      <c r="E14777" s="1" t="s">
        <v>22073</v>
      </c>
      <c r="F14777" s="2"/>
      <c r="G14777" s="2"/>
      <c r="H14777" s="2"/>
    </row>
    <row r="14778" spans="1:8" x14ac:dyDescent="0.25">
      <c r="A14778" s="1"/>
      <c r="B14778" s="1" t="s">
        <v>5782</v>
      </c>
      <c r="C14778" s="1" t="s">
        <v>5783</v>
      </c>
      <c r="D14778" s="22" t="str">
        <f>HYPERLINK("https://rhld.insurance.arkansas.gov/NPILookup?Npi=1396768099","1396768099")</f>
        <v>1396768099</v>
      </c>
      <c r="E14778" s="1" t="s">
        <v>6247</v>
      </c>
      <c r="F14778" s="2"/>
      <c r="G14778" s="2"/>
      <c r="H14778" s="2"/>
    </row>
    <row r="14779" spans="1:8" x14ac:dyDescent="0.25">
      <c r="A14779" s="1"/>
      <c r="B14779" s="1" t="s">
        <v>5782</v>
      </c>
      <c r="C14779" s="1" t="s">
        <v>5783</v>
      </c>
      <c r="D14779" s="22" t="str">
        <f>HYPERLINK("https://rhld.insurance.arkansas.gov/NPILookup?Npi=1396781399","1396781399")</f>
        <v>1396781399</v>
      </c>
      <c r="E14779" s="1" t="s">
        <v>6248</v>
      </c>
      <c r="F14779" s="2"/>
      <c r="G14779" s="2"/>
      <c r="H14779" s="2"/>
    </row>
    <row r="14780" spans="1:8" x14ac:dyDescent="0.25">
      <c r="A14780" s="1"/>
      <c r="B14780" s="1" t="s">
        <v>5782</v>
      </c>
      <c r="C14780" s="1" t="s">
        <v>5783</v>
      </c>
      <c r="D14780" s="22" t="str">
        <f>HYPERLINK("https://rhld.insurance.arkansas.gov/NPILookup?Npi=1396786075","1396786075")</f>
        <v>1396786075</v>
      </c>
      <c r="E14780" s="1" t="s">
        <v>11758</v>
      </c>
      <c r="F14780" s="2"/>
      <c r="G14780" s="2"/>
      <c r="H14780" s="2"/>
    </row>
    <row r="14781" spans="1:8" x14ac:dyDescent="0.25">
      <c r="A14781" s="1"/>
      <c r="B14781" s="1" t="s">
        <v>5782</v>
      </c>
      <c r="C14781" s="1" t="s">
        <v>5783</v>
      </c>
      <c r="D14781" s="22" t="str">
        <f>HYPERLINK("https://rhld.insurance.arkansas.gov/NPILookup?Npi=1396820338","1396820338")</f>
        <v>1396820338</v>
      </c>
      <c r="E14781" s="1" t="s">
        <v>22074</v>
      </c>
      <c r="F14781" s="2"/>
      <c r="G14781" s="2"/>
      <c r="H14781" s="2"/>
    </row>
    <row r="14782" spans="1:8" x14ac:dyDescent="0.25">
      <c r="A14782" s="1"/>
      <c r="B14782" s="1" t="s">
        <v>5782</v>
      </c>
      <c r="C14782" s="1" t="s">
        <v>5783</v>
      </c>
      <c r="D14782" s="22" t="str">
        <f>HYPERLINK("https://rhld.insurance.arkansas.gov/NPILookup?Npi=1396836409","1396836409")</f>
        <v>1396836409</v>
      </c>
      <c r="E14782" s="1" t="s">
        <v>1512</v>
      </c>
      <c r="F14782" s="2"/>
      <c r="G14782" s="2"/>
      <c r="H14782" s="2"/>
    </row>
    <row r="14783" spans="1:8" x14ac:dyDescent="0.25">
      <c r="A14783" s="1"/>
      <c r="B14783" s="1" t="s">
        <v>5782</v>
      </c>
      <c r="C14783" s="1" t="s">
        <v>5783</v>
      </c>
      <c r="D14783" s="22" t="str">
        <f>HYPERLINK("https://rhld.insurance.arkansas.gov/NPILookup?Npi=1396860086","1396860086")</f>
        <v>1396860086</v>
      </c>
      <c r="E14783" s="1" t="s">
        <v>6249</v>
      </c>
      <c r="F14783" s="2"/>
      <c r="G14783" s="2"/>
      <c r="H14783" s="2"/>
    </row>
    <row r="14784" spans="1:8" x14ac:dyDescent="0.25">
      <c r="A14784" s="1"/>
      <c r="B14784" s="1" t="s">
        <v>5782</v>
      </c>
      <c r="C14784" s="1" t="s">
        <v>5783</v>
      </c>
      <c r="D14784" s="22" t="str">
        <f>HYPERLINK("https://rhld.insurance.arkansas.gov/NPILookup?Npi=1396863700","1396863700")</f>
        <v>1396863700</v>
      </c>
      <c r="E14784" s="1" t="s">
        <v>22075</v>
      </c>
      <c r="F14784" s="2"/>
      <c r="G14784" s="2"/>
      <c r="H14784" s="2"/>
    </row>
    <row r="14785" spans="1:8" x14ac:dyDescent="0.25">
      <c r="A14785" s="1"/>
      <c r="B14785" s="1" t="s">
        <v>5782</v>
      </c>
      <c r="C14785" s="1" t="s">
        <v>5783</v>
      </c>
      <c r="D14785" s="22" t="str">
        <f>HYPERLINK("https://rhld.insurance.arkansas.gov/NPILookup?Npi=1396883757","1396883757")</f>
        <v>1396883757</v>
      </c>
      <c r="E14785" s="1" t="s">
        <v>22076</v>
      </c>
      <c r="F14785" s="2"/>
      <c r="G14785" s="2"/>
      <c r="H14785" s="2"/>
    </row>
    <row r="14786" spans="1:8" x14ac:dyDescent="0.25">
      <c r="A14786" s="1"/>
      <c r="B14786" s="1" t="s">
        <v>5782</v>
      </c>
      <c r="C14786" s="1" t="s">
        <v>5783</v>
      </c>
      <c r="D14786" s="22" t="str">
        <f>HYPERLINK("https://rhld.insurance.arkansas.gov/NPILookup?Npi=1396896320","1396896320")</f>
        <v>1396896320</v>
      </c>
      <c r="E14786" s="1" t="s">
        <v>22077</v>
      </c>
      <c r="F14786" s="2"/>
      <c r="G14786" s="2"/>
      <c r="H14786" s="2"/>
    </row>
    <row r="14787" spans="1:8" x14ac:dyDescent="0.25">
      <c r="A14787" s="1"/>
      <c r="B14787" s="1" t="s">
        <v>5782</v>
      </c>
      <c r="C14787" s="1" t="s">
        <v>5783</v>
      </c>
      <c r="D14787" s="22" t="str">
        <f>HYPERLINK("https://rhld.insurance.arkansas.gov/NPILookup?Npi=1396910360","1396910360")</f>
        <v>1396910360</v>
      </c>
      <c r="E14787" s="1" t="s">
        <v>22078</v>
      </c>
      <c r="F14787" s="2"/>
      <c r="G14787" s="2"/>
      <c r="H14787" s="2"/>
    </row>
    <row r="14788" spans="1:8" x14ac:dyDescent="0.25">
      <c r="A14788" s="1"/>
      <c r="B14788" s="1" t="s">
        <v>5782</v>
      </c>
      <c r="C14788" s="1" t="s">
        <v>5783</v>
      </c>
      <c r="D14788" s="22" t="str">
        <f>HYPERLINK("https://rhld.insurance.arkansas.gov/NPILookup?Npi=1396934048","1396934048")</f>
        <v>1396934048</v>
      </c>
      <c r="E14788" s="1" t="s">
        <v>22079</v>
      </c>
      <c r="F14788" s="2"/>
      <c r="G14788" s="2"/>
      <c r="H14788" s="2"/>
    </row>
    <row r="14789" spans="1:8" x14ac:dyDescent="0.25">
      <c r="A14789" s="1"/>
      <c r="B14789" s="1" t="s">
        <v>5782</v>
      </c>
      <c r="C14789" s="1" t="s">
        <v>5783</v>
      </c>
      <c r="D14789" s="22" t="str">
        <f>HYPERLINK("https://rhld.insurance.arkansas.gov/NPILookup?Npi=1396941282","1396941282")</f>
        <v>1396941282</v>
      </c>
      <c r="E14789" s="1" t="s">
        <v>934</v>
      </c>
      <c r="F14789" s="2"/>
      <c r="G14789" s="2"/>
      <c r="H14789" s="2"/>
    </row>
    <row r="14790" spans="1:8" x14ac:dyDescent="0.25">
      <c r="A14790" s="1"/>
      <c r="B14790" s="1" t="s">
        <v>5782</v>
      </c>
      <c r="C14790" s="1" t="s">
        <v>5783</v>
      </c>
      <c r="D14790" s="22" t="str">
        <f>HYPERLINK("https://rhld.insurance.arkansas.gov/NPILookup?Npi=1396946414","1396946414")</f>
        <v>1396946414</v>
      </c>
      <c r="E14790" s="1" t="s">
        <v>11759</v>
      </c>
      <c r="F14790" s="2"/>
      <c r="G14790" s="2"/>
      <c r="H14790" s="2"/>
    </row>
    <row r="14791" spans="1:8" x14ac:dyDescent="0.25">
      <c r="A14791" s="1"/>
      <c r="B14791" s="1" t="s">
        <v>5782</v>
      </c>
      <c r="C14791" s="1" t="s">
        <v>5783</v>
      </c>
      <c r="D14791" s="22" t="str">
        <f>HYPERLINK("https://rhld.insurance.arkansas.gov/NPILookup?Npi=1396949517","1396949517")</f>
        <v>1396949517</v>
      </c>
      <c r="E14791" s="1" t="s">
        <v>22080</v>
      </c>
      <c r="F14791" s="2"/>
      <c r="G14791" s="2"/>
      <c r="H14791" s="2"/>
    </row>
    <row r="14792" spans="1:8" x14ac:dyDescent="0.25">
      <c r="A14792" s="1"/>
      <c r="B14792" s="1" t="s">
        <v>5782</v>
      </c>
      <c r="C14792" s="1" t="s">
        <v>5783</v>
      </c>
      <c r="D14792" s="22" t="str">
        <f>HYPERLINK("https://rhld.insurance.arkansas.gov/NPILookup?Npi=1396998605","1396998605")</f>
        <v>1396998605</v>
      </c>
      <c r="E14792" s="1" t="s">
        <v>452</v>
      </c>
      <c r="F14792" s="2"/>
      <c r="G14792" s="2"/>
      <c r="H14792" s="2"/>
    </row>
    <row r="14793" spans="1:8" x14ac:dyDescent="0.25">
      <c r="A14793" s="1"/>
      <c r="B14793" s="1" t="s">
        <v>5782</v>
      </c>
      <c r="C14793" s="1" t="s">
        <v>5783</v>
      </c>
      <c r="D14793" s="22" t="str">
        <f>HYPERLINK("https://rhld.insurance.arkansas.gov/NPILookup?Npi=1396998910","1396998910")</f>
        <v>1396998910</v>
      </c>
      <c r="E14793" s="1" t="s">
        <v>22081</v>
      </c>
      <c r="F14793" s="2"/>
      <c r="G14793" s="2"/>
      <c r="H14793" s="2"/>
    </row>
    <row r="14794" spans="1:8" x14ac:dyDescent="0.25">
      <c r="A14794" s="1"/>
      <c r="B14794" s="1" t="s">
        <v>5782</v>
      </c>
      <c r="C14794" s="1" t="s">
        <v>5783</v>
      </c>
      <c r="D14794" s="22" t="str">
        <f>HYPERLINK("https://rhld.insurance.arkansas.gov/NPILookup?Npi=1407000516","1407000516")</f>
        <v>1407000516</v>
      </c>
      <c r="E14794" s="1" t="s">
        <v>1324</v>
      </c>
      <c r="F14794" s="2"/>
      <c r="G14794" s="2"/>
      <c r="H14794" s="2"/>
    </row>
    <row r="14795" spans="1:8" x14ac:dyDescent="0.25">
      <c r="A14795" s="1"/>
      <c r="B14795" s="1" t="s">
        <v>5782</v>
      </c>
      <c r="C14795" s="1" t="s">
        <v>5783</v>
      </c>
      <c r="D14795" s="22" t="str">
        <f>HYPERLINK("https://rhld.insurance.arkansas.gov/NPILookup?Npi=1407007750","1407007750")</f>
        <v>1407007750</v>
      </c>
      <c r="E14795" s="1" t="s">
        <v>11760</v>
      </c>
      <c r="F14795" s="2"/>
      <c r="G14795" s="2"/>
      <c r="H14795" s="2"/>
    </row>
    <row r="14796" spans="1:8" x14ac:dyDescent="0.25">
      <c r="A14796" s="1"/>
      <c r="B14796" s="1" t="s">
        <v>5782</v>
      </c>
      <c r="C14796" s="1" t="s">
        <v>5783</v>
      </c>
      <c r="D14796" s="22" t="str">
        <f>HYPERLINK("https://rhld.insurance.arkansas.gov/NPILookup?Npi=1407018534","1407018534")</f>
        <v>1407018534</v>
      </c>
      <c r="E14796" s="1" t="s">
        <v>2478</v>
      </c>
      <c r="F14796" s="2"/>
      <c r="G14796" s="2"/>
      <c r="H14796" s="2"/>
    </row>
    <row r="14797" spans="1:8" x14ac:dyDescent="0.25">
      <c r="A14797" s="1"/>
      <c r="B14797" s="1" t="s">
        <v>5782</v>
      </c>
      <c r="C14797" s="1" t="s">
        <v>5783</v>
      </c>
      <c r="D14797" s="22" t="str">
        <f>HYPERLINK("https://rhld.insurance.arkansas.gov/NPILookup?Npi=1407029606","1407029606")</f>
        <v>1407029606</v>
      </c>
      <c r="E14797" s="1" t="s">
        <v>22082</v>
      </c>
      <c r="F14797" s="2"/>
      <c r="G14797" s="2"/>
      <c r="H14797" s="2"/>
    </row>
    <row r="14798" spans="1:8" x14ac:dyDescent="0.25">
      <c r="A14798" s="1"/>
      <c r="B14798" s="1" t="s">
        <v>5782</v>
      </c>
      <c r="C14798" s="1" t="s">
        <v>5783</v>
      </c>
      <c r="D14798" s="22" t="str">
        <f>HYPERLINK("https://rhld.insurance.arkansas.gov/NPILookup?Npi=1407048648","1407048648")</f>
        <v>1407048648</v>
      </c>
      <c r="E14798" s="1" t="s">
        <v>22083</v>
      </c>
      <c r="F14798" s="2"/>
      <c r="G14798" s="2"/>
      <c r="H14798" s="2"/>
    </row>
    <row r="14799" spans="1:8" x14ac:dyDescent="0.25">
      <c r="A14799" s="1"/>
      <c r="B14799" s="1" t="s">
        <v>5782</v>
      </c>
      <c r="C14799" s="1" t="s">
        <v>5783</v>
      </c>
      <c r="D14799" s="22" t="str">
        <f>HYPERLINK("https://rhld.insurance.arkansas.gov/NPILookup?Npi=1407078744","1407078744")</f>
        <v>1407078744</v>
      </c>
      <c r="E14799" s="1" t="s">
        <v>20950</v>
      </c>
      <c r="F14799" s="2"/>
      <c r="G14799" s="2"/>
      <c r="H14799" s="2"/>
    </row>
    <row r="14800" spans="1:8" x14ac:dyDescent="0.25">
      <c r="A14800" s="1"/>
      <c r="B14800" s="1" t="s">
        <v>5782</v>
      </c>
      <c r="C14800" s="1" t="s">
        <v>5783</v>
      </c>
      <c r="D14800" s="22" t="str">
        <f>HYPERLINK("https://rhld.insurance.arkansas.gov/NPILookup?Npi=1407080542","1407080542")</f>
        <v>1407080542</v>
      </c>
      <c r="E14800" s="1" t="s">
        <v>22084</v>
      </c>
      <c r="F14800" s="2"/>
      <c r="G14800" s="2"/>
      <c r="H14800" s="2"/>
    </row>
    <row r="14801" spans="1:8" x14ac:dyDescent="0.25">
      <c r="A14801" s="1"/>
      <c r="B14801" s="1" t="s">
        <v>5782</v>
      </c>
      <c r="C14801" s="1" t="s">
        <v>5783</v>
      </c>
      <c r="D14801" s="22" t="str">
        <f>HYPERLINK("https://rhld.insurance.arkansas.gov/NPILookup?Npi=1407087190","1407087190")</f>
        <v>1407087190</v>
      </c>
      <c r="E14801" s="1" t="s">
        <v>11762</v>
      </c>
      <c r="F14801" s="2"/>
      <c r="G14801" s="2"/>
      <c r="H14801" s="2"/>
    </row>
    <row r="14802" spans="1:8" x14ac:dyDescent="0.25">
      <c r="A14802" s="1"/>
      <c r="B14802" s="1" t="s">
        <v>5782</v>
      </c>
      <c r="C14802" s="1" t="s">
        <v>5783</v>
      </c>
      <c r="D14802" s="22" t="str">
        <f>HYPERLINK("https://rhld.insurance.arkansas.gov/NPILookup?Npi=1407098254","1407098254")</f>
        <v>1407098254</v>
      </c>
      <c r="E14802" s="1" t="s">
        <v>22085</v>
      </c>
      <c r="F14802" s="2"/>
      <c r="G14802" s="2"/>
      <c r="H14802" s="2"/>
    </row>
    <row r="14803" spans="1:8" x14ac:dyDescent="0.25">
      <c r="A14803" s="1"/>
      <c r="B14803" s="1" t="s">
        <v>5782</v>
      </c>
      <c r="C14803" s="1" t="s">
        <v>5783</v>
      </c>
      <c r="D14803" s="22" t="str">
        <f>HYPERLINK("https://rhld.insurance.arkansas.gov/NPILookup?Npi=1407109358","1407109358")</f>
        <v>1407109358</v>
      </c>
      <c r="E14803" s="1" t="s">
        <v>22086</v>
      </c>
      <c r="F14803" s="2"/>
      <c r="G14803" s="2"/>
      <c r="H14803" s="2"/>
    </row>
    <row r="14804" spans="1:8" x14ac:dyDescent="0.25">
      <c r="A14804" s="1"/>
      <c r="B14804" s="1" t="s">
        <v>5782</v>
      </c>
      <c r="C14804" s="1" t="s">
        <v>5783</v>
      </c>
      <c r="D14804" s="22" t="str">
        <f>HYPERLINK("https://rhld.insurance.arkansas.gov/NPILookup?Npi=1407120801","1407120801")</f>
        <v>1407120801</v>
      </c>
      <c r="E14804" s="1" t="s">
        <v>1568</v>
      </c>
      <c r="F14804" s="2"/>
      <c r="G14804" s="2"/>
      <c r="H14804" s="2"/>
    </row>
    <row r="14805" spans="1:8" x14ac:dyDescent="0.25">
      <c r="A14805" s="1"/>
      <c r="B14805" s="1" t="s">
        <v>5782</v>
      </c>
      <c r="C14805" s="1" t="s">
        <v>5783</v>
      </c>
      <c r="D14805" s="22" t="str">
        <f>HYPERLINK("https://rhld.insurance.arkansas.gov/NPILookup?Npi=1407132434","1407132434")</f>
        <v>1407132434</v>
      </c>
      <c r="E14805" s="1" t="s">
        <v>22087</v>
      </c>
      <c r="F14805" s="2"/>
      <c r="G14805" s="2"/>
      <c r="H14805" s="2"/>
    </row>
    <row r="14806" spans="1:8" x14ac:dyDescent="0.25">
      <c r="A14806" s="1"/>
      <c r="B14806" s="1" t="s">
        <v>5782</v>
      </c>
      <c r="C14806" s="1" t="s">
        <v>5783</v>
      </c>
      <c r="D14806" s="22" t="str">
        <f>HYPERLINK("https://rhld.insurance.arkansas.gov/NPILookup?Npi=1407137029","1407137029")</f>
        <v>1407137029</v>
      </c>
      <c r="E14806" s="1" t="s">
        <v>22088</v>
      </c>
      <c r="F14806" s="2"/>
      <c r="G14806" s="2"/>
      <c r="H14806" s="2"/>
    </row>
    <row r="14807" spans="1:8" x14ac:dyDescent="0.25">
      <c r="A14807" s="1"/>
      <c r="B14807" s="1" t="s">
        <v>5782</v>
      </c>
      <c r="C14807" s="1" t="s">
        <v>5783</v>
      </c>
      <c r="D14807" s="22" t="str">
        <f>HYPERLINK("https://rhld.insurance.arkansas.gov/NPILookup?Npi=1407163322","1407163322")</f>
        <v>1407163322</v>
      </c>
      <c r="E14807" s="1" t="s">
        <v>22089</v>
      </c>
      <c r="F14807" s="2"/>
      <c r="G14807" s="2"/>
      <c r="H14807" s="2"/>
    </row>
    <row r="14808" spans="1:8" x14ac:dyDescent="0.25">
      <c r="A14808" s="1"/>
      <c r="B14808" s="1" t="s">
        <v>5782</v>
      </c>
      <c r="C14808" s="1" t="s">
        <v>5783</v>
      </c>
      <c r="D14808" s="22" t="str">
        <f>HYPERLINK("https://rhld.insurance.arkansas.gov/NPILookup?Npi=1407173685","1407173685")</f>
        <v>1407173685</v>
      </c>
      <c r="E14808" s="1" t="s">
        <v>22090</v>
      </c>
      <c r="F14808" s="2"/>
      <c r="G14808" s="2"/>
      <c r="H14808" s="2"/>
    </row>
    <row r="14809" spans="1:8" x14ac:dyDescent="0.25">
      <c r="A14809" s="1"/>
      <c r="B14809" s="1" t="s">
        <v>5782</v>
      </c>
      <c r="C14809" s="1" t="s">
        <v>5783</v>
      </c>
      <c r="D14809" s="22" t="str">
        <f>HYPERLINK("https://rhld.insurance.arkansas.gov/NPILookup?Npi=1407176100","1407176100")</f>
        <v>1407176100</v>
      </c>
      <c r="E14809" s="1" t="s">
        <v>6250</v>
      </c>
      <c r="F14809" s="2"/>
      <c r="G14809" s="2"/>
      <c r="H14809" s="2"/>
    </row>
    <row r="14810" spans="1:8" x14ac:dyDescent="0.25">
      <c r="A14810" s="1"/>
      <c r="B14810" s="1" t="s">
        <v>5782</v>
      </c>
      <c r="C14810" s="1" t="s">
        <v>5783</v>
      </c>
      <c r="D14810" s="22" t="str">
        <f>HYPERLINK("https://rhld.insurance.arkansas.gov/NPILookup?Npi=1407178189","1407178189")</f>
        <v>1407178189</v>
      </c>
      <c r="E14810" s="1" t="s">
        <v>11763</v>
      </c>
      <c r="F14810" s="2"/>
      <c r="G14810" s="2"/>
      <c r="H14810" s="2"/>
    </row>
    <row r="14811" spans="1:8" x14ac:dyDescent="0.25">
      <c r="A14811" s="1"/>
      <c r="B14811" s="1" t="s">
        <v>5782</v>
      </c>
      <c r="C14811" s="1" t="s">
        <v>5783</v>
      </c>
      <c r="D14811" s="22" t="str">
        <f>HYPERLINK("https://rhld.insurance.arkansas.gov/NPILookup?Npi=1407182272","1407182272")</f>
        <v>1407182272</v>
      </c>
      <c r="E14811" s="1" t="s">
        <v>22091</v>
      </c>
      <c r="F14811" s="2"/>
      <c r="G14811" s="2"/>
      <c r="H14811" s="2"/>
    </row>
    <row r="14812" spans="1:8" x14ac:dyDescent="0.25">
      <c r="A14812" s="1"/>
      <c r="B14812" s="1" t="s">
        <v>5782</v>
      </c>
      <c r="C14812" s="1" t="s">
        <v>5783</v>
      </c>
      <c r="D14812" s="22" t="str">
        <f>HYPERLINK("https://rhld.insurance.arkansas.gov/NPILookup?Npi=1407182280","1407182280")</f>
        <v>1407182280</v>
      </c>
      <c r="E14812" s="1" t="s">
        <v>22092</v>
      </c>
      <c r="F14812" s="2"/>
      <c r="G14812" s="2"/>
      <c r="H14812" s="2"/>
    </row>
    <row r="14813" spans="1:8" x14ac:dyDescent="0.25">
      <c r="A14813" s="1"/>
      <c r="B14813" s="1" t="s">
        <v>5782</v>
      </c>
      <c r="C14813" s="1" t="s">
        <v>5783</v>
      </c>
      <c r="D14813" s="22" t="str">
        <f>HYPERLINK("https://rhld.insurance.arkansas.gov/NPILookup?Npi=1407182603","1407182603")</f>
        <v>1407182603</v>
      </c>
      <c r="E14813" s="1" t="s">
        <v>22093</v>
      </c>
      <c r="F14813" s="2"/>
      <c r="G14813" s="2"/>
      <c r="H14813" s="2"/>
    </row>
    <row r="14814" spans="1:8" x14ac:dyDescent="0.25">
      <c r="A14814" s="1"/>
      <c r="B14814" s="1" t="s">
        <v>5782</v>
      </c>
      <c r="C14814" s="1" t="s">
        <v>5783</v>
      </c>
      <c r="D14814" s="22" t="str">
        <f>HYPERLINK("https://rhld.insurance.arkansas.gov/NPILookup?Npi=1407185275","1407185275")</f>
        <v>1407185275</v>
      </c>
      <c r="E14814" s="1" t="s">
        <v>22094</v>
      </c>
      <c r="F14814" s="2"/>
      <c r="G14814" s="2"/>
      <c r="H14814" s="2"/>
    </row>
    <row r="14815" spans="1:8" x14ac:dyDescent="0.25">
      <c r="A14815" s="1"/>
      <c r="B14815" s="1" t="s">
        <v>5782</v>
      </c>
      <c r="C14815" s="1" t="s">
        <v>5783</v>
      </c>
      <c r="D14815" s="22" t="str">
        <f>HYPERLINK("https://rhld.insurance.arkansas.gov/NPILookup?Npi=1407190200","1407190200")</f>
        <v>1407190200</v>
      </c>
      <c r="E14815" s="1" t="s">
        <v>20476</v>
      </c>
      <c r="F14815" s="2"/>
      <c r="G14815" s="2"/>
      <c r="H14815" s="2"/>
    </row>
    <row r="14816" spans="1:8" x14ac:dyDescent="0.25">
      <c r="A14816" s="1"/>
      <c r="B14816" s="1" t="s">
        <v>5782</v>
      </c>
      <c r="C14816" s="1" t="s">
        <v>5783</v>
      </c>
      <c r="D14816" s="22" t="str">
        <f>HYPERLINK("https://rhld.insurance.arkansas.gov/NPILookup?Npi=1407213135","1407213135")</f>
        <v>1407213135</v>
      </c>
      <c r="E14816" s="1" t="s">
        <v>22095</v>
      </c>
      <c r="F14816" s="2"/>
      <c r="G14816" s="2"/>
      <c r="H14816" s="2"/>
    </row>
    <row r="14817" spans="1:8" x14ac:dyDescent="0.25">
      <c r="A14817" s="1"/>
      <c r="B14817" s="1" t="s">
        <v>5782</v>
      </c>
      <c r="C14817" s="1" t="s">
        <v>5783</v>
      </c>
      <c r="D14817" s="22" t="str">
        <f>HYPERLINK("https://rhld.insurance.arkansas.gov/NPILookup?Npi=1407216138","1407216138")</f>
        <v>1407216138</v>
      </c>
      <c r="E14817" s="1" t="s">
        <v>22096</v>
      </c>
      <c r="F14817" s="2"/>
      <c r="G14817" s="2"/>
      <c r="H14817" s="2"/>
    </row>
    <row r="14818" spans="1:8" x14ac:dyDescent="0.25">
      <c r="A14818" s="1"/>
      <c r="B14818" s="1" t="s">
        <v>5782</v>
      </c>
      <c r="C14818" s="1" t="s">
        <v>5783</v>
      </c>
      <c r="D14818" s="22" t="str">
        <f>HYPERLINK("https://rhld.insurance.arkansas.gov/NPILookup?Npi=1407217532","1407217532")</f>
        <v>1407217532</v>
      </c>
      <c r="E14818" s="1" t="s">
        <v>1863</v>
      </c>
      <c r="F14818" s="2"/>
      <c r="G14818" s="2"/>
      <c r="H14818" s="2"/>
    </row>
    <row r="14819" spans="1:8" x14ac:dyDescent="0.25">
      <c r="A14819" s="1"/>
      <c r="B14819" s="1" t="s">
        <v>5782</v>
      </c>
      <c r="C14819" s="1" t="s">
        <v>5783</v>
      </c>
      <c r="D14819" s="22" t="str">
        <f>HYPERLINK("https://rhld.insurance.arkansas.gov/NPILookup?Npi=1407226327","1407226327")</f>
        <v>1407226327</v>
      </c>
      <c r="E14819" s="1" t="s">
        <v>22097</v>
      </c>
      <c r="F14819" s="2"/>
      <c r="G14819" s="2"/>
      <c r="H14819" s="2"/>
    </row>
    <row r="14820" spans="1:8" x14ac:dyDescent="0.25">
      <c r="A14820" s="1"/>
      <c r="B14820" s="1" t="s">
        <v>5782</v>
      </c>
      <c r="C14820" s="1" t="s">
        <v>5783</v>
      </c>
      <c r="D14820" s="22" t="str">
        <f>HYPERLINK("https://rhld.insurance.arkansas.gov/NPILookup?Npi=1407228711","1407228711")</f>
        <v>1407228711</v>
      </c>
      <c r="E14820" s="1" t="s">
        <v>1342</v>
      </c>
      <c r="F14820" s="2"/>
      <c r="G14820" s="2"/>
      <c r="H14820" s="2"/>
    </row>
    <row r="14821" spans="1:8" x14ac:dyDescent="0.25">
      <c r="A14821" s="1"/>
      <c r="B14821" s="1" t="s">
        <v>5782</v>
      </c>
      <c r="C14821" s="1" t="s">
        <v>5783</v>
      </c>
      <c r="D14821" s="22" t="str">
        <f>HYPERLINK("https://rhld.insurance.arkansas.gov/NPILookup?Npi=1407238074","1407238074")</f>
        <v>1407238074</v>
      </c>
      <c r="E14821" s="1" t="s">
        <v>1596</v>
      </c>
      <c r="F14821" s="2"/>
      <c r="G14821" s="2"/>
      <c r="H14821" s="2"/>
    </row>
    <row r="14822" spans="1:8" x14ac:dyDescent="0.25">
      <c r="A14822" s="1"/>
      <c r="B14822" s="1" t="s">
        <v>5782</v>
      </c>
      <c r="C14822" s="1" t="s">
        <v>5783</v>
      </c>
      <c r="D14822" s="22" t="str">
        <f>HYPERLINK("https://rhld.insurance.arkansas.gov/NPILookup?Npi=1407248933","1407248933")</f>
        <v>1407248933</v>
      </c>
      <c r="E14822" s="1" t="s">
        <v>22098</v>
      </c>
      <c r="F14822" s="2"/>
      <c r="G14822" s="2"/>
      <c r="H14822" s="2"/>
    </row>
    <row r="14823" spans="1:8" x14ac:dyDescent="0.25">
      <c r="A14823" s="1"/>
      <c r="B14823" s="1" t="s">
        <v>5782</v>
      </c>
      <c r="C14823" s="1" t="s">
        <v>5783</v>
      </c>
      <c r="D14823" s="22" t="str">
        <f>HYPERLINK("https://rhld.insurance.arkansas.gov/NPILookup?Npi=1407250525","1407250525")</f>
        <v>1407250525</v>
      </c>
      <c r="E14823" s="1" t="s">
        <v>22099</v>
      </c>
      <c r="F14823" s="2"/>
      <c r="G14823" s="2"/>
      <c r="H14823" s="2"/>
    </row>
    <row r="14824" spans="1:8" x14ac:dyDescent="0.25">
      <c r="A14824" s="1"/>
      <c r="B14824" s="1" t="s">
        <v>5782</v>
      </c>
      <c r="C14824" s="1" t="s">
        <v>5783</v>
      </c>
      <c r="D14824" s="22" t="str">
        <f>HYPERLINK("https://rhld.insurance.arkansas.gov/NPILookup?Npi=1407252216","1407252216")</f>
        <v>1407252216</v>
      </c>
      <c r="E14824" s="1" t="s">
        <v>4595</v>
      </c>
      <c r="F14824" s="2"/>
      <c r="G14824" s="2"/>
      <c r="H14824" s="2"/>
    </row>
    <row r="14825" spans="1:8" x14ac:dyDescent="0.25">
      <c r="A14825" s="1"/>
      <c r="B14825" s="1" t="s">
        <v>5782</v>
      </c>
      <c r="C14825" s="1" t="s">
        <v>5783</v>
      </c>
      <c r="D14825" s="22" t="str">
        <f>HYPERLINK("https://rhld.insurance.arkansas.gov/NPILookup?Npi=1407253222","1407253222")</f>
        <v>1407253222</v>
      </c>
      <c r="E14825" s="1" t="s">
        <v>1665</v>
      </c>
      <c r="F14825" s="2"/>
      <c r="G14825" s="2"/>
      <c r="H14825" s="2"/>
    </row>
    <row r="14826" spans="1:8" x14ac:dyDescent="0.25">
      <c r="A14826" s="1"/>
      <c r="B14826" s="1" t="s">
        <v>5782</v>
      </c>
      <c r="C14826" s="1" t="s">
        <v>5783</v>
      </c>
      <c r="D14826" s="22" t="str">
        <f>HYPERLINK("https://rhld.insurance.arkansas.gov/NPILookup?Npi=1407291305","1407291305")</f>
        <v>1407291305</v>
      </c>
      <c r="E14826" s="1" t="s">
        <v>22100</v>
      </c>
      <c r="F14826" s="2"/>
      <c r="G14826" s="2"/>
      <c r="H14826" s="2"/>
    </row>
    <row r="14827" spans="1:8" x14ac:dyDescent="0.25">
      <c r="A14827" s="1"/>
      <c r="B14827" s="1" t="s">
        <v>5782</v>
      </c>
      <c r="C14827" s="1" t="s">
        <v>5783</v>
      </c>
      <c r="D14827" s="22" t="str">
        <f>HYPERLINK("https://rhld.insurance.arkansas.gov/NPILookup?Npi=1407301708","1407301708")</f>
        <v>1407301708</v>
      </c>
      <c r="E14827" s="1" t="s">
        <v>11764</v>
      </c>
      <c r="F14827" s="2"/>
      <c r="G14827" s="2"/>
      <c r="H14827" s="2"/>
    </row>
    <row r="14828" spans="1:8" x14ac:dyDescent="0.25">
      <c r="A14828" s="1"/>
      <c r="B14828" s="1" t="s">
        <v>5782</v>
      </c>
      <c r="C14828" s="1" t="s">
        <v>5783</v>
      </c>
      <c r="D14828" s="22" t="str">
        <f>HYPERLINK("https://rhld.insurance.arkansas.gov/NPILookup?Npi=1407324114","1407324114")</f>
        <v>1407324114</v>
      </c>
      <c r="E14828" s="1" t="s">
        <v>31870</v>
      </c>
      <c r="F14828" s="2"/>
      <c r="G14828" s="2"/>
      <c r="H14828" s="2"/>
    </row>
    <row r="14829" spans="1:8" x14ac:dyDescent="0.25">
      <c r="A14829" s="1"/>
      <c r="B14829" s="1" t="s">
        <v>5782</v>
      </c>
      <c r="C14829" s="1" t="s">
        <v>5783</v>
      </c>
      <c r="D14829" s="22" t="str">
        <f>HYPERLINK("https://rhld.insurance.arkansas.gov/NPILookup?Npi=1407326002","1407326002")</f>
        <v>1407326002</v>
      </c>
      <c r="E14829" s="1" t="s">
        <v>6252</v>
      </c>
      <c r="F14829" s="2"/>
      <c r="G14829" s="2"/>
      <c r="H14829" s="2"/>
    </row>
    <row r="14830" spans="1:8" x14ac:dyDescent="0.25">
      <c r="A14830" s="1"/>
      <c r="B14830" s="1" t="s">
        <v>5782</v>
      </c>
      <c r="C14830" s="1" t="s">
        <v>5783</v>
      </c>
      <c r="D14830" s="22" t="str">
        <f>HYPERLINK("https://rhld.insurance.arkansas.gov/NPILookup?Npi=1407333586","1407333586")</f>
        <v>1407333586</v>
      </c>
      <c r="E14830" s="1" t="s">
        <v>22101</v>
      </c>
      <c r="F14830" s="2"/>
      <c r="G14830" s="2"/>
      <c r="H14830" s="2"/>
    </row>
    <row r="14831" spans="1:8" x14ac:dyDescent="0.25">
      <c r="A14831" s="1"/>
      <c r="B14831" s="1" t="s">
        <v>5782</v>
      </c>
      <c r="C14831" s="1" t="s">
        <v>5783</v>
      </c>
      <c r="D14831" s="22" t="str">
        <f>HYPERLINK("https://rhld.insurance.arkansas.gov/NPILookup?Npi=1407336381","1407336381")</f>
        <v>1407336381</v>
      </c>
      <c r="E14831" s="1" t="s">
        <v>6253</v>
      </c>
      <c r="F14831" s="2"/>
      <c r="G14831" s="2"/>
      <c r="H14831" s="2"/>
    </row>
    <row r="14832" spans="1:8" x14ac:dyDescent="0.25">
      <c r="A14832" s="1"/>
      <c r="B14832" s="1" t="s">
        <v>5782</v>
      </c>
      <c r="C14832" s="1" t="s">
        <v>5783</v>
      </c>
      <c r="D14832" s="22" t="str">
        <f>HYPERLINK("https://rhld.insurance.arkansas.gov/NPILookup?Npi=1407351562","1407351562")</f>
        <v>1407351562</v>
      </c>
      <c r="E14832" s="1" t="s">
        <v>22102</v>
      </c>
      <c r="F14832" s="2"/>
      <c r="G14832" s="2"/>
      <c r="H14832" s="2"/>
    </row>
    <row r="14833" spans="1:8" x14ac:dyDescent="0.25">
      <c r="A14833" s="1"/>
      <c r="B14833" s="1" t="s">
        <v>5782</v>
      </c>
      <c r="C14833" s="1" t="s">
        <v>5783</v>
      </c>
      <c r="D14833" s="22" t="str">
        <f>HYPERLINK("https://rhld.insurance.arkansas.gov/NPILookup?Npi=1407374713","1407374713")</f>
        <v>1407374713</v>
      </c>
      <c r="E14833" s="1" t="s">
        <v>22103</v>
      </c>
      <c r="F14833" s="2"/>
      <c r="G14833" s="2"/>
      <c r="H14833" s="2"/>
    </row>
    <row r="14834" spans="1:8" x14ac:dyDescent="0.25">
      <c r="A14834" s="1"/>
      <c r="B14834" s="1" t="s">
        <v>5782</v>
      </c>
      <c r="C14834" s="1" t="s">
        <v>5783</v>
      </c>
      <c r="D14834" s="22" t="str">
        <f>HYPERLINK("https://rhld.insurance.arkansas.gov/NPILookup?Npi=1407381619","1407381619")</f>
        <v>1407381619</v>
      </c>
      <c r="E14834" s="1" t="s">
        <v>6254</v>
      </c>
      <c r="F14834" s="2"/>
      <c r="G14834" s="2"/>
      <c r="H14834" s="2"/>
    </row>
    <row r="14835" spans="1:8" x14ac:dyDescent="0.25">
      <c r="A14835" s="1"/>
      <c r="B14835" s="1" t="s">
        <v>5782</v>
      </c>
      <c r="C14835" s="1" t="s">
        <v>5783</v>
      </c>
      <c r="D14835" s="22" t="str">
        <f>HYPERLINK("https://rhld.insurance.arkansas.gov/NPILookup?Npi=1407384860","1407384860")</f>
        <v>1407384860</v>
      </c>
      <c r="E14835" s="1" t="s">
        <v>22104</v>
      </c>
      <c r="F14835" s="2"/>
      <c r="G14835" s="2"/>
      <c r="H14835" s="2"/>
    </row>
    <row r="14836" spans="1:8" x14ac:dyDescent="0.25">
      <c r="A14836" s="1"/>
      <c r="B14836" s="1" t="s">
        <v>5782</v>
      </c>
      <c r="C14836" s="1" t="s">
        <v>5783</v>
      </c>
      <c r="D14836" s="22" t="str">
        <f>HYPERLINK("https://rhld.insurance.arkansas.gov/NPILookup?Npi=1407399876","1407399876")</f>
        <v>1407399876</v>
      </c>
      <c r="E14836" s="1" t="s">
        <v>22105</v>
      </c>
      <c r="F14836" s="2"/>
      <c r="G14836" s="2"/>
      <c r="H14836" s="2"/>
    </row>
    <row r="14837" spans="1:8" x14ac:dyDescent="0.25">
      <c r="A14837" s="1"/>
      <c r="B14837" s="1" t="s">
        <v>5782</v>
      </c>
      <c r="C14837" s="1" t="s">
        <v>5783</v>
      </c>
      <c r="D14837" s="22" t="str">
        <f>HYPERLINK("https://rhld.insurance.arkansas.gov/NPILookup?Npi=1407404460","1407404460")</f>
        <v>1407404460</v>
      </c>
      <c r="E14837" s="1" t="s">
        <v>22106</v>
      </c>
      <c r="F14837" s="2"/>
      <c r="G14837" s="2"/>
      <c r="H14837" s="2"/>
    </row>
    <row r="14838" spans="1:8" x14ac:dyDescent="0.25">
      <c r="A14838" s="1"/>
      <c r="B14838" s="1" t="s">
        <v>5782</v>
      </c>
      <c r="C14838" s="1" t="s">
        <v>5783</v>
      </c>
      <c r="D14838" s="22" t="str">
        <f>HYPERLINK("https://rhld.insurance.arkansas.gov/NPILookup?Npi=1407408461","1407408461")</f>
        <v>1407408461</v>
      </c>
      <c r="E14838" s="1" t="s">
        <v>6255</v>
      </c>
      <c r="F14838" s="2"/>
      <c r="G14838" s="2"/>
      <c r="H14838" s="2"/>
    </row>
    <row r="14839" spans="1:8" x14ac:dyDescent="0.25">
      <c r="A14839" s="1"/>
      <c r="B14839" s="1" t="s">
        <v>5782</v>
      </c>
      <c r="C14839" s="1" t="s">
        <v>5783</v>
      </c>
      <c r="D14839" s="22" t="str">
        <f>HYPERLINK("https://rhld.insurance.arkansas.gov/NPILookup?Npi=1407411499","1407411499")</f>
        <v>1407411499</v>
      </c>
      <c r="E14839" s="1" t="s">
        <v>22107</v>
      </c>
      <c r="F14839" s="2"/>
      <c r="G14839" s="2"/>
      <c r="H14839" s="2"/>
    </row>
    <row r="14840" spans="1:8" x14ac:dyDescent="0.25">
      <c r="A14840" s="1"/>
      <c r="B14840" s="1" t="s">
        <v>5782</v>
      </c>
      <c r="C14840" s="1" t="s">
        <v>5783</v>
      </c>
      <c r="D14840" s="22" t="str">
        <f>HYPERLINK("https://rhld.insurance.arkansas.gov/NPILookup?Npi=1407413032","1407413032")</f>
        <v>1407413032</v>
      </c>
      <c r="E14840" s="1" t="s">
        <v>1864</v>
      </c>
      <c r="F14840" s="2"/>
      <c r="G14840" s="2"/>
      <c r="H14840" s="2"/>
    </row>
    <row r="14841" spans="1:8" x14ac:dyDescent="0.25">
      <c r="A14841" s="1"/>
      <c r="B14841" s="1" t="s">
        <v>5782</v>
      </c>
      <c r="C14841" s="1" t="s">
        <v>5783</v>
      </c>
      <c r="D14841" s="22" t="str">
        <f>HYPERLINK("https://rhld.insurance.arkansas.gov/NPILookup?Npi=1407417157","1407417157")</f>
        <v>1407417157</v>
      </c>
      <c r="E14841" s="1" t="s">
        <v>22108</v>
      </c>
      <c r="F14841" s="2"/>
      <c r="G14841" s="2"/>
      <c r="H14841" s="2"/>
    </row>
    <row r="14842" spans="1:8" x14ac:dyDescent="0.25">
      <c r="A14842" s="1"/>
      <c r="B14842" s="1" t="s">
        <v>5782</v>
      </c>
      <c r="C14842" s="1" t="s">
        <v>5783</v>
      </c>
      <c r="D14842" s="22" t="str">
        <f>HYPERLINK("https://rhld.insurance.arkansas.gov/NPILookup?Npi=1407431042","1407431042")</f>
        <v>1407431042</v>
      </c>
      <c r="E14842" s="1" t="s">
        <v>6256</v>
      </c>
      <c r="F14842" s="2"/>
      <c r="G14842" s="2"/>
      <c r="H14842" s="2"/>
    </row>
    <row r="14843" spans="1:8" x14ac:dyDescent="0.25">
      <c r="A14843" s="1"/>
      <c r="B14843" s="1" t="s">
        <v>5782</v>
      </c>
      <c r="C14843" s="1" t="s">
        <v>5783</v>
      </c>
      <c r="D14843" s="22" t="str">
        <f>HYPERLINK("https://rhld.insurance.arkansas.gov/NPILookup?Npi=1407448061","1407448061")</f>
        <v>1407448061</v>
      </c>
      <c r="E14843" s="1" t="s">
        <v>31871</v>
      </c>
      <c r="F14843" s="2"/>
      <c r="G14843" s="2"/>
      <c r="H14843" s="2"/>
    </row>
    <row r="14844" spans="1:8" x14ac:dyDescent="0.25">
      <c r="A14844" s="1"/>
      <c r="B14844" s="1" t="s">
        <v>5782</v>
      </c>
      <c r="C14844" s="1" t="s">
        <v>5783</v>
      </c>
      <c r="D14844" s="22" t="str">
        <f>HYPERLINK("https://rhld.insurance.arkansas.gov/NPILookup?Npi=1407453608","1407453608")</f>
        <v>1407453608</v>
      </c>
      <c r="E14844" s="1" t="s">
        <v>22109</v>
      </c>
      <c r="F14844" s="2"/>
      <c r="G14844" s="2"/>
      <c r="H14844" s="2"/>
    </row>
    <row r="14845" spans="1:8" x14ac:dyDescent="0.25">
      <c r="A14845" s="1"/>
      <c r="B14845" s="1" t="s">
        <v>5782</v>
      </c>
      <c r="C14845" s="1" t="s">
        <v>5783</v>
      </c>
      <c r="D14845" s="22" t="str">
        <f>HYPERLINK("https://rhld.insurance.arkansas.gov/NPILookup?Npi=1407462583","1407462583")</f>
        <v>1407462583</v>
      </c>
      <c r="E14845" s="1" t="s">
        <v>2479</v>
      </c>
      <c r="F14845" s="2"/>
      <c r="G14845" s="2"/>
      <c r="H14845" s="2"/>
    </row>
    <row r="14846" spans="1:8" x14ac:dyDescent="0.25">
      <c r="A14846" s="1"/>
      <c r="B14846" s="1" t="s">
        <v>5782</v>
      </c>
      <c r="C14846" s="1" t="s">
        <v>5783</v>
      </c>
      <c r="D14846" s="22" t="str">
        <f>HYPERLINK("https://rhld.insurance.arkansas.gov/NPILookup?Npi=1407466923","1407466923")</f>
        <v>1407466923</v>
      </c>
      <c r="E14846" s="1" t="s">
        <v>6257</v>
      </c>
      <c r="F14846" s="2"/>
      <c r="G14846" s="2"/>
      <c r="H14846" s="2"/>
    </row>
    <row r="14847" spans="1:8" x14ac:dyDescent="0.25">
      <c r="A14847" s="1"/>
      <c r="B14847" s="1" t="s">
        <v>5782</v>
      </c>
      <c r="C14847" s="1" t="s">
        <v>5783</v>
      </c>
      <c r="D14847" s="22" t="str">
        <f>HYPERLINK("https://rhld.insurance.arkansas.gov/NPILookup?Npi=1407480825","1407480825")</f>
        <v>1407480825</v>
      </c>
      <c r="E14847" s="1" t="s">
        <v>22110</v>
      </c>
      <c r="F14847" s="2"/>
      <c r="G14847" s="2"/>
      <c r="H14847" s="2"/>
    </row>
    <row r="14848" spans="1:8" x14ac:dyDescent="0.25">
      <c r="A14848" s="1"/>
      <c r="B14848" s="1" t="s">
        <v>5782</v>
      </c>
      <c r="C14848" s="1" t="s">
        <v>5783</v>
      </c>
      <c r="D14848" s="22" t="str">
        <f>HYPERLINK("https://rhld.insurance.arkansas.gov/NPILookup?Npi=1407488026","1407488026")</f>
        <v>1407488026</v>
      </c>
      <c r="E14848" s="1" t="s">
        <v>31872</v>
      </c>
      <c r="F14848" s="2"/>
      <c r="G14848" s="2"/>
      <c r="H14848" s="2"/>
    </row>
    <row r="14849" spans="1:8" x14ac:dyDescent="0.25">
      <c r="A14849" s="1"/>
      <c r="B14849" s="1" t="s">
        <v>5782</v>
      </c>
      <c r="C14849" s="1" t="s">
        <v>5783</v>
      </c>
      <c r="D14849" s="22" t="str">
        <f>HYPERLINK("https://rhld.insurance.arkansas.gov/NPILookup?Npi=1407502487","1407502487")</f>
        <v>1407502487</v>
      </c>
      <c r="E14849" s="1" t="s">
        <v>2480</v>
      </c>
      <c r="F14849" s="2"/>
      <c r="G14849" s="2"/>
      <c r="H14849" s="2"/>
    </row>
    <row r="14850" spans="1:8" x14ac:dyDescent="0.25">
      <c r="A14850" s="1"/>
      <c r="B14850" s="1" t="s">
        <v>5782</v>
      </c>
      <c r="C14850" s="1" t="s">
        <v>5783</v>
      </c>
      <c r="D14850" s="22" t="str">
        <f>HYPERLINK("https://rhld.insurance.arkansas.gov/NPILookup?Npi=1407526957","1407526957")</f>
        <v>1407526957</v>
      </c>
      <c r="E14850" s="1" t="s">
        <v>22111</v>
      </c>
      <c r="F14850" s="2"/>
      <c r="G14850" s="2"/>
      <c r="H14850" s="2"/>
    </row>
    <row r="14851" spans="1:8" x14ac:dyDescent="0.25">
      <c r="A14851" s="1"/>
      <c r="B14851" s="1" t="s">
        <v>5782</v>
      </c>
      <c r="C14851" s="1" t="s">
        <v>5783</v>
      </c>
      <c r="D14851" s="22" t="str">
        <f>HYPERLINK("https://rhld.insurance.arkansas.gov/NPILookup?Npi=1407560857","1407560857")</f>
        <v>1407560857</v>
      </c>
      <c r="E14851" s="1" t="s">
        <v>6258</v>
      </c>
      <c r="F14851" s="2"/>
      <c r="G14851" s="2"/>
      <c r="H14851" s="2"/>
    </row>
    <row r="14852" spans="1:8" x14ac:dyDescent="0.25">
      <c r="A14852" s="1"/>
      <c r="B14852" s="1" t="s">
        <v>5782</v>
      </c>
      <c r="C14852" s="1" t="s">
        <v>5783</v>
      </c>
      <c r="D14852" s="22" t="str">
        <f>HYPERLINK("https://rhld.insurance.arkansas.gov/NPILookup?Npi=1407566755","1407566755")</f>
        <v>1407566755</v>
      </c>
      <c r="E14852" s="1" t="s">
        <v>22112</v>
      </c>
      <c r="F14852" s="2"/>
      <c r="G14852" s="2"/>
      <c r="H14852" s="2"/>
    </row>
    <row r="14853" spans="1:8" x14ac:dyDescent="0.25">
      <c r="A14853" s="1"/>
      <c r="B14853" s="1" t="s">
        <v>5782</v>
      </c>
      <c r="C14853" s="1" t="s">
        <v>5783</v>
      </c>
      <c r="D14853" s="22" t="str">
        <f>HYPERLINK("https://rhld.insurance.arkansas.gov/NPILookup?Npi=1407576382","1407576382")</f>
        <v>1407576382</v>
      </c>
      <c r="E14853" s="1" t="s">
        <v>6259</v>
      </c>
      <c r="F14853" s="2"/>
      <c r="G14853" s="2"/>
      <c r="H14853" s="2"/>
    </row>
    <row r="14854" spans="1:8" x14ac:dyDescent="0.25">
      <c r="A14854" s="1"/>
      <c r="B14854" s="1" t="s">
        <v>5782</v>
      </c>
      <c r="C14854" s="1" t="s">
        <v>5783</v>
      </c>
      <c r="D14854" s="22" t="str">
        <f>HYPERLINK("https://rhld.insurance.arkansas.gov/NPILookup?Npi=1407589732","1407589732")</f>
        <v>1407589732</v>
      </c>
      <c r="E14854" s="1" t="s">
        <v>31873</v>
      </c>
      <c r="F14854" s="2"/>
      <c r="G14854" s="2"/>
      <c r="H14854" s="2"/>
    </row>
    <row r="14855" spans="1:8" x14ac:dyDescent="0.25">
      <c r="A14855" s="1"/>
      <c r="B14855" s="1" t="s">
        <v>5782</v>
      </c>
      <c r="C14855" s="1" t="s">
        <v>5783</v>
      </c>
      <c r="D14855" s="22" t="str">
        <f>HYPERLINK("https://rhld.insurance.arkansas.gov/NPILookup?Npi=1407599376","1407599376")</f>
        <v>1407599376</v>
      </c>
      <c r="E14855" s="1" t="s">
        <v>2481</v>
      </c>
      <c r="F14855" s="2"/>
      <c r="G14855" s="2"/>
      <c r="H14855" s="2"/>
    </row>
    <row r="14856" spans="1:8" x14ac:dyDescent="0.25">
      <c r="A14856" s="1"/>
      <c r="B14856" s="1" t="s">
        <v>5782</v>
      </c>
      <c r="C14856" s="1" t="s">
        <v>5783</v>
      </c>
      <c r="D14856" s="22" t="str">
        <f>HYPERLINK("https://rhld.insurance.arkansas.gov/NPILookup?Npi=1407663602","1407663602")</f>
        <v>1407663602</v>
      </c>
      <c r="E14856" s="1" t="s">
        <v>31874</v>
      </c>
      <c r="F14856" s="2"/>
      <c r="G14856" s="2"/>
      <c r="H14856" s="2"/>
    </row>
    <row r="14857" spans="1:8" x14ac:dyDescent="0.25">
      <c r="A14857" s="1"/>
      <c r="B14857" s="1" t="s">
        <v>5782</v>
      </c>
      <c r="C14857" s="1" t="s">
        <v>5783</v>
      </c>
      <c r="D14857" s="22" t="str">
        <f>HYPERLINK("https://rhld.insurance.arkansas.gov/NPILookup?Npi=1407815590","1407815590")</f>
        <v>1407815590</v>
      </c>
      <c r="E14857" s="1" t="s">
        <v>22113</v>
      </c>
      <c r="F14857" s="2"/>
      <c r="G14857" s="2"/>
      <c r="H14857" s="2"/>
    </row>
    <row r="14858" spans="1:8" x14ac:dyDescent="0.25">
      <c r="A14858" s="1"/>
      <c r="B14858" s="1" t="s">
        <v>5782</v>
      </c>
      <c r="C14858" s="1" t="s">
        <v>5783</v>
      </c>
      <c r="D14858" s="22" t="str">
        <f>HYPERLINK("https://rhld.insurance.arkansas.gov/NPILookup?Npi=1407834765","1407834765")</f>
        <v>1407834765</v>
      </c>
      <c r="E14858" s="1" t="s">
        <v>22114</v>
      </c>
      <c r="F14858" s="2"/>
      <c r="G14858" s="2"/>
      <c r="H14858" s="2"/>
    </row>
    <row r="14859" spans="1:8" x14ac:dyDescent="0.25">
      <c r="A14859" s="1"/>
      <c r="B14859" s="1" t="s">
        <v>5782</v>
      </c>
      <c r="C14859" s="1" t="s">
        <v>5783</v>
      </c>
      <c r="D14859" s="22" t="str">
        <f>HYPERLINK("https://rhld.insurance.arkansas.gov/NPILookup?Npi=1407843386","1407843386")</f>
        <v>1407843386</v>
      </c>
      <c r="E14859" s="1" t="s">
        <v>22115</v>
      </c>
      <c r="F14859" s="2"/>
      <c r="G14859" s="2"/>
      <c r="H14859" s="2"/>
    </row>
    <row r="14860" spans="1:8" x14ac:dyDescent="0.25">
      <c r="A14860" s="1"/>
      <c r="B14860" s="1" t="s">
        <v>5782</v>
      </c>
      <c r="C14860" s="1" t="s">
        <v>5783</v>
      </c>
      <c r="D14860" s="22" t="str">
        <f>HYPERLINK("https://rhld.insurance.arkansas.gov/NPILookup?Npi=1407878564","1407878564")</f>
        <v>1407878564</v>
      </c>
      <c r="E14860" s="1" t="s">
        <v>11765</v>
      </c>
      <c r="F14860" s="2"/>
      <c r="G14860" s="2"/>
      <c r="H14860" s="2"/>
    </row>
    <row r="14861" spans="1:8" x14ac:dyDescent="0.25">
      <c r="A14861" s="1"/>
      <c r="B14861" s="1" t="s">
        <v>5782</v>
      </c>
      <c r="C14861" s="1" t="s">
        <v>5783</v>
      </c>
      <c r="D14861" s="22" t="str">
        <f>HYPERLINK("https://rhld.insurance.arkansas.gov/NPILookup?Npi=1407887136","1407887136")</f>
        <v>1407887136</v>
      </c>
      <c r="E14861" s="1" t="s">
        <v>346</v>
      </c>
      <c r="F14861" s="2"/>
      <c r="G14861" s="2"/>
      <c r="H14861" s="2"/>
    </row>
    <row r="14862" spans="1:8" x14ac:dyDescent="0.25">
      <c r="A14862" s="1"/>
      <c r="B14862" s="1" t="s">
        <v>5782</v>
      </c>
      <c r="C14862" s="1" t="s">
        <v>5783</v>
      </c>
      <c r="D14862" s="22" t="str">
        <f>HYPERLINK("https://rhld.insurance.arkansas.gov/NPILookup?Npi=1407888662","1407888662")</f>
        <v>1407888662</v>
      </c>
      <c r="E14862" s="1" t="s">
        <v>22116</v>
      </c>
      <c r="F14862" s="2"/>
      <c r="G14862" s="2"/>
      <c r="H14862" s="2"/>
    </row>
    <row r="14863" spans="1:8" x14ac:dyDescent="0.25">
      <c r="A14863" s="1"/>
      <c r="B14863" s="1" t="s">
        <v>5782</v>
      </c>
      <c r="C14863" s="1" t="s">
        <v>5783</v>
      </c>
      <c r="D14863" s="22" t="str">
        <f>HYPERLINK("https://rhld.insurance.arkansas.gov/NPILookup?Npi=1407897390","1407897390")</f>
        <v>1407897390</v>
      </c>
      <c r="E14863" s="1" t="s">
        <v>3275</v>
      </c>
      <c r="F14863" s="2"/>
      <c r="G14863" s="2"/>
      <c r="H14863" s="2"/>
    </row>
    <row r="14864" spans="1:8" x14ac:dyDescent="0.25">
      <c r="A14864" s="1"/>
      <c r="B14864" s="1" t="s">
        <v>5782</v>
      </c>
      <c r="C14864" s="1" t="s">
        <v>5783</v>
      </c>
      <c r="D14864" s="22" t="str">
        <f>HYPERLINK("https://rhld.insurance.arkansas.gov/NPILookup?Npi=1407899099","1407899099")</f>
        <v>1407899099</v>
      </c>
      <c r="E14864" s="1" t="s">
        <v>11766</v>
      </c>
      <c r="F14864" s="2"/>
      <c r="G14864" s="2"/>
      <c r="H14864" s="2"/>
    </row>
    <row r="14865" spans="1:8" x14ac:dyDescent="0.25">
      <c r="A14865" s="1"/>
      <c r="B14865" s="1" t="s">
        <v>5782</v>
      </c>
      <c r="C14865" s="1" t="s">
        <v>5783</v>
      </c>
      <c r="D14865" s="22" t="str">
        <f>HYPERLINK("https://rhld.insurance.arkansas.gov/NPILookup?Npi=1407907843","1407907843")</f>
        <v>1407907843</v>
      </c>
      <c r="E14865" s="1" t="s">
        <v>22117</v>
      </c>
      <c r="F14865" s="2"/>
      <c r="G14865" s="2"/>
      <c r="H14865" s="2"/>
    </row>
    <row r="14866" spans="1:8" x14ac:dyDescent="0.25">
      <c r="A14866" s="1"/>
      <c r="B14866" s="1" t="s">
        <v>5782</v>
      </c>
      <c r="C14866" s="1" t="s">
        <v>5783</v>
      </c>
      <c r="D14866" s="22" t="str">
        <f>HYPERLINK("https://rhld.insurance.arkansas.gov/NPILookup?Npi=1407921059","1407921059")</f>
        <v>1407921059</v>
      </c>
      <c r="E14866" s="1" t="s">
        <v>1865</v>
      </c>
      <c r="F14866" s="2"/>
      <c r="G14866" s="2"/>
      <c r="H14866" s="2"/>
    </row>
    <row r="14867" spans="1:8" x14ac:dyDescent="0.25">
      <c r="A14867" s="1"/>
      <c r="B14867" s="1" t="s">
        <v>5782</v>
      </c>
      <c r="C14867" s="1" t="s">
        <v>5783</v>
      </c>
      <c r="D14867" s="22" t="str">
        <f>HYPERLINK("https://rhld.insurance.arkansas.gov/NPILookup?Npi=1407936560","1407936560")</f>
        <v>1407936560</v>
      </c>
      <c r="E14867" s="1" t="s">
        <v>22118</v>
      </c>
      <c r="F14867" s="2"/>
      <c r="G14867" s="2"/>
      <c r="H14867" s="2"/>
    </row>
    <row r="14868" spans="1:8" x14ac:dyDescent="0.25">
      <c r="A14868" s="1"/>
      <c r="B14868" s="1" t="s">
        <v>5782</v>
      </c>
      <c r="C14868" s="1" t="s">
        <v>5783</v>
      </c>
      <c r="D14868" s="22" t="str">
        <f>HYPERLINK("https://rhld.insurance.arkansas.gov/NPILookup?Npi=1407951247","1407951247")</f>
        <v>1407951247</v>
      </c>
      <c r="E14868" s="1" t="s">
        <v>11767</v>
      </c>
      <c r="F14868" s="2"/>
      <c r="G14868" s="2"/>
      <c r="H14868" s="2"/>
    </row>
    <row r="14869" spans="1:8" x14ac:dyDescent="0.25">
      <c r="A14869" s="1"/>
      <c r="B14869" s="1" t="s">
        <v>5782</v>
      </c>
      <c r="C14869" s="1" t="s">
        <v>5783</v>
      </c>
      <c r="D14869" s="22" t="str">
        <f>HYPERLINK("https://rhld.insurance.arkansas.gov/NPILookup?Npi=1407958028","1407958028")</f>
        <v>1407958028</v>
      </c>
      <c r="E14869" s="1" t="s">
        <v>1136</v>
      </c>
      <c r="F14869" s="2"/>
      <c r="G14869" s="2"/>
      <c r="H14869" s="2"/>
    </row>
    <row r="14870" spans="1:8" x14ac:dyDescent="0.25">
      <c r="A14870" s="1"/>
      <c r="B14870" s="1" t="s">
        <v>5782</v>
      </c>
      <c r="C14870" s="1" t="s">
        <v>5783</v>
      </c>
      <c r="D14870" s="22" t="str">
        <f>HYPERLINK("https://rhld.insurance.arkansas.gov/NPILookup?Npi=1407976632","1407976632")</f>
        <v>1407976632</v>
      </c>
      <c r="E14870" s="1" t="s">
        <v>11768</v>
      </c>
      <c r="F14870" s="2"/>
      <c r="G14870" s="2"/>
      <c r="H14870" s="2"/>
    </row>
    <row r="14871" spans="1:8" x14ac:dyDescent="0.25">
      <c r="A14871" s="1"/>
      <c r="B14871" s="1" t="s">
        <v>5782</v>
      </c>
      <c r="C14871" s="1" t="s">
        <v>5783</v>
      </c>
      <c r="D14871" s="22" t="str">
        <f>HYPERLINK("https://rhld.insurance.arkansas.gov/NPILookup?Npi=1407977648","1407977648")</f>
        <v>1407977648</v>
      </c>
      <c r="E14871" s="1" t="s">
        <v>22119</v>
      </c>
      <c r="F14871" s="2"/>
      <c r="G14871" s="2"/>
      <c r="H14871" s="2"/>
    </row>
    <row r="14872" spans="1:8" x14ac:dyDescent="0.25">
      <c r="A14872" s="1"/>
      <c r="B14872" s="1" t="s">
        <v>5782</v>
      </c>
      <c r="C14872" s="1" t="s">
        <v>5783</v>
      </c>
      <c r="D14872" s="22" t="str">
        <f>HYPERLINK("https://rhld.insurance.arkansas.gov/NPILookup?Npi=1417021023","1417021023")</f>
        <v>1417021023</v>
      </c>
      <c r="E14872" s="1" t="s">
        <v>6261</v>
      </c>
      <c r="F14872" s="2"/>
      <c r="G14872" s="2"/>
      <c r="H14872" s="2"/>
    </row>
    <row r="14873" spans="1:8" x14ac:dyDescent="0.25">
      <c r="A14873" s="1"/>
      <c r="B14873" s="1" t="s">
        <v>5782</v>
      </c>
      <c r="C14873" s="1" t="s">
        <v>5783</v>
      </c>
      <c r="D14873" s="22" t="str">
        <f>HYPERLINK("https://rhld.insurance.arkansas.gov/NPILookup?Npi=1417027079","1417027079")</f>
        <v>1417027079</v>
      </c>
      <c r="E14873" s="1" t="s">
        <v>22120</v>
      </c>
      <c r="F14873" s="2"/>
      <c r="G14873" s="2"/>
      <c r="H14873" s="2"/>
    </row>
    <row r="14874" spans="1:8" x14ac:dyDescent="0.25">
      <c r="A14874" s="1"/>
      <c r="B14874" s="1" t="s">
        <v>5782</v>
      </c>
      <c r="C14874" s="1" t="s">
        <v>5783</v>
      </c>
      <c r="D14874" s="22" t="str">
        <f>HYPERLINK("https://rhld.insurance.arkansas.gov/NPILookup?Npi=1417042573","1417042573")</f>
        <v>1417042573</v>
      </c>
      <c r="E14874" s="1" t="s">
        <v>22121</v>
      </c>
      <c r="F14874" s="2"/>
      <c r="G14874" s="2"/>
      <c r="H14874" s="2"/>
    </row>
    <row r="14875" spans="1:8" x14ac:dyDescent="0.25">
      <c r="A14875" s="1"/>
      <c r="B14875" s="1" t="s">
        <v>5782</v>
      </c>
      <c r="C14875" s="1" t="s">
        <v>5783</v>
      </c>
      <c r="D14875" s="22" t="str">
        <f>HYPERLINK("https://rhld.insurance.arkansas.gov/NPILookup?Npi=1417076456","1417076456")</f>
        <v>1417076456</v>
      </c>
      <c r="E14875" s="1" t="s">
        <v>22122</v>
      </c>
      <c r="F14875" s="2"/>
      <c r="G14875" s="2"/>
      <c r="H14875" s="2"/>
    </row>
    <row r="14876" spans="1:8" x14ac:dyDescent="0.25">
      <c r="A14876" s="1"/>
      <c r="B14876" s="1" t="s">
        <v>5782</v>
      </c>
      <c r="C14876" s="1" t="s">
        <v>5783</v>
      </c>
      <c r="D14876" s="22" t="str">
        <f>HYPERLINK("https://rhld.insurance.arkansas.gov/NPILookup?Npi=1417077819","1417077819")</f>
        <v>1417077819</v>
      </c>
      <c r="E14876" s="1" t="s">
        <v>119</v>
      </c>
      <c r="F14876" s="2"/>
      <c r="G14876" s="2"/>
      <c r="H14876" s="2"/>
    </row>
    <row r="14877" spans="1:8" x14ac:dyDescent="0.25">
      <c r="A14877" s="1"/>
      <c r="B14877" s="1" t="s">
        <v>5782</v>
      </c>
      <c r="C14877" s="1" t="s">
        <v>5783</v>
      </c>
      <c r="D14877" s="22" t="str">
        <f>HYPERLINK("https://rhld.insurance.arkansas.gov/NPILookup?Npi=1417139049","1417139049")</f>
        <v>1417139049</v>
      </c>
      <c r="E14877" s="1" t="s">
        <v>22123</v>
      </c>
      <c r="F14877" s="2"/>
      <c r="G14877" s="2"/>
      <c r="H14877" s="2"/>
    </row>
    <row r="14878" spans="1:8" x14ac:dyDescent="0.25">
      <c r="A14878" s="1"/>
      <c r="B14878" s="1" t="s">
        <v>5782</v>
      </c>
      <c r="C14878" s="1" t="s">
        <v>5783</v>
      </c>
      <c r="D14878" s="22" t="str">
        <f>HYPERLINK("https://rhld.insurance.arkansas.gov/NPILookup?Npi=1417141656","1417141656")</f>
        <v>1417141656</v>
      </c>
      <c r="E14878" s="1" t="s">
        <v>11769</v>
      </c>
      <c r="F14878" s="2"/>
      <c r="G14878" s="2"/>
      <c r="H14878" s="2"/>
    </row>
    <row r="14879" spans="1:8" x14ac:dyDescent="0.25">
      <c r="A14879" s="1"/>
      <c r="B14879" s="1" t="s">
        <v>5782</v>
      </c>
      <c r="C14879" s="1" t="s">
        <v>5783</v>
      </c>
      <c r="D14879" s="22" t="str">
        <f>HYPERLINK("https://rhld.insurance.arkansas.gov/NPILookup?Npi=1417142456","1417142456")</f>
        <v>1417142456</v>
      </c>
      <c r="E14879" s="1" t="s">
        <v>22124</v>
      </c>
      <c r="F14879" s="2"/>
      <c r="G14879" s="2"/>
      <c r="H14879" s="2"/>
    </row>
    <row r="14880" spans="1:8" x14ac:dyDescent="0.25">
      <c r="A14880" s="1"/>
      <c r="B14880" s="1" t="s">
        <v>5782</v>
      </c>
      <c r="C14880" s="1" t="s">
        <v>5783</v>
      </c>
      <c r="D14880" s="22" t="str">
        <f>HYPERLINK("https://rhld.insurance.arkansas.gov/NPILookup?Npi=1417146986","1417146986")</f>
        <v>1417146986</v>
      </c>
      <c r="E14880" s="1" t="s">
        <v>11770</v>
      </c>
      <c r="F14880" s="2"/>
      <c r="G14880" s="2"/>
      <c r="H14880" s="2"/>
    </row>
    <row r="14881" spans="1:8" x14ac:dyDescent="0.25">
      <c r="A14881" s="1"/>
      <c r="B14881" s="1" t="s">
        <v>5782</v>
      </c>
      <c r="C14881" s="1" t="s">
        <v>5783</v>
      </c>
      <c r="D14881" s="22" t="str">
        <f>HYPERLINK("https://rhld.insurance.arkansas.gov/NPILookup?Npi=1417167842","1417167842")</f>
        <v>1417167842</v>
      </c>
      <c r="E14881" s="1" t="s">
        <v>22125</v>
      </c>
      <c r="F14881" s="2"/>
      <c r="G14881" s="2"/>
      <c r="H14881" s="2"/>
    </row>
    <row r="14882" spans="1:8" x14ac:dyDescent="0.25">
      <c r="A14882" s="1"/>
      <c r="B14882" s="1" t="s">
        <v>5782</v>
      </c>
      <c r="C14882" s="1" t="s">
        <v>5783</v>
      </c>
      <c r="D14882" s="22" t="str">
        <f>HYPERLINK("https://rhld.insurance.arkansas.gov/NPILookup?Npi=1417183641","1417183641")</f>
        <v>1417183641</v>
      </c>
      <c r="E14882" s="1" t="s">
        <v>22126</v>
      </c>
      <c r="F14882" s="2"/>
      <c r="G14882" s="2"/>
      <c r="H14882" s="2"/>
    </row>
    <row r="14883" spans="1:8" x14ac:dyDescent="0.25">
      <c r="A14883" s="1"/>
      <c r="B14883" s="1" t="s">
        <v>5782</v>
      </c>
      <c r="C14883" s="1" t="s">
        <v>5783</v>
      </c>
      <c r="D14883" s="22" t="str">
        <f>HYPERLINK("https://rhld.insurance.arkansas.gov/NPILookup?Npi=1417207085","1417207085")</f>
        <v>1417207085</v>
      </c>
      <c r="E14883" s="1" t="s">
        <v>6262</v>
      </c>
      <c r="F14883" s="2"/>
      <c r="G14883" s="2"/>
      <c r="H14883" s="2"/>
    </row>
    <row r="14884" spans="1:8" x14ac:dyDescent="0.25">
      <c r="A14884" s="1"/>
      <c r="B14884" s="1" t="s">
        <v>5782</v>
      </c>
      <c r="C14884" s="1" t="s">
        <v>5783</v>
      </c>
      <c r="D14884" s="22" t="str">
        <f>HYPERLINK("https://rhld.insurance.arkansas.gov/NPILookup?Npi=1417216631","1417216631")</f>
        <v>1417216631</v>
      </c>
      <c r="E14884" s="1" t="s">
        <v>3276</v>
      </c>
      <c r="F14884" s="2"/>
      <c r="G14884" s="2"/>
      <c r="H14884" s="2"/>
    </row>
    <row r="14885" spans="1:8" x14ac:dyDescent="0.25">
      <c r="A14885" s="1"/>
      <c r="B14885" s="1" t="s">
        <v>5782</v>
      </c>
      <c r="C14885" s="1" t="s">
        <v>5783</v>
      </c>
      <c r="D14885" s="22" t="str">
        <f>HYPERLINK("https://rhld.insurance.arkansas.gov/NPILookup?Npi=1417218579","1417218579")</f>
        <v>1417218579</v>
      </c>
      <c r="E14885" s="1" t="s">
        <v>31875</v>
      </c>
      <c r="F14885" s="2"/>
      <c r="G14885" s="2"/>
      <c r="H14885" s="2"/>
    </row>
    <row r="14886" spans="1:8" x14ac:dyDescent="0.25">
      <c r="A14886" s="1"/>
      <c r="B14886" s="1" t="s">
        <v>5782</v>
      </c>
      <c r="C14886" s="1" t="s">
        <v>5783</v>
      </c>
      <c r="D14886" s="22" t="str">
        <f>HYPERLINK("https://rhld.insurance.arkansas.gov/NPILookup?Npi=1417220526","1417220526")</f>
        <v>1417220526</v>
      </c>
      <c r="E14886" s="1" t="s">
        <v>22127</v>
      </c>
      <c r="F14886" s="2"/>
      <c r="G14886" s="2"/>
      <c r="H14886" s="2"/>
    </row>
    <row r="14887" spans="1:8" x14ac:dyDescent="0.25">
      <c r="A14887" s="1"/>
      <c r="B14887" s="1" t="s">
        <v>5782</v>
      </c>
      <c r="C14887" s="1" t="s">
        <v>5783</v>
      </c>
      <c r="D14887" s="22" t="str">
        <f>HYPERLINK("https://rhld.insurance.arkansas.gov/NPILookup?Npi=1417223686","1417223686")</f>
        <v>1417223686</v>
      </c>
      <c r="E14887" s="1" t="s">
        <v>6263</v>
      </c>
      <c r="F14887" s="2"/>
      <c r="G14887" s="2"/>
      <c r="H14887" s="2"/>
    </row>
    <row r="14888" spans="1:8" x14ac:dyDescent="0.25">
      <c r="A14888" s="1"/>
      <c r="B14888" s="1" t="s">
        <v>5782</v>
      </c>
      <c r="C14888" s="1" t="s">
        <v>5783</v>
      </c>
      <c r="D14888" s="22" t="str">
        <f>HYPERLINK("https://rhld.insurance.arkansas.gov/NPILookup?Npi=1417236316","1417236316")</f>
        <v>1417236316</v>
      </c>
      <c r="E14888" s="1" t="s">
        <v>6264</v>
      </c>
      <c r="F14888" s="2"/>
      <c r="G14888" s="2"/>
      <c r="H14888" s="2"/>
    </row>
    <row r="14889" spans="1:8" x14ac:dyDescent="0.25">
      <c r="A14889" s="1"/>
      <c r="B14889" s="1" t="s">
        <v>5782</v>
      </c>
      <c r="C14889" s="1" t="s">
        <v>5783</v>
      </c>
      <c r="D14889" s="22" t="str">
        <f>HYPERLINK("https://rhld.insurance.arkansas.gov/NPILookup?Npi=1417238981","1417238981")</f>
        <v>1417238981</v>
      </c>
      <c r="E14889" s="1" t="s">
        <v>22128</v>
      </c>
      <c r="F14889" s="2"/>
      <c r="G14889" s="2"/>
      <c r="H14889" s="2"/>
    </row>
    <row r="14890" spans="1:8" x14ac:dyDescent="0.25">
      <c r="A14890" s="1"/>
      <c r="B14890" s="1" t="s">
        <v>5782</v>
      </c>
      <c r="C14890" s="1" t="s">
        <v>5783</v>
      </c>
      <c r="D14890" s="22" t="str">
        <f>HYPERLINK("https://rhld.insurance.arkansas.gov/NPILookup?Npi=1417243361","1417243361")</f>
        <v>1417243361</v>
      </c>
      <c r="E14890" s="1" t="s">
        <v>22129</v>
      </c>
      <c r="F14890" s="2"/>
      <c r="G14890" s="2"/>
      <c r="H14890" s="2"/>
    </row>
    <row r="14891" spans="1:8" x14ac:dyDescent="0.25">
      <c r="A14891" s="1"/>
      <c r="B14891" s="1" t="s">
        <v>5782</v>
      </c>
      <c r="C14891" s="1" t="s">
        <v>5783</v>
      </c>
      <c r="D14891" s="22" t="str">
        <f>HYPERLINK("https://rhld.insurance.arkansas.gov/NPILookup?Npi=1417272923","1417272923")</f>
        <v>1417272923</v>
      </c>
      <c r="E14891" s="1" t="s">
        <v>22130</v>
      </c>
      <c r="F14891" s="2"/>
      <c r="G14891" s="2"/>
      <c r="H14891" s="2"/>
    </row>
    <row r="14892" spans="1:8" x14ac:dyDescent="0.25">
      <c r="A14892" s="1"/>
      <c r="B14892" s="1" t="s">
        <v>5782</v>
      </c>
      <c r="C14892" s="1" t="s">
        <v>5783</v>
      </c>
      <c r="D14892" s="22" t="str">
        <f>HYPERLINK("https://rhld.insurance.arkansas.gov/NPILookup?Npi=1417275884","1417275884")</f>
        <v>1417275884</v>
      </c>
      <c r="E14892" s="1" t="s">
        <v>4909</v>
      </c>
      <c r="F14892" s="2"/>
      <c r="G14892" s="2"/>
      <c r="H14892" s="2"/>
    </row>
    <row r="14893" spans="1:8" x14ac:dyDescent="0.25">
      <c r="A14893" s="1"/>
      <c r="B14893" s="1" t="s">
        <v>5782</v>
      </c>
      <c r="C14893" s="1" t="s">
        <v>5783</v>
      </c>
      <c r="D14893" s="22" t="str">
        <f>HYPERLINK("https://rhld.insurance.arkansas.gov/NPILookup?Npi=1417286691","1417286691")</f>
        <v>1417286691</v>
      </c>
      <c r="E14893" s="1" t="s">
        <v>22131</v>
      </c>
      <c r="F14893" s="2"/>
      <c r="G14893" s="2"/>
      <c r="H14893" s="2"/>
    </row>
    <row r="14894" spans="1:8" x14ac:dyDescent="0.25">
      <c r="A14894" s="1"/>
      <c r="B14894" s="1" t="s">
        <v>5782</v>
      </c>
      <c r="C14894" s="1" t="s">
        <v>5783</v>
      </c>
      <c r="D14894" s="22" t="str">
        <f>HYPERLINK("https://rhld.insurance.arkansas.gov/NPILookup?Npi=1417297235","1417297235")</f>
        <v>1417297235</v>
      </c>
      <c r="E14894" s="1" t="s">
        <v>6265</v>
      </c>
      <c r="F14894" s="2"/>
      <c r="G14894" s="2"/>
      <c r="H14894" s="2"/>
    </row>
    <row r="14895" spans="1:8" x14ac:dyDescent="0.25">
      <c r="A14895" s="1"/>
      <c r="B14895" s="1" t="s">
        <v>5782</v>
      </c>
      <c r="C14895" s="1" t="s">
        <v>5783</v>
      </c>
      <c r="D14895" s="22" t="str">
        <f>HYPERLINK("https://rhld.insurance.arkansas.gov/NPILookup?Npi=1417307018","1417307018")</f>
        <v>1417307018</v>
      </c>
      <c r="E14895" s="1" t="s">
        <v>6266</v>
      </c>
      <c r="F14895" s="2"/>
      <c r="G14895" s="2"/>
      <c r="H14895" s="2"/>
    </row>
    <row r="14896" spans="1:8" x14ac:dyDescent="0.25">
      <c r="A14896" s="1"/>
      <c r="B14896" s="1" t="s">
        <v>5782</v>
      </c>
      <c r="C14896" s="1" t="s">
        <v>5783</v>
      </c>
      <c r="D14896" s="22" t="str">
        <f>HYPERLINK("https://rhld.insurance.arkansas.gov/NPILookup?Npi=1417313370","1417313370")</f>
        <v>1417313370</v>
      </c>
      <c r="E14896" s="1" t="s">
        <v>11771</v>
      </c>
      <c r="F14896" s="2"/>
      <c r="G14896" s="2"/>
      <c r="H14896" s="2"/>
    </row>
    <row r="14897" spans="1:8" x14ac:dyDescent="0.25">
      <c r="A14897" s="1"/>
      <c r="B14897" s="1" t="s">
        <v>5782</v>
      </c>
      <c r="C14897" s="1" t="s">
        <v>5783</v>
      </c>
      <c r="D14897" s="22" t="str">
        <f>HYPERLINK("https://rhld.insurance.arkansas.gov/NPILookup?Npi=1417321555","1417321555")</f>
        <v>1417321555</v>
      </c>
      <c r="E14897" s="1" t="s">
        <v>6267</v>
      </c>
      <c r="F14897" s="2"/>
      <c r="G14897" s="2"/>
      <c r="H14897" s="2"/>
    </row>
    <row r="14898" spans="1:8" x14ac:dyDescent="0.25">
      <c r="A14898" s="1"/>
      <c r="B14898" s="1" t="s">
        <v>5782</v>
      </c>
      <c r="C14898" s="1" t="s">
        <v>5783</v>
      </c>
      <c r="D14898" s="22" t="str">
        <f>HYPERLINK("https://rhld.insurance.arkansas.gov/NPILookup?Npi=1417333170","1417333170")</f>
        <v>1417333170</v>
      </c>
      <c r="E14898" s="1" t="s">
        <v>22132</v>
      </c>
      <c r="F14898" s="2"/>
      <c r="G14898" s="2"/>
      <c r="H14898" s="2"/>
    </row>
    <row r="14899" spans="1:8" x14ac:dyDescent="0.25">
      <c r="A14899" s="1"/>
      <c r="B14899" s="1" t="s">
        <v>5782</v>
      </c>
      <c r="C14899" s="1" t="s">
        <v>5783</v>
      </c>
      <c r="D14899" s="22" t="str">
        <f>HYPERLINK("https://rhld.insurance.arkansas.gov/NPILookup?Npi=1417338435","1417338435")</f>
        <v>1417338435</v>
      </c>
      <c r="E14899" s="1" t="s">
        <v>6268</v>
      </c>
      <c r="F14899" s="2"/>
      <c r="G14899" s="2"/>
      <c r="H14899" s="2"/>
    </row>
    <row r="14900" spans="1:8" x14ac:dyDescent="0.25">
      <c r="A14900" s="1"/>
      <c r="B14900" s="1" t="s">
        <v>5782</v>
      </c>
      <c r="C14900" s="1" t="s">
        <v>5783</v>
      </c>
      <c r="D14900" s="22" t="str">
        <f>HYPERLINK("https://rhld.insurance.arkansas.gov/NPILookup?Npi=1417350968","1417350968")</f>
        <v>1417350968</v>
      </c>
      <c r="E14900" s="1" t="s">
        <v>22133</v>
      </c>
      <c r="F14900" s="2"/>
      <c r="G14900" s="2"/>
      <c r="H14900" s="2"/>
    </row>
    <row r="14901" spans="1:8" x14ac:dyDescent="0.25">
      <c r="A14901" s="1"/>
      <c r="B14901" s="1" t="s">
        <v>5782</v>
      </c>
      <c r="C14901" s="1" t="s">
        <v>5783</v>
      </c>
      <c r="D14901" s="22" t="str">
        <f>HYPERLINK("https://rhld.insurance.arkansas.gov/NPILookup?Npi=1417356734","1417356734")</f>
        <v>1417356734</v>
      </c>
      <c r="E14901" s="1" t="s">
        <v>22134</v>
      </c>
      <c r="F14901" s="2"/>
      <c r="G14901" s="2"/>
      <c r="H14901" s="2"/>
    </row>
    <row r="14902" spans="1:8" x14ac:dyDescent="0.25">
      <c r="A14902" s="1"/>
      <c r="B14902" s="1" t="s">
        <v>5782</v>
      </c>
      <c r="C14902" s="1" t="s">
        <v>5783</v>
      </c>
      <c r="D14902" s="22" t="str">
        <f>HYPERLINK("https://rhld.insurance.arkansas.gov/NPILookup?Npi=1417361536","1417361536")</f>
        <v>1417361536</v>
      </c>
      <c r="E14902" s="1" t="s">
        <v>22135</v>
      </c>
      <c r="F14902" s="2"/>
      <c r="G14902" s="2"/>
      <c r="H14902" s="2"/>
    </row>
    <row r="14903" spans="1:8" x14ac:dyDescent="0.25">
      <c r="A14903" s="1"/>
      <c r="B14903" s="1" t="s">
        <v>5782</v>
      </c>
      <c r="C14903" s="1" t="s">
        <v>5783</v>
      </c>
      <c r="D14903" s="22" t="str">
        <f>HYPERLINK("https://rhld.insurance.arkansas.gov/NPILookup?Npi=1417364514","1417364514")</f>
        <v>1417364514</v>
      </c>
      <c r="E14903" s="1" t="s">
        <v>1896</v>
      </c>
      <c r="F14903" s="2"/>
      <c r="G14903" s="2"/>
      <c r="H14903" s="2"/>
    </row>
    <row r="14904" spans="1:8" x14ac:dyDescent="0.25">
      <c r="A14904" s="1"/>
      <c r="B14904" s="1" t="s">
        <v>5782</v>
      </c>
      <c r="C14904" s="1" t="s">
        <v>5783</v>
      </c>
      <c r="D14904" s="22" t="str">
        <f>HYPERLINK("https://rhld.insurance.arkansas.gov/NPILookup?Npi=1417373283","1417373283")</f>
        <v>1417373283</v>
      </c>
      <c r="E14904" s="1" t="s">
        <v>6357</v>
      </c>
      <c r="F14904" s="2"/>
      <c r="G14904" s="2"/>
      <c r="H14904" s="2"/>
    </row>
    <row r="14905" spans="1:8" x14ac:dyDescent="0.25">
      <c r="A14905" s="1"/>
      <c r="B14905" s="1" t="s">
        <v>5782</v>
      </c>
      <c r="C14905" s="1" t="s">
        <v>5783</v>
      </c>
      <c r="D14905" s="22" t="str">
        <f>HYPERLINK("https://rhld.insurance.arkansas.gov/NPILookup?Npi=1417378043","1417378043")</f>
        <v>1417378043</v>
      </c>
      <c r="E14905" s="1" t="s">
        <v>11772</v>
      </c>
      <c r="F14905" s="2"/>
      <c r="G14905" s="2"/>
      <c r="H14905" s="2"/>
    </row>
    <row r="14906" spans="1:8" x14ac:dyDescent="0.25">
      <c r="A14906" s="1"/>
      <c r="B14906" s="1" t="s">
        <v>5782</v>
      </c>
      <c r="C14906" s="1" t="s">
        <v>5783</v>
      </c>
      <c r="D14906" s="22" t="str">
        <f>HYPERLINK("https://rhld.insurance.arkansas.gov/NPILookup?Npi=1417379751","1417379751")</f>
        <v>1417379751</v>
      </c>
      <c r="E14906" s="1" t="s">
        <v>22136</v>
      </c>
      <c r="F14906" s="2"/>
      <c r="G14906" s="2"/>
      <c r="H14906" s="2"/>
    </row>
    <row r="14907" spans="1:8" x14ac:dyDescent="0.25">
      <c r="A14907" s="1"/>
      <c r="B14907" s="1" t="s">
        <v>5782</v>
      </c>
      <c r="C14907" s="1" t="s">
        <v>5783</v>
      </c>
      <c r="D14907" s="22" t="str">
        <f>HYPERLINK("https://rhld.insurance.arkansas.gov/NPILookup?Npi=1417386731","1417386731")</f>
        <v>1417386731</v>
      </c>
      <c r="E14907" s="1" t="s">
        <v>22137</v>
      </c>
      <c r="F14907" s="2"/>
      <c r="G14907" s="2"/>
      <c r="H14907" s="2"/>
    </row>
    <row r="14908" spans="1:8" x14ac:dyDescent="0.25">
      <c r="A14908" s="1"/>
      <c r="B14908" s="1" t="s">
        <v>5782</v>
      </c>
      <c r="C14908" s="1" t="s">
        <v>5783</v>
      </c>
      <c r="D14908" s="22" t="str">
        <f>HYPERLINK("https://rhld.insurance.arkansas.gov/NPILookup?Npi=1417402892","1417402892")</f>
        <v>1417402892</v>
      </c>
      <c r="E14908" s="1" t="s">
        <v>22138</v>
      </c>
      <c r="F14908" s="2"/>
      <c r="G14908" s="2"/>
      <c r="H14908" s="2"/>
    </row>
    <row r="14909" spans="1:8" x14ac:dyDescent="0.25">
      <c r="A14909" s="1"/>
      <c r="B14909" s="1" t="s">
        <v>5782</v>
      </c>
      <c r="C14909" s="1" t="s">
        <v>5783</v>
      </c>
      <c r="D14909" s="22" t="str">
        <f>HYPERLINK("https://rhld.insurance.arkansas.gov/NPILookup?Npi=1417405986","1417405986")</f>
        <v>1417405986</v>
      </c>
      <c r="E14909" s="1" t="s">
        <v>11773</v>
      </c>
      <c r="F14909" s="2"/>
      <c r="G14909" s="2"/>
      <c r="H14909" s="2"/>
    </row>
    <row r="14910" spans="1:8" x14ac:dyDescent="0.25">
      <c r="A14910" s="1"/>
      <c r="B14910" s="1" t="s">
        <v>5782</v>
      </c>
      <c r="C14910" s="1" t="s">
        <v>5783</v>
      </c>
      <c r="D14910" s="22" t="str">
        <f>HYPERLINK("https://rhld.insurance.arkansas.gov/NPILookup?Npi=1417406588","1417406588")</f>
        <v>1417406588</v>
      </c>
      <c r="E14910" s="1" t="s">
        <v>22139</v>
      </c>
      <c r="F14910" s="2"/>
      <c r="G14910" s="2"/>
      <c r="H14910" s="2"/>
    </row>
    <row r="14911" spans="1:8" x14ac:dyDescent="0.25">
      <c r="A14911" s="1"/>
      <c r="B14911" s="1" t="s">
        <v>5782</v>
      </c>
      <c r="C14911" s="1" t="s">
        <v>5783</v>
      </c>
      <c r="D14911" s="22" t="str">
        <f>HYPERLINK("https://rhld.insurance.arkansas.gov/NPILookup?Npi=1417413832","1417413832")</f>
        <v>1417413832</v>
      </c>
      <c r="E14911" s="1" t="s">
        <v>1666</v>
      </c>
      <c r="F14911" s="2"/>
      <c r="G14911" s="2"/>
      <c r="H14911" s="2"/>
    </row>
    <row r="14912" spans="1:8" x14ac:dyDescent="0.25">
      <c r="A14912" s="1"/>
      <c r="B14912" s="1" t="s">
        <v>5782</v>
      </c>
      <c r="C14912" s="1" t="s">
        <v>5783</v>
      </c>
      <c r="D14912" s="22" t="str">
        <f>HYPERLINK("https://rhld.insurance.arkansas.gov/NPILookup?Npi=1417422106","1417422106")</f>
        <v>1417422106</v>
      </c>
      <c r="E14912" s="1" t="s">
        <v>13989</v>
      </c>
      <c r="F14912" s="2"/>
      <c r="G14912" s="2"/>
      <c r="H14912" s="2"/>
    </row>
    <row r="14913" spans="1:8" x14ac:dyDescent="0.25">
      <c r="A14913" s="1"/>
      <c r="B14913" s="1" t="s">
        <v>5782</v>
      </c>
      <c r="C14913" s="1" t="s">
        <v>5783</v>
      </c>
      <c r="D14913" s="22" t="str">
        <f>HYPERLINK("https://rhld.insurance.arkansas.gov/NPILookup?Npi=1417430323","1417430323")</f>
        <v>1417430323</v>
      </c>
      <c r="E14913" s="1" t="s">
        <v>22071</v>
      </c>
      <c r="F14913" s="2"/>
      <c r="G14913" s="2"/>
      <c r="H14913" s="2"/>
    </row>
    <row r="14914" spans="1:8" x14ac:dyDescent="0.25">
      <c r="A14914" s="1"/>
      <c r="B14914" s="1" t="s">
        <v>5782</v>
      </c>
      <c r="C14914" s="1" t="s">
        <v>5783</v>
      </c>
      <c r="D14914" s="22" t="str">
        <f>HYPERLINK("https://rhld.insurance.arkansas.gov/NPILookup?Npi=1417435637","1417435637")</f>
        <v>1417435637</v>
      </c>
      <c r="E14914" s="1" t="s">
        <v>11774</v>
      </c>
      <c r="F14914" s="2"/>
      <c r="G14914" s="2"/>
      <c r="H14914" s="2"/>
    </row>
    <row r="14915" spans="1:8" x14ac:dyDescent="0.25">
      <c r="A14915" s="1"/>
      <c r="B14915" s="1" t="s">
        <v>5782</v>
      </c>
      <c r="C14915" s="1" t="s">
        <v>5783</v>
      </c>
      <c r="D14915" s="22" t="str">
        <f>HYPERLINK("https://rhld.insurance.arkansas.gov/NPILookup?Npi=1417468661","1417468661")</f>
        <v>1417468661</v>
      </c>
      <c r="E14915" s="1" t="s">
        <v>22140</v>
      </c>
      <c r="F14915" s="2"/>
      <c r="G14915" s="2"/>
      <c r="H14915" s="2"/>
    </row>
    <row r="14916" spans="1:8" x14ac:dyDescent="0.25">
      <c r="A14916" s="1"/>
      <c r="B14916" s="1" t="s">
        <v>5782</v>
      </c>
      <c r="C14916" s="1" t="s">
        <v>5783</v>
      </c>
      <c r="D14916" s="22" t="str">
        <f>HYPERLINK("https://rhld.insurance.arkansas.gov/NPILookup?Npi=1417469628","1417469628")</f>
        <v>1417469628</v>
      </c>
      <c r="E14916" s="1" t="s">
        <v>22141</v>
      </c>
      <c r="F14916" s="2"/>
      <c r="G14916" s="2"/>
      <c r="H14916" s="2"/>
    </row>
    <row r="14917" spans="1:8" x14ac:dyDescent="0.25">
      <c r="A14917" s="1"/>
      <c r="B14917" s="1" t="s">
        <v>5782</v>
      </c>
      <c r="C14917" s="1" t="s">
        <v>5783</v>
      </c>
      <c r="D14917" s="22" t="str">
        <f>HYPERLINK("https://rhld.insurance.arkansas.gov/NPILookup?Npi=1417486267","1417486267")</f>
        <v>1417486267</v>
      </c>
      <c r="E14917" s="1" t="s">
        <v>6269</v>
      </c>
      <c r="F14917" s="2"/>
      <c r="G14917" s="2"/>
      <c r="H14917" s="2"/>
    </row>
    <row r="14918" spans="1:8" x14ac:dyDescent="0.25">
      <c r="A14918" s="1"/>
      <c r="B14918" s="1" t="s">
        <v>5782</v>
      </c>
      <c r="C14918" s="1" t="s">
        <v>5783</v>
      </c>
      <c r="D14918" s="22" t="str">
        <f>HYPERLINK("https://rhld.insurance.arkansas.gov/NPILookup?Npi=1417489600","1417489600")</f>
        <v>1417489600</v>
      </c>
      <c r="E14918" s="1" t="s">
        <v>22142</v>
      </c>
      <c r="F14918" s="2"/>
      <c r="G14918" s="2"/>
      <c r="H14918" s="2"/>
    </row>
    <row r="14919" spans="1:8" x14ac:dyDescent="0.25">
      <c r="A14919" s="1"/>
      <c r="B14919" s="1" t="s">
        <v>5782</v>
      </c>
      <c r="C14919" s="1" t="s">
        <v>5783</v>
      </c>
      <c r="D14919" s="22" t="str">
        <f>HYPERLINK("https://rhld.insurance.arkansas.gov/NPILookup?Npi=1417491549","1417491549")</f>
        <v>1417491549</v>
      </c>
      <c r="E14919" s="1" t="s">
        <v>6270</v>
      </c>
      <c r="F14919" s="2"/>
      <c r="G14919" s="2"/>
      <c r="H14919" s="2"/>
    </row>
    <row r="14920" spans="1:8" x14ac:dyDescent="0.25">
      <c r="A14920" s="1"/>
      <c r="B14920" s="1" t="s">
        <v>5782</v>
      </c>
      <c r="C14920" s="1" t="s">
        <v>5783</v>
      </c>
      <c r="D14920" s="22" t="str">
        <f>HYPERLINK("https://rhld.insurance.arkansas.gov/NPILookup?Npi=1417495193","1417495193")</f>
        <v>1417495193</v>
      </c>
      <c r="E14920" s="1" t="s">
        <v>935</v>
      </c>
      <c r="F14920" s="2"/>
      <c r="G14920" s="2"/>
      <c r="H14920" s="2"/>
    </row>
    <row r="14921" spans="1:8" x14ac:dyDescent="0.25">
      <c r="A14921" s="1"/>
      <c r="B14921" s="1" t="s">
        <v>5782</v>
      </c>
      <c r="C14921" s="1" t="s">
        <v>5783</v>
      </c>
      <c r="D14921" s="22" t="str">
        <f>HYPERLINK("https://rhld.insurance.arkansas.gov/NPILookup?Npi=1417496605","1417496605")</f>
        <v>1417496605</v>
      </c>
      <c r="E14921" s="1" t="s">
        <v>22143</v>
      </c>
      <c r="F14921" s="2"/>
      <c r="G14921" s="2"/>
      <c r="H14921" s="2"/>
    </row>
    <row r="14922" spans="1:8" x14ac:dyDescent="0.25">
      <c r="A14922" s="1"/>
      <c r="B14922" s="1" t="s">
        <v>5782</v>
      </c>
      <c r="C14922" s="1" t="s">
        <v>5783</v>
      </c>
      <c r="D14922" s="22" t="str">
        <f>HYPERLINK("https://rhld.insurance.arkansas.gov/NPILookup?Npi=1417506197","1417506197")</f>
        <v>1417506197</v>
      </c>
      <c r="E14922" s="1" t="s">
        <v>22144</v>
      </c>
      <c r="F14922" s="2"/>
      <c r="G14922" s="2"/>
      <c r="H14922" s="2"/>
    </row>
    <row r="14923" spans="1:8" x14ac:dyDescent="0.25">
      <c r="A14923" s="1"/>
      <c r="B14923" s="1" t="s">
        <v>5782</v>
      </c>
      <c r="C14923" s="1" t="s">
        <v>5783</v>
      </c>
      <c r="D14923" s="22" t="str">
        <f>HYPERLINK("https://rhld.insurance.arkansas.gov/NPILookup?Npi=1417535246","1417535246")</f>
        <v>1417535246</v>
      </c>
      <c r="E14923" s="1" t="s">
        <v>22145</v>
      </c>
      <c r="F14923" s="2"/>
      <c r="G14923" s="2"/>
      <c r="H14923" s="2"/>
    </row>
    <row r="14924" spans="1:8" x14ac:dyDescent="0.25">
      <c r="A14924" s="1"/>
      <c r="B14924" s="1" t="s">
        <v>5782</v>
      </c>
      <c r="C14924" s="1" t="s">
        <v>5783</v>
      </c>
      <c r="D14924" s="22" t="str">
        <f>HYPERLINK("https://rhld.insurance.arkansas.gov/NPILookup?Npi=1417547589","1417547589")</f>
        <v>1417547589</v>
      </c>
      <c r="E14924" s="1" t="s">
        <v>31876</v>
      </c>
      <c r="F14924" s="2"/>
      <c r="G14924" s="2"/>
      <c r="H14924" s="2"/>
    </row>
    <row r="14925" spans="1:8" x14ac:dyDescent="0.25">
      <c r="A14925" s="1"/>
      <c r="B14925" s="1" t="s">
        <v>5782</v>
      </c>
      <c r="C14925" s="1" t="s">
        <v>5783</v>
      </c>
      <c r="D14925" s="22" t="str">
        <f>HYPERLINK("https://rhld.insurance.arkansas.gov/NPILookup?Npi=1417554361","1417554361")</f>
        <v>1417554361</v>
      </c>
      <c r="E14925" s="1" t="s">
        <v>6271</v>
      </c>
      <c r="F14925" s="2"/>
      <c r="G14925" s="2"/>
      <c r="H14925" s="2"/>
    </row>
    <row r="14926" spans="1:8" x14ac:dyDescent="0.25">
      <c r="A14926" s="1"/>
      <c r="B14926" s="1" t="s">
        <v>5782</v>
      </c>
      <c r="C14926" s="1" t="s">
        <v>5783</v>
      </c>
      <c r="D14926" s="22" t="str">
        <f>HYPERLINK("https://rhld.insurance.arkansas.gov/NPILookup?Npi=1417568718","1417568718")</f>
        <v>1417568718</v>
      </c>
      <c r="E14926" s="1" t="s">
        <v>22146</v>
      </c>
      <c r="F14926" s="2"/>
      <c r="G14926" s="2"/>
      <c r="H14926" s="2"/>
    </row>
    <row r="14927" spans="1:8" x14ac:dyDescent="0.25">
      <c r="A14927" s="1"/>
      <c r="B14927" s="1" t="s">
        <v>5782</v>
      </c>
      <c r="C14927" s="1" t="s">
        <v>5783</v>
      </c>
      <c r="D14927" s="22" t="str">
        <f>HYPERLINK("https://rhld.insurance.arkansas.gov/NPILookup?Npi=1417579202","1417579202")</f>
        <v>1417579202</v>
      </c>
      <c r="E14927" s="1" t="s">
        <v>6273</v>
      </c>
      <c r="F14927" s="2"/>
      <c r="G14927" s="2"/>
      <c r="H14927" s="2"/>
    </row>
    <row r="14928" spans="1:8" x14ac:dyDescent="0.25">
      <c r="A14928" s="1"/>
      <c r="B14928" s="1" t="s">
        <v>5782</v>
      </c>
      <c r="C14928" s="1" t="s">
        <v>5783</v>
      </c>
      <c r="D14928" s="22" t="str">
        <f>HYPERLINK("https://rhld.insurance.arkansas.gov/NPILookup?Npi=1417582321","1417582321")</f>
        <v>1417582321</v>
      </c>
      <c r="E14928" s="1" t="s">
        <v>11775</v>
      </c>
      <c r="F14928" s="2"/>
      <c r="G14928" s="2"/>
      <c r="H14928" s="2"/>
    </row>
    <row r="14929" spans="1:8" x14ac:dyDescent="0.25">
      <c r="A14929" s="1"/>
      <c r="B14929" s="1" t="s">
        <v>5782</v>
      </c>
      <c r="C14929" s="1" t="s">
        <v>5783</v>
      </c>
      <c r="D14929" s="22" t="str">
        <f>HYPERLINK("https://rhld.insurance.arkansas.gov/NPILookup?Npi=1417596974","1417596974")</f>
        <v>1417596974</v>
      </c>
      <c r="E14929" s="1" t="s">
        <v>2482</v>
      </c>
      <c r="F14929" s="2"/>
      <c r="G14929" s="2"/>
      <c r="H14929" s="2"/>
    </row>
    <row r="14930" spans="1:8" x14ac:dyDescent="0.25">
      <c r="A14930" s="1"/>
      <c r="B14930" s="1" t="s">
        <v>5782</v>
      </c>
      <c r="C14930" s="1" t="s">
        <v>5783</v>
      </c>
      <c r="D14930" s="22" t="str">
        <f>HYPERLINK("https://rhld.insurance.arkansas.gov/NPILookup?Npi=1417609827","1417609827")</f>
        <v>1417609827</v>
      </c>
      <c r="E14930" s="1" t="s">
        <v>22147</v>
      </c>
      <c r="F14930" s="2"/>
      <c r="G14930" s="2"/>
      <c r="H14930" s="2"/>
    </row>
    <row r="14931" spans="1:8" x14ac:dyDescent="0.25">
      <c r="A14931" s="1"/>
      <c r="B14931" s="1" t="s">
        <v>5782</v>
      </c>
      <c r="C14931" s="1" t="s">
        <v>5783</v>
      </c>
      <c r="D14931" s="22" t="str">
        <f>HYPERLINK("https://rhld.insurance.arkansas.gov/NPILookup?Npi=1417615956","1417615956")</f>
        <v>1417615956</v>
      </c>
      <c r="E14931" s="1" t="s">
        <v>6274</v>
      </c>
      <c r="F14931" s="2"/>
      <c r="G14931" s="2"/>
      <c r="H14931" s="2"/>
    </row>
    <row r="14932" spans="1:8" x14ac:dyDescent="0.25">
      <c r="A14932" s="1"/>
      <c r="B14932" s="1" t="s">
        <v>5782</v>
      </c>
      <c r="C14932" s="1" t="s">
        <v>5783</v>
      </c>
      <c r="D14932" s="22" t="str">
        <f>HYPERLINK("https://rhld.insurance.arkansas.gov/NPILookup?Npi=1417616830","1417616830")</f>
        <v>1417616830</v>
      </c>
      <c r="E14932" s="1" t="s">
        <v>22148</v>
      </c>
      <c r="F14932" s="2"/>
      <c r="G14932" s="2"/>
      <c r="H14932" s="2"/>
    </row>
    <row r="14933" spans="1:8" x14ac:dyDescent="0.25">
      <c r="A14933" s="1"/>
      <c r="B14933" s="1" t="s">
        <v>5782</v>
      </c>
      <c r="C14933" s="1" t="s">
        <v>5783</v>
      </c>
      <c r="D14933" s="22" t="str">
        <f>HYPERLINK("https://rhld.insurance.arkansas.gov/NPILookup?Npi=1417618349","1417618349")</f>
        <v>1417618349</v>
      </c>
      <c r="E14933" s="1" t="s">
        <v>22149</v>
      </c>
      <c r="F14933" s="2"/>
      <c r="G14933" s="2"/>
      <c r="H14933" s="2"/>
    </row>
    <row r="14934" spans="1:8" x14ac:dyDescent="0.25">
      <c r="A14934" s="1"/>
      <c r="B14934" s="1" t="s">
        <v>5782</v>
      </c>
      <c r="C14934" s="1" t="s">
        <v>5783</v>
      </c>
      <c r="D14934" s="22" t="str">
        <f>HYPERLINK("https://rhld.insurance.arkansas.gov/NPILookup?Npi=1417623679","1417623679")</f>
        <v>1417623679</v>
      </c>
      <c r="E14934" s="1" t="s">
        <v>6275</v>
      </c>
      <c r="F14934" s="2"/>
      <c r="G14934" s="2"/>
      <c r="H14934" s="2"/>
    </row>
    <row r="14935" spans="1:8" x14ac:dyDescent="0.25">
      <c r="A14935" s="1"/>
      <c r="B14935" s="1" t="s">
        <v>5782</v>
      </c>
      <c r="C14935" s="1" t="s">
        <v>5783</v>
      </c>
      <c r="D14935" s="22" t="str">
        <f>HYPERLINK("https://rhld.insurance.arkansas.gov/NPILookup?Npi=1417626292","1417626292")</f>
        <v>1417626292</v>
      </c>
      <c r="E14935" s="1" t="s">
        <v>22150</v>
      </c>
      <c r="F14935" s="2"/>
      <c r="G14935" s="2"/>
      <c r="H14935" s="2"/>
    </row>
    <row r="14936" spans="1:8" x14ac:dyDescent="0.25">
      <c r="A14936" s="1"/>
      <c r="B14936" s="1" t="s">
        <v>5782</v>
      </c>
      <c r="C14936" s="1" t="s">
        <v>5783</v>
      </c>
      <c r="D14936" s="22" t="str">
        <f>HYPERLINK("https://rhld.insurance.arkansas.gov/NPILookup?Npi=1417698457","1417698457")</f>
        <v>1417698457</v>
      </c>
      <c r="E14936" s="1" t="s">
        <v>22151</v>
      </c>
      <c r="F14936" s="2"/>
      <c r="G14936" s="2"/>
      <c r="H14936" s="2"/>
    </row>
    <row r="14937" spans="1:8" x14ac:dyDescent="0.25">
      <c r="A14937" s="1"/>
      <c r="B14937" s="1" t="s">
        <v>5782</v>
      </c>
      <c r="C14937" s="1" t="s">
        <v>5783</v>
      </c>
      <c r="D14937" s="22" t="str">
        <f>HYPERLINK("https://rhld.insurance.arkansas.gov/NPILookup?Npi=1417720426","1417720426")</f>
        <v>1417720426</v>
      </c>
      <c r="E14937" s="1" t="s">
        <v>22152</v>
      </c>
      <c r="F14937" s="2"/>
      <c r="G14937" s="2"/>
      <c r="H14937" s="2"/>
    </row>
    <row r="14938" spans="1:8" x14ac:dyDescent="0.25">
      <c r="A14938" s="1"/>
      <c r="B14938" s="1" t="s">
        <v>5782</v>
      </c>
      <c r="C14938" s="1" t="s">
        <v>5783</v>
      </c>
      <c r="D14938" s="22" t="str">
        <f>HYPERLINK("https://rhld.insurance.arkansas.gov/NPILookup?Npi=1417776311","1417776311")</f>
        <v>1417776311</v>
      </c>
      <c r="E14938" s="1" t="s">
        <v>31877</v>
      </c>
      <c r="F14938" s="2"/>
      <c r="G14938" s="2"/>
      <c r="H14938" s="2"/>
    </row>
    <row r="14939" spans="1:8" x14ac:dyDescent="0.25">
      <c r="A14939" s="1"/>
      <c r="B14939" s="1" t="s">
        <v>5782</v>
      </c>
      <c r="C14939" s="1" t="s">
        <v>5783</v>
      </c>
      <c r="D14939" s="22" t="str">
        <f>HYPERLINK("https://rhld.insurance.arkansas.gov/NPILookup?Npi=1427015437","1427015437")</f>
        <v>1427015437</v>
      </c>
      <c r="E14939" s="1" t="s">
        <v>3277</v>
      </c>
      <c r="F14939" s="2"/>
      <c r="G14939" s="2"/>
      <c r="H14939" s="2"/>
    </row>
    <row r="14940" spans="1:8" x14ac:dyDescent="0.25">
      <c r="A14940" s="1"/>
      <c r="B14940" s="1" t="s">
        <v>5782</v>
      </c>
      <c r="C14940" s="1" t="s">
        <v>5783</v>
      </c>
      <c r="D14940" s="22" t="str">
        <f>HYPERLINK("https://rhld.insurance.arkansas.gov/NPILookup?Npi=1427019371","1427019371")</f>
        <v>1427019371</v>
      </c>
      <c r="E14940" s="1" t="s">
        <v>18391</v>
      </c>
      <c r="F14940" s="2"/>
      <c r="G14940" s="2"/>
      <c r="H14940" s="2"/>
    </row>
    <row r="14941" spans="1:8" x14ac:dyDescent="0.25">
      <c r="A14941" s="1"/>
      <c r="B14941" s="1" t="s">
        <v>5782</v>
      </c>
      <c r="C14941" s="1" t="s">
        <v>5783</v>
      </c>
      <c r="D14941" s="22" t="str">
        <f>HYPERLINK("https://rhld.insurance.arkansas.gov/NPILookup?Npi=1427026541","1427026541")</f>
        <v>1427026541</v>
      </c>
      <c r="E14941" s="1" t="s">
        <v>3278</v>
      </c>
      <c r="F14941" s="2"/>
      <c r="G14941" s="2"/>
      <c r="H14941" s="2"/>
    </row>
    <row r="14942" spans="1:8" x14ac:dyDescent="0.25">
      <c r="A14942" s="1"/>
      <c r="B14942" s="1" t="s">
        <v>5782</v>
      </c>
      <c r="C14942" s="1" t="s">
        <v>5783</v>
      </c>
      <c r="D14942" s="22" t="str">
        <f>HYPERLINK("https://rhld.insurance.arkansas.gov/NPILookup?Npi=1427029685","1427029685")</f>
        <v>1427029685</v>
      </c>
      <c r="E14942" s="1" t="s">
        <v>6276</v>
      </c>
      <c r="F14942" s="2"/>
      <c r="G14942" s="2"/>
      <c r="H14942" s="2"/>
    </row>
    <row r="14943" spans="1:8" x14ac:dyDescent="0.25">
      <c r="A14943" s="1"/>
      <c r="B14943" s="1" t="s">
        <v>5782</v>
      </c>
      <c r="C14943" s="1" t="s">
        <v>5783</v>
      </c>
      <c r="D14943" s="22" t="str">
        <f>HYPERLINK("https://rhld.insurance.arkansas.gov/NPILookup?Npi=1427038728","1427038728")</f>
        <v>1427038728</v>
      </c>
      <c r="E14943" s="1" t="s">
        <v>11776</v>
      </c>
      <c r="F14943" s="2"/>
      <c r="G14943" s="2"/>
      <c r="H14943" s="2"/>
    </row>
    <row r="14944" spans="1:8" x14ac:dyDescent="0.25">
      <c r="A14944" s="1"/>
      <c r="B14944" s="1" t="s">
        <v>5782</v>
      </c>
      <c r="C14944" s="1" t="s">
        <v>5783</v>
      </c>
      <c r="D14944" s="22" t="str">
        <f>HYPERLINK("https://rhld.insurance.arkansas.gov/NPILookup?Npi=1427048677","1427048677")</f>
        <v>1427048677</v>
      </c>
      <c r="E14944" s="1" t="s">
        <v>936</v>
      </c>
      <c r="F14944" s="2"/>
      <c r="G14944" s="2"/>
      <c r="H14944" s="2"/>
    </row>
    <row r="14945" spans="1:8" x14ac:dyDescent="0.25">
      <c r="A14945" s="1"/>
      <c r="B14945" s="1" t="s">
        <v>5782</v>
      </c>
      <c r="C14945" s="1" t="s">
        <v>5783</v>
      </c>
      <c r="D14945" s="22" t="str">
        <f>HYPERLINK("https://rhld.insurance.arkansas.gov/NPILookup?Npi=1427081454","1427081454")</f>
        <v>1427081454</v>
      </c>
      <c r="E14945" s="1" t="s">
        <v>22153</v>
      </c>
      <c r="F14945" s="2"/>
      <c r="G14945" s="2"/>
      <c r="H14945" s="2"/>
    </row>
    <row r="14946" spans="1:8" x14ac:dyDescent="0.25">
      <c r="A14946" s="1"/>
      <c r="B14946" s="1" t="s">
        <v>5782</v>
      </c>
      <c r="C14946" s="1" t="s">
        <v>5783</v>
      </c>
      <c r="D14946" s="22" t="str">
        <f>HYPERLINK("https://rhld.insurance.arkansas.gov/NPILookup?Npi=1427102649","1427102649")</f>
        <v>1427102649</v>
      </c>
      <c r="E14946" s="1" t="s">
        <v>22154</v>
      </c>
      <c r="F14946" s="2"/>
      <c r="G14946" s="2"/>
      <c r="H14946" s="2"/>
    </row>
    <row r="14947" spans="1:8" x14ac:dyDescent="0.25">
      <c r="A14947" s="1"/>
      <c r="B14947" s="1" t="s">
        <v>5782</v>
      </c>
      <c r="C14947" s="1" t="s">
        <v>5783</v>
      </c>
      <c r="D14947" s="22" t="str">
        <f>HYPERLINK("https://rhld.insurance.arkansas.gov/NPILookup?Npi=1427111434","1427111434")</f>
        <v>1427111434</v>
      </c>
      <c r="E14947" s="1" t="s">
        <v>22155</v>
      </c>
      <c r="F14947" s="2"/>
      <c r="G14947" s="2"/>
      <c r="H14947" s="2"/>
    </row>
    <row r="14948" spans="1:8" x14ac:dyDescent="0.25">
      <c r="A14948" s="1"/>
      <c r="B14948" s="1" t="s">
        <v>5782</v>
      </c>
      <c r="C14948" s="1" t="s">
        <v>5783</v>
      </c>
      <c r="D14948" s="22" t="str">
        <f>HYPERLINK("https://rhld.insurance.arkansas.gov/NPILookup?Npi=1427141985","1427141985")</f>
        <v>1427141985</v>
      </c>
      <c r="E14948" s="1" t="s">
        <v>22156</v>
      </c>
      <c r="F14948" s="2"/>
      <c r="G14948" s="2"/>
      <c r="H14948" s="2"/>
    </row>
    <row r="14949" spans="1:8" x14ac:dyDescent="0.25">
      <c r="A14949" s="1"/>
      <c r="B14949" s="1" t="s">
        <v>5782</v>
      </c>
      <c r="C14949" s="1" t="s">
        <v>5783</v>
      </c>
      <c r="D14949" s="22" t="str">
        <f>HYPERLINK("https://rhld.insurance.arkansas.gov/NPILookup?Npi=1427160910","1427160910")</f>
        <v>1427160910</v>
      </c>
      <c r="E14949" s="1" t="s">
        <v>20143</v>
      </c>
      <c r="F14949" s="2"/>
      <c r="G14949" s="2"/>
      <c r="H14949" s="2"/>
    </row>
    <row r="14950" spans="1:8" x14ac:dyDescent="0.25">
      <c r="A14950" s="1"/>
      <c r="B14950" s="1" t="s">
        <v>5782</v>
      </c>
      <c r="C14950" s="1" t="s">
        <v>5783</v>
      </c>
      <c r="D14950" s="22" t="str">
        <f>HYPERLINK("https://rhld.insurance.arkansas.gov/NPILookup?Npi=1427197797","1427197797")</f>
        <v>1427197797</v>
      </c>
      <c r="E14950" s="1" t="s">
        <v>22158</v>
      </c>
      <c r="F14950" s="2"/>
      <c r="G14950" s="2"/>
      <c r="H14950" s="2"/>
    </row>
    <row r="14951" spans="1:8" x14ac:dyDescent="0.25">
      <c r="A14951" s="1"/>
      <c r="B14951" s="1" t="s">
        <v>5782</v>
      </c>
      <c r="C14951" s="1" t="s">
        <v>5783</v>
      </c>
      <c r="D14951" s="22" t="str">
        <f>HYPERLINK("https://rhld.insurance.arkansas.gov/NPILookup?Npi=1427204643","1427204643")</f>
        <v>1427204643</v>
      </c>
      <c r="E14951" s="1" t="s">
        <v>22159</v>
      </c>
      <c r="F14951" s="2"/>
      <c r="G14951" s="2"/>
      <c r="H14951" s="2"/>
    </row>
    <row r="14952" spans="1:8" x14ac:dyDescent="0.25">
      <c r="A14952" s="1"/>
      <c r="B14952" s="1" t="s">
        <v>5782</v>
      </c>
      <c r="C14952" s="1" t="s">
        <v>5783</v>
      </c>
      <c r="D14952" s="22" t="str">
        <f>HYPERLINK("https://rhld.insurance.arkansas.gov/NPILookup?Npi=1427206374","1427206374")</f>
        <v>1427206374</v>
      </c>
      <c r="E14952" s="1" t="s">
        <v>22160</v>
      </c>
      <c r="F14952" s="2"/>
      <c r="G14952" s="2"/>
      <c r="H14952" s="2"/>
    </row>
    <row r="14953" spans="1:8" x14ac:dyDescent="0.25">
      <c r="A14953" s="1"/>
      <c r="B14953" s="1" t="s">
        <v>5782</v>
      </c>
      <c r="C14953" s="1" t="s">
        <v>5783</v>
      </c>
      <c r="D14953" s="22" t="str">
        <f>HYPERLINK("https://rhld.insurance.arkansas.gov/NPILookup?Npi=1427208016","1427208016")</f>
        <v>1427208016</v>
      </c>
      <c r="E14953" s="1" t="s">
        <v>22161</v>
      </c>
      <c r="F14953" s="2"/>
      <c r="G14953" s="2"/>
      <c r="H14953" s="2"/>
    </row>
    <row r="14954" spans="1:8" x14ac:dyDescent="0.25">
      <c r="A14954" s="1"/>
      <c r="B14954" s="1" t="s">
        <v>5782</v>
      </c>
      <c r="C14954" s="1" t="s">
        <v>5783</v>
      </c>
      <c r="D14954" s="22" t="str">
        <f>HYPERLINK("https://rhld.insurance.arkansas.gov/NPILookup?Npi=1427224435","1427224435")</f>
        <v>1427224435</v>
      </c>
      <c r="E14954" s="1" t="s">
        <v>22162</v>
      </c>
      <c r="F14954" s="2"/>
      <c r="G14954" s="2"/>
      <c r="H14954" s="2"/>
    </row>
    <row r="14955" spans="1:8" x14ac:dyDescent="0.25">
      <c r="A14955" s="1"/>
      <c r="B14955" s="1" t="s">
        <v>5782</v>
      </c>
      <c r="C14955" s="1" t="s">
        <v>5783</v>
      </c>
      <c r="D14955" s="22" t="str">
        <f>HYPERLINK("https://rhld.insurance.arkansas.gov/NPILookup?Npi=1427253970","1427253970")</f>
        <v>1427253970</v>
      </c>
      <c r="E14955" s="1" t="s">
        <v>316</v>
      </c>
      <c r="F14955" s="2"/>
      <c r="G14955" s="2"/>
      <c r="H14955" s="2"/>
    </row>
    <row r="14956" spans="1:8" x14ac:dyDescent="0.25">
      <c r="A14956" s="1"/>
      <c r="B14956" s="1" t="s">
        <v>5782</v>
      </c>
      <c r="C14956" s="1" t="s">
        <v>5783</v>
      </c>
      <c r="D14956" s="22" t="str">
        <f>HYPERLINK("https://rhld.insurance.arkansas.gov/NPILookup?Npi=1427268838","1427268838")</f>
        <v>1427268838</v>
      </c>
      <c r="E14956" s="1" t="s">
        <v>22163</v>
      </c>
      <c r="F14956" s="2"/>
      <c r="G14956" s="2"/>
      <c r="H14956" s="2"/>
    </row>
    <row r="14957" spans="1:8" x14ac:dyDescent="0.25">
      <c r="A14957" s="1"/>
      <c r="B14957" s="1" t="s">
        <v>5782</v>
      </c>
      <c r="C14957" s="1" t="s">
        <v>5783</v>
      </c>
      <c r="D14957" s="22" t="str">
        <f>HYPERLINK("https://rhld.insurance.arkansas.gov/NPILookup?Npi=1427283506","1427283506")</f>
        <v>1427283506</v>
      </c>
      <c r="E14957" s="1" t="s">
        <v>22164</v>
      </c>
      <c r="F14957" s="2"/>
      <c r="G14957" s="2"/>
      <c r="H14957" s="2"/>
    </row>
    <row r="14958" spans="1:8" x14ac:dyDescent="0.25">
      <c r="A14958" s="1"/>
      <c r="B14958" s="1" t="s">
        <v>5782</v>
      </c>
      <c r="C14958" s="1" t="s">
        <v>5783</v>
      </c>
      <c r="D14958" s="22" t="str">
        <f>HYPERLINK("https://rhld.insurance.arkansas.gov/NPILookup?Npi=1427300532","1427300532")</f>
        <v>1427300532</v>
      </c>
      <c r="E14958" s="1" t="s">
        <v>11778</v>
      </c>
      <c r="F14958" s="2"/>
      <c r="G14958" s="2"/>
      <c r="H14958" s="2"/>
    </row>
    <row r="14959" spans="1:8" x14ac:dyDescent="0.25">
      <c r="A14959" s="1"/>
      <c r="B14959" s="1" t="s">
        <v>5782</v>
      </c>
      <c r="C14959" s="1" t="s">
        <v>5783</v>
      </c>
      <c r="D14959" s="22" t="str">
        <f>HYPERLINK("https://rhld.insurance.arkansas.gov/NPILookup?Npi=1427305663","1427305663")</f>
        <v>1427305663</v>
      </c>
      <c r="E14959" s="1" t="s">
        <v>22165</v>
      </c>
      <c r="F14959" s="2"/>
      <c r="G14959" s="2"/>
      <c r="H14959" s="2"/>
    </row>
    <row r="14960" spans="1:8" x14ac:dyDescent="0.25">
      <c r="A14960" s="1"/>
      <c r="B14960" s="1" t="s">
        <v>5782</v>
      </c>
      <c r="C14960" s="1" t="s">
        <v>5783</v>
      </c>
      <c r="D14960" s="22" t="str">
        <f>HYPERLINK("https://rhld.insurance.arkansas.gov/NPILookup?Npi=1427313667","1427313667")</f>
        <v>1427313667</v>
      </c>
      <c r="E14960" s="1" t="s">
        <v>22166</v>
      </c>
      <c r="F14960" s="2"/>
      <c r="G14960" s="2"/>
      <c r="H14960" s="2"/>
    </row>
    <row r="14961" spans="1:8" x14ac:dyDescent="0.25">
      <c r="A14961" s="1"/>
      <c r="B14961" s="1" t="s">
        <v>5782</v>
      </c>
      <c r="C14961" s="1" t="s">
        <v>5783</v>
      </c>
      <c r="D14961" s="22" t="str">
        <f>HYPERLINK("https://rhld.insurance.arkansas.gov/NPILookup?Npi=1427320258","1427320258")</f>
        <v>1427320258</v>
      </c>
      <c r="E14961" s="1" t="s">
        <v>11780</v>
      </c>
      <c r="F14961" s="2"/>
      <c r="G14961" s="2"/>
      <c r="H14961" s="2"/>
    </row>
    <row r="14962" spans="1:8" x14ac:dyDescent="0.25">
      <c r="A14962" s="1"/>
      <c r="B14962" s="1" t="s">
        <v>5782</v>
      </c>
      <c r="C14962" s="1" t="s">
        <v>5783</v>
      </c>
      <c r="D14962" s="22" t="str">
        <f>HYPERLINK("https://rhld.insurance.arkansas.gov/NPILookup?Npi=1427327782","1427327782")</f>
        <v>1427327782</v>
      </c>
      <c r="E14962" s="1" t="s">
        <v>22167</v>
      </c>
      <c r="F14962" s="2"/>
      <c r="G14962" s="2"/>
      <c r="H14962" s="2"/>
    </row>
    <row r="14963" spans="1:8" x14ac:dyDescent="0.25">
      <c r="A14963" s="1"/>
      <c r="B14963" s="1" t="s">
        <v>5782</v>
      </c>
      <c r="C14963" s="1" t="s">
        <v>5783</v>
      </c>
      <c r="D14963" s="22" t="str">
        <f>HYPERLINK("https://rhld.insurance.arkansas.gov/NPILookup?Npi=1427335975","1427335975")</f>
        <v>1427335975</v>
      </c>
      <c r="E14963" s="1" t="s">
        <v>1597</v>
      </c>
      <c r="F14963" s="2"/>
      <c r="G14963" s="2"/>
      <c r="H14963" s="2"/>
    </row>
    <row r="14964" spans="1:8" x14ac:dyDescent="0.25">
      <c r="A14964" s="1"/>
      <c r="B14964" s="1" t="s">
        <v>5782</v>
      </c>
      <c r="C14964" s="1" t="s">
        <v>5783</v>
      </c>
      <c r="D14964" s="22" t="str">
        <f>HYPERLINK("https://rhld.insurance.arkansas.gov/NPILookup?Npi=1427375484","1427375484")</f>
        <v>1427375484</v>
      </c>
      <c r="E14964" s="1" t="s">
        <v>22168</v>
      </c>
      <c r="F14964" s="2"/>
      <c r="G14964" s="2"/>
      <c r="H14964" s="2"/>
    </row>
    <row r="14965" spans="1:8" x14ac:dyDescent="0.25">
      <c r="A14965" s="1"/>
      <c r="B14965" s="1" t="s">
        <v>5782</v>
      </c>
      <c r="C14965" s="1" t="s">
        <v>5783</v>
      </c>
      <c r="D14965" s="22" t="str">
        <f>HYPERLINK("https://rhld.insurance.arkansas.gov/NPILookup?Npi=1427377191","1427377191")</f>
        <v>1427377191</v>
      </c>
      <c r="E14965" s="1" t="s">
        <v>22169</v>
      </c>
      <c r="F14965" s="2"/>
      <c r="G14965" s="2"/>
      <c r="H14965" s="2"/>
    </row>
    <row r="14966" spans="1:8" x14ac:dyDescent="0.25">
      <c r="A14966" s="1"/>
      <c r="B14966" s="1" t="s">
        <v>5782</v>
      </c>
      <c r="C14966" s="1" t="s">
        <v>5783</v>
      </c>
      <c r="D14966" s="22" t="str">
        <f>HYPERLINK("https://rhld.insurance.arkansas.gov/NPILookup?Npi=1427401884","1427401884")</f>
        <v>1427401884</v>
      </c>
      <c r="E14966" s="1" t="s">
        <v>22170</v>
      </c>
      <c r="F14966" s="2"/>
      <c r="G14966" s="2"/>
      <c r="H14966" s="2"/>
    </row>
    <row r="14967" spans="1:8" x14ac:dyDescent="0.25">
      <c r="A14967" s="1"/>
      <c r="B14967" s="1" t="s">
        <v>5782</v>
      </c>
      <c r="C14967" s="1" t="s">
        <v>5783</v>
      </c>
      <c r="D14967" s="22" t="str">
        <f>HYPERLINK("https://rhld.insurance.arkansas.gov/NPILookup?Npi=1427417443","1427417443")</f>
        <v>1427417443</v>
      </c>
      <c r="E14967" s="1" t="s">
        <v>22171</v>
      </c>
      <c r="F14967" s="2"/>
      <c r="G14967" s="2"/>
      <c r="H14967" s="2"/>
    </row>
    <row r="14968" spans="1:8" x14ac:dyDescent="0.25">
      <c r="A14968" s="1"/>
      <c r="B14968" s="1" t="s">
        <v>5782</v>
      </c>
      <c r="C14968" s="1" t="s">
        <v>5783</v>
      </c>
      <c r="D14968" s="22" t="str">
        <f>HYPERLINK("https://rhld.insurance.arkansas.gov/NPILookup?Npi=1427417823","1427417823")</f>
        <v>1427417823</v>
      </c>
      <c r="E14968" s="1" t="s">
        <v>22172</v>
      </c>
      <c r="F14968" s="2"/>
      <c r="G14968" s="2"/>
      <c r="H14968" s="2"/>
    </row>
    <row r="14969" spans="1:8" x14ac:dyDescent="0.25">
      <c r="A14969" s="1"/>
      <c r="B14969" s="1" t="s">
        <v>5782</v>
      </c>
      <c r="C14969" s="1" t="s">
        <v>5783</v>
      </c>
      <c r="D14969" s="22" t="str">
        <f>HYPERLINK("https://rhld.insurance.arkansas.gov/NPILookup?Npi=1427420199","1427420199")</f>
        <v>1427420199</v>
      </c>
      <c r="E14969" s="1" t="s">
        <v>22173</v>
      </c>
      <c r="F14969" s="2"/>
      <c r="G14969" s="2"/>
      <c r="H14969" s="2"/>
    </row>
    <row r="14970" spans="1:8" x14ac:dyDescent="0.25">
      <c r="A14970" s="1"/>
      <c r="B14970" s="1" t="s">
        <v>5782</v>
      </c>
      <c r="C14970" s="1" t="s">
        <v>5783</v>
      </c>
      <c r="D14970" s="22" t="str">
        <f>HYPERLINK("https://rhld.insurance.arkansas.gov/NPILookup?Npi=1427420637","1427420637")</f>
        <v>1427420637</v>
      </c>
      <c r="E14970" s="1" t="s">
        <v>11781</v>
      </c>
      <c r="F14970" s="2"/>
      <c r="G14970" s="2"/>
      <c r="H14970" s="2"/>
    </row>
    <row r="14971" spans="1:8" x14ac:dyDescent="0.25">
      <c r="A14971" s="1"/>
      <c r="B14971" s="1" t="s">
        <v>5782</v>
      </c>
      <c r="C14971" s="1" t="s">
        <v>5783</v>
      </c>
      <c r="D14971" s="22" t="str">
        <f>HYPERLINK("https://rhld.insurance.arkansas.gov/NPILookup?Npi=1427427368","1427427368")</f>
        <v>1427427368</v>
      </c>
      <c r="E14971" s="1" t="s">
        <v>22174</v>
      </c>
      <c r="F14971" s="2"/>
      <c r="G14971" s="2"/>
      <c r="H14971" s="2"/>
    </row>
    <row r="14972" spans="1:8" x14ac:dyDescent="0.25">
      <c r="A14972" s="1"/>
      <c r="B14972" s="1" t="s">
        <v>5782</v>
      </c>
      <c r="C14972" s="1" t="s">
        <v>5783</v>
      </c>
      <c r="D14972" s="22" t="str">
        <f>HYPERLINK("https://rhld.insurance.arkansas.gov/NPILookup?Npi=1427431584","1427431584")</f>
        <v>1427431584</v>
      </c>
      <c r="E14972" s="1" t="s">
        <v>11782</v>
      </c>
      <c r="F14972" s="2"/>
      <c r="G14972" s="2"/>
      <c r="H14972" s="2"/>
    </row>
    <row r="14973" spans="1:8" x14ac:dyDescent="0.25">
      <c r="A14973" s="1"/>
      <c r="B14973" s="1" t="s">
        <v>5782</v>
      </c>
      <c r="C14973" s="1" t="s">
        <v>5783</v>
      </c>
      <c r="D14973" s="22" t="str">
        <f>HYPERLINK("https://rhld.insurance.arkansas.gov/NPILookup?Npi=1427432640","1427432640")</f>
        <v>1427432640</v>
      </c>
      <c r="E14973" s="1" t="s">
        <v>22175</v>
      </c>
      <c r="F14973" s="2"/>
      <c r="G14973" s="2"/>
      <c r="H14973" s="2"/>
    </row>
    <row r="14974" spans="1:8" x14ac:dyDescent="0.25">
      <c r="A14974" s="1"/>
      <c r="B14974" s="1" t="s">
        <v>5782</v>
      </c>
      <c r="C14974" s="1" t="s">
        <v>5783</v>
      </c>
      <c r="D14974" s="22" t="str">
        <f>HYPERLINK("https://rhld.insurance.arkansas.gov/NPILookup?Npi=1427440254","1427440254")</f>
        <v>1427440254</v>
      </c>
      <c r="E14974" s="1" t="s">
        <v>3274</v>
      </c>
      <c r="F14974" s="2"/>
      <c r="G14974" s="2"/>
      <c r="H14974" s="2"/>
    </row>
    <row r="14975" spans="1:8" x14ac:dyDescent="0.25">
      <c r="A14975" s="1"/>
      <c r="B14975" s="1" t="s">
        <v>5782</v>
      </c>
      <c r="C14975" s="1" t="s">
        <v>5783</v>
      </c>
      <c r="D14975" s="22" t="str">
        <f>HYPERLINK("https://rhld.insurance.arkansas.gov/NPILookup?Npi=1427447564","1427447564")</f>
        <v>1427447564</v>
      </c>
      <c r="E14975" s="1" t="s">
        <v>31878</v>
      </c>
      <c r="F14975" s="2"/>
      <c r="G14975" s="2"/>
      <c r="H14975" s="2"/>
    </row>
    <row r="14976" spans="1:8" x14ac:dyDescent="0.25">
      <c r="A14976" s="1"/>
      <c r="B14976" s="1" t="s">
        <v>5782</v>
      </c>
      <c r="C14976" s="1" t="s">
        <v>5783</v>
      </c>
      <c r="D14976" s="22" t="str">
        <f>HYPERLINK("https://rhld.insurance.arkansas.gov/NPILookup?Npi=1427449651","1427449651")</f>
        <v>1427449651</v>
      </c>
      <c r="E14976" s="1" t="s">
        <v>1422</v>
      </c>
      <c r="F14976" s="2"/>
      <c r="G14976" s="2"/>
      <c r="H14976" s="2"/>
    </row>
    <row r="14977" spans="1:8" x14ac:dyDescent="0.25">
      <c r="A14977" s="1"/>
      <c r="B14977" s="1" t="s">
        <v>5782</v>
      </c>
      <c r="C14977" s="1" t="s">
        <v>5783</v>
      </c>
      <c r="D14977" s="22" t="str">
        <f>HYPERLINK("https://rhld.insurance.arkansas.gov/NPILookup?Npi=1427453992","1427453992")</f>
        <v>1427453992</v>
      </c>
      <c r="E14977" s="1" t="s">
        <v>3437</v>
      </c>
      <c r="F14977" s="2"/>
      <c r="G14977" s="2"/>
      <c r="H14977" s="2"/>
    </row>
    <row r="14978" spans="1:8" x14ac:dyDescent="0.25">
      <c r="A14978" s="1"/>
      <c r="B14978" s="1" t="s">
        <v>5782</v>
      </c>
      <c r="C14978" s="1" t="s">
        <v>5783</v>
      </c>
      <c r="D14978" s="22" t="str">
        <f>HYPERLINK("https://rhld.insurance.arkansas.gov/NPILookup?Npi=1427459346","1427459346")</f>
        <v>1427459346</v>
      </c>
      <c r="E14978" s="1" t="s">
        <v>22176</v>
      </c>
      <c r="F14978" s="2"/>
      <c r="G14978" s="2"/>
      <c r="H14978" s="2"/>
    </row>
    <row r="14979" spans="1:8" x14ac:dyDescent="0.25">
      <c r="A14979" s="1"/>
      <c r="B14979" s="1" t="s">
        <v>5782</v>
      </c>
      <c r="C14979" s="1" t="s">
        <v>5783</v>
      </c>
      <c r="D14979" s="22" t="str">
        <f>HYPERLINK("https://rhld.insurance.arkansas.gov/NPILookup?Npi=1427479427","1427479427")</f>
        <v>1427479427</v>
      </c>
      <c r="E14979" s="1" t="s">
        <v>12034</v>
      </c>
      <c r="F14979" s="2"/>
      <c r="G14979" s="2"/>
      <c r="H14979" s="2"/>
    </row>
    <row r="14980" spans="1:8" x14ac:dyDescent="0.25">
      <c r="A14980" s="1"/>
      <c r="B14980" s="1" t="s">
        <v>5782</v>
      </c>
      <c r="C14980" s="1" t="s">
        <v>5783</v>
      </c>
      <c r="D14980" s="22" t="str">
        <f>HYPERLINK("https://rhld.insurance.arkansas.gov/NPILookup?Npi=1427480011","1427480011")</f>
        <v>1427480011</v>
      </c>
      <c r="E14980" s="1" t="s">
        <v>22177</v>
      </c>
      <c r="F14980" s="2"/>
      <c r="G14980" s="2"/>
      <c r="H14980" s="2"/>
    </row>
    <row r="14981" spans="1:8" x14ac:dyDescent="0.25">
      <c r="A14981" s="1"/>
      <c r="B14981" s="1" t="s">
        <v>5782</v>
      </c>
      <c r="C14981" s="1" t="s">
        <v>5783</v>
      </c>
      <c r="D14981" s="22" t="str">
        <f>HYPERLINK("https://rhld.insurance.arkansas.gov/NPILookup?Npi=1427480847","1427480847")</f>
        <v>1427480847</v>
      </c>
      <c r="E14981" s="1" t="s">
        <v>11784</v>
      </c>
      <c r="F14981" s="2"/>
      <c r="G14981" s="2"/>
      <c r="H14981" s="2"/>
    </row>
    <row r="14982" spans="1:8" x14ac:dyDescent="0.25">
      <c r="A14982" s="1"/>
      <c r="B14982" s="1" t="s">
        <v>5782</v>
      </c>
      <c r="C14982" s="1" t="s">
        <v>5783</v>
      </c>
      <c r="D14982" s="22" t="str">
        <f>HYPERLINK("https://rhld.insurance.arkansas.gov/NPILookup?Npi=1427483783","1427483783")</f>
        <v>1427483783</v>
      </c>
      <c r="E14982" s="1" t="s">
        <v>6278</v>
      </c>
      <c r="F14982" s="2"/>
      <c r="G14982" s="2"/>
      <c r="H14982" s="2"/>
    </row>
    <row r="14983" spans="1:8" x14ac:dyDescent="0.25">
      <c r="A14983" s="1"/>
      <c r="B14983" s="1" t="s">
        <v>5782</v>
      </c>
      <c r="C14983" s="1" t="s">
        <v>5783</v>
      </c>
      <c r="D14983" s="22" t="str">
        <f>HYPERLINK("https://rhld.insurance.arkansas.gov/NPILookup?Npi=1427488055","1427488055")</f>
        <v>1427488055</v>
      </c>
      <c r="E14983" s="1" t="s">
        <v>22178</v>
      </c>
      <c r="F14983" s="2"/>
      <c r="G14983" s="2"/>
      <c r="H14983" s="2"/>
    </row>
    <row r="14984" spans="1:8" x14ac:dyDescent="0.25">
      <c r="A14984" s="1"/>
      <c r="B14984" s="1" t="s">
        <v>5782</v>
      </c>
      <c r="C14984" s="1" t="s">
        <v>5783</v>
      </c>
      <c r="D14984" s="22" t="str">
        <f>HYPERLINK("https://rhld.insurance.arkansas.gov/NPILookup?Npi=1427501857","1427501857")</f>
        <v>1427501857</v>
      </c>
      <c r="E14984" s="1" t="s">
        <v>6279</v>
      </c>
      <c r="F14984" s="2"/>
      <c r="G14984" s="2"/>
      <c r="H14984" s="2"/>
    </row>
    <row r="14985" spans="1:8" x14ac:dyDescent="0.25">
      <c r="A14985" s="1"/>
      <c r="B14985" s="1" t="s">
        <v>5782</v>
      </c>
      <c r="C14985" s="1" t="s">
        <v>5783</v>
      </c>
      <c r="D14985" s="22" t="str">
        <f>HYPERLINK("https://rhld.insurance.arkansas.gov/NPILookup?Npi=1427503028","1427503028")</f>
        <v>1427503028</v>
      </c>
      <c r="E14985" s="1" t="s">
        <v>1245</v>
      </c>
      <c r="F14985" s="2"/>
      <c r="G14985" s="2"/>
      <c r="H14985" s="2"/>
    </row>
    <row r="14986" spans="1:8" x14ac:dyDescent="0.25">
      <c r="A14986" s="1"/>
      <c r="B14986" s="1" t="s">
        <v>5782</v>
      </c>
      <c r="C14986" s="1" t="s">
        <v>5783</v>
      </c>
      <c r="D14986" s="22" t="str">
        <f>HYPERLINK("https://rhld.insurance.arkansas.gov/NPILookup?Npi=1427509652","1427509652")</f>
        <v>1427509652</v>
      </c>
      <c r="E14986" s="1" t="s">
        <v>22179</v>
      </c>
      <c r="F14986" s="2"/>
      <c r="G14986" s="2"/>
      <c r="H14986" s="2"/>
    </row>
    <row r="14987" spans="1:8" x14ac:dyDescent="0.25">
      <c r="A14987" s="1"/>
      <c r="B14987" s="1" t="s">
        <v>5782</v>
      </c>
      <c r="C14987" s="1" t="s">
        <v>5783</v>
      </c>
      <c r="D14987" s="22" t="str">
        <f>HYPERLINK("https://rhld.insurance.arkansas.gov/NPILookup?Npi=1427512128","1427512128")</f>
        <v>1427512128</v>
      </c>
      <c r="E14987" s="1" t="s">
        <v>22180</v>
      </c>
      <c r="F14987" s="2"/>
      <c r="G14987" s="2"/>
      <c r="H14987" s="2"/>
    </row>
    <row r="14988" spans="1:8" x14ac:dyDescent="0.25">
      <c r="A14988" s="1"/>
      <c r="B14988" s="1" t="s">
        <v>5782</v>
      </c>
      <c r="C14988" s="1" t="s">
        <v>5783</v>
      </c>
      <c r="D14988" s="22" t="str">
        <f>HYPERLINK("https://rhld.insurance.arkansas.gov/NPILookup?Npi=1427537992","1427537992")</f>
        <v>1427537992</v>
      </c>
      <c r="E14988" s="1" t="s">
        <v>6280</v>
      </c>
      <c r="F14988" s="2"/>
      <c r="G14988" s="2"/>
      <c r="H14988" s="2"/>
    </row>
    <row r="14989" spans="1:8" x14ac:dyDescent="0.25">
      <c r="A14989" s="1"/>
      <c r="B14989" s="1" t="s">
        <v>5782</v>
      </c>
      <c r="C14989" s="1" t="s">
        <v>5783</v>
      </c>
      <c r="D14989" s="22" t="str">
        <f>HYPERLINK("https://rhld.insurance.arkansas.gov/NPILookup?Npi=1427611433","1427611433")</f>
        <v>1427611433</v>
      </c>
      <c r="E14989" s="1" t="s">
        <v>6281</v>
      </c>
      <c r="F14989" s="2"/>
      <c r="G14989" s="2"/>
      <c r="H14989" s="2"/>
    </row>
    <row r="14990" spans="1:8" x14ac:dyDescent="0.25">
      <c r="A14990" s="1"/>
      <c r="B14990" s="1" t="s">
        <v>5782</v>
      </c>
      <c r="C14990" s="1" t="s">
        <v>5783</v>
      </c>
      <c r="D14990" s="22" t="str">
        <f>HYPERLINK("https://rhld.insurance.arkansas.gov/NPILookup?Npi=1427625128","1427625128")</f>
        <v>1427625128</v>
      </c>
      <c r="E14990" s="1" t="s">
        <v>22181</v>
      </c>
      <c r="F14990" s="2"/>
      <c r="G14990" s="2"/>
      <c r="H14990" s="2"/>
    </row>
    <row r="14991" spans="1:8" x14ac:dyDescent="0.25">
      <c r="A14991" s="1"/>
      <c r="B14991" s="1" t="s">
        <v>5782</v>
      </c>
      <c r="C14991" s="1" t="s">
        <v>5783</v>
      </c>
      <c r="D14991" s="22" t="str">
        <f>HYPERLINK("https://rhld.insurance.arkansas.gov/NPILookup?Npi=1427631084","1427631084")</f>
        <v>1427631084</v>
      </c>
      <c r="E14991" s="1" t="s">
        <v>11785</v>
      </c>
      <c r="F14991" s="2"/>
      <c r="G14991" s="2"/>
      <c r="H14991" s="2"/>
    </row>
    <row r="14992" spans="1:8" x14ac:dyDescent="0.25">
      <c r="A14992" s="1"/>
      <c r="B14992" s="1" t="s">
        <v>5782</v>
      </c>
      <c r="C14992" s="1" t="s">
        <v>5783</v>
      </c>
      <c r="D14992" s="22" t="str">
        <f>HYPERLINK("https://rhld.insurance.arkansas.gov/NPILookup?Npi=1427633163","1427633163")</f>
        <v>1427633163</v>
      </c>
      <c r="E14992" s="1" t="s">
        <v>6571</v>
      </c>
      <c r="F14992" s="2"/>
      <c r="G14992" s="2"/>
      <c r="H14992" s="2"/>
    </row>
    <row r="14993" spans="1:8" x14ac:dyDescent="0.25">
      <c r="A14993" s="1"/>
      <c r="B14993" s="1" t="s">
        <v>5782</v>
      </c>
      <c r="C14993" s="1" t="s">
        <v>5783</v>
      </c>
      <c r="D14993" s="22" t="str">
        <f>HYPERLINK("https://rhld.insurance.arkansas.gov/NPILookup?Npi=1427653575","1427653575")</f>
        <v>1427653575</v>
      </c>
      <c r="E14993" s="1" t="s">
        <v>11786</v>
      </c>
      <c r="F14993" s="2"/>
      <c r="G14993" s="2"/>
      <c r="H14993" s="2"/>
    </row>
    <row r="14994" spans="1:8" x14ac:dyDescent="0.25">
      <c r="A14994" s="1"/>
      <c r="B14994" s="1" t="s">
        <v>5782</v>
      </c>
      <c r="C14994" s="1" t="s">
        <v>5783</v>
      </c>
      <c r="D14994" s="22" t="str">
        <f>HYPERLINK("https://rhld.insurance.arkansas.gov/NPILookup?Npi=1427672492","1427672492")</f>
        <v>1427672492</v>
      </c>
      <c r="E14994" s="1" t="s">
        <v>6162</v>
      </c>
      <c r="F14994" s="2"/>
      <c r="G14994" s="2"/>
      <c r="H14994" s="2"/>
    </row>
    <row r="14995" spans="1:8" x14ac:dyDescent="0.25">
      <c r="A14995" s="1"/>
      <c r="B14995" s="1" t="s">
        <v>5782</v>
      </c>
      <c r="C14995" s="1" t="s">
        <v>5783</v>
      </c>
      <c r="D14995" s="22" t="str">
        <f>HYPERLINK("https://rhld.insurance.arkansas.gov/NPILookup?Npi=1427690163","1427690163")</f>
        <v>1427690163</v>
      </c>
      <c r="E14995" s="1" t="s">
        <v>22182</v>
      </c>
      <c r="F14995" s="2"/>
      <c r="G14995" s="2"/>
      <c r="H14995" s="2"/>
    </row>
    <row r="14996" spans="1:8" x14ac:dyDescent="0.25">
      <c r="A14996" s="1"/>
      <c r="B14996" s="1" t="s">
        <v>5782</v>
      </c>
      <c r="C14996" s="1" t="s">
        <v>5783</v>
      </c>
      <c r="D14996" s="22" t="str">
        <f>HYPERLINK("https://rhld.insurance.arkansas.gov/NPILookup?Npi=1427691641","1427691641")</f>
        <v>1427691641</v>
      </c>
      <c r="E14996" s="1" t="s">
        <v>22183</v>
      </c>
      <c r="F14996" s="2"/>
      <c r="G14996" s="2"/>
      <c r="H14996" s="2"/>
    </row>
    <row r="14997" spans="1:8" x14ac:dyDescent="0.25">
      <c r="A14997" s="1"/>
      <c r="B14997" s="1" t="s">
        <v>5782</v>
      </c>
      <c r="C14997" s="1" t="s">
        <v>5783</v>
      </c>
      <c r="D14997" s="22" t="str">
        <f>HYPERLINK("https://rhld.insurance.arkansas.gov/NPILookup?Npi=1427708643","1427708643")</f>
        <v>1427708643</v>
      </c>
      <c r="E14997" s="1" t="s">
        <v>6282</v>
      </c>
      <c r="F14997" s="2"/>
      <c r="G14997" s="2"/>
      <c r="H14997" s="2"/>
    </row>
    <row r="14998" spans="1:8" x14ac:dyDescent="0.25">
      <c r="A14998" s="1"/>
      <c r="B14998" s="1" t="s">
        <v>5782</v>
      </c>
      <c r="C14998" s="1" t="s">
        <v>5783</v>
      </c>
      <c r="D14998" s="22" t="str">
        <f>HYPERLINK("https://rhld.insurance.arkansas.gov/NPILookup?Npi=1427709203","1427709203")</f>
        <v>1427709203</v>
      </c>
      <c r="E14998" s="1" t="s">
        <v>22184</v>
      </c>
      <c r="F14998" s="2"/>
      <c r="G14998" s="2"/>
      <c r="H14998" s="2"/>
    </row>
    <row r="14999" spans="1:8" x14ac:dyDescent="0.25">
      <c r="A14999" s="1"/>
      <c r="B14999" s="1" t="s">
        <v>5782</v>
      </c>
      <c r="C14999" s="1" t="s">
        <v>5783</v>
      </c>
      <c r="D14999" s="22" t="str">
        <f>HYPERLINK("https://rhld.insurance.arkansas.gov/NPILookup?Npi=1427723428","1427723428")</f>
        <v>1427723428</v>
      </c>
      <c r="E14999" s="1" t="s">
        <v>11787</v>
      </c>
      <c r="F14999" s="2"/>
      <c r="G14999" s="2"/>
      <c r="H14999" s="2"/>
    </row>
    <row r="15000" spans="1:8" x14ac:dyDescent="0.25">
      <c r="A15000" s="1"/>
      <c r="B15000" s="1" t="s">
        <v>5782</v>
      </c>
      <c r="C15000" s="1" t="s">
        <v>5783</v>
      </c>
      <c r="D15000" s="22" t="str">
        <f>HYPERLINK("https://rhld.insurance.arkansas.gov/NPILookup?Npi=1427743657","1427743657")</f>
        <v>1427743657</v>
      </c>
      <c r="E15000" s="1" t="s">
        <v>22185</v>
      </c>
      <c r="F15000" s="2"/>
      <c r="G15000" s="2"/>
      <c r="H15000" s="2"/>
    </row>
    <row r="15001" spans="1:8" x14ac:dyDescent="0.25">
      <c r="A15001" s="1"/>
      <c r="B15001" s="1" t="s">
        <v>5782</v>
      </c>
      <c r="C15001" s="1" t="s">
        <v>5783</v>
      </c>
      <c r="D15001" s="22" t="str">
        <f>HYPERLINK("https://rhld.insurance.arkansas.gov/NPILookup?Npi=1427756865","1427756865")</f>
        <v>1427756865</v>
      </c>
      <c r="E15001" s="1" t="s">
        <v>6283</v>
      </c>
      <c r="F15001" s="2"/>
      <c r="G15001" s="2"/>
      <c r="H15001" s="2"/>
    </row>
    <row r="15002" spans="1:8" x14ac:dyDescent="0.25">
      <c r="A15002" s="1"/>
      <c r="B15002" s="1" t="s">
        <v>5782</v>
      </c>
      <c r="C15002" s="1" t="s">
        <v>5783</v>
      </c>
      <c r="D15002" s="22" t="str">
        <f>HYPERLINK("https://rhld.insurance.arkansas.gov/NPILookup?Npi=1427765510","1427765510")</f>
        <v>1427765510</v>
      </c>
      <c r="E15002" s="1" t="s">
        <v>22186</v>
      </c>
      <c r="F15002" s="2"/>
      <c r="G15002" s="2"/>
      <c r="H15002" s="2"/>
    </row>
    <row r="15003" spans="1:8" x14ac:dyDescent="0.25">
      <c r="A15003" s="1"/>
      <c r="B15003" s="1" t="s">
        <v>5782</v>
      </c>
      <c r="C15003" s="1" t="s">
        <v>5783</v>
      </c>
      <c r="D15003" s="22" t="str">
        <f>HYPERLINK("https://rhld.insurance.arkansas.gov/NPILookup?Npi=1427773944","1427773944")</f>
        <v>1427773944</v>
      </c>
      <c r="E15003" s="1" t="s">
        <v>22187</v>
      </c>
      <c r="F15003" s="2"/>
      <c r="G15003" s="2"/>
      <c r="H15003" s="2"/>
    </row>
    <row r="15004" spans="1:8" x14ac:dyDescent="0.25">
      <c r="A15004" s="1"/>
      <c r="B15004" s="1" t="s">
        <v>5782</v>
      </c>
      <c r="C15004" s="1" t="s">
        <v>5783</v>
      </c>
      <c r="D15004" s="22" t="str">
        <f>HYPERLINK("https://rhld.insurance.arkansas.gov/NPILookup?Npi=1427783646","1427783646")</f>
        <v>1427783646</v>
      </c>
      <c r="E15004" s="1" t="s">
        <v>22188</v>
      </c>
      <c r="F15004" s="2"/>
      <c r="G15004" s="2"/>
      <c r="H15004" s="2"/>
    </row>
    <row r="15005" spans="1:8" x14ac:dyDescent="0.25">
      <c r="A15005" s="1"/>
      <c r="B15005" s="1" t="s">
        <v>5782</v>
      </c>
      <c r="C15005" s="1" t="s">
        <v>5783</v>
      </c>
      <c r="D15005" s="22" t="str">
        <f>HYPERLINK("https://rhld.insurance.arkansas.gov/NPILookup?Npi=1427792548","1427792548")</f>
        <v>1427792548</v>
      </c>
      <c r="E15005" s="1" t="s">
        <v>2484</v>
      </c>
      <c r="F15005" s="2"/>
      <c r="G15005" s="2"/>
      <c r="H15005" s="2"/>
    </row>
    <row r="15006" spans="1:8" x14ac:dyDescent="0.25">
      <c r="A15006" s="1"/>
      <c r="B15006" s="1" t="s">
        <v>5782</v>
      </c>
      <c r="C15006" s="1" t="s">
        <v>5783</v>
      </c>
      <c r="D15006" s="22" t="str">
        <f>HYPERLINK("https://rhld.insurance.arkansas.gov/NPILookup?Npi=1437114980","1437114980")</f>
        <v>1437114980</v>
      </c>
      <c r="E15006" s="1" t="s">
        <v>11788</v>
      </c>
      <c r="F15006" s="2"/>
      <c r="G15006" s="2"/>
      <c r="H15006" s="2"/>
    </row>
    <row r="15007" spans="1:8" x14ac:dyDescent="0.25">
      <c r="A15007" s="1"/>
      <c r="B15007" s="1" t="s">
        <v>5782</v>
      </c>
      <c r="C15007" s="1" t="s">
        <v>5783</v>
      </c>
      <c r="D15007" s="22" t="str">
        <f>HYPERLINK("https://rhld.insurance.arkansas.gov/NPILookup?Npi=1437121373","1437121373")</f>
        <v>1437121373</v>
      </c>
      <c r="E15007" s="1" t="s">
        <v>11789</v>
      </c>
      <c r="F15007" s="2"/>
      <c r="G15007" s="2"/>
      <c r="H15007" s="2"/>
    </row>
    <row r="15008" spans="1:8" x14ac:dyDescent="0.25">
      <c r="A15008" s="1"/>
      <c r="B15008" s="1" t="s">
        <v>5782</v>
      </c>
      <c r="C15008" s="1" t="s">
        <v>5783</v>
      </c>
      <c r="D15008" s="22" t="str">
        <f>HYPERLINK("https://rhld.insurance.arkansas.gov/NPILookup?Npi=1437162047","1437162047")</f>
        <v>1437162047</v>
      </c>
      <c r="E15008" s="1" t="s">
        <v>386</v>
      </c>
      <c r="F15008" s="2"/>
      <c r="G15008" s="2"/>
      <c r="H15008" s="2"/>
    </row>
    <row r="15009" spans="1:8" x14ac:dyDescent="0.25">
      <c r="A15009" s="1"/>
      <c r="B15009" s="1" t="s">
        <v>5782</v>
      </c>
      <c r="C15009" s="1" t="s">
        <v>5783</v>
      </c>
      <c r="D15009" s="22" t="str">
        <f>HYPERLINK("https://rhld.insurance.arkansas.gov/NPILookup?Npi=1437190360","1437190360")</f>
        <v>1437190360</v>
      </c>
      <c r="E15009" s="1" t="s">
        <v>1325</v>
      </c>
      <c r="F15009" s="2"/>
      <c r="G15009" s="2"/>
      <c r="H15009" s="2"/>
    </row>
    <row r="15010" spans="1:8" x14ac:dyDescent="0.25">
      <c r="A15010" s="1"/>
      <c r="B15010" s="1" t="s">
        <v>5782</v>
      </c>
      <c r="C15010" s="1" t="s">
        <v>5783</v>
      </c>
      <c r="D15010" s="22" t="str">
        <f>HYPERLINK("https://rhld.insurance.arkansas.gov/NPILookup?Npi=1437212073","1437212073")</f>
        <v>1437212073</v>
      </c>
      <c r="E15010" s="1" t="s">
        <v>282</v>
      </c>
      <c r="F15010" s="2"/>
      <c r="G15010" s="2"/>
      <c r="H15010" s="2"/>
    </row>
    <row r="15011" spans="1:8" x14ac:dyDescent="0.25">
      <c r="A15011" s="1"/>
      <c r="B15011" s="1" t="s">
        <v>5782</v>
      </c>
      <c r="C15011" s="1" t="s">
        <v>5783</v>
      </c>
      <c r="D15011" s="22" t="str">
        <f>HYPERLINK("https://rhld.insurance.arkansas.gov/NPILookup?Npi=1437217791","1437217791")</f>
        <v>1437217791</v>
      </c>
      <c r="E15011" s="1" t="s">
        <v>1866</v>
      </c>
      <c r="F15011" s="2"/>
      <c r="G15011" s="2"/>
      <c r="H15011" s="2"/>
    </row>
    <row r="15012" spans="1:8" x14ac:dyDescent="0.25">
      <c r="A15012" s="1"/>
      <c r="B15012" s="1" t="s">
        <v>5782</v>
      </c>
      <c r="C15012" s="1" t="s">
        <v>5783</v>
      </c>
      <c r="D15012" s="22" t="str">
        <f>HYPERLINK("https://rhld.insurance.arkansas.gov/NPILookup?Npi=1437228814","1437228814")</f>
        <v>1437228814</v>
      </c>
      <c r="E15012" s="1" t="s">
        <v>22191</v>
      </c>
      <c r="F15012" s="2"/>
      <c r="G15012" s="2"/>
      <c r="H15012" s="2"/>
    </row>
    <row r="15013" spans="1:8" x14ac:dyDescent="0.25">
      <c r="A15013" s="1"/>
      <c r="B15013" s="1" t="s">
        <v>5782</v>
      </c>
      <c r="C15013" s="1" t="s">
        <v>5783</v>
      </c>
      <c r="D15013" s="22" t="str">
        <f>HYPERLINK("https://rhld.insurance.arkansas.gov/NPILookup?Npi=1437234630","1437234630")</f>
        <v>1437234630</v>
      </c>
      <c r="E15013" s="1" t="s">
        <v>1557</v>
      </c>
      <c r="F15013" s="2"/>
      <c r="G15013" s="2"/>
      <c r="H15013" s="2"/>
    </row>
    <row r="15014" spans="1:8" x14ac:dyDescent="0.25">
      <c r="A15014" s="1"/>
      <c r="B15014" s="1" t="s">
        <v>5782</v>
      </c>
      <c r="C15014" s="1" t="s">
        <v>5783</v>
      </c>
      <c r="D15014" s="22" t="str">
        <f>HYPERLINK("https://rhld.insurance.arkansas.gov/NPILookup?Npi=1437300761","1437300761")</f>
        <v>1437300761</v>
      </c>
      <c r="E15014" s="1" t="s">
        <v>3279</v>
      </c>
      <c r="F15014" s="2"/>
      <c r="G15014" s="2"/>
      <c r="H15014" s="2"/>
    </row>
    <row r="15015" spans="1:8" x14ac:dyDescent="0.25">
      <c r="A15015" s="1"/>
      <c r="B15015" s="1" t="s">
        <v>5782</v>
      </c>
      <c r="C15015" s="1" t="s">
        <v>5783</v>
      </c>
      <c r="D15015" s="22" t="str">
        <f>HYPERLINK("https://rhld.insurance.arkansas.gov/NPILookup?Npi=1437301835","1437301835")</f>
        <v>1437301835</v>
      </c>
      <c r="E15015" s="1" t="s">
        <v>22192</v>
      </c>
      <c r="F15015" s="2"/>
      <c r="G15015" s="2"/>
      <c r="H15015" s="2"/>
    </row>
    <row r="15016" spans="1:8" x14ac:dyDescent="0.25">
      <c r="A15016" s="1"/>
      <c r="B15016" s="1" t="s">
        <v>5782</v>
      </c>
      <c r="C15016" s="1" t="s">
        <v>5783</v>
      </c>
      <c r="D15016" s="22" t="str">
        <f>HYPERLINK("https://rhld.insurance.arkansas.gov/NPILookup?Npi=1437306719","1437306719")</f>
        <v>1437306719</v>
      </c>
      <c r="E15016" s="1" t="s">
        <v>3422</v>
      </c>
      <c r="F15016" s="2"/>
      <c r="G15016" s="2"/>
      <c r="H15016" s="2"/>
    </row>
    <row r="15017" spans="1:8" x14ac:dyDescent="0.25">
      <c r="A15017" s="1"/>
      <c r="B15017" s="1" t="s">
        <v>5782</v>
      </c>
      <c r="C15017" s="1" t="s">
        <v>5783</v>
      </c>
      <c r="D15017" s="22" t="str">
        <f>HYPERLINK("https://rhld.insurance.arkansas.gov/NPILookup?Npi=1437306800","1437306800")</f>
        <v>1437306800</v>
      </c>
      <c r="E15017" s="1" t="s">
        <v>11790</v>
      </c>
      <c r="F15017" s="2"/>
      <c r="G15017" s="2"/>
      <c r="H15017" s="2"/>
    </row>
    <row r="15018" spans="1:8" x14ac:dyDescent="0.25">
      <c r="A15018" s="1"/>
      <c r="B15018" s="1" t="s">
        <v>5782</v>
      </c>
      <c r="C15018" s="1" t="s">
        <v>5783</v>
      </c>
      <c r="D15018" s="22" t="str">
        <f>HYPERLINK("https://rhld.insurance.arkansas.gov/NPILookup?Npi=1437318912","1437318912")</f>
        <v>1437318912</v>
      </c>
      <c r="E15018" s="1" t="s">
        <v>22193</v>
      </c>
      <c r="F15018" s="2"/>
      <c r="G15018" s="2"/>
      <c r="H15018" s="2"/>
    </row>
    <row r="15019" spans="1:8" x14ac:dyDescent="0.25">
      <c r="A15019" s="1"/>
      <c r="B15019" s="1" t="s">
        <v>5782</v>
      </c>
      <c r="C15019" s="1" t="s">
        <v>5783</v>
      </c>
      <c r="D15019" s="22" t="str">
        <f>HYPERLINK("https://rhld.insurance.arkansas.gov/NPILookup?Npi=1437328960","1437328960")</f>
        <v>1437328960</v>
      </c>
      <c r="E15019" s="1" t="s">
        <v>22194</v>
      </c>
      <c r="F15019" s="2"/>
      <c r="G15019" s="2"/>
      <c r="H15019" s="2"/>
    </row>
    <row r="15020" spans="1:8" x14ac:dyDescent="0.25">
      <c r="A15020" s="1"/>
      <c r="B15020" s="1" t="s">
        <v>5782</v>
      </c>
      <c r="C15020" s="1" t="s">
        <v>5783</v>
      </c>
      <c r="D15020" s="22" t="str">
        <f>HYPERLINK("https://rhld.insurance.arkansas.gov/NPILookup?Npi=1437342268","1437342268")</f>
        <v>1437342268</v>
      </c>
      <c r="E15020" s="1" t="s">
        <v>22195</v>
      </c>
      <c r="F15020" s="2"/>
      <c r="G15020" s="2"/>
      <c r="H15020" s="2"/>
    </row>
    <row r="15021" spans="1:8" x14ac:dyDescent="0.25">
      <c r="A15021" s="1"/>
      <c r="B15021" s="1" t="s">
        <v>5782</v>
      </c>
      <c r="C15021" s="1" t="s">
        <v>5783</v>
      </c>
      <c r="D15021" s="22" t="str">
        <f>HYPERLINK("https://rhld.insurance.arkansas.gov/NPILookup?Npi=1437349206","1437349206")</f>
        <v>1437349206</v>
      </c>
      <c r="E15021" s="1" t="s">
        <v>22196</v>
      </c>
      <c r="F15021" s="2"/>
      <c r="G15021" s="2"/>
      <c r="H15021" s="2"/>
    </row>
    <row r="15022" spans="1:8" x14ac:dyDescent="0.25">
      <c r="A15022" s="1"/>
      <c r="B15022" s="1" t="s">
        <v>5782</v>
      </c>
      <c r="C15022" s="1" t="s">
        <v>5783</v>
      </c>
      <c r="D15022" s="22" t="str">
        <f>HYPERLINK("https://rhld.insurance.arkansas.gov/NPILookup?Npi=1437362019","1437362019")</f>
        <v>1437362019</v>
      </c>
      <c r="E15022" s="1" t="s">
        <v>357</v>
      </c>
      <c r="F15022" s="2"/>
      <c r="G15022" s="2"/>
      <c r="H15022" s="2"/>
    </row>
    <row r="15023" spans="1:8" x14ac:dyDescent="0.25">
      <c r="A15023" s="1"/>
      <c r="B15023" s="1" t="s">
        <v>5782</v>
      </c>
      <c r="C15023" s="1" t="s">
        <v>5783</v>
      </c>
      <c r="D15023" s="22" t="str">
        <f>HYPERLINK("https://rhld.insurance.arkansas.gov/NPILookup?Npi=1437362803","1437362803")</f>
        <v>1437362803</v>
      </c>
      <c r="E15023" s="1" t="s">
        <v>11791</v>
      </c>
      <c r="F15023" s="2"/>
      <c r="G15023" s="2"/>
      <c r="H15023" s="2"/>
    </row>
    <row r="15024" spans="1:8" x14ac:dyDescent="0.25">
      <c r="A15024" s="1"/>
      <c r="B15024" s="1" t="s">
        <v>5782</v>
      </c>
      <c r="C15024" s="1" t="s">
        <v>5783</v>
      </c>
      <c r="D15024" s="22" t="str">
        <f>HYPERLINK("https://rhld.insurance.arkansas.gov/NPILookup?Npi=1437379955","1437379955")</f>
        <v>1437379955</v>
      </c>
      <c r="E15024" s="1" t="s">
        <v>1392</v>
      </c>
      <c r="F15024" s="2"/>
      <c r="G15024" s="2"/>
      <c r="H15024" s="2"/>
    </row>
    <row r="15025" spans="1:8" x14ac:dyDescent="0.25">
      <c r="A15025" s="1"/>
      <c r="B15025" s="1" t="s">
        <v>5782</v>
      </c>
      <c r="C15025" s="1" t="s">
        <v>5783</v>
      </c>
      <c r="D15025" s="22" t="str">
        <f>HYPERLINK("https://rhld.insurance.arkansas.gov/NPILookup?Npi=1437388204","1437388204")</f>
        <v>1437388204</v>
      </c>
      <c r="E15025" s="1" t="s">
        <v>31879</v>
      </c>
      <c r="F15025" s="2"/>
      <c r="G15025" s="2"/>
      <c r="H15025" s="2"/>
    </row>
    <row r="15026" spans="1:8" x14ac:dyDescent="0.25">
      <c r="A15026" s="1"/>
      <c r="B15026" s="1" t="s">
        <v>5782</v>
      </c>
      <c r="C15026" s="1" t="s">
        <v>5783</v>
      </c>
      <c r="D15026" s="22" t="str">
        <f>HYPERLINK("https://rhld.insurance.arkansas.gov/NPILookup?Npi=1437398518","1437398518")</f>
        <v>1437398518</v>
      </c>
      <c r="E15026" s="1" t="s">
        <v>22197</v>
      </c>
      <c r="F15026" s="2"/>
      <c r="G15026" s="2"/>
      <c r="H15026" s="2"/>
    </row>
    <row r="15027" spans="1:8" x14ac:dyDescent="0.25">
      <c r="A15027" s="1"/>
      <c r="B15027" s="1" t="s">
        <v>5782</v>
      </c>
      <c r="C15027" s="1" t="s">
        <v>5783</v>
      </c>
      <c r="D15027" s="22" t="str">
        <f>HYPERLINK("https://rhld.insurance.arkansas.gov/NPILookup?Npi=1437419538","1437419538")</f>
        <v>1437419538</v>
      </c>
      <c r="E15027" s="1" t="s">
        <v>2259</v>
      </c>
      <c r="F15027" s="2"/>
      <c r="G15027" s="2"/>
      <c r="H15027" s="2"/>
    </row>
    <row r="15028" spans="1:8" x14ac:dyDescent="0.25">
      <c r="A15028" s="1"/>
      <c r="B15028" s="1" t="s">
        <v>5782</v>
      </c>
      <c r="C15028" s="1" t="s">
        <v>5783</v>
      </c>
      <c r="D15028" s="22" t="str">
        <f>HYPERLINK("https://rhld.insurance.arkansas.gov/NPILookup?Npi=1437422458","1437422458")</f>
        <v>1437422458</v>
      </c>
      <c r="E15028" s="1" t="s">
        <v>306</v>
      </c>
      <c r="F15028" s="2"/>
      <c r="G15028" s="2"/>
      <c r="H15028" s="2"/>
    </row>
    <row r="15029" spans="1:8" x14ac:dyDescent="0.25">
      <c r="A15029" s="1"/>
      <c r="B15029" s="1" t="s">
        <v>5782</v>
      </c>
      <c r="C15029" s="1" t="s">
        <v>5783</v>
      </c>
      <c r="D15029" s="22" t="str">
        <f>HYPERLINK("https://rhld.insurance.arkansas.gov/NPILookup?Npi=1437422706","1437422706")</f>
        <v>1437422706</v>
      </c>
      <c r="E15029" s="1" t="s">
        <v>6284</v>
      </c>
      <c r="F15029" s="2"/>
      <c r="G15029" s="2"/>
      <c r="H15029" s="2"/>
    </row>
    <row r="15030" spans="1:8" x14ac:dyDescent="0.25">
      <c r="A15030" s="1"/>
      <c r="B15030" s="1" t="s">
        <v>5782</v>
      </c>
      <c r="C15030" s="1" t="s">
        <v>5783</v>
      </c>
      <c r="D15030" s="22" t="str">
        <f>HYPERLINK("https://rhld.insurance.arkansas.gov/NPILookup?Npi=1437429461","1437429461")</f>
        <v>1437429461</v>
      </c>
      <c r="E15030" s="1" t="s">
        <v>6285</v>
      </c>
      <c r="F15030" s="2"/>
      <c r="G15030" s="2"/>
      <c r="H15030" s="2"/>
    </row>
    <row r="15031" spans="1:8" x14ac:dyDescent="0.25">
      <c r="A15031" s="1"/>
      <c r="B15031" s="1" t="s">
        <v>5782</v>
      </c>
      <c r="C15031" s="1" t="s">
        <v>5783</v>
      </c>
      <c r="D15031" s="22" t="str">
        <f>HYPERLINK("https://rhld.insurance.arkansas.gov/NPILookup?Npi=1437455417","1437455417")</f>
        <v>1437455417</v>
      </c>
      <c r="E15031" s="1" t="s">
        <v>11792</v>
      </c>
      <c r="F15031" s="2"/>
      <c r="G15031" s="2"/>
      <c r="H15031" s="2"/>
    </row>
    <row r="15032" spans="1:8" x14ac:dyDescent="0.25">
      <c r="A15032" s="1"/>
      <c r="B15032" s="1" t="s">
        <v>5782</v>
      </c>
      <c r="C15032" s="1" t="s">
        <v>5783</v>
      </c>
      <c r="D15032" s="22" t="str">
        <f>HYPERLINK("https://rhld.insurance.arkansas.gov/NPILookup?Npi=1437460615","1437460615")</f>
        <v>1437460615</v>
      </c>
      <c r="E15032" s="1" t="s">
        <v>11793</v>
      </c>
      <c r="F15032" s="2"/>
      <c r="G15032" s="2"/>
      <c r="H15032" s="2"/>
    </row>
    <row r="15033" spans="1:8" x14ac:dyDescent="0.25">
      <c r="A15033" s="1"/>
      <c r="B15033" s="1" t="s">
        <v>5782</v>
      </c>
      <c r="C15033" s="1" t="s">
        <v>5783</v>
      </c>
      <c r="D15033" s="22" t="str">
        <f>HYPERLINK("https://rhld.insurance.arkansas.gov/NPILookup?Npi=1437462348","1437462348")</f>
        <v>1437462348</v>
      </c>
      <c r="E15033" s="1" t="s">
        <v>22198</v>
      </c>
      <c r="F15033" s="2"/>
      <c r="G15033" s="2"/>
      <c r="H15033" s="2"/>
    </row>
    <row r="15034" spans="1:8" x14ac:dyDescent="0.25">
      <c r="A15034" s="1"/>
      <c r="B15034" s="1" t="s">
        <v>5782</v>
      </c>
      <c r="C15034" s="1" t="s">
        <v>5783</v>
      </c>
      <c r="D15034" s="22" t="str">
        <f>HYPERLINK("https://rhld.insurance.arkansas.gov/NPILookup?Npi=1437471299","1437471299")</f>
        <v>1437471299</v>
      </c>
      <c r="E15034" s="1" t="s">
        <v>362</v>
      </c>
      <c r="F15034" s="2"/>
      <c r="G15034" s="2"/>
      <c r="H15034" s="2"/>
    </row>
    <row r="15035" spans="1:8" x14ac:dyDescent="0.25">
      <c r="A15035" s="1"/>
      <c r="B15035" s="1" t="s">
        <v>5782</v>
      </c>
      <c r="C15035" s="1" t="s">
        <v>5783</v>
      </c>
      <c r="D15035" s="22" t="str">
        <f>HYPERLINK("https://rhld.insurance.arkansas.gov/NPILookup?Npi=1437473006","1437473006")</f>
        <v>1437473006</v>
      </c>
      <c r="E15035" s="1" t="s">
        <v>6286</v>
      </c>
      <c r="F15035" s="2"/>
      <c r="G15035" s="2"/>
      <c r="H15035" s="2"/>
    </row>
    <row r="15036" spans="1:8" x14ac:dyDescent="0.25">
      <c r="A15036" s="1"/>
      <c r="B15036" s="1" t="s">
        <v>5782</v>
      </c>
      <c r="C15036" s="1" t="s">
        <v>5783</v>
      </c>
      <c r="D15036" s="22" t="str">
        <f>HYPERLINK("https://rhld.insurance.arkansas.gov/NPILookup?Npi=1437478740","1437478740")</f>
        <v>1437478740</v>
      </c>
      <c r="E15036" s="1" t="s">
        <v>22199</v>
      </c>
      <c r="F15036" s="2"/>
      <c r="G15036" s="2"/>
      <c r="H15036" s="2"/>
    </row>
    <row r="15037" spans="1:8" x14ac:dyDescent="0.25">
      <c r="A15037" s="1"/>
      <c r="B15037" s="1" t="s">
        <v>5782</v>
      </c>
      <c r="C15037" s="1" t="s">
        <v>5783</v>
      </c>
      <c r="D15037" s="22" t="str">
        <f>HYPERLINK("https://rhld.insurance.arkansas.gov/NPILookup?Npi=1437479250","1437479250")</f>
        <v>1437479250</v>
      </c>
      <c r="E15037" s="1" t="s">
        <v>22200</v>
      </c>
      <c r="F15037" s="2"/>
      <c r="G15037" s="2"/>
      <c r="H15037" s="2"/>
    </row>
    <row r="15038" spans="1:8" x14ac:dyDescent="0.25">
      <c r="A15038" s="1"/>
      <c r="B15038" s="1" t="s">
        <v>5782</v>
      </c>
      <c r="C15038" s="1" t="s">
        <v>5783</v>
      </c>
      <c r="D15038" s="22" t="str">
        <f>HYPERLINK("https://rhld.insurance.arkansas.gov/NPILookup?Npi=1437493822","1437493822")</f>
        <v>1437493822</v>
      </c>
      <c r="E15038" s="1" t="s">
        <v>22201</v>
      </c>
      <c r="F15038" s="2"/>
      <c r="G15038" s="2"/>
      <c r="H15038" s="2"/>
    </row>
    <row r="15039" spans="1:8" x14ac:dyDescent="0.25">
      <c r="A15039" s="1"/>
      <c r="B15039" s="1" t="s">
        <v>5782</v>
      </c>
      <c r="C15039" s="1" t="s">
        <v>5783</v>
      </c>
      <c r="D15039" s="22" t="str">
        <f>HYPERLINK("https://rhld.insurance.arkansas.gov/NPILookup?Npi=1437496718","1437496718")</f>
        <v>1437496718</v>
      </c>
      <c r="E15039" s="1" t="s">
        <v>2185</v>
      </c>
      <c r="F15039" s="2"/>
      <c r="G15039" s="2"/>
      <c r="H15039" s="2"/>
    </row>
    <row r="15040" spans="1:8" x14ac:dyDescent="0.25">
      <c r="A15040" s="1"/>
      <c r="B15040" s="1" t="s">
        <v>5782</v>
      </c>
      <c r="C15040" s="1" t="s">
        <v>5783</v>
      </c>
      <c r="D15040" s="22" t="str">
        <f>HYPERLINK("https://rhld.insurance.arkansas.gov/NPILookup?Npi=1437512738","1437512738")</f>
        <v>1437512738</v>
      </c>
      <c r="E15040" s="1" t="s">
        <v>22202</v>
      </c>
      <c r="F15040" s="2"/>
      <c r="G15040" s="2"/>
      <c r="H15040" s="2"/>
    </row>
    <row r="15041" spans="1:8" x14ac:dyDescent="0.25">
      <c r="A15041" s="1"/>
      <c r="B15041" s="1" t="s">
        <v>5782</v>
      </c>
      <c r="C15041" s="1" t="s">
        <v>5783</v>
      </c>
      <c r="D15041" s="22" t="str">
        <f>HYPERLINK("https://rhld.insurance.arkansas.gov/NPILookup?Npi=1437521127","1437521127")</f>
        <v>1437521127</v>
      </c>
      <c r="E15041" s="1" t="s">
        <v>22203</v>
      </c>
      <c r="F15041" s="2"/>
      <c r="G15041" s="2"/>
      <c r="H15041" s="2"/>
    </row>
    <row r="15042" spans="1:8" x14ac:dyDescent="0.25">
      <c r="A15042" s="1"/>
      <c r="B15042" s="1" t="s">
        <v>5782</v>
      </c>
      <c r="C15042" s="1" t="s">
        <v>5783</v>
      </c>
      <c r="D15042" s="22" t="str">
        <f>HYPERLINK("https://rhld.insurance.arkansas.gov/NPILookup?Npi=1437526464","1437526464")</f>
        <v>1437526464</v>
      </c>
      <c r="E15042" s="1" t="s">
        <v>6287</v>
      </c>
      <c r="F15042" s="2"/>
      <c r="G15042" s="2"/>
      <c r="H15042" s="2"/>
    </row>
    <row r="15043" spans="1:8" x14ac:dyDescent="0.25">
      <c r="A15043" s="1"/>
      <c r="B15043" s="1" t="s">
        <v>5782</v>
      </c>
      <c r="C15043" s="1" t="s">
        <v>5783</v>
      </c>
      <c r="D15043" s="22" t="str">
        <f>HYPERLINK("https://rhld.insurance.arkansas.gov/NPILookup?Npi=1437538402","1437538402")</f>
        <v>1437538402</v>
      </c>
      <c r="E15043" s="1" t="s">
        <v>22204</v>
      </c>
      <c r="F15043" s="2"/>
      <c r="G15043" s="2"/>
      <c r="H15043" s="2"/>
    </row>
    <row r="15044" spans="1:8" x14ac:dyDescent="0.25">
      <c r="A15044" s="1"/>
      <c r="B15044" s="1" t="s">
        <v>5782</v>
      </c>
      <c r="C15044" s="1" t="s">
        <v>5783</v>
      </c>
      <c r="D15044" s="22" t="str">
        <f>HYPERLINK("https://rhld.insurance.arkansas.gov/NPILookup?Npi=1437551454","1437551454")</f>
        <v>1437551454</v>
      </c>
      <c r="E15044" s="1" t="s">
        <v>22205</v>
      </c>
      <c r="F15044" s="2"/>
      <c r="G15044" s="2"/>
      <c r="H15044" s="2"/>
    </row>
    <row r="15045" spans="1:8" x14ac:dyDescent="0.25">
      <c r="A15045" s="1"/>
      <c r="B15045" s="1" t="s">
        <v>5782</v>
      </c>
      <c r="C15045" s="1" t="s">
        <v>5783</v>
      </c>
      <c r="D15045" s="22" t="str">
        <f>HYPERLINK("https://rhld.insurance.arkansas.gov/NPILookup?Npi=1437552296","1437552296")</f>
        <v>1437552296</v>
      </c>
      <c r="E15045" s="1" t="s">
        <v>22206</v>
      </c>
      <c r="F15045" s="2"/>
      <c r="G15045" s="2"/>
      <c r="H15045" s="2"/>
    </row>
    <row r="15046" spans="1:8" x14ac:dyDescent="0.25">
      <c r="A15046" s="1"/>
      <c r="B15046" s="1" t="s">
        <v>5782</v>
      </c>
      <c r="C15046" s="1" t="s">
        <v>5783</v>
      </c>
      <c r="D15046" s="22" t="str">
        <f>HYPERLINK("https://rhld.insurance.arkansas.gov/NPILookup?Npi=1437559200","1437559200")</f>
        <v>1437559200</v>
      </c>
      <c r="E15046" s="1" t="s">
        <v>11794</v>
      </c>
      <c r="F15046" s="2"/>
      <c r="G15046" s="2"/>
      <c r="H15046" s="2"/>
    </row>
    <row r="15047" spans="1:8" x14ac:dyDescent="0.25">
      <c r="A15047" s="1"/>
      <c r="B15047" s="1" t="s">
        <v>5782</v>
      </c>
      <c r="C15047" s="1" t="s">
        <v>5783</v>
      </c>
      <c r="D15047" s="22" t="str">
        <f>HYPERLINK("https://rhld.insurance.arkansas.gov/NPILookup?Npi=1437563988","1437563988")</f>
        <v>1437563988</v>
      </c>
      <c r="E15047" s="1" t="s">
        <v>12099</v>
      </c>
      <c r="F15047" s="2"/>
      <c r="G15047" s="2"/>
      <c r="H15047" s="2"/>
    </row>
    <row r="15048" spans="1:8" x14ac:dyDescent="0.25">
      <c r="A15048" s="1"/>
      <c r="B15048" s="1" t="s">
        <v>5782</v>
      </c>
      <c r="C15048" s="1" t="s">
        <v>5783</v>
      </c>
      <c r="D15048" s="22" t="str">
        <f>HYPERLINK("https://rhld.insurance.arkansas.gov/NPILookup?Npi=1437587995","1437587995")</f>
        <v>1437587995</v>
      </c>
      <c r="E15048" s="1" t="s">
        <v>22207</v>
      </c>
      <c r="F15048" s="2"/>
      <c r="G15048" s="2"/>
      <c r="H15048" s="2"/>
    </row>
    <row r="15049" spans="1:8" x14ac:dyDescent="0.25">
      <c r="A15049" s="1"/>
      <c r="B15049" s="1" t="s">
        <v>5782</v>
      </c>
      <c r="C15049" s="1" t="s">
        <v>5783</v>
      </c>
      <c r="D15049" s="22" t="str">
        <f>HYPERLINK("https://rhld.insurance.arkansas.gov/NPILookup?Npi=1437589777","1437589777")</f>
        <v>1437589777</v>
      </c>
      <c r="E15049" s="1" t="s">
        <v>22208</v>
      </c>
      <c r="F15049" s="2"/>
      <c r="G15049" s="2"/>
      <c r="H15049" s="2"/>
    </row>
    <row r="15050" spans="1:8" x14ac:dyDescent="0.25">
      <c r="A15050" s="1"/>
      <c r="B15050" s="1" t="s">
        <v>5782</v>
      </c>
      <c r="C15050" s="1" t="s">
        <v>5783</v>
      </c>
      <c r="D15050" s="22" t="str">
        <f>HYPERLINK("https://rhld.insurance.arkansas.gov/NPILookup?Npi=1437599743","1437599743")</f>
        <v>1437599743</v>
      </c>
      <c r="E15050" s="1" t="s">
        <v>22209</v>
      </c>
      <c r="F15050" s="2"/>
      <c r="G15050" s="2"/>
      <c r="H15050" s="2"/>
    </row>
    <row r="15051" spans="1:8" x14ac:dyDescent="0.25">
      <c r="A15051" s="1"/>
      <c r="B15051" s="1" t="s">
        <v>5782</v>
      </c>
      <c r="C15051" s="1" t="s">
        <v>5783</v>
      </c>
      <c r="D15051" s="22" t="str">
        <f>HYPERLINK("https://rhld.insurance.arkansas.gov/NPILookup?Npi=1437613148","1437613148")</f>
        <v>1437613148</v>
      </c>
      <c r="E15051" s="1" t="s">
        <v>22210</v>
      </c>
      <c r="F15051" s="2"/>
      <c r="G15051" s="2"/>
      <c r="H15051" s="2"/>
    </row>
    <row r="15052" spans="1:8" x14ac:dyDescent="0.25">
      <c r="A15052" s="1"/>
      <c r="B15052" s="1" t="s">
        <v>5782</v>
      </c>
      <c r="C15052" s="1" t="s">
        <v>5783</v>
      </c>
      <c r="D15052" s="22" t="str">
        <f>HYPERLINK("https://rhld.insurance.arkansas.gov/NPILookup?Npi=1437625274","1437625274")</f>
        <v>1437625274</v>
      </c>
      <c r="E15052" s="1" t="s">
        <v>2830</v>
      </c>
      <c r="F15052" s="2"/>
      <c r="G15052" s="2"/>
      <c r="H15052" s="2"/>
    </row>
    <row r="15053" spans="1:8" x14ac:dyDescent="0.25">
      <c r="A15053" s="1"/>
      <c r="B15053" s="1" t="s">
        <v>5782</v>
      </c>
      <c r="C15053" s="1" t="s">
        <v>5783</v>
      </c>
      <c r="D15053" s="22" t="str">
        <f>HYPERLINK("https://rhld.insurance.arkansas.gov/NPILookup?Npi=1437645389","1437645389")</f>
        <v>1437645389</v>
      </c>
      <c r="E15053" s="1" t="s">
        <v>11795</v>
      </c>
      <c r="F15053" s="2"/>
      <c r="G15053" s="2"/>
      <c r="H15053" s="2"/>
    </row>
    <row r="15054" spans="1:8" x14ac:dyDescent="0.25">
      <c r="A15054" s="1"/>
      <c r="B15054" s="1" t="s">
        <v>5782</v>
      </c>
      <c r="C15054" s="1" t="s">
        <v>5783</v>
      </c>
      <c r="D15054" s="22" t="str">
        <f>HYPERLINK("https://rhld.insurance.arkansas.gov/NPILookup?Npi=1437655040","1437655040")</f>
        <v>1437655040</v>
      </c>
      <c r="E15054" s="1" t="s">
        <v>11796</v>
      </c>
      <c r="F15054" s="2"/>
      <c r="G15054" s="2"/>
      <c r="H15054" s="2"/>
    </row>
    <row r="15055" spans="1:8" x14ac:dyDescent="0.25">
      <c r="A15055" s="1"/>
      <c r="B15055" s="1" t="s">
        <v>5782</v>
      </c>
      <c r="C15055" s="1" t="s">
        <v>5783</v>
      </c>
      <c r="D15055" s="22" t="str">
        <f>HYPERLINK("https://rhld.insurance.arkansas.gov/NPILookup?Npi=1437658838","1437658838")</f>
        <v>1437658838</v>
      </c>
      <c r="E15055" s="1" t="s">
        <v>3299</v>
      </c>
      <c r="F15055" s="2"/>
      <c r="G15055" s="2"/>
      <c r="H15055" s="2"/>
    </row>
    <row r="15056" spans="1:8" x14ac:dyDescent="0.25">
      <c r="A15056" s="1"/>
      <c r="B15056" s="1" t="s">
        <v>5782</v>
      </c>
      <c r="C15056" s="1" t="s">
        <v>5783</v>
      </c>
      <c r="D15056" s="22" t="str">
        <f>HYPERLINK("https://rhld.insurance.arkansas.gov/NPILookup?Npi=1437660925","1437660925")</f>
        <v>1437660925</v>
      </c>
      <c r="E15056" s="1" t="s">
        <v>1513</v>
      </c>
      <c r="F15056" s="2"/>
      <c r="G15056" s="2"/>
      <c r="H15056" s="2"/>
    </row>
    <row r="15057" spans="1:8" x14ac:dyDescent="0.25">
      <c r="A15057" s="1"/>
      <c r="B15057" s="1" t="s">
        <v>5782</v>
      </c>
      <c r="C15057" s="1" t="s">
        <v>5783</v>
      </c>
      <c r="D15057" s="22" t="str">
        <f>HYPERLINK("https://rhld.insurance.arkansas.gov/NPILookup?Npi=1437662335","1437662335")</f>
        <v>1437662335</v>
      </c>
      <c r="E15057" s="1" t="s">
        <v>6289</v>
      </c>
      <c r="F15057" s="2"/>
      <c r="G15057" s="2"/>
      <c r="H15057" s="2"/>
    </row>
    <row r="15058" spans="1:8" x14ac:dyDescent="0.25">
      <c r="A15058" s="1"/>
      <c r="B15058" s="1" t="s">
        <v>5782</v>
      </c>
      <c r="C15058" s="1" t="s">
        <v>5783</v>
      </c>
      <c r="D15058" s="22" t="str">
        <f>HYPERLINK("https://rhld.insurance.arkansas.gov/NPILookup?Npi=1437674603","1437674603")</f>
        <v>1437674603</v>
      </c>
      <c r="E15058" s="1" t="s">
        <v>22211</v>
      </c>
      <c r="F15058" s="2"/>
      <c r="G15058" s="2"/>
      <c r="H15058" s="2"/>
    </row>
    <row r="15059" spans="1:8" x14ac:dyDescent="0.25">
      <c r="A15059" s="1"/>
      <c r="B15059" s="1" t="s">
        <v>5782</v>
      </c>
      <c r="C15059" s="1" t="s">
        <v>5783</v>
      </c>
      <c r="D15059" s="22" t="str">
        <f>HYPERLINK("https://rhld.insurance.arkansas.gov/NPILookup?Npi=1437692720","1437692720")</f>
        <v>1437692720</v>
      </c>
      <c r="E15059" s="1" t="s">
        <v>1326</v>
      </c>
      <c r="F15059" s="2"/>
      <c r="G15059" s="2"/>
      <c r="H15059" s="2"/>
    </row>
    <row r="15060" spans="1:8" x14ac:dyDescent="0.25">
      <c r="A15060" s="1"/>
      <c r="B15060" s="1" t="s">
        <v>5782</v>
      </c>
      <c r="C15060" s="1" t="s">
        <v>5783</v>
      </c>
      <c r="D15060" s="22" t="str">
        <f>HYPERLINK("https://rhld.insurance.arkansas.gov/NPILookup?Npi=1437696168","1437696168")</f>
        <v>1437696168</v>
      </c>
      <c r="E15060" s="1" t="s">
        <v>1327</v>
      </c>
      <c r="F15060" s="2"/>
      <c r="G15060" s="2"/>
      <c r="H15060" s="2"/>
    </row>
    <row r="15061" spans="1:8" x14ac:dyDescent="0.25">
      <c r="A15061" s="1"/>
      <c r="B15061" s="1" t="s">
        <v>5782</v>
      </c>
      <c r="C15061" s="1" t="s">
        <v>5783</v>
      </c>
      <c r="D15061" s="22" t="str">
        <f>HYPERLINK("https://rhld.insurance.arkansas.gov/NPILookup?Npi=1437698461","1437698461")</f>
        <v>1437698461</v>
      </c>
      <c r="E15061" s="1" t="s">
        <v>6290</v>
      </c>
      <c r="F15061" s="2"/>
      <c r="G15061" s="2"/>
      <c r="H15061" s="2"/>
    </row>
    <row r="15062" spans="1:8" x14ac:dyDescent="0.25">
      <c r="A15062" s="1"/>
      <c r="B15062" s="1" t="s">
        <v>5782</v>
      </c>
      <c r="C15062" s="1" t="s">
        <v>5783</v>
      </c>
      <c r="D15062" s="22" t="str">
        <f>HYPERLINK("https://rhld.insurance.arkansas.gov/NPILookup?Npi=1437706884","1437706884")</f>
        <v>1437706884</v>
      </c>
      <c r="E15062" s="1" t="s">
        <v>22212</v>
      </c>
      <c r="F15062" s="2"/>
      <c r="G15062" s="2"/>
      <c r="H15062" s="2"/>
    </row>
    <row r="15063" spans="1:8" x14ac:dyDescent="0.25">
      <c r="A15063" s="1"/>
      <c r="B15063" s="1" t="s">
        <v>5782</v>
      </c>
      <c r="C15063" s="1" t="s">
        <v>5783</v>
      </c>
      <c r="D15063" s="22" t="str">
        <f>HYPERLINK("https://rhld.insurance.arkansas.gov/NPILookup?Npi=1437740180","1437740180")</f>
        <v>1437740180</v>
      </c>
      <c r="E15063" s="1" t="s">
        <v>22213</v>
      </c>
      <c r="F15063" s="2"/>
      <c r="G15063" s="2"/>
      <c r="H15063" s="2"/>
    </row>
    <row r="15064" spans="1:8" x14ac:dyDescent="0.25">
      <c r="A15064" s="1"/>
      <c r="B15064" s="1" t="s">
        <v>5782</v>
      </c>
      <c r="C15064" s="1" t="s">
        <v>5783</v>
      </c>
      <c r="D15064" s="22" t="str">
        <f>HYPERLINK("https://rhld.insurance.arkansas.gov/NPILookup?Npi=1437752565","1437752565")</f>
        <v>1437752565</v>
      </c>
      <c r="E15064" s="1" t="s">
        <v>22214</v>
      </c>
      <c r="F15064" s="2"/>
      <c r="G15064" s="2"/>
      <c r="H15064" s="2"/>
    </row>
    <row r="15065" spans="1:8" x14ac:dyDescent="0.25">
      <c r="A15065" s="1"/>
      <c r="B15065" s="1" t="s">
        <v>5782</v>
      </c>
      <c r="C15065" s="1" t="s">
        <v>5783</v>
      </c>
      <c r="D15065" s="22" t="str">
        <f>HYPERLINK("https://rhld.insurance.arkansas.gov/NPILookup?Npi=1437762770","1437762770")</f>
        <v>1437762770</v>
      </c>
      <c r="E15065" s="1" t="s">
        <v>6291</v>
      </c>
      <c r="F15065" s="2"/>
      <c r="G15065" s="2"/>
      <c r="H15065" s="2"/>
    </row>
    <row r="15066" spans="1:8" x14ac:dyDescent="0.25">
      <c r="A15066" s="1"/>
      <c r="B15066" s="1" t="s">
        <v>5782</v>
      </c>
      <c r="C15066" s="1" t="s">
        <v>5783</v>
      </c>
      <c r="D15066" s="22" t="str">
        <f>HYPERLINK("https://rhld.insurance.arkansas.gov/NPILookup?Npi=1437787835","1437787835")</f>
        <v>1437787835</v>
      </c>
      <c r="E15066" s="1" t="s">
        <v>11797</v>
      </c>
      <c r="F15066" s="2"/>
      <c r="G15066" s="2"/>
      <c r="H15066" s="2"/>
    </row>
    <row r="15067" spans="1:8" x14ac:dyDescent="0.25">
      <c r="A15067" s="1"/>
      <c r="B15067" s="1" t="s">
        <v>5782</v>
      </c>
      <c r="C15067" s="1" t="s">
        <v>5783</v>
      </c>
      <c r="D15067" s="22" t="str">
        <f>HYPERLINK("https://rhld.insurance.arkansas.gov/NPILookup?Npi=1437795671","1437795671")</f>
        <v>1437795671</v>
      </c>
      <c r="E15067" s="1" t="s">
        <v>22215</v>
      </c>
      <c r="F15067" s="2"/>
      <c r="G15067" s="2"/>
      <c r="H15067" s="2"/>
    </row>
    <row r="15068" spans="1:8" x14ac:dyDescent="0.25">
      <c r="A15068" s="1"/>
      <c r="B15068" s="1" t="s">
        <v>5782</v>
      </c>
      <c r="C15068" s="1" t="s">
        <v>5783</v>
      </c>
      <c r="D15068" s="22" t="str">
        <f>HYPERLINK("https://rhld.insurance.arkansas.gov/NPILookup?Npi=1437802972","1437802972")</f>
        <v>1437802972</v>
      </c>
      <c r="E15068" s="1" t="s">
        <v>22216</v>
      </c>
      <c r="F15068" s="2"/>
      <c r="G15068" s="2"/>
      <c r="H15068" s="2"/>
    </row>
    <row r="15069" spans="1:8" x14ac:dyDescent="0.25">
      <c r="A15069" s="1"/>
      <c r="B15069" s="1" t="s">
        <v>5782</v>
      </c>
      <c r="C15069" s="1" t="s">
        <v>5783</v>
      </c>
      <c r="D15069" s="22" t="str">
        <f>HYPERLINK("https://rhld.insurance.arkansas.gov/NPILookup?Npi=1437803814","1437803814")</f>
        <v>1437803814</v>
      </c>
      <c r="E15069" s="1" t="s">
        <v>6292</v>
      </c>
      <c r="F15069" s="2"/>
      <c r="G15069" s="2"/>
      <c r="H15069" s="2"/>
    </row>
    <row r="15070" spans="1:8" x14ac:dyDescent="0.25">
      <c r="A15070" s="1"/>
      <c r="B15070" s="1" t="s">
        <v>5782</v>
      </c>
      <c r="C15070" s="1" t="s">
        <v>5783</v>
      </c>
      <c r="D15070" s="22" t="str">
        <f>HYPERLINK("https://rhld.insurance.arkansas.gov/NPILookup?Npi=1437807427","1437807427")</f>
        <v>1437807427</v>
      </c>
      <c r="E15070" s="1" t="s">
        <v>6293</v>
      </c>
      <c r="F15070" s="2"/>
      <c r="G15070" s="2"/>
      <c r="H15070" s="2"/>
    </row>
    <row r="15071" spans="1:8" x14ac:dyDescent="0.25">
      <c r="A15071" s="1"/>
      <c r="B15071" s="1" t="s">
        <v>5782</v>
      </c>
      <c r="C15071" s="1" t="s">
        <v>5783</v>
      </c>
      <c r="D15071" s="22" t="str">
        <f>HYPERLINK("https://rhld.insurance.arkansas.gov/NPILookup?Npi=1437813763","1437813763")</f>
        <v>1437813763</v>
      </c>
      <c r="E15071" s="1" t="s">
        <v>22217</v>
      </c>
      <c r="F15071" s="2"/>
      <c r="G15071" s="2"/>
      <c r="H15071" s="2"/>
    </row>
    <row r="15072" spans="1:8" x14ac:dyDescent="0.25">
      <c r="A15072" s="1"/>
      <c r="B15072" s="1" t="s">
        <v>5782</v>
      </c>
      <c r="C15072" s="1" t="s">
        <v>5783</v>
      </c>
      <c r="D15072" s="22" t="str">
        <f>HYPERLINK("https://rhld.insurance.arkansas.gov/NPILookup?Npi=1437848892","1437848892")</f>
        <v>1437848892</v>
      </c>
      <c r="E15072" s="1" t="s">
        <v>23717</v>
      </c>
      <c r="F15072" s="2"/>
      <c r="G15072" s="2"/>
      <c r="H15072" s="2"/>
    </row>
    <row r="15073" spans="1:8" x14ac:dyDescent="0.25">
      <c r="A15073" s="1"/>
      <c r="B15073" s="1" t="s">
        <v>5782</v>
      </c>
      <c r="C15073" s="1" t="s">
        <v>5783</v>
      </c>
      <c r="D15073" s="22" t="str">
        <f>HYPERLINK("https://rhld.insurance.arkansas.gov/NPILookup?Npi=1437851698","1437851698")</f>
        <v>1437851698</v>
      </c>
      <c r="E15073" s="1" t="s">
        <v>22218</v>
      </c>
      <c r="F15073" s="2"/>
      <c r="G15073" s="2"/>
      <c r="H15073" s="2"/>
    </row>
    <row r="15074" spans="1:8" x14ac:dyDescent="0.25">
      <c r="A15074" s="1"/>
      <c r="B15074" s="1" t="s">
        <v>5782</v>
      </c>
      <c r="C15074" s="1" t="s">
        <v>5783</v>
      </c>
      <c r="D15074" s="22" t="str">
        <f>HYPERLINK("https://rhld.insurance.arkansas.gov/NPILookup?Npi=1437856820","1437856820")</f>
        <v>1437856820</v>
      </c>
      <c r="E15074" s="1" t="s">
        <v>22219</v>
      </c>
      <c r="F15074" s="2"/>
      <c r="G15074" s="2"/>
      <c r="H15074" s="2"/>
    </row>
    <row r="15075" spans="1:8" x14ac:dyDescent="0.25">
      <c r="A15075" s="1"/>
      <c r="B15075" s="1" t="s">
        <v>5782</v>
      </c>
      <c r="C15075" s="1" t="s">
        <v>5783</v>
      </c>
      <c r="D15075" s="22" t="str">
        <f>HYPERLINK("https://rhld.insurance.arkansas.gov/NPILookup?Npi=1437872181","1437872181")</f>
        <v>1437872181</v>
      </c>
      <c r="E15075" s="1" t="s">
        <v>6294</v>
      </c>
      <c r="F15075" s="2"/>
      <c r="G15075" s="2"/>
      <c r="H15075" s="2"/>
    </row>
    <row r="15076" spans="1:8" x14ac:dyDescent="0.25">
      <c r="A15076" s="1"/>
      <c r="B15076" s="1" t="s">
        <v>5782</v>
      </c>
      <c r="C15076" s="1" t="s">
        <v>5783</v>
      </c>
      <c r="D15076" s="22" t="str">
        <f>HYPERLINK("https://rhld.insurance.arkansas.gov/NPILookup?Npi=1437874781","1437874781")</f>
        <v>1437874781</v>
      </c>
      <c r="E15076" s="1" t="s">
        <v>11798</v>
      </c>
      <c r="F15076" s="2"/>
      <c r="G15076" s="2"/>
      <c r="H15076" s="2"/>
    </row>
    <row r="15077" spans="1:8" x14ac:dyDescent="0.25">
      <c r="A15077" s="1"/>
      <c r="B15077" s="1" t="s">
        <v>5782</v>
      </c>
      <c r="C15077" s="1" t="s">
        <v>5783</v>
      </c>
      <c r="D15077" s="22" t="str">
        <f>HYPERLINK("https://rhld.insurance.arkansas.gov/NPILookup?Npi=1437886157","1437886157")</f>
        <v>1437886157</v>
      </c>
      <c r="E15077" s="1" t="s">
        <v>22220</v>
      </c>
      <c r="F15077" s="2"/>
      <c r="G15077" s="2"/>
      <c r="H15077" s="2"/>
    </row>
    <row r="15078" spans="1:8" x14ac:dyDescent="0.25">
      <c r="A15078" s="1"/>
      <c r="B15078" s="1" t="s">
        <v>5782</v>
      </c>
      <c r="C15078" s="1" t="s">
        <v>5783</v>
      </c>
      <c r="D15078" s="22" t="str">
        <f>HYPERLINK("https://rhld.insurance.arkansas.gov/NPILookup?Npi=1437893385","1437893385")</f>
        <v>1437893385</v>
      </c>
      <c r="E15078" s="1" t="s">
        <v>6295</v>
      </c>
      <c r="F15078" s="2"/>
      <c r="G15078" s="2"/>
      <c r="H15078" s="2"/>
    </row>
    <row r="15079" spans="1:8" x14ac:dyDescent="0.25">
      <c r="A15079" s="1"/>
      <c r="B15079" s="1" t="s">
        <v>5782</v>
      </c>
      <c r="C15079" s="1" t="s">
        <v>5783</v>
      </c>
      <c r="D15079" s="22" t="str">
        <f>HYPERLINK("https://rhld.insurance.arkansas.gov/NPILookup?Npi=1437917234","1437917234")</f>
        <v>1437917234</v>
      </c>
      <c r="E15079" s="1" t="s">
        <v>5197</v>
      </c>
      <c r="F15079" s="2"/>
      <c r="G15079" s="2"/>
      <c r="H15079" s="2"/>
    </row>
    <row r="15080" spans="1:8" x14ac:dyDescent="0.25">
      <c r="A15080" s="1"/>
      <c r="B15080" s="1" t="s">
        <v>5782</v>
      </c>
      <c r="C15080" s="1" t="s">
        <v>5783</v>
      </c>
      <c r="D15080" s="22" t="str">
        <f>HYPERLINK("https://rhld.insurance.arkansas.gov/NPILookup?Npi=1447260971","1447260971")</f>
        <v>1447260971</v>
      </c>
      <c r="E15080" s="1" t="s">
        <v>6296</v>
      </c>
      <c r="F15080" s="2"/>
      <c r="G15080" s="2"/>
      <c r="H15080" s="2"/>
    </row>
    <row r="15081" spans="1:8" x14ac:dyDescent="0.25">
      <c r="A15081" s="1"/>
      <c r="B15081" s="1" t="s">
        <v>5782</v>
      </c>
      <c r="C15081" s="1" t="s">
        <v>5783</v>
      </c>
      <c r="D15081" s="22" t="str">
        <f>HYPERLINK("https://rhld.insurance.arkansas.gov/NPILookup?Npi=1447313309","1447313309")</f>
        <v>1447313309</v>
      </c>
      <c r="E15081" s="1" t="s">
        <v>6297</v>
      </c>
      <c r="F15081" s="2"/>
      <c r="G15081" s="2"/>
      <c r="H15081" s="2"/>
    </row>
    <row r="15082" spans="1:8" x14ac:dyDescent="0.25">
      <c r="A15082" s="1"/>
      <c r="B15082" s="1" t="s">
        <v>5782</v>
      </c>
      <c r="C15082" s="1" t="s">
        <v>5783</v>
      </c>
      <c r="D15082" s="22" t="str">
        <f>HYPERLINK("https://rhld.insurance.arkansas.gov/NPILookup?Npi=1447316765","1447316765")</f>
        <v>1447316765</v>
      </c>
      <c r="E15082" s="1" t="s">
        <v>22221</v>
      </c>
      <c r="F15082" s="2"/>
      <c r="G15082" s="2"/>
      <c r="H15082" s="2"/>
    </row>
    <row r="15083" spans="1:8" x14ac:dyDescent="0.25">
      <c r="A15083" s="1"/>
      <c r="B15083" s="1" t="s">
        <v>5782</v>
      </c>
      <c r="C15083" s="1" t="s">
        <v>5783</v>
      </c>
      <c r="D15083" s="22" t="str">
        <f>HYPERLINK("https://rhld.insurance.arkansas.gov/NPILookup?Npi=1447328695","1447328695")</f>
        <v>1447328695</v>
      </c>
      <c r="E15083" s="1" t="s">
        <v>1137</v>
      </c>
      <c r="F15083" s="2"/>
      <c r="G15083" s="2"/>
      <c r="H15083" s="2"/>
    </row>
    <row r="15084" spans="1:8" x14ac:dyDescent="0.25">
      <c r="A15084" s="1"/>
      <c r="B15084" s="1" t="s">
        <v>5782</v>
      </c>
      <c r="C15084" s="1" t="s">
        <v>5783</v>
      </c>
      <c r="D15084" s="22" t="str">
        <f>HYPERLINK("https://rhld.insurance.arkansas.gov/NPILookup?Npi=1447335906","1447335906")</f>
        <v>1447335906</v>
      </c>
      <c r="E15084" s="1" t="s">
        <v>3283</v>
      </c>
      <c r="F15084" s="2"/>
      <c r="G15084" s="2"/>
      <c r="H15084" s="2"/>
    </row>
    <row r="15085" spans="1:8" x14ac:dyDescent="0.25">
      <c r="A15085" s="1"/>
      <c r="B15085" s="1" t="s">
        <v>5782</v>
      </c>
      <c r="C15085" s="1" t="s">
        <v>5783</v>
      </c>
      <c r="D15085" s="22" t="str">
        <f>HYPERLINK("https://rhld.insurance.arkansas.gov/NPILookup?Npi=1447370044","1447370044")</f>
        <v>1447370044</v>
      </c>
      <c r="E15085" s="1" t="s">
        <v>3377</v>
      </c>
      <c r="F15085" s="2"/>
      <c r="G15085" s="2"/>
      <c r="H15085" s="2"/>
    </row>
    <row r="15086" spans="1:8" x14ac:dyDescent="0.25">
      <c r="A15086" s="1"/>
      <c r="B15086" s="1" t="s">
        <v>5782</v>
      </c>
      <c r="C15086" s="1" t="s">
        <v>5783</v>
      </c>
      <c r="D15086" s="22" t="str">
        <f>HYPERLINK("https://rhld.insurance.arkansas.gov/NPILookup?Npi=1447376546","1447376546")</f>
        <v>1447376546</v>
      </c>
      <c r="E15086" s="1" t="s">
        <v>2469</v>
      </c>
      <c r="F15086" s="2"/>
      <c r="G15086" s="2"/>
      <c r="H15086" s="2"/>
    </row>
    <row r="15087" spans="1:8" x14ac:dyDescent="0.25">
      <c r="A15087" s="1"/>
      <c r="B15087" s="1" t="s">
        <v>5782</v>
      </c>
      <c r="C15087" s="1" t="s">
        <v>5783</v>
      </c>
      <c r="D15087" s="22" t="str">
        <f>HYPERLINK("https://rhld.insurance.arkansas.gov/NPILookup?Npi=1447386149","1447386149")</f>
        <v>1447386149</v>
      </c>
      <c r="E15087" s="1" t="s">
        <v>862</v>
      </c>
      <c r="F15087" s="2"/>
      <c r="G15087" s="2"/>
      <c r="H15087" s="2"/>
    </row>
    <row r="15088" spans="1:8" x14ac:dyDescent="0.25">
      <c r="A15088" s="1"/>
      <c r="B15088" s="1" t="s">
        <v>5782</v>
      </c>
      <c r="C15088" s="1" t="s">
        <v>5783</v>
      </c>
      <c r="D15088" s="22" t="str">
        <f>HYPERLINK("https://rhld.insurance.arkansas.gov/NPILookup?Npi=1447388178","1447388178")</f>
        <v>1447388178</v>
      </c>
      <c r="E15088" s="1" t="s">
        <v>6298</v>
      </c>
      <c r="F15088" s="2"/>
      <c r="G15088" s="2"/>
      <c r="H15088" s="2"/>
    </row>
    <row r="15089" spans="1:8" x14ac:dyDescent="0.25">
      <c r="A15089" s="1"/>
      <c r="B15089" s="1" t="s">
        <v>5782</v>
      </c>
      <c r="C15089" s="1" t="s">
        <v>5783</v>
      </c>
      <c r="D15089" s="22" t="str">
        <f>HYPERLINK("https://rhld.insurance.arkansas.gov/NPILookup?Npi=1447399761","1447399761")</f>
        <v>1447399761</v>
      </c>
      <c r="E15089" s="1" t="s">
        <v>6299</v>
      </c>
      <c r="F15089" s="2"/>
      <c r="G15089" s="2"/>
      <c r="H15089" s="2"/>
    </row>
    <row r="15090" spans="1:8" x14ac:dyDescent="0.25">
      <c r="A15090" s="1"/>
      <c r="B15090" s="1" t="s">
        <v>5782</v>
      </c>
      <c r="C15090" s="1" t="s">
        <v>5783</v>
      </c>
      <c r="D15090" s="22" t="str">
        <f>HYPERLINK("https://rhld.insurance.arkansas.gov/NPILookup?Npi=1447399878","1447399878")</f>
        <v>1447399878</v>
      </c>
      <c r="E15090" s="1" t="s">
        <v>4723</v>
      </c>
      <c r="F15090" s="2"/>
      <c r="G15090" s="2"/>
      <c r="H15090" s="2"/>
    </row>
    <row r="15091" spans="1:8" x14ac:dyDescent="0.25">
      <c r="A15091" s="1"/>
      <c r="B15091" s="1" t="s">
        <v>5782</v>
      </c>
      <c r="C15091" s="1" t="s">
        <v>5783</v>
      </c>
      <c r="D15091" s="22" t="str">
        <f>HYPERLINK("https://rhld.insurance.arkansas.gov/NPILookup?Npi=1447413968","1447413968")</f>
        <v>1447413968</v>
      </c>
      <c r="E15091" s="1" t="s">
        <v>365</v>
      </c>
      <c r="F15091" s="2"/>
      <c r="G15091" s="2"/>
      <c r="H15091" s="2"/>
    </row>
    <row r="15092" spans="1:8" x14ac:dyDescent="0.25">
      <c r="A15092" s="1"/>
      <c r="B15092" s="1" t="s">
        <v>5782</v>
      </c>
      <c r="C15092" s="1" t="s">
        <v>5783</v>
      </c>
      <c r="D15092" s="22" t="str">
        <f>HYPERLINK("https://rhld.insurance.arkansas.gov/NPILookup?Npi=1447426580","1447426580")</f>
        <v>1447426580</v>
      </c>
      <c r="E15092" s="1" t="s">
        <v>22222</v>
      </c>
      <c r="F15092" s="2"/>
      <c r="G15092" s="2"/>
      <c r="H15092" s="2"/>
    </row>
    <row r="15093" spans="1:8" x14ac:dyDescent="0.25">
      <c r="A15093" s="1"/>
      <c r="B15093" s="1" t="s">
        <v>5782</v>
      </c>
      <c r="C15093" s="1" t="s">
        <v>5783</v>
      </c>
      <c r="D15093" s="22" t="str">
        <f>HYPERLINK("https://rhld.insurance.arkansas.gov/NPILookup?Npi=1447439690","1447439690")</f>
        <v>1447439690</v>
      </c>
      <c r="E15093" s="1" t="s">
        <v>6300</v>
      </c>
      <c r="F15093" s="2"/>
      <c r="G15093" s="2"/>
      <c r="H15093" s="2"/>
    </row>
    <row r="15094" spans="1:8" x14ac:dyDescent="0.25">
      <c r="A15094" s="1"/>
      <c r="B15094" s="1" t="s">
        <v>5782</v>
      </c>
      <c r="C15094" s="1" t="s">
        <v>5783</v>
      </c>
      <c r="D15094" s="22" t="str">
        <f>HYPERLINK("https://rhld.insurance.arkansas.gov/NPILookup?Npi=1447468129","1447468129")</f>
        <v>1447468129</v>
      </c>
      <c r="E15094" s="1" t="s">
        <v>22223</v>
      </c>
      <c r="F15094" s="2"/>
      <c r="G15094" s="2"/>
      <c r="H15094" s="2"/>
    </row>
    <row r="15095" spans="1:8" x14ac:dyDescent="0.25">
      <c r="A15095" s="1"/>
      <c r="B15095" s="1" t="s">
        <v>5782</v>
      </c>
      <c r="C15095" s="1" t="s">
        <v>5783</v>
      </c>
      <c r="D15095" s="22" t="str">
        <f>HYPERLINK("https://rhld.insurance.arkansas.gov/NPILookup?Npi=1447481072","1447481072")</f>
        <v>1447481072</v>
      </c>
      <c r="E15095" s="1" t="s">
        <v>272</v>
      </c>
      <c r="F15095" s="2"/>
      <c r="G15095" s="2"/>
      <c r="H15095" s="2"/>
    </row>
    <row r="15096" spans="1:8" x14ac:dyDescent="0.25">
      <c r="A15096" s="1"/>
      <c r="B15096" s="1" t="s">
        <v>5782</v>
      </c>
      <c r="C15096" s="1" t="s">
        <v>5783</v>
      </c>
      <c r="D15096" s="22" t="str">
        <f>HYPERLINK("https://rhld.insurance.arkansas.gov/NPILookup?Npi=1447492111","1447492111")</f>
        <v>1447492111</v>
      </c>
      <c r="E15096" s="1" t="s">
        <v>22224</v>
      </c>
      <c r="F15096" s="2"/>
      <c r="G15096" s="2"/>
      <c r="H15096" s="2"/>
    </row>
    <row r="15097" spans="1:8" x14ac:dyDescent="0.25">
      <c r="A15097" s="1"/>
      <c r="B15097" s="1" t="s">
        <v>5782</v>
      </c>
      <c r="C15097" s="1" t="s">
        <v>5783</v>
      </c>
      <c r="D15097" s="22" t="str">
        <f>HYPERLINK("https://rhld.insurance.arkansas.gov/NPILookup?Npi=1447515804","1447515804")</f>
        <v>1447515804</v>
      </c>
      <c r="E15097" s="1" t="s">
        <v>169</v>
      </c>
      <c r="F15097" s="2"/>
      <c r="G15097" s="2"/>
      <c r="H15097" s="2"/>
    </row>
    <row r="15098" spans="1:8" x14ac:dyDescent="0.25">
      <c r="A15098" s="1"/>
      <c r="B15098" s="1" t="s">
        <v>5782</v>
      </c>
      <c r="C15098" s="1" t="s">
        <v>5783</v>
      </c>
      <c r="D15098" s="22" t="str">
        <f>HYPERLINK("https://rhld.insurance.arkansas.gov/NPILookup?Npi=1447519657","1447519657")</f>
        <v>1447519657</v>
      </c>
      <c r="E15098" s="1" t="s">
        <v>22225</v>
      </c>
      <c r="F15098" s="2"/>
      <c r="G15098" s="2"/>
      <c r="H15098" s="2"/>
    </row>
    <row r="15099" spans="1:8" x14ac:dyDescent="0.25">
      <c r="A15099" s="1"/>
      <c r="B15099" s="1" t="s">
        <v>5782</v>
      </c>
      <c r="C15099" s="1" t="s">
        <v>5783</v>
      </c>
      <c r="D15099" s="22" t="str">
        <f>HYPERLINK("https://rhld.insurance.arkansas.gov/NPILookup?Npi=1447537741","1447537741")</f>
        <v>1447537741</v>
      </c>
      <c r="E15099" s="1" t="s">
        <v>22226</v>
      </c>
      <c r="F15099" s="2"/>
      <c r="G15099" s="2"/>
      <c r="H15099" s="2"/>
    </row>
    <row r="15100" spans="1:8" x14ac:dyDescent="0.25">
      <c r="A15100" s="1"/>
      <c r="B15100" s="1" t="s">
        <v>5782</v>
      </c>
      <c r="C15100" s="1" t="s">
        <v>5783</v>
      </c>
      <c r="D15100" s="22" t="str">
        <f>HYPERLINK("https://rhld.insurance.arkansas.gov/NPILookup?Npi=1447547781","1447547781")</f>
        <v>1447547781</v>
      </c>
      <c r="E15100" s="1" t="s">
        <v>1867</v>
      </c>
      <c r="F15100" s="2"/>
      <c r="G15100" s="2"/>
      <c r="H15100" s="2"/>
    </row>
    <row r="15101" spans="1:8" x14ac:dyDescent="0.25">
      <c r="A15101" s="1"/>
      <c r="B15101" s="1" t="s">
        <v>5782</v>
      </c>
      <c r="C15101" s="1" t="s">
        <v>5783</v>
      </c>
      <c r="D15101" s="22" t="str">
        <f>HYPERLINK("https://rhld.insurance.arkansas.gov/NPILookup?Npi=1447590294","1447590294")</f>
        <v>1447590294</v>
      </c>
      <c r="E15101" s="1" t="s">
        <v>6301</v>
      </c>
      <c r="F15101" s="2"/>
      <c r="G15101" s="2"/>
      <c r="H15101" s="2"/>
    </row>
    <row r="15102" spans="1:8" x14ac:dyDescent="0.25">
      <c r="A15102" s="1"/>
      <c r="B15102" s="1" t="s">
        <v>5782</v>
      </c>
      <c r="C15102" s="1" t="s">
        <v>5783</v>
      </c>
      <c r="D15102" s="22" t="str">
        <f>HYPERLINK("https://rhld.insurance.arkansas.gov/NPILookup?Npi=1447604913","1447604913")</f>
        <v>1447604913</v>
      </c>
      <c r="E15102" s="1" t="s">
        <v>6302</v>
      </c>
      <c r="F15102" s="2"/>
      <c r="G15102" s="2"/>
      <c r="H15102" s="2"/>
    </row>
    <row r="15103" spans="1:8" x14ac:dyDescent="0.25">
      <c r="A15103" s="1"/>
      <c r="B15103" s="1" t="s">
        <v>5782</v>
      </c>
      <c r="C15103" s="1" t="s">
        <v>5783</v>
      </c>
      <c r="D15103" s="22" t="str">
        <f>HYPERLINK("https://rhld.insurance.arkansas.gov/NPILookup?Npi=1447607205","1447607205")</f>
        <v>1447607205</v>
      </c>
      <c r="E15103" s="1" t="s">
        <v>1261</v>
      </c>
      <c r="F15103" s="2"/>
      <c r="G15103" s="2"/>
      <c r="H15103" s="2"/>
    </row>
    <row r="15104" spans="1:8" x14ac:dyDescent="0.25">
      <c r="A15104" s="1"/>
      <c r="B15104" s="1" t="s">
        <v>5782</v>
      </c>
      <c r="C15104" s="1" t="s">
        <v>5783</v>
      </c>
      <c r="D15104" s="22" t="str">
        <f>HYPERLINK("https://rhld.insurance.arkansas.gov/NPILookup?Npi=1447611694","1447611694")</f>
        <v>1447611694</v>
      </c>
      <c r="E15104" s="1" t="s">
        <v>22227</v>
      </c>
      <c r="F15104" s="2"/>
      <c r="G15104" s="2"/>
      <c r="H15104" s="2"/>
    </row>
    <row r="15105" spans="1:8" x14ac:dyDescent="0.25">
      <c r="A15105" s="1"/>
      <c r="B15105" s="1" t="s">
        <v>5782</v>
      </c>
      <c r="C15105" s="1" t="s">
        <v>5783</v>
      </c>
      <c r="D15105" s="22" t="str">
        <f>HYPERLINK("https://rhld.insurance.arkansas.gov/NPILookup?Npi=1447620844","1447620844")</f>
        <v>1447620844</v>
      </c>
      <c r="E15105" s="1" t="s">
        <v>22228</v>
      </c>
      <c r="F15105" s="2"/>
      <c r="G15105" s="2"/>
      <c r="H15105" s="2"/>
    </row>
    <row r="15106" spans="1:8" x14ac:dyDescent="0.25">
      <c r="A15106" s="1"/>
      <c r="B15106" s="1" t="s">
        <v>5782</v>
      </c>
      <c r="C15106" s="1" t="s">
        <v>5783</v>
      </c>
      <c r="D15106" s="22" t="str">
        <f>HYPERLINK("https://rhld.insurance.arkansas.gov/NPILookup?Npi=1447658786","1447658786")</f>
        <v>1447658786</v>
      </c>
      <c r="E15106" s="1" t="s">
        <v>22229</v>
      </c>
      <c r="F15106" s="2"/>
      <c r="G15106" s="2"/>
      <c r="H15106" s="2"/>
    </row>
    <row r="15107" spans="1:8" x14ac:dyDescent="0.25">
      <c r="A15107" s="1"/>
      <c r="B15107" s="1" t="s">
        <v>5782</v>
      </c>
      <c r="C15107" s="1" t="s">
        <v>5783</v>
      </c>
      <c r="D15107" s="22" t="str">
        <f>HYPERLINK("https://rhld.insurance.arkansas.gov/NPILookup?Npi=1447661459","1447661459")</f>
        <v>1447661459</v>
      </c>
      <c r="E15107" s="1" t="s">
        <v>2485</v>
      </c>
      <c r="F15107" s="2"/>
      <c r="G15107" s="2"/>
      <c r="H15107" s="2"/>
    </row>
    <row r="15108" spans="1:8" x14ac:dyDescent="0.25">
      <c r="A15108" s="1"/>
      <c r="B15108" s="1" t="s">
        <v>5782</v>
      </c>
      <c r="C15108" s="1" t="s">
        <v>5783</v>
      </c>
      <c r="D15108" s="22" t="str">
        <f>HYPERLINK("https://rhld.insurance.arkansas.gov/NPILookup?Npi=1447677182","1447677182")</f>
        <v>1447677182</v>
      </c>
      <c r="E15108" s="1" t="s">
        <v>6303</v>
      </c>
      <c r="F15108" s="2"/>
      <c r="G15108" s="2"/>
      <c r="H15108" s="2"/>
    </row>
    <row r="15109" spans="1:8" x14ac:dyDescent="0.25">
      <c r="A15109" s="1"/>
      <c r="B15109" s="1" t="s">
        <v>5782</v>
      </c>
      <c r="C15109" s="1" t="s">
        <v>5783</v>
      </c>
      <c r="D15109" s="22" t="str">
        <f>HYPERLINK("https://rhld.insurance.arkansas.gov/NPILookup?Npi=1447700273","1447700273")</f>
        <v>1447700273</v>
      </c>
      <c r="E15109" s="1" t="s">
        <v>11800</v>
      </c>
      <c r="F15109" s="2"/>
      <c r="G15109" s="2"/>
      <c r="H15109" s="2"/>
    </row>
    <row r="15110" spans="1:8" x14ac:dyDescent="0.25">
      <c r="A15110" s="1"/>
      <c r="B15110" s="1" t="s">
        <v>5782</v>
      </c>
      <c r="C15110" s="1" t="s">
        <v>5783</v>
      </c>
      <c r="D15110" s="22" t="str">
        <f>HYPERLINK("https://rhld.insurance.arkansas.gov/NPILookup?Npi=1447724604","1447724604")</f>
        <v>1447724604</v>
      </c>
      <c r="E15110" s="1" t="s">
        <v>6304</v>
      </c>
      <c r="F15110" s="2"/>
      <c r="G15110" s="2"/>
      <c r="H15110" s="2"/>
    </row>
    <row r="15111" spans="1:8" x14ac:dyDescent="0.25">
      <c r="A15111" s="1"/>
      <c r="B15111" s="1" t="s">
        <v>5782</v>
      </c>
      <c r="C15111" s="1" t="s">
        <v>5783</v>
      </c>
      <c r="D15111" s="22" t="str">
        <f>HYPERLINK("https://rhld.insurance.arkansas.gov/NPILookup?Npi=1447727342","1447727342")</f>
        <v>1447727342</v>
      </c>
      <c r="E15111" s="1" t="s">
        <v>22230</v>
      </c>
      <c r="F15111" s="2"/>
      <c r="G15111" s="2"/>
      <c r="H15111" s="2"/>
    </row>
    <row r="15112" spans="1:8" x14ac:dyDescent="0.25">
      <c r="A15112" s="1"/>
      <c r="B15112" s="1" t="s">
        <v>5782</v>
      </c>
      <c r="C15112" s="1" t="s">
        <v>5783</v>
      </c>
      <c r="D15112" s="22" t="str">
        <f>HYPERLINK("https://rhld.insurance.arkansas.gov/NPILookup?Npi=1447736244","1447736244")</f>
        <v>1447736244</v>
      </c>
      <c r="E15112" s="1" t="s">
        <v>22231</v>
      </c>
      <c r="F15112" s="2"/>
      <c r="G15112" s="2"/>
      <c r="H15112" s="2"/>
    </row>
    <row r="15113" spans="1:8" x14ac:dyDescent="0.25">
      <c r="A15113" s="1"/>
      <c r="B15113" s="1" t="s">
        <v>5782</v>
      </c>
      <c r="C15113" s="1" t="s">
        <v>5783</v>
      </c>
      <c r="D15113" s="22" t="str">
        <f>HYPERLINK("https://rhld.insurance.arkansas.gov/NPILookup?Npi=1447740915","1447740915")</f>
        <v>1447740915</v>
      </c>
      <c r="E15113" s="1" t="s">
        <v>22232</v>
      </c>
      <c r="F15113" s="2"/>
      <c r="G15113" s="2"/>
      <c r="H15113" s="2"/>
    </row>
    <row r="15114" spans="1:8" x14ac:dyDescent="0.25">
      <c r="A15114" s="1"/>
      <c r="B15114" s="1" t="s">
        <v>5782</v>
      </c>
      <c r="C15114" s="1" t="s">
        <v>5783</v>
      </c>
      <c r="D15114" s="22" t="str">
        <f>HYPERLINK("https://rhld.insurance.arkansas.gov/NPILookup?Npi=1447755418","1447755418")</f>
        <v>1447755418</v>
      </c>
      <c r="E15114" s="1" t="s">
        <v>22233</v>
      </c>
      <c r="F15114" s="2"/>
      <c r="G15114" s="2"/>
      <c r="H15114" s="2"/>
    </row>
    <row r="15115" spans="1:8" x14ac:dyDescent="0.25">
      <c r="A15115" s="1"/>
      <c r="B15115" s="1" t="s">
        <v>5782</v>
      </c>
      <c r="C15115" s="1" t="s">
        <v>5783</v>
      </c>
      <c r="D15115" s="22" t="str">
        <f>HYPERLINK("https://rhld.insurance.arkansas.gov/NPILookup?Npi=1447765144","1447765144")</f>
        <v>1447765144</v>
      </c>
      <c r="E15115" s="1" t="s">
        <v>31880</v>
      </c>
      <c r="F15115" s="2"/>
      <c r="G15115" s="2"/>
      <c r="H15115" s="2"/>
    </row>
    <row r="15116" spans="1:8" x14ac:dyDescent="0.25">
      <c r="A15116" s="1"/>
      <c r="B15116" s="1" t="s">
        <v>5782</v>
      </c>
      <c r="C15116" s="1" t="s">
        <v>5783</v>
      </c>
      <c r="D15116" s="22" t="str">
        <f>HYPERLINK("https://rhld.insurance.arkansas.gov/NPILookup?Npi=1447770128","1447770128")</f>
        <v>1447770128</v>
      </c>
      <c r="E15116" s="1" t="s">
        <v>22234</v>
      </c>
      <c r="F15116" s="2"/>
      <c r="G15116" s="2"/>
      <c r="H15116" s="2"/>
    </row>
    <row r="15117" spans="1:8" x14ac:dyDescent="0.25">
      <c r="A15117" s="1"/>
      <c r="B15117" s="1" t="s">
        <v>5782</v>
      </c>
      <c r="C15117" s="1" t="s">
        <v>5783</v>
      </c>
      <c r="D15117" s="22" t="str">
        <f>HYPERLINK("https://rhld.insurance.arkansas.gov/NPILookup?Npi=1447782321","1447782321")</f>
        <v>1447782321</v>
      </c>
      <c r="E15117" s="1" t="s">
        <v>31881</v>
      </c>
      <c r="F15117" s="2"/>
      <c r="G15117" s="2"/>
      <c r="H15117" s="2"/>
    </row>
    <row r="15118" spans="1:8" x14ac:dyDescent="0.25">
      <c r="A15118" s="1"/>
      <c r="B15118" s="1" t="s">
        <v>5782</v>
      </c>
      <c r="C15118" s="1" t="s">
        <v>5783</v>
      </c>
      <c r="D15118" s="22" t="str">
        <f>HYPERLINK("https://rhld.insurance.arkansas.gov/NPILookup?Npi=1447789078","1447789078")</f>
        <v>1447789078</v>
      </c>
      <c r="E15118" s="1" t="s">
        <v>22235</v>
      </c>
      <c r="F15118" s="2"/>
      <c r="G15118" s="2"/>
      <c r="H15118" s="2"/>
    </row>
    <row r="15119" spans="1:8" x14ac:dyDescent="0.25">
      <c r="A15119" s="1"/>
      <c r="B15119" s="1" t="s">
        <v>5782</v>
      </c>
      <c r="C15119" s="1" t="s">
        <v>5783</v>
      </c>
      <c r="D15119" s="22" t="str">
        <f>HYPERLINK("https://rhld.insurance.arkansas.gov/NPILookup?Npi=1447798020","1447798020")</f>
        <v>1447798020</v>
      </c>
      <c r="E15119" s="1" t="s">
        <v>11801</v>
      </c>
      <c r="F15119" s="2"/>
      <c r="G15119" s="2"/>
      <c r="H15119" s="2"/>
    </row>
    <row r="15120" spans="1:8" x14ac:dyDescent="0.25">
      <c r="A15120" s="1"/>
      <c r="B15120" s="1" t="s">
        <v>5782</v>
      </c>
      <c r="C15120" s="1" t="s">
        <v>5783</v>
      </c>
      <c r="D15120" s="22" t="str">
        <f>HYPERLINK("https://rhld.insurance.arkansas.gov/NPILookup?Npi=1447842646","1447842646")</f>
        <v>1447842646</v>
      </c>
      <c r="E15120" s="1" t="s">
        <v>1667</v>
      </c>
      <c r="F15120" s="2"/>
      <c r="G15120" s="2"/>
      <c r="H15120" s="2"/>
    </row>
    <row r="15121" spans="1:8" x14ac:dyDescent="0.25">
      <c r="A15121" s="1"/>
      <c r="B15121" s="1" t="s">
        <v>5782</v>
      </c>
      <c r="C15121" s="1" t="s">
        <v>5783</v>
      </c>
      <c r="D15121" s="22" t="str">
        <f>HYPERLINK("https://rhld.insurance.arkansas.gov/NPILookup?Npi=1447858055","1447858055")</f>
        <v>1447858055</v>
      </c>
      <c r="E15121" s="1" t="s">
        <v>6305</v>
      </c>
      <c r="F15121" s="2"/>
      <c r="G15121" s="2"/>
      <c r="H15121" s="2"/>
    </row>
    <row r="15122" spans="1:8" x14ac:dyDescent="0.25">
      <c r="A15122" s="1"/>
      <c r="B15122" s="1" t="s">
        <v>5782</v>
      </c>
      <c r="C15122" s="1" t="s">
        <v>5783</v>
      </c>
      <c r="D15122" s="22" t="str">
        <f>HYPERLINK("https://rhld.insurance.arkansas.gov/NPILookup?Npi=1447859046","1447859046")</f>
        <v>1447859046</v>
      </c>
      <c r="E15122" s="1" t="s">
        <v>2486</v>
      </c>
      <c r="F15122" s="2"/>
      <c r="G15122" s="2"/>
      <c r="H15122" s="2"/>
    </row>
    <row r="15123" spans="1:8" x14ac:dyDescent="0.25">
      <c r="A15123" s="1"/>
      <c r="B15123" s="1" t="s">
        <v>5782</v>
      </c>
      <c r="C15123" s="1" t="s">
        <v>5783</v>
      </c>
      <c r="D15123" s="22" t="str">
        <f>HYPERLINK("https://rhld.insurance.arkansas.gov/NPILookup?Npi=1447859053","1447859053")</f>
        <v>1447859053</v>
      </c>
      <c r="E15123" s="1" t="s">
        <v>22236</v>
      </c>
      <c r="F15123" s="2"/>
      <c r="G15123" s="2"/>
      <c r="H15123" s="2"/>
    </row>
    <row r="15124" spans="1:8" x14ac:dyDescent="0.25">
      <c r="A15124" s="1"/>
      <c r="B15124" s="1" t="s">
        <v>5782</v>
      </c>
      <c r="C15124" s="1" t="s">
        <v>5783</v>
      </c>
      <c r="D15124" s="22" t="str">
        <f>HYPERLINK("https://rhld.insurance.arkansas.gov/NPILookup?Npi=1447876677","1447876677")</f>
        <v>1447876677</v>
      </c>
      <c r="E15124" s="1" t="s">
        <v>22237</v>
      </c>
      <c r="F15124" s="2"/>
      <c r="G15124" s="2"/>
      <c r="H15124" s="2"/>
    </row>
    <row r="15125" spans="1:8" x14ac:dyDescent="0.25">
      <c r="A15125" s="1"/>
      <c r="B15125" s="1" t="s">
        <v>5782</v>
      </c>
      <c r="C15125" s="1" t="s">
        <v>5783</v>
      </c>
      <c r="D15125" s="22" t="str">
        <f>HYPERLINK("https://rhld.insurance.arkansas.gov/NPILookup?Npi=1447922935","1447922935")</f>
        <v>1447922935</v>
      </c>
      <c r="E15125" s="1" t="s">
        <v>22238</v>
      </c>
      <c r="F15125" s="2"/>
      <c r="G15125" s="2"/>
      <c r="H15125" s="2"/>
    </row>
    <row r="15126" spans="1:8" x14ac:dyDescent="0.25">
      <c r="A15126" s="1"/>
      <c r="B15126" s="1" t="s">
        <v>5782</v>
      </c>
      <c r="C15126" s="1" t="s">
        <v>5783</v>
      </c>
      <c r="D15126" s="22" t="str">
        <f>HYPERLINK("https://rhld.insurance.arkansas.gov/NPILookup?Npi=1447957485","1447957485")</f>
        <v>1447957485</v>
      </c>
      <c r="E15126" s="1" t="s">
        <v>22239</v>
      </c>
      <c r="F15126" s="2"/>
      <c r="G15126" s="2"/>
      <c r="H15126" s="2"/>
    </row>
    <row r="15127" spans="1:8" x14ac:dyDescent="0.25">
      <c r="A15127" s="1"/>
      <c r="B15127" s="1" t="s">
        <v>5782</v>
      </c>
      <c r="C15127" s="1" t="s">
        <v>5783</v>
      </c>
      <c r="D15127" s="22" t="str">
        <f>HYPERLINK("https://rhld.insurance.arkansas.gov/NPILookup?Npi=1447961362","1447961362")</f>
        <v>1447961362</v>
      </c>
      <c r="E15127" s="1" t="s">
        <v>6306</v>
      </c>
      <c r="F15127" s="2"/>
      <c r="G15127" s="2"/>
      <c r="H15127" s="2"/>
    </row>
    <row r="15128" spans="1:8" x14ac:dyDescent="0.25">
      <c r="A15128" s="1"/>
      <c r="B15128" s="1" t="s">
        <v>5782</v>
      </c>
      <c r="C15128" s="1" t="s">
        <v>5783</v>
      </c>
      <c r="D15128" s="22" t="str">
        <f>HYPERLINK("https://rhld.insurance.arkansas.gov/NPILookup?Npi=1447976089","1447976089")</f>
        <v>1447976089</v>
      </c>
      <c r="E15128" s="1" t="s">
        <v>22240</v>
      </c>
      <c r="F15128" s="2"/>
      <c r="G15128" s="2"/>
      <c r="H15128" s="2"/>
    </row>
    <row r="15129" spans="1:8" x14ac:dyDescent="0.25">
      <c r="A15129" s="1"/>
      <c r="B15129" s="1" t="s">
        <v>5782</v>
      </c>
      <c r="C15129" s="1" t="s">
        <v>5783</v>
      </c>
      <c r="D15129" s="22" t="str">
        <f>HYPERLINK("https://rhld.insurance.arkansas.gov/NPILookup?Npi=1447994678","1447994678")</f>
        <v>1447994678</v>
      </c>
      <c r="E15129" s="1" t="s">
        <v>6307</v>
      </c>
      <c r="F15129" s="2"/>
      <c r="G15129" s="2"/>
      <c r="H15129" s="2"/>
    </row>
    <row r="15130" spans="1:8" x14ac:dyDescent="0.25">
      <c r="A15130" s="1"/>
      <c r="B15130" s="1" t="s">
        <v>5782</v>
      </c>
      <c r="C15130" s="1" t="s">
        <v>5783</v>
      </c>
      <c r="D15130" s="22" t="str">
        <f>HYPERLINK("https://rhld.insurance.arkansas.gov/NPILookup?Npi=1457001786","1457001786")</f>
        <v>1457001786</v>
      </c>
      <c r="E15130" s="1" t="s">
        <v>31882</v>
      </c>
      <c r="F15130" s="2"/>
      <c r="G15130" s="2"/>
      <c r="H15130" s="2"/>
    </row>
    <row r="15131" spans="1:8" x14ac:dyDescent="0.25">
      <c r="A15131" s="1"/>
      <c r="B15131" s="1" t="s">
        <v>5782</v>
      </c>
      <c r="C15131" s="1" t="s">
        <v>5783</v>
      </c>
      <c r="D15131" s="22" t="str">
        <f>HYPERLINK("https://rhld.insurance.arkansas.gov/NPILookup?Npi=1457019937","1457019937")</f>
        <v>1457019937</v>
      </c>
      <c r="E15131" s="1" t="s">
        <v>22241</v>
      </c>
      <c r="F15131" s="2"/>
      <c r="G15131" s="2"/>
      <c r="H15131" s="2"/>
    </row>
    <row r="15132" spans="1:8" x14ac:dyDescent="0.25">
      <c r="A15132" s="1"/>
      <c r="B15132" s="1" t="s">
        <v>5782</v>
      </c>
      <c r="C15132" s="1" t="s">
        <v>5783</v>
      </c>
      <c r="D15132" s="22" t="str">
        <f>HYPERLINK("https://rhld.insurance.arkansas.gov/NPILookup?Npi=1457028292","1457028292")</f>
        <v>1457028292</v>
      </c>
      <c r="E15132" s="1" t="s">
        <v>22242</v>
      </c>
      <c r="F15132" s="2"/>
      <c r="G15132" s="2"/>
      <c r="H15132" s="2"/>
    </row>
    <row r="15133" spans="1:8" x14ac:dyDescent="0.25">
      <c r="A15133" s="1"/>
      <c r="B15133" s="1" t="s">
        <v>5782</v>
      </c>
      <c r="C15133" s="1" t="s">
        <v>5783</v>
      </c>
      <c r="D15133" s="22" t="str">
        <f>HYPERLINK("https://rhld.insurance.arkansas.gov/NPILookup?Npi=1457076853","1457076853")</f>
        <v>1457076853</v>
      </c>
      <c r="E15133" s="1" t="s">
        <v>22243</v>
      </c>
      <c r="F15133" s="2"/>
      <c r="G15133" s="2"/>
      <c r="H15133" s="2"/>
    </row>
    <row r="15134" spans="1:8" x14ac:dyDescent="0.25">
      <c r="A15134" s="1"/>
      <c r="B15134" s="1" t="s">
        <v>5782</v>
      </c>
      <c r="C15134" s="1" t="s">
        <v>5783</v>
      </c>
      <c r="D15134" s="22" t="str">
        <f>HYPERLINK("https://rhld.insurance.arkansas.gov/NPILookup?Npi=1457077315","1457077315")</f>
        <v>1457077315</v>
      </c>
      <c r="E15134" s="1" t="s">
        <v>6308</v>
      </c>
      <c r="F15134" s="2"/>
      <c r="G15134" s="2"/>
      <c r="H15134" s="2"/>
    </row>
    <row r="15135" spans="1:8" x14ac:dyDescent="0.25">
      <c r="A15135" s="1"/>
      <c r="B15135" s="1" t="s">
        <v>5782</v>
      </c>
      <c r="C15135" s="1" t="s">
        <v>5783</v>
      </c>
      <c r="D15135" s="22" t="str">
        <f>HYPERLINK("https://rhld.insurance.arkansas.gov/NPILookup?Npi=1457079428","1457079428")</f>
        <v>1457079428</v>
      </c>
      <c r="E15135" s="1" t="s">
        <v>22244</v>
      </c>
      <c r="F15135" s="2"/>
      <c r="G15135" s="2"/>
      <c r="H15135" s="2"/>
    </row>
    <row r="15136" spans="1:8" x14ac:dyDescent="0.25">
      <c r="A15136" s="1"/>
      <c r="B15136" s="1" t="s">
        <v>5782</v>
      </c>
      <c r="C15136" s="1" t="s">
        <v>5783</v>
      </c>
      <c r="D15136" s="22" t="str">
        <f>HYPERLINK("https://rhld.insurance.arkansas.gov/NPILookup?Npi=1457080574","1457080574")</f>
        <v>1457080574</v>
      </c>
      <c r="E15136" s="1" t="s">
        <v>22245</v>
      </c>
      <c r="F15136" s="2"/>
      <c r="G15136" s="2"/>
      <c r="H15136" s="2"/>
    </row>
    <row r="15137" spans="1:8" x14ac:dyDescent="0.25">
      <c r="A15137" s="1"/>
      <c r="B15137" s="1" t="s">
        <v>5782</v>
      </c>
      <c r="C15137" s="1" t="s">
        <v>5783</v>
      </c>
      <c r="D15137" s="22" t="str">
        <f>HYPERLINK("https://rhld.insurance.arkansas.gov/NPILookup?Npi=1457085433","1457085433")</f>
        <v>1457085433</v>
      </c>
      <c r="E15137" s="1" t="s">
        <v>22246</v>
      </c>
      <c r="F15137" s="2"/>
      <c r="G15137" s="2"/>
      <c r="H15137" s="2"/>
    </row>
    <row r="15138" spans="1:8" x14ac:dyDescent="0.25">
      <c r="A15138" s="1"/>
      <c r="B15138" s="1" t="s">
        <v>5782</v>
      </c>
      <c r="C15138" s="1" t="s">
        <v>5783</v>
      </c>
      <c r="D15138" s="22" t="str">
        <f>HYPERLINK("https://rhld.insurance.arkansas.gov/NPILookup?Npi=1457088536","1457088536")</f>
        <v>1457088536</v>
      </c>
      <c r="E15138" s="1" t="s">
        <v>6309</v>
      </c>
      <c r="F15138" s="2"/>
      <c r="G15138" s="2"/>
      <c r="H15138" s="2"/>
    </row>
    <row r="15139" spans="1:8" x14ac:dyDescent="0.25">
      <c r="A15139" s="1"/>
      <c r="B15139" s="1" t="s">
        <v>5782</v>
      </c>
      <c r="C15139" s="1" t="s">
        <v>5783</v>
      </c>
      <c r="D15139" s="22" t="str">
        <f>HYPERLINK("https://rhld.insurance.arkansas.gov/NPILookup?Npi=1457101222","1457101222")</f>
        <v>1457101222</v>
      </c>
      <c r="E15139" s="1" t="s">
        <v>22247</v>
      </c>
      <c r="F15139" s="2"/>
      <c r="G15139" s="2"/>
      <c r="H15139" s="2"/>
    </row>
    <row r="15140" spans="1:8" x14ac:dyDescent="0.25">
      <c r="A15140" s="1"/>
      <c r="B15140" s="1" t="s">
        <v>5782</v>
      </c>
      <c r="C15140" s="1" t="s">
        <v>5783</v>
      </c>
      <c r="D15140" s="22" t="str">
        <f>HYPERLINK("https://rhld.insurance.arkansas.gov/NPILookup?Npi=1457139461","1457139461")</f>
        <v>1457139461</v>
      </c>
      <c r="E15140" s="1" t="s">
        <v>4108</v>
      </c>
      <c r="F15140" s="2"/>
      <c r="G15140" s="2"/>
      <c r="H15140" s="2"/>
    </row>
    <row r="15141" spans="1:8" x14ac:dyDescent="0.25">
      <c r="A15141" s="1"/>
      <c r="B15141" s="1" t="s">
        <v>5782</v>
      </c>
      <c r="C15141" s="1" t="s">
        <v>5783</v>
      </c>
      <c r="D15141" s="22" t="str">
        <f>HYPERLINK("https://rhld.insurance.arkansas.gov/NPILookup?Npi=1457368300","1457368300")</f>
        <v>1457368300</v>
      </c>
      <c r="E15141" s="1" t="s">
        <v>22248</v>
      </c>
      <c r="F15141" s="2"/>
      <c r="G15141" s="2"/>
      <c r="H15141" s="2"/>
    </row>
    <row r="15142" spans="1:8" x14ac:dyDescent="0.25">
      <c r="A15142" s="1"/>
      <c r="B15142" s="1" t="s">
        <v>5782</v>
      </c>
      <c r="C15142" s="1" t="s">
        <v>5783</v>
      </c>
      <c r="D15142" s="22" t="str">
        <f>HYPERLINK("https://rhld.insurance.arkansas.gov/NPILookup?Npi=1457368912","1457368912")</f>
        <v>1457368912</v>
      </c>
      <c r="E15142" s="1" t="s">
        <v>22249</v>
      </c>
      <c r="F15142" s="2"/>
      <c r="G15142" s="2"/>
      <c r="H15142" s="2"/>
    </row>
    <row r="15143" spans="1:8" x14ac:dyDescent="0.25">
      <c r="A15143" s="1"/>
      <c r="B15143" s="1" t="s">
        <v>5782</v>
      </c>
      <c r="C15143" s="1" t="s">
        <v>5783</v>
      </c>
      <c r="D15143" s="22" t="str">
        <f>HYPERLINK("https://rhld.insurance.arkansas.gov/NPILookup?Npi=1457395857","1457395857")</f>
        <v>1457395857</v>
      </c>
      <c r="E15143" s="1" t="s">
        <v>1423</v>
      </c>
      <c r="F15143" s="2"/>
      <c r="G15143" s="2"/>
      <c r="H15143" s="2"/>
    </row>
    <row r="15144" spans="1:8" x14ac:dyDescent="0.25">
      <c r="A15144" s="1"/>
      <c r="B15144" s="1" t="s">
        <v>5782</v>
      </c>
      <c r="C15144" s="1" t="s">
        <v>5783</v>
      </c>
      <c r="D15144" s="22" t="str">
        <f>HYPERLINK("https://rhld.insurance.arkansas.gov/NPILookup?Npi=1457402893","1457402893")</f>
        <v>1457402893</v>
      </c>
      <c r="E15144" s="1" t="s">
        <v>11802</v>
      </c>
      <c r="F15144" s="2"/>
      <c r="G15144" s="2"/>
      <c r="H15144" s="2"/>
    </row>
    <row r="15145" spans="1:8" x14ac:dyDescent="0.25">
      <c r="A15145" s="1"/>
      <c r="B15145" s="1" t="s">
        <v>5782</v>
      </c>
      <c r="C15145" s="1" t="s">
        <v>5783</v>
      </c>
      <c r="D15145" s="22" t="str">
        <f>HYPERLINK("https://rhld.insurance.arkansas.gov/NPILookup?Npi=1457415416","1457415416")</f>
        <v>1457415416</v>
      </c>
      <c r="E15145" s="1" t="s">
        <v>1514</v>
      </c>
      <c r="F15145" s="2"/>
      <c r="G15145" s="2"/>
      <c r="H15145" s="2"/>
    </row>
    <row r="15146" spans="1:8" x14ac:dyDescent="0.25">
      <c r="A15146" s="1"/>
      <c r="B15146" s="1" t="s">
        <v>5782</v>
      </c>
      <c r="C15146" s="1" t="s">
        <v>5783</v>
      </c>
      <c r="D15146" s="22" t="str">
        <f>HYPERLINK("https://rhld.insurance.arkansas.gov/NPILookup?Npi=1457425449","1457425449")</f>
        <v>1457425449</v>
      </c>
      <c r="E15146" s="1" t="s">
        <v>3284</v>
      </c>
      <c r="F15146" s="2"/>
      <c r="G15146" s="2"/>
      <c r="H15146" s="2"/>
    </row>
    <row r="15147" spans="1:8" x14ac:dyDescent="0.25">
      <c r="A15147" s="1"/>
      <c r="B15147" s="1" t="s">
        <v>5782</v>
      </c>
      <c r="C15147" s="1" t="s">
        <v>5783</v>
      </c>
      <c r="D15147" s="22" t="str">
        <f>HYPERLINK("https://rhld.insurance.arkansas.gov/NPILookup?Npi=1457452161","1457452161")</f>
        <v>1457452161</v>
      </c>
      <c r="E15147" s="1" t="s">
        <v>22251</v>
      </c>
      <c r="F15147" s="2"/>
      <c r="G15147" s="2"/>
      <c r="H15147" s="2"/>
    </row>
    <row r="15148" spans="1:8" x14ac:dyDescent="0.25">
      <c r="A15148" s="1"/>
      <c r="B15148" s="1" t="s">
        <v>5782</v>
      </c>
      <c r="C15148" s="1" t="s">
        <v>5783</v>
      </c>
      <c r="D15148" s="22" t="str">
        <f>HYPERLINK("https://rhld.insurance.arkansas.gov/NPILookup?Npi=1457489007","1457489007")</f>
        <v>1457489007</v>
      </c>
      <c r="E15148" s="1" t="s">
        <v>6310</v>
      </c>
      <c r="F15148" s="2"/>
      <c r="G15148" s="2"/>
      <c r="H15148" s="2"/>
    </row>
    <row r="15149" spans="1:8" x14ac:dyDescent="0.25">
      <c r="A15149" s="1"/>
      <c r="B15149" s="1" t="s">
        <v>5782</v>
      </c>
      <c r="C15149" s="1" t="s">
        <v>5783</v>
      </c>
      <c r="D15149" s="22" t="str">
        <f>HYPERLINK("https://rhld.insurance.arkansas.gov/NPILookup?Npi=1457499824","1457499824")</f>
        <v>1457499824</v>
      </c>
      <c r="E15149" s="1" t="s">
        <v>22252</v>
      </c>
      <c r="F15149" s="2"/>
      <c r="G15149" s="2"/>
      <c r="H15149" s="2"/>
    </row>
    <row r="15150" spans="1:8" x14ac:dyDescent="0.25">
      <c r="A15150" s="1"/>
      <c r="B15150" s="1" t="s">
        <v>5782</v>
      </c>
      <c r="C15150" s="1" t="s">
        <v>5783</v>
      </c>
      <c r="D15150" s="22" t="str">
        <f>HYPERLINK("https://rhld.insurance.arkansas.gov/NPILookup?Npi=1457501595","1457501595")</f>
        <v>1457501595</v>
      </c>
      <c r="E15150" s="1" t="s">
        <v>22253</v>
      </c>
      <c r="F15150" s="2"/>
      <c r="G15150" s="2"/>
      <c r="H15150" s="2"/>
    </row>
    <row r="15151" spans="1:8" x14ac:dyDescent="0.25">
      <c r="A15151" s="1"/>
      <c r="B15151" s="1" t="s">
        <v>5782</v>
      </c>
      <c r="C15151" s="1" t="s">
        <v>5783</v>
      </c>
      <c r="D15151" s="22" t="str">
        <f>HYPERLINK("https://rhld.insurance.arkansas.gov/NPILookup?Npi=1457515108","1457515108")</f>
        <v>1457515108</v>
      </c>
      <c r="E15151" s="1" t="s">
        <v>333</v>
      </c>
      <c r="F15151" s="2"/>
      <c r="G15151" s="2"/>
      <c r="H15151" s="2"/>
    </row>
    <row r="15152" spans="1:8" x14ac:dyDescent="0.25">
      <c r="A15152" s="1"/>
      <c r="B15152" s="1" t="s">
        <v>5782</v>
      </c>
      <c r="C15152" s="1" t="s">
        <v>5783</v>
      </c>
      <c r="D15152" s="22" t="str">
        <f>HYPERLINK("https://rhld.insurance.arkansas.gov/NPILookup?Npi=1457520538","1457520538")</f>
        <v>1457520538</v>
      </c>
      <c r="E15152" s="1" t="s">
        <v>22254</v>
      </c>
      <c r="F15152" s="2"/>
      <c r="G15152" s="2"/>
      <c r="H15152" s="2"/>
    </row>
    <row r="15153" spans="1:8" x14ac:dyDescent="0.25">
      <c r="A15153" s="1"/>
      <c r="B15153" s="1" t="s">
        <v>5782</v>
      </c>
      <c r="C15153" s="1" t="s">
        <v>5783</v>
      </c>
      <c r="D15153" s="22" t="str">
        <f>HYPERLINK("https://rhld.insurance.arkansas.gov/NPILookup?Npi=1457594848","1457594848")</f>
        <v>1457594848</v>
      </c>
      <c r="E15153" s="1" t="s">
        <v>11803</v>
      </c>
      <c r="F15153" s="2"/>
      <c r="G15153" s="2"/>
      <c r="H15153" s="2"/>
    </row>
    <row r="15154" spans="1:8" x14ac:dyDescent="0.25">
      <c r="A15154" s="1"/>
      <c r="B15154" s="1" t="s">
        <v>5782</v>
      </c>
      <c r="C15154" s="1" t="s">
        <v>5783</v>
      </c>
      <c r="D15154" s="22" t="str">
        <f>HYPERLINK("https://rhld.insurance.arkansas.gov/NPILookup?Npi=1457623837","1457623837")</f>
        <v>1457623837</v>
      </c>
      <c r="E15154" s="1" t="s">
        <v>6311</v>
      </c>
      <c r="F15154" s="2"/>
      <c r="G15154" s="2"/>
      <c r="H15154" s="2"/>
    </row>
    <row r="15155" spans="1:8" x14ac:dyDescent="0.25">
      <c r="A15155" s="1"/>
      <c r="B15155" s="1" t="s">
        <v>5782</v>
      </c>
      <c r="C15155" s="1" t="s">
        <v>5783</v>
      </c>
      <c r="D15155" s="22" t="str">
        <f>HYPERLINK("https://rhld.insurance.arkansas.gov/NPILookup?Npi=1457624009","1457624009")</f>
        <v>1457624009</v>
      </c>
      <c r="E15155" s="1" t="s">
        <v>6312</v>
      </c>
      <c r="F15155" s="2"/>
      <c r="G15155" s="2"/>
      <c r="H15155" s="2"/>
    </row>
    <row r="15156" spans="1:8" x14ac:dyDescent="0.25">
      <c r="A15156" s="1"/>
      <c r="B15156" s="1" t="s">
        <v>5782</v>
      </c>
      <c r="C15156" s="1" t="s">
        <v>5783</v>
      </c>
      <c r="D15156" s="22" t="str">
        <f>HYPERLINK("https://rhld.insurance.arkansas.gov/NPILookup?Npi=1457627788","1457627788")</f>
        <v>1457627788</v>
      </c>
      <c r="E15156" s="1" t="s">
        <v>6313</v>
      </c>
      <c r="F15156" s="2"/>
      <c r="G15156" s="2"/>
      <c r="H15156" s="2"/>
    </row>
    <row r="15157" spans="1:8" x14ac:dyDescent="0.25">
      <c r="A15157" s="1"/>
      <c r="B15157" s="1" t="s">
        <v>5782</v>
      </c>
      <c r="C15157" s="1" t="s">
        <v>5783</v>
      </c>
      <c r="D15157" s="22" t="str">
        <f>HYPERLINK("https://rhld.insurance.arkansas.gov/NPILookup?Npi=1457642688","1457642688")</f>
        <v>1457642688</v>
      </c>
      <c r="E15157" s="1" t="s">
        <v>22255</v>
      </c>
      <c r="F15157" s="2"/>
      <c r="G15157" s="2"/>
      <c r="H15157" s="2"/>
    </row>
    <row r="15158" spans="1:8" x14ac:dyDescent="0.25">
      <c r="A15158" s="1"/>
      <c r="B15158" s="1" t="s">
        <v>5782</v>
      </c>
      <c r="C15158" s="1" t="s">
        <v>5783</v>
      </c>
      <c r="D15158" s="22" t="str">
        <f>HYPERLINK("https://rhld.insurance.arkansas.gov/NPILookup?Npi=1457646481","1457646481")</f>
        <v>1457646481</v>
      </c>
      <c r="E15158" s="1" t="s">
        <v>6314</v>
      </c>
      <c r="F15158" s="2"/>
      <c r="G15158" s="2"/>
      <c r="H15158" s="2"/>
    </row>
    <row r="15159" spans="1:8" x14ac:dyDescent="0.25">
      <c r="A15159" s="1"/>
      <c r="B15159" s="1" t="s">
        <v>5782</v>
      </c>
      <c r="C15159" s="1" t="s">
        <v>5783</v>
      </c>
      <c r="D15159" s="22" t="str">
        <f>HYPERLINK("https://rhld.insurance.arkansas.gov/NPILookup?Npi=1457658767","1457658767")</f>
        <v>1457658767</v>
      </c>
      <c r="E15159" s="1" t="s">
        <v>22256</v>
      </c>
      <c r="F15159" s="2"/>
      <c r="G15159" s="2"/>
      <c r="H15159" s="2"/>
    </row>
    <row r="15160" spans="1:8" x14ac:dyDescent="0.25">
      <c r="A15160" s="1"/>
      <c r="B15160" s="1" t="s">
        <v>5782</v>
      </c>
      <c r="C15160" s="1" t="s">
        <v>5783</v>
      </c>
      <c r="D15160" s="22" t="str">
        <f>HYPERLINK("https://rhld.insurance.arkansas.gov/NPILookup?Npi=1457663379","1457663379")</f>
        <v>1457663379</v>
      </c>
      <c r="E15160" s="1" t="s">
        <v>11805</v>
      </c>
      <c r="F15160" s="2"/>
      <c r="G15160" s="2"/>
      <c r="H15160" s="2"/>
    </row>
    <row r="15161" spans="1:8" x14ac:dyDescent="0.25">
      <c r="A15161" s="1"/>
      <c r="B15161" s="1" t="s">
        <v>5782</v>
      </c>
      <c r="C15161" s="1" t="s">
        <v>5783</v>
      </c>
      <c r="D15161" s="22" t="str">
        <f>HYPERLINK("https://rhld.insurance.arkansas.gov/NPILookup?Npi=1457667289","1457667289")</f>
        <v>1457667289</v>
      </c>
      <c r="E15161" s="1" t="s">
        <v>22257</v>
      </c>
      <c r="F15161" s="2"/>
      <c r="G15161" s="2"/>
      <c r="H15161" s="2"/>
    </row>
    <row r="15162" spans="1:8" x14ac:dyDescent="0.25">
      <c r="A15162" s="1"/>
      <c r="B15162" s="1" t="s">
        <v>5782</v>
      </c>
      <c r="C15162" s="1" t="s">
        <v>5783</v>
      </c>
      <c r="D15162" s="22" t="str">
        <f>HYPERLINK("https://rhld.insurance.arkansas.gov/NPILookup?Npi=1457688087","1457688087")</f>
        <v>1457688087</v>
      </c>
      <c r="E15162" s="1" t="s">
        <v>6315</v>
      </c>
      <c r="F15162" s="2"/>
      <c r="G15162" s="2"/>
      <c r="H15162" s="2"/>
    </row>
    <row r="15163" spans="1:8" x14ac:dyDescent="0.25">
      <c r="A15163" s="1"/>
      <c r="B15163" s="1" t="s">
        <v>5782</v>
      </c>
      <c r="C15163" s="1" t="s">
        <v>5783</v>
      </c>
      <c r="D15163" s="22" t="str">
        <f>HYPERLINK("https://rhld.insurance.arkansas.gov/NPILookup?Npi=1457691073","1457691073")</f>
        <v>1457691073</v>
      </c>
      <c r="E15163" s="1" t="s">
        <v>3285</v>
      </c>
      <c r="F15163" s="2"/>
      <c r="G15163" s="2"/>
      <c r="H15163" s="2"/>
    </row>
    <row r="15164" spans="1:8" x14ac:dyDescent="0.25">
      <c r="A15164" s="1"/>
      <c r="B15164" s="1" t="s">
        <v>5782</v>
      </c>
      <c r="C15164" s="1" t="s">
        <v>5783</v>
      </c>
      <c r="D15164" s="22" t="str">
        <f>HYPERLINK("https://rhld.insurance.arkansas.gov/NPILookup?Npi=1457705626","1457705626")</f>
        <v>1457705626</v>
      </c>
      <c r="E15164" s="1" t="s">
        <v>22258</v>
      </c>
      <c r="F15164" s="2"/>
      <c r="G15164" s="2"/>
      <c r="H15164" s="2"/>
    </row>
    <row r="15165" spans="1:8" x14ac:dyDescent="0.25">
      <c r="A15165" s="1"/>
      <c r="B15165" s="1" t="s">
        <v>5782</v>
      </c>
      <c r="C15165" s="1" t="s">
        <v>5783</v>
      </c>
      <c r="D15165" s="22" t="str">
        <f>HYPERLINK("https://rhld.insurance.arkansas.gov/NPILookup?Npi=1457707457","1457707457")</f>
        <v>1457707457</v>
      </c>
      <c r="E15165" s="1" t="s">
        <v>11806</v>
      </c>
      <c r="F15165" s="2"/>
      <c r="G15165" s="2"/>
      <c r="H15165" s="2"/>
    </row>
    <row r="15166" spans="1:8" x14ac:dyDescent="0.25">
      <c r="A15166" s="1"/>
      <c r="B15166" s="1" t="s">
        <v>5782</v>
      </c>
      <c r="C15166" s="1" t="s">
        <v>5783</v>
      </c>
      <c r="D15166" s="22" t="str">
        <f>HYPERLINK("https://rhld.insurance.arkansas.gov/NPILookup?Npi=1457716680","1457716680")</f>
        <v>1457716680</v>
      </c>
      <c r="E15166" s="1" t="s">
        <v>22259</v>
      </c>
      <c r="F15166" s="2"/>
      <c r="G15166" s="2"/>
      <c r="H15166" s="2"/>
    </row>
    <row r="15167" spans="1:8" x14ac:dyDescent="0.25">
      <c r="A15167" s="1"/>
      <c r="B15167" s="1" t="s">
        <v>5782</v>
      </c>
      <c r="C15167" s="1" t="s">
        <v>5783</v>
      </c>
      <c r="D15167" s="22" t="str">
        <f>HYPERLINK("https://rhld.insurance.arkansas.gov/NPILookup?Npi=1457735102","1457735102")</f>
        <v>1457735102</v>
      </c>
      <c r="E15167" s="1" t="s">
        <v>22260</v>
      </c>
      <c r="F15167" s="2"/>
      <c r="G15167" s="2"/>
      <c r="H15167" s="2"/>
    </row>
    <row r="15168" spans="1:8" x14ac:dyDescent="0.25">
      <c r="A15168" s="1"/>
      <c r="B15168" s="1" t="s">
        <v>5782</v>
      </c>
      <c r="C15168" s="1" t="s">
        <v>5783</v>
      </c>
      <c r="D15168" s="22" t="str">
        <f>HYPERLINK("https://rhld.insurance.arkansas.gov/NPILookup?Npi=1457739898","1457739898")</f>
        <v>1457739898</v>
      </c>
      <c r="E15168" s="1" t="s">
        <v>22261</v>
      </c>
      <c r="F15168" s="2"/>
      <c r="G15168" s="2"/>
      <c r="H15168" s="2"/>
    </row>
    <row r="15169" spans="1:8" x14ac:dyDescent="0.25">
      <c r="A15169" s="1"/>
      <c r="B15169" s="1" t="s">
        <v>5782</v>
      </c>
      <c r="C15169" s="1" t="s">
        <v>5783</v>
      </c>
      <c r="D15169" s="22" t="str">
        <f>HYPERLINK("https://rhld.insurance.arkansas.gov/NPILookup?Npi=1457749251","1457749251")</f>
        <v>1457749251</v>
      </c>
      <c r="E15169" s="1" t="s">
        <v>22262</v>
      </c>
      <c r="F15169" s="2"/>
      <c r="G15169" s="2"/>
      <c r="H15169" s="2"/>
    </row>
    <row r="15170" spans="1:8" x14ac:dyDescent="0.25">
      <c r="A15170" s="1"/>
      <c r="B15170" s="1" t="s">
        <v>5782</v>
      </c>
      <c r="C15170" s="1" t="s">
        <v>5783</v>
      </c>
      <c r="D15170" s="22" t="str">
        <f>HYPERLINK("https://rhld.insurance.arkansas.gov/NPILookup?Npi=1457751109","1457751109")</f>
        <v>1457751109</v>
      </c>
      <c r="E15170" s="1" t="s">
        <v>20743</v>
      </c>
      <c r="F15170" s="2"/>
      <c r="G15170" s="2"/>
      <c r="H15170" s="2"/>
    </row>
    <row r="15171" spans="1:8" x14ac:dyDescent="0.25">
      <c r="A15171" s="1"/>
      <c r="B15171" s="1" t="s">
        <v>5782</v>
      </c>
      <c r="C15171" s="1" t="s">
        <v>5783</v>
      </c>
      <c r="D15171" s="22" t="str">
        <f>HYPERLINK("https://rhld.insurance.arkansas.gov/NPILookup?Npi=1457781346","1457781346")</f>
        <v>1457781346</v>
      </c>
      <c r="E15171" s="1" t="s">
        <v>22263</v>
      </c>
      <c r="F15171" s="2"/>
      <c r="G15171" s="2"/>
      <c r="H15171" s="2"/>
    </row>
    <row r="15172" spans="1:8" x14ac:dyDescent="0.25">
      <c r="A15172" s="1"/>
      <c r="B15172" s="1" t="s">
        <v>5782</v>
      </c>
      <c r="C15172" s="1" t="s">
        <v>5783</v>
      </c>
      <c r="D15172" s="22" t="str">
        <f>HYPERLINK("https://rhld.insurance.arkansas.gov/NPILookup?Npi=1457800591","1457800591")</f>
        <v>1457800591</v>
      </c>
      <c r="E15172" s="1" t="s">
        <v>31883</v>
      </c>
      <c r="F15172" s="2"/>
      <c r="G15172" s="2"/>
      <c r="H15172" s="2"/>
    </row>
    <row r="15173" spans="1:8" x14ac:dyDescent="0.25">
      <c r="A15173" s="1"/>
      <c r="B15173" s="1" t="s">
        <v>5782</v>
      </c>
      <c r="C15173" s="1" t="s">
        <v>5783</v>
      </c>
      <c r="D15173" s="22" t="str">
        <f>HYPERLINK("https://rhld.insurance.arkansas.gov/NPILookup?Npi=1457802696","1457802696")</f>
        <v>1457802696</v>
      </c>
      <c r="E15173" s="1" t="s">
        <v>11807</v>
      </c>
      <c r="F15173" s="2"/>
      <c r="G15173" s="2"/>
      <c r="H15173" s="2"/>
    </row>
    <row r="15174" spans="1:8" x14ac:dyDescent="0.25">
      <c r="A15174" s="1"/>
      <c r="B15174" s="1" t="s">
        <v>5782</v>
      </c>
      <c r="C15174" s="1" t="s">
        <v>5783</v>
      </c>
      <c r="D15174" s="22" t="str">
        <f>HYPERLINK("https://rhld.insurance.arkansas.gov/NPILookup?Npi=1457828535","1457828535")</f>
        <v>1457828535</v>
      </c>
      <c r="E15174" s="1" t="s">
        <v>22264</v>
      </c>
      <c r="F15174" s="2"/>
      <c r="G15174" s="2"/>
      <c r="H15174" s="2"/>
    </row>
    <row r="15175" spans="1:8" x14ac:dyDescent="0.25">
      <c r="A15175" s="1"/>
      <c r="B15175" s="1" t="s">
        <v>5782</v>
      </c>
      <c r="C15175" s="1" t="s">
        <v>5783</v>
      </c>
      <c r="D15175" s="22" t="str">
        <f>HYPERLINK("https://rhld.insurance.arkansas.gov/NPILookup?Npi=1457834533","1457834533")</f>
        <v>1457834533</v>
      </c>
      <c r="E15175" s="1" t="s">
        <v>22265</v>
      </c>
      <c r="F15175" s="2"/>
      <c r="G15175" s="2"/>
      <c r="H15175" s="2"/>
    </row>
    <row r="15176" spans="1:8" x14ac:dyDescent="0.25">
      <c r="A15176" s="1"/>
      <c r="B15176" s="1" t="s">
        <v>5782</v>
      </c>
      <c r="C15176" s="1" t="s">
        <v>5783</v>
      </c>
      <c r="D15176" s="22" t="str">
        <f>HYPERLINK("https://rhld.insurance.arkansas.gov/NPILookup?Npi=1457835464","1457835464")</f>
        <v>1457835464</v>
      </c>
      <c r="E15176" s="1" t="s">
        <v>11808</v>
      </c>
      <c r="F15176" s="2"/>
      <c r="G15176" s="2"/>
      <c r="H15176" s="2"/>
    </row>
    <row r="15177" spans="1:8" x14ac:dyDescent="0.25">
      <c r="A15177" s="1"/>
      <c r="B15177" s="1" t="s">
        <v>5782</v>
      </c>
      <c r="C15177" s="1" t="s">
        <v>5783</v>
      </c>
      <c r="D15177" s="22" t="str">
        <f>HYPERLINK("https://rhld.insurance.arkansas.gov/NPILookup?Npi=1457838187","1457838187")</f>
        <v>1457838187</v>
      </c>
      <c r="E15177" s="1" t="s">
        <v>22266</v>
      </c>
      <c r="F15177" s="2"/>
      <c r="G15177" s="2"/>
      <c r="H15177" s="2"/>
    </row>
    <row r="15178" spans="1:8" x14ac:dyDescent="0.25">
      <c r="A15178" s="1"/>
      <c r="B15178" s="1" t="s">
        <v>5782</v>
      </c>
      <c r="C15178" s="1" t="s">
        <v>5783</v>
      </c>
      <c r="D15178" s="22" t="str">
        <f>HYPERLINK("https://rhld.insurance.arkansas.gov/NPILookup?Npi=1457850265","1457850265")</f>
        <v>1457850265</v>
      </c>
      <c r="E15178" s="1" t="s">
        <v>22267</v>
      </c>
      <c r="F15178" s="2"/>
      <c r="G15178" s="2"/>
      <c r="H15178" s="2"/>
    </row>
    <row r="15179" spans="1:8" x14ac:dyDescent="0.25">
      <c r="A15179" s="1"/>
      <c r="B15179" s="1" t="s">
        <v>5782</v>
      </c>
      <c r="C15179" s="1" t="s">
        <v>5783</v>
      </c>
      <c r="D15179" s="22" t="str">
        <f>HYPERLINK("https://rhld.insurance.arkansas.gov/NPILookup?Npi=1457850489","1457850489")</f>
        <v>1457850489</v>
      </c>
      <c r="E15179" s="1" t="s">
        <v>6316</v>
      </c>
      <c r="F15179" s="2"/>
      <c r="G15179" s="2"/>
      <c r="H15179" s="2"/>
    </row>
    <row r="15180" spans="1:8" x14ac:dyDescent="0.25">
      <c r="A15180" s="1"/>
      <c r="B15180" s="1" t="s">
        <v>5782</v>
      </c>
      <c r="C15180" s="1" t="s">
        <v>5783</v>
      </c>
      <c r="D15180" s="22" t="str">
        <f>HYPERLINK("https://rhld.insurance.arkansas.gov/NPILookup?Npi=1457851883","1457851883")</f>
        <v>1457851883</v>
      </c>
      <c r="E15180" s="1" t="s">
        <v>6317</v>
      </c>
      <c r="F15180" s="2"/>
      <c r="G15180" s="2"/>
      <c r="H15180" s="2"/>
    </row>
    <row r="15181" spans="1:8" x14ac:dyDescent="0.25">
      <c r="A15181" s="1"/>
      <c r="B15181" s="1" t="s">
        <v>5782</v>
      </c>
      <c r="C15181" s="1" t="s">
        <v>5783</v>
      </c>
      <c r="D15181" s="22" t="str">
        <f>HYPERLINK("https://rhld.insurance.arkansas.gov/NPILookup?Npi=1457889081","1457889081")</f>
        <v>1457889081</v>
      </c>
      <c r="E15181" s="1" t="s">
        <v>22268</v>
      </c>
      <c r="F15181" s="2"/>
      <c r="G15181" s="2"/>
      <c r="H15181" s="2"/>
    </row>
    <row r="15182" spans="1:8" x14ac:dyDescent="0.25">
      <c r="A15182" s="1"/>
      <c r="B15182" s="1" t="s">
        <v>5782</v>
      </c>
      <c r="C15182" s="1" t="s">
        <v>5783</v>
      </c>
      <c r="D15182" s="22" t="str">
        <f>HYPERLINK("https://rhld.insurance.arkansas.gov/NPILookup?Npi=1457889248","1457889248")</f>
        <v>1457889248</v>
      </c>
      <c r="E15182" s="1" t="s">
        <v>22269</v>
      </c>
      <c r="F15182" s="2"/>
      <c r="G15182" s="2"/>
      <c r="H15182" s="2"/>
    </row>
    <row r="15183" spans="1:8" x14ac:dyDescent="0.25">
      <c r="A15183" s="1"/>
      <c r="B15183" s="1" t="s">
        <v>5782</v>
      </c>
      <c r="C15183" s="1" t="s">
        <v>5783</v>
      </c>
      <c r="D15183" s="22" t="str">
        <f>HYPERLINK("https://rhld.insurance.arkansas.gov/NPILookup?Npi=1457919870","1457919870")</f>
        <v>1457919870</v>
      </c>
      <c r="E15183" s="1" t="s">
        <v>11810</v>
      </c>
      <c r="F15183" s="2"/>
      <c r="G15183" s="2"/>
      <c r="H15183" s="2"/>
    </row>
    <row r="15184" spans="1:8" x14ac:dyDescent="0.25">
      <c r="A15184" s="1"/>
      <c r="B15184" s="1" t="s">
        <v>5782</v>
      </c>
      <c r="C15184" s="1" t="s">
        <v>5783</v>
      </c>
      <c r="D15184" s="22" t="str">
        <f>HYPERLINK("https://rhld.insurance.arkansas.gov/NPILookup?Npi=1457969735","1457969735")</f>
        <v>1457969735</v>
      </c>
      <c r="E15184" s="1" t="s">
        <v>22270</v>
      </c>
      <c r="F15184" s="2"/>
      <c r="G15184" s="2"/>
      <c r="H15184" s="2"/>
    </row>
    <row r="15185" spans="1:8" x14ac:dyDescent="0.25">
      <c r="A15185" s="1"/>
      <c r="B15185" s="1" t="s">
        <v>5782</v>
      </c>
      <c r="C15185" s="1" t="s">
        <v>5783</v>
      </c>
      <c r="D15185" s="22" t="str">
        <f>HYPERLINK("https://rhld.insurance.arkansas.gov/NPILookup?Npi=1457986838","1457986838")</f>
        <v>1457986838</v>
      </c>
      <c r="E15185" s="1" t="s">
        <v>22271</v>
      </c>
      <c r="F15185" s="2"/>
      <c r="G15185" s="2"/>
      <c r="H15185" s="2"/>
    </row>
    <row r="15186" spans="1:8" x14ac:dyDescent="0.25">
      <c r="A15186" s="1"/>
      <c r="B15186" s="1" t="s">
        <v>5782</v>
      </c>
      <c r="C15186" s="1" t="s">
        <v>5783</v>
      </c>
      <c r="D15186" s="22" t="str">
        <f>HYPERLINK("https://rhld.insurance.arkansas.gov/NPILookup?Npi=1457987075","1457987075")</f>
        <v>1457987075</v>
      </c>
      <c r="E15186" s="1" t="s">
        <v>6318</v>
      </c>
      <c r="F15186" s="2"/>
      <c r="G15186" s="2"/>
      <c r="H15186" s="2"/>
    </row>
    <row r="15187" spans="1:8" x14ac:dyDescent="0.25">
      <c r="A15187" s="1"/>
      <c r="B15187" s="1" t="s">
        <v>5782</v>
      </c>
      <c r="C15187" s="1" t="s">
        <v>5783</v>
      </c>
      <c r="D15187" s="22" t="str">
        <f>HYPERLINK("https://rhld.insurance.arkansas.gov/NPILookup?Npi=1457990590","1457990590")</f>
        <v>1457990590</v>
      </c>
      <c r="E15187" s="1" t="s">
        <v>22272</v>
      </c>
      <c r="F15187" s="2"/>
      <c r="G15187" s="2"/>
      <c r="H15187" s="2"/>
    </row>
    <row r="15188" spans="1:8" x14ac:dyDescent="0.25">
      <c r="A15188" s="1"/>
      <c r="B15188" s="1" t="s">
        <v>5782</v>
      </c>
      <c r="C15188" s="1" t="s">
        <v>5783</v>
      </c>
      <c r="D15188" s="22" t="str">
        <f>HYPERLINK("https://rhld.insurance.arkansas.gov/NPILookup?Npi=1467020487","1467020487")</f>
        <v>1467020487</v>
      </c>
      <c r="E15188" s="1" t="s">
        <v>6319</v>
      </c>
      <c r="F15188" s="2"/>
      <c r="G15188" s="2"/>
      <c r="H15188" s="2"/>
    </row>
    <row r="15189" spans="1:8" x14ac:dyDescent="0.25">
      <c r="A15189" s="1"/>
      <c r="B15189" s="1" t="s">
        <v>5782</v>
      </c>
      <c r="C15189" s="1" t="s">
        <v>5783</v>
      </c>
      <c r="D15189" s="22" t="str">
        <f>HYPERLINK("https://rhld.insurance.arkansas.gov/NPILookup?Npi=1467024307","1467024307")</f>
        <v>1467024307</v>
      </c>
      <c r="E15189" s="1" t="s">
        <v>11811</v>
      </c>
      <c r="F15189" s="2"/>
      <c r="G15189" s="2"/>
      <c r="H15189" s="2"/>
    </row>
    <row r="15190" spans="1:8" x14ac:dyDescent="0.25">
      <c r="A15190" s="1"/>
      <c r="B15190" s="1" t="s">
        <v>5782</v>
      </c>
      <c r="C15190" s="1" t="s">
        <v>5783</v>
      </c>
      <c r="D15190" s="22" t="str">
        <f>HYPERLINK("https://rhld.insurance.arkansas.gov/NPILookup?Npi=1467028704","1467028704")</f>
        <v>1467028704</v>
      </c>
      <c r="E15190" s="1" t="s">
        <v>22273</v>
      </c>
      <c r="F15190" s="2"/>
      <c r="G15190" s="2"/>
      <c r="H15190" s="2"/>
    </row>
    <row r="15191" spans="1:8" x14ac:dyDescent="0.25">
      <c r="A15191" s="1"/>
      <c r="B15191" s="1" t="s">
        <v>5782</v>
      </c>
      <c r="C15191" s="1" t="s">
        <v>5783</v>
      </c>
      <c r="D15191" s="22" t="str">
        <f>HYPERLINK("https://rhld.insurance.arkansas.gov/NPILookup?Npi=1467028795","1467028795")</f>
        <v>1467028795</v>
      </c>
      <c r="E15191" s="1" t="s">
        <v>5164</v>
      </c>
      <c r="F15191" s="2"/>
      <c r="G15191" s="2"/>
      <c r="H15191" s="2"/>
    </row>
    <row r="15192" spans="1:8" x14ac:dyDescent="0.25">
      <c r="A15192" s="1"/>
      <c r="B15192" s="1" t="s">
        <v>5782</v>
      </c>
      <c r="C15192" s="1" t="s">
        <v>5783</v>
      </c>
      <c r="D15192" s="22" t="str">
        <f>HYPERLINK("https://rhld.insurance.arkansas.gov/NPILookup?Npi=1467038760","1467038760")</f>
        <v>1467038760</v>
      </c>
      <c r="E15192" s="1" t="s">
        <v>22274</v>
      </c>
      <c r="F15192" s="2"/>
      <c r="G15192" s="2"/>
      <c r="H15192" s="2"/>
    </row>
    <row r="15193" spans="1:8" x14ac:dyDescent="0.25">
      <c r="A15193" s="1"/>
      <c r="B15193" s="1" t="s">
        <v>5782</v>
      </c>
      <c r="C15193" s="1" t="s">
        <v>5783</v>
      </c>
      <c r="D15193" s="22" t="str">
        <f>HYPERLINK("https://rhld.insurance.arkansas.gov/NPILookup?Npi=1467084384","1467084384")</f>
        <v>1467084384</v>
      </c>
      <c r="E15193" s="1" t="s">
        <v>1668</v>
      </c>
      <c r="F15193" s="2"/>
      <c r="G15193" s="2"/>
      <c r="H15193" s="2"/>
    </row>
    <row r="15194" spans="1:8" x14ac:dyDescent="0.25">
      <c r="A15194" s="1"/>
      <c r="B15194" s="1" t="s">
        <v>5782</v>
      </c>
      <c r="C15194" s="1" t="s">
        <v>5783</v>
      </c>
      <c r="D15194" s="22" t="str">
        <f>HYPERLINK("https://rhld.insurance.arkansas.gov/NPILookup?Npi=1467106583","1467106583")</f>
        <v>1467106583</v>
      </c>
      <c r="E15194" s="1" t="s">
        <v>22275</v>
      </c>
      <c r="F15194" s="2"/>
      <c r="G15194" s="2"/>
      <c r="H15194" s="2"/>
    </row>
    <row r="15195" spans="1:8" x14ac:dyDescent="0.25">
      <c r="A15195" s="1"/>
      <c r="B15195" s="1" t="s">
        <v>5782</v>
      </c>
      <c r="C15195" s="1" t="s">
        <v>5783</v>
      </c>
      <c r="D15195" s="22" t="str">
        <f>HYPERLINK("https://rhld.insurance.arkansas.gov/NPILookup?Npi=1467107060","1467107060")</f>
        <v>1467107060</v>
      </c>
      <c r="E15195" s="1" t="s">
        <v>6320</v>
      </c>
      <c r="F15195" s="2"/>
      <c r="G15195" s="2"/>
      <c r="H15195" s="2"/>
    </row>
    <row r="15196" spans="1:8" x14ac:dyDescent="0.25">
      <c r="A15196" s="1"/>
      <c r="B15196" s="1" t="s">
        <v>5782</v>
      </c>
      <c r="C15196" s="1" t="s">
        <v>5783</v>
      </c>
      <c r="D15196" s="22" t="str">
        <f>HYPERLINK("https://rhld.insurance.arkansas.gov/NPILookup?Npi=1467114884","1467114884")</f>
        <v>1467114884</v>
      </c>
      <c r="E15196" s="1" t="s">
        <v>6321</v>
      </c>
      <c r="F15196" s="2"/>
      <c r="G15196" s="2"/>
      <c r="H15196" s="2"/>
    </row>
    <row r="15197" spans="1:8" x14ac:dyDescent="0.25">
      <c r="A15197" s="1"/>
      <c r="B15197" s="1" t="s">
        <v>5782</v>
      </c>
      <c r="C15197" s="1" t="s">
        <v>5783</v>
      </c>
      <c r="D15197" s="22" t="str">
        <f>HYPERLINK("https://rhld.insurance.arkansas.gov/NPILookup?Npi=1467123869","1467123869")</f>
        <v>1467123869</v>
      </c>
      <c r="E15197" s="1" t="s">
        <v>11812</v>
      </c>
      <c r="F15197" s="2"/>
      <c r="G15197" s="2"/>
      <c r="H15197" s="2"/>
    </row>
    <row r="15198" spans="1:8" x14ac:dyDescent="0.25">
      <c r="A15198" s="1"/>
      <c r="B15198" s="1" t="s">
        <v>5782</v>
      </c>
      <c r="C15198" s="1" t="s">
        <v>5783</v>
      </c>
      <c r="D15198" s="22" t="str">
        <f>HYPERLINK("https://rhld.insurance.arkansas.gov/NPILookup?Npi=1467131839","1467131839")</f>
        <v>1467131839</v>
      </c>
      <c r="E15198" s="1" t="s">
        <v>6120</v>
      </c>
      <c r="F15198" s="2"/>
      <c r="G15198" s="2"/>
      <c r="H15198" s="2"/>
    </row>
    <row r="15199" spans="1:8" x14ac:dyDescent="0.25">
      <c r="A15199" s="1"/>
      <c r="B15199" s="1" t="s">
        <v>5782</v>
      </c>
      <c r="C15199" s="1" t="s">
        <v>5783</v>
      </c>
      <c r="D15199" s="22" t="str">
        <f>HYPERLINK("https://rhld.insurance.arkansas.gov/NPILookup?Npi=1467164418","1467164418")</f>
        <v>1467164418</v>
      </c>
      <c r="E15199" s="1" t="s">
        <v>22276</v>
      </c>
      <c r="F15199" s="2"/>
      <c r="G15199" s="2"/>
      <c r="H15199" s="2"/>
    </row>
    <row r="15200" spans="1:8" x14ac:dyDescent="0.25">
      <c r="A15200" s="1"/>
      <c r="B15200" s="1" t="s">
        <v>5782</v>
      </c>
      <c r="C15200" s="1" t="s">
        <v>5783</v>
      </c>
      <c r="D15200" s="22" t="str">
        <f>HYPERLINK("https://rhld.insurance.arkansas.gov/NPILookup?Npi=1467168989","1467168989")</f>
        <v>1467168989</v>
      </c>
      <c r="E15200" s="1" t="s">
        <v>7491</v>
      </c>
      <c r="F15200" s="2"/>
      <c r="G15200" s="2"/>
      <c r="H15200" s="2"/>
    </row>
    <row r="15201" spans="1:8" x14ac:dyDescent="0.25">
      <c r="A15201" s="1"/>
      <c r="B15201" s="1" t="s">
        <v>5782</v>
      </c>
      <c r="C15201" s="1" t="s">
        <v>5783</v>
      </c>
      <c r="D15201" s="22" t="str">
        <f>HYPERLINK("https://rhld.insurance.arkansas.gov/NPILookup?Npi=1467169250","1467169250")</f>
        <v>1467169250</v>
      </c>
      <c r="E15201" s="1" t="s">
        <v>22277</v>
      </c>
      <c r="F15201" s="2"/>
      <c r="G15201" s="2"/>
      <c r="H15201" s="2"/>
    </row>
    <row r="15202" spans="1:8" x14ac:dyDescent="0.25">
      <c r="A15202" s="1"/>
      <c r="B15202" s="1" t="s">
        <v>5782</v>
      </c>
      <c r="C15202" s="1" t="s">
        <v>5783</v>
      </c>
      <c r="D15202" s="22" t="str">
        <f>HYPERLINK("https://rhld.insurance.arkansas.gov/NPILookup?Npi=1467173690","1467173690")</f>
        <v>1467173690</v>
      </c>
      <c r="E15202" s="1" t="s">
        <v>22278</v>
      </c>
      <c r="F15202" s="2"/>
      <c r="G15202" s="2"/>
      <c r="H15202" s="2"/>
    </row>
    <row r="15203" spans="1:8" x14ac:dyDescent="0.25">
      <c r="A15203" s="1"/>
      <c r="B15203" s="1" t="s">
        <v>5782</v>
      </c>
      <c r="C15203" s="1" t="s">
        <v>5783</v>
      </c>
      <c r="D15203" s="22" t="str">
        <f>HYPERLINK("https://rhld.insurance.arkansas.gov/NPILookup?Npi=1467184168","1467184168")</f>
        <v>1467184168</v>
      </c>
      <c r="E15203" s="1" t="s">
        <v>6322</v>
      </c>
      <c r="F15203" s="2"/>
      <c r="G15203" s="2"/>
      <c r="H15203" s="2"/>
    </row>
    <row r="15204" spans="1:8" x14ac:dyDescent="0.25">
      <c r="A15204" s="1"/>
      <c r="B15204" s="1" t="s">
        <v>5782</v>
      </c>
      <c r="C15204" s="1" t="s">
        <v>5783</v>
      </c>
      <c r="D15204" s="22" t="str">
        <f>HYPERLINK("https://rhld.insurance.arkansas.gov/NPILookup?Npi=1467188565","1467188565")</f>
        <v>1467188565</v>
      </c>
      <c r="E15204" s="1" t="s">
        <v>22279</v>
      </c>
      <c r="F15204" s="2"/>
      <c r="G15204" s="2"/>
      <c r="H15204" s="2"/>
    </row>
    <row r="15205" spans="1:8" x14ac:dyDescent="0.25">
      <c r="A15205" s="1"/>
      <c r="B15205" s="1" t="s">
        <v>5782</v>
      </c>
      <c r="C15205" s="1" t="s">
        <v>5783</v>
      </c>
      <c r="D15205" s="22" t="str">
        <f>HYPERLINK("https://rhld.insurance.arkansas.gov/NPILookup?Npi=1467193953","1467193953")</f>
        <v>1467193953</v>
      </c>
      <c r="E15205" s="1" t="s">
        <v>22280</v>
      </c>
      <c r="F15205" s="2"/>
      <c r="G15205" s="2"/>
      <c r="H15205" s="2"/>
    </row>
    <row r="15206" spans="1:8" x14ac:dyDescent="0.25">
      <c r="A15206" s="1"/>
      <c r="B15206" s="1" t="s">
        <v>5782</v>
      </c>
      <c r="C15206" s="1" t="s">
        <v>5783</v>
      </c>
      <c r="D15206" s="22" t="str">
        <f>HYPERLINK("https://rhld.insurance.arkansas.gov/NPILookup?Npi=1467432054","1467432054")</f>
        <v>1467432054</v>
      </c>
      <c r="E15206" s="1" t="s">
        <v>22281</v>
      </c>
      <c r="F15206" s="2"/>
      <c r="G15206" s="2"/>
      <c r="H15206" s="2"/>
    </row>
    <row r="15207" spans="1:8" x14ac:dyDescent="0.25">
      <c r="A15207" s="1"/>
      <c r="B15207" s="1" t="s">
        <v>5782</v>
      </c>
      <c r="C15207" s="1" t="s">
        <v>5783</v>
      </c>
      <c r="D15207" s="22" t="str">
        <f>HYPERLINK("https://rhld.insurance.arkansas.gov/NPILookup?Npi=1467477604","1467477604")</f>
        <v>1467477604</v>
      </c>
      <c r="E15207" s="1" t="s">
        <v>22282</v>
      </c>
      <c r="F15207" s="2"/>
      <c r="G15207" s="2"/>
      <c r="H15207" s="2"/>
    </row>
    <row r="15208" spans="1:8" x14ac:dyDescent="0.25">
      <c r="A15208" s="1"/>
      <c r="B15208" s="1" t="s">
        <v>5782</v>
      </c>
      <c r="C15208" s="1" t="s">
        <v>5783</v>
      </c>
      <c r="D15208" s="22" t="str">
        <f>HYPERLINK("https://rhld.insurance.arkansas.gov/NPILookup?Npi=1467478842","1467478842")</f>
        <v>1467478842</v>
      </c>
      <c r="E15208" s="1" t="s">
        <v>22283</v>
      </c>
      <c r="F15208" s="2"/>
      <c r="G15208" s="2"/>
      <c r="H15208" s="2"/>
    </row>
    <row r="15209" spans="1:8" x14ac:dyDescent="0.25">
      <c r="A15209" s="1"/>
      <c r="B15209" s="1" t="s">
        <v>5782</v>
      </c>
      <c r="C15209" s="1" t="s">
        <v>5783</v>
      </c>
      <c r="D15209" s="22" t="str">
        <f>HYPERLINK("https://rhld.insurance.arkansas.gov/NPILookup?Npi=1467481622","1467481622")</f>
        <v>1467481622</v>
      </c>
      <c r="E15209" s="1" t="s">
        <v>22284</v>
      </c>
      <c r="F15209" s="2"/>
      <c r="G15209" s="2"/>
      <c r="H15209" s="2"/>
    </row>
    <row r="15210" spans="1:8" x14ac:dyDescent="0.25">
      <c r="A15210" s="1"/>
      <c r="B15210" s="1" t="s">
        <v>5782</v>
      </c>
      <c r="C15210" s="1" t="s">
        <v>5783</v>
      </c>
      <c r="D15210" s="22" t="str">
        <f>HYPERLINK("https://rhld.insurance.arkansas.gov/NPILookup?Npi=1467497099","1467497099")</f>
        <v>1467497099</v>
      </c>
      <c r="E15210" s="1" t="s">
        <v>22285</v>
      </c>
      <c r="F15210" s="2"/>
      <c r="G15210" s="2"/>
      <c r="H15210" s="2"/>
    </row>
    <row r="15211" spans="1:8" x14ac:dyDescent="0.25">
      <c r="A15211" s="1"/>
      <c r="B15211" s="1" t="s">
        <v>5782</v>
      </c>
      <c r="C15211" s="1" t="s">
        <v>5783</v>
      </c>
      <c r="D15211" s="22" t="str">
        <f>HYPERLINK("https://rhld.insurance.arkansas.gov/NPILookup?Npi=1467519777","1467519777")</f>
        <v>1467519777</v>
      </c>
      <c r="E15211" s="1" t="s">
        <v>22286</v>
      </c>
      <c r="F15211" s="2"/>
      <c r="G15211" s="2"/>
      <c r="H15211" s="2"/>
    </row>
    <row r="15212" spans="1:8" x14ac:dyDescent="0.25">
      <c r="A15212" s="1"/>
      <c r="B15212" s="1" t="s">
        <v>5782</v>
      </c>
      <c r="C15212" s="1" t="s">
        <v>5783</v>
      </c>
      <c r="D15212" s="22" t="str">
        <f>HYPERLINK("https://rhld.insurance.arkansas.gov/NPILookup?Npi=1467555201","1467555201")</f>
        <v>1467555201</v>
      </c>
      <c r="E15212" s="1" t="s">
        <v>6324</v>
      </c>
      <c r="F15212" s="2"/>
      <c r="G15212" s="2"/>
      <c r="H15212" s="2"/>
    </row>
    <row r="15213" spans="1:8" x14ac:dyDescent="0.25">
      <c r="A15213" s="1"/>
      <c r="B15213" s="1" t="s">
        <v>5782</v>
      </c>
      <c r="C15213" s="1" t="s">
        <v>5783</v>
      </c>
      <c r="D15213" s="22" t="str">
        <f>HYPERLINK("https://rhld.insurance.arkansas.gov/NPILookup?Npi=1467576504","1467576504")</f>
        <v>1467576504</v>
      </c>
      <c r="E15213" s="1" t="s">
        <v>22287</v>
      </c>
      <c r="F15213" s="2"/>
      <c r="G15213" s="2"/>
      <c r="H15213" s="2"/>
    </row>
    <row r="15214" spans="1:8" x14ac:dyDescent="0.25">
      <c r="A15214" s="1"/>
      <c r="B15214" s="1" t="s">
        <v>5782</v>
      </c>
      <c r="C15214" s="1" t="s">
        <v>5783</v>
      </c>
      <c r="D15214" s="22" t="str">
        <f>HYPERLINK("https://rhld.insurance.arkansas.gov/NPILookup?Npi=1467578088","1467578088")</f>
        <v>1467578088</v>
      </c>
      <c r="E15214" s="1" t="s">
        <v>22288</v>
      </c>
      <c r="F15214" s="2"/>
      <c r="G15214" s="2"/>
      <c r="H15214" s="2"/>
    </row>
    <row r="15215" spans="1:8" x14ac:dyDescent="0.25">
      <c r="A15215" s="1"/>
      <c r="B15215" s="1" t="s">
        <v>5782</v>
      </c>
      <c r="C15215" s="1" t="s">
        <v>5783</v>
      </c>
      <c r="D15215" s="22" t="str">
        <f>HYPERLINK("https://rhld.insurance.arkansas.gov/NPILookup?Npi=1467584656","1467584656")</f>
        <v>1467584656</v>
      </c>
      <c r="E15215" s="1" t="s">
        <v>11814</v>
      </c>
      <c r="F15215" s="2"/>
      <c r="G15215" s="2"/>
      <c r="H15215" s="2"/>
    </row>
    <row r="15216" spans="1:8" x14ac:dyDescent="0.25">
      <c r="A15216" s="1"/>
      <c r="B15216" s="1" t="s">
        <v>5782</v>
      </c>
      <c r="C15216" s="1" t="s">
        <v>5783</v>
      </c>
      <c r="D15216" s="22" t="str">
        <f>HYPERLINK("https://rhld.insurance.arkansas.gov/NPILookup?Npi=1467643783","1467643783")</f>
        <v>1467643783</v>
      </c>
      <c r="E15216" s="1" t="s">
        <v>347</v>
      </c>
      <c r="F15216" s="2"/>
      <c r="G15216" s="2"/>
      <c r="H15216" s="2"/>
    </row>
    <row r="15217" spans="1:8" x14ac:dyDescent="0.25">
      <c r="A15217" s="1"/>
      <c r="B15217" s="1" t="s">
        <v>5782</v>
      </c>
      <c r="C15217" s="1" t="s">
        <v>5783</v>
      </c>
      <c r="D15217" s="22" t="str">
        <f>HYPERLINK("https://rhld.insurance.arkansas.gov/NPILookup?Npi=1467666057","1467666057")</f>
        <v>1467666057</v>
      </c>
      <c r="E15217" s="1" t="s">
        <v>2529</v>
      </c>
      <c r="F15217" s="2"/>
      <c r="G15217" s="2"/>
      <c r="H15217" s="2"/>
    </row>
    <row r="15218" spans="1:8" x14ac:dyDescent="0.25">
      <c r="A15218" s="1"/>
      <c r="B15218" s="1" t="s">
        <v>5782</v>
      </c>
      <c r="C15218" s="1" t="s">
        <v>5783</v>
      </c>
      <c r="D15218" s="22" t="str">
        <f>HYPERLINK("https://rhld.insurance.arkansas.gov/NPILookup?Npi=1467669697","1467669697")</f>
        <v>1467669697</v>
      </c>
      <c r="E15218" s="1" t="s">
        <v>4909</v>
      </c>
      <c r="F15218" s="2"/>
      <c r="G15218" s="2"/>
      <c r="H15218" s="2"/>
    </row>
    <row r="15219" spans="1:8" x14ac:dyDescent="0.25">
      <c r="A15219" s="1"/>
      <c r="B15219" s="1" t="s">
        <v>5782</v>
      </c>
      <c r="C15219" s="1" t="s">
        <v>5783</v>
      </c>
      <c r="D15219" s="22" t="str">
        <f>HYPERLINK("https://rhld.insurance.arkansas.gov/NPILookup?Npi=1467731877","1467731877")</f>
        <v>1467731877</v>
      </c>
      <c r="E15219" s="1" t="s">
        <v>21400</v>
      </c>
      <c r="F15219" s="2"/>
      <c r="G15219" s="2"/>
      <c r="H15219" s="2"/>
    </row>
    <row r="15220" spans="1:8" x14ac:dyDescent="0.25">
      <c r="A15220" s="1"/>
      <c r="B15220" s="1" t="s">
        <v>5782</v>
      </c>
      <c r="C15220" s="1" t="s">
        <v>5783</v>
      </c>
      <c r="D15220" s="22" t="str">
        <f>HYPERLINK("https://rhld.insurance.arkansas.gov/NPILookup?Npi=1467732172","1467732172")</f>
        <v>1467732172</v>
      </c>
      <c r="E15220" s="1" t="s">
        <v>3286</v>
      </c>
      <c r="F15220" s="2"/>
      <c r="G15220" s="2"/>
      <c r="H15220" s="2"/>
    </row>
    <row r="15221" spans="1:8" x14ac:dyDescent="0.25">
      <c r="A15221" s="1"/>
      <c r="B15221" s="1" t="s">
        <v>5782</v>
      </c>
      <c r="C15221" s="1" t="s">
        <v>5783</v>
      </c>
      <c r="D15221" s="22" t="str">
        <f>HYPERLINK("https://rhld.insurance.arkansas.gov/NPILookup?Npi=1467742445","1467742445")</f>
        <v>1467742445</v>
      </c>
      <c r="E15221" s="1" t="s">
        <v>3287</v>
      </c>
      <c r="F15221" s="2"/>
      <c r="G15221" s="2"/>
      <c r="H15221" s="2"/>
    </row>
    <row r="15222" spans="1:8" x14ac:dyDescent="0.25">
      <c r="A15222" s="1"/>
      <c r="B15222" s="1" t="s">
        <v>5782</v>
      </c>
      <c r="C15222" s="1" t="s">
        <v>5783</v>
      </c>
      <c r="D15222" s="22" t="str">
        <f>HYPERLINK("https://rhld.insurance.arkansas.gov/NPILookup?Npi=1467764183","1467764183")</f>
        <v>1467764183</v>
      </c>
      <c r="E15222" s="1" t="s">
        <v>11815</v>
      </c>
      <c r="F15222" s="2"/>
      <c r="G15222" s="2"/>
      <c r="H15222" s="2"/>
    </row>
    <row r="15223" spans="1:8" x14ac:dyDescent="0.25">
      <c r="A15223" s="1"/>
      <c r="B15223" s="1" t="s">
        <v>5782</v>
      </c>
      <c r="C15223" s="1" t="s">
        <v>5783</v>
      </c>
      <c r="D15223" s="22" t="str">
        <f>HYPERLINK("https://rhld.insurance.arkansas.gov/NPILookup?Npi=1467776815","1467776815")</f>
        <v>1467776815</v>
      </c>
      <c r="E15223" s="1" t="s">
        <v>22289</v>
      </c>
      <c r="F15223" s="2"/>
      <c r="G15223" s="2"/>
      <c r="H15223" s="2"/>
    </row>
    <row r="15224" spans="1:8" x14ac:dyDescent="0.25">
      <c r="A15224" s="1"/>
      <c r="B15224" s="1" t="s">
        <v>5782</v>
      </c>
      <c r="C15224" s="1" t="s">
        <v>5783</v>
      </c>
      <c r="D15224" s="22" t="str">
        <f>HYPERLINK("https://rhld.insurance.arkansas.gov/NPILookup?Npi=1467778175","1467778175")</f>
        <v>1467778175</v>
      </c>
      <c r="E15224" s="1" t="s">
        <v>2188</v>
      </c>
      <c r="F15224" s="2"/>
      <c r="G15224" s="2"/>
      <c r="H15224" s="2"/>
    </row>
    <row r="15225" spans="1:8" x14ac:dyDescent="0.25">
      <c r="A15225" s="1"/>
      <c r="B15225" s="1" t="s">
        <v>5782</v>
      </c>
      <c r="C15225" s="1" t="s">
        <v>5783</v>
      </c>
      <c r="D15225" s="22" t="str">
        <f>HYPERLINK("https://rhld.insurance.arkansas.gov/NPILookup?Npi=1467780833","1467780833")</f>
        <v>1467780833</v>
      </c>
      <c r="E15225" s="1" t="s">
        <v>1868</v>
      </c>
      <c r="F15225" s="2"/>
      <c r="G15225" s="2"/>
      <c r="H15225" s="2"/>
    </row>
    <row r="15226" spans="1:8" x14ac:dyDescent="0.25">
      <c r="A15226" s="1"/>
      <c r="B15226" s="1" t="s">
        <v>5782</v>
      </c>
      <c r="C15226" s="1" t="s">
        <v>5783</v>
      </c>
      <c r="D15226" s="22" t="str">
        <f>HYPERLINK("https://rhld.insurance.arkansas.gov/NPILookup?Npi=1467805655","1467805655")</f>
        <v>1467805655</v>
      </c>
      <c r="E15226" s="1" t="s">
        <v>1516</v>
      </c>
      <c r="F15226" s="2"/>
      <c r="G15226" s="2"/>
      <c r="H15226" s="2"/>
    </row>
    <row r="15227" spans="1:8" x14ac:dyDescent="0.25">
      <c r="A15227" s="1"/>
      <c r="B15227" s="1" t="s">
        <v>5782</v>
      </c>
      <c r="C15227" s="1" t="s">
        <v>5783</v>
      </c>
      <c r="D15227" s="22" t="str">
        <f>HYPERLINK("https://rhld.insurance.arkansas.gov/NPILookup?Npi=1467815845","1467815845")</f>
        <v>1467815845</v>
      </c>
      <c r="E15227" s="1" t="s">
        <v>6325</v>
      </c>
      <c r="F15227" s="2"/>
      <c r="G15227" s="2"/>
      <c r="H15227" s="2"/>
    </row>
    <row r="15228" spans="1:8" x14ac:dyDescent="0.25">
      <c r="A15228" s="1"/>
      <c r="B15228" s="1" t="s">
        <v>5782</v>
      </c>
      <c r="C15228" s="1" t="s">
        <v>5783</v>
      </c>
      <c r="D15228" s="22" t="str">
        <f>HYPERLINK("https://rhld.insurance.arkansas.gov/NPILookup?Npi=1467818484","1467818484")</f>
        <v>1467818484</v>
      </c>
      <c r="E15228" s="1" t="s">
        <v>11816</v>
      </c>
      <c r="F15228" s="2"/>
      <c r="G15228" s="2"/>
      <c r="H15228" s="2"/>
    </row>
    <row r="15229" spans="1:8" x14ac:dyDescent="0.25">
      <c r="A15229" s="1"/>
      <c r="B15229" s="1" t="s">
        <v>5782</v>
      </c>
      <c r="C15229" s="1" t="s">
        <v>5783</v>
      </c>
      <c r="D15229" s="22" t="str">
        <f>HYPERLINK("https://rhld.insurance.arkansas.gov/NPILookup?Npi=1467840538","1467840538")</f>
        <v>1467840538</v>
      </c>
      <c r="E15229" s="1" t="s">
        <v>785</v>
      </c>
      <c r="F15229" s="2"/>
      <c r="G15229" s="2"/>
      <c r="H15229" s="2"/>
    </row>
    <row r="15230" spans="1:8" x14ac:dyDescent="0.25">
      <c r="A15230" s="1"/>
      <c r="B15230" s="1" t="s">
        <v>5782</v>
      </c>
      <c r="C15230" s="1" t="s">
        <v>5783</v>
      </c>
      <c r="D15230" s="22" t="str">
        <f>HYPERLINK("https://rhld.insurance.arkansas.gov/NPILookup?Npi=1467851253","1467851253")</f>
        <v>1467851253</v>
      </c>
      <c r="E15230" s="1" t="s">
        <v>22290</v>
      </c>
      <c r="F15230" s="2"/>
      <c r="G15230" s="2"/>
      <c r="H15230" s="2"/>
    </row>
    <row r="15231" spans="1:8" x14ac:dyDescent="0.25">
      <c r="A15231" s="1"/>
      <c r="B15231" s="1" t="s">
        <v>5782</v>
      </c>
      <c r="C15231" s="1" t="s">
        <v>5783</v>
      </c>
      <c r="D15231" s="22" t="str">
        <f>HYPERLINK("https://rhld.insurance.arkansas.gov/NPILookup?Npi=1467857664","1467857664")</f>
        <v>1467857664</v>
      </c>
      <c r="E15231" s="1" t="s">
        <v>22291</v>
      </c>
      <c r="F15231" s="2"/>
      <c r="G15231" s="2"/>
      <c r="H15231" s="2"/>
    </row>
    <row r="15232" spans="1:8" x14ac:dyDescent="0.25">
      <c r="A15232" s="1"/>
      <c r="B15232" s="1" t="s">
        <v>5782</v>
      </c>
      <c r="C15232" s="1" t="s">
        <v>5783</v>
      </c>
      <c r="D15232" s="22" t="str">
        <f>HYPERLINK("https://rhld.insurance.arkansas.gov/NPILookup?Npi=1467861385","1467861385")</f>
        <v>1467861385</v>
      </c>
      <c r="E15232" s="1" t="s">
        <v>11817</v>
      </c>
      <c r="F15232" s="2"/>
      <c r="G15232" s="2"/>
      <c r="H15232" s="2"/>
    </row>
    <row r="15233" spans="1:8" x14ac:dyDescent="0.25">
      <c r="A15233" s="1"/>
      <c r="B15233" s="1" t="s">
        <v>5782</v>
      </c>
      <c r="C15233" s="1" t="s">
        <v>5783</v>
      </c>
      <c r="D15233" s="22" t="str">
        <f>HYPERLINK("https://rhld.insurance.arkansas.gov/NPILookup?Npi=1467863548","1467863548")</f>
        <v>1467863548</v>
      </c>
      <c r="E15233" s="1" t="s">
        <v>22292</v>
      </c>
      <c r="F15233" s="2"/>
      <c r="G15233" s="2"/>
      <c r="H15233" s="2"/>
    </row>
    <row r="15234" spans="1:8" x14ac:dyDescent="0.25">
      <c r="A15234" s="1"/>
      <c r="B15234" s="1" t="s">
        <v>5782</v>
      </c>
      <c r="C15234" s="1" t="s">
        <v>5783</v>
      </c>
      <c r="D15234" s="22" t="str">
        <f>HYPERLINK("https://rhld.insurance.arkansas.gov/NPILookup?Npi=1467864173","1467864173")</f>
        <v>1467864173</v>
      </c>
      <c r="E15234" s="1" t="s">
        <v>11818</v>
      </c>
      <c r="F15234" s="2"/>
      <c r="G15234" s="2"/>
      <c r="H15234" s="2"/>
    </row>
    <row r="15235" spans="1:8" x14ac:dyDescent="0.25">
      <c r="A15235" s="1"/>
      <c r="B15235" s="1" t="s">
        <v>5782</v>
      </c>
      <c r="C15235" s="1" t="s">
        <v>5783</v>
      </c>
      <c r="D15235" s="22" t="str">
        <f>HYPERLINK("https://rhld.insurance.arkansas.gov/NPILookup?Npi=1467866186","1467866186")</f>
        <v>1467866186</v>
      </c>
      <c r="E15235" s="1" t="s">
        <v>22293</v>
      </c>
      <c r="F15235" s="2"/>
      <c r="G15235" s="2"/>
      <c r="H15235" s="2"/>
    </row>
    <row r="15236" spans="1:8" x14ac:dyDescent="0.25">
      <c r="A15236" s="1"/>
      <c r="B15236" s="1" t="s">
        <v>5782</v>
      </c>
      <c r="C15236" s="1" t="s">
        <v>5783</v>
      </c>
      <c r="D15236" s="22" t="str">
        <f>HYPERLINK("https://rhld.insurance.arkansas.gov/NPILookup?Npi=1467877654","1467877654")</f>
        <v>1467877654</v>
      </c>
      <c r="E15236" s="1" t="s">
        <v>6326</v>
      </c>
      <c r="F15236" s="2"/>
      <c r="G15236" s="2"/>
      <c r="H15236" s="2"/>
    </row>
    <row r="15237" spans="1:8" x14ac:dyDescent="0.25">
      <c r="A15237" s="1"/>
      <c r="B15237" s="1" t="s">
        <v>5782</v>
      </c>
      <c r="C15237" s="1" t="s">
        <v>5783</v>
      </c>
      <c r="D15237" s="22" t="str">
        <f>HYPERLINK("https://rhld.insurance.arkansas.gov/NPILookup?Npi=1467881128","1467881128")</f>
        <v>1467881128</v>
      </c>
      <c r="E15237" s="1" t="s">
        <v>11819</v>
      </c>
      <c r="F15237" s="2"/>
      <c r="G15237" s="2"/>
      <c r="H15237" s="2"/>
    </row>
    <row r="15238" spans="1:8" x14ac:dyDescent="0.25">
      <c r="A15238" s="1"/>
      <c r="B15238" s="1" t="s">
        <v>5782</v>
      </c>
      <c r="C15238" s="1" t="s">
        <v>5783</v>
      </c>
      <c r="D15238" s="22" t="str">
        <f>HYPERLINK("https://rhld.insurance.arkansas.gov/NPILookup?Npi=1467890756","1467890756")</f>
        <v>1467890756</v>
      </c>
      <c r="E15238" s="1" t="s">
        <v>22294</v>
      </c>
      <c r="F15238" s="2"/>
      <c r="G15238" s="2"/>
      <c r="H15238" s="2"/>
    </row>
    <row r="15239" spans="1:8" x14ac:dyDescent="0.25">
      <c r="A15239" s="1"/>
      <c r="B15239" s="1" t="s">
        <v>5782</v>
      </c>
      <c r="C15239" s="1" t="s">
        <v>5783</v>
      </c>
      <c r="D15239" s="22" t="str">
        <f>HYPERLINK("https://rhld.insurance.arkansas.gov/NPILookup?Npi=1467910794","1467910794")</f>
        <v>1467910794</v>
      </c>
      <c r="E15239" s="1" t="s">
        <v>6327</v>
      </c>
      <c r="F15239" s="2"/>
      <c r="G15239" s="2"/>
      <c r="H15239" s="2"/>
    </row>
    <row r="15240" spans="1:8" x14ac:dyDescent="0.25">
      <c r="A15240" s="1"/>
      <c r="B15240" s="1" t="s">
        <v>5782</v>
      </c>
      <c r="C15240" s="1" t="s">
        <v>5783</v>
      </c>
      <c r="D15240" s="22" t="str">
        <f>HYPERLINK("https://rhld.insurance.arkansas.gov/NPILookup?Npi=1467914507","1467914507")</f>
        <v>1467914507</v>
      </c>
      <c r="E15240" s="1" t="s">
        <v>22295</v>
      </c>
      <c r="F15240" s="2"/>
      <c r="G15240" s="2"/>
      <c r="H15240" s="2"/>
    </row>
    <row r="15241" spans="1:8" x14ac:dyDescent="0.25">
      <c r="A15241" s="1"/>
      <c r="B15241" s="1" t="s">
        <v>5782</v>
      </c>
      <c r="C15241" s="1" t="s">
        <v>5783</v>
      </c>
      <c r="D15241" s="22" t="str">
        <f>HYPERLINK("https://rhld.insurance.arkansas.gov/NPILookup?Npi=1467931204","1467931204")</f>
        <v>1467931204</v>
      </c>
      <c r="E15241" s="1" t="s">
        <v>22296</v>
      </c>
      <c r="F15241" s="2"/>
      <c r="G15241" s="2"/>
      <c r="H15241" s="2"/>
    </row>
    <row r="15242" spans="1:8" x14ac:dyDescent="0.25">
      <c r="A15242" s="1"/>
      <c r="B15242" s="1" t="s">
        <v>5782</v>
      </c>
      <c r="C15242" s="1" t="s">
        <v>5783</v>
      </c>
      <c r="D15242" s="22" t="str">
        <f>HYPERLINK("https://rhld.insurance.arkansas.gov/NPILookup?Npi=1467947721","1467947721")</f>
        <v>1467947721</v>
      </c>
      <c r="E15242" s="1" t="s">
        <v>2487</v>
      </c>
      <c r="F15242" s="2"/>
      <c r="G15242" s="2"/>
      <c r="H15242" s="2"/>
    </row>
    <row r="15243" spans="1:8" x14ac:dyDescent="0.25">
      <c r="A15243" s="1"/>
      <c r="B15243" s="1" t="s">
        <v>5782</v>
      </c>
      <c r="C15243" s="1" t="s">
        <v>5783</v>
      </c>
      <c r="D15243" s="22" t="str">
        <f>HYPERLINK("https://rhld.insurance.arkansas.gov/NPILookup?Npi=1467953364","1467953364")</f>
        <v>1467953364</v>
      </c>
      <c r="E15243" s="1" t="s">
        <v>11820</v>
      </c>
      <c r="F15243" s="2"/>
      <c r="G15243" s="2"/>
      <c r="H15243" s="2"/>
    </row>
    <row r="15244" spans="1:8" x14ac:dyDescent="0.25">
      <c r="A15244" s="1"/>
      <c r="B15244" s="1" t="s">
        <v>5782</v>
      </c>
      <c r="C15244" s="1" t="s">
        <v>5783</v>
      </c>
      <c r="D15244" s="22" t="str">
        <f>HYPERLINK("https://rhld.insurance.arkansas.gov/NPILookup?Npi=1467956573","1467956573")</f>
        <v>1467956573</v>
      </c>
      <c r="E15244" s="1" t="s">
        <v>6328</v>
      </c>
      <c r="F15244" s="2"/>
      <c r="G15244" s="2"/>
      <c r="H15244" s="2"/>
    </row>
    <row r="15245" spans="1:8" x14ac:dyDescent="0.25">
      <c r="A15245" s="1"/>
      <c r="B15245" s="1" t="s">
        <v>5782</v>
      </c>
      <c r="C15245" s="1" t="s">
        <v>5783</v>
      </c>
      <c r="D15245" s="22" t="str">
        <f>HYPERLINK("https://rhld.insurance.arkansas.gov/NPILookup?Npi=1467962910","1467962910")</f>
        <v>1467962910</v>
      </c>
      <c r="E15245" s="1" t="s">
        <v>11821</v>
      </c>
      <c r="F15245" s="2"/>
      <c r="G15245" s="2"/>
      <c r="H15245" s="2"/>
    </row>
    <row r="15246" spans="1:8" x14ac:dyDescent="0.25">
      <c r="A15246" s="1"/>
      <c r="B15246" s="1" t="s">
        <v>5782</v>
      </c>
      <c r="C15246" s="1" t="s">
        <v>5783</v>
      </c>
      <c r="D15246" s="22" t="str">
        <f>HYPERLINK("https://rhld.insurance.arkansas.gov/NPILookup?Npi=1467969659","1467969659")</f>
        <v>1467969659</v>
      </c>
      <c r="E15246" s="1" t="s">
        <v>6329</v>
      </c>
      <c r="F15246" s="2"/>
      <c r="G15246" s="2"/>
      <c r="H15246" s="2"/>
    </row>
    <row r="15247" spans="1:8" x14ac:dyDescent="0.25">
      <c r="A15247" s="1"/>
      <c r="B15247" s="1" t="s">
        <v>5782</v>
      </c>
      <c r="C15247" s="1" t="s">
        <v>5783</v>
      </c>
      <c r="D15247" s="22" t="str">
        <f>HYPERLINK("https://rhld.insurance.arkansas.gov/NPILookup?Npi=1467969824","1467969824")</f>
        <v>1467969824</v>
      </c>
      <c r="E15247" s="1" t="s">
        <v>22297</v>
      </c>
      <c r="F15247" s="2"/>
      <c r="G15247" s="2"/>
      <c r="H15247" s="2"/>
    </row>
    <row r="15248" spans="1:8" x14ac:dyDescent="0.25">
      <c r="A15248" s="1"/>
      <c r="B15248" s="1" t="s">
        <v>5782</v>
      </c>
      <c r="C15248" s="1" t="s">
        <v>5783</v>
      </c>
      <c r="D15248" s="22" t="str">
        <f>HYPERLINK("https://rhld.insurance.arkansas.gov/NPILookup?Npi=1467972976","1467972976")</f>
        <v>1467972976</v>
      </c>
      <c r="E15248" s="1" t="s">
        <v>22298</v>
      </c>
      <c r="F15248" s="2"/>
      <c r="G15248" s="2"/>
      <c r="H15248" s="2"/>
    </row>
    <row r="15249" spans="1:8" x14ac:dyDescent="0.25">
      <c r="A15249" s="1"/>
      <c r="B15249" s="1" t="s">
        <v>5782</v>
      </c>
      <c r="C15249" s="1" t="s">
        <v>5783</v>
      </c>
      <c r="D15249" s="22" t="str">
        <f>HYPERLINK("https://rhld.insurance.arkansas.gov/NPILookup?Npi=1467973990","1467973990")</f>
        <v>1467973990</v>
      </c>
      <c r="E15249" s="1" t="s">
        <v>22299</v>
      </c>
      <c r="F15249" s="2"/>
      <c r="G15249" s="2"/>
      <c r="H15249" s="2"/>
    </row>
    <row r="15250" spans="1:8" x14ac:dyDescent="0.25">
      <c r="A15250" s="1"/>
      <c r="B15250" s="1" t="s">
        <v>5782</v>
      </c>
      <c r="C15250" s="1" t="s">
        <v>5783</v>
      </c>
      <c r="D15250" s="22" t="str">
        <f>HYPERLINK("https://rhld.insurance.arkansas.gov/NPILookup?Npi=1467981456","1467981456")</f>
        <v>1467981456</v>
      </c>
      <c r="E15250" s="1" t="s">
        <v>1715</v>
      </c>
      <c r="F15250" s="2"/>
      <c r="G15250" s="2"/>
      <c r="H15250" s="2"/>
    </row>
    <row r="15251" spans="1:8" x14ac:dyDescent="0.25">
      <c r="A15251" s="1"/>
      <c r="B15251" s="1" t="s">
        <v>5782</v>
      </c>
      <c r="C15251" s="1" t="s">
        <v>5783</v>
      </c>
      <c r="D15251" s="22" t="str">
        <f>HYPERLINK("https://rhld.insurance.arkansas.gov/NPILookup?Npi=1467989970","1467989970")</f>
        <v>1467989970</v>
      </c>
      <c r="E15251" s="1" t="s">
        <v>22300</v>
      </c>
      <c r="F15251" s="2"/>
      <c r="G15251" s="2"/>
      <c r="H15251" s="2"/>
    </row>
    <row r="15252" spans="1:8" x14ac:dyDescent="0.25">
      <c r="A15252" s="1"/>
      <c r="B15252" s="1" t="s">
        <v>5782</v>
      </c>
      <c r="C15252" s="1" t="s">
        <v>5783</v>
      </c>
      <c r="D15252" s="22" t="str">
        <f>HYPERLINK("https://rhld.insurance.arkansas.gov/NPILookup?Npi=1467991612","1467991612")</f>
        <v>1467991612</v>
      </c>
      <c r="E15252" s="1" t="s">
        <v>11822</v>
      </c>
      <c r="F15252" s="2"/>
      <c r="G15252" s="2"/>
      <c r="H15252" s="2"/>
    </row>
    <row r="15253" spans="1:8" x14ac:dyDescent="0.25">
      <c r="A15253" s="1"/>
      <c r="B15253" s="1" t="s">
        <v>5782</v>
      </c>
      <c r="C15253" s="1" t="s">
        <v>5783</v>
      </c>
      <c r="D15253" s="22" t="str">
        <f>HYPERLINK("https://rhld.insurance.arkansas.gov/NPILookup?Npi=1477019768","1477019768")</f>
        <v>1477019768</v>
      </c>
      <c r="E15253" s="1" t="s">
        <v>11823</v>
      </c>
      <c r="F15253" s="2"/>
      <c r="G15253" s="2"/>
      <c r="H15253" s="2"/>
    </row>
    <row r="15254" spans="1:8" x14ac:dyDescent="0.25">
      <c r="A15254" s="1"/>
      <c r="B15254" s="1" t="s">
        <v>5782</v>
      </c>
      <c r="C15254" s="1" t="s">
        <v>5783</v>
      </c>
      <c r="D15254" s="22" t="str">
        <f>HYPERLINK("https://rhld.insurance.arkansas.gov/NPILookup?Npi=1477020030","1477020030")</f>
        <v>1477020030</v>
      </c>
      <c r="E15254" s="1" t="s">
        <v>11824</v>
      </c>
      <c r="F15254" s="2"/>
      <c r="G15254" s="2"/>
      <c r="H15254" s="2"/>
    </row>
    <row r="15255" spans="1:8" x14ac:dyDescent="0.25">
      <c r="A15255" s="1"/>
      <c r="B15255" s="1" t="s">
        <v>5782</v>
      </c>
      <c r="C15255" s="1" t="s">
        <v>5783</v>
      </c>
      <c r="D15255" s="22" t="str">
        <f>HYPERLINK("https://rhld.insurance.arkansas.gov/NPILookup?Npi=1477057156","1477057156")</f>
        <v>1477057156</v>
      </c>
      <c r="E15255" s="1" t="s">
        <v>11825</v>
      </c>
      <c r="F15255" s="2"/>
      <c r="G15255" s="2"/>
      <c r="H15255" s="2"/>
    </row>
    <row r="15256" spans="1:8" x14ac:dyDescent="0.25">
      <c r="A15256" s="1"/>
      <c r="B15256" s="1" t="s">
        <v>5782</v>
      </c>
      <c r="C15256" s="1" t="s">
        <v>5783</v>
      </c>
      <c r="D15256" s="22" t="str">
        <f>HYPERLINK("https://rhld.insurance.arkansas.gov/NPILookup?Npi=1477068542","1477068542")</f>
        <v>1477068542</v>
      </c>
      <c r="E15256" s="1" t="s">
        <v>31884</v>
      </c>
      <c r="F15256" s="2"/>
      <c r="G15256" s="2"/>
      <c r="H15256" s="2"/>
    </row>
    <row r="15257" spans="1:8" x14ac:dyDescent="0.25">
      <c r="A15257" s="1"/>
      <c r="B15257" s="1" t="s">
        <v>5782</v>
      </c>
      <c r="C15257" s="1" t="s">
        <v>5783</v>
      </c>
      <c r="D15257" s="22" t="str">
        <f>HYPERLINK("https://rhld.insurance.arkansas.gov/NPILookup?Npi=1477076222","1477076222")</f>
        <v>1477076222</v>
      </c>
      <c r="E15257" s="1" t="s">
        <v>22301</v>
      </c>
      <c r="F15257" s="2"/>
      <c r="G15257" s="2"/>
      <c r="H15257" s="2"/>
    </row>
    <row r="15258" spans="1:8" x14ac:dyDescent="0.25">
      <c r="A15258" s="1"/>
      <c r="B15258" s="1" t="s">
        <v>5782</v>
      </c>
      <c r="C15258" s="1" t="s">
        <v>5783</v>
      </c>
      <c r="D15258" s="22" t="str">
        <f>HYPERLINK("https://rhld.insurance.arkansas.gov/NPILookup?Npi=1477091650","1477091650")</f>
        <v>1477091650</v>
      </c>
      <c r="E15258" s="1" t="s">
        <v>22302</v>
      </c>
      <c r="F15258" s="2"/>
      <c r="G15258" s="2"/>
      <c r="H15258" s="2"/>
    </row>
    <row r="15259" spans="1:8" x14ac:dyDescent="0.25">
      <c r="A15259" s="1"/>
      <c r="B15259" s="1" t="s">
        <v>5782</v>
      </c>
      <c r="C15259" s="1" t="s">
        <v>5783</v>
      </c>
      <c r="D15259" s="22" t="str">
        <f>HYPERLINK("https://rhld.insurance.arkansas.gov/NPILookup?Npi=1477100253","1477100253")</f>
        <v>1477100253</v>
      </c>
      <c r="E15259" s="1" t="s">
        <v>5659</v>
      </c>
      <c r="F15259" s="2"/>
      <c r="G15259" s="2"/>
      <c r="H15259" s="2"/>
    </row>
    <row r="15260" spans="1:8" x14ac:dyDescent="0.25">
      <c r="A15260" s="1"/>
      <c r="B15260" s="1" t="s">
        <v>5782</v>
      </c>
      <c r="C15260" s="1" t="s">
        <v>5783</v>
      </c>
      <c r="D15260" s="22" t="str">
        <f>HYPERLINK("https://rhld.insurance.arkansas.gov/NPILookup?Npi=1477110633","1477110633")</f>
        <v>1477110633</v>
      </c>
      <c r="E15260" s="1" t="s">
        <v>22303</v>
      </c>
      <c r="F15260" s="2"/>
      <c r="G15260" s="2"/>
      <c r="H15260" s="2"/>
    </row>
    <row r="15261" spans="1:8" x14ac:dyDescent="0.25">
      <c r="A15261" s="1"/>
      <c r="B15261" s="1" t="s">
        <v>5782</v>
      </c>
      <c r="C15261" s="1" t="s">
        <v>5783</v>
      </c>
      <c r="D15261" s="22" t="str">
        <f>HYPERLINK("https://rhld.insurance.arkansas.gov/NPILookup?Npi=1477139376","1477139376")</f>
        <v>1477139376</v>
      </c>
      <c r="E15261" s="1" t="s">
        <v>22304</v>
      </c>
      <c r="F15261" s="2"/>
      <c r="G15261" s="2"/>
      <c r="H15261" s="2"/>
    </row>
    <row r="15262" spans="1:8" x14ac:dyDescent="0.25">
      <c r="A15262" s="1"/>
      <c r="B15262" s="1" t="s">
        <v>5782</v>
      </c>
      <c r="C15262" s="1" t="s">
        <v>5783</v>
      </c>
      <c r="D15262" s="22" t="str">
        <f>HYPERLINK("https://rhld.insurance.arkansas.gov/NPILookup?Npi=1477171395","1477171395")</f>
        <v>1477171395</v>
      </c>
      <c r="E15262" s="1" t="s">
        <v>11827</v>
      </c>
      <c r="F15262" s="2"/>
      <c r="G15262" s="2"/>
      <c r="H15262" s="2"/>
    </row>
    <row r="15263" spans="1:8" x14ac:dyDescent="0.25">
      <c r="A15263" s="1"/>
      <c r="B15263" s="1" t="s">
        <v>5782</v>
      </c>
      <c r="C15263" s="1" t="s">
        <v>5783</v>
      </c>
      <c r="D15263" s="22" t="str">
        <f>HYPERLINK("https://rhld.insurance.arkansas.gov/NPILookup?Npi=1477195576","1477195576")</f>
        <v>1477195576</v>
      </c>
      <c r="E15263" s="1" t="s">
        <v>22305</v>
      </c>
      <c r="F15263" s="2"/>
      <c r="G15263" s="2"/>
      <c r="H15263" s="2"/>
    </row>
    <row r="15264" spans="1:8" x14ac:dyDescent="0.25">
      <c r="A15264" s="1"/>
      <c r="B15264" s="1" t="s">
        <v>5782</v>
      </c>
      <c r="C15264" s="1" t="s">
        <v>5783</v>
      </c>
      <c r="D15264" s="22" t="str">
        <f>HYPERLINK("https://rhld.insurance.arkansas.gov/NPILookup?Npi=1477199404","1477199404")</f>
        <v>1477199404</v>
      </c>
      <c r="E15264" s="1" t="s">
        <v>22306</v>
      </c>
      <c r="F15264" s="2"/>
      <c r="G15264" s="2"/>
      <c r="H15264" s="2"/>
    </row>
    <row r="15265" spans="1:8" x14ac:dyDescent="0.25">
      <c r="A15265" s="1"/>
      <c r="B15265" s="1" t="s">
        <v>5782</v>
      </c>
      <c r="C15265" s="1" t="s">
        <v>5783</v>
      </c>
      <c r="D15265" s="22" t="str">
        <f>HYPERLINK("https://rhld.insurance.arkansas.gov/NPILookup?Npi=1477222024","1477222024")</f>
        <v>1477222024</v>
      </c>
      <c r="E15265" s="1" t="s">
        <v>22307</v>
      </c>
      <c r="F15265" s="2"/>
      <c r="G15265" s="2"/>
      <c r="H15265" s="2"/>
    </row>
    <row r="15266" spans="1:8" x14ac:dyDescent="0.25">
      <c r="A15266" s="1"/>
      <c r="B15266" s="1" t="s">
        <v>5782</v>
      </c>
      <c r="C15266" s="1" t="s">
        <v>5783</v>
      </c>
      <c r="D15266" s="22" t="str">
        <f>HYPERLINK("https://rhld.insurance.arkansas.gov/NPILookup?Npi=1477232460","1477232460")</f>
        <v>1477232460</v>
      </c>
      <c r="E15266" s="1" t="s">
        <v>22308</v>
      </c>
      <c r="F15266" s="2"/>
      <c r="G15266" s="2"/>
      <c r="H15266" s="2"/>
    </row>
    <row r="15267" spans="1:8" x14ac:dyDescent="0.25">
      <c r="A15267" s="1"/>
      <c r="B15267" s="1" t="s">
        <v>5782</v>
      </c>
      <c r="C15267" s="1" t="s">
        <v>5783</v>
      </c>
      <c r="D15267" s="22" t="str">
        <f>HYPERLINK("https://rhld.insurance.arkansas.gov/NPILookup?Npi=1477267193","1477267193")</f>
        <v>1477267193</v>
      </c>
      <c r="E15267" s="1" t="s">
        <v>22309</v>
      </c>
      <c r="F15267" s="2"/>
      <c r="G15267" s="2"/>
      <c r="H15267" s="2"/>
    </row>
    <row r="15268" spans="1:8" x14ac:dyDescent="0.25">
      <c r="A15268" s="1"/>
      <c r="B15268" s="1" t="s">
        <v>5782</v>
      </c>
      <c r="C15268" s="1" t="s">
        <v>5783</v>
      </c>
      <c r="D15268" s="22" t="str">
        <f>HYPERLINK("https://rhld.insurance.arkansas.gov/NPILookup?Npi=1477283497","1477283497")</f>
        <v>1477283497</v>
      </c>
      <c r="E15268" s="1" t="s">
        <v>22310</v>
      </c>
      <c r="F15268" s="2"/>
      <c r="G15268" s="2"/>
      <c r="H15268" s="2"/>
    </row>
    <row r="15269" spans="1:8" x14ac:dyDescent="0.25">
      <c r="A15269" s="1"/>
      <c r="B15269" s="1" t="s">
        <v>5782</v>
      </c>
      <c r="C15269" s="1" t="s">
        <v>5783</v>
      </c>
      <c r="D15269" s="22" t="str">
        <f>HYPERLINK("https://rhld.insurance.arkansas.gov/NPILookup?Npi=1477308443","1477308443")</f>
        <v>1477308443</v>
      </c>
      <c r="E15269" s="1" t="s">
        <v>22311</v>
      </c>
      <c r="F15269" s="2"/>
      <c r="G15269" s="2"/>
      <c r="H15269" s="2"/>
    </row>
    <row r="15270" spans="1:8" x14ac:dyDescent="0.25">
      <c r="A15270" s="1"/>
      <c r="B15270" s="1" t="s">
        <v>5782</v>
      </c>
      <c r="C15270" s="1" t="s">
        <v>5783</v>
      </c>
      <c r="D15270" s="22" t="str">
        <f>HYPERLINK("https://rhld.insurance.arkansas.gov/NPILookup?Npi=1477582757","1477582757")</f>
        <v>1477582757</v>
      </c>
      <c r="E15270" s="1" t="s">
        <v>22312</v>
      </c>
      <c r="F15270" s="2"/>
      <c r="G15270" s="2"/>
      <c r="H15270" s="2"/>
    </row>
    <row r="15271" spans="1:8" x14ac:dyDescent="0.25">
      <c r="A15271" s="1"/>
      <c r="B15271" s="1" t="s">
        <v>5782</v>
      </c>
      <c r="C15271" s="1" t="s">
        <v>5783</v>
      </c>
      <c r="D15271" s="22" t="str">
        <f>HYPERLINK("https://rhld.insurance.arkansas.gov/NPILookup?Npi=1477587772","1477587772")</f>
        <v>1477587772</v>
      </c>
      <c r="E15271" s="1" t="s">
        <v>11940</v>
      </c>
      <c r="F15271" s="2"/>
      <c r="G15271" s="2"/>
      <c r="H15271" s="2"/>
    </row>
    <row r="15272" spans="1:8" x14ac:dyDescent="0.25">
      <c r="A15272" s="1"/>
      <c r="B15272" s="1" t="s">
        <v>5782</v>
      </c>
      <c r="C15272" s="1" t="s">
        <v>5783</v>
      </c>
      <c r="D15272" s="22" t="str">
        <f>HYPERLINK("https://rhld.insurance.arkansas.gov/NPILookup?Npi=1477591816","1477591816")</f>
        <v>1477591816</v>
      </c>
      <c r="E15272" s="1" t="s">
        <v>1669</v>
      </c>
      <c r="F15272" s="2"/>
      <c r="G15272" s="2"/>
      <c r="H15272" s="2"/>
    </row>
    <row r="15273" spans="1:8" x14ac:dyDescent="0.25">
      <c r="A15273" s="1"/>
      <c r="B15273" s="1" t="s">
        <v>5782</v>
      </c>
      <c r="C15273" s="1" t="s">
        <v>5783</v>
      </c>
      <c r="D15273" s="22" t="str">
        <f>HYPERLINK("https://rhld.insurance.arkansas.gov/NPILookup?Npi=1477618726","1477618726")</f>
        <v>1477618726</v>
      </c>
      <c r="E15273" s="1" t="s">
        <v>11828</v>
      </c>
      <c r="F15273" s="2"/>
      <c r="G15273" s="2"/>
      <c r="H15273" s="2"/>
    </row>
    <row r="15274" spans="1:8" x14ac:dyDescent="0.25">
      <c r="A15274" s="1"/>
      <c r="B15274" s="1" t="s">
        <v>5782</v>
      </c>
      <c r="C15274" s="1" t="s">
        <v>5783</v>
      </c>
      <c r="D15274" s="22" t="str">
        <f>HYPERLINK("https://rhld.insurance.arkansas.gov/NPILookup?Npi=1477643039","1477643039")</f>
        <v>1477643039</v>
      </c>
      <c r="E15274" s="1" t="s">
        <v>22313</v>
      </c>
      <c r="F15274" s="2"/>
      <c r="G15274" s="2"/>
      <c r="H15274" s="2"/>
    </row>
    <row r="15275" spans="1:8" x14ac:dyDescent="0.25">
      <c r="A15275" s="1"/>
      <c r="B15275" s="1" t="s">
        <v>5782</v>
      </c>
      <c r="C15275" s="1" t="s">
        <v>5783</v>
      </c>
      <c r="D15275" s="22" t="str">
        <f>HYPERLINK("https://rhld.insurance.arkansas.gov/NPILookup?Npi=1477658441","1477658441")</f>
        <v>1477658441</v>
      </c>
      <c r="E15275" s="1" t="s">
        <v>6330</v>
      </c>
      <c r="F15275" s="2"/>
      <c r="G15275" s="2"/>
      <c r="H15275" s="2"/>
    </row>
    <row r="15276" spans="1:8" x14ac:dyDescent="0.25">
      <c r="A15276" s="1"/>
      <c r="B15276" s="1" t="s">
        <v>5782</v>
      </c>
      <c r="C15276" s="1" t="s">
        <v>5783</v>
      </c>
      <c r="D15276" s="22" t="str">
        <f>HYPERLINK("https://rhld.insurance.arkansas.gov/NPILookup?Npi=1477675643","1477675643")</f>
        <v>1477675643</v>
      </c>
      <c r="E15276" s="1" t="s">
        <v>22314</v>
      </c>
      <c r="F15276" s="2"/>
      <c r="G15276" s="2"/>
      <c r="H15276" s="2"/>
    </row>
    <row r="15277" spans="1:8" x14ac:dyDescent="0.25">
      <c r="A15277" s="1"/>
      <c r="B15277" s="1" t="s">
        <v>5782</v>
      </c>
      <c r="C15277" s="1" t="s">
        <v>5783</v>
      </c>
      <c r="D15277" s="22" t="str">
        <f>HYPERLINK("https://rhld.insurance.arkansas.gov/NPILookup?Npi=1477693968","1477693968")</f>
        <v>1477693968</v>
      </c>
      <c r="E15277" s="1" t="s">
        <v>22315</v>
      </c>
      <c r="F15277" s="2"/>
      <c r="G15277" s="2"/>
      <c r="H15277" s="2"/>
    </row>
    <row r="15278" spans="1:8" x14ac:dyDescent="0.25">
      <c r="A15278" s="1"/>
      <c r="B15278" s="1" t="s">
        <v>5782</v>
      </c>
      <c r="C15278" s="1" t="s">
        <v>5783</v>
      </c>
      <c r="D15278" s="22" t="str">
        <f>HYPERLINK("https://rhld.insurance.arkansas.gov/NPILookup?Npi=1477698124","1477698124")</f>
        <v>1477698124</v>
      </c>
      <c r="E15278" s="1" t="s">
        <v>3438</v>
      </c>
      <c r="F15278" s="2"/>
      <c r="G15278" s="2"/>
      <c r="H15278" s="2"/>
    </row>
    <row r="15279" spans="1:8" x14ac:dyDescent="0.25">
      <c r="A15279" s="1"/>
      <c r="B15279" s="1" t="s">
        <v>5782</v>
      </c>
      <c r="C15279" s="1" t="s">
        <v>5783</v>
      </c>
      <c r="D15279" s="22" t="str">
        <f>HYPERLINK("https://rhld.insurance.arkansas.gov/NPILookup?Npi=1477700391","1477700391")</f>
        <v>1477700391</v>
      </c>
      <c r="E15279" s="1" t="s">
        <v>22316</v>
      </c>
      <c r="F15279" s="2"/>
      <c r="G15279" s="2"/>
      <c r="H15279" s="2"/>
    </row>
    <row r="15280" spans="1:8" x14ac:dyDescent="0.25">
      <c r="A15280" s="1"/>
      <c r="B15280" s="1" t="s">
        <v>5782</v>
      </c>
      <c r="C15280" s="1" t="s">
        <v>5783</v>
      </c>
      <c r="D15280" s="22" t="str">
        <f>HYPERLINK("https://rhld.insurance.arkansas.gov/NPILookup?Npi=1477701787","1477701787")</f>
        <v>1477701787</v>
      </c>
      <c r="E15280" s="1" t="s">
        <v>696</v>
      </c>
      <c r="F15280" s="2"/>
      <c r="G15280" s="2"/>
      <c r="H15280" s="2"/>
    </row>
    <row r="15281" spans="1:8" x14ac:dyDescent="0.25">
      <c r="A15281" s="1"/>
      <c r="B15281" s="1" t="s">
        <v>5782</v>
      </c>
      <c r="C15281" s="1" t="s">
        <v>5783</v>
      </c>
      <c r="D15281" s="22" t="str">
        <f>HYPERLINK("https://rhld.insurance.arkansas.gov/NPILookup?Npi=1477702454","1477702454")</f>
        <v>1477702454</v>
      </c>
      <c r="E15281" s="1" t="s">
        <v>22317</v>
      </c>
      <c r="F15281" s="2"/>
      <c r="G15281" s="2"/>
      <c r="H15281" s="2"/>
    </row>
    <row r="15282" spans="1:8" x14ac:dyDescent="0.25">
      <c r="A15282" s="1"/>
      <c r="B15282" s="1" t="s">
        <v>5782</v>
      </c>
      <c r="C15282" s="1" t="s">
        <v>5783</v>
      </c>
      <c r="D15282" s="22" t="str">
        <f>HYPERLINK("https://rhld.insurance.arkansas.gov/NPILookup?Npi=1477702520","1477702520")</f>
        <v>1477702520</v>
      </c>
      <c r="E15282" s="1" t="s">
        <v>6251</v>
      </c>
      <c r="F15282" s="2"/>
      <c r="G15282" s="2"/>
      <c r="H15282" s="2"/>
    </row>
    <row r="15283" spans="1:8" x14ac:dyDescent="0.25">
      <c r="A15283" s="1"/>
      <c r="B15283" s="1" t="s">
        <v>5782</v>
      </c>
      <c r="C15283" s="1" t="s">
        <v>5783</v>
      </c>
      <c r="D15283" s="22" t="str">
        <f>HYPERLINK("https://rhld.insurance.arkansas.gov/NPILookup?Npi=1477713659","1477713659")</f>
        <v>1477713659</v>
      </c>
      <c r="E15283" s="1" t="s">
        <v>951</v>
      </c>
      <c r="F15283" s="2"/>
      <c r="G15283" s="2"/>
      <c r="H15283" s="2"/>
    </row>
    <row r="15284" spans="1:8" x14ac:dyDescent="0.25">
      <c r="A15284" s="1"/>
      <c r="B15284" s="1" t="s">
        <v>5782</v>
      </c>
      <c r="C15284" s="1" t="s">
        <v>5783</v>
      </c>
      <c r="D15284" s="22" t="str">
        <f>HYPERLINK("https://rhld.insurance.arkansas.gov/NPILookup?Npi=1477720951","1477720951")</f>
        <v>1477720951</v>
      </c>
      <c r="E15284" s="1" t="s">
        <v>22318</v>
      </c>
      <c r="F15284" s="2"/>
      <c r="G15284" s="2"/>
      <c r="H15284" s="2"/>
    </row>
    <row r="15285" spans="1:8" x14ac:dyDescent="0.25">
      <c r="A15285" s="1"/>
      <c r="B15285" s="1" t="s">
        <v>5782</v>
      </c>
      <c r="C15285" s="1" t="s">
        <v>5783</v>
      </c>
      <c r="D15285" s="22" t="str">
        <f>HYPERLINK("https://rhld.insurance.arkansas.gov/NPILookup?Npi=1477738342","1477738342")</f>
        <v>1477738342</v>
      </c>
      <c r="E15285" s="1" t="s">
        <v>17568</v>
      </c>
      <c r="F15285" s="2"/>
      <c r="G15285" s="2"/>
      <c r="H15285" s="2"/>
    </row>
    <row r="15286" spans="1:8" x14ac:dyDescent="0.25">
      <c r="A15286" s="1"/>
      <c r="B15286" s="1" t="s">
        <v>5782</v>
      </c>
      <c r="C15286" s="1" t="s">
        <v>5783</v>
      </c>
      <c r="D15286" s="22" t="str">
        <f>HYPERLINK("https://rhld.insurance.arkansas.gov/NPILookup?Npi=1477752087","1477752087")</f>
        <v>1477752087</v>
      </c>
      <c r="E15286" s="1" t="s">
        <v>22319</v>
      </c>
      <c r="F15286" s="2"/>
      <c r="G15286" s="2"/>
      <c r="H15286" s="2"/>
    </row>
    <row r="15287" spans="1:8" x14ac:dyDescent="0.25">
      <c r="A15287" s="1"/>
      <c r="B15287" s="1" t="s">
        <v>5782</v>
      </c>
      <c r="C15287" s="1" t="s">
        <v>5783</v>
      </c>
      <c r="D15287" s="22" t="str">
        <f>HYPERLINK("https://rhld.insurance.arkansas.gov/NPILookup?Npi=1477763126","1477763126")</f>
        <v>1477763126</v>
      </c>
      <c r="E15287" s="1" t="s">
        <v>22320</v>
      </c>
      <c r="F15287" s="2"/>
      <c r="G15287" s="2"/>
      <c r="H15287" s="2"/>
    </row>
    <row r="15288" spans="1:8" x14ac:dyDescent="0.25">
      <c r="A15288" s="1"/>
      <c r="B15288" s="1" t="s">
        <v>5782</v>
      </c>
      <c r="C15288" s="1" t="s">
        <v>5783</v>
      </c>
      <c r="D15288" s="22" t="str">
        <f>HYPERLINK("https://rhld.insurance.arkansas.gov/NPILookup?Npi=1477766095","1477766095")</f>
        <v>1477766095</v>
      </c>
      <c r="E15288" s="1" t="s">
        <v>22321</v>
      </c>
      <c r="F15288" s="2"/>
      <c r="G15288" s="2"/>
      <c r="H15288" s="2"/>
    </row>
    <row r="15289" spans="1:8" x14ac:dyDescent="0.25">
      <c r="A15289" s="1"/>
      <c r="B15289" s="1" t="s">
        <v>5782</v>
      </c>
      <c r="C15289" s="1" t="s">
        <v>5783</v>
      </c>
      <c r="D15289" s="22" t="str">
        <f>HYPERLINK("https://rhld.insurance.arkansas.gov/NPILookup?Npi=1477786234","1477786234")</f>
        <v>1477786234</v>
      </c>
      <c r="E15289" s="1" t="s">
        <v>22322</v>
      </c>
      <c r="F15289" s="2"/>
      <c r="G15289" s="2"/>
      <c r="H15289" s="2"/>
    </row>
    <row r="15290" spans="1:8" x14ac:dyDescent="0.25">
      <c r="A15290" s="1"/>
      <c r="B15290" s="1" t="s">
        <v>5782</v>
      </c>
      <c r="C15290" s="1" t="s">
        <v>5783</v>
      </c>
      <c r="D15290" s="22" t="str">
        <f>HYPERLINK("https://rhld.insurance.arkansas.gov/NPILookup?Npi=1477823383","1477823383")</f>
        <v>1477823383</v>
      </c>
      <c r="E15290" s="1" t="s">
        <v>20879</v>
      </c>
      <c r="F15290" s="2"/>
      <c r="G15290" s="2"/>
      <c r="H15290" s="2"/>
    </row>
    <row r="15291" spans="1:8" x14ac:dyDescent="0.25">
      <c r="A15291" s="1"/>
      <c r="B15291" s="1" t="s">
        <v>5782</v>
      </c>
      <c r="C15291" s="1" t="s">
        <v>5783</v>
      </c>
      <c r="D15291" s="22" t="str">
        <f>HYPERLINK("https://rhld.insurance.arkansas.gov/NPILookup?Npi=1477826949","1477826949")</f>
        <v>1477826949</v>
      </c>
      <c r="E15291" s="1" t="s">
        <v>22323</v>
      </c>
      <c r="F15291" s="2"/>
      <c r="G15291" s="2"/>
      <c r="H15291" s="2"/>
    </row>
    <row r="15292" spans="1:8" x14ac:dyDescent="0.25">
      <c r="A15292" s="1"/>
      <c r="B15292" s="1" t="s">
        <v>5782</v>
      </c>
      <c r="C15292" s="1" t="s">
        <v>5783</v>
      </c>
      <c r="D15292" s="22" t="str">
        <f>HYPERLINK("https://rhld.insurance.arkansas.gov/NPILookup?Npi=1477841450","1477841450")</f>
        <v>1477841450</v>
      </c>
      <c r="E15292" s="1" t="s">
        <v>1328</v>
      </c>
      <c r="F15292" s="2"/>
      <c r="G15292" s="2"/>
      <c r="H15292" s="2"/>
    </row>
    <row r="15293" spans="1:8" x14ac:dyDescent="0.25">
      <c r="A15293" s="1"/>
      <c r="B15293" s="1" t="s">
        <v>5782</v>
      </c>
      <c r="C15293" s="1" t="s">
        <v>5783</v>
      </c>
      <c r="D15293" s="22" t="str">
        <f>HYPERLINK("https://rhld.insurance.arkansas.gov/NPILookup?Npi=1477844314","1477844314")</f>
        <v>1477844314</v>
      </c>
      <c r="E15293" s="1" t="s">
        <v>3288</v>
      </c>
      <c r="F15293" s="2"/>
      <c r="G15293" s="2"/>
      <c r="H15293" s="2"/>
    </row>
    <row r="15294" spans="1:8" x14ac:dyDescent="0.25">
      <c r="A15294" s="1"/>
      <c r="B15294" s="1" t="s">
        <v>5782</v>
      </c>
      <c r="C15294" s="1" t="s">
        <v>5783</v>
      </c>
      <c r="D15294" s="22" t="str">
        <f>HYPERLINK("https://rhld.insurance.arkansas.gov/NPILookup?Npi=1477862050","1477862050")</f>
        <v>1477862050</v>
      </c>
      <c r="E15294" s="1" t="s">
        <v>11829</v>
      </c>
      <c r="F15294" s="2"/>
      <c r="G15294" s="2"/>
      <c r="H15294" s="2"/>
    </row>
    <row r="15295" spans="1:8" x14ac:dyDescent="0.25">
      <c r="A15295" s="1"/>
      <c r="B15295" s="1" t="s">
        <v>5782</v>
      </c>
      <c r="C15295" s="1" t="s">
        <v>5783</v>
      </c>
      <c r="D15295" s="22" t="str">
        <f>HYPERLINK("https://rhld.insurance.arkansas.gov/NPILookup?Npi=1477863439","1477863439")</f>
        <v>1477863439</v>
      </c>
      <c r="E15295" s="1" t="s">
        <v>22324</v>
      </c>
      <c r="F15295" s="2"/>
      <c r="G15295" s="2"/>
      <c r="H15295" s="2"/>
    </row>
    <row r="15296" spans="1:8" x14ac:dyDescent="0.25">
      <c r="A15296" s="1"/>
      <c r="B15296" s="1" t="s">
        <v>5782</v>
      </c>
      <c r="C15296" s="1" t="s">
        <v>5783</v>
      </c>
      <c r="D15296" s="22" t="str">
        <f>HYPERLINK("https://rhld.insurance.arkansas.gov/NPILookup?Npi=1477867075","1477867075")</f>
        <v>1477867075</v>
      </c>
      <c r="E15296" s="1" t="s">
        <v>1869</v>
      </c>
      <c r="F15296" s="2"/>
      <c r="G15296" s="2"/>
      <c r="H15296" s="2"/>
    </row>
    <row r="15297" spans="1:8" x14ac:dyDescent="0.25">
      <c r="A15297" s="1"/>
      <c r="B15297" s="1" t="s">
        <v>5782</v>
      </c>
      <c r="C15297" s="1" t="s">
        <v>5783</v>
      </c>
      <c r="D15297" s="22" t="str">
        <f>HYPERLINK("https://rhld.insurance.arkansas.gov/NPILookup?Npi=1477883619","1477883619")</f>
        <v>1477883619</v>
      </c>
      <c r="E15297" s="1" t="s">
        <v>22325</v>
      </c>
      <c r="F15297" s="2"/>
      <c r="G15297" s="2"/>
      <c r="H15297" s="2"/>
    </row>
    <row r="15298" spans="1:8" x14ac:dyDescent="0.25">
      <c r="A15298" s="1"/>
      <c r="B15298" s="1" t="s">
        <v>5782</v>
      </c>
      <c r="C15298" s="1" t="s">
        <v>5783</v>
      </c>
      <c r="D15298" s="22" t="str">
        <f>HYPERLINK("https://rhld.insurance.arkansas.gov/NPILookup?Npi=1477888337","1477888337")</f>
        <v>1477888337</v>
      </c>
      <c r="E15298" s="1" t="s">
        <v>22326</v>
      </c>
      <c r="F15298" s="2"/>
      <c r="G15298" s="2"/>
      <c r="H15298" s="2"/>
    </row>
    <row r="15299" spans="1:8" x14ac:dyDescent="0.25">
      <c r="A15299" s="1"/>
      <c r="B15299" s="1" t="s">
        <v>5782</v>
      </c>
      <c r="C15299" s="1" t="s">
        <v>5783</v>
      </c>
      <c r="D15299" s="22" t="str">
        <f>HYPERLINK("https://rhld.insurance.arkansas.gov/NPILookup?Npi=1477888741","1477888741")</f>
        <v>1477888741</v>
      </c>
      <c r="E15299" s="1" t="s">
        <v>11830</v>
      </c>
      <c r="F15299" s="2"/>
      <c r="G15299" s="2"/>
      <c r="H15299" s="2"/>
    </row>
    <row r="15300" spans="1:8" x14ac:dyDescent="0.25">
      <c r="A15300" s="1"/>
      <c r="B15300" s="1" t="s">
        <v>5782</v>
      </c>
      <c r="C15300" s="1" t="s">
        <v>5783</v>
      </c>
      <c r="D15300" s="22" t="str">
        <f>HYPERLINK("https://rhld.insurance.arkansas.gov/NPILookup?Npi=1477891232","1477891232")</f>
        <v>1477891232</v>
      </c>
      <c r="E15300" s="1" t="s">
        <v>22327</v>
      </c>
      <c r="F15300" s="2"/>
      <c r="G15300" s="2"/>
      <c r="H15300" s="2"/>
    </row>
    <row r="15301" spans="1:8" x14ac:dyDescent="0.25">
      <c r="A15301" s="1"/>
      <c r="B15301" s="1" t="s">
        <v>5782</v>
      </c>
      <c r="C15301" s="1" t="s">
        <v>5783</v>
      </c>
      <c r="D15301" s="22" t="str">
        <f>HYPERLINK("https://rhld.insurance.arkansas.gov/NPILookup?Npi=1477892818","1477892818")</f>
        <v>1477892818</v>
      </c>
      <c r="E15301" s="1" t="s">
        <v>1871</v>
      </c>
      <c r="F15301" s="2"/>
      <c r="G15301" s="2"/>
      <c r="H15301" s="2"/>
    </row>
    <row r="15302" spans="1:8" x14ac:dyDescent="0.25">
      <c r="A15302" s="1"/>
      <c r="B15302" s="1" t="s">
        <v>5782</v>
      </c>
      <c r="C15302" s="1" t="s">
        <v>5783</v>
      </c>
      <c r="D15302" s="22" t="str">
        <f>HYPERLINK("https://rhld.insurance.arkansas.gov/NPILookup?Npi=1477905214","1477905214")</f>
        <v>1477905214</v>
      </c>
      <c r="E15302" s="1" t="s">
        <v>865</v>
      </c>
      <c r="F15302" s="2"/>
      <c r="G15302" s="2"/>
      <c r="H15302" s="2"/>
    </row>
    <row r="15303" spans="1:8" x14ac:dyDescent="0.25">
      <c r="A15303" s="1"/>
      <c r="B15303" s="1" t="s">
        <v>5782</v>
      </c>
      <c r="C15303" s="1" t="s">
        <v>5783</v>
      </c>
      <c r="D15303" s="22" t="str">
        <f>HYPERLINK("https://rhld.insurance.arkansas.gov/NPILookup?Npi=1477908010","1477908010")</f>
        <v>1477908010</v>
      </c>
      <c r="E15303" s="1" t="s">
        <v>22328</v>
      </c>
      <c r="F15303" s="2"/>
      <c r="G15303" s="2"/>
      <c r="H15303" s="2"/>
    </row>
    <row r="15304" spans="1:8" x14ac:dyDescent="0.25">
      <c r="A15304" s="1"/>
      <c r="B15304" s="1" t="s">
        <v>5782</v>
      </c>
      <c r="C15304" s="1" t="s">
        <v>5783</v>
      </c>
      <c r="D15304" s="22" t="str">
        <f>HYPERLINK("https://rhld.insurance.arkansas.gov/NPILookup?Npi=1477911196","1477911196")</f>
        <v>1477911196</v>
      </c>
      <c r="E15304" s="1" t="s">
        <v>22329</v>
      </c>
      <c r="F15304" s="2"/>
      <c r="G15304" s="2"/>
      <c r="H15304" s="2"/>
    </row>
    <row r="15305" spans="1:8" x14ac:dyDescent="0.25">
      <c r="A15305" s="1"/>
      <c r="B15305" s="1" t="s">
        <v>5782</v>
      </c>
      <c r="C15305" s="1" t="s">
        <v>5783</v>
      </c>
      <c r="D15305" s="22" t="str">
        <f>HYPERLINK("https://rhld.insurance.arkansas.gov/NPILookup?Npi=1477916781","1477916781")</f>
        <v>1477916781</v>
      </c>
      <c r="E15305" s="1" t="s">
        <v>22330</v>
      </c>
      <c r="F15305" s="2"/>
      <c r="G15305" s="2"/>
      <c r="H15305" s="2"/>
    </row>
    <row r="15306" spans="1:8" x14ac:dyDescent="0.25">
      <c r="A15306" s="1"/>
      <c r="B15306" s="1" t="s">
        <v>5782</v>
      </c>
      <c r="C15306" s="1" t="s">
        <v>5783</v>
      </c>
      <c r="D15306" s="22" t="str">
        <f>HYPERLINK("https://rhld.insurance.arkansas.gov/NPILookup?Npi=1477922524","1477922524")</f>
        <v>1477922524</v>
      </c>
      <c r="E15306" s="1" t="s">
        <v>22331</v>
      </c>
      <c r="F15306" s="2"/>
      <c r="G15306" s="2"/>
      <c r="H15306" s="2"/>
    </row>
    <row r="15307" spans="1:8" x14ac:dyDescent="0.25">
      <c r="A15307" s="1"/>
      <c r="B15307" s="1" t="s">
        <v>5782</v>
      </c>
      <c r="C15307" s="1" t="s">
        <v>5783</v>
      </c>
      <c r="D15307" s="22" t="str">
        <f>HYPERLINK("https://rhld.insurance.arkansas.gov/NPILookup?Npi=1477923803","1477923803")</f>
        <v>1477923803</v>
      </c>
      <c r="E15307" s="1" t="s">
        <v>6331</v>
      </c>
      <c r="F15307" s="2"/>
      <c r="G15307" s="2"/>
      <c r="H15307" s="2"/>
    </row>
    <row r="15308" spans="1:8" x14ac:dyDescent="0.25">
      <c r="A15308" s="1"/>
      <c r="B15308" s="1" t="s">
        <v>5782</v>
      </c>
      <c r="C15308" s="1" t="s">
        <v>5783</v>
      </c>
      <c r="D15308" s="22" t="str">
        <f>HYPERLINK("https://rhld.insurance.arkansas.gov/NPILookup?Npi=1477936474","1477936474")</f>
        <v>1477936474</v>
      </c>
      <c r="E15308" s="1" t="s">
        <v>22332</v>
      </c>
      <c r="F15308" s="2"/>
      <c r="G15308" s="2"/>
      <c r="H15308" s="2"/>
    </row>
    <row r="15309" spans="1:8" x14ac:dyDescent="0.25">
      <c r="A15309" s="1"/>
      <c r="B15309" s="1" t="s">
        <v>5782</v>
      </c>
      <c r="C15309" s="1" t="s">
        <v>5783</v>
      </c>
      <c r="D15309" s="22" t="str">
        <f>HYPERLINK("https://rhld.insurance.arkansas.gov/NPILookup?Npi=1477947638","1477947638")</f>
        <v>1477947638</v>
      </c>
      <c r="E15309" s="1" t="s">
        <v>22333</v>
      </c>
      <c r="F15309" s="2"/>
      <c r="G15309" s="2"/>
      <c r="H15309" s="2"/>
    </row>
    <row r="15310" spans="1:8" x14ac:dyDescent="0.25">
      <c r="A15310" s="1"/>
      <c r="B15310" s="1" t="s">
        <v>5782</v>
      </c>
      <c r="C15310" s="1" t="s">
        <v>5783</v>
      </c>
      <c r="D15310" s="22" t="str">
        <f>HYPERLINK("https://rhld.insurance.arkansas.gov/NPILookup?Npi=1477952042","1477952042")</f>
        <v>1477952042</v>
      </c>
      <c r="E15310" s="1" t="s">
        <v>22334</v>
      </c>
      <c r="F15310" s="2"/>
      <c r="G15310" s="2"/>
      <c r="H15310" s="2"/>
    </row>
    <row r="15311" spans="1:8" x14ac:dyDescent="0.25">
      <c r="A15311" s="1"/>
      <c r="B15311" s="1" t="s">
        <v>5782</v>
      </c>
      <c r="C15311" s="1" t="s">
        <v>5783</v>
      </c>
      <c r="D15311" s="22" t="str">
        <f>HYPERLINK("https://rhld.insurance.arkansas.gov/NPILookup?Npi=1477952646","1477952646")</f>
        <v>1477952646</v>
      </c>
      <c r="E15311" s="1" t="s">
        <v>6550</v>
      </c>
      <c r="F15311" s="2"/>
      <c r="G15311" s="2"/>
      <c r="H15311" s="2"/>
    </row>
    <row r="15312" spans="1:8" x14ac:dyDescent="0.25">
      <c r="A15312" s="1"/>
      <c r="B15312" s="1" t="s">
        <v>5782</v>
      </c>
      <c r="C15312" s="1" t="s">
        <v>5783</v>
      </c>
      <c r="D15312" s="22" t="str">
        <f>HYPERLINK("https://rhld.insurance.arkansas.gov/NPILookup?Npi=1477962306","1477962306")</f>
        <v>1477962306</v>
      </c>
      <c r="E15312" s="1" t="s">
        <v>6332</v>
      </c>
      <c r="F15312" s="2"/>
      <c r="G15312" s="2"/>
      <c r="H15312" s="2"/>
    </row>
    <row r="15313" spans="1:8" x14ac:dyDescent="0.25">
      <c r="A15313" s="1"/>
      <c r="B15313" s="1" t="s">
        <v>5782</v>
      </c>
      <c r="C15313" s="1" t="s">
        <v>5783</v>
      </c>
      <c r="D15313" s="22" t="str">
        <f>HYPERLINK("https://rhld.insurance.arkansas.gov/NPILookup?Npi=1477965044","1477965044")</f>
        <v>1477965044</v>
      </c>
      <c r="E15313" s="1" t="s">
        <v>22335</v>
      </c>
      <c r="F15313" s="2"/>
      <c r="G15313" s="2"/>
      <c r="H15313" s="2"/>
    </row>
    <row r="15314" spans="1:8" x14ac:dyDescent="0.25">
      <c r="A15314" s="1"/>
      <c r="B15314" s="1" t="s">
        <v>5782</v>
      </c>
      <c r="C15314" s="1" t="s">
        <v>5783</v>
      </c>
      <c r="D15314" s="22" t="str">
        <f>HYPERLINK("https://rhld.insurance.arkansas.gov/NPILookup?Npi=1477968881","1477968881")</f>
        <v>1477968881</v>
      </c>
      <c r="E15314" s="1" t="s">
        <v>22336</v>
      </c>
      <c r="F15314" s="2"/>
      <c r="G15314" s="2"/>
      <c r="H15314" s="2"/>
    </row>
    <row r="15315" spans="1:8" x14ac:dyDescent="0.25">
      <c r="A15315" s="1"/>
      <c r="B15315" s="1" t="s">
        <v>5782</v>
      </c>
      <c r="C15315" s="1" t="s">
        <v>5783</v>
      </c>
      <c r="D15315" s="22" t="str">
        <f>HYPERLINK("https://rhld.insurance.arkansas.gov/NPILookup?Npi=1477980761","1477980761")</f>
        <v>1477980761</v>
      </c>
      <c r="E15315" s="1" t="s">
        <v>31885</v>
      </c>
      <c r="F15315" s="2"/>
      <c r="G15315" s="2"/>
      <c r="H15315" s="2"/>
    </row>
    <row r="15316" spans="1:8" x14ac:dyDescent="0.25">
      <c r="A15316" s="1"/>
      <c r="B15316" s="1" t="s">
        <v>5782</v>
      </c>
      <c r="C15316" s="1" t="s">
        <v>5783</v>
      </c>
      <c r="D15316" s="22" t="str">
        <f>HYPERLINK("https://rhld.insurance.arkansas.gov/NPILookup?Npi=1477993491","1477993491")</f>
        <v>1477993491</v>
      </c>
      <c r="E15316" s="1" t="s">
        <v>11831</v>
      </c>
      <c r="F15316" s="2"/>
      <c r="G15316" s="2"/>
      <c r="H15316" s="2"/>
    </row>
    <row r="15317" spans="1:8" x14ac:dyDescent="0.25">
      <c r="A15317" s="1"/>
      <c r="B15317" s="1" t="s">
        <v>5782</v>
      </c>
      <c r="C15317" s="1" t="s">
        <v>5783</v>
      </c>
      <c r="D15317" s="22" t="str">
        <f>HYPERLINK("https://rhld.insurance.arkansas.gov/NPILookup?Npi=1487000857","1487000857")</f>
        <v>1487000857</v>
      </c>
      <c r="E15317" s="1" t="s">
        <v>22337</v>
      </c>
      <c r="F15317" s="2"/>
      <c r="G15317" s="2"/>
      <c r="H15317" s="2"/>
    </row>
    <row r="15318" spans="1:8" x14ac:dyDescent="0.25">
      <c r="A15318" s="1"/>
      <c r="B15318" s="1" t="s">
        <v>5782</v>
      </c>
      <c r="C15318" s="1" t="s">
        <v>5783</v>
      </c>
      <c r="D15318" s="22" t="str">
        <f>HYPERLINK("https://rhld.insurance.arkansas.gov/NPILookup?Npi=1487001871","1487001871")</f>
        <v>1487001871</v>
      </c>
      <c r="E15318" s="1" t="s">
        <v>6333</v>
      </c>
      <c r="F15318" s="2"/>
      <c r="G15318" s="2"/>
      <c r="H15318" s="2"/>
    </row>
    <row r="15319" spans="1:8" x14ac:dyDescent="0.25">
      <c r="A15319" s="1"/>
      <c r="B15319" s="1" t="s">
        <v>5782</v>
      </c>
      <c r="C15319" s="1" t="s">
        <v>5783</v>
      </c>
      <c r="D15319" s="22" t="str">
        <f>HYPERLINK("https://rhld.insurance.arkansas.gov/NPILookup?Npi=1487006748","1487006748")</f>
        <v>1487006748</v>
      </c>
      <c r="E15319" s="1" t="s">
        <v>11832</v>
      </c>
      <c r="F15319" s="2"/>
      <c r="G15319" s="2"/>
      <c r="H15319" s="2"/>
    </row>
    <row r="15320" spans="1:8" x14ac:dyDescent="0.25">
      <c r="A15320" s="1"/>
      <c r="B15320" s="1" t="s">
        <v>5782</v>
      </c>
      <c r="C15320" s="1" t="s">
        <v>5783</v>
      </c>
      <c r="D15320" s="22" t="str">
        <f>HYPERLINK("https://rhld.insurance.arkansas.gov/NPILookup?Npi=1487039004","1487039004")</f>
        <v>1487039004</v>
      </c>
      <c r="E15320" s="1" t="s">
        <v>22338</v>
      </c>
      <c r="F15320" s="2"/>
      <c r="G15320" s="2"/>
      <c r="H15320" s="2"/>
    </row>
    <row r="15321" spans="1:8" x14ac:dyDescent="0.25">
      <c r="A15321" s="1"/>
      <c r="B15321" s="1" t="s">
        <v>5782</v>
      </c>
      <c r="C15321" s="1" t="s">
        <v>5783</v>
      </c>
      <c r="D15321" s="22" t="str">
        <f>HYPERLINK("https://rhld.insurance.arkansas.gov/NPILookup?Npi=1487039251","1487039251")</f>
        <v>1487039251</v>
      </c>
      <c r="E15321" s="1" t="s">
        <v>11833</v>
      </c>
      <c r="F15321" s="2"/>
      <c r="G15321" s="2"/>
      <c r="H15321" s="2"/>
    </row>
    <row r="15322" spans="1:8" x14ac:dyDescent="0.25">
      <c r="A15322" s="1"/>
      <c r="B15322" s="1" t="s">
        <v>5782</v>
      </c>
      <c r="C15322" s="1" t="s">
        <v>5783</v>
      </c>
      <c r="D15322" s="22" t="str">
        <f>HYPERLINK("https://rhld.insurance.arkansas.gov/NPILookup?Npi=1487066122","1487066122")</f>
        <v>1487066122</v>
      </c>
      <c r="E15322" s="1" t="s">
        <v>11724</v>
      </c>
      <c r="F15322" s="2"/>
      <c r="G15322" s="2"/>
      <c r="H15322" s="2"/>
    </row>
    <row r="15323" spans="1:8" x14ac:dyDescent="0.25">
      <c r="A15323" s="1"/>
      <c r="B15323" s="1" t="s">
        <v>5782</v>
      </c>
      <c r="C15323" s="1" t="s">
        <v>5783</v>
      </c>
      <c r="D15323" s="22" t="str">
        <f>HYPERLINK("https://rhld.insurance.arkansas.gov/NPILookup?Npi=1487084307","1487084307")</f>
        <v>1487084307</v>
      </c>
      <c r="E15323" s="1" t="s">
        <v>22339</v>
      </c>
      <c r="F15323" s="2"/>
      <c r="G15323" s="2"/>
      <c r="H15323" s="2"/>
    </row>
    <row r="15324" spans="1:8" x14ac:dyDescent="0.25">
      <c r="A15324" s="1"/>
      <c r="B15324" s="1" t="s">
        <v>5782</v>
      </c>
      <c r="C15324" s="1" t="s">
        <v>5783</v>
      </c>
      <c r="D15324" s="22" t="str">
        <f>HYPERLINK("https://rhld.insurance.arkansas.gov/NPILookup?Npi=1487092821","1487092821")</f>
        <v>1487092821</v>
      </c>
      <c r="E15324" s="1" t="s">
        <v>22340</v>
      </c>
      <c r="F15324" s="2"/>
      <c r="G15324" s="2"/>
      <c r="H15324" s="2"/>
    </row>
    <row r="15325" spans="1:8" x14ac:dyDescent="0.25">
      <c r="A15325" s="1"/>
      <c r="B15325" s="1" t="s">
        <v>5782</v>
      </c>
      <c r="C15325" s="1" t="s">
        <v>5783</v>
      </c>
      <c r="D15325" s="22" t="str">
        <f>HYPERLINK("https://rhld.insurance.arkansas.gov/NPILookup?Npi=1487102596","1487102596")</f>
        <v>1487102596</v>
      </c>
      <c r="E15325" s="1" t="s">
        <v>6334</v>
      </c>
      <c r="F15325" s="2"/>
      <c r="G15325" s="2"/>
      <c r="H15325" s="2"/>
    </row>
    <row r="15326" spans="1:8" x14ac:dyDescent="0.25">
      <c r="A15326" s="1"/>
      <c r="B15326" s="1" t="s">
        <v>5782</v>
      </c>
      <c r="C15326" s="1" t="s">
        <v>5783</v>
      </c>
      <c r="D15326" s="22" t="str">
        <f>HYPERLINK("https://rhld.insurance.arkansas.gov/NPILookup?Npi=1487149563","1487149563")</f>
        <v>1487149563</v>
      </c>
      <c r="E15326" s="1" t="s">
        <v>22341</v>
      </c>
      <c r="F15326" s="2"/>
      <c r="G15326" s="2"/>
      <c r="H15326" s="2"/>
    </row>
    <row r="15327" spans="1:8" x14ac:dyDescent="0.25">
      <c r="A15327" s="1"/>
      <c r="B15327" s="1" t="s">
        <v>5782</v>
      </c>
      <c r="C15327" s="1" t="s">
        <v>5783</v>
      </c>
      <c r="D15327" s="22" t="str">
        <f>HYPERLINK("https://rhld.insurance.arkansas.gov/NPILookup?Npi=1487156444","1487156444")</f>
        <v>1487156444</v>
      </c>
      <c r="E15327" s="1" t="s">
        <v>22342</v>
      </c>
      <c r="F15327" s="2"/>
      <c r="G15327" s="2"/>
      <c r="H15327" s="2"/>
    </row>
    <row r="15328" spans="1:8" x14ac:dyDescent="0.25">
      <c r="A15328" s="1"/>
      <c r="B15328" s="1" t="s">
        <v>5782</v>
      </c>
      <c r="C15328" s="1" t="s">
        <v>5783</v>
      </c>
      <c r="D15328" s="22" t="str">
        <f>HYPERLINK("https://rhld.insurance.arkansas.gov/NPILookup?Npi=1487167045","1487167045")</f>
        <v>1487167045</v>
      </c>
      <c r="E15328" s="1" t="s">
        <v>22343</v>
      </c>
      <c r="F15328" s="2"/>
      <c r="G15328" s="2"/>
      <c r="H15328" s="2"/>
    </row>
    <row r="15329" spans="1:8" x14ac:dyDescent="0.25">
      <c r="A15329" s="1"/>
      <c r="B15329" s="1" t="s">
        <v>5782</v>
      </c>
      <c r="C15329" s="1" t="s">
        <v>5783</v>
      </c>
      <c r="D15329" s="22" t="str">
        <f>HYPERLINK("https://rhld.insurance.arkansas.gov/NPILookup?Npi=1487193926","1487193926")</f>
        <v>1487193926</v>
      </c>
      <c r="E15329" s="1" t="s">
        <v>11834</v>
      </c>
      <c r="F15329" s="2"/>
      <c r="G15329" s="2"/>
      <c r="H15329" s="2"/>
    </row>
    <row r="15330" spans="1:8" x14ac:dyDescent="0.25">
      <c r="A15330" s="1"/>
      <c r="B15330" s="1" t="s">
        <v>5782</v>
      </c>
      <c r="C15330" s="1" t="s">
        <v>5783</v>
      </c>
      <c r="D15330" s="22" t="str">
        <f>HYPERLINK("https://rhld.insurance.arkansas.gov/NPILookup?Npi=1487208203","1487208203")</f>
        <v>1487208203</v>
      </c>
      <c r="E15330" s="1" t="s">
        <v>31886</v>
      </c>
      <c r="F15330" s="2"/>
      <c r="G15330" s="2"/>
      <c r="H15330" s="2"/>
    </row>
    <row r="15331" spans="1:8" x14ac:dyDescent="0.25">
      <c r="A15331" s="1"/>
      <c r="B15331" s="1" t="s">
        <v>5782</v>
      </c>
      <c r="C15331" s="1" t="s">
        <v>5783</v>
      </c>
      <c r="D15331" s="22" t="str">
        <f>HYPERLINK("https://rhld.insurance.arkansas.gov/NPILookup?Npi=1487229225","1487229225")</f>
        <v>1487229225</v>
      </c>
      <c r="E15331" s="1" t="s">
        <v>6335</v>
      </c>
      <c r="F15331" s="2"/>
      <c r="G15331" s="2"/>
      <c r="H15331" s="2"/>
    </row>
    <row r="15332" spans="1:8" x14ac:dyDescent="0.25">
      <c r="A15332" s="1"/>
      <c r="B15332" s="1" t="s">
        <v>5782</v>
      </c>
      <c r="C15332" s="1" t="s">
        <v>5783</v>
      </c>
      <c r="D15332" s="22" t="str">
        <f>HYPERLINK("https://rhld.insurance.arkansas.gov/NPILookup?Npi=1487239885","1487239885")</f>
        <v>1487239885</v>
      </c>
      <c r="E15332" s="1" t="s">
        <v>22344</v>
      </c>
      <c r="F15332" s="2"/>
      <c r="G15332" s="2"/>
      <c r="H15332" s="2"/>
    </row>
    <row r="15333" spans="1:8" x14ac:dyDescent="0.25">
      <c r="A15333" s="1"/>
      <c r="B15333" s="1" t="s">
        <v>5782</v>
      </c>
      <c r="C15333" s="1" t="s">
        <v>5783</v>
      </c>
      <c r="D15333" s="22" t="str">
        <f>HYPERLINK("https://rhld.insurance.arkansas.gov/NPILookup?Npi=1487245064","1487245064")</f>
        <v>1487245064</v>
      </c>
      <c r="E15333" s="1" t="s">
        <v>22345</v>
      </c>
      <c r="F15333" s="2"/>
      <c r="G15333" s="2"/>
      <c r="H15333" s="2"/>
    </row>
    <row r="15334" spans="1:8" x14ac:dyDescent="0.25">
      <c r="A15334" s="1"/>
      <c r="B15334" s="1" t="s">
        <v>5782</v>
      </c>
      <c r="C15334" s="1" t="s">
        <v>5783</v>
      </c>
      <c r="D15334" s="22" t="str">
        <f>HYPERLINK("https://rhld.insurance.arkansas.gov/NPILookup?Npi=1487255717","1487255717")</f>
        <v>1487255717</v>
      </c>
      <c r="E15334" s="1" t="s">
        <v>11835</v>
      </c>
      <c r="F15334" s="2"/>
      <c r="G15334" s="2"/>
      <c r="H15334" s="2"/>
    </row>
    <row r="15335" spans="1:8" x14ac:dyDescent="0.25">
      <c r="A15335" s="1"/>
      <c r="B15335" s="1" t="s">
        <v>5782</v>
      </c>
      <c r="C15335" s="1" t="s">
        <v>5783</v>
      </c>
      <c r="D15335" s="22" t="str">
        <f>HYPERLINK("https://rhld.insurance.arkansas.gov/NPILookup?Npi=1487257168","1487257168")</f>
        <v>1487257168</v>
      </c>
      <c r="E15335" s="1" t="s">
        <v>6336</v>
      </c>
      <c r="F15335" s="2"/>
      <c r="G15335" s="2"/>
      <c r="H15335" s="2"/>
    </row>
    <row r="15336" spans="1:8" x14ac:dyDescent="0.25">
      <c r="A15336" s="1"/>
      <c r="B15336" s="1" t="s">
        <v>5782</v>
      </c>
      <c r="C15336" s="1" t="s">
        <v>5783</v>
      </c>
      <c r="D15336" s="22" t="str">
        <f>HYPERLINK("https://rhld.insurance.arkansas.gov/NPILookup?Npi=1487276523","1487276523")</f>
        <v>1487276523</v>
      </c>
      <c r="E15336" s="1" t="s">
        <v>6337</v>
      </c>
      <c r="F15336" s="2"/>
      <c r="G15336" s="2"/>
      <c r="H15336" s="2"/>
    </row>
    <row r="15337" spans="1:8" x14ac:dyDescent="0.25">
      <c r="A15337" s="1"/>
      <c r="B15337" s="1" t="s">
        <v>5782</v>
      </c>
      <c r="C15337" s="1" t="s">
        <v>5783</v>
      </c>
      <c r="D15337" s="22" t="str">
        <f>HYPERLINK("https://rhld.insurance.arkansas.gov/NPILookup?Npi=1487297008","1487297008")</f>
        <v>1487297008</v>
      </c>
      <c r="E15337" s="1" t="s">
        <v>22346</v>
      </c>
      <c r="F15337" s="2"/>
      <c r="G15337" s="2"/>
      <c r="H15337" s="2"/>
    </row>
    <row r="15338" spans="1:8" x14ac:dyDescent="0.25">
      <c r="A15338" s="1"/>
      <c r="B15338" s="1" t="s">
        <v>5782</v>
      </c>
      <c r="C15338" s="1" t="s">
        <v>5783</v>
      </c>
      <c r="D15338" s="22" t="str">
        <f>HYPERLINK("https://rhld.insurance.arkansas.gov/NPILookup?Npi=1487299525","1487299525")</f>
        <v>1487299525</v>
      </c>
      <c r="E15338" s="1" t="s">
        <v>1872</v>
      </c>
      <c r="F15338" s="2"/>
      <c r="G15338" s="2"/>
      <c r="H15338" s="2"/>
    </row>
    <row r="15339" spans="1:8" x14ac:dyDescent="0.25">
      <c r="A15339" s="1"/>
      <c r="B15339" s="1" t="s">
        <v>5782</v>
      </c>
      <c r="C15339" s="1" t="s">
        <v>5783</v>
      </c>
      <c r="D15339" s="22" t="str">
        <f>HYPERLINK("https://rhld.insurance.arkansas.gov/NPILookup?Npi=1487323556","1487323556")</f>
        <v>1487323556</v>
      </c>
      <c r="E15339" s="1" t="s">
        <v>6747</v>
      </c>
      <c r="F15339" s="2"/>
      <c r="G15339" s="2"/>
      <c r="H15339" s="2"/>
    </row>
    <row r="15340" spans="1:8" x14ac:dyDescent="0.25">
      <c r="A15340" s="1"/>
      <c r="B15340" s="1" t="s">
        <v>5782</v>
      </c>
      <c r="C15340" s="1" t="s">
        <v>5783</v>
      </c>
      <c r="D15340" s="22" t="str">
        <f>HYPERLINK("https://rhld.insurance.arkansas.gov/NPILookup?Npi=1487324356","1487324356")</f>
        <v>1487324356</v>
      </c>
      <c r="E15340" s="1" t="s">
        <v>22347</v>
      </c>
      <c r="F15340" s="2"/>
      <c r="G15340" s="2"/>
      <c r="H15340" s="2"/>
    </row>
    <row r="15341" spans="1:8" x14ac:dyDescent="0.25">
      <c r="A15341" s="1"/>
      <c r="B15341" s="1" t="s">
        <v>5782</v>
      </c>
      <c r="C15341" s="1" t="s">
        <v>5783</v>
      </c>
      <c r="D15341" s="22" t="str">
        <f>HYPERLINK("https://rhld.insurance.arkansas.gov/NPILookup?Npi=1487325114","1487325114")</f>
        <v>1487325114</v>
      </c>
      <c r="E15341" s="1" t="s">
        <v>22348</v>
      </c>
      <c r="F15341" s="2"/>
      <c r="G15341" s="2"/>
      <c r="H15341" s="2"/>
    </row>
    <row r="15342" spans="1:8" x14ac:dyDescent="0.25">
      <c r="A15342" s="1"/>
      <c r="B15342" s="1" t="s">
        <v>5782</v>
      </c>
      <c r="C15342" s="1" t="s">
        <v>5783</v>
      </c>
      <c r="D15342" s="22" t="str">
        <f>HYPERLINK("https://rhld.insurance.arkansas.gov/NPILookup?Npi=1487326864","1487326864")</f>
        <v>1487326864</v>
      </c>
      <c r="E15342" s="1" t="s">
        <v>22349</v>
      </c>
      <c r="F15342" s="2"/>
      <c r="G15342" s="2"/>
      <c r="H15342" s="2"/>
    </row>
    <row r="15343" spans="1:8" x14ac:dyDescent="0.25">
      <c r="A15343" s="1"/>
      <c r="B15343" s="1" t="s">
        <v>5782</v>
      </c>
      <c r="C15343" s="1" t="s">
        <v>5783</v>
      </c>
      <c r="D15343" s="22" t="str">
        <f>HYPERLINK("https://rhld.insurance.arkansas.gov/NPILookup?Npi=1487342267","1487342267")</f>
        <v>1487342267</v>
      </c>
      <c r="E15343" s="1" t="s">
        <v>5617</v>
      </c>
      <c r="F15343" s="2"/>
      <c r="G15343" s="2"/>
      <c r="H15343" s="2"/>
    </row>
    <row r="15344" spans="1:8" x14ac:dyDescent="0.25">
      <c r="A15344" s="1"/>
      <c r="B15344" s="1" t="s">
        <v>5782</v>
      </c>
      <c r="C15344" s="1" t="s">
        <v>5783</v>
      </c>
      <c r="D15344" s="22" t="str">
        <f>HYPERLINK("https://rhld.insurance.arkansas.gov/NPILookup?Npi=1487376935","1487376935")</f>
        <v>1487376935</v>
      </c>
      <c r="E15344" s="1" t="s">
        <v>11836</v>
      </c>
      <c r="F15344" s="2"/>
      <c r="G15344" s="2"/>
      <c r="H15344" s="2"/>
    </row>
    <row r="15345" spans="1:8" x14ac:dyDescent="0.25">
      <c r="A15345" s="1"/>
      <c r="B15345" s="1" t="s">
        <v>5782</v>
      </c>
      <c r="C15345" s="1" t="s">
        <v>5783</v>
      </c>
      <c r="D15345" s="22" t="str">
        <f>HYPERLINK("https://rhld.insurance.arkansas.gov/NPILookup?Npi=1487380218","1487380218")</f>
        <v>1487380218</v>
      </c>
      <c r="E15345" s="1" t="s">
        <v>22350</v>
      </c>
      <c r="F15345" s="2"/>
      <c r="G15345" s="2"/>
      <c r="H15345" s="2"/>
    </row>
    <row r="15346" spans="1:8" x14ac:dyDescent="0.25">
      <c r="A15346" s="1"/>
      <c r="B15346" s="1" t="s">
        <v>5782</v>
      </c>
      <c r="C15346" s="1" t="s">
        <v>5783</v>
      </c>
      <c r="D15346" s="22" t="str">
        <f>HYPERLINK("https://rhld.insurance.arkansas.gov/NPILookup?Npi=1487388096","1487388096")</f>
        <v>1487388096</v>
      </c>
      <c r="E15346" s="1" t="s">
        <v>22351</v>
      </c>
      <c r="F15346" s="2"/>
      <c r="G15346" s="2"/>
      <c r="H15346" s="2"/>
    </row>
    <row r="15347" spans="1:8" x14ac:dyDescent="0.25">
      <c r="A15347" s="1"/>
      <c r="B15347" s="1" t="s">
        <v>5782</v>
      </c>
      <c r="C15347" s="1" t="s">
        <v>5783</v>
      </c>
      <c r="D15347" s="22" t="str">
        <f>HYPERLINK("https://rhld.insurance.arkansas.gov/NPILookup?Npi=1487394425","1487394425")</f>
        <v>1487394425</v>
      </c>
      <c r="E15347" s="1" t="s">
        <v>22352</v>
      </c>
      <c r="F15347" s="2"/>
      <c r="G15347" s="2"/>
      <c r="H15347" s="2"/>
    </row>
    <row r="15348" spans="1:8" x14ac:dyDescent="0.25">
      <c r="A15348" s="1"/>
      <c r="B15348" s="1" t="s">
        <v>5782</v>
      </c>
      <c r="C15348" s="1" t="s">
        <v>5783</v>
      </c>
      <c r="D15348" s="22" t="str">
        <f>HYPERLINK("https://rhld.insurance.arkansas.gov/NPILookup?Npi=1487418240","1487418240")</f>
        <v>1487418240</v>
      </c>
      <c r="E15348" s="1" t="s">
        <v>22353</v>
      </c>
      <c r="F15348" s="2"/>
      <c r="G15348" s="2"/>
      <c r="H15348" s="2"/>
    </row>
    <row r="15349" spans="1:8" x14ac:dyDescent="0.25">
      <c r="A15349" s="1"/>
      <c r="B15349" s="1" t="s">
        <v>5782</v>
      </c>
      <c r="C15349" s="1" t="s">
        <v>5783</v>
      </c>
      <c r="D15349" s="22" t="str">
        <f>HYPERLINK("https://rhld.insurance.arkansas.gov/NPILookup?Npi=1487422572","1487422572")</f>
        <v>1487422572</v>
      </c>
      <c r="E15349" s="1" t="s">
        <v>22354</v>
      </c>
      <c r="F15349" s="2"/>
      <c r="G15349" s="2"/>
      <c r="H15349" s="2"/>
    </row>
    <row r="15350" spans="1:8" x14ac:dyDescent="0.25">
      <c r="A15350" s="1"/>
      <c r="B15350" s="1" t="s">
        <v>5782</v>
      </c>
      <c r="C15350" s="1" t="s">
        <v>5783</v>
      </c>
      <c r="D15350" s="22" t="str">
        <f>HYPERLINK("https://rhld.insurance.arkansas.gov/NPILookup?Npi=1487657490","1487657490")</f>
        <v>1487657490</v>
      </c>
      <c r="E15350" s="1" t="s">
        <v>2191</v>
      </c>
      <c r="F15350" s="2"/>
      <c r="G15350" s="2"/>
      <c r="H15350" s="2"/>
    </row>
    <row r="15351" spans="1:8" x14ac:dyDescent="0.25">
      <c r="A15351" s="1"/>
      <c r="B15351" s="1" t="s">
        <v>5782</v>
      </c>
      <c r="C15351" s="1" t="s">
        <v>5783</v>
      </c>
      <c r="D15351" s="22" t="str">
        <f>HYPERLINK("https://rhld.insurance.arkansas.gov/NPILookup?Npi=1487662318","1487662318")</f>
        <v>1487662318</v>
      </c>
      <c r="E15351" s="1" t="s">
        <v>22355</v>
      </c>
      <c r="F15351" s="2"/>
      <c r="G15351" s="2"/>
      <c r="H15351" s="2"/>
    </row>
    <row r="15352" spans="1:8" x14ac:dyDescent="0.25">
      <c r="A15352" s="1"/>
      <c r="B15352" s="1" t="s">
        <v>5782</v>
      </c>
      <c r="C15352" s="1" t="s">
        <v>5783</v>
      </c>
      <c r="D15352" s="22" t="str">
        <f>HYPERLINK("https://rhld.insurance.arkansas.gov/NPILookup?Npi=1487675229","1487675229")</f>
        <v>1487675229</v>
      </c>
      <c r="E15352" s="1" t="s">
        <v>22356</v>
      </c>
      <c r="F15352" s="2"/>
      <c r="G15352" s="2"/>
      <c r="H15352" s="2"/>
    </row>
    <row r="15353" spans="1:8" x14ac:dyDescent="0.25">
      <c r="A15353" s="1"/>
      <c r="B15353" s="1" t="s">
        <v>5782</v>
      </c>
      <c r="C15353" s="1" t="s">
        <v>5783</v>
      </c>
      <c r="D15353" s="22" t="str">
        <f>HYPERLINK("https://rhld.insurance.arkansas.gov/NPILookup?Npi=1487684437","1487684437")</f>
        <v>1487684437</v>
      </c>
      <c r="E15353" s="1" t="s">
        <v>1873</v>
      </c>
      <c r="F15353" s="2"/>
      <c r="G15353" s="2"/>
      <c r="H15353" s="2"/>
    </row>
    <row r="15354" spans="1:8" x14ac:dyDescent="0.25">
      <c r="A15354" s="1"/>
      <c r="B15354" s="1" t="s">
        <v>5782</v>
      </c>
      <c r="C15354" s="1" t="s">
        <v>5783</v>
      </c>
      <c r="D15354" s="22" t="str">
        <f>HYPERLINK("https://rhld.insurance.arkansas.gov/NPILookup?Npi=1487686143","1487686143")</f>
        <v>1487686143</v>
      </c>
      <c r="E15354" s="1" t="s">
        <v>2260</v>
      </c>
      <c r="F15354" s="2"/>
      <c r="G15354" s="2"/>
      <c r="H15354" s="2"/>
    </row>
    <row r="15355" spans="1:8" x14ac:dyDescent="0.25">
      <c r="A15355" s="1"/>
      <c r="B15355" s="1" t="s">
        <v>5782</v>
      </c>
      <c r="C15355" s="1" t="s">
        <v>5783</v>
      </c>
      <c r="D15355" s="22" t="str">
        <f>HYPERLINK("https://rhld.insurance.arkansas.gov/NPILookup?Npi=1487692992","1487692992")</f>
        <v>1487692992</v>
      </c>
      <c r="E15355" s="1" t="s">
        <v>937</v>
      </c>
      <c r="F15355" s="2"/>
      <c r="G15355" s="2"/>
      <c r="H15355" s="2"/>
    </row>
    <row r="15356" spans="1:8" x14ac:dyDescent="0.25">
      <c r="A15356" s="1"/>
      <c r="B15356" s="1" t="s">
        <v>5782</v>
      </c>
      <c r="C15356" s="1" t="s">
        <v>5783</v>
      </c>
      <c r="D15356" s="22" t="str">
        <f>HYPERLINK("https://rhld.insurance.arkansas.gov/NPILookup?Npi=1487693891","1487693891")</f>
        <v>1487693891</v>
      </c>
      <c r="E15356" s="1" t="s">
        <v>3389</v>
      </c>
      <c r="F15356" s="2"/>
      <c r="G15356" s="2"/>
      <c r="H15356" s="2"/>
    </row>
    <row r="15357" spans="1:8" x14ac:dyDescent="0.25">
      <c r="A15357" s="1"/>
      <c r="B15357" s="1" t="s">
        <v>5782</v>
      </c>
      <c r="C15357" s="1" t="s">
        <v>5783</v>
      </c>
      <c r="D15357" s="22" t="str">
        <f>HYPERLINK("https://rhld.insurance.arkansas.gov/NPILookup?Npi=1487728580","1487728580")</f>
        <v>1487728580</v>
      </c>
      <c r="E15357" s="1" t="s">
        <v>788</v>
      </c>
      <c r="F15357" s="2"/>
      <c r="G15357" s="2"/>
      <c r="H15357" s="2"/>
    </row>
    <row r="15358" spans="1:8" x14ac:dyDescent="0.25">
      <c r="A15358" s="1"/>
      <c r="B15358" s="1" t="s">
        <v>5782</v>
      </c>
      <c r="C15358" s="1" t="s">
        <v>5783</v>
      </c>
      <c r="D15358" s="22" t="str">
        <f>HYPERLINK("https://rhld.insurance.arkansas.gov/NPILookup?Npi=1487774360","1487774360")</f>
        <v>1487774360</v>
      </c>
      <c r="E15358" s="1" t="s">
        <v>22357</v>
      </c>
      <c r="F15358" s="2"/>
      <c r="G15358" s="2"/>
      <c r="H15358" s="2"/>
    </row>
    <row r="15359" spans="1:8" x14ac:dyDescent="0.25">
      <c r="A15359" s="1"/>
      <c r="B15359" s="1" t="s">
        <v>5782</v>
      </c>
      <c r="C15359" s="1" t="s">
        <v>5783</v>
      </c>
      <c r="D15359" s="22" t="str">
        <f>HYPERLINK("https://rhld.insurance.arkansas.gov/NPILookup?Npi=1487802005","1487802005")</f>
        <v>1487802005</v>
      </c>
      <c r="E15359" s="1" t="s">
        <v>11838</v>
      </c>
      <c r="F15359" s="2"/>
      <c r="G15359" s="2"/>
      <c r="H15359" s="2"/>
    </row>
    <row r="15360" spans="1:8" x14ac:dyDescent="0.25">
      <c r="A15360" s="1"/>
      <c r="B15360" s="1" t="s">
        <v>5782</v>
      </c>
      <c r="C15360" s="1" t="s">
        <v>5783</v>
      </c>
      <c r="D15360" s="22" t="str">
        <f>HYPERLINK("https://rhld.insurance.arkansas.gov/NPILookup?Npi=1487810396","1487810396")</f>
        <v>1487810396</v>
      </c>
      <c r="E15360" s="1" t="s">
        <v>3291</v>
      </c>
      <c r="F15360" s="2"/>
      <c r="G15360" s="2"/>
      <c r="H15360" s="2"/>
    </row>
    <row r="15361" spans="1:8" x14ac:dyDescent="0.25">
      <c r="A15361" s="1"/>
      <c r="B15361" s="1" t="s">
        <v>5782</v>
      </c>
      <c r="C15361" s="1" t="s">
        <v>5783</v>
      </c>
      <c r="D15361" s="22" t="str">
        <f>HYPERLINK("https://rhld.insurance.arkansas.gov/NPILookup?Npi=1487830022","1487830022")</f>
        <v>1487830022</v>
      </c>
      <c r="E15361" s="1" t="s">
        <v>11839</v>
      </c>
      <c r="F15361" s="2"/>
      <c r="G15361" s="2"/>
      <c r="H15361" s="2"/>
    </row>
    <row r="15362" spans="1:8" x14ac:dyDescent="0.25">
      <c r="A15362" s="1"/>
      <c r="B15362" s="1" t="s">
        <v>5782</v>
      </c>
      <c r="C15362" s="1" t="s">
        <v>5783</v>
      </c>
      <c r="D15362" s="22" t="str">
        <f>HYPERLINK("https://rhld.insurance.arkansas.gov/NPILookup?Npi=1487835674","1487835674")</f>
        <v>1487835674</v>
      </c>
      <c r="E15362" s="1" t="s">
        <v>11840</v>
      </c>
      <c r="F15362" s="2"/>
      <c r="G15362" s="2"/>
      <c r="H15362" s="2"/>
    </row>
    <row r="15363" spans="1:8" x14ac:dyDescent="0.25">
      <c r="A15363" s="1"/>
      <c r="B15363" s="1" t="s">
        <v>5782</v>
      </c>
      <c r="C15363" s="1" t="s">
        <v>5783</v>
      </c>
      <c r="D15363" s="22" t="str">
        <f>HYPERLINK("https://rhld.insurance.arkansas.gov/NPILookup?Npi=1487843967","1487843967")</f>
        <v>1487843967</v>
      </c>
      <c r="E15363" s="1" t="s">
        <v>22358</v>
      </c>
      <c r="F15363" s="2"/>
      <c r="G15363" s="2"/>
      <c r="H15363" s="2"/>
    </row>
    <row r="15364" spans="1:8" x14ac:dyDescent="0.25">
      <c r="A15364" s="1"/>
      <c r="B15364" s="1" t="s">
        <v>5782</v>
      </c>
      <c r="C15364" s="1" t="s">
        <v>5783</v>
      </c>
      <c r="D15364" s="22" t="str">
        <f>HYPERLINK("https://rhld.insurance.arkansas.gov/NPILookup?Npi=1487851887","1487851887")</f>
        <v>1487851887</v>
      </c>
      <c r="E15364" s="1" t="s">
        <v>22359</v>
      </c>
      <c r="F15364" s="2"/>
      <c r="G15364" s="2"/>
      <c r="H15364" s="2"/>
    </row>
    <row r="15365" spans="1:8" x14ac:dyDescent="0.25">
      <c r="A15365" s="1"/>
      <c r="B15365" s="1" t="s">
        <v>5782</v>
      </c>
      <c r="C15365" s="1" t="s">
        <v>5783</v>
      </c>
      <c r="D15365" s="22" t="str">
        <f>HYPERLINK("https://rhld.insurance.arkansas.gov/NPILookup?Npi=1487870002","1487870002")</f>
        <v>1487870002</v>
      </c>
      <c r="E15365" s="1" t="s">
        <v>22360</v>
      </c>
      <c r="F15365" s="2"/>
      <c r="G15365" s="2"/>
      <c r="H15365" s="2"/>
    </row>
    <row r="15366" spans="1:8" x14ac:dyDescent="0.25">
      <c r="A15366" s="1"/>
      <c r="B15366" s="1" t="s">
        <v>5782</v>
      </c>
      <c r="C15366" s="1" t="s">
        <v>5783</v>
      </c>
      <c r="D15366" s="22" t="str">
        <f>HYPERLINK("https://rhld.insurance.arkansas.gov/NPILookup?Npi=1487881942","1487881942")</f>
        <v>1487881942</v>
      </c>
      <c r="E15366" s="1" t="s">
        <v>12982</v>
      </c>
      <c r="F15366" s="2"/>
      <c r="G15366" s="2"/>
      <c r="H15366" s="2"/>
    </row>
    <row r="15367" spans="1:8" x14ac:dyDescent="0.25">
      <c r="A15367" s="1"/>
      <c r="B15367" s="1" t="s">
        <v>5782</v>
      </c>
      <c r="C15367" s="1" t="s">
        <v>5783</v>
      </c>
      <c r="D15367" s="22" t="str">
        <f>HYPERLINK("https://rhld.insurance.arkansas.gov/NPILookup?Npi=1487895900","1487895900")</f>
        <v>1487895900</v>
      </c>
      <c r="E15367" s="1" t="s">
        <v>2489</v>
      </c>
      <c r="F15367" s="2"/>
      <c r="G15367" s="2"/>
      <c r="H15367" s="2"/>
    </row>
    <row r="15368" spans="1:8" x14ac:dyDescent="0.25">
      <c r="A15368" s="1"/>
      <c r="B15368" s="1" t="s">
        <v>5782</v>
      </c>
      <c r="C15368" s="1" t="s">
        <v>5783</v>
      </c>
      <c r="D15368" s="22" t="str">
        <f>HYPERLINK("https://rhld.insurance.arkansas.gov/NPILookup?Npi=1487910246","1487910246")</f>
        <v>1487910246</v>
      </c>
      <c r="E15368" s="1" t="s">
        <v>22361</v>
      </c>
      <c r="F15368" s="2"/>
      <c r="G15368" s="2"/>
      <c r="H15368" s="2"/>
    </row>
    <row r="15369" spans="1:8" x14ac:dyDescent="0.25">
      <c r="A15369" s="1"/>
      <c r="B15369" s="1" t="s">
        <v>5782</v>
      </c>
      <c r="C15369" s="1" t="s">
        <v>5783</v>
      </c>
      <c r="D15369" s="22" t="str">
        <f>HYPERLINK("https://rhld.insurance.arkansas.gov/NPILookup?Npi=1487930038","1487930038")</f>
        <v>1487930038</v>
      </c>
      <c r="E15369" s="1" t="s">
        <v>779</v>
      </c>
      <c r="F15369" s="2"/>
      <c r="G15369" s="2"/>
      <c r="H15369" s="2"/>
    </row>
    <row r="15370" spans="1:8" x14ac:dyDescent="0.25">
      <c r="A15370" s="1"/>
      <c r="B15370" s="1" t="s">
        <v>5782</v>
      </c>
      <c r="C15370" s="1" t="s">
        <v>5783</v>
      </c>
      <c r="D15370" s="22" t="str">
        <f>HYPERLINK("https://rhld.insurance.arkansas.gov/NPILookup?Npi=1487934766","1487934766")</f>
        <v>1487934766</v>
      </c>
      <c r="E15370" s="1" t="s">
        <v>22362</v>
      </c>
      <c r="F15370" s="2"/>
      <c r="G15370" s="2"/>
      <c r="H15370" s="2"/>
    </row>
    <row r="15371" spans="1:8" x14ac:dyDescent="0.25">
      <c r="A15371" s="1"/>
      <c r="B15371" s="1" t="s">
        <v>5782</v>
      </c>
      <c r="C15371" s="1" t="s">
        <v>5783</v>
      </c>
      <c r="D15371" s="22" t="str">
        <f>HYPERLINK("https://rhld.insurance.arkansas.gov/NPILookup?Npi=1487955217","1487955217")</f>
        <v>1487955217</v>
      </c>
      <c r="E15371" s="1" t="s">
        <v>22363</v>
      </c>
      <c r="F15371" s="2"/>
      <c r="G15371" s="2"/>
      <c r="H15371" s="2"/>
    </row>
    <row r="15372" spans="1:8" x14ac:dyDescent="0.25">
      <c r="A15372" s="1"/>
      <c r="B15372" s="1" t="s">
        <v>5782</v>
      </c>
      <c r="C15372" s="1" t="s">
        <v>5783</v>
      </c>
      <c r="D15372" s="22" t="str">
        <f>HYPERLINK("https://rhld.insurance.arkansas.gov/NPILookup?Npi=1487957635","1487957635")</f>
        <v>1487957635</v>
      </c>
      <c r="E15372" s="1" t="s">
        <v>11843</v>
      </c>
      <c r="F15372" s="2"/>
      <c r="G15372" s="2"/>
      <c r="H15372" s="2"/>
    </row>
    <row r="15373" spans="1:8" x14ac:dyDescent="0.25">
      <c r="A15373" s="1"/>
      <c r="B15373" s="1" t="s">
        <v>5782</v>
      </c>
      <c r="C15373" s="1" t="s">
        <v>5783</v>
      </c>
      <c r="D15373" s="22" t="str">
        <f>HYPERLINK("https://rhld.insurance.arkansas.gov/NPILookup?Npi=1487961751","1487961751")</f>
        <v>1487961751</v>
      </c>
      <c r="E15373" s="1" t="s">
        <v>22364</v>
      </c>
      <c r="F15373" s="2"/>
      <c r="G15373" s="2"/>
      <c r="H15373" s="2"/>
    </row>
    <row r="15374" spans="1:8" x14ac:dyDescent="0.25">
      <c r="A15374" s="1"/>
      <c r="B15374" s="1" t="s">
        <v>5782</v>
      </c>
      <c r="C15374" s="1" t="s">
        <v>5783</v>
      </c>
      <c r="D15374" s="22" t="str">
        <f>HYPERLINK("https://rhld.insurance.arkansas.gov/NPILookup?Npi=1487963716","1487963716")</f>
        <v>1487963716</v>
      </c>
      <c r="E15374" s="1" t="s">
        <v>22365</v>
      </c>
      <c r="F15374" s="2"/>
      <c r="G15374" s="2"/>
      <c r="H15374" s="2"/>
    </row>
    <row r="15375" spans="1:8" x14ac:dyDescent="0.25">
      <c r="A15375" s="1"/>
      <c r="B15375" s="1" t="s">
        <v>5782</v>
      </c>
      <c r="C15375" s="1" t="s">
        <v>5783</v>
      </c>
      <c r="D15375" s="22" t="str">
        <f>HYPERLINK("https://rhld.insurance.arkansas.gov/NPILookup?Npi=1487965521","1487965521")</f>
        <v>1487965521</v>
      </c>
      <c r="E15375" s="1" t="s">
        <v>22366</v>
      </c>
      <c r="F15375" s="2"/>
      <c r="G15375" s="2"/>
      <c r="H15375" s="2"/>
    </row>
    <row r="15376" spans="1:8" x14ac:dyDescent="0.25">
      <c r="A15376" s="1"/>
      <c r="B15376" s="1" t="s">
        <v>5782</v>
      </c>
      <c r="C15376" s="1" t="s">
        <v>5783</v>
      </c>
      <c r="D15376" s="22" t="str">
        <f>HYPERLINK("https://rhld.insurance.arkansas.gov/NPILookup?Npi=1487969929","1487969929")</f>
        <v>1487969929</v>
      </c>
      <c r="E15376" s="1" t="s">
        <v>11844</v>
      </c>
      <c r="F15376" s="2"/>
      <c r="G15376" s="2"/>
      <c r="H15376" s="2"/>
    </row>
    <row r="15377" spans="1:8" x14ac:dyDescent="0.25">
      <c r="A15377" s="1"/>
      <c r="B15377" s="1" t="s">
        <v>5782</v>
      </c>
      <c r="C15377" s="1" t="s">
        <v>5783</v>
      </c>
      <c r="D15377" s="22" t="str">
        <f>HYPERLINK("https://rhld.insurance.arkansas.gov/NPILookup?Npi=1487971115","1487971115")</f>
        <v>1487971115</v>
      </c>
      <c r="E15377" s="1" t="s">
        <v>22367</v>
      </c>
      <c r="F15377" s="2"/>
      <c r="G15377" s="2"/>
      <c r="H15377" s="2"/>
    </row>
    <row r="15378" spans="1:8" x14ac:dyDescent="0.25">
      <c r="A15378" s="1"/>
      <c r="B15378" s="1" t="s">
        <v>5782</v>
      </c>
      <c r="C15378" s="1" t="s">
        <v>5783</v>
      </c>
      <c r="D15378" s="22" t="str">
        <f>HYPERLINK("https://rhld.insurance.arkansas.gov/NPILookup?Npi=1487975538","1487975538")</f>
        <v>1487975538</v>
      </c>
      <c r="E15378" s="1" t="s">
        <v>6339</v>
      </c>
      <c r="F15378" s="2"/>
      <c r="G15378" s="2"/>
      <c r="H15378" s="2"/>
    </row>
    <row r="15379" spans="1:8" x14ac:dyDescent="0.25">
      <c r="A15379" s="1"/>
      <c r="B15379" s="1" t="s">
        <v>5782</v>
      </c>
      <c r="C15379" s="1" t="s">
        <v>5783</v>
      </c>
      <c r="D15379" s="22" t="str">
        <f>HYPERLINK("https://rhld.insurance.arkansas.gov/NPILookup?Npi=1487987822","1487987822")</f>
        <v>1487987822</v>
      </c>
      <c r="E15379" s="1" t="s">
        <v>22368</v>
      </c>
      <c r="F15379" s="2"/>
      <c r="G15379" s="2"/>
      <c r="H15379" s="2"/>
    </row>
    <row r="15380" spans="1:8" x14ac:dyDescent="0.25">
      <c r="A15380" s="1"/>
      <c r="B15380" s="1" t="s">
        <v>5782</v>
      </c>
      <c r="C15380" s="1" t="s">
        <v>5783</v>
      </c>
      <c r="D15380" s="22" t="str">
        <f>HYPERLINK("https://rhld.insurance.arkansas.gov/NPILookup?Npi=1497008007","1497008007")</f>
        <v>1497008007</v>
      </c>
      <c r="E15380" s="1" t="s">
        <v>6340</v>
      </c>
      <c r="F15380" s="2"/>
      <c r="G15380" s="2"/>
      <c r="H15380" s="2"/>
    </row>
    <row r="15381" spans="1:8" x14ac:dyDescent="0.25">
      <c r="A15381" s="1"/>
      <c r="B15381" s="1" t="s">
        <v>5782</v>
      </c>
      <c r="C15381" s="1" t="s">
        <v>5783</v>
      </c>
      <c r="D15381" s="22" t="str">
        <f>HYPERLINK("https://rhld.insurance.arkansas.gov/NPILookup?Npi=1497011936","1497011936")</f>
        <v>1497011936</v>
      </c>
      <c r="E15381" s="1" t="s">
        <v>6341</v>
      </c>
      <c r="F15381" s="2"/>
      <c r="G15381" s="2"/>
      <c r="H15381" s="2"/>
    </row>
    <row r="15382" spans="1:8" x14ac:dyDescent="0.25">
      <c r="A15382" s="1"/>
      <c r="B15382" s="1" t="s">
        <v>5782</v>
      </c>
      <c r="C15382" s="1" t="s">
        <v>5783</v>
      </c>
      <c r="D15382" s="22" t="str">
        <f>HYPERLINK("https://rhld.insurance.arkansas.gov/NPILookup?Npi=1497012264","1497012264")</f>
        <v>1497012264</v>
      </c>
      <c r="E15382" s="1" t="s">
        <v>22369</v>
      </c>
      <c r="F15382" s="2"/>
      <c r="G15382" s="2"/>
      <c r="H15382" s="2"/>
    </row>
    <row r="15383" spans="1:8" x14ac:dyDescent="0.25">
      <c r="A15383" s="1"/>
      <c r="B15383" s="1" t="s">
        <v>5782</v>
      </c>
      <c r="C15383" s="1" t="s">
        <v>5783</v>
      </c>
      <c r="D15383" s="22" t="str">
        <f>HYPERLINK("https://rhld.insurance.arkansas.gov/NPILookup?Npi=1497017404","1497017404")</f>
        <v>1497017404</v>
      </c>
      <c r="E15383" s="1" t="s">
        <v>22370</v>
      </c>
      <c r="F15383" s="2"/>
      <c r="G15383" s="2"/>
      <c r="H15383" s="2"/>
    </row>
    <row r="15384" spans="1:8" x14ac:dyDescent="0.25">
      <c r="A15384" s="1"/>
      <c r="B15384" s="1" t="s">
        <v>5782</v>
      </c>
      <c r="C15384" s="1" t="s">
        <v>5783</v>
      </c>
      <c r="D15384" s="22" t="str">
        <f>HYPERLINK("https://rhld.insurance.arkansas.gov/NPILookup?Npi=1497041321","1497041321")</f>
        <v>1497041321</v>
      </c>
      <c r="E15384" s="1" t="s">
        <v>22371</v>
      </c>
      <c r="F15384" s="2"/>
      <c r="G15384" s="2"/>
      <c r="H15384" s="2"/>
    </row>
    <row r="15385" spans="1:8" x14ac:dyDescent="0.25">
      <c r="A15385" s="1"/>
      <c r="B15385" s="1" t="s">
        <v>5782</v>
      </c>
      <c r="C15385" s="1" t="s">
        <v>5783</v>
      </c>
      <c r="D15385" s="22" t="str">
        <f>HYPERLINK("https://rhld.insurance.arkansas.gov/NPILookup?Npi=1497058374","1497058374")</f>
        <v>1497058374</v>
      </c>
      <c r="E15385" s="1" t="s">
        <v>22372</v>
      </c>
      <c r="F15385" s="2"/>
      <c r="G15385" s="2"/>
      <c r="H15385" s="2"/>
    </row>
    <row r="15386" spans="1:8" x14ac:dyDescent="0.25">
      <c r="A15386" s="1"/>
      <c r="B15386" s="1" t="s">
        <v>5782</v>
      </c>
      <c r="C15386" s="1" t="s">
        <v>5783</v>
      </c>
      <c r="D15386" s="22" t="str">
        <f>HYPERLINK("https://rhld.insurance.arkansas.gov/NPILookup?Npi=1497059968","1497059968")</f>
        <v>1497059968</v>
      </c>
      <c r="E15386" s="1" t="s">
        <v>6342</v>
      </c>
      <c r="F15386" s="2"/>
      <c r="G15386" s="2"/>
      <c r="H15386" s="2"/>
    </row>
    <row r="15387" spans="1:8" x14ac:dyDescent="0.25">
      <c r="A15387" s="1"/>
      <c r="B15387" s="1" t="s">
        <v>5782</v>
      </c>
      <c r="C15387" s="1" t="s">
        <v>5783</v>
      </c>
      <c r="D15387" s="22" t="str">
        <f>HYPERLINK("https://rhld.insurance.arkansas.gov/NPILookup?Npi=1497061675","1497061675")</f>
        <v>1497061675</v>
      </c>
      <c r="E15387" s="1" t="s">
        <v>16455</v>
      </c>
      <c r="F15387" s="2"/>
      <c r="G15387" s="2"/>
      <c r="H15387" s="2"/>
    </row>
    <row r="15388" spans="1:8" x14ac:dyDescent="0.25">
      <c r="A15388" s="1"/>
      <c r="B15388" s="1" t="s">
        <v>5782</v>
      </c>
      <c r="C15388" s="1" t="s">
        <v>5783</v>
      </c>
      <c r="D15388" s="22" t="str">
        <f>HYPERLINK("https://rhld.insurance.arkansas.gov/NPILookup?Npi=1497063432","1497063432")</f>
        <v>1497063432</v>
      </c>
      <c r="E15388" s="1" t="s">
        <v>3421</v>
      </c>
      <c r="F15388" s="2"/>
      <c r="G15388" s="2"/>
      <c r="H15388" s="2"/>
    </row>
    <row r="15389" spans="1:8" x14ac:dyDescent="0.25">
      <c r="A15389" s="1"/>
      <c r="B15389" s="1" t="s">
        <v>5782</v>
      </c>
      <c r="C15389" s="1" t="s">
        <v>5783</v>
      </c>
      <c r="D15389" s="22" t="str">
        <f>HYPERLINK("https://rhld.insurance.arkansas.gov/NPILookup?Npi=1497068456","1497068456")</f>
        <v>1497068456</v>
      </c>
      <c r="E15389" s="1" t="s">
        <v>22373</v>
      </c>
      <c r="F15389" s="2"/>
      <c r="G15389" s="2"/>
      <c r="H15389" s="2"/>
    </row>
    <row r="15390" spans="1:8" x14ac:dyDescent="0.25">
      <c r="A15390" s="1"/>
      <c r="B15390" s="1" t="s">
        <v>5782</v>
      </c>
      <c r="C15390" s="1" t="s">
        <v>5783</v>
      </c>
      <c r="D15390" s="22" t="str">
        <f>HYPERLINK("https://rhld.insurance.arkansas.gov/NPILookup?Npi=1497084974","1497084974")</f>
        <v>1497084974</v>
      </c>
      <c r="E15390" s="1" t="s">
        <v>1561</v>
      </c>
      <c r="F15390" s="2"/>
      <c r="G15390" s="2"/>
      <c r="H15390" s="2"/>
    </row>
    <row r="15391" spans="1:8" x14ac:dyDescent="0.25">
      <c r="A15391" s="1"/>
      <c r="B15391" s="1" t="s">
        <v>5782</v>
      </c>
      <c r="C15391" s="1" t="s">
        <v>5783</v>
      </c>
      <c r="D15391" s="22" t="str">
        <f>HYPERLINK("https://rhld.insurance.arkansas.gov/NPILookup?Npi=1497091508","1497091508")</f>
        <v>1497091508</v>
      </c>
      <c r="E15391" s="1" t="s">
        <v>11845</v>
      </c>
      <c r="F15391" s="2"/>
      <c r="G15391" s="2"/>
      <c r="H15391" s="2"/>
    </row>
    <row r="15392" spans="1:8" x14ac:dyDescent="0.25">
      <c r="A15392" s="1"/>
      <c r="B15392" s="1" t="s">
        <v>5782</v>
      </c>
      <c r="C15392" s="1" t="s">
        <v>5783</v>
      </c>
      <c r="D15392" s="22" t="str">
        <f>HYPERLINK("https://rhld.insurance.arkansas.gov/NPILookup?Npi=1497094007","1497094007")</f>
        <v>1497094007</v>
      </c>
      <c r="E15392" s="1" t="s">
        <v>13961</v>
      </c>
      <c r="F15392" s="2"/>
      <c r="G15392" s="2"/>
      <c r="H15392" s="2"/>
    </row>
    <row r="15393" spans="1:8" x14ac:dyDescent="0.25">
      <c r="A15393" s="1"/>
      <c r="B15393" s="1" t="s">
        <v>5782</v>
      </c>
      <c r="C15393" s="1" t="s">
        <v>5783</v>
      </c>
      <c r="D15393" s="22" t="str">
        <f>HYPERLINK("https://rhld.insurance.arkansas.gov/NPILookup?Npi=1497094833","1497094833")</f>
        <v>1497094833</v>
      </c>
      <c r="E15393" s="1" t="s">
        <v>22374</v>
      </c>
      <c r="F15393" s="2"/>
      <c r="G15393" s="2"/>
      <c r="H15393" s="2"/>
    </row>
    <row r="15394" spans="1:8" x14ac:dyDescent="0.25">
      <c r="A15394" s="1"/>
      <c r="B15394" s="1" t="s">
        <v>5782</v>
      </c>
      <c r="C15394" s="1" t="s">
        <v>5783</v>
      </c>
      <c r="D15394" s="22" t="str">
        <f>HYPERLINK("https://rhld.insurance.arkansas.gov/NPILookup?Npi=1497095517","1497095517")</f>
        <v>1497095517</v>
      </c>
      <c r="E15394" s="1" t="s">
        <v>22375</v>
      </c>
      <c r="F15394" s="2"/>
      <c r="G15394" s="2"/>
      <c r="H15394" s="2"/>
    </row>
    <row r="15395" spans="1:8" x14ac:dyDescent="0.25">
      <c r="A15395" s="1"/>
      <c r="B15395" s="1" t="s">
        <v>5782</v>
      </c>
      <c r="C15395" s="1" t="s">
        <v>5783</v>
      </c>
      <c r="D15395" s="22" t="str">
        <f>HYPERLINK("https://rhld.insurance.arkansas.gov/NPILookup?Npi=1497095954","1497095954")</f>
        <v>1497095954</v>
      </c>
      <c r="E15395" s="1" t="s">
        <v>3616</v>
      </c>
      <c r="F15395" s="2"/>
      <c r="G15395" s="2"/>
      <c r="H15395" s="2"/>
    </row>
    <row r="15396" spans="1:8" x14ac:dyDescent="0.25">
      <c r="A15396" s="1"/>
      <c r="B15396" s="1" t="s">
        <v>5782</v>
      </c>
      <c r="C15396" s="1" t="s">
        <v>5783</v>
      </c>
      <c r="D15396" s="22" t="str">
        <f>HYPERLINK("https://rhld.insurance.arkansas.gov/NPILookup?Npi=1497099840","1497099840")</f>
        <v>1497099840</v>
      </c>
      <c r="E15396" s="1" t="s">
        <v>22376</v>
      </c>
      <c r="F15396" s="2"/>
      <c r="G15396" s="2"/>
      <c r="H15396" s="2"/>
    </row>
    <row r="15397" spans="1:8" x14ac:dyDescent="0.25">
      <c r="A15397" s="1"/>
      <c r="B15397" s="1" t="s">
        <v>5782</v>
      </c>
      <c r="C15397" s="1" t="s">
        <v>5783</v>
      </c>
      <c r="D15397" s="22" t="str">
        <f>HYPERLINK("https://rhld.insurance.arkansas.gov/NPILookup?Npi=1497104731","1497104731")</f>
        <v>1497104731</v>
      </c>
      <c r="E15397" s="1" t="s">
        <v>22377</v>
      </c>
      <c r="F15397" s="2"/>
      <c r="G15397" s="2"/>
      <c r="H15397" s="2"/>
    </row>
    <row r="15398" spans="1:8" x14ac:dyDescent="0.25">
      <c r="A15398" s="1"/>
      <c r="B15398" s="1" t="s">
        <v>5782</v>
      </c>
      <c r="C15398" s="1" t="s">
        <v>5783</v>
      </c>
      <c r="D15398" s="22" t="str">
        <f>HYPERLINK("https://rhld.insurance.arkansas.gov/NPILookup?Npi=1497110043","1497110043")</f>
        <v>1497110043</v>
      </c>
      <c r="E15398" s="1" t="s">
        <v>22378</v>
      </c>
      <c r="F15398" s="2"/>
      <c r="G15398" s="2"/>
      <c r="H15398" s="2"/>
    </row>
    <row r="15399" spans="1:8" x14ac:dyDescent="0.25">
      <c r="A15399" s="1"/>
      <c r="B15399" s="1" t="s">
        <v>5782</v>
      </c>
      <c r="C15399" s="1" t="s">
        <v>5783</v>
      </c>
      <c r="D15399" s="22" t="str">
        <f>HYPERLINK("https://rhld.insurance.arkansas.gov/NPILookup?Npi=1497116586","1497116586")</f>
        <v>1497116586</v>
      </c>
      <c r="E15399" s="1" t="s">
        <v>1330</v>
      </c>
      <c r="F15399" s="2"/>
      <c r="G15399" s="2"/>
      <c r="H15399" s="2"/>
    </row>
    <row r="15400" spans="1:8" x14ac:dyDescent="0.25">
      <c r="A15400" s="1"/>
      <c r="B15400" s="1" t="s">
        <v>5782</v>
      </c>
      <c r="C15400" s="1" t="s">
        <v>5783</v>
      </c>
      <c r="D15400" s="22" t="str">
        <f>HYPERLINK("https://rhld.insurance.arkansas.gov/NPILookup?Npi=1497121842","1497121842")</f>
        <v>1497121842</v>
      </c>
      <c r="E15400" s="1" t="s">
        <v>1852</v>
      </c>
      <c r="F15400" s="2"/>
      <c r="G15400" s="2"/>
      <c r="H15400" s="2"/>
    </row>
    <row r="15401" spans="1:8" x14ac:dyDescent="0.25">
      <c r="A15401" s="1"/>
      <c r="B15401" s="1" t="s">
        <v>5782</v>
      </c>
      <c r="C15401" s="1" t="s">
        <v>5783</v>
      </c>
      <c r="D15401" s="22" t="str">
        <f>HYPERLINK("https://rhld.insurance.arkansas.gov/NPILookup?Npi=1497131429","1497131429")</f>
        <v>1497131429</v>
      </c>
      <c r="E15401" s="1" t="s">
        <v>6343</v>
      </c>
      <c r="F15401" s="2"/>
      <c r="G15401" s="2"/>
      <c r="H15401" s="2"/>
    </row>
    <row r="15402" spans="1:8" x14ac:dyDescent="0.25">
      <c r="A15402" s="1"/>
      <c r="B15402" s="1" t="s">
        <v>5782</v>
      </c>
      <c r="C15402" s="1" t="s">
        <v>5783</v>
      </c>
      <c r="D15402" s="22" t="str">
        <f>HYPERLINK("https://rhld.insurance.arkansas.gov/NPILookup?Npi=1497138887","1497138887")</f>
        <v>1497138887</v>
      </c>
      <c r="E15402" s="1" t="s">
        <v>22379</v>
      </c>
      <c r="F15402" s="2"/>
      <c r="G15402" s="2"/>
      <c r="H15402" s="2"/>
    </row>
    <row r="15403" spans="1:8" x14ac:dyDescent="0.25">
      <c r="A15403" s="1"/>
      <c r="B15403" s="1" t="s">
        <v>5782</v>
      </c>
      <c r="C15403" s="1" t="s">
        <v>5783</v>
      </c>
      <c r="D15403" s="22" t="str">
        <f>HYPERLINK("https://rhld.insurance.arkansas.gov/NPILookup?Npi=1497151062","1497151062")</f>
        <v>1497151062</v>
      </c>
      <c r="E15403" s="1" t="s">
        <v>11846</v>
      </c>
      <c r="F15403" s="2"/>
      <c r="G15403" s="2"/>
      <c r="H15403" s="2"/>
    </row>
    <row r="15404" spans="1:8" x14ac:dyDescent="0.25">
      <c r="A15404" s="1"/>
      <c r="B15404" s="1" t="s">
        <v>5782</v>
      </c>
      <c r="C15404" s="1" t="s">
        <v>5783</v>
      </c>
      <c r="D15404" s="22" t="str">
        <f>HYPERLINK("https://rhld.insurance.arkansas.gov/NPILookup?Npi=1497154918","1497154918")</f>
        <v>1497154918</v>
      </c>
      <c r="E15404" s="1" t="s">
        <v>2187</v>
      </c>
      <c r="F15404" s="2"/>
      <c r="G15404" s="2"/>
      <c r="H15404" s="2"/>
    </row>
    <row r="15405" spans="1:8" x14ac:dyDescent="0.25">
      <c r="A15405" s="1"/>
      <c r="B15405" s="1" t="s">
        <v>5782</v>
      </c>
      <c r="C15405" s="1" t="s">
        <v>5783</v>
      </c>
      <c r="D15405" s="22" t="str">
        <f>HYPERLINK("https://rhld.insurance.arkansas.gov/NPILookup?Npi=1497162341","1497162341")</f>
        <v>1497162341</v>
      </c>
      <c r="E15405" s="1" t="s">
        <v>11847</v>
      </c>
      <c r="F15405" s="2"/>
      <c r="G15405" s="2"/>
      <c r="H15405" s="2"/>
    </row>
    <row r="15406" spans="1:8" x14ac:dyDescent="0.25">
      <c r="A15406" s="1"/>
      <c r="B15406" s="1" t="s">
        <v>5782</v>
      </c>
      <c r="C15406" s="1" t="s">
        <v>5783</v>
      </c>
      <c r="D15406" s="22" t="str">
        <f>HYPERLINK("https://rhld.insurance.arkansas.gov/NPILookup?Npi=1497163356","1497163356")</f>
        <v>1497163356</v>
      </c>
      <c r="E15406" s="1" t="s">
        <v>22380</v>
      </c>
      <c r="F15406" s="2"/>
      <c r="G15406" s="2"/>
      <c r="H15406" s="2"/>
    </row>
    <row r="15407" spans="1:8" x14ac:dyDescent="0.25">
      <c r="A15407" s="1"/>
      <c r="B15407" s="1" t="s">
        <v>5782</v>
      </c>
      <c r="C15407" s="1" t="s">
        <v>5783</v>
      </c>
      <c r="D15407" s="22" t="str">
        <f>HYPERLINK("https://rhld.insurance.arkansas.gov/NPILookup?Npi=1497183982","1497183982")</f>
        <v>1497183982</v>
      </c>
      <c r="E15407" s="1" t="s">
        <v>22381</v>
      </c>
      <c r="F15407" s="2"/>
      <c r="G15407" s="2"/>
      <c r="H15407" s="2"/>
    </row>
    <row r="15408" spans="1:8" x14ac:dyDescent="0.25">
      <c r="A15408" s="1"/>
      <c r="B15408" s="1" t="s">
        <v>5782</v>
      </c>
      <c r="C15408" s="1" t="s">
        <v>5783</v>
      </c>
      <c r="D15408" s="22" t="str">
        <f>HYPERLINK("https://rhld.insurance.arkansas.gov/NPILookup?Npi=1497184535","1497184535")</f>
        <v>1497184535</v>
      </c>
      <c r="E15408" s="1" t="s">
        <v>11848</v>
      </c>
      <c r="F15408" s="2"/>
      <c r="G15408" s="2"/>
      <c r="H15408" s="2"/>
    </row>
    <row r="15409" spans="1:8" x14ac:dyDescent="0.25">
      <c r="A15409" s="1"/>
      <c r="B15409" s="1" t="s">
        <v>5782</v>
      </c>
      <c r="C15409" s="1" t="s">
        <v>5783</v>
      </c>
      <c r="D15409" s="22" t="str">
        <f>HYPERLINK("https://rhld.insurance.arkansas.gov/NPILookup?Npi=1497200596","1497200596")</f>
        <v>1497200596</v>
      </c>
      <c r="E15409" s="1" t="s">
        <v>6344</v>
      </c>
      <c r="F15409" s="2"/>
      <c r="G15409" s="2"/>
      <c r="H15409" s="2"/>
    </row>
    <row r="15410" spans="1:8" x14ac:dyDescent="0.25">
      <c r="A15410" s="1"/>
      <c r="B15410" s="1" t="s">
        <v>5782</v>
      </c>
      <c r="C15410" s="1" t="s">
        <v>5783</v>
      </c>
      <c r="D15410" s="22" t="str">
        <f>HYPERLINK("https://rhld.insurance.arkansas.gov/NPILookup?Npi=1497209530","1497209530")</f>
        <v>1497209530</v>
      </c>
      <c r="E15410" s="1" t="s">
        <v>22382</v>
      </c>
      <c r="F15410" s="2"/>
      <c r="G15410" s="2"/>
      <c r="H15410" s="2"/>
    </row>
    <row r="15411" spans="1:8" x14ac:dyDescent="0.25">
      <c r="A15411" s="1"/>
      <c r="B15411" s="1" t="s">
        <v>5782</v>
      </c>
      <c r="C15411" s="1" t="s">
        <v>5783</v>
      </c>
      <c r="D15411" s="22" t="str">
        <f>HYPERLINK("https://rhld.insurance.arkansas.gov/NPILookup?Npi=1497223085","1497223085")</f>
        <v>1497223085</v>
      </c>
      <c r="E15411" s="1" t="s">
        <v>22383</v>
      </c>
      <c r="F15411" s="2"/>
      <c r="G15411" s="2"/>
      <c r="H15411" s="2"/>
    </row>
    <row r="15412" spans="1:8" x14ac:dyDescent="0.25">
      <c r="A15412" s="1"/>
      <c r="B15412" s="1" t="s">
        <v>5782</v>
      </c>
      <c r="C15412" s="1" t="s">
        <v>5783</v>
      </c>
      <c r="D15412" s="22" t="str">
        <f>HYPERLINK("https://rhld.insurance.arkansas.gov/NPILookup?Npi=1497230304","1497230304")</f>
        <v>1497230304</v>
      </c>
      <c r="E15412" s="1" t="s">
        <v>6345</v>
      </c>
      <c r="F15412" s="2"/>
      <c r="G15412" s="2"/>
      <c r="H15412" s="2"/>
    </row>
    <row r="15413" spans="1:8" x14ac:dyDescent="0.25">
      <c r="A15413" s="1"/>
      <c r="B15413" s="1" t="s">
        <v>5782</v>
      </c>
      <c r="C15413" s="1" t="s">
        <v>5783</v>
      </c>
      <c r="D15413" s="22" t="str">
        <f>HYPERLINK("https://rhld.insurance.arkansas.gov/NPILookup?Npi=1497232631","1497232631")</f>
        <v>1497232631</v>
      </c>
      <c r="E15413" s="1" t="s">
        <v>22384</v>
      </c>
      <c r="F15413" s="2"/>
      <c r="G15413" s="2"/>
      <c r="H15413" s="2"/>
    </row>
    <row r="15414" spans="1:8" x14ac:dyDescent="0.25">
      <c r="A15414" s="1"/>
      <c r="B15414" s="1" t="s">
        <v>5782</v>
      </c>
      <c r="C15414" s="1" t="s">
        <v>5783</v>
      </c>
      <c r="D15414" s="22" t="str">
        <f>HYPERLINK("https://rhld.insurance.arkansas.gov/NPILookup?Npi=1497261101","1497261101")</f>
        <v>1497261101</v>
      </c>
      <c r="E15414" s="1" t="s">
        <v>6346</v>
      </c>
      <c r="F15414" s="2"/>
      <c r="G15414" s="2"/>
      <c r="H15414" s="2"/>
    </row>
    <row r="15415" spans="1:8" x14ac:dyDescent="0.25">
      <c r="A15415" s="1"/>
      <c r="B15415" s="1" t="s">
        <v>5782</v>
      </c>
      <c r="C15415" s="1" t="s">
        <v>5783</v>
      </c>
      <c r="D15415" s="22" t="str">
        <f>HYPERLINK("https://rhld.insurance.arkansas.gov/NPILookup?Npi=1497261630","1497261630")</f>
        <v>1497261630</v>
      </c>
      <c r="E15415" s="1" t="s">
        <v>22385</v>
      </c>
      <c r="F15415" s="2"/>
      <c r="G15415" s="2"/>
      <c r="H15415" s="2"/>
    </row>
    <row r="15416" spans="1:8" x14ac:dyDescent="0.25">
      <c r="A15416" s="1"/>
      <c r="B15416" s="1" t="s">
        <v>5782</v>
      </c>
      <c r="C15416" s="1" t="s">
        <v>5783</v>
      </c>
      <c r="D15416" s="22" t="str">
        <f>HYPERLINK("https://rhld.insurance.arkansas.gov/NPILookup?Npi=1497261671","1497261671")</f>
        <v>1497261671</v>
      </c>
      <c r="E15416" s="1" t="s">
        <v>6347</v>
      </c>
      <c r="F15416" s="2"/>
      <c r="G15416" s="2"/>
      <c r="H15416" s="2"/>
    </row>
    <row r="15417" spans="1:8" x14ac:dyDescent="0.25">
      <c r="A15417" s="1"/>
      <c r="B15417" s="1" t="s">
        <v>5782</v>
      </c>
      <c r="C15417" s="1" t="s">
        <v>5783</v>
      </c>
      <c r="D15417" s="22" t="str">
        <f>HYPERLINK("https://rhld.insurance.arkansas.gov/NPILookup?Npi=1497273155","1497273155")</f>
        <v>1497273155</v>
      </c>
      <c r="E15417" s="1" t="s">
        <v>22386</v>
      </c>
      <c r="F15417" s="2"/>
      <c r="G15417" s="2"/>
      <c r="H15417" s="2"/>
    </row>
    <row r="15418" spans="1:8" x14ac:dyDescent="0.25">
      <c r="A15418" s="1"/>
      <c r="B15418" s="1" t="s">
        <v>5782</v>
      </c>
      <c r="C15418" s="1" t="s">
        <v>5783</v>
      </c>
      <c r="D15418" s="22" t="str">
        <f>HYPERLINK("https://rhld.insurance.arkansas.gov/NPILookup?Npi=1497278253","1497278253")</f>
        <v>1497278253</v>
      </c>
      <c r="E15418" s="1" t="s">
        <v>6348</v>
      </c>
      <c r="F15418" s="2"/>
      <c r="G15418" s="2"/>
      <c r="H15418" s="2"/>
    </row>
    <row r="15419" spans="1:8" x14ac:dyDescent="0.25">
      <c r="A15419" s="1"/>
      <c r="B15419" s="1" t="s">
        <v>5782</v>
      </c>
      <c r="C15419" s="1" t="s">
        <v>5783</v>
      </c>
      <c r="D15419" s="22" t="str">
        <f>HYPERLINK("https://rhld.insurance.arkansas.gov/NPILookup?Npi=1497306757","1497306757")</f>
        <v>1497306757</v>
      </c>
      <c r="E15419" s="1" t="s">
        <v>22387</v>
      </c>
      <c r="F15419" s="2"/>
      <c r="G15419" s="2"/>
      <c r="H15419" s="2"/>
    </row>
    <row r="15420" spans="1:8" x14ac:dyDescent="0.25">
      <c r="A15420" s="1"/>
      <c r="B15420" s="1" t="s">
        <v>5782</v>
      </c>
      <c r="C15420" s="1" t="s">
        <v>5783</v>
      </c>
      <c r="D15420" s="22" t="str">
        <f>HYPERLINK("https://rhld.insurance.arkansas.gov/NPILookup?Npi=1497309074","1497309074")</f>
        <v>1497309074</v>
      </c>
      <c r="E15420" s="1" t="s">
        <v>22388</v>
      </c>
      <c r="F15420" s="2"/>
      <c r="G15420" s="2"/>
      <c r="H15420" s="2"/>
    </row>
    <row r="15421" spans="1:8" x14ac:dyDescent="0.25">
      <c r="A15421" s="1"/>
      <c r="B15421" s="1" t="s">
        <v>5782</v>
      </c>
      <c r="C15421" s="1" t="s">
        <v>5783</v>
      </c>
      <c r="D15421" s="22" t="str">
        <f>HYPERLINK("https://rhld.insurance.arkansas.gov/NPILookup?Npi=1497312391","1497312391")</f>
        <v>1497312391</v>
      </c>
      <c r="E15421" s="1" t="s">
        <v>6349</v>
      </c>
      <c r="F15421" s="2"/>
      <c r="G15421" s="2"/>
      <c r="H15421" s="2"/>
    </row>
    <row r="15422" spans="1:8" x14ac:dyDescent="0.25">
      <c r="A15422" s="1"/>
      <c r="B15422" s="1" t="s">
        <v>5782</v>
      </c>
      <c r="C15422" s="1" t="s">
        <v>5783</v>
      </c>
      <c r="D15422" s="22" t="str">
        <f>HYPERLINK("https://rhld.insurance.arkansas.gov/NPILookup?Npi=1497330302","1497330302")</f>
        <v>1497330302</v>
      </c>
      <c r="E15422" s="1" t="s">
        <v>22389</v>
      </c>
      <c r="F15422" s="2"/>
      <c r="G15422" s="2"/>
      <c r="H15422" s="2"/>
    </row>
    <row r="15423" spans="1:8" x14ac:dyDescent="0.25">
      <c r="A15423" s="1"/>
      <c r="B15423" s="1" t="s">
        <v>5782</v>
      </c>
      <c r="C15423" s="1" t="s">
        <v>5783</v>
      </c>
      <c r="D15423" s="22" t="str">
        <f>HYPERLINK("https://rhld.insurance.arkansas.gov/NPILookup?Npi=1497367346","1497367346")</f>
        <v>1497367346</v>
      </c>
      <c r="E15423" s="1" t="s">
        <v>22390</v>
      </c>
      <c r="F15423" s="2"/>
      <c r="G15423" s="2"/>
      <c r="H15423" s="2"/>
    </row>
    <row r="15424" spans="1:8" x14ac:dyDescent="0.25">
      <c r="A15424" s="1"/>
      <c r="B15424" s="1" t="s">
        <v>5782</v>
      </c>
      <c r="C15424" s="1" t="s">
        <v>5783</v>
      </c>
      <c r="D15424" s="22" t="str">
        <f>HYPERLINK("https://rhld.insurance.arkansas.gov/NPILookup?Npi=1497380414","1497380414")</f>
        <v>1497380414</v>
      </c>
      <c r="E15424" s="1" t="s">
        <v>1670</v>
      </c>
      <c r="F15424" s="2"/>
      <c r="G15424" s="2"/>
      <c r="H15424" s="2"/>
    </row>
    <row r="15425" spans="1:8" x14ac:dyDescent="0.25">
      <c r="A15425" s="1"/>
      <c r="B15425" s="1" t="s">
        <v>5782</v>
      </c>
      <c r="C15425" s="1" t="s">
        <v>5783</v>
      </c>
      <c r="D15425" s="22" t="str">
        <f>HYPERLINK("https://rhld.insurance.arkansas.gov/NPILookup?Npi=1497385009","1497385009")</f>
        <v>1497385009</v>
      </c>
      <c r="E15425" s="1" t="s">
        <v>22391</v>
      </c>
      <c r="F15425" s="2"/>
      <c r="G15425" s="2"/>
      <c r="H15425" s="2"/>
    </row>
    <row r="15426" spans="1:8" x14ac:dyDescent="0.25">
      <c r="A15426" s="1"/>
      <c r="B15426" s="1" t="s">
        <v>5782</v>
      </c>
      <c r="C15426" s="1" t="s">
        <v>5783</v>
      </c>
      <c r="D15426" s="22" t="str">
        <f>HYPERLINK("https://rhld.insurance.arkansas.gov/NPILookup?Npi=1497387013","1497387013")</f>
        <v>1497387013</v>
      </c>
      <c r="E15426" s="1" t="s">
        <v>22392</v>
      </c>
      <c r="F15426" s="2"/>
      <c r="G15426" s="2"/>
      <c r="H15426" s="2"/>
    </row>
    <row r="15427" spans="1:8" x14ac:dyDescent="0.25">
      <c r="A15427" s="1"/>
      <c r="B15427" s="1" t="s">
        <v>5782</v>
      </c>
      <c r="C15427" s="1" t="s">
        <v>5783</v>
      </c>
      <c r="D15427" s="22" t="str">
        <f>HYPERLINK("https://rhld.insurance.arkansas.gov/NPILookup?Npi=1497387542","1497387542")</f>
        <v>1497387542</v>
      </c>
      <c r="E15427" s="1" t="s">
        <v>6350</v>
      </c>
      <c r="F15427" s="2"/>
      <c r="G15427" s="2"/>
      <c r="H15427" s="2"/>
    </row>
    <row r="15428" spans="1:8" x14ac:dyDescent="0.25">
      <c r="A15428" s="1"/>
      <c r="B15428" s="1" t="s">
        <v>5782</v>
      </c>
      <c r="C15428" s="1" t="s">
        <v>5783</v>
      </c>
      <c r="D15428" s="22" t="str">
        <f>HYPERLINK("https://rhld.insurance.arkansas.gov/NPILookup?Npi=1497415277","1497415277")</f>
        <v>1497415277</v>
      </c>
      <c r="E15428" s="1" t="s">
        <v>6351</v>
      </c>
      <c r="F15428" s="2"/>
      <c r="G15428" s="2"/>
      <c r="H15428" s="2"/>
    </row>
    <row r="15429" spans="1:8" x14ac:dyDescent="0.25">
      <c r="A15429" s="1"/>
      <c r="B15429" s="1" t="s">
        <v>5782</v>
      </c>
      <c r="C15429" s="1" t="s">
        <v>5783</v>
      </c>
      <c r="D15429" s="22" t="str">
        <f>HYPERLINK("https://rhld.insurance.arkansas.gov/NPILookup?Npi=1497415707","1497415707")</f>
        <v>1497415707</v>
      </c>
      <c r="E15429" s="1" t="s">
        <v>11849</v>
      </c>
      <c r="F15429" s="2"/>
      <c r="G15429" s="2"/>
      <c r="H15429" s="2"/>
    </row>
    <row r="15430" spans="1:8" x14ac:dyDescent="0.25">
      <c r="A15430" s="1"/>
      <c r="B15430" s="1" t="s">
        <v>5782</v>
      </c>
      <c r="C15430" s="1" t="s">
        <v>5783</v>
      </c>
      <c r="D15430" s="22" t="str">
        <f>HYPERLINK("https://rhld.insurance.arkansas.gov/NPILookup?Npi=1497419428","1497419428")</f>
        <v>1497419428</v>
      </c>
      <c r="E15430" s="1" t="s">
        <v>22393</v>
      </c>
      <c r="F15430" s="2"/>
      <c r="G15430" s="2"/>
      <c r="H15430" s="2"/>
    </row>
    <row r="15431" spans="1:8" x14ac:dyDescent="0.25">
      <c r="A15431" s="1"/>
      <c r="B15431" s="1" t="s">
        <v>5782</v>
      </c>
      <c r="C15431" s="1" t="s">
        <v>5783</v>
      </c>
      <c r="D15431" s="22" t="str">
        <f>HYPERLINK("https://rhld.insurance.arkansas.gov/NPILookup?Npi=1497419774","1497419774")</f>
        <v>1497419774</v>
      </c>
      <c r="E15431" s="1" t="s">
        <v>2027</v>
      </c>
      <c r="F15431" s="2"/>
      <c r="G15431" s="2"/>
      <c r="H15431" s="2"/>
    </row>
    <row r="15432" spans="1:8" x14ac:dyDescent="0.25">
      <c r="A15432" s="1"/>
      <c r="B15432" s="1" t="s">
        <v>5782</v>
      </c>
      <c r="C15432" s="1" t="s">
        <v>5783</v>
      </c>
      <c r="D15432" s="22" t="str">
        <f>HYPERLINK("https://rhld.insurance.arkansas.gov/NPILookup?Npi=1497425185","1497425185")</f>
        <v>1497425185</v>
      </c>
      <c r="E15432" s="1" t="s">
        <v>6352</v>
      </c>
      <c r="F15432" s="2"/>
      <c r="G15432" s="2"/>
      <c r="H15432" s="2"/>
    </row>
    <row r="15433" spans="1:8" x14ac:dyDescent="0.25">
      <c r="A15433" s="1"/>
      <c r="B15433" s="1" t="s">
        <v>5782</v>
      </c>
      <c r="C15433" s="1" t="s">
        <v>5783</v>
      </c>
      <c r="D15433" s="22" t="str">
        <f>HYPERLINK("https://rhld.insurance.arkansas.gov/NPILookup?Npi=1497446975","1497446975")</f>
        <v>1497446975</v>
      </c>
      <c r="E15433" s="1" t="s">
        <v>6353</v>
      </c>
      <c r="F15433" s="2"/>
      <c r="G15433" s="2"/>
      <c r="H15433" s="2"/>
    </row>
    <row r="15434" spans="1:8" x14ac:dyDescent="0.25">
      <c r="A15434" s="1"/>
      <c r="B15434" s="1" t="s">
        <v>5782</v>
      </c>
      <c r="C15434" s="1" t="s">
        <v>5783</v>
      </c>
      <c r="D15434" s="22" t="str">
        <f>HYPERLINK("https://rhld.insurance.arkansas.gov/NPILookup?Npi=1497466247","1497466247")</f>
        <v>1497466247</v>
      </c>
      <c r="E15434" s="1" t="s">
        <v>6354</v>
      </c>
      <c r="F15434" s="2"/>
      <c r="G15434" s="2"/>
      <c r="H15434" s="2"/>
    </row>
    <row r="15435" spans="1:8" x14ac:dyDescent="0.25">
      <c r="A15435" s="1"/>
      <c r="B15435" s="1" t="s">
        <v>5782</v>
      </c>
      <c r="C15435" s="1" t="s">
        <v>5783</v>
      </c>
      <c r="D15435" s="22" t="str">
        <f>HYPERLINK("https://rhld.insurance.arkansas.gov/NPILookup?Npi=1497468847","1497468847")</f>
        <v>1497468847</v>
      </c>
      <c r="E15435" s="1" t="s">
        <v>22394</v>
      </c>
      <c r="F15435" s="2"/>
      <c r="G15435" s="2"/>
      <c r="H15435" s="2"/>
    </row>
    <row r="15436" spans="1:8" x14ac:dyDescent="0.25">
      <c r="A15436" s="1"/>
      <c r="B15436" s="1" t="s">
        <v>5782</v>
      </c>
      <c r="C15436" s="1" t="s">
        <v>5783</v>
      </c>
      <c r="D15436" s="22" t="str">
        <f>HYPERLINK("https://rhld.insurance.arkansas.gov/NPILookup?Npi=1497492854","1497492854")</f>
        <v>1497492854</v>
      </c>
      <c r="E15436" s="1" t="s">
        <v>11850</v>
      </c>
      <c r="F15436" s="2"/>
      <c r="G15436" s="2"/>
      <c r="H15436" s="2"/>
    </row>
    <row r="15437" spans="1:8" x14ac:dyDescent="0.25">
      <c r="A15437" s="1"/>
      <c r="B15437" s="1" t="s">
        <v>5782</v>
      </c>
      <c r="C15437" s="1" t="s">
        <v>5783</v>
      </c>
      <c r="D15437" s="22" t="str">
        <f>HYPERLINK("https://rhld.insurance.arkansas.gov/NPILookup?Npi=1497523252","1497523252")</f>
        <v>1497523252</v>
      </c>
      <c r="E15437" s="1" t="s">
        <v>6355</v>
      </c>
      <c r="F15437" s="2"/>
      <c r="G15437" s="2"/>
      <c r="H15437" s="2"/>
    </row>
    <row r="15438" spans="1:8" x14ac:dyDescent="0.25">
      <c r="A15438" s="1"/>
      <c r="B15438" s="1" t="s">
        <v>5782</v>
      </c>
      <c r="C15438" s="1" t="s">
        <v>5783</v>
      </c>
      <c r="D15438" s="22" t="str">
        <f>HYPERLINK("https://rhld.insurance.arkansas.gov/NPILookup?Npi=1497800486","1497800486")</f>
        <v>1497800486</v>
      </c>
      <c r="E15438" s="1" t="s">
        <v>3293</v>
      </c>
      <c r="F15438" s="2"/>
      <c r="G15438" s="2"/>
      <c r="H15438" s="2"/>
    </row>
    <row r="15439" spans="1:8" x14ac:dyDescent="0.25">
      <c r="A15439" s="1"/>
      <c r="B15439" s="1" t="s">
        <v>5782</v>
      </c>
      <c r="C15439" s="1" t="s">
        <v>5783</v>
      </c>
      <c r="D15439" s="22" t="str">
        <f>HYPERLINK("https://rhld.insurance.arkansas.gov/NPILookup?Npi=1497812135","1497812135")</f>
        <v>1497812135</v>
      </c>
      <c r="E15439" s="1" t="s">
        <v>11851</v>
      </c>
      <c r="F15439" s="2"/>
      <c r="G15439" s="2"/>
      <c r="H15439" s="2"/>
    </row>
    <row r="15440" spans="1:8" x14ac:dyDescent="0.25">
      <c r="A15440" s="1"/>
      <c r="B15440" s="1" t="s">
        <v>5782</v>
      </c>
      <c r="C15440" s="1" t="s">
        <v>5783</v>
      </c>
      <c r="D15440" s="22" t="str">
        <f>HYPERLINK("https://rhld.insurance.arkansas.gov/NPILookup?Npi=1497839591","1497839591")</f>
        <v>1497839591</v>
      </c>
      <c r="E15440" s="1" t="s">
        <v>22395</v>
      </c>
      <c r="F15440" s="2"/>
      <c r="G15440" s="2"/>
      <c r="H15440" s="2"/>
    </row>
    <row r="15441" spans="1:8" x14ac:dyDescent="0.25">
      <c r="A15441" s="1"/>
      <c r="B15441" s="1" t="s">
        <v>5782</v>
      </c>
      <c r="C15441" s="1" t="s">
        <v>5783</v>
      </c>
      <c r="D15441" s="22" t="str">
        <f>HYPERLINK("https://rhld.insurance.arkansas.gov/NPILookup?Npi=1497903330","1497903330")</f>
        <v>1497903330</v>
      </c>
      <c r="E15441" s="1" t="s">
        <v>22396</v>
      </c>
      <c r="F15441" s="2"/>
      <c r="G15441" s="2"/>
      <c r="H15441" s="2"/>
    </row>
    <row r="15442" spans="1:8" x14ac:dyDescent="0.25">
      <c r="A15442" s="1"/>
      <c r="B15442" s="1" t="s">
        <v>5782</v>
      </c>
      <c r="C15442" s="1" t="s">
        <v>5783</v>
      </c>
      <c r="D15442" s="22" t="str">
        <f>HYPERLINK("https://rhld.insurance.arkansas.gov/NPILookup?Npi=1497922769","1497922769")</f>
        <v>1497922769</v>
      </c>
      <c r="E15442" s="1" t="s">
        <v>22397</v>
      </c>
      <c r="F15442" s="2"/>
      <c r="G15442" s="2"/>
      <c r="H15442" s="2"/>
    </row>
    <row r="15443" spans="1:8" x14ac:dyDescent="0.25">
      <c r="A15443" s="1"/>
      <c r="B15443" s="1" t="s">
        <v>5782</v>
      </c>
      <c r="C15443" s="1" t="s">
        <v>5783</v>
      </c>
      <c r="D15443" s="22" t="str">
        <f>HYPERLINK("https://rhld.insurance.arkansas.gov/NPILookup?Npi=1497924757","1497924757")</f>
        <v>1497924757</v>
      </c>
      <c r="E15443" s="1" t="s">
        <v>22398</v>
      </c>
      <c r="F15443" s="2"/>
      <c r="G15443" s="2"/>
      <c r="H15443" s="2"/>
    </row>
    <row r="15444" spans="1:8" x14ac:dyDescent="0.25">
      <c r="A15444" s="1"/>
      <c r="B15444" s="1" t="s">
        <v>5782</v>
      </c>
      <c r="C15444" s="1" t="s">
        <v>5783</v>
      </c>
      <c r="D15444" s="22" t="str">
        <f>HYPERLINK("https://rhld.insurance.arkansas.gov/NPILookup?Npi=1497924922","1497924922")</f>
        <v>1497924922</v>
      </c>
      <c r="E15444" s="1" t="s">
        <v>6356</v>
      </c>
      <c r="F15444" s="2"/>
      <c r="G15444" s="2"/>
      <c r="H15444" s="2"/>
    </row>
    <row r="15445" spans="1:8" x14ac:dyDescent="0.25">
      <c r="A15445" s="1"/>
      <c r="B15445" s="1" t="s">
        <v>5782</v>
      </c>
      <c r="C15445" s="1" t="s">
        <v>5783</v>
      </c>
      <c r="D15445" s="22" t="str">
        <f>HYPERLINK("https://rhld.insurance.arkansas.gov/NPILookup?Npi=1497941249","1497941249")</f>
        <v>1497941249</v>
      </c>
      <c r="E15445" s="1" t="s">
        <v>11853</v>
      </c>
      <c r="F15445" s="2"/>
      <c r="G15445" s="2"/>
      <c r="H15445" s="2"/>
    </row>
    <row r="15446" spans="1:8" x14ac:dyDescent="0.25">
      <c r="A15446" s="1"/>
      <c r="B15446" s="1" t="s">
        <v>5782</v>
      </c>
      <c r="C15446" s="1" t="s">
        <v>5783</v>
      </c>
      <c r="D15446" s="22" t="str">
        <f>HYPERLINK("https://rhld.insurance.arkansas.gov/NPILookup?Npi=1497949077","1497949077")</f>
        <v>1497949077</v>
      </c>
      <c r="E15446" s="1" t="s">
        <v>22399</v>
      </c>
      <c r="F15446" s="2"/>
      <c r="G15446" s="2"/>
      <c r="H15446" s="2"/>
    </row>
    <row r="15447" spans="1:8" x14ac:dyDescent="0.25">
      <c r="A15447" s="1"/>
      <c r="B15447" s="1" t="s">
        <v>5782</v>
      </c>
      <c r="C15447" s="1" t="s">
        <v>5783</v>
      </c>
      <c r="D15447" s="22" t="str">
        <f>HYPERLINK("https://rhld.insurance.arkansas.gov/NPILookup?Npi=1497958722","1497958722")</f>
        <v>1497958722</v>
      </c>
      <c r="E15447" s="1" t="s">
        <v>31887</v>
      </c>
      <c r="F15447" s="2"/>
      <c r="G15447" s="2"/>
      <c r="H15447" s="2"/>
    </row>
    <row r="15448" spans="1:8" x14ac:dyDescent="0.25">
      <c r="A15448" s="1"/>
      <c r="B15448" s="1" t="s">
        <v>5782</v>
      </c>
      <c r="C15448" s="1" t="s">
        <v>5783</v>
      </c>
      <c r="D15448" s="22" t="str">
        <f>HYPERLINK("https://rhld.insurance.arkansas.gov/NPILookup?Npi=1497959118","1497959118")</f>
        <v>1497959118</v>
      </c>
      <c r="E15448" s="1" t="s">
        <v>22400</v>
      </c>
      <c r="F15448" s="2"/>
      <c r="G15448" s="2"/>
      <c r="H15448" s="2"/>
    </row>
    <row r="15449" spans="1:8" x14ac:dyDescent="0.25">
      <c r="A15449" s="1"/>
      <c r="B15449" s="1" t="s">
        <v>5782</v>
      </c>
      <c r="C15449" s="1" t="s">
        <v>5783</v>
      </c>
      <c r="D15449" s="22" t="str">
        <f>HYPERLINK("https://rhld.insurance.arkansas.gov/NPILookup?Npi=1497959480","1497959480")</f>
        <v>1497959480</v>
      </c>
      <c r="E15449" s="1" t="s">
        <v>3294</v>
      </c>
      <c r="F15449" s="2"/>
      <c r="G15449" s="2"/>
      <c r="H15449" s="2"/>
    </row>
    <row r="15450" spans="1:8" x14ac:dyDescent="0.25">
      <c r="A15450" s="1"/>
      <c r="B15450" s="1" t="s">
        <v>5782</v>
      </c>
      <c r="C15450" s="1" t="s">
        <v>5783</v>
      </c>
      <c r="D15450" s="22" t="str">
        <f>HYPERLINK("https://rhld.insurance.arkansas.gov/NPILookup?Npi=1497968101","1497968101")</f>
        <v>1497968101</v>
      </c>
      <c r="E15450" s="1" t="s">
        <v>11804</v>
      </c>
      <c r="F15450" s="2"/>
      <c r="G15450" s="2"/>
      <c r="H15450" s="2"/>
    </row>
    <row r="15451" spans="1:8" x14ac:dyDescent="0.25">
      <c r="A15451" s="1"/>
      <c r="B15451" s="1" t="s">
        <v>5782</v>
      </c>
      <c r="C15451" s="1" t="s">
        <v>5783</v>
      </c>
      <c r="D15451" s="22" t="str">
        <f>HYPERLINK("https://rhld.insurance.arkansas.gov/NPILookup?Npi=1497980643","1497980643")</f>
        <v>1497980643</v>
      </c>
      <c r="E15451" s="1" t="s">
        <v>6357</v>
      </c>
      <c r="F15451" s="2"/>
      <c r="G15451" s="2"/>
      <c r="H15451" s="2"/>
    </row>
    <row r="15452" spans="1:8" x14ac:dyDescent="0.25">
      <c r="A15452" s="1"/>
      <c r="B15452" s="1" t="s">
        <v>5782</v>
      </c>
      <c r="C15452" s="1" t="s">
        <v>5783</v>
      </c>
      <c r="D15452" s="22" t="str">
        <f>HYPERLINK("https://rhld.insurance.arkansas.gov/NPILookup?Npi=1497989107","1497989107")</f>
        <v>1497989107</v>
      </c>
      <c r="E15452" s="1" t="s">
        <v>22401</v>
      </c>
      <c r="F15452" s="2"/>
      <c r="G15452" s="2"/>
      <c r="H15452" s="2"/>
    </row>
    <row r="15453" spans="1:8" x14ac:dyDescent="0.25">
      <c r="A15453" s="1"/>
      <c r="B15453" s="1" t="s">
        <v>5782</v>
      </c>
      <c r="C15453" s="1" t="s">
        <v>5783</v>
      </c>
      <c r="D15453" s="22" t="str">
        <f>HYPERLINK("https://rhld.insurance.arkansas.gov/NPILookup?Npi=1497992440","1497992440")</f>
        <v>1497992440</v>
      </c>
      <c r="E15453" s="1" t="s">
        <v>22402</v>
      </c>
      <c r="F15453" s="2"/>
      <c r="G15453" s="2"/>
      <c r="H15453" s="2"/>
    </row>
    <row r="15454" spans="1:8" x14ac:dyDescent="0.25">
      <c r="A15454" s="1"/>
      <c r="B15454" s="1" t="s">
        <v>5782</v>
      </c>
      <c r="C15454" s="1" t="s">
        <v>5783</v>
      </c>
      <c r="D15454" s="22" t="str">
        <f>HYPERLINK("https://rhld.insurance.arkansas.gov/NPILookup?Npi=1497994875","1497994875")</f>
        <v>1497994875</v>
      </c>
      <c r="E15454" s="1" t="s">
        <v>6358</v>
      </c>
      <c r="F15454" s="2"/>
      <c r="G15454" s="2"/>
      <c r="H15454" s="2"/>
    </row>
    <row r="15455" spans="1:8" x14ac:dyDescent="0.25">
      <c r="A15455" s="1"/>
      <c r="B15455" s="1" t="s">
        <v>5782</v>
      </c>
      <c r="C15455" s="1" t="s">
        <v>5783</v>
      </c>
      <c r="D15455" s="22" t="str">
        <f>HYPERLINK("https://rhld.insurance.arkansas.gov/NPILookup?Npi=1497996243","1497996243")</f>
        <v>1497996243</v>
      </c>
      <c r="E15455" s="1" t="s">
        <v>6359</v>
      </c>
      <c r="F15455" s="2"/>
      <c r="G15455" s="2"/>
      <c r="H15455" s="2"/>
    </row>
    <row r="15456" spans="1:8" x14ac:dyDescent="0.25">
      <c r="A15456" s="1"/>
      <c r="B15456" s="1" t="s">
        <v>5782</v>
      </c>
      <c r="C15456" s="1" t="s">
        <v>5783</v>
      </c>
      <c r="D15456" s="22" t="str">
        <f>HYPERLINK("https://rhld.insurance.arkansas.gov/NPILookup?Npi=1508005554","1508005554")</f>
        <v>1508005554</v>
      </c>
      <c r="E15456" s="1" t="s">
        <v>6360</v>
      </c>
      <c r="F15456" s="2"/>
      <c r="G15456" s="2"/>
      <c r="H15456" s="2"/>
    </row>
    <row r="15457" spans="1:8" x14ac:dyDescent="0.25">
      <c r="A15457" s="1"/>
      <c r="B15457" s="1" t="s">
        <v>5782</v>
      </c>
      <c r="C15457" s="1" t="s">
        <v>5783</v>
      </c>
      <c r="D15457" s="22" t="str">
        <f>HYPERLINK("https://rhld.insurance.arkansas.gov/NPILookup?Npi=1508010943","1508010943")</f>
        <v>1508010943</v>
      </c>
      <c r="E15457" s="1" t="s">
        <v>22403</v>
      </c>
      <c r="F15457" s="2"/>
      <c r="G15457" s="2"/>
      <c r="H15457" s="2"/>
    </row>
    <row r="15458" spans="1:8" x14ac:dyDescent="0.25">
      <c r="A15458" s="1"/>
      <c r="B15458" s="1" t="s">
        <v>5782</v>
      </c>
      <c r="C15458" s="1" t="s">
        <v>5783</v>
      </c>
      <c r="D15458" s="22" t="str">
        <f>HYPERLINK("https://rhld.insurance.arkansas.gov/NPILookup?Npi=1508011578","1508011578")</f>
        <v>1508011578</v>
      </c>
      <c r="E15458" s="1" t="s">
        <v>22404</v>
      </c>
      <c r="F15458" s="2"/>
      <c r="G15458" s="2"/>
      <c r="H15458" s="2"/>
    </row>
    <row r="15459" spans="1:8" x14ac:dyDescent="0.25">
      <c r="A15459" s="1"/>
      <c r="B15459" s="1" t="s">
        <v>5782</v>
      </c>
      <c r="C15459" s="1" t="s">
        <v>5783</v>
      </c>
      <c r="D15459" s="22" t="str">
        <f>HYPERLINK("https://rhld.insurance.arkansas.gov/NPILookup?Npi=1508015629","1508015629")</f>
        <v>1508015629</v>
      </c>
      <c r="E15459" s="1" t="s">
        <v>6361</v>
      </c>
      <c r="F15459" s="2"/>
      <c r="G15459" s="2"/>
      <c r="H15459" s="2"/>
    </row>
    <row r="15460" spans="1:8" x14ac:dyDescent="0.25">
      <c r="A15460" s="1"/>
      <c r="B15460" s="1" t="s">
        <v>5782</v>
      </c>
      <c r="C15460" s="1" t="s">
        <v>5783</v>
      </c>
      <c r="D15460" s="22" t="str">
        <f>HYPERLINK("https://rhld.insurance.arkansas.gov/NPILookup?Npi=1508032160","1508032160")</f>
        <v>1508032160</v>
      </c>
      <c r="E15460" s="1" t="s">
        <v>22405</v>
      </c>
      <c r="F15460" s="2"/>
      <c r="G15460" s="2"/>
      <c r="H15460" s="2"/>
    </row>
    <row r="15461" spans="1:8" x14ac:dyDescent="0.25">
      <c r="A15461" s="1"/>
      <c r="B15461" s="1" t="s">
        <v>5782</v>
      </c>
      <c r="C15461" s="1" t="s">
        <v>5783</v>
      </c>
      <c r="D15461" s="22" t="str">
        <f>HYPERLINK("https://rhld.insurance.arkansas.gov/NPILookup?Npi=1508041492","1508041492")</f>
        <v>1508041492</v>
      </c>
      <c r="E15461" s="1" t="s">
        <v>22406</v>
      </c>
      <c r="F15461" s="2"/>
      <c r="G15461" s="2"/>
      <c r="H15461" s="2"/>
    </row>
    <row r="15462" spans="1:8" x14ac:dyDescent="0.25">
      <c r="A15462" s="1"/>
      <c r="B15462" s="1" t="s">
        <v>5782</v>
      </c>
      <c r="C15462" s="1" t="s">
        <v>5783</v>
      </c>
      <c r="D15462" s="22" t="str">
        <f>HYPERLINK("https://rhld.insurance.arkansas.gov/NPILookup?Npi=1508047507","1508047507")</f>
        <v>1508047507</v>
      </c>
      <c r="E15462" s="1" t="s">
        <v>11854</v>
      </c>
      <c r="F15462" s="2"/>
      <c r="G15462" s="2"/>
      <c r="H15462" s="2"/>
    </row>
    <row r="15463" spans="1:8" x14ac:dyDescent="0.25">
      <c r="A15463" s="1"/>
      <c r="B15463" s="1" t="s">
        <v>5782</v>
      </c>
      <c r="C15463" s="1" t="s">
        <v>5783</v>
      </c>
      <c r="D15463" s="22" t="str">
        <f>HYPERLINK("https://rhld.insurance.arkansas.gov/NPILookup?Npi=1508079682","1508079682")</f>
        <v>1508079682</v>
      </c>
      <c r="E15463" s="1" t="s">
        <v>3295</v>
      </c>
      <c r="F15463" s="2"/>
      <c r="G15463" s="2"/>
      <c r="H15463" s="2"/>
    </row>
    <row r="15464" spans="1:8" x14ac:dyDescent="0.25">
      <c r="A15464" s="1"/>
      <c r="B15464" s="1" t="s">
        <v>5782</v>
      </c>
      <c r="C15464" s="1" t="s">
        <v>5783</v>
      </c>
      <c r="D15464" s="22" t="str">
        <f>HYPERLINK("https://rhld.insurance.arkansas.gov/NPILookup?Npi=1508092867","1508092867")</f>
        <v>1508092867</v>
      </c>
      <c r="E15464" s="1" t="s">
        <v>1518</v>
      </c>
      <c r="F15464" s="2"/>
      <c r="G15464" s="2"/>
      <c r="H15464" s="2"/>
    </row>
    <row r="15465" spans="1:8" x14ac:dyDescent="0.25">
      <c r="A15465" s="1"/>
      <c r="B15465" s="1" t="s">
        <v>5782</v>
      </c>
      <c r="C15465" s="1" t="s">
        <v>5783</v>
      </c>
      <c r="D15465" s="22" t="str">
        <f>HYPERLINK("https://rhld.insurance.arkansas.gov/NPILookup?Npi=1508097858","1508097858")</f>
        <v>1508097858</v>
      </c>
      <c r="E15465" s="1" t="s">
        <v>11855</v>
      </c>
      <c r="F15465" s="2"/>
      <c r="G15465" s="2"/>
      <c r="H15465" s="2"/>
    </row>
    <row r="15466" spans="1:8" x14ac:dyDescent="0.25">
      <c r="A15466" s="1"/>
      <c r="B15466" s="1" t="s">
        <v>5782</v>
      </c>
      <c r="C15466" s="1" t="s">
        <v>5783</v>
      </c>
      <c r="D15466" s="22" t="str">
        <f>HYPERLINK("https://rhld.insurance.arkansas.gov/NPILookup?Npi=1508137837","1508137837")</f>
        <v>1508137837</v>
      </c>
      <c r="E15466" s="1" t="s">
        <v>22407</v>
      </c>
      <c r="F15466" s="2"/>
      <c r="G15466" s="2"/>
      <c r="H15466" s="2"/>
    </row>
    <row r="15467" spans="1:8" x14ac:dyDescent="0.25">
      <c r="A15467" s="1"/>
      <c r="B15467" s="1" t="s">
        <v>5782</v>
      </c>
      <c r="C15467" s="1" t="s">
        <v>5783</v>
      </c>
      <c r="D15467" s="22" t="str">
        <f>HYPERLINK("https://rhld.insurance.arkansas.gov/NPILookup?Npi=1508138074","1508138074")</f>
        <v>1508138074</v>
      </c>
      <c r="E15467" s="1" t="s">
        <v>6362</v>
      </c>
      <c r="F15467" s="2"/>
      <c r="G15467" s="2"/>
      <c r="H15467" s="2"/>
    </row>
    <row r="15468" spans="1:8" x14ac:dyDescent="0.25">
      <c r="A15468" s="1"/>
      <c r="B15468" s="1" t="s">
        <v>5782</v>
      </c>
      <c r="C15468" s="1" t="s">
        <v>5783</v>
      </c>
      <c r="D15468" s="22" t="str">
        <f>HYPERLINK("https://rhld.insurance.arkansas.gov/NPILookup?Npi=1508147174","1508147174")</f>
        <v>1508147174</v>
      </c>
      <c r="E15468" s="1" t="s">
        <v>22408</v>
      </c>
      <c r="F15468" s="2"/>
      <c r="G15468" s="2"/>
      <c r="H15468" s="2"/>
    </row>
    <row r="15469" spans="1:8" x14ac:dyDescent="0.25">
      <c r="A15469" s="1"/>
      <c r="B15469" s="1" t="s">
        <v>5782</v>
      </c>
      <c r="C15469" s="1" t="s">
        <v>5783</v>
      </c>
      <c r="D15469" s="22" t="str">
        <f>HYPERLINK("https://rhld.insurance.arkansas.gov/NPILookup?Npi=1508154071","1508154071")</f>
        <v>1508154071</v>
      </c>
      <c r="E15469" s="1" t="s">
        <v>22409</v>
      </c>
      <c r="F15469" s="2"/>
      <c r="G15469" s="2"/>
      <c r="H15469" s="2"/>
    </row>
    <row r="15470" spans="1:8" x14ac:dyDescent="0.25">
      <c r="A15470" s="1"/>
      <c r="B15470" s="1" t="s">
        <v>5782</v>
      </c>
      <c r="C15470" s="1" t="s">
        <v>5783</v>
      </c>
      <c r="D15470" s="22" t="str">
        <f>HYPERLINK("https://rhld.insurance.arkansas.gov/NPILookup?Npi=1508162066","1508162066")</f>
        <v>1508162066</v>
      </c>
      <c r="E15470" s="1" t="s">
        <v>22410</v>
      </c>
      <c r="F15470" s="2"/>
      <c r="G15470" s="2"/>
      <c r="H15470" s="2"/>
    </row>
    <row r="15471" spans="1:8" x14ac:dyDescent="0.25">
      <c r="A15471" s="1"/>
      <c r="B15471" s="1" t="s">
        <v>5782</v>
      </c>
      <c r="C15471" s="1" t="s">
        <v>5783</v>
      </c>
      <c r="D15471" s="22" t="str">
        <f>HYPERLINK("https://rhld.insurance.arkansas.gov/NPILookup?Npi=1508168352","1508168352")</f>
        <v>1508168352</v>
      </c>
      <c r="E15471" s="1" t="s">
        <v>22411</v>
      </c>
      <c r="F15471" s="2"/>
      <c r="G15471" s="2"/>
      <c r="H15471" s="2"/>
    </row>
    <row r="15472" spans="1:8" x14ac:dyDescent="0.25">
      <c r="A15472" s="1"/>
      <c r="B15472" s="1" t="s">
        <v>5782</v>
      </c>
      <c r="C15472" s="1" t="s">
        <v>5783</v>
      </c>
      <c r="D15472" s="22" t="str">
        <f>HYPERLINK("https://rhld.insurance.arkansas.gov/NPILookup?Npi=1508182338","1508182338")</f>
        <v>1508182338</v>
      </c>
      <c r="E15472" s="1" t="s">
        <v>6363</v>
      </c>
      <c r="F15472" s="2"/>
      <c r="G15472" s="2"/>
      <c r="H15472" s="2"/>
    </row>
    <row r="15473" spans="1:8" x14ac:dyDescent="0.25">
      <c r="A15473" s="1"/>
      <c r="B15473" s="1" t="s">
        <v>5782</v>
      </c>
      <c r="C15473" s="1" t="s">
        <v>5783</v>
      </c>
      <c r="D15473" s="22" t="str">
        <f>HYPERLINK("https://rhld.insurance.arkansas.gov/NPILookup?Npi=1508185307","1508185307")</f>
        <v>1508185307</v>
      </c>
      <c r="E15473" s="1" t="s">
        <v>3177</v>
      </c>
      <c r="F15473" s="2"/>
      <c r="G15473" s="2"/>
      <c r="H15473" s="2"/>
    </row>
    <row r="15474" spans="1:8" x14ac:dyDescent="0.25">
      <c r="A15474" s="1"/>
      <c r="B15474" s="1" t="s">
        <v>5782</v>
      </c>
      <c r="C15474" s="1" t="s">
        <v>5783</v>
      </c>
      <c r="D15474" s="22" t="str">
        <f>HYPERLINK("https://rhld.insurance.arkansas.gov/NPILookup?Npi=1508214651","1508214651")</f>
        <v>1508214651</v>
      </c>
      <c r="E15474" s="1" t="s">
        <v>22412</v>
      </c>
      <c r="F15474" s="2"/>
      <c r="G15474" s="2"/>
      <c r="H15474" s="2"/>
    </row>
    <row r="15475" spans="1:8" x14ac:dyDescent="0.25">
      <c r="A15475" s="1"/>
      <c r="B15475" s="1" t="s">
        <v>5782</v>
      </c>
      <c r="C15475" s="1" t="s">
        <v>5783</v>
      </c>
      <c r="D15475" s="22" t="str">
        <f>HYPERLINK("https://rhld.insurance.arkansas.gov/NPILookup?Npi=1508216300","1508216300")</f>
        <v>1508216300</v>
      </c>
      <c r="E15475" s="1" t="s">
        <v>13980</v>
      </c>
      <c r="F15475" s="2"/>
      <c r="G15475" s="2"/>
      <c r="H15475" s="2"/>
    </row>
    <row r="15476" spans="1:8" x14ac:dyDescent="0.25">
      <c r="A15476" s="1"/>
      <c r="B15476" s="1" t="s">
        <v>5782</v>
      </c>
      <c r="C15476" s="1" t="s">
        <v>5783</v>
      </c>
      <c r="D15476" s="22" t="str">
        <f>HYPERLINK("https://rhld.insurance.arkansas.gov/NPILookup?Npi=1508226788","1508226788")</f>
        <v>1508226788</v>
      </c>
      <c r="E15476" s="1" t="s">
        <v>22413</v>
      </c>
      <c r="F15476" s="2"/>
      <c r="G15476" s="2"/>
      <c r="H15476" s="2"/>
    </row>
    <row r="15477" spans="1:8" x14ac:dyDescent="0.25">
      <c r="A15477" s="1"/>
      <c r="B15477" s="1" t="s">
        <v>5782</v>
      </c>
      <c r="C15477" s="1" t="s">
        <v>5783</v>
      </c>
      <c r="D15477" s="22" t="str">
        <f>HYPERLINK("https://rhld.insurance.arkansas.gov/NPILookup?Npi=1508236027","1508236027")</f>
        <v>1508236027</v>
      </c>
      <c r="E15477" s="1" t="s">
        <v>22414</v>
      </c>
      <c r="F15477" s="2"/>
      <c r="G15477" s="2"/>
      <c r="H15477" s="2"/>
    </row>
    <row r="15478" spans="1:8" x14ac:dyDescent="0.25">
      <c r="A15478" s="1"/>
      <c r="B15478" s="1" t="s">
        <v>5782</v>
      </c>
      <c r="C15478" s="1" t="s">
        <v>5783</v>
      </c>
      <c r="D15478" s="22" t="str">
        <f>HYPERLINK("https://rhld.insurance.arkansas.gov/NPILookup?Npi=1508239823","1508239823")</f>
        <v>1508239823</v>
      </c>
      <c r="E15478" s="1" t="s">
        <v>22415</v>
      </c>
      <c r="F15478" s="2"/>
      <c r="G15478" s="2"/>
      <c r="H15478" s="2"/>
    </row>
    <row r="15479" spans="1:8" x14ac:dyDescent="0.25">
      <c r="A15479" s="1"/>
      <c r="B15479" s="1" t="s">
        <v>5782</v>
      </c>
      <c r="C15479" s="1" t="s">
        <v>5783</v>
      </c>
      <c r="D15479" s="22" t="str">
        <f>HYPERLINK("https://rhld.insurance.arkansas.gov/NPILookup?Npi=1508282831","1508282831")</f>
        <v>1508282831</v>
      </c>
      <c r="E15479" s="1" t="s">
        <v>22416</v>
      </c>
      <c r="F15479" s="2"/>
      <c r="G15479" s="2"/>
      <c r="H15479" s="2"/>
    </row>
    <row r="15480" spans="1:8" x14ac:dyDescent="0.25">
      <c r="A15480" s="1"/>
      <c r="B15480" s="1" t="s">
        <v>5782</v>
      </c>
      <c r="C15480" s="1" t="s">
        <v>5783</v>
      </c>
      <c r="D15480" s="22" t="str">
        <f>HYPERLINK("https://rhld.insurance.arkansas.gov/NPILookup?Npi=1508285867","1508285867")</f>
        <v>1508285867</v>
      </c>
      <c r="E15480" s="1" t="s">
        <v>6364</v>
      </c>
      <c r="F15480" s="2"/>
      <c r="G15480" s="2"/>
      <c r="H15480" s="2"/>
    </row>
    <row r="15481" spans="1:8" x14ac:dyDescent="0.25">
      <c r="A15481" s="1"/>
      <c r="B15481" s="1" t="s">
        <v>5782</v>
      </c>
      <c r="C15481" s="1" t="s">
        <v>5783</v>
      </c>
      <c r="D15481" s="22" t="str">
        <f>HYPERLINK("https://rhld.insurance.arkansas.gov/NPILookup?Npi=1508302381","1508302381")</f>
        <v>1508302381</v>
      </c>
      <c r="E15481" s="1" t="s">
        <v>22417</v>
      </c>
      <c r="F15481" s="2"/>
      <c r="G15481" s="2"/>
      <c r="H15481" s="2"/>
    </row>
    <row r="15482" spans="1:8" x14ac:dyDescent="0.25">
      <c r="A15482" s="1"/>
      <c r="B15482" s="1" t="s">
        <v>5782</v>
      </c>
      <c r="C15482" s="1" t="s">
        <v>5783</v>
      </c>
      <c r="D15482" s="22" t="str">
        <f>HYPERLINK("https://rhld.insurance.arkansas.gov/NPILookup?Npi=1508303322","1508303322")</f>
        <v>1508303322</v>
      </c>
      <c r="E15482" s="1" t="s">
        <v>22418</v>
      </c>
      <c r="F15482" s="2"/>
      <c r="G15482" s="2"/>
      <c r="H15482" s="2"/>
    </row>
    <row r="15483" spans="1:8" x14ac:dyDescent="0.25">
      <c r="A15483" s="1"/>
      <c r="B15483" s="1" t="s">
        <v>5782</v>
      </c>
      <c r="C15483" s="1" t="s">
        <v>5783</v>
      </c>
      <c r="D15483" s="22" t="str">
        <f>HYPERLINK("https://rhld.insurance.arkansas.gov/NPILookup?Npi=1508320565","1508320565")</f>
        <v>1508320565</v>
      </c>
      <c r="E15483" s="1" t="s">
        <v>22419</v>
      </c>
      <c r="F15483" s="2"/>
      <c r="G15483" s="2"/>
      <c r="H15483" s="2"/>
    </row>
    <row r="15484" spans="1:8" x14ac:dyDescent="0.25">
      <c r="A15484" s="1"/>
      <c r="B15484" s="1" t="s">
        <v>5782</v>
      </c>
      <c r="C15484" s="1" t="s">
        <v>5783</v>
      </c>
      <c r="D15484" s="22" t="str">
        <f>HYPERLINK("https://rhld.insurance.arkansas.gov/NPILookup?Npi=1508347055","1508347055")</f>
        <v>1508347055</v>
      </c>
      <c r="E15484" s="1" t="s">
        <v>22420</v>
      </c>
      <c r="F15484" s="2"/>
      <c r="G15484" s="2"/>
      <c r="H15484" s="2"/>
    </row>
    <row r="15485" spans="1:8" x14ac:dyDescent="0.25">
      <c r="A15485" s="1"/>
      <c r="B15485" s="1" t="s">
        <v>5782</v>
      </c>
      <c r="C15485" s="1" t="s">
        <v>5783</v>
      </c>
      <c r="D15485" s="22" t="str">
        <f>HYPERLINK("https://rhld.insurance.arkansas.gov/NPILookup?Npi=1508348319","1508348319")</f>
        <v>1508348319</v>
      </c>
      <c r="E15485" s="1" t="s">
        <v>6243</v>
      </c>
      <c r="F15485" s="2"/>
      <c r="G15485" s="2"/>
      <c r="H15485" s="2"/>
    </row>
    <row r="15486" spans="1:8" x14ac:dyDescent="0.25">
      <c r="A15486" s="1"/>
      <c r="B15486" s="1" t="s">
        <v>5782</v>
      </c>
      <c r="C15486" s="1" t="s">
        <v>5783</v>
      </c>
      <c r="D15486" s="22" t="str">
        <f>HYPERLINK("https://rhld.insurance.arkansas.gov/NPILookup?Npi=1508354945","1508354945")</f>
        <v>1508354945</v>
      </c>
      <c r="E15486" s="1" t="s">
        <v>6365</v>
      </c>
      <c r="F15486" s="2"/>
      <c r="G15486" s="2"/>
      <c r="H15486" s="2"/>
    </row>
    <row r="15487" spans="1:8" x14ac:dyDescent="0.25">
      <c r="A15487" s="1"/>
      <c r="B15487" s="1" t="s">
        <v>5782</v>
      </c>
      <c r="C15487" s="1" t="s">
        <v>5783</v>
      </c>
      <c r="D15487" s="22" t="str">
        <f>HYPERLINK("https://rhld.insurance.arkansas.gov/NPILookup?Npi=1508389172","1508389172")</f>
        <v>1508389172</v>
      </c>
      <c r="E15487" s="1" t="s">
        <v>6366</v>
      </c>
      <c r="F15487" s="2"/>
      <c r="G15487" s="2"/>
      <c r="H15487" s="2"/>
    </row>
    <row r="15488" spans="1:8" x14ac:dyDescent="0.25">
      <c r="A15488" s="1"/>
      <c r="B15488" s="1" t="s">
        <v>5782</v>
      </c>
      <c r="C15488" s="1" t="s">
        <v>5783</v>
      </c>
      <c r="D15488" s="22" t="str">
        <f>HYPERLINK("https://rhld.insurance.arkansas.gov/NPILookup?Npi=1508397845","1508397845")</f>
        <v>1508397845</v>
      </c>
      <c r="E15488" s="1" t="s">
        <v>22421</v>
      </c>
      <c r="F15488" s="2"/>
      <c r="G15488" s="2"/>
      <c r="H15488" s="2"/>
    </row>
    <row r="15489" spans="1:8" x14ac:dyDescent="0.25">
      <c r="A15489" s="1"/>
      <c r="B15489" s="1" t="s">
        <v>5782</v>
      </c>
      <c r="C15489" s="1" t="s">
        <v>5783</v>
      </c>
      <c r="D15489" s="22" t="str">
        <f>HYPERLINK("https://rhld.insurance.arkansas.gov/NPILookup?Npi=1508415316","1508415316")</f>
        <v>1508415316</v>
      </c>
      <c r="E15489" s="1" t="s">
        <v>22422</v>
      </c>
      <c r="F15489" s="2"/>
      <c r="G15489" s="2"/>
      <c r="H15489" s="2"/>
    </row>
    <row r="15490" spans="1:8" x14ac:dyDescent="0.25">
      <c r="A15490" s="1"/>
      <c r="B15490" s="1" t="s">
        <v>5782</v>
      </c>
      <c r="C15490" s="1" t="s">
        <v>5783</v>
      </c>
      <c r="D15490" s="22" t="str">
        <f>HYPERLINK("https://rhld.insurance.arkansas.gov/NPILookup?Npi=1508439456","1508439456")</f>
        <v>1508439456</v>
      </c>
      <c r="E15490" s="1" t="s">
        <v>11856</v>
      </c>
      <c r="F15490" s="2"/>
      <c r="G15490" s="2"/>
      <c r="H15490" s="2"/>
    </row>
    <row r="15491" spans="1:8" x14ac:dyDescent="0.25">
      <c r="A15491" s="1"/>
      <c r="B15491" s="1" t="s">
        <v>5782</v>
      </c>
      <c r="C15491" s="1" t="s">
        <v>5783</v>
      </c>
      <c r="D15491" s="22" t="str">
        <f>HYPERLINK("https://rhld.insurance.arkansas.gov/NPILookup?Npi=1508439472","1508439472")</f>
        <v>1508439472</v>
      </c>
      <c r="E15491" s="1" t="s">
        <v>6367</v>
      </c>
      <c r="F15491" s="2"/>
      <c r="G15491" s="2"/>
      <c r="H15491" s="2"/>
    </row>
    <row r="15492" spans="1:8" x14ac:dyDescent="0.25">
      <c r="A15492" s="1"/>
      <c r="B15492" s="1" t="s">
        <v>5782</v>
      </c>
      <c r="C15492" s="1" t="s">
        <v>5783</v>
      </c>
      <c r="D15492" s="22" t="str">
        <f>HYPERLINK("https://rhld.insurance.arkansas.gov/NPILookup?Npi=1508465402","1508465402")</f>
        <v>1508465402</v>
      </c>
      <c r="E15492" s="1" t="s">
        <v>31888</v>
      </c>
      <c r="F15492" s="2"/>
      <c r="G15492" s="2"/>
      <c r="H15492" s="2"/>
    </row>
    <row r="15493" spans="1:8" x14ac:dyDescent="0.25">
      <c r="A15493" s="1"/>
      <c r="B15493" s="1" t="s">
        <v>5782</v>
      </c>
      <c r="C15493" s="1" t="s">
        <v>5783</v>
      </c>
      <c r="D15493" s="22" t="str">
        <f>HYPERLINK("https://rhld.insurance.arkansas.gov/NPILookup?Npi=1508478066","1508478066")</f>
        <v>1508478066</v>
      </c>
      <c r="E15493" s="1" t="s">
        <v>11857</v>
      </c>
      <c r="F15493" s="2"/>
      <c r="G15493" s="2"/>
      <c r="H15493" s="2"/>
    </row>
    <row r="15494" spans="1:8" x14ac:dyDescent="0.25">
      <c r="A15494" s="1"/>
      <c r="B15494" s="1" t="s">
        <v>5782</v>
      </c>
      <c r="C15494" s="1" t="s">
        <v>5783</v>
      </c>
      <c r="D15494" s="22" t="str">
        <f>HYPERLINK("https://rhld.insurance.arkansas.gov/NPILookup?Npi=1508479312","1508479312")</f>
        <v>1508479312</v>
      </c>
      <c r="E15494" s="1" t="s">
        <v>22423</v>
      </c>
      <c r="F15494" s="2"/>
      <c r="G15494" s="2"/>
      <c r="H15494" s="2"/>
    </row>
    <row r="15495" spans="1:8" x14ac:dyDescent="0.25">
      <c r="A15495" s="1"/>
      <c r="B15495" s="1" t="s">
        <v>5782</v>
      </c>
      <c r="C15495" s="1" t="s">
        <v>5783</v>
      </c>
      <c r="D15495" s="22" t="str">
        <f>HYPERLINK("https://rhld.insurance.arkansas.gov/NPILookup?Npi=1508481698","1508481698")</f>
        <v>1508481698</v>
      </c>
      <c r="E15495" s="1" t="s">
        <v>22424</v>
      </c>
      <c r="F15495" s="2"/>
      <c r="G15495" s="2"/>
      <c r="H15495" s="2"/>
    </row>
    <row r="15496" spans="1:8" x14ac:dyDescent="0.25">
      <c r="A15496" s="1"/>
      <c r="B15496" s="1" t="s">
        <v>5782</v>
      </c>
      <c r="C15496" s="1" t="s">
        <v>5783</v>
      </c>
      <c r="D15496" s="22" t="str">
        <f>HYPERLINK("https://rhld.insurance.arkansas.gov/NPILookup?Npi=1508525544","1508525544")</f>
        <v>1508525544</v>
      </c>
      <c r="E15496" s="1" t="s">
        <v>22425</v>
      </c>
      <c r="F15496" s="2"/>
      <c r="G15496" s="2"/>
      <c r="H15496" s="2"/>
    </row>
    <row r="15497" spans="1:8" x14ac:dyDescent="0.25">
      <c r="A15497" s="1"/>
      <c r="B15497" s="1" t="s">
        <v>5782</v>
      </c>
      <c r="C15497" s="1" t="s">
        <v>5783</v>
      </c>
      <c r="D15497" s="22" t="str">
        <f>HYPERLINK("https://rhld.insurance.arkansas.gov/NPILookup?Npi=1508526773","1508526773")</f>
        <v>1508526773</v>
      </c>
      <c r="E15497" s="1" t="s">
        <v>22426</v>
      </c>
      <c r="F15497" s="2"/>
      <c r="G15497" s="2"/>
      <c r="H15497" s="2"/>
    </row>
    <row r="15498" spans="1:8" x14ac:dyDescent="0.25">
      <c r="A15498" s="1"/>
      <c r="B15498" s="1" t="s">
        <v>5782</v>
      </c>
      <c r="C15498" s="1" t="s">
        <v>5783</v>
      </c>
      <c r="D15498" s="22" t="str">
        <f>HYPERLINK("https://rhld.insurance.arkansas.gov/NPILookup?Npi=1508531948","1508531948")</f>
        <v>1508531948</v>
      </c>
      <c r="E15498" s="1" t="s">
        <v>6368</v>
      </c>
      <c r="F15498" s="2"/>
      <c r="G15498" s="2"/>
      <c r="H15498" s="2"/>
    </row>
    <row r="15499" spans="1:8" x14ac:dyDescent="0.25">
      <c r="A15499" s="1"/>
      <c r="B15499" s="1" t="s">
        <v>5782</v>
      </c>
      <c r="C15499" s="1" t="s">
        <v>5783</v>
      </c>
      <c r="D15499" s="22" t="str">
        <f>HYPERLINK("https://rhld.insurance.arkansas.gov/NPILookup?Npi=1508541590","1508541590")</f>
        <v>1508541590</v>
      </c>
      <c r="E15499" s="1" t="s">
        <v>6369</v>
      </c>
      <c r="F15499" s="2"/>
      <c r="G15499" s="2"/>
      <c r="H15499" s="2"/>
    </row>
    <row r="15500" spans="1:8" x14ac:dyDescent="0.25">
      <c r="A15500" s="1"/>
      <c r="B15500" s="1" t="s">
        <v>5782</v>
      </c>
      <c r="C15500" s="1" t="s">
        <v>5783</v>
      </c>
      <c r="D15500" s="22" t="str">
        <f>HYPERLINK("https://rhld.insurance.arkansas.gov/NPILookup?Npi=1508595547","1508595547")</f>
        <v>1508595547</v>
      </c>
      <c r="E15500" s="1" t="s">
        <v>31889</v>
      </c>
      <c r="F15500" s="2"/>
      <c r="G15500" s="2"/>
      <c r="H15500" s="2"/>
    </row>
    <row r="15501" spans="1:8" x14ac:dyDescent="0.25">
      <c r="A15501" s="1"/>
      <c r="B15501" s="1" t="s">
        <v>5782</v>
      </c>
      <c r="C15501" s="1" t="s">
        <v>5783</v>
      </c>
      <c r="D15501" s="22" t="str">
        <f>HYPERLINK("https://rhld.insurance.arkansas.gov/NPILookup?Npi=1508644402","1508644402")</f>
        <v>1508644402</v>
      </c>
      <c r="E15501" s="1" t="s">
        <v>6036</v>
      </c>
      <c r="F15501" s="2"/>
      <c r="G15501" s="2"/>
      <c r="H15501" s="2"/>
    </row>
    <row r="15502" spans="1:8" x14ac:dyDescent="0.25">
      <c r="A15502" s="1"/>
      <c r="B15502" s="1" t="s">
        <v>5782</v>
      </c>
      <c r="C15502" s="1" t="s">
        <v>5783</v>
      </c>
      <c r="D15502" s="22" t="str">
        <f>HYPERLINK("https://rhld.insurance.arkansas.gov/NPILookup?Npi=1508647652","1508647652")</f>
        <v>1508647652</v>
      </c>
      <c r="E15502" s="1" t="s">
        <v>22427</v>
      </c>
      <c r="F15502" s="2"/>
      <c r="G15502" s="2"/>
      <c r="H15502" s="2"/>
    </row>
    <row r="15503" spans="1:8" x14ac:dyDescent="0.25">
      <c r="A15503" s="1"/>
      <c r="B15503" s="1" t="s">
        <v>5782</v>
      </c>
      <c r="C15503" s="1" t="s">
        <v>5783</v>
      </c>
      <c r="D15503" s="22" t="str">
        <f>HYPERLINK("https://rhld.insurance.arkansas.gov/NPILookup?Npi=1508800897","1508800897")</f>
        <v>1508800897</v>
      </c>
      <c r="E15503" s="1" t="s">
        <v>387</v>
      </c>
      <c r="F15503" s="2"/>
      <c r="G15503" s="2"/>
      <c r="H15503" s="2"/>
    </row>
    <row r="15504" spans="1:8" x14ac:dyDescent="0.25">
      <c r="A15504" s="1"/>
      <c r="B15504" s="1" t="s">
        <v>5782</v>
      </c>
      <c r="C15504" s="1" t="s">
        <v>5783</v>
      </c>
      <c r="D15504" s="22" t="str">
        <f>HYPERLINK("https://rhld.insurance.arkansas.gov/NPILookup?Npi=1508810615","1508810615")</f>
        <v>1508810615</v>
      </c>
      <c r="E15504" s="1" t="s">
        <v>10636</v>
      </c>
      <c r="F15504" s="2"/>
      <c r="G15504" s="2"/>
      <c r="H15504" s="2"/>
    </row>
    <row r="15505" spans="1:8" x14ac:dyDescent="0.25">
      <c r="A15505" s="1"/>
      <c r="B15505" s="1" t="s">
        <v>5782</v>
      </c>
      <c r="C15505" s="1" t="s">
        <v>5783</v>
      </c>
      <c r="D15505" s="22" t="str">
        <f>HYPERLINK("https://rhld.insurance.arkansas.gov/NPILookup?Npi=1508816422","1508816422")</f>
        <v>1508816422</v>
      </c>
      <c r="E15505" s="1" t="s">
        <v>22428</v>
      </c>
      <c r="F15505" s="2"/>
      <c r="G15505" s="2"/>
      <c r="H15505" s="2"/>
    </row>
    <row r="15506" spans="1:8" x14ac:dyDescent="0.25">
      <c r="A15506" s="1"/>
      <c r="B15506" s="1" t="s">
        <v>5782</v>
      </c>
      <c r="C15506" s="1" t="s">
        <v>5783</v>
      </c>
      <c r="D15506" s="22" t="str">
        <f>HYPERLINK("https://rhld.insurance.arkansas.gov/NPILookup?Npi=1508880220","1508880220")</f>
        <v>1508880220</v>
      </c>
      <c r="E15506" s="1" t="s">
        <v>11858</v>
      </c>
      <c r="F15506" s="2"/>
      <c r="G15506" s="2"/>
      <c r="H15506" s="2"/>
    </row>
    <row r="15507" spans="1:8" x14ac:dyDescent="0.25">
      <c r="A15507" s="1"/>
      <c r="B15507" s="1" t="s">
        <v>5782</v>
      </c>
      <c r="C15507" s="1" t="s">
        <v>5783</v>
      </c>
      <c r="D15507" s="22" t="str">
        <f>HYPERLINK("https://rhld.insurance.arkansas.gov/NPILookup?Npi=1508893660","1508893660")</f>
        <v>1508893660</v>
      </c>
      <c r="E15507" s="1" t="s">
        <v>22429</v>
      </c>
      <c r="F15507" s="2"/>
      <c r="G15507" s="2"/>
      <c r="H15507" s="2"/>
    </row>
    <row r="15508" spans="1:8" x14ac:dyDescent="0.25">
      <c r="A15508" s="1"/>
      <c r="B15508" s="1" t="s">
        <v>5782</v>
      </c>
      <c r="C15508" s="1" t="s">
        <v>5783</v>
      </c>
      <c r="D15508" s="22" t="str">
        <f>HYPERLINK("https://rhld.insurance.arkansas.gov/NPILookup?Npi=1508897307","1508897307")</f>
        <v>1508897307</v>
      </c>
      <c r="E15508" s="1" t="s">
        <v>22430</v>
      </c>
      <c r="F15508" s="2"/>
      <c r="G15508" s="2"/>
      <c r="H15508" s="2"/>
    </row>
    <row r="15509" spans="1:8" x14ac:dyDescent="0.25">
      <c r="A15509" s="1"/>
      <c r="B15509" s="1" t="s">
        <v>5782</v>
      </c>
      <c r="C15509" s="1" t="s">
        <v>5783</v>
      </c>
      <c r="D15509" s="22" t="str">
        <f>HYPERLINK("https://rhld.insurance.arkansas.gov/NPILookup?Npi=1508900598","1508900598")</f>
        <v>1508900598</v>
      </c>
      <c r="E15509" s="1" t="s">
        <v>22431</v>
      </c>
      <c r="F15509" s="2"/>
      <c r="G15509" s="2"/>
      <c r="H15509" s="2"/>
    </row>
    <row r="15510" spans="1:8" x14ac:dyDescent="0.25">
      <c r="A15510" s="1"/>
      <c r="B15510" s="1" t="s">
        <v>5782</v>
      </c>
      <c r="C15510" s="1" t="s">
        <v>5783</v>
      </c>
      <c r="D15510" s="22" t="str">
        <f>HYPERLINK("https://rhld.insurance.arkansas.gov/NPILookup?Npi=1508930504","1508930504")</f>
        <v>1508930504</v>
      </c>
      <c r="E15510" s="1" t="s">
        <v>6370</v>
      </c>
      <c r="F15510" s="2"/>
      <c r="G15510" s="2"/>
      <c r="H15510" s="2"/>
    </row>
    <row r="15511" spans="1:8" x14ac:dyDescent="0.25">
      <c r="A15511" s="1"/>
      <c r="B15511" s="1" t="s">
        <v>5782</v>
      </c>
      <c r="C15511" s="1" t="s">
        <v>5783</v>
      </c>
      <c r="D15511" s="22" t="str">
        <f>HYPERLINK("https://rhld.insurance.arkansas.gov/NPILookup?Npi=1508931072","1508931072")</f>
        <v>1508931072</v>
      </c>
      <c r="E15511" s="1" t="s">
        <v>22432</v>
      </c>
      <c r="F15511" s="2"/>
      <c r="G15511" s="2"/>
      <c r="H15511" s="2"/>
    </row>
    <row r="15512" spans="1:8" x14ac:dyDescent="0.25">
      <c r="A15512" s="1"/>
      <c r="B15512" s="1" t="s">
        <v>5782</v>
      </c>
      <c r="C15512" s="1" t="s">
        <v>5783</v>
      </c>
      <c r="D15512" s="22" t="str">
        <f>HYPERLINK("https://rhld.insurance.arkansas.gov/NPILookup?Npi=1508968140","1508968140")</f>
        <v>1508968140</v>
      </c>
      <c r="E15512" s="1" t="s">
        <v>22433</v>
      </c>
      <c r="F15512" s="2"/>
      <c r="G15512" s="2"/>
      <c r="H15512" s="2"/>
    </row>
    <row r="15513" spans="1:8" x14ac:dyDescent="0.25">
      <c r="A15513" s="1"/>
      <c r="B15513" s="1" t="s">
        <v>5782</v>
      </c>
      <c r="C15513" s="1" t="s">
        <v>5783</v>
      </c>
      <c r="D15513" s="22" t="str">
        <f>HYPERLINK("https://rhld.insurance.arkansas.gov/NPILookup?Npi=1508970328","1508970328")</f>
        <v>1508970328</v>
      </c>
      <c r="E15513" s="1" t="s">
        <v>22434</v>
      </c>
      <c r="F15513" s="2"/>
      <c r="G15513" s="2"/>
      <c r="H15513" s="2"/>
    </row>
    <row r="15514" spans="1:8" x14ac:dyDescent="0.25">
      <c r="A15514" s="1"/>
      <c r="B15514" s="1" t="s">
        <v>5782</v>
      </c>
      <c r="C15514" s="1" t="s">
        <v>5783</v>
      </c>
      <c r="D15514" s="22" t="str">
        <f>HYPERLINK("https://rhld.insurance.arkansas.gov/NPILookup?Npi=1508976291","1508976291")</f>
        <v>1508976291</v>
      </c>
      <c r="E15514" s="1" t="s">
        <v>22435</v>
      </c>
      <c r="F15514" s="2"/>
      <c r="G15514" s="2"/>
      <c r="H15514" s="2"/>
    </row>
    <row r="15515" spans="1:8" x14ac:dyDescent="0.25">
      <c r="A15515" s="1"/>
      <c r="B15515" s="1" t="s">
        <v>5782</v>
      </c>
      <c r="C15515" s="1" t="s">
        <v>5783</v>
      </c>
      <c r="D15515" s="22" t="str">
        <f>HYPERLINK("https://rhld.insurance.arkansas.gov/NPILookup?Npi=1508984725","1508984725")</f>
        <v>1508984725</v>
      </c>
      <c r="E15515" s="1" t="s">
        <v>22436</v>
      </c>
      <c r="F15515" s="2"/>
      <c r="G15515" s="2"/>
      <c r="H15515" s="2"/>
    </row>
    <row r="15516" spans="1:8" x14ac:dyDescent="0.25">
      <c r="A15516" s="1"/>
      <c r="B15516" s="1" t="s">
        <v>5782</v>
      </c>
      <c r="C15516" s="1" t="s">
        <v>5783</v>
      </c>
      <c r="D15516" s="22" t="str">
        <f>HYPERLINK("https://rhld.insurance.arkansas.gov/NPILookup?Npi=1508993205","1508993205")</f>
        <v>1508993205</v>
      </c>
      <c r="E15516" s="1" t="s">
        <v>22437</v>
      </c>
      <c r="F15516" s="2"/>
      <c r="G15516" s="2"/>
      <c r="H15516" s="2"/>
    </row>
    <row r="15517" spans="1:8" x14ac:dyDescent="0.25">
      <c r="A15517" s="1"/>
      <c r="B15517" s="1" t="s">
        <v>5782</v>
      </c>
      <c r="C15517" s="1" t="s">
        <v>5783</v>
      </c>
      <c r="D15517" s="22" t="str">
        <f>HYPERLINK("https://rhld.insurance.arkansas.gov/NPILookup?Npi=1508999434","1508999434")</f>
        <v>1508999434</v>
      </c>
      <c r="E15517" s="1" t="s">
        <v>6371</v>
      </c>
      <c r="F15517" s="2"/>
      <c r="G15517" s="2"/>
      <c r="H15517" s="2"/>
    </row>
    <row r="15518" spans="1:8" x14ac:dyDescent="0.25">
      <c r="A15518" s="1"/>
      <c r="B15518" s="1" t="s">
        <v>5782</v>
      </c>
      <c r="C15518" s="1" t="s">
        <v>5783</v>
      </c>
      <c r="D15518" s="22" t="str">
        <f>HYPERLINK("https://rhld.insurance.arkansas.gov/NPILookup?Npi=1518016450","1518016450")</f>
        <v>1518016450</v>
      </c>
      <c r="E15518" s="1" t="s">
        <v>22438</v>
      </c>
      <c r="F15518" s="2"/>
      <c r="G15518" s="2"/>
      <c r="H15518" s="2"/>
    </row>
    <row r="15519" spans="1:8" x14ac:dyDescent="0.25">
      <c r="A15519" s="1"/>
      <c r="B15519" s="1" t="s">
        <v>5782</v>
      </c>
      <c r="C15519" s="1" t="s">
        <v>5783</v>
      </c>
      <c r="D15519" s="22" t="str">
        <f>HYPERLINK("https://rhld.insurance.arkansas.gov/NPILookup?Npi=1518070960","1518070960")</f>
        <v>1518070960</v>
      </c>
      <c r="E15519" s="1" t="s">
        <v>6372</v>
      </c>
      <c r="F15519" s="2"/>
      <c r="G15519" s="2"/>
      <c r="H15519" s="2"/>
    </row>
    <row r="15520" spans="1:8" x14ac:dyDescent="0.25">
      <c r="A15520" s="1"/>
      <c r="B15520" s="1" t="s">
        <v>5782</v>
      </c>
      <c r="C15520" s="1" t="s">
        <v>5783</v>
      </c>
      <c r="D15520" s="22" t="str">
        <f>HYPERLINK("https://rhld.insurance.arkansas.gov/NPILookup?Npi=1518102755","1518102755")</f>
        <v>1518102755</v>
      </c>
      <c r="E15520" s="1" t="s">
        <v>22439</v>
      </c>
      <c r="F15520" s="2"/>
      <c r="G15520" s="2"/>
      <c r="H15520" s="2"/>
    </row>
    <row r="15521" spans="1:8" x14ac:dyDescent="0.25">
      <c r="A15521" s="1"/>
      <c r="B15521" s="1" t="s">
        <v>5782</v>
      </c>
      <c r="C15521" s="1" t="s">
        <v>5783</v>
      </c>
      <c r="D15521" s="22" t="str">
        <f>HYPERLINK("https://rhld.insurance.arkansas.gov/NPILookup?Npi=1518113463","1518113463")</f>
        <v>1518113463</v>
      </c>
      <c r="E15521" s="1" t="s">
        <v>22440</v>
      </c>
      <c r="F15521" s="2"/>
      <c r="G15521" s="2"/>
      <c r="H15521" s="2"/>
    </row>
    <row r="15522" spans="1:8" x14ac:dyDescent="0.25">
      <c r="A15522" s="1"/>
      <c r="B15522" s="1" t="s">
        <v>5782</v>
      </c>
      <c r="C15522" s="1" t="s">
        <v>5783</v>
      </c>
      <c r="D15522" s="22" t="str">
        <f>HYPERLINK("https://rhld.insurance.arkansas.gov/NPILookup?Npi=1518114990","1518114990")</f>
        <v>1518114990</v>
      </c>
      <c r="E15522" s="1" t="s">
        <v>3297</v>
      </c>
      <c r="F15522" s="2"/>
      <c r="G15522" s="2"/>
      <c r="H15522" s="2"/>
    </row>
    <row r="15523" spans="1:8" x14ac:dyDescent="0.25">
      <c r="A15523" s="1"/>
      <c r="B15523" s="1" t="s">
        <v>5782</v>
      </c>
      <c r="C15523" s="1" t="s">
        <v>5783</v>
      </c>
      <c r="D15523" s="22" t="str">
        <f>HYPERLINK("https://rhld.insurance.arkansas.gov/NPILookup?Npi=1518116987","1518116987")</f>
        <v>1518116987</v>
      </c>
      <c r="E15523" s="1" t="s">
        <v>22441</v>
      </c>
      <c r="F15523" s="2"/>
      <c r="G15523" s="2"/>
      <c r="H15523" s="2"/>
    </row>
    <row r="15524" spans="1:8" x14ac:dyDescent="0.25">
      <c r="A15524" s="1"/>
      <c r="B15524" s="1" t="s">
        <v>5782</v>
      </c>
      <c r="C15524" s="1" t="s">
        <v>5783</v>
      </c>
      <c r="D15524" s="22" t="str">
        <f>HYPERLINK("https://rhld.insurance.arkansas.gov/NPILookup?Npi=1518160589","1518160589")</f>
        <v>1518160589</v>
      </c>
      <c r="E15524" s="1" t="s">
        <v>22442</v>
      </c>
      <c r="F15524" s="2"/>
      <c r="G15524" s="2"/>
      <c r="H15524" s="2"/>
    </row>
    <row r="15525" spans="1:8" x14ac:dyDescent="0.25">
      <c r="A15525" s="1"/>
      <c r="B15525" s="1" t="s">
        <v>5782</v>
      </c>
      <c r="C15525" s="1" t="s">
        <v>5783</v>
      </c>
      <c r="D15525" s="22" t="str">
        <f>HYPERLINK("https://rhld.insurance.arkansas.gov/NPILookup?Npi=1518196005","1518196005")</f>
        <v>1518196005</v>
      </c>
      <c r="E15525" s="1" t="s">
        <v>2193</v>
      </c>
      <c r="F15525" s="2"/>
      <c r="G15525" s="2"/>
      <c r="H15525" s="2"/>
    </row>
    <row r="15526" spans="1:8" x14ac:dyDescent="0.25">
      <c r="A15526" s="1"/>
      <c r="B15526" s="1" t="s">
        <v>5782</v>
      </c>
      <c r="C15526" s="1" t="s">
        <v>5783</v>
      </c>
      <c r="D15526" s="22" t="str">
        <f>HYPERLINK("https://rhld.insurance.arkansas.gov/NPILookup?Npi=1518211473","1518211473")</f>
        <v>1518211473</v>
      </c>
      <c r="E15526" s="1" t="s">
        <v>22443</v>
      </c>
      <c r="F15526" s="2"/>
      <c r="G15526" s="2"/>
      <c r="H15526" s="2"/>
    </row>
    <row r="15527" spans="1:8" x14ac:dyDescent="0.25">
      <c r="A15527" s="1"/>
      <c r="B15527" s="1" t="s">
        <v>5782</v>
      </c>
      <c r="C15527" s="1" t="s">
        <v>5783</v>
      </c>
      <c r="D15527" s="22" t="str">
        <f>HYPERLINK("https://rhld.insurance.arkansas.gov/NPILookup?Npi=1518216209","1518216209")</f>
        <v>1518216209</v>
      </c>
      <c r="E15527" s="1" t="s">
        <v>11859</v>
      </c>
      <c r="F15527" s="2"/>
      <c r="G15527" s="2"/>
      <c r="H15527" s="2"/>
    </row>
    <row r="15528" spans="1:8" x14ac:dyDescent="0.25">
      <c r="A15528" s="1"/>
      <c r="B15528" s="1" t="s">
        <v>5782</v>
      </c>
      <c r="C15528" s="1" t="s">
        <v>5783</v>
      </c>
      <c r="D15528" s="22" t="str">
        <f>HYPERLINK("https://rhld.insurance.arkansas.gov/NPILookup?Npi=1518227008","1518227008")</f>
        <v>1518227008</v>
      </c>
      <c r="E15528" s="1" t="s">
        <v>6373</v>
      </c>
      <c r="F15528" s="2"/>
      <c r="G15528" s="2"/>
      <c r="H15528" s="2"/>
    </row>
    <row r="15529" spans="1:8" x14ac:dyDescent="0.25">
      <c r="A15529" s="1"/>
      <c r="B15529" s="1" t="s">
        <v>5782</v>
      </c>
      <c r="C15529" s="1" t="s">
        <v>5783</v>
      </c>
      <c r="D15529" s="22" t="str">
        <f>HYPERLINK("https://rhld.insurance.arkansas.gov/NPILookup?Npi=1518237346","1518237346")</f>
        <v>1518237346</v>
      </c>
      <c r="E15529" s="1" t="s">
        <v>22444</v>
      </c>
      <c r="F15529" s="2"/>
      <c r="G15529" s="2"/>
      <c r="H15529" s="2"/>
    </row>
    <row r="15530" spans="1:8" x14ac:dyDescent="0.25">
      <c r="A15530" s="1"/>
      <c r="B15530" s="1" t="s">
        <v>5782</v>
      </c>
      <c r="C15530" s="1" t="s">
        <v>5783</v>
      </c>
      <c r="D15530" s="22" t="str">
        <f>HYPERLINK("https://rhld.insurance.arkansas.gov/NPILookup?Npi=1518246438","1518246438")</f>
        <v>1518246438</v>
      </c>
      <c r="E15530" s="1" t="s">
        <v>22445</v>
      </c>
      <c r="F15530" s="2"/>
      <c r="G15530" s="2"/>
      <c r="H15530" s="2"/>
    </row>
    <row r="15531" spans="1:8" x14ac:dyDescent="0.25">
      <c r="A15531" s="1"/>
      <c r="B15531" s="1" t="s">
        <v>5782</v>
      </c>
      <c r="C15531" s="1" t="s">
        <v>5783</v>
      </c>
      <c r="D15531" s="22" t="str">
        <f>HYPERLINK("https://rhld.insurance.arkansas.gov/NPILookup?Npi=1518271477","1518271477")</f>
        <v>1518271477</v>
      </c>
      <c r="E15531" s="1" t="s">
        <v>22446</v>
      </c>
      <c r="F15531" s="2"/>
      <c r="G15531" s="2"/>
      <c r="H15531" s="2"/>
    </row>
    <row r="15532" spans="1:8" x14ac:dyDescent="0.25">
      <c r="A15532" s="1"/>
      <c r="B15532" s="1" t="s">
        <v>5782</v>
      </c>
      <c r="C15532" s="1" t="s">
        <v>5783</v>
      </c>
      <c r="D15532" s="22" t="str">
        <f>HYPERLINK("https://rhld.insurance.arkansas.gov/NPILookup?Npi=1518287192","1518287192")</f>
        <v>1518287192</v>
      </c>
      <c r="E15532" s="1" t="s">
        <v>6374</v>
      </c>
      <c r="F15532" s="2"/>
      <c r="G15532" s="2"/>
      <c r="H15532" s="2"/>
    </row>
    <row r="15533" spans="1:8" x14ac:dyDescent="0.25">
      <c r="A15533" s="1"/>
      <c r="B15533" s="1" t="s">
        <v>5782</v>
      </c>
      <c r="C15533" s="1" t="s">
        <v>5783</v>
      </c>
      <c r="D15533" s="22" t="str">
        <f>HYPERLINK("https://rhld.insurance.arkansas.gov/NPILookup?Npi=1518306158","1518306158")</f>
        <v>1518306158</v>
      </c>
      <c r="E15533" s="1" t="s">
        <v>22447</v>
      </c>
      <c r="F15533" s="2"/>
      <c r="G15533" s="2"/>
      <c r="H15533" s="2"/>
    </row>
    <row r="15534" spans="1:8" x14ac:dyDescent="0.25">
      <c r="A15534" s="1"/>
      <c r="B15534" s="1" t="s">
        <v>5782</v>
      </c>
      <c r="C15534" s="1" t="s">
        <v>5783</v>
      </c>
      <c r="D15534" s="22" t="str">
        <f>HYPERLINK("https://rhld.insurance.arkansas.gov/NPILookup?Npi=1518308014","1518308014")</f>
        <v>1518308014</v>
      </c>
      <c r="E15534" s="1" t="s">
        <v>22448</v>
      </c>
      <c r="F15534" s="2"/>
      <c r="G15534" s="2"/>
      <c r="H15534" s="2"/>
    </row>
    <row r="15535" spans="1:8" x14ac:dyDescent="0.25">
      <c r="A15535" s="1"/>
      <c r="B15535" s="1" t="s">
        <v>5782</v>
      </c>
      <c r="C15535" s="1" t="s">
        <v>5783</v>
      </c>
      <c r="D15535" s="22" t="str">
        <f>HYPERLINK("https://rhld.insurance.arkansas.gov/NPILookup?Npi=1518342773","1518342773")</f>
        <v>1518342773</v>
      </c>
      <c r="E15535" s="1" t="s">
        <v>22449</v>
      </c>
      <c r="F15535" s="2"/>
      <c r="G15535" s="2"/>
      <c r="H15535" s="2"/>
    </row>
    <row r="15536" spans="1:8" x14ac:dyDescent="0.25">
      <c r="A15536" s="1"/>
      <c r="B15536" s="1" t="s">
        <v>5782</v>
      </c>
      <c r="C15536" s="1" t="s">
        <v>5783</v>
      </c>
      <c r="D15536" s="22" t="str">
        <f>HYPERLINK("https://rhld.insurance.arkansas.gov/NPILookup?Npi=1518347269","1518347269")</f>
        <v>1518347269</v>
      </c>
      <c r="E15536" s="1" t="s">
        <v>11861</v>
      </c>
      <c r="F15536" s="2"/>
      <c r="G15536" s="2"/>
      <c r="H15536" s="2"/>
    </row>
    <row r="15537" spans="1:8" x14ac:dyDescent="0.25">
      <c r="A15537" s="1"/>
      <c r="B15537" s="1" t="s">
        <v>5782</v>
      </c>
      <c r="C15537" s="1" t="s">
        <v>5783</v>
      </c>
      <c r="D15537" s="22" t="str">
        <f>HYPERLINK("https://rhld.insurance.arkansas.gov/NPILookup?Npi=1518362110","1518362110")</f>
        <v>1518362110</v>
      </c>
      <c r="E15537" s="1" t="s">
        <v>6375</v>
      </c>
      <c r="F15537" s="2"/>
      <c r="G15537" s="2"/>
      <c r="H15537" s="2"/>
    </row>
    <row r="15538" spans="1:8" x14ac:dyDescent="0.25">
      <c r="A15538" s="1"/>
      <c r="B15538" s="1" t="s">
        <v>5782</v>
      </c>
      <c r="C15538" s="1" t="s">
        <v>5783</v>
      </c>
      <c r="D15538" s="22" t="str">
        <f>HYPERLINK("https://rhld.insurance.arkansas.gov/NPILookup?Npi=1518424472","1518424472")</f>
        <v>1518424472</v>
      </c>
      <c r="E15538" s="1" t="s">
        <v>22450</v>
      </c>
      <c r="F15538" s="2"/>
      <c r="G15538" s="2"/>
      <c r="H15538" s="2"/>
    </row>
    <row r="15539" spans="1:8" x14ac:dyDescent="0.25">
      <c r="A15539" s="1"/>
      <c r="B15539" s="1" t="s">
        <v>5782</v>
      </c>
      <c r="C15539" s="1" t="s">
        <v>5783</v>
      </c>
      <c r="D15539" s="22" t="str">
        <f>HYPERLINK("https://rhld.insurance.arkansas.gov/NPILookup?Npi=1518426162","1518426162")</f>
        <v>1518426162</v>
      </c>
      <c r="E15539" s="1" t="s">
        <v>6376</v>
      </c>
      <c r="F15539" s="2"/>
      <c r="G15539" s="2"/>
      <c r="H15539" s="2"/>
    </row>
    <row r="15540" spans="1:8" x14ac:dyDescent="0.25">
      <c r="A15540" s="1"/>
      <c r="B15540" s="1" t="s">
        <v>5782</v>
      </c>
      <c r="C15540" s="1" t="s">
        <v>5783</v>
      </c>
      <c r="D15540" s="22" t="str">
        <f>HYPERLINK("https://rhld.insurance.arkansas.gov/NPILookup?Npi=1518429182","1518429182")</f>
        <v>1518429182</v>
      </c>
      <c r="E15540" s="1" t="s">
        <v>11862</v>
      </c>
      <c r="F15540" s="2"/>
      <c r="G15540" s="2"/>
      <c r="H15540" s="2"/>
    </row>
    <row r="15541" spans="1:8" x14ac:dyDescent="0.25">
      <c r="A15541" s="1"/>
      <c r="B15541" s="1" t="s">
        <v>5782</v>
      </c>
      <c r="C15541" s="1" t="s">
        <v>5783</v>
      </c>
      <c r="D15541" s="22" t="str">
        <f>HYPERLINK("https://rhld.insurance.arkansas.gov/NPILookup?Npi=1518431360","1518431360")</f>
        <v>1518431360</v>
      </c>
      <c r="E15541" s="1" t="s">
        <v>22451</v>
      </c>
      <c r="F15541" s="2"/>
      <c r="G15541" s="2"/>
      <c r="H15541" s="2"/>
    </row>
    <row r="15542" spans="1:8" x14ac:dyDescent="0.25">
      <c r="A15542" s="1"/>
      <c r="B15542" s="1" t="s">
        <v>5782</v>
      </c>
      <c r="C15542" s="1" t="s">
        <v>5783</v>
      </c>
      <c r="D15542" s="22" t="str">
        <f>HYPERLINK("https://rhld.insurance.arkansas.gov/NPILookup?Npi=1518434745","1518434745")</f>
        <v>1518434745</v>
      </c>
      <c r="E15542" s="1" t="s">
        <v>16851</v>
      </c>
      <c r="F15542" s="2"/>
      <c r="G15542" s="2"/>
      <c r="H15542" s="2"/>
    </row>
    <row r="15543" spans="1:8" x14ac:dyDescent="0.25">
      <c r="A15543" s="1"/>
      <c r="B15543" s="1" t="s">
        <v>5782</v>
      </c>
      <c r="C15543" s="1" t="s">
        <v>5783</v>
      </c>
      <c r="D15543" s="22" t="str">
        <f>HYPERLINK("https://rhld.insurance.arkansas.gov/NPILookup?Npi=1518442318","1518442318")</f>
        <v>1518442318</v>
      </c>
      <c r="E15543" s="1" t="s">
        <v>6377</v>
      </c>
      <c r="F15543" s="2"/>
      <c r="G15543" s="2"/>
      <c r="H15543" s="2"/>
    </row>
    <row r="15544" spans="1:8" x14ac:dyDescent="0.25">
      <c r="A15544" s="1"/>
      <c r="B15544" s="1" t="s">
        <v>5782</v>
      </c>
      <c r="C15544" s="1" t="s">
        <v>5783</v>
      </c>
      <c r="D15544" s="22" t="str">
        <f>HYPERLINK("https://rhld.insurance.arkansas.gov/NPILookup?Npi=1518475151","1518475151")</f>
        <v>1518475151</v>
      </c>
      <c r="E15544" s="1" t="s">
        <v>22452</v>
      </c>
      <c r="F15544" s="2"/>
      <c r="G15544" s="2"/>
      <c r="H15544" s="2"/>
    </row>
    <row r="15545" spans="1:8" x14ac:dyDescent="0.25">
      <c r="A15545" s="1"/>
      <c r="B15545" s="1" t="s">
        <v>5782</v>
      </c>
      <c r="C15545" s="1" t="s">
        <v>5783</v>
      </c>
      <c r="D15545" s="22" t="str">
        <f>HYPERLINK("https://rhld.insurance.arkansas.gov/NPILookup?Npi=1518475466","1518475466")</f>
        <v>1518475466</v>
      </c>
      <c r="E15545" s="1" t="s">
        <v>11863</v>
      </c>
      <c r="F15545" s="2"/>
      <c r="G15545" s="2"/>
      <c r="H15545" s="2"/>
    </row>
    <row r="15546" spans="1:8" x14ac:dyDescent="0.25">
      <c r="A15546" s="1"/>
      <c r="B15546" s="1" t="s">
        <v>5782</v>
      </c>
      <c r="C15546" s="1" t="s">
        <v>5783</v>
      </c>
      <c r="D15546" s="22" t="str">
        <f>HYPERLINK("https://rhld.insurance.arkansas.gov/NPILookup?Npi=1518476175","1518476175")</f>
        <v>1518476175</v>
      </c>
      <c r="E15546" s="1" t="s">
        <v>6378</v>
      </c>
      <c r="F15546" s="2"/>
      <c r="G15546" s="2"/>
      <c r="H15546" s="2"/>
    </row>
    <row r="15547" spans="1:8" x14ac:dyDescent="0.25">
      <c r="A15547" s="1"/>
      <c r="B15547" s="1" t="s">
        <v>5782</v>
      </c>
      <c r="C15547" s="1" t="s">
        <v>5783</v>
      </c>
      <c r="D15547" s="22" t="str">
        <f>HYPERLINK("https://rhld.insurance.arkansas.gov/NPILookup?Npi=1518476860","1518476860")</f>
        <v>1518476860</v>
      </c>
      <c r="E15547" s="1" t="s">
        <v>11864</v>
      </c>
      <c r="F15547" s="2"/>
      <c r="G15547" s="2"/>
      <c r="H15547" s="2"/>
    </row>
    <row r="15548" spans="1:8" x14ac:dyDescent="0.25">
      <c r="A15548" s="1"/>
      <c r="B15548" s="1" t="s">
        <v>5782</v>
      </c>
      <c r="C15548" s="1" t="s">
        <v>5783</v>
      </c>
      <c r="D15548" s="22" t="str">
        <f>HYPERLINK("https://rhld.insurance.arkansas.gov/NPILookup?Npi=1518488022","1518488022")</f>
        <v>1518488022</v>
      </c>
      <c r="E15548" s="1" t="s">
        <v>3299</v>
      </c>
      <c r="F15548" s="2"/>
      <c r="G15548" s="2"/>
      <c r="H15548" s="2"/>
    </row>
    <row r="15549" spans="1:8" x14ac:dyDescent="0.25">
      <c r="A15549" s="1"/>
      <c r="B15549" s="1" t="s">
        <v>5782</v>
      </c>
      <c r="C15549" s="1" t="s">
        <v>5783</v>
      </c>
      <c r="D15549" s="22" t="str">
        <f>HYPERLINK("https://rhld.insurance.arkansas.gov/NPILookup?Npi=1518519529","1518519529")</f>
        <v>1518519529</v>
      </c>
      <c r="E15549" s="1" t="s">
        <v>6379</v>
      </c>
      <c r="F15549" s="2"/>
      <c r="G15549" s="2"/>
      <c r="H15549" s="2"/>
    </row>
    <row r="15550" spans="1:8" x14ac:dyDescent="0.25">
      <c r="A15550" s="1"/>
      <c r="B15550" s="1" t="s">
        <v>5782</v>
      </c>
      <c r="C15550" s="1" t="s">
        <v>5783</v>
      </c>
      <c r="D15550" s="22" t="str">
        <f>HYPERLINK("https://rhld.insurance.arkansas.gov/NPILookup?Npi=1518531938","1518531938")</f>
        <v>1518531938</v>
      </c>
      <c r="E15550" s="1" t="s">
        <v>22453</v>
      </c>
      <c r="F15550" s="2"/>
      <c r="G15550" s="2"/>
      <c r="H15550" s="2"/>
    </row>
    <row r="15551" spans="1:8" x14ac:dyDescent="0.25">
      <c r="A15551" s="1"/>
      <c r="B15551" s="1" t="s">
        <v>5782</v>
      </c>
      <c r="C15551" s="1" t="s">
        <v>5783</v>
      </c>
      <c r="D15551" s="22" t="str">
        <f>HYPERLINK("https://rhld.insurance.arkansas.gov/NPILookup?Npi=1518537141","1518537141")</f>
        <v>1518537141</v>
      </c>
      <c r="E15551" s="1" t="s">
        <v>22454</v>
      </c>
      <c r="F15551" s="2"/>
      <c r="G15551" s="2"/>
      <c r="H15551" s="2"/>
    </row>
    <row r="15552" spans="1:8" x14ac:dyDescent="0.25">
      <c r="A15552" s="1"/>
      <c r="B15552" s="1" t="s">
        <v>5782</v>
      </c>
      <c r="C15552" s="1" t="s">
        <v>5783</v>
      </c>
      <c r="D15552" s="22" t="str">
        <f>HYPERLINK("https://rhld.insurance.arkansas.gov/NPILookup?Npi=1518542935","1518542935")</f>
        <v>1518542935</v>
      </c>
      <c r="E15552" s="1" t="s">
        <v>22455</v>
      </c>
      <c r="F15552" s="2"/>
      <c r="G15552" s="2"/>
      <c r="H15552" s="2"/>
    </row>
    <row r="15553" spans="1:8" x14ac:dyDescent="0.25">
      <c r="A15553" s="1"/>
      <c r="B15553" s="1" t="s">
        <v>5782</v>
      </c>
      <c r="C15553" s="1" t="s">
        <v>5783</v>
      </c>
      <c r="D15553" s="22" t="str">
        <f>HYPERLINK("https://rhld.insurance.arkansas.gov/NPILookup?Npi=1518560192","1518560192")</f>
        <v>1518560192</v>
      </c>
      <c r="E15553" s="1" t="s">
        <v>31890</v>
      </c>
      <c r="F15553" s="2"/>
      <c r="G15553" s="2"/>
      <c r="H15553" s="2"/>
    </row>
    <row r="15554" spans="1:8" x14ac:dyDescent="0.25">
      <c r="A15554" s="1"/>
      <c r="B15554" s="1" t="s">
        <v>5782</v>
      </c>
      <c r="C15554" s="1" t="s">
        <v>5783</v>
      </c>
      <c r="D15554" s="22" t="str">
        <f>HYPERLINK("https://rhld.insurance.arkansas.gov/NPILookup?Npi=1518570498","1518570498")</f>
        <v>1518570498</v>
      </c>
      <c r="E15554" s="1" t="s">
        <v>22456</v>
      </c>
      <c r="F15554" s="2"/>
      <c r="G15554" s="2"/>
      <c r="H15554" s="2"/>
    </row>
    <row r="15555" spans="1:8" x14ac:dyDescent="0.25">
      <c r="A15555" s="1"/>
      <c r="B15555" s="1" t="s">
        <v>5782</v>
      </c>
      <c r="C15555" s="1" t="s">
        <v>5783</v>
      </c>
      <c r="D15555" s="22" t="str">
        <f>HYPERLINK("https://rhld.insurance.arkansas.gov/NPILookup?Npi=1518582402","1518582402")</f>
        <v>1518582402</v>
      </c>
      <c r="E15555" s="1" t="s">
        <v>6380</v>
      </c>
      <c r="F15555" s="2"/>
      <c r="G15555" s="2"/>
      <c r="H15555" s="2"/>
    </row>
    <row r="15556" spans="1:8" x14ac:dyDescent="0.25">
      <c r="A15556" s="1"/>
      <c r="B15556" s="1" t="s">
        <v>5782</v>
      </c>
      <c r="C15556" s="1" t="s">
        <v>5783</v>
      </c>
      <c r="D15556" s="22" t="str">
        <f>HYPERLINK("https://rhld.insurance.arkansas.gov/NPILookup?Npi=1518593250","1518593250")</f>
        <v>1518593250</v>
      </c>
      <c r="E15556" s="1" t="s">
        <v>22457</v>
      </c>
      <c r="F15556" s="2"/>
      <c r="G15556" s="2"/>
      <c r="H15556" s="2"/>
    </row>
    <row r="15557" spans="1:8" x14ac:dyDescent="0.25">
      <c r="A15557" s="1"/>
      <c r="B15557" s="1" t="s">
        <v>5782</v>
      </c>
      <c r="C15557" s="1" t="s">
        <v>5783</v>
      </c>
      <c r="D15557" s="22" t="str">
        <f>HYPERLINK("https://rhld.insurance.arkansas.gov/NPILookup?Npi=1518595115","1518595115")</f>
        <v>1518595115</v>
      </c>
      <c r="E15557" s="1" t="s">
        <v>11865</v>
      </c>
      <c r="F15557" s="2"/>
      <c r="G15557" s="2"/>
      <c r="H15557" s="2"/>
    </row>
    <row r="15558" spans="1:8" x14ac:dyDescent="0.25">
      <c r="A15558" s="1"/>
      <c r="B15558" s="1" t="s">
        <v>5782</v>
      </c>
      <c r="C15558" s="1" t="s">
        <v>5783</v>
      </c>
      <c r="D15558" s="22" t="str">
        <f>HYPERLINK("https://rhld.insurance.arkansas.gov/NPILookup?Npi=1518598259","1518598259")</f>
        <v>1518598259</v>
      </c>
      <c r="E15558" s="1" t="s">
        <v>31891</v>
      </c>
      <c r="F15558" s="2"/>
      <c r="G15558" s="2"/>
      <c r="H15558" s="2"/>
    </row>
    <row r="15559" spans="1:8" x14ac:dyDescent="0.25">
      <c r="A15559" s="1"/>
      <c r="B15559" s="1" t="s">
        <v>5782</v>
      </c>
      <c r="C15559" s="1" t="s">
        <v>5783</v>
      </c>
      <c r="D15559" s="22" t="str">
        <f>HYPERLINK("https://rhld.insurance.arkansas.gov/NPILookup?Npi=1518599091","1518599091")</f>
        <v>1518599091</v>
      </c>
      <c r="E15559" s="1" t="s">
        <v>22458</v>
      </c>
      <c r="F15559" s="2"/>
      <c r="G15559" s="2"/>
      <c r="H15559" s="2"/>
    </row>
    <row r="15560" spans="1:8" x14ac:dyDescent="0.25">
      <c r="A15560" s="1"/>
      <c r="B15560" s="1" t="s">
        <v>5782</v>
      </c>
      <c r="C15560" s="1" t="s">
        <v>5783</v>
      </c>
      <c r="D15560" s="22" t="str">
        <f>HYPERLINK("https://rhld.insurance.arkansas.gov/NPILookup?Npi=1518601913","1518601913")</f>
        <v>1518601913</v>
      </c>
      <c r="E15560" s="1" t="s">
        <v>22459</v>
      </c>
      <c r="F15560" s="2"/>
      <c r="G15560" s="2"/>
      <c r="H15560" s="2"/>
    </row>
    <row r="15561" spans="1:8" x14ac:dyDescent="0.25">
      <c r="A15561" s="1"/>
      <c r="B15561" s="1" t="s">
        <v>5782</v>
      </c>
      <c r="C15561" s="1" t="s">
        <v>5783</v>
      </c>
      <c r="D15561" s="22" t="str">
        <f>HYPERLINK("https://rhld.insurance.arkansas.gov/NPILookup?Npi=1518607340","1518607340")</f>
        <v>1518607340</v>
      </c>
      <c r="E15561" s="1" t="s">
        <v>6115</v>
      </c>
      <c r="F15561" s="2"/>
      <c r="G15561" s="2"/>
      <c r="H15561" s="2"/>
    </row>
    <row r="15562" spans="1:8" x14ac:dyDescent="0.25">
      <c r="A15562" s="1"/>
      <c r="B15562" s="1" t="s">
        <v>5782</v>
      </c>
      <c r="C15562" s="1" t="s">
        <v>5783</v>
      </c>
      <c r="D15562" s="22" t="str">
        <f>HYPERLINK("https://rhld.insurance.arkansas.gov/NPILookup?Npi=1518615459","1518615459")</f>
        <v>1518615459</v>
      </c>
      <c r="E15562" s="1" t="s">
        <v>6381</v>
      </c>
      <c r="F15562" s="2"/>
      <c r="G15562" s="2"/>
      <c r="H15562" s="2"/>
    </row>
    <row r="15563" spans="1:8" x14ac:dyDescent="0.25">
      <c r="A15563" s="1"/>
      <c r="B15563" s="1" t="s">
        <v>5782</v>
      </c>
      <c r="C15563" s="1" t="s">
        <v>5783</v>
      </c>
      <c r="D15563" s="22" t="str">
        <f>HYPERLINK("https://rhld.insurance.arkansas.gov/NPILookup?Npi=1518637404","1518637404")</f>
        <v>1518637404</v>
      </c>
      <c r="E15563" s="1" t="s">
        <v>31892</v>
      </c>
      <c r="F15563" s="2"/>
      <c r="G15563" s="2"/>
      <c r="H15563" s="2"/>
    </row>
    <row r="15564" spans="1:8" x14ac:dyDescent="0.25">
      <c r="A15564" s="1"/>
      <c r="B15564" s="1" t="s">
        <v>5782</v>
      </c>
      <c r="C15564" s="1" t="s">
        <v>5783</v>
      </c>
      <c r="D15564" s="22" t="str">
        <f>HYPERLINK("https://rhld.insurance.arkansas.gov/NPILookup?Npi=1518664747","1518664747")</f>
        <v>1518664747</v>
      </c>
      <c r="E15564" s="1" t="s">
        <v>31893</v>
      </c>
      <c r="F15564" s="2"/>
      <c r="G15564" s="2"/>
      <c r="H15564" s="2"/>
    </row>
    <row r="15565" spans="1:8" x14ac:dyDescent="0.25">
      <c r="A15565" s="1"/>
      <c r="B15565" s="1" t="s">
        <v>5782</v>
      </c>
      <c r="C15565" s="1" t="s">
        <v>5783</v>
      </c>
      <c r="D15565" s="22" t="str">
        <f>HYPERLINK("https://rhld.insurance.arkansas.gov/NPILookup?Npi=1518704600","1518704600")</f>
        <v>1518704600</v>
      </c>
      <c r="E15565" s="1" t="s">
        <v>22460</v>
      </c>
      <c r="F15565" s="2"/>
      <c r="G15565" s="2"/>
      <c r="H15565" s="2"/>
    </row>
    <row r="15566" spans="1:8" x14ac:dyDescent="0.25">
      <c r="A15566" s="1"/>
      <c r="B15566" s="1" t="s">
        <v>5782</v>
      </c>
      <c r="C15566" s="1" t="s">
        <v>5783</v>
      </c>
      <c r="D15566" s="22" t="str">
        <f>HYPERLINK("https://rhld.insurance.arkansas.gov/NPILookup?Npi=1518711456","1518711456")</f>
        <v>1518711456</v>
      </c>
      <c r="E15566" s="1" t="s">
        <v>22461</v>
      </c>
      <c r="F15566" s="2"/>
      <c r="G15566" s="2"/>
      <c r="H15566" s="2"/>
    </row>
    <row r="15567" spans="1:8" x14ac:dyDescent="0.25">
      <c r="A15567" s="1"/>
      <c r="B15567" s="1" t="s">
        <v>5782</v>
      </c>
      <c r="C15567" s="1" t="s">
        <v>5783</v>
      </c>
      <c r="D15567" s="22" t="str">
        <f>HYPERLINK("https://rhld.insurance.arkansas.gov/NPILookup?Npi=1518723915","1518723915")</f>
        <v>1518723915</v>
      </c>
      <c r="E15567" s="1" t="s">
        <v>22462</v>
      </c>
      <c r="F15567" s="2"/>
      <c r="G15567" s="2"/>
      <c r="H15567" s="2"/>
    </row>
    <row r="15568" spans="1:8" x14ac:dyDescent="0.25">
      <c r="A15568" s="1"/>
      <c r="B15568" s="1" t="s">
        <v>5782</v>
      </c>
      <c r="C15568" s="1" t="s">
        <v>5783</v>
      </c>
      <c r="D15568" s="22" t="str">
        <f>HYPERLINK("https://rhld.insurance.arkansas.gov/NPILookup?Npi=1518780063","1518780063")</f>
        <v>1518780063</v>
      </c>
      <c r="E15568" s="1" t="s">
        <v>31894</v>
      </c>
      <c r="F15568" s="2"/>
      <c r="G15568" s="2"/>
      <c r="H15568" s="2"/>
    </row>
    <row r="15569" spans="1:8" x14ac:dyDescent="0.25">
      <c r="A15569" s="1"/>
      <c r="B15569" s="1" t="s">
        <v>5782</v>
      </c>
      <c r="C15569" s="1" t="s">
        <v>5783</v>
      </c>
      <c r="D15569" s="22" t="str">
        <f>HYPERLINK("https://rhld.insurance.arkansas.gov/NPILookup?Npi=1518795657","1518795657")</f>
        <v>1518795657</v>
      </c>
      <c r="E15569" s="1" t="s">
        <v>31895</v>
      </c>
      <c r="F15569" s="2"/>
      <c r="G15569" s="2"/>
      <c r="H15569" s="2"/>
    </row>
    <row r="15570" spans="1:8" x14ac:dyDescent="0.25">
      <c r="A15570" s="1"/>
      <c r="B15570" s="1" t="s">
        <v>5782</v>
      </c>
      <c r="C15570" s="1" t="s">
        <v>5783</v>
      </c>
      <c r="D15570" s="22" t="str">
        <f>HYPERLINK("https://rhld.insurance.arkansas.gov/NPILookup?Npi=1518938224","1518938224")</f>
        <v>1518938224</v>
      </c>
      <c r="E15570" s="1" t="s">
        <v>22464</v>
      </c>
      <c r="F15570" s="2"/>
      <c r="G15570" s="2"/>
      <c r="H15570" s="2"/>
    </row>
    <row r="15571" spans="1:8" x14ac:dyDescent="0.25">
      <c r="A15571" s="1"/>
      <c r="B15571" s="1" t="s">
        <v>5782</v>
      </c>
      <c r="C15571" s="1" t="s">
        <v>5783</v>
      </c>
      <c r="D15571" s="22" t="str">
        <f>HYPERLINK("https://rhld.insurance.arkansas.gov/NPILookup?Npi=1518963149","1518963149")</f>
        <v>1518963149</v>
      </c>
      <c r="E15571" s="1" t="s">
        <v>7247</v>
      </c>
      <c r="F15571" s="2"/>
      <c r="G15571" s="2"/>
      <c r="H15571" s="2"/>
    </row>
    <row r="15572" spans="1:8" x14ac:dyDescent="0.25">
      <c r="A15572" s="1"/>
      <c r="B15572" s="1" t="s">
        <v>5782</v>
      </c>
      <c r="C15572" s="1" t="s">
        <v>5783</v>
      </c>
      <c r="D15572" s="22" t="str">
        <f>HYPERLINK("https://rhld.insurance.arkansas.gov/NPILookup?Npi=1518964501","1518964501")</f>
        <v>1518964501</v>
      </c>
      <c r="E15572" s="1" t="s">
        <v>1392</v>
      </c>
      <c r="F15572" s="2"/>
      <c r="G15572" s="2"/>
      <c r="H15572" s="2"/>
    </row>
    <row r="15573" spans="1:8" x14ac:dyDescent="0.25">
      <c r="A15573" s="1"/>
      <c r="B15573" s="1" t="s">
        <v>5782</v>
      </c>
      <c r="C15573" s="1" t="s">
        <v>5783</v>
      </c>
      <c r="D15573" s="22" t="str">
        <f>HYPERLINK("https://rhld.insurance.arkansas.gov/NPILookup?Npi=1518976646","1518976646")</f>
        <v>1518976646</v>
      </c>
      <c r="E15573" s="1" t="s">
        <v>22465</v>
      </c>
      <c r="F15573" s="2"/>
      <c r="G15573" s="2"/>
      <c r="H15573" s="2"/>
    </row>
    <row r="15574" spans="1:8" x14ac:dyDescent="0.25">
      <c r="A15574" s="1"/>
      <c r="B15574" s="1" t="s">
        <v>5782</v>
      </c>
      <c r="C15574" s="1" t="s">
        <v>5783</v>
      </c>
      <c r="D15574" s="22" t="str">
        <f>HYPERLINK("https://rhld.insurance.arkansas.gov/NPILookup?Npi=1518986678","1518986678")</f>
        <v>1518986678</v>
      </c>
      <c r="E15574" s="1" t="s">
        <v>6382</v>
      </c>
      <c r="F15574" s="2"/>
      <c r="G15574" s="2"/>
      <c r="H15574" s="2"/>
    </row>
    <row r="15575" spans="1:8" x14ac:dyDescent="0.25">
      <c r="A15575" s="1"/>
      <c r="B15575" s="1" t="s">
        <v>5782</v>
      </c>
      <c r="C15575" s="1" t="s">
        <v>5783</v>
      </c>
      <c r="D15575" s="22" t="str">
        <f>HYPERLINK("https://rhld.insurance.arkansas.gov/NPILookup?Npi=1518992163","1518992163")</f>
        <v>1518992163</v>
      </c>
      <c r="E15575" s="1" t="s">
        <v>3412</v>
      </c>
      <c r="F15575" s="2"/>
      <c r="G15575" s="2"/>
      <c r="H15575" s="2"/>
    </row>
    <row r="15576" spans="1:8" x14ac:dyDescent="0.25">
      <c r="A15576" s="1"/>
      <c r="B15576" s="1" t="s">
        <v>5782</v>
      </c>
      <c r="C15576" s="1" t="s">
        <v>5783</v>
      </c>
      <c r="D15576" s="22" t="str">
        <f>HYPERLINK("https://rhld.insurance.arkansas.gov/NPILookup?Npi=1528001955","1528001955")</f>
        <v>1528001955</v>
      </c>
      <c r="E15576" s="1" t="s">
        <v>22466</v>
      </c>
      <c r="F15576" s="2"/>
      <c r="G15576" s="2"/>
      <c r="H15576" s="2"/>
    </row>
    <row r="15577" spans="1:8" x14ac:dyDescent="0.25">
      <c r="A15577" s="1"/>
      <c r="B15577" s="1" t="s">
        <v>5782</v>
      </c>
      <c r="C15577" s="1" t="s">
        <v>5783</v>
      </c>
      <c r="D15577" s="22" t="str">
        <f>HYPERLINK("https://rhld.insurance.arkansas.gov/NPILookup?Npi=1528002078","1528002078")</f>
        <v>1528002078</v>
      </c>
      <c r="E15577" s="1" t="s">
        <v>22467</v>
      </c>
      <c r="F15577" s="2"/>
      <c r="G15577" s="2"/>
      <c r="H15577" s="2"/>
    </row>
    <row r="15578" spans="1:8" x14ac:dyDescent="0.25">
      <c r="A15578" s="1"/>
      <c r="B15578" s="1" t="s">
        <v>5782</v>
      </c>
      <c r="C15578" s="1" t="s">
        <v>5783</v>
      </c>
      <c r="D15578" s="22" t="str">
        <f>HYPERLINK("https://rhld.insurance.arkansas.gov/NPILookup?Npi=1528030723","1528030723")</f>
        <v>1528030723</v>
      </c>
      <c r="E15578" s="1" t="s">
        <v>11866</v>
      </c>
      <c r="F15578" s="2"/>
      <c r="G15578" s="2"/>
      <c r="H15578" s="2"/>
    </row>
    <row r="15579" spans="1:8" x14ac:dyDescent="0.25">
      <c r="A15579" s="1"/>
      <c r="B15579" s="1" t="s">
        <v>5782</v>
      </c>
      <c r="C15579" s="1" t="s">
        <v>5783</v>
      </c>
      <c r="D15579" s="22" t="str">
        <f>HYPERLINK("https://rhld.insurance.arkansas.gov/NPILookup?Npi=1528082096","1528082096")</f>
        <v>1528082096</v>
      </c>
      <c r="E15579" s="1" t="s">
        <v>22468</v>
      </c>
      <c r="F15579" s="2"/>
      <c r="G15579" s="2"/>
      <c r="H15579" s="2"/>
    </row>
    <row r="15580" spans="1:8" x14ac:dyDescent="0.25">
      <c r="A15580" s="1"/>
      <c r="B15580" s="1" t="s">
        <v>5782</v>
      </c>
      <c r="C15580" s="1" t="s">
        <v>5783</v>
      </c>
      <c r="D15580" s="22" t="str">
        <f>HYPERLINK("https://rhld.insurance.arkansas.gov/NPILookup?Npi=1528100146","1528100146")</f>
        <v>1528100146</v>
      </c>
      <c r="E15580" s="1" t="s">
        <v>6483</v>
      </c>
      <c r="F15580" s="2"/>
      <c r="G15580" s="2"/>
      <c r="H15580" s="2"/>
    </row>
    <row r="15581" spans="1:8" x14ac:dyDescent="0.25">
      <c r="A15581" s="1"/>
      <c r="B15581" s="1" t="s">
        <v>5782</v>
      </c>
      <c r="C15581" s="1" t="s">
        <v>5783</v>
      </c>
      <c r="D15581" s="22" t="str">
        <f>HYPERLINK("https://rhld.insurance.arkansas.gov/NPILookup?Npi=1528142817","1528142817")</f>
        <v>1528142817</v>
      </c>
      <c r="E15581" s="1" t="s">
        <v>22469</v>
      </c>
      <c r="F15581" s="2"/>
      <c r="G15581" s="2"/>
      <c r="H15581" s="2"/>
    </row>
    <row r="15582" spans="1:8" x14ac:dyDescent="0.25">
      <c r="A15582" s="1"/>
      <c r="B15582" s="1" t="s">
        <v>5782</v>
      </c>
      <c r="C15582" s="1" t="s">
        <v>5783</v>
      </c>
      <c r="D15582" s="22" t="str">
        <f>HYPERLINK("https://rhld.insurance.arkansas.gov/NPILookup?Npi=1528192150","1528192150")</f>
        <v>1528192150</v>
      </c>
      <c r="E15582" s="1" t="s">
        <v>6383</v>
      </c>
      <c r="F15582" s="2"/>
      <c r="G15582" s="2"/>
      <c r="H15582" s="2"/>
    </row>
    <row r="15583" spans="1:8" x14ac:dyDescent="0.25">
      <c r="A15583" s="1"/>
      <c r="B15583" s="1" t="s">
        <v>5782</v>
      </c>
      <c r="C15583" s="1" t="s">
        <v>5783</v>
      </c>
      <c r="D15583" s="22" t="str">
        <f>HYPERLINK("https://rhld.insurance.arkansas.gov/NPILookup?Npi=1528204369","1528204369")</f>
        <v>1528204369</v>
      </c>
      <c r="E15583" s="1" t="s">
        <v>14014</v>
      </c>
      <c r="F15583" s="2"/>
      <c r="G15583" s="2"/>
      <c r="H15583" s="2"/>
    </row>
    <row r="15584" spans="1:8" x14ac:dyDescent="0.25">
      <c r="A15584" s="1"/>
      <c r="B15584" s="1" t="s">
        <v>5782</v>
      </c>
      <c r="C15584" s="1" t="s">
        <v>5783</v>
      </c>
      <c r="D15584" s="22" t="str">
        <f>HYPERLINK("https://rhld.insurance.arkansas.gov/NPILookup?Npi=1528204906","1528204906")</f>
        <v>1528204906</v>
      </c>
      <c r="E15584" s="1" t="s">
        <v>22470</v>
      </c>
      <c r="F15584" s="2"/>
      <c r="G15584" s="2"/>
      <c r="H15584" s="2"/>
    </row>
    <row r="15585" spans="1:8" x14ac:dyDescent="0.25">
      <c r="A15585" s="1"/>
      <c r="B15585" s="1" t="s">
        <v>5782</v>
      </c>
      <c r="C15585" s="1" t="s">
        <v>5783</v>
      </c>
      <c r="D15585" s="22" t="str">
        <f>HYPERLINK("https://rhld.insurance.arkansas.gov/NPILookup?Npi=1528219839","1528219839")</f>
        <v>1528219839</v>
      </c>
      <c r="E15585" s="1" t="s">
        <v>22471</v>
      </c>
      <c r="F15585" s="2"/>
      <c r="G15585" s="2"/>
      <c r="H15585" s="2"/>
    </row>
    <row r="15586" spans="1:8" x14ac:dyDescent="0.25">
      <c r="A15586" s="1"/>
      <c r="B15586" s="1" t="s">
        <v>5782</v>
      </c>
      <c r="C15586" s="1" t="s">
        <v>5783</v>
      </c>
      <c r="D15586" s="22" t="str">
        <f>HYPERLINK("https://rhld.insurance.arkansas.gov/NPILookup?Npi=1528219854","1528219854")</f>
        <v>1528219854</v>
      </c>
      <c r="E15586" s="1" t="s">
        <v>22472</v>
      </c>
      <c r="F15586" s="2"/>
      <c r="G15586" s="2"/>
      <c r="H15586" s="2"/>
    </row>
    <row r="15587" spans="1:8" x14ac:dyDescent="0.25">
      <c r="A15587" s="1"/>
      <c r="B15587" s="1" t="s">
        <v>5782</v>
      </c>
      <c r="C15587" s="1" t="s">
        <v>5783</v>
      </c>
      <c r="D15587" s="22" t="str">
        <f>HYPERLINK("https://rhld.insurance.arkansas.gov/NPILookup?Npi=1528226131","1528226131")</f>
        <v>1528226131</v>
      </c>
      <c r="E15587" s="1" t="s">
        <v>6384</v>
      </c>
      <c r="F15587" s="2"/>
      <c r="G15587" s="2"/>
      <c r="H15587" s="2"/>
    </row>
    <row r="15588" spans="1:8" x14ac:dyDescent="0.25">
      <c r="A15588" s="1"/>
      <c r="B15588" s="1" t="s">
        <v>5782</v>
      </c>
      <c r="C15588" s="1" t="s">
        <v>5783</v>
      </c>
      <c r="D15588" s="22" t="str">
        <f>HYPERLINK("https://rhld.insurance.arkansas.gov/NPILookup?Npi=1528238862","1528238862")</f>
        <v>1528238862</v>
      </c>
      <c r="E15588" s="1" t="s">
        <v>349</v>
      </c>
      <c r="F15588" s="2"/>
      <c r="G15588" s="2"/>
      <c r="H15588" s="2"/>
    </row>
    <row r="15589" spans="1:8" x14ac:dyDescent="0.25">
      <c r="A15589" s="1"/>
      <c r="B15589" s="1" t="s">
        <v>5782</v>
      </c>
      <c r="C15589" s="1" t="s">
        <v>5783</v>
      </c>
      <c r="D15589" s="22" t="str">
        <f>HYPERLINK("https://rhld.insurance.arkansas.gov/NPILookup?Npi=1528250719","1528250719")</f>
        <v>1528250719</v>
      </c>
      <c r="E15589" s="1" t="s">
        <v>22473</v>
      </c>
      <c r="F15589" s="2"/>
      <c r="G15589" s="2"/>
      <c r="H15589" s="2"/>
    </row>
    <row r="15590" spans="1:8" x14ac:dyDescent="0.25">
      <c r="A15590" s="1"/>
      <c r="B15590" s="1" t="s">
        <v>5782</v>
      </c>
      <c r="C15590" s="1" t="s">
        <v>5783</v>
      </c>
      <c r="D15590" s="22" t="str">
        <f>HYPERLINK("https://rhld.insurance.arkansas.gov/NPILookup?Npi=1528262755","1528262755")</f>
        <v>1528262755</v>
      </c>
      <c r="E15590" s="1" t="s">
        <v>22474</v>
      </c>
      <c r="F15590" s="2"/>
      <c r="G15590" s="2"/>
      <c r="H15590" s="2"/>
    </row>
    <row r="15591" spans="1:8" x14ac:dyDescent="0.25">
      <c r="A15591" s="1"/>
      <c r="B15591" s="1" t="s">
        <v>5782</v>
      </c>
      <c r="C15591" s="1" t="s">
        <v>5783</v>
      </c>
      <c r="D15591" s="22" t="str">
        <f>HYPERLINK("https://rhld.insurance.arkansas.gov/NPILookup?Npi=1528290020","1528290020")</f>
        <v>1528290020</v>
      </c>
      <c r="E15591" s="1" t="s">
        <v>11867</v>
      </c>
      <c r="F15591" s="2"/>
      <c r="G15591" s="2"/>
      <c r="H15591" s="2"/>
    </row>
    <row r="15592" spans="1:8" x14ac:dyDescent="0.25">
      <c r="A15592" s="1"/>
      <c r="B15592" s="1" t="s">
        <v>5782</v>
      </c>
      <c r="C15592" s="1" t="s">
        <v>5783</v>
      </c>
      <c r="D15592" s="22" t="str">
        <f>HYPERLINK("https://rhld.insurance.arkansas.gov/NPILookup?Npi=1528290400","1528290400")</f>
        <v>1528290400</v>
      </c>
      <c r="E15592" s="1" t="s">
        <v>22475</v>
      </c>
      <c r="F15592" s="2"/>
      <c r="G15592" s="2"/>
      <c r="H15592" s="2"/>
    </row>
    <row r="15593" spans="1:8" x14ac:dyDescent="0.25">
      <c r="A15593" s="1"/>
      <c r="B15593" s="1" t="s">
        <v>5782</v>
      </c>
      <c r="C15593" s="1" t="s">
        <v>5783</v>
      </c>
      <c r="D15593" s="22" t="str">
        <f>HYPERLINK("https://rhld.insurance.arkansas.gov/NPILookup?Npi=1528290863","1528290863")</f>
        <v>1528290863</v>
      </c>
      <c r="E15593" s="1" t="s">
        <v>22476</v>
      </c>
      <c r="F15593" s="2"/>
      <c r="G15593" s="2"/>
      <c r="H15593" s="2"/>
    </row>
    <row r="15594" spans="1:8" x14ac:dyDescent="0.25">
      <c r="A15594" s="1"/>
      <c r="B15594" s="1" t="s">
        <v>5782</v>
      </c>
      <c r="C15594" s="1" t="s">
        <v>5783</v>
      </c>
      <c r="D15594" s="22" t="str">
        <f>HYPERLINK("https://rhld.insurance.arkansas.gov/NPILookup?Npi=1528299013","1528299013")</f>
        <v>1528299013</v>
      </c>
      <c r="E15594" s="1" t="s">
        <v>11868</v>
      </c>
      <c r="F15594" s="2"/>
      <c r="G15594" s="2"/>
      <c r="H15594" s="2"/>
    </row>
    <row r="15595" spans="1:8" x14ac:dyDescent="0.25">
      <c r="A15595" s="1"/>
      <c r="B15595" s="1" t="s">
        <v>5782</v>
      </c>
      <c r="C15595" s="1" t="s">
        <v>5783</v>
      </c>
      <c r="D15595" s="22" t="str">
        <f>HYPERLINK("https://rhld.insurance.arkansas.gov/NPILookup?Npi=1528302213","1528302213")</f>
        <v>1528302213</v>
      </c>
      <c r="E15595" s="1" t="s">
        <v>6385</v>
      </c>
      <c r="F15595" s="2"/>
      <c r="G15595" s="2"/>
      <c r="H15595" s="2"/>
    </row>
    <row r="15596" spans="1:8" x14ac:dyDescent="0.25">
      <c r="A15596" s="1"/>
      <c r="B15596" s="1" t="s">
        <v>5782</v>
      </c>
      <c r="C15596" s="1" t="s">
        <v>5783</v>
      </c>
      <c r="D15596" s="22" t="str">
        <f>HYPERLINK("https://rhld.insurance.arkansas.gov/NPILookup?Npi=1528310752","1528310752")</f>
        <v>1528310752</v>
      </c>
      <c r="E15596" s="1" t="s">
        <v>11842</v>
      </c>
      <c r="F15596" s="2"/>
      <c r="G15596" s="2"/>
      <c r="H15596" s="2"/>
    </row>
    <row r="15597" spans="1:8" x14ac:dyDescent="0.25">
      <c r="A15597" s="1"/>
      <c r="B15597" s="1" t="s">
        <v>5782</v>
      </c>
      <c r="C15597" s="1" t="s">
        <v>5783</v>
      </c>
      <c r="D15597" s="22" t="str">
        <f>HYPERLINK("https://rhld.insurance.arkansas.gov/NPILookup?Npi=1528326196","1528326196")</f>
        <v>1528326196</v>
      </c>
      <c r="E15597" s="1" t="s">
        <v>22477</v>
      </c>
      <c r="F15597" s="2"/>
      <c r="G15597" s="2"/>
      <c r="H15597" s="2"/>
    </row>
    <row r="15598" spans="1:8" x14ac:dyDescent="0.25">
      <c r="A15598" s="1"/>
      <c r="B15598" s="1" t="s">
        <v>5782</v>
      </c>
      <c r="C15598" s="1" t="s">
        <v>5783</v>
      </c>
      <c r="D15598" s="22" t="str">
        <f>HYPERLINK("https://rhld.insurance.arkansas.gov/NPILookup?Npi=1528334844","1528334844")</f>
        <v>1528334844</v>
      </c>
      <c r="E15598" s="1" t="s">
        <v>22478</v>
      </c>
      <c r="F15598" s="2"/>
      <c r="G15598" s="2"/>
      <c r="H15598" s="2"/>
    </row>
    <row r="15599" spans="1:8" x14ac:dyDescent="0.25">
      <c r="A15599" s="1"/>
      <c r="B15599" s="1" t="s">
        <v>5782</v>
      </c>
      <c r="C15599" s="1" t="s">
        <v>5783</v>
      </c>
      <c r="D15599" s="22" t="str">
        <f>HYPERLINK("https://rhld.insurance.arkansas.gov/NPILookup?Npi=1528340767","1528340767")</f>
        <v>1528340767</v>
      </c>
      <c r="E15599" s="1" t="s">
        <v>22479</v>
      </c>
      <c r="F15599" s="2"/>
      <c r="G15599" s="2"/>
      <c r="H15599" s="2"/>
    </row>
    <row r="15600" spans="1:8" x14ac:dyDescent="0.25">
      <c r="A15600" s="1"/>
      <c r="B15600" s="1" t="s">
        <v>5782</v>
      </c>
      <c r="C15600" s="1" t="s">
        <v>5783</v>
      </c>
      <c r="D15600" s="22" t="str">
        <f>HYPERLINK("https://rhld.insurance.arkansas.gov/NPILookup?Npi=1528352366","1528352366")</f>
        <v>1528352366</v>
      </c>
      <c r="E15600" s="1" t="s">
        <v>22480</v>
      </c>
      <c r="F15600" s="2"/>
      <c r="G15600" s="2"/>
      <c r="H15600" s="2"/>
    </row>
    <row r="15601" spans="1:8" x14ac:dyDescent="0.25">
      <c r="A15601" s="1"/>
      <c r="B15601" s="1" t="s">
        <v>5782</v>
      </c>
      <c r="C15601" s="1" t="s">
        <v>5783</v>
      </c>
      <c r="D15601" s="22" t="str">
        <f>HYPERLINK("https://rhld.insurance.arkansas.gov/NPILookup?Npi=1528363454","1528363454")</f>
        <v>1528363454</v>
      </c>
      <c r="E15601" s="1" t="s">
        <v>22481</v>
      </c>
      <c r="F15601" s="2"/>
      <c r="G15601" s="2"/>
      <c r="H15601" s="2"/>
    </row>
    <row r="15602" spans="1:8" x14ac:dyDescent="0.25">
      <c r="A15602" s="1"/>
      <c r="B15602" s="1" t="s">
        <v>5782</v>
      </c>
      <c r="C15602" s="1" t="s">
        <v>5783</v>
      </c>
      <c r="D15602" s="22" t="str">
        <f>HYPERLINK("https://rhld.insurance.arkansas.gov/NPILookup?Npi=1528371127","1528371127")</f>
        <v>1528371127</v>
      </c>
      <c r="E15602" s="1" t="s">
        <v>22482</v>
      </c>
      <c r="F15602" s="2"/>
      <c r="G15602" s="2"/>
      <c r="H15602" s="2"/>
    </row>
    <row r="15603" spans="1:8" x14ac:dyDescent="0.25">
      <c r="A15603" s="1"/>
      <c r="B15603" s="1" t="s">
        <v>5782</v>
      </c>
      <c r="C15603" s="1" t="s">
        <v>5783</v>
      </c>
      <c r="D15603" s="22" t="str">
        <f>HYPERLINK("https://rhld.insurance.arkansas.gov/NPILookup?Npi=1528379377","1528379377")</f>
        <v>1528379377</v>
      </c>
      <c r="E15603" s="1" t="s">
        <v>11869</v>
      </c>
      <c r="F15603" s="2"/>
      <c r="G15603" s="2"/>
      <c r="H15603" s="2"/>
    </row>
    <row r="15604" spans="1:8" x14ac:dyDescent="0.25">
      <c r="A15604" s="1"/>
      <c r="B15604" s="1" t="s">
        <v>5782</v>
      </c>
      <c r="C15604" s="1" t="s">
        <v>5783</v>
      </c>
      <c r="D15604" s="22" t="str">
        <f>HYPERLINK("https://rhld.insurance.arkansas.gov/NPILookup?Npi=1528384377","1528384377")</f>
        <v>1528384377</v>
      </c>
      <c r="E15604" s="1" t="s">
        <v>22483</v>
      </c>
      <c r="F15604" s="2"/>
      <c r="G15604" s="2"/>
      <c r="H15604" s="2"/>
    </row>
    <row r="15605" spans="1:8" x14ac:dyDescent="0.25">
      <c r="A15605" s="1"/>
      <c r="B15605" s="1" t="s">
        <v>5782</v>
      </c>
      <c r="C15605" s="1" t="s">
        <v>5783</v>
      </c>
      <c r="D15605" s="22" t="str">
        <f>HYPERLINK("https://rhld.insurance.arkansas.gov/NPILookup?Npi=1528384526","1528384526")</f>
        <v>1528384526</v>
      </c>
      <c r="E15605" s="1" t="s">
        <v>1519</v>
      </c>
      <c r="F15605" s="2"/>
      <c r="G15605" s="2"/>
      <c r="H15605" s="2"/>
    </row>
    <row r="15606" spans="1:8" x14ac:dyDescent="0.25">
      <c r="A15606" s="1"/>
      <c r="B15606" s="1" t="s">
        <v>5782</v>
      </c>
      <c r="C15606" s="1" t="s">
        <v>5783</v>
      </c>
      <c r="D15606" s="22" t="str">
        <f>HYPERLINK("https://rhld.insurance.arkansas.gov/NPILookup?Npi=1528397726","1528397726")</f>
        <v>1528397726</v>
      </c>
      <c r="E15606" s="1" t="s">
        <v>11596</v>
      </c>
      <c r="F15606" s="2"/>
      <c r="G15606" s="2"/>
      <c r="H15606" s="2"/>
    </row>
    <row r="15607" spans="1:8" x14ac:dyDescent="0.25">
      <c r="A15607" s="1"/>
      <c r="B15607" s="1" t="s">
        <v>5782</v>
      </c>
      <c r="C15607" s="1" t="s">
        <v>5783</v>
      </c>
      <c r="D15607" s="22" t="str">
        <f>HYPERLINK("https://rhld.insurance.arkansas.gov/NPILookup?Npi=1528408747","1528408747")</f>
        <v>1528408747</v>
      </c>
      <c r="E15607" s="1" t="s">
        <v>1254</v>
      </c>
      <c r="F15607" s="2"/>
      <c r="G15607" s="2"/>
      <c r="H15607" s="2"/>
    </row>
    <row r="15608" spans="1:8" x14ac:dyDescent="0.25">
      <c r="A15608" s="1"/>
      <c r="B15608" s="1" t="s">
        <v>5782</v>
      </c>
      <c r="C15608" s="1" t="s">
        <v>5783</v>
      </c>
      <c r="D15608" s="22" t="str">
        <f>HYPERLINK("https://rhld.insurance.arkansas.gov/NPILookup?Npi=1528412269","1528412269")</f>
        <v>1528412269</v>
      </c>
      <c r="E15608" s="1" t="s">
        <v>11870</v>
      </c>
      <c r="F15608" s="2"/>
      <c r="G15608" s="2"/>
      <c r="H15608" s="2"/>
    </row>
    <row r="15609" spans="1:8" x14ac:dyDescent="0.25">
      <c r="A15609" s="1"/>
      <c r="B15609" s="1" t="s">
        <v>5782</v>
      </c>
      <c r="C15609" s="1" t="s">
        <v>5783</v>
      </c>
      <c r="D15609" s="22" t="str">
        <f>HYPERLINK("https://rhld.insurance.arkansas.gov/NPILookup?Npi=1528426889","1528426889")</f>
        <v>1528426889</v>
      </c>
      <c r="E15609" s="1" t="s">
        <v>6386</v>
      </c>
      <c r="F15609" s="2"/>
      <c r="G15609" s="2"/>
      <c r="H15609" s="2"/>
    </row>
    <row r="15610" spans="1:8" x14ac:dyDescent="0.25">
      <c r="A15610" s="1"/>
      <c r="B15610" s="1" t="s">
        <v>5782</v>
      </c>
      <c r="C15610" s="1" t="s">
        <v>5783</v>
      </c>
      <c r="D15610" s="22" t="str">
        <f>HYPERLINK("https://rhld.insurance.arkansas.gov/NPILookup?Npi=1528436540","1528436540")</f>
        <v>1528436540</v>
      </c>
      <c r="E15610" s="1" t="s">
        <v>22484</v>
      </c>
      <c r="F15610" s="2"/>
      <c r="G15610" s="2"/>
      <c r="H15610" s="2"/>
    </row>
    <row r="15611" spans="1:8" x14ac:dyDescent="0.25">
      <c r="A15611" s="1"/>
      <c r="B15611" s="1" t="s">
        <v>5782</v>
      </c>
      <c r="C15611" s="1" t="s">
        <v>5783</v>
      </c>
      <c r="D15611" s="22" t="str">
        <f>HYPERLINK("https://rhld.insurance.arkansas.gov/NPILookup?Npi=1528444866","1528444866")</f>
        <v>1528444866</v>
      </c>
      <c r="E15611" s="1" t="s">
        <v>5261</v>
      </c>
      <c r="F15611" s="2"/>
      <c r="G15611" s="2"/>
      <c r="H15611" s="2"/>
    </row>
    <row r="15612" spans="1:8" x14ac:dyDescent="0.25">
      <c r="A15612" s="1"/>
      <c r="B15612" s="1" t="s">
        <v>5782</v>
      </c>
      <c r="C15612" s="1" t="s">
        <v>5783</v>
      </c>
      <c r="D15612" s="22" t="str">
        <f>HYPERLINK("https://rhld.insurance.arkansas.gov/NPILookup?Npi=1528457108","1528457108")</f>
        <v>1528457108</v>
      </c>
      <c r="E15612" s="1" t="s">
        <v>6387</v>
      </c>
      <c r="F15612" s="2"/>
      <c r="G15612" s="2"/>
      <c r="H15612" s="2"/>
    </row>
    <row r="15613" spans="1:8" x14ac:dyDescent="0.25">
      <c r="A15613" s="1"/>
      <c r="B15613" s="1" t="s">
        <v>5782</v>
      </c>
      <c r="C15613" s="1" t="s">
        <v>5783</v>
      </c>
      <c r="D15613" s="22" t="str">
        <f>HYPERLINK("https://rhld.insurance.arkansas.gov/NPILookup?Npi=1528457256","1528457256")</f>
        <v>1528457256</v>
      </c>
      <c r="E15613" s="1" t="s">
        <v>22485</v>
      </c>
      <c r="F15613" s="2"/>
      <c r="G15613" s="2"/>
      <c r="H15613" s="2"/>
    </row>
    <row r="15614" spans="1:8" x14ac:dyDescent="0.25">
      <c r="A15614" s="1"/>
      <c r="B15614" s="1" t="s">
        <v>5782</v>
      </c>
      <c r="C15614" s="1" t="s">
        <v>5783</v>
      </c>
      <c r="D15614" s="22" t="str">
        <f>HYPERLINK("https://rhld.insurance.arkansas.gov/NPILookup?Npi=1528467040","1528467040")</f>
        <v>1528467040</v>
      </c>
      <c r="E15614" s="1" t="s">
        <v>11871</v>
      </c>
      <c r="F15614" s="2"/>
      <c r="G15614" s="2"/>
      <c r="H15614" s="2"/>
    </row>
    <row r="15615" spans="1:8" x14ac:dyDescent="0.25">
      <c r="A15615" s="1"/>
      <c r="B15615" s="1" t="s">
        <v>5782</v>
      </c>
      <c r="C15615" s="1" t="s">
        <v>5783</v>
      </c>
      <c r="D15615" s="22" t="str">
        <f>HYPERLINK("https://rhld.insurance.arkansas.gov/NPILookup?Npi=1528485257","1528485257")</f>
        <v>1528485257</v>
      </c>
      <c r="E15615" s="1" t="s">
        <v>31896</v>
      </c>
      <c r="F15615" s="2"/>
      <c r="G15615" s="2"/>
      <c r="H15615" s="2"/>
    </row>
    <row r="15616" spans="1:8" x14ac:dyDescent="0.25">
      <c r="A15616" s="1"/>
      <c r="B15616" s="1" t="s">
        <v>5782</v>
      </c>
      <c r="C15616" s="1" t="s">
        <v>5783</v>
      </c>
      <c r="D15616" s="22" t="str">
        <f>HYPERLINK("https://rhld.insurance.arkansas.gov/NPILookup?Npi=1528511151","1528511151")</f>
        <v>1528511151</v>
      </c>
      <c r="E15616" s="1" t="s">
        <v>390</v>
      </c>
      <c r="F15616" s="2"/>
      <c r="G15616" s="2"/>
      <c r="H15616" s="2"/>
    </row>
    <row r="15617" spans="1:8" x14ac:dyDescent="0.25">
      <c r="A15617" s="1"/>
      <c r="B15617" s="1" t="s">
        <v>5782</v>
      </c>
      <c r="C15617" s="1" t="s">
        <v>5783</v>
      </c>
      <c r="D15617" s="22" t="str">
        <f>HYPERLINK("https://rhld.insurance.arkansas.gov/NPILookup?Npi=1528511441","1528511441")</f>
        <v>1528511441</v>
      </c>
      <c r="E15617" s="1" t="s">
        <v>1251</v>
      </c>
      <c r="F15617" s="2"/>
      <c r="G15617" s="2"/>
      <c r="H15617" s="2"/>
    </row>
    <row r="15618" spans="1:8" x14ac:dyDescent="0.25">
      <c r="A15618" s="1"/>
      <c r="B15618" s="1" t="s">
        <v>5782</v>
      </c>
      <c r="C15618" s="1" t="s">
        <v>5783</v>
      </c>
      <c r="D15618" s="22" t="str">
        <f>HYPERLINK("https://rhld.insurance.arkansas.gov/NPILookup?Npi=1528514395","1528514395")</f>
        <v>1528514395</v>
      </c>
      <c r="E15618" s="1" t="s">
        <v>3303</v>
      </c>
      <c r="F15618" s="2"/>
      <c r="G15618" s="2"/>
      <c r="H15618" s="2"/>
    </row>
    <row r="15619" spans="1:8" x14ac:dyDescent="0.25">
      <c r="A15619" s="1"/>
      <c r="B15619" s="1" t="s">
        <v>5782</v>
      </c>
      <c r="C15619" s="1" t="s">
        <v>5783</v>
      </c>
      <c r="D15619" s="22" t="str">
        <f>HYPERLINK("https://rhld.insurance.arkansas.gov/NPILookup?Npi=1528526282","1528526282")</f>
        <v>1528526282</v>
      </c>
      <c r="E15619" s="1" t="s">
        <v>22486</v>
      </c>
      <c r="F15619" s="2"/>
      <c r="G15619" s="2"/>
      <c r="H15619" s="2"/>
    </row>
    <row r="15620" spans="1:8" x14ac:dyDescent="0.25">
      <c r="A15620" s="1"/>
      <c r="B15620" s="1" t="s">
        <v>5782</v>
      </c>
      <c r="C15620" s="1" t="s">
        <v>5783</v>
      </c>
      <c r="D15620" s="22" t="str">
        <f>HYPERLINK("https://rhld.insurance.arkansas.gov/NPILookup?Npi=1528531092","1528531092")</f>
        <v>1528531092</v>
      </c>
      <c r="E15620" s="1" t="s">
        <v>22487</v>
      </c>
      <c r="F15620" s="2"/>
      <c r="G15620" s="2"/>
      <c r="H15620" s="2"/>
    </row>
    <row r="15621" spans="1:8" x14ac:dyDescent="0.25">
      <c r="A15621" s="1"/>
      <c r="B15621" s="1" t="s">
        <v>5782</v>
      </c>
      <c r="C15621" s="1" t="s">
        <v>5783</v>
      </c>
      <c r="D15621" s="22" t="str">
        <f>HYPERLINK("https://rhld.insurance.arkansas.gov/NPILookup?Npi=1528536729","1528536729")</f>
        <v>1528536729</v>
      </c>
      <c r="E15621" s="1" t="s">
        <v>5819</v>
      </c>
      <c r="F15621" s="2"/>
      <c r="G15621" s="2"/>
      <c r="H15621" s="2"/>
    </row>
    <row r="15622" spans="1:8" x14ac:dyDescent="0.25">
      <c r="A15622" s="1"/>
      <c r="B15622" s="1" t="s">
        <v>5782</v>
      </c>
      <c r="C15622" s="1" t="s">
        <v>5783</v>
      </c>
      <c r="D15622" s="22" t="str">
        <f>HYPERLINK("https://rhld.insurance.arkansas.gov/NPILookup?Npi=1528548435","1528548435")</f>
        <v>1528548435</v>
      </c>
      <c r="E15622" s="1" t="s">
        <v>22488</v>
      </c>
      <c r="F15622" s="2"/>
      <c r="G15622" s="2"/>
      <c r="H15622" s="2"/>
    </row>
    <row r="15623" spans="1:8" x14ac:dyDescent="0.25">
      <c r="A15623" s="1"/>
      <c r="B15623" s="1" t="s">
        <v>5782</v>
      </c>
      <c r="C15623" s="1" t="s">
        <v>5783</v>
      </c>
      <c r="D15623" s="22" t="str">
        <f>HYPERLINK("https://rhld.insurance.arkansas.gov/NPILookup?Npi=1528555075","1528555075")</f>
        <v>1528555075</v>
      </c>
      <c r="E15623" s="1" t="s">
        <v>3743</v>
      </c>
      <c r="F15623" s="2"/>
      <c r="G15623" s="2"/>
      <c r="H15623" s="2"/>
    </row>
    <row r="15624" spans="1:8" x14ac:dyDescent="0.25">
      <c r="A15624" s="1"/>
      <c r="B15624" s="1" t="s">
        <v>5782</v>
      </c>
      <c r="C15624" s="1" t="s">
        <v>5783</v>
      </c>
      <c r="D15624" s="22" t="str">
        <f>HYPERLINK("https://rhld.insurance.arkansas.gov/NPILookup?Npi=1528563822","1528563822")</f>
        <v>1528563822</v>
      </c>
      <c r="E15624" s="1" t="s">
        <v>22489</v>
      </c>
      <c r="F15624" s="2"/>
      <c r="G15624" s="2"/>
      <c r="H15624" s="2"/>
    </row>
    <row r="15625" spans="1:8" x14ac:dyDescent="0.25">
      <c r="A15625" s="1"/>
      <c r="B15625" s="1" t="s">
        <v>5782</v>
      </c>
      <c r="C15625" s="1" t="s">
        <v>5783</v>
      </c>
      <c r="D15625" s="22" t="str">
        <f>HYPERLINK("https://rhld.insurance.arkansas.gov/NPILookup?Npi=1528575511","1528575511")</f>
        <v>1528575511</v>
      </c>
      <c r="E15625" s="1" t="s">
        <v>22490</v>
      </c>
      <c r="F15625" s="2"/>
      <c r="G15625" s="2"/>
      <c r="H15625" s="2"/>
    </row>
    <row r="15626" spans="1:8" x14ac:dyDescent="0.25">
      <c r="A15626" s="1"/>
      <c r="B15626" s="1" t="s">
        <v>5782</v>
      </c>
      <c r="C15626" s="1" t="s">
        <v>5783</v>
      </c>
      <c r="D15626" s="22" t="str">
        <f>HYPERLINK("https://rhld.insurance.arkansas.gov/NPILookup?Npi=1528601135","1528601135")</f>
        <v>1528601135</v>
      </c>
      <c r="E15626" s="1" t="s">
        <v>22491</v>
      </c>
      <c r="F15626" s="2"/>
      <c r="G15626" s="2"/>
      <c r="H15626" s="2"/>
    </row>
    <row r="15627" spans="1:8" x14ac:dyDescent="0.25">
      <c r="A15627" s="1"/>
      <c r="B15627" s="1" t="s">
        <v>5782</v>
      </c>
      <c r="C15627" s="1" t="s">
        <v>5783</v>
      </c>
      <c r="D15627" s="22" t="str">
        <f>HYPERLINK("https://rhld.insurance.arkansas.gov/NPILookup?Npi=1528604006","1528604006")</f>
        <v>1528604006</v>
      </c>
      <c r="E15627" s="1" t="s">
        <v>22492</v>
      </c>
      <c r="F15627" s="2"/>
      <c r="G15627" s="2"/>
      <c r="H15627" s="2"/>
    </row>
    <row r="15628" spans="1:8" x14ac:dyDescent="0.25">
      <c r="A15628" s="1"/>
      <c r="B15628" s="1" t="s">
        <v>5782</v>
      </c>
      <c r="C15628" s="1" t="s">
        <v>5783</v>
      </c>
      <c r="D15628" s="22" t="str">
        <f>HYPERLINK("https://rhld.insurance.arkansas.gov/NPILookup?Npi=1528611654","1528611654")</f>
        <v>1528611654</v>
      </c>
      <c r="E15628" s="1" t="s">
        <v>22493</v>
      </c>
      <c r="F15628" s="2"/>
      <c r="G15628" s="2"/>
      <c r="H15628" s="2"/>
    </row>
    <row r="15629" spans="1:8" x14ac:dyDescent="0.25">
      <c r="A15629" s="1"/>
      <c r="B15629" s="1" t="s">
        <v>5782</v>
      </c>
      <c r="C15629" s="1" t="s">
        <v>5783</v>
      </c>
      <c r="D15629" s="22" t="str">
        <f>HYPERLINK("https://rhld.insurance.arkansas.gov/NPILookup?Npi=1528616927","1528616927")</f>
        <v>1528616927</v>
      </c>
      <c r="E15629" s="1" t="s">
        <v>6388</v>
      </c>
      <c r="F15629" s="2"/>
      <c r="G15629" s="2"/>
      <c r="H15629" s="2"/>
    </row>
    <row r="15630" spans="1:8" x14ac:dyDescent="0.25">
      <c r="A15630" s="1"/>
      <c r="B15630" s="1" t="s">
        <v>5782</v>
      </c>
      <c r="C15630" s="1" t="s">
        <v>5783</v>
      </c>
      <c r="D15630" s="22" t="str">
        <f>HYPERLINK("https://rhld.insurance.arkansas.gov/NPILookup?Npi=1528624301","1528624301")</f>
        <v>1528624301</v>
      </c>
      <c r="E15630" s="1" t="s">
        <v>22494</v>
      </c>
      <c r="F15630" s="2"/>
      <c r="G15630" s="2"/>
      <c r="H15630" s="2"/>
    </row>
    <row r="15631" spans="1:8" x14ac:dyDescent="0.25">
      <c r="A15631" s="1"/>
      <c r="B15631" s="1" t="s">
        <v>5782</v>
      </c>
      <c r="C15631" s="1" t="s">
        <v>5783</v>
      </c>
      <c r="D15631" s="22" t="str">
        <f>HYPERLINK("https://rhld.insurance.arkansas.gov/NPILookup?Npi=1528625993","1528625993")</f>
        <v>1528625993</v>
      </c>
      <c r="E15631" s="1" t="s">
        <v>22495</v>
      </c>
      <c r="F15631" s="2"/>
      <c r="G15631" s="2"/>
      <c r="H15631" s="2"/>
    </row>
    <row r="15632" spans="1:8" x14ac:dyDescent="0.25">
      <c r="A15632" s="1"/>
      <c r="B15632" s="1" t="s">
        <v>5782</v>
      </c>
      <c r="C15632" s="1" t="s">
        <v>5783</v>
      </c>
      <c r="D15632" s="22" t="str">
        <f>HYPERLINK("https://rhld.insurance.arkansas.gov/NPILookup?Npi=1528669009","1528669009")</f>
        <v>1528669009</v>
      </c>
      <c r="E15632" s="1" t="s">
        <v>22496</v>
      </c>
      <c r="F15632" s="2"/>
      <c r="G15632" s="2"/>
      <c r="H15632" s="2"/>
    </row>
    <row r="15633" spans="1:8" x14ac:dyDescent="0.25">
      <c r="A15633" s="1"/>
      <c r="B15633" s="1" t="s">
        <v>5782</v>
      </c>
      <c r="C15633" s="1" t="s">
        <v>5783</v>
      </c>
      <c r="D15633" s="22" t="str">
        <f>HYPERLINK("https://rhld.insurance.arkansas.gov/NPILookup?Npi=1528669983","1528669983")</f>
        <v>1528669983</v>
      </c>
      <c r="E15633" s="1" t="s">
        <v>22497</v>
      </c>
      <c r="F15633" s="2"/>
      <c r="G15633" s="2"/>
      <c r="H15633" s="2"/>
    </row>
    <row r="15634" spans="1:8" x14ac:dyDescent="0.25">
      <c r="A15634" s="1"/>
      <c r="B15634" s="1" t="s">
        <v>5782</v>
      </c>
      <c r="C15634" s="1" t="s">
        <v>5783</v>
      </c>
      <c r="D15634" s="22" t="str">
        <f>HYPERLINK("https://rhld.insurance.arkansas.gov/NPILookup?Npi=1528671336","1528671336")</f>
        <v>1528671336</v>
      </c>
      <c r="E15634" s="1" t="s">
        <v>11872</v>
      </c>
      <c r="F15634" s="2"/>
      <c r="G15634" s="2"/>
      <c r="H15634" s="2"/>
    </row>
    <row r="15635" spans="1:8" x14ac:dyDescent="0.25">
      <c r="A15635" s="1"/>
      <c r="B15635" s="1" t="s">
        <v>5782</v>
      </c>
      <c r="C15635" s="1" t="s">
        <v>5783</v>
      </c>
      <c r="D15635" s="22" t="str">
        <f>HYPERLINK("https://rhld.insurance.arkansas.gov/NPILookup?Npi=1528690138","1528690138")</f>
        <v>1528690138</v>
      </c>
      <c r="E15635" s="1" t="s">
        <v>6389</v>
      </c>
      <c r="F15635" s="2"/>
      <c r="G15635" s="2"/>
      <c r="H15635" s="2"/>
    </row>
    <row r="15636" spans="1:8" x14ac:dyDescent="0.25">
      <c r="A15636" s="1"/>
      <c r="B15636" s="1" t="s">
        <v>5782</v>
      </c>
      <c r="C15636" s="1" t="s">
        <v>5783</v>
      </c>
      <c r="D15636" s="22" t="str">
        <f>HYPERLINK("https://rhld.insurance.arkansas.gov/NPILookup?Npi=1528739000","1528739000")</f>
        <v>1528739000</v>
      </c>
      <c r="E15636" s="1" t="s">
        <v>22498</v>
      </c>
      <c r="F15636" s="2"/>
      <c r="G15636" s="2"/>
      <c r="H15636" s="2"/>
    </row>
    <row r="15637" spans="1:8" x14ac:dyDescent="0.25">
      <c r="A15637" s="1"/>
      <c r="B15637" s="1" t="s">
        <v>5782</v>
      </c>
      <c r="C15637" s="1" t="s">
        <v>5783</v>
      </c>
      <c r="D15637" s="22" t="str">
        <f>HYPERLINK("https://rhld.insurance.arkansas.gov/NPILookup?Npi=1528748993","1528748993")</f>
        <v>1528748993</v>
      </c>
      <c r="E15637" s="1" t="s">
        <v>22499</v>
      </c>
      <c r="F15637" s="2"/>
      <c r="G15637" s="2"/>
      <c r="H15637" s="2"/>
    </row>
    <row r="15638" spans="1:8" x14ac:dyDescent="0.25">
      <c r="A15638" s="1"/>
      <c r="B15638" s="1" t="s">
        <v>5782</v>
      </c>
      <c r="C15638" s="1" t="s">
        <v>5783</v>
      </c>
      <c r="D15638" s="22" t="str">
        <f>HYPERLINK("https://rhld.insurance.arkansas.gov/NPILookup?Npi=1528757408","1528757408")</f>
        <v>1528757408</v>
      </c>
      <c r="E15638" s="1" t="s">
        <v>6390</v>
      </c>
      <c r="F15638" s="2"/>
      <c r="G15638" s="2"/>
      <c r="H15638" s="2"/>
    </row>
    <row r="15639" spans="1:8" x14ac:dyDescent="0.25">
      <c r="A15639" s="1"/>
      <c r="B15639" s="1" t="s">
        <v>5782</v>
      </c>
      <c r="C15639" s="1" t="s">
        <v>5783</v>
      </c>
      <c r="D15639" s="22" t="str">
        <f>HYPERLINK("https://rhld.insurance.arkansas.gov/NPILookup?Npi=1528767829","1528767829")</f>
        <v>1528767829</v>
      </c>
      <c r="E15639" s="1" t="s">
        <v>6391</v>
      </c>
      <c r="F15639" s="2"/>
      <c r="G15639" s="2"/>
      <c r="H15639" s="2"/>
    </row>
    <row r="15640" spans="1:8" x14ac:dyDescent="0.25">
      <c r="A15640" s="1"/>
      <c r="B15640" s="1" t="s">
        <v>5782</v>
      </c>
      <c r="C15640" s="1" t="s">
        <v>5783</v>
      </c>
      <c r="D15640" s="22" t="str">
        <f>HYPERLINK("https://rhld.insurance.arkansas.gov/NPILookup?Npi=1528799723","1528799723")</f>
        <v>1528799723</v>
      </c>
      <c r="E15640" s="1" t="s">
        <v>22500</v>
      </c>
      <c r="F15640" s="2"/>
      <c r="G15640" s="2"/>
      <c r="H15640" s="2"/>
    </row>
    <row r="15641" spans="1:8" x14ac:dyDescent="0.25">
      <c r="A15641" s="1"/>
      <c r="B15641" s="1" t="s">
        <v>5782</v>
      </c>
      <c r="C15641" s="1" t="s">
        <v>5783</v>
      </c>
      <c r="D15641" s="22" t="str">
        <f>HYPERLINK("https://rhld.insurance.arkansas.gov/NPILookup?Npi=1528820909","1528820909")</f>
        <v>1528820909</v>
      </c>
      <c r="E15641" s="1" t="s">
        <v>22501</v>
      </c>
      <c r="F15641" s="2"/>
      <c r="G15641" s="2"/>
      <c r="H15641" s="2"/>
    </row>
    <row r="15642" spans="1:8" x14ac:dyDescent="0.25">
      <c r="A15642" s="1"/>
      <c r="B15642" s="1" t="s">
        <v>5782</v>
      </c>
      <c r="C15642" s="1" t="s">
        <v>5783</v>
      </c>
      <c r="D15642" s="22" t="str">
        <f>HYPERLINK("https://rhld.insurance.arkansas.gov/NPILookup?Npi=1528837945","1528837945")</f>
        <v>1528837945</v>
      </c>
      <c r="E15642" s="1" t="s">
        <v>22502</v>
      </c>
      <c r="F15642" s="2"/>
      <c r="G15642" s="2"/>
      <c r="H15642" s="2"/>
    </row>
    <row r="15643" spans="1:8" x14ac:dyDescent="0.25">
      <c r="A15643" s="1"/>
      <c r="B15643" s="1" t="s">
        <v>5782</v>
      </c>
      <c r="C15643" s="1" t="s">
        <v>5783</v>
      </c>
      <c r="D15643" s="22" t="str">
        <f>HYPERLINK("https://rhld.insurance.arkansas.gov/NPILookup?Npi=1528895315","1528895315")</f>
        <v>1528895315</v>
      </c>
      <c r="E15643" s="1" t="s">
        <v>31897</v>
      </c>
      <c r="F15643" s="2"/>
      <c r="G15643" s="2"/>
      <c r="H15643" s="2"/>
    </row>
    <row r="15644" spans="1:8" x14ac:dyDescent="0.25">
      <c r="A15644" s="1"/>
      <c r="B15644" s="1" t="s">
        <v>5782</v>
      </c>
      <c r="C15644" s="1" t="s">
        <v>5783</v>
      </c>
      <c r="D15644" s="22" t="str">
        <f>HYPERLINK("https://rhld.insurance.arkansas.gov/NPILookup?Npi=1538133418","1538133418")</f>
        <v>1538133418</v>
      </c>
      <c r="E15644" s="1" t="s">
        <v>350</v>
      </c>
      <c r="F15644" s="2"/>
      <c r="G15644" s="2"/>
      <c r="H15644" s="2"/>
    </row>
    <row r="15645" spans="1:8" x14ac:dyDescent="0.25">
      <c r="A15645" s="1"/>
      <c r="B15645" s="1" t="s">
        <v>5782</v>
      </c>
      <c r="C15645" s="1" t="s">
        <v>5783</v>
      </c>
      <c r="D15645" s="22" t="str">
        <f>HYPERLINK("https://rhld.insurance.arkansas.gov/NPILookup?Npi=1538134424","1538134424")</f>
        <v>1538134424</v>
      </c>
      <c r="E15645" s="1" t="s">
        <v>22503</v>
      </c>
      <c r="F15645" s="2"/>
      <c r="G15645" s="2"/>
      <c r="H15645" s="2"/>
    </row>
    <row r="15646" spans="1:8" x14ac:dyDescent="0.25">
      <c r="A15646" s="1"/>
      <c r="B15646" s="1" t="s">
        <v>5782</v>
      </c>
      <c r="C15646" s="1" t="s">
        <v>5783</v>
      </c>
      <c r="D15646" s="22" t="str">
        <f>HYPERLINK("https://rhld.insurance.arkansas.gov/NPILookup?Npi=1538191275","1538191275")</f>
        <v>1538191275</v>
      </c>
      <c r="E15646" s="1" t="s">
        <v>22504</v>
      </c>
      <c r="F15646" s="2"/>
      <c r="G15646" s="2"/>
      <c r="H15646" s="2"/>
    </row>
    <row r="15647" spans="1:8" x14ac:dyDescent="0.25">
      <c r="A15647" s="1"/>
      <c r="B15647" s="1" t="s">
        <v>5782</v>
      </c>
      <c r="C15647" s="1" t="s">
        <v>5783</v>
      </c>
      <c r="D15647" s="22" t="str">
        <f>HYPERLINK("https://rhld.insurance.arkansas.gov/NPILookup?Npi=1538220744","1538220744")</f>
        <v>1538220744</v>
      </c>
      <c r="E15647" s="1" t="s">
        <v>1138</v>
      </c>
      <c r="F15647" s="2"/>
      <c r="G15647" s="2"/>
      <c r="H15647" s="2"/>
    </row>
    <row r="15648" spans="1:8" x14ac:dyDescent="0.25">
      <c r="A15648" s="1"/>
      <c r="B15648" s="1" t="s">
        <v>5782</v>
      </c>
      <c r="C15648" s="1" t="s">
        <v>5783</v>
      </c>
      <c r="D15648" s="22" t="str">
        <f>HYPERLINK("https://rhld.insurance.arkansas.gov/NPILookup?Npi=1538222112","1538222112")</f>
        <v>1538222112</v>
      </c>
      <c r="E15648" s="1" t="s">
        <v>22505</v>
      </c>
      <c r="F15648" s="2"/>
      <c r="G15648" s="2"/>
      <c r="H15648" s="2"/>
    </row>
    <row r="15649" spans="1:8" x14ac:dyDescent="0.25">
      <c r="A15649" s="1"/>
      <c r="B15649" s="1" t="s">
        <v>5782</v>
      </c>
      <c r="C15649" s="1" t="s">
        <v>5783</v>
      </c>
      <c r="D15649" s="22" t="str">
        <f>HYPERLINK("https://rhld.insurance.arkansas.gov/NPILookup?Npi=1538253059","1538253059")</f>
        <v>1538253059</v>
      </c>
      <c r="E15649" s="1" t="s">
        <v>11873</v>
      </c>
      <c r="F15649" s="2"/>
      <c r="G15649" s="2"/>
      <c r="H15649" s="2"/>
    </row>
    <row r="15650" spans="1:8" x14ac:dyDescent="0.25">
      <c r="A15650" s="1"/>
      <c r="B15650" s="1" t="s">
        <v>5782</v>
      </c>
      <c r="C15650" s="1" t="s">
        <v>5783</v>
      </c>
      <c r="D15650" s="22" t="str">
        <f>HYPERLINK("https://rhld.insurance.arkansas.gov/NPILookup?Npi=1538259023","1538259023")</f>
        <v>1538259023</v>
      </c>
      <c r="E15650" s="1" t="s">
        <v>11874</v>
      </c>
      <c r="F15650" s="2"/>
      <c r="G15650" s="2"/>
      <c r="H15650" s="2"/>
    </row>
    <row r="15651" spans="1:8" x14ac:dyDescent="0.25">
      <c r="A15651" s="1"/>
      <c r="B15651" s="1" t="s">
        <v>5782</v>
      </c>
      <c r="C15651" s="1" t="s">
        <v>5783</v>
      </c>
      <c r="D15651" s="22" t="str">
        <f>HYPERLINK("https://rhld.insurance.arkansas.gov/NPILookup?Npi=1538268081","1538268081")</f>
        <v>1538268081</v>
      </c>
      <c r="E15651" s="1" t="s">
        <v>938</v>
      </c>
      <c r="F15651" s="2"/>
      <c r="G15651" s="2"/>
      <c r="H15651" s="2"/>
    </row>
    <row r="15652" spans="1:8" x14ac:dyDescent="0.25">
      <c r="A15652" s="1"/>
      <c r="B15652" s="1" t="s">
        <v>5782</v>
      </c>
      <c r="C15652" s="1" t="s">
        <v>5783</v>
      </c>
      <c r="D15652" s="22" t="str">
        <f>HYPERLINK("https://rhld.insurance.arkansas.gov/NPILookup?Npi=1538272083","1538272083")</f>
        <v>1538272083</v>
      </c>
      <c r="E15652" s="1" t="s">
        <v>1425</v>
      </c>
      <c r="F15652" s="2"/>
      <c r="G15652" s="2"/>
      <c r="H15652" s="2"/>
    </row>
    <row r="15653" spans="1:8" x14ac:dyDescent="0.25">
      <c r="A15653" s="1"/>
      <c r="B15653" s="1" t="s">
        <v>5782</v>
      </c>
      <c r="C15653" s="1" t="s">
        <v>5783</v>
      </c>
      <c r="D15653" s="22" t="str">
        <f>HYPERLINK("https://rhld.insurance.arkansas.gov/NPILookup?Npi=1538301205","1538301205")</f>
        <v>1538301205</v>
      </c>
      <c r="E15653" s="1" t="s">
        <v>22506</v>
      </c>
      <c r="F15653" s="2"/>
      <c r="G15653" s="2"/>
      <c r="H15653" s="2"/>
    </row>
    <row r="15654" spans="1:8" x14ac:dyDescent="0.25">
      <c r="A15654" s="1"/>
      <c r="B15654" s="1" t="s">
        <v>5782</v>
      </c>
      <c r="C15654" s="1" t="s">
        <v>5783</v>
      </c>
      <c r="D15654" s="22" t="str">
        <f>HYPERLINK("https://rhld.insurance.arkansas.gov/NPILookup?Npi=1538309281","1538309281")</f>
        <v>1538309281</v>
      </c>
      <c r="E15654" s="1" t="s">
        <v>3304</v>
      </c>
      <c r="F15654" s="2"/>
      <c r="G15654" s="2"/>
      <c r="H15654" s="2"/>
    </row>
    <row r="15655" spans="1:8" x14ac:dyDescent="0.25">
      <c r="A15655" s="1"/>
      <c r="B15655" s="1" t="s">
        <v>5782</v>
      </c>
      <c r="C15655" s="1" t="s">
        <v>5783</v>
      </c>
      <c r="D15655" s="22" t="str">
        <f>HYPERLINK("https://rhld.insurance.arkansas.gov/NPILookup?Npi=1538317482","1538317482")</f>
        <v>1538317482</v>
      </c>
      <c r="E15655" s="1" t="s">
        <v>22507</v>
      </c>
      <c r="F15655" s="2"/>
      <c r="G15655" s="2"/>
      <c r="H15655" s="2"/>
    </row>
    <row r="15656" spans="1:8" x14ac:dyDescent="0.25">
      <c r="A15656" s="1"/>
      <c r="B15656" s="1" t="s">
        <v>5782</v>
      </c>
      <c r="C15656" s="1" t="s">
        <v>5783</v>
      </c>
      <c r="D15656" s="22" t="str">
        <f>HYPERLINK("https://rhld.insurance.arkansas.gov/NPILookup?Npi=1538317789","1538317789")</f>
        <v>1538317789</v>
      </c>
      <c r="E15656" s="1" t="s">
        <v>20616</v>
      </c>
      <c r="F15656" s="2"/>
      <c r="G15656" s="2"/>
      <c r="H15656" s="2"/>
    </row>
    <row r="15657" spans="1:8" x14ac:dyDescent="0.25">
      <c r="A15657" s="1"/>
      <c r="B15657" s="1" t="s">
        <v>5782</v>
      </c>
      <c r="C15657" s="1" t="s">
        <v>5783</v>
      </c>
      <c r="D15657" s="22" t="str">
        <f>HYPERLINK("https://rhld.insurance.arkansas.gov/NPILookup?Npi=1538319777","1538319777")</f>
        <v>1538319777</v>
      </c>
      <c r="E15657" s="1" t="s">
        <v>22508</v>
      </c>
      <c r="F15657" s="2"/>
      <c r="G15657" s="2"/>
      <c r="H15657" s="2"/>
    </row>
    <row r="15658" spans="1:8" x14ac:dyDescent="0.25">
      <c r="A15658" s="1"/>
      <c r="B15658" s="1" t="s">
        <v>5782</v>
      </c>
      <c r="C15658" s="1" t="s">
        <v>5783</v>
      </c>
      <c r="D15658" s="22" t="str">
        <f>HYPERLINK("https://rhld.insurance.arkansas.gov/NPILookup?Npi=1538319900","1538319900")</f>
        <v>1538319900</v>
      </c>
      <c r="E15658" s="1" t="s">
        <v>22509</v>
      </c>
      <c r="F15658" s="2"/>
      <c r="G15658" s="2"/>
      <c r="H15658" s="2"/>
    </row>
    <row r="15659" spans="1:8" x14ac:dyDescent="0.25">
      <c r="A15659" s="1"/>
      <c r="B15659" s="1" t="s">
        <v>5782</v>
      </c>
      <c r="C15659" s="1" t="s">
        <v>5783</v>
      </c>
      <c r="D15659" s="22" t="str">
        <f>HYPERLINK("https://rhld.insurance.arkansas.gov/NPILookup?Npi=1538321427","1538321427")</f>
        <v>1538321427</v>
      </c>
      <c r="E15659" s="1" t="s">
        <v>22510</v>
      </c>
      <c r="F15659" s="2"/>
      <c r="G15659" s="2"/>
      <c r="H15659" s="2"/>
    </row>
    <row r="15660" spans="1:8" x14ac:dyDescent="0.25">
      <c r="A15660" s="1"/>
      <c r="B15660" s="1" t="s">
        <v>5782</v>
      </c>
      <c r="C15660" s="1" t="s">
        <v>5783</v>
      </c>
      <c r="D15660" s="22" t="str">
        <f>HYPERLINK("https://rhld.insurance.arkansas.gov/NPILookup?Npi=1538336102","1538336102")</f>
        <v>1538336102</v>
      </c>
      <c r="E15660" s="1" t="s">
        <v>22511</v>
      </c>
      <c r="F15660" s="2"/>
      <c r="G15660" s="2"/>
      <c r="H15660" s="2"/>
    </row>
    <row r="15661" spans="1:8" x14ac:dyDescent="0.25">
      <c r="A15661" s="1"/>
      <c r="B15661" s="1" t="s">
        <v>5782</v>
      </c>
      <c r="C15661" s="1" t="s">
        <v>5783</v>
      </c>
      <c r="D15661" s="22" t="str">
        <f>HYPERLINK("https://rhld.insurance.arkansas.gov/NPILookup?Npi=1538348347","1538348347")</f>
        <v>1538348347</v>
      </c>
      <c r="E15661" s="1" t="s">
        <v>3305</v>
      </c>
      <c r="F15661" s="2"/>
      <c r="G15661" s="2"/>
      <c r="H15661" s="2"/>
    </row>
    <row r="15662" spans="1:8" x14ac:dyDescent="0.25">
      <c r="A15662" s="1"/>
      <c r="B15662" s="1" t="s">
        <v>5782</v>
      </c>
      <c r="C15662" s="1" t="s">
        <v>5783</v>
      </c>
      <c r="D15662" s="22" t="str">
        <f>HYPERLINK("https://rhld.insurance.arkansas.gov/NPILookup?Npi=1538357546","1538357546")</f>
        <v>1538357546</v>
      </c>
      <c r="E15662" s="1" t="s">
        <v>3306</v>
      </c>
      <c r="F15662" s="2"/>
      <c r="G15662" s="2"/>
      <c r="H15662" s="2"/>
    </row>
    <row r="15663" spans="1:8" x14ac:dyDescent="0.25">
      <c r="A15663" s="1"/>
      <c r="B15663" s="1" t="s">
        <v>5782</v>
      </c>
      <c r="C15663" s="1" t="s">
        <v>5783</v>
      </c>
      <c r="D15663" s="22" t="str">
        <f>HYPERLINK("https://rhld.insurance.arkansas.gov/NPILookup?Npi=1538367891","1538367891")</f>
        <v>1538367891</v>
      </c>
      <c r="E15663" s="1" t="s">
        <v>22512</v>
      </c>
      <c r="F15663" s="2"/>
      <c r="G15663" s="2"/>
      <c r="H15663" s="2"/>
    </row>
    <row r="15664" spans="1:8" x14ac:dyDescent="0.25">
      <c r="A15664" s="1"/>
      <c r="B15664" s="1" t="s">
        <v>5782</v>
      </c>
      <c r="C15664" s="1" t="s">
        <v>5783</v>
      </c>
      <c r="D15664" s="22" t="str">
        <f>HYPERLINK("https://rhld.insurance.arkansas.gov/NPILookup?Npi=1538371190","1538371190")</f>
        <v>1538371190</v>
      </c>
      <c r="E15664" s="1" t="s">
        <v>395</v>
      </c>
      <c r="F15664" s="2"/>
      <c r="G15664" s="2"/>
      <c r="H15664" s="2"/>
    </row>
    <row r="15665" spans="1:8" x14ac:dyDescent="0.25">
      <c r="A15665" s="1"/>
      <c r="B15665" s="1" t="s">
        <v>5782</v>
      </c>
      <c r="C15665" s="1" t="s">
        <v>5783</v>
      </c>
      <c r="D15665" s="22" t="str">
        <f>HYPERLINK("https://rhld.insurance.arkansas.gov/NPILookup?Npi=1538382585","1538382585")</f>
        <v>1538382585</v>
      </c>
      <c r="E15665" s="1" t="s">
        <v>22513</v>
      </c>
      <c r="F15665" s="2"/>
      <c r="G15665" s="2"/>
      <c r="H15665" s="2"/>
    </row>
    <row r="15666" spans="1:8" x14ac:dyDescent="0.25">
      <c r="A15666" s="1"/>
      <c r="B15666" s="1" t="s">
        <v>5782</v>
      </c>
      <c r="C15666" s="1" t="s">
        <v>5783</v>
      </c>
      <c r="D15666" s="22" t="str">
        <f>HYPERLINK("https://rhld.insurance.arkansas.gov/NPILookup?Npi=1538387519","1538387519")</f>
        <v>1538387519</v>
      </c>
      <c r="E15666" s="1" t="s">
        <v>22514</v>
      </c>
      <c r="F15666" s="2"/>
      <c r="G15666" s="2"/>
      <c r="H15666" s="2"/>
    </row>
    <row r="15667" spans="1:8" x14ac:dyDescent="0.25">
      <c r="A15667" s="1"/>
      <c r="B15667" s="1" t="s">
        <v>5782</v>
      </c>
      <c r="C15667" s="1" t="s">
        <v>5783</v>
      </c>
      <c r="D15667" s="22" t="str">
        <f>HYPERLINK("https://rhld.insurance.arkansas.gov/NPILookup?Npi=1538391008","1538391008")</f>
        <v>1538391008</v>
      </c>
      <c r="E15667" s="1" t="s">
        <v>22515</v>
      </c>
      <c r="F15667" s="2"/>
      <c r="G15667" s="2"/>
      <c r="H15667" s="2"/>
    </row>
    <row r="15668" spans="1:8" x14ac:dyDescent="0.25">
      <c r="A15668" s="1"/>
      <c r="B15668" s="1" t="s">
        <v>5782</v>
      </c>
      <c r="C15668" s="1" t="s">
        <v>5783</v>
      </c>
      <c r="D15668" s="22" t="str">
        <f>HYPERLINK("https://rhld.insurance.arkansas.gov/NPILookup?Npi=1538408018","1538408018")</f>
        <v>1538408018</v>
      </c>
      <c r="E15668" s="1" t="s">
        <v>22516</v>
      </c>
      <c r="F15668" s="2"/>
      <c r="G15668" s="2"/>
      <c r="H15668" s="2"/>
    </row>
    <row r="15669" spans="1:8" x14ac:dyDescent="0.25">
      <c r="A15669" s="1"/>
      <c r="B15669" s="1" t="s">
        <v>5782</v>
      </c>
      <c r="C15669" s="1" t="s">
        <v>5783</v>
      </c>
      <c r="D15669" s="22" t="str">
        <f>HYPERLINK("https://rhld.insurance.arkansas.gov/NPILookup?Npi=1538408406","1538408406")</f>
        <v>1538408406</v>
      </c>
      <c r="E15669" s="1" t="s">
        <v>11875</v>
      </c>
      <c r="F15669" s="2"/>
      <c r="G15669" s="2"/>
      <c r="H15669" s="2"/>
    </row>
    <row r="15670" spans="1:8" x14ac:dyDescent="0.25">
      <c r="A15670" s="1"/>
      <c r="B15670" s="1" t="s">
        <v>5782</v>
      </c>
      <c r="C15670" s="1" t="s">
        <v>5783</v>
      </c>
      <c r="D15670" s="22" t="str">
        <f>HYPERLINK("https://rhld.insurance.arkansas.gov/NPILookup?Npi=1538417639","1538417639")</f>
        <v>1538417639</v>
      </c>
      <c r="E15670" s="1" t="s">
        <v>2194</v>
      </c>
      <c r="F15670" s="2"/>
      <c r="G15670" s="2"/>
      <c r="H15670" s="2"/>
    </row>
    <row r="15671" spans="1:8" x14ac:dyDescent="0.25">
      <c r="A15671" s="1"/>
      <c r="B15671" s="1" t="s">
        <v>5782</v>
      </c>
      <c r="C15671" s="1" t="s">
        <v>5783</v>
      </c>
      <c r="D15671" s="22" t="str">
        <f>HYPERLINK("https://rhld.insurance.arkansas.gov/NPILookup?Npi=1538431556","1538431556")</f>
        <v>1538431556</v>
      </c>
      <c r="E15671" s="1" t="s">
        <v>22517</v>
      </c>
      <c r="F15671" s="2"/>
      <c r="G15671" s="2"/>
      <c r="H15671" s="2"/>
    </row>
    <row r="15672" spans="1:8" x14ac:dyDescent="0.25">
      <c r="A15672" s="1"/>
      <c r="B15672" s="1" t="s">
        <v>5782</v>
      </c>
      <c r="C15672" s="1" t="s">
        <v>5783</v>
      </c>
      <c r="D15672" s="22" t="str">
        <f>HYPERLINK("https://rhld.insurance.arkansas.gov/NPILookup?Npi=1538436902","1538436902")</f>
        <v>1538436902</v>
      </c>
      <c r="E15672" s="1" t="s">
        <v>22518</v>
      </c>
      <c r="F15672" s="2"/>
      <c r="G15672" s="2"/>
      <c r="H15672" s="2"/>
    </row>
    <row r="15673" spans="1:8" x14ac:dyDescent="0.25">
      <c r="A15673" s="1"/>
      <c r="B15673" s="1" t="s">
        <v>5782</v>
      </c>
      <c r="C15673" s="1" t="s">
        <v>5783</v>
      </c>
      <c r="D15673" s="22" t="str">
        <f>HYPERLINK("https://rhld.insurance.arkansas.gov/NPILookup?Npi=1538453642","1538453642")</f>
        <v>1538453642</v>
      </c>
      <c r="E15673" s="1" t="s">
        <v>1048</v>
      </c>
      <c r="F15673" s="2"/>
      <c r="G15673" s="2"/>
      <c r="H15673" s="2"/>
    </row>
    <row r="15674" spans="1:8" x14ac:dyDescent="0.25">
      <c r="A15674" s="1"/>
      <c r="B15674" s="1" t="s">
        <v>5782</v>
      </c>
      <c r="C15674" s="1" t="s">
        <v>5783</v>
      </c>
      <c r="D15674" s="22" t="str">
        <f>HYPERLINK("https://rhld.insurance.arkansas.gov/NPILookup?Npi=1538455217","1538455217")</f>
        <v>1538455217</v>
      </c>
      <c r="E15674" s="1" t="s">
        <v>16809</v>
      </c>
      <c r="F15674" s="2"/>
      <c r="G15674" s="2"/>
      <c r="H15674" s="2"/>
    </row>
    <row r="15675" spans="1:8" x14ac:dyDescent="0.25">
      <c r="A15675" s="1"/>
      <c r="B15675" s="1" t="s">
        <v>5782</v>
      </c>
      <c r="C15675" s="1" t="s">
        <v>5783</v>
      </c>
      <c r="D15675" s="22" t="str">
        <f>HYPERLINK("https://rhld.insurance.arkansas.gov/NPILookup?Npi=1538461017","1538461017")</f>
        <v>1538461017</v>
      </c>
      <c r="E15675" s="1" t="s">
        <v>6394</v>
      </c>
      <c r="F15675" s="2"/>
      <c r="G15675" s="2"/>
      <c r="H15675" s="2"/>
    </row>
    <row r="15676" spans="1:8" x14ac:dyDescent="0.25">
      <c r="A15676" s="1"/>
      <c r="B15676" s="1" t="s">
        <v>5782</v>
      </c>
      <c r="C15676" s="1" t="s">
        <v>5783</v>
      </c>
      <c r="D15676" s="22" t="str">
        <f>HYPERLINK("https://rhld.insurance.arkansas.gov/NPILookup?Npi=1538514336","1538514336")</f>
        <v>1538514336</v>
      </c>
      <c r="E15676" s="1" t="s">
        <v>11876</v>
      </c>
      <c r="F15676" s="2"/>
      <c r="G15676" s="2"/>
      <c r="H15676" s="2"/>
    </row>
    <row r="15677" spans="1:8" x14ac:dyDescent="0.25">
      <c r="A15677" s="1"/>
      <c r="B15677" s="1" t="s">
        <v>5782</v>
      </c>
      <c r="C15677" s="1" t="s">
        <v>5783</v>
      </c>
      <c r="D15677" s="22" t="str">
        <f>HYPERLINK("https://rhld.insurance.arkansas.gov/NPILookup?Npi=1538536891","1538536891")</f>
        <v>1538536891</v>
      </c>
      <c r="E15677" s="1" t="s">
        <v>11877</v>
      </c>
      <c r="F15677" s="2"/>
      <c r="G15677" s="2"/>
      <c r="H15677" s="2"/>
    </row>
    <row r="15678" spans="1:8" x14ac:dyDescent="0.25">
      <c r="A15678" s="1"/>
      <c r="B15678" s="1" t="s">
        <v>5782</v>
      </c>
      <c r="C15678" s="1" t="s">
        <v>5783</v>
      </c>
      <c r="D15678" s="22" t="str">
        <f>HYPERLINK("https://rhld.insurance.arkansas.gov/NPILookup?Npi=1538609417","1538609417")</f>
        <v>1538609417</v>
      </c>
      <c r="E15678" s="1" t="s">
        <v>22519</v>
      </c>
      <c r="F15678" s="2"/>
      <c r="G15678" s="2"/>
      <c r="H15678" s="2"/>
    </row>
    <row r="15679" spans="1:8" x14ac:dyDescent="0.25">
      <c r="A15679" s="1"/>
      <c r="B15679" s="1" t="s">
        <v>5782</v>
      </c>
      <c r="C15679" s="1" t="s">
        <v>5783</v>
      </c>
      <c r="D15679" s="22" t="str">
        <f>HYPERLINK("https://rhld.insurance.arkansas.gov/NPILookup?Npi=1538627781","1538627781")</f>
        <v>1538627781</v>
      </c>
      <c r="E15679" s="1" t="s">
        <v>6395</v>
      </c>
      <c r="F15679" s="2"/>
      <c r="G15679" s="2"/>
      <c r="H15679" s="2"/>
    </row>
    <row r="15680" spans="1:8" x14ac:dyDescent="0.25">
      <c r="A15680" s="1"/>
      <c r="B15680" s="1" t="s">
        <v>5782</v>
      </c>
      <c r="C15680" s="1" t="s">
        <v>5783</v>
      </c>
      <c r="D15680" s="22" t="str">
        <f>HYPERLINK("https://rhld.insurance.arkansas.gov/NPILookup?Npi=1538636238","1538636238")</f>
        <v>1538636238</v>
      </c>
      <c r="E15680" s="1" t="s">
        <v>22520</v>
      </c>
      <c r="F15680" s="2"/>
      <c r="G15680" s="2"/>
      <c r="H15680" s="2"/>
    </row>
    <row r="15681" spans="1:8" x14ac:dyDescent="0.25">
      <c r="A15681" s="1"/>
      <c r="B15681" s="1" t="s">
        <v>5782</v>
      </c>
      <c r="C15681" s="1" t="s">
        <v>5783</v>
      </c>
      <c r="D15681" s="22" t="str">
        <f>HYPERLINK("https://rhld.insurance.arkansas.gov/NPILookup?Npi=1538646484","1538646484")</f>
        <v>1538646484</v>
      </c>
      <c r="E15681" s="1" t="s">
        <v>6396</v>
      </c>
      <c r="F15681" s="2"/>
      <c r="G15681" s="2"/>
      <c r="H15681" s="2"/>
    </row>
    <row r="15682" spans="1:8" x14ac:dyDescent="0.25">
      <c r="A15682" s="1"/>
      <c r="B15682" s="1" t="s">
        <v>5782</v>
      </c>
      <c r="C15682" s="1" t="s">
        <v>5783</v>
      </c>
      <c r="D15682" s="22" t="str">
        <f>HYPERLINK("https://rhld.insurance.arkansas.gov/NPILookup?Npi=1538673140","1538673140")</f>
        <v>1538673140</v>
      </c>
      <c r="E15682" s="1" t="s">
        <v>22521</v>
      </c>
      <c r="F15682" s="2"/>
      <c r="G15682" s="2"/>
      <c r="H15682" s="2"/>
    </row>
    <row r="15683" spans="1:8" x14ac:dyDescent="0.25">
      <c r="A15683" s="1"/>
      <c r="B15683" s="1" t="s">
        <v>5782</v>
      </c>
      <c r="C15683" s="1" t="s">
        <v>5783</v>
      </c>
      <c r="D15683" s="22" t="str">
        <f>HYPERLINK("https://rhld.insurance.arkansas.gov/NPILookup?Npi=1538678503","1538678503")</f>
        <v>1538678503</v>
      </c>
      <c r="E15683" s="1" t="s">
        <v>22522</v>
      </c>
      <c r="F15683" s="2"/>
      <c r="G15683" s="2"/>
      <c r="H15683" s="2"/>
    </row>
    <row r="15684" spans="1:8" x14ac:dyDescent="0.25">
      <c r="A15684" s="1"/>
      <c r="B15684" s="1" t="s">
        <v>5782</v>
      </c>
      <c r="C15684" s="1" t="s">
        <v>5783</v>
      </c>
      <c r="D15684" s="22" t="str">
        <f>HYPERLINK("https://rhld.insurance.arkansas.gov/NPILookup?Npi=1538684527","1538684527")</f>
        <v>1538684527</v>
      </c>
      <c r="E15684" s="1" t="s">
        <v>6397</v>
      </c>
      <c r="F15684" s="2"/>
      <c r="G15684" s="2"/>
      <c r="H15684" s="2"/>
    </row>
    <row r="15685" spans="1:8" x14ac:dyDescent="0.25">
      <c r="A15685" s="1"/>
      <c r="B15685" s="1" t="s">
        <v>5782</v>
      </c>
      <c r="C15685" s="1" t="s">
        <v>5783</v>
      </c>
      <c r="D15685" s="22" t="str">
        <f>HYPERLINK("https://rhld.insurance.arkansas.gov/NPILookup?Npi=1538690995","1538690995")</f>
        <v>1538690995</v>
      </c>
      <c r="E15685" s="1" t="s">
        <v>31898</v>
      </c>
      <c r="F15685" s="2"/>
      <c r="G15685" s="2"/>
      <c r="H15685" s="2"/>
    </row>
    <row r="15686" spans="1:8" x14ac:dyDescent="0.25">
      <c r="A15686" s="1"/>
      <c r="B15686" s="1" t="s">
        <v>5782</v>
      </c>
      <c r="C15686" s="1" t="s">
        <v>5783</v>
      </c>
      <c r="D15686" s="22" t="str">
        <f>HYPERLINK("https://rhld.insurance.arkansas.gov/NPILookup?Npi=1538700109","1538700109")</f>
        <v>1538700109</v>
      </c>
      <c r="E15686" s="1" t="s">
        <v>22523</v>
      </c>
      <c r="F15686" s="2"/>
      <c r="G15686" s="2"/>
      <c r="H15686" s="2"/>
    </row>
    <row r="15687" spans="1:8" x14ac:dyDescent="0.25">
      <c r="A15687" s="1"/>
      <c r="B15687" s="1" t="s">
        <v>5782</v>
      </c>
      <c r="C15687" s="1" t="s">
        <v>5783</v>
      </c>
      <c r="D15687" s="22" t="str">
        <f>HYPERLINK("https://rhld.insurance.arkansas.gov/NPILookup?Npi=1538715180","1538715180")</f>
        <v>1538715180</v>
      </c>
      <c r="E15687" s="1" t="s">
        <v>11878</v>
      </c>
      <c r="F15687" s="2"/>
      <c r="G15687" s="2"/>
      <c r="H15687" s="2"/>
    </row>
    <row r="15688" spans="1:8" x14ac:dyDescent="0.25">
      <c r="A15688" s="1"/>
      <c r="B15688" s="1" t="s">
        <v>5782</v>
      </c>
      <c r="C15688" s="1" t="s">
        <v>5783</v>
      </c>
      <c r="D15688" s="22" t="str">
        <f>HYPERLINK("https://rhld.insurance.arkansas.gov/NPILookup?Npi=1538731872","1538731872")</f>
        <v>1538731872</v>
      </c>
      <c r="E15688" s="1" t="s">
        <v>5510</v>
      </c>
      <c r="F15688" s="2"/>
      <c r="G15688" s="2"/>
      <c r="H15688" s="2"/>
    </row>
    <row r="15689" spans="1:8" x14ac:dyDescent="0.25">
      <c r="A15689" s="1"/>
      <c r="B15689" s="1" t="s">
        <v>5782</v>
      </c>
      <c r="C15689" s="1" t="s">
        <v>5783</v>
      </c>
      <c r="D15689" s="22" t="str">
        <f>HYPERLINK("https://rhld.insurance.arkansas.gov/NPILookup?Npi=1538735840","1538735840")</f>
        <v>1538735840</v>
      </c>
      <c r="E15689" s="1" t="s">
        <v>22524</v>
      </c>
      <c r="F15689" s="2"/>
      <c r="G15689" s="2"/>
      <c r="H15689" s="2"/>
    </row>
    <row r="15690" spans="1:8" x14ac:dyDescent="0.25">
      <c r="A15690" s="1"/>
      <c r="B15690" s="1" t="s">
        <v>5782</v>
      </c>
      <c r="C15690" s="1" t="s">
        <v>5783</v>
      </c>
      <c r="D15690" s="22" t="str">
        <f>HYPERLINK("https://rhld.insurance.arkansas.gov/NPILookup?Npi=1538751292","1538751292")</f>
        <v>1538751292</v>
      </c>
      <c r="E15690" s="1" t="s">
        <v>6399</v>
      </c>
      <c r="F15690" s="2"/>
      <c r="G15690" s="2"/>
      <c r="H15690" s="2"/>
    </row>
    <row r="15691" spans="1:8" x14ac:dyDescent="0.25">
      <c r="A15691" s="1"/>
      <c r="B15691" s="1" t="s">
        <v>5782</v>
      </c>
      <c r="C15691" s="1" t="s">
        <v>5783</v>
      </c>
      <c r="D15691" s="22" t="str">
        <f>HYPERLINK("https://rhld.insurance.arkansas.gov/NPILookup?Npi=1538764865","1538764865")</f>
        <v>1538764865</v>
      </c>
      <c r="E15691" s="1" t="s">
        <v>11879</v>
      </c>
      <c r="F15691" s="2"/>
      <c r="G15691" s="2"/>
      <c r="H15691" s="2"/>
    </row>
    <row r="15692" spans="1:8" x14ac:dyDescent="0.25">
      <c r="A15692" s="1"/>
      <c r="B15692" s="1" t="s">
        <v>5782</v>
      </c>
      <c r="C15692" s="1" t="s">
        <v>5783</v>
      </c>
      <c r="D15692" s="22" t="str">
        <f>HYPERLINK("https://rhld.insurance.arkansas.gov/NPILookup?Npi=1538767652","1538767652")</f>
        <v>1538767652</v>
      </c>
      <c r="E15692" s="1" t="s">
        <v>6793</v>
      </c>
      <c r="F15692" s="2"/>
      <c r="G15692" s="2"/>
      <c r="H15692" s="2"/>
    </row>
    <row r="15693" spans="1:8" x14ac:dyDescent="0.25">
      <c r="A15693" s="1"/>
      <c r="B15693" s="1" t="s">
        <v>5782</v>
      </c>
      <c r="C15693" s="1" t="s">
        <v>5783</v>
      </c>
      <c r="D15693" s="22" t="str">
        <f>HYPERLINK("https://rhld.insurance.arkansas.gov/NPILookup?Npi=1538772355","1538772355")</f>
        <v>1538772355</v>
      </c>
      <c r="E15693" s="1" t="s">
        <v>22525</v>
      </c>
      <c r="F15693" s="2"/>
      <c r="G15693" s="2"/>
      <c r="H15693" s="2"/>
    </row>
    <row r="15694" spans="1:8" x14ac:dyDescent="0.25">
      <c r="A15694" s="1"/>
      <c r="B15694" s="1" t="s">
        <v>5782</v>
      </c>
      <c r="C15694" s="1" t="s">
        <v>5783</v>
      </c>
      <c r="D15694" s="22" t="str">
        <f>HYPERLINK("https://rhld.insurance.arkansas.gov/NPILookup?Npi=1538782420","1538782420")</f>
        <v>1538782420</v>
      </c>
      <c r="E15694" s="1" t="s">
        <v>11880</v>
      </c>
      <c r="F15694" s="2"/>
      <c r="G15694" s="2"/>
      <c r="H15694" s="2"/>
    </row>
    <row r="15695" spans="1:8" x14ac:dyDescent="0.25">
      <c r="A15695" s="1"/>
      <c r="B15695" s="1" t="s">
        <v>5782</v>
      </c>
      <c r="C15695" s="1" t="s">
        <v>5783</v>
      </c>
      <c r="D15695" s="22" t="str">
        <f>HYPERLINK("https://rhld.insurance.arkansas.gov/NPILookup?Npi=1538794367","1538794367")</f>
        <v>1538794367</v>
      </c>
      <c r="E15695" s="1" t="s">
        <v>22526</v>
      </c>
      <c r="F15695" s="2"/>
      <c r="G15695" s="2"/>
      <c r="H15695" s="2"/>
    </row>
    <row r="15696" spans="1:8" x14ac:dyDescent="0.25">
      <c r="A15696" s="1"/>
      <c r="B15696" s="1" t="s">
        <v>5782</v>
      </c>
      <c r="C15696" s="1" t="s">
        <v>5783</v>
      </c>
      <c r="D15696" s="22" t="str">
        <f>HYPERLINK("https://rhld.insurance.arkansas.gov/NPILookup?Npi=1538796479","1538796479")</f>
        <v>1538796479</v>
      </c>
      <c r="E15696" s="1" t="s">
        <v>22527</v>
      </c>
      <c r="F15696" s="2"/>
      <c r="G15696" s="2"/>
      <c r="H15696" s="2"/>
    </row>
    <row r="15697" spans="1:8" x14ac:dyDescent="0.25">
      <c r="A15697" s="1"/>
      <c r="B15697" s="1" t="s">
        <v>5782</v>
      </c>
      <c r="C15697" s="1" t="s">
        <v>5783</v>
      </c>
      <c r="D15697" s="22" t="str">
        <f>HYPERLINK("https://rhld.insurance.arkansas.gov/NPILookup?Npi=1538838180","1538838180")</f>
        <v>1538838180</v>
      </c>
      <c r="E15697" s="1" t="s">
        <v>22528</v>
      </c>
      <c r="F15697" s="2"/>
      <c r="G15697" s="2"/>
      <c r="H15697" s="2"/>
    </row>
    <row r="15698" spans="1:8" x14ac:dyDescent="0.25">
      <c r="A15698" s="1"/>
      <c r="B15698" s="1" t="s">
        <v>5782</v>
      </c>
      <c r="C15698" s="1" t="s">
        <v>5783</v>
      </c>
      <c r="D15698" s="22" t="str">
        <f>HYPERLINK("https://rhld.insurance.arkansas.gov/NPILookup?Npi=1538843917","1538843917")</f>
        <v>1538843917</v>
      </c>
      <c r="E15698" s="1" t="s">
        <v>1160</v>
      </c>
      <c r="F15698" s="2"/>
      <c r="G15698" s="2"/>
      <c r="H15698" s="2"/>
    </row>
    <row r="15699" spans="1:8" x14ac:dyDescent="0.25">
      <c r="A15699" s="1"/>
      <c r="B15699" s="1" t="s">
        <v>5782</v>
      </c>
      <c r="C15699" s="1" t="s">
        <v>5783</v>
      </c>
      <c r="D15699" s="22" t="str">
        <f>HYPERLINK("https://rhld.insurance.arkansas.gov/NPILookup?Npi=1538851183","1538851183")</f>
        <v>1538851183</v>
      </c>
      <c r="E15699" s="1" t="s">
        <v>22529</v>
      </c>
      <c r="F15699" s="2"/>
      <c r="G15699" s="2"/>
      <c r="H15699" s="2"/>
    </row>
    <row r="15700" spans="1:8" x14ac:dyDescent="0.25">
      <c r="A15700" s="1"/>
      <c r="B15700" s="1" t="s">
        <v>5782</v>
      </c>
      <c r="C15700" s="1" t="s">
        <v>5783</v>
      </c>
      <c r="D15700" s="22" t="str">
        <f>HYPERLINK("https://rhld.insurance.arkansas.gov/NPILookup?Npi=1538880836","1538880836")</f>
        <v>1538880836</v>
      </c>
      <c r="E15700" s="1" t="s">
        <v>31899</v>
      </c>
      <c r="F15700" s="2"/>
      <c r="G15700" s="2"/>
      <c r="H15700" s="2"/>
    </row>
    <row r="15701" spans="1:8" x14ac:dyDescent="0.25">
      <c r="A15701" s="1"/>
      <c r="B15701" s="1" t="s">
        <v>5782</v>
      </c>
      <c r="C15701" s="1" t="s">
        <v>5783</v>
      </c>
      <c r="D15701" s="22" t="str">
        <f>HYPERLINK("https://rhld.insurance.arkansas.gov/NPILookup?Npi=1538923867","1538923867")</f>
        <v>1538923867</v>
      </c>
      <c r="E15701" s="1" t="s">
        <v>31900</v>
      </c>
      <c r="F15701" s="2"/>
      <c r="G15701" s="2"/>
      <c r="H15701" s="2"/>
    </row>
    <row r="15702" spans="1:8" x14ac:dyDescent="0.25">
      <c r="A15702" s="1"/>
      <c r="B15702" s="1" t="s">
        <v>5782</v>
      </c>
      <c r="C15702" s="1" t="s">
        <v>5783</v>
      </c>
      <c r="D15702" s="22" t="str">
        <f>HYPERLINK("https://rhld.insurance.arkansas.gov/NPILookup?Npi=1548275274","1548275274")</f>
        <v>1548275274</v>
      </c>
      <c r="E15702" s="1" t="s">
        <v>6400</v>
      </c>
      <c r="F15702" s="2"/>
      <c r="G15702" s="2"/>
      <c r="H15702" s="2"/>
    </row>
    <row r="15703" spans="1:8" x14ac:dyDescent="0.25">
      <c r="A15703" s="1"/>
      <c r="B15703" s="1" t="s">
        <v>5782</v>
      </c>
      <c r="C15703" s="1" t="s">
        <v>5783</v>
      </c>
      <c r="D15703" s="22" t="str">
        <f>HYPERLINK("https://rhld.insurance.arkansas.gov/NPILookup?Npi=1548327414","1548327414")</f>
        <v>1548327414</v>
      </c>
      <c r="E15703" s="1" t="s">
        <v>22530</v>
      </c>
      <c r="F15703" s="2"/>
      <c r="G15703" s="2"/>
      <c r="H15703" s="2"/>
    </row>
    <row r="15704" spans="1:8" x14ac:dyDescent="0.25">
      <c r="A15704" s="1"/>
      <c r="B15704" s="1" t="s">
        <v>5782</v>
      </c>
      <c r="C15704" s="1" t="s">
        <v>5783</v>
      </c>
      <c r="D15704" s="22" t="str">
        <f>HYPERLINK("https://rhld.insurance.arkansas.gov/NPILookup?Npi=1548350457","1548350457")</f>
        <v>1548350457</v>
      </c>
      <c r="E15704" s="1" t="s">
        <v>22531</v>
      </c>
      <c r="F15704" s="2"/>
      <c r="G15704" s="2"/>
      <c r="H15704" s="2"/>
    </row>
    <row r="15705" spans="1:8" x14ac:dyDescent="0.25">
      <c r="A15705" s="1"/>
      <c r="B15705" s="1" t="s">
        <v>5782</v>
      </c>
      <c r="C15705" s="1" t="s">
        <v>5783</v>
      </c>
      <c r="D15705" s="22" t="str">
        <f>HYPERLINK("https://rhld.insurance.arkansas.gov/NPILookup?Npi=1548362353","1548362353")</f>
        <v>1548362353</v>
      </c>
      <c r="E15705" s="1" t="s">
        <v>22532</v>
      </c>
      <c r="F15705" s="2"/>
      <c r="G15705" s="2"/>
      <c r="H15705" s="2"/>
    </row>
    <row r="15706" spans="1:8" x14ac:dyDescent="0.25">
      <c r="A15706" s="1"/>
      <c r="B15706" s="1" t="s">
        <v>5782</v>
      </c>
      <c r="C15706" s="1" t="s">
        <v>5783</v>
      </c>
      <c r="D15706" s="22" t="str">
        <f>HYPERLINK("https://rhld.insurance.arkansas.gov/NPILookup?Npi=1548380991","1548380991")</f>
        <v>1548380991</v>
      </c>
      <c r="E15706" s="1" t="s">
        <v>22533</v>
      </c>
      <c r="F15706" s="2"/>
      <c r="G15706" s="2"/>
      <c r="H15706" s="2"/>
    </row>
    <row r="15707" spans="1:8" x14ac:dyDescent="0.25">
      <c r="A15707" s="1"/>
      <c r="B15707" s="1" t="s">
        <v>5782</v>
      </c>
      <c r="C15707" s="1" t="s">
        <v>5783</v>
      </c>
      <c r="D15707" s="22" t="str">
        <f>HYPERLINK("https://rhld.insurance.arkansas.gov/NPILookup?Npi=1548385222","1548385222")</f>
        <v>1548385222</v>
      </c>
      <c r="E15707" s="1" t="s">
        <v>22534</v>
      </c>
      <c r="F15707" s="2"/>
      <c r="G15707" s="2"/>
      <c r="H15707" s="2"/>
    </row>
    <row r="15708" spans="1:8" x14ac:dyDescent="0.25">
      <c r="A15708" s="1"/>
      <c r="B15708" s="1" t="s">
        <v>5782</v>
      </c>
      <c r="C15708" s="1" t="s">
        <v>5783</v>
      </c>
      <c r="D15708" s="22" t="str">
        <f>HYPERLINK("https://rhld.insurance.arkansas.gov/NPILookup?Npi=1548386584","1548386584")</f>
        <v>1548386584</v>
      </c>
      <c r="E15708" s="1" t="s">
        <v>22535</v>
      </c>
      <c r="F15708" s="2"/>
      <c r="G15708" s="2"/>
      <c r="H15708" s="2"/>
    </row>
    <row r="15709" spans="1:8" x14ac:dyDescent="0.25">
      <c r="A15709" s="1"/>
      <c r="B15709" s="1" t="s">
        <v>5782</v>
      </c>
      <c r="C15709" s="1" t="s">
        <v>5783</v>
      </c>
      <c r="D15709" s="22" t="str">
        <f>HYPERLINK("https://rhld.insurance.arkansas.gov/NPILookup?Npi=1548397193","1548397193")</f>
        <v>1548397193</v>
      </c>
      <c r="E15709" s="1" t="s">
        <v>22536</v>
      </c>
      <c r="F15709" s="2"/>
      <c r="G15709" s="2"/>
      <c r="H15709" s="2"/>
    </row>
    <row r="15710" spans="1:8" x14ac:dyDescent="0.25">
      <c r="A15710" s="1"/>
      <c r="B15710" s="1" t="s">
        <v>5782</v>
      </c>
      <c r="C15710" s="1" t="s">
        <v>5783</v>
      </c>
      <c r="D15710" s="22" t="str">
        <f>HYPERLINK("https://rhld.insurance.arkansas.gov/NPILookup?Npi=1548409774","1548409774")</f>
        <v>1548409774</v>
      </c>
      <c r="E15710" s="1" t="s">
        <v>11881</v>
      </c>
      <c r="F15710" s="2"/>
      <c r="G15710" s="2"/>
      <c r="H15710" s="2"/>
    </row>
    <row r="15711" spans="1:8" x14ac:dyDescent="0.25">
      <c r="A15711" s="1"/>
      <c r="B15711" s="1" t="s">
        <v>5782</v>
      </c>
      <c r="C15711" s="1" t="s">
        <v>5783</v>
      </c>
      <c r="D15711" s="22" t="str">
        <f>HYPERLINK("https://rhld.insurance.arkansas.gov/NPILookup?Npi=1548410194","1548410194")</f>
        <v>1548410194</v>
      </c>
      <c r="E15711" s="1" t="s">
        <v>22537</v>
      </c>
      <c r="F15711" s="2"/>
      <c r="G15711" s="2"/>
      <c r="H15711" s="2"/>
    </row>
    <row r="15712" spans="1:8" x14ac:dyDescent="0.25">
      <c r="A15712" s="1"/>
      <c r="B15712" s="1" t="s">
        <v>5782</v>
      </c>
      <c r="C15712" s="1" t="s">
        <v>5783</v>
      </c>
      <c r="D15712" s="22" t="str">
        <f>HYPERLINK("https://rhld.insurance.arkansas.gov/NPILookup?Npi=1548412653","1548412653")</f>
        <v>1548412653</v>
      </c>
      <c r="E15712" s="1" t="s">
        <v>22538</v>
      </c>
      <c r="F15712" s="2"/>
      <c r="G15712" s="2"/>
      <c r="H15712" s="2"/>
    </row>
    <row r="15713" spans="1:8" x14ac:dyDescent="0.25">
      <c r="A15713" s="1"/>
      <c r="B15713" s="1" t="s">
        <v>5782</v>
      </c>
      <c r="C15713" s="1" t="s">
        <v>5783</v>
      </c>
      <c r="D15713" s="22" t="str">
        <f>HYPERLINK("https://rhld.insurance.arkansas.gov/NPILookup?Npi=1548412893","1548412893")</f>
        <v>1548412893</v>
      </c>
      <c r="E15713" s="1" t="s">
        <v>11882</v>
      </c>
      <c r="F15713" s="2"/>
      <c r="G15713" s="2"/>
      <c r="H15713" s="2"/>
    </row>
    <row r="15714" spans="1:8" x14ac:dyDescent="0.25">
      <c r="A15714" s="1"/>
      <c r="B15714" s="1" t="s">
        <v>5782</v>
      </c>
      <c r="C15714" s="1" t="s">
        <v>5783</v>
      </c>
      <c r="D15714" s="22" t="str">
        <f>HYPERLINK("https://rhld.insurance.arkansas.gov/NPILookup?Npi=1548424591","1548424591")</f>
        <v>1548424591</v>
      </c>
      <c r="E15714" s="1" t="s">
        <v>6401</v>
      </c>
      <c r="F15714" s="2"/>
      <c r="G15714" s="2"/>
      <c r="H15714" s="2"/>
    </row>
    <row r="15715" spans="1:8" x14ac:dyDescent="0.25">
      <c r="A15715" s="1"/>
      <c r="B15715" s="1" t="s">
        <v>5782</v>
      </c>
      <c r="C15715" s="1" t="s">
        <v>5783</v>
      </c>
      <c r="D15715" s="22" t="str">
        <f>HYPERLINK("https://rhld.insurance.arkansas.gov/NPILookup?Npi=1548435761","1548435761")</f>
        <v>1548435761</v>
      </c>
      <c r="E15715" s="1" t="s">
        <v>11883</v>
      </c>
      <c r="F15715" s="2"/>
      <c r="G15715" s="2"/>
      <c r="H15715" s="2"/>
    </row>
    <row r="15716" spans="1:8" x14ac:dyDescent="0.25">
      <c r="A15716" s="1"/>
      <c r="B15716" s="1" t="s">
        <v>5782</v>
      </c>
      <c r="C15716" s="1" t="s">
        <v>5783</v>
      </c>
      <c r="D15716" s="22" t="str">
        <f>HYPERLINK("https://rhld.insurance.arkansas.gov/NPILookup?Npi=1548437890","1548437890")</f>
        <v>1548437890</v>
      </c>
      <c r="E15716" s="1" t="s">
        <v>22539</v>
      </c>
      <c r="F15716" s="2"/>
      <c r="G15716" s="2"/>
      <c r="H15716" s="2"/>
    </row>
    <row r="15717" spans="1:8" x14ac:dyDescent="0.25">
      <c r="A15717" s="1"/>
      <c r="B15717" s="1" t="s">
        <v>5782</v>
      </c>
      <c r="C15717" s="1" t="s">
        <v>5783</v>
      </c>
      <c r="D15717" s="22" t="str">
        <f>HYPERLINK("https://rhld.insurance.arkansas.gov/NPILookup?Npi=1548437916","1548437916")</f>
        <v>1548437916</v>
      </c>
      <c r="E15717" s="1" t="s">
        <v>6402</v>
      </c>
      <c r="F15717" s="2"/>
      <c r="G15717" s="2"/>
      <c r="H15717" s="2"/>
    </row>
    <row r="15718" spans="1:8" x14ac:dyDescent="0.25">
      <c r="A15718" s="1"/>
      <c r="B15718" s="1" t="s">
        <v>5782</v>
      </c>
      <c r="C15718" s="1" t="s">
        <v>5783</v>
      </c>
      <c r="D15718" s="22" t="str">
        <f>HYPERLINK("https://rhld.insurance.arkansas.gov/NPILookup?Npi=1548440514","1548440514")</f>
        <v>1548440514</v>
      </c>
      <c r="E15718" s="1" t="s">
        <v>22540</v>
      </c>
      <c r="F15718" s="2"/>
      <c r="G15718" s="2"/>
      <c r="H15718" s="2"/>
    </row>
    <row r="15719" spans="1:8" x14ac:dyDescent="0.25">
      <c r="A15719" s="1"/>
      <c r="B15719" s="1" t="s">
        <v>5782</v>
      </c>
      <c r="C15719" s="1" t="s">
        <v>5783</v>
      </c>
      <c r="D15719" s="22" t="str">
        <f>HYPERLINK("https://rhld.insurance.arkansas.gov/NPILookup?Npi=1548464852","1548464852")</f>
        <v>1548464852</v>
      </c>
      <c r="E15719" s="1" t="s">
        <v>13955</v>
      </c>
      <c r="F15719" s="2"/>
      <c r="G15719" s="2"/>
      <c r="H15719" s="2"/>
    </row>
    <row r="15720" spans="1:8" x14ac:dyDescent="0.25">
      <c r="A15720" s="1"/>
      <c r="B15720" s="1" t="s">
        <v>5782</v>
      </c>
      <c r="C15720" s="1" t="s">
        <v>5783</v>
      </c>
      <c r="D15720" s="22" t="str">
        <f>HYPERLINK("https://rhld.insurance.arkansas.gov/NPILookup?Npi=1548488711","1548488711")</f>
        <v>1548488711</v>
      </c>
      <c r="E15720" s="1" t="s">
        <v>685</v>
      </c>
      <c r="F15720" s="2"/>
      <c r="G15720" s="2"/>
      <c r="H15720" s="2"/>
    </row>
    <row r="15721" spans="1:8" x14ac:dyDescent="0.25">
      <c r="A15721" s="1"/>
      <c r="B15721" s="1" t="s">
        <v>5782</v>
      </c>
      <c r="C15721" s="1" t="s">
        <v>5783</v>
      </c>
      <c r="D15721" s="22" t="str">
        <f>HYPERLINK("https://rhld.insurance.arkansas.gov/NPILookup?Npi=1548494487","1548494487")</f>
        <v>1548494487</v>
      </c>
      <c r="E15721" s="1" t="s">
        <v>22541</v>
      </c>
      <c r="F15721" s="2"/>
      <c r="G15721" s="2"/>
      <c r="H15721" s="2"/>
    </row>
    <row r="15722" spans="1:8" x14ac:dyDescent="0.25">
      <c r="A15722" s="1"/>
      <c r="B15722" s="1" t="s">
        <v>5782</v>
      </c>
      <c r="C15722" s="1" t="s">
        <v>5783</v>
      </c>
      <c r="D15722" s="22" t="str">
        <f>HYPERLINK("https://rhld.insurance.arkansas.gov/NPILookup?Npi=1548497100","1548497100")</f>
        <v>1548497100</v>
      </c>
      <c r="E15722" s="1" t="s">
        <v>22542</v>
      </c>
      <c r="F15722" s="2"/>
      <c r="G15722" s="2"/>
      <c r="H15722" s="2"/>
    </row>
    <row r="15723" spans="1:8" x14ac:dyDescent="0.25">
      <c r="A15723" s="1"/>
      <c r="B15723" s="1" t="s">
        <v>5782</v>
      </c>
      <c r="C15723" s="1" t="s">
        <v>5783</v>
      </c>
      <c r="D15723" s="22" t="str">
        <f>HYPERLINK("https://rhld.insurance.arkansas.gov/NPILookup?Npi=1548513377","1548513377")</f>
        <v>1548513377</v>
      </c>
      <c r="E15723" s="1" t="s">
        <v>1126</v>
      </c>
      <c r="F15723" s="2"/>
      <c r="G15723" s="2"/>
      <c r="H15723" s="2"/>
    </row>
    <row r="15724" spans="1:8" x14ac:dyDescent="0.25">
      <c r="A15724" s="1"/>
      <c r="B15724" s="1" t="s">
        <v>5782</v>
      </c>
      <c r="C15724" s="1" t="s">
        <v>5783</v>
      </c>
      <c r="D15724" s="22" t="str">
        <f>HYPERLINK("https://rhld.insurance.arkansas.gov/NPILookup?Npi=1548514839","1548514839")</f>
        <v>1548514839</v>
      </c>
      <c r="E15724" s="1" t="s">
        <v>22543</v>
      </c>
      <c r="F15724" s="2"/>
      <c r="G15724" s="2"/>
      <c r="H15724" s="2"/>
    </row>
    <row r="15725" spans="1:8" x14ac:dyDescent="0.25">
      <c r="A15725" s="1"/>
      <c r="B15725" s="1" t="s">
        <v>5782</v>
      </c>
      <c r="C15725" s="1" t="s">
        <v>5783</v>
      </c>
      <c r="D15725" s="22" t="str">
        <f>HYPERLINK("https://rhld.insurance.arkansas.gov/NPILookup?Npi=1548534134","1548534134")</f>
        <v>1548534134</v>
      </c>
      <c r="E15725" s="1" t="s">
        <v>11884</v>
      </c>
      <c r="F15725" s="2"/>
      <c r="G15725" s="2"/>
      <c r="H15725" s="2"/>
    </row>
    <row r="15726" spans="1:8" x14ac:dyDescent="0.25">
      <c r="A15726" s="1"/>
      <c r="B15726" s="1" t="s">
        <v>5782</v>
      </c>
      <c r="C15726" s="1" t="s">
        <v>5783</v>
      </c>
      <c r="D15726" s="22" t="str">
        <f>HYPERLINK("https://rhld.insurance.arkansas.gov/NPILookup?Npi=1548534217","1548534217")</f>
        <v>1548534217</v>
      </c>
      <c r="E15726" s="1" t="s">
        <v>22544</v>
      </c>
      <c r="F15726" s="2"/>
      <c r="G15726" s="2"/>
      <c r="H15726" s="2"/>
    </row>
    <row r="15727" spans="1:8" x14ac:dyDescent="0.25">
      <c r="A15727" s="1"/>
      <c r="B15727" s="1" t="s">
        <v>5782</v>
      </c>
      <c r="C15727" s="1" t="s">
        <v>5783</v>
      </c>
      <c r="D15727" s="22" t="str">
        <f>HYPERLINK("https://rhld.insurance.arkansas.gov/NPILookup?Npi=1548562002","1548562002")</f>
        <v>1548562002</v>
      </c>
      <c r="E15727" s="1" t="s">
        <v>6403</v>
      </c>
      <c r="F15727" s="2"/>
      <c r="G15727" s="2"/>
      <c r="H15727" s="2"/>
    </row>
    <row r="15728" spans="1:8" x14ac:dyDescent="0.25">
      <c r="A15728" s="1"/>
      <c r="B15728" s="1" t="s">
        <v>5782</v>
      </c>
      <c r="C15728" s="1" t="s">
        <v>5783</v>
      </c>
      <c r="D15728" s="22" t="str">
        <f>HYPERLINK("https://rhld.insurance.arkansas.gov/NPILookup?Npi=1548575731","1548575731")</f>
        <v>1548575731</v>
      </c>
      <c r="E15728" s="1" t="s">
        <v>11885</v>
      </c>
      <c r="F15728" s="2"/>
      <c r="G15728" s="2"/>
      <c r="H15728" s="2"/>
    </row>
    <row r="15729" spans="1:8" x14ac:dyDescent="0.25">
      <c r="A15729" s="1"/>
      <c r="B15729" s="1" t="s">
        <v>5782</v>
      </c>
      <c r="C15729" s="1" t="s">
        <v>5783</v>
      </c>
      <c r="D15729" s="22" t="str">
        <f>HYPERLINK("https://rhld.insurance.arkansas.gov/NPILookup?Npi=1548577521","1548577521")</f>
        <v>1548577521</v>
      </c>
      <c r="E15729" s="1" t="s">
        <v>22545</v>
      </c>
      <c r="F15729" s="2"/>
      <c r="G15729" s="2"/>
      <c r="H15729" s="2"/>
    </row>
    <row r="15730" spans="1:8" x14ac:dyDescent="0.25">
      <c r="A15730" s="1"/>
      <c r="B15730" s="1" t="s">
        <v>5782</v>
      </c>
      <c r="C15730" s="1" t="s">
        <v>5783</v>
      </c>
      <c r="D15730" s="22" t="str">
        <f>HYPERLINK("https://rhld.insurance.arkansas.gov/NPILookup?Npi=1548578537","1548578537")</f>
        <v>1548578537</v>
      </c>
      <c r="E15730" s="1" t="s">
        <v>22546</v>
      </c>
      <c r="F15730" s="2"/>
      <c r="G15730" s="2"/>
      <c r="H15730" s="2"/>
    </row>
    <row r="15731" spans="1:8" x14ac:dyDescent="0.25">
      <c r="A15731" s="1"/>
      <c r="B15731" s="1" t="s">
        <v>5782</v>
      </c>
      <c r="C15731" s="1" t="s">
        <v>5783</v>
      </c>
      <c r="D15731" s="22" t="str">
        <f>HYPERLINK("https://rhld.insurance.arkansas.gov/NPILookup?Npi=1548591563","1548591563")</f>
        <v>1548591563</v>
      </c>
      <c r="E15731" s="1" t="s">
        <v>22547</v>
      </c>
      <c r="F15731" s="2"/>
      <c r="G15731" s="2"/>
      <c r="H15731" s="2"/>
    </row>
    <row r="15732" spans="1:8" x14ac:dyDescent="0.25">
      <c r="A15732" s="1"/>
      <c r="B15732" s="1" t="s">
        <v>5782</v>
      </c>
      <c r="C15732" s="1" t="s">
        <v>5783</v>
      </c>
      <c r="D15732" s="22" t="str">
        <f>HYPERLINK("https://rhld.insurance.arkansas.gov/NPILookup?Npi=1548603764","1548603764")</f>
        <v>1548603764</v>
      </c>
      <c r="E15732" s="1" t="s">
        <v>11886</v>
      </c>
      <c r="F15732" s="2"/>
      <c r="G15732" s="2"/>
      <c r="H15732" s="2"/>
    </row>
    <row r="15733" spans="1:8" x14ac:dyDescent="0.25">
      <c r="A15733" s="1"/>
      <c r="B15733" s="1" t="s">
        <v>5782</v>
      </c>
      <c r="C15733" s="1" t="s">
        <v>5783</v>
      </c>
      <c r="D15733" s="22" t="str">
        <f>HYPERLINK("https://rhld.insurance.arkansas.gov/NPILookup?Npi=1548605645","1548605645")</f>
        <v>1548605645</v>
      </c>
      <c r="E15733" s="1" t="s">
        <v>22548</v>
      </c>
      <c r="F15733" s="2"/>
      <c r="G15733" s="2"/>
      <c r="H15733" s="2"/>
    </row>
    <row r="15734" spans="1:8" x14ac:dyDescent="0.25">
      <c r="A15734" s="1"/>
      <c r="B15734" s="1" t="s">
        <v>5782</v>
      </c>
      <c r="C15734" s="1" t="s">
        <v>5783</v>
      </c>
      <c r="D15734" s="22" t="str">
        <f>HYPERLINK("https://rhld.insurance.arkansas.gov/NPILookup?Npi=1548607161","1548607161")</f>
        <v>1548607161</v>
      </c>
      <c r="E15734" s="1" t="s">
        <v>22549</v>
      </c>
      <c r="F15734" s="2"/>
      <c r="G15734" s="2"/>
      <c r="H15734" s="2"/>
    </row>
    <row r="15735" spans="1:8" x14ac:dyDescent="0.25">
      <c r="A15735" s="1"/>
      <c r="B15735" s="1" t="s">
        <v>5782</v>
      </c>
      <c r="C15735" s="1" t="s">
        <v>5783</v>
      </c>
      <c r="D15735" s="22" t="str">
        <f>HYPERLINK("https://rhld.insurance.arkansas.gov/NPILookup?Npi=1548627565","1548627565")</f>
        <v>1548627565</v>
      </c>
      <c r="E15735" s="1" t="s">
        <v>6404</v>
      </c>
      <c r="F15735" s="2"/>
      <c r="G15735" s="2"/>
      <c r="H15735" s="2"/>
    </row>
    <row r="15736" spans="1:8" x14ac:dyDescent="0.25">
      <c r="A15736" s="1"/>
      <c r="B15736" s="1" t="s">
        <v>5782</v>
      </c>
      <c r="C15736" s="1" t="s">
        <v>5783</v>
      </c>
      <c r="D15736" s="22" t="str">
        <f>HYPERLINK("https://rhld.insurance.arkansas.gov/NPILookup?Npi=1548636475","1548636475")</f>
        <v>1548636475</v>
      </c>
      <c r="E15736" s="1" t="s">
        <v>11887</v>
      </c>
      <c r="F15736" s="2"/>
      <c r="G15736" s="2"/>
      <c r="H15736" s="2"/>
    </row>
    <row r="15737" spans="1:8" x14ac:dyDescent="0.25">
      <c r="A15737" s="1"/>
      <c r="B15737" s="1" t="s">
        <v>5782</v>
      </c>
      <c r="C15737" s="1" t="s">
        <v>5783</v>
      </c>
      <c r="D15737" s="22" t="str">
        <f>HYPERLINK("https://rhld.insurance.arkansas.gov/NPILookup?Npi=1548637531","1548637531")</f>
        <v>1548637531</v>
      </c>
      <c r="E15737" s="1" t="s">
        <v>3308</v>
      </c>
      <c r="F15737" s="2"/>
      <c r="G15737" s="2"/>
      <c r="H15737" s="2"/>
    </row>
    <row r="15738" spans="1:8" x14ac:dyDescent="0.25">
      <c r="A15738" s="1"/>
      <c r="B15738" s="1" t="s">
        <v>5782</v>
      </c>
      <c r="C15738" s="1" t="s">
        <v>5783</v>
      </c>
      <c r="D15738" s="22" t="str">
        <f>HYPERLINK("https://rhld.insurance.arkansas.gov/NPILookup?Npi=1548647381","1548647381")</f>
        <v>1548647381</v>
      </c>
      <c r="E15738" s="1" t="s">
        <v>2195</v>
      </c>
      <c r="F15738" s="2"/>
      <c r="G15738" s="2"/>
      <c r="H15738" s="2"/>
    </row>
    <row r="15739" spans="1:8" x14ac:dyDescent="0.25">
      <c r="A15739" s="1"/>
      <c r="B15739" s="1" t="s">
        <v>5782</v>
      </c>
      <c r="C15739" s="1" t="s">
        <v>5783</v>
      </c>
      <c r="D15739" s="22" t="str">
        <f>HYPERLINK("https://rhld.insurance.arkansas.gov/NPILookup?Npi=1548656846","1548656846")</f>
        <v>1548656846</v>
      </c>
      <c r="E15739" s="1" t="s">
        <v>4699</v>
      </c>
      <c r="F15739" s="2"/>
      <c r="G15739" s="2"/>
      <c r="H15739" s="2"/>
    </row>
    <row r="15740" spans="1:8" x14ac:dyDescent="0.25">
      <c r="A15740" s="1"/>
      <c r="B15740" s="1" t="s">
        <v>5782</v>
      </c>
      <c r="C15740" s="1" t="s">
        <v>5783</v>
      </c>
      <c r="D15740" s="22" t="str">
        <f>HYPERLINK("https://rhld.insurance.arkansas.gov/NPILookup?Npi=1548700305","1548700305")</f>
        <v>1548700305</v>
      </c>
      <c r="E15740" s="1" t="s">
        <v>6405</v>
      </c>
      <c r="F15740" s="2"/>
      <c r="G15740" s="2"/>
      <c r="H15740" s="2"/>
    </row>
    <row r="15741" spans="1:8" x14ac:dyDescent="0.25">
      <c r="A15741" s="1"/>
      <c r="B15741" s="1" t="s">
        <v>5782</v>
      </c>
      <c r="C15741" s="1" t="s">
        <v>5783</v>
      </c>
      <c r="D15741" s="22" t="str">
        <f>HYPERLINK("https://rhld.insurance.arkansas.gov/NPILookup?Npi=1548705577","1548705577")</f>
        <v>1548705577</v>
      </c>
      <c r="E15741" s="1" t="s">
        <v>22550</v>
      </c>
      <c r="F15741" s="2"/>
      <c r="G15741" s="2"/>
      <c r="H15741" s="2"/>
    </row>
    <row r="15742" spans="1:8" x14ac:dyDescent="0.25">
      <c r="A15742" s="1"/>
      <c r="B15742" s="1" t="s">
        <v>5782</v>
      </c>
      <c r="C15742" s="1" t="s">
        <v>5783</v>
      </c>
      <c r="D15742" s="22" t="str">
        <f>HYPERLINK("https://rhld.insurance.arkansas.gov/NPILookup?Npi=1548712052","1548712052")</f>
        <v>1548712052</v>
      </c>
      <c r="E15742" s="1" t="s">
        <v>5642</v>
      </c>
      <c r="F15742" s="2"/>
      <c r="G15742" s="2"/>
      <c r="H15742" s="2"/>
    </row>
    <row r="15743" spans="1:8" x14ac:dyDescent="0.25">
      <c r="A15743" s="1"/>
      <c r="B15743" s="1" t="s">
        <v>5782</v>
      </c>
      <c r="C15743" s="1" t="s">
        <v>5783</v>
      </c>
      <c r="D15743" s="22" t="str">
        <f>HYPERLINK("https://rhld.insurance.arkansas.gov/NPILookup?Npi=1548745706","1548745706")</f>
        <v>1548745706</v>
      </c>
      <c r="E15743" s="1" t="s">
        <v>22551</v>
      </c>
      <c r="F15743" s="2"/>
      <c r="G15743" s="2"/>
      <c r="H15743" s="2"/>
    </row>
    <row r="15744" spans="1:8" x14ac:dyDescent="0.25">
      <c r="A15744" s="1"/>
      <c r="B15744" s="1" t="s">
        <v>5782</v>
      </c>
      <c r="C15744" s="1" t="s">
        <v>5783</v>
      </c>
      <c r="D15744" s="22" t="str">
        <f>HYPERLINK("https://rhld.insurance.arkansas.gov/NPILookup?Npi=1548747462","1548747462")</f>
        <v>1548747462</v>
      </c>
      <c r="E15744" s="1" t="s">
        <v>5660</v>
      </c>
      <c r="F15744" s="2"/>
      <c r="G15744" s="2"/>
      <c r="H15744" s="2"/>
    </row>
    <row r="15745" spans="1:8" x14ac:dyDescent="0.25">
      <c r="A15745" s="1"/>
      <c r="B15745" s="1" t="s">
        <v>5782</v>
      </c>
      <c r="C15745" s="1" t="s">
        <v>5783</v>
      </c>
      <c r="D15745" s="22" t="str">
        <f>HYPERLINK("https://rhld.insurance.arkansas.gov/NPILookup?Npi=1548772361","1548772361")</f>
        <v>1548772361</v>
      </c>
      <c r="E15745" s="1" t="s">
        <v>22552</v>
      </c>
      <c r="F15745" s="2"/>
      <c r="G15745" s="2"/>
      <c r="H15745" s="2"/>
    </row>
    <row r="15746" spans="1:8" x14ac:dyDescent="0.25">
      <c r="A15746" s="1"/>
      <c r="B15746" s="1" t="s">
        <v>5782</v>
      </c>
      <c r="C15746" s="1" t="s">
        <v>5783</v>
      </c>
      <c r="D15746" s="22" t="str">
        <f>HYPERLINK("https://rhld.insurance.arkansas.gov/NPILookup?Npi=1548772643","1548772643")</f>
        <v>1548772643</v>
      </c>
      <c r="E15746" s="1" t="s">
        <v>6406</v>
      </c>
      <c r="F15746" s="2"/>
      <c r="G15746" s="2"/>
      <c r="H15746" s="2"/>
    </row>
    <row r="15747" spans="1:8" x14ac:dyDescent="0.25">
      <c r="A15747" s="1"/>
      <c r="B15747" s="1" t="s">
        <v>5782</v>
      </c>
      <c r="C15747" s="1" t="s">
        <v>5783</v>
      </c>
      <c r="D15747" s="22" t="str">
        <f>HYPERLINK("https://rhld.insurance.arkansas.gov/NPILookup?Npi=1548780471","1548780471")</f>
        <v>1548780471</v>
      </c>
      <c r="E15747" s="1" t="s">
        <v>22553</v>
      </c>
      <c r="F15747" s="2"/>
      <c r="G15747" s="2"/>
      <c r="H15747" s="2"/>
    </row>
    <row r="15748" spans="1:8" x14ac:dyDescent="0.25">
      <c r="A15748" s="1"/>
      <c r="B15748" s="1" t="s">
        <v>5782</v>
      </c>
      <c r="C15748" s="1" t="s">
        <v>5783</v>
      </c>
      <c r="D15748" s="22" t="str">
        <f>HYPERLINK("https://rhld.insurance.arkansas.gov/NPILookup?Npi=1548783327","1548783327")</f>
        <v>1548783327</v>
      </c>
      <c r="E15748" s="1" t="s">
        <v>22554</v>
      </c>
      <c r="F15748" s="2"/>
      <c r="G15748" s="2"/>
      <c r="H15748" s="2"/>
    </row>
    <row r="15749" spans="1:8" x14ac:dyDescent="0.25">
      <c r="A15749" s="1"/>
      <c r="B15749" s="1" t="s">
        <v>5782</v>
      </c>
      <c r="C15749" s="1" t="s">
        <v>5783</v>
      </c>
      <c r="D15749" s="22" t="str">
        <f>HYPERLINK("https://rhld.insurance.arkansas.gov/NPILookup?Npi=1548787641","1548787641")</f>
        <v>1548787641</v>
      </c>
      <c r="E15749" s="1" t="s">
        <v>22555</v>
      </c>
      <c r="F15749" s="2"/>
      <c r="G15749" s="2"/>
      <c r="H15749" s="2"/>
    </row>
    <row r="15750" spans="1:8" x14ac:dyDescent="0.25">
      <c r="A15750" s="1"/>
      <c r="B15750" s="1" t="s">
        <v>5782</v>
      </c>
      <c r="C15750" s="1" t="s">
        <v>5783</v>
      </c>
      <c r="D15750" s="22" t="str">
        <f>HYPERLINK("https://rhld.insurance.arkansas.gov/NPILookup?Npi=1548829781","1548829781")</f>
        <v>1548829781</v>
      </c>
      <c r="E15750" s="1" t="s">
        <v>22556</v>
      </c>
      <c r="F15750" s="2"/>
      <c r="G15750" s="2"/>
      <c r="H15750" s="2"/>
    </row>
    <row r="15751" spans="1:8" x14ac:dyDescent="0.25">
      <c r="A15751" s="1"/>
      <c r="B15751" s="1" t="s">
        <v>5782</v>
      </c>
      <c r="C15751" s="1" t="s">
        <v>5783</v>
      </c>
      <c r="D15751" s="22" t="str">
        <f>HYPERLINK("https://rhld.insurance.arkansas.gov/NPILookup?Npi=1548833759","1548833759")</f>
        <v>1548833759</v>
      </c>
      <c r="E15751" s="1" t="s">
        <v>1875</v>
      </c>
      <c r="F15751" s="2"/>
      <c r="G15751" s="2"/>
      <c r="H15751" s="2"/>
    </row>
    <row r="15752" spans="1:8" x14ac:dyDescent="0.25">
      <c r="A15752" s="1"/>
      <c r="B15752" s="1" t="s">
        <v>5782</v>
      </c>
      <c r="C15752" s="1" t="s">
        <v>5783</v>
      </c>
      <c r="D15752" s="22" t="str">
        <f>HYPERLINK("https://rhld.insurance.arkansas.gov/NPILookup?Npi=1548841745","1548841745")</f>
        <v>1548841745</v>
      </c>
      <c r="E15752" s="1" t="s">
        <v>22557</v>
      </c>
      <c r="F15752" s="2"/>
      <c r="G15752" s="2"/>
      <c r="H15752" s="2"/>
    </row>
    <row r="15753" spans="1:8" x14ac:dyDescent="0.25">
      <c r="A15753" s="1"/>
      <c r="B15753" s="1" t="s">
        <v>5782</v>
      </c>
      <c r="C15753" s="1" t="s">
        <v>5783</v>
      </c>
      <c r="D15753" s="22" t="str">
        <f>HYPERLINK("https://rhld.insurance.arkansas.gov/NPILookup?Npi=1548863103","1548863103")</f>
        <v>1548863103</v>
      </c>
      <c r="E15753" s="1" t="s">
        <v>5235</v>
      </c>
      <c r="F15753" s="2"/>
      <c r="G15753" s="2"/>
      <c r="H15753" s="2"/>
    </row>
    <row r="15754" spans="1:8" x14ac:dyDescent="0.25">
      <c r="A15754" s="1"/>
      <c r="B15754" s="1" t="s">
        <v>5782</v>
      </c>
      <c r="C15754" s="1" t="s">
        <v>5783</v>
      </c>
      <c r="D15754" s="22" t="str">
        <f>HYPERLINK("https://rhld.insurance.arkansas.gov/NPILookup?Npi=1548952070","1548952070")</f>
        <v>1548952070</v>
      </c>
      <c r="E15754" s="1" t="s">
        <v>4294</v>
      </c>
      <c r="F15754" s="2"/>
      <c r="G15754" s="2"/>
      <c r="H15754" s="2"/>
    </row>
    <row r="15755" spans="1:8" x14ac:dyDescent="0.25">
      <c r="A15755" s="1"/>
      <c r="B15755" s="1" t="s">
        <v>5782</v>
      </c>
      <c r="C15755" s="1" t="s">
        <v>5783</v>
      </c>
      <c r="D15755" s="22" t="str">
        <f>HYPERLINK("https://rhld.insurance.arkansas.gov/NPILookup?Npi=1548955800","1548955800")</f>
        <v>1548955800</v>
      </c>
      <c r="E15755" s="1" t="s">
        <v>17698</v>
      </c>
      <c r="F15755" s="2"/>
      <c r="G15755" s="2"/>
      <c r="H15755" s="2"/>
    </row>
    <row r="15756" spans="1:8" x14ac:dyDescent="0.25">
      <c r="A15756" s="1"/>
      <c r="B15756" s="1" t="s">
        <v>5782</v>
      </c>
      <c r="C15756" s="1" t="s">
        <v>5783</v>
      </c>
      <c r="D15756" s="22" t="str">
        <f>HYPERLINK("https://rhld.insurance.arkansas.gov/NPILookup?Npi=1548964471","1548964471")</f>
        <v>1548964471</v>
      </c>
      <c r="E15756" s="1" t="s">
        <v>22558</v>
      </c>
      <c r="F15756" s="2"/>
      <c r="G15756" s="2"/>
      <c r="H15756" s="2"/>
    </row>
    <row r="15757" spans="1:8" x14ac:dyDescent="0.25">
      <c r="A15757" s="1"/>
      <c r="B15757" s="1" t="s">
        <v>5782</v>
      </c>
      <c r="C15757" s="1" t="s">
        <v>5783</v>
      </c>
      <c r="D15757" s="22" t="str">
        <f>HYPERLINK("https://rhld.insurance.arkansas.gov/NPILookup?Npi=1548980873","1548980873")</f>
        <v>1548980873</v>
      </c>
      <c r="E15757" s="1" t="s">
        <v>31901</v>
      </c>
      <c r="F15757" s="2"/>
      <c r="G15757" s="2"/>
      <c r="H15757" s="2"/>
    </row>
    <row r="15758" spans="1:8" x14ac:dyDescent="0.25">
      <c r="A15758" s="1"/>
      <c r="B15758" s="1" t="s">
        <v>5782</v>
      </c>
      <c r="C15758" s="1" t="s">
        <v>5783</v>
      </c>
      <c r="D15758" s="22" t="str">
        <f>HYPERLINK("https://rhld.insurance.arkansas.gov/NPILookup?Npi=1558009563","1558009563")</f>
        <v>1558009563</v>
      </c>
      <c r="E15758" s="1" t="s">
        <v>11888</v>
      </c>
      <c r="F15758" s="2"/>
      <c r="G15758" s="2"/>
      <c r="H15758" s="2"/>
    </row>
    <row r="15759" spans="1:8" x14ac:dyDescent="0.25">
      <c r="A15759" s="1"/>
      <c r="B15759" s="1" t="s">
        <v>5782</v>
      </c>
      <c r="C15759" s="1" t="s">
        <v>5783</v>
      </c>
      <c r="D15759" s="22" t="str">
        <f>HYPERLINK("https://rhld.insurance.arkansas.gov/NPILookup?Npi=1558038240","1558038240")</f>
        <v>1558038240</v>
      </c>
      <c r="E15759" s="1" t="s">
        <v>22559</v>
      </c>
      <c r="F15759" s="2"/>
      <c r="G15759" s="2"/>
      <c r="H15759" s="2"/>
    </row>
    <row r="15760" spans="1:8" x14ac:dyDescent="0.25">
      <c r="A15760" s="1"/>
      <c r="B15760" s="1" t="s">
        <v>5782</v>
      </c>
      <c r="C15760" s="1" t="s">
        <v>5783</v>
      </c>
      <c r="D15760" s="22" t="str">
        <f>HYPERLINK("https://rhld.insurance.arkansas.gov/NPILookup?Npi=1558044040","1558044040")</f>
        <v>1558044040</v>
      </c>
      <c r="E15760" s="1" t="s">
        <v>6407</v>
      </c>
      <c r="F15760" s="2"/>
      <c r="G15760" s="2"/>
      <c r="H15760" s="2"/>
    </row>
    <row r="15761" spans="1:8" x14ac:dyDescent="0.25">
      <c r="A15761" s="1"/>
      <c r="B15761" s="1" t="s">
        <v>5782</v>
      </c>
      <c r="C15761" s="1" t="s">
        <v>5783</v>
      </c>
      <c r="D15761" s="22" t="str">
        <f>HYPERLINK("https://rhld.insurance.arkansas.gov/NPILookup?Npi=1558075291","1558075291")</f>
        <v>1558075291</v>
      </c>
      <c r="E15761" s="1" t="s">
        <v>11889</v>
      </c>
      <c r="F15761" s="2"/>
      <c r="G15761" s="2"/>
      <c r="H15761" s="2"/>
    </row>
    <row r="15762" spans="1:8" x14ac:dyDescent="0.25">
      <c r="A15762" s="1"/>
      <c r="B15762" s="1" t="s">
        <v>5782</v>
      </c>
      <c r="C15762" s="1" t="s">
        <v>5783</v>
      </c>
      <c r="D15762" s="22" t="str">
        <f>HYPERLINK("https://rhld.insurance.arkansas.gov/NPILookup?Npi=1558139832","1558139832")</f>
        <v>1558139832</v>
      </c>
      <c r="E15762" s="1" t="s">
        <v>6408</v>
      </c>
      <c r="F15762" s="2"/>
      <c r="G15762" s="2"/>
      <c r="H15762" s="2"/>
    </row>
    <row r="15763" spans="1:8" x14ac:dyDescent="0.25">
      <c r="A15763" s="1"/>
      <c r="B15763" s="1" t="s">
        <v>5782</v>
      </c>
      <c r="C15763" s="1" t="s">
        <v>5783</v>
      </c>
      <c r="D15763" s="22" t="str">
        <f>HYPERLINK("https://rhld.insurance.arkansas.gov/NPILookup?Npi=1558157784","1558157784")</f>
        <v>1558157784</v>
      </c>
      <c r="E15763" s="1" t="s">
        <v>27132</v>
      </c>
      <c r="F15763" s="2"/>
      <c r="G15763" s="2"/>
      <c r="H15763" s="2"/>
    </row>
    <row r="15764" spans="1:8" x14ac:dyDescent="0.25">
      <c r="A15764" s="1"/>
      <c r="B15764" s="1" t="s">
        <v>5782</v>
      </c>
      <c r="C15764" s="1" t="s">
        <v>5783</v>
      </c>
      <c r="D15764" s="22" t="str">
        <f>HYPERLINK("https://rhld.insurance.arkansas.gov/NPILookup?Npi=1558191528","1558191528")</f>
        <v>1558191528</v>
      </c>
      <c r="E15764" s="1" t="s">
        <v>22560</v>
      </c>
      <c r="F15764" s="2"/>
      <c r="G15764" s="2"/>
      <c r="H15764" s="2"/>
    </row>
    <row r="15765" spans="1:8" x14ac:dyDescent="0.25">
      <c r="A15765" s="1"/>
      <c r="B15765" s="1" t="s">
        <v>5782</v>
      </c>
      <c r="C15765" s="1" t="s">
        <v>5783</v>
      </c>
      <c r="D15765" s="22" t="str">
        <f>HYPERLINK("https://rhld.insurance.arkansas.gov/NPILookup?Npi=1558309641","1558309641")</f>
        <v>1558309641</v>
      </c>
      <c r="E15765" s="1" t="s">
        <v>22546</v>
      </c>
      <c r="F15765" s="2"/>
      <c r="G15765" s="2"/>
      <c r="H15765" s="2"/>
    </row>
    <row r="15766" spans="1:8" x14ac:dyDescent="0.25">
      <c r="A15766" s="1"/>
      <c r="B15766" s="1" t="s">
        <v>5782</v>
      </c>
      <c r="C15766" s="1" t="s">
        <v>5783</v>
      </c>
      <c r="D15766" s="22" t="str">
        <f>HYPERLINK("https://rhld.insurance.arkansas.gov/NPILookup?Npi=1558350306","1558350306")</f>
        <v>1558350306</v>
      </c>
      <c r="E15766" s="1" t="s">
        <v>22561</v>
      </c>
      <c r="F15766" s="2"/>
      <c r="G15766" s="2"/>
      <c r="H15766" s="2"/>
    </row>
    <row r="15767" spans="1:8" x14ac:dyDescent="0.25">
      <c r="A15767" s="1"/>
      <c r="B15767" s="1" t="s">
        <v>5782</v>
      </c>
      <c r="C15767" s="1" t="s">
        <v>5783</v>
      </c>
      <c r="D15767" s="22" t="str">
        <f>HYPERLINK("https://rhld.insurance.arkansas.gov/NPILookup?Npi=1558377267","1558377267")</f>
        <v>1558377267</v>
      </c>
      <c r="E15767" s="1" t="s">
        <v>22562</v>
      </c>
      <c r="F15767" s="2"/>
      <c r="G15767" s="2"/>
      <c r="H15767" s="2"/>
    </row>
    <row r="15768" spans="1:8" x14ac:dyDescent="0.25">
      <c r="A15768" s="1"/>
      <c r="B15768" s="1" t="s">
        <v>5782</v>
      </c>
      <c r="C15768" s="1" t="s">
        <v>5783</v>
      </c>
      <c r="D15768" s="22" t="str">
        <f>HYPERLINK("https://rhld.insurance.arkansas.gov/NPILookup?Npi=1558398883","1558398883")</f>
        <v>1558398883</v>
      </c>
      <c r="E15768" s="1" t="s">
        <v>22563</v>
      </c>
      <c r="F15768" s="2"/>
      <c r="G15768" s="2"/>
      <c r="H15768" s="2"/>
    </row>
    <row r="15769" spans="1:8" x14ac:dyDescent="0.25">
      <c r="A15769" s="1"/>
      <c r="B15769" s="1" t="s">
        <v>5782</v>
      </c>
      <c r="C15769" s="1" t="s">
        <v>5783</v>
      </c>
      <c r="D15769" s="22" t="str">
        <f>HYPERLINK("https://rhld.insurance.arkansas.gov/NPILookup?Npi=1558402487","1558402487")</f>
        <v>1558402487</v>
      </c>
      <c r="E15769" s="1" t="s">
        <v>2196</v>
      </c>
      <c r="F15769" s="2"/>
      <c r="G15769" s="2"/>
      <c r="H15769" s="2"/>
    </row>
    <row r="15770" spans="1:8" x14ac:dyDescent="0.25">
      <c r="A15770" s="1"/>
      <c r="B15770" s="1" t="s">
        <v>5782</v>
      </c>
      <c r="C15770" s="1" t="s">
        <v>5783</v>
      </c>
      <c r="D15770" s="22" t="str">
        <f>HYPERLINK("https://rhld.insurance.arkansas.gov/NPILookup?Npi=1558405761","1558405761")</f>
        <v>1558405761</v>
      </c>
      <c r="E15770" s="1" t="s">
        <v>2197</v>
      </c>
      <c r="F15770" s="2"/>
      <c r="G15770" s="2"/>
      <c r="H15770" s="2"/>
    </row>
    <row r="15771" spans="1:8" x14ac:dyDescent="0.25">
      <c r="A15771" s="1"/>
      <c r="B15771" s="1" t="s">
        <v>5782</v>
      </c>
      <c r="C15771" s="1" t="s">
        <v>5783</v>
      </c>
      <c r="D15771" s="22" t="str">
        <f>HYPERLINK("https://rhld.insurance.arkansas.gov/NPILookup?Npi=1558491209","1558491209")</f>
        <v>1558491209</v>
      </c>
      <c r="E15771" s="1" t="s">
        <v>22564</v>
      </c>
      <c r="F15771" s="2"/>
      <c r="G15771" s="2"/>
      <c r="H15771" s="2"/>
    </row>
    <row r="15772" spans="1:8" x14ac:dyDescent="0.25">
      <c r="A15772" s="1"/>
      <c r="B15772" s="1" t="s">
        <v>5782</v>
      </c>
      <c r="C15772" s="1" t="s">
        <v>5783</v>
      </c>
      <c r="D15772" s="22" t="str">
        <f>HYPERLINK("https://rhld.insurance.arkansas.gov/NPILookup?Npi=1558494542","1558494542")</f>
        <v>1558494542</v>
      </c>
      <c r="E15772" s="1" t="s">
        <v>6409</v>
      </c>
      <c r="F15772" s="2"/>
      <c r="G15772" s="2"/>
      <c r="H15772" s="2"/>
    </row>
    <row r="15773" spans="1:8" x14ac:dyDescent="0.25">
      <c r="A15773" s="1"/>
      <c r="B15773" s="1" t="s">
        <v>5782</v>
      </c>
      <c r="C15773" s="1" t="s">
        <v>5783</v>
      </c>
      <c r="D15773" s="22" t="str">
        <f>HYPERLINK("https://rhld.insurance.arkansas.gov/NPILookup?Npi=1558513119","1558513119")</f>
        <v>1558513119</v>
      </c>
      <c r="E15773" s="1" t="s">
        <v>22565</v>
      </c>
      <c r="F15773" s="2"/>
      <c r="G15773" s="2"/>
      <c r="H15773" s="2"/>
    </row>
    <row r="15774" spans="1:8" x14ac:dyDescent="0.25">
      <c r="A15774" s="1"/>
      <c r="B15774" s="1" t="s">
        <v>5782</v>
      </c>
      <c r="C15774" s="1" t="s">
        <v>5783</v>
      </c>
      <c r="D15774" s="22" t="str">
        <f>HYPERLINK("https://rhld.insurance.arkansas.gov/NPILookup?Npi=1558521872","1558521872")</f>
        <v>1558521872</v>
      </c>
      <c r="E15774" s="1" t="s">
        <v>318</v>
      </c>
      <c r="F15774" s="2"/>
      <c r="G15774" s="2"/>
      <c r="H15774" s="2"/>
    </row>
    <row r="15775" spans="1:8" x14ac:dyDescent="0.25">
      <c r="A15775" s="1"/>
      <c r="B15775" s="1" t="s">
        <v>5782</v>
      </c>
      <c r="C15775" s="1" t="s">
        <v>5783</v>
      </c>
      <c r="D15775" s="22" t="str">
        <f>HYPERLINK("https://rhld.insurance.arkansas.gov/NPILookup?Npi=1558526079","1558526079")</f>
        <v>1558526079</v>
      </c>
      <c r="E15775" s="1" t="s">
        <v>11891</v>
      </c>
      <c r="F15775" s="2"/>
      <c r="G15775" s="2"/>
      <c r="H15775" s="2"/>
    </row>
    <row r="15776" spans="1:8" x14ac:dyDescent="0.25">
      <c r="A15776" s="1"/>
      <c r="B15776" s="1" t="s">
        <v>5782</v>
      </c>
      <c r="C15776" s="1" t="s">
        <v>5783</v>
      </c>
      <c r="D15776" s="22" t="str">
        <f>HYPERLINK("https://rhld.insurance.arkansas.gov/NPILookup?Npi=1558529966","1558529966")</f>
        <v>1558529966</v>
      </c>
      <c r="E15776" s="1" t="s">
        <v>22566</v>
      </c>
      <c r="F15776" s="2"/>
      <c r="G15776" s="2"/>
      <c r="H15776" s="2"/>
    </row>
    <row r="15777" spans="1:8" x14ac:dyDescent="0.25">
      <c r="A15777" s="1"/>
      <c r="B15777" s="1" t="s">
        <v>5782</v>
      </c>
      <c r="C15777" s="1" t="s">
        <v>5783</v>
      </c>
      <c r="D15777" s="22" t="str">
        <f>HYPERLINK("https://rhld.insurance.arkansas.gov/NPILookup?Npi=1558540484","1558540484")</f>
        <v>1558540484</v>
      </c>
      <c r="E15777" s="1" t="s">
        <v>11892</v>
      </c>
      <c r="F15777" s="2"/>
      <c r="G15777" s="2"/>
      <c r="H15777" s="2"/>
    </row>
    <row r="15778" spans="1:8" x14ac:dyDescent="0.25">
      <c r="A15778" s="1"/>
      <c r="B15778" s="1" t="s">
        <v>5782</v>
      </c>
      <c r="C15778" s="1" t="s">
        <v>5783</v>
      </c>
      <c r="D15778" s="22" t="str">
        <f>HYPERLINK("https://rhld.insurance.arkansas.gov/NPILookup?Npi=1558545897","1558545897")</f>
        <v>1558545897</v>
      </c>
      <c r="E15778" s="1" t="s">
        <v>11893</v>
      </c>
      <c r="F15778" s="2"/>
      <c r="G15778" s="2"/>
      <c r="H15778" s="2"/>
    </row>
    <row r="15779" spans="1:8" x14ac:dyDescent="0.25">
      <c r="A15779" s="1"/>
      <c r="B15779" s="1" t="s">
        <v>5782</v>
      </c>
      <c r="C15779" s="1" t="s">
        <v>5783</v>
      </c>
      <c r="D15779" s="22" t="str">
        <f>HYPERLINK("https://rhld.insurance.arkansas.gov/NPILookup?Npi=1558588590","1558588590")</f>
        <v>1558588590</v>
      </c>
      <c r="E15779" s="1" t="s">
        <v>3309</v>
      </c>
      <c r="F15779" s="2"/>
      <c r="G15779" s="2"/>
      <c r="H15779" s="2"/>
    </row>
    <row r="15780" spans="1:8" x14ac:dyDescent="0.25">
      <c r="A15780" s="1"/>
      <c r="B15780" s="1" t="s">
        <v>5782</v>
      </c>
      <c r="C15780" s="1" t="s">
        <v>5783</v>
      </c>
      <c r="D15780" s="22" t="str">
        <f>HYPERLINK("https://rhld.insurance.arkansas.gov/NPILookup?Npi=1558593905","1558593905")</f>
        <v>1558593905</v>
      </c>
      <c r="E15780" s="1" t="s">
        <v>6410</v>
      </c>
      <c r="F15780" s="2"/>
      <c r="G15780" s="2"/>
      <c r="H15780" s="2"/>
    </row>
    <row r="15781" spans="1:8" x14ac:dyDescent="0.25">
      <c r="A15781" s="1"/>
      <c r="B15781" s="1" t="s">
        <v>5782</v>
      </c>
      <c r="C15781" s="1" t="s">
        <v>5783</v>
      </c>
      <c r="D15781" s="22" t="str">
        <f>HYPERLINK("https://rhld.insurance.arkansas.gov/NPILookup?Npi=1558624676","1558624676")</f>
        <v>1558624676</v>
      </c>
      <c r="E15781" s="1" t="s">
        <v>6411</v>
      </c>
      <c r="F15781" s="2"/>
      <c r="G15781" s="2"/>
      <c r="H15781" s="2"/>
    </row>
    <row r="15782" spans="1:8" x14ac:dyDescent="0.25">
      <c r="A15782" s="1"/>
      <c r="B15782" s="1" t="s">
        <v>5782</v>
      </c>
      <c r="C15782" s="1" t="s">
        <v>5783</v>
      </c>
      <c r="D15782" s="22" t="str">
        <f>HYPERLINK("https://rhld.insurance.arkansas.gov/NPILookup?Npi=1558633040","1558633040")</f>
        <v>1558633040</v>
      </c>
      <c r="E15782" s="1" t="s">
        <v>11894</v>
      </c>
      <c r="F15782" s="2"/>
      <c r="G15782" s="2"/>
      <c r="H15782" s="2"/>
    </row>
    <row r="15783" spans="1:8" x14ac:dyDescent="0.25">
      <c r="A15783" s="1"/>
      <c r="B15783" s="1" t="s">
        <v>5782</v>
      </c>
      <c r="C15783" s="1" t="s">
        <v>5783</v>
      </c>
      <c r="D15783" s="22" t="str">
        <f>HYPERLINK("https://rhld.insurance.arkansas.gov/NPILookup?Npi=1558634485","1558634485")</f>
        <v>1558634485</v>
      </c>
      <c r="E15783" s="1" t="s">
        <v>22567</v>
      </c>
      <c r="F15783" s="2"/>
      <c r="G15783" s="2"/>
      <c r="H15783" s="2"/>
    </row>
    <row r="15784" spans="1:8" x14ac:dyDescent="0.25">
      <c r="A15784" s="1"/>
      <c r="B15784" s="1" t="s">
        <v>5782</v>
      </c>
      <c r="C15784" s="1" t="s">
        <v>5783</v>
      </c>
      <c r="D15784" s="22" t="str">
        <f>HYPERLINK("https://rhld.insurance.arkansas.gov/NPILookup?Npi=1558647214","1558647214")</f>
        <v>1558647214</v>
      </c>
      <c r="E15784" s="1" t="s">
        <v>22568</v>
      </c>
      <c r="F15784" s="2"/>
      <c r="G15784" s="2"/>
      <c r="H15784" s="2"/>
    </row>
    <row r="15785" spans="1:8" x14ac:dyDescent="0.25">
      <c r="A15785" s="1"/>
      <c r="B15785" s="1" t="s">
        <v>5782</v>
      </c>
      <c r="C15785" s="1" t="s">
        <v>5783</v>
      </c>
      <c r="D15785" s="22" t="str">
        <f>HYPERLINK("https://rhld.insurance.arkansas.gov/NPILookup?Npi=1558655654","1558655654")</f>
        <v>1558655654</v>
      </c>
      <c r="E15785" s="1" t="s">
        <v>22569</v>
      </c>
      <c r="F15785" s="2"/>
      <c r="G15785" s="2"/>
      <c r="H15785" s="2"/>
    </row>
    <row r="15786" spans="1:8" x14ac:dyDescent="0.25">
      <c r="A15786" s="1"/>
      <c r="B15786" s="1" t="s">
        <v>5782</v>
      </c>
      <c r="C15786" s="1" t="s">
        <v>5783</v>
      </c>
      <c r="D15786" s="22" t="str">
        <f>HYPERLINK("https://rhld.insurance.arkansas.gov/NPILookup?Npi=1558679910","1558679910")</f>
        <v>1558679910</v>
      </c>
      <c r="E15786" s="1" t="s">
        <v>22570</v>
      </c>
      <c r="F15786" s="2"/>
      <c r="G15786" s="2"/>
      <c r="H15786" s="2"/>
    </row>
    <row r="15787" spans="1:8" x14ac:dyDescent="0.25">
      <c r="A15787" s="1"/>
      <c r="B15787" s="1" t="s">
        <v>5782</v>
      </c>
      <c r="C15787" s="1" t="s">
        <v>5783</v>
      </c>
      <c r="D15787" s="22" t="str">
        <f>HYPERLINK("https://rhld.insurance.arkansas.gov/NPILookup?Npi=1558686568","1558686568")</f>
        <v>1558686568</v>
      </c>
      <c r="E15787" s="1" t="s">
        <v>22571</v>
      </c>
      <c r="F15787" s="2"/>
      <c r="G15787" s="2"/>
      <c r="H15787" s="2"/>
    </row>
    <row r="15788" spans="1:8" x14ac:dyDescent="0.25">
      <c r="A15788" s="1"/>
      <c r="B15788" s="1" t="s">
        <v>5782</v>
      </c>
      <c r="C15788" s="1" t="s">
        <v>5783</v>
      </c>
      <c r="D15788" s="22" t="str">
        <f>HYPERLINK("https://rhld.insurance.arkansas.gov/NPILookup?Npi=1558691212","1558691212")</f>
        <v>1558691212</v>
      </c>
      <c r="E15788" s="1" t="s">
        <v>22572</v>
      </c>
      <c r="F15788" s="2"/>
      <c r="G15788" s="2"/>
      <c r="H15788" s="2"/>
    </row>
    <row r="15789" spans="1:8" x14ac:dyDescent="0.25">
      <c r="A15789" s="1"/>
      <c r="B15789" s="1" t="s">
        <v>5782</v>
      </c>
      <c r="C15789" s="1" t="s">
        <v>5783</v>
      </c>
      <c r="D15789" s="22" t="str">
        <f>HYPERLINK("https://rhld.insurance.arkansas.gov/NPILookup?Npi=1558693101","1558693101")</f>
        <v>1558693101</v>
      </c>
      <c r="E15789" s="1" t="s">
        <v>22573</v>
      </c>
      <c r="F15789" s="2"/>
      <c r="G15789" s="2"/>
      <c r="H15789" s="2"/>
    </row>
    <row r="15790" spans="1:8" x14ac:dyDescent="0.25">
      <c r="A15790" s="1"/>
      <c r="B15790" s="1" t="s">
        <v>5782</v>
      </c>
      <c r="C15790" s="1" t="s">
        <v>5783</v>
      </c>
      <c r="D15790" s="22" t="str">
        <f>HYPERLINK("https://rhld.insurance.arkansas.gov/NPILookup?Npi=1558694612","1558694612")</f>
        <v>1558694612</v>
      </c>
      <c r="E15790" s="1" t="s">
        <v>2198</v>
      </c>
      <c r="F15790" s="2"/>
      <c r="G15790" s="2"/>
      <c r="H15790" s="2"/>
    </row>
    <row r="15791" spans="1:8" x14ac:dyDescent="0.25">
      <c r="A15791" s="1"/>
      <c r="B15791" s="1" t="s">
        <v>5782</v>
      </c>
      <c r="C15791" s="1" t="s">
        <v>5783</v>
      </c>
      <c r="D15791" s="22" t="str">
        <f>HYPERLINK("https://rhld.insurance.arkansas.gov/NPILookup?Npi=1558707257","1558707257")</f>
        <v>1558707257</v>
      </c>
      <c r="E15791" s="1" t="s">
        <v>3310</v>
      </c>
      <c r="F15791" s="2"/>
      <c r="G15791" s="2"/>
      <c r="H15791" s="2"/>
    </row>
    <row r="15792" spans="1:8" x14ac:dyDescent="0.25">
      <c r="A15792" s="1"/>
      <c r="B15792" s="1" t="s">
        <v>5782</v>
      </c>
      <c r="C15792" s="1" t="s">
        <v>5783</v>
      </c>
      <c r="D15792" s="22" t="str">
        <f>HYPERLINK("https://rhld.insurance.arkansas.gov/NPILookup?Npi=1558718320","1558718320")</f>
        <v>1558718320</v>
      </c>
      <c r="E15792" s="1" t="s">
        <v>22574</v>
      </c>
      <c r="F15792" s="2"/>
      <c r="G15792" s="2"/>
      <c r="H15792" s="2"/>
    </row>
    <row r="15793" spans="1:8" x14ac:dyDescent="0.25">
      <c r="A15793" s="1"/>
      <c r="B15793" s="1" t="s">
        <v>5782</v>
      </c>
      <c r="C15793" s="1" t="s">
        <v>5783</v>
      </c>
      <c r="D15793" s="22" t="str">
        <f>HYPERLINK("https://rhld.insurance.arkansas.gov/NPILookup?Npi=1558718411","1558718411")</f>
        <v>1558718411</v>
      </c>
      <c r="E15793" s="1" t="s">
        <v>6412</v>
      </c>
      <c r="F15793" s="2"/>
      <c r="G15793" s="2"/>
      <c r="H15793" s="2"/>
    </row>
    <row r="15794" spans="1:8" x14ac:dyDescent="0.25">
      <c r="A15794" s="1"/>
      <c r="B15794" s="1" t="s">
        <v>5782</v>
      </c>
      <c r="C15794" s="1" t="s">
        <v>5783</v>
      </c>
      <c r="D15794" s="22" t="str">
        <f>HYPERLINK("https://rhld.insurance.arkansas.gov/NPILookup?Npi=1558723361","1558723361")</f>
        <v>1558723361</v>
      </c>
      <c r="E15794" s="1" t="s">
        <v>6413</v>
      </c>
      <c r="F15794" s="2"/>
      <c r="G15794" s="2"/>
      <c r="H15794" s="2"/>
    </row>
    <row r="15795" spans="1:8" x14ac:dyDescent="0.25">
      <c r="A15795" s="1"/>
      <c r="B15795" s="1" t="s">
        <v>5782</v>
      </c>
      <c r="C15795" s="1" t="s">
        <v>5783</v>
      </c>
      <c r="D15795" s="22" t="str">
        <f>HYPERLINK("https://rhld.insurance.arkansas.gov/NPILookup?Npi=1558732800","1558732800")</f>
        <v>1558732800</v>
      </c>
      <c r="E15795" s="1" t="s">
        <v>11895</v>
      </c>
      <c r="F15795" s="2"/>
      <c r="G15795" s="2"/>
      <c r="H15795" s="2"/>
    </row>
    <row r="15796" spans="1:8" x14ac:dyDescent="0.25">
      <c r="A15796" s="1"/>
      <c r="B15796" s="1" t="s">
        <v>5782</v>
      </c>
      <c r="C15796" s="1" t="s">
        <v>5783</v>
      </c>
      <c r="D15796" s="22" t="str">
        <f>HYPERLINK("https://rhld.insurance.arkansas.gov/NPILookup?Npi=1558733154","1558733154")</f>
        <v>1558733154</v>
      </c>
      <c r="E15796" s="1" t="s">
        <v>22575</v>
      </c>
      <c r="F15796" s="2"/>
      <c r="G15796" s="2"/>
      <c r="H15796" s="2"/>
    </row>
    <row r="15797" spans="1:8" x14ac:dyDescent="0.25">
      <c r="A15797" s="1"/>
      <c r="B15797" s="1" t="s">
        <v>5782</v>
      </c>
      <c r="C15797" s="1" t="s">
        <v>5783</v>
      </c>
      <c r="D15797" s="22" t="str">
        <f>HYPERLINK("https://rhld.insurance.arkansas.gov/NPILookup?Npi=1558738021","1558738021")</f>
        <v>1558738021</v>
      </c>
      <c r="E15797" s="1" t="s">
        <v>1252</v>
      </c>
      <c r="F15797" s="2"/>
      <c r="G15797" s="2"/>
      <c r="H15797" s="2"/>
    </row>
    <row r="15798" spans="1:8" x14ac:dyDescent="0.25">
      <c r="A15798" s="1"/>
      <c r="B15798" s="1" t="s">
        <v>5782</v>
      </c>
      <c r="C15798" s="1" t="s">
        <v>5783</v>
      </c>
      <c r="D15798" s="22" t="str">
        <f>HYPERLINK("https://rhld.insurance.arkansas.gov/NPILookup?Npi=1558752634","1558752634")</f>
        <v>1558752634</v>
      </c>
      <c r="E15798" s="1" t="s">
        <v>22576</v>
      </c>
      <c r="F15798" s="2"/>
      <c r="G15798" s="2"/>
      <c r="H15798" s="2"/>
    </row>
    <row r="15799" spans="1:8" x14ac:dyDescent="0.25">
      <c r="A15799" s="1"/>
      <c r="B15799" s="1" t="s">
        <v>5782</v>
      </c>
      <c r="C15799" s="1" t="s">
        <v>5783</v>
      </c>
      <c r="D15799" s="22" t="str">
        <f>HYPERLINK("https://rhld.insurance.arkansas.gov/NPILookup?Npi=1558771634","1558771634")</f>
        <v>1558771634</v>
      </c>
      <c r="E15799" s="1" t="s">
        <v>22577</v>
      </c>
      <c r="F15799" s="2"/>
      <c r="G15799" s="2"/>
      <c r="H15799" s="2"/>
    </row>
    <row r="15800" spans="1:8" x14ac:dyDescent="0.25">
      <c r="A15800" s="1"/>
      <c r="B15800" s="1" t="s">
        <v>5782</v>
      </c>
      <c r="C15800" s="1" t="s">
        <v>5783</v>
      </c>
      <c r="D15800" s="22" t="str">
        <f>HYPERLINK("https://rhld.insurance.arkansas.gov/NPILookup?Npi=1558777896","1558777896")</f>
        <v>1558777896</v>
      </c>
      <c r="E15800" s="1" t="s">
        <v>1059</v>
      </c>
      <c r="F15800" s="2"/>
      <c r="G15800" s="2"/>
      <c r="H15800" s="2"/>
    </row>
    <row r="15801" spans="1:8" x14ac:dyDescent="0.25">
      <c r="A15801" s="1"/>
      <c r="B15801" s="1" t="s">
        <v>5782</v>
      </c>
      <c r="C15801" s="1" t="s">
        <v>5783</v>
      </c>
      <c r="D15801" s="22" t="str">
        <f>HYPERLINK("https://rhld.insurance.arkansas.gov/NPILookup?Npi=1558779272","1558779272")</f>
        <v>1558779272</v>
      </c>
      <c r="E15801" s="1" t="s">
        <v>22578</v>
      </c>
      <c r="F15801" s="2"/>
      <c r="G15801" s="2"/>
      <c r="H15801" s="2"/>
    </row>
    <row r="15802" spans="1:8" x14ac:dyDescent="0.25">
      <c r="A15802" s="1"/>
      <c r="B15802" s="1" t="s">
        <v>5782</v>
      </c>
      <c r="C15802" s="1" t="s">
        <v>5783</v>
      </c>
      <c r="D15802" s="22" t="str">
        <f>HYPERLINK("https://rhld.insurance.arkansas.gov/NPILookup?Npi=1558780478","1558780478")</f>
        <v>1558780478</v>
      </c>
      <c r="E15802" s="1" t="s">
        <v>3316</v>
      </c>
      <c r="F15802" s="2"/>
      <c r="G15802" s="2"/>
      <c r="H15802" s="2"/>
    </row>
    <row r="15803" spans="1:8" x14ac:dyDescent="0.25">
      <c r="A15803" s="1"/>
      <c r="B15803" s="1" t="s">
        <v>5782</v>
      </c>
      <c r="C15803" s="1" t="s">
        <v>5783</v>
      </c>
      <c r="D15803" s="22" t="str">
        <f>HYPERLINK("https://rhld.insurance.arkansas.gov/NPILookup?Npi=1558786095","1558786095")</f>
        <v>1558786095</v>
      </c>
      <c r="E15803" s="1" t="s">
        <v>22579</v>
      </c>
      <c r="F15803" s="2"/>
      <c r="G15803" s="2"/>
      <c r="H15803" s="2"/>
    </row>
    <row r="15804" spans="1:8" x14ac:dyDescent="0.25">
      <c r="A15804" s="1"/>
      <c r="B15804" s="1" t="s">
        <v>5782</v>
      </c>
      <c r="C15804" s="1" t="s">
        <v>5783</v>
      </c>
      <c r="D15804" s="22" t="str">
        <f>HYPERLINK("https://rhld.insurance.arkansas.gov/NPILookup?Npi=1558806844","1558806844")</f>
        <v>1558806844</v>
      </c>
      <c r="E15804" s="1" t="s">
        <v>6414</v>
      </c>
      <c r="F15804" s="2"/>
      <c r="G15804" s="2"/>
      <c r="H15804" s="2"/>
    </row>
    <row r="15805" spans="1:8" x14ac:dyDescent="0.25">
      <c r="A15805" s="1"/>
      <c r="B15805" s="1" t="s">
        <v>5782</v>
      </c>
      <c r="C15805" s="1" t="s">
        <v>5783</v>
      </c>
      <c r="D15805" s="22" t="str">
        <f>HYPERLINK("https://rhld.insurance.arkansas.gov/NPILookup?Npi=1558818583","1558818583")</f>
        <v>1558818583</v>
      </c>
      <c r="E15805" s="1" t="s">
        <v>22580</v>
      </c>
      <c r="F15805" s="2"/>
      <c r="G15805" s="2"/>
      <c r="H15805" s="2"/>
    </row>
    <row r="15806" spans="1:8" x14ac:dyDescent="0.25">
      <c r="A15806" s="1"/>
      <c r="B15806" s="1" t="s">
        <v>5782</v>
      </c>
      <c r="C15806" s="1" t="s">
        <v>5783</v>
      </c>
      <c r="D15806" s="22" t="str">
        <f>HYPERLINK("https://rhld.insurance.arkansas.gov/NPILookup?Npi=1558820332","1558820332")</f>
        <v>1558820332</v>
      </c>
      <c r="E15806" s="1" t="s">
        <v>11896</v>
      </c>
      <c r="F15806" s="2"/>
      <c r="G15806" s="2"/>
      <c r="H15806" s="2"/>
    </row>
    <row r="15807" spans="1:8" x14ac:dyDescent="0.25">
      <c r="A15807" s="1"/>
      <c r="B15807" s="1" t="s">
        <v>5782</v>
      </c>
      <c r="C15807" s="1" t="s">
        <v>5783</v>
      </c>
      <c r="D15807" s="22" t="str">
        <f>HYPERLINK("https://rhld.insurance.arkansas.gov/NPILookup?Npi=1558825356","1558825356")</f>
        <v>1558825356</v>
      </c>
      <c r="E15807" s="1" t="s">
        <v>22581</v>
      </c>
      <c r="F15807" s="2"/>
      <c r="G15807" s="2"/>
      <c r="H15807" s="2"/>
    </row>
    <row r="15808" spans="1:8" x14ac:dyDescent="0.25">
      <c r="A15808" s="1"/>
      <c r="B15808" s="1" t="s">
        <v>5782</v>
      </c>
      <c r="C15808" s="1" t="s">
        <v>5783</v>
      </c>
      <c r="D15808" s="22" t="str">
        <f>HYPERLINK("https://rhld.insurance.arkansas.gov/NPILookup?Npi=1558886291","1558886291")</f>
        <v>1558886291</v>
      </c>
      <c r="E15808" s="1" t="s">
        <v>11897</v>
      </c>
      <c r="F15808" s="2"/>
      <c r="G15808" s="2"/>
      <c r="H15808" s="2"/>
    </row>
    <row r="15809" spans="1:8" x14ac:dyDescent="0.25">
      <c r="A15809" s="1"/>
      <c r="B15809" s="1" t="s">
        <v>5782</v>
      </c>
      <c r="C15809" s="1" t="s">
        <v>5783</v>
      </c>
      <c r="D15809" s="22" t="str">
        <f>HYPERLINK("https://rhld.insurance.arkansas.gov/NPILookup?Npi=1558886994","1558886994")</f>
        <v>1558886994</v>
      </c>
      <c r="E15809" s="1" t="s">
        <v>22582</v>
      </c>
      <c r="F15809" s="2"/>
      <c r="G15809" s="2"/>
      <c r="H15809" s="2"/>
    </row>
    <row r="15810" spans="1:8" x14ac:dyDescent="0.25">
      <c r="A15810" s="1"/>
      <c r="B15810" s="1" t="s">
        <v>5782</v>
      </c>
      <c r="C15810" s="1" t="s">
        <v>5783</v>
      </c>
      <c r="D15810" s="22" t="str">
        <f>HYPERLINK("https://rhld.insurance.arkansas.gov/NPILookup?Npi=1558920546","1558920546")</f>
        <v>1558920546</v>
      </c>
      <c r="E15810" s="1" t="s">
        <v>22583</v>
      </c>
      <c r="F15810" s="2"/>
      <c r="G15810" s="2"/>
      <c r="H15810" s="2"/>
    </row>
    <row r="15811" spans="1:8" x14ac:dyDescent="0.25">
      <c r="A15811" s="1"/>
      <c r="B15811" s="1" t="s">
        <v>5782</v>
      </c>
      <c r="C15811" s="1" t="s">
        <v>5783</v>
      </c>
      <c r="D15811" s="22" t="str">
        <f>HYPERLINK("https://rhld.insurance.arkansas.gov/NPILookup?Npi=1558920694","1558920694")</f>
        <v>1558920694</v>
      </c>
      <c r="E15811" s="1" t="s">
        <v>22584</v>
      </c>
      <c r="F15811" s="2"/>
      <c r="G15811" s="2"/>
      <c r="H15811" s="2"/>
    </row>
    <row r="15812" spans="1:8" x14ac:dyDescent="0.25">
      <c r="A15812" s="1"/>
      <c r="B15812" s="1" t="s">
        <v>5782</v>
      </c>
      <c r="C15812" s="1" t="s">
        <v>5783</v>
      </c>
      <c r="D15812" s="22" t="str">
        <f>HYPERLINK("https://rhld.insurance.arkansas.gov/NPILookup?Npi=1558921700","1558921700")</f>
        <v>1558921700</v>
      </c>
      <c r="E15812" s="1" t="s">
        <v>22585</v>
      </c>
      <c r="F15812" s="2"/>
      <c r="G15812" s="2"/>
      <c r="H15812" s="2"/>
    </row>
    <row r="15813" spans="1:8" x14ac:dyDescent="0.25">
      <c r="A15813" s="1"/>
      <c r="B15813" s="1" t="s">
        <v>5782</v>
      </c>
      <c r="C15813" s="1" t="s">
        <v>5783</v>
      </c>
      <c r="D15813" s="22" t="str">
        <f>HYPERLINK("https://rhld.insurance.arkansas.gov/NPILookup?Npi=1558956854","1558956854")</f>
        <v>1558956854</v>
      </c>
      <c r="E15813" s="1" t="s">
        <v>1671</v>
      </c>
      <c r="F15813" s="2"/>
      <c r="G15813" s="2"/>
      <c r="H15813" s="2"/>
    </row>
    <row r="15814" spans="1:8" x14ac:dyDescent="0.25">
      <c r="A15814" s="1"/>
      <c r="B15814" s="1" t="s">
        <v>5782</v>
      </c>
      <c r="C15814" s="1" t="s">
        <v>5783</v>
      </c>
      <c r="D15814" s="22" t="str">
        <f>HYPERLINK("https://rhld.insurance.arkansas.gov/NPILookup?Npi=1568006278","1568006278")</f>
        <v>1568006278</v>
      </c>
      <c r="E15814" s="1" t="s">
        <v>22586</v>
      </c>
      <c r="F15814" s="2"/>
      <c r="G15814" s="2"/>
      <c r="H15814" s="2"/>
    </row>
    <row r="15815" spans="1:8" x14ac:dyDescent="0.25">
      <c r="A15815" s="1"/>
      <c r="B15815" s="1" t="s">
        <v>5782</v>
      </c>
      <c r="C15815" s="1" t="s">
        <v>5783</v>
      </c>
      <c r="D15815" s="22" t="str">
        <f>HYPERLINK("https://rhld.insurance.arkansas.gov/NPILookup?Npi=1568007557","1568007557")</f>
        <v>1568007557</v>
      </c>
      <c r="E15815" s="1" t="s">
        <v>11898</v>
      </c>
      <c r="F15815" s="2"/>
      <c r="G15815" s="2"/>
      <c r="H15815" s="2"/>
    </row>
    <row r="15816" spans="1:8" x14ac:dyDescent="0.25">
      <c r="A15816" s="1"/>
      <c r="B15816" s="1" t="s">
        <v>5782</v>
      </c>
      <c r="C15816" s="1" t="s">
        <v>5783</v>
      </c>
      <c r="D15816" s="22" t="str">
        <f>HYPERLINK("https://rhld.insurance.arkansas.gov/NPILookup?Npi=1568019800","1568019800")</f>
        <v>1568019800</v>
      </c>
      <c r="E15816" s="1" t="s">
        <v>22587</v>
      </c>
      <c r="F15816" s="2"/>
      <c r="G15816" s="2"/>
      <c r="H15816" s="2"/>
    </row>
    <row r="15817" spans="1:8" x14ac:dyDescent="0.25">
      <c r="A15817" s="1"/>
      <c r="B15817" s="1" t="s">
        <v>5782</v>
      </c>
      <c r="C15817" s="1" t="s">
        <v>5783</v>
      </c>
      <c r="D15817" s="22" t="str">
        <f>HYPERLINK("https://rhld.insurance.arkansas.gov/NPILookup?Npi=1568034668","1568034668")</f>
        <v>1568034668</v>
      </c>
      <c r="E15817" s="1" t="s">
        <v>11899</v>
      </c>
      <c r="F15817" s="2"/>
      <c r="G15817" s="2"/>
      <c r="H15817" s="2"/>
    </row>
    <row r="15818" spans="1:8" x14ac:dyDescent="0.25">
      <c r="A15818" s="1"/>
      <c r="B15818" s="1" t="s">
        <v>5782</v>
      </c>
      <c r="C15818" s="1" t="s">
        <v>5783</v>
      </c>
      <c r="D15818" s="22" t="str">
        <f>HYPERLINK("https://rhld.insurance.arkansas.gov/NPILookup?Npi=1568043933","1568043933")</f>
        <v>1568043933</v>
      </c>
      <c r="E15818" s="1" t="s">
        <v>11900</v>
      </c>
      <c r="F15818" s="2"/>
      <c r="G15818" s="2"/>
      <c r="H15818" s="2"/>
    </row>
    <row r="15819" spans="1:8" x14ac:dyDescent="0.25">
      <c r="A15819" s="1"/>
      <c r="B15819" s="1" t="s">
        <v>5782</v>
      </c>
      <c r="C15819" s="1" t="s">
        <v>5783</v>
      </c>
      <c r="D15819" s="22" t="str">
        <f>HYPERLINK("https://rhld.insurance.arkansas.gov/NPILookup?Npi=1568085769","1568085769")</f>
        <v>1568085769</v>
      </c>
      <c r="E15819" s="1" t="s">
        <v>6415</v>
      </c>
      <c r="F15819" s="2"/>
      <c r="G15819" s="2"/>
      <c r="H15819" s="2"/>
    </row>
    <row r="15820" spans="1:8" x14ac:dyDescent="0.25">
      <c r="A15820" s="1"/>
      <c r="B15820" s="1" t="s">
        <v>5782</v>
      </c>
      <c r="C15820" s="1" t="s">
        <v>5783</v>
      </c>
      <c r="D15820" s="22" t="str">
        <f>HYPERLINK("https://rhld.insurance.arkansas.gov/NPILookup?Npi=1568095917","1568095917")</f>
        <v>1568095917</v>
      </c>
      <c r="E15820" s="1" t="s">
        <v>11901</v>
      </c>
      <c r="F15820" s="2"/>
      <c r="G15820" s="2"/>
      <c r="H15820" s="2"/>
    </row>
    <row r="15821" spans="1:8" x14ac:dyDescent="0.25">
      <c r="A15821" s="1"/>
      <c r="B15821" s="1" t="s">
        <v>5782</v>
      </c>
      <c r="C15821" s="1" t="s">
        <v>5783</v>
      </c>
      <c r="D15821" s="22" t="str">
        <f>HYPERLINK("https://rhld.insurance.arkansas.gov/NPILookup?Npi=1568118990","1568118990")</f>
        <v>1568118990</v>
      </c>
      <c r="E15821" s="1" t="s">
        <v>1573</v>
      </c>
      <c r="F15821" s="2"/>
      <c r="G15821" s="2"/>
      <c r="H15821" s="2"/>
    </row>
    <row r="15822" spans="1:8" x14ac:dyDescent="0.25">
      <c r="A15822" s="1"/>
      <c r="B15822" s="1" t="s">
        <v>5782</v>
      </c>
      <c r="C15822" s="1" t="s">
        <v>5783</v>
      </c>
      <c r="D15822" s="22" t="str">
        <f>HYPERLINK("https://rhld.insurance.arkansas.gov/NPILookup?Npi=1568128684","1568128684")</f>
        <v>1568128684</v>
      </c>
      <c r="E15822" s="1" t="s">
        <v>22588</v>
      </c>
      <c r="F15822" s="2"/>
      <c r="G15822" s="2"/>
      <c r="H15822" s="2"/>
    </row>
    <row r="15823" spans="1:8" x14ac:dyDescent="0.25">
      <c r="A15823" s="1"/>
      <c r="B15823" s="1" t="s">
        <v>5782</v>
      </c>
      <c r="C15823" s="1" t="s">
        <v>5783</v>
      </c>
      <c r="D15823" s="22" t="str">
        <f>HYPERLINK("https://rhld.insurance.arkansas.gov/NPILookup?Npi=1568131076","1568131076")</f>
        <v>1568131076</v>
      </c>
      <c r="E15823" s="1" t="s">
        <v>22589</v>
      </c>
      <c r="F15823" s="2"/>
      <c r="G15823" s="2"/>
      <c r="H15823" s="2"/>
    </row>
    <row r="15824" spans="1:8" x14ac:dyDescent="0.25">
      <c r="A15824" s="1"/>
      <c r="B15824" s="1" t="s">
        <v>5782</v>
      </c>
      <c r="C15824" s="1" t="s">
        <v>5783</v>
      </c>
      <c r="D15824" s="22" t="str">
        <f>HYPERLINK("https://rhld.insurance.arkansas.gov/NPILookup?Npi=1568132462","1568132462")</f>
        <v>1568132462</v>
      </c>
      <c r="E15824" s="1" t="s">
        <v>22590</v>
      </c>
      <c r="F15824" s="2"/>
      <c r="G15824" s="2"/>
      <c r="H15824" s="2"/>
    </row>
    <row r="15825" spans="1:8" x14ac:dyDescent="0.25">
      <c r="A15825" s="1"/>
      <c r="B15825" s="1" t="s">
        <v>5782</v>
      </c>
      <c r="C15825" s="1" t="s">
        <v>5783</v>
      </c>
      <c r="D15825" s="22" t="str">
        <f>HYPERLINK("https://rhld.insurance.arkansas.gov/NPILookup?Npi=1568145860","1568145860")</f>
        <v>1568145860</v>
      </c>
      <c r="E15825" s="1" t="s">
        <v>22591</v>
      </c>
      <c r="F15825" s="2"/>
      <c r="G15825" s="2"/>
      <c r="H15825" s="2"/>
    </row>
    <row r="15826" spans="1:8" x14ac:dyDescent="0.25">
      <c r="A15826" s="1"/>
      <c r="B15826" s="1" t="s">
        <v>5782</v>
      </c>
      <c r="C15826" s="1" t="s">
        <v>5783</v>
      </c>
      <c r="D15826" s="22" t="str">
        <f>HYPERLINK("https://rhld.insurance.arkansas.gov/NPILookup?Npi=1568182467","1568182467")</f>
        <v>1568182467</v>
      </c>
      <c r="E15826" s="1" t="s">
        <v>22592</v>
      </c>
      <c r="F15826" s="2"/>
      <c r="G15826" s="2"/>
      <c r="H15826" s="2"/>
    </row>
    <row r="15827" spans="1:8" x14ac:dyDescent="0.25">
      <c r="A15827" s="1"/>
      <c r="B15827" s="1" t="s">
        <v>5782</v>
      </c>
      <c r="C15827" s="1" t="s">
        <v>5783</v>
      </c>
      <c r="D15827" s="22" t="str">
        <f>HYPERLINK("https://rhld.insurance.arkansas.gov/NPILookup?Npi=1568190817","1568190817")</f>
        <v>1568190817</v>
      </c>
      <c r="E15827" s="1" t="s">
        <v>6416</v>
      </c>
      <c r="F15827" s="2"/>
      <c r="G15827" s="2"/>
      <c r="H15827" s="2"/>
    </row>
    <row r="15828" spans="1:8" x14ac:dyDescent="0.25">
      <c r="A15828" s="1"/>
      <c r="B15828" s="1" t="s">
        <v>5782</v>
      </c>
      <c r="C15828" s="1" t="s">
        <v>5783</v>
      </c>
      <c r="D15828" s="22" t="str">
        <f>HYPERLINK("https://rhld.insurance.arkansas.gov/NPILookup?Npi=1568198448","1568198448")</f>
        <v>1568198448</v>
      </c>
      <c r="E15828" s="1" t="s">
        <v>22593</v>
      </c>
      <c r="F15828" s="2"/>
      <c r="G15828" s="2"/>
      <c r="H15828" s="2"/>
    </row>
    <row r="15829" spans="1:8" x14ac:dyDescent="0.25">
      <c r="A15829" s="1"/>
      <c r="B15829" s="1" t="s">
        <v>5782</v>
      </c>
      <c r="C15829" s="1" t="s">
        <v>5783</v>
      </c>
      <c r="D15829" s="22" t="str">
        <f>HYPERLINK("https://rhld.insurance.arkansas.gov/NPILookup?Npi=1568226496","1568226496")</f>
        <v>1568226496</v>
      </c>
      <c r="E15829" s="1" t="s">
        <v>22594</v>
      </c>
      <c r="F15829" s="2"/>
      <c r="G15829" s="2"/>
      <c r="H15829" s="2"/>
    </row>
    <row r="15830" spans="1:8" x14ac:dyDescent="0.25">
      <c r="A15830" s="1"/>
      <c r="B15830" s="1" t="s">
        <v>5782</v>
      </c>
      <c r="C15830" s="1" t="s">
        <v>5783</v>
      </c>
      <c r="D15830" s="22" t="str">
        <f>HYPERLINK("https://rhld.insurance.arkansas.gov/NPILookup?Npi=1568242949","1568242949")</f>
        <v>1568242949</v>
      </c>
      <c r="E15830" s="1" t="s">
        <v>22595</v>
      </c>
      <c r="F15830" s="2"/>
      <c r="G15830" s="2"/>
      <c r="H15830" s="2"/>
    </row>
    <row r="15831" spans="1:8" x14ac:dyDescent="0.25">
      <c r="A15831" s="1"/>
      <c r="B15831" s="1" t="s">
        <v>5782</v>
      </c>
      <c r="C15831" s="1" t="s">
        <v>5783</v>
      </c>
      <c r="D15831" s="22" t="str">
        <f>HYPERLINK("https://rhld.insurance.arkansas.gov/NPILookup?Npi=1568401602","1568401602")</f>
        <v>1568401602</v>
      </c>
      <c r="E15831" s="1" t="s">
        <v>2199</v>
      </c>
      <c r="F15831" s="2"/>
      <c r="G15831" s="2"/>
      <c r="H15831" s="2"/>
    </row>
    <row r="15832" spans="1:8" x14ac:dyDescent="0.25">
      <c r="A15832" s="1"/>
      <c r="B15832" s="1" t="s">
        <v>5782</v>
      </c>
      <c r="C15832" s="1" t="s">
        <v>5783</v>
      </c>
      <c r="D15832" s="22" t="str">
        <f>HYPERLINK("https://rhld.insurance.arkansas.gov/NPILookup?Npi=1568412674","1568412674")</f>
        <v>1568412674</v>
      </c>
      <c r="E15832" s="1" t="s">
        <v>3311</v>
      </c>
      <c r="F15832" s="2"/>
      <c r="G15832" s="2"/>
      <c r="H15832" s="2"/>
    </row>
    <row r="15833" spans="1:8" x14ac:dyDescent="0.25">
      <c r="A15833" s="1"/>
      <c r="B15833" s="1" t="s">
        <v>5782</v>
      </c>
      <c r="C15833" s="1" t="s">
        <v>5783</v>
      </c>
      <c r="D15833" s="22" t="str">
        <f>HYPERLINK("https://rhld.insurance.arkansas.gov/NPILookup?Npi=1568486363","1568486363")</f>
        <v>1568486363</v>
      </c>
      <c r="E15833" s="1" t="s">
        <v>11902</v>
      </c>
      <c r="F15833" s="2"/>
      <c r="G15833" s="2"/>
      <c r="H15833" s="2"/>
    </row>
    <row r="15834" spans="1:8" x14ac:dyDescent="0.25">
      <c r="A15834" s="1"/>
      <c r="B15834" s="1" t="s">
        <v>5782</v>
      </c>
      <c r="C15834" s="1" t="s">
        <v>5783</v>
      </c>
      <c r="D15834" s="22" t="str">
        <f>HYPERLINK("https://rhld.insurance.arkansas.gov/NPILookup?Npi=1568494532","1568494532")</f>
        <v>1568494532</v>
      </c>
      <c r="E15834" s="1" t="s">
        <v>16758</v>
      </c>
      <c r="F15834" s="2"/>
      <c r="G15834" s="2"/>
      <c r="H15834" s="2"/>
    </row>
    <row r="15835" spans="1:8" x14ac:dyDescent="0.25">
      <c r="A15835" s="1"/>
      <c r="B15835" s="1" t="s">
        <v>5782</v>
      </c>
      <c r="C15835" s="1" t="s">
        <v>5783</v>
      </c>
      <c r="D15835" s="22" t="str">
        <f>HYPERLINK("https://rhld.insurance.arkansas.gov/NPILookup?Npi=1568510105","1568510105")</f>
        <v>1568510105</v>
      </c>
      <c r="E15835" s="1" t="s">
        <v>11904</v>
      </c>
      <c r="F15835" s="2"/>
      <c r="G15835" s="2"/>
      <c r="H15835" s="2"/>
    </row>
    <row r="15836" spans="1:8" x14ac:dyDescent="0.25">
      <c r="A15836" s="1"/>
      <c r="B15836" s="1" t="s">
        <v>5782</v>
      </c>
      <c r="C15836" s="1" t="s">
        <v>5783</v>
      </c>
      <c r="D15836" s="22" t="str">
        <f>HYPERLINK("https://rhld.insurance.arkansas.gov/NPILookup?Npi=1568513281","1568513281")</f>
        <v>1568513281</v>
      </c>
      <c r="E15836" s="1" t="s">
        <v>22596</v>
      </c>
      <c r="F15836" s="2"/>
      <c r="G15836" s="2"/>
      <c r="H15836" s="2"/>
    </row>
    <row r="15837" spans="1:8" x14ac:dyDescent="0.25">
      <c r="A15837" s="1"/>
      <c r="B15837" s="1" t="s">
        <v>5782</v>
      </c>
      <c r="C15837" s="1" t="s">
        <v>5783</v>
      </c>
      <c r="D15837" s="22" t="str">
        <f>HYPERLINK("https://rhld.insurance.arkansas.gov/NPILookup?Npi=1568539765","1568539765")</f>
        <v>1568539765</v>
      </c>
      <c r="E15837" s="1" t="s">
        <v>22597</v>
      </c>
      <c r="F15837" s="2"/>
      <c r="G15837" s="2"/>
      <c r="H15837" s="2"/>
    </row>
    <row r="15838" spans="1:8" x14ac:dyDescent="0.25">
      <c r="A15838" s="1"/>
      <c r="B15838" s="1" t="s">
        <v>5782</v>
      </c>
      <c r="C15838" s="1" t="s">
        <v>5783</v>
      </c>
      <c r="D15838" s="22" t="str">
        <f>HYPERLINK("https://rhld.insurance.arkansas.gov/NPILookup?Npi=1568554608","1568554608")</f>
        <v>1568554608</v>
      </c>
      <c r="E15838" s="1" t="s">
        <v>6417</v>
      </c>
      <c r="F15838" s="2"/>
      <c r="G15838" s="2"/>
      <c r="H15838" s="2"/>
    </row>
    <row r="15839" spans="1:8" x14ac:dyDescent="0.25">
      <c r="A15839" s="1"/>
      <c r="B15839" s="1" t="s">
        <v>5782</v>
      </c>
      <c r="C15839" s="1" t="s">
        <v>5783</v>
      </c>
      <c r="D15839" s="22" t="str">
        <f>HYPERLINK("https://rhld.insurance.arkansas.gov/NPILookup?Npi=1568594869","1568594869")</f>
        <v>1568594869</v>
      </c>
      <c r="E15839" s="1" t="s">
        <v>6418</v>
      </c>
      <c r="F15839" s="2"/>
      <c r="G15839" s="2"/>
      <c r="H15839" s="2"/>
    </row>
    <row r="15840" spans="1:8" x14ac:dyDescent="0.25">
      <c r="A15840" s="1"/>
      <c r="B15840" s="1" t="s">
        <v>5782</v>
      </c>
      <c r="C15840" s="1" t="s">
        <v>5783</v>
      </c>
      <c r="D15840" s="22" t="str">
        <f>HYPERLINK("https://rhld.insurance.arkansas.gov/NPILookup?Npi=1568595742","1568595742")</f>
        <v>1568595742</v>
      </c>
      <c r="E15840" s="1" t="s">
        <v>351</v>
      </c>
      <c r="F15840" s="2"/>
      <c r="G15840" s="2"/>
      <c r="H15840" s="2"/>
    </row>
    <row r="15841" spans="1:8" x14ac:dyDescent="0.25">
      <c r="A15841" s="1"/>
      <c r="B15841" s="1" t="s">
        <v>5782</v>
      </c>
      <c r="C15841" s="1" t="s">
        <v>5783</v>
      </c>
      <c r="D15841" s="22" t="str">
        <f>HYPERLINK("https://rhld.insurance.arkansas.gov/NPILookup?Npi=1568611309","1568611309")</f>
        <v>1568611309</v>
      </c>
      <c r="E15841" s="1" t="s">
        <v>22598</v>
      </c>
      <c r="F15841" s="2"/>
      <c r="G15841" s="2"/>
      <c r="H15841" s="2"/>
    </row>
    <row r="15842" spans="1:8" x14ac:dyDescent="0.25">
      <c r="A15842" s="1"/>
      <c r="B15842" s="1" t="s">
        <v>5782</v>
      </c>
      <c r="C15842" s="1" t="s">
        <v>5783</v>
      </c>
      <c r="D15842" s="22" t="str">
        <f>HYPERLINK("https://rhld.insurance.arkansas.gov/NPILookup?Npi=1568613891","1568613891")</f>
        <v>1568613891</v>
      </c>
      <c r="E15842" s="1" t="s">
        <v>2490</v>
      </c>
      <c r="F15842" s="2"/>
      <c r="G15842" s="2"/>
      <c r="H15842" s="2"/>
    </row>
    <row r="15843" spans="1:8" x14ac:dyDescent="0.25">
      <c r="A15843" s="1"/>
      <c r="B15843" s="1" t="s">
        <v>5782</v>
      </c>
      <c r="C15843" s="1" t="s">
        <v>5783</v>
      </c>
      <c r="D15843" s="22" t="str">
        <f>HYPERLINK("https://rhld.insurance.arkansas.gov/NPILookup?Npi=1568639094","1568639094")</f>
        <v>1568639094</v>
      </c>
      <c r="E15843" s="1" t="s">
        <v>22599</v>
      </c>
      <c r="F15843" s="2"/>
      <c r="G15843" s="2"/>
      <c r="H15843" s="2"/>
    </row>
    <row r="15844" spans="1:8" x14ac:dyDescent="0.25">
      <c r="A15844" s="1"/>
      <c r="B15844" s="1" t="s">
        <v>5782</v>
      </c>
      <c r="C15844" s="1" t="s">
        <v>5783</v>
      </c>
      <c r="D15844" s="22" t="str">
        <f>HYPERLINK("https://rhld.insurance.arkansas.gov/NPILookup?Npi=1568648855","1568648855")</f>
        <v>1568648855</v>
      </c>
      <c r="E15844" s="1" t="s">
        <v>22600</v>
      </c>
      <c r="F15844" s="2"/>
      <c r="G15844" s="2"/>
      <c r="H15844" s="2"/>
    </row>
    <row r="15845" spans="1:8" x14ac:dyDescent="0.25">
      <c r="A15845" s="1"/>
      <c r="B15845" s="1" t="s">
        <v>5782</v>
      </c>
      <c r="C15845" s="1" t="s">
        <v>5783</v>
      </c>
      <c r="D15845" s="22" t="str">
        <f>HYPERLINK("https://rhld.insurance.arkansas.gov/NPILookup?Npi=1568649481","1568649481")</f>
        <v>1568649481</v>
      </c>
      <c r="E15845" s="1" t="s">
        <v>22601</v>
      </c>
      <c r="F15845" s="2"/>
      <c r="G15845" s="2"/>
      <c r="H15845" s="2"/>
    </row>
    <row r="15846" spans="1:8" x14ac:dyDescent="0.25">
      <c r="A15846" s="1"/>
      <c r="B15846" s="1" t="s">
        <v>5782</v>
      </c>
      <c r="C15846" s="1" t="s">
        <v>5783</v>
      </c>
      <c r="D15846" s="22" t="str">
        <f>HYPERLINK("https://rhld.insurance.arkansas.gov/NPILookup?Npi=1568655751","1568655751")</f>
        <v>1568655751</v>
      </c>
      <c r="E15846" s="1" t="s">
        <v>3312</v>
      </c>
      <c r="F15846" s="2"/>
      <c r="G15846" s="2"/>
      <c r="H15846" s="2"/>
    </row>
    <row r="15847" spans="1:8" x14ac:dyDescent="0.25">
      <c r="A15847" s="1"/>
      <c r="B15847" s="1" t="s">
        <v>5782</v>
      </c>
      <c r="C15847" s="1" t="s">
        <v>5783</v>
      </c>
      <c r="D15847" s="22" t="str">
        <f>HYPERLINK("https://rhld.insurance.arkansas.gov/NPILookup?Npi=1568658268","1568658268")</f>
        <v>1568658268</v>
      </c>
      <c r="E15847" s="1" t="s">
        <v>22602</v>
      </c>
      <c r="F15847" s="2"/>
      <c r="G15847" s="2"/>
      <c r="H15847" s="2"/>
    </row>
    <row r="15848" spans="1:8" x14ac:dyDescent="0.25">
      <c r="A15848" s="1"/>
      <c r="B15848" s="1" t="s">
        <v>5782</v>
      </c>
      <c r="C15848" s="1" t="s">
        <v>5783</v>
      </c>
      <c r="D15848" s="22" t="str">
        <f>HYPERLINK("https://rhld.insurance.arkansas.gov/NPILookup?Npi=1568698058","1568698058")</f>
        <v>1568698058</v>
      </c>
      <c r="E15848" s="1" t="s">
        <v>1331</v>
      </c>
      <c r="F15848" s="2"/>
      <c r="G15848" s="2"/>
      <c r="H15848" s="2"/>
    </row>
    <row r="15849" spans="1:8" x14ac:dyDescent="0.25">
      <c r="A15849" s="1"/>
      <c r="B15849" s="1" t="s">
        <v>5782</v>
      </c>
      <c r="C15849" s="1" t="s">
        <v>5783</v>
      </c>
      <c r="D15849" s="22" t="str">
        <f>HYPERLINK("https://rhld.insurance.arkansas.gov/NPILookup?Npi=1568718930","1568718930")</f>
        <v>1568718930</v>
      </c>
      <c r="E15849" s="1" t="s">
        <v>22603</v>
      </c>
      <c r="F15849" s="2"/>
      <c r="G15849" s="2"/>
      <c r="H15849" s="2"/>
    </row>
    <row r="15850" spans="1:8" x14ac:dyDescent="0.25">
      <c r="A15850" s="1"/>
      <c r="B15850" s="1" t="s">
        <v>5782</v>
      </c>
      <c r="C15850" s="1" t="s">
        <v>5783</v>
      </c>
      <c r="D15850" s="22" t="str">
        <f>HYPERLINK("https://rhld.insurance.arkansas.gov/NPILookup?Npi=1568738151","1568738151")</f>
        <v>1568738151</v>
      </c>
      <c r="E15850" s="1" t="s">
        <v>22604</v>
      </c>
      <c r="F15850" s="2"/>
      <c r="G15850" s="2"/>
      <c r="H15850" s="2"/>
    </row>
    <row r="15851" spans="1:8" x14ac:dyDescent="0.25">
      <c r="A15851" s="1"/>
      <c r="B15851" s="1" t="s">
        <v>5782</v>
      </c>
      <c r="C15851" s="1" t="s">
        <v>5783</v>
      </c>
      <c r="D15851" s="22" t="str">
        <f>HYPERLINK("https://rhld.insurance.arkansas.gov/NPILookup?Npi=1568743086","1568743086")</f>
        <v>1568743086</v>
      </c>
      <c r="E15851" s="1" t="s">
        <v>11905</v>
      </c>
      <c r="F15851" s="2"/>
      <c r="G15851" s="2"/>
      <c r="H15851" s="2"/>
    </row>
    <row r="15852" spans="1:8" x14ac:dyDescent="0.25">
      <c r="A15852" s="1"/>
      <c r="B15852" s="1" t="s">
        <v>5782</v>
      </c>
      <c r="C15852" s="1" t="s">
        <v>5783</v>
      </c>
      <c r="D15852" s="22" t="str">
        <f>HYPERLINK("https://rhld.insurance.arkansas.gov/NPILookup?Npi=1568744142","1568744142")</f>
        <v>1568744142</v>
      </c>
      <c r="E15852" s="1" t="s">
        <v>22605</v>
      </c>
      <c r="F15852" s="2"/>
      <c r="G15852" s="2"/>
      <c r="H15852" s="2"/>
    </row>
    <row r="15853" spans="1:8" x14ac:dyDescent="0.25">
      <c r="A15853" s="1"/>
      <c r="B15853" s="1" t="s">
        <v>5782</v>
      </c>
      <c r="C15853" s="1" t="s">
        <v>5783</v>
      </c>
      <c r="D15853" s="22" t="str">
        <f>HYPERLINK("https://rhld.insurance.arkansas.gov/NPILookup?Npi=1568748184","1568748184")</f>
        <v>1568748184</v>
      </c>
      <c r="E15853" s="1" t="s">
        <v>22606</v>
      </c>
      <c r="F15853" s="2"/>
      <c r="G15853" s="2"/>
      <c r="H15853" s="2"/>
    </row>
    <row r="15854" spans="1:8" x14ac:dyDescent="0.25">
      <c r="A15854" s="1"/>
      <c r="B15854" s="1" t="s">
        <v>5782</v>
      </c>
      <c r="C15854" s="1" t="s">
        <v>5783</v>
      </c>
      <c r="D15854" s="22" t="str">
        <f>HYPERLINK("https://rhld.insurance.arkansas.gov/NPILookup?Npi=1568760593","1568760593")</f>
        <v>1568760593</v>
      </c>
      <c r="E15854" s="1" t="s">
        <v>22607</v>
      </c>
      <c r="F15854" s="2"/>
      <c r="G15854" s="2"/>
      <c r="H15854" s="2"/>
    </row>
    <row r="15855" spans="1:8" x14ac:dyDescent="0.25">
      <c r="A15855" s="1"/>
      <c r="B15855" s="1" t="s">
        <v>5782</v>
      </c>
      <c r="C15855" s="1" t="s">
        <v>5783</v>
      </c>
      <c r="D15855" s="22" t="str">
        <f>HYPERLINK("https://rhld.insurance.arkansas.gov/NPILookup?Npi=1568765063","1568765063")</f>
        <v>1568765063</v>
      </c>
      <c r="E15855" s="1" t="s">
        <v>405</v>
      </c>
      <c r="F15855" s="2"/>
      <c r="G15855" s="2"/>
      <c r="H15855" s="2"/>
    </row>
    <row r="15856" spans="1:8" x14ac:dyDescent="0.25">
      <c r="A15856" s="1"/>
      <c r="B15856" s="1" t="s">
        <v>5782</v>
      </c>
      <c r="C15856" s="1" t="s">
        <v>5783</v>
      </c>
      <c r="D15856" s="22" t="str">
        <f>HYPERLINK("https://rhld.insurance.arkansas.gov/NPILookup?Npi=1568773356","1568773356")</f>
        <v>1568773356</v>
      </c>
      <c r="E15856" s="1" t="s">
        <v>11906</v>
      </c>
      <c r="F15856" s="2"/>
      <c r="G15856" s="2"/>
      <c r="H15856" s="2"/>
    </row>
    <row r="15857" spans="1:8" x14ac:dyDescent="0.25">
      <c r="A15857" s="1"/>
      <c r="B15857" s="1" t="s">
        <v>5782</v>
      </c>
      <c r="C15857" s="1" t="s">
        <v>5783</v>
      </c>
      <c r="D15857" s="22" t="str">
        <f>HYPERLINK("https://rhld.insurance.arkansas.gov/NPILookup?Npi=1568773521","1568773521")</f>
        <v>1568773521</v>
      </c>
      <c r="E15857" s="1" t="s">
        <v>22608</v>
      </c>
      <c r="F15857" s="2"/>
      <c r="G15857" s="2"/>
      <c r="H15857" s="2"/>
    </row>
    <row r="15858" spans="1:8" x14ac:dyDescent="0.25">
      <c r="A15858" s="1"/>
      <c r="B15858" s="1" t="s">
        <v>5782</v>
      </c>
      <c r="C15858" s="1" t="s">
        <v>5783</v>
      </c>
      <c r="D15858" s="22" t="str">
        <f>HYPERLINK("https://rhld.insurance.arkansas.gov/NPILookup?Npi=1568774610","1568774610")</f>
        <v>1568774610</v>
      </c>
      <c r="E15858" s="1" t="s">
        <v>11907</v>
      </c>
      <c r="F15858" s="2"/>
      <c r="G15858" s="2"/>
      <c r="H15858" s="2"/>
    </row>
    <row r="15859" spans="1:8" x14ac:dyDescent="0.25">
      <c r="A15859" s="1"/>
      <c r="B15859" s="1" t="s">
        <v>5782</v>
      </c>
      <c r="C15859" s="1" t="s">
        <v>5783</v>
      </c>
      <c r="D15859" s="22" t="str">
        <f>HYPERLINK("https://rhld.insurance.arkansas.gov/NPILookup?Npi=1568778017","1568778017")</f>
        <v>1568778017</v>
      </c>
      <c r="E15859" s="1" t="s">
        <v>22609</v>
      </c>
      <c r="F15859" s="2"/>
      <c r="G15859" s="2"/>
      <c r="H15859" s="2"/>
    </row>
    <row r="15860" spans="1:8" x14ac:dyDescent="0.25">
      <c r="A15860" s="1"/>
      <c r="B15860" s="1" t="s">
        <v>5782</v>
      </c>
      <c r="C15860" s="1" t="s">
        <v>5783</v>
      </c>
      <c r="D15860" s="22" t="str">
        <f>HYPERLINK("https://rhld.insurance.arkansas.gov/NPILookup?Npi=1568795771","1568795771")</f>
        <v>1568795771</v>
      </c>
      <c r="E15860" s="1" t="s">
        <v>22610</v>
      </c>
      <c r="F15860" s="2"/>
      <c r="G15860" s="2"/>
      <c r="H15860" s="2"/>
    </row>
    <row r="15861" spans="1:8" x14ac:dyDescent="0.25">
      <c r="A15861" s="1"/>
      <c r="B15861" s="1" t="s">
        <v>5782</v>
      </c>
      <c r="C15861" s="1" t="s">
        <v>5783</v>
      </c>
      <c r="D15861" s="22" t="str">
        <f>HYPERLINK("https://rhld.insurance.arkansas.gov/NPILookup?Npi=1568809440","1568809440")</f>
        <v>1568809440</v>
      </c>
      <c r="E15861" s="1" t="s">
        <v>2491</v>
      </c>
      <c r="F15861" s="2"/>
      <c r="G15861" s="2"/>
      <c r="H15861" s="2"/>
    </row>
    <row r="15862" spans="1:8" x14ac:dyDescent="0.25">
      <c r="A15862" s="1"/>
      <c r="B15862" s="1" t="s">
        <v>5782</v>
      </c>
      <c r="C15862" s="1" t="s">
        <v>5783</v>
      </c>
      <c r="D15862" s="22" t="str">
        <f>HYPERLINK("https://rhld.insurance.arkansas.gov/NPILookup?Npi=1568814317","1568814317")</f>
        <v>1568814317</v>
      </c>
      <c r="E15862" s="1" t="s">
        <v>6419</v>
      </c>
      <c r="F15862" s="2"/>
      <c r="G15862" s="2"/>
      <c r="H15862" s="2"/>
    </row>
    <row r="15863" spans="1:8" x14ac:dyDescent="0.25">
      <c r="A15863" s="1"/>
      <c r="B15863" s="1" t="s">
        <v>5782</v>
      </c>
      <c r="C15863" s="1" t="s">
        <v>5783</v>
      </c>
      <c r="D15863" s="22" t="str">
        <f>HYPERLINK("https://rhld.insurance.arkansas.gov/NPILookup?Npi=1568825487","1568825487")</f>
        <v>1568825487</v>
      </c>
      <c r="E15863" s="1" t="s">
        <v>6420</v>
      </c>
      <c r="F15863" s="2"/>
      <c r="G15863" s="2"/>
      <c r="H15863" s="2"/>
    </row>
    <row r="15864" spans="1:8" x14ac:dyDescent="0.25">
      <c r="A15864" s="1"/>
      <c r="B15864" s="1" t="s">
        <v>5782</v>
      </c>
      <c r="C15864" s="1" t="s">
        <v>5783</v>
      </c>
      <c r="D15864" s="22" t="str">
        <f>HYPERLINK("https://rhld.insurance.arkansas.gov/NPILookup?Npi=1568834471","1568834471")</f>
        <v>1568834471</v>
      </c>
      <c r="E15864" s="1" t="s">
        <v>22611</v>
      </c>
      <c r="F15864" s="2"/>
      <c r="G15864" s="2"/>
      <c r="H15864" s="2"/>
    </row>
    <row r="15865" spans="1:8" x14ac:dyDescent="0.25">
      <c r="A15865" s="1"/>
      <c r="B15865" s="1" t="s">
        <v>5782</v>
      </c>
      <c r="C15865" s="1" t="s">
        <v>5783</v>
      </c>
      <c r="D15865" s="22" t="str">
        <f>HYPERLINK("https://rhld.insurance.arkansas.gov/NPILookup?Npi=1568835106","1568835106")</f>
        <v>1568835106</v>
      </c>
      <c r="E15865" s="1" t="s">
        <v>940</v>
      </c>
      <c r="F15865" s="2"/>
      <c r="G15865" s="2"/>
      <c r="H15865" s="2"/>
    </row>
    <row r="15866" spans="1:8" x14ac:dyDescent="0.25">
      <c r="A15866" s="1"/>
      <c r="B15866" s="1" t="s">
        <v>5782</v>
      </c>
      <c r="C15866" s="1" t="s">
        <v>5783</v>
      </c>
      <c r="D15866" s="22" t="str">
        <f>HYPERLINK("https://rhld.insurance.arkansas.gov/NPILookup?Npi=1568837870","1568837870")</f>
        <v>1568837870</v>
      </c>
      <c r="E15866" s="1" t="s">
        <v>22612</v>
      </c>
      <c r="F15866" s="2"/>
      <c r="G15866" s="2"/>
      <c r="H15866" s="2"/>
    </row>
    <row r="15867" spans="1:8" x14ac:dyDescent="0.25">
      <c r="A15867" s="1"/>
      <c r="B15867" s="1" t="s">
        <v>5782</v>
      </c>
      <c r="C15867" s="1" t="s">
        <v>5783</v>
      </c>
      <c r="D15867" s="22" t="str">
        <f>HYPERLINK("https://rhld.insurance.arkansas.gov/NPILookup?Npi=1568848489","1568848489")</f>
        <v>1568848489</v>
      </c>
      <c r="E15867" s="1" t="s">
        <v>6421</v>
      </c>
      <c r="F15867" s="2"/>
      <c r="G15867" s="2"/>
      <c r="H15867" s="2"/>
    </row>
    <row r="15868" spans="1:8" x14ac:dyDescent="0.25">
      <c r="A15868" s="1"/>
      <c r="B15868" s="1" t="s">
        <v>5782</v>
      </c>
      <c r="C15868" s="1" t="s">
        <v>5783</v>
      </c>
      <c r="D15868" s="22" t="str">
        <f>HYPERLINK("https://rhld.insurance.arkansas.gov/NPILookup?Npi=1568869758","1568869758")</f>
        <v>1568869758</v>
      </c>
      <c r="E15868" s="1" t="s">
        <v>22613</v>
      </c>
      <c r="F15868" s="2"/>
      <c r="G15868" s="2"/>
      <c r="H15868" s="2"/>
    </row>
    <row r="15869" spans="1:8" x14ac:dyDescent="0.25">
      <c r="A15869" s="1"/>
      <c r="B15869" s="1" t="s">
        <v>5782</v>
      </c>
      <c r="C15869" s="1" t="s">
        <v>5783</v>
      </c>
      <c r="D15869" s="22" t="str">
        <f>HYPERLINK("https://rhld.insurance.arkansas.gov/NPILookup?Npi=1568883023","1568883023")</f>
        <v>1568883023</v>
      </c>
      <c r="E15869" s="1" t="s">
        <v>22614</v>
      </c>
      <c r="F15869" s="2"/>
      <c r="G15869" s="2"/>
      <c r="H15869" s="2"/>
    </row>
    <row r="15870" spans="1:8" x14ac:dyDescent="0.25">
      <c r="A15870" s="1"/>
      <c r="B15870" s="1" t="s">
        <v>5782</v>
      </c>
      <c r="C15870" s="1" t="s">
        <v>5783</v>
      </c>
      <c r="D15870" s="22" t="str">
        <f>HYPERLINK("https://rhld.insurance.arkansas.gov/NPILookup?Npi=1568887602","1568887602")</f>
        <v>1568887602</v>
      </c>
      <c r="E15870" s="1" t="s">
        <v>22615</v>
      </c>
      <c r="F15870" s="2"/>
      <c r="G15870" s="2"/>
      <c r="H15870" s="2"/>
    </row>
    <row r="15871" spans="1:8" x14ac:dyDescent="0.25">
      <c r="A15871" s="1"/>
      <c r="B15871" s="1" t="s">
        <v>5782</v>
      </c>
      <c r="C15871" s="1" t="s">
        <v>5783</v>
      </c>
      <c r="D15871" s="22" t="str">
        <f>HYPERLINK("https://rhld.insurance.arkansas.gov/NPILookup?Npi=1568892727","1568892727")</f>
        <v>1568892727</v>
      </c>
      <c r="E15871" s="1" t="s">
        <v>22616</v>
      </c>
      <c r="F15871" s="2"/>
      <c r="G15871" s="2"/>
      <c r="H15871" s="2"/>
    </row>
    <row r="15872" spans="1:8" x14ac:dyDescent="0.25">
      <c r="A15872" s="1"/>
      <c r="B15872" s="1" t="s">
        <v>5782</v>
      </c>
      <c r="C15872" s="1" t="s">
        <v>5783</v>
      </c>
      <c r="D15872" s="22" t="str">
        <f>HYPERLINK("https://rhld.insurance.arkansas.gov/NPILookup?Npi=1568894152","1568894152")</f>
        <v>1568894152</v>
      </c>
      <c r="E15872" s="1" t="s">
        <v>1329</v>
      </c>
      <c r="F15872" s="2"/>
      <c r="G15872" s="2"/>
      <c r="H15872" s="2"/>
    </row>
    <row r="15873" spans="1:8" x14ac:dyDescent="0.25">
      <c r="A15873" s="1"/>
      <c r="B15873" s="1" t="s">
        <v>5782</v>
      </c>
      <c r="C15873" s="1" t="s">
        <v>5783</v>
      </c>
      <c r="D15873" s="22" t="str">
        <f>HYPERLINK("https://rhld.insurance.arkansas.gov/NPILookup?Npi=1568895795","1568895795")</f>
        <v>1568895795</v>
      </c>
      <c r="E15873" s="1" t="s">
        <v>22617</v>
      </c>
      <c r="F15873" s="2"/>
      <c r="G15873" s="2"/>
      <c r="H15873" s="2"/>
    </row>
    <row r="15874" spans="1:8" x14ac:dyDescent="0.25">
      <c r="A15874" s="1"/>
      <c r="B15874" s="1" t="s">
        <v>5782</v>
      </c>
      <c r="C15874" s="1" t="s">
        <v>5783</v>
      </c>
      <c r="D15874" s="22" t="str">
        <f>HYPERLINK("https://rhld.insurance.arkansas.gov/NPILookup?Npi=1568925626","1568925626")</f>
        <v>1568925626</v>
      </c>
      <c r="E15874" s="1" t="s">
        <v>22618</v>
      </c>
      <c r="F15874" s="2"/>
      <c r="G15874" s="2"/>
      <c r="H15874" s="2"/>
    </row>
    <row r="15875" spans="1:8" x14ac:dyDescent="0.25">
      <c r="A15875" s="1"/>
      <c r="B15875" s="1" t="s">
        <v>5782</v>
      </c>
      <c r="C15875" s="1" t="s">
        <v>5783</v>
      </c>
      <c r="D15875" s="22" t="str">
        <f>HYPERLINK("https://rhld.insurance.arkansas.gov/NPILookup?Npi=1568929826","1568929826")</f>
        <v>1568929826</v>
      </c>
      <c r="E15875" s="1" t="s">
        <v>12199</v>
      </c>
      <c r="F15875" s="2"/>
      <c r="G15875" s="2"/>
      <c r="H15875" s="2"/>
    </row>
    <row r="15876" spans="1:8" x14ac:dyDescent="0.25">
      <c r="A15876" s="1"/>
      <c r="B15876" s="1" t="s">
        <v>5782</v>
      </c>
      <c r="C15876" s="1" t="s">
        <v>5783</v>
      </c>
      <c r="D15876" s="22" t="str">
        <f>HYPERLINK("https://rhld.insurance.arkansas.gov/NPILookup?Npi=1568937597","1568937597")</f>
        <v>1568937597</v>
      </c>
      <c r="E15876" s="1" t="s">
        <v>22619</v>
      </c>
      <c r="F15876" s="2"/>
      <c r="G15876" s="2"/>
      <c r="H15876" s="2"/>
    </row>
    <row r="15877" spans="1:8" x14ac:dyDescent="0.25">
      <c r="A15877" s="1"/>
      <c r="B15877" s="1" t="s">
        <v>5782</v>
      </c>
      <c r="C15877" s="1" t="s">
        <v>5783</v>
      </c>
      <c r="D15877" s="22" t="str">
        <f>HYPERLINK("https://rhld.insurance.arkansas.gov/NPILookup?Npi=1568949899","1568949899")</f>
        <v>1568949899</v>
      </c>
      <c r="E15877" s="1" t="s">
        <v>22620</v>
      </c>
      <c r="F15877" s="2"/>
      <c r="G15877" s="2"/>
      <c r="H15877" s="2"/>
    </row>
    <row r="15878" spans="1:8" x14ac:dyDescent="0.25">
      <c r="A15878" s="1"/>
      <c r="B15878" s="1" t="s">
        <v>5782</v>
      </c>
      <c r="C15878" s="1" t="s">
        <v>5783</v>
      </c>
      <c r="D15878" s="22" t="str">
        <f>HYPERLINK("https://rhld.insurance.arkansas.gov/NPILookup?Npi=1568958544","1568958544")</f>
        <v>1568958544</v>
      </c>
      <c r="E15878" s="1" t="s">
        <v>11908</v>
      </c>
      <c r="F15878" s="2"/>
      <c r="G15878" s="2"/>
      <c r="H15878" s="2"/>
    </row>
    <row r="15879" spans="1:8" x14ac:dyDescent="0.25">
      <c r="A15879" s="1"/>
      <c r="B15879" s="1" t="s">
        <v>5782</v>
      </c>
      <c r="C15879" s="1" t="s">
        <v>5783</v>
      </c>
      <c r="D15879" s="22" t="str">
        <f>HYPERLINK("https://rhld.insurance.arkansas.gov/NPILookup?Npi=1568973568","1568973568")</f>
        <v>1568973568</v>
      </c>
      <c r="E15879" s="1" t="s">
        <v>6422</v>
      </c>
      <c r="F15879" s="2"/>
      <c r="G15879" s="2"/>
      <c r="H15879" s="2"/>
    </row>
    <row r="15880" spans="1:8" x14ac:dyDescent="0.25">
      <c r="A15880" s="1"/>
      <c r="B15880" s="1" t="s">
        <v>5782</v>
      </c>
      <c r="C15880" s="1" t="s">
        <v>5783</v>
      </c>
      <c r="D15880" s="22" t="str">
        <f>HYPERLINK("https://rhld.insurance.arkansas.gov/NPILookup?Npi=1578035077","1578035077")</f>
        <v>1578035077</v>
      </c>
      <c r="E15880" s="1" t="s">
        <v>22621</v>
      </c>
      <c r="F15880" s="2"/>
      <c r="G15880" s="2"/>
      <c r="H15880" s="2"/>
    </row>
    <row r="15881" spans="1:8" x14ac:dyDescent="0.25">
      <c r="A15881" s="1"/>
      <c r="B15881" s="1" t="s">
        <v>5782</v>
      </c>
      <c r="C15881" s="1" t="s">
        <v>5783</v>
      </c>
      <c r="D15881" s="22" t="str">
        <f>HYPERLINK("https://rhld.insurance.arkansas.gov/NPILookup?Npi=1578040937","1578040937")</f>
        <v>1578040937</v>
      </c>
      <c r="E15881" s="1" t="s">
        <v>22622</v>
      </c>
      <c r="F15881" s="2"/>
      <c r="G15881" s="2"/>
      <c r="H15881" s="2"/>
    </row>
    <row r="15882" spans="1:8" x14ac:dyDescent="0.25">
      <c r="A15882" s="1"/>
      <c r="B15882" s="1" t="s">
        <v>5782</v>
      </c>
      <c r="C15882" s="1" t="s">
        <v>5783</v>
      </c>
      <c r="D15882" s="22" t="str">
        <f>HYPERLINK("https://rhld.insurance.arkansas.gov/NPILookup?Npi=1578041372","1578041372")</f>
        <v>1578041372</v>
      </c>
      <c r="E15882" s="1" t="s">
        <v>22623</v>
      </c>
      <c r="F15882" s="2"/>
      <c r="G15882" s="2"/>
      <c r="H15882" s="2"/>
    </row>
    <row r="15883" spans="1:8" x14ac:dyDescent="0.25">
      <c r="A15883" s="1"/>
      <c r="B15883" s="1" t="s">
        <v>5782</v>
      </c>
      <c r="C15883" s="1" t="s">
        <v>5783</v>
      </c>
      <c r="D15883" s="22" t="str">
        <f>HYPERLINK("https://rhld.insurance.arkansas.gov/NPILookup?Npi=1578051215","1578051215")</f>
        <v>1578051215</v>
      </c>
      <c r="E15883" s="1" t="s">
        <v>3190</v>
      </c>
      <c r="F15883" s="2"/>
      <c r="G15883" s="2"/>
      <c r="H15883" s="2"/>
    </row>
    <row r="15884" spans="1:8" x14ac:dyDescent="0.25">
      <c r="A15884" s="1"/>
      <c r="B15884" s="1" t="s">
        <v>5782</v>
      </c>
      <c r="C15884" s="1" t="s">
        <v>5783</v>
      </c>
      <c r="D15884" s="22" t="str">
        <f>HYPERLINK("https://rhld.insurance.arkansas.gov/NPILookup?Npi=1578075792","1578075792")</f>
        <v>1578075792</v>
      </c>
      <c r="E15884" s="1" t="s">
        <v>22624</v>
      </c>
      <c r="F15884" s="2"/>
      <c r="G15884" s="2"/>
      <c r="H15884" s="2"/>
    </row>
    <row r="15885" spans="1:8" x14ac:dyDescent="0.25">
      <c r="A15885" s="1"/>
      <c r="B15885" s="1" t="s">
        <v>5782</v>
      </c>
      <c r="C15885" s="1" t="s">
        <v>5783</v>
      </c>
      <c r="D15885" s="22" t="str">
        <f>HYPERLINK("https://rhld.insurance.arkansas.gov/NPILookup?Npi=1578087359","1578087359")</f>
        <v>1578087359</v>
      </c>
      <c r="E15885" s="1" t="s">
        <v>22625</v>
      </c>
      <c r="F15885" s="2"/>
      <c r="G15885" s="2"/>
      <c r="H15885" s="2"/>
    </row>
    <row r="15886" spans="1:8" x14ac:dyDescent="0.25">
      <c r="A15886" s="1"/>
      <c r="B15886" s="1" t="s">
        <v>5782</v>
      </c>
      <c r="C15886" s="1" t="s">
        <v>5783</v>
      </c>
      <c r="D15886" s="22" t="str">
        <f>HYPERLINK("https://rhld.insurance.arkansas.gov/NPILookup?Npi=1578101309","1578101309")</f>
        <v>1578101309</v>
      </c>
      <c r="E15886" s="1" t="s">
        <v>2493</v>
      </c>
      <c r="F15886" s="2"/>
      <c r="G15886" s="2"/>
      <c r="H15886" s="2"/>
    </row>
    <row r="15887" spans="1:8" x14ac:dyDescent="0.25">
      <c r="A15887" s="1"/>
      <c r="B15887" s="1" t="s">
        <v>5782</v>
      </c>
      <c r="C15887" s="1" t="s">
        <v>5783</v>
      </c>
      <c r="D15887" s="22" t="str">
        <f>HYPERLINK("https://rhld.insurance.arkansas.gov/NPILookup?Npi=1578102588","1578102588")</f>
        <v>1578102588</v>
      </c>
      <c r="E15887" s="1" t="s">
        <v>6423</v>
      </c>
      <c r="F15887" s="2"/>
      <c r="G15887" s="2"/>
      <c r="H15887" s="2"/>
    </row>
    <row r="15888" spans="1:8" x14ac:dyDescent="0.25">
      <c r="A15888" s="1"/>
      <c r="B15888" s="1" t="s">
        <v>5782</v>
      </c>
      <c r="C15888" s="1" t="s">
        <v>5783</v>
      </c>
      <c r="D15888" s="22" t="str">
        <f>HYPERLINK("https://rhld.insurance.arkansas.gov/NPILookup?Npi=1578106522","1578106522")</f>
        <v>1578106522</v>
      </c>
      <c r="E15888" s="1" t="s">
        <v>22626</v>
      </c>
      <c r="F15888" s="2"/>
      <c r="G15888" s="2"/>
      <c r="H15888" s="2"/>
    </row>
    <row r="15889" spans="1:8" x14ac:dyDescent="0.25">
      <c r="A15889" s="1"/>
      <c r="B15889" s="1" t="s">
        <v>5782</v>
      </c>
      <c r="C15889" s="1" t="s">
        <v>5783</v>
      </c>
      <c r="D15889" s="22" t="str">
        <f>HYPERLINK("https://rhld.insurance.arkansas.gov/NPILookup?Npi=1578109500","1578109500")</f>
        <v>1578109500</v>
      </c>
      <c r="E15889" s="1" t="s">
        <v>22627</v>
      </c>
      <c r="F15889" s="2"/>
      <c r="G15889" s="2"/>
      <c r="H15889" s="2"/>
    </row>
    <row r="15890" spans="1:8" x14ac:dyDescent="0.25">
      <c r="A15890" s="1"/>
      <c r="B15890" s="1" t="s">
        <v>5782</v>
      </c>
      <c r="C15890" s="1" t="s">
        <v>5783</v>
      </c>
      <c r="D15890" s="22" t="str">
        <f>HYPERLINK("https://rhld.insurance.arkansas.gov/NPILookup?Npi=1578130522","1578130522")</f>
        <v>1578130522</v>
      </c>
      <c r="E15890" s="1" t="s">
        <v>11909</v>
      </c>
      <c r="F15890" s="2"/>
      <c r="G15890" s="2"/>
      <c r="H15890" s="2"/>
    </row>
    <row r="15891" spans="1:8" x14ac:dyDescent="0.25">
      <c r="A15891" s="1"/>
      <c r="B15891" s="1" t="s">
        <v>5782</v>
      </c>
      <c r="C15891" s="1" t="s">
        <v>5783</v>
      </c>
      <c r="D15891" s="22" t="str">
        <f>HYPERLINK("https://rhld.insurance.arkansas.gov/NPILookup?Npi=1578133831","1578133831")</f>
        <v>1578133831</v>
      </c>
      <c r="E15891" s="1" t="s">
        <v>22628</v>
      </c>
      <c r="F15891" s="2"/>
      <c r="G15891" s="2"/>
      <c r="H15891" s="2"/>
    </row>
    <row r="15892" spans="1:8" x14ac:dyDescent="0.25">
      <c r="A15892" s="1"/>
      <c r="B15892" s="1" t="s">
        <v>5782</v>
      </c>
      <c r="C15892" s="1" t="s">
        <v>5783</v>
      </c>
      <c r="D15892" s="22" t="str">
        <f>HYPERLINK("https://rhld.insurance.arkansas.gov/NPILookup?Npi=1578134938","1578134938")</f>
        <v>1578134938</v>
      </c>
      <c r="E15892" s="1" t="s">
        <v>2494</v>
      </c>
      <c r="F15892" s="2"/>
      <c r="G15892" s="2"/>
      <c r="H15892" s="2"/>
    </row>
    <row r="15893" spans="1:8" x14ac:dyDescent="0.25">
      <c r="A15893" s="1"/>
      <c r="B15893" s="1" t="s">
        <v>5782</v>
      </c>
      <c r="C15893" s="1" t="s">
        <v>5783</v>
      </c>
      <c r="D15893" s="22" t="str">
        <f>HYPERLINK("https://rhld.insurance.arkansas.gov/NPILookup?Npi=1578157699","1578157699")</f>
        <v>1578157699</v>
      </c>
      <c r="E15893" s="1" t="s">
        <v>6424</v>
      </c>
      <c r="F15893" s="2"/>
      <c r="G15893" s="2"/>
      <c r="H15893" s="2"/>
    </row>
    <row r="15894" spans="1:8" x14ac:dyDescent="0.25">
      <c r="A15894" s="1"/>
      <c r="B15894" s="1" t="s">
        <v>5782</v>
      </c>
      <c r="C15894" s="1" t="s">
        <v>5783</v>
      </c>
      <c r="D15894" s="22" t="str">
        <f>HYPERLINK("https://rhld.insurance.arkansas.gov/NPILookup?Npi=1578160925","1578160925")</f>
        <v>1578160925</v>
      </c>
      <c r="E15894" s="1" t="s">
        <v>6425</v>
      </c>
      <c r="F15894" s="2"/>
      <c r="G15894" s="2"/>
      <c r="H15894" s="2"/>
    </row>
    <row r="15895" spans="1:8" x14ac:dyDescent="0.25">
      <c r="A15895" s="1"/>
      <c r="B15895" s="1" t="s">
        <v>5782</v>
      </c>
      <c r="C15895" s="1" t="s">
        <v>5783</v>
      </c>
      <c r="D15895" s="22" t="str">
        <f>HYPERLINK("https://rhld.insurance.arkansas.gov/NPILookup?Npi=1578162764","1578162764")</f>
        <v>1578162764</v>
      </c>
      <c r="E15895" s="1" t="s">
        <v>6426</v>
      </c>
      <c r="F15895" s="2"/>
      <c r="G15895" s="2"/>
      <c r="H15895" s="2"/>
    </row>
    <row r="15896" spans="1:8" x14ac:dyDescent="0.25">
      <c r="A15896" s="1"/>
      <c r="B15896" s="1" t="s">
        <v>5782</v>
      </c>
      <c r="C15896" s="1" t="s">
        <v>5783</v>
      </c>
      <c r="D15896" s="22" t="str">
        <f>HYPERLINK("https://rhld.insurance.arkansas.gov/NPILookup?Npi=1578184982","1578184982")</f>
        <v>1578184982</v>
      </c>
      <c r="E15896" s="1" t="s">
        <v>31902</v>
      </c>
      <c r="F15896" s="2"/>
      <c r="G15896" s="2"/>
      <c r="H15896" s="2"/>
    </row>
    <row r="15897" spans="1:8" x14ac:dyDescent="0.25">
      <c r="A15897" s="1"/>
      <c r="B15897" s="1" t="s">
        <v>5782</v>
      </c>
      <c r="C15897" s="1" t="s">
        <v>5783</v>
      </c>
      <c r="D15897" s="22" t="str">
        <f>HYPERLINK("https://rhld.insurance.arkansas.gov/NPILookup?Npi=1578193637","1578193637")</f>
        <v>1578193637</v>
      </c>
      <c r="E15897" s="1" t="s">
        <v>11910</v>
      </c>
      <c r="F15897" s="2"/>
      <c r="G15897" s="2"/>
      <c r="H15897" s="2"/>
    </row>
    <row r="15898" spans="1:8" x14ac:dyDescent="0.25">
      <c r="A15898" s="1"/>
      <c r="B15898" s="1" t="s">
        <v>5782</v>
      </c>
      <c r="C15898" s="1" t="s">
        <v>5783</v>
      </c>
      <c r="D15898" s="22" t="str">
        <f>HYPERLINK("https://rhld.insurance.arkansas.gov/NPILookup?Npi=1578210522","1578210522")</f>
        <v>1578210522</v>
      </c>
      <c r="E15898" s="1" t="s">
        <v>6427</v>
      </c>
      <c r="F15898" s="2"/>
      <c r="G15898" s="2"/>
      <c r="H15898" s="2"/>
    </row>
    <row r="15899" spans="1:8" x14ac:dyDescent="0.25">
      <c r="A15899" s="1"/>
      <c r="B15899" s="1" t="s">
        <v>5782</v>
      </c>
      <c r="C15899" s="1" t="s">
        <v>5783</v>
      </c>
      <c r="D15899" s="22" t="str">
        <f>HYPERLINK("https://rhld.insurance.arkansas.gov/NPILookup?Npi=1578211447","1578211447")</f>
        <v>1578211447</v>
      </c>
      <c r="E15899" s="1" t="s">
        <v>6428</v>
      </c>
      <c r="F15899" s="2"/>
      <c r="G15899" s="2"/>
      <c r="H15899" s="2"/>
    </row>
    <row r="15900" spans="1:8" x14ac:dyDescent="0.25">
      <c r="A15900" s="1"/>
      <c r="B15900" s="1" t="s">
        <v>5782</v>
      </c>
      <c r="C15900" s="1" t="s">
        <v>5783</v>
      </c>
      <c r="D15900" s="22" t="str">
        <f>HYPERLINK("https://rhld.insurance.arkansas.gov/NPILookup?Npi=1578222816","1578222816")</f>
        <v>1578222816</v>
      </c>
      <c r="E15900" s="1" t="s">
        <v>22629</v>
      </c>
      <c r="F15900" s="2"/>
      <c r="G15900" s="2"/>
      <c r="H15900" s="2"/>
    </row>
    <row r="15901" spans="1:8" x14ac:dyDescent="0.25">
      <c r="A15901" s="1"/>
      <c r="B15901" s="1" t="s">
        <v>5782</v>
      </c>
      <c r="C15901" s="1" t="s">
        <v>5783</v>
      </c>
      <c r="D15901" s="22" t="str">
        <f>HYPERLINK("https://rhld.insurance.arkansas.gov/NPILookup?Npi=1578224937","1578224937")</f>
        <v>1578224937</v>
      </c>
      <c r="E15901" s="1" t="s">
        <v>22630</v>
      </c>
      <c r="F15901" s="2"/>
      <c r="G15901" s="2"/>
      <c r="H15901" s="2"/>
    </row>
    <row r="15902" spans="1:8" x14ac:dyDescent="0.25">
      <c r="A15902" s="1"/>
      <c r="B15902" s="1" t="s">
        <v>5782</v>
      </c>
      <c r="C15902" s="1" t="s">
        <v>5783</v>
      </c>
      <c r="D15902" s="22" t="str">
        <f>HYPERLINK("https://rhld.insurance.arkansas.gov/NPILookup?Npi=1578247417","1578247417")</f>
        <v>1578247417</v>
      </c>
      <c r="E15902" s="1" t="s">
        <v>22631</v>
      </c>
      <c r="F15902" s="2"/>
      <c r="G15902" s="2"/>
      <c r="H15902" s="2"/>
    </row>
    <row r="15903" spans="1:8" x14ac:dyDescent="0.25">
      <c r="A15903" s="1"/>
      <c r="B15903" s="1" t="s">
        <v>5782</v>
      </c>
      <c r="C15903" s="1" t="s">
        <v>5783</v>
      </c>
      <c r="D15903" s="22" t="str">
        <f>HYPERLINK("https://rhld.insurance.arkansas.gov/NPILookup?Npi=1578269346","1578269346")</f>
        <v>1578269346</v>
      </c>
      <c r="E15903" s="1" t="s">
        <v>6429</v>
      </c>
      <c r="F15903" s="2"/>
      <c r="G15903" s="2"/>
      <c r="H15903" s="2"/>
    </row>
    <row r="15904" spans="1:8" x14ac:dyDescent="0.25">
      <c r="A15904" s="1"/>
      <c r="B15904" s="1" t="s">
        <v>5782</v>
      </c>
      <c r="C15904" s="1" t="s">
        <v>5783</v>
      </c>
      <c r="D15904" s="22" t="str">
        <f>HYPERLINK("https://rhld.insurance.arkansas.gov/NPILookup?Npi=1578270260","1578270260")</f>
        <v>1578270260</v>
      </c>
      <c r="E15904" s="1" t="s">
        <v>22632</v>
      </c>
      <c r="F15904" s="2"/>
      <c r="G15904" s="2"/>
      <c r="H15904" s="2"/>
    </row>
    <row r="15905" spans="1:8" x14ac:dyDescent="0.25">
      <c r="A15905" s="1"/>
      <c r="B15905" s="1" t="s">
        <v>5782</v>
      </c>
      <c r="C15905" s="1" t="s">
        <v>5783</v>
      </c>
      <c r="D15905" s="22" t="str">
        <f>HYPERLINK("https://rhld.insurance.arkansas.gov/NPILookup?Npi=1578278107","1578278107")</f>
        <v>1578278107</v>
      </c>
      <c r="E15905" s="1" t="s">
        <v>6430</v>
      </c>
      <c r="F15905" s="2"/>
      <c r="G15905" s="2"/>
      <c r="H15905" s="2"/>
    </row>
    <row r="15906" spans="1:8" x14ac:dyDescent="0.25">
      <c r="A15906" s="1"/>
      <c r="B15906" s="1" t="s">
        <v>5782</v>
      </c>
      <c r="C15906" s="1" t="s">
        <v>5783</v>
      </c>
      <c r="D15906" s="22" t="str">
        <f>HYPERLINK("https://rhld.insurance.arkansas.gov/NPILookup?Npi=1578295382","1578295382")</f>
        <v>1578295382</v>
      </c>
      <c r="E15906" s="1" t="s">
        <v>22633</v>
      </c>
      <c r="F15906" s="2"/>
      <c r="G15906" s="2"/>
      <c r="H15906" s="2"/>
    </row>
    <row r="15907" spans="1:8" x14ac:dyDescent="0.25">
      <c r="A15907" s="1"/>
      <c r="B15907" s="1" t="s">
        <v>5782</v>
      </c>
      <c r="C15907" s="1" t="s">
        <v>5783</v>
      </c>
      <c r="D15907" s="22" t="str">
        <f>HYPERLINK("https://rhld.insurance.arkansas.gov/NPILookup?Npi=1578297289","1578297289")</f>
        <v>1578297289</v>
      </c>
      <c r="E15907" s="1" t="s">
        <v>22634</v>
      </c>
      <c r="F15907" s="2"/>
      <c r="G15907" s="2"/>
      <c r="H15907" s="2"/>
    </row>
    <row r="15908" spans="1:8" x14ac:dyDescent="0.25">
      <c r="A15908" s="1"/>
      <c r="B15908" s="1" t="s">
        <v>5782</v>
      </c>
      <c r="C15908" s="1" t="s">
        <v>5783</v>
      </c>
      <c r="D15908" s="22" t="str">
        <f>HYPERLINK("https://rhld.insurance.arkansas.gov/NPILookup?Npi=1578326658","1578326658")</f>
        <v>1578326658</v>
      </c>
      <c r="E15908" s="1" t="s">
        <v>22635</v>
      </c>
      <c r="F15908" s="2"/>
      <c r="G15908" s="2"/>
      <c r="H15908" s="2"/>
    </row>
    <row r="15909" spans="1:8" x14ac:dyDescent="0.25">
      <c r="A15909" s="1"/>
      <c r="B15909" s="1" t="s">
        <v>5782</v>
      </c>
      <c r="C15909" s="1" t="s">
        <v>5783</v>
      </c>
      <c r="D15909" s="22" t="str">
        <f>HYPERLINK("https://rhld.insurance.arkansas.gov/NPILookup?Npi=1578377529","1578377529")</f>
        <v>1578377529</v>
      </c>
      <c r="E15909" s="1" t="s">
        <v>31903</v>
      </c>
      <c r="F15909" s="2"/>
      <c r="G15909" s="2"/>
      <c r="H15909" s="2"/>
    </row>
    <row r="15910" spans="1:8" x14ac:dyDescent="0.25">
      <c r="A15910" s="1"/>
      <c r="B15910" s="1" t="s">
        <v>5782</v>
      </c>
      <c r="C15910" s="1" t="s">
        <v>5783</v>
      </c>
      <c r="D15910" s="22" t="str">
        <f>HYPERLINK("https://rhld.insurance.arkansas.gov/NPILookup?Npi=1578506200","1578506200")</f>
        <v>1578506200</v>
      </c>
      <c r="E15910" s="1" t="s">
        <v>1560</v>
      </c>
      <c r="F15910" s="2"/>
      <c r="G15910" s="2"/>
      <c r="H15910" s="2"/>
    </row>
    <row r="15911" spans="1:8" x14ac:dyDescent="0.25">
      <c r="A15911" s="1"/>
      <c r="B15911" s="1" t="s">
        <v>5782</v>
      </c>
      <c r="C15911" s="1" t="s">
        <v>5783</v>
      </c>
      <c r="D15911" s="22" t="str">
        <f>HYPERLINK("https://rhld.insurance.arkansas.gov/NPILookup?Npi=1578530036","1578530036")</f>
        <v>1578530036</v>
      </c>
      <c r="E15911" s="1" t="s">
        <v>1139</v>
      </c>
      <c r="F15911" s="2"/>
      <c r="G15911" s="2"/>
      <c r="H15911" s="2"/>
    </row>
    <row r="15912" spans="1:8" x14ac:dyDescent="0.25">
      <c r="A15912" s="1"/>
      <c r="B15912" s="1" t="s">
        <v>5782</v>
      </c>
      <c r="C15912" s="1" t="s">
        <v>5783</v>
      </c>
      <c r="D15912" s="22" t="str">
        <f>HYPERLINK("https://rhld.insurance.arkansas.gov/NPILookup?Npi=1578563664","1578563664")</f>
        <v>1578563664</v>
      </c>
      <c r="E15912" s="1" t="s">
        <v>22636</v>
      </c>
      <c r="F15912" s="2"/>
      <c r="G15912" s="2"/>
      <c r="H15912" s="2"/>
    </row>
    <row r="15913" spans="1:8" x14ac:dyDescent="0.25">
      <c r="A15913" s="1"/>
      <c r="B15913" s="1" t="s">
        <v>5782</v>
      </c>
      <c r="C15913" s="1" t="s">
        <v>5783</v>
      </c>
      <c r="D15913" s="22" t="str">
        <f>HYPERLINK("https://rhld.insurance.arkansas.gov/NPILookup?Npi=1578592812","1578592812")</f>
        <v>1578592812</v>
      </c>
      <c r="E15913" s="1" t="s">
        <v>357</v>
      </c>
      <c r="F15913" s="2"/>
      <c r="G15913" s="2"/>
      <c r="H15913" s="2"/>
    </row>
    <row r="15914" spans="1:8" x14ac:dyDescent="0.25">
      <c r="A15914" s="1"/>
      <c r="B15914" s="1" t="s">
        <v>5782</v>
      </c>
      <c r="C15914" s="1" t="s">
        <v>5783</v>
      </c>
      <c r="D15914" s="22" t="str">
        <f>HYPERLINK("https://rhld.insurance.arkansas.gov/NPILookup?Npi=1578633780","1578633780")</f>
        <v>1578633780</v>
      </c>
      <c r="E15914" s="1" t="s">
        <v>22637</v>
      </c>
      <c r="F15914" s="2"/>
      <c r="G15914" s="2"/>
      <c r="H15914" s="2"/>
    </row>
    <row r="15915" spans="1:8" x14ac:dyDescent="0.25">
      <c r="A15915" s="1"/>
      <c r="B15915" s="1" t="s">
        <v>5782</v>
      </c>
      <c r="C15915" s="1" t="s">
        <v>5783</v>
      </c>
      <c r="D15915" s="22" t="str">
        <f>HYPERLINK("https://rhld.insurance.arkansas.gov/NPILookup?Npi=1578660056","1578660056")</f>
        <v>1578660056</v>
      </c>
      <c r="E15915" s="1" t="s">
        <v>6431</v>
      </c>
      <c r="F15915" s="2"/>
      <c r="G15915" s="2"/>
      <c r="H15915" s="2"/>
    </row>
    <row r="15916" spans="1:8" x14ac:dyDescent="0.25">
      <c r="A15916" s="1"/>
      <c r="B15916" s="1" t="s">
        <v>5782</v>
      </c>
      <c r="C15916" s="1" t="s">
        <v>5783</v>
      </c>
      <c r="D15916" s="22" t="str">
        <f>HYPERLINK("https://rhld.insurance.arkansas.gov/NPILookup?Npi=1578666723","1578666723")</f>
        <v>1578666723</v>
      </c>
      <c r="E15916" s="1" t="s">
        <v>22638</v>
      </c>
      <c r="F15916" s="2"/>
      <c r="G15916" s="2"/>
      <c r="H15916" s="2"/>
    </row>
    <row r="15917" spans="1:8" x14ac:dyDescent="0.25">
      <c r="A15917" s="1"/>
      <c r="B15917" s="1" t="s">
        <v>5782</v>
      </c>
      <c r="C15917" s="1" t="s">
        <v>5783</v>
      </c>
      <c r="D15917" s="22" t="str">
        <f>HYPERLINK("https://rhld.insurance.arkansas.gov/NPILookup?Npi=1578690517","1578690517")</f>
        <v>1578690517</v>
      </c>
      <c r="E15917" s="1" t="s">
        <v>1426</v>
      </c>
      <c r="F15917" s="2"/>
      <c r="G15917" s="2"/>
      <c r="H15917" s="2"/>
    </row>
    <row r="15918" spans="1:8" x14ac:dyDescent="0.25">
      <c r="A15918" s="1"/>
      <c r="B15918" s="1" t="s">
        <v>5782</v>
      </c>
      <c r="C15918" s="1" t="s">
        <v>5783</v>
      </c>
      <c r="D15918" s="22" t="str">
        <f>HYPERLINK("https://rhld.insurance.arkansas.gov/NPILookup?Npi=1578714630","1578714630")</f>
        <v>1578714630</v>
      </c>
      <c r="E15918" s="1" t="s">
        <v>22639</v>
      </c>
      <c r="F15918" s="2"/>
      <c r="G15918" s="2"/>
      <c r="H15918" s="2"/>
    </row>
    <row r="15919" spans="1:8" x14ac:dyDescent="0.25">
      <c r="A15919" s="1"/>
      <c r="B15919" s="1" t="s">
        <v>5782</v>
      </c>
      <c r="C15919" s="1" t="s">
        <v>5783</v>
      </c>
      <c r="D15919" s="22" t="str">
        <f>HYPERLINK("https://rhld.insurance.arkansas.gov/NPILookup?Npi=1578714788","1578714788")</f>
        <v>1578714788</v>
      </c>
      <c r="E15919" s="1" t="s">
        <v>22640</v>
      </c>
      <c r="F15919" s="2"/>
      <c r="G15919" s="2"/>
      <c r="H15919" s="2"/>
    </row>
    <row r="15920" spans="1:8" x14ac:dyDescent="0.25">
      <c r="A15920" s="1"/>
      <c r="B15920" s="1" t="s">
        <v>5782</v>
      </c>
      <c r="C15920" s="1" t="s">
        <v>5783</v>
      </c>
      <c r="D15920" s="22" t="str">
        <f>HYPERLINK("https://rhld.insurance.arkansas.gov/NPILookup?Npi=1578727541","1578727541")</f>
        <v>1578727541</v>
      </c>
      <c r="E15920" s="1" t="s">
        <v>11913</v>
      </c>
      <c r="F15920" s="2"/>
      <c r="G15920" s="2"/>
      <c r="H15920" s="2"/>
    </row>
    <row r="15921" spans="1:8" x14ac:dyDescent="0.25">
      <c r="A15921" s="1"/>
      <c r="B15921" s="1" t="s">
        <v>5782</v>
      </c>
      <c r="C15921" s="1" t="s">
        <v>5783</v>
      </c>
      <c r="D15921" s="22" t="str">
        <f>HYPERLINK("https://rhld.insurance.arkansas.gov/NPILookup?Npi=1578738761","1578738761")</f>
        <v>1578738761</v>
      </c>
      <c r="E15921" s="1" t="s">
        <v>22641</v>
      </c>
      <c r="F15921" s="2"/>
      <c r="G15921" s="2"/>
      <c r="H15921" s="2"/>
    </row>
    <row r="15922" spans="1:8" x14ac:dyDescent="0.25">
      <c r="A15922" s="1"/>
      <c r="B15922" s="1" t="s">
        <v>5782</v>
      </c>
      <c r="C15922" s="1" t="s">
        <v>5783</v>
      </c>
      <c r="D15922" s="22" t="str">
        <f>HYPERLINK("https://rhld.insurance.arkansas.gov/NPILookup?Npi=1578754628","1578754628")</f>
        <v>1578754628</v>
      </c>
      <c r="E15922" s="1" t="s">
        <v>11914</v>
      </c>
      <c r="F15922" s="2"/>
      <c r="G15922" s="2"/>
      <c r="H15922" s="2"/>
    </row>
    <row r="15923" spans="1:8" x14ac:dyDescent="0.25">
      <c r="A15923" s="1"/>
      <c r="B15923" s="1" t="s">
        <v>5782</v>
      </c>
      <c r="C15923" s="1" t="s">
        <v>5783</v>
      </c>
      <c r="D15923" s="22" t="str">
        <f>HYPERLINK("https://rhld.insurance.arkansas.gov/NPILookup?Npi=1578768057","1578768057")</f>
        <v>1578768057</v>
      </c>
      <c r="E15923" s="1" t="s">
        <v>22642</v>
      </c>
      <c r="F15923" s="2"/>
      <c r="G15923" s="2"/>
      <c r="H15923" s="2"/>
    </row>
    <row r="15924" spans="1:8" x14ac:dyDescent="0.25">
      <c r="A15924" s="1"/>
      <c r="B15924" s="1" t="s">
        <v>5782</v>
      </c>
      <c r="C15924" s="1" t="s">
        <v>5783</v>
      </c>
      <c r="D15924" s="22" t="str">
        <f>HYPERLINK("https://rhld.insurance.arkansas.gov/NPILookup?Npi=1578780219","1578780219")</f>
        <v>1578780219</v>
      </c>
      <c r="E15924" s="1" t="s">
        <v>6432</v>
      </c>
      <c r="F15924" s="2"/>
      <c r="G15924" s="2"/>
      <c r="H15924" s="2"/>
    </row>
    <row r="15925" spans="1:8" x14ac:dyDescent="0.25">
      <c r="A15925" s="1"/>
      <c r="B15925" s="1" t="s">
        <v>5782</v>
      </c>
      <c r="C15925" s="1" t="s">
        <v>5783</v>
      </c>
      <c r="D15925" s="22" t="str">
        <f>HYPERLINK("https://rhld.insurance.arkansas.gov/NPILookup?Npi=1578780946","1578780946")</f>
        <v>1578780946</v>
      </c>
      <c r="E15925" s="1" t="s">
        <v>2200</v>
      </c>
      <c r="F15925" s="2"/>
      <c r="G15925" s="2"/>
      <c r="H15925" s="2"/>
    </row>
    <row r="15926" spans="1:8" x14ac:dyDescent="0.25">
      <c r="A15926" s="1"/>
      <c r="B15926" s="1" t="s">
        <v>5782</v>
      </c>
      <c r="C15926" s="1" t="s">
        <v>5783</v>
      </c>
      <c r="D15926" s="22" t="str">
        <f>HYPERLINK("https://rhld.insurance.arkansas.gov/NPILookup?Npi=1578807574","1578807574")</f>
        <v>1578807574</v>
      </c>
      <c r="E15926" s="1" t="s">
        <v>3313</v>
      </c>
      <c r="F15926" s="2"/>
      <c r="G15926" s="2"/>
      <c r="H15926" s="2"/>
    </row>
    <row r="15927" spans="1:8" x14ac:dyDescent="0.25">
      <c r="A15927" s="1"/>
      <c r="B15927" s="1" t="s">
        <v>5782</v>
      </c>
      <c r="C15927" s="1" t="s">
        <v>5783</v>
      </c>
      <c r="D15927" s="22" t="str">
        <f>HYPERLINK("https://rhld.insurance.arkansas.gov/NPILookup?Npi=1578810487","1578810487")</f>
        <v>1578810487</v>
      </c>
      <c r="E15927" s="1" t="s">
        <v>22643</v>
      </c>
      <c r="F15927" s="2"/>
      <c r="G15927" s="2"/>
      <c r="H15927" s="2"/>
    </row>
    <row r="15928" spans="1:8" x14ac:dyDescent="0.25">
      <c r="A15928" s="1"/>
      <c r="B15928" s="1" t="s">
        <v>5782</v>
      </c>
      <c r="C15928" s="1" t="s">
        <v>5783</v>
      </c>
      <c r="D15928" s="22" t="str">
        <f>HYPERLINK("https://rhld.insurance.arkansas.gov/NPILookup?Npi=1578816682","1578816682")</f>
        <v>1578816682</v>
      </c>
      <c r="E15928" s="1" t="s">
        <v>22644</v>
      </c>
      <c r="F15928" s="2"/>
      <c r="G15928" s="2"/>
      <c r="H15928" s="2"/>
    </row>
    <row r="15929" spans="1:8" x14ac:dyDescent="0.25">
      <c r="A15929" s="1"/>
      <c r="B15929" s="1" t="s">
        <v>5782</v>
      </c>
      <c r="C15929" s="1" t="s">
        <v>5783</v>
      </c>
      <c r="D15929" s="22" t="str">
        <f>HYPERLINK("https://rhld.insurance.arkansas.gov/NPILookup?Npi=1578820957","1578820957")</f>
        <v>1578820957</v>
      </c>
      <c r="E15929" s="1" t="s">
        <v>11915</v>
      </c>
      <c r="F15929" s="2"/>
      <c r="G15929" s="2"/>
      <c r="H15929" s="2"/>
    </row>
    <row r="15930" spans="1:8" x14ac:dyDescent="0.25">
      <c r="A15930" s="1"/>
      <c r="B15930" s="1" t="s">
        <v>5782</v>
      </c>
      <c r="C15930" s="1" t="s">
        <v>5783</v>
      </c>
      <c r="D15930" s="22" t="str">
        <f>HYPERLINK("https://rhld.insurance.arkansas.gov/NPILookup?Npi=1578822235","1578822235")</f>
        <v>1578822235</v>
      </c>
      <c r="E15930" s="1" t="s">
        <v>22646</v>
      </c>
      <c r="F15930" s="2"/>
      <c r="G15930" s="2"/>
      <c r="H15930" s="2"/>
    </row>
    <row r="15931" spans="1:8" x14ac:dyDescent="0.25">
      <c r="A15931" s="1"/>
      <c r="B15931" s="1" t="s">
        <v>5782</v>
      </c>
      <c r="C15931" s="1" t="s">
        <v>5783</v>
      </c>
      <c r="D15931" s="22" t="str">
        <f>HYPERLINK("https://rhld.insurance.arkansas.gov/NPILookup?Npi=1578828109","1578828109")</f>
        <v>1578828109</v>
      </c>
      <c r="E15931" s="1" t="s">
        <v>3314</v>
      </c>
      <c r="F15931" s="2"/>
      <c r="G15931" s="2"/>
      <c r="H15931" s="2"/>
    </row>
    <row r="15932" spans="1:8" x14ac:dyDescent="0.25">
      <c r="A15932" s="1"/>
      <c r="B15932" s="1" t="s">
        <v>5782</v>
      </c>
      <c r="C15932" s="1" t="s">
        <v>5783</v>
      </c>
      <c r="D15932" s="22" t="str">
        <f>HYPERLINK("https://rhld.insurance.arkansas.gov/NPILookup?Npi=1578837100","1578837100")</f>
        <v>1578837100</v>
      </c>
      <c r="E15932" s="1" t="s">
        <v>22647</v>
      </c>
      <c r="F15932" s="2"/>
      <c r="G15932" s="2"/>
      <c r="H15932" s="2"/>
    </row>
    <row r="15933" spans="1:8" x14ac:dyDescent="0.25">
      <c r="A15933" s="1"/>
      <c r="B15933" s="1" t="s">
        <v>5782</v>
      </c>
      <c r="C15933" s="1" t="s">
        <v>5783</v>
      </c>
      <c r="D15933" s="22" t="str">
        <f>HYPERLINK("https://rhld.insurance.arkansas.gov/NPILookup?Npi=1578895058","1578895058")</f>
        <v>1578895058</v>
      </c>
      <c r="E15933" s="1" t="s">
        <v>22648</v>
      </c>
      <c r="F15933" s="2"/>
      <c r="G15933" s="2"/>
      <c r="H15933" s="2"/>
    </row>
    <row r="15934" spans="1:8" x14ac:dyDescent="0.25">
      <c r="A15934" s="1"/>
      <c r="B15934" s="1" t="s">
        <v>5782</v>
      </c>
      <c r="C15934" s="1" t="s">
        <v>5783</v>
      </c>
      <c r="D15934" s="22" t="str">
        <f>HYPERLINK("https://rhld.insurance.arkansas.gov/NPILookup?Npi=1578905204","1578905204")</f>
        <v>1578905204</v>
      </c>
      <c r="E15934" s="1" t="s">
        <v>6433</v>
      </c>
      <c r="F15934" s="2"/>
      <c r="G15934" s="2"/>
      <c r="H15934" s="2"/>
    </row>
    <row r="15935" spans="1:8" x14ac:dyDescent="0.25">
      <c r="A15935" s="1"/>
      <c r="B15935" s="1" t="s">
        <v>5782</v>
      </c>
      <c r="C15935" s="1" t="s">
        <v>5783</v>
      </c>
      <c r="D15935" s="22" t="str">
        <f>HYPERLINK("https://rhld.insurance.arkansas.gov/NPILookup?Npi=1578911335","1578911335")</f>
        <v>1578911335</v>
      </c>
      <c r="E15935" s="1" t="s">
        <v>6434</v>
      </c>
      <c r="F15935" s="2"/>
      <c r="G15935" s="2"/>
      <c r="H15935" s="2"/>
    </row>
    <row r="15936" spans="1:8" x14ac:dyDescent="0.25">
      <c r="A15936" s="1"/>
      <c r="B15936" s="1" t="s">
        <v>5782</v>
      </c>
      <c r="C15936" s="1" t="s">
        <v>5783</v>
      </c>
      <c r="D15936" s="22" t="str">
        <f>HYPERLINK("https://rhld.insurance.arkansas.gov/NPILookup?Npi=1578914016","1578914016")</f>
        <v>1578914016</v>
      </c>
      <c r="E15936" s="1" t="s">
        <v>3315</v>
      </c>
      <c r="F15936" s="2"/>
      <c r="G15936" s="2"/>
      <c r="H15936" s="2"/>
    </row>
    <row r="15937" spans="1:8" x14ac:dyDescent="0.25">
      <c r="A15937" s="1"/>
      <c r="B15937" s="1" t="s">
        <v>5782</v>
      </c>
      <c r="C15937" s="1" t="s">
        <v>5783</v>
      </c>
      <c r="D15937" s="22" t="str">
        <f>HYPERLINK("https://rhld.insurance.arkansas.gov/NPILookup?Npi=1578932778","1578932778")</f>
        <v>1578932778</v>
      </c>
      <c r="E15937" s="1" t="s">
        <v>22649</v>
      </c>
      <c r="F15937" s="2"/>
      <c r="G15937" s="2"/>
      <c r="H15937" s="2"/>
    </row>
    <row r="15938" spans="1:8" x14ac:dyDescent="0.25">
      <c r="A15938" s="1"/>
      <c r="B15938" s="1" t="s">
        <v>5782</v>
      </c>
      <c r="C15938" s="1" t="s">
        <v>5783</v>
      </c>
      <c r="D15938" s="22" t="str">
        <f>HYPERLINK("https://rhld.insurance.arkansas.gov/NPILookup?Npi=1578942280","1578942280")</f>
        <v>1578942280</v>
      </c>
      <c r="E15938" s="1" t="s">
        <v>6435</v>
      </c>
      <c r="F15938" s="2"/>
      <c r="G15938" s="2"/>
      <c r="H15938" s="2"/>
    </row>
    <row r="15939" spans="1:8" x14ac:dyDescent="0.25">
      <c r="A15939" s="1"/>
      <c r="B15939" s="1" t="s">
        <v>5782</v>
      </c>
      <c r="C15939" s="1" t="s">
        <v>5783</v>
      </c>
      <c r="D15939" s="22" t="str">
        <f>HYPERLINK("https://rhld.insurance.arkansas.gov/NPILookup?Npi=1578945424","1578945424")</f>
        <v>1578945424</v>
      </c>
      <c r="E15939" s="1" t="s">
        <v>22650</v>
      </c>
      <c r="F15939" s="2"/>
      <c r="G15939" s="2"/>
      <c r="H15939" s="2"/>
    </row>
    <row r="15940" spans="1:8" x14ac:dyDescent="0.25">
      <c r="A15940" s="1"/>
      <c r="B15940" s="1" t="s">
        <v>5782</v>
      </c>
      <c r="C15940" s="1" t="s">
        <v>5783</v>
      </c>
      <c r="D15940" s="22" t="str">
        <f>HYPERLINK("https://rhld.insurance.arkansas.gov/NPILookup?Npi=1578947560","1578947560")</f>
        <v>1578947560</v>
      </c>
      <c r="E15940" s="1" t="s">
        <v>22651</v>
      </c>
      <c r="F15940" s="2"/>
      <c r="G15940" s="2"/>
      <c r="H15940" s="2"/>
    </row>
    <row r="15941" spans="1:8" x14ac:dyDescent="0.25">
      <c r="A15941" s="1"/>
      <c r="B15941" s="1" t="s">
        <v>5782</v>
      </c>
      <c r="C15941" s="1" t="s">
        <v>5783</v>
      </c>
      <c r="D15941" s="22" t="str">
        <f>HYPERLINK("https://rhld.insurance.arkansas.gov/NPILookup?Npi=1578961934","1578961934")</f>
        <v>1578961934</v>
      </c>
      <c r="E15941" s="1" t="s">
        <v>22652</v>
      </c>
      <c r="F15941" s="2"/>
      <c r="G15941" s="2"/>
      <c r="H15941" s="2"/>
    </row>
    <row r="15942" spans="1:8" x14ac:dyDescent="0.25">
      <c r="A15942" s="1"/>
      <c r="B15942" s="1" t="s">
        <v>5782</v>
      </c>
      <c r="C15942" s="1" t="s">
        <v>5783</v>
      </c>
      <c r="D15942" s="22" t="str">
        <f>HYPERLINK("https://rhld.insurance.arkansas.gov/NPILookup?Npi=1578971479","1578971479")</f>
        <v>1578971479</v>
      </c>
      <c r="E15942" s="1" t="s">
        <v>941</v>
      </c>
      <c r="F15942" s="2"/>
      <c r="G15942" s="2"/>
      <c r="H15942" s="2"/>
    </row>
    <row r="15943" spans="1:8" x14ac:dyDescent="0.25">
      <c r="A15943" s="1"/>
      <c r="B15943" s="1" t="s">
        <v>5782</v>
      </c>
      <c r="C15943" s="1" t="s">
        <v>5783</v>
      </c>
      <c r="D15943" s="22" t="str">
        <f>HYPERLINK("https://rhld.insurance.arkansas.gov/NPILookup?Npi=1578978672","1578978672")</f>
        <v>1578978672</v>
      </c>
      <c r="E15943" s="1" t="s">
        <v>11916</v>
      </c>
      <c r="F15943" s="2"/>
      <c r="G15943" s="2"/>
      <c r="H15943" s="2"/>
    </row>
    <row r="15944" spans="1:8" x14ac:dyDescent="0.25">
      <c r="A15944" s="1"/>
      <c r="B15944" s="1" t="s">
        <v>5782</v>
      </c>
      <c r="C15944" s="1" t="s">
        <v>5783</v>
      </c>
      <c r="D15944" s="22" t="str">
        <f>HYPERLINK("https://rhld.insurance.arkansas.gov/NPILookup?Npi=1578997615","1578997615")</f>
        <v>1578997615</v>
      </c>
      <c r="E15944" s="1" t="s">
        <v>22653</v>
      </c>
      <c r="F15944" s="2"/>
      <c r="G15944" s="2"/>
      <c r="H15944" s="2"/>
    </row>
    <row r="15945" spans="1:8" x14ac:dyDescent="0.25">
      <c r="A15945" s="1"/>
      <c r="B15945" s="1" t="s">
        <v>5782</v>
      </c>
      <c r="C15945" s="1" t="s">
        <v>5783</v>
      </c>
      <c r="D15945" s="22" t="str">
        <f>HYPERLINK("https://rhld.insurance.arkansas.gov/NPILookup?Npi=1578997706","1578997706")</f>
        <v>1578997706</v>
      </c>
      <c r="E15945" s="1" t="s">
        <v>11917</v>
      </c>
      <c r="F15945" s="2"/>
      <c r="G15945" s="2"/>
      <c r="H15945" s="2"/>
    </row>
    <row r="15946" spans="1:8" x14ac:dyDescent="0.25">
      <c r="A15946" s="1"/>
      <c r="B15946" s="1" t="s">
        <v>5782</v>
      </c>
      <c r="C15946" s="1" t="s">
        <v>5783</v>
      </c>
      <c r="D15946" s="22" t="str">
        <f>HYPERLINK("https://rhld.insurance.arkansas.gov/NPILookup?Npi=1588009591","1588009591")</f>
        <v>1588009591</v>
      </c>
      <c r="E15946" s="1" t="s">
        <v>366</v>
      </c>
      <c r="F15946" s="2"/>
      <c r="G15946" s="2"/>
      <c r="H15946" s="2"/>
    </row>
    <row r="15947" spans="1:8" x14ac:dyDescent="0.25">
      <c r="A15947" s="1"/>
      <c r="B15947" s="1" t="s">
        <v>5782</v>
      </c>
      <c r="C15947" s="1" t="s">
        <v>5783</v>
      </c>
      <c r="D15947" s="22" t="str">
        <f>HYPERLINK("https://rhld.insurance.arkansas.gov/NPILookup?Npi=1588012108","1588012108")</f>
        <v>1588012108</v>
      </c>
      <c r="E15947" s="1" t="s">
        <v>22654</v>
      </c>
      <c r="F15947" s="2"/>
      <c r="G15947" s="2"/>
      <c r="H15947" s="2"/>
    </row>
    <row r="15948" spans="1:8" x14ac:dyDescent="0.25">
      <c r="A15948" s="1"/>
      <c r="B15948" s="1" t="s">
        <v>5782</v>
      </c>
      <c r="C15948" s="1" t="s">
        <v>5783</v>
      </c>
      <c r="D15948" s="22" t="str">
        <f>HYPERLINK("https://rhld.insurance.arkansas.gov/NPILookup?Npi=1588039671","1588039671")</f>
        <v>1588039671</v>
      </c>
      <c r="E15948" s="1" t="s">
        <v>22655</v>
      </c>
      <c r="F15948" s="2"/>
      <c r="G15948" s="2"/>
      <c r="H15948" s="2"/>
    </row>
    <row r="15949" spans="1:8" x14ac:dyDescent="0.25">
      <c r="A15949" s="1"/>
      <c r="B15949" s="1" t="s">
        <v>5782</v>
      </c>
      <c r="C15949" s="1" t="s">
        <v>5783</v>
      </c>
      <c r="D15949" s="22" t="str">
        <f>HYPERLINK("https://rhld.insurance.arkansas.gov/NPILookup?Npi=1588045603","1588045603")</f>
        <v>1588045603</v>
      </c>
      <c r="E15949" s="1" t="s">
        <v>22656</v>
      </c>
      <c r="F15949" s="2"/>
      <c r="G15949" s="2"/>
      <c r="H15949" s="2"/>
    </row>
    <row r="15950" spans="1:8" x14ac:dyDescent="0.25">
      <c r="A15950" s="1"/>
      <c r="B15950" s="1" t="s">
        <v>5782</v>
      </c>
      <c r="C15950" s="1" t="s">
        <v>5783</v>
      </c>
      <c r="D15950" s="22" t="str">
        <f>HYPERLINK("https://rhld.insurance.arkansas.gov/NPILookup?Npi=1588052740","1588052740")</f>
        <v>1588052740</v>
      </c>
      <c r="E15950" s="1" t="s">
        <v>22657</v>
      </c>
      <c r="F15950" s="2"/>
      <c r="G15950" s="2"/>
      <c r="H15950" s="2"/>
    </row>
    <row r="15951" spans="1:8" x14ac:dyDescent="0.25">
      <c r="A15951" s="1"/>
      <c r="B15951" s="1" t="s">
        <v>5782</v>
      </c>
      <c r="C15951" s="1" t="s">
        <v>5783</v>
      </c>
      <c r="D15951" s="22" t="str">
        <f>HYPERLINK("https://rhld.insurance.arkansas.gov/NPILookup?Npi=1588053219","1588053219")</f>
        <v>1588053219</v>
      </c>
      <c r="E15951" s="1" t="s">
        <v>3317</v>
      </c>
      <c r="F15951" s="2"/>
      <c r="G15951" s="2"/>
      <c r="H15951" s="2"/>
    </row>
    <row r="15952" spans="1:8" x14ac:dyDescent="0.25">
      <c r="A15952" s="1"/>
      <c r="B15952" s="1" t="s">
        <v>5782</v>
      </c>
      <c r="C15952" s="1" t="s">
        <v>5783</v>
      </c>
      <c r="D15952" s="22" t="str">
        <f>HYPERLINK("https://rhld.insurance.arkansas.gov/NPILookup?Npi=1588090526","1588090526")</f>
        <v>1588090526</v>
      </c>
      <c r="E15952" s="1" t="s">
        <v>11918</v>
      </c>
      <c r="F15952" s="2"/>
      <c r="G15952" s="2"/>
      <c r="H15952" s="2"/>
    </row>
    <row r="15953" spans="1:8" x14ac:dyDescent="0.25">
      <c r="A15953" s="1"/>
      <c r="B15953" s="1" t="s">
        <v>5782</v>
      </c>
      <c r="C15953" s="1" t="s">
        <v>5783</v>
      </c>
      <c r="D15953" s="22" t="str">
        <f>HYPERLINK("https://rhld.insurance.arkansas.gov/NPILookup?Npi=1588108344","1588108344")</f>
        <v>1588108344</v>
      </c>
      <c r="E15953" s="1" t="s">
        <v>22658</v>
      </c>
      <c r="F15953" s="2"/>
      <c r="G15953" s="2"/>
      <c r="H15953" s="2"/>
    </row>
    <row r="15954" spans="1:8" x14ac:dyDescent="0.25">
      <c r="A15954" s="1"/>
      <c r="B15954" s="1" t="s">
        <v>5782</v>
      </c>
      <c r="C15954" s="1" t="s">
        <v>5783</v>
      </c>
      <c r="D15954" s="22" t="str">
        <f>HYPERLINK("https://rhld.insurance.arkansas.gov/NPILookup?Npi=1588108351","1588108351")</f>
        <v>1588108351</v>
      </c>
      <c r="E15954" s="1" t="s">
        <v>2495</v>
      </c>
      <c r="F15954" s="2"/>
      <c r="G15954" s="2"/>
      <c r="H15954" s="2"/>
    </row>
    <row r="15955" spans="1:8" x14ac:dyDescent="0.25">
      <c r="A15955" s="1"/>
      <c r="B15955" s="1" t="s">
        <v>5782</v>
      </c>
      <c r="C15955" s="1" t="s">
        <v>5783</v>
      </c>
      <c r="D15955" s="22" t="str">
        <f>HYPERLINK("https://rhld.insurance.arkansas.gov/NPILookup?Npi=1588109698","1588109698")</f>
        <v>1588109698</v>
      </c>
      <c r="E15955" s="1" t="s">
        <v>1332</v>
      </c>
      <c r="F15955" s="2"/>
      <c r="G15955" s="2"/>
      <c r="H15955" s="2"/>
    </row>
    <row r="15956" spans="1:8" x14ac:dyDescent="0.25">
      <c r="A15956" s="1"/>
      <c r="B15956" s="1" t="s">
        <v>5782</v>
      </c>
      <c r="C15956" s="1" t="s">
        <v>5783</v>
      </c>
      <c r="D15956" s="22" t="str">
        <f>HYPERLINK("https://rhld.insurance.arkansas.gov/NPILookup?Npi=1588110787","1588110787")</f>
        <v>1588110787</v>
      </c>
      <c r="E15956" s="1" t="s">
        <v>6436</v>
      </c>
      <c r="F15956" s="2"/>
      <c r="G15956" s="2"/>
      <c r="H15956" s="2"/>
    </row>
    <row r="15957" spans="1:8" x14ac:dyDescent="0.25">
      <c r="A15957" s="1"/>
      <c r="B15957" s="1" t="s">
        <v>5782</v>
      </c>
      <c r="C15957" s="1" t="s">
        <v>5783</v>
      </c>
      <c r="D15957" s="22" t="str">
        <f>HYPERLINK("https://rhld.insurance.arkansas.gov/NPILookup?Npi=1588120190","1588120190")</f>
        <v>1588120190</v>
      </c>
      <c r="E15957" s="1" t="s">
        <v>3318</v>
      </c>
      <c r="F15957" s="2"/>
      <c r="G15957" s="2"/>
      <c r="H15957" s="2"/>
    </row>
    <row r="15958" spans="1:8" x14ac:dyDescent="0.25">
      <c r="A15958" s="1"/>
      <c r="B15958" s="1" t="s">
        <v>5782</v>
      </c>
      <c r="C15958" s="1" t="s">
        <v>5783</v>
      </c>
      <c r="D15958" s="22" t="str">
        <f>HYPERLINK("https://rhld.insurance.arkansas.gov/NPILookup?Npi=1588124127","1588124127")</f>
        <v>1588124127</v>
      </c>
      <c r="E15958" s="1" t="s">
        <v>22659</v>
      </c>
      <c r="F15958" s="2"/>
      <c r="G15958" s="2"/>
      <c r="H15958" s="2"/>
    </row>
    <row r="15959" spans="1:8" x14ac:dyDescent="0.25">
      <c r="A15959" s="1"/>
      <c r="B15959" s="1" t="s">
        <v>5782</v>
      </c>
      <c r="C15959" s="1" t="s">
        <v>5783</v>
      </c>
      <c r="D15959" s="22" t="str">
        <f>HYPERLINK("https://rhld.insurance.arkansas.gov/NPILookup?Npi=1588128839","1588128839")</f>
        <v>1588128839</v>
      </c>
      <c r="E15959" s="1" t="s">
        <v>22660</v>
      </c>
      <c r="F15959" s="2"/>
      <c r="G15959" s="2"/>
      <c r="H15959" s="2"/>
    </row>
    <row r="15960" spans="1:8" x14ac:dyDescent="0.25">
      <c r="A15960" s="1"/>
      <c r="B15960" s="1" t="s">
        <v>5782</v>
      </c>
      <c r="C15960" s="1" t="s">
        <v>5783</v>
      </c>
      <c r="D15960" s="22" t="str">
        <f>HYPERLINK("https://rhld.insurance.arkansas.gov/NPILookup?Npi=1588138226","1588138226")</f>
        <v>1588138226</v>
      </c>
      <c r="E15960" s="1" t="s">
        <v>22661</v>
      </c>
      <c r="F15960" s="2"/>
      <c r="G15960" s="2"/>
      <c r="H15960" s="2"/>
    </row>
    <row r="15961" spans="1:8" x14ac:dyDescent="0.25">
      <c r="A15961" s="1"/>
      <c r="B15961" s="1" t="s">
        <v>5782</v>
      </c>
      <c r="C15961" s="1" t="s">
        <v>5783</v>
      </c>
      <c r="D15961" s="22" t="str">
        <f>HYPERLINK("https://rhld.insurance.arkansas.gov/NPILookup?Npi=1588138911","1588138911")</f>
        <v>1588138911</v>
      </c>
      <c r="E15961" s="1" t="s">
        <v>22662</v>
      </c>
      <c r="F15961" s="2"/>
      <c r="G15961" s="2"/>
      <c r="H15961" s="2"/>
    </row>
    <row r="15962" spans="1:8" x14ac:dyDescent="0.25">
      <c r="A15962" s="1"/>
      <c r="B15962" s="1" t="s">
        <v>5782</v>
      </c>
      <c r="C15962" s="1" t="s">
        <v>5783</v>
      </c>
      <c r="D15962" s="22" t="str">
        <f>HYPERLINK("https://rhld.insurance.arkansas.gov/NPILookup?Npi=1588171771","1588171771")</f>
        <v>1588171771</v>
      </c>
      <c r="E15962" s="1" t="s">
        <v>22663</v>
      </c>
      <c r="F15962" s="2"/>
      <c r="G15962" s="2"/>
      <c r="H15962" s="2"/>
    </row>
    <row r="15963" spans="1:8" x14ac:dyDescent="0.25">
      <c r="A15963" s="1"/>
      <c r="B15963" s="1" t="s">
        <v>5782</v>
      </c>
      <c r="C15963" s="1" t="s">
        <v>5783</v>
      </c>
      <c r="D15963" s="22" t="str">
        <f>HYPERLINK("https://rhld.insurance.arkansas.gov/NPILookup?Npi=1588171813","1588171813")</f>
        <v>1588171813</v>
      </c>
      <c r="E15963" s="1" t="s">
        <v>22664</v>
      </c>
      <c r="F15963" s="2"/>
      <c r="G15963" s="2"/>
      <c r="H15963" s="2"/>
    </row>
    <row r="15964" spans="1:8" x14ac:dyDescent="0.25">
      <c r="A15964" s="1"/>
      <c r="B15964" s="1" t="s">
        <v>5782</v>
      </c>
      <c r="C15964" s="1" t="s">
        <v>5783</v>
      </c>
      <c r="D15964" s="22" t="str">
        <f>HYPERLINK("https://rhld.insurance.arkansas.gov/NPILookup?Npi=1588184857","1588184857")</f>
        <v>1588184857</v>
      </c>
      <c r="E15964" s="1" t="s">
        <v>22665</v>
      </c>
      <c r="F15964" s="2"/>
      <c r="G15964" s="2"/>
      <c r="H15964" s="2"/>
    </row>
    <row r="15965" spans="1:8" x14ac:dyDescent="0.25">
      <c r="A15965" s="1"/>
      <c r="B15965" s="1" t="s">
        <v>5782</v>
      </c>
      <c r="C15965" s="1" t="s">
        <v>5783</v>
      </c>
      <c r="D15965" s="22" t="str">
        <f>HYPERLINK("https://rhld.insurance.arkansas.gov/NPILookup?Npi=1588188189","1588188189")</f>
        <v>1588188189</v>
      </c>
      <c r="E15965" s="1" t="s">
        <v>22666</v>
      </c>
      <c r="F15965" s="2"/>
      <c r="G15965" s="2"/>
      <c r="H15965" s="2"/>
    </row>
    <row r="15966" spans="1:8" x14ac:dyDescent="0.25">
      <c r="A15966" s="1"/>
      <c r="B15966" s="1" t="s">
        <v>5782</v>
      </c>
      <c r="C15966" s="1" t="s">
        <v>5783</v>
      </c>
      <c r="D15966" s="22" t="str">
        <f>HYPERLINK("https://rhld.insurance.arkansas.gov/NPILookup?Npi=1588199384","1588199384")</f>
        <v>1588199384</v>
      </c>
      <c r="E15966" s="1" t="s">
        <v>22667</v>
      </c>
      <c r="F15966" s="2"/>
      <c r="G15966" s="2"/>
      <c r="H15966" s="2"/>
    </row>
    <row r="15967" spans="1:8" x14ac:dyDescent="0.25">
      <c r="A15967" s="1"/>
      <c r="B15967" s="1" t="s">
        <v>5782</v>
      </c>
      <c r="C15967" s="1" t="s">
        <v>5783</v>
      </c>
      <c r="D15967" s="22" t="str">
        <f>HYPERLINK("https://rhld.insurance.arkansas.gov/NPILookup?Npi=1588202873","1588202873")</f>
        <v>1588202873</v>
      </c>
      <c r="E15967" s="1" t="s">
        <v>22668</v>
      </c>
      <c r="F15967" s="2"/>
      <c r="G15967" s="2"/>
      <c r="H15967" s="2"/>
    </row>
    <row r="15968" spans="1:8" x14ac:dyDescent="0.25">
      <c r="A15968" s="1"/>
      <c r="B15968" s="1" t="s">
        <v>5782</v>
      </c>
      <c r="C15968" s="1" t="s">
        <v>5783</v>
      </c>
      <c r="D15968" s="22" t="str">
        <f>HYPERLINK("https://rhld.insurance.arkansas.gov/NPILookup?Npi=1588211064","1588211064")</f>
        <v>1588211064</v>
      </c>
      <c r="E15968" s="1" t="s">
        <v>11919</v>
      </c>
      <c r="F15968" s="2"/>
      <c r="G15968" s="2"/>
      <c r="H15968" s="2"/>
    </row>
    <row r="15969" spans="1:8" x14ac:dyDescent="0.25">
      <c r="A15969" s="1"/>
      <c r="B15969" s="1" t="s">
        <v>5782</v>
      </c>
      <c r="C15969" s="1" t="s">
        <v>5783</v>
      </c>
      <c r="D15969" s="22" t="str">
        <f>HYPERLINK("https://rhld.insurance.arkansas.gov/NPILookup?Npi=1588237697","1588237697")</f>
        <v>1588237697</v>
      </c>
      <c r="E15969" s="1" t="s">
        <v>22669</v>
      </c>
      <c r="F15969" s="2"/>
      <c r="G15969" s="2"/>
      <c r="H15969" s="2"/>
    </row>
    <row r="15970" spans="1:8" x14ac:dyDescent="0.25">
      <c r="A15970" s="1"/>
      <c r="B15970" s="1" t="s">
        <v>5782</v>
      </c>
      <c r="C15970" s="1" t="s">
        <v>5783</v>
      </c>
      <c r="D15970" s="22" t="str">
        <f>HYPERLINK("https://rhld.insurance.arkansas.gov/NPILookup?Npi=1588256325","1588256325")</f>
        <v>1588256325</v>
      </c>
      <c r="E15970" s="1" t="s">
        <v>22670</v>
      </c>
      <c r="F15970" s="2"/>
      <c r="G15970" s="2"/>
      <c r="H15970" s="2"/>
    </row>
    <row r="15971" spans="1:8" x14ac:dyDescent="0.25">
      <c r="A15971" s="1"/>
      <c r="B15971" s="1" t="s">
        <v>5782</v>
      </c>
      <c r="C15971" s="1" t="s">
        <v>5783</v>
      </c>
      <c r="D15971" s="22" t="str">
        <f>HYPERLINK("https://rhld.insurance.arkansas.gov/NPILookup?Npi=1588266597","1588266597")</f>
        <v>1588266597</v>
      </c>
      <c r="E15971" s="1" t="s">
        <v>6437</v>
      </c>
      <c r="F15971" s="2"/>
      <c r="G15971" s="2"/>
      <c r="H15971" s="2"/>
    </row>
    <row r="15972" spans="1:8" x14ac:dyDescent="0.25">
      <c r="A15972" s="1"/>
      <c r="B15972" s="1" t="s">
        <v>5782</v>
      </c>
      <c r="C15972" s="1" t="s">
        <v>5783</v>
      </c>
      <c r="D15972" s="22" t="str">
        <f>HYPERLINK("https://rhld.insurance.arkansas.gov/NPILookup?Npi=1588270011","1588270011")</f>
        <v>1588270011</v>
      </c>
      <c r="E15972" s="1" t="s">
        <v>5809</v>
      </c>
      <c r="F15972" s="2"/>
      <c r="G15972" s="2"/>
      <c r="H15972" s="2"/>
    </row>
    <row r="15973" spans="1:8" x14ac:dyDescent="0.25">
      <c r="A15973" s="1"/>
      <c r="B15973" s="1" t="s">
        <v>5782</v>
      </c>
      <c r="C15973" s="1" t="s">
        <v>5783</v>
      </c>
      <c r="D15973" s="22" t="str">
        <f>HYPERLINK("https://rhld.insurance.arkansas.gov/NPILookup?Npi=1588271993","1588271993")</f>
        <v>1588271993</v>
      </c>
      <c r="E15973" s="1" t="s">
        <v>6438</v>
      </c>
      <c r="F15973" s="2"/>
      <c r="G15973" s="2"/>
      <c r="H15973" s="2"/>
    </row>
    <row r="15974" spans="1:8" x14ac:dyDescent="0.25">
      <c r="A15974" s="1"/>
      <c r="B15974" s="1" t="s">
        <v>5782</v>
      </c>
      <c r="C15974" s="1" t="s">
        <v>5783</v>
      </c>
      <c r="D15974" s="22" t="str">
        <f>HYPERLINK("https://rhld.insurance.arkansas.gov/NPILookup?Npi=1588278121","1588278121")</f>
        <v>1588278121</v>
      </c>
      <c r="E15974" s="1" t="s">
        <v>22671</v>
      </c>
      <c r="F15974" s="2"/>
      <c r="G15974" s="2"/>
      <c r="H15974" s="2"/>
    </row>
    <row r="15975" spans="1:8" x14ac:dyDescent="0.25">
      <c r="A15975" s="1"/>
      <c r="B15975" s="1" t="s">
        <v>5782</v>
      </c>
      <c r="C15975" s="1" t="s">
        <v>5783</v>
      </c>
      <c r="D15975" s="22" t="str">
        <f>HYPERLINK("https://rhld.insurance.arkansas.gov/NPILookup?Npi=1588278493","1588278493")</f>
        <v>1588278493</v>
      </c>
      <c r="E15975" s="1" t="s">
        <v>22672</v>
      </c>
      <c r="F15975" s="2"/>
      <c r="G15975" s="2"/>
      <c r="H15975" s="2"/>
    </row>
    <row r="15976" spans="1:8" x14ac:dyDescent="0.25">
      <c r="A15976" s="1"/>
      <c r="B15976" s="1" t="s">
        <v>5782</v>
      </c>
      <c r="C15976" s="1" t="s">
        <v>5783</v>
      </c>
      <c r="D15976" s="22" t="str">
        <f>HYPERLINK("https://rhld.insurance.arkansas.gov/NPILookup?Npi=1588299291","1588299291")</f>
        <v>1588299291</v>
      </c>
      <c r="E15976" s="1" t="s">
        <v>22673</v>
      </c>
      <c r="F15976" s="2"/>
      <c r="G15976" s="2"/>
      <c r="H15976" s="2"/>
    </row>
    <row r="15977" spans="1:8" x14ac:dyDescent="0.25">
      <c r="A15977" s="1"/>
      <c r="B15977" s="1" t="s">
        <v>5782</v>
      </c>
      <c r="C15977" s="1" t="s">
        <v>5783</v>
      </c>
      <c r="D15977" s="22" t="str">
        <f>HYPERLINK("https://rhld.insurance.arkansas.gov/NPILookup?Npi=1588309413","1588309413")</f>
        <v>1588309413</v>
      </c>
      <c r="E15977" s="1" t="s">
        <v>6439</v>
      </c>
      <c r="F15977" s="2"/>
      <c r="G15977" s="2"/>
      <c r="H15977" s="2"/>
    </row>
    <row r="15978" spans="1:8" x14ac:dyDescent="0.25">
      <c r="A15978" s="1"/>
      <c r="B15978" s="1" t="s">
        <v>5782</v>
      </c>
      <c r="C15978" s="1" t="s">
        <v>5783</v>
      </c>
      <c r="D15978" s="22" t="str">
        <f>HYPERLINK("https://rhld.insurance.arkansas.gov/NPILookup?Npi=1588311591","1588311591")</f>
        <v>1588311591</v>
      </c>
      <c r="E15978" s="1" t="s">
        <v>11920</v>
      </c>
      <c r="F15978" s="2"/>
      <c r="G15978" s="2"/>
      <c r="H15978" s="2"/>
    </row>
    <row r="15979" spans="1:8" x14ac:dyDescent="0.25">
      <c r="A15979" s="1"/>
      <c r="B15979" s="1" t="s">
        <v>5782</v>
      </c>
      <c r="C15979" s="1" t="s">
        <v>5783</v>
      </c>
      <c r="D15979" s="22" t="str">
        <f>HYPERLINK("https://rhld.insurance.arkansas.gov/NPILookup?Npi=1588313902","1588313902")</f>
        <v>1588313902</v>
      </c>
      <c r="E15979" s="1" t="s">
        <v>22674</v>
      </c>
      <c r="F15979" s="2"/>
      <c r="G15979" s="2"/>
      <c r="H15979" s="2"/>
    </row>
    <row r="15980" spans="1:8" x14ac:dyDescent="0.25">
      <c r="A15980" s="1"/>
      <c r="B15980" s="1" t="s">
        <v>5782</v>
      </c>
      <c r="C15980" s="1" t="s">
        <v>5783</v>
      </c>
      <c r="D15980" s="22" t="str">
        <f>HYPERLINK("https://rhld.insurance.arkansas.gov/NPILookup?Npi=1588326193","1588326193")</f>
        <v>1588326193</v>
      </c>
      <c r="E15980" s="1" t="s">
        <v>6440</v>
      </c>
      <c r="F15980" s="2"/>
      <c r="G15980" s="2"/>
      <c r="H15980" s="2"/>
    </row>
    <row r="15981" spans="1:8" x14ac:dyDescent="0.25">
      <c r="A15981" s="1"/>
      <c r="B15981" s="1" t="s">
        <v>5782</v>
      </c>
      <c r="C15981" s="1" t="s">
        <v>5783</v>
      </c>
      <c r="D15981" s="22" t="str">
        <f>HYPERLINK("https://rhld.insurance.arkansas.gov/NPILookup?Npi=1588340632","1588340632")</f>
        <v>1588340632</v>
      </c>
      <c r="E15981" s="1" t="s">
        <v>6441</v>
      </c>
      <c r="F15981" s="2"/>
      <c r="G15981" s="2"/>
      <c r="H15981" s="2"/>
    </row>
    <row r="15982" spans="1:8" x14ac:dyDescent="0.25">
      <c r="A15982" s="1"/>
      <c r="B15982" s="1" t="s">
        <v>5782</v>
      </c>
      <c r="C15982" s="1" t="s">
        <v>5783</v>
      </c>
      <c r="D15982" s="22" t="str">
        <f>HYPERLINK("https://rhld.insurance.arkansas.gov/NPILookup?Npi=1588355507","1588355507")</f>
        <v>1588355507</v>
      </c>
      <c r="E15982" s="1" t="s">
        <v>6442</v>
      </c>
      <c r="F15982" s="2"/>
      <c r="G15982" s="2"/>
      <c r="H15982" s="2"/>
    </row>
    <row r="15983" spans="1:8" x14ac:dyDescent="0.25">
      <c r="A15983" s="1"/>
      <c r="B15983" s="1" t="s">
        <v>5782</v>
      </c>
      <c r="C15983" s="1" t="s">
        <v>5783</v>
      </c>
      <c r="D15983" s="22" t="str">
        <f>HYPERLINK("https://rhld.insurance.arkansas.gov/NPILookup?Npi=1588355648","1588355648")</f>
        <v>1588355648</v>
      </c>
      <c r="E15983" s="1" t="s">
        <v>31904</v>
      </c>
      <c r="F15983" s="2"/>
      <c r="G15983" s="2"/>
      <c r="H15983" s="2"/>
    </row>
    <row r="15984" spans="1:8" x14ac:dyDescent="0.25">
      <c r="A15984" s="1"/>
      <c r="B15984" s="1" t="s">
        <v>5782</v>
      </c>
      <c r="C15984" s="1" t="s">
        <v>5783</v>
      </c>
      <c r="D15984" s="22" t="str">
        <f>HYPERLINK("https://rhld.insurance.arkansas.gov/NPILookup?Npi=1588393813","1588393813")</f>
        <v>1588393813</v>
      </c>
      <c r="E15984" s="1" t="s">
        <v>6443</v>
      </c>
      <c r="F15984" s="2"/>
      <c r="G15984" s="2"/>
      <c r="H15984" s="2"/>
    </row>
    <row r="15985" spans="1:8" x14ac:dyDescent="0.25">
      <c r="A15985" s="1"/>
      <c r="B15985" s="1" t="s">
        <v>5782</v>
      </c>
      <c r="C15985" s="1" t="s">
        <v>5783</v>
      </c>
      <c r="D15985" s="22" t="str">
        <f>HYPERLINK("https://rhld.insurance.arkansas.gov/NPILookup?Npi=1588492904","1588492904")</f>
        <v>1588492904</v>
      </c>
      <c r="E15985" s="1" t="s">
        <v>22675</v>
      </c>
      <c r="F15985" s="2"/>
      <c r="G15985" s="2"/>
      <c r="H15985" s="2"/>
    </row>
    <row r="15986" spans="1:8" x14ac:dyDescent="0.25">
      <c r="A15986" s="1"/>
      <c r="B15986" s="1" t="s">
        <v>5782</v>
      </c>
      <c r="C15986" s="1" t="s">
        <v>5783</v>
      </c>
      <c r="D15986" s="22" t="str">
        <f>HYPERLINK("https://rhld.insurance.arkansas.gov/NPILookup?Npi=1588640551","1588640551")</f>
        <v>1588640551</v>
      </c>
      <c r="E15986" s="1" t="s">
        <v>22676</v>
      </c>
      <c r="F15986" s="2"/>
      <c r="G15986" s="2"/>
      <c r="H15986" s="2"/>
    </row>
    <row r="15987" spans="1:8" x14ac:dyDescent="0.25">
      <c r="A15987" s="1"/>
      <c r="B15987" s="1" t="s">
        <v>5782</v>
      </c>
      <c r="C15987" s="1" t="s">
        <v>5783</v>
      </c>
      <c r="D15987" s="22" t="str">
        <f>HYPERLINK("https://rhld.insurance.arkansas.gov/NPILookup?Npi=1588651483","1588651483")</f>
        <v>1588651483</v>
      </c>
      <c r="E15987" s="1" t="s">
        <v>22677</v>
      </c>
      <c r="F15987" s="2"/>
      <c r="G15987" s="2"/>
      <c r="H15987" s="2"/>
    </row>
    <row r="15988" spans="1:8" x14ac:dyDescent="0.25">
      <c r="A15988" s="1"/>
      <c r="B15988" s="1" t="s">
        <v>5782</v>
      </c>
      <c r="C15988" s="1" t="s">
        <v>5783</v>
      </c>
      <c r="D15988" s="22" t="str">
        <f>HYPERLINK("https://rhld.insurance.arkansas.gov/NPILookup?Npi=1588715486","1588715486")</f>
        <v>1588715486</v>
      </c>
      <c r="E15988" s="1" t="s">
        <v>11921</v>
      </c>
      <c r="F15988" s="2"/>
      <c r="G15988" s="2"/>
      <c r="H15988" s="2"/>
    </row>
    <row r="15989" spans="1:8" x14ac:dyDescent="0.25">
      <c r="A15989" s="1"/>
      <c r="B15989" s="1" t="s">
        <v>5782</v>
      </c>
      <c r="C15989" s="1" t="s">
        <v>5783</v>
      </c>
      <c r="D15989" s="22" t="str">
        <f>HYPERLINK("https://rhld.insurance.arkansas.gov/NPILookup?Npi=1588741169","1588741169")</f>
        <v>1588741169</v>
      </c>
      <c r="E15989" s="1" t="s">
        <v>11922</v>
      </c>
      <c r="F15989" s="2"/>
      <c r="G15989" s="2"/>
      <c r="H15989" s="2"/>
    </row>
    <row r="15990" spans="1:8" x14ac:dyDescent="0.25">
      <c r="A15990" s="1"/>
      <c r="B15990" s="1" t="s">
        <v>5782</v>
      </c>
      <c r="C15990" s="1" t="s">
        <v>5783</v>
      </c>
      <c r="D15990" s="22" t="str">
        <f>HYPERLINK("https://rhld.insurance.arkansas.gov/NPILookup?Npi=1588773410","1588773410")</f>
        <v>1588773410</v>
      </c>
      <c r="E15990" s="1" t="s">
        <v>22679</v>
      </c>
      <c r="F15990" s="2"/>
      <c r="G15990" s="2"/>
      <c r="H15990" s="2"/>
    </row>
    <row r="15991" spans="1:8" x14ac:dyDescent="0.25">
      <c r="A15991" s="1"/>
      <c r="B15991" s="1" t="s">
        <v>5782</v>
      </c>
      <c r="C15991" s="1" t="s">
        <v>5783</v>
      </c>
      <c r="D15991" s="22" t="str">
        <f>HYPERLINK("https://rhld.insurance.arkansas.gov/NPILookup?Npi=1588777080","1588777080")</f>
        <v>1588777080</v>
      </c>
      <c r="E15991" s="1" t="s">
        <v>11923</v>
      </c>
      <c r="F15991" s="2"/>
      <c r="G15991" s="2"/>
      <c r="H15991" s="2"/>
    </row>
    <row r="15992" spans="1:8" x14ac:dyDescent="0.25">
      <c r="A15992" s="1"/>
      <c r="B15992" s="1" t="s">
        <v>5782</v>
      </c>
      <c r="C15992" s="1" t="s">
        <v>5783</v>
      </c>
      <c r="D15992" s="22" t="str">
        <f>HYPERLINK("https://rhld.insurance.arkansas.gov/NPILookup?Npi=1588786255","1588786255")</f>
        <v>1588786255</v>
      </c>
      <c r="E15992" s="1" t="s">
        <v>3319</v>
      </c>
      <c r="F15992" s="2"/>
      <c r="G15992" s="2"/>
      <c r="H15992" s="2"/>
    </row>
    <row r="15993" spans="1:8" x14ac:dyDescent="0.25">
      <c r="A15993" s="1"/>
      <c r="B15993" s="1" t="s">
        <v>5782</v>
      </c>
      <c r="C15993" s="1" t="s">
        <v>5783</v>
      </c>
      <c r="D15993" s="22" t="str">
        <f>HYPERLINK("https://rhld.insurance.arkansas.gov/NPILookup?Npi=1588809750","1588809750")</f>
        <v>1588809750</v>
      </c>
      <c r="E15993" s="1" t="s">
        <v>367</v>
      </c>
      <c r="F15993" s="2"/>
      <c r="G15993" s="2"/>
      <c r="H15993" s="2"/>
    </row>
    <row r="15994" spans="1:8" x14ac:dyDescent="0.25">
      <c r="A15994" s="1"/>
      <c r="B15994" s="1" t="s">
        <v>5782</v>
      </c>
      <c r="C15994" s="1" t="s">
        <v>5783</v>
      </c>
      <c r="D15994" s="22" t="str">
        <f>HYPERLINK("https://rhld.insurance.arkansas.gov/NPILookup?Npi=1588814370","1588814370")</f>
        <v>1588814370</v>
      </c>
      <c r="E15994" s="1" t="s">
        <v>11924</v>
      </c>
      <c r="F15994" s="2"/>
      <c r="G15994" s="2"/>
      <c r="H15994" s="2"/>
    </row>
    <row r="15995" spans="1:8" x14ac:dyDescent="0.25">
      <c r="A15995" s="1"/>
      <c r="B15995" s="1" t="s">
        <v>5782</v>
      </c>
      <c r="C15995" s="1" t="s">
        <v>5783</v>
      </c>
      <c r="D15995" s="22" t="str">
        <f>HYPERLINK("https://rhld.insurance.arkansas.gov/NPILookup?Npi=1588816540","1588816540")</f>
        <v>1588816540</v>
      </c>
      <c r="E15995" s="1" t="s">
        <v>22680</v>
      </c>
      <c r="F15995" s="2"/>
      <c r="G15995" s="2"/>
      <c r="H15995" s="2"/>
    </row>
    <row r="15996" spans="1:8" x14ac:dyDescent="0.25">
      <c r="A15996" s="1"/>
      <c r="B15996" s="1" t="s">
        <v>5782</v>
      </c>
      <c r="C15996" s="1" t="s">
        <v>5783</v>
      </c>
      <c r="D15996" s="22" t="str">
        <f>HYPERLINK("https://rhld.insurance.arkansas.gov/NPILookup?Npi=1588826002","1588826002")</f>
        <v>1588826002</v>
      </c>
      <c r="E15996" s="1" t="s">
        <v>22681</v>
      </c>
      <c r="F15996" s="2"/>
      <c r="G15996" s="2"/>
      <c r="H15996" s="2"/>
    </row>
    <row r="15997" spans="1:8" x14ac:dyDescent="0.25">
      <c r="A15997" s="1"/>
      <c r="B15997" s="1" t="s">
        <v>5782</v>
      </c>
      <c r="C15997" s="1" t="s">
        <v>5783</v>
      </c>
      <c r="D15997" s="22" t="str">
        <f>HYPERLINK("https://rhld.insurance.arkansas.gov/NPILookup?Npi=1588835110","1588835110")</f>
        <v>1588835110</v>
      </c>
      <c r="E15997" s="1" t="s">
        <v>22682</v>
      </c>
      <c r="F15997" s="2"/>
      <c r="G15997" s="2"/>
      <c r="H15997" s="2"/>
    </row>
    <row r="15998" spans="1:8" x14ac:dyDescent="0.25">
      <c r="A15998" s="1"/>
      <c r="B15998" s="1" t="s">
        <v>5782</v>
      </c>
      <c r="C15998" s="1" t="s">
        <v>5783</v>
      </c>
      <c r="D15998" s="22" t="str">
        <f>HYPERLINK("https://rhld.insurance.arkansas.gov/NPILookup?Npi=1588871644","1588871644")</f>
        <v>1588871644</v>
      </c>
      <c r="E15998" s="1" t="s">
        <v>22683</v>
      </c>
      <c r="F15998" s="2"/>
      <c r="G15998" s="2"/>
      <c r="H15998" s="2"/>
    </row>
    <row r="15999" spans="1:8" x14ac:dyDescent="0.25">
      <c r="A15999" s="1"/>
      <c r="B15999" s="1" t="s">
        <v>5782</v>
      </c>
      <c r="C15999" s="1" t="s">
        <v>5783</v>
      </c>
      <c r="D15999" s="22" t="str">
        <f>HYPERLINK("https://rhld.insurance.arkansas.gov/NPILookup?Npi=1588891923","1588891923")</f>
        <v>1588891923</v>
      </c>
      <c r="E15999" s="1" t="s">
        <v>11925</v>
      </c>
      <c r="F15999" s="2"/>
      <c r="G15999" s="2"/>
      <c r="H15999" s="2"/>
    </row>
    <row r="16000" spans="1:8" x14ac:dyDescent="0.25">
      <c r="A16000" s="1"/>
      <c r="B16000" s="1" t="s">
        <v>5782</v>
      </c>
      <c r="C16000" s="1" t="s">
        <v>5783</v>
      </c>
      <c r="D16000" s="22" t="str">
        <f>HYPERLINK("https://rhld.insurance.arkansas.gov/NPILookup?Npi=1588892400","1588892400")</f>
        <v>1588892400</v>
      </c>
      <c r="E16000" s="1" t="s">
        <v>22684</v>
      </c>
      <c r="F16000" s="2"/>
      <c r="G16000" s="2"/>
      <c r="H16000" s="2"/>
    </row>
    <row r="16001" spans="1:8" x14ac:dyDescent="0.25">
      <c r="A16001" s="1"/>
      <c r="B16001" s="1" t="s">
        <v>5782</v>
      </c>
      <c r="C16001" s="1" t="s">
        <v>5783</v>
      </c>
      <c r="D16001" s="22" t="str">
        <f>HYPERLINK("https://rhld.insurance.arkansas.gov/NPILookup?Npi=1588904445","1588904445")</f>
        <v>1588904445</v>
      </c>
      <c r="E16001" s="1" t="s">
        <v>361</v>
      </c>
      <c r="F16001" s="2"/>
      <c r="G16001" s="2"/>
      <c r="H16001" s="2"/>
    </row>
    <row r="16002" spans="1:8" x14ac:dyDescent="0.25">
      <c r="A16002" s="1"/>
      <c r="B16002" s="1" t="s">
        <v>5782</v>
      </c>
      <c r="C16002" s="1" t="s">
        <v>5783</v>
      </c>
      <c r="D16002" s="22" t="str">
        <f>HYPERLINK("https://rhld.insurance.arkansas.gov/NPILookup?Npi=1588921522","1588921522")</f>
        <v>1588921522</v>
      </c>
      <c r="E16002" s="1" t="s">
        <v>6444</v>
      </c>
      <c r="F16002" s="2"/>
      <c r="G16002" s="2"/>
      <c r="H16002" s="2"/>
    </row>
    <row r="16003" spans="1:8" x14ac:dyDescent="0.25">
      <c r="A16003" s="1"/>
      <c r="B16003" s="1" t="s">
        <v>5782</v>
      </c>
      <c r="C16003" s="1" t="s">
        <v>5783</v>
      </c>
      <c r="D16003" s="22" t="str">
        <f>HYPERLINK("https://rhld.insurance.arkansas.gov/NPILookup?Npi=1588964019","1588964019")</f>
        <v>1588964019</v>
      </c>
      <c r="E16003" s="1" t="s">
        <v>22685</v>
      </c>
      <c r="F16003" s="2"/>
      <c r="G16003" s="2"/>
      <c r="H16003" s="2"/>
    </row>
    <row r="16004" spans="1:8" x14ac:dyDescent="0.25">
      <c r="A16004" s="1"/>
      <c r="B16004" s="1" t="s">
        <v>5782</v>
      </c>
      <c r="C16004" s="1" t="s">
        <v>5783</v>
      </c>
      <c r="D16004" s="22" t="str">
        <f>HYPERLINK("https://rhld.insurance.arkansas.gov/NPILookup?Npi=1588978464","1588978464")</f>
        <v>1588978464</v>
      </c>
      <c r="E16004" s="1" t="s">
        <v>22686</v>
      </c>
      <c r="F16004" s="2"/>
      <c r="G16004" s="2"/>
      <c r="H16004" s="2"/>
    </row>
    <row r="16005" spans="1:8" x14ac:dyDescent="0.25">
      <c r="A16005" s="1"/>
      <c r="B16005" s="1" t="s">
        <v>5782</v>
      </c>
      <c r="C16005" s="1" t="s">
        <v>5783</v>
      </c>
      <c r="D16005" s="22" t="str">
        <f>HYPERLINK("https://rhld.insurance.arkansas.gov/NPILookup?Npi=1588982326","1588982326")</f>
        <v>1588982326</v>
      </c>
      <c r="E16005" s="1" t="s">
        <v>1034</v>
      </c>
      <c r="F16005" s="2"/>
      <c r="G16005" s="2"/>
      <c r="H16005" s="2"/>
    </row>
    <row r="16006" spans="1:8" x14ac:dyDescent="0.25">
      <c r="A16006" s="1"/>
      <c r="B16006" s="1" t="s">
        <v>5782</v>
      </c>
      <c r="C16006" s="1" t="s">
        <v>5783</v>
      </c>
      <c r="D16006" s="22" t="str">
        <f>HYPERLINK("https://rhld.insurance.arkansas.gov/NPILookup?Npi=1598011074","1598011074")</f>
        <v>1598011074</v>
      </c>
      <c r="E16006" s="1" t="s">
        <v>317</v>
      </c>
      <c r="F16006" s="2"/>
      <c r="G16006" s="2"/>
      <c r="H16006" s="2"/>
    </row>
    <row r="16007" spans="1:8" x14ac:dyDescent="0.25">
      <c r="A16007" s="1"/>
      <c r="B16007" s="1" t="s">
        <v>5782</v>
      </c>
      <c r="C16007" s="1" t="s">
        <v>5783</v>
      </c>
      <c r="D16007" s="22" t="str">
        <f>HYPERLINK("https://rhld.insurance.arkansas.gov/NPILookup?Npi=1598018368","1598018368")</f>
        <v>1598018368</v>
      </c>
      <c r="E16007" s="1" t="s">
        <v>11926</v>
      </c>
      <c r="F16007" s="2"/>
      <c r="G16007" s="2"/>
      <c r="H16007" s="2"/>
    </row>
    <row r="16008" spans="1:8" x14ac:dyDescent="0.25">
      <c r="A16008" s="1"/>
      <c r="B16008" s="1" t="s">
        <v>5782</v>
      </c>
      <c r="C16008" s="1" t="s">
        <v>5783</v>
      </c>
      <c r="D16008" s="22" t="str">
        <f>HYPERLINK("https://rhld.insurance.arkansas.gov/NPILookup?Npi=1598039075","1598039075")</f>
        <v>1598039075</v>
      </c>
      <c r="E16008" s="1" t="s">
        <v>22687</v>
      </c>
      <c r="F16008" s="2"/>
      <c r="G16008" s="2"/>
      <c r="H16008" s="2"/>
    </row>
    <row r="16009" spans="1:8" x14ac:dyDescent="0.25">
      <c r="A16009" s="1"/>
      <c r="B16009" s="1" t="s">
        <v>5782</v>
      </c>
      <c r="C16009" s="1" t="s">
        <v>5783</v>
      </c>
      <c r="D16009" s="22" t="str">
        <f>HYPERLINK("https://rhld.insurance.arkansas.gov/NPILookup?Npi=1598045551","1598045551")</f>
        <v>1598045551</v>
      </c>
      <c r="E16009" s="1" t="s">
        <v>11927</v>
      </c>
      <c r="F16009" s="2"/>
      <c r="G16009" s="2"/>
      <c r="H16009" s="2"/>
    </row>
    <row r="16010" spans="1:8" x14ac:dyDescent="0.25">
      <c r="A16010" s="1"/>
      <c r="B16010" s="1" t="s">
        <v>5782</v>
      </c>
      <c r="C16010" s="1" t="s">
        <v>5783</v>
      </c>
      <c r="D16010" s="22" t="str">
        <f>HYPERLINK("https://rhld.insurance.arkansas.gov/NPILookup?Npi=1598052003","1598052003")</f>
        <v>1598052003</v>
      </c>
      <c r="E16010" s="1" t="s">
        <v>2202</v>
      </c>
      <c r="F16010" s="2"/>
      <c r="G16010" s="2"/>
      <c r="H16010" s="2"/>
    </row>
    <row r="16011" spans="1:8" x14ac:dyDescent="0.25">
      <c r="A16011" s="1"/>
      <c r="B16011" s="1" t="s">
        <v>5782</v>
      </c>
      <c r="C16011" s="1" t="s">
        <v>5783</v>
      </c>
      <c r="D16011" s="22" t="str">
        <f>HYPERLINK("https://rhld.insurance.arkansas.gov/NPILookup?Npi=1598069155","1598069155")</f>
        <v>1598069155</v>
      </c>
      <c r="E16011" s="1" t="s">
        <v>22688</v>
      </c>
      <c r="F16011" s="2"/>
      <c r="G16011" s="2"/>
      <c r="H16011" s="2"/>
    </row>
    <row r="16012" spans="1:8" x14ac:dyDescent="0.25">
      <c r="A16012" s="1"/>
      <c r="B16012" s="1" t="s">
        <v>5782</v>
      </c>
      <c r="C16012" s="1" t="s">
        <v>5783</v>
      </c>
      <c r="D16012" s="22" t="str">
        <f>HYPERLINK("https://rhld.insurance.arkansas.gov/NPILookup?Npi=1598088817","1598088817")</f>
        <v>1598088817</v>
      </c>
      <c r="E16012" s="1" t="s">
        <v>11928</v>
      </c>
      <c r="F16012" s="2"/>
      <c r="G16012" s="2"/>
      <c r="H16012" s="2"/>
    </row>
    <row r="16013" spans="1:8" x14ac:dyDescent="0.25">
      <c r="A16013" s="1"/>
      <c r="B16013" s="1" t="s">
        <v>5782</v>
      </c>
      <c r="C16013" s="1" t="s">
        <v>5783</v>
      </c>
      <c r="D16013" s="22" t="str">
        <f>HYPERLINK("https://rhld.insurance.arkansas.gov/NPILookup?Npi=1598095515","1598095515")</f>
        <v>1598095515</v>
      </c>
      <c r="E16013" s="1" t="s">
        <v>22689</v>
      </c>
      <c r="F16013" s="2"/>
      <c r="G16013" s="2"/>
      <c r="H16013" s="2"/>
    </row>
    <row r="16014" spans="1:8" x14ac:dyDescent="0.25">
      <c r="A16014" s="1"/>
      <c r="B16014" s="1" t="s">
        <v>5782</v>
      </c>
      <c r="C16014" s="1" t="s">
        <v>5783</v>
      </c>
      <c r="D16014" s="22" t="str">
        <f>HYPERLINK("https://rhld.insurance.arkansas.gov/NPILookup?Npi=1598103376","1598103376")</f>
        <v>1598103376</v>
      </c>
      <c r="E16014" s="1" t="s">
        <v>3320</v>
      </c>
      <c r="F16014" s="2"/>
      <c r="G16014" s="2"/>
      <c r="H16014" s="2"/>
    </row>
    <row r="16015" spans="1:8" x14ac:dyDescent="0.25">
      <c r="A16015" s="1"/>
      <c r="B16015" s="1" t="s">
        <v>5782</v>
      </c>
      <c r="C16015" s="1" t="s">
        <v>5783</v>
      </c>
      <c r="D16015" s="22" t="str">
        <f>HYPERLINK("https://rhld.insurance.arkansas.gov/NPILookup?Npi=1598121568","1598121568")</f>
        <v>1598121568</v>
      </c>
      <c r="E16015" s="1" t="s">
        <v>22690</v>
      </c>
      <c r="F16015" s="2"/>
      <c r="G16015" s="2"/>
      <c r="H16015" s="2"/>
    </row>
    <row r="16016" spans="1:8" x14ac:dyDescent="0.25">
      <c r="A16016" s="1"/>
      <c r="B16016" s="1" t="s">
        <v>5782</v>
      </c>
      <c r="C16016" s="1" t="s">
        <v>5783</v>
      </c>
      <c r="D16016" s="22" t="str">
        <f>HYPERLINK("https://rhld.insurance.arkansas.gov/NPILookup?Npi=1598124356","1598124356")</f>
        <v>1598124356</v>
      </c>
      <c r="E16016" s="1" t="s">
        <v>3321</v>
      </c>
      <c r="F16016" s="2"/>
      <c r="G16016" s="2"/>
      <c r="H16016" s="2"/>
    </row>
    <row r="16017" spans="1:8" x14ac:dyDescent="0.25">
      <c r="A16017" s="1"/>
      <c r="B16017" s="1" t="s">
        <v>5782</v>
      </c>
      <c r="C16017" s="1" t="s">
        <v>5783</v>
      </c>
      <c r="D16017" s="22" t="str">
        <f>HYPERLINK("https://rhld.insurance.arkansas.gov/NPILookup?Npi=1598128506","1598128506")</f>
        <v>1598128506</v>
      </c>
      <c r="E16017" s="1" t="s">
        <v>22691</v>
      </c>
      <c r="F16017" s="2"/>
      <c r="G16017" s="2"/>
      <c r="H16017" s="2"/>
    </row>
    <row r="16018" spans="1:8" x14ac:dyDescent="0.25">
      <c r="A16018" s="1"/>
      <c r="B16018" s="1" t="s">
        <v>5782</v>
      </c>
      <c r="C16018" s="1" t="s">
        <v>5783</v>
      </c>
      <c r="D16018" s="22" t="str">
        <f>HYPERLINK("https://rhld.insurance.arkansas.gov/NPILookup?Npi=1598143984","1598143984")</f>
        <v>1598143984</v>
      </c>
      <c r="E16018" s="1" t="s">
        <v>11929</v>
      </c>
      <c r="F16018" s="2"/>
      <c r="G16018" s="2"/>
      <c r="H16018" s="2"/>
    </row>
    <row r="16019" spans="1:8" x14ac:dyDescent="0.25">
      <c r="A16019" s="1"/>
      <c r="B16019" s="1" t="s">
        <v>5782</v>
      </c>
      <c r="C16019" s="1" t="s">
        <v>5783</v>
      </c>
      <c r="D16019" s="22" t="str">
        <f>HYPERLINK("https://rhld.insurance.arkansas.gov/NPILookup?Npi=1598144594","1598144594")</f>
        <v>1598144594</v>
      </c>
      <c r="E16019" s="1" t="s">
        <v>5396</v>
      </c>
      <c r="F16019" s="2"/>
      <c r="G16019" s="2"/>
      <c r="H16019" s="2"/>
    </row>
    <row r="16020" spans="1:8" x14ac:dyDescent="0.25">
      <c r="A16020" s="1"/>
      <c r="B16020" s="1" t="s">
        <v>5782</v>
      </c>
      <c r="C16020" s="1" t="s">
        <v>5783</v>
      </c>
      <c r="D16020" s="22" t="str">
        <f>HYPERLINK("https://rhld.insurance.arkansas.gov/NPILookup?Npi=1598144875","1598144875")</f>
        <v>1598144875</v>
      </c>
      <c r="E16020" s="1" t="s">
        <v>22692</v>
      </c>
      <c r="F16020" s="2"/>
      <c r="G16020" s="2"/>
      <c r="H16020" s="2"/>
    </row>
    <row r="16021" spans="1:8" x14ac:dyDescent="0.25">
      <c r="A16021" s="1"/>
      <c r="B16021" s="1" t="s">
        <v>5782</v>
      </c>
      <c r="C16021" s="1" t="s">
        <v>5783</v>
      </c>
      <c r="D16021" s="22" t="str">
        <f>HYPERLINK("https://rhld.insurance.arkansas.gov/NPILookup?Npi=1598151169","1598151169")</f>
        <v>1598151169</v>
      </c>
      <c r="E16021" s="1" t="s">
        <v>11930</v>
      </c>
      <c r="F16021" s="2"/>
      <c r="G16021" s="2"/>
      <c r="H16021" s="2"/>
    </row>
    <row r="16022" spans="1:8" x14ac:dyDescent="0.25">
      <c r="A16022" s="1"/>
      <c r="B16022" s="1" t="s">
        <v>5782</v>
      </c>
      <c r="C16022" s="1" t="s">
        <v>5783</v>
      </c>
      <c r="D16022" s="22" t="str">
        <f>HYPERLINK("https://rhld.insurance.arkansas.gov/NPILookup?Npi=1598167421","1598167421")</f>
        <v>1598167421</v>
      </c>
      <c r="E16022" s="1" t="s">
        <v>6446</v>
      </c>
      <c r="F16022" s="2"/>
      <c r="G16022" s="2"/>
      <c r="H16022" s="2"/>
    </row>
    <row r="16023" spans="1:8" x14ac:dyDescent="0.25">
      <c r="A16023" s="1"/>
      <c r="B16023" s="1" t="s">
        <v>5782</v>
      </c>
      <c r="C16023" s="1" t="s">
        <v>5783</v>
      </c>
      <c r="D16023" s="22" t="str">
        <f>HYPERLINK("https://rhld.insurance.arkansas.gov/NPILookup?Npi=1598178832","1598178832")</f>
        <v>1598178832</v>
      </c>
      <c r="E16023" s="1" t="s">
        <v>13996</v>
      </c>
      <c r="F16023" s="2"/>
      <c r="G16023" s="2"/>
      <c r="H16023" s="2"/>
    </row>
    <row r="16024" spans="1:8" x14ac:dyDescent="0.25">
      <c r="A16024" s="1"/>
      <c r="B16024" s="1" t="s">
        <v>5782</v>
      </c>
      <c r="C16024" s="1" t="s">
        <v>5783</v>
      </c>
      <c r="D16024" s="22" t="str">
        <f>HYPERLINK("https://rhld.insurance.arkansas.gov/NPILookup?Npi=1598206310","1598206310")</f>
        <v>1598206310</v>
      </c>
      <c r="E16024" s="1" t="s">
        <v>6447</v>
      </c>
      <c r="F16024" s="2"/>
      <c r="G16024" s="2"/>
      <c r="H16024" s="2"/>
    </row>
    <row r="16025" spans="1:8" x14ac:dyDescent="0.25">
      <c r="A16025" s="1"/>
      <c r="B16025" s="1" t="s">
        <v>5782</v>
      </c>
      <c r="C16025" s="1" t="s">
        <v>5783</v>
      </c>
      <c r="D16025" s="22" t="str">
        <f>HYPERLINK("https://rhld.insurance.arkansas.gov/NPILookup?Npi=1598222333","1598222333")</f>
        <v>1598222333</v>
      </c>
      <c r="E16025" s="1" t="s">
        <v>6448</v>
      </c>
      <c r="F16025" s="2"/>
      <c r="G16025" s="2"/>
      <c r="H16025" s="2"/>
    </row>
    <row r="16026" spans="1:8" x14ac:dyDescent="0.25">
      <c r="A16026" s="1"/>
      <c r="B16026" s="1" t="s">
        <v>5782</v>
      </c>
      <c r="C16026" s="1" t="s">
        <v>5783</v>
      </c>
      <c r="D16026" s="22" t="str">
        <f>HYPERLINK("https://rhld.insurance.arkansas.gov/NPILookup?Npi=1598222408","1598222408")</f>
        <v>1598222408</v>
      </c>
      <c r="E16026" s="1" t="s">
        <v>22693</v>
      </c>
      <c r="F16026" s="2"/>
      <c r="G16026" s="2"/>
      <c r="H16026" s="2"/>
    </row>
    <row r="16027" spans="1:8" x14ac:dyDescent="0.25">
      <c r="A16027" s="1"/>
      <c r="B16027" s="1" t="s">
        <v>5782</v>
      </c>
      <c r="C16027" s="1" t="s">
        <v>5783</v>
      </c>
      <c r="D16027" s="22" t="str">
        <f>HYPERLINK("https://rhld.insurance.arkansas.gov/NPILookup?Npi=1598228769","1598228769")</f>
        <v>1598228769</v>
      </c>
      <c r="E16027" s="1" t="s">
        <v>6450</v>
      </c>
      <c r="F16027" s="2"/>
      <c r="G16027" s="2"/>
      <c r="H16027" s="2"/>
    </row>
    <row r="16028" spans="1:8" x14ac:dyDescent="0.25">
      <c r="A16028" s="1"/>
      <c r="B16028" s="1" t="s">
        <v>5782</v>
      </c>
      <c r="C16028" s="1" t="s">
        <v>5783</v>
      </c>
      <c r="D16028" s="22" t="str">
        <f>HYPERLINK("https://rhld.insurance.arkansas.gov/NPILookup?Npi=1598259053","1598259053")</f>
        <v>1598259053</v>
      </c>
      <c r="E16028" s="1" t="s">
        <v>22694</v>
      </c>
      <c r="F16028" s="2"/>
      <c r="G16028" s="2"/>
      <c r="H16028" s="2"/>
    </row>
    <row r="16029" spans="1:8" x14ac:dyDescent="0.25">
      <c r="A16029" s="1"/>
      <c r="B16029" s="1" t="s">
        <v>5782</v>
      </c>
      <c r="C16029" s="1" t="s">
        <v>5783</v>
      </c>
      <c r="D16029" s="22" t="str">
        <f>HYPERLINK("https://rhld.insurance.arkansas.gov/NPILookup?Npi=1598276115","1598276115")</f>
        <v>1598276115</v>
      </c>
      <c r="E16029" s="1" t="s">
        <v>22695</v>
      </c>
      <c r="F16029" s="2"/>
      <c r="G16029" s="2"/>
      <c r="H16029" s="2"/>
    </row>
    <row r="16030" spans="1:8" x14ac:dyDescent="0.25">
      <c r="A16030" s="1"/>
      <c r="B16030" s="1" t="s">
        <v>5782</v>
      </c>
      <c r="C16030" s="1" t="s">
        <v>5783</v>
      </c>
      <c r="D16030" s="22" t="str">
        <f>HYPERLINK("https://rhld.insurance.arkansas.gov/NPILookup?Npi=1598283343","1598283343")</f>
        <v>1598283343</v>
      </c>
      <c r="E16030" s="1" t="s">
        <v>11931</v>
      </c>
      <c r="F16030" s="2"/>
      <c r="G16030" s="2"/>
      <c r="H16030" s="2"/>
    </row>
    <row r="16031" spans="1:8" x14ac:dyDescent="0.25">
      <c r="A16031" s="1"/>
      <c r="B16031" s="1" t="s">
        <v>5782</v>
      </c>
      <c r="C16031" s="1" t="s">
        <v>5783</v>
      </c>
      <c r="D16031" s="22" t="str">
        <f>HYPERLINK("https://rhld.insurance.arkansas.gov/NPILookup?Npi=1598293227","1598293227")</f>
        <v>1598293227</v>
      </c>
      <c r="E16031" s="1" t="s">
        <v>2530</v>
      </c>
      <c r="F16031" s="2"/>
      <c r="G16031" s="2"/>
      <c r="H16031" s="2"/>
    </row>
    <row r="16032" spans="1:8" x14ac:dyDescent="0.25">
      <c r="A16032" s="1"/>
      <c r="B16032" s="1" t="s">
        <v>5782</v>
      </c>
      <c r="C16032" s="1" t="s">
        <v>5783</v>
      </c>
      <c r="D16032" s="22" t="str">
        <f>HYPERLINK("https://rhld.insurance.arkansas.gov/NPILookup?Npi=1598294035","1598294035")</f>
        <v>1598294035</v>
      </c>
      <c r="E16032" s="1" t="s">
        <v>22696</v>
      </c>
      <c r="F16032" s="2"/>
      <c r="G16032" s="2"/>
      <c r="H16032" s="2"/>
    </row>
    <row r="16033" spans="1:8" x14ac:dyDescent="0.25">
      <c r="A16033" s="1"/>
      <c r="B16033" s="1" t="s">
        <v>5782</v>
      </c>
      <c r="C16033" s="1" t="s">
        <v>5783</v>
      </c>
      <c r="D16033" s="22" t="str">
        <f>HYPERLINK("https://rhld.insurance.arkansas.gov/NPILookup?Npi=1598295313","1598295313")</f>
        <v>1598295313</v>
      </c>
      <c r="E16033" s="1" t="s">
        <v>22697</v>
      </c>
      <c r="F16033" s="2"/>
      <c r="G16033" s="2"/>
      <c r="H16033" s="2"/>
    </row>
    <row r="16034" spans="1:8" x14ac:dyDescent="0.25">
      <c r="A16034" s="1"/>
      <c r="B16034" s="1" t="s">
        <v>5782</v>
      </c>
      <c r="C16034" s="1" t="s">
        <v>5783</v>
      </c>
      <c r="D16034" s="22" t="str">
        <f>HYPERLINK("https://rhld.insurance.arkansas.gov/NPILookup?Npi=1598319303","1598319303")</f>
        <v>1598319303</v>
      </c>
      <c r="E16034" s="1" t="s">
        <v>11932</v>
      </c>
      <c r="F16034" s="2"/>
      <c r="G16034" s="2"/>
      <c r="H16034" s="2"/>
    </row>
    <row r="16035" spans="1:8" x14ac:dyDescent="0.25">
      <c r="A16035" s="1"/>
      <c r="B16035" s="1" t="s">
        <v>5782</v>
      </c>
      <c r="C16035" s="1" t="s">
        <v>5783</v>
      </c>
      <c r="D16035" s="22" t="str">
        <f>HYPERLINK("https://rhld.insurance.arkansas.gov/NPILookup?Npi=1598319311","1598319311")</f>
        <v>1598319311</v>
      </c>
      <c r="E16035" s="1" t="s">
        <v>22698</v>
      </c>
      <c r="F16035" s="2"/>
      <c r="G16035" s="2"/>
      <c r="H16035" s="2"/>
    </row>
    <row r="16036" spans="1:8" x14ac:dyDescent="0.25">
      <c r="A16036" s="1"/>
      <c r="B16036" s="1" t="s">
        <v>5782</v>
      </c>
      <c r="C16036" s="1" t="s">
        <v>5783</v>
      </c>
      <c r="D16036" s="22" t="str">
        <f>HYPERLINK("https://rhld.insurance.arkansas.gov/NPILookup?Npi=1598321226","1598321226")</f>
        <v>1598321226</v>
      </c>
      <c r="E16036" s="1" t="s">
        <v>6451</v>
      </c>
      <c r="F16036" s="2"/>
      <c r="G16036" s="2"/>
      <c r="H16036" s="2"/>
    </row>
    <row r="16037" spans="1:8" x14ac:dyDescent="0.25">
      <c r="A16037" s="1"/>
      <c r="B16037" s="1" t="s">
        <v>5782</v>
      </c>
      <c r="C16037" s="1" t="s">
        <v>5783</v>
      </c>
      <c r="D16037" s="22" t="str">
        <f>HYPERLINK("https://rhld.insurance.arkansas.gov/NPILookup?Npi=1598324659","1598324659")</f>
        <v>1598324659</v>
      </c>
      <c r="E16037" s="1" t="s">
        <v>6452</v>
      </c>
      <c r="F16037" s="2"/>
      <c r="G16037" s="2"/>
      <c r="H16037" s="2"/>
    </row>
    <row r="16038" spans="1:8" x14ac:dyDescent="0.25">
      <c r="A16038" s="1"/>
      <c r="B16038" s="1" t="s">
        <v>5782</v>
      </c>
      <c r="C16038" s="1" t="s">
        <v>5783</v>
      </c>
      <c r="D16038" s="22" t="str">
        <f>HYPERLINK("https://rhld.insurance.arkansas.gov/NPILookup?Npi=1598328163","1598328163")</f>
        <v>1598328163</v>
      </c>
      <c r="E16038" s="1" t="s">
        <v>22699</v>
      </c>
      <c r="F16038" s="2"/>
      <c r="G16038" s="2"/>
      <c r="H16038" s="2"/>
    </row>
    <row r="16039" spans="1:8" x14ac:dyDescent="0.25">
      <c r="A16039" s="1"/>
      <c r="B16039" s="1" t="s">
        <v>5782</v>
      </c>
      <c r="C16039" s="1" t="s">
        <v>5783</v>
      </c>
      <c r="D16039" s="22" t="str">
        <f>HYPERLINK("https://rhld.insurance.arkansas.gov/NPILookup?Npi=1598333833","1598333833")</f>
        <v>1598333833</v>
      </c>
      <c r="E16039" s="1" t="s">
        <v>22700</v>
      </c>
      <c r="F16039" s="2"/>
      <c r="G16039" s="2"/>
      <c r="H16039" s="2"/>
    </row>
    <row r="16040" spans="1:8" x14ac:dyDescent="0.25">
      <c r="A16040" s="1"/>
      <c r="B16040" s="1" t="s">
        <v>5782</v>
      </c>
      <c r="C16040" s="1" t="s">
        <v>5783</v>
      </c>
      <c r="D16040" s="22" t="str">
        <f>HYPERLINK("https://rhld.insurance.arkansas.gov/NPILookup?Npi=1598338691","1598338691")</f>
        <v>1598338691</v>
      </c>
      <c r="E16040" s="1" t="s">
        <v>22701</v>
      </c>
      <c r="F16040" s="2"/>
      <c r="G16040" s="2"/>
      <c r="H16040" s="2"/>
    </row>
    <row r="16041" spans="1:8" x14ac:dyDescent="0.25">
      <c r="A16041" s="1"/>
      <c r="B16041" s="1" t="s">
        <v>5782</v>
      </c>
      <c r="C16041" s="1" t="s">
        <v>5783</v>
      </c>
      <c r="D16041" s="22" t="str">
        <f>HYPERLINK("https://rhld.insurance.arkansas.gov/NPILookup?Npi=1598354045","1598354045")</f>
        <v>1598354045</v>
      </c>
      <c r="E16041" s="1" t="s">
        <v>22702</v>
      </c>
      <c r="F16041" s="2"/>
      <c r="G16041" s="2"/>
      <c r="H16041" s="2"/>
    </row>
    <row r="16042" spans="1:8" x14ac:dyDescent="0.25">
      <c r="A16042" s="1"/>
      <c r="B16042" s="1" t="s">
        <v>5782</v>
      </c>
      <c r="C16042" s="1" t="s">
        <v>5783</v>
      </c>
      <c r="D16042" s="22" t="str">
        <f>HYPERLINK("https://rhld.insurance.arkansas.gov/NPILookup?Npi=1598391096","1598391096")</f>
        <v>1598391096</v>
      </c>
      <c r="E16042" s="1" t="s">
        <v>22703</v>
      </c>
      <c r="F16042" s="2"/>
      <c r="G16042" s="2"/>
      <c r="H16042" s="2"/>
    </row>
    <row r="16043" spans="1:8" x14ac:dyDescent="0.25">
      <c r="A16043" s="1"/>
      <c r="B16043" s="1" t="s">
        <v>5782</v>
      </c>
      <c r="C16043" s="1" t="s">
        <v>5783</v>
      </c>
      <c r="D16043" s="22" t="str">
        <f>HYPERLINK("https://rhld.insurance.arkansas.gov/NPILookup?Npi=1598397598","1598397598")</f>
        <v>1598397598</v>
      </c>
      <c r="E16043" s="1" t="s">
        <v>22704</v>
      </c>
      <c r="F16043" s="2"/>
      <c r="G16043" s="2"/>
      <c r="H16043" s="2"/>
    </row>
    <row r="16044" spans="1:8" x14ac:dyDescent="0.25">
      <c r="A16044" s="1"/>
      <c r="B16044" s="1" t="s">
        <v>5782</v>
      </c>
      <c r="C16044" s="1" t="s">
        <v>5783</v>
      </c>
      <c r="D16044" s="22" t="str">
        <f>HYPERLINK("https://rhld.insurance.arkansas.gov/NPILookup?Npi=1598399875","1598399875")</f>
        <v>1598399875</v>
      </c>
      <c r="E16044" s="1" t="s">
        <v>22705</v>
      </c>
      <c r="F16044" s="2"/>
      <c r="G16044" s="2"/>
      <c r="H16044" s="2"/>
    </row>
    <row r="16045" spans="1:8" x14ac:dyDescent="0.25">
      <c r="A16045" s="1"/>
      <c r="B16045" s="1" t="s">
        <v>5782</v>
      </c>
      <c r="C16045" s="1" t="s">
        <v>5783</v>
      </c>
      <c r="D16045" s="22" t="str">
        <f>HYPERLINK("https://rhld.insurance.arkansas.gov/NPILookup?Npi=1598417511","1598417511")</f>
        <v>1598417511</v>
      </c>
      <c r="E16045" s="1" t="s">
        <v>22706</v>
      </c>
      <c r="F16045" s="2"/>
      <c r="G16045" s="2"/>
      <c r="H16045" s="2"/>
    </row>
    <row r="16046" spans="1:8" x14ac:dyDescent="0.25">
      <c r="A16046" s="1"/>
      <c r="B16046" s="1" t="s">
        <v>5782</v>
      </c>
      <c r="C16046" s="1" t="s">
        <v>5783</v>
      </c>
      <c r="D16046" s="22" t="str">
        <f>HYPERLINK("https://rhld.insurance.arkansas.gov/NPILookup?Npi=1598458663","1598458663")</f>
        <v>1598458663</v>
      </c>
      <c r="E16046" s="1" t="s">
        <v>6260</v>
      </c>
      <c r="F16046" s="2"/>
      <c r="G16046" s="2"/>
      <c r="H16046" s="2"/>
    </row>
    <row r="16047" spans="1:8" x14ac:dyDescent="0.25">
      <c r="A16047" s="1"/>
      <c r="B16047" s="1" t="s">
        <v>5782</v>
      </c>
      <c r="C16047" s="1" t="s">
        <v>5783</v>
      </c>
      <c r="D16047" s="22" t="str">
        <f>HYPERLINK("https://rhld.insurance.arkansas.gov/NPILookup?Npi=1598487647","1598487647")</f>
        <v>1598487647</v>
      </c>
      <c r="E16047" s="1" t="s">
        <v>11933</v>
      </c>
      <c r="F16047" s="2"/>
      <c r="G16047" s="2"/>
      <c r="H16047" s="2"/>
    </row>
    <row r="16048" spans="1:8" x14ac:dyDescent="0.25">
      <c r="A16048" s="1"/>
      <c r="B16048" s="1" t="s">
        <v>5782</v>
      </c>
      <c r="C16048" s="1" t="s">
        <v>5783</v>
      </c>
      <c r="D16048" s="22" t="str">
        <f>HYPERLINK("https://rhld.insurance.arkansas.gov/NPILookup?Npi=1598505513","1598505513")</f>
        <v>1598505513</v>
      </c>
      <c r="E16048" s="1" t="s">
        <v>22707</v>
      </c>
      <c r="F16048" s="2"/>
      <c r="G16048" s="2"/>
      <c r="H16048" s="2"/>
    </row>
    <row r="16049" spans="1:8" x14ac:dyDescent="0.25">
      <c r="A16049" s="1"/>
      <c r="B16049" s="1" t="s">
        <v>5782</v>
      </c>
      <c r="C16049" s="1" t="s">
        <v>5783</v>
      </c>
      <c r="D16049" s="22" t="str">
        <f>HYPERLINK("https://rhld.insurance.arkansas.gov/NPILookup?Npi=1598730566","1598730566")</f>
        <v>1598730566</v>
      </c>
      <c r="E16049" s="1" t="s">
        <v>22708</v>
      </c>
      <c r="F16049" s="2"/>
      <c r="G16049" s="2"/>
      <c r="H16049" s="2"/>
    </row>
    <row r="16050" spans="1:8" x14ac:dyDescent="0.25">
      <c r="A16050" s="1"/>
      <c r="B16050" s="1" t="s">
        <v>5782</v>
      </c>
      <c r="C16050" s="1" t="s">
        <v>5783</v>
      </c>
      <c r="D16050" s="22" t="str">
        <f>HYPERLINK("https://rhld.insurance.arkansas.gov/NPILookup?Npi=1598737249","1598737249")</f>
        <v>1598737249</v>
      </c>
      <c r="E16050" s="1" t="s">
        <v>20320</v>
      </c>
      <c r="F16050" s="2"/>
      <c r="G16050" s="2"/>
      <c r="H16050" s="2"/>
    </row>
    <row r="16051" spans="1:8" x14ac:dyDescent="0.25">
      <c r="A16051" s="1"/>
      <c r="B16051" s="1" t="s">
        <v>5782</v>
      </c>
      <c r="C16051" s="1" t="s">
        <v>5783</v>
      </c>
      <c r="D16051" s="22" t="str">
        <f>HYPERLINK("https://rhld.insurance.arkansas.gov/NPILookup?Npi=1598742777","1598742777")</f>
        <v>1598742777</v>
      </c>
      <c r="E16051" s="1" t="s">
        <v>22709</v>
      </c>
      <c r="F16051" s="2"/>
      <c r="G16051" s="2"/>
      <c r="H16051" s="2"/>
    </row>
    <row r="16052" spans="1:8" x14ac:dyDescent="0.25">
      <c r="A16052" s="1"/>
      <c r="B16052" s="1" t="s">
        <v>5782</v>
      </c>
      <c r="C16052" s="1" t="s">
        <v>5783</v>
      </c>
      <c r="D16052" s="22" t="str">
        <f>HYPERLINK("https://rhld.insurance.arkansas.gov/NPILookup?Npi=1598816852","1598816852")</f>
        <v>1598816852</v>
      </c>
      <c r="E16052" s="1" t="s">
        <v>6453</v>
      </c>
      <c r="F16052" s="2"/>
      <c r="G16052" s="2"/>
      <c r="H16052" s="2"/>
    </row>
    <row r="16053" spans="1:8" x14ac:dyDescent="0.25">
      <c r="A16053" s="1"/>
      <c r="B16053" s="1" t="s">
        <v>5782</v>
      </c>
      <c r="C16053" s="1" t="s">
        <v>5783</v>
      </c>
      <c r="D16053" s="22" t="str">
        <f>HYPERLINK("https://rhld.insurance.arkansas.gov/NPILookup?Npi=1598821563","1598821563")</f>
        <v>1598821563</v>
      </c>
      <c r="E16053" s="1" t="s">
        <v>11934</v>
      </c>
      <c r="F16053" s="2"/>
      <c r="G16053" s="2"/>
      <c r="H16053" s="2"/>
    </row>
    <row r="16054" spans="1:8" x14ac:dyDescent="0.25">
      <c r="A16054" s="1"/>
      <c r="B16054" s="1" t="s">
        <v>5782</v>
      </c>
      <c r="C16054" s="1" t="s">
        <v>5783</v>
      </c>
      <c r="D16054" s="22" t="str">
        <f>HYPERLINK("https://rhld.insurance.arkansas.gov/NPILookup?Npi=1598839581","1598839581")</f>
        <v>1598839581</v>
      </c>
      <c r="E16054" s="1" t="s">
        <v>11935</v>
      </c>
      <c r="F16054" s="2"/>
      <c r="G16054" s="2"/>
      <c r="H16054" s="2"/>
    </row>
    <row r="16055" spans="1:8" x14ac:dyDescent="0.25">
      <c r="A16055" s="1"/>
      <c r="B16055" s="1" t="s">
        <v>5782</v>
      </c>
      <c r="C16055" s="1" t="s">
        <v>5783</v>
      </c>
      <c r="D16055" s="22" t="str">
        <f>HYPERLINK("https://rhld.insurance.arkansas.gov/NPILookup?Npi=1598851891","1598851891")</f>
        <v>1598851891</v>
      </c>
      <c r="E16055" s="1" t="s">
        <v>22710</v>
      </c>
      <c r="F16055" s="2"/>
      <c r="G16055" s="2"/>
      <c r="H16055" s="2"/>
    </row>
    <row r="16056" spans="1:8" x14ac:dyDescent="0.25">
      <c r="A16056" s="1"/>
      <c r="B16056" s="1" t="s">
        <v>5782</v>
      </c>
      <c r="C16056" s="1" t="s">
        <v>5783</v>
      </c>
      <c r="D16056" s="22" t="str">
        <f>HYPERLINK("https://rhld.insurance.arkansas.gov/NPILookup?Npi=1598859050","1598859050")</f>
        <v>1598859050</v>
      </c>
      <c r="E16056" s="1" t="s">
        <v>22711</v>
      </c>
      <c r="F16056" s="2"/>
      <c r="G16056" s="2"/>
      <c r="H16056" s="2"/>
    </row>
    <row r="16057" spans="1:8" x14ac:dyDescent="0.25">
      <c r="A16057" s="1"/>
      <c r="B16057" s="1" t="s">
        <v>5782</v>
      </c>
      <c r="C16057" s="1" t="s">
        <v>5783</v>
      </c>
      <c r="D16057" s="22" t="str">
        <f>HYPERLINK("https://rhld.insurance.arkansas.gov/NPILookup?Npi=1598941296","1598941296")</f>
        <v>1598941296</v>
      </c>
      <c r="E16057" s="1" t="s">
        <v>3323</v>
      </c>
      <c r="F16057" s="2"/>
      <c r="G16057" s="2"/>
      <c r="H16057" s="2"/>
    </row>
    <row r="16058" spans="1:8" x14ac:dyDescent="0.25">
      <c r="A16058" s="1"/>
      <c r="B16058" s="1" t="s">
        <v>5782</v>
      </c>
      <c r="C16058" s="1" t="s">
        <v>5783</v>
      </c>
      <c r="D16058" s="22" t="str">
        <f>HYPERLINK("https://rhld.insurance.arkansas.gov/NPILookup?Npi=1598954067","1598954067")</f>
        <v>1598954067</v>
      </c>
      <c r="E16058" s="1" t="s">
        <v>22712</v>
      </c>
      <c r="F16058" s="2"/>
      <c r="G16058" s="2"/>
      <c r="H16058" s="2"/>
    </row>
    <row r="16059" spans="1:8" x14ac:dyDescent="0.25">
      <c r="A16059" s="1"/>
      <c r="B16059" s="1" t="s">
        <v>5782</v>
      </c>
      <c r="C16059" s="1" t="s">
        <v>5783</v>
      </c>
      <c r="D16059" s="22" t="str">
        <f>HYPERLINK("https://rhld.insurance.arkansas.gov/NPILookup?Npi=1598960825","1598960825")</f>
        <v>1598960825</v>
      </c>
      <c r="E16059" s="1" t="s">
        <v>2872</v>
      </c>
      <c r="F16059" s="2"/>
      <c r="G16059" s="2"/>
      <c r="H16059" s="2"/>
    </row>
    <row r="16060" spans="1:8" x14ac:dyDescent="0.25">
      <c r="A16060" s="1"/>
      <c r="B16060" s="1" t="s">
        <v>5782</v>
      </c>
      <c r="C16060" s="1" t="s">
        <v>5783</v>
      </c>
      <c r="D16060" s="22" t="str">
        <f>HYPERLINK("https://rhld.insurance.arkansas.gov/NPILookup?Npi=1598980831","1598980831")</f>
        <v>1598980831</v>
      </c>
      <c r="E16060" s="1" t="s">
        <v>388</v>
      </c>
      <c r="F16060" s="2"/>
      <c r="G16060" s="2"/>
      <c r="H16060" s="2"/>
    </row>
    <row r="16061" spans="1:8" x14ac:dyDescent="0.25">
      <c r="A16061" s="1"/>
      <c r="B16061" s="1" t="s">
        <v>5782</v>
      </c>
      <c r="C16061" s="1" t="s">
        <v>5783</v>
      </c>
      <c r="D16061" s="22" t="str">
        <f>HYPERLINK("https://rhld.insurance.arkansas.gov/NPILookup?Npi=1609000298","1609000298")</f>
        <v>1609000298</v>
      </c>
      <c r="E16061" s="1" t="s">
        <v>6454</v>
      </c>
      <c r="F16061" s="2"/>
      <c r="G16061" s="2"/>
      <c r="H16061" s="2"/>
    </row>
    <row r="16062" spans="1:8" x14ac:dyDescent="0.25">
      <c r="A16062" s="1"/>
      <c r="B16062" s="1" t="s">
        <v>5782</v>
      </c>
      <c r="C16062" s="1" t="s">
        <v>5783</v>
      </c>
      <c r="D16062" s="22" t="str">
        <f>HYPERLINK("https://rhld.insurance.arkansas.gov/NPILookup?Npi=1609005156","1609005156")</f>
        <v>1609005156</v>
      </c>
      <c r="E16062" s="1" t="s">
        <v>414</v>
      </c>
      <c r="F16062" s="2"/>
      <c r="G16062" s="2"/>
      <c r="H16062" s="2"/>
    </row>
    <row r="16063" spans="1:8" x14ac:dyDescent="0.25">
      <c r="A16063" s="1"/>
      <c r="B16063" s="1" t="s">
        <v>5782</v>
      </c>
      <c r="C16063" s="1" t="s">
        <v>5783</v>
      </c>
      <c r="D16063" s="22" t="str">
        <f>HYPERLINK("https://rhld.insurance.arkansas.gov/NPILookup?Npi=1609011477","1609011477")</f>
        <v>1609011477</v>
      </c>
      <c r="E16063" s="1" t="s">
        <v>22713</v>
      </c>
      <c r="F16063" s="2"/>
      <c r="G16063" s="2"/>
      <c r="H16063" s="2"/>
    </row>
    <row r="16064" spans="1:8" x14ac:dyDescent="0.25">
      <c r="A16064" s="1"/>
      <c r="B16064" s="1" t="s">
        <v>5782</v>
      </c>
      <c r="C16064" s="1" t="s">
        <v>5783</v>
      </c>
      <c r="D16064" s="22" t="str">
        <f>HYPERLINK("https://rhld.insurance.arkansas.gov/NPILookup?Npi=1609037423","1609037423")</f>
        <v>1609037423</v>
      </c>
      <c r="E16064" s="1" t="s">
        <v>22714</v>
      </c>
      <c r="F16064" s="2"/>
      <c r="G16064" s="2"/>
      <c r="H16064" s="2"/>
    </row>
    <row r="16065" spans="1:8" x14ac:dyDescent="0.25">
      <c r="A16065" s="1"/>
      <c r="B16065" s="1" t="s">
        <v>5782</v>
      </c>
      <c r="C16065" s="1" t="s">
        <v>5783</v>
      </c>
      <c r="D16065" s="22" t="str">
        <f>HYPERLINK("https://rhld.insurance.arkansas.gov/NPILookup?Npi=1609043041","1609043041")</f>
        <v>1609043041</v>
      </c>
      <c r="E16065" s="1" t="s">
        <v>22715</v>
      </c>
      <c r="F16065" s="2"/>
      <c r="G16065" s="2"/>
      <c r="H16065" s="2"/>
    </row>
    <row r="16066" spans="1:8" x14ac:dyDescent="0.25">
      <c r="A16066" s="1"/>
      <c r="B16066" s="1" t="s">
        <v>5782</v>
      </c>
      <c r="C16066" s="1" t="s">
        <v>5783</v>
      </c>
      <c r="D16066" s="22" t="str">
        <f>HYPERLINK("https://rhld.insurance.arkansas.gov/NPILookup?Npi=1609043967","1609043967")</f>
        <v>1609043967</v>
      </c>
      <c r="E16066" s="1" t="s">
        <v>22716</v>
      </c>
      <c r="F16066" s="2"/>
      <c r="G16066" s="2"/>
      <c r="H16066" s="2"/>
    </row>
    <row r="16067" spans="1:8" x14ac:dyDescent="0.25">
      <c r="A16067" s="1"/>
      <c r="B16067" s="1" t="s">
        <v>5782</v>
      </c>
      <c r="C16067" s="1" t="s">
        <v>5783</v>
      </c>
      <c r="D16067" s="22" t="str">
        <f>HYPERLINK("https://rhld.insurance.arkansas.gov/NPILookup?Npi=1609052596","1609052596")</f>
        <v>1609052596</v>
      </c>
      <c r="E16067" s="1" t="s">
        <v>6455</v>
      </c>
      <c r="F16067" s="2"/>
      <c r="G16067" s="2"/>
      <c r="H16067" s="2"/>
    </row>
    <row r="16068" spans="1:8" x14ac:dyDescent="0.25">
      <c r="A16068" s="1"/>
      <c r="B16068" s="1" t="s">
        <v>5782</v>
      </c>
      <c r="C16068" s="1" t="s">
        <v>5783</v>
      </c>
      <c r="D16068" s="22" t="str">
        <f>HYPERLINK("https://rhld.insurance.arkansas.gov/NPILookup?Npi=1609072057","1609072057")</f>
        <v>1609072057</v>
      </c>
      <c r="E16068" s="1" t="s">
        <v>22717</v>
      </c>
      <c r="F16068" s="2"/>
      <c r="G16068" s="2"/>
      <c r="H16068" s="2"/>
    </row>
    <row r="16069" spans="1:8" x14ac:dyDescent="0.25">
      <c r="A16069" s="1"/>
      <c r="B16069" s="1" t="s">
        <v>5782</v>
      </c>
      <c r="C16069" s="1" t="s">
        <v>5783</v>
      </c>
      <c r="D16069" s="22" t="str">
        <f>HYPERLINK("https://rhld.insurance.arkansas.gov/NPILookup?Npi=1609082031","1609082031")</f>
        <v>1609082031</v>
      </c>
      <c r="E16069" s="1" t="s">
        <v>1876</v>
      </c>
      <c r="F16069" s="2"/>
      <c r="G16069" s="2"/>
      <c r="H16069" s="2"/>
    </row>
    <row r="16070" spans="1:8" x14ac:dyDescent="0.25">
      <c r="A16070" s="1"/>
      <c r="B16070" s="1" t="s">
        <v>5782</v>
      </c>
      <c r="C16070" s="1" t="s">
        <v>5783</v>
      </c>
      <c r="D16070" s="22" t="str">
        <f>HYPERLINK("https://rhld.insurance.arkansas.gov/NPILookup?Npi=1609088574","1609088574")</f>
        <v>1609088574</v>
      </c>
      <c r="E16070" s="1" t="s">
        <v>6456</v>
      </c>
      <c r="F16070" s="2"/>
      <c r="G16070" s="2"/>
      <c r="H16070" s="2"/>
    </row>
    <row r="16071" spans="1:8" x14ac:dyDescent="0.25">
      <c r="A16071" s="1"/>
      <c r="B16071" s="1" t="s">
        <v>5782</v>
      </c>
      <c r="C16071" s="1" t="s">
        <v>5783</v>
      </c>
      <c r="D16071" s="22" t="str">
        <f>HYPERLINK("https://rhld.insurance.arkansas.gov/NPILookup?Npi=1609164730","1609164730")</f>
        <v>1609164730</v>
      </c>
      <c r="E16071" s="1" t="s">
        <v>11936</v>
      </c>
      <c r="F16071" s="2"/>
      <c r="G16071" s="2"/>
      <c r="H16071" s="2"/>
    </row>
    <row r="16072" spans="1:8" x14ac:dyDescent="0.25">
      <c r="A16072" s="1"/>
      <c r="B16072" s="1" t="s">
        <v>5782</v>
      </c>
      <c r="C16072" s="1" t="s">
        <v>5783</v>
      </c>
      <c r="D16072" s="22" t="str">
        <f>HYPERLINK("https://rhld.insurance.arkansas.gov/NPILookup?Npi=1609166842","1609166842")</f>
        <v>1609166842</v>
      </c>
      <c r="E16072" s="1" t="s">
        <v>6457</v>
      </c>
      <c r="F16072" s="2"/>
      <c r="G16072" s="2"/>
      <c r="H16072" s="2"/>
    </row>
    <row r="16073" spans="1:8" x14ac:dyDescent="0.25">
      <c r="A16073" s="1"/>
      <c r="B16073" s="1" t="s">
        <v>5782</v>
      </c>
      <c r="C16073" s="1" t="s">
        <v>5783</v>
      </c>
      <c r="D16073" s="22" t="str">
        <f>HYPERLINK("https://rhld.insurance.arkansas.gov/NPILookup?Npi=1609174283","1609174283")</f>
        <v>1609174283</v>
      </c>
      <c r="E16073" s="1" t="s">
        <v>22718</v>
      </c>
      <c r="F16073" s="2"/>
      <c r="G16073" s="2"/>
      <c r="H16073" s="2"/>
    </row>
    <row r="16074" spans="1:8" x14ac:dyDescent="0.25">
      <c r="A16074" s="1"/>
      <c r="B16074" s="1" t="s">
        <v>5782</v>
      </c>
      <c r="C16074" s="1" t="s">
        <v>5783</v>
      </c>
      <c r="D16074" s="22" t="str">
        <f>HYPERLINK("https://rhld.insurance.arkansas.gov/NPILookup?Npi=1609194455","1609194455")</f>
        <v>1609194455</v>
      </c>
      <c r="E16074" s="1" t="s">
        <v>11937</v>
      </c>
      <c r="F16074" s="2"/>
      <c r="G16074" s="2"/>
      <c r="H16074" s="2"/>
    </row>
    <row r="16075" spans="1:8" x14ac:dyDescent="0.25">
      <c r="A16075" s="1"/>
      <c r="B16075" s="1" t="s">
        <v>5782</v>
      </c>
      <c r="C16075" s="1" t="s">
        <v>5783</v>
      </c>
      <c r="D16075" s="22" t="str">
        <f>HYPERLINK("https://rhld.insurance.arkansas.gov/NPILookup?Npi=1609197698","1609197698")</f>
        <v>1609197698</v>
      </c>
      <c r="E16075" s="1" t="s">
        <v>22719</v>
      </c>
      <c r="F16075" s="2"/>
      <c r="G16075" s="2"/>
      <c r="H16075" s="2"/>
    </row>
    <row r="16076" spans="1:8" x14ac:dyDescent="0.25">
      <c r="A16076" s="1"/>
      <c r="B16076" s="1" t="s">
        <v>5782</v>
      </c>
      <c r="C16076" s="1" t="s">
        <v>5783</v>
      </c>
      <c r="D16076" s="22" t="str">
        <f>HYPERLINK("https://rhld.insurance.arkansas.gov/NPILookup?Npi=1609218239","1609218239")</f>
        <v>1609218239</v>
      </c>
      <c r="E16076" s="1" t="s">
        <v>6458</v>
      </c>
      <c r="F16076" s="2"/>
      <c r="G16076" s="2"/>
      <c r="H16076" s="2"/>
    </row>
    <row r="16077" spans="1:8" x14ac:dyDescent="0.25">
      <c r="A16077" s="1"/>
      <c r="B16077" s="1" t="s">
        <v>5782</v>
      </c>
      <c r="C16077" s="1" t="s">
        <v>5783</v>
      </c>
      <c r="D16077" s="22" t="str">
        <f>HYPERLINK("https://rhld.insurance.arkansas.gov/NPILookup?Npi=1609240829","1609240829")</f>
        <v>1609240829</v>
      </c>
      <c r="E16077" s="1" t="s">
        <v>6459</v>
      </c>
      <c r="F16077" s="2"/>
      <c r="G16077" s="2"/>
      <c r="H16077" s="2"/>
    </row>
    <row r="16078" spans="1:8" x14ac:dyDescent="0.25">
      <c r="A16078" s="1"/>
      <c r="B16078" s="1" t="s">
        <v>5782</v>
      </c>
      <c r="C16078" s="1" t="s">
        <v>5783</v>
      </c>
      <c r="D16078" s="22" t="str">
        <f>HYPERLINK("https://rhld.insurance.arkansas.gov/NPILookup?Npi=1609246073","1609246073")</f>
        <v>1609246073</v>
      </c>
      <c r="E16078" s="1" t="s">
        <v>22721</v>
      </c>
      <c r="F16078" s="2"/>
      <c r="G16078" s="2"/>
      <c r="H16078" s="2"/>
    </row>
    <row r="16079" spans="1:8" x14ac:dyDescent="0.25">
      <c r="A16079" s="1"/>
      <c r="B16079" s="1" t="s">
        <v>5782</v>
      </c>
      <c r="C16079" s="1" t="s">
        <v>5783</v>
      </c>
      <c r="D16079" s="22" t="str">
        <f>HYPERLINK("https://rhld.insurance.arkansas.gov/NPILookup?Npi=1609248236","1609248236")</f>
        <v>1609248236</v>
      </c>
      <c r="E16079" s="1" t="s">
        <v>11939</v>
      </c>
      <c r="F16079" s="2"/>
      <c r="G16079" s="2"/>
      <c r="H16079" s="2"/>
    </row>
    <row r="16080" spans="1:8" x14ac:dyDescent="0.25">
      <c r="A16080" s="1"/>
      <c r="B16080" s="1" t="s">
        <v>5782</v>
      </c>
      <c r="C16080" s="1" t="s">
        <v>5783</v>
      </c>
      <c r="D16080" s="22" t="str">
        <f>HYPERLINK("https://rhld.insurance.arkansas.gov/NPILookup?Npi=1609254515","1609254515")</f>
        <v>1609254515</v>
      </c>
      <c r="E16080" s="1" t="s">
        <v>11440</v>
      </c>
      <c r="F16080" s="2"/>
      <c r="G16080" s="2"/>
      <c r="H16080" s="2"/>
    </row>
    <row r="16081" spans="1:8" x14ac:dyDescent="0.25">
      <c r="A16081" s="1"/>
      <c r="B16081" s="1" t="s">
        <v>5782</v>
      </c>
      <c r="C16081" s="1" t="s">
        <v>5783</v>
      </c>
      <c r="D16081" s="22" t="str">
        <f>HYPERLINK("https://rhld.insurance.arkansas.gov/NPILookup?Npi=1609257138","1609257138")</f>
        <v>1609257138</v>
      </c>
      <c r="E16081" s="1" t="s">
        <v>171</v>
      </c>
      <c r="F16081" s="2"/>
      <c r="G16081" s="2"/>
      <c r="H16081" s="2"/>
    </row>
    <row r="16082" spans="1:8" x14ac:dyDescent="0.25">
      <c r="A16082" s="1"/>
      <c r="B16082" s="1" t="s">
        <v>5782</v>
      </c>
      <c r="C16082" s="1" t="s">
        <v>5783</v>
      </c>
      <c r="D16082" s="22" t="str">
        <f>HYPERLINK("https://rhld.insurance.arkansas.gov/NPILookup?Npi=1609305929","1609305929")</f>
        <v>1609305929</v>
      </c>
      <c r="E16082" s="1" t="s">
        <v>2390</v>
      </c>
      <c r="F16082" s="2"/>
      <c r="G16082" s="2"/>
      <c r="H16082" s="2"/>
    </row>
    <row r="16083" spans="1:8" x14ac:dyDescent="0.25">
      <c r="A16083" s="1"/>
      <c r="B16083" s="1" t="s">
        <v>5782</v>
      </c>
      <c r="C16083" s="1" t="s">
        <v>5783</v>
      </c>
      <c r="D16083" s="22" t="str">
        <f>HYPERLINK("https://rhld.insurance.arkansas.gov/NPILookup?Npi=1609312057","1609312057")</f>
        <v>1609312057</v>
      </c>
      <c r="E16083" s="1" t="s">
        <v>22722</v>
      </c>
      <c r="F16083" s="2"/>
      <c r="G16083" s="2"/>
      <c r="H16083" s="2"/>
    </row>
    <row r="16084" spans="1:8" x14ac:dyDescent="0.25">
      <c r="A16084" s="1"/>
      <c r="B16084" s="1" t="s">
        <v>5782</v>
      </c>
      <c r="C16084" s="1" t="s">
        <v>5783</v>
      </c>
      <c r="D16084" s="22" t="str">
        <f>HYPERLINK("https://rhld.insurance.arkansas.gov/NPILookup?Npi=1609319565","1609319565")</f>
        <v>1609319565</v>
      </c>
      <c r="E16084" s="1" t="s">
        <v>22723</v>
      </c>
      <c r="F16084" s="2"/>
      <c r="G16084" s="2"/>
      <c r="H16084" s="2"/>
    </row>
    <row r="16085" spans="1:8" x14ac:dyDescent="0.25">
      <c r="A16085" s="1"/>
      <c r="B16085" s="1" t="s">
        <v>5782</v>
      </c>
      <c r="C16085" s="1" t="s">
        <v>5783</v>
      </c>
      <c r="D16085" s="22" t="str">
        <f>HYPERLINK("https://rhld.insurance.arkansas.gov/NPILookup?Npi=1609336619","1609336619")</f>
        <v>1609336619</v>
      </c>
      <c r="E16085" s="1" t="s">
        <v>22724</v>
      </c>
      <c r="F16085" s="2"/>
      <c r="G16085" s="2"/>
      <c r="H16085" s="2"/>
    </row>
    <row r="16086" spans="1:8" x14ac:dyDescent="0.25">
      <c r="A16086" s="1"/>
      <c r="B16086" s="1" t="s">
        <v>5782</v>
      </c>
      <c r="C16086" s="1" t="s">
        <v>5783</v>
      </c>
      <c r="D16086" s="22" t="str">
        <f>HYPERLINK("https://rhld.insurance.arkansas.gov/NPILookup?Npi=1609376706","1609376706")</f>
        <v>1609376706</v>
      </c>
      <c r="E16086" s="1" t="s">
        <v>22725</v>
      </c>
      <c r="F16086" s="2"/>
      <c r="G16086" s="2"/>
      <c r="H16086" s="2"/>
    </row>
    <row r="16087" spans="1:8" x14ac:dyDescent="0.25">
      <c r="A16087" s="1"/>
      <c r="B16087" s="1" t="s">
        <v>5782</v>
      </c>
      <c r="C16087" s="1" t="s">
        <v>5783</v>
      </c>
      <c r="D16087" s="22" t="str">
        <f>HYPERLINK("https://rhld.insurance.arkansas.gov/NPILookup?Npi=1609383082","1609383082")</f>
        <v>1609383082</v>
      </c>
      <c r="E16087" s="1" t="s">
        <v>22726</v>
      </c>
      <c r="F16087" s="2"/>
      <c r="G16087" s="2"/>
      <c r="H16087" s="2"/>
    </row>
    <row r="16088" spans="1:8" x14ac:dyDescent="0.25">
      <c r="A16088" s="1"/>
      <c r="B16088" s="1" t="s">
        <v>5782</v>
      </c>
      <c r="C16088" s="1" t="s">
        <v>5783</v>
      </c>
      <c r="D16088" s="22" t="str">
        <f>HYPERLINK("https://rhld.insurance.arkansas.gov/NPILookup?Npi=1609385657","1609385657")</f>
        <v>1609385657</v>
      </c>
      <c r="E16088" s="1" t="s">
        <v>22727</v>
      </c>
      <c r="F16088" s="2"/>
      <c r="G16088" s="2"/>
      <c r="H16088" s="2"/>
    </row>
    <row r="16089" spans="1:8" x14ac:dyDescent="0.25">
      <c r="A16089" s="1"/>
      <c r="B16089" s="1" t="s">
        <v>5782</v>
      </c>
      <c r="C16089" s="1" t="s">
        <v>5783</v>
      </c>
      <c r="D16089" s="22" t="str">
        <f>HYPERLINK("https://rhld.insurance.arkansas.gov/NPILookup?Npi=1609404599","1609404599")</f>
        <v>1609404599</v>
      </c>
      <c r="E16089" s="1" t="s">
        <v>6460</v>
      </c>
      <c r="F16089" s="2"/>
      <c r="G16089" s="2"/>
      <c r="H16089" s="2"/>
    </row>
    <row r="16090" spans="1:8" x14ac:dyDescent="0.25">
      <c r="A16090" s="1"/>
      <c r="B16090" s="1" t="s">
        <v>5782</v>
      </c>
      <c r="C16090" s="1" t="s">
        <v>5783</v>
      </c>
      <c r="D16090" s="22" t="str">
        <f>HYPERLINK("https://rhld.insurance.arkansas.gov/NPILookup?Npi=1609404912","1609404912")</f>
        <v>1609404912</v>
      </c>
      <c r="E16090" s="1" t="s">
        <v>6461</v>
      </c>
      <c r="F16090" s="2"/>
      <c r="G16090" s="2"/>
      <c r="H16090" s="2"/>
    </row>
    <row r="16091" spans="1:8" x14ac:dyDescent="0.25">
      <c r="A16091" s="1"/>
      <c r="B16091" s="1" t="s">
        <v>5782</v>
      </c>
      <c r="C16091" s="1" t="s">
        <v>5783</v>
      </c>
      <c r="D16091" s="22" t="str">
        <f>HYPERLINK("https://rhld.insurance.arkansas.gov/NPILookup?Npi=1609408103","1609408103")</f>
        <v>1609408103</v>
      </c>
      <c r="E16091" s="1" t="s">
        <v>17889</v>
      </c>
      <c r="F16091" s="2"/>
      <c r="G16091" s="2"/>
      <c r="H16091" s="2"/>
    </row>
    <row r="16092" spans="1:8" x14ac:dyDescent="0.25">
      <c r="A16092" s="1"/>
      <c r="B16092" s="1" t="s">
        <v>5782</v>
      </c>
      <c r="C16092" s="1" t="s">
        <v>5783</v>
      </c>
      <c r="D16092" s="22" t="str">
        <f>HYPERLINK("https://rhld.insurance.arkansas.gov/NPILookup?Npi=1609413111","1609413111")</f>
        <v>1609413111</v>
      </c>
      <c r="E16092" s="1" t="s">
        <v>3439</v>
      </c>
      <c r="F16092" s="2"/>
      <c r="G16092" s="2"/>
      <c r="H16092" s="2"/>
    </row>
    <row r="16093" spans="1:8" x14ac:dyDescent="0.25">
      <c r="A16093" s="1"/>
      <c r="B16093" s="1" t="s">
        <v>5782</v>
      </c>
      <c r="C16093" s="1" t="s">
        <v>5783</v>
      </c>
      <c r="D16093" s="22" t="str">
        <f>HYPERLINK("https://rhld.insurance.arkansas.gov/NPILookup?Npi=1609416122","1609416122")</f>
        <v>1609416122</v>
      </c>
      <c r="E16093" s="1" t="s">
        <v>6462</v>
      </c>
      <c r="F16093" s="2"/>
      <c r="G16093" s="2"/>
      <c r="H16093" s="2"/>
    </row>
    <row r="16094" spans="1:8" x14ac:dyDescent="0.25">
      <c r="A16094" s="1"/>
      <c r="B16094" s="1" t="s">
        <v>5782</v>
      </c>
      <c r="C16094" s="1" t="s">
        <v>5783</v>
      </c>
      <c r="D16094" s="22" t="str">
        <f>HYPERLINK("https://rhld.insurance.arkansas.gov/NPILookup?Npi=1609416619","1609416619")</f>
        <v>1609416619</v>
      </c>
      <c r="E16094" s="1" t="s">
        <v>6463</v>
      </c>
      <c r="F16094" s="2"/>
      <c r="G16094" s="2"/>
      <c r="H16094" s="2"/>
    </row>
    <row r="16095" spans="1:8" x14ac:dyDescent="0.25">
      <c r="A16095" s="1"/>
      <c r="B16095" s="1" t="s">
        <v>5782</v>
      </c>
      <c r="C16095" s="1" t="s">
        <v>5783</v>
      </c>
      <c r="D16095" s="22" t="str">
        <f>HYPERLINK("https://rhld.insurance.arkansas.gov/NPILookup?Npi=1609423292","1609423292")</f>
        <v>1609423292</v>
      </c>
      <c r="E16095" s="1" t="s">
        <v>22728</v>
      </c>
      <c r="F16095" s="2"/>
      <c r="G16095" s="2"/>
      <c r="H16095" s="2"/>
    </row>
    <row r="16096" spans="1:8" x14ac:dyDescent="0.25">
      <c r="A16096" s="1"/>
      <c r="B16096" s="1" t="s">
        <v>5782</v>
      </c>
      <c r="C16096" s="1" t="s">
        <v>5783</v>
      </c>
      <c r="D16096" s="22" t="str">
        <f>HYPERLINK("https://rhld.insurance.arkansas.gov/NPILookup?Npi=1609438878","1609438878")</f>
        <v>1609438878</v>
      </c>
      <c r="E16096" s="1" t="s">
        <v>22729</v>
      </c>
      <c r="F16096" s="2"/>
      <c r="G16096" s="2"/>
      <c r="H16096" s="2"/>
    </row>
    <row r="16097" spans="1:8" x14ac:dyDescent="0.25">
      <c r="A16097" s="1"/>
      <c r="B16097" s="1" t="s">
        <v>5782</v>
      </c>
      <c r="C16097" s="1" t="s">
        <v>5783</v>
      </c>
      <c r="D16097" s="22" t="str">
        <f>HYPERLINK("https://rhld.insurance.arkansas.gov/NPILookup?Npi=1609445246","1609445246")</f>
        <v>1609445246</v>
      </c>
      <c r="E16097" s="1" t="s">
        <v>22730</v>
      </c>
      <c r="F16097" s="2"/>
      <c r="G16097" s="2"/>
      <c r="H16097" s="2"/>
    </row>
    <row r="16098" spans="1:8" x14ac:dyDescent="0.25">
      <c r="A16098" s="1"/>
      <c r="B16098" s="1" t="s">
        <v>5782</v>
      </c>
      <c r="C16098" s="1" t="s">
        <v>5783</v>
      </c>
      <c r="D16098" s="22" t="str">
        <f>HYPERLINK("https://rhld.insurance.arkansas.gov/NPILookup?Npi=1609458876","1609458876")</f>
        <v>1609458876</v>
      </c>
      <c r="E16098" s="1" t="s">
        <v>22731</v>
      </c>
      <c r="F16098" s="2"/>
      <c r="G16098" s="2"/>
      <c r="H16098" s="2"/>
    </row>
    <row r="16099" spans="1:8" x14ac:dyDescent="0.25">
      <c r="A16099" s="1"/>
      <c r="B16099" s="1" t="s">
        <v>5782</v>
      </c>
      <c r="C16099" s="1" t="s">
        <v>5783</v>
      </c>
      <c r="D16099" s="22" t="str">
        <f>HYPERLINK("https://rhld.insurance.arkansas.gov/NPILookup?Npi=1609489400","1609489400")</f>
        <v>1609489400</v>
      </c>
      <c r="E16099" s="1" t="s">
        <v>6465</v>
      </c>
      <c r="F16099" s="2"/>
      <c r="G16099" s="2"/>
      <c r="H16099" s="2"/>
    </row>
    <row r="16100" spans="1:8" x14ac:dyDescent="0.25">
      <c r="A16100" s="1"/>
      <c r="B16100" s="1" t="s">
        <v>5782</v>
      </c>
      <c r="C16100" s="1" t="s">
        <v>5783</v>
      </c>
      <c r="D16100" s="22" t="str">
        <f>HYPERLINK("https://rhld.insurance.arkansas.gov/NPILookup?Npi=1609512383","1609512383")</f>
        <v>1609512383</v>
      </c>
      <c r="E16100" s="1" t="s">
        <v>6272</v>
      </c>
      <c r="F16100" s="2"/>
      <c r="G16100" s="2"/>
      <c r="H16100" s="2"/>
    </row>
    <row r="16101" spans="1:8" x14ac:dyDescent="0.25">
      <c r="A16101" s="1"/>
      <c r="B16101" s="1" t="s">
        <v>5782</v>
      </c>
      <c r="C16101" s="1" t="s">
        <v>5783</v>
      </c>
      <c r="D16101" s="22" t="str">
        <f>HYPERLINK("https://rhld.insurance.arkansas.gov/NPILookup?Npi=1609527456","1609527456")</f>
        <v>1609527456</v>
      </c>
      <c r="E16101" s="1" t="s">
        <v>22732</v>
      </c>
      <c r="F16101" s="2"/>
      <c r="G16101" s="2"/>
      <c r="H16101" s="2"/>
    </row>
    <row r="16102" spans="1:8" x14ac:dyDescent="0.25">
      <c r="A16102" s="1"/>
      <c r="B16102" s="1" t="s">
        <v>5782</v>
      </c>
      <c r="C16102" s="1" t="s">
        <v>5783</v>
      </c>
      <c r="D16102" s="22" t="str">
        <f>HYPERLINK("https://rhld.insurance.arkansas.gov/NPILookup?Npi=1609541606","1609541606")</f>
        <v>1609541606</v>
      </c>
      <c r="E16102" s="1" t="s">
        <v>22733</v>
      </c>
      <c r="F16102" s="2"/>
      <c r="G16102" s="2"/>
      <c r="H16102" s="2"/>
    </row>
    <row r="16103" spans="1:8" x14ac:dyDescent="0.25">
      <c r="A16103" s="1"/>
      <c r="B16103" s="1" t="s">
        <v>5782</v>
      </c>
      <c r="C16103" s="1" t="s">
        <v>5783</v>
      </c>
      <c r="D16103" s="22" t="str">
        <f>HYPERLINK("https://rhld.insurance.arkansas.gov/NPILookup?Npi=1609545789","1609545789")</f>
        <v>1609545789</v>
      </c>
      <c r="E16103" s="1" t="s">
        <v>22734</v>
      </c>
      <c r="F16103" s="2"/>
      <c r="G16103" s="2"/>
      <c r="H16103" s="2"/>
    </row>
    <row r="16104" spans="1:8" x14ac:dyDescent="0.25">
      <c r="A16104" s="1"/>
      <c r="B16104" s="1" t="s">
        <v>5782</v>
      </c>
      <c r="C16104" s="1" t="s">
        <v>5783</v>
      </c>
      <c r="D16104" s="22" t="str">
        <f>HYPERLINK("https://rhld.insurance.arkansas.gov/NPILookup?Npi=1609559137","1609559137")</f>
        <v>1609559137</v>
      </c>
      <c r="E16104" s="1" t="s">
        <v>22735</v>
      </c>
      <c r="F16104" s="2"/>
      <c r="G16104" s="2"/>
      <c r="H16104" s="2"/>
    </row>
    <row r="16105" spans="1:8" x14ac:dyDescent="0.25">
      <c r="A16105" s="1"/>
      <c r="B16105" s="1" t="s">
        <v>5782</v>
      </c>
      <c r="C16105" s="1" t="s">
        <v>5783</v>
      </c>
      <c r="D16105" s="22" t="str">
        <f>HYPERLINK("https://rhld.insurance.arkansas.gov/NPILookup?Npi=1609594191","1609594191")</f>
        <v>1609594191</v>
      </c>
      <c r="E16105" s="1" t="s">
        <v>6467</v>
      </c>
      <c r="F16105" s="2"/>
      <c r="G16105" s="2"/>
      <c r="H16105" s="2"/>
    </row>
    <row r="16106" spans="1:8" x14ac:dyDescent="0.25">
      <c r="A16106" s="1"/>
      <c r="B16106" s="1" t="s">
        <v>5782</v>
      </c>
      <c r="C16106" s="1" t="s">
        <v>5783</v>
      </c>
      <c r="D16106" s="22" t="str">
        <f>HYPERLINK("https://rhld.insurance.arkansas.gov/NPILookup?Npi=1609594480","1609594480")</f>
        <v>1609594480</v>
      </c>
      <c r="E16106" s="1" t="s">
        <v>22736</v>
      </c>
      <c r="F16106" s="2"/>
      <c r="G16106" s="2"/>
      <c r="H16106" s="2"/>
    </row>
    <row r="16107" spans="1:8" x14ac:dyDescent="0.25">
      <c r="A16107" s="1"/>
      <c r="B16107" s="1" t="s">
        <v>5782</v>
      </c>
      <c r="C16107" s="1" t="s">
        <v>5783</v>
      </c>
      <c r="D16107" s="22" t="str">
        <f>HYPERLINK("https://rhld.insurance.arkansas.gov/NPILookup?Npi=1609624824","1609624824")</f>
        <v>1609624824</v>
      </c>
      <c r="E16107" s="1" t="s">
        <v>22737</v>
      </c>
      <c r="F16107" s="2"/>
      <c r="G16107" s="2"/>
      <c r="H16107" s="2"/>
    </row>
    <row r="16108" spans="1:8" x14ac:dyDescent="0.25">
      <c r="A16108" s="1"/>
      <c r="B16108" s="1" t="s">
        <v>5782</v>
      </c>
      <c r="C16108" s="1" t="s">
        <v>5783</v>
      </c>
      <c r="D16108" s="22" t="str">
        <f>HYPERLINK("https://rhld.insurance.arkansas.gov/NPILookup?Npi=1609649953","1609649953")</f>
        <v>1609649953</v>
      </c>
      <c r="E16108" s="1" t="s">
        <v>6468</v>
      </c>
      <c r="F16108" s="2"/>
      <c r="G16108" s="2"/>
      <c r="H16108" s="2"/>
    </row>
    <row r="16109" spans="1:8" x14ac:dyDescent="0.25">
      <c r="A16109" s="1"/>
      <c r="B16109" s="1" t="s">
        <v>5782</v>
      </c>
      <c r="C16109" s="1" t="s">
        <v>5783</v>
      </c>
      <c r="D16109" s="22" t="str">
        <f>HYPERLINK("https://rhld.insurance.arkansas.gov/NPILookup?Npi=1609652734","1609652734")</f>
        <v>1609652734</v>
      </c>
      <c r="E16109" s="1" t="s">
        <v>5285</v>
      </c>
      <c r="F16109" s="2"/>
      <c r="G16109" s="2"/>
      <c r="H16109" s="2"/>
    </row>
    <row r="16110" spans="1:8" x14ac:dyDescent="0.25">
      <c r="A16110" s="1"/>
      <c r="B16110" s="1" t="s">
        <v>5782</v>
      </c>
      <c r="C16110" s="1" t="s">
        <v>5783</v>
      </c>
      <c r="D16110" s="22" t="str">
        <f>HYPERLINK("https://rhld.insurance.arkansas.gov/NPILookup?Npi=1609655158","1609655158")</f>
        <v>1609655158</v>
      </c>
      <c r="E16110" s="1" t="s">
        <v>22738</v>
      </c>
      <c r="F16110" s="2"/>
      <c r="G16110" s="2"/>
      <c r="H16110" s="2"/>
    </row>
    <row r="16111" spans="1:8" x14ac:dyDescent="0.25">
      <c r="A16111" s="1"/>
      <c r="B16111" s="1" t="s">
        <v>5782</v>
      </c>
      <c r="C16111" s="1" t="s">
        <v>5783</v>
      </c>
      <c r="D16111" s="22" t="str">
        <f>HYPERLINK("https://rhld.insurance.arkansas.gov/NPILookup?Npi=1609863562","1609863562")</f>
        <v>1609863562</v>
      </c>
      <c r="E16111" s="1" t="s">
        <v>2204</v>
      </c>
      <c r="F16111" s="2"/>
      <c r="G16111" s="2"/>
      <c r="H16111" s="2"/>
    </row>
    <row r="16112" spans="1:8" x14ac:dyDescent="0.25">
      <c r="A16112" s="1"/>
      <c r="B16112" s="1" t="s">
        <v>5782</v>
      </c>
      <c r="C16112" s="1" t="s">
        <v>5783</v>
      </c>
      <c r="D16112" s="22" t="str">
        <f>HYPERLINK("https://rhld.insurance.arkansas.gov/NPILookup?Npi=1609939313","1609939313")</f>
        <v>1609939313</v>
      </c>
      <c r="E16112" s="1" t="s">
        <v>11629</v>
      </c>
      <c r="F16112" s="2"/>
      <c r="G16112" s="2"/>
      <c r="H16112" s="2"/>
    </row>
    <row r="16113" spans="1:8" x14ac:dyDescent="0.25">
      <c r="A16113" s="1"/>
      <c r="B16113" s="1" t="s">
        <v>5782</v>
      </c>
      <c r="C16113" s="1" t="s">
        <v>5783</v>
      </c>
      <c r="D16113" s="22" t="str">
        <f>HYPERLINK("https://rhld.insurance.arkansas.gov/NPILookup?Npi=1609955657","1609955657")</f>
        <v>1609955657</v>
      </c>
      <c r="E16113" s="1" t="s">
        <v>11941</v>
      </c>
      <c r="F16113" s="2"/>
      <c r="G16113" s="2"/>
      <c r="H16113" s="2"/>
    </row>
    <row r="16114" spans="1:8" x14ac:dyDescent="0.25">
      <c r="A16114" s="1"/>
      <c r="B16114" s="1" t="s">
        <v>5782</v>
      </c>
      <c r="C16114" s="1" t="s">
        <v>5783</v>
      </c>
      <c r="D16114" s="22" t="str">
        <f>HYPERLINK("https://rhld.insurance.arkansas.gov/NPILookup?Npi=1609960376","1609960376")</f>
        <v>1609960376</v>
      </c>
      <c r="E16114" s="1" t="s">
        <v>22739</v>
      </c>
      <c r="F16114" s="2"/>
      <c r="G16114" s="2"/>
      <c r="H16114" s="2"/>
    </row>
    <row r="16115" spans="1:8" x14ac:dyDescent="0.25">
      <c r="A16115" s="1"/>
      <c r="B16115" s="1" t="s">
        <v>5782</v>
      </c>
      <c r="C16115" s="1" t="s">
        <v>5783</v>
      </c>
      <c r="D16115" s="22" t="str">
        <f>HYPERLINK("https://rhld.insurance.arkansas.gov/NPILookup?Npi=1609973254","1609973254")</f>
        <v>1609973254</v>
      </c>
      <c r="E16115" s="1" t="s">
        <v>11942</v>
      </c>
      <c r="F16115" s="2"/>
      <c r="G16115" s="2"/>
      <c r="H16115" s="2"/>
    </row>
    <row r="16116" spans="1:8" x14ac:dyDescent="0.25">
      <c r="A16116" s="1"/>
      <c r="B16116" s="1" t="s">
        <v>5782</v>
      </c>
      <c r="C16116" s="1" t="s">
        <v>5783</v>
      </c>
      <c r="D16116" s="22" t="str">
        <f>HYPERLINK("https://rhld.insurance.arkansas.gov/NPILookup?Npi=1619000601","1619000601")</f>
        <v>1619000601</v>
      </c>
      <c r="E16116" s="1" t="s">
        <v>22740</v>
      </c>
      <c r="F16116" s="2"/>
      <c r="G16116" s="2"/>
      <c r="H16116" s="2"/>
    </row>
    <row r="16117" spans="1:8" x14ac:dyDescent="0.25">
      <c r="A16117" s="1"/>
      <c r="B16117" s="1" t="s">
        <v>5782</v>
      </c>
      <c r="C16117" s="1" t="s">
        <v>5783</v>
      </c>
      <c r="D16117" s="22" t="str">
        <f>HYPERLINK("https://rhld.insurance.arkansas.gov/NPILookup?Npi=1619002789","1619002789")</f>
        <v>1619002789</v>
      </c>
      <c r="E16117" s="1" t="s">
        <v>3324</v>
      </c>
      <c r="F16117" s="2"/>
      <c r="G16117" s="2"/>
      <c r="H16117" s="2"/>
    </row>
    <row r="16118" spans="1:8" x14ac:dyDescent="0.25">
      <c r="A16118" s="1"/>
      <c r="B16118" s="1" t="s">
        <v>5782</v>
      </c>
      <c r="C16118" s="1" t="s">
        <v>5783</v>
      </c>
      <c r="D16118" s="22" t="str">
        <f>HYPERLINK("https://rhld.insurance.arkansas.gov/NPILookup?Npi=1619007226","1619007226")</f>
        <v>1619007226</v>
      </c>
      <c r="E16118" s="1" t="s">
        <v>22741</v>
      </c>
      <c r="F16118" s="2"/>
      <c r="G16118" s="2"/>
      <c r="H16118" s="2"/>
    </row>
    <row r="16119" spans="1:8" x14ac:dyDescent="0.25">
      <c r="A16119" s="1"/>
      <c r="B16119" s="1" t="s">
        <v>5782</v>
      </c>
      <c r="C16119" s="1" t="s">
        <v>5783</v>
      </c>
      <c r="D16119" s="22" t="str">
        <f>HYPERLINK("https://rhld.insurance.arkansas.gov/NPILookup?Npi=1619018397","1619018397")</f>
        <v>1619018397</v>
      </c>
      <c r="E16119" s="1" t="s">
        <v>11531</v>
      </c>
      <c r="F16119" s="2"/>
      <c r="G16119" s="2"/>
      <c r="H16119" s="2"/>
    </row>
    <row r="16120" spans="1:8" x14ac:dyDescent="0.25">
      <c r="A16120" s="1"/>
      <c r="B16120" s="1" t="s">
        <v>5782</v>
      </c>
      <c r="C16120" s="1" t="s">
        <v>5783</v>
      </c>
      <c r="D16120" s="22" t="str">
        <f>HYPERLINK("https://rhld.insurance.arkansas.gov/NPILookup?Npi=1619024098","1619024098")</f>
        <v>1619024098</v>
      </c>
      <c r="E16120" s="1" t="s">
        <v>22742</v>
      </c>
      <c r="F16120" s="2"/>
      <c r="G16120" s="2"/>
      <c r="H16120" s="2"/>
    </row>
    <row r="16121" spans="1:8" x14ac:dyDescent="0.25">
      <c r="A16121" s="1"/>
      <c r="B16121" s="1" t="s">
        <v>5782</v>
      </c>
      <c r="C16121" s="1" t="s">
        <v>5783</v>
      </c>
      <c r="D16121" s="22" t="str">
        <f>HYPERLINK("https://rhld.insurance.arkansas.gov/NPILookup?Npi=1619066982","1619066982")</f>
        <v>1619066982</v>
      </c>
      <c r="E16121" s="1" t="s">
        <v>22743</v>
      </c>
      <c r="F16121" s="2"/>
      <c r="G16121" s="2"/>
      <c r="H16121" s="2"/>
    </row>
    <row r="16122" spans="1:8" x14ac:dyDescent="0.25">
      <c r="A16122" s="1"/>
      <c r="B16122" s="1" t="s">
        <v>5782</v>
      </c>
      <c r="C16122" s="1" t="s">
        <v>5783</v>
      </c>
      <c r="D16122" s="22" t="str">
        <f>HYPERLINK("https://rhld.insurance.arkansas.gov/NPILookup?Npi=1619096179","1619096179")</f>
        <v>1619096179</v>
      </c>
      <c r="E16122" s="1" t="s">
        <v>22744</v>
      </c>
      <c r="F16122" s="2"/>
      <c r="G16122" s="2"/>
      <c r="H16122" s="2"/>
    </row>
    <row r="16123" spans="1:8" x14ac:dyDescent="0.25">
      <c r="A16123" s="1"/>
      <c r="B16123" s="1" t="s">
        <v>5782</v>
      </c>
      <c r="C16123" s="1" t="s">
        <v>5783</v>
      </c>
      <c r="D16123" s="22" t="str">
        <f>HYPERLINK("https://rhld.insurance.arkansas.gov/NPILookup?Npi=1619103108","1619103108")</f>
        <v>1619103108</v>
      </c>
      <c r="E16123" s="1" t="s">
        <v>22745</v>
      </c>
      <c r="F16123" s="2"/>
      <c r="G16123" s="2"/>
      <c r="H16123" s="2"/>
    </row>
    <row r="16124" spans="1:8" x14ac:dyDescent="0.25">
      <c r="A16124" s="1"/>
      <c r="B16124" s="1" t="s">
        <v>5782</v>
      </c>
      <c r="C16124" s="1" t="s">
        <v>5783</v>
      </c>
      <c r="D16124" s="22" t="str">
        <f>HYPERLINK("https://rhld.insurance.arkansas.gov/NPILookup?Npi=1619103702","1619103702")</f>
        <v>1619103702</v>
      </c>
      <c r="E16124" s="1" t="s">
        <v>6470</v>
      </c>
      <c r="F16124" s="2"/>
      <c r="G16124" s="2"/>
      <c r="H16124" s="2"/>
    </row>
    <row r="16125" spans="1:8" x14ac:dyDescent="0.25">
      <c r="A16125" s="1"/>
      <c r="B16125" s="1" t="s">
        <v>5782</v>
      </c>
      <c r="C16125" s="1" t="s">
        <v>5783</v>
      </c>
      <c r="D16125" s="22" t="str">
        <f>HYPERLINK("https://rhld.insurance.arkansas.gov/NPILookup?Npi=1619114147","1619114147")</f>
        <v>1619114147</v>
      </c>
      <c r="E16125" s="1" t="s">
        <v>22746</v>
      </c>
      <c r="F16125" s="2"/>
      <c r="G16125" s="2"/>
      <c r="H16125" s="2"/>
    </row>
    <row r="16126" spans="1:8" x14ac:dyDescent="0.25">
      <c r="A16126" s="1"/>
      <c r="B16126" s="1" t="s">
        <v>5782</v>
      </c>
      <c r="C16126" s="1" t="s">
        <v>5783</v>
      </c>
      <c r="D16126" s="22" t="str">
        <f>HYPERLINK("https://rhld.insurance.arkansas.gov/NPILookup?Npi=1619115052","1619115052")</f>
        <v>1619115052</v>
      </c>
      <c r="E16126" s="1" t="s">
        <v>644</v>
      </c>
      <c r="F16126" s="2"/>
      <c r="G16126" s="2"/>
      <c r="H16126" s="2"/>
    </row>
    <row r="16127" spans="1:8" x14ac:dyDescent="0.25">
      <c r="A16127" s="1"/>
      <c r="B16127" s="1" t="s">
        <v>5782</v>
      </c>
      <c r="C16127" s="1" t="s">
        <v>5783</v>
      </c>
      <c r="D16127" s="22" t="str">
        <f>HYPERLINK("https://rhld.insurance.arkansas.gov/NPILookup?Npi=1619115201","1619115201")</f>
        <v>1619115201</v>
      </c>
      <c r="E16127" s="1" t="s">
        <v>6471</v>
      </c>
      <c r="F16127" s="2"/>
      <c r="G16127" s="2"/>
      <c r="H16127" s="2"/>
    </row>
    <row r="16128" spans="1:8" x14ac:dyDescent="0.25">
      <c r="A16128" s="1"/>
      <c r="B16128" s="1" t="s">
        <v>5782</v>
      </c>
      <c r="C16128" s="1" t="s">
        <v>5783</v>
      </c>
      <c r="D16128" s="22" t="str">
        <f>HYPERLINK("https://rhld.insurance.arkansas.gov/NPILookup?Npi=1619120565","1619120565")</f>
        <v>1619120565</v>
      </c>
      <c r="E16128" s="1" t="s">
        <v>1333</v>
      </c>
      <c r="F16128" s="2"/>
      <c r="G16128" s="2"/>
      <c r="H16128" s="2"/>
    </row>
    <row r="16129" spans="1:8" x14ac:dyDescent="0.25">
      <c r="A16129" s="1"/>
      <c r="B16129" s="1" t="s">
        <v>5782</v>
      </c>
      <c r="C16129" s="1" t="s">
        <v>5783</v>
      </c>
      <c r="D16129" s="22" t="str">
        <f>HYPERLINK("https://rhld.insurance.arkansas.gov/NPILookup?Npi=1619128642","1619128642")</f>
        <v>1619128642</v>
      </c>
      <c r="E16129" s="1" t="s">
        <v>5883</v>
      </c>
      <c r="F16129" s="2"/>
      <c r="G16129" s="2"/>
      <c r="H16129" s="2"/>
    </row>
    <row r="16130" spans="1:8" x14ac:dyDescent="0.25">
      <c r="A16130" s="1"/>
      <c r="B16130" s="1" t="s">
        <v>5782</v>
      </c>
      <c r="C16130" s="1" t="s">
        <v>5783</v>
      </c>
      <c r="D16130" s="22" t="str">
        <f>HYPERLINK("https://rhld.insurance.arkansas.gov/NPILookup?Npi=1619196821","1619196821")</f>
        <v>1619196821</v>
      </c>
      <c r="E16130" s="1" t="s">
        <v>22747</v>
      </c>
      <c r="F16130" s="2"/>
      <c r="G16130" s="2"/>
      <c r="H16130" s="2"/>
    </row>
    <row r="16131" spans="1:8" x14ac:dyDescent="0.25">
      <c r="A16131" s="1"/>
      <c r="B16131" s="1" t="s">
        <v>5782</v>
      </c>
      <c r="C16131" s="1" t="s">
        <v>5783</v>
      </c>
      <c r="D16131" s="22" t="str">
        <f>HYPERLINK("https://rhld.insurance.arkansas.gov/NPILookup?Npi=1619218963","1619218963")</f>
        <v>1619218963</v>
      </c>
      <c r="E16131" s="1" t="s">
        <v>22748</v>
      </c>
      <c r="F16131" s="2"/>
      <c r="G16131" s="2"/>
      <c r="H16131" s="2"/>
    </row>
    <row r="16132" spans="1:8" x14ac:dyDescent="0.25">
      <c r="A16132" s="1"/>
      <c r="B16132" s="1" t="s">
        <v>5782</v>
      </c>
      <c r="C16132" s="1" t="s">
        <v>5783</v>
      </c>
      <c r="D16132" s="22" t="str">
        <f>HYPERLINK("https://rhld.insurance.arkansas.gov/NPILookup?Npi=1619225125","1619225125")</f>
        <v>1619225125</v>
      </c>
      <c r="E16132" s="1" t="s">
        <v>22749</v>
      </c>
      <c r="F16132" s="2"/>
      <c r="G16132" s="2"/>
      <c r="H16132" s="2"/>
    </row>
    <row r="16133" spans="1:8" x14ac:dyDescent="0.25">
      <c r="A16133" s="1"/>
      <c r="B16133" s="1" t="s">
        <v>5782</v>
      </c>
      <c r="C16133" s="1" t="s">
        <v>5783</v>
      </c>
      <c r="D16133" s="22" t="str">
        <f>HYPERLINK("https://rhld.insurance.arkansas.gov/NPILookup?Npi=1619225729","1619225729")</f>
        <v>1619225729</v>
      </c>
      <c r="E16133" s="1" t="s">
        <v>6472</v>
      </c>
      <c r="F16133" s="2"/>
      <c r="G16133" s="2"/>
      <c r="H16133" s="2"/>
    </row>
    <row r="16134" spans="1:8" x14ac:dyDescent="0.25">
      <c r="A16134" s="1"/>
      <c r="B16134" s="1" t="s">
        <v>5782</v>
      </c>
      <c r="C16134" s="1" t="s">
        <v>5783</v>
      </c>
      <c r="D16134" s="22" t="str">
        <f>HYPERLINK("https://rhld.insurance.arkansas.gov/NPILookup?Npi=1619227279","1619227279")</f>
        <v>1619227279</v>
      </c>
      <c r="E16134" s="1" t="s">
        <v>11944</v>
      </c>
      <c r="F16134" s="2"/>
      <c r="G16134" s="2"/>
      <c r="H16134" s="2"/>
    </row>
    <row r="16135" spans="1:8" x14ac:dyDescent="0.25">
      <c r="A16135" s="1"/>
      <c r="B16135" s="1" t="s">
        <v>5782</v>
      </c>
      <c r="C16135" s="1" t="s">
        <v>5783</v>
      </c>
      <c r="D16135" s="22" t="str">
        <f>HYPERLINK("https://rhld.insurance.arkansas.gov/NPILookup?Npi=1619231313","1619231313")</f>
        <v>1619231313</v>
      </c>
      <c r="E16135" s="1" t="s">
        <v>22750</v>
      </c>
      <c r="F16135" s="2"/>
      <c r="G16135" s="2"/>
      <c r="H16135" s="2"/>
    </row>
    <row r="16136" spans="1:8" x14ac:dyDescent="0.25">
      <c r="A16136" s="1"/>
      <c r="B16136" s="1" t="s">
        <v>5782</v>
      </c>
      <c r="C16136" s="1" t="s">
        <v>5783</v>
      </c>
      <c r="D16136" s="22" t="str">
        <f>HYPERLINK("https://rhld.insurance.arkansas.gov/NPILookup?Npi=1619239548","1619239548")</f>
        <v>1619239548</v>
      </c>
      <c r="E16136" s="1" t="s">
        <v>31905</v>
      </c>
      <c r="F16136" s="2"/>
      <c r="G16136" s="2"/>
      <c r="H16136" s="2"/>
    </row>
    <row r="16137" spans="1:8" x14ac:dyDescent="0.25">
      <c r="A16137" s="1"/>
      <c r="B16137" s="1" t="s">
        <v>5782</v>
      </c>
      <c r="C16137" s="1" t="s">
        <v>5783</v>
      </c>
      <c r="D16137" s="22" t="str">
        <f>HYPERLINK("https://rhld.insurance.arkansas.gov/NPILookup?Npi=1619270519","1619270519")</f>
        <v>1619270519</v>
      </c>
      <c r="E16137" s="1" t="s">
        <v>22751</v>
      </c>
      <c r="F16137" s="2"/>
      <c r="G16137" s="2"/>
      <c r="H16137" s="2"/>
    </row>
    <row r="16138" spans="1:8" x14ac:dyDescent="0.25">
      <c r="A16138" s="1"/>
      <c r="B16138" s="1" t="s">
        <v>5782</v>
      </c>
      <c r="C16138" s="1" t="s">
        <v>5783</v>
      </c>
      <c r="D16138" s="22" t="str">
        <f>HYPERLINK("https://rhld.insurance.arkansas.gov/NPILookup?Npi=1619275823","1619275823")</f>
        <v>1619275823</v>
      </c>
      <c r="E16138" s="1" t="s">
        <v>11945</v>
      </c>
      <c r="F16138" s="2"/>
      <c r="G16138" s="2"/>
      <c r="H16138" s="2"/>
    </row>
    <row r="16139" spans="1:8" x14ac:dyDescent="0.25">
      <c r="A16139" s="1"/>
      <c r="B16139" s="1" t="s">
        <v>5782</v>
      </c>
      <c r="C16139" s="1" t="s">
        <v>5783</v>
      </c>
      <c r="D16139" s="22" t="str">
        <f>HYPERLINK("https://rhld.insurance.arkansas.gov/NPILookup?Npi=1619296035","1619296035")</f>
        <v>1619296035</v>
      </c>
      <c r="E16139" s="1" t="s">
        <v>22752</v>
      </c>
      <c r="F16139" s="2"/>
      <c r="G16139" s="2"/>
      <c r="H16139" s="2"/>
    </row>
    <row r="16140" spans="1:8" x14ac:dyDescent="0.25">
      <c r="A16140" s="1"/>
      <c r="B16140" s="1" t="s">
        <v>5782</v>
      </c>
      <c r="C16140" s="1" t="s">
        <v>5783</v>
      </c>
      <c r="D16140" s="22" t="str">
        <f>HYPERLINK("https://rhld.insurance.arkansas.gov/NPILookup?Npi=1619297900","1619297900")</f>
        <v>1619297900</v>
      </c>
      <c r="E16140" s="1" t="s">
        <v>22753</v>
      </c>
      <c r="F16140" s="2"/>
      <c r="G16140" s="2"/>
      <c r="H16140" s="2"/>
    </row>
    <row r="16141" spans="1:8" x14ac:dyDescent="0.25">
      <c r="A16141" s="1"/>
      <c r="B16141" s="1" t="s">
        <v>5782</v>
      </c>
      <c r="C16141" s="1" t="s">
        <v>5783</v>
      </c>
      <c r="D16141" s="22" t="str">
        <f>HYPERLINK("https://rhld.insurance.arkansas.gov/NPILookup?Npi=1619298817","1619298817")</f>
        <v>1619298817</v>
      </c>
      <c r="E16141" s="1" t="s">
        <v>3325</v>
      </c>
      <c r="F16141" s="2"/>
      <c r="G16141" s="2"/>
      <c r="H16141" s="2"/>
    </row>
    <row r="16142" spans="1:8" x14ac:dyDescent="0.25">
      <c r="A16142" s="1"/>
      <c r="B16142" s="1" t="s">
        <v>5782</v>
      </c>
      <c r="C16142" s="1" t="s">
        <v>5783</v>
      </c>
      <c r="D16142" s="22" t="str">
        <f>HYPERLINK("https://rhld.insurance.arkansas.gov/NPILookup?Npi=1619304938","1619304938")</f>
        <v>1619304938</v>
      </c>
      <c r="E16142" s="1" t="s">
        <v>22754</v>
      </c>
      <c r="F16142" s="2"/>
      <c r="G16142" s="2"/>
      <c r="H16142" s="2"/>
    </row>
    <row r="16143" spans="1:8" x14ac:dyDescent="0.25">
      <c r="A16143" s="1"/>
      <c r="B16143" s="1" t="s">
        <v>5782</v>
      </c>
      <c r="C16143" s="1" t="s">
        <v>5783</v>
      </c>
      <c r="D16143" s="22" t="str">
        <f>HYPERLINK("https://rhld.insurance.arkansas.gov/NPILookup?Npi=1619305968","1619305968")</f>
        <v>1619305968</v>
      </c>
      <c r="E16143" s="1" t="s">
        <v>1141</v>
      </c>
      <c r="F16143" s="2"/>
      <c r="G16143" s="2"/>
      <c r="H16143" s="2"/>
    </row>
    <row r="16144" spans="1:8" x14ac:dyDescent="0.25">
      <c r="A16144" s="1"/>
      <c r="B16144" s="1" t="s">
        <v>5782</v>
      </c>
      <c r="C16144" s="1" t="s">
        <v>5783</v>
      </c>
      <c r="D16144" s="22" t="str">
        <f>HYPERLINK("https://rhld.insurance.arkansas.gov/NPILookup?Npi=1619306685","1619306685")</f>
        <v>1619306685</v>
      </c>
      <c r="E16144" s="1" t="s">
        <v>22755</v>
      </c>
      <c r="F16144" s="2"/>
      <c r="G16144" s="2"/>
      <c r="H16144" s="2"/>
    </row>
    <row r="16145" spans="1:8" x14ac:dyDescent="0.25">
      <c r="A16145" s="1"/>
      <c r="B16145" s="1" t="s">
        <v>5782</v>
      </c>
      <c r="C16145" s="1" t="s">
        <v>5783</v>
      </c>
      <c r="D16145" s="22" t="str">
        <f>HYPERLINK("https://rhld.insurance.arkansas.gov/NPILookup?Npi=1619308434","1619308434")</f>
        <v>1619308434</v>
      </c>
      <c r="E16145" s="1" t="s">
        <v>22756</v>
      </c>
      <c r="F16145" s="2"/>
      <c r="G16145" s="2"/>
      <c r="H16145" s="2"/>
    </row>
    <row r="16146" spans="1:8" x14ac:dyDescent="0.25">
      <c r="A16146" s="1"/>
      <c r="B16146" s="1" t="s">
        <v>5782</v>
      </c>
      <c r="C16146" s="1" t="s">
        <v>5783</v>
      </c>
      <c r="D16146" s="22" t="str">
        <f>HYPERLINK("https://rhld.insurance.arkansas.gov/NPILookup?Npi=1619323508","1619323508")</f>
        <v>1619323508</v>
      </c>
      <c r="E16146" s="1" t="s">
        <v>22757</v>
      </c>
      <c r="F16146" s="2"/>
      <c r="G16146" s="2"/>
      <c r="H16146" s="2"/>
    </row>
    <row r="16147" spans="1:8" x14ac:dyDescent="0.25">
      <c r="A16147" s="1"/>
      <c r="B16147" s="1" t="s">
        <v>5782</v>
      </c>
      <c r="C16147" s="1" t="s">
        <v>5783</v>
      </c>
      <c r="D16147" s="22" t="str">
        <f>HYPERLINK("https://rhld.insurance.arkansas.gov/NPILookup?Npi=1619324464","1619324464")</f>
        <v>1619324464</v>
      </c>
      <c r="E16147" s="1" t="s">
        <v>22758</v>
      </c>
      <c r="F16147" s="2"/>
      <c r="G16147" s="2"/>
      <c r="H16147" s="2"/>
    </row>
    <row r="16148" spans="1:8" x14ac:dyDescent="0.25">
      <c r="A16148" s="1"/>
      <c r="B16148" s="1" t="s">
        <v>5782</v>
      </c>
      <c r="C16148" s="1" t="s">
        <v>5783</v>
      </c>
      <c r="D16148" s="22" t="str">
        <f>HYPERLINK("https://rhld.insurance.arkansas.gov/NPILookup?Npi=1619327079","1619327079")</f>
        <v>1619327079</v>
      </c>
      <c r="E16148" s="1" t="s">
        <v>22759</v>
      </c>
      <c r="F16148" s="2"/>
      <c r="G16148" s="2"/>
      <c r="H16148" s="2"/>
    </row>
    <row r="16149" spans="1:8" x14ac:dyDescent="0.25">
      <c r="A16149" s="1"/>
      <c r="B16149" s="1" t="s">
        <v>5782</v>
      </c>
      <c r="C16149" s="1" t="s">
        <v>5783</v>
      </c>
      <c r="D16149" s="22" t="str">
        <f>HYPERLINK("https://rhld.insurance.arkansas.gov/NPILookup?Npi=1619332509","1619332509")</f>
        <v>1619332509</v>
      </c>
      <c r="E16149" s="1" t="s">
        <v>1520</v>
      </c>
      <c r="F16149" s="2"/>
      <c r="G16149" s="2"/>
      <c r="H16149" s="2"/>
    </row>
    <row r="16150" spans="1:8" x14ac:dyDescent="0.25">
      <c r="A16150" s="1"/>
      <c r="B16150" s="1" t="s">
        <v>5782</v>
      </c>
      <c r="C16150" s="1" t="s">
        <v>5783</v>
      </c>
      <c r="D16150" s="22" t="str">
        <f>HYPERLINK("https://rhld.insurance.arkansas.gov/NPILookup?Npi=1619340924","1619340924")</f>
        <v>1619340924</v>
      </c>
      <c r="E16150" s="1" t="s">
        <v>22760</v>
      </c>
      <c r="F16150" s="2"/>
      <c r="G16150" s="2"/>
      <c r="H16150" s="2"/>
    </row>
    <row r="16151" spans="1:8" x14ac:dyDescent="0.25">
      <c r="A16151" s="1"/>
      <c r="B16151" s="1" t="s">
        <v>5782</v>
      </c>
      <c r="C16151" s="1" t="s">
        <v>5783</v>
      </c>
      <c r="D16151" s="22" t="str">
        <f>HYPERLINK("https://rhld.insurance.arkansas.gov/NPILookup?Npi=1619345246","1619345246")</f>
        <v>1619345246</v>
      </c>
      <c r="E16151" s="1" t="s">
        <v>22761</v>
      </c>
      <c r="F16151" s="2"/>
      <c r="G16151" s="2"/>
      <c r="H16151" s="2"/>
    </row>
    <row r="16152" spans="1:8" x14ac:dyDescent="0.25">
      <c r="A16152" s="1"/>
      <c r="B16152" s="1" t="s">
        <v>5782</v>
      </c>
      <c r="C16152" s="1" t="s">
        <v>5783</v>
      </c>
      <c r="D16152" s="22" t="str">
        <f>HYPERLINK("https://rhld.insurance.arkansas.gov/NPILookup?Npi=1619348703","1619348703")</f>
        <v>1619348703</v>
      </c>
      <c r="E16152" s="1" t="s">
        <v>22762</v>
      </c>
      <c r="F16152" s="2"/>
      <c r="G16152" s="2"/>
      <c r="H16152" s="2"/>
    </row>
    <row r="16153" spans="1:8" x14ac:dyDescent="0.25">
      <c r="A16153" s="1"/>
      <c r="B16153" s="1" t="s">
        <v>5782</v>
      </c>
      <c r="C16153" s="1" t="s">
        <v>5783</v>
      </c>
      <c r="D16153" s="22" t="str">
        <f>HYPERLINK("https://rhld.insurance.arkansas.gov/NPILookup?Npi=1619364288","1619364288")</f>
        <v>1619364288</v>
      </c>
      <c r="E16153" s="1" t="s">
        <v>22763</v>
      </c>
      <c r="F16153" s="2"/>
      <c r="G16153" s="2"/>
      <c r="H16153" s="2"/>
    </row>
    <row r="16154" spans="1:8" x14ac:dyDescent="0.25">
      <c r="A16154" s="1"/>
      <c r="B16154" s="1" t="s">
        <v>5782</v>
      </c>
      <c r="C16154" s="1" t="s">
        <v>5783</v>
      </c>
      <c r="D16154" s="22" t="str">
        <f>HYPERLINK("https://rhld.insurance.arkansas.gov/NPILookup?Npi=1619389871","1619389871")</f>
        <v>1619389871</v>
      </c>
      <c r="E16154" s="1" t="s">
        <v>22764</v>
      </c>
      <c r="F16154" s="2"/>
      <c r="G16154" s="2"/>
      <c r="H16154" s="2"/>
    </row>
    <row r="16155" spans="1:8" x14ac:dyDescent="0.25">
      <c r="A16155" s="1"/>
      <c r="B16155" s="1" t="s">
        <v>5782</v>
      </c>
      <c r="C16155" s="1" t="s">
        <v>5783</v>
      </c>
      <c r="D16155" s="22" t="str">
        <f>HYPERLINK("https://rhld.insurance.arkansas.gov/NPILookup?Npi=1619402302","1619402302")</f>
        <v>1619402302</v>
      </c>
      <c r="E16155" s="1" t="s">
        <v>6473</v>
      </c>
      <c r="F16155" s="2"/>
      <c r="G16155" s="2"/>
      <c r="H16155" s="2"/>
    </row>
    <row r="16156" spans="1:8" x14ac:dyDescent="0.25">
      <c r="A16156" s="1"/>
      <c r="B16156" s="1" t="s">
        <v>5782</v>
      </c>
      <c r="C16156" s="1" t="s">
        <v>5783</v>
      </c>
      <c r="D16156" s="22" t="str">
        <f>HYPERLINK("https://rhld.insurance.arkansas.gov/NPILookup?Npi=1619413473","1619413473")</f>
        <v>1619413473</v>
      </c>
      <c r="E16156" s="1" t="s">
        <v>3326</v>
      </c>
      <c r="F16156" s="2"/>
      <c r="G16156" s="2"/>
      <c r="H16156" s="2"/>
    </row>
    <row r="16157" spans="1:8" x14ac:dyDescent="0.25">
      <c r="A16157" s="1"/>
      <c r="B16157" s="1" t="s">
        <v>5782</v>
      </c>
      <c r="C16157" s="1" t="s">
        <v>5783</v>
      </c>
      <c r="D16157" s="22" t="str">
        <f>HYPERLINK("https://rhld.insurance.arkansas.gov/NPILookup?Npi=1619443439","1619443439")</f>
        <v>1619443439</v>
      </c>
      <c r="E16157" s="1" t="s">
        <v>22765</v>
      </c>
      <c r="F16157" s="2"/>
      <c r="G16157" s="2"/>
      <c r="H16157" s="2"/>
    </row>
    <row r="16158" spans="1:8" x14ac:dyDescent="0.25">
      <c r="A16158" s="1"/>
      <c r="B16158" s="1" t="s">
        <v>5782</v>
      </c>
      <c r="C16158" s="1" t="s">
        <v>5783</v>
      </c>
      <c r="D16158" s="22" t="str">
        <f>HYPERLINK("https://rhld.insurance.arkansas.gov/NPILookup?Npi=1619459484","1619459484")</f>
        <v>1619459484</v>
      </c>
      <c r="E16158" s="1" t="s">
        <v>1877</v>
      </c>
      <c r="F16158" s="2"/>
      <c r="G16158" s="2"/>
      <c r="H16158" s="2"/>
    </row>
    <row r="16159" spans="1:8" x14ac:dyDescent="0.25">
      <c r="A16159" s="1"/>
      <c r="B16159" s="1" t="s">
        <v>5782</v>
      </c>
      <c r="C16159" s="1" t="s">
        <v>5783</v>
      </c>
      <c r="D16159" s="22" t="str">
        <f>HYPERLINK("https://rhld.insurance.arkansas.gov/NPILookup?Npi=1619466729","1619466729")</f>
        <v>1619466729</v>
      </c>
      <c r="E16159" s="1" t="s">
        <v>6474</v>
      </c>
      <c r="F16159" s="2"/>
      <c r="G16159" s="2"/>
      <c r="H16159" s="2"/>
    </row>
    <row r="16160" spans="1:8" x14ac:dyDescent="0.25">
      <c r="A16160" s="1"/>
      <c r="B16160" s="1" t="s">
        <v>5782</v>
      </c>
      <c r="C16160" s="1" t="s">
        <v>5783</v>
      </c>
      <c r="D16160" s="22" t="str">
        <f>HYPERLINK("https://rhld.insurance.arkansas.gov/NPILookup?Npi=1619469566","1619469566")</f>
        <v>1619469566</v>
      </c>
      <c r="E16160" s="1" t="s">
        <v>22766</v>
      </c>
      <c r="F16160" s="2"/>
      <c r="G16160" s="2"/>
      <c r="H16160" s="2"/>
    </row>
    <row r="16161" spans="1:8" x14ac:dyDescent="0.25">
      <c r="A16161" s="1"/>
      <c r="B16161" s="1" t="s">
        <v>5782</v>
      </c>
      <c r="C16161" s="1" t="s">
        <v>5783</v>
      </c>
      <c r="D16161" s="22" t="str">
        <f>HYPERLINK("https://rhld.insurance.arkansas.gov/NPILookup?Npi=1619487733","1619487733")</f>
        <v>1619487733</v>
      </c>
      <c r="E16161" s="1" t="s">
        <v>22767</v>
      </c>
      <c r="F16161" s="2"/>
      <c r="G16161" s="2"/>
      <c r="H16161" s="2"/>
    </row>
    <row r="16162" spans="1:8" x14ac:dyDescent="0.25">
      <c r="A16162" s="1"/>
      <c r="B16162" s="1" t="s">
        <v>5782</v>
      </c>
      <c r="C16162" s="1" t="s">
        <v>5783</v>
      </c>
      <c r="D16162" s="22" t="str">
        <f>HYPERLINK("https://rhld.insurance.arkansas.gov/NPILookup?Npi=1619488327","1619488327")</f>
        <v>1619488327</v>
      </c>
      <c r="E16162" s="1" t="s">
        <v>22768</v>
      </c>
      <c r="F16162" s="2"/>
      <c r="G16162" s="2"/>
      <c r="H16162" s="2"/>
    </row>
    <row r="16163" spans="1:8" x14ac:dyDescent="0.25">
      <c r="A16163" s="1"/>
      <c r="B16163" s="1" t="s">
        <v>5782</v>
      </c>
      <c r="C16163" s="1" t="s">
        <v>5783</v>
      </c>
      <c r="D16163" s="22" t="str">
        <f>HYPERLINK("https://rhld.insurance.arkansas.gov/NPILookup?Npi=1619499738","1619499738")</f>
        <v>1619499738</v>
      </c>
      <c r="E16163" s="1" t="s">
        <v>2497</v>
      </c>
      <c r="F16163" s="2"/>
      <c r="G16163" s="2"/>
      <c r="H16163" s="2"/>
    </row>
    <row r="16164" spans="1:8" x14ac:dyDescent="0.25">
      <c r="A16164" s="1"/>
      <c r="B16164" s="1" t="s">
        <v>5782</v>
      </c>
      <c r="C16164" s="1" t="s">
        <v>5783</v>
      </c>
      <c r="D16164" s="22" t="str">
        <f>HYPERLINK("https://rhld.insurance.arkansas.gov/NPILookup?Npi=1619504396","1619504396")</f>
        <v>1619504396</v>
      </c>
      <c r="E16164" s="1" t="s">
        <v>2498</v>
      </c>
      <c r="F16164" s="2"/>
      <c r="G16164" s="2"/>
      <c r="H16164" s="2"/>
    </row>
    <row r="16165" spans="1:8" x14ac:dyDescent="0.25">
      <c r="A16165" s="1"/>
      <c r="B16165" s="1" t="s">
        <v>5782</v>
      </c>
      <c r="C16165" s="1" t="s">
        <v>5783</v>
      </c>
      <c r="D16165" s="22" t="str">
        <f>HYPERLINK("https://rhld.insurance.arkansas.gov/NPILookup?Npi=1619516291","1619516291")</f>
        <v>1619516291</v>
      </c>
      <c r="E16165" s="1" t="s">
        <v>6475</v>
      </c>
      <c r="F16165" s="2"/>
      <c r="G16165" s="2"/>
      <c r="H16165" s="2"/>
    </row>
    <row r="16166" spans="1:8" x14ac:dyDescent="0.25">
      <c r="A16166" s="1"/>
      <c r="B16166" s="1" t="s">
        <v>5782</v>
      </c>
      <c r="C16166" s="1" t="s">
        <v>5783</v>
      </c>
      <c r="D16166" s="22" t="str">
        <f>HYPERLINK("https://rhld.insurance.arkansas.gov/NPILookup?Npi=1619540937","1619540937")</f>
        <v>1619540937</v>
      </c>
      <c r="E16166" s="1" t="s">
        <v>6476</v>
      </c>
      <c r="F16166" s="2"/>
      <c r="G16166" s="2"/>
      <c r="H16166" s="2"/>
    </row>
    <row r="16167" spans="1:8" x14ac:dyDescent="0.25">
      <c r="A16167" s="1"/>
      <c r="B16167" s="1" t="s">
        <v>5782</v>
      </c>
      <c r="C16167" s="1" t="s">
        <v>5783</v>
      </c>
      <c r="D16167" s="22" t="str">
        <f>HYPERLINK("https://rhld.insurance.arkansas.gov/NPILookup?Npi=1619542149","1619542149")</f>
        <v>1619542149</v>
      </c>
      <c r="E16167" s="1" t="s">
        <v>4930</v>
      </c>
      <c r="F16167" s="2"/>
      <c r="G16167" s="2"/>
      <c r="H16167" s="2"/>
    </row>
    <row r="16168" spans="1:8" x14ac:dyDescent="0.25">
      <c r="A16168" s="1"/>
      <c r="B16168" s="1" t="s">
        <v>5782</v>
      </c>
      <c r="C16168" s="1" t="s">
        <v>5783</v>
      </c>
      <c r="D16168" s="22" t="str">
        <f>HYPERLINK("https://rhld.insurance.arkansas.gov/NPILookup?Npi=1619563343","1619563343")</f>
        <v>1619563343</v>
      </c>
      <c r="E16168" s="1" t="s">
        <v>22770</v>
      </c>
      <c r="F16168" s="2"/>
      <c r="G16168" s="2"/>
      <c r="H16168" s="2"/>
    </row>
    <row r="16169" spans="1:8" x14ac:dyDescent="0.25">
      <c r="A16169" s="1"/>
      <c r="B16169" s="1" t="s">
        <v>5782</v>
      </c>
      <c r="C16169" s="1" t="s">
        <v>5783</v>
      </c>
      <c r="D16169" s="22" t="str">
        <f>HYPERLINK("https://rhld.insurance.arkansas.gov/NPILookup?Npi=1619564374","1619564374")</f>
        <v>1619564374</v>
      </c>
      <c r="E16169" s="1" t="s">
        <v>31906</v>
      </c>
      <c r="F16169" s="2"/>
      <c r="G16169" s="2"/>
      <c r="H16169" s="2"/>
    </row>
    <row r="16170" spans="1:8" x14ac:dyDescent="0.25">
      <c r="A16170" s="1"/>
      <c r="B16170" s="1" t="s">
        <v>5782</v>
      </c>
      <c r="C16170" s="1" t="s">
        <v>5783</v>
      </c>
      <c r="D16170" s="22" t="str">
        <f>HYPERLINK("https://rhld.insurance.arkansas.gov/NPILookup?Npi=1619579448","1619579448")</f>
        <v>1619579448</v>
      </c>
      <c r="E16170" s="1" t="s">
        <v>11946</v>
      </c>
      <c r="F16170" s="2"/>
      <c r="G16170" s="2"/>
      <c r="H16170" s="2"/>
    </row>
    <row r="16171" spans="1:8" x14ac:dyDescent="0.25">
      <c r="A16171" s="1"/>
      <c r="B16171" s="1" t="s">
        <v>5782</v>
      </c>
      <c r="C16171" s="1" t="s">
        <v>5783</v>
      </c>
      <c r="D16171" s="22" t="str">
        <f>HYPERLINK("https://rhld.insurance.arkansas.gov/NPILookup?Npi=1619581717","1619581717")</f>
        <v>1619581717</v>
      </c>
      <c r="E16171" s="1" t="s">
        <v>6477</v>
      </c>
      <c r="F16171" s="2"/>
      <c r="G16171" s="2"/>
      <c r="H16171" s="2"/>
    </row>
    <row r="16172" spans="1:8" x14ac:dyDescent="0.25">
      <c r="A16172" s="1"/>
      <c r="B16172" s="1" t="s">
        <v>5782</v>
      </c>
      <c r="C16172" s="1" t="s">
        <v>5783</v>
      </c>
      <c r="D16172" s="22" t="str">
        <f>HYPERLINK("https://rhld.insurance.arkansas.gov/NPILookup?Npi=1619593076","1619593076")</f>
        <v>1619593076</v>
      </c>
      <c r="E16172" s="1" t="s">
        <v>22771</v>
      </c>
      <c r="F16172" s="2"/>
      <c r="G16172" s="2"/>
      <c r="H16172" s="2"/>
    </row>
    <row r="16173" spans="1:8" x14ac:dyDescent="0.25">
      <c r="A16173" s="1"/>
      <c r="B16173" s="1" t="s">
        <v>5782</v>
      </c>
      <c r="C16173" s="1" t="s">
        <v>5783</v>
      </c>
      <c r="D16173" s="22" t="str">
        <f>HYPERLINK("https://rhld.insurance.arkansas.gov/NPILookup?Npi=1619607207","1619607207")</f>
        <v>1619607207</v>
      </c>
      <c r="E16173" s="1" t="s">
        <v>22772</v>
      </c>
      <c r="F16173" s="2"/>
      <c r="G16173" s="2"/>
      <c r="H16173" s="2"/>
    </row>
    <row r="16174" spans="1:8" x14ac:dyDescent="0.25">
      <c r="A16174" s="1"/>
      <c r="B16174" s="1" t="s">
        <v>5782</v>
      </c>
      <c r="C16174" s="1" t="s">
        <v>5783</v>
      </c>
      <c r="D16174" s="22" t="str">
        <f>HYPERLINK("https://rhld.insurance.arkansas.gov/NPILookup?Npi=1619607652","1619607652")</f>
        <v>1619607652</v>
      </c>
      <c r="E16174" s="1" t="s">
        <v>22773</v>
      </c>
      <c r="F16174" s="2"/>
      <c r="G16174" s="2"/>
      <c r="H16174" s="2"/>
    </row>
    <row r="16175" spans="1:8" x14ac:dyDescent="0.25">
      <c r="A16175" s="1"/>
      <c r="B16175" s="1" t="s">
        <v>5782</v>
      </c>
      <c r="C16175" s="1" t="s">
        <v>5783</v>
      </c>
      <c r="D16175" s="22" t="str">
        <f>HYPERLINK("https://rhld.insurance.arkansas.gov/NPILookup?Npi=1619611050","1619611050")</f>
        <v>1619611050</v>
      </c>
      <c r="E16175" s="1" t="s">
        <v>22774</v>
      </c>
      <c r="F16175" s="2"/>
      <c r="G16175" s="2"/>
      <c r="H16175" s="2"/>
    </row>
    <row r="16176" spans="1:8" x14ac:dyDescent="0.25">
      <c r="A16176" s="1"/>
      <c r="B16176" s="1" t="s">
        <v>5782</v>
      </c>
      <c r="C16176" s="1" t="s">
        <v>5783</v>
      </c>
      <c r="D16176" s="22" t="str">
        <f>HYPERLINK("https://rhld.insurance.arkansas.gov/NPILookup?Npi=1619667284","1619667284")</f>
        <v>1619667284</v>
      </c>
      <c r="E16176" s="1" t="s">
        <v>6478</v>
      </c>
      <c r="F16176" s="2"/>
      <c r="G16176" s="2"/>
      <c r="H16176" s="2"/>
    </row>
    <row r="16177" spans="1:8" x14ac:dyDescent="0.25">
      <c r="A16177" s="1"/>
      <c r="B16177" s="1" t="s">
        <v>5782</v>
      </c>
      <c r="C16177" s="1" t="s">
        <v>5783</v>
      </c>
      <c r="D16177" s="22" t="str">
        <f>HYPERLINK("https://rhld.insurance.arkansas.gov/NPILookup?Npi=1619911815","1619911815")</f>
        <v>1619911815</v>
      </c>
      <c r="E16177" s="1" t="s">
        <v>20320</v>
      </c>
      <c r="F16177" s="2"/>
      <c r="G16177" s="2"/>
      <c r="H16177" s="2"/>
    </row>
    <row r="16178" spans="1:8" x14ac:dyDescent="0.25">
      <c r="A16178" s="1"/>
      <c r="B16178" s="1" t="s">
        <v>5782</v>
      </c>
      <c r="C16178" s="1" t="s">
        <v>5783</v>
      </c>
      <c r="D16178" s="22" t="str">
        <f>HYPERLINK("https://rhld.insurance.arkansas.gov/NPILookup?Npi=1619942539","1619942539")</f>
        <v>1619942539</v>
      </c>
      <c r="E16178" s="1" t="s">
        <v>2205</v>
      </c>
      <c r="F16178" s="2"/>
      <c r="G16178" s="2"/>
      <c r="H16178" s="2"/>
    </row>
    <row r="16179" spans="1:8" x14ac:dyDescent="0.25">
      <c r="A16179" s="1"/>
      <c r="B16179" s="1" t="s">
        <v>5782</v>
      </c>
      <c r="C16179" s="1" t="s">
        <v>5783</v>
      </c>
      <c r="D16179" s="22" t="str">
        <f>HYPERLINK("https://rhld.insurance.arkansas.gov/NPILookup?Npi=1619947447","1619947447")</f>
        <v>1619947447</v>
      </c>
      <c r="E16179" s="1" t="s">
        <v>22775</v>
      </c>
      <c r="F16179" s="2"/>
      <c r="G16179" s="2"/>
      <c r="H16179" s="2"/>
    </row>
    <row r="16180" spans="1:8" x14ac:dyDescent="0.25">
      <c r="A16180" s="1"/>
      <c r="B16180" s="1" t="s">
        <v>5782</v>
      </c>
      <c r="C16180" s="1" t="s">
        <v>5783</v>
      </c>
      <c r="D16180" s="22" t="str">
        <f>HYPERLINK("https://rhld.insurance.arkansas.gov/NPILookup?Npi=1619995198","1619995198")</f>
        <v>1619995198</v>
      </c>
      <c r="E16180" s="1" t="s">
        <v>3327</v>
      </c>
      <c r="F16180" s="2"/>
      <c r="G16180" s="2"/>
      <c r="H16180" s="2"/>
    </row>
    <row r="16181" spans="1:8" x14ac:dyDescent="0.25">
      <c r="A16181" s="1"/>
      <c r="B16181" s="1" t="s">
        <v>5782</v>
      </c>
      <c r="C16181" s="1" t="s">
        <v>5783</v>
      </c>
      <c r="D16181" s="22" t="str">
        <f>HYPERLINK("https://rhld.insurance.arkansas.gov/NPILookup?Npi=1629035381","1629035381")</f>
        <v>1629035381</v>
      </c>
      <c r="E16181" s="1" t="s">
        <v>11911</v>
      </c>
      <c r="F16181" s="2"/>
      <c r="G16181" s="2"/>
      <c r="H16181" s="2"/>
    </row>
    <row r="16182" spans="1:8" x14ac:dyDescent="0.25">
      <c r="A16182" s="1"/>
      <c r="B16182" s="1" t="s">
        <v>5782</v>
      </c>
      <c r="C16182" s="1" t="s">
        <v>5783</v>
      </c>
      <c r="D16182" s="22" t="str">
        <f>HYPERLINK("https://rhld.insurance.arkansas.gov/NPILookup?Npi=1629107214","1629107214")</f>
        <v>1629107214</v>
      </c>
      <c r="E16182" s="1" t="s">
        <v>22776</v>
      </c>
      <c r="F16182" s="2"/>
      <c r="G16182" s="2"/>
      <c r="H16182" s="2"/>
    </row>
    <row r="16183" spans="1:8" x14ac:dyDescent="0.25">
      <c r="A16183" s="1"/>
      <c r="B16183" s="1" t="s">
        <v>5782</v>
      </c>
      <c r="C16183" s="1" t="s">
        <v>5783</v>
      </c>
      <c r="D16183" s="22" t="str">
        <f>HYPERLINK("https://rhld.insurance.arkansas.gov/NPILookup?Npi=1629109988","1629109988")</f>
        <v>1629109988</v>
      </c>
      <c r="E16183" s="1" t="s">
        <v>22777</v>
      </c>
      <c r="F16183" s="2"/>
      <c r="G16183" s="2"/>
      <c r="H16183" s="2"/>
    </row>
    <row r="16184" spans="1:8" x14ac:dyDescent="0.25">
      <c r="A16184" s="1"/>
      <c r="B16184" s="1" t="s">
        <v>5782</v>
      </c>
      <c r="C16184" s="1" t="s">
        <v>5783</v>
      </c>
      <c r="D16184" s="22" t="str">
        <f>HYPERLINK("https://rhld.insurance.arkansas.gov/NPILookup?Npi=1629126230","1629126230")</f>
        <v>1629126230</v>
      </c>
      <c r="E16184" s="1" t="s">
        <v>11947</v>
      </c>
      <c r="F16184" s="2"/>
      <c r="G16184" s="2"/>
      <c r="H16184" s="2"/>
    </row>
    <row r="16185" spans="1:8" x14ac:dyDescent="0.25">
      <c r="A16185" s="1"/>
      <c r="B16185" s="1" t="s">
        <v>5782</v>
      </c>
      <c r="C16185" s="1" t="s">
        <v>5783</v>
      </c>
      <c r="D16185" s="22" t="str">
        <f>HYPERLINK("https://rhld.insurance.arkansas.gov/NPILookup?Npi=1629142609","1629142609")</f>
        <v>1629142609</v>
      </c>
      <c r="E16185" s="1" t="s">
        <v>3328</v>
      </c>
      <c r="F16185" s="2"/>
      <c r="G16185" s="2"/>
      <c r="H16185" s="2"/>
    </row>
    <row r="16186" spans="1:8" x14ac:dyDescent="0.25">
      <c r="A16186" s="1"/>
      <c r="B16186" s="1" t="s">
        <v>5782</v>
      </c>
      <c r="C16186" s="1" t="s">
        <v>5783</v>
      </c>
      <c r="D16186" s="22" t="str">
        <f>HYPERLINK("https://rhld.insurance.arkansas.gov/NPILookup?Npi=1629142682","1629142682")</f>
        <v>1629142682</v>
      </c>
      <c r="E16186" s="1" t="s">
        <v>22778</v>
      </c>
      <c r="F16186" s="2"/>
      <c r="G16186" s="2"/>
      <c r="H16186" s="2"/>
    </row>
    <row r="16187" spans="1:8" x14ac:dyDescent="0.25">
      <c r="A16187" s="1"/>
      <c r="B16187" s="1" t="s">
        <v>5782</v>
      </c>
      <c r="C16187" s="1" t="s">
        <v>5783</v>
      </c>
      <c r="D16187" s="22" t="str">
        <f>HYPERLINK("https://rhld.insurance.arkansas.gov/NPILookup?Npi=1629147889","1629147889")</f>
        <v>1629147889</v>
      </c>
      <c r="E16187" s="1" t="s">
        <v>22779</v>
      </c>
      <c r="F16187" s="2"/>
      <c r="G16187" s="2"/>
      <c r="H16187" s="2"/>
    </row>
    <row r="16188" spans="1:8" x14ac:dyDescent="0.25">
      <c r="A16188" s="1"/>
      <c r="B16188" s="1" t="s">
        <v>5782</v>
      </c>
      <c r="C16188" s="1" t="s">
        <v>5783</v>
      </c>
      <c r="D16188" s="22" t="str">
        <f>HYPERLINK("https://rhld.insurance.arkansas.gov/NPILookup?Npi=1629168067","1629168067")</f>
        <v>1629168067</v>
      </c>
      <c r="E16188" s="1" t="s">
        <v>3400</v>
      </c>
      <c r="F16188" s="2"/>
      <c r="G16188" s="2"/>
      <c r="H16188" s="2"/>
    </row>
    <row r="16189" spans="1:8" x14ac:dyDescent="0.25">
      <c r="A16189" s="1"/>
      <c r="B16189" s="1" t="s">
        <v>5782</v>
      </c>
      <c r="C16189" s="1" t="s">
        <v>5783</v>
      </c>
      <c r="D16189" s="22" t="str">
        <f>HYPERLINK("https://rhld.insurance.arkansas.gov/NPILookup?Npi=1629205653","1629205653")</f>
        <v>1629205653</v>
      </c>
      <c r="E16189" s="1" t="s">
        <v>11948</v>
      </c>
      <c r="F16189" s="2"/>
      <c r="G16189" s="2"/>
      <c r="H16189" s="2"/>
    </row>
    <row r="16190" spans="1:8" x14ac:dyDescent="0.25">
      <c r="A16190" s="1"/>
      <c r="B16190" s="1" t="s">
        <v>5782</v>
      </c>
      <c r="C16190" s="1" t="s">
        <v>5783</v>
      </c>
      <c r="D16190" s="22" t="str">
        <f>HYPERLINK("https://rhld.insurance.arkansas.gov/NPILookup?Npi=1629212857","1629212857")</f>
        <v>1629212857</v>
      </c>
      <c r="E16190" s="1" t="s">
        <v>22781</v>
      </c>
      <c r="F16190" s="2"/>
      <c r="G16190" s="2"/>
      <c r="H16190" s="2"/>
    </row>
    <row r="16191" spans="1:8" x14ac:dyDescent="0.25">
      <c r="A16191" s="1"/>
      <c r="B16191" s="1" t="s">
        <v>5782</v>
      </c>
      <c r="C16191" s="1" t="s">
        <v>5783</v>
      </c>
      <c r="D16191" s="22" t="str">
        <f>HYPERLINK("https://rhld.insurance.arkansas.gov/NPILookup?Npi=1629218169","1629218169")</f>
        <v>1629218169</v>
      </c>
      <c r="E16191" s="1" t="s">
        <v>6480</v>
      </c>
      <c r="F16191" s="2"/>
      <c r="G16191" s="2"/>
      <c r="H16191" s="2"/>
    </row>
    <row r="16192" spans="1:8" x14ac:dyDescent="0.25">
      <c r="A16192" s="1"/>
      <c r="B16192" s="1" t="s">
        <v>5782</v>
      </c>
      <c r="C16192" s="1" t="s">
        <v>5783</v>
      </c>
      <c r="D16192" s="22" t="str">
        <f>HYPERLINK("https://rhld.insurance.arkansas.gov/NPILookup?Npi=1629222062","1629222062")</f>
        <v>1629222062</v>
      </c>
      <c r="E16192" s="1" t="s">
        <v>22782</v>
      </c>
      <c r="F16192" s="2"/>
      <c r="G16192" s="2"/>
      <c r="H16192" s="2"/>
    </row>
    <row r="16193" spans="1:8" x14ac:dyDescent="0.25">
      <c r="A16193" s="1"/>
      <c r="B16193" s="1" t="s">
        <v>5782</v>
      </c>
      <c r="C16193" s="1" t="s">
        <v>5783</v>
      </c>
      <c r="D16193" s="22" t="str">
        <f>HYPERLINK("https://rhld.insurance.arkansas.gov/NPILookup?Npi=1629222914","1629222914")</f>
        <v>1629222914</v>
      </c>
      <c r="E16193" s="1" t="s">
        <v>6481</v>
      </c>
      <c r="F16193" s="2"/>
      <c r="G16193" s="2"/>
      <c r="H16193" s="2"/>
    </row>
    <row r="16194" spans="1:8" x14ac:dyDescent="0.25">
      <c r="A16194" s="1"/>
      <c r="B16194" s="1" t="s">
        <v>5782</v>
      </c>
      <c r="C16194" s="1" t="s">
        <v>5783</v>
      </c>
      <c r="D16194" s="22" t="str">
        <f>HYPERLINK("https://rhld.insurance.arkansas.gov/NPILookup?Npi=1629229596","1629229596")</f>
        <v>1629229596</v>
      </c>
      <c r="E16194" s="1" t="s">
        <v>11967</v>
      </c>
      <c r="F16194" s="2"/>
      <c r="G16194" s="2"/>
      <c r="H16194" s="2"/>
    </row>
    <row r="16195" spans="1:8" x14ac:dyDescent="0.25">
      <c r="A16195" s="1"/>
      <c r="B16195" s="1" t="s">
        <v>5782</v>
      </c>
      <c r="C16195" s="1" t="s">
        <v>5783</v>
      </c>
      <c r="D16195" s="22" t="str">
        <f>HYPERLINK("https://rhld.insurance.arkansas.gov/NPILookup?Npi=1629238209","1629238209")</f>
        <v>1629238209</v>
      </c>
      <c r="E16195" s="1" t="s">
        <v>22783</v>
      </c>
      <c r="F16195" s="2"/>
      <c r="G16195" s="2"/>
      <c r="H16195" s="2"/>
    </row>
    <row r="16196" spans="1:8" x14ac:dyDescent="0.25">
      <c r="A16196" s="1"/>
      <c r="B16196" s="1" t="s">
        <v>5782</v>
      </c>
      <c r="C16196" s="1" t="s">
        <v>5783</v>
      </c>
      <c r="D16196" s="22" t="str">
        <f>HYPERLINK("https://rhld.insurance.arkansas.gov/NPILookup?Npi=1629247564","1629247564")</f>
        <v>1629247564</v>
      </c>
      <c r="E16196" s="1" t="s">
        <v>11987</v>
      </c>
      <c r="F16196" s="2"/>
      <c r="G16196" s="2"/>
      <c r="H16196" s="2"/>
    </row>
    <row r="16197" spans="1:8" x14ac:dyDescent="0.25">
      <c r="A16197" s="1"/>
      <c r="B16197" s="1" t="s">
        <v>5782</v>
      </c>
      <c r="C16197" s="1" t="s">
        <v>5783</v>
      </c>
      <c r="D16197" s="22" t="str">
        <f>HYPERLINK("https://rhld.insurance.arkansas.gov/NPILookup?Npi=1629249131","1629249131")</f>
        <v>1629249131</v>
      </c>
      <c r="E16197" s="1" t="s">
        <v>11949</v>
      </c>
      <c r="F16197" s="2"/>
      <c r="G16197" s="2"/>
      <c r="H16197" s="2"/>
    </row>
    <row r="16198" spans="1:8" x14ac:dyDescent="0.25">
      <c r="A16198" s="1"/>
      <c r="B16198" s="1" t="s">
        <v>5782</v>
      </c>
      <c r="C16198" s="1" t="s">
        <v>5783</v>
      </c>
      <c r="D16198" s="22" t="str">
        <f>HYPERLINK("https://rhld.insurance.arkansas.gov/NPILookup?Npi=1629255120","1629255120")</f>
        <v>1629255120</v>
      </c>
      <c r="E16198" s="1" t="s">
        <v>22784</v>
      </c>
      <c r="F16198" s="2"/>
      <c r="G16198" s="2"/>
      <c r="H16198" s="2"/>
    </row>
    <row r="16199" spans="1:8" x14ac:dyDescent="0.25">
      <c r="A16199" s="1"/>
      <c r="B16199" s="1" t="s">
        <v>5782</v>
      </c>
      <c r="C16199" s="1" t="s">
        <v>5783</v>
      </c>
      <c r="D16199" s="22" t="str">
        <f>HYPERLINK("https://rhld.insurance.arkansas.gov/NPILookup?Npi=1629264742","1629264742")</f>
        <v>1629264742</v>
      </c>
      <c r="E16199" s="1" t="s">
        <v>944</v>
      </c>
      <c r="F16199" s="2"/>
      <c r="G16199" s="2"/>
      <c r="H16199" s="2"/>
    </row>
    <row r="16200" spans="1:8" x14ac:dyDescent="0.25">
      <c r="A16200" s="1"/>
      <c r="B16200" s="1" t="s">
        <v>5782</v>
      </c>
      <c r="C16200" s="1" t="s">
        <v>5783</v>
      </c>
      <c r="D16200" s="22" t="str">
        <f>HYPERLINK("https://rhld.insurance.arkansas.gov/NPILookup?Npi=1629293105","1629293105")</f>
        <v>1629293105</v>
      </c>
      <c r="E16200" s="1" t="s">
        <v>22785</v>
      </c>
      <c r="F16200" s="2"/>
      <c r="G16200" s="2"/>
      <c r="H16200" s="2"/>
    </row>
    <row r="16201" spans="1:8" x14ac:dyDescent="0.25">
      <c r="A16201" s="1"/>
      <c r="B16201" s="1" t="s">
        <v>5782</v>
      </c>
      <c r="C16201" s="1" t="s">
        <v>5783</v>
      </c>
      <c r="D16201" s="22" t="str">
        <f>HYPERLINK("https://rhld.insurance.arkansas.gov/NPILookup?Npi=1629306279","1629306279")</f>
        <v>1629306279</v>
      </c>
      <c r="E16201" s="1" t="s">
        <v>22786</v>
      </c>
      <c r="F16201" s="2"/>
      <c r="G16201" s="2"/>
      <c r="H16201" s="2"/>
    </row>
    <row r="16202" spans="1:8" x14ac:dyDescent="0.25">
      <c r="A16202" s="1"/>
      <c r="B16202" s="1" t="s">
        <v>5782</v>
      </c>
      <c r="C16202" s="1" t="s">
        <v>5783</v>
      </c>
      <c r="D16202" s="22" t="str">
        <f>HYPERLINK("https://rhld.insurance.arkansas.gov/NPILookup?Npi=1629309232","1629309232")</f>
        <v>1629309232</v>
      </c>
      <c r="E16202" s="1" t="s">
        <v>3174</v>
      </c>
      <c r="F16202" s="2"/>
      <c r="G16202" s="2"/>
      <c r="H16202" s="2"/>
    </row>
    <row r="16203" spans="1:8" x14ac:dyDescent="0.25">
      <c r="A16203" s="1"/>
      <c r="B16203" s="1" t="s">
        <v>5782</v>
      </c>
      <c r="C16203" s="1" t="s">
        <v>5783</v>
      </c>
      <c r="D16203" s="22" t="str">
        <f>HYPERLINK("https://rhld.insurance.arkansas.gov/NPILookup?Npi=1629320122","1629320122")</f>
        <v>1629320122</v>
      </c>
      <c r="E16203" s="1" t="s">
        <v>22787</v>
      </c>
      <c r="F16203" s="2"/>
      <c r="G16203" s="2"/>
      <c r="H16203" s="2"/>
    </row>
    <row r="16204" spans="1:8" x14ac:dyDescent="0.25">
      <c r="A16204" s="1"/>
      <c r="B16204" s="1" t="s">
        <v>5782</v>
      </c>
      <c r="C16204" s="1" t="s">
        <v>5783</v>
      </c>
      <c r="D16204" s="22" t="str">
        <f>HYPERLINK("https://rhld.insurance.arkansas.gov/NPILookup?Npi=1629328463","1629328463")</f>
        <v>1629328463</v>
      </c>
      <c r="E16204" s="1" t="s">
        <v>22788</v>
      </c>
      <c r="F16204" s="2"/>
      <c r="G16204" s="2"/>
      <c r="H16204" s="2"/>
    </row>
    <row r="16205" spans="1:8" x14ac:dyDescent="0.25">
      <c r="A16205" s="1"/>
      <c r="B16205" s="1" t="s">
        <v>5782</v>
      </c>
      <c r="C16205" s="1" t="s">
        <v>5783</v>
      </c>
      <c r="D16205" s="22" t="str">
        <f>HYPERLINK("https://rhld.insurance.arkansas.gov/NPILookup?Npi=1629335393","1629335393")</f>
        <v>1629335393</v>
      </c>
      <c r="E16205" s="1" t="s">
        <v>22789</v>
      </c>
      <c r="F16205" s="2"/>
      <c r="G16205" s="2"/>
      <c r="H16205" s="2"/>
    </row>
    <row r="16206" spans="1:8" x14ac:dyDescent="0.25">
      <c r="A16206" s="1"/>
      <c r="B16206" s="1" t="s">
        <v>5782</v>
      </c>
      <c r="C16206" s="1" t="s">
        <v>5783</v>
      </c>
      <c r="D16206" s="22" t="str">
        <f>HYPERLINK("https://rhld.insurance.arkansas.gov/NPILookup?Npi=1629348982","1629348982")</f>
        <v>1629348982</v>
      </c>
      <c r="E16206" s="1" t="s">
        <v>22790</v>
      </c>
      <c r="F16206" s="2"/>
      <c r="G16206" s="2"/>
      <c r="H16206" s="2"/>
    </row>
    <row r="16207" spans="1:8" x14ac:dyDescent="0.25">
      <c r="A16207" s="1"/>
      <c r="B16207" s="1" t="s">
        <v>5782</v>
      </c>
      <c r="C16207" s="1" t="s">
        <v>5783</v>
      </c>
      <c r="D16207" s="22" t="str">
        <f>HYPERLINK("https://rhld.insurance.arkansas.gov/NPILookup?Npi=1629351242","1629351242")</f>
        <v>1629351242</v>
      </c>
      <c r="E16207" s="1" t="s">
        <v>22791</v>
      </c>
      <c r="F16207" s="2"/>
      <c r="G16207" s="2"/>
      <c r="H16207" s="2"/>
    </row>
    <row r="16208" spans="1:8" x14ac:dyDescent="0.25">
      <c r="A16208" s="1"/>
      <c r="B16208" s="1" t="s">
        <v>5782</v>
      </c>
      <c r="C16208" s="1" t="s">
        <v>5783</v>
      </c>
      <c r="D16208" s="22" t="str">
        <f>HYPERLINK("https://rhld.insurance.arkansas.gov/NPILookup?Npi=1629355235","1629355235")</f>
        <v>1629355235</v>
      </c>
      <c r="E16208" s="1" t="s">
        <v>11777</v>
      </c>
      <c r="F16208" s="2"/>
      <c r="G16208" s="2"/>
      <c r="H16208" s="2"/>
    </row>
    <row r="16209" spans="1:8" x14ac:dyDescent="0.25">
      <c r="A16209" s="1"/>
      <c r="B16209" s="1" t="s">
        <v>5782</v>
      </c>
      <c r="C16209" s="1" t="s">
        <v>5783</v>
      </c>
      <c r="D16209" s="22" t="str">
        <f>HYPERLINK("https://rhld.insurance.arkansas.gov/NPILookup?Npi=1629360383","1629360383")</f>
        <v>1629360383</v>
      </c>
      <c r="E16209" s="1" t="s">
        <v>31907</v>
      </c>
      <c r="F16209" s="2"/>
      <c r="G16209" s="2"/>
      <c r="H16209" s="2"/>
    </row>
    <row r="16210" spans="1:8" x14ac:dyDescent="0.25">
      <c r="A16210" s="1"/>
      <c r="B16210" s="1" t="s">
        <v>5782</v>
      </c>
      <c r="C16210" s="1" t="s">
        <v>5783</v>
      </c>
      <c r="D16210" s="22" t="str">
        <f>HYPERLINK("https://rhld.insurance.arkansas.gov/NPILookup?Npi=1629364203","1629364203")</f>
        <v>1629364203</v>
      </c>
      <c r="E16210" s="1" t="s">
        <v>6484</v>
      </c>
      <c r="F16210" s="2"/>
      <c r="G16210" s="2"/>
      <c r="H16210" s="2"/>
    </row>
    <row r="16211" spans="1:8" x14ac:dyDescent="0.25">
      <c r="A16211" s="1"/>
      <c r="B16211" s="1" t="s">
        <v>5782</v>
      </c>
      <c r="C16211" s="1" t="s">
        <v>5783</v>
      </c>
      <c r="D16211" s="22" t="str">
        <f>HYPERLINK("https://rhld.insurance.arkansas.gov/NPILookup?Npi=1629367743","1629367743")</f>
        <v>1629367743</v>
      </c>
      <c r="E16211" s="1" t="s">
        <v>22792</v>
      </c>
      <c r="F16211" s="2"/>
      <c r="G16211" s="2"/>
      <c r="H16211" s="2"/>
    </row>
    <row r="16212" spans="1:8" x14ac:dyDescent="0.25">
      <c r="A16212" s="1"/>
      <c r="B16212" s="1" t="s">
        <v>5782</v>
      </c>
      <c r="C16212" s="1" t="s">
        <v>5783</v>
      </c>
      <c r="D16212" s="22" t="str">
        <f>HYPERLINK("https://rhld.insurance.arkansas.gov/NPILookup?Npi=1629376173","1629376173")</f>
        <v>1629376173</v>
      </c>
      <c r="E16212" s="1" t="s">
        <v>22793</v>
      </c>
      <c r="F16212" s="2"/>
      <c r="G16212" s="2"/>
      <c r="H16212" s="2"/>
    </row>
    <row r="16213" spans="1:8" x14ac:dyDescent="0.25">
      <c r="A16213" s="1"/>
      <c r="B16213" s="1" t="s">
        <v>5782</v>
      </c>
      <c r="C16213" s="1" t="s">
        <v>5783</v>
      </c>
      <c r="D16213" s="22" t="str">
        <f>HYPERLINK("https://rhld.insurance.arkansas.gov/NPILookup?Npi=1629390208","1629390208")</f>
        <v>1629390208</v>
      </c>
      <c r="E16213" s="1" t="s">
        <v>11950</v>
      </c>
      <c r="F16213" s="2"/>
      <c r="G16213" s="2"/>
      <c r="H16213" s="2"/>
    </row>
    <row r="16214" spans="1:8" x14ac:dyDescent="0.25">
      <c r="A16214" s="1"/>
      <c r="B16214" s="1" t="s">
        <v>5782</v>
      </c>
      <c r="C16214" s="1" t="s">
        <v>5783</v>
      </c>
      <c r="D16214" s="22" t="str">
        <f>HYPERLINK("https://rhld.insurance.arkansas.gov/NPILookup?Npi=1629397542","1629397542")</f>
        <v>1629397542</v>
      </c>
      <c r="E16214" s="1" t="s">
        <v>22794</v>
      </c>
      <c r="F16214" s="2"/>
      <c r="G16214" s="2"/>
      <c r="H16214" s="2"/>
    </row>
    <row r="16215" spans="1:8" x14ac:dyDescent="0.25">
      <c r="A16215" s="1"/>
      <c r="B16215" s="1" t="s">
        <v>5782</v>
      </c>
      <c r="C16215" s="1" t="s">
        <v>5783</v>
      </c>
      <c r="D16215" s="22" t="str">
        <f>HYPERLINK("https://rhld.insurance.arkansas.gov/NPILookup?Npi=1629399605","1629399605")</f>
        <v>1629399605</v>
      </c>
      <c r="E16215" s="1" t="s">
        <v>22795</v>
      </c>
      <c r="F16215" s="2"/>
      <c r="G16215" s="2"/>
      <c r="H16215" s="2"/>
    </row>
    <row r="16216" spans="1:8" x14ac:dyDescent="0.25">
      <c r="A16216" s="1"/>
      <c r="B16216" s="1" t="s">
        <v>5782</v>
      </c>
      <c r="C16216" s="1" t="s">
        <v>5783</v>
      </c>
      <c r="D16216" s="22" t="str">
        <f>HYPERLINK("https://rhld.insurance.arkansas.gov/NPILookup?Npi=1629412333","1629412333")</f>
        <v>1629412333</v>
      </c>
      <c r="E16216" s="1" t="s">
        <v>3272</v>
      </c>
      <c r="F16216" s="2"/>
      <c r="G16216" s="2"/>
      <c r="H16216" s="2"/>
    </row>
    <row r="16217" spans="1:8" x14ac:dyDescent="0.25">
      <c r="A16217" s="1"/>
      <c r="B16217" s="1" t="s">
        <v>5782</v>
      </c>
      <c r="C16217" s="1" t="s">
        <v>5783</v>
      </c>
      <c r="D16217" s="22" t="str">
        <f>HYPERLINK("https://rhld.insurance.arkansas.gov/NPILookup?Npi=1629424296","1629424296")</f>
        <v>1629424296</v>
      </c>
      <c r="E16217" s="1" t="s">
        <v>1334</v>
      </c>
      <c r="F16217" s="2"/>
      <c r="G16217" s="2"/>
      <c r="H16217" s="2"/>
    </row>
    <row r="16218" spans="1:8" x14ac:dyDescent="0.25">
      <c r="A16218" s="1"/>
      <c r="B16218" s="1" t="s">
        <v>5782</v>
      </c>
      <c r="C16218" s="1" t="s">
        <v>5783</v>
      </c>
      <c r="D16218" s="22" t="str">
        <f>HYPERLINK("https://rhld.insurance.arkansas.gov/NPILookup?Npi=1629425517","1629425517")</f>
        <v>1629425517</v>
      </c>
      <c r="E16218" s="1" t="s">
        <v>22796</v>
      </c>
      <c r="F16218" s="2"/>
      <c r="G16218" s="2"/>
      <c r="H16218" s="2"/>
    </row>
    <row r="16219" spans="1:8" x14ac:dyDescent="0.25">
      <c r="A16219" s="1"/>
      <c r="B16219" s="1" t="s">
        <v>5782</v>
      </c>
      <c r="C16219" s="1" t="s">
        <v>5783</v>
      </c>
      <c r="D16219" s="22" t="str">
        <f>HYPERLINK("https://rhld.insurance.arkansas.gov/NPILookup?Npi=1629426267","1629426267")</f>
        <v>1629426267</v>
      </c>
      <c r="E16219" s="1" t="s">
        <v>22797</v>
      </c>
      <c r="F16219" s="2"/>
      <c r="G16219" s="2"/>
      <c r="H16219" s="2"/>
    </row>
    <row r="16220" spans="1:8" x14ac:dyDescent="0.25">
      <c r="A16220" s="1"/>
      <c r="B16220" s="1" t="s">
        <v>5782</v>
      </c>
      <c r="C16220" s="1" t="s">
        <v>5783</v>
      </c>
      <c r="D16220" s="22" t="str">
        <f>HYPERLINK("https://rhld.insurance.arkansas.gov/NPILookup?Npi=1629426770","1629426770")</f>
        <v>1629426770</v>
      </c>
      <c r="E16220" s="1" t="s">
        <v>22798</v>
      </c>
      <c r="F16220" s="2"/>
      <c r="G16220" s="2"/>
      <c r="H16220" s="2"/>
    </row>
    <row r="16221" spans="1:8" x14ac:dyDescent="0.25">
      <c r="A16221" s="1"/>
      <c r="B16221" s="1" t="s">
        <v>5782</v>
      </c>
      <c r="C16221" s="1" t="s">
        <v>5783</v>
      </c>
      <c r="D16221" s="22" t="str">
        <f>HYPERLINK("https://rhld.insurance.arkansas.gov/NPILookup?Npi=1629436704","1629436704")</f>
        <v>1629436704</v>
      </c>
      <c r="E16221" s="1" t="s">
        <v>22799</v>
      </c>
      <c r="F16221" s="2"/>
      <c r="G16221" s="2"/>
      <c r="H16221" s="2"/>
    </row>
    <row r="16222" spans="1:8" x14ac:dyDescent="0.25">
      <c r="A16222" s="1"/>
      <c r="B16222" s="1" t="s">
        <v>5782</v>
      </c>
      <c r="C16222" s="1" t="s">
        <v>5783</v>
      </c>
      <c r="D16222" s="22" t="str">
        <f>HYPERLINK("https://rhld.insurance.arkansas.gov/NPILookup?Npi=1629463385","1629463385")</f>
        <v>1629463385</v>
      </c>
      <c r="E16222" s="1" t="s">
        <v>22800</v>
      </c>
      <c r="F16222" s="2"/>
      <c r="G16222" s="2"/>
      <c r="H16222" s="2"/>
    </row>
    <row r="16223" spans="1:8" x14ac:dyDescent="0.25">
      <c r="A16223" s="1"/>
      <c r="B16223" s="1" t="s">
        <v>5782</v>
      </c>
      <c r="C16223" s="1" t="s">
        <v>5783</v>
      </c>
      <c r="D16223" s="22" t="str">
        <f>HYPERLINK("https://rhld.insurance.arkansas.gov/NPILookup?Npi=1629471800","1629471800")</f>
        <v>1629471800</v>
      </c>
      <c r="E16223" s="1" t="s">
        <v>22801</v>
      </c>
      <c r="F16223" s="2"/>
      <c r="G16223" s="2"/>
      <c r="H16223" s="2"/>
    </row>
    <row r="16224" spans="1:8" x14ac:dyDescent="0.25">
      <c r="A16224" s="1"/>
      <c r="B16224" s="1" t="s">
        <v>5782</v>
      </c>
      <c r="C16224" s="1" t="s">
        <v>5783</v>
      </c>
      <c r="D16224" s="22" t="str">
        <f>HYPERLINK("https://rhld.insurance.arkansas.gov/NPILookup?Npi=1629474432","1629474432")</f>
        <v>1629474432</v>
      </c>
      <c r="E16224" s="1" t="s">
        <v>6485</v>
      </c>
      <c r="F16224" s="2"/>
      <c r="G16224" s="2"/>
      <c r="H16224" s="2"/>
    </row>
    <row r="16225" spans="1:8" x14ac:dyDescent="0.25">
      <c r="A16225" s="1"/>
      <c r="B16225" s="1" t="s">
        <v>5782</v>
      </c>
      <c r="C16225" s="1" t="s">
        <v>5783</v>
      </c>
      <c r="D16225" s="22" t="str">
        <f>HYPERLINK("https://rhld.insurance.arkansas.gov/NPILookup?Npi=1629478946","1629478946")</f>
        <v>1629478946</v>
      </c>
      <c r="E16225" s="1" t="s">
        <v>22802</v>
      </c>
      <c r="F16225" s="2"/>
      <c r="G16225" s="2"/>
      <c r="H16225" s="2"/>
    </row>
    <row r="16226" spans="1:8" x14ac:dyDescent="0.25">
      <c r="A16226" s="1"/>
      <c r="B16226" s="1" t="s">
        <v>5782</v>
      </c>
      <c r="C16226" s="1" t="s">
        <v>5783</v>
      </c>
      <c r="D16226" s="22" t="str">
        <f>HYPERLINK("https://rhld.insurance.arkansas.gov/NPILookup?Npi=1629479605","1629479605")</f>
        <v>1629479605</v>
      </c>
      <c r="E16226" s="1" t="s">
        <v>3330</v>
      </c>
      <c r="F16226" s="2"/>
      <c r="G16226" s="2"/>
      <c r="H16226" s="2"/>
    </row>
    <row r="16227" spans="1:8" x14ac:dyDescent="0.25">
      <c r="A16227" s="1"/>
      <c r="B16227" s="1" t="s">
        <v>5782</v>
      </c>
      <c r="C16227" s="1" t="s">
        <v>5783</v>
      </c>
      <c r="D16227" s="22" t="str">
        <f>HYPERLINK("https://rhld.insurance.arkansas.gov/NPILookup?Npi=1629489786","1629489786")</f>
        <v>1629489786</v>
      </c>
      <c r="E16227" s="1" t="s">
        <v>11951</v>
      </c>
      <c r="F16227" s="2"/>
      <c r="G16227" s="2"/>
      <c r="H16227" s="2"/>
    </row>
    <row r="16228" spans="1:8" x14ac:dyDescent="0.25">
      <c r="A16228" s="1"/>
      <c r="B16228" s="1" t="s">
        <v>5782</v>
      </c>
      <c r="C16228" s="1" t="s">
        <v>5783</v>
      </c>
      <c r="D16228" s="22" t="str">
        <f>HYPERLINK("https://rhld.insurance.arkansas.gov/NPILookup?Npi=1629526454","1629526454")</f>
        <v>1629526454</v>
      </c>
      <c r="E16228" s="1" t="s">
        <v>22803</v>
      </c>
      <c r="F16228" s="2"/>
      <c r="G16228" s="2"/>
      <c r="H16228" s="2"/>
    </row>
    <row r="16229" spans="1:8" x14ac:dyDescent="0.25">
      <c r="A16229" s="1"/>
      <c r="B16229" s="1" t="s">
        <v>5782</v>
      </c>
      <c r="C16229" s="1" t="s">
        <v>5783</v>
      </c>
      <c r="D16229" s="22" t="str">
        <f>HYPERLINK("https://rhld.insurance.arkansas.gov/NPILookup?Npi=1629539598","1629539598")</f>
        <v>1629539598</v>
      </c>
      <c r="E16229" s="1" t="s">
        <v>22804</v>
      </c>
      <c r="F16229" s="2"/>
      <c r="G16229" s="2"/>
      <c r="H16229" s="2"/>
    </row>
    <row r="16230" spans="1:8" x14ac:dyDescent="0.25">
      <c r="A16230" s="1"/>
      <c r="B16230" s="1" t="s">
        <v>5782</v>
      </c>
      <c r="C16230" s="1" t="s">
        <v>5783</v>
      </c>
      <c r="D16230" s="22" t="str">
        <f>HYPERLINK("https://rhld.insurance.arkansas.gov/NPILookup?Npi=1629547724","1629547724")</f>
        <v>1629547724</v>
      </c>
      <c r="E16230" s="1" t="s">
        <v>22805</v>
      </c>
      <c r="F16230" s="2"/>
      <c r="G16230" s="2"/>
      <c r="H16230" s="2"/>
    </row>
    <row r="16231" spans="1:8" x14ac:dyDescent="0.25">
      <c r="A16231" s="1"/>
      <c r="B16231" s="1" t="s">
        <v>5782</v>
      </c>
      <c r="C16231" s="1" t="s">
        <v>5783</v>
      </c>
      <c r="D16231" s="22" t="str">
        <f>HYPERLINK("https://rhld.insurance.arkansas.gov/NPILookup?Npi=1629548458","1629548458")</f>
        <v>1629548458</v>
      </c>
      <c r="E16231" s="1" t="s">
        <v>1878</v>
      </c>
      <c r="F16231" s="2"/>
      <c r="G16231" s="2"/>
      <c r="H16231" s="2"/>
    </row>
    <row r="16232" spans="1:8" x14ac:dyDescent="0.25">
      <c r="A16232" s="1"/>
      <c r="B16232" s="1" t="s">
        <v>5782</v>
      </c>
      <c r="C16232" s="1" t="s">
        <v>5783</v>
      </c>
      <c r="D16232" s="22" t="str">
        <f>HYPERLINK("https://rhld.insurance.arkansas.gov/NPILookup?Npi=1629550397","1629550397")</f>
        <v>1629550397</v>
      </c>
      <c r="E16232" s="1" t="s">
        <v>22806</v>
      </c>
      <c r="F16232" s="2"/>
      <c r="G16232" s="2"/>
      <c r="H16232" s="2"/>
    </row>
    <row r="16233" spans="1:8" x14ac:dyDescent="0.25">
      <c r="A16233" s="1"/>
      <c r="B16233" s="1" t="s">
        <v>5782</v>
      </c>
      <c r="C16233" s="1" t="s">
        <v>5783</v>
      </c>
      <c r="D16233" s="22" t="str">
        <f>HYPERLINK("https://rhld.insurance.arkansas.gov/NPILookup?Npi=1629551502","1629551502")</f>
        <v>1629551502</v>
      </c>
      <c r="E16233" s="1" t="s">
        <v>22807</v>
      </c>
      <c r="F16233" s="2"/>
      <c r="G16233" s="2"/>
      <c r="H16233" s="2"/>
    </row>
    <row r="16234" spans="1:8" x14ac:dyDescent="0.25">
      <c r="A16234" s="1"/>
      <c r="B16234" s="1" t="s">
        <v>5782</v>
      </c>
      <c r="C16234" s="1" t="s">
        <v>5783</v>
      </c>
      <c r="D16234" s="22" t="str">
        <f>HYPERLINK("https://rhld.insurance.arkansas.gov/NPILookup?Npi=1629565783","1629565783")</f>
        <v>1629565783</v>
      </c>
      <c r="E16234" s="1" t="s">
        <v>6486</v>
      </c>
      <c r="F16234" s="2"/>
      <c r="G16234" s="2"/>
      <c r="H16234" s="2"/>
    </row>
    <row r="16235" spans="1:8" x14ac:dyDescent="0.25">
      <c r="A16235" s="1"/>
      <c r="B16235" s="1" t="s">
        <v>5782</v>
      </c>
      <c r="C16235" s="1" t="s">
        <v>5783</v>
      </c>
      <c r="D16235" s="22" t="str">
        <f>HYPERLINK("https://rhld.insurance.arkansas.gov/NPILookup?Npi=1629600242","1629600242")</f>
        <v>1629600242</v>
      </c>
      <c r="E16235" s="1" t="s">
        <v>6487</v>
      </c>
      <c r="F16235" s="2"/>
      <c r="G16235" s="2"/>
      <c r="H16235" s="2"/>
    </row>
    <row r="16236" spans="1:8" x14ac:dyDescent="0.25">
      <c r="A16236" s="1"/>
      <c r="B16236" s="1" t="s">
        <v>5782</v>
      </c>
      <c r="C16236" s="1" t="s">
        <v>5783</v>
      </c>
      <c r="D16236" s="22" t="str">
        <f>HYPERLINK("https://rhld.insurance.arkansas.gov/NPILookup?Npi=1629604129","1629604129")</f>
        <v>1629604129</v>
      </c>
      <c r="E16236" s="1" t="s">
        <v>6488</v>
      </c>
      <c r="F16236" s="2"/>
      <c r="G16236" s="2"/>
      <c r="H16236" s="2"/>
    </row>
    <row r="16237" spans="1:8" x14ac:dyDescent="0.25">
      <c r="A16237" s="1"/>
      <c r="B16237" s="1" t="s">
        <v>5782</v>
      </c>
      <c r="C16237" s="1" t="s">
        <v>5783</v>
      </c>
      <c r="D16237" s="22" t="str">
        <f>HYPERLINK("https://rhld.insurance.arkansas.gov/NPILookup?Npi=1629605357","1629605357")</f>
        <v>1629605357</v>
      </c>
      <c r="E16237" s="1" t="s">
        <v>6489</v>
      </c>
      <c r="F16237" s="2"/>
      <c r="G16237" s="2"/>
      <c r="H16237" s="2"/>
    </row>
    <row r="16238" spans="1:8" x14ac:dyDescent="0.25">
      <c r="A16238" s="1"/>
      <c r="B16238" s="1" t="s">
        <v>5782</v>
      </c>
      <c r="C16238" s="1" t="s">
        <v>5783</v>
      </c>
      <c r="D16238" s="22" t="str">
        <f>HYPERLINK("https://rhld.insurance.arkansas.gov/NPILookup?Npi=1629616859","1629616859")</f>
        <v>1629616859</v>
      </c>
      <c r="E16238" s="1" t="s">
        <v>22808</v>
      </c>
      <c r="F16238" s="2"/>
      <c r="G16238" s="2"/>
      <c r="H16238" s="2"/>
    </row>
    <row r="16239" spans="1:8" x14ac:dyDescent="0.25">
      <c r="A16239" s="1"/>
      <c r="B16239" s="1" t="s">
        <v>5782</v>
      </c>
      <c r="C16239" s="1" t="s">
        <v>5783</v>
      </c>
      <c r="D16239" s="22" t="str">
        <f>HYPERLINK("https://rhld.insurance.arkansas.gov/NPILookup?Npi=1629619028","1629619028")</f>
        <v>1629619028</v>
      </c>
      <c r="E16239" s="1" t="s">
        <v>5511</v>
      </c>
      <c r="F16239" s="2"/>
      <c r="G16239" s="2"/>
      <c r="H16239" s="2"/>
    </row>
    <row r="16240" spans="1:8" x14ac:dyDescent="0.25">
      <c r="A16240" s="1"/>
      <c r="B16240" s="1" t="s">
        <v>5782</v>
      </c>
      <c r="C16240" s="1" t="s">
        <v>5783</v>
      </c>
      <c r="D16240" s="22" t="str">
        <f>HYPERLINK("https://rhld.insurance.arkansas.gov/NPILookup?Npi=1629639588","1629639588")</f>
        <v>1629639588</v>
      </c>
      <c r="E16240" s="1" t="s">
        <v>22809</v>
      </c>
      <c r="F16240" s="2"/>
      <c r="G16240" s="2"/>
      <c r="H16240" s="2"/>
    </row>
    <row r="16241" spans="1:8" x14ac:dyDescent="0.25">
      <c r="A16241" s="1"/>
      <c r="B16241" s="1" t="s">
        <v>5782</v>
      </c>
      <c r="C16241" s="1" t="s">
        <v>5783</v>
      </c>
      <c r="D16241" s="22" t="str">
        <f>HYPERLINK("https://rhld.insurance.arkansas.gov/NPILookup?Npi=1629661806","1629661806")</f>
        <v>1629661806</v>
      </c>
      <c r="E16241" s="1" t="s">
        <v>22810</v>
      </c>
      <c r="F16241" s="2"/>
      <c r="G16241" s="2"/>
      <c r="H16241" s="2"/>
    </row>
    <row r="16242" spans="1:8" x14ac:dyDescent="0.25">
      <c r="A16242" s="1"/>
      <c r="B16242" s="1" t="s">
        <v>5782</v>
      </c>
      <c r="C16242" s="1" t="s">
        <v>5783</v>
      </c>
      <c r="D16242" s="22" t="str">
        <f>HYPERLINK("https://rhld.insurance.arkansas.gov/NPILookup?Npi=1629682653","1629682653")</f>
        <v>1629682653</v>
      </c>
      <c r="E16242" s="1" t="s">
        <v>22811</v>
      </c>
      <c r="F16242" s="2"/>
      <c r="G16242" s="2"/>
      <c r="H16242" s="2"/>
    </row>
    <row r="16243" spans="1:8" x14ac:dyDescent="0.25">
      <c r="A16243" s="1"/>
      <c r="B16243" s="1" t="s">
        <v>5782</v>
      </c>
      <c r="C16243" s="1" t="s">
        <v>5783</v>
      </c>
      <c r="D16243" s="22" t="str">
        <f>HYPERLINK("https://rhld.insurance.arkansas.gov/NPILookup?Npi=1629702832","1629702832")</f>
        <v>1629702832</v>
      </c>
      <c r="E16243" s="1" t="s">
        <v>22812</v>
      </c>
      <c r="F16243" s="2"/>
      <c r="G16243" s="2"/>
      <c r="H16243" s="2"/>
    </row>
    <row r="16244" spans="1:8" x14ac:dyDescent="0.25">
      <c r="A16244" s="1"/>
      <c r="B16244" s="1" t="s">
        <v>5782</v>
      </c>
      <c r="C16244" s="1" t="s">
        <v>5783</v>
      </c>
      <c r="D16244" s="22" t="str">
        <f>HYPERLINK("https://rhld.insurance.arkansas.gov/NPILookup?Npi=1629723747","1629723747")</f>
        <v>1629723747</v>
      </c>
      <c r="E16244" s="1" t="s">
        <v>5285</v>
      </c>
      <c r="F16244" s="2"/>
      <c r="G16244" s="2"/>
      <c r="H16244" s="2"/>
    </row>
    <row r="16245" spans="1:8" x14ac:dyDescent="0.25">
      <c r="A16245" s="1"/>
      <c r="B16245" s="1" t="s">
        <v>5782</v>
      </c>
      <c r="C16245" s="1" t="s">
        <v>5783</v>
      </c>
      <c r="D16245" s="22" t="str">
        <f>HYPERLINK("https://rhld.insurance.arkansas.gov/NPILookup?Npi=1629723945","1629723945")</f>
        <v>1629723945</v>
      </c>
      <c r="E16245" s="1" t="s">
        <v>6490</v>
      </c>
      <c r="F16245" s="2"/>
      <c r="G16245" s="2"/>
      <c r="H16245" s="2"/>
    </row>
    <row r="16246" spans="1:8" x14ac:dyDescent="0.25">
      <c r="A16246" s="1"/>
      <c r="B16246" s="1" t="s">
        <v>5782</v>
      </c>
      <c r="C16246" s="1" t="s">
        <v>5783</v>
      </c>
      <c r="D16246" s="22" t="str">
        <f>HYPERLINK("https://rhld.insurance.arkansas.gov/NPILookup?Npi=1629727607","1629727607")</f>
        <v>1629727607</v>
      </c>
      <c r="E16246" s="1" t="s">
        <v>22813</v>
      </c>
      <c r="F16246" s="2"/>
      <c r="G16246" s="2"/>
      <c r="H16246" s="2"/>
    </row>
    <row r="16247" spans="1:8" x14ac:dyDescent="0.25">
      <c r="A16247" s="1"/>
      <c r="B16247" s="1" t="s">
        <v>5782</v>
      </c>
      <c r="C16247" s="1" t="s">
        <v>5783</v>
      </c>
      <c r="D16247" s="22" t="str">
        <f>HYPERLINK("https://rhld.insurance.arkansas.gov/NPILookup?Npi=1629784251","1629784251")</f>
        <v>1629784251</v>
      </c>
      <c r="E16247" s="1" t="s">
        <v>22814</v>
      </c>
      <c r="F16247" s="2"/>
      <c r="G16247" s="2"/>
      <c r="H16247" s="2"/>
    </row>
    <row r="16248" spans="1:8" x14ac:dyDescent="0.25">
      <c r="A16248" s="1"/>
      <c r="B16248" s="1" t="s">
        <v>5782</v>
      </c>
      <c r="C16248" s="1" t="s">
        <v>5783</v>
      </c>
      <c r="D16248" s="22" t="str">
        <f>HYPERLINK("https://rhld.insurance.arkansas.gov/NPILookup?Npi=1629785480","1629785480")</f>
        <v>1629785480</v>
      </c>
      <c r="E16248" s="1" t="s">
        <v>22815</v>
      </c>
      <c r="F16248" s="2"/>
      <c r="G16248" s="2"/>
      <c r="H16248" s="2"/>
    </row>
    <row r="16249" spans="1:8" x14ac:dyDescent="0.25">
      <c r="A16249" s="1"/>
      <c r="B16249" s="1" t="s">
        <v>5782</v>
      </c>
      <c r="C16249" s="1" t="s">
        <v>5783</v>
      </c>
      <c r="D16249" s="22" t="str">
        <f>HYPERLINK("https://rhld.insurance.arkansas.gov/NPILookup?Npi=1629788013","1629788013")</f>
        <v>1629788013</v>
      </c>
      <c r="E16249" s="1" t="s">
        <v>22816</v>
      </c>
      <c r="F16249" s="2"/>
      <c r="G16249" s="2"/>
      <c r="H16249" s="2"/>
    </row>
    <row r="16250" spans="1:8" x14ac:dyDescent="0.25">
      <c r="A16250" s="1"/>
      <c r="B16250" s="1" t="s">
        <v>5782</v>
      </c>
      <c r="C16250" s="1" t="s">
        <v>5783</v>
      </c>
      <c r="D16250" s="22" t="str">
        <f>HYPERLINK("https://rhld.insurance.arkansas.gov/NPILookup?Npi=1629794375","1629794375")</f>
        <v>1629794375</v>
      </c>
      <c r="E16250" s="1" t="s">
        <v>6491</v>
      </c>
      <c r="F16250" s="2"/>
      <c r="G16250" s="2"/>
      <c r="H16250" s="2"/>
    </row>
    <row r="16251" spans="1:8" x14ac:dyDescent="0.25">
      <c r="A16251" s="1"/>
      <c r="B16251" s="1" t="s">
        <v>5782</v>
      </c>
      <c r="C16251" s="1" t="s">
        <v>5783</v>
      </c>
      <c r="D16251" s="22" t="str">
        <f>HYPERLINK("https://rhld.insurance.arkansas.gov/NPILookup?Npi=1629796750","1629796750")</f>
        <v>1629796750</v>
      </c>
      <c r="E16251" s="1" t="s">
        <v>6492</v>
      </c>
      <c r="F16251" s="2"/>
      <c r="G16251" s="2"/>
      <c r="H16251" s="2"/>
    </row>
    <row r="16252" spans="1:8" x14ac:dyDescent="0.25">
      <c r="A16252" s="1"/>
      <c r="B16252" s="1" t="s">
        <v>5782</v>
      </c>
      <c r="C16252" s="1" t="s">
        <v>5783</v>
      </c>
      <c r="D16252" s="22" t="str">
        <f>HYPERLINK("https://rhld.insurance.arkansas.gov/NPILookup?Npi=1629799648","1629799648")</f>
        <v>1629799648</v>
      </c>
      <c r="E16252" s="1" t="s">
        <v>22817</v>
      </c>
      <c r="F16252" s="2"/>
      <c r="G16252" s="2"/>
      <c r="H16252" s="2"/>
    </row>
    <row r="16253" spans="1:8" x14ac:dyDescent="0.25">
      <c r="A16253" s="1"/>
      <c r="B16253" s="1" t="s">
        <v>5782</v>
      </c>
      <c r="C16253" s="1" t="s">
        <v>5783</v>
      </c>
      <c r="D16253" s="22" t="str">
        <f>HYPERLINK("https://rhld.insurance.arkansas.gov/NPILookup?Npi=1629884606","1629884606")</f>
        <v>1629884606</v>
      </c>
      <c r="E16253" s="1" t="s">
        <v>31908</v>
      </c>
      <c r="F16253" s="2"/>
      <c r="G16253" s="2"/>
      <c r="H16253" s="2"/>
    </row>
    <row r="16254" spans="1:8" x14ac:dyDescent="0.25">
      <c r="A16254" s="1"/>
      <c r="B16254" s="1" t="s">
        <v>5782</v>
      </c>
      <c r="C16254" s="1" t="s">
        <v>5783</v>
      </c>
      <c r="D16254" s="22" t="str">
        <f>HYPERLINK("https://rhld.insurance.arkansas.gov/NPILookup?Npi=1639104920","1639104920")</f>
        <v>1639104920</v>
      </c>
      <c r="E16254" s="1" t="s">
        <v>11957</v>
      </c>
      <c r="F16254" s="2"/>
      <c r="G16254" s="2"/>
      <c r="H16254" s="2"/>
    </row>
    <row r="16255" spans="1:8" x14ac:dyDescent="0.25">
      <c r="A16255" s="1"/>
      <c r="B16255" s="1" t="s">
        <v>5782</v>
      </c>
      <c r="C16255" s="1" t="s">
        <v>5783</v>
      </c>
      <c r="D16255" s="22" t="str">
        <f>HYPERLINK("https://rhld.insurance.arkansas.gov/NPILookup?Npi=1639108921","1639108921")</f>
        <v>1639108921</v>
      </c>
      <c r="E16255" s="1" t="s">
        <v>22818</v>
      </c>
      <c r="F16255" s="2"/>
      <c r="G16255" s="2"/>
      <c r="H16255" s="2"/>
    </row>
    <row r="16256" spans="1:8" x14ac:dyDescent="0.25">
      <c r="A16256" s="1"/>
      <c r="B16256" s="1" t="s">
        <v>5782</v>
      </c>
      <c r="C16256" s="1" t="s">
        <v>5783</v>
      </c>
      <c r="D16256" s="22" t="str">
        <f>HYPERLINK("https://rhld.insurance.arkansas.gov/NPILookup?Npi=1639137458","1639137458")</f>
        <v>1639137458</v>
      </c>
      <c r="E16256" s="1" t="s">
        <v>22819</v>
      </c>
      <c r="F16256" s="2"/>
      <c r="G16256" s="2"/>
      <c r="H16256" s="2"/>
    </row>
    <row r="16257" spans="1:8" x14ac:dyDescent="0.25">
      <c r="A16257" s="1"/>
      <c r="B16257" s="1" t="s">
        <v>5782</v>
      </c>
      <c r="C16257" s="1" t="s">
        <v>5783</v>
      </c>
      <c r="D16257" s="22" t="str">
        <f>HYPERLINK("https://rhld.insurance.arkansas.gov/NPILookup?Npi=1639177025","1639177025")</f>
        <v>1639177025</v>
      </c>
      <c r="E16257" s="1" t="s">
        <v>22820</v>
      </c>
      <c r="F16257" s="2"/>
      <c r="G16257" s="2"/>
      <c r="H16257" s="2"/>
    </row>
    <row r="16258" spans="1:8" x14ac:dyDescent="0.25">
      <c r="A16258" s="1"/>
      <c r="B16258" s="1" t="s">
        <v>5782</v>
      </c>
      <c r="C16258" s="1" t="s">
        <v>5783</v>
      </c>
      <c r="D16258" s="22" t="str">
        <f>HYPERLINK("https://rhld.insurance.arkansas.gov/NPILookup?Npi=1639182942","1639182942")</f>
        <v>1639182942</v>
      </c>
      <c r="E16258" s="1" t="s">
        <v>22821</v>
      </c>
      <c r="F16258" s="2"/>
      <c r="G16258" s="2"/>
      <c r="H16258" s="2"/>
    </row>
    <row r="16259" spans="1:8" x14ac:dyDescent="0.25">
      <c r="A16259" s="1"/>
      <c r="B16259" s="1" t="s">
        <v>5782</v>
      </c>
      <c r="C16259" s="1" t="s">
        <v>5783</v>
      </c>
      <c r="D16259" s="22" t="str">
        <f>HYPERLINK("https://rhld.insurance.arkansas.gov/NPILookup?Npi=1639194566","1639194566")</f>
        <v>1639194566</v>
      </c>
      <c r="E16259" s="1" t="s">
        <v>6493</v>
      </c>
      <c r="F16259" s="2"/>
      <c r="G16259" s="2"/>
      <c r="H16259" s="2"/>
    </row>
    <row r="16260" spans="1:8" x14ac:dyDescent="0.25">
      <c r="A16260" s="1"/>
      <c r="B16260" s="1" t="s">
        <v>5782</v>
      </c>
      <c r="C16260" s="1" t="s">
        <v>5783</v>
      </c>
      <c r="D16260" s="22" t="str">
        <f>HYPERLINK("https://rhld.insurance.arkansas.gov/NPILookup?Npi=1639198229","1639198229")</f>
        <v>1639198229</v>
      </c>
      <c r="E16260" s="1" t="s">
        <v>13991</v>
      </c>
      <c r="F16260" s="2"/>
      <c r="G16260" s="2"/>
      <c r="H16260" s="2"/>
    </row>
    <row r="16261" spans="1:8" x14ac:dyDescent="0.25">
      <c r="A16261" s="1"/>
      <c r="B16261" s="1" t="s">
        <v>5782</v>
      </c>
      <c r="C16261" s="1" t="s">
        <v>5783</v>
      </c>
      <c r="D16261" s="22" t="str">
        <f>HYPERLINK("https://rhld.insurance.arkansas.gov/NPILookup?Npi=1639206014","1639206014")</f>
        <v>1639206014</v>
      </c>
      <c r="E16261" s="1" t="s">
        <v>945</v>
      </c>
      <c r="F16261" s="2"/>
      <c r="G16261" s="2"/>
      <c r="H16261" s="2"/>
    </row>
    <row r="16262" spans="1:8" x14ac:dyDescent="0.25">
      <c r="A16262" s="1"/>
      <c r="B16262" s="1" t="s">
        <v>5782</v>
      </c>
      <c r="C16262" s="1" t="s">
        <v>5783</v>
      </c>
      <c r="D16262" s="22" t="str">
        <f>HYPERLINK("https://rhld.insurance.arkansas.gov/NPILookup?Npi=1639237712","1639237712")</f>
        <v>1639237712</v>
      </c>
      <c r="E16262" s="1" t="s">
        <v>22822</v>
      </c>
      <c r="F16262" s="2"/>
      <c r="G16262" s="2"/>
      <c r="H16262" s="2"/>
    </row>
    <row r="16263" spans="1:8" x14ac:dyDescent="0.25">
      <c r="A16263" s="1"/>
      <c r="B16263" s="1" t="s">
        <v>5782</v>
      </c>
      <c r="C16263" s="1" t="s">
        <v>5783</v>
      </c>
      <c r="D16263" s="22" t="str">
        <f>HYPERLINK("https://rhld.insurance.arkansas.gov/NPILookup?Npi=1639269202","1639269202")</f>
        <v>1639269202</v>
      </c>
      <c r="E16263" s="1" t="s">
        <v>22823</v>
      </c>
      <c r="F16263" s="2"/>
      <c r="G16263" s="2"/>
      <c r="H16263" s="2"/>
    </row>
    <row r="16264" spans="1:8" x14ac:dyDescent="0.25">
      <c r="A16264" s="1"/>
      <c r="B16264" s="1" t="s">
        <v>5782</v>
      </c>
      <c r="C16264" s="1" t="s">
        <v>5783</v>
      </c>
      <c r="D16264" s="22" t="str">
        <f>HYPERLINK("https://rhld.insurance.arkansas.gov/NPILookup?Npi=1639280092","1639280092")</f>
        <v>1639280092</v>
      </c>
      <c r="E16264" s="1" t="s">
        <v>3331</v>
      </c>
      <c r="F16264" s="2"/>
      <c r="G16264" s="2"/>
      <c r="H16264" s="2"/>
    </row>
    <row r="16265" spans="1:8" x14ac:dyDescent="0.25">
      <c r="A16265" s="1"/>
      <c r="B16265" s="1" t="s">
        <v>5782</v>
      </c>
      <c r="C16265" s="1" t="s">
        <v>5783</v>
      </c>
      <c r="D16265" s="22" t="str">
        <f>HYPERLINK("https://rhld.insurance.arkansas.gov/NPILookup?Npi=1639300064","1639300064")</f>
        <v>1639300064</v>
      </c>
      <c r="E16265" s="1" t="s">
        <v>11952</v>
      </c>
      <c r="F16265" s="2"/>
      <c r="G16265" s="2"/>
      <c r="H16265" s="2"/>
    </row>
    <row r="16266" spans="1:8" x14ac:dyDescent="0.25">
      <c r="A16266" s="1"/>
      <c r="B16266" s="1" t="s">
        <v>5782</v>
      </c>
      <c r="C16266" s="1" t="s">
        <v>5783</v>
      </c>
      <c r="D16266" s="22" t="str">
        <f>HYPERLINK("https://rhld.insurance.arkansas.gov/NPILookup?Npi=1639300965","1639300965")</f>
        <v>1639300965</v>
      </c>
      <c r="E16266" s="1" t="s">
        <v>22824</v>
      </c>
      <c r="F16266" s="2"/>
      <c r="G16266" s="2"/>
      <c r="H16266" s="2"/>
    </row>
    <row r="16267" spans="1:8" x14ac:dyDescent="0.25">
      <c r="A16267" s="1"/>
      <c r="B16267" s="1" t="s">
        <v>5782</v>
      </c>
      <c r="C16267" s="1" t="s">
        <v>5783</v>
      </c>
      <c r="D16267" s="22" t="str">
        <f>HYPERLINK("https://rhld.insurance.arkansas.gov/NPILookup?Npi=1639303340","1639303340")</f>
        <v>1639303340</v>
      </c>
      <c r="E16267" s="1" t="s">
        <v>11953</v>
      </c>
      <c r="F16267" s="2"/>
      <c r="G16267" s="2"/>
      <c r="H16267" s="2"/>
    </row>
    <row r="16268" spans="1:8" x14ac:dyDescent="0.25">
      <c r="A16268" s="1"/>
      <c r="B16268" s="1" t="s">
        <v>5782</v>
      </c>
      <c r="C16268" s="1" t="s">
        <v>5783</v>
      </c>
      <c r="D16268" s="22" t="str">
        <f>HYPERLINK("https://rhld.insurance.arkansas.gov/NPILookup?Npi=1639321557","1639321557")</f>
        <v>1639321557</v>
      </c>
      <c r="E16268" s="1" t="s">
        <v>2206</v>
      </c>
      <c r="F16268" s="2"/>
      <c r="G16268" s="2"/>
      <c r="H16268" s="2"/>
    </row>
    <row r="16269" spans="1:8" x14ac:dyDescent="0.25">
      <c r="A16269" s="1"/>
      <c r="B16269" s="1" t="s">
        <v>5782</v>
      </c>
      <c r="C16269" s="1" t="s">
        <v>5783</v>
      </c>
      <c r="D16269" s="22" t="str">
        <f>HYPERLINK("https://rhld.insurance.arkansas.gov/NPILookup?Npi=1639323389","1639323389")</f>
        <v>1639323389</v>
      </c>
      <c r="E16269" s="1" t="s">
        <v>3332</v>
      </c>
      <c r="F16269" s="2"/>
      <c r="G16269" s="2"/>
      <c r="H16269" s="2"/>
    </row>
    <row r="16270" spans="1:8" x14ac:dyDescent="0.25">
      <c r="A16270" s="1"/>
      <c r="B16270" s="1" t="s">
        <v>5782</v>
      </c>
      <c r="C16270" s="1" t="s">
        <v>5783</v>
      </c>
      <c r="D16270" s="22" t="str">
        <f>HYPERLINK("https://rhld.insurance.arkansas.gov/NPILookup?Npi=1639331168","1639331168")</f>
        <v>1639331168</v>
      </c>
      <c r="E16270" s="1" t="s">
        <v>6494</v>
      </c>
      <c r="F16270" s="2"/>
      <c r="G16270" s="2"/>
      <c r="H16270" s="2"/>
    </row>
    <row r="16271" spans="1:8" x14ac:dyDescent="0.25">
      <c r="A16271" s="1"/>
      <c r="B16271" s="1" t="s">
        <v>5782</v>
      </c>
      <c r="C16271" s="1" t="s">
        <v>5783</v>
      </c>
      <c r="D16271" s="22" t="str">
        <f>HYPERLINK("https://rhld.insurance.arkansas.gov/NPILookup?Npi=1639337975","1639337975")</f>
        <v>1639337975</v>
      </c>
      <c r="E16271" s="1" t="s">
        <v>6495</v>
      </c>
      <c r="F16271" s="2"/>
      <c r="G16271" s="2"/>
      <c r="H16271" s="2"/>
    </row>
    <row r="16272" spans="1:8" x14ac:dyDescent="0.25">
      <c r="A16272" s="1"/>
      <c r="B16272" s="1" t="s">
        <v>5782</v>
      </c>
      <c r="C16272" s="1" t="s">
        <v>5783</v>
      </c>
      <c r="D16272" s="22" t="str">
        <f>HYPERLINK("https://rhld.insurance.arkansas.gov/NPILookup?Npi=1639339534","1639339534")</f>
        <v>1639339534</v>
      </c>
      <c r="E16272" s="1" t="s">
        <v>22825</v>
      </c>
      <c r="F16272" s="2"/>
      <c r="G16272" s="2"/>
      <c r="H16272" s="2"/>
    </row>
    <row r="16273" spans="1:8" x14ac:dyDescent="0.25">
      <c r="A16273" s="1"/>
      <c r="B16273" s="1" t="s">
        <v>5782</v>
      </c>
      <c r="C16273" s="1" t="s">
        <v>5783</v>
      </c>
      <c r="D16273" s="22" t="str">
        <f>HYPERLINK("https://rhld.insurance.arkansas.gov/NPILookup?Npi=1639346117","1639346117")</f>
        <v>1639346117</v>
      </c>
      <c r="E16273" s="1" t="s">
        <v>3333</v>
      </c>
      <c r="F16273" s="2"/>
      <c r="G16273" s="2"/>
      <c r="H16273" s="2"/>
    </row>
    <row r="16274" spans="1:8" x14ac:dyDescent="0.25">
      <c r="A16274" s="1"/>
      <c r="B16274" s="1" t="s">
        <v>5782</v>
      </c>
      <c r="C16274" s="1" t="s">
        <v>5783</v>
      </c>
      <c r="D16274" s="22" t="str">
        <f>HYPERLINK("https://rhld.insurance.arkansas.gov/NPILookup?Npi=1639346786","1639346786")</f>
        <v>1639346786</v>
      </c>
      <c r="E16274" s="1" t="s">
        <v>22826</v>
      </c>
      <c r="F16274" s="2"/>
      <c r="G16274" s="2"/>
      <c r="H16274" s="2"/>
    </row>
    <row r="16275" spans="1:8" x14ac:dyDescent="0.25">
      <c r="A16275" s="1"/>
      <c r="B16275" s="1" t="s">
        <v>5782</v>
      </c>
      <c r="C16275" s="1" t="s">
        <v>5783</v>
      </c>
      <c r="D16275" s="22" t="str">
        <f>HYPERLINK("https://rhld.insurance.arkansas.gov/NPILookup?Npi=1639357700","1639357700")</f>
        <v>1639357700</v>
      </c>
      <c r="E16275" s="1" t="s">
        <v>3334</v>
      </c>
      <c r="F16275" s="2"/>
      <c r="G16275" s="2"/>
      <c r="H16275" s="2"/>
    </row>
    <row r="16276" spans="1:8" x14ac:dyDescent="0.25">
      <c r="A16276" s="1"/>
      <c r="B16276" s="1" t="s">
        <v>5782</v>
      </c>
      <c r="C16276" s="1" t="s">
        <v>5783</v>
      </c>
      <c r="D16276" s="22" t="str">
        <f>HYPERLINK("https://rhld.insurance.arkansas.gov/NPILookup?Npi=1639361165","1639361165")</f>
        <v>1639361165</v>
      </c>
      <c r="E16276" s="1" t="s">
        <v>11954</v>
      </c>
      <c r="F16276" s="2"/>
      <c r="G16276" s="2"/>
      <c r="H16276" s="2"/>
    </row>
    <row r="16277" spans="1:8" x14ac:dyDescent="0.25">
      <c r="A16277" s="1"/>
      <c r="B16277" s="1" t="s">
        <v>5782</v>
      </c>
      <c r="C16277" s="1" t="s">
        <v>5783</v>
      </c>
      <c r="D16277" s="22" t="str">
        <f>HYPERLINK("https://rhld.insurance.arkansas.gov/NPILookup?Npi=1639373384","1639373384")</f>
        <v>1639373384</v>
      </c>
      <c r="E16277" s="1" t="s">
        <v>368</v>
      </c>
      <c r="F16277" s="2"/>
      <c r="G16277" s="2"/>
      <c r="H16277" s="2"/>
    </row>
    <row r="16278" spans="1:8" x14ac:dyDescent="0.25">
      <c r="A16278" s="1"/>
      <c r="B16278" s="1" t="s">
        <v>5782</v>
      </c>
      <c r="C16278" s="1" t="s">
        <v>5783</v>
      </c>
      <c r="D16278" s="22" t="str">
        <f>HYPERLINK("https://rhld.insurance.arkansas.gov/NPILookup?Npi=1639392046","1639392046")</f>
        <v>1639392046</v>
      </c>
      <c r="E16278" s="1" t="s">
        <v>22827</v>
      </c>
      <c r="F16278" s="2"/>
      <c r="G16278" s="2"/>
      <c r="H16278" s="2"/>
    </row>
    <row r="16279" spans="1:8" x14ac:dyDescent="0.25">
      <c r="A16279" s="1"/>
      <c r="B16279" s="1" t="s">
        <v>5782</v>
      </c>
      <c r="C16279" s="1" t="s">
        <v>5783</v>
      </c>
      <c r="D16279" s="22" t="str">
        <f>HYPERLINK("https://rhld.insurance.arkansas.gov/NPILookup?Npi=1639400294","1639400294")</f>
        <v>1639400294</v>
      </c>
      <c r="E16279" s="1" t="s">
        <v>22828</v>
      </c>
      <c r="F16279" s="2"/>
      <c r="G16279" s="2"/>
      <c r="H16279" s="2"/>
    </row>
    <row r="16280" spans="1:8" x14ac:dyDescent="0.25">
      <c r="A16280" s="1"/>
      <c r="B16280" s="1" t="s">
        <v>5782</v>
      </c>
      <c r="C16280" s="1" t="s">
        <v>5783</v>
      </c>
      <c r="D16280" s="22" t="str">
        <f>HYPERLINK("https://rhld.insurance.arkansas.gov/NPILookup?Npi=1639409444","1639409444")</f>
        <v>1639409444</v>
      </c>
      <c r="E16280" s="1" t="s">
        <v>21686</v>
      </c>
      <c r="F16280" s="2"/>
      <c r="G16280" s="2"/>
      <c r="H16280" s="2"/>
    </row>
    <row r="16281" spans="1:8" x14ac:dyDescent="0.25">
      <c r="A16281" s="1"/>
      <c r="B16281" s="1" t="s">
        <v>5782</v>
      </c>
      <c r="C16281" s="1" t="s">
        <v>5783</v>
      </c>
      <c r="D16281" s="22" t="str">
        <f>HYPERLINK("https://rhld.insurance.arkansas.gov/NPILookup?Npi=1639411705","1639411705")</f>
        <v>1639411705</v>
      </c>
      <c r="E16281" s="1" t="s">
        <v>11955</v>
      </c>
      <c r="F16281" s="2"/>
      <c r="G16281" s="2"/>
      <c r="H16281" s="2"/>
    </row>
    <row r="16282" spans="1:8" x14ac:dyDescent="0.25">
      <c r="A16282" s="1"/>
      <c r="B16282" s="1" t="s">
        <v>5782</v>
      </c>
      <c r="C16282" s="1" t="s">
        <v>5783</v>
      </c>
      <c r="D16282" s="22" t="str">
        <f>HYPERLINK("https://rhld.insurance.arkansas.gov/NPILookup?Npi=1639426513","1639426513")</f>
        <v>1639426513</v>
      </c>
      <c r="E16282" s="1" t="s">
        <v>5859</v>
      </c>
      <c r="F16282" s="2"/>
      <c r="G16282" s="2"/>
      <c r="H16282" s="2"/>
    </row>
    <row r="16283" spans="1:8" x14ac:dyDescent="0.25">
      <c r="A16283" s="1"/>
      <c r="B16283" s="1" t="s">
        <v>5782</v>
      </c>
      <c r="C16283" s="1" t="s">
        <v>5783</v>
      </c>
      <c r="D16283" s="22" t="str">
        <f>HYPERLINK("https://rhld.insurance.arkansas.gov/NPILookup?Npi=1639427099","1639427099")</f>
        <v>1639427099</v>
      </c>
      <c r="E16283" s="1" t="s">
        <v>3335</v>
      </c>
      <c r="F16283" s="2"/>
      <c r="G16283" s="2"/>
      <c r="H16283" s="2"/>
    </row>
    <row r="16284" spans="1:8" x14ac:dyDescent="0.25">
      <c r="A16284" s="1"/>
      <c r="B16284" s="1" t="s">
        <v>5782</v>
      </c>
      <c r="C16284" s="1" t="s">
        <v>5783</v>
      </c>
      <c r="D16284" s="22" t="str">
        <f>HYPERLINK("https://rhld.insurance.arkansas.gov/NPILookup?Npi=1639441553","1639441553")</f>
        <v>1639441553</v>
      </c>
      <c r="E16284" s="1" t="s">
        <v>31909</v>
      </c>
      <c r="F16284" s="2"/>
      <c r="G16284" s="2"/>
      <c r="H16284" s="2"/>
    </row>
    <row r="16285" spans="1:8" x14ac:dyDescent="0.25">
      <c r="A16285" s="1"/>
      <c r="B16285" s="1" t="s">
        <v>5782</v>
      </c>
      <c r="C16285" s="1" t="s">
        <v>5783</v>
      </c>
      <c r="D16285" s="22" t="str">
        <f>HYPERLINK("https://rhld.insurance.arkansas.gov/NPILookup?Npi=1639457088","1639457088")</f>
        <v>1639457088</v>
      </c>
      <c r="E16285" s="1" t="s">
        <v>6496</v>
      </c>
      <c r="F16285" s="2"/>
      <c r="G16285" s="2"/>
      <c r="H16285" s="2"/>
    </row>
    <row r="16286" spans="1:8" x14ac:dyDescent="0.25">
      <c r="A16286" s="1"/>
      <c r="B16286" s="1" t="s">
        <v>5782</v>
      </c>
      <c r="C16286" s="1" t="s">
        <v>5783</v>
      </c>
      <c r="D16286" s="22" t="str">
        <f>HYPERLINK("https://rhld.insurance.arkansas.gov/NPILookup?Npi=1639458060","1639458060")</f>
        <v>1639458060</v>
      </c>
      <c r="E16286" s="1" t="s">
        <v>2499</v>
      </c>
      <c r="F16286" s="2"/>
      <c r="G16286" s="2"/>
      <c r="H16286" s="2"/>
    </row>
    <row r="16287" spans="1:8" x14ac:dyDescent="0.25">
      <c r="A16287" s="1"/>
      <c r="B16287" s="1" t="s">
        <v>5782</v>
      </c>
      <c r="C16287" s="1" t="s">
        <v>5783</v>
      </c>
      <c r="D16287" s="22" t="str">
        <f>HYPERLINK("https://rhld.insurance.arkansas.gov/NPILookup?Npi=1639461270","1639461270")</f>
        <v>1639461270</v>
      </c>
      <c r="E16287" s="1" t="s">
        <v>20320</v>
      </c>
      <c r="F16287" s="2"/>
      <c r="G16287" s="2"/>
      <c r="H16287" s="2"/>
    </row>
    <row r="16288" spans="1:8" x14ac:dyDescent="0.25">
      <c r="A16288" s="1"/>
      <c r="B16288" s="1" t="s">
        <v>5782</v>
      </c>
      <c r="C16288" s="1" t="s">
        <v>5783</v>
      </c>
      <c r="D16288" s="22" t="str">
        <f>HYPERLINK("https://rhld.insurance.arkansas.gov/NPILookup?Npi=1639479660","1639479660")</f>
        <v>1639479660</v>
      </c>
      <c r="E16288" s="1" t="s">
        <v>22829</v>
      </c>
      <c r="F16288" s="2"/>
      <c r="G16288" s="2"/>
      <c r="H16288" s="2"/>
    </row>
    <row r="16289" spans="1:8" x14ac:dyDescent="0.25">
      <c r="A16289" s="1"/>
      <c r="B16289" s="1" t="s">
        <v>5782</v>
      </c>
      <c r="C16289" s="1" t="s">
        <v>5783</v>
      </c>
      <c r="D16289" s="22" t="str">
        <f>HYPERLINK("https://rhld.insurance.arkansas.gov/NPILookup?Npi=1639488216","1639488216")</f>
        <v>1639488216</v>
      </c>
      <c r="E16289" s="1" t="s">
        <v>6497</v>
      </c>
      <c r="F16289" s="2"/>
      <c r="G16289" s="2"/>
      <c r="H16289" s="2"/>
    </row>
    <row r="16290" spans="1:8" x14ac:dyDescent="0.25">
      <c r="A16290" s="1"/>
      <c r="B16290" s="1" t="s">
        <v>5782</v>
      </c>
      <c r="C16290" s="1" t="s">
        <v>5783</v>
      </c>
      <c r="D16290" s="22" t="str">
        <f>HYPERLINK("https://rhld.insurance.arkansas.gov/NPILookup?Npi=1639504988","1639504988")</f>
        <v>1639504988</v>
      </c>
      <c r="E16290" s="1" t="s">
        <v>22830</v>
      </c>
      <c r="F16290" s="2"/>
      <c r="G16290" s="2"/>
      <c r="H16290" s="2"/>
    </row>
    <row r="16291" spans="1:8" x14ac:dyDescent="0.25">
      <c r="A16291" s="1"/>
      <c r="B16291" s="1" t="s">
        <v>5782</v>
      </c>
      <c r="C16291" s="1" t="s">
        <v>5783</v>
      </c>
      <c r="D16291" s="22" t="str">
        <f>HYPERLINK("https://rhld.insurance.arkansas.gov/NPILookup?Npi=1639560733","1639560733")</f>
        <v>1639560733</v>
      </c>
      <c r="E16291" s="1" t="s">
        <v>22831</v>
      </c>
      <c r="F16291" s="2"/>
      <c r="G16291" s="2"/>
      <c r="H16291" s="2"/>
    </row>
    <row r="16292" spans="1:8" x14ac:dyDescent="0.25">
      <c r="A16292" s="1"/>
      <c r="B16292" s="1" t="s">
        <v>5782</v>
      </c>
      <c r="C16292" s="1" t="s">
        <v>5783</v>
      </c>
      <c r="D16292" s="22" t="str">
        <f>HYPERLINK("https://rhld.insurance.arkansas.gov/NPILookup?Npi=1639569809","1639569809")</f>
        <v>1639569809</v>
      </c>
      <c r="E16292" s="1" t="s">
        <v>12284</v>
      </c>
      <c r="F16292" s="2"/>
      <c r="G16292" s="2"/>
      <c r="H16292" s="2"/>
    </row>
    <row r="16293" spans="1:8" x14ac:dyDescent="0.25">
      <c r="A16293" s="1"/>
      <c r="B16293" s="1" t="s">
        <v>5782</v>
      </c>
      <c r="C16293" s="1" t="s">
        <v>5783</v>
      </c>
      <c r="D16293" s="22" t="str">
        <f>HYPERLINK("https://rhld.insurance.arkansas.gov/NPILookup?Npi=1639570013","1639570013")</f>
        <v>1639570013</v>
      </c>
      <c r="E16293" s="1" t="s">
        <v>22832</v>
      </c>
      <c r="F16293" s="2"/>
      <c r="G16293" s="2"/>
      <c r="H16293" s="2"/>
    </row>
    <row r="16294" spans="1:8" x14ac:dyDescent="0.25">
      <c r="A16294" s="1"/>
      <c r="B16294" s="1" t="s">
        <v>5782</v>
      </c>
      <c r="C16294" s="1" t="s">
        <v>5783</v>
      </c>
      <c r="D16294" s="22" t="str">
        <f>HYPERLINK("https://rhld.insurance.arkansas.gov/NPILookup?Npi=1639572704","1639572704")</f>
        <v>1639572704</v>
      </c>
      <c r="E16294" s="1" t="s">
        <v>6498</v>
      </c>
      <c r="F16294" s="2"/>
      <c r="G16294" s="2"/>
      <c r="H16294" s="2"/>
    </row>
    <row r="16295" spans="1:8" x14ac:dyDescent="0.25">
      <c r="A16295" s="1"/>
      <c r="B16295" s="1" t="s">
        <v>5782</v>
      </c>
      <c r="C16295" s="1" t="s">
        <v>5783</v>
      </c>
      <c r="D16295" s="22" t="str">
        <f>HYPERLINK("https://rhld.insurance.arkansas.gov/NPILookup?Npi=1639583156","1639583156")</f>
        <v>1639583156</v>
      </c>
      <c r="E16295" s="1" t="s">
        <v>22833</v>
      </c>
      <c r="F16295" s="2"/>
      <c r="G16295" s="2"/>
      <c r="H16295" s="2"/>
    </row>
    <row r="16296" spans="1:8" x14ac:dyDescent="0.25">
      <c r="A16296" s="1"/>
      <c r="B16296" s="1" t="s">
        <v>5782</v>
      </c>
      <c r="C16296" s="1" t="s">
        <v>5783</v>
      </c>
      <c r="D16296" s="22" t="str">
        <f>HYPERLINK("https://rhld.insurance.arkansas.gov/NPILookup?Npi=1639586894","1639586894")</f>
        <v>1639586894</v>
      </c>
      <c r="E16296" s="1" t="s">
        <v>11958</v>
      </c>
      <c r="F16296" s="2"/>
      <c r="G16296" s="2"/>
      <c r="H16296" s="2"/>
    </row>
    <row r="16297" spans="1:8" x14ac:dyDescent="0.25">
      <c r="A16297" s="1"/>
      <c r="B16297" s="1" t="s">
        <v>5782</v>
      </c>
      <c r="C16297" s="1" t="s">
        <v>5783</v>
      </c>
      <c r="D16297" s="22" t="str">
        <f>HYPERLINK("https://rhld.insurance.arkansas.gov/NPILookup?Npi=1639595788","1639595788")</f>
        <v>1639595788</v>
      </c>
      <c r="E16297" s="1" t="s">
        <v>22834</v>
      </c>
      <c r="F16297" s="2"/>
      <c r="G16297" s="2"/>
      <c r="H16297" s="2"/>
    </row>
    <row r="16298" spans="1:8" x14ac:dyDescent="0.25">
      <c r="A16298" s="1"/>
      <c r="B16298" s="1" t="s">
        <v>5782</v>
      </c>
      <c r="C16298" s="1" t="s">
        <v>5783</v>
      </c>
      <c r="D16298" s="22" t="str">
        <f>HYPERLINK("https://rhld.insurance.arkansas.gov/NPILookup?Npi=1639614746","1639614746")</f>
        <v>1639614746</v>
      </c>
      <c r="E16298" s="1" t="s">
        <v>22835</v>
      </c>
      <c r="F16298" s="2"/>
      <c r="G16298" s="2"/>
      <c r="H16298" s="2"/>
    </row>
    <row r="16299" spans="1:8" x14ac:dyDescent="0.25">
      <c r="A16299" s="1"/>
      <c r="B16299" s="1" t="s">
        <v>5782</v>
      </c>
      <c r="C16299" s="1" t="s">
        <v>5783</v>
      </c>
      <c r="D16299" s="22" t="str">
        <f>HYPERLINK("https://rhld.insurance.arkansas.gov/NPILookup?Npi=1639629207","1639629207")</f>
        <v>1639629207</v>
      </c>
      <c r="E16299" s="1" t="s">
        <v>1672</v>
      </c>
      <c r="F16299" s="2"/>
      <c r="G16299" s="2"/>
      <c r="H16299" s="2"/>
    </row>
    <row r="16300" spans="1:8" x14ac:dyDescent="0.25">
      <c r="A16300" s="1"/>
      <c r="B16300" s="1" t="s">
        <v>5782</v>
      </c>
      <c r="C16300" s="1" t="s">
        <v>5783</v>
      </c>
      <c r="D16300" s="22" t="str">
        <f>HYPERLINK("https://rhld.insurance.arkansas.gov/NPILookup?Npi=1639654213","1639654213")</f>
        <v>1639654213</v>
      </c>
      <c r="E16300" s="1" t="s">
        <v>22836</v>
      </c>
      <c r="F16300" s="2"/>
      <c r="G16300" s="2"/>
      <c r="H16300" s="2"/>
    </row>
    <row r="16301" spans="1:8" x14ac:dyDescent="0.25">
      <c r="A16301" s="1"/>
      <c r="B16301" s="1" t="s">
        <v>5782</v>
      </c>
      <c r="C16301" s="1" t="s">
        <v>5783</v>
      </c>
      <c r="D16301" s="22" t="str">
        <f>HYPERLINK("https://rhld.insurance.arkansas.gov/NPILookup?Npi=1639658594","1639658594")</f>
        <v>1639658594</v>
      </c>
      <c r="E16301" s="1" t="s">
        <v>22837</v>
      </c>
      <c r="F16301" s="2"/>
      <c r="G16301" s="2"/>
      <c r="H16301" s="2"/>
    </row>
    <row r="16302" spans="1:8" x14ac:dyDescent="0.25">
      <c r="A16302" s="1"/>
      <c r="B16302" s="1" t="s">
        <v>5782</v>
      </c>
      <c r="C16302" s="1" t="s">
        <v>5783</v>
      </c>
      <c r="D16302" s="22" t="str">
        <f>HYPERLINK("https://rhld.insurance.arkansas.gov/NPILookup?Npi=1639677461","1639677461")</f>
        <v>1639677461</v>
      </c>
      <c r="E16302" s="1" t="s">
        <v>6499</v>
      </c>
      <c r="F16302" s="2"/>
      <c r="G16302" s="2"/>
      <c r="H16302" s="2"/>
    </row>
    <row r="16303" spans="1:8" x14ac:dyDescent="0.25">
      <c r="A16303" s="1"/>
      <c r="B16303" s="1" t="s">
        <v>5782</v>
      </c>
      <c r="C16303" s="1" t="s">
        <v>5783</v>
      </c>
      <c r="D16303" s="22" t="str">
        <f>HYPERLINK("https://rhld.insurance.arkansas.gov/NPILookup?Npi=1639703747","1639703747")</f>
        <v>1639703747</v>
      </c>
      <c r="E16303" s="1" t="s">
        <v>6500</v>
      </c>
      <c r="F16303" s="2"/>
      <c r="G16303" s="2"/>
      <c r="H16303" s="2"/>
    </row>
    <row r="16304" spans="1:8" x14ac:dyDescent="0.25">
      <c r="A16304" s="1"/>
      <c r="B16304" s="1" t="s">
        <v>5782</v>
      </c>
      <c r="C16304" s="1" t="s">
        <v>5783</v>
      </c>
      <c r="D16304" s="22" t="str">
        <f>HYPERLINK("https://rhld.insurance.arkansas.gov/NPILookup?Npi=1639707144","1639707144")</f>
        <v>1639707144</v>
      </c>
      <c r="E16304" s="1" t="s">
        <v>22839</v>
      </c>
      <c r="F16304" s="2"/>
      <c r="G16304" s="2"/>
      <c r="H16304" s="2"/>
    </row>
    <row r="16305" spans="1:8" x14ac:dyDescent="0.25">
      <c r="A16305" s="1"/>
      <c r="B16305" s="1" t="s">
        <v>5782</v>
      </c>
      <c r="C16305" s="1" t="s">
        <v>5783</v>
      </c>
      <c r="D16305" s="22" t="str">
        <f>HYPERLINK("https://rhld.insurance.arkansas.gov/NPILookup?Npi=1639710346","1639710346")</f>
        <v>1639710346</v>
      </c>
      <c r="E16305" s="1" t="s">
        <v>22840</v>
      </c>
      <c r="F16305" s="2"/>
      <c r="G16305" s="2"/>
      <c r="H16305" s="2"/>
    </row>
    <row r="16306" spans="1:8" x14ac:dyDescent="0.25">
      <c r="A16306" s="1"/>
      <c r="B16306" s="1" t="s">
        <v>5782</v>
      </c>
      <c r="C16306" s="1" t="s">
        <v>5783</v>
      </c>
      <c r="D16306" s="22" t="str">
        <f>HYPERLINK("https://rhld.insurance.arkansas.gov/NPILookup?Npi=1639716897","1639716897")</f>
        <v>1639716897</v>
      </c>
      <c r="E16306" s="1" t="s">
        <v>22841</v>
      </c>
      <c r="F16306" s="2"/>
      <c r="G16306" s="2"/>
      <c r="H16306" s="2"/>
    </row>
    <row r="16307" spans="1:8" x14ac:dyDescent="0.25">
      <c r="A16307" s="1"/>
      <c r="B16307" s="1" t="s">
        <v>5782</v>
      </c>
      <c r="C16307" s="1" t="s">
        <v>5783</v>
      </c>
      <c r="D16307" s="22" t="str">
        <f>HYPERLINK("https://rhld.insurance.arkansas.gov/NPILookup?Npi=1639725161","1639725161")</f>
        <v>1639725161</v>
      </c>
      <c r="E16307" s="1" t="s">
        <v>22842</v>
      </c>
      <c r="F16307" s="2"/>
      <c r="G16307" s="2"/>
      <c r="H16307" s="2"/>
    </row>
    <row r="16308" spans="1:8" x14ac:dyDescent="0.25">
      <c r="A16308" s="1"/>
      <c r="B16308" s="1" t="s">
        <v>5782</v>
      </c>
      <c r="C16308" s="1" t="s">
        <v>5783</v>
      </c>
      <c r="D16308" s="22" t="str">
        <f>HYPERLINK("https://rhld.insurance.arkansas.gov/NPILookup?Npi=1639739626","1639739626")</f>
        <v>1639739626</v>
      </c>
      <c r="E16308" s="1" t="s">
        <v>6501</v>
      </c>
      <c r="F16308" s="2"/>
      <c r="G16308" s="2"/>
      <c r="H16308" s="2"/>
    </row>
    <row r="16309" spans="1:8" x14ac:dyDescent="0.25">
      <c r="A16309" s="1"/>
      <c r="B16309" s="1" t="s">
        <v>5782</v>
      </c>
      <c r="C16309" s="1" t="s">
        <v>5783</v>
      </c>
      <c r="D16309" s="22" t="str">
        <f>HYPERLINK("https://rhld.insurance.arkansas.gov/NPILookup?Npi=1639780836","1639780836")</f>
        <v>1639780836</v>
      </c>
      <c r="E16309" s="1" t="s">
        <v>11959</v>
      </c>
      <c r="F16309" s="2"/>
      <c r="G16309" s="2"/>
      <c r="H16309" s="2"/>
    </row>
    <row r="16310" spans="1:8" x14ac:dyDescent="0.25">
      <c r="A16310" s="1"/>
      <c r="B16310" s="1" t="s">
        <v>5782</v>
      </c>
      <c r="C16310" s="1" t="s">
        <v>5783</v>
      </c>
      <c r="D16310" s="22" t="str">
        <f>HYPERLINK("https://rhld.insurance.arkansas.gov/NPILookup?Npi=1639794217","1639794217")</f>
        <v>1639794217</v>
      </c>
      <c r="E16310" s="1" t="s">
        <v>6502</v>
      </c>
      <c r="F16310" s="2"/>
      <c r="G16310" s="2"/>
      <c r="H16310" s="2"/>
    </row>
    <row r="16311" spans="1:8" x14ac:dyDescent="0.25">
      <c r="A16311" s="1"/>
      <c r="B16311" s="1" t="s">
        <v>5782</v>
      </c>
      <c r="C16311" s="1" t="s">
        <v>5783</v>
      </c>
      <c r="D16311" s="22" t="str">
        <f>HYPERLINK("https://rhld.insurance.arkansas.gov/NPILookup?Npi=1639795511","1639795511")</f>
        <v>1639795511</v>
      </c>
      <c r="E16311" s="1" t="s">
        <v>6503</v>
      </c>
      <c r="F16311" s="2"/>
      <c r="G16311" s="2"/>
      <c r="H16311" s="2"/>
    </row>
    <row r="16312" spans="1:8" x14ac:dyDescent="0.25">
      <c r="A16312" s="1"/>
      <c r="B16312" s="1" t="s">
        <v>5782</v>
      </c>
      <c r="C16312" s="1" t="s">
        <v>5783</v>
      </c>
      <c r="D16312" s="22" t="str">
        <f>HYPERLINK("https://rhld.insurance.arkansas.gov/NPILookup?Npi=1639803950","1639803950")</f>
        <v>1639803950</v>
      </c>
      <c r="E16312" s="1" t="s">
        <v>11960</v>
      </c>
      <c r="F16312" s="2"/>
      <c r="G16312" s="2"/>
      <c r="H16312" s="2"/>
    </row>
    <row r="16313" spans="1:8" x14ac:dyDescent="0.25">
      <c r="A16313" s="1"/>
      <c r="B16313" s="1" t="s">
        <v>5782</v>
      </c>
      <c r="C16313" s="1" t="s">
        <v>5783</v>
      </c>
      <c r="D16313" s="22" t="str">
        <f>HYPERLINK("https://rhld.insurance.arkansas.gov/NPILookup?Npi=1639806938","1639806938")</f>
        <v>1639806938</v>
      </c>
      <c r="E16313" s="1" t="s">
        <v>11961</v>
      </c>
      <c r="F16313" s="2"/>
      <c r="G16313" s="2"/>
      <c r="H16313" s="2"/>
    </row>
    <row r="16314" spans="1:8" x14ac:dyDescent="0.25">
      <c r="A16314" s="1"/>
      <c r="B16314" s="1" t="s">
        <v>5782</v>
      </c>
      <c r="C16314" s="1" t="s">
        <v>5783</v>
      </c>
      <c r="D16314" s="22" t="str">
        <f>HYPERLINK("https://rhld.insurance.arkansas.gov/NPILookup?Npi=1639842172","1639842172")</f>
        <v>1639842172</v>
      </c>
      <c r="E16314" s="1" t="s">
        <v>11962</v>
      </c>
      <c r="F16314" s="2"/>
      <c r="G16314" s="2"/>
      <c r="H16314" s="2"/>
    </row>
    <row r="16315" spans="1:8" x14ac:dyDescent="0.25">
      <c r="A16315" s="1"/>
      <c r="B16315" s="1" t="s">
        <v>5782</v>
      </c>
      <c r="C16315" s="1" t="s">
        <v>5783</v>
      </c>
      <c r="D16315" s="22" t="str">
        <f>HYPERLINK("https://rhld.insurance.arkansas.gov/NPILookup?Npi=1639852494","1639852494")</f>
        <v>1639852494</v>
      </c>
      <c r="E16315" s="1" t="s">
        <v>6504</v>
      </c>
      <c r="F16315" s="2"/>
      <c r="G16315" s="2"/>
      <c r="H16315" s="2"/>
    </row>
    <row r="16316" spans="1:8" x14ac:dyDescent="0.25">
      <c r="A16316" s="1"/>
      <c r="B16316" s="1" t="s">
        <v>5782</v>
      </c>
      <c r="C16316" s="1" t="s">
        <v>5783</v>
      </c>
      <c r="D16316" s="22" t="str">
        <f>HYPERLINK("https://rhld.insurance.arkansas.gov/NPILookup?Npi=1639853088","1639853088")</f>
        <v>1639853088</v>
      </c>
      <c r="E16316" s="1" t="s">
        <v>22843</v>
      </c>
      <c r="F16316" s="2"/>
      <c r="G16316" s="2"/>
      <c r="H16316" s="2"/>
    </row>
    <row r="16317" spans="1:8" x14ac:dyDescent="0.25">
      <c r="A16317" s="1"/>
      <c r="B16317" s="1" t="s">
        <v>5782</v>
      </c>
      <c r="C16317" s="1" t="s">
        <v>5783</v>
      </c>
      <c r="D16317" s="22" t="str">
        <f>HYPERLINK("https://rhld.insurance.arkansas.gov/NPILookup?Npi=1639914948","1639914948")</f>
        <v>1639914948</v>
      </c>
      <c r="E16317" s="1" t="s">
        <v>22844</v>
      </c>
      <c r="F16317" s="2"/>
      <c r="G16317" s="2"/>
      <c r="H16317" s="2"/>
    </row>
    <row r="16318" spans="1:8" x14ac:dyDescent="0.25">
      <c r="A16318" s="1"/>
      <c r="B16318" s="1" t="s">
        <v>5782</v>
      </c>
      <c r="C16318" s="1" t="s">
        <v>5783</v>
      </c>
      <c r="D16318" s="22" t="str">
        <f>HYPERLINK("https://rhld.insurance.arkansas.gov/NPILookup?Npi=1639956261","1639956261")</f>
        <v>1639956261</v>
      </c>
      <c r="E16318" s="1" t="s">
        <v>6505</v>
      </c>
      <c r="F16318" s="2"/>
      <c r="G16318" s="2"/>
      <c r="H16318" s="2"/>
    </row>
    <row r="16319" spans="1:8" x14ac:dyDescent="0.25">
      <c r="A16319" s="1"/>
      <c r="B16319" s="1" t="s">
        <v>5782</v>
      </c>
      <c r="C16319" s="1" t="s">
        <v>5783</v>
      </c>
      <c r="D16319" s="22" t="str">
        <f>HYPERLINK("https://rhld.insurance.arkansas.gov/NPILookup?Npi=1649058447","1649058447")</f>
        <v>1649058447</v>
      </c>
      <c r="E16319" s="1" t="s">
        <v>31910</v>
      </c>
      <c r="F16319" s="2"/>
      <c r="G16319" s="2"/>
      <c r="H16319" s="2"/>
    </row>
    <row r="16320" spans="1:8" x14ac:dyDescent="0.25">
      <c r="A16320" s="1"/>
      <c r="B16320" s="1" t="s">
        <v>5782</v>
      </c>
      <c r="C16320" s="1" t="s">
        <v>5783</v>
      </c>
      <c r="D16320" s="22" t="str">
        <f>HYPERLINK("https://rhld.insurance.arkansas.gov/NPILookup?Npi=1649205006","1649205006")</f>
        <v>1649205006</v>
      </c>
      <c r="E16320" s="1" t="s">
        <v>11963</v>
      </c>
      <c r="F16320" s="2"/>
      <c r="G16320" s="2"/>
      <c r="H16320" s="2"/>
    </row>
    <row r="16321" spans="1:8" x14ac:dyDescent="0.25">
      <c r="A16321" s="1"/>
      <c r="B16321" s="1" t="s">
        <v>5782</v>
      </c>
      <c r="C16321" s="1" t="s">
        <v>5783</v>
      </c>
      <c r="D16321" s="22" t="str">
        <f>HYPERLINK("https://rhld.insurance.arkansas.gov/NPILookup?Npi=1649213042","1649213042")</f>
        <v>1649213042</v>
      </c>
      <c r="E16321" s="1" t="s">
        <v>11964</v>
      </c>
      <c r="F16321" s="2"/>
      <c r="G16321" s="2"/>
      <c r="H16321" s="2"/>
    </row>
    <row r="16322" spans="1:8" x14ac:dyDescent="0.25">
      <c r="A16322" s="1"/>
      <c r="B16322" s="1" t="s">
        <v>5782</v>
      </c>
      <c r="C16322" s="1" t="s">
        <v>5783</v>
      </c>
      <c r="D16322" s="22" t="str">
        <f>HYPERLINK("https://rhld.insurance.arkansas.gov/NPILookup?Npi=1649237785","1649237785")</f>
        <v>1649237785</v>
      </c>
      <c r="E16322" s="1" t="s">
        <v>6469</v>
      </c>
      <c r="F16322" s="2"/>
      <c r="G16322" s="2"/>
      <c r="H16322" s="2"/>
    </row>
    <row r="16323" spans="1:8" x14ac:dyDescent="0.25">
      <c r="A16323" s="1"/>
      <c r="B16323" s="1" t="s">
        <v>5782</v>
      </c>
      <c r="C16323" s="1" t="s">
        <v>5783</v>
      </c>
      <c r="D16323" s="22" t="str">
        <f>HYPERLINK("https://rhld.insurance.arkansas.gov/NPILookup?Npi=1649241043","1649241043")</f>
        <v>1649241043</v>
      </c>
      <c r="E16323" s="1" t="s">
        <v>22845</v>
      </c>
      <c r="F16323" s="2"/>
      <c r="G16323" s="2"/>
      <c r="H16323" s="2"/>
    </row>
    <row r="16324" spans="1:8" x14ac:dyDescent="0.25">
      <c r="A16324" s="1"/>
      <c r="B16324" s="1" t="s">
        <v>5782</v>
      </c>
      <c r="C16324" s="1" t="s">
        <v>5783</v>
      </c>
      <c r="D16324" s="22" t="str">
        <f>HYPERLINK("https://rhld.insurance.arkansas.gov/NPILookup?Npi=1649296369","1649296369")</f>
        <v>1649296369</v>
      </c>
      <c r="E16324" s="1" t="s">
        <v>11965</v>
      </c>
      <c r="F16324" s="2"/>
      <c r="G16324" s="2"/>
      <c r="H16324" s="2"/>
    </row>
    <row r="16325" spans="1:8" x14ac:dyDescent="0.25">
      <c r="A16325" s="1"/>
      <c r="B16325" s="1" t="s">
        <v>5782</v>
      </c>
      <c r="C16325" s="1" t="s">
        <v>5783</v>
      </c>
      <c r="D16325" s="22" t="str">
        <f>HYPERLINK("https://rhld.insurance.arkansas.gov/NPILookup?Npi=1649304726","1649304726")</f>
        <v>1649304726</v>
      </c>
      <c r="E16325" s="1" t="s">
        <v>22846</v>
      </c>
      <c r="F16325" s="2"/>
      <c r="G16325" s="2"/>
      <c r="H16325" s="2"/>
    </row>
    <row r="16326" spans="1:8" x14ac:dyDescent="0.25">
      <c r="A16326" s="1"/>
      <c r="B16326" s="1" t="s">
        <v>5782</v>
      </c>
      <c r="C16326" s="1" t="s">
        <v>5783</v>
      </c>
      <c r="D16326" s="22" t="str">
        <f>HYPERLINK("https://rhld.insurance.arkansas.gov/NPILookup?Npi=1649375288","1649375288")</f>
        <v>1649375288</v>
      </c>
      <c r="E16326" s="1" t="s">
        <v>22847</v>
      </c>
      <c r="F16326" s="2"/>
      <c r="G16326" s="2"/>
      <c r="H16326" s="2"/>
    </row>
    <row r="16327" spans="1:8" x14ac:dyDescent="0.25">
      <c r="A16327" s="1"/>
      <c r="B16327" s="1" t="s">
        <v>5782</v>
      </c>
      <c r="C16327" s="1" t="s">
        <v>5783</v>
      </c>
      <c r="D16327" s="22" t="str">
        <f>HYPERLINK("https://rhld.insurance.arkansas.gov/NPILookup?Npi=1649383514","1649383514")</f>
        <v>1649383514</v>
      </c>
      <c r="E16327" s="1" t="s">
        <v>338</v>
      </c>
      <c r="F16327" s="2"/>
      <c r="G16327" s="2"/>
      <c r="H16327" s="2"/>
    </row>
    <row r="16328" spans="1:8" x14ac:dyDescent="0.25">
      <c r="A16328" s="1"/>
      <c r="B16328" s="1" t="s">
        <v>5782</v>
      </c>
      <c r="C16328" s="1" t="s">
        <v>5783</v>
      </c>
      <c r="D16328" s="22" t="str">
        <f>HYPERLINK("https://rhld.insurance.arkansas.gov/NPILookup?Npi=1649383886","1649383886")</f>
        <v>1649383886</v>
      </c>
      <c r="E16328" s="1" t="s">
        <v>22848</v>
      </c>
      <c r="F16328" s="2"/>
      <c r="G16328" s="2"/>
      <c r="H16328" s="2"/>
    </row>
    <row r="16329" spans="1:8" x14ac:dyDescent="0.25">
      <c r="A16329" s="1"/>
      <c r="B16329" s="1" t="s">
        <v>5782</v>
      </c>
      <c r="C16329" s="1" t="s">
        <v>5783</v>
      </c>
      <c r="D16329" s="22" t="str">
        <f>HYPERLINK("https://rhld.insurance.arkansas.gov/NPILookup?Npi=1649384777","1649384777")</f>
        <v>1649384777</v>
      </c>
      <c r="E16329" s="1" t="s">
        <v>22849</v>
      </c>
      <c r="F16329" s="2"/>
      <c r="G16329" s="2"/>
      <c r="H16329" s="2"/>
    </row>
    <row r="16330" spans="1:8" x14ac:dyDescent="0.25">
      <c r="A16330" s="1"/>
      <c r="B16330" s="1" t="s">
        <v>5782</v>
      </c>
      <c r="C16330" s="1" t="s">
        <v>5783</v>
      </c>
      <c r="D16330" s="22" t="str">
        <f>HYPERLINK("https://rhld.insurance.arkansas.gov/NPILookup?Npi=1649399734","1649399734")</f>
        <v>1649399734</v>
      </c>
      <c r="E16330" s="1" t="s">
        <v>11966</v>
      </c>
      <c r="F16330" s="2"/>
      <c r="G16330" s="2"/>
      <c r="H16330" s="2"/>
    </row>
    <row r="16331" spans="1:8" x14ac:dyDescent="0.25">
      <c r="A16331" s="1"/>
      <c r="B16331" s="1" t="s">
        <v>5782</v>
      </c>
      <c r="C16331" s="1" t="s">
        <v>5783</v>
      </c>
      <c r="D16331" s="22" t="str">
        <f>HYPERLINK("https://rhld.insurance.arkansas.gov/NPILookup?Npi=1649429101","1649429101")</f>
        <v>1649429101</v>
      </c>
      <c r="E16331" s="1" t="s">
        <v>22850</v>
      </c>
      <c r="F16331" s="2"/>
      <c r="G16331" s="2"/>
      <c r="H16331" s="2"/>
    </row>
    <row r="16332" spans="1:8" x14ac:dyDescent="0.25">
      <c r="A16332" s="1"/>
      <c r="B16332" s="1" t="s">
        <v>5782</v>
      </c>
      <c r="C16332" s="1" t="s">
        <v>5783</v>
      </c>
      <c r="D16332" s="22" t="str">
        <f>HYPERLINK("https://rhld.insurance.arkansas.gov/NPILookup?Npi=1649429580","1649429580")</f>
        <v>1649429580</v>
      </c>
      <c r="E16332" s="1" t="s">
        <v>22851</v>
      </c>
      <c r="F16332" s="2"/>
      <c r="G16332" s="2"/>
      <c r="H16332" s="2"/>
    </row>
    <row r="16333" spans="1:8" x14ac:dyDescent="0.25">
      <c r="A16333" s="1"/>
      <c r="B16333" s="1" t="s">
        <v>5782</v>
      </c>
      <c r="C16333" s="1" t="s">
        <v>5783</v>
      </c>
      <c r="D16333" s="22" t="str">
        <f>HYPERLINK("https://rhld.insurance.arkansas.gov/NPILookup?Npi=1649430190","1649430190")</f>
        <v>1649430190</v>
      </c>
      <c r="E16333" s="1" t="s">
        <v>12070</v>
      </c>
      <c r="F16333" s="2"/>
      <c r="G16333" s="2"/>
      <c r="H16333" s="2"/>
    </row>
    <row r="16334" spans="1:8" x14ac:dyDescent="0.25">
      <c r="A16334" s="1"/>
      <c r="B16334" s="1" t="s">
        <v>5782</v>
      </c>
      <c r="C16334" s="1" t="s">
        <v>5783</v>
      </c>
      <c r="D16334" s="22" t="str">
        <f>HYPERLINK("https://rhld.insurance.arkansas.gov/NPILookup?Npi=1649437849","1649437849")</f>
        <v>1649437849</v>
      </c>
      <c r="E16334" s="1" t="s">
        <v>22160</v>
      </c>
      <c r="F16334" s="2"/>
      <c r="G16334" s="2"/>
      <c r="H16334" s="2"/>
    </row>
    <row r="16335" spans="1:8" x14ac:dyDescent="0.25">
      <c r="A16335" s="1"/>
      <c r="B16335" s="1" t="s">
        <v>5782</v>
      </c>
      <c r="C16335" s="1" t="s">
        <v>5783</v>
      </c>
      <c r="D16335" s="22" t="str">
        <f>HYPERLINK("https://rhld.insurance.arkansas.gov/NPILookup?Npi=1649482456","1649482456")</f>
        <v>1649482456</v>
      </c>
      <c r="E16335" s="1" t="s">
        <v>11968</v>
      </c>
      <c r="F16335" s="2"/>
      <c r="G16335" s="2"/>
      <c r="H16335" s="2"/>
    </row>
    <row r="16336" spans="1:8" x14ac:dyDescent="0.25">
      <c r="A16336" s="1"/>
      <c r="B16336" s="1" t="s">
        <v>5782</v>
      </c>
      <c r="C16336" s="1" t="s">
        <v>5783</v>
      </c>
      <c r="D16336" s="22" t="str">
        <f>HYPERLINK("https://rhld.insurance.arkansas.gov/NPILookup?Npi=1649521840","1649521840")</f>
        <v>1649521840</v>
      </c>
      <c r="E16336" s="1" t="s">
        <v>22852</v>
      </c>
      <c r="F16336" s="2"/>
      <c r="G16336" s="2"/>
      <c r="H16336" s="2"/>
    </row>
    <row r="16337" spans="1:8" x14ac:dyDescent="0.25">
      <c r="A16337" s="1"/>
      <c r="B16337" s="1" t="s">
        <v>5782</v>
      </c>
      <c r="C16337" s="1" t="s">
        <v>5783</v>
      </c>
      <c r="D16337" s="22" t="str">
        <f>HYPERLINK("https://rhld.insurance.arkansas.gov/NPILookup?Npi=1649529488","1649529488")</f>
        <v>1649529488</v>
      </c>
      <c r="E16337" s="1" t="s">
        <v>3336</v>
      </c>
      <c r="F16337" s="2"/>
      <c r="G16337" s="2"/>
      <c r="H16337" s="2"/>
    </row>
    <row r="16338" spans="1:8" x14ac:dyDescent="0.25">
      <c r="A16338" s="1"/>
      <c r="B16338" s="1" t="s">
        <v>5782</v>
      </c>
      <c r="C16338" s="1" t="s">
        <v>5783</v>
      </c>
      <c r="D16338" s="22" t="str">
        <f>HYPERLINK("https://rhld.insurance.arkansas.gov/NPILookup?Npi=1649532656","1649532656")</f>
        <v>1649532656</v>
      </c>
      <c r="E16338" s="1" t="s">
        <v>3337</v>
      </c>
      <c r="F16338" s="2"/>
      <c r="G16338" s="2"/>
      <c r="H16338" s="2"/>
    </row>
    <row r="16339" spans="1:8" x14ac:dyDescent="0.25">
      <c r="A16339" s="1"/>
      <c r="B16339" s="1" t="s">
        <v>5782</v>
      </c>
      <c r="C16339" s="1" t="s">
        <v>5783</v>
      </c>
      <c r="D16339" s="22" t="str">
        <f>HYPERLINK("https://rhld.insurance.arkansas.gov/NPILookup?Npi=1649533670","1649533670")</f>
        <v>1649533670</v>
      </c>
      <c r="E16339" s="1" t="s">
        <v>22853</v>
      </c>
      <c r="F16339" s="2"/>
      <c r="G16339" s="2"/>
      <c r="H16339" s="2"/>
    </row>
    <row r="16340" spans="1:8" x14ac:dyDescent="0.25">
      <c r="A16340" s="1"/>
      <c r="B16340" s="1" t="s">
        <v>5782</v>
      </c>
      <c r="C16340" s="1" t="s">
        <v>5783</v>
      </c>
      <c r="D16340" s="22" t="str">
        <f>HYPERLINK("https://rhld.insurance.arkansas.gov/NPILookup?Npi=1649550252","1649550252")</f>
        <v>1649550252</v>
      </c>
      <c r="E16340" s="1" t="s">
        <v>4310</v>
      </c>
      <c r="F16340" s="2"/>
      <c r="G16340" s="2"/>
      <c r="H16340" s="2"/>
    </row>
    <row r="16341" spans="1:8" x14ac:dyDescent="0.25">
      <c r="A16341" s="1"/>
      <c r="B16341" s="1" t="s">
        <v>5782</v>
      </c>
      <c r="C16341" s="1" t="s">
        <v>5783</v>
      </c>
      <c r="D16341" s="22" t="str">
        <f>HYPERLINK("https://rhld.insurance.arkansas.gov/NPILookup?Npi=1649572835","1649572835")</f>
        <v>1649572835</v>
      </c>
      <c r="E16341" s="1" t="s">
        <v>22854</v>
      </c>
      <c r="F16341" s="2"/>
      <c r="G16341" s="2"/>
      <c r="H16341" s="2"/>
    </row>
    <row r="16342" spans="1:8" x14ac:dyDescent="0.25">
      <c r="A16342" s="1"/>
      <c r="B16342" s="1" t="s">
        <v>5782</v>
      </c>
      <c r="C16342" s="1" t="s">
        <v>5783</v>
      </c>
      <c r="D16342" s="22" t="str">
        <f>HYPERLINK("https://rhld.insurance.arkansas.gov/NPILookup?Npi=1649582701","1649582701")</f>
        <v>1649582701</v>
      </c>
      <c r="E16342" s="1" t="s">
        <v>946</v>
      </c>
      <c r="F16342" s="2"/>
      <c r="G16342" s="2"/>
      <c r="H16342" s="2"/>
    </row>
    <row r="16343" spans="1:8" x14ac:dyDescent="0.25">
      <c r="A16343" s="1"/>
      <c r="B16343" s="1" t="s">
        <v>5782</v>
      </c>
      <c r="C16343" s="1" t="s">
        <v>5783</v>
      </c>
      <c r="D16343" s="22" t="str">
        <f>HYPERLINK("https://rhld.insurance.arkansas.gov/NPILookup?Npi=1649594029","1649594029")</f>
        <v>1649594029</v>
      </c>
      <c r="E16343" s="1" t="s">
        <v>22855</v>
      </c>
      <c r="F16343" s="2"/>
      <c r="G16343" s="2"/>
      <c r="H16343" s="2"/>
    </row>
    <row r="16344" spans="1:8" x14ac:dyDescent="0.25">
      <c r="A16344" s="1"/>
      <c r="B16344" s="1" t="s">
        <v>5782</v>
      </c>
      <c r="C16344" s="1" t="s">
        <v>5783</v>
      </c>
      <c r="D16344" s="22" t="str">
        <f>HYPERLINK("https://rhld.insurance.arkansas.gov/NPILookup?Npi=1649598319","1649598319")</f>
        <v>1649598319</v>
      </c>
      <c r="E16344" s="1" t="s">
        <v>22856</v>
      </c>
      <c r="F16344" s="2"/>
      <c r="G16344" s="2"/>
      <c r="H16344" s="2"/>
    </row>
    <row r="16345" spans="1:8" x14ac:dyDescent="0.25">
      <c r="A16345" s="1"/>
      <c r="B16345" s="1" t="s">
        <v>5782</v>
      </c>
      <c r="C16345" s="1" t="s">
        <v>5783</v>
      </c>
      <c r="D16345" s="22" t="str">
        <f>HYPERLINK("https://rhld.insurance.arkansas.gov/NPILookup?Npi=1649608803","1649608803")</f>
        <v>1649608803</v>
      </c>
      <c r="E16345" s="1" t="s">
        <v>22857</v>
      </c>
      <c r="F16345" s="2"/>
      <c r="G16345" s="2"/>
      <c r="H16345" s="2"/>
    </row>
    <row r="16346" spans="1:8" x14ac:dyDescent="0.25">
      <c r="A16346" s="1"/>
      <c r="B16346" s="1" t="s">
        <v>5782</v>
      </c>
      <c r="C16346" s="1" t="s">
        <v>5783</v>
      </c>
      <c r="D16346" s="22" t="str">
        <f>HYPERLINK("https://rhld.insurance.arkansas.gov/NPILookup?Npi=1649625237","1649625237")</f>
        <v>1649625237</v>
      </c>
      <c r="E16346" s="1" t="s">
        <v>22858</v>
      </c>
      <c r="F16346" s="2"/>
      <c r="G16346" s="2"/>
      <c r="H16346" s="2"/>
    </row>
    <row r="16347" spans="1:8" x14ac:dyDescent="0.25">
      <c r="A16347" s="1"/>
      <c r="B16347" s="1" t="s">
        <v>5782</v>
      </c>
      <c r="C16347" s="1" t="s">
        <v>5783</v>
      </c>
      <c r="D16347" s="22" t="str">
        <f>HYPERLINK("https://rhld.insurance.arkansas.gov/NPILookup?Npi=1649632407","1649632407")</f>
        <v>1649632407</v>
      </c>
      <c r="E16347" s="1" t="s">
        <v>786</v>
      </c>
      <c r="F16347" s="2"/>
      <c r="G16347" s="2"/>
      <c r="H16347" s="2"/>
    </row>
    <row r="16348" spans="1:8" x14ac:dyDescent="0.25">
      <c r="A16348" s="1"/>
      <c r="B16348" s="1" t="s">
        <v>5782</v>
      </c>
      <c r="C16348" s="1" t="s">
        <v>5783</v>
      </c>
      <c r="D16348" s="22" t="str">
        <f>HYPERLINK("https://rhld.insurance.arkansas.gov/NPILookup?Npi=1649669763","1649669763")</f>
        <v>1649669763</v>
      </c>
      <c r="E16348" s="1" t="s">
        <v>22859</v>
      </c>
      <c r="F16348" s="2"/>
      <c r="G16348" s="2"/>
      <c r="H16348" s="2"/>
    </row>
    <row r="16349" spans="1:8" x14ac:dyDescent="0.25">
      <c r="A16349" s="1"/>
      <c r="B16349" s="1" t="s">
        <v>5782</v>
      </c>
      <c r="C16349" s="1" t="s">
        <v>5783</v>
      </c>
      <c r="D16349" s="22" t="str">
        <f>HYPERLINK("https://rhld.insurance.arkansas.gov/NPILookup?Npi=1649692187","1649692187")</f>
        <v>1649692187</v>
      </c>
      <c r="E16349" s="1" t="s">
        <v>22860</v>
      </c>
      <c r="F16349" s="2"/>
      <c r="G16349" s="2"/>
      <c r="H16349" s="2"/>
    </row>
    <row r="16350" spans="1:8" x14ac:dyDescent="0.25">
      <c r="A16350" s="1"/>
      <c r="B16350" s="1" t="s">
        <v>5782</v>
      </c>
      <c r="C16350" s="1" t="s">
        <v>5783</v>
      </c>
      <c r="D16350" s="22" t="str">
        <f>HYPERLINK("https://rhld.insurance.arkansas.gov/NPILookup?Npi=1649696394","1649696394")</f>
        <v>1649696394</v>
      </c>
      <c r="E16350" s="1" t="s">
        <v>22861</v>
      </c>
      <c r="F16350" s="2"/>
      <c r="G16350" s="2"/>
      <c r="H16350" s="2"/>
    </row>
    <row r="16351" spans="1:8" x14ac:dyDescent="0.25">
      <c r="A16351" s="1"/>
      <c r="B16351" s="1" t="s">
        <v>5782</v>
      </c>
      <c r="C16351" s="1" t="s">
        <v>5783</v>
      </c>
      <c r="D16351" s="22" t="str">
        <f>HYPERLINK("https://rhld.insurance.arkansas.gov/NPILookup?Npi=1649706557","1649706557")</f>
        <v>1649706557</v>
      </c>
      <c r="E16351" s="1" t="s">
        <v>22863</v>
      </c>
      <c r="F16351" s="2"/>
      <c r="G16351" s="2"/>
      <c r="H16351" s="2"/>
    </row>
    <row r="16352" spans="1:8" x14ac:dyDescent="0.25">
      <c r="A16352" s="1"/>
      <c r="B16352" s="1" t="s">
        <v>5782</v>
      </c>
      <c r="C16352" s="1" t="s">
        <v>5783</v>
      </c>
      <c r="D16352" s="22" t="str">
        <f>HYPERLINK("https://rhld.insurance.arkansas.gov/NPILookup?Npi=1649749706","1649749706")</f>
        <v>1649749706</v>
      </c>
      <c r="E16352" s="1" t="s">
        <v>22864</v>
      </c>
      <c r="F16352" s="2"/>
      <c r="G16352" s="2"/>
      <c r="H16352" s="2"/>
    </row>
    <row r="16353" spans="1:8" x14ac:dyDescent="0.25">
      <c r="A16353" s="1"/>
      <c r="B16353" s="1" t="s">
        <v>5782</v>
      </c>
      <c r="C16353" s="1" t="s">
        <v>5783</v>
      </c>
      <c r="D16353" s="22" t="str">
        <f>HYPERLINK("https://rhld.insurance.arkansas.gov/NPILookup?Npi=1649759309","1649759309")</f>
        <v>1649759309</v>
      </c>
      <c r="E16353" s="1" t="s">
        <v>6506</v>
      </c>
      <c r="F16353" s="2"/>
      <c r="G16353" s="2"/>
      <c r="H16353" s="2"/>
    </row>
    <row r="16354" spans="1:8" x14ac:dyDescent="0.25">
      <c r="A16354" s="1"/>
      <c r="B16354" s="1" t="s">
        <v>5782</v>
      </c>
      <c r="C16354" s="1" t="s">
        <v>5783</v>
      </c>
      <c r="D16354" s="22" t="str">
        <f>HYPERLINK("https://rhld.insurance.arkansas.gov/NPILookup?Npi=1649789215","1649789215")</f>
        <v>1649789215</v>
      </c>
      <c r="E16354" s="1" t="s">
        <v>22865</v>
      </c>
      <c r="F16354" s="2"/>
      <c r="G16354" s="2"/>
      <c r="H16354" s="2"/>
    </row>
    <row r="16355" spans="1:8" x14ac:dyDescent="0.25">
      <c r="A16355" s="1"/>
      <c r="B16355" s="1" t="s">
        <v>5782</v>
      </c>
      <c r="C16355" s="1" t="s">
        <v>5783</v>
      </c>
      <c r="D16355" s="22" t="str">
        <f>HYPERLINK("https://rhld.insurance.arkansas.gov/NPILookup?Npi=1649796350","1649796350")</f>
        <v>1649796350</v>
      </c>
      <c r="E16355" s="1" t="s">
        <v>6507</v>
      </c>
      <c r="F16355" s="2"/>
      <c r="G16355" s="2"/>
      <c r="H16355" s="2"/>
    </row>
    <row r="16356" spans="1:8" x14ac:dyDescent="0.25">
      <c r="A16356" s="1"/>
      <c r="B16356" s="1" t="s">
        <v>5782</v>
      </c>
      <c r="C16356" s="1" t="s">
        <v>5783</v>
      </c>
      <c r="D16356" s="22" t="str">
        <f>HYPERLINK("https://rhld.insurance.arkansas.gov/NPILookup?Npi=1649813460","1649813460")</f>
        <v>1649813460</v>
      </c>
      <c r="E16356" s="1" t="s">
        <v>6508</v>
      </c>
      <c r="F16356" s="2"/>
      <c r="G16356" s="2"/>
      <c r="H16356" s="2"/>
    </row>
    <row r="16357" spans="1:8" x14ac:dyDescent="0.25">
      <c r="A16357" s="1"/>
      <c r="B16357" s="1" t="s">
        <v>5782</v>
      </c>
      <c r="C16357" s="1" t="s">
        <v>5783</v>
      </c>
      <c r="D16357" s="22" t="str">
        <f>HYPERLINK("https://rhld.insurance.arkansas.gov/NPILookup?Npi=1649878042","1649878042")</f>
        <v>1649878042</v>
      </c>
      <c r="E16357" s="1" t="s">
        <v>22866</v>
      </c>
      <c r="F16357" s="2"/>
      <c r="G16357" s="2"/>
      <c r="H16357" s="2"/>
    </row>
    <row r="16358" spans="1:8" x14ac:dyDescent="0.25">
      <c r="A16358" s="1"/>
      <c r="B16358" s="1" t="s">
        <v>5782</v>
      </c>
      <c r="C16358" s="1" t="s">
        <v>5783</v>
      </c>
      <c r="D16358" s="22" t="str">
        <f>HYPERLINK("https://rhld.insurance.arkansas.gov/NPILookup?Npi=1649884560","1649884560")</f>
        <v>1649884560</v>
      </c>
      <c r="E16358" s="1" t="s">
        <v>22867</v>
      </c>
      <c r="F16358" s="2"/>
      <c r="G16358" s="2"/>
      <c r="H16358" s="2"/>
    </row>
    <row r="16359" spans="1:8" x14ac:dyDescent="0.25">
      <c r="A16359" s="1"/>
      <c r="B16359" s="1" t="s">
        <v>5782</v>
      </c>
      <c r="C16359" s="1" t="s">
        <v>5783</v>
      </c>
      <c r="D16359" s="22" t="str">
        <f>HYPERLINK("https://rhld.insurance.arkansas.gov/NPILookup?Npi=1649894494","1649894494")</f>
        <v>1649894494</v>
      </c>
      <c r="E16359" s="1" t="s">
        <v>11969</v>
      </c>
      <c r="F16359" s="2"/>
      <c r="G16359" s="2"/>
      <c r="H16359" s="2"/>
    </row>
    <row r="16360" spans="1:8" x14ac:dyDescent="0.25">
      <c r="A16360" s="1"/>
      <c r="B16360" s="1" t="s">
        <v>5782</v>
      </c>
      <c r="C16360" s="1" t="s">
        <v>5783</v>
      </c>
      <c r="D16360" s="22" t="str">
        <f>HYPERLINK("https://rhld.insurance.arkansas.gov/NPILookup?Npi=1649902446","1649902446")</f>
        <v>1649902446</v>
      </c>
      <c r="E16360" s="1" t="s">
        <v>6509</v>
      </c>
      <c r="F16360" s="2"/>
      <c r="G16360" s="2"/>
      <c r="H16360" s="2"/>
    </row>
    <row r="16361" spans="1:8" x14ac:dyDescent="0.25">
      <c r="A16361" s="1"/>
      <c r="B16361" s="1" t="s">
        <v>5782</v>
      </c>
      <c r="C16361" s="1" t="s">
        <v>5783</v>
      </c>
      <c r="D16361" s="22" t="str">
        <f>HYPERLINK("https://rhld.insurance.arkansas.gov/NPILookup?Npi=1649907593","1649907593")</f>
        <v>1649907593</v>
      </c>
      <c r="E16361" s="1" t="s">
        <v>11970</v>
      </c>
      <c r="F16361" s="2"/>
      <c r="G16361" s="2"/>
      <c r="H16361" s="2"/>
    </row>
    <row r="16362" spans="1:8" x14ac:dyDescent="0.25">
      <c r="A16362" s="1"/>
      <c r="B16362" s="1" t="s">
        <v>5782</v>
      </c>
      <c r="C16362" s="1" t="s">
        <v>5783</v>
      </c>
      <c r="D16362" s="22" t="str">
        <f>HYPERLINK("https://rhld.insurance.arkansas.gov/NPILookup?Npi=1649943945","1649943945")</f>
        <v>1649943945</v>
      </c>
      <c r="E16362" s="1" t="s">
        <v>11971</v>
      </c>
      <c r="F16362" s="2"/>
      <c r="G16362" s="2"/>
      <c r="H16362" s="2"/>
    </row>
    <row r="16363" spans="1:8" x14ac:dyDescent="0.25">
      <c r="A16363" s="1"/>
      <c r="B16363" s="1" t="s">
        <v>5782</v>
      </c>
      <c r="C16363" s="1" t="s">
        <v>5783</v>
      </c>
      <c r="D16363" s="22" t="str">
        <f>HYPERLINK("https://rhld.insurance.arkansas.gov/NPILookup?Npi=1649973348","1649973348")</f>
        <v>1649973348</v>
      </c>
      <c r="E16363" s="1" t="s">
        <v>11972</v>
      </c>
      <c r="F16363" s="2"/>
      <c r="G16363" s="2"/>
      <c r="H16363" s="2"/>
    </row>
    <row r="16364" spans="1:8" x14ac:dyDescent="0.25">
      <c r="A16364" s="1"/>
      <c r="B16364" s="1" t="s">
        <v>5782</v>
      </c>
      <c r="C16364" s="1" t="s">
        <v>5783</v>
      </c>
      <c r="D16364" s="22" t="str">
        <f>HYPERLINK("https://rhld.insurance.arkansas.gov/NPILookup?Npi=1649975236","1649975236")</f>
        <v>1649975236</v>
      </c>
      <c r="E16364" s="1" t="s">
        <v>6510</v>
      </c>
      <c r="F16364" s="2"/>
      <c r="G16364" s="2"/>
      <c r="H16364" s="2"/>
    </row>
    <row r="16365" spans="1:8" x14ac:dyDescent="0.25">
      <c r="A16365" s="1"/>
      <c r="B16365" s="1" t="s">
        <v>5782</v>
      </c>
      <c r="C16365" s="1" t="s">
        <v>5783</v>
      </c>
      <c r="D16365" s="22" t="str">
        <f>HYPERLINK("https://rhld.insurance.arkansas.gov/NPILookup?Npi=1649985664","1649985664")</f>
        <v>1649985664</v>
      </c>
      <c r="E16365" s="1" t="s">
        <v>11973</v>
      </c>
      <c r="F16365" s="2"/>
      <c r="G16365" s="2"/>
      <c r="H16365" s="2"/>
    </row>
    <row r="16366" spans="1:8" x14ac:dyDescent="0.25">
      <c r="A16366" s="1"/>
      <c r="B16366" s="1" t="s">
        <v>5782</v>
      </c>
      <c r="C16366" s="1" t="s">
        <v>5783</v>
      </c>
      <c r="D16366" s="22" t="str">
        <f>HYPERLINK("https://rhld.insurance.arkansas.gov/NPILookup?Npi=1649993668","1649993668")</f>
        <v>1649993668</v>
      </c>
      <c r="E16366" s="1" t="s">
        <v>11568</v>
      </c>
      <c r="F16366" s="2"/>
      <c r="G16366" s="2"/>
      <c r="H16366" s="2"/>
    </row>
    <row r="16367" spans="1:8" x14ac:dyDescent="0.25">
      <c r="A16367" s="1"/>
      <c r="B16367" s="1" t="s">
        <v>5782</v>
      </c>
      <c r="C16367" s="1" t="s">
        <v>5783</v>
      </c>
      <c r="D16367" s="22" t="str">
        <f>HYPERLINK("https://rhld.insurance.arkansas.gov/NPILookup?Npi=1659001485","1659001485")</f>
        <v>1659001485</v>
      </c>
      <c r="E16367" s="1" t="s">
        <v>22868</v>
      </c>
      <c r="F16367" s="2"/>
      <c r="G16367" s="2"/>
      <c r="H16367" s="2"/>
    </row>
    <row r="16368" spans="1:8" x14ac:dyDescent="0.25">
      <c r="A16368" s="1"/>
      <c r="B16368" s="1" t="s">
        <v>5782</v>
      </c>
      <c r="C16368" s="1" t="s">
        <v>5783</v>
      </c>
      <c r="D16368" s="22" t="str">
        <f>HYPERLINK("https://rhld.insurance.arkansas.gov/NPILookup?Npi=1659005163","1659005163")</f>
        <v>1659005163</v>
      </c>
      <c r="E16368" s="1" t="s">
        <v>22869</v>
      </c>
      <c r="F16368" s="2"/>
      <c r="G16368" s="2"/>
      <c r="H16368" s="2"/>
    </row>
    <row r="16369" spans="1:8" x14ac:dyDescent="0.25">
      <c r="A16369" s="1"/>
      <c r="B16369" s="1" t="s">
        <v>5782</v>
      </c>
      <c r="C16369" s="1" t="s">
        <v>5783</v>
      </c>
      <c r="D16369" s="22" t="str">
        <f>HYPERLINK("https://rhld.insurance.arkansas.gov/NPILookup?Npi=1659048809","1659048809")</f>
        <v>1659048809</v>
      </c>
      <c r="E16369" s="1" t="s">
        <v>11974</v>
      </c>
      <c r="F16369" s="2"/>
      <c r="G16369" s="2"/>
      <c r="H16369" s="2"/>
    </row>
    <row r="16370" spans="1:8" x14ac:dyDescent="0.25">
      <c r="A16370" s="1"/>
      <c r="B16370" s="1" t="s">
        <v>5782</v>
      </c>
      <c r="C16370" s="1" t="s">
        <v>5783</v>
      </c>
      <c r="D16370" s="22" t="str">
        <f>HYPERLINK("https://rhld.insurance.arkansas.gov/NPILookup?Npi=1659055150","1659055150")</f>
        <v>1659055150</v>
      </c>
      <c r="E16370" s="1" t="s">
        <v>22870</v>
      </c>
      <c r="F16370" s="2"/>
      <c r="G16370" s="2"/>
      <c r="H16370" s="2"/>
    </row>
    <row r="16371" spans="1:8" x14ac:dyDescent="0.25">
      <c r="A16371" s="1"/>
      <c r="B16371" s="1" t="s">
        <v>5782</v>
      </c>
      <c r="C16371" s="1" t="s">
        <v>5783</v>
      </c>
      <c r="D16371" s="22" t="str">
        <f>HYPERLINK("https://rhld.insurance.arkansas.gov/NPILookup?Npi=1659093730","1659093730")</f>
        <v>1659093730</v>
      </c>
      <c r="E16371" s="1" t="s">
        <v>3338</v>
      </c>
      <c r="F16371" s="2"/>
      <c r="G16371" s="2"/>
      <c r="H16371" s="2"/>
    </row>
    <row r="16372" spans="1:8" x14ac:dyDescent="0.25">
      <c r="A16372" s="1"/>
      <c r="B16372" s="1" t="s">
        <v>5782</v>
      </c>
      <c r="C16372" s="1" t="s">
        <v>5783</v>
      </c>
      <c r="D16372" s="22" t="str">
        <f>HYPERLINK("https://rhld.insurance.arkansas.gov/NPILookup?Npi=1659098804","1659098804")</f>
        <v>1659098804</v>
      </c>
      <c r="E16372" s="1" t="s">
        <v>31911</v>
      </c>
      <c r="F16372" s="2"/>
      <c r="G16372" s="2"/>
      <c r="H16372" s="2"/>
    </row>
    <row r="16373" spans="1:8" x14ac:dyDescent="0.25">
      <c r="A16373" s="1"/>
      <c r="B16373" s="1" t="s">
        <v>5782</v>
      </c>
      <c r="C16373" s="1" t="s">
        <v>5783</v>
      </c>
      <c r="D16373" s="22" t="str">
        <f>HYPERLINK("https://rhld.insurance.arkansas.gov/NPILookup?Npi=1659115426","1659115426")</f>
        <v>1659115426</v>
      </c>
      <c r="E16373" s="1" t="s">
        <v>22871</v>
      </c>
      <c r="F16373" s="2"/>
      <c r="G16373" s="2"/>
      <c r="H16373" s="2"/>
    </row>
    <row r="16374" spans="1:8" x14ac:dyDescent="0.25">
      <c r="A16374" s="1"/>
      <c r="B16374" s="1" t="s">
        <v>5782</v>
      </c>
      <c r="C16374" s="1" t="s">
        <v>5783</v>
      </c>
      <c r="D16374" s="22" t="str">
        <f>HYPERLINK("https://rhld.insurance.arkansas.gov/NPILookup?Npi=1659313500","1659313500")</f>
        <v>1659313500</v>
      </c>
      <c r="E16374" s="1" t="s">
        <v>22872</v>
      </c>
      <c r="F16374" s="2"/>
      <c r="G16374" s="2"/>
      <c r="H16374" s="2"/>
    </row>
    <row r="16375" spans="1:8" x14ac:dyDescent="0.25">
      <c r="A16375" s="1"/>
      <c r="B16375" s="1" t="s">
        <v>5782</v>
      </c>
      <c r="C16375" s="1" t="s">
        <v>5783</v>
      </c>
      <c r="D16375" s="22" t="str">
        <f>HYPERLINK("https://rhld.insurance.arkansas.gov/NPILookup?Npi=1659351781","1659351781")</f>
        <v>1659351781</v>
      </c>
      <c r="E16375" s="1" t="s">
        <v>22873</v>
      </c>
      <c r="F16375" s="2"/>
      <c r="G16375" s="2"/>
      <c r="H16375" s="2"/>
    </row>
    <row r="16376" spans="1:8" x14ac:dyDescent="0.25">
      <c r="A16376" s="1"/>
      <c r="B16376" s="1" t="s">
        <v>5782</v>
      </c>
      <c r="C16376" s="1" t="s">
        <v>5783</v>
      </c>
      <c r="D16376" s="22" t="str">
        <f>HYPERLINK("https://rhld.insurance.arkansas.gov/NPILookup?Npi=1659377752","1659377752")</f>
        <v>1659377752</v>
      </c>
      <c r="E16376" s="1" t="s">
        <v>22874</v>
      </c>
      <c r="F16376" s="2"/>
      <c r="G16376" s="2"/>
      <c r="H16376" s="2"/>
    </row>
    <row r="16377" spans="1:8" x14ac:dyDescent="0.25">
      <c r="A16377" s="1"/>
      <c r="B16377" s="1" t="s">
        <v>5782</v>
      </c>
      <c r="C16377" s="1" t="s">
        <v>5783</v>
      </c>
      <c r="D16377" s="22" t="str">
        <f>HYPERLINK("https://rhld.insurance.arkansas.gov/NPILookup?Npi=1659418648","1659418648")</f>
        <v>1659418648</v>
      </c>
      <c r="E16377" s="1" t="s">
        <v>11975</v>
      </c>
      <c r="F16377" s="2"/>
      <c r="G16377" s="2"/>
      <c r="H16377" s="2"/>
    </row>
    <row r="16378" spans="1:8" x14ac:dyDescent="0.25">
      <c r="A16378" s="1"/>
      <c r="B16378" s="1" t="s">
        <v>5782</v>
      </c>
      <c r="C16378" s="1" t="s">
        <v>5783</v>
      </c>
      <c r="D16378" s="22" t="str">
        <f>HYPERLINK("https://rhld.insurance.arkansas.gov/NPILookup?Npi=1659422160","1659422160")</f>
        <v>1659422160</v>
      </c>
      <c r="E16378" s="1" t="s">
        <v>22875</v>
      </c>
      <c r="F16378" s="2"/>
      <c r="G16378" s="2"/>
      <c r="H16378" s="2"/>
    </row>
    <row r="16379" spans="1:8" x14ac:dyDescent="0.25">
      <c r="A16379" s="1"/>
      <c r="B16379" s="1" t="s">
        <v>5782</v>
      </c>
      <c r="C16379" s="1" t="s">
        <v>5783</v>
      </c>
      <c r="D16379" s="22" t="str">
        <f>HYPERLINK("https://rhld.insurance.arkansas.gov/NPILookup?Npi=1659427573","1659427573")</f>
        <v>1659427573</v>
      </c>
      <c r="E16379" s="1" t="s">
        <v>695</v>
      </c>
      <c r="F16379" s="2"/>
      <c r="G16379" s="2"/>
      <c r="H16379" s="2"/>
    </row>
    <row r="16380" spans="1:8" x14ac:dyDescent="0.25">
      <c r="A16380" s="1"/>
      <c r="B16380" s="1" t="s">
        <v>5782</v>
      </c>
      <c r="C16380" s="1" t="s">
        <v>5783</v>
      </c>
      <c r="D16380" s="22" t="str">
        <f>HYPERLINK("https://rhld.insurance.arkansas.gov/NPILookup?Npi=1659431187","1659431187")</f>
        <v>1659431187</v>
      </c>
      <c r="E16380" s="1" t="s">
        <v>1879</v>
      </c>
      <c r="F16380" s="2"/>
      <c r="G16380" s="2"/>
      <c r="H16380" s="2"/>
    </row>
    <row r="16381" spans="1:8" x14ac:dyDescent="0.25">
      <c r="A16381" s="1"/>
      <c r="B16381" s="1" t="s">
        <v>5782</v>
      </c>
      <c r="C16381" s="1" t="s">
        <v>5783</v>
      </c>
      <c r="D16381" s="22" t="str">
        <f>HYPERLINK("https://rhld.insurance.arkansas.gov/NPILookup?Npi=1659434215","1659434215")</f>
        <v>1659434215</v>
      </c>
      <c r="E16381" s="1" t="s">
        <v>11976</v>
      </c>
      <c r="F16381" s="2"/>
      <c r="G16381" s="2"/>
      <c r="H16381" s="2"/>
    </row>
    <row r="16382" spans="1:8" x14ac:dyDescent="0.25">
      <c r="A16382" s="1"/>
      <c r="B16382" s="1" t="s">
        <v>5782</v>
      </c>
      <c r="C16382" s="1" t="s">
        <v>5783</v>
      </c>
      <c r="D16382" s="22" t="str">
        <f>HYPERLINK("https://rhld.insurance.arkansas.gov/NPILookup?Npi=1659442093","1659442093")</f>
        <v>1659442093</v>
      </c>
      <c r="E16382" s="1" t="s">
        <v>22876</v>
      </c>
      <c r="F16382" s="2"/>
      <c r="G16382" s="2"/>
      <c r="H16382" s="2"/>
    </row>
    <row r="16383" spans="1:8" x14ac:dyDescent="0.25">
      <c r="A16383" s="1"/>
      <c r="B16383" s="1" t="s">
        <v>5782</v>
      </c>
      <c r="C16383" s="1" t="s">
        <v>5783</v>
      </c>
      <c r="D16383" s="22" t="str">
        <f>HYPERLINK("https://rhld.insurance.arkansas.gov/NPILookup?Npi=1659450823","1659450823")</f>
        <v>1659450823</v>
      </c>
      <c r="E16383" s="1" t="s">
        <v>22877</v>
      </c>
      <c r="F16383" s="2"/>
      <c r="G16383" s="2"/>
      <c r="H16383" s="2"/>
    </row>
    <row r="16384" spans="1:8" x14ac:dyDescent="0.25">
      <c r="A16384" s="1"/>
      <c r="B16384" s="1" t="s">
        <v>5782</v>
      </c>
      <c r="C16384" s="1" t="s">
        <v>5783</v>
      </c>
      <c r="D16384" s="22" t="str">
        <f>HYPERLINK("https://rhld.insurance.arkansas.gov/NPILookup?Npi=1659458347","1659458347")</f>
        <v>1659458347</v>
      </c>
      <c r="E16384" s="1" t="s">
        <v>6512</v>
      </c>
      <c r="F16384" s="2"/>
      <c r="G16384" s="2"/>
      <c r="H16384" s="2"/>
    </row>
    <row r="16385" spans="1:8" x14ac:dyDescent="0.25">
      <c r="A16385" s="1"/>
      <c r="B16385" s="1" t="s">
        <v>5782</v>
      </c>
      <c r="C16385" s="1" t="s">
        <v>5783</v>
      </c>
      <c r="D16385" s="22" t="str">
        <f>HYPERLINK("https://rhld.insurance.arkansas.gov/NPILookup?Npi=1659461218","1659461218")</f>
        <v>1659461218</v>
      </c>
      <c r="E16385" s="1" t="s">
        <v>22878</v>
      </c>
      <c r="F16385" s="2"/>
      <c r="G16385" s="2"/>
      <c r="H16385" s="2"/>
    </row>
    <row r="16386" spans="1:8" x14ac:dyDescent="0.25">
      <c r="A16386" s="1"/>
      <c r="B16386" s="1" t="s">
        <v>5782</v>
      </c>
      <c r="C16386" s="1" t="s">
        <v>5783</v>
      </c>
      <c r="D16386" s="22" t="str">
        <f>HYPERLINK("https://rhld.insurance.arkansas.gov/NPILookup?Npi=1659491603","1659491603")</f>
        <v>1659491603</v>
      </c>
      <c r="E16386" s="1" t="s">
        <v>22879</v>
      </c>
      <c r="F16386" s="2"/>
      <c r="G16386" s="2"/>
      <c r="H16386" s="2"/>
    </row>
    <row r="16387" spans="1:8" x14ac:dyDescent="0.25">
      <c r="A16387" s="1"/>
      <c r="B16387" s="1" t="s">
        <v>5782</v>
      </c>
      <c r="C16387" s="1" t="s">
        <v>5783</v>
      </c>
      <c r="D16387" s="22" t="str">
        <f>HYPERLINK("https://rhld.insurance.arkansas.gov/NPILookup?Npi=1659542686","1659542686")</f>
        <v>1659542686</v>
      </c>
      <c r="E16387" s="1" t="s">
        <v>3640</v>
      </c>
      <c r="F16387" s="2"/>
      <c r="G16387" s="2"/>
      <c r="H16387" s="2"/>
    </row>
    <row r="16388" spans="1:8" x14ac:dyDescent="0.25">
      <c r="A16388" s="1"/>
      <c r="B16388" s="1" t="s">
        <v>5782</v>
      </c>
      <c r="C16388" s="1" t="s">
        <v>5783</v>
      </c>
      <c r="D16388" s="22" t="str">
        <f>HYPERLINK("https://rhld.insurance.arkansas.gov/NPILookup?Npi=1659545523","1659545523")</f>
        <v>1659545523</v>
      </c>
      <c r="E16388" s="1" t="s">
        <v>22880</v>
      </c>
      <c r="F16388" s="2"/>
      <c r="G16388" s="2"/>
      <c r="H16388" s="2"/>
    </row>
    <row r="16389" spans="1:8" x14ac:dyDescent="0.25">
      <c r="A16389" s="1"/>
      <c r="B16389" s="1" t="s">
        <v>5782</v>
      </c>
      <c r="C16389" s="1" t="s">
        <v>5783</v>
      </c>
      <c r="D16389" s="22" t="str">
        <f>HYPERLINK("https://rhld.insurance.arkansas.gov/NPILookup?Npi=1659546000","1659546000")</f>
        <v>1659546000</v>
      </c>
      <c r="E16389" s="1" t="s">
        <v>22881</v>
      </c>
      <c r="F16389" s="2"/>
      <c r="G16389" s="2"/>
      <c r="H16389" s="2"/>
    </row>
    <row r="16390" spans="1:8" x14ac:dyDescent="0.25">
      <c r="A16390" s="1"/>
      <c r="B16390" s="1" t="s">
        <v>5782</v>
      </c>
      <c r="C16390" s="1" t="s">
        <v>5783</v>
      </c>
      <c r="D16390" s="22" t="str">
        <f>HYPERLINK("https://rhld.insurance.arkansas.gov/NPILookup?Npi=1659548105","1659548105")</f>
        <v>1659548105</v>
      </c>
      <c r="E16390" s="1" t="s">
        <v>6513</v>
      </c>
      <c r="F16390" s="2"/>
      <c r="G16390" s="2"/>
      <c r="H16390" s="2"/>
    </row>
    <row r="16391" spans="1:8" x14ac:dyDescent="0.25">
      <c r="A16391" s="1"/>
      <c r="B16391" s="1" t="s">
        <v>5782</v>
      </c>
      <c r="C16391" s="1" t="s">
        <v>5783</v>
      </c>
      <c r="D16391" s="22" t="str">
        <f>HYPERLINK("https://rhld.insurance.arkansas.gov/NPILookup?Npi=1659550762","1659550762")</f>
        <v>1659550762</v>
      </c>
      <c r="E16391" s="1" t="s">
        <v>11977</v>
      </c>
      <c r="F16391" s="2"/>
      <c r="G16391" s="2"/>
      <c r="H16391" s="2"/>
    </row>
    <row r="16392" spans="1:8" x14ac:dyDescent="0.25">
      <c r="A16392" s="1"/>
      <c r="B16392" s="1" t="s">
        <v>5782</v>
      </c>
      <c r="C16392" s="1" t="s">
        <v>5783</v>
      </c>
      <c r="D16392" s="22" t="str">
        <f>HYPERLINK("https://rhld.insurance.arkansas.gov/NPILookup?Npi=1659559565","1659559565")</f>
        <v>1659559565</v>
      </c>
      <c r="E16392" s="1" t="s">
        <v>22882</v>
      </c>
      <c r="F16392" s="2"/>
      <c r="G16392" s="2"/>
      <c r="H16392" s="2"/>
    </row>
    <row r="16393" spans="1:8" x14ac:dyDescent="0.25">
      <c r="A16393" s="1"/>
      <c r="B16393" s="1" t="s">
        <v>5782</v>
      </c>
      <c r="C16393" s="1" t="s">
        <v>5783</v>
      </c>
      <c r="D16393" s="22" t="str">
        <f>HYPERLINK("https://rhld.insurance.arkansas.gov/NPILookup?Npi=1659569945","1659569945")</f>
        <v>1659569945</v>
      </c>
      <c r="E16393" s="1" t="s">
        <v>22883</v>
      </c>
      <c r="F16393" s="2"/>
      <c r="G16393" s="2"/>
      <c r="H16393" s="2"/>
    </row>
    <row r="16394" spans="1:8" x14ac:dyDescent="0.25">
      <c r="A16394" s="1"/>
      <c r="B16394" s="1" t="s">
        <v>5782</v>
      </c>
      <c r="C16394" s="1" t="s">
        <v>5783</v>
      </c>
      <c r="D16394" s="22" t="str">
        <f>HYPERLINK("https://rhld.insurance.arkansas.gov/NPILookup?Npi=1659588440","1659588440")</f>
        <v>1659588440</v>
      </c>
      <c r="E16394" s="1" t="s">
        <v>22884</v>
      </c>
      <c r="F16394" s="2"/>
      <c r="G16394" s="2"/>
      <c r="H16394" s="2"/>
    </row>
    <row r="16395" spans="1:8" x14ac:dyDescent="0.25">
      <c r="A16395" s="1"/>
      <c r="B16395" s="1" t="s">
        <v>5782</v>
      </c>
      <c r="C16395" s="1" t="s">
        <v>5783</v>
      </c>
      <c r="D16395" s="22" t="str">
        <f>HYPERLINK("https://rhld.insurance.arkansas.gov/NPILookup?Npi=1659594562","1659594562")</f>
        <v>1659594562</v>
      </c>
      <c r="E16395" s="1" t="s">
        <v>11978</v>
      </c>
      <c r="F16395" s="2"/>
      <c r="G16395" s="2"/>
      <c r="H16395" s="2"/>
    </row>
    <row r="16396" spans="1:8" x14ac:dyDescent="0.25">
      <c r="A16396" s="1"/>
      <c r="B16396" s="1" t="s">
        <v>5782</v>
      </c>
      <c r="C16396" s="1" t="s">
        <v>5783</v>
      </c>
      <c r="D16396" s="22" t="str">
        <f>HYPERLINK("https://rhld.insurance.arkansas.gov/NPILookup?Npi=1659603397","1659603397")</f>
        <v>1659603397</v>
      </c>
      <c r="E16396" s="1" t="s">
        <v>2181</v>
      </c>
      <c r="F16396" s="2"/>
      <c r="G16396" s="2"/>
      <c r="H16396" s="2"/>
    </row>
    <row r="16397" spans="1:8" x14ac:dyDescent="0.25">
      <c r="A16397" s="1"/>
      <c r="B16397" s="1" t="s">
        <v>5782</v>
      </c>
      <c r="C16397" s="1" t="s">
        <v>5783</v>
      </c>
      <c r="D16397" s="22" t="str">
        <f>HYPERLINK("https://rhld.insurance.arkansas.gov/NPILookup?Npi=1659605160","1659605160")</f>
        <v>1659605160</v>
      </c>
      <c r="E16397" s="1" t="s">
        <v>6514</v>
      </c>
      <c r="F16397" s="2"/>
      <c r="G16397" s="2"/>
      <c r="H16397" s="2"/>
    </row>
    <row r="16398" spans="1:8" x14ac:dyDescent="0.25">
      <c r="A16398" s="1"/>
      <c r="B16398" s="1" t="s">
        <v>5782</v>
      </c>
      <c r="C16398" s="1" t="s">
        <v>5783</v>
      </c>
      <c r="D16398" s="22" t="str">
        <f>HYPERLINK("https://rhld.insurance.arkansas.gov/NPILookup?Npi=1659605269","1659605269")</f>
        <v>1659605269</v>
      </c>
      <c r="E16398" s="1" t="s">
        <v>22885</v>
      </c>
      <c r="F16398" s="2"/>
      <c r="G16398" s="2"/>
      <c r="H16398" s="2"/>
    </row>
    <row r="16399" spans="1:8" x14ac:dyDescent="0.25">
      <c r="A16399" s="1"/>
      <c r="B16399" s="1" t="s">
        <v>5782</v>
      </c>
      <c r="C16399" s="1" t="s">
        <v>5783</v>
      </c>
      <c r="D16399" s="22" t="str">
        <f>HYPERLINK("https://rhld.insurance.arkansas.gov/NPILookup?Npi=1659608222","1659608222")</f>
        <v>1659608222</v>
      </c>
      <c r="E16399" s="1" t="s">
        <v>6515</v>
      </c>
      <c r="F16399" s="2"/>
      <c r="G16399" s="2"/>
      <c r="H16399" s="2"/>
    </row>
    <row r="16400" spans="1:8" x14ac:dyDescent="0.25">
      <c r="A16400" s="1"/>
      <c r="B16400" s="1" t="s">
        <v>5782</v>
      </c>
      <c r="C16400" s="1" t="s">
        <v>5783</v>
      </c>
      <c r="D16400" s="22" t="str">
        <f>HYPERLINK("https://rhld.insurance.arkansas.gov/NPILookup?Npi=1659621571","1659621571")</f>
        <v>1659621571</v>
      </c>
      <c r="E16400" s="1" t="s">
        <v>31912</v>
      </c>
      <c r="F16400" s="2"/>
      <c r="G16400" s="2"/>
      <c r="H16400" s="2"/>
    </row>
    <row r="16401" spans="1:8" x14ac:dyDescent="0.25">
      <c r="A16401" s="1"/>
      <c r="B16401" s="1" t="s">
        <v>5782</v>
      </c>
      <c r="C16401" s="1" t="s">
        <v>5783</v>
      </c>
      <c r="D16401" s="22" t="str">
        <f>HYPERLINK("https://rhld.insurance.arkansas.gov/NPILookup?Npi=1659623775","1659623775")</f>
        <v>1659623775</v>
      </c>
      <c r="E16401" s="1" t="s">
        <v>11979</v>
      </c>
      <c r="F16401" s="2"/>
      <c r="G16401" s="2"/>
      <c r="H16401" s="2"/>
    </row>
    <row r="16402" spans="1:8" x14ac:dyDescent="0.25">
      <c r="A16402" s="1"/>
      <c r="B16402" s="1" t="s">
        <v>5782</v>
      </c>
      <c r="C16402" s="1" t="s">
        <v>5783</v>
      </c>
      <c r="D16402" s="22" t="str">
        <f>HYPERLINK("https://rhld.insurance.arkansas.gov/NPILookup?Npi=1659633964","1659633964")</f>
        <v>1659633964</v>
      </c>
      <c r="E16402" s="1" t="s">
        <v>22886</v>
      </c>
      <c r="F16402" s="2"/>
      <c r="G16402" s="2"/>
      <c r="H16402" s="2"/>
    </row>
    <row r="16403" spans="1:8" x14ac:dyDescent="0.25">
      <c r="A16403" s="1"/>
      <c r="B16403" s="1" t="s">
        <v>5782</v>
      </c>
      <c r="C16403" s="1" t="s">
        <v>5783</v>
      </c>
      <c r="D16403" s="22" t="str">
        <f>HYPERLINK("https://rhld.insurance.arkansas.gov/NPILookup?Npi=1659651487","1659651487")</f>
        <v>1659651487</v>
      </c>
      <c r="E16403" s="1" t="s">
        <v>3339</v>
      </c>
      <c r="F16403" s="2"/>
      <c r="G16403" s="2"/>
      <c r="H16403" s="2"/>
    </row>
    <row r="16404" spans="1:8" x14ac:dyDescent="0.25">
      <c r="A16404" s="1"/>
      <c r="B16404" s="1" t="s">
        <v>5782</v>
      </c>
      <c r="C16404" s="1" t="s">
        <v>5783</v>
      </c>
      <c r="D16404" s="22" t="str">
        <f>HYPERLINK("https://rhld.insurance.arkansas.gov/NPILookup?Npi=1659655108","1659655108")</f>
        <v>1659655108</v>
      </c>
      <c r="E16404" s="1" t="s">
        <v>22887</v>
      </c>
      <c r="F16404" s="2"/>
      <c r="G16404" s="2"/>
      <c r="H16404" s="2"/>
    </row>
    <row r="16405" spans="1:8" x14ac:dyDescent="0.25">
      <c r="A16405" s="1"/>
      <c r="B16405" s="1" t="s">
        <v>5782</v>
      </c>
      <c r="C16405" s="1" t="s">
        <v>5783</v>
      </c>
      <c r="D16405" s="22" t="str">
        <f>HYPERLINK("https://rhld.insurance.arkansas.gov/NPILookup?Npi=1659663250","1659663250")</f>
        <v>1659663250</v>
      </c>
      <c r="E16405" s="1" t="s">
        <v>22888</v>
      </c>
      <c r="F16405" s="2"/>
      <c r="G16405" s="2"/>
      <c r="H16405" s="2"/>
    </row>
    <row r="16406" spans="1:8" x14ac:dyDescent="0.25">
      <c r="A16406" s="1"/>
      <c r="B16406" s="1" t="s">
        <v>5782</v>
      </c>
      <c r="C16406" s="1" t="s">
        <v>5783</v>
      </c>
      <c r="D16406" s="22" t="str">
        <f>HYPERLINK("https://rhld.insurance.arkansas.gov/NPILookup?Npi=1659686780","1659686780")</f>
        <v>1659686780</v>
      </c>
      <c r="E16406" s="1" t="s">
        <v>22889</v>
      </c>
      <c r="F16406" s="2"/>
      <c r="G16406" s="2"/>
      <c r="H16406" s="2"/>
    </row>
    <row r="16407" spans="1:8" x14ac:dyDescent="0.25">
      <c r="A16407" s="1"/>
      <c r="B16407" s="1" t="s">
        <v>5782</v>
      </c>
      <c r="C16407" s="1" t="s">
        <v>5783</v>
      </c>
      <c r="D16407" s="22" t="str">
        <f>HYPERLINK("https://rhld.insurance.arkansas.gov/NPILookup?Npi=1659698736","1659698736")</f>
        <v>1659698736</v>
      </c>
      <c r="E16407" s="1" t="s">
        <v>22890</v>
      </c>
      <c r="F16407" s="2"/>
      <c r="G16407" s="2"/>
      <c r="H16407" s="2"/>
    </row>
    <row r="16408" spans="1:8" x14ac:dyDescent="0.25">
      <c r="A16408" s="1"/>
      <c r="B16408" s="1" t="s">
        <v>5782</v>
      </c>
      <c r="C16408" s="1" t="s">
        <v>5783</v>
      </c>
      <c r="D16408" s="22" t="str">
        <f>HYPERLINK("https://rhld.insurance.arkansas.gov/NPILookup?Npi=1659701654","1659701654")</f>
        <v>1659701654</v>
      </c>
      <c r="E16408" s="1" t="s">
        <v>11980</v>
      </c>
      <c r="F16408" s="2"/>
      <c r="G16408" s="2"/>
      <c r="H16408" s="2"/>
    </row>
    <row r="16409" spans="1:8" x14ac:dyDescent="0.25">
      <c r="A16409" s="1"/>
      <c r="B16409" s="1" t="s">
        <v>5782</v>
      </c>
      <c r="C16409" s="1" t="s">
        <v>5783</v>
      </c>
      <c r="D16409" s="22" t="str">
        <f>HYPERLINK("https://rhld.insurance.arkansas.gov/NPILookup?Npi=1659720183","1659720183")</f>
        <v>1659720183</v>
      </c>
      <c r="E16409" s="1" t="s">
        <v>1673</v>
      </c>
      <c r="F16409" s="2"/>
      <c r="G16409" s="2"/>
      <c r="H16409" s="2"/>
    </row>
    <row r="16410" spans="1:8" x14ac:dyDescent="0.25">
      <c r="A16410" s="1"/>
      <c r="B16410" s="1" t="s">
        <v>5782</v>
      </c>
      <c r="C16410" s="1" t="s">
        <v>5783</v>
      </c>
      <c r="D16410" s="22" t="str">
        <f>HYPERLINK("https://rhld.insurance.arkansas.gov/NPILookup?Npi=1659722528","1659722528")</f>
        <v>1659722528</v>
      </c>
      <c r="E16410" s="1" t="s">
        <v>3340</v>
      </c>
      <c r="F16410" s="2"/>
      <c r="G16410" s="2"/>
      <c r="H16410" s="2"/>
    </row>
    <row r="16411" spans="1:8" x14ac:dyDescent="0.25">
      <c r="A16411" s="1"/>
      <c r="B16411" s="1" t="s">
        <v>5782</v>
      </c>
      <c r="C16411" s="1" t="s">
        <v>5783</v>
      </c>
      <c r="D16411" s="22" t="str">
        <f>HYPERLINK("https://rhld.insurance.arkansas.gov/NPILookup?Npi=1659746618","1659746618")</f>
        <v>1659746618</v>
      </c>
      <c r="E16411" s="1" t="s">
        <v>6516</v>
      </c>
      <c r="F16411" s="2"/>
      <c r="G16411" s="2"/>
      <c r="H16411" s="2"/>
    </row>
    <row r="16412" spans="1:8" x14ac:dyDescent="0.25">
      <c r="A16412" s="1"/>
      <c r="B16412" s="1" t="s">
        <v>5782</v>
      </c>
      <c r="C16412" s="1" t="s">
        <v>5783</v>
      </c>
      <c r="D16412" s="22" t="str">
        <f>HYPERLINK("https://rhld.insurance.arkansas.gov/NPILookup?Npi=1659753515","1659753515")</f>
        <v>1659753515</v>
      </c>
      <c r="E16412" s="1" t="s">
        <v>22891</v>
      </c>
      <c r="F16412" s="2"/>
      <c r="G16412" s="2"/>
      <c r="H16412" s="2"/>
    </row>
    <row r="16413" spans="1:8" x14ac:dyDescent="0.25">
      <c r="A16413" s="1"/>
      <c r="B16413" s="1" t="s">
        <v>5782</v>
      </c>
      <c r="C16413" s="1" t="s">
        <v>5783</v>
      </c>
      <c r="D16413" s="22" t="str">
        <f>HYPERLINK("https://rhld.insurance.arkansas.gov/NPILookup?Npi=1659770766","1659770766")</f>
        <v>1659770766</v>
      </c>
      <c r="E16413" s="1" t="s">
        <v>22892</v>
      </c>
      <c r="F16413" s="2"/>
      <c r="G16413" s="2"/>
      <c r="H16413" s="2"/>
    </row>
    <row r="16414" spans="1:8" x14ac:dyDescent="0.25">
      <c r="A16414" s="1"/>
      <c r="B16414" s="1" t="s">
        <v>5782</v>
      </c>
      <c r="C16414" s="1" t="s">
        <v>5783</v>
      </c>
      <c r="D16414" s="22" t="str">
        <f>HYPERLINK("https://rhld.insurance.arkansas.gov/NPILookup?Npi=1659786705","1659786705")</f>
        <v>1659786705</v>
      </c>
      <c r="E16414" s="1" t="s">
        <v>22894</v>
      </c>
      <c r="F16414" s="2"/>
      <c r="G16414" s="2"/>
      <c r="H16414" s="2"/>
    </row>
    <row r="16415" spans="1:8" x14ac:dyDescent="0.25">
      <c r="A16415" s="1"/>
      <c r="B16415" s="1" t="s">
        <v>5782</v>
      </c>
      <c r="C16415" s="1" t="s">
        <v>5783</v>
      </c>
      <c r="D16415" s="22" t="str">
        <f>HYPERLINK("https://rhld.insurance.arkansas.gov/NPILookup?Npi=1659797256","1659797256")</f>
        <v>1659797256</v>
      </c>
      <c r="E16415" s="1" t="s">
        <v>11981</v>
      </c>
      <c r="F16415" s="2"/>
      <c r="G16415" s="2"/>
      <c r="H16415" s="2"/>
    </row>
    <row r="16416" spans="1:8" x14ac:dyDescent="0.25">
      <c r="A16416" s="1"/>
      <c r="B16416" s="1" t="s">
        <v>5782</v>
      </c>
      <c r="C16416" s="1" t="s">
        <v>5783</v>
      </c>
      <c r="D16416" s="22" t="str">
        <f>HYPERLINK("https://rhld.insurance.arkansas.gov/NPILookup?Npi=1659805844","1659805844")</f>
        <v>1659805844</v>
      </c>
      <c r="E16416" s="1" t="s">
        <v>11982</v>
      </c>
      <c r="F16416" s="2"/>
      <c r="G16416" s="2"/>
      <c r="H16416" s="2"/>
    </row>
    <row r="16417" spans="1:8" x14ac:dyDescent="0.25">
      <c r="A16417" s="1"/>
      <c r="B16417" s="1" t="s">
        <v>5782</v>
      </c>
      <c r="C16417" s="1" t="s">
        <v>5783</v>
      </c>
      <c r="D16417" s="22" t="str">
        <f>HYPERLINK("https://rhld.insurance.arkansas.gov/NPILookup?Npi=1659828796","1659828796")</f>
        <v>1659828796</v>
      </c>
      <c r="E16417" s="1" t="s">
        <v>11983</v>
      </c>
      <c r="F16417" s="2"/>
      <c r="G16417" s="2"/>
      <c r="H16417" s="2"/>
    </row>
    <row r="16418" spans="1:8" x14ac:dyDescent="0.25">
      <c r="A16418" s="1"/>
      <c r="B16418" s="1" t="s">
        <v>5782</v>
      </c>
      <c r="C16418" s="1" t="s">
        <v>5783</v>
      </c>
      <c r="D16418" s="22" t="str">
        <f>HYPERLINK("https://rhld.insurance.arkansas.gov/NPILookup?Npi=1659836435","1659836435")</f>
        <v>1659836435</v>
      </c>
      <c r="E16418" s="1" t="s">
        <v>22895</v>
      </c>
      <c r="F16418" s="2"/>
      <c r="G16418" s="2"/>
      <c r="H16418" s="2"/>
    </row>
    <row r="16419" spans="1:8" x14ac:dyDescent="0.25">
      <c r="A16419" s="1"/>
      <c r="B16419" s="1" t="s">
        <v>5782</v>
      </c>
      <c r="C16419" s="1" t="s">
        <v>5783</v>
      </c>
      <c r="D16419" s="22" t="str">
        <f>HYPERLINK("https://rhld.insurance.arkansas.gov/NPILookup?Npi=1659858272","1659858272")</f>
        <v>1659858272</v>
      </c>
      <c r="E16419" s="1" t="s">
        <v>22896</v>
      </c>
      <c r="F16419" s="2"/>
      <c r="G16419" s="2"/>
      <c r="H16419" s="2"/>
    </row>
    <row r="16420" spans="1:8" x14ac:dyDescent="0.25">
      <c r="A16420" s="1"/>
      <c r="B16420" s="1" t="s">
        <v>5782</v>
      </c>
      <c r="C16420" s="1" t="s">
        <v>5783</v>
      </c>
      <c r="D16420" s="22" t="str">
        <f>HYPERLINK("https://rhld.insurance.arkansas.gov/NPILookup?Npi=1659889475","1659889475")</f>
        <v>1659889475</v>
      </c>
      <c r="E16420" s="1" t="s">
        <v>22897</v>
      </c>
      <c r="F16420" s="2"/>
      <c r="G16420" s="2"/>
      <c r="H16420" s="2"/>
    </row>
    <row r="16421" spans="1:8" x14ac:dyDescent="0.25">
      <c r="A16421" s="1"/>
      <c r="B16421" s="1" t="s">
        <v>5782</v>
      </c>
      <c r="C16421" s="1" t="s">
        <v>5783</v>
      </c>
      <c r="D16421" s="22" t="str">
        <f>HYPERLINK("https://rhld.insurance.arkansas.gov/NPILookup?Npi=1659894186","1659894186")</f>
        <v>1659894186</v>
      </c>
      <c r="E16421" s="1" t="s">
        <v>31913</v>
      </c>
      <c r="F16421" s="2"/>
      <c r="G16421" s="2"/>
      <c r="H16421" s="2"/>
    </row>
    <row r="16422" spans="1:8" x14ac:dyDescent="0.25">
      <c r="A16422" s="1"/>
      <c r="B16422" s="1" t="s">
        <v>5782</v>
      </c>
      <c r="C16422" s="1" t="s">
        <v>5783</v>
      </c>
      <c r="D16422" s="22" t="str">
        <f>HYPERLINK("https://rhld.insurance.arkansas.gov/NPILookup?Npi=1659894194","1659894194")</f>
        <v>1659894194</v>
      </c>
      <c r="E16422" s="1" t="s">
        <v>22898</v>
      </c>
      <c r="F16422" s="2"/>
      <c r="G16422" s="2"/>
      <c r="H16422" s="2"/>
    </row>
    <row r="16423" spans="1:8" x14ac:dyDescent="0.25">
      <c r="A16423" s="1"/>
      <c r="B16423" s="1" t="s">
        <v>5782</v>
      </c>
      <c r="C16423" s="1" t="s">
        <v>5783</v>
      </c>
      <c r="D16423" s="22" t="str">
        <f>HYPERLINK("https://rhld.insurance.arkansas.gov/NPILookup?Npi=1659896074","1659896074")</f>
        <v>1659896074</v>
      </c>
      <c r="E16423" s="1" t="s">
        <v>22899</v>
      </c>
      <c r="F16423" s="2"/>
      <c r="G16423" s="2"/>
      <c r="H16423" s="2"/>
    </row>
    <row r="16424" spans="1:8" x14ac:dyDescent="0.25">
      <c r="A16424" s="1"/>
      <c r="B16424" s="1" t="s">
        <v>5782</v>
      </c>
      <c r="C16424" s="1" t="s">
        <v>5783</v>
      </c>
      <c r="D16424" s="22" t="str">
        <f>HYPERLINK("https://rhld.insurance.arkansas.gov/NPILookup?Npi=1659906873","1659906873")</f>
        <v>1659906873</v>
      </c>
      <c r="E16424" s="1" t="s">
        <v>22900</v>
      </c>
      <c r="F16424" s="2"/>
      <c r="G16424" s="2"/>
      <c r="H16424" s="2"/>
    </row>
    <row r="16425" spans="1:8" x14ac:dyDescent="0.25">
      <c r="A16425" s="1"/>
      <c r="B16425" s="1" t="s">
        <v>5782</v>
      </c>
      <c r="C16425" s="1" t="s">
        <v>5783</v>
      </c>
      <c r="D16425" s="22" t="str">
        <f>HYPERLINK("https://rhld.insurance.arkansas.gov/NPILookup?Npi=1659911824","1659911824")</f>
        <v>1659911824</v>
      </c>
      <c r="E16425" s="1" t="s">
        <v>3341</v>
      </c>
      <c r="F16425" s="2"/>
      <c r="G16425" s="2"/>
      <c r="H16425" s="2"/>
    </row>
    <row r="16426" spans="1:8" x14ac:dyDescent="0.25">
      <c r="A16426" s="1"/>
      <c r="B16426" s="1" t="s">
        <v>5782</v>
      </c>
      <c r="C16426" s="1" t="s">
        <v>5783</v>
      </c>
      <c r="D16426" s="22" t="str">
        <f>HYPERLINK("https://rhld.insurance.arkansas.gov/NPILookup?Npi=1659911980","1659911980")</f>
        <v>1659911980</v>
      </c>
      <c r="E16426" s="1" t="s">
        <v>22901</v>
      </c>
      <c r="F16426" s="2"/>
      <c r="G16426" s="2"/>
      <c r="H16426" s="2"/>
    </row>
    <row r="16427" spans="1:8" x14ac:dyDescent="0.25">
      <c r="A16427" s="1"/>
      <c r="B16427" s="1" t="s">
        <v>5782</v>
      </c>
      <c r="C16427" s="1" t="s">
        <v>5783</v>
      </c>
      <c r="D16427" s="22" t="str">
        <f>HYPERLINK("https://rhld.insurance.arkansas.gov/NPILookup?Npi=1659915577","1659915577")</f>
        <v>1659915577</v>
      </c>
      <c r="E16427" s="1" t="s">
        <v>22902</v>
      </c>
      <c r="F16427" s="2"/>
      <c r="G16427" s="2"/>
      <c r="H16427" s="2"/>
    </row>
    <row r="16428" spans="1:8" x14ac:dyDescent="0.25">
      <c r="A16428" s="1"/>
      <c r="B16428" s="1" t="s">
        <v>5782</v>
      </c>
      <c r="C16428" s="1" t="s">
        <v>5783</v>
      </c>
      <c r="D16428" s="22" t="str">
        <f>HYPERLINK("https://rhld.insurance.arkansas.gov/NPILookup?Npi=1659925089","1659925089")</f>
        <v>1659925089</v>
      </c>
      <c r="E16428" s="1" t="s">
        <v>22903</v>
      </c>
      <c r="F16428" s="2"/>
      <c r="G16428" s="2"/>
      <c r="H16428" s="2"/>
    </row>
    <row r="16429" spans="1:8" x14ac:dyDescent="0.25">
      <c r="A16429" s="1"/>
      <c r="B16429" s="1" t="s">
        <v>5782</v>
      </c>
      <c r="C16429" s="1" t="s">
        <v>5783</v>
      </c>
      <c r="D16429" s="22" t="str">
        <f>HYPERLINK("https://rhld.insurance.arkansas.gov/NPILookup?Npi=1659938611","1659938611")</f>
        <v>1659938611</v>
      </c>
      <c r="E16429" s="1" t="s">
        <v>22904</v>
      </c>
      <c r="F16429" s="2"/>
      <c r="G16429" s="2"/>
      <c r="H16429" s="2"/>
    </row>
    <row r="16430" spans="1:8" x14ac:dyDescent="0.25">
      <c r="A16430" s="1"/>
      <c r="B16430" s="1" t="s">
        <v>5782</v>
      </c>
      <c r="C16430" s="1" t="s">
        <v>5783</v>
      </c>
      <c r="D16430" s="22" t="str">
        <f>HYPERLINK("https://rhld.insurance.arkansas.gov/NPILookup?Npi=1659945715","1659945715")</f>
        <v>1659945715</v>
      </c>
      <c r="E16430" s="1" t="s">
        <v>22905</v>
      </c>
      <c r="F16430" s="2"/>
      <c r="G16430" s="2"/>
      <c r="H16430" s="2"/>
    </row>
    <row r="16431" spans="1:8" x14ac:dyDescent="0.25">
      <c r="A16431" s="1"/>
      <c r="B16431" s="1" t="s">
        <v>5782</v>
      </c>
      <c r="C16431" s="1" t="s">
        <v>5783</v>
      </c>
      <c r="D16431" s="22" t="str">
        <f>HYPERLINK("https://rhld.insurance.arkansas.gov/NPILookup?Npi=1659959468","1659959468")</f>
        <v>1659959468</v>
      </c>
      <c r="E16431" s="1" t="s">
        <v>22906</v>
      </c>
      <c r="F16431" s="2"/>
      <c r="G16431" s="2"/>
      <c r="H16431" s="2"/>
    </row>
    <row r="16432" spans="1:8" x14ac:dyDescent="0.25">
      <c r="A16432" s="1"/>
      <c r="B16432" s="1" t="s">
        <v>5782</v>
      </c>
      <c r="C16432" s="1" t="s">
        <v>5783</v>
      </c>
      <c r="D16432" s="22" t="str">
        <f>HYPERLINK("https://rhld.insurance.arkansas.gov/NPILookup?Npi=1669006359","1669006359")</f>
        <v>1669006359</v>
      </c>
      <c r="E16432" s="1" t="s">
        <v>22907</v>
      </c>
      <c r="F16432" s="2"/>
      <c r="G16432" s="2"/>
      <c r="H16432" s="2"/>
    </row>
    <row r="16433" spans="1:8" x14ac:dyDescent="0.25">
      <c r="A16433" s="1"/>
      <c r="B16433" s="1" t="s">
        <v>5782</v>
      </c>
      <c r="C16433" s="1" t="s">
        <v>5783</v>
      </c>
      <c r="D16433" s="22" t="str">
        <f>HYPERLINK("https://rhld.insurance.arkansas.gov/NPILookup?Npi=1669014528","1669014528")</f>
        <v>1669014528</v>
      </c>
      <c r="E16433" s="1" t="s">
        <v>22908</v>
      </c>
      <c r="F16433" s="2"/>
      <c r="G16433" s="2"/>
      <c r="H16433" s="2"/>
    </row>
    <row r="16434" spans="1:8" x14ac:dyDescent="0.25">
      <c r="A16434" s="1"/>
      <c r="B16434" s="1" t="s">
        <v>5782</v>
      </c>
      <c r="C16434" s="1" t="s">
        <v>5783</v>
      </c>
      <c r="D16434" s="22" t="str">
        <f>HYPERLINK("https://rhld.insurance.arkansas.gov/NPILookup?Npi=1669019634","1669019634")</f>
        <v>1669019634</v>
      </c>
      <c r="E16434" s="1" t="s">
        <v>22909</v>
      </c>
      <c r="F16434" s="2"/>
      <c r="G16434" s="2"/>
      <c r="H16434" s="2"/>
    </row>
    <row r="16435" spans="1:8" x14ac:dyDescent="0.25">
      <c r="A16435" s="1"/>
      <c r="B16435" s="1" t="s">
        <v>5782</v>
      </c>
      <c r="C16435" s="1" t="s">
        <v>5783</v>
      </c>
      <c r="D16435" s="22" t="str">
        <f>HYPERLINK("https://rhld.insurance.arkansas.gov/NPILookup?Npi=1669032553","1669032553")</f>
        <v>1669032553</v>
      </c>
      <c r="E16435" s="1" t="s">
        <v>22910</v>
      </c>
      <c r="F16435" s="2"/>
      <c r="G16435" s="2"/>
      <c r="H16435" s="2"/>
    </row>
    <row r="16436" spans="1:8" x14ac:dyDescent="0.25">
      <c r="A16436" s="1"/>
      <c r="B16436" s="1" t="s">
        <v>5782</v>
      </c>
      <c r="C16436" s="1" t="s">
        <v>5783</v>
      </c>
      <c r="D16436" s="22" t="str">
        <f>HYPERLINK("https://rhld.insurance.arkansas.gov/NPILookup?Npi=1669054011","1669054011")</f>
        <v>1669054011</v>
      </c>
      <c r="E16436" s="1" t="s">
        <v>7491</v>
      </c>
      <c r="F16436" s="2"/>
      <c r="G16436" s="2"/>
      <c r="H16436" s="2"/>
    </row>
    <row r="16437" spans="1:8" x14ac:dyDescent="0.25">
      <c r="A16437" s="1"/>
      <c r="B16437" s="1" t="s">
        <v>5782</v>
      </c>
      <c r="C16437" s="1" t="s">
        <v>5783</v>
      </c>
      <c r="D16437" s="22" t="str">
        <f>HYPERLINK("https://rhld.insurance.arkansas.gov/NPILookup?Npi=1669056305","1669056305")</f>
        <v>1669056305</v>
      </c>
      <c r="E16437" s="1" t="s">
        <v>31914</v>
      </c>
      <c r="F16437" s="2"/>
      <c r="G16437" s="2"/>
      <c r="H16437" s="2"/>
    </row>
    <row r="16438" spans="1:8" x14ac:dyDescent="0.25">
      <c r="A16438" s="1"/>
      <c r="B16438" s="1" t="s">
        <v>5782</v>
      </c>
      <c r="C16438" s="1" t="s">
        <v>5783</v>
      </c>
      <c r="D16438" s="22" t="str">
        <f>HYPERLINK("https://rhld.insurance.arkansas.gov/NPILookup?Npi=1669083176","1669083176")</f>
        <v>1669083176</v>
      </c>
      <c r="E16438" s="1" t="s">
        <v>11985</v>
      </c>
      <c r="F16438" s="2"/>
      <c r="G16438" s="2"/>
      <c r="H16438" s="2"/>
    </row>
    <row r="16439" spans="1:8" x14ac:dyDescent="0.25">
      <c r="A16439" s="1"/>
      <c r="B16439" s="1" t="s">
        <v>5782</v>
      </c>
      <c r="C16439" s="1" t="s">
        <v>5783</v>
      </c>
      <c r="D16439" s="22" t="str">
        <f>HYPERLINK("https://rhld.insurance.arkansas.gov/NPILookup?Npi=1669084380","1669084380")</f>
        <v>1669084380</v>
      </c>
      <c r="E16439" s="1" t="s">
        <v>22911</v>
      </c>
      <c r="F16439" s="2"/>
      <c r="G16439" s="2"/>
      <c r="H16439" s="2"/>
    </row>
    <row r="16440" spans="1:8" x14ac:dyDescent="0.25">
      <c r="A16440" s="1"/>
      <c r="B16440" s="1" t="s">
        <v>5782</v>
      </c>
      <c r="C16440" s="1" t="s">
        <v>5783</v>
      </c>
      <c r="D16440" s="22" t="str">
        <f>HYPERLINK("https://rhld.insurance.arkansas.gov/NPILookup?Npi=1669104659","1669104659")</f>
        <v>1669104659</v>
      </c>
      <c r="E16440" s="1" t="s">
        <v>22912</v>
      </c>
      <c r="F16440" s="2"/>
      <c r="G16440" s="2"/>
      <c r="H16440" s="2"/>
    </row>
    <row r="16441" spans="1:8" x14ac:dyDescent="0.25">
      <c r="A16441" s="1"/>
      <c r="B16441" s="1" t="s">
        <v>5782</v>
      </c>
      <c r="C16441" s="1" t="s">
        <v>5783</v>
      </c>
      <c r="D16441" s="22" t="str">
        <f>HYPERLINK("https://rhld.insurance.arkansas.gov/NPILookup?Npi=1669107066","1669107066")</f>
        <v>1669107066</v>
      </c>
      <c r="E16441" s="1" t="s">
        <v>31915</v>
      </c>
      <c r="F16441" s="2"/>
      <c r="G16441" s="2"/>
      <c r="H16441" s="2"/>
    </row>
    <row r="16442" spans="1:8" x14ac:dyDescent="0.25">
      <c r="A16442" s="1"/>
      <c r="B16442" s="1" t="s">
        <v>5782</v>
      </c>
      <c r="C16442" s="1" t="s">
        <v>5783</v>
      </c>
      <c r="D16442" s="22" t="str">
        <f>HYPERLINK("https://rhld.insurance.arkansas.gov/NPILookup?Npi=1669127031","1669127031")</f>
        <v>1669127031</v>
      </c>
      <c r="E16442" s="1" t="s">
        <v>22913</v>
      </c>
      <c r="F16442" s="2"/>
      <c r="G16442" s="2"/>
      <c r="H16442" s="2"/>
    </row>
    <row r="16443" spans="1:8" x14ac:dyDescent="0.25">
      <c r="A16443" s="1"/>
      <c r="B16443" s="1" t="s">
        <v>5782</v>
      </c>
      <c r="C16443" s="1" t="s">
        <v>5783</v>
      </c>
      <c r="D16443" s="22" t="str">
        <f>HYPERLINK("https://rhld.insurance.arkansas.gov/NPILookup?Npi=1669143343","1669143343")</f>
        <v>1669143343</v>
      </c>
      <c r="E16443" s="1" t="s">
        <v>22914</v>
      </c>
      <c r="F16443" s="2"/>
      <c r="G16443" s="2"/>
      <c r="H16443" s="2"/>
    </row>
    <row r="16444" spans="1:8" x14ac:dyDescent="0.25">
      <c r="A16444" s="1"/>
      <c r="B16444" s="1" t="s">
        <v>5782</v>
      </c>
      <c r="C16444" s="1" t="s">
        <v>5783</v>
      </c>
      <c r="D16444" s="22" t="str">
        <f>HYPERLINK("https://rhld.insurance.arkansas.gov/NPILookup?Npi=1669144820","1669144820")</f>
        <v>1669144820</v>
      </c>
      <c r="E16444" s="1" t="s">
        <v>22915</v>
      </c>
      <c r="F16444" s="2"/>
      <c r="G16444" s="2"/>
      <c r="H16444" s="2"/>
    </row>
    <row r="16445" spans="1:8" x14ac:dyDescent="0.25">
      <c r="A16445" s="1"/>
      <c r="B16445" s="1" t="s">
        <v>5782</v>
      </c>
      <c r="C16445" s="1" t="s">
        <v>5783</v>
      </c>
      <c r="D16445" s="22" t="str">
        <f>HYPERLINK("https://rhld.insurance.arkansas.gov/NPILookup?Npi=1669148995","1669148995")</f>
        <v>1669148995</v>
      </c>
      <c r="E16445" s="1" t="s">
        <v>22916</v>
      </c>
      <c r="F16445" s="2"/>
      <c r="G16445" s="2"/>
      <c r="H16445" s="2"/>
    </row>
    <row r="16446" spans="1:8" x14ac:dyDescent="0.25">
      <c r="A16446" s="1"/>
      <c r="B16446" s="1" t="s">
        <v>5782</v>
      </c>
      <c r="C16446" s="1" t="s">
        <v>5783</v>
      </c>
      <c r="D16446" s="22" t="str">
        <f>HYPERLINK("https://rhld.insurance.arkansas.gov/NPILookup?Npi=1669149217","1669149217")</f>
        <v>1669149217</v>
      </c>
      <c r="E16446" s="1" t="s">
        <v>11986</v>
      </c>
      <c r="F16446" s="2"/>
      <c r="G16446" s="2"/>
      <c r="H16446" s="2"/>
    </row>
    <row r="16447" spans="1:8" x14ac:dyDescent="0.25">
      <c r="A16447" s="1"/>
      <c r="B16447" s="1" t="s">
        <v>5782</v>
      </c>
      <c r="C16447" s="1" t="s">
        <v>5783</v>
      </c>
      <c r="D16447" s="22" t="str">
        <f>HYPERLINK("https://rhld.insurance.arkansas.gov/NPILookup?Npi=1669155305","1669155305")</f>
        <v>1669155305</v>
      </c>
      <c r="E16447" s="1" t="s">
        <v>6517</v>
      </c>
      <c r="F16447" s="2"/>
      <c r="G16447" s="2"/>
      <c r="H16447" s="2"/>
    </row>
    <row r="16448" spans="1:8" x14ac:dyDescent="0.25">
      <c r="A16448" s="1"/>
      <c r="B16448" s="1" t="s">
        <v>5782</v>
      </c>
      <c r="C16448" s="1" t="s">
        <v>5783</v>
      </c>
      <c r="D16448" s="22" t="str">
        <f>HYPERLINK("https://rhld.insurance.arkansas.gov/NPILookup?Npi=1669180873","1669180873")</f>
        <v>1669180873</v>
      </c>
      <c r="E16448" s="1" t="s">
        <v>31916</v>
      </c>
      <c r="F16448" s="2"/>
      <c r="G16448" s="2"/>
      <c r="H16448" s="2"/>
    </row>
    <row r="16449" spans="1:8" x14ac:dyDescent="0.25">
      <c r="A16449" s="1"/>
      <c r="B16449" s="1" t="s">
        <v>5782</v>
      </c>
      <c r="C16449" s="1" t="s">
        <v>5783</v>
      </c>
      <c r="D16449" s="22" t="str">
        <f>HYPERLINK("https://rhld.insurance.arkansas.gov/NPILookup?Npi=1669187514","1669187514")</f>
        <v>1669187514</v>
      </c>
      <c r="E16449" s="1" t="s">
        <v>6518</v>
      </c>
      <c r="F16449" s="2"/>
      <c r="G16449" s="2"/>
      <c r="H16449" s="2"/>
    </row>
    <row r="16450" spans="1:8" x14ac:dyDescent="0.25">
      <c r="A16450" s="1"/>
      <c r="B16450" s="1" t="s">
        <v>5782</v>
      </c>
      <c r="C16450" s="1" t="s">
        <v>5783</v>
      </c>
      <c r="D16450" s="22" t="str">
        <f>HYPERLINK("https://rhld.insurance.arkansas.gov/NPILookup?Npi=1669199295","1669199295")</f>
        <v>1669199295</v>
      </c>
      <c r="E16450" s="1" t="s">
        <v>22917</v>
      </c>
      <c r="F16450" s="2"/>
      <c r="G16450" s="2"/>
      <c r="H16450" s="2"/>
    </row>
    <row r="16451" spans="1:8" x14ac:dyDescent="0.25">
      <c r="A16451" s="1"/>
      <c r="B16451" s="1" t="s">
        <v>5782</v>
      </c>
      <c r="C16451" s="1" t="s">
        <v>5783</v>
      </c>
      <c r="D16451" s="22" t="str">
        <f>HYPERLINK("https://rhld.insurance.arkansas.gov/NPILookup?Npi=1669210142","1669210142")</f>
        <v>1669210142</v>
      </c>
      <c r="E16451" s="1" t="s">
        <v>31917</v>
      </c>
      <c r="F16451" s="2"/>
      <c r="G16451" s="2"/>
      <c r="H16451" s="2"/>
    </row>
    <row r="16452" spans="1:8" x14ac:dyDescent="0.25">
      <c r="A16452" s="1"/>
      <c r="B16452" s="1" t="s">
        <v>5782</v>
      </c>
      <c r="C16452" s="1" t="s">
        <v>5783</v>
      </c>
      <c r="D16452" s="22" t="str">
        <f>HYPERLINK("https://rhld.insurance.arkansas.gov/NPILookup?Npi=1669277646","1669277646")</f>
        <v>1669277646</v>
      </c>
      <c r="E16452" s="1" t="s">
        <v>31918</v>
      </c>
      <c r="F16452" s="2"/>
      <c r="G16452" s="2"/>
      <c r="H16452" s="2"/>
    </row>
    <row r="16453" spans="1:8" x14ac:dyDescent="0.25">
      <c r="A16453" s="1"/>
      <c r="B16453" s="1" t="s">
        <v>5782</v>
      </c>
      <c r="C16453" s="1" t="s">
        <v>5783</v>
      </c>
      <c r="D16453" s="22" t="str">
        <f>HYPERLINK("https://rhld.insurance.arkansas.gov/NPILookup?Npi=1669404935","1669404935")</f>
        <v>1669404935</v>
      </c>
      <c r="E16453" s="1" t="s">
        <v>147</v>
      </c>
      <c r="F16453" s="2"/>
      <c r="G16453" s="2"/>
      <c r="H16453" s="2"/>
    </row>
    <row r="16454" spans="1:8" x14ac:dyDescent="0.25">
      <c r="A16454" s="1"/>
      <c r="B16454" s="1" t="s">
        <v>5782</v>
      </c>
      <c r="C16454" s="1" t="s">
        <v>5783</v>
      </c>
      <c r="D16454" s="22" t="str">
        <f>HYPERLINK("https://rhld.insurance.arkansas.gov/NPILookup?Npi=1669431607","1669431607")</f>
        <v>1669431607</v>
      </c>
      <c r="E16454" s="1" t="s">
        <v>22918</v>
      </c>
      <c r="F16454" s="2"/>
      <c r="G16454" s="2"/>
      <c r="H16454" s="2"/>
    </row>
    <row r="16455" spans="1:8" x14ac:dyDescent="0.25">
      <c r="A16455" s="1"/>
      <c r="B16455" s="1" t="s">
        <v>5782</v>
      </c>
      <c r="C16455" s="1" t="s">
        <v>5783</v>
      </c>
      <c r="D16455" s="22" t="str">
        <f>HYPERLINK("https://rhld.insurance.arkansas.gov/NPILookup?Npi=1669483848","1669483848")</f>
        <v>1669483848</v>
      </c>
      <c r="E16455" s="1" t="s">
        <v>2207</v>
      </c>
      <c r="F16455" s="2"/>
      <c r="G16455" s="2"/>
      <c r="H16455" s="2"/>
    </row>
    <row r="16456" spans="1:8" x14ac:dyDescent="0.25">
      <c r="A16456" s="1"/>
      <c r="B16456" s="1" t="s">
        <v>5782</v>
      </c>
      <c r="C16456" s="1" t="s">
        <v>5783</v>
      </c>
      <c r="D16456" s="22" t="str">
        <f>HYPERLINK("https://rhld.insurance.arkansas.gov/NPILookup?Npi=1669499240","1669499240")</f>
        <v>1669499240</v>
      </c>
      <c r="E16456" s="1" t="s">
        <v>22919</v>
      </c>
      <c r="F16456" s="2"/>
      <c r="G16456" s="2"/>
      <c r="H16456" s="2"/>
    </row>
    <row r="16457" spans="1:8" x14ac:dyDescent="0.25">
      <c r="A16457" s="1"/>
      <c r="B16457" s="1" t="s">
        <v>5782</v>
      </c>
      <c r="C16457" s="1" t="s">
        <v>5783</v>
      </c>
      <c r="D16457" s="22" t="str">
        <f>HYPERLINK("https://rhld.insurance.arkansas.gov/NPILookup?Npi=1669505848","1669505848")</f>
        <v>1669505848</v>
      </c>
      <c r="E16457" s="1" t="s">
        <v>22920</v>
      </c>
      <c r="F16457" s="2"/>
      <c r="G16457" s="2"/>
      <c r="H16457" s="2"/>
    </row>
    <row r="16458" spans="1:8" x14ac:dyDescent="0.25">
      <c r="A16458" s="1"/>
      <c r="B16458" s="1" t="s">
        <v>5782</v>
      </c>
      <c r="C16458" s="1" t="s">
        <v>5783</v>
      </c>
      <c r="D16458" s="22" t="str">
        <f>HYPERLINK("https://rhld.insurance.arkansas.gov/NPILookup?Npi=1669519070","1669519070")</f>
        <v>1669519070</v>
      </c>
      <c r="E16458" s="1" t="s">
        <v>22921</v>
      </c>
      <c r="F16458" s="2"/>
      <c r="G16458" s="2"/>
      <c r="H16458" s="2"/>
    </row>
    <row r="16459" spans="1:8" x14ac:dyDescent="0.25">
      <c r="A16459" s="1"/>
      <c r="B16459" s="1" t="s">
        <v>5782</v>
      </c>
      <c r="C16459" s="1" t="s">
        <v>5783</v>
      </c>
      <c r="D16459" s="22" t="str">
        <f>HYPERLINK("https://rhld.insurance.arkansas.gov/NPILookup?Npi=1669552493","1669552493")</f>
        <v>1669552493</v>
      </c>
      <c r="E16459" s="1" t="s">
        <v>22922</v>
      </c>
      <c r="F16459" s="2"/>
      <c r="G16459" s="2"/>
      <c r="H16459" s="2"/>
    </row>
    <row r="16460" spans="1:8" x14ac:dyDescent="0.25">
      <c r="A16460" s="1"/>
      <c r="B16460" s="1" t="s">
        <v>5782</v>
      </c>
      <c r="C16460" s="1" t="s">
        <v>5783</v>
      </c>
      <c r="D16460" s="22" t="str">
        <f>HYPERLINK("https://rhld.insurance.arkansas.gov/NPILookup?Npi=1669562591","1669562591")</f>
        <v>1669562591</v>
      </c>
      <c r="E16460" s="1" t="s">
        <v>1881</v>
      </c>
      <c r="F16460" s="2"/>
      <c r="G16460" s="2"/>
      <c r="H16460" s="2"/>
    </row>
    <row r="16461" spans="1:8" x14ac:dyDescent="0.25">
      <c r="A16461" s="1"/>
      <c r="B16461" s="1" t="s">
        <v>5782</v>
      </c>
      <c r="C16461" s="1" t="s">
        <v>5783</v>
      </c>
      <c r="D16461" s="22" t="str">
        <f>HYPERLINK("https://rhld.insurance.arkansas.gov/NPILookup?Npi=1669572202","1669572202")</f>
        <v>1669572202</v>
      </c>
      <c r="E16461" s="1" t="s">
        <v>3343</v>
      </c>
      <c r="F16461" s="2"/>
      <c r="G16461" s="2"/>
      <c r="H16461" s="2"/>
    </row>
    <row r="16462" spans="1:8" x14ac:dyDescent="0.25">
      <c r="A16462" s="1"/>
      <c r="B16462" s="1" t="s">
        <v>5782</v>
      </c>
      <c r="C16462" s="1" t="s">
        <v>5783</v>
      </c>
      <c r="D16462" s="22" t="str">
        <f>HYPERLINK("https://rhld.insurance.arkansas.gov/NPILookup?Npi=1669577102","1669577102")</f>
        <v>1669577102</v>
      </c>
      <c r="E16462" s="1" t="s">
        <v>22923</v>
      </c>
      <c r="F16462" s="2"/>
      <c r="G16462" s="2"/>
      <c r="H16462" s="2"/>
    </row>
    <row r="16463" spans="1:8" x14ac:dyDescent="0.25">
      <c r="A16463" s="1"/>
      <c r="B16463" s="1" t="s">
        <v>5782</v>
      </c>
      <c r="C16463" s="1" t="s">
        <v>5783</v>
      </c>
      <c r="D16463" s="22" t="str">
        <f>HYPERLINK("https://rhld.insurance.arkansas.gov/NPILookup?Npi=1669593711","1669593711")</f>
        <v>1669593711</v>
      </c>
      <c r="E16463" s="1" t="s">
        <v>22924</v>
      </c>
      <c r="F16463" s="2"/>
      <c r="G16463" s="2"/>
      <c r="H16463" s="2"/>
    </row>
    <row r="16464" spans="1:8" x14ac:dyDescent="0.25">
      <c r="A16464" s="1"/>
      <c r="B16464" s="1" t="s">
        <v>5782</v>
      </c>
      <c r="C16464" s="1" t="s">
        <v>5783</v>
      </c>
      <c r="D16464" s="22" t="str">
        <f>HYPERLINK("https://rhld.insurance.arkansas.gov/NPILookup?Npi=1669610358","1669610358")</f>
        <v>1669610358</v>
      </c>
      <c r="E16464" s="1" t="s">
        <v>1427</v>
      </c>
      <c r="F16464" s="2"/>
      <c r="G16464" s="2"/>
      <c r="H16464" s="2"/>
    </row>
    <row r="16465" spans="1:8" x14ac:dyDescent="0.25">
      <c r="A16465" s="1"/>
      <c r="B16465" s="1" t="s">
        <v>5782</v>
      </c>
      <c r="C16465" s="1" t="s">
        <v>5783</v>
      </c>
      <c r="D16465" s="22" t="str">
        <f>HYPERLINK("https://rhld.insurance.arkansas.gov/NPILookup?Npi=1669614889","1669614889")</f>
        <v>1669614889</v>
      </c>
      <c r="E16465" s="1" t="s">
        <v>22925</v>
      </c>
      <c r="F16465" s="2"/>
      <c r="G16465" s="2"/>
      <c r="H16465" s="2"/>
    </row>
    <row r="16466" spans="1:8" x14ac:dyDescent="0.25">
      <c r="A16466" s="1"/>
      <c r="B16466" s="1" t="s">
        <v>5782</v>
      </c>
      <c r="C16466" s="1" t="s">
        <v>5783</v>
      </c>
      <c r="D16466" s="22" t="str">
        <f>HYPERLINK("https://rhld.insurance.arkansas.gov/NPILookup?Npi=1669642989","1669642989")</f>
        <v>1669642989</v>
      </c>
      <c r="E16466" s="1" t="s">
        <v>22926</v>
      </c>
      <c r="F16466" s="2"/>
      <c r="G16466" s="2"/>
      <c r="H16466" s="2"/>
    </row>
    <row r="16467" spans="1:8" x14ac:dyDescent="0.25">
      <c r="A16467" s="1"/>
      <c r="B16467" s="1" t="s">
        <v>5782</v>
      </c>
      <c r="C16467" s="1" t="s">
        <v>5783</v>
      </c>
      <c r="D16467" s="22" t="str">
        <f>HYPERLINK("https://rhld.insurance.arkansas.gov/NPILookup?Npi=1669649836","1669649836")</f>
        <v>1669649836</v>
      </c>
      <c r="E16467" s="1" t="s">
        <v>1521</v>
      </c>
      <c r="F16467" s="2"/>
      <c r="G16467" s="2"/>
      <c r="H16467" s="2"/>
    </row>
    <row r="16468" spans="1:8" x14ac:dyDescent="0.25">
      <c r="A16468" s="1"/>
      <c r="B16468" s="1" t="s">
        <v>5782</v>
      </c>
      <c r="C16468" s="1" t="s">
        <v>5783</v>
      </c>
      <c r="D16468" s="22" t="str">
        <f>HYPERLINK("https://rhld.insurance.arkansas.gov/NPILookup?Npi=1669661021","1669661021")</f>
        <v>1669661021</v>
      </c>
      <c r="E16468" s="1" t="s">
        <v>22927</v>
      </c>
      <c r="F16468" s="2"/>
      <c r="G16468" s="2"/>
      <c r="H16468" s="2"/>
    </row>
    <row r="16469" spans="1:8" x14ac:dyDescent="0.25">
      <c r="A16469" s="1"/>
      <c r="B16469" s="1" t="s">
        <v>5782</v>
      </c>
      <c r="C16469" s="1" t="s">
        <v>5783</v>
      </c>
      <c r="D16469" s="22" t="str">
        <f>HYPERLINK("https://rhld.insurance.arkansas.gov/NPILookup?Npi=1669701843","1669701843")</f>
        <v>1669701843</v>
      </c>
      <c r="E16469" s="1" t="s">
        <v>22928</v>
      </c>
      <c r="F16469" s="2"/>
      <c r="G16469" s="2"/>
      <c r="H16469" s="2"/>
    </row>
    <row r="16470" spans="1:8" x14ac:dyDescent="0.25">
      <c r="A16470" s="1"/>
      <c r="B16470" s="1" t="s">
        <v>5782</v>
      </c>
      <c r="C16470" s="1" t="s">
        <v>5783</v>
      </c>
      <c r="D16470" s="22" t="str">
        <f>HYPERLINK("https://rhld.insurance.arkansas.gov/NPILookup?Npi=1669702643","1669702643")</f>
        <v>1669702643</v>
      </c>
      <c r="E16470" s="1" t="s">
        <v>22929</v>
      </c>
      <c r="F16470" s="2"/>
      <c r="G16470" s="2"/>
      <c r="H16470" s="2"/>
    </row>
    <row r="16471" spans="1:8" x14ac:dyDescent="0.25">
      <c r="A16471" s="1"/>
      <c r="B16471" s="1" t="s">
        <v>5782</v>
      </c>
      <c r="C16471" s="1" t="s">
        <v>5783</v>
      </c>
      <c r="D16471" s="22" t="str">
        <f>HYPERLINK("https://rhld.insurance.arkansas.gov/NPILookup?Npi=1669707832","1669707832")</f>
        <v>1669707832</v>
      </c>
      <c r="E16471" s="1" t="s">
        <v>22930</v>
      </c>
      <c r="F16471" s="2"/>
      <c r="G16471" s="2"/>
      <c r="H16471" s="2"/>
    </row>
    <row r="16472" spans="1:8" x14ac:dyDescent="0.25">
      <c r="A16472" s="1"/>
      <c r="B16472" s="1" t="s">
        <v>5782</v>
      </c>
      <c r="C16472" s="1" t="s">
        <v>5783</v>
      </c>
      <c r="D16472" s="22" t="str">
        <f>HYPERLINK("https://rhld.insurance.arkansas.gov/NPILookup?Npi=1669717245","1669717245")</f>
        <v>1669717245</v>
      </c>
      <c r="E16472" s="1" t="s">
        <v>6519</v>
      </c>
      <c r="F16472" s="2"/>
      <c r="G16472" s="2"/>
      <c r="H16472" s="2"/>
    </row>
    <row r="16473" spans="1:8" x14ac:dyDescent="0.25">
      <c r="A16473" s="1"/>
      <c r="B16473" s="1" t="s">
        <v>5782</v>
      </c>
      <c r="C16473" s="1" t="s">
        <v>5783</v>
      </c>
      <c r="D16473" s="22" t="str">
        <f>HYPERLINK("https://rhld.insurance.arkansas.gov/NPILookup?Npi=1669717252","1669717252")</f>
        <v>1669717252</v>
      </c>
      <c r="E16473" s="1" t="s">
        <v>22931</v>
      </c>
      <c r="F16473" s="2"/>
      <c r="G16473" s="2"/>
      <c r="H16473" s="2"/>
    </row>
    <row r="16474" spans="1:8" x14ac:dyDescent="0.25">
      <c r="A16474" s="1"/>
      <c r="B16474" s="1" t="s">
        <v>5782</v>
      </c>
      <c r="C16474" s="1" t="s">
        <v>5783</v>
      </c>
      <c r="D16474" s="22" t="str">
        <f>HYPERLINK("https://rhld.insurance.arkansas.gov/NPILookup?Npi=1669719951","1669719951")</f>
        <v>1669719951</v>
      </c>
      <c r="E16474" s="1" t="s">
        <v>22932</v>
      </c>
      <c r="F16474" s="2"/>
      <c r="G16474" s="2"/>
      <c r="H16474" s="2"/>
    </row>
    <row r="16475" spans="1:8" x14ac:dyDescent="0.25">
      <c r="A16475" s="1"/>
      <c r="B16475" s="1" t="s">
        <v>5782</v>
      </c>
      <c r="C16475" s="1" t="s">
        <v>5783</v>
      </c>
      <c r="D16475" s="22" t="str">
        <f>HYPERLINK("https://rhld.insurance.arkansas.gov/NPILookup?Npi=1669732616","1669732616")</f>
        <v>1669732616</v>
      </c>
      <c r="E16475" s="1" t="s">
        <v>11988</v>
      </c>
      <c r="F16475" s="2"/>
      <c r="G16475" s="2"/>
      <c r="H16475" s="2"/>
    </row>
    <row r="16476" spans="1:8" x14ac:dyDescent="0.25">
      <c r="A16476" s="1"/>
      <c r="B16476" s="1" t="s">
        <v>5782</v>
      </c>
      <c r="C16476" s="1" t="s">
        <v>5783</v>
      </c>
      <c r="D16476" s="22" t="str">
        <f>HYPERLINK("https://rhld.insurance.arkansas.gov/NPILookup?Npi=1669735957","1669735957")</f>
        <v>1669735957</v>
      </c>
      <c r="E16476" s="1" t="s">
        <v>22933</v>
      </c>
      <c r="F16476" s="2"/>
      <c r="G16476" s="2"/>
      <c r="H16476" s="2"/>
    </row>
    <row r="16477" spans="1:8" x14ac:dyDescent="0.25">
      <c r="A16477" s="1"/>
      <c r="B16477" s="1" t="s">
        <v>5782</v>
      </c>
      <c r="C16477" s="1" t="s">
        <v>5783</v>
      </c>
      <c r="D16477" s="22" t="str">
        <f>HYPERLINK("https://rhld.insurance.arkansas.gov/NPILookup?Npi=1669743076","1669743076")</f>
        <v>1669743076</v>
      </c>
      <c r="E16477" s="1" t="s">
        <v>1674</v>
      </c>
      <c r="F16477" s="2"/>
      <c r="G16477" s="2"/>
      <c r="H16477" s="2"/>
    </row>
    <row r="16478" spans="1:8" x14ac:dyDescent="0.25">
      <c r="A16478" s="1"/>
      <c r="B16478" s="1" t="s">
        <v>5782</v>
      </c>
      <c r="C16478" s="1" t="s">
        <v>5783</v>
      </c>
      <c r="D16478" s="22" t="str">
        <f>HYPERLINK("https://rhld.insurance.arkansas.gov/NPILookup?Npi=1669763629","1669763629")</f>
        <v>1669763629</v>
      </c>
      <c r="E16478" s="1" t="s">
        <v>22934</v>
      </c>
      <c r="F16478" s="2"/>
      <c r="G16478" s="2"/>
      <c r="H16478" s="2"/>
    </row>
    <row r="16479" spans="1:8" x14ac:dyDescent="0.25">
      <c r="A16479" s="1"/>
      <c r="B16479" s="1" t="s">
        <v>5782</v>
      </c>
      <c r="C16479" s="1" t="s">
        <v>5783</v>
      </c>
      <c r="D16479" s="22" t="str">
        <f>HYPERLINK("https://rhld.insurance.arkansas.gov/NPILookup?Npi=1669768263","1669768263")</f>
        <v>1669768263</v>
      </c>
      <c r="E16479" s="1" t="s">
        <v>2531</v>
      </c>
      <c r="F16479" s="2"/>
      <c r="G16479" s="2"/>
      <c r="H16479" s="2"/>
    </row>
    <row r="16480" spans="1:8" x14ac:dyDescent="0.25">
      <c r="A16480" s="1"/>
      <c r="B16480" s="1" t="s">
        <v>5782</v>
      </c>
      <c r="C16480" s="1" t="s">
        <v>5783</v>
      </c>
      <c r="D16480" s="22" t="str">
        <f>HYPERLINK("https://rhld.insurance.arkansas.gov/NPILookup?Npi=1669776274","1669776274")</f>
        <v>1669776274</v>
      </c>
      <c r="E16480" s="1" t="s">
        <v>11989</v>
      </c>
      <c r="F16480" s="2"/>
      <c r="G16480" s="2"/>
      <c r="H16480" s="2"/>
    </row>
    <row r="16481" spans="1:8" x14ac:dyDescent="0.25">
      <c r="A16481" s="1"/>
      <c r="B16481" s="1" t="s">
        <v>5782</v>
      </c>
      <c r="C16481" s="1" t="s">
        <v>5783</v>
      </c>
      <c r="D16481" s="22" t="str">
        <f>HYPERLINK("https://rhld.insurance.arkansas.gov/NPILookup?Npi=1669787990","1669787990")</f>
        <v>1669787990</v>
      </c>
      <c r="E16481" s="1" t="s">
        <v>22935</v>
      </c>
      <c r="F16481" s="2"/>
      <c r="G16481" s="2"/>
      <c r="H16481" s="2"/>
    </row>
    <row r="16482" spans="1:8" x14ac:dyDescent="0.25">
      <c r="A16482" s="1"/>
      <c r="B16482" s="1" t="s">
        <v>5782</v>
      </c>
      <c r="C16482" s="1" t="s">
        <v>5783</v>
      </c>
      <c r="D16482" s="22" t="str">
        <f>HYPERLINK("https://rhld.insurance.arkansas.gov/NPILookup?Npi=1669802823","1669802823")</f>
        <v>1669802823</v>
      </c>
      <c r="E16482" s="1" t="s">
        <v>6521</v>
      </c>
      <c r="F16482" s="2"/>
      <c r="G16482" s="2"/>
      <c r="H16482" s="2"/>
    </row>
    <row r="16483" spans="1:8" x14ac:dyDescent="0.25">
      <c r="A16483" s="1"/>
      <c r="B16483" s="1" t="s">
        <v>5782</v>
      </c>
      <c r="C16483" s="1" t="s">
        <v>5783</v>
      </c>
      <c r="D16483" s="22" t="str">
        <f>HYPERLINK("https://rhld.insurance.arkansas.gov/NPILookup?Npi=1669804803","1669804803")</f>
        <v>1669804803</v>
      </c>
      <c r="E16483" s="1" t="s">
        <v>22936</v>
      </c>
      <c r="F16483" s="2"/>
      <c r="G16483" s="2"/>
      <c r="H16483" s="2"/>
    </row>
    <row r="16484" spans="1:8" x14ac:dyDescent="0.25">
      <c r="A16484" s="1"/>
      <c r="B16484" s="1" t="s">
        <v>5782</v>
      </c>
      <c r="C16484" s="1" t="s">
        <v>5783</v>
      </c>
      <c r="D16484" s="22" t="str">
        <f>HYPERLINK("https://rhld.insurance.arkansas.gov/NPILookup?Npi=1669806071","1669806071")</f>
        <v>1669806071</v>
      </c>
      <c r="E16484" s="1" t="s">
        <v>22937</v>
      </c>
      <c r="F16484" s="2"/>
      <c r="G16484" s="2"/>
      <c r="H16484" s="2"/>
    </row>
    <row r="16485" spans="1:8" x14ac:dyDescent="0.25">
      <c r="A16485" s="1"/>
      <c r="B16485" s="1" t="s">
        <v>5782</v>
      </c>
      <c r="C16485" s="1" t="s">
        <v>5783</v>
      </c>
      <c r="D16485" s="22" t="str">
        <f>HYPERLINK("https://rhld.insurance.arkansas.gov/NPILookup?Npi=1669814927","1669814927")</f>
        <v>1669814927</v>
      </c>
      <c r="E16485" s="1" t="s">
        <v>22938</v>
      </c>
      <c r="F16485" s="2"/>
      <c r="G16485" s="2"/>
      <c r="H16485" s="2"/>
    </row>
    <row r="16486" spans="1:8" x14ac:dyDescent="0.25">
      <c r="A16486" s="1"/>
      <c r="B16486" s="1" t="s">
        <v>5782</v>
      </c>
      <c r="C16486" s="1" t="s">
        <v>5783</v>
      </c>
      <c r="D16486" s="22" t="str">
        <f>HYPERLINK("https://rhld.insurance.arkansas.gov/NPILookup?Npi=1669830360","1669830360")</f>
        <v>1669830360</v>
      </c>
      <c r="E16486" s="1" t="s">
        <v>22939</v>
      </c>
      <c r="F16486" s="2"/>
      <c r="G16486" s="2"/>
      <c r="H16486" s="2"/>
    </row>
    <row r="16487" spans="1:8" x14ac:dyDescent="0.25">
      <c r="A16487" s="1"/>
      <c r="B16487" s="1" t="s">
        <v>5782</v>
      </c>
      <c r="C16487" s="1" t="s">
        <v>5783</v>
      </c>
      <c r="D16487" s="22" t="str">
        <f>HYPERLINK("https://rhld.insurance.arkansas.gov/NPILookup?Npi=1669830543","1669830543")</f>
        <v>1669830543</v>
      </c>
      <c r="E16487" s="1" t="s">
        <v>22940</v>
      </c>
      <c r="F16487" s="2"/>
      <c r="G16487" s="2"/>
      <c r="H16487" s="2"/>
    </row>
    <row r="16488" spans="1:8" x14ac:dyDescent="0.25">
      <c r="A16488" s="1"/>
      <c r="B16488" s="1" t="s">
        <v>5782</v>
      </c>
      <c r="C16488" s="1" t="s">
        <v>5783</v>
      </c>
      <c r="D16488" s="22" t="str">
        <f>HYPERLINK("https://rhld.insurance.arkansas.gov/NPILookup?Npi=1669844023","1669844023")</f>
        <v>1669844023</v>
      </c>
      <c r="E16488" s="1" t="s">
        <v>17965</v>
      </c>
      <c r="F16488" s="2"/>
      <c r="G16488" s="2"/>
      <c r="H16488" s="2"/>
    </row>
    <row r="16489" spans="1:8" x14ac:dyDescent="0.25">
      <c r="A16489" s="1"/>
      <c r="B16489" s="1" t="s">
        <v>5782</v>
      </c>
      <c r="C16489" s="1" t="s">
        <v>5783</v>
      </c>
      <c r="D16489" s="22" t="str">
        <f>HYPERLINK("https://rhld.insurance.arkansas.gov/NPILookup?Npi=1669849493","1669849493")</f>
        <v>1669849493</v>
      </c>
      <c r="E16489" s="1" t="s">
        <v>1882</v>
      </c>
      <c r="F16489" s="2"/>
      <c r="G16489" s="2"/>
      <c r="H16489" s="2"/>
    </row>
    <row r="16490" spans="1:8" x14ac:dyDescent="0.25">
      <c r="A16490" s="1"/>
      <c r="B16490" s="1" t="s">
        <v>5782</v>
      </c>
      <c r="C16490" s="1" t="s">
        <v>5783</v>
      </c>
      <c r="D16490" s="22" t="str">
        <f>HYPERLINK("https://rhld.insurance.arkansas.gov/NPILookup?Npi=1669872172","1669872172")</f>
        <v>1669872172</v>
      </c>
      <c r="E16490" s="1" t="s">
        <v>6522</v>
      </c>
      <c r="F16490" s="2"/>
      <c r="G16490" s="2"/>
      <c r="H16490" s="2"/>
    </row>
    <row r="16491" spans="1:8" x14ac:dyDescent="0.25">
      <c r="A16491" s="1"/>
      <c r="B16491" s="1" t="s">
        <v>5782</v>
      </c>
      <c r="C16491" s="1" t="s">
        <v>5783</v>
      </c>
      <c r="D16491" s="22" t="str">
        <f>HYPERLINK("https://rhld.insurance.arkansas.gov/NPILookup?Npi=1669893129","1669893129")</f>
        <v>1669893129</v>
      </c>
      <c r="E16491" s="1" t="s">
        <v>22941</v>
      </c>
      <c r="F16491" s="2"/>
      <c r="G16491" s="2"/>
      <c r="H16491" s="2"/>
    </row>
    <row r="16492" spans="1:8" x14ac:dyDescent="0.25">
      <c r="A16492" s="1"/>
      <c r="B16492" s="1" t="s">
        <v>5782</v>
      </c>
      <c r="C16492" s="1" t="s">
        <v>5783</v>
      </c>
      <c r="D16492" s="22" t="str">
        <f>HYPERLINK("https://rhld.insurance.arkansas.gov/NPILookup?Npi=1669910998","1669910998")</f>
        <v>1669910998</v>
      </c>
      <c r="E16492" s="1" t="s">
        <v>6523</v>
      </c>
      <c r="F16492" s="2"/>
      <c r="G16492" s="2"/>
      <c r="H16492" s="2"/>
    </row>
    <row r="16493" spans="1:8" x14ac:dyDescent="0.25">
      <c r="A16493" s="1"/>
      <c r="B16493" s="1" t="s">
        <v>5782</v>
      </c>
      <c r="C16493" s="1" t="s">
        <v>5783</v>
      </c>
      <c r="D16493" s="22" t="str">
        <f>HYPERLINK("https://rhld.insurance.arkansas.gov/NPILookup?Npi=1669935870","1669935870")</f>
        <v>1669935870</v>
      </c>
      <c r="E16493" s="1" t="s">
        <v>22942</v>
      </c>
      <c r="F16493" s="2"/>
      <c r="G16493" s="2"/>
      <c r="H16493" s="2"/>
    </row>
    <row r="16494" spans="1:8" x14ac:dyDescent="0.25">
      <c r="A16494" s="1"/>
      <c r="B16494" s="1" t="s">
        <v>5782</v>
      </c>
      <c r="C16494" s="1" t="s">
        <v>5783</v>
      </c>
      <c r="D16494" s="22" t="str">
        <f>HYPERLINK("https://rhld.insurance.arkansas.gov/NPILookup?Npi=1669954434","1669954434")</f>
        <v>1669954434</v>
      </c>
      <c r="E16494" s="1" t="s">
        <v>22943</v>
      </c>
      <c r="F16494" s="2"/>
      <c r="G16494" s="2"/>
      <c r="H16494" s="2"/>
    </row>
    <row r="16495" spans="1:8" x14ac:dyDescent="0.25">
      <c r="A16495" s="1"/>
      <c r="B16495" s="1" t="s">
        <v>5782</v>
      </c>
      <c r="C16495" s="1" t="s">
        <v>5783</v>
      </c>
      <c r="D16495" s="22" t="str">
        <f>HYPERLINK("https://rhld.insurance.arkansas.gov/NPILookup?Npi=1669963096","1669963096")</f>
        <v>1669963096</v>
      </c>
      <c r="E16495" s="1" t="s">
        <v>22944</v>
      </c>
      <c r="F16495" s="2"/>
      <c r="G16495" s="2"/>
      <c r="H16495" s="2"/>
    </row>
    <row r="16496" spans="1:8" x14ac:dyDescent="0.25">
      <c r="A16496" s="1"/>
      <c r="B16496" s="1" t="s">
        <v>5782</v>
      </c>
      <c r="C16496" s="1" t="s">
        <v>5783</v>
      </c>
      <c r="D16496" s="22" t="str">
        <f>HYPERLINK("https://rhld.insurance.arkansas.gov/NPILookup?Npi=1669969861","1669969861")</f>
        <v>1669969861</v>
      </c>
      <c r="E16496" s="1" t="s">
        <v>22945</v>
      </c>
      <c r="F16496" s="2"/>
      <c r="G16496" s="2"/>
      <c r="H16496" s="2"/>
    </row>
    <row r="16497" spans="1:8" x14ac:dyDescent="0.25">
      <c r="A16497" s="1"/>
      <c r="B16497" s="1" t="s">
        <v>5782</v>
      </c>
      <c r="C16497" s="1" t="s">
        <v>5783</v>
      </c>
      <c r="D16497" s="22" t="str">
        <f>HYPERLINK("https://rhld.insurance.arkansas.gov/NPILookup?Npi=1669971032","1669971032")</f>
        <v>1669971032</v>
      </c>
      <c r="E16497" s="1" t="s">
        <v>22946</v>
      </c>
      <c r="F16497" s="2"/>
      <c r="G16497" s="2"/>
      <c r="H16497" s="2"/>
    </row>
    <row r="16498" spans="1:8" x14ac:dyDescent="0.25">
      <c r="A16498" s="1"/>
      <c r="B16498" s="1" t="s">
        <v>5782</v>
      </c>
      <c r="C16498" s="1" t="s">
        <v>5783</v>
      </c>
      <c r="D16498" s="22" t="str">
        <f>HYPERLINK("https://rhld.insurance.arkansas.gov/NPILookup?Npi=1669985115","1669985115")</f>
        <v>1669985115</v>
      </c>
      <c r="E16498" s="1" t="s">
        <v>5874</v>
      </c>
      <c r="F16498" s="2"/>
      <c r="G16498" s="2"/>
      <c r="H16498" s="2"/>
    </row>
    <row r="16499" spans="1:8" x14ac:dyDescent="0.25">
      <c r="A16499" s="1"/>
      <c r="B16499" s="1" t="s">
        <v>5782</v>
      </c>
      <c r="C16499" s="1" t="s">
        <v>5783</v>
      </c>
      <c r="D16499" s="22" t="str">
        <f>HYPERLINK("https://rhld.insurance.arkansas.gov/NPILookup?Npi=1669985172","1669985172")</f>
        <v>1669985172</v>
      </c>
      <c r="E16499" s="1" t="s">
        <v>22947</v>
      </c>
      <c r="F16499" s="2"/>
      <c r="G16499" s="2"/>
      <c r="H16499" s="2"/>
    </row>
    <row r="16500" spans="1:8" x14ac:dyDescent="0.25">
      <c r="A16500" s="1"/>
      <c r="B16500" s="1" t="s">
        <v>5782</v>
      </c>
      <c r="C16500" s="1" t="s">
        <v>5783</v>
      </c>
      <c r="D16500" s="22" t="str">
        <f>HYPERLINK("https://rhld.insurance.arkansas.gov/NPILookup?Npi=1669989158","1669989158")</f>
        <v>1669989158</v>
      </c>
      <c r="E16500" s="1" t="s">
        <v>22948</v>
      </c>
      <c r="F16500" s="2"/>
      <c r="G16500" s="2"/>
      <c r="H16500" s="2"/>
    </row>
    <row r="16501" spans="1:8" x14ac:dyDescent="0.25">
      <c r="A16501" s="1"/>
      <c r="B16501" s="1" t="s">
        <v>5782</v>
      </c>
      <c r="C16501" s="1" t="s">
        <v>5783</v>
      </c>
      <c r="D16501" s="22" t="str">
        <f>HYPERLINK("https://rhld.insurance.arkansas.gov/NPILookup?Npi=1679008759","1679008759")</f>
        <v>1679008759</v>
      </c>
      <c r="E16501" s="1" t="s">
        <v>3344</v>
      </c>
      <c r="F16501" s="2"/>
      <c r="G16501" s="2"/>
      <c r="H16501" s="2"/>
    </row>
    <row r="16502" spans="1:8" x14ac:dyDescent="0.25">
      <c r="A16502" s="1"/>
      <c r="B16502" s="1" t="s">
        <v>5782</v>
      </c>
      <c r="C16502" s="1" t="s">
        <v>5783</v>
      </c>
      <c r="D16502" s="22" t="str">
        <f>HYPERLINK("https://rhld.insurance.arkansas.gov/NPILookup?Npi=1679023477","1679023477")</f>
        <v>1679023477</v>
      </c>
      <c r="E16502" s="1" t="s">
        <v>6524</v>
      </c>
      <c r="F16502" s="2"/>
      <c r="G16502" s="2"/>
      <c r="H16502" s="2"/>
    </row>
    <row r="16503" spans="1:8" x14ac:dyDescent="0.25">
      <c r="A16503" s="1"/>
      <c r="B16503" s="1" t="s">
        <v>5782</v>
      </c>
      <c r="C16503" s="1" t="s">
        <v>5783</v>
      </c>
      <c r="D16503" s="22" t="str">
        <f>HYPERLINK("https://rhld.insurance.arkansas.gov/NPILookup?Npi=1679026207","1679026207")</f>
        <v>1679026207</v>
      </c>
      <c r="E16503" s="1" t="s">
        <v>3345</v>
      </c>
      <c r="F16503" s="2"/>
      <c r="G16503" s="2"/>
      <c r="H16503" s="2"/>
    </row>
    <row r="16504" spans="1:8" x14ac:dyDescent="0.25">
      <c r="A16504" s="1"/>
      <c r="B16504" s="1" t="s">
        <v>5782</v>
      </c>
      <c r="C16504" s="1" t="s">
        <v>5783</v>
      </c>
      <c r="D16504" s="22" t="str">
        <f>HYPERLINK("https://rhld.insurance.arkansas.gov/NPILookup?Npi=1679029201","1679029201")</f>
        <v>1679029201</v>
      </c>
      <c r="E16504" s="1" t="s">
        <v>22949</v>
      </c>
      <c r="F16504" s="2"/>
      <c r="G16504" s="2"/>
      <c r="H16504" s="2"/>
    </row>
    <row r="16505" spans="1:8" x14ac:dyDescent="0.25">
      <c r="A16505" s="1"/>
      <c r="B16505" s="1" t="s">
        <v>5782</v>
      </c>
      <c r="C16505" s="1" t="s">
        <v>5783</v>
      </c>
      <c r="D16505" s="22" t="str">
        <f>HYPERLINK("https://rhld.insurance.arkansas.gov/NPILookup?Npi=1679044499","1679044499")</f>
        <v>1679044499</v>
      </c>
      <c r="E16505" s="1" t="s">
        <v>22950</v>
      </c>
      <c r="F16505" s="2"/>
      <c r="G16505" s="2"/>
      <c r="H16505" s="2"/>
    </row>
    <row r="16506" spans="1:8" x14ac:dyDescent="0.25">
      <c r="A16506" s="1"/>
      <c r="B16506" s="1" t="s">
        <v>5782</v>
      </c>
      <c r="C16506" s="1" t="s">
        <v>5783</v>
      </c>
      <c r="D16506" s="22" t="str">
        <f>HYPERLINK("https://rhld.insurance.arkansas.gov/NPILookup?Npi=1679046098","1679046098")</f>
        <v>1679046098</v>
      </c>
      <c r="E16506" s="1" t="s">
        <v>31919</v>
      </c>
      <c r="F16506" s="2"/>
      <c r="G16506" s="2"/>
      <c r="H16506" s="2"/>
    </row>
    <row r="16507" spans="1:8" x14ac:dyDescent="0.25">
      <c r="A16507" s="1"/>
      <c r="B16507" s="1" t="s">
        <v>5782</v>
      </c>
      <c r="C16507" s="1" t="s">
        <v>5783</v>
      </c>
      <c r="D16507" s="22" t="str">
        <f>HYPERLINK("https://rhld.insurance.arkansas.gov/NPILookup?Npi=1679064315","1679064315")</f>
        <v>1679064315</v>
      </c>
      <c r="E16507" s="1" t="s">
        <v>22951</v>
      </c>
      <c r="F16507" s="2"/>
      <c r="G16507" s="2"/>
      <c r="H16507" s="2"/>
    </row>
    <row r="16508" spans="1:8" x14ac:dyDescent="0.25">
      <c r="A16508" s="1"/>
      <c r="B16508" s="1" t="s">
        <v>5782</v>
      </c>
      <c r="C16508" s="1" t="s">
        <v>5783</v>
      </c>
      <c r="D16508" s="22" t="str">
        <f>HYPERLINK("https://rhld.insurance.arkansas.gov/NPILookup?Npi=1679070734","1679070734")</f>
        <v>1679070734</v>
      </c>
      <c r="E16508" s="1" t="s">
        <v>3346</v>
      </c>
      <c r="F16508" s="2"/>
      <c r="G16508" s="2"/>
      <c r="H16508" s="2"/>
    </row>
    <row r="16509" spans="1:8" x14ac:dyDescent="0.25">
      <c r="A16509" s="1"/>
      <c r="B16509" s="1" t="s">
        <v>5782</v>
      </c>
      <c r="C16509" s="1" t="s">
        <v>5783</v>
      </c>
      <c r="D16509" s="22" t="str">
        <f>HYPERLINK("https://rhld.insurance.arkansas.gov/NPILookup?Npi=1679074082","1679074082")</f>
        <v>1679074082</v>
      </c>
      <c r="E16509" s="1" t="s">
        <v>22952</v>
      </c>
      <c r="F16509" s="2"/>
      <c r="G16509" s="2"/>
      <c r="H16509" s="2"/>
    </row>
    <row r="16510" spans="1:8" x14ac:dyDescent="0.25">
      <c r="A16510" s="1"/>
      <c r="B16510" s="1" t="s">
        <v>5782</v>
      </c>
      <c r="C16510" s="1" t="s">
        <v>5783</v>
      </c>
      <c r="D16510" s="22" t="str">
        <f>HYPERLINK("https://rhld.insurance.arkansas.gov/NPILookup?Npi=1679079990","1679079990")</f>
        <v>1679079990</v>
      </c>
      <c r="E16510" s="1" t="s">
        <v>3347</v>
      </c>
      <c r="F16510" s="2"/>
      <c r="G16510" s="2"/>
      <c r="H16510" s="2"/>
    </row>
    <row r="16511" spans="1:8" x14ac:dyDescent="0.25">
      <c r="A16511" s="1"/>
      <c r="B16511" s="1" t="s">
        <v>5782</v>
      </c>
      <c r="C16511" s="1" t="s">
        <v>5783</v>
      </c>
      <c r="D16511" s="22" t="str">
        <f>HYPERLINK("https://rhld.insurance.arkansas.gov/NPILookup?Npi=1679080444","1679080444")</f>
        <v>1679080444</v>
      </c>
      <c r="E16511" s="1" t="s">
        <v>22953</v>
      </c>
      <c r="F16511" s="2"/>
      <c r="G16511" s="2"/>
      <c r="H16511" s="2"/>
    </row>
    <row r="16512" spans="1:8" x14ac:dyDescent="0.25">
      <c r="A16512" s="1"/>
      <c r="B16512" s="1" t="s">
        <v>5782</v>
      </c>
      <c r="C16512" s="1" t="s">
        <v>5783</v>
      </c>
      <c r="D16512" s="22" t="str">
        <f>HYPERLINK("https://rhld.insurance.arkansas.gov/NPILookup?Npi=1679081145","1679081145")</f>
        <v>1679081145</v>
      </c>
      <c r="E16512" s="1" t="s">
        <v>6525</v>
      </c>
      <c r="F16512" s="2"/>
      <c r="G16512" s="2"/>
      <c r="H16512" s="2"/>
    </row>
    <row r="16513" spans="1:8" x14ac:dyDescent="0.25">
      <c r="A16513" s="1"/>
      <c r="B16513" s="1" t="s">
        <v>5782</v>
      </c>
      <c r="C16513" s="1" t="s">
        <v>5783</v>
      </c>
      <c r="D16513" s="22" t="str">
        <f>HYPERLINK("https://rhld.insurance.arkansas.gov/NPILookup?Npi=1679081772","1679081772")</f>
        <v>1679081772</v>
      </c>
      <c r="E16513" s="1" t="s">
        <v>22954</v>
      </c>
      <c r="F16513" s="2"/>
      <c r="G16513" s="2"/>
      <c r="H16513" s="2"/>
    </row>
    <row r="16514" spans="1:8" x14ac:dyDescent="0.25">
      <c r="A16514" s="1"/>
      <c r="B16514" s="1" t="s">
        <v>5782</v>
      </c>
      <c r="C16514" s="1" t="s">
        <v>5783</v>
      </c>
      <c r="D16514" s="22" t="str">
        <f>HYPERLINK("https://rhld.insurance.arkansas.gov/NPILookup?Npi=1679091334","1679091334")</f>
        <v>1679091334</v>
      </c>
      <c r="E16514" s="1" t="s">
        <v>22955</v>
      </c>
      <c r="F16514" s="2"/>
      <c r="G16514" s="2"/>
      <c r="H16514" s="2"/>
    </row>
    <row r="16515" spans="1:8" x14ac:dyDescent="0.25">
      <c r="A16515" s="1"/>
      <c r="B16515" s="1" t="s">
        <v>5782</v>
      </c>
      <c r="C16515" s="1" t="s">
        <v>5783</v>
      </c>
      <c r="D16515" s="22" t="str">
        <f>HYPERLINK("https://rhld.insurance.arkansas.gov/NPILookup?Npi=1679111975","1679111975")</f>
        <v>1679111975</v>
      </c>
      <c r="E16515" s="1" t="s">
        <v>22956</v>
      </c>
      <c r="F16515" s="2"/>
      <c r="G16515" s="2"/>
      <c r="H16515" s="2"/>
    </row>
    <row r="16516" spans="1:8" x14ac:dyDescent="0.25">
      <c r="A16516" s="1"/>
      <c r="B16516" s="1" t="s">
        <v>5782</v>
      </c>
      <c r="C16516" s="1" t="s">
        <v>5783</v>
      </c>
      <c r="D16516" s="22" t="str">
        <f>HYPERLINK("https://rhld.insurance.arkansas.gov/NPILookup?Npi=1679136907","1679136907")</f>
        <v>1679136907</v>
      </c>
      <c r="E16516" s="1" t="s">
        <v>11990</v>
      </c>
      <c r="F16516" s="2"/>
      <c r="G16516" s="2"/>
      <c r="H16516" s="2"/>
    </row>
    <row r="16517" spans="1:8" x14ac:dyDescent="0.25">
      <c r="A16517" s="1"/>
      <c r="B16517" s="1" t="s">
        <v>5782</v>
      </c>
      <c r="C16517" s="1" t="s">
        <v>5783</v>
      </c>
      <c r="D16517" s="22" t="str">
        <f>HYPERLINK("https://rhld.insurance.arkansas.gov/NPILookup?Npi=1679141253","1679141253")</f>
        <v>1679141253</v>
      </c>
      <c r="E16517" s="1" t="s">
        <v>22957</v>
      </c>
      <c r="F16517" s="2"/>
      <c r="G16517" s="2"/>
      <c r="H16517" s="2"/>
    </row>
    <row r="16518" spans="1:8" x14ac:dyDescent="0.25">
      <c r="A16518" s="1"/>
      <c r="B16518" s="1" t="s">
        <v>5782</v>
      </c>
      <c r="C16518" s="1" t="s">
        <v>5783</v>
      </c>
      <c r="D16518" s="22" t="str">
        <f>HYPERLINK("https://rhld.insurance.arkansas.gov/NPILookup?Npi=1679143275","1679143275")</f>
        <v>1679143275</v>
      </c>
      <c r="E16518" s="1" t="s">
        <v>22958</v>
      </c>
      <c r="F16518" s="2"/>
      <c r="G16518" s="2"/>
      <c r="H16518" s="2"/>
    </row>
    <row r="16519" spans="1:8" x14ac:dyDescent="0.25">
      <c r="A16519" s="1"/>
      <c r="B16519" s="1" t="s">
        <v>5782</v>
      </c>
      <c r="C16519" s="1" t="s">
        <v>5783</v>
      </c>
      <c r="D16519" s="22" t="str">
        <f>HYPERLINK("https://rhld.insurance.arkansas.gov/NPILookup?Npi=1679192298","1679192298")</f>
        <v>1679192298</v>
      </c>
      <c r="E16519" s="1" t="s">
        <v>11991</v>
      </c>
      <c r="F16519" s="2"/>
      <c r="G16519" s="2"/>
      <c r="H16519" s="2"/>
    </row>
    <row r="16520" spans="1:8" x14ac:dyDescent="0.25">
      <c r="A16520" s="1"/>
      <c r="B16520" s="1" t="s">
        <v>5782</v>
      </c>
      <c r="C16520" s="1" t="s">
        <v>5783</v>
      </c>
      <c r="D16520" s="22" t="str">
        <f>HYPERLINK("https://rhld.insurance.arkansas.gov/NPILookup?Npi=1679194310","1679194310")</f>
        <v>1679194310</v>
      </c>
      <c r="E16520" s="1" t="s">
        <v>22959</v>
      </c>
      <c r="F16520" s="2"/>
      <c r="G16520" s="2"/>
      <c r="H16520" s="2"/>
    </row>
    <row r="16521" spans="1:8" x14ac:dyDescent="0.25">
      <c r="A16521" s="1"/>
      <c r="B16521" s="1" t="s">
        <v>5782</v>
      </c>
      <c r="C16521" s="1" t="s">
        <v>5783</v>
      </c>
      <c r="D16521" s="22" t="str">
        <f>HYPERLINK("https://rhld.insurance.arkansas.gov/NPILookup?Npi=1679196042","1679196042")</f>
        <v>1679196042</v>
      </c>
      <c r="E16521" s="1" t="s">
        <v>22960</v>
      </c>
      <c r="F16521" s="2"/>
      <c r="G16521" s="2"/>
      <c r="H16521" s="2"/>
    </row>
    <row r="16522" spans="1:8" x14ac:dyDescent="0.25">
      <c r="A16522" s="1"/>
      <c r="B16522" s="1" t="s">
        <v>5782</v>
      </c>
      <c r="C16522" s="1" t="s">
        <v>5783</v>
      </c>
      <c r="D16522" s="22" t="str">
        <f>HYPERLINK("https://rhld.insurance.arkansas.gov/NPILookup?Npi=1679209597","1679209597")</f>
        <v>1679209597</v>
      </c>
      <c r="E16522" s="1" t="s">
        <v>22961</v>
      </c>
      <c r="F16522" s="2"/>
      <c r="G16522" s="2"/>
      <c r="H16522" s="2"/>
    </row>
    <row r="16523" spans="1:8" x14ac:dyDescent="0.25">
      <c r="A16523" s="1"/>
      <c r="B16523" s="1" t="s">
        <v>5782</v>
      </c>
      <c r="C16523" s="1" t="s">
        <v>5783</v>
      </c>
      <c r="D16523" s="22" t="str">
        <f>HYPERLINK("https://rhld.insurance.arkansas.gov/NPILookup?Npi=1679229298","1679229298")</f>
        <v>1679229298</v>
      </c>
      <c r="E16523" s="1" t="s">
        <v>22962</v>
      </c>
      <c r="F16523" s="2"/>
      <c r="G16523" s="2"/>
      <c r="H16523" s="2"/>
    </row>
    <row r="16524" spans="1:8" x14ac:dyDescent="0.25">
      <c r="A16524" s="1"/>
      <c r="B16524" s="1" t="s">
        <v>5782</v>
      </c>
      <c r="C16524" s="1" t="s">
        <v>5783</v>
      </c>
      <c r="D16524" s="22" t="str">
        <f>HYPERLINK("https://rhld.insurance.arkansas.gov/NPILookup?Npi=1679239248","1679239248")</f>
        <v>1679239248</v>
      </c>
      <c r="E16524" s="1" t="s">
        <v>22963</v>
      </c>
      <c r="F16524" s="2"/>
      <c r="G16524" s="2"/>
      <c r="H16524" s="2"/>
    </row>
    <row r="16525" spans="1:8" x14ac:dyDescent="0.25">
      <c r="A16525" s="1"/>
      <c r="B16525" s="1" t="s">
        <v>5782</v>
      </c>
      <c r="C16525" s="1" t="s">
        <v>5783</v>
      </c>
      <c r="D16525" s="22" t="str">
        <f>HYPERLINK("https://rhld.insurance.arkansas.gov/NPILookup?Npi=1679251698","1679251698")</f>
        <v>1679251698</v>
      </c>
      <c r="E16525" s="1" t="s">
        <v>6416</v>
      </c>
      <c r="F16525" s="2"/>
      <c r="G16525" s="2"/>
      <c r="H16525" s="2"/>
    </row>
    <row r="16526" spans="1:8" x14ac:dyDescent="0.25">
      <c r="A16526" s="1"/>
      <c r="B16526" s="1" t="s">
        <v>5782</v>
      </c>
      <c r="C16526" s="1" t="s">
        <v>5783</v>
      </c>
      <c r="D16526" s="22" t="str">
        <f>HYPERLINK("https://rhld.insurance.arkansas.gov/NPILookup?Npi=1679276851","1679276851")</f>
        <v>1679276851</v>
      </c>
      <c r="E16526" s="1" t="s">
        <v>6526</v>
      </c>
      <c r="F16526" s="2"/>
      <c r="G16526" s="2"/>
      <c r="H16526" s="2"/>
    </row>
    <row r="16527" spans="1:8" x14ac:dyDescent="0.25">
      <c r="A16527" s="1"/>
      <c r="B16527" s="1" t="s">
        <v>5782</v>
      </c>
      <c r="C16527" s="1" t="s">
        <v>5783</v>
      </c>
      <c r="D16527" s="22" t="str">
        <f>HYPERLINK("https://rhld.insurance.arkansas.gov/NPILookup?Npi=1679278147","1679278147")</f>
        <v>1679278147</v>
      </c>
      <c r="E16527" s="1" t="s">
        <v>6527</v>
      </c>
      <c r="F16527" s="2"/>
      <c r="G16527" s="2"/>
      <c r="H16527" s="2"/>
    </row>
    <row r="16528" spans="1:8" x14ac:dyDescent="0.25">
      <c r="A16528" s="1"/>
      <c r="B16528" s="1" t="s">
        <v>5782</v>
      </c>
      <c r="C16528" s="1" t="s">
        <v>5783</v>
      </c>
      <c r="D16528" s="22" t="str">
        <f>HYPERLINK("https://rhld.insurance.arkansas.gov/NPILookup?Npi=1679317317","1679317317")</f>
        <v>1679317317</v>
      </c>
      <c r="E16528" s="1" t="s">
        <v>22964</v>
      </c>
      <c r="F16528" s="2"/>
      <c r="G16528" s="2"/>
      <c r="H16528" s="2"/>
    </row>
    <row r="16529" spans="1:8" x14ac:dyDescent="0.25">
      <c r="A16529" s="1"/>
      <c r="B16529" s="1" t="s">
        <v>5782</v>
      </c>
      <c r="C16529" s="1" t="s">
        <v>5783</v>
      </c>
      <c r="D16529" s="22" t="str">
        <f>HYPERLINK("https://rhld.insurance.arkansas.gov/NPILookup?Npi=1679540413","1679540413")</f>
        <v>1679540413</v>
      </c>
      <c r="E16529" s="1" t="s">
        <v>22965</v>
      </c>
      <c r="F16529" s="2"/>
      <c r="G16529" s="2"/>
      <c r="H16529" s="2"/>
    </row>
    <row r="16530" spans="1:8" x14ac:dyDescent="0.25">
      <c r="A16530" s="1"/>
      <c r="B16530" s="1" t="s">
        <v>5782</v>
      </c>
      <c r="C16530" s="1" t="s">
        <v>5783</v>
      </c>
      <c r="D16530" s="22" t="str">
        <f>HYPERLINK("https://rhld.insurance.arkansas.gov/NPILookup?Npi=1679549810","1679549810")</f>
        <v>1679549810</v>
      </c>
      <c r="E16530" s="1" t="s">
        <v>319</v>
      </c>
      <c r="F16530" s="2"/>
      <c r="G16530" s="2"/>
      <c r="H16530" s="2"/>
    </row>
    <row r="16531" spans="1:8" x14ac:dyDescent="0.25">
      <c r="A16531" s="1"/>
      <c r="B16531" s="1" t="s">
        <v>5782</v>
      </c>
      <c r="C16531" s="1" t="s">
        <v>5783</v>
      </c>
      <c r="D16531" s="22" t="str">
        <f>HYPERLINK("https://rhld.insurance.arkansas.gov/NPILookup?Npi=1679591812","1679591812")</f>
        <v>1679591812</v>
      </c>
      <c r="E16531" s="1" t="s">
        <v>3348</v>
      </c>
      <c r="F16531" s="2"/>
      <c r="G16531" s="2"/>
      <c r="H16531" s="2"/>
    </row>
    <row r="16532" spans="1:8" x14ac:dyDescent="0.25">
      <c r="A16532" s="1"/>
      <c r="B16532" s="1" t="s">
        <v>5782</v>
      </c>
      <c r="C16532" s="1" t="s">
        <v>5783</v>
      </c>
      <c r="D16532" s="22" t="str">
        <f>HYPERLINK("https://rhld.insurance.arkansas.gov/NPILookup?Npi=1679609937","1679609937")</f>
        <v>1679609937</v>
      </c>
      <c r="E16532" s="1" t="s">
        <v>11992</v>
      </c>
      <c r="F16532" s="2"/>
      <c r="G16532" s="2"/>
      <c r="H16532" s="2"/>
    </row>
    <row r="16533" spans="1:8" x14ac:dyDescent="0.25">
      <c r="A16533" s="1"/>
      <c r="B16533" s="1" t="s">
        <v>5782</v>
      </c>
      <c r="C16533" s="1" t="s">
        <v>5783</v>
      </c>
      <c r="D16533" s="22" t="str">
        <f>HYPERLINK("https://rhld.insurance.arkansas.gov/NPILookup?Npi=1679624357","1679624357")</f>
        <v>1679624357</v>
      </c>
      <c r="E16533" s="1" t="s">
        <v>22966</v>
      </c>
      <c r="F16533" s="2"/>
      <c r="G16533" s="2"/>
      <c r="H16533" s="2"/>
    </row>
    <row r="16534" spans="1:8" x14ac:dyDescent="0.25">
      <c r="A16534" s="1"/>
      <c r="B16534" s="1" t="s">
        <v>5782</v>
      </c>
      <c r="C16534" s="1" t="s">
        <v>5783</v>
      </c>
      <c r="D16534" s="22" t="str">
        <f>HYPERLINK("https://rhld.insurance.arkansas.gov/NPILookup?Npi=1679632350","1679632350")</f>
        <v>1679632350</v>
      </c>
      <c r="E16534" s="1" t="s">
        <v>22967</v>
      </c>
      <c r="F16534" s="2"/>
      <c r="G16534" s="2"/>
      <c r="H16534" s="2"/>
    </row>
    <row r="16535" spans="1:8" x14ac:dyDescent="0.25">
      <c r="A16535" s="1"/>
      <c r="B16535" s="1" t="s">
        <v>5782</v>
      </c>
      <c r="C16535" s="1" t="s">
        <v>5783</v>
      </c>
      <c r="D16535" s="22" t="str">
        <f>HYPERLINK("https://rhld.insurance.arkansas.gov/NPILookup?Npi=1679666135","1679666135")</f>
        <v>1679666135</v>
      </c>
      <c r="E16535" s="1" t="s">
        <v>22968</v>
      </c>
      <c r="F16535" s="2"/>
      <c r="G16535" s="2"/>
      <c r="H16535" s="2"/>
    </row>
    <row r="16536" spans="1:8" x14ac:dyDescent="0.25">
      <c r="A16536" s="1"/>
      <c r="B16536" s="1" t="s">
        <v>5782</v>
      </c>
      <c r="C16536" s="1" t="s">
        <v>5783</v>
      </c>
      <c r="D16536" s="22" t="str">
        <f>HYPERLINK("https://rhld.insurance.arkansas.gov/NPILookup?Npi=1679669246","1679669246")</f>
        <v>1679669246</v>
      </c>
      <c r="E16536" s="1" t="s">
        <v>947</v>
      </c>
      <c r="F16536" s="2"/>
      <c r="G16536" s="2"/>
      <c r="H16536" s="2"/>
    </row>
    <row r="16537" spans="1:8" x14ac:dyDescent="0.25">
      <c r="A16537" s="1"/>
      <c r="B16537" s="1" t="s">
        <v>5782</v>
      </c>
      <c r="C16537" s="1" t="s">
        <v>5783</v>
      </c>
      <c r="D16537" s="22" t="str">
        <f>HYPERLINK("https://rhld.insurance.arkansas.gov/NPILookup?Npi=1679679070","1679679070")</f>
        <v>1679679070</v>
      </c>
      <c r="E16537" s="1" t="s">
        <v>11993</v>
      </c>
      <c r="F16537" s="2"/>
      <c r="G16537" s="2"/>
      <c r="H16537" s="2"/>
    </row>
    <row r="16538" spans="1:8" x14ac:dyDescent="0.25">
      <c r="A16538" s="1"/>
      <c r="B16538" s="1" t="s">
        <v>5782</v>
      </c>
      <c r="C16538" s="1" t="s">
        <v>5783</v>
      </c>
      <c r="D16538" s="22" t="str">
        <f>HYPERLINK("https://rhld.insurance.arkansas.gov/NPILookup?Npi=1679689236","1679689236")</f>
        <v>1679689236</v>
      </c>
      <c r="E16538" s="1" t="s">
        <v>2208</v>
      </c>
      <c r="F16538" s="2"/>
      <c r="G16538" s="2"/>
      <c r="H16538" s="2"/>
    </row>
    <row r="16539" spans="1:8" x14ac:dyDescent="0.25">
      <c r="A16539" s="1"/>
      <c r="B16539" s="1" t="s">
        <v>5782</v>
      </c>
      <c r="C16539" s="1" t="s">
        <v>5783</v>
      </c>
      <c r="D16539" s="22" t="str">
        <f>HYPERLINK("https://rhld.insurance.arkansas.gov/NPILookup?Npi=1679701205","1679701205")</f>
        <v>1679701205</v>
      </c>
      <c r="E16539" s="1" t="s">
        <v>11994</v>
      </c>
      <c r="F16539" s="2"/>
      <c r="G16539" s="2"/>
      <c r="H16539" s="2"/>
    </row>
    <row r="16540" spans="1:8" x14ac:dyDescent="0.25">
      <c r="A16540" s="1"/>
      <c r="B16540" s="1" t="s">
        <v>5782</v>
      </c>
      <c r="C16540" s="1" t="s">
        <v>5783</v>
      </c>
      <c r="D16540" s="22" t="str">
        <f>HYPERLINK("https://rhld.insurance.arkansas.gov/NPILookup?Npi=1679723225","1679723225")</f>
        <v>1679723225</v>
      </c>
      <c r="E16540" s="1" t="s">
        <v>308</v>
      </c>
      <c r="F16540" s="2"/>
      <c r="G16540" s="2"/>
      <c r="H16540" s="2"/>
    </row>
    <row r="16541" spans="1:8" x14ac:dyDescent="0.25">
      <c r="A16541" s="1"/>
      <c r="B16541" s="1" t="s">
        <v>5782</v>
      </c>
      <c r="C16541" s="1" t="s">
        <v>5783</v>
      </c>
      <c r="D16541" s="22" t="str">
        <f>HYPERLINK("https://rhld.insurance.arkansas.gov/NPILookup?Npi=1679723795","1679723795")</f>
        <v>1679723795</v>
      </c>
      <c r="E16541" s="1" t="s">
        <v>22969</v>
      </c>
      <c r="F16541" s="2"/>
      <c r="G16541" s="2"/>
      <c r="H16541" s="2"/>
    </row>
    <row r="16542" spans="1:8" x14ac:dyDescent="0.25">
      <c r="A16542" s="1"/>
      <c r="B16542" s="1" t="s">
        <v>5782</v>
      </c>
      <c r="C16542" s="1" t="s">
        <v>5783</v>
      </c>
      <c r="D16542" s="22" t="str">
        <f>HYPERLINK("https://rhld.insurance.arkansas.gov/NPILookup?Npi=1679724504","1679724504")</f>
        <v>1679724504</v>
      </c>
      <c r="E16542" s="1" t="s">
        <v>22970</v>
      </c>
      <c r="F16542" s="2"/>
      <c r="G16542" s="2"/>
      <c r="H16542" s="2"/>
    </row>
    <row r="16543" spans="1:8" x14ac:dyDescent="0.25">
      <c r="A16543" s="1"/>
      <c r="B16543" s="1" t="s">
        <v>5782</v>
      </c>
      <c r="C16543" s="1" t="s">
        <v>5783</v>
      </c>
      <c r="D16543" s="22" t="str">
        <f>HYPERLINK("https://rhld.insurance.arkansas.gov/NPILookup?Npi=1679726533","1679726533")</f>
        <v>1679726533</v>
      </c>
      <c r="E16543" s="1" t="s">
        <v>22971</v>
      </c>
      <c r="F16543" s="2"/>
      <c r="G16543" s="2"/>
      <c r="H16543" s="2"/>
    </row>
    <row r="16544" spans="1:8" x14ac:dyDescent="0.25">
      <c r="A16544" s="1"/>
      <c r="B16544" s="1" t="s">
        <v>5782</v>
      </c>
      <c r="C16544" s="1" t="s">
        <v>5783</v>
      </c>
      <c r="D16544" s="22" t="str">
        <f>HYPERLINK("https://rhld.insurance.arkansas.gov/NPILookup?Npi=1679754063","1679754063")</f>
        <v>1679754063</v>
      </c>
      <c r="E16544" s="1" t="s">
        <v>22972</v>
      </c>
      <c r="F16544" s="2"/>
      <c r="G16544" s="2"/>
      <c r="H16544" s="2"/>
    </row>
    <row r="16545" spans="1:8" x14ac:dyDescent="0.25">
      <c r="A16545" s="1"/>
      <c r="B16545" s="1" t="s">
        <v>5782</v>
      </c>
      <c r="C16545" s="1" t="s">
        <v>5783</v>
      </c>
      <c r="D16545" s="22" t="str">
        <f>HYPERLINK("https://rhld.insurance.arkansas.gov/NPILookup?Npi=1679756381","1679756381")</f>
        <v>1679756381</v>
      </c>
      <c r="E16545" s="1" t="s">
        <v>11995</v>
      </c>
      <c r="F16545" s="2"/>
      <c r="G16545" s="2"/>
      <c r="H16545" s="2"/>
    </row>
    <row r="16546" spans="1:8" x14ac:dyDescent="0.25">
      <c r="A16546" s="1"/>
      <c r="B16546" s="1" t="s">
        <v>5782</v>
      </c>
      <c r="C16546" s="1" t="s">
        <v>5783</v>
      </c>
      <c r="D16546" s="22" t="str">
        <f>HYPERLINK("https://rhld.insurance.arkansas.gov/NPILookup?Npi=1679769871","1679769871")</f>
        <v>1679769871</v>
      </c>
      <c r="E16546" s="1" t="s">
        <v>2211</v>
      </c>
      <c r="F16546" s="2"/>
      <c r="G16546" s="2"/>
      <c r="H16546" s="2"/>
    </row>
    <row r="16547" spans="1:8" x14ac:dyDescent="0.25">
      <c r="A16547" s="1"/>
      <c r="B16547" s="1" t="s">
        <v>5782</v>
      </c>
      <c r="C16547" s="1" t="s">
        <v>5783</v>
      </c>
      <c r="D16547" s="22" t="str">
        <f>HYPERLINK("https://rhld.insurance.arkansas.gov/NPILookup?Npi=1679806780","1679806780")</f>
        <v>1679806780</v>
      </c>
      <c r="E16547" s="1" t="s">
        <v>2882</v>
      </c>
      <c r="F16547" s="2"/>
      <c r="G16547" s="2"/>
      <c r="H16547" s="2"/>
    </row>
    <row r="16548" spans="1:8" x14ac:dyDescent="0.25">
      <c r="A16548" s="1"/>
      <c r="B16548" s="1" t="s">
        <v>5782</v>
      </c>
      <c r="C16548" s="1" t="s">
        <v>5783</v>
      </c>
      <c r="D16548" s="22" t="str">
        <f>HYPERLINK("https://rhld.insurance.arkansas.gov/NPILookup?Npi=1679814594","1679814594")</f>
        <v>1679814594</v>
      </c>
      <c r="E16548" s="1" t="s">
        <v>11996</v>
      </c>
      <c r="F16548" s="2"/>
      <c r="G16548" s="2"/>
      <c r="H16548" s="2"/>
    </row>
    <row r="16549" spans="1:8" x14ac:dyDescent="0.25">
      <c r="A16549" s="1"/>
      <c r="B16549" s="1" t="s">
        <v>5782</v>
      </c>
      <c r="C16549" s="1" t="s">
        <v>5783</v>
      </c>
      <c r="D16549" s="22" t="str">
        <f>HYPERLINK("https://rhld.insurance.arkansas.gov/NPILookup?Npi=1679834642","1679834642")</f>
        <v>1679834642</v>
      </c>
      <c r="E16549" s="1" t="s">
        <v>11997</v>
      </c>
      <c r="F16549" s="2"/>
      <c r="G16549" s="2"/>
      <c r="H16549" s="2"/>
    </row>
    <row r="16550" spans="1:8" x14ac:dyDescent="0.25">
      <c r="A16550" s="1"/>
      <c r="B16550" s="1" t="s">
        <v>5782</v>
      </c>
      <c r="C16550" s="1" t="s">
        <v>5783</v>
      </c>
      <c r="D16550" s="22" t="str">
        <f>HYPERLINK("https://rhld.insurance.arkansas.gov/NPILookup?Npi=1679862445","1679862445")</f>
        <v>1679862445</v>
      </c>
      <c r="E16550" s="1" t="s">
        <v>22973</v>
      </c>
      <c r="F16550" s="2"/>
      <c r="G16550" s="2"/>
      <c r="H16550" s="2"/>
    </row>
    <row r="16551" spans="1:8" x14ac:dyDescent="0.25">
      <c r="A16551" s="1"/>
      <c r="B16551" s="1" t="s">
        <v>5782</v>
      </c>
      <c r="C16551" s="1" t="s">
        <v>5783</v>
      </c>
      <c r="D16551" s="22" t="str">
        <f>HYPERLINK("https://rhld.insurance.arkansas.gov/NPILookup?Npi=1679894737","1679894737")</f>
        <v>1679894737</v>
      </c>
      <c r="E16551" s="1" t="s">
        <v>22974</v>
      </c>
      <c r="F16551" s="2"/>
      <c r="G16551" s="2"/>
      <c r="H16551" s="2"/>
    </row>
    <row r="16552" spans="1:8" x14ac:dyDescent="0.25">
      <c r="A16552" s="1"/>
      <c r="B16552" s="1" t="s">
        <v>5782</v>
      </c>
      <c r="C16552" s="1" t="s">
        <v>5783</v>
      </c>
      <c r="D16552" s="22" t="str">
        <f>HYPERLINK("https://rhld.insurance.arkansas.gov/NPILookup?Npi=1679895817","1679895817")</f>
        <v>1679895817</v>
      </c>
      <c r="E16552" s="1" t="s">
        <v>22975</v>
      </c>
      <c r="F16552" s="2"/>
      <c r="G16552" s="2"/>
      <c r="H16552" s="2"/>
    </row>
    <row r="16553" spans="1:8" x14ac:dyDescent="0.25">
      <c r="A16553" s="1"/>
      <c r="B16553" s="1" t="s">
        <v>5782</v>
      </c>
      <c r="C16553" s="1" t="s">
        <v>5783</v>
      </c>
      <c r="D16553" s="22" t="str">
        <f>HYPERLINK("https://rhld.insurance.arkansas.gov/NPILookup?Npi=1679911721","1679911721")</f>
        <v>1679911721</v>
      </c>
      <c r="E16553" s="1" t="s">
        <v>22976</v>
      </c>
      <c r="F16553" s="2"/>
      <c r="G16553" s="2"/>
      <c r="H16553" s="2"/>
    </row>
    <row r="16554" spans="1:8" x14ac:dyDescent="0.25">
      <c r="A16554" s="1"/>
      <c r="B16554" s="1" t="s">
        <v>5782</v>
      </c>
      <c r="C16554" s="1" t="s">
        <v>5783</v>
      </c>
      <c r="D16554" s="22" t="str">
        <f>HYPERLINK("https://rhld.insurance.arkansas.gov/NPILookup?Npi=1679913743","1679913743")</f>
        <v>1679913743</v>
      </c>
      <c r="E16554" s="1" t="s">
        <v>22977</v>
      </c>
      <c r="F16554" s="2"/>
      <c r="G16554" s="2"/>
      <c r="H16554" s="2"/>
    </row>
    <row r="16555" spans="1:8" x14ac:dyDescent="0.25">
      <c r="A16555" s="1"/>
      <c r="B16555" s="1" t="s">
        <v>5782</v>
      </c>
      <c r="C16555" s="1" t="s">
        <v>5783</v>
      </c>
      <c r="D16555" s="22" t="str">
        <f>HYPERLINK("https://rhld.insurance.arkansas.gov/NPILookup?Npi=1679914113","1679914113")</f>
        <v>1679914113</v>
      </c>
      <c r="E16555" s="1" t="s">
        <v>2052</v>
      </c>
      <c r="F16555" s="2"/>
      <c r="G16555" s="2"/>
      <c r="H16555" s="2"/>
    </row>
    <row r="16556" spans="1:8" x14ac:dyDescent="0.25">
      <c r="A16556" s="1"/>
      <c r="B16556" s="1" t="s">
        <v>5782</v>
      </c>
      <c r="C16556" s="1" t="s">
        <v>5783</v>
      </c>
      <c r="D16556" s="22" t="str">
        <f>HYPERLINK("https://rhld.insurance.arkansas.gov/NPILookup?Npi=1679919815","1679919815")</f>
        <v>1679919815</v>
      </c>
      <c r="E16556" s="1" t="s">
        <v>22978</v>
      </c>
      <c r="F16556" s="2"/>
      <c r="G16556" s="2"/>
      <c r="H16556" s="2"/>
    </row>
    <row r="16557" spans="1:8" x14ac:dyDescent="0.25">
      <c r="A16557" s="1"/>
      <c r="B16557" s="1" t="s">
        <v>5782</v>
      </c>
      <c r="C16557" s="1" t="s">
        <v>5783</v>
      </c>
      <c r="D16557" s="22" t="str">
        <f>HYPERLINK("https://rhld.insurance.arkansas.gov/NPILookup?Npi=1679930465","1679930465")</f>
        <v>1679930465</v>
      </c>
      <c r="E16557" s="1" t="s">
        <v>11998</v>
      </c>
      <c r="F16557" s="2"/>
      <c r="G16557" s="2"/>
      <c r="H16557" s="2"/>
    </row>
    <row r="16558" spans="1:8" x14ac:dyDescent="0.25">
      <c r="A16558" s="1"/>
      <c r="B16558" s="1" t="s">
        <v>5782</v>
      </c>
      <c r="C16558" s="1" t="s">
        <v>5783</v>
      </c>
      <c r="D16558" s="22" t="str">
        <f>HYPERLINK("https://rhld.insurance.arkansas.gov/NPILookup?Npi=1679939342","1679939342")</f>
        <v>1679939342</v>
      </c>
      <c r="E16558" s="1" t="s">
        <v>4791</v>
      </c>
      <c r="F16558" s="2"/>
      <c r="G16558" s="2"/>
      <c r="H16558" s="2"/>
    </row>
    <row r="16559" spans="1:8" x14ac:dyDescent="0.25">
      <c r="A16559" s="1"/>
      <c r="B16559" s="1" t="s">
        <v>5782</v>
      </c>
      <c r="C16559" s="1" t="s">
        <v>5783</v>
      </c>
      <c r="D16559" s="22" t="str">
        <f>HYPERLINK("https://rhld.insurance.arkansas.gov/NPILookup?Npi=1679940597","1679940597")</f>
        <v>1679940597</v>
      </c>
      <c r="E16559" s="1" t="s">
        <v>645</v>
      </c>
      <c r="F16559" s="2"/>
      <c r="G16559" s="2"/>
      <c r="H16559" s="2"/>
    </row>
    <row r="16560" spans="1:8" x14ac:dyDescent="0.25">
      <c r="A16560" s="1"/>
      <c r="B16560" s="1" t="s">
        <v>5782</v>
      </c>
      <c r="C16560" s="1" t="s">
        <v>5783</v>
      </c>
      <c r="D16560" s="22" t="str">
        <f>HYPERLINK("https://rhld.insurance.arkansas.gov/NPILookup?Npi=1679965982","1679965982")</f>
        <v>1679965982</v>
      </c>
      <c r="E16560" s="1" t="s">
        <v>22979</v>
      </c>
      <c r="F16560" s="2"/>
      <c r="G16560" s="2"/>
      <c r="H16560" s="2"/>
    </row>
    <row r="16561" spans="1:8" x14ac:dyDescent="0.25">
      <c r="A16561" s="1"/>
      <c r="B16561" s="1" t="s">
        <v>5782</v>
      </c>
      <c r="C16561" s="1" t="s">
        <v>5783</v>
      </c>
      <c r="D16561" s="22" t="str">
        <f>HYPERLINK("https://rhld.insurance.arkansas.gov/NPILookup?Npi=1679992788","1679992788")</f>
        <v>1679992788</v>
      </c>
      <c r="E16561" s="1" t="s">
        <v>6247</v>
      </c>
      <c r="F16561" s="2"/>
      <c r="G16561" s="2"/>
      <c r="H16561" s="2"/>
    </row>
    <row r="16562" spans="1:8" x14ac:dyDescent="0.25">
      <c r="A16562" s="1"/>
      <c r="B16562" s="1" t="s">
        <v>5782</v>
      </c>
      <c r="C16562" s="1" t="s">
        <v>5783</v>
      </c>
      <c r="D16562" s="22" t="str">
        <f>HYPERLINK("https://rhld.insurance.arkansas.gov/NPILookup?Npi=1689003147","1689003147")</f>
        <v>1689003147</v>
      </c>
      <c r="E16562" s="1" t="s">
        <v>22980</v>
      </c>
      <c r="F16562" s="2"/>
      <c r="G16562" s="2"/>
      <c r="H16562" s="2"/>
    </row>
    <row r="16563" spans="1:8" x14ac:dyDescent="0.25">
      <c r="A16563" s="1"/>
      <c r="B16563" s="1" t="s">
        <v>5782</v>
      </c>
      <c r="C16563" s="1" t="s">
        <v>5783</v>
      </c>
      <c r="D16563" s="22" t="str">
        <f>HYPERLINK("https://rhld.insurance.arkansas.gov/NPILookup?Npi=1689003964","1689003964")</f>
        <v>1689003964</v>
      </c>
      <c r="E16563" s="1" t="s">
        <v>1160</v>
      </c>
      <c r="F16563" s="2"/>
      <c r="G16563" s="2"/>
      <c r="H16563" s="2"/>
    </row>
    <row r="16564" spans="1:8" x14ac:dyDescent="0.25">
      <c r="A16564" s="1"/>
      <c r="B16564" s="1" t="s">
        <v>5782</v>
      </c>
      <c r="C16564" s="1" t="s">
        <v>5783</v>
      </c>
      <c r="D16564" s="22" t="str">
        <f>HYPERLINK("https://rhld.insurance.arkansas.gov/NPILookup?Npi=1689034068","1689034068")</f>
        <v>1689034068</v>
      </c>
      <c r="E16564" s="1" t="s">
        <v>11999</v>
      </c>
      <c r="F16564" s="2"/>
      <c r="G16564" s="2"/>
      <c r="H16564" s="2"/>
    </row>
    <row r="16565" spans="1:8" x14ac:dyDescent="0.25">
      <c r="A16565" s="1"/>
      <c r="B16565" s="1" t="s">
        <v>5782</v>
      </c>
      <c r="C16565" s="1" t="s">
        <v>5783</v>
      </c>
      <c r="D16565" s="22" t="str">
        <f>HYPERLINK("https://rhld.insurance.arkansas.gov/NPILookup?Npi=1689038754","1689038754")</f>
        <v>1689038754</v>
      </c>
      <c r="E16565" s="1" t="s">
        <v>12000</v>
      </c>
      <c r="F16565" s="2"/>
      <c r="G16565" s="2"/>
      <c r="H16565" s="2"/>
    </row>
    <row r="16566" spans="1:8" x14ac:dyDescent="0.25">
      <c r="A16566" s="1"/>
      <c r="B16566" s="1" t="s">
        <v>5782</v>
      </c>
      <c r="C16566" s="1" t="s">
        <v>5783</v>
      </c>
      <c r="D16566" s="22" t="str">
        <f>HYPERLINK("https://rhld.insurance.arkansas.gov/NPILookup?Npi=1689063794","1689063794")</f>
        <v>1689063794</v>
      </c>
      <c r="E16566" s="1" t="s">
        <v>22981</v>
      </c>
      <c r="F16566" s="2"/>
      <c r="G16566" s="2"/>
      <c r="H16566" s="2"/>
    </row>
    <row r="16567" spans="1:8" x14ac:dyDescent="0.25">
      <c r="A16567" s="1"/>
      <c r="B16567" s="1" t="s">
        <v>5782</v>
      </c>
      <c r="C16567" s="1" t="s">
        <v>5783</v>
      </c>
      <c r="D16567" s="22" t="str">
        <f>HYPERLINK("https://rhld.insurance.arkansas.gov/NPILookup?Npi=1689090912","1689090912")</f>
        <v>1689090912</v>
      </c>
      <c r="E16567" s="1" t="s">
        <v>12001</v>
      </c>
      <c r="F16567" s="2"/>
      <c r="G16567" s="2"/>
      <c r="H16567" s="2"/>
    </row>
    <row r="16568" spans="1:8" x14ac:dyDescent="0.25">
      <c r="A16568" s="1"/>
      <c r="B16568" s="1" t="s">
        <v>5782</v>
      </c>
      <c r="C16568" s="1" t="s">
        <v>5783</v>
      </c>
      <c r="D16568" s="22" t="str">
        <f>HYPERLINK("https://rhld.insurance.arkansas.gov/NPILookup?Npi=1689096299","1689096299")</f>
        <v>1689096299</v>
      </c>
      <c r="E16568" s="1" t="s">
        <v>22982</v>
      </c>
      <c r="F16568" s="2"/>
      <c r="G16568" s="2"/>
      <c r="H16568" s="2"/>
    </row>
    <row r="16569" spans="1:8" x14ac:dyDescent="0.25">
      <c r="A16569" s="1"/>
      <c r="B16569" s="1" t="s">
        <v>5782</v>
      </c>
      <c r="C16569" s="1" t="s">
        <v>5783</v>
      </c>
      <c r="D16569" s="22" t="str">
        <f>HYPERLINK("https://rhld.insurance.arkansas.gov/NPILookup?Npi=1689134330","1689134330")</f>
        <v>1689134330</v>
      </c>
      <c r="E16569" s="1" t="s">
        <v>22983</v>
      </c>
      <c r="F16569" s="2"/>
      <c r="G16569" s="2"/>
      <c r="H16569" s="2"/>
    </row>
    <row r="16570" spans="1:8" x14ac:dyDescent="0.25">
      <c r="A16570" s="1"/>
      <c r="B16570" s="1" t="s">
        <v>5782</v>
      </c>
      <c r="C16570" s="1" t="s">
        <v>5783</v>
      </c>
      <c r="D16570" s="22" t="str">
        <f>HYPERLINK("https://rhld.insurance.arkansas.gov/NPILookup?Npi=1689150393","1689150393")</f>
        <v>1689150393</v>
      </c>
      <c r="E16570" s="1" t="s">
        <v>6528</v>
      </c>
      <c r="F16570" s="2"/>
      <c r="G16570" s="2"/>
      <c r="H16570" s="2"/>
    </row>
    <row r="16571" spans="1:8" x14ac:dyDescent="0.25">
      <c r="A16571" s="1"/>
      <c r="B16571" s="1" t="s">
        <v>5782</v>
      </c>
      <c r="C16571" s="1" t="s">
        <v>5783</v>
      </c>
      <c r="D16571" s="22" t="str">
        <f>HYPERLINK("https://rhld.insurance.arkansas.gov/NPILookup?Npi=1689176836","1689176836")</f>
        <v>1689176836</v>
      </c>
      <c r="E16571" s="1" t="s">
        <v>2500</v>
      </c>
      <c r="F16571" s="2"/>
      <c r="G16571" s="2"/>
      <c r="H16571" s="2"/>
    </row>
    <row r="16572" spans="1:8" x14ac:dyDescent="0.25">
      <c r="A16572" s="1"/>
      <c r="B16572" s="1" t="s">
        <v>5782</v>
      </c>
      <c r="C16572" s="1" t="s">
        <v>5783</v>
      </c>
      <c r="D16572" s="22" t="str">
        <f>HYPERLINK("https://rhld.insurance.arkansas.gov/NPILookup?Npi=1689178113","1689178113")</f>
        <v>1689178113</v>
      </c>
      <c r="E16572" s="1" t="s">
        <v>12002</v>
      </c>
      <c r="F16572" s="2"/>
      <c r="G16572" s="2"/>
      <c r="H16572" s="2"/>
    </row>
    <row r="16573" spans="1:8" x14ac:dyDescent="0.25">
      <c r="A16573" s="1"/>
      <c r="B16573" s="1" t="s">
        <v>5782</v>
      </c>
      <c r="C16573" s="1" t="s">
        <v>5783</v>
      </c>
      <c r="D16573" s="22" t="str">
        <f>HYPERLINK("https://rhld.insurance.arkansas.gov/NPILookup?Npi=1689190613","1689190613")</f>
        <v>1689190613</v>
      </c>
      <c r="E16573" s="1" t="s">
        <v>22984</v>
      </c>
      <c r="F16573" s="2"/>
      <c r="G16573" s="2"/>
      <c r="H16573" s="2"/>
    </row>
    <row r="16574" spans="1:8" x14ac:dyDescent="0.25">
      <c r="A16574" s="1"/>
      <c r="B16574" s="1" t="s">
        <v>5782</v>
      </c>
      <c r="C16574" s="1" t="s">
        <v>5783</v>
      </c>
      <c r="D16574" s="22" t="str">
        <f>HYPERLINK("https://rhld.insurance.arkansas.gov/NPILookup?Npi=1689193963","1689193963")</f>
        <v>1689193963</v>
      </c>
      <c r="E16574" s="1" t="s">
        <v>22985</v>
      </c>
      <c r="F16574" s="2"/>
      <c r="G16574" s="2"/>
      <c r="H16574" s="2"/>
    </row>
    <row r="16575" spans="1:8" x14ac:dyDescent="0.25">
      <c r="A16575" s="1"/>
      <c r="B16575" s="1" t="s">
        <v>5782</v>
      </c>
      <c r="C16575" s="1" t="s">
        <v>5783</v>
      </c>
      <c r="D16575" s="22" t="str">
        <f>HYPERLINK("https://rhld.insurance.arkansas.gov/NPILookup?Npi=1689200040","1689200040")</f>
        <v>1689200040</v>
      </c>
      <c r="E16575" s="1" t="s">
        <v>22986</v>
      </c>
      <c r="F16575" s="2"/>
      <c r="G16575" s="2"/>
      <c r="H16575" s="2"/>
    </row>
    <row r="16576" spans="1:8" x14ac:dyDescent="0.25">
      <c r="A16576" s="1"/>
      <c r="B16576" s="1" t="s">
        <v>5782</v>
      </c>
      <c r="C16576" s="1" t="s">
        <v>5783</v>
      </c>
      <c r="D16576" s="22" t="str">
        <f>HYPERLINK("https://rhld.insurance.arkansas.gov/NPILookup?Npi=1689203986","1689203986")</f>
        <v>1689203986</v>
      </c>
      <c r="E16576" s="1" t="s">
        <v>31920</v>
      </c>
      <c r="F16576" s="2"/>
      <c r="G16576" s="2"/>
      <c r="H16576" s="2"/>
    </row>
    <row r="16577" spans="1:8" x14ac:dyDescent="0.25">
      <c r="A16577" s="1"/>
      <c r="B16577" s="1" t="s">
        <v>5782</v>
      </c>
      <c r="C16577" s="1" t="s">
        <v>5783</v>
      </c>
      <c r="D16577" s="22" t="str">
        <f>HYPERLINK("https://rhld.insurance.arkansas.gov/NPILookup?Npi=1689206971","1689206971")</f>
        <v>1689206971</v>
      </c>
      <c r="E16577" s="1" t="s">
        <v>22987</v>
      </c>
      <c r="F16577" s="2"/>
      <c r="G16577" s="2"/>
      <c r="H16577" s="2"/>
    </row>
    <row r="16578" spans="1:8" x14ac:dyDescent="0.25">
      <c r="A16578" s="1"/>
      <c r="B16578" s="1" t="s">
        <v>5782</v>
      </c>
      <c r="C16578" s="1" t="s">
        <v>5783</v>
      </c>
      <c r="D16578" s="22" t="str">
        <f>HYPERLINK("https://rhld.insurance.arkansas.gov/NPILookup?Npi=1689209595","1689209595")</f>
        <v>1689209595</v>
      </c>
      <c r="E16578" s="1" t="s">
        <v>12003</v>
      </c>
      <c r="F16578" s="2"/>
      <c r="G16578" s="2"/>
      <c r="H16578" s="2"/>
    </row>
    <row r="16579" spans="1:8" x14ac:dyDescent="0.25">
      <c r="A16579" s="1"/>
      <c r="B16579" s="1" t="s">
        <v>5782</v>
      </c>
      <c r="C16579" s="1" t="s">
        <v>5783</v>
      </c>
      <c r="D16579" s="22" t="str">
        <f>HYPERLINK("https://rhld.insurance.arkansas.gov/NPILookup?Npi=1689222598","1689222598")</f>
        <v>1689222598</v>
      </c>
      <c r="E16579" s="1" t="s">
        <v>12004</v>
      </c>
      <c r="F16579" s="2"/>
      <c r="G16579" s="2"/>
      <c r="H16579" s="2"/>
    </row>
    <row r="16580" spans="1:8" x14ac:dyDescent="0.25">
      <c r="A16580" s="1"/>
      <c r="B16580" s="1" t="s">
        <v>5782</v>
      </c>
      <c r="C16580" s="1" t="s">
        <v>5783</v>
      </c>
      <c r="D16580" s="22" t="str">
        <f>HYPERLINK("https://rhld.insurance.arkansas.gov/NPILookup?Npi=1689253205","1689253205")</f>
        <v>1689253205</v>
      </c>
      <c r="E16580" s="1" t="s">
        <v>31921</v>
      </c>
      <c r="F16580" s="2"/>
      <c r="G16580" s="2"/>
      <c r="H16580" s="2"/>
    </row>
    <row r="16581" spans="1:8" x14ac:dyDescent="0.25">
      <c r="A16581" s="1"/>
      <c r="B16581" s="1" t="s">
        <v>5782</v>
      </c>
      <c r="C16581" s="1" t="s">
        <v>5783</v>
      </c>
      <c r="D16581" s="22" t="str">
        <f>HYPERLINK("https://rhld.insurance.arkansas.gov/NPILookup?Npi=1689268690","1689268690")</f>
        <v>1689268690</v>
      </c>
      <c r="E16581" s="1" t="s">
        <v>22988</v>
      </c>
      <c r="F16581" s="2"/>
      <c r="G16581" s="2"/>
      <c r="H16581" s="2"/>
    </row>
    <row r="16582" spans="1:8" x14ac:dyDescent="0.25">
      <c r="A16582" s="1"/>
      <c r="B16582" s="1" t="s">
        <v>5782</v>
      </c>
      <c r="C16582" s="1" t="s">
        <v>5783</v>
      </c>
      <c r="D16582" s="22" t="str">
        <f>HYPERLINK("https://rhld.insurance.arkansas.gov/NPILookup?Npi=1689281305","1689281305")</f>
        <v>1689281305</v>
      </c>
      <c r="E16582" s="1" t="s">
        <v>22989</v>
      </c>
      <c r="F16582" s="2"/>
      <c r="G16582" s="2"/>
      <c r="H16582" s="2"/>
    </row>
    <row r="16583" spans="1:8" x14ac:dyDescent="0.25">
      <c r="A16583" s="1"/>
      <c r="B16583" s="1" t="s">
        <v>5782</v>
      </c>
      <c r="C16583" s="1" t="s">
        <v>5783</v>
      </c>
      <c r="D16583" s="22" t="str">
        <f>HYPERLINK("https://rhld.insurance.arkansas.gov/NPILookup?Npi=1689289779","1689289779")</f>
        <v>1689289779</v>
      </c>
      <c r="E16583" s="1" t="s">
        <v>12005</v>
      </c>
      <c r="F16583" s="2"/>
      <c r="G16583" s="2"/>
      <c r="H16583" s="2"/>
    </row>
    <row r="16584" spans="1:8" x14ac:dyDescent="0.25">
      <c r="A16584" s="1"/>
      <c r="B16584" s="1" t="s">
        <v>5782</v>
      </c>
      <c r="C16584" s="1" t="s">
        <v>5783</v>
      </c>
      <c r="D16584" s="22" t="str">
        <f>HYPERLINK("https://rhld.insurance.arkansas.gov/NPILookup?Npi=1689326449","1689326449")</f>
        <v>1689326449</v>
      </c>
      <c r="E16584" s="1" t="s">
        <v>12006</v>
      </c>
      <c r="F16584" s="2"/>
      <c r="G16584" s="2"/>
      <c r="H16584" s="2"/>
    </row>
    <row r="16585" spans="1:8" x14ac:dyDescent="0.25">
      <c r="A16585" s="1"/>
      <c r="B16585" s="1" t="s">
        <v>5782</v>
      </c>
      <c r="C16585" s="1" t="s">
        <v>5783</v>
      </c>
      <c r="D16585" s="22" t="str">
        <f>HYPERLINK("https://rhld.insurance.arkansas.gov/NPILookup?Npi=1689327611","1689327611")</f>
        <v>1689327611</v>
      </c>
      <c r="E16585" s="1" t="s">
        <v>31922</v>
      </c>
      <c r="F16585" s="2"/>
      <c r="G16585" s="2"/>
      <c r="H16585" s="2"/>
    </row>
    <row r="16586" spans="1:8" x14ac:dyDescent="0.25">
      <c r="A16586" s="1"/>
      <c r="B16586" s="1" t="s">
        <v>5782</v>
      </c>
      <c r="C16586" s="1" t="s">
        <v>5783</v>
      </c>
      <c r="D16586" s="22" t="str">
        <f>HYPERLINK("https://rhld.insurance.arkansas.gov/NPILookup?Npi=1689327868","1689327868")</f>
        <v>1689327868</v>
      </c>
      <c r="E16586" s="1" t="s">
        <v>22990</v>
      </c>
      <c r="F16586" s="2"/>
      <c r="G16586" s="2"/>
      <c r="H16586" s="2"/>
    </row>
    <row r="16587" spans="1:8" x14ac:dyDescent="0.25">
      <c r="A16587" s="1"/>
      <c r="B16587" s="1" t="s">
        <v>5782</v>
      </c>
      <c r="C16587" s="1" t="s">
        <v>5783</v>
      </c>
      <c r="D16587" s="22" t="str">
        <f>HYPERLINK("https://rhld.insurance.arkansas.gov/NPILookup?Npi=1689349243","1689349243")</f>
        <v>1689349243</v>
      </c>
      <c r="E16587" s="1" t="s">
        <v>22991</v>
      </c>
      <c r="F16587" s="2"/>
      <c r="G16587" s="2"/>
      <c r="H16587" s="2"/>
    </row>
    <row r="16588" spans="1:8" x14ac:dyDescent="0.25">
      <c r="A16588" s="1"/>
      <c r="B16588" s="1" t="s">
        <v>5782</v>
      </c>
      <c r="C16588" s="1" t="s">
        <v>5783</v>
      </c>
      <c r="D16588" s="22" t="str">
        <f>HYPERLINK("https://rhld.insurance.arkansas.gov/NPILookup?Npi=1689356495","1689356495")</f>
        <v>1689356495</v>
      </c>
      <c r="E16588" s="1" t="s">
        <v>31923</v>
      </c>
      <c r="F16588" s="2"/>
      <c r="G16588" s="2"/>
      <c r="H16588" s="2"/>
    </row>
    <row r="16589" spans="1:8" x14ac:dyDescent="0.25">
      <c r="A16589" s="1"/>
      <c r="B16589" s="1" t="s">
        <v>5782</v>
      </c>
      <c r="C16589" s="1" t="s">
        <v>5783</v>
      </c>
      <c r="D16589" s="22" t="str">
        <f>HYPERLINK("https://rhld.insurance.arkansas.gov/NPILookup?Npi=1689397952","1689397952")</f>
        <v>1689397952</v>
      </c>
      <c r="E16589" s="1" t="s">
        <v>2402</v>
      </c>
      <c r="F16589" s="2"/>
      <c r="G16589" s="2"/>
      <c r="H16589" s="2"/>
    </row>
    <row r="16590" spans="1:8" x14ac:dyDescent="0.25">
      <c r="A16590" s="1"/>
      <c r="B16590" s="1" t="s">
        <v>5782</v>
      </c>
      <c r="C16590" s="1" t="s">
        <v>5783</v>
      </c>
      <c r="D16590" s="22" t="str">
        <f>HYPERLINK("https://rhld.insurance.arkansas.gov/NPILookup?Npi=1689420028","1689420028")</f>
        <v>1689420028</v>
      </c>
      <c r="E16590" s="1" t="s">
        <v>31924</v>
      </c>
      <c r="F16590" s="2"/>
      <c r="G16590" s="2"/>
      <c r="H16590" s="2"/>
    </row>
    <row r="16591" spans="1:8" x14ac:dyDescent="0.25">
      <c r="A16591" s="1"/>
      <c r="B16591" s="1" t="s">
        <v>5782</v>
      </c>
      <c r="C16591" s="1" t="s">
        <v>5783</v>
      </c>
      <c r="D16591" s="22" t="str">
        <f>HYPERLINK("https://rhld.insurance.arkansas.gov/NPILookup?Npi=1689452930","1689452930")</f>
        <v>1689452930</v>
      </c>
      <c r="E16591" s="1" t="s">
        <v>6529</v>
      </c>
      <c r="F16591" s="2"/>
      <c r="G16591" s="2"/>
      <c r="H16591" s="2"/>
    </row>
    <row r="16592" spans="1:8" x14ac:dyDescent="0.25">
      <c r="A16592" s="1"/>
      <c r="B16592" s="1" t="s">
        <v>5782</v>
      </c>
      <c r="C16592" s="1" t="s">
        <v>5783</v>
      </c>
      <c r="D16592" s="22" t="str">
        <f>HYPERLINK("https://rhld.insurance.arkansas.gov/NPILookup?Npi=1689457731","1689457731")</f>
        <v>1689457731</v>
      </c>
      <c r="E16592" s="1" t="s">
        <v>22992</v>
      </c>
      <c r="F16592" s="2"/>
      <c r="G16592" s="2"/>
      <c r="H16592" s="2"/>
    </row>
    <row r="16593" spans="1:8" x14ac:dyDescent="0.25">
      <c r="A16593" s="1"/>
      <c r="B16593" s="1" t="s">
        <v>5782</v>
      </c>
      <c r="C16593" s="1" t="s">
        <v>5783</v>
      </c>
      <c r="D16593" s="22" t="str">
        <f>HYPERLINK("https://rhld.insurance.arkansas.gov/NPILookup?Npi=1689633778","1689633778")</f>
        <v>1689633778</v>
      </c>
      <c r="E16593" s="1" t="s">
        <v>22993</v>
      </c>
      <c r="F16593" s="2"/>
      <c r="G16593" s="2"/>
      <c r="H16593" s="2"/>
    </row>
    <row r="16594" spans="1:8" x14ac:dyDescent="0.25">
      <c r="A16594" s="1"/>
      <c r="B16594" s="1" t="s">
        <v>5782</v>
      </c>
      <c r="C16594" s="1" t="s">
        <v>5783</v>
      </c>
      <c r="D16594" s="22" t="str">
        <f>HYPERLINK("https://rhld.insurance.arkansas.gov/NPILookup?Npi=1689634255","1689634255")</f>
        <v>1689634255</v>
      </c>
      <c r="E16594" s="1" t="s">
        <v>12007</v>
      </c>
      <c r="F16594" s="2"/>
      <c r="G16594" s="2"/>
      <c r="H16594" s="2"/>
    </row>
    <row r="16595" spans="1:8" x14ac:dyDescent="0.25">
      <c r="A16595" s="1"/>
      <c r="B16595" s="1" t="s">
        <v>5782</v>
      </c>
      <c r="C16595" s="1" t="s">
        <v>5783</v>
      </c>
      <c r="D16595" s="22" t="str">
        <f>HYPERLINK("https://rhld.insurance.arkansas.gov/NPILookup?Npi=1689684276","1689684276")</f>
        <v>1689684276</v>
      </c>
      <c r="E16595" s="1" t="s">
        <v>20320</v>
      </c>
      <c r="F16595" s="2"/>
      <c r="G16595" s="2"/>
      <c r="H16595" s="2"/>
    </row>
    <row r="16596" spans="1:8" x14ac:dyDescent="0.25">
      <c r="A16596" s="1"/>
      <c r="B16596" s="1" t="s">
        <v>5782</v>
      </c>
      <c r="C16596" s="1" t="s">
        <v>5783</v>
      </c>
      <c r="D16596" s="22" t="str">
        <f>HYPERLINK("https://rhld.insurance.arkansas.gov/NPILookup?Npi=1689779886","1689779886")</f>
        <v>1689779886</v>
      </c>
      <c r="E16596" s="1" t="s">
        <v>6530</v>
      </c>
      <c r="F16596" s="2"/>
      <c r="G16596" s="2"/>
      <c r="H16596" s="2"/>
    </row>
    <row r="16597" spans="1:8" x14ac:dyDescent="0.25">
      <c r="A16597" s="1"/>
      <c r="B16597" s="1" t="s">
        <v>5782</v>
      </c>
      <c r="C16597" s="1" t="s">
        <v>5783</v>
      </c>
      <c r="D16597" s="22" t="str">
        <f>HYPERLINK("https://rhld.insurance.arkansas.gov/NPILookup?Npi=1689794828","1689794828")</f>
        <v>1689794828</v>
      </c>
      <c r="E16597" s="1" t="s">
        <v>22994</v>
      </c>
      <c r="F16597" s="2"/>
      <c r="G16597" s="2"/>
      <c r="H16597" s="2"/>
    </row>
    <row r="16598" spans="1:8" x14ac:dyDescent="0.25">
      <c r="A16598" s="1"/>
      <c r="B16598" s="1" t="s">
        <v>5782</v>
      </c>
      <c r="C16598" s="1" t="s">
        <v>5783</v>
      </c>
      <c r="D16598" s="22" t="str">
        <f>HYPERLINK("https://rhld.insurance.arkansas.gov/NPILookup?Npi=1689808230","1689808230")</f>
        <v>1689808230</v>
      </c>
      <c r="E16598" s="1" t="s">
        <v>12008</v>
      </c>
      <c r="F16598" s="2"/>
      <c r="G16598" s="2"/>
      <c r="H16598" s="2"/>
    </row>
    <row r="16599" spans="1:8" x14ac:dyDescent="0.25">
      <c r="A16599" s="1"/>
      <c r="B16599" s="1" t="s">
        <v>5782</v>
      </c>
      <c r="C16599" s="1" t="s">
        <v>5783</v>
      </c>
      <c r="D16599" s="22" t="str">
        <f>HYPERLINK("https://rhld.insurance.arkansas.gov/NPILookup?Npi=1689809618","1689809618")</f>
        <v>1689809618</v>
      </c>
      <c r="E16599" s="1" t="s">
        <v>12009</v>
      </c>
      <c r="F16599" s="2"/>
      <c r="G16599" s="2"/>
      <c r="H16599" s="2"/>
    </row>
    <row r="16600" spans="1:8" x14ac:dyDescent="0.25">
      <c r="A16600" s="1"/>
      <c r="B16600" s="1" t="s">
        <v>5782</v>
      </c>
      <c r="C16600" s="1" t="s">
        <v>5783</v>
      </c>
      <c r="D16600" s="22" t="str">
        <f>HYPERLINK("https://rhld.insurance.arkansas.gov/NPILookup?Npi=1689815433","1689815433")</f>
        <v>1689815433</v>
      </c>
      <c r="E16600" s="1" t="s">
        <v>403</v>
      </c>
      <c r="F16600" s="2"/>
      <c r="G16600" s="2"/>
      <c r="H16600" s="2"/>
    </row>
    <row r="16601" spans="1:8" x14ac:dyDescent="0.25">
      <c r="A16601" s="1"/>
      <c r="B16601" s="1" t="s">
        <v>5782</v>
      </c>
      <c r="C16601" s="1" t="s">
        <v>5783</v>
      </c>
      <c r="D16601" s="22" t="str">
        <f>HYPERLINK("https://rhld.insurance.arkansas.gov/NPILookup?Npi=1689819682","1689819682")</f>
        <v>1689819682</v>
      </c>
      <c r="E16601" s="1" t="s">
        <v>22995</v>
      </c>
      <c r="F16601" s="2"/>
      <c r="G16601" s="2"/>
      <c r="H16601" s="2"/>
    </row>
    <row r="16602" spans="1:8" x14ac:dyDescent="0.25">
      <c r="A16602" s="1"/>
      <c r="B16602" s="1" t="s">
        <v>5782</v>
      </c>
      <c r="C16602" s="1" t="s">
        <v>5783</v>
      </c>
      <c r="D16602" s="22" t="str">
        <f>HYPERLINK("https://rhld.insurance.arkansas.gov/NPILookup?Npi=1689822462","1689822462")</f>
        <v>1689822462</v>
      </c>
      <c r="E16602" s="1" t="s">
        <v>22996</v>
      </c>
      <c r="F16602" s="2"/>
      <c r="G16602" s="2"/>
      <c r="H16602" s="2"/>
    </row>
    <row r="16603" spans="1:8" x14ac:dyDescent="0.25">
      <c r="A16603" s="1"/>
      <c r="B16603" s="1" t="s">
        <v>5782</v>
      </c>
      <c r="C16603" s="1" t="s">
        <v>5783</v>
      </c>
      <c r="D16603" s="22" t="str">
        <f>HYPERLINK("https://rhld.insurance.arkansas.gov/NPILookup?Npi=1689823023","1689823023")</f>
        <v>1689823023</v>
      </c>
      <c r="E16603" s="1" t="s">
        <v>2502</v>
      </c>
      <c r="F16603" s="2"/>
      <c r="G16603" s="2"/>
      <c r="H16603" s="2"/>
    </row>
    <row r="16604" spans="1:8" x14ac:dyDescent="0.25">
      <c r="A16604" s="1"/>
      <c r="B16604" s="1" t="s">
        <v>5782</v>
      </c>
      <c r="C16604" s="1" t="s">
        <v>5783</v>
      </c>
      <c r="D16604" s="22" t="str">
        <f>HYPERLINK("https://rhld.insurance.arkansas.gov/NPILookup?Npi=1689824278","1689824278")</f>
        <v>1689824278</v>
      </c>
      <c r="E16604" s="1" t="s">
        <v>3349</v>
      </c>
      <c r="F16604" s="2"/>
      <c r="G16604" s="2"/>
      <c r="H16604" s="2"/>
    </row>
    <row r="16605" spans="1:8" x14ac:dyDescent="0.25">
      <c r="A16605" s="1"/>
      <c r="B16605" s="1" t="s">
        <v>5782</v>
      </c>
      <c r="C16605" s="1" t="s">
        <v>5783</v>
      </c>
      <c r="D16605" s="22" t="str">
        <f>HYPERLINK("https://rhld.insurance.arkansas.gov/NPILookup?Npi=1689824294","1689824294")</f>
        <v>1689824294</v>
      </c>
      <c r="E16605" s="1" t="s">
        <v>1428</v>
      </c>
      <c r="F16605" s="2"/>
      <c r="G16605" s="2"/>
      <c r="H16605" s="2"/>
    </row>
    <row r="16606" spans="1:8" x14ac:dyDescent="0.25">
      <c r="A16606" s="1"/>
      <c r="B16606" s="1" t="s">
        <v>5782</v>
      </c>
      <c r="C16606" s="1" t="s">
        <v>5783</v>
      </c>
      <c r="D16606" s="22" t="str">
        <f>HYPERLINK("https://rhld.insurance.arkansas.gov/NPILookup?Npi=1689841199","1689841199")</f>
        <v>1689841199</v>
      </c>
      <c r="E16606" s="1" t="s">
        <v>22997</v>
      </c>
      <c r="F16606" s="2"/>
      <c r="G16606" s="2"/>
      <c r="H16606" s="2"/>
    </row>
    <row r="16607" spans="1:8" x14ac:dyDescent="0.25">
      <c r="A16607" s="1"/>
      <c r="B16607" s="1" t="s">
        <v>5782</v>
      </c>
      <c r="C16607" s="1" t="s">
        <v>5783</v>
      </c>
      <c r="D16607" s="22" t="str">
        <f>HYPERLINK("https://rhld.insurance.arkansas.gov/NPILookup?Npi=1689853772","1689853772")</f>
        <v>1689853772</v>
      </c>
      <c r="E16607" s="1" t="s">
        <v>22998</v>
      </c>
      <c r="F16607" s="2"/>
      <c r="G16607" s="2"/>
      <c r="H16607" s="2"/>
    </row>
    <row r="16608" spans="1:8" x14ac:dyDescent="0.25">
      <c r="A16608" s="1"/>
      <c r="B16608" s="1" t="s">
        <v>5782</v>
      </c>
      <c r="C16608" s="1" t="s">
        <v>5783</v>
      </c>
      <c r="D16608" s="22" t="str">
        <f>HYPERLINK("https://rhld.insurance.arkansas.gov/NPILookup?Npi=1689902256","1689902256")</f>
        <v>1689902256</v>
      </c>
      <c r="E16608" s="1" t="s">
        <v>2212</v>
      </c>
      <c r="F16608" s="2"/>
      <c r="G16608" s="2"/>
      <c r="H16608" s="2"/>
    </row>
    <row r="16609" spans="1:8" x14ac:dyDescent="0.25">
      <c r="A16609" s="1"/>
      <c r="B16609" s="1" t="s">
        <v>5782</v>
      </c>
      <c r="C16609" s="1" t="s">
        <v>5783</v>
      </c>
      <c r="D16609" s="22" t="str">
        <f>HYPERLINK("https://rhld.insurance.arkansas.gov/NPILookup?Npi=1689928939","1689928939")</f>
        <v>1689928939</v>
      </c>
      <c r="E16609" s="1" t="s">
        <v>22999</v>
      </c>
      <c r="F16609" s="2"/>
      <c r="G16609" s="2"/>
      <c r="H16609" s="2"/>
    </row>
    <row r="16610" spans="1:8" x14ac:dyDescent="0.25">
      <c r="A16610" s="1"/>
      <c r="B16610" s="1" t="s">
        <v>5782</v>
      </c>
      <c r="C16610" s="1" t="s">
        <v>5783</v>
      </c>
      <c r="D16610" s="22" t="str">
        <f>HYPERLINK("https://rhld.insurance.arkansas.gov/NPILookup?Npi=1689945958","1689945958")</f>
        <v>1689945958</v>
      </c>
      <c r="E16610" s="1" t="s">
        <v>23000</v>
      </c>
      <c r="F16610" s="2"/>
      <c r="G16610" s="2"/>
      <c r="H16610" s="2"/>
    </row>
    <row r="16611" spans="1:8" x14ac:dyDescent="0.25">
      <c r="A16611" s="1"/>
      <c r="B16611" s="1" t="s">
        <v>5782</v>
      </c>
      <c r="C16611" s="1" t="s">
        <v>5783</v>
      </c>
      <c r="D16611" s="22" t="str">
        <f>HYPERLINK("https://rhld.insurance.arkansas.gov/NPILookup?Npi=1689954737","1689954737")</f>
        <v>1689954737</v>
      </c>
      <c r="E16611" s="1" t="s">
        <v>23001</v>
      </c>
      <c r="F16611" s="2"/>
      <c r="G16611" s="2"/>
      <c r="H16611" s="2"/>
    </row>
    <row r="16612" spans="1:8" x14ac:dyDescent="0.25">
      <c r="A16612" s="1"/>
      <c r="B16612" s="1" t="s">
        <v>5782</v>
      </c>
      <c r="C16612" s="1" t="s">
        <v>5783</v>
      </c>
      <c r="D16612" s="22" t="str">
        <f>HYPERLINK("https://rhld.insurance.arkansas.gov/NPILookup?Npi=1689954877","1689954877")</f>
        <v>1689954877</v>
      </c>
      <c r="E16612" s="1" t="s">
        <v>12011</v>
      </c>
      <c r="F16612" s="2"/>
      <c r="G16612" s="2"/>
      <c r="H16612" s="2"/>
    </row>
    <row r="16613" spans="1:8" x14ac:dyDescent="0.25">
      <c r="A16613" s="1"/>
      <c r="B16613" s="1" t="s">
        <v>5782</v>
      </c>
      <c r="C16613" s="1" t="s">
        <v>5783</v>
      </c>
      <c r="D16613" s="22" t="str">
        <f>HYPERLINK("https://rhld.insurance.arkansas.gov/NPILookup?Npi=1689957136","1689957136")</f>
        <v>1689957136</v>
      </c>
      <c r="E16613" s="1" t="s">
        <v>320</v>
      </c>
      <c r="F16613" s="2"/>
      <c r="G16613" s="2"/>
      <c r="H16613" s="2"/>
    </row>
    <row r="16614" spans="1:8" x14ac:dyDescent="0.25">
      <c r="A16614" s="1"/>
      <c r="B16614" s="1" t="s">
        <v>5782</v>
      </c>
      <c r="C16614" s="1" t="s">
        <v>5783</v>
      </c>
      <c r="D16614" s="22" t="str">
        <f>HYPERLINK("https://rhld.insurance.arkansas.gov/NPILookup?Npi=1689972796","1689972796")</f>
        <v>1689972796</v>
      </c>
      <c r="E16614" s="1" t="s">
        <v>17318</v>
      </c>
      <c r="F16614" s="2"/>
      <c r="G16614" s="2"/>
      <c r="H16614" s="2"/>
    </row>
    <row r="16615" spans="1:8" x14ac:dyDescent="0.25">
      <c r="A16615" s="1"/>
      <c r="B16615" s="1" t="s">
        <v>5782</v>
      </c>
      <c r="C16615" s="1" t="s">
        <v>5783</v>
      </c>
      <c r="D16615" s="22" t="str">
        <f>HYPERLINK("https://rhld.insurance.arkansas.gov/NPILookup?Npi=1689979395","1689979395")</f>
        <v>1689979395</v>
      </c>
      <c r="E16615" s="1" t="s">
        <v>6531</v>
      </c>
      <c r="F16615" s="2"/>
      <c r="G16615" s="2"/>
      <c r="H16615" s="2"/>
    </row>
    <row r="16616" spans="1:8" x14ac:dyDescent="0.25">
      <c r="A16616" s="1"/>
      <c r="B16616" s="1" t="s">
        <v>5782</v>
      </c>
      <c r="C16616" s="1" t="s">
        <v>5783</v>
      </c>
      <c r="D16616" s="22" t="str">
        <f>HYPERLINK("https://rhld.insurance.arkansas.gov/NPILookup?Npi=1689979783","1689979783")</f>
        <v>1689979783</v>
      </c>
      <c r="E16616" s="1" t="s">
        <v>22929</v>
      </c>
      <c r="F16616" s="2"/>
      <c r="G16616" s="2"/>
      <c r="H16616" s="2"/>
    </row>
    <row r="16617" spans="1:8" x14ac:dyDescent="0.25">
      <c r="A16617" s="1"/>
      <c r="B16617" s="1" t="s">
        <v>5782</v>
      </c>
      <c r="C16617" s="1" t="s">
        <v>5783</v>
      </c>
      <c r="D16617" s="22" t="str">
        <f>HYPERLINK("https://rhld.insurance.arkansas.gov/NPILookup?Npi=1689980039","1689980039")</f>
        <v>1689980039</v>
      </c>
      <c r="E16617" s="1" t="s">
        <v>3350</v>
      </c>
      <c r="F16617" s="2"/>
      <c r="G16617" s="2"/>
      <c r="H16617" s="2"/>
    </row>
    <row r="16618" spans="1:8" x14ac:dyDescent="0.25">
      <c r="A16618" s="1"/>
      <c r="B16618" s="1" t="s">
        <v>5782</v>
      </c>
      <c r="C16618" s="1" t="s">
        <v>5783</v>
      </c>
      <c r="D16618" s="22" t="str">
        <f>HYPERLINK("https://rhld.insurance.arkansas.gov/NPILookup?Npi=1689987059","1689987059")</f>
        <v>1689987059</v>
      </c>
      <c r="E16618" s="1" t="s">
        <v>6532</v>
      </c>
      <c r="F16618" s="2"/>
      <c r="G16618" s="2"/>
      <c r="H16618" s="2"/>
    </row>
    <row r="16619" spans="1:8" x14ac:dyDescent="0.25">
      <c r="A16619" s="1"/>
      <c r="B16619" s="1" t="s">
        <v>5782</v>
      </c>
      <c r="C16619" s="1" t="s">
        <v>5783</v>
      </c>
      <c r="D16619" s="22" t="str">
        <f>HYPERLINK("https://rhld.insurance.arkansas.gov/NPILookup?Npi=1689988636","1689988636")</f>
        <v>1689988636</v>
      </c>
      <c r="E16619" s="1" t="s">
        <v>11890</v>
      </c>
      <c r="F16619" s="2"/>
      <c r="G16619" s="2"/>
      <c r="H16619" s="2"/>
    </row>
    <row r="16620" spans="1:8" x14ac:dyDescent="0.25">
      <c r="A16620" s="1"/>
      <c r="B16620" s="1" t="s">
        <v>5782</v>
      </c>
      <c r="C16620" s="1" t="s">
        <v>5783</v>
      </c>
      <c r="D16620" s="22" t="str">
        <f>HYPERLINK("https://rhld.insurance.arkansas.gov/NPILookup?Npi=1699000612","1699000612")</f>
        <v>1699000612</v>
      </c>
      <c r="E16620" s="1" t="s">
        <v>12012</v>
      </c>
      <c r="F16620" s="2"/>
      <c r="G16620" s="2"/>
      <c r="H16620" s="2"/>
    </row>
    <row r="16621" spans="1:8" x14ac:dyDescent="0.25">
      <c r="A16621" s="1"/>
      <c r="B16621" s="1" t="s">
        <v>5782</v>
      </c>
      <c r="C16621" s="1" t="s">
        <v>5783</v>
      </c>
      <c r="D16621" s="22" t="str">
        <f>HYPERLINK("https://rhld.insurance.arkansas.gov/NPILookup?Npi=1699020420","1699020420")</f>
        <v>1699020420</v>
      </c>
      <c r="E16621" s="1" t="s">
        <v>6533</v>
      </c>
      <c r="F16621" s="2"/>
      <c r="G16621" s="2"/>
      <c r="H16621" s="2"/>
    </row>
    <row r="16622" spans="1:8" x14ac:dyDescent="0.25">
      <c r="A16622" s="1"/>
      <c r="B16622" s="1" t="s">
        <v>5782</v>
      </c>
      <c r="C16622" s="1" t="s">
        <v>5783</v>
      </c>
      <c r="D16622" s="22" t="str">
        <f>HYPERLINK("https://rhld.insurance.arkansas.gov/NPILookup?Npi=1699061234","1699061234")</f>
        <v>1699061234</v>
      </c>
      <c r="E16622" s="1" t="s">
        <v>739</v>
      </c>
      <c r="F16622" s="2"/>
      <c r="G16622" s="2"/>
      <c r="H16622" s="2"/>
    </row>
    <row r="16623" spans="1:8" x14ac:dyDescent="0.25">
      <c r="A16623" s="1"/>
      <c r="B16623" s="1" t="s">
        <v>5782</v>
      </c>
      <c r="C16623" s="1" t="s">
        <v>5783</v>
      </c>
      <c r="D16623" s="22" t="str">
        <f>HYPERLINK("https://rhld.insurance.arkansas.gov/NPILookup?Npi=1699067157","1699067157")</f>
        <v>1699067157</v>
      </c>
      <c r="E16623" s="1" t="s">
        <v>6534</v>
      </c>
      <c r="F16623" s="2"/>
      <c r="G16623" s="2"/>
      <c r="H16623" s="2"/>
    </row>
    <row r="16624" spans="1:8" x14ac:dyDescent="0.25">
      <c r="A16624" s="1"/>
      <c r="B16624" s="1" t="s">
        <v>5782</v>
      </c>
      <c r="C16624" s="1" t="s">
        <v>5783</v>
      </c>
      <c r="D16624" s="22" t="str">
        <f>HYPERLINK("https://rhld.insurance.arkansas.gov/NPILookup?Npi=1699082479","1699082479")</f>
        <v>1699082479</v>
      </c>
      <c r="E16624" s="1" t="s">
        <v>12013</v>
      </c>
      <c r="F16624" s="2"/>
      <c r="G16624" s="2"/>
      <c r="H16624" s="2"/>
    </row>
    <row r="16625" spans="1:8" x14ac:dyDescent="0.25">
      <c r="A16625" s="1"/>
      <c r="B16625" s="1" t="s">
        <v>5782</v>
      </c>
      <c r="C16625" s="1" t="s">
        <v>5783</v>
      </c>
      <c r="D16625" s="22" t="str">
        <f>HYPERLINK("https://rhld.insurance.arkansas.gov/NPILookup?Npi=1699083709","1699083709")</f>
        <v>1699083709</v>
      </c>
      <c r="E16625" s="1" t="s">
        <v>23002</v>
      </c>
      <c r="F16625" s="2"/>
      <c r="G16625" s="2"/>
      <c r="H16625" s="2"/>
    </row>
    <row r="16626" spans="1:8" x14ac:dyDescent="0.25">
      <c r="A16626" s="1"/>
      <c r="B16626" s="1" t="s">
        <v>5782</v>
      </c>
      <c r="C16626" s="1" t="s">
        <v>5783</v>
      </c>
      <c r="D16626" s="22" t="str">
        <f>HYPERLINK("https://rhld.insurance.arkansas.gov/NPILookup?Npi=1699092809","1699092809")</f>
        <v>1699092809</v>
      </c>
      <c r="E16626" s="1" t="s">
        <v>23003</v>
      </c>
      <c r="F16626" s="2"/>
      <c r="G16626" s="2"/>
      <c r="H16626" s="2"/>
    </row>
    <row r="16627" spans="1:8" x14ac:dyDescent="0.25">
      <c r="A16627" s="1"/>
      <c r="B16627" s="1" t="s">
        <v>5782</v>
      </c>
      <c r="C16627" s="1" t="s">
        <v>5783</v>
      </c>
      <c r="D16627" s="22" t="str">
        <f>HYPERLINK("https://rhld.insurance.arkansas.gov/NPILookup?Npi=1699133223","1699133223")</f>
        <v>1699133223</v>
      </c>
      <c r="E16627" s="1" t="s">
        <v>1599</v>
      </c>
      <c r="F16627" s="2"/>
      <c r="G16627" s="2"/>
      <c r="H16627" s="2"/>
    </row>
    <row r="16628" spans="1:8" x14ac:dyDescent="0.25">
      <c r="A16628" s="1"/>
      <c r="B16628" s="1" t="s">
        <v>5782</v>
      </c>
      <c r="C16628" s="1" t="s">
        <v>5783</v>
      </c>
      <c r="D16628" s="22" t="str">
        <f>HYPERLINK("https://rhld.insurance.arkansas.gov/NPILookup?Npi=1699145623","1699145623")</f>
        <v>1699145623</v>
      </c>
      <c r="E16628" s="1" t="s">
        <v>6535</v>
      </c>
      <c r="F16628" s="2"/>
      <c r="G16628" s="2"/>
      <c r="H16628" s="2"/>
    </row>
    <row r="16629" spans="1:8" x14ac:dyDescent="0.25">
      <c r="A16629" s="1"/>
      <c r="B16629" s="1" t="s">
        <v>5782</v>
      </c>
      <c r="C16629" s="1" t="s">
        <v>5783</v>
      </c>
      <c r="D16629" s="22" t="str">
        <f>HYPERLINK("https://rhld.insurance.arkansas.gov/NPILookup?Npi=1699147801","1699147801")</f>
        <v>1699147801</v>
      </c>
      <c r="E16629" s="1" t="s">
        <v>3351</v>
      </c>
      <c r="F16629" s="2"/>
      <c r="G16629" s="2"/>
      <c r="H16629" s="2"/>
    </row>
    <row r="16630" spans="1:8" x14ac:dyDescent="0.25">
      <c r="A16630" s="1"/>
      <c r="B16630" s="1" t="s">
        <v>5782</v>
      </c>
      <c r="C16630" s="1" t="s">
        <v>5783</v>
      </c>
      <c r="D16630" s="22" t="str">
        <f>HYPERLINK("https://rhld.insurance.arkansas.gov/NPILookup?Npi=1699151928","1699151928")</f>
        <v>1699151928</v>
      </c>
      <c r="E16630" s="1" t="s">
        <v>23004</v>
      </c>
      <c r="F16630" s="2"/>
      <c r="G16630" s="2"/>
      <c r="H16630" s="2"/>
    </row>
    <row r="16631" spans="1:8" x14ac:dyDescent="0.25">
      <c r="A16631" s="1"/>
      <c r="B16631" s="1" t="s">
        <v>5782</v>
      </c>
      <c r="C16631" s="1" t="s">
        <v>5783</v>
      </c>
      <c r="D16631" s="22" t="str">
        <f>HYPERLINK("https://rhld.insurance.arkansas.gov/NPILookup?Npi=1699162156","1699162156")</f>
        <v>1699162156</v>
      </c>
      <c r="E16631" s="1" t="s">
        <v>23005</v>
      </c>
      <c r="F16631" s="2"/>
      <c r="G16631" s="2"/>
      <c r="H16631" s="2"/>
    </row>
    <row r="16632" spans="1:8" x14ac:dyDescent="0.25">
      <c r="A16632" s="1"/>
      <c r="B16632" s="1" t="s">
        <v>5782</v>
      </c>
      <c r="C16632" s="1" t="s">
        <v>5783</v>
      </c>
      <c r="D16632" s="22" t="str">
        <f>HYPERLINK("https://rhld.insurance.arkansas.gov/NPILookup?Npi=1699165902","1699165902")</f>
        <v>1699165902</v>
      </c>
      <c r="E16632" s="1" t="s">
        <v>23006</v>
      </c>
      <c r="F16632" s="2"/>
      <c r="G16632" s="2"/>
      <c r="H16632" s="2"/>
    </row>
    <row r="16633" spans="1:8" x14ac:dyDescent="0.25">
      <c r="A16633" s="1"/>
      <c r="B16633" s="1" t="s">
        <v>5782</v>
      </c>
      <c r="C16633" s="1" t="s">
        <v>5783</v>
      </c>
      <c r="D16633" s="22" t="str">
        <f>HYPERLINK("https://rhld.insurance.arkansas.gov/NPILookup?Npi=1699193110","1699193110")</f>
        <v>1699193110</v>
      </c>
      <c r="E16633" s="1" t="s">
        <v>794</v>
      </c>
      <c r="F16633" s="2"/>
      <c r="G16633" s="2"/>
      <c r="H16633" s="2"/>
    </row>
    <row r="16634" spans="1:8" x14ac:dyDescent="0.25">
      <c r="A16634" s="1"/>
      <c r="B16634" s="1" t="s">
        <v>5782</v>
      </c>
      <c r="C16634" s="1" t="s">
        <v>5783</v>
      </c>
      <c r="D16634" s="22" t="str">
        <f>HYPERLINK("https://rhld.insurance.arkansas.gov/NPILookup?Npi=1699196691","1699196691")</f>
        <v>1699196691</v>
      </c>
      <c r="E16634" s="1" t="s">
        <v>6536</v>
      </c>
      <c r="F16634" s="2"/>
      <c r="G16634" s="2"/>
      <c r="H16634" s="2"/>
    </row>
    <row r="16635" spans="1:8" x14ac:dyDescent="0.25">
      <c r="A16635" s="1"/>
      <c r="B16635" s="1" t="s">
        <v>5782</v>
      </c>
      <c r="C16635" s="1" t="s">
        <v>5783</v>
      </c>
      <c r="D16635" s="22" t="str">
        <f>HYPERLINK("https://rhld.insurance.arkansas.gov/NPILookup?Npi=1699199398","1699199398")</f>
        <v>1699199398</v>
      </c>
      <c r="E16635" s="1" t="s">
        <v>9820</v>
      </c>
      <c r="F16635" s="2"/>
      <c r="G16635" s="2"/>
      <c r="H16635" s="2"/>
    </row>
    <row r="16636" spans="1:8" x14ac:dyDescent="0.25">
      <c r="A16636" s="1"/>
      <c r="B16636" s="1" t="s">
        <v>5782</v>
      </c>
      <c r="C16636" s="1" t="s">
        <v>5783</v>
      </c>
      <c r="D16636" s="22" t="str">
        <f>HYPERLINK("https://rhld.insurance.arkansas.gov/NPILookup?Npi=1699201558","1699201558")</f>
        <v>1699201558</v>
      </c>
      <c r="E16636" s="1" t="s">
        <v>6537</v>
      </c>
      <c r="F16636" s="2"/>
      <c r="G16636" s="2"/>
      <c r="H16636" s="2"/>
    </row>
    <row r="16637" spans="1:8" x14ac:dyDescent="0.25">
      <c r="A16637" s="1"/>
      <c r="B16637" s="1" t="s">
        <v>5782</v>
      </c>
      <c r="C16637" s="1" t="s">
        <v>5783</v>
      </c>
      <c r="D16637" s="22" t="str">
        <f>HYPERLINK("https://rhld.insurance.arkansas.gov/NPILookup?Npi=1699219295","1699219295")</f>
        <v>1699219295</v>
      </c>
      <c r="E16637" s="1" t="s">
        <v>1883</v>
      </c>
      <c r="F16637" s="2"/>
      <c r="G16637" s="2"/>
      <c r="H16637" s="2"/>
    </row>
    <row r="16638" spans="1:8" x14ac:dyDescent="0.25">
      <c r="A16638" s="1"/>
      <c r="B16638" s="1" t="s">
        <v>5782</v>
      </c>
      <c r="C16638" s="1" t="s">
        <v>5783</v>
      </c>
      <c r="D16638" s="22" t="str">
        <f>HYPERLINK("https://rhld.insurance.arkansas.gov/NPILookup?Npi=1699220756","1699220756")</f>
        <v>1699220756</v>
      </c>
      <c r="E16638" s="1" t="s">
        <v>23007</v>
      </c>
      <c r="F16638" s="2"/>
      <c r="G16638" s="2"/>
      <c r="H16638" s="2"/>
    </row>
    <row r="16639" spans="1:8" x14ac:dyDescent="0.25">
      <c r="A16639" s="1"/>
      <c r="B16639" s="1" t="s">
        <v>5782</v>
      </c>
      <c r="C16639" s="1" t="s">
        <v>5783</v>
      </c>
      <c r="D16639" s="22" t="str">
        <f>HYPERLINK("https://rhld.insurance.arkansas.gov/NPILookup?Npi=1699231472","1699231472")</f>
        <v>1699231472</v>
      </c>
      <c r="E16639" s="1" t="s">
        <v>6538</v>
      </c>
      <c r="F16639" s="2"/>
      <c r="G16639" s="2"/>
      <c r="H16639" s="2"/>
    </row>
    <row r="16640" spans="1:8" x14ac:dyDescent="0.25">
      <c r="A16640" s="1"/>
      <c r="B16640" s="1" t="s">
        <v>5782</v>
      </c>
      <c r="C16640" s="1" t="s">
        <v>5783</v>
      </c>
      <c r="D16640" s="22" t="str">
        <f>HYPERLINK("https://rhld.insurance.arkansas.gov/NPILookup?Npi=1699250712","1699250712")</f>
        <v>1699250712</v>
      </c>
      <c r="E16640" s="1" t="s">
        <v>23008</v>
      </c>
      <c r="F16640" s="2"/>
      <c r="G16640" s="2"/>
      <c r="H16640" s="2"/>
    </row>
    <row r="16641" spans="1:8" x14ac:dyDescent="0.25">
      <c r="A16641" s="1"/>
      <c r="B16641" s="1" t="s">
        <v>5782</v>
      </c>
      <c r="C16641" s="1" t="s">
        <v>5783</v>
      </c>
      <c r="D16641" s="22" t="str">
        <f>HYPERLINK("https://rhld.insurance.arkansas.gov/NPILookup?Npi=1699253542","1699253542")</f>
        <v>1699253542</v>
      </c>
      <c r="E16641" s="1" t="s">
        <v>23009</v>
      </c>
      <c r="F16641" s="2"/>
      <c r="G16641" s="2"/>
      <c r="H16641" s="2"/>
    </row>
    <row r="16642" spans="1:8" x14ac:dyDescent="0.25">
      <c r="A16642" s="1"/>
      <c r="B16642" s="1" t="s">
        <v>5782</v>
      </c>
      <c r="C16642" s="1" t="s">
        <v>5783</v>
      </c>
      <c r="D16642" s="22" t="str">
        <f>HYPERLINK("https://rhld.insurance.arkansas.gov/NPILookup?Npi=1699261651","1699261651")</f>
        <v>1699261651</v>
      </c>
      <c r="E16642" s="1" t="s">
        <v>23010</v>
      </c>
      <c r="F16642" s="2"/>
      <c r="G16642" s="2"/>
      <c r="H16642" s="2"/>
    </row>
    <row r="16643" spans="1:8" x14ac:dyDescent="0.25">
      <c r="A16643" s="1"/>
      <c r="B16643" s="1" t="s">
        <v>5782</v>
      </c>
      <c r="C16643" s="1" t="s">
        <v>5783</v>
      </c>
      <c r="D16643" s="22" t="str">
        <f>HYPERLINK("https://rhld.insurance.arkansas.gov/NPILookup?Npi=1699280578","1699280578")</f>
        <v>1699280578</v>
      </c>
      <c r="E16643" s="1" t="s">
        <v>1007</v>
      </c>
      <c r="F16643" s="2"/>
      <c r="G16643" s="2"/>
      <c r="H16643" s="2"/>
    </row>
    <row r="16644" spans="1:8" x14ac:dyDescent="0.25">
      <c r="A16644" s="1"/>
      <c r="B16644" s="1" t="s">
        <v>5782</v>
      </c>
      <c r="C16644" s="1" t="s">
        <v>5783</v>
      </c>
      <c r="D16644" s="22" t="str">
        <f>HYPERLINK("https://rhld.insurance.arkansas.gov/NPILookup?Npi=1699282137","1699282137")</f>
        <v>1699282137</v>
      </c>
      <c r="E16644" s="1" t="s">
        <v>3352</v>
      </c>
      <c r="F16644" s="2"/>
      <c r="G16644" s="2"/>
      <c r="H16644" s="2"/>
    </row>
    <row r="16645" spans="1:8" x14ac:dyDescent="0.25">
      <c r="A16645" s="1"/>
      <c r="B16645" s="1" t="s">
        <v>5782</v>
      </c>
      <c r="C16645" s="1" t="s">
        <v>5783</v>
      </c>
      <c r="D16645" s="22" t="str">
        <f>HYPERLINK("https://rhld.insurance.arkansas.gov/NPILookup?Npi=1699282293","1699282293")</f>
        <v>1699282293</v>
      </c>
      <c r="E16645" s="1" t="s">
        <v>23011</v>
      </c>
      <c r="F16645" s="2"/>
      <c r="G16645" s="2"/>
      <c r="H16645" s="2"/>
    </row>
    <row r="16646" spans="1:8" x14ac:dyDescent="0.25">
      <c r="A16646" s="1"/>
      <c r="B16646" s="1" t="s">
        <v>5782</v>
      </c>
      <c r="C16646" s="1" t="s">
        <v>5783</v>
      </c>
      <c r="D16646" s="22" t="str">
        <f>HYPERLINK("https://rhld.insurance.arkansas.gov/NPILookup?Npi=1699324616","1699324616")</f>
        <v>1699324616</v>
      </c>
      <c r="E16646" s="1" t="s">
        <v>23012</v>
      </c>
      <c r="F16646" s="2"/>
      <c r="G16646" s="2"/>
      <c r="H16646" s="2"/>
    </row>
    <row r="16647" spans="1:8" x14ac:dyDescent="0.25">
      <c r="A16647" s="1"/>
      <c r="B16647" s="1" t="s">
        <v>5782</v>
      </c>
      <c r="C16647" s="1" t="s">
        <v>5783</v>
      </c>
      <c r="D16647" s="22" t="str">
        <f>HYPERLINK("https://rhld.insurance.arkansas.gov/NPILookup?Npi=1699325241","1699325241")</f>
        <v>1699325241</v>
      </c>
      <c r="E16647" s="1" t="s">
        <v>6539</v>
      </c>
      <c r="F16647" s="2"/>
      <c r="G16647" s="2"/>
      <c r="H16647" s="2"/>
    </row>
    <row r="16648" spans="1:8" x14ac:dyDescent="0.25">
      <c r="A16648" s="1"/>
      <c r="B16648" s="1" t="s">
        <v>5782</v>
      </c>
      <c r="C16648" s="1" t="s">
        <v>5783</v>
      </c>
      <c r="D16648" s="22" t="str">
        <f>HYPERLINK("https://rhld.insurance.arkansas.gov/NPILookup?Npi=1699341768","1699341768")</f>
        <v>1699341768</v>
      </c>
      <c r="E16648" s="1" t="s">
        <v>23013</v>
      </c>
      <c r="F16648" s="2"/>
      <c r="G16648" s="2"/>
      <c r="H16648" s="2"/>
    </row>
    <row r="16649" spans="1:8" x14ac:dyDescent="0.25">
      <c r="A16649" s="1"/>
      <c r="B16649" s="1" t="s">
        <v>5782</v>
      </c>
      <c r="C16649" s="1" t="s">
        <v>5783</v>
      </c>
      <c r="D16649" s="22" t="str">
        <f>HYPERLINK("https://rhld.insurance.arkansas.gov/NPILookup?Npi=1699353714","1699353714")</f>
        <v>1699353714</v>
      </c>
      <c r="E16649" s="1" t="s">
        <v>23014</v>
      </c>
      <c r="F16649" s="2"/>
      <c r="G16649" s="2"/>
      <c r="H16649" s="2"/>
    </row>
    <row r="16650" spans="1:8" x14ac:dyDescent="0.25">
      <c r="A16650" s="1"/>
      <c r="B16650" s="1" t="s">
        <v>5782</v>
      </c>
      <c r="C16650" s="1" t="s">
        <v>5783</v>
      </c>
      <c r="D16650" s="22" t="str">
        <f>HYPERLINK("https://rhld.insurance.arkansas.gov/NPILookup?Npi=1699356824","1699356824")</f>
        <v>1699356824</v>
      </c>
      <c r="E16650" s="1" t="s">
        <v>6540</v>
      </c>
      <c r="F16650" s="2"/>
      <c r="G16650" s="2"/>
      <c r="H16650" s="2"/>
    </row>
    <row r="16651" spans="1:8" x14ac:dyDescent="0.25">
      <c r="A16651" s="1"/>
      <c r="B16651" s="1" t="s">
        <v>5782</v>
      </c>
      <c r="C16651" s="1" t="s">
        <v>5783</v>
      </c>
      <c r="D16651" s="22" t="str">
        <f>HYPERLINK("https://rhld.insurance.arkansas.gov/NPILookup?Npi=1699360297","1699360297")</f>
        <v>1699360297</v>
      </c>
      <c r="E16651" s="1" t="s">
        <v>23015</v>
      </c>
      <c r="F16651" s="2"/>
      <c r="G16651" s="2"/>
      <c r="H16651" s="2"/>
    </row>
    <row r="16652" spans="1:8" x14ac:dyDescent="0.25">
      <c r="A16652" s="1"/>
      <c r="B16652" s="1" t="s">
        <v>5782</v>
      </c>
      <c r="C16652" s="1" t="s">
        <v>5783</v>
      </c>
      <c r="D16652" s="22" t="str">
        <f>HYPERLINK("https://rhld.insurance.arkansas.gov/NPILookup?Npi=1699364018","1699364018")</f>
        <v>1699364018</v>
      </c>
      <c r="E16652" s="1" t="s">
        <v>23016</v>
      </c>
      <c r="F16652" s="2"/>
      <c r="G16652" s="2"/>
      <c r="H16652" s="2"/>
    </row>
    <row r="16653" spans="1:8" x14ac:dyDescent="0.25">
      <c r="A16653" s="1"/>
      <c r="B16653" s="1" t="s">
        <v>5782</v>
      </c>
      <c r="C16653" s="1" t="s">
        <v>5783</v>
      </c>
      <c r="D16653" s="22" t="str">
        <f>HYPERLINK("https://rhld.insurance.arkansas.gov/NPILookup?Npi=1699389601","1699389601")</f>
        <v>1699389601</v>
      </c>
      <c r="E16653" s="1" t="s">
        <v>23017</v>
      </c>
      <c r="F16653" s="2"/>
      <c r="G16653" s="2"/>
      <c r="H16653" s="2"/>
    </row>
    <row r="16654" spans="1:8" x14ac:dyDescent="0.25">
      <c r="A16654" s="1"/>
      <c r="B16654" s="1" t="s">
        <v>5782</v>
      </c>
      <c r="C16654" s="1" t="s">
        <v>5783</v>
      </c>
      <c r="D16654" s="22" t="str">
        <f>HYPERLINK("https://rhld.insurance.arkansas.gov/NPILookup?Npi=1699410142","1699410142")</f>
        <v>1699410142</v>
      </c>
      <c r="E16654" s="1" t="s">
        <v>6541</v>
      </c>
      <c r="F16654" s="2"/>
      <c r="G16654" s="2"/>
      <c r="H16654" s="2"/>
    </row>
    <row r="16655" spans="1:8" x14ac:dyDescent="0.25">
      <c r="A16655" s="1"/>
      <c r="B16655" s="1" t="s">
        <v>5782</v>
      </c>
      <c r="C16655" s="1" t="s">
        <v>5783</v>
      </c>
      <c r="D16655" s="22" t="str">
        <f>HYPERLINK("https://rhld.insurance.arkansas.gov/NPILookup?Npi=1699484162","1699484162")</f>
        <v>1699484162</v>
      </c>
      <c r="E16655" s="1" t="s">
        <v>6542</v>
      </c>
      <c r="F16655" s="2"/>
      <c r="G16655" s="2"/>
      <c r="H16655" s="2"/>
    </row>
    <row r="16656" spans="1:8" x14ac:dyDescent="0.25">
      <c r="A16656" s="1"/>
      <c r="B16656" s="1" t="s">
        <v>5782</v>
      </c>
      <c r="C16656" s="1" t="s">
        <v>5783</v>
      </c>
      <c r="D16656" s="22" t="str">
        <f>HYPERLINK("https://rhld.insurance.arkansas.gov/NPILookup?Npi=1699494062","1699494062")</f>
        <v>1699494062</v>
      </c>
      <c r="E16656" s="1" t="s">
        <v>6543</v>
      </c>
      <c r="F16656" s="2"/>
      <c r="G16656" s="2"/>
      <c r="H16656" s="2"/>
    </row>
    <row r="16657" spans="1:8" x14ac:dyDescent="0.25">
      <c r="A16657" s="1"/>
      <c r="B16657" s="1" t="s">
        <v>5782</v>
      </c>
      <c r="C16657" s="1" t="s">
        <v>5783</v>
      </c>
      <c r="D16657" s="22" t="str">
        <f>HYPERLINK("https://rhld.insurance.arkansas.gov/NPILookup?Npi=1699496166","1699496166")</f>
        <v>1699496166</v>
      </c>
      <c r="E16657" s="1" t="s">
        <v>23018</v>
      </c>
      <c r="F16657" s="2"/>
      <c r="G16657" s="2"/>
      <c r="H16657" s="2"/>
    </row>
    <row r="16658" spans="1:8" x14ac:dyDescent="0.25">
      <c r="A16658" s="1"/>
      <c r="B16658" s="1" t="s">
        <v>5782</v>
      </c>
      <c r="C16658" s="1" t="s">
        <v>5783</v>
      </c>
      <c r="D16658" s="22" t="str">
        <f>HYPERLINK("https://rhld.insurance.arkansas.gov/NPILookup?Npi=1699499384","1699499384")</f>
        <v>1699499384</v>
      </c>
      <c r="E16658" s="1" t="s">
        <v>23019</v>
      </c>
      <c r="F16658" s="2"/>
      <c r="G16658" s="2"/>
      <c r="H16658" s="2"/>
    </row>
    <row r="16659" spans="1:8" x14ac:dyDescent="0.25">
      <c r="A16659" s="1"/>
      <c r="B16659" s="1" t="s">
        <v>5782</v>
      </c>
      <c r="C16659" s="1" t="s">
        <v>5783</v>
      </c>
      <c r="D16659" s="22" t="str">
        <f>HYPERLINK("https://rhld.insurance.arkansas.gov/NPILookup?Npi=1699513739","1699513739")</f>
        <v>1699513739</v>
      </c>
      <c r="E16659" s="1" t="s">
        <v>31925</v>
      </c>
      <c r="F16659" s="2"/>
      <c r="G16659" s="2"/>
      <c r="H16659" s="2"/>
    </row>
    <row r="16660" spans="1:8" x14ac:dyDescent="0.25">
      <c r="A16660" s="1"/>
      <c r="B16660" s="1" t="s">
        <v>5782</v>
      </c>
      <c r="C16660" s="1" t="s">
        <v>5783</v>
      </c>
      <c r="D16660" s="22" t="str">
        <f>HYPERLINK("https://rhld.insurance.arkansas.gov/NPILookup?Npi=1699519769","1699519769")</f>
        <v>1699519769</v>
      </c>
      <c r="E16660" s="1" t="s">
        <v>23020</v>
      </c>
      <c r="F16660" s="2"/>
      <c r="G16660" s="2"/>
      <c r="H16660" s="2"/>
    </row>
    <row r="16661" spans="1:8" x14ac:dyDescent="0.25">
      <c r="A16661" s="1"/>
      <c r="B16661" s="1" t="s">
        <v>5782</v>
      </c>
      <c r="C16661" s="1" t="s">
        <v>5783</v>
      </c>
      <c r="D16661" s="22" t="str">
        <f>HYPERLINK("https://rhld.insurance.arkansas.gov/NPILookup?Npi=1699532887","1699532887")</f>
        <v>1699532887</v>
      </c>
      <c r="E16661" s="1" t="s">
        <v>6191</v>
      </c>
      <c r="F16661" s="2"/>
      <c r="G16661" s="2"/>
      <c r="H16661" s="2"/>
    </row>
    <row r="16662" spans="1:8" x14ac:dyDescent="0.25">
      <c r="A16662" s="1"/>
      <c r="B16662" s="1" t="s">
        <v>5782</v>
      </c>
      <c r="C16662" s="1" t="s">
        <v>5783</v>
      </c>
      <c r="D16662" s="22" t="str">
        <f>HYPERLINK("https://rhld.insurance.arkansas.gov/NPILookup?Npi=1699578724","1699578724")</f>
        <v>1699578724</v>
      </c>
      <c r="E16662" s="1" t="s">
        <v>31926</v>
      </c>
      <c r="F16662" s="2"/>
      <c r="G16662" s="2"/>
      <c r="H16662" s="2"/>
    </row>
    <row r="16663" spans="1:8" x14ac:dyDescent="0.25">
      <c r="A16663" s="1"/>
      <c r="B16663" s="1" t="s">
        <v>5782</v>
      </c>
      <c r="C16663" s="1" t="s">
        <v>5783</v>
      </c>
      <c r="D16663" s="22" t="str">
        <f>HYPERLINK("https://rhld.insurance.arkansas.gov/NPILookup?Npi=1699721555","1699721555")</f>
        <v>1699721555</v>
      </c>
      <c r="E16663" s="1" t="s">
        <v>23021</v>
      </c>
      <c r="F16663" s="2"/>
      <c r="G16663" s="2"/>
      <c r="H16663" s="2"/>
    </row>
    <row r="16664" spans="1:8" x14ac:dyDescent="0.25">
      <c r="A16664" s="1"/>
      <c r="B16664" s="1" t="s">
        <v>5782</v>
      </c>
      <c r="C16664" s="1" t="s">
        <v>5783</v>
      </c>
      <c r="D16664" s="22" t="str">
        <f>HYPERLINK("https://rhld.insurance.arkansas.gov/NPILookup?Npi=1699729251","1699729251")</f>
        <v>1699729251</v>
      </c>
      <c r="E16664" s="1" t="s">
        <v>23022</v>
      </c>
      <c r="F16664" s="2"/>
      <c r="G16664" s="2"/>
      <c r="H16664" s="2"/>
    </row>
    <row r="16665" spans="1:8" x14ac:dyDescent="0.25">
      <c r="A16665" s="1"/>
      <c r="B16665" s="1" t="s">
        <v>5782</v>
      </c>
      <c r="C16665" s="1" t="s">
        <v>5783</v>
      </c>
      <c r="D16665" s="22" t="str">
        <f>HYPERLINK("https://rhld.insurance.arkansas.gov/NPILookup?Npi=1699804484","1699804484")</f>
        <v>1699804484</v>
      </c>
      <c r="E16665" s="1" t="s">
        <v>15733</v>
      </c>
      <c r="F16665" s="2"/>
      <c r="G16665" s="2"/>
      <c r="H16665" s="2"/>
    </row>
    <row r="16666" spans="1:8" x14ac:dyDescent="0.25">
      <c r="A16666" s="1"/>
      <c r="B16666" s="1" t="s">
        <v>5782</v>
      </c>
      <c r="C16666" s="1" t="s">
        <v>5783</v>
      </c>
      <c r="D16666" s="22" t="str">
        <f>HYPERLINK("https://rhld.insurance.arkansas.gov/NPILookup?Npi=1699818468","1699818468")</f>
        <v>1699818468</v>
      </c>
      <c r="E16666" s="1" t="s">
        <v>23023</v>
      </c>
      <c r="F16666" s="2"/>
      <c r="G16666" s="2"/>
      <c r="H16666" s="2"/>
    </row>
    <row r="16667" spans="1:8" x14ac:dyDescent="0.25">
      <c r="A16667" s="1"/>
      <c r="B16667" s="1" t="s">
        <v>5782</v>
      </c>
      <c r="C16667" s="1" t="s">
        <v>5783</v>
      </c>
      <c r="D16667" s="22" t="str">
        <f>HYPERLINK("https://rhld.insurance.arkansas.gov/NPILookup?Npi=1699840140","1699840140")</f>
        <v>1699840140</v>
      </c>
      <c r="E16667" s="1" t="s">
        <v>23024</v>
      </c>
      <c r="F16667" s="2"/>
      <c r="G16667" s="2"/>
      <c r="H16667" s="2"/>
    </row>
    <row r="16668" spans="1:8" x14ac:dyDescent="0.25">
      <c r="A16668" s="1"/>
      <c r="B16668" s="1" t="s">
        <v>5782</v>
      </c>
      <c r="C16668" s="1" t="s">
        <v>5783</v>
      </c>
      <c r="D16668" s="22" t="str">
        <f>HYPERLINK("https://rhld.insurance.arkansas.gov/NPILookup?Npi=1699843409","1699843409")</f>
        <v>1699843409</v>
      </c>
      <c r="E16668" s="1" t="s">
        <v>3353</v>
      </c>
      <c r="F16668" s="2"/>
      <c r="G16668" s="2"/>
      <c r="H16668" s="2"/>
    </row>
    <row r="16669" spans="1:8" x14ac:dyDescent="0.25">
      <c r="A16669" s="1"/>
      <c r="B16669" s="1" t="s">
        <v>5782</v>
      </c>
      <c r="C16669" s="1" t="s">
        <v>5783</v>
      </c>
      <c r="D16669" s="22" t="str">
        <f>HYPERLINK("https://rhld.insurance.arkansas.gov/NPILookup?Npi=1699854166","1699854166")</f>
        <v>1699854166</v>
      </c>
      <c r="E16669" s="1" t="s">
        <v>23025</v>
      </c>
      <c r="F16669" s="2"/>
      <c r="G16669" s="2"/>
      <c r="H16669" s="2"/>
    </row>
    <row r="16670" spans="1:8" x14ac:dyDescent="0.25">
      <c r="A16670" s="1"/>
      <c r="B16670" s="1" t="s">
        <v>5782</v>
      </c>
      <c r="C16670" s="1" t="s">
        <v>5783</v>
      </c>
      <c r="D16670" s="22" t="str">
        <f>HYPERLINK("https://rhld.insurance.arkansas.gov/NPILookup?Npi=1699902403","1699902403")</f>
        <v>1699902403</v>
      </c>
      <c r="E16670" s="1" t="s">
        <v>23026</v>
      </c>
      <c r="F16670" s="2"/>
      <c r="G16670" s="2"/>
      <c r="H16670" s="2"/>
    </row>
    <row r="16671" spans="1:8" x14ac:dyDescent="0.25">
      <c r="A16671" s="1"/>
      <c r="B16671" s="1" t="s">
        <v>5782</v>
      </c>
      <c r="C16671" s="1" t="s">
        <v>5783</v>
      </c>
      <c r="D16671" s="22" t="str">
        <f>HYPERLINK("https://rhld.insurance.arkansas.gov/NPILookup?Npi=1699910539","1699910539")</f>
        <v>1699910539</v>
      </c>
      <c r="E16671" s="1" t="s">
        <v>6544</v>
      </c>
      <c r="F16671" s="2"/>
      <c r="G16671" s="2"/>
      <c r="H16671" s="2"/>
    </row>
    <row r="16672" spans="1:8" x14ac:dyDescent="0.25">
      <c r="A16672" s="1"/>
      <c r="B16672" s="1" t="s">
        <v>5782</v>
      </c>
      <c r="C16672" s="1" t="s">
        <v>5783</v>
      </c>
      <c r="D16672" s="22" t="str">
        <f>HYPERLINK("https://rhld.insurance.arkansas.gov/NPILookup?Npi=1699923441","1699923441")</f>
        <v>1699923441</v>
      </c>
      <c r="E16672" s="1" t="s">
        <v>23027</v>
      </c>
      <c r="F16672" s="2"/>
      <c r="G16672" s="2"/>
      <c r="H16672" s="2"/>
    </row>
    <row r="16673" spans="1:8" x14ac:dyDescent="0.25">
      <c r="A16673" s="1"/>
      <c r="B16673" s="1" t="s">
        <v>5782</v>
      </c>
      <c r="C16673" s="1" t="s">
        <v>5783</v>
      </c>
      <c r="D16673" s="22" t="str">
        <f>HYPERLINK("https://rhld.insurance.arkansas.gov/NPILookup?Npi=1699926931","1699926931")</f>
        <v>1699926931</v>
      </c>
      <c r="E16673" s="1" t="s">
        <v>23028</v>
      </c>
      <c r="F16673" s="2"/>
      <c r="G16673" s="2"/>
      <c r="H16673" s="2"/>
    </row>
    <row r="16674" spans="1:8" x14ac:dyDescent="0.25">
      <c r="A16674" s="1"/>
      <c r="B16674" s="1" t="s">
        <v>5782</v>
      </c>
      <c r="C16674" s="1" t="s">
        <v>5783</v>
      </c>
      <c r="D16674" s="22" t="str">
        <f>HYPERLINK("https://rhld.insurance.arkansas.gov/NPILookup?Npi=1699936120","1699936120")</f>
        <v>1699936120</v>
      </c>
      <c r="E16674" s="1" t="s">
        <v>23029</v>
      </c>
      <c r="F16674" s="2"/>
      <c r="G16674" s="2"/>
      <c r="H16674" s="2"/>
    </row>
    <row r="16675" spans="1:8" x14ac:dyDescent="0.25">
      <c r="A16675" s="1"/>
      <c r="B16675" s="1" t="s">
        <v>5782</v>
      </c>
      <c r="C16675" s="1" t="s">
        <v>5783</v>
      </c>
      <c r="D16675" s="22" t="str">
        <f>HYPERLINK("https://rhld.insurance.arkansas.gov/NPILookup?Npi=1699942284","1699942284")</f>
        <v>1699942284</v>
      </c>
      <c r="E16675" s="1" t="s">
        <v>16354</v>
      </c>
      <c r="F16675" s="2"/>
      <c r="G16675" s="2"/>
      <c r="H16675" s="2"/>
    </row>
    <row r="16676" spans="1:8" x14ac:dyDescent="0.25">
      <c r="A16676" s="1"/>
      <c r="B16676" s="1" t="s">
        <v>5782</v>
      </c>
      <c r="C16676" s="1" t="s">
        <v>5783</v>
      </c>
      <c r="D16676" s="22" t="str">
        <f>HYPERLINK("https://rhld.insurance.arkansas.gov/NPILookup?Npi=1699949966","1699949966")</f>
        <v>1699949966</v>
      </c>
      <c r="E16676" s="1" t="s">
        <v>12014</v>
      </c>
      <c r="F16676" s="2"/>
      <c r="G16676" s="2"/>
      <c r="H16676" s="2"/>
    </row>
    <row r="16677" spans="1:8" x14ac:dyDescent="0.25">
      <c r="A16677" s="1"/>
      <c r="B16677" s="1" t="s">
        <v>5782</v>
      </c>
      <c r="C16677" s="1" t="s">
        <v>5783</v>
      </c>
      <c r="D16677" s="22" t="str">
        <f>HYPERLINK("https://rhld.insurance.arkansas.gov/NPILookup?Npi=1699984104","1699984104")</f>
        <v>1699984104</v>
      </c>
      <c r="E16677" s="1" t="s">
        <v>23030</v>
      </c>
      <c r="F16677" s="2"/>
      <c r="G16677" s="2"/>
      <c r="H16677" s="2"/>
    </row>
    <row r="16678" spans="1:8" x14ac:dyDescent="0.25">
      <c r="A16678" s="1"/>
      <c r="B16678" s="1" t="s">
        <v>5782</v>
      </c>
      <c r="C16678" s="1" t="s">
        <v>5783</v>
      </c>
      <c r="D16678" s="22" t="str">
        <f>HYPERLINK("https://rhld.insurance.arkansas.gov/NPILookup?Npi=1700016896","1700016896")</f>
        <v>1700016896</v>
      </c>
      <c r="E16678" s="1" t="s">
        <v>23031</v>
      </c>
      <c r="F16678" s="2"/>
      <c r="G16678" s="2"/>
      <c r="H16678" s="2"/>
    </row>
    <row r="16679" spans="1:8" x14ac:dyDescent="0.25">
      <c r="A16679" s="1"/>
      <c r="B16679" s="1" t="s">
        <v>5782</v>
      </c>
      <c r="C16679" s="1" t="s">
        <v>5783</v>
      </c>
      <c r="D16679" s="22" t="str">
        <f>HYPERLINK("https://rhld.insurance.arkansas.gov/NPILookup?Npi=1700023876","1700023876")</f>
        <v>1700023876</v>
      </c>
      <c r="E16679" s="1" t="s">
        <v>21985</v>
      </c>
      <c r="F16679" s="2"/>
      <c r="G16679" s="2"/>
      <c r="H16679" s="2"/>
    </row>
    <row r="16680" spans="1:8" x14ac:dyDescent="0.25">
      <c r="A16680" s="1"/>
      <c r="B16680" s="1" t="s">
        <v>5782</v>
      </c>
      <c r="C16680" s="1" t="s">
        <v>5783</v>
      </c>
      <c r="D16680" s="22" t="str">
        <f>HYPERLINK("https://rhld.insurance.arkansas.gov/NPILookup?Npi=1700032810","1700032810")</f>
        <v>1700032810</v>
      </c>
      <c r="E16680" s="1" t="s">
        <v>23032</v>
      </c>
      <c r="F16680" s="2"/>
      <c r="G16680" s="2"/>
      <c r="H16680" s="2"/>
    </row>
    <row r="16681" spans="1:8" x14ac:dyDescent="0.25">
      <c r="A16681" s="1"/>
      <c r="B16681" s="1" t="s">
        <v>5782</v>
      </c>
      <c r="C16681" s="1" t="s">
        <v>5783</v>
      </c>
      <c r="D16681" s="22" t="str">
        <f>HYPERLINK("https://rhld.insurance.arkansas.gov/NPILookup?Npi=1700039039","1700039039")</f>
        <v>1700039039</v>
      </c>
      <c r="E16681" s="1" t="s">
        <v>6545</v>
      </c>
      <c r="F16681" s="2"/>
      <c r="G16681" s="2"/>
      <c r="H16681" s="2"/>
    </row>
    <row r="16682" spans="1:8" x14ac:dyDescent="0.25">
      <c r="A16682" s="1"/>
      <c r="B16682" s="1" t="s">
        <v>5782</v>
      </c>
      <c r="C16682" s="1" t="s">
        <v>5783</v>
      </c>
      <c r="D16682" s="22" t="str">
        <f>HYPERLINK("https://rhld.insurance.arkansas.gov/NPILookup?Npi=1700071651","1700071651")</f>
        <v>1700071651</v>
      </c>
      <c r="E16682" s="1" t="s">
        <v>23033</v>
      </c>
      <c r="F16682" s="2"/>
      <c r="G16682" s="2"/>
      <c r="H16682" s="2"/>
    </row>
    <row r="16683" spans="1:8" x14ac:dyDescent="0.25">
      <c r="A16683" s="1"/>
      <c r="B16683" s="1" t="s">
        <v>5782</v>
      </c>
      <c r="C16683" s="1" t="s">
        <v>5783</v>
      </c>
      <c r="D16683" s="22" t="str">
        <f>HYPERLINK("https://rhld.insurance.arkansas.gov/NPILookup?Npi=1700077195","1700077195")</f>
        <v>1700077195</v>
      </c>
      <c r="E16683" s="1" t="s">
        <v>12169</v>
      </c>
      <c r="F16683" s="2"/>
      <c r="G16683" s="2"/>
      <c r="H16683" s="2"/>
    </row>
    <row r="16684" spans="1:8" x14ac:dyDescent="0.25">
      <c r="A16684" s="1"/>
      <c r="B16684" s="1" t="s">
        <v>5782</v>
      </c>
      <c r="C16684" s="1" t="s">
        <v>5783</v>
      </c>
      <c r="D16684" s="22" t="str">
        <f>HYPERLINK("https://rhld.insurance.arkansas.gov/NPILookup?Npi=1700083037","1700083037")</f>
        <v>1700083037</v>
      </c>
      <c r="E16684" s="1" t="s">
        <v>23034</v>
      </c>
      <c r="F16684" s="2"/>
      <c r="G16684" s="2"/>
      <c r="H16684" s="2"/>
    </row>
    <row r="16685" spans="1:8" x14ac:dyDescent="0.25">
      <c r="A16685" s="1"/>
      <c r="B16685" s="1" t="s">
        <v>5782</v>
      </c>
      <c r="C16685" s="1" t="s">
        <v>5783</v>
      </c>
      <c r="D16685" s="22" t="str">
        <f>HYPERLINK("https://rhld.insurance.arkansas.gov/NPILookup?Npi=1700093812","1700093812")</f>
        <v>1700093812</v>
      </c>
      <c r="E16685" s="1" t="s">
        <v>23035</v>
      </c>
      <c r="F16685" s="2"/>
      <c r="G16685" s="2"/>
      <c r="H16685" s="2"/>
    </row>
    <row r="16686" spans="1:8" x14ac:dyDescent="0.25">
      <c r="A16686" s="1"/>
      <c r="B16686" s="1" t="s">
        <v>5782</v>
      </c>
      <c r="C16686" s="1" t="s">
        <v>5783</v>
      </c>
      <c r="D16686" s="22" t="str">
        <f>HYPERLINK("https://rhld.insurance.arkansas.gov/NPILookup?Npi=1700094265","1700094265")</f>
        <v>1700094265</v>
      </c>
      <c r="E16686" s="1" t="s">
        <v>3354</v>
      </c>
      <c r="F16686" s="2"/>
      <c r="G16686" s="2"/>
      <c r="H16686" s="2"/>
    </row>
    <row r="16687" spans="1:8" x14ac:dyDescent="0.25">
      <c r="A16687" s="1"/>
      <c r="B16687" s="1" t="s">
        <v>5782</v>
      </c>
      <c r="C16687" s="1" t="s">
        <v>5783</v>
      </c>
      <c r="D16687" s="22" t="str">
        <f>HYPERLINK("https://rhld.insurance.arkansas.gov/NPILookup?Npi=1700116258","1700116258")</f>
        <v>1700116258</v>
      </c>
      <c r="E16687" s="1" t="s">
        <v>6546</v>
      </c>
      <c r="F16687" s="2"/>
      <c r="G16687" s="2"/>
      <c r="H16687" s="2"/>
    </row>
    <row r="16688" spans="1:8" x14ac:dyDescent="0.25">
      <c r="A16688" s="1"/>
      <c r="B16688" s="1" t="s">
        <v>5782</v>
      </c>
      <c r="C16688" s="1" t="s">
        <v>5783</v>
      </c>
      <c r="D16688" s="22" t="str">
        <f>HYPERLINK("https://rhld.insurance.arkansas.gov/NPILookup?Npi=1700147709","1700147709")</f>
        <v>1700147709</v>
      </c>
      <c r="E16688" s="1" t="s">
        <v>3355</v>
      </c>
      <c r="F16688" s="2"/>
      <c r="G16688" s="2"/>
      <c r="H16688" s="2"/>
    </row>
    <row r="16689" spans="1:8" x14ac:dyDescent="0.25">
      <c r="A16689" s="1"/>
      <c r="B16689" s="1" t="s">
        <v>5782</v>
      </c>
      <c r="C16689" s="1" t="s">
        <v>5783</v>
      </c>
      <c r="D16689" s="22" t="str">
        <f>HYPERLINK("https://rhld.insurance.arkansas.gov/NPILookup?Npi=1700160231","1700160231")</f>
        <v>1700160231</v>
      </c>
      <c r="E16689" s="1" t="s">
        <v>12015</v>
      </c>
      <c r="F16689" s="2"/>
      <c r="G16689" s="2"/>
      <c r="H16689" s="2"/>
    </row>
    <row r="16690" spans="1:8" x14ac:dyDescent="0.25">
      <c r="A16690" s="1"/>
      <c r="B16690" s="1" t="s">
        <v>5782</v>
      </c>
      <c r="C16690" s="1" t="s">
        <v>5783</v>
      </c>
      <c r="D16690" s="22" t="str">
        <f>HYPERLINK("https://rhld.insurance.arkansas.gov/NPILookup?Npi=1700164845","1700164845")</f>
        <v>1700164845</v>
      </c>
      <c r="E16690" s="1" t="s">
        <v>23036</v>
      </c>
      <c r="F16690" s="2"/>
      <c r="G16690" s="2"/>
      <c r="H16690" s="2"/>
    </row>
    <row r="16691" spans="1:8" x14ac:dyDescent="0.25">
      <c r="A16691" s="1"/>
      <c r="B16691" s="1" t="s">
        <v>5782</v>
      </c>
      <c r="C16691" s="1" t="s">
        <v>5783</v>
      </c>
      <c r="D16691" s="22" t="str">
        <f>HYPERLINK("https://rhld.insurance.arkansas.gov/NPILookup?Npi=1700168937","1700168937")</f>
        <v>1700168937</v>
      </c>
      <c r="E16691" s="1" t="s">
        <v>12016</v>
      </c>
      <c r="F16691" s="2"/>
      <c r="G16691" s="2"/>
      <c r="H16691" s="2"/>
    </row>
    <row r="16692" spans="1:8" x14ac:dyDescent="0.25">
      <c r="A16692" s="1"/>
      <c r="B16692" s="1" t="s">
        <v>5782</v>
      </c>
      <c r="C16692" s="1" t="s">
        <v>5783</v>
      </c>
      <c r="D16692" s="22" t="str">
        <f>HYPERLINK("https://rhld.insurance.arkansas.gov/NPILookup?Npi=1700170560","1700170560")</f>
        <v>1700170560</v>
      </c>
      <c r="E16692" s="1" t="s">
        <v>23037</v>
      </c>
      <c r="F16692" s="2"/>
      <c r="G16692" s="2"/>
      <c r="H16692" s="2"/>
    </row>
    <row r="16693" spans="1:8" x14ac:dyDescent="0.25">
      <c r="A16693" s="1"/>
      <c r="B16693" s="1" t="s">
        <v>5782</v>
      </c>
      <c r="C16693" s="1" t="s">
        <v>5783</v>
      </c>
      <c r="D16693" s="22" t="str">
        <f>HYPERLINK("https://rhld.insurance.arkansas.gov/NPILookup?Npi=1700171600","1700171600")</f>
        <v>1700171600</v>
      </c>
      <c r="E16693" s="1" t="s">
        <v>23038</v>
      </c>
      <c r="F16693" s="2"/>
      <c r="G16693" s="2"/>
      <c r="H16693" s="2"/>
    </row>
    <row r="16694" spans="1:8" x14ac:dyDescent="0.25">
      <c r="A16694" s="1"/>
      <c r="B16694" s="1" t="s">
        <v>5782</v>
      </c>
      <c r="C16694" s="1" t="s">
        <v>5783</v>
      </c>
      <c r="D16694" s="22" t="str">
        <f>HYPERLINK("https://rhld.insurance.arkansas.gov/NPILookup?Npi=1700176286","1700176286")</f>
        <v>1700176286</v>
      </c>
      <c r="E16694" s="1" t="s">
        <v>23039</v>
      </c>
      <c r="F16694" s="2"/>
      <c r="G16694" s="2"/>
      <c r="H16694" s="2"/>
    </row>
    <row r="16695" spans="1:8" x14ac:dyDescent="0.25">
      <c r="A16695" s="1"/>
      <c r="B16695" s="1" t="s">
        <v>5782</v>
      </c>
      <c r="C16695" s="1" t="s">
        <v>5783</v>
      </c>
      <c r="D16695" s="22" t="str">
        <f>HYPERLINK("https://rhld.insurance.arkansas.gov/NPILookup?Npi=1700183191","1700183191")</f>
        <v>1700183191</v>
      </c>
      <c r="E16695" s="1" t="s">
        <v>12017</v>
      </c>
      <c r="F16695" s="2"/>
      <c r="G16695" s="2"/>
      <c r="H16695" s="2"/>
    </row>
    <row r="16696" spans="1:8" x14ac:dyDescent="0.25">
      <c r="A16696" s="1"/>
      <c r="B16696" s="1" t="s">
        <v>5782</v>
      </c>
      <c r="C16696" s="1" t="s">
        <v>5783</v>
      </c>
      <c r="D16696" s="22" t="str">
        <f>HYPERLINK("https://rhld.insurance.arkansas.gov/NPILookup?Npi=1700202702","1700202702")</f>
        <v>1700202702</v>
      </c>
      <c r="E16696" s="1" t="s">
        <v>1866</v>
      </c>
      <c r="F16696" s="2"/>
      <c r="G16696" s="2"/>
      <c r="H16696" s="2"/>
    </row>
    <row r="16697" spans="1:8" x14ac:dyDescent="0.25">
      <c r="A16697" s="1"/>
      <c r="B16697" s="1" t="s">
        <v>5782</v>
      </c>
      <c r="C16697" s="1" t="s">
        <v>5783</v>
      </c>
      <c r="D16697" s="22" t="str">
        <f>HYPERLINK("https://rhld.insurance.arkansas.gov/NPILookup?Npi=1700202991","1700202991")</f>
        <v>1700202991</v>
      </c>
      <c r="E16697" s="1" t="s">
        <v>23040</v>
      </c>
      <c r="F16697" s="2"/>
      <c r="G16697" s="2"/>
      <c r="H16697" s="2"/>
    </row>
    <row r="16698" spans="1:8" x14ac:dyDescent="0.25">
      <c r="A16698" s="1"/>
      <c r="B16698" s="1" t="s">
        <v>5782</v>
      </c>
      <c r="C16698" s="1" t="s">
        <v>5783</v>
      </c>
      <c r="D16698" s="22" t="str">
        <f>HYPERLINK("https://rhld.insurance.arkansas.gov/NPILookup?Npi=1700219870","1700219870")</f>
        <v>1700219870</v>
      </c>
      <c r="E16698" s="1" t="s">
        <v>12018</v>
      </c>
      <c r="F16698" s="2"/>
      <c r="G16698" s="2"/>
      <c r="H16698" s="2"/>
    </row>
    <row r="16699" spans="1:8" x14ac:dyDescent="0.25">
      <c r="A16699" s="1"/>
      <c r="B16699" s="1" t="s">
        <v>5782</v>
      </c>
      <c r="C16699" s="1" t="s">
        <v>5783</v>
      </c>
      <c r="D16699" s="22" t="str">
        <f>HYPERLINK("https://rhld.insurance.arkansas.gov/NPILookup?Npi=1700223864","1700223864")</f>
        <v>1700223864</v>
      </c>
      <c r="E16699" s="1" t="s">
        <v>23041</v>
      </c>
      <c r="F16699" s="2"/>
      <c r="G16699" s="2"/>
      <c r="H16699" s="2"/>
    </row>
    <row r="16700" spans="1:8" x14ac:dyDescent="0.25">
      <c r="A16700" s="1"/>
      <c r="B16700" s="1" t="s">
        <v>5782</v>
      </c>
      <c r="C16700" s="1" t="s">
        <v>5783</v>
      </c>
      <c r="D16700" s="22" t="str">
        <f>HYPERLINK("https://rhld.insurance.arkansas.gov/NPILookup?Npi=1700233558","1700233558")</f>
        <v>1700233558</v>
      </c>
      <c r="E16700" s="1" t="s">
        <v>1897</v>
      </c>
      <c r="F16700" s="2"/>
      <c r="G16700" s="2"/>
      <c r="H16700" s="2"/>
    </row>
    <row r="16701" spans="1:8" x14ac:dyDescent="0.25">
      <c r="A16701" s="1"/>
      <c r="B16701" s="1" t="s">
        <v>5782</v>
      </c>
      <c r="C16701" s="1" t="s">
        <v>5783</v>
      </c>
      <c r="D16701" s="22" t="str">
        <f>HYPERLINK("https://rhld.insurance.arkansas.gov/NPILookup?Npi=1700235728","1700235728")</f>
        <v>1700235728</v>
      </c>
      <c r="E16701" s="1" t="s">
        <v>12019</v>
      </c>
      <c r="F16701" s="2"/>
      <c r="G16701" s="2"/>
      <c r="H16701" s="2"/>
    </row>
    <row r="16702" spans="1:8" x14ac:dyDescent="0.25">
      <c r="A16702" s="1"/>
      <c r="B16702" s="1" t="s">
        <v>5782</v>
      </c>
      <c r="C16702" s="1" t="s">
        <v>5783</v>
      </c>
      <c r="D16702" s="22" t="str">
        <f>HYPERLINK("https://rhld.insurance.arkansas.gov/NPILookup?Npi=1700237658","1700237658")</f>
        <v>1700237658</v>
      </c>
      <c r="E16702" s="1" t="s">
        <v>3356</v>
      </c>
      <c r="F16702" s="2"/>
      <c r="G16702" s="2"/>
      <c r="H16702" s="2"/>
    </row>
    <row r="16703" spans="1:8" x14ac:dyDescent="0.25">
      <c r="A16703" s="1"/>
      <c r="B16703" s="1" t="s">
        <v>5782</v>
      </c>
      <c r="C16703" s="1" t="s">
        <v>5783</v>
      </c>
      <c r="D16703" s="22" t="str">
        <f>HYPERLINK("https://rhld.insurance.arkansas.gov/NPILookup?Npi=1700244027","1700244027")</f>
        <v>1700244027</v>
      </c>
      <c r="E16703" s="1" t="s">
        <v>13243</v>
      </c>
      <c r="F16703" s="2"/>
      <c r="G16703" s="2"/>
      <c r="H16703" s="2"/>
    </row>
    <row r="16704" spans="1:8" x14ac:dyDescent="0.25">
      <c r="A16704" s="1"/>
      <c r="B16704" s="1" t="s">
        <v>5782</v>
      </c>
      <c r="C16704" s="1" t="s">
        <v>5783</v>
      </c>
      <c r="D16704" s="22" t="str">
        <f>HYPERLINK("https://rhld.insurance.arkansas.gov/NPILookup?Npi=1700251113","1700251113")</f>
        <v>1700251113</v>
      </c>
      <c r="E16704" s="1" t="s">
        <v>23042</v>
      </c>
      <c r="F16704" s="2"/>
      <c r="G16704" s="2"/>
      <c r="H16704" s="2"/>
    </row>
    <row r="16705" spans="1:8" x14ac:dyDescent="0.25">
      <c r="A16705" s="1"/>
      <c r="B16705" s="1" t="s">
        <v>5782</v>
      </c>
      <c r="C16705" s="1" t="s">
        <v>5783</v>
      </c>
      <c r="D16705" s="22" t="str">
        <f>HYPERLINK("https://rhld.insurance.arkansas.gov/NPILookup?Npi=1700293123","1700293123")</f>
        <v>1700293123</v>
      </c>
      <c r="E16705" s="1" t="s">
        <v>23043</v>
      </c>
      <c r="F16705" s="2"/>
      <c r="G16705" s="2"/>
      <c r="H16705" s="2"/>
    </row>
    <row r="16706" spans="1:8" x14ac:dyDescent="0.25">
      <c r="A16706" s="1"/>
      <c r="B16706" s="1" t="s">
        <v>5782</v>
      </c>
      <c r="C16706" s="1" t="s">
        <v>5783</v>
      </c>
      <c r="D16706" s="22" t="str">
        <f>HYPERLINK("https://rhld.insurance.arkansas.gov/NPILookup?Npi=1700302734","1700302734")</f>
        <v>1700302734</v>
      </c>
      <c r="E16706" s="1" t="s">
        <v>23044</v>
      </c>
      <c r="F16706" s="2"/>
      <c r="G16706" s="2"/>
      <c r="H16706" s="2"/>
    </row>
    <row r="16707" spans="1:8" x14ac:dyDescent="0.25">
      <c r="A16707" s="1"/>
      <c r="B16707" s="1" t="s">
        <v>5782</v>
      </c>
      <c r="C16707" s="1" t="s">
        <v>5783</v>
      </c>
      <c r="D16707" s="22" t="str">
        <f>HYPERLINK("https://rhld.insurance.arkansas.gov/NPILookup?Npi=1700305729","1700305729")</f>
        <v>1700305729</v>
      </c>
      <c r="E16707" s="1" t="s">
        <v>6547</v>
      </c>
      <c r="F16707" s="2"/>
      <c r="G16707" s="2"/>
      <c r="H16707" s="2"/>
    </row>
    <row r="16708" spans="1:8" x14ac:dyDescent="0.25">
      <c r="A16708" s="1"/>
      <c r="B16708" s="1" t="s">
        <v>5782</v>
      </c>
      <c r="C16708" s="1" t="s">
        <v>5783</v>
      </c>
      <c r="D16708" s="22" t="str">
        <f>HYPERLINK("https://rhld.insurance.arkansas.gov/NPILookup?Npi=1700314994","1700314994")</f>
        <v>1700314994</v>
      </c>
      <c r="E16708" s="1" t="s">
        <v>6548</v>
      </c>
      <c r="F16708" s="2"/>
      <c r="G16708" s="2"/>
      <c r="H16708" s="2"/>
    </row>
    <row r="16709" spans="1:8" x14ac:dyDescent="0.25">
      <c r="A16709" s="1"/>
      <c r="B16709" s="1" t="s">
        <v>5782</v>
      </c>
      <c r="C16709" s="1" t="s">
        <v>5783</v>
      </c>
      <c r="D16709" s="22" t="str">
        <f>HYPERLINK("https://rhld.insurance.arkansas.gov/NPILookup?Npi=1700320116","1700320116")</f>
        <v>1700320116</v>
      </c>
      <c r="E16709" s="1" t="s">
        <v>6549</v>
      </c>
      <c r="F16709" s="2"/>
      <c r="G16709" s="2"/>
      <c r="H16709" s="2"/>
    </row>
    <row r="16710" spans="1:8" x14ac:dyDescent="0.25">
      <c r="A16710" s="1"/>
      <c r="B16710" s="1" t="s">
        <v>5782</v>
      </c>
      <c r="C16710" s="1" t="s">
        <v>5783</v>
      </c>
      <c r="D16710" s="22" t="str">
        <f>HYPERLINK("https://rhld.insurance.arkansas.gov/NPILookup?Npi=1700326279","1700326279")</f>
        <v>1700326279</v>
      </c>
      <c r="E16710" s="1" t="s">
        <v>23045</v>
      </c>
      <c r="F16710" s="2"/>
      <c r="G16710" s="2"/>
      <c r="H16710" s="2"/>
    </row>
    <row r="16711" spans="1:8" x14ac:dyDescent="0.25">
      <c r="A16711" s="1"/>
      <c r="B16711" s="1" t="s">
        <v>5782</v>
      </c>
      <c r="C16711" s="1" t="s">
        <v>5783</v>
      </c>
      <c r="D16711" s="22" t="str">
        <f>HYPERLINK("https://rhld.insurance.arkansas.gov/NPILookup?Npi=1700334414","1700334414")</f>
        <v>1700334414</v>
      </c>
      <c r="E16711" s="1" t="s">
        <v>1522</v>
      </c>
      <c r="F16711" s="2"/>
      <c r="G16711" s="2"/>
      <c r="H16711" s="2"/>
    </row>
    <row r="16712" spans="1:8" x14ac:dyDescent="0.25">
      <c r="A16712" s="1"/>
      <c r="B16712" s="1" t="s">
        <v>5782</v>
      </c>
      <c r="C16712" s="1" t="s">
        <v>5783</v>
      </c>
      <c r="D16712" s="22" t="str">
        <f>HYPERLINK("https://rhld.insurance.arkansas.gov/NPILookup?Npi=1700348588","1700348588")</f>
        <v>1700348588</v>
      </c>
      <c r="E16712" s="1" t="s">
        <v>23046</v>
      </c>
      <c r="F16712" s="2"/>
      <c r="G16712" s="2"/>
      <c r="H16712" s="2"/>
    </row>
    <row r="16713" spans="1:8" x14ac:dyDescent="0.25">
      <c r="A16713" s="1"/>
      <c r="B16713" s="1" t="s">
        <v>5782</v>
      </c>
      <c r="C16713" s="1" t="s">
        <v>5783</v>
      </c>
      <c r="D16713" s="22" t="str">
        <f>HYPERLINK("https://rhld.insurance.arkansas.gov/NPILookup?Npi=1700366432","1700366432")</f>
        <v>1700366432</v>
      </c>
      <c r="E16713" s="1" t="s">
        <v>23047</v>
      </c>
      <c r="F16713" s="2"/>
      <c r="G16713" s="2"/>
      <c r="H16713" s="2"/>
    </row>
    <row r="16714" spans="1:8" x14ac:dyDescent="0.25">
      <c r="A16714" s="1"/>
      <c r="B16714" s="1" t="s">
        <v>5782</v>
      </c>
      <c r="C16714" s="1" t="s">
        <v>5783</v>
      </c>
      <c r="D16714" s="22" t="str">
        <f>HYPERLINK("https://rhld.insurance.arkansas.gov/NPILookup?Npi=1700367646","1700367646")</f>
        <v>1700367646</v>
      </c>
      <c r="E16714" s="1" t="s">
        <v>23048</v>
      </c>
      <c r="F16714" s="2"/>
      <c r="G16714" s="2"/>
      <c r="H16714" s="2"/>
    </row>
    <row r="16715" spans="1:8" x14ac:dyDescent="0.25">
      <c r="A16715" s="1"/>
      <c r="B16715" s="1" t="s">
        <v>5782</v>
      </c>
      <c r="C16715" s="1" t="s">
        <v>5783</v>
      </c>
      <c r="D16715" s="22" t="str">
        <f>HYPERLINK("https://rhld.insurance.arkansas.gov/NPILookup?Npi=1700372562","1700372562")</f>
        <v>1700372562</v>
      </c>
      <c r="E16715" s="1" t="s">
        <v>23049</v>
      </c>
      <c r="F16715" s="2"/>
      <c r="G16715" s="2"/>
      <c r="H16715" s="2"/>
    </row>
    <row r="16716" spans="1:8" x14ac:dyDescent="0.25">
      <c r="A16716" s="1"/>
      <c r="B16716" s="1" t="s">
        <v>5782</v>
      </c>
      <c r="C16716" s="1" t="s">
        <v>5783</v>
      </c>
      <c r="D16716" s="22" t="str">
        <f>HYPERLINK("https://rhld.insurance.arkansas.gov/NPILookup?Npi=1700383783","1700383783")</f>
        <v>1700383783</v>
      </c>
      <c r="E16716" s="1" t="s">
        <v>23050</v>
      </c>
      <c r="F16716" s="2"/>
      <c r="G16716" s="2"/>
      <c r="H16716" s="2"/>
    </row>
    <row r="16717" spans="1:8" x14ac:dyDescent="0.25">
      <c r="A16717" s="1"/>
      <c r="B16717" s="1" t="s">
        <v>5782</v>
      </c>
      <c r="C16717" s="1" t="s">
        <v>5783</v>
      </c>
      <c r="D16717" s="22" t="str">
        <f>HYPERLINK("https://rhld.insurance.arkansas.gov/NPILookup?Npi=1700395902","1700395902")</f>
        <v>1700395902</v>
      </c>
      <c r="E16717" s="1" t="s">
        <v>23051</v>
      </c>
      <c r="F16717" s="2"/>
      <c r="G16717" s="2"/>
      <c r="H16717" s="2"/>
    </row>
    <row r="16718" spans="1:8" x14ac:dyDescent="0.25">
      <c r="A16718" s="1"/>
      <c r="B16718" s="1" t="s">
        <v>5782</v>
      </c>
      <c r="C16718" s="1" t="s">
        <v>5783</v>
      </c>
      <c r="D16718" s="22" t="str">
        <f>HYPERLINK("https://rhld.insurance.arkansas.gov/NPILookup?Npi=1700412012","1700412012")</f>
        <v>1700412012</v>
      </c>
      <c r="E16718" s="1" t="s">
        <v>23052</v>
      </c>
      <c r="F16718" s="2"/>
      <c r="G16718" s="2"/>
      <c r="H16718" s="2"/>
    </row>
    <row r="16719" spans="1:8" x14ac:dyDescent="0.25">
      <c r="A16719" s="1"/>
      <c r="B16719" s="1" t="s">
        <v>5782</v>
      </c>
      <c r="C16719" s="1" t="s">
        <v>5783</v>
      </c>
      <c r="D16719" s="22" t="str">
        <f>HYPERLINK("https://rhld.insurance.arkansas.gov/NPILookup?Npi=1700418266","1700418266")</f>
        <v>1700418266</v>
      </c>
      <c r="E16719" s="1" t="s">
        <v>6552</v>
      </c>
      <c r="F16719" s="2"/>
      <c r="G16719" s="2"/>
      <c r="H16719" s="2"/>
    </row>
    <row r="16720" spans="1:8" x14ac:dyDescent="0.25">
      <c r="A16720" s="1"/>
      <c r="B16720" s="1" t="s">
        <v>5782</v>
      </c>
      <c r="C16720" s="1" t="s">
        <v>5783</v>
      </c>
      <c r="D16720" s="22" t="str">
        <f>HYPERLINK("https://rhld.insurance.arkansas.gov/NPILookup?Npi=1700421724","1700421724")</f>
        <v>1700421724</v>
      </c>
      <c r="E16720" s="1" t="s">
        <v>12020</v>
      </c>
      <c r="F16720" s="2"/>
      <c r="G16720" s="2"/>
      <c r="H16720" s="2"/>
    </row>
    <row r="16721" spans="1:8" x14ac:dyDescent="0.25">
      <c r="A16721" s="1"/>
      <c r="B16721" s="1" t="s">
        <v>5782</v>
      </c>
      <c r="C16721" s="1" t="s">
        <v>5783</v>
      </c>
      <c r="D16721" s="22" t="str">
        <f>HYPERLINK("https://rhld.insurance.arkansas.gov/NPILookup?Npi=1700423365","1700423365")</f>
        <v>1700423365</v>
      </c>
      <c r="E16721" s="1" t="s">
        <v>23053</v>
      </c>
      <c r="F16721" s="2"/>
      <c r="G16721" s="2"/>
      <c r="H16721" s="2"/>
    </row>
    <row r="16722" spans="1:8" x14ac:dyDescent="0.25">
      <c r="A16722" s="1"/>
      <c r="B16722" s="1" t="s">
        <v>5782</v>
      </c>
      <c r="C16722" s="1" t="s">
        <v>5783</v>
      </c>
      <c r="D16722" s="22" t="str">
        <f>HYPERLINK("https://rhld.insurance.arkansas.gov/NPILookup?Npi=1700424025","1700424025")</f>
        <v>1700424025</v>
      </c>
      <c r="E16722" s="1" t="s">
        <v>6553</v>
      </c>
      <c r="F16722" s="2"/>
      <c r="G16722" s="2"/>
      <c r="H16722" s="2"/>
    </row>
    <row r="16723" spans="1:8" x14ac:dyDescent="0.25">
      <c r="A16723" s="1"/>
      <c r="B16723" s="1" t="s">
        <v>5782</v>
      </c>
      <c r="C16723" s="1" t="s">
        <v>5783</v>
      </c>
      <c r="D16723" s="22" t="str">
        <f>HYPERLINK("https://rhld.insurance.arkansas.gov/NPILookup?Npi=1700433323","1700433323")</f>
        <v>1700433323</v>
      </c>
      <c r="E16723" s="1" t="s">
        <v>23054</v>
      </c>
      <c r="F16723" s="2"/>
      <c r="G16723" s="2"/>
      <c r="H16723" s="2"/>
    </row>
    <row r="16724" spans="1:8" x14ac:dyDescent="0.25">
      <c r="A16724" s="1"/>
      <c r="B16724" s="1" t="s">
        <v>5782</v>
      </c>
      <c r="C16724" s="1" t="s">
        <v>5783</v>
      </c>
      <c r="D16724" s="22" t="str">
        <f>HYPERLINK("https://rhld.insurance.arkansas.gov/NPILookup?Npi=1700437886","1700437886")</f>
        <v>1700437886</v>
      </c>
      <c r="E16724" s="1" t="s">
        <v>23055</v>
      </c>
      <c r="F16724" s="2"/>
      <c r="G16724" s="2"/>
      <c r="H16724" s="2"/>
    </row>
    <row r="16725" spans="1:8" x14ac:dyDescent="0.25">
      <c r="A16725" s="1"/>
      <c r="B16725" s="1" t="s">
        <v>5782</v>
      </c>
      <c r="C16725" s="1" t="s">
        <v>5783</v>
      </c>
      <c r="D16725" s="22" t="str">
        <f>HYPERLINK("https://rhld.insurance.arkansas.gov/NPILookup?Npi=1700445921","1700445921")</f>
        <v>1700445921</v>
      </c>
      <c r="E16725" s="1" t="s">
        <v>23056</v>
      </c>
      <c r="F16725" s="2"/>
      <c r="G16725" s="2"/>
      <c r="H16725" s="2"/>
    </row>
    <row r="16726" spans="1:8" x14ac:dyDescent="0.25">
      <c r="A16726" s="1"/>
      <c r="B16726" s="1" t="s">
        <v>5782</v>
      </c>
      <c r="C16726" s="1" t="s">
        <v>5783</v>
      </c>
      <c r="D16726" s="22" t="str">
        <f>HYPERLINK("https://rhld.insurance.arkansas.gov/NPILookup?Npi=1700459112","1700459112")</f>
        <v>1700459112</v>
      </c>
      <c r="E16726" s="1" t="s">
        <v>6554</v>
      </c>
      <c r="F16726" s="2"/>
      <c r="G16726" s="2"/>
      <c r="H16726" s="2"/>
    </row>
    <row r="16727" spans="1:8" x14ac:dyDescent="0.25">
      <c r="A16727" s="1"/>
      <c r="B16727" s="1" t="s">
        <v>5782</v>
      </c>
      <c r="C16727" s="1" t="s">
        <v>5783</v>
      </c>
      <c r="D16727" s="22" t="str">
        <f>HYPERLINK("https://rhld.insurance.arkansas.gov/NPILookup?Npi=1700482635","1700482635")</f>
        <v>1700482635</v>
      </c>
      <c r="E16727" s="1" t="s">
        <v>23057</v>
      </c>
      <c r="F16727" s="2"/>
      <c r="G16727" s="2"/>
      <c r="H16727" s="2"/>
    </row>
    <row r="16728" spans="1:8" x14ac:dyDescent="0.25">
      <c r="A16728" s="1"/>
      <c r="B16728" s="1" t="s">
        <v>5782</v>
      </c>
      <c r="C16728" s="1" t="s">
        <v>5783</v>
      </c>
      <c r="D16728" s="22" t="str">
        <f>HYPERLINK("https://rhld.insurance.arkansas.gov/NPILookup?Npi=1700485661","1700485661")</f>
        <v>1700485661</v>
      </c>
      <c r="E16728" s="1" t="s">
        <v>6555</v>
      </c>
      <c r="F16728" s="2"/>
      <c r="G16728" s="2"/>
      <c r="H16728" s="2"/>
    </row>
    <row r="16729" spans="1:8" x14ac:dyDescent="0.25">
      <c r="A16729" s="1"/>
      <c r="B16729" s="1" t="s">
        <v>5782</v>
      </c>
      <c r="C16729" s="1" t="s">
        <v>5783</v>
      </c>
      <c r="D16729" s="22" t="str">
        <f>HYPERLINK("https://rhld.insurance.arkansas.gov/NPILookup?Npi=1700491263","1700491263")</f>
        <v>1700491263</v>
      </c>
      <c r="E16729" s="1" t="s">
        <v>23058</v>
      </c>
      <c r="F16729" s="2"/>
      <c r="G16729" s="2"/>
      <c r="H16729" s="2"/>
    </row>
    <row r="16730" spans="1:8" x14ac:dyDescent="0.25">
      <c r="A16730" s="1"/>
      <c r="B16730" s="1" t="s">
        <v>5782</v>
      </c>
      <c r="C16730" s="1" t="s">
        <v>5783</v>
      </c>
      <c r="D16730" s="22" t="str">
        <f>HYPERLINK("https://rhld.insurance.arkansas.gov/NPILookup?Npi=1700500790","1700500790")</f>
        <v>1700500790</v>
      </c>
      <c r="E16730" s="1" t="s">
        <v>6556</v>
      </c>
      <c r="F16730" s="2"/>
      <c r="G16730" s="2"/>
      <c r="H16730" s="2"/>
    </row>
    <row r="16731" spans="1:8" x14ac:dyDescent="0.25">
      <c r="A16731" s="1"/>
      <c r="B16731" s="1" t="s">
        <v>5782</v>
      </c>
      <c r="C16731" s="1" t="s">
        <v>5783</v>
      </c>
      <c r="D16731" s="22" t="str">
        <f>HYPERLINK("https://rhld.insurance.arkansas.gov/NPILookup?Npi=1700505914","1700505914")</f>
        <v>1700505914</v>
      </c>
      <c r="E16731" s="1" t="s">
        <v>23059</v>
      </c>
      <c r="F16731" s="2"/>
      <c r="G16731" s="2"/>
      <c r="H16731" s="2"/>
    </row>
    <row r="16732" spans="1:8" x14ac:dyDescent="0.25">
      <c r="A16732" s="1"/>
      <c r="B16732" s="1" t="s">
        <v>5782</v>
      </c>
      <c r="C16732" s="1" t="s">
        <v>5783</v>
      </c>
      <c r="D16732" s="22" t="str">
        <f>HYPERLINK("https://rhld.insurance.arkansas.gov/NPILookup?Npi=1700512720","1700512720")</f>
        <v>1700512720</v>
      </c>
      <c r="E16732" s="1" t="s">
        <v>31927</v>
      </c>
      <c r="F16732" s="2"/>
      <c r="G16732" s="2"/>
      <c r="H16732" s="2"/>
    </row>
    <row r="16733" spans="1:8" x14ac:dyDescent="0.25">
      <c r="A16733" s="1"/>
      <c r="B16733" s="1" t="s">
        <v>5782</v>
      </c>
      <c r="C16733" s="1" t="s">
        <v>5783</v>
      </c>
      <c r="D16733" s="22" t="str">
        <f>HYPERLINK("https://rhld.insurance.arkansas.gov/NPILookup?Npi=1700513678","1700513678")</f>
        <v>1700513678</v>
      </c>
      <c r="E16733" s="1" t="s">
        <v>6557</v>
      </c>
      <c r="F16733" s="2"/>
      <c r="G16733" s="2"/>
      <c r="H16733" s="2"/>
    </row>
    <row r="16734" spans="1:8" x14ac:dyDescent="0.25">
      <c r="A16734" s="1"/>
      <c r="B16734" s="1" t="s">
        <v>5782</v>
      </c>
      <c r="C16734" s="1" t="s">
        <v>5783</v>
      </c>
      <c r="D16734" s="22" t="str">
        <f>HYPERLINK("https://rhld.insurance.arkansas.gov/NPILookup?Npi=1700534310","1700534310")</f>
        <v>1700534310</v>
      </c>
      <c r="E16734" s="1" t="s">
        <v>6558</v>
      </c>
      <c r="F16734" s="2"/>
      <c r="G16734" s="2"/>
      <c r="H16734" s="2"/>
    </row>
    <row r="16735" spans="1:8" x14ac:dyDescent="0.25">
      <c r="A16735" s="1"/>
      <c r="B16735" s="1" t="s">
        <v>5782</v>
      </c>
      <c r="C16735" s="1" t="s">
        <v>5783</v>
      </c>
      <c r="D16735" s="22" t="str">
        <f>HYPERLINK("https://rhld.insurance.arkansas.gov/NPILookup?Npi=1700546165","1700546165")</f>
        <v>1700546165</v>
      </c>
      <c r="E16735" s="1" t="s">
        <v>23060</v>
      </c>
      <c r="F16735" s="2"/>
      <c r="G16735" s="2"/>
      <c r="H16735" s="2"/>
    </row>
    <row r="16736" spans="1:8" x14ac:dyDescent="0.25">
      <c r="A16736" s="1"/>
      <c r="B16736" s="1" t="s">
        <v>5782</v>
      </c>
      <c r="C16736" s="1" t="s">
        <v>5783</v>
      </c>
      <c r="D16736" s="22" t="str">
        <f>HYPERLINK("https://rhld.insurance.arkansas.gov/NPILookup?Npi=1700556297","1700556297")</f>
        <v>1700556297</v>
      </c>
      <c r="E16736" s="1" t="s">
        <v>6559</v>
      </c>
      <c r="F16736" s="2"/>
      <c r="G16736" s="2"/>
      <c r="H16736" s="2"/>
    </row>
    <row r="16737" spans="1:8" x14ac:dyDescent="0.25">
      <c r="A16737" s="1"/>
      <c r="B16737" s="1" t="s">
        <v>5782</v>
      </c>
      <c r="C16737" s="1" t="s">
        <v>5783</v>
      </c>
      <c r="D16737" s="22" t="str">
        <f>HYPERLINK("https://rhld.insurance.arkansas.gov/NPILookup?Npi=1700565660","1700565660")</f>
        <v>1700565660</v>
      </c>
      <c r="E16737" s="1" t="s">
        <v>6560</v>
      </c>
      <c r="F16737" s="2"/>
      <c r="G16737" s="2"/>
      <c r="H16737" s="2"/>
    </row>
    <row r="16738" spans="1:8" x14ac:dyDescent="0.25">
      <c r="A16738" s="1"/>
      <c r="B16738" s="1" t="s">
        <v>5782</v>
      </c>
      <c r="C16738" s="1" t="s">
        <v>5783</v>
      </c>
      <c r="D16738" s="22" t="str">
        <f>HYPERLINK("https://rhld.insurance.arkansas.gov/NPILookup?Npi=1700565959","1700565959")</f>
        <v>1700565959</v>
      </c>
      <c r="E16738" s="1" t="s">
        <v>4294</v>
      </c>
      <c r="F16738" s="2"/>
      <c r="G16738" s="2"/>
      <c r="H16738" s="2"/>
    </row>
    <row r="16739" spans="1:8" x14ac:dyDescent="0.25">
      <c r="A16739" s="1"/>
      <c r="B16739" s="1" t="s">
        <v>5782</v>
      </c>
      <c r="C16739" s="1" t="s">
        <v>5783</v>
      </c>
      <c r="D16739" s="22" t="str">
        <f>HYPERLINK("https://rhld.insurance.arkansas.gov/NPILookup?Npi=1700665478","1700665478")</f>
        <v>1700665478</v>
      </c>
      <c r="E16739" s="1" t="s">
        <v>2939</v>
      </c>
      <c r="F16739" s="2"/>
      <c r="G16739" s="2"/>
      <c r="H16739" s="2"/>
    </row>
    <row r="16740" spans="1:8" x14ac:dyDescent="0.25">
      <c r="A16740" s="1"/>
      <c r="B16740" s="1" t="s">
        <v>5782</v>
      </c>
      <c r="C16740" s="1" t="s">
        <v>5783</v>
      </c>
      <c r="D16740" s="22" t="str">
        <f>HYPERLINK("https://rhld.insurance.arkansas.gov/NPILookup?Npi=1700692183","1700692183")</f>
        <v>1700692183</v>
      </c>
      <c r="E16740" s="1" t="s">
        <v>31928</v>
      </c>
      <c r="F16740" s="2"/>
      <c r="G16740" s="2"/>
      <c r="H16740" s="2"/>
    </row>
    <row r="16741" spans="1:8" x14ac:dyDescent="0.25">
      <c r="A16741" s="1"/>
      <c r="B16741" s="1" t="s">
        <v>5782</v>
      </c>
      <c r="C16741" s="1" t="s">
        <v>5783</v>
      </c>
      <c r="D16741" s="22" t="str">
        <f>HYPERLINK("https://rhld.insurance.arkansas.gov/NPILookup?Npi=1700808961","1700808961")</f>
        <v>1700808961</v>
      </c>
      <c r="E16741" s="1" t="s">
        <v>23061</v>
      </c>
      <c r="F16741" s="2"/>
      <c r="G16741" s="2"/>
      <c r="H16741" s="2"/>
    </row>
    <row r="16742" spans="1:8" x14ac:dyDescent="0.25">
      <c r="A16742" s="1"/>
      <c r="B16742" s="1" t="s">
        <v>5782</v>
      </c>
      <c r="C16742" s="1" t="s">
        <v>5783</v>
      </c>
      <c r="D16742" s="22" t="str">
        <f>HYPERLINK("https://rhld.insurance.arkansas.gov/NPILookup?Npi=1700830122","1700830122")</f>
        <v>1700830122</v>
      </c>
      <c r="E16742" s="1" t="s">
        <v>6561</v>
      </c>
      <c r="F16742" s="2"/>
      <c r="G16742" s="2"/>
      <c r="H16742" s="2"/>
    </row>
    <row r="16743" spans="1:8" x14ac:dyDescent="0.25">
      <c r="A16743" s="1"/>
      <c r="B16743" s="1" t="s">
        <v>5782</v>
      </c>
      <c r="C16743" s="1" t="s">
        <v>5783</v>
      </c>
      <c r="D16743" s="22" t="str">
        <f>HYPERLINK("https://rhld.insurance.arkansas.gov/NPILookup?Npi=1700832938","1700832938")</f>
        <v>1700832938</v>
      </c>
      <c r="E16743" s="1" t="s">
        <v>23062</v>
      </c>
      <c r="F16743" s="2"/>
      <c r="G16743" s="2"/>
      <c r="H16743" s="2"/>
    </row>
    <row r="16744" spans="1:8" x14ac:dyDescent="0.25">
      <c r="A16744" s="1"/>
      <c r="B16744" s="1" t="s">
        <v>5782</v>
      </c>
      <c r="C16744" s="1" t="s">
        <v>5783</v>
      </c>
      <c r="D16744" s="22" t="str">
        <f>HYPERLINK("https://rhld.insurance.arkansas.gov/NPILookup?Npi=1700858362","1700858362")</f>
        <v>1700858362</v>
      </c>
      <c r="E16744" s="1" t="s">
        <v>6562</v>
      </c>
      <c r="F16744" s="2"/>
      <c r="G16744" s="2"/>
      <c r="H16744" s="2"/>
    </row>
    <row r="16745" spans="1:8" x14ac:dyDescent="0.25">
      <c r="A16745" s="1"/>
      <c r="B16745" s="1" t="s">
        <v>5782</v>
      </c>
      <c r="C16745" s="1" t="s">
        <v>5783</v>
      </c>
      <c r="D16745" s="22" t="str">
        <f>HYPERLINK("https://rhld.insurance.arkansas.gov/NPILookup?Npi=1700859329","1700859329")</f>
        <v>1700859329</v>
      </c>
      <c r="E16745" s="1" t="s">
        <v>23063</v>
      </c>
      <c r="F16745" s="2"/>
      <c r="G16745" s="2"/>
      <c r="H16745" s="2"/>
    </row>
    <row r="16746" spans="1:8" x14ac:dyDescent="0.25">
      <c r="A16746" s="1"/>
      <c r="B16746" s="1" t="s">
        <v>5782</v>
      </c>
      <c r="C16746" s="1" t="s">
        <v>5783</v>
      </c>
      <c r="D16746" s="22" t="str">
        <f>HYPERLINK("https://rhld.insurance.arkansas.gov/NPILookup?Npi=1700907920","1700907920")</f>
        <v>1700907920</v>
      </c>
      <c r="E16746" s="1" t="s">
        <v>23064</v>
      </c>
      <c r="F16746" s="2"/>
      <c r="G16746" s="2"/>
      <c r="H16746" s="2"/>
    </row>
    <row r="16747" spans="1:8" x14ac:dyDescent="0.25">
      <c r="A16747" s="1"/>
      <c r="B16747" s="1" t="s">
        <v>5782</v>
      </c>
      <c r="C16747" s="1" t="s">
        <v>5783</v>
      </c>
      <c r="D16747" s="22" t="str">
        <f>HYPERLINK("https://rhld.insurance.arkansas.gov/NPILookup?Npi=1700928546","1700928546")</f>
        <v>1700928546</v>
      </c>
      <c r="E16747" s="1" t="s">
        <v>23065</v>
      </c>
      <c r="F16747" s="2"/>
      <c r="G16747" s="2"/>
      <c r="H16747" s="2"/>
    </row>
    <row r="16748" spans="1:8" x14ac:dyDescent="0.25">
      <c r="A16748" s="1"/>
      <c r="B16748" s="1" t="s">
        <v>5782</v>
      </c>
      <c r="C16748" s="1" t="s">
        <v>5783</v>
      </c>
      <c r="D16748" s="22" t="str">
        <f>HYPERLINK("https://rhld.insurance.arkansas.gov/NPILookup?Npi=1700945540","1700945540")</f>
        <v>1700945540</v>
      </c>
      <c r="E16748" s="1" t="s">
        <v>23066</v>
      </c>
      <c r="F16748" s="2"/>
      <c r="G16748" s="2"/>
      <c r="H16748" s="2"/>
    </row>
    <row r="16749" spans="1:8" x14ac:dyDescent="0.25">
      <c r="A16749" s="1"/>
      <c r="B16749" s="1" t="s">
        <v>5782</v>
      </c>
      <c r="C16749" s="1" t="s">
        <v>5783</v>
      </c>
      <c r="D16749" s="22" t="str">
        <f>HYPERLINK("https://rhld.insurance.arkansas.gov/NPILookup?Npi=1700971413","1700971413")</f>
        <v>1700971413</v>
      </c>
      <c r="E16749" s="1" t="s">
        <v>23067</v>
      </c>
      <c r="F16749" s="2"/>
      <c r="G16749" s="2"/>
      <c r="H16749" s="2"/>
    </row>
    <row r="16750" spans="1:8" x14ac:dyDescent="0.25">
      <c r="A16750" s="1"/>
      <c r="B16750" s="1" t="s">
        <v>5782</v>
      </c>
      <c r="C16750" s="1" t="s">
        <v>5783</v>
      </c>
      <c r="D16750" s="22" t="str">
        <f>HYPERLINK("https://rhld.insurance.arkansas.gov/NPILookup?Npi=1700976370","1700976370")</f>
        <v>1700976370</v>
      </c>
      <c r="E16750" s="1" t="s">
        <v>23068</v>
      </c>
      <c r="F16750" s="2"/>
      <c r="G16750" s="2"/>
      <c r="H16750" s="2"/>
    </row>
    <row r="16751" spans="1:8" x14ac:dyDescent="0.25">
      <c r="A16751" s="1"/>
      <c r="B16751" s="1" t="s">
        <v>5782</v>
      </c>
      <c r="C16751" s="1" t="s">
        <v>5783</v>
      </c>
      <c r="D16751" s="22" t="str">
        <f>HYPERLINK("https://rhld.insurance.arkansas.gov/NPILookup?Npi=1700977741","1700977741")</f>
        <v>1700977741</v>
      </c>
      <c r="E16751" s="1" t="s">
        <v>23069</v>
      </c>
      <c r="F16751" s="2"/>
      <c r="G16751" s="2"/>
      <c r="H16751" s="2"/>
    </row>
    <row r="16752" spans="1:8" x14ac:dyDescent="0.25">
      <c r="A16752" s="1"/>
      <c r="B16752" s="1" t="s">
        <v>5782</v>
      </c>
      <c r="C16752" s="1" t="s">
        <v>5783</v>
      </c>
      <c r="D16752" s="22" t="str">
        <f>HYPERLINK("https://rhld.insurance.arkansas.gov/NPILookup?Npi=1710014170","1710014170")</f>
        <v>1710014170</v>
      </c>
      <c r="E16752" s="1" t="s">
        <v>23070</v>
      </c>
      <c r="F16752" s="2"/>
      <c r="G16752" s="2"/>
      <c r="H16752" s="2"/>
    </row>
    <row r="16753" spans="1:8" x14ac:dyDescent="0.25">
      <c r="A16753" s="1"/>
      <c r="B16753" s="1" t="s">
        <v>5782</v>
      </c>
      <c r="C16753" s="1" t="s">
        <v>5783</v>
      </c>
      <c r="D16753" s="22" t="str">
        <f>HYPERLINK("https://rhld.insurance.arkansas.gov/NPILookup?Npi=1710016662","1710016662")</f>
        <v>1710016662</v>
      </c>
      <c r="E16753" s="1" t="s">
        <v>23071</v>
      </c>
      <c r="F16753" s="2"/>
      <c r="G16753" s="2"/>
      <c r="H16753" s="2"/>
    </row>
    <row r="16754" spans="1:8" x14ac:dyDescent="0.25">
      <c r="A16754" s="1"/>
      <c r="B16754" s="1" t="s">
        <v>5782</v>
      </c>
      <c r="C16754" s="1" t="s">
        <v>5783</v>
      </c>
      <c r="D16754" s="22" t="str">
        <f>HYPERLINK("https://rhld.insurance.arkansas.gov/NPILookup?Npi=1710020334","1710020334")</f>
        <v>1710020334</v>
      </c>
      <c r="E16754" s="1" t="s">
        <v>23072</v>
      </c>
      <c r="F16754" s="2"/>
      <c r="G16754" s="2"/>
      <c r="H16754" s="2"/>
    </row>
    <row r="16755" spans="1:8" x14ac:dyDescent="0.25">
      <c r="A16755" s="1"/>
      <c r="B16755" s="1" t="s">
        <v>5782</v>
      </c>
      <c r="C16755" s="1" t="s">
        <v>5783</v>
      </c>
      <c r="D16755" s="22" t="str">
        <f>HYPERLINK("https://rhld.insurance.arkansas.gov/NPILookup?Npi=1710026257","1710026257")</f>
        <v>1710026257</v>
      </c>
      <c r="E16755" s="1" t="s">
        <v>23073</v>
      </c>
      <c r="F16755" s="2"/>
      <c r="G16755" s="2"/>
      <c r="H16755" s="2"/>
    </row>
    <row r="16756" spans="1:8" x14ac:dyDescent="0.25">
      <c r="A16756" s="1"/>
      <c r="B16756" s="1" t="s">
        <v>5782</v>
      </c>
      <c r="C16756" s="1" t="s">
        <v>5783</v>
      </c>
      <c r="D16756" s="22" t="str">
        <f>HYPERLINK("https://rhld.insurance.arkansas.gov/NPILookup?Npi=1710038948","1710038948")</f>
        <v>1710038948</v>
      </c>
      <c r="E16756" s="1" t="s">
        <v>23074</v>
      </c>
      <c r="F16756" s="2"/>
      <c r="G16756" s="2"/>
      <c r="H16756" s="2"/>
    </row>
    <row r="16757" spans="1:8" x14ac:dyDescent="0.25">
      <c r="A16757" s="1"/>
      <c r="B16757" s="1" t="s">
        <v>5782</v>
      </c>
      <c r="C16757" s="1" t="s">
        <v>5783</v>
      </c>
      <c r="D16757" s="22" t="str">
        <f>HYPERLINK("https://rhld.insurance.arkansas.gov/NPILookup?Npi=1710057393","1710057393")</f>
        <v>1710057393</v>
      </c>
      <c r="E16757" s="1" t="s">
        <v>330</v>
      </c>
      <c r="F16757" s="2"/>
      <c r="G16757" s="2"/>
      <c r="H16757" s="2"/>
    </row>
    <row r="16758" spans="1:8" x14ac:dyDescent="0.25">
      <c r="A16758" s="1"/>
      <c r="B16758" s="1" t="s">
        <v>5782</v>
      </c>
      <c r="C16758" s="1" t="s">
        <v>5783</v>
      </c>
      <c r="D16758" s="22" t="str">
        <f>HYPERLINK("https://rhld.insurance.arkansas.gov/NPILookup?Npi=1710093554","1710093554")</f>
        <v>1710093554</v>
      </c>
      <c r="E16758" s="1" t="s">
        <v>787</v>
      </c>
      <c r="F16758" s="2"/>
      <c r="G16758" s="2"/>
      <c r="H16758" s="2"/>
    </row>
    <row r="16759" spans="1:8" x14ac:dyDescent="0.25">
      <c r="A16759" s="1"/>
      <c r="B16759" s="1" t="s">
        <v>5782</v>
      </c>
      <c r="C16759" s="1" t="s">
        <v>5783</v>
      </c>
      <c r="D16759" s="22" t="str">
        <f>HYPERLINK("https://rhld.insurance.arkansas.gov/NPILookup?Npi=1710123377","1710123377")</f>
        <v>1710123377</v>
      </c>
      <c r="E16759" s="1" t="s">
        <v>3357</v>
      </c>
      <c r="F16759" s="2"/>
      <c r="G16759" s="2"/>
      <c r="H16759" s="2"/>
    </row>
    <row r="16760" spans="1:8" x14ac:dyDescent="0.25">
      <c r="A16760" s="1"/>
      <c r="B16760" s="1" t="s">
        <v>5782</v>
      </c>
      <c r="C16760" s="1" t="s">
        <v>5783</v>
      </c>
      <c r="D16760" s="22" t="str">
        <f>HYPERLINK("https://rhld.insurance.arkansas.gov/NPILookup?Npi=1710133152","1710133152")</f>
        <v>1710133152</v>
      </c>
      <c r="E16760" s="1" t="s">
        <v>12022</v>
      </c>
      <c r="F16760" s="2"/>
      <c r="G16760" s="2"/>
      <c r="H16760" s="2"/>
    </row>
    <row r="16761" spans="1:8" x14ac:dyDescent="0.25">
      <c r="A16761" s="1"/>
      <c r="B16761" s="1" t="s">
        <v>5782</v>
      </c>
      <c r="C16761" s="1" t="s">
        <v>5783</v>
      </c>
      <c r="D16761" s="22" t="str">
        <f>HYPERLINK("https://rhld.insurance.arkansas.gov/NPILookup?Npi=1710136270","1710136270")</f>
        <v>1710136270</v>
      </c>
      <c r="E16761" s="1" t="s">
        <v>23075</v>
      </c>
      <c r="F16761" s="2"/>
      <c r="G16761" s="2"/>
      <c r="H16761" s="2"/>
    </row>
    <row r="16762" spans="1:8" x14ac:dyDescent="0.25">
      <c r="A16762" s="1"/>
      <c r="B16762" s="1" t="s">
        <v>5782</v>
      </c>
      <c r="C16762" s="1" t="s">
        <v>5783</v>
      </c>
      <c r="D16762" s="22" t="str">
        <f>HYPERLINK("https://rhld.insurance.arkansas.gov/NPILookup?Npi=1710141254","1710141254")</f>
        <v>1710141254</v>
      </c>
      <c r="E16762" s="1" t="s">
        <v>12023</v>
      </c>
      <c r="F16762" s="2"/>
      <c r="G16762" s="2"/>
      <c r="H16762" s="2"/>
    </row>
    <row r="16763" spans="1:8" x14ac:dyDescent="0.25">
      <c r="A16763" s="1"/>
      <c r="B16763" s="1" t="s">
        <v>5782</v>
      </c>
      <c r="C16763" s="1" t="s">
        <v>5783</v>
      </c>
      <c r="D16763" s="22" t="str">
        <f>HYPERLINK("https://rhld.insurance.arkansas.gov/NPILookup?Npi=1710149604","1710149604")</f>
        <v>1710149604</v>
      </c>
      <c r="E16763" s="1" t="s">
        <v>23076</v>
      </c>
      <c r="F16763" s="2"/>
      <c r="G16763" s="2"/>
      <c r="H16763" s="2"/>
    </row>
    <row r="16764" spans="1:8" x14ac:dyDescent="0.25">
      <c r="A16764" s="1"/>
      <c r="B16764" s="1" t="s">
        <v>5782</v>
      </c>
      <c r="C16764" s="1" t="s">
        <v>5783</v>
      </c>
      <c r="D16764" s="22" t="str">
        <f>HYPERLINK("https://rhld.insurance.arkansas.gov/NPILookup?Npi=1710211461","1710211461")</f>
        <v>1710211461</v>
      </c>
      <c r="E16764" s="1" t="s">
        <v>23077</v>
      </c>
      <c r="F16764" s="2"/>
      <c r="G16764" s="2"/>
      <c r="H16764" s="2"/>
    </row>
    <row r="16765" spans="1:8" x14ac:dyDescent="0.25">
      <c r="A16765" s="1"/>
      <c r="B16765" s="1" t="s">
        <v>5782</v>
      </c>
      <c r="C16765" s="1" t="s">
        <v>5783</v>
      </c>
      <c r="D16765" s="22" t="str">
        <f>HYPERLINK("https://rhld.insurance.arkansas.gov/NPILookup?Npi=1710222849","1710222849")</f>
        <v>1710222849</v>
      </c>
      <c r="E16765" s="1" t="s">
        <v>23078</v>
      </c>
      <c r="F16765" s="2"/>
      <c r="G16765" s="2"/>
      <c r="H16765" s="2"/>
    </row>
    <row r="16766" spans="1:8" x14ac:dyDescent="0.25">
      <c r="A16766" s="1"/>
      <c r="B16766" s="1" t="s">
        <v>5782</v>
      </c>
      <c r="C16766" s="1" t="s">
        <v>5783</v>
      </c>
      <c r="D16766" s="22" t="str">
        <f>HYPERLINK("https://rhld.insurance.arkansas.gov/NPILookup?Npi=1710237581","1710237581")</f>
        <v>1710237581</v>
      </c>
      <c r="E16766" s="1" t="s">
        <v>6563</v>
      </c>
      <c r="F16766" s="2"/>
      <c r="G16766" s="2"/>
      <c r="H16766" s="2"/>
    </row>
    <row r="16767" spans="1:8" x14ac:dyDescent="0.25">
      <c r="A16767" s="1"/>
      <c r="B16767" s="1" t="s">
        <v>5782</v>
      </c>
      <c r="C16767" s="1" t="s">
        <v>5783</v>
      </c>
      <c r="D16767" s="22" t="str">
        <f>HYPERLINK("https://rhld.insurance.arkansas.gov/NPILookup?Npi=1710269139","1710269139")</f>
        <v>1710269139</v>
      </c>
      <c r="E16767" s="1" t="s">
        <v>23079</v>
      </c>
      <c r="F16767" s="2"/>
      <c r="G16767" s="2"/>
      <c r="H16767" s="2"/>
    </row>
    <row r="16768" spans="1:8" x14ac:dyDescent="0.25">
      <c r="A16768" s="1"/>
      <c r="B16768" s="1" t="s">
        <v>5782</v>
      </c>
      <c r="C16768" s="1" t="s">
        <v>5783</v>
      </c>
      <c r="D16768" s="22" t="str">
        <f>HYPERLINK("https://rhld.insurance.arkansas.gov/NPILookup?Npi=1710276514","1710276514")</f>
        <v>1710276514</v>
      </c>
      <c r="E16768" s="1" t="s">
        <v>23080</v>
      </c>
      <c r="F16768" s="2"/>
      <c r="G16768" s="2"/>
      <c r="H16768" s="2"/>
    </row>
    <row r="16769" spans="1:8" x14ac:dyDescent="0.25">
      <c r="A16769" s="1"/>
      <c r="B16769" s="1" t="s">
        <v>5782</v>
      </c>
      <c r="C16769" s="1" t="s">
        <v>5783</v>
      </c>
      <c r="D16769" s="22" t="str">
        <f>HYPERLINK("https://rhld.insurance.arkansas.gov/NPILookup?Npi=1710310818","1710310818")</f>
        <v>1710310818</v>
      </c>
      <c r="E16769" s="1" t="s">
        <v>3358</v>
      </c>
      <c r="F16769" s="2"/>
      <c r="G16769" s="2"/>
      <c r="H16769" s="2"/>
    </row>
    <row r="16770" spans="1:8" x14ac:dyDescent="0.25">
      <c r="A16770" s="1"/>
      <c r="B16770" s="1" t="s">
        <v>5782</v>
      </c>
      <c r="C16770" s="1" t="s">
        <v>5783</v>
      </c>
      <c r="D16770" s="22" t="str">
        <f>HYPERLINK("https://rhld.insurance.arkansas.gov/NPILookup?Npi=1710312285","1710312285")</f>
        <v>1710312285</v>
      </c>
      <c r="E16770" s="1" t="s">
        <v>23081</v>
      </c>
      <c r="F16770" s="2"/>
      <c r="G16770" s="2"/>
      <c r="H16770" s="2"/>
    </row>
    <row r="16771" spans="1:8" x14ac:dyDescent="0.25">
      <c r="A16771" s="1"/>
      <c r="B16771" s="1" t="s">
        <v>5782</v>
      </c>
      <c r="C16771" s="1" t="s">
        <v>5783</v>
      </c>
      <c r="D16771" s="22" t="str">
        <f>HYPERLINK("https://rhld.insurance.arkansas.gov/NPILookup?Npi=1710335013","1710335013")</f>
        <v>1710335013</v>
      </c>
      <c r="E16771" s="1" t="s">
        <v>6564</v>
      </c>
      <c r="F16771" s="2"/>
      <c r="G16771" s="2"/>
      <c r="H16771" s="2"/>
    </row>
    <row r="16772" spans="1:8" x14ac:dyDescent="0.25">
      <c r="A16772" s="1"/>
      <c r="B16772" s="1" t="s">
        <v>5782</v>
      </c>
      <c r="C16772" s="1" t="s">
        <v>5783</v>
      </c>
      <c r="D16772" s="22" t="str">
        <f>HYPERLINK("https://rhld.insurance.arkansas.gov/NPILookup?Npi=1710336730","1710336730")</f>
        <v>1710336730</v>
      </c>
      <c r="E16772" s="1" t="s">
        <v>23082</v>
      </c>
      <c r="F16772" s="2"/>
      <c r="G16772" s="2"/>
      <c r="H16772" s="2"/>
    </row>
    <row r="16773" spans="1:8" x14ac:dyDescent="0.25">
      <c r="A16773" s="1"/>
      <c r="B16773" s="1" t="s">
        <v>5782</v>
      </c>
      <c r="C16773" s="1" t="s">
        <v>5783</v>
      </c>
      <c r="D16773" s="22" t="str">
        <f>HYPERLINK("https://rhld.insurance.arkansas.gov/NPILookup?Npi=1710341417","1710341417")</f>
        <v>1710341417</v>
      </c>
      <c r="E16773" s="1" t="s">
        <v>1429</v>
      </c>
      <c r="F16773" s="2"/>
      <c r="G16773" s="2"/>
      <c r="H16773" s="2"/>
    </row>
    <row r="16774" spans="1:8" x14ac:dyDescent="0.25">
      <c r="A16774" s="1"/>
      <c r="B16774" s="1" t="s">
        <v>5782</v>
      </c>
      <c r="C16774" s="1" t="s">
        <v>5783</v>
      </c>
      <c r="D16774" s="22" t="str">
        <f>HYPERLINK("https://rhld.insurance.arkansas.gov/NPILookup?Npi=1710361464","1710361464")</f>
        <v>1710361464</v>
      </c>
      <c r="E16774" s="1" t="s">
        <v>8139</v>
      </c>
      <c r="F16774" s="2"/>
      <c r="G16774" s="2"/>
      <c r="H16774" s="2"/>
    </row>
    <row r="16775" spans="1:8" x14ac:dyDescent="0.25">
      <c r="A16775" s="1"/>
      <c r="B16775" s="1" t="s">
        <v>5782</v>
      </c>
      <c r="C16775" s="1" t="s">
        <v>5783</v>
      </c>
      <c r="D16775" s="22" t="str">
        <f>HYPERLINK("https://rhld.insurance.arkansas.gov/NPILookup?Npi=1710369582","1710369582")</f>
        <v>1710369582</v>
      </c>
      <c r="E16775" s="1" t="s">
        <v>23083</v>
      </c>
      <c r="F16775" s="2"/>
      <c r="G16775" s="2"/>
      <c r="H16775" s="2"/>
    </row>
    <row r="16776" spans="1:8" x14ac:dyDescent="0.25">
      <c r="A16776" s="1"/>
      <c r="B16776" s="1" t="s">
        <v>5782</v>
      </c>
      <c r="C16776" s="1" t="s">
        <v>5783</v>
      </c>
      <c r="D16776" s="22" t="str">
        <f>HYPERLINK("https://rhld.insurance.arkansas.gov/NPILookup?Npi=1710370069","1710370069")</f>
        <v>1710370069</v>
      </c>
      <c r="E16776" s="1" t="s">
        <v>23084</v>
      </c>
      <c r="F16776" s="2"/>
      <c r="G16776" s="2"/>
      <c r="H16776" s="2"/>
    </row>
    <row r="16777" spans="1:8" x14ac:dyDescent="0.25">
      <c r="A16777" s="1"/>
      <c r="B16777" s="1" t="s">
        <v>5782</v>
      </c>
      <c r="C16777" s="1" t="s">
        <v>5783</v>
      </c>
      <c r="D16777" s="22" t="str">
        <f>HYPERLINK("https://rhld.insurance.arkansas.gov/NPILookup?Npi=1710381264","1710381264")</f>
        <v>1710381264</v>
      </c>
      <c r="E16777" s="1" t="s">
        <v>23085</v>
      </c>
      <c r="F16777" s="2"/>
      <c r="G16777" s="2"/>
      <c r="H16777" s="2"/>
    </row>
    <row r="16778" spans="1:8" x14ac:dyDescent="0.25">
      <c r="A16778" s="1"/>
      <c r="B16778" s="1" t="s">
        <v>5782</v>
      </c>
      <c r="C16778" s="1" t="s">
        <v>5783</v>
      </c>
      <c r="D16778" s="22" t="str">
        <f>HYPERLINK("https://rhld.insurance.arkansas.gov/NPILookup?Npi=1710383013","1710383013")</f>
        <v>1710383013</v>
      </c>
      <c r="E16778" s="1" t="s">
        <v>23086</v>
      </c>
      <c r="F16778" s="2"/>
      <c r="G16778" s="2"/>
      <c r="H16778" s="2"/>
    </row>
    <row r="16779" spans="1:8" x14ac:dyDescent="0.25">
      <c r="A16779" s="1"/>
      <c r="B16779" s="1" t="s">
        <v>5782</v>
      </c>
      <c r="C16779" s="1" t="s">
        <v>5783</v>
      </c>
      <c r="D16779" s="22" t="str">
        <f>HYPERLINK("https://rhld.insurance.arkansas.gov/NPILookup?Npi=1710424601","1710424601")</f>
        <v>1710424601</v>
      </c>
      <c r="E16779" s="1" t="s">
        <v>1335</v>
      </c>
      <c r="F16779" s="2"/>
      <c r="G16779" s="2"/>
      <c r="H16779" s="2"/>
    </row>
    <row r="16780" spans="1:8" x14ac:dyDescent="0.25">
      <c r="A16780" s="1"/>
      <c r="B16780" s="1" t="s">
        <v>5782</v>
      </c>
      <c r="C16780" s="1" t="s">
        <v>5783</v>
      </c>
      <c r="D16780" s="22" t="str">
        <f>HYPERLINK("https://rhld.insurance.arkansas.gov/NPILookup?Npi=1710434071","1710434071")</f>
        <v>1710434071</v>
      </c>
      <c r="E16780" s="1" t="s">
        <v>23087</v>
      </c>
      <c r="F16780" s="2"/>
      <c r="G16780" s="2"/>
      <c r="H16780" s="2"/>
    </row>
    <row r="16781" spans="1:8" x14ac:dyDescent="0.25">
      <c r="A16781" s="1"/>
      <c r="B16781" s="1" t="s">
        <v>5782</v>
      </c>
      <c r="C16781" s="1" t="s">
        <v>5783</v>
      </c>
      <c r="D16781" s="22" t="str">
        <f>HYPERLINK("https://rhld.insurance.arkansas.gov/NPILookup?Npi=1710440649","1710440649")</f>
        <v>1710440649</v>
      </c>
      <c r="E16781" s="1" t="s">
        <v>23088</v>
      </c>
      <c r="F16781" s="2"/>
      <c r="G16781" s="2"/>
      <c r="H16781" s="2"/>
    </row>
    <row r="16782" spans="1:8" x14ac:dyDescent="0.25">
      <c r="A16782" s="1"/>
      <c r="B16782" s="1" t="s">
        <v>5782</v>
      </c>
      <c r="C16782" s="1" t="s">
        <v>5783</v>
      </c>
      <c r="D16782" s="22" t="str">
        <f>HYPERLINK("https://rhld.insurance.arkansas.gov/NPILookup?Npi=1710451281","1710451281")</f>
        <v>1710451281</v>
      </c>
      <c r="E16782" s="1" t="s">
        <v>23089</v>
      </c>
      <c r="F16782" s="2"/>
      <c r="G16782" s="2"/>
      <c r="H16782" s="2"/>
    </row>
    <row r="16783" spans="1:8" x14ac:dyDescent="0.25">
      <c r="A16783" s="1"/>
      <c r="B16783" s="1" t="s">
        <v>5782</v>
      </c>
      <c r="C16783" s="1" t="s">
        <v>5783</v>
      </c>
      <c r="D16783" s="22" t="str">
        <f>HYPERLINK("https://rhld.insurance.arkansas.gov/NPILookup?Npi=1710459219","1710459219")</f>
        <v>1710459219</v>
      </c>
      <c r="E16783" s="1" t="s">
        <v>3359</v>
      </c>
      <c r="F16783" s="2"/>
      <c r="G16783" s="2"/>
      <c r="H16783" s="2"/>
    </row>
    <row r="16784" spans="1:8" x14ac:dyDescent="0.25">
      <c r="A16784" s="1"/>
      <c r="B16784" s="1" t="s">
        <v>5782</v>
      </c>
      <c r="C16784" s="1" t="s">
        <v>5783</v>
      </c>
      <c r="D16784" s="22" t="str">
        <f>HYPERLINK("https://rhld.insurance.arkansas.gov/NPILookup?Npi=1710466263","1710466263")</f>
        <v>1710466263</v>
      </c>
      <c r="E16784" s="1" t="s">
        <v>6565</v>
      </c>
      <c r="F16784" s="2"/>
      <c r="G16784" s="2"/>
      <c r="H16784" s="2"/>
    </row>
    <row r="16785" spans="1:8" x14ac:dyDescent="0.25">
      <c r="A16785" s="1"/>
      <c r="B16785" s="1" t="s">
        <v>5782</v>
      </c>
      <c r="C16785" s="1" t="s">
        <v>5783</v>
      </c>
      <c r="D16785" s="22" t="str">
        <f>HYPERLINK("https://rhld.insurance.arkansas.gov/NPILookup?Npi=1710472030","1710472030")</f>
        <v>1710472030</v>
      </c>
      <c r="E16785" s="1" t="s">
        <v>6566</v>
      </c>
      <c r="F16785" s="2"/>
      <c r="G16785" s="2"/>
      <c r="H16785" s="2"/>
    </row>
    <row r="16786" spans="1:8" x14ac:dyDescent="0.25">
      <c r="A16786" s="1"/>
      <c r="B16786" s="1" t="s">
        <v>5782</v>
      </c>
      <c r="C16786" s="1" t="s">
        <v>5783</v>
      </c>
      <c r="D16786" s="22" t="str">
        <f>HYPERLINK("https://rhld.insurance.arkansas.gov/NPILookup?Npi=1710488424","1710488424")</f>
        <v>1710488424</v>
      </c>
      <c r="E16786" s="1" t="s">
        <v>23090</v>
      </c>
      <c r="F16786" s="2"/>
      <c r="G16786" s="2"/>
      <c r="H16786" s="2"/>
    </row>
    <row r="16787" spans="1:8" x14ac:dyDescent="0.25">
      <c r="A16787" s="1"/>
      <c r="B16787" s="1" t="s">
        <v>5782</v>
      </c>
      <c r="C16787" s="1" t="s">
        <v>5783</v>
      </c>
      <c r="D16787" s="22" t="str">
        <f>HYPERLINK("https://rhld.insurance.arkansas.gov/NPILookup?Npi=1710497342","1710497342")</f>
        <v>1710497342</v>
      </c>
      <c r="E16787" s="1" t="s">
        <v>12024</v>
      </c>
      <c r="F16787" s="2"/>
      <c r="G16787" s="2"/>
      <c r="H16787" s="2"/>
    </row>
    <row r="16788" spans="1:8" x14ac:dyDescent="0.25">
      <c r="A16788" s="1"/>
      <c r="B16788" s="1" t="s">
        <v>5782</v>
      </c>
      <c r="C16788" s="1" t="s">
        <v>5783</v>
      </c>
      <c r="D16788" s="22" t="str">
        <f>HYPERLINK("https://rhld.insurance.arkansas.gov/NPILookup?Npi=1710505995","1710505995")</f>
        <v>1710505995</v>
      </c>
      <c r="E16788" s="1" t="s">
        <v>23091</v>
      </c>
      <c r="F16788" s="2"/>
      <c r="G16788" s="2"/>
      <c r="H16788" s="2"/>
    </row>
    <row r="16789" spans="1:8" x14ac:dyDescent="0.25">
      <c r="A16789" s="1"/>
      <c r="B16789" s="1" t="s">
        <v>5782</v>
      </c>
      <c r="C16789" s="1" t="s">
        <v>5783</v>
      </c>
      <c r="D16789" s="22" t="str">
        <f>HYPERLINK("https://rhld.insurance.arkansas.gov/NPILookup?Npi=1710507637","1710507637")</f>
        <v>1710507637</v>
      </c>
      <c r="E16789" s="1" t="s">
        <v>6567</v>
      </c>
      <c r="F16789" s="2"/>
      <c r="G16789" s="2"/>
      <c r="H16789" s="2"/>
    </row>
    <row r="16790" spans="1:8" x14ac:dyDescent="0.25">
      <c r="A16790" s="1"/>
      <c r="B16790" s="1" t="s">
        <v>5782</v>
      </c>
      <c r="C16790" s="1" t="s">
        <v>5783</v>
      </c>
      <c r="D16790" s="22" t="str">
        <f>HYPERLINK("https://rhld.insurance.arkansas.gov/NPILookup?Npi=1710509757","1710509757")</f>
        <v>1710509757</v>
      </c>
      <c r="E16790" s="1" t="s">
        <v>23092</v>
      </c>
      <c r="F16790" s="2"/>
      <c r="G16790" s="2"/>
      <c r="H16790" s="2"/>
    </row>
    <row r="16791" spans="1:8" x14ac:dyDescent="0.25">
      <c r="A16791" s="1"/>
      <c r="B16791" s="1" t="s">
        <v>5782</v>
      </c>
      <c r="C16791" s="1" t="s">
        <v>5783</v>
      </c>
      <c r="D16791" s="22" t="str">
        <f>HYPERLINK("https://rhld.insurance.arkansas.gov/NPILookup?Npi=1710517727","1710517727")</f>
        <v>1710517727</v>
      </c>
      <c r="E16791" s="1" t="s">
        <v>12025</v>
      </c>
      <c r="F16791" s="2"/>
      <c r="G16791" s="2"/>
      <c r="H16791" s="2"/>
    </row>
    <row r="16792" spans="1:8" x14ac:dyDescent="0.25">
      <c r="A16792" s="1"/>
      <c r="B16792" s="1" t="s">
        <v>5782</v>
      </c>
      <c r="C16792" s="1" t="s">
        <v>5783</v>
      </c>
      <c r="D16792" s="22" t="str">
        <f>HYPERLINK("https://rhld.insurance.arkansas.gov/NPILookup?Npi=1710524350","1710524350")</f>
        <v>1710524350</v>
      </c>
      <c r="E16792" s="1" t="s">
        <v>6568</v>
      </c>
      <c r="F16792" s="2"/>
      <c r="G16792" s="2"/>
      <c r="H16792" s="2"/>
    </row>
    <row r="16793" spans="1:8" x14ac:dyDescent="0.25">
      <c r="A16793" s="1"/>
      <c r="B16793" s="1" t="s">
        <v>5782</v>
      </c>
      <c r="C16793" s="1" t="s">
        <v>5783</v>
      </c>
      <c r="D16793" s="22" t="str">
        <f>HYPERLINK("https://rhld.insurance.arkansas.gov/NPILookup?Npi=1710527577","1710527577")</f>
        <v>1710527577</v>
      </c>
      <c r="E16793" s="1" t="s">
        <v>6569</v>
      </c>
      <c r="F16793" s="2"/>
      <c r="G16793" s="2"/>
      <c r="H16793" s="2"/>
    </row>
    <row r="16794" spans="1:8" x14ac:dyDescent="0.25">
      <c r="A16794" s="1"/>
      <c r="B16794" s="1" t="s">
        <v>5782</v>
      </c>
      <c r="C16794" s="1" t="s">
        <v>5783</v>
      </c>
      <c r="D16794" s="22" t="str">
        <f>HYPERLINK("https://rhld.insurance.arkansas.gov/NPILookup?Npi=1710529490","1710529490")</f>
        <v>1710529490</v>
      </c>
      <c r="E16794" s="1" t="s">
        <v>6570</v>
      </c>
      <c r="F16794" s="2"/>
      <c r="G16794" s="2"/>
      <c r="H16794" s="2"/>
    </row>
    <row r="16795" spans="1:8" x14ac:dyDescent="0.25">
      <c r="A16795" s="1"/>
      <c r="B16795" s="1" t="s">
        <v>5782</v>
      </c>
      <c r="C16795" s="1" t="s">
        <v>5783</v>
      </c>
      <c r="D16795" s="22" t="str">
        <f>HYPERLINK("https://rhld.insurance.arkansas.gov/NPILookup?Npi=1710546379","1710546379")</f>
        <v>1710546379</v>
      </c>
      <c r="E16795" s="1" t="s">
        <v>12026</v>
      </c>
      <c r="F16795" s="2"/>
      <c r="G16795" s="2"/>
      <c r="H16795" s="2"/>
    </row>
    <row r="16796" spans="1:8" x14ac:dyDescent="0.25">
      <c r="A16796" s="1"/>
      <c r="B16796" s="1" t="s">
        <v>5782</v>
      </c>
      <c r="C16796" s="1" t="s">
        <v>5783</v>
      </c>
      <c r="D16796" s="22" t="str">
        <f>HYPERLINK("https://rhld.insurance.arkansas.gov/NPILookup?Npi=1710546973","1710546973")</f>
        <v>1710546973</v>
      </c>
      <c r="E16796" s="1" t="s">
        <v>2503</v>
      </c>
      <c r="F16796" s="2"/>
      <c r="G16796" s="2"/>
      <c r="H16796" s="2"/>
    </row>
    <row r="16797" spans="1:8" x14ac:dyDescent="0.25">
      <c r="A16797" s="1"/>
      <c r="B16797" s="1" t="s">
        <v>5782</v>
      </c>
      <c r="C16797" s="1" t="s">
        <v>5783</v>
      </c>
      <c r="D16797" s="22" t="str">
        <f>HYPERLINK("https://rhld.insurance.arkansas.gov/NPILookup?Npi=1710559307","1710559307")</f>
        <v>1710559307</v>
      </c>
      <c r="E16797" s="1" t="s">
        <v>23093</v>
      </c>
      <c r="F16797" s="2"/>
      <c r="G16797" s="2"/>
      <c r="H16797" s="2"/>
    </row>
    <row r="16798" spans="1:8" x14ac:dyDescent="0.25">
      <c r="A16798" s="1"/>
      <c r="B16798" s="1" t="s">
        <v>5782</v>
      </c>
      <c r="C16798" s="1" t="s">
        <v>5783</v>
      </c>
      <c r="D16798" s="22" t="str">
        <f>HYPERLINK("https://rhld.insurance.arkansas.gov/NPILookup?Npi=1710568910","1710568910")</f>
        <v>1710568910</v>
      </c>
      <c r="E16798" s="1" t="s">
        <v>31929</v>
      </c>
      <c r="F16798" s="2"/>
      <c r="G16798" s="2"/>
      <c r="H16798" s="2"/>
    </row>
    <row r="16799" spans="1:8" x14ac:dyDescent="0.25">
      <c r="A16799" s="1"/>
      <c r="B16799" s="1" t="s">
        <v>5782</v>
      </c>
      <c r="C16799" s="1" t="s">
        <v>5783</v>
      </c>
      <c r="D16799" s="22" t="str">
        <f>HYPERLINK("https://rhld.insurance.arkansas.gov/NPILookup?Npi=1710576590","1710576590")</f>
        <v>1710576590</v>
      </c>
      <c r="E16799" s="1" t="s">
        <v>6571</v>
      </c>
      <c r="F16799" s="2"/>
      <c r="G16799" s="2"/>
      <c r="H16799" s="2"/>
    </row>
    <row r="16800" spans="1:8" x14ac:dyDescent="0.25">
      <c r="A16800" s="1"/>
      <c r="B16800" s="1" t="s">
        <v>5782</v>
      </c>
      <c r="C16800" s="1" t="s">
        <v>5783</v>
      </c>
      <c r="D16800" s="22" t="str">
        <f>HYPERLINK("https://rhld.insurance.arkansas.gov/NPILookup?Npi=1710582002","1710582002")</f>
        <v>1710582002</v>
      </c>
      <c r="E16800" s="1" t="s">
        <v>12027</v>
      </c>
      <c r="F16800" s="2"/>
      <c r="G16800" s="2"/>
      <c r="H16800" s="2"/>
    </row>
    <row r="16801" spans="1:8" x14ac:dyDescent="0.25">
      <c r="A16801" s="1"/>
      <c r="B16801" s="1" t="s">
        <v>5782</v>
      </c>
      <c r="C16801" s="1" t="s">
        <v>5783</v>
      </c>
      <c r="D16801" s="22" t="str">
        <f>HYPERLINK("https://rhld.insurance.arkansas.gov/NPILookup?Npi=1710591631","1710591631")</f>
        <v>1710591631</v>
      </c>
      <c r="E16801" s="1" t="s">
        <v>31930</v>
      </c>
      <c r="F16801" s="2"/>
      <c r="G16801" s="2"/>
      <c r="H16801" s="2"/>
    </row>
    <row r="16802" spans="1:8" x14ac:dyDescent="0.25">
      <c r="A16802" s="1"/>
      <c r="B16802" s="1" t="s">
        <v>5782</v>
      </c>
      <c r="C16802" s="1" t="s">
        <v>5783</v>
      </c>
      <c r="D16802" s="22" t="str">
        <f>HYPERLINK("https://rhld.insurance.arkansas.gov/NPILookup?Npi=1710598586","1710598586")</f>
        <v>1710598586</v>
      </c>
      <c r="E16802" s="1" t="s">
        <v>6572</v>
      </c>
      <c r="F16802" s="2"/>
      <c r="G16802" s="2"/>
      <c r="H16802" s="2"/>
    </row>
    <row r="16803" spans="1:8" x14ac:dyDescent="0.25">
      <c r="A16803" s="1"/>
      <c r="B16803" s="1" t="s">
        <v>5782</v>
      </c>
      <c r="C16803" s="1" t="s">
        <v>5783</v>
      </c>
      <c r="D16803" s="22" t="str">
        <f>HYPERLINK("https://rhld.insurance.arkansas.gov/NPILookup?Npi=1710600150","1710600150")</f>
        <v>1710600150</v>
      </c>
      <c r="E16803" s="1" t="s">
        <v>12028</v>
      </c>
      <c r="F16803" s="2"/>
      <c r="G16803" s="2"/>
      <c r="H16803" s="2"/>
    </row>
    <row r="16804" spans="1:8" x14ac:dyDescent="0.25">
      <c r="A16804" s="1"/>
      <c r="B16804" s="1" t="s">
        <v>5782</v>
      </c>
      <c r="C16804" s="1" t="s">
        <v>5783</v>
      </c>
      <c r="D16804" s="22" t="str">
        <f>HYPERLINK("https://rhld.insurance.arkansas.gov/NPILookup?Npi=1710604285","1710604285")</f>
        <v>1710604285</v>
      </c>
      <c r="E16804" s="1" t="s">
        <v>31931</v>
      </c>
      <c r="F16804" s="2"/>
      <c r="G16804" s="2"/>
      <c r="H16804" s="2"/>
    </row>
    <row r="16805" spans="1:8" x14ac:dyDescent="0.25">
      <c r="A16805" s="1"/>
      <c r="B16805" s="1" t="s">
        <v>5782</v>
      </c>
      <c r="C16805" s="1" t="s">
        <v>5783</v>
      </c>
      <c r="D16805" s="22" t="str">
        <f>HYPERLINK("https://rhld.insurance.arkansas.gov/NPILookup?Npi=1710627922","1710627922")</f>
        <v>1710627922</v>
      </c>
      <c r="E16805" s="1" t="s">
        <v>23094</v>
      </c>
      <c r="F16805" s="2"/>
      <c r="G16805" s="2"/>
      <c r="H16805" s="2"/>
    </row>
    <row r="16806" spans="1:8" x14ac:dyDescent="0.25">
      <c r="A16806" s="1"/>
      <c r="B16806" s="1" t="s">
        <v>5782</v>
      </c>
      <c r="C16806" s="1" t="s">
        <v>5783</v>
      </c>
      <c r="D16806" s="22" t="str">
        <f>HYPERLINK("https://rhld.insurance.arkansas.gov/NPILookup?Npi=1710641998","1710641998")</f>
        <v>1710641998</v>
      </c>
      <c r="E16806" s="1" t="s">
        <v>1885</v>
      </c>
      <c r="F16806" s="2"/>
      <c r="G16806" s="2"/>
      <c r="H16806" s="2"/>
    </row>
    <row r="16807" spans="1:8" x14ac:dyDescent="0.25">
      <c r="A16807" s="1"/>
      <c r="B16807" s="1" t="s">
        <v>5782</v>
      </c>
      <c r="C16807" s="1" t="s">
        <v>5783</v>
      </c>
      <c r="D16807" s="22" t="str">
        <f>HYPERLINK("https://rhld.insurance.arkansas.gov/NPILookup?Npi=1710650189","1710650189")</f>
        <v>1710650189</v>
      </c>
      <c r="E16807" s="1" t="s">
        <v>31932</v>
      </c>
      <c r="F16807" s="2"/>
      <c r="G16807" s="2"/>
      <c r="H16807" s="2"/>
    </row>
    <row r="16808" spans="1:8" x14ac:dyDescent="0.25">
      <c r="A16808" s="1"/>
      <c r="B16808" s="1" t="s">
        <v>5782</v>
      </c>
      <c r="C16808" s="1" t="s">
        <v>5783</v>
      </c>
      <c r="D16808" s="22" t="str">
        <f>HYPERLINK("https://rhld.insurance.arkansas.gov/NPILookup?Npi=1710658208","1710658208")</f>
        <v>1710658208</v>
      </c>
      <c r="E16808" s="1" t="s">
        <v>23095</v>
      </c>
      <c r="F16808" s="2"/>
      <c r="G16808" s="2"/>
      <c r="H16808" s="2"/>
    </row>
    <row r="16809" spans="1:8" x14ac:dyDescent="0.25">
      <c r="A16809" s="1"/>
      <c r="B16809" s="1" t="s">
        <v>5782</v>
      </c>
      <c r="C16809" s="1" t="s">
        <v>5783</v>
      </c>
      <c r="D16809" s="22" t="str">
        <f>HYPERLINK("https://rhld.insurance.arkansas.gov/NPILookup?Npi=1710663059","1710663059")</f>
        <v>1710663059</v>
      </c>
      <c r="E16809" s="1" t="s">
        <v>6573</v>
      </c>
      <c r="F16809" s="2"/>
      <c r="G16809" s="2"/>
      <c r="H16809" s="2"/>
    </row>
    <row r="16810" spans="1:8" x14ac:dyDescent="0.25">
      <c r="A16810" s="1"/>
      <c r="B16810" s="1" t="s">
        <v>5782</v>
      </c>
      <c r="C16810" s="1" t="s">
        <v>5783</v>
      </c>
      <c r="D16810" s="22" t="str">
        <f>HYPERLINK("https://rhld.insurance.arkansas.gov/NPILookup?Npi=1710706544","1710706544")</f>
        <v>1710706544</v>
      </c>
      <c r="E16810" s="1" t="s">
        <v>23096</v>
      </c>
      <c r="F16810" s="2"/>
      <c r="G16810" s="2"/>
      <c r="H16810" s="2"/>
    </row>
    <row r="16811" spans="1:8" x14ac:dyDescent="0.25">
      <c r="A16811" s="1"/>
      <c r="B16811" s="1" t="s">
        <v>5782</v>
      </c>
      <c r="C16811" s="1" t="s">
        <v>5783</v>
      </c>
      <c r="D16811" s="22" t="str">
        <f>HYPERLINK("https://rhld.insurance.arkansas.gov/NPILookup?Npi=1710761093","1710761093")</f>
        <v>1710761093</v>
      </c>
      <c r="E16811" s="1" t="s">
        <v>5883</v>
      </c>
      <c r="F16811" s="2"/>
      <c r="G16811" s="2"/>
      <c r="H16811" s="2"/>
    </row>
    <row r="16812" spans="1:8" x14ac:dyDescent="0.25">
      <c r="A16812" s="1"/>
      <c r="B16812" s="1" t="s">
        <v>5782</v>
      </c>
      <c r="C16812" s="1" t="s">
        <v>5783</v>
      </c>
      <c r="D16812" s="22" t="str">
        <f>HYPERLINK("https://rhld.insurance.arkansas.gov/NPILookup?Npi=1710766365","1710766365")</f>
        <v>1710766365</v>
      </c>
      <c r="E16812" s="1" t="s">
        <v>23097</v>
      </c>
      <c r="F16812" s="2"/>
      <c r="G16812" s="2"/>
      <c r="H16812" s="2"/>
    </row>
    <row r="16813" spans="1:8" x14ac:dyDescent="0.25">
      <c r="A16813" s="1"/>
      <c r="B16813" s="1" t="s">
        <v>5782</v>
      </c>
      <c r="C16813" s="1" t="s">
        <v>5783</v>
      </c>
      <c r="D16813" s="22" t="str">
        <f>HYPERLINK("https://rhld.insurance.arkansas.gov/NPILookup?Npi=1710922216","1710922216")</f>
        <v>1710922216</v>
      </c>
      <c r="E16813" s="1" t="s">
        <v>6574</v>
      </c>
      <c r="F16813" s="2"/>
      <c r="G16813" s="2"/>
      <c r="H16813" s="2"/>
    </row>
    <row r="16814" spans="1:8" x14ac:dyDescent="0.25">
      <c r="A16814" s="1"/>
      <c r="B16814" s="1" t="s">
        <v>5782</v>
      </c>
      <c r="C16814" s="1" t="s">
        <v>5783</v>
      </c>
      <c r="D16814" s="22" t="str">
        <f>HYPERLINK("https://rhld.insurance.arkansas.gov/NPILookup?Npi=1710935218","1710935218")</f>
        <v>1710935218</v>
      </c>
      <c r="E16814" s="1" t="s">
        <v>12029</v>
      </c>
      <c r="F16814" s="2"/>
      <c r="G16814" s="2"/>
      <c r="H16814" s="2"/>
    </row>
    <row r="16815" spans="1:8" x14ac:dyDescent="0.25">
      <c r="A16815" s="1"/>
      <c r="B16815" s="1" t="s">
        <v>5782</v>
      </c>
      <c r="C16815" s="1" t="s">
        <v>5783</v>
      </c>
      <c r="D16815" s="22" t="str">
        <f>HYPERLINK("https://rhld.insurance.arkansas.gov/NPILookup?Npi=1710938493","1710938493")</f>
        <v>1710938493</v>
      </c>
      <c r="E16815" s="1" t="s">
        <v>23098</v>
      </c>
      <c r="F16815" s="2"/>
      <c r="G16815" s="2"/>
      <c r="H16815" s="2"/>
    </row>
    <row r="16816" spans="1:8" x14ac:dyDescent="0.25">
      <c r="A16816" s="1"/>
      <c r="B16816" s="1" t="s">
        <v>5782</v>
      </c>
      <c r="C16816" s="1" t="s">
        <v>5783</v>
      </c>
      <c r="D16816" s="22" t="str">
        <f>HYPERLINK("https://rhld.insurance.arkansas.gov/NPILookup?Npi=1710943808","1710943808")</f>
        <v>1710943808</v>
      </c>
      <c r="E16816" s="1" t="s">
        <v>23099</v>
      </c>
      <c r="F16816" s="2"/>
      <c r="G16816" s="2"/>
      <c r="H16816" s="2"/>
    </row>
    <row r="16817" spans="1:8" x14ac:dyDescent="0.25">
      <c r="A16817" s="1"/>
      <c r="B16817" s="1" t="s">
        <v>5782</v>
      </c>
      <c r="C16817" s="1" t="s">
        <v>5783</v>
      </c>
      <c r="D16817" s="22" t="str">
        <f>HYPERLINK("https://rhld.insurance.arkansas.gov/NPILookup?Npi=1720004716","1720004716")</f>
        <v>1720004716</v>
      </c>
      <c r="E16817" s="1" t="s">
        <v>12030</v>
      </c>
      <c r="F16817" s="2"/>
      <c r="G16817" s="2"/>
      <c r="H16817" s="2"/>
    </row>
    <row r="16818" spans="1:8" x14ac:dyDescent="0.25">
      <c r="A16818" s="1"/>
      <c r="B16818" s="1" t="s">
        <v>5782</v>
      </c>
      <c r="C16818" s="1" t="s">
        <v>5783</v>
      </c>
      <c r="D16818" s="22" t="str">
        <f>HYPERLINK("https://rhld.insurance.arkansas.gov/NPILookup?Npi=1720007339","1720007339")</f>
        <v>1720007339</v>
      </c>
      <c r="E16818" s="1" t="s">
        <v>12031</v>
      </c>
      <c r="F16818" s="2"/>
      <c r="G16818" s="2"/>
      <c r="H16818" s="2"/>
    </row>
    <row r="16819" spans="1:8" x14ac:dyDescent="0.25">
      <c r="A16819" s="1"/>
      <c r="B16819" s="1" t="s">
        <v>5782</v>
      </c>
      <c r="C16819" s="1" t="s">
        <v>5783</v>
      </c>
      <c r="D16819" s="22" t="str">
        <f>HYPERLINK("https://rhld.insurance.arkansas.gov/NPILookup?Npi=1720013014","1720013014")</f>
        <v>1720013014</v>
      </c>
      <c r="E16819" s="1" t="s">
        <v>12032</v>
      </c>
      <c r="F16819" s="2"/>
      <c r="G16819" s="2"/>
      <c r="H16819" s="2"/>
    </row>
    <row r="16820" spans="1:8" x14ac:dyDescent="0.25">
      <c r="A16820" s="1"/>
      <c r="B16820" s="1" t="s">
        <v>5782</v>
      </c>
      <c r="C16820" s="1" t="s">
        <v>5783</v>
      </c>
      <c r="D16820" s="22" t="str">
        <f>HYPERLINK("https://rhld.insurance.arkansas.gov/NPILookup?Npi=1720029523","1720029523")</f>
        <v>1720029523</v>
      </c>
      <c r="E16820" s="1" t="s">
        <v>352</v>
      </c>
      <c r="F16820" s="2"/>
      <c r="G16820" s="2"/>
      <c r="H16820" s="2"/>
    </row>
    <row r="16821" spans="1:8" x14ac:dyDescent="0.25">
      <c r="A16821" s="1"/>
      <c r="B16821" s="1" t="s">
        <v>5782</v>
      </c>
      <c r="C16821" s="1" t="s">
        <v>5783</v>
      </c>
      <c r="D16821" s="22" t="str">
        <f>HYPERLINK("https://rhld.insurance.arkansas.gov/NPILookup?Npi=1720105398","1720105398")</f>
        <v>1720105398</v>
      </c>
      <c r="E16821" s="1" t="s">
        <v>23101</v>
      </c>
      <c r="F16821" s="2"/>
      <c r="G16821" s="2"/>
      <c r="H16821" s="2"/>
    </row>
    <row r="16822" spans="1:8" x14ac:dyDescent="0.25">
      <c r="A16822" s="1"/>
      <c r="B16822" s="1" t="s">
        <v>5782</v>
      </c>
      <c r="C16822" s="1" t="s">
        <v>5783</v>
      </c>
      <c r="D16822" s="22" t="str">
        <f>HYPERLINK("https://rhld.insurance.arkansas.gov/NPILookup?Npi=1720112725","1720112725")</f>
        <v>1720112725</v>
      </c>
      <c r="E16822" s="1" t="s">
        <v>23102</v>
      </c>
      <c r="F16822" s="2"/>
      <c r="G16822" s="2"/>
      <c r="H16822" s="2"/>
    </row>
    <row r="16823" spans="1:8" x14ac:dyDescent="0.25">
      <c r="A16823" s="1"/>
      <c r="B16823" s="1" t="s">
        <v>5782</v>
      </c>
      <c r="C16823" s="1" t="s">
        <v>5783</v>
      </c>
      <c r="D16823" s="22" t="str">
        <f>HYPERLINK("https://rhld.insurance.arkansas.gov/NPILookup?Npi=1720125578","1720125578")</f>
        <v>1720125578</v>
      </c>
      <c r="E16823" s="1" t="s">
        <v>22052</v>
      </c>
      <c r="F16823" s="2"/>
      <c r="G16823" s="2"/>
      <c r="H16823" s="2"/>
    </row>
    <row r="16824" spans="1:8" x14ac:dyDescent="0.25">
      <c r="A16824" s="1"/>
      <c r="B16824" s="1" t="s">
        <v>5782</v>
      </c>
      <c r="C16824" s="1" t="s">
        <v>5783</v>
      </c>
      <c r="D16824" s="22" t="str">
        <f>HYPERLINK("https://rhld.insurance.arkansas.gov/NPILookup?Npi=1720175409","1720175409")</f>
        <v>1720175409</v>
      </c>
      <c r="E16824" s="1" t="s">
        <v>3360</v>
      </c>
      <c r="F16824" s="2"/>
      <c r="G16824" s="2"/>
      <c r="H16824" s="2"/>
    </row>
    <row r="16825" spans="1:8" x14ac:dyDescent="0.25">
      <c r="A16825" s="1"/>
      <c r="B16825" s="1" t="s">
        <v>5782</v>
      </c>
      <c r="C16825" s="1" t="s">
        <v>5783</v>
      </c>
      <c r="D16825" s="22" t="str">
        <f>HYPERLINK("https://rhld.insurance.arkansas.gov/NPILookup?Npi=1720178395","1720178395")</f>
        <v>1720178395</v>
      </c>
      <c r="E16825" s="1" t="s">
        <v>23103</v>
      </c>
      <c r="F16825" s="2"/>
      <c r="G16825" s="2"/>
      <c r="H16825" s="2"/>
    </row>
    <row r="16826" spans="1:8" x14ac:dyDescent="0.25">
      <c r="A16826" s="1"/>
      <c r="B16826" s="1" t="s">
        <v>5782</v>
      </c>
      <c r="C16826" s="1" t="s">
        <v>5783</v>
      </c>
      <c r="D16826" s="22" t="str">
        <f>HYPERLINK("https://rhld.insurance.arkansas.gov/NPILookup?Npi=1720199177","1720199177")</f>
        <v>1720199177</v>
      </c>
      <c r="E16826" s="1" t="s">
        <v>12033</v>
      </c>
      <c r="F16826" s="2"/>
      <c r="G16826" s="2"/>
      <c r="H16826" s="2"/>
    </row>
    <row r="16827" spans="1:8" x14ac:dyDescent="0.25">
      <c r="A16827" s="1"/>
      <c r="B16827" s="1" t="s">
        <v>5782</v>
      </c>
      <c r="C16827" s="1" t="s">
        <v>5783</v>
      </c>
      <c r="D16827" s="22" t="str">
        <f>HYPERLINK("https://rhld.insurance.arkansas.gov/NPILookup?Npi=1720229073","1720229073")</f>
        <v>1720229073</v>
      </c>
      <c r="E16827" s="1" t="s">
        <v>6575</v>
      </c>
      <c r="F16827" s="2"/>
      <c r="G16827" s="2"/>
      <c r="H16827" s="2"/>
    </row>
    <row r="16828" spans="1:8" x14ac:dyDescent="0.25">
      <c r="A16828" s="1"/>
      <c r="B16828" s="1" t="s">
        <v>5782</v>
      </c>
      <c r="C16828" s="1" t="s">
        <v>5783</v>
      </c>
      <c r="D16828" s="22" t="str">
        <f>HYPERLINK("https://rhld.insurance.arkansas.gov/NPILookup?Npi=1720233661","1720233661")</f>
        <v>1720233661</v>
      </c>
      <c r="E16828" s="1" t="s">
        <v>23104</v>
      </c>
      <c r="F16828" s="2"/>
      <c r="G16828" s="2"/>
      <c r="H16828" s="2"/>
    </row>
    <row r="16829" spans="1:8" x14ac:dyDescent="0.25">
      <c r="A16829" s="1"/>
      <c r="B16829" s="1" t="s">
        <v>5782</v>
      </c>
      <c r="C16829" s="1" t="s">
        <v>5783</v>
      </c>
      <c r="D16829" s="22" t="str">
        <f>HYPERLINK("https://rhld.insurance.arkansas.gov/NPILookup?Npi=1720266158","1720266158")</f>
        <v>1720266158</v>
      </c>
      <c r="E16829" s="1" t="s">
        <v>12187</v>
      </c>
      <c r="F16829" s="2"/>
      <c r="G16829" s="2"/>
      <c r="H16829" s="2"/>
    </row>
    <row r="16830" spans="1:8" x14ac:dyDescent="0.25">
      <c r="A16830" s="1"/>
      <c r="B16830" s="1" t="s">
        <v>5782</v>
      </c>
      <c r="C16830" s="1" t="s">
        <v>5783</v>
      </c>
      <c r="D16830" s="22" t="str">
        <f>HYPERLINK("https://rhld.insurance.arkansas.gov/NPILookup?Npi=1720277205","1720277205")</f>
        <v>1720277205</v>
      </c>
      <c r="E16830" s="1" t="s">
        <v>23105</v>
      </c>
      <c r="F16830" s="2"/>
      <c r="G16830" s="2"/>
      <c r="H16830" s="2"/>
    </row>
    <row r="16831" spans="1:8" x14ac:dyDescent="0.25">
      <c r="A16831" s="1"/>
      <c r="B16831" s="1" t="s">
        <v>5782</v>
      </c>
      <c r="C16831" s="1" t="s">
        <v>5783</v>
      </c>
      <c r="D16831" s="22" t="str">
        <f>HYPERLINK("https://rhld.insurance.arkansas.gov/NPILookup?Npi=1720287428","1720287428")</f>
        <v>1720287428</v>
      </c>
      <c r="E16831" s="1" t="s">
        <v>6577</v>
      </c>
      <c r="F16831" s="2"/>
      <c r="G16831" s="2"/>
      <c r="H16831" s="2"/>
    </row>
    <row r="16832" spans="1:8" x14ac:dyDescent="0.25">
      <c r="A16832" s="1"/>
      <c r="B16832" s="1" t="s">
        <v>5782</v>
      </c>
      <c r="C16832" s="1" t="s">
        <v>5783</v>
      </c>
      <c r="D16832" s="22" t="str">
        <f>HYPERLINK("https://rhld.insurance.arkansas.gov/NPILookup?Npi=1720292337","1720292337")</f>
        <v>1720292337</v>
      </c>
      <c r="E16832" s="1" t="s">
        <v>23106</v>
      </c>
      <c r="F16832" s="2"/>
      <c r="G16832" s="2"/>
      <c r="H16832" s="2"/>
    </row>
    <row r="16833" spans="1:8" x14ac:dyDescent="0.25">
      <c r="A16833" s="1"/>
      <c r="B16833" s="1" t="s">
        <v>5782</v>
      </c>
      <c r="C16833" s="1" t="s">
        <v>5783</v>
      </c>
      <c r="D16833" s="22" t="str">
        <f>HYPERLINK("https://rhld.insurance.arkansas.gov/NPILookup?Npi=1720296791","1720296791")</f>
        <v>1720296791</v>
      </c>
      <c r="E16833" s="1" t="s">
        <v>6578</v>
      </c>
      <c r="F16833" s="2"/>
      <c r="G16833" s="2"/>
      <c r="H16833" s="2"/>
    </row>
    <row r="16834" spans="1:8" x14ac:dyDescent="0.25">
      <c r="A16834" s="1"/>
      <c r="B16834" s="1" t="s">
        <v>5782</v>
      </c>
      <c r="C16834" s="1" t="s">
        <v>5783</v>
      </c>
      <c r="D16834" s="22" t="str">
        <f>HYPERLINK("https://rhld.insurance.arkansas.gov/NPILookup?Npi=1720301781","1720301781")</f>
        <v>1720301781</v>
      </c>
      <c r="E16834" s="1" t="s">
        <v>23107</v>
      </c>
      <c r="F16834" s="2"/>
      <c r="G16834" s="2"/>
      <c r="H16834" s="2"/>
    </row>
    <row r="16835" spans="1:8" x14ac:dyDescent="0.25">
      <c r="A16835" s="1"/>
      <c r="B16835" s="1" t="s">
        <v>5782</v>
      </c>
      <c r="C16835" s="1" t="s">
        <v>5783</v>
      </c>
      <c r="D16835" s="22" t="str">
        <f>HYPERLINK("https://rhld.insurance.arkansas.gov/NPILookup?Npi=1720304926","1720304926")</f>
        <v>1720304926</v>
      </c>
      <c r="E16835" s="1" t="s">
        <v>6579</v>
      </c>
      <c r="F16835" s="2"/>
      <c r="G16835" s="2"/>
      <c r="H16835" s="2"/>
    </row>
    <row r="16836" spans="1:8" x14ac:dyDescent="0.25">
      <c r="A16836" s="1"/>
      <c r="B16836" s="1" t="s">
        <v>5782</v>
      </c>
      <c r="C16836" s="1" t="s">
        <v>5783</v>
      </c>
      <c r="D16836" s="22" t="str">
        <f>HYPERLINK("https://rhld.insurance.arkansas.gov/NPILookup?Npi=1720307903","1720307903")</f>
        <v>1720307903</v>
      </c>
      <c r="E16836" s="1" t="s">
        <v>23108</v>
      </c>
      <c r="F16836" s="2"/>
      <c r="G16836" s="2"/>
      <c r="H16836" s="2"/>
    </row>
    <row r="16837" spans="1:8" x14ac:dyDescent="0.25">
      <c r="A16837" s="1"/>
      <c r="B16837" s="1" t="s">
        <v>5782</v>
      </c>
      <c r="C16837" s="1" t="s">
        <v>5783</v>
      </c>
      <c r="D16837" s="22" t="str">
        <f>HYPERLINK("https://rhld.insurance.arkansas.gov/NPILookup?Npi=1720309776","1720309776")</f>
        <v>1720309776</v>
      </c>
      <c r="E16837" s="1" t="s">
        <v>23109</v>
      </c>
      <c r="F16837" s="2"/>
      <c r="G16837" s="2"/>
      <c r="H16837" s="2"/>
    </row>
    <row r="16838" spans="1:8" x14ac:dyDescent="0.25">
      <c r="A16838" s="1"/>
      <c r="B16838" s="1" t="s">
        <v>5782</v>
      </c>
      <c r="C16838" s="1" t="s">
        <v>5783</v>
      </c>
      <c r="D16838" s="22" t="str">
        <f>HYPERLINK("https://rhld.insurance.arkansas.gov/NPILookup?Npi=1720313059","1720313059")</f>
        <v>1720313059</v>
      </c>
      <c r="E16838" s="1" t="s">
        <v>23110</v>
      </c>
      <c r="F16838" s="2"/>
      <c r="G16838" s="2"/>
      <c r="H16838" s="2"/>
    </row>
    <row r="16839" spans="1:8" x14ac:dyDescent="0.25">
      <c r="A16839" s="1"/>
      <c r="B16839" s="1" t="s">
        <v>5782</v>
      </c>
      <c r="C16839" s="1" t="s">
        <v>5783</v>
      </c>
      <c r="D16839" s="22" t="str">
        <f>HYPERLINK("https://rhld.insurance.arkansas.gov/NPILookup?Npi=1720319346","1720319346")</f>
        <v>1720319346</v>
      </c>
      <c r="E16839" s="1" t="s">
        <v>23111</v>
      </c>
      <c r="F16839" s="2"/>
      <c r="G16839" s="2"/>
      <c r="H16839" s="2"/>
    </row>
    <row r="16840" spans="1:8" x14ac:dyDescent="0.25">
      <c r="A16840" s="1"/>
      <c r="B16840" s="1" t="s">
        <v>5782</v>
      </c>
      <c r="C16840" s="1" t="s">
        <v>5783</v>
      </c>
      <c r="D16840" s="22" t="str">
        <f>HYPERLINK("https://rhld.insurance.arkansas.gov/NPILookup?Npi=1720319361","1720319361")</f>
        <v>1720319361</v>
      </c>
      <c r="E16840" s="1" t="s">
        <v>12035</v>
      </c>
      <c r="F16840" s="2"/>
      <c r="G16840" s="2"/>
      <c r="H16840" s="2"/>
    </row>
    <row r="16841" spans="1:8" x14ac:dyDescent="0.25">
      <c r="A16841" s="1"/>
      <c r="B16841" s="1" t="s">
        <v>5782</v>
      </c>
      <c r="C16841" s="1" t="s">
        <v>5783</v>
      </c>
      <c r="D16841" s="22" t="str">
        <f>HYPERLINK("https://rhld.insurance.arkansas.gov/NPILookup?Npi=1720320534","1720320534")</f>
        <v>1720320534</v>
      </c>
      <c r="E16841" s="1" t="s">
        <v>12036</v>
      </c>
      <c r="F16841" s="2"/>
      <c r="G16841" s="2"/>
      <c r="H16841" s="2"/>
    </row>
    <row r="16842" spans="1:8" x14ac:dyDescent="0.25">
      <c r="A16842" s="1"/>
      <c r="B16842" s="1" t="s">
        <v>5782</v>
      </c>
      <c r="C16842" s="1" t="s">
        <v>5783</v>
      </c>
      <c r="D16842" s="22" t="str">
        <f>HYPERLINK("https://rhld.insurance.arkansas.gov/NPILookup?Npi=1720360381","1720360381")</f>
        <v>1720360381</v>
      </c>
      <c r="E16842" s="1" t="s">
        <v>12037</v>
      </c>
      <c r="F16842" s="2"/>
      <c r="G16842" s="2"/>
      <c r="H16842" s="2"/>
    </row>
    <row r="16843" spans="1:8" x14ac:dyDescent="0.25">
      <c r="A16843" s="1"/>
      <c r="B16843" s="1" t="s">
        <v>5782</v>
      </c>
      <c r="C16843" s="1" t="s">
        <v>5783</v>
      </c>
      <c r="D16843" s="22" t="str">
        <f>HYPERLINK("https://rhld.insurance.arkansas.gov/NPILookup?Npi=1720379886","1720379886")</f>
        <v>1720379886</v>
      </c>
      <c r="E16843" s="1" t="s">
        <v>23112</v>
      </c>
      <c r="F16843" s="2"/>
      <c r="G16843" s="2"/>
      <c r="H16843" s="2"/>
    </row>
    <row r="16844" spans="1:8" x14ac:dyDescent="0.25">
      <c r="A16844" s="1"/>
      <c r="B16844" s="1" t="s">
        <v>5782</v>
      </c>
      <c r="C16844" s="1" t="s">
        <v>5783</v>
      </c>
      <c r="D16844" s="22" t="str">
        <f>HYPERLINK("https://rhld.insurance.arkansas.gov/NPILookup?Npi=1720391188","1720391188")</f>
        <v>1720391188</v>
      </c>
      <c r="E16844" s="1" t="s">
        <v>12038</v>
      </c>
      <c r="F16844" s="2"/>
      <c r="G16844" s="2"/>
      <c r="H16844" s="2"/>
    </row>
    <row r="16845" spans="1:8" x14ac:dyDescent="0.25">
      <c r="A16845" s="1"/>
      <c r="B16845" s="1" t="s">
        <v>5782</v>
      </c>
      <c r="C16845" s="1" t="s">
        <v>5783</v>
      </c>
      <c r="D16845" s="22" t="str">
        <f>HYPERLINK("https://rhld.insurance.arkansas.gov/NPILookup?Npi=1720395122","1720395122")</f>
        <v>1720395122</v>
      </c>
      <c r="E16845" s="1" t="s">
        <v>23113</v>
      </c>
      <c r="F16845" s="2"/>
      <c r="G16845" s="2"/>
      <c r="H16845" s="2"/>
    </row>
    <row r="16846" spans="1:8" x14ac:dyDescent="0.25">
      <c r="A16846" s="1"/>
      <c r="B16846" s="1" t="s">
        <v>5782</v>
      </c>
      <c r="C16846" s="1" t="s">
        <v>5783</v>
      </c>
      <c r="D16846" s="22" t="str">
        <f>HYPERLINK("https://rhld.insurance.arkansas.gov/NPILookup?Npi=1720410780","1720410780")</f>
        <v>1720410780</v>
      </c>
      <c r="E16846" s="1" t="s">
        <v>12039</v>
      </c>
      <c r="F16846" s="2"/>
      <c r="G16846" s="2"/>
      <c r="H16846" s="2"/>
    </row>
    <row r="16847" spans="1:8" x14ac:dyDescent="0.25">
      <c r="A16847" s="1"/>
      <c r="B16847" s="1" t="s">
        <v>5782</v>
      </c>
      <c r="C16847" s="1" t="s">
        <v>5783</v>
      </c>
      <c r="D16847" s="22" t="str">
        <f>HYPERLINK("https://rhld.insurance.arkansas.gov/NPILookup?Npi=1720413479","1720413479")</f>
        <v>1720413479</v>
      </c>
      <c r="E16847" s="1" t="s">
        <v>23114</v>
      </c>
      <c r="F16847" s="2"/>
      <c r="G16847" s="2"/>
      <c r="H16847" s="2"/>
    </row>
    <row r="16848" spans="1:8" x14ac:dyDescent="0.25">
      <c r="A16848" s="1"/>
      <c r="B16848" s="1" t="s">
        <v>5782</v>
      </c>
      <c r="C16848" s="1" t="s">
        <v>5783</v>
      </c>
      <c r="D16848" s="22" t="str">
        <f>HYPERLINK("https://rhld.insurance.arkansas.gov/NPILookup?Npi=1720413842","1720413842")</f>
        <v>1720413842</v>
      </c>
      <c r="E16848" s="1" t="s">
        <v>23115</v>
      </c>
      <c r="F16848" s="2"/>
      <c r="G16848" s="2"/>
      <c r="H16848" s="2"/>
    </row>
    <row r="16849" spans="1:8" x14ac:dyDescent="0.25">
      <c r="A16849" s="1"/>
      <c r="B16849" s="1" t="s">
        <v>5782</v>
      </c>
      <c r="C16849" s="1" t="s">
        <v>5783</v>
      </c>
      <c r="D16849" s="22" t="str">
        <f>HYPERLINK("https://rhld.insurance.arkansas.gov/NPILookup?Npi=1720463276","1720463276")</f>
        <v>1720463276</v>
      </c>
      <c r="E16849" s="1" t="s">
        <v>23116</v>
      </c>
      <c r="F16849" s="2"/>
      <c r="G16849" s="2"/>
      <c r="H16849" s="2"/>
    </row>
    <row r="16850" spans="1:8" x14ac:dyDescent="0.25">
      <c r="A16850" s="1"/>
      <c r="B16850" s="1" t="s">
        <v>5782</v>
      </c>
      <c r="C16850" s="1" t="s">
        <v>5783</v>
      </c>
      <c r="D16850" s="22" t="str">
        <f>HYPERLINK("https://rhld.insurance.arkansas.gov/NPILookup?Npi=1720478480","1720478480")</f>
        <v>1720478480</v>
      </c>
      <c r="E16850" s="1" t="s">
        <v>12040</v>
      </c>
      <c r="F16850" s="2"/>
      <c r="G16850" s="2"/>
      <c r="H16850" s="2"/>
    </row>
    <row r="16851" spans="1:8" x14ac:dyDescent="0.25">
      <c r="A16851" s="1"/>
      <c r="B16851" s="1" t="s">
        <v>5782</v>
      </c>
      <c r="C16851" s="1" t="s">
        <v>5783</v>
      </c>
      <c r="D16851" s="22" t="str">
        <f>HYPERLINK("https://rhld.insurance.arkansas.gov/NPILookup?Npi=1720479330","1720479330")</f>
        <v>1720479330</v>
      </c>
      <c r="E16851" s="1" t="s">
        <v>1898</v>
      </c>
      <c r="F16851" s="2"/>
      <c r="G16851" s="2"/>
      <c r="H16851" s="2"/>
    </row>
    <row r="16852" spans="1:8" x14ac:dyDescent="0.25">
      <c r="A16852" s="1"/>
      <c r="B16852" s="1" t="s">
        <v>5782</v>
      </c>
      <c r="C16852" s="1" t="s">
        <v>5783</v>
      </c>
      <c r="D16852" s="22" t="str">
        <f>HYPERLINK("https://rhld.insurance.arkansas.gov/NPILookup?Npi=1720484629","1720484629")</f>
        <v>1720484629</v>
      </c>
      <c r="E16852" s="1" t="s">
        <v>23117</v>
      </c>
      <c r="F16852" s="2"/>
      <c r="G16852" s="2"/>
      <c r="H16852" s="2"/>
    </row>
    <row r="16853" spans="1:8" x14ac:dyDescent="0.25">
      <c r="A16853" s="1"/>
      <c r="B16853" s="1" t="s">
        <v>5782</v>
      </c>
      <c r="C16853" s="1" t="s">
        <v>5783</v>
      </c>
      <c r="D16853" s="22" t="str">
        <f>HYPERLINK("https://rhld.insurance.arkansas.gov/NPILookup?Npi=1720485568","1720485568")</f>
        <v>1720485568</v>
      </c>
      <c r="E16853" s="1" t="s">
        <v>23118</v>
      </c>
      <c r="F16853" s="2"/>
      <c r="G16853" s="2"/>
      <c r="H16853" s="2"/>
    </row>
    <row r="16854" spans="1:8" x14ac:dyDescent="0.25">
      <c r="A16854" s="1"/>
      <c r="B16854" s="1" t="s">
        <v>5782</v>
      </c>
      <c r="C16854" s="1" t="s">
        <v>5783</v>
      </c>
      <c r="D16854" s="22" t="str">
        <f>HYPERLINK("https://rhld.insurance.arkansas.gov/NPILookup?Npi=1720488026","1720488026")</f>
        <v>1720488026</v>
      </c>
      <c r="E16854" s="1" t="s">
        <v>23119</v>
      </c>
      <c r="F16854" s="2"/>
      <c r="G16854" s="2"/>
      <c r="H16854" s="2"/>
    </row>
    <row r="16855" spans="1:8" x14ac:dyDescent="0.25">
      <c r="A16855" s="1"/>
      <c r="B16855" s="1" t="s">
        <v>5782</v>
      </c>
      <c r="C16855" s="1" t="s">
        <v>5783</v>
      </c>
      <c r="D16855" s="22" t="str">
        <f>HYPERLINK("https://rhld.insurance.arkansas.gov/NPILookup?Npi=1720491053","1720491053")</f>
        <v>1720491053</v>
      </c>
      <c r="E16855" s="1" t="s">
        <v>23120</v>
      </c>
      <c r="F16855" s="2"/>
      <c r="G16855" s="2"/>
      <c r="H16855" s="2"/>
    </row>
    <row r="16856" spans="1:8" x14ac:dyDescent="0.25">
      <c r="A16856" s="1"/>
      <c r="B16856" s="1" t="s">
        <v>5782</v>
      </c>
      <c r="C16856" s="1" t="s">
        <v>5783</v>
      </c>
      <c r="D16856" s="22" t="str">
        <f>HYPERLINK("https://rhld.insurance.arkansas.gov/NPILookup?Npi=1720492499","1720492499")</f>
        <v>1720492499</v>
      </c>
      <c r="E16856" s="1" t="s">
        <v>23121</v>
      </c>
      <c r="F16856" s="2"/>
      <c r="G16856" s="2"/>
      <c r="H16856" s="2"/>
    </row>
    <row r="16857" spans="1:8" x14ac:dyDescent="0.25">
      <c r="A16857" s="1"/>
      <c r="B16857" s="1" t="s">
        <v>5782</v>
      </c>
      <c r="C16857" s="1" t="s">
        <v>5783</v>
      </c>
      <c r="D16857" s="22" t="str">
        <f>HYPERLINK("https://rhld.insurance.arkansas.gov/NPILookup?Npi=1720499478","1720499478")</f>
        <v>1720499478</v>
      </c>
      <c r="E16857" s="1" t="s">
        <v>23122</v>
      </c>
      <c r="F16857" s="2"/>
      <c r="G16857" s="2"/>
      <c r="H16857" s="2"/>
    </row>
    <row r="16858" spans="1:8" x14ac:dyDescent="0.25">
      <c r="A16858" s="1"/>
      <c r="B16858" s="1" t="s">
        <v>5782</v>
      </c>
      <c r="C16858" s="1" t="s">
        <v>5783</v>
      </c>
      <c r="D16858" s="22" t="str">
        <f>HYPERLINK("https://rhld.insurance.arkansas.gov/NPILookup?Npi=1720501984","1720501984")</f>
        <v>1720501984</v>
      </c>
      <c r="E16858" s="1" t="s">
        <v>12041</v>
      </c>
      <c r="F16858" s="2"/>
      <c r="G16858" s="2"/>
      <c r="H16858" s="2"/>
    </row>
    <row r="16859" spans="1:8" x14ac:dyDescent="0.25">
      <c r="A16859" s="1"/>
      <c r="B16859" s="1" t="s">
        <v>5782</v>
      </c>
      <c r="C16859" s="1" t="s">
        <v>5783</v>
      </c>
      <c r="D16859" s="22" t="str">
        <f>HYPERLINK("https://rhld.insurance.arkansas.gov/NPILookup?Npi=1720519119","1720519119")</f>
        <v>1720519119</v>
      </c>
      <c r="E16859" s="1" t="s">
        <v>23123</v>
      </c>
      <c r="F16859" s="2"/>
      <c r="G16859" s="2"/>
      <c r="H16859" s="2"/>
    </row>
    <row r="16860" spans="1:8" x14ac:dyDescent="0.25">
      <c r="A16860" s="1"/>
      <c r="B16860" s="1" t="s">
        <v>5782</v>
      </c>
      <c r="C16860" s="1" t="s">
        <v>5783</v>
      </c>
      <c r="D16860" s="22" t="str">
        <f>HYPERLINK("https://rhld.insurance.arkansas.gov/NPILookup?Npi=1720519317","1720519317")</f>
        <v>1720519317</v>
      </c>
      <c r="E16860" s="1" t="s">
        <v>3743</v>
      </c>
      <c r="F16860" s="2"/>
      <c r="G16860" s="2"/>
      <c r="H16860" s="2"/>
    </row>
    <row r="16861" spans="1:8" x14ac:dyDescent="0.25">
      <c r="A16861" s="1"/>
      <c r="B16861" s="1" t="s">
        <v>5782</v>
      </c>
      <c r="C16861" s="1" t="s">
        <v>5783</v>
      </c>
      <c r="D16861" s="22" t="str">
        <f>HYPERLINK("https://rhld.insurance.arkansas.gov/NPILookup?Npi=1720525785","1720525785")</f>
        <v>1720525785</v>
      </c>
      <c r="E16861" s="1" t="s">
        <v>23124</v>
      </c>
      <c r="F16861" s="2"/>
      <c r="G16861" s="2"/>
      <c r="H16861" s="2"/>
    </row>
    <row r="16862" spans="1:8" x14ac:dyDescent="0.25">
      <c r="A16862" s="1"/>
      <c r="B16862" s="1" t="s">
        <v>5782</v>
      </c>
      <c r="C16862" s="1" t="s">
        <v>5783</v>
      </c>
      <c r="D16862" s="22" t="str">
        <f>HYPERLINK("https://rhld.insurance.arkansas.gov/NPILookup?Npi=1720527807","1720527807")</f>
        <v>1720527807</v>
      </c>
      <c r="E16862" s="1" t="s">
        <v>6580</v>
      </c>
      <c r="F16862" s="2"/>
      <c r="G16862" s="2"/>
      <c r="H16862" s="2"/>
    </row>
    <row r="16863" spans="1:8" x14ac:dyDescent="0.25">
      <c r="A16863" s="1"/>
      <c r="B16863" s="1" t="s">
        <v>5782</v>
      </c>
      <c r="C16863" s="1" t="s">
        <v>5783</v>
      </c>
      <c r="D16863" s="22" t="str">
        <f>HYPERLINK("https://rhld.insurance.arkansas.gov/NPILookup?Npi=1720536774","1720536774")</f>
        <v>1720536774</v>
      </c>
      <c r="E16863" s="1" t="s">
        <v>3602</v>
      </c>
      <c r="F16863" s="2"/>
      <c r="G16863" s="2"/>
      <c r="H16863" s="2"/>
    </row>
    <row r="16864" spans="1:8" x14ac:dyDescent="0.25">
      <c r="A16864" s="1"/>
      <c r="B16864" s="1" t="s">
        <v>5782</v>
      </c>
      <c r="C16864" s="1" t="s">
        <v>5783</v>
      </c>
      <c r="D16864" s="22" t="str">
        <f>HYPERLINK("https://rhld.insurance.arkansas.gov/NPILookup?Npi=1720538069","1720538069")</f>
        <v>1720538069</v>
      </c>
      <c r="E16864" s="1" t="s">
        <v>23125</v>
      </c>
      <c r="F16864" s="2"/>
      <c r="G16864" s="2"/>
      <c r="H16864" s="2"/>
    </row>
    <row r="16865" spans="1:8" x14ac:dyDescent="0.25">
      <c r="A16865" s="1"/>
      <c r="B16865" s="1" t="s">
        <v>5782</v>
      </c>
      <c r="C16865" s="1" t="s">
        <v>5783</v>
      </c>
      <c r="D16865" s="22" t="str">
        <f>HYPERLINK("https://rhld.insurance.arkansas.gov/NPILookup?Npi=1720564313","1720564313")</f>
        <v>1720564313</v>
      </c>
      <c r="E16865" s="1" t="s">
        <v>23126</v>
      </c>
      <c r="F16865" s="2"/>
      <c r="G16865" s="2"/>
      <c r="H16865" s="2"/>
    </row>
    <row r="16866" spans="1:8" x14ac:dyDescent="0.25">
      <c r="A16866" s="1"/>
      <c r="B16866" s="1" t="s">
        <v>5782</v>
      </c>
      <c r="C16866" s="1" t="s">
        <v>5783</v>
      </c>
      <c r="D16866" s="22" t="str">
        <f>HYPERLINK("https://rhld.insurance.arkansas.gov/NPILookup?Npi=1720578909","1720578909")</f>
        <v>1720578909</v>
      </c>
      <c r="E16866" s="1" t="s">
        <v>1886</v>
      </c>
      <c r="F16866" s="2"/>
      <c r="G16866" s="2"/>
      <c r="H16866" s="2"/>
    </row>
    <row r="16867" spans="1:8" x14ac:dyDescent="0.25">
      <c r="A16867" s="1"/>
      <c r="B16867" s="1" t="s">
        <v>5782</v>
      </c>
      <c r="C16867" s="1" t="s">
        <v>5783</v>
      </c>
      <c r="D16867" s="22" t="str">
        <f>HYPERLINK("https://rhld.insurance.arkansas.gov/NPILookup?Npi=1720580210","1720580210")</f>
        <v>1720580210</v>
      </c>
      <c r="E16867" s="1" t="s">
        <v>23127</v>
      </c>
      <c r="F16867" s="2"/>
      <c r="G16867" s="2"/>
      <c r="H16867" s="2"/>
    </row>
    <row r="16868" spans="1:8" x14ac:dyDescent="0.25">
      <c r="A16868" s="1"/>
      <c r="B16868" s="1" t="s">
        <v>5782</v>
      </c>
      <c r="C16868" s="1" t="s">
        <v>5783</v>
      </c>
      <c r="D16868" s="22" t="str">
        <f>HYPERLINK("https://rhld.insurance.arkansas.gov/NPILookup?Npi=1720595416","1720595416")</f>
        <v>1720595416</v>
      </c>
      <c r="E16868" s="1" t="s">
        <v>31933</v>
      </c>
      <c r="F16868" s="2"/>
      <c r="G16868" s="2"/>
      <c r="H16868" s="2"/>
    </row>
    <row r="16869" spans="1:8" x14ac:dyDescent="0.25">
      <c r="A16869" s="1"/>
      <c r="B16869" s="1" t="s">
        <v>5782</v>
      </c>
      <c r="C16869" s="1" t="s">
        <v>5783</v>
      </c>
      <c r="D16869" s="22" t="str">
        <f>HYPERLINK("https://rhld.insurance.arkansas.gov/NPILookup?Npi=1720613482","1720613482")</f>
        <v>1720613482</v>
      </c>
      <c r="E16869" s="1" t="s">
        <v>23128</v>
      </c>
      <c r="F16869" s="2"/>
      <c r="G16869" s="2"/>
      <c r="H16869" s="2"/>
    </row>
    <row r="16870" spans="1:8" x14ac:dyDescent="0.25">
      <c r="A16870" s="1"/>
      <c r="B16870" s="1" t="s">
        <v>5782</v>
      </c>
      <c r="C16870" s="1" t="s">
        <v>5783</v>
      </c>
      <c r="D16870" s="22" t="str">
        <f>HYPERLINK("https://rhld.insurance.arkansas.gov/NPILookup?Npi=1720618267","1720618267")</f>
        <v>1720618267</v>
      </c>
      <c r="E16870" s="1" t="s">
        <v>2504</v>
      </c>
      <c r="F16870" s="2"/>
      <c r="G16870" s="2"/>
      <c r="H16870" s="2"/>
    </row>
    <row r="16871" spans="1:8" x14ac:dyDescent="0.25">
      <c r="A16871" s="1"/>
      <c r="B16871" s="1" t="s">
        <v>5782</v>
      </c>
      <c r="C16871" s="1" t="s">
        <v>5783</v>
      </c>
      <c r="D16871" s="22" t="str">
        <f>HYPERLINK("https://rhld.insurance.arkansas.gov/NPILookup?Npi=1720621295","1720621295")</f>
        <v>1720621295</v>
      </c>
      <c r="E16871" s="1" t="s">
        <v>6581</v>
      </c>
      <c r="F16871" s="2"/>
      <c r="G16871" s="2"/>
      <c r="H16871" s="2"/>
    </row>
    <row r="16872" spans="1:8" x14ac:dyDescent="0.25">
      <c r="A16872" s="1"/>
      <c r="B16872" s="1" t="s">
        <v>5782</v>
      </c>
      <c r="C16872" s="1" t="s">
        <v>5783</v>
      </c>
      <c r="D16872" s="22" t="str">
        <f>HYPERLINK("https://rhld.insurance.arkansas.gov/NPILookup?Npi=1720641756","1720641756")</f>
        <v>1720641756</v>
      </c>
      <c r="E16872" s="1" t="s">
        <v>6011</v>
      </c>
      <c r="F16872" s="2"/>
      <c r="G16872" s="2"/>
      <c r="H16872" s="2"/>
    </row>
    <row r="16873" spans="1:8" x14ac:dyDescent="0.25">
      <c r="A16873" s="1"/>
      <c r="B16873" s="1" t="s">
        <v>5782</v>
      </c>
      <c r="C16873" s="1" t="s">
        <v>5783</v>
      </c>
      <c r="D16873" s="22" t="str">
        <f>HYPERLINK("https://rhld.insurance.arkansas.gov/NPILookup?Npi=1720646458","1720646458")</f>
        <v>1720646458</v>
      </c>
      <c r="E16873" s="1" t="s">
        <v>23129</v>
      </c>
      <c r="F16873" s="2"/>
      <c r="G16873" s="2"/>
      <c r="H16873" s="2"/>
    </row>
    <row r="16874" spans="1:8" x14ac:dyDescent="0.25">
      <c r="A16874" s="1"/>
      <c r="B16874" s="1" t="s">
        <v>5782</v>
      </c>
      <c r="C16874" s="1" t="s">
        <v>5783</v>
      </c>
      <c r="D16874" s="22" t="str">
        <f>HYPERLINK("https://rhld.insurance.arkansas.gov/NPILookup?Npi=1720670508","1720670508")</f>
        <v>1720670508</v>
      </c>
      <c r="E16874" s="1" t="s">
        <v>23130</v>
      </c>
      <c r="F16874" s="2"/>
      <c r="G16874" s="2"/>
      <c r="H16874" s="2"/>
    </row>
    <row r="16875" spans="1:8" x14ac:dyDescent="0.25">
      <c r="A16875" s="1"/>
      <c r="B16875" s="1" t="s">
        <v>5782</v>
      </c>
      <c r="C16875" s="1" t="s">
        <v>5783</v>
      </c>
      <c r="D16875" s="22" t="str">
        <f>HYPERLINK("https://rhld.insurance.arkansas.gov/NPILookup?Npi=1720672728","1720672728")</f>
        <v>1720672728</v>
      </c>
      <c r="E16875" s="1" t="s">
        <v>6582</v>
      </c>
      <c r="F16875" s="2"/>
      <c r="G16875" s="2"/>
      <c r="H16875" s="2"/>
    </row>
    <row r="16876" spans="1:8" x14ac:dyDescent="0.25">
      <c r="A16876" s="1"/>
      <c r="B16876" s="1" t="s">
        <v>5782</v>
      </c>
      <c r="C16876" s="1" t="s">
        <v>5783</v>
      </c>
      <c r="D16876" s="22" t="str">
        <f>HYPERLINK("https://rhld.insurance.arkansas.gov/NPILookup?Npi=1720680671","1720680671")</f>
        <v>1720680671</v>
      </c>
      <c r="E16876" s="1" t="s">
        <v>3794</v>
      </c>
      <c r="F16876" s="2"/>
      <c r="G16876" s="2"/>
      <c r="H16876" s="2"/>
    </row>
    <row r="16877" spans="1:8" x14ac:dyDescent="0.25">
      <c r="A16877" s="1"/>
      <c r="B16877" s="1" t="s">
        <v>5782</v>
      </c>
      <c r="C16877" s="1" t="s">
        <v>5783</v>
      </c>
      <c r="D16877" s="22" t="str">
        <f>HYPERLINK("https://rhld.insurance.arkansas.gov/NPILookup?Npi=1720687981","1720687981")</f>
        <v>1720687981</v>
      </c>
      <c r="E16877" s="1" t="s">
        <v>5164</v>
      </c>
      <c r="F16877" s="2"/>
      <c r="G16877" s="2"/>
      <c r="H16877" s="2"/>
    </row>
    <row r="16878" spans="1:8" x14ac:dyDescent="0.25">
      <c r="A16878" s="1"/>
      <c r="B16878" s="1" t="s">
        <v>5782</v>
      </c>
      <c r="C16878" s="1" t="s">
        <v>5783</v>
      </c>
      <c r="D16878" s="22" t="str">
        <f>HYPERLINK("https://rhld.insurance.arkansas.gov/NPILookup?Npi=1720689615","1720689615")</f>
        <v>1720689615</v>
      </c>
      <c r="E16878" s="1" t="s">
        <v>23131</v>
      </c>
      <c r="F16878" s="2"/>
      <c r="G16878" s="2"/>
      <c r="H16878" s="2"/>
    </row>
    <row r="16879" spans="1:8" x14ac:dyDescent="0.25">
      <c r="A16879" s="1"/>
      <c r="B16879" s="1" t="s">
        <v>5782</v>
      </c>
      <c r="C16879" s="1" t="s">
        <v>5783</v>
      </c>
      <c r="D16879" s="22" t="str">
        <f>HYPERLINK("https://rhld.insurance.arkansas.gov/NPILookup?Npi=1720692486","1720692486")</f>
        <v>1720692486</v>
      </c>
      <c r="E16879" s="1" t="s">
        <v>6583</v>
      </c>
      <c r="F16879" s="2"/>
      <c r="G16879" s="2"/>
      <c r="H16879" s="2"/>
    </row>
    <row r="16880" spans="1:8" x14ac:dyDescent="0.25">
      <c r="A16880" s="1"/>
      <c r="B16880" s="1" t="s">
        <v>5782</v>
      </c>
      <c r="C16880" s="1" t="s">
        <v>5783</v>
      </c>
      <c r="D16880" s="22" t="str">
        <f>HYPERLINK("https://rhld.insurance.arkansas.gov/NPILookup?Npi=1720694250","1720694250")</f>
        <v>1720694250</v>
      </c>
      <c r="E16880" s="1" t="s">
        <v>3359</v>
      </c>
      <c r="F16880" s="2"/>
      <c r="G16880" s="2"/>
      <c r="H16880" s="2"/>
    </row>
    <row r="16881" spans="1:8" x14ac:dyDescent="0.25">
      <c r="A16881" s="1"/>
      <c r="B16881" s="1" t="s">
        <v>5782</v>
      </c>
      <c r="C16881" s="1" t="s">
        <v>5783</v>
      </c>
      <c r="D16881" s="22" t="str">
        <f>HYPERLINK("https://rhld.insurance.arkansas.gov/NPILookup?Npi=1720714868","1720714868")</f>
        <v>1720714868</v>
      </c>
      <c r="E16881" s="1" t="s">
        <v>23132</v>
      </c>
      <c r="F16881" s="2"/>
      <c r="G16881" s="2"/>
      <c r="H16881" s="2"/>
    </row>
    <row r="16882" spans="1:8" x14ac:dyDescent="0.25">
      <c r="A16882" s="1"/>
      <c r="B16882" s="1" t="s">
        <v>5782</v>
      </c>
      <c r="C16882" s="1" t="s">
        <v>5783</v>
      </c>
      <c r="D16882" s="22" t="str">
        <f>HYPERLINK("https://rhld.insurance.arkansas.gov/NPILookup?Npi=1720714876","1720714876")</f>
        <v>1720714876</v>
      </c>
      <c r="E16882" s="1" t="s">
        <v>12043</v>
      </c>
      <c r="F16882" s="2"/>
      <c r="G16882" s="2"/>
      <c r="H16882" s="2"/>
    </row>
    <row r="16883" spans="1:8" x14ac:dyDescent="0.25">
      <c r="A16883" s="1"/>
      <c r="B16883" s="1" t="s">
        <v>5782</v>
      </c>
      <c r="C16883" s="1" t="s">
        <v>5783</v>
      </c>
      <c r="D16883" s="22" t="str">
        <f>HYPERLINK("https://rhld.insurance.arkansas.gov/NPILookup?Npi=1720716707","1720716707")</f>
        <v>1720716707</v>
      </c>
      <c r="E16883" s="1" t="s">
        <v>23133</v>
      </c>
      <c r="F16883" s="2"/>
      <c r="G16883" s="2"/>
      <c r="H16883" s="2"/>
    </row>
    <row r="16884" spans="1:8" x14ac:dyDescent="0.25">
      <c r="A16884" s="1"/>
      <c r="B16884" s="1" t="s">
        <v>5782</v>
      </c>
      <c r="C16884" s="1" t="s">
        <v>5783</v>
      </c>
      <c r="D16884" s="22" t="str">
        <f>HYPERLINK("https://rhld.insurance.arkansas.gov/NPILookup?Npi=1720720352","1720720352")</f>
        <v>1720720352</v>
      </c>
      <c r="E16884" s="1" t="s">
        <v>23134</v>
      </c>
      <c r="F16884" s="2"/>
      <c r="G16884" s="2"/>
      <c r="H16884" s="2"/>
    </row>
    <row r="16885" spans="1:8" x14ac:dyDescent="0.25">
      <c r="A16885" s="1"/>
      <c r="B16885" s="1" t="s">
        <v>5782</v>
      </c>
      <c r="C16885" s="1" t="s">
        <v>5783</v>
      </c>
      <c r="D16885" s="22" t="str">
        <f>HYPERLINK("https://rhld.insurance.arkansas.gov/NPILookup?Npi=1720778939","1720778939")</f>
        <v>1720778939</v>
      </c>
      <c r="E16885" s="1" t="s">
        <v>6584</v>
      </c>
      <c r="F16885" s="2"/>
      <c r="G16885" s="2"/>
      <c r="H16885" s="2"/>
    </row>
    <row r="16886" spans="1:8" x14ac:dyDescent="0.25">
      <c r="A16886" s="1"/>
      <c r="B16886" s="1" t="s">
        <v>5782</v>
      </c>
      <c r="C16886" s="1" t="s">
        <v>5783</v>
      </c>
      <c r="D16886" s="22" t="str">
        <f>HYPERLINK("https://rhld.insurance.arkansas.gov/NPILookup?Npi=1720787872","1720787872")</f>
        <v>1720787872</v>
      </c>
      <c r="E16886" s="1" t="s">
        <v>23135</v>
      </c>
      <c r="F16886" s="2"/>
      <c r="G16886" s="2"/>
      <c r="H16886" s="2"/>
    </row>
    <row r="16887" spans="1:8" x14ac:dyDescent="0.25">
      <c r="A16887" s="1"/>
      <c r="B16887" s="1" t="s">
        <v>5782</v>
      </c>
      <c r="C16887" s="1" t="s">
        <v>5783</v>
      </c>
      <c r="D16887" s="22" t="str">
        <f>HYPERLINK("https://rhld.insurance.arkansas.gov/NPILookup?Npi=1720842578","1720842578")</f>
        <v>1720842578</v>
      </c>
      <c r="E16887" s="1" t="s">
        <v>23136</v>
      </c>
      <c r="F16887" s="2"/>
      <c r="G16887" s="2"/>
      <c r="H16887" s="2"/>
    </row>
    <row r="16888" spans="1:8" x14ac:dyDescent="0.25">
      <c r="A16888" s="1"/>
      <c r="B16888" s="1" t="s">
        <v>5782</v>
      </c>
      <c r="C16888" s="1" t="s">
        <v>5783</v>
      </c>
      <c r="D16888" s="22" t="str">
        <f>HYPERLINK("https://rhld.insurance.arkansas.gov/NPILookup?Npi=1720854292","1720854292")</f>
        <v>1720854292</v>
      </c>
      <c r="E16888" s="1" t="s">
        <v>3849</v>
      </c>
      <c r="F16888" s="2"/>
      <c r="G16888" s="2"/>
      <c r="H16888" s="2"/>
    </row>
    <row r="16889" spans="1:8" x14ac:dyDescent="0.25">
      <c r="A16889" s="1"/>
      <c r="B16889" s="1" t="s">
        <v>5782</v>
      </c>
      <c r="C16889" s="1" t="s">
        <v>5783</v>
      </c>
      <c r="D16889" s="22" t="str">
        <f>HYPERLINK("https://rhld.insurance.arkansas.gov/NPILookup?Npi=1720856917","1720856917")</f>
        <v>1720856917</v>
      </c>
      <c r="E16889" s="1" t="s">
        <v>6585</v>
      </c>
      <c r="F16889" s="2"/>
      <c r="G16889" s="2"/>
      <c r="H16889" s="2"/>
    </row>
    <row r="16890" spans="1:8" x14ac:dyDescent="0.25">
      <c r="A16890" s="1"/>
      <c r="B16890" s="1" t="s">
        <v>5782</v>
      </c>
      <c r="C16890" s="1" t="s">
        <v>5783</v>
      </c>
      <c r="D16890" s="22" t="str">
        <f>HYPERLINK("https://rhld.insurance.arkansas.gov/NPILookup?Npi=1730110644","1730110644")</f>
        <v>1730110644</v>
      </c>
      <c r="E16890" s="1" t="s">
        <v>3252</v>
      </c>
      <c r="F16890" s="2"/>
      <c r="G16890" s="2"/>
      <c r="H16890" s="2"/>
    </row>
    <row r="16891" spans="1:8" x14ac:dyDescent="0.25">
      <c r="A16891" s="1"/>
      <c r="B16891" s="1" t="s">
        <v>5782</v>
      </c>
      <c r="C16891" s="1" t="s">
        <v>5783</v>
      </c>
      <c r="D16891" s="22" t="str">
        <f>HYPERLINK("https://rhld.insurance.arkansas.gov/NPILookup?Npi=1730127119","1730127119")</f>
        <v>1730127119</v>
      </c>
      <c r="E16891" s="1" t="s">
        <v>3362</v>
      </c>
      <c r="F16891" s="2"/>
      <c r="G16891" s="2"/>
      <c r="H16891" s="2"/>
    </row>
    <row r="16892" spans="1:8" x14ac:dyDescent="0.25">
      <c r="A16892" s="1"/>
      <c r="B16892" s="1" t="s">
        <v>5782</v>
      </c>
      <c r="C16892" s="1" t="s">
        <v>5783</v>
      </c>
      <c r="D16892" s="22" t="str">
        <f>HYPERLINK("https://rhld.insurance.arkansas.gov/NPILookup?Npi=1730168873","1730168873")</f>
        <v>1730168873</v>
      </c>
      <c r="E16892" s="1" t="s">
        <v>23137</v>
      </c>
      <c r="F16892" s="2"/>
      <c r="G16892" s="2"/>
      <c r="H16892" s="2"/>
    </row>
    <row r="16893" spans="1:8" x14ac:dyDescent="0.25">
      <c r="A16893" s="1"/>
      <c r="B16893" s="1" t="s">
        <v>5782</v>
      </c>
      <c r="C16893" s="1" t="s">
        <v>5783</v>
      </c>
      <c r="D16893" s="22" t="str">
        <f>HYPERLINK("https://rhld.insurance.arkansas.gov/NPILookup?Npi=1730195454","1730195454")</f>
        <v>1730195454</v>
      </c>
      <c r="E16893" s="1" t="s">
        <v>15733</v>
      </c>
      <c r="F16893" s="2"/>
      <c r="G16893" s="2"/>
      <c r="H16893" s="2"/>
    </row>
    <row r="16894" spans="1:8" x14ac:dyDescent="0.25">
      <c r="A16894" s="1"/>
      <c r="B16894" s="1" t="s">
        <v>5782</v>
      </c>
      <c r="C16894" s="1" t="s">
        <v>5783</v>
      </c>
      <c r="D16894" s="22" t="str">
        <f>HYPERLINK("https://rhld.insurance.arkansas.gov/NPILookup?Npi=1730201799","1730201799")</f>
        <v>1730201799</v>
      </c>
      <c r="E16894" s="1" t="s">
        <v>23138</v>
      </c>
      <c r="F16894" s="2"/>
      <c r="G16894" s="2"/>
      <c r="H16894" s="2"/>
    </row>
    <row r="16895" spans="1:8" x14ac:dyDescent="0.25">
      <c r="A16895" s="1"/>
      <c r="B16895" s="1" t="s">
        <v>5782</v>
      </c>
      <c r="C16895" s="1" t="s">
        <v>5783</v>
      </c>
      <c r="D16895" s="22" t="str">
        <f>HYPERLINK("https://rhld.insurance.arkansas.gov/NPILookup?Npi=1730205410","1730205410")</f>
        <v>1730205410</v>
      </c>
      <c r="E16895" s="1" t="s">
        <v>6586</v>
      </c>
      <c r="F16895" s="2"/>
      <c r="G16895" s="2"/>
      <c r="H16895" s="2"/>
    </row>
    <row r="16896" spans="1:8" x14ac:dyDescent="0.25">
      <c r="A16896" s="1"/>
      <c r="B16896" s="1" t="s">
        <v>5782</v>
      </c>
      <c r="C16896" s="1" t="s">
        <v>5783</v>
      </c>
      <c r="D16896" s="22" t="str">
        <f>HYPERLINK("https://rhld.insurance.arkansas.gov/NPILookup?Npi=1730232216","1730232216")</f>
        <v>1730232216</v>
      </c>
      <c r="E16896" s="1" t="s">
        <v>2158</v>
      </c>
      <c r="F16896" s="2"/>
      <c r="G16896" s="2"/>
      <c r="H16896" s="2"/>
    </row>
    <row r="16897" spans="1:8" x14ac:dyDescent="0.25">
      <c r="A16897" s="1"/>
      <c r="B16897" s="1" t="s">
        <v>5782</v>
      </c>
      <c r="C16897" s="1" t="s">
        <v>5783</v>
      </c>
      <c r="D16897" s="22" t="str">
        <f>HYPERLINK("https://rhld.insurance.arkansas.gov/NPILookup?Npi=1730232547","1730232547")</f>
        <v>1730232547</v>
      </c>
      <c r="E16897" s="1" t="s">
        <v>6587</v>
      </c>
      <c r="F16897" s="2"/>
      <c r="G16897" s="2"/>
      <c r="H16897" s="2"/>
    </row>
    <row r="16898" spans="1:8" x14ac:dyDescent="0.25">
      <c r="A16898" s="1"/>
      <c r="B16898" s="1" t="s">
        <v>5782</v>
      </c>
      <c r="C16898" s="1" t="s">
        <v>5783</v>
      </c>
      <c r="D16898" s="22" t="str">
        <f>HYPERLINK("https://rhld.insurance.arkansas.gov/NPILookup?Npi=1730241431","1730241431")</f>
        <v>1730241431</v>
      </c>
      <c r="E16898" s="1" t="s">
        <v>12044</v>
      </c>
      <c r="F16898" s="2"/>
      <c r="G16898" s="2"/>
      <c r="H16898" s="2"/>
    </row>
    <row r="16899" spans="1:8" x14ac:dyDescent="0.25">
      <c r="A16899" s="1"/>
      <c r="B16899" s="1" t="s">
        <v>5782</v>
      </c>
      <c r="C16899" s="1" t="s">
        <v>5783</v>
      </c>
      <c r="D16899" s="22" t="str">
        <f>HYPERLINK("https://rhld.insurance.arkansas.gov/NPILookup?Npi=1730245465","1730245465")</f>
        <v>1730245465</v>
      </c>
      <c r="E16899" s="1" t="s">
        <v>23139</v>
      </c>
      <c r="F16899" s="2"/>
      <c r="G16899" s="2"/>
      <c r="H16899" s="2"/>
    </row>
    <row r="16900" spans="1:8" x14ac:dyDescent="0.25">
      <c r="A16900" s="1"/>
      <c r="B16900" s="1" t="s">
        <v>5782</v>
      </c>
      <c r="C16900" s="1" t="s">
        <v>5783</v>
      </c>
      <c r="D16900" s="22" t="str">
        <f>HYPERLINK("https://rhld.insurance.arkansas.gov/NPILookup?Npi=1730249715","1730249715")</f>
        <v>1730249715</v>
      </c>
      <c r="E16900" s="1" t="s">
        <v>23140</v>
      </c>
      <c r="F16900" s="2"/>
      <c r="G16900" s="2"/>
      <c r="H16900" s="2"/>
    </row>
    <row r="16901" spans="1:8" x14ac:dyDescent="0.25">
      <c r="A16901" s="1"/>
      <c r="B16901" s="1" t="s">
        <v>5782</v>
      </c>
      <c r="C16901" s="1" t="s">
        <v>5783</v>
      </c>
      <c r="D16901" s="22" t="str">
        <f>HYPERLINK("https://rhld.insurance.arkansas.gov/NPILookup?Npi=1730281403","1730281403")</f>
        <v>1730281403</v>
      </c>
      <c r="E16901" s="1" t="s">
        <v>21499</v>
      </c>
      <c r="F16901" s="2"/>
      <c r="G16901" s="2"/>
      <c r="H16901" s="2"/>
    </row>
    <row r="16902" spans="1:8" x14ac:dyDescent="0.25">
      <c r="A16902" s="1"/>
      <c r="B16902" s="1" t="s">
        <v>5782</v>
      </c>
      <c r="C16902" s="1" t="s">
        <v>5783</v>
      </c>
      <c r="D16902" s="22" t="str">
        <f>HYPERLINK("https://rhld.insurance.arkansas.gov/NPILookup?Npi=1730323064","1730323064")</f>
        <v>1730323064</v>
      </c>
      <c r="E16902" s="1" t="s">
        <v>376</v>
      </c>
      <c r="F16902" s="2"/>
      <c r="G16902" s="2"/>
      <c r="H16902" s="2"/>
    </row>
    <row r="16903" spans="1:8" x14ac:dyDescent="0.25">
      <c r="A16903" s="1"/>
      <c r="B16903" s="1" t="s">
        <v>5782</v>
      </c>
      <c r="C16903" s="1" t="s">
        <v>5783</v>
      </c>
      <c r="D16903" s="22" t="str">
        <f>HYPERLINK("https://rhld.insurance.arkansas.gov/NPILookup?Npi=1730325572","1730325572")</f>
        <v>1730325572</v>
      </c>
      <c r="E16903" s="1" t="s">
        <v>23142</v>
      </c>
      <c r="F16903" s="2"/>
      <c r="G16903" s="2"/>
      <c r="H16903" s="2"/>
    </row>
    <row r="16904" spans="1:8" x14ac:dyDescent="0.25">
      <c r="A16904" s="1"/>
      <c r="B16904" s="1" t="s">
        <v>5782</v>
      </c>
      <c r="C16904" s="1" t="s">
        <v>5783</v>
      </c>
      <c r="D16904" s="22" t="str">
        <f>HYPERLINK("https://rhld.insurance.arkansas.gov/NPILookup?Npi=1730330473","1730330473")</f>
        <v>1730330473</v>
      </c>
      <c r="E16904" s="1" t="s">
        <v>23143</v>
      </c>
      <c r="F16904" s="2"/>
      <c r="G16904" s="2"/>
      <c r="H16904" s="2"/>
    </row>
    <row r="16905" spans="1:8" x14ac:dyDescent="0.25">
      <c r="A16905" s="1"/>
      <c r="B16905" s="1" t="s">
        <v>5782</v>
      </c>
      <c r="C16905" s="1" t="s">
        <v>5783</v>
      </c>
      <c r="D16905" s="22" t="str">
        <f>HYPERLINK("https://rhld.insurance.arkansas.gov/NPILookup?Npi=1730356312","1730356312")</f>
        <v>1730356312</v>
      </c>
      <c r="E16905" s="1" t="s">
        <v>949</v>
      </c>
      <c r="F16905" s="2"/>
      <c r="G16905" s="2"/>
      <c r="H16905" s="2"/>
    </row>
    <row r="16906" spans="1:8" x14ac:dyDescent="0.25">
      <c r="A16906" s="1"/>
      <c r="B16906" s="1" t="s">
        <v>5782</v>
      </c>
      <c r="C16906" s="1" t="s">
        <v>5783</v>
      </c>
      <c r="D16906" s="22" t="str">
        <f>HYPERLINK("https://rhld.insurance.arkansas.gov/NPILookup?Npi=1730356825","1730356825")</f>
        <v>1730356825</v>
      </c>
      <c r="E16906" s="1" t="s">
        <v>2214</v>
      </c>
      <c r="F16906" s="2"/>
      <c r="G16906" s="2"/>
      <c r="H16906" s="2"/>
    </row>
    <row r="16907" spans="1:8" x14ac:dyDescent="0.25">
      <c r="A16907" s="1"/>
      <c r="B16907" s="1" t="s">
        <v>5782</v>
      </c>
      <c r="C16907" s="1" t="s">
        <v>5783</v>
      </c>
      <c r="D16907" s="22" t="str">
        <f>HYPERLINK("https://rhld.insurance.arkansas.gov/NPILookup?Npi=1730372210","1730372210")</f>
        <v>1730372210</v>
      </c>
      <c r="E16907" s="1" t="s">
        <v>17460</v>
      </c>
      <c r="F16907" s="2"/>
      <c r="G16907" s="2"/>
      <c r="H16907" s="2"/>
    </row>
    <row r="16908" spans="1:8" x14ac:dyDescent="0.25">
      <c r="A16908" s="1"/>
      <c r="B16908" s="1" t="s">
        <v>5782</v>
      </c>
      <c r="C16908" s="1" t="s">
        <v>5783</v>
      </c>
      <c r="D16908" s="22" t="str">
        <f>HYPERLINK("https://rhld.insurance.arkansas.gov/NPILookup?Npi=1730385188","1730385188")</f>
        <v>1730385188</v>
      </c>
      <c r="E16908" s="1" t="s">
        <v>6588</v>
      </c>
      <c r="F16908" s="2"/>
      <c r="G16908" s="2"/>
      <c r="H16908" s="2"/>
    </row>
    <row r="16909" spans="1:8" x14ac:dyDescent="0.25">
      <c r="A16909" s="1"/>
      <c r="B16909" s="1" t="s">
        <v>5782</v>
      </c>
      <c r="C16909" s="1" t="s">
        <v>5783</v>
      </c>
      <c r="D16909" s="22" t="str">
        <f>HYPERLINK("https://rhld.insurance.arkansas.gov/NPILookup?Npi=1730386970","1730386970")</f>
        <v>1730386970</v>
      </c>
      <c r="E16909" s="1" t="s">
        <v>6589</v>
      </c>
      <c r="F16909" s="2"/>
      <c r="G16909" s="2"/>
      <c r="H16909" s="2"/>
    </row>
    <row r="16910" spans="1:8" x14ac:dyDescent="0.25">
      <c r="A16910" s="1"/>
      <c r="B16910" s="1" t="s">
        <v>5782</v>
      </c>
      <c r="C16910" s="1" t="s">
        <v>5783</v>
      </c>
      <c r="D16910" s="22" t="str">
        <f>HYPERLINK("https://rhld.insurance.arkansas.gov/NPILookup?Npi=1730400599","1730400599")</f>
        <v>1730400599</v>
      </c>
      <c r="E16910" s="1" t="s">
        <v>23144</v>
      </c>
      <c r="F16910" s="2"/>
      <c r="G16910" s="2"/>
      <c r="H16910" s="2"/>
    </row>
    <row r="16911" spans="1:8" x14ac:dyDescent="0.25">
      <c r="A16911" s="1"/>
      <c r="B16911" s="1" t="s">
        <v>5782</v>
      </c>
      <c r="C16911" s="1" t="s">
        <v>5783</v>
      </c>
      <c r="D16911" s="22" t="str">
        <f>HYPERLINK("https://rhld.insurance.arkansas.gov/NPILookup?Npi=1730413378","1730413378")</f>
        <v>1730413378</v>
      </c>
      <c r="E16911" s="1" t="s">
        <v>23145</v>
      </c>
      <c r="F16911" s="2"/>
      <c r="G16911" s="2"/>
      <c r="H16911" s="2"/>
    </row>
    <row r="16912" spans="1:8" x14ac:dyDescent="0.25">
      <c r="A16912" s="1"/>
      <c r="B16912" s="1" t="s">
        <v>5782</v>
      </c>
      <c r="C16912" s="1" t="s">
        <v>5783</v>
      </c>
      <c r="D16912" s="22" t="str">
        <f>HYPERLINK("https://rhld.insurance.arkansas.gov/NPILookup?Npi=1730432055","1730432055")</f>
        <v>1730432055</v>
      </c>
      <c r="E16912" s="1" t="s">
        <v>23146</v>
      </c>
      <c r="F16912" s="2"/>
      <c r="G16912" s="2"/>
      <c r="H16912" s="2"/>
    </row>
    <row r="16913" spans="1:8" x14ac:dyDescent="0.25">
      <c r="A16913" s="1"/>
      <c r="B16913" s="1" t="s">
        <v>5782</v>
      </c>
      <c r="C16913" s="1" t="s">
        <v>5783</v>
      </c>
      <c r="D16913" s="22" t="str">
        <f>HYPERLINK("https://rhld.insurance.arkansas.gov/NPILookup?Npi=1730437526","1730437526")</f>
        <v>1730437526</v>
      </c>
      <c r="E16913" s="1" t="s">
        <v>23147</v>
      </c>
      <c r="F16913" s="2"/>
      <c r="G16913" s="2"/>
      <c r="H16913" s="2"/>
    </row>
    <row r="16914" spans="1:8" x14ac:dyDescent="0.25">
      <c r="A16914" s="1"/>
      <c r="B16914" s="1" t="s">
        <v>5782</v>
      </c>
      <c r="C16914" s="1" t="s">
        <v>5783</v>
      </c>
      <c r="D16914" s="22" t="str">
        <f>HYPERLINK("https://rhld.insurance.arkansas.gov/NPILookup?Npi=1730439589","1730439589")</f>
        <v>1730439589</v>
      </c>
      <c r="E16914" s="1" t="s">
        <v>23148</v>
      </c>
      <c r="F16914" s="2"/>
      <c r="G16914" s="2"/>
      <c r="H16914" s="2"/>
    </row>
    <row r="16915" spans="1:8" x14ac:dyDescent="0.25">
      <c r="A16915" s="1"/>
      <c r="B16915" s="1" t="s">
        <v>5782</v>
      </c>
      <c r="C16915" s="1" t="s">
        <v>5783</v>
      </c>
      <c r="D16915" s="22" t="str">
        <f>HYPERLINK("https://rhld.insurance.arkansas.gov/NPILookup?Npi=1730457383","1730457383")</f>
        <v>1730457383</v>
      </c>
      <c r="E16915" s="1" t="s">
        <v>6590</v>
      </c>
      <c r="F16915" s="2"/>
      <c r="G16915" s="2"/>
      <c r="H16915" s="2"/>
    </row>
    <row r="16916" spans="1:8" x14ac:dyDescent="0.25">
      <c r="A16916" s="1"/>
      <c r="B16916" s="1" t="s">
        <v>5782</v>
      </c>
      <c r="C16916" s="1" t="s">
        <v>5783</v>
      </c>
      <c r="D16916" s="22" t="str">
        <f>HYPERLINK("https://rhld.insurance.arkansas.gov/NPILookup?Npi=1730463670","1730463670")</f>
        <v>1730463670</v>
      </c>
      <c r="E16916" s="1" t="s">
        <v>3363</v>
      </c>
      <c r="F16916" s="2"/>
      <c r="G16916" s="2"/>
      <c r="H16916" s="2"/>
    </row>
    <row r="16917" spans="1:8" x14ac:dyDescent="0.25">
      <c r="A16917" s="1"/>
      <c r="B16917" s="1" t="s">
        <v>5782</v>
      </c>
      <c r="C16917" s="1" t="s">
        <v>5783</v>
      </c>
      <c r="D16917" s="22" t="str">
        <f>HYPERLINK("https://rhld.insurance.arkansas.gov/NPILookup?Npi=1730465394","1730465394")</f>
        <v>1730465394</v>
      </c>
      <c r="E16917" s="1" t="s">
        <v>23149</v>
      </c>
      <c r="F16917" s="2"/>
      <c r="G16917" s="2"/>
      <c r="H16917" s="2"/>
    </row>
    <row r="16918" spans="1:8" x14ac:dyDescent="0.25">
      <c r="A16918" s="1"/>
      <c r="B16918" s="1" t="s">
        <v>5782</v>
      </c>
      <c r="C16918" s="1" t="s">
        <v>5783</v>
      </c>
      <c r="D16918" s="22" t="str">
        <f>HYPERLINK("https://rhld.insurance.arkansas.gov/NPILookup?Npi=1730471863","1730471863")</f>
        <v>1730471863</v>
      </c>
      <c r="E16918" s="1" t="s">
        <v>2488</v>
      </c>
      <c r="F16918" s="2"/>
      <c r="G16918" s="2"/>
      <c r="H16918" s="2"/>
    </row>
    <row r="16919" spans="1:8" x14ac:dyDescent="0.25">
      <c r="A16919" s="1"/>
      <c r="B16919" s="1" t="s">
        <v>5782</v>
      </c>
      <c r="C16919" s="1" t="s">
        <v>5783</v>
      </c>
      <c r="D16919" s="22" t="str">
        <f>HYPERLINK("https://rhld.insurance.arkansas.gov/NPILookup?Npi=1730491598","1730491598")</f>
        <v>1730491598</v>
      </c>
      <c r="E16919" s="1" t="s">
        <v>2710</v>
      </c>
      <c r="F16919" s="2"/>
      <c r="G16919" s="2"/>
      <c r="H16919" s="2"/>
    </row>
    <row r="16920" spans="1:8" x14ac:dyDescent="0.25">
      <c r="A16920" s="1"/>
      <c r="B16920" s="1" t="s">
        <v>5782</v>
      </c>
      <c r="C16920" s="1" t="s">
        <v>5783</v>
      </c>
      <c r="D16920" s="22" t="str">
        <f>HYPERLINK("https://rhld.insurance.arkansas.gov/NPILookup?Npi=1730493784","1730493784")</f>
        <v>1730493784</v>
      </c>
      <c r="E16920" s="1" t="s">
        <v>12047</v>
      </c>
      <c r="F16920" s="2"/>
      <c r="G16920" s="2"/>
      <c r="H16920" s="2"/>
    </row>
    <row r="16921" spans="1:8" x14ac:dyDescent="0.25">
      <c r="A16921" s="1"/>
      <c r="B16921" s="1" t="s">
        <v>5782</v>
      </c>
      <c r="C16921" s="1" t="s">
        <v>5783</v>
      </c>
      <c r="D16921" s="22" t="str">
        <f>HYPERLINK("https://rhld.insurance.arkansas.gov/NPILookup?Npi=1730497710","1730497710")</f>
        <v>1730497710</v>
      </c>
      <c r="E16921" s="1" t="s">
        <v>12048</v>
      </c>
      <c r="F16921" s="2"/>
      <c r="G16921" s="2"/>
      <c r="H16921" s="2"/>
    </row>
    <row r="16922" spans="1:8" x14ac:dyDescent="0.25">
      <c r="A16922" s="1"/>
      <c r="B16922" s="1" t="s">
        <v>5782</v>
      </c>
      <c r="C16922" s="1" t="s">
        <v>5783</v>
      </c>
      <c r="D16922" s="22" t="str">
        <f>HYPERLINK("https://rhld.insurance.arkansas.gov/NPILookup?Npi=1730502824","1730502824")</f>
        <v>1730502824</v>
      </c>
      <c r="E16922" s="1" t="s">
        <v>23150</v>
      </c>
      <c r="F16922" s="2"/>
      <c r="G16922" s="2"/>
      <c r="H16922" s="2"/>
    </row>
    <row r="16923" spans="1:8" x14ac:dyDescent="0.25">
      <c r="A16923" s="1"/>
      <c r="B16923" s="1" t="s">
        <v>5782</v>
      </c>
      <c r="C16923" s="1" t="s">
        <v>5783</v>
      </c>
      <c r="D16923" s="22" t="str">
        <f>HYPERLINK("https://rhld.insurance.arkansas.gov/NPILookup?Npi=1730512815","1730512815")</f>
        <v>1730512815</v>
      </c>
      <c r="E16923" s="1" t="s">
        <v>11459</v>
      </c>
      <c r="F16923" s="2"/>
      <c r="G16923" s="2"/>
      <c r="H16923" s="2"/>
    </row>
    <row r="16924" spans="1:8" x14ac:dyDescent="0.25">
      <c r="A16924" s="1"/>
      <c r="B16924" s="1" t="s">
        <v>5782</v>
      </c>
      <c r="C16924" s="1" t="s">
        <v>5783</v>
      </c>
      <c r="D16924" s="22" t="str">
        <f>HYPERLINK("https://rhld.insurance.arkansas.gov/NPILookup?Npi=1730515974","1730515974")</f>
        <v>1730515974</v>
      </c>
      <c r="E16924" s="1" t="s">
        <v>5856</v>
      </c>
      <c r="F16924" s="2"/>
      <c r="G16924" s="2"/>
      <c r="H16924" s="2"/>
    </row>
    <row r="16925" spans="1:8" x14ac:dyDescent="0.25">
      <c r="A16925" s="1"/>
      <c r="B16925" s="1" t="s">
        <v>5782</v>
      </c>
      <c r="C16925" s="1" t="s">
        <v>5783</v>
      </c>
      <c r="D16925" s="22" t="str">
        <f>HYPERLINK("https://rhld.insurance.arkansas.gov/NPILookup?Npi=1730520230","1730520230")</f>
        <v>1730520230</v>
      </c>
      <c r="E16925" s="1" t="s">
        <v>23151</v>
      </c>
      <c r="F16925" s="2"/>
      <c r="G16925" s="2"/>
      <c r="H16925" s="2"/>
    </row>
    <row r="16926" spans="1:8" x14ac:dyDescent="0.25">
      <c r="A16926" s="1"/>
      <c r="B16926" s="1" t="s">
        <v>5782</v>
      </c>
      <c r="C16926" s="1" t="s">
        <v>5783</v>
      </c>
      <c r="D16926" s="22" t="str">
        <f>HYPERLINK("https://rhld.insurance.arkansas.gov/NPILookup?Npi=1730547357","1730547357")</f>
        <v>1730547357</v>
      </c>
      <c r="E16926" s="1" t="s">
        <v>12049</v>
      </c>
      <c r="F16926" s="2"/>
      <c r="G16926" s="2"/>
      <c r="H16926" s="2"/>
    </row>
    <row r="16927" spans="1:8" x14ac:dyDescent="0.25">
      <c r="A16927" s="1"/>
      <c r="B16927" s="1" t="s">
        <v>5782</v>
      </c>
      <c r="C16927" s="1" t="s">
        <v>5783</v>
      </c>
      <c r="D16927" s="22" t="str">
        <f>HYPERLINK("https://rhld.insurance.arkansas.gov/NPILookup?Npi=1730551391","1730551391")</f>
        <v>1730551391</v>
      </c>
      <c r="E16927" s="1" t="s">
        <v>1899</v>
      </c>
      <c r="F16927" s="2"/>
      <c r="G16927" s="2"/>
      <c r="H16927" s="2"/>
    </row>
    <row r="16928" spans="1:8" x14ac:dyDescent="0.25">
      <c r="A16928" s="1"/>
      <c r="B16928" s="1" t="s">
        <v>5782</v>
      </c>
      <c r="C16928" s="1" t="s">
        <v>5783</v>
      </c>
      <c r="D16928" s="22" t="str">
        <f>HYPERLINK("https://rhld.insurance.arkansas.gov/NPILookup?Npi=1730576257","1730576257")</f>
        <v>1730576257</v>
      </c>
      <c r="E16928" s="1" t="s">
        <v>19244</v>
      </c>
      <c r="F16928" s="2"/>
      <c r="G16928" s="2"/>
      <c r="H16928" s="2"/>
    </row>
    <row r="16929" spans="1:8" x14ac:dyDescent="0.25">
      <c r="A16929" s="1"/>
      <c r="B16929" s="1" t="s">
        <v>5782</v>
      </c>
      <c r="C16929" s="1" t="s">
        <v>5783</v>
      </c>
      <c r="D16929" s="22" t="str">
        <f>HYPERLINK("https://rhld.insurance.arkansas.gov/NPILookup?Npi=1730588187","1730588187")</f>
        <v>1730588187</v>
      </c>
      <c r="E16929" s="1" t="s">
        <v>12050</v>
      </c>
      <c r="F16929" s="2"/>
      <c r="G16929" s="2"/>
      <c r="H16929" s="2"/>
    </row>
    <row r="16930" spans="1:8" x14ac:dyDescent="0.25">
      <c r="A16930" s="1"/>
      <c r="B16930" s="1" t="s">
        <v>5782</v>
      </c>
      <c r="C16930" s="1" t="s">
        <v>5783</v>
      </c>
      <c r="D16930" s="22" t="str">
        <f>HYPERLINK("https://rhld.insurance.arkansas.gov/NPILookup?Npi=1730593286","1730593286")</f>
        <v>1730593286</v>
      </c>
      <c r="E16930" s="1" t="s">
        <v>23152</v>
      </c>
      <c r="F16930" s="2"/>
      <c r="G16930" s="2"/>
      <c r="H16930" s="2"/>
    </row>
    <row r="16931" spans="1:8" x14ac:dyDescent="0.25">
      <c r="A16931" s="1"/>
      <c r="B16931" s="1" t="s">
        <v>5782</v>
      </c>
      <c r="C16931" s="1" t="s">
        <v>5783</v>
      </c>
      <c r="D16931" s="22" t="str">
        <f>HYPERLINK("https://rhld.insurance.arkansas.gov/NPILookup?Npi=1730599275","1730599275")</f>
        <v>1730599275</v>
      </c>
      <c r="E16931" s="1" t="s">
        <v>23153</v>
      </c>
      <c r="F16931" s="2"/>
      <c r="G16931" s="2"/>
      <c r="H16931" s="2"/>
    </row>
    <row r="16932" spans="1:8" x14ac:dyDescent="0.25">
      <c r="A16932" s="1"/>
      <c r="B16932" s="1" t="s">
        <v>5782</v>
      </c>
      <c r="C16932" s="1" t="s">
        <v>5783</v>
      </c>
      <c r="D16932" s="22" t="str">
        <f>HYPERLINK("https://rhld.insurance.arkansas.gov/NPILookup?Npi=1730608787","1730608787")</f>
        <v>1730608787</v>
      </c>
      <c r="E16932" s="1" t="s">
        <v>23154</v>
      </c>
      <c r="F16932" s="2"/>
      <c r="G16932" s="2"/>
      <c r="H16932" s="2"/>
    </row>
    <row r="16933" spans="1:8" x14ac:dyDescent="0.25">
      <c r="A16933" s="1"/>
      <c r="B16933" s="1" t="s">
        <v>5782</v>
      </c>
      <c r="C16933" s="1" t="s">
        <v>5783</v>
      </c>
      <c r="D16933" s="22" t="str">
        <f>HYPERLINK("https://rhld.insurance.arkansas.gov/NPILookup?Npi=1730617564","1730617564")</f>
        <v>1730617564</v>
      </c>
      <c r="E16933" s="1" t="s">
        <v>12051</v>
      </c>
      <c r="F16933" s="2"/>
      <c r="G16933" s="2"/>
      <c r="H16933" s="2"/>
    </row>
    <row r="16934" spans="1:8" x14ac:dyDescent="0.25">
      <c r="A16934" s="1"/>
      <c r="B16934" s="1" t="s">
        <v>5782</v>
      </c>
      <c r="C16934" s="1" t="s">
        <v>5783</v>
      </c>
      <c r="D16934" s="22" t="str">
        <f>HYPERLINK("https://rhld.insurance.arkansas.gov/NPILookup?Npi=1730625153","1730625153")</f>
        <v>1730625153</v>
      </c>
      <c r="E16934" s="1" t="s">
        <v>23155</v>
      </c>
      <c r="F16934" s="2"/>
      <c r="G16934" s="2"/>
      <c r="H16934" s="2"/>
    </row>
    <row r="16935" spans="1:8" x14ac:dyDescent="0.25">
      <c r="A16935" s="1"/>
      <c r="B16935" s="1" t="s">
        <v>5782</v>
      </c>
      <c r="C16935" s="1" t="s">
        <v>5783</v>
      </c>
      <c r="D16935" s="22" t="str">
        <f>HYPERLINK("https://rhld.insurance.arkansas.gov/NPILookup?Npi=1730626557","1730626557")</f>
        <v>1730626557</v>
      </c>
      <c r="E16935" s="1" t="s">
        <v>23156</v>
      </c>
      <c r="F16935" s="2"/>
      <c r="G16935" s="2"/>
      <c r="H16935" s="2"/>
    </row>
    <row r="16936" spans="1:8" x14ac:dyDescent="0.25">
      <c r="A16936" s="1"/>
      <c r="B16936" s="1" t="s">
        <v>5782</v>
      </c>
      <c r="C16936" s="1" t="s">
        <v>5783</v>
      </c>
      <c r="D16936" s="22" t="str">
        <f>HYPERLINK("https://rhld.insurance.arkansas.gov/NPILookup?Npi=1730628074","1730628074")</f>
        <v>1730628074</v>
      </c>
      <c r="E16936" s="1" t="s">
        <v>12052</v>
      </c>
      <c r="F16936" s="2"/>
      <c r="G16936" s="2"/>
      <c r="H16936" s="2"/>
    </row>
    <row r="16937" spans="1:8" x14ac:dyDescent="0.25">
      <c r="A16937" s="1"/>
      <c r="B16937" s="1" t="s">
        <v>5782</v>
      </c>
      <c r="C16937" s="1" t="s">
        <v>5783</v>
      </c>
      <c r="D16937" s="22" t="str">
        <f>HYPERLINK("https://rhld.insurance.arkansas.gov/NPILookup?Npi=1730629197","1730629197")</f>
        <v>1730629197</v>
      </c>
      <c r="E16937" s="1" t="s">
        <v>6591</v>
      </c>
      <c r="F16937" s="2"/>
      <c r="G16937" s="2"/>
      <c r="H16937" s="2"/>
    </row>
    <row r="16938" spans="1:8" x14ac:dyDescent="0.25">
      <c r="A16938" s="1"/>
      <c r="B16938" s="1" t="s">
        <v>5782</v>
      </c>
      <c r="C16938" s="1" t="s">
        <v>5783</v>
      </c>
      <c r="D16938" s="22" t="str">
        <f>HYPERLINK("https://rhld.insurance.arkansas.gov/NPILookup?Npi=1730633199","1730633199")</f>
        <v>1730633199</v>
      </c>
      <c r="E16938" s="1" t="s">
        <v>23157</v>
      </c>
      <c r="F16938" s="2"/>
      <c r="G16938" s="2"/>
      <c r="H16938" s="2"/>
    </row>
    <row r="16939" spans="1:8" x14ac:dyDescent="0.25">
      <c r="A16939" s="1"/>
      <c r="B16939" s="1" t="s">
        <v>5782</v>
      </c>
      <c r="C16939" s="1" t="s">
        <v>5783</v>
      </c>
      <c r="D16939" s="22" t="str">
        <f>HYPERLINK("https://rhld.insurance.arkansas.gov/NPILookup?Npi=1730638503","1730638503")</f>
        <v>1730638503</v>
      </c>
      <c r="E16939" s="1" t="s">
        <v>23158</v>
      </c>
      <c r="F16939" s="2"/>
      <c r="G16939" s="2"/>
      <c r="H16939" s="2"/>
    </row>
    <row r="16940" spans="1:8" x14ac:dyDescent="0.25">
      <c r="A16940" s="1"/>
      <c r="B16940" s="1" t="s">
        <v>5782</v>
      </c>
      <c r="C16940" s="1" t="s">
        <v>5783</v>
      </c>
      <c r="D16940" s="22" t="str">
        <f>HYPERLINK("https://rhld.insurance.arkansas.gov/NPILookup?Npi=1730639907","1730639907")</f>
        <v>1730639907</v>
      </c>
      <c r="E16940" s="1" t="s">
        <v>23159</v>
      </c>
      <c r="F16940" s="2"/>
      <c r="G16940" s="2"/>
      <c r="H16940" s="2"/>
    </row>
    <row r="16941" spans="1:8" x14ac:dyDescent="0.25">
      <c r="A16941" s="1"/>
      <c r="B16941" s="1" t="s">
        <v>5782</v>
      </c>
      <c r="C16941" s="1" t="s">
        <v>5783</v>
      </c>
      <c r="D16941" s="22" t="str">
        <f>HYPERLINK("https://rhld.insurance.arkansas.gov/NPILookup?Npi=1730661570","1730661570")</f>
        <v>1730661570</v>
      </c>
      <c r="E16941" s="1" t="s">
        <v>1336</v>
      </c>
      <c r="F16941" s="2"/>
      <c r="G16941" s="2"/>
      <c r="H16941" s="2"/>
    </row>
    <row r="16942" spans="1:8" x14ac:dyDescent="0.25">
      <c r="A16942" s="1"/>
      <c r="B16942" s="1" t="s">
        <v>5782</v>
      </c>
      <c r="C16942" s="1" t="s">
        <v>5783</v>
      </c>
      <c r="D16942" s="22" t="str">
        <f>HYPERLINK("https://rhld.insurance.arkansas.gov/NPILookup?Npi=1730662925","1730662925")</f>
        <v>1730662925</v>
      </c>
      <c r="E16942" s="1" t="s">
        <v>6592</v>
      </c>
      <c r="F16942" s="2"/>
      <c r="G16942" s="2"/>
      <c r="H16942" s="2"/>
    </row>
    <row r="16943" spans="1:8" x14ac:dyDescent="0.25">
      <c r="A16943" s="1"/>
      <c r="B16943" s="1" t="s">
        <v>5782</v>
      </c>
      <c r="C16943" s="1" t="s">
        <v>5783</v>
      </c>
      <c r="D16943" s="22" t="str">
        <f>HYPERLINK("https://rhld.insurance.arkansas.gov/NPILookup?Npi=1730663576","1730663576")</f>
        <v>1730663576</v>
      </c>
      <c r="E16943" s="1" t="s">
        <v>5396</v>
      </c>
      <c r="F16943" s="2"/>
      <c r="G16943" s="2"/>
      <c r="H16943" s="2"/>
    </row>
    <row r="16944" spans="1:8" x14ac:dyDescent="0.25">
      <c r="A16944" s="1"/>
      <c r="B16944" s="1" t="s">
        <v>5782</v>
      </c>
      <c r="C16944" s="1" t="s">
        <v>5783</v>
      </c>
      <c r="D16944" s="22" t="str">
        <f>HYPERLINK("https://rhld.insurance.arkansas.gov/NPILookup?Npi=1730668864","1730668864")</f>
        <v>1730668864</v>
      </c>
      <c r="E16944" s="1" t="s">
        <v>6593</v>
      </c>
      <c r="F16944" s="2"/>
      <c r="G16944" s="2"/>
      <c r="H16944" s="2"/>
    </row>
    <row r="16945" spans="1:8" x14ac:dyDescent="0.25">
      <c r="A16945" s="1"/>
      <c r="B16945" s="1" t="s">
        <v>5782</v>
      </c>
      <c r="C16945" s="1" t="s">
        <v>5783</v>
      </c>
      <c r="D16945" s="22" t="str">
        <f>HYPERLINK("https://rhld.insurance.arkansas.gov/NPILookup?Npi=1730674250","1730674250")</f>
        <v>1730674250</v>
      </c>
      <c r="E16945" s="1" t="s">
        <v>23160</v>
      </c>
      <c r="F16945" s="2"/>
      <c r="G16945" s="2"/>
      <c r="H16945" s="2"/>
    </row>
    <row r="16946" spans="1:8" x14ac:dyDescent="0.25">
      <c r="A16946" s="1"/>
      <c r="B16946" s="1" t="s">
        <v>5782</v>
      </c>
      <c r="C16946" s="1" t="s">
        <v>5783</v>
      </c>
      <c r="D16946" s="22" t="str">
        <f>HYPERLINK("https://rhld.insurance.arkansas.gov/NPILookup?Npi=1730687997","1730687997")</f>
        <v>1730687997</v>
      </c>
      <c r="E16946" s="1" t="s">
        <v>2215</v>
      </c>
      <c r="F16946" s="2"/>
      <c r="G16946" s="2"/>
      <c r="H16946" s="2"/>
    </row>
    <row r="16947" spans="1:8" x14ac:dyDescent="0.25">
      <c r="A16947" s="1"/>
      <c r="B16947" s="1" t="s">
        <v>5782</v>
      </c>
      <c r="C16947" s="1" t="s">
        <v>5783</v>
      </c>
      <c r="D16947" s="22" t="str">
        <f>HYPERLINK("https://rhld.insurance.arkansas.gov/NPILookup?Npi=1730716887","1730716887")</f>
        <v>1730716887</v>
      </c>
      <c r="E16947" s="1" t="s">
        <v>23161</v>
      </c>
      <c r="F16947" s="2"/>
      <c r="G16947" s="2"/>
      <c r="H16947" s="2"/>
    </row>
    <row r="16948" spans="1:8" x14ac:dyDescent="0.25">
      <c r="A16948" s="1"/>
      <c r="B16948" s="1" t="s">
        <v>5782</v>
      </c>
      <c r="C16948" s="1" t="s">
        <v>5783</v>
      </c>
      <c r="D16948" s="22" t="str">
        <f>HYPERLINK("https://rhld.insurance.arkansas.gov/NPILookup?Npi=1730834953","1730834953")</f>
        <v>1730834953</v>
      </c>
      <c r="E16948" s="1" t="s">
        <v>12053</v>
      </c>
      <c r="F16948" s="2"/>
      <c r="G16948" s="2"/>
      <c r="H16948" s="2"/>
    </row>
    <row r="16949" spans="1:8" x14ac:dyDescent="0.25">
      <c r="A16949" s="1"/>
      <c r="B16949" s="1" t="s">
        <v>5782</v>
      </c>
      <c r="C16949" s="1" t="s">
        <v>5783</v>
      </c>
      <c r="D16949" s="22" t="str">
        <f>HYPERLINK("https://rhld.insurance.arkansas.gov/NPILookup?Npi=1730842444","1730842444")</f>
        <v>1730842444</v>
      </c>
      <c r="E16949" s="1" t="s">
        <v>12054</v>
      </c>
      <c r="F16949" s="2"/>
      <c r="G16949" s="2"/>
      <c r="H16949" s="2"/>
    </row>
    <row r="16950" spans="1:8" x14ac:dyDescent="0.25">
      <c r="A16950" s="1"/>
      <c r="B16950" s="1" t="s">
        <v>5782</v>
      </c>
      <c r="C16950" s="1" t="s">
        <v>5783</v>
      </c>
      <c r="D16950" s="22" t="str">
        <f>HYPERLINK("https://rhld.insurance.arkansas.gov/NPILookup?Npi=1730847237","1730847237")</f>
        <v>1730847237</v>
      </c>
      <c r="E16950" s="1" t="s">
        <v>6594</v>
      </c>
      <c r="F16950" s="2"/>
      <c r="G16950" s="2"/>
      <c r="H16950" s="2"/>
    </row>
    <row r="16951" spans="1:8" x14ac:dyDescent="0.25">
      <c r="A16951" s="1"/>
      <c r="B16951" s="1" t="s">
        <v>5782</v>
      </c>
      <c r="C16951" s="1" t="s">
        <v>5783</v>
      </c>
      <c r="D16951" s="22" t="str">
        <f>HYPERLINK("https://rhld.insurance.arkansas.gov/NPILookup?Npi=1730873985","1730873985")</f>
        <v>1730873985</v>
      </c>
      <c r="E16951" s="1" t="s">
        <v>23162</v>
      </c>
      <c r="F16951" s="2"/>
      <c r="G16951" s="2"/>
      <c r="H16951" s="2"/>
    </row>
    <row r="16952" spans="1:8" x14ac:dyDescent="0.25">
      <c r="A16952" s="1"/>
      <c r="B16952" s="1" t="s">
        <v>5782</v>
      </c>
      <c r="C16952" s="1" t="s">
        <v>5783</v>
      </c>
      <c r="D16952" s="22" t="str">
        <f>HYPERLINK("https://rhld.insurance.arkansas.gov/NPILookup?Npi=1730901588","1730901588")</f>
        <v>1730901588</v>
      </c>
      <c r="E16952" s="1" t="s">
        <v>31934</v>
      </c>
      <c r="F16952" s="2"/>
      <c r="G16952" s="2"/>
      <c r="H16952" s="2"/>
    </row>
    <row r="16953" spans="1:8" x14ac:dyDescent="0.25">
      <c r="A16953" s="1"/>
      <c r="B16953" s="1" t="s">
        <v>5782</v>
      </c>
      <c r="C16953" s="1" t="s">
        <v>5783</v>
      </c>
      <c r="D16953" s="22" t="str">
        <f>HYPERLINK("https://rhld.insurance.arkansas.gov/NPILookup?Npi=1730952748","1730952748")</f>
        <v>1730952748</v>
      </c>
      <c r="E16953" s="1" t="s">
        <v>23163</v>
      </c>
      <c r="F16953" s="2"/>
      <c r="G16953" s="2"/>
      <c r="H16953" s="2"/>
    </row>
    <row r="16954" spans="1:8" x14ac:dyDescent="0.25">
      <c r="A16954" s="1"/>
      <c r="B16954" s="1" t="s">
        <v>5782</v>
      </c>
      <c r="C16954" s="1" t="s">
        <v>5783</v>
      </c>
      <c r="D16954" s="22" t="str">
        <f>HYPERLINK("https://rhld.insurance.arkansas.gov/NPILookup?Npi=1730961079","1730961079")</f>
        <v>1730961079</v>
      </c>
      <c r="E16954" s="1" t="s">
        <v>6595</v>
      </c>
      <c r="F16954" s="2"/>
      <c r="G16954" s="2"/>
      <c r="H16954" s="2"/>
    </row>
    <row r="16955" spans="1:8" x14ac:dyDescent="0.25">
      <c r="A16955" s="1"/>
      <c r="B16955" s="1" t="s">
        <v>5782</v>
      </c>
      <c r="C16955" s="1" t="s">
        <v>5783</v>
      </c>
      <c r="D16955" s="22" t="str">
        <f>HYPERLINK("https://rhld.insurance.arkansas.gov/NPILookup?Npi=1740063502","1740063502")</f>
        <v>1740063502</v>
      </c>
      <c r="E16955" s="1" t="s">
        <v>31935</v>
      </c>
      <c r="F16955" s="2"/>
      <c r="G16955" s="2"/>
      <c r="H16955" s="2"/>
    </row>
    <row r="16956" spans="1:8" x14ac:dyDescent="0.25">
      <c r="A16956" s="1"/>
      <c r="B16956" s="1" t="s">
        <v>5782</v>
      </c>
      <c r="C16956" s="1" t="s">
        <v>5783</v>
      </c>
      <c r="D16956" s="22" t="str">
        <f>HYPERLINK("https://rhld.insurance.arkansas.gov/NPILookup?Npi=1740206531","1740206531")</f>
        <v>1740206531</v>
      </c>
      <c r="E16956" s="1" t="s">
        <v>6596</v>
      </c>
      <c r="F16956" s="2"/>
      <c r="G16956" s="2"/>
      <c r="H16956" s="2"/>
    </row>
    <row r="16957" spans="1:8" x14ac:dyDescent="0.25">
      <c r="A16957" s="1"/>
      <c r="B16957" s="1" t="s">
        <v>5782</v>
      </c>
      <c r="C16957" s="1" t="s">
        <v>5783</v>
      </c>
      <c r="D16957" s="22" t="str">
        <f>HYPERLINK("https://rhld.insurance.arkansas.gov/NPILookup?Npi=1740219252","1740219252")</f>
        <v>1740219252</v>
      </c>
      <c r="E16957" s="1" t="s">
        <v>23164</v>
      </c>
      <c r="F16957" s="2"/>
      <c r="G16957" s="2"/>
      <c r="H16957" s="2"/>
    </row>
    <row r="16958" spans="1:8" x14ac:dyDescent="0.25">
      <c r="A16958" s="1"/>
      <c r="B16958" s="1" t="s">
        <v>5782</v>
      </c>
      <c r="C16958" s="1" t="s">
        <v>5783</v>
      </c>
      <c r="D16958" s="22" t="str">
        <f>HYPERLINK("https://rhld.insurance.arkansas.gov/NPILookup?Npi=1740246784","1740246784")</f>
        <v>1740246784</v>
      </c>
      <c r="E16958" s="1" t="s">
        <v>23165</v>
      </c>
      <c r="F16958" s="2"/>
      <c r="G16958" s="2"/>
      <c r="H16958" s="2"/>
    </row>
    <row r="16959" spans="1:8" x14ac:dyDescent="0.25">
      <c r="A16959" s="1"/>
      <c r="B16959" s="1" t="s">
        <v>5782</v>
      </c>
      <c r="C16959" s="1" t="s">
        <v>5783</v>
      </c>
      <c r="D16959" s="22" t="str">
        <f>HYPERLINK("https://rhld.insurance.arkansas.gov/NPILookup?Npi=1740247444","1740247444")</f>
        <v>1740247444</v>
      </c>
      <c r="E16959" s="1" t="s">
        <v>23166</v>
      </c>
      <c r="F16959" s="2"/>
      <c r="G16959" s="2"/>
      <c r="H16959" s="2"/>
    </row>
    <row r="16960" spans="1:8" x14ac:dyDescent="0.25">
      <c r="A16960" s="1"/>
      <c r="B16960" s="1" t="s">
        <v>5782</v>
      </c>
      <c r="C16960" s="1" t="s">
        <v>5783</v>
      </c>
      <c r="D16960" s="22" t="str">
        <f>HYPERLINK("https://rhld.insurance.arkansas.gov/NPILookup?Npi=1740264639","1740264639")</f>
        <v>1740264639</v>
      </c>
      <c r="E16960" s="1" t="s">
        <v>397</v>
      </c>
      <c r="F16960" s="2"/>
      <c r="G16960" s="2"/>
      <c r="H16960" s="2"/>
    </row>
    <row r="16961" spans="1:8" x14ac:dyDescent="0.25">
      <c r="A16961" s="1"/>
      <c r="B16961" s="1" t="s">
        <v>5782</v>
      </c>
      <c r="C16961" s="1" t="s">
        <v>5783</v>
      </c>
      <c r="D16961" s="22" t="str">
        <f>HYPERLINK("https://rhld.insurance.arkansas.gov/NPILookup?Npi=1740310887","1740310887")</f>
        <v>1740310887</v>
      </c>
      <c r="E16961" s="1" t="s">
        <v>11399</v>
      </c>
      <c r="F16961" s="2"/>
      <c r="G16961" s="2"/>
      <c r="H16961" s="2"/>
    </row>
    <row r="16962" spans="1:8" x14ac:dyDescent="0.25">
      <c r="A16962" s="1"/>
      <c r="B16962" s="1" t="s">
        <v>5782</v>
      </c>
      <c r="C16962" s="1" t="s">
        <v>5783</v>
      </c>
      <c r="D16962" s="22" t="str">
        <f>HYPERLINK("https://rhld.insurance.arkansas.gov/NPILookup?Npi=1740313915","1740313915")</f>
        <v>1740313915</v>
      </c>
      <c r="E16962" s="1" t="s">
        <v>23168</v>
      </c>
      <c r="F16962" s="2"/>
      <c r="G16962" s="2"/>
      <c r="H16962" s="2"/>
    </row>
    <row r="16963" spans="1:8" x14ac:dyDescent="0.25">
      <c r="A16963" s="1"/>
      <c r="B16963" s="1" t="s">
        <v>5782</v>
      </c>
      <c r="C16963" s="1" t="s">
        <v>5783</v>
      </c>
      <c r="D16963" s="22" t="str">
        <f>HYPERLINK("https://rhld.insurance.arkansas.gov/NPILookup?Npi=1740355437","1740355437")</f>
        <v>1740355437</v>
      </c>
      <c r="E16963" s="1" t="s">
        <v>23169</v>
      </c>
      <c r="F16963" s="2"/>
      <c r="G16963" s="2"/>
      <c r="H16963" s="2"/>
    </row>
    <row r="16964" spans="1:8" x14ac:dyDescent="0.25">
      <c r="A16964" s="1"/>
      <c r="B16964" s="1" t="s">
        <v>5782</v>
      </c>
      <c r="C16964" s="1" t="s">
        <v>5783</v>
      </c>
      <c r="D16964" s="22" t="str">
        <f>HYPERLINK("https://rhld.insurance.arkansas.gov/NPILookup?Npi=1740370303","1740370303")</f>
        <v>1740370303</v>
      </c>
      <c r="E16964" s="1" t="s">
        <v>23170</v>
      </c>
      <c r="F16964" s="2"/>
      <c r="G16964" s="2"/>
      <c r="H16964" s="2"/>
    </row>
    <row r="16965" spans="1:8" x14ac:dyDescent="0.25">
      <c r="A16965" s="1"/>
      <c r="B16965" s="1" t="s">
        <v>5782</v>
      </c>
      <c r="C16965" s="1" t="s">
        <v>5783</v>
      </c>
      <c r="D16965" s="22" t="str">
        <f>HYPERLINK("https://rhld.insurance.arkansas.gov/NPILookup?Npi=1740392919","1740392919")</f>
        <v>1740392919</v>
      </c>
      <c r="E16965" s="1" t="s">
        <v>10897</v>
      </c>
      <c r="F16965" s="2"/>
      <c r="G16965" s="2"/>
      <c r="H16965" s="2"/>
    </row>
    <row r="16966" spans="1:8" x14ac:dyDescent="0.25">
      <c r="A16966" s="1"/>
      <c r="B16966" s="1" t="s">
        <v>5782</v>
      </c>
      <c r="C16966" s="1" t="s">
        <v>5783</v>
      </c>
      <c r="D16966" s="22" t="str">
        <f>HYPERLINK("https://rhld.insurance.arkansas.gov/NPILookup?Npi=1740418151","1740418151")</f>
        <v>1740418151</v>
      </c>
      <c r="E16966" s="1" t="s">
        <v>12055</v>
      </c>
      <c r="F16966" s="2"/>
      <c r="G16966" s="2"/>
      <c r="H16966" s="2"/>
    </row>
    <row r="16967" spans="1:8" x14ac:dyDescent="0.25">
      <c r="A16967" s="1"/>
      <c r="B16967" s="1" t="s">
        <v>5782</v>
      </c>
      <c r="C16967" s="1" t="s">
        <v>5783</v>
      </c>
      <c r="D16967" s="22" t="str">
        <f>HYPERLINK("https://rhld.insurance.arkansas.gov/NPILookup?Npi=1740424522","1740424522")</f>
        <v>1740424522</v>
      </c>
      <c r="E16967" s="1" t="s">
        <v>23171</v>
      </c>
      <c r="F16967" s="2"/>
      <c r="G16967" s="2"/>
      <c r="H16967" s="2"/>
    </row>
    <row r="16968" spans="1:8" x14ac:dyDescent="0.25">
      <c r="A16968" s="1"/>
      <c r="B16968" s="1" t="s">
        <v>5782</v>
      </c>
      <c r="C16968" s="1" t="s">
        <v>5783</v>
      </c>
      <c r="D16968" s="22" t="str">
        <f>HYPERLINK("https://rhld.insurance.arkansas.gov/NPILookup?Npi=1740436724","1740436724")</f>
        <v>1740436724</v>
      </c>
      <c r="E16968" s="1" t="s">
        <v>23172</v>
      </c>
      <c r="F16968" s="2"/>
      <c r="G16968" s="2"/>
      <c r="H16968" s="2"/>
    </row>
    <row r="16969" spans="1:8" x14ac:dyDescent="0.25">
      <c r="A16969" s="1"/>
      <c r="B16969" s="1" t="s">
        <v>5782</v>
      </c>
      <c r="C16969" s="1" t="s">
        <v>5783</v>
      </c>
      <c r="D16969" s="22" t="str">
        <f>HYPERLINK("https://rhld.insurance.arkansas.gov/NPILookup?Npi=1740437383","1740437383")</f>
        <v>1740437383</v>
      </c>
      <c r="E16969" s="1" t="s">
        <v>23173</v>
      </c>
      <c r="F16969" s="2"/>
      <c r="G16969" s="2"/>
      <c r="H16969" s="2"/>
    </row>
    <row r="16970" spans="1:8" x14ac:dyDescent="0.25">
      <c r="A16970" s="1"/>
      <c r="B16970" s="1" t="s">
        <v>5782</v>
      </c>
      <c r="C16970" s="1" t="s">
        <v>5783</v>
      </c>
      <c r="D16970" s="22" t="str">
        <f>HYPERLINK("https://rhld.insurance.arkansas.gov/NPILookup?Npi=1740439124","1740439124")</f>
        <v>1740439124</v>
      </c>
      <c r="E16970" s="1" t="s">
        <v>23174</v>
      </c>
      <c r="F16970" s="2"/>
      <c r="G16970" s="2"/>
      <c r="H16970" s="2"/>
    </row>
    <row r="16971" spans="1:8" x14ac:dyDescent="0.25">
      <c r="A16971" s="1"/>
      <c r="B16971" s="1" t="s">
        <v>5782</v>
      </c>
      <c r="C16971" s="1" t="s">
        <v>5783</v>
      </c>
      <c r="D16971" s="22" t="str">
        <f>HYPERLINK("https://rhld.insurance.arkansas.gov/NPILookup?Npi=1740447739","1740447739")</f>
        <v>1740447739</v>
      </c>
      <c r="E16971" s="1" t="s">
        <v>23175</v>
      </c>
      <c r="F16971" s="2"/>
      <c r="G16971" s="2"/>
      <c r="H16971" s="2"/>
    </row>
    <row r="16972" spans="1:8" x14ac:dyDescent="0.25">
      <c r="A16972" s="1"/>
      <c r="B16972" s="1" t="s">
        <v>5782</v>
      </c>
      <c r="C16972" s="1" t="s">
        <v>5783</v>
      </c>
      <c r="D16972" s="22" t="str">
        <f>HYPERLINK("https://rhld.insurance.arkansas.gov/NPILookup?Npi=1740501725","1740501725")</f>
        <v>1740501725</v>
      </c>
      <c r="E16972" s="1" t="s">
        <v>23176</v>
      </c>
      <c r="F16972" s="2"/>
      <c r="G16972" s="2"/>
      <c r="H16972" s="2"/>
    </row>
    <row r="16973" spans="1:8" x14ac:dyDescent="0.25">
      <c r="A16973" s="1"/>
      <c r="B16973" s="1" t="s">
        <v>5782</v>
      </c>
      <c r="C16973" s="1" t="s">
        <v>5783</v>
      </c>
      <c r="D16973" s="22" t="str">
        <f>HYPERLINK("https://rhld.insurance.arkansas.gov/NPILookup?Npi=1740504380","1740504380")</f>
        <v>1740504380</v>
      </c>
      <c r="E16973" s="1" t="s">
        <v>23177</v>
      </c>
      <c r="F16973" s="2"/>
      <c r="G16973" s="2"/>
      <c r="H16973" s="2"/>
    </row>
    <row r="16974" spans="1:8" x14ac:dyDescent="0.25">
      <c r="A16974" s="1"/>
      <c r="B16974" s="1" t="s">
        <v>5782</v>
      </c>
      <c r="C16974" s="1" t="s">
        <v>5783</v>
      </c>
      <c r="D16974" s="22" t="str">
        <f>HYPERLINK("https://rhld.insurance.arkansas.gov/NPILookup?Npi=1740517192","1740517192")</f>
        <v>1740517192</v>
      </c>
      <c r="E16974" s="1" t="s">
        <v>23178</v>
      </c>
      <c r="F16974" s="2"/>
      <c r="G16974" s="2"/>
      <c r="H16974" s="2"/>
    </row>
    <row r="16975" spans="1:8" x14ac:dyDescent="0.25">
      <c r="A16975" s="1"/>
      <c r="B16975" s="1" t="s">
        <v>5782</v>
      </c>
      <c r="C16975" s="1" t="s">
        <v>5783</v>
      </c>
      <c r="D16975" s="22" t="str">
        <f>HYPERLINK("https://rhld.insurance.arkansas.gov/NPILookup?Npi=1740526367","1740526367")</f>
        <v>1740526367</v>
      </c>
      <c r="E16975" s="1" t="s">
        <v>23179</v>
      </c>
      <c r="F16975" s="2"/>
      <c r="G16975" s="2"/>
      <c r="H16975" s="2"/>
    </row>
    <row r="16976" spans="1:8" x14ac:dyDescent="0.25">
      <c r="A16976" s="1"/>
      <c r="B16976" s="1" t="s">
        <v>5782</v>
      </c>
      <c r="C16976" s="1" t="s">
        <v>5783</v>
      </c>
      <c r="D16976" s="22" t="str">
        <f>HYPERLINK("https://rhld.insurance.arkansas.gov/NPILookup?Npi=1740545540","1740545540")</f>
        <v>1740545540</v>
      </c>
      <c r="E16976" s="1" t="s">
        <v>23180</v>
      </c>
      <c r="F16976" s="2"/>
      <c r="G16976" s="2"/>
      <c r="H16976" s="2"/>
    </row>
    <row r="16977" spans="1:8" x14ac:dyDescent="0.25">
      <c r="A16977" s="1"/>
      <c r="B16977" s="1" t="s">
        <v>5782</v>
      </c>
      <c r="C16977" s="1" t="s">
        <v>5783</v>
      </c>
      <c r="D16977" s="22" t="str">
        <f>HYPERLINK("https://rhld.insurance.arkansas.gov/NPILookup?Npi=1740550110","1740550110")</f>
        <v>1740550110</v>
      </c>
      <c r="E16977" s="1" t="s">
        <v>6597</v>
      </c>
      <c r="F16977" s="2"/>
      <c r="G16977" s="2"/>
      <c r="H16977" s="2"/>
    </row>
    <row r="16978" spans="1:8" x14ac:dyDescent="0.25">
      <c r="A16978" s="1"/>
      <c r="B16978" s="1" t="s">
        <v>5782</v>
      </c>
      <c r="C16978" s="1" t="s">
        <v>5783</v>
      </c>
      <c r="D16978" s="22" t="str">
        <f>HYPERLINK("https://rhld.insurance.arkansas.gov/NPILookup?Npi=1740575075","1740575075")</f>
        <v>1740575075</v>
      </c>
      <c r="E16978" s="1" t="s">
        <v>23181</v>
      </c>
      <c r="F16978" s="2"/>
      <c r="G16978" s="2"/>
      <c r="H16978" s="2"/>
    </row>
    <row r="16979" spans="1:8" x14ac:dyDescent="0.25">
      <c r="A16979" s="1"/>
      <c r="B16979" s="1" t="s">
        <v>5782</v>
      </c>
      <c r="C16979" s="1" t="s">
        <v>5783</v>
      </c>
      <c r="D16979" s="22" t="str">
        <f>HYPERLINK("https://rhld.insurance.arkansas.gov/NPILookup?Npi=1740578319","1740578319")</f>
        <v>1740578319</v>
      </c>
      <c r="E16979" s="1" t="s">
        <v>12056</v>
      </c>
      <c r="F16979" s="2"/>
      <c r="G16979" s="2"/>
      <c r="H16979" s="2"/>
    </row>
    <row r="16980" spans="1:8" x14ac:dyDescent="0.25">
      <c r="A16980" s="1"/>
      <c r="B16980" s="1" t="s">
        <v>5782</v>
      </c>
      <c r="C16980" s="1" t="s">
        <v>5783</v>
      </c>
      <c r="D16980" s="22" t="str">
        <f>HYPERLINK("https://rhld.insurance.arkansas.gov/NPILookup?Npi=1740582311","1740582311")</f>
        <v>1740582311</v>
      </c>
      <c r="E16980" s="1" t="s">
        <v>23182</v>
      </c>
      <c r="F16980" s="2"/>
      <c r="G16980" s="2"/>
      <c r="H16980" s="2"/>
    </row>
    <row r="16981" spans="1:8" x14ac:dyDescent="0.25">
      <c r="A16981" s="1"/>
      <c r="B16981" s="1" t="s">
        <v>5782</v>
      </c>
      <c r="C16981" s="1" t="s">
        <v>5783</v>
      </c>
      <c r="D16981" s="22" t="str">
        <f>HYPERLINK("https://rhld.insurance.arkansas.gov/NPILookup?Npi=1740584069","1740584069")</f>
        <v>1740584069</v>
      </c>
      <c r="E16981" s="1" t="s">
        <v>23183</v>
      </c>
      <c r="F16981" s="2"/>
      <c r="G16981" s="2"/>
      <c r="H16981" s="2"/>
    </row>
    <row r="16982" spans="1:8" x14ac:dyDescent="0.25">
      <c r="A16982" s="1"/>
      <c r="B16982" s="1" t="s">
        <v>5782</v>
      </c>
      <c r="C16982" s="1" t="s">
        <v>5783</v>
      </c>
      <c r="D16982" s="22" t="str">
        <f>HYPERLINK("https://rhld.insurance.arkansas.gov/NPILookup?Npi=1740587369","1740587369")</f>
        <v>1740587369</v>
      </c>
      <c r="E16982" s="1" t="s">
        <v>23184</v>
      </c>
      <c r="F16982" s="2"/>
      <c r="G16982" s="2"/>
      <c r="H16982" s="2"/>
    </row>
    <row r="16983" spans="1:8" x14ac:dyDescent="0.25">
      <c r="A16983" s="1"/>
      <c r="B16983" s="1" t="s">
        <v>5782</v>
      </c>
      <c r="C16983" s="1" t="s">
        <v>5783</v>
      </c>
      <c r="D16983" s="22" t="str">
        <f>HYPERLINK("https://rhld.insurance.arkansas.gov/NPILookup?Npi=1740588169","1740588169")</f>
        <v>1740588169</v>
      </c>
      <c r="E16983" s="1" t="s">
        <v>23185</v>
      </c>
      <c r="F16983" s="2"/>
      <c r="G16983" s="2"/>
      <c r="H16983" s="2"/>
    </row>
    <row r="16984" spans="1:8" x14ac:dyDescent="0.25">
      <c r="A16984" s="1"/>
      <c r="B16984" s="1" t="s">
        <v>5782</v>
      </c>
      <c r="C16984" s="1" t="s">
        <v>5783</v>
      </c>
      <c r="D16984" s="22" t="str">
        <f>HYPERLINK("https://rhld.insurance.arkansas.gov/NPILookup?Npi=1740602093","1740602093")</f>
        <v>1740602093</v>
      </c>
      <c r="E16984" s="1" t="s">
        <v>6598</v>
      </c>
      <c r="F16984" s="2"/>
      <c r="G16984" s="2"/>
      <c r="H16984" s="2"/>
    </row>
    <row r="16985" spans="1:8" x14ac:dyDescent="0.25">
      <c r="A16985" s="1"/>
      <c r="B16985" s="1" t="s">
        <v>5782</v>
      </c>
      <c r="C16985" s="1" t="s">
        <v>5783</v>
      </c>
      <c r="D16985" s="22" t="str">
        <f>HYPERLINK("https://rhld.insurance.arkansas.gov/NPILookup?Npi=1740614627","1740614627")</f>
        <v>1740614627</v>
      </c>
      <c r="E16985" s="1" t="s">
        <v>23186</v>
      </c>
      <c r="F16985" s="2"/>
      <c r="G16985" s="2"/>
      <c r="H16985" s="2"/>
    </row>
    <row r="16986" spans="1:8" x14ac:dyDescent="0.25">
      <c r="A16986" s="1"/>
      <c r="B16986" s="1" t="s">
        <v>5782</v>
      </c>
      <c r="C16986" s="1" t="s">
        <v>5783</v>
      </c>
      <c r="D16986" s="22" t="str">
        <f>HYPERLINK("https://rhld.insurance.arkansas.gov/NPILookup?Npi=1740615863","1740615863")</f>
        <v>1740615863</v>
      </c>
      <c r="E16986" s="1" t="s">
        <v>3364</v>
      </c>
      <c r="F16986" s="2"/>
      <c r="G16986" s="2"/>
      <c r="H16986" s="2"/>
    </row>
    <row r="16987" spans="1:8" x14ac:dyDescent="0.25">
      <c r="A16987" s="1"/>
      <c r="B16987" s="1" t="s">
        <v>5782</v>
      </c>
      <c r="C16987" s="1" t="s">
        <v>5783</v>
      </c>
      <c r="D16987" s="22" t="str">
        <f>HYPERLINK("https://rhld.insurance.arkansas.gov/NPILookup?Npi=1740634435","1740634435")</f>
        <v>1740634435</v>
      </c>
      <c r="E16987" s="1" t="s">
        <v>23187</v>
      </c>
      <c r="F16987" s="2"/>
      <c r="G16987" s="2"/>
      <c r="H16987" s="2"/>
    </row>
    <row r="16988" spans="1:8" x14ac:dyDescent="0.25">
      <c r="A16988" s="1"/>
      <c r="B16988" s="1" t="s">
        <v>5782</v>
      </c>
      <c r="C16988" s="1" t="s">
        <v>5783</v>
      </c>
      <c r="D16988" s="22" t="str">
        <f>HYPERLINK("https://rhld.insurance.arkansas.gov/NPILookup?Npi=1740643055","1740643055")</f>
        <v>1740643055</v>
      </c>
      <c r="E16988" s="1" t="s">
        <v>12057</v>
      </c>
      <c r="F16988" s="2"/>
      <c r="G16988" s="2"/>
      <c r="H16988" s="2"/>
    </row>
    <row r="16989" spans="1:8" x14ac:dyDescent="0.25">
      <c r="A16989" s="1"/>
      <c r="B16989" s="1" t="s">
        <v>5782</v>
      </c>
      <c r="C16989" s="1" t="s">
        <v>5783</v>
      </c>
      <c r="D16989" s="22" t="str">
        <f>HYPERLINK("https://rhld.insurance.arkansas.gov/NPILookup?Npi=1740652429","1740652429")</f>
        <v>1740652429</v>
      </c>
      <c r="E16989" s="1" t="s">
        <v>12058</v>
      </c>
      <c r="F16989" s="2"/>
      <c r="G16989" s="2"/>
      <c r="H16989" s="2"/>
    </row>
    <row r="16990" spans="1:8" x14ac:dyDescent="0.25">
      <c r="A16990" s="1"/>
      <c r="B16990" s="1" t="s">
        <v>5782</v>
      </c>
      <c r="C16990" s="1" t="s">
        <v>5783</v>
      </c>
      <c r="D16990" s="22" t="str">
        <f>HYPERLINK("https://rhld.insurance.arkansas.gov/NPILookup?Npi=1740665900","1740665900")</f>
        <v>1740665900</v>
      </c>
      <c r="E16990" s="1" t="s">
        <v>5285</v>
      </c>
      <c r="F16990" s="2"/>
      <c r="G16990" s="2"/>
      <c r="H16990" s="2"/>
    </row>
    <row r="16991" spans="1:8" x14ac:dyDescent="0.25">
      <c r="A16991" s="1"/>
      <c r="B16991" s="1" t="s">
        <v>5782</v>
      </c>
      <c r="C16991" s="1" t="s">
        <v>5783</v>
      </c>
      <c r="D16991" s="22" t="str">
        <f>HYPERLINK("https://rhld.insurance.arkansas.gov/NPILookup?Npi=1740672286","1740672286")</f>
        <v>1740672286</v>
      </c>
      <c r="E16991" s="1" t="s">
        <v>23188</v>
      </c>
      <c r="F16991" s="2"/>
      <c r="G16991" s="2"/>
      <c r="H16991" s="2"/>
    </row>
    <row r="16992" spans="1:8" x14ac:dyDescent="0.25">
      <c r="A16992" s="1"/>
      <c r="B16992" s="1" t="s">
        <v>5782</v>
      </c>
      <c r="C16992" s="1" t="s">
        <v>5783</v>
      </c>
      <c r="D16992" s="22" t="str">
        <f>HYPERLINK("https://rhld.insurance.arkansas.gov/NPILookup?Npi=1740672344","1740672344")</f>
        <v>1740672344</v>
      </c>
      <c r="E16992" s="1" t="s">
        <v>23189</v>
      </c>
      <c r="F16992" s="2"/>
      <c r="G16992" s="2"/>
      <c r="H16992" s="2"/>
    </row>
    <row r="16993" spans="1:8" x14ac:dyDescent="0.25">
      <c r="A16993" s="1"/>
      <c r="B16993" s="1" t="s">
        <v>5782</v>
      </c>
      <c r="C16993" s="1" t="s">
        <v>5783</v>
      </c>
      <c r="D16993" s="22" t="str">
        <f>HYPERLINK("https://rhld.insurance.arkansas.gov/NPILookup?Npi=1740693274","1740693274")</f>
        <v>1740693274</v>
      </c>
      <c r="E16993" s="1" t="s">
        <v>12059</v>
      </c>
      <c r="F16993" s="2"/>
      <c r="G16993" s="2"/>
      <c r="H16993" s="2"/>
    </row>
    <row r="16994" spans="1:8" x14ac:dyDescent="0.25">
      <c r="A16994" s="1"/>
      <c r="B16994" s="1" t="s">
        <v>5782</v>
      </c>
      <c r="C16994" s="1" t="s">
        <v>5783</v>
      </c>
      <c r="D16994" s="22" t="str">
        <f>HYPERLINK("https://rhld.insurance.arkansas.gov/NPILookup?Npi=1740714872","1740714872")</f>
        <v>1740714872</v>
      </c>
      <c r="E16994" s="1" t="s">
        <v>23190</v>
      </c>
      <c r="F16994" s="2"/>
      <c r="G16994" s="2"/>
      <c r="H16994" s="2"/>
    </row>
    <row r="16995" spans="1:8" x14ac:dyDescent="0.25">
      <c r="A16995" s="1"/>
      <c r="B16995" s="1" t="s">
        <v>5782</v>
      </c>
      <c r="C16995" s="1" t="s">
        <v>5783</v>
      </c>
      <c r="D16995" s="22" t="str">
        <f>HYPERLINK("https://rhld.insurance.arkansas.gov/NPILookup?Npi=1740717768","1740717768")</f>
        <v>1740717768</v>
      </c>
      <c r="E16995" s="1" t="s">
        <v>2216</v>
      </c>
      <c r="F16995" s="2"/>
      <c r="G16995" s="2"/>
      <c r="H16995" s="2"/>
    </row>
    <row r="16996" spans="1:8" x14ac:dyDescent="0.25">
      <c r="A16996" s="1"/>
      <c r="B16996" s="1" t="s">
        <v>5782</v>
      </c>
      <c r="C16996" s="1" t="s">
        <v>5783</v>
      </c>
      <c r="D16996" s="22" t="str">
        <f>HYPERLINK("https://rhld.insurance.arkansas.gov/NPILookup?Npi=1740762905","1740762905")</f>
        <v>1740762905</v>
      </c>
      <c r="E16996" s="1" t="s">
        <v>12060</v>
      </c>
      <c r="F16996" s="2"/>
      <c r="G16996" s="2"/>
      <c r="H16996" s="2"/>
    </row>
    <row r="16997" spans="1:8" x14ac:dyDescent="0.25">
      <c r="A16997" s="1"/>
      <c r="B16997" s="1" t="s">
        <v>5782</v>
      </c>
      <c r="C16997" s="1" t="s">
        <v>5783</v>
      </c>
      <c r="D16997" s="22" t="str">
        <f>HYPERLINK("https://rhld.insurance.arkansas.gov/NPILookup?Npi=1740769124","1740769124")</f>
        <v>1740769124</v>
      </c>
      <c r="E16997" s="1" t="s">
        <v>6599</v>
      </c>
      <c r="F16997" s="2"/>
      <c r="G16997" s="2"/>
      <c r="H16997" s="2"/>
    </row>
    <row r="16998" spans="1:8" x14ac:dyDescent="0.25">
      <c r="A16998" s="1"/>
      <c r="B16998" s="1" t="s">
        <v>5782</v>
      </c>
      <c r="C16998" s="1" t="s">
        <v>5783</v>
      </c>
      <c r="D16998" s="22" t="str">
        <f>HYPERLINK("https://rhld.insurance.arkansas.gov/NPILookup?Npi=1740770676","1740770676")</f>
        <v>1740770676</v>
      </c>
      <c r="E16998" s="1" t="s">
        <v>23191</v>
      </c>
      <c r="F16998" s="2"/>
      <c r="G16998" s="2"/>
      <c r="H16998" s="2"/>
    </row>
    <row r="16999" spans="1:8" x14ac:dyDescent="0.25">
      <c r="A16999" s="1"/>
      <c r="B16999" s="1" t="s">
        <v>5782</v>
      </c>
      <c r="C16999" s="1" t="s">
        <v>5783</v>
      </c>
      <c r="D16999" s="22" t="str">
        <f>HYPERLINK("https://rhld.insurance.arkansas.gov/NPILookup?Npi=1740770833","1740770833")</f>
        <v>1740770833</v>
      </c>
      <c r="E16999" s="1" t="s">
        <v>23192</v>
      </c>
      <c r="F16999" s="2"/>
      <c r="G16999" s="2"/>
      <c r="H16999" s="2"/>
    </row>
    <row r="17000" spans="1:8" x14ac:dyDescent="0.25">
      <c r="A17000" s="1"/>
      <c r="B17000" s="1" t="s">
        <v>5782</v>
      </c>
      <c r="C17000" s="1" t="s">
        <v>5783</v>
      </c>
      <c r="D17000" s="22" t="str">
        <f>HYPERLINK("https://rhld.insurance.arkansas.gov/NPILookup?Npi=1740773985","1740773985")</f>
        <v>1740773985</v>
      </c>
      <c r="E17000" s="1" t="s">
        <v>3365</v>
      </c>
      <c r="F17000" s="2"/>
      <c r="G17000" s="2"/>
      <c r="H17000" s="2"/>
    </row>
    <row r="17001" spans="1:8" x14ac:dyDescent="0.25">
      <c r="A17001" s="1"/>
      <c r="B17001" s="1" t="s">
        <v>5782</v>
      </c>
      <c r="C17001" s="1" t="s">
        <v>5783</v>
      </c>
      <c r="D17001" s="22" t="str">
        <f>HYPERLINK("https://rhld.insurance.arkansas.gov/NPILookup?Npi=1740776137","1740776137")</f>
        <v>1740776137</v>
      </c>
      <c r="E17001" s="1" t="s">
        <v>23193</v>
      </c>
      <c r="F17001" s="2"/>
      <c r="G17001" s="2"/>
      <c r="H17001" s="2"/>
    </row>
    <row r="17002" spans="1:8" x14ac:dyDescent="0.25">
      <c r="A17002" s="1"/>
      <c r="B17002" s="1" t="s">
        <v>5782</v>
      </c>
      <c r="C17002" s="1" t="s">
        <v>5783</v>
      </c>
      <c r="D17002" s="22" t="str">
        <f>HYPERLINK("https://rhld.insurance.arkansas.gov/NPILookup?Npi=1740791722","1740791722")</f>
        <v>1740791722</v>
      </c>
      <c r="E17002" s="1" t="s">
        <v>6600</v>
      </c>
      <c r="F17002" s="2"/>
      <c r="G17002" s="2"/>
      <c r="H17002" s="2"/>
    </row>
    <row r="17003" spans="1:8" x14ac:dyDescent="0.25">
      <c r="A17003" s="1"/>
      <c r="B17003" s="1" t="s">
        <v>5782</v>
      </c>
      <c r="C17003" s="1" t="s">
        <v>5783</v>
      </c>
      <c r="D17003" s="22" t="str">
        <f>HYPERLINK("https://rhld.insurance.arkansas.gov/NPILookup?Npi=1740796929","1740796929")</f>
        <v>1740796929</v>
      </c>
      <c r="E17003" s="1" t="s">
        <v>23194</v>
      </c>
      <c r="F17003" s="2"/>
      <c r="G17003" s="2"/>
      <c r="H17003" s="2"/>
    </row>
    <row r="17004" spans="1:8" x14ac:dyDescent="0.25">
      <c r="A17004" s="1"/>
      <c r="B17004" s="1" t="s">
        <v>5782</v>
      </c>
      <c r="C17004" s="1" t="s">
        <v>5783</v>
      </c>
      <c r="D17004" s="22" t="str">
        <f>HYPERLINK("https://rhld.insurance.arkansas.gov/NPILookup?Npi=1740811348","1740811348")</f>
        <v>1740811348</v>
      </c>
      <c r="E17004" s="1" t="s">
        <v>6601</v>
      </c>
      <c r="F17004" s="2"/>
      <c r="G17004" s="2"/>
      <c r="H17004" s="2"/>
    </row>
    <row r="17005" spans="1:8" x14ac:dyDescent="0.25">
      <c r="A17005" s="1"/>
      <c r="B17005" s="1" t="s">
        <v>5782</v>
      </c>
      <c r="C17005" s="1" t="s">
        <v>5783</v>
      </c>
      <c r="D17005" s="22" t="str">
        <f>HYPERLINK("https://rhld.insurance.arkansas.gov/NPILookup?Npi=1740811553","1740811553")</f>
        <v>1740811553</v>
      </c>
      <c r="E17005" s="1" t="s">
        <v>6602</v>
      </c>
      <c r="F17005" s="2"/>
      <c r="G17005" s="2"/>
      <c r="H17005" s="2"/>
    </row>
    <row r="17006" spans="1:8" x14ac:dyDescent="0.25">
      <c r="A17006" s="1"/>
      <c r="B17006" s="1" t="s">
        <v>5782</v>
      </c>
      <c r="C17006" s="1" t="s">
        <v>5783</v>
      </c>
      <c r="D17006" s="22" t="str">
        <f>HYPERLINK("https://rhld.insurance.arkansas.gov/NPILookup?Npi=1740826874","1740826874")</f>
        <v>1740826874</v>
      </c>
      <c r="E17006" s="1" t="s">
        <v>6700</v>
      </c>
      <c r="F17006" s="2"/>
      <c r="G17006" s="2"/>
      <c r="H17006" s="2"/>
    </row>
    <row r="17007" spans="1:8" x14ac:dyDescent="0.25">
      <c r="A17007" s="1"/>
      <c r="B17007" s="1" t="s">
        <v>5782</v>
      </c>
      <c r="C17007" s="1" t="s">
        <v>5783</v>
      </c>
      <c r="D17007" s="22" t="str">
        <f>HYPERLINK("https://rhld.insurance.arkansas.gov/NPILookup?Npi=1740827021","1740827021")</f>
        <v>1740827021</v>
      </c>
      <c r="E17007" s="1" t="s">
        <v>23195</v>
      </c>
      <c r="F17007" s="2"/>
      <c r="G17007" s="2"/>
      <c r="H17007" s="2"/>
    </row>
    <row r="17008" spans="1:8" x14ac:dyDescent="0.25">
      <c r="A17008" s="1"/>
      <c r="B17008" s="1" t="s">
        <v>5782</v>
      </c>
      <c r="C17008" s="1" t="s">
        <v>5783</v>
      </c>
      <c r="D17008" s="22" t="str">
        <f>HYPERLINK("https://rhld.insurance.arkansas.gov/NPILookup?Npi=1740837673","1740837673")</f>
        <v>1740837673</v>
      </c>
      <c r="E17008" s="1" t="s">
        <v>23196</v>
      </c>
      <c r="F17008" s="2"/>
      <c r="G17008" s="2"/>
      <c r="H17008" s="2"/>
    </row>
    <row r="17009" spans="1:8" x14ac:dyDescent="0.25">
      <c r="A17009" s="1"/>
      <c r="B17009" s="1" t="s">
        <v>5782</v>
      </c>
      <c r="C17009" s="1" t="s">
        <v>5783</v>
      </c>
      <c r="D17009" s="22" t="str">
        <f>HYPERLINK("https://rhld.insurance.arkansas.gov/NPILookup?Npi=1740838879","1740838879")</f>
        <v>1740838879</v>
      </c>
      <c r="E17009" s="1" t="s">
        <v>1340</v>
      </c>
      <c r="F17009" s="2"/>
      <c r="G17009" s="2"/>
      <c r="H17009" s="2"/>
    </row>
    <row r="17010" spans="1:8" x14ac:dyDescent="0.25">
      <c r="A17010" s="1"/>
      <c r="B17010" s="1" t="s">
        <v>5782</v>
      </c>
      <c r="C17010" s="1" t="s">
        <v>5783</v>
      </c>
      <c r="D17010" s="22" t="str">
        <f>HYPERLINK("https://rhld.insurance.arkansas.gov/NPILookup?Npi=1740868447","1740868447")</f>
        <v>1740868447</v>
      </c>
      <c r="E17010" s="1" t="s">
        <v>6603</v>
      </c>
      <c r="F17010" s="2"/>
      <c r="G17010" s="2"/>
      <c r="H17010" s="2"/>
    </row>
    <row r="17011" spans="1:8" x14ac:dyDescent="0.25">
      <c r="A17011" s="1"/>
      <c r="B17011" s="1" t="s">
        <v>5782</v>
      </c>
      <c r="C17011" s="1" t="s">
        <v>5783</v>
      </c>
      <c r="D17011" s="22" t="str">
        <f>HYPERLINK("https://rhld.insurance.arkansas.gov/NPILookup?Npi=1740877323","1740877323")</f>
        <v>1740877323</v>
      </c>
      <c r="E17011" s="1" t="s">
        <v>23197</v>
      </c>
      <c r="F17011" s="2"/>
      <c r="G17011" s="2"/>
      <c r="H17011" s="2"/>
    </row>
    <row r="17012" spans="1:8" x14ac:dyDescent="0.25">
      <c r="A17012" s="1"/>
      <c r="B17012" s="1" t="s">
        <v>5782</v>
      </c>
      <c r="C17012" s="1" t="s">
        <v>5783</v>
      </c>
      <c r="D17012" s="22" t="str">
        <f>HYPERLINK("https://rhld.insurance.arkansas.gov/NPILookup?Npi=1740889906","1740889906")</f>
        <v>1740889906</v>
      </c>
      <c r="E17012" s="1" t="s">
        <v>2505</v>
      </c>
      <c r="F17012" s="2"/>
      <c r="G17012" s="2"/>
      <c r="H17012" s="2"/>
    </row>
    <row r="17013" spans="1:8" x14ac:dyDescent="0.25">
      <c r="A17013" s="1"/>
      <c r="B17013" s="1" t="s">
        <v>5782</v>
      </c>
      <c r="C17013" s="1" t="s">
        <v>5783</v>
      </c>
      <c r="D17013" s="22" t="str">
        <f>HYPERLINK("https://rhld.insurance.arkansas.gov/NPILookup?Npi=1740899442","1740899442")</f>
        <v>1740899442</v>
      </c>
      <c r="E17013" s="1" t="s">
        <v>6604</v>
      </c>
      <c r="F17013" s="2"/>
      <c r="G17013" s="2"/>
      <c r="H17013" s="2"/>
    </row>
    <row r="17014" spans="1:8" x14ac:dyDescent="0.25">
      <c r="A17014" s="1"/>
      <c r="B17014" s="1" t="s">
        <v>5782</v>
      </c>
      <c r="C17014" s="1" t="s">
        <v>5783</v>
      </c>
      <c r="D17014" s="22" t="str">
        <f>HYPERLINK("https://rhld.insurance.arkansas.gov/NPILookup?Npi=1740903400","1740903400")</f>
        <v>1740903400</v>
      </c>
      <c r="E17014" s="1" t="s">
        <v>6605</v>
      </c>
      <c r="F17014" s="2"/>
      <c r="G17014" s="2"/>
      <c r="H17014" s="2"/>
    </row>
    <row r="17015" spans="1:8" x14ac:dyDescent="0.25">
      <c r="A17015" s="1"/>
      <c r="B17015" s="1" t="s">
        <v>5782</v>
      </c>
      <c r="C17015" s="1" t="s">
        <v>5783</v>
      </c>
      <c r="D17015" s="22" t="str">
        <f>HYPERLINK("https://rhld.insurance.arkansas.gov/NPILookup?Npi=1740906841","1740906841")</f>
        <v>1740906841</v>
      </c>
      <c r="E17015" s="1" t="s">
        <v>12061</v>
      </c>
      <c r="F17015" s="2"/>
      <c r="G17015" s="2"/>
      <c r="H17015" s="2"/>
    </row>
    <row r="17016" spans="1:8" x14ac:dyDescent="0.25">
      <c r="A17016" s="1"/>
      <c r="B17016" s="1" t="s">
        <v>5782</v>
      </c>
      <c r="C17016" s="1" t="s">
        <v>5783</v>
      </c>
      <c r="D17016" s="22" t="str">
        <f>HYPERLINK("https://rhld.insurance.arkansas.gov/NPILookup?Npi=1740923374","1740923374")</f>
        <v>1740923374</v>
      </c>
      <c r="E17016" s="1" t="s">
        <v>23198</v>
      </c>
      <c r="F17016" s="2"/>
      <c r="G17016" s="2"/>
      <c r="H17016" s="2"/>
    </row>
    <row r="17017" spans="1:8" x14ac:dyDescent="0.25">
      <c r="A17017" s="1"/>
      <c r="B17017" s="1" t="s">
        <v>5782</v>
      </c>
      <c r="C17017" s="1" t="s">
        <v>5783</v>
      </c>
      <c r="D17017" s="22" t="str">
        <f>HYPERLINK("https://rhld.insurance.arkansas.gov/NPILookup?Npi=1740924455","1740924455")</f>
        <v>1740924455</v>
      </c>
      <c r="E17017" s="1" t="s">
        <v>23199</v>
      </c>
      <c r="F17017" s="2"/>
      <c r="G17017" s="2"/>
      <c r="H17017" s="2"/>
    </row>
    <row r="17018" spans="1:8" x14ac:dyDescent="0.25">
      <c r="A17018" s="1"/>
      <c r="B17018" s="1" t="s">
        <v>5782</v>
      </c>
      <c r="C17018" s="1" t="s">
        <v>5783</v>
      </c>
      <c r="D17018" s="22" t="str">
        <f>HYPERLINK("https://rhld.insurance.arkansas.gov/NPILookup?Npi=1740949668","1740949668")</f>
        <v>1740949668</v>
      </c>
      <c r="E17018" s="1" t="s">
        <v>23200</v>
      </c>
      <c r="F17018" s="2"/>
      <c r="G17018" s="2"/>
      <c r="H17018" s="2"/>
    </row>
    <row r="17019" spans="1:8" x14ac:dyDescent="0.25">
      <c r="A17019" s="1"/>
      <c r="B17019" s="1" t="s">
        <v>5782</v>
      </c>
      <c r="C17019" s="1" t="s">
        <v>5783</v>
      </c>
      <c r="D17019" s="22" t="str">
        <f>HYPERLINK("https://rhld.insurance.arkansas.gov/NPILookup?Npi=1740954833","1740954833")</f>
        <v>1740954833</v>
      </c>
      <c r="E17019" s="1" t="s">
        <v>23201</v>
      </c>
      <c r="F17019" s="2"/>
      <c r="G17019" s="2"/>
      <c r="H17019" s="2"/>
    </row>
    <row r="17020" spans="1:8" x14ac:dyDescent="0.25">
      <c r="A17020" s="1"/>
      <c r="B17020" s="1" t="s">
        <v>5782</v>
      </c>
      <c r="C17020" s="1" t="s">
        <v>5783</v>
      </c>
      <c r="D17020" s="22" t="str">
        <f>HYPERLINK("https://rhld.insurance.arkansas.gov/NPILookup?Npi=1740981364","1740981364")</f>
        <v>1740981364</v>
      </c>
      <c r="E17020" s="1" t="s">
        <v>23202</v>
      </c>
      <c r="F17020" s="2"/>
      <c r="G17020" s="2"/>
      <c r="H17020" s="2"/>
    </row>
    <row r="17021" spans="1:8" x14ac:dyDescent="0.25">
      <c r="A17021" s="1"/>
      <c r="B17021" s="1" t="s">
        <v>5782</v>
      </c>
      <c r="C17021" s="1" t="s">
        <v>5783</v>
      </c>
      <c r="D17021" s="22" t="str">
        <f>HYPERLINK("https://rhld.insurance.arkansas.gov/NPILookup?Npi=1740981422","1740981422")</f>
        <v>1740981422</v>
      </c>
      <c r="E17021" s="1" t="s">
        <v>3397</v>
      </c>
      <c r="F17021" s="2"/>
      <c r="G17021" s="2"/>
      <c r="H17021" s="2"/>
    </row>
    <row r="17022" spans="1:8" x14ac:dyDescent="0.25">
      <c r="A17022" s="1"/>
      <c r="B17022" s="1" t="s">
        <v>5782</v>
      </c>
      <c r="C17022" s="1" t="s">
        <v>5783</v>
      </c>
      <c r="D17022" s="22" t="str">
        <f>HYPERLINK("https://rhld.insurance.arkansas.gov/NPILookup?Npi=1750004834","1750004834")</f>
        <v>1750004834</v>
      </c>
      <c r="E17022" s="1" t="s">
        <v>6606</v>
      </c>
      <c r="F17022" s="2"/>
      <c r="G17022" s="2"/>
      <c r="H17022" s="2"/>
    </row>
    <row r="17023" spans="1:8" x14ac:dyDescent="0.25">
      <c r="A17023" s="1"/>
      <c r="B17023" s="1" t="s">
        <v>5782</v>
      </c>
      <c r="C17023" s="1" t="s">
        <v>5783</v>
      </c>
      <c r="D17023" s="22" t="str">
        <f>HYPERLINK("https://rhld.insurance.arkansas.gov/NPILookup?Npi=1750006698","1750006698")</f>
        <v>1750006698</v>
      </c>
      <c r="E17023" s="1" t="s">
        <v>23203</v>
      </c>
      <c r="F17023" s="2"/>
      <c r="G17023" s="2"/>
      <c r="H17023" s="2"/>
    </row>
    <row r="17024" spans="1:8" x14ac:dyDescent="0.25">
      <c r="A17024" s="1"/>
      <c r="B17024" s="1" t="s">
        <v>5782</v>
      </c>
      <c r="C17024" s="1" t="s">
        <v>5783</v>
      </c>
      <c r="D17024" s="22" t="str">
        <f>HYPERLINK("https://rhld.insurance.arkansas.gov/NPILookup?Npi=1750044798","1750044798")</f>
        <v>1750044798</v>
      </c>
      <c r="E17024" s="1" t="s">
        <v>6275</v>
      </c>
      <c r="F17024" s="2"/>
      <c r="G17024" s="2"/>
      <c r="H17024" s="2"/>
    </row>
    <row r="17025" spans="1:8" x14ac:dyDescent="0.25">
      <c r="A17025" s="1"/>
      <c r="B17025" s="1" t="s">
        <v>5782</v>
      </c>
      <c r="C17025" s="1" t="s">
        <v>5783</v>
      </c>
      <c r="D17025" s="22" t="str">
        <f>HYPERLINK("https://rhld.insurance.arkansas.gov/NPILookup?Npi=1750046645","1750046645")</f>
        <v>1750046645</v>
      </c>
      <c r="E17025" s="1" t="s">
        <v>6607</v>
      </c>
      <c r="F17025" s="2"/>
      <c r="G17025" s="2"/>
      <c r="H17025" s="2"/>
    </row>
    <row r="17026" spans="1:8" x14ac:dyDescent="0.25">
      <c r="A17026" s="1"/>
      <c r="B17026" s="1" t="s">
        <v>5782</v>
      </c>
      <c r="C17026" s="1" t="s">
        <v>5783</v>
      </c>
      <c r="D17026" s="22" t="str">
        <f>HYPERLINK("https://rhld.insurance.arkansas.gov/NPILookup?Npi=1750050936","1750050936")</f>
        <v>1750050936</v>
      </c>
      <c r="E17026" s="1" t="s">
        <v>3366</v>
      </c>
      <c r="F17026" s="2"/>
      <c r="G17026" s="2"/>
      <c r="H17026" s="2"/>
    </row>
    <row r="17027" spans="1:8" x14ac:dyDescent="0.25">
      <c r="A17027" s="1"/>
      <c r="B17027" s="1" t="s">
        <v>5782</v>
      </c>
      <c r="C17027" s="1" t="s">
        <v>5783</v>
      </c>
      <c r="D17027" s="22" t="str">
        <f>HYPERLINK("https://rhld.insurance.arkansas.gov/NPILookup?Npi=1750053492","1750053492")</f>
        <v>1750053492</v>
      </c>
      <c r="E17027" s="1" t="s">
        <v>31936</v>
      </c>
      <c r="F17027" s="2"/>
      <c r="G17027" s="2"/>
      <c r="H17027" s="2"/>
    </row>
    <row r="17028" spans="1:8" x14ac:dyDescent="0.25">
      <c r="A17028" s="1"/>
      <c r="B17028" s="1" t="s">
        <v>5782</v>
      </c>
      <c r="C17028" s="1" t="s">
        <v>5783</v>
      </c>
      <c r="D17028" s="22" t="str">
        <f>HYPERLINK("https://rhld.insurance.arkansas.gov/NPILookup?Npi=1750091856","1750091856")</f>
        <v>1750091856</v>
      </c>
      <c r="E17028" s="1" t="s">
        <v>6608</v>
      </c>
      <c r="F17028" s="2"/>
      <c r="G17028" s="2"/>
      <c r="H17028" s="2"/>
    </row>
    <row r="17029" spans="1:8" x14ac:dyDescent="0.25">
      <c r="A17029" s="1"/>
      <c r="B17029" s="1" t="s">
        <v>5782</v>
      </c>
      <c r="C17029" s="1" t="s">
        <v>5783</v>
      </c>
      <c r="D17029" s="22" t="str">
        <f>HYPERLINK("https://rhld.insurance.arkansas.gov/NPILookup?Npi=1750125522","1750125522")</f>
        <v>1750125522</v>
      </c>
      <c r="E17029" s="1" t="s">
        <v>23204</v>
      </c>
      <c r="F17029" s="2"/>
      <c r="G17029" s="2"/>
      <c r="H17029" s="2"/>
    </row>
    <row r="17030" spans="1:8" x14ac:dyDescent="0.25">
      <c r="A17030" s="1"/>
      <c r="B17030" s="1" t="s">
        <v>5782</v>
      </c>
      <c r="C17030" s="1" t="s">
        <v>5783</v>
      </c>
      <c r="D17030" s="22" t="str">
        <f>HYPERLINK("https://rhld.insurance.arkansas.gov/NPILookup?Npi=1750163382","1750163382")</f>
        <v>1750163382</v>
      </c>
      <c r="E17030" s="1" t="s">
        <v>23205</v>
      </c>
      <c r="F17030" s="2"/>
      <c r="G17030" s="2"/>
      <c r="H17030" s="2"/>
    </row>
    <row r="17031" spans="1:8" x14ac:dyDescent="0.25">
      <c r="A17031" s="1"/>
      <c r="B17031" s="1" t="s">
        <v>5782</v>
      </c>
      <c r="C17031" s="1" t="s">
        <v>5783</v>
      </c>
      <c r="D17031" s="22" t="str">
        <f>HYPERLINK("https://rhld.insurance.arkansas.gov/NPILookup?Npi=1750308334","1750308334")</f>
        <v>1750308334</v>
      </c>
      <c r="E17031" s="1" t="s">
        <v>12062</v>
      </c>
      <c r="F17031" s="2"/>
      <c r="G17031" s="2"/>
      <c r="H17031" s="2"/>
    </row>
    <row r="17032" spans="1:8" x14ac:dyDescent="0.25">
      <c r="A17032" s="1"/>
      <c r="B17032" s="1" t="s">
        <v>5782</v>
      </c>
      <c r="C17032" s="1" t="s">
        <v>5783</v>
      </c>
      <c r="D17032" s="22" t="str">
        <f>HYPERLINK("https://rhld.insurance.arkansas.gov/NPILookup?Npi=1750348652","1750348652")</f>
        <v>1750348652</v>
      </c>
      <c r="E17032" s="1" t="s">
        <v>12063</v>
      </c>
      <c r="F17032" s="2"/>
      <c r="G17032" s="2"/>
      <c r="H17032" s="2"/>
    </row>
    <row r="17033" spans="1:8" x14ac:dyDescent="0.25">
      <c r="A17033" s="1"/>
      <c r="B17033" s="1" t="s">
        <v>5782</v>
      </c>
      <c r="C17033" s="1" t="s">
        <v>5783</v>
      </c>
      <c r="D17033" s="22" t="str">
        <f>HYPERLINK("https://rhld.insurance.arkansas.gov/NPILookup?Npi=1750367223","1750367223")</f>
        <v>1750367223</v>
      </c>
      <c r="E17033" s="1" t="s">
        <v>1145</v>
      </c>
      <c r="F17033" s="2"/>
      <c r="G17033" s="2"/>
      <c r="H17033" s="2"/>
    </row>
    <row r="17034" spans="1:8" x14ac:dyDescent="0.25">
      <c r="A17034" s="1"/>
      <c r="B17034" s="1" t="s">
        <v>5782</v>
      </c>
      <c r="C17034" s="1" t="s">
        <v>5783</v>
      </c>
      <c r="D17034" s="22" t="str">
        <f>HYPERLINK("https://rhld.insurance.arkansas.gov/NPILookup?Npi=1750422564","1750422564")</f>
        <v>1750422564</v>
      </c>
      <c r="E17034" s="1" t="s">
        <v>12064</v>
      </c>
      <c r="F17034" s="2"/>
      <c r="G17034" s="2"/>
      <c r="H17034" s="2"/>
    </row>
    <row r="17035" spans="1:8" x14ac:dyDescent="0.25">
      <c r="A17035" s="1"/>
      <c r="B17035" s="1" t="s">
        <v>5782</v>
      </c>
      <c r="C17035" s="1" t="s">
        <v>5783</v>
      </c>
      <c r="D17035" s="22" t="str">
        <f>HYPERLINK("https://rhld.insurance.arkansas.gov/NPILookup?Npi=1750427894","1750427894")</f>
        <v>1750427894</v>
      </c>
      <c r="E17035" s="1" t="s">
        <v>23206</v>
      </c>
      <c r="F17035" s="2"/>
      <c r="G17035" s="2"/>
      <c r="H17035" s="2"/>
    </row>
    <row r="17036" spans="1:8" x14ac:dyDescent="0.25">
      <c r="A17036" s="1"/>
      <c r="B17036" s="1" t="s">
        <v>5782</v>
      </c>
      <c r="C17036" s="1" t="s">
        <v>5783</v>
      </c>
      <c r="D17036" s="22" t="str">
        <f>HYPERLINK("https://rhld.insurance.arkansas.gov/NPILookup?Npi=1750465779","1750465779")</f>
        <v>1750465779</v>
      </c>
      <c r="E17036" s="1" t="s">
        <v>23207</v>
      </c>
      <c r="F17036" s="2"/>
      <c r="G17036" s="2"/>
      <c r="H17036" s="2"/>
    </row>
    <row r="17037" spans="1:8" x14ac:dyDescent="0.25">
      <c r="A17037" s="1"/>
      <c r="B17037" s="1" t="s">
        <v>5782</v>
      </c>
      <c r="C17037" s="1" t="s">
        <v>5783</v>
      </c>
      <c r="D17037" s="22" t="str">
        <f>HYPERLINK("https://rhld.insurance.arkansas.gov/NPILookup?Npi=1750485132","1750485132")</f>
        <v>1750485132</v>
      </c>
      <c r="E17037" s="1" t="s">
        <v>11248</v>
      </c>
      <c r="F17037" s="2"/>
      <c r="G17037" s="2"/>
      <c r="H17037" s="2"/>
    </row>
    <row r="17038" spans="1:8" x14ac:dyDescent="0.25">
      <c r="A17038" s="1"/>
      <c r="B17038" s="1" t="s">
        <v>5782</v>
      </c>
      <c r="C17038" s="1" t="s">
        <v>5783</v>
      </c>
      <c r="D17038" s="22" t="str">
        <f>HYPERLINK("https://rhld.insurance.arkansas.gov/NPILookup?Npi=1750487567","1750487567")</f>
        <v>1750487567</v>
      </c>
      <c r="E17038" s="1" t="s">
        <v>23208</v>
      </c>
      <c r="F17038" s="2"/>
      <c r="G17038" s="2"/>
      <c r="H17038" s="2"/>
    </row>
    <row r="17039" spans="1:8" x14ac:dyDescent="0.25">
      <c r="A17039" s="1"/>
      <c r="B17039" s="1" t="s">
        <v>5782</v>
      </c>
      <c r="C17039" s="1" t="s">
        <v>5783</v>
      </c>
      <c r="D17039" s="22" t="str">
        <f>HYPERLINK("https://rhld.insurance.arkansas.gov/NPILookup?Npi=1750514840","1750514840")</f>
        <v>1750514840</v>
      </c>
      <c r="E17039" s="1" t="s">
        <v>23209</v>
      </c>
      <c r="F17039" s="2"/>
      <c r="G17039" s="2"/>
      <c r="H17039" s="2"/>
    </row>
    <row r="17040" spans="1:8" x14ac:dyDescent="0.25">
      <c r="A17040" s="1"/>
      <c r="B17040" s="1" t="s">
        <v>5782</v>
      </c>
      <c r="C17040" s="1" t="s">
        <v>5783</v>
      </c>
      <c r="D17040" s="22" t="str">
        <f>HYPERLINK("https://rhld.insurance.arkansas.gov/NPILookup?Npi=1750530762","1750530762")</f>
        <v>1750530762</v>
      </c>
      <c r="E17040" s="1" t="s">
        <v>23210</v>
      </c>
      <c r="F17040" s="2"/>
      <c r="G17040" s="2"/>
      <c r="H17040" s="2"/>
    </row>
    <row r="17041" spans="1:8" x14ac:dyDescent="0.25">
      <c r="A17041" s="1"/>
      <c r="B17041" s="1" t="s">
        <v>5782</v>
      </c>
      <c r="C17041" s="1" t="s">
        <v>5783</v>
      </c>
      <c r="D17041" s="22" t="str">
        <f>HYPERLINK("https://rhld.insurance.arkansas.gov/NPILookup?Npi=1750539128","1750539128")</f>
        <v>1750539128</v>
      </c>
      <c r="E17041" s="1" t="s">
        <v>23211</v>
      </c>
      <c r="F17041" s="2"/>
      <c r="G17041" s="2"/>
      <c r="H17041" s="2"/>
    </row>
    <row r="17042" spans="1:8" x14ac:dyDescent="0.25">
      <c r="A17042" s="1"/>
      <c r="B17042" s="1" t="s">
        <v>5782</v>
      </c>
      <c r="C17042" s="1" t="s">
        <v>5783</v>
      </c>
      <c r="D17042" s="22" t="str">
        <f>HYPERLINK("https://rhld.insurance.arkansas.gov/NPILookup?Npi=1750557039","1750557039")</f>
        <v>1750557039</v>
      </c>
      <c r="E17042" s="1" t="s">
        <v>23212</v>
      </c>
      <c r="F17042" s="2"/>
      <c r="G17042" s="2"/>
      <c r="H17042" s="2"/>
    </row>
    <row r="17043" spans="1:8" x14ac:dyDescent="0.25">
      <c r="A17043" s="1"/>
      <c r="B17043" s="1" t="s">
        <v>5782</v>
      </c>
      <c r="C17043" s="1" t="s">
        <v>5783</v>
      </c>
      <c r="D17043" s="22" t="str">
        <f>HYPERLINK("https://rhld.insurance.arkansas.gov/NPILookup?Npi=1750563607","1750563607")</f>
        <v>1750563607</v>
      </c>
      <c r="E17043" s="1" t="s">
        <v>23213</v>
      </c>
      <c r="F17043" s="2"/>
      <c r="G17043" s="2"/>
      <c r="H17043" s="2"/>
    </row>
    <row r="17044" spans="1:8" x14ac:dyDescent="0.25">
      <c r="A17044" s="1"/>
      <c r="B17044" s="1" t="s">
        <v>5782</v>
      </c>
      <c r="C17044" s="1" t="s">
        <v>5783</v>
      </c>
      <c r="D17044" s="22" t="str">
        <f>HYPERLINK("https://rhld.insurance.arkansas.gov/NPILookup?Npi=1750575726","1750575726")</f>
        <v>1750575726</v>
      </c>
      <c r="E17044" s="1" t="s">
        <v>12065</v>
      </c>
      <c r="F17044" s="2"/>
      <c r="G17044" s="2"/>
      <c r="H17044" s="2"/>
    </row>
    <row r="17045" spans="1:8" x14ac:dyDescent="0.25">
      <c r="A17045" s="1"/>
      <c r="B17045" s="1" t="s">
        <v>5782</v>
      </c>
      <c r="C17045" s="1" t="s">
        <v>5783</v>
      </c>
      <c r="D17045" s="22" t="str">
        <f>HYPERLINK("https://rhld.insurance.arkansas.gov/NPILookup?Npi=1750590733","1750590733")</f>
        <v>1750590733</v>
      </c>
      <c r="E17045" s="1" t="s">
        <v>2230</v>
      </c>
      <c r="F17045" s="2"/>
      <c r="G17045" s="2"/>
      <c r="H17045" s="2"/>
    </row>
    <row r="17046" spans="1:8" x14ac:dyDescent="0.25">
      <c r="A17046" s="1"/>
      <c r="B17046" s="1" t="s">
        <v>5782</v>
      </c>
      <c r="C17046" s="1" t="s">
        <v>5783</v>
      </c>
      <c r="D17046" s="22" t="str">
        <f>HYPERLINK("https://rhld.insurance.arkansas.gov/NPILookup?Npi=1750603676","1750603676")</f>
        <v>1750603676</v>
      </c>
      <c r="E17046" s="1" t="s">
        <v>12066</v>
      </c>
      <c r="F17046" s="2"/>
      <c r="G17046" s="2"/>
      <c r="H17046" s="2"/>
    </row>
    <row r="17047" spans="1:8" x14ac:dyDescent="0.25">
      <c r="A17047" s="1"/>
      <c r="B17047" s="1" t="s">
        <v>5782</v>
      </c>
      <c r="C17047" s="1" t="s">
        <v>5783</v>
      </c>
      <c r="D17047" s="22" t="str">
        <f>HYPERLINK("https://rhld.insurance.arkansas.gov/NPILookup?Npi=1750606091","1750606091")</f>
        <v>1750606091</v>
      </c>
      <c r="E17047" s="1" t="s">
        <v>23214</v>
      </c>
      <c r="F17047" s="2"/>
      <c r="G17047" s="2"/>
      <c r="H17047" s="2"/>
    </row>
    <row r="17048" spans="1:8" x14ac:dyDescent="0.25">
      <c r="A17048" s="1"/>
      <c r="B17048" s="1" t="s">
        <v>5782</v>
      </c>
      <c r="C17048" s="1" t="s">
        <v>5783</v>
      </c>
      <c r="D17048" s="22" t="str">
        <f>HYPERLINK("https://rhld.insurance.arkansas.gov/NPILookup?Npi=1750660197","1750660197")</f>
        <v>1750660197</v>
      </c>
      <c r="E17048" s="1" t="s">
        <v>23215</v>
      </c>
      <c r="F17048" s="2"/>
      <c r="G17048" s="2"/>
      <c r="H17048" s="2"/>
    </row>
    <row r="17049" spans="1:8" x14ac:dyDescent="0.25">
      <c r="A17049" s="1"/>
      <c r="B17049" s="1" t="s">
        <v>5782</v>
      </c>
      <c r="C17049" s="1" t="s">
        <v>5783</v>
      </c>
      <c r="D17049" s="22" t="str">
        <f>HYPERLINK("https://rhld.insurance.arkansas.gov/NPILookup?Npi=1750665709","1750665709")</f>
        <v>1750665709</v>
      </c>
      <c r="E17049" s="1" t="s">
        <v>23216</v>
      </c>
      <c r="F17049" s="2"/>
      <c r="G17049" s="2"/>
      <c r="H17049" s="2"/>
    </row>
    <row r="17050" spans="1:8" x14ac:dyDescent="0.25">
      <c r="A17050" s="1"/>
      <c r="B17050" s="1" t="s">
        <v>5782</v>
      </c>
      <c r="C17050" s="1" t="s">
        <v>5783</v>
      </c>
      <c r="D17050" s="22" t="str">
        <f>HYPERLINK("https://rhld.insurance.arkansas.gov/NPILookup?Npi=1750686721","1750686721")</f>
        <v>1750686721</v>
      </c>
      <c r="E17050" s="1" t="s">
        <v>23217</v>
      </c>
      <c r="F17050" s="2"/>
      <c r="G17050" s="2"/>
      <c r="H17050" s="2"/>
    </row>
    <row r="17051" spans="1:8" x14ac:dyDescent="0.25">
      <c r="A17051" s="1"/>
      <c r="B17051" s="1" t="s">
        <v>5782</v>
      </c>
      <c r="C17051" s="1" t="s">
        <v>5783</v>
      </c>
      <c r="D17051" s="22" t="str">
        <f>HYPERLINK("https://rhld.insurance.arkansas.gov/NPILookup?Npi=1750693586","1750693586")</f>
        <v>1750693586</v>
      </c>
      <c r="E17051" s="1" t="s">
        <v>23218</v>
      </c>
      <c r="F17051" s="2"/>
      <c r="G17051" s="2"/>
      <c r="H17051" s="2"/>
    </row>
    <row r="17052" spans="1:8" x14ac:dyDescent="0.25">
      <c r="A17052" s="1"/>
      <c r="B17052" s="1" t="s">
        <v>5782</v>
      </c>
      <c r="C17052" s="1" t="s">
        <v>5783</v>
      </c>
      <c r="D17052" s="22" t="str">
        <f>HYPERLINK("https://rhld.insurance.arkansas.gov/NPILookup?Npi=1750695631","1750695631")</f>
        <v>1750695631</v>
      </c>
      <c r="E17052" s="1" t="s">
        <v>1676</v>
      </c>
      <c r="F17052" s="2"/>
      <c r="G17052" s="2"/>
      <c r="H17052" s="2"/>
    </row>
    <row r="17053" spans="1:8" x14ac:dyDescent="0.25">
      <c r="A17053" s="1"/>
      <c r="B17053" s="1" t="s">
        <v>5782</v>
      </c>
      <c r="C17053" s="1" t="s">
        <v>5783</v>
      </c>
      <c r="D17053" s="22" t="str">
        <f>HYPERLINK("https://rhld.insurance.arkansas.gov/NPILookup?Npi=1750705513","1750705513")</f>
        <v>1750705513</v>
      </c>
      <c r="E17053" s="1" t="s">
        <v>3256</v>
      </c>
      <c r="F17053" s="2"/>
      <c r="G17053" s="2"/>
      <c r="H17053" s="2"/>
    </row>
    <row r="17054" spans="1:8" x14ac:dyDescent="0.25">
      <c r="A17054" s="1"/>
      <c r="B17054" s="1" t="s">
        <v>5782</v>
      </c>
      <c r="C17054" s="1" t="s">
        <v>5783</v>
      </c>
      <c r="D17054" s="22" t="str">
        <f>HYPERLINK("https://rhld.insurance.arkansas.gov/NPILookup?Npi=1750709788","1750709788")</f>
        <v>1750709788</v>
      </c>
      <c r="E17054" s="1" t="s">
        <v>12068</v>
      </c>
      <c r="F17054" s="2"/>
      <c r="G17054" s="2"/>
      <c r="H17054" s="2"/>
    </row>
    <row r="17055" spans="1:8" x14ac:dyDescent="0.25">
      <c r="A17055" s="1"/>
      <c r="B17055" s="1" t="s">
        <v>5782</v>
      </c>
      <c r="C17055" s="1" t="s">
        <v>5783</v>
      </c>
      <c r="D17055" s="22" t="str">
        <f>HYPERLINK("https://rhld.insurance.arkansas.gov/NPILookup?Npi=1750717047","1750717047")</f>
        <v>1750717047</v>
      </c>
      <c r="E17055" s="1" t="s">
        <v>309</v>
      </c>
      <c r="F17055" s="2"/>
      <c r="G17055" s="2"/>
      <c r="H17055" s="2"/>
    </row>
    <row r="17056" spans="1:8" x14ac:dyDescent="0.25">
      <c r="A17056" s="1"/>
      <c r="B17056" s="1" t="s">
        <v>5782</v>
      </c>
      <c r="C17056" s="1" t="s">
        <v>5783</v>
      </c>
      <c r="D17056" s="22" t="str">
        <f>HYPERLINK("https://rhld.insurance.arkansas.gov/NPILookup?Npi=1750722054","1750722054")</f>
        <v>1750722054</v>
      </c>
      <c r="E17056" s="1" t="s">
        <v>23219</v>
      </c>
      <c r="F17056" s="2"/>
      <c r="G17056" s="2"/>
      <c r="H17056" s="2"/>
    </row>
    <row r="17057" spans="1:8" x14ac:dyDescent="0.25">
      <c r="A17057" s="1"/>
      <c r="B17057" s="1" t="s">
        <v>5782</v>
      </c>
      <c r="C17057" s="1" t="s">
        <v>5783</v>
      </c>
      <c r="D17057" s="22" t="str">
        <f>HYPERLINK("https://rhld.insurance.arkansas.gov/NPILookup?Npi=1750730768","1750730768")</f>
        <v>1750730768</v>
      </c>
      <c r="E17057" s="1" t="s">
        <v>23220</v>
      </c>
      <c r="F17057" s="2"/>
      <c r="G17057" s="2"/>
      <c r="H17057" s="2"/>
    </row>
    <row r="17058" spans="1:8" x14ac:dyDescent="0.25">
      <c r="A17058" s="1"/>
      <c r="B17058" s="1" t="s">
        <v>5782</v>
      </c>
      <c r="C17058" s="1" t="s">
        <v>5783</v>
      </c>
      <c r="D17058" s="22" t="str">
        <f>HYPERLINK("https://rhld.insurance.arkansas.gov/NPILookup?Npi=1750732582","1750732582")</f>
        <v>1750732582</v>
      </c>
      <c r="E17058" s="1" t="s">
        <v>23221</v>
      </c>
      <c r="F17058" s="2"/>
      <c r="G17058" s="2"/>
      <c r="H17058" s="2"/>
    </row>
    <row r="17059" spans="1:8" x14ac:dyDescent="0.25">
      <c r="A17059" s="1"/>
      <c r="B17059" s="1" t="s">
        <v>5782</v>
      </c>
      <c r="C17059" s="1" t="s">
        <v>5783</v>
      </c>
      <c r="D17059" s="22" t="str">
        <f>HYPERLINK("https://rhld.insurance.arkansas.gov/NPILookup?Npi=1750756482","1750756482")</f>
        <v>1750756482</v>
      </c>
      <c r="E17059" s="1" t="s">
        <v>6609</v>
      </c>
      <c r="F17059" s="2"/>
      <c r="G17059" s="2"/>
      <c r="H17059" s="2"/>
    </row>
    <row r="17060" spans="1:8" x14ac:dyDescent="0.25">
      <c r="A17060" s="1"/>
      <c r="B17060" s="1" t="s">
        <v>5782</v>
      </c>
      <c r="C17060" s="1" t="s">
        <v>5783</v>
      </c>
      <c r="D17060" s="22" t="str">
        <f>HYPERLINK("https://rhld.insurance.arkansas.gov/NPILookup?Npi=1750763678","1750763678")</f>
        <v>1750763678</v>
      </c>
      <c r="E17060" s="1" t="s">
        <v>3367</v>
      </c>
      <c r="F17060" s="2"/>
      <c r="G17060" s="2"/>
      <c r="H17060" s="2"/>
    </row>
    <row r="17061" spans="1:8" x14ac:dyDescent="0.25">
      <c r="A17061" s="1"/>
      <c r="B17061" s="1" t="s">
        <v>5782</v>
      </c>
      <c r="C17061" s="1" t="s">
        <v>5783</v>
      </c>
      <c r="D17061" s="22" t="str">
        <f>HYPERLINK("https://rhld.insurance.arkansas.gov/NPILookup?Npi=1750767299","1750767299")</f>
        <v>1750767299</v>
      </c>
      <c r="E17061" s="1" t="s">
        <v>415</v>
      </c>
      <c r="F17061" s="2"/>
      <c r="G17061" s="2"/>
      <c r="H17061" s="2"/>
    </row>
    <row r="17062" spans="1:8" x14ac:dyDescent="0.25">
      <c r="A17062" s="1"/>
      <c r="B17062" s="1" t="s">
        <v>5782</v>
      </c>
      <c r="C17062" s="1" t="s">
        <v>5783</v>
      </c>
      <c r="D17062" s="22" t="str">
        <f>HYPERLINK("https://rhld.insurance.arkansas.gov/NPILookup?Npi=1750773750","1750773750")</f>
        <v>1750773750</v>
      </c>
      <c r="E17062" s="1" t="s">
        <v>23222</v>
      </c>
      <c r="F17062" s="2"/>
      <c r="G17062" s="2"/>
      <c r="H17062" s="2"/>
    </row>
    <row r="17063" spans="1:8" x14ac:dyDescent="0.25">
      <c r="A17063" s="1"/>
      <c r="B17063" s="1" t="s">
        <v>5782</v>
      </c>
      <c r="C17063" s="1" t="s">
        <v>5783</v>
      </c>
      <c r="D17063" s="22" t="str">
        <f>HYPERLINK("https://rhld.insurance.arkansas.gov/NPILookup?Npi=1750789178","1750789178")</f>
        <v>1750789178</v>
      </c>
      <c r="E17063" s="1" t="s">
        <v>6610</v>
      </c>
      <c r="F17063" s="2"/>
      <c r="G17063" s="2"/>
      <c r="H17063" s="2"/>
    </row>
    <row r="17064" spans="1:8" x14ac:dyDescent="0.25">
      <c r="A17064" s="1"/>
      <c r="B17064" s="1" t="s">
        <v>5782</v>
      </c>
      <c r="C17064" s="1" t="s">
        <v>5783</v>
      </c>
      <c r="D17064" s="22" t="str">
        <f>HYPERLINK("https://rhld.insurance.arkansas.gov/NPILookup?Npi=1750790259","1750790259")</f>
        <v>1750790259</v>
      </c>
      <c r="E17064" s="1" t="s">
        <v>123</v>
      </c>
      <c r="F17064" s="2"/>
      <c r="G17064" s="2"/>
      <c r="H17064" s="2"/>
    </row>
    <row r="17065" spans="1:8" x14ac:dyDescent="0.25">
      <c r="A17065" s="1"/>
      <c r="B17065" s="1" t="s">
        <v>5782</v>
      </c>
      <c r="C17065" s="1" t="s">
        <v>5783</v>
      </c>
      <c r="D17065" s="22" t="str">
        <f>HYPERLINK("https://rhld.insurance.arkansas.gov/NPILookup?Npi=1750793055","1750793055")</f>
        <v>1750793055</v>
      </c>
      <c r="E17065" s="1" t="s">
        <v>3004</v>
      </c>
      <c r="F17065" s="2"/>
      <c r="G17065" s="2"/>
      <c r="H17065" s="2"/>
    </row>
    <row r="17066" spans="1:8" x14ac:dyDescent="0.25">
      <c r="A17066" s="1"/>
      <c r="B17066" s="1" t="s">
        <v>5782</v>
      </c>
      <c r="C17066" s="1" t="s">
        <v>5783</v>
      </c>
      <c r="D17066" s="22" t="str">
        <f>HYPERLINK("https://rhld.insurance.arkansas.gov/NPILookup?Npi=1750799854","1750799854")</f>
        <v>1750799854</v>
      </c>
      <c r="E17066" s="1" t="s">
        <v>12069</v>
      </c>
      <c r="F17066" s="2"/>
      <c r="G17066" s="2"/>
      <c r="H17066" s="2"/>
    </row>
    <row r="17067" spans="1:8" x14ac:dyDescent="0.25">
      <c r="A17067" s="1"/>
      <c r="B17067" s="1" t="s">
        <v>5782</v>
      </c>
      <c r="C17067" s="1" t="s">
        <v>5783</v>
      </c>
      <c r="D17067" s="22" t="str">
        <f>HYPERLINK("https://rhld.insurance.arkansas.gov/NPILookup?Npi=1750826798","1750826798")</f>
        <v>1750826798</v>
      </c>
      <c r="E17067" s="1" t="s">
        <v>23223</v>
      </c>
      <c r="F17067" s="2"/>
      <c r="G17067" s="2"/>
      <c r="H17067" s="2"/>
    </row>
    <row r="17068" spans="1:8" x14ac:dyDescent="0.25">
      <c r="A17068" s="1"/>
      <c r="B17068" s="1" t="s">
        <v>5782</v>
      </c>
      <c r="C17068" s="1" t="s">
        <v>5783</v>
      </c>
      <c r="D17068" s="22" t="str">
        <f>HYPERLINK("https://rhld.insurance.arkansas.gov/NPILookup?Npi=1750828133","1750828133")</f>
        <v>1750828133</v>
      </c>
      <c r="E17068" s="1" t="s">
        <v>12071</v>
      </c>
      <c r="F17068" s="2"/>
      <c r="G17068" s="2"/>
      <c r="H17068" s="2"/>
    </row>
    <row r="17069" spans="1:8" x14ac:dyDescent="0.25">
      <c r="A17069" s="1"/>
      <c r="B17069" s="1" t="s">
        <v>5782</v>
      </c>
      <c r="C17069" s="1" t="s">
        <v>5783</v>
      </c>
      <c r="D17069" s="22" t="str">
        <f>HYPERLINK("https://rhld.insurance.arkansas.gov/NPILookup?Npi=1750850004","1750850004")</f>
        <v>1750850004</v>
      </c>
      <c r="E17069" s="1" t="s">
        <v>6611</v>
      </c>
      <c r="F17069" s="2"/>
      <c r="G17069" s="2"/>
      <c r="H17069" s="2"/>
    </row>
    <row r="17070" spans="1:8" x14ac:dyDescent="0.25">
      <c r="A17070" s="1"/>
      <c r="B17070" s="1" t="s">
        <v>5782</v>
      </c>
      <c r="C17070" s="1" t="s">
        <v>5783</v>
      </c>
      <c r="D17070" s="22" t="str">
        <f>HYPERLINK("https://rhld.insurance.arkansas.gov/NPILookup?Npi=1750873105","1750873105")</f>
        <v>1750873105</v>
      </c>
      <c r="E17070" s="1" t="s">
        <v>1257</v>
      </c>
      <c r="F17070" s="2"/>
      <c r="G17070" s="2"/>
      <c r="H17070" s="2"/>
    </row>
    <row r="17071" spans="1:8" x14ac:dyDescent="0.25">
      <c r="A17071" s="1"/>
      <c r="B17071" s="1" t="s">
        <v>5782</v>
      </c>
      <c r="C17071" s="1" t="s">
        <v>5783</v>
      </c>
      <c r="D17071" s="22" t="str">
        <f>HYPERLINK("https://rhld.insurance.arkansas.gov/NPILookup?Npi=1750874269","1750874269")</f>
        <v>1750874269</v>
      </c>
      <c r="E17071" s="1" t="s">
        <v>23224</v>
      </c>
      <c r="F17071" s="2"/>
      <c r="G17071" s="2"/>
      <c r="H17071" s="2"/>
    </row>
    <row r="17072" spans="1:8" x14ac:dyDescent="0.25">
      <c r="A17072" s="1"/>
      <c r="B17072" s="1" t="s">
        <v>5782</v>
      </c>
      <c r="C17072" s="1" t="s">
        <v>5783</v>
      </c>
      <c r="D17072" s="22" t="str">
        <f>HYPERLINK("https://rhld.insurance.arkansas.gov/NPILookup?Npi=1750898987","1750898987")</f>
        <v>1750898987</v>
      </c>
      <c r="E17072" s="1" t="s">
        <v>12072</v>
      </c>
      <c r="F17072" s="2"/>
      <c r="G17072" s="2"/>
      <c r="H17072" s="2"/>
    </row>
    <row r="17073" spans="1:8" x14ac:dyDescent="0.25">
      <c r="A17073" s="1"/>
      <c r="B17073" s="1" t="s">
        <v>5782</v>
      </c>
      <c r="C17073" s="1" t="s">
        <v>5783</v>
      </c>
      <c r="D17073" s="22" t="str">
        <f>HYPERLINK("https://rhld.insurance.arkansas.gov/NPILookup?Npi=1750907440","1750907440")</f>
        <v>1750907440</v>
      </c>
      <c r="E17073" s="1" t="s">
        <v>23225</v>
      </c>
      <c r="F17073" s="2"/>
      <c r="G17073" s="2"/>
      <c r="H17073" s="2"/>
    </row>
    <row r="17074" spans="1:8" x14ac:dyDescent="0.25">
      <c r="A17074" s="1"/>
      <c r="B17074" s="1" t="s">
        <v>5782</v>
      </c>
      <c r="C17074" s="1" t="s">
        <v>5783</v>
      </c>
      <c r="D17074" s="22" t="str">
        <f>HYPERLINK("https://rhld.insurance.arkansas.gov/NPILookup?Npi=1750935540","1750935540")</f>
        <v>1750935540</v>
      </c>
      <c r="E17074" s="1" t="s">
        <v>23226</v>
      </c>
      <c r="F17074" s="2"/>
      <c r="G17074" s="2"/>
      <c r="H17074" s="2"/>
    </row>
    <row r="17075" spans="1:8" x14ac:dyDescent="0.25">
      <c r="A17075" s="1"/>
      <c r="B17075" s="1" t="s">
        <v>5782</v>
      </c>
      <c r="C17075" s="1" t="s">
        <v>5783</v>
      </c>
      <c r="D17075" s="22" t="str">
        <f>HYPERLINK("https://rhld.insurance.arkansas.gov/NPILookup?Npi=1750942215","1750942215")</f>
        <v>1750942215</v>
      </c>
      <c r="E17075" s="1" t="s">
        <v>23227</v>
      </c>
      <c r="F17075" s="2"/>
      <c r="G17075" s="2"/>
      <c r="H17075" s="2"/>
    </row>
    <row r="17076" spans="1:8" x14ac:dyDescent="0.25">
      <c r="A17076" s="1"/>
      <c r="B17076" s="1" t="s">
        <v>5782</v>
      </c>
      <c r="C17076" s="1" t="s">
        <v>5783</v>
      </c>
      <c r="D17076" s="22" t="str">
        <f>HYPERLINK("https://rhld.insurance.arkansas.gov/NPILookup?Npi=1750947354","1750947354")</f>
        <v>1750947354</v>
      </c>
      <c r="E17076" s="1" t="s">
        <v>23228</v>
      </c>
      <c r="F17076" s="2"/>
      <c r="G17076" s="2"/>
      <c r="H17076" s="2"/>
    </row>
    <row r="17077" spans="1:8" x14ac:dyDescent="0.25">
      <c r="A17077" s="1"/>
      <c r="B17077" s="1" t="s">
        <v>5782</v>
      </c>
      <c r="C17077" s="1" t="s">
        <v>5783</v>
      </c>
      <c r="D17077" s="22" t="str">
        <f>HYPERLINK("https://rhld.insurance.arkansas.gov/NPILookup?Npi=1750964912","1750964912")</f>
        <v>1750964912</v>
      </c>
      <c r="E17077" s="1" t="s">
        <v>23229</v>
      </c>
      <c r="F17077" s="2"/>
      <c r="G17077" s="2"/>
      <c r="H17077" s="2"/>
    </row>
    <row r="17078" spans="1:8" x14ac:dyDescent="0.25">
      <c r="A17078" s="1"/>
      <c r="B17078" s="1" t="s">
        <v>5782</v>
      </c>
      <c r="C17078" s="1" t="s">
        <v>5783</v>
      </c>
      <c r="D17078" s="22" t="str">
        <f>HYPERLINK("https://rhld.insurance.arkansas.gov/NPILookup?Npi=1750998803","1750998803")</f>
        <v>1750998803</v>
      </c>
      <c r="E17078" s="1" t="s">
        <v>6612</v>
      </c>
      <c r="F17078" s="2"/>
      <c r="G17078" s="2"/>
      <c r="H17078" s="2"/>
    </row>
    <row r="17079" spans="1:8" x14ac:dyDescent="0.25">
      <c r="A17079" s="1"/>
      <c r="B17079" s="1" t="s">
        <v>5782</v>
      </c>
      <c r="C17079" s="1" t="s">
        <v>5783</v>
      </c>
      <c r="D17079" s="22" t="str">
        <f>HYPERLINK("https://rhld.insurance.arkansas.gov/NPILookup?Npi=1760024020","1760024020")</f>
        <v>1760024020</v>
      </c>
      <c r="E17079" s="1" t="s">
        <v>23230</v>
      </c>
      <c r="F17079" s="2"/>
      <c r="G17079" s="2"/>
      <c r="H17079" s="2"/>
    </row>
    <row r="17080" spans="1:8" x14ac:dyDescent="0.25">
      <c r="A17080" s="1"/>
      <c r="B17080" s="1" t="s">
        <v>5782</v>
      </c>
      <c r="C17080" s="1" t="s">
        <v>5783</v>
      </c>
      <c r="D17080" s="22" t="str">
        <f>HYPERLINK("https://rhld.insurance.arkansas.gov/NPILookup?Npi=1760028435","1760028435")</f>
        <v>1760028435</v>
      </c>
      <c r="E17080" s="1" t="s">
        <v>12073</v>
      </c>
      <c r="F17080" s="2"/>
      <c r="G17080" s="2"/>
      <c r="H17080" s="2"/>
    </row>
    <row r="17081" spans="1:8" x14ac:dyDescent="0.25">
      <c r="A17081" s="1"/>
      <c r="B17081" s="1" t="s">
        <v>5782</v>
      </c>
      <c r="C17081" s="1" t="s">
        <v>5783</v>
      </c>
      <c r="D17081" s="22" t="str">
        <f>HYPERLINK("https://rhld.insurance.arkansas.gov/NPILookup?Npi=1760031835","1760031835")</f>
        <v>1760031835</v>
      </c>
      <c r="E17081" s="1" t="s">
        <v>23231</v>
      </c>
      <c r="F17081" s="2"/>
      <c r="G17081" s="2"/>
      <c r="H17081" s="2"/>
    </row>
    <row r="17082" spans="1:8" x14ac:dyDescent="0.25">
      <c r="A17082" s="1"/>
      <c r="B17082" s="1" t="s">
        <v>5782</v>
      </c>
      <c r="C17082" s="1" t="s">
        <v>5783</v>
      </c>
      <c r="D17082" s="22" t="str">
        <f>HYPERLINK("https://rhld.insurance.arkansas.gov/NPILookup?Npi=1760038103","1760038103")</f>
        <v>1760038103</v>
      </c>
      <c r="E17082" s="1" t="s">
        <v>23232</v>
      </c>
      <c r="F17082" s="2"/>
      <c r="G17082" s="2"/>
      <c r="H17082" s="2"/>
    </row>
    <row r="17083" spans="1:8" x14ac:dyDescent="0.25">
      <c r="A17083" s="1"/>
      <c r="B17083" s="1" t="s">
        <v>5782</v>
      </c>
      <c r="C17083" s="1" t="s">
        <v>5783</v>
      </c>
      <c r="D17083" s="22" t="str">
        <f>HYPERLINK("https://rhld.insurance.arkansas.gov/NPILookup?Npi=1760039374","1760039374")</f>
        <v>1760039374</v>
      </c>
      <c r="E17083" s="1" t="s">
        <v>6613</v>
      </c>
      <c r="F17083" s="2"/>
      <c r="G17083" s="2"/>
      <c r="H17083" s="2"/>
    </row>
    <row r="17084" spans="1:8" x14ac:dyDescent="0.25">
      <c r="A17084" s="1"/>
      <c r="B17084" s="1" t="s">
        <v>5782</v>
      </c>
      <c r="C17084" s="1" t="s">
        <v>5783</v>
      </c>
      <c r="D17084" s="22" t="str">
        <f>HYPERLINK("https://rhld.insurance.arkansas.gov/NPILookup?Npi=1760057350","1760057350")</f>
        <v>1760057350</v>
      </c>
      <c r="E17084" s="1" t="s">
        <v>23233</v>
      </c>
      <c r="F17084" s="2"/>
      <c r="G17084" s="2"/>
      <c r="H17084" s="2"/>
    </row>
    <row r="17085" spans="1:8" x14ac:dyDescent="0.25">
      <c r="A17085" s="1"/>
      <c r="B17085" s="1" t="s">
        <v>5782</v>
      </c>
      <c r="C17085" s="1" t="s">
        <v>5783</v>
      </c>
      <c r="D17085" s="22" t="str">
        <f>HYPERLINK("https://rhld.insurance.arkansas.gov/NPILookup?Npi=1760076608","1760076608")</f>
        <v>1760076608</v>
      </c>
      <c r="E17085" s="1" t="s">
        <v>23234</v>
      </c>
      <c r="F17085" s="2"/>
      <c r="G17085" s="2"/>
      <c r="H17085" s="2"/>
    </row>
    <row r="17086" spans="1:8" x14ac:dyDescent="0.25">
      <c r="A17086" s="1"/>
      <c r="B17086" s="1" t="s">
        <v>5782</v>
      </c>
      <c r="C17086" s="1" t="s">
        <v>5783</v>
      </c>
      <c r="D17086" s="22" t="str">
        <f>HYPERLINK("https://rhld.insurance.arkansas.gov/NPILookup?Npi=1760091177","1760091177")</f>
        <v>1760091177</v>
      </c>
      <c r="E17086" s="1" t="s">
        <v>23235</v>
      </c>
      <c r="F17086" s="2"/>
      <c r="G17086" s="2"/>
      <c r="H17086" s="2"/>
    </row>
    <row r="17087" spans="1:8" x14ac:dyDescent="0.25">
      <c r="A17087" s="1"/>
      <c r="B17087" s="1" t="s">
        <v>5782</v>
      </c>
      <c r="C17087" s="1" t="s">
        <v>5783</v>
      </c>
      <c r="D17087" s="22" t="str">
        <f>HYPERLINK("https://rhld.insurance.arkansas.gov/NPILookup?Npi=1760097133","1760097133")</f>
        <v>1760097133</v>
      </c>
      <c r="E17087" s="1" t="s">
        <v>23236</v>
      </c>
      <c r="F17087" s="2"/>
      <c r="G17087" s="2"/>
      <c r="H17087" s="2"/>
    </row>
    <row r="17088" spans="1:8" x14ac:dyDescent="0.25">
      <c r="A17088" s="1"/>
      <c r="B17088" s="1" t="s">
        <v>5782</v>
      </c>
      <c r="C17088" s="1" t="s">
        <v>5783</v>
      </c>
      <c r="D17088" s="22" t="str">
        <f>HYPERLINK("https://rhld.insurance.arkansas.gov/NPILookup?Npi=1760122576","1760122576")</f>
        <v>1760122576</v>
      </c>
      <c r="E17088" s="1" t="s">
        <v>23237</v>
      </c>
      <c r="F17088" s="2"/>
      <c r="G17088" s="2"/>
      <c r="H17088" s="2"/>
    </row>
    <row r="17089" spans="1:8" x14ac:dyDescent="0.25">
      <c r="A17089" s="1"/>
      <c r="B17089" s="1" t="s">
        <v>5782</v>
      </c>
      <c r="C17089" s="1" t="s">
        <v>5783</v>
      </c>
      <c r="D17089" s="22" t="str">
        <f>HYPERLINK("https://rhld.insurance.arkansas.gov/NPILookup?Npi=1760161715","1760161715")</f>
        <v>1760161715</v>
      </c>
      <c r="E17089" s="1" t="s">
        <v>23238</v>
      </c>
      <c r="F17089" s="2"/>
      <c r="G17089" s="2"/>
      <c r="H17089" s="2"/>
    </row>
    <row r="17090" spans="1:8" x14ac:dyDescent="0.25">
      <c r="A17090" s="1"/>
      <c r="B17090" s="1" t="s">
        <v>5782</v>
      </c>
      <c r="C17090" s="1" t="s">
        <v>5783</v>
      </c>
      <c r="D17090" s="22" t="str">
        <f>HYPERLINK("https://rhld.insurance.arkansas.gov/NPILookup?Npi=1760164396","1760164396")</f>
        <v>1760164396</v>
      </c>
      <c r="E17090" s="1" t="s">
        <v>23239</v>
      </c>
      <c r="F17090" s="2"/>
      <c r="G17090" s="2"/>
      <c r="H17090" s="2"/>
    </row>
    <row r="17091" spans="1:8" x14ac:dyDescent="0.25">
      <c r="A17091" s="1"/>
      <c r="B17091" s="1" t="s">
        <v>5782</v>
      </c>
      <c r="C17091" s="1" t="s">
        <v>5783</v>
      </c>
      <c r="D17091" s="22" t="str">
        <f>HYPERLINK("https://rhld.insurance.arkansas.gov/NPILookup?Npi=1760173421","1760173421")</f>
        <v>1760173421</v>
      </c>
      <c r="E17091" s="1" t="s">
        <v>23240</v>
      </c>
      <c r="F17091" s="2"/>
      <c r="G17091" s="2"/>
      <c r="H17091" s="2"/>
    </row>
    <row r="17092" spans="1:8" x14ac:dyDescent="0.25">
      <c r="A17092" s="1"/>
      <c r="B17092" s="1" t="s">
        <v>5782</v>
      </c>
      <c r="C17092" s="1" t="s">
        <v>5783</v>
      </c>
      <c r="D17092" s="22" t="str">
        <f>HYPERLINK("https://rhld.insurance.arkansas.gov/NPILookup?Npi=1760198667","1760198667")</f>
        <v>1760198667</v>
      </c>
      <c r="E17092" s="1" t="s">
        <v>6614</v>
      </c>
      <c r="F17092" s="2"/>
      <c r="G17092" s="2"/>
      <c r="H17092" s="2"/>
    </row>
    <row r="17093" spans="1:8" x14ac:dyDescent="0.25">
      <c r="A17093" s="1"/>
      <c r="B17093" s="1" t="s">
        <v>5782</v>
      </c>
      <c r="C17093" s="1" t="s">
        <v>5783</v>
      </c>
      <c r="D17093" s="22" t="str">
        <f>HYPERLINK("https://rhld.insurance.arkansas.gov/NPILookup?Npi=1760221014","1760221014")</f>
        <v>1760221014</v>
      </c>
      <c r="E17093" s="1" t="s">
        <v>23241</v>
      </c>
      <c r="F17093" s="2"/>
      <c r="G17093" s="2"/>
      <c r="H17093" s="2"/>
    </row>
    <row r="17094" spans="1:8" x14ac:dyDescent="0.25">
      <c r="A17094" s="1"/>
      <c r="B17094" s="1" t="s">
        <v>5782</v>
      </c>
      <c r="C17094" s="1" t="s">
        <v>5783</v>
      </c>
      <c r="D17094" s="22" t="str">
        <f>HYPERLINK("https://rhld.insurance.arkansas.gov/NPILookup?Npi=1760247308","1760247308")</f>
        <v>1760247308</v>
      </c>
      <c r="E17094" s="1" t="s">
        <v>23242</v>
      </c>
      <c r="F17094" s="2"/>
      <c r="G17094" s="2"/>
      <c r="H17094" s="2"/>
    </row>
    <row r="17095" spans="1:8" x14ac:dyDescent="0.25">
      <c r="A17095" s="1"/>
      <c r="B17095" s="1" t="s">
        <v>5782</v>
      </c>
      <c r="C17095" s="1" t="s">
        <v>5783</v>
      </c>
      <c r="D17095" s="22" t="str">
        <f>HYPERLINK("https://rhld.insurance.arkansas.gov/NPILookup?Npi=1760500599","1760500599")</f>
        <v>1760500599</v>
      </c>
      <c r="E17095" s="1" t="s">
        <v>23243</v>
      </c>
      <c r="F17095" s="2"/>
      <c r="G17095" s="2"/>
      <c r="H17095" s="2"/>
    </row>
    <row r="17096" spans="1:8" x14ac:dyDescent="0.25">
      <c r="A17096" s="1"/>
      <c r="B17096" s="1" t="s">
        <v>5782</v>
      </c>
      <c r="C17096" s="1" t="s">
        <v>5783</v>
      </c>
      <c r="D17096" s="22" t="str">
        <f>HYPERLINK("https://rhld.insurance.arkansas.gov/NPILookup?Npi=1760506349","1760506349")</f>
        <v>1760506349</v>
      </c>
      <c r="E17096" s="1" t="s">
        <v>12075</v>
      </c>
      <c r="F17096" s="2"/>
      <c r="G17096" s="2"/>
      <c r="H17096" s="2"/>
    </row>
    <row r="17097" spans="1:8" x14ac:dyDescent="0.25">
      <c r="A17097" s="1"/>
      <c r="B17097" s="1" t="s">
        <v>5782</v>
      </c>
      <c r="C17097" s="1" t="s">
        <v>5783</v>
      </c>
      <c r="D17097" s="22" t="str">
        <f>HYPERLINK("https://rhld.insurance.arkansas.gov/NPILookup?Npi=1760510333","1760510333")</f>
        <v>1760510333</v>
      </c>
      <c r="E17097" s="1" t="s">
        <v>6615</v>
      </c>
      <c r="F17097" s="2"/>
      <c r="G17097" s="2"/>
      <c r="H17097" s="2"/>
    </row>
    <row r="17098" spans="1:8" x14ac:dyDescent="0.25">
      <c r="A17098" s="1"/>
      <c r="B17098" s="1" t="s">
        <v>5782</v>
      </c>
      <c r="C17098" s="1" t="s">
        <v>5783</v>
      </c>
      <c r="D17098" s="22" t="str">
        <f>HYPERLINK("https://rhld.insurance.arkansas.gov/NPILookup?Npi=1760511489","1760511489")</f>
        <v>1760511489</v>
      </c>
      <c r="E17098" s="1" t="s">
        <v>12076</v>
      </c>
      <c r="F17098" s="2"/>
      <c r="G17098" s="2"/>
      <c r="H17098" s="2"/>
    </row>
    <row r="17099" spans="1:8" x14ac:dyDescent="0.25">
      <c r="A17099" s="1"/>
      <c r="B17099" s="1" t="s">
        <v>5782</v>
      </c>
      <c r="C17099" s="1" t="s">
        <v>5783</v>
      </c>
      <c r="D17099" s="22" t="str">
        <f>HYPERLINK("https://rhld.insurance.arkansas.gov/NPILookup?Npi=1760529549","1760529549")</f>
        <v>1760529549</v>
      </c>
      <c r="E17099" s="1" t="s">
        <v>6616</v>
      </c>
      <c r="F17099" s="2"/>
      <c r="G17099" s="2"/>
      <c r="H17099" s="2"/>
    </row>
    <row r="17100" spans="1:8" x14ac:dyDescent="0.25">
      <c r="A17100" s="1"/>
      <c r="B17100" s="1" t="s">
        <v>5782</v>
      </c>
      <c r="C17100" s="1" t="s">
        <v>5783</v>
      </c>
      <c r="D17100" s="22" t="str">
        <f>HYPERLINK("https://rhld.insurance.arkansas.gov/NPILookup?Npi=1760545354","1760545354")</f>
        <v>1760545354</v>
      </c>
      <c r="E17100" s="1" t="s">
        <v>12077</v>
      </c>
      <c r="F17100" s="2"/>
      <c r="G17100" s="2"/>
      <c r="H17100" s="2"/>
    </row>
    <row r="17101" spans="1:8" x14ac:dyDescent="0.25">
      <c r="A17101" s="1"/>
      <c r="B17101" s="1" t="s">
        <v>5782</v>
      </c>
      <c r="C17101" s="1" t="s">
        <v>5783</v>
      </c>
      <c r="D17101" s="22" t="str">
        <f>HYPERLINK("https://rhld.insurance.arkansas.gov/NPILookup?Npi=1760585566","1760585566")</f>
        <v>1760585566</v>
      </c>
      <c r="E17101" s="1" t="s">
        <v>6617</v>
      </c>
      <c r="F17101" s="2"/>
      <c r="G17101" s="2"/>
      <c r="H17101" s="2"/>
    </row>
    <row r="17102" spans="1:8" x14ac:dyDescent="0.25">
      <c r="A17102" s="1"/>
      <c r="B17102" s="1" t="s">
        <v>5782</v>
      </c>
      <c r="C17102" s="1" t="s">
        <v>5783</v>
      </c>
      <c r="D17102" s="22" t="str">
        <f>HYPERLINK("https://rhld.insurance.arkansas.gov/NPILookup?Npi=1760620033","1760620033")</f>
        <v>1760620033</v>
      </c>
      <c r="E17102" s="1" t="s">
        <v>1986</v>
      </c>
      <c r="F17102" s="2"/>
      <c r="G17102" s="2"/>
      <c r="H17102" s="2"/>
    </row>
    <row r="17103" spans="1:8" x14ac:dyDescent="0.25">
      <c r="A17103" s="1"/>
      <c r="B17103" s="1" t="s">
        <v>5782</v>
      </c>
      <c r="C17103" s="1" t="s">
        <v>5783</v>
      </c>
      <c r="D17103" s="22" t="str">
        <f>HYPERLINK("https://rhld.insurance.arkansas.gov/NPILookup?Npi=1760626840","1760626840")</f>
        <v>1760626840</v>
      </c>
      <c r="E17103" s="1" t="s">
        <v>12078</v>
      </c>
      <c r="F17103" s="2"/>
      <c r="G17103" s="2"/>
      <c r="H17103" s="2"/>
    </row>
    <row r="17104" spans="1:8" x14ac:dyDescent="0.25">
      <c r="A17104" s="1"/>
      <c r="B17104" s="1" t="s">
        <v>5782</v>
      </c>
      <c r="C17104" s="1" t="s">
        <v>5783</v>
      </c>
      <c r="D17104" s="22" t="str">
        <f>HYPERLINK("https://rhld.insurance.arkansas.gov/NPILookup?Npi=1760627939","1760627939")</f>
        <v>1760627939</v>
      </c>
      <c r="E17104" s="1" t="s">
        <v>950</v>
      </c>
      <c r="F17104" s="2"/>
      <c r="G17104" s="2"/>
      <c r="H17104" s="2"/>
    </row>
    <row r="17105" spans="1:8" x14ac:dyDescent="0.25">
      <c r="A17105" s="1"/>
      <c r="B17105" s="1" t="s">
        <v>5782</v>
      </c>
      <c r="C17105" s="1" t="s">
        <v>5783</v>
      </c>
      <c r="D17105" s="22" t="str">
        <f>HYPERLINK("https://rhld.insurance.arkansas.gov/NPILookup?Npi=1760632939","1760632939")</f>
        <v>1760632939</v>
      </c>
      <c r="E17105" s="1" t="s">
        <v>6618</v>
      </c>
      <c r="F17105" s="2"/>
      <c r="G17105" s="2"/>
      <c r="H17105" s="2"/>
    </row>
    <row r="17106" spans="1:8" x14ac:dyDescent="0.25">
      <c r="A17106" s="1"/>
      <c r="B17106" s="1" t="s">
        <v>5782</v>
      </c>
      <c r="C17106" s="1" t="s">
        <v>5783</v>
      </c>
      <c r="D17106" s="22" t="str">
        <f>HYPERLINK("https://rhld.insurance.arkansas.gov/NPILookup?Npi=1760639132","1760639132")</f>
        <v>1760639132</v>
      </c>
      <c r="E17106" s="1" t="s">
        <v>23244</v>
      </c>
      <c r="F17106" s="2"/>
      <c r="G17106" s="2"/>
      <c r="H17106" s="2"/>
    </row>
    <row r="17107" spans="1:8" x14ac:dyDescent="0.25">
      <c r="A17107" s="1"/>
      <c r="B17107" s="1" t="s">
        <v>5782</v>
      </c>
      <c r="C17107" s="1" t="s">
        <v>5783</v>
      </c>
      <c r="D17107" s="22" t="str">
        <f>HYPERLINK("https://rhld.insurance.arkansas.gov/NPILookup?Npi=1760639678","1760639678")</f>
        <v>1760639678</v>
      </c>
      <c r="E17107" s="1" t="s">
        <v>23245</v>
      </c>
      <c r="F17107" s="2"/>
      <c r="G17107" s="2"/>
      <c r="H17107" s="2"/>
    </row>
    <row r="17108" spans="1:8" x14ac:dyDescent="0.25">
      <c r="A17108" s="1"/>
      <c r="B17108" s="1" t="s">
        <v>5782</v>
      </c>
      <c r="C17108" s="1" t="s">
        <v>5783</v>
      </c>
      <c r="D17108" s="22" t="str">
        <f>HYPERLINK("https://rhld.insurance.arkansas.gov/NPILookup?Npi=1760648679","1760648679")</f>
        <v>1760648679</v>
      </c>
      <c r="E17108" s="1" t="s">
        <v>23246</v>
      </c>
      <c r="F17108" s="2"/>
      <c r="G17108" s="2"/>
      <c r="H17108" s="2"/>
    </row>
    <row r="17109" spans="1:8" x14ac:dyDescent="0.25">
      <c r="A17109" s="1"/>
      <c r="B17109" s="1" t="s">
        <v>5782</v>
      </c>
      <c r="C17109" s="1" t="s">
        <v>5783</v>
      </c>
      <c r="D17109" s="22" t="str">
        <f>HYPERLINK("https://rhld.insurance.arkansas.gov/NPILookup?Npi=1760659031","1760659031")</f>
        <v>1760659031</v>
      </c>
      <c r="E17109" s="1" t="s">
        <v>1258</v>
      </c>
      <c r="F17109" s="2"/>
      <c r="G17109" s="2"/>
      <c r="H17109" s="2"/>
    </row>
    <row r="17110" spans="1:8" x14ac:dyDescent="0.25">
      <c r="A17110" s="1"/>
      <c r="B17110" s="1" t="s">
        <v>5782</v>
      </c>
      <c r="C17110" s="1" t="s">
        <v>5783</v>
      </c>
      <c r="D17110" s="22" t="str">
        <f>HYPERLINK("https://rhld.insurance.arkansas.gov/NPILookup?Npi=1760659718","1760659718")</f>
        <v>1760659718</v>
      </c>
      <c r="E17110" s="1" t="s">
        <v>23247</v>
      </c>
      <c r="F17110" s="2"/>
      <c r="G17110" s="2"/>
      <c r="H17110" s="2"/>
    </row>
    <row r="17111" spans="1:8" x14ac:dyDescent="0.25">
      <c r="A17111" s="1"/>
      <c r="B17111" s="1" t="s">
        <v>5782</v>
      </c>
      <c r="C17111" s="1" t="s">
        <v>5783</v>
      </c>
      <c r="D17111" s="22" t="str">
        <f>HYPERLINK("https://rhld.insurance.arkansas.gov/NPILookup?Npi=1760677272","1760677272")</f>
        <v>1760677272</v>
      </c>
      <c r="E17111" s="1" t="s">
        <v>887</v>
      </c>
      <c r="F17111" s="2"/>
      <c r="G17111" s="2"/>
      <c r="H17111" s="2"/>
    </row>
    <row r="17112" spans="1:8" x14ac:dyDescent="0.25">
      <c r="A17112" s="1"/>
      <c r="B17112" s="1" t="s">
        <v>5782</v>
      </c>
      <c r="C17112" s="1" t="s">
        <v>5783</v>
      </c>
      <c r="D17112" s="22" t="str">
        <f>HYPERLINK("https://rhld.insurance.arkansas.gov/NPILookup?Npi=1760688832","1760688832")</f>
        <v>1760688832</v>
      </c>
      <c r="E17112" s="1" t="s">
        <v>31937</v>
      </c>
      <c r="F17112" s="2"/>
      <c r="G17112" s="2"/>
      <c r="H17112" s="2"/>
    </row>
    <row r="17113" spans="1:8" x14ac:dyDescent="0.25">
      <c r="A17113" s="1"/>
      <c r="B17113" s="1" t="s">
        <v>5782</v>
      </c>
      <c r="C17113" s="1" t="s">
        <v>5783</v>
      </c>
      <c r="D17113" s="22" t="str">
        <f>HYPERLINK("https://rhld.insurance.arkansas.gov/NPILookup?Npi=1760690010","1760690010")</f>
        <v>1760690010</v>
      </c>
      <c r="E17113" s="1" t="s">
        <v>12079</v>
      </c>
      <c r="F17113" s="2"/>
      <c r="G17113" s="2"/>
      <c r="H17113" s="2"/>
    </row>
    <row r="17114" spans="1:8" x14ac:dyDescent="0.25">
      <c r="A17114" s="1"/>
      <c r="B17114" s="1" t="s">
        <v>5782</v>
      </c>
      <c r="C17114" s="1" t="s">
        <v>5783</v>
      </c>
      <c r="D17114" s="22" t="str">
        <f>HYPERLINK("https://rhld.insurance.arkansas.gov/NPILookup?Npi=1760711451","1760711451")</f>
        <v>1760711451</v>
      </c>
      <c r="E17114" s="1" t="s">
        <v>23248</v>
      </c>
      <c r="F17114" s="2"/>
      <c r="G17114" s="2"/>
      <c r="H17114" s="2"/>
    </row>
    <row r="17115" spans="1:8" x14ac:dyDescent="0.25">
      <c r="A17115" s="1"/>
      <c r="B17115" s="1" t="s">
        <v>5782</v>
      </c>
      <c r="C17115" s="1" t="s">
        <v>5783</v>
      </c>
      <c r="D17115" s="22" t="str">
        <f>HYPERLINK("https://rhld.insurance.arkansas.gov/NPILookup?Npi=1760712186","1760712186")</f>
        <v>1760712186</v>
      </c>
      <c r="E17115" s="1" t="s">
        <v>20561</v>
      </c>
      <c r="F17115" s="2"/>
      <c r="G17115" s="2"/>
      <c r="H17115" s="2"/>
    </row>
    <row r="17116" spans="1:8" x14ac:dyDescent="0.25">
      <c r="A17116" s="1"/>
      <c r="B17116" s="1" t="s">
        <v>5782</v>
      </c>
      <c r="C17116" s="1" t="s">
        <v>5783</v>
      </c>
      <c r="D17116" s="22" t="str">
        <f>HYPERLINK("https://rhld.insurance.arkansas.gov/NPILookup?Npi=1760752042","1760752042")</f>
        <v>1760752042</v>
      </c>
      <c r="E17116" s="1" t="s">
        <v>23249</v>
      </c>
      <c r="F17116" s="2"/>
      <c r="G17116" s="2"/>
      <c r="H17116" s="2"/>
    </row>
    <row r="17117" spans="1:8" x14ac:dyDescent="0.25">
      <c r="A17117" s="1"/>
      <c r="B17117" s="1" t="s">
        <v>5782</v>
      </c>
      <c r="C17117" s="1" t="s">
        <v>5783</v>
      </c>
      <c r="D17117" s="22" t="str">
        <f>HYPERLINK("https://rhld.insurance.arkansas.gov/NPILookup?Npi=1760753073","1760753073")</f>
        <v>1760753073</v>
      </c>
      <c r="E17117" s="1" t="s">
        <v>6619</v>
      </c>
      <c r="F17117" s="2"/>
      <c r="G17117" s="2"/>
      <c r="H17117" s="2"/>
    </row>
    <row r="17118" spans="1:8" x14ac:dyDescent="0.25">
      <c r="A17118" s="1"/>
      <c r="B17118" s="1" t="s">
        <v>5782</v>
      </c>
      <c r="C17118" s="1" t="s">
        <v>5783</v>
      </c>
      <c r="D17118" s="22" t="str">
        <f>HYPERLINK("https://rhld.insurance.arkansas.gov/NPILookup?Npi=1760780191","1760780191")</f>
        <v>1760780191</v>
      </c>
      <c r="E17118" s="1" t="s">
        <v>23250</v>
      </c>
      <c r="F17118" s="2"/>
      <c r="G17118" s="2"/>
      <c r="H17118" s="2"/>
    </row>
    <row r="17119" spans="1:8" x14ac:dyDescent="0.25">
      <c r="A17119" s="1"/>
      <c r="B17119" s="1" t="s">
        <v>5782</v>
      </c>
      <c r="C17119" s="1" t="s">
        <v>5783</v>
      </c>
      <c r="D17119" s="22" t="str">
        <f>HYPERLINK("https://rhld.insurance.arkansas.gov/NPILookup?Npi=1760781439","1760781439")</f>
        <v>1760781439</v>
      </c>
      <c r="E17119" s="1" t="s">
        <v>23251</v>
      </c>
      <c r="F17119" s="2"/>
      <c r="G17119" s="2"/>
      <c r="H17119" s="2"/>
    </row>
    <row r="17120" spans="1:8" x14ac:dyDescent="0.25">
      <c r="A17120" s="1"/>
      <c r="B17120" s="1" t="s">
        <v>5782</v>
      </c>
      <c r="C17120" s="1" t="s">
        <v>5783</v>
      </c>
      <c r="D17120" s="22" t="str">
        <f>HYPERLINK("https://rhld.insurance.arkansas.gov/NPILookup?Npi=1760803241","1760803241")</f>
        <v>1760803241</v>
      </c>
      <c r="E17120" s="1" t="s">
        <v>23252</v>
      </c>
      <c r="F17120" s="2"/>
      <c r="G17120" s="2"/>
      <c r="H17120" s="2"/>
    </row>
    <row r="17121" spans="1:8" x14ac:dyDescent="0.25">
      <c r="A17121" s="1"/>
      <c r="B17121" s="1" t="s">
        <v>5782</v>
      </c>
      <c r="C17121" s="1" t="s">
        <v>5783</v>
      </c>
      <c r="D17121" s="22" t="str">
        <f>HYPERLINK("https://rhld.insurance.arkansas.gov/NPILookup?Npi=1760806368","1760806368")</f>
        <v>1760806368</v>
      </c>
      <c r="E17121" s="1" t="s">
        <v>23253</v>
      </c>
      <c r="F17121" s="2"/>
      <c r="G17121" s="2"/>
      <c r="H17121" s="2"/>
    </row>
    <row r="17122" spans="1:8" x14ac:dyDescent="0.25">
      <c r="A17122" s="1"/>
      <c r="B17122" s="1" t="s">
        <v>5782</v>
      </c>
      <c r="C17122" s="1" t="s">
        <v>5783</v>
      </c>
      <c r="D17122" s="22" t="str">
        <f>HYPERLINK("https://rhld.insurance.arkansas.gov/NPILookup?Npi=1760809677","1760809677")</f>
        <v>1760809677</v>
      </c>
      <c r="E17122" s="1" t="s">
        <v>789</v>
      </c>
      <c r="F17122" s="2"/>
      <c r="G17122" s="2"/>
      <c r="H17122" s="2"/>
    </row>
    <row r="17123" spans="1:8" x14ac:dyDescent="0.25">
      <c r="A17123" s="1"/>
      <c r="B17123" s="1" t="s">
        <v>5782</v>
      </c>
      <c r="C17123" s="1" t="s">
        <v>5783</v>
      </c>
      <c r="D17123" s="22" t="str">
        <f>HYPERLINK("https://rhld.insurance.arkansas.gov/NPILookup?Npi=1760824569","1760824569")</f>
        <v>1760824569</v>
      </c>
      <c r="E17123" s="1" t="s">
        <v>2710</v>
      </c>
      <c r="F17123" s="2"/>
      <c r="G17123" s="2"/>
      <c r="H17123" s="2"/>
    </row>
    <row r="17124" spans="1:8" x14ac:dyDescent="0.25">
      <c r="A17124" s="1"/>
      <c r="B17124" s="1" t="s">
        <v>5782</v>
      </c>
      <c r="C17124" s="1" t="s">
        <v>5783</v>
      </c>
      <c r="D17124" s="22" t="str">
        <f>HYPERLINK("https://rhld.insurance.arkansas.gov/NPILookup?Npi=1760839245","1760839245")</f>
        <v>1760839245</v>
      </c>
      <c r="E17124" s="1" t="s">
        <v>6620</v>
      </c>
      <c r="F17124" s="2"/>
      <c r="G17124" s="2"/>
      <c r="H17124" s="2"/>
    </row>
    <row r="17125" spans="1:8" x14ac:dyDescent="0.25">
      <c r="A17125" s="1"/>
      <c r="B17125" s="1" t="s">
        <v>5782</v>
      </c>
      <c r="C17125" s="1" t="s">
        <v>5783</v>
      </c>
      <c r="D17125" s="22" t="str">
        <f>HYPERLINK("https://rhld.insurance.arkansas.gov/NPILookup?Npi=1760848881","1760848881")</f>
        <v>1760848881</v>
      </c>
      <c r="E17125" s="1" t="s">
        <v>23254</v>
      </c>
      <c r="F17125" s="2"/>
      <c r="G17125" s="2"/>
      <c r="H17125" s="2"/>
    </row>
    <row r="17126" spans="1:8" x14ac:dyDescent="0.25">
      <c r="A17126" s="1"/>
      <c r="B17126" s="1" t="s">
        <v>5782</v>
      </c>
      <c r="C17126" s="1" t="s">
        <v>5783</v>
      </c>
      <c r="D17126" s="22" t="str">
        <f>HYPERLINK("https://rhld.insurance.arkansas.gov/NPILookup?Npi=1760851703","1760851703")</f>
        <v>1760851703</v>
      </c>
      <c r="E17126" s="1" t="s">
        <v>6323</v>
      </c>
      <c r="F17126" s="2"/>
      <c r="G17126" s="2"/>
      <c r="H17126" s="2"/>
    </row>
    <row r="17127" spans="1:8" x14ac:dyDescent="0.25">
      <c r="A17127" s="1"/>
      <c r="B17127" s="1" t="s">
        <v>5782</v>
      </c>
      <c r="C17127" s="1" t="s">
        <v>5783</v>
      </c>
      <c r="D17127" s="22" t="str">
        <f>HYPERLINK("https://rhld.insurance.arkansas.gov/NPILookup?Npi=1760855696","1760855696")</f>
        <v>1760855696</v>
      </c>
      <c r="E17127" s="1" t="s">
        <v>6621</v>
      </c>
      <c r="F17127" s="2"/>
      <c r="G17127" s="2"/>
      <c r="H17127" s="2"/>
    </row>
    <row r="17128" spans="1:8" x14ac:dyDescent="0.25">
      <c r="A17128" s="1"/>
      <c r="B17128" s="1" t="s">
        <v>5782</v>
      </c>
      <c r="C17128" s="1" t="s">
        <v>5783</v>
      </c>
      <c r="D17128" s="22" t="str">
        <f>HYPERLINK("https://rhld.insurance.arkansas.gov/NPILookup?Npi=1760864680","1760864680")</f>
        <v>1760864680</v>
      </c>
      <c r="E17128" s="1" t="s">
        <v>23255</v>
      </c>
      <c r="F17128" s="2"/>
      <c r="G17128" s="2"/>
      <c r="H17128" s="2"/>
    </row>
    <row r="17129" spans="1:8" x14ac:dyDescent="0.25">
      <c r="A17129" s="1"/>
      <c r="B17129" s="1" t="s">
        <v>5782</v>
      </c>
      <c r="C17129" s="1" t="s">
        <v>5783</v>
      </c>
      <c r="D17129" s="22" t="str">
        <f>HYPERLINK("https://rhld.insurance.arkansas.gov/NPILookup?Npi=1760873988","1760873988")</f>
        <v>1760873988</v>
      </c>
      <c r="E17129" s="1" t="s">
        <v>1430</v>
      </c>
      <c r="F17129" s="2"/>
      <c r="G17129" s="2"/>
      <c r="H17129" s="2"/>
    </row>
    <row r="17130" spans="1:8" x14ac:dyDescent="0.25">
      <c r="A17130" s="1"/>
      <c r="B17130" s="1" t="s">
        <v>5782</v>
      </c>
      <c r="C17130" s="1" t="s">
        <v>5783</v>
      </c>
      <c r="D17130" s="22" t="str">
        <f>HYPERLINK("https://rhld.insurance.arkansas.gov/NPILookup?Npi=1760887236","1760887236")</f>
        <v>1760887236</v>
      </c>
      <c r="E17130" s="1" t="s">
        <v>23256</v>
      </c>
      <c r="F17130" s="2"/>
      <c r="G17130" s="2"/>
      <c r="H17130" s="2"/>
    </row>
    <row r="17131" spans="1:8" x14ac:dyDescent="0.25">
      <c r="A17131" s="1"/>
      <c r="B17131" s="1" t="s">
        <v>5782</v>
      </c>
      <c r="C17131" s="1" t="s">
        <v>5783</v>
      </c>
      <c r="D17131" s="22" t="str">
        <f>HYPERLINK("https://rhld.insurance.arkansas.gov/NPILookup?Npi=1760895213","1760895213")</f>
        <v>1760895213</v>
      </c>
      <c r="E17131" s="1" t="s">
        <v>3298</v>
      </c>
      <c r="F17131" s="2"/>
      <c r="G17131" s="2"/>
      <c r="H17131" s="2"/>
    </row>
    <row r="17132" spans="1:8" x14ac:dyDescent="0.25">
      <c r="A17132" s="1"/>
      <c r="B17132" s="1" t="s">
        <v>5782</v>
      </c>
      <c r="C17132" s="1" t="s">
        <v>5783</v>
      </c>
      <c r="D17132" s="22" t="str">
        <f>HYPERLINK("https://rhld.insurance.arkansas.gov/NPILookup?Npi=1760896690","1760896690")</f>
        <v>1760896690</v>
      </c>
      <c r="E17132" s="1" t="s">
        <v>12080</v>
      </c>
      <c r="F17132" s="2"/>
      <c r="G17132" s="2"/>
      <c r="H17132" s="2"/>
    </row>
    <row r="17133" spans="1:8" x14ac:dyDescent="0.25">
      <c r="A17133" s="1"/>
      <c r="B17133" s="1" t="s">
        <v>5782</v>
      </c>
      <c r="C17133" s="1" t="s">
        <v>5783</v>
      </c>
      <c r="D17133" s="22" t="str">
        <f>HYPERLINK("https://rhld.insurance.arkansas.gov/NPILookup?Npi=1760902712","1760902712")</f>
        <v>1760902712</v>
      </c>
      <c r="E17133" s="1" t="s">
        <v>3368</v>
      </c>
      <c r="F17133" s="2"/>
      <c r="G17133" s="2"/>
      <c r="H17133" s="2"/>
    </row>
    <row r="17134" spans="1:8" x14ac:dyDescent="0.25">
      <c r="A17134" s="1"/>
      <c r="B17134" s="1" t="s">
        <v>5782</v>
      </c>
      <c r="C17134" s="1" t="s">
        <v>5783</v>
      </c>
      <c r="D17134" s="22" t="str">
        <f>HYPERLINK("https://rhld.insurance.arkansas.gov/NPILookup?Npi=1760904940","1760904940")</f>
        <v>1760904940</v>
      </c>
      <c r="E17134" s="1" t="s">
        <v>6623</v>
      </c>
      <c r="F17134" s="2"/>
      <c r="G17134" s="2"/>
      <c r="H17134" s="2"/>
    </row>
    <row r="17135" spans="1:8" x14ac:dyDescent="0.25">
      <c r="A17135" s="1"/>
      <c r="B17135" s="1" t="s">
        <v>5782</v>
      </c>
      <c r="C17135" s="1" t="s">
        <v>5783</v>
      </c>
      <c r="D17135" s="22" t="str">
        <f>HYPERLINK("https://rhld.insurance.arkansas.gov/NPILookup?Npi=1760905129","1760905129")</f>
        <v>1760905129</v>
      </c>
      <c r="E17135" s="1" t="s">
        <v>23257</v>
      </c>
      <c r="F17135" s="2"/>
      <c r="G17135" s="2"/>
      <c r="H17135" s="2"/>
    </row>
    <row r="17136" spans="1:8" x14ac:dyDescent="0.25">
      <c r="A17136" s="1"/>
      <c r="B17136" s="1" t="s">
        <v>5782</v>
      </c>
      <c r="C17136" s="1" t="s">
        <v>5783</v>
      </c>
      <c r="D17136" s="22" t="str">
        <f>HYPERLINK("https://rhld.insurance.arkansas.gov/NPILookup?Npi=1760907091","1760907091")</f>
        <v>1760907091</v>
      </c>
      <c r="E17136" s="1" t="s">
        <v>1259</v>
      </c>
      <c r="F17136" s="2"/>
      <c r="G17136" s="2"/>
      <c r="H17136" s="2"/>
    </row>
    <row r="17137" spans="1:8" x14ac:dyDescent="0.25">
      <c r="A17137" s="1"/>
      <c r="B17137" s="1" t="s">
        <v>5782</v>
      </c>
      <c r="C17137" s="1" t="s">
        <v>5783</v>
      </c>
      <c r="D17137" s="22" t="str">
        <f>HYPERLINK("https://rhld.insurance.arkansas.gov/NPILookup?Npi=1760919823","1760919823")</f>
        <v>1760919823</v>
      </c>
      <c r="E17137" s="1" t="s">
        <v>6624</v>
      </c>
      <c r="F17137" s="2"/>
      <c r="G17137" s="2"/>
      <c r="H17137" s="2"/>
    </row>
    <row r="17138" spans="1:8" x14ac:dyDescent="0.25">
      <c r="A17138" s="1"/>
      <c r="B17138" s="1" t="s">
        <v>5782</v>
      </c>
      <c r="C17138" s="1" t="s">
        <v>5783</v>
      </c>
      <c r="D17138" s="22" t="str">
        <f>HYPERLINK("https://rhld.insurance.arkansas.gov/NPILookup?Npi=1760934624","1760934624")</f>
        <v>1760934624</v>
      </c>
      <c r="E17138" s="1" t="s">
        <v>4909</v>
      </c>
      <c r="F17138" s="2"/>
      <c r="G17138" s="2"/>
      <c r="H17138" s="2"/>
    </row>
    <row r="17139" spans="1:8" x14ac:dyDescent="0.25">
      <c r="A17139" s="1"/>
      <c r="B17139" s="1" t="s">
        <v>5782</v>
      </c>
      <c r="C17139" s="1" t="s">
        <v>5783</v>
      </c>
      <c r="D17139" s="22" t="str">
        <f>HYPERLINK("https://rhld.insurance.arkansas.gov/NPILookup?Npi=1760965008","1760965008")</f>
        <v>1760965008</v>
      </c>
      <c r="E17139" s="1" t="s">
        <v>313</v>
      </c>
      <c r="F17139" s="2"/>
      <c r="G17139" s="2"/>
      <c r="H17139" s="2"/>
    </row>
    <row r="17140" spans="1:8" x14ac:dyDescent="0.25">
      <c r="A17140" s="1"/>
      <c r="B17140" s="1" t="s">
        <v>5782</v>
      </c>
      <c r="C17140" s="1" t="s">
        <v>5783</v>
      </c>
      <c r="D17140" s="22" t="str">
        <f>HYPERLINK("https://rhld.insurance.arkansas.gov/NPILookup?Npi=1760968705","1760968705")</f>
        <v>1760968705</v>
      </c>
      <c r="E17140" s="1" t="s">
        <v>12081</v>
      </c>
      <c r="F17140" s="2"/>
      <c r="G17140" s="2"/>
      <c r="H17140" s="2"/>
    </row>
    <row r="17141" spans="1:8" x14ac:dyDescent="0.25">
      <c r="A17141" s="1"/>
      <c r="B17141" s="1" t="s">
        <v>5782</v>
      </c>
      <c r="C17141" s="1" t="s">
        <v>5783</v>
      </c>
      <c r="D17141" s="22" t="str">
        <f>HYPERLINK("https://rhld.insurance.arkansas.gov/NPILookup?Npi=1760998579","1760998579")</f>
        <v>1760998579</v>
      </c>
      <c r="E17141" s="1" t="s">
        <v>5463</v>
      </c>
      <c r="F17141" s="2"/>
      <c r="G17141" s="2"/>
      <c r="H17141" s="2"/>
    </row>
    <row r="17142" spans="1:8" x14ac:dyDescent="0.25">
      <c r="A17142" s="1"/>
      <c r="B17142" s="1" t="s">
        <v>5782</v>
      </c>
      <c r="C17142" s="1" t="s">
        <v>5783</v>
      </c>
      <c r="D17142" s="22" t="str">
        <f>HYPERLINK("https://rhld.insurance.arkansas.gov/NPILookup?Npi=1770002461","1770002461")</f>
        <v>1770002461</v>
      </c>
      <c r="E17142" s="1" t="s">
        <v>2507</v>
      </c>
      <c r="F17142" s="2"/>
      <c r="G17142" s="2"/>
      <c r="H17142" s="2"/>
    </row>
    <row r="17143" spans="1:8" x14ac:dyDescent="0.25">
      <c r="A17143" s="1"/>
      <c r="B17143" s="1" t="s">
        <v>5782</v>
      </c>
      <c r="C17143" s="1" t="s">
        <v>5783</v>
      </c>
      <c r="D17143" s="22" t="str">
        <f>HYPERLINK("https://rhld.insurance.arkansas.gov/NPILookup?Npi=1770015877","1770015877")</f>
        <v>1770015877</v>
      </c>
      <c r="E17143" s="1" t="s">
        <v>23258</v>
      </c>
      <c r="F17143" s="2"/>
      <c r="G17143" s="2"/>
      <c r="H17143" s="2"/>
    </row>
    <row r="17144" spans="1:8" x14ac:dyDescent="0.25">
      <c r="A17144" s="1"/>
      <c r="B17144" s="1" t="s">
        <v>5782</v>
      </c>
      <c r="C17144" s="1" t="s">
        <v>5783</v>
      </c>
      <c r="D17144" s="22" t="str">
        <f>HYPERLINK("https://rhld.insurance.arkansas.gov/NPILookup?Npi=1770030603","1770030603")</f>
        <v>1770030603</v>
      </c>
      <c r="E17144" s="1" t="s">
        <v>6625</v>
      </c>
      <c r="F17144" s="2"/>
      <c r="G17144" s="2"/>
      <c r="H17144" s="2"/>
    </row>
    <row r="17145" spans="1:8" x14ac:dyDescent="0.25">
      <c r="A17145" s="1"/>
      <c r="B17145" s="1" t="s">
        <v>5782</v>
      </c>
      <c r="C17145" s="1" t="s">
        <v>5783</v>
      </c>
      <c r="D17145" s="22" t="str">
        <f>HYPERLINK("https://rhld.insurance.arkansas.gov/NPILookup?Npi=1770032328","1770032328")</f>
        <v>1770032328</v>
      </c>
      <c r="E17145" s="1" t="s">
        <v>23259</v>
      </c>
      <c r="F17145" s="2"/>
      <c r="G17145" s="2"/>
      <c r="H17145" s="2"/>
    </row>
    <row r="17146" spans="1:8" x14ac:dyDescent="0.25">
      <c r="A17146" s="1"/>
      <c r="B17146" s="1" t="s">
        <v>5782</v>
      </c>
      <c r="C17146" s="1" t="s">
        <v>5783</v>
      </c>
      <c r="D17146" s="22" t="str">
        <f>HYPERLINK("https://rhld.insurance.arkansas.gov/NPILookup?Npi=1770056731","1770056731")</f>
        <v>1770056731</v>
      </c>
      <c r="E17146" s="1" t="s">
        <v>6043</v>
      </c>
      <c r="F17146" s="2"/>
      <c r="G17146" s="2"/>
      <c r="H17146" s="2"/>
    </row>
    <row r="17147" spans="1:8" x14ac:dyDescent="0.25">
      <c r="A17147" s="1"/>
      <c r="B17147" s="1" t="s">
        <v>5782</v>
      </c>
      <c r="C17147" s="1" t="s">
        <v>5783</v>
      </c>
      <c r="D17147" s="22" t="str">
        <f>HYPERLINK("https://rhld.insurance.arkansas.gov/NPILookup?Npi=1770059784","1770059784")</f>
        <v>1770059784</v>
      </c>
      <c r="E17147" s="1" t="s">
        <v>23260</v>
      </c>
      <c r="F17147" s="2"/>
      <c r="G17147" s="2"/>
      <c r="H17147" s="2"/>
    </row>
    <row r="17148" spans="1:8" x14ac:dyDescent="0.25">
      <c r="A17148" s="1"/>
      <c r="B17148" s="1" t="s">
        <v>5782</v>
      </c>
      <c r="C17148" s="1" t="s">
        <v>5783</v>
      </c>
      <c r="D17148" s="22" t="str">
        <f>HYPERLINK("https://rhld.insurance.arkansas.gov/NPILookup?Npi=1770076358","1770076358")</f>
        <v>1770076358</v>
      </c>
      <c r="E17148" s="1" t="s">
        <v>3369</v>
      </c>
      <c r="F17148" s="2"/>
      <c r="G17148" s="2"/>
      <c r="H17148" s="2"/>
    </row>
    <row r="17149" spans="1:8" x14ac:dyDescent="0.25">
      <c r="A17149" s="1"/>
      <c r="B17149" s="1" t="s">
        <v>5782</v>
      </c>
      <c r="C17149" s="1" t="s">
        <v>5783</v>
      </c>
      <c r="D17149" s="22" t="str">
        <f>HYPERLINK("https://rhld.insurance.arkansas.gov/NPILookup?Npi=1770114050","1770114050")</f>
        <v>1770114050</v>
      </c>
      <c r="E17149" s="1" t="s">
        <v>23261</v>
      </c>
      <c r="F17149" s="2"/>
      <c r="G17149" s="2"/>
      <c r="H17149" s="2"/>
    </row>
    <row r="17150" spans="1:8" x14ac:dyDescent="0.25">
      <c r="A17150" s="1"/>
      <c r="B17150" s="1" t="s">
        <v>5782</v>
      </c>
      <c r="C17150" s="1" t="s">
        <v>5783</v>
      </c>
      <c r="D17150" s="22" t="str">
        <f>HYPERLINK("https://rhld.insurance.arkansas.gov/NPILookup?Npi=1770116345","1770116345")</f>
        <v>1770116345</v>
      </c>
      <c r="E17150" s="1" t="s">
        <v>6626</v>
      </c>
      <c r="F17150" s="2"/>
      <c r="G17150" s="2"/>
      <c r="H17150" s="2"/>
    </row>
    <row r="17151" spans="1:8" x14ac:dyDescent="0.25">
      <c r="A17151" s="1"/>
      <c r="B17151" s="1" t="s">
        <v>5782</v>
      </c>
      <c r="C17151" s="1" t="s">
        <v>5783</v>
      </c>
      <c r="D17151" s="22" t="str">
        <f>HYPERLINK("https://rhld.insurance.arkansas.gov/NPILookup?Npi=1770126369","1770126369")</f>
        <v>1770126369</v>
      </c>
      <c r="E17151" s="1" t="s">
        <v>6627</v>
      </c>
      <c r="F17151" s="2"/>
      <c r="G17151" s="2"/>
      <c r="H17151" s="2"/>
    </row>
    <row r="17152" spans="1:8" x14ac:dyDescent="0.25">
      <c r="A17152" s="1"/>
      <c r="B17152" s="1" t="s">
        <v>5782</v>
      </c>
      <c r="C17152" s="1" t="s">
        <v>5783</v>
      </c>
      <c r="D17152" s="22" t="str">
        <f>HYPERLINK("https://rhld.insurance.arkansas.gov/NPILookup?Npi=1770134439","1770134439")</f>
        <v>1770134439</v>
      </c>
      <c r="E17152" s="1" t="s">
        <v>12082</v>
      </c>
      <c r="F17152" s="2"/>
      <c r="G17152" s="2"/>
      <c r="H17152" s="2"/>
    </row>
    <row r="17153" spans="1:8" x14ac:dyDescent="0.25">
      <c r="A17153" s="1"/>
      <c r="B17153" s="1" t="s">
        <v>5782</v>
      </c>
      <c r="C17153" s="1" t="s">
        <v>5783</v>
      </c>
      <c r="D17153" s="22" t="str">
        <f>HYPERLINK("https://rhld.insurance.arkansas.gov/NPILookup?Npi=1770136095","1770136095")</f>
        <v>1770136095</v>
      </c>
      <c r="E17153" s="1" t="s">
        <v>5893</v>
      </c>
      <c r="F17153" s="2"/>
      <c r="G17153" s="2"/>
      <c r="H17153" s="2"/>
    </row>
    <row r="17154" spans="1:8" x14ac:dyDescent="0.25">
      <c r="A17154" s="1"/>
      <c r="B17154" s="1" t="s">
        <v>5782</v>
      </c>
      <c r="C17154" s="1" t="s">
        <v>5783</v>
      </c>
      <c r="D17154" s="22" t="str">
        <f>HYPERLINK("https://rhld.insurance.arkansas.gov/NPILookup?Npi=1770158586","1770158586")</f>
        <v>1770158586</v>
      </c>
      <c r="E17154" s="1" t="s">
        <v>23262</v>
      </c>
      <c r="F17154" s="2"/>
      <c r="G17154" s="2"/>
      <c r="H17154" s="2"/>
    </row>
    <row r="17155" spans="1:8" x14ac:dyDescent="0.25">
      <c r="A17155" s="1"/>
      <c r="B17155" s="1" t="s">
        <v>5782</v>
      </c>
      <c r="C17155" s="1" t="s">
        <v>5783</v>
      </c>
      <c r="D17155" s="22" t="str">
        <f>HYPERLINK("https://rhld.insurance.arkansas.gov/NPILookup?Npi=1770169385","1770169385")</f>
        <v>1770169385</v>
      </c>
      <c r="E17155" s="1" t="s">
        <v>31938</v>
      </c>
      <c r="F17155" s="2"/>
      <c r="G17155" s="2"/>
      <c r="H17155" s="2"/>
    </row>
    <row r="17156" spans="1:8" x14ac:dyDescent="0.25">
      <c r="A17156" s="1"/>
      <c r="B17156" s="1" t="s">
        <v>5782</v>
      </c>
      <c r="C17156" s="1" t="s">
        <v>5783</v>
      </c>
      <c r="D17156" s="22" t="str">
        <f>HYPERLINK("https://rhld.insurance.arkansas.gov/NPILookup?Npi=1770190597","1770190597")</f>
        <v>1770190597</v>
      </c>
      <c r="E17156" s="1" t="s">
        <v>23263</v>
      </c>
      <c r="F17156" s="2"/>
      <c r="G17156" s="2"/>
      <c r="H17156" s="2"/>
    </row>
    <row r="17157" spans="1:8" x14ac:dyDescent="0.25">
      <c r="A17157" s="1"/>
      <c r="B17157" s="1" t="s">
        <v>5782</v>
      </c>
      <c r="C17157" s="1" t="s">
        <v>5783</v>
      </c>
      <c r="D17157" s="22" t="str">
        <f>HYPERLINK("https://rhld.insurance.arkansas.gov/NPILookup?Npi=1770212219","1770212219")</f>
        <v>1770212219</v>
      </c>
      <c r="E17157" s="1" t="s">
        <v>6628</v>
      </c>
      <c r="F17157" s="2"/>
      <c r="G17157" s="2"/>
      <c r="H17157" s="2"/>
    </row>
    <row r="17158" spans="1:8" x14ac:dyDescent="0.25">
      <c r="A17158" s="1"/>
      <c r="B17158" s="1" t="s">
        <v>5782</v>
      </c>
      <c r="C17158" s="1" t="s">
        <v>5783</v>
      </c>
      <c r="D17158" s="22" t="str">
        <f>HYPERLINK("https://rhld.insurance.arkansas.gov/NPILookup?Npi=1770216103","1770216103")</f>
        <v>1770216103</v>
      </c>
      <c r="E17158" s="1" t="s">
        <v>23264</v>
      </c>
      <c r="F17158" s="2"/>
      <c r="G17158" s="2"/>
      <c r="H17158" s="2"/>
    </row>
    <row r="17159" spans="1:8" x14ac:dyDescent="0.25">
      <c r="A17159" s="1"/>
      <c r="B17159" s="1" t="s">
        <v>5782</v>
      </c>
      <c r="C17159" s="1" t="s">
        <v>5783</v>
      </c>
      <c r="D17159" s="22" t="str">
        <f>HYPERLINK("https://rhld.insurance.arkansas.gov/NPILookup?Npi=1770216202","1770216202")</f>
        <v>1770216202</v>
      </c>
      <c r="E17159" s="1" t="s">
        <v>2410</v>
      </c>
      <c r="F17159" s="2"/>
      <c r="G17159" s="2"/>
      <c r="H17159" s="2"/>
    </row>
    <row r="17160" spans="1:8" x14ac:dyDescent="0.25">
      <c r="A17160" s="1"/>
      <c r="B17160" s="1" t="s">
        <v>5782</v>
      </c>
      <c r="C17160" s="1" t="s">
        <v>5783</v>
      </c>
      <c r="D17160" s="22" t="str">
        <f>HYPERLINK("https://rhld.insurance.arkansas.gov/NPILookup?Npi=1770217242","1770217242")</f>
        <v>1770217242</v>
      </c>
      <c r="E17160" s="1" t="s">
        <v>31939</v>
      </c>
      <c r="F17160" s="2"/>
      <c r="G17160" s="2"/>
      <c r="H17160" s="2"/>
    </row>
    <row r="17161" spans="1:8" x14ac:dyDescent="0.25">
      <c r="A17161" s="1"/>
      <c r="B17161" s="1" t="s">
        <v>5782</v>
      </c>
      <c r="C17161" s="1" t="s">
        <v>5783</v>
      </c>
      <c r="D17161" s="22" t="str">
        <f>HYPERLINK("https://rhld.insurance.arkansas.gov/NPILookup?Npi=1770234957","1770234957")</f>
        <v>1770234957</v>
      </c>
      <c r="E17161" s="1" t="s">
        <v>12083</v>
      </c>
      <c r="F17161" s="2"/>
      <c r="G17161" s="2"/>
      <c r="H17161" s="2"/>
    </row>
    <row r="17162" spans="1:8" x14ac:dyDescent="0.25">
      <c r="A17162" s="1"/>
      <c r="B17162" s="1" t="s">
        <v>5782</v>
      </c>
      <c r="C17162" s="1" t="s">
        <v>5783</v>
      </c>
      <c r="D17162" s="22" t="str">
        <f>HYPERLINK("https://rhld.insurance.arkansas.gov/NPILookup?Npi=1770255473","1770255473")</f>
        <v>1770255473</v>
      </c>
      <c r="E17162" s="1" t="s">
        <v>23265</v>
      </c>
      <c r="F17162" s="2"/>
      <c r="G17162" s="2"/>
      <c r="H17162" s="2"/>
    </row>
    <row r="17163" spans="1:8" x14ac:dyDescent="0.25">
      <c r="A17163" s="1"/>
      <c r="B17163" s="1" t="s">
        <v>5782</v>
      </c>
      <c r="C17163" s="1" t="s">
        <v>5783</v>
      </c>
      <c r="D17163" s="22" t="str">
        <f>HYPERLINK("https://rhld.insurance.arkansas.gov/NPILookup?Npi=1770259491","1770259491")</f>
        <v>1770259491</v>
      </c>
      <c r="E17163" s="1" t="s">
        <v>23266</v>
      </c>
      <c r="F17163" s="2"/>
      <c r="G17163" s="2"/>
      <c r="H17163" s="2"/>
    </row>
    <row r="17164" spans="1:8" x14ac:dyDescent="0.25">
      <c r="A17164" s="1"/>
      <c r="B17164" s="1" t="s">
        <v>5782</v>
      </c>
      <c r="C17164" s="1" t="s">
        <v>5783</v>
      </c>
      <c r="D17164" s="22" t="str">
        <f>HYPERLINK("https://rhld.insurance.arkansas.gov/NPILookup?Npi=1770264251","1770264251")</f>
        <v>1770264251</v>
      </c>
      <c r="E17164" s="1" t="s">
        <v>6243</v>
      </c>
      <c r="F17164" s="2"/>
      <c r="G17164" s="2"/>
      <c r="H17164" s="2"/>
    </row>
    <row r="17165" spans="1:8" x14ac:dyDescent="0.25">
      <c r="A17165" s="1"/>
      <c r="B17165" s="1" t="s">
        <v>5782</v>
      </c>
      <c r="C17165" s="1" t="s">
        <v>5783</v>
      </c>
      <c r="D17165" s="22" t="str">
        <f>HYPERLINK("https://rhld.insurance.arkansas.gov/NPILookup?Npi=1770288391","1770288391")</f>
        <v>1770288391</v>
      </c>
      <c r="E17165" s="1" t="s">
        <v>12084</v>
      </c>
      <c r="F17165" s="2"/>
      <c r="G17165" s="2"/>
      <c r="H17165" s="2"/>
    </row>
    <row r="17166" spans="1:8" x14ac:dyDescent="0.25">
      <c r="A17166" s="1"/>
      <c r="B17166" s="1" t="s">
        <v>5782</v>
      </c>
      <c r="C17166" s="1" t="s">
        <v>5783</v>
      </c>
      <c r="D17166" s="22" t="str">
        <f>HYPERLINK("https://rhld.insurance.arkansas.gov/NPILookup?Npi=1770303745","1770303745")</f>
        <v>1770303745</v>
      </c>
      <c r="E17166" s="1" t="s">
        <v>31940</v>
      </c>
      <c r="F17166" s="2"/>
      <c r="G17166" s="2"/>
      <c r="H17166" s="2"/>
    </row>
    <row r="17167" spans="1:8" x14ac:dyDescent="0.25">
      <c r="A17167" s="1"/>
      <c r="B17167" s="1" t="s">
        <v>5782</v>
      </c>
      <c r="C17167" s="1" t="s">
        <v>5783</v>
      </c>
      <c r="D17167" s="22" t="str">
        <f>HYPERLINK("https://rhld.insurance.arkansas.gov/NPILookup?Npi=1770310625","1770310625")</f>
        <v>1770310625</v>
      </c>
      <c r="E17167" s="1" t="s">
        <v>23267</v>
      </c>
      <c r="F17167" s="2"/>
      <c r="G17167" s="2"/>
      <c r="H17167" s="2"/>
    </row>
    <row r="17168" spans="1:8" x14ac:dyDescent="0.25">
      <c r="A17168" s="1"/>
      <c r="B17168" s="1" t="s">
        <v>5782</v>
      </c>
      <c r="C17168" s="1" t="s">
        <v>5783</v>
      </c>
      <c r="D17168" s="22" t="str">
        <f>HYPERLINK("https://rhld.insurance.arkansas.gov/NPILookup?Npi=1770349946","1770349946")</f>
        <v>1770349946</v>
      </c>
      <c r="E17168" s="1" t="s">
        <v>23268</v>
      </c>
      <c r="F17168" s="2"/>
      <c r="G17168" s="2"/>
      <c r="H17168" s="2"/>
    </row>
    <row r="17169" spans="1:8" x14ac:dyDescent="0.25">
      <c r="A17169" s="1"/>
      <c r="B17169" s="1" t="s">
        <v>5782</v>
      </c>
      <c r="C17169" s="1" t="s">
        <v>5783</v>
      </c>
      <c r="D17169" s="22" t="str">
        <f>HYPERLINK("https://rhld.insurance.arkansas.gov/NPILookup?Npi=1770356743","1770356743")</f>
        <v>1770356743</v>
      </c>
      <c r="E17169" s="1" t="s">
        <v>6629</v>
      </c>
      <c r="F17169" s="2"/>
      <c r="G17169" s="2"/>
      <c r="H17169" s="2"/>
    </row>
    <row r="17170" spans="1:8" x14ac:dyDescent="0.25">
      <c r="A17170" s="1"/>
      <c r="B17170" s="1" t="s">
        <v>5782</v>
      </c>
      <c r="C17170" s="1" t="s">
        <v>5783</v>
      </c>
      <c r="D17170" s="22" t="str">
        <f>HYPERLINK("https://rhld.insurance.arkansas.gov/NPILookup?Npi=1770572935","1770572935")</f>
        <v>1770572935</v>
      </c>
      <c r="E17170" s="1" t="s">
        <v>23108</v>
      </c>
      <c r="F17170" s="2"/>
      <c r="G17170" s="2"/>
      <c r="H17170" s="2"/>
    </row>
    <row r="17171" spans="1:8" x14ac:dyDescent="0.25">
      <c r="A17171" s="1"/>
      <c r="B17171" s="1" t="s">
        <v>5782</v>
      </c>
      <c r="C17171" s="1" t="s">
        <v>5783</v>
      </c>
      <c r="D17171" s="22" t="str">
        <f>HYPERLINK("https://rhld.insurance.arkansas.gov/NPILookup?Npi=1770605057","1770605057")</f>
        <v>1770605057</v>
      </c>
      <c r="E17171" s="1" t="s">
        <v>12085</v>
      </c>
      <c r="F17171" s="2"/>
      <c r="G17171" s="2"/>
      <c r="H17171" s="2"/>
    </row>
    <row r="17172" spans="1:8" x14ac:dyDescent="0.25">
      <c r="A17172" s="1"/>
      <c r="B17172" s="1" t="s">
        <v>5782</v>
      </c>
      <c r="C17172" s="1" t="s">
        <v>5783</v>
      </c>
      <c r="D17172" s="22" t="str">
        <f>HYPERLINK("https://rhld.insurance.arkansas.gov/NPILookup?Npi=1770626145","1770626145")</f>
        <v>1770626145</v>
      </c>
      <c r="E17172" s="1" t="s">
        <v>23269</v>
      </c>
      <c r="F17172" s="2"/>
      <c r="G17172" s="2"/>
      <c r="H17172" s="2"/>
    </row>
    <row r="17173" spans="1:8" x14ac:dyDescent="0.25">
      <c r="A17173" s="1"/>
      <c r="B17173" s="1" t="s">
        <v>5782</v>
      </c>
      <c r="C17173" s="1" t="s">
        <v>5783</v>
      </c>
      <c r="D17173" s="22" t="str">
        <f>HYPERLINK("https://rhld.insurance.arkansas.gov/NPILookup?Npi=1770627986","1770627986")</f>
        <v>1770627986</v>
      </c>
      <c r="E17173" s="1" t="s">
        <v>12086</v>
      </c>
      <c r="F17173" s="2"/>
      <c r="G17173" s="2"/>
      <c r="H17173" s="2"/>
    </row>
    <row r="17174" spans="1:8" x14ac:dyDescent="0.25">
      <c r="A17174" s="1"/>
      <c r="B17174" s="1" t="s">
        <v>5782</v>
      </c>
      <c r="C17174" s="1" t="s">
        <v>5783</v>
      </c>
      <c r="D17174" s="22" t="str">
        <f>HYPERLINK("https://rhld.insurance.arkansas.gov/NPILookup?Npi=1770638355","1770638355")</f>
        <v>1770638355</v>
      </c>
      <c r="E17174" s="1" t="s">
        <v>23270</v>
      </c>
      <c r="F17174" s="2"/>
      <c r="G17174" s="2"/>
      <c r="H17174" s="2"/>
    </row>
    <row r="17175" spans="1:8" x14ac:dyDescent="0.25">
      <c r="A17175" s="1"/>
      <c r="B17175" s="1" t="s">
        <v>5782</v>
      </c>
      <c r="C17175" s="1" t="s">
        <v>5783</v>
      </c>
      <c r="D17175" s="22" t="str">
        <f>HYPERLINK("https://rhld.insurance.arkansas.gov/NPILookup?Npi=1770667859","1770667859")</f>
        <v>1770667859</v>
      </c>
      <c r="E17175" s="1" t="s">
        <v>23271</v>
      </c>
      <c r="F17175" s="2"/>
      <c r="G17175" s="2"/>
      <c r="H17175" s="2"/>
    </row>
    <row r="17176" spans="1:8" x14ac:dyDescent="0.25">
      <c r="A17176" s="1"/>
      <c r="B17176" s="1" t="s">
        <v>5782</v>
      </c>
      <c r="C17176" s="1" t="s">
        <v>5783</v>
      </c>
      <c r="D17176" s="22" t="str">
        <f>HYPERLINK("https://rhld.insurance.arkansas.gov/NPILookup?Npi=1770678518","1770678518")</f>
        <v>1770678518</v>
      </c>
      <c r="E17176" s="1" t="s">
        <v>21143</v>
      </c>
      <c r="F17176" s="2"/>
      <c r="G17176" s="2"/>
      <c r="H17176" s="2"/>
    </row>
    <row r="17177" spans="1:8" x14ac:dyDescent="0.25">
      <c r="A17177" s="1"/>
      <c r="B17177" s="1" t="s">
        <v>5782</v>
      </c>
      <c r="C17177" s="1" t="s">
        <v>5783</v>
      </c>
      <c r="D17177" s="22" t="str">
        <f>HYPERLINK("https://rhld.insurance.arkansas.gov/NPILookup?Npi=1770686750","1770686750")</f>
        <v>1770686750</v>
      </c>
      <c r="E17177" s="1" t="s">
        <v>23272</v>
      </c>
      <c r="F17177" s="2"/>
      <c r="G17177" s="2"/>
      <c r="H17177" s="2"/>
    </row>
    <row r="17178" spans="1:8" x14ac:dyDescent="0.25">
      <c r="A17178" s="1"/>
      <c r="B17178" s="1" t="s">
        <v>5782</v>
      </c>
      <c r="C17178" s="1" t="s">
        <v>5783</v>
      </c>
      <c r="D17178" s="22" t="str">
        <f>HYPERLINK("https://rhld.insurance.arkansas.gov/NPILookup?Npi=1770698276","1770698276")</f>
        <v>1770698276</v>
      </c>
      <c r="E17178" s="1" t="s">
        <v>23273</v>
      </c>
      <c r="F17178" s="2"/>
      <c r="G17178" s="2"/>
      <c r="H17178" s="2"/>
    </row>
    <row r="17179" spans="1:8" x14ac:dyDescent="0.25">
      <c r="A17179" s="1"/>
      <c r="B17179" s="1" t="s">
        <v>5782</v>
      </c>
      <c r="C17179" s="1" t="s">
        <v>5783</v>
      </c>
      <c r="D17179" s="22" t="str">
        <f>HYPERLINK("https://rhld.insurance.arkansas.gov/NPILookup?Npi=1770701997","1770701997")</f>
        <v>1770701997</v>
      </c>
      <c r="E17179" s="1" t="s">
        <v>3370</v>
      </c>
      <c r="F17179" s="2"/>
      <c r="G17179" s="2"/>
      <c r="H17179" s="2"/>
    </row>
    <row r="17180" spans="1:8" x14ac:dyDescent="0.25">
      <c r="A17180" s="1"/>
      <c r="B17180" s="1" t="s">
        <v>5782</v>
      </c>
      <c r="C17180" s="1" t="s">
        <v>5783</v>
      </c>
      <c r="D17180" s="22" t="str">
        <f>HYPERLINK("https://rhld.insurance.arkansas.gov/NPILookup?Npi=1770710774","1770710774")</f>
        <v>1770710774</v>
      </c>
      <c r="E17180" s="1" t="s">
        <v>31941</v>
      </c>
      <c r="F17180" s="2"/>
      <c r="G17180" s="2"/>
      <c r="H17180" s="2"/>
    </row>
    <row r="17181" spans="1:8" x14ac:dyDescent="0.25">
      <c r="A17181" s="1"/>
      <c r="B17181" s="1" t="s">
        <v>5782</v>
      </c>
      <c r="C17181" s="1" t="s">
        <v>5783</v>
      </c>
      <c r="D17181" s="22" t="str">
        <f>HYPERLINK("https://rhld.insurance.arkansas.gov/NPILookup?Npi=1770735839","1770735839")</f>
        <v>1770735839</v>
      </c>
      <c r="E17181" s="1" t="s">
        <v>1060</v>
      </c>
      <c r="F17181" s="2"/>
      <c r="G17181" s="2"/>
      <c r="H17181" s="2"/>
    </row>
    <row r="17182" spans="1:8" x14ac:dyDescent="0.25">
      <c r="A17182" s="1"/>
      <c r="B17182" s="1" t="s">
        <v>5782</v>
      </c>
      <c r="C17182" s="1" t="s">
        <v>5783</v>
      </c>
      <c r="D17182" s="22" t="str">
        <f>HYPERLINK("https://rhld.insurance.arkansas.gov/NPILookup?Npi=1770736605","1770736605")</f>
        <v>1770736605</v>
      </c>
      <c r="E17182" s="1" t="s">
        <v>12088</v>
      </c>
      <c r="F17182" s="2"/>
      <c r="G17182" s="2"/>
      <c r="H17182" s="2"/>
    </row>
    <row r="17183" spans="1:8" x14ac:dyDescent="0.25">
      <c r="A17183" s="1"/>
      <c r="B17183" s="1" t="s">
        <v>5782</v>
      </c>
      <c r="C17183" s="1" t="s">
        <v>5783</v>
      </c>
      <c r="D17183" s="22" t="str">
        <f>HYPERLINK("https://rhld.insurance.arkansas.gov/NPILookup?Npi=1770751372","1770751372")</f>
        <v>1770751372</v>
      </c>
      <c r="E17183" s="1" t="s">
        <v>23274</v>
      </c>
      <c r="F17183" s="2"/>
      <c r="G17183" s="2"/>
      <c r="H17183" s="2"/>
    </row>
    <row r="17184" spans="1:8" x14ac:dyDescent="0.25">
      <c r="A17184" s="1"/>
      <c r="B17184" s="1" t="s">
        <v>5782</v>
      </c>
      <c r="C17184" s="1" t="s">
        <v>5783</v>
      </c>
      <c r="D17184" s="22" t="str">
        <f>HYPERLINK("https://rhld.insurance.arkansas.gov/NPILookup?Npi=1770767428","1770767428")</f>
        <v>1770767428</v>
      </c>
      <c r="E17184" s="1" t="s">
        <v>23275</v>
      </c>
      <c r="F17184" s="2"/>
      <c r="G17184" s="2"/>
      <c r="H17184" s="2"/>
    </row>
    <row r="17185" spans="1:8" x14ac:dyDescent="0.25">
      <c r="A17185" s="1"/>
      <c r="B17185" s="1" t="s">
        <v>5782</v>
      </c>
      <c r="C17185" s="1" t="s">
        <v>5783</v>
      </c>
      <c r="D17185" s="22" t="str">
        <f>HYPERLINK("https://rhld.insurance.arkansas.gov/NPILookup?Npi=1770800492","1770800492")</f>
        <v>1770800492</v>
      </c>
      <c r="E17185" s="1" t="s">
        <v>3371</v>
      </c>
      <c r="F17185" s="2"/>
      <c r="G17185" s="2"/>
      <c r="H17185" s="2"/>
    </row>
    <row r="17186" spans="1:8" x14ac:dyDescent="0.25">
      <c r="A17186" s="1"/>
      <c r="B17186" s="1" t="s">
        <v>5782</v>
      </c>
      <c r="C17186" s="1" t="s">
        <v>5783</v>
      </c>
      <c r="D17186" s="22" t="str">
        <f>HYPERLINK("https://rhld.insurance.arkansas.gov/NPILookup?Npi=1770812836","1770812836")</f>
        <v>1770812836</v>
      </c>
      <c r="E17186" s="1" t="s">
        <v>31942</v>
      </c>
      <c r="F17186" s="2"/>
      <c r="G17186" s="2"/>
      <c r="H17186" s="2"/>
    </row>
    <row r="17187" spans="1:8" x14ac:dyDescent="0.25">
      <c r="A17187" s="1"/>
      <c r="B17187" s="1" t="s">
        <v>5782</v>
      </c>
      <c r="C17187" s="1" t="s">
        <v>5783</v>
      </c>
      <c r="D17187" s="22" t="str">
        <f>HYPERLINK("https://rhld.insurance.arkansas.gov/NPILookup?Npi=1770834228","1770834228")</f>
        <v>1770834228</v>
      </c>
      <c r="E17187" s="1" t="s">
        <v>1600</v>
      </c>
      <c r="F17187" s="2"/>
      <c r="G17187" s="2"/>
      <c r="H17187" s="2"/>
    </row>
    <row r="17188" spans="1:8" x14ac:dyDescent="0.25">
      <c r="A17188" s="1"/>
      <c r="B17188" s="1" t="s">
        <v>5782</v>
      </c>
      <c r="C17188" s="1" t="s">
        <v>5783</v>
      </c>
      <c r="D17188" s="22" t="str">
        <f>HYPERLINK("https://rhld.insurance.arkansas.gov/NPILookup?Npi=1770835068","1770835068")</f>
        <v>1770835068</v>
      </c>
      <c r="E17188" s="1" t="s">
        <v>23276</v>
      </c>
      <c r="F17188" s="2"/>
      <c r="G17188" s="2"/>
      <c r="H17188" s="2"/>
    </row>
    <row r="17189" spans="1:8" x14ac:dyDescent="0.25">
      <c r="A17189" s="1"/>
      <c r="B17189" s="1" t="s">
        <v>5782</v>
      </c>
      <c r="C17189" s="1" t="s">
        <v>5783</v>
      </c>
      <c r="D17189" s="22" t="str">
        <f>HYPERLINK("https://rhld.insurance.arkansas.gov/NPILookup?Npi=1770836694","1770836694")</f>
        <v>1770836694</v>
      </c>
      <c r="E17189" s="1" t="s">
        <v>23277</v>
      </c>
      <c r="F17189" s="2"/>
      <c r="G17189" s="2"/>
      <c r="H17189" s="2"/>
    </row>
    <row r="17190" spans="1:8" x14ac:dyDescent="0.25">
      <c r="A17190" s="1"/>
      <c r="B17190" s="1" t="s">
        <v>5782</v>
      </c>
      <c r="C17190" s="1" t="s">
        <v>5783</v>
      </c>
      <c r="D17190" s="22" t="str">
        <f>HYPERLINK("https://rhld.insurance.arkansas.gov/NPILookup?Npi=1770838153","1770838153")</f>
        <v>1770838153</v>
      </c>
      <c r="E17190" s="1" t="s">
        <v>23278</v>
      </c>
      <c r="F17190" s="2"/>
      <c r="G17190" s="2"/>
      <c r="H17190" s="2"/>
    </row>
    <row r="17191" spans="1:8" x14ac:dyDescent="0.25">
      <c r="A17191" s="1"/>
      <c r="B17191" s="1" t="s">
        <v>5782</v>
      </c>
      <c r="C17191" s="1" t="s">
        <v>5783</v>
      </c>
      <c r="D17191" s="22" t="str">
        <f>HYPERLINK("https://rhld.insurance.arkansas.gov/NPILookup?Npi=1770845646","1770845646")</f>
        <v>1770845646</v>
      </c>
      <c r="E17191" s="1" t="s">
        <v>12089</v>
      </c>
      <c r="F17191" s="2"/>
      <c r="G17191" s="2"/>
      <c r="H17191" s="2"/>
    </row>
    <row r="17192" spans="1:8" x14ac:dyDescent="0.25">
      <c r="A17192" s="1"/>
      <c r="B17192" s="1" t="s">
        <v>5782</v>
      </c>
      <c r="C17192" s="1" t="s">
        <v>5783</v>
      </c>
      <c r="D17192" s="22" t="str">
        <f>HYPERLINK("https://rhld.insurance.arkansas.gov/NPILookup?Npi=1770846859","1770846859")</f>
        <v>1770846859</v>
      </c>
      <c r="E17192" s="1" t="s">
        <v>23279</v>
      </c>
      <c r="F17192" s="2"/>
      <c r="G17192" s="2"/>
      <c r="H17192" s="2"/>
    </row>
    <row r="17193" spans="1:8" x14ac:dyDescent="0.25">
      <c r="A17193" s="1"/>
      <c r="B17193" s="1" t="s">
        <v>5782</v>
      </c>
      <c r="C17193" s="1" t="s">
        <v>5783</v>
      </c>
      <c r="D17193" s="22" t="str">
        <f>HYPERLINK("https://rhld.insurance.arkansas.gov/NPILookup?Npi=1770847022","1770847022")</f>
        <v>1770847022</v>
      </c>
      <c r="E17193" s="1" t="s">
        <v>23280</v>
      </c>
      <c r="F17193" s="2"/>
      <c r="G17193" s="2"/>
      <c r="H17193" s="2"/>
    </row>
    <row r="17194" spans="1:8" x14ac:dyDescent="0.25">
      <c r="A17194" s="1"/>
      <c r="B17194" s="1" t="s">
        <v>5782</v>
      </c>
      <c r="C17194" s="1" t="s">
        <v>5783</v>
      </c>
      <c r="D17194" s="22" t="str">
        <f>HYPERLINK("https://rhld.insurance.arkansas.gov/NPILookup?Npi=1770848798","1770848798")</f>
        <v>1770848798</v>
      </c>
      <c r="E17194" s="1" t="s">
        <v>1887</v>
      </c>
      <c r="F17194" s="2"/>
      <c r="G17194" s="2"/>
      <c r="H17194" s="2"/>
    </row>
    <row r="17195" spans="1:8" x14ac:dyDescent="0.25">
      <c r="A17195" s="1"/>
      <c r="B17195" s="1" t="s">
        <v>5782</v>
      </c>
      <c r="C17195" s="1" t="s">
        <v>5783</v>
      </c>
      <c r="D17195" s="22" t="str">
        <f>HYPERLINK("https://rhld.insurance.arkansas.gov/NPILookup?Npi=1770860223","1770860223")</f>
        <v>1770860223</v>
      </c>
      <c r="E17195" s="1" t="s">
        <v>327</v>
      </c>
      <c r="F17195" s="2"/>
      <c r="G17195" s="2"/>
      <c r="H17195" s="2"/>
    </row>
    <row r="17196" spans="1:8" x14ac:dyDescent="0.25">
      <c r="A17196" s="1"/>
      <c r="B17196" s="1" t="s">
        <v>5782</v>
      </c>
      <c r="C17196" s="1" t="s">
        <v>5783</v>
      </c>
      <c r="D17196" s="22" t="str">
        <f>HYPERLINK("https://rhld.insurance.arkansas.gov/NPILookup?Npi=1770867533","1770867533")</f>
        <v>1770867533</v>
      </c>
      <c r="E17196" s="1" t="s">
        <v>3383</v>
      </c>
      <c r="F17196" s="2"/>
      <c r="G17196" s="2"/>
      <c r="H17196" s="2"/>
    </row>
    <row r="17197" spans="1:8" x14ac:dyDescent="0.25">
      <c r="A17197" s="1"/>
      <c r="B17197" s="1" t="s">
        <v>5782</v>
      </c>
      <c r="C17197" s="1" t="s">
        <v>5783</v>
      </c>
      <c r="D17197" s="22" t="str">
        <f>HYPERLINK("https://rhld.insurance.arkansas.gov/NPILookup?Npi=1770869703","1770869703")</f>
        <v>1770869703</v>
      </c>
      <c r="E17197" s="1" t="s">
        <v>23281</v>
      </c>
      <c r="F17197" s="2"/>
      <c r="G17197" s="2"/>
      <c r="H17197" s="2"/>
    </row>
    <row r="17198" spans="1:8" x14ac:dyDescent="0.25">
      <c r="A17198" s="1"/>
      <c r="B17198" s="1" t="s">
        <v>5782</v>
      </c>
      <c r="C17198" s="1" t="s">
        <v>5783</v>
      </c>
      <c r="D17198" s="22" t="str">
        <f>HYPERLINK("https://rhld.insurance.arkansas.gov/NPILookup?Npi=1770879074","1770879074")</f>
        <v>1770879074</v>
      </c>
      <c r="E17198" s="1" t="s">
        <v>6630</v>
      </c>
      <c r="F17198" s="2"/>
      <c r="G17198" s="2"/>
      <c r="H17198" s="2"/>
    </row>
    <row r="17199" spans="1:8" x14ac:dyDescent="0.25">
      <c r="A17199" s="1"/>
      <c r="B17199" s="1" t="s">
        <v>5782</v>
      </c>
      <c r="C17199" s="1" t="s">
        <v>5783</v>
      </c>
      <c r="D17199" s="22" t="str">
        <f>HYPERLINK("https://rhld.insurance.arkansas.gov/NPILookup?Npi=1770886228","1770886228")</f>
        <v>1770886228</v>
      </c>
      <c r="E17199" s="1" t="s">
        <v>339</v>
      </c>
      <c r="F17199" s="2"/>
      <c r="G17199" s="2"/>
      <c r="H17199" s="2"/>
    </row>
    <row r="17200" spans="1:8" x14ac:dyDescent="0.25">
      <c r="A17200" s="1"/>
      <c r="B17200" s="1" t="s">
        <v>5782</v>
      </c>
      <c r="C17200" s="1" t="s">
        <v>5783</v>
      </c>
      <c r="D17200" s="22" t="str">
        <f>HYPERLINK("https://rhld.insurance.arkansas.gov/NPILookup?Npi=1770912586","1770912586")</f>
        <v>1770912586</v>
      </c>
      <c r="E17200" s="1" t="s">
        <v>6631</v>
      </c>
      <c r="F17200" s="2"/>
      <c r="G17200" s="2"/>
      <c r="H17200" s="2"/>
    </row>
    <row r="17201" spans="1:8" x14ac:dyDescent="0.25">
      <c r="A17201" s="1"/>
      <c r="B17201" s="1" t="s">
        <v>5782</v>
      </c>
      <c r="C17201" s="1" t="s">
        <v>5783</v>
      </c>
      <c r="D17201" s="22" t="str">
        <f>HYPERLINK("https://rhld.insurance.arkansas.gov/NPILookup?Npi=1770953366","1770953366")</f>
        <v>1770953366</v>
      </c>
      <c r="E17201" s="1" t="s">
        <v>23282</v>
      </c>
      <c r="F17201" s="2"/>
      <c r="G17201" s="2"/>
      <c r="H17201" s="2"/>
    </row>
    <row r="17202" spans="1:8" x14ac:dyDescent="0.25">
      <c r="A17202" s="1"/>
      <c r="B17202" s="1" t="s">
        <v>5782</v>
      </c>
      <c r="C17202" s="1" t="s">
        <v>5783</v>
      </c>
      <c r="D17202" s="22" t="str">
        <f>HYPERLINK("https://rhld.insurance.arkansas.gov/NPILookup?Npi=1770958944","1770958944")</f>
        <v>1770958944</v>
      </c>
      <c r="E17202" s="1" t="s">
        <v>6632</v>
      </c>
      <c r="F17202" s="2"/>
      <c r="G17202" s="2"/>
      <c r="H17202" s="2"/>
    </row>
    <row r="17203" spans="1:8" x14ac:dyDescent="0.25">
      <c r="A17203" s="1"/>
      <c r="B17203" s="1" t="s">
        <v>5782</v>
      </c>
      <c r="C17203" s="1" t="s">
        <v>5783</v>
      </c>
      <c r="D17203" s="22" t="str">
        <f>HYPERLINK("https://rhld.insurance.arkansas.gov/NPILookup?Npi=1770964975","1770964975")</f>
        <v>1770964975</v>
      </c>
      <c r="E17203" s="1" t="s">
        <v>23283</v>
      </c>
      <c r="F17203" s="2"/>
      <c r="G17203" s="2"/>
      <c r="H17203" s="2"/>
    </row>
    <row r="17204" spans="1:8" x14ac:dyDescent="0.25">
      <c r="A17204" s="1"/>
      <c r="B17204" s="1" t="s">
        <v>5782</v>
      </c>
      <c r="C17204" s="1" t="s">
        <v>5783</v>
      </c>
      <c r="D17204" s="22" t="str">
        <f>HYPERLINK("https://rhld.insurance.arkansas.gov/NPILookup?Npi=1770968034","1770968034")</f>
        <v>1770968034</v>
      </c>
      <c r="E17204" s="1" t="s">
        <v>23284</v>
      </c>
      <c r="F17204" s="2"/>
      <c r="G17204" s="2"/>
      <c r="H17204" s="2"/>
    </row>
    <row r="17205" spans="1:8" x14ac:dyDescent="0.25">
      <c r="A17205" s="1"/>
      <c r="B17205" s="1" t="s">
        <v>5782</v>
      </c>
      <c r="C17205" s="1" t="s">
        <v>5783</v>
      </c>
      <c r="D17205" s="22" t="str">
        <f>HYPERLINK("https://rhld.insurance.arkansas.gov/NPILookup?Npi=1770997645","1770997645")</f>
        <v>1770997645</v>
      </c>
      <c r="E17205" s="1" t="s">
        <v>23285</v>
      </c>
      <c r="F17205" s="2"/>
      <c r="G17205" s="2"/>
      <c r="H17205" s="2"/>
    </row>
    <row r="17206" spans="1:8" x14ac:dyDescent="0.25">
      <c r="A17206" s="1"/>
      <c r="B17206" s="1" t="s">
        <v>5782</v>
      </c>
      <c r="C17206" s="1" t="s">
        <v>5783</v>
      </c>
      <c r="D17206" s="22" t="str">
        <f>HYPERLINK("https://rhld.insurance.arkansas.gov/NPILookup?Npi=1780007187","1780007187")</f>
        <v>1780007187</v>
      </c>
      <c r="E17206" s="1" t="s">
        <v>3231</v>
      </c>
      <c r="F17206" s="2"/>
      <c r="G17206" s="2"/>
      <c r="H17206" s="2"/>
    </row>
    <row r="17207" spans="1:8" x14ac:dyDescent="0.25">
      <c r="A17207" s="1"/>
      <c r="B17207" s="1" t="s">
        <v>5782</v>
      </c>
      <c r="C17207" s="1" t="s">
        <v>5783</v>
      </c>
      <c r="D17207" s="22" t="str">
        <f>HYPERLINK("https://rhld.insurance.arkansas.gov/NPILookup?Npi=1780008086","1780008086")</f>
        <v>1780008086</v>
      </c>
      <c r="E17207" s="1" t="s">
        <v>12090</v>
      </c>
      <c r="F17207" s="2"/>
      <c r="G17207" s="2"/>
      <c r="H17207" s="2"/>
    </row>
    <row r="17208" spans="1:8" x14ac:dyDescent="0.25">
      <c r="A17208" s="1"/>
      <c r="B17208" s="1" t="s">
        <v>5782</v>
      </c>
      <c r="C17208" s="1" t="s">
        <v>5783</v>
      </c>
      <c r="D17208" s="22" t="str">
        <f>HYPERLINK("https://rhld.insurance.arkansas.gov/NPILookup?Npi=1780018515","1780018515")</f>
        <v>1780018515</v>
      </c>
      <c r="E17208" s="1" t="s">
        <v>790</v>
      </c>
      <c r="F17208" s="2"/>
      <c r="G17208" s="2"/>
      <c r="H17208" s="2"/>
    </row>
    <row r="17209" spans="1:8" x14ac:dyDescent="0.25">
      <c r="A17209" s="1"/>
      <c r="B17209" s="1" t="s">
        <v>5782</v>
      </c>
      <c r="C17209" s="1" t="s">
        <v>5783</v>
      </c>
      <c r="D17209" s="22" t="str">
        <f>HYPERLINK("https://rhld.insurance.arkansas.gov/NPILookup?Npi=1780031187","1780031187")</f>
        <v>1780031187</v>
      </c>
      <c r="E17209" s="1" t="s">
        <v>23286</v>
      </c>
      <c r="F17209" s="2"/>
      <c r="G17209" s="2"/>
      <c r="H17209" s="2"/>
    </row>
    <row r="17210" spans="1:8" x14ac:dyDescent="0.25">
      <c r="A17210" s="1"/>
      <c r="B17210" s="1" t="s">
        <v>5782</v>
      </c>
      <c r="C17210" s="1" t="s">
        <v>5783</v>
      </c>
      <c r="D17210" s="22" t="str">
        <f>HYPERLINK("https://rhld.insurance.arkansas.gov/NPILookup?Npi=1780035998","1780035998")</f>
        <v>1780035998</v>
      </c>
      <c r="E17210" s="1" t="s">
        <v>23287</v>
      </c>
      <c r="F17210" s="2"/>
      <c r="G17210" s="2"/>
      <c r="H17210" s="2"/>
    </row>
    <row r="17211" spans="1:8" x14ac:dyDescent="0.25">
      <c r="A17211" s="1"/>
      <c r="B17211" s="1" t="s">
        <v>5782</v>
      </c>
      <c r="C17211" s="1" t="s">
        <v>5783</v>
      </c>
      <c r="D17211" s="22" t="str">
        <f>HYPERLINK("https://rhld.insurance.arkansas.gov/NPILookup?Npi=1780040881","1780040881")</f>
        <v>1780040881</v>
      </c>
      <c r="E17211" s="1" t="s">
        <v>23288</v>
      </c>
      <c r="F17211" s="2"/>
      <c r="G17211" s="2"/>
      <c r="H17211" s="2"/>
    </row>
    <row r="17212" spans="1:8" x14ac:dyDescent="0.25">
      <c r="A17212" s="1"/>
      <c r="B17212" s="1" t="s">
        <v>5782</v>
      </c>
      <c r="C17212" s="1" t="s">
        <v>5783</v>
      </c>
      <c r="D17212" s="22" t="str">
        <f>HYPERLINK("https://rhld.insurance.arkansas.gov/NPILookup?Npi=1780040899","1780040899")</f>
        <v>1780040899</v>
      </c>
      <c r="E17212" s="1" t="s">
        <v>6633</v>
      </c>
      <c r="F17212" s="2"/>
      <c r="G17212" s="2"/>
      <c r="H17212" s="2"/>
    </row>
    <row r="17213" spans="1:8" x14ac:dyDescent="0.25">
      <c r="A17213" s="1"/>
      <c r="B17213" s="1" t="s">
        <v>5782</v>
      </c>
      <c r="C17213" s="1" t="s">
        <v>5783</v>
      </c>
      <c r="D17213" s="22" t="str">
        <f>HYPERLINK("https://rhld.insurance.arkansas.gov/NPILookup?Npi=1780063438","1780063438")</f>
        <v>1780063438</v>
      </c>
      <c r="E17213" s="1" t="s">
        <v>1062</v>
      </c>
      <c r="F17213" s="2"/>
      <c r="G17213" s="2"/>
      <c r="H17213" s="2"/>
    </row>
    <row r="17214" spans="1:8" x14ac:dyDescent="0.25">
      <c r="A17214" s="1"/>
      <c r="B17214" s="1" t="s">
        <v>5782</v>
      </c>
      <c r="C17214" s="1" t="s">
        <v>5783</v>
      </c>
      <c r="D17214" s="22" t="str">
        <f>HYPERLINK("https://rhld.insurance.arkansas.gov/NPILookup?Npi=1780065367","1780065367")</f>
        <v>1780065367</v>
      </c>
      <c r="E17214" s="1" t="s">
        <v>6634</v>
      </c>
      <c r="F17214" s="2"/>
      <c r="G17214" s="2"/>
      <c r="H17214" s="2"/>
    </row>
    <row r="17215" spans="1:8" x14ac:dyDescent="0.25">
      <c r="A17215" s="1"/>
      <c r="B17215" s="1" t="s">
        <v>5782</v>
      </c>
      <c r="C17215" s="1" t="s">
        <v>5783</v>
      </c>
      <c r="D17215" s="22" t="str">
        <f>HYPERLINK("https://rhld.insurance.arkansas.gov/NPILookup?Npi=1780075663","1780075663")</f>
        <v>1780075663</v>
      </c>
      <c r="E17215" s="1" t="s">
        <v>6635</v>
      </c>
      <c r="F17215" s="2"/>
      <c r="G17215" s="2"/>
      <c r="H17215" s="2"/>
    </row>
    <row r="17216" spans="1:8" x14ac:dyDescent="0.25">
      <c r="A17216" s="1"/>
      <c r="B17216" s="1" t="s">
        <v>5782</v>
      </c>
      <c r="C17216" s="1" t="s">
        <v>5783</v>
      </c>
      <c r="D17216" s="22" t="str">
        <f>HYPERLINK("https://rhld.insurance.arkansas.gov/NPILookup?Npi=1780086132","1780086132")</f>
        <v>1780086132</v>
      </c>
      <c r="E17216" s="1" t="s">
        <v>23289</v>
      </c>
      <c r="F17216" s="2"/>
      <c r="G17216" s="2"/>
      <c r="H17216" s="2"/>
    </row>
    <row r="17217" spans="1:8" x14ac:dyDescent="0.25">
      <c r="A17217" s="1"/>
      <c r="B17217" s="1" t="s">
        <v>5782</v>
      </c>
      <c r="C17217" s="1" t="s">
        <v>5783</v>
      </c>
      <c r="D17217" s="22" t="str">
        <f>HYPERLINK("https://rhld.insurance.arkansas.gov/NPILookup?Npi=1780134189","1780134189")</f>
        <v>1780134189</v>
      </c>
      <c r="E17217" s="1" t="s">
        <v>23290</v>
      </c>
      <c r="F17217" s="2"/>
      <c r="G17217" s="2"/>
      <c r="H17217" s="2"/>
    </row>
    <row r="17218" spans="1:8" x14ac:dyDescent="0.25">
      <c r="A17218" s="1"/>
      <c r="B17218" s="1" t="s">
        <v>5782</v>
      </c>
      <c r="C17218" s="1" t="s">
        <v>5783</v>
      </c>
      <c r="D17218" s="22" t="str">
        <f>HYPERLINK("https://rhld.insurance.arkansas.gov/NPILookup?Npi=1780140376","1780140376")</f>
        <v>1780140376</v>
      </c>
      <c r="E17218" s="1" t="s">
        <v>6636</v>
      </c>
      <c r="F17218" s="2"/>
      <c r="G17218" s="2"/>
      <c r="H17218" s="2"/>
    </row>
    <row r="17219" spans="1:8" x14ac:dyDescent="0.25">
      <c r="A17219" s="1"/>
      <c r="B17219" s="1" t="s">
        <v>5782</v>
      </c>
      <c r="C17219" s="1" t="s">
        <v>5783</v>
      </c>
      <c r="D17219" s="22" t="str">
        <f>HYPERLINK("https://rhld.insurance.arkansas.gov/NPILookup?Npi=1780142422","1780142422")</f>
        <v>1780142422</v>
      </c>
      <c r="E17219" s="1" t="s">
        <v>23291</v>
      </c>
      <c r="F17219" s="2"/>
      <c r="G17219" s="2"/>
      <c r="H17219" s="2"/>
    </row>
    <row r="17220" spans="1:8" x14ac:dyDescent="0.25">
      <c r="A17220" s="1"/>
      <c r="B17220" s="1" t="s">
        <v>5782</v>
      </c>
      <c r="C17220" s="1" t="s">
        <v>5783</v>
      </c>
      <c r="D17220" s="22" t="str">
        <f>HYPERLINK("https://rhld.insurance.arkansas.gov/NPILookup?Npi=1780177113","1780177113")</f>
        <v>1780177113</v>
      </c>
      <c r="E17220" s="1" t="s">
        <v>273</v>
      </c>
      <c r="F17220" s="2"/>
      <c r="G17220" s="2"/>
      <c r="H17220" s="2"/>
    </row>
    <row r="17221" spans="1:8" x14ac:dyDescent="0.25">
      <c r="A17221" s="1"/>
      <c r="B17221" s="1" t="s">
        <v>5782</v>
      </c>
      <c r="C17221" s="1" t="s">
        <v>5783</v>
      </c>
      <c r="D17221" s="22" t="str">
        <f>HYPERLINK("https://rhld.insurance.arkansas.gov/NPILookup?Npi=1780193805","1780193805")</f>
        <v>1780193805</v>
      </c>
      <c r="E17221" s="1" t="s">
        <v>31943</v>
      </c>
      <c r="F17221" s="2"/>
      <c r="G17221" s="2"/>
      <c r="H17221" s="2"/>
    </row>
    <row r="17222" spans="1:8" x14ac:dyDescent="0.25">
      <c r="A17222" s="1"/>
      <c r="B17222" s="1" t="s">
        <v>5782</v>
      </c>
      <c r="C17222" s="1" t="s">
        <v>5783</v>
      </c>
      <c r="D17222" s="22" t="str">
        <f>HYPERLINK("https://rhld.insurance.arkansas.gov/NPILookup?Npi=1780194860","1780194860")</f>
        <v>1780194860</v>
      </c>
      <c r="E17222" s="1" t="s">
        <v>6637</v>
      </c>
      <c r="F17222" s="2"/>
      <c r="G17222" s="2"/>
      <c r="H17222" s="2"/>
    </row>
    <row r="17223" spans="1:8" x14ac:dyDescent="0.25">
      <c r="A17223" s="1"/>
      <c r="B17223" s="1" t="s">
        <v>5782</v>
      </c>
      <c r="C17223" s="1" t="s">
        <v>5783</v>
      </c>
      <c r="D17223" s="22" t="str">
        <f>HYPERLINK("https://rhld.insurance.arkansas.gov/NPILookup?Npi=1780195305","1780195305")</f>
        <v>1780195305</v>
      </c>
      <c r="E17223" s="1" t="s">
        <v>6638</v>
      </c>
      <c r="F17223" s="2"/>
      <c r="G17223" s="2"/>
      <c r="H17223" s="2"/>
    </row>
    <row r="17224" spans="1:8" x14ac:dyDescent="0.25">
      <c r="A17224" s="1"/>
      <c r="B17224" s="1" t="s">
        <v>5782</v>
      </c>
      <c r="C17224" s="1" t="s">
        <v>5783</v>
      </c>
      <c r="D17224" s="22" t="str">
        <f>HYPERLINK("https://rhld.insurance.arkansas.gov/NPILookup?Npi=1780215640","1780215640")</f>
        <v>1780215640</v>
      </c>
      <c r="E17224" s="1" t="s">
        <v>23292</v>
      </c>
      <c r="F17224" s="2"/>
      <c r="G17224" s="2"/>
      <c r="H17224" s="2"/>
    </row>
    <row r="17225" spans="1:8" x14ac:dyDescent="0.25">
      <c r="A17225" s="1"/>
      <c r="B17225" s="1" t="s">
        <v>5782</v>
      </c>
      <c r="C17225" s="1" t="s">
        <v>5783</v>
      </c>
      <c r="D17225" s="22" t="str">
        <f>HYPERLINK("https://rhld.insurance.arkansas.gov/NPILookup?Npi=1780218552","1780218552")</f>
        <v>1780218552</v>
      </c>
      <c r="E17225" s="1" t="s">
        <v>23293</v>
      </c>
      <c r="F17225" s="2"/>
      <c r="G17225" s="2"/>
      <c r="H17225" s="2"/>
    </row>
    <row r="17226" spans="1:8" x14ac:dyDescent="0.25">
      <c r="A17226" s="1"/>
      <c r="B17226" s="1" t="s">
        <v>5782</v>
      </c>
      <c r="C17226" s="1" t="s">
        <v>5783</v>
      </c>
      <c r="D17226" s="22" t="str">
        <f>HYPERLINK("https://rhld.insurance.arkansas.gov/NPILookup?Npi=1780226571","1780226571")</f>
        <v>1780226571</v>
      </c>
      <c r="E17226" s="1" t="s">
        <v>1523</v>
      </c>
      <c r="F17226" s="2"/>
      <c r="G17226" s="2"/>
      <c r="H17226" s="2"/>
    </row>
    <row r="17227" spans="1:8" x14ac:dyDescent="0.25">
      <c r="A17227" s="1"/>
      <c r="B17227" s="1" t="s">
        <v>5782</v>
      </c>
      <c r="C17227" s="1" t="s">
        <v>5783</v>
      </c>
      <c r="D17227" s="22" t="str">
        <f>HYPERLINK("https://rhld.insurance.arkansas.gov/NPILookup?Npi=1780242560","1780242560")</f>
        <v>1780242560</v>
      </c>
      <c r="E17227" s="1" t="s">
        <v>2508</v>
      </c>
      <c r="F17227" s="2"/>
      <c r="G17227" s="2"/>
      <c r="H17227" s="2"/>
    </row>
    <row r="17228" spans="1:8" x14ac:dyDescent="0.25">
      <c r="A17228" s="1"/>
      <c r="B17228" s="1" t="s">
        <v>5782</v>
      </c>
      <c r="C17228" s="1" t="s">
        <v>5783</v>
      </c>
      <c r="D17228" s="22" t="str">
        <f>HYPERLINK("https://rhld.insurance.arkansas.gov/NPILookup?Npi=1780245498","1780245498")</f>
        <v>1780245498</v>
      </c>
      <c r="E17228" s="1" t="s">
        <v>12091</v>
      </c>
      <c r="F17228" s="2"/>
      <c r="G17228" s="2"/>
      <c r="H17228" s="2"/>
    </row>
    <row r="17229" spans="1:8" x14ac:dyDescent="0.25">
      <c r="A17229" s="1"/>
      <c r="B17229" s="1" t="s">
        <v>5782</v>
      </c>
      <c r="C17229" s="1" t="s">
        <v>5783</v>
      </c>
      <c r="D17229" s="22" t="str">
        <f>HYPERLINK("https://rhld.insurance.arkansas.gov/NPILookup?Npi=1780280305","1780280305")</f>
        <v>1780280305</v>
      </c>
      <c r="E17229" s="1" t="s">
        <v>31944</v>
      </c>
      <c r="F17229" s="2"/>
      <c r="G17229" s="2"/>
      <c r="H17229" s="2"/>
    </row>
    <row r="17230" spans="1:8" x14ac:dyDescent="0.25">
      <c r="A17230" s="1"/>
      <c r="B17230" s="1" t="s">
        <v>5782</v>
      </c>
      <c r="C17230" s="1" t="s">
        <v>5783</v>
      </c>
      <c r="D17230" s="22" t="str">
        <f>HYPERLINK("https://rhld.insurance.arkansas.gov/NPILookup?Npi=1780292771","1780292771")</f>
        <v>1780292771</v>
      </c>
      <c r="E17230" s="1" t="s">
        <v>6639</v>
      </c>
      <c r="F17230" s="2"/>
      <c r="G17230" s="2"/>
      <c r="H17230" s="2"/>
    </row>
    <row r="17231" spans="1:8" x14ac:dyDescent="0.25">
      <c r="A17231" s="1"/>
      <c r="B17231" s="1" t="s">
        <v>5782</v>
      </c>
      <c r="C17231" s="1" t="s">
        <v>5783</v>
      </c>
      <c r="D17231" s="22" t="str">
        <f>HYPERLINK("https://rhld.insurance.arkansas.gov/NPILookup?Npi=1780297671","1780297671")</f>
        <v>1780297671</v>
      </c>
      <c r="E17231" s="1" t="s">
        <v>2509</v>
      </c>
      <c r="F17231" s="2"/>
      <c r="G17231" s="2"/>
      <c r="H17231" s="2"/>
    </row>
    <row r="17232" spans="1:8" x14ac:dyDescent="0.25">
      <c r="A17232" s="1"/>
      <c r="B17232" s="1" t="s">
        <v>5782</v>
      </c>
      <c r="C17232" s="1" t="s">
        <v>5783</v>
      </c>
      <c r="D17232" s="22" t="str">
        <f>HYPERLINK("https://rhld.insurance.arkansas.gov/NPILookup?Npi=1780299859","1780299859")</f>
        <v>1780299859</v>
      </c>
      <c r="E17232" s="1" t="s">
        <v>2510</v>
      </c>
      <c r="F17232" s="2"/>
      <c r="G17232" s="2"/>
      <c r="H17232" s="2"/>
    </row>
    <row r="17233" spans="1:8" x14ac:dyDescent="0.25">
      <c r="A17233" s="1"/>
      <c r="B17233" s="1" t="s">
        <v>5782</v>
      </c>
      <c r="C17233" s="1" t="s">
        <v>5783</v>
      </c>
      <c r="D17233" s="22" t="str">
        <f>HYPERLINK("https://rhld.insurance.arkansas.gov/NPILookup?Npi=1780301630","1780301630")</f>
        <v>1780301630</v>
      </c>
      <c r="E17233" s="1" t="s">
        <v>12092</v>
      </c>
      <c r="F17233" s="2"/>
      <c r="G17233" s="2"/>
      <c r="H17233" s="2"/>
    </row>
    <row r="17234" spans="1:8" x14ac:dyDescent="0.25">
      <c r="A17234" s="1"/>
      <c r="B17234" s="1" t="s">
        <v>5782</v>
      </c>
      <c r="C17234" s="1" t="s">
        <v>5783</v>
      </c>
      <c r="D17234" s="22" t="str">
        <f>HYPERLINK("https://rhld.insurance.arkansas.gov/NPILookup?Npi=1780302745","1780302745")</f>
        <v>1780302745</v>
      </c>
      <c r="E17234" s="1" t="s">
        <v>23294</v>
      </c>
      <c r="F17234" s="2"/>
      <c r="G17234" s="2"/>
      <c r="H17234" s="2"/>
    </row>
    <row r="17235" spans="1:8" x14ac:dyDescent="0.25">
      <c r="A17235" s="1"/>
      <c r="B17235" s="1" t="s">
        <v>5782</v>
      </c>
      <c r="C17235" s="1" t="s">
        <v>5783</v>
      </c>
      <c r="D17235" s="22" t="str">
        <f>HYPERLINK("https://rhld.insurance.arkansas.gov/NPILookup?Npi=1780309724","1780309724")</f>
        <v>1780309724</v>
      </c>
      <c r="E17235" s="1" t="s">
        <v>23295</v>
      </c>
      <c r="F17235" s="2"/>
      <c r="G17235" s="2"/>
      <c r="H17235" s="2"/>
    </row>
    <row r="17236" spans="1:8" x14ac:dyDescent="0.25">
      <c r="A17236" s="1"/>
      <c r="B17236" s="1" t="s">
        <v>5782</v>
      </c>
      <c r="C17236" s="1" t="s">
        <v>5783</v>
      </c>
      <c r="D17236" s="22" t="str">
        <f>HYPERLINK("https://rhld.insurance.arkansas.gov/NPILookup?Npi=1780318915","1780318915")</f>
        <v>1780318915</v>
      </c>
      <c r="E17236" s="1" t="s">
        <v>23296</v>
      </c>
      <c r="F17236" s="2"/>
      <c r="G17236" s="2"/>
      <c r="H17236" s="2"/>
    </row>
    <row r="17237" spans="1:8" x14ac:dyDescent="0.25">
      <c r="A17237" s="1"/>
      <c r="B17237" s="1" t="s">
        <v>5782</v>
      </c>
      <c r="C17237" s="1" t="s">
        <v>5783</v>
      </c>
      <c r="D17237" s="22" t="str">
        <f>HYPERLINK("https://rhld.insurance.arkansas.gov/NPILookup?Npi=1780319533","1780319533")</f>
        <v>1780319533</v>
      </c>
      <c r="E17237" s="1" t="s">
        <v>4369</v>
      </c>
      <c r="F17237" s="2"/>
      <c r="G17237" s="2"/>
      <c r="H17237" s="2"/>
    </row>
    <row r="17238" spans="1:8" x14ac:dyDescent="0.25">
      <c r="A17238" s="1"/>
      <c r="B17238" s="1" t="s">
        <v>5782</v>
      </c>
      <c r="C17238" s="1" t="s">
        <v>5783</v>
      </c>
      <c r="D17238" s="22" t="str">
        <f>HYPERLINK("https://rhld.insurance.arkansas.gov/NPILookup?Npi=1780329979","1780329979")</f>
        <v>1780329979</v>
      </c>
      <c r="E17238" s="1" t="s">
        <v>6640</v>
      </c>
      <c r="F17238" s="2"/>
      <c r="G17238" s="2"/>
      <c r="H17238" s="2"/>
    </row>
    <row r="17239" spans="1:8" x14ac:dyDescent="0.25">
      <c r="A17239" s="1"/>
      <c r="B17239" s="1" t="s">
        <v>5782</v>
      </c>
      <c r="C17239" s="1" t="s">
        <v>5783</v>
      </c>
      <c r="D17239" s="22" t="str">
        <f>HYPERLINK("https://rhld.insurance.arkansas.gov/NPILookup?Npi=1780340174","1780340174")</f>
        <v>1780340174</v>
      </c>
      <c r="E17239" s="1" t="s">
        <v>6449</v>
      </c>
      <c r="F17239" s="2"/>
      <c r="G17239" s="2"/>
      <c r="H17239" s="2"/>
    </row>
    <row r="17240" spans="1:8" x14ac:dyDescent="0.25">
      <c r="A17240" s="1"/>
      <c r="B17240" s="1" t="s">
        <v>5782</v>
      </c>
      <c r="C17240" s="1" t="s">
        <v>5783</v>
      </c>
      <c r="D17240" s="22" t="str">
        <f>HYPERLINK("https://rhld.insurance.arkansas.gov/NPILookup?Npi=1780348474","1780348474")</f>
        <v>1780348474</v>
      </c>
      <c r="E17240" s="1" t="s">
        <v>23297</v>
      </c>
      <c r="F17240" s="2"/>
      <c r="G17240" s="2"/>
      <c r="H17240" s="2"/>
    </row>
    <row r="17241" spans="1:8" x14ac:dyDescent="0.25">
      <c r="A17241" s="1"/>
      <c r="B17241" s="1" t="s">
        <v>5782</v>
      </c>
      <c r="C17241" s="1" t="s">
        <v>5783</v>
      </c>
      <c r="D17241" s="22" t="str">
        <f>HYPERLINK("https://rhld.insurance.arkansas.gov/NPILookup?Npi=1780354951","1780354951")</f>
        <v>1780354951</v>
      </c>
      <c r="E17241" s="1" t="s">
        <v>12093</v>
      </c>
      <c r="F17241" s="2"/>
      <c r="G17241" s="2"/>
      <c r="H17241" s="2"/>
    </row>
    <row r="17242" spans="1:8" x14ac:dyDescent="0.25">
      <c r="A17242" s="1"/>
      <c r="B17242" s="1" t="s">
        <v>5782</v>
      </c>
      <c r="C17242" s="1" t="s">
        <v>5783</v>
      </c>
      <c r="D17242" s="22" t="str">
        <f>HYPERLINK("https://rhld.insurance.arkansas.gov/NPILookup?Npi=1780366385","1780366385")</f>
        <v>1780366385</v>
      </c>
      <c r="E17242" s="1" t="s">
        <v>6641</v>
      </c>
      <c r="F17242" s="2"/>
      <c r="G17242" s="2"/>
      <c r="H17242" s="2"/>
    </row>
    <row r="17243" spans="1:8" x14ac:dyDescent="0.25">
      <c r="A17243" s="1"/>
      <c r="B17243" s="1" t="s">
        <v>5782</v>
      </c>
      <c r="C17243" s="1" t="s">
        <v>5783</v>
      </c>
      <c r="D17243" s="22" t="str">
        <f>HYPERLINK("https://rhld.insurance.arkansas.gov/NPILookup?Npi=1780377291","1780377291")</f>
        <v>1780377291</v>
      </c>
      <c r="E17243" s="1" t="s">
        <v>23298</v>
      </c>
      <c r="F17243" s="2"/>
      <c r="G17243" s="2"/>
      <c r="H17243" s="2"/>
    </row>
    <row r="17244" spans="1:8" x14ac:dyDescent="0.25">
      <c r="A17244" s="1"/>
      <c r="B17244" s="1" t="s">
        <v>5782</v>
      </c>
      <c r="C17244" s="1" t="s">
        <v>5783</v>
      </c>
      <c r="D17244" s="22" t="str">
        <f>HYPERLINK("https://rhld.insurance.arkansas.gov/NPILookup?Npi=1780452532","1780452532")</f>
        <v>1780452532</v>
      </c>
      <c r="E17244" s="1" t="s">
        <v>5672</v>
      </c>
      <c r="F17244" s="2"/>
      <c r="G17244" s="2"/>
      <c r="H17244" s="2"/>
    </row>
    <row r="17245" spans="1:8" x14ac:dyDescent="0.25">
      <c r="A17245" s="1"/>
      <c r="B17245" s="1" t="s">
        <v>5782</v>
      </c>
      <c r="C17245" s="1" t="s">
        <v>5783</v>
      </c>
      <c r="D17245" s="22" t="str">
        <f>HYPERLINK("https://rhld.insurance.arkansas.gov/NPILookup?Npi=1780457143","1780457143")</f>
        <v>1780457143</v>
      </c>
      <c r="E17245" s="1" t="s">
        <v>12094</v>
      </c>
      <c r="F17245" s="2"/>
      <c r="G17245" s="2"/>
      <c r="H17245" s="2"/>
    </row>
    <row r="17246" spans="1:8" x14ac:dyDescent="0.25">
      <c r="A17246" s="1"/>
      <c r="B17246" s="1" t="s">
        <v>5782</v>
      </c>
      <c r="C17246" s="1" t="s">
        <v>5783</v>
      </c>
      <c r="D17246" s="22" t="str">
        <f>HYPERLINK("https://rhld.insurance.arkansas.gov/NPILookup?Npi=1780466995","1780466995")</f>
        <v>1780466995</v>
      </c>
      <c r="E17246" s="1" t="s">
        <v>31945</v>
      </c>
      <c r="F17246" s="2"/>
      <c r="G17246" s="2"/>
      <c r="H17246" s="2"/>
    </row>
    <row r="17247" spans="1:8" x14ac:dyDescent="0.25">
      <c r="A17247" s="1"/>
      <c r="B17247" s="1" t="s">
        <v>5782</v>
      </c>
      <c r="C17247" s="1" t="s">
        <v>5783</v>
      </c>
      <c r="D17247" s="22" t="str">
        <f>HYPERLINK("https://rhld.insurance.arkansas.gov/NPILookup?Npi=1780690230","1780690230")</f>
        <v>1780690230</v>
      </c>
      <c r="E17247" s="1" t="s">
        <v>3372</v>
      </c>
      <c r="F17247" s="2"/>
      <c r="G17247" s="2"/>
      <c r="H17247" s="2"/>
    </row>
    <row r="17248" spans="1:8" x14ac:dyDescent="0.25">
      <c r="A17248" s="1"/>
      <c r="B17248" s="1" t="s">
        <v>5782</v>
      </c>
      <c r="C17248" s="1" t="s">
        <v>5783</v>
      </c>
      <c r="D17248" s="22" t="str">
        <f>HYPERLINK("https://rhld.insurance.arkansas.gov/NPILookup?Npi=1780706473","1780706473")</f>
        <v>1780706473</v>
      </c>
      <c r="E17248" s="1" t="s">
        <v>23299</v>
      </c>
      <c r="F17248" s="2"/>
      <c r="G17248" s="2"/>
      <c r="H17248" s="2"/>
    </row>
    <row r="17249" spans="1:8" x14ac:dyDescent="0.25">
      <c r="A17249" s="1"/>
      <c r="B17249" s="1" t="s">
        <v>5782</v>
      </c>
      <c r="C17249" s="1" t="s">
        <v>5783</v>
      </c>
      <c r="D17249" s="22" t="str">
        <f>HYPERLINK("https://rhld.insurance.arkansas.gov/NPILookup?Npi=1780713404","1780713404")</f>
        <v>1780713404</v>
      </c>
      <c r="E17249" s="1" t="s">
        <v>952</v>
      </c>
      <c r="F17249" s="2"/>
      <c r="G17249" s="2"/>
      <c r="H17249" s="2"/>
    </row>
    <row r="17250" spans="1:8" x14ac:dyDescent="0.25">
      <c r="A17250" s="1"/>
      <c r="B17250" s="1" t="s">
        <v>5782</v>
      </c>
      <c r="C17250" s="1" t="s">
        <v>5783</v>
      </c>
      <c r="D17250" s="22" t="str">
        <f>HYPERLINK("https://rhld.insurance.arkansas.gov/NPILookup?Npi=1780714832","1780714832")</f>
        <v>1780714832</v>
      </c>
      <c r="E17250" s="1" t="s">
        <v>553</v>
      </c>
      <c r="F17250" s="2"/>
      <c r="G17250" s="2"/>
      <c r="H17250" s="2"/>
    </row>
    <row r="17251" spans="1:8" x14ac:dyDescent="0.25">
      <c r="A17251" s="1"/>
      <c r="B17251" s="1" t="s">
        <v>5782</v>
      </c>
      <c r="C17251" s="1" t="s">
        <v>5783</v>
      </c>
      <c r="D17251" s="22" t="str">
        <f>HYPERLINK("https://rhld.insurance.arkansas.gov/NPILookup?Npi=1780722157","1780722157")</f>
        <v>1780722157</v>
      </c>
      <c r="E17251" s="1" t="s">
        <v>23300</v>
      </c>
      <c r="F17251" s="2"/>
      <c r="G17251" s="2"/>
      <c r="H17251" s="2"/>
    </row>
    <row r="17252" spans="1:8" x14ac:dyDescent="0.25">
      <c r="A17252" s="1"/>
      <c r="B17252" s="1" t="s">
        <v>5782</v>
      </c>
      <c r="C17252" s="1" t="s">
        <v>5783</v>
      </c>
      <c r="D17252" s="22" t="str">
        <f>HYPERLINK("https://rhld.insurance.arkansas.gov/NPILookup?Npi=1780775288","1780775288")</f>
        <v>1780775288</v>
      </c>
      <c r="E17252" s="1" t="s">
        <v>23301</v>
      </c>
      <c r="F17252" s="2"/>
      <c r="G17252" s="2"/>
      <c r="H17252" s="2"/>
    </row>
    <row r="17253" spans="1:8" x14ac:dyDescent="0.25">
      <c r="A17253" s="1"/>
      <c r="B17253" s="1" t="s">
        <v>5782</v>
      </c>
      <c r="C17253" s="1" t="s">
        <v>5783</v>
      </c>
      <c r="D17253" s="22" t="str">
        <f>HYPERLINK("https://rhld.insurance.arkansas.gov/NPILookup?Npi=1780776948","1780776948")</f>
        <v>1780776948</v>
      </c>
      <c r="E17253" s="1" t="s">
        <v>23302</v>
      </c>
      <c r="F17253" s="2"/>
      <c r="G17253" s="2"/>
      <c r="H17253" s="2"/>
    </row>
    <row r="17254" spans="1:8" x14ac:dyDescent="0.25">
      <c r="A17254" s="1"/>
      <c r="B17254" s="1" t="s">
        <v>5782</v>
      </c>
      <c r="C17254" s="1" t="s">
        <v>5783</v>
      </c>
      <c r="D17254" s="22" t="str">
        <f>HYPERLINK("https://rhld.insurance.arkansas.gov/NPILookup?Npi=1780779058","1780779058")</f>
        <v>1780779058</v>
      </c>
      <c r="E17254" s="1" t="s">
        <v>23303</v>
      </c>
      <c r="F17254" s="2"/>
      <c r="G17254" s="2"/>
      <c r="H17254" s="2"/>
    </row>
    <row r="17255" spans="1:8" x14ac:dyDescent="0.25">
      <c r="A17255" s="1"/>
      <c r="B17255" s="1" t="s">
        <v>5782</v>
      </c>
      <c r="C17255" s="1" t="s">
        <v>5783</v>
      </c>
      <c r="D17255" s="22" t="str">
        <f>HYPERLINK("https://rhld.insurance.arkansas.gov/NPILookup?Npi=1780822973","1780822973")</f>
        <v>1780822973</v>
      </c>
      <c r="E17255" s="1" t="s">
        <v>6642</v>
      </c>
      <c r="F17255" s="2"/>
      <c r="G17255" s="2"/>
      <c r="H17255" s="2"/>
    </row>
    <row r="17256" spans="1:8" x14ac:dyDescent="0.25">
      <c r="A17256" s="1"/>
      <c r="B17256" s="1" t="s">
        <v>5782</v>
      </c>
      <c r="C17256" s="1" t="s">
        <v>5783</v>
      </c>
      <c r="D17256" s="22" t="str">
        <f>HYPERLINK("https://rhld.insurance.arkansas.gov/NPILookup?Npi=1780832121","1780832121")</f>
        <v>1780832121</v>
      </c>
      <c r="E17256" s="1" t="s">
        <v>12095</v>
      </c>
      <c r="F17256" s="2"/>
      <c r="G17256" s="2"/>
      <c r="H17256" s="2"/>
    </row>
    <row r="17257" spans="1:8" x14ac:dyDescent="0.25">
      <c r="A17257" s="1"/>
      <c r="B17257" s="1" t="s">
        <v>5782</v>
      </c>
      <c r="C17257" s="1" t="s">
        <v>5783</v>
      </c>
      <c r="D17257" s="22" t="str">
        <f>HYPERLINK("https://rhld.insurance.arkansas.gov/NPILookup?Npi=1780835843","1780835843")</f>
        <v>1780835843</v>
      </c>
      <c r="E17257" s="1" t="s">
        <v>12096</v>
      </c>
      <c r="F17257" s="2"/>
      <c r="G17257" s="2"/>
      <c r="H17257" s="2"/>
    </row>
    <row r="17258" spans="1:8" x14ac:dyDescent="0.25">
      <c r="A17258" s="1"/>
      <c r="B17258" s="1" t="s">
        <v>5782</v>
      </c>
      <c r="C17258" s="1" t="s">
        <v>5783</v>
      </c>
      <c r="D17258" s="22" t="str">
        <f>HYPERLINK("https://rhld.insurance.arkansas.gov/NPILookup?Npi=1780851048","1780851048")</f>
        <v>1780851048</v>
      </c>
      <c r="E17258" s="1" t="s">
        <v>2511</v>
      </c>
      <c r="F17258" s="2"/>
      <c r="G17258" s="2"/>
      <c r="H17258" s="2"/>
    </row>
    <row r="17259" spans="1:8" x14ac:dyDescent="0.25">
      <c r="A17259" s="1"/>
      <c r="B17259" s="1" t="s">
        <v>5782</v>
      </c>
      <c r="C17259" s="1" t="s">
        <v>5783</v>
      </c>
      <c r="D17259" s="22" t="str">
        <f>HYPERLINK("https://rhld.insurance.arkansas.gov/NPILookup?Npi=1780897785","1780897785")</f>
        <v>1780897785</v>
      </c>
      <c r="E17259" s="1" t="s">
        <v>2197</v>
      </c>
      <c r="F17259" s="2"/>
      <c r="G17259" s="2"/>
      <c r="H17259" s="2"/>
    </row>
    <row r="17260" spans="1:8" x14ac:dyDescent="0.25">
      <c r="A17260" s="1"/>
      <c r="B17260" s="1" t="s">
        <v>5782</v>
      </c>
      <c r="C17260" s="1" t="s">
        <v>5783</v>
      </c>
      <c r="D17260" s="22" t="str">
        <f>HYPERLINK("https://rhld.insurance.arkansas.gov/NPILookup?Npi=1780906446","1780906446")</f>
        <v>1780906446</v>
      </c>
      <c r="E17260" s="1" t="s">
        <v>11724</v>
      </c>
      <c r="F17260" s="2"/>
      <c r="G17260" s="2"/>
      <c r="H17260" s="2"/>
    </row>
    <row r="17261" spans="1:8" x14ac:dyDescent="0.25">
      <c r="A17261" s="1"/>
      <c r="B17261" s="1" t="s">
        <v>5782</v>
      </c>
      <c r="C17261" s="1" t="s">
        <v>5783</v>
      </c>
      <c r="D17261" s="22" t="str">
        <f>HYPERLINK("https://rhld.insurance.arkansas.gov/NPILookup?Npi=1780912444","1780912444")</f>
        <v>1780912444</v>
      </c>
      <c r="E17261" s="1" t="s">
        <v>23304</v>
      </c>
      <c r="F17261" s="2"/>
      <c r="G17261" s="2"/>
      <c r="H17261" s="2"/>
    </row>
    <row r="17262" spans="1:8" x14ac:dyDescent="0.25">
      <c r="A17262" s="1"/>
      <c r="B17262" s="1" t="s">
        <v>5782</v>
      </c>
      <c r="C17262" s="1" t="s">
        <v>5783</v>
      </c>
      <c r="D17262" s="22" t="str">
        <f>HYPERLINK("https://rhld.insurance.arkansas.gov/NPILookup?Npi=1780963926","1780963926")</f>
        <v>1780963926</v>
      </c>
      <c r="E17262" s="1" t="s">
        <v>394</v>
      </c>
      <c r="F17262" s="2"/>
      <c r="G17262" s="2"/>
      <c r="H17262" s="2"/>
    </row>
    <row r="17263" spans="1:8" x14ac:dyDescent="0.25">
      <c r="A17263" s="1"/>
      <c r="B17263" s="1" t="s">
        <v>5782</v>
      </c>
      <c r="C17263" s="1" t="s">
        <v>5783</v>
      </c>
      <c r="D17263" s="22" t="str">
        <f>HYPERLINK("https://rhld.insurance.arkansas.gov/NPILookup?Npi=1780966127","1780966127")</f>
        <v>1780966127</v>
      </c>
      <c r="E17263" s="1" t="s">
        <v>6643</v>
      </c>
      <c r="F17263" s="2"/>
      <c r="G17263" s="2"/>
      <c r="H17263" s="2"/>
    </row>
    <row r="17264" spans="1:8" x14ac:dyDescent="0.25">
      <c r="A17264" s="1"/>
      <c r="B17264" s="1" t="s">
        <v>5782</v>
      </c>
      <c r="C17264" s="1" t="s">
        <v>5783</v>
      </c>
      <c r="D17264" s="22" t="str">
        <f>HYPERLINK("https://rhld.insurance.arkansas.gov/NPILookup?Npi=1780972323","1780972323")</f>
        <v>1780972323</v>
      </c>
      <c r="E17264" s="1" t="s">
        <v>6644</v>
      </c>
      <c r="F17264" s="2"/>
      <c r="G17264" s="2"/>
      <c r="H17264" s="2"/>
    </row>
    <row r="17265" spans="1:8" x14ac:dyDescent="0.25">
      <c r="A17265" s="1"/>
      <c r="B17265" s="1" t="s">
        <v>5782</v>
      </c>
      <c r="C17265" s="1" t="s">
        <v>5783</v>
      </c>
      <c r="D17265" s="22" t="str">
        <f>HYPERLINK("https://rhld.insurance.arkansas.gov/NPILookup?Npi=1780987362","1780987362")</f>
        <v>1780987362</v>
      </c>
      <c r="E17265" s="1" t="s">
        <v>23305</v>
      </c>
      <c r="F17265" s="2"/>
      <c r="G17265" s="2"/>
      <c r="H17265" s="2"/>
    </row>
    <row r="17266" spans="1:8" x14ac:dyDescent="0.25">
      <c r="A17266" s="1"/>
      <c r="B17266" s="1" t="s">
        <v>5782</v>
      </c>
      <c r="C17266" s="1" t="s">
        <v>5783</v>
      </c>
      <c r="D17266" s="22" t="str">
        <f>HYPERLINK("https://rhld.insurance.arkansas.gov/NPILookup?Npi=1780989558","1780989558")</f>
        <v>1780989558</v>
      </c>
      <c r="E17266" s="1" t="s">
        <v>23306</v>
      </c>
      <c r="F17266" s="2"/>
      <c r="G17266" s="2"/>
      <c r="H17266" s="2"/>
    </row>
    <row r="17267" spans="1:8" x14ac:dyDescent="0.25">
      <c r="A17267" s="1"/>
      <c r="B17267" s="1" t="s">
        <v>5782</v>
      </c>
      <c r="C17267" s="1" t="s">
        <v>5783</v>
      </c>
      <c r="D17267" s="22" t="str">
        <f>HYPERLINK("https://rhld.insurance.arkansas.gov/NPILookup?Npi=1780999797","1780999797")</f>
        <v>1780999797</v>
      </c>
      <c r="E17267" s="1" t="s">
        <v>12098</v>
      </c>
      <c r="F17267" s="2"/>
      <c r="G17267" s="2"/>
      <c r="H17267" s="2"/>
    </row>
    <row r="17268" spans="1:8" x14ac:dyDescent="0.25">
      <c r="A17268" s="1"/>
      <c r="B17268" s="1" t="s">
        <v>5782</v>
      </c>
      <c r="C17268" s="1" t="s">
        <v>5783</v>
      </c>
      <c r="D17268" s="22" t="str">
        <f>HYPERLINK("https://rhld.insurance.arkansas.gov/NPILookup?Npi=1790003846","1790003846")</f>
        <v>1790003846</v>
      </c>
      <c r="E17268" s="1" t="s">
        <v>12099</v>
      </c>
      <c r="F17268" s="2"/>
      <c r="G17268" s="2"/>
      <c r="H17268" s="2"/>
    </row>
    <row r="17269" spans="1:8" x14ac:dyDescent="0.25">
      <c r="A17269" s="1"/>
      <c r="B17269" s="1" t="s">
        <v>5782</v>
      </c>
      <c r="C17269" s="1" t="s">
        <v>5783</v>
      </c>
      <c r="D17269" s="22" t="str">
        <f>HYPERLINK("https://rhld.insurance.arkansas.gov/NPILookup?Npi=1790007862","1790007862")</f>
        <v>1790007862</v>
      </c>
      <c r="E17269" s="1" t="s">
        <v>23307</v>
      </c>
      <c r="F17269" s="2"/>
      <c r="G17269" s="2"/>
      <c r="H17269" s="2"/>
    </row>
    <row r="17270" spans="1:8" x14ac:dyDescent="0.25">
      <c r="A17270" s="1"/>
      <c r="B17270" s="1" t="s">
        <v>5782</v>
      </c>
      <c r="C17270" s="1" t="s">
        <v>5783</v>
      </c>
      <c r="D17270" s="22" t="str">
        <f>HYPERLINK("https://rhld.insurance.arkansas.gov/NPILookup?Npi=1790035533","1790035533")</f>
        <v>1790035533</v>
      </c>
      <c r="E17270" s="1" t="s">
        <v>3373</v>
      </c>
      <c r="F17270" s="2"/>
      <c r="G17270" s="2"/>
      <c r="H17270" s="2"/>
    </row>
    <row r="17271" spans="1:8" x14ac:dyDescent="0.25">
      <c r="A17271" s="1"/>
      <c r="B17271" s="1" t="s">
        <v>5782</v>
      </c>
      <c r="C17271" s="1" t="s">
        <v>5783</v>
      </c>
      <c r="D17271" s="22" t="str">
        <f>HYPERLINK("https://rhld.insurance.arkansas.gov/NPILookup?Npi=1790039162","1790039162")</f>
        <v>1790039162</v>
      </c>
      <c r="E17271" s="1" t="s">
        <v>23308</v>
      </c>
      <c r="F17271" s="2"/>
      <c r="G17271" s="2"/>
      <c r="H17271" s="2"/>
    </row>
    <row r="17272" spans="1:8" x14ac:dyDescent="0.25">
      <c r="A17272" s="1"/>
      <c r="B17272" s="1" t="s">
        <v>5782</v>
      </c>
      <c r="C17272" s="1" t="s">
        <v>5783</v>
      </c>
      <c r="D17272" s="22" t="str">
        <f>HYPERLINK("https://rhld.insurance.arkansas.gov/NPILookup?Npi=1790043792","1790043792")</f>
        <v>1790043792</v>
      </c>
      <c r="E17272" s="1" t="s">
        <v>23309</v>
      </c>
      <c r="F17272" s="2"/>
      <c r="G17272" s="2"/>
      <c r="H17272" s="2"/>
    </row>
    <row r="17273" spans="1:8" x14ac:dyDescent="0.25">
      <c r="A17273" s="1"/>
      <c r="B17273" s="1" t="s">
        <v>5782</v>
      </c>
      <c r="C17273" s="1" t="s">
        <v>5783</v>
      </c>
      <c r="D17273" s="22" t="str">
        <f>HYPERLINK("https://rhld.insurance.arkansas.gov/NPILookup?Npi=1790045532","1790045532")</f>
        <v>1790045532</v>
      </c>
      <c r="E17273" s="1" t="s">
        <v>12100</v>
      </c>
      <c r="F17273" s="2"/>
      <c r="G17273" s="2"/>
      <c r="H17273" s="2"/>
    </row>
    <row r="17274" spans="1:8" x14ac:dyDescent="0.25">
      <c r="A17274" s="1"/>
      <c r="B17274" s="1" t="s">
        <v>5782</v>
      </c>
      <c r="C17274" s="1" t="s">
        <v>5783</v>
      </c>
      <c r="D17274" s="22" t="str">
        <f>HYPERLINK("https://rhld.insurance.arkansas.gov/NPILookup?Npi=1790046985","1790046985")</f>
        <v>1790046985</v>
      </c>
      <c r="E17274" s="1" t="s">
        <v>1431</v>
      </c>
      <c r="F17274" s="2"/>
      <c r="G17274" s="2"/>
      <c r="H17274" s="2"/>
    </row>
    <row r="17275" spans="1:8" x14ac:dyDescent="0.25">
      <c r="A17275" s="1"/>
      <c r="B17275" s="1" t="s">
        <v>5782</v>
      </c>
      <c r="C17275" s="1" t="s">
        <v>5783</v>
      </c>
      <c r="D17275" s="22" t="str">
        <f>HYPERLINK("https://rhld.insurance.arkansas.gov/NPILookup?Npi=1790059475","1790059475")</f>
        <v>1790059475</v>
      </c>
      <c r="E17275" s="1" t="s">
        <v>23310</v>
      </c>
      <c r="F17275" s="2"/>
      <c r="G17275" s="2"/>
      <c r="H17275" s="2"/>
    </row>
    <row r="17276" spans="1:8" x14ac:dyDescent="0.25">
      <c r="A17276" s="1"/>
      <c r="B17276" s="1" t="s">
        <v>5782</v>
      </c>
      <c r="C17276" s="1" t="s">
        <v>5783</v>
      </c>
      <c r="D17276" s="22" t="str">
        <f>HYPERLINK("https://rhld.insurance.arkansas.gov/NPILookup?Npi=1790065068","1790065068")</f>
        <v>1790065068</v>
      </c>
      <c r="E17276" s="1" t="s">
        <v>23311</v>
      </c>
      <c r="F17276" s="2"/>
      <c r="G17276" s="2"/>
      <c r="H17276" s="2"/>
    </row>
    <row r="17277" spans="1:8" x14ac:dyDescent="0.25">
      <c r="A17277" s="1"/>
      <c r="B17277" s="1" t="s">
        <v>5782</v>
      </c>
      <c r="C17277" s="1" t="s">
        <v>5783</v>
      </c>
      <c r="D17277" s="22" t="str">
        <f>HYPERLINK("https://rhld.insurance.arkansas.gov/NPILookup?Npi=1790070928","1790070928")</f>
        <v>1790070928</v>
      </c>
      <c r="E17277" s="1" t="s">
        <v>23312</v>
      </c>
      <c r="F17277" s="2"/>
      <c r="G17277" s="2"/>
      <c r="H17277" s="2"/>
    </row>
    <row r="17278" spans="1:8" x14ac:dyDescent="0.25">
      <c r="A17278" s="1"/>
      <c r="B17278" s="1" t="s">
        <v>5782</v>
      </c>
      <c r="C17278" s="1" t="s">
        <v>5783</v>
      </c>
      <c r="D17278" s="22" t="str">
        <f>HYPERLINK("https://rhld.insurance.arkansas.gov/NPILookup?Npi=1790082964","1790082964")</f>
        <v>1790082964</v>
      </c>
      <c r="E17278" s="1" t="s">
        <v>3374</v>
      </c>
      <c r="F17278" s="2"/>
      <c r="G17278" s="2"/>
      <c r="H17278" s="2"/>
    </row>
    <row r="17279" spans="1:8" x14ac:dyDescent="0.25">
      <c r="A17279" s="1"/>
      <c r="B17279" s="1" t="s">
        <v>5782</v>
      </c>
      <c r="C17279" s="1" t="s">
        <v>5783</v>
      </c>
      <c r="D17279" s="22" t="str">
        <f>HYPERLINK("https://rhld.insurance.arkansas.gov/NPILookup?Npi=1790091775","1790091775")</f>
        <v>1790091775</v>
      </c>
      <c r="E17279" s="1" t="s">
        <v>377</v>
      </c>
      <c r="F17279" s="2"/>
      <c r="G17279" s="2"/>
      <c r="H17279" s="2"/>
    </row>
    <row r="17280" spans="1:8" x14ac:dyDescent="0.25">
      <c r="A17280" s="1"/>
      <c r="B17280" s="1" t="s">
        <v>5782</v>
      </c>
      <c r="C17280" s="1" t="s">
        <v>5783</v>
      </c>
      <c r="D17280" s="22" t="str">
        <f>HYPERLINK("https://rhld.insurance.arkansas.gov/NPILookup?Npi=1790095305","1790095305")</f>
        <v>1790095305</v>
      </c>
      <c r="E17280" s="1" t="s">
        <v>23313</v>
      </c>
      <c r="F17280" s="2"/>
      <c r="G17280" s="2"/>
      <c r="H17280" s="2"/>
    </row>
    <row r="17281" spans="1:8" x14ac:dyDescent="0.25">
      <c r="A17281" s="1"/>
      <c r="B17281" s="1" t="s">
        <v>5782</v>
      </c>
      <c r="C17281" s="1" t="s">
        <v>5783</v>
      </c>
      <c r="D17281" s="22" t="str">
        <f>HYPERLINK("https://rhld.insurance.arkansas.gov/NPILookup?Npi=1790104818","1790104818")</f>
        <v>1790104818</v>
      </c>
      <c r="E17281" s="1" t="s">
        <v>23314</v>
      </c>
      <c r="F17281" s="2"/>
      <c r="G17281" s="2"/>
      <c r="H17281" s="2"/>
    </row>
    <row r="17282" spans="1:8" x14ac:dyDescent="0.25">
      <c r="A17282" s="1"/>
      <c r="B17282" s="1" t="s">
        <v>5782</v>
      </c>
      <c r="C17282" s="1" t="s">
        <v>5783</v>
      </c>
      <c r="D17282" s="22" t="str">
        <f>HYPERLINK("https://rhld.insurance.arkansas.gov/NPILookup?Npi=1790106276","1790106276")</f>
        <v>1790106276</v>
      </c>
      <c r="E17282" s="1" t="s">
        <v>12101</v>
      </c>
      <c r="F17282" s="2"/>
      <c r="G17282" s="2"/>
      <c r="H17282" s="2"/>
    </row>
    <row r="17283" spans="1:8" x14ac:dyDescent="0.25">
      <c r="A17283" s="1"/>
      <c r="B17283" s="1" t="s">
        <v>5782</v>
      </c>
      <c r="C17283" s="1" t="s">
        <v>5783</v>
      </c>
      <c r="D17283" s="22" t="str">
        <f>HYPERLINK("https://rhld.insurance.arkansas.gov/NPILookup?Npi=1790123453","1790123453")</f>
        <v>1790123453</v>
      </c>
      <c r="E17283" s="1" t="s">
        <v>3375</v>
      </c>
      <c r="F17283" s="2"/>
      <c r="G17283" s="2"/>
      <c r="H17283" s="2"/>
    </row>
    <row r="17284" spans="1:8" x14ac:dyDescent="0.25">
      <c r="A17284" s="1"/>
      <c r="B17284" s="1" t="s">
        <v>5782</v>
      </c>
      <c r="C17284" s="1" t="s">
        <v>5783</v>
      </c>
      <c r="D17284" s="22" t="str">
        <f>HYPERLINK("https://rhld.insurance.arkansas.gov/NPILookup?Npi=1790127629","1790127629")</f>
        <v>1790127629</v>
      </c>
      <c r="E17284" s="1" t="s">
        <v>12102</v>
      </c>
      <c r="F17284" s="2"/>
      <c r="G17284" s="2"/>
      <c r="H17284" s="2"/>
    </row>
    <row r="17285" spans="1:8" x14ac:dyDescent="0.25">
      <c r="A17285" s="1"/>
      <c r="B17285" s="1" t="s">
        <v>5782</v>
      </c>
      <c r="C17285" s="1" t="s">
        <v>5783</v>
      </c>
      <c r="D17285" s="22" t="str">
        <f>HYPERLINK("https://rhld.insurance.arkansas.gov/NPILookup?Npi=1790149011","1790149011")</f>
        <v>1790149011</v>
      </c>
      <c r="E17285" s="1" t="s">
        <v>6645</v>
      </c>
      <c r="F17285" s="2"/>
      <c r="G17285" s="2"/>
      <c r="H17285" s="2"/>
    </row>
    <row r="17286" spans="1:8" x14ac:dyDescent="0.25">
      <c r="A17286" s="1"/>
      <c r="B17286" s="1" t="s">
        <v>5782</v>
      </c>
      <c r="C17286" s="1" t="s">
        <v>5783</v>
      </c>
      <c r="D17286" s="22" t="str">
        <f>HYPERLINK("https://rhld.insurance.arkansas.gov/NPILookup?Npi=1790152999","1790152999")</f>
        <v>1790152999</v>
      </c>
      <c r="E17286" s="1" t="s">
        <v>23315</v>
      </c>
      <c r="F17286" s="2"/>
      <c r="G17286" s="2"/>
      <c r="H17286" s="2"/>
    </row>
    <row r="17287" spans="1:8" x14ac:dyDescent="0.25">
      <c r="A17287" s="1"/>
      <c r="B17287" s="1" t="s">
        <v>5782</v>
      </c>
      <c r="C17287" s="1" t="s">
        <v>5783</v>
      </c>
      <c r="D17287" s="22" t="str">
        <f>HYPERLINK("https://rhld.insurance.arkansas.gov/NPILookup?Npi=1790161909","1790161909")</f>
        <v>1790161909</v>
      </c>
      <c r="E17287" s="1" t="s">
        <v>23316</v>
      </c>
      <c r="F17287" s="2"/>
      <c r="G17287" s="2"/>
      <c r="H17287" s="2"/>
    </row>
    <row r="17288" spans="1:8" x14ac:dyDescent="0.25">
      <c r="A17288" s="1"/>
      <c r="B17288" s="1" t="s">
        <v>5782</v>
      </c>
      <c r="C17288" s="1" t="s">
        <v>5783</v>
      </c>
      <c r="D17288" s="22" t="str">
        <f>HYPERLINK("https://rhld.insurance.arkansas.gov/NPILookup?Npi=1790166403","1790166403")</f>
        <v>1790166403</v>
      </c>
      <c r="E17288" s="1" t="s">
        <v>12103</v>
      </c>
      <c r="F17288" s="2"/>
      <c r="G17288" s="2"/>
      <c r="H17288" s="2"/>
    </row>
    <row r="17289" spans="1:8" x14ac:dyDescent="0.25">
      <c r="A17289" s="1"/>
      <c r="B17289" s="1" t="s">
        <v>5782</v>
      </c>
      <c r="C17289" s="1" t="s">
        <v>5783</v>
      </c>
      <c r="D17289" s="22" t="str">
        <f>HYPERLINK("https://rhld.insurance.arkansas.gov/NPILookup?Npi=1790193118","1790193118")</f>
        <v>1790193118</v>
      </c>
      <c r="E17289" s="1" t="s">
        <v>6646</v>
      </c>
      <c r="F17289" s="2"/>
      <c r="G17289" s="2"/>
      <c r="H17289" s="2"/>
    </row>
    <row r="17290" spans="1:8" x14ac:dyDescent="0.25">
      <c r="A17290" s="1"/>
      <c r="B17290" s="1" t="s">
        <v>5782</v>
      </c>
      <c r="C17290" s="1" t="s">
        <v>5783</v>
      </c>
      <c r="D17290" s="22" t="str">
        <f>HYPERLINK("https://rhld.insurance.arkansas.gov/NPILookup?Npi=1790200616","1790200616")</f>
        <v>1790200616</v>
      </c>
      <c r="E17290" s="1" t="s">
        <v>23317</v>
      </c>
      <c r="F17290" s="2"/>
      <c r="G17290" s="2"/>
      <c r="H17290" s="2"/>
    </row>
    <row r="17291" spans="1:8" x14ac:dyDescent="0.25">
      <c r="A17291" s="1"/>
      <c r="B17291" s="1" t="s">
        <v>5782</v>
      </c>
      <c r="C17291" s="1" t="s">
        <v>5783</v>
      </c>
      <c r="D17291" s="22" t="str">
        <f>HYPERLINK("https://rhld.insurance.arkansas.gov/NPILookup?Npi=1790201820","1790201820")</f>
        <v>1790201820</v>
      </c>
      <c r="E17291" s="1" t="s">
        <v>890</v>
      </c>
      <c r="F17291" s="2"/>
      <c r="G17291" s="2"/>
      <c r="H17291" s="2"/>
    </row>
    <row r="17292" spans="1:8" x14ac:dyDescent="0.25">
      <c r="A17292" s="1"/>
      <c r="B17292" s="1" t="s">
        <v>5782</v>
      </c>
      <c r="C17292" s="1" t="s">
        <v>5783</v>
      </c>
      <c r="D17292" s="22" t="str">
        <f>HYPERLINK("https://rhld.insurance.arkansas.gov/NPILookup?Npi=1790206886","1790206886")</f>
        <v>1790206886</v>
      </c>
      <c r="E17292" s="1" t="s">
        <v>23318</v>
      </c>
      <c r="F17292" s="2"/>
      <c r="G17292" s="2"/>
      <c r="H17292" s="2"/>
    </row>
    <row r="17293" spans="1:8" x14ac:dyDescent="0.25">
      <c r="A17293" s="1"/>
      <c r="B17293" s="1" t="s">
        <v>5782</v>
      </c>
      <c r="C17293" s="1" t="s">
        <v>5783</v>
      </c>
      <c r="D17293" s="22" t="str">
        <f>HYPERLINK("https://rhld.insurance.arkansas.gov/NPILookup?Npi=1790251320","1790251320")</f>
        <v>1790251320</v>
      </c>
      <c r="E17293" s="1" t="s">
        <v>1675</v>
      </c>
      <c r="F17293" s="2"/>
      <c r="G17293" s="2"/>
      <c r="H17293" s="2"/>
    </row>
    <row r="17294" spans="1:8" x14ac:dyDescent="0.25">
      <c r="A17294" s="1"/>
      <c r="B17294" s="1" t="s">
        <v>5782</v>
      </c>
      <c r="C17294" s="1" t="s">
        <v>5783</v>
      </c>
      <c r="D17294" s="22" t="str">
        <f>HYPERLINK("https://rhld.insurance.arkansas.gov/NPILookup?Npi=1790255602","1790255602")</f>
        <v>1790255602</v>
      </c>
      <c r="E17294" s="1" t="s">
        <v>6647</v>
      </c>
      <c r="F17294" s="2"/>
      <c r="G17294" s="2"/>
      <c r="H17294" s="2"/>
    </row>
    <row r="17295" spans="1:8" x14ac:dyDescent="0.25">
      <c r="A17295" s="1"/>
      <c r="B17295" s="1" t="s">
        <v>5782</v>
      </c>
      <c r="C17295" s="1" t="s">
        <v>5783</v>
      </c>
      <c r="D17295" s="22" t="str">
        <f>HYPERLINK("https://rhld.insurance.arkansas.gov/NPILookup?Npi=1790258317","1790258317")</f>
        <v>1790258317</v>
      </c>
      <c r="E17295" s="1" t="s">
        <v>6648</v>
      </c>
      <c r="F17295" s="2"/>
      <c r="G17295" s="2"/>
      <c r="H17295" s="2"/>
    </row>
    <row r="17296" spans="1:8" x14ac:dyDescent="0.25">
      <c r="A17296" s="1"/>
      <c r="B17296" s="1" t="s">
        <v>5782</v>
      </c>
      <c r="C17296" s="1" t="s">
        <v>5783</v>
      </c>
      <c r="D17296" s="22" t="str">
        <f>HYPERLINK("https://rhld.insurance.arkansas.gov/NPILookup?Npi=1790259117","1790259117")</f>
        <v>1790259117</v>
      </c>
      <c r="E17296" s="1" t="s">
        <v>23319</v>
      </c>
      <c r="F17296" s="2"/>
      <c r="G17296" s="2"/>
      <c r="H17296" s="2"/>
    </row>
    <row r="17297" spans="1:8" x14ac:dyDescent="0.25">
      <c r="A17297" s="1"/>
      <c r="B17297" s="1" t="s">
        <v>5782</v>
      </c>
      <c r="C17297" s="1" t="s">
        <v>5783</v>
      </c>
      <c r="D17297" s="22" t="str">
        <f>HYPERLINK("https://rhld.insurance.arkansas.gov/NPILookup?Npi=1790264109","1790264109")</f>
        <v>1790264109</v>
      </c>
      <c r="E17297" s="1" t="s">
        <v>1866</v>
      </c>
      <c r="F17297" s="2"/>
      <c r="G17297" s="2"/>
      <c r="H17297" s="2"/>
    </row>
    <row r="17298" spans="1:8" x14ac:dyDescent="0.25">
      <c r="A17298" s="1"/>
      <c r="B17298" s="1" t="s">
        <v>5782</v>
      </c>
      <c r="C17298" s="1" t="s">
        <v>5783</v>
      </c>
      <c r="D17298" s="22" t="str">
        <f>HYPERLINK("https://rhld.insurance.arkansas.gov/NPILookup?Npi=1790267896","1790267896")</f>
        <v>1790267896</v>
      </c>
      <c r="E17298" s="1" t="s">
        <v>6162</v>
      </c>
      <c r="F17298" s="2"/>
      <c r="G17298" s="2"/>
      <c r="H17298" s="2"/>
    </row>
    <row r="17299" spans="1:8" x14ac:dyDescent="0.25">
      <c r="A17299" s="1"/>
      <c r="B17299" s="1" t="s">
        <v>5782</v>
      </c>
      <c r="C17299" s="1" t="s">
        <v>5783</v>
      </c>
      <c r="D17299" s="22" t="str">
        <f>HYPERLINK("https://rhld.insurance.arkansas.gov/NPILookup?Npi=1790279552","1790279552")</f>
        <v>1790279552</v>
      </c>
      <c r="E17299" s="1" t="s">
        <v>2512</v>
      </c>
      <c r="F17299" s="2"/>
      <c r="G17299" s="2"/>
      <c r="H17299" s="2"/>
    </row>
    <row r="17300" spans="1:8" x14ac:dyDescent="0.25">
      <c r="A17300" s="1"/>
      <c r="B17300" s="1" t="s">
        <v>5782</v>
      </c>
      <c r="C17300" s="1" t="s">
        <v>5783</v>
      </c>
      <c r="D17300" s="22" t="str">
        <f>HYPERLINK("https://rhld.insurance.arkansas.gov/NPILookup?Npi=1790281087","1790281087")</f>
        <v>1790281087</v>
      </c>
      <c r="E17300" s="1" t="s">
        <v>23320</v>
      </c>
      <c r="F17300" s="2"/>
      <c r="G17300" s="2"/>
      <c r="H17300" s="2"/>
    </row>
    <row r="17301" spans="1:8" x14ac:dyDescent="0.25">
      <c r="A17301" s="1"/>
      <c r="B17301" s="1" t="s">
        <v>5782</v>
      </c>
      <c r="C17301" s="1" t="s">
        <v>5783</v>
      </c>
      <c r="D17301" s="22" t="str">
        <f>HYPERLINK("https://rhld.insurance.arkansas.gov/NPILookup?Npi=1790294122","1790294122")</f>
        <v>1790294122</v>
      </c>
      <c r="E17301" s="1" t="s">
        <v>23321</v>
      </c>
      <c r="F17301" s="2"/>
      <c r="G17301" s="2"/>
      <c r="H17301" s="2"/>
    </row>
    <row r="17302" spans="1:8" x14ac:dyDescent="0.25">
      <c r="A17302" s="1"/>
      <c r="B17302" s="1" t="s">
        <v>5782</v>
      </c>
      <c r="C17302" s="1" t="s">
        <v>5783</v>
      </c>
      <c r="D17302" s="22" t="str">
        <f>HYPERLINK("https://rhld.insurance.arkansas.gov/NPILookup?Npi=1790306561","1790306561")</f>
        <v>1790306561</v>
      </c>
      <c r="E17302" s="1" t="s">
        <v>23322</v>
      </c>
      <c r="F17302" s="2"/>
      <c r="G17302" s="2"/>
      <c r="H17302" s="2"/>
    </row>
    <row r="17303" spans="1:8" x14ac:dyDescent="0.25">
      <c r="A17303" s="1"/>
      <c r="B17303" s="1" t="s">
        <v>5782</v>
      </c>
      <c r="C17303" s="1" t="s">
        <v>5783</v>
      </c>
      <c r="D17303" s="22" t="str">
        <f>HYPERLINK("https://rhld.insurance.arkansas.gov/NPILookup?Npi=1790311314","1790311314")</f>
        <v>1790311314</v>
      </c>
      <c r="E17303" s="1" t="s">
        <v>6650</v>
      </c>
      <c r="F17303" s="2"/>
      <c r="G17303" s="2"/>
      <c r="H17303" s="2"/>
    </row>
    <row r="17304" spans="1:8" x14ac:dyDescent="0.25">
      <c r="A17304" s="1"/>
      <c r="B17304" s="1" t="s">
        <v>5782</v>
      </c>
      <c r="C17304" s="1" t="s">
        <v>5783</v>
      </c>
      <c r="D17304" s="22" t="str">
        <f>HYPERLINK("https://rhld.insurance.arkansas.gov/NPILookup?Npi=1790322675","1790322675")</f>
        <v>1790322675</v>
      </c>
      <c r="E17304" s="1" t="s">
        <v>23323</v>
      </c>
      <c r="F17304" s="2"/>
      <c r="G17304" s="2"/>
      <c r="H17304" s="2"/>
    </row>
    <row r="17305" spans="1:8" x14ac:dyDescent="0.25">
      <c r="A17305" s="1"/>
      <c r="B17305" s="1" t="s">
        <v>5782</v>
      </c>
      <c r="C17305" s="1" t="s">
        <v>5783</v>
      </c>
      <c r="D17305" s="22" t="str">
        <f>HYPERLINK("https://rhld.insurance.arkansas.gov/NPILookup?Npi=1790332674","1790332674")</f>
        <v>1790332674</v>
      </c>
      <c r="E17305" s="1" t="s">
        <v>23324</v>
      </c>
      <c r="F17305" s="2"/>
      <c r="G17305" s="2"/>
      <c r="H17305" s="2"/>
    </row>
    <row r="17306" spans="1:8" x14ac:dyDescent="0.25">
      <c r="A17306" s="1"/>
      <c r="B17306" s="1" t="s">
        <v>5782</v>
      </c>
      <c r="C17306" s="1" t="s">
        <v>5783</v>
      </c>
      <c r="D17306" s="22" t="str">
        <f>HYPERLINK("https://rhld.insurance.arkansas.gov/NPILookup?Npi=1790347565","1790347565")</f>
        <v>1790347565</v>
      </c>
      <c r="E17306" s="1" t="s">
        <v>31946</v>
      </c>
      <c r="F17306" s="2"/>
      <c r="G17306" s="2"/>
      <c r="H17306" s="2"/>
    </row>
    <row r="17307" spans="1:8" x14ac:dyDescent="0.25">
      <c r="A17307" s="1"/>
      <c r="B17307" s="1" t="s">
        <v>5782</v>
      </c>
      <c r="C17307" s="1" t="s">
        <v>5783</v>
      </c>
      <c r="D17307" s="22" t="str">
        <f>HYPERLINK("https://rhld.insurance.arkansas.gov/NPILookup?Npi=1790366995","1790366995")</f>
        <v>1790366995</v>
      </c>
      <c r="E17307" s="1" t="s">
        <v>23325</v>
      </c>
      <c r="F17307" s="2"/>
      <c r="G17307" s="2"/>
      <c r="H17307" s="2"/>
    </row>
    <row r="17308" spans="1:8" x14ac:dyDescent="0.25">
      <c r="A17308" s="1"/>
      <c r="B17308" s="1" t="s">
        <v>5782</v>
      </c>
      <c r="C17308" s="1" t="s">
        <v>5783</v>
      </c>
      <c r="D17308" s="22" t="str">
        <f>HYPERLINK("https://rhld.insurance.arkansas.gov/NPILookup?Npi=1790368801","1790368801")</f>
        <v>1790368801</v>
      </c>
      <c r="E17308" s="1" t="s">
        <v>23326</v>
      </c>
      <c r="F17308" s="2"/>
      <c r="G17308" s="2"/>
      <c r="H17308" s="2"/>
    </row>
    <row r="17309" spans="1:8" x14ac:dyDescent="0.25">
      <c r="A17309" s="1"/>
      <c r="B17309" s="1" t="s">
        <v>5782</v>
      </c>
      <c r="C17309" s="1" t="s">
        <v>5783</v>
      </c>
      <c r="D17309" s="22" t="str">
        <f>HYPERLINK("https://rhld.insurance.arkansas.gov/NPILookup?Npi=1790373033","1790373033")</f>
        <v>1790373033</v>
      </c>
      <c r="E17309" s="1" t="s">
        <v>12104</v>
      </c>
      <c r="F17309" s="2"/>
      <c r="G17309" s="2"/>
      <c r="H17309" s="2"/>
    </row>
    <row r="17310" spans="1:8" x14ac:dyDescent="0.25">
      <c r="A17310" s="1"/>
      <c r="B17310" s="1" t="s">
        <v>5782</v>
      </c>
      <c r="C17310" s="1" t="s">
        <v>5783</v>
      </c>
      <c r="D17310" s="22" t="str">
        <f>HYPERLINK("https://rhld.insurance.arkansas.gov/NPILookup?Npi=1790377075","1790377075")</f>
        <v>1790377075</v>
      </c>
      <c r="E17310" s="1" t="s">
        <v>6651</v>
      </c>
      <c r="F17310" s="2"/>
      <c r="G17310" s="2"/>
      <c r="H17310" s="2"/>
    </row>
    <row r="17311" spans="1:8" x14ac:dyDescent="0.25">
      <c r="A17311" s="1"/>
      <c r="B17311" s="1" t="s">
        <v>5782</v>
      </c>
      <c r="C17311" s="1" t="s">
        <v>5783</v>
      </c>
      <c r="D17311" s="22" t="str">
        <f>HYPERLINK("https://rhld.insurance.arkansas.gov/NPILookup?Npi=1790396224","1790396224")</f>
        <v>1790396224</v>
      </c>
      <c r="E17311" s="1" t="s">
        <v>31947</v>
      </c>
      <c r="F17311" s="2"/>
      <c r="G17311" s="2"/>
      <c r="H17311" s="2"/>
    </row>
    <row r="17312" spans="1:8" x14ac:dyDescent="0.25">
      <c r="A17312" s="1"/>
      <c r="B17312" s="1" t="s">
        <v>5782</v>
      </c>
      <c r="C17312" s="1" t="s">
        <v>5783</v>
      </c>
      <c r="D17312" s="22" t="str">
        <f>HYPERLINK("https://rhld.insurance.arkansas.gov/NPILookup?Npi=1790397537","1790397537")</f>
        <v>1790397537</v>
      </c>
      <c r="E17312" s="1" t="s">
        <v>23327</v>
      </c>
      <c r="F17312" s="2"/>
      <c r="G17312" s="2"/>
      <c r="H17312" s="2"/>
    </row>
    <row r="17313" spans="1:8" x14ac:dyDescent="0.25">
      <c r="A17313" s="1"/>
      <c r="B17313" s="1" t="s">
        <v>5782</v>
      </c>
      <c r="C17313" s="1" t="s">
        <v>5783</v>
      </c>
      <c r="D17313" s="22" t="str">
        <f>HYPERLINK("https://rhld.insurance.arkansas.gov/NPILookup?Npi=1790398311","1790398311")</f>
        <v>1790398311</v>
      </c>
      <c r="E17313" s="1" t="s">
        <v>23328</v>
      </c>
      <c r="F17313" s="2"/>
      <c r="G17313" s="2"/>
      <c r="H17313" s="2"/>
    </row>
    <row r="17314" spans="1:8" x14ac:dyDescent="0.25">
      <c r="A17314" s="1"/>
      <c r="B17314" s="1" t="s">
        <v>5782</v>
      </c>
      <c r="C17314" s="1" t="s">
        <v>5783</v>
      </c>
      <c r="D17314" s="22" t="str">
        <f>HYPERLINK("https://rhld.insurance.arkansas.gov/NPILookup?Npi=1790398899","1790398899")</f>
        <v>1790398899</v>
      </c>
      <c r="E17314" s="1" t="s">
        <v>23329</v>
      </c>
      <c r="F17314" s="2"/>
      <c r="G17314" s="2"/>
      <c r="H17314" s="2"/>
    </row>
    <row r="17315" spans="1:8" x14ac:dyDescent="0.25">
      <c r="A17315" s="1"/>
      <c r="B17315" s="1" t="s">
        <v>5782</v>
      </c>
      <c r="C17315" s="1" t="s">
        <v>5783</v>
      </c>
      <c r="D17315" s="22" t="str">
        <f>HYPERLINK("https://rhld.insurance.arkansas.gov/NPILookup?Npi=1790400034","1790400034")</f>
        <v>1790400034</v>
      </c>
      <c r="E17315" s="1" t="s">
        <v>23330</v>
      </c>
      <c r="F17315" s="2"/>
      <c r="G17315" s="2"/>
      <c r="H17315" s="2"/>
    </row>
    <row r="17316" spans="1:8" x14ac:dyDescent="0.25">
      <c r="A17316" s="1"/>
      <c r="B17316" s="1" t="s">
        <v>5782</v>
      </c>
      <c r="C17316" s="1" t="s">
        <v>5783</v>
      </c>
      <c r="D17316" s="22" t="str">
        <f>HYPERLINK("https://rhld.insurance.arkansas.gov/NPILookup?Npi=1790408482","1790408482")</f>
        <v>1790408482</v>
      </c>
      <c r="E17316" s="1" t="s">
        <v>23331</v>
      </c>
      <c r="F17316" s="2"/>
      <c r="G17316" s="2"/>
      <c r="H17316" s="2"/>
    </row>
    <row r="17317" spans="1:8" x14ac:dyDescent="0.25">
      <c r="A17317" s="1"/>
      <c r="B17317" s="1" t="s">
        <v>5782</v>
      </c>
      <c r="C17317" s="1" t="s">
        <v>5783</v>
      </c>
      <c r="D17317" s="22" t="str">
        <f>HYPERLINK("https://rhld.insurance.arkansas.gov/NPILookup?Npi=1790440352","1790440352")</f>
        <v>1790440352</v>
      </c>
      <c r="E17317" s="1" t="s">
        <v>6653</v>
      </c>
      <c r="F17317" s="2"/>
      <c r="G17317" s="2"/>
      <c r="H17317" s="2"/>
    </row>
    <row r="17318" spans="1:8" x14ac:dyDescent="0.25">
      <c r="A17318" s="1"/>
      <c r="B17318" s="1" t="s">
        <v>5782</v>
      </c>
      <c r="C17318" s="1" t="s">
        <v>5783</v>
      </c>
      <c r="D17318" s="22" t="str">
        <f>HYPERLINK("https://rhld.insurance.arkansas.gov/NPILookup?Npi=1790454643","1790454643")</f>
        <v>1790454643</v>
      </c>
      <c r="E17318" s="1" t="s">
        <v>23332</v>
      </c>
      <c r="F17318" s="2"/>
      <c r="G17318" s="2"/>
      <c r="H17318" s="2"/>
    </row>
    <row r="17319" spans="1:8" x14ac:dyDescent="0.25">
      <c r="A17319" s="1"/>
      <c r="B17319" s="1" t="s">
        <v>5782</v>
      </c>
      <c r="C17319" s="1" t="s">
        <v>5783</v>
      </c>
      <c r="D17319" s="22" t="str">
        <f>HYPERLINK("https://rhld.insurance.arkansas.gov/NPILookup?Npi=1790458198","1790458198")</f>
        <v>1790458198</v>
      </c>
      <c r="E17319" s="1" t="s">
        <v>23333</v>
      </c>
      <c r="F17319" s="2"/>
      <c r="G17319" s="2"/>
      <c r="H17319" s="2"/>
    </row>
    <row r="17320" spans="1:8" x14ac:dyDescent="0.25">
      <c r="A17320" s="1"/>
      <c r="B17320" s="1" t="s">
        <v>5782</v>
      </c>
      <c r="C17320" s="1" t="s">
        <v>5783</v>
      </c>
      <c r="D17320" s="22" t="str">
        <f>HYPERLINK("https://rhld.insurance.arkansas.gov/NPILookup?Npi=1790562924","1790562924")</f>
        <v>1790562924</v>
      </c>
      <c r="E17320" s="1" t="s">
        <v>23334</v>
      </c>
      <c r="F17320" s="2"/>
      <c r="G17320" s="2"/>
      <c r="H17320" s="2"/>
    </row>
    <row r="17321" spans="1:8" x14ac:dyDescent="0.25">
      <c r="A17321" s="1"/>
      <c r="B17321" s="1" t="s">
        <v>5782</v>
      </c>
      <c r="C17321" s="1" t="s">
        <v>5783</v>
      </c>
      <c r="D17321" s="22" t="str">
        <f>HYPERLINK("https://rhld.insurance.arkansas.gov/NPILookup?Npi=1790707719","1790707719")</f>
        <v>1790707719</v>
      </c>
      <c r="E17321" s="1" t="s">
        <v>3376</v>
      </c>
      <c r="F17321" s="2"/>
      <c r="G17321" s="2"/>
      <c r="H17321" s="2"/>
    </row>
    <row r="17322" spans="1:8" x14ac:dyDescent="0.25">
      <c r="A17322" s="1"/>
      <c r="B17322" s="1" t="s">
        <v>5782</v>
      </c>
      <c r="C17322" s="1" t="s">
        <v>5783</v>
      </c>
      <c r="D17322" s="22" t="str">
        <f>HYPERLINK("https://rhld.insurance.arkansas.gov/NPILookup?Npi=1790710044","1790710044")</f>
        <v>1790710044</v>
      </c>
      <c r="E17322" s="1" t="s">
        <v>23335</v>
      </c>
      <c r="F17322" s="2"/>
      <c r="G17322" s="2"/>
      <c r="H17322" s="2"/>
    </row>
    <row r="17323" spans="1:8" x14ac:dyDescent="0.25">
      <c r="A17323" s="1"/>
      <c r="B17323" s="1" t="s">
        <v>5782</v>
      </c>
      <c r="C17323" s="1" t="s">
        <v>5783</v>
      </c>
      <c r="D17323" s="22" t="str">
        <f>HYPERLINK("https://rhld.insurance.arkansas.gov/NPILookup?Npi=1790720415","1790720415")</f>
        <v>1790720415</v>
      </c>
      <c r="E17323" s="1" t="s">
        <v>12105</v>
      </c>
      <c r="F17323" s="2"/>
      <c r="G17323" s="2"/>
      <c r="H17323" s="2"/>
    </row>
    <row r="17324" spans="1:8" x14ac:dyDescent="0.25">
      <c r="A17324" s="1"/>
      <c r="B17324" s="1" t="s">
        <v>5782</v>
      </c>
      <c r="C17324" s="1" t="s">
        <v>5783</v>
      </c>
      <c r="D17324" s="22" t="str">
        <f>HYPERLINK("https://rhld.insurance.arkansas.gov/NPILookup?Npi=1790733947","1790733947")</f>
        <v>1790733947</v>
      </c>
      <c r="E17324" s="1" t="s">
        <v>23336</v>
      </c>
      <c r="F17324" s="2"/>
      <c r="G17324" s="2"/>
      <c r="H17324" s="2"/>
    </row>
    <row r="17325" spans="1:8" x14ac:dyDescent="0.25">
      <c r="A17325" s="1"/>
      <c r="B17325" s="1" t="s">
        <v>5782</v>
      </c>
      <c r="C17325" s="1" t="s">
        <v>5783</v>
      </c>
      <c r="D17325" s="22" t="str">
        <f>HYPERLINK("https://rhld.insurance.arkansas.gov/NPILookup?Npi=1790785723","1790785723")</f>
        <v>1790785723</v>
      </c>
      <c r="E17325" s="1" t="s">
        <v>12106</v>
      </c>
      <c r="F17325" s="2"/>
      <c r="G17325" s="2"/>
      <c r="H17325" s="2"/>
    </row>
    <row r="17326" spans="1:8" x14ac:dyDescent="0.25">
      <c r="A17326" s="1"/>
      <c r="B17326" s="1" t="s">
        <v>5782</v>
      </c>
      <c r="C17326" s="1" t="s">
        <v>5783</v>
      </c>
      <c r="D17326" s="22" t="str">
        <f>HYPERLINK("https://rhld.insurance.arkansas.gov/NPILookup?Npi=1790820140","1790820140")</f>
        <v>1790820140</v>
      </c>
      <c r="E17326" s="1" t="s">
        <v>23337</v>
      </c>
      <c r="F17326" s="2"/>
      <c r="G17326" s="2"/>
      <c r="H17326" s="2"/>
    </row>
    <row r="17327" spans="1:8" x14ac:dyDescent="0.25">
      <c r="A17327" s="1"/>
      <c r="B17327" s="1" t="s">
        <v>5782</v>
      </c>
      <c r="C17327" s="1" t="s">
        <v>5783</v>
      </c>
      <c r="D17327" s="22" t="str">
        <f>HYPERLINK("https://rhld.insurance.arkansas.gov/NPILookup?Npi=1790899011","1790899011")</f>
        <v>1790899011</v>
      </c>
      <c r="E17327" s="1" t="s">
        <v>12107</v>
      </c>
      <c r="F17327" s="2"/>
      <c r="G17327" s="2"/>
      <c r="H17327" s="2"/>
    </row>
    <row r="17328" spans="1:8" x14ac:dyDescent="0.25">
      <c r="A17328" s="1"/>
      <c r="B17328" s="1" t="s">
        <v>5782</v>
      </c>
      <c r="C17328" s="1" t="s">
        <v>5783</v>
      </c>
      <c r="D17328" s="22" t="str">
        <f>HYPERLINK("https://rhld.insurance.arkansas.gov/NPILookup?Npi=1790902831","1790902831")</f>
        <v>1790902831</v>
      </c>
      <c r="E17328" s="1" t="s">
        <v>3378</v>
      </c>
      <c r="F17328" s="2"/>
      <c r="G17328" s="2"/>
      <c r="H17328" s="2"/>
    </row>
    <row r="17329" spans="1:8" x14ac:dyDescent="0.25">
      <c r="A17329" s="1"/>
      <c r="B17329" s="1" t="s">
        <v>5782</v>
      </c>
      <c r="C17329" s="1" t="s">
        <v>5783</v>
      </c>
      <c r="D17329" s="22" t="str">
        <f>HYPERLINK("https://rhld.insurance.arkansas.gov/NPILookup?Npi=1790905107","1790905107")</f>
        <v>1790905107</v>
      </c>
      <c r="E17329" s="1" t="s">
        <v>6654</v>
      </c>
      <c r="F17329" s="2"/>
      <c r="G17329" s="2"/>
      <c r="H17329" s="2"/>
    </row>
    <row r="17330" spans="1:8" x14ac:dyDescent="0.25">
      <c r="A17330" s="1"/>
      <c r="B17330" s="1" t="s">
        <v>5782</v>
      </c>
      <c r="C17330" s="1" t="s">
        <v>5783</v>
      </c>
      <c r="D17330" s="22" t="str">
        <f>HYPERLINK("https://rhld.insurance.arkansas.gov/NPILookup?Npi=1790908374","1790908374")</f>
        <v>1790908374</v>
      </c>
      <c r="E17330" s="1" t="s">
        <v>12108</v>
      </c>
      <c r="F17330" s="2"/>
      <c r="G17330" s="2"/>
      <c r="H17330" s="2"/>
    </row>
    <row r="17331" spans="1:8" x14ac:dyDescent="0.25">
      <c r="A17331" s="1"/>
      <c r="B17331" s="1" t="s">
        <v>5782</v>
      </c>
      <c r="C17331" s="1" t="s">
        <v>5783</v>
      </c>
      <c r="D17331" s="22" t="str">
        <f>HYPERLINK("https://rhld.insurance.arkansas.gov/NPILookup?Npi=1790918795","1790918795")</f>
        <v>1790918795</v>
      </c>
      <c r="E17331" s="1" t="s">
        <v>23338</v>
      </c>
      <c r="F17331" s="2"/>
      <c r="G17331" s="2"/>
      <c r="H17331" s="2"/>
    </row>
    <row r="17332" spans="1:8" x14ac:dyDescent="0.25">
      <c r="A17332" s="1"/>
      <c r="B17332" s="1" t="s">
        <v>5782</v>
      </c>
      <c r="C17332" s="1" t="s">
        <v>5783</v>
      </c>
      <c r="D17332" s="22" t="str">
        <f>HYPERLINK("https://rhld.insurance.arkansas.gov/NPILookup?Npi=1790933513","1790933513")</f>
        <v>1790933513</v>
      </c>
      <c r="E17332" s="1" t="s">
        <v>23339</v>
      </c>
      <c r="F17332" s="2"/>
      <c r="G17332" s="2"/>
      <c r="H17332" s="2"/>
    </row>
    <row r="17333" spans="1:8" x14ac:dyDescent="0.25">
      <c r="A17333" s="1"/>
      <c r="B17333" s="1" t="s">
        <v>5782</v>
      </c>
      <c r="C17333" s="1" t="s">
        <v>5783</v>
      </c>
      <c r="D17333" s="22" t="str">
        <f>HYPERLINK("https://rhld.insurance.arkansas.gov/NPILookup?Npi=1790936045","1790936045")</f>
        <v>1790936045</v>
      </c>
      <c r="E17333" s="1" t="s">
        <v>23340</v>
      </c>
      <c r="F17333" s="2"/>
      <c r="G17333" s="2"/>
      <c r="H17333" s="2"/>
    </row>
    <row r="17334" spans="1:8" x14ac:dyDescent="0.25">
      <c r="A17334" s="1"/>
      <c r="B17334" s="1" t="s">
        <v>5782</v>
      </c>
      <c r="C17334" s="1" t="s">
        <v>5783</v>
      </c>
      <c r="D17334" s="22" t="str">
        <f>HYPERLINK("https://rhld.insurance.arkansas.gov/NPILookup?Npi=1790939395","1790939395")</f>
        <v>1790939395</v>
      </c>
      <c r="E17334" s="1" t="s">
        <v>6655</v>
      </c>
      <c r="F17334" s="2"/>
      <c r="G17334" s="2"/>
      <c r="H17334" s="2"/>
    </row>
    <row r="17335" spans="1:8" x14ac:dyDescent="0.25">
      <c r="A17335" s="1"/>
      <c r="B17335" s="1" t="s">
        <v>5782</v>
      </c>
      <c r="C17335" s="1" t="s">
        <v>5783</v>
      </c>
      <c r="D17335" s="22" t="str">
        <f>HYPERLINK("https://rhld.insurance.arkansas.gov/NPILookup?Npi=1790941706","1790941706")</f>
        <v>1790941706</v>
      </c>
      <c r="E17335" s="1" t="s">
        <v>23341</v>
      </c>
      <c r="F17335" s="2"/>
      <c r="G17335" s="2"/>
      <c r="H17335" s="2"/>
    </row>
    <row r="17336" spans="1:8" x14ac:dyDescent="0.25">
      <c r="A17336" s="1"/>
      <c r="B17336" s="1" t="s">
        <v>5782</v>
      </c>
      <c r="C17336" s="1" t="s">
        <v>5783</v>
      </c>
      <c r="D17336" s="22" t="str">
        <f>HYPERLINK("https://rhld.insurance.arkansas.gov/NPILookup?Npi=1790966182","1790966182")</f>
        <v>1790966182</v>
      </c>
      <c r="E17336" s="1" t="s">
        <v>23342</v>
      </c>
      <c r="F17336" s="2"/>
      <c r="G17336" s="2"/>
      <c r="H17336" s="2"/>
    </row>
    <row r="17337" spans="1:8" x14ac:dyDescent="0.25">
      <c r="A17337" s="1"/>
      <c r="B17337" s="1" t="s">
        <v>5782</v>
      </c>
      <c r="C17337" s="1" t="s">
        <v>5783</v>
      </c>
      <c r="D17337" s="22" t="str">
        <f>HYPERLINK("https://rhld.insurance.arkansas.gov/NPILookup?Npi=1790980118","1790980118")</f>
        <v>1790980118</v>
      </c>
      <c r="E17337" s="1" t="s">
        <v>6656</v>
      </c>
      <c r="F17337" s="2"/>
      <c r="G17337" s="2"/>
      <c r="H17337" s="2"/>
    </row>
    <row r="17338" spans="1:8" x14ac:dyDescent="0.25">
      <c r="A17338" s="1"/>
      <c r="B17338" s="1" t="s">
        <v>5782</v>
      </c>
      <c r="C17338" s="1" t="s">
        <v>5783</v>
      </c>
      <c r="D17338" s="22" t="str">
        <f>HYPERLINK("https://rhld.insurance.arkansas.gov/NPILookup?Npi=1790981264","1790981264")</f>
        <v>1790981264</v>
      </c>
      <c r="E17338" s="1" t="s">
        <v>6657</v>
      </c>
      <c r="F17338" s="2"/>
      <c r="G17338" s="2"/>
      <c r="H17338" s="2"/>
    </row>
    <row r="17339" spans="1:8" x14ac:dyDescent="0.25">
      <c r="A17339" s="1"/>
      <c r="B17339" s="1" t="s">
        <v>5782</v>
      </c>
      <c r="C17339" s="1" t="s">
        <v>5783</v>
      </c>
      <c r="D17339" s="22" t="str">
        <f>HYPERLINK("https://rhld.insurance.arkansas.gov/NPILookup?Npi=1790985109","1790985109")</f>
        <v>1790985109</v>
      </c>
      <c r="E17339" s="1" t="s">
        <v>23343</v>
      </c>
      <c r="F17339" s="2"/>
      <c r="G17339" s="2"/>
      <c r="H17339" s="2"/>
    </row>
    <row r="17340" spans="1:8" x14ac:dyDescent="0.25">
      <c r="A17340" s="1"/>
      <c r="B17340" s="1" t="s">
        <v>5782</v>
      </c>
      <c r="C17340" s="1" t="s">
        <v>5783</v>
      </c>
      <c r="D17340" s="22" t="str">
        <f>HYPERLINK("https://rhld.insurance.arkansas.gov/NPILookup?Npi=1790991883","1790991883")</f>
        <v>1790991883</v>
      </c>
      <c r="E17340" s="1" t="s">
        <v>12109</v>
      </c>
      <c r="F17340" s="2"/>
      <c r="G17340" s="2"/>
      <c r="H17340" s="2"/>
    </row>
    <row r="17341" spans="1:8" x14ac:dyDescent="0.25">
      <c r="A17341" s="1"/>
      <c r="B17341" s="1" t="s">
        <v>5782</v>
      </c>
      <c r="C17341" s="1" t="s">
        <v>5783</v>
      </c>
      <c r="D17341" s="22" t="str">
        <f>HYPERLINK("https://rhld.insurance.arkansas.gov/NPILookup?Npi=1801001763","1801001763")</f>
        <v>1801001763</v>
      </c>
      <c r="E17341" s="1" t="s">
        <v>23344</v>
      </c>
      <c r="F17341" s="2"/>
      <c r="G17341" s="2"/>
      <c r="H17341" s="2"/>
    </row>
    <row r="17342" spans="1:8" x14ac:dyDescent="0.25">
      <c r="A17342" s="1"/>
      <c r="B17342" s="1" t="s">
        <v>5782</v>
      </c>
      <c r="C17342" s="1" t="s">
        <v>5783</v>
      </c>
      <c r="D17342" s="22" t="str">
        <f>HYPERLINK("https://rhld.insurance.arkansas.gov/NPILookup?Npi=1801021696","1801021696")</f>
        <v>1801021696</v>
      </c>
      <c r="E17342" s="1" t="s">
        <v>23345</v>
      </c>
      <c r="F17342" s="2"/>
      <c r="G17342" s="2"/>
      <c r="H17342" s="2"/>
    </row>
    <row r="17343" spans="1:8" x14ac:dyDescent="0.25">
      <c r="A17343" s="1"/>
      <c r="B17343" s="1" t="s">
        <v>5782</v>
      </c>
      <c r="C17343" s="1" t="s">
        <v>5783</v>
      </c>
      <c r="D17343" s="22" t="str">
        <f>HYPERLINK("https://rhld.insurance.arkansas.gov/NPILookup?Npi=1801042247","1801042247")</f>
        <v>1801042247</v>
      </c>
      <c r="E17343" s="1" t="s">
        <v>1524</v>
      </c>
      <c r="F17343" s="2"/>
      <c r="G17343" s="2"/>
      <c r="H17343" s="2"/>
    </row>
    <row r="17344" spans="1:8" x14ac:dyDescent="0.25">
      <c r="A17344" s="1"/>
      <c r="B17344" s="1" t="s">
        <v>5782</v>
      </c>
      <c r="C17344" s="1" t="s">
        <v>5783</v>
      </c>
      <c r="D17344" s="22" t="str">
        <f>HYPERLINK("https://rhld.insurance.arkansas.gov/NPILookup?Npi=1801042825","1801042825")</f>
        <v>1801042825</v>
      </c>
      <c r="E17344" s="1" t="s">
        <v>23346</v>
      </c>
      <c r="F17344" s="2"/>
      <c r="G17344" s="2"/>
      <c r="H17344" s="2"/>
    </row>
    <row r="17345" spans="1:8" x14ac:dyDescent="0.25">
      <c r="A17345" s="1"/>
      <c r="B17345" s="1" t="s">
        <v>5782</v>
      </c>
      <c r="C17345" s="1" t="s">
        <v>5783</v>
      </c>
      <c r="D17345" s="22" t="str">
        <f>HYPERLINK("https://rhld.insurance.arkansas.gov/NPILookup?Npi=1801046032","1801046032")</f>
        <v>1801046032</v>
      </c>
      <c r="E17345" s="1" t="s">
        <v>12110</v>
      </c>
      <c r="F17345" s="2"/>
      <c r="G17345" s="2"/>
      <c r="H17345" s="2"/>
    </row>
    <row r="17346" spans="1:8" x14ac:dyDescent="0.25">
      <c r="A17346" s="1"/>
      <c r="B17346" s="1" t="s">
        <v>5782</v>
      </c>
      <c r="C17346" s="1" t="s">
        <v>5783</v>
      </c>
      <c r="D17346" s="22" t="str">
        <f>HYPERLINK("https://rhld.insurance.arkansas.gov/NPILookup?Npi=1801048723","1801048723")</f>
        <v>1801048723</v>
      </c>
      <c r="E17346" s="1" t="s">
        <v>23347</v>
      </c>
      <c r="F17346" s="2"/>
      <c r="G17346" s="2"/>
      <c r="H17346" s="2"/>
    </row>
    <row r="17347" spans="1:8" x14ac:dyDescent="0.25">
      <c r="A17347" s="1"/>
      <c r="B17347" s="1" t="s">
        <v>5782</v>
      </c>
      <c r="C17347" s="1" t="s">
        <v>5783</v>
      </c>
      <c r="D17347" s="22" t="str">
        <f>HYPERLINK("https://rhld.insurance.arkansas.gov/NPILookup?Npi=1801048939","1801048939")</f>
        <v>1801048939</v>
      </c>
      <c r="E17347" s="1" t="s">
        <v>2513</v>
      </c>
      <c r="F17347" s="2"/>
      <c r="G17347" s="2"/>
      <c r="H17347" s="2"/>
    </row>
    <row r="17348" spans="1:8" x14ac:dyDescent="0.25">
      <c r="A17348" s="1"/>
      <c r="B17348" s="1" t="s">
        <v>5782</v>
      </c>
      <c r="C17348" s="1" t="s">
        <v>5783</v>
      </c>
      <c r="D17348" s="22" t="str">
        <f>HYPERLINK("https://rhld.insurance.arkansas.gov/NPILookup?Npi=1801085246","1801085246")</f>
        <v>1801085246</v>
      </c>
      <c r="E17348" s="1" t="s">
        <v>12111</v>
      </c>
      <c r="F17348" s="2"/>
      <c r="G17348" s="2"/>
      <c r="H17348" s="2"/>
    </row>
    <row r="17349" spans="1:8" x14ac:dyDescent="0.25">
      <c r="A17349" s="1"/>
      <c r="B17349" s="1" t="s">
        <v>5782</v>
      </c>
      <c r="C17349" s="1" t="s">
        <v>5783</v>
      </c>
      <c r="D17349" s="22" t="str">
        <f>HYPERLINK("https://rhld.insurance.arkansas.gov/NPILookup?Npi=1801101126","1801101126")</f>
        <v>1801101126</v>
      </c>
      <c r="E17349" s="1" t="s">
        <v>23348</v>
      </c>
      <c r="F17349" s="2"/>
      <c r="G17349" s="2"/>
      <c r="H17349" s="2"/>
    </row>
    <row r="17350" spans="1:8" x14ac:dyDescent="0.25">
      <c r="A17350" s="1"/>
      <c r="B17350" s="1" t="s">
        <v>5782</v>
      </c>
      <c r="C17350" s="1" t="s">
        <v>5783</v>
      </c>
      <c r="D17350" s="22" t="str">
        <f>HYPERLINK("https://rhld.insurance.arkansas.gov/NPILookup?Npi=1801122031","1801122031")</f>
        <v>1801122031</v>
      </c>
      <c r="E17350" s="1" t="s">
        <v>6658</v>
      </c>
      <c r="F17350" s="2"/>
      <c r="G17350" s="2"/>
      <c r="H17350" s="2"/>
    </row>
    <row r="17351" spans="1:8" x14ac:dyDescent="0.25">
      <c r="A17351" s="1"/>
      <c r="B17351" s="1" t="s">
        <v>5782</v>
      </c>
      <c r="C17351" s="1" t="s">
        <v>5783</v>
      </c>
      <c r="D17351" s="22" t="str">
        <f>HYPERLINK("https://rhld.insurance.arkansas.gov/NPILookup?Npi=1801135009","1801135009")</f>
        <v>1801135009</v>
      </c>
      <c r="E17351" s="1" t="s">
        <v>23349</v>
      </c>
      <c r="F17351" s="2"/>
      <c r="G17351" s="2"/>
      <c r="H17351" s="2"/>
    </row>
    <row r="17352" spans="1:8" x14ac:dyDescent="0.25">
      <c r="A17352" s="1"/>
      <c r="B17352" s="1" t="s">
        <v>5782</v>
      </c>
      <c r="C17352" s="1" t="s">
        <v>5783</v>
      </c>
      <c r="D17352" s="22" t="str">
        <f>HYPERLINK("https://rhld.insurance.arkansas.gov/NPILookup?Npi=1801136072","1801136072")</f>
        <v>1801136072</v>
      </c>
      <c r="E17352" s="1" t="s">
        <v>1149</v>
      </c>
      <c r="F17352" s="2"/>
      <c r="G17352" s="2"/>
      <c r="H17352" s="2"/>
    </row>
    <row r="17353" spans="1:8" x14ac:dyDescent="0.25">
      <c r="A17353" s="1"/>
      <c r="B17353" s="1" t="s">
        <v>5782</v>
      </c>
      <c r="C17353" s="1" t="s">
        <v>5783</v>
      </c>
      <c r="D17353" s="22" t="str">
        <f>HYPERLINK("https://rhld.insurance.arkansas.gov/NPILookup?Npi=1801151436","1801151436")</f>
        <v>1801151436</v>
      </c>
      <c r="E17353" s="1" t="s">
        <v>23350</v>
      </c>
      <c r="F17353" s="2"/>
      <c r="G17353" s="2"/>
      <c r="H17353" s="2"/>
    </row>
    <row r="17354" spans="1:8" x14ac:dyDescent="0.25">
      <c r="A17354" s="1"/>
      <c r="B17354" s="1" t="s">
        <v>5782</v>
      </c>
      <c r="C17354" s="1" t="s">
        <v>5783</v>
      </c>
      <c r="D17354" s="22" t="str">
        <f>HYPERLINK("https://rhld.insurance.arkansas.gov/NPILookup?Npi=1801166160","1801166160")</f>
        <v>1801166160</v>
      </c>
      <c r="E17354" s="1" t="s">
        <v>23351</v>
      </c>
      <c r="F17354" s="2"/>
      <c r="G17354" s="2"/>
      <c r="H17354" s="2"/>
    </row>
    <row r="17355" spans="1:8" x14ac:dyDescent="0.25">
      <c r="A17355" s="1"/>
      <c r="B17355" s="1" t="s">
        <v>5782</v>
      </c>
      <c r="C17355" s="1" t="s">
        <v>5783</v>
      </c>
      <c r="D17355" s="22" t="str">
        <f>HYPERLINK("https://rhld.insurance.arkansas.gov/NPILookup?Npi=1801171079","1801171079")</f>
        <v>1801171079</v>
      </c>
      <c r="E17355" s="1" t="s">
        <v>12112</v>
      </c>
      <c r="F17355" s="2"/>
      <c r="G17355" s="2"/>
      <c r="H17355" s="2"/>
    </row>
    <row r="17356" spans="1:8" x14ac:dyDescent="0.25">
      <c r="A17356" s="1"/>
      <c r="B17356" s="1" t="s">
        <v>5782</v>
      </c>
      <c r="C17356" s="1" t="s">
        <v>5783</v>
      </c>
      <c r="D17356" s="22" t="str">
        <f>HYPERLINK("https://rhld.insurance.arkansas.gov/NPILookup?Npi=1801174545","1801174545")</f>
        <v>1801174545</v>
      </c>
      <c r="E17356" s="1" t="s">
        <v>23352</v>
      </c>
      <c r="F17356" s="2"/>
      <c r="G17356" s="2"/>
      <c r="H17356" s="2"/>
    </row>
    <row r="17357" spans="1:8" x14ac:dyDescent="0.25">
      <c r="A17357" s="1"/>
      <c r="B17357" s="1" t="s">
        <v>5782</v>
      </c>
      <c r="C17357" s="1" t="s">
        <v>5783</v>
      </c>
      <c r="D17357" s="22" t="str">
        <f>HYPERLINK("https://rhld.insurance.arkansas.gov/NPILookup?Npi=1801176888","1801176888")</f>
        <v>1801176888</v>
      </c>
      <c r="E17357" s="1" t="s">
        <v>23353</v>
      </c>
      <c r="F17357" s="2"/>
      <c r="G17357" s="2"/>
      <c r="H17357" s="2"/>
    </row>
    <row r="17358" spans="1:8" x14ac:dyDescent="0.25">
      <c r="A17358" s="1"/>
      <c r="B17358" s="1" t="s">
        <v>5782</v>
      </c>
      <c r="C17358" s="1" t="s">
        <v>5783</v>
      </c>
      <c r="D17358" s="22" t="str">
        <f>HYPERLINK("https://rhld.insurance.arkansas.gov/NPILookup?Npi=1801191382","1801191382")</f>
        <v>1801191382</v>
      </c>
      <c r="E17358" s="1" t="s">
        <v>23354</v>
      </c>
      <c r="F17358" s="2"/>
      <c r="G17358" s="2"/>
      <c r="H17358" s="2"/>
    </row>
    <row r="17359" spans="1:8" x14ac:dyDescent="0.25">
      <c r="A17359" s="1"/>
      <c r="B17359" s="1" t="s">
        <v>5782</v>
      </c>
      <c r="C17359" s="1" t="s">
        <v>5783</v>
      </c>
      <c r="D17359" s="22" t="str">
        <f>HYPERLINK("https://rhld.insurance.arkansas.gov/NPILookup?Npi=1801191465","1801191465")</f>
        <v>1801191465</v>
      </c>
      <c r="E17359" s="1" t="s">
        <v>23355</v>
      </c>
      <c r="F17359" s="2"/>
      <c r="G17359" s="2"/>
      <c r="H17359" s="2"/>
    </row>
    <row r="17360" spans="1:8" x14ac:dyDescent="0.25">
      <c r="A17360" s="1"/>
      <c r="B17360" s="1" t="s">
        <v>5782</v>
      </c>
      <c r="C17360" s="1" t="s">
        <v>5783</v>
      </c>
      <c r="D17360" s="22" t="str">
        <f>HYPERLINK("https://rhld.insurance.arkansas.gov/NPILookup?Npi=1801201454","1801201454")</f>
        <v>1801201454</v>
      </c>
      <c r="E17360" s="1" t="s">
        <v>12113</v>
      </c>
      <c r="F17360" s="2"/>
      <c r="G17360" s="2"/>
      <c r="H17360" s="2"/>
    </row>
    <row r="17361" spans="1:8" x14ac:dyDescent="0.25">
      <c r="A17361" s="1"/>
      <c r="B17361" s="1" t="s">
        <v>5782</v>
      </c>
      <c r="C17361" s="1" t="s">
        <v>5783</v>
      </c>
      <c r="D17361" s="22" t="str">
        <f>HYPERLINK("https://rhld.insurance.arkansas.gov/NPILookup?Npi=1801223532","1801223532")</f>
        <v>1801223532</v>
      </c>
      <c r="E17361" s="1" t="s">
        <v>23356</v>
      </c>
      <c r="F17361" s="2"/>
      <c r="G17361" s="2"/>
      <c r="H17361" s="2"/>
    </row>
    <row r="17362" spans="1:8" x14ac:dyDescent="0.25">
      <c r="A17362" s="1"/>
      <c r="B17362" s="1" t="s">
        <v>5782</v>
      </c>
      <c r="C17362" s="1" t="s">
        <v>5783</v>
      </c>
      <c r="D17362" s="22" t="str">
        <f>HYPERLINK("https://rhld.insurance.arkansas.gov/NPILookup?Npi=1801234661","1801234661")</f>
        <v>1801234661</v>
      </c>
      <c r="E17362" s="1" t="s">
        <v>23357</v>
      </c>
      <c r="F17362" s="2"/>
      <c r="G17362" s="2"/>
      <c r="H17362" s="2"/>
    </row>
    <row r="17363" spans="1:8" x14ac:dyDescent="0.25">
      <c r="A17363" s="1"/>
      <c r="B17363" s="1" t="s">
        <v>5782</v>
      </c>
      <c r="C17363" s="1" t="s">
        <v>5783</v>
      </c>
      <c r="D17363" s="22" t="str">
        <f>HYPERLINK("https://rhld.insurance.arkansas.gov/NPILookup?Npi=1801234752","1801234752")</f>
        <v>1801234752</v>
      </c>
      <c r="E17363" s="1" t="s">
        <v>2217</v>
      </c>
      <c r="F17363" s="2"/>
      <c r="G17363" s="2"/>
      <c r="H17363" s="2"/>
    </row>
    <row r="17364" spans="1:8" x14ac:dyDescent="0.25">
      <c r="A17364" s="1"/>
      <c r="B17364" s="1" t="s">
        <v>5782</v>
      </c>
      <c r="C17364" s="1" t="s">
        <v>5783</v>
      </c>
      <c r="D17364" s="22" t="str">
        <f>HYPERLINK("https://rhld.insurance.arkansas.gov/NPILookup?Npi=1801242235","1801242235")</f>
        <v>1801242235</v>
      </c>
      <c r="E17364" s="1" t="s">
        <v>23358</v>
      </c>
      <c r="F17364" s="2"/>
      <c r="G17364" s="2"/>
      <c r="H17364" s="2"/>
    </row>
    <row r="17365" spans="1:8" x14ac:dyDescent="0.25">
      <c r="A17365" s="1"/>
      <c r="B17365" s="1" t="s">
        <v>5782</v>
      </c>
      <c r="C17365" s="1" t="s">
        <v>5783</v>
      </c>
      <c r="D17365" s="22" t="str">
        <f>HYPERLINK("https://rhld.insurance.arkansas.gov/NPILookup?Npi=1801243357","1801243357")</f>
        <v>1801243357</v>
      </c>
      <c r="E17365" s="1" t="s">
        <v>23359</v>
      </c>
      <c r="F17365" s="2"/>
      <c r="G17365" s="2"/>
      <c r="H17365" s="2"/>
    </row>
    <row r="17366" spans="1:8" x14ac:dyDescent="0.25">
      <c r="A17366" s="1"/>
      <c r="B17366" s="1" t="s">
        <v>5782</v>
      </c>
      <c r="C17366" s="1" t="s">
        <v>5783</v>
      </c>
      <c r="D17366" s="22" t="str">
        <f>HYPERLINK("https://rhld.insurance.arkansas.gov/NPILookup?Npi=1801252721","1801252721")</f>
        <v>1801252721</v>
      </c>
      <c r="E17366" s="1" t="s">
        <v>12114</v>
      </c>
      <c r="F17366" s="2"/>
      <c r="G17366" s="2"/>
      <c r="H17366" s="2"/>
    </row>
    <row r="17367" spans="1:8" x14ac:dyDescent="0.25">
      <c r="A17367" s="1"/>
      <c r="B17367" s="1" t="s">
        <v>5782</v>
      </c>
      <c r="C17367" s="1" t="s">
        <v>5783</v>
      </c>
      <c r="D17367" s="22" t="str">
        <f>HYPERLINK("https://rhld.insurance.arkansas.gov/NPILookup?Npi=1801267737","1801267737")</f>
        <v>1801267737</v>
      </c>
      <c r="E17367" s="1" t="s">
        <v>23360</v>
      </c>
      <c r="F17367" s="2"/>
      <c r="G17367" s="2"/>
      <c r="H17367" s="2"/>
    </row>
    <row r="17368" spans="1:8" x14ac:dyDescent="0.25">
      <c r="A17368" s="1"/>
      <c r="B17368" s="1" t="s">
        <v>5782</v>
      </c>
      <c r="C17368" s="1" t="s">
        <v>5783</v>
      </c>
      <c r="D17368" s="22" t="str">
        <f>HYPERLINK("https://rhld.insurance.arkansas.gov/NPILookup?Npi=1801268396","1801268396")</f>
        <v>1801268396</v>
      </c>
      <c r="E17368" s="1" t="s">
        <v>23361</v>
      </c>
      <c r="F17368" s="2"/>
      <c r="G17368" s="2"/>
      <c r="H17368" s="2"/>
    </row>
    <row r="17369" spans="1:8" x14ac:dyDescent="0.25">
      <c r="A17369" s="1"/>
      <c r="B17369" s="1" t="s">
        <v>5782</v>
      </c>
      <c r="C17369" s="1" t="s">
        <v>5783</v>
      </c>
      <c r="D17369" s="22" t="str">
        <f>HYPERLINK("https://rhld.insurance.arkansas.gov/NPILookup?Npi=1801269006","1801269006")</f>
        <v>1801269006</v>
      </c>
      <c r="E17369" s="1" t="s">
        <v>23362</v>
      </c>
      <c r="F17369" s="2"/>
      <c r="G17369" s="2"/>
      <c r="H17369" s="2"/>
    </row>
    <row r="17370" spans="1:8" x14ac:dyDescent="0.25">
      <c r="A17370" s="1"/>
      <c r="B17370" s="1" t="s">
        <v>5782</v>
      </c>
      <c r="C17370" s="1" t="s">
        <v>5783</v>
      </c>
      <c r="D17370" s="22" t="str">
        <f>HYPERLINK("https://rhld.insurance.arkansas.gov/NPILookup?Npi=1801275607","1801275607")</f>
        <v>1801275607</v>
      </c>
      <c r="E17370" s="1" t="s">
        <v>2218</v>
      </c>
      <c r="F17370" s="2"/>
      <c r="G17370" s="2"/>
      <c r="H17370" s="2"/>
    </row>
    <row r="17371" spans="1:8" x14ac:dyDescent="0.25">
      <c r="A17371" s="1"/>
      <c r="B17371" s="1" t="s">
        <v>5782</v>
      </c>
      <c r="C17371" s="1" t="s">
        <v>5783</v>
      </c>
      <c r="D17371" s="22" t="str">
        <f>HYPERLINK("https://rhld.insurance.arkansas.gov/NPILookup?Npi=1801285176","1801285176")</f>
        <v>1801285176</v>
      </c>
      <c r="E17371" s="1" t="s">
        <v>23364</v>
      </c>
      <c r="F17371" s="2"/>
      <c r="G17371" s="2"/>
      <c r="H17371" s="2"/>
    </row>
    <row r="17372" spans="1:8" x14ac:dyDescent="0.25">
      <c r="A17372" s="1"/>
      <c r="B17372" s="1" t="s">
        <v>5782</v>
      </c>
      <c r="C17372" s="1" t="s">
        <v>5783</v>
      </c>
      <c r="D17372" s="22" t="str">
        <f>HYPERLINK("https://rhld.insurance.arkansas.gov/NPILookup?Npi=1801289038","1801289038")</f>
        <v>1801289038</v>
      </c>
      <c r="E17372" s="1" t="s">
        <v>23365</v>
      </c>
      <c r="F17372" s="2"/>
      <c r="G17372" s="2"/>
      <c r="H17372" s="2"/>
    </row>
    <row r="17373" spans="1:8" x14ac:dyDescent="0.25">
      <c r="A17373" s="1"/>
      <c r="B17373" s="1" t="s">
        <v>5782</v>
      </c>
      <c r="C17373" s="1" t="s">
        <v>5783</v>
      </c>
      <c r="D17373" s="22" t="str">
        <f>HYPERLINK("https://rhld.insurance.arkansas.gov/NPILookup?Npi=1801306972","1801306972")</f>
        <v>1801306972</v>
      </c>
      <c r="E17373" s="1" t="s">
        <v>1888</v>
      </c>
      <c r="F17373" s="2"/>
      <c r="G17373" s="2"/>
      <c r="H17373" s="2"/>
    </row>
    <row r="17374" spans="1:8" x14ac:dyDescent="0.25">
      <c r="A17374" s="1"/>
      <c r="B17374" s="1" t="s">
        <v>5782</v>
      </c>
      <c r="C17374" s="1" t="s">
        <v>5783</v>
      </c>
      <c r="D17374" s="22" t="str">
        <f>HYPERLINK("https://rhld.insurance.arkansas.gov/NPILookup?Npi=1801314760","1801314760")</f>
        <v>1801314760</v>
      </c>
      <c r="E17374" s="1" t="s">
        <v>16665</v>
      </c>
      <c r="F17374" s="2"/>
      <c r="G17374" s="2"/>
      <c r="H17374" s="2"/>
    </row>
    <row r="17375" spans="1:8" x14ac:dyDescent="0.25">
      <c r="A17375" s="1"/>
      <c r="B17375" s="1" t="s">
        <v>5782</v>
      </c>
      <c r="C17375" s="1" t="s">
        <v>5783</v>
      </c>
      <c r="D17375" s="22" t="str">
        <f>HYPERLINK("https://rhld.insurance.arkansas.gov/NPILookup?Npi=1801318092","1801318092")</f>
        <v>1801318092</v>
      </c>
      <c r="E17375" s="1" t="s">
        <v>6659</v>
      </c>
      <c r="F17375" s="2"/>
      <c r="G17375" s="2"/>
      <c r="H17375" s="2"/>
    </row>
    <row r="17376" spans="1:8" x14ac:dyDescent="0.25">
      <c r="A17376" s="1"/>
      <c r="B17376" s="1" t="s">
        <v>5782</v>
      </c>
      <c r="C17376" s="1" t="s">
        <v>5783</v>
      </c>
      <c r="D17376" s="22" t="str">
        <f>HYPERLINK("https://rhld.insurance.arkansas.gov/NPILookup?Npi=1801345921","1801345921")</f>
        <v>1801345921</v>
      </c>
      <c r="E17376" s="1" t="s">
        <v>23366</v>
      </c>
      <c r="F17376" s="2"/>
      <c r="G17376" s="2"/>
      <c r="H17376" s="2"/>
    </row>
    <row r="17377" spans="1:8" x14ac:dyDescent="0.25">
      <c r="A17377" s="1"/>
      <c r="B17377" s="1" t="s">
        <v>5782</v>
      </c>
      <c r="C17377" s="1" t="s">
        <v>5783</v>
      </c>
      <c r="D17377" s="22" t="str">
        <f>HYPERLINK("https://rhld.insurance.arkansas.gov/NPILookup?Npi=1801359310","1801359310")</f>
        <v>1801359310</v>
      </c>
      <c r="E17377" s="1" t="s">
        <v>12115</v>
      </c>
      <c r="F17377" s="2"/>
      <c r="G17377" s="2"/>
      <c r="H17377" s="2"/>
    </row>
    <row r="17378" spans="1:8" x14ac:dyDescent="0.25">
      <c r="A17378" s="1"/>
      <c r="B17378" s="1" t="s">
        <v>5782</v>
      </c>
      <c r="C17378" s="1" t="s">
        <v>5783</v>
      </c>
      <c r="D17378" s="22" t="str">
        <f>HYPERLINK("https://rhld.insurance.arkansas.gov/NPILookup?Npi=1801361282","1801361282")</f>
        <v>1801361282</v>
      </c>
      <c r="E17378" s="1" t="s">
        <v>6660</v>
      </c>
      <c r="F17378" s="2"/>
      <c r="G17378" s="2"/>
      <c r="H17378" s="2"/>
    </row>
    <row r="17379" spans="1:8" x14ac:dyDescent="0.25">
      <c r="A17379" s="1"/>
      <c r="B17379" s="1" t="s">
        <v>5782</v>
      </c>
      <c r="C17379" s="1" t="s">
        <v>5783</v>
      </c>
      <c r="D17379" s="22" t="str">
        <f>HYPERLINK("https://rhld.insurance.arkansas.gov/NPILookup?Npi=1801365937","1801365937")</f>
        <v>1801365937</v>
      </c>
      <c r="E17379" s="1" t="s">
        <v>23367</v>
      </c>
      <c r="F17379" s="2"/>
      <c r="G17379" s="2"/>
      <c r="H17379" s="2"/>
    </row>
    <row r="17380" spans="1:8" x14ac:dyDescent="0.25">
      <c r="A17380" s="1"/>
      <c r="B17380" s="1" t="s">
        <v>5782</v>
      </c>
      <c r="C17380" s="1" t="s">
        <v>5783</v>
      </c>
      <c r="D17380" s="22" t="str">
        <f>HYPERLINK("https://rhld.insurance.arkansas.gov/NPILookup?Npi=1801372198","1801372198")</f>
        <v>1801372198</v>
      </c>
      <c r="E17380" s="1" t="s">
        <v>23368</v>
      </c>
      <c r="F17380" s="2"/>
      <c r="G17380" s="2"/>
      <c r="H17380" s="2"/>
    </row>
    <row r="17381" spans="1:8" x14ac:dyDescent="0.25">
      <c r="A17381" s="1"/>
      <c r="B17381" s="1" t="s">
        <v>5782</v>
      </c>
      <c r="C17381" s="1" t="s">
        <v>5783</v>
      </c>
      <c r="D17381" s="22" t="str">
        <f>HYPERLINK("https://rhld.insurance.arkansas.gov/NPILookup?Npi=1801382957","1801382957")</f>
        <v>1801382957</v>
      </c>
      <c r="E17381" s="1" t="s">
        <v>23369</v>
      </c>
      <c r="F17381" s="2"/>
      <c r="G17381" s="2"/>
      <c r="H17381" s="2"/>
    </row>
    <row r="17382" spans="1:8" x14ac:dyDescent="0.25">
      <c r="A17382" s="1"/>
      <c r="B17382" s="1" t="s">
        <v>5782</v>
      </c>
      <c r="C17382" s="1" t="s">
        <v>5783</v>
      </c>
      <c r="D17382" s="22" t="str">
        <f>HYPERLINK("https://rhld.insurance.arkansas.gov/NPILookup?Npi=1801391636","1801391636")</f>
        <v>1801391636</v>
      </c>
      <c r="E17382" s="1" t="s">
        <v>23370</v>
      </c>
      <c r="F17382" s="2"/>
      <c r="G17382" s="2"/>
      <c r="H17382" s="2"/>
    </row>
    <row r="17383" spans="1:8" x14ac:dyDescent="0.25">
      <c r="A17383" s="1"/>
      <c r="B17383" s="1" t="s">
        <v>5782</v>
      </c>
      <c r="C17383" s="1" t="s">
        <v>5783</v>
      </c>
      <c r="D17383" s="22" t="str">
        <f>HYPERLINK("https://rhld.insurance.arkansas.gov/NPILookup?Npi=1801413554","1801413554")</f>
        <v>1801413554</v>
      </c>
      <c r="E17383" s="1" t="s">
        <v>23371</v>
      </c>
      <c r="F17383" s="2"/>
      <c r="G17383" s="2"/>
      <c r="H17383" s="2"/>
    </row>
    <row r="17384" spans="1:8" x14ac:dyDescent="0.25">
      <c r="A17384" s="1"/>
      <c r="B17384" s="1" t="s">
        <v>5782</v>
      </c>
      <c r="C17384" s="1" t="s">
        <v>5783</v>
      </c>
      <c r="D17384" s="22" t="str">
        <f>HYPERLINK("https://rhld.insurance.arkansas.gov/NPILookup?Npi=1801431721","1801431721")</f>
        <v>1801431721</v>
      </c>
      <c r="E17384" s="1" t="s">
        <v>23372</v>
      </c>
      <c r="F17384" s="2"/>
      <c r="G17384" s="2"/>
      <c r="H17384" s="2"/>
    </row>
    <row r="17385" spans="1:8" x14ac:dyDescent="0.25">
      <c r="A17385" s="1"/>
      <c r="B17385" s="1" t="s">
        <v>5782</v>
      </c>
      <c r="C17385" s="1" t="s">
        <v>5783</v>
      </c>
      <c r="D17385" s="22" t="str">
        <f>HYPERLINK("https://rhld.insurance.arkansas.gov/NPILookup?Npi=1801446364","1801446364")</f>
        <v>1801446364</v>
      </c>
      <c r="E17385" s="1" t="s">
        <v>12116</v>
      </c>
      <c r="F17385" s="2"/>
      <c r="G17385" s="2"/>
      <c r="H17385" s="2"/>
    </row>
    <row r="17386" spans="1:8" x14ac:dyDescent="0.25">
      <c r="A17386" s="1"/>
      <c r="B17386" s="1" t="s">
        <v>5782</v>
      </c>
      <c r="C17386" s="1" t="s">
        <v>5783</v>
      </c>
      <c r="D17386" s="22" t="str">
        <f>HYPERLINK("https://rhld.insurance.arkansas.gov/NPILookup?Npi=1801471966","1801471966")</f>
        <v>1801471966</v>
      </c>
      <c r="E17386" s="1" t="s">
        <v>8839</v>
      </c>
      <c r="F17386" s="2"/>
      <c r="G17386" s="2"/>
      <c r="H17386" s="2"/>
    </row>
    <row r="17387" spans="1:8" x14ac:dyDescent="0.25">
      <c r="A17387" s="1"/>
      <c r="B17387" s="1" t="s">
        <v>5782</v>
      </c>
      <c r="C17387" s="1" t="s">
        <v>5783</v>
      </c>
      <c r="D17387" s="22" t="str">
        <f>HYPERLINK("https://rhld.insurance.arkansas.gov/NPILookup?Npi=1801506274","1801506274")</f>
        <v>1801506274</v>
      </c>
      <c r="E17387" s="1" t="s">
        <v>6661</v>
      </c>
      <c r="F17387" s="2"/>
      <c r="G17387" s="2"/>
      <c r="H17387" s="2"/>
    </row>
    <row r="17388" spans="1:8" x14ac:dyDescent="0.25">
      <c r="A17388" s="1"/>
      <c r="B17388" s="1" t="s">
        <v>5782</v>
      </c>
      <c r="C17388" s="1" t="s">
        <v>5783</v>
      </c>
      <c r="D17388" s="22" t="str">
        <f>HYPERLINK("https://rhld.insurance.arkansas.gov/NPILookup?Npi=1801517511","1801517511")</f>
        <v>1801517511</v>
      </c>
      <c r="E17388" s="1" t="s">
        <v>6660</v>
      </c>
      <c r="F17388" s="2"/>
      <c r="G17388" s="2"/>
      <c r="H17388" s="2"/>
    </row>
    <row r="17389" spans="1:8" x14ac:dyDescent="0.25">
      <c r="A17389" s="1"/>
      <c r="B17389" s="1" t="s">
        <v>5782</v>
      </c>
      <c r="C17389" s="1" t="s">
        <v>5783</v>
      </c>
      <c r="D17389" s="22" t="str">
        <f>HYPERLINK("https://rhld.insurance.arkansas.gov/NPILookup?Npi=1801573407","1801573407")</f>
        <v>1801573407</v>
      </c>
      <c r="E17389" s="1" t="s">
        <v>23373</v>
      </c>
      <c r="F17389" s="2"/>
      <c r="G17389" s="2"/>
      <c r="H17389" s="2"/>
    </row>
    <row r="17390" spans="1:8" x14ac:dyDescent="0.25">
      <c r="A17390" s="1"/>
      <c r="B17390" s="1" t="s">
        <v>5782</v>
      </c>
      <c r="C17390" s="1" t="s">
        <v>5783</v>
      </c>
      <c r="D17390" s="22" t="str">
        <f>HYPERLINK("https://rhld.insurance.arkansas.gov/NPILookup?Npi=1801649421","1801649421")</f>
        <v>1801649421</v>
      </c>
      <c r="E17390" s="1" t="s">
        <v>23374</v>
      </c>
      <c r="F17390" s="2"/>
      <c r="G17390" s="2"/>
      <c r="H17390" s="2"/>
    </row>
    <row r="17391" spans="1:8" x14ac:dyDescent="0.25">
      <c r="A17391" s="1"/>
      <c r="B17391" s="1" t="s">
        <v>5782</v>
      </c>
      <c r="C17391" s="1" t="s">
        <v>5783</v>
      </c>
      <c r="D17391" s="22" t="str">
        <f>HYPERLINK("https://rhld.insurance.arkansas.gov/NPILookup?Npi=1801690342","1801690342")</f>
        <v>1801690342</v>
      </c>
      <c r="E17391" s="1" t="s">
        <v>31948</v>
      </c>
      <c r="F17391" s="2"/>
      <c r="G17391" s="2"/>
      <c r="H17391" s="2"/>
    </row>
    <row r="17392" spans="1:8" x14ac:dyDescent="0.25">
      <c r="A17392" s="1"/>
      <c r="B17392" s="1" t="s">
        <v>5782</v>
      </c>
      <c r="C17392" s="1" t="s">
        <v>5783</v>
      </c>
      <c r="D17392" s="22" t="str">
        <f>HYPERLINK("https://rhld.insurance.arkansas.gov/NPILookup?Npi=1801853536","1801853536")</f>
        <v>1801853536</v>
      </c>
      <c r="E17392" s="1" t="s">
        <v>12117</v>
      </c>
      <c r="F17392" s="2"/>
      <c r="G17392" s="2"/>
      <c r="H17392" s="2"/>
    </row>
    <row r="17393" spans="1:8" x14ac:dyDescent="0.25">
      <c r="A17393" s="1"/>
      <c r="B17393" s="1" t="s">
        <v>5782</v>
      </c>
      <c r="C17393" s="1" t="s">
        <v>5783</v>
      </c>
      <c r="D17393" s="22" t="str">
        <f>HYPERLINK("https://rhld.insurance.arkansas.gov/NPILookup?Npi=1801855952","1801855952")</f>
        <v>1801855952</v>
      </c>
      <c r="E17393" s="1" t="s">
        <v>23375</v>
      </c>
      <c r="F17393" s="2"/>
      <c r="G17393" s="2"/>
      <c r="H17393" s="2"/>
    </row>
    <row r="17394" spans="1:8" x14ac:dyDescent="0.25">
      <c r="A17394" s="1"/>
      <c r="B17394" s="1" t="s">
        <v>5782</v>
      </c>
      <c r="C17394" s="1" t="s">
        <v>5783</v>
      </c>
      <c r="D17394" s="22" t="str">
        <f>HYPERLINK("https://rhld.insurance.arkansas.gov/NPILookup?Npi=1801867213","1801867213")</f>
        <v>1801867213</v>
      </c>
      <c r="E17394" s="1" t="s">
        <v>23376</v>
      </c>
      <c r="F17394" s="2"/>
      <c r="G17394" s="2"/>
      <c r="H17394" s="2"/>
    </row>
    <row r="17395" spans="1:8" x14ac:dyDescent="0.25">
      <c r="A17395" s="1"/>
      <c r="B17395" s="1" t="s">
        <v>5782</v>
      </c>
      <c r="C17395" s="1" t="s">
        <v>5783</v>
      </c>
      <c r="D17395" s="22" t="str">
        <f>HYPERLINK("https://rhld.insurance.arkansas.gov/NPILookup?Npi=1801887591","1801887591")</f>
        <v>1801887591</v>
      </c>
      <c r="E17395" s="1" t="s">
        <v>2219</v>
      </c>
      <c r="F17395" s="2"/>
      <c r="G17395" s="2"/>
      <c r="H17395" s="2"/>
    </row>
    <row r="17396" spans="1:8" x14ac:dyDescent="0.25">
      <c r="A17396" s="1"/>
      <c r="B17396" s="1" t="s">
        <v>5782</v>
      </c>
      <c r="C17396" s="1" t="s">
        <v>5783</v>
      </c>
      <c r="D17396" s="22" t="str">
        <f>HYPERLINK("https://rhld.insurance.arkansas.gov/NPILookup?Npi=1801914452","1801914452")</f>
        <v>1801914452</v>
      </c>
      <c r="E17396" s="1" t="s">
        <v>3380</v>
      </c>
      <c r="F17396" s="2"/>
      <c r="G17396" s="2"/>
      <c r="H17396" s="2"/>
    </row>
    <row r="17397" spans="1:8" x14ac:dyDescent="0.25">
      <c r="A17397" s="1"/>
      <c r="B17397" s="1" t="s">
        <v>5782</v>
      </c>
      <c r="C17397" s="1" t="s">
        <v>5783</v>
      </c>
      <c r="D17397" s="22" t="str">
        <f>HYPERLINK("https://rhld.insurance.arkansas.gov/NPILookup?Npi=1801915160","1801915160")</f>
        <v>1801915160</v>
      </c>
      <c r="E17397" s="1" t="s">
        <v>23377</v>
      </c>
      <c r="F17397" s="2"/>
      <c r="G17397" s="2"/>
      <c r="H17397" s="2"/>
    </row>
    <row r="17398" spans="1:8" x14ac:dyDescent="0.25">
      <c r="A17398" s="1"/>
      <c r="B17398" s="1" t="s">
        <v>5782</v>
      </c>
      <c r="C17398" s="1" t="s">
        <v>5783</v>
      </c>
      <c r="D17398" s="22" t="str">
        <f>HYPERLINK("https://rhld.insurance.arkansas.gov/NPILookup?Npi=1801920442","1801920442")</f>
        <v>1801920442</v>
      </c>
      <c r="E17398" s="1" t="s">
        <v>23378</v>
      </c>
      <c r="F17398" s="2"/>
      <c r="G17398" s="2"/>
      <c r="H17398" s="2"/>
    </row>
    <row r="17399" spans="1:8" x14ac:dyDescent="0.25">
      <c r="A17399" s="1"/>
      <c r="B17399" s="1" t="s">
        <v>5782</v>
      </c>
      <c r="C17399" s="1" t="s">
        <v>5783</v>
      </c>
      <c r="D17399" s="22" t="str">
        <f>HYPERLINK("https://rhld.insurance.arkansas.gov/NPILookup?Npi=1801924378","1801924378")</f>
        <v>1801924378</v>
      </c>
      <c r="E17399" s="1" t="s">
        <v>23379</v>
      </c>
      <c r="F17399" s="2"/>
      <c r="G17399" s="2"/>
      <c r="H17399" s="2"/>
    </row>
    <row r="17400" spans="1:8" x14ac:dyDescent="0.25">
      <c r="A17400" s="1"/>
      <c r="B17400" s="1" t="s">
        <v>5782</v>
      </c>
      <c r="C17400" s="1" t="s">
        <v>5783</v>
      </c>
      <c r="D17400" s="22" t="str">
        <f>HYPERLINK("https://rhld.insurance.arkansas.gov/NPILookup?Npi=1801948609","1801948609")</f>
        <v>1801948609</v>
      </c>
      <c r="E17400" s="1" t="s">
        <v>12118</v>
      </c>
      <c r="F17400" s="2"/>
      <c r="G17400" s="2"/>
      <c r="H17400" s="2"/>
    </row>
    <row r="17401" spans="1:8" x14ac:dyDescent="0.25">
      <c r="A17401" s="1"/>
      <c r="B17401" s="1" t="s">
        <v>5782</v>
      </c>
      <c r="C17401" s="1" t="s">
        <v>5783</v>
      </c>
      <c r="D17401" s="22" t="str">
        <f>HYPERLINK("https://rhld.insurance.arkansas.gov/NPILookup?Npi=1801956578","1801956578")</f>
        <v>1801956578</v>
      </c>
      <c r="E17401" s="1" t="s">
        <v>23380</v>
      </c>
      <c r="F17401" s="2"/>
      <c r="G17401" s="2"/>
      <c r="H17401" s="2"/>
    </row>
    <row r="17402" spans="1:8" x14ac:dyDescent="0.25">
      <c r="A17402" s="1"/>
      <c r="B17402" s="1" t="s">
        <v>5782</v>
      </c>
      <c r="C17402" s="1" t="s">
        <v>5783</v>
      </c>
      <c r="D17402" s="22" t="str">
        <f>HYPERLINK("https://rhld.insurance.arkansas.gov/NPILookup?Npi=1801966916","1801966916")</f>
        <v>1801966916</v>
      </c>
      <c r="E17402" s="1" t="s">
        <v>23381</v>
      </c>
      <c r="F17402" s="2"/>
      <c r="G17402" s="2"/>
      <c r="H17402" s="2"/>
    </row>
    <row r="17403" spans="1:8" x14ac:dyDescent="0.25">
      <c r="A17403" s="1"/>
      <c r="B17403" s="1" t="s">
        <v>5782</v>
      </c>
      <c r="C17403" s="1" t="s">
        <v>5783</v>
      </c>
      <c r="D17403" s="22" t="str">
        <f>HYPERLINK("https://rhld.insurance.arkansas.gov/NPILookup?Npi=1801971346","1801971346")</f>
        <v>1801971346</v>
      </c>
      <c r="E17403" s="1" t="s">
        <v>12119</v>
      </c>
      <c r="F17403" s="2"/>
      <c r="G17403" s="2"/>
      <c r="H17403" s="2"/>
    </row>
    <row r="17404" spans="1:8" x14ac:dyDescent="0.25">
      <c r="A17404" s="1"/>
      <c r="B17404" s="1" t="s">
        <v>5782</v>
      </c>
      <c r="C17404" s="1" t="s">
        <v>5783</v>
      </c>
      <c r="D17404" s="22" t="str">
        <f>HYPERLINK("https://rhld.insurance.arkansas.gov/NPILookup?Npi=1811008105","1811008105")</f>
        <v>1811008105</v>
      </c>
      <c r="E17404" s="1" t="s">
        <v>16671</v>
      </c>
      <c r="F17404" s="2"/>
      <c r="G17404" s="2"/>
      <c r="H17404" s="2"/>
    </row>
    <row r="17405" spans="1:8" x14ac:dyDescent="0.25">
      <c r="A17405" s="1"/>
      <c r="B17405" s="1" t="s">
        <v>5782</v>
      </c>
      <c r="C17405" s="1" t="s">
        <v>5783</v>
      </c>
      <c r="D17405" s="22" t="str">
        <f>HYPERLINK("https://rhld.insurance.arkansas.gov/NPILookup?Npi=1811014970","1811014970")</f>
        <v>1811014970</v>
      </c>
      <c r="E17405" s="1" t="s">
        <v>23382</v>
      </c>
      <c r="F17405" s="2"/>
      <c r="G17405" s="2"/>
      <c r="H17405" s="2"/>
    </row>
    <row r="17406" spans="1:8" x14ac:dyDescent="0.25">
      <c r="A17406" s="1"/>
      <c r="B17406" s="1" t="s">
        <v>5782</v>
      </c>
      <c r="C17406" s="1" t="s">
        <v>5783</v>
      </c>
      <c r="D17406" s="22" t="str">
        <f>HYPERLINK("https://rhld.insurance.arkansas.gov/NPILookup?Npi=1811022833","1811022833")</f>
        <v>1811022833</v>
      </c>
      <c r="E17406" s="1" t="s">
        <v>23383</v>
      </c>
      <c r="F17406" s="2"/>
      <c r="G17406" s="2"/>
      <c r="H17406" s="2"/>
    </row>
    <row r="17407" spans="1:8" x14ac:dyDescent="0.25">
      <c r="A17407" s="1"/>
      <c r="B17407" s="1" t="s">
        <v>5782</v>
      </c>
      <c r="C17407" s="1" t="s">
        <v>5783</v>
      </c>
      <c r="D17407" s="22" t="str">
        <f>HYPERLINK("https://rhld.insurance.arkansas.gov/NPILookup?Npi=1811023484","1811023484")</f>
        <v>1811023484</v>
      </c>
      <c r="E17407" s="1" t="s">
        <v>1601</v>
      </c>
      <c r="F17407" s="2"/>
      <c r="G17407" s="2"/>
      <c r="H17407" s="2"/>
    </row>
    <row r="17408" spans="1:8" x14ac:dyDescent="0.25">
      <c r="A17408" s="1"/>
      <c r="B17408" s="1" t="s">
        <v>5782</v>
      </c>
      <c r="C17408" s="1" t="s">
        <v>5783</v>
      </c>
      <c r="D17408" s="22" t="str">
        <f>HYPERLINK("https://rhld.insurance.arkansas.gov/NPILookup?Npi=1811024276","1811024276")</f>
        <v>1811024276</v>
      </c>
      <c r="E17408" s="1" t="s">
        <v>12120</v>
      </c>
      <c r="F17408" s="2"/>
      <c r="G17408" s="2"/>
      <c r="H17408" s="2"/>
    </row>
    <row r="17409" spans="1:8" x14ac:dyDescent="0.25">
      <c r="A17409" s="1"/>
      <c r="B17409" s="1" t="s">
        <v>5782</v>
      </c>
      <c r="C17409" s="1" t="s">
        <v>5783</v>
      </c>
      <c r="D17409" s="22" t="str">
        <f>HYPERLINK("https://rhld.insurance.arkansas.gov/NPILookup?Npi=1811079429","1811079429")</f>
        <v>1811079429</v>
      </c>
      <c r="E17409" s="1" t="s">
        <v>3381</v>
      </c>
      <c r="F17409" s="2"/>
      <c r="G17409" s="2"/>
      <c r="H17409" s="2"/>
    </row>
    <row r="17410" spans="1:8" x14ac:dyDescent="0.25">
      <c r="A17410" s="1"/>
      <c r="B17410" s="1" t="s">
        <v>5782</v>
      </c>
      <c r="C17410" s="1" t="s">
        <v>5783</v>
      </c>
      <c r="D17410" s="22" t="str">
        <f>HYPERLINK("https://rhld.insurance.arkansas.gov/NPILookup?Npi=1811098833","1811098833")</f>
        <v>1811098833</v>
      </c>
      <c r="E17410" s="1" t="s">
        <v>23384</v>
      </c>
      <c r="F17410" s="2"/>
      <c r="G17410" s="2"/>
      <c r="H17410" s="2"/>
    </row>
    <row r="17411" spans="1:8" x14ac:dyDescent="0.25">
      <c r="A17411" s="1"/>
      <c r="B17411" s="1" t="s">
        <v>5782</v>
      </c>
      <c r="C17411" s="1" t="s">
        <v>5783</v>
      </c>
      <c r="D17411" s="22" t="str">
        <f>HYPERLINK("https://rhld.insurance.arkansas.gov/NPILookup?Npi=1811108129","1811108129")</f>
        <v>1811108129</v>
      </c>
      <c r="E17411" s="1" t="s">
        <v>12121</v>
      </c>
      <c r="F17411" s="2"/>
      <c r="G17411" s="2"/>
      <c r="H17411" s="2"/>
    </row>
    <row r="17412" spans="1:8" x14ac:dyDescent="0.25">
      <c r="A17412" s="1"/>
      <c r="B17412" s="1" t="s">
        <v>5782</v>
      </c>
      <c r="C17412" s="1" t="s">
        <v>5783</v>
      </c>
      <c r="D17412" s="22" t="str">
        <f>HYPERLINK("https://rhld.insurance.arkansas.gov/NPILookup?Npi=1811123458","1811123458")</f>
        <v>1811123458</v>
      </c>
      <c r="E17412" s="1" t="s">
        <v>23385</v>
      </c>
      <c r="F17412" s="2"/>
      <c r="G17412" s="2"/>
      <c r="H17412" s="2"/>
    </row>
    <row r="17413" spans="1:8" x14ac:dyDescent="0.25">
      <c r="A17413" s="1"/>
      <c r="B17413" s="1" t="s">
        <v>5782</v>
      </c>
      <c r="C17413" s="1" t="s">
        <v>5783</v>
      </c>
      <c r="D17413" s="22" t="str">
        <f>HYPERLINK("https://rhld.insurance.arkansas.gov/NPILookup?Npi=1811134653","1811134653")</f>
        <v>1811134653</v>
      </c>
      <c r="E17413" s="1" t="s">
        <v>12122</v>
      </c>
      <c r="F17413" s="2"/>
      <c r="G17413" s="2"/>
      <c r="H17413" s="2"/>
    </row>
    <row r="17414" spans="1:8" x14ac:dyDescent="0.25">
      <c r="A17414" s="1"/>
      <c r="B17414" s="1" t="s">
        <v>5782</v>
      </c>
      <c r="C17414" s="1" t="s">
        <v>5783</v>
      </c>
      <c r="D17414" s="22" t="str">
        <f>HYPERLINK("https://rhld.insurance.arkansas.gov/NPILookup?Npi=1811140205","1811140205")</f>
        <v>1811140205</v>
      </c>
      <c r="E17414" s="1" t="s">
        <v>23386</v>
      </c>
      <c r="F17414" s="2"/>
      <c r="G17414" s="2"/>
      <c r="H17414" s="2"/>
    </row>
    <row r="17415" spans="1:8" x14ac:dyDescent="0.25">
      <c r="A17415" s="1"/>
      <c r="B17415" s="1" t="s">
        <v>5782</v>
      </c>
      <c r="C17415" s="1" t="s">
        <v>5783</v>
      </c>
      <c r="D17415" s="22" t="str">
        <f>HYPERLINK("https://rhld.insurance.arkansas.gov/NPILookup?Npi=1811157639","1811157639")</f>
        <v>1811157639</v>
      </c>
      <c r="E17415" s="1" t="s">
        <v>11779</v>
      </c>
      <c r="F17415" s="2"/>
      <c r="G17415" s="2"/>
      <c r="H17415" s="2"/>
    </row>
    <row r="17416" spans="1:8" x14ac:dyDescent="0.25">
      <c r="A17416" s="1"/>
      <c r="B17416" s="1" t="s">
        <v>5782</v>
      </c>
      <c r="C17416" s="1" t="s">
        <v>5783</v>
      </c>
      <c r="D17416" s="22" t="str">
        <f>HYPERLINK("https://rhld.insurance.arkansas.gov/NPILookup?Npi=1811163694","1811163694")</f>
        <v>1811163694</v>
      </c>
      <c r="E17416" s="1" t="s">
        <v>12123</v>
      </c>
      <c r="F17416" s="2"/>
      <c r="G17416" s="2"/>
      <c r="H17416" s="2"/>
    </row>
    <row r="17417" spans="1:8" x14ac:dyDescent="0.25">
      <c r="A17417" s="1"/>
      <c r="B17417" s="1" t="s">
        <v>5782</v>
      </c>
      <c r="C17417" s="1" t="s">
        <v>5783</v>
      </c>
      <c r="D17417" s="22" t="str">
        <f>HYPERLINK("https://rhld.insurance.arkansas.gov/NPILookup?Npi=1811164551","1811164551")</f>
        <v>1811164551</v>
      </c>
      <c r="E17417" s="1" t="s">
        <v>20936</v>
      </c>
      <c r="F17417" s="2"/>
      <c r="G17417" s="2"/>
      <c r="H17417" s="2"/>
    </row>
    <row r="17418" spans="1:8" x14ac:dyDescent="0.25">
      <c r="A17418" s="1"/>
      <c r="B17418" s="1" t="s">
        <v>5782</v>
      </c>
      <c r="C17418" s="1" t="s">
        <v>5783</v>
      </c>
      <c r="D17418" s="22" t="str">
        <f>HYPERLINK("https://rhld.insurance.arkansas.gov/NPILookup?Npi=1811169451","1811169451")</f>
        <v>1811169451</v>
      </c>
      <c r="E17418" s="1" t="s">
        <v>23387</v>
      </c>
      <c r="F17418" s="2"/>
      <c r="G17418" s="2"/>
      <c r="H17418" s="2"/>
    </row>
    <row r="17419" spans="1:8" x14ac:dyDescent="0.25">
      <c r="A17419" s="1"/>
      <c r="B17419" s="1" t="s">
        <v>5782</v>
      </c>
      <c r="C17419" s="1" t="s">
        <v>5783</v>
      </c>
      <c r="D17419" s="22" t="str">
        <f>HYPERLINK("https://rhld.insurance.arkansas.gov/NPILookup?Npi=1811191950","1811191950")</f>
        <v>1811191950</v>
      </c>
      <c r="E17419" s="1" t="s">
        <v>23388</v>
      </c>
      <c r="F17419" s="2"/>
      <c r="G17419" s="2"/>
      <c r="H17419" s="2"/>
    </row>
    <row r="17420" spans="1:8" x14ac:dyDescent="0.25">
      <c r="A17420" s="1"/>
      <c r="B17420" s="1" t="s">
        <v>5782</v>
      </c>
      <c r="C17420" s="1" t="s">
        <v>5783</v>
      </c>
      <c r="D17420" s="22" t="str">
        <f>HYPERLINK("https://rhld.insurance.arkansas.gov/NPILookup?Npi=1811209745","1811209745")</f>
        <v>1811209745</v>
      </c>
      <c r="E17420" s="1" t="s">
        <v>2336</v>
      </c>
      <c r="F17420" s="2"/>
      <c r="G17420" s="2"/>
      <c r="H17420" s="2"/>
    </row>
    <row r="17421" spans="1:8" x14ac:dyDescent="0.25">
      <c r="A17421" s="1"/>
      <c r="B17421" s="1" t="s">
        <v>5782</v>
      </c>
      <c r="C17421" s="1" t="s">
        <v>5783</v>
      </c>
      <c r="D17421" s="22" t="str">
        <f>HYPERLINK("https://rhld.insurance.arkansas.gov/NPILookup?Npi=1811228455","1811228455")</f>
        <v>1811228455</v>
      </c>
      <c r="E17421" s="1" t="s">
        <v>23389</v>
      </c>
      <c r="F17421" s="2"/>
      <c r="G17421" s="2"/>
      <c r="H17421" s="2"/>
    </row>
    <row r="17422" spans="1:8" x14ac:dyDescent="0.25">
      <c r="A17422" s="1"/>
      <c r="B17422" s="1" t="s">
        <v>5782</v>
      </c>
      <c r="C17422" s="1" t="s">
        <v>5783</v>
      </c>
      <c r="D17422" s="22" t="str">
        <f>HYPERLINK("https://rhld.insurance.arkansas.gov/NPILookup?Npi=1811235575","1811235575")</f>
        <v>1811235575</v>
      </c>
      <c r="E17422" s="1" t="s">
        <v>12124</v>
      </c>
      <c r="F17422" s="2"/>
      <c r="G17422" s="2"/>
      <c r="H17422" s="2"/>
    </row>
    <row r="17423" spans="1:8" x14ac:dyDescent="0.25">
      <c r="A17423" s="1"/>
      <c r="B17423" s="1" t="s">
        <v>5782</v>
      </c>
      <c r="C17423" s="1" t="s">
        <v>5783</v>
      </c>
      <c r="D17423" s="22" t="str">
        <f>HYPERLINK("https://rhld.insurance.arkansas.gov/NPILookup?Npi=1811251770","1811251770")</f>
        <v>1811251770</v>
      </c>
      <c r="E17423" s="1" t="s">
        <v>5208</v>
      </c>
      <c r="F17423" s="2"/>
      <c r="G17423" s="2"/>
      <c r="H17423" s="2"/>
    </row>
    <row r="17424" spans="1:8" x14ac:dyDescent="0.25">
      <c r="A17424" s="1"/>
      <c r="B17424" s="1" t="s">
        <v>5782</v>
      </c>
      <c r="C17424" s="1" t="s">
        <v>5783</v>
      </c>
      <c r="D17424" s="22" t="str">
        <f>HYPERLINK("https://rhld.insurance.arkansas.gov/NPILookup?Npi=1811258809","1811258809")</f>
        <v>1811258809</v>
      </c>
      <c r="E17424" s="1" t="s">
        <v>12125</v>
      </c>
      <c r="F17424" s="2"/>
      <c r="G17424" s="2"/>
      <c r="H17424" s="2"/>
    </row>
    <row r="17425" spans="1:8" x14ac:dyDescent="0.25">
      <c r="A17425" s="1"/>
      <c r="B17425" s="1" t="s">
        <v>5782</v>
      </c>
      <c r="C17425" s="1" t="s">
        <v>5783</v>
      </c>
      <c r="D17425" s="22" t="str">
        <f>HYPERLINK("https://rhld.insurance.arkansas.gov/NPILookup?Npi=1811273477","1811273477")</f>
        <v>1811273477</v>
      </c>
      <c r="E17425" s="1" t="s">
        <v>12126</v>
      </c>
      <c r="F17425" s="2"/>
      <c r="G17425" s="2"/>
      <c r="H17425" s="2"/>
    </row>
    <row r="17426" spans="1:8" x14ac:dyDescent="0.25">
      <c r="A17426" s="1"/>
      <c r="B17426" s="1" t="s">
        <v>5782</v>
      </c>
      <c r="C17426" s="1" t="s">
        <v>5783</v>
      </c>
      <c r="D17426" s="22" t="str">
        <f>HYPERLINK("https://rhld.insurance.arkansas.gov/NPILookup?Npi=1811282254","1811282254")</f>
        <v>1811282254</v>
      </c>
      <c r="E17426" s="1" t="s">
        <v>23390</v>
      </c>
      <c r="F17426" s="2"/>
      <c r="G17426" s="2"/>
      <c r="H17426" s="2"/>
    </row>
    <row r="17427" spans="1:8" x14ac:dyDescent="0.25">
      <c r="A17427" s="1"/>
      <c r="B17427" s="1" t="s">
        <v>5782</v>
      </c>
      <c r="C17427" s="1" t="s">
        <v>5783</v>
      </c>
      <c r="D17427" s="22" t="str">
        <f>HYPERLINK("https://rhld.insurance.arkansas.gov/NPILookup?Npi=1811283708","1811283708")</f>
        <v>1811283708</v>
      </c>
      <c r="E17427" s="1" t="s">
        <v>23391</v>
      </c>
      <c r="F17427" s="2"/>
      <c r="G17427" s="2"/>
      <c r="H17427" s="2"/>
    </row>
    <row r="17428" spans="1:8" x14ac:dyDescent="0.25">
      <c r="A17428" s="1"/>
      <c r="B17428" s="1" t="s">
        <v>5782</v>
      </c>
      <c r="C17428" s="1" t="s">
        <v>5783</v>
      </c>
      <c r="D17428" s="22" t="str">
        <f>HYPERLINK("https://rhld.insurance.arkansas.gov/NPILookup?Npi=1811313885","1811313885")</f>
        <v>1811313885</v>
      </c>
      <c r="E17428" s="1" t="s">
        <v>23392</v>
      </c>
      <c r="F17428" s="2"/>
      <c r="G17428" s="2"/>
      <c r="H17428" s="2"/>
    </row>
    <row r="17429" spans="1:8" x14ac:dyDescent="0.25">
      <c r="A17429" s="1"/>
      <c r="B17429" s="1" t="s">
        <v>5782</v>
      </c>
      <c r="C17429" s="1" t="s">
        <v>5783</v>
      </c>
      <c r="D17429" s="22" t="str">
        <f>HYPERLINK("https://rhld.insurance.arkansas.gov/NPILookup?Npi=1811315070","1811315070")</f>
        <v>1811315070</v>
      </c>
      <c r="E17429" s="1" t="s">
        <v>23393</v>
      </c>
      <c r="F17429" s="2"/>
      <c r="G17429" s="2"/>
      <c r="H17429" s="2"/>
    </row>
    <row r="17430" spans="1:8" x14ac:dyDescent="0.25">
      <c r="A17430" s="1"/>
      <c r="B17430" s="1" t="s">
        <v>5782</v>
      </c>
      <c r="C17430" s="1" t="s">
        <v>5783</v>
      </c>
      <c r="D17430" s="22" t="str">
        <f>HYPERLINK("https://rhld.insurance.arkansas.gov/NPILookup?Npi=1811327703","1811327703")</f>
        <v>1811327703</v>
      </c>
      <c r="E17430" s="1" t="s">
        <v>23394</v>
      </c>
      <c r="F17430" s="2"/>
      <c r="G17430" s="2"/>
      <c r="H17430" s="2"/>
    </row>
    <row r="17431" spans="1:8" x14ac:dyDescent="0.25">
      <c r="A17431" s="1"/>
      <c r="B17431" s="1" t="s">
        <v>5782</v>
      </c>
      <c r="C17431" s="1" t="s">
        <v>5783</v>
      </c>
      <c r="D17431" s="22" t="str">
        <f>HYPERLINK("https://rhld.insurance.arkansas.gov/NPILookup?Npi=1811334659","1811334659")</f>
        <v>1811334659</v>
      </c>
      <c r="E17431" s="1" t="s">
        <v>23395</v>
      </c>
      <c r="F17431" s="2"/>
      <c r="G17431" s="2"/>
      <c r="H17431" s="2"/>
    </row>
    <row r="17432" spans="1:8" x14ac:dyDescent="0.25">
      <c r="A17432" s="1"/>
      <c r="B17432" s="1" t="s">
        <v>5782</v>
      </c>
      <c r="C17432" s="1" t="s">
        <v>5783</v>
      </c>
      <c r="D17432" s="22" t="str">
        <f>HYPERLINK("https://rhld.insurance.arkansas.gov/NPILookup?Npi=1811355167","1811355167")</f>
        <v>1811355167</v>
      </c>
      <c r="E17432" s="1" t="s">
        <v>23396</v>
      </c>
      <c r="F17432" s="2"/>
      <c r="G17432" s="2"/>
      <c r="H17432" s="2"/>
    </row>
    <row r="17433" spans="1:8" x14ac:dyDescent="0.25">
      <c r="A17433" s="1"/>
      <c r="B17433" s="1" t="s">
        <v>5782</v>
      </c>
      <c r="C17433" s="1" t="s">
        <v>5783</v>
      </c>
      <c r="D17433" s="22" t="str">
        <f>HYPERLINK("https://rhld.insurance.arkansas.gov/NPILookup?Npi=1811380173","1811380173")</f>
        <v>1811380173</v>
      </c>
      <c r="E17433" s="1" t="s">
        <v>6662</v>
      </c>
      <c r="F17433" s="2"/>
      <c r="G17433" s="2"/>
      <c r="H17433" s="2"/>
    </row>
    <row r="17434" spans="1:8" x14ac:dyDescent="0.25">
      <c r="A17434" s="1"/>
      <c r="B17434" s="1" t="s">
        <v>5782</v>
      </c>
      <c r="C17434" s="1" t="s">
        <v>5783</v>
      </c>
      <c r="D17434" s="22" t="str">
        <f>HYPERLINK("https://rhld.insurance.arkansas.gov/NPILookup?Npi=1811381031","1811381031")</f>
        <v>1811381031</v>
      </c>
      <c r="E17434" s="1" t="s">
        <v>6663</v>
      </c>
      <c r="F17434" s="2"/>
      <c r="G17434" s="2"/>
      <c r="H17434" s="2"/>
    </row>
    <row r="17435" spans="1:8" x14ac:dyDescent="0.25">
      <c r="A17435" s="1"/>
      <c r="B17435" s="1" t="s">
        <v>5782</v>
      </c>
      <c r="C17435" s="1" t="s">
        <v>5783</v>
      </c>
      <c r="D17435" s="22" t="str">
        <f>HYPERLINK("https://rhld.insurance.arkansas.gov/NPILookup?Npi=1811416217","1811416217")</f>
        <v>1811416217</v>
      </c>
      <c r="E17435" s="1" t="s">
        <v>12127</v>
      </c>
      <c r="F17435" s="2"/>
      <c r="G17435" s="2"/>
      <c r="H17435" s="2"/>
    </row>
    <row r="17436" spans="1:8" x14ac:dyDescent="0.25">
      <c r="A17436" s="1"/>
      <c r="B17436" s="1" t="s">
        <v>5782</v>
      </c>
      <c r="C17436" s="1" t="s">
        <v>5783</v>
      </c>
      <c r="D17436" s="22" t="str">
        <f>HYPERLINK("https://rhld.insurance.arkansas.gov/NPILookup?Npi=1811423924","1811423924")</f>
        <v>1811423924</v>
      </c>
      <c r="E17436" s="1" t="s">
        <v>23397</v>
      </c>
      <c r="F17436" s="2"/>
      <c r="G17436" s="2"/>
      <c r="H17436" s="2"/>
    </row>
    <row r="17437" spans="1:8" x14ac:dyDescent="0.25">
      <c r="A17437" s="1"/>
      <c r="B17437" s="1" t="s">
        <v>5782</v>
      </c>
      <c r="C17437" s="1" t="s">
        <v>5783</v>
      </c>
      <c r="D17437" s="22" t="str">
        <f>HYPERLINK("https://rhld.insurance.arkansas.gov/NPILookup?Npi=1811476146","1811476146")</f>
        <v>1811476146</v>
      </c>
      <c r="E17437" s="1" t="s">
        <v>23398</v>
      </c>
      <c r="F17437" s="2"/>
      <c r="G17437" s="2"/>
      <c r="H17437" s="2"/>
    </row>
    <row r="17438" spans="1:8" x14ac:dyDescent="0.25">
      <c r="A17438" s="1"/>
      <c r="B17438" s="1" t="s">
        <v>5782</v>
      </c>
      <c r="C17438" s="1" t="s">
        <v>5783</v>
      </c>
      <c r="D17438" s="22" t="str">
        <f>HYPERLINK("https://rhld.insurance.arkansas.gov/NPILookup?Npi=1811479827","1811479827")</f>
        <v>1811479827</v>
      </c>
      <c r="E17438" s="1" t="s">
        <v>23399</v>
      </c>
      <c r="F17438" s="2"/>
      <c r="G17438" s="2"/>
      <c r="H17438" s="2"/>
    </row>
    <row r="17439" spans="1:8" x14ac:dyDescent="0.25">
      <c r="A17439" s="1"/>
      <c r="B17439" s="1" t="s">
        <v>5782</v>
      </c>
      <c r="C17439" s="1" t="s">
        <v>5783</v>
      </c>
      <c r="D17439" s="22" t="str">
        <f>HYPERLINK("https://rhld.insurance.arkansas.gov/NPILookup?Npi=1811480320","1811480320")</f>
        <v>1811480320</v>
      </c>
      <c r="E17439" s="1" t="s">
        <v>6664</v>
      </c>
      <c r="F17439" s="2"/>
      <c r="G17439" s="2"/>
      <c r="H17439" s="2"/>
    </row>
    <row r="17440" spans="1:8" x14ac:dyDescent="0.25">
      <c r="A17440" s="1"/>
      <c r="B17440" s="1" t="s">
        <v>5782</v>
      </c>
      <c r="C17440" s="1" t="s">
        <v>5783</v>
      </c>
      <c r="D17440" s="22" t="str">
        <f>HYPERLINK("https://rhld.insurance.arkansas.gov/NPILookup?Npi=1811493521","1811493521")</f>
        <v>1811493521</v>
      </c>
      <c r="E17440" s="1" t="s">
        <v>23400</v>
      </c>
      <c r="F17440" s="2"/>
      <c r="G17440" s="2"/>
      <c r="H17440" s="2"/>
    </row>
    <row r="17441" spans="1:8" x14ac:dyDescent="0.25">
      <c r="A17441" s="1"/>
      <c r="B17441" s="1" t="s">
        <v>5782</v>
      </c>
      <c r="C17441" s="1" t="s">
        <v>5783</v>
      </c>
      <c r="D17441" s="22" t="str">
        <f>HYPERLINK("https://rhld.insurance.arkansas.gov/NPILookup?Npi=1811498371","1811498371")</f>
        <v>1811498371</v>
      </c>
      <c r="E17441" s="1" t="s">
        <v>6665</v>
      </c>
      <c r="F17441" s="2"/>
      <c r="G17441" s="2"/>
      <c r="H17441" s="2"/>
    </row>
    <row r="17442" spans="1:8" x14ac:dyDescent="0.25">
      <c r="A17442" s="1"/>
      <c r="B17442" s="1" t="s">
        <v>5782</v>
      </c>
      <c r="C17442" s="1" t="s">
        <v>5783</v>
      </c>
      <c r="D17442" s="22" t="str">
        <f>HYPERLINK("https://rhld.insurance.arkansas.gov/NPILookup?Npi=1811500259","1811500259")</f>
        <v>1811500259</v>
      </c>
      <c r="E17442" s="1" t="s">
        <v>23401</v>
      </c>
      <c r="F17442" s="2"/>
      <c r="G17442" s="2"/>
      <c r="H17442" s="2"/>
    </row>
    <row r="17443" spans="1:8" x14ac:dyDescent="0.25">
      <c r="A17443" s="1"/>
      <c r="B17443" s="1" t="s">
        <v>5782</v>
      </c>
      <c r="C17443" s="1" t="s">
        <v>5783</v>
      </c>
      <c r="D17443" s="22" t="str">
        <f>HYPERLINK("https://rhld.insurance.arkansas.gov/NPILookup?Npi=1811502305","1811502305")</f>
        <v>1811502305</v>
      </c>
      <c r="E17443" s="1" t="s">
        <v>23402</v>
      </c>
      <c r="F17443" s="2"/>
      <c r="G17443" s="2"/>
      <c r="H17443" s="2"/>
    </row>
    <row r="17444" spans="1:8" x14ac:dyDescent="0.25">
      <c r="A17444" s="1"/>
      <c r="B17444" s="1" t="s">
        <v>5782</v>
      </c>
      <c r="C17444" s="1" t="s">
        <v>5783</v>
      </c>
      <c r="D17444" s="22" t="str">
        <f>HYPERLINK("https://rhld.insurance.arkansas.gov/NPILookup?Npi=1811504038","1811504038")</f>
        <v>1811504038</v>
      </c>
      <c r="E17444" s="1" t="s">
        <v>23403</v>
      </c>
      <c r="F17444" s="2"/>
      <c r="G17444" s="2"/>
      <c r="H17444" s="2"/>
    </row>
    <row r="17445" spans="1:8" x14ac:dyDescent="0.25">
      <c r="A17445" s="1"/>
      <c r="B17445" s="1" t="s">
        <v>5782</v>
      </c>
      <c r="C17445" s="1" t="s">
        <v>5783</v>
      </c>
      <c r="D17445" s="22" t="str">
        <f>HYPERLINK("https://rhld.insurance.arkansas.gov/NPILookup?Npi=1811504244","1811504244")</f>
        <v>1811504244</v>
      </c>
      <c r="E17445" s="1" t="s">
        <v>23404</v>
      </c>
      <c r="F17445" s="2"/>
      <c r="G17445" s="2"/>
      <c r="H17445" s="2"/>
    </row>
    <row r="17446" spans="1:8" x14ac:dyDescent="0.25">
      <c r="A17446" s="1"/>
      <c r="B17446" s="1" t="s">
        <v>5782</v>
      </c>
      <c r="C17446" s="1" t="s">
        <v>5783</v>
      </c>
      <c r="D17446" s="22" t="str">
        <f>HYPERLINK("https://rhld.insurance.arkansas.gov/NPILookup?Npi=1811528524","1811528524")</f>
        <v>1811528524</v>
      </c>
      <c r="E17446" s="1" t="s">
        <v>12128</v>
      </c>
      <c r="F17446" s="2"/>
      <c r="G17446" s="2"/>
      <c r="H17446" s="2"/>
    </row>
    <row r="17447" spans="1:8" x14ac:dyDescent="0.25">
      <c r="A17447" s="1"/>
      <c r="B17447" s="1" t="s">
        <v>5782</v>
      </c>
      <c r="C17447" s="1" t="s">
        <v>5783</v>
      </c>
      <c r="D17447" s="22" t="str">
        <f>HYPERLINK("https://rhld.insurance.arkansas.gov/NPILookup?Npi=1811533300","1811533300")</f>
        <v>1811533300</v>
      </c>
      <c r="E17447" s="1" t="s">
        <v>23405</v>
      </c>
      <c r="F17447" s="2"/>
      <c r="G17447" s="2"/>
      <c r="H17447" s="2"/>
    </row>
    <row r="17448" spans="1:8" x14ac:dyDescent="0.25">
      <c r="A17448" s="1"/>
      <c r="B17448" s="1" t="s">
        <v>5782</v>
      </c>
      <c r="C17448" s="1" t="s">
        <v>5783</v>
      </c>
      <c r="D17448" s="22" t="str">
        <f>HYPERLINK("https://rhld.insurance.arkansas.gov/NPILookup?Npi=1811549827","1811549827")</f>
        <v>1811549827</v>
      </c>
      <c r="E17448" s="1" t="s">
        <v>1999</v>
      </c>
      <c r="F17448" s="2"/>
      <c r="G17448" s="2"/>
      <c r="H17448" s="2"/>
    </row>
    <row r="17449" spans="1:8" x14ac:dyDescent="0.25">
      <c r="A17449" s="1"/>
      <c r="B17449" s="1" t="s">
        <v>5782</v>
      </c>
      <c r="C17449" s="1" t="s">
        <v>5783</v>
      </c>
      <c r="D17449" s="22" t="str">
        <f>HYPERLINK("https://rhld.insurance.arkansas.gov/NPILookup?Npi=1811559289","1811559289")</f>
        <v>1811559289</v>
      </c>
      <c r="E17449" s="1" t="s">
        <v>23407</v>
      </c>
      <c r="F17449" s="2"/>
      <c r="G17449" s="2"/>
      <c r="H17449" s="2"/>
    </row>
    <row r="17450" spans="1:8" x14ac:dyDescent="0.25">
      <c r="A17450" s="1"/>
      <c r="B17450" s="1" t="s">
        <v>5782</v>
      </c>
      <c r="C17450" s="1" t="s">
        <v>5783</v>
      </c>
      <c r="D17450" s="22" t="str">
        <f>HYPERLINK("https://rhld.insurance.arkansas.gov/NPILookup?Npi=1811562515","1811562515")</f>
        <v>1811562515</v>
      </c>
      <c r="E17450" s="1" t="s">
        <v>23408</v>
      </c>
      <c r="F17450" s="2"/>
      <c r="G17450" s="2"/>
      <c r="H17450" s="2"/>
    </row>
    <row r="17451" spans="1:8" x14ac:dyDescent="0.25">
      <c r="A17451" s="1"/>
      <c r="B17451" s="1" t="s">
        <v>5782</v>
      </c>
      <c r="C17451" s="1" t="s">
        <v>5783</v>
      </c>
      <c r="D17451" s="22" t="str">
        <f>HYPERLINK("https://rhld.insurance.arkansas.gov/NPILookup?Npi=1811571011","1811571011")</f>
        <v>1811571011</v>
      </c>
      <c r="E17451" s="1" t="s">
        <v>6642</v>
      </c>
      <c r="F17451" s="2"/>
      <c r="G17451" s="2"/>
      <c r="H17451" s="2"/>
    </row>
    <row r="17452" spans="1:8" x14ac:dyDescent="0.25">
      <c r="A17452" s="1"/>
      <c r="B17452" s="1" t="s">
        <v>5782</v>
      </c>
      <c r="C17452" s="1" t="s">
        <v>5783</v>
      </c>
      <c r="D17452" s="22" t="str">
        <f>HYPERLINK("https://rhld.insurance.arkansas.gov/NPILookup?Npi=1811583669","1811583669")</f>
        <v>1811583669</v>
      </c>
      <c r="E17452" s="1" t="s">
        <v>12129</v>
      </c>
      <c r="F17452" s="2"/>
      <c r="G17452" s="2"/>
      <c r="H17452" s="2"/>
    </row>
    <row r="17453" spans="1:8" x14ac:dyDescent="0.25">
      <c r="A17453" s="1"/>
      <c r="B17453" s="1" t="s">
        <v>5782</v>
      </c>
      <c r="C17453" s="1" t="s">
        <v>5783</v>
      </c>
      <c r="D17453" s="22" t="str">
        <f>HYPERLINK("https://rhld.insurance.arkansas.gov/NPILookup?Npi=1811599368","1811599368")</f>
        <v>1811599368</v>
      </c>
      <c r="E17453" s="1" t="s">
        <v>23409</v>
      </c>
      <c r="F17453" s="2"/>
      <c r="G17453" s="2"/>
      <c r="H17453" s="2"/>
    </row>
    <row r="17454" spans="1:8" x14ac:dyDescent="0.25">
      <c r="A17454" s="1"/>
      <c r="B17454" s="1" t="s">
        <v>5782</v>
      </c>
      <c r="C17454" s="1" t="s">
        <v>5783</v>
      </c>
      <c r="D17454" s="22" t="str">
        <f>HYPERLINK("https://rhld.insurance.arkansas.gov/NPILookup?Npi=1811616618","1811616618")</f>
        <v>1811616618</v>
      </c>
      <c r="E17454" s="1" t="s">
        <v>23410</v>
      </c>
      <c r="F17454" s="2"/>
      <c r="G17454" s="2"/>
      <c r="H17454" s="2"/>
    </row>
    <row r="17455" spans="1:8" x14ac:dyDescent="0.25">
      <c r="A17455" s="1"/>
      <c r="B17455" s="1" t="s">
        <v>5782</v>
      </c>
      <c r="C17455" s="1" t="s">
        <v>5783</v>
      </c>
      <c r="D17455" s="22" t="str">
        <f>HYPERLINK("https://rhld.insurance.arkansas.gov/NPILookup?Npi=1811630304","1811630304")</f>
        <v>1811630304</v>
      </c>
      <c r="E17455" s="1" t="s">
        <v>12130</v>
      </c>
      <c r="F17455" s="2"/>
      <c r="G17455" s="2"/>
      <c r="H17455" s="2"/>
    </row>
    <row r="17456" spans="1:8" x14ac:dyDescent="0.25">
      <c r="A17456" s="1"/>
      <c r="B17456" s="1" t="s">
        <v>5782</v>
      </c>
      <c r="C17456" s="1" t="s">
        <v>5783</v>
      </c>
      <c r="D17456" s="22" t="str">
        <f>HYPERLINK("https://rhld.insurance.arkansas.gov/NPILookup?Npi=1811633845","1811633845")</f>
        <v>1811633845</v>
      </c>
      <c r="E17456" s="1" t="s">
        <v>23411</v>
      </c>
      <c r="F17456" s="2"/>
      <c r="G17456" s="2"/>
      <c r="H17456" s="2"/>
    </row>
    <row r="17457" spans="1:8" x14ac:dyDescent="0.25">
      <c r="A17457" s="1"/>
      <c r="B17457" s="1" t="s">
        <v>5782</v>
      </c>
      <c r="C17457" s="1" t="s">
        <v>5783</v>
      </c>
      <c r="D17457" s="22" t="str">
        <f>HYPERLINK("https://rhld.insurance.arkansas.gov/NPILookup?Npi=1811645930","1811645930")</f>
        <v>1811645930</v>
      </c>
      <c r="E17457" s="1" t="s">
        <v>6666</v>
      </c>
      <c r="F17457" s="2"/>
      <c r="G17457" s="2"/>
      <c r="H17457" s="2"/>
    </row>
    <row r="17458" spans="1:8" x14ac:dyDescent="0.25">
      <c r="A17458" s="1"/>
      <c r="B17458" s="1" t="s">
        <v>5782</v>
      </c>
      <c r="C17458" s="1" t="s">
        <v>5783</v>
      </c>
      <c r="D17458" s="22" t="str">
        <f>HYPERLINK("https://rhld.insurance.arkansas.gov/NPILookup?Npi=1811653009","1811653009")</f>
        <v>1811653009</v>
      </c>
      <c r="E17458" s="1" t="s">
        <v>6036</v>
      </c>
      <c r="F17458" s="2"/>
      <c r="G17458" s="2"/>
      <c r="H17458" s="2"/>
    </row>
    <row r="17459" spans="1:8" x14ac:dyDescent="0.25">
      <c r="A17459" s="1"/>
      <c r="B17459" s="1" t="s">
        <v>5782</v>
      </c>
      <c r="C17459" s="1" t="s">
        <v>5783</v>
      </c>
      <c r="D17459" s="22" t="str">
        <f>HYPERLINK("https://rhld.insurance.arkansas.gov/NPILookup?Npi=1811682206","1811682206")</f>
        <v>1811682206</v>
      </c>
      <c r="E17459" s="1" t="s">
        <v>23412</v>
      </c>
      <c r="F17459" s="2"/>
      <c r="G17459" s="2"/>
      <c r="H17459" s="2"/>
    </row>
    <row r="17460" spans="1:8" x14ac:dyDescent="0.25">
      <c r="A17460" s="1"/>
      <c r="B17460" s="1" t="s">
        <v>5782</v>
      </c>
      <c r="C17460" s="1" t="s">
        <v>5783</v>
      </c>
      <c r="D17460" s="22" t="str">
        <f>HYPERLINK("https://rhld.insurance.arkansas.gov/NPILookup?Npi=1811751720","1811751720")</f>
        <v>1811751720</v>
      </c>
      <c r="E17460" s="1" t="s">
        <v>31949</v>
      </c>
      <c r="F17460" s="2"/>
      <c r="G17460" s="2"/>
      <c r="H17460" s="2"/>
    </row>
    <row r="17461" spans="1:8" x14ac:dyDescent="0.25">
      <c r="A17461" s="1"/>
      <c r="B17461" s="1" t="s">
        <v>5782</v>
      </c>
      <c r="C17461" s="1" t="s">
        <v>5783</v>
      </c>
      <c r="D17461" s="22" t="str">
        <f>HYPERLINK("https://rhld.insurance.arkansas.gov/NPILookup?Npi=1811758550","1811758550")</f>
        <v>1811758550</v>
      </c>
      <c r="E17461" s="1" t="s">
        <v>6667</v>
      </c>
      <c r="F17461" s="2"/>
      <c r="G17461" s="2"/>
      <c r="H17461" s="2"/>
    </row>
    <row r="17462" spans="1:8" x14ac:dyDescent="0.25">
      <c r="A17462" s="1"/>
      <c r="B17462" s="1" t="s">
        <v>5782</v>
      </c>
      <c r="C17462" s="1" t="s">
        <v>5783</v>
      </c>
      <c r="D17462" s="22" t="str">
        <f>HYPERLINK("https://rhld.insurance.arkansas.gov/NPILookup?Npi=1811762669","1811762669")</f>
        <v>1811762669</v>
      </c>
      <c r="E17462" s="1" t="s">
        <v>5199</v>
      </c>
      <c r="F17462" s="2"/>
      <c r="G17462" s="2"/>
      <c r="H17462" s="2"/>
    </row>
    <row r="17463" spans="1:8" x14ac:dyDescent="0.25">
      <c r="A17463" s="1"/>
      <c r="B17463" s="1" t="s">
        <v>5782</v>
      </c>
      <c r="C17463" s="1" t="s">
        <v>5783</v>
      </c>
      <c r="D17463" s="22" t="str">
        <f>HYPERLINK("https://rhld.insurance.arkansas.gov/NPILookup?Npi=1811766348","1811766348")</f>
        <v>1811766348</v>
      </c>
      <c r="E17463" s="1" t="s">
        <v>23413</v>
      </c>
      <c r="F17463" s="2"/>
      <c r="G17463" s="2"/>
      <c r="H17463" s="2"/>
    </row>
    <row r="17464" spans="1:8" x14ac:dyDescent="0.25">
      <c r="A17464" s="1"/>
      <c r="B17464" s="1" t="s">
        <v>5782</v>
      </c>
      <c r="C17464" s="1" t="s">
        <v>5783</v>
      </c>
      <c r="D17464" s="22" t="str">
        <f>HYPERLINK("https://rhld.insurance.arkansas.gov/NPILookup?Npi=1811906167","1811906167")</f>
        <v>1811906167</v>
      </c>
      <c r="E17464" s="1" t="s">
        <v>6668</v>
      </c>
      <c r="F17464" s="2"/>
      <c r="G17464" s="2"/>
      <c r="H17464" s="2"/>
    </row>
    <row r="17465" spans="1:8" x14ac:dyDescent="0.25">
      <c r="A17465" s="1"/>
      <c r="B17465" s="1" t="s">
        <v>5782</v>
      </c>
      <c r="C17465" s="1" t="s">
        <v>5783</v>
      </c>
      <c r="D17465" s="22" t="str">
        <f>HYPERLINK("https://rhld.insurance.arkansas.gov/NPILookup?Npi=1811916547","1811916547")</f>
        <v>1811916547</v>
      </c>
      <c r="E17465" s="1" t="s">
        <v>11852</v>
      </c>
      <c r="F17465" s="2"/>
      <c r="G17465" s="2"/>
      <c r="H17465" s="2"/>
    </row>
    <row r="17466" spans="1:8" x14ac:dyDescent="0.25">
      <c r="A17466" s="1"/>
      <c r="B17466" s="1" t="s">
        <v>5782</v>
      </c>
      <c r="C17466" s="1" t="s">
        <v>5783</v>
      </c>
      <c r="D17466" s="22" t="str">
        <f>HYPERLINK("https://rhld.insurance.arkansas.gov/NPILookup?Npi=1811927742","1811927742")</f>
        <v>1811927742</v>
      </c>
      <c r="E17466" s="1" t="s">
        <v>23415</v>
      </c>
      <c r="F17466" s="2"/>
      <c r="G17466" s="2"/>
      <c r="H17466" s="2"/>
    </row>
    <row r="17467" spans="1:8" x14ac:dyDescent="0.25">
      <c r="A17467" s="1"/>
      <c r="B17467" s="1" t="s">
        <v>5782</v>
      </c>
      <c r="C17467" s="1" t="s">
        <v>5783</v>
      </c>
      <c r="D17467" s="22" t="str">
        <f>HYPERLINK("https://rhld.insurance.arkansas.gov/NPILookup?Npi=1821004243","1821004243")</f>
        <v>1821004243</v>
      </c>
      <c r="E17467" s="1" t="s">
        <v>23416</v>
      </c>
      <c r="F17467" s="2"/>
      <c r="G17467" s="2"/>
      <c r="H17467" s="2"/>
    </row>
    <row r="17468" spans="1:8" x14ac:dyDescent="0.25">
      <c r="A17468" s="1"/>
      <c r="B17468" s="1" t="s">
        <v>5782</v>
      </c>
      <c r="C17468" s="1" t="s">
        <v>5783</v>
      </c>
      <c r="D17468" s="22" t="str">
        <f>HYPERLINK("https://rhld.insurance.arkansas.gov/NPILookup?Npi=1821013061","1821013061")</f>
        <v>1821013061</v>
      </c>
      <c r="E17468" s="1" t="s">
        <v>23417</v>
      </c>
      <c r="F17468" s="2"/>
      <c r="G17468" s="2"/>
      <c r="H17468" s="2"/>
    </row>
    <row r="17469" spans="1:8" x14ac:dyDescent="0.25">
      <c r="A17469" s="1"/>
      <c r="B17469" s="1" t="s">
        <v>5782</v>
      </c>
      <c r="C17469" s="1" t="s">
        <v>5783</v>
      </c>
      <c r="D17469" s="22" t="str">
        <f>HYPERLINK("https://rhld.insurance.arkansas.gov/NPILookup?Npi=1821053125","1821053125")</f>
        <v>1821053125</v>
      </c>
      <c r="E17469" s="1" t="s">
        <v>2220</v>
      </c>
      <c r="F17469" s="2"/>
      <c r="G17469" s="2"/>
      <c r="H17469" s="2"/>
    </row>
    <row r="17470" spans="1:8" x14ac:dyDescent="0.25">
      <c r="A17470" s="1"/>
      <c r="B17470" s="1" t="s">
        <v>5782</v>
      </c>
      <c r="C17470" s="1" t="s">
        <v>5783</v>
      </c>
      <c r="D17470" s="22" t="str">
        <f>HYPERLINK("https://rhld.insurance.arkansas.gov/NPILookup?Npi=1821123274","1821123274")</f>
        <v>1821123274</v>
      </c>
      <c r="E17470" s="1" t="s">
        <v>791</v>
      </c>
      <c r="F17470" s="2"/>
      <c r="G17470" s="2"/>
      <c r="H17470" s="2"/>
    </row>
    <row r="17471" spans="1:8" x14ac:dyDescent="0.25">
      <c r="A17471" s="1"/>
      <c r="B17471" s="1" t="s">
        <v>5782</v>
      </c>
      <c r="C17471" s="1" t="s">
        <v>5783</v>
      </c>
      <c r="D17471" s="22" t="str">
        <f>HYPERLINK("https://rhld.insurance.arkansas.gov/NPILookup?Npi=1821128422","1821128422")</f>
        <v>1821128422</v>
      </c>
      <c r="E17471" s="1" t="s">
        <v>12131</v>
      </c>
      <c r="F17471" s="2"/>
      <c r="G17471" s="2"/>
      <c r="H17471" s="2"/>
    </row>
    <row r="17472" spans="1:8" x14ac:dyDescent="0.25">
      <c r="A17472" s="1"/>
      <c r="B17472" s="1" t="s">
        <v>5782</v>
      </c>
      <c r="C17472" s="1" t="s">
        <v>5783</v>
      </c>
      <c r="D17472" s="22" t="str">
        <f>HYPERLINK("https://rhld.insurance.arkansas.gov/NPILookup?Npi=1821172115","1821172115")</f>
        <v>1821172115</v>
      </c>
      <c r="E17472" s="1" t="s">
        <v>953</v>
      </c>
      <c r="F17472" s="2"/>
      <c r="G17472" s="2"/>
      <c r="H17472" s="2"/>
    </row>
    <row r="17473" spans="1:8" x14ac:dyDescent="0.25">
      <c r="A17473" s="1"/>
      <c r="B17473" s="1" t="s">
        <v>5782</v>
      </c>
      <c r="C17473" s="1" t="s">
        <v>5783</v>
      </c>
      <c r="D17473" s="22" t="str">
        <f>HYPERLINK("https://rhld.insurance.arkansas.gov/NPILookup?Npi=1821175423","1821175423")</f>
        <v>1821175423</v>
      </c>
      <c r="E17473" s="1" t="s">
        <v>1568</v>
      </c>
      <c r="F17473" s="2"/>
      <c r="G17473" s="2"/>
      <c r="H17473" s="2"/>
    </row>
    <row r="17474" spans="1:8" x14ac:dyDescent="0.25">
      <c r="A17474" s="1"/>
      <c r="B17474" s="1" t="s">
        <v>5782</v>
      </c>
      <c r="C17474" s="1" t="s">
        <v>5783</v>
      </c>
      <c r="D17474" s="22" t="str">
        <f>HYPERLINK("https://rhld.insurance.arkansas.gov/NPILookup?Npi=1821182510","1821182510")</f>
        <v>1821182510</v>
      </c>
      <c r="E17474" s="1" t="s">
        <v>12132</v>
      </c>
      <c r="F17474" s="2"/>
      <c r="G17474" s="2"/>
      <c r="H17474" s="2"/>
    </row>
    <row r="17475" spans="1:8" x14ac:dyDescent="0.25">
      <c r="A17475" s="1"/>
      <c r="B17475" s="1" t="s">
        <v>5782</v>
      </c>
      <c r="C17475" s="1" t="s">
        <v>5783</v>
      </c>
      <c r="D17475" s="22" t="str">
        <f>HYPERLINK("https://rhld.insurance.arkansas.gov/NPILookup?Npi=1821189879","1821189879")</f>
        <v>1821189879</v>
      </c>
      <c r="E17475" s="1" t="s">
        <v>186</v>
      </c>
      <c r="F17475" s="2"/>
      <c r="G17475" s="2"/>
      <c r="H17475" s="2"/>
    </row>
    <row r="17476" spans="1:8" x14ac:dyDescent="0.25">
      <c r="A17476" s="1"/>
      <c r="B17476" s="1" t="s">
        <v>5782</v>
      </c>
      <c r="C17476" s="1" t="s">
        <v>5783</v>
      </c>
      <c r="D17476" s="22" t="str">
        <f>HYPERLINK("https://rhld.insurance.arkansas.gov/NPILookup?Npi=1821208042","1821208042")</f>
        <v>1821208042</v>
      </c>
      <c r="E17476" s="1" t="s">
        <v>23418</v>
      </c>
      <c r="F17476" s="2"/>
      <c r="G17476" s="2"/>
      <c r="H17476" s="2"/>
    </row>
    <row r="17477" spans="1:8" x14ac:dyDescent="0.25">
      <c r="A17477" s="1"/>
      <c r="B17477" s="1" t="s">
        <v>5782</v>
      </c>
      <c r="C17477" s="1" t="s">
        <v>5783</v>
      </c>
      <c r="D17477" s="22" t="str">
        <f>HYPERLINK("https://rhld.insurance.arkansas.gov/NPILookup?Npi=1821221565","1821221565")</f>
        <v>1821221565</v>
      </c>
      <c r="E17477" s="1" t="s">
        <v>23419</v>
      </c>
      <c r="F17477" s="2"/>
      <c r="G17477" s="2"/>
      <c r="H17477" s="2"/>
    </row>
    <row r="17478" spans="1:8" x14ac:dyDescent="0.25">
      <c r="A17478" s="1"/>
      <c r="B17478" s="1" t="s">
        <v>5782</v>
      </c>
      <c r="C17478" s="1" t="s">
        <v>5783</v>
      </c>
      <c r="D17478" s="22" t="str">
        <f>HYPERLINK("https://rhld.insurance.arkansas.gov/NPILookup?Npi=1821246067","1821246067")</f>
        <v>1821246067</v>
      </c>
      <c r="E17478" s="1" t="s">
        <v>23420</v>
      </c>
      <c r="F17478" s="2"/>
      <c r="G17478" s="2"/>
      <c r="H17478" s="2"/>
    </row>
    <row r="17479" spans="1:8" x14ac:dyDescent="0.25">
      <c r="A17479" s="1"/>
      <c r="B17479" s="1" t="s">
        <v>5782</v>
      </c>
      <c r="C17479" s="1" t="s">
        <v>5783</v>
      </c>
      <c r="D17479" s="22" t="str">
        <f>HYPERLINK("https://rhld.insurance.arkansas.gov/NPILookup?Npi=1821247891","1821247891")</f>
        <v>1821247891</v>
      </c>
      <c r="E17479" s="1" t="s">
        <v>23421</v>
      </c>
      <c r="F17479" s="2"/>
      <c r="G17479" s="2"/>
      <c r="H17479" s="2"/>
    </row>
    <row r="17480" spans="1:8" x14ac:dyDescent="0.25">
      <c r="A17480" s="1"/>
      <c r="B17480" s="1" t="s">
        <v>5782</v>
      </c>
      <c r="C17480" s="1" t="s">
        <v>5783</v>
      </c>
      <c r="D17480" s="22" t="str">
        <f>HYPERLINK("https://rhld.insurance.arkansas.gov/NPILookup?Npi=1821324617","1821324617")</f>
        <v>1821324617</v>
      </c>
      <c r="E17480" s="1" t="s">
        <v>23422</v>
      </c>
      <c r="F17480" s="2"/>
      <c r="G17480" s="2"/>
      <c r="H17480" s="2"/>
    </row>
    <row r="17481" spans="1:8" x14ac:dyDescent="0.25">
      <c r="A17481" s="1"/>
      <c r="B17481" s="1" t="s">
        <v>5782</v>
      </c>
      <c r="C17481" s="1" t="s">
        <v>5783</v>
      </c>
      <c r="D17481" s="22" t="str">
        <f>HYPERLINK("https://rhld.insurance.arkansas.gov/NPILookup?Npi=1821330895","1821330895")</f>
        <v>1821330895</v>
      </c>
      <c r="E17481" s="1" t="s">
        <v>23423</v>
      </c>
      <c r="F17481" s="2"/>
      <c r="G17481" s="2"/>
      <c r="H17481" s="2"/>
    </row>
    <row r="17482" spans="1:8" x14ac:dyDescent="0.25">
      <c r="A17482" s="1"/>
      <c r="B17482" s="1" t="s">
        <v>5782</v>
      </c>
      <c r="C17482" s="1" t="s">
        <v>5783</v>
      </c>
      <c r="D17482" s="22" t="str">
        <f>HYPERLINK("https://rhld.insurance.arkansas.gov/NPILookup?Npi=1821331950","1821331950")</f>
        <v>1821331950</v>
      </c>
      <c r="E17482" s="1" t="s">
        <v>6669</v>
      </c>
      <c r="F17482" s="2"/>
      <c r="G17482" s="2"/>
      <c r="H17482" s="2"/>
    </row>
    <row r="17483" spans="1:8" x14ac:dyDescent="0.25">
      <c r="A17483" s="1"/>
      <c r="B17483" s="1" t="s">
        <v>5782</v>
      </c>
      <c r="C17483" s="1" t="s">
        <v>5783</v>
      </c>
      <c r="D17483" s="22" t="str">
        <f>HYPERLINK("https://rhld.insurance.arkansas.gov/NPILookup?Npi=1821332859","1821332859")</f>
        <v>1821332859</v>
      </c>
      <c r="E17483" s="1" t="s">
        <v>12133</v>
      </c>
      <c r="F17483" s="2"/>
      <c r="G17483" s="2"/>
      <c r="H17483" s="2"/>
    </row>
    <row r="17484" spans="1:8" x14ac:dyDescent="0.25">
      <c r="A17484" s="1"/>
      <c r="B17484" s="1" t="s">
        <v>5782</v>
      </c>
      <c r="C17484" s="1" t="s">
        <v>5783</v>
      </c>
      <c r="D17484" s="22" t="str">
        <f>HYPERLINK("https://rhld.insurance.arkansas.gov/NPILookup?Npi=1821335415","1821335415")</f>
        <v>1821335415</v>
      </c>
      <c r="E17484" s="1" t="s">
        <v>11507</v>
      </c>
      <c r="F17484" s="2"/>
      <c r="G17484" s="2"/>
      <c r="H17484" s="2"/>
    </row>
    <row r="17485" spans="1:8" x14ac:dyDescent="0.25">
      <c r="A17485" s="1"/>
      <c r="B17485" s="1" t="s">
        <v>5782</v>
      </c>
      <c r="C17485" s="1" t="s">
        <v>5783</v>
      </c>
      <c r="D17485" s="22" t="str">
        <f>HYPERLINK("https://rhld.insurance.arkansas.gov/NPILookup?Npi=1821342759","1821342759")</f>
        <v>1821342759</v>
      </c>
      <c r="E17485" s="1" t="s">
        <v>6670</v>
      </c>
      <c r="F17485" s="2"/>
      <c r="G17485" s="2"/>
      <c r="H17485" s="2"/>
    </row>
    <row r="17486" spans="1:8" x14ac:dyDescent="0.25">
      <c r="A17486" s="1"/>
      <c r="B17486" s="1" t="s">
        <v>5782</v>
      </c>
      <c r="C17486" s="1" t="s">
        <v>5783</v>
      </c>
      <c r="D17486" s="22" t="str">
        <f>HYPERLINK("https://rhld.insurance.arkansas.gov/NPILookup?Npi=1821348632","1821348632")</f>
        <v>1821348632</v>
      </c>
      <c r="E17486" s="1" t="s">
        <v>3384</v>
      </c>
      <c r="F17486" s="2"/>
      <c r="G17486" s="2"/>
      <c r="H17486" s="2"/>
    </row>
    <row r="17487" spans="1:8" x14ac:dyDescent="0.25">
      <c r="A17487" s="1"/>
      <c r="B17487" s="1" t="s">
        <v>5782</v>
      </c>
      <c r="C17487" s="1" t="s">
        <v>5783</v>
      </c>
      <c r="D17487" s="22" t="str">
        <f>HYPERLINK("https://rhld.insurance.arkansas.gov/NPILookup?Npi=1821358482","1821358482")</f>
        <v>1821358482</v>
      </c>
      <c r="E17487" s="1" t="s">
        <v>12134</v>
      </c>
      <c r="F17487" s="2"/>
      <c r="G17487" s="2"/>
      <c r="H17487" s="2"/>
    </row>
    <row r="17488" spans="1:8" x14ac:dyDescent="0.25">
      <c r="A17488" s="1"/>
      <c r="B17488" s="1" t="s">
        <v>5782</v>
      </c>
      <c r="C17488" s="1" t="s">
        <v>5783</v>
      </c>
      <c r="D17488" s="22" t="str">
        <f>HYPERLINK("https://rhld.insurance.arkansas.gov/NPILookup?Npi=1821360264","1821360264")</f>
        <v>1821360264</v>
      </c>
      <c r="E17488" s="1" t="s">
        <v>23424</v>
      </c>
      <c r="F17488" s="2"/>
      <c r="G17488" s="2"/>
      <c r="H17488" s="2"/>
    </row>
    <row r="17489" spans="1:8" x14ac:dyDescent="0.25">
      <c r="A17489" s="1"/>
      <c r="B17489" s="1" t="s">
        <v>5782</v>
      </c>
      <c r="C17489" s="1" t="s">
        <v>5783</v>
      </c>
      <c r="D17489" s="22" t="str">
        <f>HYPERLINK("https://rhld.insurance.arkansas.gov/NPILookup?Npi=1821370339","1821370339")</f>
        <v>1821370339</v>
      </c>
      <c r="E17489" s="1" t="s">
        <v>23425</v>
      </c>
      <c r="F17489" s="2"/>
      <c r="G17489" s="2"/>
      <c r="H17489" s="2"/>
    </row>
    <row r="17490" spans="1:8" x14ac:dyDescent="0.25">
      <c r="A17490" s="1"/>
      <c r="B17490" s="1" t="s">
        <v>5782</v>
      </c>
      <c r="C17490" s="1" t="s">
        <v>5783</v>
      </c>
      <c r="D17490" s="22" t="str">
        <f>HYPERLINK("https://rhld.insurance.arkansas.gov/NPILookup?Npi=1821402850","1821402850")</f>
        <v>1821402850</v>
      </c>
      <c r="E17490" s="1" t="s">
        <v>3385</v>
      </c>
      <c r="F17490" s="2"/>
      <c r="G17490" s="2"/>
      <c r="H17490" s="2"/>
    </row>
    <row r="17491" spans="1:8" x14ac:dyDescent="0.25">
      <c r="A17491" s="1"/>
      <c r="B17491" s="1" t="s">
        <v>5782</v>
      </c>
      <c r="C17491" s="1" t="s">
        <v>5783</v>
      </c>
      <c r="D17491" s="22" t="str">
        <f>HYPERLINK("https://rhld.insurance.arkansas.gov/NPILookup?Npi=1821403692","1821403692")</f>
        <v>1821403692</v>
      </c>
      <c r="E17491" s="1" t="s">
        <v>12135</v>
      </c>
      <c r="F17491" s="2"/>
      <c r="G17491" s="2"/>
      <c r="H17491" s="2"/>
    </row>
    <row r="17492" spans="1:8" x14ac:dyDescent="0.25">
      <c r="A17492" s="1"/>
      <c r="B17492" s="1" t="s">
        <v>5782</v>
      </c>
      <c r="C17492" s="1" t="s">
        <v>5783</v>
      </c>
      <c r="D17492" s="22" t="str">
        <f>HYPERLINK("https://rhld.insurance.arkansas.gov/NPILookup?Npi=1821416728","1821416728")</f>
        <v>1821416728</v>
      </c>
      <c r="E17492" s="1" t="s">
        <v>307</v>
      </c>
      <c r="F17492" s="2"/>
      <c r="G17492" s="2"/>
      <c r="H17492" s="2"/>
    </row>
    <row r="17493" spans="1:8" x14ac:dyDescent="0.25">
      <c r="A17493" s="1"/>
      <c r="B17493" s="1" t="s">
        <v>5782</v>
      </c>
      <c r="C17493" s="1" t="s">
        <v>5783</v>
      </c>
      <c r="D17493" s="22" t="str">
        <f>HYPERLINK("https://rhld.insurance.arkansas.gov/NPILookup?Npi=1821440181","1821440181")</f>
        <v>1821440181</v>
      </c>
      <c r="E17493" s="1" t="s">
        <v>23426</v>
      </c>
      <c r="F17493" s="2"/>
      <c r="G17493" s="2"/>
      <c r="H17493" s="2"/>
    </row>
    <row r="17494" spans="1:8" x14ac:dyDescent="0.25">
      <c r="A17494" s="1"/>
      <c r="B17494" s="1" t="s">
        <v>5782</v>
      </c>
      <c r="C17494" s="1" t="s">
        <v>5783</v>
      </c>
      <c r="D17494" s="22" t="str">
        <f>HYPERLINK("https://rhld.insurance.arkansas.gov/NPILookup?Npi=1821444506","1821444506")</f>
        <v>1821444506</v>
      </c>
      <c r="E17494" s="1" t="s">
        <v>23427</v>
      </c>
      <c r="F17494" s="2"/>
      <c r="G17494" s="2"/>
      <c r="H17494" s="2"/>
    </row>
    <row r="17495" spans="1:8" x14ac:dyDescent="0.25">
      <c r="A17495" s="1"/>
      <c r="B17495" s="1" t="s">
        <v>5782</v>
      </c>
      <c r="C17495" s="1" t="s">
        <v>5783</v>
      </c>
      <c r="D17495" s="22" t="str">
        <f>HYPERLINK("https://rhld.insurance.arkansas.gov/NPILookup?Npi=1821456625","1821456625")</f>
        <v>1821456625</v>
      </c>
      <c r="E17495" s="1" t="s">
        <v>6671</v>
      </c>
      <c r="F17495" s="2"/>
      <c r="G17495" s="2"/>
      <c r="H17495" s="2"/>
    </row>
    <row r="17496" spans="1:8" x14ac:dyDescent="0.25">
      <c r="A17496" s="1"/>
      <c r="B17496" s="1" t="s">
        <v>5782</v>
      </c>
      <c r="C17496" s="1" t="s">
        <v>5783</v>
      </c>
      <c r="D17496" s="22" t="str">
        <f>HYPERLINK("https://rhld.insurance.arkansas.gov/NPILookup?Npi=1821460817","1821460817")</f>
        <v>1821460817</v>
      </c>
      <c r="E17496" s="1" t="s">
        <v>12136</v>
      </c>
      <c r="F17496" s="2"/>
      <c r="G17496" s="2"/>
      <c r="H17496" s="2"/>
    </row>
    <row r="17497" spans="1:8" x14ac:dyDescent="0.25">
      <c r="A17497" s="1"/>
      <c r="B17497" s="1" t="s">
        <v>5782</v>
      </c>
      <c r="C17497" s="1" t="s">
        <v>5783</v>
      </c>
      <c r="D17497" s="22" t="str">
        <f>HYPERLINK("https://rhld.insurance.arkansas.gov/NPILookup?Npi=1821461351","1821461351")</f>
        <v>1821461351</v>
      </c>
      <c r="E17497" s="1" t="s">
        <v>23428</v>
      </c>
      <c r="F17497" s="2"/>
      <c r="G17497" s="2"/>
      <c r="H17497" s="2"/>
    </row>
    <row r="17498" spans="1:8" x14ac:dyDescent="0.25">
      <c r="A17498" s="1"/>
      <c r="B17498" s="1" t="s">
        <v>5782</v>
      </c>
      <c r="C17498" s="1" t="s">
        <v>5783</v>
      </c>
      <c r="D17498" s="22" t="str">
        <f>HYPERLINK("https://rhld.insurance.arkansas.gov/NPILookup?Npi=1821463670","1821463670")</f>
        <v>1821463670</v>
      </c>
      <c r="E17498" s="1" t="s">
        <v>23429</v>
      </c>
      <c r="F17498" s="2"/>
      <c r="G17498" s="2"/>
      <c r="H17498" s="2"/>
    </row>
    <row r="17499" spans="1:8" x14ac:dyDescent="0.25">
      <c r="A17499" s="1"/>
      <c r="B17499" s="1" t="s">
        <v>5782</v>
      </c>
      <c r="C17499" s="1" t="s">
        <v>5783</v>
      </c>
      <c r="D17499" s="22" t="str">
        <f>HYPERLINK("https://rhld.insurance.arkansas.gov/NPILookup?Npi=1821472119","1821472119")</f>
        <v>1821472119</v>
      </c>
      <c r="E17499" s="1" t="s">
        <v>23430</v>
      </c>
      <c r="F17499" s="2"/>
      <c r="G17499" s="2"/>
      <c r="H17499" s="2"/>
    </row>
    <row r="17500" spans="1:8" x14ac:dyDescent="0.25">
      <c r="A17500" s="1"/>
      <c r="B17500" s="1" t="s">
        <v>5782</v>
      </c>
      <c r="C17500" s="1" t="s">
        <v>5783</v>
      </c>
      <c r="D17500" s="22" t="str">
        <f>HYPERLINK("https://rhld.insurance.arkansas.gov/NPILookup?Npi=1821472655","1821472655")</f>
        <v>1821472655</v>
      </c>
      <c r="E17500" s="1" t="s">
        <v>23431</v>
      </c>
      <c r="F17500" s="2"/>
      <c r="G17500" s="2"/>
      <c r="H17500" s="2"/>
    </row>
    <row r="17501" spans="1:8" x14ac:dyDescent="0.25">
      <c r="A17501" s="1"/>
      <c r="B17501" s="1" t="s">
        <v>5782</v>
      </c>
      <c r="C17501" s="1" t="s">
        <v>5783</v>
      </c>
      <c r="D17501" s="22" t="str">
        <f>HYPERLINK("https://rhld.insurance.arkansas.gov/NPILookup?Npi=1821477548","1821477548")</f>
        <v>1821477548</v>
      </c>
      <c r="E17501" s="1" t="s">
        <v>3386</v>
      </c>
      <c r="F17501" s="2"/>
      <c r="G17501" s="2"/>
      <c r="H17501" s="2"/>
    </row>
    <row r="17502" spans="1:8" x14ac:dyDescent="0.25">
      <c r="A17502" s="1"/>
      <c r="B17502" s="1" t="s">
        <v>5782</v>
      </c>
      <c r="C17502" s="1" t="s">
        <v>5783</v>
      </c>
      <c r="D17502" s="22" t="str">
        <f>HYPERLINK("https://rhld.insurance.arkansas.gov/NPILookup?Npi=1821484494","1821484494")</f>
        <v>1821484494</v>
      </c>
      <c r="E17502" s="1" t="s">
        <v>23432</v>
      </c>
      <c r="F17502" s="2"/>
      <c r="G17502" s="2"/>
      <c r="H17502" s="2"/>
    </row>
    <row r="17503" spans="1:8" x14ac:dyDescent="0.25">
      <c r="A17503" s="1"/>
      <c r="B17503" s="1" t="s">
        <v>5782</v>
      </c>
      <c r="C17503" s="1" t="s">
        <v>5783</v>
      </c>
      <c r="D17503" s="22" t="str">
        <f>HYPERLINK("https://rhld.insurance.arkansas.gov/NPILookup?Npi=1821500299","1821500299")</f>
        <v>1821500299</v>
      </c>
      <c r="E17503" s="1" t="s">
        <v>23433</v>
      </c>
      <c r="F17503" s="2"/>
      <c r="G17503" s="2"/>
      <c r="H17503" s="2"/>
    </row>
    <row r="17504" spans="1:8" x14ac:dyDescent="0.25">
      <c r="A17504" s="1"/>
      <c r="B17504" s="1" t="s">
        <v>5782</v>
      </c>
      <c r="C17504" s="1" t="s">
        <v>5783</v>
      </c>
      <c r="D17504" s="22" t="str">
        <f>HYPERLINK("https://rhld.insurance.arkansas.gov/NPILookup?Npi=1821505017","1821505017")</f>
        <v>1821505017</v>
      </c>
      <c r="E17504" s="1" t="s">
        <v>23434</v>
      </c>
      <c r="F17504" s="2"/>
      <c r="G17504" s="2"/>
      <c r="H17504" s="2"/>
    </row>
    <row r="17505" spans="1:8" x14ac:dyDescent="0.25">
      <c r="A17505" s="1"/>
      <c r="B17505" s="1" t="s">
        <v>5782</v>
      </c>
      <c r="C17505" s="1" t="s">
        <v>5783</v>
      </c>
      <c r="D17505" s="22" t="str">
        <f>HYPERLINK("https://rhld.insurance.arkansas.gov/NPILookup?Npi=1821506148","1821506148")</f>
        <v>1821506148</v>
      </c>
      <c r="E17505" s="1" t="s">
        <v>23435</v>
      </c>
      <c r="F17505" s="2"/>
      <c r="G17505" s="2"/>
      <c r="H17505" s="2"/>
    </row>
    <row r="17506" spans="1:8" x14ac:dyDescent="0.25">
      <c r="A17506" s="1"/>
      <c r="B17506" s="1" t="s">
        <v>5782</v>
      </c>
      <c r="C17506" s="1" t="s">
        <v>5783</v>
      </c>
      <c r="D17506" s="22" t="str">
        <f>HYPERLINK("https://rhld.insurance.arkansas.gov/NPILookup?Npi=1821518242","1821518242")</f>
        <v>1821518242</v>
      </c>
      <c r="E17506" s="1" t="s">
        <v>1525</v>
      </c>
      <c r="F17506" s="2"/>
      <c r="G17506" s="2"/>
      <c r="H17506" s="2"/>
    </row>
    <row r="17507" spans="1:8" x14ac:dyDescent="0.25">
      <c r="A17507" s="1"/>
      <c r="B17507" s="1" t="s">
        <v>5782</v>
      </c>
      <c r="C17507" s="1" t="s">
        <v>5783</v>
      </c>
      <c r="D17507" s="22" t="str">
        <f>HYPERLINK("https://rhld.insurance.arkansas.gov/NPILookup?Npi=1821546698","1821546698")</f>
        <v>1821546698</v>
      </c>
      <c r="E17507" s="1" t="s">
        <v>23436</v>
      </c>
      <c r="F17507" s="2"/>
      <c r="G17507" s="2"/>
      <c r="H17507" s="2"/>
    </row>
    <row r="17508" spans="1:8" x14ac:dyDescent="0.25">
      <c r="A17508" s="1"/>
      <c r="B17508" s="1" t="s">
        <v>5782</v>
      </c>
      <c r="C17508" s="1" t="s">
        <v>5783</v>
      </c>
      <c r="D17508" s="22" t="str">
        <f>HYPERLINK("https://rhld.insurance.arkansas.gov/NPILookup?Npi=1821568940","1821568940")</f>
        <v>1821568940</v>
      </c>
      <c r="E17508" s="1" t="s">
        <v>6672</v>
      </c>
      <c r="F17508" s="2"/>
      <c r="G17508" s="2"/>
      <c r="H17508" s="2"/>
    </row>
    <row r="17509" spans="1:8" x14ac:dyDescent="0.25">
      <c r="A17509" s="1"/>
      <c r="B17509" s="1" t="s">
        <v>5782</v>
      </c>
      <c r="C17509" s="1" t="s">
        <v>5783</v>
      </c>
      <c r="D17509" s="22" t="str">
        <f>HYPERLINK("https://rhld.insurance.arkansas.gov/NPILookup?Npi=1821580556","1821580556")</f>
        <v>1821580556</v>
      </c>
      <c r="E17509" s="1" t="s">
        <v>23437</v>
      </c>
      <c r="F17509" s="2"/>
      <c r="G17509" s="2"/>
      <c r="H17509" s="2"/>
    </row>
    <row r="17510" spans="1:8" x14ac:dyDescent="0.25">
      <c r="A17510" s="1"/>
      <c r="B17510" s="1" t="s">
        <v>5782</v>
      </c>
      <c r="C17510" s="1" t="s">
        <v>5783</v>
      </c>
      <c r="D17510" s="22" t="str">
        <f>HYPERLINK("https://rhld.insurance.arkansas.gov/NPILookup?Npi=1821582289","1821582289")</f>
        <v>1821582289</v>
      </c>
      <c r="E17510" s="1" t="s">
        <v>23438</v>
      </c>
      <c r="F17510" s="2"/>
      <c r="G17510" s="2"/>
      <c r="H17510" s="2"/>
    </row>
    <row r="17511" spans="1:8" x14ac:dyDescent="0.25">
      <c r="A17511" s="1"/>
      <c r="B17511" s="1" t="s">
        <v>5782</v>
      </c>
      <c r="C17511" s="1" t="s">
        <v>5783</v>
      </c>
      <c r="D17511" s="22" t="str">
        <f>HYPERLINK("https://rhld.insurance.arkansas.gov/NPILookup?Npi=1821597287","1821597287")</f>
        <v>1821597287</v>
      </c>
      <c r="E17511" s="1" t="s">
        <v>12137</v>
      </c>
      <c r="F17511" s="2"/>
      <c r="G17511" s="2"/>
      <c r="H17511" s="2"/>
    </row>
    <row r="17512" spans="1:8" x14ac:dyDescent="0.25">
      <c r="A17512" s="1"/>
      <c r="B17512" s="1" t="s">
        <v>5782</v>
      </c>
      <c r="C17512" s="1" t="s">
        <v>5783</v>
      </c>
      <c r="D17512" s="22" t="str">
        <f>HYPERLINK("https://rhld.insurance.arkansas.gov/NPILookup?Npi=1821601600","1821601600")</f>
        <v>1821601600</v>
      </c>
      <c r="E17512" s="1" t="s">
        <v>23439</v>
      </c>
      <c r="F17512" s="2"/>
      <c r="G17512" s="2"/>
      <c r="H17512" s="2"/>
    </row>
    <row r="17513" spans="1:8" x14ac:dyDescent="0.25">
      <c r="A17513" s="1"/>
      <c r="B17513" s="1" t="s">
        <v>5782</v>
      </c>
      <c r="C17513" s="1" t="s">
        <v>5783</v>
      </c>
      <c r="D17513" s="22" t="str">
        <f>HYPERLINK("https://rhld.insurance.arkansas.gov/NPILookup?Npi=1821604661","1821604661")</f>
        <v>1821604661</v>
      </c>
      <c r="E17513" s="1" t="s">
        <v>6673</v>
      </c>
      <c r="F17513" s="2"/>
      <c r="G17513" s="2"/>
      <c r="H17513" s="2"/>
    </row>
    <row r="17514" spans="1:8" x14ac:dyDescent="0.25">
      <c r="A17514" s="1"/>
      <c r="B17514" s="1" t="s">
        <v>5782</v>
      </c>
      <c r="C17514" s="1" t="s">
        <v>5783</v>
      </c>
      <c r="D17514" s="22" t="str">
        <f>HYPERLINK("https://rhld.insurance.arkansas.gov/NPILookup?Npi=1821609025","1821609025")</f>
        <v>1821609025</v>
      </c>
      <c r="E17514" s="1" t="s">
        <v>3883</v>
      </c>
      <c r="F17514" s="2"/>
      <c r="G17514" s="2"/>
      <c r="H17514" s="2"/>
    </row>
    <row r="17515" spans="1:8" x14ac:dyDescent="0.25">
      <c r="A17515" s="1"/>
      <c r="B17515" s="1" t="s">
        <v>5782</v>
      </c>
      <c r="C17515" s="1" t="s">
        <v>5783</v>
      </c>
      <c r="D17515" s="22" t="str">
        <f>HYPERLINK("https://rhld.insurance.arkansas.gov/NPILookup?Npi=1821619370","1821619370")</f>
        <v>1821619370</v>
      </c>
      <c r="E17515" s="1" t="s">
        <v>2416</v>
      </c>
      <c r="F17515" s="2"/>
      <c r="G17515" s="2"/>
      <c r="H17515" s="2"/>
    </row>
    <row r="17516" spans="1:8" x14ac:dyDescent="0.25">
      <c r="A17516" s="1"/>
      <c r="B17516" s="1" t="s">
        <v>5782</v>
      </c>
      <c r="C17516" s="1" t="s">
        <v>5783</v>
      </c>
      <c r="D17516" s="22" t="str">
        <f>HYPERLINK("https://rhld.insurance.arkansas.gov/NPILookup?Npi=1821627456","1821627456")</f>
        <v>1821627456</v>
      </c>
      <c r="E17516" s="1" t="s">
        <v>6674</v>
      </c>
      <c r="F17516" s="2"/>
      <c r="G17516" s="2"/>
      <c r="H17516" s="2"/>
    </row>
    <row r="17517" spans="1:8" x14ac:dyDescent="0.25">
      <c r="A17517" s="1"/>
      <c r="B17517" s="1" t="s">
        <v>5782</v>
      </c>
      <c r="C17517" s="1" t="s">
        <v>5783</v>
      </c>
      <c r="D17517" s="22" t="str">
        <f>HYPERLINK("https://rhld.insurance.arkansas.gov/NPILookup?Npi=1821637083","1821637083")</f>
        <v>1821637083</v>
      </c>
      <c r="E17517" s="1" t="s">
        <v>6675</v>
      </c>
      <c r="F17517" s="2"/>
      <c r="G17517" s="2"/>
      <c r="H17517" s="2"/>
    </row>
    <row r="17518" spans="1:8" x14ac:dyDescent="0.25">
      <c r="A17518" s="1"/>
      <c r="B17518" s="1" t="s">
        <v>5782</v>
      </c>
      <c r="C17518" s="1" t="s">
        <v>5783</v>
      </c>
      <c r="D17518" s="22" t="str">
        <f>HYPERLINK("https://rhld.insurance.arkansas.gov/NPILookup?Npi=1821641424","1821641424")</f>
        <v>1821641424</v>
      </c>
      <c r="E17518" s="1" t="s">
        <v>5511</v>
      </c>
      <c r="F17518" s="2"/>
      <c r="G17518" s="2"/>
      <c r="H17518" s="2"/>
    </row>
    <row r="17519" spans="1:8" x14ac:dyDescent="0.25">
      <c r="A17519" s="1"/>
      <c r="B17519" s="1" t="s">
        <v>5782</v>
      </c>
      <c r="C17519" s="1" t="s">
        <v>5783</v>
      </c>
      <c r="D17519" s="22" t="str">
        <f>HYPERLINK("https://rhld.insurance.arkansas.gov/NPILookup?Npi=1821643602","1821643602")</f>
        <v>1821643602</v>
      </c>
      <c r="E17519" s="1" t="s">
        <v>23440</v>
      </c>
      <c r="F17519" s="2"/>
      <c r="G17519" s="2"/>
      <c r="H17519" s="2"/>
    </row>
    <row r="17520" spans="1:8" x14ac:dyDescent="0.25">
      <c r="A17520" s="1"/>
      <c r="B17520" s="1" t="s">
        <v>5782</v>
      </c>
      <c r="C17520" s="1" t="s">
        <v>5783</v>
      </c>
      <c r="D17520" s="22" t="str">
        <f>HYPERLINK("https://rhld.insurance.arkansas.gov/NPILookup?Npi=1821643800","1821643800")</f>
        <v>1821643800</v>
      </c>
      <c r="E17520" s="1" t="s">
        <v>950</v>
      </c>
      <c r="F17520" s="2"/>
      <c r="G17520" s="2"/>
      <c r="H17520" s="2"/>
    </row>
    <row r="17521" spans="1:8" x14ac:dyDescent="0.25">
      <c r="A17521" s="1"/>
      <c r="B17521" s="1" t="s">
        <v>5782</v>
      </c>
      <c r="C17521" s="1" t="s">
        <v>5783</v>
      </c>
      <c r="D17521" s="22" t="str">
        <f>HYPERLINK("https://rhld.insurance.arkansas.gov/NPILookup?Npi=1821653700","1821653700")</f>
        <v>1821653700</v>
      </c>
      <c r="E17521" s="1" t="s">
        <v>23441</v>
      </c>
      <c r="F17521" s="2"/>
      <c r="G17521" s="2"/>
      <c r="H17521" s="2"/>
    </row>
    <row r="17522" spans="1:8" x14ac:dyDescent="0.25">
      <c r="A17522" s="1"/>
      <c r="B17522" s="1" t="s">
        <v>5782</v>
      </c>
      <c r="C17522" s="1" t="s">
        <v>5783</v>
      </c>
      <c r="D17522" s="22" t="str">
        <f>HYPERLINK("https://rhld.insurance.arkansas.gov/NPILookup?Npi=1821661802","1821661802")</f>
        <v>1821661802</v>
      </c>
      <c r="E17522" s="1" t="s">
        <v>23442</v>
      </c>
      <c r="F17522" s="2"/>
      <c r="G17522" s="2"/>
      <c r="H17522" s="2"/>
    </row>
    <row r="17523" spans="1:8" x14ac:dyDescent="0.25">
      <c r="A17523" s="1"/>
      <c r="B17523" s="1" t="s">
        <v>5782</v>
      </c>
      <c r="C17523" s="1" t="s">
        <v>5783</v>
      </c>
      <c r="D17523" s="22" t="str">
        <f>HYPERLINK("https://rhld.insurance.arkansas.gov/NPILookup?Npi=1821669979","1821669979")</f>
        <v>1821669979</v>
      </c>
      <c r="E17523" s="1" t="s">
        <v>23443</v>
      </c>
      <c r="F17523" s="2"/>
      <c r="G17523" s="2"/>
      <c r="H17523" s="2"/>
    </row>
    <row r="17524" spans="1:8" x14ac:dyDescent="0.25">
      <c r="A17524" s="1"/>
      <c r="B17524" s="1" t="s">
        <v>5782</v>
      </c>
      <c r="C17524" s="1" t="s">
        <v>5783</v>
      </c>
      <c r="D17524" s="22" t="str">
        <f>HYPERLINK("https://rhld.insurance.arkansas.gov/NPILookup?Npi=1821677501","1821677501")</f>
        <v>1821677501</v>
      </c>
      <c r="E17524" s="1" t="s">
        <v>6676</v>
      </c>
      <c r="F17524" s="2"/>
      <c r="G17524" s="2"/>
      <c r="H17524" s="2"/>
    </row>
    <row r="17525" spans="1:8" x14ac:dyDescent="0.25">
      <c r="A17525" s="1"/>
      <c r="B17525" s="1" t="s">
        <v>5782</v>
      </c>
      <c r="C17525" s="1" t="s">
        <v>5783</v>
      </c>
      <c r="D17525" s="22" t="str">
        <f>HYPERLINK("https://rhld.insurance.arkansas.gov/NPILookup?Npi=1821680505","1821680505")</f>
        <v>1821680505</v>
      </c>
      <c r="E17525" s="1" t="s">
        <v>3387</v>
      </c>
      <c r="F17525" s="2"/>
      <c r="G17525" s="2"/>
      <c r="H17525" s="2"/>
    </row>
    <row r="17526" spans="1:8" x14ac:dyDescent="0.25">
      <c r="A17526" s="1"/>
      <c r="B17526" s="1" t="s">
        <v>5782</v>
      </c>
      <c r="C17526" s="1" t="s">
        <v>5783</v>
      </c>
      <c r="D17526" s="22" t="str">
        <f>HYPERLINK("https://rhld.insurance.arkansas.gov/NPILookup?Npi=1821704925","1821704925")</f>
        <v>1821704925</v>
      </c>
      <c r="E17526" s="1" t="s">
        <v>6677</v>
      </c>
      <c r="F17526" s="2"/>
      <c r="G17526" s="2"/>
      <c r="H17526" s="2"/>
    </row>
    <row r="17527" spans="1:8" x14ac:dyDescent="0.25">
      <c r="A17527" s="1"/>
      <c r="B17527" s="1" t="s">
        <v>5782</v>
      </c>
      <c r="C17527" s="1" t="s">
        <v>5783</v>
      </c>
      <c r="D17527" s="22" t="str">
        <f>HYPERLINK("https://rhld.insurance.arkansas.gov/NPILookup?Npi=1821725052","1821725052")</f>
        <v>1821725052</v>
      </c>
      <c r="E17527" s="1" t="s">
        <v>6678</v>
      </c>
      <c r="F17527" s="2"/>
      <c r="G17527" s="2"/>
      <c r="H17527" s="2"/>
    </row>
    <row r="17528" spans="1:8" x14ac:dyDescent="0.25">
      <c r="A17528" s="1"/>
      <c r="B17528" s="1" t="s">
        <v>5782</v>
      </c>
      <c r="C17528" s="1" t="s">
        <v>5783</v>
      </c>
      <c r="D17528" s="22" t="str">
        <f>HYPERLINK("https://rhld.insurance.arkansas.gov/NPILookup?Npi=1821728437","1821728437")</f>
        <v>1821728437</v>
      </c>
      <c r="E17528" s="1" t="s">
        <v>6679</v>
      </c>
      <c r="F17528" s="2"/>
      <c r="G17528" s="2"/>
      <c r="H17528" s="2"/>
    </row>
    <row r="17529" spans="1:8" x14ac:dyDescent="0.25">
      <c r="A17529" s="1"/>
      <c r="B17529" s="1" t="s">
        <v>5782</v>
      </c>
      <c r="C17529" s="1" t="s">
        <v>5783</v>
      </c>
      <c r="D17529" s="22" t="str">
        <f>HYPERLINK("https://rhld.insurance.arkansas.gov/NPILookup?Npi=1821741414","1821741414")</f>
        <v>1821741414</v>
      </c>
      <c r="E17529" s="1" t="s">
        <v>23444</v>
      </c>
      <c r="F17529" s="2"/>
      <c r="G17529" s="2"/>
      <c r="H17529" s="2"/>
    </row>
    <row r="17530" spans="1:8" x14ac:dyDescent="0.25">
      <c r="A17530" s="1"/>
      <c r="B17530" s="1" t="s">
        <v>5782</v>
      </c>
      <c r="C17530" s="1" t="s">
        <v>5783</v>
      </c>
      <c r="D17530" s="22" t="str">
        <f>HYPERLINK("https://rhld.insurance.arkansas.gov/NPILookup?Npi=1821743105","1821743105")</f>
        <v>1821743105</v>
      </c>
      <c r="E17530" s="1" t="s">
        <v>12138</v>
      </c>
      <c r="F17530" s="2"/>
      <c r="G17530" s="2"/>
      <c r="H17530" s="2"/>
    </row>
    <row r="17531" spans="1:8" x14ac:dyDescent="0.25">
      <c r="A17531" s="1"/>
      <c r="B17531" s="1" t="s">
        <v>5782</v>
      </c>
      <c r="C17531" s="1" t="s">
        <v>5783</v>
      </c>
      <c r="D17531" s="22" t="str">
        <f>HYPERLINK("https://rhld.insurance.arkansas.gov/NPILookup?Npi=1821745795","1821745795")</f>
        <v>1821745795</v>
      </c>
      <c r="E17531" s="1" t="s">
        <v>23445</v>
      </c>
      <c r="F17531" s="2"/>
      <c r="G17531" s="2"/>
      <c r="H17531" s="2"/>
    </row>
    <row r="17532" spans="1:8" x14ac:dyDescent="0.25">
      <c r="A17532" s="1"/>
      <c r="B17532" s="1" t="s">
        <v>5782</v>
      </c>
      <c r="C17532" s="1" t="s">
        <v>5783</v>
      </c>
      <c r="D17532" s="22" t="str">
        <f>HYPERLINK("https://rhld.insurance.arkansas.gov/NPILookup?Npi=1821746116","1821746116")</f>
        <v>1821746116</v>
      </c>
      <c r="E17532" s="1" t="s">
        <v>11535</v>
      </c>
      <c r="F17532" s="2"/>
      <c r="G17532" s="2"/>
      <c r="H17532" s="2"/>
    </row>
    <row r="17533" spans="1:8" x14ac:dyDescent="0.25">
      <c r="A17533" s="1"/>
      <c r="B17533" s="1" t="s">
        <v>5782</v>
      </c>
      <c r="C17533" s="1" t="s">
        <v>5783</v>
      </c>
      <c r="D17533" s="22" t="str">
        <f>HYPERLINK("https://rhld.insurance.arkansas.gov/NPILookup?Npi=1821752825","1821752825")</f>
        <v>1821752825</v>
      </c>
      <c r="E17533" s="1" t="s">
        <v>31950</v>
      </c>
      <c r="F17533" s="2"/>
      <c r="G17533" s="2"/>
      <c r="H17533" s="2"/>
    </row>
    <row r="17534" spans="1:8" x14ac:dyDescent="0.25">
      <c r="A17534" s="1"/>
      <c r="B17534" s="1" t="s">
        <v>5782</v>
      </c>
      <c r="C17534" s="1" t="s">
        <v>5783</v>
      </c>
      <c r="D17534" s="22" t="str">
        <f>HYPERLINK("https://rhld.insurance.arkansas.gov/NPILookup?Npi=1821795394","1821795394")</f>
        <v>1821795394</v>
      </c>
      <c r="E17534" s="1" t="s">
        <v>6680</v>
      </c>
      <c r="F17534" s="2"/>
      <c r="G17534" s="2"/>
      <c r="H17534" s="2"/>
    </row>
    <row r="17535" spans="1:8" x14ac:dyDescent="0.25">
      <c r="A17535" s="1"/>
      <c r="B17535" s="1" t="s">
        <v>5782</v>
      </c>
      <c r="C17535" s="1" t="s">
        <v>5783</v>
      </c>
      <c r="D17535" s="22" t="str">
        <f>HYPERLINK("https://rhld.insurance.arkansas.gov/NPILookup?Npi=1821856709","1821856709")</f>
        <v>1821856709</v>
      </c>
      <c r="E17535" s="1" t="s">
        <v>12139</v>
      </c>
      <c r="F17535" s="2"/>
      <c r="G17535" s="2"/>
      <c r="H17535" s="2"/>
    </row>
    <row r="17536" spans="1:8" x14ac:dyDescent="0.25">
      <c r="A17536" s="1"/>
      <c r="B17536" s="1" t="s">
        <v>5782</v>
      </c>
      <c r="C17536" s="1" t="s">
        <v>5783</v>
      </c>
      <c r="D17536" s="22" t="str">
        <f>HYPERLINK("https://rhld.insurance.arkansas.gov/NPILookup?Npi=1821866039","1821866039")</f>
        <v>1821866039</v>
      </c>
      <c r="E17536" s="1" t="s">
        <v>23446</v>
      </c>
      <c r="F17536" s="2"/>
      <c r="G17536" s="2"/>
      <c r="H17536" s="2"/>
    </row>
    <row r="17537" spans="1:8" x14ac:dyDescent="0.25">
      <c r="A17537" s="1"/>
      <c r="B17537" s="1" t="s">
        <v>5782</v>
      </c>
      <c r="C17537" s="1" t="s">
        <v>5783</v>
      </c>
      <c r="D17537" s="22" t="str">
        <f>HYPERLINK("https://rhld.insurance.arkansas.gov/NPILookup?Npi=1831127075","1831127075")</f>
        <v>1831127075</v>
      </c>
      <c r="E17537" s="1" t="s">
        <v>13996</v>
      </c>
      <c r="F17537" s="2"/>
      <c r="G17537" s="2"/>
      <c r="H17537" s="2"/>
    </row>
    <row r="17538" spans="1:8" x14ac:dyDescent="0.25">
      <c r="A17538" s="1"/>
      <c r="B17538" s="1" t="s">
        <v>5782</v>
      </c>
      <c r="C17538" s="1" t="s">
        <v>5783</v>
      </c>
      <c r="D17538" s="22" t="str">
        <f>HYPERLINK("https://rhld.insurance.arkansas.gov/NPILookup?Npi=1831142785","1831142785")</f>
        <v>1831142785</v>
      </c>
      <c r="E17538" s="1" t="s">
        <v>20427</v>
      </c>
      <c r="F17538" s="2"/>
      <c r="G17538" s="2"/>
      <c r="H17538" s="2"/>
    </row>
    <row r="17539" spans="1:8" x14ac:dyDescent="0.25">
      <c r="A17539" s="1"/>
      <c r="B17539" s="1" t="s">
        <v>5782</v>
      </c>
      <c r="C17539" s="1" t="s">
        <v>5783</v>
      </c>
      <c r="D17539" s="22" t="str">
        <f>HYPERLINK("https://rhld.insurance.arkansas.gov/NPILookup?Npi=1831149004","1831149004")</f>
        <v>1831149004</v>
      </c>
      <c r="E17539" s="1" t="s">
        <v>23447</v>
      </c>
      <c r="F17539" s="2"/>
      <c r="G17539" s="2"/>
      <c r="H17539" s="2"/>
    </row>
    <row r="17540" spans="1:8" x14ac:dyDescent="0.25">
      <c r="A17540" s="1"/>
      <c r="B17540" s="1" t="s">
        <v>5782</v>
      </c>
      <c r="C17540" s="1" t="s">
        <v>5783</v>
      </c>
      <c r="D17540" s="22" t="str">
        <f>HYPERLINK("https://rhld.insurance.arkansas.gov/NPILookup?Npi=1831184985","1831184985")</f>
        <v>1831184985</v>
      </c>
      <c r="E17540" s="1" t="s">
        <v>6681</v>
      </c>
      <c r="F17540" s="2"/>
      <c r="G17540" s="2"/>
      <c r="H17540" s="2"/>
    </row>
    <row r="17541" spans="1:8" x14ac:dyDescent="0.25">
      <c r="A17541" s="1"/>
      <c r="B17541" s="1" t="s">
        <v>5782</v>
      </c>
      <c r="C17541" s="1" t="s">
        <v>5783</v>
      </c>
      <c r="D17541" s="22" t="str">
        <f>HYPERLINK("https://rhld.insurance.arkansas.gov/NPILookup?Npi=1831263672","1831263672")</f>
        <v>1831263672</v>
      </c>
      <c r="E17541" s="1" t="s">
        <v>23448</v>
      </c>
      <c r="F17541" s="2"/>
      <c r="G17541" s="2"/>
      <c r="H17541" s="2"/>
    </row>
    <row r="17542" spans="1:8" x14ac:dyDescent="0.25">
      <c r="A17542" s="1"/>
      <c r="B17542" s="1" t="s">
        <v>5782</v>
      </c>
      <c r="C17542" s="1" t="s">
        <v>5783</v>
      </c>
      <c r="D17542" s="22" t="str">
        <f>HYPERLINK("https://rhld.insurance.arkansas.gov/NPILookup?Npi=1831279942","1831279942")</f>
        <v>1831279942</v>
      </c>
      <c r="E17542" s="1" t="s">
        <v>23449</v>
      </c>
      <c r="F17542" s="2"/>
      <c r="G17542" s="2"/>
      <c r="H17542" s="2"/>
    </row>
    <row r="17543" spans="1:8" x14ac:dyDescent="0.25">
      <c r="A17543" s="1"/>
      <c r="B17543" s="1" t="s">
        <v>5782</v>
      </c>
      <c r="C17543" s="1" t="s">
        <v>5783</v>
      </c>
      <c r="D17543" s="22" t="str">
        <f>HYPERLINK("https://rhld.insurance.arkansas.gov/NPILookup?Npi=1831302439","1831302439")</f>
        <v>1831302439</v>
      </c>
      <c r="E17543" s="1" t="s">
        <v>3440</v>
      </c>
      <c r="F17543" s="2"/>
      <c r="G17543" s="2"/>
      <c r="H17543" s="2"/>
    </row>
    <row r="17544" spans="1:8" x14ac:dyDescent="0.25">
      <c r="A17544" s="1"/>
      <c r="B17544" s="1" t="s">
        <v>5782</v>
      </c>
      <c r="C17544" s="1" t="s">
        <v>5783</v>
      </c>
      <c r="D17544" s="22" t="str">
        <f>HYPERLINK("https://rhld.insurance.arkansas.gov/NPILookup?Npi=1831343243","1831343243")</f>
        <v>1831343243</v>
      </c>
      <c r="E17544" s="1" t="s">
        <v>792</v>
      </c>
      <c r="F17544" s="2"/>
      <c r="G17544" s="2"/>
      <c r="H17544" s="2"/>
    </row>
    <row r="17545" spans="1:8" x14ac:dyDescent="0.25">
      <c r="A17545" s="1"/>
      <c r="B17545" s="1" t="s">
        <v>5782</v>
      </c>
      <c r="C17545" s="1" t="s">
        <v>5783</v>
      </c>
      <c r="D17545" s="22" t="str">
        <f>HYPERLINK("https://rhld.insurance.arkansas.gov/NPILookup?Npi=1831348291","1831348291")</f>
        <v>1831348291</v>
      </c>
      <c r="E17545" s="1" t="s">
        <v>23450</v>
      </c>
      <c r="F17545" s="2"/>
      <c r="G17545" s="2"/>
      <c r="H17545" s="2"/>
    </row>
    <row r="17546" spans="1:8" x14ac:dyDescent="0.25">
      <c r="A17546" s="1"/>
      <c r="B17546" s="1" t="s">
        <v>5782</v>
      </c>
      <c r="C17546" s="1" t="s">
        <v>5783</v>
      </c>
      <c r="D17546" s="22" t="str">
        <f>HYPERLINK("https://rhld.insurance.arkansas.gov/NPILookup?Npi=1831353002","1831353002")</f>
        <v>1831353002</v>
      </c>
      <c r="E17546" s="1" t="s">
        <v>23451</v>
      </c>
      <c r="F17546" s="2"/>
      <c r="G17546" s="2"/>
      <c r="H17546" s="2"/>
    </row>
    <row r="17547" spans="1:8" x14ac:dyDescent="0.25">
      <c r="A17547" s="1"/>
      <c r="B17547" s="1" t="s">
        <v>5782</v>
      </c>
      <c r="C17547" s="1" t="s">
        <v>5783</v>
      </c>
      <c r="D17547" s="22" t="str">
        <f>HYPERLINK("https://rhld.insurance.arkansas.gov/NPILookup?Npi=1831357631","1831357631")</f>
        <v>1831357631</v>
      </c>
      <c r="E17547" s="1" t="s">
        <v>12141</v>
      </c>
      <c r="F17547" s="2"/>
      <c r="G17547" s="2"/>
      <c r="H17547" s="2"/>
    </row>
    <row r="17548" spans="1:8" x14ac:dyDescent="0.25">
      <c r="A17548" s="1"/>
      <c r="B17548" s="1" t="s">
        <v>5782</v>
      </c>
      <c r="C17548" s="1" t="s">
        <v>5783</v>
      </c>
      <c r="D17548" s="22" t="str">
        <f>HYPERLINK("https://rhld.insurance.arkansas.gov/NPILookup?Npi=1831359587","1831359587")</f>
        <v>1831359587</v>
      </c>
      <c r="E17548" s="1" t="s">
        <v>12142</v>
      </c>
      <c r="F17548" s="2"/>
      <c r="G17548" s="2"/>
      <c r="H17548" s="2"/>
    </row>
    <row r="17549" spans="1:8" x14ac:dyDescent="0.25">
      <c r="A17549" s="1"/>
      <c r="B17549" s="1" t="s">
        <v>5782</v>
      </c>
      <c r="C17549" s="1" t="s">
        <v>5783</v>
      </c>
      <c r="D17549" s="22" t="str">
        <f>HYPERLINK("https://rhld.insurance.arkansas.gov/NPILookup?Npi=1831386747","1831386747")</f>
        <v>1831386747</v>
      </c>
      <c r="E17549" s="1" t="s">
        <v>6682</v>
      </c>
      <c r="F17549" s="2"/>
      <c r="G17549" s="2"/>
      <c r="H17549" s="2"/>
    </row>
    <row r="17550" spans="1:8" x14ac:dyDescent="0.25">
      <c r="A17550" s="1"/>
      <c r="B17550" s="1" t="s">
        <v>5782</v>
      </c>
      <c r="C17550" s="1" t="s">
        <v>5783</v>
      </c>
      <c r="D17550" s="22" t="str">
        <f>HYPERLINK("https://rhld.insurance.arkansas.gov/NPILookup?Npi=1831398007","1831398007")</f>
        <v>1831398007</v>
      </c>
      <c r="E17550" s="1" t="s">
        <v>12143</v>
      </c>
      <c r="F17550" s="2"/>
      <c r="G17550" s="2"/>
      <c r="H17550" s="2"/>
    </row>
    <row r="17551" spans="1:8" x14ac:dyDescent="0.25">
      <c r="A17551" s="1"/>
      <c r="B17551" s="1" t="s">
        <v>5782</v>
      </c>
      <c r="C17551" s="1" t="s">
        <v>5783</v>
      </c>
      <c r="D17551" s="22" t="str">
        <f>HYPERLINK("https://rhld.insurance.arkansas.gov/NPILookup?Npi=1831398874","1831398874")</f>
        <v>1831398874</v>
      </c>
      <c r="E17551" s="1" t="s">
        <v>23452</v>
      </c>
      <c r="F17551" s="2"/>
      <c r="G17551" s="2"/>
      <c r="H17551" s="2"/>
    </row>
    <row r="17552" spans="1:8" x14ac:dyDescent="0.25">
      <c r="A17552" s="1"/>
      <c r="B17552" s="1" t="s">
        <v>5782</v>
      </c>
      <c r="C17552" s="1" t="s">
        <v>5783</v>
      </c>
      <c r="D17552" s="22" t="str">
        <f>HYPERLINK("https://rhld.insurance.arkansas.gov/NPILookup?Npi=1831402163","1831402163")</f>
        <v>1831402163</v>
      </c>
      <c r="E17552" s="1" t="s">
        <v>23453</v>
      </c>
      <c r="F17552" s="2"/>
      <c r="G17552" s="2"/>
      <c r="H17552" s="2"/>
    </row>
    <row r="17553" spans="1:8" x14ac:dyDescent="0.25">
      <c r="A17553" s="1"/>
      <c r="B17553" s="1" t="s">
        <v>5782</v>
      </c>
      <c r="C17553" s="1" t="s">
        <v>5783</v>
      </c>
      <c r="D17553" s="22" t="str">
        <f>HYPERLINK("https://rhld.insurance.arkansas.gov/NPILookup?Npi=1831406370","1831406370")</f>
        <v>1831406370</v>
      </c>
      <c r="E17553" s="1" t="s">
        <v>23454</v>
      </c>
      <c r="F17553" s="2"/>
      <c r="G17553" s="2"/>
      <c r="H17553" s="2"/>
    </row>
    <row r="17554" spans="1:8" x14ac:dyDescent="0.25">
      <c r="A17554" s="1"/>
      <c r="B17554" s="1" t="s">
        <v>5782</v>
      </c>
      <c r="C17554" s="1" t="s">
        <v>5783</v>
      </c>
      <c r="D17554" s="22" t="str">
        <f>HYPERLINK("https://rhld.insurance.arkansas.gov/NPILookup?Npi=1831408947","1831408947")</f>
        <v>1831408947</v>
      </c>
      <c r="E17554" s="1" t="s">
        <v>23455</v>
      </c>
      <c r="F17554" s="2"/>
      <c r="G17554" s="2"/>
      <c r="H17554" s="2"/>
    </row>
    <row r="17555" spans="1:8" x14ac:dyDescent="0.25">
      <c r="A17555" s="1"/>
      <c r="B17555" s="1" t="s">
        <v>5782</v>
      </c>
      <c r="C17555" s="1" t="s">
        <v>5783</v>
      </c>
      <c r="D17555" s="22" t="str">
        <f>HYPERLINK("https://rhld.insurance.arkansas.gov/NPILookup?Npi=1831431733","1831431733")</f>
        <v>1831431733</v>
      </c>
      <c r="E17555" s="1" t="s">
        <v>23456</v>
      </c>
      <c r="F17555" s="2"/>
      <c r="G17555" s="2"/>
      <c r="H17555" s="2"/>
    </row>
    <row r="17556" spans="1:8" x14ac:dyDescent="0.25">
      <c r="A17556" s="1"/>
      <c r="B17556" s="1" t="s">
        <v>5782</v>
      </c>
      <c r="C17556" s="1" t="s">
        <v>5783</v>
      </c>
      <c r="D17556" s="22" t="str">
        <f>HYPERLINK("https://rhld.insurance.arkansas.gov/NPILookup?Npi=1831432129","1831432129")</f>
        <v>1831432129</v>
      </c>
      <c r="E17556" s="1" t="s">
        <v>6683</v>
      </c>
      <c r="F17556" s="2"/>
      <c r="G17556" s="2"/>
      <c r="H17556" s="2"/>
    </row>
    <row r="17557" spans="1:8" x14ac:dyDescent="0.25">
      <c r="A17557" s="1"/>
      <c r="B17557" s="1" t="s">
        <v>5782</v>
      </c>
      <c r="C17557" s="1" t="s">
        <v>5783</v>
      </c>
      <c r="D17557" s="22" t="str">
        <f>HYPERLINK("https://rhld.insurance.arkansas.gov/NPILookup?Npi=1831439983","1831439983")</f>
        <v>1831439983</v>
      </c>
      <c r="E17557" s="1" t="s">
        <v>23457</v>
      </c>
      <c r="F17557" s="2"/>
      <c r="G17557" s="2"/>
      <c r="H17557" s="2"/>
    </row>
    <row r="17558" spans="1:8" x14ac:dyDescent="0.25">
      <c r="A17558" s="1"/>
      <c r="B17558" s="1" t="s">
        <v>5782</v>
      </c>
      <c r="C17558" s="1" t="s">
        <v>5783</v>
      </c>
      <c r="D17558" s="22" t="str">
        <f>HYPERLINK("https://rhld.insurance.arkansas.gov/NPILookup?Npi=1831454461","1831454461")</f>
        <v>1831454461</v>
      </c>
      <c r="E17558" s="1" t="s">
        <v>23458</v>
      </c>
      <c r="F17558" s="2"/>
      <c r="G17558" s="2"/>
      <c r="H17558" s="2"/>
    </row>
    <row r="17559" spans="1:8" x14ac:dyDescent="0.25">
      <c r="A17559" s="1"/>
      <c r="B17559" s="1" t="s">
        <v>5782</v>
      </c>
      <c r="C17559" s="1" t="s">
        <v>5783</v>
      </c>
      <c r="D17559" s="22" t="str">
        <f>HYPERLINK("https://rhld.insurance.arkansas.gov/NPILookup?Npi=1831459098","1831459098")</f>
        <v>1831459098</v>
      </c>
      <c r="E17559" s="1" t="s">
        <v>1337</v>
      </c>
      <c r="F17559" s="2"/>
      <c r="G17559" s="2"/>
      <c r="H17559" s="2"/>
    </row>
    <row r="17560" spans="1:8" x14ac:dyDescent="0.25">
      <c r="A17560" s="1"/>
      <c r="B17560" s="1" t="s">
        <v>5782</v>
      </c>
      <c r="C17560" s="1" t="s">
        <v>5783</v>
      </c>
      <c r="D17560" s="22" t="str">
        <f>HYPERLINK("https://rhld.insurance.arkansas.gov/NPILookup?Npi=1831479831","1831479831")</f>
        <v>1831479831</v>
      </c>
      <c r="E17560" s="1" t="s">
        <v>23459</v>
      </c>
      <c r="F17560" s="2"/>
      <c r="G17560" s="2"/>
      <c r="H17560" s="2"/>
    </row>
    <row r="17561" spans="1:8" x14ac:dyDescent="0.25">
      <c r="A17561" s="1"/>
      <c r="B17561" s="1" t="s">
        <v>5782</v>
      </c>
      <c r="C17561" s="1" t="s">
        <v>5783</v>
      </c>
      <c r="D17561" s="22" t="str">
        <f>HYPERLINK("https://rhld.insurance.arkansas.gov/NPILookup?Npi=1831494905","1831494905")</f>
        <v>1831494905</v>
      </c>
      <c r="E17561" s="1" t="s">
        <v>23460</v>
      </c>
      <c r="F17561" s="2"/>
      <c r="G17561" s="2"/>
      <c r="H17561" s="2"/>
    </row>
    <row r="17562" spans="1:8" x14ac:dyDescent="0.25">
      <c r="A17562" s="1"/>
      <c r="B17562" s="1" t="s">
        <v>5782</v>
      </c>
      <c r="C17562" s="1" t="s">
        <v>5783</v>
      </c>
      <c r="D17562" s="22" t="str">
        <f>HYPERLINK("https://rhld.insurance.arkansas.gov/NPILookup?Npi=1831524586","1831524586")</f>
        <v>1831524586</v>
      </c>
      <c r="E17562" s="1" t="s">
        <v>3292</v>
      </c>
      <c r="F17562" s="2"/>
      <c r="G17562" s="2"/>
      <c r="H17562" s="2"/>
    </row>
    <row r="17563" spans="1:8" x14ac:dyDescent="0.25">
      <c r="A17563" s="1"/>
      <c r="B17563" s="1" t="s">
        <v>5782</v>
      </c>
      <c r="C17563" s="1" t="s">
        <v>5783</v>
      </c>
      <c r="D17563" s="22" t="str">
        <f>HYPERLINK("https://rhld.insurance.arkansas.gov/NPILookup?Npi=1831533116","1831533116")</f>
        <v>1831533116</v>
      </c>
      <c r="E17563" s="1" t="s">
        <v>12144</v>
      </c>
      <c r="F17563" s="2"/>
      <c r="G17563" s="2"/>
      <c r="H17563" s="2"/>
    </row>
    <row r="17564" spans="1:8" x14ac:dyDescent="0.25">
      <c r="A17564" s="1"/>
      <c r="B17564" s="1" t="s">
        <v>5782</v>
      </c>
      <c r="C17564" s="1" t="s">
        <v>5783</v>
      </c>
      <c r="D17564" s="22" t="str">
        <f>HYPERLINK("https://rhld.insurance.arkansas.gov/NPILookup?Npi=1831538917","1831538917")</f>
        <v>1831538917</v>
      </c>
      <c r="E17564" s="1" t="s">
        <v>23461</v>
      </c>
      <c r="F17564" s="2"/>
      <c r="G17564" s="2"/>
      <c r="H17564" s="2"/>
    </row>
    <row r="17565" spans="1:8" x14ac:dyDescent="0.25">
      <c r="A17565" s="1"/>
      <c r="B17565" s="1" t="s">
        <v>5782</v>
      </c>
      <c r="C17565" s="1" t="s">
        <v>5783</v>
      </c>
      <c r="D17565" s="22" t="str">
        <f>HYPERLINK("https://rhld.insurance.arkansas.gov/NPILookup?Npi=1831554245","1831554245")</f>
        <v>1831554245</v>
      </c>
      <c r="E17565" s="1" t="s">
        <v>12145</v>
      </c>
      <c r="F17565" s="2"/>
      <c r="G17565" s="2"/>
      <c r="H17565" s="2"/>
    </row>
    <row r="17566" spans="1:8" x14ac:dyDescent="0.25">
      <c r="A17566" s="1"/>
      <c r="B17566" s="1" t="s">
        <v>5782</v>
      </c>
      <c r="C17566" s="1" t="s">
        <v>5783</v>
      </c>
      <c r="D17566" s="22" t="str">
        <f>HYPERLINK("https://rhld.insurance.arkansas.gov/NPILookup?Npi=1831577279","1831577279")</f>
        <v>1831577279</v>
      </c>
      <c r="E17566" s="1" t="s">
        <v>1900</v>
      </c>
      <c r="F17566" s="2"/>
      <c r="G17566" s="2"/>
      <c r="H17566" s="2"/>
    </row>
    <row r="17567" spans="1:8" x14ac:dyDescent="0.25">
      <c r="A17567" s="1"/>
      <c r="B17567" s="1" t="s">
        <v>5782</v>
      </c>
      <c r="C17567" s="1" t="s">
        <v>5783</v>
      </c>
      <c r="D17567" s="22" t="str">
        <f>HYPERLINK("https://rhld.insurance.arkansas.gov/NPILookup?Npi=1831581180","1831581180")</f>
        <v>1831581180</v>
      </c>
      <c r="E17567" s="1" t="s">
        <v>12146</v>
      </c>
      <c r="F17567" s="2"/>
      <c r="G17567" s="2"/>
      <c r="H17567" s="2"/>
    </row>
    <row r="17568" spans="1:8" x14ac:dyDescent="0.25">
      <c r="A17568" s="1"/>
      <c r="B17568" s="1" t="s">
        <v>5782</v>
      </c>
      <c r="C17568" s="1" t="s">
        <v>5783</v>
      </c>
      <c r="D17568" s="22" t="str">
        <f>HYPERLINK("https://rhld.insurance.arkansas.gov/NPILookup?Npi=1831585991","1831585991")</f>
        <v>1831585991</v>
      </c>
      <c r="E17568" s="1" t="s">
        <v>23462</v>
      </c>
      <c r="F17568" s="2"/>
      <c r="G17568" s="2"/>
      <c r="H17568" s="2"/>
    </row>
    <row r="17569" spans="1:8" x14ac:dyDescent="0.25">
      <c r="A17569" s="1"/>
      <c r="B17569" s="1" t="s">
        <v>5782</v>
      </c>
      <c r="C17569" s="1" t="s">
        <v>5783</v>
      </c>
      <c r="D17569" s="22" t="str">
        <f>HYPERLINK("https://rhld.insurance.arkansas.gov/NPILookup?Npi=1831587385","1831587385")</f>
        <v>1831587385</v>
      </c>
      <c r="E17569" s="1" t="s">
        <v>23463</v>
      </c>
      <c r="F17569" s="2"/>
      <c r="G17569" s="2"/>
      <c r="H17569" s="2"/>
    </row>
    <row r="17570" spans="1:8" x14ac:dyDescent="0.25">
      <c r="A17570" s="1"/>
      <c r="B17570" s="1" t="s">
        <v>5782</v>
      </c>
      <c r="C17570" s="1" t="s">
        <v>5783</v>
      </c>
      <c r="D17570" s="22" t="str">
        <f>HYPERLINK("https://rhld.insurance.arkansas.gov/NPILookup?Npi=1831589431","1831589431")</f>
        <v>1831589431</v>
      </c>
      <c r="E17570" s="1" t="s">
        <v>23464</v>
      </c>
      <c r="F17570" s="2"/>
      <c r="G17570" s="2"/>
      <c r="H17570" s="2"/>
    </row>
    <row r="17571" spans="1:8" x14ac:dyDescent="0.25">
      <c r="A17571" s="1"/>
      <c r="B17571" s="1" t="s">
        <v>5782</v>
      </c>
      <c r="C17571" s="1" t="s">
        <v>5783</v>
      </c>
      <c r="D17571" s="22" t="str">
        <f>HYPERLINK("https://rhld.insurance.arkansas.gov/NPILookup?Npi=1831589605","1831589605")</f>
        <v>1831589605</v>
      </c>
      <c r="E17571" s="1" t="s">
        <v>6684</v>
      </c>
      <c r="F17571" s="2"/>
      <c r="G17571" s="2"/>
      <c r="H17571" s="2"/>
    </row>
    <row r="17572" spans="1:8" x14ac:dyDescent="0.25">
      <c r="A17572" s="1"/>
      <c r="B17572" s="1" t="s">
        <v>5782</v>
      </c>
      <c r="C17572" s="1" t="s">
        <v>5783</v>
      </c>
      <c r="D17572" s="22" t="str">
        <f>HYPERLINK("https://rhld.insurance.arkansas.gov/NPILookup?Npi=1831595099","1831595099")</f>
        <v>1831595099</v>
      </c>
      <c r="E17572" s="1" t="s">
        <v>23465</v>
      </c>
      <c r="F17572" s="2"/>
      <c r="G17572" s="2"/>
      <c r="H17572" s="2"/>
    </row>
    <row r="17573" spans="1:8" x14ac:dyDescent="0.25">
      <c r="A17573" s="1"/>
      <c r="B17573" s="1" t="s">
        <v>5782</v>
      </c>
      <c r="C17573" s="1" t="s">
        <v>5783</v>
      </c>
      <c r="D17573" s="22" t="str">
        <f>HYPERLINK("https://rhld.insurance.arkansas.gov/NPILookup?Npi=1831603661","1831603661")</f>
        <v>1831603661</v>
      </c>
      <c r="E17573" s="1" t="s">
        <v>6685</v>
      </c>
      <c r="F17573" s="2"/>
      <c r="G17573" s="2"/>
      <c r="H17573" s="2"/>
    </row>
    <row r="17574" spans="1:8" x14ac:dyDescent="0.25">
      <c r="A17574" s="1"/>
      <c r="B17574" s="1" t="s">
        <v>5782</v>
      </c>
      <c r="C17574" s="1" t="s">
        <v>5783</v>
      </c>
      <c r="D17574" s="22" t="str">
        <f>HYPERLINK("https://rhld.insurance.arkansas.gov/NPILookup?Npi=1831609262","1831609262")</f>
        <v>1831609262</v>
      </c>
      <c r="E17574" s="1" t="s">
        <v>12147</v>
      </c>
      <c r="F17574" s="2"/>
      <c r="G17574" s="2"/>
      <c r="H17574" s="2"/>
    </row>
    <row r="17575" spans="1:8" x14ac:dyDescent="0.25">
      <c r="A17575" s="1"/>
      <c r="B17575" s="1" t="s">
        <v>5782</v>
      </c>
      <c r="C17575" s="1" t="s">
        <v>5783</v>
      </c>
      <c r="D17575" s="22" t="str">
        <f>HYPERLINK("https://rhld.insurance.arkansas.gov/NPILookup?Npi=1831618867","1831618867")</f>
        <v>1831618867</v>
      </c>
      <c r="E17575" s="1" t="s">
        <v>23466</v>
      </c>
      <c r="F17575" s="2"/>
      <c r="G17575" s="2"/>
      <c r="H17575" s="2"/>
    </row>
    <row r="17576" spans="1:8" x14ac:dyDescent="0.25">
      <c r="A17576" s="1"/>
      <c r="B17576" s="1" t="s">
        <v>5782</v>
      </c>
      <c r="C17576" s="1" t="s">
        <v>5783</v>
      </c>
      <c r="D17576" s="22" t="str">
        <f>HYPERLINK("https://rhld.insurance.arkansas.gov/NPILookup?Npi=1831628171","1831628171")</f>
        <v>1831628171</v>
      </c>
      <c r="E17576" s="1" t="s">
        <v>31951</v>
      </c>
      <c r="F17576" s="2"/>
      <c r="G17576" s="2"/>
      <c r="H17576" s="2"/>
    </row>
    <row r="17577" spans="1:8" x14ac:dyDescent="0.25">
      <c r="A17577" s="1"/>
      <c r="B17577" s="1" t="s">
        <v>5782</v>
      </c>
      <c r="C17577" s="1" t="s">
        <v>5783</v>
      </c>
      <c r="D17577" s="22" t="str">
        <f>HYPERLINK("https://rhld.insurance.arkansas.gov/NPILookup?Npi=1831636703","1831636703")</f>
        <v>1831636703</v>
      </c>
      <c r="E17577" s="1" t="s">
        <v>6686</v>
      </c>
      <c r="F17577" s="2"/>
      <c r="G17577" s="2"/>
      <c r="H17577" s="2"/>
    </row>
    <row r="17578" spans="1:8" x14ac:dyDescent="0.25">
      <c r="A17578" s="1"/>
      <c r="B17578" s="1" t="s">
        <v>5782</v>
      </c>
      <c r="C17578" s="1" t="s">
        <v>5783</v>
      </c>
      <c r="D17578" s="22" t="str">
        <f>HYPERLINK("https://rhld.insurance.arkansas.gov/NPILookup?Npi=1831637123","1831637123")</f>
        <v>1831637123</v>
      </c>
      <c r="E17578" s="1" t="s">
        <v>6687</v>
      </c>
      <c r="F17578" s="2"/>
      <c r="G17578" s="2"/>
      <c r="H17578" s="2"/>
    </row>
    <row r="17579" spans="1:8" x14ac:dyDescent="0.25">
      <c r="A17579" s="1"/>
      <c r="B17579" s="1" t="s">
        <v>5782</v>
      </c>
      <c r="C17579" s="1" t="s">
        <v>5783</v>
      </c>
      <c r="D17579" s="22" t="str">
        <f>HYPERLINK("https://rhld.insurance.arkansas.gov/NPILookup?Npi=1831643980","1831643980")</f>
        <v>1831643980</v>
      </c>
      <c r="E17579" s="1" t="s">
        <v>12148</v>
      </c>
      <c r="F17579" s="2"/>
      <c r="G17579" s="2"/>
      <c r="H17579" s="2"/>
    </row>
    <row r="17580" spans="1:8" x14ac:dyDescent="0.25">
      <c r="A17580" s="1"/>
      <c r="B17580" s="1" t="s">
        <v>5782</v>
      </c>
      <c r="C17580" s="1" t="s">
        <v>5783</v>
      </c>
      <c r="D17580" s="22" t="str">
        <f>HYPERLINK("https://rhld.insurance.arkansas.gov/NPILookup?Npi=1831644566","1831644566")</f>
        <v>1831644566</v>
      </c>
      <c r="E17580" s="1" t="s">
        <v>12149</v>
      </c>
      <c r="F17580" s="2"/>
      <c r="G17580" s="2"/>
      <c r="H17580" s="2"/>
    </row>
    <row r="17581" spans="1:8" x14ac:dyDescent="0.25">
      <c r="A17581" s="1"/>
      <c r="B17581" s="1" t="s">
        <v>5782</v>
      </c>
      <c r="C17581" s="1" t="s">
        <v>5783</v>
      </c>
      <c r="D17581" s="22" t="str">
        <f>HYPERLINK("https://rhld.insurance.arkansas.gov/NPILookup?Npi=1831647452","1831647452")</f>
        <v>1831647452</v>
      </c>
      <c r="E17581" s="1" t="s">
        <v>23467</v>
      </c>
      <c r="F17581" s="2"/>
      <c r="G17581" s="2"/>
      <c r="H17581" s="2"/>
    </row>
    <row r="17582" spans="1:8" x14ac:dyDescent="0.25">
      <c r="A17582" s="1"/>
      <c r="B17582" s="1" t="s">
        <v>5782</v>
      </c>
      <c r="C17582" s="1" t="s">
        <v>5783</v>
      </c>
      <c r="D17582" s="22" t="str">
        <f>HYPERLINK("https://rhld.insurance.arkansas.gov/NPILookup?Npi=1831678499","1831678499")</f>
        <v>1831678499</v>
      </c>
      <c r="E17582" s="1" t="s">
        <v>12150</v>
      </c>
      <c r="F17582" s="2"/>
      <c r="G17582" s="2"/>
      <c r="H17582" s="2"/>
    </row>
    <row r="17583" spans="1:8" x14ac:dyDescent="0.25">
      <c r="A17583" s="1"/>
      <c r="B17583" s="1" t="s">
        <v>5782</v>
      </c>
      <c r="C17583" s="1" t="s">
        <v>5783</v>
      </c>
      <c r="D17583" s="22" t="str">
        <f>HYPERLINK("https://rhld.insurance.arkansas.gov/NPILookup?Npi=1831688381","1831688381")</f>
        <v>1831688381</v>
      </c>
      <c r="E17583" s="1" t="s">
        <v>12151</v>
      </c>
      <c r="F17583" s="2"/>
      <c r="G17583" s="2"/>
      <c r="H17583" s="2"/>
    </row>
    <row r="17584" spans="1:8" x14ac:dyDescent="0.25">
      <c r="A17584" s="1"/>
      <c r="B17584" s="1" t="s">
        <v>5782</v>
      </c>
      <c r="C17584" s="1" t="s">
        <v>5783</v>
      </c>
      <c r="D17584" s="22" t="str">
        <f>HYPERLINK("https://rhld.insurance.arkansas.gov/NPILookup?Npi=1831697432","1831697432")</f>
        <v>1831697432</v>
      </c>
      <c r="E17584" s="1" t="s">
        <v>23468</v>
      </c>
      <c r="F17584" s="2"/>
      <c r="G17584" s="2"/>
      <c r="H17584" s="2"/>
    </row>
    <row r="17585" spans="1:8" x14ac:dyDescent="0.25">
      <c r="A17585" s="1"/>
      <c r="B17585" s="1" t="s">
        <v>5782</v>
      </c>
      <c r="C17585" s="1" t="s">
        <v>5783</v>
      </c>
      <c r="D17585" s="22" t="str">
        <f>HYPERLINK("https://rhld.insurance.arkansas.gov/NPILookup?Npi=1831700657","1831700657")</f>
        <v>1831700657</v>
      </c>
      <c r="E17585" s="1" t="s">
        <v>23469</v>
      </c>
      <c r="F17585" s="2"/>
      <c r="G17585" s="2"/>
      <c r="H17585" s="2"/>
    </row>
    <row r="17586" spans="1:8" x14ac:dyDescent="0.25">
      <c r="A17586" s="1"/>
      <c r="B17586" s="1" t="s">
        <v>5782</v>
      </c>
      <c r="C17586" s="1" t="s">
        <v>5783</v>
      </c>
      <c r="D17586" s="22" t="str">
        <f>HYPERLINK("https://rhld.insurance.arkansas.gov/NPILookup?Npi=1831711241","1831711241")</f>
        <v>1831711241</v>
      </c>
      <c r="E17586" s="1" t="s">
        <v>23470</v>
      </c>
      <c r="F17586" s="2"/>
      <c r="G17586" s="2"/>
      <c r="H17586" s="2"/>
    </row>
    <row r="17587" spans="1:8" x14ac:dyDescent="0.25">
      <c r="A17587" s="1"/>
      <c r="B17587" s="1" t="s">
        <v>5782</v>
      </c>
      <c r="C17587" s="1" t="s">
        <v>5783</v>
      </c>
      <c r="D17587" s="22" t="str">
        <f>HYPERLINK("https://rhld.insurance.arkansas.gov/NPILookup?Npi=1831717115","1831717115")</f>
        <v>1831717115</v>
      </c>
      <c r="E17587" s="1" t="s">
        <v>6688</v>
      </c>
      <c r="F17587" s="2"/>
      <c r="G17587" s="2"/>
      <c r="H17587" s="2"/>
    </row>
    <row r="17588" spans="1:8" x14ac:dyDescent="0.25">
      <c r="A17588" s="1"/>
      <c r="B17588" s="1" t="s">
        <v>5782</v>
      </c>
      <c r="C17588" s="1" t="s">
        <v>5783</v>
      </c>
      <c r="D17588" s="22" t="str">
        <f>HYPERLINK("https://rhld.insurance.arkansas.gov/NPILookup?Npi=1831720929","1831720929")</f>
        <v>1831720929</v>
      </c>
      <c r="E17588" s="1" t="s">
        <v>23471</v>
      </c>
      <c r="F17588" s="2"/>
      <c r="G17588" s="2"/>
      <c r="H17588" s="2"/>
    </row>
    <row r="17589" spans="1:8" x14ac:dyDescent="0.25">
      <c r="A17589" s="1"/>
      <c r="B17589" s="1" t="s">
        <v>5782</v>
      </c>
      <c r="C17589" s="1" t="s">
        <v>5783</v>
      </c>
      <c r="D17589" s="22" t="str">
        <f>HYPERLINK("https://rhld.insurance.arkansas.gov/NPILookup?Npi=1831736016","1831736016")</f>
        <v>1831736016</v>
      </c>
      <c r="E17589" s="1" t="s">
        <v>23472</v>
      </c>
      <c r="F17589" s="2"/>
      <c r="G17589" s="2"/>
      <c r="H17589" s="2"/>
    </row>
    <row r="17590" spans="1:8" x14ac:dyDescent="0.25">
      <c r="A17590" s="1"/>
      <c r="B17590" s="1" t="s">
        <v>5782</v>
      </c>
      <c r="C17590" s="1" t="s">
        <v>5783</v>
      </c>
      <c r="D17590" s="22" t="str">
        <f>HYPERLINK("https://rhld.insurance.arkansas.gov/NPILookup?Npi=1831746429","1831746429")</f>
        <v>1831746429</v>
      </c>
      <c r="E17590" s="1" t="s">
        <v>23473</v>
      </c>
      <c r="F17590" s="2"/>
      <c r="G17590" s="2"/>
      <c r="H17590" s="2"/>
    </row>
    <row r="17591" spans="1:8" x14ac:dyDescent="0.25">
      <c r="A17591" s="1"/>
      <c r="B17591" s="1" t="s">
        <v>5782</v>
      </c>
      <c r="C17591" s="1" t="s">
        <v>5783</v>
      </c>
      <c r="D17591" s="22" t="str">
        <f>HYPERLINK("https://rhld.insurance.arkansas.gov/NPILookup?Npi=1831767359","1831767359")</f>
        <v>1831767359</v>
      </c>
      <c r="E17591" s="1" t="s">
        <v>5285</v>
      </c>
      <c r="F17591" s="2"/>
      <c r="G17591" s="2"/>
      <c r="H17591" s="2"/>
    </row>
    <row r="17592" spans="1:8" x14ac:dyDescent="0.25">
      <c r="A17592" s="1"/>
      <c r="B17592" s="1" t="s">
        <v>5782</v>
      </c>
      <c r="C17592" s="1" t="s">
        <v>5783</v>
      </c>
      <c r="D17592" s="22" t="str">
        <f>HYPERLINK("https://rhld.insurance.arkansas.gov/NPILookup?Npi=1831768555","1831768555")</f>
        <v>1831768555</v>
      </c>
      <c r="E17592" s="1" t="s">
        <v>23474</v>
      </c>
      <c r="F17592" s="2"/>
      <c r="G17592" s="2"/>
      <c r="H17592" s="2"/>
    </row>
    <row r="17593" spans="1:8" x14ac:dyDescent="0.25">
      <c r="A17593" s="1"/>
      <c r="B17593" s="1" t="s">
        <v>5782</v>
      </c>
      <c r="C17593" s="1" t="s">
        <v>5783</v>
      </c>
      <c r="D17593" s="22" t="str">
        <f>HYPERLINK("https://rhld.insurance.arkansas.gov/NPILookup?Npi=1831770981","1831770981")</f>
        <v>1831770981</v>
      </c>
      <c r="E17593" s="1" t="s">
        <v>1889</v>
      </c>
      <c r="F17593" s="2"/>
      <c r="G17593" s="2"/>
      <c r="H17593" s="2"/>
    </row>
    <row r="17594" spans="1:8" x14ac:dyDescent="0.25">
      <c r="A17594" s="1"/>
      <c r="B17594" s="1" t="s">
        <v>5782</v>
      </c>
      <c r="C17594" s="1" t="s">
        <v>5783</v>
      </c>
      <c r="D17594" s="22" t="str">
        <f>HYPERLINK("https://rhld.insurance.arkansas.gov/NPILookup?Npi=1831808294","1831808294")</f>
        <v>1831808294</v>
      </c>
      <c r="E17594" s="1" t="s">
        <v>23475</v>
      </c>
      <c r="F17594" s="2"/>
      <c r="G17594" s="2"/>
      <c r="H17594" s="2"/>
    </row>
    <row r="17595" spans="1:8" x14ac:dyDescent="0.25">
      <c r="A17595" s="1"/>
      <c r="B17595" s="1" t="s">
        <v>5782</v>
      </c>
      <c r="C17595" s="1" t="s">
        <v>5783</v>
      </c>
      <c r="D17595" s="22" t="str">
        <f>HYPERLINK("https://rhld.insurance.arkansas.gov/NPILookup?Npi=1831812593","1831812593")</f>
        <v>1831812593</v>
      </c>
      <c r="E17595" s="1" t="s">
        <v>5284</v>
      </c>
      <c r="F17595" s="2"/>
      <c r="G17595" s="2"/>
      <c r="H17595" s="2"/>
    </row>
    <row r="17596" spans="1:8" x14ac:dyDescent="0.25">
      <c r="A17596" s="1"/>
      <c r="B17596" s="1" t="s">
        <v>5782</v>
      </c>
      <c r="C17596" s="1" t="s">
        <v>5783</v>
      </c>
      <c r="D17596" s="22" t="str">
        <f>HYPERLINK("https://rhld.insurance.arkansas.gov/NPILookup?Npi=1831814557","1831814557")</f>
        <v>1831814557</v>
      </c>
      <c r="E17596" s="1" t="s">
        <v>12152</v>
      </c>
      <c r="F17596" s="2"/>
      <c r="G17596" s="2"/>
      <c r="H17596" s="2"/>
    </row>
    <row r="17597" spans="1:8" x14ac:dyDescent="0.25">
      <c r="A17597" s="1"/>
      <c r="B17597" s="1" t="s">
        <v>5782</v>
      </c>
      <c r="C17597" s="1" t="s">
        <v>5783</v>
      </c>
      <c r="D17597" s="22" t="str">
        <f>HYPERLINK("https://rhld.insurance.arkansas.gov/NPILookup?Npi=1831821081","1831821081")</f>
        <v>1831821081</v>
      </c>
      <c r="E17597" s="1" t="s">
        <v>2515</v>
      </c>
      <c r="F17597" s="2"/>
      <c r="G17597" s="2"/>
      <c r="H17597" s="2"/>
    </row>
    <row r="17598" spans="1:8" x14ac:dyDescent="0.25">
      <c r="A17598" s="1"/>
      <c r="B17598" s="1" t="s">
        <v>5782</v>
      </c>
      <c r="C17598" s="1" t="s">
        <v>5783</v>
      </c>
      <c r="D17598" s="22" t="str">
        <f>HYPERLINK("https://rhld.insurance.arkansas.gov/NPILookup?Npi=1831831833","1831831833")</f>
        <v>1831831833</v>
      </c>
      <c r="E17598" s="1" t="s">
        <v>23476</v>
      </c>
      <c r="F17598" s="2"/>
      <c r="G17598" s="2"/>
      <c r="H17598" s="2"/>
    </row>
    <row r="17599" spans="1:8" x14ac:dyDescent="0.25">
      <c r="A17599" s="1"/>
      <c r="B17599" s="1" t="s">
        <v>5782</v>
      </c>
      <c r="C17599" s="1" t="s">
        <v>5783</v>
      </c>
      <c r="D17599" s="22" t="str">
        <f>HYPERLINK("https://rhld.insurance.arkansas.gov/NPILookup?Npi=1831869502","1831869502")</f>
        <v>1831869502</v>
      </c>
      <c r="E17599" s="1" t="s">
        <v>23477</v>
      </c>
      <c r="F17599" s="2"/>
      <c r="G17599" s="2"/>
      <c r="H17599" s="2"/>
    </row>
    <row r="17600" spans="1:8" x14ac:dyDescent="0.25">
      <c r="A17600" s="1"/>
      <c r="B17600" s="1" t="s">
        <v>5782</v>
      </c>
      <c r="C17600" s="1" t="s">
        <v>5783</v>
      </c>
      <c r="D17600" s="22" t="str">
        <f>HYPERLINK("https://rhld.insurance.arkansas.gov/NPILookup?Npi=1831962117","1831962117")</f>
        <v>1831962117</v>
      </c>
      <c r="E17600" s="1" t="s">
        <v>23478</v>
      </c>
      <c r="F17600" s="2"/>
      <c r="G17600" s="2"/>
      <c r="H17600" s="2"/>
    </row>
    <row r="17601" spans="1:8" x14ac:dyDescent="0.25">
      <c r="A17601" s="1"/>
      <c r="B17601" s="1" t="s">
        <v>5782</v>
      </c>
      <c r="C17601" s="1" t="s">
        <v>5783</v>
      </c>
      <c r="D17601" s="22" t="str">
        <f>HYPERLINK("https://rhld.insurance.arkansas.gov/NPILookup?Npi=1841002888","1841002888")</f>
        <v>1841002888</v>
      </c>
      <c r="E17601" s="1" t="s">
        <v>31952</v>
      </c>
      <c r="F17601" s="2"/>
      <c r="G17601" s="2"/>
      <c r="H17601" s="2"/>
    </row>
    <row r="17602" spans="1:8" x14ac:dyDescent="0.25">
      <c r="A17602" s="1"/>
      <c r="B17602" s="1" t="s">
        <v>5782</v>
      </c>
      <c r="C17602" s="1" t="s">
        <v>5783</v>
      </c>
      <c r="D17602" s="22" t="str">
        <f>HYPERLINK("https://rhld.insurance.arkansas.gov/NPILookup?Npi=1841035151","1841035151")</f>
        <v>1841035151</v>
      </c>
      <c r="E17602" s="1" t="s">
        <v>23479</v>
      </c>
      <c r="F17602" s="2"/>
      <c r="G17602" s="2"/>
      <c r="H17602" s="2"/>
    </row>
    <row r="17603" spans="1:8" x14ac:dyDescent="0.25">
      <c r="A17603" s="1"/>
      <c r="B17603" s="1" t="s">
        <v>5782</v>
      </c>
      <c r="C17603" s="1" t="s">
        <v>5783</v>
      </c>
      <c r="D17603" s="22" t="str">
        <f>HYPERLINK("https://rhld.insurance.arkansas.gov/NPILookup?Npi=1841045234","1841045234")</f>
        <v>1841045234</v>
      </c>
      <c r="E17603" s="1" t="s">
        <v>23480</v>
      </c>
      <c r="F17603" s="2"/>
      <c r="G17603" s="2"/>
      <c r="H17603" s="2"/>
    </row>
    <row r="17604" spans="1:8" x14ac:dyDescent="0.25">
      <c r="A17604" s="1"/>
      <c r="B17604" s="1" t="s">
        <v>5782</v>
      </c>
      <c r="C17604" s="1" t="s">
        <v>5783</v>
      </c>
      <c r="D17604" s="22" t="str">
        <f>HYPERLINK("https://rhld.insurance.arkansas.gov/NPILookup?Npi=1841254877","1841254877")</f>
        <v>1841254877</v>
      </c>
      <c r="E17604" s="1" t="s">
        <v>1063</v>
      </c>
      <c r="F17604" s="2"/>
      <c r="G17604" s="2"/>
      <c r="H17604" s="2"/>
    </row>
    <row r="17605" spans="1:8" x14ac:dyDescent="0.25">
      <c r="A17605" s="1"/>
      <c r="B17605" s="1" t="s">
        <v>5782</v>
      </c>
      <c r="C17605" s="1" t="s">
        <v>5783</v>
      </c>
      <c r="D17605" s="22" t="str">
        <f>HYPERLINK("https://rhld.insurance.arkansas.gov/NPILookup?Npi=1841298056","1841298056")</f>
        <v>1841298056</v>
      </c>
      <c r="E17605" s="1" t="s">
        <v>2516</v>
      </c>
      <c r="F17605" s="2"/>
      <c r="G17605" s="2"/>
      <c r="H17605" s="2"/>
    </row>
    <row r="17606" spans="1:8" x14ac:dyDescent="0.25">
      <c r="A17606" s="1"/>
      <c r="B17606" s="1" t="s">
        <v>5782</v>
      </c>
      <c r="C17606" s="1" t="s">
        <v>5783</v>
      </c>
      <c r="D17606" s="22" t="str">
        <f>HYPERLINK("https://rhld.insurance.arkansas.gov/NPILookup?Npi=1841321106","1841321106")</f>
        <v>1841321106</v>
      </c>
      <c r="E17606" s="1" t="s">
        <v>23481</v>
      </c>
      <c r="F17606" s="2"/>
      <c r="G17606" s="2"/>
      <c r="H17606" s="2"/>
    </row>
    <row r="17607" spans="1:8" x14ac:dyDescent="0.25">
      <c r="A17607" s="1"/>
      <c r="B17607" s="1" t="s">
        <v>5782</v>
      </c>
      <c r="C17607" s="1" t="s">
        <v>5783</v>
      </c>
      <c r="D17607" s="22" t="str">
        <f>HYPERLINK("https://rhld.insurance.arkansas.gov/NPILookup?Npi=1841321197","1841321197")</f>
        <v>1841321197</v>
      </c>
      <c r="E17607" s="1" t="s">
        <v>12153</v>
      </c>
      <c r="F17607" s="2"/>
      <c r="G17607" s="2"/>
      <c r="H17607" s="2"/>
    </row>
    <row r="17608" spans="1:8" x14ac:dyDescent="0.25">
      <c r="A17608" s="1"/>
      <c r="B17608" s="1" t="s">
        <v>5782</v>
      </c>
      <c r="C17608" s="1" t="s">
        <v>5783</v>
      </c>
      <c r="D17608" s="22" t="str">
        <f>HYPERLINK("https://rhld.insurance.arkansas.gov/NPILookup?Npi=1841388063","1841388063")</f>
        <v>1841388063</v>
      </c>
      <c r="E17608" s="1" t="s">
        <v>23483</v>
      </c>
      <c r="F17608" s="2"/>
      <c r="G17608" s="2"/>
      <c r="H17608" s="2"/>
    </row>
    <row r="17609" spans="1:8" x14ac:dyDescent="0.25">
      <c r="A17609" s="1"/>
      <c r="B17609" s="1" t="s">
        <v>5782</v>
      </c>
      <c r="C17609" s="1" t="s">
        <v>5783</v>
      </c>
      <c r="D17609" s="22" t="str">
        <f>HYPERLINK("https://rhld.insurance.arkansas.gov/NPILookup?Npi=1841405594","1841405594")</f>
        <v>1841405594</v>
      </c>
      <c r="E17609" s="1" t="s">
        <v>23484</v>
      </c>
      <c r="F17609" s="2"/>
      <c r="G17609" s="2"/>
      <c r="H17609" s="2"/>
    </row>
    <row r="17610" spans="1:8" x14ac:dyDescent="0.25">
      <c r="A17610" s="1"/>
      <c r="B17610" s="1" t="s">
        <v>5782</v>
      </c>
      <c r="C17610" s="1" t="s">
        <v>5783</v>
      </c>
      <c r="D17610" s="22" t="str">
        <f>HYPERLINK("https://rhld.insurance.arkansas.gov/NPILookup?Npi=1841406709","1841406709")</f>
        <v>1841406709</v>
      </c>
      <c r="E17610" s="1" t="s">
        <v>3388</v>
      </c>
      <c r="F17610" s="2"/>
      <c r="G17610" s="2"/>
      <c r="H17610" s="2"/>
    </row>
    <row r="17611" spans="1:8" x14ac:dyDescent="0.25">
      <c r="A17611" s="1"/>
      <c r="B17611" s="1" t="s">
        <v>5782</v>
      </c>
      <c r="C17611" s="1" t="s">
        <v>5783</v>
      </c>
      <c r="D17611" s="22" t="str">
        <f>HYPERLINK("https://rhld.insurance.arkansas.gov/NPILookup?Npi=1841426103","1841426103")</f>
        <v>1841426103</v>
      </c>
      <c r="E17611" s="1" t="s">
        <v>22463</v>
      </c>
      <c r="F17611" s="2"/>
      <c r="G17611" s="2"/>
      <c r="H17611" s="2"/>
    </row>
    <row r="17612" spans="1:8" x14ac:dyDescent="0.25">
      <c r="A17612" s="1"/>
      <c r="B17612" s="1" t="s">
        <v>5782</v>
      </c>
      <c r="C17612" s="1" t="s">
        <v>5783</v>
      </c>
      <c r="D17612" s="22" t="str">
        <f>HYPERLINK("https://rhld.insurance.arkansas.gov/NPILookup?Npi=1841436409","1841436409")</f>
        <v>1841436409</v>
      </c>
      <c r="E17612" s="1" t="s">
        <v>23485</v>
      </c>
      <c r="F17612" s="2"/>
      <c r="G17612" s="2"/>
      <c r="H17612" s="2"/>
    </row>
    <row r="17613" spans="1:8" x14ac:dyDescent="0.25">
      <c r="A17613" s="1"/>
      <c r="B17613" s="1" t="s">
        <v>5782</v>
      </c>
      <c r="C17613" s="1" t="s">
        <v>5783</v>
      </c>
      <c r="D17613" s="22" t="str">
        <f>HYPERLINK("https://rhld.insurance.arkansas.gov/NPILookup?Npi=1841437423","1841437423")</f>
        <v>1841437423</v>
      </c>
      <c r="E17613" s="1" t="s">
        <v>23486</v>
      </c>
      <c r="F17613" s="2"/>
      <c r="G17613" s="2"/>
      <c r="H17613" s="2"/>
    </row>
    <row r="17614" spans="1:8" x14ac:dyDescent="0.25">
      <c r="A17614" s="1"/>
      <c r="B17614" s="1" t="s">
        <v>5782</v>
      </c>
      <c r="C17614" s="1" t="s">
        <v>5783</v>
      </c>
      <c r="D17614" s="22" t="str">
        <f>HYPERLINK("https://rhld.insurance.arkansas.gov/NPILookup?Npi=1841444189","1841444189")</f>
        <v>1841444189</v>
      </c>
      <c r="E17614" s="1" t="s">
        <v>23487</v>
      </c>
      <c r="F17614" s="2"/>
      <c r="G17614" s="2"/>
      <c r="H17614" s="2"/>
    </row>
    <row r="17615" spans="1:8" x14ac:dyDescent="0.25">
      <c r="A17615" s="1"/>
      <c r="B17615" s="1" t="s">
        <v>5782</v>
      </c>
      <c r="C17615" s="1" t="s">
        <v>5783</v>
      </c>
      <c r="D17615" s="22" t="str">
        <f>HYPERLINK("https://rhld.insurance.arkansas.gov/NPILookup?Npi=1841448792","1841448792")</f>
        <v>1841448792</v>
      </c>
      <c r="E17615" s="1" t="s">
        <v>23488</v>
      </c>
      <c r="F17615" s="2"/>
      <c r="G17615" s="2"/>
      <c r="H17615" s="2"/>
    </row>
    <row r="17616" spans="1:8" x14ac:dyDescent="0.25">
      <c r="A17616" s="1"/>
      <c r="B17616" s="1" t="s">
        <v>5782</v>
      </c>
      <c r="C17616" s="1" t="s">
        <v>5783</v>
      </c>
      <c r="D17616" s="22" t="str">
        <f>HYPERLINK("https://rhld.insurance.arkansas.gov/NPILookup?Npi=1841455375","1841455375")</f>
        <v>1841455375</v>
      </c>
      <c r="E17616" s="1" t="s">
        <v>12780</v>
      </c>
      <c r="F17616" s="2"/>
      <c r="G17616" s="2"/>
      <c r="H17616" s="2"/>
    </row>
    <row r="17617" spans="1:8" x14ac:dyDescent="0.25">
      <c r="A17617" s="1"/>
      <c r="B17617" s="1" t="s">
        <v>5782</v>
      </c>
      <c r="C17617" s="1" t="s">
        <v>5783</v>
      </c>
      <c r="D17617" s="22" t="str">
        <f>HYPERLINK("https://rhld.insurance.arkansas.gov/NPILookup?Npi=1841456993","1841456993")</f>
        <v>1841456993</v>
      </c>
      <c r="E17617" s="1" t="s">
        <v>23489</v>
      </c>
      <c r="F17617" s="2"/>
      <c r="G17617" s="2"/>
      <c r="H17617" s="2"/>
    </row>
    <row r="17618" spans="1:8" x14ac:dyDescent="0.25">
      <c r="A17618" s="1"/>
      <c r="B17618" s="1" t="s">
        <v>5782</v>
      </c>
      <c r="C17618" s="1" t="s">
        <v>5783</v>
      </c>
      <c r="D17618" s="22" t="str">
        <f>HYPERLINK("https://rhld.insurance.arkansas.gov/NPILookup?Npi=1841467321","1841467321")</f>
        <v>1841467321</v>
      </c>
      <c r="E17618" s="1" t="s">
        <v>3390</v>
      </c>
      <c r="F17618" s="2"/>
      <c r="G17618" s="2"/>
      <c r="H17618" s="2"/>
    </row>
    <row r="17619" spans="1:8" x14ac:dyDescent="0.25">
      <c r="A17619" s="1"/>
      <c r="B17619" s="1" t="s">
        <v>5782</v>
      </c>
      <c r="C17619" s="1" t="s">
        <v>5783</v>
      </c>
      <c r="D17619" s="22" t="str">
        <f>HYPERLINK("https://rhld.insurance.arkansas.gov/NPILookup?Npi=1841469632","1841469632")</f>
        <v>1841469632</v>
      </c>
      <c r="E17619" s="1" t="s">
        <v>1338</v>
      </c>
      <c r="F17619" s="2"/>
      <c r="G17619" s="2"/>
      <c r="H17619" s="2"/>
    </row>
    <row r="17620" spans="1:8" x14ac:dyDescent="0.25">
      <c r="A17620" s="1"/>
      <c r="B17620" s="1" t="s">
        <v>5782</v>
      </c>
      <c r="C17620" s="1" t="s">
        <v>5783</v>
      </c>
      <c r="D17620" s="22" t="str">
        <f>HYPERLINK("https://rhld.insurance.arkansas.gov/NPILookup?Npi=1841473410","1841473410")</f>
        <v>1841473410</v>
      </c>
      <c r="E17620" s="1" t="s">
        <v>23490</v>
      </c>
      <c r="F17620" s="2"/>
      <c r="G17620" s="2"/>
      <c r="H17620" s="2"/>
    </row>
    <row r="17621" spans="1:8" x14ac:dyDescent="0.25">
      <c r="A17621" s="1"/>
      <c r="B17621" s="1" t="s">
        <v>5782</v>
      </c>
      <c r="C17621" s="1" t="s">
        <v>5783</v>
      </c>
      <c r="D17621" s="22" t="str">
        <f>HYPERLINK("https://rhld.insurance.arkansas.gov/NPILookup?Npi=1841478849","1841478849")</f>
        <v>1841478849</v>
      </c>
      <c r="E17621" s="1" t="s">
        <v>6689</v>
      </c>
      <c r="F17621" s="2"/>
      <c r="G17621" s="2"/>
      <c r="H17621" s="2"/>
    </row>
    <row r="17622" spans="1:8" x14ac:dyDescent="0.25">
      <c r="A17622" s="1"/>
      <c r="B17622" s="1" t="s">
        <v>5782</v>
      </c>
      <c r="C17622" s="1" t="s">
        <v>5783</v>
      </c>
      <c r="D17622" s="22" t="str">
        <f>HYPERLINK("https://rhld.insurance.arkansas.gov/NPILookup?Npi=1841483088","1841483088")</f>
        <v>1841483088</v>
      </c>
      <c r="E17622" s="1" t="s">
        <v>23491</v>
      </c>
      <c r="F17622" s="2"/>
      <c r="G17622" s="2"/>
      <c r="H17622" s="2"/>
    </row>
    <row r="17623" spans="1:8" x14ac:dyDescent="0.25">
      <c r="A17623" s="1"/>
      <c r="B17623" s="1" t="s">
        <v>5782</v>
      </c>
      <c r="C17623" s="1" t="s">
        <v>5783</v>
      </c>
      <c r="D17623" s="22" t="str">
        <f>HYPERLINK("https://rhld.insurance.arkansas.gov/NPILookup?Npi=1841503299","1841503299")</f>
        <v>1841503299</v>
      </c>
      <c r="E17623" s="1" t="s">
        <v>6690</v>
      </c>
      <c r="F17623" s="2"/>
      <c r="G17623" s="2"/>
      <c r="H17623" s="2"/>
    </row>
    <row r="17624" spans="1:8" x14ac:dyDescent="0.25">
      <c r="A17624" s="1"/>
      <c r="B17624" s="1" t="s">
        <v>5782</v>
      </c>
      <c r="C17624" s="1" t="s">
        <v>5783</v>
      </c>
      <c r="D17624" s="22" t="str">
        <f>HYPERLINK("https://rhld.insurance.arkansas.gov/NPILookup?Npi=1841513884","1841513884")</f>
        <v>1841513884</v>
      </c>
      <c r="E17624" s="1" t="s">
        <v>16518</v>
      </c>
      <c r="F17624" s="2"/>
      <c r="G17624" s="2"/>
      <c r="H17624" s="2"/>
    </row>
    <row r="17625" spans="1:8" x14ac:dyDescent="0.25">
      <c r="A17625" s="1"/>
      <c r="B17625" s="1" t="s">
        <v>5782</v>
      </c>
      <c r="C17625" s="1" t="s">
        <v>5783</v>
      </c>
      <c r="D17625" s="22" t="str">
        <f>HYPERLINK("https://rhld.insurance.arkansas.gov/NPILookup?Npi=1841542024","1841542024")</f>
        <v>1841542024</v>
      </c>
      <c r="E17625" s="1" t="s">
        <v>23492</v>
      </c>
      <c r="F17625" s="2"/>
      <c r="G17625" s="2"/>
      <c r="H17625" s="2"/>
    </row>
    <row r="17626" spans="1:8" x14ac:dyDescent="0.25">
      <c r="A17626" s="1"/>
      <c r="B17626" s="1" t="s">
        <v>5782</v>
      </c>
      <c r="C17626" s="1" t="s">
        <v>5783</v>
      </c>
      <c r="D17626" s="22" t="str">
        <f>HYPERLINK("https://rhld.insurance.arkansas.gov/NPILookup?Npi=1841544178","1841544178")</f>
        <v>1841544178</v>
      </c>
      <c r="E17626" s="1" t="s">
        <v>23493</v>
      </c>
      <c r="F17626" s="2"/>
      <c r="G17626" s="2"/>
      <c r="H17626" s="2"/>
    </row>
    <row r="17627" spans="1:8" x14ac:dyDescent="0.25">
      <c r="A17627" s="1"/>
      <c r="B17627" s="1" t="s">
        <v>5782</v>
      </c>
      <c r="C17627" s="1" t="s">
        <v>5783</v>
      </c>
      <c r="D17627" s="22" t="str">
        <f>HYPERLINK("https://rhld.insurance.arkansas.gov/NPILookup?Npi=1841544681","1841544681")</f>
        <v>1841544681</v>
      </c>
      <c r="E17627" s="1" t="s">
        <v>12155</v>
      </c>
      <c r="F17627" s="2"/>
      <c r="G17627" s="2"/>
      <c r="H17627" s="2"/>
    </row>
    <row r="17628" spans="1:8" x14ac:dyDescent="0.25">
      <c r="A17628" s="1"/>
      <c r="B17628" s="1" t="s">
        <v>5782</v>
      </c>
      <c r="C17628" s="1" t="s">
        <v>5783</v>
      </c>
      <c r="D17628" s="22" t="str">
        <f>HYPERLINK("https://rhld.insurance.arkansas.gov/NPILookup?Npi=1841552767","1841552767")</f>
        <v>1841552767</v>
      </c>
      <c r="E17628" s="1" t="s">
        <v>23494</v>
      </c>
      <c r="F17628" s="2"/>
      <c r="G17628" s="2"/>
      <c r="H17628" s="2"/>
    </row>
    <row r="17629" spans="1:8" x14ac:dyDescent="0.25">
      <c r="A17629" s="1"/>
      <c r="B17629" s="1" t="s">
        <v>5782</v>
      </c>
      <c r="C17629" s="1" t="s">
        <v>5783</v>
      </c>
      <c r="D17629" s="22" t="str">
        <f>HYPERLINK("https://rhld.insurance.arkansas.gov/NPILookup?Npi=1841553286","1841553286")</f>
        <v>1841553286</v>
      </c>
      <c r="E17629" s="1" t="s">
        <v>23495</v>
      </c>
      <c r="F17629" s="2"/>
      <c r="G17629" s="2"/>
      <c r="H17629" s="2"/>
    </row>
    <row r="17630" spans="1:8" x14ac:dyDescent="0.25">
      <c r="A17630" s="1"/>
      <c r="B17630" s="1" t="s">
        <v>5782</v>
      </c>
      <c r="C17630" s="1" t="s">
        <v>5783</v>
      </c>
      <c r="D17630" s="22" t="str">
        <f>HYPERLINK("https://rhld.insurance.arkansas.gov/NPILookup?Npi=1841557840","1841557840")</f>
        <v>1841557840</v>
      </c>
      <c r="E17630" s="1" t="s">
        <v>3391</v>
      </c>
      <c r="F17630" s="2"/>
      <c r="G17630" s="2"/>
      <c r="H17630" s="2"/>
    </row>
    <row r="17631" spans="1:8" x14ac:dyDescent="0.25">
      <c r="A17631" s="1"/>
      <c r="B17631" s="1" t="s">
        <v>5782</v>
      </c>
      <c r="C17631" s="1" t="s">
        <v>5783</v>
      </c>
      <c r="D17631" s="22" t="str">
        <f>HYPERLINK("https://rhld.insurance.arkansas.gov/NPILookup?Npi=1841576683","1841576683")</f>
        <v>1841576683</v>
      </c>
      <c r="E17631" s="1" t="s">
        <v>23496</v>
      </c>
      <c r="F17631" s="2"/>
      <c r="G17631" s="2"/>
      <c r="H17631" s="2"/>
    </row>
    <row r="17632" spans="1:8" x14ac:dyDescent="0.25">
      <c r="A17632" s="1"/>
      <c r="B17632" s="1" t="s">
        <v>5782</v>
      </c>
      <c r="C17632" s="1" t="s">
        <v>5783</v>
      </c>
      <c r="D17632" s="22" t="str">
        <f>HYPERLINK("https://rhld.insurance.arkansas.gov/NPILookup?Npi=1841595386","1841595386")</f>
        <v>1841595386</v>
      </c>
      <c r="E17632" s="1" t="s">
        <v>23497</v>
      </c>
      <c r="F17632" s="2"/>
      <c r="G17632" s="2"/>
      <c r="H17632" s="2"/>
    </row>
    <row r="17633" spans="1:8" x14ac:dyDescent="0.25">
      <c r="A17633" s="1"/>
      <c r="B17633" s="1" t="s">
        <v>5782</v>
      </c>
      <c r="C17633" s="1" t="s">
        <v>5783</v>
      </c>
      <c r="D17633" s="22" t="str">
        <f>HYPERLINK("https://rhld.insurance.arkansas.gov/NPILookup?Npi=1841602141","1841602141")</f>
        <v>1841602141</v>
      </c>
      <c r="E17633" s="1" t="s">
        <v>6691</v>
      </c>
      <c r="F17633" s="2"/>
      <c r="G17633" s="2"/>
      <c r="H17633" s="2"/>
    </row>
    <row r="17634" spans="1:8" x14ac:dyDescent="0.25">
      <c r="A17634" s="1"/>
      <c r="B17634" s="1" t="s">
        <v>5782</v>
      </c>
      <c r="C17634" s="1" t="s">
        <v>5783</v>
      </c>
      <c r="D17634" s="22" t="str">
        <f>HYPERLINK("https://rhld.insurance.arkansas.gov/NPILookup?Npi=1841607157","1841607157")</f>
        <v>1841607157</v>
      </c>
      <c r="E17634" s="1" t="s">
        <v>12156</v>
      </c>
      <c r="F17634" s="2"/>
      <c r="G17634" s="2"/>
      <c r="H17634" s="2"/>
    </row>
    <row r="17635" spans="1:8" x14ac:dyDescent="0.25">
      <c r="A17635" s="1"/>
      <c r="B17635" s="1" t="s">
        <v>5782</v>
      </c>
      <c r="C17635" s="1" t="s">
        <v>5783</v>
      </c>
      <c r="D17635" s="22" t="str">
        <f>HYPERLINK("https://rhld.insurance.arkansas.gov/NPILookup?Npi=1841610193","1841610193")</f>
        <v>1841610193</v>
      </c>
      <c r="E17635" s="1" t="s">
        <v>23498</v>
      </c>
      <c r="F17635" s="2"/>
      <c r="G17635" s="2"/>
      <c r="H17635" s="2"/>
    </row>
    <row r="17636" spans="1:8" x14ac:dyDescent="0.25">
      <c r="A17636" s="1"/>
      <c r="B17636" s="1" t="s">
        <v>5782</v>
      </c>
      <c r="C17636" s="1" t="s">
        <v>5783</v>
      </c>
      <c r="D17636" s="22" t="str">
        <f>HYPERLINK("https://rhld.insurance.arkansas.gov/NPILookup?Npi=1841615309","1841615309")</f>
        <v>1841615309</v>
      </c>
      <c r="E17636" s="1" t="s">
        <v>6692</v>
      </c>
      <c r="F17636" s="2"/>
      <c r="G17636" s="2"/>
      <c r="H17636" s="2"/>
    </row>
    <row r="17637" spans="1:8" x14ac:dyDescent="0.25">
      <c r="A17637" s="1"/>
      <c r="B17637" s="1" t="s">
        <v>5782</v>
      </c>
      <c r="C17637" s="1" t="s">
        <v>5783</v>
      </c>
      <c r="D17637" s="22" t="str">
        <f>HYPERLINK("https://rhld.insurance.arkansas.gov/NPILookup?Npi=1841615853","1841615853")</f>
        <v>1841615853</v>
      </c>
      <c r="E17637" s="1" t="s">
        <v>782</v>
      </c>
      <c r="F17637" s="2"/>
      <c r="G17637" s="2"/>
      <c r="H17637" s="2"/>
    </row>
    <row r="17638" spans="1:8" x14ac:dyDescent="0.25">
      <c r="A17638" s="1"/>
      <c r="B17638" s="1" t="s">
        <v>5782</v>
      </c>
      <c r="C17638" s="1" t="s">
        <v>5783</v>
      </c>
      <c r="D17638" s="22" t="str">
        <f>HYPERLINK("https://rhld.insurance.arkansas.gov/NPILookup?Npi=1841620820","1841620820")</f>
        <v>1841620820</v>
      </c>
      <c r="E17638" s="1" t="s">
        <v>23499</v>
      </c>
      <c r="F17638" s="2"/>
      <c r="G17638" s="2"/>
      <c r="H17638" s="2"/>
    </row>
    <row r="17639" spans="1:8" x14ac:dyDescent="0.25">
      <c r="A17639" s="1"/>
      <c r="B17639" s="1" t="s">
        <v>5782</v>
      </c>
      <c r="C17639" s="1" t="s">
        <v>5783</v>
      </c>
      <c r="D17639" s="22" t="str">
        <f>HYPERLINK("https://rhld.insurance.arkansas.gov/NPILookup?Npi=1841624848","1841624848")</f>
        <v>1841624848</v>
      </c>
      <c r="E17639" s="1" t="s">
        <v>23500</v>
      </c>
      <c r="F17639" s="2"/>
      <c r="G17639" s="2"/>
      <c r="H17639" s="2"/>
    </row>
    <row r="17640" spans="1:8" x14ac:dyDescent="0.25">
      <c r="A17640" s="1"/>
      <c r="B17640" s="1" t="s">
        <v>5782</v>
      </c>
      <c r="C17640" s="1" t="s">
        <v>5783</v>
      </c>
      <c r="D17640" s="22" t="str">
        <f>HYPERLINK("https://rhld.insurance.arkansas.gov/NPILookup?Npi=1841624921","1841624921")</f>
        <v>1841624921</v>
      </c>
      <c r="E17640" s="1" t="s">
        <v>3392</v>
      </c>
      <c r="F17640" s="2"/>
      <c r="G17640" s="2"/>
      <c r="H17640" s="2"/>
    </row>
    <row r="17641" spans="1:8" x14ac:dyDescent="0.25">
      <c r="A17641" s="1"/>
      <c r="B17641" s="1" t="s">
        <v>5782</v>
      </c>
      <c r="C17641" s="1" t="s">
        <v>5783</v>
      </c>
      <c r="D17641" s="22" t="str">
        <f>HYPERLINK("https://rhld.insurance.arkansas.gov/NPILookup?Npi=1841625308","1841625308")</f>
        <v>1841625308</v>
      </c>
      <c r="E17641" s="1" t="s">
        <v>23501</v>
      </c>
      <c r="F17641" s="2"/>
      <c r="G17641" s="2"/>
      <c r="H17641" s="2"/>
    </row>
    <row r="17642" spans="1:8" x14ac:dyDescent="0.25">
      <c r="A17642" s="1"/>
      <c r="B17642" s="1" t="s">
        <v>5782</v>
      </c>
      <c r="C17642" s="1" t="s">
        <v>5783</v>
      </c>
      <c r="D17642" s="22" t="str">
        <f>HYPERLINK("https://rhld.insurance.arkansas.gov/NPILookup?Npi=1841625738","1841625738")</f>
        <v>1841625738</v>
      </c>
      <c r="E17642" s="1" t="s">
        <v>782</v>
      </c>
      <c r="F17642" s="2"/>
      <c r="G17642" s="2"/>
      <c r="H17642" s="2"/>
    </row>
    <row r="17643" spans="1:8" x14ac:dyDescent="0.25">
      <c r="A17643" s="1"/>
      <c r="B17643" s="1" t="s">
        <v>5782</v>
      </c>
      <c r="C17643" s="1" t="s">
        <v>5783</v>
      </c>
      <c r="D17643" s="22" t="str">
        <f>HYPERLINK("https://rhld.insurance.arkansas.gov/NPILookup?Npi=1841627650","1841627650")</f>
        <v>1841627650</v>
      </c>
      <c r="E17643" s="1" t="s">
        <v>23502</v>
      </c>
      <c r="F17643" s="2"/>
      <c r="G17643" s="2"/>
      <c r="H17643" s="2"/>
    </row>
    <row r="17644" spans="1:8" x14ac:dyDescent="0.25">
      <c r="A17644" s="1"/>
      <c r="B17644" s="1" t="s">
        <v>5782</v>
      </c>
      <c r="C17644" s="1" t="s">
        <v>5783</v>
      </c>
      <c r="D17644" s="22" t="str">
        <f>HYPERLINK("https://rhld.insurance.arkansas.gov/NPILookup?Npi=1841628484","1841628484")</f>
        <v>1841628484</v>
      </c>
      <c r="E17644" s="1" t="s">
        <v>23503</v>
      </c>
      <c r="F17644" s="2"/>
      <c r="G17644" s="2"/>
      <c r="H17644" s="2"/>
    </row>
    <row r="17645" spans="1:8" x14ac:dyDescent="0.25">
      <c r="A17645" s="1"/>
      <c r="B17645" s="1" t="s">
        <v>5782</v>
      </c>
      <c r="C17645" s="1" t="s">
        <v>5783</v>
      </c>
      <c r="D17645" s="22" t="str">
        <f>HYPERLINK("https://rhld.insurance.arkansas.gov/NPILookup?Npi=1841630951","1841630951")</f>
        <v>1841630951</v>
      </c>
      <c r="E17645" s="1" t="s">
        <v>6693</v>
      </c>
      <c r="F17645" s="2"/>
      <c r="G17645" s="2"/>
      <c r="H17645" s="2"/>
    </row>
    <row r="17646" spans="1:8" x14ac:dyDescent="0.25">
      <c r="A17646" s="1"/>
      <c r="B17646" s="1" t="s">
        <v>5782</v>
      </c>
      <c r="C17646" s="1" t="s">
        <v>5783</v>
      </c>
      <c r="D17646" s="22" t="str">
        <f>HYPERLINK("https://rhld.insurance.arkansas.gov/NPILookup?Npi=1841633674","1841633674")</f>
        <v>1841633674</v>
      </c>
      <c r="E17646" s="1" t="s">
        <v>1890</v>
      </c>
      <c r="F17646" s="2"/>
      <c r="G17646" s="2"/>
      <c r="H17646" s="2"/>
    </row>
    <row r="17647" spans="1:8" x14ac:dyDescent="0.25">
      <c r="A17647" s="1"/>
      <c r="B17647" s="1" t="s">
        <v>5782</v>
      </c>
      <c r="C17647" s="1" t="s">
        <v>5783</v>
      </c>
      <c r="D17647" s="22" t="str">
        <f>HYPERLINK("https://rhld.insurance.arkansas.gov/NPILookup?Npi=1841634433","1841634433")</f>
        <v>1841634433</v>
      </c>
      <c r="E17647" s="1" t="s">
        <v>23504</v>
      </c>
      <c r="F17647" s="2"/>
      <c r="G17647" s="2"/>
      <c r="H17647" s="2"/>
    </row>
    <row r="17648" spans="1:8" x14ac:dyDescent="0.25">
      <c r="A17648" s="1"/>
      <c r="B17648" s="1" t="s">
        <v>5782</v>
      </c>
      <c r="C17648" s="1" t="s">
        <v>5783</v>
      </c>
      <c r="D17648" s="22" t="str">
        <f>HYPERLINK("https://rhld.insurance.arkansas.gov/NPILookup?Npi=1841641073","1841641073")</f>
        <v>1841641073</v>
      </c>
      <c r="E17648" s="1" t="s">
        <v>23505</v>
      </c>
      <c r="F17648" s="2"/>
      <c r="G17648" s="2"/>
      <c r="H17648" s="2"/>
    </row>
    <row r="17649" spans="1:8" x14ac:dyDescent="0.25">
      <c r="A17649" s="1"/>
      <c r="B17649" s="1" t="s">
        <v>5782</v>
      </c>
      <c r="C17649" s="1" t="s">
        <v>5783</v>
      </c>
      <c r="D17649" s="22" t="str">
        <f>HYPERLINK("https://rhld.insurance.arkansas.gov/NPILookup?Npi=1841641180","1841641180")</f>
        <v>1841641180</v>
      </c>
      <c r="E17649" s="1" t="s">
        <v>23506</v>
      </c>
      <c r="F17649" s="2"/>
      <c r="G17649" s="2"/>
      <c r="H17649" s="2"/>
    </row>
    <row r="17650" spans="1:8" x14ac:dyDescent="0.25">
      <c r="A17650" s="1"/>
      <c r="B17650" s="1" t="s">
        <v>5782</v>
      </c>
      <c r="C17650" s="1" t="s">
        <v>5783</v>
      </c>
      <c r="D17650" s="22" t="str">
        <f>HYPERLINK("https://rhld.insurance.arkansas.gov/NPILookup?Npi=1841658564","1841658564")</f>
        <v>1841658564</v>
      </c>
      <c r="E17650" s="1" t="s">
        <v>23507</v>
      </c>
      <c r="F17650" s="2"/>
      <c r="G17650" s="2"/>
      <c r="H17650" s="2"/>
    </row>
    <row r="17651" spans="1:8" x14ac:dyDescent="0.25">
      <c r="A17651" s="1"/>
      <c r="B17651" s="1" t="s">
        <v>5782</v>
      </c>
      <c r="C17651" s="1" t="s">
        <v>5783</v>
      </c>
      <c r="D17651" s="22" t="str">
        <f>HYPERLINK("https://rhld.insurance.arkansas.gov/NPILookup?Npi=1841682184","1841682184")</f>
        <v>1841682184</v>
      </c>
      <c r="E17651" s="1" t="s">
        <v>23508</v>
      </c>
      <c r="F17651" s="2"/>
      <c r="G17651" s="2"/>
      <c r="H17651" s="2"/>
    </row>
    <row r="17652" spans="1:8" x14ac:dyDescent="0.25">
      <c r="A17652" s="1"/>
      <c r="B17652" s="1" t="s">
        <v>5782</v>
      </c>
      <c r="C17652" s="1" t="s">
        <v>5783</v>
      </c>
      <c r="D17652" s="22" t="str">
        <f>HYPERLINK("https://rhld.insurance.arkansas.gov/NPILookup?Npi=1841730546","1841730546")</f>
        <v>1841730546</v>
      </c>
      <c r="E17652" s="1" t="s">
        <v>23509</v>
      </c>
      <c r="F17652" s="2"/>
      <c r="G17652" s="2"/>
      <c r="H17652" s="2"/>
    </row>
    <row r="17653" spans="1:8" x14ac:dyDescent="0.25">
      <c r="A17653" s="1"/>
      <c r="B17653" s="1" t="s">
        <v>5782</v>
      </c>
      <c r="C17653" s="1" t="s">
        <v>5783</v>
      </c>
      <c r="D17653" s="22" t="str">
        <f>HYPERLINK("https://rhld.insurance.arkansas.gov/NPILookup?Npi=1841734753","1841734753")</f>
        <v>1841734753</v>
      </c>
      <c r="E17653" s="1" t="s">
        <v>12157</v>
      </c>
      <c r="F17653" s="2"/>
      <c r="G17653" s="2"/>
      <c r="H17653" s="2"/>
    </row>
    <row r="17654" spans="1:8" x14ac:dyDescent="0.25">
      <c r="A17654" s="1"/>
      <c r="B17654" s="1" t="s">
        <v>5782</v>
      </c>
      <c r="C17654" s="1" t="s">
        <v>5783</v>
      </c>
      <c r="D17654" s="22" t="str">
        <f>HYPERLINK("https://rhld.insurance.arkansas.gov/NPILookup?Npi=1841740115","1841740115")</f>
        <v>1841740115</v>
      </c>
      <c r="E17654" s="1" t="s">
        <v>12158</v>
      </c>
      <c r="F17654" s="2"/>
      <c r="G17654" s="2"/>
      <c r="H17654" s="2"/>
    </row>
    <row r="17655" spans="1:8" x14ac:dyDescent="0.25">
      <c r="A17655" s="1"/>
      <c r="B17655" s="1" t="s">
        <v>5782</v>
      </c>
      <c r="C17655" s="1" t="s">
        <v>5783</v>
      </c>
      <c r="D17655" s="22" t="str">
        <f>HYPERLINK("https://rhld.insurance.arkansas.gov/NPILookup?Npi=1841756558","1841756558")</f>
        <v>1841756558</v>
      </c>
      <c r="E17655" s="1" t="s">
        <v>6694</v>
      </c>
      <c r="F17655" s="2"/>
      <c r="G17655" s="2"/>
      <c r="H17655" s="2"/>
    </row>
    <row r="17656" spans="1:8" x14ac:dyDescent="0.25">
      <c r="A17656" s="1"/>
      <c r="B17656" s="1" t="s">
        <v>5782</v>
      </c>
      <c r="C17656" s="1" t="s">
        <v>5783</v>
      </c>
      <c r="D17656" s="22" t="str">
        <f>HYPERLINK("https://rhld.insurance.arkansas.gov/NPILookup?Npi=1841760675","1841760675")</f>
        <v>1841760675</v>
      </c>
      <c r="E17656" s="1" t="s">
        <v>4213</v>
      </c>
      <c r="F17656" s="2"/>
      <c r="G17656" s="2"/>
      <c r="H17656" s="2"/>
    </row>
    <row r="17657" spans="1:8" x14ac:dyDescent="0.25">
      <c r="A17657" s="1"/>
      <c r="B17657" s="1" t="s">
        <v>5782</v>
      </c>
      <c r="C17657" s="1" t="s">
        <v>5783</v>
      </c>
      <c r="D17657" s="22" t="str">
        <f>HYPERLINK("https://rhld.insurance.arkansas.gov/NPILookup?Npi=1841762846","1841762846")</f>
        <v>1841762846</v>
      </c>
      <c r="E17657" s="1" t="s">
        <v>23510</v>
      </c>
      <c r="F17657" s="2"/>
      <c r="G17657" s="2"/>
      <c r="H17657" s="2"/>
    </row>
    <row r="17658" spans="1:8" x14ac:dyDescent="0.25">
      <c r="A17658" s="1"/>
      <c r="B17658" s="1" t="s">
        <v>5782</v>
      </c>
      <c r="C17658" s="1" t="s">
        <v>5783</v>
      </c>
      <c r="D17658" s="22" t="str">
        <f>HYPERLINK("https://rhld.insurance.arkansas.gov/NPILookup?Npi=1841776440","1841776440")</f>
        <v>1841776440</v>
      </c>
      <c r="E17658" s="1" t="s">
        <v>12159</v>
      </c>
      <c r="F17658" s="2"/>
      <c r="G17658" s="2"/>
      <c r="H17658" s="2"/>
    </row>
    <row r="17659" spans="1:8" x14ac:dyDescent="0.25">
      <c r="A17659" s="1"/>
      <c r="B17659" s="1" t="s">
        <v>5782</v>
      </c>
      <c r="C17659" s="1" t="s">
        <v>5783</v>
      </c>
      <c r="D17659" s="22" t="str">
        <f>HYPERLINK("https://rhld.insurance.arkansas.gov/NPILookup?Npi=1841778453","1841778453")</f>
        <v>1841778453</v>
      </c>
      <c r="E17659" s="1" t="s">
        <v>23511</v>
      </c>
      <c r="F17659" s="2"/>
      <c r="G17659" s="2"/>
      <c r="H17659" s="2"/>
    </row>
    <row r="17660" spans="1:8" x14ac:dyDescent="0.25">
      <c r="A17660" s="1"/>
      <c r="B17660" s="1" t="s">
        <v>5782</v>
      </c>
      <c r="C17660" s="1" t="s">
        <v>5783</v>
      </c>
      <c r="D17660" s="22" t="str">
        <f>HYPERLINK("https://rhld.insurance.arkansas.gov/NPILookup?Npi=1841800224","1841800224")</f>
        <v>1841800224</v>
      </c>
      <c r="E17660" s="1" t="s">
        <v>2532</v>
      </c>
      <c r="F17660" s="2"/>
      <c r="G17660" s="2"/>
      <c r="H17660" s="2"/>
    </row>
    <row r="17661" spans="1:8" x14ac:dyDescent="0.25">
      <c r="A17661" s="1"/>
      <c r="B17661" s="1" t="s">
        <v>5782</v>
      </c>
      <c r="C17661" s="1" t="s">
        <v>5783</v>
      </c>
      <c r="D17661" s="22" t="str">
        <f>HYPERLINK("https://rhld.insurance.arkansas.gov/NPILookup?Npi=1841802246","1841802246")</f>
        <v>1841802246</v>
      </c>
      <c r="E17661" s="1" t="s">
        <v>23512</v>
      </c>
      <c r="F17661" s="2"/>
      <c r="G17661" s="2"/>
      <c r="H17661" s="2"/>
    </row>
    <row r="17662" spans="1:8" x14ac:dyDescent="0.25">
      <c r="A17662" s="1"/>
      <c r="B17662" s="1" t="s">
        <v>5782</v>
      </c>
      <c r="C17662" s="1" t="s">
        <v>5783</v>
      </c>
      <c r="D17662" s="22" t="str">
        <f>HYPERLINK("https://rhld.insurance.arkansas.gov/NPILookup?Npi=1841802477","1841802477")</f>
        <v>1841802477</v>
      </c>
      <c r="E17662" s="1" t="s">
        <v>12160</v>
      </c>
      <c r="F17662" s="2"/>
      <c r="G17662" s="2"/>
      <c r="H17662" s="2"/>
    </row>
    <row r="17663" spans="1:8" x14ac:dyDescent="0.25">
      <c r="A17663" s="1"/>
      <c r="B17663" s="1" t="s">
        <v>5782</v>
      </c>
      <c r="C17663" s="1" t="s">
        <v>5783</v>
      </c>
      <c r="D17663" s="22" t="str">
        <f>HYPERLINK("https://rhld.insurance.arkansas.gov/NPILookup?Npi=1841829405","1841829405")</f>
        <v>1841829405</v>
      </c>
      <c r="E17663" s="1" t="s">
        <v>12161</v>
      </c>
      <c r="F17663" s="2"/>
      <c r="G17663" s="2"/>
      <c r="H17663" s="2"/>
    </row>
    <row r="17664" spans="1:8" x14ac:dyDescent="0.25">
      <c r="A17664" s="1"/>
      <c r="B17664" s="1" t="s">
        <v>5782</v>
      </c>
      <c r="C17664" s="1" t="s">
        <v>5783</v>
      </c>
      <c r="D17664" s="22" t="str">
        <f>HYPERLINK("https://rhld.insurance.arkansas.gov/NPILookup?Npi=1841832318","1841832318")</f>
        <v>1841832318</v>
      </c>
      <c r="E17664" s="1" t="s">
        <v>12162</v>
      </c>
      <c r="F17664" s="2"/>
      <c r="G17664" s="2"/>
      <c r="H17664" s="2"/>
    </row>
    <row r="17665" spans="1:8" x14ac:dyDescent="0.25">
      <c r="A17665" s="1"/>
      <c r="B17665" s="1" t="s">
        <v>5782</v>
      </c>
      <c r="C17665" s="1" t="s">
        <v>5783</v>
      </c>
      <c r="D17665" s="22" t="str">
        <f>HYPERLINK("https://rhld.insurance.arkansas.gov/NPILookup?Npi=1841832698","1841832698")</f>
        <v>1841832698</v>
      </c>
      <c r="E17665" s="1" t="s">
        <v>2517</v>
      </c>
      <c r="F17665" s="2"/>
      <c r="G17665" s="2"/>
      <c r="H17665" s="2"/>
    </row>
    <row r="17666" spans="1:8" x14ac:dyDescent="0.25">
      <c r="A17666" s="1"/>
      <c r="B17666" s="1" t="s">
        <v>5782</v>
      </c>
      <c r="C17666" s="1" t="s">
        <v>5783</v>
      </c>
      <c r="D17666" s="22" t="str">
        <f>HYPERLINK("https://rhld.insurance.arkansas.gov/NPILookup?Npi=1841844560","1841844560")</f>
        <v>1841844560</v>
      </c>
      <c r="E17666" s="1" t="s">
        <v>23513</v>
      </c>
      <c r="F17666" s="2"/>
      <c r="G17666" s="2"/>
      <c r="H17666" s="2"/>
    </row>
    <row r="17667" spans="1:8" x14ac:dyDescent="0.25">
      <c r="A17667" s="1"/>
      <c r="B17667" s="1" t="s">
        <v>5782</v>
      </c>
      <c r="C17667" s="1" t="s">
        <v>5783</v>
      </c>
      <c r="D17667" s="22" t="str">
        <f>HYPERLINK("https://rhld.insurance.arkansas.gov/NPILookup?Npi=1841845542","1841845542")</f>
        <v>1841845542</v>
      </c>
      <c r="E17667" s="1" t="s">
        <v>12163</v>
      </c>
      <c r="F17667" s="2"/>
      <c r="G17667" s="2"/>
      <c r="H17667" s="2"/>
    </row>
    <row r="17668" spans="1:8" x14ac:dyDescent="0.25">
      <c r="A17668" s="1"/>
      <c r="B17668" s="1" t="s">
        <v>5782</v>
      </c>
      <c r="C17668" s="1" t="s">
        <v>5783</v>
      </c>
      <c r="D17668" s="22" t="str">
        <f>HYPERLINK("https://rhld.insurance.arkansas.gov/NPILookup?Npi=1841845708","1841845708")</f>
        <v>1841845708</v>
      </c>
      <c r="E17668" s="1" t="s">
        <v>12164</v>
      </c>
      <c r="F17668" s="2"/>
      <c r="G17668" s="2"/>
      <c r="H17668" s="2"/>
    </row>
    <row r="17669" spans="1:8" x14ac:dyDescent="0.25">
      <c r="A17669" s="1"/>
      <c r="B17669" s="1" t="s">
        <v>5782</v>
      </c>
      <c r="C17669" s="1" t="s">
        <v>5783</v>
      </c>
      <c r="D17669" s="22" t="str">
        <f>HYPERLINK("https://rhld.insurance.arkansas.gov/NPILookup?Npi=1841850435","1841850435")</f>
        <v>1841850435</v>
      </c>
      <c r="E17669" s="1" t="s">
        <v>12165</v>
      </c>
      <c r="F17669" s="2"/>
      <c r="G17669" s="2"/>
      <c r="H17669" s="2"/>
    </row>
    <row r="17670" spans="1:8" x14ac:dyDescent="0.25">
      <c r="A17670" s="1"/>
      <c r="B17670" s="1" t="s">
        <v>5782</v>
      </c>
      <c r="C17670" s="1" t="s">
        <v>5783</v>
      </c>
      <c r="D17670" s="22" t="str">
        <f>HYPERLINK("https://rhld.insurance.arkansas.gov/NPILookup?Npi=1841853736","1841853736")</f>
        <v>1841853736</v>
      </c>
      <c r="E17670" s="1" t="s">
        <v>23514</v>
      </c>
      <c r="F17670" s="2"/>
      <c r="G17670" s="2"/>
      <c r="H17670" s="2"/>
    </row>
    <row r="17671" spans="1:8" x14ac:dyDescent="0.25">
      <c r="A17671" s="1"/>
      <c r="B17671" s="1" t="s">
        <v>5782</v>
      </c>
      <c r="C17671" s="1" t="s">
        <v>5783</v>
      </c>
      <c r="D17671" s="22" t="str">
        <f>HYPERLINK("https://rhld.insurance.arkansas.gov/NPILookup?Npi=1841866308","1841866308")</f>
        <v>1841866308</v>
      </c>
      <c r="E17671" s="1" t="s">
        <v>23515</v>
      </c>
      <c r="F17671" s="2"/>
      <c r="G17671" s="2"/>
      <c r="H17671" s="2"/>
    </row>
    <row r="17672" spans="1:8" x14ac:dyDescent="0.25">
      <c r="A17672" s="1"/>
      <c r="B17672" s="1" t="s">
        <v>5782</v>
      </c>
      <c r="C17672" s="1" t="s">
        <v>5783</v>
      </c>
      <c r="D17672" s="22" t="str">
        <f>HYPERLINK("https://rhld.insurance.arkansas.gov/NPILookup?Npi=1841888781","1841888781")</f>
        <v>1841888781</v>
      </c>
      <c r="E17672" s="1" t="s">
        <v>23516</v>
      </c>
      <c r="F17672" s="2"/>
      <c r="G17672" s="2"/>
      <c r="H17672" s="2"/>
    </row>
    <row r="17673" spans="1:8" x14ac:dyDescent="0.25">
      <c r="A17673" s="1"/>
      <c r="B17673" s="1" t="s">
        <v>5782</v>
      </c>
      <c r="C17673" s="1" t="s">
        <v>5783</v>
      </c>
      <c r="D17673" s="22" t="str">
        <f>HYPERLINK("https://rhld.insurance.arkansas.gov/NPILookup?Npi=1841899986","1841899986")</f>
        <v>1841899986</v>
      </c>
      <c r="E17673" s="1" t="s">
        <v>5179</v>
      </c>
      <c r="F17673" s="2"/>
      <c r="G17673" s="2"/>
      <c r="H17673" s="2"/>
    </row>
    <row r="17674" spans="1:8" x14ac:dyDescent="0.25">
      <c r="A17674" s="1"/>
      <c r="B17674" s="1" t="s">
        <v>5782</v>
      </c>
      <c r="C17674" s="1" t="s">
        <v>5783</v>
      </c>
      <c r="D17674" s="22" t="str">
        <f>HYPERLINK("https://rhld.insurance.arkansas.gov/NPILookup?Npi=1841904018","1841904018")</f>
        <v>1841904018</v>
      </c>
      <c r="E17674" s="1" t="s">
        <v>31953</v>
      </c>
      <c r="F17674" s="2"/>
      <c r="G17674" s="2"/>
      <c r="H17674" s="2"/>
    </row>
    <row r="17675" spans="1:8" x14ac:dyDescent="0.25">
      <c r="A17675" s="1"/>
      <c r="B17675" s="1" t="s">
        <v>5782</v>
      </c>
      <c r="C17675" s="1" t="s">
        <v>5783</v>
      </c>
      <c r="D17675" s="22" t="str">
        <f>HYPERLINK("https://rhld.insurance.arkansas.gov/NPILookup?Npi=1841911831","1841911831")</f>
        <v>1841911831</v>
      </c>
      <c r="E17675" s="1" t="s">
        <v>23517</v>
      </c>
      <c r="F17675" s="2"/>
      <c r="G17675" s="2"/>
      <c r="H17675" s="2"/>
    </row>
    <row r="17676" spans="1:8" x14ac:dyDescent="0.25">
      <c r="A17676" s="1"/>
      <c r="B17676" s="1" t="s">
        <v>5782</v>
      </c>
      <c r="C17676" s="1" t="s">
        <v>5783</v>
      </c>
      <c r="D17676" s="22" t="str">
        <f>HYPERLINK("https://rhld.insurance.arkansas.gov/NPILookup?Npi=1841918174","1841918174")</f>
        <v>1841918174</v>
      </c>
      <c r="E17676" s="1" t="s">
        <v>23518</v>
      </c>
      <c r="F17676" s="2"/>
      <c r="G17676" s="2"/>
      <c r="H17676" s="2"/>
    </row>
    <row r="17677" spans="1:8" x14ac:dyDescent="0.25">
      <c r="A17677" s="1"/>
      <c r="B17677" s="1" t="s">
        <v>5782</v>
      </c>
      <c r="C17677" s="1" t="s">
        <v>5783</v>
      </c>
      <c r="D17677" s="22" t="str">
        <f>HYPERLINK("https://rhld.insurance.arkansas.gov/NPILookup?Npi=1841941770","1841941770")</f>
        <v>1841941770</v>
      </c>
      <c r="E17677" s="1" t="s">
        <v>6695</v>
      </c>
      <c r="F17677" s="2"/>
      <c r="G17677" s="2"/>
      <c r="H17677" s="2"/>
    </row>
    <row r="17678" spans="1:8" x14ac:dyDescent="0.25">
      <c r="A17678" s="1"/>
      <c r="B17678" s="1" t="s">
        <v>5782</v>
      </c>
      <c r="C17678" s="1" t="s">
        <v>5783</v>
      </c>
      <c r="D17678" s="22" t="str">
        <f>HYPERLINK("https://rhld.insurance.arkansas.gov/NPILookup?Npi=1841961018","1841961018")</f>
        <v>1841961018</v>
      </c>
      <c r="E17678" s="1" t="s">
        <v>23519</v>
      </c>
      <c r="F17678" s="2"/>
      <c r="G17678" s="2"/>
      <c r="H17678" s="2"/>
    </row>
    <row r="17679" spans="1:8" x14ac:dyDescent="0.25">
      <c r="A17679" s="1"/>
      <c r="B17679" s="1" t="s">
        <v>5782</v>
      </c>
      <c r="C17679" s="1" t="s">
        <v>5783</v>
      </c>
      <c r="D17679" s="22" t="str">
        <f>HYPERLINK("https://rhld.insurance.arkansas.gov/NPILookup?Npi=1841999679","1841999679")</f>
        <v>1841999679</v>
      </c>
      <c r="E17679" s="1" t="s">
        <v>31954</v>
      </c>
      <c r="F17679" s="2"/>
      <c r="G17679" s="2"/>
      <c r="H17679" s="2"/>
    </row>
    <row r="17680" spans="1:8" x14ac:dyDescent="0.25">
      <c r="A17680" s="1"/>
      <c r="B17680" s="1" t="s">
        <v>5782</v>
      </c>
      <c r="C17680" s="1" t="s">
        <v>5783</v>
      </c>
      <c r="D17680" s="22" t="str">
        <f>HYPERLINK("https://rhld.insurance.arkansas.gov/NPILookup?Npi=1851001507","1851001507")</f>
        <v>1851001507</v>
      </c>
      <c r="E17680" s="1" t="s">
        <v>5624</v>
      </c>
      <c r="F17680" s="2"/>
      <c r="G17680" s="2"/>
      <c r="H17680" s="2"/>
    </row>
    <row r="17681" spans="1:8" x14ac:dyDescent="0.25">
      <c r="A17681" s="1"/>
      <c r="B17681" s="1" t="s">
        <v>5782</v>
      </c>
      <c r="C17681" s="1" t="s">
        <v>5783</v>
      </c>
      <c r="D17681" s="22" t="str">
        <f>HYPERLINK("https://rhld.insurance.arkansas.gov/NPILookup?Npi=1851006787","1851006787")</f>
        <v>1851006787</v>
      </c>
      <c r="E17681" s="1" t="s">
        <v>23520</v>
      </c>
      <c r="F17681" s="2"/>
      <c r="G17681" s="2"/>
      <c r="H17681" s="2"/>
    </row>
    <row r="17682" spans="1:8" x14ac:dyDescent="0.25">
      <c r="A17682" s="1"/>
      <c r="B17682" s="1" t="s">
        <v>5782</v>
      </c>
      <c r="C17682" s="1" t="s">
        <v>5783</v>
      </c>
      <c r="D17682" s="22" t="str">
        <f>HYPERLINK("https://rhld.insurance.arkansas.gov/NPILookup?Npi=1851009021","1851009021")</f>
        <v>1851009021</v>
      </c>
      <c r="E17682" s="1" t="s">
        <v>23521</v>
      </c>
      <c r="F17682" s="2"/>
      <c r="G17682" s="2"/>
      <c r="H17682" s="2"/>
    </row>
    <row r="17683" spans="1:8" x14ac:dyDescent="0.25">
      <c r="A17683" s="1"/>
      <c r="B17683" s="1" t="s">
        <v>5782</v>
      </c>
      <c r="C17683" s="1" t="s">
        <v>5783</v>
      </c>
      <c r="D17683" s="22" t="str">
        <f>HYPERLINK("https://rhld.insurance.arkansas.gov/NPILookup?Npi=1851010995","1851010995")</f>
        <v>1851010995</v>
      </c>
      <c r="E17683" s="1" t="s">
        <v>23522</v>
      </c>
      <c r="F17683" s="2"/>
      <c r="G17683" s="2"/>
      <c r="H17683" s="2"/>
    </row>
    <row r="17684" spans="1:8" x14ac:dyDescent="0.25">
      <c r="A17684" s="1"/>
      <c r="B17684" s="1" t="s">
        <v>5782</v>
      </c>
      <c r="C17684" s="1" t="s">
        <v>5783</v>
      </c>
      <c r="D17684" s="22" t="str">
        <f>HYPERLINK("https://rhld.insurance.arkansas.gov/NPILookup?Npi=1851030779","1851030779")</f>
        <v>1851030779</v>
      </c>
      <c r="E17684" s="1" t="s">
        <v>23523</v>
      </c>
      <c r="F17684" s="2"/>
      <c r="G17684" s="2"/>
      <c r="H17684" s="2"/>
    </row>
    <row r="17685" spans="1:8" x14ac:dyDescent="0.25">
      <c r="A17685" s="1"/>
      <c r="B17685" s="1" t="s">
        <v>5782</v>
      </c>
      <c r="C17685" s="1" t="s">
        <v>5783</v>
      </c>
      <c r="D17685" s="22" t="str">
        <f>HYPERLINK("https://rhld.insurance.arkansas.gov/NPILookup?Npi=1851049951","1851049951")</f>
        <v>1851049951</v>
      </c>
      <c r="E17685" s="1" t="s">
        <v>23524</v>
      </c>
      <c r="F17685" s="2"/>
      <c r="G17685" s="2"/>
      <c r="H17685" s="2"/>
    </row>
    <row r="17686" spans="1:8" x14ac:dyDescent="0.25">
      <c r="A17686" s="1"/>
      <c r="B17686" s="1" t="s">
        <v>5782</v>
      </c>
      <c r="C17686" s="1" t="s">
        <v>5783</v>
      </c>
      <c r="D17686" s="22" t="str">
        <f>HYPERLINK("https://rhld.insurance.arkansas.gov/NPILookup?Npi=1851050413","1851050413")</f>
        <v>1851050413</v>
      </c>
      <c r="E17686" s="1" t="s">
        <v>23525</v>
      </c>
      <c r="F17686" s="2"/>
      <c r="G17686" s="2"/>
      <c r="H17686" s="2"/>
    </row>
    <row r="17687" spans="1:8" x14ac:dyDescent="0.25">
      <c r="A17687" s="1"/>
      <c r="B17687" s="1" t="s">
        <v>5782</v>
      </c>
      <c r="C17687" s="1" t="s">
        <v>5783</v>
      </c>
      <c r="D17687" s="22" t="str">
        <f>HYPERLINK("https://rhld.insurance.arkansas.gov/NPILookup?Npi=1851076558","1851076558")</f>
        <v>1851076558</v>
      </c>
      <c r="E17687" s="1" t="s">
        <v>6696</v>
      </c>
      <c r="F17687" s="2"/>
      <c r="G17687" s="2"/>
      <c r="H17687" s="2"/>
    </row>
    <row r="17688" spans="1:8" x14ac:dyDescent="0.25">
      <c r="A17688" s="1"/>
      <c r="B17688" s="1" t="s">
        <v>5782</v>
      </c>
      <c r="C17688" s="1" t="s">
        <v>5783</v>
      </c>
      <c r="D17688" s="22" t="str">
        <f>HYPERLINK("https://rhld.insurance.arkansas.gov/NPILookup?Npi=1851081558","1851081558")</f>
        <v>1851081558</v>
      </c>
      <c r="E17688" s="1" t="s">
        <v>23526</v>
      </c>
      <c r="F17688" s="2"/>
      <c r="G17688" s="2"/>
      <c r="H17688" s="2"/>
    </row>
    <row r="17689" spans="1:8" x14ac:dyDescent="0.25">
      <c r="A17689" s="1"/>
      <c r="B17689" s="1" t="s">
        <v>5782</v>
      </c>
      <c r="C17689" s="1" t="s">
        <v>5783</v>
      </c>
      <c r="D17689" s="22" t="str">
        <f>HYPERLINK("https://rhld.insurance.arkansas.gov/NPILookup?Npi=1851304810","1851304810")</f>
        <v>1851304810</v>
      </c>
      <c r="E17689" s="1" t="s">
        <v>16700</v>
      </c>
      <c r="F17689" s="2"/>
      <c r="G17689" s="2"/>
      <c r="H17689" s="2"/>
    </row>
    <row r="17690" spans="1:8" x14ac:dyDescent="0.25">
      <c r="A17690" s="1"/>
      <c r="B17690" s="1" t="s">
        <v>5782</v>
      </c>
      <c r="C17690" s="1" t="s">
        <v>5783</v>
      </c>
      <c r="D17690" s="22" t="str">
        <f>HYPERLINK("https://rhld.insurance.arkansas.gov/NPILookup?Npi=1851305445","1851305445")</f>
        <v>1851305445</v>
      </c>
      <c r="E17690" s="1" t="s">
        <v>23527</v>
      </c>
      <c r="F17690" s="2"/>
      <c r="G17690" s="2"/>
      <c r="H17690" s="2"/>
    </row>
    <row r="17691" spans="1:8" x14ac:dyDescent="0.25">
      <c r="A17691" s="1"/>
      <c r="B17691" s="1" t="s">
        <v>5782</v>
      </c>
      <c r="C17691" s="1" t="s">
        <v>5783</v>
      </c>
      <c r="D17691" s="22" t="str">
        <f>HYPERLINK("https://rhld.insurance.arkansas.gov/NPILookup?Npi=1851322739","1851322739")</f>
        <v>1851322739</v>
      </c>
      <c r="E17691" s="1" t="s">
        <v>23528</v>
      </c>
      <c r="F17691" s="2"/>
      <c r="G17691" s="2"/>
      <c r="H17691" s="2"/>
    </row>
    <row r="17692" spans="1:8" x14ac:dyDescent="0.25">
      <c r="A17692" s="1"/>
      <c r="B17692" s="1" t="s">
        <v>5782</v>
      </c>
      <c r="C17692" s="1" t="s">
        <v>5783</v>
      </c>
      <c r="D17692" s="22" t="str">
        <f>HYPERLINK("https://rhld.insurance.arkansas.gov/NPILookup?Npi=1851323539","1851323539")</f>
        <v>1851323539</v>
      </c>
      <c r="E17692" s="1" t="s">
        <v>3393</v>
      </c>
      <c r="F17692" s="2"/>
      <c r="G17692" s="2"/>
      <c r="H17692" s="2"/>
    </row>
    <row r="17693" spans="1:8" x14ac:dyDescent="0.25">
      <c r="A17693" s="1"/>
      <c r="B17693" s="1" t="s">
        <v>5782</v>
      </c>
      <c r="C17693" s="1" t="s">
        <v>5783</v>
      </c>
      <c r="D17693" s="22" t="str">
        <f>HYPERLINK("https://rhld.insurance.arkansas.gov/NPILookup?Npi=1851333769","1851333769")</f>
        <v>1851333769</v>
      </c>
      <c r="E17693" s="1" t="s">
        <v>23529</v>
      </c>
      <c r="F17693" s="2"/>
      <c r="G17693" s="2"/>
      <c r="H17693" s="2"/>
    </row>
    <row r="17694" spans="1:8" x14ac:dyDescent="0.25">
      <c r="A17694" s="1"/>
      <c r="B17694" s="1" t="s">
        <v>5782</v>
      </c>
      <c r="C17694" s="1" t="s">
        <v>5783</v>
      </c>
      <c r="D17694" s="22" t="str">
        <f>HYPERLINK("https://rhld.insurance.arkansas.gov/NPILookup?Npi=1851341010","1851341010")</f>
        <v>1851341010</v>
      </c>
      <c r="E17694" s="1" t="s">
        <v>12166</v>
      </c>
      <c r="F17694" s="2"/>
      <c r="G17694" s="2"/>
      <c r="H17694" s="2"/>
    </row>
    <row r="17695" spans="1:8" x14ac:dyDescent="0.25">
      <c r="A17695" s="1"/>
      <c r="B17695" s="1" t="s">
        <v>5782</v>
      </c>
      <c r="C17695" s="1" t="s">
        <v>5783</v>
      </c>
      <c r="D17695" s="22" t="str">
        <f>HYPERLINK("https://rhld.insurance.arkansas.gov/NPILookup?Npi=1851354930","1851354930")</f>
        <v>1851354930</v>
      </c>
      <c r="E17695" s="1" t="s">
        <v>23530</v>
      </c>
      <c r="F17695" s="2"/>
      <c r="G17695" s="2"/>
      <c r="H17695" s="2"/>
    </row>
    <row r="17696" spans="1:8" x14ac:dyDescent="0.25">
      <c r="A17696" s="1"/>
      <c r="B17696" s="1" t="s">
        <v>5782</v>
      </c>
      <c r="C17696" s="1" t="s">
        <v>5783</v>
      </c>
      <c r="D17696" s="22" t="str">
        <f>HYPERLINK("https://rhld.insurance.arkansas.gov/NPILookup?Npi=1851402200","1851402200")</f>
        <v>1851402200</v>
      </c>
      <c r="E17696" s="1" t="s">
        <v>12167</v>
      </c>
      <c r="F17696" s="2"/>
      <c r="G17696" s="2"/>
      <c r="H17696" s="2"/>
    </row>
    <row r="17697" spans="1:8" x14ac:dyDescent="0.25">
      <c r="A17697" s="1"/>
      <c r="B17697" s="1" t="s">
        <v>5782</v>
      </c>
      <c r="C17697" s="1" t="s">
        <v>5783</v>
      </c>
      <c r="D17697" s="22" t="str">
        <f>HYPERLINK("https://rhld.insurance.arkansas.gov/NPILookup?Npi=1851419873","1851419873")</f>
        <v>1851419873</v>
      </c>
      <c r="E17697" s="1" t="s">
        <v>23531</v>
      </c>
      <c r="F17697" s="2"/>
      <c r="G17697" s="2"/>
      <c r="H17697" s="2"/>
    </row>
    <row r="17698" spans="1:8" x14ac:dyDescent="0.25">
      <c r="A17698" s="1"/>
      <c r="B17698" s="1" t="s">
        <v>5782</v>
      </c>
      <c r="C17698" s="1" t="s">
        <v>5783</v>
      </c>
      <c r="D17698" s="22" t="str">
        <f>HYPERLINK("https://rhld.insurance.arkansas.gov/NPILookup?Npi=1851420764","1851420764")</f>
        <v>1851420764</v>
      </c>
      <c r="E17698" s="1" t="s">
        <v>23532</v>
      </c>
      <c r="F17698" s="2"/>
      <c r="G17698" s="2"/>
      <c r="H17698" s="2"/>
    </row>
    <row r="17699" spans="1:8" x14ac:dyDescent="0.25">
      <c r="A17699" s="1"/>
      <c r="B17699" s="1" t="s">
        <v>5782</v>
      </c>
      <c r="C17699" s="1" t="s">
        <v>5783</v>
      </c>
      <c r="D17699" s="22" t="str">
        <f>HYPERLINK("https://rhld.insurance.arkansas.gov/NPILookup?Npi=1851428742","1851428742")</f>
        <v>1851428742</v>
      </c>
      <c r="E17699" s="1" t="s">
        <v>23533</v>
      </c>
      <c r="F17699" s="2"/>
      <c r="G17699" s="2"/>
      <c r="H17699" s="2"/>
    </row>
    <row r="17700" spans="1:8" x14ac:dyDescent="0.25">
      <c r="A17700" s="1"/>
      <c r="B17700" s="1" t="s">
        <v>5782</v>
      </c>
      <c r="C17700" s="1" t="s">
        <v>5783</v>
      </c>
      <c r="D17700" s="22" t="str">
        <f>HYPERLINK("https://rhld.insurance.arkansas.gov/NPILookup?Npi=1851435069","1851435069")</f>
        <v>1851435069</v>
      </c>
      <c r="E17700" s="1" t="s">
        <v>23534</v>
      </c>
      <c r="F17700" s="2"/>
      <c r="G17700" s="2"/>
      <c r="H17700" s="2"/>
    </row>
    <row r="17701" spans="1:8" x14ac:dyDescent="0.25">
      <c r="A17701" s="1"/>
      <c r="B17701" s="1" t="s">
        <v>5782</v>
      </c>
      <c r="C17701" s="1" t="s">
        <v>5783</v>
      </c>
      <c r="D17701" s="22" t="str">
        <f>HYPERLINK("https://rhld.insurance.arkansas.gov/NPILookup?Npi=1851442768","1851442768")</f>
        <v>1851442768</v>
      </c>
      <c r="E17701" s="1" t="s">
        <v>23535</v>
      </c>
      <c r="F17701" s="2"/>
      <c r="G17701" s="2"/>
      <c r="H17701" s="2"/>
    </row>
    <row r="17702" spans="1:8" x14ac:dyDescent="0.25">
      <c r="A17702" s="1"/>
      <c r="B17702" s="1" t="s">
        <v>5782</v>
      </c>
      <c r="C17702" s="1" t="s">
        <v>5783</v>
      </c>
      <c r="D17702" s="22" t="str">
        <f>HYPERLINK("https://rhld.insurance.arkansas.gov/NPILookup?Npi=1851453781","1851453781")</f>
        <v>1851453781</v>
      </c>
      <c r="E17702" s="1" t="s">
        <v>2210</v>
      </c>
      <c r="F17702" s="2"/>
      <c r="G17702" s="2"/>
      <c r="H17702" s="2"/>
    </row>
    <row r="17703" spans="1:8" x14ac:dyDescent="0.25">
      <c r="A17703" s="1"/>
      <c r="B17703" s="1" t="s">
        <v>5782</v>
      </c>
      <c r="C17703" s="1" t="s">
        <v>5783</v>
      </c>
      <c r="D17703" s="22" t="str">
        <f>HYPERLINK("https://rhld.insurance.arkansas.gov/NPILookup?Npi=1851457188","1851457188")</f>
        <v>1851457188</v>
      </c>
      <c r="E17703" s="1" t="s">
        <v>2518</v>
      </c>
      <c r="F17703" s="2"/>
      <c r="G17703" s="2"/>
      <c r="H17703" s="2"/>
    </row>
    <row r="17704" spans="1:8" x14ac:dyDescent="0.25">
      <c r="A17704" s="1"/>
      <c r="B17704" s="1" t="s">
        <v>5782</v>
      </c>
      <c r="C17704" s="1" t="s">
        <v>5783</v>
      </c>
      <c r="D17704" s="22" t="str">
        <f>HYPERLINK("https://rhld.insurance.arkansas.gov/NPILookup?Npi=1851461917","1851461917")</f>
        <v>1851461917</v>
      </c>
      <c r="E17704" s="1" t="s">
        <v>6698</v>
      </c>
      <c r="F17704" s="2"/>
      <c r="G17704" s="2"/>
      <c r="H17704" s="2"/>
    </row>
    <row r="17705" spans="1:8" x14ac:dyDescent="0.25">
      <c r="A17705" s="1"/>
      <c r="B17705" s="1" t="s">
        <v>5782</v>
      </c>
      <c r="C17705" s="1" t="s">
        <v>5783</v>
      </c>
      <c r="D17705" s="22" t="str">
        <f>HYPERLINK("https://rhld.insurance.arkansas.gov/NPILookup?Npi=1851482921","1851482921")</f>
        <v>1851482921</v>
      </c>
      <c r="E17705" s="1" t="s">
        <v>23536</v>
      </c>
      <c r="F17705" s="2"/>
      <c r="G17705" s="2"/>
      <c r="H17705" s="2"/>
    </row>
    <row r="17706" spans="1:8" x14ac:dyDescent="0.25">
      <c r="A17706" s="1"/>
      <c r="B17706" s="1" t="s">
        <v>5782</v>
      </c>
      <c r="C17706" s="1" t="s">
        <v>5783</v>
      </c>
      <c r="D17706" s="22" t="str">
        <f>HYPERLINK("https://rhld.insurance.arkansas.gov/NPILookup?Npi=1851487052","1851487052")</f>
        <v>1851487052</v>
      </c>
      <c r="E17706" s="1" t="s">
        <v>12168</v>
      </c>
      <c r="F17706" s="2"/>
      <c r="G17706" s="2"/>
      <c r="H17706" s="2"/>
    </row>
    <row r="17707" spans="1:8" x14ac:dyDescent="0.25">
      <c r="A17707" s="1"/>
      <c r="B17707" s="1" t="s">
        <v>5782</v>
      </c>
      <c r="C17707" s="1" t="s">
        <v>5783</v>
      </c>
      <c r="D17707" s="22" t="str">
        <f>HYPERLINK("https://rhld.insurance.arkansas.gov/NPILookup?Npi=1851501803","1851501803")</f>
        <v>1851501803</v>
      </c>
      <c r="E17707" s="1" t="s">
        <v>11411</v>
      </c>
      <c r="F17707" s="2"/>
      <c r="G17707" s="2"/>
      <c r="H17707" s="2"/>
    </row>
    <row r="17708" spans="1:8" x14ac:dyDescent="0.25">
      <c r="A17708" s="1"/>
      <c r="B17708" s="1" t="s">
        <v>5782</v>
      </c>
      <c r="C17708" s="1" t="s">
        <v>5783</v>
      </c>
      <c r="D17708" s="22" t="str">
        <f>HYPERLINK("https://rhld.insurance.arkansas.gov/NPILookup?Npi=1851506570","1851506570")</f>
        <v>1851506570</v>
      </c>
      <c r="E17708" s="1" t="s">
        <v>3394</v>
      </c>
      <c r="F17708" s="2"/>
      <c r="G17708" s="2"/>
      <c r="H17708" s="2"/>
    </row>
    <row r="17709" spans="1:8" x14ac:dyDescent="0.25">
      <c r="A17709" s="1"/>
      <c r="B17709" s="1" t="s">
        <v>5782</v>
      </c>
      <c r="C17709" s="1" t="s">
        <v>5783</v>
      </c>
      <c r="D17709" s="22" t="str">
        <f>HYPERLINK("https://rhld.insurance.arkansas.gov/NPILookup?Npi=1851512107","1851512107")</f>
        <v>1851512107</v>
      </c>
      <c r="E17709" s="1" t="s">
        <v>23537</v>
      </c>
      <c r="F17709" s="2"/>
      <c r="G17709" s="2"/>
      <c r="H17709" s="2"/>
    </row>
    <row r="17710" spans="1:8" x14ac:dyDescent="0.25">
      <c r="A17710" s="1"/>
      <c r="B17710" s="1" t="s">
        <v>5782</v>
      </c>
      <c r="C17710" s="1" t="s">
        <v>5783</v>
      </c>
      <c r="D17710" s="22" t="str">
        <f>HYPERLINK("https://rhld.insurance.arkansas.gov/NPILookup?Npi=1851528707","1851528707")</f>
        <v>1851528707</v>
      </c>
      <c r="E17710" s="1" t="s">
        <v>23538</v>
      </c>
      <c r="F17710" s="2"/>
      <c r="G17710" s="2"/>
      <c r="H17710" s="2"/>
    </row>
    <row r="17711" spans="1:8" x14ac:dyDescent="0.25">
      <c r="A17711" s="1"/>
      <c r="B17711" s="1" t="s">
        <v>5782</v>
      </c>
      <c r="C17711" s="1" t="s">
        <v>5783</v>
      </c>
      <c r="D17711" s="22" t="str">
        <f>HYPERLINK("https://rhld.insurance.arkansas.gov/NPILookup?Npi=1851580104","1851580104")</f>
        <v>1851580104</v>
      </c>
      <c r="E17711" s="1" t="s">
        <v>23539</v>
      </c>
      <c r="F17711" s="2"/>
      <c r="G17711" s="2"/>
      <c r="H17711" s="2"/>
    </row>
    <row r="17712" spans="1:8" x14ac:dyDescent="0.25">
      <c r="A17712" s="1"/>
      <c r="B17712" s="1" t="s">
        <v>5782</v>
      </c>
      <c r="C17712" s="1" t="s">
        <v>5783</v>
      </c>
      <c r="D17712" s="22" t="str">
        <f>HYPERLINK("https://rhld.insurance.arkansas.gov/NPILookup?Npi=1851580369","1851580369")</f>
        <v>1851580369</v>
      </c>
      <c r="E17712" s="1" t="s">
        <v>23540</v>
      </c>
      <c r="F17712" s="2"/>
      <c r="G17712" s="2"/>
      <c r="H17712" s="2"/>
    </row>
    <row r="17713" spans="1:8" x14ac:dyDescent="0.25">
      <c r="A17713" s="1"/>
      <c r="B17713" s="1" t="s">
        <v>5782</v>
      </c>
      <c r="C17713" s="1" t="s">
        <v>5783</v>
      </c>
      <c r="D17713" s="22" t="str">
        <f>HYPERLINK("https://rhld.insurance.arkansas.gov/NPILookup?Npi=1851599955","1851599955")</f>
        <v>1851599955</v>
      </c>
      <c r="E17713" s="1" t="s">
        <v>12170</v>
      </c>
      <c r="F17713" s="2"/>
      <c r="G17713" s="2"/>
      <c r="H17713" s="2"/>
    </row>
    <row r="17714" spans="1:8" x14ac:dyDescent="0.25">
      <c r="A17714" s="1"/>
      <c r="B17714" s="1" t="s">
        <v>5782</v>
      </c>
      <c r="C17714" s="1" t="s">
        <v>5783</v>
      </c>
      <c r="D17714" s="22" t="str">
        <f>HYPERLINK("https://rhld.insurance.arkansas.gov/NPILookup?Npi=1851609275","1851609275")</f>
        <v>1851609275</v>
      </c>
      <c r="E17714" s="1" t="s">
        <v>23541</v>
      </c>
      <c r="F17714" s="2"/>
      <c r="G17714" s="2"/>
      <c r="H17714" s="2"/>
    </row>
    <row r="17715" spans="1:8" x14ac:dyDescent="0.25">
      <c r="A17715" s="1"/>
      <c r="B17715" s="1" t="s">
        <v>5782</v>
      </c>
      <c r="C17715" s="1" t="s">
        <v>5783</v>
      </c>
      <c r="D17715" s="22" t="str">
        <f>HYPERLINK("https://rhld.insurance.arkansas.gov/NPILookup?Npi=1851616239","1851616239")</f>
        <v>1851616239</v>
      </c>
      <c r="E17715" s="1" t="s">
        <v>3395</v>
      </c>
      <c r="F17715" s="2"/>
      <c r="G17715" s="2"/>
      <c r="H17715" s="2"/>
    </row>
    <row r="17716" spans="1:8" x14ac:dyDescent="0.25">
      <c r="A17716" s="1"/>
      <c r="B17716" s="1" t="s">
        <v>5782</v>
      </c>
      <c r="C17716" s="1" t="s">
        <v>5783</v>
      </c>
      <c r="D17716" s="22" t="str">
        <f>HYPERLINK("https://rhld.insurance.arkansas.gov/NPILookup?Npi=1851628481","1851628481")</f>
        <v>1851628481</v>
      </c>
      <c r="E17716" s="1" t="s">
        <v>23542</v>
      </c>
      <c r="F17716" s="2"/>
      <c r="G17716" s="2"/>
      <c r="H17716" s="2"/>
    </row>
    <row r="17717" spans="1:8" x14ac:dyDescent="0.25">
      <c r="A17717" s="1"/>
      <c r="B17717" s="1" t="s">
        <v>5782</v>
      </c>
      <c r="C17717" s="1" t="s">
        <v>5783</v>
      </c>
      <c r="D17717" s="22" t="str">
        <f>HYPERLINK("https://rhld.insurance.arkansas.gov/NPILookup?Npi=1851639512","1851639512")</f>
        <v>1851639512</v>
      </c>
      <c r="E17717" s="1" t="s">
        <v>23543</v>
      </c>
      <c r="F17717" s="2"/>
      <c r="G17717" s="2"/>
      <c r="H17717" s="2"/>
    </row>
    <row r="17718" spans="1:8" x14ac:dyDescent="0.25">
      <c r="A17718" s="1"/>
      <c r="B17718" s="1" t="s">
        <v>5782</v>
      </c>
      <c r="C17718" s="1" t="s">
        <v>5783</v>
      </c>
      <c r="D17718" s="22" t="str">
        <f>HYPERLINK("https://rhld.insurance.arkansas.gov/NPILookup?Npi=1851641161","1851641161")</f>
        <v>1851641161</v>
      </c>
      <c r="E17718" s="1" t="s">
        <v>23544</v>
      </c>
      <c r="F17718" s="2"/>
      <c r="G17718" s="2"/>
      <c r="H17718" s="2"/>
    </row>
    <row r="17719" spans="1:8" x14ac:dyDescent="0.25">
      <c r="A17719" s="1"/>
      <c r="B17719" s="1" t="s">
        <v>5782</v>
      </c>
      <c r="C17719" s="1" t="s">
        <v>5783</v>
      </c>
      <c r="D17719" s="22" t="str">
        <f>HYPERLINK("https://rhld.insurance.arkansas.gov/NPILookup?Npi=1851648976","1851648976")</f>
        <v>1851648976</v>
      </c>
      <c r="E17719" s="1" t="s">
        <v>23545</v>
      </c>
      <c r="F17719" s="2"/>
      <c r="G17719" s="2"/>
      <c r="H17719" s="2"/>
    </row>
    <row r="17720" spans="1:8" x14ac:dyDescent="0.25">
      <c r="A17720" s="1"/>
      <c r="B17720" s="1" t="s">
        <v>5782</v>
      </c>
      <c r="C17720" s="1" t="s">
        <v>5783</v>
      </c>
      <c r="D17720" s="22" t="str">
        <f>HYPERLINK("https://rhld.insurance.arkansas.gov/NPILookup?Npi=1851653851","1851653851")</f>
        <v>1851653851</v>
      </c>
      <c r="E17720" s="1" t="s">
        <v>12171</v>
      </c>
      <c r="F17720" s="2"/>
      <c r="G17720" s="2"/>
      <c r="H17720" s="2"/>
    </row>
    <row r="17721" spans="1:8" x14ac:dyDescent="0.25">
      <c r="A17721" s="1"/>
      <c r="B17721" s="1" t="s">
        <v>5782</v>
      </c>
      <c r="C17721" s="1" t="s">
        <v>5783</v>
      </c>
      <c r="D17721" s="22" t="str">
        <f>HYPERLINK("https://rhld.insurance.arkansas.gov/NPILookup?Npi=1851667349","1851667349")</f>
        <v>1851667349</v>
      </c>
      <c r="E17721" s="1" t="s">
        <v>23546</v>
      </c>
      <c r="F17721" s="2"/>
      <c r="G17721" s="2"/>
      <c r="H17721" s="2"/>
    </row>
    <row r="17722" spans="1:8" x14ac:dyDescent="0.25">
      <c r="A17722" s="1"/>
      <c r="B17722" s="1" t="s">
        <v>5782</v>
      </c>
      <c r="C17722" s="1" t="s">
        <v>5783</v>
      </c>
      <c r="D17722" s="22" t="str">
        <f>HYPERLINK("https://rhld.insurance.arkansas.gov/NPILookup?Npi=1851669568","1851669568")</f>
        <v>1851669568</v>
      </c>
      <c r="E17722" s="1" t="s">
        <v>2221</v>
      </c>
      <c r="F17722" s="2"/>
      <c r="G17722" s="2"/>
      <c r="H17722" s="2"/>
    </row>
    <row r="17723" spans="1:8" x14ac:dyDescent="0.25">
      <c r="A17723" s="1"/>
      <c r="B17723" s="1" t="s">
        <v>5782</v>
      </c>
      <c r="C17723" s="1" t="s">
        <v>5783</v>
      </c>
      <c r="D17723" s="22" t="str">
        <f>HYPERLINK("https://rhld.insurance.arkansas.gov/NPILookup?Npi=1851675037","1851675037")</f>
        <v>1851675037</v>
      </c>
      <c r="E17723" s="1" t="s">
        <v>3396</v>
      </c>
      <c r="F17723" s="2"/>
      <c r="G17723" s="2"/>
      <c r="H17723" s="2"/>
    </row>
    <row r="17724" spans="1:8" x14ac:dyDescent="0.25">
      <c r="A17724" s="1"/>
      <c r="B17724" s="1" t="s">
        <v>5782</v>
      </c>
      <c r="C17724" s="1" t="s">
        <v>5783</v>
      </c>
      <c r="D17724" s="22" t="str">
        <f>HYPERLINK("https://rhld.insurance.arkansas.gov/NPILookup?Npi=1851685945","1851685945")</f>
        <v>1851685945</v>
      </c>
      <c r="E17724" s="1" t="s">
        <v>23548</v>
      </c>
      <c r="F17724" s="2"/>
      <c r="G17724" s="2"/>
      <c r="H17724" s="2"/>
    </row>
    <row r="17725" spans="1:8" x14ac:dyDescent="0.25">
      <c r="A17725" s="1"/>
      <c r="B17725" s="1" t="s">
        <v>5782</v>
      </c>
      <c r="C17725" s="1" t="s">
        <v>5783</v>
      </c>
      <c r="D17725" s="22" t="str">
        <f>HYPERLINK("https://rhld.insurance.arkansas.gov/NPILookup?Npi=1851697528","1851697528")</f>
        <v>1851697528</v>
      </c>
      <c r="E17725" s="1" t="s">
        <v>23549</v>
      </c>
      <c r="F17725" s="2"/>
      <c r="G17725" s="2"/>
      <c r="H17725" s="2"/>
    </row>
    <row r="17726" spans="1:8" x14ac:dyDescent="0.25">
      <c r="A17726" s="1"/>
      <c r="B17726" s="1" t="s">
        <v>5782</v>
      </c>
      <c r="C17726" s="1" t="s">
        <v>5783</v>
      </c>
      <c r="D17726" s="22" t="str">
        <f>HYPERLINK("https://rhld.insurance.arkansas.gov/NPILookup?Npi=1851700330","1851700330")</f>
        <v>1851700330</v>
      </c>
      <c r="E17726" s="1" t="s">
        <v>23550</v>
      </c>
      <c r="F17726" s="2"/>
      <c r="G17726" s="2"/>
      <c r="H17726" s="2"/>
    </row>
    <row r="17727" spans="1:8" x14ac:dyDescent="0.25">
      <c r="A17727" s="1"/>
      <c r="B17727" s="1" t="s">
        <v>5782</v>
      </c>
      <c r="C17727" s="1" t="s">
        <v>5783</v>
      </c>
      <c r="D17727" s="22" t="str">
        <f>HYPERLINK("https://rhld.insurance.arkansas.gov/NPILookup?Npi=1851723084","1851723084")</f>
        <v>1851723084</v>
      </c>
      <c r="E17727" s="1" t="s">
        <v>3204</v>
      </c>
      <c r="F17727" s="2"/>
      <c r="G17727" s="2"/>
      <c r="H17727" s="2"/>
    </row>
    <row r="17728" spans="1:8" x14ac:dyDescent="0.25">
      <c r="A17728" s="1"/>
      <c r="B17728" s="1" t="s">
        <v>5782</v>
      </c>
      <c r="C17728" s="1" t="s">
        <v>5783</v>
      </c>
      <c r="D17728" s="22" t="str">
        <f>HYPERLINK("https://rhld.insurance.arkansas.gov/NPILookup?Npi=1851737464","1851737464")</f>
        <v>1851737464</v>
      </c>
      <c r="E17728" s="1" t="s">
        <v>6699</v>
      </c>
      <c r="F17728" s="2"/>
      <c r="G17728" s="2"/>
      <c r="H17728" s="2"/>
    </row>
    <row r="17729" spans="1:8" x14ac:dyDescent="0.25">
      <c r="A17729" s="1"/>
      <c r="B17729" s="1" t="s">
        <v>5782</v>
      </c>
      <c r="C17729" s="1" t="s">
        <v>5783</v>
      </c>
      <c r="D17729" s="22" t="str">
        <f>HYPERLINK("https://rhld.insurance.arkansas.gov/NPILookup?Npi=1851738660","1851738660")</f>
        <v>1851738660</v>
      </c>
      <c r="E17729" s="1" t="s">
        <v>23551</v>
      </c>
      <c r="F17729" s="2"/>
      <c r="G17729" s="2"/>
      <c r="H17729" s="2"/>
    </row>
    <row r="17730" spans="1:8" x14ac:dyDescent="0.25">
      <c r="A17730" s="1"/>
      <c r="B17730" s="1" t="s">
        <v>5782</v>
      </c>
      <c r="C17730" s="1" t="s">
        <v>5783</v>
      </c>
      <c r="D17730" s="22" t="str">
        <f>HYPERLINK("https://rhld.insurance.arkansas.gov/NPILookup?Npi=1851739007","1851739007")</f>
        <v>1851739007</v>
      </c>
      <c r="E17730" s="1" t="s">
        <v>12172</v>
      </c>
      <c r="F17730" s="2"/>
      <c r="G17730" s="2"/>
      <c r="H17730" s="2"/>
    </row>
    <row r="17731" spans="1:8" x14ac:dyDescent="0.25">
      <c r="A17731" s="1"/>
      <c r="B17731" s="1" t="s">
        <v>5782</v>
      </c>
      <c r="C17731" s="1" t="s">
        <v>5783</v>
      </c>
      <c r="D17731" s="22" t="str">
        <f>HYPERLINK("https://rhld.insurance.arkansas.gov/NPILookup?Npi=1851742746","1851742746")</f>
        <v>1851742746</v>
      </c>
      <c r="E17731" s="1" t="s">
        <v>23552</v>
      </c>
      <c r="F17731" s="2"/>
      <c r="G17731" s="2"/>
      <c r="H17731" s="2"/>
    </row>
    <row r="17732" spans="1:8" x14ac:dyDescent="0.25">
      <c r="A17732" s="1"/>
      <c r="B17732" s="1" t="s">
        <v>5782</v>
      </c>
      <c r="C17732" s="1" t="s">
        <v>5783</v>
      </c>
      <c r="D17732" s="22" t="str">
        <f>HYPERLINK("https://rhld.insurance.arkansas.gov/NPILookup?Npi=1851754972","1851754972")</f>
        <v>1851754972</v>
      </c>
      <c r="E17732" s="1" t="s">
        <v>23553</v>
      </c>
      <c r="F17732" s="2"/>
      <c r="G17732" s="2"/>
      <c r="H17732" s="2"/>
    </row>
    <row r="17733" spans="1:8" x14ac:dyDescent="0.25">
      <c r="A17733" s="1"/>
      <c r="B17733" s="1" t="s">
        <v>5782</v>
      </c>
      <c r="C17733" s="1" t="s">
        <v>5783</v>
      </c>
      <c r="D17733" s="22" t="str">
        <f>HYPERLINK("https://rhld.insurance.arkansas.gov/NPILookup?Npi=1851757173","1851757173")</f>
        <v>1851757173</v>
      </c>
      <c r="E17733" s="1" t="s">
        <v>23554</v>
      </c>
      <c r="F17733" s="2"/>
      <c r="G17733" s="2"/>
      <c r="H17733" s="2"/>
    </row>
    <row r="17734" spans="1:8" x14ac:dyDescent="0.25">
      <c r="A17734" s="1"/>
      <c r="B17734" s="1" t="s">
        <v>5782</v>
      </c>
      <c r="C17734" s="1" t="s">
        <v>5783</v>
      </c>
      <c r="D17734" s="22" t="str">
        <f>HYPERLINK("https://rhld.insurance.arkansas.gov/NPILookup?Npi=1851769350","1851769350")</f>
        <v>1851769350</v>
      </c>
      <c r="E17734" s="1" t="s">
        <v>6701</v>
      </c>
      <c r="F17734" s="2"/>
      <c r="G17734" s="2"/>
      <c r="H17734" s="2"/>
    </row>
    <row r="17735" spans="1:8" x14ac:dyDescent="0.25">
      <c r="A17735" s="1"/>
      <c r="B17735" s="1" t="s">
        <v>5782</v>
      </c>
      <c r="C17735" s="1" t="s">
        <v>5783</v>
      </c>
      <c r="D17735" s="22" t="str">
        <f>HYPERLINK("https://rhld.insurance.arkansas.gov/NPILookup?Npi=1851770937","1851770937")</f>
        <v>1851770937</v>
      </c>
      <c r="E17735" s="1" t="s">
        <v>23555</v>
      </c>
      <c r="F17735" s="2"/>
      <c r="G17735" s="2"/>
      <c r="H17735" s="2"/>
    </row>
    <row r="17736" spans="1:8" x14ac:dyDescent="0.25">
      <c r="A17736" s="1"/>
      <c r="B17736" s="1" t="s">
        <v>5782</v>
      </c>
      <c r="C17736" s="1" t="s">
        <v>5783</v>
      </c>
      <c r="D17736" s="22" t="str">
        <f>HYPERLINK("https://rhld.insurance.arkansas.gov/NPILookup?Npi=1851779011","1851779011")</f>
        <v>1851779011</v>
      </c>
      <c r="E17736" s="1" t="s">
        <v>23556</v>
      </c>
      <c r="F17736" s="2"/>
      <c r="G17736" s="2"/>
      <c r="H17736" s="2"/>
    </row>
    <row r="17737" spans="1:8" x14ac:dyDescent="0.25">
      <c r="A17737" s="1"/>
      <c r="B17737" s="1" t="s">
        <v>5782</v>
      </c>
      <c r="C17737" s="1" t="s">
        <v>5783</v>
      </c>
      <c r="D17737" s="22" t="str">
        <f>HYPERLINK("https://rhld.insurance.arkansas.gov/NPILookup?Npi=1851779680","1851779680")</f>
        <v>1851779680</v>
      </c>
      <c r="E17737" s="1" t="s">
        <v>12173</v>
      </c>
      <c r="F17737" s="2"/>
      <c r="G17737" s="2"/>
      <c r="H17737" s="2"/>
    </row>
    <row r="17738" spans="1:8" x14ac:dyDescent="0.25">
      <c r="A17738" s="1"/>
      <c r="B17738" s="1" t="s">
        <v>5782</v>
      </c>
      <c r="C17738" s="1" t="s">
        <v>5783</v>
      </c>
      <c r="D17738" s="22" t="str">
        <f>HYPERLINK("https://rhld.insurance.arkansas.gov/NPILookup?Npi=1851782700","1851782700")</f>
        <v>1851782700</v>
      </c>
      <c r="E17738" s="1" t="s">
        <v>23557</v>
      </c>
      <c r="F17738" s="2"/>
      <c r="G17738" s="2"/>
      <c r="H17738" s="2"/>
    </row>
    <row r="17739" spans="1:8" x14ac:dyDescent="0.25">
      <c r="A17739" s="1"/>
      <c r="B17739" s="1" t="s">
        <v>5782</v>
      </c>
      <c r="C17739" s="1" t="s">
        <v>5783</v>
      </c>
      <c r="D17739" s="22" t="str">
        <f>HYPERLINK("https://rhld.insurance.arkansas.gov/NPILookup?Npi=1851794523","1851794523")</f>
        <v>1851794523</v>
      </c>
      <c r="E17739" s="1" t="s">
        <v>12174</v>
      </c>
      <c r="F17739" s="2"/>
      <c r="G17739" s="2"/>
      <c r="H17739" s="2"/>
    </row>
    <row r="17740" spans="1:8" x14ac:dyDescent="0.25">
      <c r="A17740" s="1"/>
      <c r="B17740" s="1" t="s">
        <v>5782</v>
      </c>
      <c r="C17740" s="1" t="s">
        <v>5783</v>
      </c>
      <c r="D17740" s="22" t="str">
        <f>HYPERLINK("https://rhld.insurance.arkansas.gov/NPILookup?Npi=1851797625","1851797625")</f>
        <v>1851797625</v>
      </c>
      <c r="E17740" s="1" t="s">
        <v>12175</v>
      </c>
      <c r="F17740" s="2"/>
      <c r="G17740" s="2"/>
      <c r="H17740" s="2"/>
    </row>
    <row r="17741" spans="1:8" x14ac:dyDescent="0.25">
      <c r="A17741" s="1"/>
      <c r="B17741" s="1" t="s">
        <v>5782</v>
      </c>
      <c r="C17741" s="1" t="s">
        <v>5783</v>
      </c>
      <c r="D17741" s="22" t="str">
        <f>HYPERLINK("https://rhld.insurance.arkansas.gov/NPILookup?Npi=1851820013","1851820013")</f>
        <v>1851820013</v>
      </c>
      <c r="E17741" s="1" t="s">
        <v>6702</v>
      </c>
      <c r="F17741" s="2"/>
      <c r="G17741" s="2"/>
      <c r="H17741" s="2"/>
    </row>
    <row r="17742" spans="1:8" x14ac:dyDescent="0.25">
      <c r="A17742" s="1"/>
      <c r="B17742" s="1" t="s">
        <v>5782</v>
      </c>
      <c r="C17742" s="1" t="s">
        <v>5783</v>
      </c>
      <c r="D17742" s="22" t="str">
        <f>HYPERLINK("https://rhld.insurance.arkansas.gov/NPILookup?Npi=1851856959","1851856959")</f>
        <v>1851856959</v>
      </c>
      <c r="E17742" s="1" t="s">
        <v>5197</v>
      </c>
      <c r="F17742" s="2"/>
      <c r="G17742" s="2"/>
      <c r="H17742" s="2"/>
    </row>
    <row r="17743" spans="1:8" x14ac:dyDescent="0.25">
      <c r="A17743" s="1"/>
      <c r="B17743" s="1" t="s">
        <v>5782</v>
      </c>
      <c r="C17743" s="1" t="s">
        <v>5783</v>
      </c>
      <c r="D17743" s="22" t="str">
        <f>HYPERLINK("https://rhld.insurance.arkansas.gov/NPILookup?Npi=1851871115","1851871115")</f>
        <v>1851871115</v>
      </c>
      <c r="E17743" s="1" t="s">
        <v>3398</v>
      </c>
      <c r="F17743" s="2"/>
      <c r="G17743" s="2"/>
      <c r="H17743" s="2"/>
    </row>
    <row r="17744" spans="1:8" x14ac:dyDescent="0.25">
      <c r="A17744" s="1"/>
      <c r="B17744" s="1" t="s">
        <v>5782</v>
      </c>
      <c r="C17744" s="1" t="s">
        <v>5783</v>
      </c>
      <c r="D17744" s="22" t="str">
        <f>HYPERLINK("https://rhld.insurance.arkansas.gov/NPILookup?Npi=1851871305","1851871305")</f>
        <v>1851871305</v>
      </c>
      <c r="E17744" s="1" t="s">
        <v>12176</v>
      </c>
      <c r="F17744" s="2"/>
      <c r="G17744" s="2"/>
      <c r="H17744" s="2"/>
    </row>
    <row r="17745" spans="1:8" x14ac:dyDescent="0.25">
      <c r="A17745" s="1"/>
      <c r="B17745" s="1" t="s">
        <v>5782</v>
      </c>
      <c r="C17745" s="1" t="s">
        <v>5783</v>
      </c>
      <c r="D17745" s="22" t="str">
        <f>HYPERLINK("https://rhld.insurance.arkansas.gov/NPILookup?Npi=1851875413","1851875413")</f>
        <v>1851875413</v>
      </c>
      <c r="E17745" s="1" t="s">
        <v>23558</v>
      </c>
      <c r="F17745" s="2"/>
      <c r="G17745" s="2"/>
      <c r="H17745" s="2"/>
    </row>
    <row r="17746" spans="1:8" x14ac:dyDescent="0.25">
      <c r="A17746" s="1"/>
      <c r="B17746" s="1" t="s">
        <v>5782</v>
      </c>
      <c r="C17746" s="1" t="s">
        <v>5783</v>
      </c>
      <c r="D17746" s="22" t="str">
        <f>HYPERLINK("https://rhld.insurance.arkansas.gov/NPILookup?Npi=1851877849","1851877849")</f>
        <v>1851877849</v>
      </c>
      <c r="E17746" s="1" t="s">
        <v>4489</v>
      </c>
      <c r="F17746" s="2"/>
      <c r="G17746" s="2"/>
      <c r="H17746" s="2"/>
    </row>
    <row r="17747" spans="1:8" x14ac:dyDescent="0.25">
      <c r="A17747" s="1"/>
      <c r="B17747" s="1" t="s">
        <v>5782</v>
      </c>
      <c r="C17747" s="1" t="s">
        <v>5783</v>
      </c>
      <c r="D17747" s="22" t="str">
        <f>HYPERLINK("https://rhld.insurance.arkansas.gov/NPILookup?Npi=1851890248","1851890248")</f>
        <v>1851890248</v>
      </c>
      <c r="E17747" s="1" t="s">
        <v>3441</v>
      </c>
      <c r="F17747" s="2"/>
      <c r="G17747" s="2"/>
      <c r="H17747" s="2"/>
    </row>
    <row r="17748" spans="1:8" x14ac:dyDescent="0.25">
      <c r="A17748" s="1"/>
      <c r="B17748" s="1" t="s">
        <v>5782</v>
      </c>
      <c r="C17748" s="1" t="s">
        <v>5783</v>
      </c>
      <c r="D17748" s="22" t="str">
        <f>HYPERLINK("https://rhld.insurance.arkansas.gov/NPILookup?Npi=1851913016","1851913016")</f>
        <v>1851913016</v>
      </c>
      <c r="E17748" s="1" t="s">
        <v>6703</v>
      </c>
      <c r="F17748" s="2"/>
      <c r="G17748" s="2"/>
      <c r="H17748" s="2"/>
    </row>
    <row r="17749" spans="1:8" x14ac:dyDescent="0.25">
      <c r="A17749" s="1"/>
      <c r="B17749" s="1" t="s">
        <v>5782</v>
      </c>
      <c r="C17749" s="1" t="s">
        <v>5783</v>
      </c>
      <c r="D17749" s="22" t="str">
        <f>HYPERLINK("https://rhld.insurance.arkansas.gov/NPILookup?Npi=1851918924","1851918924")</f>
        <v>1851918924</v>
      </c>
      <c r="E17749" s="1" t="s">
        <v>6704</v>
      </c>
      <c r="F17749" s="2"/>
      <c r="G17749" s="2"/>
      <c r="H17749" s="2"/>
    </row>
    <row r="17750" spans="1:8" x14ac:dyDescent="0.25">
      <c r="A17750" s="1"/>
      <c r="B17750" s="1" t="s">
        <v>5782</v>
      </c>
      <c r="C17750" s="1" t="s">
        <v>5783</v>
      </c>
      <c r="D17750" s="22" t="str">
        <f>HYPERLINK("https://rhld.insurance.arkansas.gov/NPILookup?Npi=1851923171","1851923171")</f>
        <v>1851923171</v>
      </c>
      <c r="E17750" s="1" t="s">
        <v>23559</v>
      </c>
      <c r="F17750" s="2"/>
      <c r="G17750" s="2"/>
      <c r="H17750" s="2"/>
    </row>
    <row r="17751" spans="1:8" x14ac:dyDescent="0.25">
      <c r="A17751" s="1"/>
      <c r="B17751" s="1" t="s">
        <v>5782</v>
      </c>
      <c r="C17751" s="1" t="s">
        <v>5783</v>
      </c>
      <c r="D17751" s="22" t="str">
        <f>HYPERLINK("https://rhld.insurance.arkansas.gov/NPILookup?Npi=1851937171","1851937171")</f>
        <v>1851937171</v>
      </c>
      <c r="E17751" s="1" t="s">
        <v>23560</v>
      </c>
      <c r="F17751" s="2"/>
      <c r="G17751" s="2"/>
      <c r="H17751" s="2"/>
    </row>
    <row r="17752" spans="1:8" x14ac:dyDescent="0.25">
      <c r="A17752" s="1"/>
      <c r="B17752" s="1" t="s">
        <v>5782</v>
      </c>
      <c r="C17752" s="1" t="s">
        <v>5783</v>
      </c>
      <c r="D17752" s="22" t="str">
        <f>HYPERLINK("https://rhld.insurance.arkansas.gov/NPILookup?Npi=1851937528","1851937528")</f>
        <v>1851937528</v>
      </c>
      <c r="E17752" s="1" t="s">
        <v>12177</v>
      </c>
      <c r="F17752" s="2"/>
      <c r="G17752" s="2"/>
      <c r="H17752" s="2"/>
    </row>
    <row r="17753" spans="1:8" x14ac:dyDescent="0.25">
      <c r="A17753" s="1"/>
      <c r="B17753" s="1" t="s">
        <v>5782</v>
      </c>
      <c r="C17753" s="1" t="s">
        <v>5783</v>
      </c>
      <c r="D17753" s="22" t="str">
        <f>HYPERLINK("https://rhld.insurance.arkansas.gov/NPILookup?Npi=1851939235","1851939235")</f>
        <v>1851939235</v>
      </c>
      <c r="E17753" s="1" t="s">
        <v>23561</v>
      </c>
      <c r="F17753" s="2"/>
      <c r="G17753" s="2"/>
      <c r="H17753" s="2"/>
    </row>
    <row r="17754" spans="1:8" x14ac:dyDescent="0.25">
      <c r="A17754" s="1"/>
      <c r="B17754" s="1" t="s">
        <v>5782</v>
      </c>
      <c r="C17754" s="1" t="s">
        <v>5783</v>
      </c>
      <c r="D17754" s="22" t="str">
        <f>HYPERLINK("https://rhld.insurance.arkansas.gov/NPILookup?Npi=1851943872","1851943872")</f>
        <v>1851943872</v>
      </c>
      <c r="E17754" s="1" t="s">
        <v>12178</v>
      </c>
      <c r="F17754" s="2"/>
      <c r="G17754" s="2"/>
      <c r="H17754" s="2"/>
    </row>
    <row r="17755" spans="1:8" x14ac:dyDescent="0.25">
      <c r="A17755" s="1"/>
      <c r="B17755" s="1" t="s">
        <v>5782</v>
      </c>
      <c r="C17755" s="1" t="s">
        <v>5783</v>
      </c>
      <c r="D17755" s="22" t="str">
        <f>HYPERLINK("https://rhld.insurance.arkansas.gov/NPILookup?Npi=1851945083","1851945083")</f>
        <v>1851945083</v>
      </c>
      <c r="E17755" s="1" t="s">
        <v>23562</v>
      </c>
      <c r="F17755" s="2"/>
      <c r="G17755" s="2"/>
      <c r="H17755" s="2"/>
    </row>
    <row r="17756" spans="1:8" x14ac:dyDescent="0.25">
      <c r="A17756" s="1"/>
      <c r="B17756" s="1" t="s">
        <v>5782</v>
      </c>
      <c r="C17756" s="1" t="s">
        <v>5783</v>
      </c>
      <c r="D17756" s="22" t="str">
        <f>HYPERLINK("https://rhld.insurance.arkansas.gov/NPILookup?Npi=1851956734","1851956734")</f>
        <v>1851956734</v>
      </c>
      <c r="E17756" s="1" t="s">
        <v>23563</v>
      </c>
      <c r="F17756" s="2"/>
      <c r="G17756" s="2"/>
      <c r="H17756" s="2"/>
    </row>
    <row r="17757" spans="1:8" x14ac:dyDescent="0.25">
      <c r="A17757" s="1"/>
      <c r="B17757" s="1" t="s">
        <v>5782</v>
      </c>
      <c r="C17757" s="1" t="s">
        <v>5783</v>
      </c>
      <c r="D17757" s="22" t="str">
        <f>HYPERLINK("https://rhld.insurance.arkansas.gov/NPILookup?Npi=1851971881","1851971881")</f>
        <v>1851971881</v>
      </c>
      <c r="E17757" s="1" t="s">
        <v>12179</v>
      </c>
      <c r="F17757" s="2"/>
      <c r="G17757" s="2"/>
      <c r="H17757" s="2"/>
    </row>
    <row r="17758" spans="1:8" x14ac:dyDescent="0.25">
      <c r="A17758" s="1"/>
      <c r="B17758" s="1" t="s">
        <v>5782</v>
      </c>
      <c r="C17758" s="1" t="s">
        <v>5783</v>
      </c>
      <c r="D17758" s="22" t="str">
        <f>HYPERLINK("https://rhld.insurance.arkansas.gov/NPILookup?Npi=1851973747","1851973747")</f>
        <v>1851973747</v>
      </c>
      <c r="E17758" s="1" t="s">
        <v>23564</v>
      </c>
      <c r="F17758" s="2"/>
      <c r="G17758" s="2"/>
      <c r="H17758" s="2"/>
    </row>
    <row r="17759" spans="1:8" x14ac:dyDescent="0.25">
      <c r="A17759" s="1"/>
      <c r="B17759" s="1" t="s">
        <v>5782</v>
      </c>
      <c r="C17759" s="1" t="s">
        <v>5783</v>
      </c>
      <c r="D17759" s="22" t="str">
        <f>HYPERLINK("https://rhld.insurance.arkansas.gov/NPILookup?Npi=1851974265","1851974265")</f>
        <v>1851974265</v>
      </c>
      <c r="E17759" s="1" t="s">
        <v>12180</v>
      </c>
      <c r="F17759" s="2"/>
      <c r="G17759" s="2"/>
      <c r="H17759" s="2"/>
    </row>
    <row r="17760" spans="1:8" x14ac:dyDescent="0.25">
      <c r="A17760" s="1"/>
      <c r="B17760" s="1" t="s">
        <v>5782</v>
      </c>
      <c r="C17760" s="1" t="s">
        <v>5783</v>
      </c>
      <c r="D17760" s="22" t="str">
        <f>HYPERLINK("https://rhld.insurance.arkansas.gov/NPILookup?Npi=1851988794","1851988794")</f>
        <v>1851988794</v>
      </c>
      <c r="E17760" s="1" t="s">
        <v>6705</v>
      </c>
      <c r="F17760" s="2"/>
      <c r="G17760" s="2"/>
      <c r="H17760" s="2"/>
    </row>
    <row r="17761" spans="1:8" x14ac:dyDescent="0.25">
      <c r="A17761" s="1"/>
      <c r="B17761" s="1" t="s">
        <v>5782</v>
      </c>
      <c r="C17761" s="1" t="s">
        <v>5783</v>
      </c>
      <c r="D17761" s="22" t="str">
        <f>HYPERLINK("https://rhld.insurance.arkansas.gov/NPILookup?Npi=1851990048","1851990048")</f>
        <v>1851990048</v>
      </c>
      <c r="E17761" s="1" t="s">
        <v>23565</v>
      </c>
      <c r="F17761" s="2"/>
      <c r="G17761" s="2"/>
      <c r="H17761" s="2"/>
    </row>
    <row r="17762" spans="1:8" x14ac:dyDescent="0.25">
      <c r="A17762" s="1"/>
      <c r="B17762" s="1" t="s">
        <v>5782</v>
      </c>
      <c r="C17762" s="1" t="s">
        <v>5783</v>
      </c>
      <c r="D17762" s="22" t="str">
        <f>HYPERLINK("https://rhld.insurance.arkansas.gov/NPILookup?Npi=1861037970","1861037970")</f>
        <v>1861037970</v>
      </c>
      <c r="E17762" s="1" t="s">
        <v>6706</v>
      </c>
      <c r="F17762" s="2"/>
      <c r="G17762" s="2"/>
      <c r="H17762" s="2"/>
    </row>
    <row r="17763" spans="1:8" x14ac:dyDescent="0.25">
      <c r="A17763" s="1"/>
      <c r="B17763" s="1" t="s">
        <v>5782</v>
      </c>
      <c r="C17763" s="1" t="s">
        <v>5783</v>
      </c>
      <c r="D17763" s="22" t="str">
        <f>HYPERLINK("https://rhld.insurance.arkansas.gov/NPILookup?Npi=1861050858","1861050858")</f>
        <v>1861050858</v>
      </c>
      <c r="E17763" s="1" t="s">
        <v>6707</v>
      </c>
      <c r="F17763" s="2"/>
      <c r="G17763" s="2"/>
      <c r="H17763" s="2"/>
    </row>
    <row r="17764" spans="1:8" x14ac:dyDescent="0.25">
      <c r="A17764" s="1"/>
      <c r="B17764" s="1" t="s">
        <v>5782</v>
      </c>
      <c r="C17764" s="1" t="s">
        <v>5783</v>
      </c>
      <c r="D17764" s="22" t="str">
        <f>HYPERLINK("https://rhld.insurance.arkansas.gov/NPILookup?Npi=1861060360","1861060360")</f>
        <v>1861060360</v>
      </c>
      <c r="E17764" s="1" t="s">
        <v>23566</v>
      </c>
      <c r="F17764" s="2"/>
      <c r="G17764" s="2"/>
      <c r="H17764" s="2"/>
    </row>
    <row r="17765" spans="1:8" x14ac:dyDescent="0.25">
      <c r="A17765" s="1"/>
      <c r="B17765" s="1" t="s">
        <v>5782</v>
      </c>
      <c r="C17765" s="1" t="s">
        <v>5783</v>
      </c>
      <c r="D17765" s="22" t="str">
        <f>HYPERLINK("https://rhld.insurance.arkansas.gov/NPILookup?Npi=1861067548","1861067548")</f>
        <v>1861067548</v>
      </c>
      <c r="E17765" s="1" t="s">
        <v>6708</v>
      </c>
      <c r="F17765" s="2"/>
      <c r="G17765" s="2"/>
      <c r="H17765" s="2"/>
    </row>
    <row r="17766" spans="1:8" x14ac:dyDescent="0.25">
      <c r="A17766" s="1"/>
      <c r="B17766" s="1" t="s">
        <v>5782</v>
      </c>
      <c r="C17766" s="1" t="s">
        <v>5783</v>
      </c>
      <c r="D17766" s="22" t="str">
        <f>HYPERLINK("https://rhld.insurance.arkansas.gov/NPILookup?Npi=1861086993","1861086993")</f>
        <v>1861086993</v>
      </c>
      <c r="E17766" s="1" t="s">
        <v>23567</v>
      </c>
      <c r="F17766" s="2"/>
      <c r="G17766" s="2"/>
      <c r="H17766" s="2"/>
    </row>
    <row r="17767" spans="1:8" x14ac:dyDescent="0.25">
      <c r="A17767" s="1"/>
      <c r="B17767" s="1" t="s">
        <v>5782</v>
      </c>
      <c r="C17767" s="1" t="s">
        <v>5783</v>
      </c>
      <c r="D17767" s="22" t="str">
        <f>HYPERLINK("https://rhld.insurance.arkansas.gov/NPILookup?Npi=1861087033","1861087033")</f>
        <v>1861087033</v>
      </c>
      <c r="E17767" s="1" t="s">
        <v>23568</v>
      </c>
      <c r="F17767" s="2"/>
      <c r="G17767" s="2"/>
      <c r="H17767" s="2"/>
    </row>
    <row r="17768" spans="1:8" x14ac:dyDescent="0.25">
      <c r="A17768" s="1"/>
      <c r="B17768" s="1" t="s">
        <v>5782</v>
      </c>
      <c r="C17768" s="1" t="s">
        <v>5783</v>
      </c>
      <c r="D17768" s="22" t="str">
        <f>HYPERLINK("https://rhld.insurance.arkansas.gov/NPILookup?Npi=1861117103","1861117103")</f>
        <v>1861117103</v>
      </c>
      <c r="E17768" s="1" t="s">
        <v>23569</v>
      </c>
      <c r="F17768" s="2"/>
      <c r="G17768" s="2"/>
      <c r="H17768" s="2"/>
    </row>
    <row r="17769" spans="1:8" x14ac:dyDescent="0.25">
      <c r="A17769" s="1"/>
      <c r="B17769" s="1" t="s">
        <v>5782</v>
      </c>
      <c r="C17769" s="1" t="s">
        <v>5783</v>
      </c>
      <c r="D17769" s="22" t="str">
        <f>HYPERLINK("https://rhld.insurance.arkansas.gov/NPILookup?Npi=1861126971","1861126971")</f>
        <v>1861126971</v>
      </c>
      <c r="E17769" s="1" t="s">
        <v>23570</v>
      </c>
      <c r="F17769" s="2"/>
      <c r="G17769" s="2"/>
      <c r="H17769" s="2"/>
    </row>
    <row r="17770" spans="1:8" x14ac:dyDescent="0.25">
      <c r="A17770" s="1"/>
      <c r="B17770" s="1" t="s">
        <v>5782</v>
      </c>
      <c r="C17770" s="1" t="s">
        <v>5783</v>
      </c>
      <c r="D17770" s="22" t="str">
        <f>HYPERLINK("https://rhld.insurance.arkansas.gov/NPILookup?Npi=1861128076","1861128076")</f>
        <v>1861128076</v>
      </c>
      <c r="E17770" s="1" t="s">
        <v>23571</v>
      </c>
      <c r="F17770" s="2"/>
      <c r="G17770" s="2"/>
      <c r="H17770" s="2"/>
    </row>
    <row r="17771" spans="1:8" x14ac:dyDescent="0.25">
      <c r="A17771" s="1"/>
      <c r="B17771" s="1" t="s">
        <v>5782</v>
      </c>
      <c r="C17771" s="1" t="s">
        <v>5783</v>
      </c>
      <c r="D17771" s="22" t="str">
        <f>HYPERLINK("https://rhld.insurance.arkansas.gov/NPILookup?Npi=1861131252","1861131252")</f>
        <v>1861131252</v>
      </c>
      <c r="E17771" s="1" t="s">
        <v>23572</v>
      </c>
      <c r="F17771" s="2"/>
      <c r="G17771" s="2"/>
      <c r="H17771" s="2"/>
    </row>
    <row r="17772" spans="1:8" x14ac:dyDescent="0.25">
      <c r="A17772" s="1"/>
      <c r="B17772" s="1" t="s">
        <v>5782</v>
      </c>
      <c r="C17772" s="1" t="s">
        <v>5783</v>
      </c>
      <c r="D17772" s="22" t="str">
        <f>HYPERLINK("https://rhld.insurance.arkansas.gov/NPILookup?Npi=1861139081","1861139081")</f>
        <v>1861139081</v>
      </c>
      <c r="E17772" s="1" t="s">
        <v>23573</v>
      </c>
      <c r="F17772" s="2"/>
      <c r="G17772" s="2"/>
      <c r="H17772" s="2"/>
    </row>
    <row r="17773" spans="1:8" x14ac:dyDescent="0.25">
      <c r="A17773" s="1"/>
      <c r="B17773" s="1" t="s">
        <v>5782</v>
      </c>
      <c r="C17773" s="1" t="s">
        <v>5783</v>
      </c>
      <c r="D17773" s="22" t="str">
        <f>HYPERLINK("https://rhld.insurance.arkansas.gov/NPILookup?Npi=1861146235","1861146235")</f>
        <v>1861146235</v>
      </c>
      <c r="E17773" s="1" t="s">
        <v>23574</v>
      </c>
      <c r="F17773" s="2"/>
      <c r="G17773" s="2"/>
      <c r="H17773" s="2"/>
    </row>
    <row r="17774" spans="1:8" x14ac:dyDescent="0.25">
      <c r="A17774" s="1"/>
      <c r="B17774" s="1" t="s">
        <v>5782</v>
      </c>
      <c r="C17774" s="1" t="s">
        <v>5783</v>
      </c>
      <c r="D17774" s="22" t="str">
        <f>HYPERLINK("https://rhld.insurance.arkansas.gov/NPILookup?Npi=1861157067","1861157067")</f>
        <v>1861157067</v>
      </c>
      <c r="E17774" s="1" t="s">
        <v>23575</v>
      </c>
      <c r="F17774" s="2"/>
      <c r="G17774" s="2"/>
      <c r="H17774" s="2"/>
    </row>
    <row r="17775" spans="1:8" x14ac:dyDescent="0.25">
      <c r="A17775" s="1"/>
      <c r="B17775" s="1" t="s">
        <v>5782</v>
      </c>
      <c r="C17775" s="1" t="s">
        <v>5783</v>
      </c>
      <c r="D17775" s="22" t="str">
        <f>HYPERLINK("https://rhld.insurance.arkansas.gov/NPILookup?Npi=1861161101","1861161101")</f>
        <v>1861161101</v>
      </c>
      <c r="E17775" s="1" t="s">
        <v>12181</v>
      </c>
      <c r="F17775" s="2"/>
      <c r="G17775" s="2"/>
      <c r="H17775" s="2"/>
    </row>
    <row r="17776" spans="1:8" x14ac:dyDescent="0.25">
      <c r="A17776" s="1"/>
      <c r="B17776" s="1" t="s">
        <v>5782</v>
      </c>
      <c r="C17776" s="1" t="s">
        <v>5783</v>
      </c>
      <c r="D17776" s="22" t="str">
        <f>HYPERLINK("https://rhld.insurance.arkansas.gov/NPILookup?Npi=1861186181","1861186181")</f>
        <v>1861186181</v>
      </c>
      <c r="E17776" s="1" t="s">
        <v>6710</v>
      </c>
      <c r="F17776" s="2"/>
      <c r="G17776" s="2"/>
      <c r="H17776" s="2"/>
    </row>
    <row r="17777" spans="1:8" x14ac:dyDescent="0.25">
      <c r="A17777" s="1"/>
      <c r="B17777" s="1" t="s">
        <v>5782</v>
      </c>
      <c r="C17777" s="1" t="s">
        <v>5783</v>
      </c>
      <c r="D17777" s="22" t="str">
        <f>HYPERLINK("https://rhld.insurance.arkansas.gov/NPILookup?Npi=1861190647","1861190647")</f>
        <v>1861190647</v>
      </c>
      <c r="E17777" s="1" t="s">
        <v>6711</v>
      </c>
      <c r="F17777" s="2"/>
      <c r="G17777" s="2"/>
      <c r="H17777" s="2"/>
    </row>
    <row r="17778" spans="1:8" x14ac:dyDescent="0.25">
      <c r="A17778" s="1"/>
      <c r="B17778" s="1" t="s">
        <v>5782</v>
      </c>
      <c r="C17778" s="1" t="s">
        <v>5783</v>
      </c>
      <c r="D17778" s="22" t="str">
        <f>HYPERLINK("https://rhld.insurance.arkansas.gov/NPILookup?Npi=1861277014","1861277014")</f>
        <v>1861277014</v>
      </c>
      <c r="E17778" s="1" t="s">
        <v>6712</v>
      </c>
      <c r="F17778" s="2"/>
      <c r="G17778" s="2"/>
      <c r="H17778" s="2"/>
    </row>
    <row r="17779" spans="1:8" x14ac:dyDescent="0.25">
      <c r="A17779" s="1"/>
      <c r="B17779" s="1" t="s">
        <v>5782</v>
      </c>
      <c r="C17779" s="1" t="s">
        <v>5783</v>
      </c>
      <c r="D17779" s="22" t="str">
        <f>HYPERLINK("https://rhld.insurance.arkansas.gov/NPILookup?Npi=1861400608","1861400608")</f>
        <v>1861400608</v>
      </c>
      <c r="E17779" s="1" t="s">
        <v>23576</v>
      </c>
      <c r="F17779" s="2"/>
      <c r="G17779" s="2"/>
      <c r="H17779" s="2"/>
    </row>
    <row r="17780" spans="1:8" x14ac:dyDescent="0.25">
      <c r="A17780" s="1"/>
      <c r="B17780" s="1" t="s">
        <v>5782</v>
      </c>
      <c r="C17780" s="1" t="s">
        <v>5783</v>
      </c>
      <c r="D17780" s="22" t="str">
        <f>HYPERLINK("https://rhld.insurance.arkansas.gov/NPILookup?Npi=1861407520","1861407520")</f>
        <v>1861407520</v>
      </c>
      <c r="E17780" s="1" t="s">
        <v>23577</v>
      </c>
      <c r="F17780" s="2"/>
      <c r="G17780" s="2"/>
      <c r="H17780" s="2"/>
    </row>
    <row r="17781" spans="1:8" x14ac:dyDescent="0.25">
      <c r="A17781" s="1"/>
      <c r="B17781" s="1" t="s">
        <v>5782</v>
      </c>
      <c r="C17781" s="1" t="s">
        <v>5783</v>
      </c>
      <c r="D17781" s="22" t="str">
        <f>HYPERLINK("https://rhld.insurance.arkansas.gov/NPILookup?Npi=1861431082","1861431082")</f>
        <v>1861431082</v>
      </c>
      <c r="E17781" s="1" t="s">
        <v>12182</v>
      </c>
      <c r="F17781" s="2"/>
      <c r="G17781" s="2"/>
      <c r="H17781" s="2"/>
    </row>
    <row r="17782" spans="1:8" x14ac:dyDescent="0.25">
      <c r="A17782" s="1"/>
      <c r="B17782" s="1" t="s">
        <v>5782</v>
      </c>
      <c r="C17782" s="1" t="s">
        <v>5783</v>
      </c>
      <c r="D17782" s="22" t="str">
        <f>HYPERLINK("https://rhld.insurance.arkansas.gov/NPILookup?Npi=1861441198","1861441198")</f>
        <v>1861441198</v>
      </c>
      <c r="E17782" s="1" t="s">
        <v>20832</v>
      </c>
      <c r="F17782" s="2"/>
      <c r="G17782" s="2"/>
      <c r="H17782" s="2"/>
    </row>
    <row r="17783" spans="1:8" x14ac:dyDescent="0.25">
      <c r="A17783" s="1"/>
      <c r="B17783" s="1" t="s">
        <v>5782</v>
      </c>
      <c r="C17783" s="1" t="s">
        <v>5783</v>
      </c>
      <c r="D17783" s="22" t="str">
        <f>HYPERLINK("https://rhld.insurance.arkansas.gov/NPILookup?Npi=1861452849","1861452849")</f>
        <v>1861452849</v>
      </c>
      <c r="E17783" s="1" t="s">
        <v>10384</v>
      </c>
      <c r="F17783" s="2"/>
      <c r="G17783" s="2"/>
      <c r="H17783" s="2"/>
    </row>
    <row r="17784" spans="1:8" x14ac:dyDescent="0.25">
      <c r="A17784" s="1"/>
      <c r="B17784" s="1" t="s">
        <v>5782</v>
      </c>
      <c r="C17784" s="1" t="s">
        <v>5783</v>
      </c>
      <c r="D17784" s="22" t="str">
        <f>HYPERLINK("https://rhld.insurance.arkansas.gov/NPILookup?Npi=1861473449","1861473449")</f>
        <v>1861473449</v>
      </c>
      <c r="E17784" s="1" t="s">
        <v>23578</v>
      </c>
      <c r="F17784" s="2"/>
      <c r="G17784" s="2"/>
      <c r="H17784" s="2"/>
    </row>
    <row r="17785" spans="1:8" x14ac:dyDescent="0.25">
      <c r="A17785" s="1"/>
      <c r="B17785" s="1" t="s">
        <v>5782</v>
      </c>
      <c r="C17785" s="1" t="s">
        <v>5783</v>
      </c>
      <c r="D17785" s="22" t="str">
        <f>HYPERLINK("https://rhld.insurance.arkansas.gov/NPILookup?Npi=1861506271","1861506271")</f>
        <v>1861506271</v>
      </c>
      <c r="E17785" s="1" t="s">
        <v>12183</v>
      </c>
      <c r="F17785" s="2"/>
      <c r="G17785" s="2"/>
      <c r="H17785" s="2"/>
    </row>
    <row r="17786" spans="1:8" x14ac:dyDescent="0.25">
      <c r="A17786" s="1"/>
      <c r="B17786" s="1" t="s">
        <v>5782</v>
      </c>
      <c r="C17786" s="1" t="s">
        <v>5783</v>
      </c>
      <c r="D17786" s="22" t="str">
        <f>HYPERLINK("https://rhld.insurance.arkansas.gov/NPILookup?Npi=1861565574","1861565574")</f>
        <v>1861565574</v>
      </c>
      <c r="E17786" s="1" t="s">
        <v>3399</v>
      </c>
      <c r="F17786" s="2"/>
      <c r="G17786" s="2"/>
      <c r="H17786" s="2"/>
    </row>
    <row r="17787" spans="1:8" x14ac:dyDescent="0.25">
      <c r="A17787" s="1"/>
      <c r="B17787" s="1" t="s">
        <v>5782</v>
      </c>
      <c r="C17787" s="1" t="s">
        <v>5783</v>
      </c>
      <c r="D17787" s="22" t="str">
        <f>HYPERLINK("https://rhld.insurance.arkansas.gov/NPILookup?Npi=1861572380","1861572380")</f>
        <v>1861572380</v>
      </c>
      <c r="E17787" s="1" t="s">
        <v>12184</v>
      </c>
      <c r="F17787" s="2"/>
      <c r="G17787" s="2"/>
      <c r="H17787" s="2"/>
    </row>
    <row r="17788" spans="1:8" x14ac:dyDescent="0.25">
      <c r="A17788" s="1"/>
      <c r="B17788" s="1" t="s">
        <v>5782</v>
      </c>
      <c r="C17788" s="1" t="s">
        <v>5783</v>
      </c>
      <c r="D17788" s="22" t="str">
        <f>HYPERLINK("https://rhld.insurance.arkansas.gov/NPILookup?Npi=1861580805","1861580805")</f>
        <v>1861580805</v>
      </c>
      <c r="E17788" s="1" t="s">
        <v>23579</v>
      </c>
      <c r="F17788" s="2"/>
      <c r="G17788" s="2"/>
      <c r="H17788" s="2"/>
    </row>
    <row r="17789" spans="1:8" x14ac:dyDescent="0.25">
      <c r="A17789" s="1"/>
      <c r="B17789" s="1" t="s">
        <v>5782</v>
      </c>
      <c r="C17789" s="1" t="s">
        <v>5783</v>
      </c>
      <c r="D17789" s="22" t="str">
        <f>HYPERLINK("https://rhld.insurance.arkansas.gov/NPILookup?Npi=1861586018","1861586018")</f>
        <v>1861586018</v>
      </c>
      <c r="E17789" s="1" t="s">
        <v>1677</v>
      </c>
      <c r="F17789" s="2"/>
      <c r="G17789" s="2"/>
      <c r="H17789" s="2"/>
    </row>
    <row r="17790" spans="1:8" x14ac:dyDescent="0.25">
      <c r="A17790" s="1"/>
      <c r="B17790" s="1" t="s">
        <v>5782</v>
      </c>
      <c r="C17790" s="1" t="s">
        <v>5783</v>
      </c>
      <c r="D17790" s="22" t="str">
        <f>HYPERLINK("https://rhld.insurance.arkansas.gov/NPILookup?Npi=1861594483","1861594483")</f>
        <v>1861594483</v>
      </c>
      <c r="E17790" s="1" t="s">
        <v>23580</v>
      </c>
      <c r="F17790" s="2"/>
      <c r="G17790" s="2"/>
      <c r="H17790" s="2"/>
    </row>
    <row r="17791" spans="1:8" x14ac:dyDescent="0.25">
      <c r="A17791" s="1"/>
      <c r="B17791" s="1" t="s">
        <v>5782</v>
      </c>
      <c r="C17791" s="1" t="s">
        <v>5783</v>
      </c>
      <c r="D17791" s="22" t="str">
        <f>HYPERLINK("https://rhld.insurance.arkansas.gov/NPILookup?Npi=1861604456","1861604456")</f>
        <v>1861604456</v>
      </c>
      <c r="E17791" s="1" t="s">
        <v>23581</v>
      </c>
      <c r="F17791" s="2"/>
      <c r="G17791" s="2"/>
      <c r="H17791" s="2"/>
    </row>
    <row r="17792" spans="1:8" x14ac:dyDescent="0.25">
      <c r="A17792" s="1"/>
      <c r="B17792" s="1" t="s">
        <v>5782</v>
      </c>
      <c r="C17792" s="1" t="s">
        <v>5783</v>
      </c>
      <c r="D17792" s="22" t="str">
        <f>HYPERLINK("https://rhld.insurance.arkansas.gov/NPILookup?Npi=1861607319","1861607319")</f>
        <v>1861607319</v>
      </c>
      <c r="E17792" s="1" t="s">
        <v>23582</v>
      </c>
      <c r="F17792" s="2"/>
      <c r="G17792" s="2"/>
      <c r="H17792" s="2"/>
    </row>
    <row r="17793" spans="1:8" x14ac:dyDescent="0.25">
      <c r="A17793" s="1"/>
      <c r="B17793" s="1" t="s">
        <v>5782</v>
      </c>
      <c r="C17793" s="1" t="s">
        <v>5783</v>
      </c>
      <c r="D17793" s="22" t="str">
        <f>HYPERLINK("https://rhld.insurance.arkansas.gov/NPILookup?Npi=1861630519","1861630519")</f>
        <v>1861630519</v>
      </c>
      <c r="E17793" s="1" t="s">
        <v>23583</v>
      </c>
      <c r="F17793" s="2"/>
      <c r="G17793" s="2"/>
      <c r="H17793" s="2"/>
    </row>
    <row r="17794" spans="1:8" x14ac:dyDescent="0.25">
      <c r="A17794" s="1"/>
      <c r="B17794" s="1" t="s">
        <v>5782</v>
      </c>
      <c r="C17794" s="1" t="s">
        <v>5783</v>
      </c>
      <c r="D17794" s="22" t="str">
        <f>HYPERLINK("https://rhld.insurance.arkansas.gov/NPILookup?Npi=1861639940","1861639940")</f>
        <v>1861639940</v>
      </c>
      <c r="E17794" s="1" t="s">
        <v>23584</v>
      </c>
      <c r="F17794" s="2"/>
      <c r="G17794" s="2"/>
      <c r="H17794" s="2"/>
    </row>
    <row r="17795" spans="1:8" x14ac:dyDescent="0.25">
      <c r="A17795" s="1"/>
      <c r="B17795" s="1" t="s">
        <v>5782</v>
      </c>
      <c r="C17795" s="1" t="s">
        <v>5783</v>
      </c>
      <c r="D17795" s="22" t="str">
        <f>HYPERLINK("https://rhld.insurance.arkansas.gov/NPILookup?Npi=1861641144","1861641144")</f>
        <v>1861641144</v>
      </c>
      <c r="E17795" s="1" t="s">
        <v>311</v>
      </c>
      <c r="F17795" s="2"/>
      <c r="G17795" s="2"/>
      <c r="H17795" s="2"/>
    </row>
    <row r="17796" spans="1:8" x14ac:dyDescent="0.25">
      <c r="A17796" s="1"/>
      <c r="B17796" s="1" t="s">
        <v>5782</v>
      </c>
      <c r="C17796" s="1" t="s">
        <v>5783</v>
      </c>
      <c r="D17796" s="22" t="str">
        <f>HYPERLINK("https://rhld.insurance.arkansas.gov/NPILookup?Npi=1861643108","1861643108")</f>
        <v>1861643108</v>
      </c>
      <c r="E17796" s="1" t="s">
        <v>31955</v>
      </c>
      <c r="F17796" s="2"/>
      <c r="G17796" s="2"/>
      <c r="H17796" s="2"/>
    </row>
    <row r="17797" spans="1:8" x14ac:dyDescent="0.25">
      <c r="A17797" s="1"/>
      <c r="B17797" s="1" t="s">
        <v>5782</v>
      </c>
      <c r="C17797" s="1" t="s">
        <v>5783</v>
      </c>
      <c r="D17797" s="22" t="str">
        <f>HYPERLINK("https://rhld.insurance.arkansas.gov/NPILookup?Npi=1861646473","1861646473")</f>
        <v>1861646473</v>
      </c>
      <c r="E17797" s="1" t="s">
        <v>12010</v>
      </c>
      <c r="F17797" s="2"/>
      <c r="G17797" s="2"/>
      <c r="H17797" s="2"/>
    </row>
    <row r="17798" spans="1:8" x14ac:dyDescent="0.25">
      <c r="A17798" s="1"/>
      <c r="B17798" s="1" t="s">
        <v>5782</v>
      </c>
      <c r="C17798" s="1" t="s">
        <v>5783</v>
      </c>
      <c r="D17798" s="22" t="str">
        <f>HYPERLINK("https://rhld.insurance.arkansas.gov/NPILookup?Npi=1861647406","1861647406")</f>
        <v>1861647406</v>
      </c>
      <c r="E17798" s="1" t="s">
        <v>12185</v>
      </c>
      <c r="F17798" s="2"/>
      <c r="G17798" s="2"/>
      <c r="H17798" s="2"/>
    </row>
    <row r="17799" spans="1:8" x14ac:dyDescent="0.25">
      <c r="A17799" s="1"/>
      <c r="B17799" s="1" t="s">
        <v>5782</v>
      </c>
      <c r="C17799" s="1" t="s">
        <v>5783</v>
      </c>
      <c r="D17799" s="22" t="str">
        <f>HYPERLINK("https://rhld.insurance.arkansas.gov/NPILookup?Npi=1861680852","1861680852")</f>
        <v>1861680852</v>
      </c>
      <c r="E17799" s="1" t="s">
        <v>1260</v>
      </c>
      <c r="F17799" s="2"/>
      <c r="G17799" s="2"/>
      <c r="H17799" s="2"/>
    </row>
    <row r="17800" spans="1:8" x14ac:dyDescent="0.25">
      <c r="A17800" s="1"/>
      <c r="B17800" s="1" t="s">
        <v>5782</v>
      </c>
      <c r="C17800" s="1" t="s">
        <v>5783</v>
      </c>
      <c r="D17800" s="22" t="str">
        <f>HYPERLINK("https://rhld.insurance.arkansas.gov/NPILookup?Npi=1861684060","1861684060")</f>
        <v>1861684060</v>
      </c>
      <c r="E17800" s="1" t="s">
        <v>6713</v>
      </c>
      <c r="F17800" s="2"/>
      <c r="G17800" s="2"/>
      <c r="H17800" s="2"/>
    </row>
    <row r="17801" spans="1:8" x14ac:dyDescent="0.25">
      <c r="A17801" s="1"/>
      <c r="B17801" s="1" t="s">
        <v>5782</v>
      </c>
      <c r="C17801" s="1" t="s">
        <v>5783</v>
      </c>
      <c r="D17801" s="22" t="str">
        <f>HYPERLINK("https://rhld.insurance.arkansas.gov/NPILookup?Npi=1861725707","1861725707")</f>
        <v>1861725707</v>
      </c>
      <c r="E17801" s="1" t="s">
        <v>23585</v>
      </c>
      <c r="F17801" s="2"/>
      <c r="G17801" s="2"/>
      <c r="H17801" s="2"/>
    </row>
    <row r="17802" spans="1:8" x14ac:dyDescent="0.25">
      <c r="A17802" s="1"/>
      <c r="B17802" s="1" t="s">
        <v>5782</v>
      </c>
      <c r="C17802" s="1" t="s">
        <v>5783</v>
      </c>
      <c r="D17802" s="22" t="str">
        <f>HYPERLINK("https://rhld.insurance.arkansas.gov/NPILookup?Npi=1861737256","1861737256")</f>
        <v>1861737256</v>
      </c>
      <c r="E17802" s="1" t="s">
        <v>23586</v>
      </c>
      <c r="F17802" s="2"/>
      <c r="G17802" s="2"/>
      <c r="H17802" s="2"/>
    </row>
    <row r="17803" spans="1:8" x14ac:dyDescent="0.25">
      <c r="A17803" s="1"/>
      <c r="B17803" s="1" t="s">
        <v>5782</v>
      </c>
      <c r="C17803" s="1" t="s">
        <v>5783</v>
      </c>
      <c r="D17803" s="22" t="str">
        <f>HYPERLINK("https://rhld.insurance.arkansas.gov/NPILookup?Npi=1861748964","1861748964")</f>
        <v>1861748964</v>
      </c>
      <c r="E17803" s="1" t="s">
        <v>23587</v>
      </c>
      <c r="F17803" s="2"/>
      <c r="G17803" s="2"/>
      <c r="H17803" s="2"/>
    </row>
    <row r="17804" spans="1:8" x14ac:dyDescent="0.25">
      <c r="A17804" s="1"/>
      <c r="B17804" s="1" t="s">
        <v>5782</v>
      </c>
      <c r="C17804" s="1" t="s">
        <v>5783</v>
      </c>
      <c r="D17804" s="22" t="str">
        <f>HYPERLINK("https://rhld.insurance.arkansas.gov/NPILookup?Npi=1861765505","1861765505")</f>
        <v>1861765505</v>
      </c>
      <c r="E17804" s="1" t="s">
        <v>23588</v>
      </c>
      <c r="F17804" s="2"/>
      <c r="G17804" s="2"/>
      <c r="H17804" s="2"/>
    </row>
    <row r="17805" spans="1:8" x14ac:dyDescent="0.25">
      <c r="A17805" s="1"/>
      <c r="B17805" s="1" t="s">
        <v>5782</v>
      </c>
      <c r="C17805" s="1" t="s">
        <v>5783</v>
      </c>
      <c r="D17805" s="22" t="str">
        <f>HYPERLINK("https://rhld.insurance.arkansas.gov/NPILookup?Npi=1861765976","1861765976")</f>
        <v>1861765976</v>
      </c>
      <c r="E17805" s="1" t="s">
        <v>23589</v>
      </c>
      <c r="F17805" s="2"/>
      <c r="G17805" s="2"/>
      <c r="H17805" s="2"/>
    </row>
    <row r="17806" spans="1:8" x14ac:dyDescent="0.25">
      <c r="A17806" s="1"/>
      <c r="B17806" s="1" t="s">
        <v>5782</v>
      </c>
      <c r="C17806" s="1" t="s">
        <v>5783</v>
      </c>
      <c r="D17806" s="22" t="str">
        <f>HYPERLINK("https://rhld.insurance.arkansas.gov/NPILookup?Npi=1861765984","1861765984")</f>
        <v>1861765984</v>
      </c>
      <c r="E17806" s="1" t="s">
        <v>23590</v>
      </c>
      <c r="F17806" s="2"/>
      <c r="G17806" s="2"/>
      <c r="H17806" s="2"/>
    </row>
    <row r="17807" spans="1:8" x14ac:dyDescent="0.25">
      <c r="A17807" s="1"/>
      <c r="B17807" s="1" t="s">
        <v>5782</v>
      </c>
      <c r="C17807" s="1" t="s">
        <v>5783</v>
      </c>
      <c r="D17807" s="22" t="str">
        <f>HYPERLINK("https://rhld.insurance.arkansas.gov/NPILookup?Npi=1861772634","1861772634")</f>
        <v>1861772634</v>
      </c>
      <c r="E17807" s="1" t="s">
        <v>23591</v>
      </c>
      <c r="F17807" s="2"/>
      <c r="G17807" s="2"/>
      <c r="H17807" s="2"/>
    </row>
    <row r="17808" spans="1:8" x14ac:dyDescent="0.25">
      <c r="A17808" s="1"/>
      <c r="B17808" s="1" t="s">
        <v>5782</v>
      </c>
      <c r="C17808" s="1" t="s">
        <v>5783</v>
      </c>
      <c r="D17808" s="22" t="str">
        <f>HYPERLINK("https://rhld.insurance.arkansas.gov/NPILookup?Npi=1861775041","1861775041")</f>
        <v>1861775041</v>
      </c>
      <c r="E17808" s="1" t="s">
        <v>23592</v>
      </c>
      <c r="F17808" s="2"/>
      <c r="G17808" s="2"/>
      <c r="H17808" s="2"/>
    </row>
    <row r="17809" spans="1:8" x14ac:dyDescent="0.25">
      <c r="A17809" s="1"/>
      <c r="B17809" s="1" t="s">
        <v>5782</v>
      </c>
      <c r="C17809" s="1" t="s">
        <v>5783</v>
      </c>
      <c r="D17809" s="22" t="str">
        <f>HYPERLINK("https://rhld.insurance.arkansas.gov/NPILookup?Npi=1861782245","1861782245")</f>
        <v>1861782245</v>
      </c>
      <c r="E17809" s="1" t="s">
        <v>6714</v>
      </c>
      <c r="F17809" s="2"/>
      <c r="G17809" s="2"/>
      <c r="H17809" s="2"/>
    </row>
    <row r="17810" spans="1:8" x14ac:dyDescent="0.25">
      <c r="A17810" s="1"/>
      <c r="B17810" s="1" t="s">
        <v>5782</v>
      </c>
      <c r="C17810" s="1" t="s">
        <v>5783</v>
      </c>
      <c r="D17810" s="22" t="str">
        <f>HYPERLINK("https://rhld.insurance.arkansas.gov/NPILookup?Npi=1861785578","1861785578")</f>
        <v>1861785578</v>
      </c>
      <c r="E17810" s="1" t="s">
        <v>11577</v>
      </c>
      <c r="F17810" s="2"/>
      <c r="G17810" s="2"/>
      <c r="H17810" s="2"/>
    </row>
    <row r="17811" spans="1:8" x14ac:dyDescent="0.25">
      <c r="A17811" s="1"/>
      <c r="B17811" s="1" t="s">
        <v>5782</v>
      </c>
      <c r="C17811" s="1" t="s">
        <v>5783</v>
      </c>
      <c r="D17811" s="22" t="str">
        <f>HYPERLINK("https://rhld.insurance.arkansas.gov/NPILookup?Npi=1861786436","1861786436")</f>
        <v>1861786436</v>
      </c>
      <c r="E17811" s="1" t="s">
        <v>353</v>
      </c>
      <c r="F17811" s="2"/>
      <c r="G17811" s="2"/>
      <c r="H17811" s="2"/>
    </row>
    <row r="17812" spans="1:8" x14ac:dyDescent="0.25">
      <c r="A17812" s="1"/>
      <c r="B17812" s="1" t="s">
        <v>5782</v>
      </c>
      <c r="C17812" s="1" t="s">
        <v>5783</v>
      </c>
      <c r="D17812" s="22" t="str">
        <f>HYPERLINK("https://rhld.insurance.arkansas.gov/NPILookup?Npi=1861797227","1861797227")</f>
        <v>1861797227</v>
      </c>
      <c r="E17812" s="1" t="s">
        <v>23593</v>
      </c>
      <c r="F17812" s="2"/>
      <c r="G17812" s="2"/>
      <c r="H17812" s="2"/>
    </row>
    <row r="17813" spans="1:8" x14ac:dyDescent="0.25">
      <c r="A17813" s="1"/>
      <c r="B17813" s="1" t="s">
        <v>5782</v>
      </c>
      <c r="C17813" s="1" t="s">
        <v>5783</v>
      </c>
      <c r="D17813" s="22" t="str">
        <f>HYPERLINK("https://rhld.insurance.arkansas.gov/NPILookup?Npi=1861797821","1861797821")</f>
        <v>1861797821</v>
      </c>
      <c r="E17813" s="1" t="s">
        <v>23594</v>
      </c>
      <c r="F17813" s="2"/>
      <c r="G17813" s="2"/>
      <c r="H17813" s="2"/>
    </row>
    <row r="17814" spans="1:8" x14ac:dyDescent="0.25">
      <c r="A17814" s="1"/>
      <c r="B17814" s="1" t="s">
        <v>5782</v>
      </c>
      <c r="C17814" s="1" t="s">
        <v>5783</v>
      </c>
      <c r="D17814" s="22" t="str">
        <f>HYPERLINK("https://rhld.insurance.arkansas.gov/NPILookup?Npi=1861826968","1861826968")</f>
        <v>1861826968</v>
      </c>
      <c r="E17814" s="1" t="s">
        <v>6715</v>
      </c>
      <c r="F17814" s="2"/>
      <c r="G17814" s="2"/>
      <c r="H17814" s="2"/>
    </row>
    <row r="17815" spans="1:8" x14ac:dyDescent="0.25">
      <c r="A17815" s="1"/>
      <c r="B17815" s="1" t="s">
        <v>5782</v>
      </c>
      <c r="C17815" s="1" t="s">
        <v>5783</v>
      </c>
      <c r="D17815" s="22" t="str">
        <f>HYPERLINK("https://rhld.insurance.arkansas.gov/NPILookup?Npi=1861834525","1861834525")</f>
        <v>1861834525</v>
      </c>
      <c r="E17815" s="1" t="s">
        <v>23595</v>
      </c>
      <c r="F17815" s="2"/>
      <c r="G17815" s="2"/>
      <c r="H17815" s="2"/>
    </row>
    <row r="17816" spans="1:8" x14ac:dyDescent="0.25">
      <c r="A17816" s="1"/>
      <c r="B17816" s="1" t="s">
        <v>5782</v>
      </c>
      <c r="C17816" s="1" t="s">
        <v>5783</v>
      </c>
      <c r="D17816" s="22" t="str">
        <f>HYPERLINK("https://rhld.insurance.arkansas.gov/NPILookup?Npi=1861838807","1861838807")</f>
        <v>1861838807</v>
      </c>
      <c r="E17816" s="1" t="s">
        <v>6716</v>
      </c>
      <c r="F17816" s="2"/>
      <c r="G17816" s="2"/>
      <c r="H17816" s="2"/>
    </row>
    <row r="17817" spans="1:8" x14ac:dyDescent="0.25">
      <c r="A17817" s="1"/>
      <c r="B17817" s="1" t="s">
        <v>5782</v>
      </c>
      <c r="C17817" s="1" t="s">
        <v>5783</v>
      </c>
      <c r="D17817" s="22" t="str">
        <f>HYPERLINK("https://rhld.insurance.arkansas.gov/NPILookup?Npi=1861843831","1861843831")</f>
        <v>1861843831</v>
      </c>
      <c r="E17817" s="1" t="s">
        <v>793</v>
      </c>
      <c r="F17817" s="2"/>
      <c r="G17817" s="2"/>
      <c r="H17817" s="2"/>
    </row>
    <row r="17818" spans="1:8" x14ac:dyDescent="0.25">
      <c r="A17818" s="1"/>
      <c r="B17818" s="1" t="s">
        <v>5782</v>
      </c>
      <c r="C17818" s="1" t="s">
        <v>5783</v>
      </c>
      <c r="D17818" s="22" t="str">
        <f>HYPERLINK("https://rhld.insurance.arkansas.gov/NPILookup?Npi=1861844755","1861844755")</f>
        <v>1861844755</v>
      </c>
      <c r="E17818" s="1" t="s">
        <v>23596</v>
      </c>
      <c r="F17818" s="2"/>
      <c r="G17818" s="2"/>
      <c r="H17818" s="2"/>
    </row>
    <row r="17819" spans="1:8" x14ac:dyDescent="0.25">
      <c r="A17819" s="1"/>
      <c r="B17819" s="1" t="s">
        <v>5782</v>
      </c>
      <c r="C17819" s="1" t="s">
        <v>5783</v>
      </c>
      <c r="D17819" s="22" t="str">
        <f>HYPERLINK("https://rhld.insurance.arkansas.gov/NPILookup?Npi=1861846974","1861846974")</f>
        <v>1861846974</v>
      </c>
      <c r="E17819" s="1" t="s">
        <v>23597</v>
      </c>
      <c r="F17819" s="2"/>
      <c r="G17819" s="2"/>
      <c r="H17819" s="2"/>
    </row>
    <row r="17820" spans="1:8" x14ac:dyDescent="0.25">
      <c r="A17820" s="1"/>
      <c r="B17820" s="1" t="s">
        <v>5782</v>
      </c>
      <c r="C17820" s="1" t="s">
        <v>5783</v>
      </c>
      <c r="D17820" s="22" t="str">
        <f>HYPERLINK("https://rhld.insurance.arkansas.gov/NPILookup?Npi=1861855769","1861855769")</f>
        <v>1861855769</v>
      </c>
      <c r="E17820" s="1" t="s">
        <v>23598</v>
      </c>
      <c r="F17820" s="2"/>
      <c r="G17820" s="2"/>
      <c r="H17820" s="2"/>
    </row>
    <row r="17821" spans="1:8" x14ac:dyDescent="0.25">
      <c r="A17821" s="1"/>
      <c r="B17821" s="1" t="s">
        <v>5782</v>
      </c>
      <c r="C17821" s="1" t="s">
        <v>5783</v>
      </c>
      <c r="D17821" s="22" t="str">
        <f>HYPERLINK("https://rhld.insurance.arkansas.gov/NPILookup?Npi=1861862815","1861862815")</f>
        <v>1861862815</v>
      </c>
      <c r="E17821" s="1" t="s">
        <v>23599</v>
      </c>
      <c r="F17821" s="2"/>
      <c r="G17821" s="2"/>
      <c r="H17821" s="2"/>
    </row>
    <row r="17822" spans="1:8" x14ac:dyDescent="0.25">
      <c r="A17822" s="1"/>
      <c r="B17822" s="1" t="s">
        <v>5782</v>
      </c>
      <c r="C17822" s="1" t="s">
        <v>5783</v>
      </c>
      <c r="D17822" s="22" t="str">
        <f>HYPERLINK("https://rhld.insurance.arkansas.gov/NPILookup?Npi=1861872871","1861872871")</f>
        <v>1861872871</v>
      </c>
      <c r="E17822" s="1" t="s">
        <v>12188</v>
      </c>
      <c r="F17822" s="2"/>
      <c r="G17822" s="2"/>
      <c r="H17822" s="2"/>
    </row>
    <row r="17823" spans="1:8" x14ac:dyDescent="0.25">
      <c r="A17823" s="1"/>
      <c r="B17823" s="1" t="s">
        <v>5782</v>
      </c>
      <c r="C17823" s="1" t="s">
        <v>5783</v>
      </c>
      <c r="D17823" s="22" t="str">
        <f>HYPERLINK("https://rhld.insurance.arkansas.gov/NPILookup?Npi=1861873929","1861873929")</f>
        <v>1861873929</v>
      </c>
      <c r="E17823" s="1" t="s">
        <v>23600</v>
      </c>
      <c r="F17823" s="2"/>
      <c r="G17823" s="2"/>
      <c r="H17823" s="2"/>
    </row>
    <row r="17824" spans="1:8" x14ac:dyDescent="0.25">
      <c r="A17824" s="1"/>
      <c r="B17824" s="1" t="s">
        <v>5782</v>
      </c>
      <c r="C17824" s="1" t="s">
        <v>5783</v>
      </c>
      <c r="D17824" s="22" t="str">
        <f>HYPERLINK("https://rhld.insurance.arkansas.gov/NPILookup?Npi=1861875346","1861875346")</f>
        <v>1861875346</v>
      </c>
      <c r="E17824" s="1" t="s">
        <v>23601</v>
      </c>
      <c r="F17824" s="2"/>
      <c r="G17824" s="2"/>
      <c r="H17824" s="2"/>
    </row>
    <row r="17825" spans="1:8" x14ac:dyDescent="0.25">
      <c r="A17825" s="1"/>
      <c r="B17825" s="1" t="s">
        <v>5782</v>
      </c>
      <c r="C17825" s="1" t="s">
        <v>5783</v>
      </c>
      <c r="D17825" s="22" t="str">
        <f>HYPERLINK("https://rhld.insurance.arkansas.gov/NPILookup?Npi=1861883159","1861883159")</f>
        <v>1861883159</v>
      </c>
      <c r="E17825" s="1" t="s">
        <v>23602</v>
      </c>
      <c r="F17825" s="2"/>
      <c r="G17825" s="2"/>
      <c r="H17825" s="2"/>
    </row>
    <row r="17826" spans="1:8" x14ac:dyDescent="0.25">
      <c r="A17826" s="1"/>
      <c r="B17826" s="1" t="s">
        <v>5782</v>
      </c>
      <c r="C17826" s="1" t="s">
        <v>5783</v>
      </c>
      <c r="D17826" s="22" t="str">
        <f>HYPERLINK("https://rhld.insurance.arkansas.gov/NPILookup?Npi=1861890535","1861890535")</f>
        <v>1861890535</v>
      </c>
      <c r="E17826" s="1" t="s">
        <v>23603</v>
      </c>
      <c r="F17826" s="2"/>
      <c r="G17826" s="2"/>
      <c r="H17826" s="2"/>
    </row>
    <row r="17827" spans="1:8" x14ac:dyDescent="0.25">
      <c r="A17827" s="1"/>
      <c r="B17827" s="1" t="s">
        <v>5782</v>
      </c>
      <c r="C17827" s="1" t="s">
        <v>5783</v>
      </c>
      <c r="D17827" s="22" t="str">
        <f>HYPERLINK("https://rhld.insurance.arkansas.gov/NPILookup?Npi=1861899643","1861899643")</f>
        <v>1861899643</v>
      </c>
      <c r="E17827" s="1" t="s">
        <v>23604</v>
      </c>
      <c r="F17827" s="2"/>
      <c r="G17827" s="2"/>
      <c r="H17827" s="2"/>
    </row>
    <row r="17828" spans="1:8" x14ac:dyDescent="0.25">
      <c r="A17828" s="1"/>
      <c r="B17828" s="1" t="s">
        <v>5782</v>
      </c>
      <c r="C17828" s="1" t="s">
        <v>5783</v>
      </c>
      <c r="D17828" s="22" t="str">
        <f>HYPERLINK("https://rhld.insurance.arkansas.gov/NPILookup?Npi=1861907644","1861907644")</f>
        <v>1861907644</v>
      </c>
      <c r="E17828" s="1" t="s">
        <v>12189</v>
      </c>
      <c r="F17828" s="2"/>
      <c r="G17828" s="2"/>
      <c r="H17828" s="2"/>
    </row>
    <row r="17829" spans="1:8" x14ac:dyDescent="0.25">
      <c r="A17829" s="1"/>
      <c r="B17829" s="1" t="s">
        <v>5782</v>
      </c>
      <c r="C17829" s="1" t="s">
        <v>5783</v>
      </c>
      <c r="D17829" s="22" t="str">
        <f>HYPERLINK("https://rhld.insurance.arkansas.gov/NPILookup?Npi=1861909632","1861909632")</f>
        <v>1861909632</v>
      </c>
      <c r="E17829" s="1" t="s">
        <v>12190</v>
      </c>
      <c r="F17829" s="2"/>
      <c r="G17829" s="2"/>
      <c r="H17829" s="2"/>
    </row>
    <row r="17830" spans="1:8" x14ac:dyDescent="0.25">
      <c r="A17830" s="1"/>
      <c r="B17830" s="1" t="s">
        <v>5782</v>
      </c>
      <c r="C17830" s="1" t="s">
        <v>5783</v>
      </c>
      <c r="D17830" s="22" t="str">
        <f>HYPERLINK("https://rhld.insurance.arkansas.gov/NPILookup?Npi=1861911091","1861911091")</f>
        <v>1861911091</v>
      </c>
      <c r="E17830" s="1" t="s">
        <v>1039</v>
      </c>
      <c r="F17830" s="2"/>
      <c r="G17830" s="2"/>
      <c r="H17830" s="2"/>
    </row>
    <row r="17831" spans="1:8" x14ac:dyDescent="0.25">
      <c r="A17831" s="1"/>
      <c r="B17831" s="1" t="s">
        <v>5782</v>
      </c>
      <c r="C17831" s="1" t="s">
        <v>5783</v>
      </c>
      <c r="D17831" s="22" t="str">
        <f>HYPERLINK("https://rhld.insurance.arkansas.gov/NPILookup?Npi=1861915159","1861915159")</f>
        <v>1861915159</v>
      </c>
      <c r="E17831" s="1" t="s">
        <v>23605</v>
      </c>
      <c r="F17831" s="2"/>
      <c r="G17831" s="2"/>
      <c r="H17831" s="2"/>
    </row>
    <row r="17832" spans="1:8" x14ac:dyDescent="0.25">
      <c r="A17832" s="1"/>
      <c r="B17832" s="1" t="s">
        <v>5782</v>
      </c>
      <c r="C17832" s="1" t="s">
        <v>5783</v>
      </c>
      <c r="D17832" s="22" t="str">
        <f>HYPERLINK("https://rhld.insurance.arkansas.gov/NPILookup?Npi=1861958597","1861958597")</f>
        <v>1861958597</v>
      </c>
      <c r="E17832" s="1" t="s">
        <v>12191</v>
      </c>
      <c r="F17832" s="2"/>
      <c r="G17832" s="2"/>
      <c r="H17832" s="2"/>
    </row>
    <row r="17833" spans="1:8" x14ac:dyDescent="0.25">
      <c r="A17833" s="1"/>
      <c r="B17833" s="1" t="s">
        <v>5782</v>
      </c>
      <c r="C17833" s="1" t="s">
        <v>5783</v>
      </c>
      <c r="D17833" s="22" t="str">
        <f>HYPERLINK("https://rhld.insurance.arkansas.gov/NPILookup?Npi=1861959066","1861959066")</f>
        <v>1861959066</v>
      </c>
      <c r="E17833" s="1" t="s">
        <v>23606</v>
      </c>
      <c r="F17833" s="2"/>
      <c r="G17833" s="2"/>
      <c r="H17833" s="2"/>
    </row>
    <row r="17834" spans="1:8" x14ac:dyDescent="0.25">
      <c r="A17834" s="1"/>
      <c r="B17834" s="1" t="s">
        <v>5782</v>
      </c>
      <c r="C17834" s="1" t="s">
        <v>5783</v>
      </c>
      <c r="D17834" s="22" t="str">
        <f>HYPERLINK("https://rhld.insurance.arkansas.gov/NPILookup?Npi=1861979494","1861979494")</f>
        <v>1861979494</v>
      </c>
      <c r="E17834" s="1" t="s">
        <v>23607</v>
      </c>
      <c r="F17834" s="2"/>
      <c r="G17834" s="2"/>
      <c r="H17834" s="2"/>
    </row>
    <row r="17835" spans="1:8" x14ac:dyDescent="0.25">
      <c r="A17835" s="1"/>
      <c r="B17835" s="1" t="s">
        <v>5782</v>
      </c>
      <c r="C17835" s="1" t="s">
        <v>5783</v>
      </c>
      <c r="D17835" s="22" t="str">
        <f>HYPERLINK("https://rhld.insurance.arkansas.gov/NPILookup?Npi=1861997009","1861997009")</f>
        <v>1861997009</v>
      </c>
      <c r="E17835" s="1" t="s">
        <v>6717</v>
      </c>
      <c r="F17835" s="2"/>
      <c r="G17835" s="2"/>
      <c r="H17835" s="2"/>
    </row>
    <row r="17836" spans="1:8" x14ac:dyDescent="0.25">
      <c r="A17836" s="1"/>
      <c r="B17836" s="1" t="s">
        <v>5782</v>
      </c>
      <c r="C17836" s="1" t="s">
        <v>5783</v>
      </c>
      <c r="D17836" s="22" t="str">
        <f>HYPERLINK("https://rhld.insurance.arkansas.gov/NPILookup?Npi=1871003327","1871003327")</f>
        <v>1871003327</v>
      </c>
      <c r="E17836" s="1" t="s">
        <v>23608</v>
      </c>
      <c r="F17836" s="2"/>
      <c r="G17836" s="2"/>
      <c r="H17836" s="2"/>
    </row>
    <row r="17837" spans="1:8" x14ac:dyDescent="0.25">
      <c r="A17837" s="1"/>
      <c r="B17837" s="1" t="s">
        <v>5782</v>
      </c>
      <c r="C17837" s="1" t="s">
        <v>5783</v>
      </c>
      <c r="D17837" s="22" t="str">
        <f>HYPERLINK("https://rhld.insurance.arkansas.gov/NPILookup?Npi=1871003814","1871003814")</f>
        <v>1871003814</v>
      </c>
      <c r="E17837" s="1" t="s">
        <v>6718</v>
      </c>
      <c r="F17837" s="2"/>
      <c r="G17837" s="2"/>
      <c r="H17837" s="2"/>
    </row>
    <row r="17838" spans="1:8" x14ac:dyDescent="0.25">
      <c r="A17838" s="1"/>
      <c r="B17838" s="1" t="s">
        <v>5782</v>
      </c>
      <c r="C17838" s="1" t="s">
        <v>5783</v>
      </c>
      <c r="D17838" s="22" t="str">
        <f>HYPERLINK("https://rhld.insurance.arkansas.gov/NPILookup?Npi=1871005827","1871005827")</f>
        <v>1871005827</v>
      </c>
      <c r="E17838" s="1" t="s">
        <v>23609</v>
      </c>
      <c r="F17838" s="2"/>
      <c r="G17838" s="2"/>
      <c r="H17838" s="2"/>
    </row>
    <row r="17839" spans="1:8" x14ac:dyDescent="0.25">
      <c r="A17839" s="1"/>
      <c r="B17839" s="1" t="s">
        <v>5782</v>
      </c>
      <c r="C17839" s="1" t="s">
        <v>5783</v>
      </c>
      <c r="D17839" s="22" t="str">
        <f>HYPERLINK("https://rhld.insurance.arkansas.gov/NPILookup?Npi=1871036095","1871036095")</f>
        <v>1871036095</v>
      </c>
      <c r="E17839" s="1" t="s">
        <v>12192</v>
      </c>
      <c r="F17839" s="2"/>
      <c r="G17839" s="2"/>
      <c r="H17839" s="2"/>
    </row>
    <row r="17840" spans="1:8" x14ac:dyDescent="0.25">
      <c r="A17840" s="1"/>
      <c r="B17840" s="1" t="s">
        <v>5782</v>
      </c>
      <c r="C17840" s="1" t="s">
        <v>5783</v>
      </c>
      <c r="D17840" s="22" t="str">
        <f>HYPERLINK("https://rhld.insurance.arkansas.gov/NPILookup?Npi=1871039404","1871039404")</f>
        <v>1871039404</v>
      </c>
      <c r="E17840" s="1" t="s">
        <v>23610</v>
      </c>
      <c r="F17840" s="2"/>
      <c r="G17840" s="2"/>
      <c r="H17840" s="2"/>
    </row>
    <row r="17841" spans="1:8" x14ac:dyDescent="0.25">
      <c r="A17841" s="1"/>
      <c r="B17841" s="1" t="s">
        <v>5782</v>
      </c>
      <c r="C17841" s="1" t="s">
        <v>5783</v>
      </c>
      <c r="D17841" s="22" t="str">
        <f>HYPERLINK("https://rhld.insurance.arkansas.gov/NPILookup?Npi=1871046292","1871046292")</f>
        <v>1871046292</v>
      </c>
      <c r="E17841" s="1" t="s">
        <v>23611</v>
      </c>
      <c r="F17841" s="2"/>
      <c r="G17841" s="2"/>
      <c r="H17841" s="2"/>
    </row>
    <row r="17842" spans="1:8" x14ac:dyDescent="0.25">
      <c r="A17842" s="1"/>
      <c r="B17842" s="1" t="s">
        <v>5782</v>
      </c>
      <c r="C17842" s="1" t="s">
        <v>5783</v>
      </c>
      <c r="D17842" s="22" t="str">
        <f>HYPERLINK("https://rhld.insurance.arkansas.gov/NPILookup?Npi=1871070565","1871070565")</f>
        <v>1871070565</v>
      </c>
      <c r="E17842" s="1" t="s">
        <v>6719</v>
      </c>
      <c r="F17842" s="2"/>
      <c r="G17842" s="2"/>
      <c r="H17842" s="2"/>
    </row>
    <row r="17843" spans="1:8" x14ac:dyDescent="0.25">
      <c r="A17843" s="1"/>
      <c r="B17843" s="1" t="s">
        <v>5782</v>
      </c>
      <c r="C17843" s="1" t="s">
        <v>5783</v>
      </c>
      <c r="D17843" s="22" t="str">
        <f>HYPERLINK("https://rhld.insurance.arkansas.gov/NPILookup?Npi=1871073577","1871073577")</f>
        <v>1871073577</v>
      </c>
      <c r="E17843" s="1" t="s">
        <v>22249</v>
      </c>
      <c r="F17843" s="2"/>
      <c r="G17843" s="2"/>
      <c r="H17843" s="2"/>
    </row>
    <row r="17844" spans="1:8" x14ac:dyDescent="0.25">
      <c r="A17844" s="1"/>
      <c r="B17844" s="1" t="s">
        <v>5782</v>
      </c>
      <c r="C17844" s="1" t="s">
        <v>5783</v>
      </c>
      <c r="D17844" s="22" t="str">
        <f>HYPERLINK("https://rhld.insurance.arkansas.gov/NPILookup?Npi=1871144105","1871144105")</f>
        <v>1871144105</v>
      </c>
      <c r="E17844" s="1" t="s">
        <v>1678</v>
      </c>
      <c r="F17844" s="2"/>
      <c r="G17844" s="2"/>
      <c r="H17844" s="2"/>
    </row>
    <row r="17845" spans="1:8" x14ac:dyDescent="0.25">
      <c r="A17845" s="1"/>
      <c r="B17845" s="1" t="s">
        <v>5782</v>
      </c>
      <c r="C17845" s="1" t="s">
        <v>5783</v>
      </c>
      <c r="D17845" s="22" t="str">
        <f>HYPERLINK("https://rhld.insurance.arkansas.gov/NPILookup?Npi=1871162206","1871162206")</f>
        <v>1871162206</v>
      </c>
      <c r="E17845" s="1" t="s">
        <v>12193</v>
      </c>
      <c r="F17845" s="2"/>
      <c r="G17845" s="2"/>
      <c r="H17845" s="2"/>
    </row>
    <row r="17846" spans="1:8" x14ac:dyDescent="0.25">
      <c r="A17846" s="1"/>
      <c r="B17846" s="1" t="s">
        <v>5782</v>
      </c>
      <c r="C17846" s="1" t="s">
        <v>5783</v>
      </c>
      <c r="D17846" s="22" t="str">
        <f>HYPERLINK("https://rhld.insurance.arkansas.gov/NPILookup?Npi=1871163303","1871163303")</f>
        <v>1871163303</v>
      </c>
      <c r="E17846" s="1" t="s">
        <v>6720</v>
      </c>
      <c r="F17846" s="2"/>
      <c r="G17846" s="2"/>
      <c r="H17846" s="2"/>
    </row>
    <row r="17847" spans="1:8" x14ac:dyDescent="0.25">
      <c r="A17847" s="1"/>
      <c r="B17847" s="1" t="s">
        <v>5782</v>
      </c>
      <c r="C17847" s="1" t="s">
        <v>5783</v>
      </c>
      <c r="D17847" s="22" t="str">
        <f>HYPERLINK("https://rhld.insurance.arkansas.gov/NPILookup?Npi=1871164111","1871164111")</f>
        <v>1871164111</v>
      </c>
      <c r="E17847" s="1" t="s">
        <v>23612</v>
      </c>
      <c r="F17847" s="2"/>
      <c r="G17847" s="2"/>
      <c r="H17847" s="2"/>
    </row>
    <row r="17848" spans="1:8" x14ac:dyDescent="0.25">
      <c r="A17848" s="1"/>
      <c r="B17848" s="1" t="s">
        <v>5782</v>
      </c>
      <c r="C17848" s="1" t="s">
        <v>5783</v>
      </c>
      <c r="D17848" s="22" t="str">
        <f>HYPERLINK("https://rhld.insurance.arkansas.gov/NPILookup?Npi=1871167627","1871167627")</f>
        <v>1871167627</v>
      </c>
      <c r="E17848" s="1" t="s">
        <v>31956</v>
      </c>
      <c r="F17848" s="2"/>
      <c r="G17848" s="2"/>
      <c r="H17848" s="2"/>
    </row>
    <row r="17849" spans="1:8" x14ac:dyDescent="0.25">
      <c r="A17849" s="1"/>
      <c r="B17849" s="1" t="s">
        <v>5782</v>
      </c>
      <c r="C17849" s="1" t="s">
        <v>5783</v>
      </c>
      <c r="D17849" s="22" t="str">
        <f>HYPERLINK("https://rhld.insurance.arkansas.gov/NPILookup?Npi=1871185066","1871185066")</f>
        <v>1871185066</v>
      </c>
      <c r="E17849" s="1" t="s">
        <v>23613</v>
      </c>
      <c r="F17849" s="2"/>
      <c r="G17849" s="2"/>
      <c r="H17849" s="2"/>
    </row>
    <row r="17850" spans="1:8" x14ac:dyDescent="0.25">
      <c r="A17850" s="1"/>
      <c r="B17850" s="1" t="s">
        <v>5782</v>
      </c>
      <c r="C17850" s="1" t="s">
        <v>5783</v>
      </c>
      <c r="D17850" s="22" t="str">
        <f>HYPERLINK("https://rhld.insurance.arkansas.gov/NPILookup?Npi=1871185736","1871185736")</f>
        <v>1871185736</v>
      </c>
      <c r="E17850" s="1" t="s">
        <v>5197</v>
      </c>
      <c r="F17850" s="2"/>
      <c r="G17850" s="2"/>
      <c r="H17850" s="2"/>
    </row>
    <row r="17851" spans="1:8" x14ac:dyDescent="0.25">
      <c r="A17851" s="1"/>
      <c r="B17851" s="1" t="s">
        <v>5782</v>
      </c>
      <c r="C17851" s="1" t="s">
        <v>5783</v>
      </c>
      <c r="D17851" s="22" t="str">
        <f>HYPERLINK("https://rhld.insurance.arkansas.gov/NPILookup?Npi=1871192815","1871192815")</f>
        <v>1871192815</v>
      </c>
      <c r="E17851" s="1" t="s">
        <v>23614</v>
      </c>
      <c r="F17851" s="2"/>
      <c r="G17851" s="2"/>
      <c r="H17851" s="2"/>
    </row>
    <row r="17852" spans="1:8" x14ac:dyDescent="0.25">
      <c r="A17852" s="1"/>
      <c r="B17852" s="1" t="s">
        <v>5782</v>
      </c>
      <c r="C17852" s="1" t="s">
        <v>5783</v>
      </c>
      <c r="D17852" s="22" t="str">
        <f>HYPERLINK("https://rhld.insurance.arkansas.gov/NPILookup?Npi=1871196808","1871196808")</f>
        <v>1871196808</v>
      </c>
      <c r="E17852" s="1" t="s">
        <v>12194</v>
      </c>
      <c r="F17852" s="2"/>
      <c r="G17852" s="2"/>
      <c r="H17852" s="2"/>
    </row>
    <row r="17853" spans="1:8" x14ac:dyDescent="0.25">
      <c r="A17853" s="1"/>
      <c r="B17853" s="1" t="s">
        <v>5782</v>
      </c>
      <c r="C17853" s="1" t="s">
        <v>5783</v>
      </c>
      <c r="D17853" s="22" t="str">
        <f>HYPERLINK("https://rhld.insurance.arkansas.gov/NPILookup?Npi=1871203190","1871203190")</f>
        <v>1871203190</v>
      </c>
      <c r="E17853" s="1" t="s">
        <v>6721</v>
      </c>
      <c r="F17853" s="2"/>
      <c r="G17853" s="2"/>
      <c r="H17853" s="2"/>
    </row>
    <row r="17854" spans="1:8" x14ac:dyDescent="0.25">
      <c r="A17854" s="1"/>
      <c r="B17854" s="1" t="s">
        <v>5782</v>
      </c>
      <c r="C17854" s="1" t="s">
        <v>5783</v>
      </c>
      <c r="D17854" s="22" t="str">
        <f>HYPERLINK("https://rhld.insurance.arkansas.gov/NPILookup?Npi=1871227702","1871227702")</f>
        <v>1871227702</v>
      </c>
      <c r="E17854" s="1" t="s">
        <v>23617</v>
      </c>
      <c r="F17854" s="2"/>
      <c r="G17854" s="2"/>
      <c r="H17854" s="2"/>
    </row>
    <row r="17855" spans="1:8" x14ac:dyDescent="0.25">
      <c r="A17855" s="1"/>
      <c r="B17855" s="1" t="s">
        <v>5782</v>
      </c>
      <c r="C17855" s="1" t="s">
        <v>5783</v>
      </c>
      <c r="D17855" s="22" t="str">
        <f>HYPERLINK("https://rhld.insurance.arkansas.gov/NPILookup?Npi=1871228569","1871228569")</f>
        <v>1871228569</v>
      </c>
      <c r="E17855" s="1" t="s">
        <v>31957</v>
      </c>
      <c r="F17855" s="2"/>
      <c r="G17855" s="2"/>
      <c r="H17855" s="2"/>
    </row>
    <row r="17856" spans="1:8" x14ac:dyDescent="0.25">
      <c r="A17856" s="1"/>
      <c r="B17856" s="1" t="s">
        <v>5782</v>
      </c>
      <c r="C17856" s="1" t="s">
        <v>5783</v>
      </c>
      <c r="D17856" s="22" t="str">
        <f>HYPERLINK("https://rhld.insurance.arkansas.gov/NPILookup?Npi=1871229690","1871229690")</f>
        <v>1871229690</v>
      </c>
      <c r="E17856" s="1" t="s">
        <v>31958</v>
      </c>
      <c r="F17856" s="2"/>
      <c r="G17856" s="2"/>
      <c r="H17856" s="2"/>
    </row>
    <row r="17857" spans="1:8" x14ac:dyDescent="0.25">
      <c r="A17857" s="1"/>
      <c r="B17857" s="1" t="s">
        <v>5782</v>
      </c>
      <c r="C17857" s="1" t="s">
        <v>5783</v>
      </c>
      <c r="D17857" s="22" t="str">
        <f>HYPERLINK("https://rhld.insurance.arkansas.gov/NPILookup?Npi=1871277236","1871277236")</f>
        <v>1871277236</v>
      </c>
      <c r="E17857" s="1" t="s">
        <v>6722</v>
      </c>
      <c r="F17857" s="2"/>
      <c r="G17857" s="2"/>
      <c r="H17857" s="2"/>
    </row>
    <row r="17858" spans="1:8" x14ac:dyDescent="0.25">
      <c r="A17858" s="1"/>
      <c r="B17858" s="1" t="s">
        <v>5782</v>
      </c>
      <c r="C17858" s="1" t="s">
        <v>5783</v>
      </c>
      <c r="D17858" s="22" t="str">
        <f>HYPERLINK("https://rhld.insurance.arkansas.gov/NPILookup?Npi=1871304808","1871304808")</f>
        <v>1871304808</v>
      </c>
      <c r="E17858" s="1" t="s">
        <v>31959</v>
      </c>
      <c r="F17858" s="2"/>
      <c r="G17858" s="2"/>
      <c r="H17858" s="2"/>
    </row>
    <row r="17859" spans="1:8" x14ac:dyDescent="0.25">
      <c r="A17859" s="1"/>
      <c r="B17859" s="1" t="s">
        <v>5782</v>
      </c>
      <c r="C17859" s="1" t="s">
        <v>5783</v>
      </c>
      <c r="D17859" s="22" t="str">
        <f>HYPERLINK("https://rhld.insurance.arkansas.gov/NPILookup?Npi=1871306993","1871306993")</f>
        <v>1871306993</v>
      </c>
      <c r="E17859" s="1" t="s">
        <v>31960</v>
      </c>
      <c r="F17859" s="2"/>
      <c r="G17859" s="2"/>
      <c r="H17859" s="2"/>
    </row>
    <row r="17860" spans="1:8" x14ac:dyDescent="0.25">
      <c r="A17860" s="1"/>
      <c r="B17860" s="1" t="s">
        <v>5782</v>
      </c>
      <c r="C17860" s="1" t="s">
        <v>5783</v>
      </c>
      <c r="D17860" s="22" t="str">
        <f>HYPERLINK("https://rhld.insurance.arkansas.gov/NPILookup?Npi=1871362715","1871362715")</f>
        <v>1871362715</v>
      </c>
      <c r="E17860" s="1" t="s">
        <v>12195</v>
      </c>
      <c r="F17860" s="2"/>
      <c r="G17860" s="2"/>
      <c r="H17860" s="2"/>
    </row>
    <row r="17861" spans="1:8" x14ac:dyDescent="0.25">
      <c r="A17861" s="1"/>
      <c r="B17861" s="1" t="s">
        <v>5782</v>
      </c>
      <c r="C17861" s="1" t="s">
        <v>5783</v>
      </c>
      <c r="D17861" s="22" t="str">
        <f>HYPERLINK("https://rhld.insurance.arkansas.gov/NPILookup?Npi=1871375949","1871375949")</f>
        <v>1871375949</v>
      </c>
      <c r="E17861" s="1" t="s">
        <v>12196</v>
      </c>
      <c r="F17861" s="2"/>
      <c r="G17861" s="2"/>
      <c r="H17861" s="2"/>
    </row>
    <row r="17862" spans="1:8" x14ac:dyDescent="0.25">
      <c r="A17862" s="1"/>
      <c r="B17862" s="1" t="s">
        <v>5782</v>
      </c>
      <c r="C17862" s="1" t="s">
        <v>5783</v>
      </c>
      <c r="D17862" s="22" t="str">
        <f>HYPERLINK("https://rhld.insurance.arkansas.gov/NPILookup?Npi=1871527267","1871527267")</f>
        <v>1871527267</v>
      </c>
      <c r="E17862" s="1" t="s">
        <v>23618</v>
      </c>
      <c r="F17862" s="2"/>
      <c r="G17862" s="2"/>
      <c r="H17862" s="2"/>
    </row>
    <row r="17863" spans="1:8" x14ac:dyDescent="0.25">
      <c r="A17863" s="1"/>
      <c r="B17863" s="1" t="s">
        <v>5782</v>
      </c>
      <c r="C17863" s="1" t="s">
        <v>5783</v>
      </c>
      <c r="D17863" s="22" t="str">
        <f>HYPERLINK("https://rhld.insurance.arkansas.gov/NPILookup?Npi=1871535013","1871535013")</f>
        <v>1871535013</v>
      </c>
      <c r="E17863" s="1" t="s">
        <v>3101</v>
      </c>
      <c r="F17863" s="2"/>
      <c r="G17863" s="2"/>
      <c r="H17863" s="2"/>
    </row>
    <row r="17864" spans="1:8" x14ac:dyDescent="0.25">
      <c r="A17864" s="1"/>
      <c r="B17864" s="1" t="s">
        <v>5782</v>
      </c>
      <c r="C17864" s="1" t="s">
        <v>5783</v>
      </c>
      <c r="D17864" s="22" t="str">
        <f>HYPERLINK("https://rhld.insurance.arkansas.gov/NPILookup?Npi=1871539510","1871539510")</f>
        <v>1871539510</v>
      </c>
      <c r="E17864" s="1" t="s">
        <v>23619</v>
      </c>
      <c r="F17864" s="2"/>
      <c r="G17864" s="2"/>
      <c r="H17864" s="2"/>
    </row>
    <row r="17865" spans="1:8" x14ac:dyDescent="0.25">
      <c r="A17865" s="1"/>
      <c r="B17865" s="1" t="s">
        <v>5782</v>
      </c>
      <c r="C17865" s="1" t="s">
        <v>5783</v>
      </c>
      <c r="D17865" s="22" t="str">
        <f>HYPERLINK("https://rhld.insurance.arkansas.gov/NPILookup?Npi=1871540435","1871540435")</f>
        <v>1871540435</v>
      </c>
      <c r="E17865" s="1" t="s">
        <v>10468</v>
      </c>
      <c r="F17865" s="2"/>
      <c r="G17865" s="2"/>
      <c r="H17865" s="2"/>
    </row>
    <row r="17866" spans="1:8" x14ac:dyDescent="0.25">
      <c r="A17866" s="1"/>
      <c r="B17866" s="1" t="s">
        <v>5782</v>
      </c>
      <c r="C17866" s="1" t="s">
        <v>5783</v>
      </c>
      <c r="D17866" s="22" t="str">
        <f>HYPERLINK("https://rhld.insurance.arkansas.gov/NPILookup?Npi=1871541359","1871541359")</f>
        <v>1871541359</v>
      </c>
      <c r="E17866" s="1" t="s">
        <v>13974</v>
      </c>
      <c r="F17866" s="2"/>
      <c r="G17866" s="2"/>
      <c r="H17866" s="2"/>
    </row>
    <row r="17867" spans="1:8" x14ac:dyDescent="0.25">
      <c r="A17867" s="1"/>
      <c r="B17867" s="1" t="s">
        <v>5782</v>
      </c>
      <c r="C17867" s="1" t="s">
        <v>5783</v>
      </c>
      <c r="D17867" s="22" t="str">
        <f>HYPERLINK("https://rhld.insurance.arkansas.gov/NPILookup?Npi=1871573790","1871573790")</f>
        <v>1871573790</v>
      </c>
      <c r="E17867" s="1" t="s">
        <v>23620</v>
      </c>
      <c r="F17867" s="2"/>
      <c r="G17867" s="2"/>
      <c r="H17867" s="2"/>
    </row>
    <row r="17868" spans="1:8" x14ac:dyDescent="0.25">
      <c r="A17868" s="1"/>
      <c r="B17868" s="1" t="s">
        <v>5782</v>
      </c>
      <c r="C17868" s="1" t="s">
        <v>5783</v>
      </c>
      <c r="D17868" s="22" t="str">
        <f>HYPERLINK("https://rhld.insurance.arkansas.gov/NPILookup?Npi=1871581124","1871581124")</f>
        <v>1871581124</v>
      </c>
      <c r="E17868" s="1" t="s">
        <v>23621</v>
      </c>
      <c r="F17868" s="2"/>
      <c r="G17868" s="2"/>
      <c r="H17868" s="2"/>
    </row>
    <row r="17869" spans="1:8" x14ac:dyDescent="0.25">
      <c r="A17869" s="1"/>
      <c r="B17869" s="1" t="s">
        <v>5782</v>
      </c>
      <c r="C17869" s="1" t="s">
        <v>5783</v>
      </c>
      <c r="D17869" s="22" t="str">
        <f>HYPERLINK("https://rhld.insurance.arkansas.gov/NPILookup?Npi=1871588392","1871588392")</f>
        <v>1871588392</v>
      </c>
      <c r="E17869" s="1" t="s">
        <v>12197</v>
      </c>
      <c r="F17869" s="2"/>
      <c r="G17869" s="2"/>
      <c r="H17869" s="2"/>
    </row>
    <row r="17870" spans="1:8" x14ac:dyDescent="0.25">
      <c r="A17870" s="1"/>
      <c r="B17870" s="1" t="s">
        <v>5782</v>
      </c>
      <c r="C17870" s="1" t="s">
        <v>5783</v>
      </c>
      <c r="D17870" s="22" t="str">
        <f>HYPERLINK("https://rhld.insurance.arkansas.gov/NPILookup?Npi=1871614420","1871614420")</f>
        <v>1871614420</v>
      </c>
      <c r="E17870" s="1" t="s">
        <v>6723</v>
      </c>
      <c r="F17870" s="2"/>
      <c r="G17870" s="2"/>
      <c r="H17870" s="2"/>
    </row>
    <row r="17871" spans="1:8" x14ac:dyDescent="0.25">
      <c r="A17871" s="1"/>
      <c r="B17871" s="1" t="s">
        <v>5782</v>
      </c>
      <c r="C17871" s="1" t="s">
        <v>5783</v>
      </c>
      <c r="D17871" s="22" t="str">
        <f>HYPERLINK("https://rhld.insurance.arkansas.gov/NPILookup?Npi=1871623850","1871623850")</f>
        <v>1871623850</v>
      </c>
      <c r="E17871" s="1" t="s">
        <v>23622</v>
      </c>
      <c r="F17871" s="2"/>
      <c r="G17871" s="2"/>
      <c r="H17871" s="2"/>
    </row>
    <row r="17872" spans="1:8" x14ac:dyDescent="0.25">
      <c r="A17872" s="1"/>
      <c r="B17872" s="1" t="s">
        <v>5782</v>
      </c>
      <c r="C17872" s="1" t="s">
        <v>5783</v>
      </c>
      <c r="D17872" s="22" t="str">
        <f>HYPERLINK("https://rhld.insurance.arkansas.gov/NPILookup?Npi=1871637132","1871637132")</f>
        <v>1871637132</v>
      </c>
      <c r="E17872" s="1" t="s">
        <v>11615</v>
      </c>
      <c r="F17872" s="2"/>
      <c r="G17872" s="2"/>
      <c r="H17872" s="2"/>
    </row>
    <row r="17873" spans="1:8" x14ac:dyDescent="0.25">
      <c r="A17873" s="1"/>
      <c r="B17873" s="1" t="s">
        <v>5782</v>
      </c>
      <c r="C17873" s="1" t="s">
        <v>5783</v>
      </c>
      <c r="D17873" s="22" t="str">
        <f>HYPERLINK("https://rhld.insurance.arkansas.gov/NPILookup?Npi=1871637363","1871637363")</f>
        <v>1871637363</v>
      </c>
      <c r="E17873" s="1" t="s">
        <v>23623</v>
      </c>
      <c r="F17873" s="2"/>
      <c r="G17873" s="2"/>
      <c r="H17873" s="2"/>
    </row>
    <row r="17874" spans="1:8" x14ac:dyDescent="0.25">
      <c r="A17874" s="1"/>
      <c r="B17874" s="1" t="s">
        <v>5782</v>
      </c>
      <c r="C17874" s="1" t="s">
        <v>5783</v>
      </c>
      <c r="D17874" s="22" t="str">
        <f>HYPERLINK("https://rhld.insurance.arkansas.gov/NPILookup?Npi=1871650515","1871650515")</f>
        <v>1871650515</v>
      </c>
      <c r="E17874" s="1" t="s">
        <v>23624</v>
      </c>
      <c r="F17874" s="2"/>
      <c r="G17874" s="2"/>
      <c r="H17874" s="2"/>
    </row>
    <row r="17875" spans="1:8" x14ac:dyDescent="0.25">
      <c r="A17875" s="1"/>
      <c r="B17875" s="1" t="s">
        <v>5782</v>
      </c>
      <c r="C17875" s="1" t="s">
        <v>5783</v>
      </c>
      <c r="D17875" s="22" t="str">
        <f>HYPERLINK("https://rhld.insurance.arkansas.gov/NPILookup?Npi=1871695742","1871695742")</f>
        <v>1871695742</v>
      </c>
      <c r="E17875" s="1" t="s">
        <v>23625</v>
      </c>
      <c r="F17875" s="2"/>
      <c r="G17875" s="2"/>
      <c r="H17875" s="2"/>
    </row>
    <row r="17876" spans="1:8" x14ac:dyDescent="0.25">
      <c r="A17876" s="1"/>
      <c r="B17876" s="1" t="s">
        <v>5782</v>
      </c>
      <c r="C17876" s="1" t="s">
        <v>5783</v>
      </c>
      <c r="D17876" s="22" t="str">
        <f>HYPERLINK("https://rhld.insurance.arkansas.gov/NPILookup?Npi=1871703421","1871703421")</f>
        <v>1871703421</v>
      </c>
      <c r="E17876" s="1" t="s">
        <v>13917</v>
      </c>
      <c r="F17876" s="2"/>
      <c r="G17876" s="2"/>
      <c r="H17876" s="2"/>
    </row>
    <row r="17877" spans="1:8" x14ac:dyDescent="0.25">
      <c r="A17877" s="1"/>
      <c r="B17877" s="1" t="s">
        <v>5782</v>
      </c>
      <c r="C17877" s="1" t="s">
        <v>5783</v>
      </c>
      <c r="D17877" s="22" t="str">
        <f>HYPERLINK("https://rhld.insurance.arkansas.gov/NPILookup?Npi=1871709923","1871709923")</f>
        <v>1871709923</v>
      </c>
      <c r="E17877" s="1" t="s">
        <v>23626</v>
      </c>
      <c r="F17877" s="2"/>
      <c r="G17877" s="2"/>
      <c r="H17877" s="2"/>
    </row>
    <row r="17878" spans="1:8" x14ac:dyDescent="0.25">
      <c r="A17878" s="1"/>
      <c r="B17878" s="1" t="s">
        <v>5782</v>
      </c>
      <c r="C17878" s="1" t="s">
        <v>5783</v>
      </c>
      <c r="D17878" s="22" t="str">
        <f>HYPERLINK("https://rhld.insurance.arkansas.gov/NPILookup?Npi=1871730770","1871730770")</f>
        <v>1871730770</v>
      </c>
      <c r="E17878" s="1" t="s">
        <v>31961</v>
      </c>
      <c r="F17878" s="2"/>
      <c r="G17878" s="2"/>
      <c r="H17878" s="2"/>
    </row>
    <row r="17879" spans="1:8" x14ac:dyDescent="0.25">
      <c r="A17879" s="1"/>
      <c r="B17879" s="1" t="s">
        <v>5782</v>
      </c>
      <c r="C17879" s="1" t="s">
        <v>5783</v>
      </c>
      <c r="D17879" s="22" t="str">
        <f>HYPERLINK("https://rhld.insurance.arkansas.gov/NPILookup?Npi=1871737502","1871737502")</f>
        <v>1871737502</v>
      </c>
      <c r="E17879" s="1" t="s">
        <v>1339</v>
      </c>
      <c r="F17879" s="2"/>
      <c r="G17879" s="2"/>
      <c r="H17879" s="2"/>
    </row>
    <row r="17880" spans="1:8" x14ac:dyDescent="0.25">
      <c r="A17880" s="1"/>
      <c r="B17880" s="1" t="s">
        <v>5782</v>
      </c>
      <c r="C17880" s="1" t="s">
        <v>5783</v>
      </c>
      <c r="D17880" s="22" t="str">
        <f>HYPERLINK("https://rhld.insurance.arkansas.gov/NPILookup?Npi=1871743096","1871743096")</f>
        <v>1871743096</v>
      </c>
      <c r="E17880" s="1" t="s">
        <v>23627</v>
      </c>
      <c r="F17880" s="2"/>
      <c r="G17880" s="2"/>
      <c r="H17880" s="2"/>
    </row>
    <row r="17881" spans="1:8" x14ac:dyDescent="0.25">
      <c r="A17881" s="1"/>
      <c r="B17881" s="1" t="s">
        <v>5782</v>
      </c>
      <c r="C17881" s="1" t="s">
        <v>5783</v>
      </c>
      <c r="D17881" s="22" t="str">
        <f>HYPERLINK("https://rhld.insurance.arkansas.gov/NPILookup?Npi=1871750950","1871750950")</f>
        <v>1871750950</v>
      </c>
      <c r="E17881" s="1" t="s">
        <v>3302</v>
      </c>
      <c r="F17881" s="2"/>
      <c r="G17881" s="2"/>
      <c r="H17881" s="2"/>
    </row>
    <row r="17882" spans="1:8" x14ac:dyDescent="0.25">
      <c r="A17882" s="1"/>
      <c r="B17882" s="1" t="s">
        <v>5782</v>
      </c>
      <c r="C17882" s="1" t="s">
        <v>5783</v>
      </c>
      <c r="D17882" s="22" t="str">
        <f>HYPERLINK("https://rhld.insurance.arkansas.gov/NPILookup?Npi=1871757898","1871757898")</f>
        <v>1871757898</v>
      </c>
      <c r="E17882" s="1" t="s">
        <v>23628</v>
      </c>
      <c r="F17882" s="2"/>
      <c r="G17882" s="2"/>
      <c r="H17882" s="2"/>
    </row>
    <row r="17883" spans="1:8" x14ac:dyDescent="0.25">
      <c r="A17883" s="1"/>
      <c r="B17883" s="1" t="s">
        <v>5782</v>
      </c>
      <c r="C17883" s="1" t="s">
        <v>5783</v>
      </c>
      <c r="D17883" s="22" t="str">
        <f>HYPERLINK("https://rhld.insurance.arkansas.gov/NPILookup?Npi=1871820993","1871820993")</f>
        <v>1871820993</v>
      </c>
      <c r="E17883" s="1" t="s">
        <v>23630</v>
      </c>
      <c r="F17883" s="2"/>
      <c r="G17883" s="2"/>
      <c r="H17883" s="2"/>
    </row>
    <row r="17884" spans="1:8" x14ac:dyDescent="0.25">
      <c r="A17884" s="1"/>
      <c r="B17884" s="1" t="s">
        <v>5782</v>
      </c>
      <c r="C17884" s="1" t="s">
        <v>5783</v>
      </c>
      <c r="D17884" s="22" t="str">
        <f>HYPERLINK("https://rhld.insurance.arkansas.gov/NPILookup?Npi=1871832196","1871832196")</f>
        <v>1871832196</v>
      </c>
      <c r="E17884" s="1" t="s">
        <v>3290</v>
      </c>
      <c r="F17884" s="2"/>
      <c r="G17884" s="2"/>
      <c r="H17884" s="2"/>
    </row>
    <row r="17885" spans="1:8" x14ac:dyDescent="0.25">
      <c r="A17885" s="1"/>
      <c r="B17885" s="1" t="s">
        <v>5782</v>
      </c>
      <c r="C17885" s="1" t="s">
        <v>5783</v>
      </c>
      <c r="D17885" s="22" t="str">
        <f>HYPERLINK("https://rhld.insurance.arkansas.gov/NPILookup?Npi=1871849422","1871849422")</f>
        <v>1871849422</v>
      </c>
      <c r="E17885" s="1" t="s">
        <v>13505</v>
      </c>
      <c r="F17885" s="2"/>
      <c r="G17885" s="2"/>
      <c r="H17885" s="2"/>
    </row>
    <row r="17886" spans="1:8" x14ac:dyDescent="0.25">
      <c r="A17886" s="1"/>
      <c r="B17886" s="1" t="s">
        <v>5782</v>
      </c>
      <c r="C17886" s="1" t="s">
        <v>5783</v>
      </c>
      <c r="D17886" s="22" t="str">
        <f>HYPERLINK("https://rhld.insurance.arkansas.gov/NPILookup?Npi=1871852509","1871852509")</f>
        <v>1871852509</v>
      </c>
      <c r="E17886" s="1" t="s">
        <v>23631</v>
      </c>
      <c r="F17886" s="2"/>
      <c r="G17886" s="2"/>
      <c r="H17886" s="2"/>
    </row>
    <row r="17887" spans="1:8" x14ac:dyDescent="0.25">
      <c r="A17887" s="1"/>
      <c r="B17887" s="1" t="s">
        <v>5782</v>
      </c>
      <c r="C17887" s="1" t="s">
        <v>5783</v>
      </c>
      <c r="D17887" s="22" t="str">
        <f>HYPERLINK("https://rhld.insurance.arkansas.gov/NPILookup?Npi=1871854653","1871854653")</f>
        <v>1871854653</v>
      </c>
      <c r="E17887" s="1" t="s">
        <v>23632</v>
      </c>
      <c r="F17887" s="2"/>
      <c r="G17887" s="2"/>
      <c r="H17887" s="2"/>
    </row>
    <row r="17888" spans="1:8" x14ac:dyDescent="0.25">
      <c r="A17888" s="1"/>
      <c r="B17888" s="1" t="s">
        <v>5782</v>
      </c>
      <c r="C17888" s="1" t="s">
        <v>5783</v>
      </c>
      <c r="D17888" s="22" t="str">
        <f>HYPERLINK("https://rhld.insurance.arkansas.gov/NPILookup?Npi=1871854851","1871854851")</f>
        <v>1871854851</v>
      </c>
      <c r="E17888" s="1" t="s">
        <v>23633</v>
      </c>
      <c r="F17888" s="2"/>
      <c r="G17888" s="2"/>
      <c r="H17888" s="2"/>
    </row>
    <row r="17889" spans="1:8" x14ac:dyDescent="0.25">
      <c r="A17889" s="1"/>
      <c r="B17889" s="1" t="s">
        <v>5782</v>
      </c>
      <c r="C17889" s="1" t="s">
        <v>5783</v>
      </c>
      <c r="D17889" s="22" t="str">
        <f>HYPERLINK("https://rhld.insurance.arkansas.gov/NPILookup?Npi=1871855684","1871855684")</f>
        <v>1871855684</v>
      </c>
      <c r="E17889" s="1" t="s">
        <v>23634</v>
      </c>
      <c r="F17889" s="2"/>
      <c r="G17889" s="2"/>
      <c r="H17889" s="2"/>
    </row>
    <row r="17890" spans="1:8" x14ac:dyDescent="0.25">
      <c r="A17890" s="1"/>
      <c r="B17890" s="1" t="s">
        <v>5782</v>
      </c>
      <c r="C17890" s="1" t="s">
        <v>5783</v>
      </c>
      <c r="D17890" s="22" t="str">
        <f>HYPERLINK("https://rhld.insurance.arkansas.gov/NPILookup?Npi=1871875385","1871875385")</f>
        <v>1871875385</v>
      </c>
      <c r="E17890" s="1" t="s">
        <v>1679</v>
      </c>
      <c r="F17890" s="2"/>
      <c r="G17890" s="2"/>
      <c r="H17890" s="2"/>
    </row>
    <row r="17891" spans="1:8" x14ac:dyDescent="0.25">
      <c r="A17891" s="1"/>
      <c r="B17891" s="1" t="s">
        <v>5782</v>
      </c>
      <c r="C17891" s="1" t="s">
        <v>5783</v>
      </c>
      <c r="D17891" s="22" t="str">
        <f>HYPERLINK("https://rhld.insurance.arkansas.gov/NPILookup?Npi=1871883678","1871883678")</f>
        <v>1871883678</v>
      </c>
      <c r="E17891" s="1" t="s">
        <v>6485</v>
      </c>
      <c r="F17891" s="2"/>
      <c r="G17891" s="2"/>
      <c r="H17891" s="2"/>
    </row>
    <row r="17892" spans="1:8" x14ac:dyDescent="0.25">
      <c r="A17892" s="1"/>
      <c r="B17892" s="1" t="s">
        <v>5782</v>
      </c>
      <c r="C17892" s="1" t="s">
        <v>5783</v>
      </c>
      <c r="D17892" s="22" t="str">
        <f>HYPERLINK("https://rhld.insurance.arkansas.gov/NPILookup?Npi=1871907337","1871907337")</f>
        <v>1871907337</v>
      </c>
      <c r="E17892" s="1" t="s">
        <v>23635</v>
      </c>
      <c r="F17892" s="2"/>
      <c r="G17892" s="2"/>
      <c r="H17892" s="2"/>
    </row>
    <row r="17893" spans="1:8" x14ac:dyDescent="0.25">
      <c r="A17893" s="1"/>
      <c r="B17893" s="1" t="s">
        <v>5782</v>
      </c>
      <c r="C17893" s="1" t="s">
        <v>5783</v>
      </c>
      <c r="D17893" s="22" t="str">
        <f>HYPERLINK("https://rhld.insurance.arkansas.gov/NPILookup?Npi=1871919704","1871919704")</f>
        <v>1871919704</v>
      </c>
      <c r="E17893" s="1" t="s">
        <v>23636</v>
      </c>
      <c r="F17893" s="2"/>
      <c r="G17893" s="2"/>
      <c r="H17893" s="2"/>
    </row>
    <row r="17894" spans="1:8" x14ac:dyDescent="0.25">
      <c r="A17894" s="1"/>
      <c r="B17894" s="1" t="s">
        <v>5782</v>
      </c>
      <c r="C17894" s="1" t="s">
        <v>5783</v>
      </c>
      <c r="D17894" s="22" t="str">
        <f>HYPERLINK("https://rhld.insurance.arkansas.gov/NPILookup?Npi=1871931022","1871931022")</f>
        <v>1871931022</v>
      </c>
      <c r="E17894" s="1" t="s">
        <v>3402</v>
      </c>
      <c r="F17894" s="2"/>
      <c r="G17894" s="2"/>
      <c r="H17894" s="2"/>
    </row>
    <row r="17895" spans="1:8" x14ac:dyDescent="0.25">
      <c r="A17895" s="1"/>
      <c r="B17895" s="1" t="s">
        <v>5782</v>
      </c>
      <c r="C17895" s="1" t="s">
        <v>5783</v>
      </c>
      <c r="D17895" s="22" t="str">
        <f>HYPERLINK("https://rhld.insurance.arkansas.gov/NPILookup?Npi=1871932210","1871932210")</f>
        <v>1871932210</v>
      </c>
      <c r="E17895" s="1" t="s">
        <v>23637</v>
      </c>
      <c r="F17895" s="2"/>
      <c r="G17895" s="2"/>
      <c r="H17895" s="2"/>
    </row>
    <row r="17896" spans="1:8" x14ac:dyDescent="0.25">
      <c r="A17896" s="1"/>
      <c r="B17896" s="1" t="s">
        <v>5782</v>
      </c>
      <c r="C17896" s="1" t="s">
        <v>5783</v>
      </c>
      <c r="D17896" s="22" t="str">
        <f>HYPERLINK("https://rhld.insurance.arkansas.gov/NPILookup?Npi=1871966804","1871966804")</f>
        <v>1871966804</v>
      </c>
      <c r="E17896" s="1" t="s">
        <v>12198</v>
      </c>
      <c r="F17896" s="2"/>
      <c r="G17896" s="2"/>
      <c r="H17896" s="2"/>
    </row>
    <row r="17897" spans="1:8" x14ac:dyDescent="0.25">
      <c r="A17897" s="1"/>
      <c r="B17897" s="1" t="s">
        <v>5782</v>
      </c>
      <c r="C17897" s="1" t="s">
        <v>5783</v>
      </c>
      <c r="D17897" s="22" t="str">
        <f>HYPERLINK("https://rhld.insurance.arkansas.gov/NPILookup?Npi=1871967406","1871967406")</f>
        <v>1871967406</v>
      </c>
      <c r="E17897" s="1" t="s">
        <v>23638</v>
      </c>
      <c r="F17897" s="2"/>
      <c r="G17897" s="2"/>
      <c r="H17897" s="2"/>
    </row>
    <row r="17898" spans="1:8" x14ac:dyDescent="0.25">
      <c r="A17898" s="1"/>
      <c r="B17898" s="1" t="s">
        <v>5782</v>
      </c>
      <c r="C17898" s="1" t="s">
        <v>5783</v>
      </c>
      <c r="D17898" s="22" t="str">
        <f>HYPERLINK("https://rhld.insurance.arkansas.gov/NPILookup?Npi=1871967687","1871967687")</f>
        <v>1871967687</v>
      </c>
      <c r="E17898" s="1" t="s">
        <v>23639</v>
      </c>
      <c r="F17898" s="2"/>
      <c r="G17898" s="2"/>
      <c r="H17898" s="2"/>
    </row>
    <row r="17899" spans="1:8" x14ac:dyDescent="0.25">
      <c r="A17899" s="1"/>
      <c r="B17899" s="1" t="s">
        <v>5782</v>
      </c>
      <c r="C17899" s="1" t="s">
        <v>5783</v>
      </c>
      <c r="D17899" s="22" t="str">
        <f>HYPERLINK("https://rhld.insurance.arkansas.gov/NPILookup?Npi=1871967927","1871967927")</f>
        <v>1871967927</v>
      </c>
      <c r="E17899" s="1" t="s">
        <v>2533</v>
      </c>
      <c r="F17899" s="2"/>
      <c r="G17899" s="2"/>
      <c r="H17899" s="2"/>
    </row>
    <row r="17900" spans="1:8" x14ac:dyDescent="0.25">
      <c r="A17900" s="1"/>
      <c r="B17900" s="1" t="s">
        <v>5782</v>
      </c>
      <c r="C17900" s="1" t="s">
        <v>5783</v>
      </c>
      <c r="D17900" s="22" t="str">
        <f>HYPERLINK("https://rhld.insurance.arkansas.gov/NPILookup?Npi=1871976738","1871976738")</f>
        <v>1871976738</v>
      </c>
      <c r="E17900" s="1" t="s">
        <v>20936</v>
      </c>
      <c r="F17900" s="2"/>
      <c r="G17900" s="2"/>
      <c r="H17900" s="2"/>
    </row>
    <row r="17901" spans="1:8" x14ac:dyDescent="0.25">
      <c r="A17901" s="1"/>
      <c r="B17901" s="1" t="s">
        <v>5782</v>
      </c>
      <c r="C17901" s="1" t="s">
        <v>5783</v>
      </c>
      <c r="D17901" s="22" t="str">
        <f>HYPERLINK("https://rhld.insurance.arkansas.gov/NPILookup?Npi=1871982132","1871982132")</f>
        <v>1871982132</v>
      </c>
      <c r="E17901" s="1" t="s">
        <v>23640</v>
      </c>
      <c r="F17901" s="2"/>
      <c r="G17901" s="2"/>
      <c r="H17901" s="2"/>
    </row>
    <row r="17902" spans="1:8" x14ac:dyDescent="0.25">
      <c r="A17902" s="1"/>
      <c r="B17902" s="1" t="s">
        <v>5782</v>
      </c>
      <c r="C17902" s="1" t="s">
        <v>5783</v>
      </c>
      <c r="D17902" s="22" t="str">
        <f>HYPERLINK("https://rhld.insurance.arkansas.gov/NPILookup?Npi=1871994145","1871994145")</f>
        <v>1871994145</v>
      </c>
      <c r="E17902" s="1" t="s">
        <v>23641</v>
      </c>
      <c r="F17902" s="2"/>
      <c r="G17902" s="2"/>
      <c r="H17902" s="2"/>
    </row>
    <row r="17903" spans="1:8" x14ac:dyDescent="0.25">
      <c r="A17903" s="1"/>
      <c r="B17903" s="1" t="s">
        <v>5782</v>
      </c>
      <c r="C17903" s="1" t="s">
        <v>5783</v>
      </c>
      <c r="D17903" s="22" t="str">
        <f>HYPERLINK("https://rhld.insurance.arkansas.gov/NPILookup?Npi=1881006641","1881006641")</f>
        <v>1881006641</v>
      </c>
      <c r="E17903" s="1" t="s">
        <v>23642</v>
      </c>
      <c r="F17903" s="2"/>
      <c r="G17903" s="2"/>
      <c r="H17903" s="2"/>
    </row>
    <row r="17904" spans="1:8" x14ac:dyDescent="0.25">
      <c r="A17904" s="1"/>
      <c r="B17904" s="1" t="s">
        <v>5782</v>
      </c>
      <c r="C17904" s="1" t="s">
        <v>5783</v>
      </c>
      <c r="D17904" s="22" t="str">
        <f>HYPERLINK("https://rhld.insurance.arkansas.gov/NPILookup?Npi=1881019867","1881019867")</f>
        <v>1881019867</v>
      </c>
      <c r="E17904" s="1" t="s">
        <v>23643</v>
      </c>
      <c r="F17904" s="2"/>
      <c r="G17904" s="2"/>
      <c r="H17904" s="2"/>
    </row>
    <row r="17905" spans="1:8" x14ac:dyDescent="0.25">
      <c r="A17905" s="1"/>
      <c r="B17905" s="1" t="s">
        <v>5782</v>
      </c>
      <c r="C17905" s="1" t="s">
        <v>5783</v>
      </c>
      <c r="D17905" s="22" t="str">
        <f>HYPERLINK("https://rhld.insurance.arkansas.gov/NPILookup?Npi=1881023828","1881023828")</f>
        <v>1881023828</v>
      </c>
      <c r="E17905" s="1" t="s">
        <v>3403</v>
      </c>
      <c r="F17905" s="2"/>
      <c r="G17905" s="2"/>
      <c r="H17905" s="2"/>
    </row>
    <row r="17906" spans="1:8" x14ac:dyDescent="0.25">
      <c r="A17906" s="1"/>
      <c r="B17906" s="1" t="s">
        <v>5782</v>
      </c>
      <c r="C17906" s="1" t="s">
        <v>5783</v>
      </c>
      <c r="D17906" s="22" t="str">
        <f>HYPERLINK("https://rhld.insurance.arkansas.gov/NPILookup?Npi=1881030013","1881030013")</f>
        <v>1881030013</v>
      </c>
      <c r="E17906" s="1" t="s">
        <v>23644</v>
      </c>
      <c r="F17906" s="2"/>
      <c r="G17906" s="2"/>
      <c r="H17906" s="2"/>
    </row>
    <row r="17907" spans="1:8" x14ac:dyDescent="0.25">
      <c r="A17907" s="1"/>
      <c r="B17907" s="1" t="s">
        <v>5782</v>
      </c>
      <c r="C17907" s="1" t="s">
        <v>5783</v>
      </c>
      <c r="D17907" s="22" t="str">
        <f>HYPERLINK("https://rhld.insurance.arkansas.gov/NPILookup?Npi=1881031748","1881031748")</f>
        <v>1881031748</v>
      </c>
      <c r="E17907" s="1" t="s">
        <v>6724</v>
      </c>
      <c r="F17907" s="2"/>
      <c r="G17907" s="2"/>
      <c r="H17907" s="2"/>
    </row>
    <row r="17908" spans="1:8" x14ac:dyDescent="0.25">
      <c r="A17908" s="1"/>
      <c r="B17908" s="1" t="s">
        <v>5782</v>
      </c>
      <c r="C17908" s="1" t="s">
        <v>5783</v>
      </c>
      <c r="D17908" s="22" t="str">
        <f>HYPERLINK("https://rhld.insurance.arkansas.gov/NPILookup?Npi=1881032225","1881032225")</f>
        <v>1881032225</v>
      </c>
      <c r="E17908" s="1" t="s">
        <v>23645</v>
      </c>
      <c r="F17908" s="2"/>
      <c r="G17908" s="2"/>
      <c r="H17908" s="2"/>
    </row>
    <row r="17909" spans="1:8" x14ac:dyDescent="0.25">
      <c r="A17909" s="1"/>
      <c r="B17909" s="1" t="s">
        <v>5782</v>
      </c>
      <c r="C17909" s="1" t="s">
        <v>5783</v>
      </c>
      <c r="D17909" s="22" t="str">
        <f>HYPERLINK("https://rhld.insurance.arkansas.gov/NPILookup?Npi=1881049245","1881049245")</f>
        <v>1881049245</v>
      </c>
      <c r="E17909" s="1" t="s">
        <v>6725</v>
      </c>
      <c r="F17909" s="2"/>
      <c r="G17909" s="2"/>
      <c r="H17909" s="2"/>
    </row>
    <row r="17910" spans="1:8" x14ac:dyDescent="0.25">
      <c r="A17910" s="1"/>
      <c r="B17910" s="1" t="s">
        <v>5782</v>
      </c>
      <c r="C17910" s="1" t="s">
        <v>5783</v>
      </c>
      <c r="D17910" s="22" t="str">
        <f>HYPERLINK("https://rhld.insurance.arkansas.gov/NPILookup?Npi=1881052785","1881052785")</f>
        <v>1881052785</v>
      </c>
      <c r="E17910" s="1" t="s">
        <v>23646</v>
      </c>
      <c r="F17910" s="2"/>
      <c r="G17910" s="2"/>
      <c r="H17910" s="2"/>
    </row>
    <row r="17911" spans="1:8" x14ac:dyDescent="0.25">
      <c r="A17911" s="1"/>
      <c r="B17911" s="1" t="s">
        <v>5782</v>
      </c>
      <c r="C17911" s="1" t="s">
        <v>5783</v>
      </c>
      <c r="D17911" s="22" t="str">
        <f>HYPERLINK("https://rhld.insurance.arkansas.gov/NPILookup?Npi=1881060333","1881060333")</f>
        <v>1881060333</v>
      </c>
      <c r="E17911" s="1" t="s">
        <v>6726</v>
      </c>
      <c r="F17911" s="2"/>
      <c r="G17911" s="2"/>
      <c r="H17911" s="2"/>
    </row>
    <row r="17912" spans="1:8" x14ac:dyDescent="0.25">
      <c r="A17912" s="1"/>
      <c r="B17912" s="1" t="s">
        <v>5782</v>
      </c>
      <c r="C17912" s="1" t="s">
        <v>5783</v>
      </c>
      <c r="D17912" s="22" t="str">
        <f>HYPERLINK("https://rhld.insurance.arkansas.gov/NPILookup?Npi=1881063410","1881063410")</f>
        <v>1881063410</v>
      </c>
      <c r="E17912" s="1" t="s">
        <v>23647</v>
      </c>
      <c r="F17912" s="2"/>
      <c r="G17912" s="2"/>
      <c r="H17912" s="2"/>
    </row>
    <row r="17913" spans="1:8" x14ac:dyDescent="0.25">
      <c r="A17913" s="1"/>
      <c r="B17913" s="1" t="s">
        <v>5782</v>
      </c>
      <c r="C17913" s="1" t="s">
        <v>5783</v>
      </c>
      <c r="D17913" s="22" t="str">
        <f>HYPERLINK("https://rhld.insurance.arkansas.gov/NPILookup?Npi=1881074755","1881074755")</f>
        <v>1881074755</v>
      </c>
      <c r="E17913" s="1" t="s">
        <v>3404</v>
      </c>
      <c r="F17913" s="2"/>
      <c r="G17913" s="2"/>
      <c r="H17913" s="2"/>
    </row>
    <row r="17914" spans="1:8" x14ac:dyDescent="0.25">
      <c r="A17914" s="1"/>
      <c r="B17914" s="1" t="s">
        <v>5782</v>
      </c>
      <c r="C17914" s="1" t="s">
        <v>5783</v>
      </c>
      <c r="D17914" s="22" t="str">
        <f>HYPERLINK("https://rhld.insurance.arkansas.gov/NPILookup?Npi=1881095842","1881095842")</f>
        <v>1881095842</v>
      </c>
      <c r="E17914" s="1" t="s">
        <v>23648</v>
      </c>
      <c r="F17914" s="2"/>
      <c r="G17914" s="2"/>
      <c r="H17914" s="2"/>
    </row>
    <row r="17915" spans="1:8" x14ac:dyDescent="0.25">
      <c r="A17915" s="1"/>
      <c r="B17915" s="1" t="s">
        <v>5782</v>
      </c>
      <c r="C17915" s="1" t="s">
        <v>5783</v>
      </c>
      <c r="D17915" s="22" t="str">
        <f>HYPERLINK("https://rhld.insurance.arkansas.gov/NPILookup?Npi=1881102820","1881102820")</f>
        <v>1881102820</v>
      </c>
      <c r="E17915" s="1" t="s">
        <v>23649</v>
      </c>
      <c r="F17915" s="2"/>
      <c r="G17915" s="2"/>
      <c r="H17915" s="2"/>
    </row>
    <row r="17916" spans="1:8" x14ac:dyDescent="0.25">
      <c r="A17916" s="1"/>
      <c r="B17916" s="1" t="s">
        <v>5782</v>
      </c>
      <c r="C17916" s="1" t="s">
        <v>5783</v>
      </c>
      <c r="D17916" s="22" t="str">
        <f>HYPERLINK("https://rhld.insurance.arkansas.gov/NPILookup?Npi=1881114320","1881114320")</f>
        <v>1881114320</v>
      </c>
      <c r="E17916" s="1" t="s">
        <v>1432</v>
      </c>
      <c r="F17916" s="2"/>
      <c r="G17916" s="2"/>
      <c r="H17916" s="2"/>
    </row>
    <row r="17917" spans="1:8" x14ac:dyDescent="0.25">
      <c r="A17917" s="1"/>
      <c r="B17917" s="1" t="s">
        <v>5782</v>
      </c>
      <c r="C17917" s="1" t="s">
        <v>5783</v>
      </c>
      <c r="D17917" s="22" t="str">
        <f>HYPERLINK("https://rhld.insurance.arkansas.gov/NPILookup?Npi=1881114544","1881114544")</f>
        <v>1881114544</v>
      </c>
      <c r="E17917" s="1" t="s">
        <v>2520</v>
      </c>
      <c r="F17917" s="2"/>
      <c r="G17917" s="2"/>
      <c r="H17917" s="2"/>
    </row>
    <row r="17918" spans="1:8" x14ac:dyDescent="0.25">
      <c r="A17918" s="1"/>
      <c r="B17918" s="1" t="s">
        <v>5782</v>
      </c>
      <c r="C17918" s="1" t="s">
        <v>5783</v>
      </c>
      <c r="D17918" s="22" t="str">
        <f>HYPERLINK("https://rhld.insurance.arkansas.gov/NPILookup?Npi=1881117182","1881117182")</f>
        <v>1881117182</v>
      </c>
      <c r="E17918" s="1" t="s">
        <v>23650</v>
      </c>
      <c r="F17918" s="2"/>
      <c r="G17918" s="2"/>
      <c r="H17918" s="2"/>
    </row>
    <row r="17919" spans="1:8" x14ac:dyDescent="0.25">
      <c r="A17919" s="1"/>
      <c r="B17919" s="1" t="s">
        <v>5782</v>
      </c>
      <c r="C17919" s="1" t="s">
        <v>5783</v>
      </c>
      <c r="D17919" s="22" t="str">
        <f>HYPERLINK("https://rhld.insurance.arkansas.gov/NPILookup?Npi=1881118057","1881118057")</f>
        <v>1881118057</v>
      </c>
      <c r="E17919" s="1" t="s">
        <v>23651</v>
      </c>
      <c r="F17919" s="2"/>
      <c r="G17919" s="2"/>
      <c r="H17919" s="2"/>
    </row>
    <row r="17920" spans="1:8" x14ac:dyDescent="0.25">
      <c r="A17920" s="1"/>
      <c r="B17920" s="1" t="s">
        <v>5782</v>
      </c>
      <c r="C17920" s="1" t="s">
        <v>5783</v>
      </c>
      <c r="D17920" s="22" t="str">
        <f>HYPERLINK("https://rhld.insurance.arkansas.gov/NPILookup?Npi=1881120715","1881120715")</f>
        <v>1881120715</v>
      </c>
      <c r="E17920" s="1" t="s">
        <v>23652</v>
      </c>
      <c r="F17920" s="2"/>
      <c r="G17920" s="2"/>
      <c r="H17920" s="2"/>
    </row>
    <row r="17921" spans="1:8" x14ac:dyDescent="0.25">
      <c r="A17921" s="1"/>
      <c r="B17921" s="1" t="s">
        <v>5782</v>
      </c>
      <c r="C17921" s="1" t="s">
        <v>5783</v>
      </c>
      <c r="D17921" s="22" t="str">
        <f>HYPERLINK("https://rhld.insurance.arkansas.gov/NPILookup?Npi=1881121879","1881121879")</f>
        <v>1881121879</v>
      </c>
      <c r="E17921" s="1" t="s">
        <v>23653</v>
      </c>
      <c r="F17921" s="2"/>
      <c r="G17921" s="2"/>
      <c r="H17921" s="2"/>
    </row>
    <row r="17922" spans="1:8" x14ac:dyDescent="0.25">
      <c r="A17922" s="1"/>
      <c r="B17922" s="1" t="s">
        <v>5782</v>
      </c>
      <c r="C17922" s="1" t="s">
        <v>5783</v>
      </c>
      <c r="D17922" s="22" t="str">
        <f>HYPERLINK("https://rhld.insurance.arkansas.gov/NPILookup?Npi=1881130292","1881130292")</f>
        <v>1881130292</v>
      </c>
      <c r="E17922" s="1" t="s">
        <v>16518</v>
      </c>
      <c r="F17922" s="2"/>
      <c r="G17922" s="2"/>
      <c r="H17922" s="2"/>
    </row>
    <row r="17923" spans="1:8" x14ac:dyDescent="0.25">
      <c r="A17923" s="1"/>
      <c r="B17923" s="1" t="s">
        <v>5782</v>
      </c>
      <c r="C17923" s="1" t="s">
        <v>5783</v>
      </c>
      <c r="D17923" s="22" t="str">
        <f>HYPERLINK("https://rhld.insurance.arkansas.gov/NPILookup?Npi=1881137446","1881137446")</f>
        <v>1881137446</v>
      </c>
      <c r="E17923" s="1" t="s">
        <v>6727</v>
      </c>
      <c r="F17923" s="2"/>
      <c r="G17923" s="2"/>
      <c r="H17923" s="2"/>
    </row>
    <row r="17924" spans="1:8" x14ac:dyDescent="0.25">
      <c r="A17924" s="1"/>
      <c r="B17924" s="1" t="s">
        <v>5782</v>
      </c>
      <c r="C17924" s="1" t="s">
        <v>5783</v>
      </c>
      <c r="D17924" s="22" t="str">
        <f>HYPERLINK("https://rhld.insurance.arkansas.gov/NPILookup?Npi=1881138550","1881138550")</f>
        <v>1881138550</v>
      </c>
      <c r="E17924" s="1" t="s">
        <v>23654</v>
      </c>
      <c r="F17924" s="2"/>
      <c r="G17924" s="2"/>
      <c r="H17924" s="2"/>
    </row>
    <row r="17925" spans="1:8" x14ac:dyDescent="0.25">
      <c r="A17925" s="1"/>
      <c r="B17925" s="1" t="s">
        <v>5782</v>
      </c>
      <c r="C17925" s="1" t="s">
        <v>5783</v>
      </c>
      <c r="D17925" s="22" t="str">
        <f>HYPERLINK("https://rhld.insurance.arkansas.gov/NPILookup?Npi=1881147122","1881147122")</f>
        <v>1881147122</v>
      </c>
      <c r="E17925" s="1" t="s">
        <v>1602</v>
      </c>
      <c r="F17925" s="2"/>
      <c r="G17925" s="2"/>
      <c r="H17925" s="2"/>
    </row>
    <row r="17926" spans="1:8" x14ac:dyDescent="0.25">
      <c r="A17926" s="1"/>
      <c r="B17926" s="1" t="s">
        <v>5782</v>
      </c>
      <c r="C17926" s="1" t="s">
        <v>5783</v>
      </c>
      <c r="D17926" s="22" t="str">
        <f>HYPERLINK("https://rhld.insurance.arkansas.gov/NPILookup?Npi=1881167666","1881167666")</f>
        <v>1881167666</v>
      </c>
      <c r="E17926" s="1" t="s">
        <v>6728</v>
      </c>
      <c r="F17926" s="2"/>
      <c r="G17926" s="2"/>
      <c r="H17926" s="2"/>
    </row>
    <row r="17927" spans="1:8" x14ac:dyDescent="0.25">
      <c r="A17927" s="1"/>
      <c r="B17927" s="1" t="s">
        <v>5782</v>
      </c>
      <c r="C17927" s="1" t="s">
        <v>5783</v>
      </c>
      <c r="D17927" s="22" t="str">
        <f>HYPERLINK("https://rhld.insurance.arkansas.gov/NPILookup?Npi=1881171809","1881171809")</f>
        <v>1881171809</v>
      </c>
      <c r="E17927" s="1" t="s">
        <v>23655</v>
      </c>
      <c r="F17927" s="2"/>
      <c r="G17927" s="2"/>
      <c r="H17927" s="2"/>
    </row>
    <row r="17928" spans="1:8" x14ac:dyDescent="0.25">
      <c r="A17928" s="1"/>
      <c r="B17928" s="1" t="s">
        <v>5782</v>
      </c>
      <c r="C17928" s="1" t="s">
        <v>5783</v>
      </c>
      <c r="D17928" s="22" t="str">
        <f>HYPERLINK("https://rhld.insurance.arkansas.gov/NPILookup?Npi=1881207785","1881207785")</f>
        <v>1881207785</v>
      </c>
      <c r="E17928" s="1" t="s">
        <v>23656</v>
      </c>
      <c r="F17928" s="2"/>
      <c r="G17928" s="2"/>
      <c r="H17928" s="2"/>
    </row>
    <row r="17929" spans="1:8" x14ac:dyDescent="0.25">
      <c r="A17929" s="1"/>
      <c r="B17929" s="1" t="s">
        <v>5782</v>
      </c>
      <c r="C17929" s="1" t="s">
        <v>5783</v>
      </c>
      <c r="D17929" s="22" t="str">
        <f>HYPERLINK("https://rhld.insurance.arkansas.gov/NPILookup?Npi=1881231728","1881231728")</f>
        <v>1881231728</v>
      </c>
      <c r="E17929" s="1" t="s">
        <v>12200</v>
      </c>
      <c r="F17929" s="2"/>
      <c r="G17929" s="2"/>
      <c r="H17929" s="2"/>
    </row>
    <row r="17930" spans="1:8" x14ac:dyDescent="0.25">
      <c r="A17930" s="1"/>
      <c r="B17930" s="1" t="s">
        <v>5782</v>
      </c>
      <c r="C17930" s="1" t="s">
        <v>5783</v>
      </c>
      <c r="D17930" s="22" t="str">
        <f>HYPERLINK("https://rhld.insurance.arkansas.gov/NPILookup?Npi=1881244200","1881244200")</f>
        <v>1881244200</v>
      </c>
      <c r="E17930" s="1" t="s">
        <v>23657</v>
      </c>
      <c r="F17930" s="2"/>
      <c r="G17930" s="2"/>
      <c r="H17930" s="2"/>
    </row>
    <row r="17931" spans="1:8" x14ac:dyDescent="0.25">
      <c r="A17931" s="1"/>
      <c r="B17931" s="1" t="s">
        <v>5782</v>
      </c>
      <c r="C17931" s="1" t="s">
        <v>5783</v>
      </c>
      <c r="D17931" s="22" t="str">
        <f>HYPERLINK("https://rhld.insurance.arkansas.gov/NPILookup?Npi=1881253664","1881253664")</f>
        <v>1881253664</v>
      </c>
      <c r="E17931" s="1" t="s">
        <v>6729</v>
      </c>
      <c r="F17931" s="2"/>
      <c r="G17931" s="2"/>
      <c r="H17931" s="2"/>
    </row>
    <row r="17932" spans="1:8" x14ac:dyDescent="0.25">
      <c r="A17932" s="1"/>
      <c r="B17932" s="1" t="s">
        <v>5782</v>
      </c>
      <c r="C17932" s="1" t="s">
        <v>5783</v>
      </c>
      <c r="D17932" s="22" t="str">
        <f>HYPERLINK("https://rhld.insurance.arkansas.gov/NPILookup?Npi=1881259430","1881259430")</f>
        <v>1881259430</v>
      </c>
      <c r="E17932" s="1" t="s">
        <v>23658</v>
      </c>
      <c r="F17932" s="2"/>
      <c r="G17932" s="2"/>
      <c r="H17932" s="2"/>
    </row>
    <row r="17933" spans="1:8" x14ac:dyDescent="0.25">
      <c r="A17933" s="1"/>
      <c r="B17933" s="1" t="s">
        <v>5782</v>
      </c>
      <c r="C17933" s="1" t="s">
        <v>5783</v>
      </c>
      <c r="D17933" s="22" t="str">
        <f>HYPERLINK("https://rhld.insurance.arkansas.gov/NPILookup?Npi=1881273449","1881273449")</f>
        <v>1881273449</v>
      </c>
      <c r="E17933" s="1" t="s">
        <v>12201</v>
      </c>
      <c r="F17933" s="2"/>
      <c r="G17933" s="2"/>
      <c r="H17933" s="2"/>
    </row>
    <row r="17934" spans="1:8" x14ac:dyDescent="0.25">
      <c r="A17934" s="1"/>
      <c r="B17934" s="1" t="s">
        <v>5782</v>
      </c>
      <c r="C17934" s="1" t="s">
        <v>5783</v>
      </c>
      <c r="D17934" s="22" t="str">
        <f>HYPERLINK("https://rhld.insurance.arkansas.gov/NPILookup?Npi=1881279289","1881279289")</f>
        <v>1881279289</v>
      </c>
      <c r="E17934" s="1" t="s">
        <v>23659</v>
      </c>
      <c r="F17934" s="2"/>
      <c r="G17934" s="2"/>
      <c r="H17934" s="2"/>
    </row>
    <row r="17935" spans="1:8" x14ac:dyDescent="0.25">
      <c r="A17935" s="1"/>
      <c r="B17935" s="1" t="s">
        <v>5782</v>
      </c>
      <c r="C17935" s="1" t="s">
        <v>5783</v>
      </c>
      <c r="D17935" s="22" t="str">
        <f>HYPERLINK("https://rhld.insurance.arkansas.gov/NPILookup?Npi=1881295434","1881295434")</f>
        <v>1881295434</v>
      </c>
      <c r="E17935" s="1" t="s">
        <v>2696</v>
      </c>
      <c r="F17935" s="2"/>
      <c r="G17935" s="2"/>
      <c r="H17935" s="2"/>
    </row>
    <row r="17936" spans="1:8" x14ac:dyDescent="0.25">
      <c r="A17936" s="1"/>
      <c r="B17936" s="1" t="s">
        <v>5782</v>
      </c>
      <c r="C17936" s="1" t="s">
        <v>5783</v>
      </c>
      <c r="D17936" s="22" t="str">
        <f>HYPERLINK("https://rhld.insurance.arkansas.gov/NPILookup?Npi=1881304541","1881304541")</f>
        <v>1881304541</v>
      </c>
      <c r="E17936" s="1" t="s">
        <v>31962</v>
      </c>
      <c r="F17936" s="2"/>
      <c r="G17936" s="2"/>
      <c r="H17936" s="2"/>
    </row>
    <row r="17937" spans="1:8" x14ac:dyDescent="0.25">
      <c r="A17937" s="1"/>
      <c r="B17937" s="1" t="s">
        <v>5782</v>
      </c>
      <c r="C17937" s="1" t="s">
        <v>5783</v>
      </c>
      <c r="D17937" s="22" t="str">
        <f>HYPERLINK("https://rhld.insurance.arkansas.gov/NPILookup?Npi=1881311447","1881311447")</f>
        <v>1881311447</v>
      </c>
      <c r="E17937" s="1" t="s">
        <v>23660</v>
      </c>
      <c r="F17937" s="2"/>
      <c r="G17937" s="2"/>
      <c r="H17937" s="2"/>
    </row>
    <row r="17938" spans="1:8" x14ac:dyDescent="0.25">
      <c r="A17938" s="1"/>
      <c r="B17938" s="1" t="s">
        <v>5782</v>
      </c>
      <c r="C17938" s="1" t="s">
        <v>5783</v>
      </c>
      <c r="D17938" s="22" t="str">
        <f>HYPERLINK("https://rhld.insurance.arkansas.gov/NPILookup?Npi=1881335537","1881335537")</f>
        <v>1881335537</v>
      </c>
      <c r="E17938" s="1" t="s">
        <v>23661</v>
      </c>
      <c r="F17938" s="2"/>
      <c r="G17938" s="2"/>
      <c r="H17938" s="2"/>
    </row>
    <row r="17939" spans="1:8" x14ac:dyDescent="0.25">
      <c r="A17939" s="1"/>
      <c r="B17939" s="1" t="s">
        <v>5782</v>
      </c>
      <c r="C17939" s="1" t="s">
        <v>5783</v>
      </c>
      <c r="D17939" s="22" t="str">
        <f>HYPERLINK("https://rhld.insurance.arkansas.gov/NPILookup?Npi=1881352896","1881352896")</f>
        <v>1881352896</v>
      </c>
      <c r="E17939" s="1" t="s">
        <v>12202</v>
      </c>
      <c r="F17939" s="2"/>
      <c r="G17939" s="2"/>
      <c r="H17939" s="2"/>
    </row>
    <row r="17940" spans="1:8" x14ac:dyDescent="0.25">
      <c r="A17940" s="1"/>
      <c r="B17940" s="1" t="s">
        <v>5782</v>
      </c>
      <c r="C17940" s="1" t="s">
        <v>5783</v>
      </c>
      <c r="D17940" s="22" t="str">
        <f>HYPERLINK("https://rhld.insurance.arkansas.gov/NPILookup?Npi=1881360212","1881360212")</f>
        <v>1881360212</v>
      </c>
      <c r="E17940" s="1" t="s">
        <v>31963</v>
      </c>
      <c r="F17940" s="2"/>
      <c r="G17940" s="2"/>
      <c r="H17940" s="2"/>
    </row>
    <row r="17941" spans="1:8" x14ac:dyDescent="0.25">
      <c r="A17941" s="1"/>
      <c r="B17941" s="1" t="s">
        <v>5782</v>
      </c>
      <c r="C17941" s="1" t="s">
        <v>5783</v>
      </c>
      <c r="D17941" s="22" t="str">
        <f>HYPERLINK("https://rhld.insurance.arkansas.gov/NPILookup?Npi=1881373769","1881373769")</f>
        <v>1881373769</v>
      </c>
      <c r="E17941" s="1" t="s">
        <v>12203</v>
      </c>
      <c r="F17941" s="2"/>
      <c r="G17941" s="2"/>
      <c r="H17941" s="2"/>
    </row>
    <row r="17942" spans="1:8" x14ac:dyDescent="0.25">
      <c r="A17942" s="1"/>
      <c r="B17942" s="1" t="s">
        <v>5782</v>
      </c>
      <c r="C17942" s="1" t="s">
        <v>5783</v>
      </c>
      <c r="D17942" s="22" t="str">
        <f>HYPERLINK("https://rhld.insurance.arkansas.gov/NPILookup?Npi=1881384949","1881384949")</f>
        <v>1881384949</v>
      </c>
      <c r="E17942" s="1" t="s">
        <v>5208</v>
      </c>
      <c r="F17942" s="2"/>
      <c r="G17942" s="2"/>
      <c r="H17942" s="2"/>
    </row>
    <row r="17943" spans="1:8" x14ac:dyDescent="0.25">
      <c r="A17943" s="1"/>
      <c r="B17943" s="1" t="s">
        <v>5782</v>
      </c>
      <c r="C17943" s="1" t="s">
        <v>5783</v>
      </c>
      <c r="D17943" s="22" t="str">
        <f>HYPERLINK("https://rhld.insurance.arkansas.gov/NPILookup?Npi=1881449254","1881449254")</f>
        <v>1881449254</v>
      </c>
      <c r="E17943" s="1" t="s">
        <v>23662</v>
      </c>
      <c r="F17943" s="2"/>
      <c r="G17943" s="2"/>
      <c r="H17943" s="2"/>
    </row>
    <row r="17944" spans="1:8" x14ac:dyDescent="0.25">
      <c r="A17944" s="1"/>
      <c r="B17944" s="1" t="s">
        <v>5782</v>
      </c>
      <c r="C17944" s="1" t="s">
        <v>5783</v>
      </c>
      <c r="D17944" s="22" t="str">
        <f>HYPERLINK("https://rhld.insurance.arkansas.gov/NPILookup?Npi=1881492031","1881492031")</f>
        <v>1881492031</v>
      </c>
      <c r="E17944" s="1" t="s">
        <v>31964</v>
      </c>
      <c r="F17944" s="2"/>
      <c r="G17944" s="2"/>
      <c r="H17944" s="2"/>
    </row>
    <row r="17945" spans="1:8" x14ac:dyDescent="0.25">
      <c r="A17945" s="1"/>
      <c r="B17945" s="1" t="s">
        <v>5782</v>
      </c>
      <c r="C17945" s="1" t="s">
        <v>5783</v>
      </c>
      <c r="D17945" s="22" t="str">
        <f>HYPERLINK("https://rhld.insurance.arkansas.gov/NPILookup?Npi=1881613503","1881613503")</f>
        <v>1881613503</v>
      </c>
      <c r="E17945" s="1" t="s">
        <v>23663</v>
      </c>
      <c r="F17945" s="2"/>
      <c r="G17945" s="2"/>
      <c r="H17945" s="2"/>
    </row>
    <row r="17946" spans="1:8" x14ac:dyDescent="0.25">
      <c r="A17946" s="1"/>
      <c r="B17946" s="1" t="s">
        <v>5782</v>
      </c>
      <c r="C17946" s="1" t="s">
        <v>5783</v>
      </c>
      <c r="D17946" s="22" t="str">
        <f>HYPERLINK("https://rhld.insurance.arkansas.gov/NPILookup?Npi=1881623197","1881623197")</f>
        <v>1881623197</v>
      </c>
      <c r="E17946" s="1" t="s">
        <v>3405</v>
      </c>
      <c r="F17946" s="2"/>
      <c r="G17946" s="2"/>
      <c r="H17946" s="2"/>
    </row>
    <row r="17947" spans="1:8" x14ac:dyDescent="0.25">
      <c r="A17947" s="1"/>
      <c r="B17947" s="1" t="s">
        <v>5782</v>
      </c>
      <c r="C17947" s="1" t="s">
        <v>5783</v>
      </c>
      <c r="D17947" s="22" t="str">
        <f>HYPERLINK("https://rhld.insurance.arkansas.gov/NPILookup?Npi=1881636967","1881636967")</f>
        <v>1881636967</v>
      </c>
      <c r="E17947" s="1" t="s">
        <v>23664</v>
      </c>
      <c r="F17947" s="2"/>
      <c r="G17947" s="2"/>
      <c r="H17947" s="2"/>
    </row>
    <row r="17948" spans="1:8" x14ac:dyDescent="0.25">
      <c r="A17948" s="1"/>
      <c r="B17948" s="1" t="s">
        <v>5782</v>
      </c>
      <c r="C17948" s="1" t="s">
        <v>5783</v>
      </c>
      <c r="D17948" s="22" t="str">
        <f>HYPERLINK("https://rhld.insurance.arkansas.gov/NPILookup?Npi=1881719136","1881719136")</f>
        <v>1881719136</v>
      </c>
      <c r="E17948" s="1" t="s">
        <v>23665</v>
      </c>
      <c r="F17948" s="2"/>
      <c r="G17948" s="2"/>
      <c r="H17948" s="2"/>
    </row>
    <row r="17949" spans="1:8" x14ac:dyDescent="0.25">
      <c r="A17949" s="1"/>
      <c r="B17949" s="1" t="s">
        <v>5782</v>
      </c>
      <c r="C17949" s="1" t="s">
        <v>5783</v>
      </c>
      <c r="D17949" s="22" t="str">
        <f>HYPERLINK("https://rhld.insurance.arkansas.gov/NPILookup?Npi=1881731446","1881731446")</f>
        <v>1881731446</v>
      </c>
      <c r="E17949" s="1" t="s">
        <v>23666</v>
      </c>
      <c r="F17949" s="2"/>
      <c r="G17949" s="2"/>
      <c r="H17949" s="2"/>
    </row>
    <row r="17950" spans="1:8" x14ac:dyDescent="0.25">
      <c r="A17950" s="1"/>
      <c r="B17950" s="1" t="s">
        <v>5782</v>
      </c>
      <c r="C17950" s="1" t="s">
        <v>5783</v>
      </c>
      <c r="D17950" s="22" t="str">
        <f>HYPERLINK("https://rhld.insurance.arkansas.gov/NPILookup?Npi=1881731685","1881731685")</f>
        <v>1881731685</v>
      </c>
      <c r="E17950" s="1" t="s">
        <v>23667</v>
      </c>
      <c r="F17950" s="2"/>
      <c r="G17950" s="2"/>
      <c r="H17950" s="2"/>
    </row>
    <row r="17951" spans="1:8" x14ac:dyDescent="0.25">
      <c r="A17951" s="1"/>
      <c r="B17951" s="1" t="s">
        <v>5782</v>
      </c>
      <c r="C17951" s="1" t="s">
        <v>5783</v>
      </c>
      <c r="D17951" s="22" t="str">
        <f>HYPERLINK("https://rhld.insurance.arkansas.gov/NPILookup?Npi=1881783959","1881783959")</f>
        <v>1881783959</v>
      </c>
      <c r="E17951" s="1" t="s">
        <v>17537</v>
      </c>
      <c r="F17951" s="2"/>
      <c r="G17951" s="2"/>
      <c r="H17951" s="2"/>
    </row>
    <row r="17952" spans="1:8" x14ac:dyDescent="0.25">
      <c r="A17952" s="1"/>
      <c r="B17952" s="1" t="s">
        <v>5782</v>
      </c>
      <c r="C17952" s="1" t="s">
        <v>5783</v>
      </c>
      <c r="D17952" s="22" t="str">
        <f>HYPERLINK("https://rhld.insurance.arkansas.gov/NPILookup?Npi=1881797793","1881797793")</f>
        <v>1881797793</v>
      </c>
      <c r="E17952" s="1" t="s">
        <v>23668</v>
      </c>
      <c r="F17952" s="2"/>
      <c r="G17952" s="2"/>
      <c r="H17952" s="2"/>
    </row>
    <row r="17953" spans="1:8" x14ac:dyDescent="0.25">
      <c r="A17953" s="1"/>
      <c r="B17953" s="1" t="s">
        <v>5782</v>
      </c>
      <c r="C17953" s="1" t="s">
        <v>5783</v>
      </c>
      <c r="D17953" s="22" t="str">
        <f>HYPERLINK("https://rhld.insurance.arkansas.gov/NPILookup?Npi=1881811248","1881811248")</f>
        <v>1881811248</v>
      </c>
      <c r="E17953" s="1" t="s">
        <v>2222</v>
      </c>
      <c r="F17953" s="2"/>
      <c r="G17953" s="2"/>
      <c r="H17953" s="2"/>
    </row>
    <row r="17954" spans="1:8" x14ac:dyDescent="0.25">
      <c r="A17954" s="1"/>
      <c r="B17954" s="1" t="s">
        <v>5782</v>
      </c>
      <c r="C17954" s="1" t="s">
        <v>5783</v>
      </c>
      <c r="D17954" s="22" t="str">
        <f>HYPERLINK("https://rhld.insurance.arkansas.gov/NPILookup?Npi=1881831832","1881831832")</f>
        <v>1881831832</v>
      </c>
      <c r="E17954" s="1" t="s">
        <v>23670</v>
      </c>
      <c r="F17954" s="2"/>
      <c r="G17954" s="2"/>
      <c r="H17954" s="2"/>
    </row>
    <row r="17955" spans="1:8" x14ac:dyDescent="0.25">
      <c r="A17955" s="1"/>
      <c r="B17955" s="1" t="s">
        <v>5782</v>
      </c>
      <c r="C17955" s="1" t="s">
        <v>5783</v>
      </c>
      <c r="D17955" s="22" t="str">
        <f>HYPERLINK("https://rhld.insurance.arkansas.gov/NPILookup?Npi=1881841179","1881841179")</f>
        <v>1881841179</v>
      </c>
      <c r="E17955" s="1" t="s">
        <v>31965</v>
      </c>
      <c r="F17955" s="2"/>
      <c r="G17955" s="2"/>
      <c r="H17955" s="2"/>
    </row>
    <row r="17956" spans="1:8" x14ac:dyDescent="0.25">
      <c r="A17956" s="1"/>
      <c r="B17956" s="1" t="s">
        <v>5782</v>
      </c>
      <c r="C17956" s="1" t="s">
        <v>5783</v>
      </c>
      <c r="D17956" s="22" t="str">
        <f>HYPERLINK("https://rhld.insurance.arkansas.gov/NPILookup?Npi=1881844561","1881844561")</f>
        <v>1881844561</v>
      </c>
      <c r="E17956" s="1" t="s">
        <v>23671</v>
      </c>
      <c r="F17956" s="2"/>
      <c r="G17956" s="2"/>
      <c r="H17956" s="2"/>
    </row>
    <row r="17957" spans="1:8" x14ac:dyDescent="0.25">
      <c r="A17957" s="1"/>
      <c r="B17957" s="1" t="s">
        <v>5782</v>
      </c>
      <c r="C17957" s="1" t="s">
        <v>5783</v>
      </c>
      <c r="D17957" s="22" t="str">
        <f>HYPERLINK("https://rhld.insurance.arkansas.gov/NPILookup?Npi=1881848265","1881848265")</f>
        <v>1881848265</v>
      </c>
      <c r="E17957" s="1" t="s">
        <v>23672</v>
      </c>
      <c r="F17957" s="2"/>
      <c r="G17957" s="2"/>
      <c r="H17957" s="2"/>
    </row>
    <row r="17958" spans="1:8" x14ac:dyDescent="0.25">
      <c r="A17958" s="1"/>
      <c r="B17958" s="1" t="s">
        <v>5782</v>
      </c>
      <c r="C17958" s="1" t="s">
        <v>5783</v>
      </c>
      <c r="D17958" s="22" t="str">
        <f>HYPERLINK("https://rhld.insurance.arkansas.gov/NPILookup?Npi=1881878478","1881878478")</f>
        <v>1881878478</v>
      </c>
      <c r="E17958" s="1" t="s">
        <v>782</v>
      </c>
      <c r="F17958" s="2"/>
      <c r="G17958" s="2"/>
      <c r="H17958" s="2"/>
    </row>
    <row r="17959" spans="1:8" x14ac:dyDescent="0.25">
      <c r="A17959" s="1"/>
      <c r="B17959" s="1" t="s">
        <v>5782</v>
      </c>
      <c r="C17959" s="1" t="s">
        <v>5783</v>
      </c>
      <c r="D17959" s="22" t="str">
        <f>HYPERLINK("https://rhld.insurance.arkansas.gov/NPILookup?Npi=1881915668","1881915668")</f>
        <v>1881915668</v>
      </c>
      <c r="E17959" s="1" t="s">
        <v>1603</v>
      </c>
      <c r="F17959" s="2"/>
      <c r="G17959" s="2"/>
      <c r="H17959" s="2"/>
    </row>
    <row r="17960" spans="1:8" x14ac:dyDescent="0.25">
      <c r="A17960" s="1"/>
      <c r="B17960" s="1" t="s">
        <v>5782</v>
      </c>
      <c r="C17960" s="1" t="s">
        <v>5783</v>
      </c>
      <c r="D17960" s="22" t="str">
        <f>HYPERLINK("https://rhld.insurance.arkansas.gov/NPILookup?Npi=1881930246","1881930246")</f>
        <v>1881930246</v>
      </c>
      <c r="E17960" s="1" t="s">
        <v>23673</v>
      </c>
      <c r="F17960" s="2"/>
      <c r="G17960" s="2"/>
      <c r="H17960" s="2"/>
    </row>
    <row r="17961" spans="1:8" x14ac:dyDescent="0.25">
      <c r="A17961" s="1"/>
      <c r="B17961" s="1" t="s">
        <v>5782</v>
      </c>
      <c r="C17961" s="1" t="s">
        <v>5783</v>
      </c>
      <c r="D17961" s="22" t="str">
        <f>HYPERLINK("https://rhld.insurance.arkansas.gov/NPILookup?Npi=1881935344","1881935344")</f>
        <v>1881935344</v>
      </c>
      <c r="E17961" s="1" t="s">
        <v>11804</v>
      </c>
      <c r="F17961" s="2"/>
      <c r="G17961" s="2"/>
      <c r="H17961" s="2"/>
    </row>
    <row r="17962" spans="1:8" x14ac:dyDescent="0.25">
      <c r="A17962" s="1"/>
      <c r="B17962" s="1" t="s">
        <v>5782</v>
      </c>
      <c r="C17962" s="1" t="s">
        <v>5783</v>
      </c>
      <c r="D17962" s="22" t="str">
        <f>HYPERLINK("https://rhld.insurance.arkansas.gov/NPILookup?Npi=1881947877","1881947877")</f>
        <v>1881947877</v>
      </c>
      <c r="E17962" s="1" t="s">
        <v>23674</v>
      </c>
      <c r="F17962" s="2"/>
      <c r="G17962" s="2"/>
      <c r="H17962" s="2"/>
    </row>
    <row r="17963" spans="1:8" x14ac:dyDescent="0.25">
      <c r="A17963" s="1"/>
      <c r="B17963" s="1" t="s">
        <v>5782</v>
      </c>
      <c r="C17963" s="1" t="s">
        <v>5783</v>
      </c>
      <c r="D17963" s="22" t="str">
        <f>HYPERLINK("https://rhld.insurance.arkansas.gov/NPILookup?Npi=1881979193","1881979193")</f>
        <v>1881979193</v>
      </c>
      <c r="E17963" s="1" t="s">
        <v>23675</v>
      </c>
      <c r="F17963" s="2"/>
      <c r="G17963" s="2"/>
      <c r="H17963" s="2"/>
    </row>
    <row r="17964" spans="1:8" x14ac:dyDescent="0.25">
      <c r="A17964" s="1"/>
      <c r="B17964" s="1" t="s">
        <v>5782</v>
      </c>
      <c r="C17964" s="1" t="s">
        <v>5783</v>
      </c>
      <c r="D17964" s="22" t="str">
        <f>HYPERLINK("https://rhld.insurance.arkansas.gov/NPILookup?Npi=1881983633","1881983633")</f>
        <v>1881983633</v>
      </c>
      <c r="E17964" s="1" t="s">
        <v>12205</v>
      </c>
      <c r="F17964" s="2"/>
      <c r="G17964" s="2"/>
      <c r="H17964" s="2"/>
    </row>
    <row r="17965" spans="1:8" x14ac:dyDescent="0.25">
      <c r="A17965" s="1"/>
      <c r="B17965" s="1" t="s">
        <v>5782</v>
      </c>
      <c r="C17965" s="1" t="s">
        <v>5783</v>
      </c>
      <c r="D17965" s="22" t="str">
        <f>HYPERLINK("https://rhld.insurance.arkansas.gov/NPILookup?Npi=1881992006","1881992006")</f>
        <v>1881992006</v>
      </c>
      <c r="E17965" s="1" t="s">
        <v>6732</v>
      </c>
      <c r="F17965" s="2"/>
      <c r="G17965" s="2"/>
      <c r="H17965" s="2"/>
    </row>
    <row r="17966" spans="1:8" x14ac:dyDescent="0.25">
      <c r="A17966" s="1"/>
      <c r="B17966" s="1" t="s">
        <v>5782</v>
      </c>
      <c r="C17966" s="1" t="s">
        <v>5783</v>
      </c>
      <c r="D17966" s="22" t="str">
        <f>HYPERLINK("https://rhld.insurance.arkansas.gov/NPILookup?Npi=1881994440","1881994440")</f>
        <v>1881994440</v>
      </c>
      <c r="E17966" s="1" t="s">
        <v>23676</v>
      </c>
      <c r="F17966" s="2"/>
      <c r="G17966" s="2"/>
      <c r="H17966" s="2"/>
    </row>
    <row r="17967" spans="1:8" x14ac:dyDescent="0.25">
      <c r="A17967" s="1"/>
      <c r="B17967" s="1" t="s">
        <v>5782</v>
      </c>
      <c r="C17967" s="1" t="s">
        <v>5783</v>
      </c>
      <c r="D17967" s="22" t="str">
        <f>HYPERLINK("https://rhld.insurance.arkansas.gov/NPILookup?Npi=1891001004","1891001004")</f>
        <v>1891001004</v>
      </c>
      <c r="E17967" s="1" t="s">
        <v>23677</v>
      </c>
      <c r="F17967" s="2"/>
      <c r="G17967" s="2"/>
      <c r="H17967" s="2"/>
    </row>
    <row r="17968" spans="1:8" x14ac:dyDescent="0.25">
      <c r="A17968" s="1"/>
      <c r="B17968" s="1" t="s">
        <v>5782</v>
      </c>
      <c r="C17968" s="1" t="s">
        <v>5783</v>
      </c>
      <c r="D17968" s="22" t="str">
        <f>HYPERLINK("https://rhld.insurance.arkansas.gov/NPILookup?Npi=1891066106","1891066106")</f>
        <v>1891066106</v>
      </c>
      <c r="E17968" s="1" t="s">
        <v>6733</v>
      </c>
      <c r="F17968" s="2"/>
      <c r="G17968" s="2"/>
      <c r="H17968" s="2"/>
    </row>
    <row r="17969" spans="1:8" x14ac:dyDescent="0.25">
      <c r="A17969" s="1"/>
      <c r="B17969" s="1" t="s">
        <v>5782</v>
      </c>
      <c r="C17969" s="1" t="s">
        <v>5783</v>
      </c>
      <c r="D17969" s="22" t="str">
        <f>HYPERLINK("https://rhld.insurance.arkansas.gov/NPILookup?Npi=1891071452","1891071452")</f>
        <v>1891071452</v>
      </c>
      <c r="E17969" s="1" t="s">
        <v>1680</v>
      </c>
      <c r="F17969" s="2"/>
      <c r="G17969" s="2"/>
      <c r="H17969" s="2"/>
    </row>
    <row r="17970" spans="1:8" x14ac:dyDescent="0.25">
      <c r="A17970" s="1"/>
      <c r="B17970" s="1" t="s">
        <v>5782</v>
      </c>
      <c r="C17970" s="1" t="s">
        <v>5783</v>
      </c>
      <c r="D17970" s="22" t="str">
        <f>HYPERLINK("https://rhld.insurance.arkansas.gov/NPILookup?Npi=1891091609","1891091609")</f>
        <v>1891091609</v>
      </c>
      <c r="E17970" s="1" t="s">
        <v>23678</v>
      </c>
      <c r="F17970" s="2"/>
      <c r="G17970" s="2"/>
      <c r="H17970" s="2"/>
    </row>
    <row r="17971" spans="1:8" x14ac:dyDescent="0.25">
      <c r="A17971" s="1"/>
      <c r="B17971" s="1" t="s">
        <v>5782</v>
      </c>
      <c r="C17971" s="1" t="s">
        <v>5783</v>
      </c>
      <c r="D17971" s="22" t="str">
        <f>HYPERLINK("https://rhld.insurance.arkansas.gov/NPILookup?Npi=1891097465","1891097465")</f>
        <v>1891097465</v>
      </c>
      <c r="E17971" s="1" t="s">
        <v>23679</v>
      </c>
      <c r="F17971" s="2"/>
      <c r="G17971" s="2"/>
      <c r="H17971" s="2"/>
    </row>
    <row r="17972" spans="1:8" x14ac:dyDescent="0.25">
      <c r="A17972" s="1"/>
      <c r="B17972" s="1" t="s">
        <v>5782</v>
      </c>
      <c r="C17972" s="1" t="s">
        <v>5783</v>
      </c>
      <c r="D17972" s="22" t="str">
        <f>HYPERLINK("https://rhld.insurance.arkansas.gov/NPILookup?Npi=1891099156","1891099156")</f>
        <v>1891099156</v>
      </c>
      <c r="E17972" s="1" t="s">
        <v>6734</v>
      </c>
      <c r="F17972" s="2"/>
      <c r="G17972" s="2"/>
      <c r="H17972" s="2"/>
    </row>
    <row r="17973" spans="1:8" x14ac:dyDescent="0.25">
      <c r="A17973" s="1"/>
      <c r="B17973" s="1" t="s">
        <v>5782</v>
      </c>
      <c r="C17973" s="1" t="s">
        <v>5783</v>
      </c>
      <c r="D17973" s="22" t="str">
        <f>HYPERLINK("https://rhld.insurance.arkansas.gov/NPILookup?Npi=1891099834","1891099834")</f>
        <v>1891099834</v>
      </c>
      <c r="E17973" s="1" t="s">
        <v>1410</v>
      </c>
      <c r="F17973" s="2"/>
      <c r="G17973" s="2"/>
      <c r="H17973" s="2"/>
    </row>
    <row r="17974" spans="1:8" x14ac:dyDescent="0.25">
      <c r="A17974" s="1"/>
      <c r="B17974" s="1" t="s">
        <v>5782</v>
      </c>
      <c r="C17974" s="1" t="s">
        <v>5783</v>
      </c>
      <c r="D17974" s="22" t="str">
        <f>HYPERLINK("https://rhld.insurance.arkansas.gov/NPILookup?Npi=1891107660","1891107660")</f>
        <v>1891107660</v>
      </c>
      <c r="E17974" s="1" t="s">
        <v>1681</v>
      </c>
      <c r="F17974" s="2"/>
      <c r="G17974" s="2"/>
      <c r="H17974" s="2"/>
    </row>
    <row r="17975" spans="1:8" x14ac:dyDescent="0.25">
      <c r="A17975" s="1"/>
      <c r="B17975" s="1" t="s">
        <v>5782</v>
      </c>
      <c r="C17975" s="1" t="s">
        <v>5783</v>
      </c>
      <c r="D17975" s="22" t="str">
        <f>HYPERLINK("https://rhld.insurance.arkansas.gov/NPILookup?Npi=1891118246","1891118246")</f>
        <v>1891118246</v>
      </c>
      <c r="E17975" s="1" t="s">
        <v>23680</v>
      </c>
      <c r="F17975" s="2"/>
      <c r="G17975" s="2"/>
      <c r="H17975" s="2"/>
    </row>
    <row r="17976" spans="1:8" x14ac:dyDescent="0.25">
      <c r="A17976" s="1"/>
      <c r="B17976" s="1" t="s">
        <v>5782</v>
      </c>
      <c r="C17976" s="1" t="s">
        <v>5783</v>
      </c>
      <c r="D17976" s="22" t="str">
        <f>HYPERLINK("https://rhld.insurance.arkansas.gov/NPILookup?Npi=1891123071","1891123071")</f>
        <v>1891123071</v>
      </c>
      <c r="E17976" s="1" t="s">
        <v>265</v>
      </c>
      <c r="F17976" s="2"/>
      <c r="G17976" s="2"/>
      <c r="H17976" s="2"/>
    </row>
    <row r="17977" spans="1:8" x14ac:dyDescent="0.25">
      <c r="A17977" s="1"/>
      <c r="B17977" s="1" t="s">
        <v>5782</v>
      </c>
      <c r="C17977" s="1" t="s">
        <v>5783</v>
      </c>
      <c r="D17977" s="22" t="str">
        <f>HYPERLINK("https://rhld.insurance.arkansas.gov/NPILookup?Npi=1891124962","1891124962")</f>
        <v>1891124962</v>
      </c>
      <c r="E17977" s="1" t="s">
        <v>23681</v>
      </c>
      <c r="F17977" s="2"/>
      <c r="G17977" s="2"/>
      <c r="H17977" s="2"/>
    </row>
    <row r="17978" spans="1:8" x14ac:dyDescent="0.25">
      <c r="A17978" s="1"/>
      <c r="B17978" s="1" t="s">
        <v>5782</v>
      </c>
      <c r="C17978" s="1" t="s">
        <v>5783</v>
      </c>
      <c r="D17978" s="22" t="str">
        <f>HYPERLINK("https://rhld.insurance.arkansas.gov/NPILookup?Npi=1891130555","1891130555")</f>
        <v>1891130555</v>
      </c>
      <c r="E17978" s="1" t="s">
        <v>4677</v>
      </c>
      <c r="F17978" s="2"/>
      <c r="G17978" s="2"/>
      <c r="H17978" s="2"/>
    </row>
    <row r="17979" spans="1:8" x14ac:dyDescent="0.25">
      <c r="A17979" s="1"/>
      <c r="B17979" s="1" t="s">
        <v>5782</v>
      </c>
      <c r="C17979" s="1" t="s">
        <v>5783</v>
      </c>
      <c r="D17979" s="22" t="str">
        <f>HYPERLINK("https://rhld.insurance.arkansas.gov/NPILookup?Npi=1891135430","1891135430")</f>
        <v>1891135430</v>
      </c>
      <c r="E17979" s="1" t="s">
        <v>10473</v>
      </c>
      <c r="F17979" s="2"/>
      <c r="G17979" s="2"/>
      <c r="H17979" s="2"/>
    </row>
    <row r="17980" spans="1:8" x14ac:dyDescent="0.25">
      <c r="A17980" s="1"/>
      <c r="B17980" s="1" t="s">
        <v>5782</v>
      </c>
      <c r="C17980" s="1" t="s">
        <v>5783</v>
      </c>
      <c r="D17980" s="22" t="str">
        <f>HYPERLINK("https://rhld.insurance.arkansas.gov/NPILookup?Npi=1891140810","1891140810")</f>
        <v>1891140810</v>
      </c>
      <c r="E17980" s="1" t="s">
        <v>23682</v>
      </c>
      <c r="F17980" s="2"/>
      <c r="G17980" s="2"/>
      <c r="H17980" s="2"/>
    </row>
    <row r="17981" spans="1:8" x14ac:dyDescent="0.25">
      <c r="A17981" s="1"/>
      <c r="B17981" s="1" t="s">
        <v>5782</v>
      </c>
      <c r="C17981" s="1" t="s">
        <v>5783</v>
      </c>
      <c r="D17981" s="22" t="str">
        <f>HYPERLINK("https://rhld.insurance.arkansas.gov/NPILookup?Npi=1891170288","1891170288")</f>
        <v>1891170288</v>
      </c>
      <c r="E17981" s="1" t="s">
        <v>23683</v>
      </c>
      <c r="F17981" s="2"/>
      <c r="G17981" s="2"/>
      <c r="H17981" s="2"/>
    </row>
    <row r="17982" spans="1:8" x14ac:dyDescent="0.25">
      <c r="A17982" s="1"/>
      <c r="B17982" s="1" t="s">
        <v>5782</v>
      </c>
      <c r="C17982" s="1" t="s">
        <v>5783</v>
      </c>
      <c r="D17982" s="22" t="str">
        <f>HYPERLINK("https://rhld.insurance.arkansas.gov/NPILookup?Npi=1891181475","1891181475")</f>
        <v>1891181475</v>
      </c>
      <c r="E17982" s="1" t="s">
        <v>23684</v>
      </c>
      <c r="F17982" s="2"/>
      <c r="G17982" s="2"/>
      <c r="H17982" s="2"/>
    </row>
    <row r="17983" spans="1:8" x14ac:dyDescent="0.25">
      <c r="A17983" s="1"/>
      <c r="B17983" s="1" t="s">
        <v>5782</v>
      </c>
      <c r="C17983" s="1" t="s">
        <v>5783</v>
      </c>
      <c r="D17983" s="22" t="str">
        <f>HYPERLINK("https://rhld.insurance.arkansas.gov/NPILookup?Npi=1891185328","1891185328")</f>
        <v>1891185328</v>
      </c>
      <c r="E17983" s="1" t="s">
        <v>23685</v>
      </c>
      <c r="F17983" s="2"/>
      <c r="G17983" s="2"/>
      <c r="H17983" s="2"/>
    </row>
    <row r="17984" spans="1:8" x14ac:dyDescent="0.25">
      <c r="A17984" s="1"/>
      <c r="B17984" s="1" t="s">
        <v>5782</v>
      </c>
      <c r="C17984" s="1" t="s">
        <v>5783</v>
      </c>
      <c r="D17984" s="22" t="str">
        <f>HYPERLINK("https://rhld.insurance.arkansas.gov/NPILookup?Npi=1891202537","1891202537")</f>
        <v>1891202537</v>
      </c>
      <c r="E17984" s="1" t="s">
        <v>6735</v>
      </c>
      <c r="F17984" s="2"/>
      <c r="G17984" s="2"/>
      <c r="H17984" s="2"/>
    </row>
    <row r="17985" spans="1:8" x14ac:dyDescent="0.25">
      <c r="A17985" s="1"/>
      <c r="B17985" s="1" t="s">
        <v>5782</v>
      </c>
      <c r="C17985" s="1" t="s">
        <v>5783</v>
      </c>
      <c r="D17985" s="22" t="str">
        <f>HYPERLINK("https://rhld.insurance.arkansas.gov/NPILookup?Npi=1891211173","1891211173")</f>
        <v>1891211173</v>
      </c>
      <c r="E17985" s="1" t="s">
        <v>23686</v>
      </c>
      <c r="F17985" s="2"/>
      <c r="G17985" s="2"/>
      <c r="H17985" s="2"/>
    </row>
    <row r="17986" spans="1:8" x14ac:dyDescent="0.25">
      <c r="A17986" s="1"/>
      <c r="B17986" s="1" t="s">
        <v>5782</v>
      </c>
      <c r="C17986" s="1" t="s">
        <v>5783</v>
      </c>
      <c r="D17986" s="22" t="str">
        <f>HYPERLINK("https://rhld.insurance.arkansas.gov/NPILookup?Npi=1891231304","1891231304")</f>
        <v>1891231304</v>
      </c>
      <c r="E17986" s="1" t="s">
        <v>11826</v>
      </c>
      <c r="F17986" s="2"/>
      <c r="G17986" s="2"/>
      <c r="H17986" s="2"/>
    </row>
    <row r="17987" spans="1:8" x14ac:dyDescent="0.25">
      <c r="A17987" s="1"/>
      <c r="B17987" s="1" t="s">
        <v>5782</v>
      </c>
      <c r="C17987" s="1" t="s">
        <v>5783</v>
      </c>
      <c r="D17987" s="22" t="str">
        <f>HYPERLINK("https://rhld.insurance.arkansas.gov/NPILookup?Npi=1891245932","1891245932")</f>
        <v>1891245932</v>
      </c>
      <c r="E17987" s="1" t="s">
        <v>22138</v>
      </c>
      <c r="F17987" s="2"/>
      <c r="G17987" s="2"/>
      <c r="H17987" s="2"/>
    </row>
    <row r="17988" spans="1:8" x14ac:dyDescent="0.25">
      <c r="A17988" s="1"/>
      <c r="B17988" s="1" t="s">
        <v>5782</v>
      </c>
      <c r="C17988" s="1" t="s">
        <v>5783</v>
      </c>
      <c r="D17988" s="22" t="str">
        <f>HYPERLINK("https://rhld.insurance.arkansas.gov/NPILookup?Npi=1891249108","1891249108")</f>
        <v>1891249108</v>
      </c>
      <c r="E17988" s="1" t="s">
        <v>6736</v>
      </c>
      <c r="F17988" s="2"/>
      <c r="G17988" s="2"/>
      <c r="H17988" s="2"/>
    </row>
    <row r="17989" spans="1:8" x14ac:dyDescent="0.25">
      <c r="A17989" s="1"/>
      <c r="B17989" s="1" t="s">
        <v>5782</v>
      </c>
      <c r="C17989" s="1" t="s">
        <v>5783</v>
      </c>
      <c r="D17989" s="22" t="str">
        <f>HYPERLINK("https://rhld.insurance.arkansas.gov/NPILookup?Npi=1891249157","1891249157")</f>
        <v>1891249157</v>
      </c>
      <c r="E17989" s="1" t="s">
        <v>23687</v>
      </c>
      <c r="F17989" s="2"/>
      <c r="G17989" s="2"/>
      <c r="H17989" s="2"/>
    </row>
    <row r="17990" spans="1:8" x14ac:dyDescent="0.25">
      <c r="A17990" s="1"/>
      <c r="B17990" s="1" t="s">
        <v>5782</v>
      </c>
      <c r="C17990" s="1" t="s">
        <v>5783</v>
      </c>
      <c r="D17990" s="22" t="str">
        <f>HYPERLINK("https://rhld.insurance.arkansas.gov/NPILookup?Npi=1891291290","1891291290")</f>
        <v>1891291290</v>
      </c>
      <c r="E17990" s="1" t="s">
        <v>1718</v>
      </c>
      <c r="F17990" s="2"/>
      <c r="G17990" s="2"/>
      <c r="H17990" s="2"/>
    </row>
    <row r="17991" spans="1:8" x14ac:dyDescent="0.25">
      <c r="A17991" s="1"/>
      <c r="B17991" s="1" t="s">
        <v>5782</v>
      </c>
      <c r="C17991" s="1" t="s">
        <v>5783</v>
      </c>
      <c r="D17991" s="22" t="str">
        <f>HYPERLINK("https://rhld.insurance.arkansas.gov/NPILookup?Npi=1891300703","1891300703")</f>
        <v>1891300703</v>
      </c>
      <c r="E17991" s="1" t="s">
        <v>6737</v>
      </c>
      <c r="F17991" s="2"/>
      <c r="G17991" s="2"/>
      <c r="H17991" s="2"/>
    </row>
    <row r="17992" spans="1:8" x14ac:dyDescent="0.25">
      <c r="A17992" s="1"/>
      <c r="B17992" s="1" t="s">
        <v>5782</v>
      </c>
      <c r="C17992" s="1" t="s">
        <v>5783</v>
      </c>
      <c r="D17992" s="22" t="str">
        <f>HYPERLINK("https://rhld.insurance.arkansas.gov/NPILookup?Npi=1891327383","1891327383")</f>
        <v>1891327383</v>
      </c>
      <c r="E17992" s="1" t="s">
        <v>23688</v>
      </c>
      <c r="F17992" s="2"/>
      <c r="G17992" s="2"/>
      <c r="H17992" s="2"/>
    </row>
    <row r="17993" spans="1:8" x14ac:dyDescent="0.25">
      <c r="A17993" s="1"/>
      <c r="B17993" s="1" t="s">
        <v>5782</v>
      </c>
      <c r="C17993" s="1" t="s">
        <v>5783</v>
      </c>
      <c r="D17993" s="22" t="str">
        <f>HYPERLINK("https://rhld.insurance.arkansas.gov/NPILookup?Npi=1891346664","1891346664")</f>
        <v>1891346664</v>
      </c>
      <c r="E17993" s="1" t="s">
        <v>6738</v>
      </c>
      <c r="F17993" s="2"/>
      <c r="G17993" s="2"/>
      <c r="H17993" s="2"/>
    </row>
    <row r="17994" spans="1:8" x14ac:dyDescent="0.25">
      <c r="A17994" s="1"/>
      <c r="B17994" s="1" t="s">
        <v>5782</v>
      </c>
      <c r="C17994" s="1" t="s">
        <v>5783</v>
      </c>
      <c r="D17994" s="22" t="str">
        <f>HYPERLINK("https://rhld.insurance.arkansas.gov/NPILookup?Npi=1891360491","1891360491")</f>
        <v>1891360491</v>
      </c>
      <c r="E17994" s="1" t="s">
        <v>23689</v>
      </c>
      <c r="F17994" s="2"/>
      <c r="G17994" s="2"/>
      <c r="H17994" s="2"/>
    </row>
    <row r="17995" spans="1:8" x14ac:dyDescent="0.25">
      <c r="A17995" s="1"/>
      <c r="B17995" s="1" t="s">
        <v>5782</v>
      </c>
      <c r="C17995" s="1" t="s">
        <v>5783</v>
      </c>
      <c r="D17995" s="22" t="str">
        <f>HYPERLINK("https://rhld.insurance.arkansas.gov/NPILookup?Npi=1891367975","1891367975")</f>
        <v>1891367975</v>
      </c>
      <c r="E17995" s="1" t="s">
        <v>31966</v>
      </c>
      <c r="F17995" s="2"/>
      <c r="G17995" s="2"/>
      <c r="H17995" s="2"/>
    </row>
    <row r="17996" spans="1:8" x14ac:dyDescent="0.25">
      <c r="A17996" s="1"/>
      <c r="B17996" s="1" t="s">
        <v>5782</v>
      </c>
      <c r="C17996" s="1" t="s">
        <v>5783</v>
      </c>
      <c r="D17996" s="22" t="str">
        <f>HYPERLINK("https://rhld.insurance.arkansas.gov/NPILookup?Npi=1891369302","1891369302")</f>
        <v>1891369302</v>
      </c>
      <c r="E17996" s="1" t="s">
        <v>23690</v>
      </c>
      <c r="F17996" s="2"/>
      <c r="G17996" s="2"/>
      <c r="H17996" s="2"/>
    </row>
    <row r="17997" spans="1:8" x14ac:dyDescent="0.25">
      <c r="A17997" s="1"/>
      <c r="B17997" s="1" t="s">
        <v>5782</v>
      </c>
      <c r="C17997" s="1" t="s">
        <v>5783</v>
      </c>
      <c r="D17997" s="22" t="str">
        <f>HYPERLINK("https://rhld.insurance.arkansas.gov/NPILookup?Npi=1891379731","1891379731")</f>
        <v>1891379731</v>
      </c>
      <c r="E17997" s="1" t="s">
        <v>12207</v>
      </c>
      <c r="F17997" s="2"/>
      <c r="G17997" s="2"/>
      <c r="H17997" s="2"/>
    </row>
    <row r="17998" spans="1:8" x14ac:dyDescent="0.25">
      <c r="A17998" s="1"/>
      <c r="B17998" s="1" t="s">
        <v>5782</v>
      </c>
      <c r="C17998" s="1" t="s">
        <v>5783</v>
      </c>
      <c r="D17998" s="22" t="str">
        <f>HYPERLINK("https://rhld.insurance.arkansas.gov/NPILookup?Npi=1891394425","1891394425")</f>
        <v>1891394425</v>
      </c>
      <c r="E17998" s="1" t="s">
        <v>6739</v>
      </c>
      <c r="F17998" s="2"/>
      <c r="G17998" s="2"/>
      <c r="H17998" s="2"/>
    </row>
    <row r="17999" spans="1:8" x14ac:dyDescent="0.25">
      <c r="A17999" s="1"/>
      <c r="B17999" s="1" t="s">
        <v>5782</v>
      </c>
      <c r="C17999" s="1" t="s">
        <v>5783</v>
      </c>
      <c r="D17999" s="22" t="str">
        <f>HYPERLINK("https://rhld.insurance.arkansas.gov/NPILookup?Npi=1891408373","1891408373")</f>
        <v>1891408373</v>
      </c>
      <c r="E17999" s="1" t="s">
        <v>23691</v>
      </c>
      <c r="F17999" s="2"/>
      <c r="G17999" s="2"/>
      <c r="H17999" s="2"/>
    </row>
    <row r="18000" spans="1:8" x14ac:dyDescent="0.25">
      <c r="A18000" s="1"/>
      <c r="B18000" s="1" t="s">
        <v>5782</v>
      </c>
      <c r="C18000" s="1" t="s">
        <v>5783</v>
      </c>
      <c r="D18000" s="22" t="str">
        <f>HYPERLINK("https://rhld.insurance.arkansas.gov/NPILookup?Npi=1891435137","1891435137")</f>
        <v>1891435137</v>
      </c>
      <c r="E18000" s="1" t="s">
        <v>23692</v>
      </c>
      <c r="F18000" s="2"/>
      <c r="G18000" s="2"/>
      <c r="H18000" s="2"/>
    </row>
    <row r="18001" spans="1:8" x14ac:dyDescent="0.25">
      <c r="A18001" s="1"/>
      <c r="B18001" s="1" t="s">
        <v>5782</v>
      </c>
      <c r="C18001" s="1" t="s">
        <v>5783</v>
      </c>
      <c r="D18001" s="22" t="str">
        <f>HYPERLINK("https://rhld.insurance.arkansas.gov/NPILookup?Npi=1891441028","1891441028")</f>
        <v>1891441028</v>
      </c>
      <c r="E18001" s="1" t="s">
        <v>6740</v>
      </c>
      <c r="F18001" s="2"/>
      <c r="G18001" s="2"/>
      <c r="H18001" s="2"/>
    </row>
    <row r="18002" spans="1:8" x14ac:dyDescent="0.25">
      <c r="A18002" s="1"/>
      <c r="B18002" s="1" t="s">
        <v>5782</v>
      </c>
      <c r="C18002" s="1" t="s">
        <v>5783</v>
      </c>
      <c r="D18002" s="22" t="str">
        <f>HYPERLINK("https://rhld.insurance.arkansas.gov/NPILookup?Npi=1891442125","1891442125")</f>
        <v>1891442125</v>
      </c>
      <c r="E18002" s="1" t="s">
        <v>23693</v>
      </c>
      <c r="F18002" s="2"/>
      <c r="G18002" s="2"/>
      <c r="H18002" s="2"/>
    </row>
    <row r="18003" spans="1:8" x14ac:dyDescent="0.25">
      <c r="A18003" s="1"/>
      <c r="B18003" s="1" t="s">
        <v>5782</v>
      </c>
      <c r="C18003" s="1" t="s">
        <v>5783</v>
      </c>
      <c r="D18003" s="22" t="str">
        <f>HYPERLINK("https://rhld.insurance.arkansas.gov/NPILookup?Npi=1891442802","1891442802")</f>
        <v>1891442802</v>
      </c>
      <c r="E18003" s="1" t="s">
        <v>12208</v>
      </c>
      <c r="F18003" s="2"/>
      <c r="G18003" s="2"/>
      <c r="H18003" s="2"/>
    </row>
    <row r="18004" spans="1:8" x14ac:dyDescent="0.25">
      <c r="A18004" s="1"/>
      <c r="B18004" s="1" t="s">
        <v>5782</v>
      </c>
      <c r="C18004" s="1" t="s">
        <v>5783</v>
      </c>
      <c r="D18004" s="22" t="str">
        <f>HYPERLINK("https://rhld.insurance.arkansas.gov/NPILookup?Npi=1891444311","1891444311")</f>
        <v>1891444311</v>
      </c>
      <c r="E18004" s="1" t="s">
        <v>12209</v>
      </c>
      <c r="F18004" s="2"/>
      <c r="G18004" s="2"/>
      <c r="H18004" s="2"/>
    </row>
    <row r="18005" spans="1:8" x14ac:dyDescent="0.25">
      <c r="A18005" s="1"/>
      <c r="B18005" s="1" t="s">
        <v>5782</v>
      </c>
      <c r="C18005" s="1" t="s">
        <v>5783</v>
      </c>
      <c r="D18005" s="22" t="str">
        <f>HYPERLINK("https://rhld.insurance.arkansas.gov/NPILookup?Npi=1891460044","1891460044")</f>
        <v>1891460044</v>
      </c>
      <c r="E18005" s="1" t="s">
        <v>23694</v>
      </c>
      <c r="F18005" s="2"/>
      <c r="G18005" s="2"/>
      <c r="H18005" s="2"/>
    </row>
    <row r="18006" spans="1:8" x14ac:dyDescent="0.25">
      <c r="A18006" s="1"/>
      <c r="B18006" s="1" t="s">
        <v>5782</v>
      </c>
      <c r="C18006" s="1" t="s">
        <v>5783</v>
      </c>
      <c r="D18006" s="22" t="str">
        <f>HYPERLINK("https://rhld.insurance.arkansas.gov/NPILookup?Npi=1891460283","1891460283")</f>
        <v>1891460283</v>
      </c>
      <c r="E18006" s="1" t="s">
        <v>23695</v>
      </c>
      <c r="F18006" s="2"/>
      <c r="G18006" s="2"/>
      <c r="H18006" s="2"/>
    </row>
    <row r="18007" spans="1:8" x14ac:dyDescent="0.25">
      <c r="A18007" s="1"/>
      <c r="B18007" s="1" t="s">
        <v>5782</v>
      </c>
      <c r="C18007" s="1" t="s">
        <v>5783</v>
      </c>
      <c r="D18007" s="22" t="str">
        <f>HYPERLINK("https://rhld.insurance.arkansas.gov/NPILookup?Npi=1891467726","1891467726")</f>
        <v>1891467726</v>
      </c>
      <c r="E18007" s="1" t="s">
        <v>23696</v>
      </c>
      <c r="F18007" s="2"/>
      <c r="G18007" s="2"/>
      <c r="H18007" s="2"/>
    </row>
    <row r="18008" spans="1:8" x14ac:dyDescent="0.25">
      <c r="A18008" s="1"/>
      <c r="B18008" s="1" t="s">
        <v>5782</v>
      </c>
      <c r="C18008" s="1" t="s">
        <v>5783</v>
      </c>
      <c r="D18008" s="22" t="str">
        <f>HYPERLINK("https://rhld.insurance.arkansas.gov/NPILookup?Npi=1891501391","1891501391")</f>
        <v>1891501391</v>
      </c>
      <c r="E18008" s="1" t="s">
        <v>31967</v>
      </c>
      <c r="F18008" s="2"/>
      <c r="G18008" s="2"/>
      <c r="H18008" s="2"/>
    </row>
    <row r="18009" spans="1:8" x14ac:dyDescent="0.25">
      <c r="A18009" s="1"/>
      <c r="B18009" s="1" t="s">
        <v>5782</v>
      </c>
      <c r="C18009" s="1" t="s">
        <v>5783</v>
      </c>
      <c r="D18009" s="22" t="str">
        <f>HYPERLINK("https://rhld.insurance.arkansas.gov/NPILookup?Npi=1891527339","1891527339")</f>
        <v>1891527339</v>
      </c>
      <c r="E18009" s="1" t="s">
        <v>31968</v>
      </c>
      <c r="F18009" s="2"/>
      <c r="G18009" s="2"/>
      <c r="H18009" s="2"/>
    </row>
    <row r="18010" spans="1:8" x14ac:dyDescent="0.25">
      <c r="A18010" s="1"/>
      <c r="B18010" s="1" t="s">
        <v>5782</v>
      </c>
      <c r="C18010" s="1" t="s">
        <v>5783</v>
      </c>
      <c r="D18010" s="22" t="str">
        <f>HYPERLINK("https://rhld.insurance.arkansas.gov/NPILookup?Npi=1891561247","1891561247")</f>
        <v>1891561247</v>
      </c>
      <c r="E18010" s="1" t="s">
        <v>12210</v>
      </c>
      <c r="F18010" s="2"/>
      <c r="G18010" s="2"/>
      <c r="H18010" s="2"/>
    </row>
    <row r="18011" spans="1:8" x14ac:dyDescent="0.25">
      <c r="A18011" s="1"/>
      <c r="B18011" s="1" t="s">
        <v>5782</v>
      </c>
      <c r="C18011" s="1" t="s">
        <v>5783</v>
      </c>
      <c r="D18011" s="22" t="str">
        <f>HYPERLINK("https://rhld.insurance.arkansas.gov/NPILookup?Npi=1891563177","1891563177")</f>
        <v>1891563177</v>
      </c>
      <c r="E18011" s="1" t="s">
        <v>6741</v>
      </c>
      <c r="F18011" s="2"/>
      <c r="G18011" s="2"/>
      <c r="H18011" s="2"/>
    </row>
    <row r="18012" spans="1:8" x14ac:dyDescent="0.25">
      <c r="A18012" s="1"/>
      <c r="B18012" s="1" t="s">
        <v>5782</v>
      </c>
      <c r="C18012" s="1" t="s">
        <v>5783</v>
      </c>
      <c r="D18012" s="22" t="str">
        <f>HYPERLINK("https://rhld.insurance.arkansas.gov/NPILookup?Npi=1891759122","1891759122")</f>
        <v>1891759122</v>
      </c>
      <c r="E18012" s="1" t="s">
        <v>23697</v>
      </c>
      <c r="F18012" s="2"/>
      <c r="G18012" s="2"/>
      <c r="H18012" s="2"/>
    </row>
    <row r="18013" spans="1:8" x14ac:dyDescent="0.25">
      <c r="A18013" s="1"/>
      <c r="B18013" s="1" t="s">
        <v>5782</v>
      </c>
      <c r="C18013" s="1" t="s">
        <v>5783</v>
      </c>
      <c r="D18013" s="22" t="str">
        <f>HYPERLINK("https://rhld.insurance.arkansas.gov/NPILookup?Npi=1891781449","1891781449")</f>
        <v>1891781449</v>
      </c>
      <c r="E18013" s="1" t="s">
        <v>23698</v>
      </c>
      <c r="F18013" s="2"/>
      <c r="G18013" s="2"/>
      <c r="H18013" s="2"/>
    </row>
    <row r="18014" spans="1:8" x14ac:dyDescent="0.25">
      <c r="A18014" s="1"/>
      <c r="B18014" s="1" t="s">
        <v>5782</v>
      </c>
      <c r="C18014" s="1" t="s">
        <v>5783</v>
      </c>
      <c r="D18014" s="22" t="str">
        <f>HYPERLINK("https://rhld.insurance.arkansas.gov/NPILookup?Npi=1891822573","1891822573")</f>
        <v>1891822573</v>
      </c>
      <c r="E18014" s="1" t="s">
        <v>23700</v>
      </c>
      <c r="F18014" s="2"/>
      <c r="G18014" s="2"/>
      <c r="H18014" s="2"/>
    </row>
    <row r="18015" spans="1:8" x14ac:dyDescent="0.25">
      <c r="A18015" s="1"/>
      <c r="B18015" s="1" t="s">
        <v>5782</v>
      </c>
      <c r="C18015" s="1" t="s">
        <v>5783</v>
      </c>
      <c r="D18015" s="22" t="str">
        <f>HYPERLINK("https://rhld.insurance.arkansas.gov/NPILookup?Npi=1891829784","1891829784")</f>
        <v>1891829784</v>
      </c>
      <c r="E18015" s="1" t="s">
        <v>23701</v>
      </c>
      <c r="F18015" s="2"/>
      <c r="G18015" s="2"/>
      <c r="H18015" s="2"/>
    </row>
    <row r="18016" spans="1:8" x14ac:dyDescent="0.25">
      <c r="A18016" s="1"/>
      <c r="B18016" s="1" t="s">
        <v>5782</v>
      </c>
      <c r="C18016" s="1" t="s">
        <v>5783</v>
      </c>
      <c r="D18016" s="22" t="str">
        <f>HYPERLINK("https://rhld.insurance.arkansas.gov/NPILookup?Npi=1891848164","1891848164")</f>
        <v>1891848164</v>
      </c>
      <c r="E18016" s="1" t="s">
        <v>23702</v>
      </c>
      <c r="F18016" s="2"/>
      <c r="G18016" s="2"/>
      <c r="H18016" s="2"/>
    </row>
    <row r="18017" spans="1:8" x14ac:dyDescent="0.25">
      <c r="A18017" s="1"/>
      <c r="B18017" s="1" t="s">
        <v>5782</v>
      </c>
      <c r="C18017" s="1" t="s">
        <v>5783</v>
      </c>
      <c r="D18017" s="22" t="str">
        <f>HYPERLINK("https://rhld.insurance.arkansas.gov/NPILookup?Npi=1891861167","1891861167")</f>
        <v>1891861167</v>
      </c>
      <c r="E18017" s="1" t="s">
        <v>23703</v>
      </c>
      <c r="F18017" s="2"/>
      <c r="G18017" s="2"/>
      <c r="H18017" s="2"/>
    </row>
    <row r="18018" spans="1:8" x14ac:dyDescent="0.25">
      <c r="A18018" s="1"/>
      <c r="B18018" s="1" t="s">
        <v>5782</v>
      </c>
      <c r="C18018" s="1" t="s">
        <v>5783</v>
      </c>
      <c r="D18018" s="22" t="str">
        <f>HYPERLINK("https://rhld.insurance.arkansas.gov/NPILookup?Npi=1891880209","1891880209")</f>
        <v>1891880209</v>
      </c>
      <c r="E18018" s="1" t="s">
        <v>23704</v>
      </c>
      <c r="F18018" s="2"/>
      <c r="G18018" s="2"/>
      <c r="H18018" s="2"/>
    </row>
    <row r="18019" spans="1:8" x14ac:dyDescent="0.25">
      <c r="A18019" s="1"/>
      <c r="B18019" s="1" t="s">
        <v>5782</v>
      </c>
      <c r="C18019" s="1" t="s">
        <v>5783</v>
      </c>
      <c r="D18019" s="22" t="str">
        <f>HYPERLINK("https://rhld.insurance.arkansas.gov/NPILookup?Npi=1891884177","1891884177")</f>
        <v>1891884177</v>
      </c>
      <c r="E18019" s="1" t="s">
        <v>6742</v>
      </c>
      <c r="F18019" s="2"/>
      <c r="G18019" s="2"/>
      <c r="H18019" s="2"/>
    </row>
    <row r="18020" spans="1:8" x14ac:dyDescent="0.25">
      <c r="A18020" s="1"/>
      <c r="B18020" s="1" t="s">
        <v>5782</v>
      </c>
      <c r="C18020" s="1" t="s">
        <v>5783</v>
      </c>
      <c r="D18020" s="22" t="str">
        <f>HYPERLINK("https://rhld.insurance.arkansas.gov/NPILookup?Npi=1891908513","1891908513")</f>
        <v>1891908513</v>
      </c>
      <c r="E18020" s="1" t="s">
        <v>12034</v>
      </c>
      <c r="F18020" s="2"/>
      <c r="G18020" s="2"/>
      <c r="H18020" s="2"/>
    </row>
    <row r="18021" spans="1:8" x14ac:dyDescent="0.25">
      <c r="A18021" s="1"/>
      <c r="B18021" s="1" t="s">
        <v>5782</v>
      </c>
      <c r="C18021" s="1" t="s">
        <v>5783</v>
      </c>
      <c r="D18021" s="22" t="str">
        <f>HYPERLINK("https://rhld.insurance.arkansas.gov/NPILookup?Npi=1891909883","1891909883")</f>
        <v>1891909883</v>
      </c>
      <c r="E18021" s="1" t="s">
        <v>23705</v>
      </c>
      <c r="F18021" s="2"/>
      <c r="G18021" s="2"/>
      <c r="H18021" s="2"/>
    </row>
    <row r="18022" spans="1:8" x14ac:dyDescent="0.25">
      <c r="A18022" s="1"/>
      <c r="B18022" s="1" t="s">
        <v>5782</v>
      </c>
      <c r="C18022" s="1" t="s">
        <v>5783</v>
      </c>
      <c r="D18022" s="22" t="str">
        <f>HYPERLINK("https://rhld.insurance.arkansas.gov/NPILookup?Npi=1891933826","1891933826")</f>
        <v>1891933826</v>
      </c>
      <c r="E18022" s="1" t="s">
        <v>3406</v>
      </c>
      <c r="F18022" s="2"/>
      <c r="G18022" s="2"/>
      <c r="H18022" s="2"/>
    </row>
    <row r="18023" spans="1:8" x14ac:dyDescent="0.25">
      <c r="A18023" s="1"/>
      <c r="B18023" s="1" t="s">
        <v>5782</v>
      </c>
      <c r="C18023" s="1" t="s">
        <v>5783</v>
      </c>
      <c r="D18023" s="22" t="str">
        <f>HYPERLINK("https://rhld.insurance.arkansas.gov/NPILookup?Npi=1891936514","1891936514")</f>
        <v>1891936514</v>
      </c>
      <c r="E18023" s="1" t="s">
        <v>23706</v>
      </c>
      <c r="F18023" s="2"/>
      <c r="G18023" s="2"/>
      <c r="H18023" s="2"/>
    </row>
    <row r="18024" spans="1:8" x14ac:dyDescent="0.25">
      <c r="A18024" s="1"/>
      <c r="B18024" s="1" t="s">
        <v>5782</v>
      </c>
      <c r="C18024" s="1" t="s">
        <v>5783</v>
      </c>
      <c r="D18024" s="22" t="str">
        <f>HYPERLINK("https://rhld.insurance.arkansas.gov/NPILookup?Npi=1891937736","1891937736")</f>
        <v>1891937736</v>
      </c>
      <c r="E18024" s="1" t="s">
        <v>23707</v>
      </c>
      <c r="F18024" s="2"/>
      <c r="G18024" s="2"/>
      <c r="H18024" s="2"/>
    </row>
    <row r="18025" spans="1:8" x14ac:dyDescent="0.25">
      <c r="A18025" s="1"/>
      <c r="B18025" s="1" t="s">
        <v>5782</v>
      </c>
      <c r="C18025" s="1" t="s">
        <v>5783</v>
      </c>
      <c r="D18025" s="22" t="str">
        <f>HYPERLINK("https://rhld.insurance.arkansas.gov/NPILookup?Npi=1891942975","1891942975")</f>
        <v>1891942975</v>
      </c>
      <c r="E18025" s="1" t="s">
        <v>12211</v>
      </c>
      <c r="F18025" s="2"/>
      <c r="G18025" s="2"/>
      <c r="H18025" s="2"/>
    </row>
    <row r="18026" spans="1:8" x14ac:dyDescent="0.25">
      <c r="A18026" s="1"/>
      <c r="B18026" s="1" t="s">
        <v>5782</v>
      </c>
      <c r="C18026" s="1" t="s">
        <v>5783</v>
      </c>
      <c r="D18026" s="22" t="str">
        <f>HYPERLINK("https://rhld.insurance.arkansas.gov/NPILookup?Npi=1891946075","1891946075")</f>
        <v>1891946075</v>
      </c>
      <c r="E18026" s="1" t="s">
        <v>23708</v>
      </c>
      <c r="F18026" s="2"/>
      <c r="G18026" s="2"/>
      <c r="H18026" s="2"/>
    </row>
    <row r="18027" spans="1:8" x14ac:dyDescent="0.25">
      <c r="A18027" s="1"/>
      <c r="B18027" s="1" t="s">
        <v>5782</v>
      </c>
      <c r="C18027" s="1" t="s">
        <v>5783</v>
      </c>
      <c r="D18027" s="22" t="str">
        <f>HYPERLINK("https://rhld.insurance.arkansas.gov/NPILookup?Npi=1891946133","1891946133")</f>
        <v>1891946133</v>
      </c>
      <c r="E18027" s="1" t="s">
        <v>11520</v>
      </c>
      <c r="F18027" s="2"/>
      <c r="G18027" s="2"/>
      <c r="H18027" s="2"/>
    </row>
    <row r="18028" spans="1:8" x14ac:dyDescent="0.25">
      <c r="A18028" s="1"/>
      <c r="B18028" s="1" t="s">
        <v>5782</v>
      </c>
      <c r="C18028" s="1" t="s">
        <v>5783</v>
      </c>
      <c r="D18028" s="22" t="str">
        <f>HYPERLINK("https://rhld.insurance.arkansas.gov/NPILookup?Npi=1891955407","1891955407")</f>
        <v>1891955407</v>
      </c>
      <c r="E18028" s="1" t="s">
        <v>23709</v>
      </c>
      <c r="F18028" s="2"/>
      <c r="G18028" s="2"/>
      <c r="H18028" s="2"/>
    </row>
    <row r="18029" spans="1:8" x14ac:dyDescent="0.25">
      <c r="A18029" s="1"/>
      <c r="B18029" s="1" t="s">
        <v>5782</v>
      </c>
      <c r="C18029" s="1" t="s">
        <v>5783</v>
      </c>
      <c r="D18029" s="22" t="str">
        <f>HYPERLINK("https://rhld.insurance.arkansas.gov/NPILookup?Npi=1891991980","1891991980")</f>
        <v>1891991980</v>
      </c>
      <c r="E18029" s="1" t="s">
        <v>6743</v>
      </c>
      <c r="F18029" s="2"/>
      <c r="G18029" s="2"/>
      <c r="H18029" s="2"/>
    </row>
    <row r="18030" spans="1:8" x14ac:dyDescent="0.25">
      <c r="A18030" s="1"/>
      <c r="B18030" s="1" t="s">
        <v>5782</v>
      </c>
      <c r="C18030" s="1" t="s">
        <v>5783</v>
      </c>
      <c r="D18030" s="22" t="str">
        <f>HYPERLINK("https://rhld.insurance.arkansas.gov/NPILookup?Npi=1902011000","1902011000")</f>
        <v>1902011000</v>
      </c>
      <c r="E18030" s="1" t="s">
        <v>23710</v>
      </c>
      <c r="F18030" s="2"/>
      <c r="G18030" s="2"/>
      <c r="H18030" s="2"/>
    </row>
    <row r="18031" spans="1:8" x14ac:dyDescent="0.25">
      <c r="A18031" s="1"/>
      <c r="B18031" s="1" t="s">
        <v>5782</v>
      </c>
      <c r="C18031" s="1" t="s">
        <v>5783</v>
      </c>
      <c r="D18031" s="22" t="str">
        <f>HYPERLINK("https://rhld.insurance.arkansas.gov/NPILookup?Npi=1902033210","1902033210")</f>
        <v>1902033210</v>
      </c>
      <c r="E18031" s="1" t="s">
        <v>31969</v>
      </c>
      <c r="F18031" s="2"/>
      <c r="G18031" s="2"/>
      <c r="H18031" s="2"/>
    </row>
    <row r="18032" spans="1:8" x14ac:dyDescent="0.25">
      <c r="A18032" s="1"/>
      <c r="B18032" s="1" t="s">
        <v>5782</v>
      </c>
      <c r="C18032" s="1" t="s">
        <v>5783</v>
      </c>
      <c r="D18032" s="22" t="str">
        <f>HYPERLINK("https://rhld.insurance.arkansas.gov/NPILookup?Npi=1902051170","1902051170")</f>
        <v>1902051170</v>
      </c>
      <c r="E18032" s="1" t="s">
        <v>1433</v>
      </c>
      <c r="F18032" s="2"/>
      <c r="G18032" s="2"/>
      <c r="H18032" s="2"/>
    </row>
    <row r="18033" spans="1:8" x14ac:dyDescent="0.25">
      <c r="A18033" s="1"/>
      <c r="B18033" s="1" t="s">
        <v>5782</v>
      </c>
      <c r="C18033" s="1" t="s">
        <v>5783</v>
      </c>
      <c r="D18033" s="22" t="str">
        <f>HYPERLINK("https://rhld.insurance.arkansas.gov/NPILookup?Npi=1902073430","1902073430")</f>
        <v>1902073430</v>
      </c>
      <c r="E18033" s="1" t="s">
        <v>6744</v>
      </c>
      <c r="F18033" s="2"/>
      <c r="G18033" s="2"/>
      <c r="H18033" s="2"/>
    </row>
    <row r="18034" spans="1:8" x14ac:dyDescent="0.25">
      <c r="A18034" s="1"/>
      <c r="B18034" s="1" t="s">
        <v>5782</v>
      </c>
      <c r="C18034" s="1" t="s">
        <v>5783</v>
      </c>
      <c r="D18034" s="22" t="str">
        <f>HYPERLINK("https://rhld.insurance.arkansas.gov/NPILookup?Npi=1902096498","1902096498")</f>
        <v>1902096498</v>
      </c>
      <c r="E18034" s="1" t="s">
        <v>23711</v>
      </c>
      <c r="F18034" s="2"/>
      <c r="G18034" s="2"/>
      <c r="H18034" s="2"/>
    </row>
    <row r="18035" spans="1:8" x14ac:dyDescent="0.25">
      <c r="A18035" s="1"/>
      <c r="B18035" s="1" t="s">
        <v>5782</v>
      </c>
      <c r="C18035" s="1" t="s">
        <v>5783</v>
      </c>
      <c r="D18035" s="22" t="str">
        <f>HYPERLINK("https://rhld.insurance.arkansas.gov/NPILookup?Npi=1902101835","1902101835")</f>
        <v>1902101835</v>
      </c>
      <c r="E18035" s="1" t="s">
        <v>13993</v>
      </c>
      <c r="F18035" s="2"/>
      <c r="G18035" s="2"/>
      <c r="H18035" s="2"/>
    </row>
    <row r="18036" spans="1:8" x14ac:dyDescent="0.25">
      <c r="A18036" s="1"/>
      <c r="B18036" s="1" t="s">
        <v>5782</v>
      </c>
      <c r="C18036" s="1" t="s">
        <v>5783</v>
      </c>
      <c r="D18036" s="22" t="str">
        <f>HYPERLINK("https://rhld.insurance.arkansas.gov/NPILookup?Npi=1902111966","1902111966")</f>
        <v>1902111966</v>
      </c>
      <c r="E18036" s="1" t="s">
        <v>23712</v>
      </c>
      <c r="F18036" s="2"/>
      <c r="G18036" s="2"/>
      <c r="H18036" s="2"/>
    </row>
    <row r="18037" spans="1:8" x14ac:dyDescent="0.25">
      <c r="A18037" s="1"/>
      <c r="B18037" s="1" t="s">
        <v>5782</v>
      </c>
      <c r="C18037" s="1" t="s">
        <v>5783</v>
      </c>
      <c r="D18037" s="22" t="str">
        <f>HYPERLINK("https://rhld.insurance.arkansas.gov/NPILookup?Npi=1902126691","1902126691")</f>
        <v>1902126691</v>
      </c>
      <c r="E18037" s="1" t="s">
        <v>3281</v>
      </c>
      <c r="F18037" s="2"/>
      <c r="G18037" s="2"/>
      <c r="H18037" s="2"/>
    </row>
    <row r="18038" spans="1:8" x14ac:dyDescent="0.25">
      <c r="A18038" s="1"/>
      <c r="B18038" s="1" t="s">
        <v>5782</v>
      </c>
      <c r="C18038" s="1" t="s">
        <v>5783</v>
      </c>
      <c r="D18038" s="22" t="str">
        <f>HYPERLINK("https://rhld.insurance.arkansas.gov/NPILookup?Npi=1902140858","1902140858")</f>
        <v>1902140858</v>
      </c>
      <c r="E18038" s="1" t="s">
        <v>23713</v>
      </c>
      <c r="F18038" s="2"/>
      <c r="G18038" s="2"/>
      <c r="H18038" s="2"/>
    </row>
    <row r="18039" spans="1:8" x14ac:dyDescent="0.25">
      <c r="A18039" s="1"/>
      <c r="B18039" s="1" t="s">
        <v>5782</v>
      </c>
      <c r="C18039" s="1" t="s">
        <v>5783</v>
      </c>
      <c r="D18039" s="22" t="str">
        <f>HYPERLINK("https://rhld.insurance.arkansas.gov/NPILookup?Npi=1902157993","1902157993")</f>
        <v>1902157993</v>
      </c>
      <c r="E18039" s="1" t="s">
        <v>955</v>
      </c>
      <c r="F18039" s="2"/>
      <c r="G18039" s="2"/>
      <c r="H18039" s="2"/>
    </row>
    <row r="18040" spans="1:8" x14ac:dyDescent="0.25">
      <c r="A18040" s="1"/>
      <c r="B18040" s="1" t="s">
        <v>5782</v>
      </c>
      <c r="C18040" s="1" t="s">
        <v>5783</v>
      </c>
      <c r="D18040" s="22" t="str">
        <f>HYPERLINK("https://rhld.insurance.arkansas.gov/NPILookup?Npi=1902193337","1902193337")</f>
        <v>1902193337</v>
      </c>
      <c r="E18040" s="1" t="s">
        <v>23714</v>
      </c>
      <c r="F18040" s="2"/>
      <c r="G18040" s="2"/>
      <c r="H18040" s="2"/>
    </row>
    <row r="18041" spans="1:8" x14ac:dyDescent="0.25">
      <c r="A18041" s="1"/>
      <c r="B18041" s="1" t="s">
        <v>5782</v>
      </c>
      <c r="C18041" s="1" t="s">
        <v>5783</v>
      </c>
      <c r="D18041" s="22" t="str">
        <f>HYPERLINK("https://rhld.insurance.arkansas.gov/NPILookup?Npi=1902201346","1902201346")</f>
        <v>1902201346</v>
      </c>
      <c r="E18041" s="1" t="s">
        <v>23715</v>
      </c>
      <c r="F18041" s="2"/>
      <c r="G18041" s="2"/>
      <c r="H18041" s="2"/>
    </row>
    <row r="18042" spans="1:8" x14ac:dyDescent="0.25">
      <c r="A18042" s="1"/>
      <c r="B18042" s="1" t="s">
        <v>5782</v>
      </c>
      <c r="C18042" s="1" t="s">
        <v>5783</v>
      </c>
      <c r="D18042" s="22" t="str">
        <f>HYPERLINK("https://rhld.insurance.arkansas.gov/NPILookup?Npi=1902208853","1902208853")</f>
        <v>1902208853</v>
      </c>
      <c r="E18042" s="1" t="s">
        <v>23716</v>
      </c>
      <c r="F18042" s="2"/>
      <c r="G18042" s="2"/>
      <c r="H18042" s="2"/>
    </row>
    <row r="18043" spans="1:8" x14ac:dyDescent="0.25">
      <c r="A18043" s="1"/>
      <c r="B18043" s="1" t="s">
        <v>5782</v>
      </c>
      <c r="C18043" s="1" t="s">
        <v>5783</v>
      </c>
      <c r="D18043" s="22" t="str">
        <f>HYPERLINK("https://rhld.insurance.arkansas.gov/NPILookup?Npi=1902209562","1902209562")</f>
        <v>1902209562</v>
      </c>
      <c r="E18043" s="1" t="s">
        <v>12212</v>
      </c>
      <c r="F18043" s="2"/>
      <c r="G18043" s="2"/>
      <c r="H18043" s="2"/>
    </row>
    <row r="18044" spans="1:8" x14ac:dyDescent="0.25">
      <c r="A18044" s="1"/>
      <c r="B18044" s="1" t="s">
        <v>5782</v>
      </c>
      <c r="C18044" s="1" t="s">
        <v>5783</v>
      </c>
      <c r="D18044" s="22" t="str">
        <f>HYPERLINK("https://rhld.insurance.arkansas.gov/NPILookup?Npi=1902215221","1902215221")</f>
        <v>1902215221</v>
      </c>
      <c r="E18044" s="1" t="s">
        <v>6745</v>
      </c>
      <c r="F18044" s="2"/>
      <c r="G18044" s="2"/>
      <c r="H18044" s="2"/>
    </row>
    <row r="18045" spans="1:8" x14ac:dyDescent="0.25">
      <c r="A18045" s="1"/>
      <c r="B18045" s="1" t="s">
        <v>5782</v>
      </c>
      <c r="C18045" s="1" t="s">
        <v>5783</v>
      </c>
      <c r="D18045" s="22" t="str">
        <f>HYPERLINK("https://rhld.insurance.arkansas.gov/NPILookup?Npi=1902219587","1902219587")</f>
        <v>1902219587</v>
      </c>
      <c r="E18045" s="1" t="s">
        <v>23717</v>
      </c>
      <c r="F18045" s="2"/>
      <c r="G18045" s="2"/>
      <c r="H18045" s="2"/>
    </row>
    <row r="18046" spans="1:8" x14ac:dyDescent="0.25">
      <c r="A18046" s="1"/>
      <c r="B18046" s="1" t="s">
        <v>5782</v>
      </c>
      <c r="C18046" s="1" t="s">
        <v>5783</v>
      </c>
      <c r="D18046" s="22" t="str">
        <f>HYPERLINK("https://rhld.insurance.arkansas.gov/NPILookup?Npi=1902220668","1902220668")</f>
        <v>1902220668</v>
      </c>
      <c r="E18046" s="1" t="s">
        <v>23718</v>
      </c>
      <c r="F18046" s="2"/>
      <c r="G18046" s="2"/>
      <c r="H18046" s="2"/>
    </row>
    <row r="18047" spans="1:8" x14ac:dyDescent="0.25">
      <c r="A18047" s="1"/>
      <c r="B18047" s="1" t="s">
        <v>5782</v>
      </c>
      <c r="C18047" s="1" t="s">
        <v>5783</v>
      </c>
      <c r="D18047" s="22" t="str">
        <f>HYPERLINK("https://rhld.insurance.arkansas.gov/NPILookup?Npi=1902228554","1902228554")</f>
        <v>1902228554</v>
      </c>
      <c r="E18047" s="1" t="s">
        <v>23719</v>
      </c>
      <c r="F18047" s="2"/>
      <c r="G18047" s="2"/>
      <c r="H18047" s="2"/>
    </row>
    <row r="18048" spans="1:8" x14ac:dyDescent="0.25">
      <c r="A18048" s="1"/>
      <c r="B18048" s="1" t="s">
        <v>5782</v>
      </c>
      <c r="C18048" s="1" t="s">
        <v>5783</v>
      </c>
      <c r="D18048" s="22" t="str">
        <f>HYPERLINK("https://rhld.insurance.arkansas.gov/NPILookup?Npi=1902228992","1902228992")</f>
        <v>1902228992</v>
      </c>
      <c r="E18048" s="1" t="s">
        <v>23720</v>
      </c>
      <c r="F18048" s="2"/>
      <c r="G18048" s="2"/>
      <c r="H18048" s="2"/>
    </row>
    <row r="18049" spans="1:8" x14ac:dyDescent="0.25">
      <c r="A18049" s="1"/>
      <c r="B18049" s="1" t="s">
        <v>5782</v>
      </c>
      <c r="C18049" s="1" t="s">
        <v>5783</v>
      </c>
      <c r="D18049" s="22" t="str">
        <f>HYPERLINK("https://rhld.insurance.arkansas.gov/NPILookup?Npi=1902232671","1902232671")</f>
        <v>1902232671</v>
      </c>
      <c r="E18049" s="1" t="s">
        <v>23721</v>
      </c>
      <c r="F18049" s="2"/>
      <c r="G18049" s="2"/>
      <c r="H18049" s="2"/>
    </row>
    <row r="18050" spans="1:8" x14ac:dyDescent="0.25">
      <c r="A18050" s="1"/>
      <c r="B18050" s="1" t="s">
        <v>5782</v>
      </c>
      <c r="C18050" s="1" t="s">
        <v>5783</v>
      </c>
      <c r="D18050" s="22" t="str">
        <f>HYPERLINK("https://rhld.insurance.arkansas.gov/NPILookup?Npi=1902239056","1902239056")</f>
        <v>1902239056</v>
      </c>
      <c r="E18050" s="1" t="s">
        <v>12213</v>
      </c>
      <c r="F18050" s="2"/>
      <c r="G18050" s="2"/>
      <c r="H18050" s="2"/>
    </row>
    <row r="18051" spans="1:8" x14ac:dyDescent="0.25">
      <c r="A18051" s="1"/>
      <c r="B18051" s="1" t="s">
        <v>5782</v>
      </c>
      <c r="C18051" s="1" t="s">
        <v>5783</v>
      </c>
      <c r="D18051" s="22" t="str">
        <f>HYPERLINK("https://rhld.insurance.arkansas.gov/NPILookup?Npi=1902241045","1902241045")</f>
        <v>1902241045</v>
      </c>
      <c r="E18051" s="1" t="s">
        <v>23722</v>
      </c>
      <c r="F18051" s="2"/>
      <c r="G18051" s="2"/>
      <c r="H18051" s="2"/>
    </row>
    <row r="18052" spans="1:8" x14ac:dyDescent="0.25">
      <c r="A18052" s="1"/>
      <c r="B18052" s="1" t="s">
        <v>5782</v>
      </c>
      <c r="C18052" s="1" t="s">
        <v>5783</v>
      </c>
      <c r="D18052" s="22" t="str">
        <f>HYPERLINK("https://rhld.insurance.arkansas.gov/NPILookup?Npi=1902244908","1902244908")</f>
        <v>1902244908</v>
      </c>
      <c r="E18052" s="1" t="s">
        <v>23723</v>
      </c>
      <c r="F18052" s="2"/>
      <c r="G18052" s="2"/>
      <c r="H18052" s="2"/>
    </row>
    <row r="18053" spans="1:8" x14ac:dyDescent="0.25">
      <c r="A18053" s="1"/>
      <c r="B18053" s="1" t="s">
        <v>5782</v>
      </c>
      <c r="C18053" s="1" t="s">
        <v>5783</v>
      </c>
      <c r="D18053" s="22" t="str">
        <f>HYPERLINK("https://rhld.insurance.arkansas.gov/NPILookup?Npi=1902267248","1902267248")</f>
        <v>1902267248</v>
      </c>
      <c r="E18053" s="1" t="s">
        <v>23724</v>
      </c>
      <c r="F18053" s="2"/>
      <c r="G18053" s="2"/>
      <c r="H18053" s="2"/>
    </row>
    <row r="18054" spans="1:8" x14ac:dyDescent="0.25">
      <c r="A18054" s="1"/>
      <c r="B18054" s="1" t="s">
        <v>5782</v>
      </c>
      <c r="C18054" s="1" t="s">
        <v>5783</v>
      </c>
      <c r="D18054" s="22" t="str">
        <f>HYPERLINK("https://rhld.insurance.arkansas.gov/NPILookup?Npi=1902277924","1902277924")</f>
        <v>1902277924</v>
      </c>
      <c r="E18054" s="1" t="s">
        <v>15978</v>
      </c>
      <c r="F18054" s="2"/>
      <c r="G18054" s="2"/>
      <c r="H18054" s="2"/>
    </row>
    <row r="18055" spans="1:8" x14ac:dyDescent="0.25">
      <c r="A18055" s="1"/>
      <c r="B18055" s="1" t="s">
        <v>5782</v>
      </c>
      <c r="C18055" s="1" t="s">
        <v>5783</v>
      </c>
      <c r="D18055" s="22" t="str">
        <f>HYPERLINK("https://rhld.insurance.arkansas.gov/NPILookup?Npi=1902284979","1902284979")</f>
        <v>1902284979</v>
      </c>
      <c r="E18055" s="1" t="s">
        <v>3407</v>
      </c>
      <c r="F18055" s="2"/>
      <c r="G18055" s="2"/>
      <c r="H18055" s="2"/>
    </row>
    <row r="18056" spans="1:8" x14ac:dyDescent="0.25">
      <c r="A18056" s="1"/>
      <c r="B18056" s="1" t="s">
        <v>5782</v>
      </c>
      <c r="C18056" s="1" t="s">
        <v>5783</v>
      </c>
      <c r="D18056" s="22" t="str">
        <f>HYPERLINK("https://rhld.insurance.arkansas.gov/NPILookup?Npi=1902290174","1902290174")</f>
        <v>1902290174</v>
      </c>
      <c r="E18056" s="1" t="s">
        <v>284</v>
      </c>
      <c r="F18056" s="2"/>
      <c r="G18056" s="2"/>
      <c r="H18056" s="2"/>
    </row>
    <row r="18057" spans="1:8" x14ac:dyDescent="0.25">
      <c r="A18057" s="1"/>
      <c r="B18057" s="1" t="s">
        <v>5782</v>
      </c>
      <c r="C18057" s="1" t="s">
        <v>5783</v>
      </c>
      <c r="D18057" s="22" t="str">
        <f>HYPERLINK("https://rhld.insurance.arkansas.gov/NPILookup?Npi=1902296775","1902296775")</f>
        <v>1902296775</v>
      </c>
      <c r="E18057" s="1" t="s">
        <v>6046</v>
      </c>
      <c r="F18057" s="2"/>
      <c r="G18057" s="2"/>
      <c r="H18057" s="2"/>
    </row>
    <row r="18058" spans="1:8" x14ac:dyDescent="0.25">
      <c r="A18058" s="1"/>
      <c r="B18058" s="1" t="s">
        <v>5782</v>
      </c>
      <c r="C18058" s="1" t="s">
        <v>5783</v>
      </c>
      <c r="D18058" s="22" t="str">
        <f>HYPERLINK("https://rhld.insurance.arkansas.gov/NPILookup?Npi=1902299050","1902299050")</f>
        <v>1902299050</v>
      </c>
      <c r="E18058" s="1" t="s">
        <v>23725</v>
      </c>
      <c r="F18058" s="2"/>
      <c r="G18058" s="2"/>
      <c r="H18058" s="2"/>
    </row>
    <row r="18059" spans="1:8" x14ac:dyDescent="0.25">
      <c r="A18059" s="1"/>
      <c r="B18059" s="1" t="s">
        <v>5782</v>
      </c>
      <c r="C18059" s="1" t="s">
        <v>5783</v>
      </c>
      <c r="D18059" s="22" t="str">
        <f>HYPERLINK("https://rhld.insurance.arkansas.gov/NPILookup?Npi=1902322845","1902322845")</f>
        <v>1902322845</v>
      </c>
      <c r="E18059" s="1" t="s">
        <v>23726</v>
      </c>
      <c r="F18059" s="2"/>
      <c r="G18059" s="2"/>
      <c r="H18059" s="2"/>
    </row>
    <row r="18060" spans="1:8" x14ac:dyDescent="0.25">
      <c r="A18060" s="1"/>
      <c r="B18060" s="1" t="s">
        <v>5782</v>
      </c>
      <c r="C18060" s="1" t="s">
        <v>5783</v>
      </c>
      <c r="D18060" s="22" t="str">
        <f>HYPERLINK("https://rhld.insurance.arkansas.gov/NPILookup?Npi=1902343023","1902343023")</f>
        <v>1902343023</v>
      </c>
      <c r="E18060" s="1" t="s">
        <v>23727</v>
      </c>
      <c r="F18060" s="2"/>
      <c r="G18060" s="2"/>
      <c r="H18060" s="2"/>
    </row>
    <row r="18061" spans="1:8" x14ac:dyDescent="0.25">
      <c r="A18061" s="1"/>
      <c r="B18061" s="1" t="s">
        <v>5782</v>
      </c>
      <c r="C18061" s="1" t="s">
        <v>5783</v>
      </c>
      <c r="D18061" s="22" t="str">
        <f>HYPERLINK("https://rhld.insurance.arkansas.gov/NPILookup?Npi=1902345416","1902345416")</f>
        <v>1902345416</v>
      </c>
      <c r="E18061" s="1" t="s">
        <v>6746</v>
      </c>
      <c r="F18061" s="2"/>
      <c r="G18061" s="2"/>
      <c r="H18061" s="2"/>
    </row>
    <row r="18062" spans="1:8" x14ac:dyDescent="0.25">
      <c r="A18062" s="1"/>
      <c r="B18062" s="1" t="s">
        <v>5782</v>
      </c>
      <c r="C18062" s="1" t="s">
        <v>5783</v>
      </c>
      <c r="D18062" s="22" t="str">
        <f>HYPERLINK("https://rhld.insurance.arkansas.gov/NPILookup?Npi=1902352115","1902352115")</f>
        <v>1902352115</v>
      </c>
      <c r="E18062" s="1" t="s">
        <v>6747</v>
      </c>
      <c r="F18062" s="2"/>
      <c r="G18062" s="2"/>
      <c r="H18062" s="2"/>
    </row>
    <row r="18063" spans="1:8" x14ac:dyDescent="0.25">
      <c r="A18063" s="1"/>
      <c r="B18063" s="1" t="s">
        <v>5782</v>
      </c>
      <c r="C18063" s="1" t="s">
        <v>5783</v>
      </c>
      <c r="D18063" s="22" t="str">
        <f>HYPERLINK("https://rhld.insurance.arkansas.gov/NPILookup?Npi=1902352545","1902352545")</f>
        <v>1902352545</v>
      </c>
      <c r="E18063" s="1" t="s">
        <v>23728</v>
      </c>
      <c r="F18063" s="2"/>
      <c r="G18063" s="2"/>
      <c r="H18063" s="2"/>
    </row>
    <row r="18064" spans="1:8" x14ac:dyDescent="0.25">
      <c r="A18064" s="1"/>
      <c r="B18064" s="1" t="s">
        <v>5782</v>
      </c>
      <c r="C18064" s="1" t="s">
        <v>5783</v>
      </c>
      <c r="D18064" s="22" t="str">
        <f>HYPERLINK("https://rhld.insurance.arkansas.gov/NPILookup?Npi=1902379043","1902379043")</f>
        <v>1902379043</v>
      </c>
      <c r="E18064" s="1" t="s">
        <v>5947</v>
      </c>
      <c r="F18064" s="2"/>
      <c r="G18064" s="2"/>
      <c r="H18064" s="2"/>
    </row>
    <row r="18065" spans="1:8" x14ac:dyDescent="0.25">
      <c r="A18065" s="1"/>
      <c r="B18065" s="1" t="s">
        <v>5782</v>
      </c>
      <c r="C18065" s="1" t="s">
        <v>5783</v>
      </c>
      <c r="D18065" s="22" t="str">
        <f>HYPERLINK("https://rhld.insurance.arkansas.gov/NPILookup?Npi=1902383516","1902383516")</f>
        <v>1902383516</v>
      </c>
      <c r="E18065" s="1" t="s">
        <v>12214</v>
      </c>
      <c r="F18065" s="2"/>
      <c r="G18065" s="2"/>
      <c r="H18065" s="2"/>
    </row>
    <row r="18066" spans="1:8" x14ac:dyDescent="0.25">
      <c r="A18066" s="1"/>
      <c r="B18066" s="1" t="s">
        <v>5782</v>
      </c>
      <c r="C18066" s="1" t="s">
        <v>5783</v>
      </c>
      <c r="D18066" s="22" t="str">
        <f>HYPERLINK("https://rhld.insurance.arkansas.gov/NPILookup?Npi=1902385214","1902385214")</f>
        <v>1902385214</v>
      </c>
      <c r="E18066" s="1" t="s">
        <v>23729</v>
      </c>
      <c r="F18066" s="2"/>
      <c r="G18066" s="2"/>
      <c r="H18066" s="2"/>
    </row>
    <row r="18067" spans="1:8" x14ac:dyDescent="0.25">
      <c r="A18067" s="1"/>
      <c r="B18067" s="1" t="s">
        <v>5782</v>
      </c>
      <c r="C18067" s="1" t="s">
        <v>5783</v>
      </c>
      <c r="D18067" s="22" t="str">
        <f>HYPERLINK("https://rhld.insurance.arkansas.gov/NPILookup?Npi=1902386345","1902386345")</f>
        <v>1902386345</v>
      </c>
      <c r="E18067" s="1" t="s">
        <v>23730</v>
      </c>
      <c r="F18067" s="2"/>
      <c r="G18067" s="2"/>
      <c r="H18067" s="2"/>
    </row>
    <row r="18068" spans="1:8" x14ac:dyDescent="0.25">
      <c r="A18068" s="1"/>
      <c r="B18068" s="1" t="s">
        <v>5782</v>
      </c>
      <c r="C18068" s="1" t="s">
        <v>5783</v>
      </c>
      <c r="D18068" s="22" t="str">
        <f>HYPERLINK("https://rhld.insurance.arkansas.gov/NPILookup?Npi=1902424336","1902424336")</f>
        <v>1902424336</v>
      </c>
      <c r="E18068" s="1" t="s">
        <v>23731</v>
      </c>
      <c r="F18068" s="2"/>
      <c r="G18068" s="2"/>
      <c r="H18068" s="2"/>
    </row>
    <row r="18069" spans="1:8" x14ac:dyDescent="0.25">
      <c r="A18069" s="1"/>
      <c r="B18069" s="1" t="s">
        <v>5782</v>
      </c>
      <c r="C18069" s="1" t="s">
        <v>5783</v>
      </c>
      <c r="D18069" s="22" t="str">
        <f>HYPERLINK("https://rhld.insurance.arkansas.gov/NPILookup?Npi=1902433956","1902433956")</f>
        <v>1902433956</v>
      </c>
      <c r="E18069" s="1" t="s">
        <v>23732</v>
      </c>
      <c r="F18069" s="2"/>
      <c r="G18069" s="2"/>
      <c r="H18069" s="2"/>
    </row>
    <row r="18070" spans="1:8" x14ac:dyDescent="0.25">
      <c r="A18070" s="1"/>
      <c r="B18070" s="1" t="s">
        <v>5782</v>
      </c>
      <c r="C18070" s="1" t="s">
        <v>5783</v>
      </c>
      <c r="D18070" s="22" t="str">
        <f>HYPERLINK("https://rhld.insurance.arkansas.gov/NPILookup?Npi=1902443559","1902443559")</f>
        <v>1902443559</v>
      </c>
      <c r="E18070" s="1" t="s">
        <v>12215</v>
      </c>
      <c r="F18070" s="2"/>
      <c r="G18070" s="2"/>
      <c r="H18070" s="2"/>
    </row>
    <row r="18071" spans="1:8" x14ac:dyDescent="0.25">
      <c r="A18071" s="1"/>
      <c r="B18071" s="1" t="s">
        <v>5782</v>
      </c>
      <c r="C18071" s="1" t="s">
        <v>5783</v>
      </c>
      <c r="D18071" s="22" t="str">
        <f>HYPERLINK("https://rhld.insurance.arkansas.gov/NPILookup?Npi=1902453368","1902453368")</f>
        <v>1902453368</v>
      </c>
      <c r="E18071" s="1" t="s">
        <v>23733</v>
      </c>
      <c r="F18071" s="2"/>
      <c r="G18071" s="2"/>
      <c r="H18071" s="2"/>
    </row>
    <row r="18072" spans="1:8" x14ac:dyDescent="0.25">
      <c r="A18072" s="1"/>
      <c r="B18072" s="1" t="s">
        <v>5782</v>
      </c>
      <c r="C18072" s="1" t="s">
        <v>5783</v>
      </c>
      <c r="D18072" s="22" t="str">
        <f>HYPERLINK("https://rhld.insurance.arkansas.gov/NPILookup?Npi=1902483993","1902483993")</f>
        <v>1902483993</v>
      </c>
      <c r="E18072" s="1" t="s">
        <v>23734</v>
      </c>
      <c r="F18072" s="2"/>
      <c r="G18072" s="2"/>
      <c r="H18072" s="2"/>
    </row>
    <row r="18073" spans="1:8" x14ac:dyDescent="0.25">
      <c r="A18073" s="1"/>
      <c r="B18073" s="1" t="s">
        <v>5782</v>
      </c>
      <c r="C18073" s="1" t="s">
        <v>5783</v>
      </c>
      <c r="D18073" s="22" t="str">
        <f>HYPERLINK("https://rhld.insurance.arkansas.gov/NPILookup?Npi=1902497076","1902497076")</f>
        <v>1902497076</v>
      </c>
      <c r="E18073" s="1" t="s">
        <v>6748</v>
      </c>
      <c r="F18073" s="2"/>
      <c r="G18073" s="2"/>
      <c r="H18073" s="2"/>
    </row>
    <row r="18074" spans="1:8" x14ac:dyDescent="0.25">
      <c r="A18074" s="1"/>
      <c r="B18074" s="1" t="s">
        <v>5782</v>
      </c>
      <c r="C18074" s="1" t="s">
        <v>5783</v>
      </c>
      <c r="D18074" s="22" t="str">
        <f>HYPERLINK("https://rhld.insurance.arkansas.gov/NPILookup?Npi=1902534043","1902534043")</f>
        <v>1902534043</v>
      </c>
      <c r="E18074" s="1" t="s">
        <v>23735</v>
      </c>
      <c r="F18074" s="2"/>
      <c r="G18074" s="2"/>
      <c r="H18074" s="2"/>
    </row>
    <row r="18075" spans="1:8" x14ac:dyDescent="0.25">
      <c r="A18075" s="1"/>
      <c r="B18075" s="1" t="s">
        <v>5782</v>
      </c>
      <c r="C18075" s="1" t="s">
        <v>5783</v>
      </c>
      <c r="D18075" s="22" t="str">
        <f>HYPERLINK("https://rhld.insurance.arkansas.gov/NPILookup?Npi=1902561707","1902561707")</f>
        <v>1902561707</v>
      </c>
      <c r="E18075" s="1" t="s">
        <v>23736</v>
      </c>
      <c r="F18075" s="2"/>
      <c r="G18075" s="2"/>
      <c r="H18075" s="2"/>
    </row>
    <row r="18076" spans="1:8" x14ac:dyDescent="0.25">
      <c r="A18076" s="1"/>
      <c r="B18076" s="1" t="s">
        <v>5782</v>
      </c>
      <c r="C18076" s="1" t="s">
        <v>5783</v>
      </c>
      <c r="D18076" s="22" t="str">
        <f>HYPERLINK("https://rhld.insurance.arkansas.gov/NPILookup?Npi=1902564156","1902564156")</f>
        <v>1902564156</v>
      </c>
      <c r="E18076" s="1" t="s">
        <v>12216</v>
      </c>
      <c r="F18076" s="2"/>
      <c r="G18076" s="2"/>
      <c r="H18076" s="2"/>
    </row>
    <row r="18077" spans="1:8" x14ac:dyDescent="0.25">
      <c r="A18077" s="1"/>
      <c r="B18077" s="1" t="s">
        <v>5782</v>
      </c>
      <c r="C18077" s="1" t="s">
        <v>5783</v>
      </c>
      <c r="D18077" s="22" t="str">
        <f>HYPERLINK("https://rhld.insurance.arkansas.gov/NPILookup?Npi=1902579105","1902579105")</f>
        <v>1902579105</v>
      </c>
      <c r="E18077" s="1" t="s">
        <v>23737</v>
      </c>
      <c r="F18077" s="2"/>
      <c r="G18077" s="2"/>
      <c r="H18077" s="2"/>
    </row>
    <row r="18078" spans="1:8" x14ac:dyDescent="0.25">
      <c r="A18078" s="1"/>
      <c r="B18078" s="1" t="s">
        <v>5782</v>
      </c>
      <c r="C18078" s="1" t="s">
        <v>5783</v>
      </c>
      <c r="D18078" s="22" t="str">
        <f>HYPERLINK("https://rhld.insurance.arkansas.gov/NPILookup?Npi=1902585227","1902585227")</f>
        <v>1902585227</v>
      </c>
      <c r="E18078" s="1" t="s">
        <v>6749</v>
      </c>
      <c r="F18078" s="2"/>
      <c r="G18078" s="2"/>
      <c r="H18078" s="2"/>
    </row>
    <row r="18079" spans="1:8" x14ac:dyDescent="0.25">
      <c r="A18079" s="1"/>
      <c r="B18079" s="1" t="s">
        <v>5782</v>
      </c>
      <c r="C18079" s="1" t="s">
        <v>5783</v>
      </c>
      <c r="D18079" s="22" t="str">
        <f>HYPERLINK("https://rhld.insurance.arkansas.gov/NPILookup?Npi=1902644727","1902644727")</f>
        <v>1902644727</v>
      </c>
      <c r="E18079" s="1" t="s">
        <v>31970</v>
      </c>
      <c r="F18079" s="2"/>
      <c r="G18079" s="2"/>
      <c r="H18079" s="2"/>
    </row>
    <row r="18080" spans="1:8" x14ac:dyDescent="0.25">
      <c r="A18080" s="1"/>
      <c r="B18080" s="1" t="s">
        <v>5782</v>
      </c>
      <c r="C18080" s="1" t="s">
        <v>5783</v>
      </c>
      <c r="D18080" s="22" t="str">
        <f>HYPERLINK("https://rhld.insurance.arkansas.gov/NPILookup?Npi=1902660475","1902660475")</f>
        <v>1902660475</v>
      </c>
      <c r="E18080" s="1" t="s">
        <v>6750</v>
      </c>
      <c r="F18080" s="2"/>
      <c r="G18080" s="2"/>
      <c r="H18080" s="2"/>
    </row>
    <row r="18081" spans="1:8" x14ac:dyDescent="0.25">
      <c r="A18081" s="1"/>
      <c r="B18081" s="1" t="s">
        <v>5782</v>
      </c>
      <c r="C18081" s="1" t="s">
        <v>5783</v>
      </c>
      <c r="D18081" s="22" t="str">
        <f>HYPERLINK("https://rhld.insurance.arkansas.gov/NPILookup?Npi=1902660756","1902660756")</f>
        <v>1902660756</v>
      </c>
      <c r="E18081" s="1" t="s">
        <v>23738</v>
      </c>
      <c r="F18081" s="2"/>
      <c r="G18081" s="2"/>
      <c r="H18081" s="2"/>
    </row>
    <row r="18082" spans="1:8" x14ac:dyDescent="0.25">
      <c r="A18082" s="1"/>
      <c r="B18082" s="1" t="s">
        <v>5782</v>
      </c>
      <c r="C18082" s="1" t="s">
        <v>5783</v>
      </c>
      <c r="D18082" s="22" t="str">
        <f>HYPERLINK("https://rhld.insurance.arkansas.gov/NPILookup?Npi=1902665037","1902665037")</f>
        <v>1902665037</v>
      </c>
      <c r="E18082" s="1" t="s">
        <v>23739</v>
      </c>
      <c r="F18082" s="2"/>
      <c r="G18082" s="2"/>
      <c r="H18082" s="2"/>
    </row>
    <row r="18083" spans="1:8" x14ac:dyDescent="0.25">
      <c r="A18083" s="1"/>
      <c r="B18083" s="1" t="s">
        <v>5782</v>
      </c>
      <c r="C18083" s="1" t="s">
        <v>5783</v>
      </c>
      <c r="D18083" s="22" t="str">
        <f>HYPERLINK("https://rhld.insurance.arkansas.gov/NPILookup?Npi=1902671381","1902671381")</f>
        <v>1902671381</v>
      </c>
      <c r="E18083" s="1" t="s">
        <v>23740</v>
      </c>
      <c r="F18083" s="2"/>
      <c r="G18083" s="2"/>
      <c r="H18083" s="2"/>
    </row>
    <row r="18084" spans="1:8" x14ac:dyDescent="0.25">
      <c r="A18084" s="1"/>
      <c r="B18084" s="1" t="s">
        <v>5782</v>
      </c>
      <c r="C18084" s="1" t="s">
        <v>5783</v>
      </c>
      <c r="D18084" s="22" t="str">
        <f>HYPERLINK("https://rhld.insurance.arkansas.gov/NPILookup?Npi=1902683980","1902683980")</f>
        <v>1902683980</v>
      </c>
      <c r="E18084" s="1" t="s">
        <v>6751</v>
      </c>
      <c r="F18084" s="2"/>
      <c r="G18084" s="2"/>
      <c r="H18084" s="2"/>
    </row>
    <row r="18085" spans="1:8" x14ac:dyDescent="0.25">
      <c r="A18085" s="1"/>
      <c r="B18085" s="1" t="s">
        <v>5782</v>
      </c>
      <c r="C18085" s="1" t="s">
        <v>5783</v>
      </c>
      <c r="D18085" s="22" t="str">
        <f>HYPERLINK("https://rhld.insurance.arkansas.gov/NPILookup?Npi=1902874209","1902874209")</f>
        <v>1902874209</v>
      </c>
      <c r="E18085" s="1" t="s">
        <v>23741</v>
      </c>
      <c r="F18085" s="2"/>
      <c r="G18085" s="2"/>
      <c r="H18085" s="2"/>
    </row>
    <row r="18086" spans="1:8" x14ac:dyDescent="0.25">
      <c r="A18086" s="1"/>
      <c r="B18086" s="1" t="s">
        <v>5782</v>
      </c>
      <c r="C18086" s="1" t="s">
        <v>5783</v>
      </c>
      <c r="D18086" s="22" t="str">
        <f>HYPERLINK("https://rhld.insurance.arkansas.gov/NPILookup?Npi=1902878473","1902878473")</f>
        <v>1902878473</v>
      </c>
      <c r="E18086" s="1" t="s">
        <v>956</v>
      </c>
      <c r="F18086" s="2"/>
      <c r="G18086" s="2"/>
      <c r="H18086" s="2"/>
    </row>
    <row r="18087" spans="1:8" x14ac:dyDescent="0.25">
      <c r="A18087" s="1"/>
      <c r="B18087" s="1" t="s">
        <v>5782</v>
      </c>
      <c r="C18087" s="1" t="s">
        <v>5783</v>
      </c>
      <c r="D18087" s="22" t="str">
        <f>HYPERLINK("https://rhld.insurance.arkansas.gov/NPILookup?Npi=1902884372","1902884372")</f>
        <v>1902884372</v>
      </c>
      <c r="E18087" s="1" t="s">
        <v>216</v>
      </c>
      <c r="F18087" s="2"/>
      <c r="G18087" s="2"/>
      <c r="H18087" s="2"/>
    </row>
    <row r="18088" spans="1:8" x14ac:dyDescent="0.25">
      <c r="A18088" s="1"/>
      <c r="B18088" s="1" t="s">
        <v>5782</v>
      </c>
      <c r="C18088" s="1" t="s">
        <v>5783</v>
      </c>
      <c r="D18088" s="22" t="str">
        <f>HYPERLINK("https://rhld.insurance.arkansas.gov/NPILookup?Npi=1902892052","1902892052")</f>
        <v>1902892052</v>
      </c>
      <c r="E18088" s="1" t="s">
        <v>23742</v>
      </c>
      <c r="F18088" s="2"/>
      <c r="G18088" s="2"/>
      <c r="H18088" s="2"/>
    </row>
    <row r="18089" spans="1:8" x14ac:dyDescent="0.25">
      <c r="A18089" s="1"/>
      <c r="B18089" s="1" t="s">
        <v>5782</v>
      </c>
      <c r="C18089" s="1" t="s">
        <v>5783</v>
      </c>
      <c r="D18089" s="22" t="str">
        <f>HYPERLINK("https://rhld.insurance.arkansas.gov/NPILookup?Npi=1902929417","1902929417")</f>
        <v>1902929417</v>
      </c>
      <c r="E18089" s="1" t="s">
        <v>1060</v>
      </c>
      <c r="F18089" s="2"/>
      <c r="G18089" s="2"/>
      <c r="H18089" s="2"/>
    </row>
    <row r="18090" spans="1:8" x14ac:dyDescent="0.25">
      <c r="A18090" s="1"/>
      <c r="B18090" s="1" t="s">
        <v>5782</v>
      </c>
      <c r="C18090" s="1" t="s">
        <v>5783</v>
      </c>
      <c r="D18090" s="22" t="str">
        <f>HYPERLINK("https://rhld.insurance.arkansas.gov/NPILookup?Npi=1902933104","1902933104")</f>
        <v>1902933104</v>
      </c>
      <c r="E18090" s="1" t="s">
        <v>23743</v>
      </c>
      <c r="F18090" s="2"/>
      <c r="G18090" s="2"/>
      <c r="H18090" s="2"/>
    </row>
    <row r="18091" spans="1:8" x14ac:dyDescent="0.25">
      <c r="A18091" s="1"/>
      <c r="B18091" s="1" t="s">
        <v>5782</v>
      </c>
      <c r="C18091" s="1" t="s">
        <v>5783</v>
      </c>
      <c r="D18091" s="22" t="str">
        <f>HYPERLINK("https://rhld.insurance.arkansas.gov/NPILookup?Npi=1902934821","1902934821")</f>
        <v>1902934821</v>
      </c>
      <c r="E18091" s="1" t="s">
        <v>23744</v>
      </c>
      <c r="F18091" s="2"/>
      <c r="G18091" s="2"/>
      <c r="H18091" s="2"/>
    </row>
    <row r="18092" spans="1:8" x14ac:dyDescent="0.25">
      <c r="A18092" s="1"/>
      <c r="B18092" s="1" t="s">
        <v>5782</v>
      </c>
      <c r="C18092" s="1" t="s">
        <v>5783</v>
      </c>
      <c r="D18092" s="22" t="str">
        <f>HYPERLINK("https://rhld.insurance.arkansas.gov/NPILookup?Npi=1902935562","1902935562")</f>
        <v>1902935562</v>
      </c>
      <c r="E18092" s="1" t="s">
        <v>1434</v>
      </c>
      <c r="F18092" s="2"/>
      <c r="G18092" s="2"/>
      <c r="H18092" s="2"/>
    </row>
    <row r="18093" spans="1:8" x14ac:dyDescent="0.25">
      <c r="A18093" s="1"/>
      <c r="B18093" s="1" t="s">
        <v>5782</v>
      </c>
      <c r="C18093" s="1" t="s">
        <v>5783</v>
      </c>
      <c r="D18093" s="22" t="str">
        <f>HYPERLINK("https://rhld.insurance.arkansas.gov/NPILookup?Npi=1902939804","1902939804")</f>
        <v>1902939804</v>
      </c>
      <c r="E18093" s="1" t="s">
        <v>23745</v>
      </c>
      <c r="F18093" s="2"/>
      <c r="G18093" s="2"/>
      <c r="H18093" s="2"/>
    </row>
    <row r="18094" spans="1:8" x14ac:dyDescent="0.25">
      <c r="A18094" s="1"/>
      <c r="B18094" s="1" t="s">
        <v>5782</v>
      </c>
      <c r="C18094" s="1" t="s">
        <v>5783</v>
      </c>
      <c r="D18094" s="22" t="str">
        <f>HYPERLINK("https://rhld.insurance.arkansas.gov/NPILookup?Npi=1902966765","1902966765")</f>
        <v>1902966765</v>
      </c>
      <c r="E18094" s="1" t="s">
        <v>23746</v>
      </c>
      <c r="F18094" s="2"/>
      <c r="G18094" s="2"/>
      <c r="H18094" s="2"/>
    </row>
    <row r="18095" spans="1:8" x14ac:dyDescent="0.25">
      <c r="A18095" s="1"/>
      <c r="B18095" s="1" t="s">
        <v>5782</v>
      </c>
      <c r="C18095" s="1" t="s">
        <v>5783</v>
      </c>
      <c r="D18095" s="22" t="str">
        <f>HYPERLINK("https://rhld.insurance.arkansas.gov/NPILookup?Npi=1912023938","1912023938")</f>
        <v>1912023938</v>
      </c>
      <c r="E18095" s="1" t="s">
        <v>12218</v>
      </c>
      <c r="F18095" s="2"/>
      <c r="G18095" s="2"/>
      <c r="H18095" s="2"/>
    </row>
    <row r="18096" spans="1:8" x14ac:dyDescent="0.25">
      <c r="A18096" s="1"/>
      <c r="B18096" s="1" t="s">
        <v>5782</v>
      </c>
      <c r="C18096" s="1" t="s">
        <v>5783</v>
      </c>
      <c r="D18096" s="22" t="str">
        <f>HYPERLINK("https://rhld.insurance.arkansas.gov/NPILookup?Npi=1912034836","1912034836")</f>
        <v>1912034836</v>
      </c>
      <c r="E18096" s="1" t="s">
        <v>23747</v>
      </c>
      <c r="F18096" s="2"/>
      <c r="G18096" s="2"/>
      <c r="H18096" s="2"/>
    </row>
    <row r="18097" spans="1:8" x14ac:dyDescent="0.25">
      <c r="A18097" s="1"/>
      <c r="B18097" s="1" t="s">
        <v>5782</v>
      </c>
      <c r="C18097" s="1" t="s">
        <v>5783</v>
      </c>
      <c r="D18097" s="22" t="str">
        <f>HYPERLINK("https://rhld.insurance.arkansas.gov/NPILookup?Npi=1912038753","1912038753")</f>
        <v>1912038753</v>
      </c>
      <c r="E18097" s="1" t="s">
        <v>23748</v>
      </c>
      <c r="F18097" s="2"/>
      <c r="G18097" s="2"/>
      <c r="H18097" s="2"/>
    </row>
    <row r="18098" spans="1:8" x14ac:dyDescent="0.25">
      <c r="A18098" s="1"/>
      <c r="B18098" s="1" t="s">
        <v>5782</v>
      </c>
      <c r="C18098" s="1" t="s">
        <v>5783</v>
      </c>
      <c r="D18098" s="22" t="str">
        <f>HYPERLINK("https://rhld.insurance.arkansas.gov/NPILookup?Npi=1912042375","1912042375")</f>
        <v>1912042375</v>
      </c>
      <c r="E18098" s="1" t="s">
        <v>6752</v>
      </c>
      <c r="F18098" s="2"/>
      <c r="G18098" s="2"/>
      <c r="H18098" s="2"/>
    </row>
    <row r="18099" spans="1:8" x14ac:dyDescent="0.25">
      <c r="A18099" s="1"/>
      <c r="B18099" s="1" t="s">
        <v>5782</v>
      </c>
      <c r="C18099" s="1" t="s">
        <v>5783</v>
      </c>
      <c r="D18099" s="22" t="str">
        <f>HYPERLINK("https://rhld.insurance.arkansas.gov/NPILookup?Npi=1912069352","1912069352")</f>
        <v>1912069352</v>
      </c>
      <c r="E18099" s="1" t="s">
        <v>23749</v>
      </c>
      <c r="F18099" s="2"/>
      <c r="G18099" s="2"/>
      <c r="H18099" s="2"/>
    </row>
    <row r="18100" spans="1:8" x14ac:dyDescent="0.25">
      <c r="A18100" s="1"/>
      <c r="B18100" s="1" t="s">
        <v>5782</v>
      </c>
      <c r="C18100" s="1" t="s">
        <v>5783</v>
      </c>
      <c r="D18100" s="22" t="str">
        <f>HYPERLINK("https://rhld.insurance.arkansas.gov/NPILookup?Npi=1912072125","1912072125")</f>
        <v>1912072125</v>
      </c>
      <c r="E18100" s="1" t="s">
        <v>23750</v>
      </c>
      <c r="F18100" s="2"/>
      <c r="G18100" s="2"/>
      <c r="H18100" s="2"/>
    </row>
    <row r="18101" spans="1:8" x14ac:dyDescent="0.25">
      <c r="A18101" s="1"/>
      <c r="B18101" s="1" t="s">
        <v>5782</v>
      </c>
      <c r="C18101" s="1" t="s">
        <v>5783</v>
      </c>
      <c r="D18101" s="22" t="str">
        <f>HYPERLINK("https://rhld.insurance.arkansas.gov/NPILookup?Npi=1912077397","1912077397")</f>
        <v>1912077397</v>
      </c>
      <c r="E18101" s="1" t="s">
        <v>12219</v>
      </c>
      <c r="F18101" s="2"/>
      <c r="G18101" s="2"/>
      <c r="H18101" s="2"/>
    </row>
    <row r="18102" spans="1:8" x14ac:dyDescent="0.25">
      <c r="A18102" s="1"/>
      <c r="B18102" s="1" t="s">
        <v>5782</v>
      </c>
      <c r="C18102" s="1" t="s">
        <v>5783</v>
      </c>
      <c r="D18102" s="22" t="str">
        <f>HYPERLINK("https://rhld.insurance.arkansas.gov/NPILookup?Npi=1912079245","1912079245")</f>
        <v>1912079245</v>
      </c>
      <c r="E18102" s="1" t="s">
        <v>23751</v>
      </c>
      <c r="F18102" s="2"/>
      <c r="G18102" s="2"/>
      <c r="H18102" s="2"/>
    </row>
    <row r="18103" spans="1:8" x14ac:dyDescent="0.25">
      <c r="A18103" s="1"/>
      <c r="B18103" s="1" t="s">
        <v>5782</v>
      </c>
      <c r="C18103" s="1" t="s">
        <v>5783</v>
      </c>
      <c r="D18103" s="22" t="str">
        <f>HYPERLINK("https://rhld.insurance.arkansas.gov/NPILookup?Npi=1912115353","1912115353")</f>
        <v>1912115353</v>
      </c>
      <c r="E18103" s="1" t="s">
        <v>11799</v>
      </c>
      <c r="F18103" s="2"/>
      <c r="G18103" s="2"/>
      <c r="H18103" s="2"/>
    </row>
    <row r="18104" spans="1:8" x14ac:dyDescent="0.25">
      <c r="A18104" s="1"/>
      <c r="B18104" s="1" t="s">
        <v>5782</v>
      </c>
      <c r="C18104" s="1" t="s">
        <v>5783</v>
      </c>
      <c r="D18104" s="22" t="str">
        <f>HYPERLINK("https://rhld.insurance.arkansas.gov/NPILookup?Npi=1912149618","1912149618")</f>
        <v>1912149618</v>
      </c>
      <c r="E18104" s="1" t="s">
        <v>23752</v>
      </c>
      <c r="F18104" s="2"/>
      <c r="G18104" s="2"/>
      <c r="H18104" s="2"/>
    </row>
    <row r="18105" spans="1:8" x14ac:dyDescent="0.25">
      <c r="A18105" s="1"/>
      <c r="B18105" s="1" t="s">
        <v>5782</v>
      </c>
      <c r="C18105" s="1" t="s">
        <v>5783</v>
      </c>
      <c r="D18105" s="22" t="str">
        <f>HYPERLINK("https://rhld.insurance.arkansas.gov/NPILookup?Npi=1912154311","1912154311")</f>
        <v>1912154311</v>
      </c>
      <c r="E18105" s="1" t="s">
        <v>23753</v>
      </c>
      <c r="F18105" s="2"/>
      <c r="G18105" s="2"/>
      <c r="H18105" s="2"/>
    </row>
    <row r="18106" spans="1:8" x14ac:dyDescent="0.25">
      <c r="A18106" s="1"/>
      <c r="B18106" s="1" t="s">
        <v>5782</v>
      </c>
      <c r="C18106" s="1" t="s">
        <v>5783</v>
      </c>
      <c r="D18106" s="22" t="str">
        <f>HYPERLINK("https://rhld.insurance.arkansas.gov/NPILookup?Npi=1912155862","1912155862")</f>
        <v>1912155862</v>
      </c>
      <c r="E18106" s="1" t="s">
        <v>23754</v>
      </c>
      <c r="F18106" s="2"/>
      <c r="G18106" s="2"/>
      <c r="H18106" s="2"/>
    </row>
    <row r="18107" spans="1:8" x14ac:dyDescent="0.25">
      <c r="A18107" s="1"/>
      <c r="B18107" s="1" t="s">
        <v>5782</v>
      </c>
      <c r="C18107" s="1" t="s">
        <v>5783</v>
      </c>
      <c r="D18107" s="22" t="str">
        <f>HYPERLINK("https://rhld.insurance.arkansas.gov/NPILookup?Npi=1912156928","1912156928")</f>
        <v>1912156928</v>
      </c>
      <c r="E18107" s="1" t="s">
        <v>12220</v>
      </c>
      <c r="F18107" s="2"/>
      <c r="G18107" s="2"/>
      <c r="H18107" s="2"/>
    </row>
    <row r="18108" spans="1:8" x14ac:dyDescent="0.25">
      <c r="A18108" s="1"/>
      <c r="B18108" s="1" t="s">
        <v>5782</v>
      </c>
      <c r="C18108" s="1" t="s">
        <v>5783</v>
      </c>
      <c r="D18108" s="22" t="str">
        <f>HYPERLINK("https://rhld.insurance.arkansas.gov/NPILookup?Npi=1912159831","1912159831")</f>
        <v>1912159831</v>
      </c>
      <c r="E18108" s="1" t="s">
        <v>957</v>
      </c>
      <c r="F18108" s="2"/>
      <c r="G18108" s="2"/>
      <c r="H18108" s="2"/>
    </row>
    <row r="18109" spans="1:8" x14ac:dyDescent="0.25">
      <c r="A18109" s="1"/>
      <c r="B18109" s="1" t="s">
        <v>5782</v>
      </c>
      <c r="C18109" s="1" t="s">
        <v>5783</v>
      </c>
      <c r="D18109" s="22" t="str">
        <f>HYPERLINK("https://rhld.insurance.arkansas.gov/NPILookup?Npi=1912164229","1912164229")</f>
        <v>1912164229</v>
      </c>
      <c r="E18109" s="1" t="s">
        <v>1891</v>
      </c>
      <c r="F18109" s="2"/>
      <c r="G18109" s="2"/>
      <c r="H18109" s="2"/>
    </row>
    <row r="18110" spans="1:8" x14ac:dyDescent="0.25">
      <c r="A18110" s="1"/>
      <c r="B18110" s="1" t="s">
        <v>5782</v>
      </c>
      <c r="C18110" s="1" t="s">
        <v>5783</v>
      </c>
      <c r="D18110" s="22" t="str">
        <f>HYPERLINK("https://rhld.insurance.arkansas.gov/NPILookup?Npi=1912177486","1912177486")</f>
        <v>1912177486</v>
      </c>
      <c r="E18110" s="1" t="s">
        <v>12221</v>
      </c>
      <c r="F18110" s="2"/>
      <c r="G18110" s="2"/>
      <c r="H18110" s="2"/>
    </row>
    <row r="18111" spans="1:8" x14ac:dyDescent="0.25">
      <c r="A18111" s="1"/>
      <c r="B18111" s="1" t="s">
        <v>5782</v>
      </c>
      <c r="C18111" s="1" t="s">
        <v>5783</v>
      </c>
      <c r="D18111" s="22" t="str">
        <f>HYPERLINK("https://rhld.insurance.arkansas.gov/NPILookup?Npi=1912189077","1912189077")</f>
        <v>1912189077</v>
      </c>
      <c r="E18111" s="1" t="s">
        <v>23755</v>
      </c>
      <c r="F18111" s="2"/>
      <c r="G18111" s="2"/>
      <c r="H18111" s="2"/>
    </row>
    <row r="18112" spans="1:8" x14ac:dyDescent="0.25">
      <c r="A18112" s="1"/>
      <c r="B18112" s="1" t="s">
        <v>5782</v>
      </c>
      <c r="C18112" s="1" t="s">
        <v>5783</v>
      </c>
      <c r="D18112" s="22" t="str">
        <f>HYPERLINK("https://rhld.insurance.arkansas.gov/NPILookup?Npi=1912200304","1912200304")</f>
        <v>1912200304</v>
      </c>
      <c r="E18112" s="1" t="s">
        <v>23756</v>
      </c>
      <c r="F18112" s="2"/>
      <c r="G18112" s="2"/>
      <c r="H18112" s="2"/>
    </row>
    <row r="18113" spans="1:8" x14ac:dyDescent="0.25">
      <c r="A18113" s="1"/>
      <c r="B18113" s="1" t="s">
        <v>5782</v>
      </c>
      <c r="C18113" s="1" t="s">
        <v>5783</v>
      </c>
      <c r="D18113" s="22" t="str">
        <f>HYPERLINK("https://rhld.insurance.arkansas.gov/NPILookup?Npi=1912203399","1912203399")</f>
        <v>1912203399</v>
      </c>
      <c r="E18113" s="1" t="s">
        <v>23757</v>
      </c>
      <c r="F18113" s="2"/>
      <c r="G18113" s="2"/>
      <c r="H18113" s="2"/>
    </row>
    <row r="18114" spans="1:8" x14ac:dyDescent="0.25">
      <c r="A18114" s="1"/>
      <c r="B18114" s="1" t="s">
        <v>5782</v>
      </c>
      <c r="C18114" s="1" t="s">
        <v>5783</v>
      </c>
      <c r="D18114" s="22" t="str">
        <f>HYPERLINK("https://rhld.insurance.arkansas.gov/NPILookup?Npi=1912209412","1912209412")</f>
        <v>1912209412</v>
      </c>
      <c r="E18114" s="1" t="s">
        <v>6753</v>
      </c>
      <c r="F18114" s="2"/>
      <c r="G18114" s="2"/>
      <c r="H18114" s="2"/>
    </row>
    <row r="18115" spans="1:8" x14ac:dyDescent="0.25">
      <c r="A18115" s="1"/>
      <c r="B18115" s="1" t="s">
        <v>5782</v>
      </c>
      <c r="C18115" s="1" t="s">
        <v>5783</v>
      </c>
      <c r="D18115" s="22" t="str">
        <f>HYPERLINK("https://rhld.insurance.arkansas.gov/NPILookup?Npi=1912212705","1912212705")</f>
        <v>1912212705</v>
      </c>
      <c r="E18115" s="1" t="s">
        <v>1261</v>
      </c>
      <c r="F18115" s="2"/>
      <c r="G18115" s="2"/>
      <c r="H18115" s="2"/>
    </row>
    <row r="18116" spans="1:8" x14ac:dyDescent="0.25">
      <c r="A18116" s="1"/>
      <c r="B18116" s="1" t="s">
        <v>5782</v>
      </c>
      <c r="C18116" s="1" t="s">
        <v>5783</v>
      </c>
      <c r="D18116" s="22" t="str">
        <f>HYPERLINK("https://rhld.insurance.arkansas.gov/NPILookup?Npi=1912217449","1912217449")</f>
        <v>1912217449</v>
      </c>
      <c r="E18116" s="1" t="s">
        <v>23758</v>
      </c>
      <c r="F18116" s="2"/>
      <c r="G18116" s="2"/>
      <c r="H18116" s="2"/>
    </row>
    <row r="18117" spans="1:8" x14ac:dyDescent="0.25">
      <c r="A18117" s="1"/>
      <c r="B18117" s="1" t="s">
        <v>5782</v>
      </c>
      <c r="C18117" s="1" t="s">
        <v>5783</v>
      </c>
      <c r="D18117" s="22" t="str">
        <f>HYPERLINK("https://rhld.insurance.arkansas.gov/NPILookup?Npi=1912226499","1912226499")</f>
        <v>1912226499</v>
      </c>
      <c r="E18117" s="1" t="s">
        <v>16809</v>
      </c>
      <c r="F18117" s="2"/>
      <c r="G18117" s="2"/>
      <c r="H18117" s="2"/>
    </row>
    <row r="18118" spans="1:8" x14ac:dyDescent="0.25">
      <c r="A18118" s="1"/>
      <c r="B18118" s="1" t="s">
        <v>5782</v>
      </c>
      <c r="C18118" s="1" t="s">
        <v>5783</v>
      </c>
      <c r="D18118" s="22" t="str">
        <f>HYPERLINK("https://rhld.insurance.arkansas.gov/NPILookup?Npi=1912230889","1912230889")</f>
        <v>1912230889</v>
      </c>
      <c r="E18118" s="1" t="s">
        <v>23759</v>
      </c>
      <c r="F18118" s="2"/>
      <c r="G18118" s="2"/>
      <c r="H18118" s="2"/>
    </row>
    <row r="18119" spans="1:8" x14ac:dyDescent="0.25">
      <c r="A18119" s="1"/>
      <c r="B18119" s="1" t="s">
        <v>5782</v>
      </c>
      <c r="C18119" s="1" t="s">
        <v>5783</v>
      </c>
      <c r="D18119" s="22" t="str">
        <f>HYPERLINK("https://rhld.insurance.arkansas.gov/NPILookup?Npi=1912247933","1912247933")</f>
        <v>1912247933</v>
      </c>
      <c r="E18119" s="1" t="s">
        <v>23760</v>
      </c>
      <c r="F18119" s="2"/>
      <c r="G18119" s="2"/>
      <c r="H18119" s="2"/>
    </row>
    <row r="18120" spans="1:8" x14ac:dyDescent="0.25">
      <c r="A18120" s="1"/>
      <c r="B18120" s="1" t="s">
        <v>5782</v>
      </c>
      <c r="C18120" s="1" t="s">
        <v>5783</v>
      </c>
      <c r="D18120" s="22" t="str">
        <f>HYPERLINK("https://rhld.insurance.arkansas.gov/NPILookup?Npi=1912256124","1912256124")</f>
        <v>1912256124</v>
      </c>
      <c r="E18120" s="1" t="s">
        <v>23761</v>
      </c>
      <c r="F18120" s="2"/>
      <c r="G18120" s="2"/>
      <c r="H18120" s="2"/>
    </row>
    <row r="18121" spans="1:8" x14ac:dyDescent="0.25">
      <c r="A18121" s="1"/>
      <c r="B18121" s="1" t="s">
        <v>5782</v>
      </c>
      <c r="C18121" s="1" t="s">
        <v>5783</v>
      </c>
      <c r="D18121" s="22" t="str">
        <f>HYPERLINK("https://rhld.insurance.arkansas.gov/NPILookup?Npi=1912260738","1912260738")</f>
        <v>1912260738</v>
      </c>
      <c r="E18121" s="1" t="s">
        <v>23762</v>
      </c>
      <c r="F18121" s="2"/>
      <c r="G18121" s="2"/>
      <c r="H18121" s="2"/>
    </row>
    <row r="18122" spans="1:8" x14ac:dyDescent="0.25">
      <c r="A18122" s="1"/>
      <c r="B18122" s="1" t="s">
        <v>5782</v>
      </c>
      <c r="C18122" s="1" t="s">
        <v>5783</v>
      </c>
      <c r="D18122" s="22" t="str">
        <f>HYPERLINK("https://rhld.insurance.arkansas.gov/NPILookup?Npi=1912268160","1912268160")</f>
        <v>1912268160</v>
      </c>
      <c r="E18122" s="1" t="s">
        <v>6754</v>
      </c>
      <c r="F18122" s="2"/>
      <c r="G18122" s="2"/>
      <c r="H18122" s="2"/>
    </row>
    <row r="18123" spans="1:8" x14ac:dyDescent="0.25">
      <c r="A18123" s="1"/>
      <c r="B18123" s="1" t="s">
        <v>5782</v>
      </c>
      <c r="C18123" s="1" t="s">
        <v>5783</v>
      </c>
      <c r="D18123" s="22" t="str">
        <f>HYPERLINK("https://rhld.insurance.arkansas.gov/NPILookup?Npi=1912271826","1912271826")</f>
        <v>1912271826</v>
      </c>
      <c r="E18123" s="1" t="s">
        <v>23763</v>
      </c>
      <c r="F18123" s="2"/>
      <c r="G18123" s="2"/>
      <c r="H18123" s="2"/>
    </row>
    <row r="18124" spans="1:8" x14ac:dyDescent="0.25">
      <c r="A18124" s="1"/>
      <c r="B18124" s="1" t="s">
        <v>5782</v>
      </c>
      <c r="C18124" s="1" t="s">
        <v>5783</v>
      </c>
      <c r="D18124" s="22" t="str">
        <f>HYPERLINK("https://rhld.insurance.arkansas.gov/NPILookup?Npi=1912274606","1912274606")</f>
        <v>1912274606</v>
      </c>
      <c r="E18124" s="1" t="s">
        <v>3408</v>
      </c>
      <c r="F18124" s="2"/>
      <c r="G18124" s="2"/>
      <c r="H18124" s="2"/>
    </row>
    <row r="18125" spans="1:8" x14ac:dyDescent="0.25">
      <c r="A18125" s="1"/>
      <c r="B18125" s="1" t="s">
        <v>5782</v>
      </c>
      <c r="C18125" s="1" t="s">
        <v>5783</v>
      </c>
      <c r="D18125" s="22" t="str">
        <f>HYPERLINK("https://rhld.insurance.arkansas.gov/NPILookup?Npi=1912278409","1912278409")</f>
        <v>1912278409</v>
      </c>
      <c r="E18125" s="1" t="s">
        <v>13996</v>
      </c>
      <c r="F18125" s="2"/>
      <c r="G18125" s="2"/>
      <c r="H18125" s="2"/>
    </row>
    <row r="18126" spans="1:8" x14ac:dyDescent="0.25">
      <c r="A18126" s="1"/>
      <c r="B18126" s="1" t="s">
        <v>5782</v>
      </c>
      <c r="C18126" s="1" t="s">
        <v>5783</v>
      </c>
      <c r="D18126" s="22" t="str">
        <f>HYPERLINK("https://rhld.insurance.arkansas.gov/NPILookup?Npi=1912281387","1912281387")</f>
        <v>1912281387</v>
      </c>
      <c r="E18126" s="1" t="s">
        <v>12097</v>
      </c>
      <c r="F18126" s="2"/>
      <c r="G18126" s="2"/>
      <c r="H18126" s="2"/>
    </row>
    <row r="18127" spans="1:8" x14ac:dyDescent="0.25">
      <c r="A18127" s="1"/>
      <c r="B18127" s="1" t="s">
        <v>5782</v>
      </c>
      <c r="C18127" s="1" t="s">
        <v>5783</v>
      </c>
      <c r="D18127" s="22" t="str">
        <f>HYPERLINK("https://rhld.insurance.arkansas.gov/NPILookup?Npi=1912284589","1912284589")</f>
        <v>1912284589</v>
      </c>
      <c r="E18127" s="1" t="s">
        <v>6755</v>
      </c>
      <c r="F18127" s="2"/>
      <c r="G18127" s="2"/>
      <c r="H18127" s="2"/>
    </row>
    <row r="18128" spans="1:8" x14ac:dyDescent="0.25">
      <c r="A18128" s="1"/>
      <c r="B18128" s="1" t="s">
        <v>5782</v>
      </c>
      <c r="C18128" s="1" t="s">
        <v>5783</v>
      </c>
      <c r="D18128" s="22" t="str">
        <f>HYPERLINK("https://rhld.insurance.arkansas.gov/NPILookup?Npi=1912296039","1912296039")</f>
        <v>1912296039</v>
      </c>
      <c r="E18128" s="1" t="s">
        <v>31971</v>
      </c>
      <c r="F18128" s="2"/>
      <c r="G18128" s="2"/>
      <c r="H18128" s="2"/>
    </row>
    <row r="18129" spans="1:8" x14ac:dyDescent="0.25">
      <c r="A18129" s="1"/>
      <c r="B18129" s="1" t="s">
        <v>5782</v>
      </c>
      <c r="C18129" s="1" t="s">
        <v>5783</v>
      </c>
      <c r="D18129" s="22" t="str">
        <f>HYPERLINK("https://rhld.insurance.arkansas.gov/NPILookup?Npi=1912298811","1912298811")</f>
        <v>1912298811</v>
      </c>
      <c r="E18129" s="1" t="s">
        <v>958</v>
      </c>
      <c r="F18129" s="2"/>
      <c r="G18129" s="2"/>
      <c r="H18129" s="2"/>
    </row>
    <row r="18130" spans="1:8" x14ac:dyDescent="0.25">
      <c r="A18130" s="1"/>
      <c r="B18130" s="1" t="s">
        <v>5782</v>
      </c>
      <c r="C18130" s="1" t="s">
        <v>5783</v>
      </c>
      <c r="D18130" s="22" t="str">
        <f>HYPERLINK("https://rhld.insurance.arkansas.gov/NPILookup?Npi=1912305053","1912305053")</f>
        <v>1912305053</v>
      </c>
      <c r="E18130" s="1" t="s">
        <v>23764</v>
      </c>
      <c r="F18130" s="2"/>
      <c r="G18130" s="2"/>
      <c r="H18130" s="2"/>
    </row>
    <row r="18131" spans="1:8" x14ac:dyDescent="0.25">
      <c r="A18131" s="1"/>
      <c r="B18131" s="1" t="s">
        <v>5782</v>
      </c>
      <c r="C18131" s="1" t="s">
        <v>5783</v>
      </c>
      <c r="D18131" s="22" t="str">
        <f>HYPERLINK("https://rhld.insurance.arkansas.gov/NPILookup?Npi=1912309261","1912309261")</f>
        <v>1912309261</v>
      </c>
      <c r="E18131" s="1" t="s">
        <v>23765</v>
      </c>
      <c r="F18131" s="2"/>
      <c r="G18131" s="2"/>
      <c r="H18131" s="2"/>
    </row>
    <row r="18132" spans="1:8" x14ac:dyDescent="0.25">
      <c r="A18132" s="1"/>
      <c r="B18132" s="1" t="s">
        <v>5782</v>
      </c>
      <c r="C18132" s="1" t="s">
        <v>5783</v>
      </c>
      <c r="D18132" s="22" t="str">
        <f>HYPERLINK("https://rhld.insurance.arkansas.gov/NPILookup?Npi=1912310186","1912310186")</f>
        <v>1912310186</v>
      </c>
      <c r="E18132" s="1" t="s">
        <v>12222</v>
      </c>
      <c r="F18132" s="2"/>
      <c r="G18132" s="2"/>
      <c r="H18132" s="2"/>
    </row>
    <row r="18133" spans="1:8" x14ac:dyDescent="0.25">
      <c r="A18133" s="1"/>
      <c r="B18133" s="1" t="s">
        <v>5782</v>
      </c>
      <c r="C18133" s="1" t="s">
        <v>5783</v>
      </c>
      <c r="D18133" s="22" t="str">
        <f>HYPERLINK("https://rhld.insurance.arkansas.gov/NPILookup?Npi=1912319567","1912319567")</f>
        <v>1912319567</v>
      </c>
      <c r="E18133" s="1" t="s">
        <v>23766</v>
      </c>
      <c r="F18133" s="2"/>
      <c r="G18133" s="2"/>
      <c r="H18133" s="2"/>
    </row>
    <row r="18134" spans="1:8" x14ac:dyDescent="0.25">
      <c r="A18134" s="1"/>
      <c r="B18134" s="1" t="s">
        <v>5782</v>
      </c>
      <c r="C18134" s="1" t="s">
        <v>5783</v>
      </c>
      <c r="D18134" s="22" t="str">
        <f>HYPERLINK("https://rhld.insurance.arkansas.gov/NPILookup?Npi=1912320474","1912320474")</f>
        <v>1912320474</v>
      </c>
      <c r="E18134" s="1" t="s">
        <v>6756</v>
      </c>
      <c r="F18134" s="2"/>
      <c r="G18134" s="2"/>
      <c r="H18134" s="2"/>
    </row>
    <row r="18135" spans="1:8" x14ac:dyDescent="0.25">
      <c r="A18135" s="1"/>
      <c r="B18135" s="1" t="s">
        <v>5782</v>
      </c>
      <c r="C18135" s="1" t="s">
        <v>5783</v>
      </c>
      <c r="D18135" s="22" t="str">
        <f>HYPERLINK("https://rhld.insurance.arkansas.gov/NPILookup?Npi=1912330119","1912330119")</f>
        <v>1912330119</v>
      </c>
      <c r="E18135" s="1" t="s">
        <v>784</v>
      </c>
      <c r="F18135" s="2"/>
      <c r="G18135" s="2"/>
      <c r="H18135" s="2"/>
    </row>
    <row r="18136" spans="1:8" x14ac:dyDescent="0.25">
      <c r="A18136" s="1"/>
      <c r="B18136" s="1" t="s">
        <v>5782</v>
      </c>
      <c r="C18136" s="1" t="s">
        <v>5783</v>
      </c>
      <c r="D18136" s="22" t="str">
        <f>HYPERLINK("https://rhld.insurance.arkansas.gov/NPILookup?Npi=1912334236","1912334236")</f>
        <v>1912334236</v>
      </c>
      <c r="E18136" s="1" t="s">
        <v>12223</v>
      </c>
      <c r="F18136" s="2"/>
      <c r="G18136" s="2"/>
      <c r="H18136" s="2"/>
    </row>
    <row r="18137" spans="1:8" x14ac:dyDescent="0.25">
      <c r="A18137" s="1"/>
      <c r="B18137" s="1" t="s">
        <v>5782</v>
      </c>
      <c r="C18137" s="1" t="s">
        <v>5783</v>
      </c>
      <c r="D18137" s="22" t="str">
        <f>HYPERLINK("https://rhld.insurance.arkansas.gov/NPILookup?Npi=1912348863","1912348863")</f>
        <v>1912348863</v>
      </c>
      <c r="E18137" s="1" t="s">
        <v>12224</v>
      </c>
      <c r="F18137" s="2"/>
      <c r="G18137" s="2"/>
      <c r="H18137" s="2"/>
    </row>
    <row r="18138" spans="1:8" x14ac:dyDescent="0.25">
      <c r="A18138" s="1"/>
      <c r="B18138" s="1" t="s">
        <v>5782</v>
      </c>
      <c r="C18138" s="1" t="s">
        <v>5783</v>
      </c>
      <c r="D18138" s="22" t="str">
        <f>HYPERLINK("https://rhld.insurance.arkansas.gov/NPILookup?Npi=1912349713","1912349713")</f>
        <v>1912349713</v>
      </c>
      <c r="E18138" s="1" t="s">
        <v>2469</v>
      </c>
      <c r="F18138" s="2"/>
      <c r="G18138" s="2"/>
      <c r="H18138" s="2"/>
    </row>
    <row r="18139" spans="1:8" x14ac:dyDescent="0.25">
      <c r="A18139" s="1"/>
      <c r="B18139" s="1" t="s">
        <v>5782</v>
      </c>
      <c r="C18139" s="1" t="s">
        <v>5783</v>
      </c>
      <c r="D18139" s="22" t="str">
        <f>HYPERLINK("https://rhld.insurance.arkansas.gov/NPILookup?Npi=1912375718","1912375718")</f>
        <v>1912375718</v>
      </c>
      <c r="E18139" s="1" t="s">
        <v>23767</v>
      </c>
      <c r="F18139" s="2"/>
      <c r="G18139" s="2"/>
      <c r="H18139" s="2"/>
    </row>
    <row r="18140" spans="1:8" x14ac:dyDescent="0.25">
      <c r="A18140" s="1"/>
      <c r="B18140" s="1" t="s">
        <v>5782</v>
      </c>
      <c r="C18140" s="1" t="s">
        <v>5783</v>
      </c>
      <c r="D18140" s="22" t="str">
        <f>HYPERLINK("https://rhld.insurance.arkansas.gov/NPILookup?Npi=1912384660","1912384660")</f>
        <v>1912384660</v>
      </c>
      <c r="E18140" s="1" t="s">
        <v>12225</v>
      </c>
      <c r="F18140" s="2"/>
      <c r="G18140" s="2"/>
      <c r="H18140" s="2"/>
    </row>
    <row r="18141" spans="1:8" x14ac:dyDescent="0.25">
      <c r="A18141" s="1"/>
      <c r="B18141" s="1" t="s">
        <v>5782</v>
      </c>
      <c r="C18141" s="1" t="s">
        <v>5783</v>
      </c>
      <c r="D18141" s="22" t="str">
        <f>HYPERLINK("https://rhld.insurance.arkansas.gov/NPILookup?Npi=1912422684","1912422684")</f>
        <v>1912422684</v>
      </c>
      <c r="E18141" s="1" t="s">
        <v>23768</v>
      </c>
      <c r="F18141" s="2"/>
      <c r="G18141" s="2"/>
      <c r="H18141" s="2"/>
    </row>
    <row r="18142" spans="1:8" x14ac:dyDescent="0.25">
      <c r="A18142" s="1"/>
      <c r="B18142" s="1" t="s">
        <v>5782</v>
      </c>
      <c r="C18142" s="1" t="s">
        <v>5783</v>
      </c>
      <c r="D18142" s="22" t="str">
        <f>HYPERLINK("https://rhld.insurance.arkansas.gov/NPILookup?Npi=1912426677","1912426677")</f>
        <v>1912426677</v>
      </c>
      <c r="E18142" s="1" t="s">
        <v>6757</v>
      </c>
      <c r="F18142" s="2"/>
      <c r="G18142" s="2"/>
      <c r="H18142" s="2"/>
    </row>
    <row r="18143" spans="1:8" x14ac:dyDescent="0.25">
      <c r="A18143" s="1"/>
      <c r="B18143" s="1" t="s">
        <v>5782</v>
      </c>
      <c r="C18143" s="1" t="s">
        <v>5783</v>
      </c>
      <c r="D18143" s="22" t="str">
        <f>HYPERLINK("https://rhld.insurance.arkansas.gov/NPILookup?Npi=1912435074","1912435074")</f>
        <v>1912435074</v>
      </c>
      <c r="E18143" s="1" t="s">
        <v>23769</v>
      </c>
      <c r="F18143" s="2"/>
      <c r="G18143" s="2"/>
      <c r="H18143" s="2"/>
    </row>
    <row r="18144" spans="1:8" x14ac:dyDescent="0.25">
      <c r="A18144" s="1"/>
      <c r="B18144" s="1" t="s">
        <v>5782</v>
      </c>
      <c r="C18144" s="1" t="s">
        <v>5783</v>
      </c>
      <c r="D18144" s="22" t="str">
        <f>HYPERLINK("https://rhld.insurance.arkansas.gov/NPILookup?Npi=1912459926","1912459926")</f>
        <v>1912459926</v>
      </c>
      <c r="E18144" s="1" t="s">
        <v>12226</v>
      </c>
      <c r="F18144" s="2"/>
      <c r="G18144" s="2"/>
      <c r="H18144" s="2"/>
    </row>
    <row r="18145" spans="1:8" x14ac:dyDescent="0.25">
      <c r="A18145" s="1"/>
      <c r="B18145" s="1" t="s">
        <v>5782</v>
      </c>
      <c r="C18145" s="1" t="s">
        <v>5783</v>
      </c>
      <c r="D18145" s="22" t="str">
        <f>HYPERLINK("https://rhld.insurance.arkansas.gov/NPILookup?Npi=1912463902","1912463902")</f>
        <v>1912463902</v>
      </c>
      <c r="E18145" s="1" t="s">
        <v>12227</v>
      </c>
      <c r="F18145" s="2"/>
      <c r="G18145" s="2"/>
      <c r="H18145" s="2"/>
    </row>
    <row r="18146" spans="1:8" x14ac:dyDescent="0.25">
      <c r="A18146" s="1"/>
      <c r="B18146" s="1" t="s">
        <v>5782</v>
      </c>
      <c r="C18146" s="1" t="s">
        <v>5783</v>
      </c>
      <c r="D18146" s="22" t="str">
        <f>HYPERLINK("https://rhld.insurance.arkansas.gov/NPILookup?Npi=1912467101","1912467101")</f>
        <v>1912467101</v>
      </c>
      <c r="E18146" s="1" t="s">
        <v>6759</v>
      </c>
      <c r="F18146" s="2"/>
      <c r="G18146" s="2"/>
      <c r="H18146" s="2"/>
    </row>
    <row r="18147" spans="1:8" x14ac:dyDescent="0.25">
      <c r="A18147" s="1"/>
      <c r="B18147" s="1" t="s">
        <v>5782</v>
      </c>
      <c r="C18147" s="1" t="s">
        <v>5783</v>
      </c>
      <c r="D18147" s="22" t="str">
        <f>HYPERLINK("https://rhld.insurance.arkansas.gov/NPILookup?Npi=1912473125","1912473125")</f>
        <v>1912473125</v>
      </c>
      <c r="E18147" s="1" t="s">
        <v>6760</v>
      </c>
      <c r="F18147" s="2"/>
      <c r="G18147" s="2"/>
      <c r="H18147" s="2"/>
    </row>
    <row r="18148" spans="1:8" x14ac:dyDescent="0.25">
      <c r="A18148" s="1"/>
      <c r="B18148" s="1" t="s">
        <v>5782</v>
      </c>
      <c r="C18148" s="1" t="s">
        <v>5783</v>
      </c>
      <c r="D18148" s="22" t="str">
        <f>HYPERLINK("https://rhld.insurance.arkansas.gov/NPILookup?Npi=1912490491","1912490491")</f>
        <v>1912490491</v>
      </c>
      <c r="E18148" s="1" t="s">
        <v>23770</v>
      </c>
      <c r="F18148" s="2"/>
      <c r="G18148" s="2"/>
      <c r="H18148" s="2"/>
    </row>
    <row r="18149" spans="1:8" x14ac:dyDescent="0.25">
      <c r="A18149" s="1"/>
      <c r="B18149" s="1" t="s">
        <v>5782</v>
      </c>
      <c r="C18149" s="1" t="s">
        <v>5783</v>
      </c>
      <c r="D18149" s="22" t="str">
        <f>HYPERLINK("https://rhld.insurance.arkansas.gov/NPILookup?Npi=1912494139","1912494139")</f>
        <v>1912494139</v>
      </c>
      <c r="E18149" s="1" t="s">
        <v>12228</v>
      </c>
      <c r="F18149" s="2"/>
      <c r="G18149" s="2"/>
      <c r="H18149" s="2"/>
    </row>
    <row r="18150" spans="1:8" x14ac:dyDescent="0.25">
      <c r="A18150" s="1"/>
      <c r="B18150" s="1" t="s">
        <v>5782</v>
      </c>
      <c r="C18150" s="1" t="s">
        <v>5783</v>
      </c>
      <c r="D18150" s="22" t="str">
        <f>HYPERLINK("https://rhld.insurance.arkansas.gov/NPILookup?Npi=1912509225","1912509225")</f>
        <v>1912509225</v>
      </c>
      <c r="E18150" s="1" t="s">
        <v>23771</v>
      </c>
      <c r="F18150" s="2"/>
      <c r="G18150" s="2"/>
      <c r="H18150" s="2"/>
    </row>
    <row r="18151" spans="1:8" x14ac:dyDescent="0.25">
      <c r="A18151" s="1"/>
      <c r="B18151" s="1" t="s">
        <v>5782</v>
      </c>
      <c r="C18151" s="1" t="s">
        <v>5783</v>
      </c>
      <c r="D18151" s="22" t="str">
        <f>HYPERLINK("https://rhld.insurance.arkansas.gov/NPILookup?Npi=1912512377","1912512377")</f>
        <v>1912512377</v>
      </c>
      <c r="E18151" s="1" t="s">
        <v>12229</v>
      </c>
      <c r="F18151" s="2"/>
      <c r="G18151" s="2"/>
      <c r="H18151" s="2"/>
    </row>
    <row r="18152" spans="1:8" x14ac:dyDescent="0.25">
      <c r="A18152" s="1"/>
      <c r="B18152" s="1" t="s">
        <v>5782</v>
      </c>
      <c r="C18152" s="1" t="s">
        <v>5783</v>
      </c>
      <c r="D18152" s="22" t="str">
        <f>HYPERLINK("https://rhld.insurance.arkansas.gov/NPILookup?Npi=1912529207","1912529207")</f>
        <v>1912529207</v>
      </c>
      <c r="E18152" s="1" t="s">
        <v>6761</v>
      </c>
      <c r="F18152" s="2"/>
      <c r="G18152" s="2"/>
      <c r="H18152" s="2"/>
    </row>
    <row r="18153" spans="1:8" x14ac:dyDescent="0.25">
      <c r="A18153" s="1"/>
      <c r="B18153" s="1" t="s">
        <v>5782</v>
      </c>
      <c r="C18153" s="1" t="s">
        <v>5783</v>
      </c>
      <c r="D18153" s="22" t="str">
        <f>HYPERLINK("https://rhld.insurance.arkansas.gov/NPILookup?Npi=1912530692","1912530692")</f>
        <v>1912530692</v>
      </c>
      <c r="E18153" s="1" t="s">
        <v>23772</v>
      </c>
      <c r="F18153" s="2"/>
      <c r="G18153" s="2"/>
      <c r="H18153" s="2"/>
    </row>
    <row r="18154" spans="1:8" x14ac:dyDescent="0.25">
      <c r="A18154" s="1"/>
      <c r="B18154" s="1" t="s">
        <v>5782</v>
      </c>
      <c r="C18154" s="1" t="s">
        <v>5783</v>
      </c>
      <c r="D18154" s="22" t="str">
        <f>HYPERLINK("https://rhld.insurance.arkansas.gov/NPILookup?Npi=1912533126","1912533126")</f>
        <v>1912533126</v>
      </c>
      <c r="E18154" s="1" t="s">
        <v>4213</v>
      </c>
      <c r="F18154" s="2"/>
      <c r="G18154" s="2"/>
      <c r="H18154" s="2"/>
    </row>
    <row r="18155" spans="1:8" x14ac:dyDescent="0.25">
      <c r="A18155" s="1"/>
      <c r="B18155" s="1" t="s">
        <v>5782</v>
      </c>
      <c r="C18155" s="1" t="s">
        <v>5783</v>
      </c>
      <c r="D18155" s="22" t="str">
        <f>HYPERLINK("https://rhld.insurance.arkansas.gov/NPILookup?Npi=1912540410","1912540410")</f>
        <v>1912540410</v>
      </c>
      <c r="E18155" s="1" t="s">
        <v>6120</v>
      </c>
      <c r="F18155" s="2"/>
      <c r="G18155" s="2"/>
      <c r="H18155" s="2"/>
    </row>
    <row r="18156" spans="1:8" x14ac:dyDescent="0.25">
      <c r="A18156" s="1"/>
      <c r="B18156" s="1" t="s">
        <v>5782</v>
      </c>
      <c r="C18156" s="1" t="s">
        <v>5783</v>
      </c>
      <c r="D18156" s="22" t="str">
        <f>HYPERLINK("https://rhld.insurance.arkansas.gov/NPILookup?Npi=1912544925","1912544925")</f>
        <v>1912544925</v>
      </c>
      <c r="E18156" s="1" t="s">
        <v>6762</v>
      </c>
      <c r="F18156" s="2"/>
      <c r="G18156" s="2"/>
      <c r="H18156" s="2"/>
    </row>
    <row r="18157" spans="1:8" x14ac:dyDescent="0.25">
      <c r="A18157" s="1"/>
      <c r="B18157" s="1" t="s">
        <v>5782</v>
      </c>
      <c r="C18157" s="1" t="s">
        <v>5783</v>
      </c>
      <c r="D18157" s="22" t="str">
        <f>HYPERLINK("https://rhld.insurance.arkansas.gov/NPILookup?Npi=1912550070","1912550070")</f>
        <v>1912550070</v>
      </c>
      <c r="E18157" s="1" t="s">
        <v>2534</v>
      </c>
      <c r="F18157" s="2"/>
      <c r="G18157" s="2"/>
      <c r="H18157" s="2"/>
    </row>
    <row r="18158" spans="1:8" x14ac:dyDescent="0.25">
      <c r="A18158" s="1"/>
      <c r="B18158" s="1" t="s">
        <v>5782</v>
      </c>
      <c r="C18158" s="1" t="s">
        <v>5783</v>
      </c>
      <c r="D18158" s="22" t="str">
        <f>HYPERLINK("https://rhld.insurance.arkansas.gov/NPILookup?Npi=1912573262","1912573262")</f>
        <v>1912573262</v>
      </c>
      <c r="E18158" s="1" t="s">
        <v>6763</v>
      </c>
      <c r="F18158" s="2"/>
      <c r="G18158" s="2"/>
      <c r="H18158" s="2"/>
    </row>
    <row r="18159" spans="1:8" x14ac:dyDescent="0.25">
      <c r="A18159" s="1"/>
      <c r="B18159" s="1" t="s">
        <v>5782</v>
      </c>
      <c r="C18159" s="1" t="s">
        <v>5783</v>
      </c>
      <c r="D18159" s="22" t="str">
        <f>HYPERLINK("https://rhld.insurance.arkansas.gov/NPILookup?Npi=1912577099","1912577099")</f>
        <v>1912577099</v>
      </c>
      <c r="E18159" s="1" t="s">
        <v>23773</v>
      </c>
      <c r="F18159" s="2"/>
      <c r="G18159" s="2"/>
      <c r="H18159" s="2"/>
    </row>
    <row r="18160" spans="1:8" x14ac:dyDescent="0.25">
      <c r="A18160" s="1"/>
      <c r="B18160" s="1" t="s">
        <v>5782</v>
      </c>
      <c r="C18160" s="1" t="s">
        <v>5783</v>
      </c>
      <c r="D18160" s="22" t="str">
        <f>HYPERLINK("https://rhld.insurance.arkansas.gov/NPILookup?Npi=1912631185","1912631185")</f>
        <v>1912631185</v>
      </c>
      <c r="E18160" s="1" t="s">
        <v>6764</v>
      </c>
      <c r="F18160" s="2"/>
      <c r="G18160" s="2"/>
      <c r="H18160" s="2"/>
    </row>
    <row r="18161" spans="1:8" x14ac:dyDescent="0.25">
      <c r="A18161" s="1"/>
      <c r="B18161" s="1" t="s">
        <v>5782</v>
      </c>
      <c r="C18161" s="1" t="s">
        <v>5783</v>
      </c>
      <c r="D18161" s="22" t="str">
        <f>HYPERLINK("https://rhld.insurance.arkansas.gov/NPILookup?Npi=1912646548","1912646548")</f>
        <v>1912646548</v>
      </c>
      <c r="E18161" s="1" t="s">
        <v>6765</v>
      </c>
      <c r="F18161" s="2"/>
      <c r="G18161" s="2"/>
      <c r="H18161" s="2"/>
    </row>
    <row r="18162" spans="1:8" x14ac:dyDescent="0.25">
      <c r="A18162" s="1"/>
      <c r="B18162" s="1" t="s">
        <v>5782</v>
      </c>
      <c r="C18162" s="1" t="s">
        <v>5783</v>
      </c>
      <c r="D18162" s="22" t="str">
        <f>HYPERLINK("https://rhld.insurance.arkansas.gov/NPILookup?Npi=1912663758","1912663758")</f>
        <v>1912663758</v>
      </c>
      <c r="E18162" s="1" t="s">
        <v>23774</v>
      </c>
      <c r="F18162" s="2"/>
      <c r="G18162" s="2"/>
      <c r="H18162" s="2"/>
    </row>
    <row r="18163" spans="1:8" x14ac:dyDescent="0.25">
      <c r="A18163" s="1"/>
      <c r="B18163" s="1" t="s">
        <v>5782</v>
      </c>
      <c r="C18163" s="1" t="s">
        <v>5783</v>
      </c>
      <c r="D18163" s="22" t="str">
        <f>HYPERLINK("https://rhld.insurance.arkansas.gov/NPILookup?Npi=1912664228","1912664228")</f>
        <v>1912664228</v>
      </c>
      <c r="E18163" s="1" t="s">
        <v>23775</v>
      </c>
      <c r="F18163" s="2"/>
      <c r="G18163" s="2"/>
      <c r="H18163" s="2"/>
    </row>
    <row r="18164" spans="1:8" x14ac:dyDescent="0.25">
      <c r="A18164" s="1"/>
      <c r="B18164" s="1" t="s">
        <v>5782</v>
      </c>
      <c r="C18164" s="1" t="s">
        <v>5783</v>
      </c>
      <c r="D18164" s="22" t="str">
        <f>HYPERLINK("https://rhld.insurance.arkansas.gov/NPILookup?Npi=1912691841","1912691841")</f>
        <v>1912691841</v>
      </c>
      <c r="E18164" s="1" t="s">
        <v>23776</v>
      </c>
      <c r="F18164" s="2"/>
      <c r="G18164" s="2"/>
      <c r="H18164" s="2"/>
    </row>
    <row r="18165" spans="1:8" x14ac:dyDescent="0.25">
      <c r="A18165" s="1"/>
      <c r="B18165" s="1" t="s">
        <v>5782</v>
      </c>
      <c r="C18165" s="1" t="s">
        <v>5783</v>
      </c>
      <c r="D18165" s="22" t="str">
        <f>HYPERLINK("https://rhld.insurance.arkansas.gov/NPILookup?Npi=1912771056","1912771056")</f>
        <v>1912771056</v>
      </c>
      <c r="E18165" s="1" t="s">
        <v>6766</v>
      </c>
      <c r="F18165" s="2"/>
      <c r="G18165" s="2"/>
      <c r="H18165" s="2"/>
    </row>
    <row r="18166" spans="1:8" x14ac:dyDescent="0.25">
      <c r="A18166" s="1"/>
      <c r="B18166" s="1" t="s">
        <v>5782</v>
      </c>
      <c r="C18166" s="1" t="s">
        <v>5783</v>
      </c>
      <c r="D18166" s="22" t="str">
        <f>HYPERLINK("https://rhld.insurance.arkansas.gov/NPILookup?Npi=1912931916","1912931916")</f>
        <v>1912931916</v>
      </c>
      <c r="E18166" s="1" t="s">
        <v>404</v>
      </c>
      <c r="F18166" s="2"/>
      <c r="G18166" s="2"/>
      <c r="H18166" s="2"/>
    </row>
    <row r="18167" spans="1:8" x14ac:dyDescent="0.25">
      <c r="A18167" s="1"/>
      <c r="B18167" s="1" t="s">
        <v>5782</v>
      </c>
      <c r="C18167" s="1" t="s">
        <v>5783</v>
      </c>
      <c r="D18167" s="22" t="str">
        <f>HYPERLINK("https://rhld.insurance.arkansas.gov/NPILookup?Npi=1912944158","1912944158")</f>
        <v>1912944158</v>
      </c>
      <c r="E18167" s="1" t="s">
        <v>2225</v>
      </c>
      <c r="F18167" s="2"/>
      <c r="G18167" s="2"/>
      <c r="H18167" s="2"/>
    </row>
    <row r="18168" spans="1:8" x14ac:dyDescent="0.25">
      <c r="A18168" s="1"/>
      <c r="B18168" s="1" t="s">
        <v>5782</v>
      </c>
      <c r="C18168" s="1" t="s">
        <v>5783</v>
      </c>
      <c r="D18168" s="22" t="str">
        <f>HYPERLINK("https://rhld.insurance.arkansas.gov/NPILookup?Npi=1922004787","1922004787")</f>
        <v>1922004787</v>
      </c>
      <c r="E18168" s="1" t="s">
        <v>1556</v>
      </c>
      <c r="F18168" s="2"/>
      <c r="G18168" s="2"/>
      <c r="H18168" s="2"/>
    </row>
    <row r="18169" spans="1:8" x14ac:dyDescent="0.25">
      <c r="A18169" s="1"/>
      <c r="B18169" s="1" t="s">
        <v>5782</v>
      </c>
      <c r="C18169" s="1" t="s">
        <v>5783</v>
      </c>
      <c r="D18169" s="22" t="str">
        <f>HYPERLINK("https://rhld.insurance.arkansas.gov/NPILookup?Npi=1922027655","1922027655")</f>
        <v>1922027655</v>
      </c>
      <c r="E18169" s="1" t="s">
        <v>12230</v>
      </c>
      <c r="F18169" s="2"/>
      <c r="G18169" s="2"/>
      <c r="H18169" s="2"/>
    </row>
    <row r="18170" spans="1:8" x14ac:dyDescent="0.25">
      <c r="A18170" s="1"/>
      <c r="B18170" s="1" t="s">
        <v>5782</v>
      </c>
      <c r="C18170" s="1" t="s">
        <v>5783</v>
      </c>
      <c r="D18170" s="22" t="str">
        <f>HYPERLINK("https://rhld.insurance.arkansas.gov/NPILookup?Npi=1922086735","1922086735")</f>
        <v>1922086735</v>
      </c>
      <c r="E18170" s="1" t="s">
        <v>23777</v>
      </c>
      <c r="F18170" s="2"/>
      <c r="G18170" s="2"/>
      <c r="H18170" s="2"/>
    </row>
    <row r="18171" spans="1:8" x14ac:dyDescent="0.25">
      <c r="A18171" s="1"/>
      <c r="B18171" s="1" t="s">
        <v>5782</v>
      </c>
      <c r="C18171" s="1" t="s">
        <v>5783</v>
      </c>
      <c r="D18171" s="22" t="str">
        <f>HYPERLINK("https://rhld.insurance.arkansas.gov/NPILookup?Npi=1922088848","1922088848")</f>
        <v>1922088848</v>
      </c>
      <c r="E18171" s="1" t="s">
        <v>23778</v>
      </c>
      <c r="F18171" s="2"/>
      <c r="G18171" s="2"/>
      <c r="H18171" s="2"/>
    </row>
    <row r="18172" spans="1:8" x14ac:dyDescent="0.25">
      <c r="A18172" s="1"/>
      <c r="B18172" s="1" t="s">
        <v>5782</v>
      </c>
      <c r="C18172" s="1" t="s">
        <v>5783</v>
      </c>
      <c r="D18172" s="22" t="str">
        <f>HYPERLINK("https://rhld.insurance.arkansas.gov/NPILookup?Npi=1922098631","1922098631")</f>
        <v>1922098631</v>
      </c>
      <c r="E18172" s="1" t="s">
        <v>23779</v>
      </c>
      <c r="F18172" s="2"/>
      <c r="G18172" s="2"/>
      <c r="H18172" s="2"/>
    </row>
    <row r="18173" spans="1:8" x14ac:dyDescent="0.25">
      <c r="A18173" s="1"/>
      <c r="B18173" s="1" t="s">
        <v>5782</v>
      </c>
      <c r="C18173" s="1" t="s">
        <v>5783</v>
      </c>
      <c r="D18173" s="22" t="str">
        <f>HYPERLINK("https://rhld.insurance.arkansas.gov/NPILookup?Npi=1922123645","1922123645")</f>
        <v>1922123645</v>
      </c>
      <c r="E18173" s="1" t="s">
        <v>23780</v>
      </c>
      <c r="F18173" s="2"/>
      <c r="G18173" s="2"/>
      <c r="H18173" s="2"/>
    </row>
    <row r="18174" spans="1:8" x14ac:dyDescent="0.25">
      <c r="A18174" s="1"/>
      <c r="B18174" s="1" t="s">
        <v>5782</v>
      </c>
      <c r="C18174" s="1" t="s">
        <v>5783</v>
      </c>
      <c r="D18174" s="22" t="str">
        <f>HYPERLINK("https://rhld.insurance.arkansas.gov/NPILookup?Npi=1922126580","1922126580")</f>
        <v>1922126580</v>
      </c>
      <c r="E18174" s="1" t="s">
        <v>6767</v>
      </c>
      <c r="F18174" s="2"/>
      <c r="G18174" s="2"/>
      <c r="H18174" s="2"/>
    </row>
    <row r="18175" spans="1:8" x14ac:dyDescent="0.25">
      <c r="A18175" s="1"/>
      <c r="B18175" s="1" t="s">
        <v>5782</v>
      </c>
      <c r="C18175" s="1" t="s">
        <v>5783</v>
      </c>
      <c r="D18175" s="22" t="str">
        <f>HYPERLINK("https://rhld.insurance.arkansas.gov/NPILookup?Npi=1922129311","1922129311")</f>
        <v>1922129311</v>
      </c>
      <c r="E18175" s="1" t="s">
        <v>1527</v>
      </c>
      <c r="F18175" s="2"/>
      <c r="G18175" s="2"/>
      <c r="H18175" s="2"/>
    </row>
    <row r="18176" spans="1:8" x14ac:dyDescent="0.25">
      <c r="A18176" s="1"/>
      <c r="B18176" s="1" t="s">
        <v>5782</v>
      </c>
      <c r="C18176" s="1" t="s">
        <v>5783</v>
      </c>
      <c r="D18176" s="22" t="str">
        <f>HYPERLINK("https://rhld.insurance.arkansas.gov/NPILookup?Npi=1922208925","1922208925")</f>
        <v>1922208925</v>
      </c>
      <c r="E18176" s="1" t="s">
        <v>23781</v>
      </c>
      <c r="F18176" s="2"/>
      <c r="G18176" s="2"/>
      <c r="H18176" s="2"/>
    </row>
    <row r="18177" spans="1:8" x14ac:dyDescent="0.25">
      <c r="A18177" s="1"/>
      <c r="B18177" s="1" t="s">
        <v>5782</v>
      </c>
      <c r="C18177" s="1" t="s">
        <v>5783</v>
      </c>
      <c r="D18177" s="22" t="str">
        <f>HYPERLINK("https://rhld.insurance.arkansas.gov/NPILookup?Npi=1922218254","1922218254")</f>
        <v>1922218254</v>
      </c>
      <c r="E18177" s="1" t="s">
        <v>12231</v>
      </c>
      <c r="F18177" s="2"/>
      <c r="G18177" s="2"/>
      <c r="H18177" s="2"/>
    </row>
    <row r="18178" spans="1:8" x14ac:dyDescent="0.25">
      <c r="A18178" s="1"/>
      <c r="B18178" s="1" t="s">
        <v>5782</v>
      </c>
      <c r="C18178" s="1" t="s">
        <v>5783</v>
      </c>
      <c r="D18178" s="22" t="str">
        <f>HYPERLINK("https://rhld.insurance.arkansas.gov/NPILookup?Npi=1922238443","1922238443")</f>
        <v>1922238443</v>
      </c>
      <c r="E18178" s="1" t="s">
        <v>23782</v>
      </c>
      <c r="F18178" s="2"/>
      <c r="G18178" s="2"/>
      <c r="H18178" s="2"/>
    </row>
    <row r="18179" spans="1:8" x14ac:dyDescent="0.25">
      <c r="A18179" s="1"/>
      <c r="B18179" s="1" t="s">
        <v>5782</v>
      </c>
      <c r="C18179" s="1" t="s">
        <v>5783</v>
      </c>
      <c r="D18179" s="22" t="str">
        <f>HYPERLINK("https://rhld.insurance.arkansas.gov/NPILookup?Npi=1922238559","1922238559")</f>
        <v>1922238559</v>
      </c>
      <c r="E18179" s="1" t="s">
        <v>23783</v>
      </c>
      <c r="F18179" s="2"/>
      <c r="G18179" s="2"/>
      <c r="H18179" s="2"/>
    </row>
    <row r="18180" spans="1:8" x14ac:dyDescent="0.25">
      <c r="A18180" s="1"/>
      <c r="B18180" s="1" t="s">
        <v>5782</v>
      </c>
      <c r="C18180" s="1" t="s">
        <v>5783</v>
      </c>
      <c r="D18180" s="22" t="str">
        <f>HYPERLINK("https://rhld.insurance.arkansas.gov/NPILookup?Npi=1922251974","1922251974")</f>
        <v>1922251974</v>
      </c>
      <c r="E18180" s="1" t="s">
        <v>23784</v>
      </c>
      <c r="F18180" s="2"/>
      <c r="G18180" s="2"/>
      <c r="H18180" s="2"/>
    </row>
    <row r="18181" spans="1:8" x14ac:dyDescent="0.25">
      <c r="A18181" s="1"/>
      <c r="B18181" s="1" t="s">
        <v>5782</v>
      </c>
      <c r="C18181" s="1" t="s">
        <v>5783</v>
      </c>
      <c r="D18181" s="22" t="str">
        <f>HYPERLINK("https://rhld.insurance.arkansas.gov/NPILookup?Npi=1922286160","1922286160")</f>
        <v>1922286160</v>
      </c>
      <c r="E18181" s="1" t="s">
        <v>3132</v>
      </c>
      <c r="F18181" s="2"/>
      <c r="G18181" s="2"/>
      <c r="H18181" s="2"/>
    </row>
    <row r="18182" spans="1:8" x14ac:dyDescent="0.25">
      <c r="A18182" s="1"/>
      <c r="B18182" s="1" t="s">
        <v>5782</v>
      </c>
      <c r="C18182" s="1" t="s">
        <v>5783</v>
      </c>
      <c r="D18182" s="22" t="str">
        <f>HYPERLINK("https://rhld.insurance.arkansas.gov/NPILookup?Npi=1922288273","1922288273")</f>
        <v>1922288273</v>
      </c>
      <c r="E18182" s="1" t="s">
        <v>3409</v>
      </c>
      <c r="F18182" s="2"/>
      <c r="G18182" s="2"/>
      <c r="H18182" s="2"/>
    </row>
    <row r="18183" spans="1:8" x14ac:dyDescent="0.25">
      <c r="A18183" s="1"/>
      <c r="B18183" s="1" t="s">
        <v>5782</v>
      </c>
      <c r="C18183" s="1" t="s">
        <v>5783</v>
      </c>
      <c r="D18183" s="22" t="str">
        <f>HYPERLINK("https://rhld.insurance.arkansas.gov/NPILookup?Npi=1922303981","1922303981")</f>
        <v>1922303981</v>
      </c>
      <c r="E18183" s="1" t="s">
        <v>23785</v>
      </c>
      <c r="F18183" s="2"/>
      <c r="G18183" s="2"/>
      <c r="H18183" s="2"/>
    </row>
    <row r="18184" spans="1:8" x14ac:dyDescent="0.25">
      <c r="A18184" s="1"/>
      <c r="B18184" s="1" t="s">
        <v>5782</v>
      </c>
      <c r="C18184" s="1" t="s">
        <v>5783</v>
      </c>
      <c r="D18184" s="22" t="str">
        <f>HYPERLINK("https://rhld.insurance.arkansas.gov/NPILookup?Npi=1922312164","1922312164")</f>
        <v>1922312164</v>
      </c>
      <c r="E18184" s="1" t="s">
        <v>23786</v>
      </c>
      <c r="F18184" s="2"/>
      <c r="G18184" s="2"/>
      <c r="H18184" s="2"/>
    </row>
    <row r="18185" spans="1:8" x14ac:dyDescent="0.25">
      <c r="A18185" s="1"/>
      <c r="B18185" s="1" t="s">
        <v>5782</v>
      </c>
      <c r="C18185" s="1" t="s">
        <v>5783</v>
      </c>
      <c r="D18185" s="22" t="str">
        <f>HYPERLINK("https://rhld.insurance.arkansas.gov/NPILookup?Npi=1922314095","1922314095")</f>
        <v>1922314095</v>
      </c>
      <c r="E18185" s="1" t="s">
        <v>12232</v>
      </c>
      <c r="F18185" s="2"/>
      <c r="G18185" s="2"/>
      <c r="H18185" s="2"/>
    </row>
    <row r="18186" spans="1:8" x14ac:dyDescent="0.25">
      <c r="A18186" s="1"/>
      <c r="B18186" s="1" t="s">
        <v>5782</v>
      </c>
      <c r="C18186" s="1" t="s">
        <v>5783</v>
      </c>
      <c r="D18186" s="22" t="str">
        <f>HYPERLINK("https://rhld.insurance.arkansas.gov/NPILookup?Npi=1922315613","1922315613")</f>
        <v>1922315613</v>
      </c>
      <c r="E18186" s="1" t="s">
        <v>6769</v>
      </c>
      <c r="F18186" s="2"/>
      <c r="G18186" s="2"/>
      <c r="H18186" s="2"/>
    </row>
    <row r="18187" spans="1:8" x14ac:dyDescent="0.25">
      <c r="A18187" s="1"/>
      <c r="B18187" s="1" t="s">
        <v>5782</v>
      </c>
      <c r="C18187" s="1" t="s">
        <v>5783</v>
      </c>
      <c r="D18187" s="22" t="str">
        <f>HYPERLINK("https://rhld.insurance.arkansas.gov/NPILookup?Npi=1922331925","1922331925")</f>
        <v>1922331925</v>
      </c>
      <c r="E18187" s="1" t="s">
        <v>15978</v>
      </c>
      <c r="F18187" s="2"/>
      <c r="G18187" s="2"/>
      <c r="H18187" s="2"/>
    </row>
    <row r="18188" spans="1:8" x14ac:dyDescent="0.25">
      <c r="A18188" s="1"/>
      <c r="B18188" s="1" t="s">
        <v>5782</v>
      </c>
      <c r="C18188" s="1" t="s">
        <v>5783</v>
      </c>
      <c r="D18188" s="22" t="str">
        <f>HYPERLINK("https://rhld.insurance.arkansas.gov/NPILookup?Npi=1922341221","1922341221")</f>
        <v>1922341221</v>
      </c>
      <c r="E18188" s="1" t="s">
        <v>23787</v>
      </c>
      <c r="F18188" s="2"/>
      <c r="G18188" s="2"/>
      <c r="H18188" s="2"/>
    </row>
    <row r="18189" spans="1:8" x14ac:dyDescent="0.25">
      <c r="A18189" s="1"/>
      <c r="B18189" s="1" t="s">
        <v>5782</v>
      </c>
      <c r="C18189" s="1" t="s">
        <v>5783</v>
      </c>
      <c r="D18189" s="22" t="str">
        <f>HYPERLINK("https://rhld.insurance.arkansas.gov/NPILookup?Npi=1922341353","1922341353")</f>
        <v>1922341353</v>
      </c>
      <c r="E18189" s="1" t="s">
        <v>23788</v>
      </c>
      <c r="F18189" s="2"/>
      <c r="G18189" s="2"/>
      <c r="H18189" s="2"/>
    </row>
    <row r="18190" spans="1:8" x14ac:dyDescent="0.25">
      <c r="A18190" s="1"/>
      <c r="B18190" s="1" t="s">
        <v>5782</v>
      </c>
      <c r="C18190" s="1" t="s">
        <v>5783</v>
      </c>
      <c r="D18190" s="22" t="str">
        <f>HYPERLINK("https://rhld.insurance.arkansas.gov/NPILookup?Npi=1922344340","1922344340")</f>
        <v>1922344340</v>
      </c>
      <c r="E18190" s="1" t="s">
        <v>3442</v>
      </c>
      <c r="F18190" s="2"/>
      <c r="G18190" s="2"/>
      <c r="H18190" s="2"/>
    </row>
    <row r="18191" spans="1:8" x14ac:dyDescent="0.25">
      <c r="A18191" s="1"/>
      <c r="B18191" s="1" t="s">
        <v>5782</v>
      </c>
      <c r="C18191" s="1" t="s">
        <v>5783</v>
      </c>
      <c r="D18191" s="22" t="str">
        <f>HYPERLINK("https://rhld.insurance.arkansas.gov/NPILookup?Npi=1922355841","1922355841")</f>
        <v>1922355841</v>
      </c>
      <c r="E18191" s="1" t="s">
        <v>340</v>
      </c>
      <c r="F18191" s="2"/>
      <c r="G18191" s="2"/>
      <c r="H18191" s="2"/>
    </row>
    <row r="18192" spans="1:8" x14ac:dyDescent="0.25">
      <c r="A18192" s="1"/>
      <c r="B18192" s="1" t="s">
        <v>5782</v>
      </c>
      <c r="C18192" s="1" t="s">
        <v>5783</v>
      </c>
      <c r="D18192" s="22" t="str">
        <f>HYPERLINK("https://rhld.insurance.arkansas.gov/NPILookup?Npi=1922365691","1922365691")</f>
        <v>1922365691</v>
      </c>
      <c r="E18192" s="1" t="s">
        <v>23789</v>
      </c>
      <c r="F18192" s="2"/>
      <c r="G18192" s="2"/>
      <c r="H18192" s="2"/>
    </row>
    <row r="18193" spans="1:8" x14ac:dyDescent="0.25">
      <c r="A18193" s="1"/>
      <c r="B18193" s="1" t="s">
        <v>5782</v>
      </c>
      <c r="C18193" s="1" t="s">
        <v>5783</v>
      </c>
      <c r="D18193" s="22" t="str">
        <f>HYPERLINK("https://rhld.insurance.arkansas.gov/NPILookup?Npi=1922370949","1922370949")</f>
        <v>1922370949</v>
      </c>
      <c r="E18193" s="1" t="s">
        <v>23790</v>
      </c>
      <c r="F18193" s="2"/>
      <c r="G18193" s="2"/>
      <c r="H18193" s="2"/>
    </row>
    <row r="18194" spans="1:8" x14ac:dyDescent="0.25">
      <c r="A18194" s="1"/>
      <c r="B18194" s="1" t="s">
        <v>5782</v>
      </c>
      <c r="C18194" s="1" t="s">
        <v>5783</v>
      </c>
      <c r="D18194" s="22" t="str">
        <f>HYPERLINK("https://rhld.insurance.arkansas.gov/NPILookup?Npi=1922380187","1922380187")</f>
        <v>1922380187</v>
      </c>
      <c r="E18194" s="1" t="s">
        <v>3410</v>
      </c>
      <c r="F18194" s="2"/>
      <c r="G18194" s="2"/>
      <c r="H18194" s="2"/>
    </row>
    <row r="18195" spans="1:8" x14ac:dyDescent="0.25">
      <c r="A18195" s="1"/>
      <c r="B18195" s="1" t="s">
        <v>5782</v>
      </c>
      <c r="C18195" s="1" t="s">
        <v>5783</v>
      </c>
      <c r="D18195" s="22" t="str">
        <f>HYPERLINK("https://rhld.insurance.arkansas.gov/NPILookup?Npi=1922384684","1922384684")</f>
        <v>1922384684</v>
      </c>
      <c r="E18195" s="1" t="s">
        <v>23791</v>
      </c>
      <c r="F18195" s="2"/>
      <c r="G18195" s="2"/>
      <c r="H18195" s="2"/>
    </row>
    <row r="18196" spans="1:8" x14ac:dyDescent="0.25">
      <c r="A18196" s="1"/>
      <c r="B18196" s="1" t="s">
        <v>5782</v>
      </c>
      <c r="C18196" s="1" t="s">
        <v>5783</v>
      </c>
      <c r="D18196" s="22" t="str">
        <f>HYPERLINK("https://rhld.insurance.arkansas.gov/NPILookup?Npi=1922387018","1922387018")</f>
        <v>1922387018</v>
      </c>
      <c r="E18196" s="1" t="s">
        <v>23792</v>
      </c>
      <c r="F18196" s="2"/>
      <c r="G18196" s="2"/>
      <c r="H18196" s="2"/>
    </row>
    <row r="18197" spans="1:8" x14ac:dyDescent="0.25">
      <c r="A18197" s="1"/>
      <c r="B18197" s="1" t="s">
        <v>5782</v>
      </c>
      <c r="C18197" s="1" t="s">
        <v>5783</v>
      </c>
      <c r="D18197" s="22" t="str">
        <f>HYPERLINK("https://rhld.insurance.arkansas.gov/NPILookup?Npi=1922390947","1922390947")</f>
        <v>1922390947</v>
      </c>
      <c r="E18197" s="1" t="s">
        <v>3411</v>
      </c>
      <c r="F18197" s="2"/>
      <c r="G18197" s="2"/>
      <c r="H18197" s="2"/>
    </row>
    <row r="18198" spans="1:8" x14ac:dyDescent="0.25">
      <c r="A18198" s="1"/>
      <c r="B18198" s="1" t="s">
        <v>5782</v>
      </c>
      <c r="C18198" s="1" t="s">
        <v>5783</v>
      </c>
      <c r="D18198" s="22" t="str">
        <f>HYPERLINK("https://rhld.insurance.arkansas.gov/NPILookup?Npi=1922395870","1922395870")</f>
        <v>1922395870</v>
      </c>
      <c r="E18198" s="1" t="s">
        <v>12233</v>
      </c>
      <c r="F18198" s="2"/>
      <c r="G18198" s="2"/>
      <c r="H18198" s="2"/>
    </row>
    <row r="18199" spans="1:8" x14ac:dyDescent="0.25">
      <c r="A18199" s="1"/>
      <c r="B18199" s="1" t="s">
        <v>5782</v>
      </c>
      <c r="C18199" s="1" t="s">
        <v>5783</v>
      </c>
      <c r="D18199" s="22" t="str">
        <f>HYPERLINK("https://rhld.insurance.arkansas.gov/NPILookup?Npi=1922424597","1922424597")</f>
        <v>1922424597</v>
      </c>
      <c r="E18199" s="1" t="s">
        <v>1528</v>
      </c>
      <c r="F18199" s="2"/>
      <c r="G18199" s="2"/>
      <c r="H18199" s="2"/>
    </row>
    <row r="18200" spans="1:8" x14ac:dyDescent="0.25">
      <c r="A18200" s="1"/>
      <c r="B18200" s="1" t="s">
        <v>5782</v>
      </c>
      <c r="C18200" s="1" t="s">
        <v>5783</v>
      </c>
      <c r="D18200" s="22" t="str">
        <f>HYPERLINK("https://rhld.insurance.arkansas.gov/NPILookup?Npi=1922443993","1922443993")</f>
        <v>1922443993</v>
      </c>
      <c r="E18200" s="1" t="s">
        <v>22373</v>
      </c>
      <c r="F18200" s="2"/>
      <c r="G18200" s="2"/>
      <c r="H18200" s="2"/>
    </row>
    <row r="18201" spans="1:8" x14ac:dyDescent="0.25">
      <c r="A18201" s="1"/>
      <c r="B18201" s="1" t="s">
        <v>5782</v>
      </c>
      <c r="C18201" s="1" t="s">
        <v>5783</v>
      </c>
      <c r="D18201" s="22" t="str">
        <f>HYPERLINK("https://rhld.insurance.arkansas.gov/NPILookup?Npi=1922453422","1922453422")</f>
        <v>1922453422</v>
      </c>
      <c r="E18201" s="1" t="s">
        <v>23793</v>
      </c>
      <c r="F18201" s="2"/>
      <c r="G18201" s="2"/>
      <c r="H18201" s="2"/>
    </row>
    <row r="18202" spans="1:8" x14ac:dyDescent="0.25">
      <c r="A18202" s="1"/>
      <c r="B18202" s="1" t="s">
        <v>5782</v>
      </c>
      <c r="C18202" s="1" t="s">
        <v>5783</v>
      </c>
      <c r="D18202" s="22" t="str">
        <f>HYPERLINK("https://rhld.insurance.arkansas.gov/NPILookup?Npi=1922457100","1922457100")</f>
        <v>1922457100</v>
      </c>
      <c r="E18202" s="1" t="s">
        <v>6770</v>
      </c>
      <c r="F18202" s="2"/>
      <c r="G18202" s="2"/>
      <c r="H18202" s="2"/>
    </row>
    <row r="18203" spans="1:8" x14ac:dyDescent="0.25">
      <c r="A18203" s="1"/>
      <c r="B18203" s="1" t="s">
        <v>5782</v>
      </c>
      <c r="C18203" s="1" t="s">
        <v>5783</v>
      </c>
      <c r="D18203" s="22" t="str">
        <f>HYPERLINK("https://rhld.insurance.arkansas.gov/NPILookup?Npi=1922461516","1922461516")</f>
        <v>1922461516</v>
      </c>
      <c r="E18203" s="1" t="s">
        <v>31972</v>
      </c>
      <c r="F18203" s="2"/>
      <c r="G18203" s="2"/>
      <c r="H18203" s="2"/>
    </row>
    <row r="18204" spans="1:8" x14ac:dyDescent="0.25">
      <c r="A18204" s="1"/>
      <c r="B18204" s="1" t="s">
        <v>5782</v>
      </c>
      <c r="C18204" s="1" t="s">
        <v>5783</v>
      </c>
      <c r="D18204" s="22" t="str">
        <f>HYPERLINK("https://rhld.insurance.arkansas.gov/NPILookup?Npi=1922470236","1922470236")</f>
        <v>1922470236</v>
      </c>
      <c r="E18204" s="1" t="s">
        <v>6771</v>
      </c>
      <c r="F18204" s="2"/>
      <c r="G18204" s="2"/>
      <c r="H18204" s="2"/>
    </row>
    <row r="18205" spans="1:8" x14ac:dyDescent="0.25">
      <c r="A18205" s="1"/>
      <c r="B18205" s="1" t="s">
        <v>5782</v>
      </c>
      <c r="C18205" s="1" t="s">
        <v>5783</v>
      </c>
      <c r="D18205" s="22" t="str">
        <f>HYPERLINK("https://rhld.insurance.arkansas.gov/NPILookup?Npi=1922497734","1922497734")</f>
        <v>1922497734</v>
      </c>
      <c r="E18205" s="1" t="s">
        <v>23794</v>
      </c>
      <c r="F18205" s="2"/>
      <c r="G18205" s="2"/>
      <c r="H18205" s="2"/>
    </row>
    <row r="18206" spans="1:8" x14ac:dyDescent="0.25">
      <c r="A18206" s="1"/>
      <c r="B18206" s="1" t="s">
        <v>5782</v>
      </c>
      <c r="C18206" s="1" t="s">
        <v>5783</v>
      </c>
      <c r="D18206" s="22" t="str">
        <f>HYPERLINK("https://rhld.insurance.arkansas.gov/NPILookup?Npi=1922498807","1922498807")</f>
        <v>1922498807</v>
      </c>
      <c r="E18206" s="1" t="s">
        <v>16914</v>
      </c>
      <c r="F18206" s="2"/>
      <c r="G18206" s="2"/>
      <c r="H18206" s="2"/>
    </row>
    <row r="18207" spans="1:8" x14ac:dyDescent="0.25">
      <c r="A18207" s="1"/>
      <c r="B18207" s="1" t="s">
        <v>5782</v>
      </c>
      <c r="C18207" s="1" t="s">
        <v>5783</v>
      </c>
      <c r="D18207" s="22" t="str">
        <f>HYPERLINK("https://rhld.insurance.arkansas.gov/NPILookup?Npi=1922517085","1922517085")</f>
        <v>1922517085</v>
      </c>
      <c r="E18207" s="1" t="s">
        <v>12234</v>
      </c>
      <c r="F18207" s="2"/>
      <c r="G18207" s="2"/>
      <c r="H18207" s="2"/>
    </row>
    <row r="18208" spans="1:8" x14ac:dyDescent="0.25">
      <c r="A18208" s="1"/>
      <c r="B18208" s="1" t="s">
        <v>5782</v>
      </c>
      <c r="C18208" s="1" t="s">
        <v>5783</v>
      </c>
      <c r="D18208" s="22" t="str">
        <f>HYPERLINK("https://rhld.insurance.arkansas.gov/NPILookup?Npi=1922532621","1922532621")</f>
        <v>1922532621</v>
      </c>
      <c r="E18208" s="1" t="s">
        <v>23795</v>
      </c>
      <c r="F18208" s="2"/>
      <c r="G18208" s="2"/>
      <c r="H18208" s="2"/>
    </row>
    <row r="18209" spans="1:8" x14ac:dyDescent="0.25">
      <c r="A18209" s="1"/>
      <c r="B18209" s="1" t="s">
        <v>5782</v>
      </c>
      <c r="C18209" s="1" t="s">
        <v>5783</v>
      </c>
      <c r="D18209" s="22" t="str">
        <f>HYPERLINK("https://rhld.insurance.arkansas.gov/NPILookup?Npi=1922536895","1922536895")</f>
        <v>1922536895</v>
      </c>
      <c r="E18209" s="1" t="s">
        <v>23796</v>
      </c>
      <c r="F18209" s="2"/>
      <c r="G18209" s="2"/>
      <c r="H18209" s="2"/>
    </row>
    <row r="18210" spans="1:8" x14ac:dyDescent="0.25">
      <c r="A18210" s="1"/>
      <c r="B18210" s="1" t="s">
        <v>5782</v>
      </c>
      <c r="C18210" s="1" t="s">
        <v>5783</v>
      </c>
      <c r="D18210" s="22" t="str">
        <f>HYPERLINK("https://rhld.insurance.arkansas.gov/NPILookup?Npi=1922537695","1922537695")</f>
        <v>1922537695</v>
      </c>
      <c r="E18210" s="1" t="s">
        <v>6772</v>
      </c>
      <c r="F18210" s="2"/>
      <c r="G18210" s="2"/>
      <c r="H18210" s="2"/>
    </row>
    <row r="18211" spans="1:8" x14ac:dyDescent="0.25">
      <c r="A18211" s="1"/>
      <c r="B18211" s="1" t="s">
        <v>5782</v>
      </c>
      <c r="C18211" s="1" t="s">
        <v>5783</v>
      </c>
      <c r="D18211" s="22" t="str">
        <f>HYPERLINK("https://rhld.insurance.arkansas.gov/NPILookup?Npi=1922539915","1922539915")</f>
        <v>1922539915</v>
      </c>
      <c r="E18211" s="1" t="s">
        <v>23797</v>
      </c>
      <c r="F18211" s="2"/>
      <c r="G18211" s="2"/>
      <c r="H18211" s="2"/>
    </row>
    <row r="18212" spans="1:8" x14ac:dyDescent="0.25">
      <c r="A18212" s="1"/>
      <c r="B18212" s="1" t="s">
        <v>5782</v>
      </c>
      <c r="C18212" s="1" t="s">
        <v>5783</v>
      </c>
      <c r="D18212" s="22" t="str">
        <f>HYPERLINK("https://rhld.insurance.arkansas.gov/NPILookup?Npi=1922548056","1922548056")</f>
        <v>1922548056</v>
      </c>
      <c r="E18212" s="1" t="s">
        <v>3413</v>
      </c>
      <c r="F18212" s="2"/>
      <c r="G18212" s="2"/>
      <c r="H18212" s="2"/>
    </row>
    <row r="18213" spans="1:8" x14ac:dyDescent="0.25">
      <c r="A18213" s="1"/>
      <c r="B18213" s="1" t="s">
        <v>5782</v>
      </c>
      <c r="C18213" s="1" t="s">
        <v>5783</v>
      </c>
      <c r="D18213" s="22" t="str">
        <f>HYPERLINK("https://rhld.insurance.arkansas.gov/NPILookup?Npi=1922570860","1922570860")</f>
        <v>1922570860</v>
      </c>
      <c r="E18213" s="1" t="s">
        <v>6773</v>
      </c>
      <c r="F18213" s="2"/>
      <c r="G18213" s="2"/>
      <c r="H18213" s="2"/>
    </row>
    <row r="18214" spans="1:8" x14ac:dyDescent="0.25">
      <c r="A18214" s="1"/>
      <c r="B18214" s="1" t="s">
        <v>5782</v>
      </c>
      <c r="C18214" s="1" t="s">
        <v>5783</v>
      </c>
      <c r="D18214" s="22" t="str">
        <f>HYPERLINK("https://rhld.insurance.arkansas.gov/NPILookup?Npi=1922575042","1922575042")</f>
        <v>1922575042</v>
      </c>
      <c r="E18214" s="1" t="s">
        <v>1340</v>
      </c>
      <c r="F18214" s="2"/>
      <c r="G18214" s="2"/>
      <c r="H18214" s="2"/>
    </row>
    <row r="18215" spans="1:8" x14ac:dyDescent="0.25">
      <c r="A18215" s="1"/>
      <c r="B18215" s="1" t="s">
        <v>5782</v>
      </c>
      <c r="C18215" s="1" t="s">
        <v>5783</v>
      </c>
      <c r="D18215" s="22" t="str">
        <f>HYPERLINK("https://rhld.insurance.arkansas.gov/NPILookup?Npi=1922576925","1922576925")</f>
        <v>1922576925</v>
      </c>
      <c r="E18215" s="1" t="s">
        <v>6774</v>
      </c>
      <c r="F18215" s="2"/>
      <c r="G18215" s="2"/>
      <c r="H18215" s="2"/>
    </row>
    <row r="18216" spans="1:8" x14ac:dyDescent="0.25">
      <c r="A18216" s="1"/>
      <c r="B18216" s="1" t="s">
        <v>5782</v>
      </c>
      <c r="C18216" s="1" t="s">
        <v>5783</v>
      </c>
      <c r="D18216" s="22" t="str">
        <f>HYPERLINK("https://rhld.insurance.arkansas.gov/NPILookup?Npi=1922582154","1922582154")</f>
        <v>1922582154</v>
      </c>
      <c r="E18216" s="1" t="s">
        <v>12235</v>
      </c>
      <c r="F18216" s="2"/>
      <c r="G18216" s="2"/>
      <c r="H18216" s="2"/>
    </row>
    <row r="18217" spans="1:8" x14ac:dyDescent="0.25">
      <c r="A18217" s="1"/>
      <c r="B18217" s="1" t="s">
        <v>5782</v>
      </c>
      <c r="C18217" s="1" t="s">
        <v>5783</v>
      </c>
      <c r="D18217" s="22" t="str">
        <f>HYPERLINK("https://rhld.insurance.arkansas.gov/NPILookup?Npi=1922594829","1922594829")</f>
        <v>1922594829</v>
      </c>
      <c r="E18217" s="1" t="s">
        <v>6775</v>
      </c>
      <c r="F18217" s="2"/>
      <c r="G18217" s="2"/>
      <c r="H18217" s="2"/>
    </row>
    <row r="18218" spans="1:8" x14ac:dyDescent="0.25">
      <c r="A18218" s="1"/>
      <c r="B18218" s="1" t="s">
        <v>5782</v>
      </c>
      <c r="C18218" s="1" t="s">
        <v>5783</v>
      </c>
      <c r="D18218" s="22" t="str">
        <f>HYPERLINK("https://rhld.insurance.arkansas.gov/NPILookup?Npi=1922600766","1922600766")</f>
        <v>1922600766</v>
      </c>
      <c r="E18218" s="1" t="s">
        <v>8808</v>
      </c>
      <c r="F18218" s="2"/>
      <c r="G18218" s="2"/>
      <c r="H18218" s="2"/>
    </row>
    <row r="18219" spans="1:8" x14ac:dyDescent="0.25">
      <c r="A18219" s="1"/>
      <c r="B18219" s="1" t="s">
        <v>5782</v>
      </c>
      <c r="C18219" s="1" t="s">
        <v>5783</v>
      </c>
      <c r="D18219" s="22" t="str">
        <f>HYPERLINK("https://rhld.insurance.arkansas.gov/NPILookup?Npi=1922601178","1922601178")</f>
        <v>1922601178</v>
      </c>
      <c r="E18219" s="1" t="s">
        <v>6776</v>
      </c>
      <c r="F18219" s="2"/>
      <c r="G18219" s="2"/>
      <c r="H18219" s="2"/>
    </row>
    <row r="18220" spans="1:8" x14ac:dyDescent="0.25">
      <c r="A18220" s="1"/>
      <c r="B18220" s="1" t="s">
        <v>5782</v>
      </c>
      <c r="C18220" s="1" t="s">
        <v>5783</v>
      </c>
      <c r="D18220" s="22" t="str">
        <f>HYPERLINK("https://rhld.insurance.arkansas.gov/NPILookup?Npi=1922602358","1922602358")</f>
        <v>1922602358</v>
      </c>
      <c r="E18220" s="1" t="s">
        <v>23798</v>
      </c>
      <c r="F18220" s="2"/>
      <c r="G18220" s="2"/>
      <c r="H18220" s="2"/>
    </row>
    <row r="18221" spans="1:8" x14ac:dyDescent="0.25">
      <c r="A18221" s="1"/>
      <c r="B18221" s="1" t="s">
        <v>5782</v>
      </c>
      <c r="C18221" s="1" t="s">
        <v>5783</v>
      </c>
      <c r="D18221" s="22" t="str">
        <f>HYPERLINK("https://rhld.insurance.arkansas.gov/NPILookup?Npi=1922603653","1922603653")</f>
        <v>1922603653</v>
      </c>
      <c r="E18221" s="1" t="s">
        <v>6777</v>
      </c>
      <c r="F18221" s="2"/>
      <c r="G18221" s="2"/>
      <c r="H18221" s="2"/>
    </row>
    <row r="18222" spans="1:8" x14ac:dyDescent="0.25">
      <c r="A18222" s="1"/>
      <c r="B18222" s="1" t="s">
        <v>5782</v>
      </c>
      <c r="C18222" s="1" t="s">
        <v>5783</v>
      </c>
      <c r="D18222" s="22" t="str">
        <f>HYPERLINK("https://rhld.insurance.arkansas.gov/NPILookup?Npi=1922616234","1922616234")</f>
        <v>1922616234</v>
      </c>
      <c r="E18222" s="1" t="s">
        <v>23799</v>
      </c>
      <c r="F18222" s="2"/>
      <c r="G18222" s="2"/>
      <c r="H18222" s="2"/>
    </row>
    <row r="18223" spans="1:8" x14ac:dyDescent="0.25">
      <c r="A18223" s="1"/>
      <c r="B18223" s="1" t="s">
        <v>5782</v>
      </c>
      <c r="C18223" s="1" t="s">
        <v>5783</v>
      </c>
      <c r="D18223" s="22" t="str">
        <f>HYPERLINK("https://rhld.insurance.arkansas.gov/NPILookup?Npi=1922624162","1922624162")</f>
        <v>1922624162</v>
      </c>
      <c r="E18223" s="1" t="s">
        <v>23800</v>
      </c>
      <c r="F18223" s="2"/>
      <c r="G18223" s="2"/>
      <c r="H18223" s="2"/>
    </row>
    <row r="18224" spans="1:8" x14ac:dyDescent="0.25">
      <c r="A18224" s="1"/>
      <c r="B18224" s="1" t="s">
        <v>5782</v>
      </c>
      <c r="C18224" s="1" t="s">
        <v>5783</v>
      </c>
      <c r="D18224" s="22" t="str">
        <f>HYPERLINK("https://rhld.insurance.arkansas.gov/NPILookup?Npi=1922648336","1922648336")</f>
        <v>1922648336</v>
      </c>
      <c r="E18224" s="1" t="s">
        <v>23801</v>
      </c>
      <c r="F18224" s="2"/>
      <c r="G18224" s="2"/>
      <c r="H18224" s="2"/>
    </row>
    <row r="18225" spans="1:8" x14ac:dyDescent="0.25">
      <c r="A18225" s="1"/>
      <c r="B18225" s="1" t="s">
        <v>5782</v>
      </c>
      <c r="C18225" s="1" t="s">
        <v>5783</v>
      </c>
      <c r="D18225" s="22" t="str">
        <f>HYPERLINK("https://rhld.insurance.arkansas.gov/NPILookup?Npi=1922648815","1922648815")</f>
        <v>1922648815</v>
      </c>
      <c r="E18225" s="1" t="s">
        <v>23802</v>
      </c>
      <c r="F18225" s="2"/>
      <c r="G18225" s="2"/>
      <c r="H18225" s="2"/>
    </row>
    <row r="18226" spans="1:8" x14ac:dyDescent="0.25">
      <c r="A18226" s="1"/>
      <c r="B18226" s="1" t="s">
        <v>5782</v>
      </c>
      <c r="C18226" s="1" t="s">
        <v>5783</v>
      </c>
      <c r="D18226" s="22" t="str">
        <f>HYPERLINK("https://rhld.insurance.arkansas.gov/NPILookup?Npi=1922649532","1922649532")</f>
        <v>1922649532</v>
      </c>
      <c r="E18226" s="1" t="s">
        <v>23803</v>
      </c>
      <c r="F18226" s="2"/>
      <c r="G18226" s="2"/>
      <c r="H18226" s="2"/>
    </row>
    <row r="18227" spans="1:8" x14ac:dyDescent="0.25">
      <c r="A18227" s="1"/>
      <c r="B18227" s="1" t="s">
        <v>5782</v>
      </c>
      <c r="C18227" s="1" t="s">
        <v>5783</v>
      </c>
      <c r="D18227" s="22" t="str">
        <f>HYPERLINK("https://rhld.insurance.arkansas.gov/NPILookup?Npi=1922654185","1922654185")</f>
        <v>1922654185</v>
      </c>
      <c r="E18227" s="1" t="s">
        <v>23804</v>
      </c>
      <c r="F18227" s="2"/>
      <c r="G18227" s="2"/>
      <c r="H18227" s="2"/>
    </row>
    <row r="18228" spans="1:8" x14ac:dyDescent="0.25">
      <c r="A18228" s="1"/>
      <c r="B18228" s="1" t="s">
        <v>5782</v>
      </c>
      <c r="C18228" s="1" t="s">
        <v>5783</v>
      </c>
      <c r="D18228" s="22" t="str">
        <f>HYPERLINK("https://rhld.insurance.arkansas.gov/NPILookup?Npi=1922674266","1922674266")</f>
        <v>1922674266</v>
      </c>
      <c r="E18228" s="1" t="s">
        <v>2522</v>
      </c>
      <c r="F18228" s="2"/>
      <c r="G18228" s="2"/>
      <c r="H18228" s="2"/>
    </row>
    <row r="18229" spans="1:8" x14ac:dyDescent="0.25">
      <c r="A18229" s="1"/>
      <c r="B18229" s="1" t="s">
        <v>5782</v>
      </c>
      <c r="C18229" s="1" t="s">
        <v>5783</v>
      </c>
      <c r="D18229" s="22" t="str">
        <f>HYPERLINK("https://rhld.insurance.arkansas.gov/NPILookup?Npi=1922676493","1922676493")</f>
        <v>1922676493</v>
      </c>
      <c r="E18229" s="1" t="s">
        <v>23805</v>
      </c>
      <c r="F18229" s="2"/>
      <c r="G18229" s="2"/>
      <c r="H18229" s="2"/>
    </row>
    <row r="18230" spans="1:8" x14ac:dyDescent="0.25">
      <c r="A18230" s="1"/>
      <c r="B18230" s="1" t="s">
        <v>5782</v>
      </c>
      <c r="C18230" s="1" t="s">
        <v>5783</v>
      </c>
      <c r="D18230" s="22" t="str">
        <f>HYPERLINK("https://rhld.insurance.arkansas.gov/NPILookup?Npi=1922679497","1922679497")</f>
        <v>1922679497</v>
      </c>
      <c r="E18230" s="1" t="s">
        <v>6778</v>
      </c>
      <c r="F18230" s="2"/>
      <c r="G18230" s="2"/>
      <c r="H18230" s="2"/>
    </row>
    <row r="18231" spans="1:8" x14ac:dyDescent="0.25">
      <c r="A18231" s="1"/>
      <c r="B18231" s="1" t="s">
        <v>5782</v>
      </c>
      <c r="C18231" s="1" t="s">
        <v>5783</v>
      </c>
      <c r="D18231" s="22" t="str">
        <f>HYPERLINK("https://rhld.insurance.arkansas.gov/NPILookup?Npi=1922719699","1922719699")</f>
        <v>1922719699</v>
      </c>
      <c r="E18231" s="1" t="s">
        <v>23806</v>
      </c>
      <c r="F18231" s="2"/>
      <c r="G18231" s="2"/>
      <c r="H18231" s="2"/>
    </row>
    <row r="18232" spans="1:8" x14ac:dyDescent="0.25">
      <c r="A18232" s="1"/>
      <c r="B18232" s="1" t="s">
        <v>5782</v>
      </c>
      <c r="C18232" s="1" t="s">
        <v>5783</v>
      </c>
      <c r="D18232" s="22" t="str">
        <f>HYPERLINK("https://rhld.insurance.arkansas.gov/NPILookup?Npi=1922722032","1922722032")</f>
        <v>1922722032</v>
      </c>
      <c r="E18232" s="1" t="s">
        <v>12236</v>
      </c>
      <c r="F18232" s="2"/>
      <c r="G18232" s="2"/>
      <c r="H18232" s="2"/>
    </row>
    <row r="18233" spans="1:8" x14ac:dyDescent="0.25">
      <c r="A18233" s="1"/>
      <c r="B18233" s="1" t="s">
        <v>5782</v>
      </c>
      <c r="C18233" s="1" t="s">
        <v>5783</v>
      </c>
      <c r="D18233" s="22" t="str">
        <f>HYPERLINK("https://rhld.insurance.arkansas.gov/NPILookup?Npi=1922726512","1922726512")</f>
        <v>1922726512</v>
      </c>
      <c r="E18233" s="1" t="s">
        <v>23807</v>
      </c>
      <c r="F18233" s="2"/>
      <c r="G18233" s="2"/>
      <c r="H18233" s="2"/>
    </row>
    <row r="18234" spans="1:8" x14ac:dyDescent="0.25">
      <c r="A18234" s="1"/>
      <c r="B18234" s="1" t="s">
        <v>5782</v>
      </c>
      <c r="C18234" s="1" t="s">
        <v>5783</v>
      </c>
      <c r="D18234" s="22" t="str">
        <f>HYPERLINK("https://rhld.insurance.arkansas.gov/NPILookup?Npi=1922728815","1922728815")</f>
        <v>1922728815</v>
      </c>
      <c r="E18234" s="1" t="s">
        <v>6779</v>
      </c>
      <c r="F18234" s="2"/>
      <c r="G18234" s="2"/>
      <c r="H18234" s="2"/>
    </row>
    <row r="18235" spans="1:8" x14ac:dyDescent="0.25">
      <c r="A18235" s="1"/>
      <c r="B18235" s="1" t="s">
        <v>5782</v>
      </c>
      <c r="C18235" s="1" t="s">
        <v>5783</v>
      </c>
      <c r="D18235" s="22" t="str">
        <f>HYPERLINK("https://rhld.insurance.arkansas.gov/NPILookup?Npi=1922758259","1922758259")</f>
        <v>1922758259</v>
      </c>
      <c r="E18235" s="1" t="s">
        <v>6780</v>
      </c>
      <c r="F18235" s="2"/>
      <c r="G18235" s="2"/>
      <c r="H18235" s="2"/>
    </row>
    <row r="18236" spans="1:8" x14ac:dyDescent="0.25">
      <c r="A18236" s="1"/>
      <c r="B18236" s="1" t="s">
        <v>5782</v>
      </c>
      <c r="C18236" s="1" t="s">
        <v>5783</v>
      </c>
      <c r="D18236" s="22" t="str">
        <f>HYPERLINK("https://rhld.insurance.arkansas.gov/NPILookup?Npi=1922770528","1922770528")</f>
        <v>1922770528</v>
      </c>
      <c r="E18236" s="1" t="s">
        <v>6781</v>
      </c>
      <c r="F18236" s="2"/>
      <c r="G18236" s="2"/>
      <c r="H18236" s="2"/>
    </row>
    <row r="18237" spans="1:8" x14ac:dyDescent="0.25">
      <c r="A18237" s="1"/>
      <c r="B18237" s="1" t="s">
        <v>5782</v>
      </c>
      <c r="C18237" s="1" t="s">
        <v>5783</v>
      </c>
      <c r="D18237" s="22" t="str">
        <f>HYPERLINK("https://rhld.insurance.arkansas.gov/NPILookup?Npi=1922771468","1922771468")</f>
        <v>1922771468</v>
      </c>
      <c r="E18237" s="1" t="s">
        <v>23808</v>
      </c>
      <c r="F18237" s="2"/>
      <c r="G18237" s="2"/>
      <c r="H18237" s="2"/>
    </row>
    <row r="18238" spans="1:8" x14ac:dyDescent="0.25">
      <c r="A18238" s="1"/>
      <c r="B18238" s="1" t="s">
        <v>5782</v>
      </c>
      <c r="C18238" s="1" t="s">
        <v>5783</v>
      </c>
      <c r="D18238" s="22" t="str">
        <f>HYPERLINK("https://rhld.insurance.arkansas.gov/NPILookup?Npi=1922787035","1922787035")</f>
        <v>1922787035</v>
      </c>
      <c r="E18238" s="1" t="s">
        <v>6189</v>
      </c>
      <c r="F18238" s="2"/>
      <c r="G18238" s="2"/>
      <c r="H18238" s="2"/>
    </row>
    <row r="18239" spans="1:8" x14ac:dyDescent="0.25">
      <c r="A18239" s="1"/>
      <c r="B18239" s="1" t="s">
        <v>5782</v>
      </c>
      <c r="C18239" s="1" t="s">
        <v>5783</v>
      </c>
      <c r="D18239" s="22" t="str">
        <f>HYPERLINK("https://rhld.insurance.arkansas.gov/NPILookup?Npi=1922836394","1922836394")</f>
        <v>1922836394</v>
      </c>
      <c r="E18239" s="1" t="s">
        <v>23809</v>
      </c>
      <c r="F18239" s="2"/>
      <c r="G18239" s="2"/>
      <c r="H18239" s="2"/>
    </row>
    <row r="18240" spans="1:8" x14ac:dyDescent="0.25">
      <c r="A18240" s="1"/>
      <c r="B18240" s="1" t="s">
        <v>5782</v>
      </c>
      <c r="C18240" s="1" t="s">
        <v>5783</v>
      </c>
      <c r="D18240" s="22" t="str">
        <f>HYPERLINK("https://rhld.insurance.arkansas.gov/NPILookup?Npi=1922852797","1922852797")</f>
        <v>1922852797</v>
      </c>
      <c r="E18240" s="1" t="s">
        <v>31973</v>
      </c>
      <c r="F18240" s="2"/>
      <c r="G18240" s="2"/>
      <c r="H18240" s="2"/>
    </row>
    <row r="18241" spans="1:8" x14ac:dyDescent="0.25">
      <c r="A18241" s="1"/>
      <c r="B18241" s="1" t="s">
        <v>5782</v>
      </c>
      <c r="C18241" s="1" t="s">
        <v>5783</v>
      </c>
      <c r="D18241" s="22" t="str">
        <f>HYPERLINK("https://rhld.insurance.arkansas.gov/NPILookup?Npi=1932138278","1932138278")</f>
        <v>1932138278</v>
      </c>
      <c r="E18241" s="1" t="s">
        <v>23810</v>
      </c>
      <c r="F18241" s="2"/>
      <c r="G18241" s="2"/>
      <c r="H18241" s="2"/>
    </row>
    <row r="18242" spans="1:8" x14ac:dyDescent="0.25">
      <c r="A18242" s="1"/>
      <c r="B18242" s="1" t="s">
        <v>5782</v>
      </c>
      <c r="C18242" s="1" t="s">
        <v>5783</v>
      </c>
      <c r="D18242" s="22" t="str">
        <f>HYPERLINK("https://rhld.insurance.arkansas.gov/NPILookup?Npi=1932194453","1932194453")</f>
        <v>1932194453</v>
      </c>
      <c r="E18242" s="1" t="s">
        <v>23811</v>
      </c>
      <c r="F18242" s="2"/>
      <c r="G18242" s="2"/>
      <c r="H18242" s="2"/>
    </row>
    <row r="18243" spans="1:8" x14ac:dyDescent="0.25">
      <c r="A18243" s="1"/>
      <c r="B18243" s="1" t="s">
        <v>5782</v>
      </c>
      <c r="C18243" s="1" t="s">
        <v>5783</v>
      </c>
      <c r="D18243" s="22" t="str">
        <f>HYPERLINK("https://rhld.insurance.arkansas.gov/NPILookup?Npi=1932196425","1932196425")</f>
        <v>1932196425</v>
      </c>
      <c r="E18243" s="1" t="s">
        <v>23812</v>
      </c>
      <c r="F18243" s="2"/>
      <c r="G18243" s="2"/>
      <c r="H18243" s="2"/>
    </row>
    <row r="18244" spans="1:8" x14ac:dyDescent="0.25">
      <c r="A18244" s="1"/>
      <c r="B18244" s="1" t="s">
        <v>5782</v>
      </c>
      <c r="C18244" s="1" t="s">
        <v>5783</v>
      </c>
      <c r="D18244" s="22" t="str">
        <f>HYPERLINK("https://rhld.insurance.arkansas.gov/NPILookup?Npi=1932216090","1932216090")</f>
        <v>1932216090</v>
      </c>
      <c r="E18244" s="1" t="s">
        <v>23813</v>
      </c>
      <c r="F18244" s="2"/>
      <c r="G18244" s="2"/>
      <c r="H18244" s="2"/>
    </row>
    <row r="18245" spans="1:8" x14ac:dyDescent="0.25">
      <c r="A18245" s="1"/>
      <c r="B18245" s="1" t="s">
        <v>5782</v>
      </c>
      <c r="C18245" s="1" t="s">
        <v>5783</v>
      </c>
      <c r="D18245" s="22" t="str">
        <f>HYPERLINK("https://rhld.insurance.arkansas.gov/NPILookup?Npi=1932229069","1932229069")</f>
        <v>1932229069</v>
      </c>
      <c r="E18245" s="1" t="s">
        <v>369</v>
      </c>
      <c r="F18245" s="2"/>
      <c r="G18245" s="2"/>
      <c r="H18245" s="2"/>
    </row>
    <row r="18246" spans="1:8" x14ac:dyDescent="0.25">
      <c r="A18246" s="1"/>
      <c r="B18246" s="1" t="s">
        <v>5782</v>
      </c>
      <c r="C18246" s="1" t="s">
        <v>5783</v>
      </c>
      <c r="D18246" s="22" t="str">
        <f>HYPERLINK("https://rhld.insurance.arkansas.gov/NPILookup?Npi=1932247392","1932247392")</f>
        <v>1932247392</v>
      </c>
      <c r="E18246" s="1" t="s">
        <v>12237</v>
      </c>
      <c r="F18246" s="2"/>
      <c r="G18246" s="2"/>
      <c r="H18246" s="2"/>
    </row>
    <row r="18247" spans="1:8" x14ac:dyDescent="0.25">
      <c r="A18247" s="1"/>
      <c r="B18247" s="1" t="s">
        <v>5782</v>
      </c>
      <c r="C18247" s="1" t="s">
        <v>5783</v>
      </c>
      <c r="D18247" s="22" t="str">
        <f>HYPERLINK("https://rhld.insurance.arkansas.gov/NPILookup?Npi=1932336054","1932336054")</f>
        <v>1932336054</v>
      </c>
      <c r="E18247" s="1" t="s">
        <v>23814</v>
      </c>
      <c r="F18247" s="2"/>
      <c r="G18247" s="2"/>
      <c r="H18247" s="2"/>
    </row>
    <row r="18248" spans="1:8" x14ac:dyDescent="0.25">
      <c r="A18248" s="1"/>
      <c r="B18248" s="1" t="s">
        <v>5782</v>
      </c>
      <c r="C18248" s="1" t="s">
        <v>5783</v>
      </c>
      <c r="D18248" s="22" t="str">
        <f>HYPERLINK("https://rhld.insurance.arkansas.gov/NPILookup?Npi=1932339603","1932339603")</f>
        <v>1932339603</v>
      </c>
      <c r="E18248" s="1" t="s">
        <v>12238</v>
      </c>
      <c r="F18248" s="2"/>
      <c r="G18248" s="2"/>
      <c r="H18248" s="2"/>
    </row>
    <row r="18249" spans="1:8" x14ac:dyDescent="0.25">
      <c r="A18249" s="1"/>
      <c r="B18249" s="1" t="s">
        <v>5782</v>
      </c>
      <c r="C18249" s="1" t="s">
        <v>5783</v>
      </c>
      <c r="D18249" s="22" t="str">
        <f>HYPERLINK("https://rhld.insurance.arkansas.gov/NPILookup?Npi=1932350642","1932350642")</f>
        <v>1932350642</v>
      </c>
      <c r="E18249" s="1" t="s">
        <v>12239</v>
      </c>
      <c r="F18249" s="2"/>
      <c r="G18249" s="2"/>
      <c r="H18249" s="2"/>
    </row>
    <row r="18250" spans="1:8" x14ac:dyDescent="0.25">
      <c r="A18250" s="1"/>
      <c r="B18250" s="1" t="s">
        <v>5782</v>
      </c>
      <c r="C18250" s="1" t="s">
        <v>5783</v>
      </c>
      <c r="D18250" s="22" t="str">
        <f>HYPERLINK("https://rhld.insurance.arkansas.gov/NPILookup?Npi=1932350998","1932350998")</f>
        <v>1932350998</v>
      </c>
      <c r="E18250" s="1" t="s">
        <v>1329</v>
      </c>
      <c r="F18250" s="2"/>
      <c r="G18250" s="2"/>
      <c r="H18250" s="2"/>
    </row>
    <row r="18251" spans="1:8" x14ac:dyDescent="0.25">
      <c r="A18251" s="1"/>
      <c r="B18251" s="1" t="s">
        <v>5782</v>
      </c>
      <c r="C18251" s="1" t="s">
        <v>5783</v>
      </c>
      <c r="D18251" s="22" t="str">
        <f>HYPERLINK("https://rhld.insurance.arkansas.gov/NPILookup?Npi=1932357175","1932357175")</f>
        <v>1932357175</v>
      </c>
      <c r="E18251" s="1" t="s">
        <v>3415</v>
      </c>
      <c r="F18251" s="2"/>
      <c r="G18251" s="2"/>
      <c r="H18251" s="2"/>
    </row>
    <row r="18252" spans="1:8" x14ac:dyDescent="0.25">
      <c r="A18252" s="1"/>
      <c r="B18252" s="1" t="s">
        <v>5782</v>
      </c>
      <c r="C18252" s="1" t="s">
        <v>5783</v>
      </c>
      <c r="D18252" s="22" t="str">
        <f>HYPERLINK("https://rhld.insurance.arkansas.gov/NPILookup?Npi=1932358389","1932358389")</f>
        <v>1932358389</v>
      </c>
      <c r="E18252" s="1" t="s">
        <v>23815</v>
      </c>
      <c r="F18252" s="2"/>
      <c r="G18252" s="2"/>
      <c r="H18252" s="2"/>
    </row>
    <row r="18253" spans="1:8" x14ac:dyDescent="0.25">
      <c r="A18253" s="1"/>
      <c r="B18253" s="1" t="s">
        <v>5782</v>
      </c>
      <c r="C18253" s="1" t="s">
        <v>5783</v>
      </c>
      <c r="D18253" s="22" t="str">
        <f>HYPERLINK("https://rhld.insurance.arkansas.gov/NPILookup?Npi=1932358751","1932358751")</f>
        <v>1932358751</v>
      </c>
      <c r="E18253" s="1" t="s">
        <v>23816</v>
      </c>
      <c r="F18253" s="2"/>
      <c r="G18253" s="2"/>
      <c r="H18253" s="2"/>
    </row>
    <row r="18254" spans="1:8" x14ac:dyDescent="0.25">
      <c r="A18254" s="1"/>
      <c r="B18254" s="1" t="s">
        <v>5782</v>
      </c>
      <c r="C18254" s="1" t="s">
        <v>5783</v>
      </c>
      <c r="D18254" s="22" t="str">
        <f>HYPERLINK("https://rhld.insurance.arkansas.gov/NPILookup?Npi=1932374964","1932374964")</f>
        <v>1932374964</v>
      </c>
      <c r="E18254" s="1" t="s">
        <v>23817</v>
      </c>
      <c r="F18254" s="2"/>
      <c r="G18254" s="2"/>
      <c r="H18254" s="2"/>
    </row>
    <row r="18255" spans="1:8" x14ac:dyDescent="0.25">
      <c r="A18255" s="1"/>
      <c r="B18255" s="1" t="s">
        <v>5782</v>
      </c>
      <c r="C18255" s="1" t="s">
        <v>5783</v>
      </c>
      <c r="D18255" s="22" t="str">
        <f>HYPERLINK("https://rhld.insurance.arkansas.gov/NPILookup?Npi=1932387016","1932387016")</f>
        <v>1932387016</v>
      </c>
      <c r="E18255" s="1" t="s">
        <v>23818</v>
      </c>
      <c r="F18255" s="2"/>
      <c r="G18255" s="2"/>
      <c r="H18255" s="2"/>
    </row>
    <row r="18256" spans="1:8" x14ac:dyDescent="0.25">
      <c r="A18256" s="1"/>
      <c r="B18256" s="1" t="s">
        <v>5782</v>
      </c>
      <c r="C18256" s="1" t="s">
        <v>5783</v>
      </c>
      <c r="D18256" s="22" t="str">
        <f>HYPERLINK("https://rhld.insurance.arkansas.gov/NPILookup?Npi=1932389947","1932389947")</f>
        <v>1932389947</v>
      </c>
      <c r="E18256" s="1" t="s">
        <v>23819</v>
      </c>
      <c r="F18256" s="2"/>
      <c r="G18256" s="2"/>
      <c r="H18256" s="2"/>
    </row>
    <row r="18257" spans="1:8" x14ac:dyDescent="0.25">
      <c r="A18257" s="1"/>
      <c r="B18257" s="1" t="s">
        <v>5782</v>
      </c>
      <c r="C18257" s="1" t="s">
        <v>5783</v>
      </c>
      <c r="D18257" s="22" t="str">
        <f>HYPERLINK("https://rhld.insurance.arkansas.gov/NPILookup?Npi=1932393139","1932393139")</f>
        <v>1932393139</v>
      </c>
      <c r="E18257" s="1" t="s">
        <v>23820</v>
      </c>
      <c r="F18257" s="2"/>
      <c r="G18257" s="2"/>
      <c r="H18257" s="2"/>
    </row>
    <row r="18258" spans="1:8" x14ac:dyDescent="0.25">
      <c r="A18258" s="1"/>
      <c r="B18258" s="1" t="s">
        <v>5782</v>
      </c>
      <c r="C18258" s="1" t="s">
        <v>5783</v>
      </c>
      <c r="D18258" s="22" t="str">
        <f>HYPERLINK("https://rhld.insurance.arkansas.gov/NPILookup?Npi=1932398617","1932398617")</f>
        <v>1932398617</v>
      </c>
      <c r="E18258" s="1" t="s">
        <v>23821</v>
      </c>
      <c r="F18258" s="2"/>
      <c r="G18258" s="2"/>
      <c r="H18258" s="2"/>
    </row>
    <row r="18259" spans="1:8" x14ac:dyDescent="0.25">
      <c r="A18259" s="1"/>
      <c r="B18259" s="1" t="s">
        <v>5782</v>
      </c>
      <c r="C18259" s="1" t="s">
        <v>5783</v>
      </c>
      <c r="D18259" s="22" t="str">
        <f>HYPERLINK("https://rhld.insurance.arkansas.gov/NPILookup?Npi=1932406766","1932406766")</f>
        <v>1932406766</v>
      </c>
      <c r="E18259" s="1" t="s">
        <v>23822</v>
      </c>
      <c r="F18259" s="2"/>
      <c r="G18259" s="2"/>
      <c r="H18259" s="2"/>
    </row>
    <row r="18260" spans="1:8" x14ac:dyDescent="0.25">
      <c r="A18260" s="1"/>
      <c r="B18260" s="1" t="s">
        <v>5782</v>
      </c>
      <c r="C18260" s="1" t="s">
        <v>5783</v>
      </c>
      <c r="D18260" s="22" t="str">
        <f>HYPERLINK("https://rhld.insurance.arkansas.gov/NPILookup?Npi=1932408531","1932408531")</f>
        <v>1932408531</v>
      </c>
      <c r="E18260" s="1" t="s">
        <v>379</v>
      </c>
      <c r="F18260" s="2"/>
      <c r="G18260" s="2"/>
      <c r="H18260" s="2"/>
    </row>
    <row r="18261" spans="1:8" x14ac:dyDescent="0.25">
      <c r="A18261" s="1"/>
      <c r="B18261" s="1" t="s">
        <v>5782</v>
      </c>
      <c r="C18261" s="1" t="s">
        <v>5783</v>
      </c>
      <c r="D18261" s="22" t="str">
        <f>HYPERLINK("https://rhld.insurance.arkansas.gov/NPILookup?Npi=1932416237","1932416237")</f>
        <v>1932416237</v>
      </c>
      <c r="E18261" s="1" t="s">
        <v>1256</v>
      </c>
      <c r="F18261" s="2"/>
      <c r="G18261" s="2"/>
      <c r="H18261" s="2"/>
    </row>
    <row r="18262" spans="1:8" x14ac:dyDescent="0.25">
      <c r="A18262" s="1"/>
      <c r="B18262" s="1" t="s">
        <v>5782</v>
      </c>
      <c r="C18262" s="1" t="s">
        <v>5783</v>
      </c>
      <c r="D18262" s="22" t="str">
        <f>HYPERLINK("https://rhld.insurance.arkansas.gov/NPILookup?Npi=1932417631","1932417631")</f>
        <v>1932417631</v>
      </c>
      <c r="E18262" s="1" t="s">
        <v>23823</v>
      </c>
      <c r="F18262" s="2"/>
      <c r="G18262" s="2"/>
      <c r="H18262" s="2"/>
    </row>
    <row r="18263" spans="1:8" x14ac:dyDescent="0.25">
      <c r="A18263" s="1"/>
      <c r="B18263" s="1" t="s">
        <v>5782</v>
      </c>
      <c r="C18263" s="1" t="s">
        <v>5783</v>
      </c>
      <c r="D18263" s="22" t="str">
        <f>HYPERLINK("https://rhld.insurance.arkansas.gov/NPILookup?Npi=1932424827","1932424827")</f>
        <v>1932424827</v>
      </c>
      <c r="E18263" s="1" t="s">
        <v>3416</v>
      </c>
      <c r="F18263" s="2"/>
      <c r="G18263" s="2"/>
      <c r="H18263" s="2"/>
    </row>
    <row r="18264" spans="1:8" x14ac:dyDescent="0.25">
      <c r="A18264" s="1"/>
      <c r="B18264" s="1" t="s">
        <v>5782</v>
      </c>
      <c r="C18264" s="1" t="s">
        <v>5783</v>
      </c>
      <c r="D18264" s="22" t="str">
        <f>HYPERLINK("https://rhld.insurance.arkansas.gov/NPILookup?Npi=1932440799","1932440799")</f>
        <v>1932440799</v>
      </c>
      <c r="E18264" s="1" t="s">
        <v>3417</v>
      </c>
      <c r="F18264" s="2"/>
      <c r="G18264" s="2"/>
      <c r="H18264" s="2"/>
    </row>
    <row r="18265" spans="1:8" x14ac:dyDescent="0.25">
      <c r="A18265" s="1"/>
      <c r="B18265" s="1" t="s">
        <v>5782</v>
      </c>
      <c r="C18265" s="1" t="s">
        <v>5783</v>
      </c>
      <c r="D18265" s="22" t="str">
        <f>HYPERLINK("https://rhld.insurance.arkansas.gov/NPILookup?Npi=1932472537","1932472537")</f>
        <v>1932472537</v>
      </c>
      <c r="E18265" s="1" t="s">
        <v>23824</v>
      </c>
      <c r="F18265" s="2"/>
      <c r="G18265" s="2"/>
      <c r="H18265" s="2"/>
    </row>
    <row r="18266" spans="1:8" x14ac:dyDescent="0.25">
      <c r="A18266" s="1"/>
      <c r="B18266" s="1" t="s">
        <v>5782</v>
      </c>
      <c r="C18266" s="1" t="s">
        <v>5783</v>
      </c>
      <c r="D18266" s="22" t="str">
        <f>HYPERLINK("https://rhld.insurance.arkansas.gov/NPILookup?Npi=1932475993","1932475993")</f>
        <v>1932475993</v>
      </c>
      <c r="E18266" s="1" t="s">
        <v>23825</v>
      </c>
      <c r="F18266" s="2"/>
      <c r="G18266" s="2"/>
      <c r="H18266" s="2"/>
    </row>
    <row r="18267" spans="1:8" x14ac:dyDescent="0.25">
      <c r="A18267" s="1"/>
      <c r="B18267" s="1" t="s">
        <v>5782</v>
      </c>
      <c r="C18267" s="1" t="s">
        <v>5783</v>
      </c>
      <c r="D18267" s="22" t="str">
        <f>HYPERLINK("https://rhld.insurance.arkansas.gov/NPILookup?Npi=1932479003","1932479003")</f>
        <v>1932479003</v>
      </c>
      <c r="E18267" s="1" t="s">
        <v>6783</v>
      </c>
      <c r="F18267" s="2"/>
      <c r="G18267" s="2"/>
      <c r="H18267" s="2"/>
    </row>
    <row r="18268" spans="1:8" x14ac:dyDescent="0.25">
      <c r="A18268" s="1"/>
      <c r="B18268" s="1" t="s">
        <v>5782</v>
      </c>
      <c r="C18268" s="1" t="s">
        <v>5783</v>
      </c>
      <c r="D18268" s="22" t="str">
        <f>HYPERLINK("https://rhld.insurance.arkansas.gov/NPILookup?Npi=1932493921","1932493921")</f>
        <v>1932493921</v>
      </c>
      <c r="E18268" s="1" t="s">
        <v>6784</v>
      </c>
      <c r="F18268" s="2"/>
      <c r="G18268" s="2"/>
      <c r="H18268" s="2"/>
    </row>
    <row r="18269" spans="1:8" x14ac:dyDescent="0.25">
      <c r="A18269" s="1"/>
      <c r="B18269" s="1" t="s">
        <v>5782</v>
      </c>
      <c r="C18269" s="1" t="s">
        <v>5783</v>
      </c>
      <c r="D18269" s="22" t="str">
        <f>HYPERLINK("https://rhld.insurance.arkansas.gov/NPILookup?Npi=1932512068","1932512068")</f>
        <v>1932512068</v>
      </c>
      <c r="E18269" s="1" t="s">
        <v>23826</v>
      </c>
      <c r="F18269" s="2"/>
      <c r="G18269" s="2"/>
      <c r="H18269" s="2"/>
    </row>
    <row r="18270" spans="1:8" x14ac:dyDescent="0.25">
      <c r="A18270" s="1"/>
      <c r="B18270" s="1" t="s">
        <v>5782</v>
      </c>
      <c r="C18270" s="1" t="s">
        <v>5783</v>
      </c>
      <c r="D18270" s="22" t="str">
        <f>HYPERLINK("https://rhld.insurance.arkansas.gov/NPILookup?Npi=1932536471","1932536471")</f>
        <v>1932536471</v>
      </c>
      <c r="E18270" s="1" t="s">
        <v>12241</v>
      </c>
      <c r="F18270" s="2"/>
      <c r="G18270" s="2"/>
      <c r="H18270" s="2"/>
    </row>
    <row r="18271" spans="1:8" x14ac:dyDescent="0.25">
      <c r="A18271" s="1"/>
      <c r="B18271" s="1" t="s">
        <v>5782</v>
      </c>
      <c r="C18271" s="1" t="s">
        <v>5783</v>
      </c>
      <c r="D18271" s="22" t="str">
        <f>HYPERLINK("https://rhld.insurance.arkansas.gov/NPILookup?Npi=1932540192","1932540192")</f>
        <v>1932540192</v>
      </c>
      <c r="E18271" s="1" t="s">
        <v>6785</v>
      </c>
      <c r="F18271" s="2"/>
      <c r="G18271" s="2"/>
      <c r="H18271" s="2"/>
    </row>
    <row r="18272" spans="1:8" x14ac:dyDescent="0.25">
      <c r="A18272" s="1"/>
      <c r="B18272" s="1" t="s">
        <v>5782</v>
      </c>
      <c r="C18272" s="1" t="s">
        <v>5783</v>
      </c>
      <c r="D18272" s="22" t="str">
        <f>HYPERLINK("https://rhld.insurance.arkansas.gov/NPILookup?Npi=1932546371","1932546371")</f>
        <v>1932546371</v>
      </c>
      <c r="E18272" s="1" t="s">
        <v>1341</v>
      </c>
      <c r="F18272" s="2"/>
      <c r="G18272" s="2"/>
      <c r="H18272" s="2"/>
    </row>
    <row r="18273" spans="1:8" x14ac:dyDescent="0.25">
      <c r="A18273" s="1"/>
      <c r="B18273" s="1" t="s">
        <v>5782</v>
      </c>
      <c r="C18273" s="1" t="s">
        <v>5783</v>
      </c>
      <c r="D18273" s="22" t="str">
        <f>HYPERLINK("https://rhld.insurance.arkansas.gov/NPILookup?Npi=1932558467","1932558467")</f>
        <v>1932558467</v>
      </c>
      <c r="E18273" s="1" t="s">
        <v>23827</v>
      </c>
      <c r="F18273" s="2"/>
      <c r="G18273" s="2"/>
      <c r="H18273" s="2"/>
    </row>
    <row r="18274" spans="1:8" x14ac:dyDescent="0.25">
      <c r="A18274" s="1"/>
      <c r="B18274" s="1" t="s">
        <v>5782</v>
      </c>
      <c r="C18274" s="1" t="s">
        <v>5783</v>
      </c>
      <c r="D18274" s="22" t="str">
        <f>HYPERLINK("https://rhld.insurance.arkansas.gov/NPILookup?Npi=1932559671","1932559671")</f>
        <v>1932559671</v>
      </c>
      <c r="E18274" s="1" t="s">
        <v>1892</v>
      </c>
      <c r="F18274" s="2"/>
      <c r="G18274" s="2"/>
      <c r="H18274" s="2"/>
    </row>
    <row r="18275" spans="1:8" x14ac:dyDescent="0.25">
      <c r="A18275" s="1"/>
      <c r="B18275" s="1" t="s">
        <v>5782</v>
      </c>
      <c r="C18275" s="1" t="s">
        <v>5783</v>
      </c>
      <c r="D18275" s="22" t="str">
        <f>HYPERLINK("https://rhld.insurance.arkansas.gov/NPILookup?Npi=1932563095","1932563095")</f>
        <v>1932563095</v>
      </c>
      <c r="E18275" s="1" t="s">
        <v>23828</v>
      </c>
      <c r="F18275" s="2"/>
      <c r="G18275" s="2"/>
      <c r="H18275" s="2"/>
    </row>
    <row r="18276" spans="1:8" x14ac:dyDescent="0.25">
      <c r="A18276" s="1"/>
      <c r="B18276" s="1" t="s">
        <v>5782</v>
      </c>
      <c r="C18276" s="1" t="s">
        <v>5783</v>
      </c>
      <c r="D18276" s="22" t="str">
        <f>HYPERLINK("https://rhld.insurance.arkansas.gov/NPILookup?Npi=1932581386","1932581386")</f>
        <v>1932581386</v>
      </c>
      <c r="E18276" s="1" t="s">
        <v>23829</v>
      </c>
      <c r="F18276" s="2"/>
      <c r="G18276" s="2"/>
      <c r="H18276" s="2"/>
    </row>
    <row r="18277" spans="1:8" x14ac:dyDescent="0.25">
      <c r="A18277" s="1"/>
      <c r="B18277" s="1" t="s">
        <v>5782</v>
      </c>
      <c r="C18277" s="1" t="s">
        <v>5783</v>
      </c>
      <c r="D18277" s="22" t="str">
        <f>HYPERLINK("https://rhld.insurance.arkansas.gov/NPILookup?Npi=1932610524","1932610524")</f>
        <v>1932610524</v>
      </c>
      <c r="E18277" s="1" t="s">
        <v>23830</v>
      </c>
      <c r="F18277" s="2"/>
      <c r="G18277" s="2"/>
      <c r="H18277" s="2"/>
    </row>
    <row r="18278" spans="1:8" x14ac:dyDescent="0.25">
      <c r="A18278" s="1"/>
      <c r="B18278" s="1" t="s">
        <v>5782</v>
      </c>
      <c r="C18278" s="1" t="s">
        <v>5783</v>
      </c>
      <c r="D18278" s="22" t="str">
        <f>HYPERLINK("https://rhld.insurance.arkansas.gov/NPILookup?Npi=1932617123","1932617123")</f>
        <v>1932617123</v>
      </c>
      <c r="E18278" s="1" t="s">
        <v>23831</v>
      </c>
      <c r="F18278" s="2"/>
      <c r="G18278" s="2"/>
      <c r="H18278" s="2"/>
    </row>
    <row r="18279" spans="1:8" x14ac:dyDescent="0.25">
      <c r="A18279" s="1"/>
      <c r="B18279" s="1" t="s">
        <v>5782</v>
      </c>
      <c r="C18279" s="1" t="s">
        <v>5783</v>
      </c>
      <c r="D18279" s="22" t="str">
        <f>HYPERLINK("https://rhld.insurance.arkansas.gov/NPILookup?Npi=1932617875","1932617875")</f>
        <v>1932617875</v>
      </c>
      <c r="E18279" s="1" t="s">
        <v>12242</v>
      </c>
      <c r="F18279" s="2"/>
      <c r="G18279" s="2"/>
      <c r="H18279" s="2"/>
    </row>
    <row r="18280" spans="1:8" x14ac:dyDescent="0.25">
      <c r="A18280" s="1"/>
      <c r="B18280" s="1" t="s">
        <v>5782</v>
      </c>
      <c r="C18280" s="1" t="s">
        <v>5783</v>
      </c>
      <c r="D18280" s="22" t="str">
        <f>HYPERLINK("https://rhld.insurance.arkansas.gov/NPILookup?Npi=1932638954","1932638954")</f>
        <v>1932638954</v>
      </c>
      <c r="E18280" s="1" t="s">
        <v>5935</v>
      </c>
      <c r="F18280" s="2"/>
      <c r="G18280" s="2"/>
      <c r="H18280" s="2"/>
    </row>
    <row r="18281" spans="1:8" x14ac:dyDescent="0.25">
      <c r="A18281" s="1"/>
      <c r="B18281" s="1" t="s">
        <v>5782</v>
      </c>
      <c r="C18281" s="1" t="s">
        <v>5783</v>
      </c>
      <c r="D18281" s="22" t="str">
        <f>HYPERLINK("https://rhld.insurance.arkansas.gov/NPILookup?Npi=1932645439","1932645439")</f>
        <v>1932645439</v>
      </c>
      <c r="E18281" s="1" t="s">
        <v>12243</v>
      </c>
      <c r="F18281" s="2"/>
      <c r="G18281" s="2"/>
      <c r="H18281" s="2"/>
    </row>
    <row r="18282" spans="1:8" x14ac:dyDescent="0.25">
      <c r="A18282" s="1"/>
      <c r="B18282" s="1" t="s">
        <v>5782</v>
      </c>
      <c r="C18282" s="1" t="s">
        <v>5783</v>
      </c>
      <c r="D18282" s="22" t="str">
        <f>HYPERLINK("https://rhld.insurance.arkansas.gov/NPILookup?Npi=1932652047","1932652047")</f>
        <v>1932652047</v>
      </c>
      <c r="E18282" s="1" t="s">
        <v>6786</v>
      </c>
      <c r="F18282" s="2"/>
      <c r="G18282" s="2"/>
      <c r="H18282" s="2"/>
    </row>
    <row r="18283" spans="1:8" x14ac:dyDescent="0.25">
      <c r="A18283" s="1"/>
      <c r="B18283" s="1" t="s">
        <v>5782</v>
      </c>
      <c r="C18283" s="1" t="s">
        <v>5783</v>
      </c>
      <c r="D18283" s="22" t="str">
        <f>HYPERLINK("https://rhld.insurance.arkansas.gov/NPILookup?Npi=1932657541","1932657541")</f>
        <v>1932657541</v>
      </c>
      <c r="E18283" s="1" t="s">
        <v>6948</v>
      </c>
      <c r="F18283" s="2"/>
      <c r="G18283" s="2"/>
      <c r="H18283" s="2"/>
    </row>
    <row r="18284" spans="1:8" x14ac:dyDescent="0.25">
      <c r="A18284" s="1"/>
      <c r="B18284" s="1" t="s">
        <v>5782</v>
      </c>
      <c r="C18284" s="1" t="s">
        <v>5783</v>
      </c>
      <c r="D18284" s="22" t="str">
        <f>HYPERLINK("https://rhld.insurance.arkansas.gov/NPILookup?Npi=1932663002","1932663002")</f>
        <v>1932663002</v>
      </c>
      <c r="E18284" s="1" t="s">
        <v>23832</v>
      </c>
      <c r="F18284" s="2"/>
      <c r="G18284" s="2"/>
      <c r="H18284" s="2"/>
    </row>
    <row r="18285" spans="1:8" x14ac:dyDescent="0.25">
      <c r="A18285" s="1"/>
      <c r="B18285" s="1" t="s">
        <v>5782</v>
      </c>
      <c r="C18285" s="1" t="s">
        <v>5783</v>
      </c>
      <c r="D18285" s="22" t="str">
        <f>HYPERLINK("https://rhld.insurance.arkansas.gov/NPILookup?Npi=1932684040","1932684040")</f>
        <v>1932684040</v>
      </c>
      <c r="E18285" s="1" t="s">
        <v>12244</v>
      </c>
      <c r="F18285" s="2"/>
      <c r="G18285" s="2"/>
      <c r="H18285" s="2"/>
    </row>
    <row r="18286" spans="1:8" x14ac:dyDescent="0.25">
      <c r="A18286" s="1"/>
      <c r="B18286" s="1" t="s">
        <v>5782</v>
      </c>
      <c r="C18286" s="1" t="s">
        <v>5783</v>
      </c>
      <c r="D18286" s="22" t="str">
        <f>HYPERLINK("https://rhld.insurance.arkansas.gov/NPILookup?Npi=1932687274","1932687274")</f>
        <v>1932687274</v>
      </c>
      <c r="E18286" s="1" t="s">
        <v>1048</v>
      </c>
      <c r="F18286" s="2"/>
      <c r="G18286" s="2"/>
      <c r="H18286" s="2"/>
    </row>
    <row r="18287" spans="1:8" x14ac:dyDescent="0.25">
      <c r="A18287" s="1"/>
      <c r="B18287" s="1" t="s">
        <v>5782</v>
      </c>
      <c r="C18287" s="1" t="s">
        <v>5783</v>
      </c>
      <c r="D18287" s="22" t="str">
        <f>HYPERLINK("https://rhld.insurance.arkansas.gov/NPILookup?Npi=1932694171","1932694171")</f>
        <v>1932694171</v>
      </c>
      <c r="E18287" s="1" t="s">
        <v>23833</v>
      </c>
      <c r="F18287" s="2"/>
      <c r="G18287" s="2"/>
      <c r="H18287" s="2"/>
    </row>
    <row r="18288" spans="1:8" x14ac:dyDescent="0.25">
      <c r="A18288" s="1"/>
      <c r="B18288" s="1" t="s">
        <v>5782</v>
      </c>
      <c r="C18288" s="1" t="s">
        <v>5783</v>
      </c>
      <c r="D18288" s="22" t="str">
        <f>HYPERLINK("https://rhld.insurance.arkansas.gov/NPILookup?Npi=1932697018","1932697018")</f>
        <v>1932697018</v>
      </c>
      <c r="E18288" s="1" t="s">
        <v>6787</v>
      </c>
      <c r="F18288" s="2"/>
      <c r="G18288" s="2"/>
      <c r="H18288" s="2"/>
    </row>
    <row r="18289" spans="1:8" x14ac:dyDescent="0.25">
      <c r="A18289" s="1"/>
      <c r="B18289" s="1" t="s">
        <v>5782</v>
      </c>
      <c r="C18289" s="1" t="s">
        <v>5783</v>
      </c>
      <c r="D18289" s="22" t="str">
        <f>HYPERLINK("https://rhld.insurance.arkansas.gov/NPILookup?Npi=1932702131","1932702131")</f>
        <v>1932702131</v>
      </c>
      <c r="E18289" s="1" t="s">
        <v>5994</v>
      </c>
      <c r="F18289" s="2"/>
      <c r="G18289" s="2"/>
      <c r="H18289" s="2"/>
    </row>
    <row r="18290" spans="1:8" x14ac:dyDescent="0.25">
      <c r="A18290" s="1"/>
      <c r="B18290" s="1" t="s">
        <v>5782</v>
      </c>
      <c r="C18290" s="1" t="s">
        <v>5783</v>
      </c>
      <c r="D18290" s="22" t="str">
        <f>HYPERLINK("https://rhld.insurance.arkansas.gov/NPILookup?Npi=1932705084","1932705084")</f>
        <v>1932705084</v>
      </c>
      <c r="E18290" s="1" t="s">
        <v>2523</v>
      </c>
      <c r="F18290" s="2"/>
      <c r="G18290" s="2"/>
      <c r="H18290" s="2"/>
    </row>
    <row r="18291" spans="1:8" x14ac:dyDescent="0.25">
      <c r="A18291" s="1"/>
      <c r="B18291" s="1" t="s">
        <v>5782</v>
      </c>
      <c r="C18291" s="1" t="s">
        <v>5783</v>
      </c>
      <c r="D18291" s="22" t="str">
        <f>HYPERLINK("https://rhld.insurance.arkansas.gov/NPILookup?Npi=1932711009","1932711009")</f>
        <v>1932711009</v>
      </c>
      <c r="E18291" s="1" t="s">
        <v>23834</v>
      </c>
      <c r="F18291" s="2"/>
      <c r="G18291" s="2"/>
      <c r="H18291" s="2"/>
    </row>
    <row r="18292" spans="1:8" x14ac:dyDescent="0.25">
      <c r="A18292" s="1"/>
      <c r="B18292" s="1" t="s">
        <v>5782</v>
      </c>
      <c r="C18292" s="1" t="s">
        <v>5783</v>
      </c>
      <c r="D18292" s="22" t="str">
        <f>HYPERLINK("https://rhld.insurance.arkansas.gov/NPILookup?Npi=1932711215","1932711215")</f>
        <v>1932711215</v>
      </c>
      <c r="E18292" s="1" t="s">
        <v>5674</v>
      </c>
      <c r="F18292" s="2"/>
      <c r="G18292" s="2"/>
      <c r="H18292" s="2"/>
    </row>
    <row r="18293" spans="1:8" x14ac:dyDescent="0.25">
      <c r="A18293" s="1"/>
      <c r="B18293" s="1" t="s">
        <v>5782</v>
      </c>
      <c r="C18293" s="1" t="s">
        <v>5783</v>
      </c>
      <c r="D18293" s="22" t="str">
        <f>HYPERLINK("https://rhld.insurance.arkansas.gov/NPILookup?Npi=1932714144","1932714144")</f>
        <v>1932714144</v>
      </c>
      <c r="E18293" s="1" t="s">
        <v>23835</v>
      </c>
      <c r="F18293" s="2"/>
      <c r="G18293" s="2"/>
      <c r="H18293" s="2"/>
    </row>
    <row r="18294" spans="1:8" x14ac:dyDescent="0.25">
      <c r="A18294" s="1"/>
      <c r="B18294" s="1" t="s">
        <v>5782</v>
      </c>
      <c r="C18294" s="1" t="s">
        <v>5783</v>
      </c>
      <c r="D18294" s="22" t="str">
        <f>HYPERLINK("https://rhld.insurance.arkansas.gov/NPILookup?Npi=1932718400","1932718400")</f>
        <v>1932718400</v>
      </c>
      <c r="E18294" s="1" t="s">
        <v>12246</v>
      </c>
      <c r="F18294" s="2"/>
      <c r="G18294" s="2"/>
      <c r="H18294" s="2"/>
    </row>
    <row r="18295" spans="1:8" x14ac:dyDescent="0.25">
      <c r="A18295" s="1"/>
      <c r="B18295" s="1" t="s">
        <v>5782</v>
      </c>
      <c r="C18295" s="1" t="s">
        <v>5783</v>
      </c>
      <c r="D18295" s="22" t="str">
        <f>HYPERLINK("https://rhld.insurance.arkansas.gov/NPILookup?Npi=1932727682","1932727682")</f>
        <v>1932727682</v>
      </c>
      <c r="E18295" s="1" t="s">
        <v>7694</v>
      </c>
      <c r="F18295" s="2"/>
      <c r="G18295" s="2"/>
      <c r="H18295" s="2"/>
    </row>
    <row r="18296" spans="1:8" x14ac:dyDescent="0.25">
      <c r="A18296" s="1"/>
      <c r="B18296" s="1" t="s">
        <v>5782</v>
      </c>
      <c r="C18296" s="1" t="s">
        <v>5783</v>
      </c>
      <c r="D18296" s="22" t="str">
        <f>HYPERLINK("https://rhld.insurance.arkansas.gov/NPILookup?Npi=1932742400","1932742400")</f>
        <v>1932742400</v>
      </c>
      <c r="E18296" s="1" t="s">
        <v>12247</v>
      </c>
      <c r="F18296" s="2"/>
      <c r="G18296" s="2"/>
      <c r="H18296" s="2"/>
    </row>
    <row r="18297" spans="1:8" x14ac:dyDescent="0.25">
      <c r="A18297" s="1"/>
      <c r="B18297" s="1" t="s">
        <v>5782</v>
      </c>
      <c r="C18297" s="1" t="s">
        <v>5783</v>
      </c>
      <c r="D18297" s="22" t="str">
        <f>HYPERLINK("https://rhld.insurance.arkansas.gov/NPILookup?Npi=1932744455","1932744455")</f>
        <v>1932744455</v>
      </c>
      <c r="E18297" s="1" t="s">
        <v>12248</v>
      </c>
      <c r="F18297" s="2"/>
      <c r="G18297" s="2"/>
      <c r="H18297" s="2"/>
    </row>
    <row r="18298" spans="1:8" x14ac:dyDescent="0.25">
      <c r="A18298" s="1"/>
      <c r="B18298" s="1" t="s">
        <v>5782</v>
      </c>
      <c r="C18298" s="1" t="s">
        <v>5783</v>
      </c>
      <c r="D18298" s="22" t="str">
        <f>HYPERLINK("https://rhld.insurance.arkansas.gov/NPILookup?Npi=1932747656","1932747656")</f>
        <v>1932747656</v>
      </c>
      <c r="E18298" s="1" t="s">
        <v>23836</v>
      </c>
      <c r="F18298" s="2"/>
      <c r="G18298" s="2"/>
      <c r="H18298" s="2"/>
    </row>
    <row r="18299" spans="1:8" x14ac:dyDescent="0.25">
      <c r="A18299" s="1"/>
      <c r="B18299" s="1" t="s">
        <v>5782</v>
      </c>
      <c r="C18299" s="1" t="s">
        <v>5783</v>
      </c>
      <c r="D18299" s="22" t="str">
        <f>HYPERLINK("https://rhld.insurance.arkansas.gov/NPILookup?Npi=1932797859","1932797859")</f>
        <v>1932797859</v>
      </c>
      <c r="E18299" s="1" t="s">
        <v>23837</v>
      </c>
      <c r="F18299" s="2"/>
      <c r="G18299" s="2"/>
      <c r="H18299" s="2"/>
    </row>
    <row r="18300" spans="1:8" x14ac:dyDescent="0.25">
      <c r="A18300" s="1"/>
      <c r="B18300" s="1" t="s">
        <v>5782</v>
      </c>
      <c r="C18300" s="1" t="s">
        <v>5783</v>
      </c>
      <c r="D18300" s="22" t="str">
        <f>HYPERLINK("https://rhld.insurance.arkansas.gov/NPILookup?Npi=1932820859","1932820859")</f>
        <v>1932820859</v>
      </c>
      <c r="E18300" s="1" t="s">
        <v>12249</v>
      </c>
      <c r="F18300" s="2"/>
      <c r="G18300" s="2"/>
      <c r="H18300" s="2"/>
    </row>
    <row r="18301" spans="1:8" x14ac:dyDescent="0.25">
      <c r="A18301" s="1"/>
      <c r="B18301" s="1" t="s">
        <v>5782</v>
      </c>
      <c r="C18301" s="1" t="s">
        <v>5783</v>
      </c>
      <c r="D18301" s="22" t="str">
        <f>HYPERLINK("https://rhld.insurance.arkansas.gov/NPILookup?Npi=1932823358","1932823358")</f>
        <v>1932823358</v>
      </c>
      <c r="E18301" s="1" t="s">
        <v>23838</v>
      </c>
      <c r="F18301" s="2"/>
      <c r="G18301" s="2"/>
      <c r="H18301" s="2"/>
    </row>
    <row r="18302" spans="1:8" x14ac:dyDescent="0.25">
      <c r="A18302" s="1"/>
      <c r="B18302" s="1" t="s">
        <v>5782</v>
      </c>
      <c r="C18302" s="1" t="s">
        <v>5783</v>
      </c>
      <c r="D18302" s="22" t="str">
        <f>HYPERLINK("https://rhld.insurance.arkansas.gov/NPILookup?Npi=1932851557","1932851557")</f>
        <v>1932851557</v>
      </c>
      <c r="E18302" s="1" t="s">
        <v>23839</v>
      </c>
      <c r="F18302" s="2"/>
      <c r="G18302" s="2"/>
      <c r="H18302" s="2"/>
    </row>
    <row r="18303" spans="1:8" x14ac:dyDescent="0.25">
      <c r="A18303" s="1"/>
      <c r="B18303" s="1" t="s">
        <v>5782</v>
      </c>
      <c r="C18303" s="1" t="s">
        <v>5783</v>
      </c>
      <c r="D18303" s="22" t="str">
        <f>HYPERLINK("https://rhld.insurance.arkansas.gov/NPILookup?Npi=1932873247","1932873247")</f>
        <v>1932873247</v>
      </c>
      <c r="E18303" s="1" t="s">
        <v>12250</v>
      </c>
      <c r="F18303" s="2"/>
      <c r="G18303" s="2"/>
      <c r="H18303" s="2"/>
    </row>
    <row r="18304" spans="1:8" x14ac:dyDescent="0.25">
      <c r="A18304" s="1"/>
      <c r="B18304" s="1" t="s">
        <v>5782</v>
      </c>
      <c r="C18304" s="1" t="s">
        <v>5783</v>
      </c>
      <c r="D18304" s="22" t="str">
        <f>HYPERLINK("https://rhld.insurance.arkansas.gov/NPILookup?Npi=1932876000","1932876000")</f>
        <v>1932876000</v>
      </c>
      <c r="E18304" s="1" t="s">
        <v>23840</v>
      </c>
      <c r="F18304" s="2"/>
      <c r="G18304" s="2"/>
      <c r="H18304" s="2"/>
    </row>
    <row r="18305" spans="1:8" x14ac:dyDescent="0.25">
      <c r="A18305" s="1"/>
      <c r="B18305" s="1" t="s">
        <v>5782</v>
      </c>
      <c r="C18305" s="1" t="s">
        <v>5783</v>
      </c>
      <c r="D18305" s="22" t="str">
        <f>HYPERLINK("https://rhld.insurance.arkansas.gov/NPILookup?Npi=1932895836","1932895836")</f>
        <v>1932895836</v>
      </c>
      <c r="E18305" s="1" t="s">
        <v>6788</v>
      </c>
      <c r="F18305" s="2"/>
      <c r="G18305" s="2"/>
      <c r="H18305" s="2"/>
    </row>
    <row r="18306" spans="1:8" x14ac:dyDescent="0.25">
      <c r="A18306" s="1"/>
      <c r="B18306" s="1" t="s">
        <v>5782</v>
      </c>
      <c r="C18306" s="1" t="s">
        <v>5783</v>
      </c>
      <c r="D18306" s="22" t="str">
        <f>HYPERLINK("https://rhld.insurance.arkansas.gov/NPILookup?Npi=1932961513","1932961513")</f>
        <v>1932961513</v>
      </c>
      <c r="E18306" s="1" t="s">
        <v>23841</v>
      </c>
      <c r="F18306" s="2"/>
      <c r="G18306" s="2"/>
      <c r="H18306" s="2"/>
    </row>
    <row r="18307" spans="1:8" x14ac:dyDescent="0.25">
      <c r="A18307" s="1"/>
      <c r="B18307" s="1" t="s">
        <v>5782</v>
      </c>
      <c r="C18307" s="1" t="s">
        <v>5783</v>
      </c>
      <c r="D18307" s="22" t="str">
        <f>HYPERLINK("https://rhld.insurance.arkansas.gov/NPILookup?Npi=1942040084","1942040084")</f>
        <v>1942040084</v>
      </c>
      <c r="E18307" s="1" t="s">
        <v>23842</v>
      </c>
      <c r="F18307" s="2"/>
      <c r="G18307" s="2"/>
      <c r="H18307" s="2"/>
    </row>
    <row r="18308" spans="1:8" x14ac:dyDescent="0.25">
      <c r="A18308" s="1"/>
      <c r="B18308" s="1" t="s">
        <v>5782</v>
      </c>
      <c r="C18308" s="1" t="s">
        <v>5783</v>
      </c>
      <c r="D18308" s="22" t="str">
        <f>HYPERLINK("https://rhld.insurance.arkansas.gov/NPILookup?Npi=1942064001","1942064001")</f>
        <v>1942064001</v>
      </c>
      <c r="E18308" s="1" t="s">
        <v>6789</v>
      </c>
      <c r="F18308" s="2"/>
      <c r="G18308" s="2"/>
      <c r="H18308" s="2"/>
    </row>
    <row r="18309" spans="1:8" x14ac:dyDescent="0.25">
      <c r="A18309" s="1"/>
      <c r="B18309" s="1" t="s">
        <v>5782</v>
      </c>
      <c r="C18309" s="1" t="s">
        <v>5783</v>
      </c>
      <c r="D18309" s="22" t="str">
        <f>HYPERLINK("https://rhld.insurance.arkansas.gov/NPILookup?Npi=1942075452","1942075452")</f>
        <v>1942075452</v>
      </c>
      <c r="E18309" s="1" t="s">
        <v>6790</v>
      </c>
      <c r="F18309" s="2"/>
      <c r="G18309" s="2"/>
      <c r="H18309" s="2"/>
    </row>
    <row r="18310" spans="1:8" x14ac:dyDescent="0.25">
      <c r="A18310" s="1"/>
      <c r="B18310" s="1" t="s">
        <v>5782</v>
      </c>
      <c r="C18310" s="1" t="s">
        <v>5783</v>
      </c>
      <c r="D18310" s="22" t="str">
        <f>HYPERLINK("https://rhld.insurance.arkansas.gov/NPILookup?Npi=1942236047","1942236047")</f>
        <v>1942236047</v>
      </c>
      <c r="E18310" s="1" t="s">
        <v>1255</v>
      </c>
      <c r="F18310" s="2"/>
      <c r="G18310" s="2"/>
      <c r="H18310" s="2"/>
    </row>
    <row r="18311" spans="1:8" x14ac:dyDescent="0.25">
      <c r="A18311" s="1"/>
      <c r="B18311" s="1" t="s">
        <v>5782</v>
      </c>
      <c r="C18311" s="1" t="s">
        <v>5783</v>
      </c>
      <c r="D18311" s="22" t="str">
        <f>HYPERLINK("https://rhld.insurance.arkansas.gov/NPILookup?Npi=1942243571","1942243571")</f>
        <v>1942243571</v>
      </c>
      <c r="E18311" s="1" t="s">
        <v>12251</v>
      </c>
      <c r="F18311" s="2"/>
      <c r="G18311" s="2"/>
      <c r="H18311" s="2"/>
    </row>
    <row r="18312" spans="1:8" x14ac:dyDescent="0.25">
      <c r="A18312" s="1"/>
      <c r="B18312" s="1" t="s">
        <v>5782</v>
      </c>
      <c r="C18312" s="1" t="s">
        <v>5783</v>
      </c>
      <c r="D18312" s="22" t="str">
        <f>HYPERLINK("https://rhld.insurance.arkansas.gov/NPILookup?Npi=1942255336","1942255336")</f>
        <v>1942255336</v>
      </c>
      <c r="E18312" s="1" t="s">
        <v>23843</v>
      </c>
      <c r="F18312" s="2"/>
      <c r="G18312" s="2"/>
      <c r="H18312" s="2"/>
    </row>
    <row r="18313" spans="1:8" x14ac:dyDescent="0.25">
      <c r="A18313" s="1"/>
      <c r="B18313" s="1" t="s">
        <v>5782</v>
      </c>
      <c r="C18313" s="1" t="s">
        <v>5783</v>
      </c>
      <c r="D18313" s="22" t="str">
        <f>HYPERLINK("https://rhld.insurance.arkansas.gov/NPILookup?Npi=1942257563","1942257563")</f>
        <v>1942257563</v>
      </c>
      <c r="E18313" s="1" t="s">
        <v>23844</v>
      </c>
      <c r="F18313" s="2"/>
      <c r="G18313" s="2"/>
      <c r="H18313" s="2"/>
    </row>
    <row r="18314" spans="1:8" x14ac:dyDescent="0.25">
      <c r="A18314" s="1"/>
      <c r="B18314" s="1" t="s">
        <v>5782</v>
      </c>
      <c r="C18314" s="1" t="s">
        <v>5783</v>
      </c>
      <c r="D18314" s="22" t="str">
        <f>HYPERLINK("https://rhld.insurance.arkansas.gov/NPILookup?Npi=1942266309","1942266309")</f>
        <v>1942266309</v>
      </c>
      <c r="E18314" s="1" t="s">
        <v>1060</v>
      </c>
      <c r="F18314" s="2"/>
      <c r="G18314" s="2"/>
      <c r="H18314" s="2"/>
    </row>
    <row r="18315" spans="1:8" x14ac:dyDescent="0.25">
      <c r="A18315" s="1"/>
      <c r="B18315" s="1" t="s">
        <v>5782</v>
      </c>
      <c r="C18315" s="1" t="s">
        <v>5783</v>
      </c>
      <c r="D18315" s="22" t="str">
        <f>HYPERLINK("https://rhld.insurance.arkansas.gov/NPILookup?Npi=1942315627","1942315627")</f>
        <v>1942315627</v>
      </c>
      <c r="E18315" s="1" t="s">
        <v>6791</v>
      </c>
      <c r="F18315" s="2"/>
      <c r="G18315" s="2"/>
      <c r="H18315" s="2"/>
    </row>
    <row r="18316" spans="1:8" x14ac:dyDescent="0.25">
      <c r="A18316" s="1"/>
      <c r="B18316" s="1" t="s">
        <v>5782</v>
      </c>
      <c r="C18316" s="1" t="s">
        <v>5783</v>
      </c>
      <c r="D18316" s="22" t="str">
        <f>HYPERLINK("https://rhld.insurance.arkansas.gov/NPILookup?Npi=1942333687","1942333687")</f>
        <v>1942333687</v>
      </c>
      <c r="E18316" s="1" t="s">
        <v>31974</v>
      </c>
      <c r="F18316" s="2"/>
      <c r="G18316" s="2"/>
      <c r="H18316" s="2"/>
    </row>
    <row r="18317" spans="1:8" x14ac:dyDescent="0.25">
      <c r="A18317" s="1"/>
      <c r="B18317" s="1" t="s">
        <v>5782</v>
      </c>
      <c r="C18317" s="1" t="s">
        <v>5783</v>
      </c>
      <c r="D18317" s="22" t="str">
        <f>HYPERLINK("https://rhld.insurance.arkansas.gov/NPILookup?Npi=1942337613","1942337613")</f>
        <v>1942337613</v>
      </c>
      <c r="E18317" s="1" t="s">
        <v>23845</v>
      </c>
      <c r="F18317" s="2"/>
      <c r="G18317" s="2"/>
      <c r="H18317" s="2"/>
    </row>
    <row r="18318" spans="1:8" x14ac:dyDescent="0.25">
      <c r="A18318" s="1"/>
      <c r="B18318" s="1" t="s">
        <v>5782</v>
      </c>
      <c r="C18318" s="1" t="s">
        <v>5783</v>
      </c>
      <c r="D18318" s="22" t="str">
        <f>HYPERLINK("https://rhld.insurance.arkansas.gov/NPILookup?Npi=1942349105","1942349105")</f>
        <v>1942349105</v>
      </c>
      <c r="E18318" s="1" t="s">
        <v>23846</v>
      </c>
      <c r="F18318" s="2"/>
      <c r="G18318" s="2"/>
      <c r="H18318" s="2"/>
    </row>
    <row r="18319" spans="1:8" x14ac:dyDescent="0.25">
      <c r="A18319" s="1"/>
      <c r="B18319" s="1" t="s">
        <v>5782</v>
      </c>
      <c r="C18319" s="1" t="s">
        <v>5783</v>
      </c>
      <c r="D18319" s="22" t="str">
        <f>HYPERLINK("https://rhld.insurance.arkansas.gov/NPILookup?Npi=1942391792","1942391792")</f>
        <v>1942391792</v>
      </c>
      <c r="E18319" s="1" t="s">
        <v>6792</v>
      </c>
      <c r="F18319" s="2"/>
      <c r="G18319" s="2"/>
      <c r="H18319" s="2"/>
    </row>
    <row r="18320" spans="1:8" x14ac:dyDescent="0.25">
      <c r="A18320" s="1"/>
      <c r="B18320" s="1" t="s">
        <v>5782</v>
      </c>
      <c r="C18320" s="1" t="s">
        <v>5783</v>
      </c>
      <c r="D18320" s="22" t="str">
        <f>HYPERLINK("https://rhld.insurance.arkansas.gov/NPILookup?Npi=1942416557","1942416557")</f>
        <v>1942416557</v>
      </c>
      <c r="E18320" s="1" t="s">
        <v>23847</v>
      </c>
      <c r="F18320" s="2"/>
      <c r="G18320" s="2"/>
      <c r="H18320" s="2"/>
    </row>
    <row r="18321" spans="1:8" x14ac:dyDescent="0.25">
      <c r="A18321" s="1"/>
      <c r="B18321" s="1" t="s">
        <v>5782</v>
      </c>
      <c r="C18321" s="1" t="s">
        <v>5783</v>
      </c>
      <c r="D18321" s="22" t="str">
        <f>HYPERLINK("https://rhld.insurance.arkansas.gov/NPILookup?Npi=1942456629","1942456629")</f>
        <v>1942456629</v>
      </c>
      <c r="E18321" s="1" t="s">
        <v>23848</v>
      </c>
      <c r="F18321" s="2"/>
      <c r="G18321" s="2"/>
      <c r="H18321" s="2"/>
    </row>
    <row r="18322" spans="1:8" x14ac:dyDescent="0.25">
      <c r="A18322" s="1"/>
      <c r="B18322" s="1" t="s">
        <v>5782</v>
      </c>
      <c r="C18322" s="1" t="s">
        <v>5783</v>
      </c>
      <c r="D18322" s="22" t="str">
        <f>HYPERLINK("https://rhld.insurance.arkansas.gov/NPILookup?Npi=1942481825","1942481825")</f>
        <v>1942481825</v>
      </c>
      <c r="E18322" s="1" t="s">
        <v>23849</v>
      </c>
      <c r="F18322" s="2"/>
      <c r="G18322" s="2"/>
      <c r="H18322" s="2"/>
    </row>
    <row r="18323" spans="1:8" x14ac:dyDescent="0.25">
      <c r="A18323" s="1"/>
      <c r="B18323" s="1" t="s">
        <v>5782</v>
      </c>
      <c r="C18323" s="1" t="s">
        <v>5783</v>
      </c>
      <c r="D18323" s="22" t="str">
        <f>HYPERLINK("https://rhld.insurance.arkansas.gov/NPILookup?Npi=1942508999","1942508999")</f>
        <v>1942508999</v>
      </c>
      <c r="E18323" s="1" t="s">
        <v>6794</v>
      </c>
      <c r="F18323" s="2"/>
      <c r="G18323" s="2"/>
      <c r="H18323" s="2"/>
    </row>
    <row r="18324" spans="1:8" x14ac:dyDescent="0.25">
      <c r="A18324" s="1"/>
      <c r="B18324" s="1" t="s">
        <v>5782</v>
      </c>
      <c r="C18324" s="1" t="s">
        <v>5783</v>
      </c>
      <c r="D18324" s="22" t="str">
        <f>HYPERLINK("https://rhld.insurance.arkansas.gov/NPILookup?Npi=1942516539","1942516539")</f>
        <v>1942516539</v>
      </c>
      <c r="E18324" s="1" t="s">
        <v>31975</v>
      </c>
      <c r="F18324" s="2"/>
      <c r="G18324" s="2"/>
      <c r="H18324" s="2"/>
    </row>
    <row r="18325" spans="1:8" x14ac:dyDescent="0.25">
      <c r="A18325" s="1"/>
      <c r="B18325" s="1" t="s">
        <v>5782</v>
      </c>
      <c r="C18325" s="1" t="s">
        <v>5783</v>
      </c>
      <c r="D18325" s="22" t="str">
        <f>HYPERLINK("https://rhld.insurance.arkansas.gov/NPILookup?Npi=1942526645","1942526645")</f>
        <v>1942526645</v>
      </c>
      <c r="E18325" s="1" t="s">
        <v>3419</v>
      </c>
      <c r="F18325" s="2"/>
      <c r="G18325" s="2"/>
      <c r="H18325" s="2"/>
    </row>
    <row r="18326" spans="1:8" x14ac:dyDescent="0.25">
      <c r="A18326" s="1"/>
      <c r="B18326" s="1" t="s">
        <v>5782</v>
      </c>
      <c r="C18326" s="1" t="s">
        <v>5783</v>
      </c>
      <c r="D18326" s="22" t="str">
        <f>HYPERLINK("https://rhld.insurance.arkansas.gov/NPILookup?Npi=1942528864","1942528864")</f>
        <v>1942528864</v>
      </c>
      <c r="E18326" s="1" t="s">
        <v>23850</v>
      </c>
      <c r="F18326" s="2"/>
      <c r="G18326" s="2"/>
      <c r="H18326" s="2"/>
    </row>
    <row r="18327" spans="1:8" x14ac:dyDescent="0.25">
      <c r="A18327" s="1"/>
      <c r="B18327" s="1" t="s">
        <v>5782</v>
      </c>
      <c r="C18327" s="1" t="s">
        <v>5783</v>
      </c>
      <c r="D18327" s="22" t="str">
        <f>HYPERLINK("https://rhld.insurance.arkansas.gov/NPILookup?Npi=1942554233","1942554233")</f>
        <v>1942554233</v>
      </c>
      <c r="E18327" s="1" t="s">
        <v>16665</v>
      </c>
      <c r="F18327" s="2"/>
      <c r="G18327" s="2"/>
      <c r="H18327" s="2"/>
    </row>
    <row r="18328" spans="1:8" x14ac:dyDescent="0.25">
      <c r="A18328" s="1"/>
      <c r="B18328" s="1" t="s">
        <v>5782</v>
      </c>
      <c r="C18328" s="1" t="s">
        <v>5783</v>
      </c>
      <c r="D18328" s="22" t="str">
        <f>HYPERLINK("https://rhld.insurance.arkansas.gov/NPILookup?Npi=1942564182","1942564182")</f>
        <v>1942564182</v>
      </c>
      <c r="E18328" s="1" t="s">
        <v>12252</v>
      </c>
      <c r="F18328" s="2"/>
      <c r="G18328" s="2"/>
      <c r="H18328" s="2"/>
    </row>
    <row r="18329" spans="1:8" x14ac:dyDescent="0.25">
      <c r="A18329" s="1"/>
      <c r="B18329" s="1" t="s">
        <v>5782</v>
      </c>
      <c r="C18329" s="1" t="s">
        <v>5783</v>
      </c>
      <c r="D18329" s="22" t="str">
        <f>HYPERLINK("https://rhld.insurance.arkansas.gov/NPILookup?Npi=1942572383","1942572383")</f>
        <v>1942572383</v>
      </c>
      <c r="E18329" s="1" t="s">
        <v>16397</v>
      </c>
      <c r="F18329" s="2"/>
      <c r="G18329" s="2"/>
      <c r="H18329" s="2"/>
    </row>
    <row r="18330" spans="1:8" x14ac:dyDescent="0.25">
      <c r="A18330" s="1"/>
      <c r="B18330" s="1" t="s">
        <v>5782</v>
      </c>
      <c r="C18330" s="1" t="s">
        <v>5783</v>
      </c>
      <c r="D18330" s="22" t="str">
        <f>HYPERLINK("https://rhld.insurance.arkansas.gov/NPILookup?Npi=1942574645","1942574645")</f>
        <v>1942574645</v>
      </c>
      <c r="E18330" s="1" t="s">
        <v>11577</v>
      </c>
      <c r="F18330" s="2"/>
      <c r="G18330" s="2"/>
      <c r="H18330" s="2"/>
    </row>
    <row r="18331" spans="1:8" x14ac:dyDescent="0.25">
      <c r="A18331" s="1"/>
      <c r="B18331" s="1" t="s">
        <v>5782</v>
      </c>
      <c r="C18331" s="1" t="s">
        <v>5783</v>
      </c>
      <c r="D18331" s="22" t="str">
        <f>HYPERLINK("https://rhld.insurance.arkansas.gov/NPILookup?Npi=1942589031","1942589031")</f>
        <v>1942589031</v>
      </c>
      <c r="E18331" s="1" t="s">
        <v>12253</v>
      </c>
      <c r="F18331" s="2"/>
      <c r="G18331" s="2"/>
      <c r="H18331" s="2"/>
    </row>
    <row r="18332" spans="1:8" x14ac:dyDescent="0.25">
      <c r="A18332" s="1"/>
      <c r="B18332" s="1" t="s">
        <v>5782</v>
      </c>
      <c r="C18332" s="1" t="s">
        <v>5783</v>
      </c>
      <c r="D18332" s="22" t="str">
        <f>HYPERLINK("https://rhld.insurance.arkansas.gov/NPILookup?Npi=1942612700","1942612700")</f>
        <v>1942612700</v>
      </c>
      <c r="E18332" s="1" t="s">
        <v>12254</v>
      </c>
      <c r="F18332" s="2"/>
      <c r="G18332" s="2"/>
      <c r="H18332" s="2"/>
    </row>
    <row r="18333" spans="1:8" x14ac:dyDescent="0.25">
      <c r="A18333" s="1"/>
      <c r="B18333" s="1" t="s">
        <v>5782</v>
      </c>
      <c r="C18333" s="1" t="s">
        <v>5783</v>
      </c>
      <c r="D18333" s="22" t="str">
        <f>HYPERLINK("https://rhld.insurance.arkansas.gov/NPILookup?Npi=1942626619","1942626619")</f>
        <v>1942626619</v>
      </c>
      <c r="E18333" s="1" t="s">
        <v>23851</v>
      </c>
      <c r="F18333" s="2"/>
      <c r="G18333" s="2"/>
      <c r="H18333" s="2"/>
    </row>
    <row r="18334" spans="1:8" x14ac:dyDescent="0.25">
      <c r="A18334" s="1"/>
      <c r="B18334" s="1" t="s">
        <v>5782</v>
      </c>
      <c r="C18334" s="1" t="s">
        <v>5783</v>
      </c>
      <c r="D18334" s="22" t="str">
        <f>HYPERLINK("https://rhld.insurance.arkansas.gov/NPILookup?Npi=1942647581","1942647581")</f>
        <v>1942647581</v>
      </c>
      <c r="E18334" s="1" t="s">
        <v>23852</v>
      </c>
      <c r="F18334" s="2"/>
      <c r="G18334" s="2"/>
      <c r="H18334" s="2"/>
    </row>
    <row r="18335" spans="1:8" x14ac:dyDescent="0.25">
      <c r="A18335" s="1"/>
      <c r="B18335" s="1" t="s">
        <v>5782</v>
      </c>
      <c r="C18335" s="1" t="s">
        <v>5783</v>
      </c>
      <c r="D18335" s="22" t="str">
        <f>HYPERLINK("https://rhld.insurance.arkansas.gov/NPILookup?Npi=1942681895","1942681895")</f>
        <v>1942681895</v>
      </c>
      <c r="E18335" s="1" t="s">
        <v>12255</v>
      </c>
      <c r="F18335" s="2"/>
      <c r="G18335" s="2"/>
      <c r="H18335" s="2"/>
    </row>
    <row r="18336" spans="1:8" x14ac:dyDescent="0.25">
      <c r="A18336" s="1"/>
      <c r="B18336" s="1" t="s">
        <v>5782</v>
      </c>
      <c r="C18336" s="1" t="s">
        <v>5783</v>
      </c>
      <c r="D18336" s="22" t="str">
        <f>HYPERLINK("https://rhld.insurance.arkansas.gov/NPILookup?Npi=1942686308","1942686308")</f>
        <v>1942686308</v>
      </c>
      <c r="E18336" s="1" t="s">
        <v>23853</v>
      </c>
      <c r="F18336" s="2"/>
      <c r="G18336" s="2"/>
      <c r="H18336" s="2"/>
    </row>
    <row r="18337" spans="1:8" x14ac:dyDescent="0.25">
      <c r="A18337" s="1"/>
      <c r="B18337" s="1" t="s">
        <v>5782</v>
      </c>
      <c r="C18337" s="1" t="s">
        <v>5783</v>
      </c>
      <c r="D18337" s="22" t="str">
        <f>HYPERLINK("https://rhld.insurance.arkansas.gov/NPILookup?Npi=1942695572","1942695572")</f>
        <v>1942695572</v>
      </c>
      <c r="E18337" s="1" t="s">
        <v>23854</v>
      </c>
      <c r="F18337" s="2"/>
      <c r="G18337" s="2"/>
      <c r="H18337" s="2"/>
    </row>
    <row r="18338" spans="1:8" x14ac:dyDescent="0.25">
      <c r="A18338" s="1"/>
      <c r="B18338" s="1" t="s">
        <v>5782</v>
      </c>
      <c r="C18338" s="1" t="s">
        <v>5783</v>
      </c>
      <c r="D18338" s="22" t="str">
        <f>HYPERLINK("https://rhld.insurance.arkansas.gov/NPILookup?Npi=1942707237","1942707237")</f>
        <v>1942707237</v>
      </c>
      <c r="E18338" s="1" t="s">
        <v>23855</v>
      </c>
      <c r="F18338" s="2"/>
      <c r="G18338" s="2"/>
      <c r="H18338" s="2"/>
    </row>
    <row r="18339" spans="1:8" x14ac:dyDescent="0.25">
      <c r="A18339" s="1"/>
      <c r="B18339" s="1" t="s">
        <v>5782</v>
      </c>
      <c r="C18339" s="1" t="s">
        <v>5783</v>
      </c>
      <c r="D18339" s="22" t="str">
        <f>HYPERLINK("https://rhld.insurance.arkansas.gov/NPILookup?Npi=1942715313","1942715313")</f>
        <v>1942715313</v>
      </c>
      <c r="E18339" s="1" t="s">
        <v>6795</v>
      </c>
      <c r="F18339" s="2"/>
      <c r="G18339" s="2"/>
      <c r="H18339" s="2"/>
    </row>
    <row r="18340" spans="1:8" x14ac:dyDescent="0.25">
      <c r="A18340" s="1"/>
      <c r="B18340" s="1" t="s">
        <v>5782</v>
      </c>
      <c r="C18340" s="1" t="s">
        <v>5783</v>
      </c>
      <c r="D18340" s="22" t="str">
        <f>HYPERLINK("https://rhld.insurance.arkansas.gov/NPILookup?Npi=1942718549","1942718549")</f>
        <v>1942718549</v>
      </c>
      <c r="E18340" s="1" t="s">
        <v>1064</v>
      </c>
      <c r="F18340" s="2"/>
      <c r="G18340" s="2"/>
      <c r="H18340" s="2"/>
    </row>
    <row r="18341" spans="1:8" x14ac:dyDescent="0.25">
      <c r="A18341" s="1"/>
      <c r="B18341" s="1" t="s">
        <v>5782</v>
      </c>
      <c r="C18341" s="1" t="s">
        <v>5783</v>
      </c>
      <c r="D18341" s="22" t="str">
        <f>HYPERLINK("https://rhld.insurance.arkansas.gov/NPILookup?Npi=1942718978","1942718978")</f>
        <v>1942718978</v>
      </c>
      <c r="E18341" s="1" t="s">
        <v>2427</v>
      </c>
      <c r="F18341" s="2"/>
      <c r="G18341" s="2"/>
      <c r="H18341" s="2"/>
    </row>
    <row r="18342" spans="1:8" x14ac:dyDescent="0.25">
      <c r="A18342" s="1"/>
      <c r="B18342" s="1" t="s">
        <v>5782</v>
      </c>
      <c r="C18342" s="1" t="s">
        <v>5783</v>
      </c>
      <c r="D18342" s="22" t="str">
        <f>HYPERLINK("https://rhld.insurance.arkansas.gov/NPILookup?Npi=1942729397","1942729397")</f>
        <v>1942729397</v>
      </c>
      <c r="E18342" s="1" t="s">
        <v>23856</v>
      </c>
      <c r="F18342" s="2"/>
      <c r="G18342" s="2"/>
      <c r="H18342" s="2"/>
    </row>
    <row r="18343" spans="1:8" x14ac:dyDescent="0.25">
      <c r="A18343" s="1"/>
      <c r="B18343" s="1" t="s">
        <v>5782</v>
      </c>
      <c r="C18343" s="1" t="s">
        <v>5783</v>
      </c>
      <c r="D18343" s="22" t="str">
        <f>HYPERLINK("https://rhld.insurance.arkansas.gov/NPILookup?Npi=1942731252","1942731252")</f>
        <v>1942731252</v>
      </c>
      <c r="E18343" s="1" t="s">
        <v>12256</v>
      </c>
      <c r="F18343" s="2"/>
      <c r="G18343" s="2"/>
      <c r="H18343" s="2"/>
    </row>
    <row r="18344" spans="1:8" x14ac:dyDescent="0.25">
      <c r="A18344" s="1"/>
      <c r="B18344" s="1" t="s">
        <v>5782</v>
      </c>
      <c r="C18344" s="1" t="s">
        <v>5783</v>
      </c>
      <c r="D18344" s="22" t="str">
        <f>HYPERLINK("https://rhld.insurance.arkansas.gov/NPILookup?Npi=1942764402","1942764402")</f>
        <v>1942764402</v>
      </c>
      <c r="E18344" s="1" t="s">
        <v>6796</v>
      </c>
      <c r="F18344" s="2"/>
      <c r="G18344" s="2"/>
      <c r="H18344" s="2"/>
    </row>
    <row r="18345" spans="1:8" x14ac:dyDescent="0.25">
      <c r="A18345" s="1"/>
      <c r="B18345" s="1" t="s">
        <v>5782</v>
      </c>
      <c r="C18345" s="1" t="s">
        <v>5783</v>
      </c>
      <c r="D18345" s="22" t="str">
        <f>HYPERLINK("https://rhld.insurance.arkansas.gov/NPILookup?Npi=1942787395","1942787395")</f>
        <v>1942787395</v>
      </c>
      <c r="E18345" s="1" t="s">
        <v>23857</v>
      </c>
      <c r="F18345" s="2"/>
      <c r="G18345" s="2"/>
      <c r="H18345" s="2"/>
    </row>
    <row r="18346" spans="1:8" x14ac:dyDescent="0.25">
      <c r="A18346" s="1"/>
      <c r="B18346" s="1" t="s">
        <v>5782</v>
      </c>
      <c r="C18346" s="1" t="s">
        <v>5783</v>
      </c>
      <c r="D18346" s="22" t="str">
        <f>HYPERLINK("https://rhld.insurance.arkansas.gov/NPILookup?Npi=1942792130","1942792130")</f>
        <v>1942792130</v>
      </c>
      <c r="E18346" s="1" t="s">
        <v>6797</v>
      </c>
      <c r="F18346" s="2"/>
      <c r="G18346" s="2"/>
      <c r="H18346" s="2"/>
    </row>
    <row r="18347" spans="1:8" x14ac:dyDescent="0.25">
      <c r="A18347" s="1"/>
      <c r="B18347" s="1" t="s">
        <v>5782</v>
      </c>
      <c r="C18347" s="1" t="s">
        <v>5783</v>
      </c>
      <c r="D18347" s="22" t="str">
        <f>HYPERLINK("https://rhld.insurance.arkansas.gov/NPILookup?Npi=1942806658","1942806658")</f>
        <v>1942806658</v>
      </c>
      <c r="E18347" s="1" t="s">
        <v>6798</v>
      </c>
      <c r="F18347" s="2"/>
      <c r="G18347" s="2"/>
      <c r="H18347" s="2"/>
    </row>
    <row r="18348" spans="1:8" x14ac:dyDescent="0.25">
      <c r="A18348" s="1"/>
      <c r="B18348" s="1" t="s">
        <v>5782</v>
      </c>
      <c r="C18348" s="1" t="s">
        <v>5783</v>
      </c>
      <c r="D18348" s="22" t="str">
        <f>HYPERLINK("https://rhld.insurance.arkansas.gov/NPILookup?Npi=1942822465","1942822465")</f>
        <v>1942822465</v>
      </c>
      <c r="E18348" s="1" t="s">
        <v>23858</v>
      </c>
      <c r="F18348" s="2"/>
      <c r="G18348" s="2"/>
      <c r="H18348" s="2"/>
    </row>
    <row r="18349" spans="1:8" x14ac:dyDescent="0.25">
      <c r="A18349" s="1"/>
      <c r="B18349" s="1" t="s">
        <v>5782</v>
      </c>
      <c r="C18349" s="1" t="s">
        <v>5783</v>
      </c>
      <c r="D18349" s="22" t="str">
        <f>HYPERLINK("https://rhld.insurance.arkansas.gov/NPILookup?Npi=1942853791","1942853791")</f>
        <v>1942853791</v>
      </c>
      <c r="E18349" s="1" t="s">
        <v>23859</v>
      </c>
      <c r="F18349" s="2"/>
      <c r="G18349" s="2"/>
      <c r="H18349" s="2"/>
    </row>
    <row r="18350" spans="1:8" x14ac:dyDescent="0.25">
      <c r="A18350" s="1"/>
      <c r="B18350" s="1" t="s">
        <v>5782</v>
      </c>
      <c r="C18350" s="1" t="s">
        <v>5783</v>
      </c>
      <c r="D18350" s="22" t="str">
        <f>HYPERLINK("https://rhld.insurance.arkansas.gov/NPILookup?Npi=1942857776","1942857776")</f>
        <v>1942857776</v>
      </c>
      <c r="E18350" s="1" t="s">
        <v>12217</v>
      </c>
      <c r="F18350" s="2"/>
      <c r="G18350" s="2"/>
      <c r="H18350" s="2"/>
    </row>
    <row r="18351" spans="1:8" x14ac:dyDescent="0.25">
      <c r="A18351" s="1"/>
      <c r="B18351" s="1" t="s">
        <v>5782</v>
      </c>
      <c r="C18351" s="1" t="s">
        <v>5783</v>
      </c>
      <c r="D18351" s="22" t="str">
        <f>HYPERLINK("https://rhld.insurance.arkansas.gov/NPILookup?Npi=1942872775","1942872775")</f>
        <v>1942872775</v>
      </c>
      <c r="E18351" s="1" t="s">
        <v>12257</v>
      </c>
      <c r="F18351" s="2"/>
      <c r="G18351" s="2"/>
      <c r="H18351" s="2"/>
    </row>
    <row r="18352" spans="1:8" x14ac:dyDescent="0.25">
      <c r="A18352" s="1"/>
      <c r="B18352" s="1" t="s">
        <v>5782</v>
      </c>
      <c r="C18352" s="1" t="s">
        <v>5783</v>
      </c>
      <c r="D18352" s="22" t="str">
        <f>HYPERLINK("https://rhld.insurance.arkansas.gov/NPILookup?Npi=1942875927","1942875927")</f>
        <v>1942875927</v>
      </c>
      <c r="E18352" s="1" t="s">
        <v>23860</v>
      </c>
      <c r="F18352" s="2"/>
      <c r="G18352" s="2"/>
      <c r="H18352" s="2"/>
    </row>
    <row r="18353" spans="1:8" x14ac:dyDescent="0.25">
      <c r="A18353" s="1"/>
      <c r="B18353" s="1" t="s">
        <v>5782</v>
      </c>
      <c r="C18353" s="1" t="s">
        <v>5783</v>
      </c>
      <c r="D18353" s="22" t="str">
        <f>HYPERLINK("https://rhld.insurance.arkansas.gov/NPILookup?Npi=1942877824","1942877824")</f>
        <v>1942877824</v>
      </c>
      <c r="E18353" s="1" t="s">
        <v>31976</v>
      </c>
      <c r="F18353" s="2"/>
      <c r="G18353" s="2"/>
      <c r="H18353" s="2"/>
    </row>
    <row r="18354" spans="1:8" x14ac:dyDescent="0.25">
      <c r="A18354" s="1"/>
      <c r="B18354" s="1" t="s">
        <v>5782</v>
      </c>
      <c r="C18354" s="1" t="s">
        <v>5783</v>
      </c>
      <c r="D18354" s="22" t="str">
        <f>HYPERLINK("https://rhld.insurance.arkansas.gov/NPILookup?Npi=1942891742","1942891742")</f>
        <v>1942891742</v>
      </c>
      <c r="E18354" s="1" t="s">
        <v>12258</v>
      </c>
      <c r="F18354" s="2"/>
      <c r="G18354" s="2"/>
      <c r="H18354" s="2"/>
    </row>
    <row r="18355" spans="1:8" x14ac:dyDescent="0.25">
      <c r="A18355" s="1"/>
      <c r="B18355" s="1" t="s">
        <v>5782</v>
      </c>
      <c r="C18355" s="1" t="s">
        <v>5783</v>
      </c>
      <c r="D18355" s="22" t="str">
        <f>HYPERLINK("https://rhld.insurance.arkansas.gov/NPILookup?Npi=1942894464","1942894464")</f>
        <v>1942894464</v>
      </c>
      <c r="E18355" s="1" t="s">
        <v>23861</v>
      </c>
      <c r="F18355" s="2"/>
      <c r="G18355" s="2"/>
      <c r="H18355" s="2"/>
    </row>
    <row r="18356" spans="1:8" x14ac:dyDescent="0.25">
      <c r="A18356" s="1"/>
      <c r="B18356" s="1" t="s">
        <v>5782</v>
      </c>
      <c r="C18356" s="1" t="s">
        <v>5783</v>
      </c>
      <c r="D18356" s="22" t="str">
        <f>HYPERLINK("https://rhld.insurance.arkansas.gov/NPILookup?Npi=1942916457","1942916457")</f>
        <v>1942916457</v>
      </c>
      <c r="E18356" s="1" t="s">
        <v>6191</v>
      </c>
      <c r="F18356" s="2"/>
      <c r="G18356" s="2"/>
      <c r="H18356" s="2"/>
    </row>
    <row r="18357" spans="1:8" x14ac:dyDescent="0.25">
      <c r="A18357" s="1"/>
      <c r="B18357" s="1" t="s">
        <v>5782</v>
      </c>
      <c r="C18357" s="1" t="s">
        <v>5783</v>
      </c>
      <c r="D18357" s="22" t="str">
        <f>HYPERLINK("https://rhld.insurance.arkansas.gov/NPILookup?Npi=1942916697","1942916697")</f>
        <v>1942916697</v>
      </c>
      <c r="E18357" s="1" t="s">
        <v>6799</v>
      </c>
      <c r="F18357" s="2"/>
      <c r="G18357" s="2"/>
      <c r="H18357" s="2"/>
    </row>
    <row r="18358" spans="1:8" x14ac:dyDescent="0.25">
      <c r="A18358" s="1"/>
      <c r="B18358" s="1" t="s">
        <v>5782</v>
      </c>
      <c r="C18358" s="1" t="s">
        <v>5783</v>
      </c>
      <c r="D18358" s="22" t="str">
        <f>HYPERLINK("https://rhld.insurance.arkansas.gov/NPILookup?Npi=1942920756","1942920756")</f>
        <v>1942920756</v>
      </c>
      <c r="E18358" s="1" t="s">
        <v>23862</v>
      </c>
      <c r="F18358" s="2"/>
      <c r="G18358" s="2"/>
      <c r="H18358" s="2"/>
    </row>
    <row r="18359" spans="1:8" x14ac:dyDescent="0.25">
      <c r="A18359" s="1"/>
      <c r="B18359" s="1" t="s">
        <v>5782</v>
      </c>
      <c r="C18359" s="1" t="s">
        <v>5783</v>
      </c>
      <c r="D18359" s="22" t="str">
        <f>HYPERLINK("https://rhld.insurance.arkansas.gov/NPILookup?Npi=1942920947","1942920947")</f>
        <v>1942920947</v>
      </c>
      <c r="E18359" s="1" t="s">
        <v>3420</v>
      </c>
      <c r="F18359" s="2"/>
      <c r="G18359" s="2"/>
      <c r="H18359" s="2"/>
    </row>
    <row r="18360" spans="1:8" x14ac:dyDescent="0.25">
      <c r="A18360" s="1"/>
      <c r="B18360" s="1" t="s">
        <v>5782</v>
      </c>
      <c r="C18360" s="1" t="s">
        <v>5783</v>
      </c>
      <c r="D18360" s="22" t="str">
        <f>HYPERLINK("https://rhld.insurance.arkansas.gov/NPILookup?Npi=1942927355","1942927355")</f>
        <v>1942927355</v>
      </c>
      <c r="E18360" s="1" t="s">
        <v>31977</v>
      </c>
      <c r="F18360" s="2"/>
      <c r="G18360" s="2"/>
      <c r="H18360" s="2"/>
    </row>
    <row r="18361" spans="1:8" x14ac:dyDescent="0.25">
      <c r="A18361" s="1"/>
      <c r="B18361" s="1" t="s">
        <v>5782</v>
      </c>
      <c r="C18361" s="1" t="s">
        <v>5783</v>
      </c>
      <c r="D18361" s="22" t="str">
        <f>HYPERLINK("https://rhld.insurance.arkansas.gov/NPILookup?Npi=1942934898","1942934898")</f>
        <v>1942934898</v>
      </c>
      <c r="E18361" s="1" t="s">
        <v>31978</v>
      </c>
      <c r="F18361" s="2"/>
      <c r="G18361" s="2"/>
      <c r="H18361" s="2"/>
    </row>
    <row r="18362" spans="1:8" x14ac:dyDescent="0.25">
      <c r="A18362" s="1"/>
      <c r="B18362" s="1" t="s">
        <v>5782</v>
      </c>
      <c r="C18362" s="1" t="s">
        <v>5783</v>
      </c>
      <c r="D18362" s="22" t="str">
        <f>HYPERLINK("https://rhld.insurance.arkansas.gov/NPILookup?Npi=1942936208","1942936208")</f>
        <v>1942936208</v>
      </c>
      <c r="E18362" s="1" t="s">
        <v>23863</v>
      </c>
      <c r="F18362" s="2"/>
      <c r="G18362" s="2"/>
      <c r="H18362" s="2"/>
    </row>
    <row r="18363" spans="1:8" x14ac:dyDescent="0.25">
      <c r="A18363" s="1"/>
      <c r="B18363" s="1" t="s">
        <v>5782</v>
      </c>
      <c r="C18363" s="1" t="s">
        <v>5783</v>
      </c>
      <c r="D18363" s="22" t="str">
        <f>HYPERLINK("https://rhld.insurance.arkansas.gov/NPILookup?Npi=1942964432","1942964432")</f>
        <v>1942964432</v>
      </c>
      <c r="E18363" s="1" t="s">
        <v>1893</v>
      </c>
      <c r="F18363" s="2"/>
      <c r="G18363" s="2"/>
      <c r="H18363" s="2"/>
    </row>
    <row r="18364" spans="1:8" x14ac:dyDescent="0.25">
      <c r="A18364" s="1"/>
      <c r="B18364" s="1" t="s">
        <v>5782</v>
      </c>
      <c r="C18364" s="1" t="s">
        <v>5783</v>
      </c>
      <c r="D18364" s="22" t="str">
        <f>HYPERLINK("https://rhld.insurance.arkansas.gov/NPILookup?Npi=1942993258","1942993258")</f>
        <v>1942993258</v>
      </c>
      <c r="E18364" s="1" t="s">
        <v>31979</v>
      </c>
      <c r="F18364" s="2"/>
      <c r="G18364" s="2"/>
      <c r="H18364" s="2"/>
    </row>
    <row r="18365" spans="1:8" x14ac:dyDescent="0.25">
      <c r="A18365" s="1"/>
      <c r="B18365" s="1" t="s">
        <v>5782</v>
      </c>
      <c r="C18365" s="1" t="s">
        <v>5783</v>
      </c>
      <c r="D18365" s="22" t="str">
        <f>HYPERLINK("https://rhld.insurance.arkansas.gov/NPILookup?Npi=1952006389","1952006389")</f>
        <v>1952006389</v>
      </c>
      <c r="E18365" s="1" t="s">
        <v>6800</v>
      </c>
      <c r="F18365" s="2"/>
      <c r="G18365" s="2"/>
      <c r="H18365" s="2"/>
    </row>
    <row r="18366" spans="1:8" x14ac:dyDescent="0.25">
      <c r="A18366" s="1"/>
      <c r="B18366" s="1" t="s">
        <v>5782</v>
      </c>
      <c r="C18366" s="1" t="s">
        <v>5783</v>
      </c>
      <c r="D18366" s="22" t="str">
        <f>HYPERLINK("https://rhld.insurance.arkansas.gov/NPILookup?Npi=1952023319","1952023319")</f>
        <v>1952023319</v>
      </c>
      <c r="E18366" s="1" t="s">
        <v>31980</v>
      </c>
      <c r="F18366" s="2"/>
      <c r="G18366" s="2"/>
      <c r="H18366" s="2"/>
    </row>
    <row r="18367" spans="1:8" x14ac:dyDescent="0.25">
      <c r="A18367" s="1"/>
      <c r="B18367" s="1" t="s">
        <v>5782</v>
      </c>
      <c r="C18367" s="1" t="s">
        <v>5783</v>
      </c>
      <c r="D18367" s="22" t="str">
        <f>HYPERLINK("https://rhld.insurance.arkansas.gov/NPILookup?Npi=1952035693","1952035693")</f>
        <v>1952035693</v>
      </c>
      <c r="E18367" s="1" t="s">
        <v>12259</v>
      </c>
      <c r="F18367" s="2"/>
      <c r="G18367" s="2"/>
      <c r="H18367" s="2"/>
    </row>
    <row r="18368" spans="1:8" x14ac:dyDescent="0.25">
      <c r="A18368" s="1"/>
      <c r="B18368" s="1" t="s">
        <v>5782</v>
      </c>
      <c r="C18368" s="1" t="s">
        <v>5783</v>
      </c>
      <c r="D18368" s="22" t="str">
        <f>HYPERLINK("https://rhld.insurance.arkansas.gov/NPILookup?Npi=1952070450","1952070450")</f>
        <v>1952070450</v>
      </c>
      <c r="E18368" s="1" t="s">
        <v>23864</v>
      </c>
      <c r="F18368" s="2"/>
      <c r="G18368" s="2"/>
      <c r="H18368" s="2"/>
    </row>
    <row r="18369" spans="1:8" x14ac:dyDescent="0.25">
      <c r="A18369" s="1"/>
      <c r="B18369" s="1" t="s">
        <v>5782</v>
      </c>
      <c r="C18369" s="1" t="s">
        <v>5783</v>
      </c>
      <c r="D18369" s="22" t="str">
        <f>HYPERLINK("https://rhld.insurance.arkansas.gov/NPILookup?Npi=1952078404","1952078404")</f>
        <v>1952078404</v>
      </c>
      <c r="E18369" s="1" t="s">
        <v>23865</v>
      </c>
      <c r="F18369" s="2"/>
      <c r="G18369" s="2"/>
      <c r="H18369" s="2"/>
    </row>
    <row r="18370" spans="1:8" x14ac:dyDescent="0.25">
      <c r="A18370" s="1"/>
      <c r="B18370" s="1" t="s">
        <v>5782</v>
      </c>
      <c r="C18370" s="1" t="s">
        <v>5783</v>
      </c>
      <c r="D18370" s="22" t="str">
        <f>HYPERLINK("https://rhld.insurance.arkansas.gov/NPILookup?Npi=1952078503","1952078503")</f>
        <v>1952078503</v>
      </c>
      <c r="E18370" s="1" t="s">
        <v>12260</v>
      </c>
      <c r="F18370" s="2"/>
      <c r="G18370" s="2"/>
      <c r="H18370" s="2"/>
    </row>
    <row r="18371" spans="1:8" x14ac:dyDescent="0.25">
      <c r="A18371" s="1"/>
      <c r="B18371" s="1" t="s">
        <v>5782</v>
      </c>
      <c r="C18371" s="1" t="s">
        <v>5783</v>
      </c>
      <c r="D18371" s="22" t="str">
        <f>HYPERLINK("https://rhld.insurance.arkansas.gov/NPILookup?Npi=1952102634","1952102634")</f>
        <v>1952102634</v>
      </c>
      <c r="E18371" s="1" t="s">
        <v>31981</v>
      </c>
      <c r="F18371" s="2"/>
      <c r="G18371" s="2"/>
      <c r="H18371" s="2"/>
    </row>
    <row r="18372" spans="1:8" x14ac:dyDescent="0.25">
      <c r="A18372" s="1"/>
      <c r="B18372" s="1" t="s">
        <v>5782</v>
      </c>
      <c r="C18372" s="1" t="s">
        <v>5783</v>
      </c>
      <c r="D18372" s="22" t="str">
        <f>HYPERLINK("https://rhld.insurance.arkansas.gov/NPILookup?Npi=1952127631","1952127631")</f>
        <v>1952127631</v>
      </c>
      <c r="E18372" s="1" t="s">
        <v>31982</v>
      </c>
      <c r="F18372" s="2"/>
      <c r="G18372" s="2"/>
      <c r="H18372" s="2"/>
    </row>
    <row r="18373" spans="1:8" x14ac:dyDescent="0.25">
      <c r="A18373" s="1"/>
      <c r="B18373" s="1" t="s">
        <v>5782</v>
      </c>
      <c r="C18373" s="1" t="s">
        <v>5783</v>
      </c>
      <c r="D18373" s="22" t="str">
        <f>HYPERLINK("https://rhld.insurance.arkansas.gov/NPILookup?Npi=1952150492","1952150492")</f>
        <v>1952150492</v>
      </c>
      <c r="E18373" s="1" t="s">
        <v>23866</v>
      </c>
      <c r="F18373" s="2"/>
      <c r="G18373" s="2"/>
      <c r="H18373" s="2"/>
    </row>
    <row r="18374" spans="1:8" x14ac:dyDescent="0.25">
      <c r="A18374" s="1"/>
      <c r="B18374" s="1" t="s">
        <v>5782</v>
      </c>
      <c r="C18374" s="1" t="s">
        <v>5783</v>
      </c>
      <c r="D18374" s="22" t="str">
        <f>HYPERLINK("https://rhld.insurance.arkansas.gov/NPILookup?Npi=1952186215","1952186215")</f>
        <v>1952186215</v>
      </c>
      <c r="E18374" s="1" t="s">
        <v>6801</v>
      </c>
      <c r="F18374" s="2"/>
      <c r="G18374" s="2"/>
      <c r="H18374" s="2"/>
    </row>
    <row r="18375" spans="1:8" x14ac:dyDescent="0.25">
      <c r="A18375" s="1"/>
      <c r="B18375" s="1" t="s">
        <v>5782</v>
      </c>
      <c r="C18375" s="1" t="s">
        <v>5783</v>
      </c>
      <c r="D18375" s="22" t="str">
        <f>HYPERLINK("https://rhld.insurance.arkansas.gov/NPILookup?Npi=1952307548","1952307548")</f>
        <v>1952307548</v>
      </c>
      <c r="E18375" s="1" t="s">
        <v>23867</v>
      </c>
      <c r="F18375" s="2"/>
      <c r="G18375" s="2"/>
      <c r="H18375" s="2"/>
    </row>
    <row r="18376" spans="1:8" x14ac:dyDescent="0.25">
      <c r="A18376" s="1"/>
      <c r="B18376" s="1" t="s">
        <v>5782</v>
      </c>
      <c r="C18376" s="1" t="s">
        <v>5783</v>
      </c>
      <c r="D18376" s="22" t="str">
        <f>HYPERLINK("https://rhld.insurance.arkansas.gov/NPILookup?Npi=1952351363","1952351363")</f>
        <v>1952351363</v>
      </c>
      <c r="E18376" s="1" t="s">
        <v>23868</v>
      </c>
      <c r="F18376" s="2"/>
      <c r="G18376" s="2"/>
      <c r="H18376" s="2"/>
    </row>
    <row r="18377" spans="1:8" x14ac:dyDescent="0.25">
      <c r="A18377" s="1"/>
      <c r="B18377" s="1" t="s">
        <v>5782</v>
      </c>
      <c r="C18377" s="1" t="s">
        <v>5783</v>
      </c>
      <c r="D18377" s="22" t="str">
        <f>HYPERLINK("https://rhld.insurance.arkansas.gov/NPILookup?Npi=1952357394","1952357394")</f>
        <v>1952357394</v>
      </c>
      <c r="E18377" s="1" t="s">
        <v>12261</v>
      </c>
      <c r="F18377" s="2"/>
      <c r="G18377" s="2"/>
      <c r="H18377" s="2"/>
    </row>
    <row r="18378" spans="1:8" x14ac:dyDescent="0.25">
      <c r="A18378" s="1"/>
      <c r="B18378" s="1" t="s">
        <v>5782</v>
      </c>
      <c r="C18378" s="1" t="s">
        <v>5783</v>
      </c>
      <c r="D18378" s="22" t="str">
        <f>HYPERLINK("https://rhld.insurance.arkansas.gov/NPILookup?Npi=1952425720","1952425720")</f>
        <v>1952425720</v>
      </c>
      <c r="E18378" s="1" t="s">
        <v>380</v>
      </c>
      <c r="F18378" s="2"/>
      <c r="G18378" s="2"/>
      <c r="H18378" s="2"/>
    </row>
    <row r="18379" spans="1:8" x14ac:dyDescent="0.25">
      <c r="A18379" s="1"/>
      <c r="B18379" s="1" t="s">
        <v>5782</v>
      </c>
      <c r="C18379" s="1" t="s">
        <v>5783</v>
      </c>
      <c r="D18379" s="22" t="str">
        <f>HYPERLINK("https://rhld.insurance.arkansas.gov/NPILookup?Npi=1952465346","1952465346")</f>
        <v>1952465346</v>
      </c>
      <c r="E18379" s="1" t="s">
        <v>23870</v>
      </c>
      <c r="F18379" s="2"/>
      <c r="G18379" s="2"/>
      <c r="H18379" s="2"/>
    </row>
    <row r="18380" spans="1:8" x14ac:dyDescent="0.25">
      <c r="A18380" s="1"/>
      <c r="B18380" s="1" t="s">
        <v>5782</v>
      </c>
      <c r="C18380" s="1" t="s">
        <v>5783</v>
      </c>
      <c r="D18380" s="22" t="str">
        <f>HYPERLINK("https://rhld.insurance.arkansas.gov/NPILookup?Npi=1952485245","1952485245")</f>
        <v>1952485245</v>
      </c>
      <c r="E18380" s="1" t="s">
        <v>23871</v>
      </c>
      <c r="F18380" s="2"/>
      <c r="G18380" s="2"/>
      <c r="H18380" s="2"/>
    </row>
    <row r="18381" spans="1:8" x14ac:dyDescent="0.25">
      <c r="A18381" s="1"/>
      <c r="B18381" s="1" t="s">
        <v>5782</v>
      </c>
      <c r="C18381" s="1" t="s">
        <v>5783</v>
      </c>
      <c r="D18381" s="22" t="str">
        <f>HYPERLINK("https://rhld.insurance.arkansas.gov/NPILookup?Npi=1952495202","1952495202")</f>
        <v>1952495202</v>
      </c>
      <c r="E18381" s="1" t="s">
        <v>23872</v>
      </c>
      <c r="F18381" s="2"/>
      <c r="G18381" s="2"/>
      <c r="H18381" s="2"/>
    </row>
    <row r="18382" spans="1:8" x14ac:dyDescent="0.25">
      <c r="A18382" s="1"/>
      <c r="B18382" s="1" t="s">
        <v>5782</v>
      </c>
      <c r="C18382" s="1" t="s">
        <v>5783</v>
      </c>
      <c r="D18382" s="22" t="str">
        <f>HYPERLINK("https://rhld.insurance.arkansas.gov/NPILookup?Npi=1952500571","1952500571")</f>
        <v>1952500571</v>
      </c>
      <c r="E18382" s="1" t="s">
        <v>23873</v>
      </c>
      <c r="F18382" s="2"/>
      <c r="G18382" s="2"/>
      <c r="H18382" s="2"/>
    </row>
    <row r="18383" spans="1:8" x14ac:dyDescent="0.25">
      <c r="A18383" s="1"/>
      <c r="B18383" s="1" t="s">
        <v>5782</v>
      </c>
      <c r="C18383" s="1" t="s">
        <v>5783</v>
      </c>
      <c r="D18383" s="22" t="str">
        <f>HYPERLINK("https://rhld.insurance.arkansas.gov/NPILookup?Npi=1952503690","1952503690")</f>
        <v>1952503690</v>
      </c>
      <c r="E18383" s="1" t="s">
        <v>23874</v>
      </c>
      <c r="F18383" s="2"/>
      <c r="G18383" s="2"/>
      <c r="H18383" s="2"/>
    </row>
    <row r="18384" spans="1:8" x14ac:dyDescent="0.25">
      <c r="A18384" s="1"/>
      <c r="B18384" s="1" t="s">
        <v>5782</v>
      </c>
      <c r="C18384" s="1" t="s">
        <v>5783</v>
      </c>
      <c r="D18384" s="22" t="str">
        <f>HYPERLINK("https://rhld.insurance.arkansas.gov/NPILookup?Npi=1952508988","1952508988")</f>
        <v>1952508988</v>
      </c>
      <c r="E18384" s="1" t="s">
        <v>23875</v>
      </c>
      <c r="F18384" s="2"/>
      <c r="G18384" s="2"/>
      <c r="H18384" s="2"/>
    </row>
    <row r="18385" spans="1:8" x14ac:dyDescent="0.25">
      <c r="A18385" s="1"/>
      <c r="B18385" s="1" t="s">
        <v>5782</v>
      </c>
      <c r="C18385" s="1" t="s">
        <v>5783</v>
      </c>
      <c r="D18385" s="22" t="str">
        <f>HYPERLINK("https://rhld.insurance.arkansas.gov/NPILookup?Npi=1952520025","1952520025")</f>
        <v>1952520025</v>
      </c>
      <c r="E18385" s="1" t="s">
        <v>23876</v>
      </c>
      <c r="F18385" s="2"/>
      <c r="G18385" s="2"/>
      <c r="H18385" s="2"/>
    </row>
    <row r="18386" spans="1:8" x14ac:dyDescent="0.25">
      <c r="A18386" s="1"/>
      <c r="B18386" s="1" t="s">
        <v>5782</v>
      </c>
      <c r="C18386" s="1" t="s">
        <v>5783</v>
      </c>
      <c r="D18386" s="22" t="str">
        <f>HYPERLINK("https://rhld.insurance.arkansas.gov/NPILookup?Npi=1952520579","1952520579")</f>
        <v>1952520579</v>
      </c>
      <c r="E18386" s="1" t="s">
        <v>6802</v>
      </c>
      <c r="F18386" s="2"/>
      <c r="G18386" s="2"/>
      <c r="H18386" s="2"/>
    </row>
    <row r="18387" spans="1:8" x14ac:dyDescent="0.25">
      <c r="A18387" s="1"/>
      <c r="B18387" s="1" t="s">
        <v>5782</v>
      </c>
      <c r="C18387" s="1" t="s">
        <v>5783</v>
      </c>
      <c r="D18387" s="22" t="str">
        <f>HYPERLINK("https://rhld.insurance.arkansas.gov/NPILookup?Npi=1952524878","1952524878")</f>
        <v>1952524878</v>
      </c>
      <c r="E18387" s="1" t="s">
        <v>16333</v>
      </c>
      <c r="F18387" s="2"/>
      <c r="G18387" s="2"/>
      <c r="H18387" s="2"/>
    </row>
    <row r="18388" spans="1:8" x14ac:dyDescent="0.25">
      <c r="A18388" s="1"/>
      <c r="B18388" s="1" t="s">
        <v>5782</v>
      </c>
      <c r="C18388" s="1" t="s">
        <v>5783</v>
      </c>
      <c r="D18388" s="22" t="str">
        <f>HYPERLINK("https://rhld.insurance.arkansas.gov/NPILookup?Npi=1952546194","1952546194")</f>
        <v>1952546194</v>
      </c>
      <c r="E18388" s="1" t="s">
        <v>23877</v>
      </c>
      <c r="F18388" s="2"/>
      <c r="G18388" s="2"/>
      <c r="H18388" s="2"/>
    </row>
    <row r="18389" spans="1:8" x14ac:dyDescent="0.25">
      <c r="A18389" s="1"/>
      <c r="B18389" s="1" t="s">
        <v>5782</v>
      </c>
      <c r="C18389" s="1" t="s">
        <v>5783</v>
      </c>
      <c r="D18389" s="22" t="str">
        <f>HYPERLINK("https://rhld.insurance.arkansas.gov/NPILookup?Npi=1952552200","1952552200")</f>
        <v>1952552200</v>
      </c>
      <c r="E18389" s="1" t="s">
        <v>23878</v>
      </c>
      <c r="F18389" s="2"/>
      <c r="G18389" s="2"/>
      <c r="H18389" s="2"/>
    </row>
    <row r="18390" spans="1:8" x14ac:dyDescent="0.25">
      <c r="A18390" s="1"/>
      <c r="B18390" s="1" t="s">
        <v>5782</v>
      </c>
      <c r="C18390" s="1" t="s">
        <v>5783</v>
      </c>
      <c r="D18390" s="22" t="str">
        <f>HYPERLINK("https://rhld.insurance.arkansas.gov/NPILookup?Npi=1952553067","1952553067")</f>
        <v>1952553067</v>
      </c>
      <c r="E18390" s="1" t="s">
        <v>23879</v>
      </c>
      <c r="F18390" s="2"/>
      <c r="G18390" s="2"/>
      <c r="H18390" s="2"/>
    </row>
    <row r="18391" spans="1:8" x14ac:dyDescent="0.25">
      <c r="A18391" s="1"/>
      <c r="B18391" s="1" t="s">
        <v>5782</v>
      </c>
      <c r="C18391" s="1" t="s">
        <v>5783</v>
      </c>
      <c r="D18391" s="22" t="str">
        <f>HYPERLINK("https://rhld.insurance.arkansas.gov/NPILookup?Npi=1952578429","1952578429")</f>
        <v>1952578429</v>
      </c>
      <c r="E18391" s="1" t="s">
        <v>23880</v>
      </c>
      <c r="F18391" s="2"/>
      <c r="G18391" s="2"/>
      <c r="H18391" s="2"/>
    </row>
    <row r="18392" spans="1:8" x14ac:dyDescent="0.25">
      <c r="A18392" s="1"/>
      <c r="B18392" s="1" t="s">
        <v>5782</v>
      </c>
      <c r="C18392" s="1" t="s">
        <v>5783</v>
      </c>
      <c r="D18392" s="22" t="str">
        <f>HYPERLINK("https://rhld.insurance.arkansas.gov/NPILookup?Npi=1952584591","1952584591")</f>
        <v>1952584591</v>
      </c>
      <c r="E18392" s="1" t="s">
        <v>23881</v>
      </c>
      <c r="F18392" s="2"/>
      <c r="G18392" s="2"/>
      <c r="H18392" s="2"/>
    </row>
    <row r="18393" spans="1:8" x14ac:dyDescent="0.25">
      <c r="A18393" s="1"/>
      <c r="B18393" s="1" t="s">
        <v>5782</v>
      </c>
      <c r="C18393" s="1" t="s">
        <v>5783</v>
      </c>
      <c r="D18393" s="22" t="str">
        <f>HYPERLINK("https://rhld.insurance.arkansas.gov/NPILookup?Npi=1952590085","1952590085")</f>
        <v>1952590085</v>
      </c>
      <c r="E18393" s="1" t="s">
        <v>6803</v>
      </c>
      <c r="F18393" s="2"/>
      <c r="G18393" s="2"/>
      <c r="H18393" s="2"/>
    </row>
    <row r="18394" spans="1:8" x14ac:dyDescent="0.25">
      <c r="A18394" s="1"/>
      <c r="B18394" s="1" t="s">
        <v>5782</v>
      </c>
      <c r="C18394" s="1" t="s">
        <v>5783</v>
      </c>
      <c r="D18394" s="22" t="str">
        <f>HYPERLINK("https://rhld.insurance.arkansas.gov/NPILookup?Npi=1952590127","1952590127")</f>
        <v>1952590127</v>
      </c>
      <c r="E18394" s="1" t="s">
        <v>3423</v>
      </c>
      <c r="F18394" s="2"/>
      <c r="G18394" s="2"/>
      <c r="H18394" s="2"/>
    </row>
    <row r="18395" spans="1:8" x14ac:dyDescent="0.25">
      <c r="A18395" s="1"/>
      <c r="B18395" s="1" t="s">
        <v>5782</v>
      </c>
      <c r="C18395" s="1" t="s">
        <v>5783</v>
      </c>
      <c r="D18395" s="22" t="str">
        <f>HYPERLINK("https://rhld.insurance.arkansas.gov/NPILookup?Npi=1952596223","1952596223")</f>
        <v>1952596223</v>
      </c>
      <c r="E18395" s="1" t="s">
        <v>23882</v>
      </c>
      <c r="F18395" s="2"/>
      <c r="G18395" s="2"/>
      <c r="H18395" s="2"/>
    </row>
    <row r="18396" spans="1:8" x14ac:dyDescent="0.25">
      <c r="A18396" s="1"/>
      <c r="B18396" s="1" t="s">
        <v>5782</v>
      </c>
      <c r="C18396" s="1" t="s">
        <v>5783</v>
      </c>
      <c r="D18396" s="22" t="str">
        <f>HYPERLINK("https://rhld.insurance.arkansas.gov/NPILookup?Npi=1952599946","1952599946")</f>
        <v>1952599946</v>
      </c>
      <c r="E18396" s="1" t="s">
        <v>406</v>
      </c>
      <c r="F18396" s="2"/>
      <c r="G18396" s="2"/>
      <c r="H18396" s="2"/>
    </row>
    <row r="18397" spans="1:8" x14ac:dyDescent="0.25">
      <c r="A18397" s="1"/>
      <c r="B18397" s="1" t="s">
        <v>5782</v>
      </c>
      <c r="C18397" s="1" t="s">
        <v>5783</v>
      </c>
      <c r="D18397" s="22" t="str">
        <f>HYPERLINK("https://rhld.insurance.arkansas.gov/NPILookup?Npi=1952615171","1952615171")</f>
        <v>1952615171</v>
      </c>
      <c r="E18397" s="1" t="s">
        <v>23884</v>
      </c>
      <c r="F18397" s="2"/>
      <c r="G18397" s="2"/>
      <c r="H18397" s="2"/>
    </row>
    <row r="18398" spans="1:8" x14ac:dyDescent="0.25">
      <c r="A18398" s="1"/>
      <c r="B18398" s="1" t="s">
        <v>5782</v>
      </c>
      <c r="C18398" s="1" t="s">
        <v>5783</v>
      </c>
      <c r="D18398" s="22" t="str">
        <f>HYPERLINK("https://rhld.insurance.arkansas.gov/NPILookup?Npi=1952616476","1952616476")</f>
        <v>1952616476</v>
      </c>
      <c r="E18398" s="1" t="s">
        <v>1253</v>
      </c>
      <c r="F18398" s="2"/>
      <c r="G18398" s="2"/>
      <c r="H18398" s="2"/>
    </row>
    <row r="18399" spans="1:8" x14ac:dyDescent="0.25">
      <c r="A18399" s="1"/>
      <c r="B18399" s="1" t="s">
        <v>5782</v>
      </c>
      <c r="C18399" s="1" t="s">
        <v>5783</v>
      </c>
      <c r="D18399" s="22" t="str">
        <f>HYPERLINK("https://rhld.insurance.arkansas.gov/NPILookup?Npi=1952659450","1952659450")</f>
        <v>1952659450</v>
      </c>
      <c r="E18399" s="1" t="s">
        <v>2524</v>
      </c>
      <c r="F18399" s="2"/>
      <c r="G18399" s="2"/>
      <c r="H18399" s="2"/>
    </row>
    <row r="18400" spans="1:8" x14ac:dyDescent="0.25">
      <c r="A18400" s="1"/>
      <c r="B18400" s="1" t="s">
        <v>5782</v>
      </c>
      <c r="C18400" s="1" t="s">
        <v>5783</v>
      </c>
      <c r="D18400" s="22" t="str">
        <f>HYPERLINK("https://rhld.insurance.arkansas.gov/NPILookup?Npi=1952661530","1952661530")</f>
        <v>1952661530</v>
      </c>
      <c r="E18400" s="1" t="s">
        <v>23885</v>
      </c>
      <c r="F18400" s="2"/>
      <c r="G18400" s="2"/>
      <c r="H18400" s="2"/>
    </row>
    <row r="18401" spans="1:8" x14ac:dyDescent="0.25">
      <c r="A18401" s="1"/>
      <c r="B18401" s="1" t="s">
        <v>5782</v>
      </c>
      <c r="C18401" s="1" t="s">
        <v>5783</v>
      </c>
      <c r="D18401" s="22" t="str">
        <f>HYPERLINK("https://rhld.insurance.arkansas.gov/NPILookup?Npi=1952665002","1952665002")</f>
        <v>1952665002</v>
      </c>
      <c r="E18401" s="1" t="s">
        <v>23886</v>
      </c>
      <c r="F18401" s="2"/>
      <c r="G18401" s="2"/>
      <c r="H18401" s="2"/>
    </row>
    <row r="18402" spans="1:8" x14ac:dyDescent="0.25">
      <c r="A18402" s="1"/>
      <c r="B18402" s="1" t="s">
        <v>5782</v>
      </c>
      <c r="C18402" s="1" t="s">
        <v>5783</v>
      </c>
      <c r="D18402" s="22" t="str">
        <f>HYPERLINK("https://rhld.insurance.arkansas.gov/NPILookup?Npi=1952675324","1952675324")</f>
        <v>1952675324</v>
      </c>
      <c r="E18402" s="1" t="s">
        <v>23887</v>
      </c>
      <c r="F18402" s="2"/>
      <c r="G18402" s="2"/>
      <c r="H18402" s="2"/>
    </row>
    <row r="18403" spans="1:8" x14ac:dyDescent="0.25">
      <c r="A18403" s="1"/>
      <c r="B18403" s="1" t="s">
        <v>5782</v>
      </c>
      <c r="C18403" s="1" t="s">
        <v>5783</v>
      </c>
      <c r="D18403" s="22" t="str">
        <f>HYPERLINK("https://rhld.insurance.arkansas.gov/NPILookup?Npi=1952698854","1952698854")</f>
        <v>1952698854</v>
      </c>
      <c r="E18403" s="1" t="s">
        <v>23888</v>
      </c>
      <c r="F18403" s="2"/>
      <c r="G18403" s="2"/>
      <c r="H18403" s="2"/>
    </row>
    <row r="18404" spans="1:8" x14ac:dyDescent="0.25">
      <c r="A18404" s="1"/>
      <c r="B18404" s="1" t="s">
        <v>5782</v>
      </c>
      <c r="C18404" s="1" t="s">
        <v>5783</v>
      </c>
      <c r="D18404" s="22" t="str">
        <f>HYPERLINK("https://rhld.insurance.arkansas.gov/NPILookup?Npi=1952703639","1952703639")</f>
        <v>1952703639</v>
      </c>
      <c r="E18404" s="1" t="s">
        <v>23889</v>
      </c>
      <c r="F18404" s="2"/>
      <c r="G18404" s="2"/>
      <c r="H18404" s="2"/>
    </row>
    <row r="18405" spans="1:8" x14ac:dyDescent="0.25">
      <c r="A18405" s="1"/>
      <c r="B18405" s="1" t="s">
        <v>5782</v>
      </c>
      <c r="C18405" s="1" t="s">
        <v>5783</v>
      </c>
      <c r="D18405" s="22" t="str">
        <f>HYPERLINK("https://rhld.insurance.arkansas.gov/NPILookup?Npi=1952727554","1952727554")</f>
        <v>1952727554</v>
      </c>
      <c r="E18405" s="1" t="s">
        <v>23890</v>
      </c>
      <c r="F18405" s="2"/>
      <c r="G18405" s="2"/>
      <c r="H18405" s="2"/>
    </row>
    <row r="18406" spans="1:8" x14ac:dyDescent="0.25">
      <c r="A18406" s="1"/>
      <c r="B18406" s="1" t="s">
        <v>5782</v>
      </c>
      <c r="C18406" s="1" t="s">
        <v>5783</v>
      </c>
      <c r="D18406" s="22" t="str">
        <f>HYPERLINK("https://rhld.insurance.arkansas.gov/NPILookup?Npi=1952786162","1952786162")</f>
        <v>1952786162</v>
      </c>
      <c r="E18406" s="1" t="s">
        <v>23891</v>
      </c>
      <c r="F18406" s="2"/>
      <c r="G18406" s="2"/>
      <c r="H18406" s="2"/>
    </row>
    <row r="18407" spans="1:8" x14ac:dyDescent="0.25">
      <c r="A18407" s="1"/>
      <c r="B18407" s="1" t="s">
        <v>5782</v>
      </c>
      <c r="C18407" s="1" t="s">
        <v>5783</v>
      </c>
      <c r="D18407" s="22" t="str">
        <f>HYPERLINK("https://rhld.insurance.arkansas.gov/NPILookup?Npi=1952798423","1952798423")</f>
        <v>1952798423</v>
      </c>
      <c r="E18407" s="1" t="s">
        <v>23892</v>
      </c>
      <c r="F18407" s="2"/>
      <c r="G18407" s="2"/>
      <c r="H18407" s="2"/>
    </row>
    <row r="18408" spans="1:8" x14ac:dyDescent="0.25">
      <c r="A18408" s="1"/>
      <c r="B18408" s="1" t="s">
        <v>5782</v>
      </c>
      <c r="C18408" s="1" t="s">
        <v>5783</v>
      </c>
      <c r="D18408" s="22" t="str">
        <f>HYPERLINK("https://rhld.insurance.arkansas.gov/NPILookup?Npi=1952807844","1952807844")</f>
        <v>1952807844</v>
      </c>
      <c r="E18408" s="1" t="s">
        <v>6804</v>
      </c>
      <c r="F18408" s="2"/>
      <c r="G18408" s="2"/>
      <c r="H18408" s="2"/>
    </row>
    <row r="18409" spans="1:8" x14ac:dyDescent="0.25">
      <c r="A18409" s="1"/>
      <c r="B18409" s="1" t="s">
        <v>5782</v>
      </c>
      <c r="C18409" s="1" t="s">
        <v>5783</v>
      </c>
      <c r="D18409" s="22" t="str">
        <f>HYPERLINK("https://rhld.insurance.arkansas.gov/NPILookup?Npi=1952811879","1952811879")</f>
        <v>1952811879</v>
      </c>
      <c r="E18409" s="1" t="s">
        <v>2525</v>
      </c>
      <c r="F18409" s="2"/>
      <c r="G18409" s="2"/>
      <c r="H18409" s="2"/>
    </row>
    <row r="18410" spans="1:8" x14ac:dyDescent="0.25">
      <c r="A18410" s="1"/>
      <c r="B18410" s="1" t="s">
        <v>5782</v>
      </c>
      <c r="C18410" s="1" t="s">
        <v>5783</v>
      </c>
      <c r="D18410" s="22" t="str">
        <f>HYPERLINK("https://rhld.insurance.arkansas.gov/NPILookup?Npi=1952875916","1952875916")</f>
        <v>1952875916</v>
      </c>
      <c r="E18410" s="1" t="s">
        <v>23893</v>
      </c>
      <c r="F18410" s="2"/>
      <c r="G18410" s="2"/>
      <c r="H18410" s="2"/>
    </row>
    <row r="18411" spans="1:8" x14ac:dyDescent="0.25">
      <c r="A18411" s="1"/>
      <c r="B18411" s="1" t="s">
        <v>5782</v>
      </c>
      <c r="C18411" s="1" t="s">
        <v>5783</v>
      </c>
      <c r="D18411" s="22" t="str">
        <f>HYPERLINK("https://rhld.insurance.arkansas.gov/NPILookup?Npi=1952880791","1952880791")</f>
        <v>1952880791</v>
      </c>
      <c r="E18411" s="1" t="s">
        <v>13210</v>
      </c>
      <c r="F18411" s="2"/>
      <c r="G18411" s="2"/>
      <c r="H18411" s="2"/>
    </row>
    <row r="18412" spans="1:8" x14ac:dyDescent="0.25">
      <c r="A18412" s="1"/>
      <c r="B18412" s="1" t="s">
        <v>5782</v>
      </c>
      <c r="C18412" s="1" t="s">
        <v>5783</v>
      </c>
      <c r="D18412" s="22" t="str">
        <f>HYPERLINK("https://rhld.insurance.arkansas.gov/NPILookup?Npi=1952894545","1952894545")</f>
        <v>1952894545</v>
      </c>
      <c r="E18412" s="1" t="s">
        <v>6805</v>
      </c>
      <c r="F18412" s="2"/>
      <c r="G18412" s="2"/>
      <c r="H18412" s="2"/>
    </row>
    <row r="18413" spans="1:8" x14ac:dyDescent="0.25">
      <c r="A18413" s="1"/>
      <c r="B18413" s="1" t="s">
        <v>5782</v>
      </c>
      <c r="C18413" s="1" t="s">
        <v>5783</v>
      </c>
      <c r="D18413" s="22" t="str">
        <f>HYPERLINK("https://rhld.insurance.arkansas.gov/NPILookup?Npi=1952919102","1952919102")</f>
        <v>1952919102</v>
      </c>
      <c r="E18413" s="1" t="s">
        <v>12263</v>
      </c>
      <c r="F18413" s="2"/>
      <c r="G18413" s="2"/>
      <c r="H18413" s="2"/>
    </row>
    <row r="18414" spans="1:8" x14ac:dyDescent="0.25">
      <c r="A18414" s="1"/>
      <c r="B18414" s="1" t="s">
        <v>5782</v>
      </c>
      <c r="C18414" s="1" t="s">
        <v>5783</v>
      </c>
      <c r="D18414" s="22" t="str">
        <f>HYPERLINK("https://rhld.insurance.arkansas.gov/NPILookup?Npi=1952920571","1952920571")</f>
        <v>1952920571</v>
      </c>
      <c r="E18414" s="1" t="s">
        <v>23894</v>
      </c>
      <c r="F18414" s="2"/>
      <c r="G18414" s="2"/>
      <c r="H18414" s="2"/>
    </row>
    <row r="18415" spans="1:8" x14ac:dyDescent="0.25">
      <c r="A18415" s="1"/>
      <c r="B18415" s="1" t="s">
        <v>5782</v>
      </c>
      <c r="C18415" s="1" t="s">
        <v>5783</v>
      </c>
      <c r="D18415" s="22" t="str">
        <f>HYPERLINK("https://rhld.insurance.arkansas.gov/NPILookup?Npi=1952926867","1952926867")</f>
        <v>1952926867</v>
      </c>
      <c r="E18415" s="1" t="s">
        <v>23895</v>
      </c>
      <c r="F18415" s="2"/>
      <c r="G18415" s="2"/>
      <c r="H18415" s="2"/>
    </row>
    <row r="18416" spans="1:8" x14ac:dyDescent="0.25">
      <c r="A18416" s="1"/>
      <c r="B18416" s="1" t="s">
        <v>5782</v>
      </c>
      <c r="C18416" s="1" t="s">
        <v>5783</v>
      </c>
      <c r="D18416" s="22" t="str">
        <f>HYPERLINK("https://rhld.insurance.arkansas.gov/NPILookup?Npi=1952933657","1952933657")</f>
        <v>1952933657</v>
      </c>
      <c r="E18416" s="1" t="s">
        <v>23896</v>
      </c>
      <c r="F18416" s="2"/>
      <c r="G18416" s="2"/>
      <c r="H18416" s="2"/>
    </row>
    <row r="18417" spans="1:8" x14ac:dyDescent="0.25">
      <c r="A18417" s="1"/>
      <c r="B18417" s="1" t="s">
        <v>5782</v>
      </c>
      <c r="C18417" s="1" t="s">
        <v>5783</v>
      </c>
      <c r="D18417" s="22" t="str">
        <f>HYPERLINK("https://rhld.insurance.arkansas.gov/NPILookup?Npi=1952938862","1952938862")</f>
        <v>1952938862</v>
      </c>
      <c r="E18417" s="1" t="s">
        <v>23897</v>
      </c>
      <c r="F18417" s="2"/>
      <c r="G18417" s="2"/>
      <c r="H18417" s="2"/>
    </row>
    <row r="18418" spans="1:8" x14ac:dyDescent="0.25">
      <c r="A18418" s="1"/>
      <c r="B18418" s="1" t="s">
        <v>5782</v>
      </c>
      <c r="C18418" s="1" t="s">
        <v>5783</v>
      </c>
      <c r="D18418" s="22" t="str">
        <f>HYPERLINK("https://rhld.insurance.arkansas.gov/NPILookup?Npi=1952944407","1952944407")</f>
        <v>1952944407</v>
      </c>
      <c r="E18418" s="1" t="s">
        <v>23898</v>
      </c>
      <c r="F18418" s="2"/>
      <c r="G18418" s="2"/>
      <c r="H18418" s="2"/>
    </row>
    <row r="18419" spans="1:8" x14ac:dyDescent="0.25">
      <c r="A18419" s="1"/>
      <c r="B18419" s="1" t="s">
        <v>5782</v>
      </c>
      <c r="C18419" s="1" t="s">
        <v>5783</v>
      </c>
      <c r="D18419" s="22" t="str">
        <f>HYPERLINK("https://rhld.insurance.arkansas.gov/NPILookup?Npi=1952948143","1952948143")</f>
        <v>1952948143</v>
      </c>
      <c r="E18419" s="1" t="s">
        <v>942</v>
      </c>
      <c r="F18419" s="2"/>
      <c r="G18419" s="2"/>
      <c r="H18419" s="2"/>
    </row>
    <row r="18420" spans="1:8" x14ac:dyDescent="0.25">
      <c r="A18420" s="1"/>
      <c r="B18420" s="1" t="s">
        <v>5782</v>
      </c>
      <c r="C18420" s="1" t="s">
        <v>5783</v>
      </c>
      <c r="D18420" s="22" t="str">
        <f>HYPERLINK("https://rhld.insurance.arkansas.gov/NPILookup?Npi=1952954471","1952954471")</f>
        <v>1952954471</v>
      </c>
      <c r="E18420" s="1" t="s">
        <v>23899</v>
      </c>
      <c r="F18420" s="2"/>
      <c r="G18420" s="2"/>
      <c r="H18420" s="2"/>
    </row>
    <row r="18421" spans="1:8" x14ac:dyDescent="0.25">
      <c r="A18421" s="1"/>
      <c r="B18421" s="1" t="s">
        <v>5782</v>
      </c>
      <c r="C18421" s="1" t="s">
        <v>5783</v>
      </c>
      <c r="D18421" s="22" t="str">
        <f>HYPERLINK("https://rhld.insurance.arkansas.gov/NPILookup?Npi=1952972606","1952972606")</f>
        <v>1952972606</v>
      </c>
      <c r="E18421" s="1" t="s">
        <v>23900</v>
      </c>
      <c r="F18421" s="2"/>
      <c r="G18421" s="2"/>
      <c r="H18421" s="2"/>
    </row>
    <row r="18422" spans="1:8" x14ac:dyDescent="0.25">
      <c r="A18422" s="1"/>
      <c r="B18422" s="1" t="s">
        <v>5782</v>
      </c>
      <c r="C18422" s="1" t="s">
        <v>5783</v>
      </c>
      <c r="D18422" s="22" t="str">
        <f>HYPERLINK("https://rhld.insurance.arkansas.gov/NPILookup?Npi=1952977704","1952977704")</f>
        <v>1952977704</v>
      </c>
      <c r="E18422" s="1" t="s">
        <v>5652</v>
      </c>
      <c r="F18422" s="2"/>
      <c r="G18422" s="2"/>
      <c r="H18422" s="2"/>
    </row>
    <row r="18423" spans="1:8" x14ac:dyDescent="0.25">
      <c r="A18423" s="1"/>
      <c r="B18423" s="1" t="s">
        <v>5782</v>
      </c>
      <c r="C18423" s="1" t="s">
        <v>5783</v>
      </c>
      <c r="D18423" s="22" t="str">
        <f>HYPERLINK("https://rhld.insurance.arkansas.gov/NPILookup?Npi=1952991788","1952991788")</f>
        <v>1952991788</v>
      </c>
      <c r="E18423" s="1" t="s">
        <v>23901</v>
      </c>
      <c r="F18423" s="2"/>
      <c r="G18423" s="2"/>
      <c r="H18423" s="2"/>
    </row>
    <row r="18424" spans="1:8" x14ac:dyDescent="0.25">
      <c r="A18424" s="1"/>
      <c r="B18424" s="1" t="s">
        <v>5782</v>
      </c>
      <c r="C18424" s="1" t="s">
        <v>5783</v>
      </c>
      <c r="D18424" s="22" t="str">
        <f>HYPERLINK("https://rhld.insurance.arkansas.gov/NPILookup?Npi=1962006072","1962006072")</f>
        <v>1962006072</v>
      </c>
      <c r="E18424" s="1" t="s">
        <v>4506</v>
      </c>
      <c r="F18424" s="2"/>
      <c r="G18424" s="2"/>
      <c r="H18424" s="2"/>
    </row>
    <row r="18425" spans="1:8" x14ac:dyDescent="0.25">
      <c r="A18425" s="1"/>
      <c r="B18425" s="1" t="s">
        <v>5782</v>
      </c>
      <c r="C18425" s="1" t="s">
        <v>5783</v>
      </c>
      <c r="D18425" s="22" t="str">
        <f>HYPERLINK("https://rhld.insurance.arkansas.gov/NPILookup?Npi=1962029546","1962029546")</f>
        <v>1962029546</v>
      </c>
      <c r="E18425" s="1" t="s">
        <v>12264</v>
      </c>
      <c r="F18425" s="2"/>
      <c r="G18425" s="2"/>
      <c r="H18425" s="2"/>
    </row>
    <row r="18426" spans="1:8" x14ac:dyDescent="0.25">
      <c r="A18426" s="1"/>
      <c r="B18426" s="1" t="s">
        <v>5782</v>
      </c>
      <c r="C18426" s="1" t="s">
        <v>5783</v>
      </c>
      <c r="D18426" s="22" t="str">
        <f>HYPERLINK("https://rhld.insurance.arkansas.gov/NPILookup?Npi=1962032888","1962032888")</f>
        <v>1962032888</v>
      </c>
      <c r="E18426" s="1" t="s">
        <v>6806</v>
      </c>
      <c r="F18426" s="2"/>
      <c r="G18426" s="2"/>
      <c r="H18426" s="2"/>
    </row>
    <row r="18427" spans="1:8" x14ac:dyDescent="0.25">
      <c r="A18427" s="1"/>
      <c r="B18427" s="1" t="s">
        <v>5782</v>
      </c>
      <c r="C18427" s="1" t="s">
        <v>5783</v>
      </c>
      <c r="D18427" s="22" t="str">
        <f>HYPERLINK("https://rhld.insurance.arkansas.gov/NPILookup?Npi=1962040568","1962040568")</f>
        <v>1962040568</v>
      </c>
      <c r="E18427" s="1" t="s">
        <v>23902</v>
      </c>
      <c r="F18427" s="2"/>
      <c r="G18427" s="2"/>
      <c r="H18427" s="2"/>
    </row>
    <row r="18428" spans="1:8" x14ac:dyDescent="0.25">
      <c r="A18428" s="1"/>
      <c r="B18428" s="1" t="s">
        <v>5782</v>
      </c>
      <c r="C18428" s="1" t="s">
        <v>5783</v>
      </c>
      <c r="D18428" s="22" t="str">
        <f>HYPERLINK("https://rhld.insurance.arkansas.gov/NPILookup?Npi=1962043281","1962043281")</f>
        <v>1962043281</v>
      </c>
      <c r="E18428" s="1" t="s">
        <v>6807</v>
      </c>
      <c r="F18428" s="2"/>
      <c r="G18428" s="2"/>
      <c r="H18428" s="2"/>
    </row>
    <row r="18429" spans="1:8" x14ac:dyDescent="0.25">
      <c r="A18429" s="1"/>
      <c r="B18429" s="1" t="s">
        <v>5782</v>
      </c>
      <c r="C18429" s="1" t="s">
        <v>5783</v>
      </c>
      <c r="D18429" s="22" t="str">
        <f>HYPERLINK("https://rhld.insurance.arkansas.gov/NPILookup?Npi=1962055731","1962055731")</f>
        <v>1962055731</v>
      </c>
      <c r="E18429" s="1" t="s">
        <v>12265</v>
      </c>
      <c r="F18429" s="2"/>
      <c r="G18429" s="2"/>
      <c r="H18429" s="2"/>
    </row>
    <row r="18430" spans="1:8" x14ac:dyDescent="0.25">
      <c r="A18430" s="1"/>
      <c r="B18430" s="1" t="s">
        <v>5782</v>
      </c>
      <c r="C18430" s="1" t="s">
        <v>5783</v>
      </c>
      <c r="D18430" s="22" t="str">
        <f>HYPERLINK("https://rhld.insurance.arkansas.gov/NPILookup?Npi=1962059055","1962059055")</f>
        <v>1962059055</v>
      </c>
      <c r="E18430" s="1" t="s">
        <v>23903</v>
      </c>
      <c r="F18430" s="2"/>
      <c r="G18430" s="2"/>
      <c r="H18430" s="2"/>
    </row>
    <row r="18431" spans="1:8" x14ac:dyDescent="0.25">
      <c r="A18431" s="1"/>
      <c r="B18431" s="1" t="s">
        <v>5782</v>
      </c>
      <c r="C18431" s="1" t="s">
        <v>5783</v>
      </c>
      <c r="D18431" s="22" t="str">
        <f>HYPERLINK("https://rhld.insurance.arkansas.gov/NPILookup?Npi=1962059568","1962059568")</f>
        <v>1962059568</v>
      </c>
      <c r="E18431" s="1" t="s">
        <v>23904</v>
      </c>
      <c r="F18431" s="2"/>
      <c r="G18431" s="2"/>
      <c r="H18431" s="2"/>
    </row>
    <row r="18432" spans="1:8" x14ac:dyDescent="0.25">
      <c r="A18432" s="1"/>
      <c r="B18432" s="1" t="s">
        <v>5782</v>
      </c>
      <c r="C18432" s="1" t="s">
        <v>5783</v>
      </c>
      <c r="D18432" s="22" t="str">
        <f>HYPERLINK("https://rhld.insurance.arkansas.gov/NPILookup?Npi=1962062331","1962062331")</f>
        <v>1962062331</v>
      </c>
      <c r="E18432" s="1" t="s">
        <v>31983</v>
      </c>
      <c r="F18432" s="2"/>
      <c r="G18432" s="2"/>
      <c r="H18432" s="2"/>
    </row>
    <row r="18433" spans="1:8" x14ac:dyDescent="0.25">
      <c r="A18433" s="1"/>
      <c r="B18433" s="1" t="s">
        <v>5782</v>
      </c>
      <c r="C18433" s="1" t="s">
        <v>5783</v>
      </c>
      <c r="D18433" s="22" t="str">
        <f>HYPERLINK("https://rhld.insurance.arkansas.gov/NPILookup?Npi=1962067959","1962067959")</f>
        <v>1962067959</v>
      </c>
      <c r="E18433" s="1" t="s">
        <v>12266</v>
      </c>
      <c r="F18433" s="2"/>
      <c r="G18433" s="2"/>
      <c r="H18433" s="2"/>
    </row>
    <row r="18434" spans="1:8" x14ac:dyDescent="0.25">
      <c r="A18434" s="1"/>
      <c r="B18434" s="1" t="s">
        <v>5782</v>
      </c>
      <c r="C18434" s="1" t="s">
        <v>5783</v>
      </c>
      <c r="D18434" s="22" t="str">
        <f>HYPERLINK("https://rhld.insurance.arkansas.gov/NPILookup?Npi=1962067975","1962067975")</f>
        <v>1962067975</v>
      </c>
      <c r="E18434" s="1" t="s">
        <v>6808</v>
      </c>
      <c r="F18434" s="2"/>
      <c r="G18434" s="2"/>
      <c r="H18434" s="2"/>
    </row>
    <row r="18435" spans="1:8" x14ac:dyDescent="0.25">
      <c r="A18435" s="1"/>
      <c r="B18435" s="1" t="s">
        <v>5782</v>
      </c>
      <c r="C18435" s="1" t="s">
        <v>5783</v>
      </c>
      <c r="D18435" s="22" t="str">
        <f>HYPERLINK("https://rhld.insurance.arkansas.gov/NPILookup?Npi=1962093765","1962093765")</f>
        <v>1962093765</v>
      </c>
      <c r="E18435" s="1" t="s">
        <v>23905</v>
      </c>
      <c r="F18435" s="2"/>
      <c r="G18435" s="2"/>
      <c r="H18435" s="2"/>
    </row>
    <row r="18436" spans="1:8" x14ac:dyDescent="0.25">
      <c r="A18436" s="1"/>
      <c r="B18436" s="1" t="s">
        <v>5782</v>
      </c>
      <c r="C18436" s="1" t="s">
        <v>5783</v>
      </c>
      <c r="D18436" s="22" t="str">
        <f>HYPERLINK("https://rhld.insurance.arkansas.gov/NPILookup?Npi=1962094565","1962094565")</f>
        <v>1962094565</v>
      </c>
      <c r="E18436" s="1" t="s">
        <v>6809</v>
      </c>
      <c r="F18436" s="2"/>
      <c r="G18436" s="2"/>
      <c r="H18436" s="2"/>
    </row>
    <row r="18437" spans="1:8" x14ac:dyDescent="0.25">
      <c r="A18437" s="1"/>
      <c r="B18437" s="1" t="s">
        <v>5782</v>
      </c>
      <c r="C18437" s="1" t="s">
        <v>5783</v>
      </c>
      <c r="D18437" s="22" t="str">
        <f>HYPERLINK("https://rhld.insurance.arkansas.gov/NPILookup?Npi=1962122762","1962122762")</f>
        <v>1962122762</v>
      </c>
      <c r="E18437" s="1" t="s">
        <v>6810</v>
      </c>
      <c r="F18437" s="2"/>
      <c r="G18437" s="2"/>
      <c r="H18437" s="2"/>
    </row>
    <row r="18438" spans="1:8" x14ac:dyDescent="0.25">
      <c r="A18438" s="1"/>
      <c r="B18438" s="1" t="s">
        <v>5782</v>
      </c>
      <c r="C18438" s="1" t="s">
        <v>5783</v>
      </c>
      <c r="D18438" s="22" t="str">
        <f>HYPERLINK("https://rhld.insurance.arkansas.gov/NPILookup?Npi=1962137315","1962137315")</f>
        <v>1962137315</v>
      </c>
      <c r="E18438" s="1" t="s">
        <v>6811</v>
      </c>
      <c r="F18438" s="2"/>
      <c r="G18438" s="2"/>
      <c r="H18438" s="2"/>
    </row>
    <row r="18439" spans="1:8" x14ac:dyDescent="0.25">
      <c r="A18439" s="1"/>
      <c r="B18439" s="1" t="s">
        <v>5782</v>
      </c>
      <c r="C18439" s="1" t="s">
        <v>5783</v>
      </c>
      <c r="D18439" s="22" t="str">
        <f>HYPERLINK("https://rhld.insurance.arkansas.gov/NPILookup?Npi=1962157487","1962157487")</f>
        <v>1962157487</v>
      </c>
      <c r="E18439" s="1" t="s">
        <v>31984</v>
      </c>
      <c r="F18439" s="2"/>
      <c r="G18439" s="2"/>
      <c r="H18439" s="2"/>
    </row>
    <row r="18440" spans="1:8" x14ac:dyDescent="0.25">
      <c r="A18440" s="1"/>
      <c r="B18440" s="1" t="s">
        <v>5782</v>
      </c>
      <c r="C18440" s="1" t="s">
        <v>5783</v>
      </c>
      <c r="D18440" s="22" t="str">
        <f>HYPERLINK("https://rhld.insurance.arkansas.gov/NPILookup?Npi=1962163105","1962163105")</f>
        <v>1962163105</v>
      </c>
      <c r="E18440" s="1" t="s">
        <v>23906</v>
      </c>
      <c r="F18440" s="2"/>
      <c r="G18440" s="2"/>
      <c r="H18440" s="2"/>
    </row>
    <row r="18441" spans="1:8" x14ac:dyDescent="0.25">
      <c r="A18441" s="1"/>
      <c r="B18441" s="1" t="s">
        <v>5782</v>
      </c>
      <c r="C18441" s="1" t="s">
        <v>5783</v>
      </c>
      <c r="D18441" s="22" t="str">
        <f>HYPERLINK("https://rhld.insurance.arkansas.gov/NPILookup?Npi=1962439133","1962439133")</f>
        <v>1962439133</v>
      </c>
      <c r="E18441" s="1" t="s">
        <v>21151</v>
      </c>
      <c r="F18441" s="2"/>
      <c r="G18441" s="2"/>
      <c r="H18441" s="2"/>
    </row>
    <row r="18442" spans="1:8" x14ac:dyDescent="0.25">
      <c r="A18442" s="1"/>
      <c r="B18442" s="1" t="s">
        <v>5782</v>
      </c>
      <c r="C18442" s="1" t="s">
        <v>5783</v>
      </c>
      <c r="D18442" s="22" t="str">
        <f>HYPERLINK("https://rhld.insurance.arkansas.gov/NPILookup?Npi=1962475517","1962475517")</f>
        <v>1962475517</v>
      </c>
      <c r="E18442" s="1" t="s">
        <v>23907</v>
      </c>
      <c r="F18442" s="2"/>
      <c r="G18442" s="2"/>
      <c r="H18442" s="2"/>
    </row>
    <row r="18443" spans="1:8" x14ac:dyDescent="0.25">
      <c r="A18443" s="1"/>
      <c r="B18443" s="1" t="s">
        <v>5782</v>
      </c>
      <c r="C18443" s="1" t="s">
        <v>5783</v>
      </c>
      <c r="D18443" s="22" t="str">
        <f>HYPERLINK("https://rhld.insurance.arkansas.gov/NPILookup?Npi=1962504498","1962504498")</f>
        <v>1962504498</v>
      </c>
      <c r="E18443" s="1" t="s">
        <v>23908</v>
      </c>
      <c r="F18443" s="2"/>
      <c r="G18443" s="2"/>
      <c r="H18443" s="2"/>
    </row>
    <row r="18444" spans="1:8" x14ac:dyDescent="0.25">
      <c r="A18444" s="1"/>
      <c r="B18444" s="1" t="s">
        <v>5782</v>
      </c>
      <c r="C18444" s="1" t="s">
        <v>5783</v>
      </c>
      <c r="D18444" s="22" t="str">
        <f>HYPERLINK("https://rhld.insurance.arkansas.gov/NPILookup?Npi=1962514562","1962514562")</f>
        <v>1962514562</v>
      </c>
      <c r="E18444" s="1" t="s">
        <v>23909</v>
      </c>
      <c r="F18444" s="2"/>
      <c r="G18444" s="2"/>
      <c r="H18444" s="2"/>
    </row>
    <row r="18445" spans="1:8" x14ac:dyDescent="0.25">
      <c r="A18445" s="1"/>
      <c r="B18445" s="1" t="s">
        <v>5782</v>
      </c>
      <c r="C18445" s="1" t="s">
        <v>5783</v>
      </c>
      <c r="D18445" s="22" t="str">
        <f>HYPERLINK("https://rhld.insurance.arkansas.gov/NPILookup?Npi=1962516021","1962516021")</f>
        <v>1962516021</v>
      </c>
      <c r="E18445" s="1" t="s">
        <v>1894</v>
      </c>
      <c r="F18445" s="2"/>
      <c r="G18445" s="2"/>
      <c r="H18445" s="2"/>
    </row>
    <row r="18446" spans="1:8" x14ac:dyDescent="0.25">
      <c r="A18446" s="1"/>
      <c r="B18446" s="1" t="s">
        <v>5782</v>
      </c>
      <c r="C18446" s="1" t="s">
        <v>5783</v>
      </c>
      <c r="D18446" s="22" t="str">
        <f>HYPERLINK("https://rhld.insurance.arkansas.gov/NPILookup?Npi=1962576173","1962576173")</f>
        <v>1962576173</v>
      </c>
      <c r="E18446" s="1" t="s">
        <v>23910</v>
      </c>
      <c r="F18446" s="2"/>
      <c r="G18446" s="2"/>
      <c r="H18446" s="2"/>
    </row>
    <row r="18447" spans="1:8" x14ac:dyDescent="0.25">
      <c r="A18447" s="1"/>
      <c r="B18447" s="1" t="s">
        <v>5782</v>
      </c>
      <c r="C18447" s="1" t="s">
        <v>5783</v>
      </c>
      <c r="D18447" s="22" t="str">
        <f>HYPERLINK("https://rhld.insurance.arkansas.gov/NPILookup?Npi=1962585901","1962585901")</f>
        <v>1962585901</v>
      </c>
      <c r="E18447" s="1" t="s">
        <v>12267</v>
      </c>
      <c r="F18447" s="2"/>
      <c r="G18447" s="2"/>
      <c r="H18447" s="2"/>
    </row>
    <row r="18448" spans="1:8" x14ac:dyDescent="0.25">
      <c r="A18448" s="1"/>
      <c r="B18448" s="1" t="s">
        <v>5782</v>
      </c>
      <c r="C18448" s="1" t="s">
        <v>5783</v>
      </c>
      <c r="D18448" s="22" t="str">
        <f>HYPERLINK("https://rhld.insurance.arkansas.gov/NPILookup?Npi=1962608638","1962608638")</f>
        <v>1962608638</v>
      </c>
      <c r="E18448" s="1" t="s">
        <v>23911</v>
      </c>
      <c r="F18448" s="2"/>
      <c r="G18448" s="2"/>
      <c r="H18448" s="2"/>
    </row>
    <row r="18449" spans="1:8" x14ac:dyDescent="0.25">
      <c r="A18449" s="1"/>
      <c r="B18449" s="1" t="s">
        <v>5782</v>
      </c>
      <c r="C18449" s="1" t="s">
        <v>5783</v>
      </c>
      <c r="D18449" s="22" t="str">
        <f>HYPERLINK("https://rhld.insurance.arkansas.gov/NPILookup?Npi=1962619130","1962619130")</f>
        <v>1962619130</v>
      </c>
      <c r="E18449" s="1" t="s">
        <v>23912</v>
      </c>
      <c r="F18449" s="2"/>
      <c r="G18449" s="2"/>
      <c r="H18449" s="2"/>
    </row>
    <row r="18450" spans="1:8" x14ac:dyDescent="0.25">
      <c r="A18450" s="1"/>
      <c r="B18450" s="1" t="s">
        <v>5782</v>
      </c>
      <c r="C18450" s="1" t="s">
        <v>5783</v>
      </c>
      <c r="D18450" s="22" t="str">
        <f>HYPERLINK("https://rhld.insurance.arkansas.gov/NPILookup?Npi=1962619510","1962619510")</f>
        <v>1962619510</v>
      </c>
      <c r="E18450" s="1" t="s">
        <v>354</v>
      </c>
      <c r="F18450" s="2"/>
      <c r="G18450" s="2"/>
      <c r="H18450" s="2"/>
    </row>
    <row r="18451" spans="1:8" x14ac:dyDescent="0.25">
      <c r="A18451" s="1"/>
      <c r="B18451" s="1" t="s">
        <v>5782</v>
      </c>
      <c r="C18451" s="1" t="s">
        <v>5783</v>
      </c>
      <c r="D18451" s="22" t="str">
        <f>HYPERLINK("https://rhld.insurance.arkansas.gov/NPILookup?Npi=1962630947","1962630947")</f>
        <v>1962630947</v>
      </c>
      <c r="E18451" s="1" t="s">
        <v>3424</v>
      </c>
      <c r="F18451" s="2"/>
      <c r="G18451" s="2"/>
      <c r="H18451" s="2"/>
    </row>
    <row r="18452" spans="1:8" x14ac:dyDescent="0.25">
      <c r="A18452" s="1"/>
      <c r="B18452" s="1" t="s">
        <v>5782</v>
      </c>
      <c r="C18452" s="1" t="s">
        <v>5783</v>
      </c>
      <c r="D18452" s="22" t="str">
        <f>HYPERLINK("https://rhld.insurance.arkansas.gov/NPILookup?Npi=1962640656","1962640656")</f>
        <v>1962640656</v>
      </c>
      <c r="E18452" s="1" t="s">
        <v>3425</v>
      </c>
      <c r="F18452" s="2"/>
      <c r="G18452" s="2"/>
      <c r="H18452" s="2"/>
    </row>
    <row r="18453" spans="1:8" x14ac:dyDescent="0.25">
      <c r="A18453" s="1"/>
      <c r="B18453" s="1" t="s">
        <v>5782</v>
      </c>
      <c r="C18453" s="1" t="s">
        <v>5783</v>
      </c>
      <c r="D18453" s="22" t="str">
        <f>HYPERLINK("https://rhld.insurance.arkansas.gov/NPILookup?Npi=1962651794","1962651794")</f>
        <v>1962651794</v>
      </c>
      <c r="E18453" s="1" t="s">
        <v>23913</v>
      </c>
      <c r="F18453" s="2"/>
      <c r="G18453" s="2"/>
      <c r="H18453" s="2"/>
    </row>
    <row r="18454" spans="1:8" x14ac:dyDescent="0.25">
      <c r="A18454" s="1"/>
      <c r="B18454" s="1" t="s">
        <v>5782</v>
      </c>
      <c r="C18454" s="1" t="s">
        <v>5783</v>
      </c>
      <c r="D18454" s="22" t="str">
        <f>HYPERLINK("https://rhld.insurance.arkansas.gov/NPILookup?Npi=1962659904","1962659904")</f>
        <v>1962659904</v>
      </c>
      <c r="E18454" s="1" t="s">
        <v>3426</v>
      </c>
      <c r="F18454" s="2"/>
      <c r="G18454" s="2"/>
      <c r="H18454" s="2"/>
    </row>
    <row r="18455" spans="1:8" x14ac:dyDescent="0.25">
      <c r="A18455" s="1"/>
      <c r="B18455" s="1" t="s">
        <v>5782</v>
      </c>
      <c r="C18455" s="1" t="s">
        <v>5783</v>
      </c>
      <c r="D18455" s="22" t="str">
        <f>HYPERLINK("https://rhld.insurance.arkansas.gov/NPILookup?Npi=1962662601","1962662601")</f>
        <v>1962662601</v>
      </c>
      <c r="E18455" s="1" t="s">
        <v>23914</v>
      </c>
      <c r="F18455" s="2"/>
      <c r="G18455" s="2"/>
      <c r="H18455" s="2"/>
    </row>
    <row r="18456" spans="1:8" x14ac:dyDescent="0.25">
      <c r="A18456" s="1"/>
      <c r="B18456" s="1" t="s">
        <v>5782</v>
      </c>
      <c r="C18456" s="1" t="s">
        <v>5783</v>
      </c>
      <c r="D18456" s="22" t="str">
        <f>HYPERLINK("https://rhld.insurance.arkansas.gov/NPILookup?Npi=1962679225","1962679225")</f>
        <v>1962679225</v>
      </c>
      <c r="E18456" s="1" t="s">
        <v>31985</v>
      </c>
      <c r="F18456" s="2"/>
      <c r="G18456" s="2"/>
      <c r="H18456" s="2"/>
    </row>
    <row r="18457" spans="1:8" x14ac:dyDescent="0.25">
      <c r="A18457" s="1"/>
      <c r="B18457" s="1" t="s">
        <v>5782</v>
      </c>
      <c r="C18457" s="1" t="s">
        <v>5783</v>
      </c>
      <c r="D18457" s="22" t="str">
        <f>HYPERLINK("https://rhld.insurance.arkansas.gov/NPILookup?Npi=1962684563","1962684563")</f>
        <v>1962684563</v>
      </c>
      <c r="E18457" s="1" t="s">
        <v>23848</v>
      </c>
      <c r="F18457" s="2"/>
      <c r="G18457" s="2"/>
      <c r="H18457" s="2"/>
    </row>
    <row r="18458" spans="1:8" x14ac:dyDescent="0.25">
      <c r="A18458" s="1"/>
      <c r="B18458" s="1" t="s">
        <v>5782</v>
      </c>
      <c r="C18458" s="1" t="s">
        <v>5783</v>
      </c>
      <c r="D18458" s="22" t="str">
        <f>HYPERLINK("https://rhld.insurance.arkansas.gov/NPILookup?Npi=1962730457","1962730457")</f>
        <v>1962730457</v>
      </c>
      <c r="E18458" s="1" t="s">
        <v>23915</v>
      </c>
      <c r="F18458" s="2"/>
      <c r="G18458" s="2"/>
      <c r="H18458" s="2"/>
    </row>
    <row r="18459" spans="1:8" x14ac:dyDescent="0.25">
      <c r="A18459" s="1"/>
      <c r="B18459" s="1" t="s">
        <v>5782</v>
      </c>
      <c r="C18459" s="1" t="s">
        <v>5783</v>
      </c>
      <c r="D18459" s="22" t="str">
        <f>HYPERLINK("https://rhld.insurance.arkansas.gov/NPILookup?Npi=1962774323","1962774323")</f>
        <v>1962774323</v>
      </c>
      <c r="E18459" s="1" t="s">
        <v>12268</v>
      </c>
      <c r="F18459" s="2"/>
      <c r="G18459" s="2"/>
      <c r="H18459" s="2"/>
    </row>
    <row r="18460" spans="1:8" x14ac:dyDescent="0.25">
      <c r="A18460" s="1"/>
      <c r="B18460" s="1" t="s">
        <v>5782</v>
      </c>
      <c r="C18460" s="1" t="s">
        <v>5783</v>
      </c>
      <c r="D18460" s="22" t="str">
        <f>HYPERLINK("https://rhld.insurance.arkansas.gov/NPILookup?Npi=1962783852","1962783852")</f>
        <v>1962783852</v>
      </c>
      <c r="E18460" s="1" t="s">
        <v>12269</v>
      </c>
      <c r="F18460" s="2"/>
      <c r="G18460" s="2"/>
      <c r="H18460" s="2"/>
    </row>
    <row r="18461" spans="1:8" x14ac:dyDescent="0.25">
      <c r="A18461" s="1"/>
      <c r="B18461" s="1" t="s">
        <v>5782</v>
      </c>
      <c r="C18461" s="1" t="s">
        <v>5783</v>
      </c>
      <c r="D18461" s="22" t="str">
        <f>HYPERLINK("https://rhld.insurance.arkansas.gov/NPILookup?Npi=1962813766","1962813766")</f>
        <v>1962813766</v>
      </c>
      <c r="E18461" s="1" t="s">
        <v>3427</v>
      </c>
      <c r="F18461" s="2"/>
      <c r="G18461" s="2"/>
      <c r="H18461" s="2"/>
    </row>
    <row r="18462" spans="1:8" x14ac:dyDescent="0.25">
      <c r="A18462" s="1"/>
      <c r="B18462" s="1" t="s">
        <v>5782</v>
      </c>
      <c r="C18462" s="1" t="s">
        <v>5783</v>
      </c>
      <c r="D18462" s="22" t="str">
        <f>HYPERLINK("https://rhld.insurance.arkansas.gov/NPILookup?Npi=1962831263","1962831263")</f>
        <v>1962831263</v>
      </c>
      <c r="E18462" s="1" t="s">
        <v>12270</v>
      </c>
      <c r="F18462" s="2"/>
      <c r="G18462" s="2"/>
      <c r="H18462" s="2"/>
    </row>
    <row r="18463" spans="1:8" x14ac:dyDescent="0.25">
      <c r="A18463" s="1"/>
      <c r="B18463" s="1" t="s">
        <v>5782</v>
      </c>
      <c r="C18463" s="1" t="s">
        <v>5783</v>
      </c>
      <c r="D18463" s="22" t="str">
        <f>HYPERLINK("https://rhld.insurance.arkansas.gov/NPILookup?Npi=1962836213","1962836213")</f>
        <v>1962836213</v>
      </c>
      <c r="E18463" s="1" t="s">
        <v>23916</v>
      </c>
      <c r="F18463" s="2"/>
      <c r="G18463" s="2"/>
      <c r="H18463" s="2"/>
    </row>
    <row r="18464" spans="1:8" x14ac:dyDescent="0.25">
      <c r="A18464" s="1"/>
      <c r="B18464" s="1" t="s">
        <v>5782</v>
      </c>
      <c r="C18464" s="1" t="s">
        <v>5783</v>
      </c>
      <c r="D18464" s="22" t="str">
        <f>HYPERLINK("https://rhld.insurance.arkansas.gov/NPILookup?Npi=1962839324","1962839324")</f>
        <v>1962839324</v>
      </c>
      <c r="E18464" s="1" t="s">
        <v>6812</v>
      </c>
      <c r="F18464" s="2"/>
      <c r="G18464" s="2"/>
      <c r="H18464" s="2"/>
    </row>
    <row r="18465" spans="1:8" x14ac:dyDescent="0.25">
      <c r="A18465" s="1"/>
      <c r="B18465" s="1" t="s">
        <v>5782</v>
      </c>
      <c r="C18465" s="1" t="s">
        <v>5783</v>
      </c>
      <c r="D18465" s="22" t="str">
        <f>HYPERLINK("https://rhld.insurance.arkansas.gov/NPILookup?Npi=1962855676","1962855676")</f>
        <v>1962855676</v>
      </c>
      <c r="E18465" s="1" t="s">
        <v>12271</v>
      </c>
      <c r="F18465" s="2"/>
      <c r="G18465" s="2"/>
      <c r="H18465" s="2"/>
    </row>
    <row r="18466" spans="1:8" x14ac:dyDescent="0.25">
      <c r="A18466" s="1"/>
      <c r="B18466" s="1" t="s">
        <v>5782</v>
      </c>
      <c r="C18466" s="1" t="s">
        <v>5783</v>
      </c>
      <c r="D18466" s="22" t="str">
        <f>HYPERLINK("https://rhld.insurance.arkansas.gov/NPILookup?Npi=1962865444","1962865444")</f>
        <v>1962865444</v>
      </c>
      <c r="E18466" s="1" t="s">
        <v>6813</v>
      </c>
      <c r="F18466" s="2"/>
      <c r="G18466" s="2"/>
      <c r="H18466" s="2"/>
    </row>
    <row r="18467" spans="1:8" x14ac:dyDescent="0.25">
      <c r="A18467" s="1"/>
      <c r="B18467" s="1" t="s">
        <v>5782</v>
      </c>
      <c r="C18467" s="1" t="s">
        <v>5783</v>
      </c>
      <c r="D18467" s="22" t="str">
        <f>HYPERLINK("https://rhld.insurance.arkansas.gov/NPILookup?Npi=1962870618","1962870618")</f>
        <v>1962870618</v>
      </c>
      <c r="E18467" s="1" t="s">
        <v>23917</v>
      </c>
      <c r="F18467" s="2"/>
      <c r="G18467" s="2"/>
      <c r="H18467" s="2"/>
    </row>
    <row r="18468" spans="1:8" x14ac:dyDescent="0.25">
      <c r="A18468" s="1"/>
      <c r="B18468" s="1" t="s">
        <v>5782</v>
      </c>
      <c r="C18468" s="1" t="s">
        <v>5783</v>
      </c>
      <c r="D18468" s="22" t="str">
        <f>HYPERLINK("https://rhld.insurance.arkansas.gov/NPILookup?Npi=1962909002","1962909002")</f>
        <v>1962909002</v>
      </c>
      <c r="E18468" s="1" t="s">
        <v>23918</v>
      </c>
      <c r="F18468" s="2"/>
      <c r="G18468" s="2"/>
      <c r="H18468" s="2"/>
    </row>
    <row r="18469" spans="1:8" x14ac:dyDescent="0.25">
      <c r="A18469" s="1"/>
      <c r="B18469" s="1" t="s">
        <v>5782</v>
      </c>
      <c r="C18469" s="1" t="s">
        <v>5783</v>
      </c>
      <c r="D18469" s="22" t="str">
        <f>HYPERLINK("https://rhld.insurance.arkansas.gov/NPILookup?Npi=1962935056","1962935056")</f>
        <v>1962935056</v>
      </c>
      <c r="E18469" s="1" t="s">
        <v>23919</v>
      </c>
      <c r="F18469" s="2"/>
      <c r="G18469" s="2"/>
      <c r="H18469" s="2"/>
    </row>
    <row r="18470" spans="1:8" x14ac:dyDescent="0.25">
      <c r="A18470" s="1"/>
      <c r="B18470" s="1" t="s">
        <v>5782</v>
      </c>
      <c r="C18470" s="1" t="s">
        <v>5783</v>
      </c>
      <c r="D18470" s="22" t="str">
        <f>HYPERLINK("https://rhld.insurance.arkansas.gov/NPILookup?Npi=1962942656","1962942656")</f>
        <v>1962942656</v>
      </c>
      <c r="E18470" s="1" t="s">
        <v>12272</v>
      </c>
      <c r="F18470" s="2"/>
      <c r="G18470" s="2"/>
      <c r="H18470" s="2"/>
    </row>
    <row r="18471" spans="1:8" x14ac:dyDescent="0.25">
      <c r="A18471" s="1"/>
      <c r="B18471" s="1" t="s">
        <v>5782</v>
      </c>
      <c r="C18471" s="1" t="s">
        <v>5783</v>
      </c>
      <c r="D18471" s="22" t="str">
        <f>HYPERLINK("https://rhld.insurance.arkansas.gov/NPILookup?Npi=1962944579","1962944579")</f>
        <v>1962944579</v>
      </c>
      <c r="E18471" s="1" t="s">
        <v>23920</v>
      </c>
      <c r="F18471" s="2"/>
      <c r="G18471" s="2"/>
      <c r="H18471" s="2"/>
    </row>
    <row r="18472" spans="1:8" x14ac:dyDescent="0.25">
      <c r="A18472" s="1"/>
      <c r="B18472" s="1" t="s">
        <v>5782</v>
      </c>
      <c r="C18472" s="1" t="s">
        <v>5783</v>
      </c>
      <c r="D18472" s="22" t="str">
        <f>HYPERLINK("https://rhld.insurance.arkansas.gov/NPILookup?Npi=1962946848","1962946848")</f>
        <v>1962946848</v>
      </c>
      <c r="E18472" s="1" t="s">
        <v>1065</v>
      </c>
      <c r="F18472" s="2"/>
      <c r="G18472" s="2"/>
      <c r="H18472" s="2"/>
    </row>
    <row r="18473" spans="1:8" x14ac:dyDescent="0.25">
      <c r="A18473" s="1"/>
      <c r="B18473" s="1" t="s">
        <v>5782</v>
      </c>
      <c r="C18473" s="1" t="s">
        <v>5783</v>
      </c>
      <c r="D18473" s="22" t="str">
        <f>HYPERLINK("https://rhld.insurance.arkansas.gov/NPILookup?Npi=1962948380","1962948380")</f>
        <v>1962948380</v>
      </c>
      <c r="E18473" s="1" t="s">
        <v>23921</v>
      </c>
      <c r="F18473" s="2"/>
      <c r="G18473" s="2"/>
      <c r="H18473" s="2"/>
    </row>
    <row r="18474" spans="1:8" x14ac:dyDescent="0.25">
      <c r="A18474" s="1"/>
      <c r="B18474" s="1" t="s">
        <v>5782</v>
      </c>
      <c r="C18474" s="1" t="s">
        <v>5783</v>
      </c>
      <c r="D18474" s="22" t="str">
        <f>HYPERLINK("https://rhld.insurance.arkansas.gov/NPILookup?Npi=1962951475","1962951475")</f>
        <v>1962951475</v>
      </c>
      <c r="E18474" s="1" t="s">
        <v>12273</v>
      </c>
      <c r="F18474" s="2"/>
      <c r="G18474" s="2"/>
      <c r="H18474" s="2"/>
    </row>
    <row r="18475" spans="1:8" x14ac:dyDescent="0.25">
      <c r="A18475" s="1"/>
      <c r="B18475" s="1" t="s">
        <v>5782</v>
      </c>
      <c r="C18475" s="1" t="s">
        <v>5783</v>
      </c>
      <c r="D18475" s="22" t="str">
        <f>HYPERLINK("https://rhld.insurance.arkansas.gov/NPILookup?Npi=1962960237","1962960237")</f>
        <v>1962960237</v>
      </c>
      <c r="E18475" s="1" t="s">
        <v>23922</v>
      </c>
      <c r="F18475" s="2"/>
      <c r="G18475" s="2"/>
      <c r="H18475" s="2"/>
    </row>
    <row r="18476" spans="1:8" x14ac:dyDescent="0.25">
      <c r="A18476" s="1"/>
      <c r="B18476" s="1" t="s">
        <v>5782</v>
      </c>
      <c r="C18476" s="1" t="s">
        <v>5783</v>
      </c>
      <c r="D18476" s="22" t="str">
        <f>HYPERLINK("https://rhld.insurance.arkansas.gov/NPILookup?Npi=1962965111","1962965111")</f>
        <v>1962965111</v>
      </c>
      <c r="E18476" s="1" t="s">
        <v>23923</v>
      </c>
      <c r="F18476" s="2"/>
      <c r="G18476" s="2"/>
      <c r="H18476" s="2"/>
    </row>
    <row r="18477" spans="1:8" x14ac:dyDescent="0.25">
      <c r="A18477" s="1"/>
      <c r="B18477" s="1" t="s">
        <v>5782</v>
      </c>
      <c r="C18477" s="1" t="s">
        <v>5783</v>
      </c>
      <c r="D18477" s="22" t="str">
        <f>HYPERLINK("https://rhld.insurance.arkansas.gov/NPILookup?Npi=1962969386","1962969386")</f>
        <v>1962969386</v>
      </c>
      <c r="E18477" s="1" t="s">
        <v>12274</v>
      </c>
      <c r="F18477" s="2"/>
      <c r="G18477" s="2"/>
      <c r="H18477" s="2"/>
    </row>
    <row r="18478" spans="1:8" x14ac:dyDescent="0.25">
      <c r="A18478" s="1"/>
      <c r="B18478" s="1" t="s">
        <v>5782</v>
      </c>
      <c r="C18478" s="1" t="s">
        <v>5783</v>
      </c>
      <c r="D18478" s="22" t="str">
        <f>HYPERLINK("https://rhld.insurance.arkansas.gov/NPILookup?Npi=1962988253","1962988253")</f>
        <v>1962988253</v>
      </c>
      <c r="E18478" s="1" t="s">
        <v>23924</v>
      </c>
      <c r="F18478" s="2"/>
      <c r="G18478" s="2"/>
      <c r="H18478" s="2"/>
    </row>
    <row r="18479" spans="1:8" x14ac:dyDescent="0.25">
      <c r="A18479" s="1"/>
      <c r="B18479" s="1" t="s">
        <v>5782</v>
      </c>
      <c r="C18479" s="1" t="s">
        <v>5783</v>
      </c>
      <c r="D18479" s="22" t="str">
        <f>HYPERLINK("https://rhld.insurance.arkansas.gov/NPILookup?Npi=1962996413","1962996413")</f>
        <v>1962996413</v>
      </c>
      <c r="E18479" s="1" t="s">
        <v>23925</v>
      </c>
      <c r="F18479" s="2"/>
      <c r="G18479" s="2"/>
      <c r="H18479" s="2"/>
    </row>
    <row r="18480" spans="1:8" x14ac:dyDescent="0.25">
      <c r="A18480" s="1"/>
      <c r="B18480" s="1" t="s">
        <v>5782</v>
      </c>
      <c r="C18480" s="1" t="s">
        <v>5783</v>
      </c>
      <c r="D18480" s="22" t="str">
        <f>HYPERLINK("https://rhld.insurance.arkansas.gov/NPILookup?Npi=1972003317","1972003317")</f>
        <v>1972003317</v>
      </c>
      <c r="E18480" s="1" t="s">
        <v>1605</v>
      </c>
      <c r="F18480" s="2"/>
      <c r="G18480" s="2"/>
      <c r="H18480" s="2"/>
    </row>
    <row r="18481" spans="1:8" x14ac:dyDescent="0.25">
      <c r="A18481" s="1"/>
      <c r="B18481" s="1" t="s">
        <v>5782</v>
      </c>
      <c r="C18481" s="1" t="s">
        <v>5783</v>
      </c>
      <c r="D18481" s="22" t="str">
        <f>HYPERLINK("https://rhld.insurance.arkansas.gov/NPILookup?Npi=1972016590","1972016590")</f>
        <v>1972016590</v>
      </c>
      <c r="E18481" s="1" t="s">
        <v>2186</v>
      </c>
      <c r="F18481" s="2"/>
      <c r="G18481" s="2"/>
      <c r="H18481" s="2"/>
    </row>
    <row r="18482" spans="1:8" x14ac:dyDescent="0.25">
      <c r="A18482" s="1"/>
      <c r="B18482" s="1" t="s">
        <v>5782</v>
      </c>
      <c r="C18482" s="1" t="s">
        <v>5783</v>
      </c>
      <c r="D18482" s="22" t="str">
        <f>HYPERLINK("https://rhld.insurance.arkansas.gov/NPILookup?Npi=1972018760","1972018760")</f>
        <v>1972018760</v>
      </c>
      <c r="E18482" s="1" t="s">
        <v>23926</v>
      </c>
      <c r="F18482" s="2"/>
      <c r="G18482" s="2"/>
      <c r="H18482" s="2"/>
    </row>
    <row r="18483" spans="1:8" x14ac:dyDescent="0.25">
      <c r="A18483" s="1"/>
      <c r="B18483" s="1" t="s">
        <v>5782</v>
      </c>
      <c r="C18483" s="1" t="s">
        <v>5783</v>
      </c>
      <c r="D18483" s="22" t="str">
        <f>HYPERLINK("https://rhld.insurance.arkansas.gov/NPILookup?Npi=1972019768","1972019768")</f>
        <v>1972019768</v>
      </c>
      <c r="E18483" s="1" t="s">
        <v>23927</v>
      </c>
      <c r="F18483" s="2"/>
      <c r="G18483" s="2"/>
      <c r="H18483" s="2"/>
    </row>
    <row r="18484" spans="1:8" x14ac:dyDescent="0.25">
      <c r="A18484" s="1"/>
      <c r="B18484" s="1" t="s">
        <v>5782</v>
      </c>
      <c r="C18484" s="1" t="s">
        <v>5783</v>
      </c>
      <c r="D18484" s="22" t="str">
        <f>HYPERLINK("https://rhld.insurance.arkansas.gov/NPILookup?Npi=1972028454","1972028454")</f>
        <v>1972028454</v>
      </c>
      <c r="E18484" s="1" t="s">
        <v>23928</v>
      </c>
      <c r="F18484" s="2"/>
      <c r="G18484" s="2"/>
      <c r="H18484" s="2"/>
    </row>
    <row r="18485" spans="1:8" x14ac:dyDescent="0.25">
      <c r="A18485" s="1"/>
      <c r="B18485" s="1" t="s">
        <v>5782</v>
      </c>
      <c r="C18485" s="1" t="s">
        <v>5783</v>
      </c>
      <c r="D18485" s="22" t="str">
        <f>HYPERLINK("https://rhld.insurance.arkansas.gov/NPILookup?Npi=1972043024","1972043024")</f>
        <v>1972043024</v>
      </c>
      <c r="E18485" s="1" t="s">
        <v>6814</v>
      </c>
      <c r="F18485" s="2"/>
      <c r="G18485" s="2"/>
      <c r="H18485" s="2"/>
    </row>
    <row r="18486" spans="1:8" x14ac:dyDescent="0.25">
      <c r="A18486" s="1"/>
      <c r="B18486" s="1" t="s">
        <v>5782</v>
      </c>
      <c r="C18486" s="1" t="s">
        <v>5783</v>
      </c>
      <c r="D18486" s="22" t="str">
        <f>HYPERLINK("https://rhld.insurance.arkansas.gov/NPILookup?Npi=1972043792","1972043792")</f>
        <v>1972043792</v>
      </c>
      <c r="E18486" s="1" t="s">
        <v>23929</v>
      </c>
      <c r="F18486" s="2"/>
      <c r="G18486" s="2"/>
      <c r="H18486" s="2"/>
    </row>
    <row r="18487" spans="1:8" x14ac:dyDescent="0.25">
      <c r="A18487" s="1"/>
      <c r="B18487" s="1" t="s">
        <v>5782</v>
      </c>
      <c r="C18487" s="1" t="s">
        <v>5783</v>
      </c>
      <c r="D18487" s="22" t="str">
        <f>HYPERLINK("https://rhld.insurance.arkansas.gov/NPILookup?Npi=1972051126","1972051126")</f>
        <v>1972051126</v>
      </c>
      <c r="E18487" s="1" t="s">
        <v>23930</v>
      </c>
      <c r="F18487" s="2"/>
      <c r="G18487" s="2"/>
      <c r="H18487" s="2"/>
    </row>
    <row r="18488" spans="1:8" x14ac:dyDescent="0.25">
      <c r="A18488" s="1"/>
      <c r="B18488" s="1" t="s">
        <v>5782</v>
      </c>
      <c r="C18488" s="1" t="s">
        <v>5783</v>
      </c>
      <c r="D18488" s="22" t="str">
        <f>HYPERLINK("https://rhld.insurance.arkansas.gov/NPILookup?Npi=1972071587","1972071587")</f>
        <v>1972071587</v>
      </c>
      <c r="E18488" s="1" t="s">
        <v>12275</v>
      </c>
      <c r="F18488" s="2"/>
      <c r="G18488" s="2"/>
      <c r="H18488" s="2"/>
    </row>
    <row r="18489" spans="1:8" x14ac:dyDescent="0.25">
      <c r="A18489" s="1"/>
      <c r="B18489" s="1" t="s">
        <v>5782</v>
      </c>
      <c r="C18489" s="1" t="s">
        <v>5783</v>
      </c>
      <c r="D18489" s="22" t="str">
        <f>HYPERLINK("https://rhld.insurance.arkansas.gov/NPILookup?Npi=1972083319","1972083319")</f>
        <v>1972083319</v>
      </c>
      <c r="E18489" s="1" t="s">
        <v>23931</v>
      </c>
      <c r="F18489" s="2"/>
      <c r="G18489" s="2"/>
      <c r="H18489" s="2"/>
    </row>
    <row r="18490" spans="1:8" x14ac:dyDescent="0.25">
      <c r="A18490" s="1"/>
      <c r="B18490" s="1" t="s">
        <v>5782</v>
      </c>
      <c r="C18490" s="1" t="s">
        <v>5783</v>
      </c>
      <c r="D18490" s="22" t="str">
        <f>HYPERLINK("https://rhld.insurance.arkansas.gov/NPILookup?Npi=1972086346","1972086346")</f>
        <v>1972086346</v>
      </c>
      <c r="E18490" s="1" t="s">
        <v>23932</v>
      </c>
      <c r="F18490" s="2"/>
      <c r="G18490" s="2"/>
      <c r="H18490" s="2"/>
    </row>
    <row r="18491" spans="1:8" x14ac:dyDescent="0.25">
      <c r="A18491" s="1"/>
      <c r="B18491" s="1" t="s">
        <v>5782</v>
      </c>
      <c r="C18491" s="1" t="s">
        <v>5783</v>
      </c>
      <c r="D18491" s="22" t="str">
        <f>HYPERLINK("https://rhld.insurance.arkansas.gov/NPILookup?Npi=1972116572","1972116572")</f>
        <v>1972116572</v>
      </c>
      <c r="E18491" s="1" t="s">
        <v>6815</v>
      </c>
      <c r="F18491" s="2"/>
      <c r="G18491" s="2"/>
      <c r="H18491" s="2"/>
    </row>
    <row r="18492" spans="1:8" x14ac:dyDescent="0.25">
      <c r="A18492" s="1"/>
      <c r="B18492" s="1" t="s">
        <v>5782</v>
      </c>
      <c r="C18492" s="1" t="s">
        <v>5783</v>
      </c>
      <c r="D18492" s="22" t="str">
        <f>HYPERLINK("https://rhld.insurance.arkansas.gov/NPILookup?Npi=1972142149","1972142149")</f>
        <v>1972142149</v>
      </c>
      <c r="E18492" s="1" t="s">
        <v>6816</v>
      </c>
      <c r="F18492" s="2"/>
      <c r="G18492" s="2"/>
      <c r="H18492" s="2"/>
    </row>
    <row r="18493" spans="1:8" x14ac:dyDescent="0.25">
      <c r="A18493" s="1"/>
      <c r="B18493" s="1" t="s">
        <v>5782</v>
      </c>
      <c r="C18493" s="1" t="s">
        <v>5783</v>
      </c>
      <c r="D18493" s="22" t="str">
        <f>HYPERLINK("https://rhld.insurance.arkansas.gov/NPILookup?Npi=1972143907","1972143907")</f>
        <v>1972143907</v>
      </c>
      <c r="E18493" s="1" t="s">
        <v>6817</v>
      </c>
      <c r="F18493" s="2"/>
      <c r="G18493" s="2"/>
      <c r="H18493" s="2"/>
    </row>
    <row r="18494" spans="1:8" x14ac:dyDescent="0.25">
      <c r="A18494" s="1"/>
      <c r="B18494" s="1" t="s">
        <v>5782</v>
      </c>
      <c r="C18494" s="1" t="s">
        <v>5783</v>
      </c>
      <c r="D18494" s="22" t="str">
        <f>HYPERLINK("https://rhld.insurance.arkansas.gov/NPILookup?Npi=1972173730","1972173730")</f>
        <v>1972173730</v>
      </c>
      <c r="E18494" s="1" t="s">
        <v>23933</v>
      </c>
      <c r="F18494" s="2"/>
      <c r="G18494" s="2"/>
      <c r="H18494" s="2"/>
    </row>
    <row r="18495" spans="1:8" x14ac:dyDescent="0.25">
      <c r="A18495" s="1"/>
      <c r="B18495" s="1" t="s">
        <v>5782</v>
      </c>
      <c r="C18495" s="1" t="s">
        <v>5783</v>
      </c>
      <c r="D18495" s="22" t="str">
        <f>HYPERLINK("https://rhld.insurance.arkansas.gov/NPILookup?Npi=1972175305","1972175305")</f>
        <v>1972175305</v>
      </c>
      <c r="E18495" s="1" t="s">
        <v>23934</v>
      </c>
      <c r="F18495" s="2"/>
      <c r="G18495" s="2"/>
      <c r="H18495" s="2"/>
    </row>
    <row r="18496" spans="1:8" x14ac:dyDescent="0.25">
      <c r="A18496" s="1"/>
      <c r="B18496" s="1" t="s">
        <v>5782</v>
      </c>
      <c r="C18496" s="1" t="s">
        <v>5783</v>
      </c>
      <c r="D18496" s="22" t="str">
        <f>HYPERLINK("https://rhld.insurance.arkansas.gov/NPILookup?Npi=1972175834","1972175834")</f>
        <v>1972175834</v>
      </c>
      <c r="E18496" s="1" t="s">
        <v>23935</v>
      </c>
      <c r="F18496" s="2"/>
      <c r="G18496" s="2"/>
      <c r="H18496" s="2"/>
    </row>
    <row r="18497" spans="1:8" x14ac:dyDescent="0.25">
      <c r="A18497" s="1"/>
      <c r="B18497" s="1" t="s">
        <v>5782</v>
      </c>
      <c r="C18497" s="1" t="s">
        <v>5783</v>
      </c>
      <c r="D18497" s="22" t="str">
        <f>HYPERLINK("https://rhld.insurance.arkansas.gov/NPILookup?Npi=1972179216","1972179216")</f>
        <v>1972179216</v>
      </c>
      <c r="E18497" s="1" t="s">
        <v>6951</v>
      </c>
      <c r="F18497" s="2"/>
      <c r="G18497" s="2"/>
      <c r="H18497" s="2"/>
    </row>
    <row r="18498" spans="1:8" x14ac:dyDescent="0.25">
      <c r="A18498" s="1"/>
      <c r="B18498" s="1" t="s">
        <v>5782</v>
      </c>
      <c r="C18498" s="1" t="s">
        <v>5783</v>
      </c>
      <c r="D18498" s="22" t="str">
        <f>HYPERLINK("https://rhld.insurance.arkansas.gov/NPILookup?Npi=1972199842","1972199842")</f>
        <v>1972199842</v>
      </c>
      <c r="E18498" s="1" t="s">
        <v>6818</v>
      </c>
      <c r="F18498" s="2"/>
      <c r="G18498" s="2"/>
      <c r="H18498" s="2"/>
    </row>
    <row r="18499" spans="1:8" x14ac:dyDescent="0.25">
      <c r="A18499" s="1"/>
      <c r="B18499" s="1" t="s">
        <v>5782</v>
      </c>
      <c r="C18499" s="1" t="s">
        <v>5783</v>
      </c>
      <c r="D18499" s="22" t="str">
        <f>HYPERLINK("https://rhld.insurance.arkansas.gov/NPILookup?Npi=1972201747","1972201747")</f>
        <v>1972201747</v>
      </c>
      <c r="E18499" s="1" t="s">
        <v>23936</v>
      </c>
      <c r="F18499" s="2"/>
      <c r="G18499" s="2"/>
      <c r="H18499" s="2"/>
    </row>
    <row r="18500" spans="1:8" x14ac:dyDescent="0.25">
      <c r="A18500" s="1"/>
      <c r="B18500" s="1" t="s">
        <v>5782</v>
      </c>
      <c r="C18500" s="1" t="s">
        <v>5783</v>
      </c>
      <c r="D18500" s="22" t="str">
        <f>HYPERLINK("https://rhld.insurance.arkansas.gov/NPILookup?Npi=1972224160","1972224160")</f>
        <v>1972224160</v>
      </c>
      <c r="E18500" s="1" t="s">
        <v>5876</v>
      </c>
      <c r="F18500" s="2"/>
      <c r="G18500" s="2"/>
      <c r="H18500" s="2"/>
    </row>
    <row r="18501" spans="1:8" x14ac:dyDescent="0.25">
      <c r="A18501" s="1"/>
      <c r="B18501" s="1" t="s">
        <v>5782</v>
      </c>
      <c r="C18501" s="1" t="s">
        <v>5783</v>
      </c>
      <c r="D18501" s="22" t="str">
        <f>HYPERLINK("https://rhld.insurance.arkansas.gov/NPILookup?Npi=1972232593","1972232593")</f>
        <v>1972232593</v>
      </c>
      <c r="E18501" s="1" t="s">
        <v>23937</v>
      </c>
      <c r="F18501" s="2"/>
      <c r="G18501" s="2"/>
      <c r="H18501" s="2"/>
    </row>
    <row r="18502" spans="1:8" x14ac:dyDescent="0.25">
      <c r="A18502" s="1"/>
      <c r="B18502" s="1" t="s">
        <v>5782</v>
      </c>
      <c r="C18502" s="1" t="s">
        <v>5783</v>
      </c>
      <c r="D18502" s="22" t="str">
        <f>HYPERLINK("https://rhld.insurance.arkansas.gov/NPILookup?Npi=1972262210","1972262210")</f>
        <v>1972262210</v>
      </c>
      <c r="E18502" s="1" t="s">
        <v>5652</v>
      </c>
      <c r="F18502" s="2"/>
      <c r="G18502" s="2"/>
      <c r="H18502" s="2"/>
    </row>
    <row r="18503" spans="1:8" x14ac:dyDescent="0.25">
      <c r="A18503" s="1"/>
      <c r="B18503" s="1" t="s">
        <v>5782</v>
      </c>
      <c r="C18503" s="1" t="s">
        <v>5783</v>
      </c>
      <c r="D18503" s="22" t="str">
        <f>HYPERLINK("https://rhld.insurance.arkansas.gov/NPILookup?Npi=1972263085","1972263085")</f>
        <v>1972263085</v>
      </c>
      <c r="E18503" s="1" t="s">
        <v>6819</v>
      </c>
      <c r="F18503" s="2"/>
      <c r="G18503" s="2"/>
      <c r="H18503" s="2"/>
    </row>
    <row r="18504" spans="1:8" x14ac:dyDescent="0.25">
      <c r="A18504" s="1"/>
      <c r="B18504" s="1" t="s">
        <v>5782</v>
      </c>
      <c r="C18504" s="1" t="s">
        <v>5783</v>
      </c>
      <c r="D18504" s="22" t="str">
        <f>HYPERLINK("https://rhld.insurance.arkansas.gov/NPILookup?Npi=1972268696","1972268696")</f>
        <v>1972268696</v>
      </c>
      <c r="E18504" s="1" t="s">
        <v>23938</v>
      </c>
      <c r="F18504" s="2"/>
      <c r="G18504" s="2"/>
      <c r="H18504" s="2"/>
    </row>
    <row r="18505" spans="1:8" x14ac:dyDescent="0.25">
      <c r="A18505" s="1"/>
      <c r="B18505" s="1" t="s">
        <v>5782</v>
      </c>
      <c r="C18505" s="1" t="s">
        <v>5783</v>
      </c>
      <c r="D18505" s="22" t="str">
        <f>HYPERLINK("https://rhld.insurance.arkansas.gov/NPILookup?Npi=1972276426","1972276426")</f>
        <v>1972276426</v>
      </c>
      <c r="E18505" s="1" t="s">
        <v>23939</v>
      </c>
      <c r="F18505" s="2"/>
      <c r="G18505" s="2"/>
      <c r="H18505" s="2"/>
    </row>
    <row r="18506" spans="1:8" x14ac:dyDescent="0.25">
      <c r="A18506" s="1"/>
      <c r="B18506" s="1" t="s">
        <v>5782</v>
      </c>
      <c r="C18506" s="1" t="s">
        <v>5783</v>
      </c>
      <c r="D18506" s="22" t="str">
        <f>HYPERLINK("https://rhld.insurance.arkansas.gov/NPILookup?Npi=1972383651","1972383651")</f>
        <v>1972383651</v>
      </c>
      <c r="E18506" s="1" t="s">
        <v>6820</v>
      </c>
      <c r="F18506" s="2"/>
      <c r="G18506" s="2"/>
      <c r="H18506" s="2"/>
    </row>
    <row r="18507" spans="1:8" x14ac:dyDescent="0.25">
      <c r="A18507" s="1"/>
      <c r="B18507" s="1" t="s">
        <v>5782</v>
      </c>
      <c r="C18507" s="1" t="s">
        <v>5783</v>
      </c>
      <c r="D18507" s="22" t="str">
        <f>HYPERLINK("https://rhld.insurance.arkansas.gov/NPILookup?Npi=1972576353","1972576353")</f>
        <v>1972576353</v>
      </c>
      <c r="E18507" s="1" t="s">
        <v>1176</v>
      </c>
      <c r="F18507" s="2"/>
      <c r="G18507" s="2"/>
      <c r="H18507" s="2"/>
    </row>
    <row r="18508" spans="1:8" x14ac:dyDescent="0.25">
      <c r="A18508" s="1"/>
      <c r="B18508" s="1" t="s">
        <v>5782</v>
      </c>
      <c r="C18508" s="1" t="s">
        <v>5783</v>
      </c>
      <c r="D18508" s="22" t="str">
        <f>HYPERLINK("https://rhld.insurance.arkansas.gov/NPILookup?Npi=1972639326","1972639326")</f>
        <v>1972639326</v>
      </c>
      <c r="E18508" s="1" t="s">
        <v>3428</v>
      </c>
      <c r="F18508" s="2"/>
      <c r="G18508" s="2"/>
      <c r="H18508" s="2"/>
    </row>
    <row r="18509" spans="1:8" x14ac:dyDescent="0.25">
      <c r="A18509" s="1"/>
      <c r="B18509" s="1" t="s">
        <v>5782</v>
      </c>
      <c r="C18509" s="1" t="s">
        <v>5783</v>
      </c>
      <c r="D18509" s="22" t="str">
        <f>HYPERLINK("https://rhld.insurance.arkansas.gov/NPILookup?Npi=1972640951","1972640951")</f>
        <v>1972640951</v>
      </c>
      <c r="E18509" s="1" t="s">
        <v>885</v>
      </c>
      <c r="F18509" s="2"/>
      <c r="G18509" s="2"/>
      <c r="H18509" s="2"/>
    </row>
    <row r="18510" spans="1:8" x14ac:dyDescent="0.25">
      <c r="A18510" s="1"/>
      <c r="B18510" s="1" t="s">
        <v>5782</v>
      </c>
      <c r="C18510" s="1" t="s">
        <v>5783</v>
      </c>
      <c r="D18510" s="22" t="str">
        <f>HYPERLINK("https://rhld.insurance.arkansas.gov/NPILookup?Npi=1972698041","1972698041")</f>
        <v>1972698041</v>
      </c>
      <c r="E18510" s="1" t="s">
        <v>12276</v>
      </c>
      <c r="F18510" s="2"/>
      <c r="G18510" s="2"/>
      <c r="H18510" s="2"/>
    </row>
    <row r="18511" spans="1:8" x14ac:dyDescent="0.25">
      <c r="A18511" s="1"/>
      <c r="B18511" s="1" t="s">
        <v>5782</v>
      </c>
      <c r="C18511" s="1" t="s">
        <v>5783</v>
      </c>
      <c r="D18511" s="22" t="str">
        <f>HYPERLINK("https://rhld.insurance.arkansas.gov/NPILookup?Npi=1972731578","1972731578")</f>
        <v>1972731578</v>
      </c>
      <c r="E18511" s="1" t="s">
        <v>23940</v>
      </c>
      <c r="F18511" s="2"/>
      <c r="G18511" s="2"/>
      <c r="H18511" s="2"/>
    </row>
    <row r="18512" spans="1:8" x14ac:dyDescent="0.25">
      <c r="A18512" s="1"/>
      <c r="B18512" s="1" t="s">
        <v>5782</v>
      </c>
      <c r="C18512" s="1" t="s">
        <v>5783</v>
      </c>
      <c r="D18512" s="22" t="str">
        <f>HYPERLINK("https://rhld.insurance.arkansas.gov/NPILookup?Npi=1972747228","1972747228")</f>
        <v>1972747228</v>
      </c>
      <c r="E18512" s="1" t="s">
        <v>23941</v>
      </c>
      <c r="F18512" s="2"/>
      <c r="G18512" s="2"/>
      <c r="H18512" s="2"/>
    </row>
    <row r="18513" spans="1:8" x14ac:dyDescent="0.25">
      <c r="A18513" s="1"/>
      <c r="B18513" s="1" t="s">
        <v>5782</v>
      </c>
      <c r="C18513" s="1" t="s">
        <v>5783</v>
      </c>
      <c r="D18513" s="22" t="str">
        <f>HYPERLINK("https://rhld.insurance.arkansas.gov/NPILookup?Npi=1972749133","1972749133")</f>
        <v>1972749133</v>
      </c>
      <c r="E18513" s="1" t="s">
        <v>23942</v>
      </c>
      <c r="F18513" s="2"/>
      <c r="G18513" s="2"/>
      <c r="H18513" s="2"/>
    </row>
    <row r="18514" spans="1:8" x14ac:dyDescent="0.25">
      <c r="A18514" s="1"/>
      <c r="B18514" s="1" t="s">
        <v>5782</v>
      </c>
      <c r="C18514" s="1" t="s">
        <v>5783</v>
      </c>
      <c r="D18514" s="22" t="str">
        <f>HYPERLINK("https://rhld.insurance.arkansas.gov/NPILookup?Npi=1972751170","1972751170")</f>
        <v>1972751170</v>
      </c>
      <c r="E18514" s="1" t="s">
        <v>2726</v>
      </c>
      <c r="F18514" s="2"/>
      <c r="G18514" s="2"/>
      <c r="H18514" s="2"/>
    </row>
    <row r="18515" spans="1:8" x14ac:dyDescent="0.25">
      <c r="A18515" s="1"/>
      <c r="B18515" s="1" t="s">
        <v>5782</v>
      </c>
      <c r="C18515" s="1" t="s">
        <v>5783</v>
      </c>
      <c r="D18515" s="22" t="str">
        <f>HYPERLINK("https://rhld.insurance.arkansas.gov/NPILookup?Npi=1972752863","1972752863")</f>
        <v>1972752863</v>
      </c>
      <c r="E18515" s="1" t="s">
        <v>6821</v>
      </c>
      <c r="F18515" s="2"/>
      <c r="G18515" s="2"/>
      <c r="H18515" s="2"/>
    </row>
    <row r="18516" spans="1:8" x14ac:dyDescent="0.25">
      <c r="A18516" s="1"/>
      <c r="B18516" s="1" t="s">
        <v>5782</v>
      </c>
      <c r="C18516" s="1" t="s">
        <v>5783</v>
      </c>
      <c r="D18516" s="22" t="str">
        <f>HYPERLINK("https://rhld.insurance.arkansas.gov/NPILookup?Npi=1972806164","1972806164")</f>
        <v>1972806164</v>
      </c>
      <c r="E18516" s="1" t="s">
        <v>4747</v>
      </c>
      <c r="F18516" s="2"/>
      <c r="G18516" s="2"/>
      <c r="H18516" s="2"/>
    </row>
    <row r="18517" spans="1:8" x14ac:dyDescent="0.25">
      <c r="A18517" s="1"/>
      <c r="B18517" s="1" t="s">
        <v>5782</v>
      </c>
      <c r="C18517" s="1" t="s">
        <v>5783</v>
      </c>
      <c r="D18517" s="22" t="str">
        <f>HYPERLINK("https://rhld.insurance.arkansas.gov/NPILookup?Npi=1972833143","1972833143")</f>
        <v>1972833143</v>
      </c>
      <c r="E18517" s="1" t="s">
        <v>2526</v>
      </c>
      <c r="F18517" s="2"/>
      <c r="G18517" s="2"/>
      <c r="H18517" s="2"/>
    </row>
    <row r="18518" spans="1:8" x14ac:dyDescent="0.25">
      <c r="A18518" s="1"/>
      <c r="B18518" s="1" t="s">
        <v>5782</v>
      </c>
      <c r="C18518" s="1" t="s">
        <v>5783</v>
      </c>
      <c r="D18518" s="22" t="str">
        <f>HYPERLINK("https://rhld.insurance.arkansas.gov/NPILookup?Npi=1972837276","1972837276")</f>
        <v>1972837276</v>
      </c>
      <c r="E18518" s="1" t="s">
        <v>23943</v>
      </c>
      <c r="F18518" s="2"/>
      <c r="G18518" s="2"/>
      <c r="H18518" s="2"/>
    </row>
    <row r="18519" spans="1:8" x14ac:dyDescent="0.25">
      <c r="A18519" s="1"/>
      <c r="B18519" s="1" t="s">
        <v>5782</v>
      </c>
      <c r="C18519" s="1" t="s">
        <v>5783</v>
      </c>
      <c r="D18519" s="22" t="str">
        <f>HYPERLINK("https://rhld.insurance.arkansas.gov/NPILookup?Npi=1972839272","1972839272")</f>
        <v>1972839272</v>
      </c>
      <c r="E18519" s="1" t="s">
        <v>959</v>
      </c>
      <c r="F18519" s="2"/>
      <c r="G18519" s="2"/>
      <c r="H18519" s="2"/>
    </row>
    <row r="18520" spans="1:8" x14ac:dyDescent="0.25">
      <c r="A18520" s="1"/>
      <c r="B18520" s="1" t="s">
        <v>5782</v>
      </c>
      <c r="C18520" s="1" t="s">
        <v>5783</v>
      </c>
      <c r="D18520" s="22" t="str">
        <f>HYPERLINK("https://rhld.insurance.arkansas.gov/NPILookup?Npi=1972843225","1972843225")</f>
        <v>1972843225</v>
      </c>
      <c r="E18520" s="1" t="s">
        <v>23944</v>
      </c>
      <c r="F18520" s="2"/>
      <c r="G18520" s="2"/>
      <c r="H18520" s="2"/>
    </row>
    <row r="18521" spans="1:8" x14ac:dyDescent="0.25">
      <c r="A18521" s="1"/>
      <c r="B18521" s="1" t="s">
        <v>5782</v>
      </c>
      <c r="C18521" s="1" t="s">
        <v>5783</v>
      </c>
      <c r="D18521" s="22" t="str">
        <f>HYPERLINK("https://rhld.insurance.arkansas.gov/NPILookup?Npi=1972853380","1972853380")</f>
        <v>1972853380</v>
      </c>
      <c r="E18521" s="1" t="s">
        <v>12277</v>
      </c>
      <c r="F18521" s="2"/>
      <c r="G18521" s="2"/>
      <c r="H18521" s="2"/>
    </row>
    <row r="18522" spans="1:8" x14ac:dyDescent="0.25">
      <c r="A18522" s="1"/>
      <c r="B18522" s="1" t="s">
        <v>5782</v>
      </c>
      <c r="C18522" s="1" t="s">
        <v>5783</v>
      </c>
      <c r="D18522" s="22" t="str">
        <f>HYPERLINK("https://rhld.insurance.arkansas.gov/NPILookup?Npi=1972867679","1972867679")</f>
        <v>1972867679</v>
      </c>
      <c r="E18522" s="1" t="s">
        <v>31986</v>
      </c>
      <c r="F18522" s="2"/>
      <c r="G18522" s="2"/>
      <c r="H18522" s="2"/>
    </row>
    <row r="18523" spans="1:8" x14ac:dyDescent="0.25">
      <c r="A18523" s="1"/>
      <c r="B18523" s="1" t="s">
        <v>5782</v>
      </c>
      <c r="C18523" s="1" t="s">
        <v>5783</v>
      </c>
      <c r="D18523" s="22" t="str">
        <f>HYPERLINK("https://rhld.insurance.arkansas.gov/NPILookup?Npi=1972889061","1972889061")</f>
        <v>1972889061</v>
      </c>
      <c r="E18523" s="1" t="s">
        <v>23946</v>
      </c>
      <c r="F18523" s="2"/>
      <c r="G18523" s="2"/>
      <c r="H18523" s="2"/>
    </row>
    <row r="18524" spans="1:8" x14ac:dyDescent="0.25">
      <c r="A18524" s="1"/>
      <c r="B18524" s="1" t="s">
        <v>5782</v>
      </c>
      <c r="C18524" s="1" t="s">
        <v>5783</v>
      </c>
      <c r="D18524" s="22" t="str">
        <f>HYPERLINK("https://rhld.insurance.arkansas.gov/NPILookup?Npi=1972896686","1972896686")</f>
        <v>1972896686</v>
      </c>
      <c r="E18524" s="1" t="s">
        <v>23947</v>
      </c>
      <c r="F18524" s="2"/>
      <c r="G18524" s="2"/>
      <c r="H18524" s="2"/>
    </row>
    <row r="18525" spans="1:8" x14ac:dyDescent="0.25">
      <c r="A18525" s="1"/>
      <c r="B18525" s="1" t="s">
        <v>5782</v>
      </c>
      <c r="C18525" s="1" t="s">
        <v>5783</v>
      </c>
      <c r="D18525" s="22" t="str">
        <f>HYPERLINK("https://rhld.insurance.arkansas.gov/NPILookup?Npi=1972899052","1972899052")</f>
        <v>1972899052</v>
      </c>
      <c r="E18525" s="1" t="s">
        <v>795</v>
      </c>
      <c r="F18525" s="2"/>
      <c r="G18525" s="2"/>
      <c r="H18525" s="2"/>
    </row>
    <row r="18526" spans="1:8" x14ac:dyDescent="0.25">
      <c r="A18526" s="1"/>
      <c r="B18526" s="1" t="s">
        <v>5782</v>
      </c>
      <c r="C18526" s="1" t="s">
        <v>5783</v>
      </c>
      <c r="D18526" s="22" t="str">
        <f>HYPERLINK("https://rhld.insurance.arkansas.gov/NPILookup?Npi=1972926418","1972926418")</f>
        <v>1972926418</v>
      </c>
      <c r="E18526" s="1" t="s">
        <v>399</v>
      </c>
      <c r="F18526" s="2"/>
      <c r="G18526" s="2"/>
      <c r="H18526" s="2"/>
    </row>
    <row r="18527" spans="1:8" x14ac:dyDescent="0.25">
      <c r="A18527" s="1"/>
      <c r="B18527" s="1" t="s">
        <v>5782</v>
      </c>
      <c r="C18527" s="1" t="s">
        <v>5783</v>
      </c>
      <c r="D18527" s="22" t="str">
        <f>HYPERLINK("https://rhld.insurance.arkansas.gov/NPILookup?Npi=1972929511","1972929511")</f>
        <v>1972929511</v>
      </c>
      <c r="E18527" s="1" t="s">
        <v>12278</v>
      </c>
      <c r="F18527" s="2"/>
      <c r="G18527" s="2"/>
      <c r="H18527" s="2"/>
    </row>
    <row r="18528" spans="1:8" x14ac:dyDescent="0.25">
      <c r="A18528" s="1"/>
      <c r="B18528" s="1" t="s">
        <v>5782</v>
      </c>
      <c r="C18528" s="1" t="s">
        <v>5783</v>
      </c>
      <c r="D18528" s="22" t="str">
        <f>HYPERLINK("https://rhld.insurance.arkansas.gov/NPILookup?Npi=1972939304","1972939304")</f>
        <v>1972939304</v>
      </c>
      <c r="E18528" s="1" t="s">
        <v>1606</v>
      </c>
      <c r="F18528" s="2"/>
      <c r="G18528" s="2"/>
      <c r="H18528" s="2"/>
    </row>
    <row r="18529" spans="1:8" x14ac:dyDescent="0.25">
      <c r="A18529" s="1"/>
      <c r="B18529" s="1" t="s">
        <v>5782</v>
      </c>
      <c r="C18529" s="1" t="s">
        <v>5783</v>
      </c>
      <c r="D18529" s="22" t="str">
        <f>HYPERLINK("https://rhld.insurance.arkansas.gov/NPILookup?Npi=1972978591","1972978591")</f>
        <v>1972978591</v>
      </c>
      <c r="E18529" s="1" t="s">
        <v>23948</v>
      </c>
      <c r="F18529" s="2"/>
      <c r="G18529" s="2"/>
      <c r="H18529" s="2"/>
    </row>
    <row r="18530" spans="1:8" x14ac:dyDescent="0.25">
      <c r="A18530" s="1"/>
      <c r="B18530" s="1" t="s">
        <v>5782</v>
      </c>
      <c r="C18530" s="1" t="s">
        <v>5783</v>
      </c>
      <c r="D18530" s="22" t="str">
        <f>HYPERLINK("https://rhld.insurance.arkansas.gov/NPILookup?Npi=1972991842","1972991842")</f>
        <v>1972991842</v>
      </c>
      <c r="E18530" s="1" t="s">
        <v>23949</v>
      </c>
      <c r="F18530" s="2"/>
      <c r="G18530" s="2"/>
      <c r="H18530" s="2"/>
    </row>
    <row r="18531" spans="1:8" x14ac:dyDescent="0.25">
      <c r="A18531" s="1"/>
      <c r="B18531" s="1" t="s">
        <v>5782</v>
      </c>
      <c r="C18531" s="1" t="s">
        <v>5783</v>
      </c>
      <c r="D18531" s="22" t="str">
        <f>HYPERLINK("https://rhld.insurance.arkansas.gov/NPILookup?Npi=1982011235","1982011235")</f>
        <v>1982011235</v>
      </c>
      <c r="E18531" s="1" t="s">
        <v>23950</v>
      </c>
      <c r="F18531" s="2"/>
      <c r="G18531" s="2"/>
      <c r="H18531" s="2"/>
    </row>
    <row r="18532" spans="1:8" x14ac:dyDescent="0.25">
      <c r="A18532" s="1"/>
      <c r="B18532" s="1" t="s">
        <v>5782</v>
      </c>
      <c r="C18532" s="1" t="s">
        <v>5783</v>
      </c>
      <c r="D18532" s="22" t="str">
        <f>HYPERLINK("https://rhld.insurance.arkansas.gov/NPILookup?Npi=1982031514","1982031514")</f>
        <v>1982031514</v>
      </c>
      <c r="E18532" s="1" t="s">
        <v>416</v>
      </c>
      <c r="F18532" s="2"/>
      <c r="G18532" s="2"/>
      <c r="H18532" s="2"/>
    </row>
    <row r="18533" spans="1:8" x14ac:dyDescent="0.25">
      <c r="A18533" s="1"/>
      <c r="B18533" s="1" t="s">
        <v>5782</v>
      </c>
      <c r="C18533" s="1" t="s">
        <v>5783</v>
      </c>
      <c r="D18533" s="22" t="str">
        <f>HYPERLINK("https://rhld.insurance.arkansas.gov/NPILookup?Npi=1982055828","1982055828")</f>
        <v>1982055828</v>
      </c>
      <c r="E18533" s="1" t="s">
        <v>23951</v>
      </c>
      <c r="F18533" s="2"/>
      <c r="G18533" s="2"/>
      <c r="H18533" s="2"/>
    </row>
    <row r="18534" spans="1:8" x14ac:dyDescent="0.25">
      <c r="A18534" s="1"/>
      <c r="B18534" s="1" t="s">
        <v>5782</v>
      </c>
      <c r="C18534" s="1" t="s">
        <v>5783</v>
      </c>
      <c r="D18534" s="22" t="str">
        <f>HYPERLINK("https://rhld.insurance.arkansas.gov/NPILookup?Npi=1982058723","1982058723")</f>
        <v>1982058723</v>
      </c>
      <c r="E18534" s="1" t="s">
        <v>3429</v>
      </c>
      <c r="F18534" s="2"/>
      <c r="G18534" s="2"/>
      <c r="H18534" s="2"/>
    </row>
    <row r="18535" spans="1:8" x14ac:dyDescent="0.25">
      <c r="A18535" s="1"/>
      <c r="B18535" s="1" t="s">
        <v>5782</v>
      </c>
      <c r="C18535" s="1" t="s">
        <v>5783</v>
      </c>
      <c r="D18535" s="22" t="str">
        <f>HYPERLINK("https://rhld.insurance.arkansas.gov/NPILookup?Npi=1982070868","1982070868")</f>
        <v>1982070868</v>
      </c>
      <c r="E18535" s="1" t="s">
        <v>6822</v>
      </c>
      <c r="F18535" s="2"/>
      <c r="G18535" s="2"/>
      <c r="H18535" s="2"/>
    </row>
    <row r="18536" spans="1:8" x14ac:dyDescent="0.25">
      <c r="A18536" s="1"/>
      <c r="B18536" s="1" t="s">
        <v>5782</v>
      </c>
      <c r="C18536" s="1" t="s">
        <v>5783</v>
      </c>
      <c r="D18536" s="22" t="str">
        <f>HYPERLINK("https://rhld.insurance.arkansas.gov/NPILookup?Npi=1982110565","1982110565")</f>
        <v>1982110565</v>
      </c>
      <c r="E18536" s="1" t="s">
        <v>12279</v>
      </c>
      <c r="F18536" s="2"/>
      <c r="G18536" s="2"/>
      <c r="H18536" s="2"/>
    </row>
    <row r="18537" spans="1:8" x14ac:dyDescent="0.25">
      <c r="A18537" s="1"/>
      <c r="B18537" s="1" t="s">
        <v>5782</v>
      </c>
      <c r="C18537" s="1" t="s">
        <v>5783</v>
      </c>
      <c r="D18537" s="22" t="str">
        <f>HYPERLINK("https://rhld.insurance.arkansas.gov/NPILookup?Npi=1982134441","1982134441")</f>
        <v>1982134441</v>
      </c>
      <c r="E18537" s="1" t="s">
        <v>1901</v>
      </c>
      <c r="F18537" s="2"/>
      <c r="G18537" s="2"/>
      <c r="H18537" s="2"/>
    </row>
    <row r="18538" spans="1:8" x14ac:dyDescent="0.25">
      <c r="A18538" s="1"/>
      <c r="B18538" s="1" t="s">
        <v>5782</v>
      </c>
      <c r="C18538" s="1" t="s">
        <v>5783</v>
      </c>
      <c r="D18538" s="22" t="str">
        <f>HYPERLINK("https://rhld.insurance.arkansas.gov/NPILookup?Npi=1982138533","1982138533")</f>
        <v>1982138533</v>
      </c>
      <c r="E18538" s="1" t="s">
        <v>12280</v>
      </c>
      <c r="F18538" s="2"/>
      <c r="G18538" s="2"/>
      <c r="H18538" s="2"/>
    </row>
    <row r="18539" spans="1:8" x14ac:dyDescent="0.25">
      <c r="A18539" s="1"/>
      <c r="B18539" s="1" t="s">
        <v>5782</v>
      </c>
      <c r="C18539" s="1" t="s">
        <v>5783</v>
      </c>
      <c r="D18539" s="22" t="str">
        <f>HYPERLINK("https://rhld.insurance.arkansas.gov/NPILookup?Npi=1982145660","1982145660")</f>
        <v>1982145660</v>
      </c>
      <c r="E18539" s="1" t="s">
        <v>12281</v>
      </c>
      <c r="F18539" s="2"/>
      <c r="G18539" s="2"/>
      <c r="H18539" s="2"/>
    </row>
    <row r="18540" spans="1:8" x14ac:dyDescent="0.25">
      <c r="A18540" s="1"/>
      <c r="B18540" s="1" t="s">
        <v>5782</v>
      </c>
      <c r="C18540" s="1" t="s">
        <v>5783</v>
      </c>
      <c r="D18540" s="22" t="str">
        <f>HYPERLINK("https://rhld.insurance.arkansas.gov/NPILookup?Npi=1982150637","1982150637")</f>
        <v>1982150637</v>
      </c>
      <c r="E18540" s="1" t="s">
        <v>12282</v>
      </c>
      <c r="F18540" s="2"/>
      <c r="G18540" s="2"/>
      <c r="H18540" s="2"/>
    </row>
    <row r="18541" spans="1:8" x14ac:dyDescent="0.25">
      <c r="A18541" s="1"/>
      <c r="B18541" s="1" t="s">
        <v>5782</v>
      </c>
      <c r="C18541" s="1" t="s">
        <v>5783</v>
      </c>
      <c r="D18541" s="22" t="str">
        <f>HYPERLINK("https://rhld.insurance.arkansas.gov/NPILookup?Npi=1982153987","1982153987")</f>
        <v>1982153987</v>
      </c>
      <c r="E18541" s="1" t="s">
        <v>23952</v>
      </c>
      <c r="F18541" s="2"/>
      <c r="G18541" s="2"/>
      <c r="H18541" s="2"/>
    </row>
    <row r="18542" spans="1:8" x14ac:dyDescent="0.25">
      <c r="A18542" s="1"/>
      <c r="B18542" s="1" t="s">
        <v>5782</v>
      </c>
      <c r="C18542" s="1" t="s">
        <v>5783</v>
      </c>
      <c r="D18542" s="22" t="str">
        <f>HYPERLINK("https://rhld.insurance.arkansas.gov/NPILookup?Npi=1982189007","1982189007")</f>
        <v>1982189007</v>
      </c>
      <c r="E18542" s="1" t="s">
        <v>1682</v>
      </c>
      <c r="F18542" s="2"/>
      <c r="G18542" s="2"/>
      <c r="H18542" s="2"/>
    </row>
    <row r="18543" spans="1:8" x14ac:dyDescent="0.25">
      <c r="A18543" s="1"/>
      <c r="B18543" s="1" t="s">
        <v>5782</v>
      </c>
      <c r="C18543" s="1" t="s">
        <v>5783</v>
      </c>
      <c r="D18543" s="22" t="str">
        <f>HYPERLINK("https://rhld.insurance.arkansas.gov/NPILookup?Npi=1982194601","1982194601")</f>
        <v>1982194601</v>
      </c>
      <c r="E18543" s="1" t="s">
        <v>23953</v>
      </c>
      <c r="F18543" s="2"/>
      <c r="G18543" s="2"/>
      <c r="H18543" s="2"/>
    </row>
    <row r="18544" spans="1:8" x14ac:dyDescent="0.25">
      <c r="A18544" s="1"/>
      <c r="B18544" s="1" t="s">
        <v>5782</v>
      </c>
      <c r="C18544" s="1" t="s">
        <v>5783</v>
      </c>
      <c r="D18544" s="22" t="str">
        <f>HYPERLINK("https://rhld.insurance.arkansas.gov/NPILookup?Npi=1982214367","1982214367")</f>
        <v>1982214367</v>
      </c>
      <c r="E18544" s="1" t="s">
        <v>23954</v>
      </c>
      <c r="F18544" s="2"/>
      <c r="G18544" s="2"/>
      <c r="H18544" s="2"/>
    </row>
    <row r="18545" spans="1:8" x14ac:dyDescent="0.25">
      <c r="A18545" s="1"/>
      <c r="B18545" s="1" t="s">
        <v>5782</v>
      </c>
      <c r="C18545" s="1" t="s">
        <v>5783</v>
      </c>
      <c r="D18545" s="22" t="str">
        <f>HYPERLINK("https://rhld.insurance.arkansas.gov/NPILookup?Npi=1982218830","1982218830")</f>
        <v>1982218830</v>
      </c>
      <c r="E18545" s="1" t="s">
        <v>2527</v>
      </c>
      <c r="F18545" s="2"/>
      <c r="G18545" s="2"/>
      <c r="H18545" s="2"/>
    </row>
    <row r="18546" spans="1:8" x14ac:dyDescent="0.25">
      <c r="A18546" s="1"/>
      <c r="B18546" s="1" t="s">
        <v>5782</v>
      </c>
      <c r="C18546" s="1" t="s">
        <v>5783</v>
      </c>
      <c r="D18546" s="22" t="str">
        <f>HYPERLINK("https://rhld.insurance.arkansas.gov/NPILookup?Npi=1982229787","1982229787")</f>
        <v>1982229787</v>
      </c>
      <c r="E18546" s="1" t="s">
        <v>23955</v>
      </c>
      <c r="F18546" s="2"/>
      <c r="G18546" s="2"/>
      <c r="H18546" s="2"/>
    </row>
    <row r="18547" spans="1:8" x14ac:dyDescent="0.25">
      <c r="A18547" s="1"/>
      <c r="B18547" s="1" t="s">
        <v>5782</v>
      </c>
      <c r="C18547" s="1" t="s">
        <v>5783</v>
      </c>
      <c r="D18547" s="22" t="str">
        <f>HYPERLINK("https://rhld.insurance.arkansas.gov/NPILookup?Npi=1982238457","1982238457")</f>
        <v>1982238457</v>
      </c>
      <c r="E18547" s="1" t="s">
        <v>6823</v>
      </c>
      <c r="F18547" s="2"/>
      <c r="G18547" s="2"/>
      <c r="H18547" s="2"/>
    </row>
    <row r="18548" spans="1:8" x14ac:dyDescent="0.25">
      <c r="A18548" s="1"/>
      <c r="B18548" s="1" t="s">
        <v>5782</v>
      </c>
      <c r="C18548" s="1" t="s">
        <v>5783</v>
      </c>
      <c r="D18548" s="22" t="str">
        <f>HYPERLINK("https://rhld.insurance.arkansas.gov/NPILookup?Npi=1982241246","1982241246")</f>
        <v>1982241246</v>
      </c>
      <c r="E18548" s="1" t="s">
        <v>23956</v>
      </c>
      <c r="F18548" s="2"/>
      <c r="G18548" s="2"/>
      <c r="H18548" s="2"/>
    </row>
    <row r="18549" spans="1:8" x14ac:dyDescent="0.25">
      <c r="A18549" s="1"/>
      <c r="B18549" s="1" t="s">
        <v>5782</v>
      </c>
      <c r="C18549" s="1" t="s">
        <v>5783</v>
      </c>
      <c r="D18549" s="22" t="str">
        <f>HYPERLINK("https://rhld.insurance.arkansas.gov/NPILookup?Npi=1982258182","1982258182")</f>
        <v>1982258182</v>
      </c>
      <c r="E18549" s="1" t="s">
        <v>23957</v>
      </c>
      <c r="F18549" s="2"/>
      <c r="G18549" s="2"/>
      <c r="H18549" s="2"/>
    </row>
    <row r="18550" spans="1:8" x14ac:dyDescent="0.25">
      <c r="A18550" s="1"/>
      <c r="B18550" s="1" t="s">
        <v>5782</v>
      </c>
      <c r="C18550" s="1" t="s">
        <v>5783</v>
      </c>
      <c r="D18550" s="22" t="str">
        <f>HYPERLINK("https://rhld.insurance.arkansas.gov/NPILookup?Npi=1982258794","1982258794")</f>
        <v>1982258794</v>
      </c>
      <c r="E18550" s="1" t="s">
        <v>23958</v>
      </c>
      <c r="F18550" s="2"/>
      <c r="G18550" s="2"/>
      <c r="H18550" s="2"/>
    </row>
    <row r="18551" spans="1:8" x14ac:dyDescent="0.25">
      <c r="A18551" s="1"/>
      <c r="B18551" s="1" t="s">
        <v>5782</v>
      </c>
      <c r="C18551" s="1" t="s">
        <v>5783</v>
      </c>
      <c r="D18551" s="22" t="str">
        <f>HYPERLINK("https://rhld.insurance.arkansas.gov/NPILookup?Npi=1982261251","1982261251")</f>
        <v>1982261251</v>
      </c>
      <c r="E18551" s="1" t="s">
        <v>23959</v>
      </c>
      <c r="F18551" s="2"/>
      <c r="G18551" s="2"/>
      <c r="H18551" s="2"/>
    </row>
    <row r="18552" spans="1:8" x14ac:dyDescent="0.25">
      <c r="A18552" s="1"/>
      <c r="B18552" s="1" t="s">
        <v>5782</v>
      </c>
      <c r="C18552" s="1" t="s">
        <v>5783</v>
      </c>
      <c r="D18552" s="22" t="str">
        <f>HYPERLINK("https://rhld.insurance.arkansas.gov/NPILookup?Npi=1982272290","1982272290")</f>
        <v>1982272290</v>
      </c>
      <c r="E18552" s="1" t="s">
        <v>23960</v>
      </c>
      <c r="F18552" s="2"/>
      <c r="G18552" s="2"/>
      <c r="H18552" s="2"/>
    </row>
    <row r="18553" spans="1:8" x14ac:dyDescent="0.25">
      <c r="A18553" s="1"/>
      <c r="B18553" s="1" t="s">
        <v>5782</v>
      </c>
      <c r="C18553" s="1" t="s">
        <v>5783</v>
      </c>
      <c r="D18553" s="22" t="str">
        <f>HYPERLINK("https://rhld.insurance.arkansas.gov/NPILookup?Npi=1982283206","1982283206")</f>
        <v>1982283206</v>
      </c>
      <c r="E18553" s="1" t="s">
        <v>31987</v>
      </c>
      <c r="F18553" s="2"/>
      <c r="G18553" s="2"/>
      <c r="H18553" s="2"/>
    </row>
    <row r="18554" spans="1:8" x14ac:dyDescent="0.25">
      <c r="A18554" s="1"/>
      <c r="B18554" s="1" t="s">
        <v>5782</v>
      </c>
      <c r="C18554" s="1" t="s">
        <v>5783</v>
      </c>
      <c r="D18554" s="22" t="str">
        <f>HYPERLINK("https://rhld.insurance.arkansas.gov/NPILookup?Npi=1982286142","1982286142")</f>
        <v>1982286142</v>
      </c>
      <c r="E18554" s="1" t="s">
        <v>23961</v>
      </c>
      <c r="F18554" s="2"/>
      <c r="G18554" s="2"/>
      <c r="H18554" s="2"/>
    </row>
    <row r="18555" spans="1:8" x14ac:dyDescent="0.25">
      <c r="A18555" s="1"/>
      <c r="B18555" s="1" t="s">
        <v>5782</v>
      </c>
      <c r="C18555" s="1" t="s">
        <v>5783</v>
      </c>
      <c r="D18555" s="22" t="str">
        <f>HYPERLINK("https://rhld.insurance.arkansas.gov/NPILookup?Npi=1982288494","1982288494")</f>
        <v>1982288494</v>
      </c>
      <c r="E18555" s="1" t="s">
        <v>23962</v>
      </c>
      <c r="F18555" s="2"/>
      <c r="G18555" s="2"/>
      <c r="H18555" s="2"/>
    </row>
    <row r="18556" spans="1:8" x14ac:dyDescent="0.25">
      <c r="A18556" s="1"/>
      <c r="B18556" s="1" t="s">
        <v>5782</v>
      </c>
      <c r="C18556" s="1" t="s">
        <v>5783</v>
      </c>
      <c r="D18556" s="22" t="str">
        <f>HYPERLINK("https://rhld.insurance.arkansas.gov/NPILookup?Npi=1982297560","1982297560")</f>
        <v>1982297560</v>
      </c>
      <c r="E18556" s="1" t="s">
        <v>23963</v>
      </c>
      <c r="F18556" s="2"/>
      <c r="G18556" s="2"/>
      <c r="H18556" s="2"/>
    </row>
    <row r="18557" spans="1:8" x14ac:dyDescent="0.25">
      <c r="A18557" s="1"/>
      <c r="B18557" s="1" t="s">
        <v>5782</v>
      </c>
      <c r="C18557" s="1" t="s">
        <v>5783</v>
      </c>
      <c r="D18557" s="22" t="str">
        <f>HYPERLINK("https://rhld.insurance.arkansas.gov/NPILookup?Npi=1982341269","1982341269")</f>
        <v>1982341269</v>
      </c>
      <c r="E18557" s="1" t="s">
        <v>31988</v>
      </c>
      <c r="F18557" s="2"/>
      <c r="G18557" s="2"/>
      <c r="H18557" s="2"/>
    </row>
    <row r="18558" spans="1:8" x14ac:dyDescent="0.25">
      <c r="A18558" s="1"/>
      <c r="B18558" s="1" t="s">
        <v>5782</v>
      </c>
      <c r="C18558" s="1" t="s">
        <v>5783</v>
      </c>
      <c r="D18558" s="22" t="str">
        <f>HYPERLINK("https://rhld.insurance.arkansas.gov/NPILookup?Npi=1982374146","1982374146")</f>
        <v>1982374146</v>
      </c>
      <c r="E18558" s="1" t="s">
        <v>6824</v>
      </c>
      <c r="F18558" s="2"/>
      <c r="G18558" s="2"/>
      <c r="H18558" s="2"/>
    </row>
    <row r="18559" spans="1:8" x14ac:dyDescent="0.25">
      <c r="A18559" s="1"/>
      <c r="B18559" s="1" t="s">
        <v>5782</v>
      </c>
      <c r="C18559" s="1" t="s">
        <v>5783</v>
      </c>
      <c r="D18559" s="22" t="str">
        <f>HYPERLINK("https://rhld.insurance.arkansas.gov/NPILookup?Npi=1982415865","1982415865")</f>
        <v>1982415865</v>
      </c>
      <c r="E18559" s="1" t="s">
        <v>31989</v>
      </c>
      <c r="F18559" s="2"/>
      <c r="G18559" s="2"/>
      <c r="H18559" s="2"/>
    </row>
    <row r="18560" spans="1:8" x14ac:dyDescent="0.25">
      <c r="A18560" s="1"/>
      <c r="B18560" s="1" t="s">
        <v>5782</v>
      </c>
      <c r="C18560" s="1" t="s">
        <v>5783</v>
      </c>
      <c r="D18560" s="22" t="str">
        <f>HYPERLINK("https://rhld.insurance.arkansas.gov/NPILookup?Npi=1982418984","1982418984")</f>
        <v>1982418984</v>
      </c>
      <c r="E18560" s="1" t="s">
        <v>31990</v>
      </c>
      <c r="F18560" s="2"/>
      <c r="G18560" s="2"/>
      <c r="H18560" s="2"/>
    </row>
    <row r="18561" spans="1:8" x14ac:dyDescent="0.25">
      <c r="A18561" s="1"/>
      <c r="B18561" s="1" t="s">
        <v>5782</v>
      </c>
      <c r="C18561" s="1" t="s">
        <v>5783</v>
      </c>
      <c r="D18561" s="22" t="str">
        <f>HYPERLINK("https://rhld.insurance.arkansas.gov/NPILookup?Npi=1982426102","1982426102")</f>
        <v>1982426102</v>
      </c>
      <c r="E18561" s="1" t="s">
        <v>23964</v>
      </c>
      <c r="F18561" s="2"/>
      <c r="G18561" s="2"/>
      <c r="H18561" s="2"/>
    </row>
    <row r="18562" spans="1:8" x14ac:dyDescent="0.25">
      <c r="A18562" s="1"/>
      <c r="B18562" s="1" t="s">
        <v>5782</v>
      </c>
      <c r="C18562" s="1" t="s">
        <v>5783</v>
      </c>
      <c r="D18562" s="22" t="str">
        <f>HYPERLINK("https://rhld.insurance.arkansas.gov/NPILookup?Npi=1982457214","1982457214")</f>
        <v>1982457214</v>
      </c>
      <c r="E18562" s="1" t="s">
        <v>23965</v>
      </c>
      <c r="F18562" s="2"/>
      <c r="G18562" s="2"/>
      <c r="H18562" s="2"/>
    </row>
    <row r="18563" spans="1:8" x14ac:dyDescent="0.25">
      <c r="A18563" s="1"/>
      <c r="B18563" s="1" t="s">
        <v>5782</v>
      </c>
      <c r="C18563" s="1" t="s">
        <v>5783</v>
      </c>
      <c r="D18563" s="22" t="str">
        <f>HYPERLINK("https://rhld.insurance.arkansas.gov/NPILookup?Npi=1982605960","1982605960")</f>
        <v>1982605960</v>
      </c>
      <c r="E18563" s="1" t="s">
        <v>6825</v>
      </c>
      <c r="F18563" s="2"/>
      <c r="G18563" s="2"/>
      <c r="H18563" s="2"/>
    </row>
    <row r="18564" spans="1:8" x14ac:dyDescent="0.25">
      <c r="A18564" s="1"/>
      <c r="B18564" s="1" t="s">
        <v>5782</v>
      </c>
      <c r="C18564" s="1" t="s">
        <v>5783</v>
      </c>
      <c r="D18564" s="22" t="str">
        <f>HYPERLINK("https://rhld.insurance.arkansas.gov/NPILookup?Npi=1982630778","1982630778")</f>
        <v>1982630778</v>
      </c>
      <c r="E18564" s="1" t="s">
        <v>23966</v>
      </c>
      <c r="F18564" s="2"/>
      <c r="G18564" s="2"/>
      <c r="H18564" s="2"/>
    </row>
    <row r="18565" spans="1:8" x14ac:dyDescent="0.25">
      <c r="A18565" s="1"/>
      <c r="B18565" s="1" t="s">
        <v>5782</v>
      </c>
      <c r="C18565" s="1" t="s">
        <v>5783</v>
      </c>
      <c r="D18565" s="22" t="str">
        <f>HYPERLINK("https://rhld.insurance.arkansas.gov/NPILookup?Npi=1982632360","1982632360")</f>
        <v>1982632360</v>
      </c>
      <c r="E18565" s="1" t="s">
        <v>23967</v>
      </c>
      <c r="F18565" s="2"/>
      <c r="G18565" s="2"/>
      <c r="H18565" s="2"/>
    </row>
    <row r="18566" spans="1:8" x14ac:dyDescent="0.25">
      <c r="A18566" s="1"/>
      <c r="B18566" s="1" t="s">
        <v>5782</v>
      </c>
      <c r="C18566" s="1" t="s">
        <v>5783</v>
      </c>
      <c r="D18566" s="22" t="str">
        <f>HYPERLINK("https://rhld.insurance.arkansas.gov/NPILookup?Npi=1982701140","1982701140")</f>
        <v>1982701140</v>
      </c>
      <c r="E18566" s="1" t="s">
        <v>23968</v>
      </c>
      <c r="F18566" s="2"/>
      <c r="G18566" s="2"/>
      <c r="H18566" s="2"/>
    </row>
    <row r="18567" spans="1:8" x14ac:dyDescent="0.25">
      <c r="A18567" s="1"/>
      <c r="B18567" s="1" t="s">
        <v>5782</v>
      </c>
      <c r="C18567" s="1" t="s">
        <v>5783</v>
      </c>
      <c r="D18567" s="22" t="str">
        <f>HYPERLINK("https://rhld.insurance.arkansas.gov/NPILookup?Npi=1982703609","1982703609")</f>
        <v>1982703609</v>
      </c>
      <c r="E18567" s="1" t="s">
        <v>23969</v>
      </c>
      <c r="F18567" s="2"/>
      <c r="G18567" s="2"/>
      <c r="H18567" s="2"/>
    </row>
    <row r="18568" spans="1:8" x14ac:dyDescent="0.25">
      <c r="A18568" s="1"/>
      <c r="B18568" s="1" t="s">
        <v>5782</v>
      </c>
      <c r="C18568" s="1" t="s">
        <v>5783</v>
      </c>
      <c r="D18568" s="22" t="str">
        <f>HYPERLINK("https://rhld.insurance.arkansas.gov/NPILookup?Npi=1982726444","1982726444")</f>
        <v>1982726444</v>
      </c>
      <c r="E18568" s="1" t="s">
        <v>3112</v>
      </c>
      <c r="F18568" s="2"/>
      <c r="G18568" s="2"/>
      <c r="H18568" s="2"/>
    </row>
    <row r="18569" spans="1:8" x14ac:dyDescent="0.25">
      <c r="A18569" s="1"/>
      <c r="B18569" s="1" t="s">
        <v>5782</v>
      </c>
      <c r="C18569" s="1" t="s">
        <v>5783</v>
      </c>
      <c r="D18569" s="22" t="str">
        <f>HYPERLINK("https://rhld.insurance.arkansas.gov/NPILookup?Npi=1982731709","1982731709")</f>
        <v>1982731709</v>
      </c>
      <c r="E18569" s="1" t="s">
        <v>1262</v>
      </c>
      <c r="F18569" s="2"/>
      <c r="G18569" s="2"/>
      <c r="H18569" s="2"/>
    </row>
    <row r="18570" spans="1:8" x14ac:dyDescent="0.25">
      <c r="A18570" s="1"/>
      <c r="B18570" s="1" t="s">
        <v>5782</v>
      </c>
      <c r="C18570" s="1" t="s">
        <v>5783</v>
      </c>
      <c r="D18570" s="22" t="str">
        <f>HYPERLINK("https://rhld.insurance.arkansas.gov/NPILookup?Npi=1982734950","1982734950")</f>
        <v>1982734950</v>
      </c>
      <c r="E18570" s="1" t="s">
        <v>23970</v>
      </c>
      <c r="F18570" s="2"/>
      <c r="G18570" s="2"/>
      <c r="H18570" s="2"/>
    </row>
    <row r="18571" spans="1:8" x14ac:dyDescent="0.25">
      <c r="A18571" s="1"/>
      <c r="B18571" s="1" t="s">
        <v>5782</v>
      </c>
      <c r="C18571" s="1" t="s">
        <v>5783</v>
      </c>
      <c r="D18571" s="22" t="str">
        <f>HYPERLINK("https://rhld.insurance.arkansas.gov/NPILookup?Npi=1982738456","1982738456")</f>
        <v>1982738456</v>
      </c>
      <c r="E18571" s="1" t="s">
        <v>23971</v>
      </c>
      <c r="F18571" s="2"/>
      <c r="G18571" s="2"/>
      <c r="H18571" s="2"/>
    </row>
    <row r="18572" spans="1:8" x14ac:dyDescent="0.25">
      <c r="A18572" s="1"/>
      <c r="B18572" s="1" t="s">
        <v>5782</v>
      </c>
      <c r="C18572" s="1" t="s">
        <v>5783</v>
      </c>
      <c r="D18572" s="22" t="str">
        <f>HYPERLINK("https://rhld.insurance.arkansas.gov/NPILookup?Npi=1982739215","1982739215")</f>
        <v>1982739215</v>
      </c>
      <c r="E18572" s="1" t="s">
        <v>23972</v>
      </c>
      <c r="F18572" s="2"/>
      <c r="G18572" s="2"/>
      <c r="H18572" s="2"/>
    </row>
    <row r="18573" spans="1:8" x14ac:dyDescent="0.25">
      <c r="A18573" s="1"/>
      <c r="B18573" s="1" t="s">
        <v>5782</v>
      </c>
      <c r="C18573" s="1" t="s">
        <v>5783</v>
      </c>
      <c r="D18573" s="22" t="str">
        <f>HYPERLINK("https://rhld.insurance.arkansas.gov/NPILookup?Npi=1982751574","1982751574")</f>
        <v>1982751574</v>
      </c>
      <c r="E18573" s="1" t="s">
        <v>3430</v>
      </c>
      <c r="F18573" s="2"/>
      <c r="G18573" s="2"/>
      <c r="H18573" s="2"/>
    </row>
    <row r="18574" spans="1:8" x14ac:dyDescent="0.25">
      <c r="A18574" s="1"/>
      <c r="B18574" s="1" t="s">
        <v>5782</v>
      </c>
      <c r="C18574" s="1" t="s">
        <v>5783</v>
      </c>
      <c r="D18574" s="22" t="str">
        <f>HYPERLINK("https://rhld.insurance.arkansas.gov/NPILookup?Npi=1982776936","1982776936")</f>
        <v>1982776936</v>
      </c>
      <c r="E18574" s="1" t="s">
        <v>23973</v>
      </c>
      <c r="F18574" s="2"/>
      <c r="G18574" s="2"/>
      <c r="H18574" s="2"/>
    </row>
    <row r="18575" spans="1:8" x14ac:dyDescent="0.25">
      <c r="A18575" s="1"/>
      <c r="B18575" s="1" t="s">
        <v>5782</v>
      </c>
      <c r="C18575" s="1" t="s">
        <v>5783</v>
      </c>
      <c r="D18575" s="22" t="str">
        <f>HYPERLINK("https://rhld.insurance.arkansas.gov/NPILookup?Npi=1982782157","1982782157")</f>
        <v>1982782157</v>
      </c>
      <c r="E18575" s="1" t="s">
        <v>23974</v>
      </c>
      <c r="F18575" s="2"/>
      <c r="G18575" s="2"/>
      <c r="H18575" s="2"/>
    </row>
    <row r="18576" spans="1:8" x14ac:dyDescent="0.25">
      <c r="A18576" s="1"/>
      <c r="B18576" s="1" t="s">
        <v>5782</v>
      </c>
      <c r="C18576" s="1" t="s">
        <v>5783</v>
      </c>
      <c r="D18576" s="22" t="str">
        <f>HYPERLINK("https://rhld.insurance.arkansas.gov/NPILookup?Npi=1982788139","1982788139")</f>
        <v>1982788139</v>
      </c>
      <c r="E18576" s="1" t="s">
        <v>23975</v>
      </c>
      <c r="F18576" s="2"/>
      <c r="G18576" s="2"/>
      <c r="H18576" s="2"/>
    </row>
    <row r="18577" spans="1:8" x14ac:dyDescent="0.25">
      <c r="A18577" s="1"/>
      <c r="B18577" s="1" t="s">
        <v>5782</v>
      </c>
      <c r="C18577" s="1" t="s">
        <v>5783</v>
      </c>
      <c r="D18577" s="22" t="str">
        <f>HYPERLINK("https://rhld.insurance.arkansas.gov/NPILookup?Npi=1982799904","1982799904")</f>
        <v>1982799904</v>
      </c>
      <c r="E18577" s="1" t="s">
        <v>12283</v>
      </c>
      <c r="F18577" s="2"/>
      <c r="G18577" s="2"/>
      <c r="H18577" s="2"/>
    </row>
    <row r="18578" spans="1:8" x14ac:dyDescent="0.25">
      <c r="A18578" s="1"/>
      <c r="B18578" s="1" t="s">
        <v>5782</v>
      </c>
      <c r="C18578" s="1" t="s">
        <v>5783</v>
      </c>
      <c r="D18578" s="22" t="str">
        <f>HYPERLINK("https://rhld.insurance.arkansas.gov/NPILookup?Npi=1982828158","1982828158")</f>
        <v>1982828158</v>
      </c>
      <c r="E18578" s="1" t="s">
        <v>6826</v>
      </c>
      <c r="F18578" s="2"/>
      <c r="G18578" s="2"/>
      <c r="H18578" s="2"/>
    </row>
    <row r="18579" spans="1:8" x14ac:dyDescent="0.25">
      <c r="A18579" s="1"/>
      <c r="B18579" s="1" t="s">
        <v>5782</v>
      </c>
      <c r="C18579" s="1" t="s">
        <v>5783</v>
      </c>
      <c r="D18579" s="22" t="str">
        <f>HYPERLINK("https://rhld.insurance.arkansas.gov/NPILookup?Npi=1982847190","1982847190")</f>
        <v>1982847190</v>
      </c>
      <c r="E18579" s="1" t="s">
        <v>8712</v>
      </c>
      <c r="F18579" s="2"/>
      <c r="G18579" s="2"/>
      <c r="H18579" s="2"/>
    </row>
    <row r="18580" spans="1:8" x14ac:dyDescent="0.25">
      <c r="A18580" s="1"/>
      <c r="B18580" s="1" t="s">
        <v>5782</v>
      </c>
      <c r="C18580" s="1" t="s">
        <v>5783</v>
      </c>
      <c r="D18580" s="22" t="str">
        <f>HYPERLINK("https://rhld.insurance.arkansas.gov/NPILookup?Npi=1982855979","1982855979")</f>
        <v>1982855979</v>
      </c>
      <c r="E18580" s="1" t="s">
        <v>23976</v>
      </c>
      <c r="F18580" s="2"/>
      <c r="G18580" s="2"/>
      <c r="H18580" s="2"/>
    </row>
    <row r="18581" spans="1:8" x14ac:dyDescent="0.25">
      <c r="A18581" s="1"/>
      <c r="B18581" s="1" t="s">
        <v>5782</v>
      </c>
      <c r="C18581" s="1" t="s">
        <v>5783</v>
      </c>
      <c r="D18581" s="22" t="str">
        <f>HYPERLINK("https://rhld.insurance.arkansas.gov/NPILookup?Npi=1982856142","1982856142")</f>
        <v>1982856142</v>
      </c>
      <c r="E18581" s="1" t="s">
        <v>23977</v>
      </c>
      <c r="F18581" s="2"/>
      <c r="G18581" s="2"/>
      <c r="H18581" s="2"/>
    </row>
    <row r="18582" spans="1:8" x14ac:dyDescent="0.25">
      <c r="A18582" s="1"/>
      <c r="B18582" s="1" t="s">
        <v>5782</v>
      </c>
      <c r="C18582" s="1" t="s">
        <v>5783</v>
      </c>
      <c r="D18582" s="22" t="str">
        <f>HYPERLINK("https://rhld.insurance.arkansas.gov/NPILookup?Npi=1982857934","1982857934")</f>
        <v>1982857934</v>
      </c>
      <c r="E18582" s="1" t="s">
        <v>23978</v>
      </c>
      <c r="F18582" s="2"/>
      <c r="G18582" s="2"/>
      <c r="H18582" s="2"/>
    </row>
    <row r="18583" spans="1:8" x14ac:dyDescent="0.25">
      <c r="A18583" s="1"/>
      <c r="B18583" s="1" t="s">
        <v>5782</v>
      </c>
      <c r="C18583" s="1" t="s">
        <v>5783</v>
      </c>
      <c r="D18583" s="22" t="str">
        <f>HYPERLINK("https://rhld.insurance.arkansas.gov/NPILookup?Npi=1982890083","1982890083")</f>
        <v>1982890083</v>
      </c>
      <c r="E18583" s="1" t="s">
        <v>646</v>
      </c>
      <c r="F18583" s="2"/>
      <c r="G18583" s="2"/>
      <c r="H18583" s="2"/>
    </row>
    <row r="18584" spans="1:8" x14ac:dyDescent="0.25">
      <c r="A18584" s="1"/>
      <c r="B18584" s="1" t="s">
        <v>5782</v>
      </c>
      <c r="C18584" s="1" t="s">
        <v>5783</v>
      </c>
      <c r="D18584" s="22" t="str">
        <f>HYPERLINK("https://rhld.insurance.arkansas.gov/NPILookup?Npi=1982905782","1982905782")</f>
        <v>1982905782</v>
      </c>
      <c r="E18584" s="1" t="s">
        <v>6827</v>
      </c>
      <c r="F18584" s="2"/>
      <c r="G18584" s="2"/>
      <c r="H18584" s="2"/>
    </row>
    <row r="18585" spans="1:8" x14ac:dyDescent="0.25">
      <c r="A18585" s="1"/>
      <c r="B18585" s="1" t="s">
        <v>5782</v>
      </c>
      <c r="C18585" s="1" t="s">
        <v>5783</v>
      </c>
      <c r="D18585" s="22" t="str">
        <f>HYPERLINK("https://rhld.insurance.arkansas.gov/NPILookup?Npi=1982913331","1982913331")</f>
        <v>1982913331</v>
      </c>
      <c r="E18585" s="1" t="s">
        <v>23979</v>
      </c>
      <c r="F18585" s="2"/>
      <c r="G18585" s="2"/>
      <c r="H18585" s="2"/>
    </row>
    <row r="18586" spans="1:8" x14ac:dyDescent="0.25">
      <c r="A18586" s="1"/>
      <c r="B18586" s="1" t="s">
        <v>5782</v>
      </c>
      <c r="C18586" s="1" t="s">
        <v>5783</v>
      </c>
      <c r="D18586" s="22" t="str">
        <f>HYPERLINK("https://rhld.insurance.arkansas.gov/NPILookup?Npi=1982922035","1982922035")</f>
        <v>1982922035</v>
      </c>
      <c r="E18586" s="1" t="s">
        <v>23980</v>
      </c>
      <c r="F18586" s="2"/>
      <c r="G18586" s="2"/>
      <c r="H18586" s="2"/>
    </row>
    <row r="18587" spans="1:8" x14ac:dyDescent="0.25">
      <c r="A18587" s="1"/>
      <c r="B18587" s="1" t="s">
        <v>5782</v>
      </c>
      <c r="C18587" s="1" t="s">
        <v>5783</v>
      </c>
      <c r="D18587" s="22" t="str">
        <f>HYPERLINK("https://rhld.insurance.arkansas.gov/NPILookup?Npi=1982926671","1982926671")</f>
        <v>1982926671</v>
      </c>
      <c r="E18587" s="1" t="s">
        <v>23981</v>
      </c>
      <c r="F18587" s="2"/>
      <c r="G18587" s="2"/>
      <c r="H18587" s="2"/>
    </row>
    <row r="18588" spans="1:8" x14ac:dyDescent="0.25">
      <c r="A18588" s="1"/>
      <c r="B18588" s="1" t="s">
        <v>5782</v>
      </c>
      <c r="C18588" s="1" t="s">
        <v>5783</v>
      </c>
      <c r="D18588" s="22" t="str">
        <f>HYPERLINK("https://rhld.insurance.arkansas.gov/NPILookup?Npi=1982926978","1982926978")</f>
        <v>1982926978</v>
      </c>
      <c r="E18588" s="1" t="s">
        <v>23982</v>
      </c>
      <c r="F18588" s="2"/>
      <c r="G18588" s="2"/>
      <c r="H18588" s="2"/>
    </row>
    <row r="18589" spans="1:8" x14ac:dyDescent="0.25">
      <c r="A18589" s="1"/>
      <c r="B18589" s="1" t="s">
        <v>5782</v>
      </c>
      <c r="C18589" s="1" t="s">
        <v>5783</v>
      </c>
      <c r="D18589" s="22" t="str">
        <f>HYPERLINK("https://rhld.insurance.arkansas.gov/NPILookup?Npi=1982938205","1982938205")</f>
        <v>1982938205</v>
      </c>
      <c r="E18589" s="1" t="s">
        <v>6828</v>
      </c>
      <c r="F18589" s="2"/>
      <c r="G18589" s="2"/>
      <c r="H18589" s="2"/>
    </row>
    <row r="18590" spans="1:8" x14ac:dyDescent="0.25">
      <c r="A18590" s="1"/>
      <c r="B18590" s="1" t="s">
        <v>5782</v>
      </c>
      <c r="C18590" s="1" t="s">
        <v>5783</v>
      </c>
      <c r="D18590" s="22" t="str">
        <f>HYPERLINK("https://rhld.insurance.arkansas.gov/NPILookup?Npi=1982938999","1982938999")</f>
        <v>1982938999</v>
      </c>
      <c r="E18590" s="1" t="s">
        <v>16607</v>
      </c>
      <c r="F18590" s="2"/>
      <c r="G18590" s="2"/>
      <c r="H18590" s="2"/>
    </row>
    <row r="18591" spans="1:8" x14ac:dyDescent="0.25">
      <c r="A18591" s="1"/>
      <c r="B18591" s="1" t="s">
        <v>5782</v>
      </c>
      <c r="C18591" s="1" t="s">
        <v>5783</v>
      </c>
      <c r="D18591" s="22" t="str">
        <f>HYPERLINK("https://rhld.insurance.arkansas.gov/NPILookup?Npi=1982943221","1982943221")</f>
        <v>1982943221</v>
      </c>
      <c r="E18591" s="1" t="s">
        <v>12285</v>
      </c>
      <c r="F18591" s="2"/>
      <c r="G18591" s="2"/>
      <c r="H18591" s="2"/>
    </row>
    <row r="18592" spans="1:8" x14ac:dyDescent="0.25">
      <c r="A18592" s="1"/>
      <c r="B18592" s="1" t="s">
        <v>5782</v>
      </c>
      <c r="C18592" s="1" t="s">
        <v>5783</v>
      </c>
      <c r="D18592" s="22" t="str">
        <f>HYPERLINK("https://rhld.insurance.arkansas.gov/NPILookup?Npi=1982947040","1982947040")</f>
        <v>1982947040</v>
      </c>
      <c r="E18592" s="1" t="s">
        <v>23983</v>
      </c>
      <c r="F18592" s="2"/>
      <c r="G18592" s="2"/>
      <c r="H18592" s="2"/>
    </row>
    <row r="18593" spans="1:8" x14ac:dyDescent="0.25">
      <c r="A18593" s="1"/>
      <c r="B18593" s="1" t="s">
        <v>5782</v>
      </c>
      <c r="C18593" s="1" t="s">
        <v>5783</v>
      </c>
      <c r="D18593" s="22" t="str">
        <f>HYPERLINK("https://rhld.insurance.arkansas.gov/NPILookup?Npi=1982957742","1982957742")</f>
        <v>1982957742</v>
      </c>
      <c r="E18593" s="1" t="s">
        <v>12286</v>
      </c>
      <c r="F18593" s="2"/>
      <c r="G18593" s="2"/>
      <c r="H18593" s="2"/>
    </row>
    <row r="18594" spans="1:8" x14ac:dyDescent="0.25">
      <c r="A18594" s="1"/>
      <c r="B18594" s="1" t="s">
        <v>5782</v>
      </c>
      <c r="C18594" s="1" t="s">
        <v>5783</v>
      </c>
      <c r="D18594" s="22" t="str">
        <f>HYPERLINK("https://rhld.insurance.arkansas.gov/NPILookup?Npi=1982966701","1982966701")</f>
        <v>1982966701</v>
      </c>
      <c r="E18594" s="1" t="s">
        <v>23984</v>
      </c>
      <c r="F18594" s="2"/>
      <c r="G18594" s="2"/>
      <c r="H18594" s="2"/>
    </row>
    <row r="18595" spans="1:8" x14ac:dyDescent="0.25">
      <c r="A18595" s="1"/>
      <c r="B18595" s="1" t="s">
        <v>5782</v>
      </c>
      <c r="C18595" s="1" t="s">
        <v>5783</v>
      </c>
      <c r="D18595" s="22" t="str">
        <f>HYPERLINK("https://rhld.insurance.arkansas.gov/NPILookup?Npi=1982972584","1982972584")</f>
        <v>1982972584</v>
      </c>
      <c r="E18595" s="1" t="s">
        <v>1529</v>
      </c>
      <c r="F18595" s="2"/>
      <c r="G18595" s="2"/>
      <c r="H18595" s="2"/>
    </row>
    <row r="18596" spans="1:8" x14ac:dyDescent="0.25">
      <c r="A18596" s="1"/>
      <c r="B18596" s="1" t="s">
        <v>5782</v>
      </c>
      <c r="C18596" s="1" t="s">
        <v>5783</v>
      </c>
      <c r="D18596" s="22" t="str">
        <f>HYPERLINK("https://rhld.insurance.arkansas.gov/NPILookup?Npi=1982981866","1982981866")</f>
        <v>1982981866</v>
      </c>
      <c r="E18596" s="1" t="s">
        <v>21520</v>
      </c>
      <c r="F18596" s="2"/>
      <c r="G18596" s="2"/>
      <c r="H18596" s="2"/>
    </row>
    <row r="18597" spans="1:8" x14ac:dyDescent="0.25">
      <c r="A18597" s="1"/>
      <c r="B18597" s="1" t="s">
        <v>5782</v>
      </c>
      <c r="C18597" s="1" t="s">
        <v>5783</v>
      </c>
      <c r="D18597" s="22" t="str">
        <f>HYPERLINK("https://rhld.insurance.arkansas.gov/NPILookup?Npi=1992025100","1992025100")</f>
        <v>1992025100</v>
      </c>
      <c r="E18597" s="1" t="s">
        <v>23985</v>
      </c>
      <c r="F18597" s="2"/>
      <c r="G18597" s="2"/>
      <c r="H18597" s="2"/>
    </row>
    <row r="18598" spans="1:8" x14ac:dyDescent="0.25">
      <c r="A18598" s="1"/>
      <c r="B18598" s="1" t="s">
        <v>5782</v>
      </c>
      <c r="C18598" s="1" t="s">
        <v>5783</v>
      </c>
      <c r="D18598" s="22" t="str">
        <f>HYPERLINK("https://rhld.insurance.arkansas.gov/NPILookup?Npi=1992039341","1992039341")</f>
        <v>1992039341</v>
      </c>
      <c r="E18598" s="1" t="s">
        <v>23986</v>
      </c>
      <c r="F18598" s="2"/>
      <c r="G18598" s="2"/>
      <c r="H18598" s="2"/>
    </row>
    <row r="18599" spans="1:8" x14ac:dyDescent="0.25">
      <c r="A18599" s="1"/>
      <c r="B18599" s="1" t="s">
        <v>5782</v>
      </c>
      <c r="C18599" s="1" t="s">
        <v>5783</v>
      </c>
      <c r="D18599" s="22" t="str">
        <f>HYPERLINK("https://rhld.insurance.arkansas.gov/NPILookup?Npi=1992062996","1992062996")</f>
        <v>1992062996</v>
      </c>
      <c r="E18599" s="1" t="s">
        <v>3431</v>
      </c>
      <c r="F18599" s="2"/>
      <c r="G18599" s="2"/>
      <c r="H18599" s="2"/>
    </row>
    <row r="18600" spans="1:8" x14ac:dyDescent="0.25">
      <c r="A18600" s="1"/>
      <c r="B18600" s="1" t="s">
        <v>5782</v>
      </c>
      <c r="C18600" s="1" t="s">
        <v>5783</v>
      </c>
      <c r="D18600" s="22" t="str">
        <f>HYPERLINK("https://rhld.insurance.arkansas.gov/NPILookup?Npi=1992081491","1992081491")</f>
        <v>1992081491</v>
      </c>
      <c r="E18600" s="1" t="s">
        <v>12287</v>
      </c>
      <c r="F18600" s="2"/>
      <c r="G18600" s="2"/>
      <c r="H18600" s="2"/>
    </row>
    <row r="18601" spans="1:8" x14ac:dyDescent="0.25">
      <c r="A18601" s="1"/>
      <c r="B18601" s="1" t="s">
        <v>5782</v>
      </c>
      <c r="C18601" s="1" t="s">
        <v>5783</v>
      </c>
      <c r="D18601" s="22" t="str">
        <f>HYPERLINK("https://rhld.insurance.arkansas.gov/NPILookup?Npi=1992087589","1992087589")</f>
        <v>1992087589</v>
      </c>
      <c r="E18601" s="1" t="s">
        <v>1263</v>
      </c>
      <c r="F18601" s="2"/>
      <c r="G18601" s="2"/>
      <c r="H18601" s="2"/>
    </row>
    <row r="18602" spans="1:8" x14ac:dyDescent="0.25">
      <c r="A18602" s="1"/>
      <c r="B18602" s="1" t="s">
        <v>5782</v>
      </c>
      <c r="C18602" s="1" t="s">
        <v>5783</v>
      </c>
      <c r="D18602" s="22" t="str">
        <f>HYPERLINK("https://rhld.insurance.arkansas.gov/NPILookup?Npi=1992118442","1992118442")</f>
        <v>1992118442</v>
      </c>
      <c r="E18602" s="1" t="s">
        <v>6829</v>
      </c>
      <c r="F18602" s="2"/>
      <c r="G18602" s="2"/>
      <c r="H18602" s="2"/>
    </row>
    <row r="18603" spans="1:8" x14ac:dyDescent="0.25">
      <c r="A18603" s="1"/>
      <c r="B18603" s="1" t="s">
        <v>5782</v>
      </c>
      <c r="C18603" s="1" t="s">
        <v>5783</v>
      </c>
      <c r="D18603" s="22" t="str">
        <f>HYPERLINK("https://rhld.insurance.arkansas.gov/NPILookup?Npi=1992118681","1992118681")</f>
        <v>1992118681</v>
      </c>
      <c r="E18603" s="1" t="s">
        <v>20879</v>
      </c>
      <c r="F18603" s="2"/>
      <c r="G18603" s="2"/>
      <c r="H18603" s="2"/>
    </row>
    <row r="18604" spans="1:8" x14ac:dyDescent="0.25">
      <c r="A18604" s="1"/>
      <c r="B18604" s="1" t="s">
        <v>5782</v>
      </c>
      <c r="C18604" s="1" t="s">
        <v>5783</v>
      </c>
      <c r="D18604" s="22" t="str">
        <f>HYPERLINK("https://rhld.insurance.arkansas.gov/NPILookup?Npi=1992124788","1992124788")</f>
        <v>1992124788</v>
      </c>
      <c r="E18604" s="1" t="s">
        <v>6830</v>
      </c>
      <c r="F18604" s="2"/>
      <c r="G18604" s="2"/>
      <c r="H18604" s="2"/>
    </row>
    <row r="18605" spans="1:8" x14ac:dyDescent="0.25">
      <c r="A18605" s="1"/>
      <c r="B18605" s="1" t="s">
        <v>5782</v>
      </c>
      <c r="C18605" s="1" t="s">
        <v>5783</v>
      </c>
      <c r="D18605" s="22" t="str">
        <f>HYPERLINK("https://rhld.insurance.arkansas.gov/NPILookup?Npi=1992139547","1992139547")</f>
        <v>1992139547</v>
      </c>
      <c r="E18605" s="1" t="s">
        <v>23987</v>
      </c>
      <c r="F18605" s="2"/>
      <c r="G18605" s="2"/>
      <c r="H18605" s="2"/>
    </row>
    <row r="18606" spans="1:8" x14ac:dyDescent="0.25">
      <c r="A18606" s="1"/>
      <c r="B18606" s="1" t="s">
        <v>5782</v>
      </c>
      <c r="C18606" s="1" t="s">
        <v>5783</v>
      </c>
      <c r="D18606" s="22" t="str">
        <f>HYPERLINK("https://rhld.insurance.arkansas.gov/NPILookup?Npi=1992145387","1992145387")</f>
        <v>1992145387</v>
      </c>
      <c r="E18606" s="1" t="s">
        <v>23988</v>
      </c>
      <c r="F18606" s="2"/>
      <c r="G18606" s="2"/>
      <c r="H18606" s="2"/>
    </row>
    <row r="18607" spans="1:8" x14ac:dyDescent="0.25">
      <c r="A18607" s="1"/>
      <c r="B18607" s="1" t="s">
        <v>5782</v>
      </c>
      <c r="C18607" s="1" t="s">
        <v>5783</v>
      </c>
      <c r="D18607" s="22" t="str">
        <f>HYPERLINK("https://rhld.insurance.arkansas.gov/NPILookup?Npi=1992150643","1992150643")</f>
        <v>1992150643</v>
      </c>
      <c r="E18607" s="1" t="s">
        <v>23989</v>
      </c>
      <c r="F18607" s="2"/>
      <c r="G18607" s="2"/>
      <c r="H18607" s="2"/>
    </row>
    <row r="18608" spans="1:8" x14ac:dyDescent="0.25">
      <c r="A18608" s="1"/>
      <c r="B18608" s="1" t="s">
        <v>5782</v>
      </c>
      <c r="C18608" s="1" t="s">
        <v>5783</v>
      </c>
      <c r="D18608" s="22" t="str">
        <f>HYPERLINK("https://rhld.insurance.arkansas.gov/NPILookup?Npi=1992164263","1992164263")</f>
        <v>1992164263</v>
      </c>
      <c r="E18608" s="1" t="s">
        <v>23990</v>
      </c>
      <c r="F18608" s="2"/>
      <c r="G18608" s="2"/>
      <c r="H18608" s="2"/>
    </row>
    <row r="18609" spans="1:8" x14ac:dyDescent="0.25">
      <c r="A18609" s="1"/>
      <c r="B18609" s="1" t="s">
        <v>5782</v>
      </c>
      <c r="C18609" s="1" t="s">
        <v>5783</v>
      </c>
      <c r="D18609" s="22" t="str">
        <f>HYPERLINK("https://rhld.insurance.arkansas.gov/NPILookup?Npi=1992176036","1992176036")</f>
        <v>1992176036</v>
      </c>
      <c r="E18609" s="1" t="s">
        <v>12288</v>
      </c>
      <c r="F18609" s="2"/>
      <c r="G18609" s="2"/>
      <c r="H18609" s="2"/>
    </row>
    <row r="18610" spans="1:8" x14ac:dyDescent="0.25">
      <c r="A18610" s="1"/>
      <c r="B18610" s="1" t="s">
        <v>5782</v>
      </c>
      <c r="C18610" s="1" t="s">
        <v>5783</v>
      </c>
      <c r="D18610" s="22" t="str">
        <f>HYPERLINK("https://rhld.insurance.arkansas.gov/NPILookup?Npi=1992187561","1992187561")</f>
        <v>1992187561</v>
      </c>
      <c r="E18610" s="1" t="s">
        <v>23991</v>
      </c>
      <c r="F18610" s="2"/>
      <c r="G18610" s="2"/>
      <c r="H18610" s="2"/>
    </row>
    <row r="18611" spans="1:8" x14ac:dyDescent="0.25">
      <c r="A18611" s="1"/>
      <c r="B18611" s="1" t="s">
        <v>5782</v>
      </c>
      <c r="C18611" s="1" t="s">
        <v>5783</v>
      </c>
      <c r="D18611" s="22" t="str">
        <f>HYPERLINK("https://rhld.insurance.arkansas.gov/NPILookup?Npi=1992193361","1992193361")</f>
        <v>1992193361</v>
      </c>
      <c r="E18611" s="1" t="s">
        <v>1683</v>
      </c>
      <c r="F18611" s="2"/>
      <c r="G18611" s="2"/>
      <c r="H18611" s="2"/>
    </row>
    <row r="18612" spans="1:8" x14ac:dyDescent="0.25">
      <c r="A18612" s="1"/>
      <c r="B18612" s="1" t="s">
        <v>5782</v>
      </c>
      <c r="C18612" s="1" t="s">
        <v>5783</v>
      </c>
      <c r="D18612" s="22" t="str">
        <f>HYPERLINK("https://rhld.insurance.arkansas.gov/NPILookup?Npi=1992227011","1992227011")</f>
        <v>1992227011</v>
      </c>
      <c r="E18612" s="1" t="s">
        <v>1343</v>
      </c>
      <c r="F18612" s="2"/>
      <c r="G18612" s="2"/>
      <c r="H18612" s="2"/>
    </row>
    <row r="18613" spans="1:8" x14ac:dyDescent="0.25">
      <c r="A18613" s="1"/>
      <c r="B18613" s="1" t="s">
        <v>5782</v>
      </c>
      <c r="C18613" s="1" t="s">
        <v>5783</v>
      </c>
      <c r="D18613" s="22" t="str">
        <f>HYPERLINK("https://rhld.insurance.arkansas.gov/NPILookup?Npi=1992229082","1992229082")</f>
        <v>1992229082</v>
      </c>
      <c r="E18613" s="1" t="s">
        <v>23992</v>
      </c>
      <c r="F18613" s="2"/>
      <c r="G18613" s="2"/>
      <c r="H18613" s="2"/>
    </row>
    <row r="18614" spans="1:8" x14ac:dyDescent="0.25">
      <c r="A18614" s="1"/>
      <c r="B18614" s="1" t="s">
        <v>5782</v>
      </c>
      <c r="C18614" s="1" t="s">
        <v>5783</v>
      </c>
      <c r="D18614" s="22" t="str">
        <f>HYPERLINK("https://rhld.insurance.arkansas.gov/NPILookup?Npi=1992248074","1992248074")</f>
        <v>1992248074</v>
      </c>
      <c r="E18614" s="1" t="s">
        <v>6831</v>
      </c>
      <c r="F18614" s="2"/>
      <c r="G18614" s="2"/>
      <c r="H18614" s="2"/>
    </row>
    <row r="18615" spans="1:8" x14ac:dyDescent="0.25">
      <c r="A18615" s="1"/>
      <c r="B18615" s="1" t="s">
        <v>5782</v>
      </c>
      <c r="C18615" s="1" t="s">
        <v>5783</v>
      </c>
      <c r="D18615" s="22" t="str">
        <f>HYPERLINK("https://rhld.insurance.arkansas.gov/NPILookup?Npi=1992253207","1992253207")</f>
        <v>1992253207</v>
      </c>
      <c r="E18615" s="1" t="s">
        <v>6127</v>
      </c>
      <c r="F18615" s="2"/>
      <c r="G18615" s="2"/>
      <c r="H18615" s="2"/>
    </row>
    <row r="18616" spans="1:8" x14ac:dyDescent="0.25">
      <c r="A18616" s="1"/>
      <c r="B18616" s="1" t="s">
        <v>5782</v>
      </c>
      <c r="C18616" s="1" t="s">
        <v>5783</v>
      </c>
      <c r="D18616" s="22" t="str">
        <f>HYPERLINK("https://rhld.insurance.arkansas.gov/NPILookup?Npi=1992254486","1992254486")</f>
        <v>1992254486</v>
      </c>
      <c r="E18616" s="1" t="s">
        <v>23993</v>
      </c>
      <c r="F18616" s="2"/>
      <c r="G18616" s="2"/>
      <c r="H18616" s="2"/>
    </row>
    <row r="18617" spans="1:8" x14ac:dyDescent="0.25">
      <c r="A18617" s="1"/>
      <c r="B18617" s="1" t="s">
        <v>5782</v>
      </c>
      <c r="C18617" s="1" t="s">
        <v>5783</v>
      </c>
      <c r="D18617" s="22" t="str">
        <f>HYPERLINK("https://rhld.insurance.arkansas.gov/NPILookup?Npi=1992257646","1992257646")</f>
        <v>1992257646</v>
      </c>
      <c r="E18617" s="1" t="s">
        <v>960</v>
      </c>
      <c r="F18617" s="2"/>
      <c r="G18617" s="2"/>
      <c r="H18617" s="2"/>
    </row>
    <row r="18618" spans="1:8" x14ac:dyDescent="0.25">
      <c r="A18618" s="1"/>
      <c r="B18618" s="1" t="s">
        <v>5782</v>
      </c>
      <c r="C18618" s="1" t="s">
        <v>5783</v>
      </c>
      <c r="D18618" s="22" t="str">
        <f>HYPERLINK("https://rhld.insurance.arkansas.gov/NPILookup?Npi=1992271522","1992271522")</f>
        <v>1992271522</v>
      </c>
      <c r="E18618" s="1" t="s">
        <v>23994</v>
      </c>
      <c r="F18618" s="2"/>
      <c r="G18618" s="2"/>
      <c r="H18618" s="2"/>
    </row>
    <row r="18619" spans="1:8" x14ac:dyDescent="0.25">
      <c r="A18619" s="1"/>
      <c r="B18619" s="1" t="s">
        <v>5782</v>
      </c>
      <c r="C18619" s="1" t="s">
        <v>5783</v>
      </c>
      <c r="D18619" s="22" t="str">
        <f>HYPERLINK("https://rhld.insurance.arkansas.gov/NPILookup?Npi=1992273122","1992273122")</f>
        <v>1992273122</v>
      </c>
      <c r="E18619" s="1" t="s">
        <v>23995</v>
      </c>
      <c r="F18619" s="2"/>
      <c r="G18619" s="2"/>
      <c r="H18619" s="2"/>
    </row>
    <row r="18620" spans="1:8" x14ac:dyDescent="0.25">
      <c r="A18620" s="1"/>
      <c r="B18620" s="1" t="s">
        <v>5782</v>
      </c>
      <c r="C18620" s="1" t="s">
        <v>5783</v>
      </c>
      <c r="D18620" s="22" t="str">
        <f>HYPERLINK("https://rhld.insurance.arkansas.gov/NPILookup?Npi=1992276570","1992276570")</f>
        <v>1992276570</v>
      </c>
      <c r="E18620" s="1" t="s">
        <v>23996</v>
      </c>
      <c r="F18620" s="2"/>
      <c r="G18620" s="2"/>
      <c r="H18620" s="2"/>
    </row>
    <row r="18621" spans="1:8" x14ac:dyDescent="0.25">
      <c r="A18621" s="1"/>
      <c r="B18621" s="1" t="s">
        <v>5782</v>
      </c>
      <c r="C18621" s="1" t="s">
        <v>5783</v>
      </c>
      <c r="D18621" s="22" t="str">
        <f>HYPERLINK("https://rhld.insurance.arkansas.gov/NPILookup?Npi=1992280077","1992280077")</f>
        <v>1992280077</v>
      </c>
      <c r="E18621" s="1" t="s">
        <v>23997</v>
      </c>
      <c r="F18621" s="2"/>
      <c r="G18621" s="2"/>
      <c r="H18621" s="2"/>
    </row>
    <row r="18622" spans="1:8" x14ac:dyDescent="0.25">
      <c r="A18622" s="1"/>
      <c r="B18622" s="1" t="s">
        <v>5782</v>
      </c>
      <c r="C18622" s="1" t="s">
        <v>5783</v>
      </c>
      <c r="D18622" s="22" t="str">
        <f>HYPERLINK("https://rhld.insurance.arkansas.gov/NPILookup?Npi=1992281935","1992281935")</f>
        <v>1992281935</v>
      </c>
      <c r="E18622" s="1" t="s">
        <v>23998</v>
      </c>
      <c r="F18622" s="2"/>
      <c r="G18622" s="2"/>
      <c r="H18622" s="2"/>
    </row>
    <row r="18623" spans="1:8" x14ac:dyDescent="0.25">
      <c r="A18623" s="1"/>
      <c r="B18623" s="1" t="s">
        <v>5782</v>
      </c>
      <c r="C18623" s="1" t="s">
        <v>5783</v>
      </c>
      <c r="D18623" s="22" t="str">
        <f>HYPERLINK("https://rhld.insurance.arkansas.gov/NPILookup?Npi=1992298202","1992298202")</f>
        <v>1992298202</v>
      </c>
      <c r="E18623" s="1" t="s">
        <v>12289</v>
      </c>
      <c r="F18623" s="2"/>
      <c r="G18623" s="2"/>
      <c r="H18623" s="2"/>
    </row>
    <row r="18624" spans="1:8" x14ac:dyDescent="0.25">
      <c r="A18624" s="1"/>
      <c r="B18624" s="1" t="s">
        <v>5782</v>
      </c>
      <c r="C18624" s="1" t="s">
        <v>5783</v>
      </c>
      <c r="D18624" s="22" t="str">
        <f>HYPERLINK("https://rhld.insurance.arkansas.gov/NPILookup?Npi=1992325666","1992325666")</f>
        <v>1992325666</v>
      </c>
      <c r="E18624" s="1" t="s">
        <v>31991</v>
      </c>
      <c r="F18624" s="2"/>
      <c r="G18624" s="2"/>
      <c r="H18624" s="2"/>
    </row>
    <row r="18625" spans="1:8" x14ac:dyDescent="0.25">
      <c r="A18625" s="1"/>
      <c r="B18625" s="1" t="s">
        <v>5782</v>
      </c>
      <c r="C18625" s="1" t="s">
        <v>5783</v>
      </c>
      <c r="D18625" s="22" t="str">
        <f>HYPERLINK("https://rhld.insurance.arkansas.gov/NPILookup?Npi=1992338719","1992338719")</f>
        <v>1992338719</v>
      </c>
      <c r="E18625" s="1" t="s">
        <v>6832</v>
      </c>
      <c r="F18625" s="2"/>
      <c r="G18625" s="2"/>
      <c r="H18625" s="2"/>
    </row>
    <row r="18626" spans="1:8" x14ac:dyDescent="0.25">
      <c r="A18626" s="1"/>
      <c r="B18626" s="1" t="s">
        <v>5782</v>
      </c>
      <c r="C18626" s="1" t="s">
        <v>5783</v>
      </c>
      <c r="D18626" s="22" t="str">
        <f>HYPERLINK("https://rhld.insurance.arkansas.gov/NPILookup?Npi=1992339519","1992339519")</f>
        <v>1992339519</v>
      </c>
      <c r="E18626" s="1" t="s">
        <v>23999</v>
      </c>
      <c r="F18626" s="2"/>
      <c r="G18626" s="2"/>
      <c r="H18626" s="2"/>
    </row>
    <row r="18627" spans="1:8" x14ac:dyDescent="0.25">
      <c r="A18627" s="1"/>
      <c r="B18627" s="1" t="s">
        <v>5782</v>
      </c>
      <c r="C18627" s="1" t="s">
        <v>5783</v>
      </c>
      <c r="D18627" s="22" t="str">
        <f>HYPERLINK("https://rhld.insurance.arkansas.gov/NPILookup?Npi=1992341283","1992341283")</f>
        <v>1992341283</v>
      </c>
      <c r="E18627" s="1" t="s">
        <v>6833</v>
      </c>
      <c r="F18627" s="2"/>
      <c r="G18627" s="2"/>
      <c r="H18627" s="2"/>
    </row>
    <row r="18628" spans="1:8" x14ac:dyDescent="0.25">
      <c r="A18628" s="1"/>
      <c r="B18628" s="1" t="s">
        <v>5782</v>
      </c>
      <c r="C18628" s="1" t="s">
        <v>5783</v>
      </c>
      <c r="D18628" s="22" t="str">
        <f>HYPERLINK("https://rhld.insurance.arkansas.gov/NPILookup?Npi=1992345870","1992345870")</f>
        <v>1992345870</v>
      </c>
      <c r="E18628" s="1" t="s">
        <v>24000</v>
      </c>
      <c r="F18628" s="2"/>
      <c r="G18628" s="2"/>
      <c r="H18628" s="2"/>
    </row>
    <row r="18629" spans="1:8" x14ac:dyDescent="0.25">
      <c r="A18629" s="1"/>
      <c r="B18629" s="1" t="s">
        <v>5782</v>
      </c>
      <c r="C18629" s="1" t="s">
        <v>5783</v>
      </c>
      <c r="D18629" s="22" t="str">
        <f>HYPERLINK("https://rhld.insurance.arkansas.gov/NPILookup?Npi=1992346001","1992346001")</f>
        <v>1992346001</v>
      </c>
      <c r="E18629" s="1" t="s">
        <v>24001</v>
      </c>
      <c r="F18629" s="2"/>
      <c r="G18629" s="2"/>
      <c r="H18629" s="2"/>
    </row>
    <row r="18630" spans="1:8" x14ac:dyDescent="0.25">
      <c r="A18630" s="1"/>
      <c r="B18630" s="1" t="s">
        <v>5782</v>
      </c>
      <c r="C18630" s="1" t="s">
        <v>5783</v>
      </c>
      <c r="D18630" s="22" t="str">
        <f>HYPERLINK("https://rhld.insurance.arkansas.gov/NPILookup?Npi=1992349328","1992349328")</f>
        <v>1992349328</v>
      </c>
      <c r="E18630" s="1" t="s">
        <v>31992</v>
      </c>
      <c r="F18630" s="2"/>
      <c r="G18630" s="2"/>
      <c r="H18630" s="2"/>
    </row>
    <row r="18631" spans="1:8" x14ac:dyDescent="0.25">
      <c r="A18631" s="1"/>
      <c r="B18631" s="1" t="s">
        <v>5782</v>
      </c>
      <c r="C18631" s="1" t="s">
        <v>5783</v>
      </c>
      <c r="D18631" s="22" t="str">
        <f>HYPERLINK("https://rhld.insurance.arkansas.gov/NPILookup?Npi=1992399778","1992399778")</f>
        <v>1992399778</v>
      </c>
      <c r="E18631" s="1" t="s">
        <v>24002</v>
      </c>
      <c r="F18631" s="2"/>
      <c r="G18631" s="2"/>
      <c r="H18631" s="2"/>
    </row>
    <row r="18632" spans="1:8" x14ac:dyDescent="0.25">
      <c r="A18632" s="1"/>
      <c r="B18632" s="1" t="s">
        <v>5782</v>
      </c>
      <c r="C18632" s="1" t="s">
        <v>5783</v>
      </c>
      <c r="D18632" s="22" t="str">
        <f>HYPERLINK("https://rhld.insurance.arkansas.gov/NPILookup?Npi=1992421499","1992421499")</f>
        <v>1992421499</v>
      </c>
      <c r="E18632" s="1" t="s">
        <v>6834</v>
      </c>
      <c r="F18632" s="2"/>
      <c r="G18632" s="2"/>
      <c r="H18632" s="2"/>
    </row>
    <row r="18633" spans="1:8" x14ac:dyDescent="0.25">
      <c r="A18633" s="1"/>
      <c r="B18633" s="1" t="s">
        <v>5782</v>
      </c>
      <c r="C18633" s="1" t="s">
        <v>5783</v>
      </c>
      <c r="D18633" s="22" t="str">
        <f>HYPERLINK("https://rhld.insurance.arkansas.gov/NPILookup?Npi=1992443873","1992443873")</f>
        <v>1992443873</v>
      </c>
      <c r="E18633" s="1" t="s">
        <v>6835</v>
      </c>
      <c r="F18633" s="2"/>
      <c r="G18633" s="2"/>
      <c r="H18633" s="2"/>
    </row>
    <row r="18634" spans="1:8" x14ac:dyDescent="0.25">
      <c r="A18634" s="1"/>
      <c r="B18634" s="1" t="s">
        <v>5782</v>
      </c>
      <c r="C18634" s="1" t="s">
        <v>5783</v>
      </c>
      <c r="D18634" s="22" t="str">
        <f>HYPERLINK("https://rhld.insurance.arkansas.gov/NPILookup?Npi=1992447858","1992447858")</f>
        <v>1992447858</v>
      </c>
      <c r="E18634" s="1" t="s">
        <v>2528</v>
      </c>
      <c r="F18634" s="2"/>
      <c r="G18634" s="2"/>
      <c r="H18634" s="2"/>
    </row>
    <row r="18635" spans="1:8" x14ac:dyDescent="0.25">
      <c r="A18635" s="1"/>
      <c r="B18635" s="1" t="s">
        <v>5782</v>
      </c>
      <c r="C18635" s="1" t="s">
        <v>5783</v>
      </c>
      <c r="D18635" s="22" t="str">
        <f>HYPERLINK("https://rhld.insurance.arkansas.gov/NPILookup?Npi=1992452890","1992452890")</f>
        <v>1992452890</v>
      </c>
      <c r="E18635" s="1" t="s">
        <v>24003</v>
      </c>
      <c r="F18635" s="2"/>
      <c r="G18635" s="2"/>
      <c r="H18635" s="2"/>
    </row>
    <row r="18636" spans="1:8" x14ac:dyDescent="0.25">
      <c r="A18636" s="1"/>
      <c r="B18636" s="1" t="s">
        <v>5782</v>
      </c>
      <c r="C18636" s="1" t="s">
        <v>5783</v>
      </c>
      <c r="D18636" s="22" t="str">
        <f>HYPERLINK("https://rhld.insurance.arkansas.gov/NPILookup?Npi=1992454581","1992454581")</f>
        <v>1992454581</v>
      </c>
      <c r="E18636" s="1" t="s">
        <v>24004</v>
      </c>
      <c r="F18636" s="2"/>
      <c r="G18636" s="2"/>
      <c r="H18636" s="2"/>
    </row>
    <row r="18637" spans="1:8" x14ac:dyDescent="0.25">
      <c r="A18637" s="1"/>
      <c r="B18637" s="1" t="s">
        <v>5782</v>
      </c>
      <c r="C18637" s="1" t="s">
        <v>5783</v>
      </c>
      <c r="D18637" s="22" t="str">
        <f>HYPERLINK("https://rhld.insurance.arkansas.gov/NPILookup?Npi=1992463079","1992463079")</f>
        <v>1992463079</v>
      </c>
      <c r="E18637" s="1" t="s">
        <v>24005</v>
      </c>
      <c r="F18637" s="2"/>
      <c r="G18637" s="2"/>
      <c r="H18637" s="2"/>
    </row>
    <row r="18638" spans="1:8" x14ac:dyDescent="0.25">
      <c r="A18638" s="1"/>
      <c r="B18638" s="1" t="s">
        <v>5782</v>
      </c>
      <c r="C18638" s="1" t="s">
        <v>5783</v>
      </c>
      <c r="D18638" s="22" t="str">
        <f>HYPERLINK("https://rhld.insurance.arkansas.gov/NPILookup?Npi=1992523864","1992523864")</f>
        <v>1992523864</v>
      </c>
      <c r="E18638" s="1" t="s">
        <v>31993</v>
      </c>
      <c r="F18638" s="2"/>
      <c r="G18638" s="2"/>
      <c r="H18638" s="2"/>
    </row>
    <row r="18639" spans="1:8" x14ac:dyDescent="0.25">
      <c r="A18639" s="1"/>
      <c r="B18639" s="1" t="s">
        <v>5782</v>
      </c>
      <c r="C18639" s="1" t="s">
        <v>5783</v>
      </c>
      <c r="D18639" s="22" t="str">
        <f>HYPERLINK("https://rhld.insurance.arkansas.gov/NPILookup?Npi=1992711386","1992711386")</f>
        <v>1992711386</v>
      </c>
      <c r="E18639" s="1" t="s">
        <v>1150</v>
      </c>
      <c r="F18639" s="2"/>
      <c r="G18639" s="2"/>
      <c r="H18639" s="2"/>
    </row>
    <row r="18640" spans="1:8" x14ac:dyDescent="0.25">
      <c r="A18640" s="1"/>
      <c r="B18640" s="1" t="s">
        <v>5782</v>
      </c>
      <c r="C18640" s="1" t="s">
        <v>5783</v>
      </c>
      <c r="D18640" s="22" t="str">
        <f>HYPERLINK("https://rhld.insurance.arkansas.gov/NPILookup?Npi=1992724462","1992724462")</f>
        <v>1992724462</v>
      </c>
      <c r="E18640" s="1" t="s">
        <v>3432</v>
      </c>
      <c r="F18640" s="2"/>
      <c r="G18640" s="2"/>
      <c r="H18640" s="2"/>
    </row>
    <row r="18641" spans="1:8" x14ac:dyDescent="0.25">
      <c r="A18641" s="1"/>
      <c r="B18641" s="1" t="s">
        <v>5782</v>
      </c>
      <c r="C18641" s="1" t="s">
        <v>5783</v>
      </c>
      <c r="D18641" s="22" t="str">
        <f>HYPERLINK("https://rhld.insurance.arkansas.gov/NPILookup?Npi=1992737670","1992737670")</f>
        <v>1992737670</v>
      </c>
      <c r="E18641" s="1" t="s">
        <v>11912</v>
      </c>
      <c r="F18641" s="2"/>
      <c r="G18641" s="2"/>
      <c r="H18641" s="2"/>
    </row>
    <row r="18642" spans="1:8" x14ac:dyDescent="0.25">
      <c r="A18642" s="1"/>
      <c r="B18642" s="1" t="s">
        <v>5782</v>
      </c>
      <c r="C18642" s="1" t="s">
        <v>5783</v>
      </c>
      <c r="D18642" s="22" t="str">
        <f>HYPERLINK("https://rhld.insurance.arkansas.gov/NPILookup?Npi=1992743926","1992743926")</f>
        <v>1992743926</v>
      </c>
      <c r="E18642" s="1" t="s">
        <v>12290</v>
      </c>
      <c r="F18642" s="2"/>
      <c r="G18642" s="2"/>
      <c r="H18642" s="2"/>
    </row>
    <row r="18643" spans="1:8" x14ac:dyDescent="0.25">
      <c r="A18643" s="1"/>
      <c r="B18643" s="1" t="s">
        <v>5782</v>
      </c>
      <c r="C18643" s="1" t="s">
        <v>5783</v>
      </c>
      <c r="D18643" s="22" t="str">
        <f>HYPERLINK("https://rhld.insurance.arkansas.gov/NPILookup?Npi=1992771802","1992771802")</f>
        <v>1992771802</v>
      </c>
      <c r="E18643" s="1" t="s">
        <v>6836</v>
      </c>
      <c r="F18643" s="2"/>
      <c r="G18643" s="2"/>
      <c r="H18643" s="2"/>
    </row>
    <row r="18644" spans="1:8" x14ac:dyDescent="0.25">
      <c r="A18644" s="1"/>
      <c r="B18644" s="1" t="s">
        <v>5782</v>
      </c>
      <c r="C18644" s="1" t="s">
        <v>5783</v>
      </c>
      <c r="D18644" s="22" t="str">
        <f>HYPERLINK("https://rhld.insurance.arkansas.gov/NPILookup?Npi=1992813679","1992813679")</f>
        <v>1992813679</v>
      </c>
      <c r="E18644" s="1" t="s">
        <v>24006</v>
      </c>
      <c r="F18644" s="2"/>
      <c r="G18644" s="2"/>
      <c r="H18644" s="2"/>
    </row>
    <row r="18645" spans="1:8" x14ac:dyDescent="0.25">
      <c r="A18645" s="1"/>
      <c r="B18645" s="1" t="s">
        <v>5782</v>
      </c>
      <c r="C18645" s="1" t="s">
        <v>5783</v>
      </c>
      <c r="D18645" s="22" t="str">
        <f>HYPERLINK("https://rhld.insurance.arkansas.gov/NPILookup?Npi=1992841654","1992841654")</f>
        <v>1992841654</v>
      </c>
      <c r="E18645" s="1" t="s">
        <v>24007</v>
      </c>
      <c r="F18645" s="2"/>
      <c r="G18645" s="2"/>
      <c r="H18645" s="2"/>
    </row>
    <row r="18646" spans="1:8" x14ac:dyDescent="0.25">
      <c r="A18646" s="1"/>
      <c r="B18646" s="1" t="s">
        <v>5782</v>
      </c>
      <c r="C18646" s="1" t="s">
        <v>5783</v>
      </c>
      <c r="D18646" s="22" t="str">
        <f>HYPERLINK("https://rhld.insurance.arkansas.gov/NPILookup?Npi=1992844310","1992844310")</f>
        <v>1992844310</v>
      </c>
      <c r="E18646" s="1" t="s">
        <v>24008</v>
      </c>
      <c r="F18646" s="2"/>
      <c r="G18646" s="2"/>
      <c r="H18646" s="2"/>
    </row>
    <row r="18647" spans="1:8" x14ac:dyDescent="0.25">
      <c r="A18647" s="1"/>
      <c r="B18647" s="1" t="s">
        <v>5782</v>
      </c>
      <c r="C18647" s="1" t="s">
        <v>5783</v>
      </c>
      <c r="D18647" s="22" t="str">
        <f>HYPERLINK("https://rhld.insurance.arkansas.gov/NPILookup?Npi=1992902464","1992902464")</f>
        <v>1992902464</v>
      </c>
      <c r="E18647" s="1" t="s">
        <v>24009</v>
      </c>
      <c r="F18647" s="2"/>
      <c r="G18647" s="2"/>
      <c r="H18647" s="2"/>
    </row>
    <row r="18648" spans="1:8" x14ac:dyDescent="0.25">
      <c r="A18648" s="1"/>
      <c r="B18648" s="1" t="s">
        <v>5782</v>
      </c>
      <c r="C18648" s="1" t="s">
        <v>5783</v>
      </c>
      <c r="D18648" s="22" t="str">
        <f>HYPERLINK("https://rhld.insurance.arkansas.gov/NPILookup?Npi=1992910509","1992910509")</f>
        <v>1992910509</v>
      </c>
      <c r="E18648" s="1" t="s">
        <v>24010</v>
      </c>
      <c r="F18648" s="2"/>
      <c r="G18648" s="2"/>
      <c r="H18648" s="2"/>
    </row>
    <row r="18649" spans="1:8" x14ac:dyDescent="0.25">
      <c r="A18649" s="1"/>
      <c r="B18649" s="1" t="s">
        <v>5782</v>
      </c>
      <c r="C18649" s="1" t="s">
        <v>5783</v>
      </c>
      <c r="D18649" s="22" t="str">
        <f>HYPERLINK("https://rhld.insurance.arkansas.gov/NPILookup?Npi=1992914832","1992914832")</f>
        <v>1992914832</v>
      </c>
      <c r="E18649" s="1" t="s">
        <v>11957</v>
      </c>
      <c r="F18649" s="2"/>
      <c r="G18649" s="2"/>
      <c r="H18649" s="2"/>
    </row>
    <row r="18650" spans="1:8" x14ac:dyDescent="0.25">
      <c r="A18650" s="1"/>
      <c r="B18650" s="1" t="s">
        <v>5782</v>
      </c>
      <c r="C18650" s="1" t="s">
        <v>5783</v>
      </c>
      <c r="D18650" s="22" t="str">
        <f>HYPERLINK("https://rhld.insurance.arkansas.gov/NPILookup?Npi=1992940464","1992940464")</f>
        <v>1992940464</v>
      </c>
      <c r="E18650" s="1" t="s">
        <v>1151</v>
      </c>
      <c r="F18650" s="2"/>
      <c r="G18650" s="2"/>
      <c r="H18650" s="2"/>
    </row>
    <row r="18651" spans="1:8" x14ac:dyDescent="0.25">
      <c r="A18651" s="1"/>
      <c r="B18651" s="1" t="s">
        <v>5782</v>
      </c>
      <c r="C18651" s="1" t="s">
        <v>5783</v>
      </c>
      <c r="D18651" s="22" t="str">
        <f>HYPERLINK("https://rhld.insurance.arkansas.gov/NPILookup?Npi=1992952543","1992952543")</f>
        <v>1992952543</v>
      </c>
      <c r="E18651" s="1" t="s">
        <v>322</v>
      </c>
      <c r="F18651" s="2"/>
      <c r="G18651" s="2"/>
      <c r="H18651" s="2"/>
    </row>
    <row r="18652" spans="1:8" x14ac:dyDescent="0.25">
      <c r="A18652" s="1"/>
      <c r="B18652" s="1" t="s">
        <v>5782</v>
      </c>
      <c r="C18652" s="1" t="s">
        <v>5783</v>
      </c>
      <c r="D18652" s="22" t="str">
        <f>HYPERLINK("https://rhld.insurance.arkansas.gov/NPILookup?Npi=1992954747","1992954747")</f>
        <v>1992954747</v>
      </c>
      <c r="E18652" s="1" t="s">
        <v>1152</v>
      </c>
      <c r="F18652" s="2"/>
      <c r="G18652" s="2"/>
      <c r="H18652" s="2"/>
    </row>
    <row r="18653" spans="1:8" x14ac:dyDescent="0.25">
      <c r="A18653" s="1"/>
      <c r="B18653" s="1" t="s">
        <v>5782</v>
      </c>
      <c r="C18653" s="1" t="s">
        <v>5783</v>
      </c>
      <c r="D18653" s="22" t="str">
        <f>HYPERLINK("https://rhld.insurance.arkansas.gov/NPILookup?Npi=1992961692","1992961692")</f>
        <v>1992961692</v>
      </c>
      <c r="E18653" s="1" t="s">
        <v>12291</v>
      </c>
      <c r="F18653" s="2"/>
      <c r="G18653" s="2"/>
      <c r="H18653" s="2"/>
    </row>
    <row r="18654" spans="1:8" x14ac:dyDescent="0.25">
      <c r="A18654" s="1"/>
      <c r="B18654" s="1" t="s">
        <v>5782</v>
      </c>
      <c r="C18654" s="1" t="s">
        <v>5783</v>
      </c>
      <c r="D18654" s="22" t="str">
        <f>HYPERLINK("https://rhld.insurance.arkansas.gov/NPILookup?Npi=1992968838","1992968838")</f>
        <v>1992968838</v>
      </c>
      <c r="E18654" s="1" t="s">
        <v>23845</v>
      </c>
      <c r="F18654" s="2"/>
      <c r="G18654" s="2"/>
      <c r="H18654" s="2"/>
    </row>
    <row r="18655" spans="1:8" x14ac:dyDescent="0.25">
      <c r="A18655" s="1"/>
      <c r="B18655" s="1" t="s">
        <v>5782</v>
      </c>
      <c r="C18655" s="1" t="s">
        <v>5783</v>
      </c>
      <c r="D18655" s="22" t="str">
        <f>HYPERLINK("https://rhld.insurance.arkansas.gov/NPILookup?Npi=1992968978","1992968978")</f>
        <v>1992968978</v>
      </c>
      <c r="E18655" s="1" t="s">
        <v>961</v>
      </c>
      <c r="F18655" s="2"/>
      <c r="G18655" s="2"/>
      <c r="H18655" s="2"/>
    </row>
    <row r="18656" spans="1:8" x14ac:dyDescent="0.25">
      <c r="A18656" s="1"/>
      <c r="B18656" s="1" t="s">
        <v>6837</v>
      </c>
      <c r="C18656" s="1" t="s">
        <v>6838</v>
      </c>
      <c r="D18656" s="22" t="str">
        <f>HYPERLINK("https://rhld.insurance.arkansas.gov/NPILookup?Npi=1003922873","1003922873")</f>
        <v>1003922873</v>
      </c>
      <c r="E18656" s="1" t="s">
        <v>6839</v>
      </c>
      <c r="F18656" s="2"/>
      <c r="G18656" s="2"/>
      <c r="H18656" s="2"/>
    </row>
    <row r="18657" spans="1:8" x14ac:dyDescent="0.25">
      <c r="A18657" s="1"/>
      <c r="B18657" s="1" t="s">
        <v>6837</v>
      </c>
      <c r="C18657" s="1" t="s">
        <v>6838</v>
      </c>
      <c r="D18657" s="22" t="str">
        <f>HYPERLINK("https://rhld.insurance.arkansas.gov/NPILookup?Npi=1013203553","1013203553")</f>
        <v>1013203553</v>
      </c>
      <c r="E18657" s="1" t="s">
        <v>24011</v>
      </c>
      <c r="F18657" s="2"/>
      <c r="G18657" s="2"/>
      <c r="H18657" s="2"/>
    </row>
    <row r="18658" spans="1:8" x14ac:dyDescent="0.25">
      <c r="A18658" s="1"/>
      <c r="B18658" s="1" t="s">
        <v>6837</v>
      </c>
      <c r="C18658" s="1" t="s">
        <v>6838</v>
      </c>
      <c r="D18658" s="22" t="str">
        <f>HYPERLINK("https://rhld.insurance.arkansas.gov/NPILookup?Npi=1033195649","1033195649")</f>
        <v>1033195649</v>
      </c>
      <c r="E18658" s="1" t="s">
        <v>6840</v>
      </c>
      <c r="F18658" s="2"/>
      <c r="G18658" s="2"/>
      <c r="H18658" s="2"/>
    </row>
    <row r="18659" spans="1:8" x14ac:dyDescent="0.25">
      <c r="A18659" s="1"/>
      <c r="B18659" s="1" t="s">
        <v>6837</v>
      </c>
      <c r="C18659" s="1" t="s">
        <v>6838</v>
      </c>
      <c r="D18659" s="22" t="str">
        <f>HYPERLINK("https://rhld.insurance.arkansas.gov/NPILookup?Npi=1033506514","1033506514")</f>
        <v>1033506514</v>
      </c>
      <c r="E18659" s="1" t="s">
        <v>24012</v>
      </c>
      <c r="F18659" s="2"/>
      <c r="G18659" s="2"/>
      <c r="H18659" s="2"/>
    </row>
    <row r="18660" spans="1:8" x14ac:dyDescent="0.25">
      <c r="A18660" s="1"/>
      <c r="B18660" s="1" t="s">
        <v>6837</v>
      </c>
      <c r="C18660" s="1" t="s">
        <v>6838</v>
      </c>
      <c r="D18660" s="22" t="str">
        <f>HYPERLINK("https://rhld.insurance.arkansas.gov/NPILookup?Npi=1033596663","1033596663")</f>
        <v>1033596663</v>
      </c>
      <c r="E18660" s="1" t="s">
        <v>6841</v>
      </c>
      <c r="F18660" s="2"/>
      <c r="G18660" s="2"/>
      <c r="H18660" s="2"/>
    </row>
    <row r="18661" spans="1:8" x14ac:dyDescent="0.25">
      <c r="A18661" s="1"/>
      <c r="B18661" s="1" t="s">
        <v>6837</v>
      </c>
      <c r="C18661" s="1" t="s">
        <v>6838</v>
      </c>
      <c r="D18661" s="22" t="str">
        <f>HYPERLINK("https://rhld.insurance.arkansas.gov/NPILookup?Npi=1053314203","1053314203")</f>
        <v>1053314203</v>
      </c>
      <c r="E18661" s="1" t="s">
        <v>31994</v>
      </c>
      <c r="F18661" s="2"/>
      <c r="G18661" s="2"/>
      <c r="H18661" s="2"/>
    </row>
    <row r="18662" spans="1:8" x14ac:dyDescent="0.25">
      <c r="A18662" s="1"/>
      <c r="B18662" s="1" t="s">
        <v>6837</v>
      </c>
      <c r="C18662" s="1" t="s">
        <v>6838</v>
      </c>
      <c r="D18662" s="22" t="str">
        <f>HYPERLINK("https://rhld.insurance.arkansas.gov/NPILookup?Npi=1053374496","1053374496")</f>
        <v>1053374496</v>
      </c>
      <c r="E18662" s="1" t="s">
        <v>18348</v>
      </c>
      <c r="F18662" s="2"/>
      <c r="G18662" s="2"/>
      <c r="H18662" s="2"/>
    </row>
    <row r="18663" spans="1:8" x14ac:dyDescent="0.25">
      <c r="A18663" s="1"/>
      <c r="B18663" s="1" t="s">
        <v>6837</v>
      </c>
      <c r="C18663" s="1" t="s">
        <v>6838</v>
      </c>
      <c r="D18663" s="22" t="str">
        <f>HYPERLINK("https://rhld.insurance.arkansas.gov/NPILookup?Npi=1053601575","1053601575")</f>
        <v>1053601575</v>
      </c>
      <c r="E18663" s="1" t="s">
        <v>6842</v>
      </c>
      <c r="F18663" s="2"/>
      <c r="G18663" s="2"/>
      <c r="H18663" s="2"/>
    </row>
    <row r="18664" spans="1:8" x14ac:dyDescent="0.25">
      <c r="A18664" s="1"/>
      <c r="B18664" s="1" t="s">
        <v>6837</v>
      </c>
      <c r="C18664" s="1" t="s">
        <v>6838</v>
      </c>
      <c r="D18664" s="22" t="str">
        <f>HYPERLINK("https://rhld.insurance.arkansas.gov/NPILookup?Npi=1063441699","1063441699")</f>
        <v>1063441699</v>
      </c>
      <c r="E18664" s="1" t="s">
        <v>24013</v>
      </c>
      <c r="F18664" s="2"/>
      <c r="G18664" s="2"/>
      <c r="H18664" s="2"/>
    </row>
    <row r="18665" spans="1:8" x14ac:dyDescent="0.25">
      <c r="A18665" s="1"/>
      <c r="B18665" s="1" t="s">
        <v>6837</v>
      </c>
      <c r="C18665" s="1" t="s">
        <v>6838</v>
      </c>
      <c r="D18665" s="22" t="str">
        <f>HYPERLINK("https://rhld.insurance.arkansas.gov/NPILookup?Npi=1073509956","1073509956")</f>
        <v>1073509956</v>
      </c>
      <c r="E18665" s="1" t="s">
        <v>24014</v>
      </c>
      <c r="F18665" s="2"/>
      <c r="G18665" s="2"/>
      <c r="H18665" s="2"/>
    </row>
    <row r="18666" spans="1:8" x14ac:dyDescent="0.25">
      <c r="A18666" s="1"/>
      <c r="B18666" s="1" t="s">
        <v>6837</v>
      </c>
      <c r="C18666" s="1" t="s">
        <v>6838</v>
      </c>
      <c r="D18666" s="22" t="str">
        <f>HYPERLINK("https://rhld.insurance.arkansas.gov/NPILookup?Npi=1093002503","1093002503")</f>
        <v>1093002503</v>
      </c>
      <c r="E18666" s="1" t="s">
        <v>24015</v>
      </c>
      <c r="F18666" s="2"/>
      <c r="G18666" s="2"/>
      <c r="H18666" s="2"/>
    </row>
    <row r="18667" spans="1:8" x14ac:dyDescent="0.25">
      <c r="A18667" s="1"/>
      <c r="B18667" s="1" t="s">
        <v>6837</v>
      </c>
      <c r="C18667" s="1" t="s">
        <v>6838</v>
      </c>
      <c r="D18667" s="22" t="str">
        <f>HYPERLINK("https://rhld.insurance.arkansas.gov/NPILookup?Npi=1093942252","1093942252")</f>
        <v>1093942252</v>
      </c>
      <c r="E18667" s="1" t="s">
        <v>6843</v>
      </c>
      <c r="F18667" s="2"/>
      <c r="G18667" s="2"/>
      <c r="H18667" s="2"/>
    </row>
    <row r="18668" spans="1:8" x14ac:dyDescent="0.25">
      <c r="A18668" s="1"/>
      <c r="B18668" s="1" t="s">
        <v>6837</v>
      </c>
      <c r="C18668" s="1" t="s">
        <v>6838</v>
      </c>
      <c r="D18668" s="22" t="str">
        <f>HYPERLINK("https://rhld.insurance.arkansas.gov/NPILookup?Npi=1104806702","1104806702")</f>
        <v>1104806702</v>
      </c>
      <c r="E18668" s="1" t="s">
        <v>24016</v>
      </c>
      <c r="F18668" s="2"/>
      <c r="G18668" s="2"/>
      <c r="H18668" s="2"/>
    </row>
    <row r="18669" spans="1:8" x14ac:dyDescent="0.25">
      <c r="A18669" s="1"/>
      <c r="B18669" s="1" t="s">
        <v>6837</v>
      </c>
      <c r="C18669" s="1" t="s">
        <v>6838</v>
      </c>
      <c r="D18669" s="22" t="str">
        <f>HYPERLINK("https://rhld.insurance.arkansas.gov/NPILookup?Npi=1104884386","1104884386")</f>
        <v>1104884386</v>
      </c>
      <c r="E18669" s="1" t="s">
        <v>12292</v>
      </c>
      <c r="F18669" s="2"/>
      <c r="G18669" s="2"/>
      <c r="H18669" s="2"/>
    </row>
    <row r="18670" spans="1:8" x14ac:dyDescent="0.25">
      <c r="A18670" s="1"/>
      <c r="B18670" s="1" t="s">
        <v>6837</v>
      </c>
      <c r="C18670" s="1" t="s">
        <v>6838</v>
      </c>
      <c r="D18670" s="22" t="str">
        <f>HYPERLINK("https://rhld.insurance.arkansas.gov/NPILookup?Npi=1104916675","1104916675")</f>
        <v>1104916675</v>
      </c>
      <c r="E18670" s="1" t="s">
        <v>24017</v>
      </c>
      <c r="F18670" s="2"/>
      <c r="G18670" s="2"/>
      <c r="H18670" s="2"/>
    </row>
    <row r="18671" spans="1:8" x14ac:dyDescent="0.25">
      <c r="A18671" s="1"/>
      <c r="B18671" s="1" t="s">
        <v>6837</v>
      </c>
      <c r="C18671" s="1" t="s">
        <v>6838</v>
      </c>
      <c r="D18671" s="22" t="str">
        <f>HYPERLINK("https://rhld.insurance.arkansas.gov/NPILookup?Npi=1114973922","1114973922")</f>
        <v>1114973922</v>
      </c>
      <c r="E18671" s="1" t="s">
        <v>24018</v>
      </c>
      <c r="F18671" s="2"/>
      <c r="G18671" s="2"/>
      <c r="H18671" s="2"/>
    </row>
    <row r="18672" spans="1:8" x14ac:dyDescent="0.25">
      <c r="A18672" s="1"/>
      <c r="B18672" s="1" t="s">
        <v>6837</v>
      </c>
      <c r="C18672" s="1" t="s">
        <v>6838</v>
      </c>
      <c r="D18672" s="22" t="str">
        <f>HYPERLINK("https://rhld.insurance.arkansas.gov/NPILookup?Npi=1124068762","1124068762")</f>
        <v>1124068762</v>
      </c>
      <c r="E18672" s="1" t="s">
        <v>24019</v>
      </c>
      <c r="F18672" s="2"/>
      <c r="G18672" s="2"/>
      <c r="H18672" s="2"/>
    </row>
    <row r="18673" spans="1:8" x14ac:dyDescent="0.25">
      <c r="A18673" s="1"/>
      <c r="B18673" s="1" t="s">
        <v>6837</v>
      </c>
      <c r="C18673" s="1" t="s">
        <v>6838</v>
      </c>
      <c r="D18673" s="22" t="str">
        <f>HYPERLINK("https://rhld.insurance.arkansas.gov/NPILookup?Npi=1134127665","1134127665")</f>
        <v>1134127665</v>
      </c>
      <c r="E18673" s="1" t="s">
        <v>24020</v>
      </c>
      <c r="F18673" s="2"/>
      <c r="G18673" s="2"/>
      <c r="H18673" s="2"/>
    </row>
    <row r="18674" spans="1:8" x14ac:dyDescent="0.25">
      <c r="A18674" s="1"/>
      <c r="B18674" s="1" t="s">
        <v>6837</v>
      </c>
      <c r="C18674" s="1" t="s">
        <v>6838</v>
      </c>
      <c r="D18674" s="22" t="str">
        <f>HYPERLINK("https://rhld.insurance.arkansas.gov/NPILookup?Npi=1134171895","1134171895")</f>
        <v>1134171895</v>
      </c>
      <c r="E18674" s="1" t="s">
        <v>24021</v>
      </c>
      <c r="F18674" s="2"/>
      <c r="G18674" s="2"/>
      <c r="H18674" s="2"/>
    </row>
    <row r="18675" spans="1:8" x14ac:dyDescent="0.25">
      <c r="A18675" s="1"/>
      <c r="B18675" s="1" t="s">
        <v>6837</v>
      </c>
      <c r="C18675" s="1" t="s">
        <v>6838</v>
      </c>
      <c r="D18675" s="22" t="str">
        <f>HYPERLINK("https://rhld.insurance.arkansas.gov/NPILookup?Npi=1134433303","1134433303")</f>
        <v>1134433303</v>
      </c>
      <c r="E18675" s="1" t="s">
        <v>24022</v>
      </c>
      <c r="F18675" s="2"/>
      <c r="G18675" s="2"/>
      <c r="H18675" s="2"/>
    </row>
    <row r="18676" spans="1:8" x14ac:dyDescent="0.25">
      <c r="A18676" s="1"/>
      <c r="B18676" s="1" t="s">
        <v>6837</v>
      </c>
      <c r="C18676" s="1" t="s">
        <v>6838</v>
      </c>
      <c r="D18676" s="22" t="str">
        <f>HYPERLINK("https://rhld.insurance.arkansas.gov/NPILookup?Npi=1134488174","1134488174")</f>
        <v>1134488174</v>
      </c>
      <c r="E18676" s="1" t="s">
        <v>5690</v>
      </c>
      <c r="F18676" s="2"/>
      <c r="G18676" s="2"/>
      <c r="H18676" s="2"/>
    </row>
    <row r="18677" spans="1:8" x14ac:dyDescent="0.25">
      <c r="A18677" s="1"/>
      <c r="B18677" s="1" t="s">
        <v>6837</v>
      </c>
      <c r="C18677" s="1" t="s">
        <v>6838</v>
      </c>
      <c r="D18677" s="22" t="str">
        <f>HYPERLINK("https://rhld.insurance.arkansas.gov/NPILookup?Npi=1154601805","1154601805")</f>
        <v>1154601805</v>
      </c>
      <c r="E18677" s="1" t="s">
        <v>5695</v>
      </c>
      <c r="F18677" s="2"/>
      <c r="G18677" s="2"/>
      <c r="H18677" s="2"/>
    </row>
    <row r="18678" spans="1:8" x14ac:dyDescent="0.25">
      <c r="A18678" s="1"/>
      <c r="B18678" s="1" t="s">
        <v>6837</v>
      </c>
      <c r="C18678" s="1" t="s">
        <v>6838</v>
      </c>
      <c r="D18678" s="22" t="str">
        <f>HYPERLINK("https://rhld.insurance.arkansas.gov/NPILookup?Npi=1164765046","1164765046")</f>
        <v>1164765046</v>
      </c>
      <c r="E18678" s="1" t="s">
        <v>6844</v>
      </c>
      <c r="F18678" s="2"/>
      <c r="G18678" s="2"/>
      <c r="H18678" s="2"/>
    </row>
    <row r="18679" spans="1:8" x14ac:dyDescent="0.25">
      <c r="A18679" s="1"/>
      <c r="B18679" s="1" t="s">
        <v>6837</v>
      </c>
      <c r="C18679" s="1" t="s">
        <v>6838</v>
      </c>
      <c r="D18679" s="22" t="str">
        <f>HYPERLINK("https://rhld.insurance.arkansas.gov/NPILookup?Npi=1194729061","1194729061")</f>
        <v>1194729061</v>
      </c>
      <c r="E18679" s="1" t="s">
        <v>10856</v>
      </c>
      <c r="F18679" s="2"/>
      <c r="G18679" s="2"/>
      <c r="H18679" s="2"/>
    </row>
    <row r="18680" spans="1:8" x14ac:dyDescent="0.25">
      <c r="A18680" s="1"/>
      <c r="B18680" s="1" t="s">
        <v>6837</v>
      </c>
      <c r="C18680" s="1" t="s">
        <v>6838</v>
      </c>
      <c r="D18680" s="22" t="str">
        <f>HYPERLINK("https://rhld.insurance.arkansas.gov/NPILookup?Npi=1205063211","1205063211")</f>
        <v>1205063211</v>
      </c>
      <c r="E18680" s="1" t="s">
        <v>24023</v>
      </c>
      <c r="F18680" s="2"/>
      <c r="G18680" s="2"/>
      <c r="H18680" s="2"/>
    </row>
    <row r="18681" spans="1:8" x14ac:dyDescent="0.25">
      <c r="A18681" s="1"/>
      <c r="B18681" s="1" t="s">
        <v>6837</v>
      </c>
      <c r="C18681" s="1" t="s">
        <v>6838</v>
      </c>
      <c r="D18681" s="22" t="str">
        <f>HYPERLINK("https://rhld.insurance.arkansas.gov/NPILookup?Npi=1205063476","1205063476")</f>
        <v>1205063476</v>
      </c>
      <c r="E18681" s="1" t="s">
        <v>6845</v>
      </c>
      <c r="F18681" s="2"/>
      <c r="G18681" s="2"/>
      <c r="H18681" s="2"/>
    </row>
    <row r="18682" spans="1:8" x14ac:dyDescent="0.25">
      <c r="A18682" s="1"/>
      <c r="B18682" s="1" t="s">
        <v>6837</v>
      </c>
      <c r="C18682" s="1" t="s">
        <v>6838</v>
      </c>
      <c r="D18682" s="22" t="str">
        <f>HYPERLINK("https://rhld.insurance.arkansas.gov/NPILookup?Npi=1235102245","1235102245")</f>
        <v>1235102245</v>
      </c>
      <c r="E18682" s="1" t="s">
        <v>24024</v>
      </c>
      <c r="F18682" s="2"/>
      <c r="G18682" s="2"/>
      <c r="H18682" s="2"/>
    </row>
    <row r="18683" spans="1:8" x14ac:dyDescent="0.25">
      <c r="A18683" s="1"/>
      <c r="B18683" s="1" t="s">
        <v>6837</v>
      </c>
      <c r="C18683" s="1" t="s">
        <v>6838</v>
      </c>
      <c r="D18683" s="22" t="str">
        <f>HYPERLINK("https://rhld.insurance.arkansas.gov/NPILookup?Npi=1235116625","1235116625")</f>
        <v>1235116625</v>
      </c>
      <c r="E18683" s="1" t="s">
        <v>12293</v>
      </c>
      <c r="F18683" s="2"/>
      <c r="G18683" s="2"/>
      <c r="H18683" s="2"/>
    </row>
    <row r="18684" spans="1:8" x14ac:dyDescent="0.25">
      <c r="A18684" s="1"/>
      <c r="B18684" s="1" t="s">
        <v>6837</v>
      </c>
      <c r="C18684" s="1" t="s">
        <v>6838</v>
      </c>
      <c r="D18684" s="22" t="str">
        <f>HYPERLINK("https://rhld.insurance.arkansas.gov/NPILookup?Npi=1235524653","1235524653")</f>
        <v>1235524653</v>
      </c>
      <c r="E18684" s="1" t="s">
        <v>20691</v>
      </c>
      <c r="F18684" s="2"/>
      <c r="G18684" s="2"/>
      <c r="H18684" s="2"/>
    </row>
    <row r="18685" spans="1:8" x14ac:dyDescent="0.25">
      <c r="A18685" s="1"/>
      <c r="B18685" s="1" t="s">
        <v>6837</v>
      </c>
      <c r="C18685" s="1" t="s">
        <v>6838</v>
      </c>
      <c r="D18685" s="22" t="str">
        <f>HYPERLINK("https://rhld.insurance.arkansas.gov/NPILookup?Npi=1235557315","1235557315")</f>
        <v>1235557315</v>
      </c>
      <c r="E18685" s="1" t="s">
        <v>6846</v>
      </c>
      <c r="F18685" s="2"/>
      <c r="G18685" s="2"/>
      <c r="H18685" s="2"/>
    </row>
    <row r="18686" spans="1:8" x14ac:dyDescent="0.25">
      <c r="A18686" s="1"/>
      <c r="B18686" s="1" t="s">
        <v>6837</v>
      </c>
      <c r="C18686" s="1" t="s">
        <v>6838</v>
      </c>
      <c r="D18686" s="22" t="str">
        <f>HYPERLINK("https://rhld.insurance.arkansas.gov/NPILookup?Npi=1245279991","1245279991")</f>
        <v>1245279991</v>
      </c>
      <c r="E18686" s="1" t="s">
        <v>24025</v>
      </c>
      <c r="F18686" s="2"/>
      <c r="G18686" s="2"/>
      <c r="H18686" s="2"/>
    </row>
    <row r="18687" spans="1:8" x14ac:dyDescent="0.25">
      <c r="A18687" s="1"/>
      <c r="B18687" s="1" t="s">
        <v>6837</v>
      </c>
      <c r="C18687" s="1" t="s">
        <v>6838</v>
      </c>
      <c r="D18687" s="22" t="str">
        <f>HYPERLINK("https://rhld.insurance.arkansas.gov/NPILookup?Npi=1265410443","1265410443")</f>
        <v>1265410443</v>
      </c>
      <c r="E18687" s="1" t="s">
        <v>6847</v>
      </c>
      <c r="F18687" s="2"/>
      <c r="G18687" s="2"/>
      <c r="H18687" s="2"/>
    </row>
    <row r="18688" spans="1:8" x14ac:dyDescent="0.25">
      <c r="A18688" s="1"/>
      <c r="B18688" s="1" t="s">
        <v>6837</v>
      </c>
      <c r="C18688" s="1" t="s">
        <v>6838</v>
      </c>
      <c r="D18688" s="22" t="str">
        <f>HYPERLINK("https://rhld.insurance.arkansas.gov/NPILookup?Npi=1265421812","1265421812")</f>
        <v>1265421812</v>
      </c>
      <c r="E18688" s="1" t="s">
        <v>24026</v>
      </c>
      <c r="F18688" s="2"/>
      <c r="G18688" s="2"/>
      <c r="H18688" s="2"/>
    </row>
    <row r="18689" spans="1:8" x14ac:dyDescent="0.25">
      <c r="A18689" s="1"/>
      <c r="B18689" s="1" t="s">
        <v>6837</v>
      </c>
      <c r="C18689" s="1" t="s">
        <v>6838</v>
      </c>
      <c r="D18689" s="22" t="str">
        <f>HYPERLINK("https://rhld.insurance.arkansas.gov/NPILookup?Npi=1265587869","1265587869")</f>
        <v>1265587869</v>
      </c>
      <c r="E18689" s="1" t="s">
        <v>24027</v>
      </c>
      <c r="F18689" s="2"/>
      <c r="G18689" s="2"/>
      <c r="H18689" s="2"/>
    </row>
    <row r="18690" spans="1:8" x14ac:dyDescent="0.25">
      <c r="A18690" s="1"/>
      <c r="B18690" s="1" t="s">
        <v>6837</v>
      </c>
      <c r="C18690" s="1" t="s">
        <v>6838</v>
      </c>
      <c r="D18690" s="22" t="str">
        <f>HYPERLINK("https://rhld.insurance.arkansas.gov/NPILookup?Npi=1265895106","1265895106")</f>
        <v>1265895106</v>
      </c>
      <c r="E18690" s="1" t="s">
        <v>24028</v>
      </c>
      <c r="F18690" s="2"/>
      <c r="G18690" s="2"/>
      <c r="H18690" s="2"/>
    </row>
    <row r="18691" spans="1:8" x14ac:dyDescent="0.25">
      <c r="A18691" s="1"/>
      <c r="B18691" s="1" t="s">
        <v>6837</v>
      </c>
      <c r="C18691" s="1" t="s">
        <v>6838</v>
      </c>
      <c r="D18691" s="22" t="str">
        <f>HYPERLINK("https://rhld.insurance.arkansas.gov/NPILookup?Npi=1295046712","1295046712")</f>
        <v>1295046712</v>
      </c>
      <c r="E18691" s="1" t="s">
        <v>24029</v>
      </c>
      <c r="F18691" s="2"/>
      <c r="G18691" s="2"/>
      <c r="H18691" s="2"/>
    </row>
    <row r="18692" spans="1:8" x14ac:dyDescent="0.25">
      <c r="A18692" s="1"/>
      <c r="B18692" s="1" t="s">
        <v>6837</v>
      </c>
      <c r="C18692" s="1" t="s">
        <v>6838</v>
      </c>
      <c r="D18692" s="22" t="str">
        <f>HYPERLINK("https://rhld.insurance.arkansas.gov/NPILookup?Npi=1295077055","1295077055")</f>
        <v>1295077055</v>
      </c>
      <c r="E18692" s="1" t="s">
        <v>24030</v>
      </c>
      <c r="F18692" s="2"/>
      <c r="G18692" s="2"/>
      <c r="H18692" s="2"/>
    </row>
    <row r="18693" spans="1:8" x14ac:dyDescent="0.25">
      <c r="A18693" s="1"/>
      <c r="B18693" s="1" t="s">
        <v>6837</v>
      </c>
      <c r="C18693" s="1" t="s">
        <v>6838</v>
      </c>
      <c r="D18693" s="22" t="str">
        <f>HYPERLINK("https://rhld.insurance.arkansas.gov/NPILookup?Npi=1295295269","1295295269")</f>
        <v>1295295269</v>
      </c>
      <c r="E18693" s="1" t="s">
        <v>20706</v>
      </c>
      <c r="F18693" s="2"/>
      <c r="G18693" s="2"/>
      <c r="H18693" s="2"/>
    </row>
    <row r="18694" spans="1:8" x14ac:dyDescent="0.25">
      <c r="A18694" s="1"/>
      <c r="B18694" s="1" t="s">
        <v>6837</v>
      </c>
      <c r="C18694" s="1" t="s">
        <v>6838</v>
      </c>
      <c r="D18694" s="22" t="str">
        <f>HYPERLINK("https://rhld.insurance.arkansas.gov/NPILookup?Npi=1295296457","1295296457")</f>
        <v>1295296457</v>
      </c>
      <c r="E18694" s="1" t="s">
        <v>24031</v>
      </c>
      <c r="F18694" s="2"/>
      <c r="G18694" s="2"/>
      <c r="H18694" s="2"/>
    </row>
    <row r="18695" spans="1:8" x14ac:dyDescent="0.25">
      <c r="A18695" s="1"/>
      <c r="B18695" s="1" t="s">
        <v>6837</v>
      </c>
      <c r="C18695" s="1" t="s">
        <v>6838</v>
      </c>
      <c r="D18695" s="22" t="str">
        <f>HYPERLINK("https://rhld.insurance.arkansas.gov/NPILookup?Npi=1295962660","1295962660")</f>
        <v>1295962660</v>
      </c>
      <c r="E18695" s="1" t="s">
        <v>24032</v>
      </c>
      <c r="F18695" s="2"/>
      <c r="G18695" s="2"/>
      <c r="H18695" s="2"/>
    </row>
    <row r="18696" spans="1:8" x14ac:dyDescent="0.25">
      <c r="A18696" s="1"/>
      <c r="B18696" s="1" t="s">
        <v>6837</v>
      </c>
      <c r="C18696" s="1" t="s">
        <v>6838</v>
      </c>
      <c r="D18696" s="22" t="str">
        <f>HYPERLINK("https://rhld.insurance.arkansas.gov/NPILookup?Npi=1326035163","1326035163")</f>
        <v>1326035163</v>
      </c>
      <c r="E18696" s="1" t="s">
        <v>12294</v>
      </c>
      <c r="F18696" s="2"/>
      <c r="G18696" s="2"/>
      <c r="H18696" s="2"/>
    </row>
    <row r="18697" spans="1:8" x14ac:dyDescent="0.25">
      <c r="A18697" s="1"/>
      <c r="B18697" s="1" t="s">
        <v>6837</v>
      </c>
      <c r="C18697" s="1" t="s">
        <v>6838</v>
      </c>
      <c r="D18697" s="22" t="str">
        <f>HYPERLINK("https://rhld.insurance.arkansas.gov/NPILookup?Npi=1326041146","1326041146")</f>
        <v>1326041146</v>
      </c>
      <c r="E18697" s="1" t="s">
        <v>24033</v>
      </c>
      <c r="F18697" s="2"/>
      <c r="G18697" s="2"/>
      <c r="H18697" s="2"/>
    </row>
    <row r="18698" spans="1:8" x14ac:dyDescent="0.25">
      <c r="A18698" s="1"/>
      <c r="B18698" s="1" t="s">
        <v>6837</v>
      </c>
      <c r="C18698" s="1" t="s">
        <v>6838</v>
      </c>
      <c r="D18698" s="22" t="str">
        <f>HYPERLINK("https://rhld.insurance.arkansas.gov/NPILookup?Npi=1336244466","1336244466")</f>
        <v>1336244466</v>
      </c>
      <c r="E18698" s="1" t="s">
        <v>24034</v>
      </c>
      <c r="F18698" s="2"/>
      <c r="G18698" s="2"/>
      <c r="H18698" s="2"/>
    </row>
    <row r="18699" spans="1:8" x14ac:dyDescent="0.25">
      <c r="A18699" s="1"/>
      <c r="B18699" s="1" t="s">
        <v>6837</v>
      </c>
      <c r="C18699" s="1" t="s">
        <v>6838</v>
      </c>
      <c r="D18699" s="22" t="str">
        <f>HYPERLINK("https://rhld.insurance.arkansas.gov/NPILookup?Npi=1356597330","1356597330")</f>
        <v>1356597330</v>
      </c>
      <c r="E18699" s="1" t="s">
        <v>24035</v>
      </c>
      <c r="F18699" s="2"/>
      <c r="G18699" s="2"/>
      <c r="H18699" s="2"/>
    </row>
    <row r="18700" spans="1:8" x14ac:dyDescent="0.25">
      <c r="A18700" s="1"/>
      <c r="B18700" s="1" t="s">
        <v>6837</v>
      </c>
      <c r="C18700" s="1" t="s">
        <v>6838</v>
      </c>
      <c r="D18700" s="22" t="str">
        <f>HYPERLINK("https://rhld.insurance.arkansas.gov/NPILookup?Npi=1356635486","1356635486")</f>
        <v>1356635486</v>
      </c>
      <c r="E18700" s="1" t="s">
        <v>24036</v>
      </c>
      <c r="F18700" s="2"/>
      <c r="G18700" s="2"/>
      <c r="H18700" s="2"/>
    </row>
    <row r="18701" spans="1:8" x14ac:dyDescent="0.25">
      <c r="A18701" s="1"/>
      <c r="B18701" s="1" t="s">
        <v>6837</v>
      </c>
      <c r="C18701" s="1" t="s">
        <v>6838</v>
      </c>
      <c r="D18701" s="22" t="str">
        <f>HYPERLINK("https://rhld.insurance.arkansas.gov/NPILookup?Npi=1366471211","1366471211")</f>
        <v>1366471211</v>
      </c>
      <c r="E18701" s="1" t="s">
        <v>19648</v>
      </c>
      <c r="F18701" s="2"/>
      <c r="G18701" s="2"/>
      <c r="H18701" s="2"/>
    </row>
    <row r="18702" spans="1:8" x14ac:dyDescent="0.25">
      <c r="A18702" s="1"/>
      <c r="B18702" s="1" t="s">
        <v>6837</v>
      </c>
      <c r="C18702" s="1" t="s">
        <v>6838</v>
      </c>
      <c r="D18702" s="22" t="str">
        <f>HYPERLINK("https://rhld.insurance.arkansas.gov/NPILookup?Npi=1376569210","1376569210")</f>
        <v>1376569210</v>
      </c>
      <c r="E18702" s="1" t="s">
        <v>20722</v>
      </c>
      <c r="F18702" s="2"/>
      <c r="G18702" s="2"/>
      <c r="H18702" s="2"/>
    </row>
    <row r="18703" spans="1:8" x14ac:dyDescent="0.25">
      <c r="A18703" s="1"/>
      <c r="B18703" s="1" t="s">
        <v>6837</v>
      </c>
      <c r="C18703" s="1" t="s">
        <v>6838</v>
      </c>
      <c r="D18703" s="22" t="str">
        <f>HYPERLINK("https://rhld.insurance.arkansas.gov/NPILookup?Npi=1396917142","1396917142")</f>
        <v>1396917142</v>
      </c>
      <c r="E18703" s="1" t="s">
        <v>12295</v>
      </c>
      <c r="F18703" s="2"/>
      <c r="G18703" s="2"/>
      <c r="H18703" s="2"/>
    </row>
    <row r="18704" spans="1:8" x14ac:dyDescent="0.25">
      <c r="A18704" s="1"/>
      <c r="B18704" s="1" t="s">
        <v>6837</v>
      </c>
      <c r="C18704" s="1" t="s">
        <v>6838</v>
      </c>
      <c r="D18704" s="22" t="str">
        <f>HYPERLINK("https://rhld.insurance.arkansas.gov/NPILookup?Npi=1396989257","1396989257")</f>
        <v>1396989257</v>
      </c>
      <c r="E18704" s="1" t="s">
        <v>24038</v>
      </c>
      <c r="F18704" s="2"/>
      <c r="G18704" s="2"/>
      <c r="H18704" s="2"/>
    </row>
    <row r="18705" spans="1:8" x14ac:dyDescent="0.25">
      <c r="A18705" s="1"/>
      <c r="B18705" s="1" t="s">
        <v>6837</v>
      </c>
      <c r="C18705" s="1" t="s">
        <v>6838</v>
      </c>
      <c r="D18705" s="22" t="str">
        <f>HYPERLINK("https://rhld.insurance.arkansas.gov/NPILookup?Npi=1407098890","1407098890")</f>
        <v>1407098890</v>
      </c>
      <c r="E18705" s="1" t="s">
        <v>24039</v>
      </c>
      <c r="F18705" s="2"/>
      <c r="G18705" s="2"/>
      <c r="H18705" s="2"/>
    </row>
    <row r="18706" spans="1:8" x14ac:dyDescent="0.25">
      <c r="A18706" s="1"/>
      <c r="B18706" s="1" t="s">
        <v>6837</v>
      </c>
      <c r="C18706" s="1" t="s">
        <v>6838</v>
      </c>
      <c r="D18706" s="22" t="str">
        <f>HYPERLINK("https://rhld.insurance.arkansas.gov/NPILookup?Npi=1407842917","1407842917")</f>
        <v>1407842917</v>
      </c>
      <c r="E18706" s="1" t="s">
        <v>24040</v>
      </c>
      <c r="F18706" s="2"/>
      <c r="G18706" s="2"/>
      <c r="H18706" s="2"/>
    </row>
    <row r="18707" spans="1:8" x14ac:dyDescent="0.25">
      <c r="A18707" s="1"/>
      <c r="B18707" s="1" t="s">
        <v>6837</v>
      </c>
      <c r="C18707" s="1" t="s">
        <v>6838</v>
      </c>
      <c r="D18707" s="22" t="str">
        <f>HYPERLINK("https://rhld.insurance.arkansas.gov/NPILookup?Npi=1417964859","1417964859")</f>
        <v>1417964859</v>
      </c>
      <c r="E18707" s="1" t="s">
        <v>24041</v>
      </c>
      <c r="F18707" s="2"/>
      <c r="G18707" s="2"/>
      <c r="H18707" s="2"/>
    </row>
    <row r="18708" spans="1:8" x14ac:dyDescent="0.25">
      <c r="A18708" s="1"/>
      <c r="B18708" s="1" t="s">
        <v>6837</v>
      </c>
      <c r="C18708" s="1" t="s">
        <v>6838</v>
      </c>
      <c r="D18708" s="22" t="str">
        <f>HYPERLINK("https://rhld.insurance.arkansas.gov/NPILookup?Npi=1427045111","1427045111")</f>
        <v>1427045111</v>
      </c>
      <c r="E18708" s="1" t="s">
        <v>5723</v>
      </c>
      <c r="F18708" s="2"/>
      <c r="G18708" s="2"/>
      <c r="H18708" s="2"/>
    </row>
    <row r="18709" spans="1:8" x14ac:dyDescent="0.25">
      <c r="A18709" s="1"/>
      <c r="B18709" s="1" t="s">
        <v>6837</v>
      </c>
      <c r="C18709" s="1" t="s">
        <v>6838</v>
      </c>
      <c r="D18709" s="22" t="str">
        <f>HYPERLINK("https://rhld.insurance.arkansas.gov/NPILookup?Npi=1427064401","1427064401")</f>
        <v>1427064401</v>
      </c>
      <c r="E18709" s="1" t="s">
        <v>12296</v>
      </c>
      <c r="F18709" s="2"/>
      <c r="G18709" s="2"/>
      <c r="H18709" s="2"/>
    </row>
    <row r="18710" spans="1:8" x14ac:dyDescent="0.25">
      <c r="A18710" s="1"/>
      <c r="B18710" s="1" t="s">
        <v>6837</v>
      </c>
      <c r="C18710" s="1" t="s">
        <v>6838</v>
      </c>
      <c r="D18710" s="22" t="str">
        <f>HYPERLINK("https://rhld.insurance.arkansas.gov/NPILookup?Npi=1437252780","1437252780")</f>
        <v>1437252780</v>
      </c>
      <c r="E18710" s="1" t="s">
        <v>24042</v>
      </c>
      <c r="F18710" s="2"/>
      <c r="G18710" s="2"/>
      <c r="H18710" s="2"/>
    </row>
    <row r="18711" spans="1:8" x14ac:dyDescent="0.25">
      <c r="A18711" s="1"/>
      <c r="B18711" s="1" t="s">
        <v>6837</v>
      </c>
      <c r="C18711" s="1" t="s">
        <v>6838</v>
      </c>
      <c r="D18711" s="22" t="str">
        <f>HYPERLINK("https://rhld.insurance.arkansas.gov/NPILookup?Npi=1447517974","1447517974")</f>
        <v>1447517974</v>
      </c>
      <c r="E18711" s="1" t="s">
        <v>12297</v>
      </c>
      <c r="F18711" s="2"/>
      <c r="G18711" s="2"/>
      <c r="H18711" s="2"/>
    </row>
    <row r="18712" spans="1:8" x14ac:dyDescent="0.25">
      <c r="A18712" s="1"/>
      <c r="B18712" s="1" t="s">
        <v>6837</v>
      </c>
      <c r="C18712" s="1" t="s">
        <v>6838</v>
      </c>
      <c r="D18712" s="22" t="str">
        <f>HYPERLINK("https://rhld.insurance.arkansas.gov/NPILookup?Npi=1457383952","1457383952")</f>
        <v>1457383952</v>
      </c>
      <c r="E18712" s="1" t="s">
        <v>24043</v>
      </c>
      <c r="F18712" s="2"/>
      <c r="G18712" s="2"/>
      <c r="H18712" s="2"/>
    </row>
    <row r="18713" spans="1:8" x14ac:dyDescent="0.25">
      <c r="A18713" s="1"/>
      <c r="B18713" s="1" t="s">
        <v>6837</v>
      </c>
      <c r="C18713" s="1" t="s">
        <v>6838</v>
      </c>
      <c r="D18713" s="22" t="str">
        <f>HYPERLINK("https://rhld.insurance.arkansas.gov/NPILookup?Npi=1457645830","1457645830")</f>
        <v>1457645830</v>
      </c>
      <c r="E18713" s="1" t="s">
        <v>17543</v>
      </c>
      <c r="F18713" s="2"/>
      <c r="G18713" s="2"/>
      <c r="H18713" s="2"/>
    </row>
    <row r="18714" spans="1:8" x14ac:dyDescent="0.25">
      <c r="A18714" s="1"/>
      <c r="B18714" s="1" t="s">
        <v>6837</v>
      </c>
      <c r="C18714" s="1" t="s">
        <v>6838</v>
      </c>
      <c r="D18714" s="22" t="str">
        <f>HYPERLINK("https://rhld.insurance.arkansas.gov/NPILookup?Npi=1457813438","1457813438")</f>
        <v>1457813438</v>
      </c>
      <c r="E18714" s="1" t="s">
        <v>24044</v>
      </c>
      <c r="F18714" s="2"/>
      <c r="G18714" s="2"/>
      <c r="H18714" s="2"/>
    </row>
    <row r="18715" spans="1:8" x14ac:dyDescent="0.25">
      <c r="A18715" s="1"/>
      <c r="B18715" s="1" t="s">
        <v>6837</v>
      </c>
      <c r="C18715" s="1" t="s">
        <v>6838</v>
      </c>
      <c r="D18715" s="22" t="str">
        <f>HYPERLINK("https://rhld.insurance.arkansas.gov/NPILookup?Npi=1467539155","1467539155")</f>
        <v>1467539155</v>
      </c>
      <c r="E18715" s="1" t="s">
        <v>24045</v>
      </c>
      <c r="F18715" s="2"/>
      <c r="G18715" s="2"/>
      <c r="H18715" s="2"/>
    </row>
    <row r="18716" spans="1:8" x14ac:dyDescent="0.25">
      <c r="A18716" s="1"/>
      <c r="B18716" s="1" t="s">
        <v>6837</v>
      </c>
      <c r="C18716" s="1" t="s">
        <v>6838</v>
      </c>
      <c r="D18716" s="22" t="str">
        <f>HYPERLINK("https://rhld.insurance.arkansas.gov/NPILookup?Npi=1477521532","1477521532")</f>
        <v>1477521532</v>
      </c>
      <c r="E18716" s="1" t="s">
        <v>24046</v>
      </c>
      <c r="F18716" s="2"/>
      <c r="G18716" s="2"/>
      <c r="H18716" s="2"/>
    </row>
    <row r="18717" spans="1:8" x14ac:dyDescent="0.25">
      <c r="A18717" s="1"/>
      <c r="B18717" s="1" t="s">
        <v>6837</v>
      </c>
      <c r="C18717" s="1" t="s">
        <v>6838</v>
      </c>
      <c r="D18717" s="22" t="str">
        <f>HYPERLINK("https://rhld.insurance.arkansas.gov/NPILookup?Npi=1477540169","1477540169")</f>
        <v>1477540169</v>
      </c>
      <c r="E18717" s="1" t="s">
        <v>24047</v>
      </c>
      <c r="F18717" s="2"/>
      <c r="G18717" s="2"/>
      <c r="H18717" s="2"/>
    </row>
    <row r="18718" spans="1:8" x14ac:dyDescent="0.25">
      <c r="A18718" s="1"/>
      <c r="B18718" s="1" t="s">
        <v>6837</v>
      </c>
      <c r="C18718" s="1" t="s">
        <v>6838</v>
      </c>
      <c r="D18718" s="22" t="str">
        <f>HYPERLINK("https://rhld.insurance.arkansas.gov/NPILookup?Npi=1477643047","1477643047")</f>
        <v>1477643047</v>
      </c>
      <c r="E18718" s="1" t="s">
        <v>24048</v>
      </c>
      <c r="F18718" s="2"/>
      <c r="G18718" s="2"/>
      <c r="H18718" s="2"/>
    </row>
    <row r="18719" spans="1:8" x14ac:dyDescent="0.25">
      <c r="A18719" s="1"/>
      <c r="B18719" s="1" t="s">
        <v>6837</v>
      </c>
      <c r="C18719" s="1" t="s">
        <v>6838</v>
      </c>
      <c r="D18719" s="22" t="str">
        <f>HYPERLINK("https://rhld.insurance.arkansas.gov/NPILookup?Npi=1477809846","1477809846")</f>
        <v>1477809846</v>
      </c>
      <c r="E18719" s="1" t="s">
        <v>12298</v>
      </c>
      <c r="F18719" s="2"/>
      <c r="G18719" s="2"/>
      <c r="H18719" s="2"/>
    </row>
    <row r="18720" spans="1:8" x14ac:dyDescent="0.25">
      <c r="A18720" s="1"/>
      <c r="B18720" s="1" t="s">
        <v>6837</v>
      </c>
      <c r="C18720" s="1" t="s">
        <v>6838</v>
      </c>
      <c r="D18720" s="22" t="str">
        <f>HYPERLINK("https://rhld.insurance.arkansas.gov/NPILookup?Npi=1477810885","1477810885")</f>
        <v>1477810885</v>
      </c>
      <c r="E18720" s="1" t="s">
        <v>31995</v>
      </c>
      <c r="F18720" s="2"/>
      <c r="G18720" s="2"/>
      <c r="H18720" s="2"/>
    </row>
    <row r="18721" spans="1:8" x14ac:dyDescent="0.25">
      <c r="A18721" s="1"/>
      <c r="B18721" s="1" t="s">
        <v>6837</v>
      </c>
      <c r="C18721" s="1" t="s">
        <v>6838</v>
      </c>
      <c r="D18721" s="22" t="str">
        <f>HYPERLINK("https://rhld.insurance.arkansas.gov/NPILookup?Npi=1508158106","1508158106")</f>
        <v>1508158106</v>
      </c>
      <c r="E18721" s="1" t="s">
        <v>24049</v>
      </c>
      <c r="F18721" s="2"/>
      <c r="G18721" s="2"/>
      <c r="H18721" s="2"/>
    </row>
    <row r="18722" spans="1:8" x14ac:dyDescent="0.25">
      <c r="A18722" s="1"/>
      <c r="B18722" s="1" t="s">
        <v>6837</v>
      </c>
      <c r="C18722" s="1" t="s">
        <v>6838</v>
      </c>
      <c r="D18722" s="22" t="str">
        <f>HYPERLINK("https://rhld.insurance.arkansas.gov/NPILookup?Npi=1508814484","1508814484")</f>
        <v>1508814484</v>
      </c>
      <c r="E18722" s="1" t="s">
        <v>6848</v>
      </c>
      <c r="F18722" s="2"/>
      <c r="G18722" s="2"/>
      <c r="H18722" s="2"/>
    </row>
    <row r="18723" spans="1:8" x14ac:dyDescent="0.25">
      <c r="A18723" s="1"/>
      <c r="B18723" s="1" t="s">
        <v>6837</v>
      </c>
      <c r="C18723" s="1" t="s">
        <v>6838</v>
      </c>
      <c r="D18723" s="22" t="str">
        <f>HYPERLINK("https://rhld.insurance.arkansas.gov/NPILookup?Npi=1508822735","1508822735")</f>
        <v>1508822735</v>
      </c>
      <c r="E18723" s="1" t="s">
        <v>24050</v>
      </c>
      <c r="F18723" s="2"/>
      <c r="G18723" s="2"/>
      <c r="H18723" s="2"/>
    </row>
    <row r="18724" spans="1:8" x14ac:dyDescent="0.25">
      <c r="A18724" s="1"/>
      <c r="B18724" s="1" t="s">
        <v>6837</v>
      </c>
      <c r="C18724" s="1" t="s">
        <v>6838</v>
      </c>
      <c r="D18724" s="22" t="str">
        <f>HYPERLINK("https://rhld.insurance.arkansas.gov/NPILookup?Npi=1518079284","1518079284")</f>
        <v>1518079284</v>
      </c>
      <c r="E18724" s="1" t="s">
        <v>24051</v>
      </c>
      <c r="F18724" s="2"/>
      <c r="G18724" s="2"/>
      <c r="H18724" s="2"/>
    </row>
    <row r="18725" spans="1:8" x14ac:dyDescent="0.25">
      <c r="A18725" s="1"/>
      <c r="B18725" s="1" t="s">
        <v>6837</v>
      </c>
      <c r="C18725" s="1" t="s">
        <v>6838</v>
      </c>
      <c r="D18725" s="22" t="str">
        <f>HYPERLINK("https://rhld.insurance.arkansas.gov/NPILookup?Npi=1528521127","1528521127")</f>
        <v>1528521127</v>
      </c>
      <c r="E18725" s="1" t="s">
        <v>24052</v>
      </c>
      <c r="F18725" s="2"/>
      <c r="G18725" s="2"/>
      <c r="H18725" s="2"/>
    </row>
    <row r="18726" spans="1:8" x14ac:dyDescent="0.25">
      <c r="A18726" s="1"/>
      <c r="B18726" s="1" t="s">
        <v>6837</v>
      </c>
      <c r="C18726" s="1" t="s">
        <v>6838</v>
      </c>
      <c r="D18726" s="22" t="str">
        <f>HYPERLINK("https://rhld.insurance.arkansas.gov/NPILookup?Npi=1528645660","1528645660")</f>
        <v>1528645660</v>
      </c>
      <c r="E18726" s="1" t="s">
        <v>31996</v>
      </c>
      <c r="F18726" s="2"/>
      <c r="G18726" s="2"/>
      <c r="H18726" s="2"/>
    </row>
    <row r="18727" spans="1:8" x14ac:dyDescent="0.25">
      <c r="A18727" s="1"/>
      <c r="B18727" s="1" t="s">
        <v>6837</v>
      </c>
      <c r="C18727" s="1" t="s">
        <v>6838</v>
      </c>
      <c r="D18727" s="22" t="str">
        <f>HYPERLINK("https://rhld.insurance.arkansas.gov/NPILookup?Npi=1548227994","1548227994")</f>
        <v>1548227994</v>
      </c>
      <c r="E18727" s="1" t="s">
        <v>6849</v>
      </c>
      <c r="F18727" s="2"/>
      <c r="G18727" s="2"/>
      <c r="H18727" s="2"/>
    </row>
    <row r="18728" spans="1:8" x14ac:dyDescent="0.25">
      <c r="A18728" s="1"/>
      <c r="B18728" s="1" t="s">
        <v>6837</v>
      </c>
      <c r="C18728" s="1" t="s">
        <v>6838</v>
      </c>
      <c r="D18728" s="22" t="str">
        <f>HYPERLINK("https://rhld.insurance.arkansas.gov/NPILookup?Npi=1548263692","1548263692")</f>
        <v>1548263692</v>
      </c>
      <c r="E18728" s="1" t="s">
        <v>20756</v>
      </c>
      <c r="F18728" s="2"/>
      <c r="G18728" s="2"/>
      <c r="H18728" s="2"/>
    </row>
    <row r="18729" spans="1:8" x14ac:dyDescent="0.25">
      <c r="A18729" s="1"/>
      <c r="B18729" s="1" t="s">
        <v>6837</v>
      </c>
      <c r="C18729" s="1" t="s">
        <v>6838</v>
      </c>
      <c r="D18729" s="22" t="str">
        <f>HYPERLINK("https://rhld.insurance.arkansas.gov/NPILookup?Npi=1548270259","1548270259")</f>
        <v>1548270259</v>
      </c>
      <c r="E18729" s="1" t="s">
        <v>24053</v>
      </c>
      <c r="F18729" s="2"/>
      <c r="G18729" s="2"/>
      <c r="H18729" s="2"/>
    </row>
    <row r="18730" spans="1:8" x14ac:dyDescent="0.25">
      <c r="A18730" s="1"/>
      <c r="B18730" s="1" t="s">
        <v>6837</v>
      </c>
      <c r="C18730" s="1" t="s">
        <v>6838</v>
      </c>
      <c r="D18730" s="22" t="str">
        <f>HYPERLINK("https://rhld.insurance.arkansas.gov/NPILookup?Npi=1548489040","1548489040")</f>
        <v>1548489040</v>
      </c>
      <c r="E18730" s="1" t="s">
        <v>24054</v>
      </c>
      <c r="F18730" s="2"/>
      <c r="G18730" s="2"/>
      <c r="H18730" s="2"/>
    </row>
    <row r="18731" spans="1:8" x14ac:dyDescent="0.25">
      <c r="A18731" s="1"/>
      <c r="B18731" s="1" t="s">
        <v>6837</v>
      </c>
      <c r="C18731" s="1" t="s">
        <v>6838</v>
      </c>
      <c r="D18731" s="22" t="str">
        <f>HYPERLINK("https://rhld.insurance.arkansas.gov/NPILookup?Npi=1548783970","1548783970")</f>
        <v>1548783970</v>
      </c>
      <c r="E18731" s="1" t="s">
        <v>24055</v>
      </c>
      <c r="F18731" s="2"/>
      <c r="G18731" s="2"/>
      <c r="H18731" s="2"/>
    </row>
    <row r="18732" spans="1:8" x14ac:dyDescent="0.25">
      <c r="A18732" s="1"/>
      <c r="B18732" s="1" t="s">
        <v>6837</v>
      </c>
      <c r="C18732" s="1" t="s">
        <v>6838</v>
      </c>
      <c r="D18732" s="22" t="str">
        <f>HYPERLINK("https://rhld.insurance.arkansas.gov/NPILookup?Npi=1558355008","1558355008")</f>
        <v>1558355008</v>
      </c>
      <c r="E18732" s="1" t="s">
        <v>24056</v>
      </c>
      <c r="F18732" s="2"/>
      <c r="G18732" s="2"/>
      <c r="H18732" s="2"/>
    </row>
    <row r="18733" spans="1:8" x14ac:dyDescent="0.25">
      <c r="A18733" s="1"/>
      <c r="B18733" s="1" t="s">
        <v>6837</v>
      </c>
      <c r="C18733" s="1" t="s">
        <v>6838</v>
      </c>
      <c r="D18733" s="22" t="str">
        <f>HYPERLINK("https://rhld.insurance.arkansas.gov/NPILookup?Npi=1568404598","1568404598")</f>
        <v>1568404598</v>
      </c>
      <c r="E18733" s="1" t="s">
        <v>12299</v>
      </c>
      <c r="F18733" s="2"/>
      <c r="G18733" s="2"/>
      <c r="H18733" s="2"/>
    </row>
    <row r="18734" spans="1:8" x14ac:dyDescent="0.25">
      <c r="A18734" s="1"/>
      <c r="B18734" s="1" t="s">
        <v>6837</v>
      </c>
      <c r="C18734" s="1" t="s">
        <v>6838</v>
      </c>
      <c r="D18734" s="22" t="str">
        <f>HYPERLINK("https://rhld.insurance.arkansas.gov/NPILookup?Npi=1568552131","1568552131")</f>
        <v>1568552131</v>
      </c>
      <c r="E18734" s="1" t="s">
        <v>6850</v>
      </c>
      <c r="F18734" s="2"/>
      <c r="G18734" s="2"/>
      <c r="H18734" s="2"/>
    </row>
    <row r="18735" spans="1:8" x14ac:dyDescent="0.25">
      <c r="A18735" s="1"/>
      <c r="B18735" s="1" t="s">
        <v>6837</v>
      </c>
      <c r="C18735" s="1" t="s">
        <v>6838</v>
      </c>
      <c r="D18735" s="22" t="str">
        <f>HYPERLINK("https://rhld.insurance.arkansas.gov/NPILookup?Npi=1568623973","1568623973")</f>
        <v>1568623973</v>
      </c>
      <c r="E18735" s="1" t="s">
        <v>6851</v>
      </c>
      <c r="F18735" s="2"/>
      <c r="G18735" s="2"/>
      <c r="H18735" s="2"/>
    </row>
    <row r="18736" spans="1:8" x14ac:dyDescent="0.25">
      <c r="A18736" s="1"/>
      <c r="B18736" s="1" t="s">
        <v>6837</v>
      </c>
      <c r="C18736" s="1" t="s">
        <v>6838</v>
      </c>
      <c r="D18736" s="22" t="str">
        <f>HYPERLINK("https://rhld.insurance.arkansas.gov/NPILookup?Npi=1598726903","1598726903")</f>
        <v>1598726903</v>
      </c>
      <c r="E18736" s="1" t="s">
        <v>24057</v>
      </c>
      <c r="F18736" s="2"/>
      <c r="G18736" s="2"/>
      <c r="H18736" s="2"/>
    </row>
    <row r="18737" spans="1:8" x14ac:dyDescent="0.25">
      <c r="A18737" s="1"/>
      <c r="B18737" s="1" t="s">
        <v>6837</v>
      </c>
      <c r="C18737" s="1" t="s">
        <v>6838</v>
      </c>
      <c r="D18737" s="22" t="str">
        <f>HYPERLINK("https://rhld.insurance.arkansas.gov/NPILookup?Npi=1598810244","1598810244")</f>
        <v>1598810244</v>
      </c>
      <c r="E18737" s="1" t="s">
        <v>24058</v>
      </c>
      <c r="F18737" s="2"/>
      <c r="G18737" s="2"/>
      <c r="H18737" s="2"/>
    </row>
    <row r="18738" spans="1:8" x14ac:dyDescent="0.25">
      <c r="A18738" s="1"/>
      <c r="B18738" s="1" t="s">
        <v>6837</v>
      </c>
      <c r="C18738" s="1" t="s">
        <v>6838</v>
      </c>
      <c r="D18738" s="22" t="str">
        <f>HYPERLINK("https://rhld.insurance.arkansas.gov/NPILookup?Npi=1609846435","1609846435")</f>
        <v>1609846435</v>
      </c>
      <c r="E18738" s="1" t="s">
        <v>6852</v>
      </c>
      <c r="F18738" s="2"/>
      <c r="G18738" s="2"/>
      <c r="H18738" s="2"/>
    </row>
    <row r="18739" spans="1:8" x14ac:dyDescent="0.25">
      <c r="A18739" s="1"/>
      <c r="B18739" s="1" t="s">
        <v>6837</v>
      </c>
      <c r="C18739" s="1" t="s">
        <v>6838</v>
      </c>
      <c r="D18739" s="22" t="str">
        <f>HYPERLINK("https://rhld.insurance.arkansas.gov/NPILookup?Npi=1619060589","1619060589")</f>
        <v>1619060589</v>
      </c>
      <c r="E18739" s="1" t="s">
        <v>24059</v>
      </c>
      <c r="F18739" s="2"/>
      <c r="G18739" s="2"/>
      <c r="H18739" s="2"/>
    </row>
    <row r="18740" spans="1:8" x14ac:dyDescent="0.25">
      <c r="A18740" s="1"/>
      <c r="B18740" s="1" t="s">
        <v>6837</v>
      </c>
      <c r="C18740" s="1" t="s">
        <v>6838</v>
      </c>
      <c r="D18740" s="22" t="str">
        <f>HYPERLINK("https://rhld.insurance.arkansas.gov/NPILookup?Npi=1649407818","1649407818")</f>
        <v>1649407818</v>
      </c>
      <c r="E18740" s="1" t="s">
        <v>12300</v>
      </c>
      <c r="F18740" s="2"/>
      <c r="G18740" s="2"/>
      <c r="H18740" s="2"/>
    </row>
    <row r="18741" spans="1:8" x14ac:dyDescent="0.25">
      <c r="A18741" s="1"/>
      <c r="B18741" s="1" t="s">
        <v>6837</v>
      </c>
      <c r="C18741" s="1" t="s">
        <v>6838</v>
      </c>
      <c r="D18741" s="22" t="str">
        <f>HYPERLINK("https://rhld.insurance.arkansas.gov/NPILookup?Npi=1649775925","1649775925")</f>
        <v>1649775925</v>
      </c>
      <c r="E18741" s="1" t="s">
        <v>24060</v>
      </c>
      <c r="F18741" s="2"/>
      <c r="G18741" s="2"/>
      <c r="H18741" s="2"/>
    </row>
    <row r="18742" spans="1:8" x14ac:dyDescent="0.25">
      <c r="A18742" s="1"/>
      <c r="B18742" s="1" t="s">
        <v>6837</v>
      </c>
      <c r="C18742" s="1" t="s">
        <v>6838</v>
      </c>
      <c r="D18742" s="22" t="str">
        <f>HYPERLINK("https://rhld.insurance.arkansas.gov/NPILookup?Npi=1659371557","1659371557")</f>
        <v>1659371557</v>
      </c>
      <c r="E18742" s="1" t="s">
        <v>24061</v>
      </c>
      <c r="F18742" s="2"/>
      <c r="G18742" s="2"/>
      <c r="H18742" s="2"/>
    </row>
    <row r="18743" spans="1:8" x14ac:dyDescent="0.25">
      <c r="A18743" s="1"/>
      <c r="B18743" s="1" t="s">
        <v>6837</v>
      </c>
      <c r="C18743" s="1" t="s">
        <v>6838</v>
      </c>
      <c r="D18743" s="22" t="str">
        <f>HYPERLINK("https://rhld.insurance.arkansas.gov/NPILookup?Npi=1659461226","1659461226")</f>
        <v>1659461226</v>
      </c>
      <c r="E18743" s="1" t="s">
        <v>6853</v>
      </c>
      <c r="F18743" s="2"/>
      <c r="G18743" s="2"/>
      <c r="H18743" s="2"/>
    </row>
    <row r="18744" spans="1:8" x14ac:dyDescent="0.25">
      <c r="A18744" s="1"/>
      <c r="B18744" s="1" t="s">
        <v>6837</v>
      </c>
      <c r="C18744" s="1" t="s">
        <v>6838</v>
      </c>
      <c r="D18744" s="22" t="str">
        <f>HYPERLINK("https://rhld.insurance.arkansas.gov/NPILookup?Npi=1659877488","1659877488")</f>
        <v>1659877488</v>
      </c>
      <c r="E18744" s="1" t="s">
        <v>24062</v>
      </c>
      <c r="F18744" s="2"/>
      <c r="G18744" s="2"/>
      <c r="H18744" s="2"/>
    </row>
    <row r="18745" spans="1:8" x14ac:dyDescent="0.25">
      <c r="A18745" s="1"/>
      <c r="B18745" s="1" t="s">
        <v>6837</v>
      </c>
      <c r="C18745" s="1" t="s">
        <v>6838</v>
      </c>
      <c r="D18745" s="22" t="str">
        <f>HYPERLINK("https://rhld.insurance.arkansas.gov/NPILookup?Npi=1669603064","1669603064")</f>
        <v>1669603064</v>
      </c>
      <c r="E18745" s="1" t="s">
        <v>22052</v>
      </c>
      <c r="F18745" s="2"/>
      <c r="G18745" s="2"/>
      <c r="H18745" s="2"/>
    </row>
    <row r="18746" spans="1:8" x14ac:dyDescent="0.25">
      <c r="A18746" s="1"/>
      <c r="B18746" s="1" t="s">
        <v>6837</v>
      </c>
      <c r="C18746" s="1" t="s">
        <v>6838</v>
      </c>
      <c r="D18746" s="22" t="str">
        <f>HYPERLINK("https://rhld.insurance.arkansas.gov/NPILookup?Npi=1679224679","1679224679")</f>
        <v>1679224679</v>
      </c>
      <c r="E18746" s="1" t="s">
        <v>24063</v>
      </c>
      <c r="F18746" s="2"/>
      <c r="G18746" s="2"/>
      <c r="H18746" s="2"/>
    </row>
    <row r="18747" spans="1:8" x14ac:dyDescent="0.25">
      <c r="A18747" s="1"/>
      <c r="B18747" s="1" t="s">
        <v>6837</v>
      </c>
      <c r="C18747" s="1" t="s">
        <v>6838</v>
      </c>
      <c r="D18747" s="22" t="str">
        <f>HYPERLINK("https://rhld.insurance.arkansas.gov/NPILookup?Npi=1679849483","1679849483")</f>
        <v>1679849483</v>
      </c>
      <c r="E18747" s="1" t="s">
        <v>24064</v>
      </c>
      <c r="F18747" s="2"/>
      <c r="G18747" s="2"/>
      <c r="H18747" s="2"/>
    </row>
    <row r="18748" spans="1:8" x14ac:dyDescent="0.25">
      <c r="A18748" s="1"/>
      <c r="B18748" s="1" t="s">
        <v>6837</v>
      </c>
      <c r="C18748" s="1" t="s">
        <v>6838</v>
      </c>
      <c r="D18748" s="22" t="str">
        <f>HYPERLINK("https://rhld.insurance.arkansas.gov/NPILookup?Npi=1689237430","1689237430")</f>
        <v>1689237430</v>
      </c>
      <c r="E18748" s="1" t="s">
        <v>24065</v>
      </c>
      <c r="F18748" s="2"/>
      <c r="G18748" s="2"/>
      <c r="H18748" s="2"/>
    </row>
    <row r="18749" spans="1:8" x14ac:dyDescent="0.25">
      <c r="A18749" s="1"/>
      <c r="B18749" s="1" t="s">
        <v>6837</v>
      </c>
      <c r="C18749" s="1" t="s">
        <v>6838</v>
      </c>
      <c r="D18749" s="22" t="str">
        <f>HYPERLINK("https://rhld.insurance.arkansas.gov/NPILookup?Npi=1689647687","1689647687")</f>
        <v>1689647687</v>
      </c>
      <c r="E18749" s="1" t="s">
        <v>24066</v>
      </c>
      <c r="F18749" s="2"/>
      <c r="G18749" s="2"/>
      <c r="H18749" s="2"/>
    </row>
    <row r="18750" spans="1:8" x14ac:dyDescent="0.25">
      <c r="A18750" s="1"/>
      <c r="B18750" s="1" t="s">
        <v>6837</v>
      </c>
      <c r="C18750" s="1" t="s">
        <v>6838</v>
      </c>
      <c r="D18750" s="22" t="str">
        <f>HYPERLINK("https://rhld.insurance.arkansas.gov/NPILookup?Npi=1689682353","1689682353")</f>
        <v>1689682353</v>
      </c>
      <c r="E18750" s="1" t="s">
        <v>24067</v>
      </c>
      <c r="F18750" s="2"/>
      <c r="G18750" s="2"/>
      <c r="H18750" s="2"/>
    </row>
    <row r="18751" spans="1:8" x14ac:dyDescent="0.25">
      <c r="A18751" s="1"/>
      <c r="B18751" s="1" t="s">
        <v>6837</v>
      </c>
      <c r="C18751" s="1" t="s">
        <v>6838</v>
      </c>
      <c r="D18751" s="22" t="str">
        <f>HYPERLINK("https://rhld.insurance.arkansas.gov/NPILookup?Npi=1699188011","1699188011")</f>
        <v>1699188011</v>
      </c>
      <c r="E18751" s="1" t="s">
        <v>24068</v>
      </c>
      <c r="F18751" s="2"/>
      <c r="G18751" s="2"/>
      <c r="H18751" s="2"/>
    </row>
    <row r="18752" spans="1:8" x14ac:dyDescent="0.25">
      <c r="A18752" s="1"/>
      <c r="B18752" s="1" t="s">
        <v>6837</v>
      </c>
      <c r="C18752" s="1" t="s">
        <v>6838</v>
      </c>
      <c r="D18752" s="22" t="str">
        <f>HYPERLINK("https://rhld.insurance.arkansas.gov/NPILookup?Npi=1699730549","1699730549")</f>
        <v>1699730549</v>
      </c>
      <c r="E18752" s="1" t="s">
        <v>11190</v>
      </c>
      <c r="F18752" s="2"/>
      <c r="G18752" s="2"/>
      <c r="H18752" s="2"/>
    </row>
    <row r="18753" spans="1:8" x14ac:dyDescent="0.25">
      <c r="A18753" s="1"/>
      <c r="B18753" s="1" t="s">
        <v>6837</v>
      </c>
      <c r="C18753" s="1" t="s">
        <v>6838</v>
      </c>
      <c r="D18753" s="22" t="str">
        <f>HYPERLINK("https://rhld.insurance.arkansas.gov/NPILookup?Npi=1699781427","1699781427")</f>
        <v>1699781427</v>
      </c>
      <c r="E18753" s="1" t="s">
        <v>24069</v>
      </c>
      <c r="F18753" s="2"/>
      <c r="G18753" s="2"/>
      <c r="H18753" s="2"/>
    </row>
    <row r="18754" spans="1:8" x14ac:dyDescent="0.25">
      <c r="A18754" s="1"/>
      <c r="B18754" s="1" t="s">
        <v>6837</v>
      </c>
      <c r="C18754" s="1" t="s">
        <v>6838</v>
      </c>
      <c r="D18754" s="22" t="str">
        <f>HYPERLINK("https://rhld.insurance.arkansas.gov/NPILookup?Npi=1699828186","1699828186")</f>
        <v>1699828186</v>
      </c>
      <c r="E18754" s="1" t="s">
        <v>24070</v>
      </c>
      <c r="F18754" s="2"/>
      <c r="G18754" s="2"/>
      <c r="H18754" s="2"/>
    </row>
    <row r="18755" spans="1:8" x14ac:dyDescent="0.25">
      <c r="A18755" s="1"/>
      <c r="B18755" s="1" t="s">
        <v>6837</v>
      </c>
      <c r="C18755" s="1" t="s">
        <v>6838</v>
      </c>
      <c r="D18755" s="22" t="str">
        <f>HYPERLINK("https://rhld.insurance.arkansas.gov/NPILookup?Npi=1700818804","1700818804")</f>
        <v>1700818804</v>
      </c>
      <c r="E18755" s="1" t="s">
        <v>24071</v>
      </c>
      <c r="F18755" s="2"/>
      <c r="G18755" s="2"/>
      <c r="H18755" s="2"/>
    </row>
    <row r="18756" spans="1:8" x14ac:dyDescent="0.25">
      <c r="A18756" s="1"/>
      <c r="B18756" s="1" t="s">
        <v>6837</v>
      </c>
      <c r="C18756" s="1" t="s">
        <v>6838</v>
      </c>
      <c r="D18756" s="22" t="str">
        <f>HYPERLINK("https://rhld.insurance.arkansas.gov/NPILookup?Npi=1710182035","1710182035")</f>
        <v>1710182035</v>
      </c>
      <c r="E18756" s="1" t="s">
        <v>5571</v>
      </c>
      <c r="F18756" s="2"/>
      <c r="G18756" s="2"/>
      <c r="H18756" s="2"/>
    </row>
    <row r="18757" spans="1:8" x14ac:dyDescent="0.25">
      <c r="A18757" s="1"/>
      <c r="B18757" s="1" t="s">
        <v>6837</v>
      </c>
      <c r="C18757" s="1" t="s">
        <v>6838</v>
      </c>
      <c r="D18757" s="22" t="str">
        <f>HYPERLINK("https://rhld.insurance.arkansas.gov/NPILookup?Npi=1710204458","1710204458")</f>
        <v>1710204458</v>
      </c>
      <c r="E18757" s="1" t="s">
        <v>24072</v>
      </c>
      <c r="F18757" s="2"/>
      <c r="G18757" s="2"/>
      <c r="H18757" s="2"/>
    </row>
    <row r="18758" spans="1:8" x14ac:dyDescent="0.25">
      <c r="A18758" s="1"/>
      <c r="B18758" s="1" t="s">
        <v>6837</v>
      </c>
      <c r="C18758" s="1" t="s">
        <v>6838</v>
      </c>
      <c r="D18758" s="22" t="str">
        <f>HYPERLINK("https://rhld.insurance.arkansas.gov/NPILookup?Npi=1730183492","1730183492")</f>
        <v>1730183492</v>
      </c>
      <c r="E18758" s="1" t="s">
        <v>24073</v>
      </c>
      <c r="F18758" s="2"/>
      <c r="G18758" s="2"/>
      <c r="H18758" s="2"/>
    </row>
    <row r="18759" spans="1:8" x14ac:dyDescent="0.25">
      <c r="A18759" s="1"/>
      <c r="B18759" s="1" t="s">
        <v>6837</v>
      </c>
      <c r="C18759" s="1" t="s">
        <v>6838</v>
      </c>
      <c r="D18759" s="22" t="str">
        <f>HYPERLINK("https://rhld.insurance.arkansas.gov/NPILookup?Npi=1740954098","1740954098")</f>
        <v>1740954098</v>
      </c>
      <c r="E18759" s="1" t="s">
        <v>6854</v>
      </c>
      <c r="F18759" s="2"/>
      <c r="G18759" s="2"/>
      <c r="H18759" s="2"/>
    </row>
    <row r="18760" spans="1:8" x14ac:dyDescent="0.25">
      <c r="A18760" s="1"/>
      <c r="B18760" s="1" t="s">
        <v>6837</v>
      </c>
      <c r="C18760" s="1" t="s">
        <v>6838</v>
      </c>
      <c r="D18760" s="22" t="str">
        <f>HYPERLINK("https://rhld.insurance.arkansas.gov/NPILookup?Npi=1760470983","1760470983")</f>
        <v>1760470983</v>
      </c>
      <c r="E18760" s="1" t="s">
        <v>11376</v>
      </c>
      <c r="F18760" s="2"/>
      <c r="G18760" s="2"/>
      <c r="H18760" s="2"/>
    </row>
    <row r="18761" spans="1:8" x14ac:dyDescent="0.25">
      <c r="A18761" s="1"/>
      <c r="B18761" s="1" t="s">
        <v>6837</v>
      </c>
      <c r="C18761" s="1" t="s">
        <v>6838</v>
      </c>
      <c r="D18761" s="22" t="str">
        <f>HYPERLINK("https://rhld.insurance.arkansas.gov/NPILookup?Npi=1760498745","1760498745")</f>
        <v>1760498745</v>
      </c>
      <c r="E18761" s="1" t="s">
        <v>6855</v>
      </c>
      <c r="F18761" s="2"/>
      <c r="G18761" s="2"/>
      <c r="H18761" s="2"/>
    </row>
    <row r="18762" spans="1:8" x14ac:dyDescent="0.25">
      <c r="A18762" s="1"/>
      <c r="B18762" s="1" t="s">
        <v>6837</v>
      </c>
      <c r="C18762" s="1" t="s">
        <v>6838</v>
      </c>
      <c r="D18762" s="22" t="str">
        <f>HYPERLINK("https://rhld.insurance.arkansas.gov/NPILookup?Npi=1760649388","1760649388")</f>
        <v>1760649388</v>
      </c>
      <c r="E18762" s="1" t="s">
        <v>24074</v>
      </c>
      <c r="F18762" s="2"/>
      <c r="G18762" s="2"/>
      <c r="H18762" s="2"/>
    </row>
    <row r="18763" spans="1:8" x14ac:dyDescent="0.25">
      <c r="A18763" s="1"/>
      <c r="B18763" s="1" t="s">
        <v>6837</v>
      </c>
      <c r="C18763" s="1" t="s">
        <v>6838</v>
      </c>
      <c r="D18763" s="22" t="str">
        <f>HYPERLINK("https://rhld.insurance.arkansas.gov/NPILookup?Npi=1760833123","1760833123")</f>
        <v>1760833123</v>
      </c>
      <c r="E18763" s="1" t="s">
        <v>12301</v>
      </c>
      <c r="F18763" s="2"/>
      <c r="G18763" s="2"/>
      <c r="H18763" s="2"/>
    </row>
    <row r="18764" spans="1:8" x14ac:dyDescent="0.25">
      <c r="A18764" s="1"/>
      <c r="B18764" s="1" t="s">
        <v>6837</v>
      </c>
      <c r="C18764" s="1" t="s">
        <v>6838</v>
      </c>
      <c r="D18764" s="22" t="str">
        <f>HYPERLINK("https://rhld.insurance.arkansas.gov/NPILookup?Npi=1760845713","1760845713")</f>
        <v>1760845713</v>
      </c>
      <c r="E18764" s="1" t="s">
        <v>24075</v>
      </c>
      <c r="F18764" s="2"/>
      <c r="G18764" s="2"/>
      <c r="H18764" s="2"/>
    </row>
    <row r="18765" spans="1:8" x14ac:dyDescent="0.25">
      <c r="A18765" s="1"/>
      <c r="B18765" s="1" t="s">
        <v>6837</v>
      </c>
      <c r="C18765" s="1" t="s">
        <v>6838</v>
      </c>
      <c r="D18765" s="22" t="str">
        <f>HYPERLINK("https://rhld.insurance.arkansas.gov/NPILookup?Npi=1760894380","1760894380")</f>
        <v>1760894380</v>
      </c>
      <c r="E18765" s="1" t="s">
        <v>24076</v>
      </c>
      <c r="F18765" s="2"/>
      <c r="G18765" s="2"/>
      <c r="H18765" s="2"/>
    </row>
    <row r="18766" spans="1:8" x14ac:dyDescent="0.25">
      <c r="A18766" s="1"/>
      <c r="B18766" s="1" t="s">
        <v>6837</v>
      </c>
      <c r="C18766" s="1" t="s">
        <v>6838</v>
      </c>
      <c r="D18766" s="22" t="str">
        <f>HYPERLINK("https://rhld.insurance.arkansas.gov/NPILookup?Npi=1770561532","1770561532")</f>
        <v>1770561532</v>
      </c>
      <c r="E18766" s="1" t="s">
        <v>24077</v>
      </c>
      <c r="F18766" s="2"/>
      <c r="G18766" s="2"/>
      <c r="H18766" s="2"/>
    </row>
    <row r="18767" spans="1:8" x14ac:dyDescent="0.25">
      <c r="A18767" s="1"/>
      <c r="B18767" s="1" t="s">
        <v>6837</v>
      </c>
      <c r="C18767" s="1" t="s">
        <v>6838</v>
      </c>
      <c r="D18767" s="22" t="str">
        <f>HYPERLINK("https://rhld.insurance.arkansas.gov/NPILookup?Npi=1780941203","1780941203")</f>
        <v>1780941203</v>
      </c>
      <c r="E18767" s="1" t="s">
        <v>24078</v>
      </c>
      <c r="F18767" s="2"/>
      <c r="G18767" s="2"/>
      <c r="H18767" s="2"/>
    </row>
    <row r="18768" spans="1:8" x14ac:dyDescent="0.25">
      <c r="A18768" s="1"/>
      <c r="B18768" s="1" t="s">
        <v>6837</v>
      </c>
      <c r="C18768" s="1" t="s">
        <v>6838</v>
      </c>
      <c r="D18768" s="22" t="str">
        <f>HYPERLINK("https://rhld.insurance.arkansas.gov/NPILookup?Npi=1790147841","1790147841")</f>
        <v>1790147841</v>
      </c>
      <c r="E18768" s="1" t="s">
        <v>24079</v>
      </c>
      <c r="F18768" s="2"/>
      <c r="G18768" s="2"/>
      <c r="H18768" s="2"/>
    </row>
    <row r="18769" spans="1:8" x14ac:dyDescent="0.25">
      <c r="A18769" s="1"/>
      <c r="B18769" s="1" t="s">
        <v>6837</v>
      </c>
      <c r="C18769" s="1" t="s">
        <v>6838</v>
      </c>
      <c r="D18769" s="22" t="str">
        <f>HYPERLINK("https://rhld.insurance.arkansas.gov/NPILookup?Npi=1790861052","1790861052")</f>
        <v>1790861052</v>
      </c>
      <c r="E18769" s="1" t="s">
        <v>24080</v>
      </c>
      <c r="F18769" s="2"/>
      <c r="G18769" s="2"/>
      <c r="H18769" s="2"/>
    </row>
    <row r="18770" spans="1:8" x14ac:dyDescent="0.25">
      <c r="A18770" s="1"/>
      <c r="B18770" s="1" t="s">
        <v>6837</v>
      </c>
      <c r="C18770" s="1" t="s">
        <v>6838</v>
      </c>
      <c r="D18770" s="22" t="str">
        <f>HYPERLINK("https://rhld.insurance.arkansas.gov/NPILookup?Npi=1801054440","1801054440")</f>
        <v>1801054440</v>
      </c>
      <c r="E18770" s="1" t="s">
        <v>24081</v>
      </c>
      <c r="F18770" s="2"/>
      <c r="G18770" s="2"/>
      <c r="H18770" s="2"/>
    </row>
    <row r="18771" spans="1:8" x14ac:dyDescent="0.25">
      <c r="A18771" s="1"/>
      <c r="B18771" s="1" t="s">
        <v>6837</v>
      </c>
      <c r="C18771" s="1" t="s">
        <v>6838</v>
      </c>
      <c r="D18771" s="22" t="str">
        <f>HYPERLINK("https://rhld.insurance.arkansas.gov/NPILookup?Npi=1801976956","1801976956")</f>
        <v>1801976956</v>
      </c>
      <c r="E18771" s="1" t="s">
        <v>24082</v>
      </c>
      <c r="F18771" s="2"/>
      <c r="G18771" s="2"/>
      <c r="H18771" s="2"/>
    </row>
    <row r="18772" spans="1:8" x14ac:dyDescent="0.25">
      <c r="A18772" s="1"/>
      <c r="B18772" s="1" t="s">
        <v>6837</v>
      </c>
      <c r="C18772" s="1" t="s">
        <v>6838</v>
      </c>
      <c r="D18772" s="22" t="str">
        <f>HYPERLINK("https://rhld.insurance.arkansas.gov/NPILookup?Npi=1801988159","1801988159")</f>
        <v>1801988159</v>
      </c>
      <c r="E18772" s="1" t="s">
        <v>24083</v>
      </c>
      <c r="F18772" s="2"/>
      <c r="G18772" s="2"/>
      <c r="H18772" s="2"/>
    </row>
    <row r="18773" spans="1:8" x14ac:dyDescent="0.25">
      <c r="A18773" s="1"/>
      <c r="B18773" s="1" t="s">
        <v>6837</v>
      </c>
      <c r="C18773" s="1" t="s">
        <v>6838</v>
      </c>
      <c r="D18773" s="22" t="str">
        <f>HYPERLINK("https://rhld.insurance.arkansas.gov/NPILookup?Npi=1811928013","1811928013")</f>
        <v>1811928013</v>
      </c>
      <c r="E18773" s="1" t="s">
        <v>6856</v>
      </c>
      <c r="F18773" s="2"/>
      <c r="G18773" s="2"/>
      <c r="H18773" s="2"/>
    </row>
    <row r="18774" spans="1:8" x14ac:dyDescent="0.25">
      <c r="A18774" s="1"/>
      <c r="B18774" s="1" t="s">
        <v>6837</v>
      </c>
      <c r="C18774" s="1" t="s">
        <v>6838</v>
      </c>
      <c r="D18774" s="22" t="str">
        <f>HYPERLINK("https://rhld.insurance.arkansas.gov/NPILookup?Npi=1821050618","1821050618")</f>
        <v>1821050618</v>
      </c>
      <c r="E18774" s="1" t="s">
        <v>24084</v>
      </c>
      <c r="F18774" s="2"/>
      <c r="G18774" s="2"/>
      <c r="H18774" s="2"/>
    </row>
    <row r="18775" spans="1:8" x14ac:dyDescent="0.25">
      <c r="A18775" s="1"/>
      <c r="B18775" s="1" t="s">
        <v>6837</v>
      </c>
      <c r="C18775" s="1" t="s">
        <v>6838</v>
      </c>
      <c r="D18775" s="22" t="str">
        <f>HYPERLINK("https://rhld.insurance.arkansas.gov/NPILookup?Npi=1821495607","1821495607")</f>
        <v>1821495607</v>
      </c>
      <c r="E18775" s="1" t="s">
        <v>31997</v>
      </c>
      <c r="F18775" s="2"/>
      <c r="G18775" s="2"/>
      <c r="H18775" s="2"/>
    </row>
    <row r="18776" spans="1:8" x14ac:dyDescent="0.25">
      <c r="A18776" s="1"/>
      <c r="B18776" s="1" t="s">
        <v>6837</v>
      </c>
      <c r="C18776" s="1" t="s">
        <v>6838</v>
      </c>
      <c r="D18776" s="22" t="str">
        <f>HYPERLINK("https://rhld.insurance.arkansas.gov/NPILookup?Npi=1841395423","1841395423")</f>
        <v>1841395423</v>
      </c>
      <c r="E18776" s="1" t="s">
        <v>6857</v>
      </c>
      <c r="F18776" s="2"/>
      <c r="G18776" s="2"/>
      <c r="H18776" s="2"/>
    </row>
    <row r="18777" spans="1:8" x14ac:dyDescent="0.25">
      <c r="A18777" s="1"/>
      <c r="B18777" s="1" t="s">
        <v>6837</v>
      </c>
      <c r="C18777" s="1" t="s">
        <v>6838</v>
      </c>
      <c r="D18777" s="22" t="str">
        <f>HYPERLINK("https://rhld.insurance.arkansas.gov/NPILookup?Npi=1841470176","1841470176")</f>
        <v>1841470176</v>
      </c>
      <c r="E18777" s="1" t="s">
        <v>6858</v>
      </c>
      <c r="F18777" s="2"/>
      <c r="G18777" s="2"/>
      <c r="H18777" s="2"/>
    </row>
    <row r="18778" spans="1:8" x14ac:dyDescent="0.25">
      <c r="A18778" s="1"/>
      <c r="B18778" s="1" t="s">
        <v>6837</v>
      </c>
      <c r="C18778" s="1" t="s">
        <v>6838</v>
      </c>
      <c r="D18778" s="22" t="str">
        <f>HYPERLINK("https://rhld.insurance.arkansas.gov/NPILookup?Npi=1841678653","1841678653")</f>
        <v>1841678653</v>
      </c>
      <c r="E18778" s="1" t="s">
        <v>31998</v>
      </c>
      <c r="F18778" s="2"/>
      <c r="G18778" s="2"/>
      <c r="H18778" s="2"/>
    </row>
    <row r="18779" spans="1:8" x14ac:dyDescent="0.25">
      <c r="A18779" s="1"/>
      <c r="B18779" s="1" t="s">
        <v>6837</v>
      </c>
      <c r="C18779" s="1" t="s">
        <v>6838</v>
      </c>
      <c r="D18779" s="22" t="str">
        <f>HYPERLINK("https://rhld.insurance.arkansas.gov/NPILookup?Npi=1851443832","1851443832")</f>
        <v>1851443832</v>
      </c>
      <c r="E18779" s="1" t="s">
        <v>24085</v>
      </c>
      <c r="F18779" s="2"/>
      <c r="G18779" s="2"/>
      <c r="H18779" s="2"/>
    </row>
    <row r="18780" spans="1:8" x14ac:dyDescent="0.25">
      <c r="A18780" s="1"/>
      <c r="B18780" s="1" t="s">
        <v>6837</v>
      </c>
      <c r="C18780" s="1" t="s">
        <v>6838</v>
      </c>
      <c r="D18780" s="22" t="str">
        <f>HYPERLINK("https://rhld.insurance.arkansas.gov/NPILookup?Npi=1851650667","1851650667")</f>
        <v>1851650667</v>
      </c>
      <c r="E18780" s="1" t="s">
        <v>24086</v>
      </c>
      <c r="F18780" s="2"/>
      <c r="G18780" s="2"/>
      <c r="H18780" s="2"/>
    </row>
    <row r="18781" spans="1:8" x14ac:dyDescent="0.25">
      <c r="A18781" s="1"/>
      <c r="B18781" s="1" t="s">
        <v>6837</v>
      </c>
      <c r="C18781" s="1" t="s">
        <v>6838</v>
      </c>
      <c r="D18781" s="22" t="str">
        <f>HYPERLINK("https://rhld.insurance.arkansas.gov/NPILookup?Npi=1861478752","1861478752")</f>
        <v>1861478752</v>
      </c>
      <c r="E18781" s="1" t="s">
        <v>12302</v>
      </c>
      <c r="F18781" s="2"/>
      <c r="G18781" s="2"/>
      <c r="H18781" s="2"/>
    </row>
    <row r="18782" spans="1:8" x14ac:dyDescent="0.25">
      <c r="A18782" s="1"/>
      <c r="B18782" s="1" t="s">
        <v>6837</v>
      </c>
      <c r="C18782" s="1" t="s">
        <v>6838</v>
      </c>
      <c r="D18782" s="22" t="str">
        <f>HYPERLINK("https://rhld.insurance.arkansas.gov/NPILookup?Npi=1871608406","1871608406")</f>
        <v>1871608406</v>
      </c>
      <c r="E18782" s="1" t="s">
        <v>24087</v>
      </c>
      <c r="F18782" s="2"/>
      <c r="G18782" s="2"/>
      <c r="H18782" s="2"/>
    </row>
    <row r="18783" spans="1:8" x14ac:dyDescent="0.25">
      <c r="A18783" s="1"/>
      <c r="B18783" s="1" t="s">
        <v>6837</v>
      </c>
      <c r="C18783" s="1" t="s">
        <v>6838</v>
      </c>
      <c r="D18783" s="22" t="str">
        <f>HYPERLINK("https://rhld.insurance.arkansas.gov/NPILookup?Npi=1881681070","1881681070")</f>
        <v>1881681070</v>
      </c>
      <c r="E18783" s="1" t="s">
        <v>24088</v>
      </c>
      <c r="F18783" s="2"/>
      <c r="G18783" s="2"/>
      <c r="H18783" s="2"/>
    </row>
    <row r="18784" spans="1:8" x14ac:dyDescent="0.25">
      <c r="A18784" s="1"/>
      <c r="B18784" s="1" t="s">
        <v>6837</v>
      </c>
      <c r="C18784" s="1" t="s">
        <v>6838</v>
      </c>
      <c r="D18784" s="22" t="str">
        <f>HYPERLINK("https://rhld.insurance.arkansas.gov/NPILookup?Npi=1881820280","1881820280")</f>
        <v>1881820280</v>
      </c>
      <c r="E18784" s="1" t="s">
        <v>4189</v>
      </c>
      <c r="F18784" s="2"/>
      <c r="G18784" s="2"/>
      <c r="H18784" s="2"/>
    </row>
    <row r="18785" spans="1:8" x14ac:dyDescent="0.25">
      <c r="A18785" s="1"/>
      <c r="B18785" s="1" t="s">
        <v>6837</v>
      </c>
      <c r="C18785" s="1" t="s">
        <v>6838</v>
      </c>
      <c r="D18785" s="22" t="str">
        <f>HYPERLINK("https://rhld.insurance.arkansas.gov/NPILookup?Npi=1891079455","1891079455")</f>
        <v>1891079455</v>
      </c>
      <c r="E18785" s="1" t="s">
        <v>6859</v>
      </c>
      <c r="F18785" s="2"/>
      <c r="G18785" s="2"/>
      <c r="H18785" s="2"/>
    </row>
    <row r="18786" spans="1:8" x14ac:dyDescent="0.25">
      <c r="A18786" s="1"/>
      <c r="B18786" s="1" t="s">
        <v>6837</v>
      </c>
      <c r="C18786" s="1" t="s">
        <v>6838</v>
      </c>
      <c r="D18786" s="22" t="str">
        <f>HYPERLINK("https://rhld.insurance.arkansas.gov/NPILookup?Npi=1891744579","1891744579")</f>
        <v>1891744579</v>
      </c>
      <c r="E18786" s="1" t="s">
        <v>12303</v>
      </c>
      <c r="F18786" s="2"/>
      <c r="G18786" s="2"/>
      <c r="H18786" s="2"/>
    </row>
    <row r="18787" spans="1:8" x14ac:dyDescent="0.25">
      <c r="A18787" s="1"/>
      <c r="B18787" s="1" t="s">
        <v>6837</v>
      </c>
      <c r="C18787" s="1" t="s">
        <v>6838</v>
      </c>
      <c r="D18787" s="22" t="str">
        <f>HYPERLINK("https://rhld.insurance.arkansas.gov/NPILookup?Npi=1891982278","1891982278")</f>
        <v>1891982278</v>
      </c>
      <c r="E18787" s="1" t="s">
        <v>1991</v>
      </c>
      <c r="F18787" s="2"/>
      <c r="G18787" s="2"/>
      <c r="H18787" s="2"/>
    </row>
    <row r="18788" spans="1:8" x14ac:dyDescent="0.25">
      <c r="A18788" s="1"/>
      <c r="B18788" s="1" t="s">
        <v>6837</v>
      </c>
      <c r="C18788" s="1" t="s">
        <v>6838</v>
      </c>
      <c r="D18788" s="22" t="str">
        <f>HYPERLINK("https://rhld.insurance.arkansas.gov/NPILookup?Npi=1902008386","1902008386")</f>
        <v>1902008386</v>
      </c>
      <c r="E18788" s="1" t="s">
        <v>24089</v>
      </c>
      <c r="F18788" s="2"/>
      <c r="G18788" s="2"/>
      <c r="H18788" s="2"/>
    </row>
    <row r="18789" spans="1:8" x14ac:dyDescent="0.25">
      <c r="A18789" s="1"/>
      <c r="B18789" s="1" t="s">
        <v>6837</v>
      </c>
      <c r="C18789" s="1" t="s">
        <v>6838</v>
      </c>
      <c r="D18789" s="22" t="str">
        <f>HYPERLINK("https://rhld.insurance.arkansas.gov/NPILookup?Npi=1932153913","1932153913")</f>
        <v>1932153913</v>
      </c>
      <c r="E18789" s="1" t="s">
        <v>6860</v>
      </c>
      <c r="F18789" s="2"/>
      <c r="G18789" s="2"/>
      <c r="H18789" s="2"/>
    </row>
    <row r="18790" spans="1:8" x14ac:dyDescent="0.25">
      <c r="A18790" s="1"/>
      <c r="B18790" s="1" t="s">
        <v>6837</v>
      </c>
      <c r="C18790" s="1" t="s">
        <v>6838</v>
      </c>
      <c r="D18790" s="22" t="str">
        <f>HYPERLINK("https://rhld.insurance.arkansas.gov/NPILookup?Npi=1932328267","1932328267")</f>
        <v>1932328267</v>
      </c>
      <c r="E18790" s="1" t="s">
        <v>24090</v>
      </c>
      <c r="F18790" s="2"/>
      <c r="G18790" s="2"/>
      <c r="H18790" s="2"/>
    </row>
    <row r="18791" spans="1:8" x14ac:dyDescent="0.25">
      <c r="A18791" s="1"/>
      <c r="B18791" s="1" t="s">
        <v>6837</v>
      </c>
      <c r="C18791" s="1" t="s">
        <v>6838</v>
      </c>
      <c r="D18791" s="22" t="str">
        <f>HYPERLINK("https://rhld.insurance.arkansas.gov/NPILookup?Npi=1932469350","1932469350")</f>
        <v>1932469350</v>
      </c>
      <c r="E18791" s="1" t="s">
        <v>24091</v>
      </c>
      <c r="F18791" s="2"/>
      <c r="G18791" s="2"/>
      <c r="H18791" s="2"/>
    </row>
    <row r="18792" spans="1:8" x14ac:dyDescent="0.25">
      <c r="A18792" s="1"/>
      <c r="B18792" s="1" t="s">
        <v>6837</v>
      </c>
      <c r="C18792" s="1" t="s">
        <v>6838</v>
      </c>
      <c r="D18792" s="22" t="str">
        <f>HYPERLINK("https://rhld.insurance.arkansas.gov/NPILookup?Npi=1942645205","1942645205")</f>
        <v>1942645205</v>
      </c>
      <c r="E18792" s="1" t="s">
        <v>12304</v>
      </c>
      <c r="F18792" s="2"/>
      <c r="G18792" s="2"/>
      <c r="H18792" s="2"/>
    </row>
    <row r="18793" spans="1:8" x14ac:dyDescent="0.25">
      <c r="A18793" s="1"/>
      <c r="B18793" s="1" t="s">
        <v>6837</v>
      </c>
      <c r="C18793" s="1" t="s">
        <v>6838</v>
      </c>
      <c r="D18793" s="22" t="str">
        <f>HYPERLINK("https://rhld.insurance.arkansas.gov/NPILookup?Npi=1952749228","1952749228")</f>
        <v>1952749228</v>
      </c>
      <c r="E18793" s="1" t="s">
        <v>5416</v>
      </c>
      <c r="F18793" s="2"/>
      <c r="G18793" s="2"/>
      <c r="H18793" s="2"/>
    </row>
    <row r="18794" spans="1:8" x14ac:dyDescent="0.25">
      <c r="A18794" s="1"/>
      <c r="B18794" s="1" t="s">
        <v>6837</v>
      </c>
      <c r="C18794" s="1" t="s">
        <v>6838</v>
      </c>
      <c r="D18794" s="22" t="str">
        <f>HYPERLINK("https://rhld.insurance.arkansas.gov/NPILookup?Npi=1982022885","1982022885")</f>
        <v>1982022885</v>
      </c>
      <c r="E18794" s="1" t="s">
        <v>24092</v>
      </c>
      <c r="F18794" s="2"/>
      <c r="G18794" s="2"/>
      <c r="H18794" s="2"/>
    </row>
    <row r="18795" spans="1:8" x14ac:dyDescent="0.25">
      <c r="A18795" s="1"/>
      <c r="B18795" s="1" t="s">
        <v>6837</v>
      </c>
      <c r="C18795" s="1" t="s">
        <v>6838</v>
      </c>
      <c r="D18795" s="22" t="str">
        <f>HYPERLINK("https://rhld.insurance.arkansas.gov/NPILookup?Npi=1982082038","1982082038")</f>
        <v>1982082038</v>
      </c>
      <c r="E18795" s="1" t="s">
        <v>2971</v>
      </c>
      <c r="F18795" s="2"/>
      <c r="G18795" s="2"/>
      <c r="H18795" s="2"/>
    </row>
    <row r="18796" spans="1:8" x14ac:dyDescent="0.25">
      <c r="A18796" s="1"/>
      <c r="B18796" s="1" t="s">
        <v>6837</v>
      </c>
      <c r="C18796" s="1" t="s">
        <v>6838</v>
      </c>
      <c r="D18796" s="22" t="str">
        <f>HYPERLINK("https://rhld.insurance.arkansas.gov/NPILookup?Npi=1982658480","1982658480")</f>
        <v>1982658480</v>
      </c>
      <c r="E18796" s="1" t="s">
        <v>24093</v>
      </c>
      <c r="F18796" s="2"/>
      <c r="G18796" s="2"/>
      <c r="H18796" s="2"/>
    </row>
    <row r="18797" spans="1:8" x14ac:dyDescent="0.25">
      <c r="A18797" s="1"/>
      <c r="B18797" s="1" t="s">
        <v>6837</v>
      </c>
      <c r="C18797" s="1" t="s">
        <v>6838</v>
      </c>
      <c r="D18797" s="22" t="str">
        <f>HYPERLINK("https://rhld.insurance.arkansas.gov/NPILookup?Npi=1982698890","1982698890")</f>
        <v>1982698890</v>
      </c>
      <c r="E18797" s="1" t="s">
        <v>24094</v>
      </c>
      <c r="F18797" s="2"/>
      <c r="G18797" s="2"/>
      <c r="H18797" s="2"/>
    </row>
    <row r="18798" spans="1:8" x14ac:dyDescent="0.25">
      <c r="A18798" s="1"/>
      <c r="B18798" s="1" t="s">
        <v>6837</v>
      </c>
      <c r="C18798" s="1" t="s">
        <v>6838</v>
      </c>
      <c r="D18798" s="22" t="str">
        <f>HYPERLINK("https://rhld.insurance.arkansas.gov/NPILookup?Npi=1982823225","1982823225")</f>
        <v>1982823225</v>
      </c>
      <c r="E18798" s="1" t="s">
        <v>24095</v>
      </c>
      <c r="F18798" s="2"/>
      <c r="G18798" s="2"/>
      <c r="H18798" s="2"/>
    </row>
    <row r="18799" spans="1:8" x14ac:dyDescent="0.25">
      <c r="A18799" s="1"/>
      <c r="B18799" s="1" t="s">
        <v>6862</v>
      </c>
      <c r="C18799" s="1" t="s">
        <v>6863</v>
      </c>
      <c r="D18799" s="22" t="str">
        <f>HYPERLINK("https://rhld.insurance.arkansas.gov/NPILookup?Npi=1003042292","1003042292")</f>
        <v>1003042292</v>
      </c>
      <c r="E18799" s="1" t="s">
        <v>24096</v>
      </c>
      <c r="F18799" s="2"/>
      <c r="G18799" s="2"/>
      <c r="H18799" s="2"/>
    </row>
    <row r="18800" spans="1:8" x14ac:dyDescent="0.25">
      <c r="A18800" s="1"/>
      <c r="B18800" s="1" t="s">
        <v>6862</v>
      </c>
      <c r="C18800" s="1" t="s">
        <v>6863</v>
      </c>
      <c r="D18800" s="22" t="str">
        <f>HYPERLINK("https://rhld.insurance.arkansas.gov/NPILookup?Npi=1003173790","1003173790")</f>
        <v>1003173790</v>
      </c>
      <c r="E18800" s="1" t="s">
        <v>15957</v>
      </c>
      <c r="F18800" s="2"/>
      <c r="G18800" s="2"/>
      <c r="H18800" s="2"/>
    </row>
    <row r="18801" spans="1:8" x14ac:dyDescent="0.25">
      <c r="A18801" s="1"/>
      <c r="B18801" s="1" t="s">
        <v>6862</v>
      </c>
      <c r="C18801" s="1" t="s">
        <v>6863</v>
      </c>
      <c r="D18801" s="22" t="str">
        <f>HYPERLINK("https://rhld.insurance.arkansas.gov/NPILookup?Npi=1003241399","1003241399")</f>
        <v>1003241399</v>
      </c>
      <c r="E18801" s="1" t="s">
        <v>24097</v>
      </c>
      <c r="F18801" s="2"/>
      <c r="G18801" s="2"/>
      <c r="H18801" s="2"/>
    </row>
    <row r="18802" spans="1:8" x14ac:dyDescent="0.25">
      <c r="A18802" s="1"/>
      <c r="B18802" s="1" t="s">
        <v>6862</v>
      </c>
      <c r="C18802" s="1" t="s">
        <v>6863</v>
      </c>
      <c r="D18802" s="22" t="str">
        <f>HYPERLINK("https://rhld.insurance.arkansas.gov/NPILookup?Npi=1003397670","1003397670")</f>
        <v>1003397670</v>
      </c>
      <c r="E18802" s="1" t="s">
        <v>12305</v>
      </c>
      <c r="F18802" s="2"/>
      <c r="G18802" s="2"/>
      <c r="H18802" s="2"/>
    </row>
    <row r="18803" spans="1:8" x14ac:dyDescent="0.25">
      <c r="A18803" s="1"/>
      <c r="B18803" s="1" t="s">
        <v>6862</v>
      </c>
      <c r="C18803" s="1" t="s">
        <v>6863</v>
      </c>
      <c r="D18803" s="22" t="str">
        <f>HYPERLINK("https://rhld.insurance.arkansas.gov/NPILookup?Npi=1003478181","1003478181")</f>
        <v>1003478181</v>
      </c>
      <c r="E18803" s="1" t="s">
        <v>6865</v>
      </c>
      <c r="F18803" s="2"/>
      <c r="G18803" s="2"/>
      <c r="H18803" s="2"/>
    </row>
    <row r="18804" spans="1:8" x14ac:dyDescent="0.25">
      <c r="A18804" s="1"/>
      <c r="B18804" s="1" t="s">
        <v>6862</v>
      </c>
      <c r="C18804" s="1" t="s">
        <v>6863</v>
      </c>
      <c r="D18804" s="22" t="str">
        <f>HYPERLINK("https://rhld.insurance.arkansas.gov/NPILookup?Npi=1003481003","1003481003")</f>
        <v>1003481003</v>
      </c>
      <c r="E18804" s="1" t="s">
        <v>6866</v>
      </c>
      <c r="F18804" s="2"/>
      <c r="G18804" s="2"/>
      <c r="H18804" s="2"/>
    </row>
    <row r="18805" spans="1:8" x14ac:dyDescent="0.25">
      <c r="A18805" s="1"/>
      <c r="B18805" s="1" t="s">
        <v>6862</v>
      </c>
      <c r="C18805" s="1" t="s">
        <v>6863</v>
      </c>
      <c r="D18805" s="22" t="str">
        <f>HYPERLINK("https://rhld.insurance.arkansas.gov/NPILookup?Npi=1003482951","1003482951")</f>
        <v>1003482951</v>
      </c>
      <c r="E18805" s="1" t="s">
        <v>31999</v>
      </c>
      <c r="F18805" s="2"/>
      <c r="G18805" s="2"/>
      <c r="H18805" s="2"/>
    </row>
    <row r="18806" spans="1:8" x14ac:dyDescent="0.25">
      <c r="A18806" s="1"/>
      <c r="B18806" s="1" t="s">
        <v>6862</v>
      </c>
      <c r="C18806" s="1" t="s">
        <v>6863</v>
      </c>
      <c r="D18806" s="22" t="str">
        <f>HYPERLINK("https://rhld.insurance.arkansas.gov/NPILookup?Npi=1003495862","1003495862")</f>
        <v>1003495862</v>
      </c>
      <c r="E18806" s="1" t="s">
        <v>24098</v>
      </c>
      <c r="F18806" s="2"/>
      <c r="G18806" s="2"/>
      <c r="H18806" s="2"/>
    </row>
    <row r="18807" spans="1:8" x14ac:dyDescent="0.25">
      <c r="A18807" s="1"/>
      <c r="B18807" s="1" t="s">
        <v>6862</v>
      </c>
      <c r="C18807" s="1" t="s">
        <v>6863</v>
      </c>
      <c r="D18807" s="22" t="str">
        <f>HYPERLINK("https://rhld.insurance.arkansas.gov/NPILookup?Npi=1003579202","1003579202")</f>
        <v>1003579202</v>
      </c>
      <c r="E18807" s="1" t="s">
        <v>24099</v>
      </c>
      <c r="F18807" s="2"/>
      <c r="G18807" s="2"/>
      <c r="H18807" s="2"/>
    </row>
    <row r="18808" spans="1:8" x14ac:dyDescent="0.25">
      <c r="A18808" s="1"/>
      <c r="B18808" s="1" t="s">
        <v>6862</v>
      </c>
      <c r="C18808" s="1" t="s">
        <v>6863</v>
      </c>
      <c r="D18808" s="22" t="str">
        <f>HYPERLINK("https://rhld.insurance.arkansas.gov/NPILookup?Npi=1003581562","1003581562")</f>
        <v>1003581562</v>
      </c>
      <c r="E18808" s="1" t="s">
        <v>24100</v>
      </c>
      <c r="F18808" s="2"/>
      <c r="G18808" s="2"/>
      <c r="H18808" s="2"/>
    </row>
    <row r="18809" spans="1:8" x14ac:dyDescent="0.25">
      <c r="A18809" s="1"/>
      <c r="B18809" s="1" t="s">
        <v>6862</v>
      </c>
      <c r="C18809" s="1" t="s">
        <v>6863</v>
      </c>
      <c r="D18809" s="22" t="str">
        <f>HYPERLINK("https://rhld.insurance.arkansas.gov/NPILookup?Npi=1003679358","1003679358")</f>
        <v>1003679358</v>
      </c>
      <c r="E18809" s="1" t="s">
        <v>6867</v>
      </c>
      <c r="F18809" s="2"/>
      <c r="G18809" s="2"/>
      <c r="H18809" s="2"/>
    </row>
    <row r="18810" spans="1:8" x14ac:dyDescent="0.25">
      <c r="A18810" s="1"/>
      <c r="B18810" s="1" t="s">
        <v>6862</v>
      </c>
      <c r="C18810" s="1" t="s">
        <v>6863</v>
      </c>
      <c r="D18810" s="22" t="str">
        <f>HYPERLINK("https://rhld.insurance.arkansas.gov/NPILookup?Npi=1003706250","1003706250")</f>
        <v>1003706250</v>
      </c>
      <c r="E18810" s="1" t="s">
        <v>32000</v>
      </c>
      <c r="F18810" s="2"/>
      <c r="G18810" s="2"/>
      <c r="H18810" s="2"/>
    </row>
    <row r="18811" spans="1:8" x14ac:dyDescent="0.25">
      <c r="A18811" s="1"/>
      <c r="B18811" s="1" t="s">
        <v>6862</v>
      </c>
      <c r="C18811" s="1" t="s">
        <v>6863</v>
      </c>
      <c r="D18811" s="22" t="str">
        <f>HYPERLINK("https://rhld.insurance.arkansas.gov/NPILookup?Npi=1003895343","1003895343")</f>
        <v>1003895343</v>
      </c>
      <c r="E18811" s="1" t="s">
        <v>6868</v>
      </c>
      <c r="F18811" s="2"/>
      <c r="G18811" s="2"/>
      <c r="H18811" s="2"/>
    </row>
    <row r="18812" spans="1:8" x14ac:dyDescent="0.25">
      <c r="A18812" s="1"/>
      <c r="B18812" s="1" t="s">
        <v>6862</v>
      </c>
      <c r="C18812" s="1" t="s">
        <v>6863</v>
      </c>
      <c r="D18812" s="22" t="str">
        <f>HYPERLINK("https://rhld.insurance.arkansas.gov/NPILookup?Npi=1003933110","1003933110")</f>
        <v>1003933110</v>
      </c>
      <c r="E18812" s="1" t="s">
        <v>6869</v>
      </c>
      <c r="F18812" s="2"/>
      <c r="G18812" s="2"/>
      <c r="H18812" s="2"/>
    </row>
    <row r="18813" spans="1:8" x14ac:dyDescent="0.25">
      <c r="A18813" s="1"/>
      <c r="B18813" s="1" t="s">
        <v>6862</v>
      </c>
      <c r="C18813" s="1" t="s">
        <v>6863</v>
      </c>
      <c r="D18813" s="22" t="str">
        <f>HYPERLINK("https://rhld.insurance.arkansas.gov/NPILookup?Npi=1003951997","1003951997")</f>
        <v>1003951997</v>
      </c>
      <c r="E18813" s="1" t="s">
        <v>6870</v>
      </c>
      <c r="F18813" s="2"/>
      <c r="G18813" s="2"/>
      <c r="H18813" s="2"/>
    </row>
    <row r="18814" spans="1:8" x14ac:dyDescent="0.25">
      <c r="A18814" s="1"/>
      <c r="B18814" s="1" t="s">
        <v>6862</v>
      </c>
      <c r="C18814" s="1" t="s">
        <v>6863</v>
      </c>
      <c r="D18814" s="22" t="str">
        <f>HYPERLINK("https://rhld.insurance.arkansas.gov/NPILookup?Npi=1003972522","1003972522")</f>
        <v>1003972522</v>
      </c>
      <c r="E18814" s="1" t="s">
        <v>24101</v>
      </c>
      <c r="F18814" s="2"/>
      <c r="G18814" s="2"/>
      <c r="H18814" s="2"/>
    </row>
    <row r="18815" spans="1:8" x14ac:dyDescent="0.25">
      <c r="A18815" s="1"/>
      <c r="B18815" s="1" t="s">
        <v>6862</v>
      </c>
      <c r="C18815" s="1" t="s">
        <v>6863</v>
      </c>
      <c r="D18815" s="22" t="str">
        <f>HYPERLINK("https://rhld.insurance.arkansas.gov/NPILookup?Npi=1003989765","1003989765")</f>
        <v>1003989765</v>
      </c>
      <c r="E18815" s="1" t="s">
        <v>12306</v>
      </c>
      <c r="F18815" s="2"/>
      <c r="G18815" s="2"/>
      <c r="H18815" s="2"/>
    </row>
    <row r="18816" spans="1:8" x14ac:dyDescent="0.25">
      <c r="A18816" s="1"/>
      <c r="B18816" s="1" t="s">
        <v>6862</v>
      </c>
      <c r="C18816" s="1" t="s">
        <v>6863</v>
      </c>
      <c r="D18816" s="22" t="str">
        <f>HYPERLINK("https://rhld.insurance.arkansas.gov/NPILookup?Npi=1013068717","1013068717")</f>
        <v>1013068717</v>
      </c>
      <c r="E18816" s="1" t="s">
        <v>24102</v>
      </c>
      <c r="F18816" s="2"/>
      <c r="G18816" s="2"/>
      <c r="H18816" s="2"/>
    </row>
    <row r="18817" spans="1:8" x14ac:dyDescent="0.25">
      <c r="A18817" s="1"/>
      <c r="B18817" s="1" t="s">
        <v>6862</v>
      </c>
      <c r="C18817" s="1" t="s">
        <v>6863</v>
      </c>
      <c r="D18817" s="22" t="str">
        <f>HYPERLINK("https://rhld.insurance.arkansas.gov/NPILookup?Npi=1013214279","1013214279")</f>
        <v>1013214279</v>
      </c>
      <c r="E18817" s="1" t="s">
        <v>24103</v>
      </c>
      <c r="F18817" s="2"/>
      <c r="G18817" s="2"/>
      <c r="H18817" s="2"/>
    </row>
    <row r="18818" spans="1:8" x14ac:dyDescent="0.25">
      <c r="A18818" s="1"/>
      <c r="B18818" s="1" t="s">
        <v>6862</v>
      </c>
      <c r="C18818" s="1" t="s">
        <v>6863</v>
      </c>
      <c r="D18818" s="22" t="str">
        <f>HYPERLINK("https://rhld.insurance.arkansas.gov/NPILookup?Npi=1013228758","1013228758")</f>
        <v>1013228758</v>
      </c>
      <c r="E18818" s="1" t="s">
        <v>12307</v>
      </c>
      <c r="F18818" s="2"/>
      <c r="G18818" s="2"/>
      <c r="H18818" s="2"/>
    </row>
    <row r="18819" spans="1:8" x14ac:dyDescent="0.25">
      <c r="A18819" s="1"/>
      <c r="B18819" s="1" t="s">
        <v>6862</v>
      </c>
      <c r="C18819" s="1" t="s">
        <v>6863</v>
      </c>
      <c r="D18819" s="22" t="str">
        <f>HYPERLINK("https://rhld.insurance.arkansas.gov/NPILookup?Npi=1013234392","1013234392")</f>
        <v>1013234392</v>
      </c>
      <c r="E18819" s="1" t="s">
        <v>24104</v>
      </c>
      <c r="F18819" s="2"/>
      <c r="G18819" s="2"/>
      <c r="H18819" s="2"/>
    </row>
    <row r="18820" spans="1:8" x14ac:dyDescent="0.25">
      <c r="A18820" s="1"/>
      <c r="B18820" s="1" t="s">
        <v>6862</v>
      </c>
      <c r="C18820" s="1" t="s">
        <v>6863</v>
      </c>
      <c r="D18820" s="22" t="str">
        <f>HYPERLINK("https://rhld.insurance.arkansas.gov/NPILookup?Npi=1013261528","1013261528")</f>
        <v>1013261528</v>
      </c>
      <c r="E18820" s="1" t="s">
        <v>6871</v>
      </c>
      <c r="F18820" s="2"/>
      <c r="G18820" s="2"/>
      <c r="H18820" s="2"/>
    </row>
    <row r="18821" spans="1:8" x14ac:dyDescent="0.25">
      <c r="A18821" s="1"/>
      <c r="B18821" s="1" t="s">
        <v>6862</v>
      </c>
      <c r="C18821" s="1" t="s">
        <v>6863</v>
      </c>
      <c r="D18821" s="22" t="str">
        <f>HYPERLINK("https://rhld.insurance.arkansas.gov/NPILookup?Npi=1013276278","1013276278")</f>
        <v>1013276278</v>
      </c>
      <c r="E18821" s="1" t="s">
        <v>24105</v>
      </c>
      <c r="F18821" s="2"/>
      <c r="G18821" s="2"/>
      <c r="H18821" s="2"/>
    </row>
    <row r="18822" spans="1:8" x14ac:dyDescent="0.25">
      <c r="A18822" s="1"/>
      <c r="B18822" s="1" t="s">
        <v>6862</v>
      </c>
      <c r="C18822" s="1" t="s">
        <v>6863</v>
      </c>
      <c r="D18822" s="22" t="str">
        <f>HYPERLINK("https://rhld.insurance.arkansas.gov/NPILookup?Npi=1013295377","1013295377")</f>
        <v>1013295377</v>
      </c>
      <c r="E18822" s="1" t="s">
        <v>12308</v>
      </c>
      <c r="F18822" s="2"/>
      <c r="G18822" s="2"/>
      <c r="H18822" s="2"/>
    </row>
    <row r="18823" spans="1:8" x14ac:dyDescent="0.25">
      <c r="A18823" s="1"/>
      <c r="B18823" s="1" t="s">
        <v>6862</v>
      </c>
      <c r="C18823" s="1" t="s">
        <v>6863</v>
      </c>
      <c r="D18823" s="22" t="str">
        <f>HYPERLINK("https://rhld.insurance.arkansas.gov/NPILookup?Npi=1013320225","1013320225")</f>
        <v>1013320225</v>
      </c>
      <c r="E18823" s="1" t="s">
        <v>24106</v>
      </c>
      <c r="F18823" s="2"/>
      <c r="G18823" s="2"/>
      <c r="H18823" s="2"/>
    </row>
    <row r="18824" spans="1:8" x14ac:dyDescent="0.25">
      <c r="A18824" s="1"/>
      <c r="B18824" s="1" t="s">
        <v>6862</v>
      </c>
      <c r="C18824" s="1" t="s">
        <v>6863</v>
      </c>
      <c r="D18824" s="22" t="str">
        <f>HYPERLINK("https://rhld.insurance.arkansas.gov/NPILookup?Npi=1013351170","1013351170")</f>
        <v>1013351170</v>
      </c>
      <c r="E18824" s="1" t="s">
        <v>24107</v>
      </c>
      <c r="F18824" s="2"/>
      <c r="G18824" s="2"/>
      <c r="H18824" s="2"/>
    </row>
    <row r="18825" spans="1:8" x14ac:dyDescent="0.25">
      <c r="A18825" s="1"/>
      <c r="B18825" s="1" t="s">
        <v>6862</v>
      </c>
      <c r="C18825" s="1" t="s">
        <v>6863</v>
      </c>
      <c r="D18825" s="22" t="str">
        <f>HYPERLINK("https://rhld.insurance.arkansas.gov/NPILookup?Npi=1013428671","1013428671")</f>
        <v>1013428671</v>
      </c>
      <c r="E18825" s="1" t="s">
        <v>24108</v>
      </c>
      <c r="F18825" s="2"/>
      <c r="G18825" s="2"/>
      <c r="H18825" s="2"/>
    </row>
    <row r="18826" spans="1:8" x14ac:dyDescent="0.25">
      <c r="A18826" s="1"/>
      <c r="B18826" s="1" t="s">
        <v>6862</v>
      </c>
      <c r="C18826" s="1" t="s">
        <v>6863</v>
      </c>
      <c r="D18826" s="22" t="str">
        <f>HYPERLINK("https://rhld.insurance.arkansas.gov/NPILookup?Npi=1013434943","1013434943")</f>
        <v>1013434943</v>
      </c>
      <c r="E18826" s="1" t="s">
        <v>24109</v>
      </c>
      <c r="F18826" s="2"/>
      <c r="G18826" s="2"/>
      <c r="H18826" s="2"/>
    </row>
    <row r="18827" spans="1:8" x14ac:dyDescent="0.25">
      <c r="A18827" s="1"/>
      <c r="B18827" s="1" t="s">
        <v>6862</v>
      </c>
      <c r="C18827" s="1" t="s">
        <v>6863</v>
      </c>
      <c r="D18827" s="22" t="str">
        <f>HYPERLINK("https://rhld.insurance.arkansas.gov/NPILookup?Npi=1013436690","1013436690")</f>
        <v>1013436690</v>
      </c>
      <c r="E18827" s="1" t="s">
        <v>6872</v>
      </c>
      <c r="F18827" s="2"/>
      <c r="G18827" s="2"/>
      <c r="H18827" s="2"/>
    </row>
    <row r="18828" spans="1:8" x14ac:dyDescent="0.25">
      <c r="A18828" s="1"/>
      <c r="B18828" s="1" t="s">
        <v>6862</v>
      </c>
      <c r="C18828" s="1" t="s">
        <v>6863</v>
      </c>
      <c r="D18828" s="22" t="str">
        <f>HYPERLINK("https://rhld.insurance.arkansas.gov/NPILookup?Npi=1013461185","1013461185")</f>
        <v>1013461185</v>
      </c>
      <c r="E18828" s="1" t="s">
        <v>32001</v>
      </c>
      <c r="F18828" s="2"/>
      <c r="G18828" s="2"/>
      <c r="H18828" s="2"/>
    </row>
    <row r="18829" spans="1:8" x14ac:dyDescent="0.25">
      <c r="A18829" s="1"/>
      <c r="B18829" s="1" t="s">
        <v>6862</v>
      </c>
      <c r="C18829" s="1" t="s">
        <v>6863</v>
      </c>
      <c r="D18829" s="22" t="str">
        <f>HYPERLINK("https://rhld.insurance.arkansas.gov/NPILookup?Npi=1013564525","1013564525")</f>
        <v>1013564525</v>
      </c>
      <c r="E18829" s="1" t="s">
        <v>24110</v>
      </c>
      <c r="F18829" s="2"/>
      <c r="G18829" s="2"/>
      <c r="H18829" s="2"/>
    </row>
    <row r="18830" spans="1:8" x14ac:dyDescent="0.25">
      <c r="A18830" s="1"/>
      <c r="B18830" s="1" t="s">
        <v>6862</v>
      </c>
      <c r="C18830" s="1" t="s">
        <v>6863</v>
      </c>
      <c r="D18830" s="22" t="str">
        <f>HYPERLINK("https://rhld.insurance.arkansas.gov/NPILookup?Npi=1013977883","1013977883")</f>
        <v>1013977883</v>
      </c>
      <c r="E18830" s="1" t="s">
        <v>5169</v>
      </c>
      <c r="F18830" s="2"/>
      <c r="G18830" s="2"/>
      <c r="H18830" s="2"/>
    </row>
    <row r="18831" spans="1:8" x14ac:dyDescent="0.25">
      <c r="A18831" s="1"/>
      <c r="B18831" s="1" t="s">
        <v>6862</v>
      </c>
      <c r="C18831" s="1" t="s">
        <v>6863</v>
      </c>
      <c r="D18831" s="22" t="str">
        <f>HYPERLINK("https://rhld.insurance.arkansas.gov/NPILookup?Npi=1023006137","1023006137")</f>
        <v>1023006137</v>
      </c>
      <c r="E18831" s="1" t="s">
        <v>24111</v>
      </c>
      <c r="F18831" s="2"/>
      <c r="G18831" s="2"/>
      <c r="H18831" s="2"/>
    </row>
    <row r="18832" spans="1:8" x14ac:dyDescent="0.25">
      <c r="A18832" s="1"/>
      <c r="B18832" s="1" t="s">
        <v>6862</v>
      </c>
      <c r="C18832" s="1" t="s">
        <v>6863</v>
      </c>
      <c r="D18832" s="22" t="str">
        <f>HYPERLINK("https://rhld.insurance.arkansas.gov/NPILookup?Npi=1023021136","1023021136")</f>
        <v>1023021136</v>
      </c>
      <c r="E18832" s="1" t="s">
        <v>24112</v>
      </c>
      <c r="F18832" s="2"/>
      <c r="G18832" s="2"/>
      <c r="H18832" s="2"/>
    </row>
    <row r="18833" spans="1:8" x14ac:dyDescent="0.25">
      <c r="A18833" s="1"/>
      <c r="B18833" s="1" t="s">
        <v>6862</v>
      </c>
      <c r="C18833" s="1" t="s">
        <v>6863</v>
      </c>
      <c r="D18833" s="22" t="str">
        <f>HYPERLINK("https://rhld.insurance.arkansas.gov/NPILookup?Npi=1023045242","1023045242")</f>
        <v>1023045242</v>
      </c>
      <c r="E18833" s="1" t="s">
        <v>24113</v>
      </c>
      <c r="F18833" s="2"/>
      <c r="G18833" s="2"/>
      <c r="H18833" s="2"/>
    </row>
    <row r="18834" spans="1:8" x14ac:dyDescent="0.25">
      <c r="A18834" s="1"/>
      <c r="B18834" s="1" t="s">
        <v>6862</v>
      </c>
      <c r="C18834" s="1" t="s">
        <v>6863</v>
      </c>
      <c r="D18834" s="22" t="str">
        <f>HYPERLINK("https://rhld.insurance.arkansas.gov/NPILookup?Npi=1023217486","1023217486")</f>
        <v>1023217486</v>
      </c>
      <c r="E18834" s="1" t="s">
        <v>1233</v>
      </c>
      <c r="F18834" s="2"/>
      <c r="G18834" s="2"/>
      <c r="H18834" s="2"/>
    </row>
    <row r="18835" spans="1:8" x14ac:dyDescent="0.25">
      <c r="A18835" s="1"/>
      <c r="B18835" s="1" t="s">
        <v>6862</v>
      </c>
      <c r="C18835" s="1" t="s">
        <v>6863</v>
      </c>
      <c r="D18835" s="22" t="str">
        <f>HYPERLINK("https://rhld.insurance.arkansas.gov/NPILookup?Npi=1023320132","1023320132")</f>
        <v>1023320132</v>
      </c>
      <c r="E18835" s="1" t="s">
        <v>24114</v>
      </c>
      <c r="F18835" s="2"/>
      <c r="G18835" s="2"/>
      <c r="H18835" s="2"/>
    </row>
    <row r="18836" spans="1:8" x14ac:dyDescent="0.25">
      <c r="A18836" s="1"/>
      <c r="B18836" s="1" t="s">
        <v>6862</v>
      </c>
      <c r="C18836" s="1" t="s">
        <v>6863</v>
      </c>
      <c r="D18836" s="22" t="str">
        <f>HYPERLINK("https://rhld.insurance.arkansas.gov/NPILookup?Npi=1023330107","1023330107")</f>
        <v>1023330107</v>
      </c>
      <c r="E18836" s="1" t="s">
        <v>6873</v>
      </c>
      <c r="F18836" s="2"/>
      <c r="G18836" s="2"/>
      <c r="H18836" s="2"/>
    </row>
    <row r="18837" spans="1:8" x14ac:dyDescent="0.25">
      <c r="A18837" s="1"/>
      <c r="B18837" s="1" t="s">
        <v>6862</v>
      </c>
      <c r="C18837" s="1" t="s">
        <v>6863</v>
      </c>
      <c r="D18837" s="22" t="str">
        <f>HYPERLINK("https://rhld.insurance.arkansas.gov/NPILookup?Npi=1023391794","1023391794")</f>
        <v>1023391794</v>
      </c>
      <c r="E18837" s="1" t="s">
        <v>6874</v>
      </c>
      <c r="F18837" s="2"/>
      <c r="G18837" s="2"/>
      <c r="H18837" s="2"/>
    </row>
    <row r="18838" spans="1:8" x14ac:dyDescent="0.25">
      <c r="A18838" s="1"/>
      <c r="B18838" s="1" t="s">
        <v>6862</v>
      </c>
      <c r="C18838" s="1" t="s">
        <v>6863</v>
      </c>
      <c r="D18838" s="22" t="str">
        <f>HYPERLINK("https://rhld.insurance.arkansas.gov/NPILookup?Npi=1023600673","1023600673")</f>
        <v>1023600673</v>
      </c>
      <c r="E18838" s="1" t="s">
        <v>24115</v>
      </c>
      <c r="F18838" s="2"/>
      <c r="G18838" s="2"/>
      <c r="H18838" s="2"/>
    </row>
    <row r="18839" spans="1:8" x14ac:dyDescent="0.25">
      <c r="A18839" s="1"/>
      <c r="B18839" s="1" t="s">
        <v>6862</v>
      </c>
      <c r="C18839" s="1" t="s">
        <v>6863</v>
      </c>
      <c r="D18839" s="22" t="str">
        <f>HYPERLINK("https://rhld.insurance.arkansas.gov/NPILookup?Npi=1023632437","1023632437")</f>
        <v>1023632437</v>
      </c>
      <c r="E18839" s="1" t="s">
        <v>12309</v>
      </c>
      <c r="F18839" s="2"/>
      <c r="G18839" s="2"/>
      <c r="H18839" s="2"/>
    </row>
    <row r="18840" spans="1:8" x14ac:dyDescent="0.25">
      <c r="A18840" s="1"/>
      <c r="B18840" s="1" t="s">
        <v>6862</v>
      </c>
      <c r="C18840" s="1" t="s">
        <v>6863</v>
      </c>
      <c r="D18840" s="22" t="str">
        <f>HYPERLINK("https://rhld.insurance.arkansas.gov/NPILookup?Npi=1023820990","1023820990")</f>
        <v>1023820990</v>
      </c>
      <c r="E18840" s="1" t="s">
        <v>32002</v>
      </c>
      <c r="F18840" s="2"/>
      <c r="G18840" s="2"/>
      <c r="H18840" s="2"/>
    </row>
    <row r="18841" spans="1:8" x14ac:dyDescent="0.25">
      <c r="A18841" s="1"/>
      <c r="B18841" s="1" t="s">
        <v>6862</v>
      </c>
      <c r="C18841" s="1" t="s">
        <v>6863</v>
      </c>
      <c r="D18841" s="22" t="str">
        <f>HYPERLINK("https://rhld.insurance.arkansas.gov/NPILookup?Npi=1033304464","1033304464")</f>
        <v>1033304464</v>
      </c>
      <c r="E18841" s="1" t="s">
        <v>24116</v>
      </c>
      <c r="F18841" s="2"/>
      <c r="G18841" s="2"/>
      <c r="H18841" s="2"/>
    </row>
    <row r="18842" spans="1:8" x14ac:dyDescent="0.25">
      <c r="A18842" s="1"/>
      <c r="B18842" s="1" t="s">
        <v>6862</v>
      </c>
      <c r="C18842" s="1" t="s">
        <v>6863</v>
      </c>
      <c r="D18842" s="22" t="str">
        <f>HYPERLINK("https://rhld.insurance.arkansas.gov/NPILookup?Npi=1033410782","1033410782")</f>
        <v>1033410782</v>
      </c>
      <c r="E18842" s="1" t="s">
        <v>24117</v>
      </c>
      <c r="F18842" s="2"/>
      <c r="G18842" s="2"/>
      <c r="H18842" s="2"/>
    </row>
    <row r="18843" spans="1:8" x14ac:dyDescent="0.25">
      <c r="A18843" s="1"/>
      <c r="B18843" s="1" t="s">
        <v>6862</v>
      </c>
      <c r="C18843" s="1" t="s">
        <v>6863</v>
      </c>
      <c r="D18843" s="22" t="str">
        <f>HYPERLINK("https://rhld.insurance.arkansas.gov/NPILookup?Npi=1033431309","1033431309")</f>
        <v>1033431309</v>
      </c>
      <c r="E18843" s="1" t="s">
        <v>24118</v>
      </c>
      <c r="F18843" s="2"/>
      <c r="G18843" s="2"/>
      <c r="H18843" s="2"/>
    </row>
    <row r="18844" spans="1:8" x14ac:dyDescent="0.25">
      <c r="A18844" s="1"/>
      <c r="B18844" s="1" t="s">
        <v>6862</v>
      </c>
      <c r="C18844" s="1" t="s">
        <v>6863</v>
      </c>
      <c r="D18844" s="22" t="str">
        <f>HYPERLINK("https://rhld.insurance.arkansas.gov/NPILookup?Npi=1033433263","1033433263")</f>
        <v>1033433263</v>
      </c>
      <c r="E18844" s="1" t="s">
        <v>6514</v>
      </c>
      <c r="F18844" s="2"/>
      <c r="G18844" s="2"/>
      <c r="H18844" s="2"/>
    </row>
    <row r="18845" spans="1:8" x14ac:dyDescent="0.25">
      <c r="A18845" s="1"/>
      <c r="B18845" s="1" t="s">
        <v>6862</v>
      </c>
      <c r="C18845" s="1" t="s">
        <v>6863</v>
      </c>
      <c r="D18845" s="22" t="str">
        <f>HYPERLINK("https://rhld.insurance.arkansas.gov/NPILookup?Npi=1033575493","1033575493")</f>
        <v>1033575493</v>
      </c>
      <c r="E18845" s="1" t="s">
        <v>32003</v>
      </c>
      <c r="F18845" s="2"/>
      <c r="G18845" s="2"/>
      <c r="H18845" s="2"/>
    </row>
    <row r="18846" spans="1:8" x14ac:dyDescent="0.25">
      <c r="A18846" s="1"/>
      <c r="B18846" s="1" t="s">
        <v>6862</v>
      </c>
      <c r="C18846" s="1" t="s">
        <v>6863</v>
      </c>
      <c r="D18846" s="22" t="str">
        <f>HYPERLINK("https://rhld.insurance.arkansas.gov/NPILookup?Npi=1033576764","1033576764")</f>
        <v>1033576764</v>
      </c>
      <c r="E18846" s="1" t="s">
        <v>24119</v>
      </c>
      <c r="F18846" s="2"/>
      <c r="G18846" s="2"/>
      <c r="H18846" s="2"/>
    </row>
    <row r="18847" spans="1:8" x14ac:dyDescent="0.25">
      <c r="A18847" s="1"/>
      <c r="B18847" s="1" t="s">
        <v>6862</v>
      </c>
      <c r="C18847" s="1" t="s">
        <v>6863</v>
      </c>
      <c r="D18847" s="22" t="str">
        <f>HYPERLINK("https://rhld.insurance.arkansas.gov/NPILookup?Npi=1033584412","1033584412")</f>
        <v>1033584412</v>
      </c>
      <c r="E18847" s="1" t="s">
        <v>6875</v>
      </c>
      <c r="F18847" s="2"/>
      <c r="G18847" s="2"/>
      <c r="H18847" s="2"/>
    </row>
    <row r="18848" spans="1:8" x14ac:dyDescent="0.25">
      <c r="A18848" s="1"/>
      <c r="B18848" s="1" t="s">
        <v>6862</v>
      </c>
      <c r="C18848" s="1" t="s">
        <v>6863</v>
      </c>
      <c r="D18848" s="22" t="str">
        <f>HYPERLINK("https://rhld.insurance.arkansas.gov/NPILookup?Npi=1033634159","1033634159")</f>
        <v>1033634159</v>
      </c>
      <c r="E18848" s="1" t="s">
        <v>24120</v>
      </c>
      <c r="F18848" s="2"/>
      <c r="G18848" s="2"/>
      <c r="H18848" s="2"/>
    </row>
    <row r="18849" spans="1:8" x14ac:dyDescent="0.25">
      <c r="A18849" s="1"/>
      <c r="B18849" s="1" t="s">
        <v>6862</v>
      </c>
      <c r="C18849" s="1" t="s">
        <v>6863</v>
      </c>
      <c r="D18849" s="22" t="str">
        <f>HYPERLINK("https://rhld.insurance.arkansas.gov/NPILookup?Npi=1033665625","1033665625")</f>
        <v>1033665625</v>
      </c>
      <c r="E18849" s="1" t="s">
        <v>24121</v>
      </c>
      <c r="F18849" s="2"/>
      <c r="G18849" s="2"/>
      <c r="H18849" s="2"/>
    </row>
    <row r="18850" spans="1:8" x14ac:dyDescent="0.25">
      <c r="A18850" s="1"/>
      <c r="B18850" s="1" t="s">
        <v>6862</v>
      </c>
      <c r="C18850" s="1" t="s">
        <v>6863</v>
      </c>
      <c r="D18850" s="22" t="str">
        <f>HYPERLINK("https://rhld.insurance.arkansas.gov/NPILookup?Npi=1033680590","1033680590")</f>
        <v>1033680590</v>
      </c>
      <c r="E18850" s="1" t="s">
        <v>24122</v>
      </c>
      <c r="F18850" s="2"/>
      <c r="G18850" s="2"/>
      <c r="H18850" s="2"/>
    </row>
    <row r="18851" spans="1:8" x14ac:dyDescent="0.25">
      <c r="A18851" s="1"/>
      <c r="B18851" s="1" t="s">
        <v>6862</v>
      </c>
      <c r="C18851" s="1" t="s">
        <v>6863</v>
      </c>
      <c r="D18851" s="22" t="str">
        <f>HYPERLINK("https://rhld.insurance.arkansas.gov/NPILookup?Npi=1033767561","1033767561")</f>
        <v>1033767561</v>
      </c>
      <c r="E18851" s="1" t="s">
        <v>6876</v>
      </c>
      <c r="F18851" s="2"/>
      <c r="G18851" s="2"/>
      <c r="H18851" s="2"/>
    </row>
    <row r="18852" spans="1:8" x14ac:dyDescent="0.25">
      <c r="A18852" s="1"/>
      <c r="B18852" s="1" t="s">
        <v>6862</v>
      </c>
      <c r="C18852" s="1" t="s">
        <v>6863</v>
      </c>
      <c r="D18852" s="22" t="str">
        <f>HYPERLINK("https://rhld.insurance.arkansas.gov/NPILookup?Npi=1033784749","1033784749")</f>
        <v>1033784749</v>
      </c>
      <c r="E18852" s="1" t="s">
        <v>6877</v>
      </c>
      <c r="F18852" s="2"/>
      <c r="G18852" s="2"/>
      <c r="H18852" s="2"/>
    </row>
    <row r="18853" spans="1:8" x14ac:dyDescent="0.25">
      <c r="A18853" s="1"/>
      <c r="B18853" s="1" t="s">
        <v>6862</v>
      </c>
      <c r="C18853" s="1" t="s">
        <v>6863</v>
      </c>
      <c r="D18853" s="22" t="str">
        <f>HYPERLINK("https://rhld.insurance.arkansas.gov/NPILookup?Npi=1033881354","1033881354")</f>
        <v>1033881354</v>
      </c>
      <c r="E18853" s="1" t="s">
        <v>4614</v>
      </c>
      <c r="F18853" s="2"/>
      <c r="G18853" s="2"/>
      <c r="H18853" s="2"/>
    </row>
    <row r="18854" spans="1:8" x14ac:dyDescent="0.25">
      <c r="A18854" s="1"/>
      <c r="B18854" s="1" t="s">
        <v>6862</v>
      </c>
      <c r="C18854" s="1" t="s">
        <v>6863</v>
      </c>
      <c r="D18854" s="22" t="str">
        <f>HYPERLINK("https://rhld.insurance.arkansas.gov/NPILookup?Npi=1033950662","1033950662")</f>
        <v>1033950662</v>
      </c>
      <c r="E18854" s="1" t="s">
        <v>24123</v>
      </c>
      <c r="F18854" s="2"/>
      <c r="G18854" s="2"/>
      <c r="H18854" s="2"/>
    </row>
    <row r="18855" spans="1:8" x14ac:dyDescent="0.25">
      <c r="A18855" s="1"/>
      <c r="B18855" s="1" t="s">
        <v>6862</v>
      </c>
      <c r="C18855" s="1" t="s">
        <v>6863</v>
      </c>
      <c r="D18855" s="22" t="str">
        <f>HYPERLINK("https://rhld.insurance.arkansas.gov/NPILookup?Npi=1033972294","1033972294")</f>
        <v>1033972294</v>
      </c>
      <c r="E18855" s="1" t="s">
        <v>6175</v>
      </c>
      <c r="F18855" s="2"/>
      <c r="G18855" s="2"/>
      <c r="H18855" s="2"/>
    </row>
    <row r="18856" spans="1:8" x14ac:dyDescent="0.25">
      <c r="A18856" s="1"/>
      <c r="B18856" s="1" t="s">
        <v>6862</v>
      </c>
      <c r="C18856" s="1" t="s">
        <v>6863</v>
      </c>
      <c r="D18856" s="22" t="str">
        <f>HYPERLINK("https://rhld.insurance.arkansas.gov/NPILookup?Npi=1043094949","1043094949")</f>
        <v>1043094949</v>
      </c>
      <c r="E18856" s="1" t="s">
        <v>24124</v>
      </c>
      <c r="F18856" s="2"/>
      <c r="G18856" s="2"/>
      <c r="H18856" s="2"/>
    </row>
    <row r="18857" spans="1:8" x14ac:dyDescent="0.25">
      <c r="A18857" s="1"/>
      <c r="B18857" s="1" t="s">
        <v>6862</v>
      </c>
      <c r="C18857" s="1" t="s">
        <v>6863</v>
      </c>
      <c r="D18857" s="22" t="str">
        <f>HYPERLINK("https://rhld.insurance.arkansas.gov/NPILookup?Npi=1043207525","1043207525")</f>
        <v>1043207525</v>
      </c>
      <c r="E18857" s="1" t="s">
        <v>24125</v>
      </c>
      <c r="F18857" s="2"/>
      <c r="G18857" s="2"/>
      <c r="H18857" s="2"/>
    </row>
    <row r="18858" spans="1:8" x14ac:dyDescent="0.25">
      <c r="A18858" s="1"/>
      <c r="B18858" s="1" t="s">
        <v>6862</v>
      </c>
      <c r="C18858" s="1" t="s">
        <v>6863</v>
      </c>
      <c r="D18858" s="22" t="str">
        <f>HYPERLINK("https://rhld.insurance.arkansas.gov/NPILookup?Npi=1043230964","1043230964")</f>
        <v>1043230964</v>
      </c>
      <c r="E18858" s="1" t="s">
        <v>24126</v>
      </c>
      <c r="F18858" s="2"/>
      <c r="G18858" s="2"/>
      <c r="H18858" s="2"/>
    </row>
    <row r="18859" spans="1:8" x14ac:dyDescent="0.25">
      <c r="A18859" s="1"/>
      <c r="B18859" s="1" t="s">
        <v>6862</v>
      </c>
      <c r="C18859" s="1" t="s">
        <v>6863</v>
      </c>
      <c r="D18859" s="22" t="str">
        <f>HYPERLINK("https://rhld.insurance.arkansas.gov/NPILookup?Npi=1043246119","1043246119")</f>
        <v>1043246119</v>
      </c>
      <c r="E18859" s="1" t="s">
        <v>12310</v>
      </c>
      <c r="F18859" s="2"/>
      <c r="G18859" s="2"/>
      <c r="H18859" s="2"/>
    </row>
    <row r="18860" spans="1:8" x14ac:dyDescent="0.25">
      <c r="A18860" s="1"/>
      <c r="B18860" s="1" t="s">
        <v>6862</v>
      </c>
      <c r="C18860" s="1" t="s">
        <v>6863</v>
      </c>
      <c r="D18860" s="22" t="str">
        <f>HYPERLINK("https://rhld.insurance.arkansas.gov/NPILookup?Npi=1043249410","1043249410")</f>
        <v>1043249410</v>
      </c>
      <c r="E18860" s="1" t="s">
        <v>24127</v>
      </c>
      <c r="F18860" s="2"/>
      <c r="G18860" s="2"/>
      <c r="H18860" s="2"/>
    </row>
    <row r="18861" spans="1:8" x14ac:dyDescent="0.25">
      <c r="A18861" s="1"/>
      <c r="B18861" s="1" t="s">
        <v>6862</v>
      </c>
      <c r="C18861" s="1" t="s">
        <v>6863</v>
      </c>
      <c r="D18861" s="22" t="str">
        <f>HYPERLINK("https://rhld.insurance.arkansas.gov/NPILookup?Npi=1043286263","1043286263")</f>
        <v>1043286263</v>
      </c>
      <c r="E18861" s="1" t="s">
        <v>24128</v>
      </c>
      <c r="F18861" s="2"/>
      <c r="G18861" s="2"/>
      <c r="H18861" s="2"/>
    </row>
    <row r="18862" spans="1:8" x14ac:dyDescent="0.25">
      <c r="A18862" s="1"/>
      <c r="B18862" s="1" t="s">
        <v>6862</v>
      </c>
      <c r="C18862" s="1" t="s">
        <v>6863</v>
      </c>
      <c r="D18862" s="22" t="str">
        <f>HYPERLINK("https://rhld.insurance.arkansas.gov/NPILookup?Npi=1043381148","1043381148")</f>
        <v>1043381148</v>
      </c>
      <c r="E18862" s="1" t="s">
        <v>12311</v>
      </c>
      <c r="F18862" s="2"/>
      <c r="G18862" s="2"/>
      <c r="H18862" s="2"/>
    </row>
    <row r="18863" spans="1:8" x14ac:dyDescent="0.25">
      <c r="A18863" s="1"/>
      <c r="B18863" s="1" t="s">
        <v>6862</v>
      </c>
      <c r="C18863" s="1" t="s">
        <v>6863</v>
      </c>
      <c r="D18863" s="22" t="str">
        <f>HYPERLINK("https://rhld.insurance.arkansas.gov/NPILookup?Npi=1043449903","1043449903")</f>
        <v>1043449903</v>
      </c>
      <c r="E18863" s="1" t="s">
        <v>6878</v>
      </c>
      <c r="F18863" s="2"/>
      <c r="G18863" s="2"/>
      <c r="H18863" s="2"/>
    </row>
    <row r="18864" spans="1:8" x14ac:dyDescent="0.25">
      <c r="A18864" s="1"/>
      <c r="B18864" s="1" t="s">
        <v>6862</v>
      </c>
      <c r="C18864" s="1" t="s">
        <v>6863</v>
      </c>
      <c r="D18864" s="22" t="str">
        <f>HYPERLINK("https://rhld.insurance.arkansas.gov/NPILookup?Npi=1043590995","1043590995")</f>
        <v>1043590995</v>
      </c>
      <c r="E18864" s="1" t="s">
        <v>24129</v>
      </c>
      <c r="F18864" s="2"/>
      <c r="G18864" s="2"/>
      <c r="H18864" s="2"/>
    </row>
    <row r="18865" spans="1:8" x14ac:dyDescent="0.25">
      <c r="A18865" s="1"/>
      <c r="B18865" s="1" t="s">
        <v>6862</v>
      </c>
      <c r="C18865" s="1" t="s">
        <v>6863</v>
      </c>
      <c r="D18865" s="22" t="str">
        <f>HYPERLINK("https://rhld.insurance.arkansas.gov/NPILookup?Npi=1043599970","1043599970")</f>
        <v>1043599970</v>
      </c>
      <c r="E18865" s="1" t="s">
        <v>6879</v>
      </c>
      <c r="F18865" s="2"/>
      <c r="G18865" s="2"/>
      <c r="H18865" s="2"/>
    </row>
    <row r="18866" spans="1:8" x14ac:dyDescent="0.25">
      <c r="A18866" s="1"/>
      <c r="B18866" s="1" t="s">
        <v>6862</v>
      </c>
      <c r="C18866" s="1" t="s">
        <v>6863</v>
      </c>
      <c r="D18866" s="22" t="str">
        <f>HYPERLINK("https://rhld.insurance.arkansas.gov/NPILookup?Npi=1043659287","1043659287")</f>
        <v>1043659287</v>
      </c>
      <c r="E18866" s="1" t="s">
        <v>6880</v>
      </c>
      <c r="F18866" s="2"/>
      <c r="G18866" s="2"/>
      <c r="H18866" s="2"/>
    </row>
    <row r="18867" spans="1:8" x14ac:dyDescent="0.25">
      <c r="A18867" s="1"/>
      <c r="B18867" s="1" t="s">
        <v>6862</v>
      </c>
      <c r="C18867" s="1" t="s">
        <v>6863</v>
      </c>
      <c r="D18867" s="22" t="str">
        <f>HYPERLINK("https://rhld.insurance.arkansas.gov/NPILookup?Npi=1043678253","1043678253")</f>
        <v>1043678253</v>
      </c>
      <c r="E18867" s="1" t="s">
        <v>12312</v>
      </c>
      <c r="F18867" s="2"/>
      <c r="G18867" s="2"/>
      <c r="H18867" s="2"/>
    </row>
    <row r="18868" spans="1:8" x14ac:dyDescent="0.25">
      <c r="A18868" s="1"/>
      <c r="B18868" s="1" t="s">
        <v>6862</v>
      </c>
      <c r="C18868" s="1" t="s">
        <v>6863</v>
      </c>
      <c r="D18868" s="22" t="str">
        <f>HYPERLINK("https://rhld.insurance.arkansas.gov/NPILookup?Npi=1043681349","1043681349")</f>
        <v>1043681349</v>
      </c>
      <c r="E18868" s="1" t="s">
        <v>24130</v>
      </c>
      <c r="F18868" s="2"/>
      <c r="G18868" s="2"/>
      <c r="H18868" s="2"/>
    </row>
    <row r="18869" spans="1:8" x14ac:dyDescent="0.25">
      <c r="A18869" s="1"/>
      <c r="B18869" s="1" t="s">
        <v>6862</v>
      </c>
      <c r="C18869" s="1" t="s">
        <v>6863</v>
      </c>
      <c r="D18869" s="22" t="str">
        <f>HYPERLINK("https://rhld.insurance.arkansas.gov/NPILookup?Npi=1043685951","1043685951")</f>
        <v>1043685951</v>
      </c>
      <c r="E18869" s="1" t="s">
        <v>12313</v>
      </c>
      <c r="F18869" s="2"/>
      <c r="G18869" s="2"/>
      <c r="H18869" s="2"/>
    </row>
    <row r="18870" spans="1:8" x14ac:dyDescent="0.25">
      <c r="A18870" s="1"/>
      <c r="B18870" s="1" t="s">
        <v>6862</v>
      </c>
      <c r="C18870" s="1" t="s">
        <v>6863</v>
      </c>
      <c r="D18870" s="22" t="str">
        <f>HYPERLINK("https://rhld.insurance.arkansas.gov/NPILookup?Npi=1043702558","1043702558")</f>
        <v>1043702558</v>
      </c>
      <c r="E18870" s="1" t="s">
        <v>24131</v>
      </c>
      <c r="F18870" s="2"/>
      <c r="G18870" s="2"/>
      <c r="H18870" s="2"/>
    </row>
    <row r="18871" spans="1:8" x14ac:dyDescent="0.25">
      <c r="A18871" s="1"/>
      <c r="B18871" s="1" t="s">
        <v>6862</v>
      </c>
      <c r="C18871" s="1" t="s">
        <v>6863</v>
      </c>
      <c r="D18871" s="22" t="str">
        <f>HYPERLINK("https://rhld.insurance.arkansas.gov/NPILookup?Npi=1043790793","1043790793")</f>
        <v>1043790793</v>
      </c>
      <c r="E18871" s="1" t="s">
        <v>6881</v>
      </c>
      <c r="F18871" s="2"/>
      <c r="G18871" s="2"/>
      <c r="H18871" s="2"/>
    </row>
    <row r="18872" spans="1:8" x14ac:dyDescent="0.25">
      <c r="A18872" s="1"/>
      <c r="B18872" s="1" t="s">
        <v>6862</v>
      </c>
      <c r="C18872" s="1" t="s">
        <v>6863</v>
      </c>
      <c r="D18872" s="22" t="str">
        <f>HYPERLINK("https://rhld.insurance.arkansas.gov/NPILookup?Npi=1043791130","1043791130")</f>
        <v>1043791130</v>
      </c>
      <c r="E18872" s="1" t="s">
        <v>24132</v>
      </c>
      <c r="F18872" s="2"/>
      <c r="G18872" s="2"/>
      <c r="H18872" s="2"/>
    </row>
    <row r="18873" spans="1:8" x14ac:dyDescent="0.25">
      <c r="A18873" s="1"/>
      <c r="B18873" s="1" t="s">
        <v>6862</v>
      </c>
      <c r="C18873" s="1" t="s">
        <v>6863</v>
      </c>
      <c r="D18873" s="22" t="str">
        <f>HYPERLINK("https://rhld.insurance.arkansas.gov/NPILookup?Npi=1043796881","1043796881")</f>
        <v>1043796881</v>
      </c>
      <c r="E18873" s="1" t="s">
        <v>24133</v>
      </c>
      <c r="F18873" s="2"/>
      <c r="G18873" s="2"/>
      <c r="H18873" s="2"/>
    </row>
    <row r="18874" spans="1:8" x14ac:dyDescent="0.25">
      <c r="A18874" s="1"/>
      <c r="B18874" s="1" t="s">
        <v>6862</v>
      </c>
      <c r="C18874" s="1" t="s">
        <v>6863</v>
      </c>
      <c r="D18874" s="22" t="str">
        <f>HYPERLINK("https://rhld.insurance.arkansas.gov/NPILookup?Npi=1043808512","1043808512")</f>
        <v>1043808512</v>
      </c>
      <c r="E18874" s="1" t="s">
        <v>24134</v>
      </c>
      <c r="F18874" s="2"/>
      <c r="G18874" s="2"/>
      <c r="H18874" s="2"/>
    </row>
    <row r="18875" spans="1:8" x14ac:dyDescent="0.25">
      <c r="A18875" s="1"/>
      <c r="B18875" s="1" t="s">
        <v>6862</v>
      </c>
      <c r="C18875" s="1" t="s">
        <v>6863</v>
      </c>
      <c r="D18875" s="22" t="str">
        <f>HYPERLINK("https://rhld.insurance.arkansas.gov/NPILookup?Npi=1043999550","1043999550")</f>
        <v>1043999550</v>
      </c>
      <c r="E18875" s="1" t="s">
        <v>12314</v>
      </c>
      <c r="F18875" s="2"/>
      <c r="G18875" s="2"/>
      <c r="H18875" s="2"/>
    </row>
    <row r="18876" spans="1:8" x14ac:dyDescent="0.25">
      <c r="A18876" s="1"/>
      <c r="B18876" s="1" t="s">
        <v>6862</v>
      </c>
      <c r="C18876" s="1" t="s">
        <v>6863</v>
      </c>
      <c r="D18876" s="22" t="str">
        <f>HYPERLINK("https://rhld.insurance.arkansas.gov/NPILookup?Npi=1053002444","1053002444")</f>
        <v>1053002444</v>
      </c>
      <c r="E18876" s="1" t="s">
        <v>24135</v>
      </c>
      <c r="F18876" s="2"/>
      <c r="G18876" s="2"/>
      <c r="H18876" s="2"/>
    </row>
    <row r="18877" spans="1:8" x14ac:dyDescent="0.25">
      <c r="A18877" s="1"/>
      <c r="B18877" s="1" t="s">
        <v>6862</v>
      </c>
      <c r="C18877" s="1" t="s">
        <v>6863</v>
      </c>
      <c r="D18877" s="22" t="str">
        <f>HYPERLINK("https://rhld.insurance.arkansas.gov/NPILookup?Npi=1053030593","1053030593")</f>
        <v>1053030593</v>
      </c>
      <c r="E18877" s="1" t="s">
        <v>24136</v>
      </c>
      <c r="F18877" s="2"/>
      <c r="G18877" s="2"/>
      <c r="H18877" s="2"/>
    </row>
    <row r="18878" spans="1:8" x14ac:dyDescent="0.25">
      <c r="A18878" s="1"/>
      <c r="B18878" s="1" t="s">
        <v>6862</v>
      </c>
      <c r="C18878" s="1" t="s">
        <v>6863</v>
      </c>
      <c r="D18878" s="22" t="str">
        <f>HYPERLINK("https://rhld.insurance.arkansas.gov/NPILookup?Npi=1053044396","1053044396")</f>
        <v>1053044396</v>
      </c>
      <c r="E18878" s="1" t="s">
        <v>24137</v>
      </c>
      <c r="F18878" s="2"/>
      <c r="G18878" s="2"/>
      <c r="H18878" s="2"/>
    </row>
    <row r="18879" spans="1:8" x14ac:dyDescent="0.25">
      <c r="A18879" s="1"/>
      <c r="B18879" s="1" t="s">
        <v>6862</v>
      </c>
      <c r="C18879" s="1" t="s">
        <v>6863</v>
      </c>
      <c r="D18879" s="22" t="str">
        <f>HYPERLINK("https://rhld.insurance.arkansas.gov/NPILookup?Npi=1053065458","1053065458")</f>
        <v>1053065458</v>
      </c>
      <c r="E18879" s="1" t="s">
        <v>6882</v>
      </c>
      <c r="F18879" s="2"/>
      <c r="G18879" s="2"/>
      <c r="H18879" s="2"/>
    </row>
    <row r="18880" spans="1:8" x14ac:dyDescent="0.25">
      <c r="A18880" s="1"/>
      <c r="B18880" s="1" t="s">
        <v>6862</v>
      </c>
      <c r="C18880" s="1" t="s">
        <v>6863</v>
      </c>
      <c r="D18880" s="22" t="str">
        <f>HYPERLINK("https://rhld.insurance.arkansas.gov/NPILookup?Npi=1053150953","1053150953")</f>
        <v>1053150953</v>
      </c>
      <c r="E18880" s="1" t="s">
        <v>24138</v>
      </c>
      <c r="F18880" s="2"/>
      <c r="G18880" s="2"/>
      <c r="H18880" s="2"/>
    </row>
    <row r="18881" spans="1:8" x14ac:dyDescent="0.25">
      <c r="A18881" s="1"/>
      <c r="B18881" s="1" t="s">
        <v>6862</v>
      </c>
      <c r="C18881" s="1" t="s">
        <v>6863</v>
      </c>
      <c r="D18881" s="22" t="str">
        <f>HYPERLINK("https://rhld.insurance.arkansas.gov/NPILookup?Npi=1053199505","1053199505")</f>
        <v>1053199505</v>
      </c>
      <c r="E18881" s="1" t="s">
        <v>6883</v>
      </c>
      <c r="F18881" s="2"/>
      <c r="G18881" s="2"/>
      <c r="H18881" s="2"/>
    </row>
    <row r="18882" spans="1:8" x14ac:dyDescent="0.25">
      <c r="A18882" s="1"/>
      <c r="B18882" s="1" t="s">
        <v>6862</v>
      </c>
      <c r="C18882" s="1" t="s">
        <v>6863</v>
      </c>
      <c r="D18882" s="22" t="str">
        <f>HYPERLINK("https://rhld.insurance.arkansas.gov/NPILookup?Npi=1053319715","1053319715")</f>
        <v>1053319715</v>
      </c>
      <c r="E18882" s="1" t="s">
        <v>12315</v>
      </c>
      <c r="F18882" s="2"/>
      <c r="G18882" s="2"/>
      <c r="H18882" s="2"/>
    </row>
    <row r="18883" spans="1:8" x14ac:dyDescent="0.25">
      <c r="A18883" s="1"/>
      <c r="B18883" s="1" t="s">
        <v>6862</v>
      </c>
      <c r="C18883" s="1" t="s">
        <v>6863</v>
      </c>
      <c r="D18883" s="22" t="str">
        <f>HYPERLINK("https://rhld.insurance.arkansas.gov/NPILookup?Npi=1053370700","1053370700")</f>
        <v>1053370700</v>
      </c>
      <c r="E18883" s="1" t="s">
        <v>12316</v>
      </c>
      <c r="F18883" s="2"/>
      <c r="G18883" s="2"/>
      <c r="H18883" s="2"/>
    </row>
    <row r="18884" spans="1:8" x14ac:dyDescent="0.25">
      <c r="A18884" s="1"/>
      <c r="B18884" s="1" t="s">
        <v>6862</v>
      </c>
      <c r="C18884" s="1" t="s">
        <v>6863</v>
      </c>
      <c r="D18884" s="22" t="str">
        <f>HYPERLINK("https://rhld.insurance.arkansas.gov/NPILookup?Npi=1053413393","1053413393")</f>
        <v>1053413393</v>
      </c>
      <c r="E18884" s="1" t="s">
        <v>12317</v>
      </c>
      <c r="F18884" s="2"/>
      <c r="G18884" s="2"/>
      <c r="H18884" s="2"/>
    </row>
    <row r="18885" spans="1:8" x14ac:dyDescent="0.25">
      <c r="A18885" s="1"/>
      <c r="B18885" s="1" t="s">
        <v>6862</v>
      </c>
      <c r="C18885" s="1" t="s">
        <v>6863</v>
      </c>
      <c r="D18885" s="22" t="str">
        <f>HYPERLINK("https://rhld.insurance.arkansas.gov/NPILookup?Npi=1053432518","1053432518")</f>
        <v>1053432518</v>
      </c>
      <c r="E18885" s="1" t="s">
        <v>6884</v>
      </c>
      <c r="F18885" s="2"/>
      <c r="G18885" s="2"/>
      <c r="H18885" s="2"/>
    </row>
    <row r="18886" spans="1:8" x14ac:dyDescent="0.25">
      <c r="A18886" s="1"/>
      <c r="B18886" s="1" t="s">
        <v>6862</v>
      </c>
      <c r="C18886" s="1" t="s">
        <v>6863</v>
      </c>
      <c r="D18886" s="22" t="str">
        <f>HYPERLINK("https://rhld.insurance.arkansas.gov/NPILookup?Npi=1053457226","1053457226")</f>
        <v>1053457226</v>
      </c>
      <c r="E18886" s="1" t="s">
        <v>24139</v>
      </c>
      <c r="F18886" s="2"/>
      <c r="G18886" s="2"/>
      <c r="H18886" s="2"/>
    </row>
    <row r="18887" spans="1:8" x14ac:dyDescent="0.25">
      <c r="A18887" s="1"/>
      <c r="B18887" s="1" t="s">
        <v>6862</v>
      </c>
      <c r="C18887" s="1" t="s">
        <v>6863</v>
      </c>
      <c r="D18887" s="22" t="str">
        <f>HYPERLINK("https://rhld.insurance.arkansas.gov/NPILookup?Npi=1053558494","1053558494")</f>
        <v>1053558494</v>
      </c>
      <c r="E18887" s="1" t="s">
        <v>6885</v>
      </c>
      <c r="F18887" s="2"/>
      <c r="G18887" s="2"/>
      <c r="H18887" s="2"/>
    </row>
    <row r="18888" spans="1:8" x14ac:dyDescent="0.25">
      <c r="A18888" s="1"/>
      <c r="B18888" s="1" t="s">
        <v>6862</v>
      </c>
      <c r="C18888" s="1" t="s">
        <v>6863</v>
      </c>
      <c r="D18888" s="22" t="str">
        <f>HYPERLINK("https://rhld.insurance.arkansas.gov/NPILookup?Npi=1053561464","1053561464")</f>
        <v>1053561464</v>
      </c>
      <c r="E18888" s="1" t="s">
        <v>6886</v>
      </c>
      <c r="F18888" s="2"/>
      <c r="G18888" s="2"/>
      <c r="H18888" s="2"/>
    </row>
    <row r="18889" spans="1:8" x14ac:dyDescent="0.25">
      <c r="A18889" s="1"/>
      <c r="B18889" s="1" t="s">
        <v>6862</v>
      </c>
      <c r="C18889" s="1" t="s">
        <v>6863</v>
      </c>
      <c r="D18889" s="22" t="str">
        <f>HYPERLINK("https://rhld.insurance.arkansas.gov/NPILookup?Npi=1053669721","1053669721")</f>
        <v>1053669721</v>
      </c>
      <c r="E18889" s="1" t="s">
        <v>12318</v>
      </c>
      <c r="F18889" s="2"/>
      <c r="G18889" s="2"/>
      <c r="H18889" s="2"/>
    </row>
    <row r="18890" spans="1:8" x14ac:dyDescent="0.25">
      <c r="A18890" s="1"/>
      <c r="B18890" s="1" t="s">
        <v>6862</v>
      </c>
      <c r="C18890" s="1" t="s">
        <v>6863</v>
      </c>
      <c r="D18890" s="22" t="str">
        <f>HYPERLINK("https://rhld.insurance.arkansas.gov/NPILookup?Npi=1053747675","1053747675")</f>
        <v>1053747675</v>
      </c>
      <c r="E18890" s="1" t="s">
        <v>24140</v>
      </c>
      <c r="F18890" s="2"/>
      <c r="G18890" s="2"/>
      <c r="H18890" s="2"/>
    </row>
    <row r="18891" spans="1:8" x14ac:dyDescent="0.25">
      <c r="A18891" s="1"/>
      <c r="B18891" s="1" t="s">
        <v>6862</v>
      </c>
      <c r="C18891" s="1" t="s">
        <v>6863</v>
      </c>
      <c r="D18891" s="22" t="str">
        <f>HYPERLINK("https://rhld.insurance.arkansas.gov/NPILookup?Npi=1053840447","1053840447")</f>
        <v>1053840447</v>
      </c>
      <c r="E18891" s="1" t="s">
        <v>24141</v>
      </c>
      <c r="F18891" s="2"/>
      <c r="G18891" s="2"/>
      <c r="H18891" s="2"/>
    </row>
    <row r="18892" spans="1:8" x14ac:dyDescent="0.25">
      <c r="A18892" s="1"/>
      <c r="B18892" s="1" t="s">
        <v>6862</v>
      </c>
      <c r="C18892" s="1" t="s">
        <v>6863</v>
      </c>
      <c r="D18892" s="22" t="str">
        <f>HYPERLINK("https://rhld.insurance.arkansas.gov/NPILookup?Npi=1053861807","1053861807")</f>
        <v>1053861807</v>
      </c>
      <c r="E18892" s="1" t="s">
        <v>12319</v>
      </c>
      <c r="F18892" s="2"/>
      <c r="G18892" s="2"/>
      <c r="H18892" s="2"/>
    </row>
    <row r="18893" spans="1:8" x14ac:dyDescent="0.25">
      <c r="A18893" s="1"/>
      <c r="B18893" s="1" t="s">
        <v>6862</v>
      </c>
      <c r="C18893" s="1" t="s">
        <v>6863</v>
      </c>
      <c r="D18893" s="22" t="str">
        <f>HYPERLINK("https://rhld.insurance.arkansas.gov/NPILookup?Npi=1053877001","1053877001")</f>
        <v>1053877001</v>
      </c>
      <c r="E18893" s="1" t="s">
        <v>24142</v>
      </c>
      <c r="F18893" s="2"/>
      <c r="G18893" s="2"/>
      <c r="H18893" s="2"/>
    </row>
    <row r="18894" spans="1:8" x14ac:dyDescent="0.25">
      <c r="A18894" s="1"/>
      <c r="B18894" s="1" t="s">
        <v>6862</v>
      </c>
      <c r="C18894" s="1" t="s">
        <v>6863</v>
      </c>
      <c r="D18894" s="22" t="str">
        <f>HYPERLINK("https://rhld.insurance.arkansas.gov/NPILookup?Npi=1053908749","1053908749")</f>
        <v>1053908749</v>
      </c>
      <c r="E18894" s="1" t="s">
        <v>6887</v>
      </c>
      <c r="F18894" s="2"/>
      <c r="G18894" s="2"/>
      <c r="H18894" s="2"/>
    </row>
    <row r="18895" spans="1:8" x14ac:dyDescent="0.25">
      <c r="A18895" s="1"/>
      <c r="B18895" s="1" t="s">
        <v>6862</v>
      </c>
      <c r="C18895" s="1" t="s">
        <v>6863</v>
      </c>
      <c r="D18895" s="22" t="str">
        <f>HYPERLINK("https://rhld.insurance.arkansas.gov/NPILookup?Npi=1053921817","1053921817")</f>
        <v>1053921817</v>
      </c>
      <c r="E18895" s="1" t="s">
        <v>24143</v>
      </c>
      <c r="F18895" s="2"/>
      <c r="G18895" s="2"/>
      <c r="H18895" s="2"/>
    </row>
    <row r="18896" spans="1:8" x14ac:dyDescent="0.25">
      <c r="A18896" s="1"/>
      <c r="B18896" s="1" t="s">
        <v>6862</v>
      </c>
      <c r="C18896" s="1" t="s">
        <v>6863</v>
      </c>
      <c r="D18896" s="22" t="str">
        <f>HYPERLINK("https://rhld.insurance.arkansas.gov/NPILookup?Npi=1053936310","1053936310")</f>
        <v>1053936310</v>
      </c>
      <c r="E18896" s="1" t="s">
        <v>24144</v>
      </c>
      <c r="F18896" s="2"/>
      <c r="G18896" s="2"/>
      <c r="H18896" s="2"/>
    </row>
    <row r="18897" spans="1:8" x14ac:dyDescent="0.25">
      <c r="A18897" s="1"/>
      <c r="B18897" s="1" t="s">
        <v>6862</v>
      </c>
      <c r="C18897" s="1" t="s">
        <v>6863</v>
      </c>
      <c r="D18897" s="22" t="str">
        <f>HYPERLINK("https://rhld.insurance.arkansas.gov/NPILookup?Npi=1053969758","1053969758")</f>
        <v>1053969758</v>
      </c>
      <c r="E18897" s="1" t="s">
        <v>6888</v>
      </c>
      <c r="F18897" s="2"/>
      <c r="G18897" s="2"/>
      <c r="H18897" s="2"/>
    </row>
    <row r="18898" spans="1:8" x14ac:dyDescent="0.25">
      <c r="A18898" s="1"/>
      <c r="B18898" s="1" t="s">
        <v>6862</v>
      </c>
      <c r="C18898" s="1" t="s">
        <v>6863</v>
      </c>
      <c r="D18898" s="22" t="str">
        <f>HYPERLINK("https://rhld.insurance.arkansas.gov/NPILookup?Npi=1053971838","1053971838")</f>
        <v>1053971838</v>
      </c>
      <c r="E18898" s="1" t="s">
        <v>6889</v>
      </c>
      <c r="F18898" s="2"/>
      <c r="G18898" s="2"/>
      <c r="H18898" s="2"/>
    </row>
    <row r="18899" spans="1:8" x14ac:dyDescent="0.25">
      <c r="A18899" s="1"/>
      <c r="B18899" s="1" t="s">
        <v>6862</v>
      </c>
      <c r="C18899" s="1" t="s">
        <v>6863</v>
      </c>
      <c r="D18899" s="22" t="str">
        <f>HYPERLINK("https://rhld.insurance.arkansas.gov/NPILookup?Npi=1063016582","1063016582")</f>
        <v>1063016582</v>
      </c>
      <c r="E18899" s="1" t="s">
        <v>32004</v>
      </c>
      <c r="F18899" s="2"/>
      <c r="G18899" s="2"/>
      <c r="H18899" s="2"/>
    </row>
    <row r="18900" spans="1:8" x14ac:dyDescent="0.25">
      <c r="A18900" s="1"/>
      <c r="B18900" s="1" t="s">
        <v>6862</v>
      </c>
      <c r="C18900" s="1" t="s">
        <v>6863</v>
      </c>
      <c r="D18900" s="22" t="str">
        <f>HYPERLINK("https://rhld.insurance.arkansas.gov/NPILookup?Npi=1063045698","1063045698")</f>
        <v>1063045698</v>
      </c>
      <c r="E18900" s="1" t="s">
        <v>13004</v>
      </c>
      <c r="F18900" s="2"/>
      <c r="G18900" s="2"/>
      <c r="H18900" s="2"/>
    </row>
    <row r="18901" spans="1:8" x14ac:dyDescent="0.25">
      <c r="A18901" s="1"/>
      <c r="B18901" s="1" t="s">
        <v>6862</v>
      </c>
      <c r="C18901" s="1" t="s">
        <v>6863</v>
      </c>
      <c r="D18901" s="22" t="str">
        <f>HYPERLINK("https://rhld.insurance.arkansas.gov/NPILookup?Npi=1063047173","1063047173")</f>
        <v>1063047173</v>
      </c>
      <c r="E18901" s="1" t="s">
        <v>6890</v>
      </c>
      <c r="F18901" s="2"/>
      <c r="G18901" s="2"/>
      <c r="H18901" s="2"/>
    </row>
    <row r="18902" spans="1:8" x14ac:dyDescent="0.25">
      <c r="A18902" s="1"/>
      <c r="B18902" s="1" t="s">
        <v>6862</v>
      </c>
      <c r="C18902" s="1" t="s">
        <v>6863</v>
      </c>
      <c r="D18902" s="22" t="str">
        <f>HYPERLINK("https://rhld.insurance.arkansas.gov/NPILookup?Npi=1063060218","1063060218")</f>
        <v>1063060218</v>
      </c>
      <c r="E18902" s="1" t="s">
        <v>6891</v>
      </c>
      <c r="F18902" s="2"/>
      <c r="G18902" s="2"/>
      <c r="H18902" s="2"/>
    </row>
    <row r="18903" spans="1:8" x14ac:dyDescent="0.25">
      <c r="A18903" s="1"/>
      <c r="B18903" s="1" t="s">
        <v>6862</v>
      </c>
      <c r="C18903" s="1" t="s">
        <v>6863</v>
      </c>
      <c r="D18903" s="22" t="str">
        <f>HYPERLINK("https://rhld.insurance.arkansas.gov/NPILookup?Npi=1063073617","1063073617")</f>
        <v>1063073617</v>
      </c>
      <c r="E18903" s="1" t="s">
        <v>6892</v>
      </c>
      <c r="F18903" s="2"/>
      <c r="G18903" s="2"/>
      <c r="H18903" s="2"/>
    </row>
    <row r="18904" spans="1:8" x14ac:dyDescent="0.25">
      <c r="A18904" s="1"/>
      <c r="B18904" s="1" t="s">
        <v>6862</v>
      </c>
      <c r="C18904" s="1" t="s">
        <v>6863</v>
      </c>
      <c r="D18904" s="22" t="str">
        <f>HYPERLINK("https://rhld.insurance.arkansas.gov/NPILookup?Npi=1063114593","1063114593")</f>
        <v>1063114593</v>
      </c>
      <c r="E18904" s="1" t="s">
        <v>5396</v>
      </c>
      <c r="F18904" s="2"/>
      <c r="G18904" s="2"/>
      <c r="H18904" s="2"/>
    </row>
    <row r="18905" spans="1:8" x14ac:dyDescent="0.25">
      <c r="A18905" s="1"/>
      <c r="B18905" s="1" t="s">
        <v>6862</v>
      </c>
      <c r="C18905" s="1" t="s">
        <v>6863</v>
      </c>
      <c r="D18905" s="22" t="str">
        <f>HYPERLINK("https://rhld.insurance.arkansas.gov/NPILookup?Npi=1063131118","1063131118")</f>
        <v>1063131118</v>
      </c>
      <c r="E18905" s="1" t="s">
        <v>12320</v>
      </c>
      <c r="F18905" s="2"/>
      <c r="G18905" s="2"/>
      <c r="H18905" s="2"/>
    </row>
    <row r="18906" spans="1:8" x14ac:dyDescent="0.25">
      <c r="A18906" s="1"/>
      <c r="B18906" s="1" t="s">
        <v>6862</v>
      </c>
      <c r="C18906" s="1" t="s">
        <v>6863</v>
      </c>
      <c r="D18906" s="22" t="str">
        <f>HYPERLINK("https://rhld.insurance.arkansas.gov/NPILookup?Npi=1063146884","1063146884")</f>
        <v>1063146884</v>
      </c>
      <c r="E18906" s="1" t="s">
        <v>24145</v>
      </c>
      <c r="F18906" s="2"/>
      <c r="G18906" s="2"/>
      <c r="H18906" s="2"/>
    </row>
    <row r="18907" spans="1:8" x14ac:dyDescent="0.25">
      <c r="A18907" s="1"/>
      <c r="B18907" s="1" t="s">
        <v>6862</v>
      </c>
      <c r="C18907" s="1" t="s">
        <v>6863</v>
      </c>
      <c r="D18907" s="22" t="str">
        <f>HYPERLINK("https://rhld.insurance.arkansas.gov/NPILookup?Npi=1063166171","1063166171")</f>
        <v>1063166171</v>
      </c>
      <c r="E18907" s="1" t="s">
        <v>12321</v>
      </c>
      <c r="F18907" s="2"/>
      <c r="G18907" s="2"/>
      <c r="H18907" s="2"/>
    </row>
    <row r="18908" spans="1:8" x14ac:dyDescent="0.25">
      <c r="A18908" s="1"/>
      <c r="B18908" s="1" t="s">
        <v>6862</v>
      </c>
      <c r="C18908" s="1" t="s">
        <v>6863</v>
      </c>
      <c r="D18908" s="22" t="str">
        <f>HYPERLINK("https://rhld.insurance.arkansas.gov/NPILookup?Npi=1063179992","1063179992")</f>
        <v>1063179992</v>
      </c>
      <c r="E18908" s="1" t="s">
        <v>6893</v>
      </c>
      <c r="F18908" s="2"/>
      <c r="G18908" s="2"/>
      <c r="H18908" s="2"/>
    </row>
    <row r="18909" spans="1:8" x14ac:dyDescent="0.25">
      <c r="A18909" s="1"/>
      <c r="B18909" s="1" t="s">
        <v>6862</v>
      </c>
      <c r="C18909" s="1" t="s">
        <v>6863</v>
      </c>
      <c r="D18909" s="22" t="str">
        <f>HYPERLINK("https://rhld.insurance.arkansas.gov/NPILookup?Npi=1063429504","1063429504")</f>
        <v>1063429504</v>
      </c>
      <c r="E18909" s="1" t="s">
        <v>6894</v>
      </c>
      <c r="F18909" s="2"/>
      <c r="G18909" s="2"/>
      <c r="H18909" s="2"/>
    </row>
    <row r="18910" spans="1:8" x14ac:dyDescent="0.25">
      <c r="A18910" s="1"/>
      <c r="B18910" s="1" t="s">
        <v>6862</v>
      </c>
      <c r="C18910" s="1" t="s">
        <v>6863</v>
      </c>
      <c r="D18910" s="22" t="str">
        <f>HYPERLINK("https://rhld.insurance.arkansas.gov/NPILookup?Npi=1063485670","1063485670")</f>
        <v>1063485670</v>
      </c>
      <c r="E18910" s="1" t="s">
        <v>6895</v>
      </c>
      <c r="F18910" s="2"/>
      <c r="G18910" s="2"/>
      <c r="H18910" s="2"/>
    </row>
    <row r="18911" spans="1:8" x14ac:dyDescent="0.25">
      <c r="A18911" s="1"/>
      <c r="B18911" s="1" t="s">
        <v>6862</v>
      </c>
      <c r="C18911" s="1" t="s">
        <v>6863</v>
      </c>
      <c r="D18911" s="22" t="str">
        <f>HYPERLINK("https://rhld.insurance.arkansas.gov/NPILookup?Npi=1063534675","1063534675")</f>
        <v>1063534675</v>
      </c>
      <c r="E18911" s="1" t="s">
        <v>24146</v>
      </c>
      <c r="F18911" s="2"/>
      <c r="G18911" s="2"/>
      <c r="H18911" s="2"/>
    </row>
    <row r="18912" spans="1:8" x14ac:dyDescent="0.25">
      <c r="A18912" s="1"/>
      <c r="B18912" s="1" t="s">
        <v>6862</v>
      </c>
      <c r="C18912" s="1" t="s">
        <v>6863</v>
      </c>
      <c r="D18912" s="22" t="str">
        <f>HYPERLINK("https://rhld.insurance.arkansas.gov/NPILookup?Npi=1063535409","1063535409")</f>
        <v>1063535409</v>
      </c>
      <c r="E18912" s="1" t="s">
        <v>24147</v>
      </c>
      <c r="F18912" s="2"/>
      <c r="G18912" s="2"/>
      <c r="H18912" s="2"/>
    </row>
    <row r="18913" spans="1:8" x14ac:dyDescent="0.25">
      <c r="A18913" s="1"/>
      <c r="B18913" s="1" t="s">
        <v>6862</v>
      </c>
      <c r="C18913" s="1" t="s">
        <v>6863</v>
      </c>
      <c r="D18913" s="22" t="str">
        <f>HYPERLINK("https://rhld.insurance.arkansas.gov/NPILookup?Npi=1063745024","1063745024")</f>
        <v>1063745024</v>
      </c>
      <c r="E18913" s="1" t="s">
        <v>12322</v>
      </c>
      <c r="F18913" s="2"/>
      <c r="G18913" s="2"/>
      <c r="H18913" s="2"/>
    </row>
    <row r="18914" spans="1:8" x14ac:dyDescent="0.25">
      <c r="A18914" s="1"/>
      <c r="B18914" s="1" t="s">
        <v>6862</v>
      </c>
      <c r="C18914" s="1" t="s">
        <v>6863</v>
      </c>
      <c r="D18914" s="22" t="str">
        <f>HYPERLINK("https://rhld.insurance.arkansas.gov/NPILookup?Npi=1063826154","1063826154")</f>
        <v>1063826154</v>
      </c>
      <c r="E18914" s="1" t="s">
        <v>6896</v>
      </c>
      <c r="F18914" s="2"/>
      <c r="G18914" s="2"/>
      <c r="H18914" s="2"/>
    </row>
    <row r="18915" spans="1:8" x14ac:dyDescent="0.25">
      <c r="A18915" s="1"/>
      <c r="B18915" s="1" t="s">
        <v>6862</v>
      </c>
      <c r="C18915" s="1" t="s">
        <v>6863</v>
      </c>
      <c r="D18915" s="22" t="str">
        <f>HYPERLINK("https://rhld.insurance.arkansas.gov/NPILookup?Npi=1063844595","1063844595")</f>
        <v>1063844595</v>
      </c>
      <c r="E18915" s="1" t="s">
        <v>12323</v>
      </c>
      <c r="F18915" s="2"/>
      <c r="G18915" s="2"/>
      <c r="H18915" s="2"/>
    </row>
    <row r="18916" spans="1:8" x14ac:dyDescent="0.25">
      <c r="A18916" s="1"/>
      <c r="B18916" s="1" t="s">
        <v>6862</v>
      </c>
      <c r="C18916" s="1" t="s">
        <v>6863</v>
      </c>
      <c r="D18916" s="22" t="str">
        <f>HYPERLINK("https://rhld.insurance.arkansas.gov/NPILookup?Npi=1063885259","1063885259")</f>
        <v>1063885259</v>
      </c>
      <c r="E18916" s="1" t="s">
        <v>24148</v>
      </c>
      <c r="F18916" s="2"/>
      <c r="G18916" s="2"/>
      <c r="H18916" s="2"/>
    </row>
    <row r="18917" spans="1:8" x14ac:dyDescent="0.25">
      <c r="A18917" s="1"/>
      <c r="B18917" s="1" t="s">
        <v>6862</v>
      </c>
      <c r="C18917" s="1" t="s">
        <v>6863</v>
      </c>
      <c r="D18917" s="22" t="str">
        <f>HYPERLINK("https://rhld.insurance.arkansas.gov/NPILookup?Npi=1063889095","1063889095")</f>
        <v>1063889095</v>
      </c>
      <c r="E18917" s="1" t="s">
        <v>24149</v>
      </c>
      <c r="F18917" s="2"/>
      <c r="G18917" s="2"/>
      <c r="H18917" s="2"/>
    </row>
    <row r="18918" spans="1:8" x14ac:dyDescent="0.25">
      <c r="A18918" s="1"/>
      <c r="B18918" s="1" t="s">
        <v>6862</v>
      </c>
      <c r="C18918" s="1" t="s">
        <v>6863</v>
      </c>
      <c r="D18918" s="22" t="str">
        <f>HYPERLINK("https://rhld.insurance.arkansas.gov/NPILookup?Npi=1063903060","1063903060")</f>
        <v>1063903060</v>
      </c>
      <c r="E18918" s="1" t="s">
        <v>24150</v>
      </c>
      <c r="F18918" s="2"/>
      <c r="G18918" s="2"/>
      <c r="H18918" s="2"/>
    </row>
    <row r="18919" spans="1:8" x14ac:dyDescent="0.25">
      <c r="A18919" s="1"/>
      <c r="B18919" s="1" t="s">
        <v>6862</v>
      </c>
      <c r="C18919" s="1" t="s">
        <v>6863</v>
      </c>
      <c r="D18919" s="22" t="str">
        <f>HYPERLINK("https://rhld.insurance.arkansas.gov/NPILookup?Npi=1063940542","1063940542")</f>
        <v>1063940542</v>
      </c>
      <c r="E18919" s="1" t="s">
        <v>6897</v>
      </c>
      <c r="F18919" s="2"/>
      <c r="G18919" s="2"/>
      <c r="H18919" s="2"/>
    </row>
    <row r="18920" spans="1:8" x14ac:dyDescent="0.25">
      <c r="A18920" s="1"/>
      <c r="B18920" s="1" t="s">
        <v>6862</v>
      </c>
      <c r="C18920" s="1" t="s">
        <v>6863</v>
      </c>
      <c r="D18920" s="22" t="str">
        <f>HYPERLINK("https://rhld.insurance.arkansas.gov/NPILookup?Npi=1063962470","1063962470")</f>
        <v>1063962470</v>
      </c>
      <c r="E18920" s="1" t="s">
        <v>24151</v>
      </c>
      <c r="F18920" s="2"/>
      <c r="G18920" s="2"/>
      <c r="H18920" s="2"/>
    </row>
    <row r="18921" spans="1:8" x14ac:dyDescent="0.25">
      <c r="A18921" s="1"/>
      <c r="B18921" s="1" t="s">
        <v>6862</v>
      </c>
      <c r="C18921" s="1" t="s">
        <v>6863</v>
      </c>
      <c r="D18921" s="22" t="str">
        <f>HYPERLINK("https://rhld.insurance.arkansas.gov/NPILookup?Npi=1063968071","1063968071")</f>
        <v>1063968071</v>
      </c>
      <c r="E18921" s="1" t="s">
        <v>24152</v>
      </c>
      <c r="F18921" s="2"/>
      <c r="G18921" s="2"/>
      <c r="H18921" s="2"/>
    </row>
    <row r="18922" spans="1:8" x14ac:dyDescent="0.25">
      <c r="A18922" s="1"/>
      <c r="B18922" s="1" t="s">
        <v>6862</v>
      </c>
      <c r="C18922" s="1" t="s">
        <v>6863</v>
      </c>
      <c r="D18922" s="22" t="str">
        <f>HYPERLINK("https://rhld.insurance.arkansas.gov/NPILookup?Npi=1063984342","1063984342")</f>
        <v>1063984342</v>
      </c>
      <c r="E18922" s="1" t="s">
        <v>6898</v>
      </c>
      <c r="F18922" s="2"/>
      <c r="G18922" s="2"/>
      <c r="H18922" s="2"/>
    </row>
    <row r="18923" spans="1:8" x14ac:dyDescent="0.25">
      <c r="A18923" s="1"/>
      <c r="B18923" s="1" t="s">
        <v>6862</v>
      </c>
      <c r="C18923" s="1" t="s">
        <v>6863</v>
      </c>
      <c r="D18923" s="22" t="str">
        <f>HYPERLINK("https://rhld.insurance.arkansas.gov/NPILookup?Npi=1073014973","1073014973")</f>
        <v>1073014973</v>
      </c>
      <c r="E18923" s="1" t="s">
        <v>24153</v>
      </c>
      <c r="F18923" s="2"/>
      <c r="G18923" s="2"/>
      <c r="H18923" s="2"/>
    </row>
    <row r="18924" spans="1:8" x14ac:dyDescent="0.25">
      <c r="A18924" s="1"/>
      <c r="B18924" s="1" t="s">
        <v>6862</v>
      </c>
      <c r="C18924" s="1" t="s">
        <v>6863</v>
      </c>
      <c r="D18924" s="22" t="str">
        <f>HYPERLINK("https://rhld.insurance.arkansas.gov/NPILookup?Npi=1073037594","1073037594")</f>
        <v>1073037594</v>
      </c>
      <c r="E18924" s="1" t="s">
        <v>24154</v>
      </c>
      <c r="F18924" s="2"/>
      <c r="G18924" s="2"/>
      <c r="H18924" s="2"/>
    </row>
    <row r="18925" spans="1:8" x14ac:dyDescent="0.25">
      <c r="A18925" s="1"/>
      <c r="B18925" s="1" t="s">
        <v>6862</v>
      </c>
      <c r="C18925" s="1" t="s">
        <v>6863</v>
      </c>
      <c r="D18925" s="22" t="str">
        <f>HYPERLINK("https://rhld.insurance.arkansas.gov/NPILookup?Npi=1073037818","1073037818")</f>
        <v>1073037818</v>
      </c>
      <c r="E18925" s="1" t="s">
        <v>12324</v>
      </c>
      <c r="F18925" s="2"/>
      <c r="G18925" s="2"/>
      <c r="H18925" s="2"/>
    </row>
    <row r="18926" spans="1:8" x14ac:dyDescent="0.25">
      <c r="A18926" s="1"/>
      <c r="B18926" s="1" t="s">
        <v>6862</v>
      </c>
      <c r="C18926" s="1" t="s">
        <v>6863</v>
      </c>
      <c r="D18926" s="22" t="str">
        <f>HYPERLINK("https://rhld.insurance.arkansas.gov/NPILookup?Npi=1073179925","1073179925")</f>
        <v>1073179925</v>
      </c>
      <c r="E18926" s="1" t="s">
        <v>6899</v>
      </c>
      <c r="F18926" s="2"/>
      <c r="G18926" s="2"/>
      <c r="H18926" s="2"/>
    </row>
    <row r="18927" spans="1:8" x14ac:dyDescent="0.25">
      <c r="A18927" s="1"/>
      <c r="B18927" s="1" t="s">
        <v>6862</v>
      </c>
      <c r="C18927" s="1" t="s">
        <v>6863</v>
      </c>
      <c r="D18927" s="22" t="str">
        <f>HYPERLINK("https://rhld.insurance.arkansas.gov/NPILookup?Npi=1073271656","1073271656")</f>
        <v>1073271656</v>
      </c>
      <c r="E18927" s="1" t="s">
        <v>6900</v>
      </c>
      <c r="F18927" s="2"/>
      <c r="G18927" s="2"/>
      <c r="H18927" s="2"/>
    </row>
    <row r="18928" spans="1:8" x14ac:dyDescent="0.25">
      <c r="A18928" s="1"/>
      <c r="B18928" s="1" t="s">
        <v>6862</v>
      </c>
      <c r="C18928" s="1" t="s">
        <v>6863</v>
      </c>
      <c r="D18928" s="22" t="str">
        <f>HYPERLINK("https://rhld.insurance.arkansas.gov/NPILookup?Npi=1073271938","1073271938")</f>
        <v>1073271938</v>
      </c>
      <c r="E18928" s="1" t="s">
        <v>24155</v>
      </c>
      <c r="F18928" s="2"/>
      <c r="G18928" s="2"/>
      <c r="H18928" s="2"/>
    </row>
    <row r="18929" spans="1:8" x14ac:dyDescent="0.25">
      <c r="A18929" s="1"/>
      <c r="B18929" s="1" t="s">
        <v>6862</v>
      </c>
      <c r="C18929" s="1" t="s">
        <v>6863</v>
      </c>
      <c r="D18929" s="22" t="str">
        <f>HYPERLINK("https://rhld.insurance.arkansas.gov/NPILookup?Npi=1073281556","1073281556")</f>
        <v>1073281556</v>
      </c>
      <c r="E18929" s="1" t="s">
        <v>24156</v>
      </c>
      <c r="F18929" s="2"/>
      <c r="G18929" s="2"/>
      <c r="H18929" s="2"/>
    </row>
    <row r="18930" spans="1:8" x14ac:dyDescent="0.25">
      <c r="A18930" s="1"/>
      <c r="B18930" s="1" t="s">
        <v>6862</v>
      </c>
      <c r="C18930" s="1" t="s">
        <v>6863</v>
      </c>
      <c r="D18930" s="22" t="str">
        <f>HYPERLINK("https://rhld.insurance.arkansas.gov/NPILookup?Npi=1073288510","1073288510")</f>
        <v>1073288510</v>
      </c>
      <c r="E18930" s="1" t="s">
        <v>6901</v>
      </c>
      <c r="F18930" s="2"/>
      <c r="G18930" s="2"/>
      <c r="H18930" s="2"/>
    </row>
    <row r="18931" spans="1:8" x14ac:dyDescent="0.25">
      <c r="A18931" s="1"/>
      <c r="B18931" s="1" t="s">
        <v>6862</v>
      </c>
      <c r="C18931" s="1" t="s">
        <v>6863</v>
      </c>
      <c r="D18931" s="22" t="str">
        <f>HYPERLINK("https://rhld.insurance.arkansas.gov/NPILookup?Npi=1073379335","1073379335")</f>
        <v>1073379335</v>
      </c>
      <c r="E18931" s="1" t="s">
        <v>24157</v>
      </c>
      <c r="F18931" s="2"/>
      <c r="G18931" s="2"/>
      <c r="H18931" s="2"/>
    </row>
    <row r="18932" spans="1:8" x14ac:dyDescent="0.25">
      <c r="A18932" s="1"/>
      <c r="B18932" s="1" t="s">
        <v>6862</v>
      </c>
      <c r="C18932" s="1" t="s">
        <v>6863</v>
      </c>
      <c r="D18932" s="22" t="str">
        <f>HYPERLINK("https://rhld.insurance.arkansas.gov/NPILookup?Npi=1073596086","1073596086")</f>
        <v>1073596086</v>
      </c>
      <c r="E18932" s="1" t="s">
        <v>24158</v>
      </c>
      <c r="F18932" s="2"/>
      <c r="G18932" s="2"/>
      <c r="H18932" s="2"/>
    </row>
    <row r="18933" spans="1:8" x14ac:dyDescent="0.25">
      <c r="A18933" s="1"/>
      <c r="B18933" s="1" t="s">
        <v>6862</v>
      </c>
      <c r="C18933" s="1" t="s">
        <v>6863</v>
      </c>
      <c r="D18933" s="22" t="str">
        <f>HYPERLINK("https://rhld.insurance.arkansas.gov/NPILookup?Npi=1073670618","1073670618")</f>
        <v>1073670618</v>
      </c>
      <c r="E18933" s="1" t="s">
        <v>6902</v>
      </c>
      <c r="F18933" s="2"/>
      <c r="G18933" s="2"/>
      <c r="H18933" s="2"/>
    </row>
    <row r="18934" spans="1:8" x14ac:dyDescent="0.25">
      <c r="A18934" s="1"/>
      <c r="B18934" s="1" t="s">
        <v>6862</v>
      </c>
      <c r="C18934" s="1" t="s">
        <v>6863</v>
      </c>
      <c r="D18934" s="22" t="str">
        <f>HYPERLINK("https://rhld.insurance.arkansas.gov/NPILookup?Npi=1073705869","1073705869")</f>
        <v>1073705869</v>
      </c>
      <c r="E18934" s="1" t="s">
        <v>24159</v>
      </c>
      <c r="F18934" s="2"/>
      <c r="G18934" s="2"/>
      <c r="H18934" s="2"/>
    </row>
    <row r="18935" spans="1:8" x14ac:dyDescent="0.25">
      <c r="A18935" s="1"/>
      <c r="B18935" s="1" t="s">
        <v>6862</v>
      </c>
      <c r="C18935" s="1" t="s">
        <v>6863</v>
      </c>
      <c r="D18935" s="22" t="str">
        <f>HYPERLINK("https://rhld.insurance.arkansas.gov/NPILookup?Npi=1073737862","1073737862")</f>
        <v>1073737862</v>
      </c>
      <c r="E18935" s="1" t="s">
        <v>24160</v>
      </c>
      <c r="F18935" s="2"/>
      <c r="G18935" s="2"/>
      <c r="H18935" s="2"/>
    </row>
    <row r="18936" spans="1:8" x14ac:dyDescent="0.25">
      <c r="A18936" s="1"/>
      <c r="B18936" s="1" t="s">
        <v>6862</v>
      </c>
      <c r="C18936" s="1" t="s">
        <v>6863</v>
      </c>
      <c r="D18936" s="22" t="str">
        <f>HYPERLINK("https://rhld.insurance.arkansas.gov/NPILookup?Npi=1073845657","1073845657")</f>
        <v>1073845657</v>
      </c>
      <c r="E18936" s="1" t="s">
        <v>24161</v>
      </c>
      <c r="F18936" s="2"/>
      <c r="G18936" s="2"/>
      <c r="H18936" s="2"/>
    </row>
    <row r="18937" spans="1:8" x14ac:dyDescent="0.25">
      <c r="A18937" s="1"/>
      <c r="B18937" s="1" t="s">
        <v>6862</v>
      </c>
      <c r="C18937" s="1" t="s">
        <v>6863</v>
      </c>
      <c r="D18937" s="22" t="str">
        <f>HYPERLINK("https://rhld.insurance.arkansas.gov/NPILookup?Npi=1073880019","1073880019")</f>
        <v>1073880019</v>
      </c>
      <c r="E18937" s="1" t="s">
        <v>6903</v>
      </c>
      <c r="F18937" s="2"/>
      <c r="G18937" s="2"/>
      <c r="H18937" s="2"/>
    </row>
    <row r="18938" spans="1:8" x14ac:dyDescent="0.25">
      <c r="A18938" s="1"/>
      <c r="B18938" s="1" t="s">
        <v>6862</v>
      </c>
      <c r="C18938" s="1" t="s">
        <v>6863</v>
      </c>
      <c r="D18938" s="22" t="str">
        <f>HYPERLINK("https://rhld.insurance.arkansas.gov/NPILookup?Npi=1083040497","1083040497")</f>
        <v>1083040497</v>
      </c>
      <c r="E18938" s="1" t="s">
        <v>24162</v>
      </c>
      <c r="F18938" s="2"/>
      <c r="G18938" s="2"/>
      <c r="H18938" s="2"/>
    </row>
    <row r="18939" spans="1:8" x14ac:dyDescent="0.25">
      <c r="A18939" s="1"/>
      <c r="B18939" s="1" t="s">
        <v>6862</v>
      </c>
      <c r="C18939" s="1" t="s">
        <v>6863</v>
      </c>
      <c r="D18939" s="22" t="str">
        <f>HYPERLINK("https://rhld.insurance.arkansas.gov/NPILookup?Npi=1083066856","1083066856")</f>
        <v>1083066856</v>
      </c>
      <c r="E18939" s="1" t="s">
        <v>24163</v>
      </c>
      <c r="F18939" s="2"/>
      <c r="G18939" s="2"/>
      <c r="H18939" s="2"/>
    </row>
    <row r="18940" spans="1:8" x14ac:dyDescent="0.25">
      <c r="A18940" s="1"/>
      <c r="B18940" s="1" t="s">
        <v>6862</v>
      </c>
      <c r="C18940" s="1" t="s">
        <v>6863</v>
      </c>
      <c r="D18940" s="22" t="str">
        <f>HYPERLINK("https://rhld.insurance.arkansas.gov/NPILookup?Npi=1083073340","1083073340")</f>
        <v>1083073340</v>
      </c>
      <c r="E18940" s="1" t="s">
        <v>24164</v>
      </c>
      <c r="F18940" s="2"/>
      <c r="G18940" s="2"/>
      <c r="H18940" s="2"/>
    </row>
    <row r="18941" spans="1:8" x14ac:dyDescent="0.25">
      <c r="A18941" s="1"/>
      <c r="B18941" s="1" t="s">
        <v>6862</v>
      </c>
      <c r="C18941" s="1" t="s">
        <v>6863</v>
      </c>
      <c r="D18941" s="22" t="str">
        <f>HYPERLINK("https://rhld.insurance.arkansas.gov/NPILookup?Npi=1083125439","1083125439")</f>
        <v>1083125439</v>
      </c>
      <c r="E18941" s="1" t="s">
        <v>24165</v>
      </c>
      <c r="F18941" s="2"/>
      <c r="G18941" s="2"/>
      <c r="H18941" s="2"/>
    </row>
    <row r="18942" spans="1:8" x14ac:dyDescent="0.25">
      <c r="A18942" s="1"/>
      <c r="B18942" s="1" t="s">
        <v>6862</v>
      </c>
      <c r="C18942" s="1" t="s">
        <v>6863</v>
      </c>
      <c r="D18942" s="22" t="str">
        <f>HYPERLINK("https://rhld.insurance.arkansas.gov/NPILookup?Npi=1083131064","1083131064")</f>
        <v>1083131064</v>
      </c>
      <c r="E18942" s="1" t="s">
        <v>6904</v>
      </c>
      <c r="F18942" s="2"/>
      <c r="G18942" s="2"/>
      <c r="H18942" s="2"/>
    </row>
    <row r="18943" spans="1:8" x14ac:dyDescent="0.25">
      <c r="A18943" s="1"/>
      <c r="B18943" s="1" t="s">
        <v>6862</v>
      </c>
      <c r="C18943" s="1" t="s">
        <v>6863</v>
      </c>
      <c r="D18943" s="22" t="str">
        <f>HYPERLINK("https://rhld.insurance.arkansas.gov/NPILookup?Npi=1083133532","1083133532")</f>
        <v>1083133532</v>
      </c>
      <c r="E18943" s="1" t="s">
        <v>12325</v>
      </c>
      <c r="F18943" s="2"/>
      <c r="G18943" s="2"/>
      <c r="H18943" s="2"/>
    </row>
    <row r="18944" spans="1:8" x14ac:dyDescent="0.25">
      <c r="A18944" s="1"/>
      <c r="B18944" s="1" t="s">
        <v>6862</v>
      </c>
      <c r="C18944" s="1" t="s">
        <v>6863</v>
      </c>
      <c r="D18944" s="22" t="str">
        <f>HYPERLINK("https://rhld.insurance.arkansas.gov/NPILookup?Npi=1083138044","1083138044")</f>
        <v>1083138044</v>
      </c>
      <c r="E18944" s="1" t="s">
        <v>24166</v>
      </c>
      <c r="F18944" s="2"/>
      <c r="G18944" s="2"/>
      <c r="H18944" s="2"/>
    </row>
    <row r="18945" spans="1:8" x14ac:dyDescent="0.25">
      <c r="A18945" s="1"/>
      <c r="B18945" s="1" t="s">
        <v>6862</v>
      </c>
      <c r="C18945" s="1" t="s">
        <v>6863</v>
      </c>
      <c r="D18945" s="22" t="str">
        <f>HYPERLINK("https://rhld.insurance.arkansas.gov/NPILookup?Npi=1083208631","1083208631")</f>
        <v>1083208631</v>
      </c>
      <c r="E18945" s="1" t="s">
        <v>24167</v>
      </c>
      <c r="F18945" s="2"/>
      <c r="G18945" s="2"/>
      <c r="H18945" s="2"/>
    </row>
    <row r="18946" spans="1:8" x14ac:dyDescent="0.25">
      <c r="A18946" s="1"/>
      <c r="B18946" s="1" t="s">
        <v>6862</v>
      </c>
      <c r="C18946" s="1" t="s">
        <v>6863</v>
      </c>
      <c r="D18946" s="22" t="str">
        <f>HYPERLINK("https://rhld.insurance.arkansas.gov/NPILookup?Npi=1083261713","1083261713")</f>
        <v>1083261713</v>
      </c>
      <c r="E18946" s="1" t="s">
        <v>24168</v>
      </c>
      <c r="F18946" s="2"/>
      <c r="G18946" s="2"/>
      <c r="H18946" s="2"/>
    </row>
    <row r="18947" spans="1:8" x14ac:dyDescent="0.25">
      <c r="A18947" s="1"/>
      <c r="B18947" s="1" t="s">
        <v>6862</v>
      </c>
      <c r="C18947" s="1" t="s">
        <v>6863</v>
      </c>
      <c r="D18947" s="22" t="str">
        <f>HYPERLINK("https://rhld.insurance.arkansas.gov/NPILookup?Npi=1083276265","1083276265")</f>
        <v>1083276265</v>
      </c>
      <c r="E18947" s="1" t="s">
        <v>24169</v>
      </c>
      <c r="F18947" s="2"/>
      <c r="G18947" s="2"/>
      <c r="H18947" s="2"/>
    </row>
    <row r="18948" spans="1:8" x14ac:dyDescent="0.25">
      <c r="A18948" s="1"/>
      <c r="B18948" s="1" t="s">
        <v>6862</v>
      </c>
      <c r="C18948" s="1" t="s">
        <v>6863</v>
      </c>
      <c r="D18948" s="22" t="str">
        <f>HYPERLINK("https://rhld.insurance.arkansas.gov/NPILookup?Npi=1083351159","1083351159")</f>
        <v>1083351159</v>
      </c>
      <c r="E18948" s="1" t="s">
        <v>24170</v>
      </c>
      <c r="F18948" s="2"/>
      <c r="G18948" s="2"/>
      <c r="H18948" s="2"/>
    </row>
    <row r="18949" spans="1:8" x14ac:dyDescent="0.25">
      <c r="A18949" s="1"/>
      <c r="B18949" s="1" t="s">
        <v>6862</v>
      </c>
      <c r="C18949" s="1" t="s">
        <v>6863</v>
      </c>
      <c r="D18949" s="22" t="str">
        <f>HYPERLINK("https://rhld.insurance.arkansas.gov/NPILookup?Npi=1083380307","1083380307")</f>
        <v>1083380307</v>
      </c>
      <c r="E18949" s="1" t="s">
        <v>24171</v>
      </c>
      <c r="F18949" s="2"/>
      <c r="G18949" s="2"/>
      <c r="H18949" s="2"/>
    </row>
    <row r="18950" spans="1:8" x14ac:dyDescent="0.25">
      <c r="A18950" s="1"/>
      <c r="B18950" s="1" t="s">
        <v>6862</v>
      </c>
      <c r="C18950" s="1" t="s">
        <v>6863</v>
      </c>
      <c r="D18950" s="22" t="str">
        <f>HYPERLINK("https://rhld.insurance.arkansas.gov/NPILookup?Npi=1083487854","1083487854")</f>
        <v>1083487854</v>
      </c>
      <c r="E18950" s="1" t="s">
        <v>24172</v>
      </c>
      <c r="F18950" s="2"/>
      <c r="G18950" s="2"/>
      <c r="H18950" s="2"/>
    </row>
    <row r="18951" spans="1:8" x14ac:dyDescent="0.25">
      <c r="A18951" s="1"/>
      <c r="B18951" s="1" t="s">
        <v>6862</v>
      </c>
      <c r="C18951" s="1" t="s">
        <v>6863</v>
      </c>
      <c r="D18951" s="22" t="str">
        <f>HYPERLINK("https://rhld.insurance.arkansas.gov/NPILookup?Npi=1083497994","1083497994")</f>
        <v>1083497994</v>
      </c>
      <c r="E18951" s="1" t="s">
        <v>6905</v>
      </c>
      <c r="F18951" s="2"/>
      <c r="G18951" s="2"/>
      <c r="H18951" s="2"/>
    </row>
    <row r="18952" spans="1:8" x14ac:dyDescent="0.25">
      <c r="A18952" s="1"/>
      <c r="B18952" s="1" t="s">
        <v>6862</v>
      </c>
      <c r="C18952" s="1" t="s">
        <v>6863</v>
      </c>
      <c r="D18952" s="22" t="str">
        <f>HYPERLINK("https://rhld.insurance.arkansas.gov/NPILookup?Npi=1083623474","1083623474")</f>
        <v>1083623474</v>
      </c>
      <c r="E18952" s="1" t="s">
        <v>6906</v>
      </c>
      <c r="F18952" s="2"/>
      <c r="G18952" s="2"/>
      <c r="H18952" s="2"/>
    </row>
    <row r="18953" spans="1:8" x14ac:dyDescent="0.25">
      <c r="A18953" s="1"/>
      <c r="B18953" s="1" t="s">
        <v>6862</v>
      </c>
      <c r="C18953" s="1" t="s">
        <v>6863</v>
      </c>
      <c r="D18953" s="22" t="str">
        <f>HYPERLINK("https://rhld.insurance.arkansas.gov/NPILookup?Npi=1083649917","1083649917")</f>
        <v>1083649917</v>
      </c>
      <c r="E18953" s="1" t="s">
        <v>12326</v>
      </c>
      <c r="F18953" s="2"/>
      <c r="G18953" s="2"/>
      <c r="H18953" s="2"/>
    </row>
    <row r="18954" spans="1:8" x14ac:dyDescent="0.25">
      <c r="A18954" s="1"/>
      <c r="B18954" s="1" t="s">
        <v>6862</v>
      </c>
      <c r="C18954" s="1" t="s">
        <v>6863</v>
      </c>
      <c r="D18954" s="22" t="str">
        <f>HYPERLINK("https://rhld.insurance.arkansas.gov/NPILookup?Npi=1083787717","1083787717")</f>
        <v>1083787717</v>
      </c>
      <c r="E18954" s="1" t="s">
        <v>32005</v>
      </c>
      <c r="F18954" s="2"/>
      <c r="G18954" s="2"/>
      <c r="H18954" s="2"/>
    </row>
    <row r="18955" spans="1:8" x14ac:dyDescent="0.25">
      <c r="A18955" s="1"/>
      <c r="B18955" s="1" t="s">
        <v>6862</v>
      </c>
      <c r="C18955" s="1" t="s">
        <v>6863</v>
      </c>
      <c r="D18955" s="22" t="str">
        <f>HYPERLINK("https://rhld.insurance.arkansas.gov/NPILookup?Npi=1083914097","1083914097")</f>
        <v>1083914097</v>
      </c>
      <c r="E18955" s="1" t="s">
        <v>12327</v>
      </c>
      <c r="F18955" s="2"/>
      <c r="G18955" s="2"/>
      <c r="H18955" s="2"/>
    </row>
    <row r="18956" spans="1:8" x14ac:dyDescent="0.25">
      <c r="A18956" s="1"/>
      <c r="B18956" s="1" t="s">
        <v>6862</v>
      </c>
      <c r="C18956" s="1" t="s">
        <v>6863</v>
      </c>
      <c r="D18956" s="22" t="str">
        <f>HYPERLINK("https://rhld.insurance.arkansas.gov/NPILookup?Npi=1083930176","1083930176")</f>
        <v>1083930176</v>
      </c>
      <c r="E18956" s="1" t="s">
        <v>24173</v>
      </c>
      <c r="F18956" s="2"/>
      <c r="G18956" s="2"/>
      <c r="H18956" s="2"/>
    </row>
    <row r="18957" spans="1:8" x14ac:dyDescent="0.25">
      <c r="A18957" s="1"/>
      <c r="B18957" s="1" t="s">
        <v>6862</v>
      </c>
      <c r="C18957" s="1" t="s">
        <v>6863</v>
      </c>
      <c r="D18957" s="22" t="str">
        <f>HYPERLINK("https://rhld.insurance.arkansas.gov/NPILookup?Npi=1083998595","1083998595")</f>
        <v>1083998595</v>
      </c>
      <c r="E18957" s="1" t="s">
        <v>24174</v>
      </c>
      <c r="F18957" s="2"/>
      <c r="G18957" s="2"/>
      <c r="H18957" s="2"/>
    </row>
    <row r="18958" spans="1:8" x14ac:dyDescent="0.25">
      <c r="A18958" s="1"/>
      <c r="B18958" s="1" t="s">
        <v>6862</v>
      </c>
      <c r="C18958" s="1" t="s">
        <v>6863</v>
      </c>
      <c r="D18958" s="22" t="str">
        <f>HYPERLINK("https://rhld.insurance.arkansas.gov/NPILookup?Npi=1093023962","1093023962")</f>
        <v>1093023962</v>
      </c>
      <c r="E18958" s="1" t="s">
        <v>24175</v>
      </c>
      <c r="F18958" s="2"/>
      <c r="G18958" s="2"/>
      <c r="H18958" s="2"/>
    </row>
    <row r="18959" spans="1:8" x14ac:dyDescent="0.25">
      <c r="A18959" s="1"/>
      <c r="B18959" s="1" t="s">
        <v>6862</v>
      </c>
      <c r="C18959" s="1" t="s">
        <v>6863</v>
      </c>
      <c r="D18959" s="22" t="str">
        <f>HYPERLINK("https://rhld.insurance.arkansas.gov/NPILookup?Npi=1093153173","1093153173")</f>
        <v>1093153173</v>
      </c>
      <c r="E18959" s="1" t="s">
        <v>6907</v>
      </c>
      <c r="F18959" s="2"/>
      <c r="G18959" s="2"/>
      <c r="H18959" s="2"/>
    </row>
    <row r="18960" spans="1:8" x14ac:dyDescent="0.25">
      <c r="A18960" s="1"/>
      <c r="B18960" s="1" t="s">
        <v>6862</v>
      </c>
      <c r="C18960" s="1" t="s">
        <v>6863</v>
      </c>
      <c r="D18960" s="22" t="str">
        <f>HYPERLINK("https://rhld.insurance.arkansas.gov/NPILookup?Npi=1093161259","1093161259")</f>
        <v>1093161259</v>
      </c>
      <c r="E18960" s="1" t="s">
        <v>24176</v>
      </c>
      <c r="F18960" s="2"/>
      <c r="G18960" s="2"/>
      <c r="H18960" s="2"/>
    </row>
    <row r="18961" spans="1:8" x14ac:dyDescent="0.25">
      <c r="A18961" s="1"/>
      <c r="B18961" s="1" t="s">
        <v>6862</v>
      </c>
      <c r="C18961" s="1" t="s">
        <v>6863</v>
      </c>
      <c r="D18961" s="22" t="str">
        <f>HYPERLINK("https://rhld.insurance.arkansas.gov/NPILookup?Npi=1093379968","1093379968")</f>
        <v>1093379968</v>
      </c>
      <c r="E18961" s="1" t="s">
        <v>32006</v>
      </c>
      <c r="F18961" s="2"/>
      <c r="G18961" s="2"/>
      <c r="H18961" s="2"/>
    </row>
    <row r="18962" spans="1:8" x14ac:dyDescent="0.25">
      <c r="A18962" s="1"/>
      <c r="B18962" s="1" t="s">
        <v>6862</v>
      </c>
      <c r="C18962" s="1" t="s">
        <v>6863</v>
      </c>
      <c r="D18962" s="22" t="str">
        <f>HYPERLINK("https://rhld.insurance.arkansas.gov/NPILookup?Npi=1093380354","1093380354")</f>
        <v>1093380354</v>
      </c>
      <c r="E18962" s="1" t="s">
        <v>24177</v>
      </c>
      <c r="F18962" s="2"/>
      <c r="G18962" s="2"/>
      <c r="H18962" s="2"/>
    </row>
    <row r="18963" spans="1:8" x14ac:dyDescent="0.25">
      <c r="A18963" s="1"/>
      <c r="B18963" s="1" t="s">
        <v>6862</v>
      </c>
      <c r="C18963" s="1" t="s">
        <v>6863</v>
      </c>
      <c r="D18963" s="22" t="str">
        <f>HYPERLINK("https://rhld.insurance.arkansas.gov/NPILookup?Npi=1093474223","1093474223")</f>
        <v>1093474223</v>
      </c>
      <c r="E18963" s="1" t="s">
        <v>6908</v>
      </c>
      <c r="F18963" s="2"/>
      <c r="G18963" s="2"/>
      <c r="H18963" s="2"/>
    </row>
    <row r="18964" spans="1:8" x14ac:dyDescent="0.25">
      <c r="A18964" s="1"/>
      <c r="B18964" s="1" t="s">
        <v>6862</v>
      </c>
      <c r="C18964" s="1" t="s">
        <v>6863</v>
      </c>
      <c r="D18964" s="22" t="str">
        <f>HYPERLINK("https://rhld.insurance.arkansas.gov/NPILookup?Npi=1093480550","1093480550")</f>
        <v>1093480550</v>
      </c>
      <c r="E18964" s="1" t="s">
        <v>24178</v>
      </c>
      <c r="F18964" s="2"/>
      <c r="G18964" s="2"/>
      <c r="H18964" s="2"/>
    </row>
    <row r="18965" spans="1:8" x14ac:dyDescent="0.25">
      <c r="A18965" s="1"/>
      <c r="B18965" s="1" t="s">
        <v>6862</v>
      </c>
      <c r="C18965" s="1" t="s">
        <v>6863</v>
      </c>
      <c r="D18965" s="22" t="str">
        <f>HYPERLINK("https://rhld.insurance.arkansas.gov/NPILookup?Npi=1093770109","1093770109")</f>
        <v>1093770109</v>
      </c>
      <c r="E18965" s="1" t="s">
        <v>24179</v>
      </c>
      <c r="F18965" s="2"/>
      <c r="G18965" s="2"/>
      <c r="H18965" s="2"/>
    </row>
    <row r="18966" spans="1:8" x14ac:dyDescent="0.25">
      <c r="A18966" s="1"/>
      <c r="B18966" s="1" t="s">
        <v>6862</v>
      </c>
      <c r="C18966" s="1" t="s">
        <v>6863</v>
      </c>
      <c r="D18966" s="22" t="str">
        <f>HYPERLINK("https://rhld.insurance.arkansas.gov/NPILookup?Npi=1093816332","1093816332")</f>
        <v>1093816332</v>
      </c>
      <c r="E18966" s="1" t="s">
        <v>24180</v>
      </c>
      <c r="F18966" s="2"/>
      <c r="G18966" s="2"/>
      <c r="H18966" s="2"/>
    </row>
    <row r="18967" spans="1:8" x14ac:dyDescent="0.25">
      <c r="A18967" s="1"/>
      <c r="B18967" s="1" t="s">
        <v>6862</v>
      </c>
      <c r="C18967" s="1" t="s">
        <v>6863</v>
      </c>
      <c r="D18967" s="22" t="str">
        <f>HYPERLINK("https://rhld.insurance.arkansas.gov/NPILookup?Npi=1093934978","1093934978")</f>
        <v>1093934978</v>
      </c>
      <c r="E18967" s="1" t="s">
        <v>12328</v>
      </c>
      <c r="F18967" s="2"/>
      <c r="G18967" s="2"/>
      <c r="H18967" s="2"/>
    </row>
    <row r="18968" spans="1:8" x14ac:dyDescent="0.25">
      <c r="A18968" s="1"/>
      <c r="B18968" s="1" t="s">
        <v>6862</v>
      </c>
      <c r="C18968" s="1" t="s">
        <v>6863</v>
      </c>
      <c r="D18968" s="22" t="str">
        <f>HYPERLINK("https://rhld.insurance.arkansas.gov/NPILookup?Npi=1093958357","1093958357")</f>
        <v>1093958357</v>
      </c>
      <c r="E18968" s="1" t="s">
        <v>6909</v>
      </c>
      <c r="F18968" s="2"/>
      <c r="G18968" s="2"/>
      <c r="H18968" s="2"/>
    </row>
    <row r="18969" spans="1:8" x14ac:dyDescent="0.25">
      <c r="A18969" s="1"/>
      <c r="B18969" s="1" t="s">
        <v>6862</v>
      </c>
      <c r="C18969" s="1" t="s">
        <v>6863</v>
      </c>
      <c r="D18969" s="22" t="str">
        <f>HYPERLINK("https://rhld.insurance.arkansas.gov/NPILookup?Npi=1093995151","1093995151")</f>
        <v>1093995151</v>
      </c>
      <c r="E18969" s="1" t="s">
        <v>10719</v>
      </c>
      <c r="F18969" s="2"/>
      <c r="G18969" s="2"/>
      <c r="H18969" s="2"/>
    </row>
    <row r="18970" spans="1:8" x14ac:dyDescent="0.25">
      <c r="A18970" s="1"/>
      <c r="B18970" s="1" t="s">
        <v>6862</v>
      </c>
      <c r="C18970" s="1" t="s">
        <v>6863</v>
      </c>
      <c r="D18970" s="22" t="str">
        <f>HYPERLINK("https://rhld.insurance.arkansas.gov/NPILookup?Npi=1104063353","1104063353")</f>
        <v>1104063353</v>
      </c>
      <c r="E18970" s="1" t="s">
        <v>6910</v>
      </c>
      <c r="F18970" s="2"/>
      <c r="G18970" s="2"/>
      <c r="H18970" s="2"/>
    </row>
    <row r="18971" spans="1:8" x14ac:dyDescent="0.25">
      <c r="A18971" s="1"/>
      <c r="B18971" s="1" t="s">
        <v>6862</v>
      </c>
      <c r="C18971" s="1" t="s">
        <v>6863</v>
      </c>
      <c r="D18971" s="22" t="str">
        <f>HYPERLINK("https://rhld.insurance.arkansas.gov/NPILookup?Npi=1104256932","1104256932")</f>
        <v>1104256932</v>
      </c>
      <c r="E18971" s="1" t="s">
        <v>24181</v>
      </c>
      <c r="F18971" s="2"/>
      <c r="G18971" s="2"/>
      <c r="H18971" s="2"/>
    </row>
    <row r="18972" spans="1:8" x14ac:dyDescent="0.25">
      <c r="A18972" s="1"/>
      <c r="B18972" s="1" t="s">
        <v>6862</v>
      </c>
      <c r="C18972" s="1" t="s">
        <v>6863</v>
      </c>
      <c r="D18972" s="22" t="str">
        <f>HYPERLINK("https://rhld.insurance.arkansas.gov/NPILookup?Npi=1104264480","1104264480")</f>
        <v>1104264480</v>
      </c>
      <c r="E18972" s="1" t="s">
        <v>24182</v>
      </c>
      <c r="F18972" s="2"/>
      <c r="G18972" s="2"/>
      <c r="H18972" s="2"/>
    </row>
    <row r="18973" spans="1:8" x14ac:dyDescent="0.25">
      <c r="A18973" s="1"/>
      <c r="B18973" s="1" t="s">
        <v>6862</v>
      </c>
      <c r="C18973" s="1" t="s">
        <v>6863</v>
      </c>
      <c r="D18973" s="22" t="str">
        <f>HYPERLINK("https://rhld.insurance.arkansas.gov/NPILookup?Npi=1104343102","1104343102")</f>
        <v>1104343102</v>
      </c>
      <c r="E18973" s="1" t="s">
        <v>24183</v>
      </c>
      <c r="F18973" s="2"/>
      <c r="G18973" s="2"/>
      <c r="H18973" s="2"/>
    </row>
    <row r="18974" spans="1:8" x14ac:dyDescent="0.25">
      <c r="A18974" s="1"/>
      <c r="B18974" s="1" t="s">
        <v>6862</v>
      </c>
      <c r="C18974" s="1" t="s">
        <v>6863</v>
      </c>
      <c r="D18974" s="22" t="str">
        <f>HYPERLINK("https://rhld.insurance.arkansas.gov/NPILookup?Npi=1104366004","1104366004")</f>
        <v>1104366004</v>
      </c>
      <c r="E18974" s="1" t="s">
        <v>24184</v>
      </c>
      <c r="F18974" s="2"/>
      <c r="G18974" s="2"/>
      <c r="H18974" s="2"/>
    </row>
    <row r="18975" spans="1:8" x14ac:dyDescent="0.25">
      <c r="A18975" s="1"/>
      <c r="B18975" s="1" t="s">
        <v>6862</v>
      </c>
      <c r="C18975" s="1" t="s">
        <v>6863</v>
      </c>
      <c r="D18975" s="22" t="str">
        <f>HYPERLINK("https://rhld.insurance.arkansas.gov/NPILookup?Npi=1104410067","1104410067")</f>
        <v>1104410067</v>
      </c>
      <c r="E18975" s="1" t="s">
        <v>24185</v>
      </c>
      <c r="F18975" s="2"/>
      <c r="G18975" s="2"/>
      <c r="H18975" s="2"/>
    </row>
    <row r="18976" spans="1:8" x14ac:dyDescent="0.25">
      <c r="A18976" s="1"/>
      <c r="B18976" s="1" t="s">
        <v>6862</v>
      </c>
      <c r="C18976" s="1" t="s">
        <v>6863</v>
      </c>
      <c r="D18976" s="22" t="str">
        <f>HYPERLINK("https://rhld.insurance.arkansas.gov/NPILookup?Npi=1104424233","1104424233")</f>
        <v>1104424233</v>
      </c>
      <c r="E18976" s="1" t="s">
        <v>24186</v>
      </c>
      <c r="F18976" s="2"/>
      <c r="G18976" s="2"/>
      <c r="H18976" s="2"/>
    </row>
    <row r="18977" spans="1:8" x14ac:dyDescent="0.25">
      <c r="A18977" s="1"/>
      <c r="B18977" s="1" t="s">
        <v>6862</v>
      </c>
      <c r="C18977" s="1" t="s">
        <v>6863</v>
      </c>
      <c r="D18977" s="22" t="str">
        <f>HYPERLINK("https://rhld.insurance.arkansas.gov/NPILookup?Npi=1104472844","1104472844")</f>
        <v>1104472844</v>
      </c>
      <c r="E18977" s="1" t="s">
        <v>6911</v>
      </c>
      <c r="F18977" s="2"/>
      <c r="G18977" s="2"/>
      <c r="H18977" s="2"/>
    </row>
    <row r="18978" spans="1:8" x14ac:dyDescent="0.25">
      <c r="A18978" s="1"/>
      <c r="B18978" s="1" t="s">
        <v>6862</v>
      </c>
      <c r="C18978" s="1" t="s">
        <v>6863</v>
      </c>
      <c r="D18978" s="22" t="str">
        <f>HYPERLINK("https://rhld.insurance.arkansas.gov/NPILookup?Npi=1104473529","1104473529")</f>
        <v>1104473529</v>
      </c>
      <c r="E18978" s="1" t="s">
        <v>24187</v>
      </c>
      <c r="F18978" s="2"/>
      <c r="G18978" s="2"/>
      <c r="H18978" s="2"/>
    </row>
    <row r="18979" spans="1:8" x14ac:dyDescent="0.25">
      <c r="A18979" s="1"/>
      <c r="B18979" s="1" t="s">
        <v>6862</v>
      </c>
      <c r="C18979" s="1" t="s">
        <v>6863</v>
      </c>
      <c r="D18979" s="22" t="str">
        <f>HYPERLINK("https://rhld.insurance.arkansas.gov/NPILookup?Npi=1104522069","1104522069")</f>
        <v>1104522069</v>
      </c>
      <c r="E18979" s="1" t="s">
        <v>24188</v>
      </c>
      <c r="F18979" s="2"/>
      <c r="G18979" s="2"/>
      <c r="H18979" s="2"/>
    </row>
    <row r="18980" spans="1:8" x14ac:dyDescent="0.25">
      <c r="A18980" s="1"/>
      <c r="B18980" s="1" t="s">
        <v>6862</v>
      </c>
      <c r="C18980" s="1" t="s">
        <v>6863</v>
      </c>
      <c r="D18980" s="22" t="str">
        <f>HYPERLINK("https://rhld.insurance.arkansas.gov/NPILookup?Npi=1104544592","1104544592")</f>
        <v>1104544592</v>
      </c>
      <c r="E18980" s="1" t="s">
        <v>12329</v>
      </c>
      <c r="F18980" s="2"/>
      <c r="G18980" s="2"/>
      <c r="H18980" s="2"/>
    </row>
    <row r="18981" spans="1:8" x14ac:dyDescent="0.25">
      <c r="A18981" s="1"/>
      <c r="B18981" s="1" t="s">
        <v>6862</v>
      </c>
      <c r="C18981" s="1" t="s">
        <v>6863</v>
      </c>
      <c r="D18981" s="22" t="str">
        <f>HYPERLINK("https://rhld.insurance.arkansas.gov/NPILookup?Npi=1104547389","1104547389")</f>
        <v>1104547389</v>
      </c>
      <c r="E18981" s="1" t="s">
        <v>12330</v>
      </c>
      <c r="F18981" s="2"/>
      <c r="G18981" s="2"/>
      <c r="H18981" s="2"/>
    </row>
    <row r="18982" spans="1:8" x14ac:dyDescent="0.25">
      <c r="A18982" s="1"/>
      <c r="B18982" s="1" t="s">
        <v>6862</v>
      </c>
      <c r="C18982" s="1" t="s">
        <v>6863</v>
      </c>
      <c r="D18982" s="22" t="str">
        <f>HYPERLINK("https://rhld.insurance.arkansas.gov/NPILookup?Npi=1104593185","1104593185")</f>
        <v>1104593185</v>
      </c>
      <c r="E18982" s="1" t="s">
        <v>6912</v>
      </c>
      <c r="F18982" s="2"/>
      <c r="G18982" s="2"/>
      <c r="H18982" s="2"/>
    </row>
    <row r="18983" spans="1:8" x14ac:dyDescent="0.25">
      <c r="A18983" s="1"/>
      <c r="B18983" s="1" t="s">
        <v>6862</v>
      </c>
      <c r="C18983" s="1" t="s">
        <v>6863</v>
      </c>
      <c r="D18983" s="22" t="str">
        <f>HYPERLINK("https://rhld.insurance.arkansas.gov/NPILookup?Npi=1104593599","1104593599")</f>
        <v>1104593599</v>
      </c>
      <c r="E18983" s="1" t="s">
        <v>12331</v>
      </c>
      <c r="F18983" s="2"/>
      <c r="G18983" s="2"/>
      <c r="H18983" s="2"/>
    </row>
    <row r="18984" spans="1:8" x14ac:dyDescent="0.25">
      <c r="A18984" s="1"/>
      <c r="B18984" s="1" t="s">
        <v>6862</v>
      </c>
      <c r="C18984" s="1" t="s">
        <v>6863</v>
      </c>
      <c r="D18984" s="22" t="str">
        <f>HYPERLINK("https://rhld.insurance.arkansas.gov/NPILookup?Npi=1104604792","1104604792")</f>
        <v>1104604792</v>
      </c>
      <c r="E18984" s="1" t="s">
        <v>6913</v>
      </c>
      <c r="F18984" s="2"/>
      <c r="G18984" s="2"/>
      <c r="H18984" s="2"/>
    </row>
    <row r="18985" spans="1:8" x14ac:dyDescent="0.25">
      <c r="A18985" s="1"/>
      <c r="B18985" s="1" t="s">
        <v>6862</v>
      </c>
      <c r="C18985" s="1" t="s">
        <v>6863</v>
      </c>
      <c r="D18985" s="22" t="str">
        <f>HYPERLINK("https://rhld.insurance.arkansas.gov/NPILookup?Npi=1104640879","1104640879")</f>
        <v>1104640879</v>
      </c>
      <c r="E18985" s="1" t="s">
        <v>32007</v>
      </c>
      <c r="F18985" s="2"/>
      <c r="G18985" s="2"/>
      <c r="H18985" s="2"/>
    </row>
    <row r="18986" spans="1:8" x14ac:dyDescent="0.25">
      <c r="A18986" s="1"/>
      <c r="B18986" s="1" t="s">
        <v>6862</v>
      </c>
      <c r="C18986" s="1" t="s">
        <v>6863</v>
      </c>
      <c r="D18986" s="22" t="str">
        <f>HYPERLINK("https://rhld.insurance.arkansas.gov/NPILookup?Npi=1104649250","1104649250")</f>
        <v>1104649250</v>
      </c>
      <c r="E18986" s="1" t="s">
        <v>32008</v>
      </c>
      <c r="F18986" s="2"/>
      <c r="G18986" s="2"/>
      <c r="H18986" s="2"/>
    </row>
    <row r="18987" spans="1:8" x14ac:dyDescent="0.25">
      <c r="A18987" s="1"/>
      <c r="B18987" s="1" t="s">
        <v>6862</v>
      </c>
      <c r="C18987" s="1" t="s">
        <v>6863</v>
      </c>
      <c r="D18987" s="22" t="str">
        <f>HYPERLINK("https://rhld.insurance.arkansas.gov/NPILookup?Npi=1104659770","1104659770")</f>
        <v>1104659770</v>
      </c>
      <c r="E18987" s="1" t="s">
        <v>24189</v>
      </c>
      <c r="F18987" s="2"/>
      <c r="G18987" s="2"/>
      <c r="H18987" s="2"/>
    </row>
    <row r="18988" spans="1:8" x14ac:dyDescent="0.25">
      <c r="A18988" s="1"/>
      <c r="B18988" s="1" t="s">
        <v>6862</v>
      </c>
      <c r="C18988" s="1" t="s">
        <v>6863</v>
      </c>
      <c r="D18988" s="22" t="str">
        <f>HYPERLINK("https://rhld.insurance.arkansas.gov/NPILookup?Npi=1104819358","1104819358")</f>
        <v>1104819358</v>
      </c>
      <c r="E18988" s="1" t="s">
        <v>24190</v>
      </c>
      <c r="F18988" s="2"/>
      <c r="G18988" s="2"/>
      <c r="H18988" s="2"/>
    </row>
    <row r="18989" spans="1:8" x14ac:dyDescent="0.25">
      <c r="A18989" s="1"/>
      <c r="B18989" s="1" t="s">
        <v>6862</v>
      </c>
      <c r="C18989" s="1" t="s">
        <v>6863</v>
      </c>
      <c r="D18989" s="22" t="str">
        <f>HYPERLINK("https://rhld.insurance.arkansas.gov/NPILookup?Npi=1104860956","1104860956")</f>
        <v>1104860956</v>
      </c>
      <c r="E18989" s="1" t="s">
        <v>24191</v>
      </c>
      <c r="F18989" s="2"/>
      <c r="G18989" s="2"/>
      <c r="H18989" s="2"/>
    </row>
    <row r="18990" spans="1:8" x14ac:dyDescent="0.25">
      <c r="A18990" s="1"/>
      <c r="B18990" s="1" t="s">
        <v>6862</v>
      </c>
      <c r="C18990" s="1" t="s">
        <v>6863</v>
      </c>
      <c r="D18990" s="22" t="str">
        <f>HYPERLINK("https://rhld.insurance.arkansas.gov/NPILookup?Npi=1104872704","1104872704")</f>
        <v>1104872704</v>
      </c>
      <c r="E18990" s="1" t="s">
        <v>12332</v>
      </c>
      <c r="F18990" s="2"/>
      <c r="G18990" s="2"/>
      <c r="H18990" s="2"/>
    </row>
    <row r="18991" spans="1:8" x14ac:dyDescent="0.25">
      <c r="A18991" s="1"/>
      <c r="B18991" s="1" t="s">
        <v>6862</v>
      </c>
      <c r="C18991" s="1" t="s">
        <v>6863</v>
      </c>
      <c r="D18991" s="22" t="str">
        <f>HYPERLINK("https://rhld.insurance.arkansas.gov/NPILookup?Npi=1104972264","1104972264")</f>
        <v>1104972264</v>
      </c>
      <c r="E18991" s="1" t="s">
        <v>24192</v>
      </c>
      <c r="F18991" s="2"/>
      <c r="G18991" s="2"/>
      <c r="H18991" s="2"/>
    </row>
    <row r="18992" spans="1:8" x14ac:dyDescent="0.25">
      <c r="A18992" s="1"/>
      <c r="B18992" s="1" t="s">
        <v>6862</v>
      </c>
      <c r="C18992" s="1" t="s">
        <v>6863</v>
      </c>
      <c r="D18992" s="22" t="str">
        <f>HYPERLINK("https://rhld.insurance.arkansas.gov/NPILookup?Npi=1104977834","1104977834")</f>
        <v>1104977834</v>
      </c>
      <c r="E18992" s="1" t="s">
        <v>12333</v>
      </c>
      <c r="F18992" s="2"/>
      <c r="G18992" s="2"/>
      <c r="H18992" s="2"/>
    </row>
    <row r="18993" spans="1:8" x14ac:dyDescent="0.25">
      <c r="A18993" s="1"/>
      <c r="B18993" s="1" t="s">
        <v>6862</v>
      </c>
      <c r="C18993" s="1" t="s">
        <v>6863</v>
      </c>
      <c r="D18993" s="22" t="str">
        <f>HYPERLINK("https://rhld.insurance.arkansas.gov/NPILookup?Npi=1104988674","1104988674")</f>
        <v>1104988674</v>
      </c>
      <c r="E18993" s="1" t="s">
        <v>24193</v>
      </c>
      <c r="F18993" s="2"/>
      <c r="G18993" s="2"/>
      <c r="H18993" s="2"/>
    </row>
    <row r="18994" spans="1:8" x14ac:dyDescent="0.25">
      <c r="A18994" s="1"/>
      <c r="B18994" s="1" t="s">
        <v>6862</v>
      </c>
      <c r="C18994" s="1" t="s">
        <v>6863</v>
      </c>
      <c r="D18994" s="22" t="str">
        <f>HYPERLINK("https://rhld.insurance.arkansas.gov/NPILookup?Npi=1114037009","1114037009")</f>
        <v>1114037009</v>
      </c>
      <c r="E18994" s="1" t="s">
        <v>24194</v>
      </c>
      <c r="F18994" s="2"/>
      <c r="G18994" s="2"/>
      <c r="H18994" s="2"/>
    </row>
    <row r="18995" spans="1:8" x14ac:dyDescent="0.25">
      <c r="A18995" s="1"/>
      <c r="B18995" s="1" t="s">
        <v>6862</v>
      </c>
      <c r="C18995" s="1" t="s">
        <v>6863</v>
      </c>
      <c r="D18995" s="22" t="str">
        <f>HYPERLINK("https://rhld.insurance.arkansas.gov/NPILookup?Npi=1114159688","1114159688")</f>
        <v>1114159688</v>
      </c>
      <c r="E18995" s="1" t="s">
        <v>24195</v>
      </c>
      <c r="F18995" s="2"/>
      <c r="G18995" s="2"/>
      <c r="H18995" s="2"/>
    </row>
    <row r="18996" spans="1:8" x14ac:dyDescent="0.25">
      <c r="A18996" s="1"/>
      <c r="B18996" s="1" t="s">
        <v>6862</v>
      </c>
      <c r="C18996" s="1" t="s">
        <v>6863</v>
      </c>
      <c r="D18996" s="22" t="str">
        <f>HYPERLINK("https://rhld.insurance.arkansas.gov/NPILookup?Npi=1114173960","1114173960")</f>
        <v>1114173960</v>
      </c>
      <c r="E18996" s="1" t="s">
        <v>24196</v>
      </c>
      <c r="F18996" s="2"/>
      <c r="G18996" s="2"/>
      <c r="H18996" s="2"/>
    </row>
    <row r="18997" spans="1:8" x14ac:dyDescent="0.25">
      <c r="A18997" s="1"/>
      <c r="B18997" s="1" t="s">
        <v>6862</v>
      </c>
      <c r="C18997" s="1" t="s">
        <v>6863</v>
      </c>
      <c r="D18997" s="22" t="str">
        <f>HYPERLINK("https://rhld.insurance.arkansas.gov/NPILookup?Npi=1114176047","1114176047")</f>
        <v>1114176047</v>
      </c>
      <c r="E18997" s="1" t="s">
        <v>24197</v>
      </c>
      <c r="F18997" s="2"/>
      <c r="G18997" s="2"/>
      <c r="H18997" s="2"/>
    </row>
    <row r="18998" spans="1:8" x14ac:dyDescent="0.25">
      <c r="A18998" s="1"/>
      <c r="B18998" s="1" t="s">
        <v>6862</v>
      </c>
      <c r="C18998" s="1" t="s">
        <v>6863</v>
      </c>
      <c r="D18998" s="22" t="str">
        <f>HYPERLINK("https://rhld.insurance.arkansas.gov/NPILookup?Npi=1114223724","1114223724")</f>
        <v>1114223724</v>
      </c>
      <c r="E18998" s="1" t="s">
        <v>6914</v>
      </c>
      <c r="F18998" s="2"/>
      <c r="G18998" s="2"/>
      <c r="H18998" s="2"/>
    </row>
    <row r="18999" spans="1:8" x14ac:dyDescent="0.25">
      <c r="A18999" s="1"/>
      <c r="B18999" s="1" t="s">
        <v>6862</v>
      </c>
      <c r="C18999" s="1" t="s">
        <v>6863</v>
      </c>
      <c r="D18999" s="22" t="str">
        <f>HYPERLINK("https://rhld.insurance.arkansas.gov/NPILookup?Npi=1114247418","1114247418")</f>
        <v>1114247418</v>
      </c>
      <c r="E18999" s="1" t="s">
        <v>6915</v>
      </c>
      <c r="F18999" s="2"/>
      <c r="G18999" s="2"/>
      <c r="H18999" s="2"/>
    </row>
    <row r="19000" spans="1:8" x14ac:dyDescent="0.25">
      <c r="A19000" s="1"/>
      <c r="B19000" s="1" t="s">
        <v>6862</v>
      </c>
      <c r="C19000" s="1" t="s">
        <v>6863</v>
      </c>
      <c r="D19000" s="22" t="str">
        <f>HYPERLINK("https://rhld.insurance.arkansas.gov/NPILookup?Npi=1114291838","1114291838")</f>
        <v>1114291838</v>
      </c>
      <c r="E19000" s="1" t="s">
        <v>6916</v>
      </c>
      <c r="F19000" s="2"/>
      <c r="G19000" s="2"/>
      <c r="H19000" s="2"/>
    </row>
    <row r="19001" spans="1:8" x14ac:dyDescent="0.25">
      <c r="A19001" s="1"/>
      <c r="B19001" s="1" t="s">
        <v>6862</v>
      </c>
      <c r="C19001" s="1" t="s">
        <v>6863</v>
      </c>
      <c r="D19001" s="22" t="str">
        <f>HYPERLINK("https://rhld.insurance.arkansas.gov/NPILookup?Npi=1114324142","1114324142")</f>
        <v>1114324142</v>
      </c>
      <c r="E19001" s="1" t="s">
        <v>24198</v>
      </c>
      <c r="F19001" s="2"/>
      <c r="G19001" s="2"/>
      <c r="H19001" s="2"/>
    </row>
    <row r="19002" spans="1:8" x14ac:dyDescent="0.25">
      <c r="A19002" s="1"/>
      <c r="B19002" s="1" t="s">
        <v>6862</v>
      </c>
      <c r="C19002" s="1" t="s">
        <v>6863</v>
      </c>
      <c r="D19002" s="22" t="str">
        <f>HYPERLINK("https://rhld.insurance.arkansas.gov/NPILookup?Npi=1114326550","1114326550")</f>
        <v>1114326550</v>
      </c>
      <c r="E19002" s="1" t="s">
        <v>12334</v>
      </c>
      <c r="F19002" s="2"/>
      <c r="G19002" s="2"/>
      <c r="H19002" s="2"/>
    </row>
    <row r="19003" spans="1:8" x14ac:dyDescent="0.25">
      <c r="A19003" s="1"/>
      <c r="B19003" s="1" t="s">
        <v>6862</v>
      </c>
      <c r="C19003" s="1" t="s">
        <v>6863</v>
      </c>
      <c r="D19003" s="22" t="str">
        <f>HYPERLINK("https://rhld.insurance.arkansas.gov/NPILookup?Npi=1114500998","1114500998")</f>
        <v>1114500998</v>
      </c>
      <c r="E19003" s="1" t="s">
        <v>24199</v>
      </c>
      <c r="F19003" s="2"/>
      <c r="G19003" s="2"/>
      <c r="H19003" s="2"/>
    </row>
    <row r="19004" spans="1:8" x14ac:dyDescent="0.25">
      <c r="A19004" s="1"/>
      <c r="B19004" s="1" t="s">
        <v>6862</v>
      </c>
      <c r="C19004" s="1" t="s">
        <v>6863</v>
      </c>
      <c r="D19004" s="22" t="str">
        <f>HYPERLINK("https://rhld.insurance.arkansas.gov/NPILookup?Npi=1114548054","1114548054")</f>
        <v>1114548054</v>
      </c>
      <c r="E19004" s="1" t="s">
        <v>12335</v>
      </c>
      <c r="F19004" s="2"/>
      <c r="G19004" s="2"/>
      <c r="H19004" s="2"/>
    </row>
    <row r="19005" spans="1:8" x14ac:dyDescent="0.25">
      <c r="A19005" s="1"/>
      <c r="B19005" s="1" t="s">
        <v>6862</v>
      </c>
      <c r="C19005" s="1" t="s">
        <v>6863</v>
      </c>
      <c r="D19005" s="22" t="str">
        <f>HYPERLINK("https://rhld.insurance.arkansas.gov/NPILookup?Npi=1114558285","1114558285")</f>
        <v>1114558285</v>
      </c>
      <c r="E19005" s="1" t="s">
        <v>24200</v>
      </c>
      <c r="F19005" s="2"/>
      <c r="G19005" s="2"/>
      <c r="H19005" s="2"/>
    </row>
    <row r="19006" spans="1:8" x14ac:dyDescent="0.25">
      <c r="A19006" s="1"/>
      <c r="B19006" s="1" t="s">
        <v>6862</v>
      </c>
      <c r="C19006" s="1" t="s">
        <v>6863</v>
      </c>
      <c r="D19006" s="22" t="str">
        <f>HYPERLINK("https://rhld.insurance.arkansas.gov/NPILookup?Npi=1114574142","1114574142")</f>
        <v>1114574142</v>
      </c>
      <c r="E19006" s="1" t="s">
        <v>24201</v>
      </c>
      <c r="F19006" s="2"/>
      <c r="G19006" s="2"/>
      <c r="H19006" s="2"/>
    </row>
    <row r="19007" spans="1:8" x14ac:dyDescent="0.25">
      <c r="A19007" s="1"/>
      <c r="B19007" s="1" t="s">
        <v>6862</v>
      </c>
      <c r="C19007" s="1" t="s">
        <v>6863</v>
      </c>
      <c r="D19007" s="22" t="str">
        <f>HYPERLINK("https://rhld.insurance.arkansas.gov/NPILookup?Npi=1114608957","1114608957")</f>
        <v>1114608957</v>
      </c>
      <c r="E19007" s="1" t="s">
        <v>5674</v>
      </c>
      <c r="F19007" s="2"/>
      <c r="G19007" s="2"/>
      <c r="H19007" s="2"/>
    </row>
    <row r="19008" spans="1:8" x14ac:dyDescent="0.25">
      <c r="A19008" s="1"/>
      <c r="B19008" s="1" t="s">
        <v>6862</v>
      </c>
      <c r="C19008" s="1" t="s">
        <v>6863</v>
      </c>
      <c r="D19008" s="22" t="str">
        <f>HYPERLINK("https://rhld.insurance.arkansas.gov/NPILookup?Npi=1114609898","1114609898")</f>
        <v>1114609898</v>
      </c>
      <c r="E19008" s="1" t="s">
        <v>6918</v>
      </c>
      <c r="F19008" s="2"/>
      <c r="G19008" s="2"/>
      <c r="H19008" s="2"/>
    </row>
    <row r="19009" spans="1:8" x14ac:dyDescent="0.25">
      <c r="A19009" s="1"/>
      <c r="B19009" s="1" t="s">
        <v>6862</v>
      </c>
      <c r="C19009" s="1" t="s">
        <v>6863</v>
      </c>
      <c r="D19009" s="22" t="str">
        <f>HYPERLINK("https://rhld.insurance.arkansas.gov/NPILookup?Npi=1114623543","1114623543")</f>
        <v>1114623543</v>
      </c>
      <c r="E19009" s="1" t="s">
        <v>24202</v>
      </c>
      <c r="F19009" s="2"/>
      <c r="G19009" s="2"/>
      <c r="H19009" s="2"/>
    </row>
    <row r="19010" spans="1:8" x14ac:dyDescent="0.25">
      <c r="A19010" s="1"/>
      <c r="B19010" s="1" t="s">
        <v>6862</v>
      </c>
      <c r="C19010" s="1" t="s">
        <v>6863</v>
      </c>
      <c r="D19010" s="22" t="str">
        <f>HYPERLINK("https://rhld.insurance.arkansas.gov/NPILookup?Npi=1114693165","1114693165")</f>
        <v>1114693165</v>
      </c>
      <c r="E19010" s="1" t="s">
        <v>24203</v>
      </c>
      <c r="F19010" s="2"/>
      <c r="G19010" s="2"/>
      <c r="H19010" s="2"/>
    </row>
    <row r="19011" spans="1:8" x14ac:dyDescent="0.25">
      <c r="A19011" s="1"/>
      <c r="B19011" s="1" t="s">
        <v>6862</v>
      </c>
      <c r="C19011" s="1" t="s">
        <v>6863</v>
      </c>
      <c r="D19011" s="22" t="str">
        <f>HYPERLINK("https://rhld.insurance.arkansas.gov/NPILookup?Npi=1114901451","1114901451")</f>
        <v>1114901451</v>
      </c>
      <c r="E19011" s="1" t="s">
        <v>24204</v>
      </c>
      <c r="F19011" s="2"/>
      <c r="G19011" s="2"/>
      <c r="H19011" s="2"/>
    </row>
    <row r="19012" spans="1:8" x14ac:dyDescent="0.25">
      <c r="A19012" s="1"/>
      <c r="B19012" s="1" t="s">
        <v>6862</v>
      </c>
      <c r="C19012" s="1" t="s">
        <v>6863</v>
      </c>
      <c r="D19012" s="22" t="str">
        <f>HYPERLINK("https://rhld.insurance.arkansas.gov/NPILookup?Npi=1124017058","1124017058")</f>
        <v>1124017058</v>
      </c>
      <c r="E19012" s="1" t="s">
        <v>12336</v>
      </c>
      <c r="F19012" s="2"/>
      <c r="G19012" s="2"/>
      <c r="H19012" s="2"/>
    </row>
    <row r="19013" spans="1:8" x14ac:dyDescent="0.25">
      <c r="A19013" s="1"/>
      <c r="B19013" s="1" t="s">
        <v>6862</v>
      </c>
      <c r="C19013" s="1" t="s">
        <v>6863</v>
      </c>
      <c r="D19013" s="22" t="str">
        <f>HYPERLINK("https://rhld.insurance.arkansas.gov/NPILookup?Npi=1124119011","1124119011")</f>
        <v>1124119011</v>
      </c>
      <c r="E19013" s="1" t="s">
        <v>24205</v>
      </c>
      <c r="F19013" s="2"/>
      <c r="G19013" s="2"/>
      <c r="H19013" s="2"/>
    </row>
    <row r="19014" spans="1:8" x14ac:dyDescent="0.25">
      <c r="A19014" s="1"/>
      <c r="B19014" s="1" t="s">
        <v>6862</v>
      </c>
      <c r="C19014" s="1" t="s">
        <v>6863</v>
      </c>
      <c r="D19014" s="22" t="str">
        <f>HYPERLINK("https://rhld.insurance.arkansas.gov/NPILookup?Npi=1124121736","1124121736")</f>
        <v>1124121736</v>
      </c>
      <c r="E19014" s="1" t="s">
        <v>6919</v>
      </c>
      <c r="F19014" s="2"/>
      <c r="G19014" s="2"/>
      <c r="H19014" s="2"/>
    </row>
    <row r="19015" spans="1:8" x14ac:dyDescent="0.25">
      <c r="A19015" s="1"/>
      <c r="B19015" s="1" t="s">
        <v>6862</v>
      </c>
      <c r="C19015" s="1" t="s">
        <v>6863</v>
      </c>
      <c r="D19015" s="22" t="str">
        <f>HYPERLINK("https://rhld.insurance.arkansas.gov/NPILookup?Npi=1124177126","1124177126")</f>
        <v>1124177126</v>
      </c>
      <c r="E19015" s="1" t="s">
        <v>24206</v>
      </c>
      <c r="F19015" s="2"/>
      <c r="G19015" s="2"/>
      <c r="H19015" s="2"/>
    </row>
    <row r="19016" spans="1:8" x14ac:dyDescent="0.25">
      <c r="A19016" s="1"/>
      <c r="B19016" s="1" t="s">
        <v>6862</v>
      </c>
      <c r="C19016" s="1" t="s">
        <v>6863</v>
      </c>
      <c r="D19016" s="22" t="str">
        <f>HYPERLINK("https://rhld.insurance.arkansas.gov/NPILookup?Npi=1124252275","1124252275")</f>
        <v>1124252275</v>
      </c>
      <c r="E19016" s="1" t="s">
        <v>24207</v>
      </c>
      <c r="F19016" s="2"/>
      <c r="G19016" s="2"/>
      <c r="H19016" s="2"/>
    </row>
    <row r="19017" spans="1:8" x14ac:dyDescent="0.25">
      <c r="A19017" s="1"/>
      <c r="B19017" s="1" t="s">
        <v>6862</v>
      </c>
      <c r="C19017" s="1" t="s">
        <v>6863</v>
      </c>
      <c r="D19017" s="22" t="str">
        <f>HYPERLINK("https://rhld.insurance.arkansas.gov/NPILookup?Npi=1124291281","1124291281")</f>
        <v>1124291281</v>
      </c>
      <c r="E19017" s="1" t="s">
        <v>32009</v>
      </c>
      <c r="F19017" s="2"/>
      <c r="G19017" s="2"/>
      <c r="H19017" s="2"/>
    </row>
    <row r="19018" spans="1:8" x14ac:dyDescent="0.25">
      <c r="A19018" s="1"/>
      <c r="B19018" s="1" t="s">
        <v>6862</v>
      </c>
      <c r="C19018" s="1" t="s">
        <v>6863</v>
      </c>
      <c r="D19018" s="22" t="str">
        <f>HYPERLINK("https://rhld.insurance.arkansas.gov/NPILookup?Npi=1124341532","1124341532")</f>
        <v>1124341532</v>
      </c>
      <c r="E19018" s="1" t="s">
        <v>24208</v>
      </c>
      <c r="F19018" s="2"/>
      <c r="G19018" s="2"/>
      <c r="H19018" s="2"/>
    </row>
    <row r="19019" spans="1:8" x14ac:dyDescent="0.25">
      <c r="A19019" s="1"/>
      <c r="B19019" s="1" t="s">
        <v>6862</v>
      </c>
      <c r="C19019" s="1" t="s">
        <v>6863</v>
      </c>
      <c r="D19019" s="22" t="str">
        <f>HYPERLINK("https://rhld.insurance.arkansas.gov/NPILookup?Npi=1124496393","1124496393")</f>
        <v>1124496393</v>
      </c>
      <c r="E19019" s="1" t="s">
        <v>8734</v>
      </c>
      <c r="F19019" s="2"/>
      <c r="G19019" s="2"/>
      <c r="H19019" s="2"/>
    </row>
    <row r="19020" spans="1:8" x14ac:dyDescent="0.25">
      <c r="A19020" s="1"/>
      <c r="B19020" s="1" t="s">
        <v>6862</v>
      </c>
      <c r="C19020" s="1" t="s">
        <v>6863</v>
      </c>
      <c r="D19020" s="22" t="str">
        <f>HYPERLINK("https://rhld.insurance.arkansas.gov/NPILookup?Npi=1124531884","1124531884")</f>
        <v>1124531884</v>
      </c>
      <c r="E19020" s="1" t="s">
        <v>24209</v>
      </c>
      <c r="F19020" s="2"/>
      <c r="G19020" s="2"/>
      <c r="H19020" s="2"/>
    </row>
    <row r="19021" spans="1:8" x14ac:dyDescent="0.25">
      <c r="A19021" s="1"/>
      <c r="B19021" s="1" t="s">
        <v>6862</v>
      </c>
      <c r="C19021" s="1" t="s">
        <v>6863</v>
      </c>
      <c r="D19021" s="22" t="str">
        <f>HYPERLINK("https://rhld.insurance.arkansas.gov/NPILookup?Npi=1124657705","1124657705")</f>
        <v>1124657705</v>
      </c>
      <c r="E19021" s="1" t="s">
        <v>24210</v>
      </c>
      <c r="F19021" s="2"/>
      <c r="G19021" s="2"/>
      <c r="H19021" s="2"/>
    </row>
    <row r="19022" spans="1:8" x14ac:dyDescent="0.25">
      <c r="A19022" s="1"/>
      <c r="B19022" s="1" t="s">
        <v>6862</v>
      </c>
      <c r="C19022" s="1" t="s">
        <v>6863</v>
      </c>
      <c r="D19022" s="22" t="str">
        <f>HYPERLINK("https://rhld.insurance.arkansas.gov/NPILookup?Npi=1124675434","1124675434")</f>
        <v>1124675434</v>
      </c>
      <c r="E19022" s="1" t="s">
        <v>6920</v>
      </c>
      <c r="F19022" s="2"/>
      <c r="G19022" s="2"/>
      <c r="H19022" s="2"/>
    </row>
    <row r="19023" spans="1:8" x14ac:dyDescent="0.25">
      <c r="A19023" s="1"/>
      <c r="B19023" s="1" t="s">
        <v>6862</v>
      </c>
      <c r="C19023" s="1" t="s">
        <v>6863</v>
      </c>
      <c r="D19023" s="22" t="str">
        <f>HYPERLINK("https://rhld.insurance.arkansas.gov/NPILookup?Npi=1124678115","1124678115")</f>
        <v>1124678115</v>
      </c>
      <c r="E19023" s="1" t="s">
        <v>5510</v>
      </c>
      <c r="F19023" s="2"/>
      <c r="G19023" s="2"/>
      <c r="H19023" s="2"/>
    </row>
    <row r="19024" spans="1:8" x14ac:dyDescent="0.25">
      <c r="A19024" s="1"/>
      <c r="B19024" s="1" t="s">
        <v>6862</v>
      </c>
      <c r="C19024" s="1" t="s">
        <v>6863</v>
      </c>
      <c r="D19024" s="22" t="str">
        <f>HYPERLINK("https://rhld.insurance.arkansas.gov/NPILookup?Npi=1124687496","1124687496")</f>
        <v>1124687496</v>
      </c>
      <c r="E19024" s="1" t="s">
        <v>24211</v>
      </c>
      <c r="F19024" s="2"/>
      <c r="G19024" s="2"/>
      <c r="H19024" s="2"/>
    </row>
    <row r="19025" spans="1:8" x14ac:dyDescent="0.25">
      <c r="A19025" s="1"/>
      <c r="B19025" s="1" t="s">
        <v>6862</v>
      </c>
      <c r="C19025" s="1" t="s">
        <v>6863</v>
      </c>
      <c r="D19025" s="22" t="str">
        <f>HYPERLINK("https://rhld.insurance.arkansas.gov/NPILookup?Npi=1124727235","1124727235")</f>
        <v>1124727235</v>
      </c>
      <c r="E19025" s="1" t="s">
        <v>24212</v>
      </c>
      <c r="F19025" s="2"/>
      <c r="G19025" s="2"/>
      <c r="H19025" s="2"/>
    </row>
    <row r="19026" spans="1:8" x14ac:dyDescent="0.25">
      <c r="A19026" s="1"/>
      <c r="B19026" s="1" t="s">
        <v>6862</v>
      </c>
      <c r="C19026" s="1" t="s">
        <v>6863</v>
      </c>
      <c r="D19026" s="22" t="str">
        <f>HYPERLINK("https://rhld.insurance.arkansas.gov/NPILookup?Npi=1124766753","1124766753")</f>
        <v>1124766753</v>
      </c>
      <c r="E19026" s="1" t="s">
        <v>24213</v>
      </c>
      <c r="F19026" s="2"/>
      <c r="G19026" s="2"/>
      <c r="H19026" s="2"/>
    </row>
    <row r="19027" spans="1:8" x14ac:dyDescent="0.25">
      <c r="A19027" s="1"/>
      <c r="B19027" s="1" t="s">
        <v>6862</v>
      </c>
      <c r="C19027" s="1" t="s">
        <v>6863</v>
      </c>
      <c r="D19027" s="22" t="str">
        <f>HYPERLINK("https://rhld.insurance.arkansas.gov/NPILookup?Npi=1124768692","1124768692")</f>
        <v>1124768692</v>
      </c>
      <c r="E19027" s="1" t="s">
        <v>12337</v>
      </c>
      <c r="F19027" s="2"/>
      <c r="G19027" s="2"/>
      <c r="H19027" s="2"/>
    </row>
    <row r="19028" spans="1:8" x14ac:dyDescent="0.25">
      <c r="A19028" s="1"/>
      <c r="B19028" s="1" t="s">
        <v>6862</v>
      </c>
      <c r="C19028" s="1" t="s">
        <v>6863</v>
      </c>
      <c r="D19028" s="22" t="str">
        <f>HYPERLINK("https://rhld.insurance.arkansas.gov/NPILookup?Npi=1124795604","1124795604")</f>
        <v>1124795604</v>
      </c>
      <c r="E19028" s="1" t="s">
        <v>24214</v>
      </c>
      <c r="F19028" s="2"/>
      <c r="G19028" s="2"/>
      <c r="H19028" s="2"/>
    </row>
    <row r="19029" spans="1:8" x14ac:dyDescent="0.25">
      <c r="A19029" s="1"/>
      <c r="B19029" s="1" t="s">
        <v>6862</v>
      </c>
      <c r="C19029" s="1" t="s">
        <v>6863</v>
      </c>
      <c r="D19029" s="22" t="str">
        <f>HYPERLINK("https://rhld.insurance.arkansas.gov/NPILookup?Npi=1124857719","1124857719")</f>
        <v>1124857719</v>
      </c>
      <c r="E19029" s="1" t="s">
        <v>32010</v>
      </c>
      <c r="F19029" s="2"/>
      <c r="G19029" s="2"/>
      <c r="H19029" s="2"/>
    </row>
    <row r="19030" spans="1:8" x14ac:dyDescent="0.25">
      <c r="A19030" s="1"/>
      <c r="B19030" s="1" t="s">
        <v>6862</v>
      </c>
      <c r="C19030" s="1" t="s">
        <v>6863</v>
      </c>
      <c r="D19030" s="22" t="str">
        <f>HYPERLINK("https://rhld.insurance.arkansas.gov/NPILookup?Npi=1134100431","1134100431")</f>
        <v>1134100431</v>
      </c>
      <c r="E19030" s="1" t="s">
        <v>24215</v>
      </c>
      <c r="F19030" s="2"/>
      <c r="G19030" s="2"/>
      <c r="H19030" s="2"/>
    </row>
    <row r="19031" spans="1:8" x14ac:dyDescent="0.25">
      <c r="A19031" s="1"/>
      <c r="B19031" s="1" t="s">
        <v>6862</v>
      </c>
      <c r="C19031" s="1" t="s">
        <v>6863</v>
      </c>
      <c r="D19031" s="22" t="str">
        <f>HYPERLINK("https://rhld.insurance.arkansas.gov/NPILookup?Npi=1134249634","1134249634")</f>
        <v>1134249634</v>
      </c>
      <c r="E19031" s="1" t="s">
        <v>6921</v>
      </c>
      <c r="F19031" s="2"/>
      <c r="G19031" s="2"/>
      <c r="H19031" s="2"/>
    </row>
    <row r="19032" spans="1:8" x14ac:dyDescent="0.25">
      <c r="A19032" s="1"/>
      <c r="B19032" s="1" t="s">
        <v>6862</v>
      </c>
      <c r="C19032" s="1" t="s">
        <v>6863</v>
      </c>
      <c r="D19032" s="22" t="str">
        <f>HYPERLINK("https://rhld.insurance.arkansas.gov/NPILookup?Npi=1134465925","1134465925")</f>
        <v>1134465925</v>
      </c>
      <c r="E19032" s="1" t="s">
        <v>24216</v>
      </c>
      <c r="F19032" s="2"/>
      <c r="G19032" s="2"/>
      <c r="H19032" s="2"/>
    </row>
    <row r="19033" spans="1:8" x14ac:dyDescent="0.25">
      <c r="A19033" s="1"/>
      <c r="B19033" s="1" t="s">
        <v>6862</v>
      </c>
      <c r="C19033" s="1" t="s">
        <v>6863</v>
      </c>
      <c r="D19033" s="22" t="str">
        <f>HYPERLINK("https://rhld.insurance.arkansas.gov/NPILookup?Npi=1134531833","1134531833")</f>
        <v>1134531833</v>
      </c>
      <c r="E19033" s="1" t="s">
        <v>24217</v>
      </c>
      <c r="F19033" s="2"/>
      <c r="G19033" s="2"/>
      <c r="H19033" s="2"/>
    </row>
    <row r="19034" spans="1:8" x14ac:dyDescent="0.25">
      <c r="A19034" s="1"/>
      <c r="B19034" s="1" t="s">
        <v>6862</v>
      </c>
      <c r="C19034" s="1" t="s">
        <v>6863</v>
      </c>
      <c r="D19034" s="22" t="str">
        <f>HYPERLINK("https://rhld.insurance.arkansas.gov/NPILookup?Npi=1134639222","1134639222")</f>
        <v>1134639222</v>
      </c>
      <c r="E19034" s="1" t="s">
        <v>24218</v>
      </c>
      <c r="F19034" s="2"/>
      <c r="G19034" s="2"/>
      <c r="H19034" s="2"/>
    </row>
    <row r="19035" spans="1:8" x14ac:dyDescent="0.25">
      <c r="A19035" s="1"/>
      <c r="B19035" s="1" t="s">
        <v>6862</v>
      </c>
      <c r="C19035" s="1" t="s">
        <v>6863</v>
      </c>
      <c r="D19035" s="22" t="str">
        <f>HYPERLINK("https://rhld.insurance.arkansas.gov/NPILookup?Npi=1134648074","1134648074")</f>
        <v>1134648074</v>
      </c>
      <c r="E19035" s="1" t="s">
        <v>24219</v>
      </c>
      <c r="F19035" s="2"/>
      <c r="G19035" s="2"/>
      <c r="H19035" s="2"/>
    </row>
    <row r="19036" spans="1:8" x14ac:dyDescent="0.25">
      <c r="A19036" s="1"/>
      <c r="B19036" s="1" t="s">
        <v>6862</v>
      </c>
      <c r="C19036" s="1" t="s">
        <v>6863</v>
      </c>
      <c r="D19036" s="22" t="str">
        <f>HYPERLINK("https://rhld.insurance.arkansas.gov/NPILookup?Npi=1134672090","1134672090")</f>
        <v>1134672090</v>
      </c>
      <c r="E19036" s="1" t="s">
        <v>12338</v>
      </c>
      <c r="F19036" s="2"/>
      <c r="G19036" s="2"/>
      <c r="H19036" s="2"/>
    </row>
    <row r="19037" spans="1:8" x14ac:dyDescent="0.25">
      <c r="A19037" s="1"/>
      <c r="B19037" s="1" t="s">
        <v>6862</v>
      </c>
      <c r="C19037" s="1" t="s">
        <v>6863</v>
      </c>
      <c r="D19037" s="22" t="str">
        <f>HYPERLINK("https://rhld.insurance.arkansas.gov/NPILookup?Npi=1134687148","1134687148")</f>
        <v>1134687148</v>
      </c>
      <c r="E19037" s="1" t="s">
        <v>24220</v>
      </c>
      <c r="F19037" s="2"/>
      <c r="G19037" s="2"/>
      <c r="H19037" s="2"/>
    </row>
    <row r="19038" spans="1:8" x14ac:dyDescent="0.25">
      <c r="A19038" s="1"/>
      <c r="B19038" s="1" t="s">
        <v>6862</v>
      </c>
      <c r="C19038" s="1" t="s">
        <v>6863</v>
      </c>
      <c r="D19038" s="22" t="str">
        <f>HYPERLINK("https://rhld.insurance.arkansas.gov/NPILookup?Npi=1134695125","1134695125")</f>
        <v>1134695125</v>
      </c>
      <c r="E19038" s="1" t="s">
        <v>24221</v>
      </c>
      <c r="F19038" s="2"/>
      <c r="G19038" s="2"/>
      <c r="H19038" s="2"/>
    </row>
    <row r="19039" spans="1:8" x14ac:dyDescent="0.25">
      <c r="A19039" s="1"/>
      <c r="B19039" s="1" t="s">
        <v>6862</v>
      </c>
      <c r="C19039" s="1" t="s">
        <v>6863</v>
      </c>
      <c r="D19039" s="22" t="str">
        <f>HYPERLINK("https://rhld.insurance.arkansas.gov/NPILookup?Npi=1134734767","1134734767")</f>
        <v>1134734767</v>
      </c>
      <c r="E19039" s="1" t="s">
        <v>24222</v>
      </c>
      <c r="F19039" s="2"/>
      <c r="G19039" s="2"/>
      <c r="H19039" s="2"/>
    </row>
    <row r="19040" spans="1:8" x14ac:dyDescent="0.25">
      <c r="A19040" s="1"/>
      <c r="B19040" s="1" t="s">
        <v>6862</v>
      </c>
      <c r="C19040" s="1" t="s">
        <v>6863</v>
      </c>
      <c r="D19040" s="22" t="str">
        <f>HYPERLINK("https://rhld.insurance.arkansas.gov/NPILookup?Npi=1134745235","1134745235")</f>
        <v>1134745235</v>
      </c>
      <c r="E19040" s="1" t="s">
        <v>24223</v>
      </c>
      <c r="F19040" s="2"/>
      <c r="G19040" s="2"/>
      <c r="H19040" s="2"/>
    </row>
    <row r="19041" spans="1:8" x14ac:dyDescent="0.25">
      <c r="A19041" s="1"/>
      <c r="B19041" s="1" t="s">
        <v>6862</v>
      </c>
      <c r="C19041" s="1" t="s">
        <v>6863</v>
      </c>
      <c r="D19041" s="22" t="str">
        <f>HYPERLINK("https://rhld.insurance.arkansas.gov/NPILookup?Npi=1134771223","1134771223")</f>
        <v>1134771223</v>
      </c>
      <c r="E19041" s="1" t="s">
        <v>12339</v>
      </c>
      <c r="F19041" s="2"/>
      <c r="G19041" s="2"/>
      <c r="H19041" s="2"/>
    </row>
    <row r="19042" spans="1:8" x14ac:dyDescent="0.25">
      <c r="A19042" s="1"/>
      <c r="B19042" s="1" t="s">
        <v>6862</v>
      </c>
      <c r="C19042" s="1" t="s">
        <v>6863</v>
      </c>
      <c r="D19042" s="22" t="str">
        <f>HYPERLINK("https://rhld.insurance.arkansas.gov/NPILookup?Npi=1134837172","1134837172")</f>
        <v>1134837172</v>
      </c>
      <c r="E19042" s="1" t="s">
        <v>24224</v>
      </c>
      <c r="F19042" s="2"/>
      <c r="G19042" s="2"/>
      <c r="H19042" s="2"/>
    </row>
    <row r="19043" spans="1:8" x14ac:dyDescent="0.25">
      <c r="A19043" s="1"/>
      <c r="B19043" s="1" t="s">
        <v>6862</v>
      </c>
      <c r="C19043" s="1" t="s">
        <v>6863</v>
      </c>
      <c r="D19043" s="22" t="str">
        <f>HYPERLINK("https://rhld.insurance.arkansas.gov/NPILookup?Npi=1134837974","1134837974")</f>
        <v>1134837974</v>
      </c>
      <c r="E19043" s="1" t="s">
        <v>6697</v>
      </c>
      <c r="F19043" s="2"/>
      <c r="G19043" s="2"/>
      <c r="H19043" s="2"/>
    </row>
    <row r="19044" spans="1:8" x14ac:dyDescent="0.25">
      <c r="A19044" s="1"/>
      <c r="B19044" s="1" t="s">
        <v>6862</v>
      </c>
      <c r="C19044" s="1" t="s">
        <v>6863</v>
      </c>
      <c r="D19044" s="22" t="str">
        <f>HYPERLINK("https://rhld.insurance.arkansas.gov/NPILookup?Npi=1134843774","1134843774")</f>
        <v>1134843774</v>
      </c>
      <c r="E19044" s="1" t="s">
        <v>24225</v>
      </c>
      <c r="F19044" s="2"/>
      <c r="G19044" s="2"/>
      <c r="H19044" s="2"/>
    </row>
    <row r="19045" spans="1:8" x14ac:dyDescent="0.25">
      <c r="A19045" s="1"/>
      <c r="B19045" s="1" t="s">
        <v>6862</v>
      </c>
      <c r="C19045" s="1" t="s">
        <v>6863</v>
      </c>
      <c r="D19045" s="22" t="str">
        <f>HYPERLINK("https://rhld.insurance.arkansas.gov/NPILookup?Npi=1134871254","1134871254")</f>
        <v>1134871254</v>
      </c>
      <c r="E19045" s="1" t="s">
        <v>24226</v>
      </c>
      <c r="F19045" s="2"/>
      <c r="G19045" s="2"/>
      <c r="H19045" s="2"/>
    </row>
    <row r="19046" spans="1:8" x14ac:dyDescent="0.25">
      <c r="A19046" s="1"/>
      <c r="B19046" s="1" t="s">
        <v>6862</v>
      </c>
      <c r="C19046" s="1" t="s">
        <v>6863</v>
      </c>
      <c r="D19046" s="22" t="str">
        <f>HYPERLINK("https://rhld.insurance.arkansas.gov/NPILookup?Npi=1134895303","1134895303")</f>
        <v>1134895303</v>
      </c>
      <c r="E19046" s="1" t="s">
        <v>24227</v>
      </c>
      <c r="F19046" s="2"/>
      <c r="G19046" s="2"/>
      <c r="H19046" s="2"/>
    </row>
    <row r="19047" spans="1:8" x14ac:dyDescent="0.25">
      <c r="A19047" s="1"/>
      <c r="B19047" s="1" t="s">
        <v>6862</v>
      </c>
      <c r="C19047" s="1" t="s">
        <v>6863</v>
      </c>
      <c r="D19047" s="22" t="str">
        <f>HYPERLINK("https://rhld.insurance.arkansas.gov/NPILookup?Npi=1134909484","1134909484")</f>
        <v>1134909484</v>
      </c>
      <c r="E19047" s="1" t="s">
        <v>6922</v>
      </c>
      <c r="F19047" s="2"/>
      <c r="G19047" s="2"/>
      <c r="H19047" s="2"/>
    </row>
    <row r="19048" spans="1:8" x14ac:dyDescent="0.25">
      <c r="A19048" s="1"/>
      <c r="B19048" s="1" t="s">
        <v>6862</v>
      </c>
      <c r="C19048" s="1" t="s">
        <v>6863</v>
      </c>
      <c r="D19048" s="22" t="str">
        <f>HYPERLINK("https://rhld.insurance.arkansas.gov/NPILookup?Npi=1144051152","1144051152")</f>
        <v>1144051152</v>
      </c>
      <c r="E19048" s="1" t="s">
        <v>24228</v>
      </c>
      <c r="F19048" s="2"/>
      <c r="G19048" s="2"/>
      <c r="H19048" s="2"/>
    </row>
    <row r="19049" spans="1:8" x14ac:dyDescent="0.25">
      <c r="A19049" s="1"/>
      <c r="B19049" s="1" t="s">
        <v>6862</v>
      </c>
      <c r="C19049" s="1" t="s">
        <v>6863</v>
      </c>
      <c r="D19049" s="22" t="str">
        <f>HYPERLINK("https://rhld.insurance.arkansas.gov/NPILookup?Npi=1144083080","1144083080")</f>
        <v>1144083080</v>
      </c>
      <c r="E19049" s="1" t="s">
        <v>24229</v>
      </c>
      <c r="F19049" s="2"/>
      <c r="G19049" s="2"/>
      <c r="H19049" s="2"/>
    </row>
    <row r="19050" spans="1:8" x14ac:dyDescent="0.25">
      <c r="A19050" s="1"/>
      <c r="B19050" s="1" t="s">
        <v>6862</v>
      </c>
      <c r="C19050" s="1" t="s">
        <v>6863</v>
      </c>
      <c r="D19050" s="22" t="str">
        <f>HYPERLINK("https://rhld.insurance.arkansas.gov/NPILookup?Npi=1144083619","1144083619")</f>
        <v>1144083619</v>
      </c>
      <c r="E19050" s="1" t="s">
        <v>24230</v>
      </c>
      <c r="F19050" s="2"/>
      <c r="G19050" s="2"/>
      <c r="H19050" s="2"/>
    </row>
    <row r="19051" spans="1:8" x14ac:dyDescent="0.25">
      <c r="A19051" s="1"/>
      <c r="B19051" s="1" t="s">
        <v>6862</v>
      </c>
      <c r="C19051" s="1" t="s">
        <v>6863</v>
      </c>
      <c r="D19051" s="22" t="str">
        <f>HYPERLINK("https://rhld.insurance.arkansas.gov/NPILookup?Npi=1144282344","1144282344")</f>
        <v>1144282344</v>
      </c>
      <c r="E19051" s="1" t="s">
        <v>24231</v>
      </c>
      <c r="F19051" s="2"/>
      <c r="G19051" s="2"/>
      <c r="H19051" s="2"/>
    </row>
    <row r="19052" spans="1:8" x14ac:dyDescent="0.25">
      <c r="A19052" s="1"/>
      <c r="B19052" s="1" t="s">
        <v>6862</v>
      </c>
      <c r="C19052" s="1" t="s">
        <v>6863</v>
      </c>
      <c r="D19052" s="22" t="str">
        <f>HYPERLINK("https://rhld.insurance.arkansas.gov/NPILookup?Npi=1144303694","1144303694")</f>
        <v>1144303694</v>
      </c>
      <c r="E19052" s="1" t="s">
        <v>6923</v>
      </c>
      <c r="F19052" s="2"/>
      <c r="G19052" s="2"/>
      <c r="H19052" s="2"/>
    </row>
    <row r="19053" spans="1:8" x14ac:dyDescent="0.25">
      <c r="A19053" s="1"/>
      <c r="B19053" s="1" t="s">
        <v>6862</v>
      </c>
      <c r="C19053" s="1" t="s">
        <v>6863</v>
      </c>
      <c r="D19053" s="22" t="str">
        <f>HYPERLINK("https://rhld.insurance.arkansas.gov/NPILookup?Npi=1144321381","1144321381")</f>
        <v>1144321381</v>
      </c>
      <c r="E19053" s="1" t="s">
        <v>12340</v>
      </c>
      <c r="F19053" s="2"/>
      <c r="G19053" s="2"/>
      <c r="H19053" s="2"/>
    </row>
    <row r="19054" spans="1:8" x14ac:dyDescent="0.25">
      <c r="A19054" s="1"/>
      <c r="B19054" s="1" t="s">
        <v>6862</v>
      </c>
      <c r="C19054" s="1" t="s">
        <v>6863</v>
      </c>
      <c r="D19054" s="22" t="str">
        <f>HYPERLINK("https://rhld.insurance.arkansas.gov/NPILookup?Npi=1144680224","1144680224")</f>
        <v>1144680224</v>
      </c>
      <c r="E19054" s="1" t="s">
        <v>24232</v>
      </c>
      <c r="F19054" s="2"/>
      <c r="G19054" s="2"/>
      <c r="H19054" s="2"/>
    </row>
    <row r="19055" spans="1:8" x14ac:dyDescent="0.25">
      <c r="A19055" s="1"/>
      <c r="B19055" s="1" t="s">
        <v>6862</v>
      </c>
      <c r="C19055" s="1" t="s">
        <v>6863</v>
      </c>
      <c r="D19055" s="22" t="str">
        <f>HYPERLINK("https://rhld.insurance.arkansas.gov/NPILookup?Npi=1144691445","1144691445")</f>
        <v>1144691445</v>
      </c>
      <c r="E19055" s="1" t="s">
        <v>2265</v>
      </c>
      <c r="F19055" s="2"/>
      <c r="G19055" s="2"/>
      <c r="H19055" s="2"/>
    </row>
    <row r="19056" spans="1:8" x14ac:dyDescent="0.25">
      <c r="A19056" s="1"/>
      <c r="B19056" s="1" t="s">
        <v>6862</v>
      </c>
      <c r="C19056" s="1" t="s">
        <v>6863</v>
      </c>
      <c r="D19056" s="22" t="str">
        <f>HYPERLINK("https://rhld.insurance.arkansas.gov/NPILookup?Npi=1144778994","1144778994")</f>
        <v>1144778994</v>
      </c>
      <c r="E19056" s="1" t="s">
        <v>24233</v>
      </c>
      <c r="F19056" s="2"/>
      <c r="G19056" s="2"/>
      <c r="H19056" s="2"/>
    </row>
    <row r="19057" spans="1:8" x14ac:dyDescent="0.25">
      <c r="A19057" s="1"/>
      <c r="B19057" s="1" t="s">
        <v>6862</v>
      </c>
      <c r="C19057" s="1" t="s">
        <v>6863</v>
      </c>
      <c r="D19057" s="22" t="str">
        <f>HYPERLINK("https://rhld.insurance.arkansas.gov/NPILookup?Npi=1144838632","1144838632")</f>
        <v>1144838632</v>
      </c>
      <c r="E19057" s="1" t="s">
        <v>24234</v>
      </c>
      <c r="F19057" s="2"/>
      <c r="G19057" s="2"/>
      <c r="H19057" s="2"/>
    </row>
    <row r="19058" spans="1:8" x14ac:dyDescent="0.25">
      <c r="A19058" s="1"/>
      <c r="B19058" s="1" t="s">
        <v>6862</v>
      </c>
      <c r="C19058" s="1" t="s">
        <v>6863</v>
      </c>
      <c r="D19058" s="22" t="str">
        <f>HYPERLINK("https://rhld.insurance.arkansas.gov/NPILookup?Npi=1144878455","1144878455")</f>
        <v>1144878455</v>
      </c>
      <c r="E19058" s="1" t="s">
        <v>24235</v>
      </c>
      <c r="F19058" s="2"/>
      <c r="G19058" s="2"/>
      <c r="H19058" s="2"/>
    </row>
    <row r="19059" spans="1:8" x14ac:dyDescent="0.25">
      <c r="A19059" s="1"/>
      <c r="B19059" s="1" t="s">
        <v>6862</v>
      </c>
      <c r="C19059" s="1" t="s">
        <v>6863</v>
      </c>
      <c r="D19059" s="22" t="str">
        <f>HYPERLINK("https://rhld.insurance.arkansas.gov/NPILookup?Npi=1144888116","1144888116")</f>
        <v>1144888116</v>
      </c>
      <c r="E19059" s="1" t="s">
        <v>24236</v>
      </c>
      <c r="F19059" s="2"/>
      <c r="G19059" s="2"/>
      <c r="H19059" s="2"/>
    </row>
    <row r="19060" spans="1:8" x14ac:dyDescent="0.25">
      <c r="A19060" s="1"/>
      <c r="B19060" s="1" t="s">
        <v>6862</v>
      </c>
      <c r="C19060" s="1" t="s">
        <v>6863</v>
      </c>
      <c r="D19060" s="22" t="str">
        <f>HYPERLINK("https://rhld.insurance.arkansas.gov/NPILookup?Npi=1144912023","1144912023")</f>
        <v>1144912023</v>
      </c>
      <c r="E19060" s="1" t="s">
        <v>12341</v>
      </c>
      <c r="F19060" s="2"/>
      <c r="G19060" s="2"/>
      <c r="H19060" s="2"/>
    </row>
    <row r="19061" spans="1:8" x14ac:dyDescent="0.25">
      <c r="A19061" s="1"/>
      <c r="B19061" s="1" t="s">
        <v>6862</v>
      </c>
      <c r="C19061" s="1" t="s">
        <v>6863</v>
      </c>
      <c r="D19061" s="22" t="str">
        <f>HYPERLINK("https://rhld.insurance.arkansas.gov/NPILookup?Npi=1144996166","1144996166")</f>
        <v>1144996166</v>
      </c>
      <c r="E19061" s="1" t="s">
        <v>24237</v>
      </c>
      <c r="F19061" s="2"/>
      <c r="G19061" s="2"/>
      <c r="H19061" s="2"/>
    </row>
    <row r="19062" spans="1:8" x14ac:dyDescent="0.25">
      <c r="A19062" s="1"/>
      <c r="B19062" s="1" t="s">
        <v>6862</v>
      </c>
      <c r="C19062" s="1" t="s">
        <v>6863</v>
      </c>
      <c r="D19062" s="22" t="str">
        <f>HYPERLINK("https://rhld.insurance.arkansas.gov/NPILookup?Npi=1154009694","1154009694")</f>
        <v>1154009694</v>
      </c>
      <c r="E19062" s="1" t="s">
        <v>32011</v>
      </c>
      <c r="F19062" s="2"/>
      <c r="G19062" s="2"/>
      <c r="H19062" s="2"/>
    </row>
    <row r="19063" spans="1:8" x14ac:dyDescent="0.25">
      <c r="A19063" s="1"/>
      <c r="B19063" s="1" t="s">
        <v>6862</v>
      </c>
      <c r="C19063" s="1" t="s">
        <v>6863</v>
      </c>
      <c r="D19063" s="22" t="str">
        <f>HYPERLINK("https://rhld.insurance.arkansas.gov/NPILookup?Npi=1154058865","1154058865")</f>
        <v>1154058865</v>
      </c>
      <c r="E19063" s="1" t="s">
        <v>24238</v>
      </c>
      <c r="F19063" s="2"/>
      <c r="G19063" s="2"/>
      <c r="H19063" s="2"/>
    </row>
    <row r="19064" spans="1:8" x14ac:dyDescent="0.25">
      <c r="A19064" s="1"/>
      <c r="B19064" s="1" t="s">
        <v>6862</v>
      </c>
      <c r="C19064" s="1" t="s">
        <v>6863</v>
      </c>
      <c r="D19064" s="22" t="str">
        <f>HYPERLINK("https://rhld.insurance.arkansas.gov/NPILookup?Npi=1154383628","1154383628")</f>
        <v>1154383628</v>
      </c>
      <c r="E19064" s="1" t="s">
        <v>24239</v>
      </c>
      <c r="F19064" s="2"/>
      <c r="G19064" s="2"/>
      <c r="H19064" s="2"/>
    </row>
    <row r="19065" spans="1:8" x14ac:dyDescent="0.25">
      <c r="A19065" s="1"/>
      <c r="B19065" s="1" t="s">
        <v>6862</v>
      </c>
      <c r="C19065" s="1" t="s">
        <v>6863</v>
      </c>
      <c r="D19065" s="22" t="str">
        <f>HYPERLINK("https://rhld.insurance.arkansas.gov/NPILookup?Npi=1154509974","1154509974")</f>
        <v>1154509974</v>
      </c>
      <c r="E19065" s="1" t="s">
        <v>32012</v>
      </c>
      <c r="F19065" s="2"/>
      <c r="G19065" s="2"/>
      <c r="H19065" s="2"/>
    </row>
    <row r="19066" spans="1:8" x14ac:dyDescent="0.25">
      <c r="A19066" s="1"/>
      <c r="B19066" s="1" t="s">
        <v>6862</v>
      </c>
      <c r="C19066" s="1" t="s">
        <v>6863</v>
      </c>
      <c r="D19066" s="22" t="str">
        <f>HYPERLINK("https://rhld.insurance.arkansas.gov/NPILookup?Npi=1154560977","1154560977")</f>
        <v>1154560977</v>
      </c>
      <c r="E19066" s="1" t="s">
        <v>6924</v>
      </c>
      <c r="F19066" s="2"/>
      <c r="G19066" s="2"/>
      <c r="H19066" s="2"/>
    </row>
    <row r="19067" spans="1:8" x14ac:dyDescent="0.25">
      <c r="A19067" s="1"/>
      <c r="B19067" s="1" t="s">
        <v>6862</v>
      </c>
      <c r="C19067" s="1" t="s">
        <v>6863</v>
      </c>
      <c r="D19067" s="22" t="str">
        <f>HYPERLINK("https://rhld.insurance.arkansas.gov/NPILookup?Npi=1154586774","1154586774")</f>
        <v>1154586774</v>
      </c>
      <c r="E19067" s="1" t="s">
        <v>24240</v>
      </c>
      <c r="F19067" s="2"/>
      <c r="G19067" s="2"/>
      <c r="H19067" s="2"/>
    </row>
    <row r="19068" spans="1:8" x14ac:dyDescent="0.25">
      <c r="A19068" s="1"/>
      <c r="B19068" s="1" t="s">
        <v>6862</v>
      </c>
      <c r="C19068" s="1" t="s">
        <v>6863</v>
      </c>
      <c r="D19068" s="22" t="str">
        <f>HYPERLINK("https://rhld.insurance.arkansas.gov/NPILookup?Npi=1154607844","1154607844")</f>
        <v>1154607844</v>
      </c>
      <c r="E19068" s="1" t="s">
        <v>24241</v>
      </c>
      <c r="F19068" s="2"/>
      <c r="G19068" s="2"/>
      <c r="H19068" s="2"/>
    </row>
    <row r="19069" spans="1:8" x14ac:dyDescent="0.25">
      <c r="A19069" s="1"/>
      <c r="B19069" s="1" t="s">
        <v>6862</v>
      </c>
      <c r="C19069" s="1" t="s">
        <v>6863</v>
      </c>
      <c r="D19069" s="22" t="str">
        <f>HYPERLINK("https://rhld.insurance.arkansas.gov/NPILookup?Npi=1154651404","1154651404")</f>
        <v>1154651404</v>
      </c>
      <c r="E19069" s="1" t="s">
        <v>6982</v>
      </c>
      <c r="F19069" s="2"/>
      <c r="G19069" s="2"/>
      <c r="H19069" s="2"/>
    </row>
    <row r="19070" spans="1:8" x14ac:dyDescent="0.25">
      <c r="A19070" s="1"/>
      <c r="B19070" s="1" t="s">
        <v>6862</v>
      </c>
      <c r="C19070" s="1" t="s">
        <v>6863</v>
      </c>
      <c r="D19070" s="22" t="str">
        <f>HYPERLINK("https://rhld.insurance.arkansas.gov/NPILookup?Npi=1154667624","1154667624")</f>
        <v>1154667624</v>
      </c>
      <c r="E19070" s="1" t="s">
        <v>24242</v>
      </c>
      <c r="F19070" s="2"/>
      <c r="G19070" s="2"/>
      <c r="H19070" s="2"/>
    </row>
    <row r="19071" spans="1:8" x14ac:dyDescent="0.25">
      <c r="A19071" s="1"/>
      <c r="B19071" s="1" t="s">
        <v>6862</v>
      </c>
      <c r="C19071" s="1" t="s">
        <v>6863</v>
      </c>
      <c r="D19071" s="22" t="str">
        <f>HYPERLINK("https://rhld.insurance.arkansas.gov/NPILookup?Npi=1154676849","1154676849")</f>
        <v>1154676849</v>
      </c>
      <c r="E19071" s="1" t="s">
        <v>24243</v>
      </c>
      <c r="F19071" s="2"/>
      <c r="G19071" s="2"/>
      <c r="H19071" s="2"/>
    </row>
    <row r="19072" spans="1:8" x14ac:dyDescent="0.25">
      <c r="A19072" s="1"/>
      <c r="B19072" s="1" t="s">
        <v>6862</v>
      </c>
      <c r="C19072" s="1" t="s">
        <v>6863</v>
      </c>
      <c r="D19072" s="22" t="str">
        <f>HYPERLINK("https://rhld.insurance.arkansas.gov/NPILookup?Npi=1154802569","1154802569")</f>
        <v>1154802569</v>
      </c>
      <c r="E19072" s="1" t="s">
        <v>24244</v>
      </c>
      <c r="F19072" s="2"/>
      <c r="G19072" s="2"/>
      <c r="H19072" s="2"/>
    </row>
    <row r="19073" spans="1:8" x14ac:dyDescent="0.25">
      <c r="A19073" s="1"/>
      <c r="B19073" s="1" t="s">
        <v>6862</v>
      </c>
      <c r="C19073" s="1" t="s">
        <v>6863</v>
      </c>
      <c r="D19073" s="22" t="str">
        <f>HYPERLINK("https://rhld.insurance.arkansas.gov/NPILookup?Npi=1154935377","1154935377")</f>
        <v>1154935377</v>
      </c>
      <c r="E19073" s="1" t="s">
        <v>6925</v>
      </c>
      <c r="F19073" s="2"/>
      <c r="G19073" s="2"/>
      <c r="H19073" s="2"/>
    </row>
    <row r="19074" spans="1:8" x14ac:dyDescent="0.25">
      <c r="A19074" s="1"/>
      <c r="B19074" s="1" t="s">
        <v>6862</v>
      </c>
      <c r="C19074" s="1" t="s">
        <v>6863</v>
      </c>
      <c r="D19074" s="22" t="str">
        <f>HYPERLINK("https://rhld.insurance.arkansas.gov/NPILookup?Npi=1154935674","1154935674")</f>
        <v>1154935674</v>
      </c>
      <c r="E19074" s="1" t="s">
        <v>12342</v>
      </c>
      <c r="F19074" s="2"/>
      <c r="G19074" s="2"/>
      <c r="H19074" s="2"/>
    </row>
    <row r="19075" spans="1:8" x14ac:dyDescent="0.25">
      <c r="A19075" s="1"/>
      <c r="B19075" s="1" t="s">
        <v>6862</v>
      </c>
      <c r="C19075" s="1" t="s">
        <v>6863</v>
      </c>
      <c r="D19075" s="22" t="str">
        <f>HYPERLINK("https://rhld.insurance.arkansas.gov/NPILookup?Npi=1154944874","1154944874")</f>
        <v>1154944874</v>
      </c>
      <c r="E19075" s="1" t="s">
        <v>5674</v>
      </c>
      <c r="F19075" s="2"/>
      <c r="G19075" s="2"/>
      <c r="H19075" s="2"/>
    </row>
    <row r="19076" spans="1:8" x14ac:dyDescent="0.25">
      <c r="A19076" s="1"/>
      <c r="B19076" s="1" t="s">
        <v>6862</v>
      </c>
      <c r="C19076" s="1" t="s">
        <v>6863</v>
      </c>
      <c r="D19076" s="22" t="str">
        <f>HYPERLINK("https://rhld.insurance.arkansas.gov/NPILookup?Npi=1154995488","1154995488")</f>
        <v>1154995488</v>
      </c>
      <c r="E19076" s="1" t="s">
        <v>6926</v>
      </c>
      <c r="F19076" s="2"/>
      <c r="G19076" s="2"/>
      <c r="H19076" s="2"/>
    </row>
    <row r="19077" spans="1:8" x14ac:dyDescent="0.25">
      <c r="A19077" s="1"/>
      <c r="B19077" s="1" t="s">
        <v>6862</v>
      </c>
      <c r="C19077" s="1" t="s">
        <v>6863</v>
      </c>
      <c r="D19077" s="22" t="str">
        <f>HYPERLINK("https://rhld.insurance.arkansas.gov/NPILookup?Npi=1164104618","1164104618")</f>
        <v>1164104618</v>
      </c>
      <c r="E19077" s="1" t="s">
        <v>5284</v>
      </c>
      <c r="F19077" s="2"/>
      <c r="G19077" s="2"/>
      <c r="H19077" s="2"/>
    </row>
    <row r="19078" spans="1:8" x14ac:dyDescent="0.25">
      <c r="A19078" s="1"/>
      <c r="B19078" s="1" t="s">
        <v>6862</v>
      </c>
      <c r="C19078" s="1" t="s">
        <v>6863</v>
      </c>
      <c r="D19078" s="22" t="str">
        <f>HYPERLINK("https://rhld.insurance.arkansas.gov/NPILookup?Npi=1164252581","1164252581")</f>
        <v>1164252581</v>
      </c>
      <c r="E19078" s="1" t="s">
        <v>24245</v>
      </c>
      <c r="F19078" s="2"/>
      <c r="G19078" s="2"/>
      <c r="H19078" s="2"/>
    </row>
    <row r="19079" spans="1:8" x14ac:dyDescent="0.25">
      <c r="A19079" s="1"/>
      <c r="B19079" s="1" t="s">
        <v>6862</v>
      </c>
      <c r="C19079" s="1" t="s">
        <v>6863</v>
      </c>
      <c r="D19079" s="22" t="str">
        <f>HYPERLINK("https://rhld.insurance.arkansas.gov/NPILookup?Npi=1164273371","1164273371")</f>
        <v>1164273371</v>
      </c>
      <c r="E19079" s="1" t="s">
        <v>32013</v>
      </c>
      <c r="F19079" s="2"/>
      <c r="G19079" s="2"/>
      <c r="H19079" s="2"/>
    </row>
    <row r="19080" spans="1:8" x14ac:dyDescent="0.25">
      <c r="A19080" s="1"/>
      <c r="B19080" s="1" t="s">
        <v>6862</v>
      </c>
      <c r="C19080" s="1" t="s">
        <v>6863</v>
      </c>
      <c r="D19080" s="22" t="str">
        <f>HYPERLINK("https://rhld.insurance.arkansas.gov/NPILookup?Npi=1164405395","1164405395")</f>
        <v>1164405395</v>
      </c>
      <c r="E19080" s="1" t="s">
        <v>24246</v>
      </c>
      <c r="F19080" s="2"/>
      <c r="G19080" s="2"/>
      <c r="H19080" s="2"/>
    </row>
    <row r="19081" spans="1:8" x14ac:dyDescent="0.25">
      <c r="A19081" s="1"/>
      <c r="B19081" s="1" t="s">
        <v>6862</v>
      </c>
      <c r="C19081" s="1" t="s">
        <v>6863</v>
      </c>
      <c r="D19081" s="22" t="str">
        <f>HYPERLINK("https://rhld.insurance.arkansas.gov/NPILookup?Npi=1164549762","1164549762")</f>
        <v>1164549762</v>
      </c>
      <c r="E19081" s="1" t="s">
        <v>24247</v>
      </c>
      <c r="F19081" s="2"/>
      <c r="G19081" s="2"/>
      <c r="H19081" s="2"/>
    </row>
    <row r="19082" spans="1:8" x14ac:dyDescent="0.25">
      <c r="A19082" s="1"/>
      <c r="B19082" s="1" t="s">
        <v>6862</v>
      </c>
      <c r="C19082" s="1" t="s">
        <v>6863</v>
      </c>
      <c r="D19082" s="22" t="str">
        <f>HYPERLINK("https://rhld.insurance.arkansas.gov/NPILookup?Npi=1164645370","1164645370")</f>
        <v>1164645370</v>
      </c>
      <c r="E19082" s="1" t="s">
        <v>12343</v>
      </c>
      <c r="F19082" s="2"/>
      <c r="G19082" s="2"/>
      <c r="H19082" s="2"/>
    </row>
    <row r="19083" spans="1:8" x14ac:dyDescent="0.25">
      <c r="A19083" s="1"/>
      <c r="B19083" s="1" t="s">
        <v>6862</v>
      </c>
      <c r="C19083" s="1" t="s">
        <v>6863</v>
      </c>
      <c r="D19083" s="22" t="str">
        <f>HYPERLINK("https://rhld.insurance.arkansas.gov/NPILookup?Npi=1164657185","1164657185")</f>
        <v>1164657185</v>
      </c>
      <c r="E19083" s="1" t="s">
        <v>12344</v>
      </c>
      <c r="F19083" s="2"/>
      <c r="G19083" s="2"/>
      <c r="H19083" s="2"/>
    </row>
    <row r="19084" spans="1:8" x14ac:dyDescent="0.25">
      <c r="A19084" s="1"/>
      <c r="B19084" s="1" t="s">
        <v>6862</v>
      </c>
      <c r="C19084" s="1" t="s">
        <v>6863</v>
      </c>
      <c r="D19084" s="22" t="str">
        <f>HYPERLINK("https://rhld.insurance.arkansas.gov/NPILookup?Npi=1164663621","1164663621")</f>
        <v>1164663621</v>
      </c>
      <c r="E19084" s="1" t="s">
        <v>24248</v>
      </c>
      <c r="F19084" s="2"/>
      <c r="G19084" s="2"/>
      <c r="H19084" s="2"/>
    </row>
    <row r="19085" spans="1:8" x14ac:dyDescent="0.25">
      <c r="A19085" s="1"/>
      <c r="B19085" s="1" t="s">
        <v>6862</v>
      </c>
      <c r="C19085" s="1" t="s">
        <v>6863</v>
      </c>
      <c r="D19085" s="22" t="str">
        <f>HYPERLINK("https://rhld.insurance.arkansas.gov/NPILookup?Npi=1164772810","1164772810")</f>
        <v>1164772810</v>
      </c>
      <c r="E19085" s="1" t="s">
        <v>6927</v>
      </c>
      <c r="F19085" s="2"/>
      <c r="G19085" s="2"/>
      <c r="H19085" s="2"/>
    </row>
    <row r="19086" spans="1:8" x14ac:dyDescent="0.25">
      <c r="A19086" s="1"/>
      <c r="B19086" s="1" t="s">
        <v>6862</v>
      </c>
      <c r="C19086" s="1" t="s">
        <v>6863</v>
      </c>
      <c r="D19086" s="22" t="str">
        <f>HYPERLINK("https://rhld.insurance.arkansas.gov/NPILookup?Npi=1164790978","1164790978")</f>
        <v>1164790978</v>
      </c>
      <c r="E19086" s="1" t="s">
        <v>24249</v>
      </c>
      <c r="F19086" s="2"/>
      <c r="G19086" s="2"/>
      <c r="H19086" s="2"/>
    </row>
    <row r="19087" spans="1:8" x14ac:dyDescent="0.25">
      <c r="A19087" s="1"/>
      <c r="B19087" s="1" t="s">
        <v>6862</v>
      </c>
      <c r="C19087" s="1" t="s">
        <v>6863</v>
      </c>
      <c r="D19087" s="22" t="str">
        <f>HYPERLINK("https://rhld.insurance.arkansas.gov/NPILookup?Npi=1164832820","1164832820")</f>
        <v>1164832820</v>
      </c>
      <c r="E19087" s="1" t="s">
        <v>24250</v>
      </c>
      <c r="F19087" s="2"/>
      <c r="G19087" s="2"/>
      <c r="H19087" s="2"/>
    </row>
    <row r="19088" spans="1:8" x14ac:dyDescent="0.25">
      <c r="A19088" s="1"/>
      <c r="B19088" s="1" t="s">
        <v>6862</v>
      </c>
      <c r="C19088" s="1" t="s">
        <v>6863</v>
      </c>
      <c r="D19088" s="22" t="str">
        <f>HYPERLINK("https://rhld.insurance.arkansas.gov/NPILookup?Npi=1164859286","1164859286")</f>
        <v>1164859286</v>
      </c>
      <c r="E19088" s="1" t="s">
        <v>12345</v>
      </c>
      <c r="F19088" s="2"/>
      <c r="G19088" s="2"/>
      <c r="H19088" s="2"/>
    </row>
    <row r="19089" spans="1:8" x14ac:dyDescent="0.25">
      <c r="A19089" s="1"/>
      <c r="B19089" s="1" t="s">
        <v>6862</v>
      </c>
      <c r="C19089" s="1" t="s">
        <v>6863</v>
      </c>
      <c r="D19089" s="22" t="str">
        <f>HYPERLINK("https://rhld.insurance.arkansas.gov/NPILookup?Npi=1174036917","1174036917")</f>
        <v>1174036917</v>
      </c>
      <c r="E19089" s="1" t="s">
        <v>24251</v>
      </c>
      <c r="F19089" s="2"/>
      <c r="G19089" s="2"/>
      <c r="H19089" s="2"/>
    </row>
    <row r="19090" spans="1:8" x14ac:dyDescent="0.25">
      <c r="A19090" s="1"/>
      <c r="B19090" s="1" t="s">
        <v>6862</v>
      </c>
      <c r="C19090" s="1" t="s">
        <v>6863</v>
      </c>
      <c r="D19090" s="22" t="str">
        <f>HYPERLINK("https://rhld.insurance.arkansas.gov/NPILookup?Npi=1174050306","1174050306")</f>
        <v>1174050306</v>
      </c>
      <c r="E19090" s="1" t="s">
        <v>24252</v>
      </c>
      <c r="F19090" s="2"/>
      <c r="G19090" s="2"/>
      <c r="H19090" s="2"/>
    </row>
    <row r="19091" spans="1:8" x14ac:dyDescent="0.25">
      <c r="A19091" s="1"/>
      <c r="B19091" s="1" t="s">
        <v>6862</v>
      </c>
      <c r="C19091" s="1" t="s">
        <v>6863</v>
      </c>
      <c r="D19091" s="22" t="str">
        <f>HYPERLINK("https://rhld.insurance.arkansas.gov/NPILookup?Npi=1174063978","1174063978")</f>
        <v>1174063978</v>
      </c>
      <c r="E19091" s="1" t="s">
        <v>24253</v>
      </c>
      <c r="F19091" s="2"/>
      <c r="G19091" s="2"/>
      <c r="H19091" s="2"/>
    </row>
    <row r="19092" spans="1:8" x14ac:dyDescent="0.25">
      <c r="A19092" s="1"/>
      <c r="B19092" s="1" t="s">
        <v>6862</v>
      </c>
      <c r="C19092" s="1" t="s">
        <v>6863</v>
      </c>
      <c r="D19092" s="22" t="str">
        <f>HYPERLINK("https://rhld.insurance.arkansas.gov/NPILookup?Npi=1174076012","1174076012")</f>
        <v>1174076012</v>
      </c>
      <c r="E19092" s="1" t="s">
        <v>24254</v>
      </c>
      <c r="F19092" s="2"/>
      <c r="G19092" s="2"/>
      <c r="H19092" s="2"/>
    </row>
    <row r="19093" spans="1:8" x14ac:dyDescent="0.25">
      <c r="A19093" s="1"/>
      <c r="B19093" s="1" t="s">
        <v>6862</v>
      </c>
      <c r="C19093" s="1" t="s">
        <v>6863</v>
      </c>
      <c r="D19093" s="22" t="str">
        <f>HYPERLINK("https://rhld.insurance.arkansas.gov/NPILookup?Npi=1174166623","1174166623")</f>
        <v>1174166623</v>
      </c>
      <c r="E19093" s="1" t="s">
        <v>24255</v>
      </c>
      <c r="F19093" s="2"/>
      <c r="G19093" s="2"/>
      <c r="H19093" s="2"/>
    </row>
    <row r="19094" spans="1:8" x14ac:dyDescent="0.25">
      <c r="A19094" s="1"/>
      <c r="B19094" s="1" t="s">
        <v>6862</v>
      </c>
      <c r="C19094" s="1" t="s">
        <v>6863</v>
      </c>
      <c r="D19094" s="22" t="str">
        <f>HYPERLINK("https://rhld.insurance.arkansas.gov/NPILookup?Npi=1174171607","1174171607")</f>
        <v>1174171607</v>
      </c>
      <c r="E19094" s="1" t="s">
        <v>24256</v>
      </c>
      <c r="F19094" s="2"/>
      <c r="G19094" s="2"/>
      <c r="H19094" s="2"/>
    </row>
    <row r="19095" spans="1:8" x14ac:dyDescent="0.25">
      <c r="A19095" s="1"/>
      <c r="B19095" s="1" t="s">
        <v>6862</v>
      </c>
      <c r="C19095" s="1" t="s">
        <v>6863</v>
      </c>
      <c r="D19095" s="22" t="str">
        <f>HYPERLINK("https://rhld.insurance.arkansas.gov/NPILookup?Npi=1174172043","1174172043")</f>
        <v>1174172043</v>
      </c>
      <c r="E19095" s="1" t="s">
        <v>6929</v>
      </c>
      <c r="F19095" s="2"/>
      <c r="G19095" s="2"/>
      <c r="H19095" s="2"/>
    </row>
    <row r="19096" spans="1:8" x14ac:dyDescent="0.25">
      <c r="A19096" s="1"/>
      <c r="B19096" s="1" t="s">
        <v>6862</v>
      </c>
      <c r="C19096" s="1" t="s">
        <v>6863</v>
      </c>
      <c r="D19096" s="22" t="str">
        <f>HYPERLINK("https://rhld.insurance.arkansas.gov/NPILookup?Npi=1174289474","1174289474")</f>
        <v>1174289474</v>
      </c>
      <c r="E19096" s="1" t="s">
        <v>6930</v>
      </c>
      <c r="F19096" s="2"/>
      <c r="G19096" s="2"/>
      <c r="H19096" s="2"/>
    </row>
    <row r="19097" spans="1:8" x14ac:dyDescent="0.25">
      <c r="A19097" s="1"/>
      <c r="B19097" s="1" t="s">
        <v>6862</v>
      </c>
      <c r="C19097" s="1" t="s">
        <v>6863</v>
      </c>
      <c r="D19097" s="22" t="str">
        <f>HYPERLINK("https://rhld.insurance.arkansas.gov/NPILookup?Npi=1174371587","1174371587")</f>
        <v>1174371587</v>
      </c>
      <c r="E19097" s="1" t="s">
        <v>24257</v>
      </c>
      <c r="F19097" s="2"/>
      <c r="G19097" s="2"/>
      <c r="H19097" s="2"/>
    </row>
    <row r="19098" spans="1:8" x14ac:dyDescent="0.25">
      <c r="A19098" s="1"/>
      <c r="B19098" s="1" t="s">
        <v>6862</v>
      </c>
      <c r="C19098" s="1" t="s">
        <v>6863</v>
      </c>
      <c r="D19098" s="22" t="str">
        <f>HYPERLINK("https://rhld.insurance.arkansas.gov/NPILookup?Npi=1174546154","1174546154")</f>
        <v>1174546154</v>
      </c>
      <c r="E19098" s="1" t="s">
        <v>24258</v>
      </c>
      <c r="F19098" s="2"/>
      <c r="G19098" s="2"/>
      <c r="H19098" s="2"/>
    </row>
    <row r="19099" spans="1:8" x14ac:dyDescent="0.25">
      <c r="A19099" s="1"/>
      <c r="B19099" s="1" t="s">
        <v>6862</v>
      </c>
      <c r="C19099" s="1" t="s">
        <v>6863</v>
      </c>
      <c r="D19099" s="22" t="str">
        <f>HYPERLINK("https://rhld.insurance.arkansas.gov/NPILookup?Npi=1174555841","1174555841")</f>
        <v>1174555841</v>
      </c>
      <c r="E19099" s="1" t="s">
        <v>24259</v>
      </c>
      <c r="F19099" s="2"/>
      <c r="G19099" s="2"/>
      <c r="H19099" s="2"/>
    </row>
    <row r="19100" spans="1:8" x14ac:dyDescent="0.25">
      <c r="A19100" s="1"/>
      <c r="B19100" s="1" t="s">
        <v>6862</v>
      </c>
      <c r="C19100" s="1" t="s">
        <v>6863</v>
      </c>
      <c r="D19100" s="22" t="str">
        <f>HYPERLINK("https://rhld.insurance.arkansas.gov/NPILookup?Npi=1174663009","1174663009")</f>
        <v>1174663009</v>
      </c>
      <c r="E19100" s="1" t="s">
        <v>12346</v>
      </c>
      <c r="F19100" s="2"/>
      <c r="G19100" s="2"/>
      <c r="H19100" s="2"/>
    </row>
    <row r="19101" spans="1:8" x14ac:dyDescent="0.25">
      <c r="A19101" s="1"/>
      <c r="B19101" s="1" t="s">
        <v>6862</v>
      </c>
      <c r="C19101" s="1" t="s">
        <v>6863</v>
      </c>
      <c r="D19101" s="22" t="str">
        <f>HYPERLINK("https://rhld.insurance.arkansas.gov/NPILookup?Npi=1174691877","1174691877")</f>
        <v>1174691877</v>
      </c>
      <c r="E19101" s="1" t="s">
        <v>12347</v>
      </c>
      <c r="F19101" s="2"/>
      <c r="G19101" s="2"/>
      <c r="H19101" s="2"/>
    </row>
    <row r="19102" spans="1:8" x14ac:dyDescent="0.25">
      <c r="A19102" s="1"/>
      <c r="B19102" s="1" t="s">
        <v>6862</v>
      </c>
      <c r="C19102" s="1" t="s">
        <v>6863</v>
      </c>
      <c r="D19102" s="22" t="str">
        <f>HYPERLINK("https://rhld.insurance.arkansas.gov/NPILookup?Npi=1174856199","1174856199")</f>
        <v>1174856199</v>
      </c>
      <c r="E19102" s="1" t="s">
        <v>12348</v>
      </c>
      <c r="F19102" s="2"/>
      <c r="G19102" s="2"/>
      <c r="H19102" s="2"/>
    </row>
    <row r="19103" spans="1:8" x14ac:dyDescent="0.25">
      <c r="A19103" s="1"/>
      <c r="B19103" s="1" t="s">
        <v>6862</v>
      </c>
      <c r="C19103" s="1" t="s">
        <v>6863</v>
      </c>
      <c r="D19103" s="22" t="str">
        <f>HYPERLINK("https://rhld.insurance.arkansas.gov/NPILookup?Npi=1174873723","1174873723")</f>
        <v>1174873723</v>
      </c>
      <c r="E19103" s="1" t="s">
        <v>24261</v>
      </c>
      <c r="F19103" s="2"/>
      <c r="G19103" s="2"/>
      <c r="H19103" s="2"/>
    </row>
    <row r="19104" spans="1:8" x14ac:dyDescent="0.25">
      <c r="A19104" s="1"/>
      <c r="B19104" s="1" t="s">
        <v>6862</v>
      </c>
      <c r="C19104" s="1" t="s">
        <v>6863</v>
      </c>
      <c r="D19104" s="22" t="str">
        <f>HYPERLINK("https://rhld.insurance.arkansas.gov/NPILookup?Npi=1174922363","1174922363")</f>
        <v>1174922363</v>
      </c>
      <c r="E19104" s="1" t="s">
        <v>12349</v>
      </c>
      <c r="F19104" s="2"/>
      <c r="G19104" s="2"/>
      <c r="H19104" s="2"/>
    </row>
    <row r="19105" spans="1:8" x14ac:dyDescent="0.25">
      <c r="A19105" s="1"/>
      <c r="B19105" s="1" t="s">
        <v>6862</v>
      </c>
      <c r="C19105" s="1" t="s">
        <v>6863</v>
      </c>
      <c r="D19105" s="22" t="str">
        <f>HYPERLINK("https://rhld.insurance.arkansas.gov/NPILookup?Npi=1174976930","1174976930")</f>
        <v>1174976930</v>
      </c>
      <c r="E19105" s="1" t="s">
        <v>6932</v>
      </c>
      <c r="F19105" s="2"/>
      <c r="G19105" s="2"/>
      <c r="H19105" s="2"/>
    </row>
    <row r="19106" spans="1:8" x14ac:dyDescent="0.25">
      <c r="A19106" s="1"/>
      <c r="B19106" s="1" t="s">
        <v>6862</v>
      </c>
      <c r="C19106" s="1" t="s">
        <v>6863</v>
      </c>
      <c r="D19106" s="22" t="str">
        <f>HYPERLINK("https://rhld.insurance.arkansas.gov/NPILookup?Npi=1184000465","1184000465")</f>
        <v>1184000465</v>
      </c>
      <c r="E19106" s="1" t="s">
        <v>6933</v>
      </c>
      <c r="F19106" s="2"/>
      <c r="G19106" s="2"/>
      <c r="H19106" s="2"/>
    </row>
    <row r="19107" spans="1:8" x14ac:dyDescent="0.25">
      <c r="A19107" s="1"/>
      <c r="B19107" s="1" t="s">
        <v>6862</v>
      </c>
      <c r="C19107" s="1" t="s">
        <v>6863</v>
      </c>
      <c r="D19107" s="22" t="str">
        <f>HYPERLINK("https://rhld.insurance.arkansas.gov/NPILookup?Npi=1184016727","1184016727")</f>
        <v>1184016727</v>
      </c>
      <c r="E19107" s="1" t="s">
        <v>24262</v>
      </c>
      <c r="F19107" s="2"/>
      <c r="G19107" s="2"/>
      <c r="H19107" s="2"/>
    </row>
    <row r="19108" spans="1:8" x14ac:dyDescent="0.25">
      <c r="A19108" s="1"/>
      <c r="B19108" s="1" t="s">
        <v>6862</v>
      </c>
      <c r="C19108" s="1" t="s">
        <v>6863</v>
      </c>
      <c r="D19108" s="22" t="str">
        <f>HYPERLINK("https://rhld.insurance.arkansas.gov/NPILookup?Npi=1184091241","1184091241")</f>
        <v>1184091241</v>
      </c>
      <c r="E19108" s="1" t="s">
        <v>24263</v>
      </c>
      <c r="F19108" s="2"/>
      <c r="G19108" s="2"/>
      <c r="H19108" s="2"/>
    </row>
    <row r="19109" spans="1:8" x14ac:dyDescent="0.25">
      <c r="A19109" s="1"/>
      <c r="B19109" s="1" t="s">
        <v>6862</v>
      </c>
      <c r="C19109" s="1" t="s">
        <v>6863</v>
      </c>
      <c r="D19109" s="22" t="str">
        <f>HYPERLINK("https://rhld.insurance.arkansas.gov/NPILookup?Npi=1184109365","1184109365")</f>
        <v>1184109365</v>
      </c>
      <c r="E19109" s="1" t="s">
        <v>24264</v>
      </c>
      <c r="F19109" s="2"/>
      <c r="G19109" s="2"/>
      <c r="H19109" s="2"/>
    </row>
    <row r="19110" spans="1:8" x14ac:dyDescent="0.25">
      <c r="A19110" s="1"/>
      <c r="B19110" s="1" t="s">
        <v>6862</v>
      </c>
      <c r="C19110" s="1" t="s">
        <v>6863</v>
      </c>
      <c r="D19110" s="22" t="str">
        <f>HYPERLINK("https://rhld.insurance.arkansas.gov/NPILookup?Npi=1184133159","1184133159")</f>
        <v>1184133159</v>
      </c>
      <c r="E19110" s="1" t="s">
        <v>12350</v>
      </c>
      <c r="F19110" s="2"/>
      <c r="G19110" s="2"/>
      <c r="H19110" s="2"/>
    </row>
    <row r="19111" spans="1:8" x14ac:dyDescent="0.25">
      <c r="A19111" s="1"/>
      <c r="B19111" s="1" t="s">
        <v>6862</v>
      </c>
      <c r="C19111" s="1" t="s">
        <v>6863</v>
      </c>
      <c r="D19111" s="22" t="str">
        <f>HYPERLINK("https://rhld.insurance.arkansas.gov/NPILookup?Npi=1184170235","1184170235")</f>
        <v>1184170235</v>
      </c>
      <c r="E19111" s="1" t="s">
        <v>12351</v>
      </c>
      <c r="F19111" s="2"/>
      <c r="G19111" s="2"/>
      <c r="H19111" s="2"/>
    </row>
    <row r="19112" spans="1:8" x14ac:dyDescent="0.25">
      <c r="A19112" s="1"/>
      <c r="B19112" s="1" t="s">
        <v>6862</v>
      </c>
      <c r="C19112" s="1" t="s">
        <v>6863</v>
      </c>
      <c r="D19112" s="22" t="str">
        <f>HYPERLINK("https://rhld.insurance.arkansas.gov/NPILookup?Npi=1184170342","1184170342")</f>
        <v>1184170342</v>
      </c>
      <c r="E19112" s="1" t="s">
        <v>24265</v>
      </c>
      <c r="F19112" s="2"/>
      <c r="G19112" s="2"/>
      <c r="H19112" s="2"/>
    </row>
    <row r="19113" spans="1:8" x14ac:dyDescent="0.25">
      <c r="A19113" s="1"/>
      <c r="B19113" s="1" t="s">
        <v>6862</v>
      </c>
      <c r="C19113" s="1" t="s">
        <v>6863</v>
      </c>
      <c r="D19113" s="22" t="str">
        <f>HYPERLINK("https://rhld.insurance.arkansas.gov/NPILookup?Npi=1184197451","1184197451")</f>
        <v>1184197451</v>
      </c>
      <c r="E19113" s="1" t="s">
        <v>12352</v>
      </c>
      <c r="F19113" s="2"/>
      <c r="G19113" s="2"/>
      <c r="H19113" s="2"/>
    </row>
    <row r="19114" spans="1:8" x14ac:dyDescent="0.25">
      <c r="A19114" s="1"/>
      <c r="B19114" s="1" t="s">
        <v>6862</v>
      </c>
      <c r="C19114" s="1" t="s">
        <v>6863</v>
      </c>
      <c r="D19114" s="22" t="str">
        <f>HYPERLINK("https://rhld.insurance.arkansas.gov/NPILookup?Npi=1184303646","1184303646")</f>
        <v>1184303646</v>
      </c>
      <c r="E19114" s="1" t="s">
        <v>6323</v>
      </c>
      <c r="F19114" s="2"/>
      <c r="G19114" s="2"/>
      <c r="H19114" s="2"/>
    </row>
    <row r="19115" spans="1:8" x14ac:dyDescent="0.25">
      <c r="A19115" s="1"/>
      <c r="B19115" s="1" t="s">
        <v>6862</v>
      </c>
      <c r="C19115" s="1" t="s">
        <v>6863</v>
      </c>
      <c r="D19115" s="22" t="str">
        <f>HYPERLINK("https://rhld.insurance.arkansas.gov/NPILookup?Npi=1184344921","1184344921")</f>
        <v>1184344921</v>
      </c>
      <c r="E19115" s="1" t="s">
        <v>24266</v>
      </c>
      <c r="F19115" s="2"/>
      <c r="G19115" s="2"/>
      <c r="H19115" s="2"/>
    </row>
    <row r="19116" spans="1:8" x14ac:dyDescent="0.25">
      <c r="A19116" s="1"/>
      <c r="B19116" s="1" t="s">
        <v>6862</v>
      </c>
      <c r="C19116" s="1" t="s">
        <v>6863</v>
      </c>
      <c r="D19116" s="22" t="str">
        <f>HYPERLINK("https://rhld.insurance.arkansas.gov/NPILookup?Npi=1184348021","1184348021")</f>
        <v>1184348021</v>
      </c>
      <c r="E19116" s="1" t="s">
        <v>24267</v>
      </c>
      <c r="F19116" s="2"/>
      <c r="G19116" s="2"/>
      <c r="H19116" s="2"/>
    </row>
    <row r="19117" spans="1:8" x14ac:dyDescent="0.25">
      <c r="A19117" s="1"/>
      <c r="B19117" s="1" t="s">
        <v>6862</v>
      </c>
      <c r="C19117" s="1" t="s">
        <v>6863</v>
      </c>
      <c r="D19117" s="22" t="str">
        <f>HYPERLINK("https://rhld.insurance.arkansas.gov/NPILookup?Npi=1184352619","1184352619")</f>
        <v>1184352619</v>
      </c>
      <c r="E19117" s="1" t="s">
        <v>12353</v>
      </c>
      <c r="F19117" s="2"/>
      <c r="G19117" s="2"/>
      <c r="H19117" s="2"/>
    </row>
    <row r="19118" spans="1:8" x14ac:dyDescent="0.25">
      <c r="A19118" s="1"/>
      <c r="B19118" s="1" t="s">
        <v>6862</v>
      </c>
      <c r="C19118" s="1" t="s">
        <v>6863</v>
      </c>
      <c r="D19118" s="22" t="str">
        <f>HYPERLINK("https://rhld.insurance.arkansas.gov/NPILookup?Npi=1184655789","1184655789")</f>
        <v>1184655789</v>
      </c>
      <c r="E19118" s="1" t="s">
        <v>24268</v>
      </c>
      <c r="F19118" s="2"/>
      <c r="G19118" s="2"/>
      <c r="H19118" s="2"/>
    </row>
    <row r="19119" spans="1:8" x14ac:dyDescent="0.25">
      <c r="A19119" s="1"/>
      <c r="B19119" s="1" t="s">
        <v>6862</v>
      </c>
      <c r="C19119" s="1" t="s">
        <v>6863</v>
      </c>
      <c r="D19119" s="22" t="str">
        <f>HYPERLINK("https://rhld.insurance.arkansas.gov/NPILookup?Npi=1184681504","1184681504")</f>
        <v>1184681504</v>
      </c>
      <c r="E19119" s="1" t="s">
        <v>24269</v>
      </c>
      <c r="F19119" s="2"/>
      <c r="G19119" s="2"/>
      <c r="H19119" s="2"/>
    </row>
    <row r="19120" spans="1:8" x14ac:dyDescent="0.25">
      <c r="A19120" s="1"/>
      <c r="B19120" s="1" t="s">
        <v>6862</v>
      </c>
      <c r="C19120" s="1" t="s">
        <v>6863</v>
      </c>
      <c r="D19120" s="22" t="str">
        <f>HYPERLINK("https://rhld.insurance.arkansas.gov/NPILookup?Npi=1184755936","1184755936")</f>
        <v>1184755936</v>
      </c>
      <c r="E19120" s="1" t="s">
        <v>6935</v>
      </c>
      <c r="F19120" s="2"/>
      <c r="G19120" s="2"/>
      <c r="H19120" s="2"/>
    </row>
    <row r="19121" spans="1:8" x14ac:dyDescent="0.25">
      <c r="A19121" s="1"/>
      <c r="B19121" s="1" t="s">
        <v>6862</v>
      </c>
      <c r="C19121" s="1" t="s">
        <v>6863</v>
      </c>
      <c r="D19121" s="22" t="str">
        <f>HYPERLINK("https://rhld.insurance.arkansas.gov/NPILookup?Npi=1184871543","1184871543")</f>
        <v>1184871543</v>
      </c>
      <c r="E19121" s="1" t="s">
        <v>5260</v>
      </c>
      <c r="F19121" s="2"/>
      <c r="G19121" s="2"/>
      <c r="H19121" s="2"/>
    </row>
    <row r="19122" spans="1:8" x14ac:dyDescent="0.25">
      <c r="A19122" s="1"/>
      <c r="B19122" s="1" t="s">
        <v>6862</v>
      </c>
      <c r="C19122" s="1" t="s">
        <v>6863</v>
      </c>
      <c r="D19122" s="22" t="str">
        <f>HYPERLINK("https://rhld.insurance.arkansas.gov/NPILookup?Npi=1184928954","1184928954")</f>
        <v>1184928954</v>
      </c>
      <c r="E19122" s="1" t="s">
        <v>24270</v>
      </c>
      <c r="F19122" s="2"/>
      <c r="G19122" s="2"/>
      <c r="H19122" s="2"/>
    </row>
    <row r="19123" spans="1:8" x14ac:dyDescent="0.25">
      <c r="A19123" s="1"/>
      <c r="B19123" s="1" t="s">
        <v>6862</v>
      </c>
      <c r="C19123" s="1" t="s">
        <v>6863</v>
      </c>
      <c r="D19123" s="22" t="str">
        <f>HYPERLINK("https://rhld.insurance.arkansas.gov/NPILookup?Npi=1184959058","1184959058")</f>
        <v>1184959058</v>
      </c>
      <c r="E19123" s="1" t="s">
        <v>24271</v>
      </c>
      <c r="F19123" s="2"/>
      <c r="G19123" s="2"/>
      <c r="H19123" s="2"/>
    </row>
    <row r="19124" spans="1:8" x14ac:dyDescent="0.25">
      <c r="A19124" s="1"/>
      <c r="B19124" s="1" t="s">
        <v>6862</v>
      </c>
      <c r="C19124" s="1" t="s">
        <v>6863</v>
      </c>
      <c r="D19124" s="22" t="str">
        <f>HYPERLINK("https://rhld.insurance.arkansas.gov/NPILookup?Npi=1194015818","1194015818")</f>
        <v>1194015818</v>
      </c>
      <c r="E19124" s="1" t="s">
        <v>6936</v>
      </c>
      <c r="F19124" s="2"/>
      <c r="G19124" s="2"/>
      <c r="H19124" s="2"/>
    </row>
    <row r="19125" spans="1:8" x14ac:dyDescent="0.25">
      <c r="A19125" s="1"/>
      <c r="B19125" s="1" t="s">
        <v>6862</v>
      </c>
      <c r="C19125" s="1" t="s">
        <v>6863</v>
      </c>
      <c r="D19125" s="22" t="str">
        <f>HYPERLINK("https://rhld.insurance.arkansas.gov/NPILookup?Npi=1194032979","1194032979")</f>
        <v>1194032979</v>
      </c>
      <c r="E19125" s="1" t="s">
        <v>24272</v>
      </c>
      <c r="F19125" s="2"/>
      <c r="G19125" s="2"/>
      <c r="H19125" s="2"/>
    </row>
    <row r="19126" spans="1:8" x14ac:dyDescent="0.25">
      <c r="A19126" s="1"/>
      <c r="B19126" s="1" t="s">
        <v>6862</v>
      </c>
      <c r="C19126" s="1" t="s">
        <v>6863</v>
      </c>
      <c r="D19126" s="22" t="str">
        <f>HYPERLINK("https://rhld.insurance.arkansas.gov/NPILookup?Npi=1194101287","1194101287")</f>
        <v>1194101287</v>
      </c>
      <c r="E19126" s="1" t="s">
        <v>24273</v>
      </c>
      <c r="F19126" s="2"/>
      <c r="G19126" s="2"/>
      <c r="H19126" s="2"/>
    </row>
    <row r="19127" spans="1:8" x14ac:dyDescent="0.25">
      <c r="A19127" s="1"/>
      <c r="B19127" s="1" t="s">
        <v>6862</v>
      </c>
      <c r="C19127" s="1" t="s">
        <v>6863</v>
      </c>
      <c r="D19127" s="22" t="str">
        <f>HYPERLINK("https://rhld.insurance.arkansas.gov/NPILookup?Npi=1194103572","1194103572")</f>
        <v>1194103572</v>
      </c>
      <c r="E19127" s="1" t="s">
        <v>12354</v>
      </c>
      <c r="F19127" s="2"/>
      <c r="G19127" s="2"/>
      <c r="H19127" s="2"/>
    </row>
    <row r="19128" spans="1:8" x14ac:dyDescent="0.25">
      <c r="A19128" s="1"/>
      <c r="B19128" s="1" t="s">
        <v>6862</v>
      </c>
      <c r="C19128" s="1" t="s">
        <v>6863</v>
      </c>
      <c r="D19128" s="22" t="str">
        <f>HYPERLINK("https://rhld.insurance.arkansas.gov/NPILookup?Npi=1194149815","1194149815")</f>
        <v>1194149815</v>
      </c>
      <c r="E19128" s="1" t="s">
        <v>24274</v>
      </c>
      <c r="F19128" s="2"/>
      <c r="G19128" s="2"/>
      <c r="H19128" s="2"/>
    </row>
    <row r="19129" spans="1:8" x14ac:dyDescent="0.25">
      <c r="A19129" s="1"/>
      <c r="B19129" s="1" t="s">
        <v>6862</v>
      </c>
      <c r="C19129" s="1" t="s">
        <v>6863</v>
      </c>
      <c r="D19129" s="22" t="str">
        <f>HYPERLINK("https://rhld.insurance.arkansas.gov/NPILookup?Npi=1194191916","1194191916")</f>
        <v>1194191916</v>
      </c>
      <c r="E19129" s="1" t="s">
        <v>6937</v>
      </c>
      <c r="F19129" s="2"/>
      <c r="G19129" s="2"/>
      <c r="H19129" s="2"/>
    </row>
    <row r="19130" spans="1:8" x14ac:dyDescent="0.25">
      <c r="A19130" s="1"/>
      <c r="B19130" s="1" t="s">
        <v>6862</v>
      </c>
      <c r="C19130" s="1" t="s">
        <v>6863</v>
      </c>
      <c r="D19130" s="22" t="str">
        <f>HYPERLINK("https://rhld.insurance.arkansas.gov/NPILookup?Npi=1194543223","1194543223")</f>
        <v>1194543223</v>
      </c>
      <c r="E19130" s="1" t="s">
        <v>32014</v>
      </c>
      <c r="F19130" s="2"/>
      <c r="G19130" s="2"/>
      <c r="H19130" s="2"/>
    </row>
    <row r="19131" spans="1:8" x14ac:dyDescent="0.25">
      <c r="A19131" s="1"/>
      <c r="B19131" s="1" t="s">
        <v>6862</v>
      </c>
      <c r="C19131" s="1" t="s">
        <v>6863</v>
      </c>
      <c r="D19131" s="22" t="str">
        <f>HYPERLINK("https://rhld.insurance.arkansas.gov/NPILookup?Npi=1194761650","1194761650")</f>
        <v>1194761650</v>
      </c>
      <c r="E19131" s="1" t="s">
        <v>6938</v>
      </c>
      <c r="F19131" s="2"/>
      <c r="G19131" s="2"/>
      <c r="H19131" s="2"/>
    </row>
    <row r="19132" spans="1:8" x14ac:dyDescent="0.25">
      <c r="A19132" s="1"/>
      <c r="B19132" s="1" t="s">
        <v>6862</v>
      </c>
      <c r="C19132" s="1" t="s">
        <v>6863</v>
      </c>
      <c r="D19132" s="22" t="str">
        <f>HYPERLINK("https://rhld.insurance.arkansas.gov/NPILookup?Npi=1194782458","1194782458")</f>
        <v>1194782458</v>
      </c>
      <c r="E19132" s="1" t="s">
        <v>24275</v>
      </c>
      <c r="F19132" s="2"/>
      <c r="G19132" s="2"/>
      <c r="H19132" s="2"/>
    </row>
    <row r="19133" spans="1:8" x14ac:dyDescent="0.25">
      <c r="A19133" s="1"/>
      <c r="B19133" s="1" t="s">
        <v>6862</v>
      </c>
      <c r="C19133" s="1" t="s">
        <v>6863</v>
      </c>
      <c r="D19133" s="22" t="str">
        <f>HYPERLINK("https://rhld.insurance.arkansas.gov/NPILookup?Npi=1194990390","1194990390")</f>
        <v>1194990390</v>
      </c>
      <c r="E19133" s="1" t="s">
        <v>24277</v>
      </c>
      <c r="F19133" s="2"/>
      <c r="G19133" s="2"/>
      <c r="H19133" s="2"/>
    </row>
    <row r="19134" spans="1:8" x14ac:dyDescent="0.25">
      <c r="A19134" s="1"/>
      <c r="B19134" s="1" t="s">
        <v>6862</v>
      </c>
      <c r="C19134" s="1" t="s">
        <v>6863</v>
      </c>
      <c r="D19134" s="22" t="str">
        <f>HYPERLINK("https://rhld.insurance.arkansas.gov/NPILookup?Npi=1205113586","1205113586")</f>
        <v>1205113586</v>
      </c>
      <c r="E19134" s="1" t="s">
        <v>24278</v>
      </c>
      <c r="F19134" s="2"/>
      <c r="G19134" s="2"/>
      <c r="H19134" s="2"/>
    </row>
    <row r="19135" spans="1:8" x14ac:dyDescent="0.25">
      <c r="A19135" s="1"/>
      <c r="B19135" s="1" t="s">
        <v>6862</v>
      </c>
      <c r="C19135" s="1" t="s">
        <v>6863</v>
      </c>
      <c r="D19135" s="22" t="str">
        <f>HYPERLINK("https://rhld.insurance.arkansas.gov/NPILookup?Npi=1205114584","1205114584")</f>
        <v>1205114584</v>
      </c>
      <c r="E19135" s="1" t="s">
        <v>24279</v>
      </c>
      <c r="F19135" s="2"/>
      <c r="G19135" s="2"/>
      <c r="H19135" s="2"/>
    </row>
    <row r="19136" spans="1:8" x14ac:dyDescent="0.25">
      <c r="A19136" s="1"/>
      <c r="B19136" s="1" t="s">
        <v>6862</v>
      </c>
      <c r="C19136" s="1" t="s">
        <v>6863</v>
      </c>
      <c r="D19136" s="22" t="str">
        <f>HYPERLINK("https://rhld.insurance.arkansas.gov/NPILookup?Npi=1205118221","1205118221")</f>
        <v>1205118221</v>
      </c>
      <c r="E19136" s="1" t="s">
        <v>24280</v>
      </c>
      <c r="F19136" s="2"/>
      <c r="G19136" s="2"/>
      <c r="H19136" s="2"/>
    </row>
    <row r="19137" spans="1:8" x14ac:dyDescent="0.25">
      <c r="A19137" s="1"/>
      <c r="B19137" s="1" t="s">
        <v>6862</v>
      </c>
      <c r="C19137" s="1" t="s">
        <v>6863</v>
      </c>
      <c r="D19137" s="22" t="str">
        <f>HYPERLINK("https://rhld.insurance.arkansas.gov/NPILookup?Npi=1205163664","1205163664")</f>
        <v>1205163664</v>
      </c>
      <c r="E19137" s="1" t="s">
        <v>24281</v>
      </c>
      <c r="F19137" s="2"/>
      <c r="G19137" s="2"/>
      <c r="H19137" s="2"/>
    </row>
    <row r="19138" spans="1:8" x14ac:dyDescent="0.25">
      <c r="A19138" s="1"/>
      <c r="B19138" s="1" t="s">
        <v>6862</v>
      </c>
      <c r="C19138" s="1" t="s">
        <v>6863</v>
      </c>
      <c r="D19138" s="22" t="str">
        <f>HYPERLINK("https://rhld.insurance.arkansas.gov/NPILookup?Npi=1205263845","1205263845")</f>
        <v>1205263845</v>
      </c>
      <c r="E19138" s="1" t="s">
        <v>24282</v>
      </c>
      <c r="F19138" s="2"/>
      <c r="G19138" s="2"/>
      <c r="H19138" s="2"/>
    </row>
    <row r="19139" spans="1:8" x14ac:dyDescent="0.25">
      <c r="A19139" s="1"/>
      <c r="B19139" s="1" t="s">
        <v>6862</v>
      </c>
      <c r="C19139" s="1" t="s">
        <v>6863</v>
      </c>
      <c r="D19139" s="22" t="str">
        <f>HYPERLINK("https://rhld.insurance.arkansas.gov/NPILookup?Npi=1205276557","1205276557")</f>
        <v>1205276557</v>
      </c>
      <c r="E19139" s="1" t="s">
        <v>24283</v>
      </c>
      <c r="F19139" s="2"/>
      <c r="G19139" s="2"/>
      <c r="H19139" s="2"/>
    </row>
    <row r="19140" spans="1:8" x14ac:dyDescent="0.25">
      <c r="A19140" s="1"/>
      <c r="B19140" s="1" t="s">
        <v>6862</v>
      </c>
      <c r="C19140" s="1" t="s">
        <v>6863</v>
      </c>
      <c r="D19140" s="22" t="str">
        <f>HYPERLINK("https://rhld.insurance.arkansas.gov/NPILookup?Npi=1205342631","1205342631")</f>
        <v>1205342631</v>
      </c>
      <c r="E19140" s="1" t="s">
        <v>6939</v>
      </c>
      <c r="F19140" s="2"/>
      <c r="G19140" s="2"/>
      <c r="H19140" s="2"/>
    </row>
    <row r="19141" spans="1:8" x14ac:dyDescent="0.25">
      <c r="A19141" s="1"/>
      <c r="B19141" s="1" t="s">
        <v>6862</v>
      </c>
      <c r="C19141" s="1" t="s">
        <v>6863</v>
      </c>
      <c r="D19141" s="22" t="str">
        <f>HYPERLINK("https://rhld.insurance.arkansas.gov/NPILookup?Npi=1205449527","1205449527")</f>
        <v>1205449527</v>
      </c>
      <c r="E19141" s="1" t="s">
        <v>24284</v>
      </c>
      <c r="F19141" s="2"/>
      <c r="G19141" s="2"/>
      <c r="H19141" s="2"/>
    </row>
    <row r="19142" spans="1:8" x14ac:dyDescent="0.25">
      <c r="A19142" s="1"/>
      <c r="B19142" s="1" t="s">
        <v>6862</v>
      </c>
      <c r="C19142" s="1" t="s">
        <v>6863</v>
      </c>
      <c r="D19142" s="22" t="str">
        <f>HYPERLINK("https://rhld.insurance.arkansas.gov/NPILookup?Npi=1205453255","1205453255")</f>
        <v>1205453255</v>
      </c>
      <c r="E19142" s="1" t="s">
        <v>24285</v>
      </c>
      <c r="F19142" s="2"/>
      <c r="G19142" s="2"/>
      <c r="H19142" s="2"/>
    </row>
    <row r="19143" spans="1:8" x14ac:dyDescent="0.25">
      <c r="A19143" s="1"/>
      <c r="B19143" s="1" t="s">
        <v>6862</v>
      </c>
      <c r="C19143" s="1" t="s">
        <v>6863</v>
      </c>
      <c r="D19143" s="22" t="str">
        <f>HYPERLINK("https://rhld.insurance.arkansas.gov/NPILookup?Npi=1205483815","1205483815")</f>
        <v>1205483815</v>
      </c>
      <c r="E19143" s="1" t="s">
        <v>24286</v>
      </c>
      <c r="F19143" s="2"/>
      <c r="G19143" s="2"/>
      <c r="H19143" s="2"/>
    </row>
    <row r="19144" spans="1:8" x14ac:dyDescent="0.25">
      <c r="A19144" s="1"/>
      <c r="B19144" s="1" t="s">
        <v>6862</v>
      </c>
      <c r="C19144" s="1" t="s">
        <v>6863</v>
      </c>
      <c r="D19144" s="22" t="str">
        <f>HYPERLINK("https://rhld.insurance.arkansas.gov/NPILookup?Npi=1205530334","1205530334")</f>
        <v>1205530334</v>
      </c>
      <c r="E19144" s="1" t="s">
        <v>6940</v>
      </c>
      <c r="F19144" s="2"/>
      <c r="G19144" s="2"/>
      <c r="H19144" s="2"/>
    </row>
    <row r="19145" spans="1:8" x14ac:dyDescent="0.25">
      <c r="A19145" s="1"/>
      <c r="B19145" s="1" t="s">
        <v>6862</v>
      </c>
      <c r="C19145" s="1" t="s">
        <v>6863</v>
      </c>
      <c r="D19145" s="22" t="str">
        <f>HYPERLINK("https://rhld.insurance.arkansas.gov/NPILookup?Npi=1205612470","1205612470")</f>
        <v>1205612470</v>
      </c>
      <c r="E19145" s="1" t="s">
        <v>6131</v>
      </c>
      <c r="F19145" s="2"/>
      <c r="G19145" s="2"/>
      <c r="H19145" s="2"/>
    </row>
    <row r="19146" spans="1:8" x14ac:dyDescent="0.25">
      <c r="A19146" s="1"/>
      <c r="B19146" s="1" t="s">
        <v>6862</v>
      </c>
      <c r="C19146" s="1" t="s">
        <v>6863</v>
      </c>
      <c r="D19146" s="22" t="str">
        <f>HYPERLINK("https://rhld.insurance.arkansas.gov/NPILookup?Npi=1205677531","1205677531")</f>
        <v>1205677531</v>
      </c>
      <c r="E19146" s="1" t="s">
        <v>24287</v>
      </c>
      <c r="F19146" s="2"/>
      <c r="G19146" s="2"/>
      <c r="H19146" s="2"/>
    </row>
    <row r="19147" spans="1:8" x14ac:dyDescent="0.25">
      <c r="A19147" s="1"/>
      <c r="B19147" s="1" t="s">
        <v>6862</v>
      </c>
      <c r="C19147" s="1" t="s">
        <v>6863</v>
      </c>
      <c r="D19147" s="22" t="str">
        <f>HYPERLINK("https://rhld.insurance.arkansas.gov/NPILookup?Npi=1205864618","1205864618")</f>
        <v>1205864618</v>
      </c>
      <c r="E19147" s="1" t="s">
        <v>24288</v>
      </c>
      <c r="F19147" s="2"/>
      <c r="G19147" s="2"/>
      <c r="H19147" s="2"/>
    </row>
    <row r="19148" spans="1:8" x14ac:dyDescent="0.25">
      <c r="A19148" s="1"/>
      <c r="B19148" s="1" t="s">
        <v>6862</v>
      </c>
      <c r="C19148" s="1" t="s">
        <v>6863</v>
      </c>
      <c r="D19148" s="22" t="str">
        <f>HYPERLINK("https://rhld.insurance.arkansas.gov/NPILookup?Npi=1205954088","1205954088")</f>
        <v>1205954088</v>
      </c>
      <c r="E19148" s="1" t="s">
        <v>24289</v>
      </c>
      <c r="F19148" s="2"/>
      <c r="G19148" s="2"/>
      <c r="H19148" s="2"/>
    </row>
    <row r="19149" spans="1:8" x14ac:dyDescent="0.25">
      <c r="A19149" s="1"/>
      <c r="B19149" s="1" t="s">
        <v>6862</v>
      </c>
      <c r="C19149" s="1" t="s">
        <v>6863</v>
      </c>
      <c r="D19149" s="22" t="str">
        <f>HYPERLINK("https://rhld.insurance.arkansas.gov/NPILookup?Npi=1205991064","1205991064")</f>
        <v>1205991064</v>
      </c>
      <c r="E19149" s="1" t="s">
        <v>24290</v>
      </c>
      <c r="F19149" s="2"/>
      <c r="G19149" s="2"/>
      <c r="H19149" s="2"/>
    </row>
    <row r="19150" spans="1:8" x14ac:dyDescent="0.25">
      <c r="A19150" s="1"/>
      <c r="B19150" s="1" t="s">
        <v>6862</v>
      </c>
      <c r="C19150" s="1" t="s">
        <v>6863</v>
      </c>
      <c r="D19150" s="22" t="str">
        <f>HYPERLINK("https://rhld.insurance.arkansas.gov/NPILookup?Npi=1215111034","1215111034")</f>
        <v>1215111034</v>
      </c>
      <c r="E19150" s="1" t="s">
        <v>24291</v>
      </c>
      <c r="F19150" s="2"/>
      <c r="G19150" s="2"/>
      <c r="H19150" s="2"/>
    </row>
    <row r="19151" spans="1:8" x14ac:dyDescent="0.25">
      <c r="A19151" s="1"/>
      <c r="B19151" s="1" t="s">
        <v>6862</v>
      </c>
      <c r="C19151" s="1" t="s">
        <v>6863</v>
      </c>
      <c r="D19151" s="22" t="str">
        <f>HYPERLINK("https://rhld.insurance.arkansas.gov/NPILookup?Npi=1215124433","1215124433")</f>
        <v>1215124433</v>
      </c>
      <c r="E19151" s="1" t="s">
        <v>12355</v>
      </c>
      <c r="F19151" s="2"/>
      <c r="G19151" s="2"/>
      <c r="H19151" s="2"/>
    </row>
    <row r="19152" spans="1:8" x14ac:dyDescent="0.25">
      <c r="A19152" s="1"/>
      <c r="B19152" s="1" t="s">
        <v>6862</v>
      </c>
      <c r="C19152" s="1" t="s">
        <v>6863</v>
      </c>
      <c r="D19152" s="22" t="str">
        <f>HYPERLINK("https://rhld.insurance.arkansas.gov/NPILookup?Npi=1215149935","1215149935")</f>
        <v>1215149935</v>
      </c>
      <c r="E19152" s="1" t="s">
        <v>6941</v>
      </c>
      <c r="F19152" s="2"/>
      <c r="G19152" s="2"/>
      <c r="H19152" s="2"/>
    </row>
    <row r="19153" spans="1:8" x14ac:dyDescent="0.25">
      <c r="A19153" s="1"/>
      <c r="B19153" s="1" t="s">
        <v>6862</v>
      </c>
      <c r="C19153" s="1" t="s">
        <v>6863</v>
      </c>
      <c r="D19153" s="22" t="str">
        <f>HYPERLINK("https://rhld.insurance.arkansas.gov/NPILookup?Npi=1215151022","1215151022")</f>
        <v>1215151022</v>
      </c>
      <c r="E19153" s="1" t="s">
        <v>12356</v>
      </c>
      <c r="F19153" s="2"/>
      <c r="G19153" s="2"/>
      <c r="H19153" s="2"/>
    </row>
    <row r="19154" spans="1:8" x14ac:dyDescent="0.25">
      <c r="A19154" s="1"/>
      <c r="B19154" s="1" t="s">
        <v>6862</v>
      </c>
      <c r="C19154" s="1" t="s">
        <v>6863</v>
      </c>
      <c r="D19154" s="22" t="str">
        <f>HYPERLINK("https://rhld.insurance.arkansas.gov/NPILookup?Npi=1215163191","1215163191")</f>
        <v>1215163191</v>
      </c>
      <c r="E19154" s="1" t="s">
        <v>24292</v>
      </c>
      <c r="F19154" s="2"/>
      <c r="G19154" s="2"/>
      <c r="H19154" s="2"/>
    </row>
    <row r="19155" spans="1:8" x14ac:dyDescent="0.25">
      <c r="A19155" s="1"/>
      <c r="B19155" s="1" t="s">
        <v>6862</v>
      </c>
      <c r="C19155" s="1" t="s">
        <v>6863</v>
      </c>
      <c r="D19155" s="22" t="str">
        <f>HYPERLINK("https://rhld.insurance.arkansas.gov/NPILookup?Npi=1215176953","1215176953")</f>
        <v>1215176953</v>
      </c>
      <c r="E19155" s="1" t="s">
        <v>24293</v>
      </c>
      <c r="F19155" s="2"/>
      <c r="G19155" s="2"/>
      <c r="H19155" s="2"/>
    </row>
    <row r="19156" spans="1:8" x14ac:dyDescent="0.25">
      <c r="A19156" s="1"/>
      <c r="B19156" s="1" t="s">
        <v>6862</v>
      </c>
      <c r="C19156" s="1" t="s">
        <v>6863</v>
      </c>
      <c r="D19156" s="22" t="str">
        <f>HYPERLINK("https://rhld.insurance.arkansas.gov/NPILookup?Npi=1215185665","1215185665")</f>
        <v>1215185665</v>
      </c>
      <c r="E19156" s="1" t="s">
        <v>12357</v>
      </c>
      <c r="F19156" s="2"/>
      <c r="G19156" s="2"/>
      <c r="H19156" s="2"/>
    </row>
    <row r="19157" spans="1:8" x14ac:dyDescent="0.25">
      <c r="A19157" s="1"/>
      <c r="B19157" s="1" t="s">
        <v>6862</v>
      </c>
      <c r="C19157" s="1" t="s">
        <v>6863</v>
      </c>
      <c r="D19157" s="22" t="str">
        <f>HYPERLINK("https://rhld.insurance.arkansas.gov/NPILookup?Npi=1215326608","1215326608")</f>
        <v>1215326608</v>
      </c>
      <c r="E19157" s="1" t="s">
        <v>12358</v>
      </c>
      <c r="F19157" s="2"/>
      <c r="G19157" s="2"/>
      <c r="H19157" s="2"/>
    </row>
    <row r="19158" spans="1:8" x14ac:dyDescent="0.25">
      <c r="A19158" s="1"/>
      <c r="B19158" s="1" t="s">
        <v>6862</v>
      </c>
      <c r="C19158" s="1" t="s">
        <v>6863</v>
      </c>
      <c r="D19158" s="22" t="str">
        <f>HYPERLINK("https://rhld.insurance.arkansas.gov/NPILookup?Npi=1215329081","1215329081")</f>
        <v>1215329081</v>
      </c>
      <c r="E19158" s="1" t="s">
        <v>24294</v>
      </c>
      <c r="F19158" s="2"/>
      <c r="G19158" s="2"/>
      <c r="H19158" s="2"/>
    </row>
    <row r="19159" spans="1:8" x14ac:dyDescent="0.25">
      <c r="A19159" s="1"/>
      <c r="B19159" s="1" t="s">
        <v>6862</v>
      </c>
      <c r="C19159" s="1" t="s">
        <v>6863</v>
      </c>
      <c r="D19159" s="22" t="str">
        <f>HYPERLINK("https://rhld.insurance.arkansas.gov/NPILookup?Npi=1215364708","1215364708")</f>
        <v>1215364708</v>
      </c>
      <c r="E19159" s="1" t="s">
        <v>24295</v>
      </c>
      <c r="F19159" s="2"/>
      <c r="G19159" s="2"/>
      <c r="H19159" s="2"/>
    </row>
    <row r="19160" spans="1:8" x14ac:dyDescent="0.25">
      <c r="A19160" s="1"/>
      <c r="B19160" s="1" t="s">
        <v>6862</v>
      </c>
      <c r="C19160" s="1" t="s">
        <v>6863</v>
      </c>
      <c r="D19160" s="22" t="str">
        <f>HYPERLINK("https://rhld.insurance.arkansas.gov/NPILookup?Npi=1215409818","1215409818")</f>
        <v>1215409818</v>
      </c>
      <c r="E19160" s="1" t="s">
        <v>24296</v>
      </c>
      <c r="F19160" s="2"/>
      <c r="G19160" s="2"/>
      <c r="H19160" s="2"/>
    </row>
    <row r="19161" spans="1:8" x14ac:dyDescent="0.25">
      <c r="A19161" s="1"/>
      <c r="B19161" s="1" t="s">
        <v>6862</v>
      </c>
      <c r="C19161" s="1" t="s">
        <v>6863</v>
      </c>
      <c r="D19161" s="22" t="str">
        <f>HYPERLINK("https://rhld.insurance.arkansas.gov/NPILookup?Npi=1215422399","1215422399")</f>
        <v>1215422399</v>
      </c>
      <c r="E19161" s="1" t="s">
        <v>24297</v>
      </c>
      <c r="F19161" s="2"/>
      <c r="G19161" s="2"/>
      <c r="H19161" s="2"/>
    </row>
    <row r="19162" spans="1:8" x14ac:dyDescent="0.25">
      <c r="A19162" s="1"/>
      <c r="B19162" s="1" t="s">
        <v>6862</v>
      </c>
      <c r="C19162" s="1" t="s">
        <v>6863</v>
      </c>
      <c r="D19162" s="22" t="str">
        <f>HYPERLINK("https://rhld.insurance.arkansas.gov/NPILookup?Npi=1215485099","1215485099")</f>
        <v>1215485099</v>
      </c>
      <c r="E19162" s="1" t="s">
        <v>24298</v>
      </c>
      <c r="F19162" s="2"/>
      <c r="G19162" s="2"/>
      <c r="H19162" s="2"/>
    </row>
    <row r="19163" spans="1:8" x14ac:dyDescent="0.25">
      <c r="A19163" s="1"/>
      <c r="B19163" s="1" t="s">
        <v>6862</v>
      </c>
      <c r="C19163" s="1" t="s">
        <v>6863</v>
      </c>
      <c r="D19163" s="22" t="str">
        <f>HYPERLINK("https://rhld.insurance.arkansas.gov/NPILookup?Npi=1215538178","1215538178")</f>
        <v>1215538178</v>
      </c>
      <c r="E19163" s="1" t="s">
        <v>24299</v>
      </c>
      <c r="F19163" s="2"/>
      <c r="G19163" s="2"/>
      <c r="H19163" s="2"/>
    </row>
    <row r="19164" spans="1:8" x14ac:dyDescent="0.25">
      <c r="A19164" s="1"/>
      <c r="B19164" s="1" t="s">
        <v>6862</v>
      </c>
      <c r="C19164" s="1" t="s">
        <v>6863</v>
      </c>
      <c r="D19164" s="22" t="str">
        <f>HYPERLINK("https://rhld.insurance.arkansas.gov/NPILookup?Npi=1215556840","1215556840")</f>
        <v>1215556840</v>
      </c>
      <c r="E19164" s="1" t="s">
        <v>24300</v>
      </c>
      <c r="F19164" s="2"/>
      <c r="G19164" s="2"/>
      <c r="H19164" s="2"/>
    </row>
    <row r="19165" spans="1:8" x14ac:dyDescent="0.25">
      <c r="A19165" s="1"/>
      <c r="B19165" s="1" t="s">
        <v>6862</v>
      </c>
      <c r="C19165" s="1" t="s">
        <v>6863</v>
      </c>
      <c r="D19165" s="22" t="str">
        <f>HYPERLINK("https://rhld.insurance.arkansas.gov/NPILookup?Npi=1215657986","1215657986")</f>
        <v>1215657986</v>
      </c>
      <c r="E19165" s="1" t="s">
        <v>24301</v>
      </c>
      <c r="F19165" s="2"/>
      <c r="G19165" s="2"/>
      <c r="H19165" s="2"/>
    </row>
    <row r="19166" spans="1:8" x14ac:dyDescent="0.25">
      <c r="A19166" s="1"/>
      <c r="B19166" s="1" t="s">
        <v>6862</v>
      </c>
      <c r="C19166" s="1" t="s">
        <v>6863</v>
      </c>
      <c r="D19166" s="22" t="str">
        <f>HYPERLINK("https://rhld.insurance.arkansas.gov/NPILookup?Npi=1215665609","1215665609")</f>
        <v>1215665609</v>
      </c>
      <c r="E19166" s="1" t="s">
        <v>12359</v>
      </c>
      <c r="F19166" s="2"/>
      <c r="G19166" s="2"/>
      <c r="H19166" s="2"/>
    </row>
    <row r="19167" spans="1:8" x14ac:dyDescent="0.25">
      <c r="A19167" s="1"/>
      <c r="B19167" s="1" t="s">
        <v>6862</v>
      </c>
      <c r="C19167" s="1" t="s">
        <v>6863</v>
      </c>
      <c r="D19167" s="22" t="str">
        <f>HYPERLINK("https://rhld.insurance.arkansas.gov/NPILookup?Npi=1215717707","1215717707")</f>
        <v>1215717707</v>
      </c>
      <c r="E19167" s="1" t="s">
        <v>6942</v>
      </c>
      <c r="F19167" s="2"/>
      <c r="G19167" s="2"/>
      <c r="H19167" s="2"/>
    </row>
    <row r="19168" spans="1:8" x14ac:dyDescent="0.25">
      <c r="A19168" s="1"/>
      <c r="B19168" s="1" t="s">
        <v>6862</v>
      </c>
      <c r="C19168" s="1" t="s">
        <v>6863</v>
      </c>
      <c r="D19168" s="22" t="str">
        <f>HYPERLINK("https://rhld.insurance.arkansas.gov/NPILookup?Npi=1215738125","1215738125")</f>
        <v>1215738125</v>
      </c>
      <c r="E19168" s="1" t="s">
        <v>32015</v>
      </c>
      <c r="F19168" s="2"/>
      <c r="G19168" s="2"/>
      <c r="H19168" s="2"/>
    </row>
    <row r="19169" spans="1:8" x14ac:dyDescent="0.25">
      <c r="A19169" s="1"/>
      <c r="B19169" s="1" t="s">
        <v>6862</v>
      </c>
      <c r="C19169" s="1" t="s">
        <v>6863</v>
      </c>
      <c r="D19169" s="22" t="str">
        <f>HYPERLINK("https://rhld.insurance.arkansas.gov/NPILookup?Npi=1215768387","1215768387")</f>
        <v>1215768387</v>
      </c>
      <c r="E19169" s="1" t="s">
        <v>24302</v>
      </c>
      <c r="F19169" s="2"/>
      <c r="G19169" s="2"/>
      <c r="H19169" s="2"/>
    </row>
    <row r="19170" spans="1:8" x14ac:dyDescent="0.25">
      <c r="A19170" s="1"/>
      <c r="B19170" s="1" t="s">
        <v>6862</v>
      </c>
      <c r="C19170" s="1" t="s">
        <v>6863</v>
      </c>
      <c r="D19170" s="22" t="str">
        <f>HYPERLINK("https://rhld.insurance.arkansas.gov/NPILookup?Npi=1225053689","1225053689")</f>
        <v>1225053689</v>
      </c>
      <c r="E19170" s="1" t="s">
        <v>6944</v>
      </c>
      <c r="F19170" s="2"/>
      <c r="G19170" s="2"/>
      <c r="H19170" s="2"/>
    </row>
    <row r="19171" spans="1:8" x14ac:dyDescent="0.25">
      <c r="A19171" s="1"/>
      <c r="B19171" s="1" t="s">
        <v>6862</v>
      </c>
      <c r="C19171" s="1" t="s">
        <v>6863</v>
      </c>
      <c r="D19171" s="22" t="str">
        <f>HYPERLINK("https://rhld.insurance.arkansas.gov/NPILookup?Npi=1225144793","1225144793")</f>
        <v>1225144793</v>
      </c>
      <c r="E19171" s="1" t="s">
        <v>6945</v>
      </c>
      <c r="F19171" s="2"/>
      <c r="G19171" s="2"/>
      <c r="H19171" s="2"/>
    </row>
    <row r="19172" spans="1:8" x14ac:dyDescent="0.25">
      <c r="A19172" s="1"/>
      <c r="B19172" s="1" t="s">
        <v>6862</v>
      </c>
      <c r="C19172" s="1" t="s">
        <v>6863</v>
      </c>
      <c r="D19172" s="22" t="str">
        <f>HYPERLINK("https://rhld.insurance.arkansas.gov/NPILookup?Npi=1225157522","1225157522")</f>
        <v>1225157522</v>
      </c>
      <c r="E19172" s="1" t="s">
        <v>12360</v>
      </c>
      <c r="F19172" s="2"/>
      <c r="G19172" s="2"/>
      <c r="H19172" s="2"/>
    </row>
    <row r="19173" spans="1:8" x14ac:dyDescent="0.25">
      <c r="A19173" s="1"/>
      <c r="B19173" s="1" t="s">
        <v>6862</v>
      </c>
      <c r="C19173" s="1" t="s">
        <v>6863</v>
      </c>
      <c r="D19173" s="22" t="str">
        <f>HYPERLINK("https://rhld.insurance.arkansas.gov/NPILookup?Npi=1225185002","1225185002")</f>
        <v>1225185002</v>
      </c>
      <c r="E19173" s="1" t="s">
        <v>20006</v>
      </c>
      <c r="F19173" s="2"/>
      <c r="G19173" s="2"/>
      <c r="H19173" s="2"/>
    </row>
    <row r="19174" spans="1:8" x14ac:dyDescent="0.25">
      <c r="A19174" s="1"/>
      <c r="B19174" s="1" t="s">
        <v>6862</v>
      </c>
      <c r="C19174" s="1" t="s">
        <v>6863</v>
      </c>
      <c r="D19174" s="22" t="str">
        <f>HYPERLINK("https://rhld.insurance.arkansas.gov/NPILookup?Npi=1225188550","1225188550")</f>
        <v>1225188550</v>
      </c>
      <c r="E19174" s="1" t="s">
        <v>24303</v>
      </c>
      <c r="F19174" s="2"/>
      <c r="G19174" s="2"/>
      <c r="H19174" s="2"/>
    </row>
    <row r="19175" spans="1:8" x14ac:dyDescent="0.25">
      <c r="A19175" s="1"/>
      <c r="B19175" s="1" t="s">
        <v>6862</v>
      </c>
      <c r="C19175" s="1" t="s">
        <v>6863</v>
      </c>
      <c r="D19175" s="22" t="str">
        <f>HYPERLINK("https://rhld.insurance.arkansas.gov/NPILookup?Npi=1225287287","1225287287")</f>
        <v>1225287287</v>
      </c>
      <c r="E19175" s="1" t="s">
        <v>24304</v>
      </c>
      <c r="F19175" s="2"/>
      <c r="G19175" s="2"/>
      <c r="H19175" s="2"/>
    </row>
    <row r="19176" spans="1:8" x14ac:dyDescent="0.25">
      <c r="A19176" s="1"/>
      <c r="B19176" s="1" t="s">
        <v>6862</v>
      </c>
      <c r="C19176" s="1" t="s">
        <v>6863</v>
      </c>
      <c r="D19176" s="22" t="str">
        <f>HYPERLINK("https://rhld.insurance.arkansas.gov/NPILookup?Npi=1225296890","1225296890")</f>
        <v>1225296890</v>
      </c>
      <c r="E19176" s="1" t="s">
        <v>24305</v>
      </c>
      <c r="F19176" s="2"/>
      <c r="G19176" s="2"/>
      <c r="H19176" s="2"/>
    </row>
    <row r="19177" spans="1:8" x14ac:dyDescent="0.25">
      <c r="A19177" s="1"/>
      <c r="B19177" s="1" t="s">
        <v>6862</v>
      </c>
      <c r="C19177" s="1" t="s">
        <v>6863</v>
      </c>
      <c r="D19177" s="22" t="str">
        <f>HYPERLINK("https://rhld.insurance.arkansas.gov/NPILookup?Npi=1225361652","1225361652")</f>
        <v>1225361652</v>
      </c>
      <c r="E19177" s="1" t="s">
        <v>24306</v>
      </c>
      <c r="F19177" s="2"/>
      <c r="G19177" s="2"/>
      <c r="H19177" s="2"/>
    </row>
    <row r="19178" spans="1:8" x14ac:dyDescent="0.25">
      <c r="A19178" s="1"/>
      <c r="B19178" s="1" t="s">
        <v>6862</v>
      </c>
      <c r="C19178" s="1" t="s">
        <v>6863</v>
      </c>
      <c r="D19178" s="22" t="str">
        <f>HYPERLINK("https://rhld.insurance.arkansas.gov/NPILookup?Npi=1225398274","1225398274")</f>
        <v>1225398274</v>
      </c>
      <c r="E19178" s="1" t="s">
        <v>6946</v>
      </c>
      <c r="F19178" s="2"/>
      <c r="G19178" s="2"/>
      <c r="H19178" s="2"/>
    </row>
    <row r="19179" spans="1:8" x14ac:dyDescent="0.25">
      <c r="A19179" s="1"/>
      <c r="B19179" s="1" t="s">
        <v>6862</v>
      </c>
      <c r="C19179" s="1" t="s">
        <v>6863</v>
      </c>
      <c r="D19179" s="22" t="str">
        <f>HYPERLINK("https://rhld.insurance.arkansas.gov/NPILookup?Npi=1225459951","1225459951")</f>
        <v>1225459951</v>
      </c>
      <c r="E19179" s="1" t="s">
        <v>32016</v>
      </c>
      <c r="F19179" s="2"/>
      <c r="G19179" s="2"/>
      <c r="H19179" s="2"/>
    </row>
    <row r="19180" spans="1:8" x14ac:dyDescent="0.25">
      <c r="A19180" s="1"/>
      <c r="B19180" s="1" t="s">
        <v>6862</v>
      </c>
      <c r="C19180" s="1" t="s">
        <v>6863</v>
      </c>
      <c r="D19180" s="22" t="str">
        <f>HYPERLINK("https://rhld.insurance.arkansas.gov/NPILookup?Npi=1225510415","1225510415")</f>
        <v>1225510415</v>
      </c>
      <c r="E19180" s="1" t="s">
        <v>24307</v>
      </c>
      <c r="F19180" s="2"/>
      <c r="G19180" s="2"/>
      <c r="H19180" s="2"/>
    </row>
    <row r="19181" spans="1:8" x14ac:dyDescent="0.25">
      <c r="A19181" s="1"/>
      <c r="B19181" s="1" t="s">
        <v>6862</v>
      </c>
      <c r="C19181" s="1" t="s">
        <v>6863</v>
      </c>
      <c r="D19181" s="22" t="str">
        <f>HYPERLINK("https://rhld.insurance.arkansas.gov/NPILookup?Npi=1225528482","1225528482")</f>
        <v>1225528482</v>
      </c>
      <c r="E19181" s="1" t="s">
        <v>6947</v>
      </c>
      <c r="F19181" s="2"/>
      <c r="G19181" s="2"/>
      <c r="H19181" s="2"/>
    </row>
    <row r="19182" spans="1:8" x14ac:dyDescent="0.25">
      <c r="A19182" s="1"/>
      <c r="B19182" s="1" t="s">
        <v>6862</v>
      </c>
      <c r="C19182" s="1" t="s">
        <v>6863</v>
      </c>
      <c r="D19182" s="22" t="str">
        <f>HYPERLINK("https://rhld.insurance.arkansas.gov/NPILookup?Npi=1225537525","1225537525")</f>
        <v>1225537525</v>
      </c>
      <c r="E19182" s="1" t="s">
        <v>12361</v>
      </c>
      <c r="F19182" s="2"/>
      <c r="G19182" s="2"/>
      <c r="H19182" s="2"/>
    </row>
    <row r="19183" spans="1:8" x14ac:dyDescent="0.25">
      <c r="A19183" s="1"/>
      <c r="B19183" s="1" t="s">
        <v>6862</v>
      </c>
      <c r="C19183" s="1" t="s">
        <v>6863</v>
      </c>
      <c r="D19183" s="22" t="str">
        <f>HYPERLINK("https://rhld.insurance.arkansas.gov/NPILookup?Npi=1225542749","1225542749")</f>
        <v>1225542749</v>
      </c>
      <c r="E19183" s="1" t="s">
        <v>12362</v>
      </c>
      <c r="F19183" s="2"/>
      <c r="G19183" s="2"/>
      <c r="H19183" s="2"/>
    </row>
    <row r="19184" spans="1:8" x14ac:dyDescent="0.25">
      <c r="A19184" s="1"/>
      <c r="B19184" s="1" t="s">
        <v>6862</v>
      </c>
      <c r="C19184" s="1" t="s">
        <v>6863</v>
      </c>
      <c r="D19184" s="22" t="str">
        <f>HYPERLINK("https://rhld.insurance.arkansas.gov/NPILookup?Npi=1225682768","1225682768")</f>
        <v>1225682768</v>
      </c>
      <c r="E19184" s="1" t="s">
        <v>24308</v>
      </c>
      <c r="F19184" s="2"/>
      <c r="G19184" s="2"/>
      <c r="H19184" s="2"/>
    </row>
    <row r="19185" spans="1:8" x14ac:dyDescent="0.25">
      <c r="A19185" s="1"/>
      <c r="B19185" s="1" t="s">
        <v>6862</v>
      </c>
      <c r="C19185" s="1" t="s">
        <v>6863</v>
      </c>
      <c r="D19185" s="22" t="str">
        <f>HYPERLINK("https://rhld.insurance.arkansas.gov/NPILookup?Npi=1225683568","1225683568")</f>
        <v>1225683568</v>
      </c>
      <c r="E19185" s="1" t="s">
        <v>24309</v>
      </c>
      <c r="F19185" s="2"/>
      <c r="G19185" s="2"/>
      <c r="H19185" s="2"/>
    </row>
    <row r="19186" spans="1:8" x14ac:dyDescent="0.25">
      <c r="A19186" s="1"/>
      <c r="B19186" s="1" t="s">
        <v>6862</v>
      </c>
      <c r="C19186" s="1" t="s">
        <v>6863</v>
      </c>
      <c r="D19186" s="22" t="str">
        <f>HYPERLINK("https://rhld.insurance.arkansas.gov/NPILookup?Npi=1225683808","1225683808")</f>
        <v>1225683808</v>
      </c>
      <c r="E19186" s="1" t="s">
        <v>24310</v>
      </c>
      <c r="F19186" s="2"/>
      <c r="G19186" s="2"/>
      <c r="H19186" s="2"/>
    </row>
    <row r="19187" spans="1:8" x14ac:dyDescent="0.25">
      <c r="A19187" s="1"/>
      <c r="B19187" s="1" t="s">
        <v>6862</v>
      </c>
      <c r="C19187" s="1" t="s">
        <v>6863</v>
      </c>
      <c r="D19187" s="22" t="str">
        <f>HYPERLINK("https://rhld.insurance.arkansas.gov/NPILookup?Npi=1225685092","1225685092")</f>
        <v>1225685092</v>
      </c>
      <c r="E19187" s="1" t="s">
        <v>24311</v>
      </c>
      <c r="F19187" s="2"/>
      <c r="G19187" s="2"/>
      <c r="H19187" s="2"/>
    </row>
    <row r="19188" spans="1:8" x14ac:dyDescent="0.25">
      <c r="A19188" s="1"/>
      <c r="B19188" s="1" t="s">
        <v>6862</v>
      </c>
      <c r="C19188" s="1" t="s">
        <v>6863</v>
      </c>
      <c r="D19188" s="22" t="str">
        <f>HYPERLINK("https://rhld.insurance.arkansas.gov/NPILookup?Npi=1225698210","1225698210")</f>
        <v>1225698210</v>
      </c>
      <c r="E19188" s="1" t="s">
        <v>24312</v>
      </c>
      <c r="F19188" s="2"/>
      <c r="G19188" s="2"/>
      <c r="H19188" s="2"/>
    </row>
    <row r="19189" spans="1:8" x14ac:dyDescent="0.25">
      <c r="A19189" s="1"/>
      <c r="B19189" s="1" t="s">
        <v>6862</v>
      </c>
      <c r="C19189" s="1" t="s">
        <v>6863</v>
      </c>
      <c r="D19189" s="22" t="str">
        <f>HYPERLINK("https://rhld.insurance.arkansas.gov/NPILookup?Npi=1225706153","1225706153")</f>
        <v>1225706153</v>
      </c>
      <c r="E19189" s="1" t="s">
        <v>6949</v>
      </c>
      <c r="F19189" s="2"/>
      <c r="G19189" s="2"/>
      <c r="H19189" s="2"/>
    </row>
    <row r="19190" spans="1:8" x14ac:dyDescent="0.25">
      <c r="A19190" s="1"/>
      <c r="B19190" s="1" t="s">
        <v>6862</v>
      </c>
      <c r="C19190" s="1" t="s">
        <v>6863</v>
      </c>
      <c r="D19190" s="22" t="str">
        <f>HYPERLINK("https://rhld.insurance.arkansas.gov/NPILookup?Npi=1225708183","1225708183")</f>
        <v>1225708183</v>
      </c>
      <c r="E19190" s="1" t="s">
        <v>6950</v>
      </c>
      <c r="F19190" s="2"/>
      <c r="G19190" s="2"/>
      <c r="H19190" s="2"/>
    </row>
    <row r="19191" spans="1:8" x14ac:dyDescent="0.25">
      <c r="A19191" s="1"/>
      <c r="B19191" s="1" t="s">
        <v>6862</v>
      </c>
      <c r="C19191" s="1" t="s">
        <v>6863</v>
      </c>
      <c r="D19191" s="22" t="str">
        <f>HYPERLINK("https://rhld.insurance.arkansas.gov/NPILookup?Npi=1225713407","1225713407")</f>
        <v>1225713407</v>
      </c>
      <c r="E19191" s="1" t="s">
        <v>5213</v>
      </c>
      <c r="F19191" s="2"/>
      <c r="G19191" s="2"/>
      <c r="H19191" s="2"/>
    </row>
    <row r="19192" spans="1:8" x14ac:dyDescent="0.25">
      <c r="A19192" s="1"/>
      <c r="B19192" s="1" t="s">
        <v>6862</v>
      </c>
      <c r="C19192" s="1" t="s">
        <v>6863</v>
      </c>
      <c r="D19192" s="22" t="str">
        <f>HYPERLINK("https://rhld.insurance.arkansas.gov/NPILookup?Npi=1225751266","1225751266")</f>
        <v>1225751266</v>
      </c>
      <c r="E19192" s="1" t="s">
        <v>6951</v>
      </c>
      <c r="F19192" s="2"/>
      <c r="G19192" s="2"/>
      <c r="H19192" s="2"/>
    </row>
    <row r="19193" spans="1:8" x14ac:dyDescent="0.25">
      <c r="A19193" s="1"/>
      <c r="B19193" s="1" t="s">
        <v>6862</v>
      </c>
      <c r="C19193" s="1" t="s">
        <v>6863</v>
      </c>
      <c r="D19193" s="22" t="str">
        <f>HYPERLINK("https://rhld.insurance.arkansas.gov/NPILookup?Npi=1225802580","1225802580")</f>
        <v>1225802580</v>
      </c>
      <c r="E19193" s="1" t="s">
        <v>6952</v>
      </c>
      <c r="F19193" s="2"/>
      <c r="G19193" s="2"/>
      <c r="H19193" s="2"/>
    </row>
    <row r="19194" spans="1:8" x14ac:dyDescent="0.25">
      <c r="A19194" s="1"/>
      <c r="B19194" s="1" t="s">
        <v>6862</v>
      </c>
      <c r="C19194" s="1" t="s">
        <v>6863</v>
      </c>
      <c r="D19194" s="22" t="str">
        <f>HYPERLINK("https://rhld.insurance.arkansas.gov/NPILookup?Npi=1225841513","1225841513")</f>
        <v>1225841513</v>
      </c>
      <c r="E19194" s="1" t="s">
        <v>32017</v>
      </c>
      <c r="F19194" s="2"/>
      <c r="G19194" s="2"/>
      <c r="H19194" s="2"/>
    </row>
    <row r="19195" spans="1:8" x14ac:dyDescent="0.25">
      <c r="A19195" s="1"/>
      <c r="B19195" s="1" t="s">
        <v>6862</v>
      </c>
      <c r="C19195" s="1" t="s">
        <v>6863</v>
      </c>
      <c r="D19195" s="22" t="str">
        <f>HYPERLINK("https://rhld.insurance.arkansas.gov/NPILookup?Npi=1235119694","1235119694")</f>
        <v>1235119694</v>
      </c>
      <c r="E19195" s="1" t="s">
        <v>2755</v>
      </c>
      <c r="F19195" s="2"/>
      <c r="G19195" s="2"/>
      <c r="H19195" s="2"/>
    </row>
    <row r="19196" spans="1:8" x14ac:dyDescent="0.25">
      <c r="A19196" s="1"/>
      <c r="B19196" s="1" t="s">
        <v>6862</v>
      </c>
      <c r="C19196" s="1" t="s">
        <v>6863</v>
      </c>
      <c r="D19196" s="22" t="str">
        <f>HYPERLINK("https://rhld.insurance.arkansas.gov/NPILookup?Npi=1235202060","1235202060")</f>
        <v>1235202060</v>
      </c>
      <c r="E19196" s="1" t="s">
        <v>6953</v>
      </c>
      <c r="F19196" s="2"/>
      <c r="G19196" s="2"/>
      <c r="H19196" s="2"/>
    </row>
    <row r="19197" spans="1:8" x14ac:dyDescent="0.25">
      <c r="A19197" s="1"/>
      <c r="B19197" s="1" t="s">
        <v>6862</v>
      </c>
      <c r="C19197" s="1" t="s">
        <v>6863</v>
      </c>
      <c r="D19197" s="22" t="str">
        <f>HYPERLINK("https://rhld.insurance.arkansas.gov/NPILookup?Npi=1235239724","1235239724")</f>
        <v>1235239724</v>
      </c>
      <c r="E19197" s="1" t="s">
        <v>12363</v>
      </c>
      <c r="F19197" s="2"/>
      <c r="G19197" s="2"/>
      <c r="H19197" s="2"/>
    </row>
    <row r="19198" spans="1:8" x14ac:dyDescent="0.25">
      <c r="A19198" s="1"/>
      <c r="B19198" s="1" t="s">
        <v>6862</v>
      </c>
      <c r="C19198" s="1" t="s">
        <v>6863</v>
      </c>
      <c r="D19198" s="22" t="str">
        <f>HYPERLINK("https://rhld.insurance.arkansas.gov/NPILookup?Npi=1235307364","1235307364")</f>
        <v>1235307364</v>
      </c>
      <c r="E19198" s="1" t="s">
        <v>24313</v>
      </c>
      <c r="F19198" s="2"/>
      <c r="G19198" s="2"/>
      <c r="H19198" s="2"/>
    </row>
    <row r="19199" spans="1:8" x14ac:dyDescent="0.25">
      <c r="A19199" s="1"/>
      <c r="B19199" s="1" t="s">
        <v>6862</v>
      </c>
      <c r="C19199" s="1" t="s">
        <v>6863</v>
      </c>
      <c r="D19199" s="22" t="str">
        <f>HYPERLINK("https://rhld.insurance.arkansas.gov/NPILookup?Npi=1235322769","1235322769")</f>
        <v>1235322769</v>
      </c>
      <c r="E19199" s="1" t="s">
        <v>12364</v>
      </c>
      <c r="F19199" s="2"/>
      <c r="G19199" s="2"/>
      <c r="H19199" s="2"/>
    </row>
    <row r="19200" spans="1:8" x14ac:dyDescent="0.25">
      <c r="A19200" s="1"/>
      <c r="B19200" s="1" t="s">
        <v>6862</v>
      </c>
      <c r="C19200" s="1" t="s">
        <v>6863</v>
      </c>
      <c r="D19200" s="22" t="str">
        <f>HYPERLINK("https://rhld.insurance.arkansas.gov/NPILookup?Npi=1235538281","1235538281")</f>
        <v>1235538281</v>
      </c>
      <c r="E19200" s="1" t="s">
        <v>24314</v>
      </c>
      <c r="F19200" s="2"/>
      <c r="G19200" s="2"/>
      <c r="H19200" s="2"/>
    </row>
    <row r="19201" spans="1:8" x14ac:dyDescent="0.25">
      <c r="A19201" s="1"/>
      <c r="B19201" s="1" t="s">
        <v>6862</v>
      </c>
      <c r="C19201" s="1" t="s">
        <v>6863</v>
      </c>
      <c r="D19201" s="22" t="str">
        <f>HYPERLINK("https://rhld.insurance.arkansas.gov/NPILookup?Npi=1235564600","1235564600")</f>
        <v>1235564600</v>
      </c>
      <c r="E19201" s="1" t="s">
        <v>24315</v>
      </c>
      <c r="F19201" s="2"/>
      <c r="G19201" s="2"/>
      <c r="H19201" s="2"/>
    </row>
    <row r="19202" spans="1:8" x14ac:dyDescent="0.25">
      <c r="A19202" s="1"/>
      <c r="B19202" s="1" t="s">
        <v>6862</v>
      </c>
      <c r="C19202" s="1" t="s">
        <v>6863</v>
      </c>
      <c r="D19202" s="22" t="str">
        <f>HYPERLINK("https://rhld.insurance.arkansas.gov/NPILookup?Npi=1235616921","1235616921")</f>
        <v>1235616921</v>
      </c>
      <c r="E19202" s="1" t="s">
        <v>24316</v>
      </c>
      <c r="F19202" s="2"/>
      <c r="G19202" s="2"/>
      <c r="H19202" s="2"/>
    </row>
    <row r="19203" spans="1:8" x14ac:dyDescent="0.25">
      <c r="A19203" s="1"/>
      <c r="B19203" s="1" t="s">
        <v>6862</v>
      </c>
      <c r="C19203" s="1" t="s">
        <v>6863</v>
      </c>
      <c r="D19203" s="22" t="str">
        <f>HYPERLINK("https://rhld.insurance.arkansas.gov/NPILookup?Npi=1235661208","1235661208")</f>
        <v>1235661208</v>
      </c>
      <c r="E19203" s="1" t="s">
        <v>6954</v>
      </c>
      <c r="F19203" s="2"/>
      <c r="G19203" s="2"/>
      <c r="H19203" s="2"/>
    </row>
    <row r="19204" spans="1:8" x14ac:dyDescent="0.25">
      <c r="A19204" s="1"/>
      <c r="B19204" s="1" t="s">
        <v>6862</v>
      </c>
      <c r="C19204" s="1" t="s">
        <v>6863</v>
      </c>
      <c r="D19204" s="22" t="str">
        <f>HYPERLINK("https://rhld.insurance.arkansas.gov/NPILookup?Npi=1235666090","1235666090")</f>
        <v>1235666090</v>
      </c>
      <c r="E19204" s="1" t="s">
        <v>24317</v>
      </c>
      <c r="F19204" s="2"/>
      <c r="G19204" s="2"/>
      <c r="H19204" s="2"/>
    </row>
    <row r="19205" spans="1:8" x14ac:dyDescent="0.25">
      <c r="A19205" s="1"/>
      <c r="B19205" s="1" t="s">
        <v>6862</v>
      </c>
      <c r="C19205" s="1" t="s">
        <v>6863</v>
      </c>
      <c r="D19205" s="22" t="str">
        <f>HYPERLINK("https://rhld.insurance.arkansas.gov/NPILookup?Npi=1235682238","1235682238")</f>
        <v>1235682238</v>
      </c>
      <c r="E19205" s="1" t="s">
        <v>24318</v>
      </c>
      <c r="F19205" s="2"/>
      <c r="G19205" s="2"/>
      <c r="H19205" s="2"/>
    </row>
    <row r="19206" spans="1:8" x14ac:dyDescent="0.25">
      <c r="A19206" s="1"/>
      <c r="B19206" s="1" t="s">
        <v>6862</v>
      </c>
      <c r="C19206" s="1" t="s">
        <v>6863</v>
      </c>
      <c r="D19206" s="22" t="str">
        <f>HYPERLINK("https://rhld.insurance.arkansas.gov/NPILookup?Npi=1235685702","1235685702")</f>
        <v>1235685702</v>
      </c>
      <c r="E19206" s="1" t="s">
        <v>6955</v>
      </c>
      <c r="F19206" s="2"/>
      <c r="G19206" s="2"/>
      <c r="H19206" s="2"/>
    </row>
    <row r="19207" spans="1:8" x14ac:dyDescent="0.25">
      <c r="A19207" s="1"/>
      <c r="B19207" s="1" t="s">
        <v>6862</v>
      </c>
      <c r="C19207" s="1" t="s">
        <v>6863</v>
      </c>
      <c r="D19207" s="22" t="str">
        <f>HYPERLINK("https://rhld.insurance.arkansas.gov/NPILookup?Npi=1235702259","1235702259")</f>
        <v>1235702259</v>
      </c>
      <c r="E19207" s="1" t="s">
        <v>6956</v>
      </c>
      <c r="F19207" s="2"/>
      <c r="G19207" s="2"/>
      <c r="H19207" s="2"/>
    </row>
    <row r="19208" spans="1:8" x14ac:dyDescent="0.25">
      <c r="A19208" s="1"/>
      <c r="B19208" s="1" t="s">
        <v>6862</v>
      </c>
      <c r="C19208" s="1" t="s">
        <v>6863</v>
      </c>
      <c r="D19208" s="22" t="str">
        <f>HYPERLINK("https://rhld.insurance.arkansas.gov/NPILookup?Npi=1235760562","1235760562")</f>
        <v>1235760562</v>
      </c>
      <c r="E19208" s="1" t="s">
        <v>6957</v>
      </c>
      <c r="F19208" s="2"/>
      <c r="G19208" s="2"/>
      <c r="H19208" s="2"/>
    </row>
    <row r="19209" spans="1:8" x14ac:dyDescent="0.25">
      <c r="A19209" s="1"/>
      <c r="B19209" s="1" t="s">
        <v>6862</v>
      </c>
      <c r="C19209" s="1" t="s">
        <v>6863</v>
      </c>
      <c r="D19209" s="22" t="str">
        <f>HYPERLINK("https://rhld.insurance.arkansas.gov/NPILookup?Npi=1235773607","1235773607")</f>
        <v>1235773607</v>
      </c>
      <c r="E19209" s="1" t="s">
        <v>6958</v>
      </c>
      <c r="F19209" s="2"/>
      <c r="G19209" s="2"/>
      <c r="H19209" s="2"/>
    </row>
    <row r="19210" spans="1:8" x14ac:dyDescent="0.25">
      <c r="A19210" s="1"/>
      <c r="B19210" s="1" t="s">
        <v>6862</v>
      </c>
      <c r="C19210" s="1" t="s">
        <v>6863</v>
      </c>
      <c r="D19210" s="22" t="str">
        <f>HYPERLINK("https://rhld.insurance.arkansas.gov/NPILookup?Npi=1235783770","1235783770")</f>
        <v>1235783770</v>
      </c>
      <c r="E19210" s="1" t="s">
        <v>24319</v>
      </c>
      <c r="F19210" s="2"/>
      <c r="G19210" s="2"/>
      <c r="H19210" s="2"/>
    </row>
    <row r="19211" spans="1:8" x14ac:dyDescent="0.25">
      <c r="A19211" s="1"/>
      <c r="B19211" s="1" t="s">
        <v>6862</v>
      </c>
      <c r="C19211" s="1" t="s">
        <v>6863</v>
      </c>
      <c r="D19211" s="22" t="str">
        <f>HYPERLINK("https://rhld.insurance.arkansas.gov/NPILookup?Npi=1235803933","1235803933")</f>
        <v>1235803933</v>
      </c>
      <c r="E19211" s="1" t="s">
        <v>24320</v>
      </c>
      <c r="F19211" s="2"/>
      <c r="G19211" s="2"/>
      <c r="H19211" s="2"/>
    </row>
    <row r="19212" spans="1:8" x14ac:dyDescent="0.25">
      <c r="A19212" s="1"/>
      <c r="B19212" s="1" t="s">
        <v>6862</v>
      </c>
      <c r="C19212" s="1" t="s">
        <v>6863</v>
      </c>
      <c r="D19212" s="22" t="str">
        <f>HYPERLINK("https://rhld.insurance.arkansas.gov/NPILookup?Npi=1235858903","1235858903")</f>
        <v>1235858903</v>
      </c>
      <c r="E19212" s="1" t="s">
        <v>11398</v>
      </c>
      <c r="F19212" s="2"/>
      <c r="G19212" s="2"/>
      <c r="H19212" s="2"/>
    </row>
    <row r="19213" spans="1:8" x14ac:dyDescent="0.25">
      <c r="A19213" s="1"/>
      <c r="B19213" s="1" t="s">
        <v>6862</v>
      </c>
      <c r="C19213" s="1" t="s">
        <v>6863</v>
      </c>
      <c r="D19213" s="22" t="str">
        <f>HYPERLINK("https://rhld.insurance.arkansas.gov/NPILookup?Npi=1235915869","1235915869")</f>
        <v>1235915869</v>
      </c>
      <c r="E19213" s="1" t="s">
        <v>6182</v>
      </c>
      <c r="F19213" s="2"/>
      <c r="G19213" s="2"/>
      <c r="H19213" s="2"/>
    </row>
    <row r="19214" spans="1:8" x14ac:dyDescent="0.25">
      <c r="A19214" s="1"/>
      <c r="B19214" s="1" t="s">
        <v>6862</v>
      </c>
      <c r="C19214" s="1" t="s">
        <v>6863</v>
      </c>
      <c r="D19214" s="22" t="str">
        <f>HYPERLINK("https://rhld.insurance.arkansas.gov/NPILookup?Npi=1235961053","1235961053")</f>
        <v>1235961053</v>
      </c>
      <c r="E19214" s="1" t="s">
        <v>24321</v>
      </c>
      <c r="F19214" s="2"/>
      <c r="G19214" s="2"/>
      <c r="H19214" s="2"/>
    </row>
    <row r="19215" spans="1:8" x14ac:dyDescent="0.25">
      <c r="A19215" s="1"/>
      <c r="B19215" s="1" t="s">
        <v>6862</v>
      </c>
      <c r="C19215" s="1" t="s">
        <v>6863</v>
      </c>
      <c r="D19215" s="22" t="str">
        <f>HYPERLINK("https://rhld.insurance.arkansas.gov/NPILookup?Npi=1245016682","1245016682")</f>
        <v>1245016682</v>
      </c>
      <c r="E19215" s="1" t="s">
        <v>5674</v>
      </c>
      <c r="F19215" s="2"/>
      <c r="G19215" s="2"/>
      <c r="H19215" s="2"/>
    </row>
    <row r="19216" spans="1:8" x14ac:dyDescent="0.25">
      <c r="A19216" s="1"/>
      <c r="B19216" s="1" t="s">
        <v>6862</v>
      </c>
      <c r="C19216" s="1" t="s">
        <v>6863</v>
      </c>
      <c r="D19216" s="22" t="str">
        <f>HYPERLINK("https://rhld.insurance.arkansas.gov/NPILookup?Npi=1245243849","1245243849")</f>
        <v>1245243849</v>
      </c>
      <c r="E19216" s="1" t="s">
        <v>12365</v>
      </c>
      <c r="F19216" s="2"/>
      <c r="G19216" s="2"/>
      <c r="H19216" s="2"/>
    </row>
    <row r="19217" spans="1:8" x14ac:dyDescent="0.25">
      <c r="A19217" s="1"/>
      <c r="B19217" s="1" t="s">
        <v>6862</v>
      </c>
      <c r="C19217" s="1" t="s">
        <v>6863</v>
      </c>
      <c r="D19217" s="22" t="str">
        <f>HYPERLINK("https://rhld.insurance.arkansas.gov/NPILookup?Npi=1245295484","1245295484")</f>
        <v>1245295484</v>
      </c>
      <c r="E19217" s="1" t="s">
        <v>24322</v>
      </c>
      <c r="F19217" s="2"/>
      <c r="G19217" s="2"/>
      <c r="H19217" s="2"/>
    </row>
    <row r="19218" spans="1:8" x14ac:dyDescent="0.25">
      <c r="A19218" s="1"/>
      <c r="B19218" s="1" t="s">
        <v>6862</v>
      </c>
      <c r="C19218" s="1" t="s">
        <v>6863</v>
      </c>
      <c r="D19218" s="22" t="str">
        <f>HYPERLINK("https://rhld.insurance.arkansas.gov/NPILookup?Npi=1245306786","1245306786")</f>
        <v>1245306786</v>
      </c>
      <c r="E19218" s="1" t="s">
        <v>24323</v>
      </c>
      <c r="F19218" s="2"/>
      <c r="G19218" s="2"/>
      <c r="H19218" s="2"/>
    </row>
    <row r="19219" spans="1:8" x14ac:dyDescent="0.25">
      <c r="A19219" s="1"/>
      <c r="B19219" s="1" t="s">
        <v>6862</v>
      </c>
      <c r="C19219" s="1" t="s">
        <v>6863</v>
      </c>
      <c r="D19219" s="22" t="str">
        <f>HYPERLINK("https://rhld.insurance.arkansas.gov/NPILookup?Npi=1245388446","1245388446")</f>
        <v>1245388446</v>
      </c>
      <c r="E19219" s="1" t="s">
        <v>24324</v>
      </c>
      <c r="F19219" s="2"/>
      <c r="G19219" s="2"/>
      <c r="H19219" s="2"/>
    </row>
    <row r="19220" spans="1:8" x14ac:dyDescent="0.25">
      <c r="A19220" s="1"/>
      <c r="B19220" s="1" t="s">
        <v>6862</v>
      </c>
      <c r="C19220" s="1" t="s">
        <v>6863</v>
      </c>
      <c r="D19220" s="22" t="str">
        <f>HYPERLINK("https://rhld.insurance.arkansas.gov/NPILookup?Npi=1245395383","1245395383")</f>
        <v>1245395383</v>
      </c>
      <c r="E19220" s="1" t="s">
        <v>24325</v>
      </c>
      <c r="F19220" s="2"/>
      <c r="G19220" s="2"/>
      <c r="H19220" s="2"/>
    </row>
    <row r="19221" spans="1:8" x14ac:dyDescent="0.25">
      <c r="A19221" s="1"/>
      <c r="B19221" s="1" t="s">
        <v>6862</v>
      </c>
      <c r="C19221" s="1" t="s">
        <v>6863</v>
      </c>
      <c r="D19221" s="22" t="str">
        <f>HYPERLINK("https://rhld.insurance.arkansas.gov/NPILookup?Npi=1245409713","1245409713")</f>
        <v>1245409713</v>
      </c>
      <c r="E19221" s="1" t="s">
        <v>24326</v>
      </c>
      <c r="F19221" s="2"/>
      <c r="G19221" s="2"/>
      <c r="H19221" s="2"/>
    </row>
    <row r="19222" spans="1:8" x14ac:dyDescent="0.25">
      <c r="A19222" s="1"/>
      <c r="B19222" s="1" t="s">
        <v>6862</v>
      </c>
      <c r="C19222" s="1" t="s">
        <v>6863</v>
      </c>
      <c r="D19222" s="22" t="str">
        <f>HYPERLINK("https://rhld.insurance.arkansas.gov/NPILookup?Npi=1245453653","1245453653")</f>
        <v>1245453653</v>
      </c>
      <c r="E19222" s="1" t="s">
        <v>24327</v>
      </c>
      <c r="F19222" s="2"/>
      <c r="G19222" s="2"/>
      <c r="H19222" s="2"/>
    </row>
    <row r="19223" spans="1:8" x14ac:dyDescent="0.25">
      <c r="A19223" s="1"/>
      <c r="B19223" s="1" t="s">
        <v>6862</v>
      </c>
      <c r="C19223" s="1" t="s">
        <v>6863</v>
      </c>
      <c r="D19223" s="22" t="str">
        <f>HYPERLINK("https://rhld.insurance.arkansas.gov/NPILookup?Npi=1245537349","1245537349")</f>
        <v>1245537349</v>
      </c>
      <c r="E19223" s="1" t="s">
        <v>6959</v>
      </c>
      <c r="F19223" s="2"/>
      <c r="G19223" s="2"/>
      <c r="H19223" s="2"/>
    </row>
    <row r="19224" spans="1:8" x14ac:dyDescent="0.25">
      <c r="A19224" s="1"/>
      <c r="B19224" s="1" t="s">
        <v>6862</v>
      </c>
      <c r="C19224" s="1" t="s">
        <v>6863</v>
      </c>
      <c r="D19224" s="22" t="str">
        <f>HYPERLINK("https://rhld.insurance.arkansas.gov/NPILookup?Npi=1245580679","1245580679")</f>
        <v>1245580679</v>
      </c>
      <c r="E19224" s="1" t="s">
        <v>6960</v>
      </c>
      <c r="F19224" s="2"/>
      <c r="G19224" s="2"/>
      <c r="H19224" s="2"/>
    </row>
    <row r="19225" spans="1:8" x14ac:dyDescent="0.25">
      <c r="A19225" s="1"/>
      <c r="B19225" s="1" t="s">
        <v>6862</v>
      </c>
      <c r="C19225" s="1" t="s">
        <v>6863</v>
      </c>
      <c r="D19225" s="22" t="str">
        <f>HYPERLINK("https://rhld.insurance.arkansas.gov/NPILookup?Npi=1245752930","1245752930")</f>
        <v>1245752930</v>
      </c>
      <c r="E19225" s="1" t="s">
        <v>6961</v>
      </c>
      <c r="F19225" s="2"/>
      <c r="G19225" s="2"/>
      <c r="H19225" s="2"/>
    </row>
    <row r="19226" spans="1:8" x14ac:dyDescent="0.25">
      <c r="A19226" s="1"/>
      <c r="B19226" s="1" t="s">
        <v>6862</v>
      </c>
      <c r="C19226" s="1" t="s">
        <v>6863</v>
      </c>
      <c r="D19226" s="22" t="str">
        <f>HYPERLINK("https://rhld.insurance.arkansas.gov/NPILookup?Npi=1245772011","1245772011")</f>
        <v>1245772011</v>
      </c>
      <c r="E19226" s="1" t="s">
        <v>12366</v>
      </c>
      <c r="F19226" s="2"/>
      <c r="G19226" s="2"/>
      <c r="H19226" s="2"/>
    </row>
    <row r="19227" spans="1:8" x14ac:dyDescent="0.25">
      <c r="A19227" s="1"/>
      <c r="B19227" s="1" t="s">
        <v>6862</v>
      </c>
      <c r="C19227" s="1" t="s">
        <v>6863</v>
      </c>
      <c r="D19227" s="22" t="str">
        <f>HYPERLINK("https://rhld.insurance.arkansas.gov/NPILookup?Npi=1245857820","1245857820")</f>
        <v>1245857820</v>
      </c>
      <c r="E19227" s="1" t="s">
        <v>12367</v>
      </c>
      <c r="F19227" s="2"/>
      <c r="G19227" s="2"/>
      <c r="H19227" s="2"/>
    </row>
    <row r="19228" spans="1:8" x14ac:dyDescent="0.25">
      <c r="A19228" s="1"/>
      <c r="B19228" s="1" t="s">
        <v>6862</v>
      </c>
      <c r="C19228" s="1" t="s">
        <v>6863</v>
      </c>
      <c r="D19228" s="22" t="str">
        <f>HYPERLINK("https://rhld.insurance.arkansas.gov/NPILookup?Npi=1245907807","1245907807")</f>
        <v>1245907807</v>
      </c>
      <c r="E19228" s="1" t="s">
        <v>24328</v>
      </c>
      <c r="F19228" s="2"/>
      <c r="G19228" s="2"/>
      <c r="H19228" s="2"/>
    </row>
    <row r="19229" spans="1:8" x14ac:dyDescent="0.25">
      <c r="A19229" s="1"/>
      <c r="B19229" s="1" t="s">
        <v>6862</v>
      </c>
      <c r="C19229" s="1" t="s">
        <v>6863</v>
      </c>
      <c r="D19229" s="22" t="str">
        <f>HYPERLINK("https://rhld.insurance.arkansas.gov/NPILookup?Npi=1245969674","1245969674")</f>
        <v>1245969674</v>
      </c>
      <c r="E19229" s="1" t="s">
        <v>6962</v>
      </c>
      <c r="F19229" s="2"/>
      <c r="G19229" s="2"/>
      <c r="H19229" s="2"/>
    </row>
    <row r="19230" spans="1:8" x14ac:dyDescent="0.25">
      <c r="A19230" s="1"/>
      <c r="B19230" s="1" t="s">
        <v>6862</v>
      </c>
      <c r="C19230" s="1" t="s">
        <v>6863</v>
      </c>
      <c r="D19230" s="22" t="str">
        <f>HYPERLINK("https://rhld.insurance.arkansas.gov/NPILookup?Npi=1255007407","1255007407")</f>
        <v>1255007407</v>
      </c>
      <c r="E19230" s="1" t="s">
        <v>24329</v>
      </c>
      <c r="F19230" s="2"/>
      <c r="G19230" s="2"/>
      <c r="H19230" s="2"/>
    </row>
    <row r="19231" spans="1:8" x14ac:dyDescent="0.25">
      <c r="A19231" s="1"/>
      <c r="B19231" s="1" t="s">
        <v>6862</v>
      </c>
      <c r="C19231" s="1" t="s">
        <v>6863</v>
      </c>
      <c r="D19231" s="22" t="str">
        <f>HYPERLINK("https://rhld.insurance.arkansas.gov/NPILookup?Npi=1255069712","1255069712")</f>
        <v>1255069712</v>
      </c>
      <c r="E19231" s="1" t="s">
        <v>24330</v>
      </c>
      <c r="F19231" s="2"/>
      <c r="G19231" s="2"/>
      <c r="H19231" s="2"/>
    </row>
    <row r="19232" spans="1:8" x14ac:dyDescent="0.25">
      <c r="A19232" s="1"/>
      <c r="B19232" s="1" t="s">
        <v>6862</v>
      </c>
      <c r="C19232" s="1" t="s">
        <v>6863</v>
      </c>
      <c r="D19232" s="22" t="str">
        <f>HYPERLINK("https://rhld.insurance.arkansas.gov/NPILookup?Npi=1255384947","1255384947")</f>
        <v>1255384947</v>
      </c>
      <c r="E19232" s="1" t="s">
        <v>24331</v>
      </c>
      <c r="F19232" s="2"/>
      <c r="G19232" s="2"/>
      <c r="H19232" s="2"/>
    </row>
    <row r="19233" spans="1:8" x14ac:dyDescent="0.25">
      <c r="A19233" s="1"/>
      <c r="B19233" s="1" t="s">
        <v>6862</v>
      </c>
      <c r="C19233" s="1" t="s">
        <v>6863</v>
      </c>
      <c r="D19233" s="22" t="str">
        <f>HYPERLINK("https://rhld.insurance.arkansas.gov/NPILookup?Npi=1255445391","1255445391")</f>
        <v>1255445391</v>
      </c>
      <c r="E19233" s="1" t="s">
        <v>12368</v>
      </c>
      <c r="F19233" s="2"/>
      <c r="G19233" s="2"/>
      <c r="H19233" s="2"/>
    </row>
    <row r="19234" spans="1:8" x14ac:dyDescent="0.25">
      <c r="A19234" s="1"/>
      <c r="B19234" s="1" t="s">
        <v>6862</v>
      </c>
      <c r="C19234" s="1" t="s">
        <v>6863</v>
      </c>
      <c r="D19234" s="22" t="str">
        <f>HYPERLINK("https://rhld.insurance.arkansas.gov/NPILookup?Npi=1255465688","1255465688")</f>
        <v>1255465688</v>
      </c>
      <c r="E19234" s="1" t="s">
        <v>12369</v>
      </c>
      <c r="F19234" s="2"/>
      <c r="G19234" s="2"/>
      <c r="H19234" s="2"/>
    </row>
    <row r="19235" spans="1:8" x14ac:dyDescent="0.25">
      <c r="A19235" s="1"/>
      <c r="B19235" s="1" t="s">
        <v>6862</v>
      </c>
      <c r="C19235" s="1" t="s">
        <v>6863</v>
      </c>
      <c r="D19235" s="22" t="str">
        <f>HYPERLINK("https://rhld.insurance.arkansas.gov/NPILookup?Npi=1255468666","1255468666")</f>
        <v>1255468666</v>
      </c>
      <c r="E19235" s="1" t="s">
        <v>24332</v>
      </c>
      <c r="F19235" s="2"/>
      <c r="G19235" s="2"/>
      <c r="H19235" s="2"/>
    </row>
    <row r="19236" spans="1:8" x14ac:dyDescent="0.25">
      <c r="A19236" s="1"/>
      <c r="B19236" s="1" t="s">
        <v>6862</v>
      </c>
      <c r="C19236" s="1" t="s">
        <v>6863</v>
      </c>
      <c r="D19236" s="22" t="str">
        <f>HYPERLINK("https://rhld.insurance.arkansas.gov/NPILookup?Npi=1255549143","1255549143")</f>
        <v>1255549143</v>
      </c>
      <c r="E19236" s="1" t="s">
        <v>24333</v>
      </c>
      <c r="F19236" s="2"/>
      <c r="G19236" s="2"/>
      <c r="H19236" s="2"/>
    </row>
    <row r="19237" spans="1:8" x14ac:dyDescent="0.25">
      <c r="A19237" s="1"/>
      <c r="B19237" s="1" t="s">
        <v>6862</v>
      </c>
      <c r="C19237" s="1" t="s">
        <v>6863</v>
      </c>
      <c r="D19237" s="22" t="str">
        <f>HYPERLINK("https://rhld.insurance.arkansas.gov/NPILookup?Npi=1255603486","1255603486")</f>
        <v>1255603486</v>
      </c>
      <c r="E19237" s="1" t="s">
        <v>24334</v>
      </c>
      <c r="F19237" s="2"/>
      <c r="G19237" s="2"/>
      <c r="H19237" s="2"/>
    </row>
    <row r="19238" spans="1:8" x14ac:dyDescent="0.25">
      <c r="A19238" s="1"/>
      <c r="B19238" s="1" t="s">
        <v>6862</v>
      </c>
      <c r="C19238" s="1" t="s">
        <v>6863</v>
      </c>
      <c r="D19238" s="22" t="str">
        <f>HYPERLINK("https://rhld.insurance.arkansas.gov/NPILookup?Npi=1255637609","1255637609")</f>
        <v>1255637609</v>
      </c>
      <c r="E19238" s="1" t="s">
        <v>12370</v>
      </c>
      <c r="F19238" s="2"/>
      <c r="G19238" s="2"/>
      <c r="H19238" s="2"/>
    </row>
    <row r="19239" spans="1:8" x14ac:dyDescent="0.25">
      <c r="A19239" s="1"/>
      <c r="B19239" s="1" t="s">
        <v>6862</v>
      </c>
      <c r="C19239" s="1" t="s">
        <v>6863</v>
      </c>
      <c r="D19239" s="22" t="str">
        <f>HYPERLINK("https://rhld.insurance.arkansas.gov/NPILookup?Npi=1255907036","1255907036")</f>
        <v>1255907036</v>
      </c>
      <c r="E19239" s="1" t="s">
        <v>24335</v>
      </c>
      <c r="F19239" s="2"/>
      <c r="G19239" s="2"/>
      <c r="H19239" s="2"/>
    </row>
    <row r="19240" spans="1:8" x14ac:dyDescent="0.25">
      <c r="A19240" s="1"/>
      <c r="B19240" s="1" t="s">
        <v>6862</v>
      </c>
      <c r="C19240" s="1" t="s">
        <v>6863</v>
      </c>
      <c r="D19240" s="22" t="str">
        <f>HYPERLINK("https://rhld.insurance.arkansas.gov/NPILookup?Npi=1255926036","1255926036")</f>
        <v>1255926036</v>
      </c>
      <c r="E19240" s="1" t="s">
        <v>24336</v>
      </c>
      <c r="F19240" s="2"/>
      <c r="G19240" s="2"/>
      <c r="H19240" s="2"/>
    </row>
    <row r="19241" spans="1:8" x14ac:dyDescent="0.25">
      <c r="A19241" s="1"/>
      <c r="B19241" s="1" t="s">
        <v>6862</v>
      </c>
      <c r="C19241" s="1" t="s">
        <v>6863</v>
      </c>
      <c r="D19241" s="22" t="str">
        <f>HYPERLINK("https://rhld.insurance.arkansas.gov/NPILookup?Npi=1255963534","1255963534")</f>
        <v>1255963534</v>
      </c>
      <c r="E19241" s="1" t="s">
        <v>24337</v>
      </c>
      <c r="F19241" s="2"/>
      <c r="G19241" s="2"/>
      <c r="H19241" s="2"/>
    </row>
    <row r="19242" spans="1:8" x14ac:dyDescent="0.25">
      <c r="A19242" s="1"/>
      <c r="B19242" s="1" t="s">
        <v>6862</v>
      </c>
      <c r="C19242" s="1" t="s">
        <v>6863</v>
      </c>
      <c r="D19242" s="22" t="str">
        <f>HYPERLINK("https://rhld.insurance.arkansas.gov/NPILookup?Npi=1255981296","1255981296")</f>
        <v>1255981296</v>
      </c>
      <c r="E19242" s="1" t="s">
        <v>6963</v>
      </c>
      <c r="F19242" s="2"/>
      <c r="G19242" s="2"/>
      <c r="H19242" s="2"/>
    </row>
    <row r="19243" spans="1:8" x14ac:dyDescent="0.25">
      <c r="A19243" s="1"/>
      <c r="B19243" s="1" t="s">
        <v>6862</v>
      </c>
      <c r="C19243" s="1" t="s">
        <v>6863</v>
      </c>
      <c r="D19243" s="22" t="str">
        <f>HYPERLINK("https://rhld.insurance.arkansas.gov/NPILookup?Npi=1255998621","1255998621")</f>
        <v>1255998621</v>
      </c>
      <c r="E19243" s="1" t="s">
        <v>12371</v>
      </c>
      <c r="F19243" s="2"/>
      <c r="G19243" s="2"/>
      <c r="H19243" s="2"/>
    </row>
    <row r="19244" spans="1:8" x14ac:dyDescent="0.25">
      <c r="A19244" s="1"/>
      <c r="B19244" s="1" t="s">
        <v>6862</v>
      </c>
      <c r="C19244" s="1" t="s">
        <v>6863</v>
      </c>
      <c r="D19244" s="22" t="str">
        <f>HYPERLINK("https://rhld.insurance.arkansas.gov/NPILookup?Npi=1265045710","1265045710")</f>
        <v>1265045710</v>
      </c>
      <c r="E19244" s="1" t="s">
        <v>24338</v>
      </c>
      <c r="F19244" s="2"/>
      <c r="G19244" s="2"/>
      <c r="H19244" s="2"/>
    </row>
    <row r="19245" spans="1:8" x14ac:dyDescent="0.25">
      <c r="A19245" s="1"/>
      <c r="B19245" s="1" t="s">
        <v>6862</v>
      </c>
      <c r="C19245" s="1" t="s">
        <v>6863</v>
      </c>
      <c r="D19245" s="22" t="str">
        <f>HYPERLINK("https://rhld.insurance.arkansas.gov/NPILookup?Npi=1265108435","1265108435")</f>
        <v>1265108435</v>
      </c>
      <c r="E19245" s="1" t="s">
        <v>24339</v>
      </c>
      <c r="F19245" s="2"/>
      <c r="G19245" s="2"/>
      <c r="H19245" s="2"/>
    </row>
    <row r="19246" spans="1:8" x14ac:dyDescent="0.25">
      <c r="A19246" s="1"/>
      <c r="B19246" s="1" t="s">
        <v>6862</v>
      </c>
      <c r="C19246" s="1" t="s">
        <v>6863</v>
      </c>
      <c r="D19246" s="22" t="str">
        <f>HYPERLINK("https://rhld.insurance.arkansas.gov/NPILookup?Npi=1265126973","1265126973")</f>
        <v>1265126973</v>
      </c>
      <c r="E19246" s="1" t="s">
        <v>5396</v>
      </c>
      <c r="F19246" s="2"/>
      <c r="G19246" s="2"/>
      <c r="H19246" s="2"/>
    </row>
    <row r="19247" spans="1:8" x14ac:dyDescent="0.25">
      <c r="A19247" s="1"/>
      <c r="B19247" s="1" t="s">
        <v>6862</v>
      </c>
      <c r="C19247" s="1" t="s">
        <v>6863</v>
      </c>
      <c r="D19247" s="22" t="str">
        <f>HYPERLINK("https://rhld.insurance.arkansas.gov/NPILookup?Npi=1265151393","1265151393")</f>
        <v>1265151393</v>
      </c>
      <c r="E19247" s="1" t="s">
        <v>24340</v>
      </c>
      <c r="F19247" s="2"/>
      <c r="G19247" s="2"/>
      <c r="H19247" s="2"/>
    </row>
    <row r="19248" spans="1:8" x14ac:dyDescent="0.25">
      <c r="A19248" s="1"/>
      <c r="B19248" s="1" t="s">
        <v>6862</v>
      </c>
      <c r="C19248" s="1" t="s">
        <v>6863</v>
      </c>
      <c r="D19248" s="22" t="str">
        <f>HYPERLINK("https://rhld.insurance.arkansas.gov/NPILookup?Npi=1265160436","1265160436")</f>
        <v>1265160436</v>
      </c>
      <c r="E19248" s="1" t="s">
        <v>6964</v>
      </c>
      <c r="F19248" s="2"/>
      <c r="G19248" s="2"/>
      <c r="H19248" s="2"/>
    </row>
    <row r="19249" spans="1:8" x14ac:dyDescent="0.25">
      <c r="A19249" s="1"/>
      <c r="B19249" s="1" t="s">
        <v>6862</v>
      </c>
      <c r="C19249" s="1" t="s">
        <v>6863</v>
      </c>
      <c r="D19249" s="22" t="str">
        <f>HYPERLINK("https://rhld.insurance.arkansas.gov/NPILookup?Npi=1265265284","1265265284")</f>
        <v>1265265284</v>
      </c>
      <c r="E19249" s="1" t="s">
        <v>24341</v>
      </c>
      <c r="F19249" s="2"/>
      <c r="G19249" s="2"/>
      <c r="H19249" s="2"/>
    </row>
    <row r="19250" spans="1:8" x14ac:dyDescent="0.25">
      <c r="A19250" s="1"/>
      <c r="B19250" s="1" t="s">
        <v>6862</v>
      </c>
      <c r="C19250" s="1" t="s">
        <v>6863</v>
      </c>
      <c r="D19250" s="22" t="str">
        <f>HYPERLINK("https://rhld.insurance.arkansas.gov/NPILookup?Npi=1265543722","1265543722")</f>
        <v>1265543722</v>
      </c>
      <c r="E19250" s="1" t="s">
        <v>3256</v>
      </c>
      <c r="F19250" s="2"/>
      <c r="G19250" s="2"/>
      <c r="H19250" s="2"/>
    </row>
    <row r="19251" spans="1:8" x14ac:dyDescent="0.25">
      <c r="A19251" s="1"/>
      <c r="B19251" s="1" t="s">
        <v>6862</v>
      </c>
      <c r="C19251" s="1" t="s">
        <v>6863</v>
      </c>
      <c r="D19251" s="22" t="str">
        <f>HYPERLINK("https://rhld.insurance.arkansas.gov/NPILookup?Npi=1265586887","1265586887")</f>
        <v>1265586887</v>
      </c>
      <c r="E19251" s="1" t="s">
        <v>24342</v>
      </c>
      <c r="F19251" s="2"/>
      <c r="G19251" s="2"/>
      <c r="H19251" s="2"/>
    </row>
    <row r="19252" spans="1:8" x14ac:dyDescent="0.25">
      <c r="A19252" s="1"/>
      <c r="B19252" s="1" t="s">
        <v>6862</v>
      </c>
      <c r="C19252" s="1" t="s">
        <v>6863</v>
      </c>
      <c r="D19252" s="22" t="str">
        <f>HYPERLINK("https://rhld.insurance.arkansas.gov/NPILookup?Npi=1265592448","1265592448")</f>
        <v>1265592448</v>
      </c>
      <c r="E19252" s="1" t="s">
        <v>24343</v>
      </c>
      <c r="F19252" s="2"/>
      <c r="G19252" s="2"/>
      <c r="H19252" s="2"/>
    </row>
    <row r="19253" spans="1:8" x14ac:dyDescent="0.25">
      <c r="A19253" s="1"/>
      <c r="B19253" s="1" t="s">
        <v>6862</v>
      </c>
      <c r="C19253" s="1" t="s">
        <v>6863</v>
      </c>
      <c r="D19253" s="22" t="str">
        <f>HYPERLINK("https://rhld.insurance.arkansas.gov/NPILookup?Npi=1265639967","1265639967")</f>
        <v>1265639967</v>
      </c>
      <c r="E19253" s="1" t="s">
        <v>24344</v>
      </c>
      <c r="F19253" s="2"/>
      <c r="G19253" s="2"/>
      <c r="H19253" s="2"/>
    </row>
    <row r="19254" spans="1:8" x14ac:dyDescent="0.25">
      <c r="A19254" s="1"/>
      <c r="B19254" s="1" t="s">
        <v>6862</v>
      </c>
      <c r="C19254" s="1" t="s">
        <v>6863</v>
      </c>
      <c r="D19254" s="22" t="str">
        <f>HYPERLINK("https://rhld.insurance.arkansas.gov/NPILookup?Npi=1265651236","1265651236")</f>
        <v>1265651236</v>
      </c>
      <c r="E19254" s="1" t="s">
        <v>24345</v>
      </c>
      <c r="F19254" s="2"/>
      <c r="G19254" s="2"/>
      <c r="H19254" s="2"/>
    </row>
    <row r="19255" spans="1:8" x14ac:dyDescent="0.25">
      <c r="A19255" s="1"/>
      <c r="B19255" s="1" t="s">
        <v>6862</v>
      </c>
      <c r="C19255" s="1" t="s">
        <v>6863</v>
      </c>
      <c r="D19255" s="22" t="str">
        <f>HYPERLINK("https://rhld.insurance.arkansas.gov/NPILookup?Npi=1265978167","1265978167")</f>
        <v>1265978167</v>
      </c>
      <c r="E19255" s="1" t="s">
        <v>12372</v>
      </c>
      <c r="F19255" s="2"/>
      <c r="G19255" s="2"/>
      <c r="H19255" s="2"/>
    </row>
    <row r="19256" spans="1:8" x14ac:dyDescent="0.25">
      <c r="A19256" s="1"/>
      <c r="B19256" s="1" t="s">
        <v>6862</v>
      </c>
      <c r="C19256" s="1" t="s">
        <v>6863</v>
      </c>
      <c r="D19256" s="22" t="str">
        <f>HYPERLINK("https://rhld.insurance.arkansas.gov/NPILookup?Npi=1265987697","1265987697")</f>
        <v>1265987697</v>
      </c>
      <c r="E19256" s="1" t="s">
        <v>6966</v>
      </c>
      <c r="F19256" s="2"/>
      <c r="G19256" s="2"/>
      <c r="H19256" s="2"/>
    </row>
    <row r="19257" spans="1:8" x14ac:dyDescent="0.25">
      <c r="A19257" s="1"/>
      <c r="B19257" s="1" t="s">
        <v>6862</v>
      </c>
      <c r="C19257" s="1" t="s">
        <v>6863</v>
      </c>
      <c r="D19257" s="22" t="str">
        <f>HYPERLINK("https://rhld.insurance.arkansas.gov/NPILookup?Npi=1275057788","1275057788")</f>
        <v>1275057788</v>
      </c>
      <c r="E19257" s="1" t="s">
        <v>12373</v>
      </c>
      <c r="F19257" s="2"/>
      <c r="G19257" s="2"/>
      <c r="H19257" s="2"/>
    </row>
    <row r="19258" spans="1:8" x14ac:dyDescent="0.25">
      <c r="A19258" s="1"/>
      <c r="B19258" s="1" t="s">
        <v>6862</v>
      </c>
      <c r="C19258" s="1" t="s">
        <v>6863</v>
      </c>
      <c r="D19258" s="22" t="str">
        <f>HYPERLINK("https://rhld.insurance.arkansas.gov/NPILookup?Npi=1275086688","1275086688")</f>
        <v>1275086688</v>
      </c>
      <c r="E19258" s="1" t="s">
        <v>24346</v>
      </c>
      <c r="F19258" s="2"/>
      <c r="G19258" s="2"/>
      <c r="H19258" s="2"/>
    </row>
    <row r="19259" spans="1:8" x14ac:dyDescent="0.25">
      <c r="A19259" s="1"/>
      <c r="B19259" s="1" t="s">
        <v>6862</v>
      </c>
      <c r="C19259" s="1" t="s">
        <v>6863</v>
      </c>
      <c r="D19259" s="22" t="str">
        <f>HYPERLINK("https://rhld.insurance.arkansas.gov/NPILookup?Npi=1275089062","1275089062")</f>
        <v>1275089062</v>
      </c>
      <c r="E19259" s="1" t="s">
        <v>24347</v>
      </c>
      <c r="F19259" s="2"/>
      <c r="G19259" s="2"/>
      <c r="H19259" s="2"/>
    </row>
    <row r="19260" spans="1:8" x14ac:dyDescent="0.25">
      <c r="A19260" s="1"/>
      <c r="B19260" s="1" t="s">
        <v>6862</v>
      </c>
      <c r="C19260" s="1" t="s">
        <v>6863</v>
      </c>
      <c r="D19260" s="22" t="str">
        <f>HYPERLINK("https://rhld.insurance.arkansas.gov/NPILookup?Npi=1275109431","1275109431")</f>
        <v>1275109431</v>
      </c>
      <c r="E19260" s="1" t="s">
        <v>24348</v>
      </c>
      <c r="F19260" s="2"/>
      <c r="G19260" s="2"/>
      <c r="H19260" s="2"/>
    </row>
    <row r="19261" spans="1:8" x14ac:dyDescent="0.25">
      <c r="A19261" s="1"/>
      <c r="B19261" s="1" t="s">
        <v>6862</v>
      </c>
      <c r="C19261" s="1" t="s">
        <v>6863</v>
      </c>
      <c r="D19261" s="22" t="str">
        <f>HYPERLINK("https://rhld.insurance.arkansas.gov/NPILookup?Npi=1275241085","1275241085")</f>
        <v>1275241085</v>
      </c>
      <c r="E19261" s="1" t="s">
        <v>24349</v>
      </c>
      <c r="F19261" s="2"/>
      <c r="G19261" s="2"/>
      <c r="H19261" s="2"/>
    </row>
    <row r="19262" spans="1:8" x14ac:dyDescent="0.25">
      <c r="A19262" s="1"/>
      <c r="B19262" s="1" t="s">
        <v>6862</v>
      </c>
      <c r="C19262" s="1" t="s">
        <v>6863</v>
      </c>
      <c r="D19262" s="22" t="str">
        <f>HYPERLINK("https://rhld.insurance.arkansas.gov/NPILookup?Npi=1275245342","1275245342")</f>
        <v>1275245342</v>
      </c>
      <c r="E19262" s="1" t="s">
        <v>6967</v>
      </c>
      <c r="F19262" s="2"/>
      <c r="G19262" s="2"/>
      <c r="H19262" s="2"/>
    </row>
    <row r="19263" spans="1:8" x14ac:dyDescent="0.25">
      <c r="A19263" s="1"/>
      <c r="B19263" s="1" t="s">
        <v>6862</v>
      </c>
      <c r="C19263" s="1" t="s">
        <v>6863</v>
      </c>
      <c r="D19263" s="22" t="str">
        <f>HYPERLINK("https://rhld.insurance.arkansas.gov/NPILookup?Npi=1275295206","1275295206")</f>
        <v>1275295206</v>
      </c>
      <c r="E19263" s="1" t="s">
        <v>24350</v>
      </c>
      <c r="F19263" s="2"/>
      <c r="G19263" s="2"/>
      <c r="H19263" s="2"/>
    </row>
    <row r="19264" spans="1:8" x14ac:dyDescent="0.25">
      <c r="A19264" s="1"/>
      <c r="B19264" s="1" t="s">
        <v>6862</v>
      </c>
      <c r="C19264" s="1" t="s">
        <v>6863</v>
      </c>
      <c r="D19264" s="22" t="str">
        <f>HYPERLINK("https://rhld.insurance.arkansas.gov/NPILookup?Npi=1275365520","1275365520")</f>
        <v>1275365520</v>
      </c>
      <c r="E19264" s="1" t="s">
        <v>24351</v>
      </c>
      <c r="F19264" s="2"/>
      <c r="G19264" s="2"/>
      <c r="H19264" s="2"/>
    </row>
    <row r="19265" spans="1:8" x14ac:dyDescent="0.25">
      <c r="A19265" s="1"/>
      <c r="B19265" s="1" t="s">
        <v>6862</v>
      </c>
      <c r="C19265" s="1" t="s">
        <v>6863</v>
      </c>
      <c r="D19265" s="22" t="str">
        <f>HYPERLINK("https://rhld.insurance.arkansas.gov/NPILookup?Npi=1275396632","1275396632")</f>
        <v>1275396632</v>
      </c>
      <c r="E19265" s="1" t="s">
        <v>24352</v>
      </c>
      <c r="F19265" s="2"/>
      <c r="G19265" s="2"/>
      <c r="H19265" s="2"/>
    </row>
    <row r="19266" spans="1:8" x14ac:dyDescent="0.25">
      <c r="A19266" s="1"/>
      <c r="B19266" s="1" t="s">
        <v>6862</v>
      </c>
      <c r="C19266" s="1" t="s">
        <v>6863</v>
      </c>
      <c r="D19266" s="22" t="str">
        <f>HYPERLINK("https://rhld.insurance.arkansas.gov/NPILookup?Npi=1275554081","1275554081")</f>
        <v>1275554081</v>
      </c>
      <c r="E19266" s="1" t="s">
        <v>24353</v>
      </c>
      <c r="F19266" s="2"/>
      <c r="G19266" s="2"/>
      <c r="H19266" s="2"/>
    </row>
    <row r="19267" spans="1:8" x14ac:dyDescent="0.25">
      <c r="A19267" s="1"/>
      <c r="B19267" s="1" t="s">
        <v>6862</v>
      </c>
      <c r="C19267" s="1" t="s">
        <v>6863</v>
      </c>
      <c r="D19267" s="22" t="str">
        <f>HYPERLINK("https://rhld.insurance.arkansas.gov/NPILookup?Npi=1275728172","1275728172")</f>
        <v>1275728172</v>
      </c>
      <c r="E19267" s="1" t="s">
        <v>6968</v>
      </c>
      <c r="F19267" s="2"/>
      <c r="G19267" s="2"/>
      <c r="H19267" s="2"/>
    </row>
    <row r="19268" spans="1:8" x14ac:dyDescent="0.25">
      <c r="A19268" s="1"/>
      <c r="B19268" s="1" t="s">
        <v>6862</v>
      </c>
      <c r="C19268" s="1" t="s">
        <v>6863</v>
      </c>
      <c r="D19268" s="22" t="str">
        <f>HYPERLINK("https://rhld.insurance.arkansas.gov/NPILookup?Npi=1275730442","1275730442")</f>
        <v>1275730442</v>
      </c>
      <c r="E19268" s="1" t="s">
        <v>24354</v>
      </c>
      <c r="F19268" s="2"/>
      <c r="G19268" s="2"/>
      <c r="H19268" s="2"/>
    </row>
    <row r="19269" spans="1:8" x14ac:dyDescent="0.25">
      <c r="A19269" s="1"/>
      <c r="B19269" s="1" t="s">
        <v>6862</v>
      </c>
      <c r="C19269" s="1" t="s">
        <v>6863</v>
      </c>
      <c r="D19269" s="22" t="str">
        <f>HYPERLINK("https://rhld.insurance.arkansas.gov/NPILookup?Npi=1275750044","1275750044")</f>
        <v>1275750044</v>
      </c>
      <c r="E19269" s="1" t="s">
        <v>6605</v>
      </c>
      <c r="F19269" s="2"/>
      <c r="G19269" s="2"/>
      <c r="H19269" s="2"/>
    </row>
    <row r="19270" spans="1:8" x14ac:dyDescent="0.25">
      <c r="A19270" s="1"/>
      <c r="B19270" s="1" t="s">
        <v>6862</v>
      </c>
      <c r="C19270" s="1" t="s">
        <v>6863</v>
      </c>
      <c r="D19270" s="22" t="str">
        <f>HYPERLINK("https://rhld.insurance.arkansas.gov/NPILookup?Npi=1275796336","1275796336")</f>
        <v>1275796336</v>
      </c>
      <c r="E19270" s="1" t="s">
        <v>12374</v>
      </c>
      <c r="F19270" s="2"/>
      <c r="G19270" s="2"/>
      <c r="H19270" s="2"/>
    </row>
    <row r="19271" spans="1:8" x14ac:dyDescent="0.25">
      <c r="A19271" s="1"/>
      <c r="B19271" s="1" t="s">
        <v>6862</v>
      </c>
      <c r="C19271" s="1" t="s">
        <v>6863</v>
      </c>
      <c r="D19271" s="22" t="str">
        <f>HYPERLINK("https://rhld.insurance.arkansas.gov/NPILookup?Npi=1275843815","1275843815")</f>
        <v>1275843815</v>
      </c>
      <c r="E19271" s="1" t="s">
        <v>24355</v>
      </c>
      <c r="F19271" s="2"/>
      <c r="G19271" s="2"/>
      <c r="H19271" s="2"/>
    </row>
    <row r="19272" spans="1:8" x14ac:dyDescent="0.25">
      <c r="A19272" s="1"/>
      <c r="B19272" s="1" t="s">
        <v>6862</v>
      </c>
      <c r="C19272" s="1" t="s">
        <v>6863</v>
      </c>
      <c r="D19272" s="22" t="str">
        <f>HYPERLINK("https://rhld.insurance.arkansas.gov/NPILookup?Npi=1275847600","1275847600")</f>
        <v>1275847600</v>
      </c>
      <c r="E19272" s="1" t="s">
        <v>12375</v>
      </c>
      <c r="F19272" s="2"/>
      <c r="G19272" s="2"/>
      <c r="H19272" s="2"/>
    </row>
    <row r="19273" spans="1:8" x14ac:dyDescent="0.25">
      <c r="A19273" s="1"/>
      <c r="B19273" s="1" t="s">
        <v>6862</v>
      </c>
      <c r="C19273" s="1" t="s">
        <v>6863</v>
      </c>
      <c r="D19273" s="22" t="str">
        <f>HYPERLINK("https://rhld.insurance.arkansas.gov/NPILookup?Npi=1275889677","1275889677")</f>
        <v>1275889677</v>
      </c>
      <c r="E19273" s="1" t="s">
        <v>6969</v>
      </c>
      <c r="F19273" s="2"/>
      <c r="G19273" s="2"/>
      <c r="H19273" s="2"/>
    </row>
    <row r="19274" spans="1:8" x14ac:dyDescent="0.25">
      <c r="A19274" s="1"/>
      <c r="B19274" s="1" t="s">
        <v>6862</v>
      </c>
      <c r="C19274" s="1" t="s">
        <v>6863</v>
      </c>
      <c r="D19274" s="22" t="str">
        <f>HYPERLINK("https://rhld.insurance.arkansas.gov/NPILookup?Npi=1275896789","1275896789")</f>
        <v>1275896789</v>
      </c>
      <c r="E19274" s="1" t="s">
        <v>12376</v>
      </c>
      <c r="F19274" s="2"/>
      <c r="G19274" s="2"/>
      <c r="H19274" s="2"/>
    </row>
    <row r="19275" spans="1:8" x14ac:dyDescent="0.25">
      <c r="A19275" s="1"/>
      <c r="B19275" s="1" t="s">
        <v>6862</v>
      </c>
      <c r="C19275" s="1" t="s">
        <v>6863</v>
      </c>
      <c r="D19275" s="22" t="str">
        <f>HYPERLINK("https://rhld.insurance.arkansas.gov/NPILookup?Npi=1275933772","1275933772")</f>
        <v>1275933772</v>
      </c>
      <c r="E19275" s="1" t="s">
        <v>24356</v>
      </c>
      <c r="F19275" s="2"/>
      <c r="G19275" s="2"/>
      <c r="H19275" s="2"/>
    </row>
    <row r="19276" spans="1:8" x14ac:dyDescent="0.25">
      <c r="A19276" s="1"/>
      <c r="B19276" s="1" t="s">
        <v>6862</v>
      </c>
      <c r="C19276" s="1" t="s">
        <v>6863</v>
      </c>
      <c r="D19276" s="22" t="str">
        <f>HYPERLINK("https://rhld.insurance.arkansas.gov/NPILookup?Npi=1275933996","1275933996")</f>
        <v>1275933996</v>
      </c>
      <c r="E19276" s="1" t="s">
        <v>24357</v>
      </c>
      <c r="F19276" s="2"/>
      <c r="G19276" s="2"/>
      <c r="H19276" s="2"/>
    </row>
    <row r="19277" spans="1:8" x14ac:dyDescent="0.25">
      <c r="A19277" s="1"/>
      <c r="B19277" s="1" t="s">
        <v>6862</v>
      </c>
      <c r="C19277" s="1" t="s">
        <v>6863</v>
      </c>
      <c r="D19277" s="22" t="str">
        <f>HYPERLINK("https://rhld.insurance.arkansas.gov/NPILookup?Npi=1285060699","1285060699")</f>
        <v>1285060699</v>
      </c>
      <c r="E19277" s="1" t="s">
        <v>3005</v>
      </c>
      <c r="F19277" s="2"/>
      <c r="G19277" s="2"/>
      <c r="H19277" s="2"/>
    </row>
    <row r="19278" spans="1:8" x14ac:dyDescent="0.25">
      <c r="A19278" s="1"/>
      <c r="B19278" s="1" t="s">
        <v>6862</v>
      </c>
      <c r="C19278" s="1" t="s">
        <v>6863</v>
      </c>
      <c r="D19278" s="22" t="str">
        <f>HYPERLINK("https://rhld.insurance.arkansas.gov/NPILookup?Npi=1285080689","1285080689")</f>
        <v>1285080689</v>
      </c>
      <c r="E19278" s="1" t="s">
        <v>6970</v>
      </c>
      <c r="F19278" s="2"/>
      <c r="G19278" s="2"/>
      <c r="H19278" s="2"/>
    </row>
    <row r="19279" spans="1:8" x14ac:dyDescent="0.25">
      <c r="A19279" s="1"/>
      <c r="B19279" s="1" t="s">
        <v>6862</v>
      </c>
      <c r="C19279" s="1" t="s">
        <v>6863</v>
      </c>
      <c r="D19279" s="22" t="str">
        <f>HYPERLINK("https://rhld.insurance.arkansas.gov/NPILookup?Npi=1285225656","1285225656")</f>
        <v>1285225656</v>
      </c>
      <c r="E19279" s="1" t="s">
        <v>24358</v>
      </c>
      <c r="F19279" s="2"/>
      <c r="G19279" s="2"/>
      <c r="H19279" s="2"/>
    </row>
    <row r="19280" spans="1:8" x14ac:dyDescent="0.25">
      <c r="A19280" s="1"/>
      <c r="B19280" s="1" t="s">
        <v>6862</v>
      </c>
      <c r="C19280" s="1" t="s">
        <v>6863</v>
      </c>
      <c r="D19280" s="22" t="str">
        <f>HYPERLINK("https://rhld.insurance.arkansas.gov/NPILookup?Npi=1285247429","1285247429")</f>
        <v>1285247429</v>
      </c>
      <c r="E19280" s="1" t="s">
        <v>32018</v>
      </c>
      <c r="F19280" s="2"/>
      <c r="G19280" s="2"/>
      <c r="H19280" s="2"/>
    </row>
    <row r="19281" spans="1:8" x14ac:dyDescent="0.25">
      <c r="A19281" s="1"/>
      <c r="B19281" s="1" t="s">
        <v>6862</v>
      </c>
      <c r="C19281" s="1" t="s">
        <v>6863</v>
      </c>
      <c r="D19281" s="22" t="str">
        <f>HYPERLINK("https://rhld.insurance.arkansas.gov/NPILookup?Npi=1285255257","1285255257")</f>
        <v>1285255257</v>
      </c>
      <c r="E19281" s="1" t="s">
        <v>12378</v>
      </c>
      <c r="F19281" s="2"/>
      <c r="G19281" s="2"/>
      <c r="H19281" s="2"/>
    </row>
    <row r="19282" spans="1:8" x14ac:dyDescent="0.25">
      <c r="A19282" s="1"/>
      <c r="B19282" s="1" t="s">
        <v>6862</v>
      </c>
      <c r="C19282" s="1" t="s">
        <v>6863</v>
      </c>
      <c r="D19282" s="22" t="str">
        <f>HYPERLINK("https://rhld.insurance.arkansas.gov/NPILookup?Npi=1285270165","1285270165")</f>
        <v>1285270165</v>
      </c>
      <c r="E19282" s="1" t="s">
        <v>12379</v>
      </c>
      <c r="F19282" s="2"/>
      <c r="G19282" s="2"/>
      <c r="H19282" s="2"/>
    </row>
    <row r="19283" spans="1:8" x14ac:dyDescent="0.25">
      <c r="A19283" s="1"/>
      <c r="B19283" s="1" t="s">
        <v>6862</v>
      </c>
      <c r="C19283" s="1" t="s">
        <v>6863</v>
      </c>
      <c r="D19283" s="22" t="str">
        <f>HYPERLINK("https://rhld.insurance.arkansas.gov/NPILookup?Npi=1285286799","1285286799")</f>
        <v>1285286799</v>
      </c>
      <c r="E19283" s="1" t="s">
        <v>12380</v>
      </c>
      <c r="F19283" s="2"/>
      <c r="G19283" s="2"/>
      <c r="H19283" s="2"/>
    </row>
    <row r="19284" spans="1:8" x14ac:dyDescent="0.25">
      <c r="A19284" s="1"/>
      <c r="B19284" s="1" t="s">
        <v>6862</v>
      </c>
      <c r="C19284" s="1" t="s">
        <v>6863</v>
      </c>
      <c r="D19284" s="22" t="str">
        <f>HYPERLINK("https://rhld.insurance.arkansas.gov/NPILookup?Npi=1285352229","1285352229")</f>
        <v>1285352229</v>
      </c>
      <c r="E19284" s="1" t="s">
        <v>24359</v>
      </c>
      <c r="F19284" s="2"/>
      <c r="G19284" s="2"/>
      <c r="H19284" s="2"/>
    </row>
    <row r="19285" spans="1:8" x14ac:dyDescent="0.25">
      <c r="A19285" s="1"/>
      <c r="B19285" s="1" t="s">
        <v>6862</v>
      </c>
      <c r="C19285" s="1" t="s">
        <v>6863</v>
      </c>
      <c r="D19285" s="22" t="str">
        <f>HYPERLINK("https://rhld.insurance.arkansas.gov/NPILookup?Npi=1285364950","1285364950")</f>
        <v>1285364950</v>
      </c>
      <c r="E19285" s="1" t="s">
        <v>12381</v>
      </c>
      <c r="F19285" s="2"/>
      <c r="G19285" s="2"/>
      <c r="H19285" s="2"/>
    </row>
    <row r="19286" spans="1:8" x14ac:dyDescent="0.25">
      <c r="A19286" s="1"/>
      <c r="B19286" s="1" t="s">
        <v>6862</v>
      </c>
      <c r="C19286" s="1" t="s">
        <v>6863</v>
      </c>
      <c r="D19286" s="22" t="str">
        <f>HYPERLINK("https://rhld.insurance.arkansas.gov/NPILookup?Npi=1285388181","1285388181")</f>
        <v>1285388181</v>
      </c>
      <c r="E19286" s="1" t="s">
        <v>24360</v>
      </c>
      <c r="F19286" s="2"/>
      <c r="G19286" s="2"/>
      <c r="H19286" s="2"/>
    </row>
    <row r="19287" spans="1:8" x14ac:dyDescent="0.25">
      <c r="A19287" s="1"/>
      <c r="B19287" s="1" t="s">
        <v>6862</v>
      </c>
      <c r="C19287" s="1" t="s">
        <v>6863</v>
      </c>
      <c r="D19287" s="22" t="str">
        <f>HYPERLINK("https://rhld.insurance.arkansas.gov/NPILookup?Npi=1285459784","1285459784")</f>
        <v>1285459784</v>
      </c>
      <c r="E19287" s="1" t="s">
        <v>32019</v>
      </c>
      <c r="F19287" s="2"/>
      <c r="G19287" s="2"/>
      <c r="H19287" s="2"/>
    </row>
    <row r="19288" spans="1:8" x14ac:dyDescent="0.25">
      <c r="A19288" s="1"/>
      <c r="B19288" s="1" t="s">
        <v>6862</v>
      </c>
      <c r="C19288" s="1" t="s">
        <v>6863</v>
      </c>
      <c r="D19288" s="22" t="str">
        <f>HYPERLINK("https://rhld.insurance.arkansas.gov/NPILookup?Npi=1285730192","1285730192")</f>
        <v>1285730192</v>
      </c>
      <c r="E19288" s="1" t="s">
        <v>24361</v>
      </c>
      <c r="F19288" s="2"/>
      <c r="G19288" s="2"/>
      <c r="H19288" s="2"/>
    </row>
    <row r="19289" spans="1:8" x14ac:dyDescent="0.25">
      <c r="A19289" s="1"/>
      <c r="B19289" s="1" t="s">
        <v>6862</v>
      </c>
      <c r="C19289" s="1" t="s">
        <v>6863</v>
      </c>
      <c r="D19289" s="22" t="str">
        <f>HYPERLINK("https://rhld.insurance.arkansas.gov/NPILookup?Npi=1285736074","1285736074")</f>
        <v>1285736074</v>
      </c>
      <c r="E19289" s="1" t="s">
        <v>24362</v>
      </c>
      <c r="F19289" s="2"/>
      <c r="G19289" s="2"/>
      <c r="H19289" s="2"/>
    </row>
    <row r="19290" spans="1:8" x14ac:dyDescent="0.25">
      <c r="A19290" s="1"/>
      <c r="B19290" s="1" t="s">
        <v>6862</v>
      </c>
      <c r="C19290" s="1" t="s">
        <v>6863</v>
      </c>
      <c r="D19290" s="22" t="str">
        <f>HYPERLINK("https://rhld.insurance.arkansas.gov/NPILookup?Npi=1285790592","1285790592")</f>
        <v>1285790592</v>
      </c>
      <c r="E19290" s="1" t="s">
        <v>6971</v>
      </c>
      <c r="F19290" s="2"/>
      <c r="G19290" s="2"/>
      <c r="H19290" s="2"/>
    </row>
    <row r="19291" spans="1:8" x14ac:dyDescent="0.25">
      <c r="A19291" s="1"/>
      <c r="B19291" s="1" t="s">
        <v>6862</v>
      </c>
      <c r="C19291" s="1" t="s">
        <v>6863</v>
      </c>
      <c r="D19291" s="22" t="str">
        <f>HYPERLINK("https://rhld.insurance.arkansas.gov/NPILookup?Npi=1285968743","1285968743")</f>
        <v>1285968743</v>
      </c>
      <c r="E19291" s="1" t="s">
        <v>6972</v>
      </c>
      <c r="F19291" s="2"/>
      <c r="G19291" s="2"/>
      <c r="H19291" s="2"/>
    </row>
    <row r="19292" spans="1:8" x14ac:dyDescent="0.25">
      <c r="A19292" s="1"/>
      <c r="B19292" s="1" t="s">
        <v>6862</v>
      </c>
      <c r="C19292" s="1" t="s">
        <v>6863</v>
      </c>
      <c r="D19292" s="22" t="str">
        <f>HYPERLINK("https://rhld.insurance.arkansas.gov/NPILookup?Npi=1295002699","1295002699")</f>
        <v>1295002699</v>
      </c>
      <c r="E19292" s="1" t="s">
        <v>24363</v>
      </c>
      <c r="F19292" s="2"/>
      <c r="G19292" s="2"/>
      <c r="H19292" s="2"/>
    </row>
    <row r="19293" spans="1:8" x14ac:dyDescent="0.25">
      <c r="A19293" s="1"/>
      <c r="B19293" s="1" t="s">
        <v>6862</v>
      </c>
      <c r="C19293" s="1" t="s">
        <v>6863</v>
      </c>
      <c r="D19293" s="22" t="str">
        <f>HYPERLINK("https://rhld.insurance.arkansas.gov/NPILookup?Npi=1295321909","1295321909")</f>
        <v>1295321909</v>
      </c>
      <c r="E19293" s="1" t="s">
        <v>6973</v>
      </c>
      <c r="F19293" s="2"/>
      <c r="G19293" s="2"/>
      <c r="H19293" s="2"/>
    </row>
    <row r="19294" spans="1:8" x14ac:dyDescent="0.25">
      <c r="A19294" s="1"/>
      <c r="B19294" s="1" t="s">
        <v>6862</v>
      </c>
      <c r="C19294" s="1" t="s">
        <v>6863</v>
      </c>
      <c r="D19294" s="22" t="str">
        <f>HYPERLINK("https://rhld.insurance.arkansas.gov/NPILookup?Npi=1295340727","1295340727")</f>
        <v>1295340727</v>
      </c>
      <c r="E19294" s="1" t="s">
        <v>24364</v>
      </c>
      <c r="F19294" s="2"/>
      <c r="G19294" s="2"/>
      <c r="H19294" s="2"/>
    </row>
    <row r="19295" spans="1:8" x14ac:dyDescent="0.25">
      <c r="A19295" s="1"/>
      <c r="B19295" s="1" t="s">
        <v>6862</v>
      </c>
      <c r="C19295" s="1" t="s">
        <v>6863</v>
      </c>
      <c r="D19295" s="22" t="str">
        <f>HYPERLINK("https://rhld.insurance.arkansas.gov/NPILookup?Npi=1295352136","1295352136")</f>
        <v>1295352136</v>
      </c>
      <c r="E19295" s="1" t="s">
        <v>24365</v>
      </c>
      <c r="F19295" s="2"/>
      <c r="G19295" s="2"/>
      <c r="H19295" s="2"/>
    </row>
    <row r="19296" spans="1:8" x14ac:dyDescent="0.25">
      <c r="A19296" s="1"/>
      <c r="B19296" s="1" t="s">
        <v>6862</v>
      </c>
      <c r="C19296" s="1" t="s">
        <v>6863</v>
      </c>
      <c r="D19296" s="22" t="str">
        <f>HYPERLINK("https://rhld.insurance.arkansas.gov/NPILookup?Npi=1295352946","1295352946")</f>
        <v>1295352946</v>
      </c>
      <c r="E19296" s="1" t="s">
        <v>24366</v>
      </c>
      <c r="F19296" s="2"/>
      <c r="G19296" s="2"/>
      <c r="H19296" s="2"/>
    </row>
    <row r="19297" spans="1:8" x14ac:dyDescent="0.25">
      <c r="A19297" s="1"/>
      <c r="B19297" s="1" t="s">
        <v>6862</v>
      </c>
      <c r="C19297" s="1" t="s">
        <v>6863</v>
      </c>
      <c r="D19297" s="22" t="str">
        <f>HYPERLINK("https://rhld.insurance.arkansas.gov/NPILookup?Npi=1295354959","1295354959")</f>
        <v>1295354959</v>
      </c>
      <c r="E19297" s="1" t="s">
        <v>24367</v>
      </c>
      <c r="F19297" s="2"/>
      <c r="G19297" s="2"/>
      <c r="H19297" s="2"/>
    </row>
    <row r="19298" spans="1:8" x14ac:dyDescent="0.25">
      <c r="A19298" s="1"/>
      <c r="B19298" s="1" t="s">
        <v>6862</v>
      </c>
      <c r="C19298" s="1" t="s">
        <v>6863</v>
      </c>
      <c r="D19298" s="22" t="str">
        <f>HYPERLINK("https://rhld.insurance.arkansas.gov/NPILookup?Npi=1295376739","1295376739")</f>
        <v>1295376739</v>
      </c>
      <c r="E19298" s="1" t="s">
        <v>24368</v>
      </c>
      <c r="F19298" s="2"/>
      <c r="G19298" s="2"/>
      <c r="H19298" s="2"/>
    </row>
    <row r="19299" spans="1:8" x14ac:dyDescent="0.25">
      <c r="A19299" s="1"/>
      <c r="B19299" s="1" t="s">
        <v>6862</v>
      </c>
      <c r="C19299" s="1" t="s">
        <v>6863</v>
      </c>
      <c r="D19299" s="22" t="str">
        <f>HYPERLINK("https://rhld.insurance.arkansas.gov/NPILookup?Npi=1295380434","1295380434")</f>
        <v>1295380434</v>
      </c>
      <c r="E19299" s="1" t="s">
        <v>24369</v>
      </c>
      <c r="F19299" s="2"/>
      <c r="G19299" s="2"/>
      <c r="H19299" s="2"/>
    </row>
    <row r="19300" spans="1:8" x14ac:dyDescent="0.25">
      <c r="A19300" s="1"/>
      <c r="B19300" s="1" t="s">
        <v>6862</v>
      </c>
      <c r="C19300" s="1" t="s">
        <v>6863</v>
      </c>
      <c r="D19300" s="22" t="str">
        <f>HYPERLINK("https://rhld.insurance.arkansas.gov/NPILookup?Npi=1295402444","1295402444")</f>
        <v>1295402444</v>
      </c>
      <c r="E19300" s="1" t="s">
        <v>24370</v>
      </c>
      <c r="F19300" s="2"/>
      <c r="G19300" s="2"/>
      <c r="H19300" s="2"/>
    </row>
    <row r="19301" spans="1:8" x14ac:dyDescent="0.25">
      <c r="A19301" s="1"/>
      <c r="B19301" s="1" t="s">
        <v>6862</v>
      </c>
      <c r="C19301" s="1" t="s">
        <v>6863</v>
      </c>
      <c r="D19301" s="22" t="str">
        <f>HYPERLINK("https://rhld.insurance.arkansas.gov/NPILookup?Npi=1295409480","1295409480")</f>
        <v>1295409480</v>
      </c>
      <c r="E19301" s="1" t="s">
        <v>5729</v>
      </c>
      <c r="F19301" s="2"/>
      <c r="G19301" s="2"/>
      <c r="H19301" s="2"/>
    </row>
    <row r="19302" spans="1:8" x14ac:dyDescent="0.25">
      <c r="A19302" s="1"/>
      <c r="B19302" s="1" t="s">
        <v>6862</v>
      </c>
      <c r="C19302" s="1" t="s">
        <v>6863</v>
      </c>
      <c r="D19302" s="22" t="str">
        <f>HYPERLINK("https://rhld.insurance.arkansas.gov/NPILookup?Npi=1295473007","1295473007")</f>
        <v>1295473007</v>
      </c>
      <c r="E19302" s="1" t="s">
        <v>24371</v>
      </c>
      <c r="F19302" s="2"/>
      <c r="G19302" s="2"/>
      <c r="H19302" s="2"/>
    </row>
    <row r="19303" spans="1:8" x14ac:dyDescent="0.25">
      <c r="A19303" s="1"/>
      <c r="B19303" s="1" t="s">
        <v>6862</v>
      </c>
      <c r="C19303" s="1" t="s">
        <v>6863</v>
      </c>
      <c r="D19303" s="22" t="str">
        <f>HYPERLINK("https://rhld.insurance.arkansas.gov/NPILookup?Npi=1295503761","1295503761")</f>
        <v>1295503761</v>
      </c>
      <c r="E19303" s="1" t="s">
        <v>6974</v>
      </c>
      <c r="F19303" s="2"/>
      <c r="G19303" s="2"/>
      <c r="H19303" s="2"/>
    </row>
    <row r="19304" spans="1:8" x14ac:dyDescent="0.25">
      <c r="A19304" s="1"/>
      <c r="B19304" s="1" t="s">
        <v>6862</v>
      </c>
      <c r="C19304" s="1" t="s">
        <v>6863</v>
      </c>
      <c r="D19304" s="22" t="str">
        <f>HYPERLINK("https://rhld.insurance.arkansas.gov/NPILookup?Npi=1295701142","1295701142")</f>
        <v>1295701142</v>
      </c>
      <c r="E19304" s="1" t="s">
        <v>1378</v>
      </c>
      <c r="F19304" s="2"/>
      <c r="G19304" s="2"/>
      <c r="H19304" s="2"/>
    </row>
    <row r="19305" spans="1:8" x14ac:dyDescent="0.25">
      <c r="A19305" s="1"/>
      <c r="B19305" s="1" t="s">
        <v>6862</v>
      </c>
      <c r="C19305" s="1" t="s">
        <v>6863</v>
      </c>
      <c r="D19305" s="22" t="str">
        <f>HYPERLINK("https://rhld.insurance.arkansas.gov/NPILookup?Npi=1295773919","1295773919")</f>
        <v>1295773919</v>
      </c>
      <c r="E19305" s="1" t="s">
        <v>6975</v>
      </c>
      <c r="F19305" s="2"/>
      <c r="G19305" s="2"/>
      <c r="H19305" s="2"/>
    </row>
    <row r="19306" spans="1:8" x14ac:dyDescent="0.25">
      <c r="A19306" s="1"/>
      <c r="B19306" s="1" t="s">
        <v>6862</v>
      </c>
      <c r="C19306" s="1" t="s">
        <v>6863</v>
      </c>
      <c r="D19306" s="22" t="str">
        <f>HYPERLINK("https://rhld.insurance.arkansas.gov/NPILookup?Npi=1295840502","1295840502")</f>
        <v>1295840502</v>
      </c>
      <c r="E19306" s="1" t="s">
        <v>20504</v>
      </c>
      <c r="F19306" s="2"/>
      <c r="G19306" s="2"/>
      <c r="H19306" s="2"/>
    </row>
    <row r="19307" spans="1:8" x14ac:dyDescent="0.25">
      <c r="A19307" s="1"/>
      <c r="B19307" s="1" t="s">
        <v>6862</v>
      </c>
      <c r="C19307" s="1" t="s">
        <v>6863</v>
      </c>
      <c r="D19307" s="22" t="str">
        <f>HYPERLINK("https://rhld.insurance.arkansas.gov/NPILookup?Npi=1295854222","1295854222")</f>
        <v>1295854222</v>
      </c>
      <c r="E19307" s="1" t="s">
        <v>12382</v>
      </c>
      <c r="F19307" s="2"/>
      <c r="G19307" s="2"/>
      <c r="H19307" s="2"/>
    </row>
    <row r="19308" spans="1:8" x14ac:dyDescent="0.25">
      <c r="A19308" s="1"/>
      <c r="B19308" s="1" t="s">
        <v>6862</v>
      </c>
      <c r="C19308" s="1" t="s">
        <v>6863</v>
      </c>
      <c r="D19308" s="22" t="str">
        <f>HYPERLINK("https://rhld.insurance.arkansas.gov/NPILookup?Npi=1295863678","1295863678")</f>
        <v>1295863678</v>
      </c>
      <c r="E19308" s="1" t="s">
        <v>24372</v>
      </c>
      <c r="F19308" s="2"/>
      <c r="G19308" s="2"/>
      <c r="H19308" s="2"/>
    </row>
    <row r="19309" spans="1:8" x14ac:dyDescent="0.25">
      <c r="A19309" s="1"/>
      <c r="B19309" s="1" t="s">
        <v>6862</v>
      </c>
      <c r="C19309" s="1" t="s">
        <v>6863</v>
      </c>
      <c r="D19309" s="22" t="str">
        <f>HYPERLINK("https://rhld.insurance.arkansas.gov/NPILookup?Npi=1295921625","1295921625")</f>
        <v>1295921625</v>
      </c>
      <c r="E19309" s="1" t="s">
        <v>24373</v>
      </c>
      <c r="F19309" s="2"/>
      <c r="G19309" s="2"/>
      <c r="H19309" s="2"/>
    </row>
    <row r="19310" spans="1:8" x14ac:dyDescent="0.25">
      <c r="A19310" s="1"/>
      <c r="B19310" s="1" t="s">
        <v>6862</v>
      </c>
      <c r="C19310" s="1" t="s">
        <v>6863</v>
      </c>
      <c r="D19310" s="22" t="str">
        <f>HYPERLINK("https://rhld.insurance.arkansas.gov/NPILookup?Npi=1295954477","1295954477")</f>
        <v>1295954477</v>
      </c>
      <c r="E19310" s="1" t="s">
        <v>24374</v>
      </c>
      <c r="F19310" s="2"/>
      <c r="G19310" s="2"/>
      <c r="H19310" s="2"/>
    </row>
    <row r="19311" spans="1:8" x14ac:dyDescent="0.25">
      <c r="A19311" s="1"/>
      <c r="B19311" s="1" t="s">
        <v>6862</v>
      </c>
      <c r="C19311" s="1" t="s">
        <v>6863</v>
      </c>
      <c r="D19311" s="22" t="str">
        <f>HYPERLINK("https://rhld.insurance.arkansas.gov/NPILookup?Npi=1295956803","1295956803")</f>
        <v>1295956803</v>
      </c>
      <c r="E19311" s="1" t="s">
        <v>6976</v>
      </c>
      <c r="F19311" s="2"/>
      <c r="G19311" s="2"/>
      <c r="H19311" s="2"/>
    </row>
    <row r="19312" spans="1:8" x14ac:dyDescent="0.25">
      <c r="A19312" s="1"/>
      <c r="B19312" s="1" t="s">
        <v>6862</v>
      </c>
      <c r="C19312" s="1" t="s">
        <v>6863</v>
      </c>
      <c r="D19312" s="22" t="str">
        <f>HYPERLINK("https://rhld.insurance.arkansas.gov/NPILookup?Npi=1306015185","1306015185")</f>
        <v>1306015185</v>
      </c>
      <c r="E19312" s="1" t="s">
        <v>12383</v>
      </c>
      <c r="F19312" s="2"/>
      <c r="G19312" s="2"/>
      <c r="H19312" s="2"/>
    </row>
    <row r="19313" spans="1:8" x14ac:dyDescent="0.25">
      <c r="A19313" s="1"/>
      <c r="B19313" s="1" t="s">
        <v>6862</v>
      </c>
      <c r="C19313" s="1" t="s">
        <v>6863</v>
      </c>
      <c r="D19313" s="22" t="str">
        <f>HYPERLINK("https://rhld.insurance.arkansas.gov/NPILookup?Npi=1306164470","1306164470")</f>
        <v>1306164470</v>
      </c>
      <c r="E19313" s="1" t="s">
        <v>12384</v>
      </c>
      <c r="F19313" s="2"/>
      <c r="G19313" s="2"/>
      <c r="H19313" s="2"/>
    </row>
    <row r="19314" spans="1:8" x14ac:dyDescent="0.25">
      <c r="A19314" s="1"/>
      <c r="B19314" s="1" t="s">
        <v>6862</v>
      </c>
      <c r="C19314" s="1" t="s">
        <v>6863</v>
      </c>
      <c r="D19314" s="22" t="str">
        <f>HYPERLINK("https://rhld.insurance.arkansas.gov/NPILookup?Npi=1306182803","1306182803")</f>
        <v>1306182803</v>
      </c>
      <c r="E19314" s="1" t="s">
        <v>24375</v>
      </c>
      <c r="F19314" s="2"/>
      <c r="G19314" s="2"/>
      <c r="H19314" s="2"/>
    </row>
    <row r="19315" spans="1:8" x14ac:dyDescent="0.25">
      <c r="A19315" s="1"/>
      <c r="B19315" s="1" t="s">
        <v>6862</v>
      </c>
      <c r="C19315" s="1" t="s">
        <v>6863</v>
      </c>
      <c r="D19315" s="22" t="str">
        <f>HYPERLINK("https://rhld.insurance.arkansas.gov/NPILookup?Npi=1306203377","1306203377")</f>
        <v>1306203377</v>
      </c>
      <c r="E19315" s="1" t="s">
        <v>24376</v>
      </c>
      <c r="F19315" s="2"/>
      <c r="G19315" s="2"/>
      <c r="H19315" s="2"/>
    </row>
    <row r="19316" spans="1:8" x14ac:dyDescent="0.25">
      <c r="A19316" s="1"/>
      <c r="B19316" s="1" t="s">
        <v>6862</v>
      </c>
      <c r="C19316" s="1" t="s">
        <v>6863</v>
      </c>
      <c r="D19316" s="22" t="str">
        <f>HYPERLINK("https://rhld.insurance.arkansas.gov/NPILookup?Npi=1306258355","1306258355")</f>
        <v>1306258355</v>
      </c>
      <c r="E19316" s="1" t="s">
        <v>32020</v>
      </c>
      <c r="F19316" s="2"/>
      <c r="G19316" s="2"/>
      <c r="H19316" s="2"/>
    </row>
    <row r="19317" spans="1:8" x14ac:dyDescent="0.25">
      <c r="A19317" s="1"/>
      <c r="B19317" s="1" t="s">
        <v>6862</v>
      </c>
      <c r="C19317" s="1" t="s">
        <v>6863</v>
      </c>
      <c r="D19317" s="22" t="str">
        <f>HYPERLINK("https://rhld.insurance.arkansas.gov/NPILookup?Npi=1306303268","1306303268")</f>
        <v>1306303268</v>
      </c>
      <c r="E19317" s="1" t="s">
        <v>24377</v>
      </c>
      <c r="F19317" s="2"/>
      <c r="G19317" s="2"/>
      <c r="H19317" s="2"/>
    </row>
    <row r="19318" spans="1:8" x14ac:dyDescent="0.25">
      <c r="A19318" s="1"/>
      <c r="B19318" s="1" t="s">
        <v>6862</v>
      </c>
      <c r="C19318" s="1" t="s">
        <v>6863</v>
      </c>
      <c r="D19318" s="22" t="str">
        <f>HYPERLINK("https://rhld.insurance.arkansas.gov/NPILookup?Npi=1306327671","1306327671")</f>
        <v>1306327671</v>
      </c>
      <c r="E19318" s="1" t="s">
        <v>6977</v>
      </c>
      <c r="F19318" s="2"/>
      <c r="G19318" s="2"/>
      <c r="H19318" s="2"/>
    </row>
    <row r="19319" spans="1:8" x14ac:dyDescent="0.25">
      <c r="A19319" s="1"/>
      <c r="B19319" s="1" t="s">
        <v>6862</v>
      </c>
      <c r="C19319" s="1" t="s">
        <v>6863</v>
      </c>
      <c r="D19319" s="22" t="str">
        <f>HYPERLINK("https://rhld.insurance.arkansas.gov/NPILookup?Npi=1306351192","1306351192")</f>
        <v>1306351192</v>
      </c>
      <c r="E19319" s="1" t="s">
        <v>24378</v>
      </c>
      <c r="F19319" s="2"/>
      <c r="G19319" s="2"/>
      <c r="H19319" s="2"/>
    </row>
    <row r="19320" spans="1:8" x14ac:dyDescent="0.25">
      <c r="A19320" s="1"/>
      <c r="B19320" s="1" t="s">
        <v>6862</v>
      </c>
      <c r="C19320" s="1" t="s">
        <v>6863</v>
      </c>
      <c r="D19320" s="22" t="str">
        <f>HYPERLINK("https://rhld.insurance.arkansas.gov/NPILookup?Npi=1306399282","1306399282")</f>
        <v>1306399282</v>
      </c>
      <c r="E19320" s="1" t="s">
        <v>6978</v>
      </c>
      <c r="F19320" s="2"/>
      <c r="G19320" s="2"/>
      <c r="H19320" s="2"/>
    </row>
    <row r="19321" spans="1:8" x14ac:dyDescent="0.25">
      <c r="A19321" s="1"/>
      <c r="B19321" s="1" t="s">
        <v>6862</v>
      </c>
      <c r="C19321" s="1" t="s">
        <v>6863</v>
      </c>
      <c r="D19321" s="22" t="str">
        <f>HYPERLINK("https://rhld.insurance.arkansas.gov/NPILookup?Npi=1306415120","1306415120")</f>
        <v>1306415120</v>
      </c>
      <c r="E19321" s="1" t="s">
        <v>24379</v>
      </c>
      <c r="F19321" s="2"/>
      <c r="G19321" s="2"/>
      <c r="H19321" s="2"/>
    </row>
    <row r="19322" spans="1:8" x14ac:dyDescent="0.25">
      <c r="A19322" s="1"/>
      <c r="B19322" s="1" t="s">
        <v>6862</v>
      </c>
      <c r="C19322" s="1" t="s">
        <v>6863</v>
      </c>
      <c r="D19322" s="22" t="str">
        <f>HYPERLINK("https://rhld.insurance.arkansas.gov/NPILookup?Npi=1306462320","1306462320")</f>
        <v>1306462320</v>
      </c>
      <c r="E19322" s="1" t="s">
        <v>12385</v>
      </c>
      <c r="F19322" s="2"/>
      <c r="G19322" s="2"/>
      <c r="H19322" s="2"/>
    </row>
    <row r="19323" spans="1:8" x14ac:dyDescent="0.25">
      <c r="A19323" s="1"/>
      <c r="B19323" s="1" t="s">
        <v>6862</v>
      </c>
      <c r="C19323" s="1" t="s">
        <v>6863</v>
      </c>
      <c r="D19323" s="22" t="str">
        <f>HYPERLINK("https://rhld.insurance.arkansas.gov/NPILookup?Npi=1306523238","1306523238")</f>
        <v>1306523238</v>
      </c>
      <c r="E19323" s="1" t="s">
        <v>5213</v>
      </c>
      <c r="F19323" s="2"/>
      <c r="G19323" s="2"/>
      <c r="H19323" s="2"/>
    </row>
    <row r="19324" spans="1:8" x14ac:dyDescent="0.25">
      <c r="A19324" s="1"/>
      <c r="B19324" s="1" t="s">
        <v>6862</v>
      </c>
      <c r="C19324" s="1" t="s">
        <v>6863</v>
      </c>
      <c r="D19324" s="22" t="str">
        <f>HYPERLINK("https://rhld.insurance.arkansas.gov/NPILookup?Npi=1306528039","1306528039")</f>
        <v>1306528039</v>
      </c>
      <c r="E19324" s="1" t="s">
        <v>6979</v>
      </c>
      <c r="F19324" s="2"/>
      <c r="G19324" s="2"/>
      <c r="H19324" s="2"/>
    </row>
    <row r="19325" spans="1:8" x14ac:dyDescent="0.25">
      <c r="A19325" s="1"/>
      <c r="B19325" s="1" t="s">
        <v>6862</v>
      </c>
      <c r="C19325" s="1" t="s">
        <v>6863</v>
      </c>
      <c r="D19325" s="22" t="str">
        <f>HYPERLINK("https://rhld.insurance.arkansas.gov/NPILookup?Npi=1306573597","1306573597")</f>
        <v>1306573597</v>
      </c>
      <c r="E19325" s="1" t="s">
        <v>24380</v>
      </c>
      <c r="F19325" s="2"/>
      <c r="G19325" s="2"/>
      <c r="H19325" s="2"/>
    </row>
    <row r="19326" spans="1:8" x14ac:dyDescent="0.25">
      <c r="A19326" s="1"/>
      <c r="B19326" s="1" t="s">
        <v>6862</v>
      </c>
      <c r="C19326" s="1" t="s">
        <v>6863</v>
      </c>
      <c r="D19326" s="22" t="str">
        <f>HYPERLINK("https://rhld.insurance.arkansas.gov/NPILookup?Npi=1306695978","1306695978")</f>
        <v>1306695978</v>
      </c>
      <c r="E19326" s="1" t="s">
        <v>24381</v>
      </c>
      <c r="F19326" s="2"/>
      <c r="G19326" s="2"/>
      <c r="H19326" s="2"/>
    </row>
    <row r="19327" spans="1:8" x14ac:dyDescent="0.25">
      <c r="A19327" s="1"/>
      <c r="B19327" s="1" t="s">
        <v>6862</v>
      </c>
      <c r="C19327" s="1" t="s">
        <v>6863</v>
      </c>
      <c r="D19327" s="22" t="str">
        <f>HYPERLINK("https://rhld.insurance.arkansas.gov/NPILookup?Npi=1306801402","1306801402")</f>
        <v>1306801402</v>
      </c>
      <c r="E19327" s="1" t="s">
        <v>6980</v>
      </c>
      <c r="F19327" s="2"/>
      <c r="G19327" s="2"/>
      <c r="H19327" s="2"/>
    </row>
    <row r="19328" spans="1:8" x14ac:dyDescent="0.25">
      <c r="A19328" s="1"/>
      <c r="B19328" s="1" t="s">
        <v>6862</v>
      </c>
      <c r="C19328" s="1" t="s">
        <v>6863</v>
      </c>
      <c r="D19328" s="22" t="str">
        <f>HYPERLINK("https://rhld.insurance.arkansas.gov/NPILookup?Npi=1306804448","1306804448")</f>
        <v>1306804448</v>
      </c>
      <c r="E19328" s="1" t="s">
        <v>24382</v>
      </c>
      <c r="F19328" s="2"/>
      <c r="G19328" s="2"/>
      <c r="H19328" s="2"/>
    </row>
    <row r="19329" spans="1:8" x14ac:dyDescent="0.25">
      <c r="A19329" s="1"/>
      <c r="B19329" s="1" t="s">
        <v>6862</v>
      </c>
      <c r="C19329" s="1" t="s">
        <v>6863</v>
      </c>
      <c r="D19329" s="22" t="str">
        <f>HYPERLINK("https://rhld.insurance.arkansas.gov/NPILookup?Npi=1306902002","1306902002")</f>
        <v>1306902002</v>
      </c>
      <c r="E19329" s="1" t="s">
        <v>12386</v>
      </c>
      <c r="F19329" s="2"/>
      <c r="G19329" s="2"/>
      <c r="H19329" s="2"/>
    </row>
    <row r="19330" spans="1:8" x14ac:dyDescent="0.25">
      <c r="A19330" s="1"/>
      <c r="B19330" s="1" t="s">
        <v>6862</v>
      </c>
      <c r="C19330" s="1" t="s">
        <v>6863</v>
      </c>
      <c r="D19330" s="22" t="str">
        <f>HYPERLINK("https://rhld.insurance.arkansas.gov/NPILookup?Npi=1306940945","1306940945")</f>
        <v>1306940945</v>
      </c>
      <c r="E19330" s="1" t="s">
        <v>6981</v>
      </c>
      <c r="F19330" s="2"/>
      <c r="G19330" s="2"/>
      <c r="H19330" s="2"/>
    </row>
    <row r="19331" spans="1:8" x14ac:dyDescent="0.25">
      <c r="A19331" s="1"/>
      <c r="B19331" s="1" t="s">
        <v>6862</v>
      </c>
      <c r="C19331" s="1" t="s">
        <v>6863</v>
      </c>
      <c r="D19331" s="22" t="str">
        <f>HYPERLINK("https://rhld.insurance.arkansas.gov/NPILookup?Npi=1306942198","1306942198")</f>
        <v>1306942198</v>
      </c>
      <c r="E19331" s="1" t="s">
        <v>24383</v>
      </c>
      <c r="F19331" s="2"/>
      <c r="G19331" s="2"/>
      <c r="H19331" s="2"/>
    </row>
    <row r="19332" spans="1:8" x14ac:dyDescent="0.25">
      <c r="A19332" s="1"/>
      <c r="B19332" s="1" t="s">
        <v>6862</v>
      </c>
      <c r="C19332" s="1" t="s">
        <v>6863</v>
      </c>
      <c r="D19332" s="22" t="str">
        <f>HYPERLINK("https://rhld.insurance.arkansas.gov/NPILookup?Npi=1306948807","1306948807")</f>
        <v>1306948807</v>
      </c>
      <c r="E19332" s="1" t="s">
        <v>3536</v>
      </c>
      <c r="F19332" s="2"/>
      <c r="G19332" s="2"/>
      <c r="H19332" s="2"/>
    </row>
    <row r="19333" spans="1:8" x14ac:dyDescent="0.25">
      <c r="A19333" s="1"/>
      <c r="B19333" s="1" t="s">
        <v>6862</v>
      </c>
      <c r="C19333" s="1" t="s">
        <v>6863</v>
      </c>
      <c r="D19333" s="22" t="str">
        <f>HYPERLINK("https://rhld.insurance.arkansas.gov/NPILookup?Npi=1306992540","1306992540")</f>
        <v>1306992540</v>
      </c>
      <c r="E19333" s="1" t="s">
        <v>24384</v>
      </c>
      <c r="F19333" s="2"/>
      <c r="G19333" s="2"/>
      <c r="H19333" s="2"/>
    </row>
    <row r="19334" spans="1:8" x14ac:dyDescent="0.25">
      <c r="A19334" s="1"/>
      <c r="B19334" s="1" t="s">
        <v>6862</v>
      </c>
      <c r="C19334" s="1" t="s">
        <v>6863</v>
      </c>
      <c r="D19334" s="22" t="str">
        <f>HYPERLINK("https://rhld.insurance.arkansas.gov/NPILookup?Npi=1316045354","1316045354")</f>
        <v>1316045354</v>
      </c>
      <c r="E19334" s="1" t="s">
        <v>24385</v>
      </c>
      <c r="F19334" s="2"/>
      <c r="G19334" s="2"/>
      <c r="H19334" s="2"/>
    </row>
    <row r="19335" spans="1:8" x14ac:dyDescent="0.25">
      <c r="A19335" s="1"/>
      <c r="B19335" s="1" t="s">
        <v>6862</v>
      </c>
      <c r="C19335" s="1" t="s">
        <v>6863</v>
      </c>
      <c r="D19335" s="22" t="str">
        <f>HYPERLINK("https://rhld.insurance.arkansas.gov/NPILookup?Npi=1316227515","1316227515")</f>
        <v>1316227515</v>
      </c>
      <c r="E19335" s="1" t="s">
        <v>24386</v>
      </c>
      <c r="F19335" s="2"/>
      <c r="G19335" s="2"/>
      <c r="H19335" s="2"/>
    </row>
    <row r="19336" spans="1:8" x14ac:dyDescent="0.25">
      <c r="A19336" s="1"/>
      <c r="B19336" s="1" t="s">
        <v>6862</v>
      </c>
      <c r="C19336" s="1" t="s">
        <v>6863</v>
      </c>
      <c r="D19336" s="22" t="str">
        <f>HYPERLINK("https://rhld.insurance.arkansas.gov/NPILookup?Npi=1316257249","1316257249")</f>
        <v>1316257249</v>
      </c>
      <c r="E19336" s="1" t="s">
        <v>24387</v>
      </c>
      <c r="F19336" s="2"/>
      <c r="G19336" s="2"/>
      <c r="H19336" s="2"/>
    </row>
    <row r="19337" spans="1:8" x14ac:dyDescent="0.25">
      <c r="A19337" s="1"/>
      <c r="B19337" s="1" t="s">
        <v>6862</v>
      </c>
      <c r="C19337" s="1" t="s">
        <v>6863</v>
      </c>
      <c r="D19337" s="22" t="str">
        <f>HYPERLINK("https://rhld.insurance.arkansas.gov/NPILookup?Npi=1316260458","1316260458")</f>
        <v>1316260458</v>
      </c>
      <c r="E19337" s="1" t="s">
        <v>12387</v>
      </c>
      <c r="F19337" s="2"/>
      <c r="G19337" s="2"/>
      <c r="H19337" s="2"/>
    </row>
    <row r="19338" spans="1:8" x14ac:dyDescent="0.25">
      <c r="A19338" s="1"/>
      <c r="B19338" s="1" t="s">
        <v>6862</v>
      </c>
      <c r="C19338" s="1" t="s">
        <v>6863</v>
      </c>
      <c r="D19338" s="22" t="str">
        <f>HYPERLINK("https://rhld.insurance.arkansas.gov/NPILookup?Npi=1316314479","1316314479")</f>
        <v>1316314479</v>
      </c>
      <c r="E19338" s="1" t="s">
        <v>24388</v>
      </c>
      <c r="F19338" s="2"/>
      <c r="G19338" s="2"/>
      <c r="H19338" s="2"/>
    </row>
    <row r="19339" spans="1:8" x14ac:dyDescent="0.25">
      <c r="A19339" s="1"/>
      <c r="B19339" s="1" t="s">
        <v>6862</v>
      </c>
      <c r="C19339" s="1" t="s">
        <v>6863</v>
      </c>
      <c r="D19339" s="22" t="str">
        <f>HYPERLINK("https://rhld.insurance.arkansas.gov/NPILookup?Npi=1316412471","1316412471")</f>
        <v>1316412471</v>
      </c>
      <c r="E19339" s="1" t="s">
        <v>24389</v>
      </c>
      <c r="F19339" s="2"/>
      <c r="G19339" s="2"/>
      <c r="H19339" s="2"/>
    </row>
    <row r="19340" spans="1:8" x14ac:dyDescent="0.25">
      <c r="A19340" s="1"/>
      <c r="B19340" s="1" t="s">
        <v>6862</v>
      </c>
      <c r="C19340" s="1" t="s">
        <v>6863</v>
      </c>
      <c r="D19340" s="22" t="str">
        <f>HYPERLINK("https://rhld.insurance.arkansas.gov/NPILookup?Npi=1316442494","1316442494")</f>
        <v>1316442494</v>
      </c>
      <c r="E19340" s="1" t="s">
        <v>24390</v>
      </c>
      <c r="F19340" s="2"/>
      <c r="G19340" s="2"/>
      <c r="H19340" s="2"/>
    </row>
    <row r="19341" spans="1:8" x14ac:dyDescent="0.25">
      <c r="A19341" s="1"/>
      <c r="B19341" s="1" t="s">
        <v>6862</v>
      </c>
      <c r="C19341" s="1" t="s">
        <v>6863</v>
      </c>
      <c r="D19341" s="22" t="str">
        <f>HYPERLINK("https://rhld.insurance.arkansas.gov/NPILookup?Npi=1316461684","1316461684")</f>
        <v>1316461684</v>
      </c>
      <c r="E19341" s="1" t="s">
        <v>24391</v>
      </c>
      <c r="F19341" s="2"/>
      <c r="G19341" s="2"/>
      <c r="H19341" s="2"/>
    </row>
    <row r="19342" spans="1:8" x14ac:dyDescent="0.25">
      <c r="A19342" s="1"/>
      <c r="B19342" s="1" t="s">
        <v>6862</v>
      </c>
      <c r="C19342" s="1" t="s">
        <v>6863</v>
      </c>
      <c r="D19342" s="22" t="str">
        <f>HYPERLINK("https://rhld.insurance.arkansas.gov/NPILookup?Npi=1316464233","1316464233")</f>
        <v>1316464233</v>
      </c>
      <c r="E19342" s="1" t="s">
        <v>24392</v>
      </c>
      <c r="F19342" s="2"/>
      <c r="G19342" s="2"/>
      <c r="H19342" s="2"/>
    </row>
    <row r="19343" spans="1:8" x14ac:dyDescent="0.25">
      <c r="A19343" s="1"/>
      <c r="B19343" s="1" t="s">
        <v>6862</v>
      </c>
      <c r="C19343" s="1" t="s">
        <v>6863</v>
      </c>
      <c r="D19343" s="22" t="str">
        <f>HYPERLINK("https://rhld.insurance.arkansas.gov/NPILookup?Npi=1316512908","1316512908")</f>
        <v>1316512908</v>
      </c>
      <c r="E19343" s="1" t="s">
        <v>24393</v>
      </c>
      <c r="F19343" s="2"/>
      <c r="G19343" s="2"/>
      <c r="H19343" s="2"/>
    </row>
    <row r="19344" spans="1:8" x14ac:dyDescent="0.25">
      <c r="A19344" s="1"/>
      <c r="B19344" s="1" t="s">
        <v>6862</v>
      </c>
      <c r="C19344" s="1" t="s">
        <v>6863</v>
      </c>
      <c r="D19344" s="22" t="str">
        <f>HYPERLINK("https://rhld.insurance.arkansas.gov/NPILookup?Npi=1316559123","1316559123")</f>
        <v>1316559123</v>
      </c>
      <c r="E19344" s="1" t="s">
        <v>24394</v>
      </c>
      <c r="F19344" s="2"/>
      <c r="G19344" s="2"/>
      <c r="H19344" s="2"/>
    </row>
    <row r="19345" spans="1:8" x14ac:dyDescent="0.25">
      <c r="A19345" s="1"/>
      <c r="B19345" s="1" t="s">
        <v>6862</v>
      </c>
      <c r="C19345" s="1" t="s">
        <v>6863</v>
      </c>
      <c r="D19345" s="22" t="str">
        <f>HYPERLINK("https://rhld.insurance.arkansas.gov/NPILookup?Npi=1316631872","1316631872")</f>
        <v>1316631872</v>
      </c>
      <c r="E19345" s="1" t="s">
        <v>32021</v>
      </c>
      <c r="F19345" s="2"/>
      <c r="G19345" s="2"/>
      <c r="H19345" s="2"/>
    </row>
    <row r="19346" spans="1:8" x14ac:dyDescent="0.25">
      <c r="A19346" s="1"/>
      <c r="B19346" s="1" t="s">
        <v>6862</v>
      </c>
      <c r="C19346" s="1" t="s">
        <v>6863</v>
      </c>
      <c r="D19346" s="22" t="str">
        <f>HYPERLINK("https://rhld.insurance.arkansas.gov/NPILookup?Npi=1316655574","1316655574")</f>
        <v>1316655574</v>
      </c>
      <c r="E19346" s="1" t="s">
        <v>24395</v>
      </c>
      <c r="F19346" s="2"/>
      <c r="G19346" s="2"/>
      <c r="H19346" s="2"/>
    </row>
    <row r="19347" spans="1:8" x14ac:dyDescent="0.25">
      <c r="A19347" s="1"/>
      <c r="B19347" s="1" t="s">
        <v>6862</v>
      </c>
      <c r="C19347" s="1" t="s">
        <v>6863</v>
      </c>
      <c r="D19347" s="22" t="str">
        <f>HYPERLINK("https://rhld.insurance.arkansas.gov/NPILookup?Npi=1316675457","1316675457")</f>
        <v>1316675457</v>
      </c>
      <c r="E19347" s="1" t="s">
        <v>24396</v>
      </c>
      <c r="F19347" s="2"/>
      <c r="G19347" s="2"/>
      <c r="H19347" s="2"/>
    </row>
    <row r="19348" spans="1:8" x14ac:dyDescent="0.25">
      <c r="A19348" s="1"/>
      <c r="B19348" s="1" t="s">
        <v>6862</v>
      </c>
      <c r="C19348" s="1" t="s">
        <v>6863</v>
      </c>
      <c r="D19348" s="22" t="str">
        <f>HYPERLINK("https://rhld.insurance.arkansas.gov/NPILookup?Npi=1316721244","1316721244")</f>
        <v>1316721244</v>
      </c>
      <c r="E19348" s="1" t="s">
        <v>12389</v>
      </c>
      <c r="F19348" s="2"/>
      <c r="G19348" s="2"/>
      <c r="H19348" s="2"/>
    </row>
    <row r="19349" spans="1:8" x14ac:dyDescent="0.25">
      <c r="A19349" s="1"/>
      <c r="B19349" s="1" t="s">
        <v>6862</v>
      </c>
      <c r="C19349" s="1" t="s">
        <v>6863</v>
      </c>
      <c r="D19349" s="22" t="str">
        <f>HYPERLINK("https://rhld.insurance.arkansas.gov/NPILookup?Npi=1316902158","1316902158")</f>
        <v>1316902158</v>
      </c>
      <c r="E19349" s="1" t="s">
        <v>6984</v>
      </c>
      <c r="F19349" s="2"/>
      <c r="G19349" s="2"/>
      <c r="H19349" s="2"/>
    </row>
    <row r="19350" spans="1:8" x14ac:dyDescent="0.25">
      <c r="A19350" s="1"/>
      <c r="B19350" s="1" t="s">
        <v>6862</v>
      </c>
      <c r="C19350" s="1" t="s">
        <v>6863</v>
      </c>
      <c r="D19350" s="22" t="str">
        <f>HYPERLINK("https://rhld.insurance.arkansas.gov/NPILookup?Npi=1316932502","1316932502")</f>
        <v>1316932502</v>
      </c>
      <c r="E19350" s="1" t="s">
        <v>24397</v>
      </c>
      <c r="F19350" s="2"/>
      <c r="G19350" s="2"/>
      <c r="H19350" s="2"/>
    </row>
    <row r="19351" spans="1:8" x14ac:dyDescent="0.25">
      <c r="A19351" s="1"/>
      <c r="B19351" s="1" t="s">
        <v>6862</v>
      </c>
      <c r="C19351" s="1" t="s">
        <v>6863</v>
      </c>
      <c r="D19351" s="22" t="str">
        <f>HYPERLINK("https://rhld.insurance.arkansas.gov/NPILookup?Npi=1316967672","1316967672")</f>
        <v>1316967672</v>
      </c>
      <c r="E19351" s="1" t="s">
        <v>24398</v>
      </c>
      <c r="F19351" s="2"/>
      <c r="G19351" s="2"/>
      <c r="H19351" s="2"/>
    </row>
    <row r="19352" spans="1:8" x14ac:dyDescent="0.25">
      <c r="A19352" s="1"/>
      <c r="B19352" s="1" t="s">
        <v>6862</v>
      </c>
      <c r="C19352" s="1" t="s">
        <v>6863</v>
      </c>
      <c r="D19352" s="22" t="str">
        <f>HYPERLINK("https://rhld.insurance.arkansas.gov/NPILookup?Npi=1316996663","1316996663")</f>
        <v>1316996663</v>
      </c>
      <c r="E19352" s="1" t="s">
        <v>6985</v>
      </c>
      <c r="F19352" s="2"/>
      <c r="G19352" s="2"/>
      <c r="H19352" s="2"/>
    </row>
    <row r="19353" spans="1:8" x14ac:dyDescent="0.25">
      <c r="A19353" s="1"/>
      <c r="B19353" s="1" t="s">
        <v>6862</v>
      </c>
      <c r="C19353" s="1" t="s">
        <v>6863</v>
      </c>
      <c r="D19353" s="22" t="str">
        <f>HYPERLINK("https://rhld.insurance.arkansas.gov/NPILookup?Npi=1326003435","1326003435")</f>
        <v>1326003435</v>
      </c>
      <c r="E19353" s="1" t="s">
        <v>6986</v>
      </c>
      <c r="F19353" s="2"/>
      <c r="G19353" s="2"/>
      <c r="H19353" s="2"/>
    </row>
    <row r="19354" spans="1:8" x14ac:dyDescent="0.25">
      <c r="A19354" s="1"/>
      <c r="B19354" s="1" t="s">
        <v>6862</v>
      </c>
      <c r="C19354" s="1" t="s">
        <v>6863</v>
      </c>
      <c r="D19354" s="22" t="str">
        <f>HYPERLINK("https://rhld.insurance.arkansas.gov/NPILookup?Npi=1326005737","1326005737")</f>
        <v>1326005737</v>
      </c>
      <c r="E19354" s="1" t="s">
        <v>6987</v>
      </c>
      <c r="F19354" s="2"/>
      <c r="G19354" s="2"/>
      <c r="H19354" s="2"/>
    </row>
    <row r="19355" spans="1:8" x14ac:dyDescent="0.25">
      <c r="A19355" s="1"/>
      <c r="B19355" s="1" t="s">
        <v>6862</v>
      </c>
      <c r="C19355" s="1" t="s">
        <v>6863</v>
      </c>
      <c r="D19355" s="22" t="str">
        <f>HYPERLINK("https://rhld.insurance.arkansas.gov/NPILookup?Npi=1326093279","1326093279")</f>
        <v>1326093279</v>
      </c>
      <c r="E19355" s="1" t="s">
        <v>6988</v>
      </c>
      <c r="F19355" s="2"/>
      <c r="G19355" s="2"/>
      <c r="H19355" s="2"/>
    </row>
    <row r="19356" spans="1:8" x14ac:dyDescent="0.25">
      <c r="A19356" s="1"/>
      <c r="B19356" s="1" t="s">
        <v>6862</v>
      </c>
      <c r="C19356" s="1" t="s">
        <v>6863</v>
      </c>
      <c r="D19356" s="22" t="str">
        <f>HYPERLINK("https://rhld.insurance.arkansas.gov/NPILookup?Npi=1326107749","1326107749")</f>
        <v>1326107749</v>
      </c>
      <c r="E19356" s="1" t="s">
        <v>6989</v>
      </c>
      <c r="F19356" s="2"/>
      <c r="G19356" s="2"/>
      <c r="H19356" s="2"/>
    </row>
    <row r="19357" spans="1:8" x14ac:dyDescent="0.25">
      <c r="A19357" s="1"/>
      <c r="B19357" s="1" t="s">
        <v>6862</v>
      </c>
      <c r="C19357" s="1" t="s">
        <v>6863</v>
      </c>
      <c r="D19357" s="22" t="str">
        <f>HYPERLINK("https://rhld.insurance.arkansas.gov/NPILookup?Npi=1326165036","1326165036")</f>
        <v>1326165036</v>
      </c>
      <c r="E19357" s="1" t="s">
        <v>12390</v>
      </c>
      <c r="F19357" s="2"/>
      <c r="G19357" s="2"/>
      <c r="H19357" s="2"/>
    </row>
    <row r="19358" spans="1:8" x14ac:dyDescent="0.25">
      <c r="A19358" s="1"/>
      <c r="B19358" s="1" t="s">
        <v>6862</v>
      </c>
      <c r="C19358" s="1" t="s">
        <v>6863</v>
      </c>
      <c r="D19358" s="22" t="str">
        <f>HYPERLINK("https://rhld.insurance.arkansas.gov/NPILookup?Npi=1326234154","1326234154")</f>
        <v>1326234154</v>
      </c>
      <c r="E19358" s="1" t="s">
        <v>24399</v>
      </c>
      <c r="F19358" s="2"/>
      <c r="G19358" s="2"/>
      <c r="H19358" s="2"/>
    </row>
    <row r="19359" spans="1:8" x14ac:dyDescent="0.25">
      <c r="A19359" s="1"/>
      <c r="B19359" s="1" t="s">
        <v>6862</v>
      </c>
      <c r="C19359" s="1" t="s">
        <v>6863</v>
      </c>
      <c r="D19359" s="22" t="str">
        <f>HYPERLINK("https://rhld.insurance.arkansas.gov/NPILookup?Npi=1326264235","1326264235")</f>
        <v>1326264235</v>
      </c>
      <c r="E19359" s="1" t="s">
        <v>24400</v>
      </c>
      <c r="F19359" s="2"/>
      <c r="G19359" s="2"/>
      <c r="H19359" s="2"/>
    </row>
    <row r="19360" spans="1:8" x14ac:dyDescent="0.25">
      <c r="A19360" s="1"/>
      <c r="B19360" s="1" t="s">
        <v>6862</v>
      </c>
      <c r="C19360" s="1" t="s">
        <v>6863</v>
      </c>
      <c r="D19360" s="22" t="str">
        <f>HYPERLINK("https://rhld.insurance.arkansas.gov/NPILookup?Npi=1326321662","1326321662")</f>
        <v>1326321662</v>
      </c>
      <c r="E19360" s="1" t="s">
        <v>6990</v>
      </c>
      <c r="F19360" s="2"/>
      <c r="G19360" s="2"/>
      <c r="H19360" s="2"/>
    </row>
    <row r="19361" spans="1:8" x14ac:dyDescent="0.25">
      <c r="A19361" s="1"/>
      <c r="B19361" s="1" t="s">
        <v>6862</v>
      </c>
      <c r="C19361" s="1" t="s">
        <v>6863</v>
      </c>
      <c r="D19361" s="22" t="str">
        <f>HYPERLINK("https://rhld.insurance.arkansas.gov/NPILookup?Npi=1326435777","1326435777")</f>
        <v>1326435777</v>
      </c>
      <c r="E19361" s="1" t="s">
        <v>24401</v>
      </c>
      <c r="F19361" s="2"/>
      <c r="G19361" s="2"/>
      <c r="H19361" s="2"/>
    </row>
    <row r="19362" spans="1:8" x14ac:dyDescent="0.25">
      <c r="A19362" s="1"/>
      <c r="B19362" s="1" t="s">
        <v>6862</v>
      </c>
      <c r="C19362" s="1" t="s">
        <v>6863</v>
      </c>
      <c r="D19362" s="22" t="str">
        <f>HYPERLINK("https://rhld.insurance.arkansas.gov/NPILookup?Npi=1326473554","1326473554")</f>
        <v>1326473554</v>
      </c>
      <c r="E19362" s="1" t="s">
        <v>12391</v>
      </c>
      <c r="F19362" s="2"/>
      <c r="G19362" s="2"/>
      <c r="H19362" s="2"/>
    </row>
    <row r="19363" spans="1:8" x14ac:dyDescent="0.25">
      <c r="A19363" s="1"/>
      <c r="B19363" s="1" t="s">
        <v>6862</v>
      </c>
      <c r="C19363" s="1" t="s">
        <v>6863</v>
      </c>
      <c r="D19363" s="22" t="str">
        <f>HYPERLINK("https://rhld.insurance.arkansas.gov/NPILookup?Npi=1326478520","1326478520")</f>
        <v>1326478520</v>
      </c>
      <c r="E19363" s="1" t="s">
        <v>24402</v>
      </c>
      <c r="F19363" s="2"/>
      <c r="G19363" s="2"/>
      <c r="H19363" s="2"/>
    </row>
    <row r="19364" spans="1:8" x14ac:dyDescent="0.25">
      <c r="A19364" s="1"/>
      <c r="B19364" s="1" t="s">
        <v>6862</v>
      </c>
      <c r="C19364" s="1" t="s">
        <v>6863</v>
      </c>
      <c r="D19364" s="22" t="str">
        <f>HYPERLINK("https://rhld.insurance.arkansas.gov/NPILookup?Npi=1326499351","1326499351")</f>
        <v>1326499351</v>
      </c>
      <c r="E19364" s="1" t="s">
        <v>6991</v>
      </c>
      <c r="F19364" s="2"/>
      <c r="G19364" s="2"/>
      <c r="H19364" s="2"/>
    </row>
    <row r="19365" spans="1:8" x14ac:dyDescent="0.25">
      <c r="A19365" s="1"/>
      <c r="B19365" s="1" t="s">
        <v>6862</v>
      </c>
      <c r="C19365" s="1" t="s">
        <v>6863</v>
      </c>
      <c r="D19365" s="22" t="str">
        <f>HYPERLINK("https://rhld.insurance.arkansas.gov/NPILookup?Npi=1326530379","1326530379")</f>
        <v>1326530379</v>
      </c>
      <c r="E19365" s="1" t="s">
        <v>24403</v>
      </c>
      <c r="F19365" s="2"/>
      <c r="G19365" s="2"/>
      <c r="H19365" s="2"/>
    </row>
    <row r="19366" spans="1:8" x14ac:dyDescent="0.25">
      <c r="A19366" s="1"/>
      <c r="B19366" s="1" t="s">
        <v>6862</v>
      </c>
      <c r="C19366" s="1" t="s">
        <v>6863</v>
      </c>
      <c r="D19366" s="22" t="str">
        <f>HYPERLINK("https://rhld.insurance.arkansas.gov/NPILookup?Npi=1326534322","1326534322")</f>
        <v>1326534322</v>
      </c>
      <c r="E19366" s="1" t="s">
        <v>24404</v>
      </c>
      <c r="F19366" s="2"/>
      <c r="G19366" s="2"/>
      <c r="H19366" s="2"/>
    </row>
    <row r="19367" spans="1:8" x14ac:dyDescent="0.25">
      <c r="A19367" s="1"/>
      <c r="B19367" s="1" t="s">
        <v>6862</v>
      </c>
      <c r="C19367" s="1" t="s">
        <v>6863</v>
      </c>
      <c r="D19367" s="22" t="str">
        <f>HYPERLINK("https://rhld.insurance.arkansas.gov/NPILookup?Npi=1326557042","1326557042")</f>
        <v>1326557042</v>
      </c>
      <c r="E19367" s="1" t="s">
        <v>24405</v>
      </c>
      <c r="F19367" s="2"/>
      <c r="G19367" s="2"/>
      <c r="H19367" s="2"/>
    </row>
    <row r="19368" spans="1:8" x14ac:dyDescent="0.25">
      <c r="A19368" s="1"/>
      <c r="B19368" s="1" t="s">
        <v>6862</v>
      </c>
      <c r="C19368" s="1" t="s">
        <v>6863</v>
      </c>
      <c r="D19368" s="22" t="str">
        <f>HYPERLINK("https://rhld.insurance.arkansas.gov/NPILookup?Npi=1326589631","1326589631")</f>
        <v>1326589631</v>
      </c>
      <c r="E19368" s="1" t="s">
        <v>6992</v>
      </c>
      <c r="F19368" s="2"/>
      <c r="G19368" s="2"/>
      <c r="H19368" s="2"/>
    </row>
    <row r="19369" spans="1:8" x14ac:dyDescent="0.25">
      <c r="A19369" s="1"/>
      <c r="B19369" s="1" t="s">
        <v>6862</v>
      </c>
      <c r="C19369" s="1" t="s">
        <v>6863</v>
      </c>
      <c r="D19369" s="22" t="str">
        <f>HYPERLINK("https://rhld.insurance.arkansas.gov/NPILookup?Npi=1326640160","1326640160")</f>
        <v>1326640160</v>
      </c>
      <c r="E19369" s="1" t="s">
        <v>24406</v>
      </c>
      <c r="F19369" s="2"/>
      <c r="G19369" s="2"/>
      <c r="H19369" s="2"/>
    </row>
    <row r="19370" spans="1:8" x14ac:dyDescent="0.25">
      <c r="A19370" s="1"/>
      <c r="B19370" s="1" t="s">
        <v>6862</v>
      </c>
      <c r="C19370" s="1" t="s">
        <v>6863</v>
      </c>
      <c r="D19370" s="22" t="str">
        <f>HYPERLINK("https://rhld.insurance.arkansas.gov/NPILookup?Npi=1326653650","1326653650")</f>
        <v>1326653650</v>
      </c>
      <c r="E19370" s="1" t="s">
        <v>6993</v>
      </c>
      <c r="F19370" s="2"/>
      <c r="G19370" s="2"/>
      <c r="H19370" s="2"/>
    </row>
    <row r="19371" spans="1:8" x14ac:dyDescent="0.25">
      <c r="A19371" s="1"/>
      <c r="B19371" s="1" t="s">
        <v>6862</v>
      </c>
      <c r="C19371" s="1" t="s">
        <v>6863</v>
      </c>
      <c r="D19371" s="22" t="str">
        <f>HYPERLINK("https://rhld.insurance.arkansas.gov/NPILookup?Npi=1326693516","1326693516")</f>
        <v>1326693516</v>
      </c>
      <c r="E19371" s="1" t="s">
        <v>6994</v>
      </c>
      <c r="F19371" s="2"/>
      <c r="G19371" s="2"/>
      <c r="H19371" s="2"/>
    </row>
    <row r="19372" spans="1:8" x14ac:dyDescent="0.25">
      <c r="A19372" s="1"/>
      <c r="B19372" s="1" t="s">
        <v>6862</v>
      </c>
      <c r="C19372" s="1" t="s">
        <v>6863</v>
      </c>
      <c r="D19372" s="22" t="str">
        <f>HYPERLINK("https://rhld.insurance.arkansas.gov/NPILookup?Npi=1326720400","1326720400")</f>
        <v>1326720400</v>
      </c>
      <c r="E19372" s="1" t="s">
        <v>24407</v>
      </c>
      <c r="F19372" s="2"/>
      <c r="G19372" s="2"/>
      <c r="H19372" s="2"/>
    </row>
    <row r="19373" spans="1:8" x14ac:dyDescent="0.25">
      <c r="A19373" s="1"/>
      <c r="B19373" s="1" t="s">
        <v>6862</v>
      </c>
      <c r="C19373" s="1" t="s">
        <v>6863</v>
      </c>
      <c r="D19373" s="22" t="str">
        <f>HYPERLINK("https://rhld.insurance.arkansas.gov/NPILookup?Npi=1326787029","1326787029")</f>
        <v>1326787029</v>
      </c>
      <c r="E19373" s="1" t="s">
        <v>6995</v>
      </c>
      <c r="F19373" s="2"/>
      <c r="G19373" s="2"/>
      <c r="H19373" s="2"/>
    </row>
    <row r="19374" spans="1:8" x14ac:dyDescent="0.25">
      <c r="A19374" s="1"/>
      <c r="B19374" s="1" t="s">
        <v>6862</v>
      </c>
      <c r="C19374" s="1" t="s">
        <v>6863</v>
      </c>
      <c r="D19374" s="22" t="str">
        <f>HYPERLINK("https://rhld.insurance.arkansas.gov/NPILookup?Npi=1326821646","1326821646")</f>
        <v>1326821646</v>
      </c>
      <c r="E19374" s="1" t="s">
        <v>12392</v>
      </c>
      <c r="F19374" s="2"/>
      <c r="G19374" s="2"/>
      <c r="H19374" s="2"/>
    </row>
    <row r="19375" spans="1:8" x14ac:dyDescent="0.25">
      <c r="A19375" s="1"/>
      <c r="B19375" s="1" t="s">
        <v>6862</v>
      </c>
      <c r="C19375" s="1" t="s">
        <v>6863</v>
      </c>
      <c r="D19375" s="22" t="str">
        <f>HYPERLINK("https://rhld.insurance.arkansas.gov/NPILookup?Npi=1336104850","1336104850")</f>
        <v>1336104850</v>
      </c>
      <c r="E19375" s="1" t="s">
        <v>6996</v>
      </c>
      <c r="F19375" s="2"/>
      <c r="G19375" s="2"/>
      <c r="H19375" s="2"/>
    </row>
    <row r="19376" spans="1:8" x14ac:dyDescent="0.25">
      <c r="A19376" s="1"/>
      <c r="B19376" s="1" t="s">
        <v>6862</v>
      </c>
      <c r="C19376" s="1" t="s">
        <v>6863</v>
      </c>
      <c r="D19376" s="22" t="str">
        <f>HYPERLINK("https://rhld.insurance.arkansas.gov/NPILookup?Npi=1336137447","1336137447")</f>
        <v>1336137447</v>
      </c>
      <c r="E19376" s="1" t="s">
        <v>12393</v>
      </c>
      <c r="F19376" s="2"/>
      <c r="G19376" s="2"/>
      <c r="H19376" s="2"/>
    </row>
    <row r="19377" spans="1:8" x14ac:dyDescent="0.25">
      <c r="A19377" s="1"/>
      <c r="B19377" s="1" t="s">
        <v>6862</v>
      </c>
      <c r="C19377" s="1" t="s">
        <v>6863</v>
      </c>
      <c r="D19377" s="22" t="str">
        <f>HYPERLINK("https://rhld.insurance.arkansas.gov/NPILookup?Npi=1336228782","1336228782")</f>
        <v>1336228782</v>
      </c>
      <c r="E19377" s="1" t="s">
        <v>24408</v>
      </c>
      <c r="F19377" s="2"/>
      <c r="G19377" s="2"/>
      <c r="H19377" s="2"/>
    </row>
    <row r="19378" spans="1:8" x14ac:dyDescent="0.25">
      <c r="A19378" s="1"/>
      <c r="B19378" s="1" t="s">
        <v>6862</v>
      </c>
      <c r="C19378" s="1" t="s">
        <v>6863</v>
      </c>
      <c r="D19378" s="22" t="str">
        <f>HYPERLINK("https://rhld.insurance.arkansas.gov/NPILookup?Npi=1336234343","1336234343")</f>
        <v>1336234343</v>
      </c>
      <c r="E19378" s="1" t="s">
        <v>12394</v>
      </c>
      <c r="F19378" s="2"/>
      <c r="G19378" s="2"/>
      <c r="H19378" s="2"/>
    </row>
    <row r="19379" spans="1:8" x14ac:dyDescent="0.25">
      <c r="A19379" s="1"/>
      <c r="B19379" s="1" t="s">
        <v>6862</v>
      </c>
      <c r="C19379" s="1" t="s">
        <v>6863</v>
      </c>
      <c r="D19379" s="22" t="str">
        <f>HYPERLINK("https://rhld.insurance.arkansas.gov/NPILookup?Npi=1336400068","1336400068")</f>
        <v>1336400068</v>
      </c>
      <c r="E19379" s="1" t="s">
        <v>12395</v>
      </c>
      <c r="F19379" s="2"/>
      <c r="G19379" s="2"/>
      <c r="H19379" s="2"/>
    </row>
    <row r="19380" spans="1:8" x14ac:dyDescent="0.25">
      <c r="A19380" s="1"/>
      <c r="B19380" s="1" t="s">
        <v>6862</v>
      </c>
      <c r="C19380" s="1" t="s">
        <v>6863</v>
      </c>
      <c r="D19380" s="22" t="str">
        <f>HYPERLINK("https://rhld.insurance.arkansas.gov/NPILookup?Npi=1336499078","1336499078")</f>
        <v>1336499078</v>
      </c>
      <c r="E19380" s="1" t="s">
        <v>24409</v>
      </c>
      <c r="F19380" s="2"/>
      <c r="G19380" s="2"/>
      <c r="H19380" s="2"/>
    </row>
    <row r="19381" spans="1:8" x14ac:dyDescent="0.25">
      <c r="A19381" s="1"/>
      <c r="B19381" s="1" t="s">
        <v>6862</v>
      </c>
      <c r="C19381" s="1" t="s">
        <v>6863</v>
      </c>
      <c r="D19381" s="22" t="str">
        <f>HYPERLINK("https://rhld.insurance.arkansas.gov/NPILookup?Npi=1336527811","1336527811")</f>
        <v>1336527811</v>
      </c>
      <c r="E19381" s="1" t="s">
        <v>24410</v>
      </c>
      <c r="F19381" s="2"/>
      <c r="G19381" s="2"/>
      <c r="H19381" s="2"/>
    </row>
    <row r="19382" spans="1:8" x14ac:dyDescent="0.25">
      <c r="A19382" s="1"/>
      <c r="B19382" s="1" t="s">
        <v>6862</v>
      </c>
      <c r="C19382" s="1" t="s">
        <v>6863</v>
      </c>
      <c r="D19382" s="22" t="str">
        <f>HYPERLINK("https://rhld.insurance.arkansas.gov/NPILookup?Npi=1336546092","1336546092")</f>
        <v>1336546092</v>
      </c>
      <c r="E19382" s="1" t="s">
        <v>24411</v>
      </c>
      <c r="F19382" s="2"/>
      <c r="G19382" s="2"/>
      <c r="H19382" s="2"/>
    </row>
    <row r="19383" spans="1:8" x14ac:dyDescent="0.25">
      <c r="A19383" s="1"/>
      <c r="B19383" s="1" t="s">
        <v>6862</v>
      </c>
      <c r="C19383" s="1" t="s">
        <v>6863</v>
      </c>
      <c r="D19383" s="22" t="str">
        <f>HYPERLINK("https://rhld.insurance.arkansas.gov/NPILookup?Npi=1336547645","1336547645")</f>
        <v>1336547645</v>
      </c>
      <c r="E19383" s="1" t="s">
        <v>24412</v>
      </c>
      <c r="F19383" s="2"/>
      <c r="G19383" s="2"/>
      <c r="H19383" s="2"/>
    </row>
    <row r="19384" spans="1:8" x14ac:dyDescent="0.25">
      <c r="A19384" s="1"/>
      <c r="B19384" s="1" t="s">
        <v>6862</v>
      </c>
      <c r="C19384" s="1" t="s">
        <v>6863</v>
      </c>
      <c r="D19384" s="22" t="str">
        <f>HYPERLINK("https://rhld.insurance.arkansas.gov/NPILookup?Npi=1336590629","1336590629")</f>
        <v>1336590629</v>
      </c>
      <c r="E19384" s="1" t="s">
        <v>24413</v>
      </c>
      <c r="F19384" s="2"/>
      <c r="G19384" s="2"/>
      <c r="H19384" s="2"/>
    </row>
    <row r="19385" spans="1:8" x14ac:dyDescent="0.25">
      <c r="A19385" s="1"/>
      <c r="B19385" s="1" t="s">
        <v>6862</v>
      </c>
      <c r="C19385" s="1" t="s">
        <v>6863</v>
      </c>
      <c r="D19385" s="22" t="str">
        <f>HYPERLINK("https://rhld.insurance.arkansas.gov/NPILookup?Npi=1336627942","1336627942")</f>
        <v>1336627942</v>
      </c>
      <c r="E19385" s="1" t="s">
        <v>24414</v>
      </c>
      <c r="F19385" s="2"/>
      <c r="G19385" s="2"/>
      <c r="H19385" s="2"/>
    </row>
    <row r="19386" spans="1:8" x14ac:dyDescent="0.25">
      <c r="A19386" s="1"/>
      <c r="B19386" s="1" t="s">
        <v>6862</v>
      </c>
      <c r="C19386" s="1" t="s">
        <v>6863</v>
      </c>
      <c r="D19386" s="22" t="str">
        <f>HYPERLINK("https://rhld.insurance.arkansas.gov/NPILookup?Npi=1336693084","1336693084")</f>
        <v>1336693084</v>
      </c>
      <c r="E19386" s="1" t="s">
        <v>6997</v>
      </c>
      <c r="F19386" s="2"/>
      <c r="G19386" s="2"/>
      <c r="H19386" s="2"/>
    </row>
    <row r="19387" spans="1:8" x14ac:dyDescent="0.25">
      <c r="A19387" s="1"/>
      <c r="B19387" s="1" t="s">
        <v>6862</v>
      </c>
      <c r="C19387" s="1" t="s">
        <v>6863</v>
      </c>
      <c r="D19387" s="22" t="str">
        <f>HYPERLINK("https://rhld.insurance.arkansas.gov/NPILookup?Npi=1336735422","1336735422")</f>
        <v>1336735422</v>
      </c>
      <c r="E19387" s="1" t="s">
        <v>24415</v>
      </c>
      <c r="F19387" s="2"/>
      <c r="G19387" s="2"/>
      <c r="H19387" s="2"/>
    </row>
    <row r="19388" spans="1:8" x14ac:dyDescent="0.25">
      <c r="A19388" s="1"/>
      <c r="B19388" s="1" t="s">
        <v>6862</v>
      </c>
      <c r="C19388" s="1" t="s">
        <v>6863</v>
      </c>
      <c r="D19388" s="22" t="str">
        <f>HYPERLINK("https://rhld.insurance.arkansas.gov/NPILookup?Npi=1336772904","1336772904")</f>
        <v>1336772904</v>
      </c>
      <c r="E19388" s="1" t="s">
        <v>24416</v>
      </c>
      <c r="F19388" s="2"/>
      <c r="G19388" s="2"/>
      <c r="H19388" s="2"/>
    </row>
    <row r="19389" spans="1:8" x14ac:dyDescent="0.25">
      <c r="A19389" s="1"/>
      <c r="B19389" s="1" t="s">
        <v>6862</v>
      </c>
      <c r="C19389" s="1" t="s">
        <v>6863</v>
      </c>
      <c r="D19389" s="22" t="str">
        <f>HYPERLINK("https://rhld.insurance.arkansas.gov/NPILookup?Npi=1336796135","1336796135")</f>
        <v>1336796135</v>
      </c>
      <c r="E19389" s="1" t="s">
        <v>12396</v>
      </c>
      <c r="F19389" s="2"/>
      <c r="G19389" s="2"/>
      <c r="H19389" s="2"/>
    </row>
    <row r="19390" spans="1:8" x14ac:dyDescent="0.25">
      <c r="A19390" s="1"/>
      <c r="B19390" s="1" t="s">
        <v>6862</v>
      </c>
      <c r="C19390" s="1" t="s">
        <v>6863</v>
      </c>
      <c r="D19390" s="22" t="str">
        <f>HYPERLINK("https://rhld.insurance.arkansas.gov/NPILookup?Npi=1336821032","1336821032")</f>
        <v>1336821032</v>
      </c>
      <c r="E19390" s="1" t="s">
        <v>5674</v>
      </c>
      <c r="F19390" s="2"/>
      <c r="G19390" s="2"/>
      <c r="H19390" s="2"/>
    </row>
    <row r="19391" spans="1:8" x14ac:dyDescent="0.25">
      <c r="A19391" s="1"/>
      <c r="B19391" s="1" t="s">
        <v>6862</v>
      </c>
      <c r="C19391" s="1" t="s">
        <v>6863</v>
      </c>
      <c r="D19391" s="22" t="str">
        <f>HYPERLINK("https://rhld.insurance.arkansas.gov/NPILookup?Npi=1336864388","1336864388")</f>
        <v>1336864388</v>
      </c>
      <c r="E19391" s="1" t="s">
        <v>24417</v>
      </c>
      <c r="F19391" s="2"/>
      <c r="G19391" s="2"/>
      <c r="H19391" s="2"/>
    </row>
    <row r="19392" spans="1:8" x14ac:dyDescent="0.25">
      <c r="A19392" s="1"/>
      <c r="B19392" s="1" t="s">
        <v>6862</v>
      </c>
      <c r="C19392" s="1" t="s">
        <v>6863</v>
      </c>
      <c r="D19392" s="22" t="str">
        <f>HYPERLINK("https://rhld.insurance.arkansas.gov/NPILookup?Npi=1336901479","1336901479")</f>
        <v>1336901479</v>
      </c>
      <c r="E19392" s="1" t="s">
        <v>24418</v>
      </c>
      <c r="F19392" s="2"/>
      <c r="G19392" s="2"/>
      <c r="H19392" s="2"/>
    </row>
    <row r="19393" spans="1:8" x14ac:dyDescent="0.25">
      <c r="A19393" s="1"/>
      <c r="B19393" s="1" t="s">
        <v>6862</v>
      </c>
      <c r="C19393" s="1" t="s">
        <v>6863</v>
      </c>
      <c r="D19393" s="22" t="str">
        <f>HYPERLINK("https://rhld.insurance.arkansas.gov/NPILookup?Npi=1336924356","1336924356")</f>
        <v>1336924356</v>
      </c>
      <c r="E19393" s="1" t="s">
        <v>6998</v>
      </c>
      <c r="F19393" s="2"/>
      <c r="G19393" s="2"/>
      <c r="H19393" s="2"/>
    </row>
    <row r="19394" spans="1:8" x14ac:dyDescent="0.25">
      <c r="A19394" s="1"/>
      <c r="B19394" s="1" t="s">
        <v>6862</v>
      </c>
      <c r="C19394" s="1" t="s">
        <v>6863</v>
      </c>
      <c r="D19394" s="22" t="str">
        <f>HYPERLINK("https://rhld.insurance.arkansas.gov/NPILookup?Npi=1336970201","1336970201")</f>
        <v>1336970201</v>
      </c>
      <c r="E19394" s="1" t="s">
        <v>24419</v>
      </c>
      <c r="F19394" s="2"/>
      <c r="G19394" s="2"/>
      <c r="H19394" s="2"/>
    </row>
    <row r="19395" spans="1:8" x14ac:dyDescent="0.25">
      <c r="A19395" s="1"/>
      <c r="B19395" s="1" t="s">
        <v>6862</v>
      </c>
      <c r="C19395" s="1" t="s">
        <v>6863</v>
      </c>
      <c r="D19395" s="22" t="str">
        <f>HYPERLINK("https://rhld.insurance.arkansas.gov/NPILookup?Npi=1346073061","1346073061")</f>
        <v>1346073061</v>
      </c>
      <c r="E19395" s="1" t="s">
        <v>24420</v>
      </c>
      <c r="F19395" s="2"/>
      <c r="G19395" s="2"/>
      <c r="H19395" s="2"/>
    </row>
    <row r="19396" spans="1:8" x14ac:dyDescent="0.25">
      <c r="A19396" s="1"/>
      <c r="B19396" s="1" t="s">
        <v>6862</v>
      </c>
      <c r="C19396" s="1" t="s">
        <v>6863</v>
      </c>
      <c r="D19396" s="22" t="str">
        <f>HYPERLINK("https://rhld.insurance.arkansas.gov/NPILookup?Npi=1346216116","1346216116")</f>
        <v>1346216116</v>
      </c>
      <c r="E19396" s="1" t="s">
        <v>6999</v>
      </c>
      <c r="F19396" s="2"/>
      <c r="G19396" s="2"/>
      <c r="H19396" s="2"/>
    </row>
    <row r="19397" spans="1:8" x14ac:dyDescent="0.25">
      <c r="A19397" s="1"/>
      <c r="B19397" s="1" t="s">
        <v>6862</v>
      </c>
      <c r="C19397" s="1" t="s">
        <v>6863</v>
      </c>
      <c r="D19397" s="22" t="str">
        <f>HYPERLINK("https://rhld.insurance.arkansas.gov/NPILookup?Npi=1346243037","1346243037")</f>
        <v>1346243037</v>
      </c>
      <c r="E19397" s="1" t="s">
        <v>12397</v>
      </c>
      <c r="F19397" s="2"/>
      <c r="G19397" s="2"/>
      <c r="H19397" s="2"/>
    </row>
    <row r="19398" spans="1:8" x14ac:dyDescent="0.25">
      <c r="A19398" s="1"/>
      <c r="B19398" s="1" t="s">
        <v>6862</v>
      </c>
      <c r="C19398" s="1" t="s">
        <v>6863</v>
      </c>
      <c r="D19398" s="22" t="str">
        <f>HYPERLINK("https://rhld.insurance.arkansas.gov/NPILookup?Npi=1346284379","1346284379")</f>
        <v>1346284379</v>
      </c>
      <c r="E19398" s="1" t="s">
        <v>7000</v>
      </c>
      <c r="F19398" s="2"/>
      <c r="G19398" s="2"/>
      <c r="H19398" s="2"/>
    </row>
    <row r="19399" spans="1:8" x14ac:dyDescent="0.25">
      <c r="A19399" s="1"/>
      <c r="B19399" s="1" t="s">
        <v>6862</v>
      </c>
      <c r="C19399" s="1" t="s">
        <v>6863</v>
      </c>
      <c r="D19399" s="22" t="str">
        <f>HYPERLINK("https://rhld.insurance.arkansas.gov/NPILookup?Npi=1346566585","1346566585")</f>
        <v>1346566585</v>
      </c>
      <c r="E19399" s="1" t="s">
        <v>7001</v>
      </c>
      <c r="F19399" s="2"/>
      <c r="G19399" s="2"/>
      <c r="H19399" s="2"/>
    </row>
    <row r="19400" spans="1:8" x14ac:dyDescent="0.25">
      <c r="A19400" s="1"/>
      <c r="B19400" s="1" t="s">
        <v>6862</v>
      </c>
      <c r="C19400" s="1" t="s">
        <v>6863</v>
      </c>
      <c r="D19400" s="22" t="str">
        <f>HYPERLINK("https://rhld.insurance.arkansas.gov/NPILookup?Npi=1346642527","1346642527")</f>
        <v>1346642527</v>
      </c>
      <c r="E19400" s="1" t="s">
        <v>24421</v>
      </c>
      <c r="F19400" s="2"/>
      <c r="G19400" s="2"/>
      <c r="H19400" s="2"/>
    </row>
    <row r="19401" spans="1:8" x14ac:dyDescent="0.25">
      <c r="A19401" s="1"/>
      <c r="B19401" s="1" t="s">
        <v>6862</v>
      </c>
      <c r="C19401" s="1" t="s">
        <v>6863</v>
      </c>
      <c r="D19401" s="22" t="str">
        <f>HYPERLINK("https://rhld.insurance.arkansas.gov/NPILookup?Npi=1346659224","1346659224")</f>
        <v>1346659224</v>
      </c>
      <c r="E19401" s="1" t="s">
        <v>12398</v>
      </c>
      <c r="F19401" s="2"/>
      <c r="G19401" s="2"/>
      <c r="H19401" s="2"/>
    </row>
    <row r="19402" spans="1:8" x14ac:dyDescent="0.25">
      <c r="A19402" s="1"/>
      <c r="B19402" s="1" t="s">
        <v>6862</v>
      </c>
      <c r="C19402" s="1" t="s">
        <v>6863</v>
      </c>
      <c r="D19402" s="22" t="str">
        <f>HYPERLINK("https://rhld.insurance.arkansas.gov/NPILookup?Npi=1346706892","1346706892")</f>
        <v>1346706892</v>
      </c>
      <c r="E19402" s="1" t="s">
        <v>7002</v>
      </c>
      <c r="F19402" s="2"/>
      <c r="G19402" s="2"/>
      <c r="H19402" s="2"/>
    </row>
    <row r="19403" spans="1:8" x14ac:dyDescent="0.25">
      <c r="A19403" s="1"/>
      <c r="B19403" s="1" t="s">
        <v>6862</v>
      </c>
      <c r="C19403" s="1" t="s">
        <v>6863</v>
      </c>
      <c r="D19403" s="22" t="str">
        <f>HYPERLINK("https://rhld.insurance.arkansas.gov/NPILookup?Npi=1346711488","1346711488")</f>
        <v>1346711488</v>
      </c>
      <c r="E19403" s="1" t="s">
        <v>24422</v>
      </c>
      <c r="F19403" s="2"/>
      <c r="G19403" s="2"/>
      <c r="H19403" s="2"/>
    </row>
    <row r="19404" spans="1:8" x14ac:dyDescent="0.25">
      <c r="A19404" s="1"/>
      <c r="B19404" s="1" t="s">
        <v>6862</v>
      </c>
      <c r="C19404" s="1" t="s">
        <v>6863</v>
      </c>
      <c r="D19404" s="22" t="str">
        <f>HYPERLINK("https://rhld.insurance.arkansas.gov/NPILookup?Npi=1346723913","1346723913")</f>
        <v>1346723913</v>
      </c>
      <c r="E19404" s="1" t="s">
        <v>24423</v>
      </c>
      <c r="F19404" s="2"/>
      <c r="G19404" s="2"/>
      <c r="H19404" s="2"/>
    </row>
    <row r="19405" spans="1:8" x14ac:dyDescent="0.25">
      <c r="A19405" s="1"/>
      <c r="B19405" s="1" t="s">
        <v>6862</v>
      </c>
      <c r="C19405" s="1" t="s">
        <v>6863</v>
      </c>
      <c r="D19405" s="22" t="str">
        <f>HYPERLINK("https://rhld.insurance.arkansas.gov/NPILookup?Npi=1346753621","1346753621")</f>
        <v>1346753621</v>
      </c>
      <c r="E19405" s="1" t="s">
        <v>7003</v>
      </c>
      <c r="F19405" s="2"/>
      <c r="G19405" s="2"/>
      <c r="H19405" s="2"/>
    </row>
    <row r="19406" spans="1:8" x14ac:dyDescent="0.25">
      <c r="A19406" s="1"/>
      <c r="B19406" s="1" t="s">
        <v>6862</v>
      </c>
      <c r="C19406" s="1" t="s">
        <v>6863</v>
      </c>
      <c r="D19406" s="22" t="str">
        <f>HYPERLINK("https://rhld.insurance.arkansas.gov/NPILookup?Npi=1346765435","1346765435")</f>
        <v>1346765435</v>
      </c>
      <c r="E19406" s="1" t="s">
        <v>12399</v>
      </c>
      <c r="F19406" s="2"/>
      <c r="G19406" s="2"/>
      <c r="H19406" s="2"/>
    </row>
    <row r="19407" spans="1:8" x14ac:dyDescent="0.25">
      <c r="A19407" s="1"/>
      <c r="B19407" s="1" t="s">
        <v>6862</v>
      </c>
      <c r="C19407" s="1" t="s">
        <v>6863</v>
      </c>
      <c r="D19407" s="22" t="str">
        <f>HYPERLINK("https://rhld.insurance.arkansas.gov/NPILookup?Npi=1346786043","1346786043")</f>
        <v>1346786043</v>
      </c>
      <c r="E19407" s="1" t="s">
        <v>7004</v>
      </c>
      <c r="F19407" s="2"/>
      <c r="G19407" s="2"/>
      <c r="H19407" s="2"/>
    </row>
    <row r="19408" spans="1:8" x14ac:dyDescent="0.25">
      <c r="A19408" s="1"/>
      <c r="B19408" s="1" t="s">
        <v>6862</v>
      </c>
      <c r="C19408" s="1" t="s">
        <v>6863</v>
      </c>
      <c r="D19408" s="22" t="str">
        <f>HYPERLINK("https://rhld.insurance.arkansas.gov/NPILookup?Npi=1346790193","1346790193")</f>
        <v>1346790193</v>
      </c>
      <c r="E19408" s="1" t="s">
        <v>7005</v>
      </c>
      <c r="F19408" s="2"/>
      <c r="G19408" s="2"/>
      <c r="H19408" s="2"/>
    </row>
    <row r="19409" spans="1:8" x14ac:dyDescent="0.25">
      <c r="A19409" s="1"/>
      <c r="B19409" s="1" t="s">
        <v>6862</v>
      </c>
      <c r="C19409" s="1" t="s">
        <v>6863</v>
      </c>
      <c r="D19409" s="22" t="str">
        <f>HYPERLINK("https://rhld.insurance.arkansas.gov/NPILookup?Npi=1346822210","1346822210")</f>
        <v>1346822210</v>
      </c>
      <c r="E19409" s="1" t="s">
        <v>24424</v>
      </c>
      <c r="F19409" s="2"/>
      <c r="G19409" s="2"/>
      <c r="H19409" s="2"/>
    </row>
    <row r="19410" spans="1:8" x14ac:dyDescent="0.25">
      <c r="A19410" s="1"/>
      <c r="B19410" s="1" t="s">
        <v>6862</v>
      </c>
      <c r="C19410" s="1" t="s">
        <v>6863</v>
      </c>
      <c r="D19410" s="22" t="str">
        <f>HYPERLINK("https://rhld.insurance.arkansas.gov/NPILookup?Npi=1346845450","1346845450")</f>
        <v>1346845450</v>
      </c>
      <c r="E19410" s="1" t="s">
        <v>7006</v>
      </c>
      <c r="F19410" s="2"/>
      <c r="G19410" s="2"/>
      <c r="H19410" s="2"/>
    </row>
    <row r="19411" spans="1:8" x14ac:dyDescent="0.25">
      <c r="A19411" s="1"/>
      <c r="B19411" s="1" t="s">
        <v>6862</v>
      </c>
      <c r="C19411" s="1" t="s">
        <v>6863</v>
      </c>
      <c r="D19411" s="22" t="str">
        <f>HYPERLINK("https://rhld.insurance.arkansas.gov/NPILookup?Npi=1346850021","1346850021")</f>
        <v>1346850021</v>
      </c>
      <c r="E19411" s="1" t="s">
        <v>24425</v>
      </c>
      <c r="F19411" s="2"/>
      <c r="G19411" s="2"/>
      <c r="H19411" s="2"/>
    </row>
    <row r="19412" spans="1:8" x14ac:dyDescent="0.25">
      <c r="A19412" s="1"/>
      <c r="B19412" s="1" t="s">
        <v>6862</v>
      </c>
      <c r="C19412" s="1" t="s">
        <v>6863</v>
      </c>
      <c r="D19412" s="22" t="str">
        <f>HYPERLINK("https://rhld.insurance.arkansas.gov/NPILookup?Npi=1346876828","1346876828")</f>
        <v>1346876828</v>
      </c>
      <c r="E19412" s="1" t="s">
        <v>7007</v>
      </c>
      <c r="F19412" s="2"/>
      <c r="G19412" s="2"/>
      <c r="H19412" s="2"/>
    </row>
    <row r="19413" spans="1:8" x14ac:dyDescent="0.25">
      <c r="A19413" s="1"/>
      <c r="B19413" s="1" t="s">
        <v>6862</v>
      </c>
      <c r="C19413" s="1" t="s">
        <v>6863</v>
      </c>
      <c r="D19413" s="22" t="str">
        <f>HYPERLINK("https://rhld.insurance.arkansas.gov/NPILookup?Npi=1346922838","1346922838")</f>
        <v>1346922838</v>
      </c>
      <c r="E19413" s="1" t="s">
        <v>4731</v>
      </c>
      <c r="F19413" s="2"/>
      <c r="G19413" s="2"/>
      <c r="H19413" s="2"/>
    </row>
    <row r="19414" spans="1:8" x14ac:dyDescent="0.25">
      <c r="A19414" s="1"/>
      <c r="B19414" s="1" t="s">
        <v>6862</v>
      </c>
      <c r="C19414" s="1" t="s">
        <v>6863</v>
      </c>
      <c r="D19414" s="22" t="str">
        <f>HYPERLINK("https://rhld.insurance.arkansas.gov/NPILookup?Npi=1356010649","1356010649")</f>
        <v>1356010649</v>
      </c>
      <c r="E19414" s="1" t="s">
        <v>24426</v>
      </c>
      <c r="F19414" s="2"/>
      <c r="G19414" s="2"/>
      <c r="H19414" s="2"/>
    </row>
    <row r="19415" spans="1:8" x14ac:dyDescent="0.25">
      <c r="A19415" s="1"/>
      <c r="B19415" s="1" t="s">
        <v>6862</v>
      </c>
      <c r="C19415" s="1" t="s">
        <v>6863</v>
      </c>
      <c r="D19415" s="22" t="str">
        <f>HYPERLINK("https://rhld.insurance.arkansas.gov/NPILookup?Npi=1356018808","1356018808")</f>
        <v>1356018808</v>
      </c>
      <c r="E19415" s="1" t="s">
        <v>7008</v>
      </c>
      <c r="F19415" s="2"/>
      <c r="G19415" s="2"/>
      <c r="H19415" s="2"/>
    </row>
    <row r="19416" spans="1:8" x14ac:dyDescent="0.25">
      <c r="A19416" s="1"/>
      <c r="B19416" s="1" t="s">
        <v>6862</v>
      </c>
      <c r="C19416" s="1" t="s">
        <v>6863</v>
      </c>
      <c r="D19416" s="22" t="str">
        <f>HYPERLINK("https://rhld.insurance.arkansas.gov/NPILookup?Npi=1356024582","1356024582")</f>
        <v>1356024582</v>
      </c>
      <c r="E19416" s="1" t="s">
        <v>7009</v>
      </c>
      <c r="F19416" s="2"/>
      <c r="G19416" s="2"/>
      <c r="H19416" s="2"/>
    </row>
    <row r="19417" spans="1:8" x14ac:dyDescent="0.25">
      <c r="A19417" s="1"/>
      <c r="B19417" s="1" t="s">
        <v>6862</v>
      </c>
      <c r="C19417" s="1" t="s">
        <v>6863</v>
      </c>
      <c r="D19417" s="22" t="str">
        <f>HYPERLINK("https://rhld.insurance.arkansas.gov/NPILookup?Npi=1356165906","1356165906")</f>
        <v>1356165906</v>
      </c>
      <c r="E19417" s="1" t="s">
        <v>32022</v>
      </c>
      <c r="F19417" s="2"/>
      <c r="G19417" s="2"/>
      <c r="H19417" s="2"/>
    </row>
    <row r="19418" spans="1:8" x14ac:dyDescent="0.25">
      <c r="A19418" s="1"/>
      <c r="B19418" s="1" t="s">
        <v>6862</v>
      </c>
      <c r="C19418" s="1" t="s">
        <v>6863</v>
      </c>
      <c r="D19418" s="22" t="str">
        <f>HYPERLINK("https://rhld.insurance.arkansas.gov/NPILookup?Npi=1356315105","1356315105")</f>
        <v>1356315105</v>
      </c>
      <c r="E19418" s="1" t="s">
        <v>24427</v>
      </c>
      <c r="F19418" s="2"/>
      <c r="G19418" s="2"/>
      <c r="H19418" s="2"/>
    </row>
    <row r="19419" spans="1:8" x14ac:dyDescent="0.25">
      <c r="A19419" s="1"/>
      <c r="B19419" s="1" t="s">
        <v>6862</v>
      </c>
      <c r="C19419" s="1" t="s">
        <v>6863</v>
      </c>
      <c r="D19419" s="22" t="str">
        <f>HYPERLINK("https://rhld.insurance.arkansas.gov/NPILookup?Npi=1356404446","1356404446")</f>
        <v>1356404446</v>
      </c>
      <c r="E19419" s="1" t="s">
        <v>24428</v>
      </c>
      <c r="F19419" s="2"/>
      <c r="G19419" s="2"/>
      <c r="H19419" s="2"/>
    </row>
    <row r="19420" spans="1:8" x14ac:dyDescent="0.25">
      <c r="A19420" s="1"/>
      <c r="B19420" s="1" t="s">
        <v>6862</v>
      </c>
      <c r="C19420" s="1" t="s">
        <v>6863</v>
      </c>
      <c r="D19420" s="22" t="str">
        <f>HYPERLINK("https://rhld.insurance.arkansas.gov/NPILookup?Npi=1356443527","1356443527")</f>
        <v>1356443527</v>
      </c>
      <c r="E19420" s="1" t="s">
        <v>7010</v>
      </c>
      <c r="F19420" s="2"/>
      <c r="G19420" s="2"/>
      <c r="H19420" s="2"/>
    </row>
    <row r="19421" spans="1:8" x14ac:dyDescent="0.25">
      <c r="A19421" s="1"/>
      <c r="B19421" s="1" t="s">
        <v>6862</v>
      </c>
      <c r="C19421" s="1" t="s">
        <v>6863</v>
      </c>
      <c r="D19421" s="22" t="str">
        <f>HYPERLINK("https://rhld.insurance.arkansas.gov/NPILookup?Npi=1356465850","1356465850")</f>
        <v>1356465850</v>
      </c>
      <c r="E19421" s="1" t="s">
        <v>24429</v>
      </c>
      <c r="F19421" s="2"/>
      <c r="G19421" s="2"/>
      <c r="H19421" s="2"/>
    </row>
    <row r="19422" spans="1:8" x14ac:dyDescent="0.25">
      <c r="A19422" s="1"/>
      <c r="B19422" s="1" t="s">
        <v>6862</v>
      </c>
      <c r="C19422" s="1" t="s">
        <v>6863</v>
      </c>
      <c r="D19422" s="22" t="str">
        <f>HYPERLINK("https://rhld.insurance.arkansas.gov/NPILookup?Npi=1356507982","1356507982")</f>
        <v>1356507982</v>
      </c>
      <c r="E19422" s="1" t="s">
        <v>24430</v>
      </c>
      <c r="F19422" s="2"/>
      <c r="G19422" s="2"/>
      <c r="H19422" s="2"/>
    </row>
    <row r="19423" spans="1:8" x14ac:dyDescent="0.25">
      <c r="A19423" s="1"/>
      <c r="B19423" s="1" t="s">
        <v>6862</v>
      </c>
      <c r="C19423" s="1" t="s">
        <v>6863</v>
      </c>
      <c r="D19423" s="22" t="str">
        <f>HYPERLINK("https://rhld.insurance.arkansas.gov/NPILookup?Npi=1356537773","1356537773")</f>
        <v>1356537773</v>
      </c>
      <c r="E19423" s="1" t="s">
        <v>7011</v>
      </c>
      <c r="F19423" s="2"/>
      <c r="G19423" s="2"/>
      <c r="H19423" s="2"/>
    </row>
    <row r="19424" spans="1:8" x14ac:dyDescent="0.25">
      <c r="A19424" s="1"/>
      <c r="B19424" s="1" t="s">
        <v>6862</v>
      </c>
      <c r="C19424" s="1" t="s">
        <v>6863</v>
      </c>
      <c r="D19424" s="22" t="str">
        <f>HYPERLINK("https://rhld.insurance.arkansas.gov/NPILookup?Npi=1356646616","1356646616")</f>
        <v>1356646616</v>
      </c>
      <c r="E19424" s="1" t="s">
        <v>24431</v>
      </c>
      <c r="F19424" s="2"/>
      <c r="G19424" s="2"/>
      <c r="H19424" s="2"/>
    </row>
    <row r="19425" spans="1:8" x14ac:dyDescent="0.25">
      <c r="A19425" s="1"/>
      <c r="B19425" s="1" t="s">
        <v>6862</v>
      </c>
      <c r="C19425" s="1" t="s">
        <v>6863</v>
      </c>
      <c r="D19425" s="22" t="str">
        <f>HYPERLINK("https://rhld.insurance.arkansas.gov/NPILookup?Npi=1356663926","1356663926")</f>
        <v>1356663926</v>
      </c>
      <c r="E19425" s="1" t="s">
        <v>24432</v>
      </c>
      <c r="F19425" s="2"/>
      <c r="G19425" s="2"/>
      <c r="H19425" s="2"/>
    </row>
    <row r="19426" spans="1:8" x14ac:dyDescent="0.25">
      <c r="A19426" s="1"/>
      <c r="B19426" s="1" t="s">
        <v>6862</v>
      </c>
      <c r="C19426" s="1" t="s">
        <v>6863</v>
      </c>
      <c r="D19426" s="22" t="str">
        <f>HYPERLINK("https://rhld.insurance.arkansas.gov/NPILookup?Npi=1356674998","1356674998")</f>
        <v>1356674998</v>
      </c>
      <c r="E19426" s="1" t="s">
        <v>24433</v>
      </c>
      <c r="F19426" s="2"/>
      <c r="G19426" s="2"/>
      <c r="H19426" s="2"/>
    </row>
    <row r="19427" spans="1:8" x14ac:dyDescent="0.25">
      <c r="A19427" s="1"/>
      <c r="B19427" s="1" t="s">
        <v>6862</v>
      </c>
      <c r="C19427" s="1" t="s">
        <v>6863</v>
      </c>
      <c r="D19427" s="22" t="str">
        <f>HYPERLINK("https://rhld.insurance.arkansas.gov/NPILookup?Npi=1356718316","1356718316")</f>
        <v>1356718316</v>
      </c>
      <c r="E19427" s="1" t="s">
        <v>24434</v>
      </c>
      <c r="F19427" s="2"/>
      <c r="G19427" s="2"/>
      <c r="H19427" s="2"/>
    </row>
    <row r="19428" spans="1:8" x14ac:dyDescent="0.25">
      <c r="A19428" s="1"/>
      <c r="B19428" s="1" t="s">
        <v>6862</v>
      </c>
      <c r="C19428" s="1" t="s">
        <v>6863</v>
      </c>
      <c r="D19428" s="22" t="str">
        <f>HYPERLINK("https://rhld.insurance.arkansas.gov/NPILookup?Npi=1356765093","1356765093")</f>
        <v>1356765093</v>
      </c>
      <c r="E19428" s="1" t="s">
        <v>24435</v>
      </c>
      <c r="F19428" s="2"/>
      <c r="G19428" s="2"/>
      <c r="H19428" s="2"/>
    </row>
    <row r="19429" spans="1:8" x14ac:dyDescent="0.25">
      <c r="A19429" s="1"/>
      <c r="B19429" s="1" t="s">
        <v>6862</v>
      </c>
      <c r="C19429" s="1" t="s">
        <v>6863</v>
      </c>
      <c r="D19429" s="22" t="str">
        <f>HYPERLINK("https://rhld.insurance.arkansas.gov/NPILookup?Npi=1356774970","1356774970")</f>
        <v>1356774970</v>
      </c>
      <c r="E19429" s="1" t="s">
        <v>24436</v>
      </c>
      <c r="F19429" s="2"/>
      <c r="G19429" s="2"/>
      <c r="H19429" s="2"/>
    </row>
    <row r="19430" spans="1:8" x14ac:dyDescent="0.25">
      <c r="A19430" s="1"/>
      <c r="B19430" s="1" t="s">
        <v>6862</v>
      </c>
      <c r="C19430" s="1" t="s">
        <v>6863</v>
      </c>
      <c r="D19430" s="22" t="str">
        <f>HYPERLINK("https://rhld.insurance.arkansas.gov/NPILookup?Npi=1366009391","1366009391")</f>
        <v>1366009391</v>
      </c>
      <c r="E19430" s="1" t="s">
        <v>24437</v>
      </c>
      <c r="F19430" s="2"/>
      <c r="G19430" s="2"/>
      <c r="H19430" s="2"/>
    </row>
    <row r="19431" spans="1:8" x14ac:dyDescent="0.25">
      <c r="A19431" s="1"/>
      <c r="B19431" s="1" t="s">
        <v>6862</v>
      </c>
      <c r="C19431" s="1" t="s">
        <v>6863</v>
      </c>
      <c r="D19431" s="22" t="str">
        <f>HYPERLINK("https://rhld.insurance.arkansas.gov/NPILookup?Npi=1366111346","1366111346")</f>
        <v>1366111346</v>
      </c>
      <c r="E19431" s="1" t="s">
        <v>4092</v>
      </c>
      <c r="F19431" s="2"/>
      <c r="G19431" s="2"/>
      <c r="H19431" s="2"/>
    </row>
    <row r="19432" spans="1:8" x14ac:dyDescent="0.25">
      <c r="A19432" s="1"/>
      <c r="B19432" s="1" t="s">
        <v>6862</v>
      </c>
      <c r="C19432" s="1" t="s">
        <v>6863</v>
      </c>
      <c r="D19432" s="22" t="str">
        <f>HYPERLINK("https://rhld.insurance.arkansas.gov/NPILookup?Npi=1366114902","1366114902")</f>
        <v>1366114902</v>
      </c>
      <c r="E19432" s="1" t="s">
        <v>4888</v>
      </c>
      <c r="F19432" s="2"/>
      <c r="G19432" s="2"/>
      <c r="H19432" s="2"/>
    </row>
    <row r="19433" spans="1:8" x14ac:dyDescent="0.25">
      <c r="A19433" s="1"/>
      <c r="B19433" s="1" t="s">
        <v>6862</v>
      </c>
      <c r="C19433" s="1" t="s">
        <v>6863</v>
      </c>
      <c r="D19433" s="22" t="str">
        <f>HYPERLINK("https://rhld.insurance.arkansas.gov/NPILookup?Npi=1366125890","1366125890")</f>
        <v>1366125890</v>
      </c>
      <c r="E19433" s="1" t="s">
        <v>5652</v>
      </c>
      <c r="F19433" s="2"/>
      <c r="G19433" s="2"/>
      <c r="H19433" s="2"/>
    </row>
    <row r="19434" spans="1:8" x14ac:dyDescent="0.25">
      <c r="A19434" s="1"/>
      <c r="B19434" s="1" t="s">
        <v>6862</v>
      </c>
      <c r="C19434" s="1" t="s">
        <v>6863</v>
      </c>
      <c r="D19434" s="22" t="str">
        <f>HYPERLINK("https://rhld.insurance.arkansas.gov/NPILookup?Npi=1366161218","1366161218")</f>
        <v>1366161218</v>
      </c>
      <c r="E19434" s="1" t="s">
        <v>12400</v>
      </c>
      <c r="F19434" s="2"/>
      <c r="G19434" s="2"/>
      <c r="H19434" s="2"/>
    </row>
    <row r="19435" spans="1:8" x14ac:dyDescent="0.25">
      <c r="A19435" s="1"/>
      <c r="B19435" s="1" t="s">
        <v>6862</v>
      </c>
      <c r="C19435" s="1" t="s">
        <v>6863</v>
      </c>
      <c r="D19435" s="22" t="str">
        <f>HYPERLINK("https://rhld.insurance.arkansas.gov/NPILookup?Npi=1366178592","1366178592")</f>
        <v>1366178592</v>
      </c>
      <c r="E19435" s="1" t="s">
        <v>7012</v>
      </c>
      <c r="F19435" s="2"/>
      <c r="G19435" s="2"/>
      <c r="H19435" s="2"/>
    </row>
    <row r="19436" spans="1:8" x14ac:dyDescent="0.25">
      <c r="A19436" s="1"/>
      <c r="B19436" s="1" t="s">
        <v>6862</v>
      </c>
      <c r="C19436" s="1" t="s">
        <v>6863</v>
      </c>
      <c r="D19436" s="22" t="str">
        <f>HYPERLINK("https://rhld.insurance.arkansas.gov/NPILookup?Npi=1366180788","1366180788")</f>
        <v>1366180788</v>
      </c>
      <c r="E19436" s="1" t="s">
        <v>24438</v>
      </c>
      <c r="F19436" s="2"/>
      <c r="G19436" s="2"/>
      <c r="H19436" s="2"/>
    </row>
    <row r="19437" spans="1:8" x14ac:dyDescent="0.25">
      <c r="A19437" s="1"/>
      <c r="B19437" s="1" t="s">
        <v>6862</v>
      </c>
      <c r="C19437" s="1" t="s">
        <v>6863</v>
      </c>
      <c r="D19437" s="22" t="str">
        <f>HYPERLINK("https://rhld.insurance.arkansas.gov/NPILookup?Npi=1366218331","1366218331")</f>
        <v>1366218331</v>
      </c>
      <c r="E19437" s="1" t="s">
        <v>7013</v>
      </c>
      <c r="F19437" s="2"/>
      <c r="G19437" s="2"/>
      <c r="H19437" s="2"/>
    </row>
    <row r="19438" spans="1:8" x14ac:dyDescent="0.25">
      <c r="A19438" s="1"/>
      <c r="B19438" s="1" t="s">
        <v>6862</v>
      </c>
      <c r="C19438" s="1" t="s">
        <v>6863</v>
      </c>
      <c r="D19438" s="22" t="str">
        <f>HYPERLINK("https://rhld.insurance.arkansas.gov/NPILookup?Npi=1366260085","1366260085")</f>
        <v>1366260085</v>
      </c>
      <c r="E19438" s="1" t="s">
        <v>32023</v>
      </c>
      <c r="F19438" s="2"/>
      <c r="G19438" s="2"/>
      <c r="H19438" s="2"/>
    </row>
    <row r="19439" spans="1:8" x14ac:dyDescent="0.25">
      <c r="A19439" s="1"/>
      <c r="B19439" s="1" t="s">
        <v>6862</v>
      </c>
      <c r="C19439" s="1" t="s">
        <v>6863</v>
      </c>
      <c r="D19439" s="22" t="str">
        <f>HYPERLINK("https://rhld.insurance.arkansas.gov/NPILookup?Npi=1366422487","1366422487")</f>
        <v>1366422487</v>
      </c>
      <c r="E19439" s="1" t="s">
        <v>24439</v>
      </c>
      <c r="F19439" s="2"/>
      <c r="G19439" s="2"/>
      <c r="H19439" s="2"/>
    </row>
    <row r="19440" spans="1:8" x14ac:dyDescent="0.25">
      <c r="A19440" s="1"/>
      <c r="B19440" s="1" t="s">
        <v>6862</v>
      </c>
      <c r="C19440" s="1" t="s">
        <v>6863</v>
      </c>
      <c r="D19440" s="22" t="str">
        <f>HYPERLINK("https://rhld.insurance.arkansas.gov/NPILookup?Npi=1366433427","1366433427")</f>
        <v>1366433427</v>
      </c>
      <c r="E19440" s="1" t="s">
        <v>12401</v>
      </c>
      <c r="F19440" s="2"/>
      <c r="G19440" s="2"/>
      <c r="H19440" s="2"/>
    </row>
    <row r="19441" spans="1:8" x14ac:dyDescent="0.25">
      <c r="A19441" s="1"/>
      <c r="B19441" s="1" t="s">
        <v>6862</v>
      </c>
      <c r="C19441" s="1" t="s">
        <v>6863</v>
      </c>
      <c r="D19441" s="22" t="str">
        <f>HYPERLINK("https://rhld.insurance.arkansas.gov/NPILookup?Npi=1366541963","1366541963")</f>
        <v>1366541963</v>
      </c>
      <c r="E19441" s="1" t="s">
        <v>12402</v>
      </c>
      <c r="F19441" s="2"/>
      <c r="G19441" s="2"/>
      <c r="H19441" s="2"/>
    </row>
    <row r="19442" spans="1:8" x14ac:dyDescent="0.25">
      <c r="A19442" s="1"/>
      <c r="B19442" s="1" t="s">
        <v>6862</v>
      </c>
      <c r="C19442" s="1" t="s">
        <v>6863</v>
      </c>
      <c r="D19442" s="22" t="str">
        <f>HYPERLINK("https://rhld.insurance.arkansas.gov/NPILookup?Npi=1366654881","1366654881")</f>
        <v>1366654881</v>
      </c>
      <c r="E19442" s="1" t="s">
        <v>7014</v>
      </c>
      <c r="F19442" s="2"/>
      <c r="G19442" s="2"/>
      <c r="H19442" s="2"/>
    </row>
    <row r="19443" spans="1:8" x14ac:dyDescent="0.25">
      <c r="A19443" s="1"/>
      <c r="B19443" s="1" t="s">
        <v>6862</v>
      </c>
      <c r="C19443" s="1" t="s">
        <v>6863</v>
      </c>
      <c r="D19443" s="22" t="str">
        <f>HYPERLINK("https://rhld.insurance.arkansas.gov/NPILookup?Npi=1366760688","1366760688")</f>
        <v>1366760688</v>
      </c>
      <c r="E19443" s="1" t="s">
        <v>24440</v>
      </c>
      <c r="F19443" s="2"/>
      <c r="G19443" s="2"/>
      <c r="H19443" s="2"/>
    </row>
    <row r="19444" spans="1:8" x14ac:dyDescent="0.25">
      <c r="A19444" s="1"/>
      <c r="B19444" s="1" t="s">
        <v>6862</v>
      </c>
      <c r="C19444" s="1" t="s">
        <v>6863</v>
      </c>
      <c r="D19444" s="22" t="str">
        <f>HYPERLINK("https://rhld.insurance.arkansas.gov/NPILookup?Npi=1366818759","1366818759")</f>
        <v>1366818759</v>
      </c>
      <c r="E19444" s="1" t="s">
        <v>7015</v>
      </c>
      <c r="F19444" s="2"/>
      <c r="G19444" s="2"/>
      <c r="H19444" s="2"/>
    </row>
    <row r="19445" spans="1:8" x14ac:dyDescent="0.25">
      <c r="A19445" s="1"/>
      <c r="B19445" s="1" t="s">
        <v>6862</v>
      </c>
      <c r="C19445" s="1" t="s">
        <v>6863</v>
      </c>
      <c r="D19445" s="22" t="str">
        <f>HYPERLINK("https://rhld.insurance.arkansas.gov/NPILookup?Npi=1366828949","1366828949")</f>
        <v>1366828949</v>
      </c>
      <c r="E19445" s="1" t="s">
        <v>12403</v>
      </c>
      <c r="F19445" s="2"/>
      <c r="G19445" s="2"/>
      <c r="H19445" s="2"/>
    </row>
    <row r="19446" spans="1:8" x14ac:dyDescent="0.25">
      <c r="A19446" s="1"/>
      <c r="B19446" s="1" t="s">
        <v>6862</v>
      </c>
      <c r="C19446" s="1" t="s">
        <v>6863</v>
      </c>
      <c r="D19446" s="22" t="str">
        <f>HYPERLINK("https://rhld.insurance.arkansas.gov/NPILookup?Npi=1366843153","1366843153")</f>
        <v>1366843153</v>
      </c>
      <c r="E19446" s="1" t="s">
        <v>7016</v>
      </c>
      <c r="F19446" s="2"/>
      <c r="G19446" s="2"/>
      <c r="H19446" s="2"/>
    </row>
    <row r="19447" spans="1:8" x14ac:dyDescent="0.25">
      <c r="A19447" s="1"/>
      <c r="B19447" s="1" t="s">
        <v>6862</v>
      </c>
      <c r="C19447" s="1" t="s">
        <v>6863</v>
      </c>
      <c r="D19447" s="22" t="str">
        <f>HYPERLINK("https://rhld.insurance.arkansas.gov/NPILookup?Npi=1366851396","1366851396")</f>
        <v>1366851396</v>
      </c>
      <c r="E19447" s="1" t="s">
        <v>7017</v>
      </c>
      <c r="F19447" s="2"/>
      <c r="G19447" s="2"/>
      <c r="H19447" s="2"/>
    </row>
    <row r="19448" spans="1:8" x14ac:dyDescent="0.25">
      <c r="A19448" s="1"/>
      <c r="B19448" s="1" t="s">
        <v>6862</v>
      </c>
      <c r="C19448" s="1" t="s">
        <v>6863</v>
      </c>
      <c r="D19448" s="22" t="str">
        <f>HYPERLINK("https://rhld.insurance.arkansas.gov/NPILookup?Npi=1366869174","1366869174")</f>
        <v>1366869174</v>
      </c>
      <c r="E19448" s="1" t="s">
        <v>32024</v>
      </c>
      <c r="F19448" s="2"/>
      <c r="G19448" s="2"/>
      <c r="H19448" s="2"/>
    </row>
    <row r="19449" spans="1:8" x14ac:dyDescent="0.25">
      <c r="A19449" s="1"/>
      <c r="B19449" s="1" t="s">
        <v>6862</v>
      </c>
      <c r="C19449" s="1" t="s">
        <v>6863</v>
      </c>
      <c r="D19449" s="22" t="str">
        <f>HYPERLINK("https://rhld.insurance.arkansas.gov/NPILookup?Npi=1366871337","1366871337")</f>
        <v>1366871337</v>
      </c>
      <c r="E19449" s="1" t="s">
        <v>24441</v>
      </c>
      <c r="F19449" s="2"/>
      <c r="G19449" s="2"/>
      <c r="H19449" s="2"/>
    </row>
    <row r="19450" spans="1:8" x14ac:dyDescent="0.25">
      <c r="A19450" s="1"/>
      <c r="B19450" s="1" t="s">
        <v>6862</v>
      </c>
      <c r="C19450" s="1" t="s">
        <v>6863</v>
      </c>
      <c r="D19450" s="22" t="str">
        <f>HYPERLINK("https://rhld.insurance.arkansas.gov/NPILookup?Npi=1366943177","1366943177")</f>
        <v>1366943177</v>
      </c>
      <c r="E19450" s="1" t="s">
        <v>24442</v>
      </c>
      <c r="F19450" s="2"/>
      <c r="G19450" s="2"/>
      <c r="H19450" s="2"/>
    </row>
    <row r="19451" spans="1:8" x14ac:dyDescent="0.25">
      <c r="A19451" s="1"/>
      <c r="B19451" s="1" t="s">
        <v>6862</v>
      </c>
      <c r="C19451" s="1" t="s">
        <v>6863</v>
      </c>
      <c r="D19451" s="22" t="str">
        <f>HYPERLINK("https://rhld.insurance.arkansas.gov/NPILookup?Npi=1366953069","1366953069")</f>
        <v>1366953069</v>
      </c>
      <c r="E19451" s="1" t="s">
        <v>7018</v>
      </c>
      <c r="F19451" s="2"/>
      <c r="G19451" s="2"/>
      <c r="H19451" s="2"/>
    </row>
    <row r="19452" spans="1:8" x14ac:dyDescent="0.25">
      <c r="A19452" s="1"/>
      <c r="B19452" s="1" t="s">
        <v>6862</v>
      </c>
      <c r="C19452" s="1" t="s">
        <v>6863</v>
      </c>
      <c r="D19452" s="22" t="str">
        <f>HYPERLINK("https://rhld.insurance.arkansas.gov/NPILookup?Npi=1366966228","1366966228")</f>
        <v>1366966228</v>
      </c>
      <c r="E19452" s="1" t="s">
        <v>24443</v>
      </c>
      <c r="F19452" s="2"/>
      <c r="G19452" s="2"/>
      <c r="H19452" s="2"/>
    </row>
    <row r="19453" spans="1:8" x14ac:dyDescent="0.25">
      <c r="A19453" s="1"/>
      <c r="B19453" s="1" t="s">
        <v>6862</v>
      </c>
      <c r="C19453" s="1" t="s">
        <v>6863</v>
      </c>
      <c r="D19453" s="22" t="str">
        <f>HYPERLINK("https://rhld.insurance.arkansas.gov/NPILookup?Npi=1366966293","1366966293")</f>
        <v>1366966293</v>
      </c>
      <c r="E19453" s="1" t="s">
        <v>7019</v>
      </c>
      <c r="F19453" s="2"/>
      <c r="G19453" s="2"/>
      <c r="H19453" s="2"/>
    </row>
    <row r="19454" spans="1:8" x14ac:dyDescent="0.25">
      <c r="A19454" s="1"/>
      <c r="B19454" s="1" t="s">
        <v>6862</v>
      </c>
      <c r="C19454" s="1" t="s">
        <v>6863</v>
      </c>
      <c r="D19454" s="22" t="str">
        <f>HYPERLINK("https://rhld.insurance.arkansas.gov/NPILookup?Npi=1366995417","1366995417")</f>
        <v>1366995417</v>
      </c>
      <c r="E19454" s="1" t="s">
        <v>24444</v>
      </c>
      <c r="F19454" s="2"/>
      <c r="G19454" s="2"/>
      <c r="H19454" s="2"/>
    </row>
    <row r="19455" spans="1:8" x14ac:dyDescent="0.25">
      <c r="A19455" s="1"/>
      <c r="B19455" s="1" t="s">
        <v>6862</v>
      </c>
      <c r="C19455" s="1" t="s">
        <v>6863</v>
      </c>
      <c r="D19455" s="22" t="str">
        <f>HYPERLINK("https://rhld.insurance.arkansas.gov/NPILookup?Npi=1376008227","1376008227")</f>
        <v>1376008227</v>
      </c>
      <c r="E19455" s="1" t="s">
        <v>7020</v>
      </c>
      <c r="F19455" s="2"/>
      <c r="G19455" s="2"/>
      <c r="H19455" s="2"/>
    </row>
    <row r="19456" spans="1:8" x14ac:dyDescent="0.25">
      <c r="A19456" s="1"/>
      <c r="B19456" s="1" t="s">
        <v>6862</v>
      </c>
      <c r="C19456" s="1" t="s">
        <v>6863</v>
      </c>
      <c r="D19456" s="22" t="str">
        <f>HYPERLINK("https://rhld.insurance.arkansas.gov/NPILookup?Npi=1376014530","1376014530")</f>
        <v>1376014530</v>
      </c>
      <c r="E19456" s="1" t="s">
        <v>24445</v>
      </c>
      <c r="F19456" s="2"/>
      <c r="G19456" s="2"/>
      <c r="H19456" s="2"/>
    </row>
    <row r="19457" spans="1:8" x14ac:dyDescent="0.25">
      <c r="A19457" s="1"/>
      <c r="B19457" s="1" t="s">
        <v>6862</v>
      </c>
      <c r="C19457" s="1" t="s">
        <v>6863</v>
      </c>
      <c r="D19457" s="22" t="str">
        <f>HYPERLINK("https://rhld.insurance.arkansas.gov/NPILookup?Npi=1376225102","1376225102")</f>
        <v>1376225102</v>
      </c>
      <c r="E19457" s="1" t="s">
        <v>4731</v>
      </c>
      <c r="F19457" s="2"/>
      <c r="G19457" s="2"/>
      <c r="H19457" s="2"/>
    </row>
    <row r="19458" spans="1:8" x14ac:dyDescent="0.25">
      <c r="A19458" s="1"/>
      <c r="B19458" s="1" t="s">
        <v>6862</v>
      </c>
      <c r="C19458" s="1" t="s">
        <v>6863</v>
      </c>
      <c r="D19458" s="22" t="str">
        <f>HYPERLINK("https://rhld.insurance.arkansas.gov/NPILookup?Npi=1376273722","1376273722")</f>
        <v>1376273722</v>
      </c>
      <c r="E19458" s="1" t="s">
        <v>24446</v>
      </c>
      <c r="F19458" s="2"/>
      <c r="G19458" s="2"/>
      <c r="H19458" s="2"/>
    </row>
    <row r="19459" spans="1:8" x14ac:dyDescent="0.25">
      <c r="A19459" s="1"/>
      <c r="B19459" s="1" t="s">
        <v>6862</v>
      </c>
      <c r="C19459" s="1" t="s">
        <v>6863</v>
      </c>
      <c r="D19459" s="22" t="str">
        <f>HYPERLINK("https://rhld.insurance.arkansas.gov/NPILookup?Npi=1376398412","1376398412")</f>
        <v>1376398412</v>
      </c>
      <c r="E19459" s="1" t="s">
        <v>24447</v>
      </c>
      <c r="F19459" s="2"/>
      <c r="G19459" s="2"/>
      <c r="H19459" s="2"/>
    </row>
    <row r="19460" spans="1:8" x14ac:dyDescent="0.25">
      <c r="A19460" s="1"/>
      <c r="B19460" s="1" t="s">
        <v>6862</v>
      </c>
      <c r="C19460" s="1" t="s">
        <v>6863</v>
      </c>
      <c r="D19460" s="22" t="str">
        <f>HYPERLINK("https://rhld.insurance.arkansas.gov/NPILookup?Npi=1376751289","1376751289")</f>
        <v>1376751289</v>
      </c>
      <c r="E19460" s="1" t="s">
        <v>24448</v>
      </c>
      <c r="F19460" s="2"/>
      <c r="G19460" s="2"/>
      <c r="H19460" s="2"/>
    </row>
    <row r="19461" spans="1:8" x14ac:dyDescent="0.25">
      <c r="A19461" s="1"/>
      <c r="B19461" s="1" t="s">
        <v>6862</v>
      </c>
      <c r="C19461" s="1" t="s">
        <v>6863</v>
      </c>
      <c r="D19461" s="22" t="str">
        <f>HYPERLINK("https://rhld.insurance.arkansas.gov/NPILookup?Npi=1376796516","1376796516")</f>
        <v>1376796516</v>
      </c>
      <c r="E19461" s="1" t="s">
        <v>24449</v>
      </c>
      <c r="F19461" s="2"/>
      <c r="G19461" s="2"/>
      <c r="H19461" s="2"/>
    </row>
    <row r="19462" spans="1:8" x14ac:dyDescent="0.25">
      <c r="A19462" s="1"/>
      <c r="B19462" s="1" t="s">
        <v>6862</v>
      </c>
      <c r="C19462" s="1" t="s">
        <v>6863</v>
      </c>
      <c r="D19462" s="22" t="str">
        <f>HYPERLINK("https://rhld.insurance.arkansas.gov/NPILookup?Npi=1376822411","1376822411")</f>
        <v>1376822411</v>
      </c>
      <c r="E19462" s="1" t="s">
        <v>12404</v>
      </c>
      <c r="F19462" s="2"/>
      <c r="G19462" s="2"/>
      <c r="H19462" s="2"/>
    </row>
    <row r="19463" spans="1:8" x14ac:dyDescent="0.25">
      <c r="A19463" s="1"/>
      <c r="B19463" s="1" t="s">
        <v>6862</v>
      </c>
      <c r="C19463" s="1" t="s">
        <v>6863</v>
      </c>
      <c r="D19463" s="22" t="str">
        <f>HYPERLINK("https://rhld.insurance.arkansas.gov/NPILookup?Npi=1376881631","1376881631")</f>
        <v>1376881631</v>
      </c>
      <c r="E19463" s="1" t="s">
        <v>24450</v>
      </c>
      <c r="F19463" s="2"/>
      <c r="G19463" s="2"/>
      <c r="H19463" s="2"/>
    </row>
    <row r="19464" spans="1:8" x14ac:dyDescent="0.25">
      <c r="A19464" s="1"/>
      <c r="B19464" s="1" t="s">
        <v>6862</v>
      </c>
      <c r="C19464" s="1" t="s">
        <v>6863</v>
      </c>
      <c r="D19464" s="22" t="str">
        <f>HYPERLINK("https://rhld.insurance.arkansas.gov/NPILookup?Npi=1376890053","1376890053")</f>
        <v>1376890053</v>
      </c>
      <c r="E19464" s="1" t="s">
        <v>24451</v>
      </c>
      <c r="F19464" s="2"/>
      <c r="G19464" s="2"/>
      <c r="H19464" s="2"/>
    </row>
    <row r="19465" spans="1:8" x14ac:dyDescent="0.25">
      <c r="A19465" s="1"/>
      <c r="B19465" s="1" t="s">
        <v>6862</v>
      </c>
      <c r="C19465" s="1" t="s">
        <v>6863</v>
      </c>
      <c r="D19465" s="22" t="str">
        <f>HYPERLINK("https://rhld.insurance.arkansas.gov/NPILookup?Npi=1376970665","1376970665")</f>
        <v>1376970665</v>
      </c>
      <c r="E19465" s="1" t="s">
        <v>12405</v>
      </c>
      <c r="F19465" s="2"/>
      <c r="G19465" s="2"/>
      <c r="H19465" s="2"/>
    </row>
    <row r="19466" spans="1:8" x14ac:dyDescent="0.25">
      <c r="A19466" s="1"/>
      <c r="B19466" s="1" t="s">
        <v>6862</v>
      </c>
      <c r="C19466" s="1" t="s">
        <v>6863</v>
      </c>
      <c r="D19466" s="22" t="str">
        <f>HYPERLINK("https://rhld.insurance.arkansas.gov/NPILookup?Npi=1376994558","1376994558")</f>
        <v>1376994558</v>
      </c>
      <c r="E19466" s="1" t="s">
        <v>5304</v>
      </c>
      <c r="F19466" s="2"/>
      <c r="G19466" s="2"/>
      <c r="H19466" s="2"/>
    </row>
    <row r="19467" spans="1:8" x14ac:dyDescent="0.25">
      <c r="A19467" s="1"/>
      <c r="B19467" s="1" t="s">
        <v>6862</v>
      </c>
      <c r="C19467" s="1" t="s">
        <v>6863</v>
      </c>
      <c r="D19467" s="22" t="str">
        <f>HYPERLINK("https://rhld.insurance.arkansas.gov/NPILookup?Npi=1386025666","1386025666")</f>
        <v>1386025666</v>
      </c>
      <c r="E19467" s="1" t="s">
        <v>7021</v>
      </c>
      <c r="F19467" s="2"/>
      <c r="G19467" s="2"/>
      <c r="H19467" s="2"/>
    </row>
    <row r="19468" spans="1:8" x14ac:dyDescent="0.25">
      <c r="A19468" s="1"/>
      <c r="B19468" s="1" t="s">
        <v>6862</v>
      </c>
      <c r="C19468" s="1" t="s">
        <v>6863</v>
      </c>
      <c r="D19468" s="22" t="str">
        <f>HYPERLINK("https://rhld.insurance.arkansas.gov/NPILookup?Npi=1386143972","1386143972")</f>
        <v>1386143972</v>
      </c>
      <c r="E19468" s="1" t="s">
        <v>12406</v>
      </c>
      <c r="F19468" s="2"/>
      <c r="G19468" s="2"/>
      <c r="H19468" s="2"/>
    </row>
    <row r="19469" spans="1:8" x14ac:dyDescent="0.25">
      <c r="A19469" s="1"/>
      <c r="B19469" s="1" t="s">
        <v>6862</v>
      </c>
      <c r="C19469" s="1" t="s">
        <v>6863</v>
      </c>
      <c r="D19469" s="22" t="str">
        <f>HYPERLINK("https://rhld.insurance.arkansas.gov/NPILookup?Npi=1386205102","1386205102")</f>
        <v>1386205102</v>
      </c>
      <c r="E19469" s="1" t="s">
        <v>24452</v>
      </c>
      <c r="F19469" s="2"/>
      <c r="G19469" s="2"/>
      <c r="H19469" s="2"/>
    </row>
    <row r="19470" spans="1:8" x14ac:dyDescent="0.25">
      <c r="A19470" s="1"/>
      <c r="B19470" s="1" t="s">
        <v>6862</v>
      </c>
      <c r="C19470" s="1" t="s">
        <v>6863</v>
      </c>
      <c r="D19470" s="22" t="str">
        <f>HYPERLINK("https://rhld.insurance.arkansas.gov/NPILookup?Npi=1386278836","1386278836")</f>
        <v>1386278836</v>
      </c>
      <c r="E19470" s="1" t="s">
        <v>32025</v>
      </c>
      <c r="F19470" s="2"/>
      <c r="G19470" s="2"/>
      <c r="H19470" s="2"/>
    </row>
    <row r="19471" spans="1:8" x14ac:dyDescent="0.25">
      <c r="A19471" s="1"/>
      <c r="B19471" s="1" t="s">
        <v>6862</v>
      </c>
      <c r="C19471" s="1" t="s">
        <v>6863</v>
      </c>
      <c r="D19471" s="22" t="str">
        <f>HYPERLINK("https://rhld.insurance.arkansas.gov/NPILookup?Npi=1386362549","1386362549")</f>
        <v>1386362549</v>
      </c>
      <c r="E19471" s="1" t="s">
        <v>24453</v>
      </c>
      <c r="F19471" s="2"/>
      <c r="G19471" s="2"/>
      <c r="H19471" s="2"/>
    </row>
    <row r="19472" spans="1:8" x14ac:dyDescent="0.25">
      <c r="A19472" s="1"/>
      <c r="B19472" s="1" t="s">
        <v>6862</v>
      </c>
      <c r="C19472" s="1" t="s">
        <v>6863</v>
      </c>
      <c r="D19472" s="22" t="str">
        <f>HYPERLINK("https://rhld.insurance.arkansas.gov/NPILookup?Npi=1386374452","1386374452")</f>
        <v>1386374452</v>
      </c>
      <c r="E19472" s="1" t="s">
        <v>24454</v>
      </c>
      <c r="F19472" s="2"/>
      <c r="G19472" s="2"/>
      <c r="H19472" s="2"/>
    </row>
    <row r="19473" spans="1:8" x14ac:dyDescent="0.25">
      <c r="A19473" s="1"/>
      <c r="B19473" s="1" t="s">
        <v>6862</v>
      </c>
      <c r="C19473" s="1" t="s">
        <v>6863</v>
      </c>
      <c r="D19473" s="22" t="str">
        <f>HYPERLINK("https://rhld.insurance.arkansas.gov/NPILookup?Npi=1386401339","1386401339")</f>
        <v>1386401339</v>
      </c>
      <c r="E19473" s="1" t="s">
        <v>24455</v>
      </c>
      <c r="F19473" s="2"/>
      <c r="G19473" s="2"/>
      <c r="H19473" s="2"/>
    </row>
    <row r="19474" spans="1:8" x14ac:dyDescent="0.25">
      <c r="A19474" s="1"/>
      <c r="B19474" s="1" t="s">
        <v>6862</v>
      </c>
      <c r="C19474" s="1" t="s">
        <v>6863</v>
      </c>
      <c r="D19474" s="22" t="str">
        <f>HYPERLINK("https://rhld.insurance.arkansas.gov/NPILookup?Npi=1386425247","1386425247")</f>
        <v>1386425247</v>
      </c>
      <c r="E19474" s="1" t="s">
        <v>24456</v>
      </c>
      <c r="F19474" s="2"/>
      <c r="G19474" s="2"/>
      <c r="H19474" s="2"/>
    </row>
    <row r="19475" spans="1:8" x14ac:dyDescent="0.25">
      <c r="A19475" s="1"/>
      <c r="B19475" s="1" t="s">
        <v>6862</v>
      </c>
      <c r="C19475" s="1" t="s">
        <v>6863</v>
      </c>
      <c r="D19475" s="22" t="str">
        <f>HYPERLINK("https://rhld.insurance.arkansas.gov/NPILookup?Npi=1386476745","1386476745")</f>
        <v>1386476745</v>
      </c>
      <c r="E19475" s="1" t="s">
        <v>24457</v>
      </c>
      <c r="F19475" s="2"/>
      <c r="G19475" s="2"/>
      <c r="H19475" s="2"/>
    </row>
    <row r="19476" spans="1:8" x14ac:dyDescent="0.25">
      <c r="A19476" s="1"/>
      <c r="B19476" s="1" t="s">
        <v>6862</v>
      </c>
      <c r="C19476" s="1" t="s">
        <v>6863</v>
      </c>
      <c r="D19476" s="22" t="str">
        <f>HYPERLINK("https://rhld.insurance.arkansas.gov/NPILookup?Npi=1386537546","1386537546")</f>
        <v>1386537546</v>
      </c>
      <c r="E19476" s="1" t="s">
        <v>32026</v>
      </c>
      <c r="F19476" s="2"/>
      <c r="G19476" s="2"/>
      <c r="H19476" s="2"/>
    </row>
    <row r="19477" spans="1:8" x14ac:dyDescent="0.25">
      <c r="A19477" s="1"/>
      <c r="B19477" s="1" t="s">
        <v>6862</v>
      </c>
      <c r="C19477" s="1" t="s">
        <v>6863</v>
      </c>
      <c r="D19477" s="22" t="str">
        <f>HYPERLINK("https://rhld.insurance.arkansas.gov/NPILookup?Npi=1386685360","1386685360")</f>
        <v>1386685360</v>
      </c>
      <c r="E19477" s="1" t="s">
        <v>24458</v>
      </c>
      <c r="F19477" s="2"/>
      <c r="G19477" s="2"/>
      <c r="H19477" s="2"/>
    </row>
    <row r="19478" spans="1:8" x14ac:dyDescent="0.25">
      <c r="A19478" s="1"/>
      <c r="B19478" s="1" t="s">
        <v>6862</v>
      </c>
      <c r="C19478" s="1" t="s">
        <v>6863</v>
      </c>
      <c r="D19478" s="22" t="str">
        <f>HYPERLINK("https://rhld.insurance.arkansas.gov/NPILookup?Npi=1386777696","1386777696")</f>
        <v>1386777696</v>
      </c>
      <c r="E19478" s="1" t="s">
        <v>24459</v>
      </c>
      <c r="F19478" s="2"/>
      <c r="G19478" s="2"/>
      <c r="H19478" s="2"/>
    </row>
    <row r="19479" spans="1:8" x14ac:dyDescent="0.25">
      <c r="A19479" s="1"/>
      <c r="B19479" s="1" t="s">
        <v>6862</v>
      </c>
      <c r="C19479" s="1" t="s">
        <v>6863</v>
      </c>
      <c r="D19479" s="22" t="str">
        <f>HYPERLINK("https://rhld.insurance.arkansas.gov/NPILookup?Npi=1386830560","1386830560")</f>
        <v>1386830560</v>
      </c>
      <c r="E19479" s="1" t="s">
        <v>12408</v>
      </c>
      <c r="F19479" s="2"/>
      <c r="G19479" s="2"/>
      <c r="H19479" s="2"/>
    </row>
    <row r="19480" spans="1:8" x14ac:dyDescent="0.25">
      <c r="A19480" s="1"/>
      <c r="B19480" s="1" t="s">
        <v>6862</v>
      </c>
      <c r="C19480" s="1" t="s">
        <v>6863</v>
      </c>
      <c r="D19480" s="22" t="str">
        <f>HYPERLINK("https://rhld.insurance.arkansas.gov/NPILookup?Npi=1386835460","1386835460")</f>
        <v>1386835460</v>
      </c>
      <c r="E19480" s="1" t="s">
        <v>7022</v>
      </c>
      <c r="F19480" s="2"/>
      <c r="G19480" s="2"/>
      <c r="H19480" s="2"/>
    </row>
    <row r="19481" spans="1:8" x14ac:dyDescent="0.25">
      <c r="A19481" s="1"/>
      <c r="B19481" s="1" t="s">
        <v>6862</v>
      </c>
      <c r="C19481" s="1" t="s">
        <v>6863</v>
      </c>
      <c r="D19481" s="22" t="str">
        <f>HYPERLINK("https://rhld.insurance.arkansas.gov/NPILookup?Npi=1386949196","1386949196")</f>
        <v>1386949196</v>
      </c>
      <c r="E19481" s="1" t="s">
        <v>24460</v>
      </c>
      <c r="F19481" s="2"/>
      <c r="G19481" s="2"/>
      <c r="H19481" s="2"/>
    </row>
    <row r="19482" spans="1:8" x14ac:dyDescent="0.25">
      <c r="A19482" s="1"/>
      <c r="B19482" s="1" t="s">
        <v>6862</v>
      </c>
      <c r="C19482" s="1" t="s">
        <v>6863</v>
      </c>
      <c r="D19482" s="22" t="str">
        <f>HYPERLINK("https://rhld.insurance.arkansas.gov/NPILookup?Npi=1396007290","1396007290")</f>
        <v>1396007290</v>
      </c>
      <c r="E19482" s="1" t="s">
        <v>7023</v>
      </c>
      <c r="F19482" s="2"/>
      <c r="G19482" s="2"/>
      <c r="H19482" s="2"/>
    </row>
    <row r="19483" spans="1:8" x14ac:dyDescent="0.25">
      <c r="A19483" s="1"/>
      <c r="B19483" s="1" t="s">
        <v>6862</v>
      </c>
      <c r="C19483" s="1" t="s">
        <v>6863</v>
      </c>
      <c r="D19483" s="22" t="str">
        <f>HYPERLINK("https://rhld.insurance.arkansas.gov/NPILookup?Npi=1396091823","1396091823")</f>
        <v>1396091823</v>
      </c>
      <c r="E19483" s="1" t="s">
        <v>7024</v>
      </c>
      <c r="F19483" s="2"/>
      <c r="G19483" s="2"/>
      <c r="H19483" s="2"/>
    </row>
    <row r="19484" spans="1:8" x14ac:dyDescent="0.25">
      <c r="A19484" s="1"/>
      <c r="B19484" s="1" t="s">
        <v>6862</v>
      </c>
      <c r="C19484" s="1" t="s">
        <v>6863</v>
      </c>
      <c r="D19484" s="22" t="str">
        <f>HYPERLINK("https://rhld.insurance.arkansas.gov/NPILookup?Npi=1396116596","1396116596")</f>
        <v>1396116596</v>
      </c>
      <c r="E19484" s="1" t="s">
        <v>24461</v>
      </c>
      <c r="F19484" s="2"/>
      <c r="G19484" s="2"/>
      <c r="H19484" s="2"/>
    </row>
    <row r="19485" spans="1:8" x14ac:dyDescent="0.25">
      <c r="A19485" s="1"/>
      <c r="B19485" s="1" t="s">
        <v>6862</v>
      </c>
      <c r="C19485" s="1" t="s">
        <v>6863</v>
      </c>
      <c r="D19485" s="22" t="str">
        <f>HYPERLINK("https://rhld.insurance.arkansas.gov/NPILookup?Npi=1396174223","1396174223")</f>
        <v>1396174223</v>
      </c>
      <c r="E19485" s="1" t="s">
        <v>24462</v>
      </c>
      <c r="F19485" s="2"/>
      <c r="G19485" s="2"/>
      <c r="H19485" s="2"/>
    </row>
    <row r="19486" spans="1:8" x14ac:dyDescent="0.25">
      <c r="A19486" s="1"/>
      <c r="B19486" s="1" t="s">
        <v>6862</v>
      </c>
      <c r="C19486" s="1" t="s">
        <v>6863</v>
      </c>
      <c r="D19486" s="22" t="str">
        <f>HYPERLINK("https://rhld.insurance.arkansas.gov/NPILookup?Npi=1396269056","1396269056")</f>
        <v>1396269056</v>
      </c>
      <c r="E19486" s="1" t="s">
        <v>24463</v>
      </c>
      <c r="F19486" s="2"/>
      <c r="G19486" s="2"/>
      <c r="H19486" s="2"/>
    </row>
    <row r="19487" spans="1:8" x14ac:dyDescent="0.25">
      <c r="A19487" s="1"/>
      <c r="B19487" s="1" t="s">
        <v>6862</v>
      </c>
      <c r="C19487" s="1" t="s">
        <v>6863</v>
      </c>
      <c r="D19487" s="22" t="str">
        <f>HYPERLINK("https://rhld.insurance.arkansas.gov/NPILookup?Npi=1396275301","1396275301")</f>
        <v>1396275301</v>
      </c>
      <c r="E19487" s="1" t="s">
        <v>6107</v>
      </c>
      <c r="F19487" s="2"/>
      <c r="G19487" s="2"/>
      <c r="H19487" s="2"/>
    </row>
    <row r="19488" spans="1:8" x14ac:dyDescent="0.25">
      <c r="A19488" s="1"/>
      <c r="B19488" s="1" t="s">
        <v>6862</v>
      </c>
      <c r="C19488" s="1" t="s">
        <v>6863</v>
      </c>
      <c r="D19488" s="22" t="str">
        <f>HYPERLINK("https://rhld.insurance.arkansas.gov/NPILookup?Npi=1396305652","1396305652")</f>
        <v>1396305652</v>
      </c>
      <c r="E19488" s="1" t="s">
        <v>7025</v>
      </c>
      <c r="F19488" s="2"/>
      <c r="G19488" s="2"/>
      <c r="H19488" s="2"/>
    </row>
    <row r="19489" spans="1:8" x14ac:dyDescent="0.25">
      <c r="A19489" s="1"/>
      <c r="B19489" s="1" t="s">
        <v>6862</v>
      </c>
      <c r="C19489" s="1" t="s">
        <v>6863</v>
      </c>
      <c r="D19489" s="22" t="str">
        <f>HYPERLINK("https://rhld.insurance.arkansas.gov/NPILookup?Npi=1396319927","1396319927")</f>
        <v>1396319927</v>
      </c>
      <c r="E19489" s="1" t="s">
        <v>24464</v>
      </c>
      <c r="F19489" s="2"/>
      <c r="G19489" s="2"/>
      <c r="H19489" s="2"/>
    </row>
    <row r="19490" spans="1:8" x14ac:dyDescent="0.25">
      <c r="A19490" s="1"/>
      <c r="B19490" s="1" t="s">
        <v>6862</v>
      </c>
      <c r="C19490" s="1" t="s">
        <v>6863</v>
      </c>
      <c r="D19490" s="22" t="str">
        <f>HYPERLINK("https://rhld.insurance.arkansas.gov/NPILookup?Npi=1396343174","1396343174")</f>
        <v>1396343174</v>
      </c>
      <c r="E19490" s="1" t="s">
        <v>12409</v>
      </c>
      <c r="F19490" s="2"/>
      <c r="G19490" s="2"/>
      <c r="H19490" s="2"/>
    </row>
    <row r="19491" spans="1:8" x14ac:dyDescent="0.25">
      <c r="A19491" s="1"/>
      <c r="B19491" s="1" t="s">
        <v>6862</v>
      </c>
      <c r="C19491" s="1" t="s">
        <v>6863</v>
      </c>
      <c r="D19491" s="22" t="str">
        <f>HYPERLINK("https://rhld.insurance.arkansas.gov/NPILookup?Npi=1396384368","1396384368")</f>
        <v>1396384368</v>
      </c>
      <c r="E19491" s="1" t="s">
        <v>7026</v>
      </c>
      <c r="F19491" s="2"/>
      <c r="G19491" s="2"/>
      <c r="H19491" s="2"/>
    </row>
    <row r="19492" spans="1:8" x14ac:dyDescent="0.25">
      <c r="A19492" s="1"/>
      <c r="B19492" s="1" t="s">
        <v>6862</v>
      </c>
      <c r="C19492" s="1" t="s">
        <v>6863</v>
      </c>
      <c r="D19492" s="22" t="str">
        <f>HYPERLINK("https://rhld.insurance.arkansas.gov/NPILookup?Npi=1396438974","1396438974")</f>
        <v>1396438974</v>
      </c>
      <c r="E19492" s="1" t="s">
        <v>7027</v>
      </c>
      <c r="F19492" s="2"/>
      <c r="G19492" s="2"/>
      <c r="H19492" s="2"/>
    </row>
    <row r="19493" spans="1:8" x14ac:dyDescent="0.25">
      <c r="A19493" s="1"/>
      <c r="B19493" s="1" t="s">
        <v>6862</v>
      </c>
      <c r="C19493" s="1" t="s">
        <v>6863</v>
      </c>
      <c r="D19493" s="22" t="str">
        <f>HYPERLINK("https://rhld.insurance.arkansas.gov/NPILookup?Npi=1396463691","1396463691")</f>
        <v>1396463691</v>
      </c>
      <c r="E19493" s="1" t="s">
        <v>24465</v>
      </c>
      <c r="F19493" s="2"/>
      <c r="G19493" s="2"/>
      <c r="H19493" s="2"/>
    </row>
    <row r="19494" spans="1:8" x14ac:dyDescent="0.25">
      <c r="A19494" s="1"/>
      <c r="B19494" s="1" t="s">
        <v>6862</v>
      </c>
      <c r="C19494" s="1" t="s">
        <v>6863</v>
      </c>
      <c r="D19494" s="22" t="str">
        <f>HYPERLINK("https://rhld.insurance.arkansas.gov/NPILookup?Npi=1396701488","1396701488")</f>
        <v>1396701488</v>
      </c>
      <c r="E19494" s="1" t="s">
        <v>5311</v>
      </c>
      <c r="F19494" s="2"/>
      <c r="G19494" s="2"/>
      <c r="H19494" s="2"/>
    </row>
    <row r="19495" spans="1:8" x14ac:dyDescent="0.25">
      <c r="A19495" s="1"/>
      <c r="B19495" s="1" t="s">
        <v>6862</v>
      </c>
      <c r="C19495" s="1" t="s">
        <v>6863</v>
      </c>
      <c r="D19495" s="22" t="str">
        <f>HYPERLINK("https://rhld.insurance.arkansas.gov/NPILookup?Npi=1396858213","1396858213")</f>
        <v>1396858213</v>
      </c>
      <c r="E19495" s="1" t="s">
        <v>24466</v>
      </c>
      <c r="F19495" s="2"/>
      <c r="G19495" s="2"/>
      <c r="H19495" s="2"/>
    </row>
    <row r="19496" spans="1:8" x14ac:dyDescent="0.25">
      <c r="A19496" s="1"/>
      <c r="B19496" s="1" t="s">
        <v>6862</v>
      </c>
      <c r="C19496" s="1" t="s">
        <v>6863</v>
      </c>
      <c r="D19496" s="22" t="str">
        <f>HYPERLINK("https://rhld.insurance.arkansas.gov/NPILookup?Npi=1396861381","1396861381")</f>
        <v>1396861381</v>
      </c>
      <c r="E19496" s="1" t="s">
        <v>24467</v>
      </c>
      <c r="F19496" s="2"/>
      <c r="G19496" s="2"/>
      <c r="H19496" s="2"/>
    </row>
    <row r="19497" spans="1:8" x14ac:dyDescent="0.25">
      <c r="A19497" s="1"/>
      <c r="B19497" s="1" t="s">
        <v>6862</v>
      </c>
      <c r="C19497" s="1" t="s">
        <v>6863</v>
      </c>
      <c r="D19497" s="22" t="str">
        <f>HYPERLINK("https://rhld.insurance.arkansas.gov/NPILookup?Npi=1396990842","1396990842")</f>
        <v>1396990842</v>
      </c>
      <c r="E19497" s="1" t="s">
        <v>24468</v>
      </c>
      <c r="F19497" s="2"/>
      <c r="G19497" s="2"/>
      <c r="H19497" s="2"/>
    </row>
    <row r="19498" spans="1:8" x14ac:dyDescent="0.25">
      <c r="A19498" s="1"/>
      <c r="B19498" s="1" t="s">
        <v>6862</v>
      </c>
      <c r="C19498" s="1" t="s">
        <v>6863</v>
      </c>
      <c r="D19498" s="22" t="str">
        <f>HYPERLINK("https://rhld.insurance.arkansas.gov/NPILookup?Npi=1407050453","1407050453")</f>
        <v>1407050453</v>
      </c>
      <c r="E19498" s="1" t="s">
        <v>12410</v>
      </c>
      <c r="F19498" s="2"/>
      <c r="G19498" s="2"/>
      <c r="H19498" s="2"/>
    </row>
    <row r="19499" spans="1:8" x14ac:dyDescent="0.25">
      <c r="A19499" s="1"/>
      <c r="B19499" s="1" t="s">
        <v>6862</v>
      </c>
      <c r="C19499" s="1" t="s">
        <v>6863</v>
      </c>
      <c r="D19499" s="22" t="str">
        <f>HYPERLINK("https://rhld.insurance.arkansas.gov/NPILookup?Npi=1407166325","1407166325")</f>
        <v>1407166325</v>
      </c>
      <c r="E19499" s="1" t="s">
        <v>24469</v>
      </c>
      <c r="F19499" s="2"/>
      <c r="G19499" s="2"/>
      <c r="H19499" s="2"/>
    </row>
    <row r="19500" spans="1:8" x14ac:dyDescent="0.25">
      <c r="A19500" s="1"/>
      <c r="B19500" s="1" t="s">
        <v>6862</v>
      </c>
      <c r="C19500" s="1" t="s">
        <v>6863</v>
      </c>
      <c r="D19500" s="22" t="str">
        <f>HYPERLINK("https://rhld.insurance.arkansas.gov/NPILookup?Npi=1407402969","1407402969")</f>
        <v>1407402969</v>
      </c>
      <c r="E19500" s="1" t="s">
        <v>12411</v>
      </c>
      <c r="F19500" s="2"/>
      <c r="G19500" s="2"/>
      <c r="H19500" s="2"/>
    </row>
    <row r="19501" spans="1:8" x14ac:dyDescent="0.25">
      <c r="A19501" s="1"/>
      <c r="B19501" s="1" t="s">
        <v>6862</v>
      </c>
      <c r="C19501" s="1" t="s">
        <v>6863</v>
      </c>
      <c r="D19501" s="22" t="str">
        <f>HYPERLINK("https://rhld.insurance.arkansas.gov/NPILookup?Npi=1407462310","1407462310")</f>
        <v>1407462310</v>
      </c>
      <c r="E19501" s="1" t="s">
        <v>24470</v>
      </c>
      <c r="F19501" s="2"/>
      <c r="G19501" s="2"/>
      <c r="H19501" s="2"/>
    </row>
    <row r="19502" spans="1:8" x14ac:dyDescent="0.25">
      <c r="A19502" s="1"/>
      <c r="B19502" s="1" t="s">
        <v>6862</v>
      </c>
      <c r="C19502" s="1" t="s">
        <v>6863</v>
      </c>
      <c r="D19502" s="22" t="str">
        <f>HYPERLINK("https://rhld.insurance.arkansas.gov/NPILookup?Npi=1407504152","1407504152")</f>
        <v>1407504152</v>
      </c>
      <c r="E19502" s="1" t="s">
        <v>24471</v>
      </c>
      <c r="F19502" s="2"/>
      <c r="G19502" s="2"/>
      <c r="H19502" s="2"/>
    </row>
    <row r="19503" spans="1:8" x14ac:dyDescent="0.25">
      <c r="A19503" s="1"/>
      <c r="B19503" s="1" t="s">
        <v>6862</v>
      </c>
      <c r="C19503" s="1" t="s">
        <v>6863</v>
      </c>
      <c r="D19503" s="22" t="str">
        <f>HYPERLINK("https://rhld.insurance.arkansas.gov/NPILookup?Npi=1407603210","1407603210")</f>
        <v>1407603210</v>
      </c>
      <c r="E19503" s="1" t="s">
        <v>24472</v>
      </c>
      <c r="F19503" s="2"/>
      <c r="G19503" s="2"/>
      <c r="H19503" s="2"/>
    </row>
    <row r="19504" spans="1:8" x14ac:dyDescent="0.25">
      <c r="A19504" s="1"/>
      <c r="B19504" s="1" t="s">
        <v>6862</v>
      </c>
      <c r="C19504" s="1" t="s">
        <v>6863</v>
      </c>
      <c r="D19504" s="22" t="str">
        <f>HYPERLINK("https://rhld.insurance.arkansas.gov/NPILookup?Npi=1407622863","1407622863")</f>
        <v>1407622863</v>
      </c>
      <c r="E19504" s="1" t="s">
        <v>3819</v>
      </c>
      <c r="F19504" s="2"/>
      <c r="G19504" s="2"/>
      <c r="H19504" s="2"/>
    </row>
    <row r="19505" spans="1:8" x14ac:dyDescent="0.25">
      <c r="A19505" s="1"/>
      <c r="B19505" s="1" t="s">
        <v>6862</v>
      </c>
      <c r="C19505" s="1" t="s">
        <v>6863</v>
      </c>
      <c r="D19505" s="22" t="str">
        <f>HYPERLINK("https://rhld.insurance.arkansas.gov/NPILookup?Npi=1407689110","1407689110")</f>
        <v>1407689110</v>
      </c>
      <c r="E19505" s="1" t="s">
        <v>24473</v>
      </c>
      <c r="F19505" s="2"/>
      <c r="G19505" s="2"/>
      <c r="H19505" s="2"/>
    </row>
    <row r="19506" spans="1:8" x14ac:dyDescent="0.25">
      <c r="A19506" s="1"/>
      <c r="B19506" s="1" t="s">
        <v>6862</v>
      </c>
      <c r="C19506" s="1" t="s">
        <v>6863</v>
      </c>
      <c r="D19506" s="22" t="str">
        <f>HYPERLINK("https://rhld.insurance.arkansas.gov/NPILookup?Npi=1407827363","1407827363")</f>
        <v>1407827363</v>
      </c>
      <c r="E19506" s="1" t="s">
        <v>7028</v>
      </c>
      <c r="F19506" s="2"/>
      <c r="G19506" s="2"/>
      <c r="H19506" s="2"/>
    </row>
    <row r="19507" spans="1:8" x14ac:dyDescent="0.25">
      <c r="A19507" s="1"/>
      <c r="B19507" s="1" t="s">
        <v>6862</v>
      </c>
      <c r="C19507" s="1" t="s">
        <v>6863</v>
      </c>
      <c r="D19507" s="22" t="str">
        <f>HYPERLINK("https://rhld.insurance.arkansas.gov/NPILookup?Npi=1407883218","1407883218")</f>
        <v>1407883218</v>
      </c>
      <c r="E19507" s="1" t="s">
        <v>7029</v>
      </c>
      <c r="F19507" s="2"/>
      <c r="G19507" s="2"/>
      <c r="H19507" s="2"/>
    </row>
    <row r="19508" spans="1:8" x14ac:dyDescent="0.25">
      <c r="A19508" s="1"/>
      <c r="B19508" s="1" t="s">
        <v>6862</v>
      </c>
      <c r="C19508" s="1" t="s">
        <v>6863</v>
      </c>
      <c r="D19508" s="22" t="str">
        <f>HYPERLINK("https://rhld.insurance.arkansas.gov/NPILookup?Npi=1407900665","1407900665")</f>
        <v>1407900665</v>
      </c>
      <c r="E19508" s="1" t="s">
        <v>24474</v>
      </c>
      <c r="F19508" s="2"/>
      <c r="G19508" s="2"/>
      <c r="H19508" s="2"/>
    </row>
    <row r="19509" spans="1:8" x14ac:dyDescent="0.25">
      <c r="A19509" s="1"/>
      <c r="B19509" s="1" t="s">
        <v>6862</v>
      </c>
      <c r="C19509" s="1" t="s">
        <v>6863</v>
      </c>
      <c r="D19509" s="22" t="str">
        <f>HYPERLINK("https://rhld.insurance.arkansas.gov/NPILookup?Npi=1407919590","1407919590")</f>
        <v>1407919590</v>
      </c>
      <c r="E19509" s="1" t="s">
        <v>24475</v>
      </c>
      <c r="F19509" s="2"/>
      <c r="G19509" s="2"/>
      <c r="H19509" s="2"/>
    </row>
    <row r="19510" spans="1:8" x14ac:dyDescent="0.25">
      <c r="A19510" s="1"/>
      <c r="B19510" s="1" t="s">
        <v>6862</v>
      </c>
      <c r="C19510" s="1" t="s">
        <v>6863</v>
      </c>
      <c r="D19510" s="22" t="str">
        <f>HYPERLINK("https://rhld.insurance.arkansas.gov/NPILookup?Npi=1407937451","1407937451")</f>
        <v>1407937451</v>
      </c>
      <c r="E19510" s="1" t="s">
        <v>7030</v>
      </c>
      <c r="F19510" s="2"/>
      <c r="G19510" s="2"/>
      <c r="H19510" s="2"/>
    </row>
    <row r="19511" spans="1:8" x14ac:dyDescent="0.25">
      <c r="A19511" s="1"/>
      <c r="B19511" s="1" t="s">
        <v>6862</v>
      </c>
      <c r="C19511" s="1" t="s">
        <v>6863</v>
      </c>
      <c r="D19511" s="22" t="str">
        <f>HYPERLINK("https://rhld.insurance.arkansas.gov/NPILookup?Npi=1417027368","1417027368")</f>
        <v>1417027368</v>
      </c>
      <c r="E19511" s="1" t="s">
        <v>12412</v>
      </c>
      <c r="F19511" s="2"/>
      <c r="G19511" s="2"/>
      <c r="H19511" s="2"/>
    </row>
    <row r="19512" spans="1:8" x14ac:dyDescent="0.25">
      <c r="A19512" s="1"/>
      <c r="B19512" s="1" t="s">
        <v>6862</v>
      </c>
      <c r="C19512" s="1" t="s">
        <v>6863</v>
      </c>
      <c r="D19512" s="22" t="str">
        <f>HYPERLINK("https://rhld.insurance.arkansas.gov/NPILookup?Npi=1417094657","1417094657")</f>
        <v>1417094657</v>
      </c>
      <c r="E19512" s="1" t="s">
        <v>19691</v>
      </c>
      <c r="F19512" s="2"/>
      <c r="G19512" s="2"/>
      <c r="H19512" s="2"/>
    </row>
    <row r="19513" spans="1:8" x14ac:dyDescent="0.25">
      <c r="A19513" s="1"/>
      <c r="B19513" s="1" t="s">
        <v>6862</v>
      </c>
      <c r="C19513" s="1" t="s">
        <v>6863</v>
      </c>
      <c r="D19513" s="22" t="str">
        <f>HYPERLINK("https://rhld.insurance.arkansas.gov/NPILookup?Npi=1417175282","1417175282")</f>
        <v>1417175282</v>
      </c>
      <c r="E19513" s="1" t="s">
        <v>12413</v>
      </c>
      <c r="F19513" s="2"/>
      <c r="G19513" s="2"/>
      <c r="H19513" s="2"/>
    </row>
    <row r="19514" spans="1:8" x14ac:dyDescent="0.25">
      <c r="A19514" s="1"/>
      <c r="B19514" s="1" t="s">
        <v>6862</v>
      </c>
      <c r="C19514" s="1" t="s">
        <v>6863</v>
      </c>
      <c r="D19514" s="22" t="str">
        <f>HYPERLINK("https://rhld.insurance.arkansas.gov/NPILookup?Npi=1417193327","1417193327")</f>
        <v>1417193327</v>
      </c>
      <c r="E19514" s="1" t="s">
        <v>24476</v>
      </c>
      <c r="F19514" s="2"/>
      <c r="G19514" s="2"/>
      <c r="H19514" s="2"/>
    </row>
    <row r="19515" spans="1:8" x14ac:dyDescent="0.25">
      <c r="A19515" s="1"/>
      <c r="B19515" s="1" t="s">
        <v>6862</v>
      </c>
      <c r="C19515" s="1" t="s">
        <v>6863</v>
      </c>
      <c r="D19515" s="22" t="str">
        <f>HYPERLINK("https://rhld.insurance.arkansas.gov/NPILookup?Npi=1417203779","1417203779")</f>
        <v>1417203779</v>
      </c>
      <c r="E19515" s="1" t="s">
        <v>7031</v>
      </c>
      <c r="F19515" s="2"/>
      <c r="G19515" s="2"/>
      <c r="H19515" s="2"/>
    </row>
    <row r="19516" spans="1:8" x14ac:dyDescent="0.25">
      <c r="A19516" s="1"/>
      <c r="B19516" s="1" t="s">
        <v>6862</v>
      </c>
      <c r="C19516" s="1" t="s">
        <v>6863</v>
      </c>
      <c r="D19516" s="22" t="str">
        <f>HYPERLINK("https://rhld.insurance.arkansas.gov/NPILookup?Npi=1417284837","1417284837")</f>
        <v>1417284837</v>
      </c>
      <c r="E19516" s="1" t="s">
        <v>7227</v>
      </c>
      <c r="F19516" s="2"/>
      <c r="G19516" s="2"/>
      <c r="H19516" s="2"/>
    </row>
    <row r="19517" spans="1:8" x14ac:dyDescent="0.25">
      <c r="A19517" s="1"/>
      <c r="B19517" s="1" t="s">
        <v>6862</v>
      </c>
      <c r="C19517" s="1" t="s">
        <v>6863</v>
      </c>
      <c r="D19517" s="22" t="str">
        <f>HYPERLINK("https://rhld.insurance.arkansas.gov/NPILookup?Npi=1417338567","1417338567")</f>
        <v>1417338567</v>
      </c>
      <c r="E19517" s="1" t="s">
        <v>24477</v>
      </c>
      <c r="F19517" s="2"/>
      <c r="G19517" s="2"/>
      <c r="H19517" s="2"/>
    </row>
    <row r="19518" spans="1:8" x14ac:dyDescent="0.25">
      <c r="A19518" s="1"/>
      <c r="B19518" s="1" t="s">
        <v>6862</v>
      </c>
      <c r="C19518" s="1" t="s">
        <v>6863</v>
      </c>
      <c r="D19518" s="22" t="str">
        <f>HYPERLINK("https://rhld.insurance.arkansas.gov/NPILookup?Npi=1417403536","1417403536")</f>
        <v>1417403536</v>
      </c>
      <c r="E19518" s="1" t="s">
        <v>24478</v>
      </c>
      <c r="F19518" s="2"/>
      <c r="G19518" s="2"/>
      <c r="H19518" s="2"/>
    </row>
    <row r="19519" spans="1:8" x14ac:dyDescent="0.25">
      <c r="A19519" s="1"/>
      <c r="B19519" s="1" t="s">
        <v>6862</v>
      </c>
      <c r="C19519" s="1" t="s">
        <v>6863</v>
      </c>
      <c r="D19519" s="22" t="str">
        <f>HYPERLINK("https://rhld.insurance.arkansas.gov/NPILookup?Npi=1417414806","1417414806")</f>
        <v>1417414806</v>
      </c>
      <c r="E19519" s="1" t="s">
        <v>24479</v>
      </c>
      <c r="F19519" s="2"/>
      <c r="G19519" s="2"/>
      <c r="H19519" s="2"/>
    </row>
    <row r="19520" spans="1:8" x14ac:dyDescent="0.25">
      <c r="A19520" s="1"/>
      <c r="B19520" s="1" t="s">
        <v>6862</v>
      </c>
      <c r="C19520" s="1" t="s">
        <v>6863</v>
      </c>
      <c r="D19520" s="22" t="str">
        <f>HYPERLINK("https://rhld.insurance.arkansas.gov/NPILookup?Npi=1417439480","1417439480")</f>
        <v>1417439480</v>
      </c>
      <c r="E19520" s="1" t="s">
        <v>24480</v>
      </c>
      <c r="F19520" s="2"/>
      <c r="G19520" s="2"/>
      <c r="H19520" s="2"/>
    </row>
    <row r="19521" spans="1:8" x14ac:dyDescent="0.25">
      <c r="A19521" s="1"/>
      <c r="B19521" s="1" t="s">
        <v>6862</v>
      </c>
      <c r="C19521" s="1" t="s">
        <v>6863</v>
      </c>
      <c r="D19521" s="22" t="str">
        <f>HYPERLINK("https://rhld.insurance.arkansas.gov/NPILookup?Npi=1417472606","1417472606")</f>
        <v>1417472606</v>
      </c>
      <c r="E19521" s="1" t="s">
        <v>24481</v>
      </c>
      <c r="F19521" s="2"/>
      <c r="G19521" s="2"/>
      <c r="H19521" s="2"/>
    </row>
    <row r="19522" spans="1:8" x14ac:dyDescent="0.25">
      <c r="A19522" s="1"/>
      <c r="B19522" s="1" t="s">
        <v>6862</v>
      </c>
      <c r="C19522" s="1" t="s">
        <v>6863</v>
      </c>
      <c r="D19522" s="22" t="str">
        <f>HYPERLINK("https://rhld.insurance.arkansas.gov/NPILookup?Npi=1417547415","1417547415")</f>
        <v>1417547415</v>
      </c>
      <c r="E19522" s="1" t="s">
        <v>24482</v>
      </c>
      <c r="F19522" s="2"/>
      <c r="G19522" s="2"/>
      <c r="H19522" s="2"/>
    </row>
    <row r="19523" spans="1:8" x14ac:dyDescent="0.25">
      <c r="A19523" s="1"/>
      <c r="B19523" s="1" t="s">
        <v>6862</v>
      </c>
      <c r="C19523" s="1" t="s">
        <v>6863</v>
      </c>
      <c r="D19523" s="22" t="str">
        <f>HYPERLINK("https://rhld.insurance.arkansas.gov/NPILookup?Npi=1417551045","1417551045")</f>
        <v>1417551045</v>
      </c>
      <c r="E19523" s="1" t="s">
        <v>24483</v>
      </c>
      <c r="F19523" s="2"/>
      <c r="G19523" s="2"/>
      <c r="H19523" s="2"/>
    </row>
    <row r="19524" spans="1:8" x14ac:dyDescent="0.25">
      <c r="A19524" s="1"/>
      <c r="B19524" s="1" t="s">
        <v>6862</v>
      </c>
      <c r="C19524" s="1" t="s">
        <v>6863</v>
      </c>
      <c r="D19524" s="22" t="str">
        <f>HYPERLINK("https://rhld.insurance.arkansas.gov/NPILookup?Npi=1417568395","1417568395")</f>
        <v>1417568395</v>
      </c>
      <c r="E19524" s="1" t="s">
        <v>24484</v>
      </c>
      <c r="F19524" s="2"/>
      <c r="G19524" s="2"/>
      <c r="H19524" s="2"/>
    </row>
    <row r="19525" spans="1:8" x14ac:dyDescent="0.25">
      <c r="A19525" s="1"/>
      <c r="B19525" s="1" t="s">
        <v>6862</v>
      </c>
      <c r="C19525" s="1" t="s">
        <v>6863</v>
      </c>
      <c r="D19525" s="22" t="str">
        <f>HYPERLINK("https://rhld.insurance.arkansas.gov/NPILookup?Npi=1417569328","1417569328")</f>
        <v>1417569328</v>
      </c>
      <c r="E19525" s="1" t="s">
        <v>24485</v>
      </c>
      <c r="F19525" s="2"/>
      <c r="G19525" s="2"/>
      <c r="H19525" s="2"/>
    </row>
    <row r="19526" spans="1:8" x14ac:dyDescent="0.25">
      <c r="A19526" s="1"/>
      <c r="B19526" s="1" t="s">
        <v>6862</v>
      </c>
      <c r="C19526" s="1" t="s">
        <v>6863</v>
      </c>
      <c r="D19526" s="22" t="str">
        <f>HYPERLINK("https://rhld.insurance.arkansas.gov/NPILookup?Npi=1417594987","1417594987")</f>
        <v>1417594987</v>
      </c>
      <c r="E19526" s="1" t="s">
        <v>24486</v>
      </c>
      <c r="F19526" s="2"/>
      <c r="G19526" s="2"/>
      <c r="H19526" s="2"/>
    </row>
    <row r="19527" spans="1:8" x14ac:dyDescent="0.25">
      <c r="A19527" s="1"/>
      <c r="B19527" s="1" t="s">
        <v>6862</v>
      </c>
      <c r="C19527" s="1" t="s">
        <v>6863</v>
      </c>
      <c r="D19527" s="22" t="str">
        <f>HYPERLINK("https://rhld.insurance.arkansas.gov/NPILookup?Npi=1417677576","1417677576")</f>
        <v>1417677576</v>
      </c>
      <c r="E19527" s="1" t="s">
        <v>24487</v>
      </c>
      <c r="F19527" s="2"/>
      <c r="G19527" s="2"/>
      <c r="H19527" s="2"/>
    </row>
    <row r="19528" spans="1:8" x14ac:dyDescent="0.25">
      <c r="A19528" s="1"/>
      <c r="B19528" s="1" t="s">
        <v>6862</v>
      </c>
      <c r="C19528" s="1" t="s">
        <v>6863</v>
      </c>
      <c r="D19528" s="22" t="str">
        <f>HYPERLINK("https://rhld.insurance.arkansas.gov/NPILookup?Npi=1427015395","1427015395")</f>
        <v>1427015395</v>
      </c>
      <c r="E19528" s="1" t="s">
        <v>6893</v>
      </c>
      <c r="F19528" s="2"/>
      <c r="G19528" s="2"/>
      <c r="H19528" s="2"/>
    </row>
    <row r="19529" spans="1:8" x14ac:dyDescent="0.25">
      <c r="A19529" s="1"/>
      <c r="B19529" s="1" t="s">
        <v>6862</v>
      </c>
      <c r="C19529" s="1" t="s">
        <v>6863</v>
      </c>
      <c r="D19529" s="22" t="str">
        <f>HYPERLINK("https://rhld.insurance.arkansas.gov/NPILookup?Npi=1427022128","1427022128")</f>
        <v>1427022128</v>
      </c>
      <c r="E19529" s="1" t="s">
        <v>24488</v>
      </c>
      <c r="F19529" s="2"/>
      <c r="G19529" s="2"/>
      <c r="H19529" s="2"/>
    </row>
    <row r="19530" spans="1:8" x14ac:dyDescent="0.25">
      <c r="A19530" s="1"/>
      <c r="B19530" s="1" t="s">
        <v>6862</v>
      </c>
      <c r="C19530" s="1" t="s">
        <v>6863</v>
      </c>
      <c r="D19530" s="22" t="str">
        <f>HYPERLINK("https://rhld.insurance.arkansas.gov/NPILookup?Npi=1427083377","1427083377")</f>
        <v>1427083377</v>
      </c>
      <c r="E19530" s="1" t="s">
        <v>7033</v>
      </c>
      <c r="F19530" s="2"/>
      <c r="G19530" s="2"/>
      <c r="H19530" s="2"/>
    </row>
    <row r="19531" spans="1:8" x14ac:dyDescent="0.25">
      <c r="A19531" s="1"/>
      <c r="B19531" s="1" t="s">
        <v>6862</v>
      </c>
      <c r="C19531" s="1" t="s">
        <v>6863</v>
      </c>
      <c r="D19531" s="22" t="str">
        <f>HYPERLINK("https://rhld.insurance.arkansas.gov/NPILookup?Npi=1427094499","1427094499")</f>
        <v>1427094499</v>
      </c>
      <c r="E19531" s="1" t="s">
        <v>7</v>
      </c>
      <c r="F19531" s="2"/>
      <c r="G19531" s="2"/>
      <c r="H19531" s="2"/>
    </row>
    <row r="19532" spans="1:8" x14ac:dyDescent="0.25">
      <c r="A19532" s="1"/>
      <c r="B19532" s="1" t="s">
        <v>6862</v>
      </c>
      <c r="C19532" s="1" t="s">
        <v>6863</v>
      </c>
      <c r="D19532" s="22" t="str">
        <f>HYPERLINK("https://rhld.insurance.arkansas.gov/NPILookup?Npi=1427110444","1427110444")</f>
        <v>1427110444</v>
      </c>
      <c r="E19532" s="1" t="s">
        <v>12414</v>
      </c>
      <c r="F19532" s="2"/>
      <c r="G19532" s="2"/>
      <c r="H19532" s="2"/>
    </row>
    <row r="19533" spans="1:8" x14ac:dyDescent="0.25">
      <c r="A19533" s="1"/>
      <c r="B19533" s="1" t="s">
        <v>6862</v>
      </c>
      <c r="C19533" s="1" t="s">
        <v>6863</v>
      </c>
      <c r="D19533" s="22" t="str">
        <f>HYPERLINK("https://rhld.insurance.arkansas.gov/NPILookup?Npi=1427145333","1427145333")</f>
        <v>1427145333</v>
      </c>
      <c r="E19533" s="1" t="s">
        <v>24489</v>
      </c>
      <c r="F19533" s="2"/>
      <c r="G19533" s="2"/>
      <c r="H19533" s="2"/>
    </row>
    <row r="19534" spans="1:8" x14ac:dyDescent="0.25">
      <c r="A19534" s="1"/>
      <c r="B19534" s="1" t="s">
        <v>6862</v>
      </c>
      <c r="C19534" s="1" t="s">
        <v>6863</v>
      </c>
      <c r="D19534" s="22" t="str">
        <f>HYPERLINK("https://rhld.insurance.arkansas.gov/NPILookup?Npi=1427184985","1427184985")</f>
        <v>1427184985</v>
      </c>
      <c r="E19534" s="1" t="s">
        <v>24490</v>
      </c>
      <c r="F19534" s="2"/>
      <c r="G19534" s="2"/>
      <c r="H19534" s="2"/>
    </row>
    <row r="19535" spans="1:8" x14ac:dyDescent="0.25">
      <c r="A19535" s="1"/>
      <c r="B19535" s="1" t="s">
        <v>6862</v>
      </c>
      <c r="C19535" s="1" t="s">
        <v>6863</v>
      </c>
      <c r="D19535" s="22" t="str">
        <f>HYPERLINK("https://rhld.insurance.arkansas.gov/NPILookup?Npi=1427196971","1427196971")</f>
        <v>1427196971</v>
      </c>
      <c r="E19535" s="1" t="s">
        <v>24491</v>
      </c>
      <c r="F19535" s="2"/>
      <c r="G19535" s="2"/>
      <c r="H19535" s="2"/>
    </row>
    <row r="19536" spans="1:8" x14ac:dyDescent="0.25">
      <c r="A19536" s="1"/>
      <c r="B19536" s="1" t="s">
        <v>6862</v>
      </c>
      <c r="C19536" s="1" t="s">
        <v>6863</v>
      </c>
      <c r="D19536" s="22" t="str">
        <f>HYPERLINK("https://rhld.insurance.arkansas.gov/NPILookup?Npi=1427331172","1427331172")</f>
        <v>1427331172</v>
      </c>
      <c r="E19536" s="1" t="s">
        <v>24492</v>
      </c>
      <c r="F19536" s="2"/>
      <c r="G19536" s="2"/>
      <c r="H19536" s="2"/>
    </row>
    <row r="19537" spans="1:8" x14ac:dyDescent="0.25">
      <c r="A19537" s="1"/>
      <c r="B19537" s="1" t="s">
        <v>6862</v>
      </c>
      <c r="C19537" s="1" t="s">
        <v>6863</v>
      </c>
      <c r="D19537" s="22" t="str">
        <f>HYPERLINK("https://rhld.insurance.arkansas.gov/NPILookup?Npi=1427386481","1427386481")</f>
        <v>1427386481</v>
      </c>
      <c r="E19537" s="1" t="s">
        <v>32027</v>
      </c>
      <c r="F19537" s="2"/>
      <c r="G19537" s="2"/>
      <c r="H19537" s="2"/>
    </row>
    <row r="19538" spans="1:8" x14ac:dyDescent="0.25">
      <c r="A19538" s="1"/>
      <c r="B19538" s="1" t="s">
        <v>6862</v>
      </c>
      <c r="C19538" s="1" t="s">
        <v>6863</v>
      </c>
      <c r="D19538" s="22" t="str">
        <f>HYPERLINK("https://rhld.insurance.arkansas.gov/NPILookup?Npi=1427450972","1427450972")</f>
        <v>1427450972</v>
      </c>
      <c r="E19538" s="1" t="s">
        <v>24493</v>
      </c>
      <c r="F19538" s="2"/>
      <c r="G19538" s="2"/>
      <c r="H19538" s="2"/>
    </row>
    <row r="19539" spans="1:8" x14ac:dyDescent="0.25">
      <c r="A19539" s="1"/>
      <c r="B19539" s="1" t="s">
        <v>6862</v>
      </c>
      <c r="C19539" s="1" t="s">
        <v>6863</v>
      </c>
      <c r="D19539" s="22" t="str">
        <f>HYPERLINK("https://rhld.insurance.arkansas.gov/NPILookup?Npi=1427480417","1427480417")</f>
        <v>1427480417</v>
      </c>
      <c r="E19539" s="1" t="s">
        <v>12415</v>
      </c>
      <c r="F19539" s="2"/>
      <c r="G19539" s="2"/>
      <c r="H19539" s="2"/>
    </row>
    <row r="19540" spans="1:8" x14ac:dyDescent="0.25">
      <c r="A19540" s="1"/>
      <c r="B19540" s="1" t="s">
        <v>6862</v>
      </c>
      <c r="C19540" s="1" t="s">
        <v>6863</v>
      </c>
      <c r="D19540" s="22" t="str">
        <f>HYPERLINK("https://rhld.insurance.arkansas.gov/NPILookup?Npi=1427523901","1427523901")</f>
        <v>1427523901</v>
      </c>
      <c r="E19540" s="1" t="s">
        <v>24494</v>
      </c>
      <c r="F19540" s="2"/>
      <c r="G19540" s="2"/>
      <c r="H19540" s="2"/>
    </row>
    <row r="19541" spans="1:8" x14ac:dyDescent="0.25">
      <c r="A19541" s="1"/>
      <c r="B19541" s="1" t="s">
        <v>6862</v>
      </c>
      <c r="C19541" s="1" t="s">
        <v>6863</v>
      </c>
      <c r="D19541" s="22" t="str">
        <f>HYPERLINK("https://rhld.insurance.arkansas.gov/NPILookup?Npi=1427632447","1427632447")</f>
        <v>1427632447</v>
      </c>
      <c r="E19541" s="1" t="s">
        <v>7034</v>
      </c>
      <c r="F19541" s="2"/>
      <c r="G19541" s="2"/>
      <c r="H19541" s="2"/>
    </row>
    <row r="19542" spans="1:8" x14ac:dyDescent="0.25">
      <c r="A19542" s="1"/>
      <c r="B19542" s="1" t="s">
        <v>6862</v>
      </c>
      <c r="C19542" s="1" t="s">
        <v>6863</v>
      </c>
      <c r="D19542" s="22" t="str">
        <f>HYPERLINK("https://rhld.insurance.arkansas.gov/NPILookup?Npi=1427706605","1427706605")</f>
        <v>1427706605</v>
      </c>
      <c r="E19542" s="1" t="s">
        <v>32028</v>
      </c>
      <c r="F19542" s="2"/>
      <c r="G19542" s="2"/>
      <c r="H19542" s="2"/>
    </row>
    <row r="19543" spans="1:8" x14ac:dyDescent="0.25">
      <c r="A19543" s="1"/>
      <c r="B19543" s="1" t="s">
        <v>6862</v>
      </c>
      <c r="C19543" s="1" t="s">
        <v>6863</v>
      </c>
      <c r="D19543" s="22" t="str">
        <f>HYPERLINK("https://rhld.insurance.arkansas.gov/NPILookup?Npi=1427776277","1427776277")</f>
        <v>1427776277</v>
      </c>
      <c r="E19543" s="1" t="s">
        <v>24495</v>
      </c>
      <c r="F19543" s="2"/>
      <c r="G19543" s="2"/>
      <c r="H19543" s="2"/>
    </row>
    <row r="19544" spans="1:8" x14ac:dyDescent="0.25">
      <c r="A19544" s="1"/>
      <c r="B19544" s="1" t="s">
        <v>6862</v>
      </c>
      <c r="C19544" s="1" t="s">
        <v>6863</v>
      </c>
      <c r="D19544" s="22" t="str">
        <f>HYPERLINK("https://rhld.insurance.arkansas.gov/NPILookup?Npi=1427776970","1427776970")</f>
        <v>1427776970</v>
      </c>
      <c r="E19544" s="1" t="s">
        <v>12416</v>
      </c>
      <c r="F19544" s="2"/>
      <c r="G19544" s="2"/>
      <c r="H19544" s="2"/>
    </row>
    <row r="19545" spans="1:8" x14ac:dyDescent="0.25">
      <c r="A19545" s="1"/>
      <c r="B19545" s="1" t="s">
        <v>6862</v>
      </c>
      <c r="C19545" s="1" t="s">
        <v>6863</v>
      </c>
      <c r="D19545" s="22" t="str">
        <f>HYPERLINK("https://rhld.insurance.arkansas.gov/NPILookup?Npi=1427788066","1427788066")</f>
        <v>1427788066</v>
      </c>
      <c r="E19545" s="1" t="s">
        <v>7035</v>
      </c>
      <c r="F19545" s="2"/>
      <c r="G19545" s="2"/>
      <c r="H19545" s="2"/>
    </row>
    <row r="19546" spans="1:8" x14ac:dyDescent="0.25">
      <c r="A19546" s="1"/>
      <c r="B19546" s="1" t="s">
        <v>6862</v>
      </c>
      <c r="C19546" s="1" t="s">
        <v>6863</v>
      </c>
      <c r="D19546" s="22" t="str">
        <f>HYPERLINK("https://rhld.insurance.arkansas.gov/NPILookup?Npi=1437207776","1437207776")</f>
        <v>1437207776</v>
      </c>
      <c r="E19546" s="1" t="s">
        <v>24496</v>
      </c>
      <c r="F19546" s="2"/>
      <c r="G19546" s="2"/>
      <c r="H19546" s="2"/>
    </row>
    <row r="19547" spans="1:8" x14ac:dyDescent="0.25">
      <c r="A19547" s="1"/>
      <c r="B19547" s="1" t="s">
        <v>6862</v>
      </c>
      <c r="C19547" s="1" t="s">
        <v>6863</v>
      </c>
      <c r="D19547" s="22" t="str">
        <f>HYPERLINK("https://rhld.insurance.arkansas.gov/NPILookup?Npi=1437290988","1437290988")</f>
        <v>1437290988</v>
      </c>
      <c r="E19547" s="1" t="s">
        <v>5928</v>
      </c>
      <c r="F19547" s="2"/>
      <c r="G19547" s="2"/>
      <c r="H19547" s="2"/>
    </row>
    <row r="19548" spans="1:8" x14ac:dyDescent="0.25">
      <c r="A19548" s="1"/>
      <c r="B19548" s="1" t="s">
        <v>6862</v>
      </c>
      <c r="C19548" s="1" t="s">
        <v>6863</v>
      </c>
      <c r="D19548" s="22" t="str">
        <f>HYPERLINK("https://rhld.insurance.arkansas.gov/NPILookup?Npi=1437322609","1437322609")</f>
        <v>1437322609</v>
      </c>
      <c r="E19548" s="1" t="s">
        <v>7036</v>
      </c>
      <c r="F19548" s="2"/>
      <c r="G19548" s="2"/>
      <c r="H19548" s="2"/>
    </row>
    <row r="19549" spans="1:8" x14ac:dyDescent="0.25">
      <c r="A19549" s="1"/>
      <c r="B19549" s="1" t="s">
        <v>6862</v>
      </c>
      <c r="C19549" s="1" t="s">
        <v>6863</v>
      </c>
      <c r="D19549" s="22" t="str">
        <f>HYPERLINK("https://rhld.insurance.arkansas.gov/NPILookup?Npi=1437336906","1437336906")</f>
        <v>1437336906</v>
      </c>
      <c r="E19549" s="1" t="s">
        <v>24497</v>
      </c>
      <c r="F19549" s="2"/>
      <c r="G19549" s="2"/>
      <c r="H19549" s="2"/>
    </row>
    <row r="19550" spans="1:8" x14ac:dyDescent="0.25">
      <c r="A19550" s="1"/>
      <c r="B19550" s="1" t="s">
        <v>6862</v>
      </c>
      <c r="C19550" s="1" t="s">
        <v>6863</v>
      </c>
      <c r="D19550" s="22" t="str">
        <f>HYPERLINK("https://rhld.insurance.arkansas.gov/NPILookup?Npi=1437410172","1437410172")</f>
        <v>1437410172</v>
      </c>
      <c r="E19550" s="1" t="s">
        <v>32029</v>
      </c>
      <c r="F19550" s="2"/>
      <c r="G19550" s="2"/>
      <c r="H19550" s="2"/>
    </row>
    <row r="19551" spans="1:8" x14ac:dyDescent="0.25">
      <c r="A19551" s="1"/>
      <c r="B19551" s="1" t="s">
        <v>6862</v>
      </c>
      <c r="C19551" s="1" t="s">
        <v>6863</v>
      </c>
      <c r="D19551" s="22" t="str">
        <f>HYPERLINK("https://rhld.insurance.arkansas.gov/NPILookup?Npi=1437468055","1437468055")</f>
        <v>1437468055</v>
      </c>
      <c r="E19551" s="1" t="s">
        <v>7037</v>
      </c>
      <c r="F19551" s="2"/>
      <c r="G19551" s="2"/>
      <c r="H19551" s="2"/>
    </row>
    <row r="19552" spans="1:8" x14ac:dyDescent="0.25">
      <c r="A19552" s="1"/>
      <c r="B19552" s="1" t="s">
        <v>6862</v>
      </c>
      <c r="C19552" s="1" t="s">
        <v>6863</v>
      </c>
      <c r="D19552" s="22" t="str">
        <f>HYPERLINK("https://rhld.insurance.arkansas.gov/NPILookup?Npi=1437510419","1437510419")</f>
        <v>1437510419</v>
      </c>
      <c r="E19552" s="1" t="s">
        <v>24498</v>
      </c>
      <c r="F19552" s="2"/>
      <c r="G19552" s="2"/>
      <c r="H19552" s="2"/>
    </row>
    <row r="19553" spans="1:8" x14ac:dyDescent="0.25">
      <c r="A19553" s="1"/>
      <c r="B19553" s="1" t="s">
        <v>6862</v>
      </c>
      <c r="C19553" s="1" t="s">
        <v>6863</v>
      </c>
      <c r="D19553" s="22" t="str">
        <f>HYPERLINK("https://rhld.insurance.arkansas.gov/NPILookup?Npi=1437540143","1437540143")</f>
        <v>1437540143</v>
      </c>
      <c r="E19553" s="1" t="s">
        <v>24499</v>
      </c>
      <c r="F19553" s="2"/>
      <c r="G19553" s="2"/>
      <c r="H19553" s="2"/>
    </row>
    <row r="19554" spans="1:8" x14ac:dyDescent="0.25">
      <c r="A19554" s="1"/>
      <c r="B19554" s="1" t="s">
        <v>6862</v>
      </c>
      <c r="C19554" s="1" t="s">
        <v>6863</v>
      </c>
      <c r="D19554" s="22" t="str">
        <f>HYPERLINK("https://rhld.insurance.arkansas.gov/NPILookup?Npi=1437540804","1437540804")</f>
        <v>1437540804</v>
      </c>
      <c r="E19554" s="1" t="s">
        <v>7038</v>
      </c>
      <c r="F19554" s="2"/>
      <c r="G19554" s="2"/>
      <c r="H19554" s="2"/>
    </row>
    <row r="19555" spans="1:8" x14ac:dyDescent="0.25">
      <c r="A19555" s="1"/>
      <c r="B19555" s="1" t="s">
        <v>6862</v>
      </c>
      <c r="C19555" s="1" t="s">
        <v>6863</v>
      </c>
      <c r="D19555" s="22" t="str">
        <f>HYPERLINK("https://rhld.insurance.arkansas.gov/NPILookup?Npi=1437673647","1437673647")</f>
        <v>1437673647</v>
      </c>
      <c r="E19555" s="1" t="s">
        <v>24500</v>
      </c>
      <c r="F19555" s="2"/>
      <c r="G19555" s="2"/>
      <c r="H19555" s="2"/>
    </row>
    <row r="19556" spans="1:8" x14ac:dyDescent="0.25">
      <c r="A19556" s="1"/>
      <c r="B19556" s="1" t="s">
        <v>6862</v>
      </c>
      <c r="C19556" s="1" t="s">
        <v>6863</v>
      </c>
      <c r="D19556" s="22" t="str">
        <f>HYPERLINK("https://rhld.insurance.arkansas.gov/NPILookup?Npi=1437707460","1437707460")</f>
        <v>1437707460</v>
      </c>
      <c r="E19556" s="1" t="s">
        <v>7039</v>
      </c>
      <c r="F19556" s="2"/>
      <c r="G19556" s="2"/>
      <c r="H19556" s="2"/>
    </row>
    <row r="19557" spans="1:8" x14ac:dyDescent="0.25">
      <c r="A19557" s="1"/>
      <c r="B19557" s="1" t="s">
        <v>6862</v>
      </c>
      <c r="C19557" s="1" t="s">
        <v>6863</v>
      </c>
      <c r="D19557" s="22" t="str">
        <f>HYPERLINK("https://rhld.insurance.arkansas.gov/NPILookup?Npi=1437744984","1437744984")</f>
        <v>1437744984</v>
      </c>
      <c r="E19557" s="1" t="s">
        <v>7040</v>
      </c>
      <c r="F19557" s="2"/>
      <c r="G19557" s="2"/>
      <c r="H19557" s="2"/>
    </row>
    <row r="19558" spans="1:8" x14ac:dyDescent="0.25">
      <c r="A19558" s="1"/>
      <c r="B19558" s="1" t="s">
        <v>6862</v>
      </c>
      <c r="C19558" s="1" t="s">
        <v>6863</v>
      </c>
      <c r="D19558" s="22" t="str">
        <f>HYPERLINK("https://rhld.insurance.arkansas.gov/NPILookup?Npi=1437859980","1437859980")</f>
        <v>1437859980</v>
      </c>
      <c r="E19558" s="1" t="s">
        <v>12417</v>
      </c>
      <c r="F19558" s="2"/>
      <c r="G19558" s="2"/>
      <c r="H19558" s="2"/>
    </row>
    <row r="19559" spans="1:8" x14ac:dyDescent="0.25">
      <c r="A19559" s="1"/>
      <c r="B19559" s="1" t="s">
        <v>6862</v>
      </c>
      <c r="C19559" s="1" t="s">
        <v>6863</v>
      </c>
      <c r="D19559" s="22" t="str">
        <f>HYPERLINK("https://rhld.insurance.arkansas.gov/NPILookup?Npi=1437981016","1437981016")</f>
        <v>1437981016</v>
      </c>
      <c r="E19559" s="1" t="s">
        <v>24501</v>
      </c>
      <c r="F19559" s="2"/>
      <c r="G19559" s="2"/>
      <c r="H19559" s="2"/>
    </row>
    <row r="19560" spans="1:8" x14ac:dyDescent="0.25">
      <c r="A19560" s="1"/>
      <c r="B19560" s="1" t="s">
        <v>6862</v>
      </c>
      <c r="C19560" s="1" t="s">
        <v>6863</v>
      </c>
      <c r="D19560" s="22" t="str">
        <f>HYPERLINK("https://rhld.insurance.arkansas.gov/NPILookup?Npi=1437994308","1437994308")</f>
        <v>1437994308</v>
      </c>
      <c r="E19560" s="1" t="s">
        <v>32030</v>
      </c>
      <c r="F19560" s="2"/>
      <c r="G19560" s="2"/>
      <c r="H19560" s="2"/>
    </row>
    <row r="19561" spans="1:8" x14ac:dyDescent="0.25">
      <c r="A19561" s="1"/>
      <c r="B19561" s="1" t="s">
        <v>6862</v>
      </c>
      <c r="C19561" s="1" t="s">
        <v>6863</v>
      </c>
      <c r="D19561" s="22" t="str">
        <f>HYPERLINK("https://rhld.insurance.arkansas.gov/NPILookup?Npi=1447035852","1447035852")</f>
        <v>1447035852</v>
      </c>
      <c r="E19561" s="1" t="s">
        <v>6709</v>
      </c>
      <c r="F19561" s="2"/>
      <c r="G19561" s="2"/>
      <c r="H19561" s="2"/>
    </row>
    <row r="19562" spans="1:8" x14ac:dyDescent="0.25">
      <c r="A19562" s="1"/>
      <c r="B19562" s="1" t="s">
        <v>6862</v>
      </c>
      <c r="C19562" s="1" t="s">
        <v>6863</v>
      </c>
      <c r="D19562" s="22" t="str">
        <f>HYPERLINK("https://rhld.insurance.arkansas.gov/NPILookup?Npi=1447263553","1447263553")</f>
        <v>1447263553</v>
      </c>
      <c r="E19562" s="1" t="s">
        <v>7041</v>
      </c>
      <c r="F19562" s="2"/>
      <c r="G19562" s="2"/>
      <c r="H19562" s="2"/>
    </row>
    <row r="19563" spans="1:8" x14ac:dyDescent="0.25">
      <c r="A19563" s="1"/>
      <c r="B19563" s="1" t="s">
        <v>6862</v>
      </c>
      <c r="C19563" s="1" t="s">
        <v>6863</v>
      </c>
      <c r="D19563" s="22" t="str">
        <f>HYPERLINK("https://rhld.insurance.arkansas.gov/NPILookup?Npi=1447282850","1447282850")</f>
        <v>1447282850</v>
      </c>
      <c r="E19563" s="1" t="s">
        <v>12418</v>
      </c>
      <c r="F19563" s="2"/>
      <c r="G19563" s="2"/>
      <c r="H19563" s="2"/>
    </row>
    <row r="19564" spans="1:8" x14ac:dyDescent="0.25">
      <c r="A19564" s="1"/>
      <c r="B19564" s="1" t="s">
        <v>6862</v>
      </c>
      <c r="C19564" s="1" t="s">
        <v>6863</v>
      </c>
      <c r="D19564" s="22" t="str">
        <f>HYPERLINK("https://rhld.insurance.arkansas.gov/NPILookup?Npi=1447294418","1447294418")</f>
        <v>1447294418</v>
      </c>
      <c r="E19564" s="1" t="s">
        <v>24502</v>
      </c>
      <c r="F19564" s="2"/>
      <c r="G19564" s="2"/>
      <c r="H19564" s="2"/>
    </row>
    <row r="19565" spans="1:8" x14ac:dyDescent="0.25">
      <c r="A19565" s="1"/>
      <c r="B19565" s="1" t="s">
        <v>6862</v>
      </c>
      <c r="C19565" s="1" t="s">
        <v>6863</v>
      </c>
      <c r="D19565" s="22" t="str">
        <f>HYPERLINK("https://rhld.insurance.arkansas.gov/NPILookup?Npi=1447331400","1447331400")</f>
        <v>1447331400</v>
      </c>
      <c r="E19565" s="1" t="s">
        <v>12419</v>
      </c>
      <c r="F19565" s="2"/>
      <c r="G19565" s="2"/>
      <c r="H19565" s="2"/>
    </row>
    <row r="19566" spans="1:8" x14ac:dyDescent="0.25">
      <c r="A19566" s="1"/>
      <c r="B19566" s="1" t="s">
        <v>6862</v>
      </c>
      <c r="C19566" s="1" t="s">
        <v>6863</v>
      </c>
      <c r="D19566" s="22" t="str">
        <f>HYPERLINK("https://rhld.insurance.arkansas.gov/NPILookup?Npi=1447343348","1447343348")</f>
        <v>1447343348</v>
      </c>
      <c r="E19566" s="1" t="s">
        <v>24503</v>
      </c>
      <c r="F19566" s="2"/>
      <c r="G19566" s="2"/>
      <c r="H19566" s="2"/>
    </row>
    <row r="19567" spans="1:8" x14ac:dyDescent="0.25">
      <c r="A19567" s="1"/>
      <c r="B19567" s="1" t="s">
        <v>6862</v>
      </c>
      <c r="C19567" s="1" t="s">
        <v>6863</v>
      </c>
      <c r="D19567" s="22" t="str">
        <f>HYPERLINK("https://rhld.insurance.arkansas.gov/NPILookup?Npi=1447377072","1447377072")</f>
        <v>1447377072</v>
      </c>
      <c r="E19567" s="1" t="s">
        <v>7042</v>
      </c>
      <c r="F19567" s="2"/>
      <c r="G19567" s="2"/>
      <c r="H19567" s="2"/>
    </row>
    <row r="19568" spans="1:8" x14ac:dyDescent="0.25">
      <c r="A19568" s="1"/>
      <c r="B19568" s="1" t="s">
        <v>6862</v>
      </c>
      <c r="C19568" s="1" t="s">
        <v>6863</v>
      </c>
      <c r="D19568" s="22" t="str">
        <f>HYPERLINK("https://rhld.insurance.arkansas.gov/NPILookup?Npi=1447550587","1447550587")</f>
        <v>1447550587</v>
      </c>
      <c r="E19568" s="1" t="s">
        <v>24504</v>
      </c>
      <c r="F19568" s="2"/>
      <c r="G19568" s="2"/>
      <c r="H19568" s="2"/>
    </row>
    <row r="19569" spans="1:8" x14ac:dyDescent="0.25">
      <c r="A19569" s="1"/>
      <c r="B19569" s="1" t="s">
        <v>6862</v>
      </c>
      <c r="C19569" s="1" t="s">
        <v>6863</v>
      </c>
      <c r="D19569" s="22" t="str">
        <f>HYPERLINK("https://rhld.insurance.arkansas.gov/NPILookup?Npi=1447614540","1447614540")</f>
        <v>1447614540</v>
      </c>
      <c r="E19569" s="1" t="s">
        <v>18804</v>
      </c>
      <c r="F19569" s="2"/>
      <c r="G19569" s="2"/>
      <c r="H19569" s="2"/>
    </row>
    <row r="19570" spans="1:8" x14ac:dyDescent="0.25">
      <c r="A19570" s="1"/>
      <c r="B19570" s="1" t="s">
        <v>6862</v>
      </c>
      <c r="C19570" s="1" t="s">
        <v>6863</v>
      </c>
      <c r="D19570" s="22" t="str">
        <f>HYPERLINK("https://rhld.insurance.arkansas.gov/NPILookup?Npi=1447636865","1447636865")</f>
        <v>1447636865</v>
      </c>
      <c r="E19570" s="1" t="s">
        <v>24505</v>
      </c>
      <c r="F19570" s="2"/>
      <c r="G19570" s="2"/>
      <c r="H19570" s="2"/>
    </row>
    <row r="19571" spans="1:8" x14ac:dyDescent="0.25">
      <c r="A19571" s="1"/>
      <c r="B19571" s="1" t="s">
        <v>6862</v>
      </c>
      <c r="C19571" s="1" t="s">
        <v>6863</v>
      </c>
      <c r="D19571" s="22" t="str">
        <f>HYPERLINK("https://rhld.insurance.arkansas.gov/NPILookup?Npi=1447690201","1447690201")</f>
        <v>1447690201</v>
      </c>
      <c r="E19571" s="1" t="s">
        <v>24506</v>
      </c>
      <c r="F19571" s="2"/>
      <c r="G19571" s="2"/>
      <c r="H19571" s="2"/>
    </row>
    <row r="19572" spans="1:8" x14ac:dyDescent="0.25">
      <c r="A19572" s="1"/>
      <c r="B19572" s="1" t="s">
        <v>6862</v>
      </c>
      <c r="C19572" s="1" t="s">
        <v>6863</v>
      </c>
      <c r="D19572" s="22" t="str">
        <f>HYPERLINK("https://rhld.insurance.arkansas.gov/NPILookup?Npi=1447705314","1447705314")</f>
        <v>1447705314</v>
      </c>
      <c r="E19572" s="1" t="s">
        <v>24507</v>
      </c>
      <c r="F19572" s="2"/>
      <c r="G19572" s="2"/>
      <c r="H19572" s="2"/>
    </row>
    <row r="19573" spans="1:8" x14ac:dyDescent="0.25">
      <c r="A19573" s="1"/>
      <c r="B19573" s="1" t="s">
        <v>6862</v>
      </c>
      <c r="C19573" s="1" t="s">
        <v>6863</v>
      </c>
      <c r="D19573" s="22" t="str">
        <f>HYPERLINK("https://rhld.insurance.arkansas.gov/NPILookup?Npi=1447774989","1447774989")</f>
        <v>1447774989</v>
      </c>
      <c r="E19573" s="1" t="s">
        <v>7043</v>
      </c>
      <c r="F19573" s="2"/>
      <c r="G19573" s="2"/>
      <c r="H19573" s="2"/>
    </row>
    <row r="19574" spans="1:8" x14ac:dyDescent="0.25">
      <c r="A19574" s="1"/>
      <c r="B19574" s="1" t="s">
        <v>6862</v>
      </c>
      <c r="C19574" s="1" t="s">
        <v>6863</v>
      </c>
      <c r="D19574" s="22" t="str">
        <f>HYPERLINK("https://rhld.insurance.arkansas.gov/NPILookup?Npi=1447778204","1447778204")</f>
        <v>1447778204</v>
      </c>
      <c r="E19574" s="1" t="s">
        <v>12420</v>
      </c>
      <c r="F19574" s="2"/>
      <c r="G19574" s="2"/>
      <c r="H19574" s="2"/>
    </row>
    <row r="19575" spans="1:8" x14ac:dyDescent="0.25">
      <c r="A19575" s="1"/>
      <c r="B19575" s="1" t="s">
        <v>6862</v>
      </c>
      <c r="C19575" s="1" t="s">
        <v>6863</v>
      </c>
      <c r="D19575" s="22" t="str">
        <f>HYPERLINK("https://rhld.insurance.arkansas.gov/NPILookup?Npi=1447805197","1447805197")</f>
        <v>1447805197</v>
      </c>
      <c r="E19575" s="1" t="s">
        <v>24508</v>
      </c>
      <c r="F19575" s="2"/>
      <c r="G19575" s="2"/>
      <c r="H19575" s="2"/>
    </row>
    <row r="19576" spans="1:8" x14ac:dyDescent="0.25">
      <c r="A19576" s="1"/>
      <c r="B19576" s="1" t="s">
        <v>6862</v>
      </c>
      <c r="C19576" s="1" t="s">
        <v>6863</v>
      </c>
      <c r="D19576" s="22" t="str">
        <f>HYPERLINK("https://rhld.insurance.arkansas.gov/NPILookup?Npi=1447842349","1447842349")</f>
        <v>1447842349</v>
      </c>
      <c r="E19576" s="1" t="s">
        <v>24509</v>
      </c>
      <c r="F19576" s="2"/>
      <c r="G19576" s="2"/>
      <c r="H19576" s="2"/>
    </row>
    <row r="19577" spans="1:8" x14ac:dyDescent="0.25">
      <c r="A19577" s="1"/>
      <c r="B19577" s="1" t="s">
        <v>6862</v>
      </c>
      <c r="C19577" s="1" t="s">
        <v>6863</v>
      </c>
      <c r="D19577" s="22" t="str">
        <f>HYPERLINK("https://rhld.insurance.arkansas.gov/NPILookup?Npi=1447865985","1447865985")</f>
        <v>1447865985</v>
      </c>
      <c r="E19577" s="1" t="s">
        <v>24510</v>
      </c>
      <c r="F19577" s="2"/>
      <c r="G19577" s="2"/>
      <c r="H19577" s="2"/>
    </row>
    <row r="19578" spans="1:8" x14ac:dyDescent="0.25">
      <c r="A19578" s="1"/>
      <c r="B19578" s="1" t="s">
        <v>6862</v>
      </c>
      <c r="C19578" s="1" t="s">
        <v>6863</v>
      </c>
      <c r="D19578" s="22" t="str">
        <f>HYPERLINK("https://rhld.insurance.arkansas.gov/NPILookup?Npi=1447927587","1447927587")</f>
        <v>1447927587</v>
      </c>
      <c r="E19578" s="1" t="s">
        <v>24511</v>
      </c>
      <c r="F19578" s="2"/>
      <c r="G19578" s="2"/>
      <c r="H19578" s="2"/>
    </row>
    <row r="19579" spans="1:8" x14ac:dyDescent="0.25">
      <c r="A19579" s="1"/>
      <c r="B19579" s="1" t="s">
        <v>6862</v>
      </c>
      <c r="C19579" s="1" t="s">
        <v>6863</v>
      </c>
      <c r="D19579" s="22" t="str">
        <f>HYPERLINK("https://rhld.insurance.arkansas.gov/NPILookup?Npi=1447979554","1447979554")</f>
        <v>1447979554</v>
      </c>
      <c r="E19579" s="1" t="s">
        <v>24512</v>
      </c>
      <c r="F19579" s="2"/>
      <c r="G19579" s="2"/>
      <c r="H19579" s="2"/>
    </row>
    <row r="19580" spans="1:8" x14ac:dyDescent="0.25">
      <c r="A19580" s="1"/>
      <c r="B19580" s="1" t="s">
        <v>6862</v>
      </c>
      <c r="C19580" s="1" t="s">
        <v>6863</v>
      </c>
      <c r="D19580" s="22" t="str">
        <f>HYPERLINK("https://rhld.insurance.arkansas.gov/NPILookup?Npi=1457033565","1457033565")</f>
        <v>1457033565</v>
      </c>
      <c r="E19580" s="1" t="s">
        <v>7044</v>
      </c>
      <c r="F19580" s="2"/>
      <c r="G19580" s="2"/>
      <c r="H19580" s="2"/>
    </row>
    <row r="19581" spans="1:8" x14ac:dyDescent="0.25">
      <c r="A19581" s="1"/>
      <c r="B19581" s="1" t="s">
        <v>6862</v>
      </c>
      <c r="C19581" s="1" t="s">
        <v>6863</v>
      </c>
      <c r="D19581" s="22" t="str">
        <f>HYPERLINK("https://rhld.insurance.arkansas.gov/NPILookup?Npi=1457058083","1457058083")</f>
        <v>1457058083</v>
      </c>
      <c r="E19581" s="1" t="s">
        <v>24513</v>
      </c>
      <c r="F19581" s="2"/>
      <c r="G19581" s="2"/>
      <c r="H19581" s="2"/>
    </row>
    <row r="19582" spans="1:8" x14ac:dyDescent="0.25">
      <c r="A19582" s="1"/>
      <c r="B19582" s="1" t="s">
        <v>6862</v>
      </c>
      <c r="C19582" s="1" t="s">
        <v>6863</v>
      </c>
      <c r="D19582" s="22" t="str">
        <f>HYPERLINK("https://rhld.insurance.arkansas.gov/NPILookup?Npi=1457071490","1457071490")</f>
        <v>1457071490</v>
      </c>
      <c r="E19582" s="1" t="s">
        <v>24514</v>
      </c>
      <c r="F19582" s="2"/>
      <c r="G19582" s="2"/>
      <c r="H19582" s="2"/>
    </row>
    <row r="19583" spans="1:8" x14ac:dyDescent="0.25">
      <c r="A19583" s="1"/>
      <c r="B19583" s="1" t="s">
        <v>6862</v>
      </c>
      <c r="C19583" s="1" t="s">
        <v>6863</v>
      </c>
      <c r="D19583" s="22" t="str">
        <f>HYPERLINK("https://rhld.insurance.arkansas.gov/NPILookup?Npi=1457082323","1457082323")</f>
        <v>1457082323</v>
      </c>
      <c r="E19583" s="1" t="s">
        <v>7045</v>
      </c>
      <c r="F19583" s="2"/>
      <c r="G19583" s="2"/>
      <c r="H19583" s="2"/>
    </row>
    <row r="19584" spans="1:8" x14ac:dyDescent="0.25">
      <c r="A19584" s="1"/>
      <c r="B19584" s="1" t="s">
        <v>6862</v>
      </c>
      <c r="C19584" s="1" t="s">
        <v>6863</v>
      </c>
      <c r="D19584" s="22" t="str">
        <f>HYPERLINK("https://rhld.insurance.arkansas.gov/NPILookup?Npi=1457091282","1457091282")</f>
        <v>1457091282</v>
      </c>
      <c r="E19584" s="1" t="s">
        <v>24515</v>
      </c>
      <c r="F19584" s="2"/>
      <c r="G19584" s="2"/>
      <c r="H19584" s="2"/>
    </row>
    <row r="19585" spans="1:8" x14ac:dyDescent="0.25">
      <c r="A19585" s="1"/>
      <c r="B19585" s="1" t="s">
        <v>6862</v>
      </c>
      <c r="C19585" s="1" t="s">
        <v>6863</v>
      </c>
      <c r="D19585" s="22" t="str">
        <f>HYPERLINK("https://rhld.insurance.arkansas.gov/NPILookup?Npi=1457183998","1457183998")</f>
        <v>1457183998</v>
      </c>
      <c r="E19585" s="1" t="s">
        <v>24516</v>
      </c>
      <c r="F19585" s="2"/>
      <c r="G19585" s="2"/>
      <c r="H19585" s="2"/>
    </row>
    <row r="19586" spans="1:8" x14ac:dyDescent="0.25">
      <c r="A19586" s="1"/>
      <c r="B19586" s="1" t="s">
        <v>6862</v>
      </c>
      <c r="C19586" s="1" t="s">
        <v>6863</v>
      </c>
      <c r="D19586" s="22" t="str">
        <f>HYPERLINK("https://rhld.insurance.arkansas.gov/NPILookup?Npi=1457316572","1457316572")</f>
        <v>1457316572</v>
      </c>
      <c r="E19586" s="1" t="s">
        <v>24517</v>
      </c>
      <c r="F19586" s="2"/>
      <c r="G19586" s="2"/>
      <c r="H19586" s="2"/>
    </row>
    <row r="19587" spans="1:8" x14ac:dyDescent="0.25">
      <c r="A19587" s="1"/>
      <c r="B19587" s="1" t="s">
        <v>6862</v>
      </c>
      <c r="C19587" s="1" t="s">
        <v>6863</v>
      </c>
      <c r="D19587" s="22" t="str">
        <f>HYPERLINK("https://rhld.insurance.arkansas.gov/NPILookup?Npi=1457318081","1457318081")</f>
        <v>1457318081</v>
      </c>
      <c r="E19587" s="1" t="s">
        <v>24518</v>
      </c>
      <c r="F19587" s="2"/>
      <c r="G19587" s="2"/>
      <c r="H19587" s="2"/>
    </row>
    <row r="19588" spans="1:8" x14ac:dyDescent="0.25">
      <c r="A19588" s="1"/>
      <c r="B19588" s="1" t="s">
        <v>6862</v>
      </c>
      <c r="C19588" s="1" t="s">
        <v>6863</v>
      </c>
      <c r="D19588" s="22" t="str">
        <f>HYPERLINK("https://rhld.insurance.arkansas.gov/NPILookup?Npi=1457529695","1457529695")</f>
        <v>1457529695</v>
      </c>
      <c r="E19588" s="1" t="s">
        <v>7046</v>
      </c>
      <c r="F19588" s="2"/>
      <c r="G19588" s="2"/>
      <c r="H19588" s="2"/>
    </row>
    <row r="19589" spans="1:8" x14ac:dyDescent="0.25">
      <c r="A19589" s="1"/>
      <c r="B19589" s="1" t="s">
        <v>6862</v>
      </c>
      <c r="C19589" s="1" t="s">
        <v>6863</v>
      </c>
      <c r="D19589" s="22" t="str">
        <f>HYPERLINK("https://rhld.insurance.arkansas.gov/NPILookup?Npi=1457571655","1457571655")</f>
        <v>1457571655</v>
      </c>
      <c r="E19589" s="1" t="s">
        <v>12421</v>
      </c>
      <c r="F19589" s="2"/>
      <c r="G19589" s="2"/>
      <c r="H19589" s="2"/>
    </row>
    <row r="19590" spans="1:8" x14ac:dyDescent="0.25">
      <c r="A19590" s="1"/>
      <c r="B19590" s="1" t="s">
        <v>6862</v>
      </c>
      <c r="C19590" s="1" t="s">
        <v>6863</v>
      </c>
      <c r="D19590" s="22" t="str">
        <f>HYPERLINK("https://rhld.insurance.arkansas.gov/NPILookup?Npi=1457590341","1457590341")</f>
        <v>1457590341</v>
      </c>
      <c r="E19590" s="1" t="s">
        <v>24519</v>
      </c>
      <c r="F19590" s="2"/>
      <c r="G19590" s="2"/>
      <c r="H19590" s="2"/>
    </row>
    <row r="19591" spans="1:8" x14ac:dyDescent="0.25">
      <c r="A19591" s="1"/>
      <c r="B19591" s="1" t="s">
        <v>6862</v>
      </c>
      <c r="C19591" s="1" t="s">
        <v>6863</v>
      </c>
      <c r="D19591" s="22" t="str">
        <f>HYPERLINK("https://rhld.insurance.arkansas.gov/NPILookup?Npi=1457594269","1457594269")</f>
        <v>1457594269</v>
      </c>
      <c r="E19591" s="1" t="s">
        <v>24520</v>
      </c>
      <c r="F19591" s="2"/>
      <c r="G19591" s="2"/>
      <c r="H19591" s="2"/>
    </row>
    <row r="19592" spans="1:8" x14ac:dyDescent="0.25">
      <c r="A19592" s="1"/>
      <c r="B19592" s="1" t="s">
        <v>6862</v>
      </c>
      <c r="C19592" s="1" t="s">
        <v>6863</v>
      </c>
      <c r="D19592" s="22" t="str">
        <f>HYPERLINK("https://rhld.insurance.arkansas.gov/NPILookup?Npi=1457638397","1457638397")</f>
        <v>1457638397</v>
      </c>
      <c r="E19592" s="1" t="s">
        <v>24521</v>
      </c>
      <c r="F19592" s="2"/>
      <c r="G19592" s="2"/>
      <c r="H19592" s="2"/>
    </row>
    <row r="19593" spans="1:8" x14ac:dyDescent="0.25">
      <c r="A19593" s="1"/>
      <c r="B19593" s="1" t="s">
        <v>6862</v>
      </c>
      <c r="C19593" s="1" t="s">
        <v>6863</v>
      </c>
      <c r="D19593" s="22" t="str">
        <f>HYPERLINK("https://rhld.insurance.arkansas.gov/NPILookup?Npi=1457679730","1457679730")</f>
        <v>1457679730</v>
      </c>
      <c r="E19593" s="1" t="s">
        <v>24522</v>
      </c>
      <c r="F19593" s="2"/>
      <c r="G19593" s="2"/>
      <c r="H19593" s="2"/>
    </row>
    <row r="19594" spans="1:8" x14ac:dyDescent="0.25">
      <c r="A19594" s="1"/>
      <c r="B19594" s="1" t="s">
        <v>6862</v>
      </c>
      <c r="C19594" s="1" t="s">
        <v>6863</v>
      </c>
      <c r="D19594" s="22" t="str">
        <f>HYPERLINK("https://rhld.insurance.arkansas.gov/NPILookup?Npi=1457698920","1457698920")</f>
        <v>1457698920</v>
      </c>
      <c r="E19594" s="1" t="s">
        <v>24523</v>
      </c>
      <c r="F19594" s="2"/>
      <c r="G19594" s="2"/>
      <c r="H19594" s="2"/>
    </row>
    <row r="19595" spans="1:8" x14ac:dyDescent="0.25">
      <c r="A19595" s="1"/>
      <c r="B19595" s="1" t="s">
        <v>6862</v>
      </c>
      <c r="C19595" s="1" t="s">
        <v>6863</v>
      </c>
      <c r="D19595" s="22" t="str">
        <f>HYPERLINK("https://rhld.insurance.arkansas.gov/NPILookup?Npi=1457727737","1457727737")</f>
        <v>1457727737</v>
      </c>
      <c r="E19595" s="1" t="s">
        <v>12422</v>
      </c>
      <c r="F19595" s="2"/>
      <c r="G19595" s="2"/>
      <c r="H19595" s="2"/>
    </row>
    <row r="19596" spans="1:8" x14ac:dyDescent="0.25">
      <c r="A19596" s="1"/>
      <c r="B19596" s="1" t="s">
        <v>6862</v>
      </c>
      <c r="C19596" s="1" t="s">
        <v>6863</v>
      </c>
      <c r="D19596" s="22" t="str">
        <f>HYPERLINK("https://rhld.insurance.arkansas.gov/NPILookup?Npi=1457781585","1457781585")</f>
        <v>1457781585</v>
      </c>
      <c r="E19596" s="1" t="s">
        <v>12423</v>
      </c>
      <c r="F19596" s="2"/>
      <c r="G19596" s="2"/>
      <c r="H19596" s="2"/>
    </row>
    <row r="19597" spans="1:8" x14ac:dyDescent="0.25">
      <c r="A19597" s="1"/>
      <c r="B19597" s="1" t="s">
        <v>6862</v>
      </c>
      <c r="C19597" s="1" t="s">
        <v>6863</v>
      </c>
      <c r="D19597" s="22" t="str">
        <f>HYPERLINK("https://rhld.insurance.arkansas.gov/NPILookup?Npi=1457809337","1457809337")</f>
        <v>1457809337</v>
      </c>
      <c r="E19597" s="1" t="s">
        <v>7047</v>
      </c>
      <c r="F19597" s="2"/>
      <c r="G19597" s="2"/>
      <c r="H19597" s="2"/>
    </row>
    <row r="19598" spans="1:8" x14ac:dyDescent="0.25">
      <c r="A19598" s="1"/>
      <c r="B19598" s="1" t="s">
        <v>6862</v>
      </c>
      <c r="C19598" s="1" t="s">
        <v>6863</v>
      </c>
      <c r="D19598" s="22" t="str">
        <f>HYPERLINK("https://rhld.insurance.arkansas.gov/NPILookup?Npi=1467129254","1467129254")</f>
        <v>1467129254</v>
      </c>
      <c r="E19598" s="1" t="s">
        <v>24524</v>
      </c>
      <c r="F19598" s="2"/>
      <c r="G19598" s="2"/>
      <c r="H19598" s="2"/>
    </row>
    <row r="19599" spans="1:8" x14ac:dyDescent="0.25">
      <c r="A19599" s="1"/>
      <c r="B19599" s="1" t="s">
        <v>6862</v>
      </c>
      <c r="C19599" s="1" t="s">
        <v>6863</v>
      </c>
      <c r="D19599" s="22" t="str">
        <f>HYPERLINK("https://rhld.insurance.arkansas.gov/NPILookup?Npi=1467410969","1467410969")</f>
        <v>1467410969</v>
      </c>
      <c r="E19599" s="1" t="s">
        <v>24525</v>
      </c>
      <c r="F19599" s="2"/>
      <c r="G19599" s="2"/>
      <c r="H19599" s="2"/>
    </row>
    <row r="19600" spans="1:8" x14ac:dyDescent="0.25">
      <c r="A19600" s="1"/>
      <c r="B19600" s="1" t="s">
        <v>6862</v>
      </c>
      <c r="C19600" s="1" t="s">
        <v>6863</v>
      </c>
      <c r="D19600" s="22" t="str">
        <f>HYPERLINK("https://rhld.insurance.arkansas.gov/NPILookup?Npi=1467504134","1467504134")</f>
        <v>1467504134</v>
      </c>
      <c r="E19600" s="1" t="s">
        <v>24526</v>
      </c>
      <c r="F19600" s="2"/>
      <c r="G19600" s="2"/>
      <c r="H19600" s="2"/>
    </row>
    <row r="19601" spans="1:8" x14ac:dyDescent="0.25">
      <c r="A19601" s="1"/>
      <c r="B19601" s="1" t="s">
        <v>6862</v>
      </c>
      <c r="C19601" s="1" t="s">
        <v>6863</v>
      </c>
      <c r="D19601" s="22" t="str">
        <f>HYPERLINK("https://rhld.insurance.arkansas.gov/NPILookup?Npi=1467506477","1467506477")</f>
        <v>1467506477</v>
      </c>
      <c r="E19601" s="1" t="s">
        <v>7048</v>
      </c>
      <c r="F19601" s="2"/>
      <c r="G19601" s="2"/>
      <c r="H19601" s="2"/>
    </row>
    <row r="19602" spans="1:8" x14ac:dyDescent="0.25">
      <c r="A19602" s="1"/>
      <c r="B19602" s="1" t="s">
        <v>6862</v>
      </c>
      <c r="C19602" s="1" t="s">
        <v>6863</v>
      </c>
      <c r="D19602" s="22" t="str">
        <f>HYPERLINK("https://rhld.insurance.arkansas.gov/NPILookup?Npi=1467554964","1467554964")</f>
        <v>1467554964</v>
      </c>
      <c r="E19602" s="1" t="s">
        <v>24527</v>
      </c>
      <c r="F19602" s="2"/>
      <c r="G19602" s="2"/>
      <c r="H19602" s="2"/>
    </row>
    <row r="19603" spans="1:8" x14ac:dyDescent="0.25">
      <c r="A19603" s="1"/>
      <c r="B19603" s="1" t="s">
        <v>6862</v>
      </c>
      <c r="C19603" s="1" t="s">
        <v>6863</v>
      </c>
      <c r="D19603" s="22" t="str">
        <f>HYPERLINK("https://rhld.insurance.arkansas.gov/NPILookup?Npi=1467598359","1467598359")</f>
        <v>1467598359</v>
      </c>
      <c r="E19603" s="1" t="s">
        <v>7049</v>
      </c>
      <c r="F19603" s="2"/>
      <c r="G19603" s="2"/>
      <c r="H19603" s="2"/>
    </row>
    <row r="19604" spans="1:8" x14ac:dyDescent="0.25">
      <c r="A19604" s="1"/>
      <c r="B19604" s="1" t="s">
        <v>6862</v>
      </c>
      <c r="C19604" s="1" t="s">
        <v>6863</v>
      </c>
      <c r="D19604" s="22" t="str">
        <f>HYPERLINK("https://rhld.insurance.arkansas.gov/NPILookup?Npi=1467626622","1467626622")</f>
        <v>1467626622</v>
      </c>
      <c r="E19604" s="1" t="s">
        <v>12424</v>
      </c>
      <c r="F19604" s="2"/>
      <c r="G19604" s="2"/>
      <c r="H19604" s="2"/>
    </row>
    <row r="19605" spans="1:8" x14ac:dyDescent="0.25">
      <c r="A19605" s="1"/>
      <c r="B19605" s="1" t="s">
        <v>6862</v>
      </c>
      <c r="C19605" s="1" t="s">
        <v>6863</v>
      </c>
      <c r="D19605" s="22" t="str">
        <f>HYPERLINK("https://rhld.insurance.arkansas.gov/NPILookup?Npi=1467654970","1467654970")</f>
        <v>1467654970</v>
      </c>
      <c r="E19605" s="1" t="s">
        <v>12425</v>
      </c>
      <c r="F19605" s="2"/>
      <c r="G19605" s="2"/>
      <c r="H19605" s="2"/>
    </row>
    <row r="19606" spans="1:8" x14ac:dyDescent="0.25">
      <c r="A19606" s="1"/>
      <c r="B19606" s="1" t="s">
        <v>6862</v>
      </c>
      <c r="C19606" s="1" t="s">
        <v>6863</v>
      </c>
      <c r="D19606" s="22" t="str">
        <f>HYPERLINK("https://rhld.insurance.arkansas.gov/NPILookup?Npi=1467691360","1467691360")</f>
        <v>1467691360</v>
      </c>
      <c r="E19606" s="1" t="s">
        <v>12426</v>
      </c>
      <c r="F19606" s="2"/>
      <c r="G19606" s="2"/>
      <c r="H19606" s="2"/>
    </row>
    <row r="19607" spans="1:8" x14ac:dyDescent="0.25">
      <c r="A19607" s="1"/>
      <c r="B19607" s="1" t="s">
        <v>6862</v>
      </c>
      <c r="C19607" s="1" t="s">
        <v>6863</v>
      </c>
      <c r="D19607" s="22" t="str">
        <f>HYPERLINK("https://rhld.insurance.arkansas.gov/NPILookup?Npi=1467692004","1467692004")</f>
        <v>1467692004</v>
      </c>
      <c r="E19607" s="1" t="s">
        <v>24528</v>
      </c>
      <c r="F19607" s="2"/>
      <c r="G19607" s="2"/>
      <c r="H19607" s="2"/>
    </row>
    <row r="19608" spans="1:8" x14ac:dyDescent="0.25">
      <c r="A19608" s="1"/>
      <c r="B19608" s="1" t="s">
        <v>6862</v>
      </c>
      <c r="C19608" s="1" t="s">
        <v>6863</v>
      </c>
      <c r="D19608" s="22" t="str">
        <f>HYPERLINK("https://rhld.insurance.arkansas.gov/NPILookup?Npi=1467693077","1467693077")</f>
        <v>1467693077</v>
      </c>
      <c r="E19608" s="1" t="s">
        <v>7051</v>
      </c>
      <c r="F19608" s="2"/>
      <c r="G19608" s="2"/>
      <c r="H19608" s="2"/>
    </row>
    <row r="19609" spans="1:8" x14ac:dyDescent="0.25">
      <c r="A19609" s="1"/>
      <c r="B19609" s="1" t="s">
        <v>6862</v>
      </c>
      <c r="C19609" s="1" t="s">
        <v>6863</v>
      </c>
      <c r="D19609" s="22" t="str">
        <f>HYPERLINK("https://rhld.insurance.arkansas.gov/NPILookup?Npi=1467803668","1467803668")</f>
        <v>1467803668</v>
      </c>
      <c r="E19609" s="1" t="s">
        <v>5982</v>
      </c>
      <c r="F19609" s="2"/>
      <c r="G19609" s="2"/>
      <c r="H19609" s="2"/>
    </row>
    <row r="19610" spans="1:8" x14ac:dyDescent="0.25">
      <c r="A19610" s="1"/>
      <c r="B19610" s="1" t="s">
        <v>6862</v>
      </c>
      <c r="C19610" s="1" t="s">
        <v>6863</v>
      </c>
      <c r="D19610" s="22" t="str">
        <f>HYPERLINK("https://rhld.insurance.arkansas.gov/NPILookup?Npi=1467882084","1467882084")</f>
        <v>1467882084</v>
      </c>
      <c r="E19610" s="1" t="s">
        <v>24529</v>
      </c>
      <c r="F19610" s="2"/>
      <c r="G19610" s="2"/>
      <c r="H19610" s="2"/>
    </row>
    <row r="19611" spans="1:8" x14ac:dyDescent="0.25">
      <c r="A19611" s="1"/>
      <c r="B19611" s="1" t="s">
        <v>6862</v>
      </c>
      <c r="C19611" s="1" t="s">
        <v>6863</v>
      </c>
      <c r="D19611" s="22" t="str">
        <f>HYPERLINK("https://rhld.insurance.arkansas.gov/NPILookup?Npi=1467907527","1467907527")</f>
        <v>1467907527</v>
      </c>
      <c r="E19611" s="1" t="s">
        <v>24530</v>
      </c>
      <c r="F19611" s="2"/>
      <c r="G19611" s="2"/>
      <c r="H19611" s="2"/>
    </row>
    <row r="19612" spans="1:8" x14ac:dyDescent="0.25">
      <c r="A19612" s="1"/>
      <c r="B19612" s="1" t="s">
        <v>6862</v>
      </c>
      <c r="C19612" s="1" t="s">
        <v>6863</v>
      </c>
      <c r="D19612" s="22" t="str">
        <f>HYPERLINK("https://rhld.insurance.arkansas.gov/NPILookup?Npi=1467971630","1467971630")</f>
        <v>1467971630</v>
      </c>
      <c r="E19612" s="1" t="s">
        <v>6901</v>
      </c>
      <c r="F19612" s="2"/>
      <c r="G19612" s="2"/>
      <c r="H19612" s="2"/>
    </row>
    <row r="19613" spans="1:8" x14ac:dyDescent="0.25">
      <c r="A19613" s="1"/>
      <c r="B19613" s="1" t="s">
        <v>6862</v>
      </c>
      <c r="C19613" s="1" t="s">
        <v>6863</v>
      </c>
      <c r="D19613" s="22" t="str">
        <f>HYPERLINK("https://rhld.insurance.arkansas.gov/NPILookup?Npi=1477037604","1477037604")</f>
        <v>1477037604</v>
      </c>
      <c r="E19613" s="1" t="s">
        <v>24531</v>
      </c>
      <c r="F19613" s="2"/>
      <c r="G19613" s="2"/>
      <c r="H19613" s="2"/>
    </row>
    <row r="19614" spans="1:8" x14ac:dyDescent="0.25">
      <c r="A19614" s="1"/>
      <c r="B19614" s="1" t="s">
        <v>6862</v>
      </c>
      <c r="C19614" s="1" t="s">
        <v>6863</v>
      </c>
      <c r="D19614" s="22" t="str">
        <f>HYPERLINK("https://rhld.insurance.arkansas.gov/NPILookup?Npi=1477101533","1477101533")</f>
        <v>1477101533</v>
      </c>
      <c r="E19614" s="1" t="s">
        <v>12427</v>
      </c>
      <c r="F19614" s="2"/>
      <c r="G19614" s="2"/>
      <c r="H19614" s="2"/>
    </row>
    <row r="19615" spans="1:8" x14ac:dyDescent="0.25">
      <c r="A19615" s="1"/>
      <c r="B19615" s="1" t="s">
        <v>6862</v>
      </c>
      <c r="C19615" s="1" t="s">
        <v>6863</v>
      </c>
      <c r="D19615" s="22" t="str">
        <f>HYPERLINK("https://rhld.insurance.arkansas.gov/NPILookup?Npi=1477165991","1477165991")</f>
        <v>1477165991</v>
      </c>
      <c r="E19615" s="1" t="s">
        <v>24532</v>
      </c>
      <c r="F19615" s="2"/>
      <c r="G19615" s="2"/>
      <c r="H19615" s="2"/>
    </row>
    <row r="19616" spans="1:8" x14ac:dyDescent="0.25">
      <c r="A19616" s="1"/>
      <c r="B19616" s="1" t="s">
        <v>6862</v>
      </c>
      <c r="C19616" s="1" t="s">
        <v>6863</v>
      </c>
      <c r="D19616" s="22" t="str">
        <f>HYPERLINK("https://rhld.insurance.arkansas.gov/NPILookup?Npi=1477229532","1477229532")</f>
        <v>1477229532</v>
      </c>
      <c r="E19616" s="1" t="s">
        <v>7052</v>
      </c>
      <c r="F19616" s="2"/>
      <c r="G19616" s="2"/>
      <c r="H19616" s="2"/>
    </row>
    <row r="19617" spans="1:8" x14ac:dyDescent="0.25">
      <c r="A19617" s="1"/>
      <c r="B19617" s="1" t="s">
        <v>6862</v>
      </c>
      <c r="C19617" s="1" t="s">
        <v>6863</v>
      </c>
      <c r="D19617" s="22" t="str">
        <f>HYPERLINK("https://rhld.insurance.arkansas.gov/NPILookup?Npi=1477287365","1477287365")</f>
        <v>1477287365</v>
      </c>
      <c r="E19617" s="1" t="s">
        <v>12428</v>
      </c>
      <c r="F19617" s="2"/>
      <c r="G19617" s="2"/>
      <c r="H19617" s="2"/>
    </row>
    <row r="19618" spans="1:8" x14ac:dyDescent="0.25">
      <c r="A19618" s="1"/>
      <c r="B19618" s="1" t="s">
        <v>6862</v>
      </c>
      <c r="C19618" s="1" t="s">
        <v>6863</v>
      </c>
      <c r="D19618" s="22" t="str">
        <f>HYPERLINK("https://rhld.insurance.arkansas.gov/NPILookup?Npi=1477338556","1477338556")</f>
        <v>1477338556</v>
      </c>
      <c r="E19618" s="1" t="s">
        <v>24533</v>
      </c>
      <c r="F19618" s="2"/>
      <c r="G19618" s="2"/>
      <c r="H19618" s="2"/>
    </row>
    <row r="19619" spans="1:8" x14ac:dyDescent="0.25">
      <c r="A19619" s="1"/>
      <c r="B19619" s="1" t="s">
        <v>6862</v>
      </c>
      <c r="C19619" s="1" t="s">
        <v>6863</v>
      </c>
      <c r="D19619" s="22" t="str">
        <f>HYPERLINK("https://rhld.insurance.arkansas.gov/NPILookup?Npi=1477380202","1477380202")</f>
        <v>1477380202</v>
      </c>
      <c r="E19619" s="1" t="s">
        <v>32031</v>
      </c>
      <c r="F19619" s="2"/>
      <c r="G19619" s="2"/>
      <c r="H19619" s="2"/>
    </row>
    <row r="19620" spans="1:8" x14ac:dyDescent="0.25">
      <c r="A19620" s="1"/>
      <c r="B19620" s="1" t="s">
        <v>6862</v>
      </c>
      <c r="C19620" s="1" t="s">
        <v>6863</v>
      </c>
      <c r="D19620" s="22" t="str">
        <f>HYPERLINK("https://rhld.insurance.arkansas.gov/NPILookup?Npi=1477380350","1477380350")</f>
        <v>1477380350</v>
      </c>
      <c r="E19620" s="1" t="s">
        <v>32032</v>
      </c>
      <c r="F19620" s="2"/>
      <c r="G19620" s="2"/>
      <c r="H19620" s="2"/>
    </row>
    <row r="19621" spans="1:8" x14ac:dyDescent="0.25">
      <c r="A19621" s="1"/>
      <c r="B19621" s="1" t="s">
        <v>6862</v>
      </c>
      <c r="C19621" s="1" t="s">
        <v>6863</v>
      </c>
      <c r="D19621" s="22" t="str">
        <f>HYPERLINK("https://rhld.insurance.arkansas.gov/NPILookup?Npi=1477508422","1477508422")</f>
        <v>1477508422</v>
      </c>
      <c r="E19621" s="1" t="s">
        <v>24534</v>
      </c>
      <c r="F19621" s="2"/>
      <c r="G19621" s="2"/>
      <c r="H19621" s="2"/>
    </row>
    <row r="19622" spans="1:8" x14ac:dyDescent="0.25">
      <c r="A19622" s="1"/>
      <c r="B19622" s="1" t="s">
        <v>6862</v>
      </c>
      <c r="C19622" s="1" t="s">
        <v>6863</v>
      </c>
      <c r="D19622" s="22" t="str">
        <f>HYPERLINK("https://rhld.insurance.arkansas.gov/NPILookup?Npi=1477546562","1477546562")</f>
        <v>1477546562</v>
      </c>
      <c r="E19622" s="1" t="s">
        <v>24535</v>
      </c>
      <c r="F19622" s="2"/>
      <c r="G19622" s="2"/>
      <c r="H19622" s="2"/>
    </row>
    <row r="19623" spans="1:8" x14ac:dyDescent="0.25">
      <c r="A19623" s="1"/>
      <c r="B19623" s="1" t="s">
        <v>6862</v>
      </c>
      <c r="C19623" s="1" t="s">
        <v>6863</v>
      </c>
      <c r="D19623" s="22" t="str">
        <f>HYPERLINK("https://rhld.insurance.arkansas.gov/NPILookup?Npi=1477551935","1477551935")</f>
        <v>1477551935</v>
      </c>
      <c r="E19623" s="1" t="s">
        <v>7053</v>
      </c>
      <c r="F19623" s="2"/>
      <c r="G19623" s="2"/>
      <c r="H19623" s="2"/>
    </row>
    <row r="19624" spans="1:8" x14ac:dyDescent="0.25">
      <c r="A19624" s="1"/>
      <c r="B19624" s="1" t="s">
        <v>6862</v>
      </c>
      <c r="C19624" s="1" t="s">
        <v>6863</v>
      </c>
      <c r="D19624" s="22" t="str">
        <f>HYPERLINK("https://rhld.insurance.arkansas.gov/NPILookup?Npi=1477684348","1477684348")</f>
        <v>1477684348</v>
      </c>
      <c r="E19624" s="1" t="s">
        <v>7054</v>
      </c>
      <c r="F19624" s="2"/>
      <c r="G19624" s="2"/>
      <c r="H19624" s="2"/>
    </row>
    <row r="19625" spans="1:8" x14ac:dyDescent="0.25">
      <c r="A19625" s="1"/>
      <c r="B19625" s="1" t="s">
        <v>6862</v>
      </c>
      <c r="C19625" s="1" t="s">
        <v>6863</v>
      </c>
      <c r="D19625" s="22" t="str">
        <f>HYPERLINK("https://rhld.insurance.arkansas.gov/NPILookup?Npi=1477802247","1477802247")</f>
        <v>1477802247</v>
      </c>
      <c r="E19625" s="1" t="s">
        <v>5672</v>
      </c>
      <c r="F19625" s="2"/>
      <c r="G19625" s="2"/>
      <c r="H19625" s="2"/>
    </row>
    <row r="19626" spans="1:8" x14ac:dyDescent="0.25">
      <c r="A19626" s="1"/>
      <c r="B19626" s="1" t="s">
        <v>6862</v>
      </c>
      <c r="C19626" s="1" t="s">
        <v>6863</v>
      </c>
      <c r="D19626" s="22" t="str">
        <f>HYPERLINK("https://rhld.insurance.arkansas.gov/NPILookup?Npi=1477984011","1477984011")</f>
        <v>1477984011</v>
      </c>
      <c r="E19626" s="1" t="s">
        <v>24536</v>
      </c>
      <c r="F19626" s="2"/>
      <c r="G19626" s="2"/>
      <c r="H19626" s="2"/>
    </row>
    <row r="19627" spans="1:8" x14ac:dyDescent="0.25">
      <c r="A19627" s="1"/>
      <c r="B19627" s="1" t="s">
        <v>6862</v>
      </c>
      <c r="C19627" s="1" t="s">
        <v>6863</v>
      </c>
      <c r="D19627" s="22" t="str">
        <f>HYPERLINK("https://rhld.insurance.arkansas.gov/NPILookup?Npi=1487062410","1487062410")</f>
        <v>1487062410</v>
      </c>
      <c r="E19627" s="1" t="s">
        <v>7055</v>
      </c>
      <c r="F19627" s="2"/>
      <c r="G19627" s="2"/>
      <c r="H19627" s="2"/>
    </row>
    <row r="19628" spans="1:8" x14ac:dyDescent="0.25">
      <c r="A19628" s="1"/>
      <c r="B19628" s="1" t="s">
        <v>6862</v>
      </c>
      <c r="C19628" s="1" t="s">
        <v>6863</v>
      </c>
      <c r="D19628" s="22" t="str">
        <f>HYPERLINK("https://rhld.insurance.arkansas.gov/NPILookup?Npi=1487180766","1487180766")</f>
        <v>1487180766</v>
      </c>
      <c r="E19628" s="1" t="s">
        <v>24537</v>
      </c>
      <c r="F19628" s="2"/>
      <c r="G19628" s="2"/>
      <c r="H19628" s="2"/>
    </row>
    <row r="19629" spans="1:8" x14ac:dyDescent="0.25">
      <c r="A19629" s="1"/>
      <c r="B19629" s="1" t="s">
        <v>6862</v>
      </c>
      <c r="C19629" s="1" t="s">
        <v>6863</v>
      </c>
      <c r="D19629" s="22" t="str">
        <f>HYPERLINK("https://rhld.insurance.arkansas.gov/NPILookup?Npi=1487194445","1487194445")</f>
        <v>1487194445</v>
      </c>
      <c r="E19629" s="1" t="s">
        <v>7527</v>
      </c>
      <c r="F19629" s="2"/>
      <c r="G19629" s="2"/>
      <c r="H19629" s="2"/>
    </row>
    <row r="19630" spans="1:8" x14ac:dyDescent="0.25">
      <c r="A19630" s="1"/>
      <c r="B19630" s="1" t="s">
        <v>6862</v>
      </c>
      <c r="C19630" s="1" t="s">
        <v>6863</v>
      </c>
      <c r="D19630" s="22" t="str">
        <f>HYPERLINK("https://rhld.insurance.arkansas.gov/NPILookup?Npi=1487257515","1487257515")</f>
        <v>1487257515</v>
      </c>
      <c r="E19630" s="1" t="s">
        <v>24538</v>
      </c>
      <c r="F19630" s="2"/>
      <c r="G19630" s="2"/>
      <c r="H19630" s="2"/>
    </row>
    <row r="19631" spans="1:8" x14ac:dyDescent="0.25">
      <c r="A19631" s="1"/>
      <c r="B19631" s="1" t="s">
        <v>6862</v>
      </c>
      <c r="C19631" s="1" t="s">
        <v>6863</v>
      </c>
      <c r="D19631" s="22" t="str">
        <f>HYPERLINK("https://rhld.insurance.arkansas.gov/NPILookup?Npi=1487258877","1487258877")</f>
        <v>1487258877</v>
      </c>
      <c r="E19631" s="1" t="s">
        <v>12429</v>
      </c>
      <c r="F19631" s="2"/>
      <c r="G19631" s="2"/>
      <c r="H19631" s="2"/>
    </row>
    <row r="19632" spans="1:8" x14ac:dyDescent="0.25">
      <c r="A19632" s="1"/>
      <c r="B19632" s="1" t="s">
        <v>6862</v>
      </c>
      <c r="C19632" s="1" t="s">
        <v>6863</v>
      </c>
      <c r="D19632" s="22" t="str">
        <f>HYPERLINK("https://rhld.insurance.arkansas.gov/NPILookup?Npi=1487280590","1487280590")</f>
        <v>1487280590</v>
      </c>
      <c r="E19632" s="1" t="s">
        <v>7057</v>
      </c>
      <c r="F19632" s="2"/>
      <c r="G19632" s="2"/>
      <c r="H19632" s="2"/>
    </row>
    <row r="19633" spans="1:8" x14ac:dyDescent="0.25">
      <c r="A19633" s="1"/>
      <c r="B19633" s="1" t="s">
        <v>6862</v>
      </c>
      <c r="C19633" s="1" t="s">
        <v>6863</v>
      </c>
      <c r="D19633" s="22" t="str">
        <f>HYPERLINK("https://rhld.insurance.arkansas.gov/NPILookup?Npi=1487354742","1487354742")</f>
        <v>1487354742</v>
      </c>
      <c r="E19633" s="1" t="s">
        <v>7058</v>
      </c>
      <c r="F19633" s="2"/>
      <c r="G19633" s="2"/>
      <c r="H19633" s="2"/>
    </row>
    <row r="19634" spans="1:8" x14ac:dyDescent="0.25">
      <c r="A19634" s="1"/>
      <c r="B19634" s="1" t="s">
        <v>6862</v>
      </c>
      <c r="C19634" s="1" t="s">
        <v>6863</v>
      </c>
      <c r="D19634" s="22" t="str">
        <f>HYPERLINK("https://rhld.insurance.arkansas.gov/NPILookup?Npi=1487382750","1487382750")</f>
        <v>1487382750</v>
      </c>
      <c r="E19634" s="1" t="s">
        <v>24539</v>
      </c>
      <c r="F19634" s="2"/>
      <c r="G19634" s="2"/>
      <c r="H19634" s="2"/>
    </row>
    <row r="19635" spans="1:8" x14ac:dyDescent="0.25">
      <c r="A19635" s="1"/>
      <c r="B19635" s="1" t="s">
        <v>6862</v>
      </c>
      <c r="C19635" s="1" t="s">
        <v>6863</v>
      </c>
      <c r="D19635" s="22" t="str">
        <f>HYPERLINK("https://rhld.insurance.arkansas.gov/NPILookup?Npi=1487409322","1487409322")</f>
        <v>1487409322</v>
      </c>
      <c r="E19635" s="1" t="s">
        <v>24540</v>
      </c>
      <c r="F19635" s="2"/>
      <c r="G19635" s="2"/>
      <c r="H19635" s="2"/>
    </row>
    <row r="19636" spans="1:8" x14ac:dyDescent="0.25">
      <c r="A19636" s="1"/>
      <c r="B19636" s="1" t="s">
        <v>6862</v>
      </c>
      <c r="C19636" s="1" t="s">
        <v>6863</v>
      </c>
      <c r="D19636" s="22" t="str">
        <f>HYPERLINK("https://rhld.insurance.arkansas.gov/NPILookup?Npi=1487634374","1487634374")</f>
        <v>1487634374</v>
      </c>
      <c r="E19636" s="1" t="s">
        <v>24541</v>
      </c>
      <c r="F19636" s="2"/>
      <c r="G19636" s="2"/>
      <c r="H19636" s="2"/>
    </row>
    <row r="19637" spans="1:8" x14ac:dyDescent="0.25">
      <c r="A19637" s="1"/>
      <c r="B19637" s="1" t="s">
        <v>6862</v>
      </c>
      <c r="C19637" s="1" t="s">
        <v>6863</v>
      </c>
      <c r="D19637" s="22" t="str">
        <f>HYPERLINK("https://rhld.insurance.arkansas.gov/NPILookup?Npi=1487695839","1487695839")</f>
        <v>1487695839</v>
      </c>
      <c r="E19637" s="1" t="s">
        <v>12430</v>
      </c>
      <c r="F19637" s="2"/>
      <c r="G19637" s="2"/>
      <c r="H19637" s="2"/>
    </row>
    <row r="19638" spans="1:8" x14ac:dyDescent="0.25">
      <c r="A19638" s="1"/>
      <c r="B19638" s="1" t="s">
        <v>6862</v>
      </c>
      <c r="C19638" s="1" t="s">
        <v>6863</v>
      </c>
      <c r="D19638" s="22" t="str">
        <f>HYPERLINK("https://rhld.insurance.arkansas.gov/NPILookup?Npi=1487698916","1487698916")</f>
        <v>1487698916</v>
      </c>
      <c r="E19638" s="1" t="s">
        <v>24542</v>
      </c>
      <c r="F19638" s="2"/>
      <c r="G19638" s="2"/>
      <c r="H19638" s="2"/>
    </row>
    <row r="19639" spans="1:8" x14ac:dyDescent="0.25">
      <c r="A19639" s="1"/>
      <c r="B19639" s="1" t="s">
        <v>6862</v>
      </c>
      <c r="C19639" s="1" t="s">
        <v>6863</v>
      </c>
      <c r="D19639" s="22" t="str">
        <f>HYPERLINK("https://rhld.insurance.arkansas.gov/NPILookup?Npi=1487702759","1487702759")</f>
        <v>1487702759</v>
      </c>
      <c r="E19639" s="1" t="s">
        <v>24543</v>
      </c>
      <c r="F19639" s="2"/>
      <c r="G19639" s="2"/>
      <c r="H19639" s="2"/>
    </row>
    <row r="19640" spans="1:8" x14ac:dyDescent="0.25">
      <c r="A19640" s="1"/>
      <c r="B19640" s="1" t="s">
        <v>6862</v>
      </c>
      <c r="C19640" s="1" t="s">
        <v>6863</v>
      </c>
      <c r="D19640" s="22" t="str">
        <f>HYPERLINK("https://rhld.insurance.arkansas.gov/NPILookup?Npi=1487727558","1487727558")</f>
        <v>1487727558</v>
      </c>
      <c r="E19640" s="1" t="s">
        <v>12431</v>
      </c>
      <c r="F19640" s="2"/>
      <c r="G19640" s="2"/>
      <c r="H19640" s="2"/>
    </row>
    <row r="19641" spans="1:8" x14ac:dyDescent="0.25">
      <c r="A19641" s="1"/>
      <c r="B19641" s="1" t="s">
        <v>6862</v>
      </c>
      <c r="C19641" s="1" t="s">
        <v>6863</v>
      </c>
      <c r="D19641" s="22" t="str">
        <f>HYPERLINK("https://rhld.insurance.arkansas.gov/NPILookup?Npi=1487739348","1487739348")</f>
        <v>1487739348</v>
      </c>
      <c r="E19641" s="1" t="s">
        <v>24544</v>
      </c>
      <c r="F19641" s="2"/>
      <c r="G19641" s="2"/>
      <c r="H19641" s="2"/>
    </row>
    <row r="19642" spans="1:8" x14ac:dyDescent="0.25">
      <c r="A19642" s="1"/>
      <c r="B19642" s="1" t="s">
        <v>6862</v>
      </c>
      <c r="C19642" s="1" t="s">
        <v>6863</v>
      </c>
      <c r="D19642" s="22" t="str">
        <f>HYPERLINK("https://rhld.insurance.arkansas.gov/NPILookup?Npi=1487853099","1487853099")</f>
        <v>1487853099</v>
      </c>
      <c r="E19642" s="1" t="s">
        <v>24545</v>
      </c>
      <c r="F19642" s="2"/>
      <c r="G19642" s="2"/>
      <c r="H19642" s="2"/>
    </row>
    <row r="19643" spans="1:8" x14ac:dyDescent="0.25">
      <c r="A19643" s="1"/>
      <c r="B19643" s="1" t="s">
        <v>6862</v>
      </c>
      <c r="C19643" s="1" t="s">
        <v>6863</v>
      </c>
      <c r="D19643" s="22" t="str">
        <f>HYPERLINK("https://rhld.insurance.arkansas.gov/NPILookup?Npi=1487891651","1487891651")</f>
        <v>1487891651</v>
      </c>
      <c r="E19643" s="1" t="s">
        <v>12432</v>
      </c>
      <c r="F19643" s="2"/>
      <c r="G19643" s="2"/>
      <c r="H19643" s="2"/>
    </row>
    <row r="19644" spans="1:8" x14ac:dyDescent="0.25">
      <c r="A19644" s="1"/>
      <c r="B19644" s="1" t="s">
        <v>6862</v>
      </c>
      <c r="C19644" s="1" t="s">
        <v>6863</v>
      </c>
      <c r="D19644" s="22" t="str">
        <f>HYPERLINK("https://rhld.insurance.arkansas.gov/NPILookup?Npi=1487892691","1487892691")</f>
        <v>1487892691</v>
      </c>
      <c r="E19644" s="1" t="s">
        <v>24546</v>
      </c>
      <c r="F19644" s="2"/>
      <c r="G19644" s="2"/>
      <c r="H19644" s="2"/>
    </row>
    <row r="19645" spans="1:8" x14ac:dyDescent="0.25">
      <c r="A19645" s="1"/>
      <c r="B19645" s="1" t="s">
        <v>6862</v>
      </c>
      <c r="C19645" s="1" t="s">
        <v>6863</v>
      </c>
      <c r="D19645" s="22" t="str">
        <f>HYPERLINK("https://rhld.insurance.arkansas.gov/NPILookup?Npi=1497037568","1497037568")</f>
        <v>1497037568</v>
      </c>
      <c r="E19645" s="1" t="s">
        <v>7059</v>
      </c>
      <c r="F19645" s="2"/>
      <c r="G19645" s="2"/>
      <c r="H19645" s="2"/>
    </row>
    <row r="19646" spans="1:8" x14ac:dyDescent="0.25">
      <c r="A19646" s="1"/>
      <c r="B19646" s="1" t="s">
        <v>6862</v>
      </c>
      <c r="C19646" s="1" t="s">
        <v>6863</v>
      </c>
      <c r="D19646" s="22" t="str">
        <f>HYPERLINK("https://rhld.insurance.arkansas.gov/NPILookup?Npi=1497088918","1497088918")</f>
        <v>1497088918</v>
      </c>
      <c r="E19646" s="1" t="s">
        <v>24547</v>
      </c>
      <c r="F19646" s="2"/>
      <c r="G19646" s="2"/>
      <c r="H19646" s="2"/>
    </row>
    <row r="19647" spans="1:8" x14ac:dyDescent="0.25">
      <c r="A19647" s="1"/>
      <c r="B19647" s="1" t="s">
        <v>6862</v>
      </c>
      <c r="C19647" s="1" t="s">
        <v>6863</v>
      </c>
      <c r="D19647" s="22" t="str">
        <f>HYPERLINK("https://rhld.insurance.arkansas.gov/NPILookup?Npi=1497102370","1497102370")</f>
        <v>1497102370</v>
      </c>
      <c r="E19647" s="1" t="s">
        <v>5208</v>
      </c>
      <c r="F19647" s="2"/>
      <c r="G19647" s="2"/>
      <c r="H19647" s="2"/>
    </row>
    <row r="19648" spans="1:8" x14ac:dyDescent="0.25">
      <c r="A19648" s="1"/>
      <c r="B19648" s="1" t="s">
        <v>6862</v>
      </c>
      <c r="C19648" s="1" t="s">
        <v>6863</v>
      </c>
      <c r="D19648" s="22" t="str">
        <f>HYPERLINK("https://rhld.insurance.arkansas.gov/NPILookup?Npi=1497152060","1497152060")</f>
        <v>1497152060</v>
      </c>
      <c r="E19648" s="1" t="s">
        <v>32033</v>
      </c>
      <c r="F19648" s="2"/>
      <c r="G19648" s="2"/>
      <c r="H19648" s="2"/>
    </row>
    <row r="19649" spans="1:8" x14ac:dyDescent="0.25">
      <c r="A19649" s="1"/>
      <c r="B19649" s="1" t="s">
        <v>6862</v>
      </c>
      <c r="C19649" s="1" t="s">
        <v>6863</v>
      </c>
      <c r="D19649" s="22" t="str">
        <f>HYPERLINK("https://rhld.insurance.arkansas.gov/NPILookup?Npi=1497154389","1497154389")</f>
        <v>1497154389</v>
      </c>
      <c r="E19649" s="1" t="s">
        <v>24548</v>
      </c>
      <c r="F19649" s="2"/>
      <c r="G19649" s="2"/>
      <c r="H19649" s="2"/>
    </row>
    <row r="19650" spans="1:8" x14ac:dyDescent="0.25">
      <c r="A19650" s="1"/>
      <c r="B19650" s="1" t="s">
        <v>6862</v>
      </c>
      <c r="C19650" s="1" t="s">
        <v>6863</v>
      </c>
      <c r="D19650" s="22" t="str">
        <f>HYPERLINK("https://rhld.insurance.arkansas.gov/NPILookup?Npi=1497201214","1497201214")</f>
        <v>1497201214</v>
      </c>
      <c r="E19650" s="1" t="s">
        <v>7060</v>
      </c>
      <c r="F19650" s="2"/>
      <c r="G19650" s="2"/>
      <c r="H19650" s="2"/>
    </row>
    <row r="19651" spans="1:8" x14ac:dyDescent="0.25">
      <c r="A19651" s="1"/>
      <c r="B19651" s="1" t="s">
        <v>6862</v>
      </c>
      <c r="C19651" s="1" t="s">
        <v>6863</v>
      </c>
      <c r="D19651" s="22" t="str">
        <f>HYPERLINK("https://rhld.insurance.arkansas.gov/NPILookup?Npi=1497233472","1497233472")</f>
        <v>1497233472</v>
      </c>
      <c r="E19651" s="1" t="s">
        <v>24549</v>
      </c>
      <c r="F19651" s="2"/>
      <c r="G19651" s="2"/>
      <c r="H19651" s="2"/>
    </row>
    <row r="19652" spans="1:8" x14ac:dyDescent="0.25">
      <c r="A19652" s="1"/>
      <c r="B19652" s="1" t="s">
        <v>6862</v>
      </c>
      <c r="C19652" s="1" t="s">
        <v>6863</v>
      </c>
      <c r="D19652" s="22" t="str">
        <f>HYPERLINK("https://rhld.insurance.arkansas.gov/NPILookup?Npi=1497238851","1497238851")</f>
        <v>1497238851</v>
      </c>
      <c r="E19652" s="1" t="s">
        <v>24550</v>
      </c>
      <c r="F19652" s="2"/>
      <c r="G19652" s="2"/>
      <c r="H19652" s="2"/>
    </row>
    <row r="19653" spans="1:8" x14ac:dyDescent="0.25">
      <c r="A19653" s="1"/>
      <c r="B19653" s="1" t="s">
        <v>6862</v>
      </c>
      <c r="C19653" s="1" t="s">
        <v>6863</v>
      </c>
      <c r="D19653" s="22" t="str">
        <f>HYPERLINK("https://rhld.insurance.arkansas.gov/NPILookup?Npi=1497263271","1497263271")</f>
        <v>1497263271</v>
      </c>
      <c r="E19653" s="1" t="s">
        <v>24551</v>
      </c>
      <c r="F19653" s="2"/>
      <c r="G19653" s="2"/>
      <c r="H19653" s="2"/>
    </row>
    <row r="19654" spans="1:8" x14ac:dyDescent="0.25">
      <c r="A19654" s="1"/>
      <c r="B19654" s="1" t="s">
        <v>6862</v>
      </c>
      <c r="C19654" s="1" t="s">
        <v>6863</v>
      </c>
      <c r="D19654" s="22" t="str">
        <f>HYPERLINK("https://rhld.insurance.arkansas.gov/NPILookup?Npi=1497273304","1497273304")</f>
        <v>1497273304</v>
      </c>
      <c r="E19654" s="1" t="s">
        <v>24552</v>
      </c>
      <c r="F19654" s="2"/>
      <c r="G19654" s="2"/>
      <c r="H19654" s="2"/>
    </row>
    <row r="19655" spans="1:8" x14ac:dyDescent="0.25">
      <c r="A19655" s="1"/>
      <c r="B19655" s="1" t="s">
        <v>6862</v>
      </c>
      <c r="C19655" s="1" t="s">
        <v>6863</v>
      </c>
      <c r="D19655" s="22" t="str">
        <f>HYPERLINK("https://rhld.insurance.arkansas.gov/NPILookup?Npi=1497303374","1497303374")</f>
        <v>1497303374</v>
      </c>
      <c r="E19655" s="1" t="s">
        <v>7061</v>
      </c>
      <c r="F19655" s="2"/>
      <c r="G19655" s="2"/>
      <c r="H19655" s="2"/>
    </row>
    <row r="19656" spans="1:8" x14ac:dyDescent="0.25">
      <c r="A19656" s="1"/>
      <c r="B19656" s="1" t="s">
        <v>6862</v>
      </c>
      <c r="C19656" s="1" t="s">
        <v>6863</v>
      </c>
      <c r="D19656" s="22" t="str">
        <f>HYPERLINK("https://rhld.insurance.arkansas.gov/NPILookup?Npi=1497329668","1497329668")</f>
        <v>1497329668</v>
      </c>
      <c r="E19656" s="1" t="s">
        <v>12433</v>
      </c>
      <c r="F19656" s="2"/>
      <c r="G19656" s="2"/>
      <c r="H19656" s="2"/>
    </row>
    <row r="19657" spans="1:8" x14ac:dyDescent="0.25">
      <c r="A19657" s="1"/>
      <c r="B19657" s="1" t="s">
        <v>6862</v>
      </c>
      <c r="C19657" s="1" t="s">
        <v>6863</v>
      </c>
      <c r="D19657" s="22" t="str">
        <f>HYPERLINK("https://rhld.insurance.arkansas.gov/NPILookup?Npi=1497379622","1497379622")</f>
        <v>1497379622</v>
      </c>
      <c r="E19657" s="1" t="s">
        <v>24553</v>
      </c>
      <c r="F19657" s="2"/>
      <c r="G19657" s="2"/>
      <c r="H19657" s="2"/>
    </row>
    <row r="19658" spans="1:8" x14ac:dyDescent="0.25">
      <c r="A19658" s="1"/>
      <c r="B19658" s="1" t="s">
        <v>6862</v>
      </c>
      <c r="C19658" s="1" t="s">
        <v>6863</v>
      </c>
      <c r="D19658" s="22" t="str">
        <f>HYPERLINK("https://rhld.insurance.arkansas.gov/NPILookup?Npi=1497421994","1497421994")</f>
        <v>1497421994</v>
      </c>
      <c r="E19658" s="1" t="s">
        <v>24554</v>
      </c>
      <c r="F19658" s="2"/>
      <c r="G19658" s="2"/>
      <c r="H19658" s="2"/>
    </row>
    <row r="19659" spans="1:8" x14ac:dyDescent="0.25">
      <c r="A19659" s="1"/>
      <c r="B19659" s="1" t="s">
        <v>6862</v>
      </c>
      <c r="C19659" s="1" t="s">
        <v>6863</v>
      </c>
      <c r="D19659" s="22" t="str">
        <f>HYPERLINK("https://rhld.insurance.arkansas.gov/NPILookup?Npi=1497523765","1497523765")</f>
        <v>1497523765</v>
      </c>
      <c r="E19659" s="1" t="s">
        <v>24555</v>
      </c>
      <c r="F19659" s="2"/>
      <c r="G19659" s="2"/>
      <c r="H19659" s="2"/>
    </row>
    <row r="19660" spans="1:8" x14ac:dyDescent="0.25">
      <c r="A19660" s="1"/>
      <c r="B19660" s="1" t="s">
        <v>6862</v>
      </c>
      <c r="C19660" s="1" t="s">
        <v>6863</v>
      </c>
      <c r="D19660" s="22" t="str">
        <f>HYPERLINK("https://rhld.insurance.arkansas.gov/NPILookup?Npi=1497728000","1497728000")</f>
        <v>1497728000</v>
      </c>
      <c r="E19660" s="1" t="s">
        <v>12434</v>
      </c>
      <c r="F19660" s="2"/>
      <c r="G19660" s="2"/>
      <c r="H19660" s="2"/>
    </row>
    <row r="19661" spans="1:8" x14ac:dyDescent="0.25">
      <c r="A19661" s="1"/>
      <c r="B19661" s="1" t="s">
        <v>6862</v>
      </c>
      <c r="C19661" s="1" t="s">
        <v>6863</v>
      </c>
      <c r="D19661" s="22" t="str">
        <f>HYPERLINK("https://rhld.insurance.arkansas.gov/NPILookup?Npi=1497911820","1497911820")</f>
        <v>1497911820</v>
      </c>
      <c r="E19661" s="1" t="s">
        <v>7062</v>
      </c>
      <c r="F19661" s="2"/>
      <c r="G19661" s="2"/>
      <c r="H19661" s="2"/>
    </row>
    <row r="19662" spans="1:8" x14ac:dyDescent="0.25">
      <c r="A19662" s="1"/>
      <c r="B19662" s="1" t="s">
        <v>6862</v>
      </c>
      <c r="C19662" s="1" t="s">
        <v>6863</v>
      </c>
      <c r="D19662" s="22" t="str">
        <f>HYPERLINK("https://rhld.insurance.arkansas.gov/NPILookup?Npi=1497945869","1497945869")</f>
        <v>1497945869</v>
      </c>
      <c r="E19662" s="1" t="s">
        <v>24556</v>
      </c>
      <c r="F19662" s="2"/>
      <c r="G19662" s="2"/>
      <c r="H19662" s="2"/>
    </row>
    <row r="19663" spans="1:8" x14ac:dyDescent="0.25">
      <c r="A19663" s="1"/>
      <c r="B19663" s="1" t="s">
        <v>6862</v>
      </c>
      <c r="C19663" s="1" t="s">
        <v>6863</v>
      </c>
      <c r="D19663" s="22" t="str">
        <f>HYPERLINK("https://rhld.insurance.arkansas.gov/NPILookup?Npi=1508024761","1508024761")</f>
        <v>1508024761</v>
      </c>
      <c r="E19663" s="1" t="s">
        <v>24557</v>
      </c>
      <c r="F19663" s="2"/>
      <c r="G19663" s="2"/>
      <c r="H19663" s="2"/>
    </row>
    <row r="19664" spans="1:8" x14ac:dyDescent="0.25">
      <c r="A19664" s="1"/>
      <c r="B19664" s="1" t="s">
        <v>6862</v>
      </c>
      <c r="C19664" s="1" t="s">
        <v>6863</v>
      </c>
      <c r="D19664" s="22" t="str">
        <f>HYPERLINK("https://rhld.insurance.arkansas.gov/NPILookup?Npi=1508163288","1508163288")</f>
        <v>1508163288</v>
      </c>
      <c r="E19664" s="1" t="s">
        <v>24558</v>
      </c>
      <c r="F19664" s="2"/>
      <c r="G19664" s="2"/>
      <c r="H19664" s="2"/>
    </row>
    <row r="19665" spans="1:8" x14ac:dyDescent="0.25">
      <c r="A19665" s="1"/>
      <c r="B19665" s="1" t="s">
        <v>6862</v>
      </c>
      <c r="C19665" s="1" t="s">
        <v>6863</v>
      </c>
      <c r="D19665" s="22" t="str">
        <f>HYPERLINK("https://rhld.insurance.arkansas.gov/NPILookup?Npi=1508190091","1508190091")</f>
        <v>1508190091</v>
      </c>
      <c r="E19665" s="1" t="s">
        <v>24559</v>
      </c>
      <c r="F19665" s="2"/>
      <c r="G19665" s="2"/>
      <c r="H19665" s="2"/>
    </row>
    <row r="19666" spans="1:8" x14ac:dyDescent="0.25">
      <c r="A19666" s="1"/>
      <c r="B19666" s="1" t="s">
        <v>6862</v>
      </c>
      <c r="C19666" s="1" t="s">
        <v>6863</v>
      </c>
      <c r="D19666" s="22" t="str">
        <f>HYPERLINK("https://rhld.insurance.arkansas.gov/NPILookup?Npi=1508233875","1508233875")</f>
        <v>1508233875</v>
      </c>
      <c r="E19666" s="1" t="s">
        <v>24560</v>
      </c>
      <c r="F19666" s="2"/>
      <c r="G19666" s="2"/>
      <c r="H19666" s="2"/>
    </row>
    <row r="19667" spans="1:8" x14ac:dyDescent="0.25">
      <c r="A19667" s="1"/>
      <c r="B19667" s="1" t="s">
        <v>6862</v>
      </c>
      <c r="C19667" s="1" t="s">
        <v>6863</v>
      </c>
      <c r="D19667" s="22" t="str">
        <f>HYPERLINK("https://rhld.insurance.arkansas.gov/NPILookup?Npi=1508258591","1508258591")</f>
        <v>1508258591</v>
      </c>
      <c r="E19667" s="1" t="s">
        <v>7063</v>
      </c>
      <c r="F19667" s="2"/>
      <c r="G19667" s="2"/>
      <c r="H19667" s="2"/>
    </row>
    <row r="19668" spans="1:8" x14ac:dyDescent="0.25">
      <c r="A19668" s="1"/>
      <c r="B19668" s="1" t="s">
        <v>6862</v>
      </c>
      <c r="C19668" s="1" t="s">
        <v>6863</v>
      </c>
      <c r="D19668" s="22" t="str">
        <f>HYPERLINK("https://rhld.insurance.arkansas.gov/NPILookup?Npi=1508261546","1508261546")</f>
        <v>1508261546</v>
      </c>
      <c r="E19668" s="1" t="s">
        <v>12435</v>
      </c>
      <c r="F19668" s="2"/>
      <c r="G19668" s="2"/>
      <c r="H19668" s="2"/>
    </row>
    <row r="19669" spans="1:8" x14ac:dyDescent="0.25">
      <c r="A19669" s="1"/>
      <c r="B19669" s="1" t="s">
        <v>6862</v>
      </c>
      <c r="C19669" s="1" t="s">
        <v>6863</v>
      </c>
      <c r="D19669" s="22" t="str">
        <f>HYPERLINK("https://rhld.insurance.arkansas.gov/NPILookup?Npi=1508265083","1508265083")</f>
        <v>1508265083</v>
      </c>
      <c r="E19669" s="1" t="s">
        <v>7064</v>
      </c>
      <c r="F19669" s="2"/>
      <c r="G19669" s="2"/>
      <c r="H19669" s="2"/>
    </row>
    <row r="19670" spans="1:8" x14ac:dyDescent="0.25">
      <c r="A19670" s="1"/>
      <c r="B19670" s="1" t="s">
        <v>6862</v>
      </c>
      <c r="C19670" s="1" t="s">
        <v>6863</v>
      </c>
      <c r="D19670" s="22" t="str">
        <f>HYPERLINK("https://rhld.insurance.arkansas.gov/NPILookup?Npi=1508267105","1508267105")</f>
        <v>1508267105</v>
      </c>
      <c r="E19670" s="1" t="s">
        <v>24561</v>
      </c>
      <c r="F19670" s="2"/>
      <c r="G19670" s="2"/>
      <c r="H19670" s="2"/>
    </row>
    <row r="19671" spans="1:8" x14ac:dyDescent="0.25">
      <c r="A19671" s="1"/>
      <c r="B19671" s="1" t="s">
        <v>6862</v>
      </c>
      <c r="C19671" s="1" t="s">
        <v>6863</v>
      </c>
      <c r="D19671" s="22" t="str">
        <f>HYPERLINK("https://rhld.insurance.arkansas.gov/NPILookup?Npi=1508293309","1508293309")</f>
        <v>1508293309</v>
      </c>
      <c r="E19671" s="1" t="s">
        <v>24562</v>
      </c>
      <c r="F19671" s="2"/>
      <c r="G19671" s="2"/>
      <c r="H19671" s="2"/>
    </row>
    <row r="19672" spans="1:8" x14ac:dyDescent="0.25">
      <c r="A19672" s="1"/>
      <c r="B19672" s="1" t="s">
        <v>6862</v>
      </c>
      <c r="C19672" s="1" t="s">
        <v>6863</v>
      </c>
      <c r="D19672" s="22" t="str">
        <f>HYPERLINK("https://rhld.insurance.arkansas.gov/NPILookup?Npi=1508376690","1508376690")</f>
        <v>1508376690</v>
      </c>
      <c r="E19672" s="1" t="s">
        <v>7065</v>
      </c>
      <c r="F19672" s="2"/>
      <c r="G19672" s="2"/>
      <c r="H19672" s="2"/>
    </row>
    <row r="19673" spans="1:8" x14ac:dyDescent="0.25">
      <c r="A19673" s="1"/>
      <c r="B19673" s="1" t="s">
        <v>6862</v>
      </c>
      <c r="C19673" s="1" t="s">
        <v>6863</v>
      </c>
      <c r="D19673" s="22" t="str">
        <f>HYPERLINK("https://rhld.insurance.arkansas.gov/NPILookup?Npi=1508381112","1508381112")</f>
        <v>1508381112</v>
      </c>
      <c r="E19673" s="1" t="s">
        <v>24563</v>
      </c>
      <c r="F19673" s="2"/>
      <c r="G19673" s="2"/>
      <c r="H19673" s="2"/>
    </row>
    <row r="19674" spans="1:8" x14ac:dyDescent="0.25">
      <c r="A19674" s="1"/>
      <c r="B19674" s="1" t="s">
        <v>6862</v>
      </c>
      <c r="C19674" s="1" t="s">
        <v>6863</v>
      </c>
      <c r="D19674" s="22" t="str">
        <f>HYPERLINK("https://rhld.insurance.arkansas.gov/NPILookup?Npi=1508396185","1508396185")</f>
        <v>1508396185</v>
      </c>
      <c r="E19674" s="1" t="s">
        <v>24564</v>
      </c>
      <c r="F19674" s="2"/>
      <c r="G19674" s="2"/>
      <c r="H19674" s="2"/>
    </row>
    <row r="19675" spans="1:8" x14ac:dyDescent="0.25">
      <c r="A19675" s="1"/>
      <c r="B19675" s="1" t="s">
        <v>6862</v>
      </c>
      <c r="C19675" s="1" t="s">
        <v>6863</v>
      </c>
      <c r="D19675" s="22" t="str">
        <f>HYPERLINK("https://rhld.insurance.arkansas.gov/NPILookup?Npi=1508404872","1508404872")</f>
        <v>1508404872</v>
      </c>
      <c r="E19675" s="1" t="s">
        <v>24565</v>
      </c>
      <c r="F19675" s="2"/>
      <c r="G19675" s="2"/>
      <c r="H19675" s="2"/>
    </row>
    <row r="19676" spans="1:8" x14ac:dyDescent="0.25">
      <c r="A19676" s="1"/>
      <c r="B19676" s="1" t="s">
        <v>6862</v>
      </c>
      <c r="C19676" s="1" t="s">
        <v>6863</v>
      </c>
      <c r="D19676" s="22" t="str">
        <f>HYPERLINK("https://rhld.insurance.arkansas.gov/NPILookup?Npi=1508449745","1508449745")</f>
        <v>1508449745</v>
      </c>
      <c r="E19676" s="1" t="s">
        <v>24566</v>
      </c>
      <c r="F19676" s="2"/>
      <c r="G19676" s="2"/>
      <c r="H19676" s="2"/>
    </row>
    <row r="19677" spans="1:8" x14ac:dyDescent="0.25">
      <c r="A19677" s="1"/>
      <c r="B19677" s="1" t="s">
        <v>6862</v>
      </c>
      <c r="C19677" s="1" t="s">
        <v>6863</v>
      </c>
      <c r="D19677" s="22" t="str">
        <f>HYPERLINK("https://rhld.insurance.arkansas.gov/NPILookup?Npi=1508450792","1508450792")</f>
        <v>1508450792</v>
      </c>
      <c r="E19677" s="1" t="s">
        <v>24567</v>
      </c>
      <c r="F19677" s="2"/>
      <c r="G19677" s="2"/>
      <c r="H19677" s="2"/>
    </row>
    <row r="19678" spans="1:8" x14ac:dyDescent="0.25">
      <c r="A19678" s="1"/>
      <c r="B19678" s="1" t="s">
        <v>6862</v>
      </c>
      <c r="C19678" s="1" t="s">
        <v>6863</v>
      </c>
      <c r="D19678" s="22" t="str">
        <f>HYPERLINK("https://rhld.insurance.arkansas.gov/NPILookup?Npi=1508467937","1508467937")</f>
        <v>1508467937</v>
      </c>
      <c r="E19678" s="1" t="s">
        <v>16165</v>
      </c>
      <c r="F19678" s="2"/>
      <c r="G19678" s="2"/>
      <c r="H19678" s="2"/>
    </row>
    <row r="19679" spans="1:8" x14ac:dyDescent="0.25">
      <c r="A19679" s="1"/>
      <c r="B19679" s="1" t="s">
        <v>6862</v>
      </c>
      <c r="C19679" s="1" t="s">
        <v>6863</v>
      </c>
      <c r="D19679" s="22" t="str">
        <f>HYPERLINK("https://rhld.insurance.arkansas.gov/NPILookup?Npi=1508470147","1508470147")</f>
        <v>1508470147</v>
      </c>
      <c r="E19679" s="1" t="s">
        <v>24568</v>
      </c>
      <c r="F19679" s="2"/>
      <c r="G19679" s="2"/>
      <c r="H19679" s="2"/>
    </row>
    <row r="19680" spans="1:8" x14ac:dyDescent="0.25">
      <c r="A19680" s="1"/>
      <c r="B19680" s="1" t="s">
        <v>6862</v>
      </c>
      <c r="C19680" s="1" t="s">
        <v>6863</v>
      </c>
      <c r="D19680" s="22" t="str">
        <f>HYPERLINK("https://rhld.insurance.arkansas.gov/NPILookup?Npi=1508471558","1508471558")</f>
        <v>1508471558</v>
      </c>
      <c r="E19680" s="1" t="s">
        <v>24569</v>
      </c>
      <c r="F19680" s="2"/>
      <c r="G19680" s="2"/>
      <c r="H19680" s="2"/>
    </row>
    <row r="19681" spans="1:8" x14ac:dyDescent="0.25">
      <c r="A19681" s="1"/>
      <c r="B19681" s="1" t="s">
        <v>6862</v>
      </c>
      <c r="C19681" s="1" t="s">
        <v>6863</v>
      </c>
      <c r="D19681" s="22" t="str">
        <f>HYPERLINK("https://rhld.insurance.arkansas.gov/NPILookup?Npi=1518063304","1518063304")</f>
        <v>1518063304</v>
      </c>
      <c r="E19681" s="1" t="s">
        <v>24570</v>
      </c>
      <c r="F19681" s="2"/>
      <c r="G19681" s="2"/>
      <c r="H19681" s="2"/>
    </row>
    <row r="19682" spans="1:8" x14ac:dyDescent="0.25">
      <c r="A19682" s="1"/>
      <c r="B19682" s="1" t="s">
        <v>6862</v>
      </c>
      <c r="C19682" s="1" t="s">
        <v>6863</v>
      </c>
      <c r="D19682" s="22" t="str">
        <f>HYPERLINK("https://rhld.insurance.arkansas.gov/NPILookup?Npi=1518082890","1518082890")</f>
        <v>1518082890</v>
      </c>
      <c r="E19682" s="1" t="s">
        <v>24571</v>
      </c>
      <c r="F19682" s="2"/>
      <c r="G19682" s="2"/>
      <c r="H19682" s="2"/>
    </row>
    <row r="19683" spans="1:8" x14ac:dyDescent="0.25">
      <c r="A19683" s="1"/>
      <c r="B19683" s="1" t="s">
        <v>6862</v>
      </c>
      <c r="C19683" s="1" t="s">
        <v>6863</v>
      </c>
      <c r="D19683" s="22" t="str">
        <f>HYPERLINK("https://rhld.insurance.arkansas.gov/NPILookup?Npi=1518180942","1518180942")</f>
        <v>1518180942</v>
      </c>
      <c r="E19683" s="1" t="s">
        <v>7067</v>
      </c>
      <c r="F19683" s="2"/>
      <c r="G19683" s="2"/>
      <c r="H19683" s="2"/>
    </row>
    <row r="19684" spans="1:8" x14ac:dyDescent="0.25">
      <c r="A19684" s="1"/>
      <c r="B19684" s="1" t="s">
        <v>6862</v>
      </c>
      <c r="C19684" s="1" t="s">
        <v>6863</v>
      </c>
      <c r="D19684" s="22" t="str">
        <f>HYPERLINK("https://rhld.insurance.arkansas.gov/NPILookup?Npi=1518219534","1518219534")</f>
        <v>1518219534</v>
      </c>
      <c r="E19684" s="1" t="s">
        <v>24572</v>
      </c>
      <c r="F19684" s="2"/>
      <c r="G19684" s="2"/>
      <c r="H19684" s="2"/>
    </row>
    <row r="19685" spans="1:8" x14ac:dyDescent="0.25">
      <c r="A19685" s="1"/>
      <c r="B19685" s="1" t="s">
        <v>6862</v>
      </c>
      <c r="C19685" s="1" t="s">
        <v>6863</v>
      </c>
      <c r="D19685" s="22" t="str">
        <f>HYPERLINK("https://rhld.insurance.arkansas.gov/NPILookup?Npi=1518249564","1518249564")</f>
        <v>1518249564</v>
      </c>
      <c r="E19685" s="1" t="s">
        <v>7068</v>
      </c>
      <c r="F19685" s="2"/>
      <c r="G19685" s="2"/>
      <c r="H19685" s="2"/>
    </row>
    <row r="19686" spans="1:8" x14ac:dyDescent="0.25">
      <c r="A19686" s="1"/>
      <c r="B19686" s="1" t="s">
        <v>6862</v>
      </c>
      <c r="C19686" s="1" t="s">
        <v>6863</v>
      </c>
      <c r="D19686" s="22" t="str">
        <f>HYPERLINK("https://rhld.insurance.arkansas.gov/NPILookup?Npi=1518327600","1518327600")</f>
        <v>1518327600</v>
      </c>
      <c r="E19686" s="1" t="s">
        <v>7069</v>
      </c>
      <c r="F19686" s="2"/>
      <c r="G19686" s="2"/>
      <c r="H19686" s="2"/>
    </row>
    <row r="19687" spans="1:8" x14ac:dyDescent="0.25">
      <c r="A19687" s="1"/>
      <c r="B19687" s="1" t="s">
        <v>6862</v>
      </c>
      <c r="C19687" s="1" t="s">
        <v>6863</v>
      </c>
      <c r="D19687" s="22" t="str">
        <f>HYPERLINK("https://rhld.insurance.arkansas.gov/NPILookup?Npi=1518361823","1518361823")</f>
        <v>1518361823</v>
      </c>
      <c r="E19687" s="1" t="s">
        <v>24573</v>
      </c>
      <c r="F19687" s="2"/>
      <c r="G19687" s="2"/>
      <c r="H19687" s="2"/>
    </row>
    <row r="19688" spans="1:8" x14ac:dyDescent="0.25">
      <c r="A19688" s="1"/>
      <c r="B19688" s="1" t="s">
        <v>6862</v>
      </c>
      <c r="C19688" s="1" t="s">
        <v>6863</v>
      </c>
      <c r="D19688" s="22" t="str">
        <f>HYPERLINK("https://rhld.insurance.arkansas.gov/NPILookup?Npi=1518375807","1518375807")</f>
        <v>1518375807</v>
      </c>
      <c r="E19688" s="1" t="s">
        <v>24574</v>
      </c>
      <c r="F19688" s="2"/>
      <c r="G19688" s="2"/>
      <c r="H19688" s="2"/>
    </row>
    <row r="19689" spans="1:8" x14ac:dyDescent="0.25">
      <c r="A19689" s="1"/>
      <c r="B19689" s="1" t="s">
        <v>6862</v>
      </c>
      <c r="C19689" s="1" t="s">
        <v>6863</v>
      </c>
      <c r="D19689" s="22" t="str">
        <f>HYPERLINK("https://rhld.insurance.arkansas.gov/NPILookup?Npi=1518379015","1518379015")</f>
        <v>1518379015</v>
      </c>
      <c r="E19689" s="1" t="s">
        <v>7070</v>
      </c>
      <c r="F19689" s="2"/>
      <c r="G19689" s="2"/>
      <c r="H19689" s="2"/>
    </row>
    <row r="19690" spans="1:8" x14ac:dyDescent="0.25">
      <c r="A19690" s="1"/>
      <c r="B19690" s="1" t="s">
        <v>6862</v>
      </c>
      <c r="C19690" s="1" t="s">
        <v>6863</v>
      </c>
      <c r="D19690" s="22" t="str">
        <f>HYPERLINK("https://rhld.insurance.arkansas.gov/NPILookup?Npi=1518516632","1518516632")</f>
        <v>1518516632</v>
      </c>
      <c r="E19690" s="1" t="s">
        <v>12436</v>
      </c>
      <c r="F19690" s="2"/>
      <c r="G19690" s="2"/>
      <c r="H19690" s="2"/>
    </row>
    <row r="19691" spans="1:8" x14ac:dyDescent="0.25">
      <c r="A19691" s="1"/>
      <c r="B19691" s="1" t="s">
        <v>6862</v>
      </c>
      <c r="C19691" s="1" t="s">
        <v>6863</v>
      </c>
      <c r="D19691" s="22" t="str">
        <f>HYPERLINK("https://rhld.insurance.arkansas.gov/NPILookup?Npi=1518633056","1518633056")</f>
        <v>1518633056</v>
      </c>
      <c r="E19691" s="1" t="s">
        <v>24575</v>
      </c>
      <c r="F19691" s="2"/>
      <c r="G19691" s="2"/>
      <c r="H19691" s="2"/>
    </row>
    <row r="19692" spans="1:8" x14ac:dyDescent="0.25">
      <c r="A19692" s="1"/>
      <c r="B19692" s="1" t="s">
        <v>6862</v>
      </c>
      <c r="C19692" s="1" t="s">
        <v>6863</v>
      </c>
      <c r="D19692" s="22" t="str">
        <f>HYPERLINK("https://rhld.insurance.arkansas.gov/NPILookup?Npi=1518634930","1518634930")</f>
        <v>1518634930</v>
      </c>
      <c r="E19692" s="1" t="s">
        <v>12437</v>
      </c>
      <c r="F19692" s="2"/>
      <c r="G19692" s="2"/>
      <c r="H19692" s="2"/>
    </row>
    <row r="19693" spans="1:8" x14ac:dyDescent="0.25">
      <c r="A19693" s="1"/>
      <c r="B19693" s="1" t="s">
        <v>6862</v>
      </c>
      <c r="C19693" s="1" t="s">
        <v>6863</v>
      </c>
      <c r="D19693" s="22" t="str">
        <f>HYPERLINK("https://rhld.insurance.arkansas.gov/NPILookup?Npi=1518665991","1518665991")</f>
        <v>1518665991</v>
      </c>
      <c r="E19693" s="1" t="s">
        <v>4903</v>
      </c>
      <c r="F19693" s="2"/>
      <c r="G19693" s="2"/>
      <c r="H19693" s="2"/>
    </row>
    <row r="19694" spans="1:8" x14ac:dyDescent="0.25">
      <c r="A19694" s="1"/>
      <c r="B19694" s="1" t="s">
        <v>6862</v>
      </c>
      <c r="C19694" s="1" t="s">
        <v>6863</v>
      </c>
      <c r="D19694" s="22" t="str">
        <f>HYPERLINK("https://rhld.insurance.arkansas.gov/NPILookup?Npi=1518731074","1518731074")</f>
        <v>1518731074</v>
      </c>
      <c r="E19694" s="1" t="s">
        <v>7071</v>
      </c>
      <c r="F19694" s="2"/>
      <c r="G19694" s="2"/>
      <c r="H19694" s="2"/>
    </row>
    <row r="19695" spans="1:8" x14ac:dyDescent="0.25">
      <c r="A19695" s="1"/>
      <c r="B19695" s="1" t="s">
        <v>6862</v>
      </c>
      <c r="C19695" s="1" t="s">
        <v>6863</v>
      </c>
      <c r="D19695" s="22" t="str">
        <f>HYPERLINK("https://rhld.insurance.arkansas.gov/NPILookup?Npi=1518996701","1518996701")</f>
        <v>1518996701</v>
      </c>
      <c r="E19695" s="1" t="s">
        <v>24576</v>
      </c>
      <c r="F19695" s="2"/>
      <c r="G19695" s="2"/>
      <c r="H19695" s="2"/>
    </row>
    <row r="19696" spans="1:8" x14ac:dyDescent="0.25">
      <c r="A19696" s="1"/>
      <c r="B19696" s="1" t="s">
        <v>6862</v>
      </c>
      <c r="C19696" s="1" t="s">
        <v>6863</v>
      </c>
      <c r="D19696" s="22" t="str">
        <f>HYPERLINK("https://rhld.insurance.arkansas.gov/NPILookup?Npi=1528180312","1528180312")</f>
        <v>1528180312</v>
      </c>
      <c r="E19696" s="1" t="s">
        <v>7072</v>
      </c>
      <c r="F19696" s="2"/>
      <c r="G19696" s="2"/>
      <c r="H19696" s="2"/>
    </row>
    <row r="19697" spans="1:8" x14ac:dyDescent="0.25">
      <c r="A19697" s="1"/>
      <c r="B19697" s="1" t="s">
        <v>6862</v>
      </c>
      <c r="C19697" s="1" t="s">
        <v>6863</v>
      </c>
      <c r="D19697" s="22" t="str">
        <f>HYPERLINK("https://rhld.insurance.arkansas.gov/NPILookup?Npi=1528291788","1528291788")</f>
        <v>1528291788</v>
      </c>
      <c r="E19697" s="1" t="s">
        <v>12438</v>
      </c>
      <c r="F19697" s="2"/>
      <c r="G19697" s="2"/>
      <c r="H19697" s="2"/>
    </row>
    <row r="19698" spans="1:8" x14ac:dyDescent="0.25">
      <c r="A19698" s="1"/>
      <c r="B19698" s="1" t="s">
        <v>6862</v>
      </c>
      <c r="C19698" s="1" t="s">
        <v>6863</v>
      </c>
      <c r="D19698" s="22" t="str">
        <f>HYPERLINK("https://rhld.insurance.arkansas.gov/NPILookup?Npi=1528514023","1528514023")</f>
        <v>1528514023</v>
      </c>
      <c r="E19698" s="1" t="s">
        <v>7073</v>
      </c>
      <c r="F19698" s="2"/>
      <c r="G19698" s="2"/>
      <c r="H19698" s="2"/>
    </row>
    <row r="19699" spans="1:8" x14ac:dyDescent="0.25">
      <c r="A19699" s="1"/>
      <c r="B19699" s="1" t="s">
        <v>6862</v>
      </c>
      <c r="C19699" s="1" t="s">
        <v>6863</v>
      </c>
      <c r="D19699" s="22" t="str">
        <f>HYPERLINK("https://rhld.insurance.arkansas.gov/NPILookup?Npi=1528525201","1528525201")</f>
        <v>1528525201</v>
      </c>
      <c r="E19699" s="1" t="s">
        <v>24577</v>
      </c>
      <c r="F19699" s="2"/>
      <c r="G19699" s="2"/>
      <c r="H19699" s="2"/>
    </row>
    <row r="19700" spans="1:8" x14ac:dyDescent="0.25">
      <c r="A19700" s="1"/>
      <c r="B19700" s="1" t="s">
        <v>6862</v>
      </c>
      <c r="C19700" s="1" t="s">
        <v>6863</v>
      </c>
      <c r="D19700" s="22" t="str">
        <f>HYPERLINK("https://rhld.insurance.arkansas.gov/NPILookup?Npi=1528615531","1528615531")</f>
        <v>1528615531</v>
      </c>
      <c r="E19700" s="1" t="s">
        <v>24578</v>
      </c>
      <c r="F19700" s="2"/>
      <c r="G19700" s="2"/>
      <c r="H19700" s="2"/>
    </row>
    <row r="19701" spans="1:8" x14ac:dyDescent="0.25">
      <c r="A19701" s="1"/>
      <c r="B19701" s="1" t="s">
        <v>6862</v>
      </c>
      <c r="C19701" s="1" t="s">
        <v>6863</v>
      </c>
      <c r="D19701" s="22" t="str">
        <f>HYPERLINK("https://rhld.insurance.arkansas.gov/NPILookup?Npi=1528635810","1528635810")</f>
        <v>1528635810</v>
      </c>
      <c r="E19701" s="1" t="s">
        <v>24579</v>
      </c>
      <c r="F19701" s="2"/>
      <c r="G19701" s="2"/>
      <c r="H19701" s="2"/>
    </row>
    <row r="19702" spans="1:8" x14ac:dyDescent="0.25">
      <c r="A19702" s="1"/>
      <c r="B19702" s="1" t="s">
        <v>6862</v>
      </c>
      <c r="C19702" s="1" t="s">
        <v>6863</v>
      </c>
      <c r="D19702" s="22" t="str">
        <f>HYPERLINK("https://rhld.insurance.arkansas.gov/NPILookup?Npi=1528651296","1528651296")</f>
        <v>1528651296</v>
      </c>
      <c r="E19702" s="1" t="s">
        <v>24580</v>
      </c>
      <c r="F19702" s="2"/>
      <c r="G19702" s="2"/>
      <c r="H19702" s="2"/>
    </row>
    <row r="19703" spans="1:8" x14ac:dyDescent="0.25">
      <c r="A19703" s="1"/>
      <c r="B19703" s="1" t="s">
        <v>6862</v>
      </c>
      <c r="C19703" s="1" t="s">
        <v>6863</v>
      </c>
      <c r="D19703" s="22" t="str">
        <f>HYPERLINK("https://rhld.insurance.arkansas.gov/NPILookup?Npi=1528672409","1528672409")</f>
        <v>1528672409</v>
      </c>
      <c r="E19703" s="1" t="s">
        <v>24581</v>
      </c>
      <c r="F19703" s="2"/>
      <c r="G19703" s="2"/>
      <c r="H19703" s="2"/>
    </row>
    <row r="19704" spans="1:8" x14ac:dyDescent="0.25">
      <c r="A19704" s="1"/>
      <c r="B19704" s="1" t="s">
        <v>6862</v>
      </c>
      <c r="C19704" s="1" t="s">
        <v>6863</v>
      </c>
      <c r="D19704" s="22" t="str">
        <f>HYPERLINK("https://rhld.insurance.arkansas.gov/NPILookup?Npi=1538111612","1538111612")</f>
        <v>1538111612</v>
      </c>
      <c r="E19704" s="1" t="s">
        <v>24582</v>
      </c>
      <c r="F19704" s="2"/>
      <c r="G19704" s="2"/>
      <c r="H19704" s="2"/>
    </row>
    <row r="19705" spans="1:8" x14ac:dyDescent="0.25">
      <c r="A19705" s="1"/>
      <c r="B19705" s="1" t="s">
        <v>6862</v>
      </c>
      <c r="C19705" s="1" t="s">
        <v>6863</v>
      </c>
      <c r="D19705" s="22" t="str">
        <f>HYPERLINK("https://rhld.insurance.arkansas.gov/NPILookup?Npi=1538129812","1538129812")</f>
        <v>1538129812</v>
      </c>
      <c r="E19705" s="1" t="s">
        <v>7074</v>
      </c>
      <c r="F19705" s="2"/>
      <c r="G19705" s="2"/>
      <c r="H19705" s="2"/>
    </row>
    <row r="19706" spans="1:8" x14ac:dyDescent="0.25">
      <c r="A19706" s="1"/>
      <c r="B19706" s="1" t="s">
        <v>6862</v>
      </c>
      <c r="C19706" s="1" t="s">
        <v>6863</v>
      </c>
      <c r="D19706" s="22" t="str">
        <f>HYPERLINK("https://rhld.insurance.arkansas.gov/NPILookup?Npi=1538181953","1538181953")</f>
        <v>1538181953</v>
      </c>
      <c r="E19706" s="1" t="s">
        <v>24583</v>
      </c>
      <c r="F19706" s="2"/>
      <c r="G19706" s="2"/>
      <c r="H19706" s="2"/>
    </row>
    <row r="19707" spans="1:8" x14ac:dyDescent="0.25">
      <c r="A19707" s="1"/>
      <c r="B19707" s="1" t="s">
        <v>6862</v>
      </c>
      <c r="C19707" s="1" t="s">
        <v>6863</v>
      </c>
      <c r="D19707" s="22" t="str">
        <f>HYPERLINK("https://rhld.insurance.arkansas.gov/NPILookup?Npi=1538206727","1538206727")</f>
        <v>1538206727</v>
      </c>
      <c r="E19707" s="1" t="s">
        <v>24584</v>
      </c>
      <c r="F19707" s="2"/>
      <c r="G19707" s="2"/>
      <c r="H19707" s="2"/>
    </row>
    <row r="19708" spans="1:8" x14ac:dyDescent="0.25">
      <c r="A19708" s="1"/>
      <c r="B19708" s="1" t="s">
        <v>6862</v>
      </c>
      <c r="C19708" s="1" t="s">
        <v>6863</v>
      </c>
      <c r="D19708" s="22" t="str">
        <f>HYPERLINK("https://rhld.insurance.arkansas.gov/NPILookup?Npi=1538388087","1538388087")</f>
        <v>1538388087</v>
      </c>
      <c r="E19708" s="1" t="s">
        <v>12439</v>
      </c>
      <c r="F19708" s="2"/>
      <c r="G19708" s="2"/>
      <c r="H19708" s="2"/>
    </row>
    <row r="19709" spans="1:8" x14ac:dyDescent="0.25">
      <c r="A19709" s="1"/>
      <c r="B19709" s="1" t="s">
        <v>6862</v>
      </c>
      <c r="C19709" s="1" t="s">
        <v>6863</v>
      </c>
      <c r="D19709" s="22" t="str">
        <f>HYPERLINK("https://rhld.insurance.arkansas.gov/NPILookup?Npi=1538388707","1538388707")</f>
        <v>1538388707</v>
      </c>
      <c r="E19709" s="1" t="s">
        <v>7075</v>
      </c>
      <c r="F19709" s="2"/>
      <c r="G19709" s="2"/>
      <c r="H19709" s="2"/>
    </row>
    <row r="19710" spans="1:8" x14ac:dyDescent="0.25">
      <c r="A19710" s="1"/>
      <c r="B19710" s="1" t="s">
        <v>6862</v>
      </c>
      <c r="C19710" s="1" t="s">
        <v>6863</v>
      </c>
      <c r="D19710" s="22" t="str">
        <f>HYPERLINK("https://rhld.insurance.arkansas.gov/NPILookup?Npi=1538392360","1538392360")</f>
        <v>1538392360</v>
      </c>
      <c r="E19710" s="1" t="s">
        <v>24585</v>
      </c>
      <c r="F19710" s="2"/>
      <c r="G19710" s="2"/>
      <c r="H19710" s="2"/>
    </row>
    <row r="19711" spans="1:8" x14ac:dyDescent="0.25">
      <c r="A19711" s="1"/>
      <c r="B19711" s="1" t="s">
        <v>6862</v>
      </c>
      <c r="C19711" s="1" t="s">
        <v>6863</v>
      </c>
      <c r="D19711" s="22" t="str">
        <f>HYPERLINK("https://rhld.insurance.arkansas.gov/NPILookup?Npi=1538398615","1538398615")</f>
        <v>1538398615</v>
      </c>
      <c r="E19711" s="1" t="s">
        <v>7076</v>
      </c>
      <c r="F19711" s="2"/>
      <c r="G19711" s="2"/>
      <c r="H19711" s="2"/>
    </row>
    <row r="19712" spans="1:8" x14ac:dyDescent="0.25">
      <c r="A19712" s="1"/>
      <c r="B19712" s="1" t="s">
        <v>6862</v>
      </c>
      <c r="C19712" s="1" t="s">
        <v>6863</v>
      </c>
      <c r="D19712" s="22" t="str">
        <f>HYPERLINK("https://rhld.insurance.arkansas.gov/NPILookup?Npi=1538413679","1538413679")</f>
        <v>1538413679</v>
      </c>
      <c r="E19712" s="1" t="s">
        <v>12440</v>
      </c>
      <c r="F19712" s="2"/>
      <c r="G19712" s="2"/>
      <c r="H19712" s="2"/>
    </row>
    <row r="19713" spans="1:8" x14ac:dyDescent="0.25">
      <c r="A19713" s="1"/>
      <c r="B19713" s="1" t="s">
        <v>6862</v>
      </c>
      <c r="C19713" s="1" t="s">
        <v>6863</v>
      </c>
      <c r="D19713" s="22" t="str">
        <f>HYPERLINK("https://rhld.insurance.arkansas.gov/NPILookup?Npi=1538437306","1538437306")</f>
        <v>1538437306</v>
      </c>
      <c r="E19713" s="1" t="s">
        <v>12441</v>
      </c>
      <c r="F19713" s="2"/>
      <c r="G19713" s="2"/>
      <c r="H19713" s="2"/>
    </row>
    <row r="19714" spans="1:8" x14ac:dyDescent="0.25">
      <c r="A19714" s="1"/>
      <c r="B19714" s="1" t="s">
        <v>6862</v>
      </c>
      <c r="C19714" s="1" t="s">
        <v>6863</v>
      </c>
      <c r="D19714" s="22" t="str">
        <f>HYPERLINK("https://rhld.insurance.arkansas.gov/NPILookup?Npi=1538460548","1538460548")</f>
        <v>1538460548</v>
      </c>
      <c r="E19714" s="1" t="s">
        <v>7077</v>
      </c>
      <c r="F19714" s="2"/>
      <c r="G19714" s="2"/>
      <c r="H19714" s="2"/>
    </row>
    <row r="19715" spans="1:8" x14ac:dyDescent="0.25">
      <c r="A19715" s="1"/>
      <c r="B19715" s="1" t="s">
        <v>6862</v>
      </c>
      <c r="C19715" s="1" t="s">
        <v>6863</v>
      </c>
      <c r="D19715" s="22" t="str">
        <f>HYPERLINK("https://rhld.insurance.arkansas.gov/NPILookup?Npi=1538471164","1538471164")</f>
        <v>1538471164</v>
      </c>
      <c r="E19715" s="1" t="s">
        <v>24586</v>
      </c>
      <c r="F19715" s="2"/>
      <c r="G19715" s="2"/>
      <c r="H19715" s="2"/>
    </row>
    <row r="19716" spans="1:8" x14ac:dyDescent="0.25">
      <c r="A19716" s="1"/>
      <c r="B19716" s="1" t="s">
        <v>6862</v>
      </c>
      <c r="C19716" s="1" t="s">
        <v>6863</v>
      </c>
      <c r="D19716" s="22" t="str">
        <f>HYPERLINK("https://rhld.insurance.arkansas.gov/NPILookup?Npi=1538542022","1538542022")</f>
        <v>1538542022</v>
      </c>
      <c r="E19716" s="1" t="s">
        <v>7078</v>
      </c>
      <c r="F19716" s="2"/>
      <c r="G19716" s="2"/>
      <c r="H19716" s="2"/>
    </row>
    <row r="19717" spans="1:8" x14ac:dyDescent="0.25">
      <c r="A19717" s="1"/>
      <c r="B19717" s="1" t="s">
        <v>6862</v>
      </c>
      <c r="C19717" s="1" t="s">
        <v>6863</v>
      </c>
      <c r="D19717" s="22" t="str">
        <f>HYPERLINK("https://rhld.insurance.arkansas.gov/NPILookup?Npi=1538544606","1538544606")</f>
        <v>1538544606</v>
      </c>
      <c r="E19717" s="1" t="s">
        <v>24587</v>
      </c>
      <c r="F19717" s="2"/>
      <c r="G19717" s="2"/>
      <c r="H19717" s="2"/>
    </row>
    <row r="19718" spans="1:8" x14ac:dyDescent="0.25">
      <c r="A19718" s="1"/>
      <c r="B19718" s="1" t="s">
        <v>6862</v>
      </c>
      <c r="C19718" s="1" t="s">
        <v>6863</v>
      </c>
      <c r="D19718" s="22" t="str">
        <f>HYPERLINK("https://rhld.insurance.arkansas.gov/NPILookup?Npi=1538601406","1538601406")</f>
        <v>1538601406</v>
      </c>
      <c r="E19718" s="1" t="s">
        <v>10321</v>
      </c>
      <c r="F19718" s="2"/>
      <c r="G19718" s="2"/>
      <c r="H19718" s="2"/>
    </row>
    <row r="19719" spans="1:8" x14ac:dyDescent="0.25">
      <c r="A19719" s="1"/>
      <c r="B19719" s="1" t="s">
        <v>6862</v>
      </c>
      <c r="C19719" s="1" t="s">
        <v>6863</v>
      </c>
      <c r="D19719" s="22" t="str">
        <f>HYPERLINK("https://rhld.insurance.arkansas.gov/NPILookup?Npi=1538624101","1538624101")</f>
        <v>1538624101</v>
      </c>
      <c r="E19719" s="1" t="s">
        <v>24588</v>
      </c>
      <c r="F19719" s="2"/>
      <c r="G19719" s="2"/>
      <c r="H19719" s="2"/>
    </row>
    <row r="19720" spans="1:8" x14ac:dyDescent="0.25">
      <c r="A19720" s="1"/>
      <c r="B19720" s="1" t="s">
        <v>6862</v>
      </c>
      <c r="C19720" s="1" t="s">
        <v>6863</v>
      </c>
      <c r="D19720" s="22" t="str">
        <f>HYPERLINK("https://rhld.insurance.arkansas.gov/NPILookup?Npi=1538641113","1538641113")</f>
        <v>1538641113</v>
      </c>
      <c r="E19720" s="1" t="s">
        <v>24589</v>
      </c>
      <c r="F19720" s="2"/>
      <c r="G19720" s="2"/>
      <c r="H19720" s="2"/>
    </row>
    <row r="19721" spans="1:8" x14ac:dyDescent="0.25">
      <c r="A19721" s="1"/>
      <c r="B19721" s="1" t="s">
        <v>6862</v>
      </c>
      <c r="C19721" s="1" t="s">
        <v>6863</v>
      </c>
      <c r="D19721" s="22" t="str">
        <f>HYPERLINK("https://rhld.insurance.arkansas.gov/NPILookup?Npi=1538651393","1538651393")</f>
        <v>1538651393</v>
      </c>
      <c r="E19721" s="1" t="s">
        <v>24590</v>
      </c>
      <c r="F19721" s="2"/>
      <c r="G19721" s="2"/>
      <c r="H19721" s="2"/>
    </row>
    <row r="19722" spans="1:8" x14ac:dyDescent="0.25">
      <c r="A19722" s="1"/>
      <c r="B19722" s="1" t="s">
        <v>6862</v>
      </c>
      <c r="C19722" s="1" t="s">
        <v>6863</v>
      </c>
      <c r="D19722" s="22" t="str">
        <f>HYPERLINK("https://rhld.insurance.arkansas.gov/NPILookup?Npi=1538683420","1538683420")</f>
        <v>1538683420</v>
      </c>
      <c r="E19722" s="1" t="s">
        <v>24591</v>
      </c>
      <c r="F19722" s="2"/>
      <c r="G19722" s="2"/>
      <c r="H19722" s="2"/>
    </row>
    <row r="19723" spans="1:8" x14ac:dyDescent="0.25">
      <c r="A19723" s="1"/>
      <c r="B19723" s="1" t="s">
        <v>6862</v>
      </c>
      <c r="C19723" s="1" t="s">
        <v>6863</v>
      </c>
      <c r="D19723" s="22" t="str">
        <f>HYPERLINK("https://rhld.insurance.arkansas.gov/NPILookup?Npi=1538700679","1538700679")</f>
        <v>1538700679</v>
      </c>
      <c r="E19723" s="1" t="s">
        <v>32034</v>
      </c>
      <c r="F19723" s="2"/>
      <c r="G19723" s="2"/>
      <c r="H19723" s="2"/>
    </row>
    <row r="19724" spans="1:8" x14ac:dyDescent="0.25">
      <c r="A19724" s="1"/>
      <c r="B19724" s="1" t="s">
        <v>6862</v>
      </c>
      <c r="C19724" s="1" t="s">
        <v>6863</v>
      </c>
      <c r="D19724" s="22" t="str">
        <f>HYPERLINK("https://rhld.insurance.arkansas.gov/NPILookup?Npi=1538791777","1538791777")</f>
        <v>1538791777</v>
      </c>
      <c r="E19724" s="1" t="s">
        <v>24592</v>
      </c>
      <c r="F19724" s="2"/>
      <c r="G19724" s="2"/>
      <c r="H19724" s="2"/>
    </row>
    <row r="19725" spans="1:8" x14ac:dyDescent="0.25">
      <c r="A19725" s="1"/>
      <c r="B19725" s="1" t="s">
        <v>6862</v>
      </c>
      <c r="C19725" s="1" t="s">
        <v>6863</v>
      </c>
      <c r="D19725" s="22" t="str">
        <f>HYPERLINK("https://rhld.insurance.arkansas.gov/NPILookup?Npi=1538807243","1538807243")</f>
        <v>1538807243</v>
      </c>
      <c r="E19725" s="1" t="s">
        <v>24593</v>
      </c>
      <c r="F19725" s="2"/>
      <c r="G19725" s="2"/>
      <c r="H19725" s="2"/>
    </row>
    <row r="19726" spans="1:8" x14ac:dyDescent="0.25">
      <c r="A19726" s="1"/>
      <c r="B19726" s="1" t="s">
        <v>6862</v>
      </c>
      <c r="C19726" s="1" t="s">
        <v>6863</v>
      </c>
      <c r="D19726" s="22" t="str">
        <f>HYPERLINK("https://rhld.insurance.arkansas.gov/NPILookup?Npi=1538826748","1538826748")</f>
        <v>1538826748</v>
      </c>
      <c r="E19726" s="1" t="s">
        <v>12442</v>
      </c>
      <c r="F19726" s="2"/>
      <c r="G19726" s="2"/>
      <c r="H19726" s="2"/>
    </row>
    <row r="19727" spans="1:8" x14ac:dyDescent="0.25">
      <c r="A19727" s="1"/>
      <c r="B19727" s="1" t="s">
        <v>6862</v>
      </c>
      <c r="C19727" s="1" t="s">
        <v>6863</v>
      </c>
      <c r="D19727" s="22" t="str">
        <f>HYPERLINK("https://rhld.insurance.arkansas.gov/NPILookup?Npi=1538836481","1538836481")</f>
        <v>1538836481</v>
      </c>
      <c r="E19727" s="1" t="s">
        <v>6115</v>
      </c>
      <c r="F19727" s="2"/>
      <c r="G19727" s="2"/>
      <c r="H19727" s="2"/>
    </row>
    <row r="19728" spans="1:8" x14ac:dyDescent="0.25">
      <c r="A19728" s="1"/>
      <c r="B19728" s="1" t="s">
        <v>6862</v>
      </c>
      <c r="C19728" s="1" t="s">
        <v>6863</v>
      </c>
      <c r="D19728" s="22" t="str">
        <f>HYPERLINK("https://rhld.insurance.arkansas.gov/NPILookup?Npi=1538837232","1538837232")</f>
        <v>1538837232</v>
      </c>
      <c r="E19728" s="1" t="s">
        <v>24594</v>
      </c>
      <c r="F19728" s="2"/>
      <c r="G19728" s="2"/>
      <c r="H19728" s="2"/>
    </row>
    <row r="19729" spans="1:8" x14ac:dyDescent="0.25">
      <c r="A19729" s="1"/>
      <c r="B19729" s="1" t="s">
        <v>6862</v>
      </c>
      <c r="C19729" s="1" t="s">
        <v>6863</v>
      </c>
      <c r="D19729" s="22" t="str">
        <f>HYPERLINK("https://rhld.insurance.arkansas.gov/NPILookup?Npi=1538877964","1538877964")</f>
        <v>1538877964</v>
      </c>
      <c r="E19729" s="1" t="s">
        <v>24595</v>
      </c>
      <c r="F19729" s="2"/>
      <c r="G19729" s="2"/>
      <c r="H19729" s="2"/>
    </row>
    <row r="19730" spans="1:8" x14ac:dyDescent="0.25">
      <c r="A19730" s="1"/>
      <c r="B19730" s="1" t="s">
        <v>6862</v>
      </c>
      <c r="C19730" s="1" t="s">
        <v>6863</v>
      </c>
      <c r="D19730" s="22" t="str">
        <f>HYPERLINK("https://rhld.insurance.arkansas.gov/NPILookup?Npi=1538891320","1538891320")</f>
        <v>1538891320</v>
      </c>
      <c r="E19730" s="1" t="s">
        <v>24596</v>
      </c>
      <c r="F19730" s="2"/>
      <c r="G19730" s="2"/>
      <c r="H19730" s="2"/>
    </row>
    <row r="19731" spans="1:8" x14ac:dyDescent="0.25">
      <c r="A19731" s="1"/>
      <c r="B19731" s="1" t="s">
        <v>6862</v>
      </c>
      <c r="C19731" s="1" t="s">
        <v>6863</v>
      </c>
      <c r="D19731" s="22" t="str">
        <f>HYPERLINK("https://rhld.insurance.arkansas.gov/NPILookup?Npi=1538988399","1538988399")</f>
        <v>1538988399</v>
      </c>
      <c r="E19731" s="1" t="s">
        <v>24597</v>
      </c>
      <c r="F19731" s="2"/>
      <c r="G19731" s="2"/>
      <c r="H19731" s="2"/>
    </row>
    <row r="19732" spans="1:8" x14ac:dyDescent="0.25">
      <c r="A19732" s="1"/>
      <c r="B19732" s="1" t="s">
        <v>6862</v>
      </c>
      <c r="C19732" s="1" t="s">
        <v>6863</v>
      </c>
      <c r="D19732" s="22" t="str">
        <f>HYPERLINK("https://rhld.insurance.arkansas.gov/NPILookup?Npi=1548018534","1548018534")</f>
        <v>1548018534</v>
      </c>
      <c r="E19732" s="1" t="s">
        <v>32035</v>
      </c>
      <c r="F19732" s="2"/>
      <c r="G19732" s="2"/>
      <c r="H19732" s="2"/>
    </row>
    <row r="19733" spans="1:8" x14ac:dyDescent="0.25">
      <c r="A19733" s="1"/>
      <c r="B19733" s="1" t="s">
        <v>6862</v>
      </c>
      <c r="C19733" s="1" t="s">
        <v>6863</v>
      </c>
      <c r="D19733" s="22" t="str">
        <f>HYPERLINK("https://rhld.insurance.arkansas.gov/NPILookup?Npi=1548043854","1548043854")</f>
        <v>1548043854</v>
      </c>
      <c r="E19733" s="1" t="s">
        <v>7079</v>
      </c>
      <c r="F19733" s="2"/>
      <c r="G19733" s="2"/>
      <c r="H19733" s="2"/>
    </row>
    <row r="19734" spans="1:8" x14ac:dyDescent="0.25">
      <c r="A19734" s="1"/>
      <c r="B19734" s="1" t="s">
        <v>6862</v>
      </c>
      <c r="C19734" s="1" t="s">
        <v>6863</v>
      </c>
      <c r="D19734" s="22" t="str">
        <f>HYPERLINK("https://rhld.insurance.arkansas.gov/NPILookup?Npi=1548210743","1548210743")</f>
        <v>1548210743</v>
      </c>
      <c r="E19734" s="1" t="s">
        <v>24598</v>
      </c>
      <c r="F19734" s="2"/>
      <c r="G19734" s="2"/>
      <c r="H19734" s="2"/>
    </row>
    <row r="19735" spans="1:8" x14ac:dyDescent="0.25">
      <c r="A19735" s="1"/>
      <c r="B19735" s="1" t="s">
        <v>6862</v>
      </c>
      <c r="C19735" s="1" t="s">
        <v>6863</v>
      </c>
      <c r="D19735" s="22" t="str">
        <f>HYPERLINK("https://rhld.insurance.arkansas.gov/NPILookup?Npi=1548220510","1548220510")</f>
        <v>1548220510</v>
      </c>
      <c r="E19735" s="1" t="s">
        <v>12443</v>
      </c>
      <c r="F19735" s="2"/>
      <c r="G19735" s="2"/>
      <c r="H19735" s="2"/>
    </row>
    <row r="19736" spans="1:8" x14ac:dyDescent="0.25">
      <c r="A19736" s="1"/>
      <c r="B19736" s="1" t="s">
        <v>6862</v>
      </c>
      <c r="C19736" s="1" t="s">
        <v>6863</v>
      </c>
      <c r="D19736" s="22" t="str">
        <f>HYPERLINK("https://rhld.insurance.arkansas.gov/NPILookup?Npi=1548251697","1548251697")</f>
        <v>1548251697</v>
      </c>
      <c r="E19736" s="1" t="s">
        <v>24599</v>
      </c>
      <c r="F19736" s="2"/>
      <c r="G19736" s="2"/>
      <c r="H19736" s="2"/>
    </row>
    <row r="19737" spans="1:8" x14ac:dyDescent="0.25">
      <c r="A19737" s="1"/>
      <c r="B19737" s="1" t="s">
        <v>6862</v>
      </c>
      <c r="C19737" s="1" t="s">
        <v>6863</v>
      </c>
      <c r="D19737" s="22" t="str">
        <f>HYPERLINK("https://rhld.insurance.arkansas.gov/NPILookup?Npi=1548252653","1548252653")</f>
        <v>1548252653</v>
      </c>
      <c r="E19737" s="1" t="s">
        <v>24600</v>
      </c>
      <c r="F19737" s="2"/>
      <c r="G19737" s="2"/>
      <c r="H19737" s="2"/>
    </row>
    <row r="19738" spans="1:8" x14ac:dyDescent="0.25">
      <c r="A19738" s="1"/>
      <c r="B19738" s="1" t="s">
        <v>6862</v>
      </c>
      <c r="C19738" s="1" t="s">
        <v>6863</v>
      </c>
      <c r="D19738" s="22" t="str">
        <f>HYPERLINK("https://rhld.insurance.arkansas.gov/NPILookup?Npi=1548295710","1548295710")</f>
        <v>1548295710</v>
      </c>
      <c r="E19738" s="1" t="s">
        <v>7080</v>
      </c>
      <c r="F19738" s="2"/>
      <c r="G19738" s="2"/>
      <c r="H19738" s="2"/>
    </row>
    <row r="19739" spans="1:8" x14ac:dyDescent="0.25">
      <c r="A19739" s="1"/>
      <c r="B19739" s="1" t="s">
        <v>6862</v>
      </c>
      <c r="C19739" s="1" t="s">
        <v>6863</v>
      </c>
      <c r="D19739" s="22" t="str">
        <f>HYPERLINK("https://rhld.insurance.arkansas.gov/NPILookup?Npi=1548627326","1548627326")</f>
        <v>1548627326</v>
      </c>
      <c r="E19739" s="1" t="s">
        <v>12444</v>
      </c>
      <c r="F19739" s="2"/>
      <c r="G19739" s="2"/>
      <c r="H19739" s="2"/>
    </row>
    <row r="19740" spans="1:8" x14ac:dyDescent="0.25">
      <c r="A19740" s="1"/>
      <c r="B19740" s="1" t="s">
        <v>6862</v>
      </c>
      <c r="C19740" s="1" t="s">
        <v>6863</v>
      </c>
      <c r="D19740" s="22" t="str">
        <f>HYPERLINK("https://rhld.insurance.arkansas.gov/NPILookup?Npi=1548646250","1548646250")</f>
        <v>1548646250</v>
      </c>
      <c r="E19740" s="1" t="s">
        <v>12445</v>
      </c>
      <c r="F19740" s="2"/>
      <c r="G19740" s="2"/>
      <c r="H19740" s="2"/>
    </row>
    <row r="19741" spans="1:8" x14ac:dyDescent="0.25">
      <c r="A19741" s="1"/>
      <c r="B19741" s="1" t="s">
        <v>6862</v>
      </c>
      <c r="C19741" s="1" t="s">
        <v>6863</v>
      </c>
      <c r="D19741" s="22" t="str">
        <f>HYPERLINK("https://rhld.insurance.arkansas.gov/NPILookup?Npi=1548711088","1548711088")</f>
        <v>1548711088</v>
      </c>
      <c r="E19741" s="1" t="s">
        <v>12446</v>
      </c>
      <c r="F19741" s="2"/>
      <c r="G19741" s="2"/>
      <c r="H19741" s="2"/>
    </row>
    <row r="19742" spans="1:8" x14ac:dyDescent="0.25">
      <c r="A19742" s="1"/>
      <c r="B19742" s="1" t="s">
        <v>6862</v>
      </c>
      <c r="C19742" s="1" t="s">
        <v>6863</v>
      </c>
      <c r="D19742" s="22" t="str">
        <f>HYPERLINK("https://rhld.insurance.arkansas.gov/NPILookup?Npi=1548802671","1548802671")</f>
        <v>1548802671</v>
      </c>
      <c r="E19742" s="1" t="s">
        <v>7081</v>
      </c>
      <c r="F19742" s="2"/>
      <c r="G19742" s="2"/>
      <c r="H19742" s="2"/>
    </row>
    <row r="19743" spans="1:8" x14ac:dyDescent="0.25">
      <c r="A19743" s="1"/>
      <c r="B19743" s="1" t="s">
        <v>6862</v>
      </c>
      <c r="C19743" s="1" t="s">
        <v>6863</v>
      </c>
      <c r="D19743" s="22" t="str">
        <f>HYPERLINK("https://rhld.insurance.arkansas.gov/NPILookup?Npi=1548807480","1548807480")</f>
        <v>1548807480</v>
      </c>
      <c r="E19743" s="1" t="s">
        <v>475</v>
      </c>
      <c r="F19743" s="2"/>
      <c r="G19743" s="2"/>
      <c r="H19743" s="2"/>
    </row>
    <row r="19744" spans="1:8" x14ac:dyDescent="0.25">
      <c r="A19744" s="1"/>
      <c r="B19744" s="1" t="s">
        <v>6862</v>
      </c>
      <c r="C19744" s="1" t="s">
        <v>6863</v>
      </c>
      <c r="D19744" s="22" t="str">
        <f>HYPERLINK("https://rhld.insurance.arkansas.gov/NPILookup?Npi=1548817349","1548817349")</f>
        <v>1548817349</v>
      </c>
      <c r="E19744" s="1" t="s">
        <v>24601</v>
      </c>
      <c r="F19744" s="2"/>
      <c r="G19744" s="2"/>
      <c r="H19744" s="2"/>
    </row>
    <row r="19745" spans="1:8" x14ac:dyDescent="0.25">
      <c r="A19745" s="1"/>
      <c r="B19745" s="1" t="s">
        <v>6862</v>
      </c>
      <c r="C19745" s="1" t="s">
        <v>6863</v>
      </c>
      <c r="D19745" s="22" t="str">
        <f>HYPERLINK("https://rhld.insurance.arkansas.gov/NPILookup?Npi=1548818065","1548818065")</f>
        <v>1548818065</v>
      </c>
      <c r="E19745" s="1" t="s">
        <v>24602</v>
      </c>
      <c r="F19745" s="2"/>
      <c r="G19745" s="2"/>
      <c r="H19745" s="2"/>
    </row>
    <row r="19746" spans="1:8" x14ac:dyDescent="0.25">
      <c r="A19746" s="1"/>
      <c r="B19746" s="1" t="s">
        <v>6862</v>
      </c>
      <c r="C19746" s="1" t="s">
        <v>6863</v>
      </c>
      <c r="D19746" s="22" t="str">
        <f>HYPERLINK("https://rhld.insurance.arkansas.gov/NPILookup?Npi=1548820962","1548820962")</f>
        <v>1548820962</v>
      </c>
      <c r="E19746" s="1" t="s">
        <v>24603</v>
      </c>
      <c r="F19746" s="2"/>
      <c r="G19746" s="2"/>
      <c r="H19746" s="2"/>
    </row>
    <row r="19747" spans="1:8" x14ac:dyDescent="0.25">
      <c r="A19747" s="1"/>
      <c r="B19747" s="1" t="s">
        <v>6862</v>
      </c>
      <c r="C19747" s="1" t="s">
        <v>6863</v>
      </c>
      <c r="D19747" s="22" t="str">
        <f>HYPERLINK("https://rhld.insurance.arkansas.gov/NPILookup?Npi=1548893308","1548893308")</f>
        <v>1548893308</v>
      </c>
      <c r="E19747" s="1" t="s">
        <v>24604</v>
      </c>
      <c r="F19747" s="2"/>
      <c r="G19747" s="2"/>
      <c r="H19747" s="2"/>
    </row>
    <row r="19748" spans="1:8" x14ac:dyDescent="0.25">
      <c r="A19748" s="1"/>
      <c r="B19748" s="1" t="s">
        <v>6862</v>
      </c>
      <c r="C19748" s="1" t="s">
        <v>6863</v>
      </c>
      <c r="D19748" s="22" t="str">
        <f>HYPERLINK("https://rhld.insurance.arkansas.gov/NPILookup?Npi=1548909021","1548909021")</f>
        <v>1548909021</v>
      </c>
      <c r="E19748" s="1" t="s">
        <v>7082</v>
      </c>
      <c r="F19748" s="2"/>
      <c r="G19748" s="2"/>
      <c r="H19748" s="2"/>
    </row>
    <row r="19749" spans="1:8" x14ac:dyDescent="0.25">
      <c r="A19749" s="1"/>
      <c r="B19749" s="1" t="s">
        <v>6862</v>
      </c>
      <c r="C19749" s="1" t="s">
        <v>6863</v>
      </c>
      <c r="D19749" s="22" t="str">
        <f>HYPERLINK("https://rhld.insurance.arkansas.gov/NPILookup?Npi=1548936016","1548936016")</f>
        <v>1548936016</v>
      </c>
      <c r="E19749" s="1" t="s">
        <v>24605</v>
      </c>
      <c r="F19749" s="2"/>
      <c r="G19749" s="2"/>
      <c r="H19749" s="2"/>
    </row>
    <row r="19750" spans="1:8" x14ac:dyDescent="0.25">
      <c r="A19750" s="1"/>
      <c r="B19750" s="1" t="s">
        <v>6862</v>
      </c>
      <c r="C19750" s="1" t="s">
        <v>6863</v>
      </c>
      <c r="D19750" s="22" t="str">
        <f>HYPERLINK("https://rhld.insurance.arkansas.gov/NPILookup?Npi=1548942311","1548942311")</f>
        <v>1548942311</v>
      </c>
      <c r="E19750" s="1" t="s">
        <v>5511</v>
      </c>
      <c r="F19750" s="2"/>
      <c r="G19750" s="2"/>
      <c r="H19750" s="2"/>
    </row>
    <row r="19751" spans="1:8" x14ac:dyDescent="0.25">
      <c r="A19751" s="1"/>
      <c r="B19751" s="1" t="s">
        <v>6862</v>
      </c>
      <c r="C19751" s="1" t="s">
        <v>6863</v>
      </c>
      <c r="D19751" s="22" t="str">
        <f>HYPERLINK("https://rhld.insurance.arkansas.gov/NPILookup?Npi=1548956329","1548956329")</f>
        <v>1548956329</v>
      </c>
      <c r="E19751" s="1" t="s">
        <v>32036</v>
      </c>
      <c r="F19751" s="2"/>
      <c r="G19751" s="2"/>
      <c r="H19751" s="2"/>
    </row>
    <row r="19752" spans="1:8" x14ac:dyDescent="0.25">
      <c r="A19752" s="1"/>
      <c r="B19752" s="1" t="s">
        <v>6862</v>
      </c>
      <c r="C19752" s="1" t="s">
        <v>6863</v>
      </c>
      <c r="D19752" s="22" t="str">
        <f>HYPERLINK("https://rhld.insurance.arkansas.gov/NPILookup?Npi=1548989601","1548989601")</f>
        <v>1548989601</v>
      </c>
      <c r="E19752" s="1" t="s">
        <v>24606</v>
      </c>
      <c r="F19752" s="2"/>
      <c r="G19752" s="2"/>
      <c r="H19752" s="2"/>
    </row>
    <row r="19753" spans="1:8" x14ac:dyDescent="0.25">
      <c r="A19753" s="1"/>
      <c r="B19753" s="1" t="s">
        <v>6862</v>
      </c>
      <c r="C19753" s="1" t="s">
        <v>6863</v>
      </c>
      <c r="D19753" s="22" t="str">
        <f>HYPERLINK("https://rhld.insurance.arkansas.gov/NPILookup?Npi=1558026104","1558026104")</f>
        <v>1558026104</v>
      </c>
      <c r="E19753" s="1" t="s">
        <v>24607</v>
      </c>
      <c r="F19753" s="2"/>
      <c r="G19753" s="2"/>
      <c r="H19753" s="2"/>
    </row>
    <row r="19754" spans="1:8" x14ac:dyDescent="0.25">
      <c r="A19754" s="1"/>
      <c r="B19754" s="1" t="s">
        <v>6862</v>
      </c>
      <c r="C19754" s="1" t="s">
        <v>6863</v>
      </c>
      <c r="D19754" s="22" t="str">
        <f>HYPERLINK("https://rhld.insurance.arkansas.gov/NPILookup?Npi=1558038026","1558038026")</f>
        <v>1558038026</v>
      </c>
      <c r="E19754" s="1" t="s">
        <v>24608</v>
      </c>
      <c r="F19754" s="2"/>
      <c r="G19754" s="2"/>
      <c r="H19754" s="2"/>
    </row>
    <row r="19755" spans="1:8" x14ac:dyDescent="0.25">
      <c r="A19755" s="1"/>
      <c r="B19755" s="1" t="s">
        <v>6862</v>
      </c>
      <c r="C19755" s="1" t="s">
        <v>6863</v>
      </c>
      <c r="D19755" s="22" t="str">
        <f>HYPERLINK("https://rhld.insurance.arkansas.gov/NPILookup?Npi=1558078576","1558078576")</f>
        <v>1558078576</v>
      </c>
      <c r="E19755" s="1" t="s">
        <v>12447</v>
      </c>
      <c r="F19755" s="2"/>
      <c r="G19755" s="2"/>
      <c r="H19755" s="2"/>
    </row>
    <row r="19756" spans="1:8" x14ac:dyDescent="0.25">
      <c r="A19756" s="1"/>
      <c r="B19756" s="1" t="s">
        <v>6862</v>
      </c>
      <c r="C19756" s="1" t="s">
        <v>6863</v>
      </c>
      <c r="D19756" s="22" t="str">
        <f>HYPERLINK("https://rhld.insurance.arkansas.gov/NPILookup?Npi=1558085050","1558085050")</f>
        <v>1558085050</v>
      </c>
      <c r="E19756" s="1" t="s">
        <v>5617</v>
      </c>
      <c r="F19756" s="2"/>
      <c r="G19756" s="2"/>
      <c r="H19756" s="2"/>
    </row>
    <row r="19757" spans="1:8" x14ac:dyDescent="0.25">
      <c r="A19757" s="1"/>
      <c r="B19757" s="1" t="s">
        <v>6862</v>
      </c>
      <c r="C19757" s="1" t="s">
        <v>6863</v>
      </c>
      <c r="D19757" s="22" t="str">
        <f>HYPERLINK("https://rhld.insurance.arkansas.gov/NPILookup?Npi=1558099796","1558099796")</f>
        <v>1558099796</v>
      </c>
      <c r="E19757" s="1" t="s">
        <v>7083</v>
      </c>
      <c r="F19757" s="2"/>
      <c r="G19757" s="2"/>
      <c r="H19757" s="2"/>
    </row>
    <row r="19758" spans="1:8" x14ac:dyDescent="0.25">
      <c r="A19758" s="1"/>
      <c r="B19758" s="1" t="s">
        <v>6862</v>
      </c>
      <c r="C19758" s="1" t="s">
        <v>6863</v>
      </c>
      <c r="D19758" s="22" t="str">
        <f>HYPERLINK("https://rhld.insurance.arkansas.gov/NPILookup?Npi=1558188805","1558188805")</f>
        <v>1558188805</v>
      </c>
      <c r="E19758" s="1" t="s">
        <v>32037</v>
      </c>
      <c r="F19758" s="2"/>
      <c r="G19758" s="2"/>
      <c r="H19758" s="2"/>
    </row>
    <row r="19759" spans="1:8" x14ac:dyDescent="0.25">
      <c r="A19759" s="1"/>
      <c r="B19759" s="1" t="s">
        <v>6862</v>
      </c>
      <c r="C19759" s="1" t="s">
        <v>6863</v>
      </c>
      <c r="D19759" s="22" t="str">
        <f>HYPERLINK("https://rhld.insurance.arkansas.gov/NPILookup?Npi=1558191403","1558191403")</f>
        <v>1558191403</v>
      </c>
      <c r="E19759" s="1" t="s">
        <v>24609</v>
      </c>
      <c r="F19759" s="2"/>
      <c r="G19759" s="2"/>
      <c r="H19759" s="2"/>
    </row>
    <row r="19760" spans="1:8" x14ac:dyDescent="0.25">
      <c r="A19760" s="1"/>
      <c r="B19760" s="1" t="s">
        <v>6862</v>
      </c>
      <c r="C19760" s="1" t="s">
        <v>6863</v>
      </c>
      <c r="D19760" s="22" t="str">
        <f>HYPERLINK("https://rhld.insurance.arkansas.gov/NPILookup?Npi=1558324020","1558324020")</f>
        <v>1558324020</v>
      </c>
      <c r="E19760" s="1" t="s">
        <v>24610</v>
      </c>
      <c r="F19760" s="2"/>
      <c r="G19760" s="2"/>
      <c r="H19760" s="2"/>
    </row>
    <row r="19761" spans="1:8" x14ac:dyDescent="0.25">
      <c r="A19761" s="1"/>
      <c r="B19761" s="1" t="s">
        <v>6862</v>
      </c>
      <c r="C19761" s="1" t="s">
        <v>6863</v>
      </c>
      <c r="D19761" s="22" t="str">
        <f>HYPERLINK("https://rhld.insurance.arkansas.gov/NPILookup?Npi=1558389528","1558389528")</f>
        <v>1558389528</v>
      </c>
      <c r="E19761" s="1" t="s">
        <v>24611</v>
      </c>
      <c r="F19761" s="2"/>
      <c r="G19761" s="2"/>
      <c r="H19761" s="2"/>
    </row>
    <row r="19762" spans="1:8" x14ac:dyDescent="0.25">
      <c r="A19762" s="1"/>
      <c r="B19762" s="1" t="s">
        <v>6862</v>
      </c>
      <c r="C19762" s="1" t="s">
        <v>6863</v>
      </c>
      <c r="D19762" s="22" t="str">
        <f>HYPERLINK("https://rhld.insurance.arkansas.gov/NPILookup?Npi=1558556175","1558556175")</f>
        <v>1558556175</v>
      </c>
      <c r="E19762" s="1" t="s">
        <v>24612</v>
      </c>
      <c r="F19762" s="2"/>
      <c r="G19762" s="2"/>
      <c r="H19762" s="2"/>
    </row>
    <row r="19763" spans="1:8" x14ac:dyDescent="0.25">
      <c r="A19763" s="1"/>
      <c r="B19763" s="1" t="s">
        <v>6862</v>
      </c>
      <c r="C19763" s="1" t="s">
        <v>6863</v>
      </c>
      <c r="D19763" s="22" t="str">
        <f>HYPERLINK("https://rhld.insurance.arkansas.gov/NPILookup?Npi=1558585372","1558585372")</f>
        <v>1558585372</v>
      </c>
      <c r="E19763" s="1" t="s">
        <v>24613</v>
      </c>
      <c r="F19763" s="2"/>
      <c r="G19763" s="2"/>
      <c r="H19763" s="2"/>
    </row>
    <row r="19764" spans="1:8" x14ac:dyDescent="0.25">
      <c r="A19764" s="1"/>
      <c r="B19764" s="1" t="s">
        <v>6862</v>
      </c>
      <c r="C19764" s="1" t="s">
        <v>6863</v>
      </c>
      <c r="D19764" s="22" t="str">
        <f>HYPERLINK("https://rhld.insurance.arkansas.gov/NPILookup?Npi=1558600668","1558600668")</f>
        <v>1558600668</v>
      </c>
      <c r="E19764" s="1" t="s">
        <v>32038</v>
      </c>
      <c r="F19764" s="2"/>
      <c r="G19764" s="2"/>
      <c r="H19764" s="2"/>
    </row>
    <row r="19765" spans="1:8" x14ac:dyDescent="0.25">
      <c r="A19765" s="1"/>
      <c r="B19765" s="1" t="s">
        <v>6862</v>
      </c>
      <c r="C19765" s="1" t="s">
        <v>6863</v>
      </c>
      <c r="D19765" s="22" t="str">
        <f>HYPERLINK("https://rhld.insurance.arkansas.gov/NPILookup?Npi=1558668822","1558668822")</f>
        <v>1558668822</v>
      </c>
      <c r="E19765" s="1" t="s">
        <v>24614</v>
      </c>
      <c r="F19765" s="2"/>
      <c r="G19765" s="2"/>
      <c r="H19765" s="2"/>
    </row>
    <row r="19766" spans="1:8" x14ac:dyDescent="0.25">
      <c r="A19766" s="1"/>
      <c r="B19766" s="1" t="s">
        <v>6862</v>
      </c>
      <c r="C19766" s="1" t="s">
        <v>6863</v>
      </c>
      <c r="D19766" s="22" t="str">
        <f>HYPERLINK("https://rhld.insurance.arkansas.gov/NPILookup?Npi=1558687640","1558687640")</f>
        <v>1558687640</v>
      </c>
      <c r="E19766" s="1" t="s">
        <v>7084</v>
      </c>
      <c r="F19766" s="2"/>
      <c r="G19766" s="2"/>
      <c r="H19766" s="2"/>
    </row>
    <row r="19767" spans="1:8" x14ac:dyDescent="0.25">
      <c r="A19767" s="1"/>
      <c r="B19767" s="1" t="s">
        <v>6862</v>
      </c>
      <c r="C19767" s="1" t="s">
        <v>6863</v>
      </c>
      <c r="D19767" s="22" t="str">
        <f>HYPERLINK("https://rhld.insurance.arkansas.gov/NPILookup?Npi=1558739896","1558739896")</f>
        <v>1558739896</v>
      </c>
      <c r="E19767" s="1" t="s">
        <v>24615</v>
      </c>
      <c r="F19767" s="2"/>
      <c r="G19767" s="2"/>
      <c r="H19767" s="2"/>
    </row>
    <row r="19768" spans="1:8" x14ac:dyDescent="0.25">
      <c r="A19768" s="1"/>
      <c r="B19768" s="1" t="s">
        <v>6862</v>
      </c>
      <c r="C19768" s="1" t="s">
        <v>6863</v>
      </c>
      <c r="D19768" s="22" t="str">
        <f>HYPERLINK("https://rhld.insurance.arkansas.gov/NPILookup?Npi=1558762609","1558762609")</f>
        <v>1558762609</v>
      </c>
      <c r="E19768" s="1" t="s">
        <v>24616</v>
      </c>
      <c r="F19768" s="2"/>
      <c r="G19768" s="2"/>
      <c r="H19768" s="2"/>
    </row>
    <row r="19769" spans="1:8" x14ac:dyDescent="0.25">
      <c r="A19769" s="1"/>
      <c r="B19769" s="1" t="s">
        <v>6862</v>
      </c>
      <c r="C19769" s="1" t="s">
        <v>6863</v>
      </c>
      <c r="D19769" s="22" t="str">
        <f>HYPERLINK("https://rhld.insurance.arkansas.gov/NPILookup?Npi=1558806299","1558806299")</f>
        <v>1558806299</v>
      </c>
      <c r="E19769" s="1" t="s">
        <v>24617</v>
      </c>
      <c r="F19769" s="2"/>
      <c r="G19769" s="2"/>
      <c r="H19769" s="2"/>
    </row>
    <row r="19770" spans="1:8" x14ac:dyDescent="0.25">
      <c r="A19770" s="1"/>
      <c r="B19770" s="1" t="s">
        <v>6862</v>
      </c>
      <c r="C19770" s="1" t="s">
        <v>6863</v>
      </c>
      <c r="D19770" s="22" t="str">
        <f>HYPERLINK("https://rhld.insurance.arkansas.gov/NPILookup?Npi=1558826248","1558826248")</f>
        <v>1558826248</v>
      </c>
      <c r="E19770" s="1" t="s">
        <v>24618</v>
      </c>
      <c r="F19770" s="2"/>
      <c r="G19770" s="2"/>
      <c r="H19770" s="2"/>
    </row>
    <row r="19771" spans="1:8" x14ac:dyDescent="0.25">
      <c r="A19771" s="1"/>
      <c r="B19771" s="1" t="s">
        <v>6862</v>
      </c>
      <c r="C19771" s="1" t="s">
        <v>6863</v>
      </c>
      <c r="D19771" s="22" t="str">
        <f>HYPERLINK("https://rhld.insurance.arkansas.gov/NPILookup?Npi=1558843870","1558843870")</f>
        <v>1558843870</v>
      </c>
      <c r="E19771" s="1" t="s">
        <v>24619</v>
      </c>
      <c r="F19771" s="2"/>
      <c r="G19771" s="2"/>
      <c r="H19771" s="2"/>
    </row>
    <row r="19772" spans="1:8" x14ac:dyDescent="0.25">
      <c r="A19772" s="1"/>
      <c r="B19772" s="1" t="s">
        <v>6862</v>
      </c>
      <c r="C19772" s="1" t="s">
        <v>6863</v>
      </c>
      <c r="D19772" s="22" t="str">
        <f>HYPERLINK("https://rhld.insurance.arkansas.gov/NPILookup?Npi=1558889220","1558889220")</f>
        <v>1558889220</v>
      </c>
      <c r="E19772" s="1" t="s">
        <v>12448</v>
      </c>
      <c r="F19772" s="2"/>
      <c r="G19772" s="2"/>
      <c r="H19772" s="2"/>
    </row>
    <row r="19773" spans="1:8" x14ac:dyDescent="0.25">
      <c r="A19773" s="1"/>
      <c r="B19773" s="1" t="s">
        <v>6862</v>
      </c>
      <c r="C19773" s="1" t="s">
        <v>6863</v>
      </c>
      <c r="D19773" s="22" t="str">
        <f>HYPERLINK("https://rhld.insurance.arkansas.gov/NPILookup?Npi=1558910109","1558910109")</f>
        <v>1558910109</v>
      </c>
      <c r="E19773" s="1" t="s">
        <v>24620</v>
      </c>
      <c r="F19773" s="2"/>
      <c r="G19773" s="2"/>
      <c r="H19773" s="2"/>
    </row>
    <row r="19774" spans="1:8" x14ac:dyDescent="0.25">
      <c r="A19774" s="1"/>
      <c r="B19774" s="1" t="s">
        <v>6862</v>
      </c>
      <c r="C19774" s="1" t="s">
        <v>6863</v>
      </c>
      <c r="D19774" s="22" t="str">
        <f>HYPERLINK("https://rhld.insurance.arkansas.gov/NPILookup?Npi=1558935114","1558935114")</f>
        <v>1558935114</v>
      </c>
      <c r="E19774" s="1" t="s">
        <v>24621</v>
      </c>
      <c r="F19774" s="2"/>
      <c r="G19774" s="2"/>
      <c r="H19774" s="2"/>
    </row>
    <row r="19775" spans="1:8" x14ac:dyDescent="0.25">
      <c r="A19775" s="1"/>
      <c r="B19775" s="1" t="s">
        <v>6862</v>
      </c>
      <c r="C19775" s="1" t="s">
        <v>6863</v>
      </c>
      <c r="D19775" s="22" t="str">
        <f>HYPERLINK("https://rhld.insurance.arkansas.gov/NPILookup?Npi=1558935767","1558935767")</f>
        <v>1558935767</v>
      </c>
      <c r="E19775" s="1" t="s">
        <v>12449</v>
      </c>
      <c r="F19775" s="2"/>
      <c r="G19775" s="2"/>
      <c r="H19775" s="2"/>
    </row>
    <row r="19776" spans="1:8" x14ac:dyDescent="0.25">
      <c r="A19776" s="1"/>
      <c r="B19776" s="1" t="s">
        <v>6862</v>
      </c>
      <c r="C19776" s="1" t="s">
        <v>6863</v>
      </c>
      <c r="D19776" s="22" t="str">
        <f>HYPERLINK("https://rhld.insurance.arkansas.gov/NPILookup?Npi=1568010932","1568010932")</f>
        <v>1568010932</v>
      </c>
      <c r="E19776" s="1" t="s">
        <v>7085</v>
      </c>
      <c r="F19776" s="2"/>
      <c r="G19776" s="2"/>
      <c r="H19776" s="2"/>
    </row>
    <row r="19777" spans="1:8" x14ac:dyDescent="0.25">
      <c r="A19777" s="1"/>
      <c r="B19777" s="1" t="s">
        <v>6862</v>
      </c>
      <c r="C19777" s="1" t="s">
        <v>6863</v>
      </c>
      <c r="D19777" s="22" t="str">
        <f>HYPERLINK("https://rhld.insurance.arkansas.gov/NPILookup?Npi=1568017457","1568017457")</f>
        <v>1568017457</v>
      </c>
      <c r="E19777" s="1" t="s">
        <v>7086</v>
      </c>
      <c r="F19777" s="2"/>
      <c r="G19777" s="2"/>
      <c r="H19777" s="2"/>
    </row>
    <row r="19778" spans="1:8" x14ac:dyDescent="0.25">
      <c r="A19778" s="1"/>
      <c r="B19778" s="1" t="s">
        <v>6862</v>
      </c>
      <c r="C19778" s="1" t="s">
        <v>6863</v>
      </c>
      <c r="D19778" s="22" t="str">
        <f>HYPERLINK("https://rhld.insurance.arkansas.gov/NPILookup?Npi=1568137032","1568137032")</f>
        <v>1568137032</v>
      </c>
      <c r="E19778" s="1" t="s">
        <v>24622</v>
      </c>
      <c r="F19778" s="2"/>
      <c r="G19778" s="2"/>
      <c r="H19778" s="2"/>
    </row>
    <row r="19779" spans="1:8" x14ac:dyDescent="0.25">
      <c r="A19779" s="1"/>
      <c r="B19779" s="1" t="s">
        <v>6862</v>
      </c>
      <c r="C19779" s="1" t="s">
        <v>6863</v>
      </c>
      <c r="D19779" s="22" t="str">
        <f>HYPERLINK("https://rhld.insurance.arkansas.gov/NPILookup?Npi=1568179919","1568179919")</f>
        <v>1568179919</v>
      </c>
      <c r="E19779" s="1" t="s">
        <v>24623</v>
      </c>
      <c r="F19779" s="2"/>
      <c r="G19779" s="2"/>
      <c r="H19779" s="2"/>
    </row>
    <row r="19780" spans="1:8" x14ac:dyDescent="0.25">
      <c r="A19780" s="1"/>
      <c r="B19780" s="1" t="s">
        <v>6862</v>
      </c>
      <c r="C19780" s="1" t="s">
        <v>6863</v>
      </c>
      <c r="D19780" s="22" t="str">
        <f>HYPERLINK("https://rhld.insurance.arkansas.gov/NPILookup?Npi=1568181923","1568181923")</f>
        <v>1568181923</v>
      </c>
      <c r="E19780" s="1" t="s">
        <v>24624</v>
      </c>
      <c r="F19780" s="2"/>
      <c r="G19780" s="2"/>
      <c r="H19780" s="2"/>
    </row>
    <row r="19781" spans="1:8" x14ac:dyDescent="0.25">
      <c r="A19781" s="1"/>
      <c r="B19781" s="1" t="s">
        <v>6862</v>
      </c>
      <c r="C19781" s="1" t="s">
        <v>6863</v>
      </c>
      <c r="D19781" s="22" t="str">
        <f>HYPERLINK("https://rhld.insurance.arkansas.gov/NPILookup?Npi=1568184364","1568184364")</f>
        <v>1568184364</v>
      </c>
      <c r="E19781" s="1" t="s">
        <v>24625</v>
      </c>
      <c r="F19781" s="2"/>
      <c r="G19781" s="2"/>
      <c r="H19781" s="2"/>
    </row>
    <row r="19782" spans="1:8" x14ac:dyDescent="0.25">
      <c r="A19782" s="1"/>
      <c r="B19782" s="1" t="s">
        <v>6862</v>
      </c>
      <c r="C19782" s="1" t="s">
        <v>6863</v>
      </c>
      <c r="D19782" s="22" t="str">
        <f>HYPERLINK("https://rhld.insurance.arkansas.gov/NPILookup?Npi=1568192474","1568192474")</f>
        <v>1568192474</v>
      </c>
      <c r="E19782" s="1" t="s">
        <v>7087</v>
      </c>
      <c r="F19782" s="2"/>
      <c r="G19782" s="2"/>
      <c r="H19782" s="2"/>
    </row>
    <row r="19783" spans="1:8" x14ac:dyDescent="0.25">
      <c r="A19783" s="1"/>
      <c r="B19783" s="1" t="s">
        <v>6862</v>
      </c>
      <c r="C19783" s="1" t="s">
        <v>6863</v>
      </c>
      <c r="D19783" s="22" t="str">
        <f>HYPERLINK("https://rhld.insurance.arkansas.gov/NPILookup?Npi=1568421618","1568421618")</f>
        <v>1568421618</v>
      </c>
      <c r="E19783" s="1" t="s">
        <v>24626</v>
      </c>
      <c r="F19783" s="2"/>
      <c r="G19783" s="2"/>
      <c r="H19783" s="2"/>
    </row>
    <row r="19784" spans="1:8" x14ac:dyDescent="0.25">
      <c r="A19784" s="1"/>
      <c r="B19784" s="1" t="s">
        <v>6862</v>
      </c>
      <c r="C19784" s="1" t="s">
        <v>6863</v>
      </c>
      <c r="D19784" s="22" t="str">
        <f>HYPERLINK("https://rhld.insurance.arkansas.gov/NPILookup?Npi=1568423432","1568423432")</f>
        <v>1568423432</v>
      </c>
      <c r="E19784" s="1" t="s">
        <v>1042</v>
      </c>
      <c r="F19784" s="2"/>
      <c r="G19784" s="2"/>
      <c r="H19784" s="2"/>
    </row>
    <row r="19785" spans="1:8" x14ac:dyDescent="0.25">
      <c r="A19785" s="1"/>
      <c r="B19785" s="1" t="s">
        <v>6862</v>
      </c>
      <c r="C19785" s="1" t="s">
        <v>6863</v>
      </c>
      <c r="D19785" s="22" t="str">
        <f>HYPERLINK("https://rhld.insurance.arkansas.gov/NPILookup?Npi=1568441715","1568441715")</f>
        <v>1568441715</v>
      </c>
      <c r="E19785" s="1" t="s">
        <v>32039</v>
      </c>
      <c r="F19785" s="2"/>
      <c r="G19785" s="2"/>
      <c r="H19785" s="2"/>
    </row>
    <row r="19786" spans="1:8" x14ac:dyDescent="0.25">
      <c r="A19786" s="1"/>
      <c r="B19786" s="1" t="s">
        <v>6862</v>
      </c>
      <c r="C19786" s="1" t="s">
        <v>6863</v>
      </c>
      <c r="D19786" s="22" t="str">
        <f>HYPERLINK("https://rhld.insurance.arkansas.gov/NPILookup?Npi=1568454593","1568454593")</f>
        <v>1568454593</v>
      </c>
      <c r="E19786" s="1" t="s">
        <v>7088</v>
      </c>
      <c r="F19786" s="2"/>
      <c r="G19786" s="2"/>
      <c r="H19786" s="2"/>
    </row>
    <row r="19787" spans="1:8" x14ac:dyDescent="0.25">
      <c r="A19787" s="1"/>
      <c r="B19787" s="1" t="s">
        <v>6862</v>
      </c>
      <c r="C19787" s="1" t="s">
        <v>6863</v>
      </c>
      <c r="D19787" s="22" t="str">
        <f>HYPERLINK("https://rhld.insurance.arkansas.gov/NPILookup?Npi=1568513398","1568513398")</f>
        <v>1568513398</v>
      </c>
      <c r="E19787" s="1" t="s">
        <v>24627</v>
      </c>
      <c r="F19787" s="2"/>
      <c r="G19787" s="2"/>
      <c r="H19787" s="2"/>
    </row>
    <row r="19788" spans="1:8" x14ac:dyDescent="0.25">
      <c r="A19788" s="1"/>
      <c r="B19788" s="1" t="s">
        <v>6862</v>
      </c>
      <c r="C19788" s="1" t="s">
        <v>6863</v>
      </c>
      <c r="D19788" s="22" t="str">
        <f>HYPERLINK("https://rhld.insurance.arkansas.gov/NPILookup?Npi=1568515955","1568515955")</f>
        <v>1568515955</v>
      </c>
      <c r="E19788" s="1" t="s">
        <v>24628</v>
      </c>
      <c r="F19788" s="2"/>
      <c r="G19788" s="2"/>
      <c r="H19788" s="2"/>
    </row>
    <row r="19789" spans="1:8" x14ac:dyDescent="0.25">
      <c r="A19789" s="1"/>
      <c r="B19789" s="1" t="s">
        <v>6862</v>
      </c>
      <c r="C19789" s="1" t="s">
        <v>6863</v>
      </c>
      <c r="D19789" s="22" t="str">
        <f>HYPERLINK("https://rhld.insurance.arkansas.gov/NPILookup?Npi=1568583755","1568583755")</f>
        <v>1568583755</v>
      </c>
      <c r="E19789" s="1" t="s">
        <v>7089</v>
      </c>
      <c r="F19789" s="2"/>
      <c r="G19789" s="2"/>
      <c r="H19789" s="2"/>
    </row>
    <row r="19790" spans="1:8" x14ac:dyDescent="0.25">
      <c r="A19790" s="1"/>
      <c r="B19790" s="1" t="s">
        <v>6862</v>
      </c>
      <c r="C19790" s="1" t="s">
        <v>6863</v>
      </c>
      <c r="D19790" s="22" t="str">
        <f>HYPERLINK("https://rhld.insurance.arkansas.gov/NPILookup?Npi=1568626885","1568626885")</f>
        <v>1568626885</v>
      </c>
      <c r="E19790" s="1" t="s">
        <v>24629</v>
      </c>
      <c r="F19790" s="2"/>
      <c r="G19790" s="2"/>
      <c r="H19790" s="2"/>
    </row>
    <row r="19791" spans="1:8" x14ac:dyDescent="0.25">
      <c r="A19791" s="1"/>
      <c r="B19791" s="1" t="s">
        <v>6862</v>
      </c>
      <c r="C19791" s="1" t="s">
        <v>6863</v>
      </c>
      <c r="D19791" s="22" t="str">
        <f>HYPERLINK("https://rhld.insurance.arkansas.gov/NPILookup?Npi=1568652683","1568652683")</f>
        <v>1568652683</v>
      </c>
      <c r="E19791" s="1" t="s">
        <v>12450</v>
      </c>
      <c r="F19791" s="2"/>
      <c r="G19791" s="2"/>
      <c r="H19791" s="2"/>
    </row>
    <row r="19792" spans="1:8" x14ac:dyDescent="0.25">
      <c r="A19792" s="1"/>
      <c r="B19792" s="1" t="s">
        <v>6862</v>
      </c>
      <c r="C19792" s="1" t="s">
        <v>6863</v>
      </c>
      <c r="D19792" s="22" t="str">
        <f>HYPERLINK("https://rhld.insurance.arkansas.gov/NPILookup?Npi=1568683621","1568683621")</f>
        <v>1568683621</v>
      </c>
      <c r="E19792" s="1" t="s">
        <v>7090</v>
      </c>
      <c r="F19792" s="2"/>
      <c r="G19792" s="2"/>
      <c r="H19792" s="2"/>
    </row>
    <row r="19793" spans="1:8" x14ac:dyDescent="0.25">
      <c r="A19793" s="1"/>
      <c r="B19793" s="1" t="s">
        <v>6862</v>
      </c>
      <c r="C19793" s="1" t="s">
        <v>6863</v>
      </c>
      <c r="D19793" s="22" t="str">
        <f>HYPERLINK("https://rhld.insurance.arkansas.gov/NPILookup?Npi=1568750743","1568750743")</f>
        <v>1568750743</v>
      </c>
      <c r="E19793" s="1" t="s">
        <v>24630</v>
      </c>
      <c r="F19793" s="2"/>
      <c r="G19793" s="2"/>
      <c r="H19793" s="2"/>
    </row>
    <row r="19794" spans="1:8" x14ac:dyDescent="0.25">
      <c r="A19794" s="1"/>
      <c r="B19794" s="1" t="s">
        <v>6862</v>
      </c>
      <c r="C19794" s="1" t="s">
        <v>6863</v>
      </c>
      <c r="D19794" s="22" t="str">
        <f>HYPERLINK("https://rhld.insurance.arkansas.gov/NPILookup?Npi=1568797793","1568797793")</f>
        <v>1568797793</v>
      </c>
      <c r="E19794" s="1" t="s">
        <v>24631</v>
      </c>
      <c r="F19794" s="2"/>
      <c r="G19794" s="2"/>
      <c r="H19794" s="2"/>
    </row>
    <row r="19795" spans="1:8" x14ac:dyDescent="0.25">
      <c r="A19795" s="1"/>
      <c r="B19795" s="1" t="s">
        <v>6862</v>
      </c>
      <c r="C19795" s="1" t="s">
        <v>6863</v>
      </c>
      <c r="D19795" s="22" t="str">
        <f>HYPERLINK("https://rhld.insurance.arkansas.gov/NPILookup?Npi=1568805117","1568805117")</f>
        <v>1568805117</v>
      </c>
      <c r="E19795" s="1" t="s">
        <v>24632</v>
      </c>
      <c r="F19795" s="2"/>
      <c r="G19795" s="2"/>
      <c r="H19795" s="2"/>
    </row>
    <row r="19796" spans="1:8" x14ac:dyDescent="0.25">
      <c r="A19796" s="1"/>
      <c r="B19796" s="1" t="s">
        <v>6862</v>
      </c>
      <c r="C19796" s="1" t="s">
        <v>6863</v>
      </c>
      <c r="D19796" s="22" t="str">
        <f>HYPERLINK("https://rhld.insurance.arkansas.gov/NPILookup?Npi=1568808178","1568808178")</f>
        <v>1568808178</v>
      </c>
      <c r="E19796" s="1" t="s">
        <v>24633</v>
      </c>
      <c r="F19796" s="2"/>
      <c r="G19796" s="2"/>
      <c r="H19796" s="2"/>
    </row>
    <row r="19797" spans="1:8" x14ac:dyDescent="0.25">
      <c r="A19797" s="1"/>
      <c r="B19797" s="1" t="s">
        <v>6862</v>
      </c>
      <c r="C19797" s="1" t="s">
        <v>6863</v>
      </c>
      <c r="D19797" s="22" t="str">
        <f>HYPERLINK("https://rhld.insurance.arkansas.gov/NPILookup?Npi=1568860781","1568860781")</f>
        <v>1568860781</v>
      </c>
      <c r="E19797" s="1" t="s">
        <v>7091</v>
      </c>
      <c r="F19797" s="2"/>
      <c r="G19797" s="2"/>
      <c r="H19797" s="2"/>
    </row>
    <row r="19798" spans="1:8" x14ac:dyDescent="0.25">
      <c r="A19798" s="1"/>
      <c r="B19798" s="1" t="s">
        <v>6862</v>
      </c>
      <c r="C19798" s="1" t="s">
        <v>6863</v>
      </c>
      <c r="D19798" s="22" t="str">
        <f>HYPERLINK("https://rhld.insurance.arkansas.gov/NPILookup?Npi=1568871556","1568871556")</f>
        <v>1568871556</v>
      </c>
      <c r="E19798" s="1" t="s">
        <v>12451</v>
      </c>
      <c r="F19798" s="2"/>
      <c r="G19798" s="2"/>
      <c r="H19798" s="2"/>
    </row>
    <row r="19799" spans="1:8" x14ac:dyDescent="0.25">
      <c r="A19799" s="1"/>
      <c r="B19799" s="1" t="s">
        <v>6862</v>
      </c>
      <c r="C19799" s="1" t="s">
        <v>6863</v>
      </c>
      <c r="D19799" s="22" t="str">
        <f>HYPERLINK("https://rhld.insurance.arkansas.gov/NPILookup?Npi=1568896090","1568896090")</f>
        <v>1568896090</v>
      </c>
      <c r="E19799" s="1" t="s">
        <v>7092</v>
      </c>
      <c r="F19799" s="2"/>
      <c r="G19799" s="2"/>
      <c r="H19799" s="2"/>
    </row>
    <row r="19800" spans="1:8" x14ac:dyDescent="0.25">
      <c r="A19800" s="1"/>
      <c r="B19800" s="1" t="s">
        <v>6862</v>
      </c>
      <c r="C19800" s="1" t="s">
        <v>6863</v>
      </c>
      <c r="D19800" s="22" t="str">
        <f>HYPERLINK("https://rhld.insurance.arkansas.gov/NPILookup?Npi=1578025334","1578025334")</f>
        <v>1578025334</v>
      </c>
      <c r="E19800" s="1" t="s">
        <v>7093</v>
      </c>
      <c r="F19800" s="2"/>
      <c r="G19800" s="2"/>
      <c r="H19800" s="2"/>
    </row>
    <row r="19801" spans="1:8" x14ac:dyDescent="0.25">
      <c r="A19801" s="1"/>
      <c r="B19801" s="1" t="s">
        <v>6862</v>
      </c>
      <c r="C19801" s="1" t="s">
        <v>6863</v>
      </c>
      <c r="D19801" s="22" t="str">
        <f>HYPERLINK("https://rhld.insurance.arkansas.gov/NPILookup?Npi=1578041224","1578041224")</f>
        <v>1578041224</v>
      </c>
      <c r="E19801" s="1" t="s">
        <v>7094</v>
      </c>
      <c r="F19801" s="2"/>
      <c r="G19801" s="2"/>
      <c r="H19801" s="2"/>
    </row>
    <row r="19802" spans="1:8" x14ac:dyDescent="0.25">
      <c r="A19802" s="1"/>
      <c r="B19802" s="1" t="s">
        <v>6862</v>
      </c>
      <c r="C19802" s="1" t="s">
        <v>6863</v>
      </c>
      <c r="D19802" s="22" t="str">
        <f>HYPERLINK("https://rhld.insurance.arkansas.gov/NPILookup?Npi=1578054235","1578054235")</f>
        <v>1578054235</v>
      </c>
      <c r="E19802" s="1" t="s">
        <v>7095</v>
      </c>
      <c r="F19802" s="2"/>
      <c r="G19802" s="2"/>
      <c r="H19802" s="2"/>
    </row>
    <row r="19803" spans="1:8" x14ac:dyDescent="0.25">
      <c r="A19803" s="1"/>
      <c r="B19803" s="1" t="s">
        <v>6862</v>
      </c>
      <c r="C19803" s="1" t="s">
        <v>6863</v>
      </c>
      <c r="D19803" s="22" t="str">
        <f>HYPERLINK("https://rhld.insurance.arkansas.gov/NPILookup?Npi=1578054805","1578054805")</f>
        <v>1578054805</v>
      </c>
      <c r="E19803" s="1" t="s">
        <v>24634</v>
      </c>
      <c r="F19803" s="2"/>
      <c r="G19803" s="2"/>
      <c r="H19803" s="2"/>
    </row>
    <row r="19804" spans="1:8" x14ac:dyDescent="0.25">
      <c r="A19804" s="1"/>
      <c r="B19804" s="1" t="s">
        <v>6862</v>
      </c>
      <c r="C19804" s="1" t="s">
        <v>6863</v>
      </c>
      <c r="D19804" s="22" t="str">
        <f>HYPERLINK("https://rhld.insurance.arkansas.gov/NPILookup?Npi=1578223749","1578223749")</f>
        <v>1578223749</v>
      </c>
      <c r="E19804" s="1" t="s">
        <v>24635</v>
      </c>
      <c r="F19804" s="2"/>
      <c r="G19804" s="2"/>
      <c r="H19804" s="2"/>
    </row>
    <row r="19805" spans="1:8" x14ac:dyDescent="0.25">
      <c r="A19805" s="1"/>
      <c r="B19805" s="1" t="s">
        <v>6862</v>
      </c>
      <c r="C19805" s="1" t="s">
        <v>6863</v>
      </c>
      <c r="D19805" s="22" t="str">
        <f>HYPERLINK("https://rhld.insurance.arkansas.gov/NPILookup?Npi=1578235271","1578235271")</f>
        <v>1578235271</v>
      </c>
      <c r="E19805" s="1" t="s">
        <v>12452</v>
      </c>
      <c r="F19805" s="2"/>
      <c r="G19805" s="2"/>
      <c r="H19805" s="2"/>
    </row>
    <row r="19806" spans="1:8" x14ac:dyDescent="0.25">
      <c r="A19806" s="1"/>
      <c r="B19806" s="1" t="s">
        <v>6862</v>
      </c>
      <c r="C19806" s="1" t="s">
        <v>6863</v>
      </c>
      <c r="D19806" s="22" t="str">
        <f>HYPERLINK("https://rhld.insurance.arkansas.gov/NPILookup?Npi=1578308615","1578308615")</f>
        <v>1578308615</v>
      </c>
      <c r="E19806" s="1" t="s">
        <v>24636</v>
      </c>
      <c r="F19806" s="2"/>
      <c r="G19806" s="2"/>
      <c r="H19806" s="2"/>
    </row>
    <row r="19807" spans="1:8" x14ac:dyDescent="0.25">
      <c r="A19807" s="1"/>
      <c r="B19807" s="1" t="s">
        <v>6862</v>
      </c>
      <c r="C19807" s="1" t="s">
        <v>6863</v>
      </c>
      <c r="D19807" s="22" t="str">
        <f>HYPERLINK("https://rhld.insurance.arkansas.gov/NPILookup?Npi=1578521332","1578521332")</f>
        <v>1578521332</v>
      </c>
      <c r="E19807" s="1" t="s">
        <v>12453</v>
      </c>
      <c r="F19807" s="2"/>
      <c r="G19807" s="2"/>
      <c r="H19807" s="2"/>
    </row>
    <row r="19808" spans="1:8" x14ac:dyDescent="0.25">
      <c r="A19808" s="1"/>
      <c r="B19808" s="1" t="s">
        <v>6862</v>
      </c>
      <c r="C19808" s="1" t="s">
        <v>6863</v>
      </c>
      <c r="D19808" s="22" t="str">
        <f>HYPERLINK("https://rhld.insurance.arkansas.gov/NPILookup?Npi=1578616215","1578616215")</f>
        <v>1578616215</v>
      </c>
      <c r="E19808" s="1" t="s">
        <v>7096</v>
      </c>
      <c r="F19808" s="2"/>
      <c r="G19808" s="2"/>
      <c r="H19808" s="2"/>
    </row>
    <row r="19809" spans="1:8" x14ac:dyDescent="0.25">
      <c r="A19809" s="1"/>
      <c r="B19809" s="1" t="s">
        <v>6862</v>
      </c>
      <c r="C19809" s="1" t="s">
        <v>6863</v>
      </c>
      <c r="D19809" s="22" t="str">
        <f>HYPERLINK("https://rhld.insurance.arkansas.gov/NPILookup?Npi=1578812798","1578812798")</f>
        <v>1578812798</v>
      </c>
      <c r="E19809" s="1" t="s">
        <v>7097</v>
      </c>
      <c r="F19809" s="2"/>
      <c r="G19809" s="2"/>
      <c r="H19809" s="2"/>
    </row>
    <row r="19810" spans="1:8" x14ac:dyDescent="0.25">
      <c r="A19810" s="1"/>
      <c r="B19810" s="1" t="s">
        <v>6862</v>
      </c>
      <c r="C19810" s="1" t="s">
        <v>6863</v>
      </c>
      <c r="D19810" s="22" t="str">
        <f>HYPERLINK("https://rhld.insurance.arkansas.gov/NPILookup?Npi=1578920096","1578920096")</f>
        <v>1578920096</v>
      </c>
      <c r="E19810" s="1" t="s">
        <v>24637</v>
      </c>
      <c r="F19810" s="2"/>
      <c r="G19810" s="2"/>
      <c r="H19810" s="2"/>
    </row>
    <row r="19811" spans="1:8" x14ac:dyDescent="0.25">
      <c r="A19811" s="1"/>
      <c r="B19811" s="1" t="s">
        <v>6862</v>
      </c>
      <c r="C19811" s="1" t="s">
        <v>6863</v>
      </c>
      <c r="D19811" s="22" t="str">
        <f>HYPERLINK("https://rhld.insurance.arkansas.gov/NPILookup?Npi=1578952834","1578952834")</f>
        <v>1578952834</v>
      </c>
      <c r="E19811" s="1" t="s">
        <v>24638</v>
      </c>
      <c r="F19811" s="2"/>
      <c r="G19811" s="2"/>
      <c r="H19811" s="2"/>
    </row>
    <row r="19812" spans="1:8" x14ac:dyDescent="0.25">
      <c r="A19812" s="1"/>
      <c r="B19812" s="1" t="s">
        <v>6862</v>
      </c>
      <c r="C19812" s="1" t="s">
        <v>6863</v>
      </c>
      <c r="D19812" s="22" t="str">
        <f>HYPERLINK("https://rhld.insurance.arkansas.gov/NPILookup?Npi=1578974820","1578974820")</f>
        <v>1578974820</v>
      </c>
      <c r="E19812" s="1" t="s">
        <v>12454</v>
      </c>
      <c r="F19812" s="2"/>
      <c r="G19812" s="2"/>
      <c r="H19812" s="2"/>
    </row>
    <row r="19813" spans="1:8" x14ac:dyDescent="0.25">
      <c r="A19813" s="1"/>
      <c r="B19813" s="1" t="s">
        <v>6862</v>
      </c>
      <c r="C19813" s="1" t="s">
        <v>6863</v>
      </c>
      <c r="D19813" s="22" t="str">
        <f>HYPERLINK("https://rhld.insurance.arkansas.gov/NPILookup?Npi=1578978789","1578978789")</f>
        <v>1578978789</v>
      </c>
      <c r="E19813" s="1" t="s">
        <v>7098</v>
      </c>
      <c r="F19813" s="2"/>
      <c r="G19813" s="2"/>
      <c r="H19813" s="2"/>
    </row>
    <row r="19814" spans="1:8" x14ac:dyDescent="0.25">
      <c r="A19814" s="1"/>
      <c r="B19814" s="1" t="s">
        <v>6862</v>
      </c>
      <c r="C19814" s="1" t="s">
        <v>6863</v>
      </c>
      <c r="D19814" s="22" t="str">
        <f>HYPERLINK("https://rhld.insurance.arkansas.gov/NPILookup?Npi=1588192942","1588192942")</f>
        <v>1588192942</v>
      </c>
      <c r="E19814" s="1" t="s">
        <v>7099</v>
      </c>
      <c r="F19814" s="2"/>
      <c r="G19814" s="2"/>
      <c r="H19814" s="2"/>
    </row>
    <row r="19815" spans="1:8" x14ac:dyDescent="0.25">
      <c r="A19815" s="1"/>
      <c r="B19815" s="1" t="s">
        <v>6862</v>
      </c>
      <c r="C19815" s="1" t="s">
        <v>6863</v>
      </c>
      <c r="D19815" s="22" t="str">
        <f>HYPERLINK("https://rhld.insurance.arkansas.gov/NPILookup?Npi=1588247068","1588247068")</f>
        <v>1588247068</v>
      </c>
      <c r="E19815" s="1" t="s">
        <v>12455</v>
      </c>
      <c r="F19815" s="2"/>
      <c r="G19815" s="2"/>
      <c r="H19815" s="2"/>
    </row>
    <row r="19816" spans="1:8" x14ac:dyDescent="0.25">
      <c r="A19816" s="1"/>
      <c r="B19816" s="1" t="s">
        <v>6862</v>
      </c>
      <c r="C19816" s="1" t="s">
        <v>6863</v>
      </c>
      <c r="D19816" s="22" t="str">
        <f>HYPERLINK("https://rhld.insurance.arkansas.gov/NPILookup?Npi=1588382667","1588382667")</f>
        <v>1588382667</v>
      </c>
      <c r="E19816" s="1" t="s">
        <v>24639</v>
      </c>
      <c r="F19816" s="2"/>
      <c r="G19816" s="2"/>
      <c r="H19816" s="2"/>
    </row>
    <row r="19817" spans="1:8" x14ac:dyDescent="0.25">
      <c r="A19817" s="1"/>
      <c r="B19817" s="1" t="s">
        <v>6862</v>
      </c>
      <c r="C19817" s="1" t="s">
        <v>6863</v>
      </c>
      <c r="D19817" s="22" t="str">
        <f>HYPERLINK("https://rhld.insurance.arkansas.gov/NPILookup?Npi=1588383095","1588383095")</f>
        <v>1588383095</v>
      </c>
      <c r="E19817" s="1" t="s">
        <v>12456</v>
      </c>
      <c r="F19817" s="2"/>
      <c r="G19817" s="2"/>
      <c r="H19817" s="2"/>
    </row>
    <row r="19818" spans="1:8" x14ac:dyDescent="0.25">
      <c r="A19818" s="1"/>
      <c r="B19818" s="1" t="s">
        <v>6862</v>
      </c>
      <c r="C19818" s="1" t="s">
        <v>6863</v>
      </c>
      <c r="D19818" s="22" t="str">
        <f>HYPERLINK("https://rhld.insurance.arkansas.gov/NPILookup?Npi=1588496749","1588496749")</f>
        <v>1588496749</v>
      </c>
      <c r="E19818" s="1" t="s">
        <v>32040</v>
      </c>
      <c r="F19818" s="2"/>
      <c r="G19818" s="2"/>
      <c r="H19818" s="2"/>
    </row>
    <row r="19819" spans="1:8" x14ac:dyDescent="0.25">
      <c r="A19819" s="1"/>
      <c r="B19819" s="1" t="s">
        <v>6862</v>
      </c>
      <c r="C19819" s="1" t="s">
        <v>6863</v>
      </c>
      <c r="D19819" s="22" t="str">
        <f>HYPERLINK("https://rhld.insurance.arkansas.gov/NPILookup?Npi=1588611404","1588611404")</f>
        <v>1588611404</v>
      </c>
      <c r="E19819" s="1" t="s">
        <v>24640</v>
      </c>
      <c r="F19819" s="2"/>
      <c r="G19819" s="2"/>
      <c r="H19819" s="2"/>
    </row>
    <row r="19820" spans="1:8" x14ac:dyDescent="0.25">
      <c r="A19820" s="1"/>
      <c r="B19820" s="1" t="s">
        <v>6862</v>
      </c>
      <c r="C19820" s="1" t="s">
        <v>6863</v>
      </c>
      <c r="D19820" s="22" t="str">
        <f>HYPERLINK("https://rhld.insurance.arkansas.gov/NPILookup?Npi=1588614945","1588614945")</f>
        <v>1588614945</v>
      </c>
      <c r="E19820" s="1" t="s">
        <v>7101</v>
      </c>
      <c r="F19820" s="2"/>
      <c r="G19820" s="2"/>
      <c r="H19820" s="2"/>
    </row>
    <row r="19821" spans="1:8" x14ac:dyDescent="0.25">
      <c r="A19821" s="1"/>
      <c r="B19821" s="1" t="s">
        <v>6862</v>
      </c>
      <c r="C19821" s="1" t="s">
        <v>6863</v>
      </c>
      <c r="D19821" s="22" t="str">
        <f>HYPERLINK("https://rhld.insurance.arkansas.gov/NPILookup?Npi=1588913040","1588913040")</f>
        <v>1588913040</v>
      </c>
      <c r="E19821" s="1" t="s">
        <v>24641</v>
      </c>
      <c r="F19821" s="2"/>
      <c r="G19821" s="2"/>
      <c r="H19821" s="2"/>
    </row>
    <row r="19822" spans="1:8" x14ac:dyDescent="0.25">
      <c r="A19822" s="1"/>
      <c r="B19822" s="1" t="s">
        <v>6862</v>
      </c>
      <c r="C19822" s="1" t="s">
        <v>6863</v>
      </c>
      <c r="D19822" s="22" t="str">
        <f>HYPERLINK("https://rhld.insurance.arkansas.gov/NPILookup?Npi=1588997746","1588997746")</f>
        <v>1588997746</v>
      </c>
      <c r="E19822" s="1" t="s">
        <v>12457</v>
      </c>
      <c r="F19822" s="2"/>
      <c r="G19822" s="2"/>
      <c r="H19822" s="2"/>
    </row>
    <row r="19823" spans="1:8" x14ac:dyDescent="0.25">
      <c r="A19823" s="1"/>
      <c r="B19823" s="1" t="s">
        <v>6862</v>
      </c>
      <c r="C19823" s="1" t="s">
        <v>6863</v>
      </c>
      <c r="D19823" s="22" t="str">
        <f>HYPERLINK("https://rhld.insurance.arkansas.gov/NPILookup?Npi=1598075426","1598075426")</f>
        <v>1598075426</v>
      </c>
      <c r="E19823" s="1" t="s">
        <v>12458</v>
      </c>
      <c r="F19823" s="2"/>
      <c r="G19823" s="2"/>
      <c r="H19823" s="2"/>
    </row>
    <row r="19824" spans="1:8" x14ac:dyDescent="0.25">
      <c r="A19824" s="1"/>
      <c r="B19824" s="1" t="s">
        <v>6862</v>
      </c>
      <c r="C19824" s="1" t="s">
        <v>6863</v>
      </c>
      <c r="D19824" s="22" t="str">
        <f>HYPERLINK("https://rhld.insurance.arkansas.gov/NPILookup?Npi=1598085730","1598085730")</f>
        <v>1598085730</v>
      </c>
      <c r="E19824" s="1" t="s">
        <v>24642</v>
      </c>
      <c r="F19824" s="2"/>
      <c r="G19824" s="2"/>
      <c r="H19824" s="2"/>
    </row>
    <row r="19825" spans="1:8" x14ac:dyDescent="0.25">
      <c r="A19825" s="1"/>
      <c r="B19825" s="1" t="s">
        <v>6862</v>
      </c>
      <c r="C19825" s="1" t="s">
        <v>6863</v>
      </c>
      <c r="D19825" s="22" t="str">
        <f>HYPERLINK("https://rhld.insurance.arkansas.gov/NPILookup?Npi=1598132524","1598132524")</f>
        <v>1598132524</v>
      </c>
      <c r="E19825" s="1" t="s">
        <v>7102</v>
      </c>
      <c r="F19825" s="2"/>
      <c r="G19825" s="2"/>
      <c r="H19825" s="2"/>
    </row>
    <row r="19826" spans="1:8" x14ac:dyDescent="0.25">
      <c r="A19826" s="1"/>
      <c r="B19826" s="1" t="s">
        <v>6862</v>
      </c>
      <c r="C19826" s="1" t="s">
        <v>6863</v>
      </c>
      <c r="D19826" s="22" t="str">
        <f>HYPERLINK("https://rhld.insurance.arkansas.gov/NPILookup?Npi=1598187510","1598187510")</f>
        <v>1598187510</v>
      </c>
      <c r="E19826" s="1" t="s">
        <v>24643</v>
      </c>
      <c r="F19826" s="2"/>
      <c r="G19826" s="2"/>
      <c r="H19826" s="2"/>
    </row>
    <row r="19827" spans="1:8" x14ac:dyDescent="0.25">
      <c r="A19827" s="1"/>
      <c r="B19827" s="1" t="s">
        <v>6862</v>
      </c>
      <c r="C19827" s="1" t="s">
        <v>6863</v>
      </c>
      <c r="D19827" s="22" t="str">
        <f>HYPERLINK("https://rhld.insurance.arkansas.gov/NPILookup?Npi=1598211906","1598211906")</f>
        <v>1598211906</v>
      </c>
      <c r="E19827" s="1" t="s">
        <v>12459</v>
      </c>
      <c r="F19827" s="2"/>
      <c r="G19827" s="2"/>
      <c r="H19827" s="2"/>
    </row>
    <row r="19828" spans="1:8" x14ac:dyDescent="0.25">
      <c r="A19828" s="1"/>
      <c r="B19828" s="1" t="s">
        <v>6862</v>
      </c>
      <c r="C19828" s="1" t="s">
        <v>6863</v>
      </c>
      <c r="D19828" s="22" t="str">
        <f>HYPERLINK("https://rhld.insurance.arkansas.gov/NPILookup?Npi=1598238800","1598238800")</f>
        <v>1598238800</v>
      </c>
      <c r="E19828" s="1" t="s">
        <v>7103</v>
      </c>
      <c r="F19828" s="2"/>
      <c r="G19828" s="2"/>
      <c r="H19828" s="2"/>
    </row>
    <row r="19829" spans="1:8" x14ac:dyDescent="0.25">
      <c r="A19829" s="1"/>
      <c r="B19829" s="1" t="s">
        <v>6862</v>
      </c>
      <c r="C19829" s="1" t="s">
        <v>6863</v>
      </c>
      <c r="D19829" s="22" t="str">
        <f>HYPERLINK("https://rhld.insurance.arkansas.gov/NPILookup?Npi=1598248031","1598248031")</f>
        <v>1598248031</v>
      </c>
      <c r="E19829" s="1" t="s">
        <v>24644</v>
      </c>
      <c r="F19829" s="2"/>
      <c r="G19829" s="2"/>
      <c r="H19829" s="2"/>
    </row>
    <row r="19830" spans="1:8" x14ac:dyDescent="0.25">
      <c r="A19830" s="1"/>
      <c r="B19830" s="1" t="s">
        <v>6862</v>
      </c>
      <c r="C19830" s="1" t="s">
        <v>6863</v>
      </c>
      <c r="D19830" s="22" t="str">
        <f>HYPERLINK("https://rhld.insurance.arkansas.gov/NPILookup?Npi=1598259384","1598259384")</f>
        <v>1598259384</v>
      </c>
      <c r="E19830" s="1" t="s">
        <v>24645</v>
      </c>
      <c r="F19830" s="2"/>
      <c r="G19830" s="2"/>
      <c r="H19830" s="2"/>
    </row>
    <row r="19831" spans="1:8" x14ac:dyDescent="0.25">
      <c r="A19831" s="1"/>
      <c r="B19831" s="1" t="s">
        <v>6862</v>
      </c>
      <c r="C19831" s="1" t="s">
        <v>6863</v>
      </c>
      <c r="D19831" s="22" t="str">
        <f>HYPERLINK("https://rhld.insurance.arkansas.gov/NPILookup?Npi=1598275901","1598275901")</f>
        <v>1598275901</v>
      </c>
      <c r="E19831" s="1" t="s">
        <v>24646</v>
      </c>
      <c r="F19831" s="2"/>
      <c r="G19831" s="2"/>
      <c r="H19831" s="2"/>
    </row>
    <row r="19832" spans="1:8" x14ac:dyDescent="0.25">
      <c r="A19832" s="1"/>
      <c r="B19832" s="1" t="s">
        <v>6862</v>
      </c>
      <c r="C19832" s="1" t="s">
        <v>6863</v>
      </c>
      <c r="D19832" s="22" t="str">
        <f>HYPERLINK("https://rhld.insurance.arkansas.gov/NPILookup?Npi=1598313611","1598313611")</f>
        <v>1598313611</v>
      </c>
      <c r="E19832" s="1" t="s">
        <v>7104</v>
      </c>
      <c r="F19832" s="2"/>
      <c r="G19832" s="2"/>
      <c r="H19832" s="2"/>
    </row>
    <row r="19833" spans="1:8" x14ac:dyDescent="0.25">
      <c r="A19833" s="1"/>
      <c r="B19833" s="1" t="s">
        <v>6862</v>
      </c>
      <c r="C19833" s="1" t="s">
        <v>6863</v>
      </c>
      <c r="D19833" s="22" t="str">
        <f>HYPERLINK("https://rhld.insurance.arkansas.gov/NPILookup?Npi=1598319014","1598319014")</f>
        <v>1598319014</v>
      </c>
      <c r="E19833" s="1" t="s">
        <v>24647</v>
      </c>
      <c r="F19833" s="2"/>
      <c r="G19833" s="2"/>
      <c r="H19833" s="2"/>
    </row>
    <row r="19834" spans="1:8" x14ac:dyDescent="0.25">
      <c r="A19834" s="1"/>
      <c r="B19834" s="1" t="s">
        <v>6862</v>
      </c>
      <c r="C19834" s="1" t="s">
        <v>6863</v>
      </c>
      <c r="D19834" s="22" t="str">
        <f>HYPERLINK("https://rhld.insurance.arkansas.gov/NPILookup?Npi=1598378820","1598378820")</f>
        <v>1598378820</v>
      </c>
      <c r="E19834" s="1" t="s">
        <v>24648</v>
      </c>
      <c r="F19834" s="2"/>
      <c r="G19834" s="2"/>
      <c r="H19834" s="2"/>
    </row>
    <row r="19835" spans="1:8" x14ac:dyDescent="0.25">
      <c r="A19835" s="1"/>
      <c r="B19835" s="1" t="s">
        <v>6862</v>
      </c>
      <c r="C19835" s="1" t="s">
        <v>6863</v>
      </c>
      <c r="D19835" s="22" t="str">
        <f>HYPERLINK("https://rhld.insurance.arkansas.gov/NPILookup?Npi=1598382541","1598382541")</f>
        <v>1598382541</v>
      </c>
      <c r="E19835" s="1" t="s">
        <v>24649</v>
      </c>
      <c r="F19835" s="2"/>
      <c r="G19835" s="2"/>
      <c r="H19835" s="2"/>
    </row>
    <row r="19836" spans="1:8" x14ac:dyDescent="0.25">
      <c r="A19836" s="1"/>
      <c r="B19836" s="1" t="s">
        <v>6862</v>
      </c>
      <c r="C19836" s="1" t="s">
        <v>6863</v>
      </c>
      <c r="D19836" s="22" t="str">
        <f>HYPERLINK("https://rhld.insurance.arkansas.gov/NPILookup?Npi=1598430936","1598430936")</f>
        <v>1598430936</v>
      </c>
      <c r="E19836" s="1" t="s">
        <v>24650</v>
      </c>
      <c r="F19836" s="2"/>
      <c r="G19836" s="2"/>
      <c r="H19836" s="2"/>
    </row>
    <row r="19837" spans="1:8" x14ac:dyDescent="0.25">
      <c r="A19837" s="1"/>
      <c r="B19837" s="1" t="s">
        <v>6862</v>
      </c>
      <c r="C19837" s="1" t="s">
        <v>6863</v>
      </c>
      <c r="D19837" s="22" t="str">
        <f>HYPERLINK("https://rhld.insurance.arkansas.gov/NPILookup?Npi=1598432171","1598432171")</f>
        <v>1598432171</v>
      </c>
      <c r="E19837" s="1" t="s">
        <v>2496</v>
      </c>
      <c r="F19837" s="2"/>
      <c r="G19837" s="2"/>
      <c r="H19837" s="2"/>
    </row>
    <row r="19838" spans="1:8" x14ac:dyDescent="0.25">
      <c r="A19838" s="1"/>
      <c r="B19838" s="1" t="s">
        <v>6862</v>
      </c>
      <c r="C19838" s="1" t="s">
        <v>6863</v>
      </c>
      <c r="D19838" s="22" t="str">
        <f>HYPERLINK("https://rhld.insurance.arkansas.gov/NPILookup?Npi=1598483356","1598483356")</f>
        <v>1598483356</v>
      </c>
      <c r="E19838" s="1" t="s">
        <v>24651</v>
      </c>
      <c r="F19838" s="2"/>
      <c r="G19838" s="2"/>
      <c r="H19838" s="2"/>
    </row>
    <row r="19839" spans="1:8" x14ac:dyDescent="0.25">
      <c r="A19839" s="1"/>
      <c r="B19839" s="1" t="s">
        <v>6862</v>
      </c>
      <c r="C19839" s="1" t="s">
        <v>6863</v>
      </c>
      <c r="D19839" s="22" t="str">
        <f>HYPERLINK("https://rhld.insurance.arkansas.gov/NPILookup?Npi=1598590010","1598590010")</f>
        <v>1598590010</v>
      </c>
      <c r="E19839" s="1" t="s">
        <v>32041</v>
      </c>
      <c r="F19839" s="2"/>
      <c r="G19839" s="2"/>
      <c r="H19839" s="2"/>
    </row>
    <row r="19840" spans="1:8" x14ac:dyDescent="0.25">
      <c r="A19840" s="1"/>
      <c r="B19840" s="1" t="s">
        <v>6862</v>
      </c>
      <c r="C19840" s="1" t="s">
        <v>6863</v>
      </c>
      <c r="D19840" s="22" t="str">
        <f>HYPERLINK("https://rhld.insurance.arkansas.gov/NPILookup?Npi=1598599789","1598599789")</f>
        <v>1598599789</v>
      </c>
      <c r="E19840" s="1" t="s">
        <v>24652</v>
      </c>
      <c r="F19840" s="2"/>
      <c r="G19840" s="2"/>
      <c r="H19840" s="2"/>
    </row>
    <row r="19841" spans="1:8" x14ac:dyDescent="0.25">
      <c r="A19841" s="1"/>
      <c r="B19841" s="1" t="s">
        <v>6862</v>
      </c>
      <c r="C19841" s="1" t="s">
        <v>6863</v>
      </c>
      <c r="D19841" s="22" t="str">
        <f>HYPERLINK("https://rhld.insurance.arkansas.gov/NPILookup?Npi=1598714867","1598714867")</f>
        <v>1598714867</v>
      </c>
      <c r="E19841" s="1" t="s">
        <v>24653</v>
      </c>
      <c r="F19841" s="2"/>
      <c r="G19841" s="2"/>
      <c r="H19841" s="2"/>
    </row>
    <row r="19842" spans="1:8" x14ac:dyDescent="0.25">
      <c r="A19842" s="1"/>
      <c r="B19842" s="1" t="s">
        <v>6862</v>
      </c>
      <c r="C19842" s="1" t="s">
        <v>6863</v>
      </c>
      <c r="D19842" s="22" t="str">
        <f>HYPERLINK("https://rhld.insurance.arkansas.gov/NPILookup?Npi=1598821985","1598821985")</f>
        <v>1598821985</v>
      </c>
      <c r="E19842" s="1" t="s">
        <v>12460</v>
      </c>
      <c r="F19842" s="2"/>
      <c r="G19842" s="2"/>
      <c r="H19842" s="2"/>
    </row>
    <row r="19843" spans="1:8" x14ac:dyDescent="0.25">
      <c r="A19843" s="1"/>
      <c r="B19843" s="1" t="s">
        <v>6862</v>
      </c>
      <c r="C19843" s="1" t="s">
        <v>6863</v>
      </c>
      <c r="D19843" s="22" t="str">
        <f>HYPERLINK("https://rhld.insurance.arkansas.gov/NPILookup?Npi=1598891434","1598891434")</f>
        <v>1598891434</v>
      </c>
      <c r="E19843" s="1" t="s">
        <v>7105</v>
      </c>
      <c r="F19843" s="2"/>
      <c r="G19843" s="2"/>
      <c r="H19843" s="2"/>
    </row>
    <row r="19844" spans="1:8" x14ac:dyDescent="0.25">
      <c r="A19844" s="1"/>
      <c r="B19844" s="1" t="s">
        <v>6862</v>
      </c>
      <c r="C19844" s="1" t="s">
        <v>6863</v>
      </c>
      <c r="D19844" s="22" t="str">
        <f>HYPERLINK("https://rhld.insurance.arkansas.gov/NPILookup?Npi=1598983215","1598983215")</f>
        <v>1598983215</v>
      </c>
      <c r="E19844" s="1" t="s">
        <v>7106</v>
      </c>
      <c r="F19844" s="2"/>
      <c r="G19844" s="2"/>
      <c r="H19844" s="2"/>
    </row>
    <row r="19845" spans="1:8" x14ac:dyDescent="0.25">
      <c r="A19845" s="1"/>
      <c r="B19845" s="1" t="s">
        <v>6862</v>
      </c>
      <c r="C19845" s="1" t="s">
        <v>6863</v>
      </c>
      <c r="D19845" s="22" t="str">
        <f>HYPERLINK("https://rhld.insurance.arkansas.gov/NPILookup?Npi=1598984916","1598984916")</f>
        <v>1598984916</v>
      </c>
      <c r="E19845" s="1" t="s">
        <v>7107</v>
      </c>
      <c r="F19845" s="2"/>
      <c r="G19845" s="2"/>
      <c r="H19845" s="2"/>
    </row>
    <row r="19846" spans="1:8" x14ac:dyDescent="0.25">
      <c r="A19846" s="1"/>
      <c r="B19846" s="1" t="s">
        <v>6862</v>
      </c>
      <c r="C19846" s="1" t="s">
        <v>6863</v>
      </c>
      <c r="D19846" s="22" t="str">
        <f>HYPERLINK("https://rhld.insurance.arkansas.gov/NPILookup?Npi=1609009356","1609009356")</f>
        <v>1609009356</v>
      </c>
      <c r="E19846" s="1" t="s">
        <v>7108</v>
      </c>
      <c r="F19846" s="2"/>
      <c r="G19846" s="2"/>
      <c r="H19846" s="2"/>
    </row>
    <row r="19847" spans="1:8" x14ac:dyDescent="0.25">
      <c r="A19847" s="1"/>
      <c r="B19847" s="1" t="s">
        <v>6862</v>
      </c>
      <c r="C19847" s="1" t="s">
        <v>6863</v>
      </c>
      <c r="D19847" s="22" t="str">
        <f>HYPERLINK("https://rhld.insurance.arkansas.gov/NPILookup?Npi=1609099878","1609099878")</f>
        <v>1609099878</v>
      </c>
      <c r="E19847" s="1" t="s">
        <v>24654</v>
      </c>
      <c r="F19847" s="2"/>
      <c r="G19847" s="2"/>
      <c r="H19847" s="2"/>
    </row>
    <row r="19848" spans="1:8" x14ac:dyDescent="0.25">
      <c r="A19848" s="1"/>
      <c r="B19848" s="1" t="s">
        <v>6862</v>
      </c>
      <c r="C19848" s="1" t="s">
        <v>6863</v>
      </c>
      <c r="D19848" s="22" t="str">
        <f>HYPERLINK("https://rhld.insurance.arkansas.gov/NPILookup?Npi=1609122027","1609122027")</f>
        <v>1609122027</v>
      </c>
      <c r="E19848" s="1" t="s">
        <v>24655</v>
      </c>
      <c r="F19848" s="2"/>
      <c r="G19848" s="2"/>
      <c r="H19848" s="2"/>
    </row>
    <row r="19849" spans="1:8" x14ac:dyDescent="0.25">
      <c r="A19849" s="1"/>
      <c r="B19849" s="1" t="s">
        <v>6862</v>
      </c>
      <c r="C19849" s="1" t="s">
        <v>6863</v>
      </c>
      <c r="D19849" s="22" t="str">
        <f>HYPERLINK("https://rhld.insurance.arkansas.gov/NPILookup?Npi=1609220441","1609220441")</f>
        <v>1609220441</v>
      </c>
      <c r="E19849" s="1" t="s">
        <v>24656</v>
      </c>
      <c r="F19849" s="2"/>
      <c r="G19849" s="2"/>
      <c r="H19849" s="2"/>
    </row>
    <row r="19850" spans="1:8" x14ac:dyDescent="0.25">
      <c r="A19850" s="1"/>
      <c r="B19850" s="1" t="s">
        <v>6862</v>
      </c>
      <c r="C19850" s="1" t="s">
        <v>6863</v>
      </c>
      <c r="D19850" s="22" t="str">
        <f>HYPERLINK("https://rhld.insurance.arkansas.gov/NPILookup?Npi=1609301811","1609301811")</f>
        <v>1609301811</v>
      </c>
      <c r="E19850" s="1" t="s">
        <v>24657</v>
      </c>
      <c r="F19850" s="2"/>
      <c r="G19850" s="2"/>
      <c r="H19850" s="2"/>
    </row>
    <row r="19851" spans="1:8" x14ac:dyDescent="0.25">
      <c r="A19851" s="1"/>
      <c r="B19851" s="1" t="s">
        <v>6862</v>
      </c>
      <c r="C19851" s="1" t="s">
        <v>6863</v>
      </c>
      <c r="D19851" s="22" t="str">
        <f>HYPERLINK("https://rhld.insurance.arkansas.gov/NPILookup?Npi=1609314921","1609314921")</f>
        <v>1609314921</v>
      </c>
      <c r="E19851" s="1" t="s">
        <v>24658</v>
      </c>
      <c r="F19851" s="2"/>
      <c r="G19851" s="2"/>
      <c r="H19851" s="2"/>
    </row>
    <row r="19852" spans="1:8" x14ac:dyDescent="0.25">
      <c r="A19852" s="1"/>
      <c r="B19852" s="1" t="s">
        <v>6862</v>
      </c>
      <c r="C19852" s="1" t="s">
        <v>6863</v>
      </c>
      <c r="D19852" s="22" t="str">
        <f>HYPERLINK("https://rhld.insurance.arkansas.gov/NPILookup?Npi=1609322163","1609322163")</f>
        <v>1609322163</v>
      </c>
      <c r="E19852" s="1" t="s">
        <v>24659</v>
      </c>
      <c r="F19852" s="2"/>
      <c r="G19852" s="2"/>
      <c r="H19852" s="2"/>
    </row>
    <row r="19853" spans="1:8" x14ac:dyDescent="0.25">
      <c r="A19853" s="1"/>
      <c r="B19853" s="1" t="s">
        <v>6862</v>
      </c>
      <c r="C19853" s="1" t="s">
        <v>6863</v>
      </c>
      <c r="D19853" s="22" t="str">
        <f>HYPERLINK("https://rhld.insurance.arkansas.gov/NPILookup?Npi=1609440585","1609440585")</f>
        <v>1609440585</v>
      </c>
      <c r="E19853" s="1" t="s">
        <v>24660</v>
      </c>
      <c r="F19853" s="2"/>
      <c r="G19853" s="2"/>
      <c r="H19853" s="2"/>
    </row>
    <row r="19854" spans="1:8" x14ac:dyDescent="0.25">
      <c r="A19854" s="1"/>
      <c r="B19854" s="1" t="s">
        <v>6862</v>
      </c>
      <c r="C19854" s="1" t="s">
        <v>6863</v>
      </c>
      <c r="D19854" s="22" t="str">
        <f>HYPERLINK("https://rhld.insurance.arkansas.gov/NPILookup?Npi=1609442250","1609442250")</f>
        <v>1609442250</v>
      </c>
      <c r="E19854" s="1" t="s">
        <v>7109</v>
      </c>
      <c r="F19854" s="2"/>
      <c r="G19854" s="2"/>
      <c r="H19854" s="2"/>
    </row>
    <row r="19855" spans="1:8" x14ac:dyDescent="0.25">
      <c r="A19855" s="1"/>
      <c r="B19855" s="1" t="s">
        <v>6862</v>
      </c>
      <c r="C19855" s="1" t="s">
        <v>6863</v>
      </c>
      <c r="D19855" s="22" t="str">
        <f>HYPERLINK("https://rhld.insurance.arkansas.gov/NPILookup?Npi=1609540004","1609540004")</f>
        <v>1609540004</v>
      </c>
      <c r="E19855" s="1" t="s">
        <v>24661</v>
      </c>
      <c r="F19855" s="2"/>
      <c r="G19855" s="2"/>
      <c r="H19855" s="2"/>
    </row>
    <row r="19856" spans="1:8" x14ac:dyDescent="0.25">
      <c r="A19856" s="1"/>
      <c r="B19856" s="1" t="s">
        <v>6862</v>
      </c>
      <c r="C19856" s="1" t="s">
        <v>6863</v>
      </c>
      <c r="D19856" s="22" t="str">
        <f>HYPERLINK("https://rhld.insurance.arkansas.gov/NPILookup?Npi=1609543735","1609543735")</f>
        <v>1609543735</v>
      </c>
      <c r="E19856" s="1" t="s">
        <v>24662</v>
      </c>
      <c r="F19856" s="2"/>
      <c r="G19856" s="2"/>
      <c r="H19856" s="2"/>
    </row>
    <row r="19857" spans="1:8" x14ac:dyDescent="0.25">
      <c r="A19857" s="1"/>
      <c r="B19857" s="1" t="s">
        <v>6862</v>
      </c>
      <c r="C19857" s="1" t="s">
        <v>6863</v>
      </c>
      <c r="D19857" s="22" t="str">
        <f>HYPERLINK("https://rhld.insurance.arkansas.gov/NPILookup?Npi=1609550425","1609550425")</f>
        <v>1609550425</v>
      </c>
      <c r="E19857" s="1" t="s">
        <v>4108</v>
      </c>
      <c r="F19857" s="2"/>
      <c r="G19857" s="2"/>
      <c r="H19857" s="2"/>
    </row>
    <row r="19858" spans="1:8" x14ac:dyDescent="0.25">
      <c r="A19858" s="1"/>
      <c r="B19858" s="1" t="s">
        <v>6862</v>
      </c>
      <c r="C19858" s="1" t="s">
        <v>6863</v>
      </c>
      <c r="D19858" s="22" t="str">
        <f>HYPERLINK("https://rhld.insurance.arkansas.gov/NPILookup?Npi=1609595727","1609595727")</f>
        <v>1609595727</v>
      </c>
      <c r="E19858" s="1" t="s">
        <v>24663</v>
      </c>
      <c r="F19858" s="2"/>
      <c r="G19858" s="2"/>
      <c r="H19858" s="2"/>
    </row>
    <row r="19859" spans="1:8" x14ac:dyDescent="0.25">
      <c r="A19859" s="1"/>
      <c r="B19859" s="1" t="s">
        <v>6862</v>
      </c>
      <c r="C19859" s="1" t="s">
        <v>6863</v>
      </c>
      <c r="D19859" s="22" t="str">
        <f>HYPERLINK("https://rhld.insurance.arkansas.gov/NPILookup?Npi=1609824390","1609824390")</f>
        <v>1609824390</v>
      </c>
      <c r="E19859" s="1" t="s">
        <v>12461</v>
      </c>
      <c r="F19859" s="2"/>
      <c r="G19859" s="2"/>
      <c r="H19859" s="2"/>
    </row>
    <row r="19860" spans="1:8" x14ac:dyDescent="0.25">
      <c r="A19860" s="1"/>
      <c r="B19860" s="1" t="s">
        <v>6862</v>
      </c>
      <c r="C19860" s="1" t="s">
        <v>6863</v>
      </c>
      <c r="D19860" s="22" t="str">
        <f>HYPERLINK("https://rhld.insurance.arkansas.gov/NPILookup?Npi=1609825975","1609825975")</f>
        <v>1609825975</v>
      </c>
      <c r="E19860" s="1" t="s">
        <v>7110</v>
      </c>
      <c r="F19860" s="2"/>
      <c r="G19860" s="2"/>
      <c r="H19860" s="2"/>
    </row>
    <row r="19861" spans="1:8" x14ac:dyDescent="0.25">
      <c r="A19861" s="1"/>
      <c r="B19861" s="1" t="s">
        <v>6862</v>
      </c>
      <c r="C19861" s="1" t="s">
        <v>6863</v>
      </c>
      <c r="D19861" s="22" t="str">
        <f>HYPERLINK("https://rhld.insurance.arkansas.gov/NPILookup?Npi=1609833003","1609833003")</f>
        <v>1609833003</v>
      </c>
      <c r="E19861" s="1" t="s">
        <v>7111</v>
      </c>
      <c r="F19861" s="2"/>
      <c r="G19861" s="2"/>
      <c r="H19861" s="2"/>
    </row>
    <row r="19862" spans="1:8" x14ac:dyDescent="0.25">
      <c r="A19862" s="1"/>
      <c r="B19862" s="1" t="s">
        <v>6862</v>
      </c>
      <c r="C19862" s="1" t="s">
        <v>6863</v>
      </c>
      <c r="D19862" s="22" t="str">
        <f>HYPERLINK("https://rhld.insurance.arkansas.gov/NPILookup?Npi=1609861806","1609861806")</f>
        <v>1609861806</v>
      </c>
      <c r="E19862" s="1" t="s">
        <v>24664</v>
      </c>
      <c r="F19862" s="2"/>
      <c r="G19862" s="2"/>
      <c r="H19862" s="2"/>
    </row>
    <row r="19863" spans="1:8" x14ac:dyDescent="0.25">
      <c r="A19863" s="1"/>
      <c r="B19863" s="1" t="s">
        <v>6862</v>
      </c>
      <c r="C19863" s="1" t="s">
        <v>6863</v>
      </c>
      <c r="D19863" s="22" t="str">
        <f>HYPERLINK("https://rhld.insurance.arkansas.gov/NPILookup?Npi=1609918911","1609918911")</f>
        <v>1609918911</v>
      </c>
      <c r="E19863" s="1" t="s">
        <v>7112</v>
      </c>
      <c r="F19863" s="2"/>
      <c r="G19863" s="2"/>
      <c r="H19863" s="2"/>
    </row>
    <row r="19864" spans="1:8" x14ac:dyDescent="0.25">
      <c r="A19864" s="1"/>
      <c r="B19864" s="1" t="s">
        <v>6862</v>
      </c>
      <c r="C19864" s="1" t="s">
        <v>6863</v>
      </c>
      <c r="D19864" s="22" t="str">
        <f>HYPERLINK("https://rhld.insurance.arkansas.gov/NPILookup?Npi=1619081858","1619081858")</f>
        <v>1619081858</v>
      </c>
      <c r="E19864" s="1" t="s">
        <v>12462</v>
      </c>
      <c r="F19864" s="2"/>
      <c r="G19864" s="2"/>
      <c r="H19864" s="2"/>
    </row>
    <row r="19865" spans="1:8" x14ac:dyDescent="0.25">
      <c r="A19865" s="1"/>
      <c r="B19865" s="1" t="s">
        <v>6862</v>
      </c>
      <c r="C19865" s="1" t="s">
        <v>6863</v>
      </c>
      <c r="D19865" s="22" t="str">
        <f>HYPERLINK("https://rhld.insurance.arkansas.gov/NPILookup?Npi=1619113297","1619113297")</f>
        <v>1619113297</v>
      </c>
      <c r="E19865" s="1" t="s">
        <v>24665</v>
      </c>
      <c r="F19865" s="2"/>
      <c r="G19865" s="2"/>
      <c r="H19865" s="2"/>
    </row>
    <row r="19866" spans="1:8" x14ac:dyDescent="0.25">
      <c r="A19866" s="1"/>
      <c r="B19866" s="1" t="s">
        <v>6862</v>
      </c>
      <c r="C19866" s="1" t="s">
        <v>6863</v>
      </c>
      <c r="D19866" s="22" t="str">
        <f>HYPERLINK("https://rhld.insurance.arkansas.gov/NPILookup?Npi=1619309358","1619309358")</f>
        <v>1619309358</v>
      </c>
      <c r="E19866" s="1" t="s">
        <v>7113</v>
      </c>
      <c r="F19866" s="2"/>
      <c r="G19866" s="2"/>
      <c r="H19866" s="2"/>
    </row>
    <row r="19867" spans="1:8" x14ac:dyDescent="0.25">
      <c r="A19867" s="1"/>
      <c r="B19867" s="1" t="s">
        <v>6862</v>
      </c>
      <c r="C19867" s="1" t="s">
        <v>6863</v>
      </c>
      <c r="D19867" s="22" t="str">
        <f>HYPERLINK("https://rhld.insurance.arkansas.gov/NPILookup?Npi=1619346848","1619346848")</f>
        <v>1619346848</v>
      </c>
      <c r="E19867" s="1" t="s">
        <v>7114</v>
      </c>
      <c r="F19867" s="2"/>
      <c r="G19867" s="2"/>
      <c r="H19867" s="2"/>
    </row>
    <row r="19868" spans="1:8" x14ac:dyDescent="0.25">
      <c r="A19868" s="1"/>
      <c r="B19868" s="1" t="s">
        <v>6862</v>
      </c>
      <c r="C19868" s="1" t="s">
        <v>6863</v>
      </c>
      <c r="D19868" s="22" t="str">
        <f>HYPERLINK("https://rhld.insurance.arkansas.gov/NPILookup?Npi=1619386786","1619386786")</f>
        <v>1619386786</v>
      </c>
      <c r="E19868" s="1" t="s">
        <v>7115</v>
      </c>
      <c r="F19868" s="2"/>
      <c r="G19868" s="2"/>
      <c r="H19868" s="2"/>
    </row>
    <row r="19869" spans="1:8" x14ac:dyDescent="0.25">
      <c r="A19869" s="1"/>
      <c r="B19869" s="1" t="s">
        <v>6862</v>
      </c>
      <c r="C19869" s="1" t="s">
        <v>6863</v>
      </c>
      <c r="D19869" s="22" t="str">
        <f>HYPERLINK("https://rhld.insurance.arkansas.gov/NPILookup?Npi=1619414539","1619414539")</f>
        <v>1619414539</v>
      </c>
      <c r="E19869" s="1" t="s">
        <v>24666</v>
      </c>
      <c r="F19869" s="2"/>
      <c r="G19869" s="2"/>
      <c r="H19869" s="2"/>
    </row>
    <row r="19870" spans="1:8" x14ac:dyDescent="0.25">
      <c r="A19870" s="1"/>
      <c r="B19870" s="1" t="s">
        <v>6862</v>
      </c>
      <c r="C19870" s="1" t="s">
        <v>6863</v>
      </c>
      <c r="D19870" s="22" t="str">
        <f>HYPERLINK("https://rhld.insurance.arkansas.gov/NPILookup?Npi=1619447372","1619447372")</f>
        <v>1619447372</v>
      </c>
      <c r="E19870" s="1" t="s">
        <v>24667</v>
      </c>
      <c r="F19870" s="2"/>
      <c r="G19870" s="2"/>
      <c r="H19870" s="2"/>
    </row>
    <row r="19871" spans="1:8" x14ac:dyDescent="0.25">
      <c r="A19871" s="1"/>
      <c r="B19871" s="1" t="s">
        <v>6862</v>
      </c>
      <c r="C19871" s="1" t="s">
        <v>6863</v>
      </c>
      <c r="D19871" s="22" t="str">
        <f>HYPERLINK("https://rhld.insurance.arkansas.gov/NPILookup?Npi=1619704434","1619704434")</f>
        <v>1619704434</v>
      </c>
      <c r="E19871" s="1" t="s">
        <v>32042</v>
      </c>
      <c r="F19871" s="2"/>
      <c r="G19871" s="2"/>
      <c r="H19871" s="2"/>
    </row>
    <row r="19872" spans="1:8" x14ac:dyDescent="0.25">
      <c r="A19872" s="1"/>
      <c r="B19872" s="1" t="s">
        <v>6862</v>
      </c>
      <c r="C19872" s="1" t="s">
        <v>6863</v>
      </c>
      <c r="D19872" s="22" t="str">
        <f>HYPERLINK("https://rhld.insurance.arkansas.gov/NPILookup?Npi=1619902574","1619902574")</f>
        <v>1619902574</v>
      </c>
      <c r="E19872" s="1" t="s">
        <v>24668</v>
      </c>
      <c r="F19872" s="2"/>
      <c r="G19872" s="2"/>
      <c r="H19872" s="2"/>
    </row>
    <row r="19873" spans="1:8" x14ac:dyDescent="0.25">
      <c r="A19873" s="1"/>
      <c r="B19873" s="1" t="s">
        <v>6862</v>
      </c>
      <c r="C19873" s="1" t="s">
        <v>6863</v>
      </c>
      <c r="D19873" s="22" t="str">
        <f>HYPERLINK("https://rhld.insurance.arkansas.gov/NPILookup?Npi=1619931912","1619931912")</f>
        <v>1619931912</v>
      </c>
      <c r="E19873" s="1" t="s">
        <v>24669</v>
      </c>
      <c r="F19873" s="2"/>
      <c r="G19873" s="2"/>
      <c r="H19873" s="2"/>
    </row>
    <row r="19874" spans="1:8" x14ac:dyDescent="0.25">
      <c r="A19874" s="1"/>
      <c r="B19874" s="1" t="s">
        <v>6862</v>
      </c>
      <c r="C19874" s="1" t="s">
        <v>6863</v>
      </c>
      <c r="D19874" s="22" t="str">
        <f>HYPERLINK("https://rhld.insurance.arkansas.gov/NPILookup?Npi=1629005897","1629005897")</f>
        <v>1629005897</v>
      </c>
      <c r="E19874" s="1" t="s">
        <v>24670</v>
      </c>
      <c r="F19874" s="2"/>
      <c r="G19874" s="2"/>
      <c r="H19874" s="2"/>
    </row>
    <row r="19875" spans="1:8" x14ac:dyDescent="0.25">
      <c r="A19875" s="1"/>
      <c r="B19875" s="1" t="s">
        <v>6862</v>
      </c>
      <c r="C19875" s="1" t="s">
        <v>6863</v>
      </c>
      <c r="D19875" s="22" t="str">
        <f>HYPERLINK("https://rhld.insurance.arkansas.gov/NPILookup?Npi=1629075304","1629075304")</f>
        <v>1629075304</v>
      </c>
      <c r="E19875" s="1" t="s">
        <v>24671</v>
      </c>
      <c r="F19875" s="2"/>
      <c r="G19875" s="2"/>
      <c r="H19875" s="2"/>
    </row>
    <row r="19876" spans="1:8" x14ac:dyDescent="0.25">
      <c r="A19876" s="1"/>
      <c r="B19876" s="1" t="s">
        <v>6862</v>
      </c>
      <c r="C19876" s="1" t="s">
        <v>6863</v>
      </c>
      <c r="D19876" s="22" t="str">
        <f>HYPERLINK("https://rhld.insurance.arkansas.gov/NPILookup?Npi=1629082805","1629082805")</f>
        <v>1629082805</v>
      </c>
      <c r="E19876" s="1" t="s">
        <v>16979</v>
      </c>
      <c r="F19876" s="2"/>
      <c r="G19876" s="2"/>
      <c r="H19876" s="2"/>
    </row>
    <row r="19877" spans="1:8" x14ac:dyDescent="0.25">
      <c r="A19877" s="1"/>
      <c r="B19877" s="1" t="s">
        <v>6862</v>
      </c>
      <c r="C19877" s="1" t="s">
        <v>6863</v>
      </c>
      <c r="D19877" s="22" t="str">
        <f>HYPERLINK("https://rhld.insurance.arkansas.gov/NPILookup?Npi=1629247218","1629247218")</f>
        <v>1629247218</v>
      </c>
      <c r="E19877" s="1" t="s">
        <v>12463</v>
      </c>
      <c r="F19877" s="2"/>
      <c r="G19877" s="2"/>
      <c r="H19877" s="2"/>
    </row>
    <row r="19878" spans="1:8" x14ac:dyDescent="0.25">
      <c r="A19878" s="1"/>
      <c r="B19878" s="1" t="s">
        <v>6862</v>
      </c>
      <c r="C19878" s="1" t="s">
        <v>6863</v>
      </c>
      <c r="D19878" s="22" t="str">
        <f>HYPERLINK("https://rhld.insurance.arkansas.gov/NPILookup?Npi=1629299300","1629299300")</f>
        <v>1629299300</v>
      </c>
      <c r="E19878" s="1" t="s">
        <v>24672</v>
      </c>
      <c r="F19878" s="2"/>
      <c r="G19878" s="2"/>
      <c r="H19878" s="2"/>
    </row>
    <row r="19879" spans="1:8" x14ac:dyDescent="0.25">
      <c r="A19879" s="1"/>
      <c r="B19879" s="1" t="s">
        <v>6862</v>
      </c>
      <c r="C19879" s="1" t="s">
        <v>6863</v>
      </c>
      <c r="D19879" s="22" t="str">
        <f>HYPERLINK("https://rhld.insurance.arkansas.gov/NPILookup?Npi=1629322326","1629322326")</f>
        <v>1629322326</v>
      </c>
      <c r="E19879" s="1" t="s">
        <v>24673</v>
      </c>
      <c r="F19879" s="2"/>
      <c r="G19879" s="2"/>
      <c r="H19879" s="2"/>
    </row>
    <row r="19880" spans="1:8" x14ac:dyDescent="0.25">
      <c r="A19880" s="1"/>
      <c r="B19880" s="1" t="s">
        <v>6862</v>
      </c>
      <c r="C19880" s="1" t="s">
        <v>6863</v>
      </c>
      <c r="D19880" s="22" t="str">
        <f>HYPERLINK("https://rhld.insurance.arkansas.gov/NPILookup?Npi=1629416425","1629416425")</f>
        <v>1629416425</v>
      </c>
      <c r="E19880" s="1" t="s">
        <v>24674</v>
      </c>
      <c r="F19880" s="2"/>
      <c r="G19880" s="2"/>
      <c r="H19880" s="2"/>
    </row>
    <row r="19881" spans="1:8" x14ac:dyDescent="0.25">
      <c r="A19881" s="1"/>
      <c r="B19881" s="1" t="s">
        <v>6862</v>
      </c>
      <c r="C19881" s="1" t="s">
        <v>6863</v>
      </c>
      <c r="D19881" s="22" t="str">
        <f>HYPERLINK("https://rhld.insurance.arkansas.gov/NPILookup?Npi=1629454798","1629454798")</f>
        <v>1629454798</v>
      </c>
      <c r="E19881" s="1" t="s">
        <v>24675</v>
      </c>
      <c r="F19881" s="2"/>
      <c r="G19881" s="2"/>
      <c r="H19881" s="2"/>
    </row>
    <row r="19882" spans="1:8" x14ac:dyDescent="0.25">
      <c r="A19882" s="1"/>
      <c r="B19882" s="1" t="s">
        <v>6862</v>
      </c>
      <c r="C19882" s="1" t="s">
        <v>6863</v>
      </c>
      <c r="D19882" s="22" t="str">
        <f>HYPERLINK("https://rhld.insurance.arkansas.gov/NPILookup?Npi=1629471685","1629471685")</f>
        <v>1629471685</v>
      </c>
      <c r="E19882" s="1" t="s">
        <v>7116</v>
      </c>
      <c r="F19882" s="2"/>
      <c r="G19882" s="2"/>
      <c r="H19882" s="2"/>
    </row>
    <row r="19883" spans="1:8" x14ac:dyDescent="0.25">
      <c r="A19883" s="1"/>
      <c r="B19883" s="1" t="s">
        <v>6862</v>
      </c>
      <c r="C19883" s="1" t="s">
        <v>6863</v>
      </c>
      <c r="D19883" s="22" t="str">
        <f>HYPERLINK("https://rhld.insurance.arkansas.gov/NPILookup?Npi=1629481361","1629481361")</f>
        <v>1629481361</v>
      </c>
      <c r="E19883" s="1" t="s">
        <v>24676</v>
      </c>
      <c r="F19883" s="2"/>
      <c r="G19883" s="2"/>
      <c r="H19883" s="2"/>
    </row>
    <row r="19884" spans="1:8" x14ac:dyDescent="0.25">
      <c r="A19884" s="1"/>
      <c r="B19884" s="1" t="s">
        <v>6862</v>
      </c>
      <c r="C19884" s="1" t="s">
        <v>6863</v>
      </c>
      <c r="D19884" s="22" t="str">
        <f>HYPERLINK("https://rhld.insurance.arkansas.gov/NPILookup?Npi=1629539309","1629539309")</f>
        <v>1629539309</v>
      </c>
      <c r="E19884" s="1" t="s">
        <v>32043</v>
      </c>
      <c r="F19884" s="2"/>
      <c r="G19884" s="2"/>
      <c r="H19884" s="2"/>
    </row>
    <row r="19885" spans="1:8" x14ac:dyDescent="0.25">
      <c r="A19885" s="1"/>
      <c r="B19885" s="1" t="s">
        <v>6862</v>
      </c>
      <c r="C19885" s="1" t="s">
        <v>6863</v>
      </c>
      <c r="D19885" s="22" t="str">
        <f>HYPERLINK("https://rhld.insurance.arkansas.gov/NPILookup?Npi=1629706882","1629706882")</f>
        <v>1629706882</v>
      </c>
      <c r="E19885" s="1" t="s">
        <v>7117</v>
      </c>
      <c r="F19885" s="2"/>
      <c r="G19885" s="2"/>
      <c r="H19885" s="2"/>
    </row>
    <row r="19886" spans="1:8" x14ac:dyDescent="0.25">
      <c r="A19886" s="1"/>
      <c r="B19886" s="1" t="s">
        <v>6862</v>
      </c>
      <c r="C19886" s="1" t="s">
        <v>6863</v>
      </c>
      <c r="D19886" s="22" t="str">
        <f>HYPERLINK("https://rhld.insurance.arkansas.gov/NPILookup?Npi=1629745864","1629745864")</f>
        <v>1629745864</v>
      </c>
      <c r="E19886" s="1" t="s">
        <v>24677</v>
      </c>
      <c r="F19886" s="2"/>
      <c r="G19886" s="2"/>
      <c r="H19886" s="2"/>
    </row>
    <row r="19887" spans="1:8" x14ac:dyDescent="0.25">
      <c r="A19887" s="1"/>
      <c r="B19887" s="1" t="s">
        <v>6862</v>
      </c>
      <c r="C19887" s="1" t="s">
        <v>6863</v>
      </c>
      <c r="D19887" s="22" t="str">
        <f>HYPERLINK("https://rhld.insurance.arkansas.gov/NPILookup?Npi=1629749866","1629749866")</f>
        <v>1629749866</v>
      </c>
      <c r="E19887" s="1" t="s">
        <v>12464</v>
      </c>
      <c r="F19887" s="2"/>
      <c r="G19887" s="2"/>
      <c r="H19887" s="2"/>
    </row>
    <row r="19888" spans="1:8" x14ac:dyDescent="0.25">
      <c r="A19888" s="1"/>
      <c r="B19888" s="1" t="s">
        <v>6862</v>
      </c>
      <c r="C19888" s="1" t="s">
        <v>6863</v>
      </c>
      <c r="D19888" s="22" t="str">
        <f>HYPERLINK("https://rhld.insurance.arkansas.gov/NPILookup?Npi=1629882840","1629882840")</f>
        <v>1629882840</v>
      </c>
      <c r="E19888" s="1" t="s">
        <v>32044</v>
      </c>
      <c r="F19888" s="2"/>
      <c r="G19888" s="2"/>
      <c r="H19888" s="2"/>
    </row>
    <row r="19889" spans="1:8" x14ac:dyDescent="0.25">
      <c r="A19889" s="1"/>
      <c r="B19889" s="1" t="s">
        <v>6862</v>
      </c>
      <c r="C19889" s="1" t="s">
        <v>6863</v>
      </c>
      <c r="D19889" s="22" t="str">
        <f>HYPERLINK("https://rhld.insurance.arkansas.gov/NPILookup?Npi=1629897475","1629897475")</f>
        <v>1629897475</v>
      </c>
      <c r="E19889" s="1" t="s">
        <v>32045</v>
      </c>
      <c r="F19889" s="2"/>
      <c r="G19889" s="2"/>
      <c r="H19889" s="2"/>
    </row>
    <row r="19890" spans="1:8" x14ac:dyDescent="0.25">
      <c r="A19890" s="1"/>
      <c r="B19890" s="1" t="s">
        <v>6862</v>
      </c>
      <c r="C19890" s="1" t="s">
        <v>6863</v>
      </c>
      <c r="D19890" s="22" t="str">
        <f>HYPERLINK("https://rhld.insurance.arkansas.gov/NPILookup?Npi=1639128697","1639128697")</f>
        <v>1639128697</v>
      </c>
      <c r="E19890" s="1" t="s">
        <v>24678</v>
      </c>
      <c r="F19890" s="2"/>
      <c r="G19890" s="2"/>
      <c r="H19890" s="2"/>
    </row>
    <row r="19891" spans="1:8" x14ac:dyDescent="0.25">
      <c r="A19891" s="1"/>
      <c r="B19891" s="1" t="s">
        <v>6862</v>
      </c>
      <c r="C19891" s="1" t="s">
        <v>6863</v>
      </c>
      <c r="D19891" s="22" t="str">
        <f>HYPERLINK("https://rhld.insurance.arkansas.gov/NPILookup?Npi=1639140973","1639140973")</f>
        <v>1639140973</v>
      </c>
      <c r="E19891" s="1" t="s">
        <v>7118</v>
      </c>
      <c r="F19891" s="2"/>
      <c r="G19891" s="2"/>
      <c r="H19891" s="2"/>
    </row>
    <row r="19892" spans="1:8" x14ac:dyDescent="0.25">
      <c r="A19892" s="1"/>
      <c r="B19892" s="1" t="s">
        <v>6862</v>
      </c>
      <c r="C19892" s="1" t="s">
        <v>6863</v>
      </c>
      <c r="D19892" s="22" t="str">
        <f>HYPERLINK("https://rhld.insurance.arkansas.gov/NPILookup?Npi=1639182736","1639182736")</f>
        <v>1639182736</v>
      </c>
      <c r="E19892" s="1" t="s">
        <v>12465</v>
      </c>
      <c r="F19892" s="2"/>
      <c r="G19892" s="2"/>
      <c r="H19892" s="2"/>
    </row>
    <row r="19893" spans="1:8" x14ac:dyDescent="0.25">
      <c r="A19893" s="1"/>
      <c r="B19893" s="1" t="s">
        <v>6862</v>
      </c>
      <c r="C19893" s="1" t="s">
        <v>6863</v>
      </c>
      <c r="D19893" s="22" t="str">
        <f>HYPERLINK("https://rhld.insurance.arkansas.gov/NPILookup?Npi=1639183031","1639183031")</f>
        <v>1639183031</v>
      </c>
      <c r="E19893" s="1" t="s">
        <v>7119</v>
      </c>
      <c r="F19893" s="2"/>
      <c r="G19893" s="2"/>
      <c r="H19893" s="2"/>
    </row>
    <row r="19894" spans="1:8" x14ac:dyDescent="0.25">
      <c r="A19894" s="1"/>
      <c r="B19894" s="1" t="s">
        <v>6862</v>
      </c>
      <c r="C19894" s="1" t="s">
        <v>6863</v>
      </c>
      <c r="D19894" s="22" t="str">
        <f>HYPERLINK("https://rhld.insurance.arkansas.gov/NPILookup?Npi=1639275522","1639275522")</f>
        <v>1639275522</v>
      </c>
      <c r="E19894" s="1" t="s">
        <v>12466</v>
      </c>
      <c r="F19894" s="2"/>
      <c r="G19894" s="2"/>
      <c r="H19894" s="2"/>
    </row>
    <row r="19895" spans="1:8" x14ac:dyDescent="0.25">
      <c r="A19895" s="1"/>
      <c r="B19895" s="1" t="s">
        <v>6862</v>
      </c>
      <c r="C19895" s="1" t="s">
        <v>6863</v>
      </c>
      <c r="D19895" s="22" t="str">
        <f>HYPERLINK("https://rhld.insurance.arkansas.gov/NPILookup?Npi=1639285265","1639285265")</f>
        <v>1639285265</v>
      </c>
      <c r="E19895" s="1" t="s">
        <v>7120</v>
      </c>
      <c r="F19895" s="2"/>
      <c r="G19895" s="2"/>
      <c r="H19895" s="2"/>
    </row>
    <row r="19896" spans="1:8" x14ac:dyDescent="0.25">
      <c r="A19896" s="1"/>
      <c r="B19896" s="1" t="s">
        <v>6862</v>
      </c>
      <c r="C19896" s="1" t="s">
        <v>6863</v>
      </c>
      <c r="D19896" s="22" t="str">
        <f>HYPERLINK("https://rhld.insurance.arkansas.gov/NPILookup?Npi=1639329600","1639329600")</f>
        <v>1639329600</v>
      </c>
      <c r="E19896" s="1" t="s">
        <v>24679</v>
      </c>
      <c r="F19896" s="2"/>
      <c r="G19896" s="2"/>
      <c r="H19896" s="2"/>
    </row>
    <row r="19897" spans="1:8" x14ac:dyDescent="0.25">
      <c r="A19897" s="1"/>
      <c r="B19897" s="1" t="s">
        <v>6862</v>
      </c>
      <c r="C19897" s="1" t="s">
        <v>6863</v>
      </c>
      <c r="D19897" s="22" t="str">
        <f>HYPERLINK("https://rhld.insurance.arkansas.gov/NPILookup?Npi=1639383771","1639383771")</f>
        <v>1639383771</v>
      </c>
      <c r="E19897" s="1" t="s">
        <v>24680</v>
      </c>
      <c r="F19897" s="2"/>
      <c r="G19897" s="2"/>
      <c r="H19897" s="2"/>
    </row>
    <row r="19898" spans="1:8" x14ac:dyDescent="0.25">
      <c r="A19898" s="1"/>
      <c r="B19898" s="1" t="s">
        <v>6862</v>
      </c>
      <c r="C19898" s="1" t="s">
        <v>6863</v>
      </c>
      <c r="D19898" s="22" t="str">
        <f>HYPERLINK("https://rhld.insurance.arkansas.gov/NPILookup?Npi=1639425820","1639425820")</f>
        <v>1639425820</v>
      </c>
      <c r="E19898" s="1" t="s">
        <v>32046</v>
      </c>
      <c r="F19898" s="2"/>
      <c r="G19898" s="2"/>
      <c r="H19898" s="2"/>
    </row>
    <row r="19899" spans="1:8" x14ac:dyDescent="0.25">
      <c r="A19899" s="1"/>
      <c r="B19899" s="1" t="s">
        <v>6862</v>
      </c>
      <c r="C19899" s="1" t="s">
        <v>6863</v>
      </c>
      <c r="D19899" s="22" t="str">
        <f>HYPERLINK("https://rhld.insurance.arkansas.gov/NPILookup?Npi=1639447915","1639447915")</f>
        <v>1639447915</v>
      </c>
      <c r="E19899" s="1" t="s">
        <v>24681</v>
      </c>
      <c r="F19899" s="2"/>
      <c r="G19899" s="2"/>
      <c r="H19899" s="2"/>
    </row>
    <row r="19900" spans="1:8" x14ac:dyDescent="0.25">
      <c r="A19900" s="1"/>
      <c r="B19900" s="1" t="s">
        <v>6862</v>
      </c>
      <c r="C19900" s="1" t="s">
        <v>6863</v>
      </c>
      <c r="D19900" s="22" t="str">
        <f>HYPERLINK("https://rhld.insurance.arkansas.gov/NPILookup?Npi=1639558240","1639558240")</f>
        <v>1639558240</v>
      </c>
      <c r="E19900" s="1" t="s">
        <v>24682</v>
      </c>
      <c r="F19900" s="2"/>
      <c r="G19900" s="2"/>
      <c r="H19900" s="2"/>
    </row>
    <row r="19901" spans="1:8" x14ac:dyDescent="0.25">
      <c r="A19901" s="1"/>
      <c r="B19901" s="1" t="s">
        <v>6862</v>
      </c>
      <c r="C19901" s="1" t="s">
        <v>6863</v>
      </c>
      <c r="D19901" s="22" t="str">
        <f>HYPERLINK("https://rhld.insurance.arkansas.gov/NPILookup?Npi=1639659089","1639659089")</f>
        <v>1639659089</v>
      </c>
      <c r="E19901" s="1" t="s">
        <v>24683</v>
      </c>
      <c r="F19901" s="2"/>
      <c r="G19901" s="2"/>
      <c r="H19901" s="2"/>
    </row>
    <row r="19902" spans="1:8" x14ac:dyDescent="0.25">
      <c r="A19902" s="1"/>
      <c r="B19902" s="1" t="s">
        <v>6862</v>
      </c>
      <c r="C19902" s="1" t="s">
        <v>6863</v>
      </c>
      <c r="D19902" s="22" t="str">
        <f>HYPERLINK("https://rhld.insurance.arkansas.gov/NPILookup?Npi=1639725435","1639725435")</f>
        <v>1639725435</v>
      </c>
      <c r="E19902" s="1" t="s">
        <v>24684</v>
      </c>
      <c r="F19902" s="2"/>
      <c r="G19902" s="2"/>
      <c r="H19902" s="2"/>
    </row>
    <row r="19903" spans="1:8" x14ac:dyDescent="0.25">
      <c r="A19903" s="1"/>
      <c r="B19903" s="1" t="s">
        <v>6862</v>
      </c>
      <c r="C19903" s="1" t="s">
        <v>6863</v>
      </c>
      <c r="D19903" s="22" t="str">
        <f>HYPERLINK("https://rhld.insurance.arkansas.gov/NPILookup?Npi=1639768252","1639768252")</f>
        <v>1639768252</v>
      </c>
      <c r="E19903" s="1" t="s">
        <v>7121</v>
      </c>
      <c r="F19903" s="2"/>
      <c r="G19903" s="2"/>
      <c r="H19903" s="2"/>
    </row>
    <row r="19904" spans="1:8" x14ac:dyDescent="0.25">
      <c r="A19904" s="1"/>
      <c r="B19904" s="1" t="s">
        <v>6862</v>
      </c>
      <c r="C19904" s="1" t="s">
        <v>6863</v>
      </c>
      <c r="D19904" s="22" t="str">
        <f>HYPERLINK("https://rhld.insurance.arkansas.gov/NPILookup?Npi=1639784200","1639784200")</f>
        <v>1639784200</v>
      </c>
      <c r="E19904" s="1" t="s">
        <v>12467</v>
      </c>
      <c r="F19904" s="2"/>
      <c r="G19904" s="2"/>
      <c r="H19904" s="2"/>
    </row>
    <row r="19905" spans="1:8" x14ac:dyDescent="0.25">
      <c r="A19905" s="1"/>
      <c r="B19905" s="1" t="s">
        <v>6862</v>
      </c>
      <c r="C19905" s="1" t="s">
        <v>6863</v>
      </c>
      <c r="D19905" s="22" t="str">
        <f>HYPERLINK("https://rhld.insurance.arkansas.gov/NPILookup?Npi=1639790090","1639790090")</f>
        <v>1639790090</v>
      </c>
      <c r="E19905" s="1" t="s">
        <v>7122</v>
      </c>
      <c r="F19905" s="2"/>
      <c r="G19905" s="2"/>
      <c r="H19905" s="2"/>
    </row>
    <row r="19906" spans="1:8" x14ac:dyDescent="0.25">
      <c r="A19906" s="1"/>
      <c r="B19906" s="1" t="s">
        <v>6862</v>
      </c>
      <c r="C19906" s="1" t="s">
        <v>6863</v>
      </c>
      <c r="D19906" s="22" t="str">
        <f>HYPERLINK("https://rhld.insurance.arkansas.gov/NPILookup?Npi=1639846462","1639846462")</f>
        <v>1639846462</v>
      </c>
      <c r="E19906" s="1" t="s">
        <v>24685</v>
      </c>
      <c r="F19906" s="2"/>
      <c r="G19906" s="2"/>
      <c r="H19906" s="2"/>
    </row>
    <row r="19907" spans="1:8" x14ac:dyDescent="0.25">
      <c r="A19907" s="1"/>
      <c r="B19907" s="1" t="s">
        <v>6862</v>
      </c>
      <c r="C19907" s="1" t="s">
        <v>6863</v>
      </c>
      <c r="D19907" s="22" t="str">
        <f>HYPERLINK("https://rhld.insurance.arkansas.gov/NPILookup?Npi=1639852072","1639852072")</f>
        <v>1639852072</v>
      </c>
      <c r="E19907" s="1" t="s">
        <v>7123</v>
      </c>
      <c r="F19907" s="2"/>
      <c r="G19907" s="2"/>
      <c r="H19907" s="2"/>
    </row>
    <row r="19908" spans="1:8" x14ac:dyDescent="0.25">
      <c r="A19908" s="1"/>
      <c r="B19908" s="1" t="s">
        <v>6862</v>
      </c>
      <c r="C19908" s="1" t="s">
        <v>6863</v>
      </c>
      <c r="D19908" s="22" t="str">
        <f>HYPERLINK("https://rhld.insurance.arkansas.gov/NPILookup?Npi=1639899644","1639899644")</f>
        <v>1639899644</v>
      </c>
      <c r="E19908" s="1" t="s">
        <v>24686</v>
      </c>
      <c r="F19908" s="2"/>
      <c r="G19908" s="2"/>
      <c r="H19908" s="2"/>
    </row>
    <row r="19909" spans="1:8" x14ac:dyDescent="0.25">
      <c r="A19909" s="1"/>
      <c r="B19909" s="1" t="s">
        <v>6862</v>
      </c>
      <c r="C19909" s="1" t="s">
        <v>6863</v>
      </c>
      <c r="D19909" s="22" t="str">
        <f>HYPERLINK("https://rhld.insurance.arkansas.gov/NPILookup?Npi=1649055906","1649055906")</f>
        <v>1649055906</v>
      </c>
      <c r="E19909" s="1" t="s">
        <v>7032</v>
      </c>
      <c r="F19909" s="2"/>
      <c r="G19909" s="2"/>
      <c r="H19909" s="2"/>
    </row>
    <row r="19910" spans="1:8" x14ac:dyDescent="0.25">
      <c r="A19910" s="1"/>
      <c r="B19910" s="1" t="s">
        <v>6862</v>
      </c>
      <c r="C19910" s="1" t="s">
        <v>6863</v>
      </c>
      <c r="D19910" s="22" t="str">
        <f>HYPERLINK("https://rhld.insurance.arkansas.gov/NPILookup?Npi=1649259896","1649259896")</f>
        <v>1649259896</v>
      </c>
      <c r="E19910" s="1" t="s">
        <v>24687</v>
      </c>
      <c r="F19910" s="2"/>
      <c r="G19910" s="2"/>
      <c r="H19910" s="2"/>
    </row>
    <row r="19911" spans="1:8" x14ac:dyDescent="0.25">
      <c r="A19911" s="1"/>
      <c r="B19911" s="1" t="s">
        <v>6862</v>
      </c>
      <c r="C19911" s="1" t="s">
        <v>6863</v>
      </c>
      <c r="D19911" s="22" t="str">
        <f>HYPERLINK("https://rhld.insurance.arkansas.gov/NPILookup?Npi=1649259979","1649259979")</f>
        <v>1649259979</v>
      </c>
      <c r="E19911" s="1" t="s">
        <v>7124</v>
      </c>
      <c r="F19911" s="2"/>
      <c r="G19911" s="2"/>
      <c r="H19911" s="2"/>
    </row>
    <row r="19912" spans="1:8" x14ac:dyDescent="0.25">
      <c r="A19912" s="1"/>
      <c r="B19912" s="1" t="s">
        <v>6862</v>
      </c>
      <c r="C19912" s="1" t="s">
        <v>6863</v>
      </c>
      <c r="D19912" s="22" t="str">
        <f>HYPERLINK("https://rhld.insurance.arkansas.gov/NPILookup?Npi=1649301649","1649301649")</f>
        <v>1649301649</v>
      </c>
      <c r="E19912" s="1" t="s">
        <v>12468</v>
      </c>
      <c r="F19912" s="2"/>
      <c r="G19912" s="2"/>
      <c r="H19912" s="2"/>
    </row>
    <row r="19913" spans="1:8" x14ac:dyDescent="0.25">
      <c r="A19913" s="1"/>
      <c r="B19913" s="1" t="s">
        <v>6862</v>
      </c>
      <c r="C19913" s="1" t="s">
        <v>6863</v>
      </c>
      <c r="D19913" s="22" t="str">
        <f>HYPERLINK("https://rhld.insurance.arkansas.gov/NPILookup?Npi=1649311903","1649311903")</f>
        <v>1649311903</v>
      </c>
      <c r="E19913" s="1" t="s">
        <v>7125</v>
      </c>
      <c r="F19913" s="2"/>
      <c r="G19913" s="2"/>
      <c r="H19913" s="2"/>
    </row>
    <row r="19914" spans="1:8" x14ac:dyDescent="0.25">
      <c r="A19914" s="1"/>
      <c r="B19914" s="1" t="s">
        <v>6862</v>
      </c>
      <c r="C19914" s="1" t="s">
        <v>6863</v>
      </c>
      <c r="D19914" s="22" t="str">
        <f>HYPERLINK("https://rhld.insurance.arkansas.gov/NPILookup?Npi=1649315888","1649315888")</f>
        <v>1649315888</v>
      </c>
      <c r="E19914" s="1" t="s">
        <v>24688</v>
      </c>
      <c r="F19914" s="2"/>
      <c r="G19914" s="2"/>
      <c r="H19914" s="2"/>
    </row>
    <row r="19915" spans="1:8" x14ac:dyDescent="0.25">
      <c r="A19915" s="1"/>
      <c r="B19915" s="1" t="s">
        <v>6862</v>
      </c>
      <c r="C19915" s="1" t="s">
        <v>6863</v>
      </c>
      <c r="D19915" s="22" t="str">
        <f>HYPERLINK("https://rhld.insurance.arkansas.gov/NPILookup?Npi=1649397076","1649397076")</f>
        <v>1649397076</v>
      </c>
      <c r="E19915" s="1" t="s">
        <v>7126</v>
      </c>
      <c r="F19915" s="2"/>
      <c r="G19915" s="2"/>
      <c r="H19915" s="2"/>
    </row>
    <row r="19916" spans="1:8" x14ac:dyDescent="0.25">
      <c r="A19916" s="1"/>
      <c r="B19916" s="1" t="s">
        <v>6862</v>
      </c>
      <c r="C19916" s="1" t="s">
        <v>6863</v>
      </c>
      <c r="D19916" s="22" t="str">
        <f>HYPERLINK("https://rhld.insurance.arkansas.gov/NPILookup?Npi=1649577081","1649577081")</f>
        <v>1649577081</v>
      </c>
      <c r="E19916" s="1" t="s">
        <v>7127</v>
      </c>
      <c r="F19916" s="2"/>
      <c r="G19916" s="2"/>
      <c r="H19916" s="2"/>
    </row>
    <row r="19917" spans="1:8" x14ac:dyDescent="0.25">
      <c r="A19917" s="1"/>
      <c r="B19917" s="1" t="s">
        <v>6862</v>
      </c>
      <c r="C19917" s="1" t="s">
        <v>6863</v>
      </c>
      <c r="D19917" s="22" t="str">
        <f>HYPERLINK("https://rhld.insurance.arkansas.gov/NPILookup?Npi=1649580010","1649580010")</f>
        <v>1649580010</v>
      </c>
      <c r="E19917" s="1" t="s">
        <v>24689</v>
      </c>
      <c r="F19917" s="2"/>
      <c r="G19917" s="2"/>
      <c r="H19917" s="2"/>
    </row>
    <row r="19918" spans="1:8" x14ac:dyDescent="0.25">
      <c r="A19918" s="1"/>
      <c r="B19918" s="1" t="s">
        <v>6862</v>
      </c>
      <c r="C19918" s="1" t="s">
        <v>6863</v>
      </c>
      <c r="D19918" s="22" t="str">
        <f>HYPERLINK("https://rhld.insurance.arkansas.gov/NPILookup?Npi=1649604455","1649604455")</f>
        <v>1649604455</v>
      </c>
      <c r="E19918" s="1" t="s">
        <v>24690</v>
      </c>
      <c r="F19918" s="2"/>
      <c r="G19918" s="2"/>
      <c r="H19918" s="2"/>
    </row>
    <row r="19919" spans="1:8" x14ac:dyDescent="0.25">
      <c r="A19919" s="1"/>
      <c r="B19919" s="1" t="s">
        <v>6862</v>
      </c>
      <c r="C19919" s="1" t="s">
        <v>6863</v>
      </c>
      <c r="D19919" s="22" t="str">
        <f>HYPERLINK("https://rhld.insurance.arkansas.gov/NPILookup?Npi=1649644287","1649644287")</f>
        <v>1649644287</v>
      </c>
      <c r="E19919" s="1" t="s">
        <v>24691</v>
      </c>
      <c r="F19919" s="2"/>
      <c r="G19919" s="2"/>
      <c r="H19919" s="2"/>
    </row>
    <row r="19920" spans="1:8" x14ac:dyDescent="0.25">
      <c r="A19920" s="1"/>
      <c r="B19920" s="1" t="s">
        <v>6862</v>
      </c>
      <c r="C19920" s="1" t="s">
        <v>6863</v>
      </c>
      <c r="D19920" s="22" t="str">
        <f>HYPERLINK("https://rhld.insurance.arkansas.gov/NPILookup?Npi=1649658436","1649658436")</f>
        <v>1649658436</v>
      </c>
      <c r="E19920" s="1" t="s">
        <v>7128</v>
      </c>
      <c r="F19920" s="2"/>
      <c r="G19920" s="2"/>
      <c r="H19920" s="2"/>
    </row>
    <row r="19921" spans="1:8" x14ac:dyDescent="0.25">
      <c r="A19921" s="1"/>
      <c r="B19921" s="1" t="s">
        <v>6862</v>
      </c>
      <c r="C19921" s="1" t="s">
        <v>6863</v>
      </c>
      <c r="D19921" s="22" t="str">
        <f>HYPERLINK("https://rhld.insurance.arkansas.gov/NPILookup?Npi=1649670662","1649670662")</f>
        <v>1649670662</v>
      </c>
      <c r="E19921" s="1" t="s">
        <v>6901</v>
      </c>
      <c r="F19921" s="2"/>
      <c r="G19921" s="2"/>
      <c r="H19921" s="2"/>
    </row>
    <row r="19922" spans="1:8" x14ac:dyDescent="0.25">
      <c r="A19922" s="1"/>
      <c r="B19922" s="1" t="s">
        <v>6862</v>
      </c>
      <c r="C19922" s="1" t="s">
        <v>6863</v>
      </c>
      <c r="D19922" s="22" t="str">
        <f>HYPERLINK("https://rhld.insurance.arkansas.gov/NPILookup?Npi=1649826934","1649826934")</f>
        <v>1649826934</v>
      </c>
      <c r="E19922" s="1" t="s">
        <v>24692</v>
      </c>
      <c r="F19922" s="2"/>
      <c r="G19922" s="2"/>
      <c r="H19922" s="2"/>
    </row>
    <row r="19923" spans="1:8" x14ac:dyDescent="0.25">
      <c r="A19923" s="1"/>
      <c r="B19923" s="1" t="s">
        <v>6862</v>
      </c>
      <c r="C19923" s="1" t="s">
        <v>6863</v>
      </c>
      <c r="D19923" s="22" t="str">
        <f>HYPERLINK("https://rhld.insurance.arkansas.gov/NPILookup?Npi=1649894759","1649894759")</f>
        <v>1649894759</v>
      </c>
      <c r="E19923" s="1" t="s">
        <v>24693</v>
      </c>
      <c r="F19923" s="2"/>
      <c r="G19923" s="2"/>
      <c r="H19923" s="2"/>
    </row>
    <row r="19924" spans="1:8" x14ac:dyDescent="0.25">
      <c r="A19924" s="1"/>
      <c r="B19924" s="1" t="s">
        <v>6862</v>
      </c>
      <c r="C19924" s="1" t="s">
        <v>6863</v>
      </c>
      <c r="D19924" s="22" t="str">
        <f>HYPERLINK("https://rhld.insurance.arkansas.gov/NPILookup?Npi=1659010304","1659010304")</f>
        <v>1659010304</v>
      </c>
      <c r="E19924" s="1" t="s">
        <v>7129</v>
      </c>
      <c r="F19924" s="2"/>
      <c r="G19924" s="2"/>
      <c r="H19924" s="2"/>
    </row>
    <row r="19925" spans="1:8" x14ac:dyDescent="0.25">
      <c r="A19925" s="1"/>
      <c r="B19925" s="1" t="s">
        <v>6862</v>
      </c>
      <c r="C19925" s="1" t="s">
        <v>6863</v>
      </c>
      <c r="D19925" s="22" t="str">
        <f>HYPERLINK("https://rhld.insurance.arkansas.gov/NPILookup?Npi=1659056299","1659056299")</f>
        <v>1659056299</v>
      </c>
      <c r="E19925" s="1" t="s">
        <v>4903</v>
      </c>
      <c r="F19925" s="2"/>
      <c r="G19925" s="2"/>
      <c r="H19925" s="2"/>
    </row>
    <row r="19926" spans="1:8" x14ac:dyDescent="0.25">
      <c r="A19926" s="1"/>
      <c r="B19926" s="1" t="s">
        <v>6862</v>
      </c>
      <c r="C19926" s="1" t="s">
        <v>6863</v>
      </c>
      <c r="D19926" s="22" t="str">
        <f>HYPERLINK("https://rhld.insurance.arkansas.gov/NPILookup?Npi=1659101715","1659101715")</f>
        <v>1659101715</v>
      </c>
      <c r="E19926" s="1" t="s">
        <v>32047</v>
      </c>
      <c r="F19926" s="2"/>
      <c r="G19926" s="2"/>
      <c r="H19926" s="2"/>
    </row>
    <row r="19927" spans="1:8" x14ac:dyDescent="0.25">
      <c r="A19927" s="1"/>
      <c r="B19927" s="1" t="s">
        <v>6862</v>
      </c>
      <c r="C19927" s="1" t="s">
        <v>6863</v>
      </c>
      <c r="D19927" s="22" t="str">
        <f>HYPERLINK("https://rhld.insurance.arkansas.gov/NPILookup?Npi=1659126811","1659126811")</f>
        <v>1659126811</v>
      </c>
      <c r="E19927" s="1" t="s">
        <v>24694</v>
      </c>
      <c r="F19927" s="2"/>
      <c r="G19927" s="2"/>
      <c r="H19927" s="2"/>
    </row>
    <row r="19928" spans="1:8" x14ac:dyDescent="0.25">
      <c r="A19928" s="1"/>
      <c r="B19928" s="1" t="s">
        <v>6862</v>
      </c>
      <c r="C19928" s="1" t="s">
        <v>6863</v>
      </c>
      <c r="D19928" s="22" t="str">
        <f>HYPERLINK("https://rhld.insurance.arkansas.gov/NPILookup?Npi=1659153898","1659153898")</f>
        <v>1659153898</v>
      </c>
      <c r="E19928" s="1" t="s">
        <v>12469</v>
      </c>
      <c r="F19928" s="2"/>
      <c r="G19928" s="2"/>
      <c r="H19928" s="2"/>
    </row>
    <row r="19929" spans="1:8" x14ac:dyDescent="0.25">
      <c r="A19929" s="1"/>
      <c r="B19929" s="1" t="s">
        <v>6862</v>
      </c>
      <c r="C19929" s="1" t="s">
        <v>6863</v>
      </c>
      <c r="D19929" s="22" t="str">
        <f>HYPERLINK("https://rhld.insurance.arkansas.gov/NPILookup?Npi=1659321891","1659321891")</f>
        <v>1659321891</v>
      </c>
      <c r="E19929" s="1" t="s">
        <v>24695</v>
      </c>
      <c r="F19929" s="2"/>
      <c r="G19929" s="2"/>
      <c r="H19929" s="2"/>
    </row>
    <row r="19930" spans="1:8" x14ac:dyDescent="0.25">
      <c r="A19930" s="1"/>
      <c r="B19930" s="1" t="s">
        <v>6862</v>
      </c>
      <c r="C19930" s="1" t="s">
        <v>6863</v>
      </c>
      <c r="D19930" s="22" t="str">
        <f>HYPERLINK("https://rhld.insurance.arkansas.gov/NPILookup?Npi=1659327252","1659327252")</f>
        <v>1659327252</v>
      </c>
      <c r="E19930" s="1" t="s">
        <v>24696</v>
      </c>
      <c r="F19930" s="2"/>
      <c r="G19930" s="2"/>
      <c r="H19930" s="2"/>
    </row>
    <row r="19931" spans="1:8" x14ac:dyDescent="0.25">
      <c r="A19931" s="1"/>
      <c r="B19931" s="1" t="s">
        <v>6862</v>
      </c>
      <c r="C19931" s="1" t="s">
        <v>6863</v>
      </c>
      <c r="D19931" s="22" t="str">
        <f>HYPERLINK("https://rhld.insurance.arkansas.gov/NPILookup?Npi=1659350007","1659350007")</f>
        <v>1659350007</v>
      </c>
      <c r="E19931" s="1" t="s">
        <v>7130</v>
      </c>
      <c r="F19931" s="2"/>
      <c r="G19931" s="2"/>
      <c r="H19931" s="2"/>
    </row>
    <row r="19932" spans="1:8" x14ac:dyDescent="0.25">
      <c r="A19932" s="1"/>
      <c r="B19932" s="1" t="s">
        <v>6862</v>
      </c>
      <c r="C19932" s="1" t="s">
        <v>6863</v>
      </c>
      <c r="D19932" s="22" t="str">
        <f>HYPERLINK("https://rhld.insurance.arkansas.gov/NPILookup?Npi=1659440980","1659440980")</f>
        <v>1659440980</v>
      </c>
      <c r="E19932" s="1" t="s">
        <v>24697</v>
      </c>
      <c r="F19932" s="2"/>
      <c r="G19932" s="2"/>
      <c r="H19932" s="2"/>
    </row>
    <row r="19933" spans="1:8" x14ac:dyDescent="0.25">
      <c r="A19933" s="1"/>
      <c r="B19933" s="1" t="s">
        <v>6862</v>
      </c>
      <c r="C19933" s="1" t="s">
        <v>6863</v>
      </c>
      <c r="D19933" s="22" t="str">
        <f>HYPERLINK("https://rhld.insurance.arkansas.gov/NPILookup?Npi=1659493807","1659493807")</f>
        <v>1659493807</v>
      </c>
      <c r="E19933" s="1" t="s">
        <v>7131</v>
      </c>
      <c r="F19933" s="2"/>
      <c r="G19933" s="2"/>
      <c r="H19933" s="2"/>
    </row>
    <row r="19934" spans="1:8" x14ac:dyDescent="0.25">
      <c r="A19934" s="1"/>
      <c r="B19934" s="1" t="s">
        <v>6862</v>
      </c>
      <c r="C19934" s="1" t="s">
        <v>6863</v>
      </c>
      <c r="D19934" s="22" t="str">
        <f>HYPERLINK("https://rhld.insurance.arkansas.gov/NPILookup?Npi=1659620599","1659620599")</f>
        <v>1659620599</v>
      </c>
      <c r="E19934" s="1" t="s">
        <v>24698</v>
      </c>
      <c r="F19934" s="2"/>
      <c r="G19934" s="2"/>
      <c r="H19934" s="2"/>
    </row>
    <row r="19935" spans="1:8" x14ac:dyDescent="0.25">
      <c r="A19935" s="1"/>
      <c r="B19935" s="1" t="s">
        <v>6862</v>
      </c>
      <c r="C19935" s="1" t="s">
        <v>6863</v>
      </c>
      <c r="D19935" s="22" t="str">
        <f>HYPERLINK("https://rhld.insurance.arkansas.gov/NPILookup?Npi=1659704120","1659704120")</f>
        <v>1659704120</v>
      </c>
      <c r="E19935" s="1" t="s">
        <v>12470</v>
      </c>
      <c r="F19935" s="2"/>
      <c r="G19935" s="2"/>
      <c r="H19935" s="2"/>
    </row>
    <row r="19936" spans="1:8" x14ac:dyDescent="0.25">
      <c r="A19936" s="1"/>
      <c r="B19936" s="1" t="s">
        <v>6862</v>
      </c>
      <c r="C19936" s="1" t="s">
        <v>6863</v>
      </c>
      <c r="D19936" s="22" t="str">
        <f>HYPERLINK("https://rhld.insurance.arkansas.gov/NPILookup?Npi=1659705663","1659705663")</f>
        <v>1659705663</v>
      </c>
      <c r="E19936" s="1" t="s">
        <v>24699</v>
      </c>
      <c r="F19936" s="2"/>
      <c r="G19936" s="2"/>
      <c r="H19936" s="2"/>
    </row>
    <row r="19937" spans="1:8" x14ac:dyDescent="0.25">
      <c r="A19937" s="1"/>
      <c r="B19937" s="1" t="s">
        <v>6862</v>
      </c>
      <c r="C19937" s="1" t="s">
        <v>6863</v>
      </c>
      <c r="D19937" s="22" t="str">
        <f>HYPERLINK("https://rhld.insurance.arkansas.gov/NPILookup?Npi=1659751923","1659751923")</f>
        <v>1659751923</v>
      </c>
      <c r="E19937" s="1" t="s">
        <v>24700</v>
      </c>
      <c r="F19937" s="2"/>
      <c r="G19937" s="2"/>
      <c r="H19937" s="2"/>
    </row>
    <row r="19938" spans="1:8" x14ac:dyDescent="0.25">
      <c r="A19938" s="1"/>
      <c r="B19938" s="1" t="s">
        <v>6862</v>
      </c>
      <c r="C19938" s="1" t="s">
        <v>6863</v>
      </c>
      <c r="D19938" s="22" t="str">
        <f>HYPERLINK("https://rhld.insurance.arkansas.gov/NPILookup?Npi=1659784957","1659784957")</f>
        <v>1659784957</v>
      </c>
      <c r="E19938" s="1" t="s">
        <v>24701</v>
      </c>
      <c r="F19938" s="2"/>
      <c r="G19938" s="2"/>
      <c r="H19938" s="2"/>
    </row>
    <row r="19939" spans="1:8" x14ac:dyDescent="0.25">
      <c r="A19939" s="1"/>
      <c r="B19939" s="1" t="s">
        <v>6862</v>
      </c>
      <c r="C19939" s="1" t="s">
        <v>6863</v>
      </c>
      <c r="D19939" s="22" t="str">
        <f>HYPERLINK("https://rhld.insurance.arkansas.gov/NPILookup?Npi=1659789790","1659789790")</f>
        <v>1659789790</v>
      </c>
      <c r="E19939" s="1" t="s">
        <v>7132</v>
      </c>
      <c r="F19939" s="2"/>
      <c r="G19939" s="2"/>
      <c r="H19939" s="2"/>
    </row>
    <row r="19940" spans="1:8" x14ac:dyDescent="0.25">
      <c r="A19940" s="1"/>
      <c r="B19940" s="1" t="s">
        <v>6862</v>
      </c>
      <c r="C19940" s="1" t="s">
        <v>6863</v>
      </c>
      <c r="D19940" s="22" t="str">
        <f>HYPERLINK("https://rhld.insurance.arkansas.gov/NPILookup?Npi=1659823219","1659823219")</f>
        <v>1659823219</v>
      </c>
      <c r="E19940" s="1" t="s">
        <v>24702</v>
      </c>
      <c r="F19940" s="2"/>
      <c r="G19940" s="2"/>
      <c r="H19940" s="2"/>
    </row>
    <row r="19941" spans="1:8" x14ac:dyDescent="0.25">
      <c r="A19941" s="1"/>
      <c r="B19941" s="1" t="s">
        <v>6862</v>
      </c>
      <c r="C19941" s="1" t="s">
        <v>6863</v>
      </c>
      <c r="D19941" s="22" t="str">
        <f>HYPERLINK("https://rhld.insurance.arkansas.gov/NPILookup?Npi=1659873628","1659873628")</f>
        <v>1659873628</v>
      </c>
      <c r="E19941" s="1" t="s">
        <v>24703</v>
      </c>
      <c r="F19941" s="2"/>
      <c r="G19941" s="2"/>
      <c r="H19941" s="2"/>
    </row>
    <row r="19942" spans="1:8" x14ac:dyDescent="0.25">
      <c r="A19942" s="1"/>
      <c r="B19942" s="1" t="s">
        <v>6862</v>
      </c>
      <c r="C19942" s="1" t="s">
        <v>6863</v>
      </c>
      <c r="D19942" s="22" t="str">
        <f>HYPERLINK("https://rhld.insurance.arkansas.gov/NPILookup?Npi=1659928091","1659928091")</f>
        <v>1659928091</v>
      </c>
      <c r="E19942" s="1" t="s">
        <v>12471</v>
      </c>
      <c r="F19942" s="2"/>
      <c r="G19942" s="2"/>
      <c r="H19942" s="2"/>
    </row>
    <row r="19943" spans="1:8" x14ac:dyDescent="0.25">
      <c r="A19943" s="1"/>
      <c r="B19943" s="1" t="s">
        <v>6862</v>
      </c>
      <c r="C19943" s="1" t="s">
        <v>6863</v>
      </c>
      <c r="D19943" s="22" t="str">
        <f>HYPERLINK("https://rhld.insurance.arkansas.gov/NPILookup?Npi=1659980167","1659980167")</f>
        <v>1659980167</v>
      </c>
      <c r="E19943" s="1" t="s">
        <v>32048</v>
      </c>
      <c r="F19943" s="2"/>
      <c r="G19943" s="2"/>
      <c r="H19943" s="2"/>
    </row>
    <row r="19944" spans="1:8" x14ac:dyDescent="0.25">
      <c r="A19944" s="1"/>
      <c r="B19944" s="1" t="s">
        <v>6862</v>
      </c>
      <c r="C19944" s="1" t="s">
        <v>6863</v>
      </c>
      <c r="D19944" s="22" t="str">
        <f>HYPERLINK("https://rhld.insurance.arkansas.gov/NPILookup?Npi=1669009049","1669009049")</f>
        <v>1669009049</v>
      </c>
      <c r="E19944" s="1" t="s">
        <v>24704</v>
      </c>
      <c r="F19944" s="2"/>
      <c r="G19944" s="2"/>
      <c r="H19944" s="2"/>
    </row>
    <row r="19945" spans="1:8" x14ac:dyDescent="0.25">
      <c r="A19945" s="1"/>
      <c r="B19945" s="1" t="s">
        <v>6862</v>
      </c>
      <c r="C19945" s="1" t="s">
        <v>6863</v>
      </c>
      <c r="D19945" s="22" t="str">
        <f>HYPERLINK("https://rhld.insurance.arkansas.gov/NPILookup?Npi=1669027462","1669027462")</f>
        <v>1669027462</v>
      </c>
      <c r="E19945" s="1" t="s">
        <v>24705</v>
      </c>
      <c r="F19945" s="2"/>
      <c r="G19945" s="2"/>
      <c r="H19945" s="2"/>
    </row>
    <row r="19946" spans="1:8" x14ac:dyDescent="0.25">
      <c r="A19946" s="1"/>
      <c r="B19946" s="1" t="s">
        <v>6862</v>
      </c>
      <c r="C19946" s="1" t="s">
        <v>6863</v>
      </c>
      <c r="D19946" s="22" t="str">
        <f>HYPERLINK("https://rhld.insurance.arkansas.gov/NPILookup?Npi=1669137840","1669137840")</f>
        <v>1669137840</v>
      </c>
      <c r="E19946" s="1" t="s">
        <v>7133</v>
      </c>
      <c r="F19946" s="2"/>
      <c r="G19946" s="2"/>
      <c r="H19946" s="2"/>
    </row>
    <row r="19947" spans="1:8" x14ac:dyDescent="0.25">
      <c r="A19947" s="1"/>
      <c r="B19947" s="1" t="s">
        <v>6862</v>
      </c>
      <c r="C19947" s="1" t="s">
        <v>6863</v>
      </c>
      <c r="D19947" s="22" t="str">
        <f>HYPERLINK("https://rhld.insurance.arkansas.gov/NPILookup?Npi=1669235875","1669235875")</f>
        <v>1669235875</v>
      </c>
      <c r="E19947" s="1" t="s">
        <v>24706</v>
      </c>
      <c r="F19947" s="2"/>
      <c r="G19947" s="2"/>
      <c r="H19947" s="2"/>
    </row>
    <row r="19948" spans="1:8" x14ac:dyDescent="0.25">
      <c r="A19948" s="1"/>
      <c r="B19948" s="1" t="s">
        <v>6862</v>
      </c>
      <c r="C19948" s="1" t="s">
        <v>6863</v>
      </c>
      <c r="D19948" s="22" t="str">
        <f>HYPERLINK("https://rhld.insurance.arkansas.gov/NPILookup?Npi=1669496451","1669496451")</f>
        <v>1669496451</v>
      </c>
      <c r="E19948" s="1" t="s">
        <v>24707</v>
      </c>
      <c r="F19948" s="2"/>
      <c r="G19948" s="2"/>
      <c r="H19948" s="2"/>
    </row>
    <row r="19949" spans="1:8" x14ac:dyDescent="0.25">
      <c r="A19949" s="1"/>
      <c r="B19949" s="1" t="s">
        <v>6862</v>
      </c>
      <c r="C19949" s="1" t="s">
        <v>6863</v>
      </c>
      <c r="D19949" s="22" t="str">
        <f>HYPERLINK("https://rhld.insurance.arkansas.gov/NPILookup?Npi=1669554069","1669554069")</f>
        <v>1669554069</v>
      </c>
      <c r="E19949" s="1" t="s">
        <v>24708</v>
      </c>
      <c r="F19949" s="2"/>
      <c r="G19949" s="2"/>
      <c r="H19949" s="2"/>
    </row>
    <row r="19950" spans="1:8" x14ac:dyDescent="0.25">
      <c r="A19950" s="1"/>
      <c r="B19950" s="1" t="s">
        <v>6862</v>
      </c>
      <c r="C19950" s="1" t="s">
        <v>6863</v>
      </c>
      <c r="D19950" s="22" t="str">
        <f>HYPERLINK("https://rhld.insurance.arkansas.gov/NPILookup?Npi=1669595153","1669595153")</f>
        <v>1669595153</v>
      </c>
      <c r="E19950" s="1" t="s">
        <v>7135</v>
      </c>
      <c r="F19950" s="2"/>
      <c r="G19950" s="2"/>
      <c r="H19950" s="2"/>
    </row>
    <row r="19951" spans="1:8" x14ac:dyDescent="0.25">
      <c r="A19951" s="1"/>
      <c r="B19951" s="1" t="s">
        <v>6862</v>
      </c>
      <c r="C19951" s="1" t="s">
        <v>6863</v>
      </c>
      <c r="D19951" s="22" t="str">
        <f>HYPERLINK("https://rhld.insurance.arkansas.gov/NPILookup?Npi=1669610101","1669610101")</f>
        <v>1669610101</v>
      </c>
      <c r="E19951" s="1" t="s">
        <v>24709</v>
      </c>
      <c r="F19951" s="2"/>
      <c r="G19951" s="2"/>
      <c r="H19951" s="2"/>
    </row>
    <row r="19952" spans="1:8" x14ac:dyDescent="0.25">
      <c r="A19952" s="1"/>
      <c r="B19952" s="1" t="s">
        <v>6862</v>
      </c>
      <c r="C19952" s="1" t="s">
        <v>6863</v>
      </c>
      <c r="D19952" s="22" t="str">
        <f>HYPERLINK("https://rhld.insurance.arkansas.gov/NPILookup?Npi=1669611745","1669611745")</f>
        <v>1669611745</v>
      </c>
      <c r="E19952" s="1" t="s">
        <v>24710</v>
      </c>
      <c r="F19952" s="2"/>
      <c r="G19952" s="2"/>
      <c r="H19952" s="2"/>
    </row>
    <row r="19953" spans="1:8" x14ac:dyDescent="0.25">
      <c r="A19953" s="1"/>
      <c r="B19953" s="1" t="s">
        <v>6862</v>
      </c>
      <c r="C19953" s="1" t="s">
        <v>6863</v>
      </c>
      <c r="D19953" s="22" t="str">
        <f>HYPERLINK("https://rhld.insurance.arkansas.gov/NPILookup?Npi=1669661625","1669661625")</f>
        <v>1669661625</v>
      </c>
      <c r="E19953" s="1" t="s">
        <v>7136</v>
      </c>
      <c r="F19953" s="2"/>
      <c r="G19953" s="2"/>
      <c r="H19953" s="2"/>
    </row>
    <row r="19954" spans="1:8" x14ac:dyDescent="0.25">
      <c r="A19954" s="1"/>
      <c r="B19954" s="1" t="s">
        <v>6862</v>
      </c>
      <c r="C19954" s="1" t="s">
        <v>6863</v>
      </c>
      <c r="D19954" s="22" t="str">
        <f>HYPERLINK("https://rhld.insurance.arkansas.gov/NPILookup?Npi=1669707055","1669707055")</f>
        <v>1669707055</v>
      </c>
      <c r="E19954" s="1" t="s">
        <v>24711</v>
      </c>
      <c r="F19954" s="2"/>
      <c r="G19954" s="2"/>
      <c r="H19954" s="2"/>
    </row>
    <row r="19955" spans="1:8" x14ac:dyDescent="0.25">
      <c r="A19955" s="1"/>
      <c r="B19955" s="1" t="s">
        <v>6862</v>
      </c>
      <c r="C19955" s="1" t="s">
        <v>6863</v>
      </c>
      <c r="D19955" s="22" t="str">
        <f>HYPERLINK("https://rhld.insurance.arkansas.gov/NPILookup?Npi=1669727525","1669727525")</f>
        <v>1669727525</v>
      </c>
      <c r="E19955" s="1" t="s">
        <v>24712</v>
      </c>
      <c r="F19955" s="2"/>
      <c r="G19955" s="2"/>
      <c r="H19955" s="2"/>
    </row>
    <row r="19956" spans="1:8" x14ac:dyDescent="0.25">
      <c r="A19956" s="1"/>
      <c r="B19956" s="1" t="s">
        <v>6862</v>
      </c>
      <c r="C19956" s="1" t="s">
        <v>6863</v>
      </c>
      <c r="D19956" s="22" t="str">
        <f>HYPERLINK("https://rhld.insurance.arkansas.gov/NPILookup?Npi=1669789160","1669789160")</f>
        <v>1669789160</v>
      </c>
      <c r="E19956" s="1" t="s">
        <v>6520</v>
      </c>
      <c r="F19956" s="2"/>
      <c r="G19956" s="2"/>
      <c r="H19956" s="2"/>
    </row>
    <row r="19957" spans="1:8" x14ac:dyDescent="0.25">
      <c r="A19957" s="1"/>
      <c r="B19957" s="1" t="s">
        <v>6862</v>
      </c>
      <c r="C19957" s="1" t="s">
        <v>6863</v>
      </c>
      <c r="D19957" s="22" t="str">
        <f>HYPERLINK("https://rhld.insurance.arkansas.gov/NPILookup?Npi=1669802443","1669802443")</f>
        <v>1669802443</v>
      </c>
      <c r="E19957" s="1" t="s">
        <v>24713</v>
      </c>
      <c r="F19957" s="2"/>
      <c r="G19957" s="2"/>
      <c r="H19957" s="2"/>
    </row>
    <row r="19958" spans="1:8" x14ac:dyDescent="0.25">
      <c r="A19958" s="1"/>
      <c r="B19958" s="1" t="s">
        <v>6862</v>
      </c>
      <c r="C19958" s="1" t="s">
        <v>6863</v>
      </c>
      <c r="D19958" s="22" t="str">
        <f>HYPERLINK("https://rhld.insurance.arkansas.gov/NPILookup?Npi=1669806485","1669806485")</f>
        <v>1669806485</v>
      </c>
      <c r="E19958" s="1" t="s">
        <v>24714</v>
      </c>
      <c r="F19958" s="2"/>
      <c r="G19958" s="2"/>
      <c r="H19958" s="2"/>
    </row>
    <row r="19959" spans="1:8" x14ac:dyDescent="0.25">
      <c r="A19959" s="1"/>
      <c r="B19959" s="1" t="s">
        <v>6862</v>
      </c>
      <c r="C19959" s="1" t="s">
        <v>6863</v>
      </c>
      <c r="D19959" s="22" t="str">
        <f>HYPERLINK("https://rhld.insurance.arkansas.gov/NPILookup?Npi=1669946745","1669946745")</f>
        <v>1669946745</v>
      </c>
      <c r="E19959" s="1" t="s">
        <v>24715</v>
      </c>
      <c r="F19959" s="2"/>
      <c r="G19959" s="2"/>
      <c r="H19959" s="2"/>
    </row>
    <row r="19960" spans="1:8" x14ac:dyDescent="0.25">
      <c r="A19960" s="1"/>
      <c r="B19960" s="1" t="s">
        <v>6862</v>
      </c>
      <c r="C19960" s="1" t="s">
        <v>6863</v>
      </c>
      <c r="D19960" s="22" t="str">
        <f>HYPERLINK("https://rhld.insurance.arkansas.gov/NPILookup?Npi=1679026496","1679026496")</f>
        <v>1679026496</v>
      </c>
      <c r="E19960" s="1" t="s">
        <v>24716</v>
      </c>
      <c r="F19960" s="2"/>
      <c r="G19960" s="2"/>
      <c r="H19960" s="2"/>
    </row>
    <row r="19961" spans="1:8" x14ac:dyDescent="0.25">
      <c r="A19961" s="1"/>
      <c r="B19961" s="1" t="s">
        <v>6862</v>
      </c>
      <c r="C19961" s="1" t="s">
        <v>6863</v>
      </c>
      <c r="D19961" s="22" t="str">
        <f>HYPERLINK("https://rhld.insurance.arkansas.gov/NPILookup?Npi=1679052922","1679052922")</f>
        <v>1679052922</v>
      </c>
      <c r="E19961" s="1" t="s">
        <v>7137</v>
      </c>
      <c r="F19961" s="2"/>
      <c r="G19961" s="2"/>
      <c r="H19961" s="2"/>
    </row>
    <row r="19962" spans="1:8" x14ac:dyDescent="0.25">
      <c r="A19962" s="1"/>
      <c r="B19962" s="1" t="s">
        <v>6862</v>
      </c>
      <c r="C19962" s="1" t="s">
        <v>6863</v>
      </c>
      <c r="D19962" s="22" t="str">
        <f>HYPERLINK("https://rhld.insurance.arkansas.gov/NPILookup?Npi=1679197453","1679197453")</f>
        <v>1679197453</v>
      </c>
      <c r="E19962" s="1" t="s">
        <v>7138</v>
      </c>
      <c r="F19962" s="2"/>
      <c r="G19962" s="2"/>
      <c r="H19962" s="2"/>
    </row>
    <row r="19963" spans="1:8" x14ac:dyDescent="0.25">
      <c r="A19963" s="1"/>
      <c r="B19963" s="1" t="s">
        <v>6862</v>
      </c>
      <c r="C19963" s="1" t="s">
        <v>6863</v>
      </c>
      <c r="D19963" s="22" t="str">
        <f>HYPERLINK("https://rhld.insurance.arkansas.gov/NPILookup?Npi=1679241301","1679241301")</f>
        <v>1679241301</v>
      </c>
      <c r="E19963" s="1" t="s">
        <v>24717</v>
      </c>
      <c r="F19963" s="2"/>
      <c r="G19963" s="2"/>
      <c r="H19963" s="2"/>
    </row>
    <row r="19964" spans="1:8" x14ac:dyDescent="0.25">
      <c r="A19964" s="1"/>
      <c r="B19964" s="1" t="s">
        <v>6862</v>
      </c>
      <c r="C19964" s="1" t="s">
        <v>6863</v>
      </c>
      <c r="D19964" s="22" t="str">
        <f>HYPERLINK("https://rhld.insurance.arkansas.gov/NPILookup?Npi=1679249973","1679249973")</f>
        <v>1679249973</v>
      </c>
      <c r="E19964" s="1" t="s">
        <v>24718</v>
      </c>
      <c r="F19964" s="2"/>
      <c r="G19964" s="2"/>
      <c r="H19964" s="2"/>
    </row>
    <row r="19965" spans="1:8" x14ac:dyDescent="0.25">
      <c r="A19965" s="1"/>
      <c r="B19965" s="1" t="s">
        <v>6862</v>
      </c>
      <c r="C19965" s="1" t="s">
        <v>6863</v>
      </c>
      <c r="D19965" s="22" t="str">
        <f>HYPERLINK("https://rhld.insurance.arkansas.gov/NPILookup?Npi=1679306195","1679306195")</f>
        <v>1679306195</v>
      </c>
      <c r="E19965" s="1" t="s">
        <v>24719</v>
      </c>
      <c r="F19965" s="2"/>
      <c r="G19965" s="2"/>
      <c r="H19965" s="2"/>
    </row>
    <row r="19966" spans="1:8" x14ac:dyDescent="0.25">
      <c r="A19966" s="1"/>
      <c r="B19966" s="1" t="s">
        <v>6862</v>
      </c>
      <c r="C19966" s="1" t="s">
        <v>6863</v>
      </c>
      <c r="D19966" s="22" t="str">
        <f>HYPERLINK("https://rhld.insurance.arkansas.gov/NPILookup?Npi=1679530455","1679530455")</f>
        <v>1679530455</v>
      </c>
      <c r="E19966" s="1" t="s">
        <v>7139</v>
      </c>
      <c r="F19966" s="2"/>
      <c r="G19966" s="2"/>
      <c r="H19966" s="2"/>
    </row>
    <row r="19967" spans="1:8" x14ac:dyDescent="0.25">
      <c r="A19967" s="1"/>
      <c r="B19967" s="1" t="s">
        <v>6862</v>
      </c>
      <c r="C19967" s="1" t="s">
        <v>6863</v>
      </c>
      <c r="D19967" s="22" t="str">
        <f>HYPERLINK("https://rhld.insurance.arkansas.gov/NPILookup?Npi=1679565857","1679565857")</f>
        <v>1679565857</v>
      </c>
      <c r="E19967" s="1" t="s">
        <v>24720</v>
      </c>
      <c r="F19967" s="2"/>
      <c r="G19967" s="2"/>
      <c r="H19967" s="2"/>
    </row>
    <row r="19968" spans="1:8" x14ac:dyDescent="0.25">
      <c r="A19968" s="1"/>
      <c r="B19968" s="1" t="s">
        <v>6862</v>
      </c>
      <c r="C19968" s="1" t="s">
        <v>6863</v>
      </c>
      <c r="D19968" s="22" t="str">
        <f>HYPERLINK("https://rhld.insurance.arkansas.gov/NPILookup?Npi=1679609838","1679609838")</f>
        <v>1679609838</v>
      </c>
      <c r="E19968" s="1" t="s">
        <v>24721</v>
      </c>
      <c r="F19968" s="2"/>
      <c r="G19968" s="2"/>
      <c r="H19968" s="2"/>
    </row>
    <row r="19969" spans="1:8" x14ac:dyDescent="0.25">
      <c r="A19969" s="1"/>
      <c r="B19969" s="1" t="s">
        <v>6862</v>
      </c>
      <c r="C19969" s="1" t="s">
        <v>6863</v>
      </c>
      <c r="D19969" s="22" t="str">
        <f>HYPERLINK("https://rhld.insurance.arkansas.gov/NPILookup?Npi=1679666481","1679666481")</f>
        <v>1679666481</v>
      </c>
      <c r="E19969" s="1" t="s">
        <v>12472</v>
      </c>
      <c r="F19969" s="2"/>
      <c r="G19969" s="2"/>
      <c r="H19969" s="2"/>
    </row>
    <row r="19970" spans="1:8" x14ac:dyDescent="0.25">
      <c r="A19970" s="1"/>
      <c r="B19970" s="1" t="s">
        <v>6862</v>
      </c>
      <c r="C19970" s="1" t="s">
        <v>6863</v>
      </c>
      <c r="D19970" s="22" t="str">
        <f>HYPERLINK("https://rhld.insurance.arkansas.gov/NPILookup?Npi=1679853907","1679853907")</f>
        <v>1679853907</v>
      </c>
      <c r="E19970" s="1" t="s">
        <v>24722</v>
      </c>
      <c r="F19970" s="2"/>
      <c r="G19970" s="2"/>
      <c r="H19970" s="2"/>
    </row>
    <row r="19971" spans="1:8" x14ac:dyDescent="0.25">
      <c r="A19971" s="1"/>
      <c r="B19971" s="1" t="s">
        <v>6862</v>
      </c>
      <c r="C19971" s="1" t="s">
        <v>6863</v>
      </c>
      <c r="D19971" s="22" t="str">
        <f>HYPERLINK("https://rhld.insurance.arkansas.gov/NPILookup?Npi=1679876015","1679876015")</f>
        <v>1679876015</v>
      </c>
      <c r="E19971" s="1" t="s">
        <v>24723</v>
      </c>
      <c r="F19971" s="2"/>
      <c r="G19971" s="2"/>
      <c r="H19971" s="2"/>
    </row>
    <row r="19972" spans="1:8" x14ac:dyDescent="0.25">
      <c r="A19972" s="1"/>
      <c r="B19972" s="1" t="s">
        <v>6862</v>
      </c>
      <c r="C19972" s="1" t="s">
        <v>6863</v>
      </c>
      <c r="D19972" s="22" t="str">
        <f>HYPERLINK("https://rhld.insurance.arkansas.gov/NPILookup?Npi=1679899223","1679899223")</f>
        <v>1679899223</v>
      </c>
      <c r="E19972" s="1" t="s">
        <v>24724</v>
      </c>
      <c r="F19972" s="2"/>
      <c r="G19972" s="2"/>
      <c r="H19972" s="2"/>
    </row>
    <row r="19973" spans="1:8" x14ac:dyDescent="0.25">
      <c r="A19973" s="1"/>
      <c r="B19973" s="1" t="s">
        <v>6862</v>
      </c>
      <c r="C19973" s="1" t="s">
        <v>6863</v>
      </c>
      <c r="D19973" s="22" t="str">
        <f>HYPERLINK("https://rhld.insurance.arkansas.gov/NPILookup?Npi=1679939359","1679939359")</f>
        <v>1679939359</v>
      </c>
      <c r="E19973" s="1" t="s">
        <v>24725</v>
      </c>
      <c r="F19973" s="2"/>
      <c r="G19973" s="2"/>
      <c r="H19973" s="2"/>
    </row>
    <row r="19974" spans="1:8" x14ac:dyDescent="0.25">
      <c r="A19974" s="1"/>
      <c r="B19974" s="1" t="s">
        <v>6862</v>
      </c>
      <c r="C19974" s="1" t="s">
        <v>6863</v>
      </c>
      <c r="D19974" s="22" t="str">
        <f>HYPERLINK("https://rhld.insurance.arkansas.gov/NPILookup?Npi=1679958516","1679958516")</f>
        <v>1679958516</v>
      </c>
      <c r="E19974" s="1" t="s">
        <v>24726</v>
      </c>
      <c r="F19974" s="2"/>
      <c r="G19974" s="2"/>
      <c r="H19974" s="2"/>
    </row>
    <row r="19975" spans="1:8" x14ac:dyDescent="0.25">
      <c r="A19975" s="1"/>
      <c r="B19975" s="1" t="s">
        <v>6862</v>
      </c>
      <c r="C19975" s="1" t="s">
        <v>6863</v>
      </c>
      <c r="D19975" s="22" t="str">
        <f>HYPERLINK("https://rhld.insurance.arkansas.gov/NPILookup?Npi=1679961114","1679961114")</f>
        <v>1679961114</v>
      </c>
      <c r="E19975" s="1" t="s">
        <v>7140</v>
      </c>
      <c r="F19975" s="2"/>
      <c r="G19975" s="2"/>
      <c r="H19975" s="2"/>
    </row>
    <row r="19976" spans="1:8" x14ac:dyDescent="0.25">
      <c r="A19976" s="1"/>
      <c r="B19976" s="1" t="s">
        <v>6862</v>
      </c>
      <c r="C19976" s="1" t="s">
        <v>6863</v>
      </c>
      <c r="D19976" s="22" t="str">
        <f>HYPERLINK("https://rhld.insurance.arkansas.gov/NPILookup?Npi=1689055642","1689055642")</f>
        <v>1689055642</v>
      </c>
      <c r="E19976" s="1" t="s">
        <v>24727</v>
      </c>
      <c r="F19976" s="2"/>
      <c r="G19976" s="2"/>
      <c r="H19976" s="2"/>
    </row>
    <row r="19977" spans="1:8" x14ac:dyDescent="0.25">
      <c r="A19977" s="1"/>
      <c r="B19977" s="1" t="s">
        <v>6862</v>
      </c>
      <c r="C19977" s="1" t="s">
        <v>6863</v>
      </c>
      <c r="D19977" s="22" t="str">
        <f>HYPERLINK("https://rhld.insurance.arkansas.gov/NPILookup?Npi=1689103905","1689103905")</f>
        <v>1689103905</v>
      </c>
      <c r="E19977" s="1" t="s">
        <v>24728</v>
      </c>
      <c r="F19977" s="2"/>
      <c r="G19977" s="2"/>
      <c r="H19977" s="2"/>
    </row>
    <row r="19978" spans="1:8" x14ac:dyDescent="0.25">
      <c r="A19978" s="1"/>
      <c r="B19978" s="1" t="s">
        <v>6862</v>
      </c>
      <c r="C19978" s="1" t="s">
        <v>6863</v>
      </c>
      <c r="D19978" s="22" t="str">
        <f>HYPERLINK("https://rhld.insurance.arkansas.gov/NPILookup?Npi=1689146870","1689146870")</f>
        <v>1689146870</v>
      </c>
      <c r="E19978" s="1" t="s">
        <v>24729</v>
      </c>
      <c r="F19978" s="2"/>
      <c r="G19978" s="2"/>
      <c r="H19978" s="2"/>
    </row>
    <row r="19979" spans="1:8" x14ac:dyDescent="0.25">
      <c r="A19979" s="1"/>
      <c r="B19979" s="1" t="s">
        <v>6862</v>
      </c>
      <c r="C19979" s="1" t="s">
        <v>6863</v>
      </c>
      <c r="D19979" s="22" t="str">
        <f>HYPERLINK("https://rhld.insurance.arkansas.gov/NPILookup?Npi=1689215113","1689215113")</f>
        <v>1689215113</v>
      </c>
      <c r="E19979" s="1" t="s">
        <v>24730</v>
      </c>
      <c r="F19979" s="2"/>
      <c r="G19979" s="2"/>
      <c r="H19979" s="2"/>
    </row>
    <row r="19980" spans="1:8" x14ac:dyDescent="0.25">
      <c r="A19980" s="1"/>
      <c r="B19980" s="1" t="s">
        <v>6862</v>
      </c>
      <c r="C19980" s="1" t="s">
        <v>6863</v>
      </c>
      <c r="D19980" s="22" t="str">
        <f>HYPERLINK("https://rhld.insurance.arkansas.gov/NPILookup?Npi=1689263212","1689263212")</f>
        <v>1689263212</v>
      </c>
      <c r="E19980" s="1" t="s">
        <v>7141</v>
      </c>
      <c r="F19980" s="2"/>
      <c r="G19980" s="2"/>
      <c r="H19980" s="2"/>
    </row>
    <row r="19981" spans="1:8" x14ac:dyDescent="0.25">
      <c r="A19981" s="1"/>
      <c r="B19981" s="1" t="s">
        <v>6862</v>
      </c>
      <c r="C19981" s="1" t="s">
        <v>6863</v>
      </c>
      <c r="D19981" s="22" t="str">
        <f>HYPERLINK("https://rhld.insurance.arkansas.gov/NPILookup?Npi=1689290280","1689290280")</f>
        <v>1689290280</v>
      </c>
      <c r="E19981" s="1" t="s">
        <v>12473</v>
      </c>
      <c r="F19981" s="2"/>
      <c r="G19981" s="2"/>
      <c r="H19981" s="2"/>
    </row>
    <row r="19982" spans="1:8" x14ac:dyDescent="0.25">
      <c r="A19982" s="1"/>
      <c r="B19982" s="1" t="s">
        <v>6862</v>
      </c>
      <c r="C19982" s="1" t="s">
        <v>6863</v>
      </c>
      <c r="D19982" s="22" t="str">
        <f>HYPERLINK("https://rhld.insurance.arkansas.gov/NPILookup?Npi=1689302408","1689302408")</f>
        <v>1689302408</v>
      </c>
      <c r="E19982" s="1" t="s">
        <v>24731</v>
      </c>
      <c r="F19982" s="2"/>
      <c r="G19982" s="2"/>
      <c r="H19982" s="2"/>
    </row>
    <row r="19983" spans="1:8" x14ac:dyDescent="0.25">
      <c r="A19983" s="1"/>
      <c r="B19983" s="1" t="s">
        <v>6862</v>
      </c>
      <c r="C19983" s="1" t="s">
        <v>6863</v>
      </c>
      <c r="D19983" s="22" t="str">
        <f>HYPERLINK("https://rhld.insurance.arkansas.gov/NPILookup?Npi=1689340705","1689340705")</f>
        <v>1689340705</v>
      </c>
      <c r="E19983" s="1" t="s">
        <v>24732</v>
      </c>
      <c r="F19983" s="2"/>
      <c r="G19983" s="2"/>
      <c r="H19983" s="2"/>
    </row>
    <row r="19984" spans="1:8" x14ac:dyDescent="0.25">
      <c r="A19984" s="1"/>
      <c r="B19984" s="1" t="s">
        <v>6862</v>
      </c>
      <c r="C19984" s="1" t="s">
        <v>6863</v>
      </c>
      <c r="D19984" s="22" t="str">
        <f>HYPERLINK("https://rhld.insurance.arkansas.gov/NPILookup?Npi=1689342925","1689342925")</f>
        <v>1689342925</v>
      </c>
      <c r="E19984" s="1" t="s">
        <v>24733</v>
      </c>
      <c r="F19984" s="2"/>
      <c r="G19984" s="2"/>
      <c r="H19984" s="2"/>
    </row>
    <row r="19985" spans="1:8" x14ac:dyDescent="0.25">
      <c r="A19985" s="1"/>
      <c r="B19985" s="1" t="s">
        <v>6862</v>
      </c>
      <c r="C19985" s="1" t="s">
        <v>6863</v>
      </c>
      <c r="D19985" s="22" t="str">
        <f>HYPERLINK("https://rhld.insurance.arkansas.gov/NPILookup?Npi=1689345167","1689345167")</f>
        <v>1689345167</v>
      </c>
      <c r="E19985" s="1" t="s">
        <v>7142</v>
      </c>
      <c r="F19985" s="2"/>
      <c r="G19985" s="2"/>
      <c r="H19985" s="2"/>
    </row>
    <row r="19986" spans="1:8" x14ac:dyDescent="0.25">
      <c r="A19986" s="1"/>
      <c r="B19986" s="1" t="s">
        <v>6862</v>
      </c>
      <c r="C19986" s="1" t="s">
        <v>6863</v>
      </c>
      <c r="D19986" s="22" t="str">
        <f>HYPERLINK("https://rhld.insurance.arkansas.gov/NPILookup?Npi=1689382756","1689382756")</f>
        <v>1689382756</v>
      </c>
      <c r="E19986" s="1" t="s">
        <v>24734</v>
      </c>
      <c r="F19986" s="2"/>
      <c r="G19986" s="2"/>
      <c r="H19986" s="2"/>
    </row>
    <row r="19987" spans="1:8" x14ac:dyDescent="0.25">
      <c r="A19987" s="1"/>
      <c r="B19987" s="1" t="s">
        <v>6862</v>
      </c>
      <c r="C19987" s="1" t="s">
        <v>6863</v>
      </c>
      <c r="D19987" s="22" t="str">
        <f>HYPERLINK("https://rhld.insurance.arkansas.gov/NPILookup?Npi=1689392037","1689392037")</f>
        <v>1689392037</v>
      </c>
      <c r="E19987" s="1" t="s">
        <v>6100</v>
      </c>
      <c r="F19987" s="2"/>
      <c r="G19987" s="2"/>
      <c r="H19987" s="2"/>
    </row>
    <row r="19988" spans="1:8" x14ac:dyDescent="0.25">
      <c r="A19988" s="1"/>
      <c r="B19988" s="1" t="s">
        <v>6862</v>
      </c>
      <c r="C19988" s="1" t="s">
        <v>6863</v>
      </c>
      <c r="D19988" s="22" t="str">
        <f>HYPERLINK("https://rhld.insurance.arkansas.gov/NPILookup?Npi=1689414906","1689414906")</f>
        <v>1689414906</v>
      </c>
      <c r="E19988" s="1" t="s">
        <v>24735</v>
      </c>
      <c r="F19988" s="2"/>
      <c r="G19988" s="2"/>
      <c r="H19988" s="2"/>
    </row>
    <row r="19989" spans="1:8" x14ac:dyDescent="0.25">
      <c r="A19989" s="1"/>
      <c r="B19989" s="1" t="s">
        <v>6862</v>
      </c>
      <c r="C19989" s="1" t="s">
        <v>6863</v>
      </c>
      <c r="D19989" s="22" t="str">
        <f>HYPERLINK("https://rhld.insurance.arkansas.gov/NPILookup?Npi=1689622912","1689622912")</f>
        <v>1689622912</v>
      </c>
      <c r="E19989" s="1" t="s">
        <v>24736</v>
      </c>
      <c r="F19989" s="2"/>
      <c r="G19989" s="2"/>
      <c r="H19989" s="2"/>
    </row>
    <row r="19990" spans="1:8" x14ac:dyDescent="0.25">
      <c r="A19990" s="1"/>
      <c r="B19990" s="1" t="s">
        <v>6862</v>
      </c>
      <c r="C19990" s="1" t="s">
        <v>6863</v>
      </c>
      <c r="D19990" s="22" t="str">
        <f>HYPERLINK("https://rhld.insurance.arkansas.gov/NPILookup?Npi=1689631400","1689631400")</f>
        <v>1689631400</v>
      </c>
      <c r="E19990" s="1" t="s">
        <v>7143</v>
      </c>
      <c r="F19990" s="2"/>
      <c r="G19990" s="2"/>
      <c r="H19990" s="2"/>
    </row>
    <row r="19991" spans="1:8" x14ac:dyDescent="0.25">
      <c r="A19991" s="1"/>
      <c r="B19991" s="1" t="s">
        <v>6862</v>
      </c>
      <c r="C19991" s="1" t="s">
        <v>6863</v>
      </c>
      <c r="D19991" s="22" t="str">
        <f>HYPERLINK("https://rhld.insurance.arkansas.gov/NPILookup?Npi=1689725061","1689725061")</f>
        <v>1689725061</v>
      </c>
      <c r="E19991" s="1" t="s">
        <v>7144</v>
      </c>
      <c r="F19991" s="2"/>
      <c r="G19991" s="2"/>
      <c r="H19991" s="2"/>
    </row>
    <row r="19992" spans="1:8" x14ac:dyDescent="0.25">
      <c r="A19992" s="1"/>
      <c r="B19992" s="1" t="s">
        <v>6862</v>
      </c>
      <c r="C19992" s="1" t="s">
        <v>6863</v>
      </c>
      <c r="D19992" s="22" t="str">
        <f>HYPERLINK("https://rhld.insurance.arkansas.gov/NPILookup?Npi=1689727356","1689727356")</f>
        <v>1689727356</v>
      </c>
      <c r="E19992" s="1" t="s">
        <v>7145</v>
      </c>
      <c r="F19992" s="2"/>
      <c r="G19992" s="2"/>
      <c r="H19992" s="2"/>
    </row>
    <row r="19993" spans="1:8" x14ac:dyDescent="0.25">
      <c r="A19993" s="1"/>
      <c r="B19993" s="1" t="s">
        <v>6862</v>
      </c>
      <c r="C19993" s="1" t="s">
        <v>6863</v>
      </c>
      <c r="D19993" s="22" t="str">
        <f>HYPERLINK("https://rhld.insurance.arkansas.gov/NPILookup?Npi=1689769242","1689769242")</f>
        <v>1689769242</v>
      </c>
      <c r="E19993" s="1" t="s">
        <v>24737</v>
      </c>
      <c r="F19993" s="2"/>
      <c r="G19993" s="2"/>
      <c r="H19993" s="2"/>
    </row>
    <row r="19994" spans="1:8" x14ac:dyDescent="0.25">
      <c r="A19994" s="1"/>
      <c r="B19994" s="1" t="s">
        <v>6862</v>
      </c>
      <c r="C19994" s="1" t="s">
        <v>6863</v>
      </c>
      <c r="D19994" s="22" t="str">
        <f>HYPERLINK("https://rhld.insurance.arkansas.gov/NPILookup?Npi=1689774960","1689774960")</f>
        <v>1689774960</v>
      </c>
      <c r="E19994" s="1" t="s">
        <v>24738</v>
      </c>
      <c r="F19994" s="2"/>
      <c r="G19994" s="2"/>
      <c r="H19994" s="2"/>
    </row>
    <row r="19995" spans="1:8" x14ac:dyDescent="0.25">
      <c r="A19995" s="1"/>
      <c r="B19995" s="1" t="s">
        <v>6862</v>
      </c>
      <c r="C19995" s="1" t="s">
        <v>6863</v>
      </c>
      <c r="D19995" s="22" t="str">
        <f>HYPERLINK("https://rhld.insurance.arkansas.gov/NPILookup?Npi=1689895971","1689895971")</f>
        <v>1689895971</v>
      </c>
      <c r="E19995" s="1" t="s">
        <v>12474</v>
      </c>
      <c r="F19995" s="2"/>
      <c r="G19995" s="2"/>
      <c r="H19995" s="2"/>
    </row>
    <row r="19996" spans="1:8" x14ac:dyDescent="0.25">
      <c r="A19996" s="1"/>
      <c r="B19996" s="1" t="s">
        <v>6862</v>
      </c>
      <c r="C19996" s="1" t="s">
        <v>6863</v>
      </c>
      <c r="D19996" s="22" t="str">
        <f>HYPERLINK("https://rhld.insurance.arkansas.gov/NPILookup?Npi=1699058289","1699058289")</f>
        <v>1699058289</v>
      </c>
      <c r="E19996" s="1" t="s">
        <v>24739</v>
      </c>
      <c r="F19996" s="2"/>
      <c r="G19996" s="2"/>
      <c r="H19996" s="2"/>
    </row>
    <row r="19997" spans="1:8" x14ac:dyDescent="0.25">
      <c r="A19997" s="1"/>
      <c r="B19997" s="1" t="s">
        <v>6862</v>
      </c>
      <c r="C19997" s="1" t="s">
        <v>6863</v>
      </c>
      <c r="D19997" s="22" t="str">
        <f>HYPERLINK("https://rhld.insurance.arkansas.gov/NPILookup?Npi=1699146217","1699146217")</f>
        <v>1699146217</v>
      </c>
      <c r="E19997" s="1" t="s">
        <v>24740</v>
      </c>
      <c r="F19997" s="2"/>
      <c r="G19997" s="2"/>
      <c r="H19997" s="2"/>
    </row>
    <row r="19998" spans="1:8" x14ac:dyDescent="0.25">
      <c r="A19998" s="1"/>
      <c r="B19998" s="1" t="s">
        <v>6862</v>
      </c>
      <c r="C19998" s="1" t="s">
        <v>6863</v>
      </c>
      <c r="D19998" s="22" t="str">
        <f>HYPERLINK("https://rhld.insurance.arkansas.gov/NPILookup?Npi=1699229922","1699229922")</f>
        <v>1699229922</v>
      </c>
      <c r="E19998" s="1" t="s">
        <v>7146</v>
      </c>
      <c r="F19998" s="2"/>
      <c r="G19998" s="2"/>
      <c r="H19998" s="2"/>
    </row>
    <row r="19999" spans="1:8" x14ac:dyDescent="0.25">
      <c r="A19999" s="1"/>
      <c r="B19999" s="1" t="s">
        <v>6862</v>
      </c>
      <c r="C19999" s="1" t="s">
        <v>6863</v>
      </c>
      <c r="D19999" s="22" t="str">
        <f>HYPERLINK("https://rhld.insurance.arkansas.gov/NPILookup?Npi=1699256362","1699256362")</f>
        <v>1699256362</v>
      </c>
      <c r="E19999" s="1" t="s">
        <v>12475</v>
      </c>
      <c r="F19999" s="2"/>
      <c r="G19999" s="2"/>
      <c r="H19999" s="2"/>
    </row>
    <row r="20000" spans="1:8" x14ac:dyDescent="0.25">
      <c r="A20000" s="1"/>
      <c r="B20000" s="1" t="s">
        <v>6862</v>
      </c>
      <c r="C20000" s="1" t="s">
        <v>6863</v>
      </c>
      <c r="D20000" s="22" t="str">
        <f>HYPERLINK("https://rhld.insurance.arkansas.gov/NPILookup?Npi=1699256487","1699256487")</f>
        <v>1699256487</v>
      </c>
      <c r="E20000" s="1" t="s">
        <v>24741</v>
      </c>
      <c r="F20000" s="2"/>
      <c r="G20000" s="2"/>
      <c r="H20000" s="2"/>
    </row>
    <row r="20001" spans="1:8" x14ac:dyDescent="0.25">
      <c r="A20001" s="1"/>
      <c r="B20001" s="1" t="s">
        <v>6862</v>
      </c>
      <c r="C20001" s="1" t="s">
        <v>6863</v>
      </c>
      <c r="D20001" s="22" t="str">
        <f>HYPERLINK("https://rhld.insurance.arkansas.gov/NPILookup?Npi=1699291807","1699291807")</f>
        <v>1699291807</v>
      </c>
      <c r="E20001" s="1" t="s">
        <v>24742</v>
      </c>
      <c r="F20001" s="2"/>
      <c r="G20001" s="2"/>
      <c r="H20001" s="2"/>
    </row>
    <row r="20002" spans="1:8" x14ac:dyDescent="0.25">
      <c r="A20002" s="1"/>
      <c r="B20002" s="1" t="s">
        <v>6862</v>
      </c>
      <c r="C20002" s="1" t="s">
        <v>6863</v>
      </c>
      <c r="D20002" s="22" t="str">
        <f>HYPERLINK("https://rhld.insurance.arkansas.gov/NPILookup?Npi=1699295345","1699295345")</f>
        <v>1699295345</v>
      </c>
      <c r="E20002" s="1" t="s">
        <v>7147</v>
      </c>
      <c r="F20002" s="2"/>
      <c r="G20002" s="2"/>
      <c r="H20002" s="2"/>
    </row>
    <row r="20003" spans="1:8" x14ac:dyDescent="0.25">
      <c r="A20003" s="1"/>
      <c r="B20003" s="1" t="s">
        <v>6862</v>
      </c>
      <c r="C20003" s="1" t="s">
        <v>6863</v>
      </c>
      <c r="D20003" s="22" t="str">
        <f>HYPERLINK("https://rhld.insurance.arkansas.gov/NPILookup?Npi=1699377101","1699377101")</f>
        <v>1699377101</v>
      </c>
      <c r="E20003" s="1" t="s">
        <v>24743</v>
      </c>
      <c r="F20003" s="2"/>
      <c r="G20003" s="2"/>
      <c r="H20003" s="2"/>
    </row>
    <row r="20004" spans="1:8" x14ac:dyDescent="0.25">
      <c r="A20004" s="1"/>
      <c r="B20004" s="1" t="s">
        <v>6862</v>
      </c>
      <c r="C20004" s="1" t="s">
        <v>6863</v>
      </c>
      <c r="D20004" s="22" t="str">
        <f>HYPERLINK("https://rhld.insurance.arkansas.gov/NPILookup?Npi=1699403204","1699403204")</f>
        <v>1699403204</v>
      </c>
      <c r="E20004" s="1" t="s">
        <v>24744</v>
      </c>
      <c r="F20004" s="2"/>
      <c r="G20004" s="2"/>
      <c r="H20004" s="2"/>
    </row>
    <row r="20005" spans="1:8" x14ac:dyDescent="0.25">
      <c r="A20005" s="1"/>
      <c r="B20005" s="1" t="s">
        <v>6862</v>
      </c>
      <c r="C20005" s="1" t="s">
        <v>6863</v>
      </c>
      <c r="D20005" s="22" t="str">
        <f>HYPERLINK("https://rhld.insurance.arkansas.gov/NPILookup?Npi=1699441048","1699441048")</f>
        <v>1699441048</v>
      </c>
      <c r="E20005" s="1" t="s">
        <v>24745</v>
      </c>
      <c r="F20005" s="2"/>
      <c r="G20005" s="2"/>
      <c r="H20005" s="2"/>
    </row>
    <row r="20006" spans="1:8" x14ac:dyDescent="0.25">
      <c r="A20006" s="1"/>
      <c r="B20006" s="1" t="s">
        <v>6862</v>
      </c>
      <c r="C20006" s="1" t="s">
        <v>6863</v>
      </c>
      <c r="D20006" s="22" t="str">
        <f>HYPERLINK("https://rhld.insurance.arkansas.gov/NPILookup?Npi=1699442673","1699442673")</f>
        <v>1699442673</v>
      </c>
      <c r="E20006" s="1" t="s">
        <v>24746</v>
      </c>
      <c r="F20006" s="2"/>
      <c r="G20006" s="2"/>
      <c r="H20006" s="2"/>
    </row>
    <row r="20007" spans="1:8" x14ac:dyDescent="0.25">
      <c r="A20007" s="1"/>
      <c r="B20007" s="1" t="s">
        <v>6862</v>
      </c>
      <c r="C20007" s="1" t="s">
        <v>6863</v>
      </c>
      <c r="D20007" s="22" t="str">
        <f>HYPERLINK("https://rhld.insurance.arkansas.gov/NPILookup?Npi=1699494724","1699494724")</f>
        <v>1699494724</v>
      </c>
      <c r="E20007" s="1" t="s">
        <v>24747</v>
      </c>
      <c r="F20007" s="2"/>
      <c r="G20007" s="2"/>
      <c r="H20007" s="2"/>
    </row>
    <row r="20008" spans="1:8" x14ac:dyDescent="0.25">
      <c r="A20008" s="1"/>
      <c r="B20008" s="1" t="s">
        <v>6862</v>
      </c>
      <c r="C20008" s="1" t="s">
        <v>6863</v>
      </c>
      <c r="D20008" s="22" t="str">
        <f>HYPERLINK("https://rhld.insurance.arkansas.gov/NPILookup?Npi=1699509489","1699509489")</f>
        <v>1699509489</v>
      </c>
      <c r="E20008" s="1" t="s">
        <v>32049</v>
      </c>
      <c r="F20008" s="2"/>
      <c r="G20008" s="2"/>
      <c r="H20008" s="2"/>
    </row>
    <row r="20009" spans="1:8" x14ac:dyDescent="0.25">
      <c r="A20009" s="1"/>
      <c r="B20009" s="1" t="s">
        <v>6862</v>
      </c>
      <c r="C20009" s="1" t="s">
        <v>6863</v>
      </c>
      <c r="D20009" s="22" t="str">
        <f>HYPERLINK("https://rhld.insurance.arkansas.gov/NPILookup?Npi=1699520007","1699520007")</f>
        <v>1699520007</v>
      </c>
      <c r="E20009" s="1" t="s">
        <v>24748</v>
      </c>
      <c r="F20009" s="2"/>
      <c r="G20009" s="2"/>
      <c r="H20009" s="2"/>
    </row>
    <row r="20010" spans="1:8" x14ac:dyDescent="0.25">
      <c r="A20010" s="1"/>
      <c r="B20010" s="1" t="s">
        <v>6862</v>
      </c>
      <c r="C20010" s="1" t="s">
        <v>6863</v>
      </c>
      <c r="D20010" s="22" t="str">
        <f>HYPERLINK("https://rhld.insurance.arkansas.gov/NPILookup?Npi=1699598672","1699598672")</f>
        <v>1699598672</v>
      </c>
      <c r="E20010" s="1" t="s">
        <v>32050</v>
      </c>
      <c r="F20010" s="2"/>
      <c r="G20010" s="2"/>
      <c r="H20010" s="2"/>
    </row>
    <row r="20011" spans="1:8" x14ac:dyDescent="0.25">
      <c r="A20011" s="1"/>
      <c r="B20011" s="1" t="s">
        <v>6862</v>
      </c>
      <c r="C20011" s="1" t="s">
        <v>6863</v>
      </c>
      <c r="D20011" s="22" t="str">
        <f>HYPERLINK("https://rhld.insurance.arkansas.gov/NPILookup?Npi=1699895367","1699895367")</f>
        <v>1699895367</v>
      </c>
      <c r="E20011" s="1" t="s">
        <v>348</v>
      </c>
      <c r="F20011" s="2"/>
      <c r="G20011" s="2"/>
      <c r="H20011" s="2"/>
    </row>
    <row r="20012" spans="1:8" x14ac:dyDescent="0.25">
      <c r="A20012" s="1"/>
      <c r="B20012" s="1" t="s">
        <v>6862</v>
      </c>
      <c r="C20012" s="1" t="s">
        <v>6863</v>
      </c>
      <c r="D20012" s="22" t="str">
        <f>HYPERLINK("https://rhld.insurance.arkansas.gov/NPILookup?Npi=1699959056","1699959056")</f>
        <v>1699959056</v>
      </c>
      <c r="E20012" s="1" t="s">
        <v>12476</v>
      </c>
      <c r="F20012" s="2"/>
      <c r="G20012" s="2"/>
      <c r="H20012" s="2"/>
    </row>
    <row r="20013" spans="1:8" x14ac:dyDescent="0.25">
      <c r="A20013" s="1"/>
      <c r="B20013" s="1" t="s">
        <v>6862</v>
      </c>
      <c r="C20013" s="1" t="s">
        <v>6863</v>
      </c>
      <c r="D20013" s="22" t="str">
        <f>HYPERLINK("https://rhld.insurance.arkansas.gov/NPILookup?Npi=1700037835","1700037835")</f>
        <v>1700037835</v>
      </c>
      <c r="E20013" s="1" t="s">
        <v>7148</v>
      </c>
      <c r="F20013" s="2"/>
      <c r="G20013" s="2"/>
      <c r="H20013" s="2"/>
    </row>
    <row r="20014" spans="1:8" x14ac:dyDescent="0.25">
      <c r="A20014" s="1"/>
      <c r="B20014" s="1" t="s">
        <v>6862</v>
      </c>
      <c r="C20014" s="1" t="s">
        <v>6863</v>
      </c>
      <c r="D20014" s="22" t="str">
        <f>HYPERLINK("https://rhld.insurance.arkansas.gov/NPILookup?Npi=1700236221","1700236221")</f>
        <v>1700236221</v>
      </c>
      <c r="E20014" s="1" t="s">
        <v>7149</v>
      </c>
      <c r="F20014" s="2"/>
      <c r="G20014" s="2"/>
      <c r="H20014" s="2"/>
    </row>
    <row r="20015" spans="1:8" x14ac:dyDescent="0.25">
      <c r="A20015" s="1"/>
      <c r="B20015" s="1" t="s">
        <v>6862</v>
      </c>
      <c r="C20015" s="1" t="s">
        <v>6863</v>
      </c>
      <c r="D20015" s="22" t="str">
        <f>HYPERLINK("https://rhld.insurance.arkansas.gov/NPILookup?Npi=1700262995","1700262995")</f>
        <v>1700262995</v>
      </c>
      <c r="E20015" s="1" t="s">
        <v>7150</v>
      </c>
      <c r="F20015" s="2"/>
      <c r="G20015" s="2"/>
      <c r="H20015" s="2"/>
    </row>
    <row r="20016" spans="1:8" x14ac:dyDescent="0.25">
      <c r="A20016" s="1"/>
      <c r="B20016" s="1" t="s">
        <v>6862</v>
      </c>
      <c r="C20016" s="1" t="s">
        <v>6863</v>
      </c>
      <c r="D20016" s="22" t="str">
        <f>HYPERLINK("https://rhld.insurance.arkansas.gov/NPILookup?Npi=1700286861","1700286861")</f>
        <v>1700286861</v>
      </c>
      <c r="E20016" s="1" t="s">
        <v>7151</v>
      </c>
      <c r="F20016" s="2"/>
      <c r="G20016" s="2"/>
      <c r="H20016" s="2"/>
    </row>
    <row r="20017" spans="1:8" x14ac:dyDescent="0.25">
      <c r="A20017" s="1"/>
      <c r="B20017" s="1" t="s">
        <v>6862</v>
      </c>
      <c r="C20017" s="1" t="s">
        <v>6863</v>
      </c>
      <c r="D20017" s="22" t="str">
        <f>HYPERLINK("https://rhld.insurance.arkansas.gov/NPILookup?Npi=1700299740","1700299740")</f>
        <v>1700299740</v>
      </c>
      <c r="E20017" s="1" t="s">
        <v>12477</v>
      </c>
      <c r="F20017" s="2"/>
      <c r="G20017" s="2"/>
      <c r="H20017" s="2"/>
    </row>
    <row r="20018" spans="1:8" x14ac:dyDescent="0.25">
      <c r="A20018" s="1"/>
      <c r="B20018" s="1" t="s">
        <v>6862</v>
      </c>
      <c r="C20018" s="1" t="s">
        <v>6863</v>
      </c>
      <c r="D20018" s="22" t="str">
        <f>HYPERLINK("https://rhld.insurance.arkansas.gov/NPILookup?Npi=1700308103","1700308103")</f>
        <v>1700308103</v>
      </c>
      <c r="E20018" s="1" t="s">
        <v>12478</v>
      </c>
      <c r="F20018" s="2"/>
      <c r="G20018" s="2"/>
      <c r="H20018" s="2"/>
    </row>
    <row r="20019" spans="1:8" x14ac:dyDescent="0.25">
      <c r="A20019" s="1"/>
      <c r="B20019" s="1" t="s">
        <v>6862</v>
      </c>
      <c r="C20019" s="1" t="s">
        <v>6863</v>
      </c>
      <c r="D20019" s="22" t="str">
        <f>HYPERLINK("https://rhld.insurance.arkansas.gov/NPILookup?Npi=1700338563","1700338563")</f>
        <v>1700338563</v>
      </c>
      <c r="E20019" s="1" t="s">
        <v>24749</v>
      </c>
      <c r="F20019" s="2"/>
      <c r="G20019" s="2"/>
      <c r="H20019" s="2"/>
    </row>
    <row r="20020" spans="1:8" x14ac:dyDescent="0.25">
      <c r="A20020" s="1"/>
      <c r="B20020" s="1" t="s">
        <v>6862</v>
      </c>
      <c r="C20020" s="1" t="s">
        <v>6863</v>
      </c>
      <c r="D20020" s="22" t="str">
        <f>HYPERLINK("https://rhld.insurance.arkansas.gov/NPILookup?Npi=1700399979","1700399979")</f>
        <v>1700399979</v>
      </c>
      <c r="E20020" s="1" t="s">
        <v>24750</v>
      </c>
      <c r="F20020" s="2"/>
      <c r="G20020" s="2"/>
      <c r="H20020" s="2"/>
    </row>
    <row r="20021" spans="1:8" x14ac:dyDescent="0.25">
      <c r="A20021" s="1"/>
      <c r="B20021" s="1" t="s">
        <v>6862</v>
      </c>
      <c r="C20021" s="1" t="s">
        <v>6863</v>
      </c>
      <c r="D20021" s="22" t="str">
        <f>HYPERLINK("https://rhld.insurance.arkansas.gov/NPILookup?Npi=1700431285","1700431285")</f>
        <v>1700431285</v>
      </c>
      <c r="E20021" s="1" t="s">
        <v>7152</v>
      </c>
      <c r="F20021" s="2"/>
      <c r="G20021" s="2"/>
      <c r="H20021" s="2"/>
    </row>
    <row r="20022" spans="1:8" x14ac:dyDescent="0.25">
      <c r="A20022" s="1"/>
      <c r="B20022" s="1" t="s">
        <v>6862</v>
      </c>
      <c r="C20022" s="1" t="s">
        <v>6863</v>
      </c>
      <c r="D20022" s="22" t="str">
        <f>HYPERLINK("https://rhld.insurance.arkansas.gov/NPILookup?Npi=1700495421","1700495421")</f>
        <v>1700495421</v>
      </c>
      <c r="E20022" s="1" t="s">
        <v>24751</v>
      </c>
      <c r="F20022" s="2"/>
      <c r="G20022" s="2"/>
      <c r="H20022" s="2"/>
    </row>
    <row r="20023" spans="1:8" x14ac:dyDescent="0.25">
      <c r="A20023" s="1"/>
      <c r="B20023" s="1" t="s">
        <v>6862</v>
      </c>
      <c r="C20023" s="1" t="s">
        <v>6863</v>
      </c>
      <c r="D20023" s="22" t="str">
        <f>HYPERLINK("https://rhld.insurance.arkansas.gov/NPILookup?Npi=1700515160","1700515160")</f>
        <v>1700515160</v>
      </c>
      <c r="E20023" s="1" t="s">
        <v>7153</v>
      </c>
      <c r="F20023" s="2"/>
      <c r="G20023" s="2"/>
      <c r="H20023" s="2"/>
    </row>
    <row r="20024" spans="1:8" x14ac:dyDescent="0.25">
      <c r="A20024" s="1"/>
      <c r="B20024" s="1" t="s">
        <v>6862</v>
      </c>
      <c r="C20024" s="1" t="s">
        <v>6863</v>
      </c>
      <c r="D20024" s="22" t="str">
        <f>HYPERLINK("https://rhld.insurance.arkansas.gov/NPILookup?Npi=1700515210","1700515210")</f>
        <v>1700515210</v>
      </c>
      <c r="E20024" s="1" t="s">
        <v>24752</v>
      </c>
      <c r="F20024" s="2"/>
      <c r="G20024" s="2"/>
      <c r="H20024" s="2"/>
    </row>
    <row r="20025" spans="1:8" x14ac:dyDescent="0.25">
      <c r="A20025" s="1"/>
      <c r="B20025" s="1" t="s">
        <v>6862</v>
      </c>
      <c r="C20025" s="1" t="s">
        <v>6863</v>
      </c>
      <c r="D20025" s="22" t="str">
        <f>HYPERLINK("https://rhld.insurance.arkansas.gov/NPILookup?Npi=1700810355","1700810355")</f>
        <v>1700810355</v>
      </c>
      <c r="E20025" s="1" t="s">
        <v>24753</v>
      </c>
      <c r="F20025" s="2"/>
      <c r="G20025" s="2"/>
      <c r="H20025" s="2"/>
    </row>
    <row r="20026" spans="1:8" x14ac:dyDescent="0.25">
      <c r="A20026" s="1"/>
      <c r="B20026" s="1" t="s">
        <v>6862</v>
      </c>
      <c r="C20026" s="1" t="s">
        <v>6863</v>
      </c>
      <c r="D20026" s="22" t="str">
        <f>HYPERLINK("https://rhld.insurance.arkansas.gov/NPILookup?Npi=1700840543","1700840543")</f>
        <v>1700840543</v>
      </c>
      <c r="E20026" s="1" t="s">
        <v>12479</v>
      </c>
      <c r="F20026" s="2"/>
      <c r="G20026" s="2"/>
      <c r="H20026" s="2"/>
    </row>
    <row r="20027" spans="1:8" x14ac:dyDescent="0.25">
      <c r="A20027" s="1"/>
      <c r="B20027" s="1" t="s">
        <v>6862</v>
      </c>
      <c r="C20027" s="1" t="s">
        <v>6863</v>
      </c>
      <c r="D20027" s="22" t="str">
        <f>HYPERLINK("https://rhld.insurance.arkansas.gov/NPILookup?Npi=1700912763","1700912763")</f>
        <v>1700912763</v>
      </c>
      <c r="E20027" s="1" t="s">
        <v>5958</v>
      </c>
      <c r="F20027" s="2"/>
      <c r="G20027" s="2"/>
      <c r="H20027" s="2"/>
    </row>
    <row r="20028" spans="1:8" x14ac:dyDescent="0.25">
      <c r="A20028" s="1"/>
      <c r="B20028" s="1" t="s">
        <v>6862</v>
      </c>
      <c r="C20028" s="1" t="s">
        <v>6863</v>
      </c>
      <c r="D20028" s="22" t="str">
        <f>HYPERLINK("https://rhld.insurance.arkansas.gov/NPILookup?Npi=1700915055","1700915055")</f>
        <v>1700915055</v>
      </c>
      <c r="E20028" s="1" t="s">
        <v>7154</v>
      </c>
      <c r="F20028" s="2"/>
      <c r="G20028" s="2"/>
      <c r="H20028" s="2"/>
    </row>
    <row r="20029" spans="1:8" x14ac:dyDescent="0.25">
      <c r="A20029" s="1"/>
      <c r="B20029" s="1" t="s">
        <v>6862</v>
      </c>
      <c r="C20029" s="1" t="s">
        <v>6863</v>
      </c>
      <c r="D20029" s="22" t="str">
        <f>HYPERLINK("https://rhld.insurance.arkansas.gov/NPILookup?Npi=1710004148","1710004148")</f>
        <v>1710004148</v>
      </c>
      <c r="E20029" s="1" t="s">
        <v>24754</v>
      </c>
      <c r="F20029" s="2"/>
      <c r="G20029" s="2"/>
      <c r="H20029" s="2"/>
    </row>
    <row r="20030" spans="1:8" x14ac:dyDescent="0.25">
      <c r="A20030" s="1"/>
      <c r="B20030" s="1" t="s">
        <v>6862</v>
      </c>
      <c r="C20030" s="1" t="s">
        <v>6863</v>
      </c>
      <c r="D20030" s="22" t="str">
        <f>HYPERLINK("https://rhld.insurance.arkansas.gov/NPILookup?Npi=1710032438","1710032438")</f>
        <v>1710032438</v>
      </c>
      <c r="E20030" s="1" t="s">
        <v>24755</v>
      </c>
      <c r="F20030" s="2"/>
      <c r="G20030" s="2"/>
      <c r="H20030" s="2"/>
    </row>
    <row r="20031" spans="1:8" x14ac:dyDescent="0.25">
      <c r="A20031" s="1"/>
      <c r="B20031" s="1" t="s">
        <v>6862</v>
      </c>
      <c r="C20031" s="1" t="s">
        <v>6863</v>
      </c>
      <c r="D20031" s="22" t="str">
        <f>HYPERLINK("https://rhld.insurance.arkansas.gov/NPILookup?Npi=1710135330","1710135330")</f>
        <v>1710135330</v>
      </c>
      <c r="E20031" s="1" t="s">
        <v>12480</v>
      </c>
      <c r="F20031" s="2"/>
      <c r="G20031" s="2"/>
      <c r="H20031" s="2"/>
    </row>
    <row r="20032" spans="1:8" x14ac:dyDescent="0.25">
      <c r="A20032" s="1"/>
      <c r="B20032" s="1" t="s">
        <v>6862</v>
      </c>
      <c r="C20032" s="1" t="s">
        <v>6863</v>
      </c>
      <c r="D20032" s="22" t="str">
        <f>HYPERLINK("https://rhld.insurance.arkansas.gov/NPILookup?Npi=1710201843","1710201843")</f>
        <v>1710201843</v>
      </c>
      <c r="E20032" s="1" t="s">
        <v>24756</v>
      </c>
      <c r="F20032" s="2"/>
      <c r="G20032" s="2"/>
      <c r="H20032" s="2"/>
    </row>
    <row r="20033" spans="1:8" x14ac:dyDescent="0.25">
      <c r="A20033" s="1"/>
      <c r="B20033" s="1" t="s">
        <v>6862</v>
      </c>
      <c r="C20033" s="1" t="s">
        <v>6863</v>
      </c>
      <c r="D20033" s="22" t="str">
        <f>HYPERLINK("https://rhld.insurance.arkansas.gov/NPILookup?Npi=1710396403","1710396403")</f>
        <v>1710396403</v>
      </c>
      <c r="E20033" s="1" t="s">
        <v>12481</v>
      </c>
      <c r="F20033" s="2"/>
      <c r="G20033" s="2"/>
      <c r="H20033" s="2"/>
    </row>
    <row r="20034" spans="1:8" x14ac:dyDescent="0.25">
      <c r="A20034" s="1"/>
      <c r="B20034" s="1" t="s">
        <v>6862</v>
      </c>
      <c r="C20034" s="1" t="s">
        <v>6863</v>
      </c>
      <c r="D20034" s="22" t="str">
        <f>HYPERLINK("https://rhld.insurance.arkansas.gov/NPILookup?Npi=1710532882","1710532882")</f>
        <v>1710532882</v>
      </c>
      <c r="E20034" s="1" t="s">
        <v>21732</v>
      </c>
      <c r="F20034" s="2"/>
      <c r="G20034" s="2"/>
      <c r="H20034" s="2"/>
    </row>
    <row r="20035" spans="1:8" x14ac:dyDescent="0.25">
      <c r="A20035" s="1"/>
      <c r="B20035" s="1" t="s">
        <v>6862</v>
      </c>
      <c r="C20035" s="1" t="s">
        <v>6863</v>
      </c>
      <c r="D20035" s="22" t="str">
        <f>HYPERLINK("https://rhld.insurance.arkansas.gov/NPILookup?Npi=1710535117","1710535117")</f>
        <v>1710535117</v>
      </c>
      <c r="E20035" s="1" t="s">
        <v>24757</v>
      </c>
      <c r="F20035" s="2"/>
      <c r="G20035" s="2"/>
      <c r="H20035" s="2"/>
    </row>
    <row r="20036" spans="1:8" x14ac:dyDescent="0.25">
      <c r="A20036" s="1"/>
      <c r="B20036" s="1" t="s">
        <v>6862</v>
      </c>
      <c r="C20036" s="1" t="s">
        <v>6863</v>
      </c>
      <c r="D20036" s="22" t="str">
        <f>HYPERLINK("https://rhld.insurance.arkansas.gov/NPILookup?Npi=1710551833","1710551833")</f>
        <v>1710551833</v>
      </c>
      <c r="E20036" s="1" t="s">
        <v>7155</v>
      </c>
      <c r="F20036" s="2"/>
      <c r="G20036" s="2"/>
      <c r="H20036" s="2"/>
    </row>
    <row r="20037" spans="1:8" x14ac:dyDescent="0.25">
      <c r="A20037" s="1"/>
      <c r="B20037" s="1" t="s">
        <v>6862</v>
      </c>
      <c r="C20037" s="1" t="s">
        <v>6863</v>
      </c>
      <c r="D20037" s="22" t="str">
        <f>HYPERLINK("https://rhld.insurance.arkansas.gov/NPILookup?Npi=1710593819","1710593819")</f>
        <v>1710593819</v>
      </c>
      <c r="E20037" s="1" t="s">
        <v>7156</v>
      </c>
      <c r="F20037" s="2"/>
      <c r="G20037" s="2"/>
      <c r="H20037" s="2"/>
    </row>
    <row r="20038" spans="1:8" x14ac:dyDescent="0.25">
      <c r="A20038" s="1"/>
      <c r="B20038" s="1" t="s">
        <v>6862</v>
      </c>
      <c r="C20038" s="1" t="s">
        <v>6863</v>
      </c>
      <c r="D20038" s="22" t="str">
        <f>HYPERLINK("https://rhld.insurance.arkansas.gov/NPILookup?Npi=1710599055","1710599055")</f>
        <v>1710599055</v>
      </c>
      <c r="E20038" s="1" t="s">
        <v>24758</v>
      </c>
      <c r="F20038" s="2"/>
      <c r="G20038" s="2"/>
      <c r="H20038" s="2"/>
    </row>
    <row r="20039" spans="1:8" x14ac:dyDescent="0.25">
      <c r="A20039" s="1"/>
      <c r="B20039" s="1" t="s">
        <v>6862</v>
      </c>
      <c r="C20039" s="1" t="s">
        <v>6863</v>
      </c>
      <c r="D20039" s="22" t="str">
        <f>HYPERLINK("https://rhld.insurance.arkansas.gov/NPILookup?Npi=1710608872","1710608872")</f>
        <v>1710608872</v>
      </c>
      <c r="E20039" s="1" t="s">
        <v>12482</v>
      </c>
      <c r="F20039" s="2"/>
      <c r="G20039" s="2"/>
      <c r="H20039" s="2"/>
    </row>
    <row r="20040" spans="1:8" x14ac:dyDescent="0.25">
      <c r="A20040" s="1"/>
      <c r="B20040" s="1" t="s">
        <v>6862</v>
      </c>
      <c r="C20040" s="1" t="s">
        <v>6863</v>
      </c>
      <c r="D20040" s="22" t="str">
        <f>HYPERLINK("https://rhld.insurance.arkansas.gov/NPILookup?Npi=1710609383","1710609383")</f>
        <v>1710609383</v>
      </c>
      <c r="E20040" s="1" t="s">
        <v>24759</v>
      </c>
      <c r="F20040" s="2"/>
      <c r="G20040" s="2"/>
      <c r="H20040" s="2"/>
    </row>
    <row r="20041" spans="1:8" x14ac:dyDescent="0.25">
      <c r="A20041" s="1"/>
      <c r="B20041" s="1" t="s">
        <v>6862</v>
      </c>
      <c r="C20041" s="1" t="s">
        <v>6863</v>
      </c>
      <c r="D20041" s="22" t="str">
        <f>HYPERLINK("https://rhld.insurance.arkansas.gov/NPILookup?Npi=1710615257","1710615257")</f>
        <v>1710615257</v>
      </c>
      <c r="E20041" s="1" t="s">
        <v>24760</v>
      </c>
      <c r="F20041" s="2"/>
      <c r="G20041" s="2"/>
      <c r="H20041" s="2"/>
    </row>
    <row r="20042" spans="1:8" x14ac:dyDescent="0.25">
      <c r="A20042" s="1"/>
      <c r="B20042" s="1" t="s">
        <v>6862</v>
      </c>
      <c r="C20042" s="1" t="s">
        <v>6863</v>
      </c>
      <c r="D20042" s="22" t="str">
        <f>HYPERLINK("https://rhld.insurance.arkansas.gov/NPILookup?Npi=1710924923","1710924923")</f>
        <v>1710924923</v>
      </c>
      <c r="E20042" s="1" t="s">
        <v>24761</v>
      </c>
      <c r="F20042" s="2"/>
      <c r="G20042" s="2"/>
      <c r="H20042" s="2"/>
    </row>
    <row r="20043" spans="1:8" x14ac:dyDescent="0.25">
      <c r="A20043" s="1"/>
      <c r="B20043" s="1" t="s">
        <v>6862</v>
      </c>
      <c r="C20043" s="1" t="s">
        <v>6863</v>
      </c>
      <c r="D20043" s="22" t="str">
        <f>HYPERLINK("https://rhld.insurance.arkansas.gov/NPILookup?Npi=1710939368","1710939368")</f>
        <v>1710939368</v>
      </c>
      <c r="E20043" s="1" t="s">
        <v>7157</v>
      </c>
      <c r="F20043" s="2"/>
      <c r="G20043" s="2"/>
      <c r="H20043" s="2"/>
    </row>
    <row r="20044" spans="1:8" x14ac:dyDescent="0.25">
      <c r="A20044" s="1"/>
      <c r="B20044" s="1" t="s">
        <v>6862</v>
      </c>
      <c r="C20044" s="1" t="s">
        <v>6863</v>
      </c>
      <c r="D20044" s="22" t="str">
        <f>HYPERLINK("https://rhld.insurance.arkansas.gov/NPILookup?Npi=1710944210","1710944210")</f>
        <v>1710944210</v>
      </c>
      <c r="E20044" s="1" t="s">
        <v>24762</v>
      </c>
      <c r="F20044" s="2"/>
      <c r="G20044" s="2"/>
      <c r="H20044" s="2"/>
    </row>
    <row r="20045" spans="1:8" x14ac:dyDescent="0.25">
      <c r="A20045" s="1"/>
      <c r="B20045" s="1" t="s">
        <v>6862</v>
      </c>
      <c r="C20045" s="1" t="s">
        <v>6863</v>
      </c>
      <c r="D20045" s="22" t="str">
        <f>HYPERLINK("https://rhld.insurance.arkansas.gov/NPILookup?Npi=1710944624","1710944624")</f>
        <v>1710944624</v>
      </c>
      <c r="E20045" s="1" t="s">
        <v>24763</v>
      </c>
      <c r="F20045" s="2"/>
      <c r="G20045" s="2"/>
      <c r="H20045" s="2"/>
    </row>
    <row r="20046" spans="1:8" x14ac:dyDescent="0.25">
      <c r="A20046" s="1"/>
      <c r="B20046" s="1" t="s">
        <v>6862</v>
      </c>
      <c r="C20046" s="1" t="s">
        <v>6863</v>
      </c>
      <c r="D20046" s="22" t="str">
        <f>HYPERLINK("https://rhld.insurance.arkansas.gov/NPILookup?Npi=1720027071","1720027071")</f>
        <v>1720027071</v>
      </c>
      <c r="E20046" s="1" t="s">
        <v>7158</v>
      </c>
      <c r="F20046" s="2"/>
      <c r="G20046" s="2"/>
      <c r="H20046" s="2"/>
    </row>
    <row r="20047" spans="1:8" x14ac:dyDescent="0.25">
      <c r="A20047" s="1"/>
      <c r="B20047" s="1" t="s">
        <v>6862</v>
      </c>
      <c r="C20047" s="1" t="s">
        <v>6863</v>
      </c>
      <c r="D20047" s="22" t="str">
        <f>HYPERLINK("https://rhld.insurance.arkansas.gov/NPILookup?Npi=1720029655","1720029655")</f>
        <v>1720029655</v>
      </c>
      <c r="E20047" s="1" t="s">
        <v>24764</v>
      </c>
      <c r="F20047" s="2"/>
      <c r="G20047" s="2"/>
      <c r="H20047" s="2"/>
    </row>
    <row r="20048" spans="1:8" x14ac:dyDescent="0.25">
      <c r="A20048" s="1"/>
      <c r="B20048" s="1" t="s">
        <v>6862</v>
      </c>
      <c r="C20048" s="1" t="s">
        <v>6863</v>
      </c>
      <c r="D20048" s="22" t="str">
        <f>HYPERLINK("https://rhld.insurance.arkansas.gov/NPILookup?Npi=1720100464","1720100464")</f>
        <v>1720100464</v>
      </c>
      <c r="E20048" s="1" t="s">
        <v>7159</v>
      </c>
      <c r="F20048" s="2"/>
      <c r="G20048" s="2"/>
      <c r="H20048" s="2"/>
    </row>
    <row r="20049" spans="1:8" x14ac:dyDescent="0.25">
      <c r="A20049" s="1"/>
      <c r="B20049" s="1" t="s">
        <v>6862</v>
      </c>
      <c r="C20049" s="1" t="s">
        <v>6863</v>
      </c>
      <c r="D20049" s="22" t="str">
        <f>HYPERLINK("https://rhld.insurance.arkansas.gov/NPILookup?Npi=1720158306","1720158306")</f>
        <v>1720158306</v>
      </c>
      <c r="E20049" s="1" t="s">
        <v>32051</v>
      </c>
      <c r="F20049" s="2"/>
      <c r="G20049" s="2"/>
      <c r="H20049" s="2"/>
    </row>
    <row r="20050" spans="1:8" x14ac:dyDescent="0.25">
      <c r="A20050" s="1"/>
      <c r="B20050" s="1" t="s">
        <v>6862</v>
      </c>
      <c r="C20050" s="1" t="s">
        <v>6863</v>
      </c>
      <c r="D20050" s="22" t="str">
        <f>HYPERLINK("https://rhld.insurance.arkansas.gov/NPILookup?Npi=1720167505","1720167505")</f>
        <v>1720167505</v>
      </c>
      <c r="E20050" s="1" t="s">
        <v>12483</v>
      </c>
      <c r="F20050" s="2"/>
      <c r="G20050" s="2"/>
      <c r="H20050" s="2"/>
    </row>
    <row r="20051" spans="1:8" x14ac:dyDescent="0.25">
      <c r="A20051" s="1"/>
      <c r="B20051" s="1" t="s">
        <v>6862</v>
      </c>
      <c r="C20051" s="1" t="s">
        <v>6863</v>
      </c>
      <c r="D20051" s="22" t="str">
        <f>HYPERLINK("https://rhld.insurance.arkansas.gov/NPILookup?Npi=1720435936","1720435936")</f>
        <v>1720435936</v>
      </c>
      <c r="E20051" s="1" t="s">
        <v>24765</v>
      </c>
      <c r="F20051" s="2"/>
      <c r="G20051" s="2"/>
      <c r="H20051" s="2"/>
    </row>
    <row r="20052" spans="1:8" x14ac:dyDescent="0.25">
      <c r="A20052" s="1"/>
      <c r="B20052" s="1" t="s">
        <v>6862</v>
      </c>
      <c r="C20052" s="1" t="s">
        <v>6863</v>
      </c>
      <c r="D20052" s="22" t="str">
        <f>HYPERLINK("https://rhld.insurance.arkansas.gov/NPILookup?Npi=1720449721","1720449721")</f>
        <v>1720449721</v>
      </c>
      <c r="E20052" s="1" t="s">
        <v>32052</v>
      </c>
      <c r="F20052" s="2"/>
      <c r="G20052" s="2"/>
      <c r="H20052" s="2"/>
    </row>
    <row r="20053" spans="1:8" x14ac:dyDescent="0.25">
      <c r="A20053" s="1"/>
      <c r="B20053" s="1" t="s">
        <v>6862</v>
      </c>
      <c r="C20053" s="1" t="s">
        <v>6863</v>
      </c>
      <c r="D20053" s="22" t="str">
        <f>HYPERLINK("https://rhld.insurance.arkansas.gov/NPILookup?Npi=1720521032","1720521032")</f>
        <v>1720521032</v>
      </c>
      <c r="E20053" s="1" t="s">
        <v>24766</v>
      </c>
      <c r="F20053" s="2"/>
      <c r="G20053" s="2"/>
      <c r="H20053" s="2"/>
    </row>
    <row r="20054" spans="1:8" x14ac:dyDescent="0.25">
      <c r="A20054" s="1"/>
      <c r="B20054" s="1" t="s">
        <v>6862</v>
      </c>
      <c r="C20054" s="1" t="s">
        <v>6863</v>
      </c>
      <c r="D20054" s="22" t="str">
        <f>HYPERLINK("https://rhld.insurance.arkansas.gov/NPILookup?Npi=1720661747","1720661747")</f>
        <v>1720661747</v>
      </c>
      <c r="E20054" s="1" t="s">
        <v>24767</v>
      </c>
      <c r="F20054" s="2"/>
      <c r="G20054" s="2"/>
      <c r="H20054" s="2"/>
    </row>
    <row r="20055" spans="1:8" x14ac:dyDescent="0.25">
      <c r="A20055" s="1"/>
      <c r="B20055" s="1" t="s">
        <v>6862</v>
      </c>
      <c r="C20055" s="1" t="s">
        <v>6863</v>
      </c>
      <c r="D20055" s="22" t="str">
        <f>HYPERLINK("https://rhld.insurance.arkansas.gov/NPILookup?Npi=1720745557","1720745557")</f>
        <v>1720745557</v>
      </c>
      <c r="E20055" s="1" t="s">
        <v>7160</v>
      </c>
      <c r="F20055" s="2"/>
      <c r="G20055" s="2"/>
      <c r="H20055" s="2"/>
    </row>
    <row r="20056" spans="1:8" x14ac:dyDescent="0.25">
      <c r="A20056" s="1"/>
      <c r="B20056" s="1" t="s">
        <v>6862</v>
      </c>
      <c r="C20056" s="1" t="s">
        <v>6863</v>
      </c>
      <c r="D20056" s="22" t="str">
        <f>HYPERLINK("https://rhld.insurance.arkansas.gov/NPILookup?Npi=1720756083","1720756083")</f>
        <v>1720756083</v>
      </c>
      <c r="E20056" s="1" t="s">
        <v>24768</v>
      </c>
      <c r="F20056" s="2"/>
      <c r="G20056" s="2"/>
      <c r="H20056" s="2"/>
    </row>
    <row r="20057" spans="1:8" x14ac:dyDescent="0.25">
      <c r="A20057" s="1"/>
      <c r="B20057" s="1" t="s">
        <v>6862</v>
      </c>
      <c r="C20057" s="1" t="s">
        <v>6863</v>
      </c>
      <c r="D20057" s="22" t="str">
        <f>HYPERLINK("https://rhld.insurance.arkansas.gov/NPILookup?Npi=1720771330","1720771330")</f>
        <v>1720771330</v>
      </c>
      <c r="E20057" s="1" t="s">
        <v>24769</v>
      </c>
      <c r="F20057" s="2"/>
      <c r="G20057" s="2"/>
      <c r="H20057" s="2"/>
    </row>
    <row r="20058" spans="1:8" x14ac:dyDescent="0.25">
      <c r="A20058" s="1"/>
      <c r="B20058" s="1" t="s">
        <v>6862</v>
      </c>
      <c r="C20058" s="1" t="s">
        <v>6863</v>
      </c>
      <c r="D20058" s="22" t="str">
        <f>HYPERLINK("https://rhld.insurance.arkansas.gov/NPILookup?Npi=1720807423","1720807423")</f>
        <v>1720807423</v>
      </c>
      <c r="E20058" s="1" t="s">
        <v>32053</v>
      </c>
      <c r="F20058" s="2"/>
      <c r="G20058" s="2"/>
      <c r="H20058" s="2"/>
    </row>
    <row r="20059" spans="1:8" x14ac:dyDescent="0.25">
      <c r="A20059" s="1"/>
      <c r="B20059" s="1" t="s">
        <v>6862</v>
      </c>
      <c r="C20059" s="1" t="s">
        <v>6863</v>
      </c>
      <c r="D20059" s="22" t="str">
        <f>HYPERLINK("https://rhld.insurance.arkansas.gov/NPILookup?Npi=1720819733","1720819733")</f>
        <v>1720819733</v>
      </c>
      <c r="E20059" s="1" t="s">
        <v>24770</v>
      </c>
      <c r="F20059" s="2"/>
      <c r="G20059" s="2"/>
      <c r="H20059" s="2"/>
    </row>
    <row r="20060" spans="1:8" x14ac:dyDescent="0.25">
      <c r="A20060" s="1"/>
      <c r="B20060" s="1" t="s">
        <v>6862</v>
      </c>
      <c r="C20060" s="1" t="s">
        <v>6863</v>
      </c>
      <c r="D20060" s="22" t="str">
        <f>HYPERLINK("https://rhld.insurance.arkansas.gov/NPILookup?Npi=1730375650","1730375650")</f>
        <v>1730375650</v>
      </c>
      <c r="E20060" s="1" t="s">
        <v>24771</v>
      </c>
      <c r="F20060" s="2"/>
      <c r="G20060" s="2"/>
      <c r="H20060" s="2"/>
    </row>
    <row r="20061" spans="1:8" x14ac:dyDescent="0.25">
      <c r="A20061" s="1"/>
      <c r="B20061" s="1" t="s">
        <v>6862</v>
      </c>
      <c r="C20061" s="1" t="s">
        <v>6863</v>
      </c>
      <c r="D20061" s="22" t="str">
        <f>HYPERLINK("https://rhld.insurance.arkansas.gov/NPILookup?Npi=1730378316","1730378316")</f>
        <v>1730378316</v>
      </c>
      <c r="E20061" s="1" t="s">
        <v>24772</v>
      </c>
      <c r="F20061" s="2"/>
      <c r="G20061" s="2"/>
      <c r="H20061" s="2"/>
    </row>
    <row r="20062" spans="1:8" x14ac:dyDescent="0.25">
      <c r="A20062" s="1"/>
      <c r="B20062" s="1" t="s">
        <v>6862</v>
      </c>
      <c r="C20062" s="1" t="s">
        <v>6863</v>
      </c>
      <c r="D20062" s="22" t="str">
        <f>HYPERLINK("https://rhld.insurance.arkansas.gov/NPILookup?Npi=1730392879","1730392879")</f>
        <v>1730392879</v>
      </c>
      <c r="E20062" s="1" t="s">
        <v>24773</v>
      </c>
      <c r="F20062" s="2"/>
      <c r="G20062" s="2"/>
      <c r="H20062" s="2"/>
    </row>
    <row r="20063" spans="1:8" x14ac:dyDescent="0.25">
      <c r="A20063" s="1"/>
      <c r="B20063" s="1" t="s">
        <v>6862</v>
      </c>
      <c r="C20063" s="1" t="s">
        <v>6863</v>
      </c>
      <c r="D20063" s="22" t="str">
        <f>HYPERLINK("https://rhld.insurance.arkansas.gov/NPILookup?Npi=1730460486","1730460486")</f>
        <v>1730460486</v>
      </c>
      <c r="E20063" s="1" t="s">
        <v>24774</v>
      </c>
      <c r="F20063" s="2"/>
      <c r="G20063" s="2"/>
      <c r="H20063" s="2"/>
    </row>
    <row r="20064" spans="1:8" x14ac:dyDescent="0.25">
      <c r="A20064" s="1"/>
      <c r="B20064" s="1" t="s">
        <v>6862</v>
      </c>
      <c r="C20064" s="1" t="s">
        <v>6863</v>
      </c>
      <c r="D20064" s="22" t="str">
        <f>HYPERLINK("https://rhld.insurance.arkansas.gov/NPILookup?Npi=1730604372","1730604372")</f>
        <v>1730604372</v>
      </c>
      <c r="E20064" s="1" t="s">
        <v>7161</v>
      </c>
      <c r="F20064" s="2"/>
      <c r="G20064" s="2"/>
      <c r="H20064" s="2"/>
    </row>
    <row r="20065" spans="1:8" x14ac:dyDescent="0.25">
      <c r="A20065" s="1"/>
      <c r="B20065" s="1" t="s">
        <v>6862</v>
      </c>
      <c r="C20065" s="1" t="s">
        <v>6863</v>
      </c>
      <c r="D20065" s="22" t="str">
        <f>HYPERLINK("https://rhld.insurance.arkansas.gov/NPILookup?Npi=1730607284","1730607284")</f>
        <v>1730607284</v>
      </c>
      <c r="E20065" s="1" t="s">
        <v>24775</v>
      </c>
      <c r="F20065" s="2"/>
      <c r="G20065" s="2"/>
      <c r="H20065" s="2"/>
    </row>
    <row r="20066" spans="1:8" x14ac:dyDescent="0.25">
      <c r="A20066" s="1"/>
      <c r="B20066" s="1" t="s">
        <v>6862</v>
      </c>
      <c r="C20066" s="1" t="s">
        <v>6863</v>
      </c>
      <c r="D20066" s="22" t="str">
        <f>HYPERLINK("https://rhld.insurance.arkansas.gov/NPILookup?Npi=1730616574","1730616574")</f>
        <v>1730616574</v>
      </c>
      <c r="E20066" s="1" t="s">
        <v>24776</v>
      </c>
      <c r="F20066" s="2"/>
      <c r="G20066" s="2"/>
      <c r="H20066" s="2"/>
    </row>
    <row r="20067" spans="1:8" x14ac:dyDescent="0.25">
      <c r="A20067" s="1"/>
      <c r="B20067" s="1" t="s">
        <v>6862</v>
      </c>
      <c r="C20067" s="1" t="s">
        <v>6863</v>
      </c>
      <c r="D20067" s="22" t="str">
        <f>HYPERLINK("https://rhld.insurance.arkansas.gov/NPILookup?Npi=1730662479","1730662479")</f>
        <v>1730662479</v>
      </c>
      <c r="E20067" s="1" t="s">
        <v>12485</v>
      </c>
      <c r="F20067" s="2"/>
      <c r="G20067" s="2"/>
      <c r="H20067" s="2"/>
    </row>
    <row r="20068" spans="1:8" x14ac:dyDescent="0.25">
      <c r="A20068" s="1"/>
      <c r="B20068" s="1" t="s">
        <v>6862</v>
      </c>
      <c r="C20068" s="1" t="s">
        <v>6863</v>
      </c>
      <c r="D20068" s="22" t="str">
        <f>HYPERLINK("https://rhld.insurance.arkansas.gov/NPILookup?Npi=1730802091","1730802091")</f>
        <v>1730802091</v>
      </c>
      <c r="E20068" s="1" t="s">
        <v>24777</v>
      </c>
      <c r="F20068" s="2"/>
      <c r="G20068" s="2"/>
      <c r="H20068" s="2"/>
    </row>
    <row r="20069" spans="1:8" x14ac:dyDescent="0.25">
      <c r="A20069" s="1"/>
      <c r="B20069" s="1" t="s">
        <v>6862</v>
      </c>
      <c r="C20069" s="1" t="s">
        <v>6863</v>
      </c>
      <c r="D20069" s="22" t="str">
        <f>HYPERLINK("https://rhld.insurance.arkansas.gov/NPILookup?Npi=1730808494","1730808494")</f>
        <v>1730808494</v>
      </c>
      <c r="E20069" s="1" t="s">
        <v>24778</v>
      </c>
      <c r="F20069" s="2"/>
      <c r="G20069" s="2"/>
      <c r="H20069" s="2"/>
    </row>
    <row r="20070" spans="1:8" x14ac:dyDescent="0.25">
      <c r="A20070" s="1"/>
      <c r="B20070" s="1" t="s">
        <v>6862</v>
      </c>
      <c r="C20070" s="1" t="s">
        <v>6863</v>
      </c>
      <c r="D20070" s="22" t="str">
        <f>HYPERLINK("https://rhld.insurance.arkansas.gov/NPILookup?Npi=1730861394","1730861394")</f>
        <v>1730861394</v>
      </c>
      <c r="E20070" s="1" t="s">
        <v>6175</v>
      </c>
      <c r="F20070" s="2"/>
      <c r="G20070" s="2"/>
      <c r="H20070" s="2"/>
    </row>
    <row r="20071" spans="1:8" x14ac:dyDescent="0.25">
      <c r="A20071" s="1"/>
      <c r="B20071" s="1" t="s">
        <v>6862</v>
      </c>
      <c r="C20071" s="1" t="s">
        <v>6863</v>
      </c>
      <c r="D20071" s="22" t="str">
        <f>HYPERLINK("https://rhld.insurance.arkansas.gov/NPILookup?Npi=1730894551","1730894551")</f>
        <v>1730894551</v>
      </c>
      <c r="E20071" s="1" t="s">
        <v>7066</v>
      </c>
      <c r="F20071" s="2"/>
      <c r="G20071" s="2"/>
      <c r="H20071" s="2"/>
    </row>
    <row r="20072" spans="1:8" x14ac:dyDescent="0.25">
      <c r="A20072" s="1"/>
      <c r="B20072" s="1" t="s">
        <v>6862</v>
      </c>
      <c r="C20072" s="1" t="s">
        <v>6863</v>
      </c>
      <c r="D20072" s="22" t="str">
        <f>HYPERLINK("https://rhld.insurance.arkansas.gov/NPILookup?Npi=1730906611","1730906611")</f>
        <v>1730906611</v>
      </c>
      <c r="E20072" s="1" t="s">
        <v>24779</v>
      </c>
      <c r="F20072" s="2"/>
      <c r="G20072" s="2"/>
      <c r="H20072" s="2"/>
    </row>
    <row r="20073" spans="1:8" x14ac:dyDescent="0.25">
      <c r="A20073" s="1"/>
      <c r="B20073" s="1" t="s">
        <v>6862</v>
      </c>
      <c r="C20073" s="1" t="s">
        <v>6863</v>
      </c>
      <c r="D20073" s="22" t="str">
        <f>HYPERLINK("https://rhld.insurance.arkansas.gov/NPILookup?Npi=1730910126","1730910126")</f>
        <v>1730910126</v>
      </c>
      <c r="E20073" s="1" t="s">
        <v>24780</v>
      </c>
      <c r="F20073" s="2"/>
      <c r="G20073" s="2"/>
      <c r="H20073" s="2"/>
    </row>
    <row r="20074" spans="1:8" x14ac:dyDescent="0.25">
      <c r="A20074" s="1"/>
      <c r="B20074" s="1" t="s">
        <v>6862</v>
      </c>
      <c r="C20074" s="1" t="s">
        <v>6863</v>
      </c>
      <c r="D20074" s="22" t="str">
        <f>HYPERLINK("https://rhld.insurance.arkansas.gov/NPILookup?Npi=1730910258","1730910258")</f>
        <v>1730910258</v>
      </c>
      <c r="E20074" s="1" t="s">
        <v>24781</v>
      </c>
      <c r="F20074" s="2"/>
      <c r="G20074" s="2"/>
      <c r="H20074" s="2"/>
    </row>
    <row r="20075" spans="1:8" x14ac:dyDescent="0.25">
      <c r="A20075" s="1"/>
      <c r="B20075" s="1" t="s">
        <v>6862</v>
      </c>
      <c r="C20075" s="1" t="s">
        <v>6863</v>
      </c>
      <c r="D20075" s="22" t="str">
        <f>HYPERLINK("https://rhld.insurance.arkansas.gov/NPILookup?Npi=1730919036","1730919036")</f>
        <v>1730919036</v>
      </c>
      <c r="E20075" s="1" t="s">
        <v>24782</v>
      </c>
      <c r="F20075" s="2"/>
      <c r="G20075" s="2"/>
      <c r="H20075" s="2"/>
    </row>
    <row r="20076" spans="1:8" x14ac:dyDescent="0.25">
      <c r="A20076" s="1"/>
      <c r="B20076" s="1" t="s">
        <v>6862</v>
      </c>
      <c r="C20076" s="1" t="s">
        <v>6863</v>
      </c>
      <c r="D20076" s="22" t="str">
        <f>HYPERLINK("https://rhld.insurance.arkansas.gov/NPILookup?Npi=1730953720","1730953720")</f>
        <v>1730953720</v>
      </c>
      <c r="E20076" s="1" t="s">
        <v>7162</v>
      </c>
      <c r="F20076" s="2"/>
      <c r="G20076" s="2"/>
      <c r="H20076" s="2"/>
    </row>
    <row r="20077" spans="1:8" x14ac:dyDescent="0.25">
      <c r="A20077" s="1"/>
      <c r="B20077" s="1" t="s">
        <v>6862</v>
      </c>
      <c r="C20077" s="1" t="s">
        <v>6863</v>
      </c>
      <c r="D20077" s="22" t="str">
        <f>HYPERLINK("https://rhld.insurance.arkansas.gov/NPILookup?Npi=1730964677","1730964677")</f>
        <v>1730964677</v>
      </c>
      <c r="E20077" s="1" t="s">
        <v>3849</v>
      </c>
      <c r="F20077" s="2"/>
      <c r="G20077" s="2"/>
      <c r="H20077" s="2"/>
    </row>
    <row r="20078" spans="1:8" x14ac:dyDescent="0.25">
      <c r="A20078" s="1"/>
      <c r="B20078" s="1" t="s">
        <v>6862</v>
      </c>
      <c r="C20078" s="1" t="s">
        <v>6863</v>
      </c>
      <c r="D20078" s="22" t="str">
        <f>HYPERLINK("https://rhld.insurance.arkansas.gov/NPILookup?Npi=1740244847","1740244847")</f>
        <v>1740244847</v>
      </c>
      <c r="E20078" s="1" t="s">
        <v>12486</v>
      </c>
      <c r="F20078" s="2"/>
      <c r="G20078" s="2"/>
      <c r="H20078" s="2"/>
    </row>
    <row r="20079" spans="1:8" x14ac:dyDescent="0.25">
      <c r="A20079" s="1"/>
      <c r="B20079" s="1" t="s">
        <v>6862</v>
      </c>
      <c r="C20079" s="1" t="s">
        <v>6863</v>
      </c>
      <c r="D20079" s="22" t="str">
        <f>HYPERLINK("https://rhld.insurance.arkansas.gov/NPILookup?Npi=1740263987","1740263987")</f>
        <v>1740263987</v>
      </c>
      <c r="E20079" s="1" t="s">
        <v>7163</v>
      </c>
      <c r="F20079" s="2"/>
      <c r="G20079" s="2"/>
      <c r="H20079" s="2"/>
    </row>
    <row r="20080" spans="1:8" x14ac:dyDescent="0.25">
      <c r="A20080" s="1"/>
      <c r="B20080" s="1" t="s">
        <v>6862</v>
      </c>
      <c r="C20080" s="1" t="s">
        <v>6863</v>
      </c>
      <c r="D20080" s="22" t="str">
        <f>HYPERLINK("https://rhld.insurance.arkansas.gov/NPILookup?Npi=1740327808","1740327808")</f>
        <v>1740327808</v>
      </c>
      <c r="E20080" s="1" t="s">
        <v>19906</v>
      </c>
      <c r="F20080" s="2"/>
      <c r="G20080" s="2"/>
      <c r="H20080" s="2"/>
    </row>
    <row r="20081" spans="1:8" x14ac:dyDescent="0.25">
      <c r="A20081" s="1"/>
      <c r="B20081" s="1" t="s">
        <v>6862</v>
      </c>
      <c r="C20081" s="1" t="s">
        <v>6863</v>
      </c>
      <c r="D20081" s="22" t="str">
        <f>HYPERLINK("https://rhld.insurance.arkansas.gov/NPILookup?Npi=1740363431","1740363431")</f>
        <v>1740363431</v>
      </c>
      <c r="E20081" s="1" t="s">
        <v>7164</v>
      </c>
      <c r="F20081" s="2"/>
      <c r="G20081" s="2"/>
      <c r="H20081" s="2"/>
    </row>
    <row r="20082" spans="1:8" x14ac:dyDescent="0.25">
      <c r="A20082" s="1"/>
      <c r="B20082" s="1" t="s">
        <v>6862</v>
      </c>
      <c r="C20082" s="1" t="s">
        <v>6863</v>
      </c>
      <c r="D20082" s="22" t="str">
        <f>HYPERLINK("https://rhld.insurance.arkansas.gov/NPILookup?Npi=1740429620","1740429620")</f>
        <v>1740429620</v>
      </c>
      <c r="E20082" s="1" t="s">
        <v>24783</v>
      </c>
      <c r="F20082" s="2"/>
      <c r="G20082" s="2"/>
      <c r="H20082" s="2"/>
    </row>
    <row r="20083" spans="1:8" x14ac:dyDescent="0.25">
      <c r="A20083" s="1"/>
      <c r="B20083" s="1" t="s">
        <v>6862</v>
      </c>
      <c r="C20083" s="1" t="s">
        <v>6863</v>
      </c>
      <c r="D20083" s="22" t="str">
        <f>HYPERLINK("https://rhld.insurance.arkansas.gov/NPILookup?Npi=1740481274","1740481274")</f>
        <v>1740481274</v>
      </c>
      <c r="E20083" s="1" t="s">
        <v>7165</v>
      </c>
      <c r="F20083" s="2"/>
      <c r="G20083" s="2"/>
      <c r="H20083" s="2"/>
    </row>
    <row r="20084" spans="1:8" x14ac:dyDescent="0.25">
      <c r="A20084" s="1"/>
      <c r="B20084" s="1" t="s">
        <v>6862</v>
      </c>
      <c r="C20084" s="1" t="s">
        <v>6863</v>
      </c>
      <c r="D20084" s="22" t="str">
        <f>HYPERLINK("https://rhld.insurance.arkansas.gov/NPILookup?Npi=1740514058","1740514058")</f>
        <v>1740514058</v>
      </c>
      <c r="E20084" s="1" t="s">
        <v>24784</v>
      </c>
      <c r="F20084" s="2"/>
      <c r="G20084" s="2"/>
      <c r="H20084" s="2"/>
    </row>
    <row r="20085" spans="1:8" x14ac:dyDescent="0.25">
      <c r="A20085" s="1"/>
      <c r="B20085" s="1" t="s">
        <v>6862</v>
      </c>
      <c r="C20085" s="1" t="s">
        <v>6863</v>
      </c>
      <c r="D20085" s="22" t="str">
        <f>HYPERLINK("https://rhld.insurance.arkansas.gov/NPILookup?Npi=1740540731","1740540731")</f>
        <v>1740540731</v>
      </c>
      <c r="E20085" s="1" t="s">
        <v>12487</v>
      </c>
      <c r="F20085" s="2"/>
      <c r="G20085" s="2"/>
      <c r="H20085" s="2"/>
    </row>
    <row r="20086" spans="1:8" x14ac:dyDescent="0.25">
      <c r="A20086" s="1"/>
      <c r="B20086" s="1" t="s">
        <v>6862</v>
      </c>
      <c r="C20086" s="1" t="s">
        <v>6863</v>
      </c>
      <c r="D20086" s="22" t="str">
        <f>HYPERLINK("https://rhld.insurance.arkansas.gov/NPILookup?Npi=1740561596","1740561596")</f>
        <v>1740561596</v>
      </c>
      <c r="E20086" s="1" t="s">
        <v>24785</v>
      </c>
      <c r="F20086" s="2"/>
      <c r="G20086" s="2"/>
      <c r="H20086" s="2"/>
    </row>
    <row r="20087" spans="1:8" x14ac:dyDescent="0.25">
      <c r="A20087" s="1"/>
      <c r="B20087" s="1" t="s">
        <v>6862</v>
      </c>
      <c r="C20087" s="1" t="s">
        <v>6863</v>
      </c>
      <c r="D20087" s="22" t="str">
        <f>HYPERLINK("https://rhld.insurance.arkansas.gov/NPILookup?Npi=1740647379","1740647379")</f>
        <v>1740647379</v>
      </c>
      <c r="E20087" s="1" t="s">
        <v>32054</v>
      </c>
      <c r="F20087" s="2"/>
      <c r="G20087" s="2"/>
      <c r="H20087" s="2"/>
    </row>
    <row r="20088" spans="1:8" x14ac:dyDescent="0.25">
      <c r="A20088" s="1"/>
      <c r="B20088" s="1" t="s">
        <v>6862</v>
      </c>
      <c r="C20088" s="1" t="s">
        <v>6863</v>
      </c>
      <c r="D20088" s="22" t="str">
        <f>HYPERLINK("https://rhld.insurance.arkansas.gov/NPILookup?Npi=1740693647","1740693647")</f>
        <v>1740693647</v>
      </c>
      <c r="E20088" s="1" t="s">
        <v>24786</v>
      </c>
      <c r="F20088" s="2"/>
      <c r="G20088" s="2"/>
      <c r="H20088" s="2"/>
    </row>
    <row r="20089" spans="1:8" x14ac:dyDescent="0.25">
      <c r="A20089" s="1"/>
      <c r="B20089" s="1" t="s">
        <v>6862</v>
      </c>
      <c r="C20089" s="1" t="s">
        <v>6863</v>
      </c>
      <c r="D20089" s="22" t="str">
        <f>HYPERLINK("https://rhld.insurance.arkansas.gov/NPILookup?Npi=1740763499","1740763499")</f>
        <v>1740763499</v>
      </c>
      <c r="E20089" s="1" t="s">
        <v>12488</v>
      </c>
      <c r="F20089" s="2"/>
      <c r="G20089" s="2"/>
      <c r="H20089" s="2"/>
    </row>
    <row r="20090" spans="1:8" x14ac:dyDescent="0.25">
      <c r="A20090" s="1"/>
      <c r="B20090" s="1" t="s">
        <v>6862</v>
      </c>
      <c r="C20090" s="1" t="s">
        <v>6863</v>
      </c>
      <c r="D20090" s="22" t="str">
        <f>HYPERLINK("https://rhld.insurance.arkansas.gov/NPILookup?Npi=1740909985","1740909985")</f>
        <v>1740909985</v>
      </c>
      <c r="E20090" s="1" t="s">
        <v>24787</v>
      </c>
      <c r="F20090" s="2"/>
      <c r="G20090" s="2"/>
      <c r="H20090" s="2"/>
    </row>
    <row r="20091" spans="1:8" x14ac:dyDescent="0.25">
      <c r="A20091" s="1"/>
      <c r="B20091" s="1" t="s">
        <v>6862</v>
      </c>
      <c r="C20091" s="1" t="s">
        <v>6863</v>
      </c>
      <c r="D20091" s="22" t="str">
        <f>HYPERLINK("https://rhld.insurance.arkansas.gov/NPILookup?Npi=1740918648","1740918648")</f>
        <v>1740918648</v>
      </c>
      <c r="E20091" s="1" t="s">
        <v>24788</v>
      </c>
      <c r="F20091" s="2"/>
      <c r="G20091" s="2"/>
      <c r="H20091" s="2"/>
    </row>
    <row r="20092" spans="1:8" x14ac:dyDescent="0.25">
      <c r="A20092" s="1"/>
      <c r="B20092" s="1" t="s">
        <v>6862</v>
      </c>
      <c r="C20092" s="1" t="s">
        <v>6863</v>
      </c>
      <c r="D20092" s="22" t="str">
        <f>HYPERLINK("https://rhld.insurance.arkansas.gov/NPILookup?Npi=1750001145","1750001145")</f>
        <v>1750001145</v>
      </c>
      <c r="E20092" s="1" t="s">
        <v>24789</v>
      </c>
      <c r="F20092" s="2"/>
      <c r="G20092" s="2"/>
      <c r="H20092" s="2"/>
    </row>
    <row r="20093" spans="1:8" x14ac:dyDescent="0.25">
      <c r="A20093" s="1"/>
      <c r="B20093" s="1" t="s">
        <v>6862</v>
      </c>
      <c r="C20093" s="1" t="s">
        <v>6863</v>
      </c>
      <c r="D20093" s="22" t="str">
        <f>HYPERLINK("https://rhld.insurance.arkansas.gov/NPILookup?Npi=1750041356","1750041356")</f>
        <v>1750041356</v>
      </c>
      <c r="E20093" s="1" t="s">
        <v>12489</v>
      </c>
      <c r="F20093" s="2"/>
      <c r="G20093" s="2"/>
      <c r="H20093" s="2"/>
    </row>
    <row r="20094" spans="1:8" x14ac:dyDescent="0.25">
      <c r="A20094" s="1"/>
      <c r="B20094" s="1" t="s">
        <v>6862</v>
      </c>
      <c r="C20094" s="1" t="s">
        <v>6863</v>
      </c>
      <c r="D20094" s="22" t="str">
        <f>HYPERLINK("https://rhld.insurance.arkansas.gov/NPILookup?Npi=1750362729","1750362729")</f>
        <v>1750362729</v>
      </c>
      <c r="E20094" s="1" t="s">
        <v>24790</v>
      </c>
      <c r="F20094" s="2"/>
      <c r="G20094" s="2"/>
      <c r="H20094" s="2"/>
    </row>
    <row r="20095" spans="1:8" x14ac:dyDescent="0.25">
      <c r="A20095" s="1"/>
      <c r="B20095" s="1" t="s">
        <v>6862</v>
      </c>
      <c r="C20095" s="1" t="s">
        <v>6863</v>
      </c>
      <c r="D20095" s="22" t="str">
        <f>HYPERLINK("https://rhld.insurance.arkansas.gov/NPILookup?Npi=1750402442","1750402442")</f>
        <v>1750402442</v>
      </c>
      <c r="E20095" s="1" t="s">
        <v>12490</v>
      </c>
      <c r="F20095" s="2"/>
      <c r="G20095" s="2"/>
      <c r="H20095" s="2"/>
    </row>
    <row r="20096" spans="1:8" x14ac:dyDescent="0.25">
      <c r="A20096" s="1"/>
      <c r="B20096" s="1" t="s">
        <v>6862</v>
      </c>
      <c r="C20096" s="1" t="s">
        <v>6863</v>
      </c>
      <c r="D20096" s="22" t="str">
        <f>HYPERLINK("https://rhld.insurance.arkansas.gov/NPILookup?Npi=1750488185","1750488185")</f>
        <v>1750488185</v>
      </c>
      <c r="E20096" s="1" t="s">
        <v>7166</v>
      </c>
      <c r="F20096" s="2"/>
      <c r="G20096" s="2"/>
      <c r="H20096" s="2"/>
    </row>
    <row r="20097" spans="1:8" x14ac:dyDescent="0.25">
      <c r="A20097" s="1"/>
      <c r="B20097" s="1" t="s">
        <v>6862</v>
      </c>
      <c r="C20097" s="1" t="s">
        <v>6863</v>
      </c>
      <c r="D20097" s="22" t="str">
        <f>HYPERLINK("https://rhld.insurance.arkansas.gov/NPILookup?Npi=1750500336","1750500336")</f>
        <v>1750500336</v>
      </c>
      <c r="E20097" s="1" t="s">
        <v>24791</v>
      </c>
      <c r="F20097" s="2"/>
      <c r="G20097" s="2"/>
      <c r="H20097" s="2"/>
    </row>
    <row r="20098" spans="1:8" x14ac:dyDescent="0.25">
      <c r="A20098" s="1"/>
      <c r="B20098" s="1" t="s">
        <v>6862</v>
      </c>
      <c r="C20098" s="1" t="s">
        <v>6863</v>
      </c>
      <c r="D20098" s="22" t="str">
        <f>HYPERLINK("https://rhld.insurance.arkansas.gov/NPILookup?Npi=1750521506","1750521506")</f>
        <v>1750521506</v>
      </c>
      <c r="E20098" s="1" t="s">
        <v>12491</v>
      </c>
      <c r="F20098" s="2"/>
      <c r="G20098" s="2"/>
      <c r="H20098" s="2"/>
    </row>
    <row r="20099" spans="1:8" x14ac:dyDescent="0.25">
      <c r="A20099" s="1"/>
      <c r="B20099" s="1" t="s">
        <v>6862</v>
      </c>
      <c r="C20099" s="1" t="s">
        <v>6863</v>
      </c>
      <c r="D20099" s="22" t="str">
        <f>HYPERLINK("https://rhld.insurance.arkansas.gov/NPILookup?Npi=1750522009","1750522009")</f>
        <v>1750522009</v>
      </c>
      <c r="E20099" s="1" t="s">
        <v>24792</v>
      </c>
      <c r="F20099" s="2"/>
      <c r="G20099" s="2"/>
      <c r="H20099" s="2"/>
    </row>
    <row r="20100" spans="1:8" x14ac:dyDescent="0.25">
      <c r="A20100" s="1"/>
      <c r="B20100" s="1" t="s">
        <v>6862</v>
      </c>
      <c r="C20100" s="1" t="s">
        <v>6863</v>
      </c>
      <c r="D20100" s="22" t="str">
        <f>HYPERLINK("https://rhld.insurance.arkansas.gov/NPILookup?Npi=1750582821","1750582821")</f>
        <v>1750582821</v>
      </c>
      <c r="E20100" s="1" t="s">
        <v>7167</v>
      </c>
      <c r="F20100" s="2"/>
      <c r="G20100" s="2"/>
      <c r="H20100" s="2"/>
    </row>
    <row r="20101" spans="1:8" x14ac:dyDescent="0.25">
      <c r="A20101" s="1"/>
      <c r="B20101" s="1" t="s">
        <v>6862</v>
      </c>
      <c r="C20101" s="1" t="s">
        <v>6863</v>
      </c>
      <c r="D20101" s="22" t="str">
        <f>HYPERLINK("https://rhld.insurance.arkansas.gov/NPILookup?Npi=1750661617","1750661617")</f>
        <v>1750661617</v>
      </c>
      <c r="E20101" s="1" t="s">
        <v>24793</v>
      </c>
      <c r="F20101" s="2"/>
      <c r="G20101" s="2"/>
      <c r="H20101" s="2"/>
    </row>
    <row r="20102" spans="1:8" x14ac:dyDescent="0.25">
      <c r="A20102" s="1"/>
      <c r="B20102" s="1" t="s">
        <v>6862</v>
      </c>
      <c r="C20102" s="1" t="s">
        <v>6863</v>
      </c>
      <c r="D20102" s="22" t="str">
        <f>HYPERLINK("https://rhld.insurance.arkansas.gov/NPILookup?Npi=1750710687","1750710687")</f>
        <v>1750710687</v>
      </c>
      <c r="E20102" s="1" t="s">
        <v>7168</v>
      </c>
      <c r="F20102" s="2"/>
      <c r="G20102" s="2"/>
      <c r="H20102" s="2"/>
    </row>
    <row r="20103" spans="1:8" x14ac:dyDescent="0.25">
      <c r="A20103" s="1"/>
      <c r="B20103" s="1" t="s">
        <v>6862</v>
      </c>
      <c r="C20103" s="1" t="s">
        <v>6863</v>
      </c>
      <c r="D20103" s="22" t="str">
        <f>HYPERLINK("https://rhld.insurance.arkansas.gov/NPILookup?Npi=1750713277","1750713277")</f>
        <v>1750713277</v>
      </c>
      <c r="E20103" s="1" t="s">
        <v>162</v>
      </c>
      <c r="F20103" s="2"/>
      <c r="G20103" s="2"/>
      <c r="H20103" s="2"/>
    </row>
    <row r="20104" spans="1:8" x14ac:dyDescent="0.25">
      <c r="A20104" s="1"/>
      <c r="B20104" s="1" t="s">
        <v>6862</v>
      </c>
      <c r="C20104" s="1" t="s">
        <v>6863</v>
      </c>
      <c r="D20104" s="22" t="str">
        <f>HYPERLINK("https://rhld.insurance.arkansas.gov/NPILookup?Npi=1750758850","1750758850")</f>
        <v>1750758850</v>
      </c>
      <c r="E20104" s="1" t="s">
        <v>24794</v>
      </c>
      <c r="F20104" s="2"/>
      <c r="G20104" s="2"/>
      <c r="H20104" s="2"/>
    </row>
    <row r="20105" spans="1:8" x14ac:dyDescent="0.25">
      <c r="A20105" s="1"/>
      <c r="B20105" s="1" t="s">
        <v>6862</v>
      </c>
      <c r="C20105" s="1" t="s">
        <v>6863</v>
      </c>
      <c r="D20105" s="22" t="str">
        <f>HYPERLINK("https://rhld.insurance.arkansas.gov/NPILookup?Npi=1750782959","1750782959")</f>
        <v>1750782959</v>
      </c>
      <c r="E20105" s="1" t="s">
        <v>24795</v>
      </c>
      <c r="F20105" s="2"/>
      <c r="G20105" s="2"/>
      <c r="H20105" s="2"/>
    </row>
    <row r="20106" spans="1:8" x14ac:dyDescent="0.25">
      <c r="A20106" s="1"/>
      <c r="B20106" s="1" t="s">
        <v>6862</v>
      </c>
      <c r="C20106" s="1" t="s">
        <v>6863</v>
      </c>
      <c r="D20106" s="22" t="str">
        <f>HYPERLINK("https://rhld.insurance.arkansas.gov/NPILookup?Npi=1750835765","1750835765")</f>
        <v>1750835765</v>
      </c>
      <c r="E20106" s="1" t="s">
        <v>12492</v>
      </c>
      <c r="F20106" s="2"/>
      <c r="G20106" s="2"/>
      <c r="H20106" s="2"/>
    </row>
    <row r="20107" spans="1:8" x14ac:dyDescent="0.25">
      <c r="A20107" s="1"/>
      <c r="B20107" s="1" t="s">
        <v>6862</v>
      </c>
      <c r="C20107" s="1" t="s">
        <v>6863</v>
      </c>
      <c r="D20107" s="22" t="str">
        <f>HYPERLINK("https://rhld.insurance.arkansas.gov/NPILookup?Npi=1750863916","1750863916")</f>
        <v>1750863916</v>
      </c>
      <c r="E20107" s="1" t="s">
        <v>7169</v>
      </c>
      <c r="F20107" s="2"/>
      <c r="G20107" s="2"/>
      <c r="H20107" s="2"/>
    </row>
    <row r="20108" spans="1:8" x14ac:dyDescent="0.25">
      <c r="A20108" s="1"/>
      <c r="B20108" s="1" t="s">
        <v>6862</v>
      </c>
      <c r="C20108" s="1" t="s">
        <v>6863</v>
      </c>
      <c r="D20108" s="22" t="str">
        <f>HYPERLINK("https://rhld.insurance.arkansas.gov/NPILookup?Npi=1750865044","1750865044")</f>
        <v>1750865044</v>
      </c>
      <c r="E20108" s="1" t="s">
        <v>32055</v>
      </c>
      <c r="F20108" s="2"/>
      <c r="G20108" s="2"/>
      <c r="H20108" s="2"/>
    </row>
    <row r="20109" spans="1:8" x14ac:dyDescent="0.25">
      <c r="A20109" s="1"/>
      <c r="B20109" s="1" t="s">
        <v>6862</v>
      </c>
      <c r="C20109" s="1" t="s">
        <v>6863</v>
      </c>
      <c r="D20109" s="22" t="str">
        <f>HYPERLINK("https://rhld.insurance.arkansas.gov/NPILookup?Npi=1760032585","1760032585")</f>
        <v>1760032585</v>
      </c>
      <c r="E20109" s="1" t="s">
        <v>7170</v>
      </c>
      <c r="F20109" s="2"/>
      <c r="G20109" s="2"/>
      <c r="H20109" s="2"/>
    </row>
    <row r="20110" spans="1:8" x14ac:dyDescent="0.25">
      <c r="A20110" s="1"/>
      <c r="B20110" s="1" t="s">
        <v>6862</v>
      </c>
      <c r="C20110" s="1" t="s">
        <v>6863</v>
      </c>
      <c r="D20110" s="22" t="str">
        <f>HYPERLINK("https://rhld.insurance.arkansas.gov/NPILookup?Npi=1760040984","1760040984")</f>
        <v>1760040984</v>
      </c>
      <c r="E20110" s="1" t="s">
        <v>24796</v>
      </c>
      <c r="F20110" s="2"/>
      <c r="G20110" s="2"/>
      <c r="H20110" s="2"/>
    </row>
    <row r="20111" spans="1:8" x14ac:dyDescent="0.25">
      <c r="A20111" s="1"/>
      <c r="B20111" s="1" t="s">
        <v>6862</v>
      </c>
      <c r="C20111" s="1" t="s">
        <v>6863</v>
      </c>
      <c r="D20111" s="22" t="str">
        <f>HYPERLINK("https://rhld.insurance.arkansas.gov/NPILookup?Npi=1760090377","1760090377")</f>
        <v>1760090377</v>
      </c>
      <c r="E20111" s="1" t="s">
        <v>24797</v>
      </c>
      <c r="F20111" s="2"/>
      <c r="G20111" s="2"/>
      <c r="H20111" s="2"/>
    </row>
    <row r="20112" spans="1:8" x14ac:dyDescent="0.25">
      <c r="A20112" s="1"/>
      <c r="B20112" s="1" t="s">
        <v>6862</v>
      </c>
      <c r="C20112" s="1" t="s">
        <v>6863</v>
      </c>
      <c r="D20112" s="22" t="str">
        <f>HYPERLINK("https://rhld.insurance.arkansas.gov/NPILookup?Npi=1760175822","1760175822")</f>
        <v>1760175822</v>
      </c>
      <c r="E20112" s="1" t="s">
        <v>7032</v>
      </c>
      <c r="F20112" s="2"/>
      <c r="G20112" s="2"/>
      <c r="H20112" s="2"/>
    </row>
    <row r="20113" spans="1:8" x14ac:dyDescent="0.25">
      <c r="A20113" s="1"/>
      <c r="B20113" s="1" t="s">
        <v>6862</v>
      </c>
      <c r="C20113" s="1" t="s">
        <v>6863</v>
      </c>
      <c r="D20113" s="22" t="str">
        <f>HYPERLINK("https://rhld.insurance.arkansas.gov/NPILookup?Npi=1760176655","1760176655")</f>
        <v>1760176655</v>
      </c>
      <c r="E20113" s="1" t="s">
        <v>7171</v>
      </c>
      <c r="F20113" s="2"/>
      <c r="G20113" s="2"/>
      <c r="H20113" s="2"/>
    </row>
    <row r="20114" spans="1:8" x14ac:dyDescent="0.25">
      <c r="A20114" s="1"/>
      <c r="B20114" s="1" t="s">
        <v>6862</v>
      </c>
      <c r="C20114" s="1" t="s">
        <v>6863</v>
      </c>
      <c r="D20114" s="22" t="str">
        <f>HYPERLINK("https://rhld.insurance.arkansas.gov/NPILookup?Npi=1760244636","1760244636")</f>
        <v>1760244636</v>
      </c>
      <c r="E20114" s="1" t="s">
        <v>12493</v>
      </c>
      <c r="F20114" s="2"/>
      <c r="G20114" s="2"/>
      <c r="H20114" s="2"/>
    </row>
    <row r="20115" spans="1:8" x14ac:dyDescent="0.25">
      <c r="A20115" s="1"/>
      <c r="B20115" s="1" t="s">
        <v>6862</v>
      </c>
      <c r="C20115" s="1" t="s">
        <v>6863</v>
      </c>
      <c r="D20115" s="22" t="str">
        <f>HYPERLINK("https://rhld.insurance.arkansas.gov/NPILookup?Npi=1760413843","1760413843")</f>
        <v>1760413843</v>
      </c>
      <c r="E20115" s="1" t="s">
        <v>24798</v>
      </c>
      <c r="F20115" s="2"/>
      <c r="G20115" s="2"/>
      <c r="H20115" s="2"/>
    </row>
    <row r="20116" spans="1:8" x14ac:dyDescent="0.25">
      <c r="A20116" s="1"/>
      <c r="B20116" s="1" t="s">
        <v>6862</v>
      </c>
      <c r="C20116" s="1" t="s">
        <v>6863</v>
      </c>
      <c r="D20116" s="22" t="str">
        <f>HYPERLINK("https://rhld.insurance.arkansas.gov/NPILookup?Npi=1760475743","1760475743")</f>
        <v>1760475743</v>
      </c>
      <c r="E20116" s="1" t="s">
        <v>12494</v>
      </c>
      <c r="F20116" s="2"/>
      <c r="G20116" s="2"/>
      <c r="H20116" s="2"/>
    </row>
    <row r="20117" spans="1:8" x14ac:dyDescent="0.25">
      <c r="A20117" s="1"/>
      <c r="B20117" s="1" t="s">
        <v>6862</v>
      </c>
      <c r="C20117" s="1" t="s">
        <v>6863</v>
      </c>
      <c r="D20117" s="22" t="str">
        <f>HYPERLINK("https://rhld.insurance.arkansas.gov/NPILookup?Npi=1760559074","1760559074")</f>
        <v>1760559074</v>
      </c>
      <c r="E20117" s="1" t="s">
        <v>24799</v>
      </c>
      <c r="F20117" s="2"/>
      <c r="G20117" s="2"/>
      <c r="H20117" s="2"/>
    </row>
    <row r="20118" spans="1:8" x14ac:dyDescent="0.25">
      <c r="A20118" s="1"/>
      <c r="B20118" s="1" t="s">
        <v>6862</v>
      </c>
      <c r="C20118" s="1" t="s">
        <v>6863</v>
      </c>
      <c r="D20118" s="22" t="str">
        <f>HYPERLINK("https://rhld.insurance.arkansas.gov/NPILookup?Npi=1760698047","1760698047")</f>
        <v>1760698047</v>
      </c>
      <c r="E20118" s="1" t="s">
        <v>24800</v>
      </c>
      <c r="F20118" s="2"/>
      <c r="G20118" s="2"/>
      <c r="H20118" s="2"/>
    </row>
    <row r="20119" spans="1:8" x14ac:dyDescent="0.25">
      <c r="A20119" s="1"/>
      <c r="B20119" s="1" t="s">
        <v>6862</v>
      </c>
      <c r="C20119" s="1" t="s">
        <v>6863</v>
      </c>
      <c r="D20119" s="22" t="str">
        <f>HYPERLINK("https://rhld.insurance.arkansas.gov/NPILookup?Npi=1760705511","1760705511")</f>
        <v>1760705511</v>
      </c>
      <c r="E20119" s="1" t="s">
        <v>24801</v>
      </c>
      <c r="F20119" s="2"/>
      <c r="G20119" s="2"/>
      <c r="H20119" s="2"/>
    </row>
    <row r="20120" spans="1:8" x14ac:dyDescent="0.25">
      <c r="A20120" s="1"/>
      <c r="B20120" s="1" t="s">
        <v>6862</v>
      </c>
      <c r="C20120" s="1" t="s">
        <v>6863</v>
      </c>
      <c r="D20120" s="22" t="str">
        <f>HYPERLINK("https://rhld.insurance.arkansas.gov/NPILookup?Npi=1760738942","1760738942")</f>
        <v>1760738942</v>
      </c>
      <c r="E20120" s="1" t="s">
        <v>24802</v>
      </c>
      <c r="F20120" s="2"/>
      <c r="G20120" s="2"/>
      <c r="H20120" s="2"/>
    </row>
    <row r="20121" spans="1:8" x14ac:dyDescent="0.25">
      <c r="A20121" s="1"/>
      <c r="B20121" s="1" t="s">
        <v>6862</v>
      </c>
      <c r="C20121" s="1" t="s">
        <v>6863</v>
      </c>
      <c r="D20121" s="22" t="str">
        <f>HYPERLINK("https://rhld.insurance.arkansas.gov/NPILookup?Npi=1760777916","1760777916")</f>
        <v>1760777916</v>
      </c>
      <c r="E20121" s="1" t="s">
        <v>24803</v>
      </c>
      <c r="F20121" s="2"/>
      <c r="G20121" s="2"/>
      <c r="H20121" s="2"/>
    </row>
    <row r="20122" spans="1:8" x14ac:dyDescent="0.25">
      <c r="A20122" s="1"/>
      <c r="B20122" s="1" t="s">
        <v>6862</v>
      </c>
      <c r="C20122" s="1" t="s">
        <v>6863</v>
      </c>
      <c r="D20122" s="22" t="str">
        <f>HYPERLINK("https://rhld.insurance.arkansas.gov/NPILookup?Npi=1760819023","1760819023")</f>
        <v>1760819023</v>
      </c>
      <c r="E20122" s="1" t="s">
        <v>24804</v>
      </c>
      <c r="F20122" s="2"/>
      <c r="G20122" s="2"/>
      <c r="H20122" s="2"/>
    </row>
    <row r="20123" spans="1:8" x14ac:dyDescent="0.25">
      <c r="A20123" s="1"/>
      <c r="B20123" s="1" t="s">
        <v>6862</v>
      </c>
      <c r="C20123" s="1" t="s">
        <v>6863</v>
      </c>
      <c r="D20123" s="22" t="str">
        <f>HYPERLINK("https://rhld.insurance.arkansas.gov/NPILookup?Npi=1760893341","1760893341")</f>
        <v>1760893341</v>
      </c>
      <c r="E20123" s="1" t="s">
        <v>12495</v>
      </c>
      <c r="F20123" s="2"/>
      <c r="G20123" s="2"/>
      <c r="H20123" s="2"/>
    </row>
    <row r="20124" spans="1:8" x14ac:dyDescent="0.25">
      <c r="A20124" s="1"/>
      <c r="B20124" s="1" t="s">
        <v>6862</v>
      </c>
      <c r="C20124" s="1" t="s">
        <v>6863</v>
      </c>
      <c r="D20124" s="22" t="str">
        <f>HYPERLINK("https://rhld.insurance.arkansas.gov/NPILookup?Npi=1760908834","1760908834")</f>
        <v>1760908834</v>
      </c>
      <c r="E20124" s="1" t="s">
        <v>7173</v>
      </c>
      <c r="F20124" s="2"/>
      <c r="G20124" s="2"/>
      <c r="H20124" s="2"/>
    </row>
    <row r="20125" spans="1:8" x14ac:dyDescent="0.25">
      <c r="A20125" s="1"/>
      <c r="B20125" s="1" t="s">
        <v>6862</v>
      </c>
      <c r="C20125" s="1" t="s">
        <v>6863</v>
      </c>
      <c r="D20125" s="22" t="str">
        <f>HYPERLINK("https://rhld.insurance.arkansas.gov/NPILookup?Npi=1760909774","1760909774")</f>
        <v>1760909774</v>
      </c>
      <c r="E20125" s="1" t="s">
        <v>7174</v>
      </c>
      <c r="F20125" s="2"/>
      <c r="G20125" s="2"/>
      <c r="H20125" s="2"/>
    </row>
    <row r="20126" spans="1:8" x14ac:dyDescent="0.25">
      <c r="A20126" s="1"/>
      <c r="B20126" s="1" t="s">
        <v>6862</v>
      </c>
      <c r="C20126" s="1" t="s">
        <v>6863</v>
      </c>
      <c r="D20126" s="22" t="str">
        <f>HYPERLINK("https://rhld.insurance.arkansas.gov/NPILookup?Npi=1760972251","1760972251")</f>
        <v>1760972251</v>
      </c>
      <c r="E20126" s="1" t="s">
        <v>24805</v>
      </c>
      <c r="F20126" s="2"/>
      <c r="G20126" s="2"/>
      <c r="H20126" s="2"/>
    </row>
    <row r="20127" spans="1:8" x14ac:dyDescent="0.25">
      <c r="A20127" s="1"/>
      <c r="B20127" s="1" t="s">
        <v>6862</v>
      </c>
      <c r="C20127" s="1" t="s">
        <v>6863</v>
      </c>
      <c r="D20127" s="22" t="str">
        <f>HYPERLINK("https://rhld.insurance.arkansas.gov/NPILookup?Npi=1770046039","1770046039")</f>
        <v>1770046039</v>
      </c>
      <c r="E20127" s="1" t="s">
        <v>24806</v>
      </c>
      <c r="F20127" s="2"/>
      <c r="G20127" s="2"/>
      <c r="H20127" s="2"/>
    </row>
    <row r="20128" spans="1:8" x14ac:dyDescent="0.25">
      <c r="A20128" s="1"/>
      <c r="B20128" s="1" t="s">
        <v>6862</v>
      </c>
      <c r="C20128" s="1" t="s">
        <v>6863</v>
      </c>
      <c r="D20128" s="22" t="str">
        <f>HYPERLINK("https://rhld.insurance.arkansas.gov/NPILookup?Npi=1770077117","1770077117")</f>
        <v>1770077117</v>
      </c>
      <c r="E20128" s="1" t="s">
        <v>24807</v>
      </c>
      <c r="F20128" s="2"/>
      <c r="G20128" s="2"/>
      <c r="H20128" s="2"/>
    </row>
    <row r="20129" spans="1:8" x14ac:dyDescent="0.25">
      <c r="A20129" s="1"/>
      <c r="B20129" s="1" t="s">
        <v>6862</v>
      </c>
      <c r="C20129" s="1" t="s">
        <v>6863</v>
      </c>
      <c r="D20129" s="22" t="str">
        <f>HYPERLINK("https://rhld.insurance.arkansas.gov/NPILookup?Npi=1770118523","1770118523")</f>
        <v>1770118523</v>
      </c>
      <c r="E20129" s="1" t="s">
        <v>24808</v>
      </c>
      <c r="F20129" s="2"/>
      <c r="G20129" s="2"/>
      <c r="H20129" s="2"/>
    </row>
    <row r="20130" spans="1:8" x14ac:dyDescent="0.25">
      <c r="A20130" s="1"/>
      <c r="B20130" s="1" t="s">
        <v>6862</v>
      </c>
      <c r="C20130" s="1" t="s">
        <v>6863</v>
      </c>
      <c r="D20130" s="22" t="str">
        <f>HYPERLINK("https://rhld.insurance.arkansas.gov/NPILookup?Npi=1770197311","1770197311")</f>
        <v>1770197311</v>
      </c>
      <c r="E20130" s="1" t="s">
        <v>12496</v>
      </c>
      <c r="F20130" s="2"/>
      <c r="G20130" s="2"/>
      <c r="H20130" s="2"/>
    </row>
    <row r="20131" spans="1:8" x14ac:dyDescent="0.25">
      <c r="A20131" s="1"/>
      <c r="B20131" s="1" t="s">
        <v>6862</v>
      </c>
      <c r="C20131" s="1" t="s">
        <v>6863</v>
      </c>
      <c r="D20131" s="22" t="str">
        <f>HYPERLINK("https://rhld.insurance.arkansas.gov/NPILookup?Npi=1770217705","1770217705")</f>
        <v>1770217705</v>
      </c>
      <c r="E20131" s="1" t="s">
        <v>24809</v>
      </c>
      <c r="F20131" s="2"/>
      <c r="G20131" s="2"/>
      <c r="H20131" s="2"/>
    </row>
    <row r="20132" spans="1:8" x14ac:dyDescent="0.25">
      <c r="A20132" s="1"/>
      <c r="B20132" s="1" t="s">
        <v>6862</v>
      </c>
      <c r="C20132" s="1" t="s">
        <v>6863</v>
      </c>
      <c r="D20132" s="22" t="str">
        <f>HYPERLINK("https://rhld.insurance.arkansas.gov/NPILookup?Npi=1770218083","1770218083")</f>
        <v>1770218083</v>
      </c>
      <c r="E20132" s="1" t="s">
        <v>24810</v>
      </c>
      <c r="F20132" s="2"/>
      <c r="G20132" s="2"/>
      <c r="H20132" s="2"/>
    </row>
    <row r="20133" spans="1:8" x14ac:dyDescent="0.25">
      <c r="A20133" s="1"/>
      <c r="B20133" s="1" t="s">
        <v>6862</v>
      </c>
      <c r="C20133" s="1" t="s">
        <v>6863</v>
      </c>
      <c r="D20133" s="22" t="str">
        <f>HYPERLINK("https://rhld.insurance.arkansas.gov/NPILookup?Npi=1770231045","1770231045")</f>
        <v>1770231045</v>
      </c>
      <c r="E20133" s="1" t="s">
        <v>24811</v>
      </c>
      <c r="F20133" s="2"/>
      <c r="G20133" s="2"/>
      <c r="H20133" s="2"/>
    </row>
    <row r="20134" spans="1:8" x14ac:dyDescent="0.25">
      <c r="A20134" s="1"/>
      <c r="B20134" s="1" t="s">
        <v>6862</v>
      </c>
      <c r="C20134" s="1" t="s">
        <v>6863</v>
      </c>
      <c r="D20134" s="22" t="str">
        <f>HYPERLINK("https://rhld.insurance.arkansas.gov/NPILookup?Npi=1770242448","1770242448")</f>
        <v>1770242448</v>
      </c>
      <c r="E20134" s="1" t="s">
        <v>7175</v>
      </c>
      <c r="F20134" s="2"/>
      <c r="G20134" s="2"/>
      <c r="H20134" s="2"/>
    </row>
    <row r="20135" spans="1:8" x14ac:dyDescent="0.25">
      <c r="A20135" s="1"/>
      <c r="B20135" s="1" t="s">
        <v>6862</v>
      </c>
      <c r="C20135" s="1" t="s">
        <v>6863</v>
      </c>
      <c r="D20135" s="22" t="str">
        <f>HYPERLINK("https://rhld.insurance.arkansas.gov/NPILookup?Npi=1770266785","1770266785")</f>
        <v>1770266785</v>
      </c>
      <c r="E20135" s="1" t="s">
        <v>12497</v>
      </c>
      <c r="F20135" s="2"/>
      <c r="G20135" s="2"/>
      <c r="H20135" s="2"/>
    </row>
    <row r="20136" spans="1:8" x14ac:dyDescent="0.25">
      <c r="A20136" s="1"/>
      <c r="B20136" s="1" t="s">
        <v>6862</v>
      </c>
      <c r="C20136" s="1" t="s">
        <v>6863</v>
      </c>
      <c r="D20136" s="22" t="str">
        <f>HYPERLINK("https://rhld.insurance.arkansas.gov/NPILookup?Npi=1770275125","1770275125")</f>
        <v>1770275125</v>
      </c>
      <c r="E20136" s="1" t="s">
        <v>7176</v>
      </c>
      <c r="F20136" s="2"/>
      <c r="G20136" s="2"/>
      <c r="H20136" s="2"/>
    </row>
    <row r="20137" spans="1:8" x14ac:dyDescent="0.25">
      <c r="A20137" s="1"/>
      <c r="B20137" s="1" t="s">
        <v>6862</v>
      </c>
      <c r="C20137" s="1" t="s">
        <v>6863</v>
      </c>
      <c r="D20137" s="22" t="str">
        <f>HYPERLINK("https://rhld.insurance.arkansas.gov/NPILookup?Npi=1770316614","1770316614")</f>
        <v>1770316614</v>
      </c>
      <c r="E20137" s="1" t="s">
        <v>24812</v>
      </c>
      <c r="F20137" s="2"/>
      <c r="G20137" s="2"/>
      <c r="H20137" s="2"/>
    </row>
    <row r="20138" spans="1:8" x14ac:dyDescent="0.25">
      <c r="A20138" s="1"/>
      <c r="B20138" s="1" t="s">
        <v>6862</v>
      </c>
      <c r="C20138" s="1" t="s">
        <v>6863</v>
      </c>
      <c r="D20138" s="22" t="str">
        <f>HYPERLINK("https://rhld.insurance.arkansas.gov/NPILookup?Npi=1770514374","1770514374")</f>
        <v>1770514374</v>
      </c>
      <c r="E20138" s="1" t="s">
        <v>20938</v>
      </c>
      <c r="F20138" s="2"/>
      <c r="G20138" s="2"/>
      <c r="H20138" s="2"/>
    </row>
    <row r="20139" spans="1:8" x14ac:dyDescent="0.25">
      <c r="A20139" s="1"/>
      <c r="B20139" s="1" t="s">
        <v>6862</v>
      </c>
      <c r="C20139" s="1" t="s">
        <v>6863</v>
      </c>
      <c r="D20139" s="22" t="str">
        <f>HYPERLINK("https://rhld.insurance.arkansas.gov/NPILookup?Npi=1770548851","1770548851")</f>
        <v>1770548851</v>
      </c>
      <c r="E20139" s="1" t="s">
        <v>7177</v>
      </c>
      <c r="F20139" s="2"/>
      <c r="G20139" s="2"/>
      <c r="H20139" s="2"/>
    </row>
    <row r="20140" spans="1:8" x14ac:dyDescent="0.25">
      <c r="A20140" s="1"/>
      <c r="B20140" s="1" t="s">
        <v>6862</v>
      </c>
      <c r="C20140" s="1" t="s">
        <v>6863</v>
      </c>
      <c r="D20140" s="22" t="str">
        <f>HYPERLINK("https://rhld.insurance.arkansas.gov/NPILookup?Npi=1770627747","1770627747")</f>
        <v>1770627747</v>
      </c>
      <c r="E20140" s="1" t="s">
        <v>7178</v>
      </c>
      <c r="F20140" s="2"/>
      <c r="G20140" s="2"/>
      <c r="H20140" s="2"/>
    </row>
    <row r="20141" spans="1:8" x14ac:dyDescent="0.25">
      <c r="A20141" s="1"/>
      <c r="B20141" s="1" t="s">
        <v>6862</v>
      </c>
      <c r="C20141" s="1" t="s">
        <v>6863</v>
      </c>
      <c r="D20141" s="22" t="str">
        <f>HYPERLINK("https://rhld.insurance.arkansas.gov/NPILookup?Npi=1770682262","1770682262")</f>
        <v>1770682262</v>
      </c>
      <c r="E20141" s="1" t="s">
        <v>24813</v>
      </c>
      <c r="F20141" s="2"/>
      <c r="G20141" s="2"/>
      <c r="H20141" s="2"/>
    </row>
    <row r="20142" spans="1:8" x14ac:dyDescent="0.25">
      <c r="A20142" s="1"/>
      <c r="B20142" s="1" t="s">
        <v>6862</v>
      </c>
      <c r="C20142" s="1" t="s">
        <v>6863</v>
      </c>
      <c r="D20142" s="22" t="str">
        <f>HYPERLINK("https://rhld.insurance.arkansas.gov/NPILookup?Npi=1770708455","1770708455")</f>
        <v>1770708455</v>
      </c>
      <c r="E20142" s="1" t="s">
        <v>4731</v>
      </c>
      <c r="F20142" s="2"/>
      <c r="G20142" s="2"/>
      <c r="H20142" s="2"/>
    </row>
    <row r="20143" spans="1:8" x14ac:dyDescent="0.25">
      <c r="A20143" s="1"/>
      <c r="B20143" s="1" t="s">
        <v>6862</v>
      </c>
      <c r="C20143" s="1" t="s">
        <v>6863</v>
      </c>
      <c r="D20143" s="22" t="str">
        <f>HYPERLINK("https://rhld.insurance.arkansas.gov/NPILookup?Npi=1770715872","1770715872")</f>
        <v>1770715872</v>
      </c>
      <c r="E20143" s="1" t="s">
        <v>12498</v>
      </c>
      <c r="F20143" s="2"/>
      <c r="G20143" s="2"/>
      <c r="H20143" s="2"/>
    </row>
    <row r="20144" spans="1:8" x14ac:dyDescent="0.25">
      <c r="A20144" s="1"/>
      <c r="B20144" s="1" t="s">
        <v>6862</v>
      </c>
      <c r="C20144" s="1" t="s">
        <v>6863</v>
      </c>
      <c r="D20144" s="22" t="str">
        <f>HYPERLINK("https://rhld.insurance.arkansas.gov/NPILookup?Npi=1770732075","1770732075")</f>
        <v>1770732075</v>
      </c>
      <c r="E20144" s="1" t="s">
        <v>24814</v>
      </c>
      <c r="F20144" s="2"/>
      <c r="G20144" s="2"/>
      <c r="H20144" s="2"/>
    </row>
    <row r="20145" spans="1:8" x14ac:dyDescent="0.25">
      <c r="A20145" s="1"/>
      <c r="B20145" s="1" t="s">
        <v>6862</v>
      </c>
      <c r="C20145" s="1" t="s">
        <v>6863</v>
      </c>
      <c r="D20145" s="22" t="str">
        <f>HYPERLINK("https://rhld.insurance.arkansas.gov/NPILookup?Npi=1770883175","1770883175")</f>
        <v>1770883175</v>
      </c>
      <c r="E20145" s="1" t="s">
        <v>24815</v>
      </c>
      <c r="F20145" s="2"/>
      <c r="G20145" s="2"/>
      <c r="H20145" s="2"/>
    </row>
    <row r="20146" spans="1:8" x14ac:dyDescent="0.25">
      <c r="A20146" s="1"/>
      <c r="B20146" s="1" t="s">
        <v>6862</v>
      </c>
      <c r="C20146" s="1" t="s">
        <v>6863</v>
      </c>
      <c r="D20146" s="22" t="str">
        <f>HYPERLINK("https://rhld.insurance.arkansas.gov/NPILookup?Npi=1770906521","1770906521")</f>
        <v>1770906521</v>
      </c>
      <c r="E20146" s="1" t="s">
        <v>24816</v>
      </c>
      <c r="F20146" s="2"/>
      <c r="G20146" s="2"/>
      <c r="H20146" s="2"/>
    </row>
    <row r="20147" spans="1:8" x14ac:dyDescent="0.25">
      <c r="A20147" s="1"/>
      <c r="B20147" s="1" t="s">
        <v>6862</v>
      </c>
      <c r="C20147" s="1" t="s">
        <v>6863</v>
      </c>
      <c r="D20147" s="22" t="str">
        <f>HYPERLINK("https://rhld.insurance.arkansas.gov/NPILookup?Npi=1770949752","1770949752")</f>
        <v>1770949752</v>
      </c>
      <c r="E20147" s="1" t="s">
        <v>7179</v>
      </c>
      <c r="F20147" s="2"/>
      <c r="G20147" s="2"/>
      <c r="H20147" s="2"/>
    </row>
    <row r="20148" spans="1:8" x14ac:dyDescent="0.25">
      <c r="A20148" s="1"/>
      <c r="B20148" s="1" t="s">
        <v>6862</v>
      </c>
      <c r="C20148" s="1" t="s">
        <v>6863</v>
      </c>
      <c r="D20148" s="22" t="str">
        <f>HYPERLINK("https://rhld.insurance.arkansas.gov/NPILookup?Npi=1770962573","1770962573")</f>
        <v>1770962573</v>
      </c>
      <c r="E20148" s="1" t="s">
        <v>12499</v>
      </c>
      <c r="F20148" s="2"/>
      <c r="G20148" s="2"/>
      <c r="H20148" s="2"/>
    </row>
    <row r="20149" spans="1:8" x14ac:dyDescent="0.25">
      <c r="A20149" s="1"/>
      <c r="B20149" s="1" t="s">
        <v>6862</v>
      </c>
      <c r="C20149" s="1" t="s">
        <v>6863</v>
      </c>
      <c r="D20149" s="22" t="str">
        <f>HYPERLINK("https://rhld.insurance.arkansas.gov/NPILookup?Npi=1770982423","1770982423")</f>
        <v>1770982423</v>
      </c>
      <c r="E20149" s="1" t="s">
        <v>7180</v>
      </c>
      <c r="F20149" s="2"/>
      <c r="G20149" s="2"/>
      <c r="H20149" s="2"/>
    </row>
    <row r="20150" spans="1:8" x14ac:dyDescent="0.25">
      <c r="A20150" s="1"/>
      <c r="B20150" s="1" t="s">
        <v>6862</v>
      </c>
      <c r="C20150" s="1" t="s">
        <v>6863</v>
      </c>
      <c r="D20150" s="22" t="str">
        <f>HYPERLINK("https://rhld.insurance.arkansas.gov/NPILookup?Npi=1780056804","1780056804")</f>
        <v>1780056804</v>
      </c>
      <c r="E20150" s="1" t="s">
        <v>7181</v>
      </c>
      <c r="F20150" s="2"/>
      <c r="G20150" s="2"/>
      <c r="H20150" s="2"/>
    </row>
    <row r="20151" spans="1:8" x14ac:dyDescent="0.25">
      <c r="A20151" s="1"/>
      <c r="B20151" s="1" t="s">
        <v>6862</v>
      </c>
      <c r="C20151" s="1" t="s">
        <v>6863</v>
      </c>
      <c r="D20151" s="22" t="str">
        <f>HYPERLINK("https://rhld.insurance.arkansas.gov/NPILookup?Npi=1780057802","1780057802")</f>
        <v>1780057802</v>
      </c>
      <c r="E20151" s="1" t="s">
        <v>24817</v>
      </c>
      <c r="F20151" s="2"/>
      <c r="G20151" s="2"/>
      <c r="H20151" s="2"/>
    </row>
    <row r="20152" spans="1:8" x14ac:dyDescent="0.25">
      <c r="A20152" s="1"/>
      <c r="B20152" s="1" t="s">
        <v>6862</v>
      </c>
      <c r="C20152" s="1" t="s">
        <v>6863</v>
      </c>
      <c r="D20152" s="22" t="str">
        <f>HYPERLINK("https://rhld.insurance.arkansas.gov/NPILookup?Npi=1780069476","1780069476")</f>
        <v>1780069476</v>
      </c>
      <c r="E20152" s="1" t="s">
        <v>24818</v>
      </c>
      <c r="F20152" s="2"/>
      <c r="G20152" s="2"/>
      <c r="H20152" s="2"/>
    </row>
    <row r="20153" spans="1:8" x14ac:dyDescent="0.25">
      <c r="A20153" s="1"/>
      <c r="B20153" s="1" t="s">
        <v>6862</v>
      </c>
      <c r="C20153" s="1" t="s">
        <v>6863</v>
      </c>
      <c r="D20153" s="22" t="str">
        <f>HYPERLINK("https://rhld.insurance.arkansas.gov/NPILookup?Npi=1780083766","1780083766")</f>
        <v>1780083766</v>
      </c>
      <c r="E20153" s="1" t="s">
        <v>24819</v>
      </c>
      <c r="F20153" s="2"/>
      <c r="G20153" s="2"/>
      <c r="H20153" s="2"/>
    </row>
    <row r="20154" spans="1:8" x14ac:dyDescent="0.25">
      <c r="A20154" s="1"/>
      <c r="B20154" s="1" t="s">
        <v>6862</v>
      </c>
      <c r="C20154" s="1" t="s">
        <v>6863</v>
      </c>
      <c r="D20154" s="22" t="str">
        <f>HYPERLINK("https://rhld.insurance.arkansas.gov/NPILookup?Npi=1780245779","1780245779")</f>
        <v>1780245779</v>
      </c>
      <c r="E20154" s="1" t="s">
        <v>12500</v>
      </c>
      <c r="F20154" s="2"/>
      <c r="G20154" s="2"/>
      <c r="H20154" s="2"/>
    </row>
    <row r="20155" spans="1:8" x14ac:dyDescent="0.25">
      <c r="A20155" s="1"/>
      <c r="B20155" s="1" t="s">
        <v>6862</v>
      </c>
      <c r="C20155" s="1" t="s">
        <v>6863</v>
      </c>
      <c r="D20155" s="22" t="str">
        <f>HYPERLINK("https://rhld.insurance.arkansas.gov/NPILookup?Npi=1780318998","1780318998")</f>
        <v>1780318998</v>
      </c>
      <c r="E20155" s="1" t="s">
        <v>7182</v>
      </c>
      <c r="F20155" s="2"/>
      <c r="G20155" s="2"/>
      <c r="H20155" s="2"/>
    </row>
    <row r="20156" spans="1:8" x14ac:dyDescent="0.25">
      <c r="A20156" s="1"/>
      <c r="B20156" s="1" t="s">
        <v>6862</v>
      </c>
      <c r="C20156" s="1" t="s">
        <v>6863</v>
      </c>
      <c r="D20156" s="22" t="str">
        <f>HYPERLINK("https://rhld.insurance.arkansas.gov/NPILookup?Npi=1780328724","1780328724")</f>
        <v>1780328724</v>
      </c>
      <c r="E20156" s="1" t="s">
        <v>7183</v>
      </c>
      <c r="F20156" s="2"/>
      <c r="G20156" s="2"/>
      <c r="H20156" s="2"/>
    </row>
    <row r="20157" spans="1:8" x14ac:dyDescent="0.25">
      <c r="A20157" s="1"/>
      <c r="B20157" s="1" t="s">
        <v>6862</v>
      </c>
      <c r="C20157" s="1" t="s">
        <v>6863</v>
      </c>
      <c r="D20157" s="22" t="str">
        <f>HYPERLINK("https://rhld.insurance.arkansas.gov/NPILookup?Npi=1780358283","1780358283")</f>
        <v>1780358283</v>
      </c>
      <c r="E20157" s="1" t="s">
        <v>7184</v>
      </c>
      <c r="F20157" s="2"/>
      <c r="G20157" s="2"/>
      <c r="H20157" s="2"/>
    </row>
    <row r="20158" spans="1:8" x14ac:dyDescent="0.25">
      <c r="A20158" s="1"/>
      <c r="B20158" s="1" t="s">
        <v>6862</v>
      </c>
      <c r="C20158" s="1" t="s">
        <v>6863</v>
      </c>
      <c r="D20158" s="22" t="str">
        <f>HYPERLINK("https://rhld.insurance.arkansas.gov/NPILookup?Npi=1780377531","1780377531")</f>
        <v>1780377531</v>
      </c>
      <c r="E20158" s="1" t="s">
        <v>24820</v>
      </c>
      <c r="F20158" s="2"/>
      <c r="G20158" s="2"/>
      <c r="H20158" s="2"/>
    </row>
    <row r="20159" spans="1:8" x14ac:dyDescent="0.25">
      <c r="A20159" s="1"/>
      <c r="B20159" s="1" t="s">
        <v>6862</v>
      </c>
      <c r="C20159" s="1" t="s">
        <v>6863</v>
      </c>
      <c r="D20159" s="22" t="str">
        <f>HYPERLINK("https://rhld.insurance.arkansas.gov/NPILookup?Npi=1780468777","1780468777")</f>
        <v>1780468777</v>
      </c>
      <c r="E20159" s="1" t="s">
        <v>5284</v>
      </c>
      <c r="F20159" s="2"/>
      <c r="G20159" s="2"/>
      <c r="H20159" s="2"/>
    </row>
    <row r="20160" spans="1:8" x14ac:dyDescent="0.25">
      <c r="A20160" s="1"/>
      <c r="B20160" s="1" t="s">
        <v>6862</v>
      </c>
      <c r="C20160" s="1" t="s">
        <v>6863</v>
      </c>
      <c r="D20160" s="22" t="str">
        <f>HYPERLINK("https://rhld.insurance.arkansas.gov/NPILookup?Npi=1780481606","1780481606")</f>
        <v>1780481606</v>
      </c>
      <c r="E20160" s="1" t="s">
        <v>32002</v>
      </c>
      <c r="F20160" s="2"/>
      <c r="G20160" s="2"/>
      <c r="H20160" s="2"/>
    </row>
    <row r="20161" spans="1:8" x14ac:dyDescent="0.25">
      <c r="A20161" s="1"/>
      <c r="B20161" s="1" t="s">
        <v>6862</v>
      </c>
      <c r="C20161" s="1" t="s">
        <v>6863</v>
      </c>
      <c r="D20161" s="22" t="str">
        <f>HYPERLINK("https://rhld.insurance.arkansas.gov/NPILookup?Npi=1780626416","1780626416")</f>
        <v>1780626416</v>
      </c>
      <c r="E20161" s="1" t="s">
        <v>24821</v>
      </c>
      <c r="F20161" s="2"/>
      <c r="G20161" s="2"/>
      <c r="H20161" s="2"/>
    </row>
    <row r="20162" spans="1:8" x14ac:dyDescent="0.25">
      <c r="A20162" s="1"/>
      <c r="B20162" s="1" t="s">
        <v>6862</v>
      </c>
      <c r="C20162" s="1" t="s">
        <v>6863</v>
      </c>
      <c r="D20162" s="22" t="str">
        <f>HYPERLINK("https://rhld.insurance.arkansas.gov/NPILookup?Npi=1780718627","1780718627")</f>
        <v>1780718627</v>
      </c>
      <c r="E20162" s="1" t="s">
        <v>24822</v>
      </c>
      <c r="F20162" s="2"/>
      <c r="G20162" s="2"/>
      <c r="H20162" s="2"/>
    </row>
    <row r="20163" spans="1:8" x14ac:dyDescent="0.25">
      <c r="A20163" s="1"/>
      <c r="B20163" s="1" t="s">
        <v>6862</v>
      </c>
      <c r="C20163" s="1" t="s">
        <v>6863</v>
      </c>
      <c r="D20163" s="22" t="str">
        <f>HYPERLINK("https://rhld.insurance.arkansas.gov/NPILookup?Npi=1780787390","1780787390")</f>
        <v>1780787390</v>
      </c>
      <c r="E20163" s="1" t="s">
        <v>22235</v>
      </c>
      <c r="F20163" s="2"/>
      <c r="G20163" s="2"/>
      <c r="H20163" s="2"/>
    </row>
    <row r="20164" spans="1:8" x14ac:dyDescent="0.25">
      <c r="A20164" s="1"/>
      <c r="B20164" s="1" t="s">
        <v>6862</v>
      </c>
      <c r="C20164" s="1" t="s">
        <v>6863</v>
      </c>
      <c r="D20164" s="22" t="str">
        <f>HYPERLINK("https://rhld.insurance.arkansas.gov/NPILookup?Npi=1780816579","1780816579")</f>
        <v>1780816579</v>
      </c>
      <c r="E20164" s="1" t="s">
        <v>24823</v>
      </c>
      <c r="F20164" s="2"/>
      <c r="G20164" s="2"/>
      <c r="H20164" s="2"/>
    </row>
    <row r="20165" spans="1:8" x14ac:dyDescent="0.25">
      <c r="A20165" s="1"/>
      <c r="B20165" s="1" t="s">
        <v>6862</v>
      </c>
      <c r="C20165" s="1" t="s">
        <v>6863</v>
      </c>
      <c r="D20165" s="22" t="str">
        <f>HYPERLINK("https://rhld.insurance.arkansas.gov/NPILookup?Npi=1780843565","1780843565")</f>
        <v>1780843565</v>
      </c>
      <c r="E20165" s="1" t="s">
        <v>24824</v>
      </c>
      <c r="F20165" s="2"/>
      <c r="G20165" s="2"/>
      <c r="H20165" s="2"/>
    </row>
    <row r="20166" spans="1:8" x14ac:dyDescent="0.25">
      <c r="A20166" s="1"/>
      <c r="B20166" s="1" t="s">
        <v>6862</v>
      </c>
      <c r="C20166" s="1" t="s">
        <v>6863</v>
      </c>
      <c r="D20166" s="22" t="str">
        <f>HYPERLINK("https://rhld.insurance.arkansas.gov/NPILookup?Npi=1780862839","1780862839")</f>
        <v>1780862839</v>
      </c>
      <c r="E20166" s="1" t="s">
        <v>24825</v>
      </c>
      <c r="F20166" s="2"/>
      <c r="G20166" s="2"/>
      <c r="H20166" s="2"/>
    </row>
    <row r="20167" spans="1:8" x14ac:dyDescent="0.25">
      <c r="A20167" s="1"/>
      <c r="B20167" s="1" t="s">
        <v>6862</v>
      </c>
      <c r="C20167" s="1" t="s">
        <v>6863</v>
      </c>
      <c r="D20167" s="22" t="str">
        <f>HYPERLINK("https://rhld.insurance.arkansas.gov/NPILookup?Npi=1780902429","1780902429")</f>
        <v>1780902429</v>
      </c>
      <c r="E20167" s="1" t="s">
        <v>7185</v>
      </c>
      <c r="F20167" s="2"/>
      <c r="G20167" s="2"/>
      <c r="H20167" s="2"/>
    </row>
    <row r="20168" spans="1:8" x14ac:dyDescent="0.25">
      <c r="A20168" s="1"/>
      <c r="B20168" s="1" t="s">
        <v>6862</v>
      </c>
      <c r="C20168" s="1" t="s">
        <v>6863</v>
      </c>
      <c r="D20168" s="22" t="str">
        <f>HYPERLINK("https://rhld.insurance.arkansas.gov/NPILookup?Npi=1780918441","1780918441")</f>
        <v>1780918441</v>
      </c>
      <c r="E20168" s="1" t="s">
        <v>7186</v>
      </c>
      <c r="F20168" s="2"/>
      <c r="G20168" s="2"/>
      <c r="H20168" s="2"/>
    </row>
    <row r="20169" spans="1:8" x14ac:dyDescent="0.25">
      <c r="A20169" s="1"/>
      <c r="B20169" s="1" t="s">
        <v>6862</v>
      </c>
      <c r="C20169" s="1" t="s">
        <v>6863</v>
      </c>
      <c r="D20169" s="22" t="str">
        <f>HYPERLINK("https://rhld.insurance.arkansas.gov/NPILookup?Npi=1780945337","1780945337")</f>
        <v>1780945337</v>
      </c>
      <c r="E20169" s="1" t="s">
        <v>7187</v>
      </c>
      <c r="F20169" s="2"/>
      <c r="G20169" s="2"/>
      <c r="H20169" s="2"/>
    </row>
    <row r="20170" spans="1:8" x14ac:dyDescent="0.25">
      <c r="A20170" s="1"/>
      <c r="B20170" s="1" t="s">
        <v>6862</v>
      </c>
      <c r="C20170" s="1" t="s">
        <v>6863</v>
      </c>
      <c r="D20170" s="22" t="str">
        <f>HYPERLINK("https://rhld.insurance.arkansas.gov/NPILookup?Npi=1790104172","1790104172")</f>
        <v>1790104172</v>
      </c>
      <c r="E20170" s="1" t="s">
        <v>12501</v>
      </c>
      <c r="F20170" s="2"/>
      <c r="G20170" s="2"/>
      <c r="H20170" s="2"/>
    </row>
    <row r="20171" spans="1:8" x14ac:dyDescent="0.25">
      <c r="A20171" s="1"/>
      <c r="B20171" s="1" t="s">
        <v>6862</v>
      </c>
      <c r="C20171" s="1" t="s">
        <v>6863</v>
      </c>
      <c r="D20171" s="22" t="str">
        <f>HYPERLINK("https://rhld.insurance.arkansas.gov/NPILookup?Npi=1790231272","1790231272")</f>
        <v>1790231272</v>
      </c>
      <c r="E20171" s="1" t="s">
        <v>12502</v>
      </c>
      <c r="F20171" s="2"/>
      <c r="G20171" s="2"/>
      <c r="H20171" s="2"/>
    </row>
    <row r="20172" spans="1:8" x14ac:dyDescent="0.25">
      <c r="A20172" s="1"/>
      <c r="B20172" s="1" t="s">
        <v>6862</v>
      </c>
      <c r="C20172" s="1" t="s">
        <v>6863</v>
      </c>
      <c r="D20172" s="22" t="str">
        <f>HYPERLINK("https://rhld.insurance.arkansas.gov/NPILookup?Npi=1790241420","1790241420")</f>
        <v>1790241420</v>
      </c>
      <c r="E20172" s="1" t="s">
        <v>24826</v>
      </c>
      <c r="F20172" s="2"/>
      <c r="G20172" s="2"/>
      <c r="H20172" s="2"/>
    </row>
    <row r="20173" spans="1:8" x14ac:dyDescent="0.25">
      <c r="A20173" s="1"/>
      <c r="B20173" s="1" t="s">
        <v>6862</v>
      </c>
      <c r="C20173" s="1" t="s">
        <v>6863</v>
      </c>
      <c r="D20173" s="22" t="str">
        <f>HYPERLINK("https://rhld.insurance.arkansas.gov/NPILookup?Npi=1790256840","1790256840")</f>
        <v>1790256840</v>
      </c>
      <c r="E20173" s="1" t="s">
        <v>24827</v>
      </c>
      <c r="F20173" s="2"/>
      <c r="G20173" s="2"/>
      <c r="H20173" s="2"/>
    </row>
    <row r="20174" spans="1:8" x14ac:dyDescent="0.25">
      <c r="A20174" s="1"/>
      <c r="B20174" s="1" t="s">
        <v>6862</v>
      </c>
      <c r="C20174" s="1" t="s">
        <v>6863</v>
      </c>
      <c r="D20174" s="22" t="str">
        <f>HYPERLINK("https://rhld.insurance.arkansas.gov/NPILookup?Npi=1790380350","1790380350")</f>
        <v>1790380350</v>
      </c>
      <c r="E20174" s="1" t="s">
        <v>24828</v>
      </c>
      <c r="F20174" s="2"/>
      <c r="G20174" s="2"/>
      <c r="H20174" s="2"/>
    </row>
    <row r="20175" spans="1:8" x14ac:dyDescent="0.25">
      <c r="A20175" s="1"/>
      <c r="B20175" s="1" t="s">
        <v>6862</v>
      </c>
      <c r="C20175" s="1" t="s">
        <v>6863</v>
      </c>
      <c r="D20175" s="22" t="str">
        <f>HYPERLINK("https://rhld.insurance.arkansas.gov/NPILookup?Npi=1790396307","1790396307")</f>
        <v>1790396307</v>
      </c>
      <c r="E20175" s="1" t="s">
        <v>24829</v>
      </c>
      <c r="F20175" s="2"/>
      <c r="G20175" s="2"/>
      <c r="H20175" s="2"/>
    </row>
    <row r="20176" spans="1:8" x14ac:dyDescent="0.25">
      <c r="A20176" s="1"/>
      <c r="B20176" s="1" t="s">
        <v>6862</v>
      </c>
      <c r="C20176" s="1" t="s">
        <v>6863</v>
      </c>
      <c r="D20176" s="22" t="str">
        <f>HYPERLINK("https://rhld.insurance.arkansas.gov/NPILookup?Npi=1790413466","1790413466")</f>
        <v>1790413466</v>
      </c>
      <c r="E20176" s="1" t="s">
        <v>12503</v>
      </c>
      <c r="F20176" s="2"/>
      <c r="G20176" s="2"/>
      <c r="H20176" s="2"/>
    </row>
    <row r="20177" spans="1:8" x14ac:dyDescent="0.25">
      <c r="A20177" s="1"/>
      <c r="B20177" s="1" t="s">
        <v>6862</v>
      </c>
      <c r="C20177" s="1" t="s">
        <v>6863</v>
      </c>
      <c r="D20177" s="22" t="str">
        <f>HYPERLINK("https://rhld.insurance.arkansas.gov/NPILookup?Npi=1790430759","1790430759")</f>
        <v>1790430759</v>
      </c>
      <c r="E20177" s="1" t="s">
        <v>24830</v>
      </c>
      <c r="F20177" s="2"/>
      <c r="G20177" s="2"/>
      <c r="H20177" s="2"/>
    </row>
    <row r="20178" spans="1:8" x14ac:dyDescent="0.25">
      <c r="A20178" s="1"/>
      <c r="B20178" s="1" t="s">
        <v>6862</v>
      </c>
      <c r="C20178" s="1" t="s">
        <v>6863</v>
      </c>
      <c r="D20178" s="22" t="str">
        <f>HYPERLINK("https://rhld.insurance.arkansas.gov/NPILookup?Npi=1790458172","1790458172")</f>
        <v>1790458172</v>
      </c>
      <c r="E20178" s="1" t="s">
        <v>24831</v>
      </c>
      <c r="F20178" s="2"/>
      <c r="G20178" s="2"/>
      <c r="H20178" s="2"/>
    </row>
    <row r="20179" spans="1:8" x14ac:dyDescent="0.25">
      <c r="A20179" s="1"/>
      <c r="B20179" s="1" t="s">
        <v>6862</v>
      </c>
      <c r="C20179" s="1" t="s">
        <v>6863</v>
      </c>
      <c r="D20179" s="22" t="str">
        <f>HYPERLINK("https://rhld.insurance.arkansas.gov/NPILookup?Npi=1790467140","1790467140")</f>
        <v>1790467140</v>
      </c>
      <c r="E20179" s="1" t="s">
        <v>7100</v>
      </c>
      <c r="F20179" s="2"/>
      <c r="G20179" s="2"/>
      <c r="H20179" s="2"/>
    </row>
    <row r="20180" spans="1:8" x14ac:dyDescent="0.25">
      <c r="A20180" s="1"/>
      <c r="B20180" s="1" t="s">
        <v>6862</v>
      </c>
      <c r="C20180" s="1" t="s">
        <v>6863</v>
      </c>
      <c r="D20180" s="22" t="str">
        <f>HYPERLINK("https://rhld.insurance.arkansas.gov/NPILookup?Npi=1790716728","1790716728")</f>
        <v>1790716728</v>
      </c>
      <c r="E20180" s="1" t="s">
        <v>24832</v>
      </c>
      <c r="F20180" s="2"/>
      <c r="G20180" s="2"/>
      <c r="H20180" s="2"/>
    </row>
    <row r="20181" spans="1:8" x14ac:dyDescent="0.25">
      <c r="A20181" s="1"/>
      <c r="B20181" s="1" t="s">
        <v>6862</v>
      </c>
      <c r="C20181" s="1" t="s">
        <v>6863</v>
      </c>
      <c r="D20181" s="22" t="str">
        <f>HYPERLINK("https://rhld.insurance.arkansas.gov/NPILookup?Npi=1790721892","1790721892")</f>
        <v>1790721892</v>
      </c>
      <c r="E20181" s="1" t="s">
        <v>7189</v>
      </c>
      <c r="F20181" s="2"/>
      <c r="G20181" s="2"/>
      <c r="H20181" s="2"/>
    </row>
    <row r="20182" spans="1:8" x14ac:dyDescent="0.25">
      <c r="A20182" s="1"/>
      <c r="B20182" s="1" t="s">
        <v>6862</v>
      </c>
      <c r="C20182" s="1" t="s">
        <v>6863</v>
      </c>
      <c r="D20182" s="22" t="str">
        <f>HYPERLINK("https://rhld.insurance.arkansas.gov/NPILookup?Npi=1790744563","1790744563")</f>
        <v>1790744563</v>
      </c>
      <c r="E20182" s="1" t="s">
        <v>7190</v>
      </c>
      <c r="F20182" s="2"/>
      <c r="G20182" s="2"/>
      <c r="H20182" s="2"/>
    </row>
    <row r="20183" spans="1:8" x14ac:dyDescent="0.25">
      <c r="A20183" s="1"/>
      <c r="B20183" s="1" t="s">
        <v>6862</v>
      </c>
      <c r="C20183" s="1" t="s">
        <v>6863</v>
      </c>
      <c r="D20183" s="22" t="str">
        <f>HYPERLINK("https://rhld.insurance.arkansas.gov/NPILookup?Npi=1790866754","1790866754")</f>
        <v>1790866754</v>
      </c>
      <c r="E20183" s="1" t="s">
        <v>24833</v>
      </c>
      <c r="F20183" s="2"/>
      <c r="G20183" s="2"/>
      <c r="H20183" s="2"/>
    </row>
    <row r="20184" spans="1:8" x14ac:dyDescent="0.25">
      <c r="A20184" s="1"/>
      <c r="B20184" s="1" t="s">
        <v>6862</v>
      </c>
      <c r="C20184" s="1" t="s">
        <v>6863</v>
      </c>
      <c r="D20184" s="22" t="str">
        <f>HYPERLINK("https://rhld.insurance.arkansas.gov/NPILookup?Npi=1790891901","1790891901")</f>
        <v>1790891901</v>
      </c>
      <c r="E20184" s="1" t="s">
        <v>24834</v>
      </c>
      <c r="F20184" s="2"/>
      <c r="G20184" s="2"/>
      <c r="H20184" s="2"/>
    </row>
    <row r="20185" spans="1:8" x14ac:dyDescent="0.25">
      <c r="A20185" s="1"/>
      <c r="B20185" s="1" t="s">
        <v>6862</v>
      </c>
      <c r="C20185" s="1" t="s">
        <v>6863</v>
      </c>
      <c r="D20185" s="22" t="str">
        <f>HYPERLINK("https://rhld.insurance.arkansas.gov/NPILookup?Npi=1801012828","1801012828")</f>
        <v>1801012828</v>
      </c>
      <c r="E20185" s="1" t="s">
        <v>12504</v>
      </c>
      <c r="F20185" s="2"/>
      <c r="G20185" s="2"/>
      <c r="H20185" s="2"/>
    </row>
    <row r="20186" spans="1:8" x14ac:dyDescent="0.25">
      <c r="A20186" s="1"/>
      <c r="B20186" s="1" t="s">
        <v>6862</v>
      </c>
      <c r="C20186" s="1" t="s">
        <v>6863</v>
      </c>
      <c r="D20186" s="22" t="str">
        <f>HYPERLINK("https://rhld.insurance.arkansas.gov/NPILookup?Npi=1801276415","1801276415")</f>
        <v>1801276415</v>
      </c>
      <c r="E20186" s="1" t="s">
        <v>24835</v>
      </c>
      <c r="F20186" s="2"/>
      <c r="G20186" s="2"/>
      <c r="H20186" s="2"/>
    </row>
    <row r="20187" spans="1:8" x14ac:dyDescent="0.25">
      <c r="A20187" s="1"/>
      <c r="B20187" s="1" t="s">
        <v>6862</v>
      </c>
      <c r="C20187" s="1" t="s">
        <v>6863</v>
      </c>
      <c r="D20187" s="22" t="str">
        <f>HYPERLINK("https://rhld.insurance.arkansas.gov/NPILookup?Npi=1801310057","1801310057")</f>
        <v>1801310057</v>
      </c>
      <c r="E20187" s="1" t="s">
        <v>24836</v>
      </c>
      <c r="F20187" s="2"/>
      <c r="G20187" s="2"/>
      <c r="H20187" s="2"/>
    </row>
    <row r="20188" spans="1:8" x14ac:dyDescent="0.25">
      <c r="A20188" s="1"/>
      <c r="B20188" s="1" t="s">
        <v>6862</v>
      </c>
      <c r="C20188" s="1" t="s">
        <v>6863</v>
      </c>
      <c r="D20188" s="22" t="str">
        <f>HYPERLINK("https://rhld.insurance.arkansas.gov/NPILookup?Npi=1801336847","1801336847")</f>
        <v>1801336847</v>
      </c>
      <c r="E20188" s="1" t="s">
        <v>24837</v>
      </c>
      <c r="F20188" s="2"/>
      <c r="G20188" s="2"/>
      <c r="H20188" s="2"/>
    </row>
    <row r="20189" spans="1:8" x14ac:dyDescent="0.25">
      <c r="A20189" s="1"/>
      <c r="B20189" s="1" t="s">
        <v>6862</v>
      </c>
      <c r="C20189" s="1" t="s">
        <v>6863</v>
      </c>
      <c r="D20189" s="22" t="str">
        <f>HYPERLINK("https://rhld.insurance.arkansas.gov/NPILookup?Npi=1801380985","1801380985")</f>
        <v>1801380985</v>
      </c>
      <c r="E20189" s="1" t="s">
        <v>7191</v>
      </c>
      <c r="F20189" s="2"/>
      <c r="G20189" s="2"/>
      <c r="H20189" s="2"/>
    </row>
    <row r="20190" spans="1:8" x14ac:dyDescent="0.25">
      <c r="A20190" s="1"/>
      <c r="B20190" s="1" t="s">
        <v>6862</v>
      </c>
      <c r="C20190" s="1" t="s">
        <v>6863</v>
      </c>
      <c r="D20190" s="22" t="str">
        <f>HYPERLINK("https://rhld.insurance.arkansas.gov/NPILookup?Npi=1801409297","1801409297")</f>
        <v>1801409297</v>
      </c>
      <c r="E20190" s="1" t="s">
        <v>24838</v>
      </c>
      <c r="F20190" s="2"/>
      <c r="G20190" s="2"/>
      <c r="H20190" s="2"/>
    </row>
    <row r="20191" spans="1:8" x14ac:dyDescent="0.25">
      <c r="A20191" s="1"/>
      <c r="B20191" s="1" t="s">
        <v>6862</v>
      </c>
      <c r="C20191" s="1" t="s">
        <v>6863</v>
      </c>
      <c r="D20191" s="22" t="str">
        <f>HYPERLINK("https://rhld.insurance.arkansas.gov/NPILookup?Npi=1801439989","1801439989")</f>
        <v>1801439989</v>
      </c>
      <c r="E20191" s="1" t="s">
        <v>12505</v>
      </c>
      <c r="F20191" s="2"/>
      <c r="G20191" s="2"/>
      <c r="H20191" s="2"/>
    </row>
    <row r="20192" spans="1:8" x14ac:dyDescent="0.25">
      <c r="A20192" s="1"/>
      <c r="B20192" s="1" t="s">
        <v>6862</v>
      </c>
      <c r="C20192" s="1" t="s">
        <v>6863</v>
      </c>
      <c r="D20192" s="22" t="str">
        <f>HYPERLINK("https://rhld.insurance.arkansas.gov/NPILookup?Npi=1801447255","1801447255")</f>
        <v>1801447255</v>
      </c>
      <c r="E20192" s="1" t="s">
        <v>24839</v>
      </c>
      <c r="F20192" s="2"/>
      <c r="G20192" s="2"/>
      <c r="H20192" s="2"/>
    </row>
    <row r="20193" spans="1:8" x14ac:dyDescent="0.25">
      <c r="A20193" s="1"/>
      <c r="B20193" s="1" t="s">
        <v>6862</v>
      </c>
      <c r="C20193" s="1" t="s">
        <v>6863</v>
      </c>
      <c r="D20193" s="22" t="str">
        <f>HYPERLINK("https://rhld.insurance.arkansas.gov/NPILookup?Npi=1801457676","1801457676")</f>
        <v>1801457676</v>
      </c>
      <c r="E20193" s="1" t="s">
        <v>12506</v>
      </c>
      <c r="F20193" s="2"/>
      <c r="G20193" s="2"/>
      <c r="H20193" s="2"/>
    </row>
    <row r="20194" spans="1:8" x14ac:dyDescent="0.25">
      <c r="A20194" s="1"/>
      <c r="B20194" s="1" t="s">
        <v>6862</v>
      </c>
      <c r="C20194" s="1" t="s">
        <v>6863</v>
      </c>
      <c r="D20194" s="22" t="str">
        <f>HYPERLINK("https://rhld.insurance.arkansas.gov/NPILookup?Npi=1801465877","1801465877")</f>
        <v>1801465877</v>
      </c>
      <c r="E20194" s="1" t="s">
        <v>24840</v>
      </c>
      <c r="F20194" s="2"/>
      <c r="G20194" s="2"/>
      <c r="H20194" s="2"/>
    </row>
    <row r="20195" spans="1:8" x14ac:dyDescent="0.25">
      <c r="A20195" s="1"/>
      <c r="B20195" s="1" t="s">
        <v>6862</v>
      </c>
      <c r="C20195" s="1" t="s">
        <v>6863</v>
      </c>
      <c r="D20195" s="22" t="str">
        <f>HYPERLINK("https://rhld.insurance.arkansas.gov/NPILookup?Npi=1801496872","1801496872")</f>
        <v>1801496872</v>
      </c>
      <c r="E20195" s="1" t="s">
        <v>24841</v>
      </c>
      <c r="F20195" s="2"/>
      <c r="G20195" s="2"/>
      <c r="H20195" s="2"/>
    </row>
    <row r="20196" spans="1:8" x14ac:dyDescent="0.25">
      <c r="A20196" s="1"/>
      <c r="B20196" s="1" t="s">
        <v>6862</v>
      </c>
      <c r="C20196" s="1" t="s">
        <v>6863</v>
      </c>
      <c r="D20196" s="22" t="str">
        <f>HYPERLINK("https://rhld.insurance.arkansas.gov/NPILookup?Npi=1801524418","1801524418")</f>
        <v>1801524418</v>
      </c>
      <c r="E20196" s="1" t="s">
        <v>24842</v>
      </c>
      <c r="F20196" s="2"/>
      <c r="G20196" s="2"/>
      <c r="H20196" s="2"/>
    </row>
    <row r="20197" spans="1:8" x14ac:dyDescent="0.25">
      <c r="A20197" s="1"/>
      <c r="B20197" s="1" t="s">
        <v>6862</v>
      </c>
      <c r="C20197" s="1" t="s">
        <v>6863</v>
      </c>
      <c r="D20197" s="22" t="str">
        <f>HYPERLINK("https://rhld.insurance.arkansas.gov/NPILookup?Npi=1801562855","1801562855")</f>
        <v>1801562855</v>
      </c>
      <c r="E20197" s="1" t="s">
        <v>24843</v>
      </c>
      <c r="F20197" s="2"/>
      <c r="G20197" s="2"/>
      <c r="H20197" s="2"/>
    </row>
    <row r="20198" spans="1:8" x14ac:dyDescent="0.25">
      <c r="A20198" s="1"/>
      <c r="B20198" s="1" t="s">
        <v>6862</v>
      </c>
      <c r="C20198" s="1" t="s">
        <v>6863</v>
      </c>
      <c r="D20198" s="22" t="str">
        <f>HYPERLINK("https://rhld.insurance.arkansas.gov/NPILookup?Npi=1801563341","1801563341")</f>
        <v>1801563341</v>
      </c>
      <c r="E20198" s="1" t="s">
        <v>24844</v>
      </c>
      <c r="F20198" s="2"/>
      <c r="G20198" s="2"/>
      <c r="H20198" s="2"/>
    </row>
    <row r="20199" spans="1:8" x14ac:dyDescent="0.25">
      <c r="A20199" s="1"/>
      <c r="B20199" s="1" t="s">
        <v>6862</v>
      </c>
      <c r="C20199" s="1" t="s">
        <v>6863</v>
      </c>
      <c r="D20199" s="22" t="str">
        <f>HYPERLINK("https://rhld.insurance.arkansas.gov/NPILookup?Npi=1801578661","1801578661")</f>
        <v>1801578661</v>
      </c>
      <c r="E20199" s="1" t="s">
        <v>24845</v>
      </c>
      <c r="F20199" s="2"/>
      <c r="G20199" s="2"/>
      <c r="H20199" s="2"/>
    </row>
    <row r="20200" spans="1:8" x14ac:dyDescent="0.25">
      <c r="A20200" s="1"/>
      <c r="B20200" s="1" t="s">
        <v>6862</v>
      </c>
      <c r="C20200" s="1" t="s">
        <v>6863</v>
      </c>
      <c r="D20200" s="22" t="str">
        <f>HYPERLINK("https://rhld.insurance.arkansas.gov/NPILookup?Npi=1801636832","1801636832")</f>
        <v>1801636832</v>
      </c>
      <c r="E20200" s="1" t="s">
        <v>24846</v>
      </c>
      <c r="F20200" s="2"/>
      <c r="G20200" s="2"/>
      <c r="H20200" s="2"/>
    </row>
    <row r="20201" spans="1:8" x14ac:dyDescent="0.25">
      <c r="A20201" s="1"/>
      <c r="B20201" s="1" t="s">
        <v>6862</v>
      </c>
      <c r="C20201" s="1" t="s">
        <v>6863</v>
      </c>
      <c r="D20201" s="22" t="str">
        <f>HYPERLINK("https://rhld.insurance.arkansas.gov/NPILookup?Npi=1801670583","1801670583")</f>
        <v>1801670583</v>
      </c>
      <c r="E20201" s="1" t="s">
        <v>5617</v>
      </c>
      <c r="F20201" s="2"/>
      <c r="G20201" s="2"/>
      <c r="H20201" s="2"/>
    </row>
    <row r="20202" spans="1:8" x14ac:dyDescent="0.25">
      <c r="A20202" s="1"/>
      <c r="B20202" s="1" t="s">
        <v>6862</v>
      </c>
      <c r="C20202" s="1" t="s">
        <v>6863</v>
      </c>
      <c r="D20202" s="22" t="str">
        <f>HYPERLINK("https://rhld.insurance.arkansas.gov/NPILookup?Npi=1801809553","1801809553")</f>
        <v>1801809553</v>
      </c>
      <c r="E20202" s="1" t="s">
        <v>12507</v>
      </c>
      <c r="F20202" s="2"/>
      <c r="G20202" s="2"/>
      <c r="H20202" s="2"/>
    </row>
    <row r="20203" spans="1:8" x14ac:dyDescent="0.25">
      <c r="A20203" s="1"/>
      <c r="B20203" s="1" t="s">
        <v>6862</v>
      </c>
      <c r="C20203" s="1" t="s">
        <v>6863</v>
      </c>
      <c r="D20203" s="22" t="str">
        <f>HYPERLINK("https://rhld.insurance.arkansas.gov/NPILookup?Npi=1801853809","1801853809")</f>
        <v>1801853809</v>
      </c>
      <c r="E20203" s="1" t="s">
        <v>24847</v>
      </c>
      <c r="F20203" s="2"/>
      <c r="G20203" s="2"/>
      <c r="H20203" s="2"/>
    </row>
    <row r="20204" spans="1:8" x14ac:dyDescent="0.25">
      <c r="A20204" s="1"/>
      <c r="B20204" s="1" t="s">
        <v>6862</v>
      </c>
      <c r="C20204" s="1" t="s">
        <v>6863</v>
      </c>
      <c r="D20204" s="22" t="str">
        <f>HYPERLINK("https://rhld.insurance.arkansas.gov/NPILookup?Npi=1801901533","1801901533")</f>
        <v>1801901533</v>
      </c>
      <c r="E20204" s="1" t="s">
        <v>7192</v>
      </c>
      <c r="F20204" s="2"/>
      <c r="G20204" s="2"/>
      <c r="H20204" s="2"/>
    </row>
    <row r="20205" spans="1:8" x14ac:dyDescent="0.25">
      <c r="A20205" s="1"/>
      <c r="B20205" s="1" t="s">
        <v>6862</v>
      </c>
      <c r="C20205" s="1" t="s">
        <v>6863</v>
      </c>
      <c r="D20205" s="22" t="str">
        <f>HYPERLINK("https://rhld.insurance.arkansas.gov/NPILookup?Npi=1811018419","1811018419")</f>
        <v>1811018419</v>
      </c>
      <c r="E20205" s="1" t="s">
        <v>24848</v>
      </c>
      <c r="F20205" s="2"/>
      <c r="G20205" s="2"/>
      <c r="H20205" s="2"/>
    </row>
    <row r="20206" spans="1:8" x14ac:dyDescent="0.25">
      <c r="A20206" s="1"/>
      <c r="B20206" s="1" t="s">
        <v>6862</v>
      </c>
      <c r="C20206" s="1" t="s">
        <v>6863</v>
      </c>
      <c r="D20206" s="22" t="str">
        <f>HYPERLINK("https://rhld.insurance.arkansas.gov/NPILookup?Npi=1811055643","1811055643")</f>
        <v>1811055643</v>
      </c>
      <c r="E20206" s="1" t="s">
        <v>192</v>
      </c>
      <c r="F20206" s="2"/>
      <c r="G20206" s="2"/>
      <c r="H20206" s="2"/>
    </row>
    <row r="20207" spans="1:8" x14ac:dyDescent="0.25">
      <c r="A20207" s="1"/>
      <c r="B20207" s="1" t="s">
        <v>6862</v>
      </c>
      <c r="C20207" s="1" t="s">
        <v>6863</v>
      </c>
      <c r="D20207" s="22" t="str">
        <f>HYPERLINK("https://rhld.insurance.arkansas.gov/NPILookup?Npi=1811102700","1811102700")</f>
        <v>1811102700</v>
      </c>
      <c r="E20207" s="1" t="s">
        <v>24849</v>
      </c>
      <c r="F20207" s="2"/>
      <c r="G20207" s="2"/>
      <c r="H20207" s="2"/>
    </row>
    <row r="20208" spans="1:8" x14ac:dyDescent="0.25">
      <c r="A20208" s="1"/>
      <c r="B20208" s="1" t="s">
        <v>6862</v>
      </c>
      <c r="C20208" s="1" t="s">
        <v>6863</v>
      </c>
      <c r="D20208" s="22" t="str">
        <f>HYPERLINK("https://rhld.insurance.arkansas.gov/NPILookup?Npi=1811148323","1811148323")</f>
        <v>1811148323</v>
      </c>
      <c r="E20208" s="1" t="s">
        <v>24850</v>
      </c>
      <c r="F20208" s="2"/>
      <c r="G20208" s="2"/>
      <c r="H20208" s="2"/>
    </row>
    <row r="20209" spans="1:8" x14ac:dyDescent="0.25">
      <c r="A20209" s="1"/>
      <c r="B20209" s="1" t="s">
        <v>6862</v>
      </c>
      <c r="C20209" s="1" t="s">
        <v>6863</v>
      </c>
      <c r="D20209" s="22" t="str">
        <f>HYPERLINK("https://rhld.insurance.arkansas.gov/NPILookup?Npi=1811237795","1811237795")</f>
        <v>1811237795</v>
      </c>
      <c r="E20209" s="1" t="s">
        <v>12508</v>
      </c>
      <c r="F20209" s="2"/>
      <c r="G20209" s="2"/>
      <c r="H20209" s="2"/>
    </row>
    <row r="20210" spans="1:8" x14ac:dyDescent="0.25">
      <c r="A20210" s="1"/>
      <c r="B20210" s="1" t="s">
        <v>6862</v>
      </c>
      <c r="C20210" s="1" t="s">
        <v>6863</v>
      </c>
      <c r="D20210" s="22" t="str">
        <f>HYPERLINK("https://rhld.insurance.arkansas.gov/NPILookup?Npi=1811241409","1811241409")</f>
        <v>1811241409</v>
      </c>
      <c r="E20210" s="1" t="s">
        <v>24851</v>
      </c>
      <c r="F20210" s="2"/>
      <c r="G20210" s="2"/>
      <c r="H20210" s="2"/>
    </row>
    <row r="20211" spans="1:8" x14ac:dyDescent="0.25">
      <c r="A20211" s="1"/>
      <c r="B20211" s="1" t="s">
        <v>6862</v>
      </c>
      <c r="C20211" s="1" t="s">
        <v>6863</v>
      </c>
      <c r="D20211" s="22" t="str">
        <f>HYPERLINK("https://rhld.insurance.arkansas.gov/NPILookup?Npi=1811344245","1811344245")</f>
        <v>1811344245</v>
      </c>
      <c r="E20211" s="1" t="s">
        <v>7193</v>
      </c>
      <c r="F20211" s="2"/>
      <c r="G20211" s="2"/>
      <c r="H20211" s="2"/>
    </row>
    <row r="20212" spans="1:8" x14ac:dyDescent="0.25">
      <c r="A20212" s="1"/>
      <c r="B20212" s="1" t="s">
        <v>6862</v>
      </c>
      <c r="C20212" s="1" t="s">
        <v>6863</v>
      </c>
      <c r="D20212" s="22" t="str">
        <f>HYPERLINK("https://rhld.insurance.arkansas.gov/NPILookup?Npi=1811374333","1811374333")</f>
        <v>1811374333</v>
      </c>
      <c r="E20212" s="1" t="s">
        <v>24852</v>
      </c>
      <c r="F20212" s="2"/>
      <c r="G20212" s="2"/>
      <c r="H20212" s="2"/>
    </row>
    <row r="20213" spans="1:8" x14ac:dyDescent="0.25">
      <c r="A20213" s="1"/>
      <c r="B20213" s="1" t="s">
        <v>6862</v>
      </c>
      <c r="C20213" s="1" t="s">
        <v>6863</v>
      </c>
      <c r="D20213" s="22" t="str">
        <f>HYPERLINK("https://rhld.insurance.arkansas.gov/NPILookup?Npi=1811445760","1811445760")</f>
        <v>1811445760</v>
      </c>
      <c r="E20213" s="1" t="s">
        <v>24853</v>
      </c>
      <c r="F20213" s="2"/>
      <c r="G20213" s="2"/>
      <c r="H20213" s="2"/>
    </row>
    <row r="20214" spans="1:8" x14ac:dyDescent="0.25">
      <c r="A20214" s="1"/>
      <c r="B20214" s="1" t="s">
        <v>6862</v>
      </c>
      <c r="C20214" s="1" t="s">
        <v>6863</v>
      </c>
      <c r="D20214" s="22" t="str">
        <f>HYPERLINK("https://rhld.insurance.arkansas.gov/NPILookup?Npi=1811482110","1811482110")</f>
        <v>1811482110</v>
      </c>
      <c r="E20214" s="1" t="s">
        <v>24854</v>
      </c>
      <c r="F20214" s="2"/>
      <c r="G20214" s="2"/>
      <c r="H20214" s="2"/>
    </row>
    <row r="20215" spans="1:8" x14ac:dyDescent="0.25">
      <c r="A20215" s="1"/>
      <c r="B20215" s="1" t="s">
        <v>6862</v>
      </c>
      <c r="C20215" s="1" t="s">
        <v>6863</v>
      </c>
      <c r="D20215" s="22" t="str">
        <f>HYPERLINK("https://rhld.insurance.arkansas.gov/NPILookup?Npi=1811542251","1811542251")</f>
        <v>1811542251</v>
      </c>
      <c r="E20215" s="1" t="s">
        <v>24855</v>
      </c>
      <c r="F20215" s="2"/>
      <c r="G20215" s="2"/>
      <c r="H20215" s="2"/>
    </row>
    <row r="20216" spans="1:8" x14ac:dyDescent="0.25">
      <c r="A20216" s="1"/>
      <c r="B20216" s="1" t="s">
        <v>6862</v>
      </c>
      <c r="C20216" s="1" t="s">
        <v>6863</v>
      </c>
      <c r="D20216" s="22" t="str">
        <f>HYPERLINK("https://rhld.insurance.arkansas.gov/NPILookup?Npi=1811618432","1811618432")</f>
        <v>1811618432</v>
      </c>
      <c r="E20216" s="1" t="s">
        <v>7194</v>
      </c>
      <c r="F20216" s="2"/>
      <c r="G20216" s="2"/>
      <c r="H20216" s="2"/>
    </row>
    <row r="20217" spans="1:8" x14ac:dyDescent="0.25">
      <c r="A20217" s="1"/>
      <c r="B20217" s="1" t="s">
        <v>6862</v>
      </c>
      <c r="C20217" s="1" t="s">
        <v>6863</v>
      </c>
      <c r="D20217" s="22" t="str">
        <f>HYPERLINK("https://rhld.insurance.arkansas.gov/NPILookup?Npi=1811663255","1811663255")</f>
        <v>1811663255</v>
      </c>
      <c r="E20217" s="1" t="s">
        <v>24856</v>
      </c>
      <c r="F20217" s="2"/>
      <c r="G20217" s="2"/>
      <c r="H20217" s="2"/>
    </row>
    <row r="20218" spans="1:8" x14ac:dyDescent="0.25">
      <c r="A20218" s="1"/>
      <c r="B20218" s="1" t="s">
        <v>6862</v>
      </c>
      <c r="C20218" s="1" t="s">
        <v>6863</v>
      </c>
      <c r="D20218" s="22" t="str">
        <f>HYPERLINK("https://rhld.insurance.arkansas.gov/NPILookup?Npi=1811664634","1811664634")</f>
        <v>1811664634</v>
      </c>
      <c r="E20218" s="1" t="s">
        <v>24857</v>
      </c>
      <c r="F20218" s="2"/>
      <c r="G20218" s="2"/>
      <c r="H20218" s="2"/>
    </row>
    <row r="20219" spans="1:8" x14ac:dyDescent="0.25">
      <c r="A20219" s="1"/>
      <c r="B20219" s="1" t="s">
        <v>6862</v>
      </c>
      <c r="C20219" s="1" t="s">
        <v>6863</v>
      </c>
      <c r="D20219" s="22" t="str">
        <f>HYPERLINK("https://rhld.insurance.arkansas.gov/NPILookup?Npi=1811670037","1811670037")</f>
        <v>1811670037</v>
      </c>
      <c r="E20219" s="1" t="s">
        <v>7195</v>
      </c>
      <c r="F20219" s="2"/>
      <c r="G20219" s="2"/>
      <c r="H20219" s="2"/>
    </row>
    <row r="20220" spans="1:8" x14ac:dyDescent="0.25">
      <c r="A20220" s="1"/>
      <c r="B20220" s="1" t="s">
        <v>6862</v>
      </c>
      <c r="C20220" s="1" t="s">
        <v>6863</v>
      </c>
      <c r="D20220" s="22" t="str">
        <f>HYPERLINK("https://rhld.insurance.arkansas.gov/NPILookup?Npi=1811679202","1811679202")</f>
        <v>1811679202</v>
      </c>
      <c r="E20220" s="1" t="s">
        <v>32056</v>
      </c>
      <c r="F20220" s="2"/>
      <c r="G20220" s="2"/>
      <c r="H20220" s="2"/>
    </row>
    <row r="20221" spans="1:8" x14ac:dyDescent="0.25">
      <c r="A20221" s="1"/>
      <c r="B20221" s="1" t="s">
        <v>6862</v>
      </c>
      <c r="C20221" s="1" t="s">
        <v>6863</v>
      </c>
      <c r="D20221" s="22" t="str">
        <f>HYPERLINK("https://rhld.insurance.arkansas.gov/NPILookup?Npi=1811683246","1811683246")</f>
        <v>1811683246</v>
      </c>
      <c r="E20221" s="1" t="s">
        <v>24858</v>
      </c>
      <c r="F20221" s="2"/>
      <c r="G20221" s="2"/>
      <c r="H20221" s="2"/>
    </row>
    <row r="20222" spans="1:8" x14ac:dyDescent="0.25">
      <c r="A20222" s="1"/>
      <c r="B20222" s="1" t="s">
        <v>6862</v>
      </c>
      <c r="C20222" s="1" t="s">
        <v>6863</v>
      </c>
      <c r="D20222" s="22" t="str">
        <f>HYPERLINK("https://rhld.insurance.arkansas.gov/NPILookup?Npi=1811714082","1811714082")</f>
        <v>1811714082</v>
      </c>
      <c r="E20222" s="1" t="s">
        <v>32057</v>
      </c>
      <c r="F20222" s="2"/>
      <c r="G20222" s="2"/>
      <c r="H20222" s="2"/>
    </row>
    <row r="20223" spans="1:8" x14ac:dyDescent="0.25">
      <c r="A20223" s="1"/>
      <c r="B20223" s="1" t="s">
        <v>6862</v>
      </c>
      <c r="C20223" s="1" t="s">
        <v>6863</v>
      </c>
      <c r="D20223" s="22" t="str">
        <f>HYPERLINK("https://rhld.insurance.arkansas.gov/NPILookup?Npi=1811723893","1811723893")</f>
        <v>1811723893</v>
      </c>
      <c r="E20223" s="1" t="s">
        <v>24859</v>
      </c>
      <c r="F20223" s="2"/>
      <c r="G20223" s="2"/>
      <c r="H20223" s="2"/>
    </row>
    <row r="20224" spans="1:8" x14ac:dyDescent="0.25">
      <c r="A20224" s="1"/>
      <c r="B20224" s="1" t="s">
        <v>6862</v>
      </c>
      <c r="C20224" s="1" t="s">
        <v>6863</v>
      </c>
      <c r="D20224" s="22" t="str">
        <f>HYPERLINK("https://rhld.insurance.arkansas.gov/NPILookup?Npi=1811727167","1811727167")</f>
        <v>1811727167</v>
      </c>
      <c r="E20224" s="1" t="s">
        <v>24860</v>
      </c>
      <c r="F20224" s="2"/>
      <c r="G20224" s="2"/>
      <c r="H20224" s="2"/>
    </row>
    <row r="20225" spans="1:8" x14ac:dyDescent="0.25">
      <c r="A20225" s="1"/>
      <c r="B20225" s="1" t="s">
        <v>6862</v>
      </c>
      <c r="C20225" s="1" t="s">
        <v>6863</v>
      </c>
      <c r="D20225" s="22" t="str">
        <f>HYPERLINK("https://rhld.insurance.arkansas.gov/NPILookup?Npi=1811762800","1811762800")</f>
        <v>1811762800</v>
      </c>
      <c r="E20225" s="1" t="s">
        <v>24861</v>
      </c>
      <c r="F20225" s="2"/>
      <c r="G20225" s="2"/>
      <c r="H20225" s="2"/>
    </row>
    <row r="20226" spans="1:8" x14ac:dyDescent="0.25">
      <c r="A20226" s="1"/>
      <c r="B20226" s="1" t="s">
        <v>6862</v>
      </c>
      <c r="C20226" s="1" t="s">
        <v>6863</v>
      </c>
      <c r="D20226" s="22" t="str">
        <f>HYPERLINK("https://rhld.insurance.arkansas.gov/NPILookup?Npi=1811978190","1811978190")</f>
        <v>1811978190</v>
      </c>
      <c r="E20226" s="1" t="s">
        <v>7196</v>
      </c>
      <c r="F20226" s="2"/>
      <c r="G20226" s="2"/>
      <c r="H20226" s="2"/>
    </row>
    <row r="20227" spans="1:8" x14ac:dyDescent="0.25">
      <c r="A20227" s="1"/>
      <c r="B20227" s="1" t="s">
        <v>6862</v>
      </c>
      <c r="C20227" s="1" t="s">
        <v>6863</v>
      </c>
      <c r="D20227" s="22" t="str">
        <f>HYPERLINK("https://rhld.insurance.arkansas.gov/NPILookup?Npi=1821068180","1821068180")</f>
        <v>1821068180</v>
      </c>
      <c r="E20227" s="1" t="s">
        <v>12509</v>
      </c>
      <c r="F20227" s="2"/>
      <c r="G20227" s="2"/>
      <c r="H20227" s="2"/>
    </row>
    <row r="20228" spans="1:8" x14ac:dyDescent="0.25">
      <c r="A20228" s="1"/>
      <c r="B20228" s="1" t="s">
        <v>6862</v>
      </c>
      <c r="C20228" s="1" t="s">
        <v>6863</v>
      </c>
      <c r="D20228" s="22" t="str">
        <f>HYPERLINK("https://rhld.insurance.arkansas.gov/NPILookup?Npi=1821100397","1821100397")</f>
        <v>1821100397</v>
      </c>
      <c r="E20228" s="1" t="s">
        <v>24862</v>
      </c>
      <c r="F20228" s="2"/>
      <c r="G20228" s="2"/>
      <c r="H20228" s="2"/>
    </row>
    <row r="20229" spans="1:8" x14ac:dyDescent="0.25">
      <c r="A20229" s="1"/>
      <c r="B20229" s="1" t="s">
        <v>6862</v>
      </c>
      <c r="C20229" s="1" t="s">
        <v>6863</v>
      </c>
      <c r="D20229" s="22" t="str">
        <f>HYPERLINK("https://rhld.insurance.arkansas.gov/NPILookup?Npi=1821152257","1821152257")</f>
        <v>1821152257</v>
      </c>
      <c r="E20229" s="1" t="s">
        <v>24863</v>
      </c>
      <c r="F20229" s="2"/>
      <c r="G20229" s="2"/>
      <c r="H20229" s="2"/>
    </row>
    <row r="20230" spans="1:8" x14ac:dyDescent="0.25">
      <c r="A20230" s="1"/>
      <c r="B20230" s="1" t="s">
        <v>6862</v>
      </c>
      <c r="C20230" s="1" t="s">
        <v>6863</v>
      </c>
      <c r="D20230" s="22" t="str">
        <f>HYPERLINK("https://rhld.insurance.arkansas.gov/NPILookup?Npi=1821260639","1821260639")</f>
        <v>1821260639</v>
      </c>
      <c r="E20230" s="1" t="s">
        <v>24864</v>
      </c>
      <c r="F20230" s="2"/>
      <c r="G20230" s="2"/>
      <c r="H20230" s="2"/>
    </row>
    <row r="20231" spans="1:8" x14ac:dyDescent="0.25">
      <c r="A20231" s="1"/>
      <c r="B20231" s="1" t="s">
        <v>6862</v>
      </c>
      <c r="C20231" s="1" t="s">
        <v>6863</v>
      </c>
      <c r="D20231" s="22" t="str">
        <f>HYPERLINK("https://rhld.insurance.arkansas.gov/NPILookup?Npi=1821327800","1821327800")</f>
        <v>1821327800</v>
      </c>
      <c r="E20231" s="1" t="s">
        <v>7198</v>
      </c>
      <c r="F20231" s="2"/>
      <c r="G20231" s="2"/>
      <c r="H20231" s="2"/>
    </row>
    <row r="20232" spans="1:8" x14ac:dyDescent="0.25">
      <c r="A20232" s="1"/>
      <c r="B20232" s="1" t="s">
        <v>6862</v>
      </c>
      <c r="C20232" s="1" t="s">
        <v>6863</v>
      </c>
      <c r="D20232" s="22" t="str">
        <f>HYPERLINK("https://rhld.insurance.arkansas.gov/NPILookup?Npi=1821469750","1821469750")</f>
        <v>1821469750</v>
      </c>
      <c r="E20232" s="1" t="s">
        <v>24865</v>
      </c>
      <c r="F20232" s="2"/>
      <c r="G20232" s="2"/>
      <c r="H20232" s="2"/>
    </row>
    <row r="20233" spans="1:8" x14ac:dyDescent="0.25">
      <c r="A20233" s="1"/>
      <c r="B20233" s="1" t="s">
        <v>6862</v>
      </c>
      <c r="C20233" s="1" t="s">
        <v>6863</v>
      </c>
      <c r="D20233" s="22" t="str">
        <f>HYPERLINK("https://rhld.insurance.arkansas.gov/NPILookup?Npi=1821634064","1821634064")</f>
        <v>1821634064</v>
      </c>
      <c r="E20233" s="1" t="s">
        <v>24866</v>
      </c>
      <c r="F20233" s="2"/>
      <c r="G20233" s="2"/>
      <c r="H20233" s="2"/>
    </row>
    <row r="20234" spans="1:8" x14ac:dyDescent="0.25">
      <c r="A20234" s="1"/>
      <c r="B20234" s="1" t="s">
        <v>6862</v>
      </c>
      <c r="C20234" s="1" t="s">
        <v>6863</v>
      </c>
      <c r="D20234" s="22" t="str">
        <f>HYPERLINK("https://rhld.insurance.arkansas.gov/NPILookup?Npi=1821712621","1821712621")</f>
        <v>1821712621</v>
      </c>
      <c r="E20234" s="1" t="s">
        <v>24867</v>
      </c>
      <c r="F20234" s="2"/>
      <c r="G20234" s="2"/>
      <c r="H20234" s="2"/>
    </row>
    <row r="20235" spans="1:8" x14ac:dyDescent="0.25">
      <c r="A20235" s="1"/>
      <c r="B20235" s="1" t="s">
        <v>6862</v>
      </c>
      <c r="C20235" s="1" t="s">
        <v>6863</v>
      </c>
      <c r="D20235" s="22" t="str">
        <f>HYPERLINK("https://rhld.insurance.arkansas.gov/NPILookup?Npi=1821725235","1821725235")</f>
        <v>1821725235</v>
      </c>
      <c r="E20235" s="1" t="s">
        <v>1142</v>
      </c>
      <c r="F20235" s="2"/>
      <c r="G20235" s="2"/>
      <c r="H20235" s="2"/>
    </row>
    <row r="20236" spans="1:8" x14ac:dyDescent="0.25">
      <c r="A20236" s="1"/>
      <c r="B20236" s="1" t="s">
        <v>6862</v>
      </c>
      <c r="C20236" s="1" t="s">
        <v>6863</v>
      </c>
      <c r="D20236" s="22" t="str">
        <f>HYPERLINK("https://rhld.insurance.arkansas.gov/NPILookup?Npi=1821736109","1821736109")</f>
        <v>1821736109</v>
      </c>
      <c r="E20236" s="1" t="s">
        <v>24868</v>
      </c>
      <c r="F20236" s="2"/>
      <c r="G20236" s="2"/>
      <c r="H20236" s="2"/>
    </row>
    <row r="20237" spans="1:8" x14ac:dyDescent="0.25">
      <c r="A20237" s="1"/>
      <c r="B20237" s="1" t="s">
        <v>6862</v>
      </c>
      <c r="C20237" s="1" t="s">
        <v>6863</v>
      </c>
      <c r="D20237" s="22" t="str">
        <f>HYPERLINK("https://rhld.insurance.arkansas.gov/NPILookup?Npi=1821760646","1821760646")</f>
        <v>1821760646</v>
      </c>
      <c r="E20237" s="1" t="s">
        <v>24869</v>
      </c>
      <c r="F20237" s="2"/>
      <c r="G20237" s="2"/>
      <c r="H20237" s="2"/>
    </row>
    <row r="20238" spans="1:8" x14ac:dyDescent="0.25">
      <c r="A20238" s="1"/>
      <c r="B20238" s="1" t="s">
        <v>6862</v>
      </c>
      <c r="C20238" s="1" t="s">
        <v>6863</v>
      </c>
      <c r="D20238" s="22" t="str">
        <f>HYPERLINK("https://rhld.insurance.arkansas.gov/NPILookup?Npi=1821764028","1821764028")</f>
        <v>1821764028</v>
      </c>
      <c r="E20238" s="1" t="s">
        <v>24870</v>
      </c>
      <c r="F20238" s="2"/>
      <c r="G20238" s="2"/>
      <c r="H20238" s="2"/>
    </row>
    <row r="20239" spans="1:8" x14ac:dyDescent="0.25">
      <c r="A20239" s="1"/>
      <c r="B20239" s="1" t="s">
        <v>6862</v>
      </c>
      <c r="C20239" s="1" t="s">
        <v>6863</v>
      </c>
      <c r="D20239" s="22" t="str">
        <f>HYPERLINK("https://rhld.insurance.arkansas.gov/NPILookup?Npi=1821805292","1821805292")</f>
        <v>1821805292</v>
      </c>
      <c r="E20239" s="1" t="s">
        <v>32058</v>
      </c>
      <c r="F20239" s="2"/>
      <c r="G20239" s="2"/>
      <c r="H20239" s="2"/>
    </row>
    <row r="20240" spans="1:8" x14ac:dyDescent="0.25">
      <c r="A20240" s="1"/>
      <c r="B20240" s="1" t="s">
        <v>6862</v>
      </c>
      <c r="C20240" s="1" t="s">
        <v>6863</v>
      </c>
      <c r="D20240" s="22" t="str">
        <f>HYPERLINK("https://rhld.insurance.arkansas.gov/NPILookup?Npi=1821811878","1821811878")</f>
        <v>1821811878</v>
      </c>
      <c r="E20240" s="1" t="s">
        <v>32059</v>
      </c>
      <c r="F20240" s="2"/>
      <c r="G20240" s="2"/>
      <c r="H20240" s="2"/>
    </row>
    <row r="20241" spans="1:8" x14ac:dyDescent="0.25">
      <c r="A20241" s="1"/>
      <c r="B20241" s="1" t="s">
        <v>6862</v>
      </c>
      <c r="C20241" s="1" t="s">
        <v>6863</v>
      </c>
      <c r="D20241" s="22" t="str">
        <f>HYPERLINK("https://rhld.insurance.arkansas.gov/NPILookup?Npi=1831113588","1831113588")</f>
        <v>1831113588</v>
      </c>
      <c r="E20241" s="1" t="s">
        <v>7199</v>
      </c>
      <c r="F20241" s="2"/>
      <c r="G20241" s="2"/>
      <c r="H20241" s="2"/>
    </row>
    <row r="20242" spans="1:8" x14ac:dyDescent="0.25">
      <c r="A20242" s="1"/>
      <c r="B20242" s="1" t="s">
        <v>6862</v>
      </c>
      <c r="C20242" s="1" t="s">
        <v>6863</v>
      </c>
      <c r="D20242" s="22" t="str">
        <f>HYPERLINK("https://rhld.insurance.arkansas.gov/NPILookup?Npi=1831367556","1831367556")</f>
        <v>1831367556</v>
      </c>
      <c r="E20242" s="1" t="s">
        <v>24871</v>
      </c>
      <c r="F20242" s="2"/>
      <c r="G20242" s="2"/>
      <c r="H20242" s="2"/>
    </row>
    <row r="20243" spans="1:8" x14ac:dyDescent="0.25">
      <c r="A20243" s="1"/>
      <c r="B20243" s="1" t="s">
        <v>6862</v>
      </c>
      <c r="C20243" s="1" t="s">
        <v>6863</v>
      </c>
      <c r="D20243" s="22" t="str">
        <f>HYPERLINK("https://rhld.insurance.arkansas.gov/NPILookup?Npi=1831380328","1831380328")</f>
        <v>1831380328</v>
      </c>
      <c r="E20243" s="1" t="s">
        <v>24872</v>
      </c>
      <c r="F20243" s="2"/>
      <c r="G20243" s="2"/>
      <c r="H20243" s="2"/>
    </row>
    <row r="20244" spans="1:8" x14ac:dyDescent="0.25">
      <c r="A20244" s="1"/>
      <c r="B20244" s="1" t="s">
        <v>6862</v>
      </c>
      <c r="C20244" s="1" t="s">
        <v>6863</v>
      </c>
      <c r="D20244" s="22" t="str">
        <f>HYPERLINK("https://rhld.insurance.arkansas.gov/NPILookup?Npi=1831415413","1831415413")</f>
        <v>1831415413</v>
      </c>
      <c r="E20244" s="1" t="s">
        <v>24873</v>
      </c>
      <c r="F20244" s="2"/>
      <c r="G20244" s="2"/>
      <c r="H20244" s="2"/>
    </row>
    <row r="20245" spans="1:8" x14ac:dyDescent="0.25">
      <c r="A20245" s="1"/>
      <c r="B20245" s="1" t="s">
        <v>6862</v>
      </c>
      <c r="C20245" s="1" t="s">
        <v>6863</v>
      </c>
      <c r="D20245" s="22" t="str">
        <f>HYPERLINK("https://rhld.insurance.arkansas.gov/NPILookup?Npi=1831461979","1831461979")</f>
        <v>1831461979</v>
      </c>
      <c r="E20245" s="1" t="s">
        <v>24874</v>
      </c>
      <c r="F20245" s="2"/>
      <c r="G20245" s="2"/>
      <c r="H20245" s="2"/>
    </row>
    <row r="20246" spans="1:8" x14ac:dyDescent="0.25">
      <c r="A20246" s="1"/>
      <c r="B20246" s="1" t="s">
        <v>6862</v>
      </c>
      <c r="C20246" s="1" t="s">
        <v>6863</v>
      </c>
      <c r="D20246" s="22" t="str">
        <f>HYPERLINK("https://rhld.insurance.arkansas.gov/NPILookup?Npi=1831577121","1831577121")</f>
        <v>1831577121</v>
      </c>
      <c r="E20246" s="1" t="s">
        <v>24875</v>
      </c>
      <c r="F20246" s="2"/>
      <c r="G20246" s="2"/>
      <c r="H20246" s="2"/>
    </row>
    <row r="20247" spans="1:8" x14ac:dyDescent="0.25">
      <c r="A20247" s="1"/>
      <c r="B20247" s="1" t="s">
        <v>6862</v>
      </c>
      <c r="C20247" s="1" t="s">
        <v>6863</v>
      </c>
      <c r="D20247" s="22" t="str">
        <f>HYPERLINK("https://rhld.insurance.arkansas.gov/NPILookup?Npi=1831630508","1831630508")</f>
        <v>1831630508</v>
      </c>
      <c r="E20247" s="1" t="s">
        <v>24876</v>
      </c>
      <c r="F20247" s="2"/>
      <c r="G20247" s="2"/>
      <c r="H20247" s="2"/>
    </row>
    <row r="20248" spans="1:8" x14ac:dyDescent="0.25">
      <c r="A20248" s="1"/>
      <c r="B20248" s="1" t="s">
        <v>6862</v>
      </c>
      <c r="C20248" s="1" t="s">
        <v>6863</v>
      </c>
      <c r="D20248" s="22" t="str">
        <f>HYPERLINK("https://rhld.insurance.arkansas.gov/NPILookup?Npi=1831670314","1831670314")</f>
        <v>1831670314</v>
      </c>
      <c r="E20248" s="1" t="s">
        <v>24877</v>
      </c>
      <c r="F20248" s="2"/>
      <c r="G20248" s="2"/>
      <c r="H20248" s="2"/>
    </row>
    <row r="20249" spans="1:8" x14ac:dyDescent="0.25">
      <c r="A20249" s="1"/>
      <c r="B20249" s="1" t="s">
        <v>6862</v>
      </c>
      <c r="C20249" s="1" t="s">
        <v>6863</v>
      </c>
      <c r="D20249" s="22" t="str">
        <f>HYPERLINK("https://rhld.insurance.arkansas.gov/NPILookup?Npi=1831670504","1831670504")</f>
        <v>1831670504</v>
      </c>
      <c r="E20249" s="1" t="s">
        <v>7201</v>
      </c>
      <c r="F20249" s="2"/>
      <c r="G20249" s="2"/>
      <c r="H20249" s="2"/>
    </row>
    <row r="20250" spans="1:8" x14ac:dyDescent="0.25">
      <c r="A20250" s="1"/>
      <c r="B20250" s="1" t="s">
        <v>6862</v>
      </c>
      <c r="C20250" s="1" t="s">
        <v>6863</v>
      </c>
      <c r="D20250" s="22" t="str">
        <f>HYPERLINK("https://rhld.insurance.arkansas.gov/NPILookup?Npi=1831671908","1831671908")</f>
        <v>1831671908</v>
      </c>
      <c r="E20250" s="1" t="s">
        <v>24878</v>
      </c>
      <c r="F20250" s="2"/>
      <c r="G20250" s="2"/>
      <c r="H20250" s="2"/>
    </row>
    <row r="20251" spans="1:8" x14ac:dyDescent="0.25">
      <c r="A20251" s="1"/>
      <c r="B20251" s="1" t="s">
        <v>6862</v>
      </c>
      <c r="C20251" s="1" t="s">
        <v>6863</v>
      </c>
      <c r="D20251" s="22" t="str">
        <f>HYPERLINK("https://rhld.insurance.arkansas.gov/NPILookup?Npi=1831672146","1831672146")</f>
        <v>1831672146</v>
      </c>
      <c r="E20251" s="1" t="s">
        <v>7202</v>
      </c>
      <c r="F20251" s="2"/>
      <c r="G20251" s="2"/>
      <c r="H20251" s="2"/>
    </row>
    <row r="20252" spans="1:8" x14ac:dyDescent="0.25">
      <c r="A20252" s="1"/>
      <c r="B20252" s="1" t="s">
        <v>6862</v>
      </c>
      <c r="C20252" s="1" t="s">
        <v>6863</v>
      </c>
      <c r="D20252" s="22" t="str">
        <f>HYPERLINK("https://rhld.insurance.arkansas.gov/NPILookup?Npi=1831744911","1831744911")</f>
        <v>1831744911</v>
      </c>
      <c r="E20252" s="1" t="s">
        <v>7203</v>
      </c>
      <c r="F20252" s="2"/>
      <c r="G20252" s="2"/>
      <c r="H20252" s="2"/>
    </row>
    <row r="20253" spans="1:8" x14ac:dyDescent="0.25">
      <c r="A20253" s="1"/>
      <c r="B20253" s="1" t="s">
        <v>6862</v>
      </c>
      <c r="C20253" s="1" t="s">
        <v>6863</v>
      </c>
      <c r="D20253" s="22" t="str">
        <f>HYPERLINK("https://rhld.insurance.arkansas.gov/NPILookup?Npi=1831819259","1831819259")</f>
        <v>1831819259</v>
      </c>
      <c r="E20253" s="1" t="s">
        <v>24879</v>
      </c>
      <c r="F20253" s="2"/>
      <c r="G20253" s="2"/>
      <c r="H20253" s="2"/>
    </row>
    <row r="20254" spans="1:8" x14ac:dyDescent="0.25">
      <c r="A20254" s="1"/>
      <c r="B20254" s="1" t="s">
        <v>6862</v>
      </c>
      <c r="C20254" s="1" t="s">
        <v>6863</v>
      </c>
      <c r="D20254" s="22" t="str">
        <f>HYPERLINK("https://rhld.insurance.arkansas.gov/NPILookup?Npi=1831819317","1831819317")</f>
        <v>1831819317</v>
      </c>
      <c r="E20254" s="1" t="s">
        <v>24880</v>
      </c>
      <c r="F20254" s="2"/>
      <c r="G20254" s="2"/>
      <c r="H20254" s="2"/>
    </row>
    <row r="20255" spans="1:8" x14ac:dyDescent="0.25">
      <c r="A20255" s="1"/>
      <c r="B20255" s="1" t="s">
        <v>6862</v>
      </c>
      <c r="C20255" s="1" t="s">
        <v>6863</v>
      </c>
      <c r="D20255" s="22" t="str">
        <f>HYPERLINK("https://rhld.insurance.arkansas.gov/NPILookup?Npi=1831873454","1831873454")</f>
        <v>1831873454</v>
      </c>
      <c r="E20255" s="1" t="s">
        <v>24881</v>
      </c>
      <c r="F20255" s="2"/>
      <c r="G20255" s="2"/>
      <c r="H20255" s="2"/>
    </row>
    <row r="20256" spans="1:8" x14ac:dyDescent="0.25">
      <c r="A20256" s="1"/>
      <c r="B20256" s="1" t="s">
        <v>6862</v>
      </c>
      <c r="C20256" s="1" t="s">
        <v>6863</v>
      </c>
      <c r="D20256" s="22" t="str">
        <f>HYPERLINK("https://rhld.insurance.arkansas.gov/NPILookup?Npi=1831974203","1831974203")</f>
        <v>1831974203</v>
      </c>
      <c r="E20256" s="1" t="s">
        <v>5878</v>
      </c>
      <c r="F20256" s="2"/>
      <c r="G20256" s="2"/>
      <c r="H20256" s="2"/>
    </row>
    <row r="20257" spans="1:8" x14ac:dyDescent="0.25">
      <c r="A20257" s="1"/>
      <c r="B20257" s="1" t="s">
        <v>6862</v>
      </c>
      <c r="C20257" s="1" t="s">
        <v>6863</v>
      </c>
      <c r="D20257" s="22" t="str">
        <f>HYPERLINK("https://rhld.insurance.arkansas.gov/NPILookup?Npi=1841060423","1841060423")</f>
        <v>1841060423</v>
      </c>
      <c r="E20257" s="1" t="s">
        <v>6551</v>
      </c>
      <c r="F20257" s="2"/>
      <c r="G20257" s="2"/>
      <c r="H20257" s="2"/>
    </row>
    <row r="20258" spans="1:8" x14ac:dyDescent="0.25">
      <c r="A20258" s="1"/>
      <c r="B20258" s="1" t="s">
        <v>6862</v>
      </c>
      <c r="C20258" s="1" t="s">
        <v>6863</v>
      </c>
      <c r="D20258" s="22" t="str">
        <f>HYPERLINK("https://rhld.insurance.arkansas.gov/NPILookup?Npi=1841203585","1841203585")</f>
        <v>1841203585</v>
      </c>
      <c r="E20258" s="1" t="s">
        <v>24882</v>
      </c>
      <c r="F20258" s="2"/>
      <c r="G20258" s="2"/>
      <c r="H20258" s="2"/>
    </row>
    <row r="20259" spans="1:8" x14ac:dyDescent="0.25">
      <c r="A20259" s="1"/>
      <c r="B20259" s="1" t="s">
        <v>6862</v>
      </c>
      <c r="C20259" s="1" t="s">
        <v>6863</v>
      </c>
      <c r="D20259" s="22" t="str">
        <f>HYPERLINK("https://rhld.insurance.arkansas.gov/NPILookup?Npi=1841250198","1841250198")</f>
        <v>1841250198</v>
      </c>
      <c r="E20259" s="1" t="s">
        <v>7204</v>
      </c>
      <c r="F20259" s="2"/>
      <c r="G20259" s="2"/>
      <c r="H20259" s="2"/>
    </row>
    <row r="20260" spans="1:8" x14ac:dyDescent="0.25">
      <c r="A20260" s="1"/>
      <c r="B20260" s="1" t="s">
        <v>6862</v>
      </c>
      <c r="C20260" s="1" t="s">
        <v>6863</v>
      </c>
      <c r="D20260" s="22" t="str">
        <f>HYPERLINK("https://rhld.insurance.arkansas.gov/NPILookup?Npi=1841257060","1841257060")</f>
        <v>1841257060</v>
      </c>
      <c r="E20260" s="1" t="s">
        <v>933</v>
      </c>
      <c r="F20260" s="2"/>
      <c r="G20260" s="2"/>
      <c r="H20260" s="2"/>
    </row>
    <row r="20261" spans="1:8" x14ac:dyDescent="0.25">
      <c r="A20261" s="1"/>
      <c r="B20261" s="1" t="s">
        <v>6862</v>
      </c>
      <c r="C20261" s="1" t="s">
        <v>6863</v>
      </c>
      <c r="D20261" s="22" t="str">
        <f>HYPERLINK("https://rhld.insurance.arkansas.gov/NPILookup?Npi=1841257615","1841257615")</f>
        <v>1841257615</v>
      </c>
      <c r="E20261" s="1" t="s">
        <v>24883</v>
      </c>
      <c r="F20261" s="2"/>
      <c r="G20261" s="2"/>
      <c r="H20261" s="2"/>
    </row>
    <row r="20262" spans="1:8" x14ac:dyDescent="0.25">
      <c r="A20262" s="1"/>
      <c r="B20262" s="1" t="s">
        <v>6862</v>
      </c>
      <c r="C20262" s="1" t="s">
        <v>6863</v>
      </c>
      <c r="D20262" s="22" t="str">
        <f>HYPERLINK("https://rhld.insurance.arkansas.gov/NPILookup?Npi=1841380789","1841380789")</f>
        <v>1841380789</v>
      </c>
      <c r="E20262" s="1" t="s">
        <v>7205</v>
      </c>
      <c r="F20262" s="2"/>
      <c r="G20262" s="2"/>
      <c r="H20262" s="2"/>
    </row>
    <row r="20263" spans="1:8" x14ac:dyDescent="0.25">
      <c r="A20263" s="1"/>
      <c r="B20263" s="1" t="s">
        <v>6862</v>
      </c>
      <c r="C20263" s="1" t="s">
        <v>6863</v>
      </c>
      <c r="D20263" s="22" t="str">
        <f>HYPERLINK("https://rhld.insurance.arkansas.gov/NPILookup?Npi=1841500923","1841500923")</f>
        <v>1841500923</v>
      </c>
      <c r="E20263" s="1" t="s">
        <v>7206</v>
      </c>
      <c r="F20263" s="2"/>
      <c r="G20263" s="2"/>
      <c r="H20263" s="2"/>
    </row>
    <row r="20264" spans="1:8" x14ac:dyDescent="0.25">
      <c r="A20264" s="1"/>
      <c r="B20264" s="1" t="s">
        <v>6862</v>
      </c>
      <c r="C20264" s="1" t="s">
        <v>6863</v>
      </c>
      <c r="D20264" s="22" t="str">
        <f>HYPERLINK("https://rhld.insurance.arkansas.gov/NPILookup?Npi=1841507043","1841507043")</f>
        <v>1841507043</v>
      </c>
      <c r="E20264" s="1" t="s">
        <v>7207</v>
      </c>
      <c r="F20264" s="2"/>
      <c r="G20264" s="2"/>
      <c r="H20264" s="2"/>
    </row>
    <row r="20265" spans="1:8" x14ac:dyDescent="0.25">
      <c r="A20265" s="1"/>
      <c r="B20265" s="1" t="s">
        <v>6862</v>
      </c>
      <c r="C20265" s="1" t="s">
        <v>6863</v>
      </c>
      <c r="D20265" s="22" t="str">
        <f>HYPERLINK("https://rhld.insurance.arkansas.gov/NPILookup?Npi=1841507878","1841507878")</f>
        <v>1841507878</v>
      </c>
      <c r="E20265" s="1" t="s">
        <v>12510</v>
      </c>
      <c r="F20265" s="2"/>
      <c r="G20265" s="2"/>
      <c r="H20265" s="2"/>
    </row>
    <row r="20266" spans="1:8" x14ac:dyDescent="0.25">
      <c r="A20266" s="1"/>
      <c r="B20266" s="1" t="s">
        <v>6862</v>
      </c>
      <c r="C20266" s="1" t="s">
        <v>6863</v>
      </c>
      <c r="D20266" s="22" t="str">
        <f>HYPERLINK("https://rhld.insurance.arkansas.gov/NPILookup?Npi=1841551066","1841551066")</f>
        <v>1841551066</v>
      </c>
      <c r="E20266" s="1" t="s">
        <v>7208</v>
      </c>
      <c r="F20266" s="2"/>
      <c r="G20266" s="2"/>
      <c r="H20266" s="2"/>
    </row>
    <row r="20267" spans="1:8" x14ac:dyDescent="0.25">
      <c r="A20267" s="1"/>
      <c r="B20267" s="1" t="s">
        <v>6862</v>
      </c>
      <c r="C20267" s="1" t="s">
        <v>6863</v>
      </c>
      <c r="D20267" s="22" t="str">
        <f>HYPERLINK("https://rhld.insurance.arkansas.gov/NPILookup?Npi=1841582392","1841582392")</f>
        <v>1841582392</v>
      </c>
      <c r="E20267" s="1" t="s">
        <v>24884</v>
      </c>
      <c r="F20267" s="2"/>
      <c r="G20267" s="2"/>
      <c r="H20267" s="2"/>
    </row>
    <row r="20268" spans="1:8" x14ac:dyDescent="0.25">
      <c r="A20268" s="1"/>
      <c r="B20268" s="1" t="s">
        <v>6862</v>
      </c>
      <c r="C20268" s="1" t="s">
        <v>6863</v>
      </c>
      <c r="D20268" s="22" t="str">
        <f>HYPERLINK("https://rhld.insurance.arkansas.gov/NPILookup?Npi=1841589959","1841589959")</f>
        <v>1841589959</v>
      </c>
      <c r="E20268" s="1" t="s">
        <v>12511</v>
      </c>
      <c r="F20268" s="2"/>
      <c r="G20268" s="2"/>
      <c r="H20268" s="2"/>
    </row>
    <row r="20269" spans="1:8" x14ac:dyDescent="0.25">
      <c r="A20269" s="1"/>
      <c r="B20269" s="1" t="s">
        <v>6862</v>
      </c>
      <c r="C20269" s="1" t="s">
        <v>6863</v>
      </c>
      <c r="D20269" s="22" t="str">
        <f>HYPERLINK("https://rhld.insurance.arkansas.gov/NPILookup?Npi=1841605631","1841605631")</f>
        <v>1841605631</v>
      </c>
      <c r="E20269" s="1" t="s">
        <v>24885</v>
      </c>
      <c r="F20269" s="2"/>
      <c r="G20269" s="2"/>
      <c r="H20269" s="2"/>
    </row>
    <row r="20270" spans="1:8" x14ac:dyDescent="0.25">
      <c r="A20270" s="1"/>
      <c r="B20270" s="1" t="s">
        <v>6862</v>
      </c>
      <c r="C20270" s="1" t="s">
        <v>6863</v>
      </c>
      <c r="D20270" s="22" t="str">
        <f>HYPERLINK("https://rhld.insurance.arkansas.gov/NPILookup?Npi=1841624160","1841624160")</f>
        <v>1841624160</v>
      </c>
      <c r="E20270" s="1" t="s">
        <v>7209</v>
      </c>
      <c r="F20270" s="2"/>
      <c r="G20270" s="2"/>
      <c r="H20270" s="2"/>
    </row>
    <row r="20271" spans="1:8" x14ac:dyDescent="0.25">
      <c r="A20271" s="1"/>
      <c r="B20271" s="1" t="s">
        <v>6862</v>
      </c>
      <c r="C20271" s="1" t="s">
        <v>6863</v>
      </c>
      <c r="D20271" s="22" t="str">
        <f>HYPERLINK("https://rhld.insurance.arkansas.gov/NPILookup?Npi=1841695038","1841695038")</f>
        <v>1841695038</v>
      </c>
      <c r="E20271" s="1" t="s">
        <v>7210</v>
      </c>
      <c r="F20271" s="2"/>
      <c r="G20271" s="2"/>
      <c r="H20271" s="2"/>
    </row>
    <row r="20272" spans="1:8" x14ac:dyDescent="0.25">
      <c r="A20272" s="1"/>
      <c r="B20272" s="1" t="s">
        <v>6862</v>
      </c>
      <c r="C20272" s="1" t="s">
        <v>6863</v>
      </c>
      <c r="D20272" s="22" t="str">
        <f>HYPERLINK("https://rhld.insurance.arkansas.gov/NPILookup?Npi=1841839511","1841839511")</f>
        <v>1841839511</v>
      </c>
      <c r="E20272" s="1" t="s">
        <v>7211</v>
      </c>
      <c r="F20272" s="2"/>
      <c r="G20272" s="2"/>
      <c r="H20272" s="2"/>
    </row>
    <row r="20273" spans="1:8" x14ac:dyDescent="0.25">
      <c r="A20273" s="1"/>
      <c r="B20273" s="1" t="s">
        <v>6862</v>
      </c>
      <c r="C20273" s="1" t="s">
        <v>6863</v>
      </c>
      <c r="D20273" s="22" t="str">
        <f>HYPERLINK("https://rhld.insurance.arkansas.gov/NPILookup?Npi=1841845088","1841845088")</f>
        <v>1841845088</v>
      </c>
      <c r="E20273" s="1" t="s">
        <v>12512</v>
      </c>
      <c r="F20273" s="2"/>
      <c r="G20273" s="2"/>
      <c r="H20273" s="2"/>
    </row>
    <row r="20274" spans="1:8" x14ac:dyDescent="0.25">
      <c r="A20274" s="1"/>
      <c r="B20274" s="1" t="s">
        <v>6862</v>
      </c>
      <c r="C20274" s="1" t="s">
        <v>6863</v>
      </c>
      <c r="D20274" s="22" t="str">
        <f>HYPERLINK("https://rhld.insurance.arkansas.gov/NPILookup?Npi=1841966884","1841966884")</f>
        <v>1841966884</v>
      </c>
      <c r="E20274" s="1" t="s">
        <v>24886</v>
      </c>
      <c r="F20274" s="2"/>
      <c r="G20274" s="2"/>
      <c r="H20274" s="2"/>
    </row>
    <row r="20275" spans="1:8" x14ac:dyDescent="0.25">
      <c r="A20275" s="1"/>
      <c r="B20275" s="1" t="s">
        <v>6862</v>
      </c>
      <c r="C20275" s="1" t="s">
        <v>6863</v>
      </c>
      <c r="D20275" s="22" t="str">
        <f>HYPERLINK("https://rhld.insurance.arkansas.gov/NPILookup?Npi=1851004105","1851004105")</f>
        <v>1851004105</v>
      </c>
      <c r="E20275" s="1" t="s">
        <v>24887</v>
      </c>
      <c r="F20275" s="2"/>
      <c r="G20275" s="2"/>
      <c r="H20275" s="2"/>
    </row>
    <row r="20276" spans="1:8" x14ac:dyDescent="0.25">
      <c r="A20276" s="1"/>
      <c r="B20276" s="1" t="s">
        <v>6862</v>
      </c>
      <c r="C20276" s="1" t="s">
        <v>6863</v>
      </c>
      <c r="D20276" s="22" t="str">
        <f>HYPERLINK("https://rhld.insurance.arkansas.gov/NPILookup?Npi=1851008320","1851008320")</f>
        <v>1851008320</v>
      </c>
      <c r="E20276" s="1" t="s">
        <v>24888</v>
      </c>
      <c r="F20276" s="2"/>
      <c r="G20276" s="2"/>
      <c r="H20276" s="2"/>
    </row>
    <row r="20277" spans="1:8" x14ac:dyDescent="0.25">
      <c r="A20277" s="1"/>
      <c r="B20277" s="1" t="s">
        <v>6862</v>
      </c>
      <c r="C20277" s="1" t="s">
        <v>6863</v>
      </c>
      <c r="D20277" s="22" t="str">
        <f>HYPERLINK("https://rhld.insurance.arkansas.gov/NPILookup?Npi=1851055743","1851055743")</f>
        <v>1851055743</v>
      </c>
      <c r="E20277" s="1" t="s">
        <v>7172</v>
      </c>
      <c r="F20277" s="2"/>
      <c r="G20277" s="2"/>
      <c r="H20277" s="2"/>
    </row>
    <row r="20278" spans="1:8" x14ac:dyDescent="0.25">
      <c r="A20278" s="1"/>
      <c r="B20278" s="1" t="s">
        <v>6862</v>
      </c>
      <c r="C20278" s="1" t="s">
        <v>6863</v>
      </c>
      <c r="D20278" s="22" t="str">
        <f>HYPERLINK("https://rhld.insurance.arkansas.gov/NPILookup?Npi=1851056220","1851056220")</f>
        <v>1851056220</v>
      </c>
      <c r="E20278" s="1" t="s">
        <v>24889</v>
      </c>
      <c r="F20278" s="2"/>
      <c r="G20278" s="2"/>
      <c r="H20278" s="2"/>
    </row>
    <row r="20279" spans="1:8" x14ac:dyDescent="0.25">
      <c r="A20279" s="1"/>
      <c r="B20279" s="1" t="s">
        <v>6862</v>
      </c>
      <c r="C20279" s="1" t="s">
        <v>6863</v>
      </c>
      <c r="D20279" s="22" t="str">
        <f>HYPERLINK("https://rhld.insurance.arkansas.gov/NPILookup?Npi=1851085021","1851085021")</f>
        <v>1851085021</v>
      </c>
      <c r="E20279" s="1" t="s">
        <v>7213</v>
      </c>
      <c r="F20279" s="2"/>
      <c r="G20279" s="2"/>
      <c r="H20279" s="2"/>
    </row>
    <row r="20280" spans="1:8" x14ac:dyDescent="0.25">
      <c r="A20280" s="1"/>
      <c r="B20280" s="1" t="s">
        <v>6862</v>
      </c>
      <c r="C20280" s="1" t="s">
        <v>6863</v>
      </c>
      <c r="D20280" s="22" t="str">
        <f>HYPERLINK("https://rhld.insurance.arkansas.gov/NPILookup?Npi=1851097174","1851097174")</f>
        <v>1851097174</v>
      </c>
      <c r="E20280" s="1" t="s">
        <v>7214</v>
      </c>
      <c r="F20280" s="2"/>
      <c r="G20280" s="2"/>
      <c r="H20280" s="2"/>
    </row>
    <row r="20281" spans="1:8" x14ac:dyDescent="0.25">
      <c r="A20281" s="1"/>
      <c r="B20281" s="1" t="s">
        <v>6862</v>
      </c>
      <c r="C20281" s="1" t="s">
        <v>6863</v>
      </c>
      <c r="D20281" s="22" t="str">
        <f>HYPERLINK("https://rhld.insurance.arkansas.gov/NPILookup?Npi=1851125421","1851125421")</f>
        <v>1851125421</v>
      </c>
      <c r="E20281" s="1" t="s">
        <v>24890</v>
      </c>
      <c r="F20281" s="2"/>
      <c r="G20281" s="2"/>
      <c r="H20281" s="2"/>
    </row>
    <row r="20282" spans="1:8" x14ac:dyDescent="0.25">
      <c r="A20282" s="1"/>
      <c r="B20282" s="1" t="s">
        <v>6862</v>
      </c>
      <c r="C20282" s="1" t="s">
        <v>6863</v>
      </c>
      <c r="D20282" s="22" t="str">
        <f>HYPERLINK("https://rhld.insurance.arkansas.gov/NPILookup?Npi=1851133508","1851133508")</f>
        <v>1851133508</v>
      </c>
      <c r="E20282" s="1" t="s">
        <v>24891</v>
      </c>
      <c r="F20282" s="2"/>
      <c r="G20282" s="2"/>
      <c r="H20282" s="2"/>
    </row>
    <row r="20283" spans="1:8" x14ac:dyDescent="0.25">
      <c r="A20283" s="1"/>
      <c r="B20283" s="1" t="s">
        <v>6862</v>
      </c>
      <c r="C20283" s="1" t="s">
        <v>6863</v>
      </c>
      <c r="D20283" s="22" t="str">
        <f>HYPERLINK("https://rhld.insurance.arkansas.gov/NPILookup?Npi=1851163380","1851163380")</f>
        <v>1851163380</v>
      </c>
      <c r="E20283" s="1" t="s">
        <v>24892</v>
      </c>
      <c r="F20283" s="2"/>
      <c r="G20283" s="2"/>
      <c r="H20283" s="2"/>
    </row>
    <row r="20284" spans="1:8" x14ac:dyDescent="0.25">
      <c r="A20284" s="1"/>
      <c r="B20284" s="1" t="s">
        <v>6862</v>
      </c>
      <c r="C20284" s="1" t="s">
        <v>6863</v>
      </c>
      <c r="D20284" s="22" t="str">
        <f>HYPERLINK("https://rhld.insurance.arkansas.gov/NPILookup?Npi=1851164677","1851164677")</f>
        <v>1851164677</v>
      </c>
      <c r="E20284" s="1" t="s">
        <v>8808</v>
      </c>
      <c r="F20284" s="2"/>
      <c r="G20284" s="2"/>
      <c r="H20284" s="2"/>
    </row>
    <row r="20285" spans="1:8" x14ac:dyDescent="0.25">
      <c r="A20285" s="1"/>
      <c r="B20285" s="1" t="s">
        <v>6862</v>
      </c>
      <c r="C20285" s="1" t="s">
        <v>6863</v>
      </c>
      <c r="D20285" s="22" t="str">
        <f>HYPERLINK("https://rhld.insurance.arkansas.gov/NPILookup?Npi=1851168090","1851168090")</f>
        <v>1851168090</v>
      </c>
      <c r="E20285" s="1" t="s">
        <v>12513</v>
      </c>
      <c r="F20285" s="2"/>
      <c r="G20285" s="2"/>
      <c r="H20285" s="2"/>
    </row>
    <row r="20286" spans="1:8" x14ac:dyDescent="0.25">
      <c r="A20286" s="1"/>
      <c r="B20286" s="1" t="s">
        <v>6862</v>
      </c>
      <c r="C20286" s="1" t="s">
        <v>6863</v>
      </c>
      <c r="D20286" s="22" t="str">
        <f>HYPERLINK("https://rhld.insurance.arkansas.gov/NPILookup?Npi=1851175327","1851175327")</f>
        <v>1851175327</v>
      </c>
      <c r="E20286" s="1" t="s">
        <v>7215</v>
      </c>
      <c r="F20286" s="2"/>
      <c r="G20286" s="2"/>
      <c r="H20286" s="2"/>
    </row>
    <row r="20287" spans="1:8" x14ac:dyDescent="0.25">
      <c r="A20287" s="1"/>
      <c r="B20287" s="1" t="s">
        <v>6862</v>
      </c>
      <c r="C20287" s="1" t="s">
        <v>6863</v>
      </c>
      <c r="D20287" s="22" t="str">
        <f>HYPERLINK("https://rhld.insurance.arkansas.gov/NPILookup?Npi=1851302103","1851302103")</f>
        <v>1851302103</v>
      </c>
      <c r="E20287" s="1" t="s">
        <v>24893</v>
      </c>
      <c r="F20287" s="2"/>
      <c r="G20287" s="2"/>
      <c r="H20287" s="2"/>
    </row>
    <row r="20288" spans="1:8" x14ac:dyDescent="0.25">
      <c r="A20288" s="1"/>
      <c r="B20288" s="1" t="s">
        <v>6862</v>
      </c>
      <c r="C20288" s="1" t="s">
        <v>6863</v>
      </c>
      <c r="D20288" s="22" t="str">
        <f>HYPERLINK("https://rhld.insurance.arkansas.gov/NPILookup?Npi=1851358089","1851358089")</f>
        <v>1851358089</v>
      </c>
      <c r="E20288" s="1" t="s">
        <v>24894</v>
      </c>
      <c r="F20288" s="2"/>
      <c r="G20288" s="2"/>
      <c r="H20288" s="2"/>
    </row>
    <row r="20289" spans="1:8" x14ac:dyDescent="0.25">
      <c r="A20289" s="1"/>
      <c r="B20289" s="1" t="s">
        <v>6862</v>
      </c>
      <c r="C20289" s="1" t="s">
        <v>6863</v>
      </c>
      <c r="D20289" s="22" t="str">
        <f>HYPERLINK("https://rhld.insurance.arkansas.gov/NPILookup?Npi=1851383038","1851383038")</f>
        <v>1851383038</v>
      </c>
      <c r="E20289" s="1" t="s">
        <v>7216</v>
      </c>
      <c r="F20289" s="2"/>
      <c r="G20289" s="2"/>
      <c r="H20289" s="2"/>
    </row>
    <row r="20290" spans="1:8" x14ac:dyDescent="0.25">
      <c r="A20290" s="1"/>
      <c r="B20290" s="1" t="s">
        <v>6862</v>
      </c>
      <c r="C20290" s="1" t="s">
        <v>6863</v>
      </c>
      <c r="D20290" s="22" t="str">
        <f>HYPERLINK("https://rhld.insurance.arkansas.gov/NPILookup?Npi=1851436786","1851436786")</f>
        <v>1851436786</v>
      </c>
      <c r="E20290" s="1" t="s">
        <v>24895</v>
      </c>
      <c r="F20290" s="2"/>
      <c r="G20290" s="2"/>
      <c r="H20290" s="2"/>
    </row>
    <row r="20291" spans="1:8" x14ac:dyDescent="0.25">
      <c r="A20291" s="1"/>
      <c r="B20291" s="1" t="s">
        <v>6862</v>
      </c>
      <c r="C20291" s="1" t="s">
        <v>6863</v>
      </c>
      <c r="D20291" s="22" t="str">
        <f>HYPERLINK("https://rhld.insurance.arkansas.gov/NPILookup?Npi=1851448518","1851448518")</f>
        <v>1851448518</v>
      </c>
      <c r="E20291" s="1" t="s">
        <v>24896</v>
      </c>
      <c r="F20291" s="2"/>
      <c r="G20291" s="2"/>
      <c r="H20291" s="2"/>
    </row>
    <row r="20292" spans="1:8" x14ac:dyDescent="0.25">
      <c r="A20292" s="1"/>
      <c r="B20292" s="1" t="s">
        <v>6862</v>
      </c>
      <c r="C20292" s="1" t="s">
        <v>6863</v>
      </c>
      <c r="D20292" s="22" t="str">
        <f>HYPERLINK("https://rhld.insurance.arkansas.gov/NPILookup?Npi=1851519292","1851519292")</f>
        <v>1851519292</v>
      </c>
      <c r="E20292" s="1" t="s">
        <v>24897</v>
      </c>
      <c r="F20292" s="2"/>
      <c r="G20292" s="2"/>
      <c r="H20292" s="2"/>
    </row>
    <row r="20293" spans="1:8" x14ac:dyDescent="0.25">
      <c r="A20293" s="1"/>
      <c r="B20293" s="1" t="s">
        <v>6862</v>
      </c>
      <c r="C20293" s="1" t="s">
        <v>6863</v>
      </c>
      <c r="D20293" s="22" t="str">
        <f>HYPERLINK("https://rhld.insurance.arkansas.gov/NPILookup?Npi=1851523088","1851523088")</f>
        <v>1851523088</v>
      </c>
      <c r="E20293" s="1" t="s">
        <v>7217</v>
      </c>
      <c r="F20293" s="2"/>
      <c r="G20293" s="2"/>
      <c r="H20293" s="2"/>
    </row>
    <row r="20294" spans="1:8" x14ac:dyDescent="0.25">
      <c r="A20294" s="1"/>
      <c r="B20294" s="1" t="s">
        <v>6862</v>
      </c>
      <c r="C20294" s="1" t="s">
        <v>6863</v>
      </c>
      <c r="D20294" s="22" t="str">
        <f>HYPERLINK("https://rhld.insurance.arkansas.gov/NPILookup?Npi=1851546196","1851546196")</f>
        <v>1851546196</v>
      </c>
      <c r="E20294" s="1" t="s">
        <v>4455</v>
      </c>
      <c r="F20294" s="2"/>
      <c r="G20294" s="2"/>
      <c r="H20294" s="2"/>
    </row>
    <row r="20295" spans="1:8" x14ac:dyDescent="0.25">
      <c r="A20295" s="1"/>
      <c r="B20295" s="1" t="s">
        <v>6862</v>
      </c>
      <c r="C20295" s="1" t="s">
        <v>6863</v>
      </c>
      <c r="D20295" s="22" t="str">
        <f>HYPERLINK("https://rhld.insurance.arkansas.gov/NPILookup?Npi=1851712871","1851712871")</f>
        <v>1851712871</v>
      </c>
      <c r="E20295" s="1" t="s">
        <v>24898</v>
      </c>
      <c r="F20295" s="2"/>
      <c r="G20295" s="2"/>
      <c r="H20295" s="2"/>
    </row>
    <row r="20296" spans="1:8" x14ac:dyDescent="0.25">
      <c r="A20296" s="1"/>
      <c r="B20296" s="1" t="s">
        <v>6862</v>
      </c>
      <c r="C20296" s="1" t="s">
        <v>6863</v>
      </c>
      <c r="D20296" s="22" t="str">
        <f>HYPERLINK("https://rhld.insurance.arkansas.gov/NPILookup?Npi=1851721690","1851721690")</f>
        <v>1851721690</v>
      </c>
      <c r="E20296" s="1" t="s">
        <v>32060</v>
      </c>
      <c r="F20296" s="2"/>
      <c r="G20296" s="2"/>
      <c r="H20296" s="2"/>
    </row>
    <row r="20297" spans="1:8" x14ac:dyDescent="0.25">
      <c r="A20297" s="1"/>
      <c r="B20297" s="1" t="s">
        <v>6862</v>
      </c>
      <c r="C20297" s="1" t="s">
        <v>6863</v>
      </c>
      <c r="D20297" s="22" t="str">
        <f>HYPERLINK("https://rhld.insurance.arkansas.gov/NPILookup?Npi=1851768931","1851768931")</f>
        <v>1851768931</v>
      </c>
      <c r="E20297" s="1" t="s">
        <v>24899</v>
      </c>
      <c r="F20297" s="2"/>
      <c r="G20297" s="2"/>
      <c r="H20297" s="2"/>
    </row>
    <row r="20298" spans="1:8" x14ac:dyDescent="0.25">
      <c r="A20298" s="1"/>
      <c r="B20298" s="1" t="s">
        <v>6862</v>
      </c>
      <c r="C20298" s="1" t="s">
        <v>6863</v>
      </c>
      <c r="D20298" s="22" t="str">
        <f>HYPERLINK("https://rhld.insurance.arkansas.gov/NPILookup?Npi=1851776769","1851776769")</f>
        <v>1851776769</v>
      </c>
      <c r="E20298" s="1" t="s">
        <v>24900</v>
      </c>
      <c r="F20298" s="2"/>
      <c r="G20298" s="2"/>
      <c r="H20298" s="2"/>
    </row>
    <row r="20299" spans="1:8" x14ac:dyDescent="0.25">
      <c r="A20299" s="1"/>
      <c r="B20299" s="1" t="s">
        <v>6862</v>
      </c>
      <c r="C20299" s="1" t="s">
        <v>6863</v>
      </c>
      <c r="D20299" s="22" t="str">
        <f>HYPERLINK("https://rhld.insurance.arkansas.gov/NPILookup?Npi=1851793558","1851793558")</f>
        <v>1851793558</v>
      </c>
      <c r="E20299" s="1" t="s">
        <v>24198</v>
      </c>
      <c r="F20299" s="2"/>
      <c r="G20299" s="2"/>
      <c r="H20299" s="2"/>
    </row>
    <row r="20300" spans="1:8" x14ac:dyDescent="0.25">
      <c r="A20300" s="1"/>
      <c r="B20300" s="1" t="s">
        <v>6862</v>
      </c>
      <c r="C20300" s="1" t="s">
        <v>6863</v>
      </c>
      <c r="D20300" s="22" t="str">
        <f>HYPERLINK("https://rhld.insurance.arkansas.gov/NPILookup?Npi=1851813091","1851813091")</f>
        <v>1851813091</v>
      </c>
      <c r="E20300" s="1" t="s">
        <v>12514</v>
      </c>
      <c r="F20300" s="2"/>
      <c r="G20300" s="2"/>
      <c r="H20300" s="2"/>
    </row>
    <row r="20301" spans="1:8" x14ac:dyDescent="0.25">
      <c r="A20301" s="1"/>
      <c r="B20301" s="1" t="s">
        <v>6862</v>
      </c>
      <c r="C20301" s="1" t="s">
        <v>6863</v>
      </c>
      <c r="D20301" s="22" t="str">
        <f>HYPERLINK("https://rhld.insurance.arkansas.gov/NPILookup?Npi=1851820104","1851820104")</f>
        <v>1851820104</v>
      </c>
      <c r="E20301" s="1" t="s">
        <v>24901</v>
      </c>
      <c r="F20301" s="2"/>
      <c r="G20301" s="2"/>
      <c r="H20301" s="2"/>
    </row>
    <row r="20302" spans="1:8" x14ac:dyDescent="0.25">
      <c r="A20302" s="1"/>
      <c r="B20302" s="1" t="s">
        <v>6862</v>
      </c>
      <c r="C20302" s="1" t="s">
        <v>6863</v>
      </c>
      <c r="D20302" s="22" t="str">
        <f>HYPERLINK("https://rhld.insurance.arkansas.gov/NPILookup?Npi=1851855282","1851855282")</f>
        <v>1851855282</v>
      </c>
      <c r="E20302" s="1" t="s">
        <v>24902</v>
      </c>
      <c r="F20302" s="2"/>
      <c r="G20302" s="2"/>
      <c r="H20302" s="2"/>
    </row>
    <row r="20303" spans="1:8" x14ac:dyDescent="0.25">
      <c r="A20303" s="1"/>
      <c r="B20303" s="1" t="s">
        <v>6862</v>
      </c>
      <c r="C20303" s="1" t="s">
        <v>6863</v>
      </c>
      <c r="D20303" s="22" t="str">
        <f>HYPERLINK("https://rhld.insurance.arkansas.gov/NPILookup?Npi=1851870703","1851870703")</f>
        <v>1851870703</v>
      </c>
      <c r="E20303" s="1" t="s">
        <v>12515</v>
      </c>
      <c r="F20303" s="2"/>
      <c r="G20303" s="2"/>
      <c r="H20303" s="2"/>
    </row>
    <row r="20304" spans="1:8" x14ac:dyDescent="0.25">
      <c r="A20304" s="1"/>
      <c r="B20304" s="1" t="s">
        <v>6862</v>
      </c>
      <c r="C20304" s="1" t="s">
        <v>6863</v>
      </c>
      <c r="D20304" s="22" t="str">
        <f>HYPERLINK("https://rhld.insurance.arkansas.gov/NPILookup?Npi=1851923940","1851923940")</f>
        <v>1851923940</v>
      </c>
      <c r="E20304" s="1" t="s">
        <v>24903</v>
      </c>
      <c r="F20304" s="2"/>
      <c r="G20304" s="2"/>
      <c r="H20304" s="2"/>
    </row>
    <row r="20305" spans="1:8" x14ac:dyDescent="0.25">
      <c r="A20305" s="1"/>
      <c r="B20305" s="1" t="s">
        <v>6862</v>
      </c>
      <c r="C20305" s="1" t="s">
        <v>6863</v>
      </c>
      <c r="D20305" s="22" t="str">
        <f>HYPERLINK("https://rhld.insurance.arkansas.gov/NPILookup?Npi=1861003600","1861003600")</f>
        <v>1861003600</v>
      </c>
      <c r="E20305" s="1" t="s">
        <v>24904</v>
      </c>
      <c r="F20305" s="2"/>
      <c r="G20305" s="2"/>
      <c r="H20305" s="2"/>
    </row>
    <row r="20306" spans="1:8" x14ac:dyDescent="0.25">
      <c r="A20306" s="1"/>
      <c r="B20306" s="1" t="s">
        <v>6862</v>
      </c>
      <c r="C20306" s="1" t="s">
        <v>6863</v>
      </c>
      <c r="D20306" s="22" t="str">
        <f>HYPERLINK("https://rhld.insurance.arkansas.gov/NPILookup?Npi=1861061459","1861061459")</f>
        <v>1861061459</v>
      </c>
      <c r="E20306" s="1" t="s">
        <v>7218</v>
      </c>
      <c r="F20306" s="2"/>
      <c r="G20306" s="2"/>
      <c r="H20306" s="2"/>
    </row>
    <row r="20307" spans="1:8" x14ac:dyDescent="0.25">
      <c r="A20307" s="1"/>
      <c r="B20307" s="1" t="s">
        <v>6862</v>
      </c>
      <c r="C20307" s="1" t="s">
        <v>6863</v>
      </c>
      <c r="D20307" s="22" t="str">
        <f>HYPERLINK("https://rhld.insurance.arkansas.gov/NPILookup?Npi=1861114662","1861114662")</f>
        <v>1861114662</v>
      </c>
      <c r="E20307" s="1" t="s">
        <v>24905</v>
      </c>
      <c r="F20307" s="2"/>
      <c r="G20307" s="2"/>
      <c r="H20307" s="2"/>
    </row>
    <row r="20308" spans="1:8" x14ac:dyDescent="0.25">
      <c r="A20308" s="1"/>
      <c r="B20308" s="1" t="s">
        <v>6862</v>
      </c>
      <c r="C20308" s="1" t="s">
        <v>6863</v>
      </c>
      <c r="D20308" s="22" t="str">
        <f>HYPERLINK("https://rhld.insurance.arkansas.gov/NPILookup?Npi=1861159998","1861159998")</f>
        <v>1861159998</v>
      </c>
      <c r="E20308" s="1" t="s">
        <v>24906</v>
      </c>
      <c r="F20308" s="2"/>
      <c r="G20308" s="2"/>
      <c r="H20308" s="2"/>
    </row>
    <row r="20309" spans="1:8" x14ac:dyDescent="0.25">
      <c r="A20309" s="1"/>
      <c r="B20309" s="1" t="s">
        <v>6862</v>
      </c>
      <c r="C20309" s="1" t="s">
        <v>6863</v>
      </c>
      <c r="D20309" s="22" t="str">
        <f>HYPERLINK("https://rhld.insurance.arkansas.gov/NPILookup?Npi=1861174344","1861174344")</f>
        <v>1861174344</v>
      </c>
      <c r="E20309" s="1" t="s">
        <v>4827</v>
      </c>
      <c r="F20309" s="2"/>
      <c r="G20309" s="2"/>
      <c r="H20309" s="2"/>
    </row>
    <row r="20310" spans="1:8" x14ac:dyDescent="0.25">
      <c r="A20310" s="1"/>
      <c r="B20310" s="1" t="s">
        <v>6862</v>
      </c>
      <c r="C20310" s="1" t="s">
        <v>6863</v>
      </c>
      <c r="D20310" s="22" t="str">
        <f>HYPERLINK("https://rhld.insurance.arkansas.gov/NPILookup?Npi=1861174575","1861174575")</f>
        <v>1861174575</v>
      </c>
      <c r="E20310" s="1" t="s">
        <v>5284</v>
      </c>
      <c r="F20310" s="2"/>
      <c r="G20310" s="2"/>
      <c r="H20310" s="2"/>
    </row>
    <row r="20311" spans="1:8" x14ac:dyDescent="0.25">
      <c r="A20311" s="1"/>
      <c r="B20311" s="1" t="s">
        <v>6862</v>
      </c>
      <c r="C20311" s="1" t="s">
        <v>6863</v>
      </c>
      <c r="D20311" s="22" t="str">
        <f>HYPERLINK("https://rhld.insurance.arkansas.gov/NPILookup?Npi=1861264566","1861264566")</f>
        <v>1861264566</v>
      </c>
      <c r="E20311" s="1" t="s">
        <v>5809</v>
      </c>
      <c r="F20311" s="2"/>
      <c r="G20311" s="2"/>
      <c r="H20311" s="2"/>
    </row>
    <row r="20312" spans="1:8" x14ac:dyDescent="0.25">
      <c r="A20312" s="1"/>
      <c r="B20312" s="1" t="s">
        <v>6862</v>
      </c>
      <c r="C20312" s="1" t="s">
        <v>6863</v>
      </c>
      <c r="D20312" s="22" t="str">
        <f>HYPERLINK("https://rhld.insurance.arkansas.gov/NPILookup?Npi=1861273542","1861273542")</f>
        <v>1861273542</v>
      </c>
      <c r="E20312" s="1" t="s">
        <v>7219</v>
      </c>
      <c r="F20312" s="2"/>
      <c r="G20312" s="2"/>
      <c r="H20312" s="2"/>
    </row>
    <row r="20313" spans="1:8" x14ac:dyDescent="0.25">
      <c r="A20313" s="1"/>
      <c r="B20313" s="1" t="s">
        <v>6862</v>
      </c>
      <c r="C20313" s="1" t="s">
        <v>6863</v>
      </c>
      <c r="D20313" s="22" t="str">
        <f>HYPERLINK("https://rhld.insurance.arkansas.gov/NPILookup?Npi=1861441198","1861441198")</f>
        <v>1861441198</v>
      </c>
      <c r="E20313" s="1" t="s">
        <v>20832</v>
      </c>
      <c r="F20313" s="2"/>
      <c r="G20313" s="2"/>
      <c r="H20313" s="2"/>
    </row>
    <row r="20314" spans="1:8" x14ac:dyDescent="0.25">
      <c r="A20314" s="1"/>
      <c r="B20314" s="1" t="s">
        <v>6862</v>
      </c>
      <c r="C20314" s="1" t="s">
        <v>6863</v>
      </c>
      <c r="D20314" s="22" t="str">
        <f>HYPERLINK("https://rhld.insurance.arkansas.gov/NPILookup?Npi=1861483927","1861483927")</f>
        <v>1861483927</v>
      </c>
      <c r="E20314" s="1" t="s">
        <v>12516</v>
      </c>
      <c r="F20314" s="2"/>
      <c r="G20314" s="2"/>
      <c r="H20314" s="2"/>
    </row>
    <row r="20315" spans="1:8" x14ac:dyDescent="0.25">
      <c r="A20315" s="1"/>
      <c r="B20315" s="1" t="s">
        <v>6862</v>
      </c>
      <c r="C20315" s="1" t="s">
        <v>6863</v>
      </c>
      <c r="D20315" s="22" t="str">
        <f>HYPERLINK("https://rhld.insurance.arkansas.gov/NPILookup?Npi=1861513319","1861513319")</f>
        <v>1861513319</v>
      </c>
      <c r="E20315" s="1" t="s">
        <v>24907</v>
      </c>
      <c r="F20315" s="2"/>
      <c r="G20315" s="2"/>
      <c r="H20315" s="2"/>
    </row>
    <row r="20316" spans="1:8" x14ac:dyDescent="0.25">
      <c r="A20316" s="1"/>
      <c r="B20316" s="1" t="s">
        <v>6862</v>
      </c>
      <c r="C20316" s="1" t="s">
        <v>6863</v>
      </c>
      <c r="D20316" s="22" t="str">
        <f>HYPERLINK("https://rhld.insurance.arkansas.gov/NPILookup?Npi=1861575367","1861575367")</f>
        <v>1861575367</v>
      </c>
      <c r="E20316" s="1" t="s">
        <v>12517</v>
      </c>
      <c r="F20316" s="2"/>
      <c r="G20316" s="2"/>
      <c r="H20316" s="2"/>
    </row>
    <row r="20317" spans="1:8" x14ac:dyDescent="0.25">
      <c r="A20317" s="1"/>
      <c r="B20317" s="1" t="s">
        <v>6862</v>
      </c>
      <c r="C20317" s="1" t="s">
        <v>6863</v>
      </c>
      <c r="D20317" s="22" t="str">
        <f>HYPERLINK("https://rhld.insurance.arkansas.gov/NPILookup?Npi=1861598468","1861598468")</f>
        <v>1861598468</v>
      </c>
      <c r="E20317" s="1" t="s">
        <v>12518</v>
      </c>
      <c r="F20317" s="2"/>
      <c r="G20317" s="2"/>
      <c r="H20317" s="2"/>
    </row>
    <row r="20318" spans="1:8" x14ac:dyDescent="0.25">
      <c r="A20318" s="1"/>
      <c r="B20318" s="1" t="s">
        <v>6862</v>
      </c>
      <c r="C20318" s="1" t="s">
        <v>6863</v>
      </c>
      <c r="D20318" s="22" t="str">
        <f>HYPERLINK("https://rhld.insurance.arkansas.gov/NPILookup?Npi=1861725517","1861725517")</f>
        <v>1861725517</v>
      </c>
      <c r="E20318" s="1" t="s">
        <v>7220</v>
      </c>
      <c r="F20318" s="2"/>
      <c r="G20318" s="2"/>
      <c r="H20318" s="2"/>
    </row>
    <row r="20319" spans="1:8" x14ac:dyDescent="0.25">
      <c r="A20319" s="1"/>
      <c r="B20319" s="1" t="s">
        <v>6862</v>
      </c>
      <c r="C20319" s="1" t="s">
        <v>6863</v>
      </c>
      <c r="D20319" s="22" t="str">
        <f>HYPERLINK("https://rhld.insurance.arkansas.gov/NPILookup?Npi=1861781973","1861781973")</f>
        <v>1861781973</v>
      </c>
      <c r="E20319" s="1" t="s">
        <v>24908</v>
      </c>
      <c r="F20319" s="2"/>
      <c r="G20319" s="2"/>
      <c r="H20319" s="2"/>
    </row>
    <row r="20320" spans="1:8" x14ac:dyDescent="0.25">
      <c r="A20320" s="1"/>
      <c r="B20320" s="1" t="s">
        <v>6862</v>
      </c>
      <c r="C20320" s="1" t="s">
        <v>6863</v>
      </c>
      <c r="D20320" s="22" t="str">
        <f>HYPERLINK("https://rhld.insurance.arkansas.gov/NPILookup?Npi=1861807422","1861807422")</f>
        <v>1861807422</v>
      </c>
      <c r="E20320" s="1" t="s">
        <v>7197</v>
      </c>
      <c r="F20320" s="2"/>
      <c r="G20320" s="2"/>
      <c r="H20320" s="2"/>
    </row>
    <row r="20321" spans="1:8" x14ac:dyDescent="0.25">
      <c r="A20321" s="1"/>
      <c r="B20321" s="1" t="s">
        <v>6862</v>
      </c>
      <c r="C20321" s="1" t="s">
        <v>6863</v>
      </c>
      <c r="D20321" s="22" t="str">
        <f>HYPERLINK("https://rhld.insurance.arkansas.gov/NPILookup?Npi=1861865784","1861865784")</f>
        <v>1861865784</v>
      </c>
      <c r="E20321" s="1" t="s">
        <v>7221</v>
      </c>
      <c r="F20321" s="2"/>
      <c r="G20321" s="2"/>
      <c r="H20321" s="2"/>
    </row>
    <row r="20322" spans="1:8" x14ac:dyDescent="0.25">
      <c r="A20322" s="1"/>
      <c r="B20322" s="1" t="s">
        <v>6862</v>
      </c>
      <c r="C20322" s="1" t="s">
        <v>6863</v>
      </c>
      <c r="D20322" s="22" t="str">
        <f>HYPERLINK("https://rhld.insurance.arkansas.gov/NPILookup?Npi=1861878860","1861878860")</f>
        <v>1861878860</v>
      </c>
      <c r="E20322" s="1" t="s">
        <v>24909</v>
      </c>
      <c r="F20322" s="2"/>
      <c r="G20322" s="2"/>
      <c r="H20322" s="2"/>
    </row>
    <row r="20323" spans="1:8" x14ac:dyDescent="0.25">
      <c r="A20323" s="1"/>
      <c r="B20323" s="1" t="s">
        <v>6862</v>
      </c>
      <c r="C20323" s="1" t="s">
        <v>6863</v>
      </c>
      <c r="D20323" s="22" t="str">
        <f>HYPERLINK("https://rhld.insurance.arkansas.gov/NPILookup?Npi=1861881005","1861881005")</f>
        <v>1861881005</v>
      </c>
      <c r="E20323" s="1" t="s">
        <v>7222</v>
      </c>
      <c r="F20323" s="2"/>
      <c r="G20323" s="2"/>
      <c r="H20323" s="2"/>
    </row>
    <row r="20324" spans="1:8" x14ac:dyDescent="0.25">
      <c r="A20324" s="1"/>
      <c r="B20324" s="1" t="s">
        <v>6862</v>
      </c>
      <c r="C20324" s="1" t="s">
        <v>6863</v>
      </c>
      <c r="D20324" s="22" t="str">
        <f>HYPERLINK("https://rhld.insurance.arkansas.gov/NPILookup?Npi=1861971509","1861971509")</f>
        <v>1861971509</v>
      </c>
      <c r="E20324" s="1" t="s">
        <v>24910</v>
      </c>
      <c r="F20324" s="2"/>
      <c r="G20324" s="2"/>
      <c r="H20324" s="2"/>
    </row>
    <row r="20325" spans="1:8" x14ac:dyDescent="0.25">
      <c r="A20325" s="1"/>
      <c r="B20325" s="1" t="s">
        <v>6862</v>
      </c>
      <c r="C20325" s="1" t="s">
        <v>6863</v>
      </c>
      <c r="D20325" s="22" t="str">
        <f>HYPERLINK("https://rhld.insurance.arkansas.gov/NPILookup?Npi=1871047837","1871047837")</f>
        <v>1871047837</v>
      </c>
      <c r="E20325" s="1" t="s">
        <v>32061</v>
      </c>
      <c r="F20325" s="2"/>
      <c r="G20325" s="2"/>
      <c r="H20325" s="2"/>
    </row>
    <row r="20326" spans="1:8" x14ac:dyDescent="0.25">
      <c r="A20326" s="1"/>
      <c r="B20326" s="1" t="s">
        <v>6862</v>
      </c>
      <c r="C20326" s="1" t="s">
        <v>6863</v>
      </c>
      <c r="D20326" s="22" t="str">
        <f>HYPERLINK("https://rhld.insurance.arkansas.gov/NPILookup?Npi=1871049262","1871049262")</f>
        <v>1871049262</v>
      </c>
      <c r="E20326" s="1" t="s">
        <v>24911</v>
      </c>
      <c r="F20326" s="2"/>
      <c r="G20326" s="2"/>
      <c r="H20326" s="2"/>
    </row>
    <row r="20327" spans="1:8" x14ac:dyDescent="0.25">
      <c r="A20327" s="1"/>
      <c r="B20327" s="1" t="s">
        <v>6862</v>
      </c>
      <c r="C20327" s="1" t="s">
        <v>6863</v>
      </c>
      <c r="D20327" s="22" t="str">
        <f>HYPERLINK("https://rhld.insurance.arkansas.gov/NPILookup?Npi=1871072157","1871072157")</f>
        <v>1871072157</v>
      </c>
      <c r="E20327" s="1" t="s">
        <v>24912</v>
      </c>
      <c r="F20327" s="2"/>
      <c r="G20327" s="2"/>
      <c r="H20327" s="2"/>
    </row>
    <row r="20328" spans="1:8" x14ac:dyDescent="0.25">
      <c r="A20328" s="1"/>
      <c r="B20328" s="1" t="s">
        <v>6862</v>
      </c>
      <c r="C20328" s="1" t="s">
        <v>6863</v>
      </c>
      <c r="D20328" s="22" t="str">
        <f>HYPERLINK("https://rhld.insurance.arkansas.gov/NPILookup?Npi=1871074666","1871074666")</f>
        <v>1871074666</v>
      </c>
      <c r="E20328" s="1" t="s">
        <v>24913</v>
      </c>
      <c r="F20328" s="2"/>
      <c r="G20328" s="2"/>
      <c r="H20328" s="2"/>
    </row>
    <row r="20329" spans="1:8" x14ac:dyDescent="0.25">
      <c r="A20329" s="1"/>
      <c r="B20329" s="1" t="s">
        <v>6862</v>
      </c>
      <c r="C20329" s="1" t="s">
        <v>6863</v>
      </c>
      <c r="D20329" s="22" t="str">
        <f>HYPERLINK("https://rhld.insurance.arkansas.gov/NPILookup?Npi=1871100156","1871100156")</f>
        <v>1871100156</v>
      </c>
      <c r="E20329" s="1" t="s">
        <v>24914</v>
      </c>
      <c r="F20329" s="2"/>
      <c r="G20329" s="2"/>
      <c r="H20329" s="2"/>
    </row>
    <row r="20330" spans="1:8" x14ac:dyDescent="0.25">
      <c r="A20330" s="1"/>
      <c r="B20330" s="1" t="s">
        <v>6862</v>
      </c>
      <c r="C20330" s="1" t="s">
        <v>6863</v>
      </c>
      <c r="D20330" s="22" t="str">
        <f>HYPERLINK("https://rhld.insurance.arkansas.gov/NPILookup?Npi=1871140129","1871140129")</f>
        <v>1871140129</v>
      </c>
      <c r="E20330" s="1" t="s">
        <v>24915</v>
      </c>
      <c r="F20330" s="2"/>
      <c r="G20330" s="2"/>
      <c r="H20330" s="2"/>
    </row>
    <row r="20331" spans="1:8" x14ac:dyDescent="0.25">
      <c r="A20331" s="1"/>
      <c r="B20331" s="1" t="s">
        <v>6862</v>
      </c>
      <c r="C20331" s="1" t="s">
        <v>6863</v>
      </c>
      <c r="D20331" s="22" t="str">
        <f>HYPERLINK("https://rhld.insurance.arkansas.gov/NPILookup?Npi=1871152421","1871152421")</f>
        <v>1871152421</v>
      </c>
      <c r="E20331" s="1" t="s">
        <v>7223</v>
      </c>
      <c r="F20331" s="2"/>
      <c r="G20331" s="2"/>
      <c r="H20331" s="2"/>
    </row>
    <row r="20332" spans="1:8" x14ac:dyDescent="0.25">
      <c r="A20332" s="1"/>
      <c r="B20332" s="1" t="s">
        <v>6862</v>
      </c>
      <c r="C20332" s="1" t="s">
        <v>6863</v>
      </c>
      <c r="D20332" s="22" t="str">
        <f>HYPERLINK("https://rhld.insurance.arkansas.gov/NPILookup?Npi=1871236927","1871236927")</f>
        <v>1871236927</v>
      </c>
      <c r="E20332" s="1" t="s">
        <v>24916</v>
      </c>
      <c r="F20332" s="2"/>
      <c r="G20332" s="2"/>
      <c r="H20332" s="2"/>
    </row>
    <row r="20333" spans="1:8" x14ac:dyDescent="0.25">
      <c r="A20333" s="1"/>
      <c r="B20333" s="1" t="s">
        <v>6862</v>
      </c>
      <c r="C20333" s="1" t="s">
        <v>6863</v>
      </c>
      <c r="D20333" s="22" t="str">
        <f>HYPERLINK("https://rhld.insurance.arkansas.gov/NPILookup?Npi=1871275545","1871275545")</f>
        <v>1871275545</v>
      </c>
      <c r="E20333" s="1" t="s">
        <v>7066</v>
      </c>
      <c r="F20333" s="2"/>
      <c r="G20333" s="2"/>
      <c r="H20333" s="2"/>
    </row>
    <row r="20334" spans="1:8" x14ac:dyDescent="0.25">
      <c r="A20334" s="1"/>
      <c r="B20334" s="1" t="s">
        <v>6862</v>
      </c>
      <c r="C20334" s="1" t="s">
        <v>6863</v>
      </c>
      <c r="D20334" s="22" t="str">
        <f>HYPERLINK("https://rhld.insurance.arkansas.gov/NPILookup?Npi=1871526731","1871526731")</f>
        <v>1871526731</v>
      </c>
      <c r="E20334" s="1" t="s">
        <v>7224</v>
      </c>
      <c r="F20334" s="2"/>
      <c r="G20334" s="2"/>
      <c r="H20334" s="2"/>
    </row>
    <row r="20335" spans="1:8" x14ac:dyDescent="0.25">
      <c r="A20335" s="1"/>
      <c r="B20335" s="1" t="s">
        <v>6862</v>
      </c>
      <c r="C20335" s="1" t="s">
        <v>6863</v>
      </c>
      <c r="D20335" s="22" t="str">
        <f>HYPERLINK("https://rhld.insurance.arkansas.gov/NPILookup?Npi=1871552612","1871552612")</f>
        <v>1871552612</v>
      </c>
      <c r="E20335" s="1" t="s">
        <v>7225</v>
      </c>
      <c r="F20335" s="2"/>
      <c r="G20335" s="2"/>
      <c r="H20335" s="2"/>
    </row>
    <row r="20336" spans="1:8" x14ac:dyDescent="0.25">
      <c r="A20336" s="1"/>
      <c r="B20336" s="1" t="s">
        <v>6862</v>
      </c>
      <c r="C20336" s="1" t="s">
        <v>6863</v>
      </c>
      <c r="D20336" s="22" t="str">
        <f>HYPERLINK("https://rhld.insurance.arkansas.gov/NPILookup?Npi=1871677302","1871677302")</f>
        <v>1871677302</v>
      </c>
      <c r="E20336" s="1" t="s">
        <v>24917</v>
      </c>
      <c r="F20336" s="2"/>
      <c r="G20336" s="2"/>
      <c r="H20336" s="2"/>
    </row>
    <row r="20337" spans="1:8" x14ac:dyDescent="0.25">
      <c r="A20337" s="1"/>
      <c r="B20337" s="1" t="s">
        <v>6862</v>
      </c>
      <c r="C20337" s="1" t="s">
        <v>6863</v>
      </c>
      <c r="D20337" s="22" t="str">
        <f>HYPERLINK("https://rhld.insurance.arkansas.gov/NPILookup?Npi=1871694471","1871694471")</f>
        <v>1871694471</v>
      </c>
      <c r="E20337" s="1" t="s">
        <v>24918</v>
      </c>
      <c r="F20337" s="2"/>
      <c r="G20337" s="2"/>
      <c r="H20337" s="2"/>
    </row>
    <row r="20338" spans="1:8" x14ac:dyDescent="0.25">
      <c r="A20338" s="1"/>
      <c r="B20338" s="1" t="s">
        <v>6862</v>
      </c>
      <c r="C20338" s="1" t="s">
        <v>6863</v>
      </c>
      <c r="D20338" s="22" t="str">
        <f>HYPERLINK("https://rhld.insurance.arkansas.gov/NPILookup?Npi=1871706895","1871706895")</f>
        <v>1871706895</v>
      </c>
      <c r="E20338" s="1" t="s">
        <v>24919</v>
      </c>
      <c r="F20338" s="2"/>
      <c r="G20338" s="2"/>
      <c r="H20338" s="2"/>
    </row>
    <row r="20339" spans="1:8" x14ac:dyDescent="0.25">
      <c r="A20339" s="1"/>
      <c r="B20339" s="1" t="s">
        <v>6862</v>
      </c>
      <c r="C20339" s="1" t="s">
        <v>6863</v>
      </c>
      <c r="D20339" s="22" t="str">
        <f>HYPERLINK("https://rhld.insurance.arkansas.gov/NPILookup?Npi=1871723916","1871723916")</f>
        <v>1871723916</v>
      </c>
      <c r="E20339" s="1" t="s">
        <v>7226</v>
      </c>
      <c r="F20339" s="2"/>
      <c r="G20339" s="2"/>
      <c r="H20339" s="2"/>
    </row>
    <row r="20340" spans="1:8" x14ac:dyDescent="0.25">
      <c r="A20340" s="1"/>
      <c r="B20340" s="1" t="s">
        <v>6862</v>
      </c>
      <c r="C20340" s="1" t="s">
        <v>6863</v>
      </c>
      <c r="D20340" s="22" t="str">
        <f>HYPERLINK("https://rhld.insurance.arkansas.gov/NPILookup?Npi=1871723973","1871723973")</f>
        <v>1871723973</v>
      </c>
      <c r="E20340" s="1" t="s">
        <v>24920</v>
      </c>
      <c r="F20340" s="2"/>
      <c r="G20340" s="2"/>
      <c r="H20340" s="2"/>
    </row>
    <row r="20341" spans="1:8" x14ac:dyDescent="0.25">
      <c r="A20341" s="1"/>
      <c r="B20341" s="1" t="s">
        <v>6862</v>
      </c>
      <c r="C20341" s="1" t="s">
        <v>6863</v>
      </c>
      <c r="D20341" s="22" t="str">
        <f>HYPERLINK("https://rhld.insurance.arkansas.gov/NPILookup?Npi=1881075679","1881075679")</f>
        <v>1881075679</v>
      </c>
      <c r="E20341" s="1" t="s">
        <v>7227</v>
      </c>
      <c r="F20341" s="2"/>
      <c r="G20341" s="2"/>
      <c r="H20341" s="2"/>
    </row>
    <row r="20342" spans="1:8" x14ac:dyDescent="0.25">
      <c r="A20342" s="1"/>
      <c r="B20342" s="1" t="s">
        <v>6862</v>
      </c>
      <c r="C20342" s="1" t="s">
        <v>6863</v>
      </c>
      <c r="D20342" s="22" t="str">
        <f>HYPERLINK("https://rhld.insurance.arkansas.gov/NPILookup?Npi=1881188357","1881188357")</f>
        <v>1881188357</v>
      </c>
      <c r="E20342" s="1" t="s">
        <v>24921</v>
      </c>
      <c r="F20342" s="2"/>
      <c r="G20342" s="2"/>
      <c r="H20342" s="2"/>
    </row>
    <row r="20343" spans="1:8" x14ac:dyDescent="0.25">
      <c r="A20343" s="1"/>
      <c r="B20343" s="1" t="s">
        <v>6862</v>
      </c>
      <c r="C20343" s="1" t="s">
        <v>6863</v>
      </c>
      <c r="D20343" s="22" t="str">
        <f>HYPERLINK("https://rhld.insurance.arkansas.gov/NPILookup?Npi=1881209062","1881209062")</f>
        <v>1881209062</v>
      </c>
      <c r="E20343" s="1" t="s">
        <v>24922</v>
      </c>
      <c r="F20343" s="2"/>
      <c r="G20343" s="2"/>
      <c r="H20343" s="2"/>
    </row>
    <row r="20344" spans="1:8" x14ac:dyDescent="0.25">
      <c r="A20344" s="1"/>
      <c r="B20344" s="1" t="s">
        <v>6862</v>
      </c>
      <c r="C20344" s="1" t="s">
        <v>6863</v>
      </c>
      <c r="D20344" s="22" t="str">
        <f>HYPERLINK("https://rhld.insurance.arkansas.gov/NPILookup?Npi=1881241099","1881241099")</f>
        <v>1881241099</v>
      </c>
      <c r="E20344" s="1" t="s">
        <v>24923</v>
      </c>
      <c r="F20344" s="2"/>
      <c r="G20344" s="2"/>
      <c r="H20344" s="2"/>
    </row>
    <row r="20345" spans="1:8" x14ac:dyDescent="0.25">
      <c r="A20345" s="1"/>
      <c r="B20345" s="1" t="s">
        <v>6862</v>
      </c>
      <c r="C20345" s="1" t="s">
        <v>6863</v>
      </c>
      <c r="D20345" s="22" t="str">
        <f>HYPERLINK("https://rhld.insurance.arkansas.gov/NPILookup?Npi=1881269587","1881269587")</f>
        <v>1881269587</v>
      </c>
      <c r="E20345" s="1" t="s">
        <v>12519</v>
      </c>
      <c r="F20345" s="2"/>
      <c r="G20345" s="2"/>
      <c r="H20345" s="2"/>
    </row>
    <row r="20346" spans="1:8" x14ac:dyDescent="0.25">
      <c r="A20346" s="1"/>
      <c r="B20346" s="1" t="s">
        <v>6862</v>
      </c>
      <c r="C20346" s="1" t="s">
        <v>6863</v>
      </c>
      <c r="D20346" s="22" t="str">
        <f>HYPERLINK("https://rhld.insurance.arkansas.gov/NPILookup?Npi=1881366573","1881366573")</f>
        <v>1881366573</v>
      </c>
      <c r="E20346" s="1" t="s">
        <v>7228</v>
      </c>
      <c r="F20346" s="2"/>
      <c r="G20346" s="2"/>
      <c r="H20346" s="2"/>
    </row>
    <row r="20347" spans="1:8" x14ac:dyDescent="0.25">
      <c r="A20347" s="1"/>
      <c r="B20347" s="1" t="s">
        <v>6862</v>
      </c>
      <c r="C20347" s="1" t="s">
        <v>6863</v>
      </c>
      <c r="D20347" s="22" t="str">
        <f>HYPERLINK("https://rhld.insurance.arkansas.gov/NPILookup?Npi=1881368579","1881368579")</f>
        <v>1881368579</v>
      </c>
      <c r="E20347" s="1" t="s">
        <v>7229</v>
      </c>
      <c r="F20347" s="2"/>
      <c r="G20347" s="2"/>
      <c r="H20347" s="2"/>
    </row>
    <row r="20348" spans="1:8" x14ac:dyDescent="0.25">
      <c r="A20348" s="1"/>
      <c r="B20348" s="1" t="s">
        <v>6862</v>
      </c>
      <c r="C20348" s="1" t="s">
        <v>6863</v>
      </c>
      <c r="D20348" s="22" t="str">
        <f>HYPERLINK("https://rhld.insurance.arkansas.gov/NPILookup?Npi=1881369171","1881369171")</f>
        <v>1881369171</v>
      </c>
      <c r="E20348" s="1" t="s">
        <v>24924</v>
      </c>
      <c r="F20348" s="2"/>
      <c r="G20348" s="2"/>
      <c r="H20348" s="2"/>
    </row>
    <row r="20349" spans="1:8" x14ac:dyDescent="0.25">
      <c r="A20349" s="1"/>
      <c r="B20349" s="1" t="s">
        <v>6862</v>
      </c>
      <c r="C20349" s="1" t="s">
        <v>6863</v>
      </c>
      <c r="D20349" s="22" t="str">
        <f>HYPERLINK("https://rhld.insurance.arkansas.gov/NPILookup?Npi=1881483196","1881483196")</f>
        <v>1881483196</v>
      </c>
      <c r="E20349" s="1" t="s">
        <v>32062</v>
      </c>
      <c r="F20349" s="2"/>
      <c r="G20349" s="2"/>
      <c r="H20349" s="2"/>
    </row>
    <row r="20350" spans="1:8" x14ac:dyDescent="0.25">
      <c r="A20350" s="1"/>
      <c r="B20350" s="1" t="s">
        <v>6862</v>
      </c>
      <c r="C20350" s="1" t="s">
        <v>6863</v>
      </c>
      <c r="D20350" s="22" t="str">
        <f>HYPERLINK("https://rhld.insurance.arkansas.gov/NPILookup?Npi=1881602936","1881602936")</f>
        <v>1881602936</v>
      </c>
      <c r="E20350" s="1" t="s">
        <v>24925</v>
      </c>
      <c r="F20350" s="2"/>
      <c r="G20350" s="2"/>
      <c r="H20350" s="2"/>
    </row>
    <row r="20351" spans="1:8" x14ac:dyDescent="0.25">
      <c r="A20351" s="1"/>
      <c r="B20351" s="1" t="s">
        <v>6862</v>
      </c>
      <c r="C20351" s="1" t="s">
        <v>6863</v>
      </c>
      <c r="D20351" s="22" t="str">
        <f>HYPERLINK("https://rhld.insurance.arkansas.gov/NPILookup?Npi=1881717064","1881717064")</f>
        <v>1881717064</v>
      </c>
      <c r="E20351" s="1" t="s">
        <v>7230</v>
      </c>
      <c r="F20351" s="2"/>
      <c r="G20351" s="2"/>
      <c r="H20351" s="2"/>
    </row>
    <row r="20352" spans="1:8" x14ac:dyDescent="0.25">
      <c r="A20352" s="1"/>
      <c r="B20352" s="1" t="s">
        <v>6862</v>
      </c>
      <c r="C20352" s="1" t="s">
        <v>6863</v>
      </c>
      <c r="D20352" s="22" t="str">
        <f>HYPERLINK("https://rhld.insurance.arkansas.gov/NPILookup?Npi=1881742096","1881742096")</f>
        <v>1881742096</v>
      </c>
      <c r="E20352" s="1" t="s">
        <v>12520</v>
      </c>
      <c r="F20352" s="2"/>
      <c r="G20352" s="2"/>
      <c r="H20352" s="2"/>
    </row>
    <row r="20353" spans="1:8" x14ac:dyDescent="0.25">
      <c r="A20353" s="1"/>
      <c r="B20353" s="1" t="s">
        <v>6862</v>
      </c>
      <c r="C20353" s="1" t="s">
        <v>6863</v>
      </c>
      <c r="D20353" s="22" t="str">
        <f>HYPERLINK("https://rhld.insurance.arkansas.gov/NPILookup?Npi=1881822203","1881822203")</f>
        <v>1881822203</v>
      </c>
      <c r="E20353" s="1" t="s">
        <v>7231</v>
      </c>
      <c r="F20353" s="2"/>
      <c r="G20353" s="2"/>
      <c r="H20353" s="2"/>
    </row>
    <row r="20354" spans="1:8" x14ac:dyDescent="0.25">
      <c r="A20354" s="1"/>
      <c r="B20354" s="1" t="s">
        <v>6862</v>
      </c>
      <c r="C20354" s="1" t="s">
        <v>6863</v>
      </c>
      <c r="D20354" s="22" t="str">
        <f>HYPERLINK("https://rhld.insurance.arkansas.gov/NPILookup?Npi=1881824456","1881824456")</f>
        <v>1881824456</v>
      </c>
      <c r="E20354" s="1" t="s">
        <v>24926</v>
      </c>
      <c r="F20354" s="2"/>
      <c r="G20354" s="2"/>
      <c r="H20354" s="2"/>
    </row>
    <row r="20355" spans="1:8" x14ac:dyDescent="0.25">
      <c r="A20355" s="1"/>
      <c r="B20355" s="1" t="s">
        <v>6862</v>
      </c>
      <c r="C20355" s="1" t="s">
        <v>6863</v>
      </c>
      <c r="D20355" s="22" t="str">
        <f>HYPERLINK("https://rhld.insurance.arkansas.gov/NPILookup?Npi=1881902625","1881902625")</f>
        <v>1881902625</v>
      </c>
      <c r="E20355" s="1" t="s">
        <v>24927</v>
      </c>
      <c r="F20355" s="2"/>
      <c r="G20355" s="2"/>
      <c r="H20355" s="2"/>
    </row>
    <row r="20356" spans="1:8" x14ac:dyDescent="0.25">
      <c r="A20356" s="1"/>
      <c r="B20356" s="1" t="s">
        <v>6862</v>
      </c>
      <c r="C20356" s="1" t="s">
        <v>6863</v>
      </c>
      <c r="D20356" s="22" t="str">
        <f>HYPERLINK("https://rhld.insurance.arkansas.gov/NPILookup?Npi=1881953230","1881953230")</f>
        <v>1881953230</v>
      </c>
      <c r="E20356" s="1" t="s">
        <v>12521</v>
      </c>
      <c r="F20356" s="2"/>
      <c r="G20356" s="2"/>
      <c r="H20356" s="2"/>
    </row>
    <row r="20357" spans="1:8" x14ac:dyDescent="0.25">
      <c r="A20357" s="1"/>
      <c r="B20357" s="1" t="s">
        <v>6862</v>
      </c>
      <c r="C20357" s="1" t="s">
        <v>6863</v>
      </c>
      <c r="D20357" s="22" t="str">
        <f>HYPERLINK("https://rhld.insurance.arkansas.gov/NPILookup?Npi=1881982957","1881982957")</f>
        <v>1881982957</v>
      </c>
      <c r="E20357" s="1" t="s">
        <v>24928</v>
      </c>
      <c r="F20357" s="2"/>
      <c r="G20357" s="2"/>
      <c r="H20357" s="2"/>
    </row>
    <row r="20358" spans="1:8" x14ac:dyDescent="0.25">
      <c r="A20358" s="1"/>
      <c r="B20358" s="1" t="s">
        <v>6862</v>
      </c>
      <c r="C20358" s="1" t="s">
        <v>6863</v>
      </c>
      <c r="D20358" s="22" t="str">
        <f>HYPERLINK("https://rhld.insurance.arkansas.gov/NPILookup?Npi=1891042396","1891042396")</f>
        <v>1891042396</v>
      </c>
      <c r="E20358" s="1" t="s">
        <v>7232</v>
      </c>
      <c r="F20358" s="2"/>
      <c r="G20358" s="2"/>
      <c r="H20358" s="2"/>
    </row>
    <row r="20359" spans="1:8" x14ac:dyDescent="0.25">
      <c r="A20359" s="1"/>
      <c r="B20359" s="1" t="s">
        <v>6862</v>
      </c>
      <c r="C20359" s="1" t="s">
        <v>6863</v>
      </c>
      <c r="D20359" s="22" t="str">
        <f>HYPERLINK("https://rhld.insurance.arkansas.gov/NPILookup?Npi=1891049524","1891049524")</f>
        <v>1891049524</v>
      </c>
      <c r="E20359" s="1" t="s">
        <v>24929</v>
      </c>
      <c r="F20359" s="2"/>
      <c r="G20359" s="2"/>
      <c r="H20359" s="2"/>
    </row>
    <row r="20360" spans="1:8" x14ac:dyDescent="0.25">
      <c r="A20360" s="1"/>
      <c r="B20360" s="1" t="s">
        <v>6862</v>
      </c>
      <c r="C20360" s="1" t="s">
        <v>6863</v>
      </c>
      <c r="D20360" s="22" t="str">
        <f>HYPERLINK("https://rhld.insurance.arkansas.gov/NPILookup?Npi=1891166484","1891166484")</f>
        <v>1891166484</v>
      </c>
      <c r="E20360" s="1" t="s">
        <v>7233</v>
      </c>
      <c r="F20360" s="2"/>
      <c r="G20360" s="2"/>
      <c r="H20360" s="2"/>
    </row>
    <row r="20361" spans="1:8" x14ac:dyDescent="0.25">
      <c r="A20361" s="1"/>
      <c r="B20361" s="1" t="s">
        <v>6862</v>
      </c>
      <c r="C20361" s="1" t="s">
        <v>6863</v>
      </c>
      <c r="D20361" s="22" t="str">
        <f>HYPERLINK("https://rhld.insurance.arkansas.gov/NPILookup?Npi=1891179990","1891179990")</f>
        <v>1891179990</v>
      </c>
      <c r="E20361" s="1" t="s">
        <v>7234</v>
      </c>
      <c r="F20361" s="2"/>
      <c r="G20361" s="2"/>
      <c r="H20361" s="2"/>
    </row>
    <row r="20362" spans="1:8" x14ac:dyDescent="0.25">
      <c r="A20362" s="1"/>
      <c r="B20362" s="1" t="s">
        <v>6862</v>
      </c>
      <c r="C20362" s="1" t="s">
        <v>6863</v>
      </c>
      <c r="D20362" s="22" t="str">
        <f>HYPERLINK("https://rhld.insurance.arkansas.gov/NPILookup?Npi=1891189312","1891189312")</f>
        <v>1891189312</v>
      </c>
      <c r="E20362" s="1" t="s">
        <v>12522</v>
      </c>
      <c r="F20362" s="2"/>
      <c r="G20362" s="2"/>
      <c r="H20362" s="2"/>
    </row>
    <row r="20363" spans="1:8" x14ac:dyDescent="0.25">
      <c r="A20363" s="1"/>
      <c r="B20363" s="1" t="s">
        <v>6862</v>
      </c>
      <c r="C20363" s="1" t="s">
        <v>6863</v>
      </c>
      <c r="D20363" s="22" t="str">
        <f>HYPERLINK("https://rhld.insurance.arkansas.gov/NPILookup?Npi=1891260774","1891260774")</f>
        <v>1891260774</v>
      </c>
      <c r="E20363" s="1" t="s">
        <v>12523</v>
      </c>
      <c r="F20363" s="2"/>
      <c r="G20363" s="2"/>
      <c r="H20363" s="2"/>
    </row>
    <row r="20364" spans="1:8" x14ac:dyDescent="0.25">
      <c r="A20364" s="1"/>
      <c r="B20364" s="1" t="s">
        <v>6862</v>
      </c>
      <c r="C20364" s="1" t="s">
        <v>6863</v>
      </c>
      <c r="D20364" s="22" t="str">
        <f>HYPERLINK("https://rhld.insurance.arkansas.gov/NPILookup?Npi=1891275285","1891275285")</f>
        <v>1891275285</v>
      </c>
      <c r="E20364" s="1" t="s">
        <v>12524</v>
      </c>
      <c r="F20364" s="2"/>
      <c r="G20364" s="2"/>
      <c r="H20364" s="2"/>
    </row>
    <row r="20365" spans="1:8" x14ac:dyDescent="0.25">
      <c r="A20365" s="1"/>
      <c r="B20365" s="1" t="s">
        <v>6862</v>
      </c>
      <c r="C20365" s="1" t="s">
        <v>6863</v>
      </c>
      <c r="D20365" s="22" t="str">
        <f>HYPERLINK("https://rhld.insurance.arkansas.gov/NPILookup?Npi=1891342283","1891342283")</f>
        <v>1891342283</v>
      </c>
      <c r="E20365" s="1" t="s">
        <v>2077</v>
      </c>
      <c r="F20365" s="2"/>
      <c r="G20365" s="2"/>
      <c r="H20365" s="2"/>
    </row>
    <row r="20366" spans="1:8" x14ac:dyDescent="0.25">
      <c r="A20366" s="1"/>
      <c r="B20366" s="1" t="s">
        <v>6862</v>
      </c>
      <c r="C20366" s="1" t="s">
        <v>6863</v>
      </c>
      <c r="D20366" s="22" t="str">
        <f>HYPERLINK("https://rhld.insurance.arkansas.gov/NPILookup?Npi=1891450409","1891450409")</f>
        <v>1891450409</v>
      </c>
      <c r="E20366" s="1" t="s">
        <v>24930</v>
      </c>
      <c r="F20366" s="2"/>
      <c r="G20366" s="2"/>
      <c r="H20366" s="2"/>
    </row>
    <row r="20367" spans="1:8" x14ac:dyDescent="0.25">
      <c r="A20367" s="1"/>
      <c r="B20367" s="1" t="s">
        <v>6862</v>
      </c>
      <c r="C20367" s="1" t="s">
        <v>6863</v>
      </c>
      <c r="D20367" s="22" t="str">
        <f>HYPERLINK("https://rhld.insurance.arkansas.gov/NPILookup?Npi=1891525903","1891525903")</f>
        <v>1891525903</v>
      </c>
      <c r="E20367" s="1" t="s">
        <v>24931</v>
      </c>
      <c r="F20367" s="2"/>
      <c r="G20367" s="2"/>
      <c r="H20367" s="2"/>
    </row>
    <row r="20368" spans="1:8" x14ac:dyDescent="0.25">
      <c r="A20368" s="1"/>
      <c r="B20368" s="1" t="s">
        <v>6862</v>
      </c>
      <c r="C20368" s="1" t="s">
        <v>6863</v>
      </c>
      <c r="D20368" s="22" t="str">
        <f>HYPERLINK("https://rhld.insurance.arkansas.gov/NPILookup?Npi=1891586418","1891586418")</f>
        <v>1891586418</v>
      </c>
      <c r="E20368" s="1" t="s">
        <v>32063</v>
      </c>
      <c r="F20368" s="2"/>
      <c r="G20368" s="2"/>
      <c r="H20368" s="2"/>
    </row>
    <row r="20369" spans="1:8" x14ac:dyDescent="0.25">
      <c r="A20369" s="1"/>
      <c r="B20369" s="1" t="s">
        <v>6862</v>
      </c>
      <c r="C20369" s="1" t="s">
        <v>6863</v>
      </c>
      <c r="D20369" s="22" t="str">
        <f>HYPERLINK("https://rhld.insurance.arkansas.gov/NPILookup?Npi=1891742813","1891742813")</f>
        <v>1891742813</v>
      </c>
      <c r="E20369" s="1" t="s">
        <v>12525</v>
      </c>
      <c r="F20369" s="2"/>
      <c r="G20369" s="2"/>
      <c r="H20369" s="2"/>
    </row>
    <row r="20370" spans="1:8" x14ac:dyDescent="0.25">
      <c r="A20370" s="1"/>
      <c r="B20370" s="1" t="s">
        <v>6862</v>
      </c>
      <c r="C20370" s="1" t="s">
        <v>6863</v>
      </c>
      <c r="D20370" s="22" t="str">
        <f>HYPERLINK("https://rhld.insurance.arkansas.gov/NPILookup?Npi=1891778031","1891778031")</f>
        <v>1891778031</v>
      </c>
      <c r="E20370" s="1" t="s">
        <v>7235</v>
      </c>
      <c r="F20370" s="2"/>
      <c r="G20370" s="2"/>
      <c r="H20370" s="2"/>
    </row>
    <row r="20371" spans="1:8" x14ac:dyDescent="0.25">
      <c r="A20371" s="1"/>
      <c r="B20371" s="1" t="s">
        <v>6862</v>
      </c>
      <c r="C20371" s="1" t="s">
        <v>6863</v>
      </c>
      <c r="D20371" s="22" t="str">
        <f>HYPERLINK("https://rhld.insurance.arkansas.gov/NPILookup?Npi=1891810362","1891810362")</f>
        <v>1891810362</v>
      </c>
      <c r="E20371" s="1" t="s">
        <v>7236</v>
      </c>
      <c r="F20371" s="2"/>
      <c r="G20371" s="2"/>
      <c r="H20371" s="2"/>
    </row>
    <row r="20372" spans="1:8" x14ac:dyDescent="0.25">
      <c r="A20372" s="1"/>
      <c r="B20372" s="1" t="s">
        <v>6862</v>
      </c>
      <c r="C20372" s="1" t="s">
        <v>6863</v>
      </c>
      <c r="D20372" s="22" t="str">
        <f>HYPERLINK("https://rhld.insurance.arkansas.gov/NPILookup?Npi=1891843090","1891843090")</f>
        <v>1891843090</v>
      </c>
      <c r="E20372" s="1" t="s">
        <v>24932</v>
      </c>
      <c r="F20372" s="2"/>
      <c r="G20372" s="2"/>
      <c r="H20372" s="2"/>
    </row>
    <row r="20373" spans="1:8" x14ac:dyDescent="0.25">
      <c r="A20373" s="1"/>
      <c r="B20373" s="1" t="s">
        <v>6862</v>
      </c>
      <c r="C20373" s="1" t="s">
        <v>6863</v>
      </c>
      <c r="D20373" s="22" t="str">
        <f>HYPERLINK("https://rhld.insurance.arkansas.gov/NPILookup?Npi=1891847810","1891847810")</f>
        <v>1891847810</v>
      </c>
      <c r="E20373" s="1" t="s">
        <v>7237</v>
      </c>
      <c r="F20373" s="2"/>
      <c r="G20373" s="2"/>
      <c r="H20373" s="2"/>
    </row>
    <row r="20374" spans="1:8" x14ac:dyDescent="0.25">
      <c r="A20374" s="1"/>
      <c r="B20374" s="1" t="s">
        <v>6862</v>
      </c>
      <c r="C20374" s="1" t="s">
        <v>6863</v>
      </c>
      <c r="D20374" s="22" t="str">
        <f>HYPERLINK("https://rhld.insurance.arkansas.gov/NPILookup?Npi=1891925160","1891925160")</f>
        <v>1891925160</v>
      </c>
      <c r="E20374" s="1" t="s">
        <v>7238</v>
      </c>
      <c r="F20374" s="2"/>
      <c r="G20374" s="2"/>
      <c r="H20374" s="2"/>
    </row>
    <row r="20375" spans="1:8" x14ac:dyDescent="0.25">
      <c r="A20375" s="1"/>
      <c r="B20375" s="1" t="s">
        <v>6862</v>
      </c>
      <c r="C20375" s="1" t="s">
        <v>6863</v>
      </c>
      <c r="D20375" s="22" t="str">
        <f>HYPERLINK("https://rhld.insurance.arkansas.gov/NPILookup?Npi=1891966347","1891966347")</f>
        <v>1891966347</v>
      </c>
      <c r="E20375" s="1" t="s">
        <v>7239</v>
      </c>
      <c r="F20375" s="2"/>
      <c r="G20375" s="2"/>
      <c r="H20375" s="2"/>
    </row>
    <row r="20376" spans="1:8" x14ac:dyDescent="0.25">
      <c r="A20376" s="1"/>
      <c r="B20376" s="1" t="s">
        <v>6862</v>
      </c>
      <c r="C20376" s="1" t="s">
        <v>6863</v>
      </c>
      <c r="D20376" s="22" t="str">
        <f>HYPERLINK("https://rhld.insurance.arkansas.gov/NPILookup?Npi=1902044126","1902044126")</f>
        <v>1902044126</v>
      </c>
      <c r="E20376" s="1" t="s">
        <v>12526</v>
      </c>
      <c r="F20376" s="2"/>
      <c r="G20376" s="2"/>
      <c r="H20376" s="2"/>
    </row>
    <row r="20377" spans="1:8" x14ac:dyDescent="0.25">
      <c r="A20377" s="1"/>
      <c r="B20377" s="1" t="s">
        <v>6862</v>
      </c>
      <c r="C20377" s="1" t="s">
        <v>6863</v>
      </c>
      <c r="D20377" s="22" t="str">
        <f>HYPERLINK("https://rhld.insurance.arkansas.gov/NPILookup?Npi=1902098320","1902098320")</f>
        <v>1902098320</v>
      </c>
      <c r="E20377" s="1" t="s">
        <v>24933</v>
      </c>
      <c r="F20377" s="2"/>
      <c r="G20377" s="2"/>
      <c r="H20377" s="2"/>
    </row>
    <row r="20378" spans="1:8" x14ac:dyDescent="0.25">
      <c r="A20378" s="1"/>
      <c r="B20378" s="1" t="s">
        <v>6862</v>
      </c>
      <c r="C20378" s="1" t="s">
        <v>6863</v>
      </c>
      <c r="D20378" s="22" t="str">
        <f>HYPERLINK("https://rhld.insurance.arkansas.gov/NPILookup?Npi=1902150295","1902150295")</f>
        <v>1902150295</v>
      </c>
      <c r="E20378" s="1" t="s">
        <v>7240</v>
      </c>
      <c r="F20378" s="2"/>
      <c r="G20378" s="2"/>
      <c r="H20378" s="2"/>
    </row>
    <row r="20379" spans="1:8" x14ac:dyDescent="0.25">
      <c r="A20379" s="1"/>
      <c r="B20379" s="1" t="s">
        <v>6862</v>
      </c>
      <c r="C20379" s="1" t="s">
        <v>6863</v>
      </c>
      <c r="D20379" s="22" t="str">
        <f>HYPERLINK("https://rhld.insurance.arkansas.gov/NPILookup?Npi=1902282049","1902282049")</f>
        <v>1902282049</v>
      </c>
      <c r="E20379" s="1" t="s">
        <v>7241</v>
      </c>
      <c r="F20379" s="2"/>
      <c r="G20379" s="2"/>
      <c r="H20379" s="2"/>
    </row>
    <row r="20380" spans="1:8" x14ac:dyDescent="0.25">
      <c r="A20380" s="1"/>
      <c r="B20380" s="1" t="s">
        <v>6862</v>
      </c>
      <c r="C20380" s="1" t="s">
        <v>6863</v>
      </c>
      <c r="D20380" s="22" t="str">
        <f>HYPERLINK("https://rhld.insurance.arkansas.gov/NPILookup?Npi=1902320831","1902320831")</f>
        <v>1902320831</v>
      </c>
      <c r="E20380" s="1" t="s">
        <v>24934</v>
      </c>
      <c r="F20380" s="2"/>
      <c r="G20380" s="2"/>
      <c r="H20380" s="2"/>
    </row>
    <row r="20381" spans="1:8" x14ac:dyDescent="0.25">
      <c r="A20381" s="1"/>
      <c r="B20381" s="1" t="s">
        <v>6862</v>
      </c>
      <c r="C20381" s="1" t="s">
        <v>6863</v>
      </c>
      <c r="D20381" s="22" t="str">
        <f>HYPERLINK("https://rhld.insurance.arkansas.gov/NPILookup?Npi=1902397615","1902397615")</f>
        <v>1902397615</v>
      </c>
      <c r="E20381" s="1" t="s">
        <v>24935</v>
      </c>
      <c r="F20381" s="2"/>
      <c r="G20381" s="2"/>
      <c r="H20381" s="2"/>
    </row>
    <row r="20382" spans="1:8" x14ac:dyDescent="0.25">
      <c r="A20382" s="1"/>
      <c r="B20382" s="1" t="s">
        <v>6862</v>
      </c>
      <c r="C20382" s="1" t="s">
        <v>6863</v>
      </c>
      <c r="D20382" s="22" t="str">
        <f>HYPERLINK("https://rhld.insurance.arkansas.gov/NPILookup?Npi=1902418155","1902418155")</f>
        <v>1902418155</v>
      </c>
      <c r="E20382" s="1" t="s">
        <v>24936</v>
      </c>
      <c r="F20382" s="2"/>
      <c r="G20382" s="2"/>
      <c r="H20382" s="2"/>
    </row>
    <row r="20383" spans="1:8" x14ac:dyDescent="0.25">
      <c r="A20383" s="1"/>
      <c r="B20383" s="1" t="s">
        <v>6862</v>
      </c>
      <c r="C20383" s="1" t="s">
        <v>6863</v>
      </c>
      <c r="D20383" s="22" t="str">
        <f>HYPERLINK("https://rhld.insurance.arkansas.gov/NPILookup?Npi=1902450299","1902450299")</f>
        <v>1902450299</v>
      </c>
      <c r="E20383" s="1" t="s">
        <v>24937</v>
      </c>
      <c r="F20383" s="2"/>
      <c r="G20383" s="2"/>
      <c r="H20383" s="2"/>
    </row>
    <row r="20384" spans="1:8" x14ac:dyDescent="0.25">
      <c r="A20384" s="1"/>
      <c r="B20384" s="1" t="s">
        <v>6862</v>
      </c>
      <c r="C20384" s="1" t="s">
        <v>6863</v>
      </c>
      <c r="D20384" s="22" t="str">
        <f>HYPERLINK("https://rhld.insurance.arkansas.gov/NPILookup?Npi=1902524176","1902524176")</f>
        <v>1902524176</v>
      </c>
      <c r="E20384" s="1" t="s">
        <v>24938</v>
      </c>
      <c r="F20384" s="2"/>
      <c r="G20384" s="2"/>
      <c r="H20384" s="2"/>
    </row>
    <row r="20385" spans="1:8" x14ac:dyDescent="0.25">
      <c r="A20385" s="1"/>
      <c r="B20385" s="1" t="s">
        <v>6862</v>
      </c>
      <c r="C20385" s="1" t="s">
        <v>6863</v>
      </c>
      <c r="D20385" s="22" t="str">
        <f>HYPERLINK("https://rhld.insurance.arkansas.gov/NPILookup?Npi=1902558554","1902558554")</f>
        <v>1902558554</v>
      </c>
      <c r="E20385" s="1" t="s">
        <v>24939</v>
      </c>
      <c r="F20385" s="2"/>
      <c r="G20385" s="2"/>
      <c r="H20385" s="2"/>
    </row>
    <row r="20386" spans="1:8" x14ac:dyDescent="0.25">
      <c r="A20386" s="1"/>
      <c r="B20386" s="1" t="s">
        <v>6862</v>
      </c>
      <c r="C20386" s="1" t="s">
        <v>6863</v>
      </c>
      <c r="D20386" s="22" t="str">
        <f>HYPERLINK("https://rhld.insurance.arkansas.gov/NPILookup?Npi=1902571755","1902571755")</f>
        <v>1902571755</v>
      </c>
      <c r="E20386" s="1" t="s">
        <v>24940</v>
      </c>
      <c r="F20386" s="2"/>
      <c r="G20386" s="2"/>
      <c r="H20386" s="2"/>
    </row>
    <row r="20387" spans="1:8" x14ac:dyDescent="0.25">
      <c r="A20387" s="1"/>
      <c r="B20387" s="1" t="s">
        <v>6862</v>
      </c>
      <c r="C20387" s="1" t="s">
        <v>6863</v>
      </c>
      <c r="D20387" s="22" t="str">
        <f>HYPERLINK("https://rhld.insurance.arkansas.gov/NPILookup?Npi=1902588783","1902588783")</f>
        <v>1902588783</v>
      </c>
      <c r="E20387" s="1" t="s">
        <v>7242</v>
      </c>
      <c r="F20387" s="2"/>
      <c r="G20387" s="2"/>
      <c r="H20387" s="2"/>
    </row>
    <row r="20388" spans="1:8" x14ac:dyDescent="0.25">
      <c r="A20388" s="1"/>
      <c r="B20388" s="1" t="s">
        <v>6862</v>
      </c>
      <c r="C20388" s="1" t="s">
        <v>6863</v>
      </c>
      <c r="D20388" s="22" t="str">
        <f>HYPERLINK("https://rhld.insurance.arkansas.gov/NPILookup?Npi=1902680838","1902680838")</f>
        <v>1902680838</v>
      </c>
      <c r="E20388" s="1" t="s">
        <v>6917</v>
      </c>
      <c r="F20388" s="2"/>
      <c r="G20388" s="2"/>
      <c r="H20388" s="2"/>
    </row>
    <row r="20389" spans="1:8" x14ac:dyDescent="0.25">
      <c r="A20389" s="1"/>
      <c r="B20389" s="1" t="s">
        <v>6862</v>
      </c>
      <c r="C20389" s="1" t="s">
        <v>6863</v>
      </c>
      <c r="D20389" s="22" t="str">
        <f>HYPERLINK("https://rhld.insurance.arkansas.gov/NPILookup?Npi=1902804073","1902804073")</f>
        <v>1902804073</v>
      </c>
      <c r="E20389" s="1" t="s">
        <v>24941</v>
      </c>
      <c r="F20389" s="2"/>
      <c r="G20389" s="2"/>
      <c r="H20389" s="2"/>
    </row>
    <row r="20390" spans="1:8" x14ac:dyDescent="0.25">
      <c r="A20390" s="1"/>
      <c r="B20390" s="1" t="s">
        <v>6862</v>
      </c>
      <c r="C20390" s="1" t="s">
        <v>6863</v>
      </c>
      <c r="D20390" s="22" t="str">
        <f>HYPERLINK("https://rhld.insurance.arkansas.gov/NPILookup?Npi=1902804651","1902804651")</f>
        <v>1902804651</v>
      </c>
      <c r="E20390" s="1" t="s">
        <v>24942</v>
      </c>
      <c r="F20390" s="2"/>
      <c r="G20390" s="2"/>
      <c r="H20390" s="2"/>
    </row>
    <row r="20391" spans="1:8" x14ac:dyDescent="0.25">
      <c r="A20391" s="1"/>
      <c r="B20391" s="1" t="s">
        <v>6862</v>
      </c>
      <c r="C20391" s="1" t="s">
        <v>6863</v>
      </c>
      <c r="D20391" s="22" t="str">
        <f>HYPERLINK("https://rhld.insurance.arkansas.gov/NPILookup?Npi=1902869613","1902869613")</f>
        <v>1902869613</v>
      </c>
      <c r="E20391" s="1" t="s">
        <v>24943</v>
      </c>
      <c r="F20391" s="2"/>
      <c r="G20391" s="2"/>
      <c r="H20391" s="2"/>
    </row>
    <row r="20392" spans="1:8" x14ac:dyDescent="0.25">
      <c r="A20392" s="1"/>
      <c r="B20392" s="1" t="s">
        <v>6862</v>
      </c>
      <c r="C20392" s="1" t="s">
        <v>6863</v>
      </c>
      <c r="D20392" s="22" t="str">
        <f>HYPERLINK("https://rhld.insurance.arkansas.gov/NPILookup?Npi=1902933351","1902933351")</f>
        <v>1902933351</v>
      </c>
      <c r="E20392" s="1" t="s">
        <v>24944</v>
      </c>
      <c r="F20392" s="2"/>
      <c r="G20392" s="2"/>
      <c r="H20392" s="2"/>
    </row>
    <row r="20393" spans="1:8" x14ac:dyDescent="0.25">
      <c r="A20393" s="1"/>
      <c r="B20393" s="1" t="s">
        <v>6862</v>
      </c>
      <c r="C20393" s="1" t="s">
        <v>6863</v>
      </c>
      <c r="D20393" s="22" t="str">
        <f>HYPERLINK("https://rhld.insurance.arkansas.gov/NPILookup?Npi=1902973217","1902973217")</f>
        <v>1902973217</v>
      </c>
      <c r="E20393" s="1" t="s">
        <v>24945</v>
      </c>
      <c r="F20393" s="2"/>
      <c r="G20393" s="2"/>
      <c r="H20393" s="2"/>
    </row>
    <row r="20394" spans="1:8" x14ac:dyDescent="0.25">
      <c r="A20394" s="1"/>
      <c r="B20394" s="1" t="s">
        <v>6862</v>
      </c>
      <c r="C20394" s="1" t="s">
        <v>6863</v>
      </c>
      <c r="D20394" s="22" t="str">
        <f>HYPERLINK("https://rhld.insurance.arkansas.gov/NPILookup?Npi=1912030198","1912030198")</f>
        <v>1912030198</v>
      </c>
      <c r="E20394" s="1" t="s">
        <v>7243</v>
      </c>
      <c r="F20394" s="2"/>
      <c r="G20394" s="2"/>
      <c r="H20394" s="2"/>
    </row>
    <row r="20395" spans="1:8" x14ac:dyDescent="0.25">
      <c r="A20395" s="1"/>
      <c r="B20395" s="1" t="s">
        <v>6862</v>
      </c>
      <c r="C20395" s="1" t="s">
        <v>6863</v>
      </c>
      <c r="D20395" s="22" t="str">
        <f>HYPERLINK("https://rhld.insurance.arkansas.gov/NPILookup?Npi=1912065012","1912065012")</f>
        <v>1912065012</v>
      </c>
      <c r="E20395" s="1" t="s">
        <v>24946</v>
      </c>
      <c r="F20395" s="2"/>
      <c r="G20395" s="2"/>
      <c r="H20395" s="2"/>
    </row>
    <row r="20396" spans="1:8" x14ac:dyDescent="0.25">
      <c r="A20396" s="1"/>
      <c r="B20396" s="1" t="s">
        <v>6862</v>
      </c>
      <c r="C20396" s="1" t="s">
        <v>6863</v>
      </c>
      <c r="D20396" s="22" t="str">
        <f>HYPERLINK("https://rhld.insurance.arkansas.gov/NPILookup?Npi=1912109190","1912109190")</f>
        <v>1912109190</v>
      </c>
      <c r="E20396" s="1" t="s">
        <v>24947</v>
      </c>
      <c r="F20396" s="2"/>
      <c r="G20396" s="2"/>
      <c r="H20396" s="2"/>
    </row>
    <row r="20397" spans="1:8" x14ac:dyDescent="0.25">
      <c r="A20397" s="1"/>
      <c r="B20397" s="1" t="s">
        <v>6862</v>
      </c>
      <c r="C20397" s="1" t="s">
        <v>6863</v>
      </c>
      <c r="D20397" s="22" t="str">
        <f>HYPERLINK("https://rhld.insurance.arkansas.gov/NPILookup?Npi=1912143975","1912143975")</f>
        <v>1912143975</v>
      </c>
      <c r="E20397" s="1" t="s">
        <v>12527</v>
      </c>
      <c r="F20397" s="2"/>
      <c r="G20397" s="2"/>
      <c r="H20397" s="2"/>
    </row>
    <row r="20398" spans="1:8" x14ac:dyDescent="0.25">
      <c r="A20398" s="1"/>
      <c r="B20398" s="1" t="s">
        <v>6862</v>
      </c>
      <c r="C20398" s="1" t="s">
        <v>6863</v>
      </c>
      <c r="D20398" s="22" t="str">
        <f>HYPERLINK("https://rhld.insurance.arkansas.gov/NPILookup?Npi=1912435561","1912435561")</f>
        <v>1912435561</v>
      </c>
      <c r="E20398" s="1" t="s">
        <v>24948</v>
      </c>
      <c r="F20398" s="2"/>
      <c r="G20398" s="2"/>
      <c r="H20398" s="2"/>
    </row>
    <row r="20399" spans="1:8" x14ac:dyDescent="0.25">
      <c r="A20399" s="1"/>
      <c r="B20399" s="1" t="s">
        <v>6862</v>
      </c>
      <c r="C20399" s="1" t="s">
        <v>6863</v>
      </c>
      <c r="D20399" s="22" t="str">
        <f>HYPERLINK("https://rhld.insurance.arkansas.gov/NPILookup?Npi=1912456864","1912456864")</f>
        <v>1912456864</v>
      </c>
      <c r="E20399" s="1" t="s">
        <v>24949</v>
      </c>
      <c r="F20399" s="2"/>
      <c r="G20399" s="2"/>
      <c r="H20399" s="2"/>
    </row>
    <row r="20400" spans="1:8" x14ac:dyDescent="0.25">
      <c r="A20400" s="1"/>
      <c r="B20400" s="1" t="s">
        <v>6862</v>
      </c>
      <c r="C20400" s="1" t="s">
        <v>6863</v>
      </c>
      <c r="D20400" s="22" t="str">
        <f>HYPERLINK("https://rhld.insurance.arkansas.gov/NPILookup?Npi=1912478066","1912478066")</f>
        <v>1912478066</v>
      </c>
      <c r="E20400" s="1" t="s">
        <v>24950</v>
      </c>
      <c r="F20400" s="2"/>
      <c r="G20400" s="2"/>
      <c r="H20400" s="2"/>
    </row>
    <row r="20401" spans="1:8" x14ac:dyDescent="0.25">
      <c r="A20401" s="1"/>
      <c r="B20401" s="1" t="s">
        <v>6862</v>
      </c>
      <c r="C20401" s="1" t="s">
        <v>6863</v>
      </c>
      <c r="D20401" s="22" t="str">
        <f>HYPERLINK("https://rhld.insurance.arkansas.gov/NPILookup?Npi=1912512427","1912512427")</f>
        <v>1912512427</v>
      </c>
      <c r="E20401" s="1" t="s">
        <v>24951</v>
      </c>
      <c r="F20401" s="2"/>
      <c r="G20401" s="2"/>
      <c r="H20401" s="2"/>
    </row>
    <row r="20402" spans="1:8" x14ac:dyDescent="0.25">
      <c r="A20402" s="1"/>
      <c r="B20402" s="1" t="s">
        <v>6862</v>
      </c>
      <c r="C20402" s="1" t="s">
        <v>6863</v>
      </c>
      <c r="D20402" s="22" t="str">
        <f>HYPERLINK("https://rhld.insurance.arkansas.gov/NPILookup?Npi=1912560285","1912560285")</f>
        <v>1912560285</v>
      </c>
      <c r="E20402" s="1" t="s">
        <v>19971</v>
      </c>
      <c r="F20402" s="2"/>
      <c r="G20402" s="2"/>
      <c r="H20402" s="2"/>
    </row>
    <row r="20403" spans="1:8" x14ac:dyDescent="0.25">
      <c r="A20403" s="1"/>
      <c r="B20403" s="1" t="s">
        <v>6862</v>
      </c>
      <c r="C20403" s="1" t="s">
        <v>6863</v>
      </c>
      <c r="D20403" s="22" t="str">
        <f>HYPERLINK("https://rhld.insurance.arkansas.gov/NPILookup?Npi=1912668633","1912668633")</f>
        <v>1912668633</v>
      </c>
      <c r="E20403" s="1" t="s">
        <v>24952</v>
      </c>
      <c r="F20403" s="2"/>
      <c r="G20403" s="2"/>
      <c r="H20403" s="2"/>
    </row>
    <row r="20404" spans="1:8" x14ac:dyDescent="0.25">
      <c r="A20404" s="1"/>
      <c r="B20404" s="1" t="s">
        <v>6862</v>
      </c>
      <c r="C20404" s="1" t="s">
        <v>6863</v>
      </c>
      <c r="D20404" s="22" t="str">
        <f>HYPERLINK("https://rhld.insurance.arkansas.gov/NPILookup?Npi=1912673187","1912673187")</f>
        <v>1912673187</v>
      </c>
      <c r="E20404" s="1" t="s">
        <v>24953</v>
      </c>
      <c r="F20404" s="2"/>
      <c r="G20404" s="2"/>
      <c r="H20404" s="2"/>
    </row>
    <row r="20405" spans="1:8" x14ac:dyDescent="0.25">
      <c r="A20405" s="1"/>
      <c r="B20405" s="1" t="s">
        <v>6862</v>
      </c>
      <c r="C20405" s="1" t="s">
        <v>6863</v>
      </c>
      <c r="D20405" s="22" t="str">
        <f>HYPERLINK("https://rhld.insurance.arkansas.gov/NPILookup?Npi=1912676768","1912676768")</f>
        <v>1912676768</v>
      </c>
      <c r="E20405" s="1" t="s">
        <v>7244</v>
      </c>
      <c r="F20405" s="2"/>
      <c r="G20405" s="2"/>
      <c r="H20405" s="2"/>
    </row>
    <row r="20406" spans="1:8" x14ac:dyDescent="0.25">
      <c r="A20406" s="1"/>
      <c r="B20406" s="1" t="s">
        <v>6862</v>
      </c>
      <c r="C20406" s="1" t="s">
        <v>6863</v>
      </c>
      <c r="D20406" s="22" t="str">
        <f>HYPERLINK("https://rhld.insurance.arkansas.gov/NPILookup?Npi=1912771262","1912771262")</f>
        <v>1912771262</v>
      </c>
      <c r="E20406" s="1" t="s">
        <v>7245</v>
      </c>
      <c r="F20406" s="2"/>
      <c r="G20406" s="2"/>
      <c r="H20406" s="2"/>
    </row>
    <row r="20407" spans="1:8" x14ac:dyDescent="0.25">
      <c r="A20407" s="1"/>
      <c r="B20407" s="1" t="s">
        <v>6862</v>
      </c>
      <c r="C20407" s="1" t="s">
        <v>6863</v>
      </c>
      <c r="D20407" s="22" t="str">
        <f>HYPERLINK("https://rhld.insurance.arkansas.gov/NPILookup?Npi=1912921909","1912921909")</f>
        <v>1912921909</v>
      </c>
      <c r="E20407" s="1" t="s">
        <v>32064</v>
      </c>
      <c r="F20407" s="2"/>
      <c r="G20407" s="2"/>
      <c r="H20407" s="2"/>
    </row>
    <row r="20408" spans="1:8" x14ac:dyDescent="0.25">
      <c r="A20408" s="1"/>
      <c r="B20408" s="1" t="s">
        <v>6862</v>
      </c>
      <c r="C20408" s="1" t="s">
        <v>6863</v>
      </c>
      <c r="D20408" s="22" t="str">
        <f>HYPERLINK("https://rhld.insurance.arkansas.gov/NPILookup?Npi=1922083534","1922083534")</f>
        <v>1922083534</v>
      </c>
      <c r="E20408" s="1" t="s">
        <v>7246</v>
      </c>
      <c r="F20408" s="2"/>
      <c r="G20408" s="2"/>
      <c r="H20408" s="2"/>
    </row>
    <row r="20409" spans="1:8" x14ac:dyDescent="0.25">
      <c r="A20409" s="1"/>
      <c r="B20409" s="1" t="s">
        <v>6862</v>
      </c>
      <c r="C20409" s="1" t="s">
        <v>6863</v>
      </c>
      <c r="D20409" s="22" t="str">
        <f>HYPERLINK("https://rhld.insurance.arkansas.gov/NPILookup?Npi=1922312297","1922312297")</f>
        <v>1922312297</v>
      </c>
      <c r="E20409" s="1" t="s">
        <v>24954</v>
      </c>
      <c r="F20409" s="2"/>
      <c r="G20409" s="2"/>
      <c r="H20409" s="2"/>
    </row>
    <row r="20410" spans="1:8" x14ac:dyDescent="0.25">
      <c r="A20410" s="1"/>
      <c r="B20410" s="1" t="s">
        <v>6862</v>
      </c>
      <c r="C20410" s="1" t="s">
        <v>6863</v>
      </c>
      <c r="D20410" s="22" t="str">
        <f>HYPERLINK("https://rhld.insurance.arkansas.gov/NPILookup?Npi=1922315175","1922315175")</f>
        <v>1922315175</v>
      </c>
      <c r="E20410" s="1" t="s">
        <v>24955</v>
      </c>
      <c r="F20410" s="2"/>
      <c r="G20410" s="2"/>
      <c r="H20410" s="2"/>
    </row>
    <row r="20411" spans="1:8" x14ac:dyDescent="0.25">
      <c r="A20411" s="1"/>
      <c r="B20411" s="1" t="s">
        <v>6862</v>
      </c>
      <c r="C20411" s="1" t="s">
        <v>6863</v>
      </c>
      <c r="D20411" s="22" t="str">
        <f>HYPERLINK("https://rhld.insurance.arkansas.gov/NPILookup?Npi=1922371822","1922371822")</f>
        <v>1922371822</v>
      </c>
      <c r="E20411" s="1" t="s">
        <v>7248</v>
      </c>
      <c r="F20411" s="2"/>
      <c r="G20411" s="2"/>
      <c r="H20411" s="2"/>
    </row>
    <row r="20412" spans="1:8" x14ac:dyDescent="0.25">
      <c r="A20412" s="1"/>
      <c r="B20412" s="1" t="s">
        <v>6862</v>
      </c>
      <c r="C20412" s="1" t="s">
        <v>6863</v>
      </c>
      <c r="D20412" s="22" t="str">
        <f>HYPERLINK("https://rhld.insurance.arkansas.gov/NPILookup?Npi=1922625680","1922625680")</f>
        <v>1922625680</v>
      </c>
      <c r="E20412" s="1" t="s">
        <v>24956</v>
      </c>
      <c r="F20412" s="2"/>
      <c r="G20412" s="2"/>
      <c r="H20412" s="2"/>
    </row>
    <row r="20413" spans="1:8" x14ac:dyDescent="0.25">
      <c r="A20413" s="1"/>
      <c r="B20413" s="1" t="s">
        <v>6862</v>
      </c>
      <c r="C20413" s="1" t="s">
        <v>6863</v>
      </c>
      <c r="D20413" s="22" t="str">
        <f>HYPERLINK("https://rhld.insurance.arkansas.gov/NPILookup?Npi=1922654326","1922654326")</f>
        <v>1922654326</v>
      </c>
      <c r="E20413" s="1" t="s">
        <v>24957</v>
      </c>
      <c r="F20413" s="2"/>
      <c r="G20413" s="2"/>
      <c r="H20413" s="2"/>
    </row>
    <row r="20414" spans="1:8" x14ac:dyDescent="0.25">
      <c r="A20414" s="1"/>
      <c r="B20414" s="1" t="s">
        <v>6862</v>
      </c>
      <c r="C20414" s="1" t="s">
        <v>6863</v>
      </c>
      <c r="D20414" s="22" t="str">
        <f>HYPERLINK("https://rhld.insurance.arkansas.gov/NPILookup?Npi=1922658566","1922658566")</f>
        <v>1922658566</v>
      </c>
      <c r="E20414" s="1" t="s">
        <v>24958</v>
      </c>
      <c r="F20414" s="2"/>
      <c r="G20414" s="2"/>
      <c r="H20414" s="2"/>
    </row>
    <row r="20415" spans="1:8" x14ac:dyDescent="0.25">
      <c r="A20415" s="1"/>
      <c r="B20415" s="1" t="s">
        <v>6862</v>
      </c>
      <c r="C20415" s="1" t="s">
        <v>6863</v>
      </c>
      <c r="D20415" s="22" t="str">
        <f>HYPERLINK("https://rhld.insurance.arkansas.gov/NPILookup?Npi=1922660026","1922660026")</f>
        <v>1922660026</v>
      </c>
      <c r="E20415" s="1" t="s">
        <v>24959</v>
      </c>
      <c r="F20415" s="2"/>
      <c r="G20415" s="2"/>
      <c r="H20415" s="2"/>
    </row>
    <row r="20416" spans="1:8" x14ac:dyDescent="0.25">
      <c r="A20416" s="1"/>
      <c r="B20416" s="1" t="s">
        <v>6862</v>
      </c>
      <c r="C20416" s="1" t="s">
        <v>6863</v>
      </c>
      <c r="D20416" s="22" t="str">
        <f>HYPERLINK("https://rhld.insurance.arkansas.gov/NPILookup?Npi=1922725944","1922725944")</f>
        <v>1922725944</v>
      </c>
      <c r="E20416" s="1" t="s">
        <v>24960</v>
      </c>
      <c r="F20416" s="2"/>
      <c r="G20416" s="2"/>
      <c r="H20416" s="2"/>
    </row>
    <row r="20417" spans="1:8" x14ac:dyDescent="0.25">
      <c r="A20417" s="1"/>
      <c r="B20417" s="1" t="s">
        <v>6862</v>
      </c>
      <c r="C20417" s="1" t="s">
        <v>6863</v>
      </c>
      <c r="D20417" s="22" t="str">
        <f>HYPERLINK("https://rhld.insurance.arkansas.gov/NPILookup?Npi=1922773050","1922773050")</f>
        <v>1922773050</v>
      </c>
      <c r="E20417" s="1" t="s">
        <v>7249</v>
      </c>
      <c r="F20417" s="2"/>
      <c r="G20417" s="2"/>
      <c r="H20417" s="2"/>
    </row>
    <row r="20418" spans="1:8" x14ac:dyDescent="0.25">
      <c r="A20418" s="1"/>
      <c r="B20418" s="1" t="s">
        <v>6862</v>
      </c>
      <c r="C20418" s="1" t="s">
        <v>6863</v>
      </c>
      <c r="D20418" s="22" t="str">
        <f>HYPERLINK("https://rhld.insurance.arkansas.gov/NPILookup?Npi=1922830413","1922830413")</f>
        <v>1922830413</v>
      </c>
      <c r="E20418" s="1" t="s">
        <v>24961</v>
      </c>
      <c r="F20418" s="2"/>
      <c r="G20418" s="2"/>
      <c r="H20418" s="2"/>
    </row>
    <row r="20419" spans="1:8" x14ac:dyDescent="0.25">
      <c r="A20419" s="1"/>
      <c r="B20419" s="1" t="s">
        <v>6862</v>
      </c>
      <c r="C20419" s="1" t="s">
        <v>6863</v>
      </c>
      <c r="D20419" s="22" t="str">
        <f>HYPERLINK("https://rhld.insurance.arkansas.gov/NPILookup?Npi=1922837293","1922837293")</f>
        <v>1922837293</v>
      </c>
      <c r="E20419" s="1" t="s">
        <v>24962</v>
      </c>
      <c r="F20419" s="2"/>
      <c r="G20419" s="2"/>
      <c r="H20419" s="2"/>
    </row>
    <row r="20420" spans="1:8" x14ac:dyDescent="0.25">
      <c r="A20420" s="1"/>
      <c r="B20420" s="1" t="s">
        <v>6862</v>
      </c>
      <c r="C20420" s="1" t="s">
        <v>6863</v>
      </c>
      <c r="D20420" s="22" t="str">
        <f>HYPERLINK("https://rhld.insurance.arkansas.gov/NPILookup?Npi=1932134566","1932134566")</f>
        <v>1932134566</v>
      </c>
      <c r="E20420" s="1" t="s">
        <v>7250</v>
      </c>
      <c r="F20420" s="2"/>
      <c r="G20420" s="2"/>
      <c r="H20420" s="2"/>
    </row>
    <row r="20421" spans="1:8" x14ac:dyDescent="0.25">
      <c r="A20421" s="1"/>
      <c r="B20421" s="1" t="s">
        <v>6862</v>
      </c>
      <c r="C20421" s="1" t="s">
        <v>6863</v>
      </c>
      <c r="D20421" s="22" t="str">
        <f>HYPERLINK("https://rhld.insurance.arkansas.gov/NPILookup?Npi=1932162765","1932162765")</f>
        <v>1932162765</v>
      </c>
      <c r="E20421" s="1" t="s">
        <v>7251</v>
      </c>
      <c r="F20421" s="2"/>
      <c r="G20421" s="2"/>
      <c r="H20421" s="2"/>
    </row>
    <row r="20422" spans="1:8" x14ac:dyDescent="0.25">
      <c r="A20422" s="1"/>
      <c r="B20422" s="1" t="s">
        <v>6862</v>
      </c>
      <c r="C20422" s="1" t="s">
        <v>6863</v>
      </c>
      <c r="D20422" s="22" t="str">
        <f>HYPERLINK("https://rhld.insurance.arkansas.gov/NPILookup?Npi=1932313491","1932313491")</f>
        <v>1932313491</v>
      </c>
      <c r="E20422" s="1" t="s">
        <v>24963</v>
      </c>
      <c r="F20422" s="2"/>
      <c r="G20422" s="2"/>
      <c r="H20422" s="2"/>
    </row>
    <row r="20423" spans="1:8" x14ac:dyDescent="0.25">
      <c r="A20423" s="1"/>
      <c r="B20423" s="1" t="s">
        <v>6862</v>
      </c>
      <c r="C20423" s="1" t="s">
        <v>6863</v>
      </c>
      <c r="D20423" s="22" t="str">
        <f>HYPERLINK("https://rhld.insurance.arkansas.gov/NPILookup?Npi=1932394897","1932394897")</f>
        <v>1932394897</v>
      </c>
      <c r="E20423" s="1" t="s">
        <v>24964</v>
      </c>
      <c r="F20423" s="2"/>
      <c r="G20423" s="2"/>
      <c r="H20423" s="2"/>
    </row>
    <row r="20424" spans="1:8" x14ac:dyDescent="0.25">
      <c r="A20424" s="1"/>
      <c r="B20424" s="1" t="s">
        <v>6862</v>
      </c>
      <c r="C20424" s="1" t="s">
        <v>6863</v>
      </c>
      <c r="D20424" s="22" t="str">
        <f>HYPERLINK("https://rhld.insurance.arkansas.gov/NPILookup?Npi=1932396009","1932396009")</f>
        <v>1932396009</v>
      </c>
      <c r="E20424" s="1" t="s">
        <v>4808</v>
      </c>
      <c r="F20424" s="2"/>
      <c r="G20424" s="2"/>
      <c r="H20424" s="2"/>
    </row>
    <row r="20425" spans="1:8" x14ac:dyDescent="0.25">
      <c r="A20425" s="1"/>
      <c r="B20425" s="1" t="s">
        <v>6862</v>
      </c>
      <c r="C20425" s="1" t="s">
        <v>6863</v>
      </c>
      <c r="D20425" s="22" t="str">
        <f>HYPERLINK("https://rhld.insurance.arkansas.gov/NPILookup?Npi=1932432135","1932432135")</f>
        <v>1932432135</v>
      </c>
      <c r="E20425" s="1" t="s">
        <v>24965</v>
      </c>
      <c r="F20425" s="2"/>
      <c r="G20425" s="2"/>
      <c r="H20425" s="2"/>
    </row>
    <row r="20426" spans="1:8" x14ac:dyDescent="0.25">
      <c r="A20426" s="1"/>
      <c r="B20426" s="1" t="s">
        <v>6862</v>
      </c>
      <c r="C20426" s="1" t="s">
        <v>6863</v>
      </c>
      <c r="D20426" s="22" t="str">
        <f>HYPERLINK("https://rhld.insurance.arkansas.gov/NPILookup?Npi=1932436755","1932436755")</f>
        <v>1932436755</v>
      </c>
      <c r="E20426" s="1" t="s">
        <v>24966</v>
      </c>
      <c r="F20426" s="2"/>
      <c r="G20426" s="2"/>
      <c r="H20426" s="2"/>
    </row>
    <row r="20427" spans="1:8" x14ac:dyDescent="0.25">
      <c r="A20427" s="1"/>
      <c r="B20427" s="1" t="s">
        <v>6862</v>
      </c>
      <c r="C20427" s="1" t="s">
        <v>6863</v>
      </c>
      <c r="D20427" s="22" t="str">
        <f>HYPERLINK("https://rhld.insurance.arkansas.gov/NPILookup?Npi=1932535341","1932535341")</f>
        <v>1932535341</v>
      </c>
      <c r="E20427" s="1" t="s">
        <v>24967</v>
      </c>
      <c r="F20427" s="2"/>
      <c r="G20427" s="2"/>
      <c r="H20427" s="2"/>
    </row>
    <row r="20428" spans="1:8" x14ac:dyDescent="0.25">
      <c r="A20428" s="1"/>
      <c r="B20428" s="1" t="s">
        <v>6862</v>
      </c>
      <c r="C20428" s="1" t="s">
        <v>6863</v>
      </c>
      <c r="D20428" s="22" t="str">
        <f>HYPERLINK("https://rhld.insurance.arkansas.gov/NPILookup?Npi=1932583283","1932583283")</f>
        <v>1932583283</v>
      </c>
      <c r="E20428" s="1" t="s">
        <v>24968</v>
      </c>
      <c r="F20428" s="2"/>
      <c r="G20428" s="2"/>
      <c r="H20428" s="2"/>
    </row>
    <row r="20429" spans="1:8" x14ac:dyDescent="0.25">
      <c r="A20429" s="1"/>
      <c r="B20429" s="1" t="s">
        <v>6862</v>
      </c>
      <c r="C20429" s="1" t="s">
        <v>6863</v>
      </c>
      <c r="D20429" s="22" t="str">
        <f>HYPERLINK("https://rhld.insurance.arkansas.gov/NPILookup?Npi=1932612728","1932612728")</f>
        <v>1932612728</v>
      </c>
      <c r="E20429" s="1" t="s">
        <v>24969</v>
      </c>
      <c r="F20429" s="2"/>
      <c r="G20429" s="2"/>
      <c r="H20429" s="2"/>
    </row>
    <row r="20430" spans="1:8" x14ac:dyDescent="0.25">
      <c r="A20430" s="1"/>
      <c r="B20430" s="1" t="s">
        <v>6862</v>
      </c>
      <c r="C20430" s="1" t="s">
        <v>6863</v>
      </c>
      <c r="D20430" s="22" t="str">
        <f>HYPERLINK("https://rhld.insurance.arkansas.gov/NPILookup?Npi=1932624244","1932624244")</f>
        <v>1932624244</v>
      </c>
      <c r="E20430" s="1" t="s">
        <v>12528</v>
      </c>
      <c r="F20430" s="2"/>
      <c r="G20430" s="2"/>
      <c r="H20430" s="2"/>
    </row>
    <row r="20431" spans="1:8" x14ac:dyDescent="0.25">
      <c r="A20431" s="1"/>
      <c r="B20431" s="1" t="s">
        <v>6862</v>
      </c>
      <c r="C20431" s="1" t="s">
        <v>6863</v>
      </c>
      <c r="D20431" s="22" t="str">
        <f>HYPERLINK("https://rhld.insurance.arkansas.gov/NPILookup?Npi=1932626215","1932626215")</f>
        <v>1932626215</v>
      </c>
      <c r="E20431" s="1" t="s">
        <v>7252</v>
      </c>
      <c r="F20431" s="2"/>
      <c r="G20431" s="2"/>
      <c r="H20431" s="2"/>
    </row>
    <row r="20432" spans="1:8" x14ac:dyDescent="0.25">
      <c r="A20432" s="1"/>
      <c r="B20432" s="1" t="s">
        <v>6862</v>
      </c>
      <c r="C20432" s="1" t="s">
        <v>6863</v>
      </c>
      <c r="D20432" s="22" t="str">
        <f>HYPERLINK("https://rhld.insurance.arkansas.gov/NPILookup?Npi=1932638756","1932638756")</f>
        <v>1932638756</v>
      </c>
      <c r="E20432" s="1" t="s">
        <v>24970</v>
      </c>
      <c r="F20432" s="2"/>
      <c r="G20432" s="2"/>
      <c r="H20432" s="2"/>
    </row>
    <row r="20433" spans="1:8" x14ac:dyDescent="0.25">
      <c r="A20433" s="1"/>
      <c r="B20433" s="1" t="s">
        <v>6862</v>
      </c>
      <c r="C20433" s="1" t="s">
        <v>6863</v>
      </c>
      <c r="D20433" s="22" t="str">
        <f>HYPERLINK("https://rhld.insurance.arkansas.gov/NPILookup?Npi=1932686896","1932686896")</f>
        <v>1932686896</v>
      </c>
      <c r="E20433" s="1" t="s">
        <v>7253</v>
      </c>
      <c r="F20433" s="2"/>
      <c r="G20433" s="2"/>
      <c r="H20433" s="2"/>
    </row>
    <row r="20434" spans="1:8" x14ac:dyDescent="0.25">
      <c r="A20434" s="1"/>
      <c r="B20434" s="1" t="s">
        <v>6862</v>
      </c>
      <c r="C20434" s="1" t="s">
        <v>6863</v>
      </c>
      <c r="D20434" s="22" t="str">
        <f>HYPERLINK("https://rhld.insurance.arkansas.gov/NPILookup?Npi=1932755766","1932755766")</f>
        <v>1932755766</v>
      </c>
      <c r="E20434" s="1" t="s">
        <v>12529</v>
      </c>
      <c r="F20434" s="2"/>
      <c r="G20434" s="2"/>
      <c r="H20434" s="2"/>
    </row>
    <row r="20435" spans="1:8" x14ac:dyDescent="0.25">
      <c r="A20435" s="1"/>
      <c r="B20435" s="1" t="s">
        <v>6862</v>
      </c>
      <c r="C20435" s="1" t="s">
        <v>6863</v>
      </c>
      <c r="D20435" s="22" t="str">
        <f>HYPERLINK("https://rhld.insurance.arkansas.gov/NPILookup?Npi=1932771789","1932771789")</f>
        <v>1932771789</v>
      </c>
      <c r="E20435" s="1" t="s">
        <v>7254</v>
      </c>
      <c r="F20435" s="2"/>
      <c r="G20435" s="2"/>
      <c r="H20435" s="2"/>
    </row>
    <row r="20436" spans="1:8" x14ac:dyDescent="0.25">
      <c r="A20436" s="1"/>
      <c r="B20436" s="1" t="s">
        <v>6862</v>
      </c>
      <c r="C20436" s="1" t="s">
        <v>6863</v>
      </c>
      <c r="D20436" s="22" t="str">
        <f>HYPERLINK("https://rhld.insurance.arkansas.gov/NPILookup?Npi=1932822244","1932822244")</f>
        <v>1932822244</v>
      </c>
      <c r="E20436" s="1" t="s">
        <v>24971</v>
      </c>
      <c r="F20436" s="2"/>
      <c r="G20436" s="2"/>
      <c r="H20436" s="2"/>
    </row>
    <row r="20437" spans="1:8" x14ac:dyDescent="0.25">
      <c r="A20437" s="1"/>
      <c r="B20437" s="1" t="s">
        <v>6862</v>
      </c>
      <c r="C20437" s="1" t="s">
        <v>6863</v>
      </c>
      <c r="D20437" s="22" t="str">
        <f>HYPERLINK("https://rhld.insurance.arkansas.gov/NPILookup?Npi=1932845906","1932845906")</f>
        <v>1932845906</v>
      </c>
      <c r="E20437" s="1" t="s">
        <v>24972</v>
      </c>
      <c r="F20437" s="2"/>
      <c r="G20437" s="2"/>
      <c r="H20437" s="2"/>
    </row>
    <row r="20438" spans="1:8" x14ac:dyDescent="0.25">
      <c r="A20438" s="1"/>
      <c r="B20438" s="1" t="s">
        <v>6862</v>
      </c>
      <c r="C20438" s="1" t="s">
        <v>6863</v>
      </c>
      <c r="D20438" s="22" t="str">
        <f>HYPERLINK("https://rhld.insurance.arkansas.gov/NPILookup?Npi=1932847373","1932847373")</f>
        <v>1932847373</v>
      </c>
      <c r="E20438" s="1" t="s">
        <v>24973</v>
      </c>
      <c r="F20438" s="2"/>
      <c r="G20438" s="2"/>
      <c r="H20438" s="2"/>
    </row>
    <row r="20439" spans="1:8" x14ac:dyDescent="0.25">
      <c r="A20439" s="1"/>
      <c r="B20439" s="1" t="s">
        <v>6862</v>
      </c>
      <c r="C20439" s="1" t="s">
        <v>6863</v>
      </c>
      <c r="D20439" s="22" t="str">
        <f>HYPERLINK("https://rhld.insurance.arkansas.gov/NPILookup?Npi=1932892502","1932892502")</f>
        <v>1932892502</v>
      </c>
      <c r="E20439" s="1" t="s">
        <v>6517</v>
      </c>
      <c r="F20439" s="2"/>
      <c r="G20439" s="2"/>
      <c r="H20439" s="2"/>
    </row>
    <row r="20440" spans="1:8" x14ac:dyDescent="0.25">
      <c r="A20440" s="1"/>
      <c r="B20440" s="1" t="s">
        <v>6862</v>
      </c>
      <c r="C20440" s="1" t="s">
        <v>6863</v>
      </c>
      <c r="D20440" s="22" t="str">
        <f>HYPERLINK("https://rhld.insurance.arkansas.gov/NPILookup?Npi=1932931011","1932931011")</f>
        <v>1932931011</v>
      </c>
      <c r="E20440" s="1" t="s">
        <v>24974</v>
      </c>
      <c r="F20440" s="2"/>
      <c r="G20440" s="2"/>
      <c r="H20440" s="2"/>
    </row>
    <row r="20441" spans="1:8" x14ac:dyDescent="0.25">
      <c r="A20441" s="1"/>
      <c r="B20441" s="1" t="s">
        <v>6862</v>
      </c>
      <c r="C20441" s="1" t="s">
        <v>6863</v>
      </c>
      <c r="D20441" s="22" t="str">
        <f>HYPERLINK("https://rhld.insurance.arkansas.gov/NPILookup?Npi=1942031380","1942031380")</f>
        <v>1942031380</v>
      </c>
      <c r="E20441" s="1" t="s">
        <v>24975</v>
      </c>
      <c r="F20441" s="2"/>
      <c r="G20441" s="2"/>
      <c r="H20441" s="2"/>
    </row>
    <row r="20442" spans="1:8" x14ac:dyDescent="0.25">
      <c r="A20442" s="1"/>
      <c r="B20442" s="1" t="s">
        <v>6862</v>
      </c>
      <c r="C20442" s="1" t="s">
        <v>6863</v>
      </c>
      <c r="D20442" s="22" t="str">
        <f>HYPERLINK("https://rhld.insurance.arkansas.gov/NPILookup?Npi=1942267687","1942267687")</f>
        <v>1942267687</v>
      </c>
      <c r="E20442" s="1" t="s">
        <v>24976</v>
      </c>
      <c r="F20442" s="2"/>
      <c r="G20442" s="2"/>
      <c r="H20442" s="2"/>
    </row>
    <row r="20443" spans="1:8" x14ac:dyDescent="0.25">
      <c r="A20443" s="1"/>
      <c r="B20443" s="1" t="s">
        <v>6862</v>
      </c>
      <c r="C20443" s="1" t="s">
        <v>6863</v>
      </c>
      <c r="D20443" s="22" t="str">
        <f>HYPERLINK("https://rhld.insurance.arkansas.gov/NPILookup?Npi=1942287073","1942287073")</f>
        <v>1942287073</v>
      </c>
      <c r="E20443" s="1" t="s">
        <v>24977</v>
      </c>
      <c r="F20443" s="2"/>
      <c r="G20443" s="2"/>
      <c r="H20443" s="2"/>
    </row>
    <row r="20444" spans="1:8" x14ac:dyDescent="0.25">
      <c r="A20444" s="1"/>
      <c r="B20444" s="1" t="s">
        <v>6862</v>
      </c>
      <c r="C20444" s="1" t="s">
        <v>6863</v>
      </c>
      <c r="D20444" s="22" t="str">
        <f>HYPERLINK("https://rhld.insurance.arkansas.gov/NPILookup?Npi=1942358130","1942358130")</f>
        <v>1942358130</v>
      </c>
      <c r="E20444" s="1" t="s">
        <v>24978</v>
      </c>
      <c r="F20444" s="2"/>
      <c r="G20444" s="2"/>
      <c r="H20444" s="2"/>
    </row>
    <row r="20445" spans="1:8" x14ac:dyDescent="0.25">
      <c r="A20445" s="1"/>
      <c r="B20445" s="1" t="s">
        <v>6862</v>
      </c>
      <c r="C20445" s="1" t="s">
        <v>6863</v>
      </c>
      <c r="D20445" s="22" t="str">
        <f>HYPERLINK("https://rhld.insurance.arkansas.gov/NPILookup?Npi=1942535646","1942535646")</f>
        <v>1942535646</v>
      </c>
      <c r="E20445" s="1" t="s">
        <v>7255</v>
      </c>
      <c r="F20445" s="2"/>
      <c r="G20445" s="2"/>
      <c r="H20445" s="2"/>
    </row>
    <row r="20446" spans="1:8" x14ac:dyDescent="0.25">
      <c r="A20446" s="1"/>
      <c r="B20446" s="1" t="s">
        <v>6862</v>
      </c>
      <c r="C20446" s="1" t="s">
        <v>6863</v>
      </c>
      <c r="D20446" s="22" t="str">
        <f>HYPERLINK("https://rhld.insurance.arkansas.gov/NPILookup?Npi=1942582945","1942582945")</f>
        <v>1942582945</v>
      </c>
      <c r="E20446" s="1" t="s">
        <v>12530</v>
      </c>
      <c r="F20446" s="2"/>
      <c r="G20446" s="2"/>
      <c r="H20446" s="2"/>
    </row>
    <row r="20447" spans="1:8" x14ac:dyDescent="0.25">
      <c r="A20447" s="1"/>
      <c r="B20447" s="1" t="s">
        <v>6862</v>
      </c>
      <c r="C20447" s="1" t="s">
        <v>6863</v>
      </c>
      <c r="D20447" s="22" t="str">
        <f>HYPERLINK("https://rhld.insurance.arkansas.gov/NPILookup?Npi=1942612304","1942612304")</f>
        <v>1942612304</v>
      </c>
      <c r="E20447" s="1" t="s">
        <v>24979</v>
      </c>
      <c r="F20447" s="2"/>
      <c r="G20447" s="2"/>
      <c r="H20447" s="2"/>
    </row>
    <row r="20448" spans="1:8" x14ac:dyDescent="0.25">
      <c r="A20448" s="1"/>
      <c r="B20448" s="1" t="s">
        <v>6862</v>
      </c>
      <c r="C20448" s="1" t="s">
        <v>6863</v>
      </c>
      <c r="D20448" s="22" t="str">
        <f>HYPERLINK("https://rhld.insurance.arkansas.gov/NPILookup?Npi=1942640404","1942640404")</f>
        <v>1942640404</v>
      </c>
      <c r="E20448" s="1" t="s">
        <v>12531</v>
      </c>
      <c r="F20448" s="2"/>
      <c r="G20448" s="2"/>
      <c r="H20448" s="2"/>
    </row>
    <row r="20449" spans="1:8" x14ac:dyDescent="0.25">
      <c r="A20449" s="1"/>
      <c r="B20449" s="1" t="s">
        <v>6862</v>
      </c>
      <c r="C20449" s="1" t="s">
        <v>6863</v>
      </c>
      <c r="D20449" s="22" t="str">
        <f>HYPERLINK("https://rhld.insurance.arkansas.gov/NPILookup?Npi=1942660154","1942660154")</f>
        <v>1942660154</v>
      </c>
      <c r="E20449" s="1" t="s">
        <v>24980</v>
      </c>
      <c r="F20449" s="2"/>
      <c r="G20449" s="2"/>
      <c r="H20449" s="2"/>
    </row>
    <row r="20450" spans="1:8" x14ac:dyDescent="0.25">
      <c r="A20450" s="1"/>
      <c r="B20450" s="1" t="s">
        <v>6862</v>
      </c>
      <c r="C20450" s="1" t="s">
        <v>6863</v>
      </c>
      <c r="D20450" s="22" t="str">
        <f>HYPERLINK("https://rhld.insurance.arkansas.gov/NPILookup?Npi=1942685201","1942685201")</f>
        <v>1942685201</v>
      </c>
      <c r="E20450" s="1" t="s">
        <v>24981</v>
      </c>
      <c r="F20450" s="2"/>
      <c r="G20450" s="2"/>
      <c r="H20450" s="2"/>
    </row>
    <row r="20451" spans="1:8" x14ac:dyDescent="0.25">
      <c r="A20451" s="1"/>
      <c r="B20451" s="1" t="s">
        <v>6862</v>
      </c>
      <c r="C20451" s="1" t="s">
        <v>6863</v>
      </c>
      <c r="D20451" s="22" t="str">
        <f>HYPERLINK("https://rhld.insurance.arkansas.gov/NPILookup?Npi=1942697552","1942697552")</f>
        <v>1942697552</v>
      </c>
      <c r="E20451" s="1" t="s">
        <v>24982</v>
      </c>
      <c r="F20451" s="2"/>
      <c r="G20451" s="2"/>
      <c r="H20451" s="2"/>
    </row>
    <row r="20452" spans="1:8" x14ac:dyDescent="0.25">
      <c r="A20452" s="1"/>
      <c r="B20452" s="1" t="s">
        <v>6862</v>
      </c>
      <c r="C20452" s="1" t="s">
        <v>6863</v>
      </c>
      <c r="D20452" s="22" t="str">
        <f>HYPERLINK("https://rhld.insurance.arkansas.gov/NPILookup?Npi=1942754957","1942754957")</f>
        <v>1942754957</v>
      </c>
      <c r="E20452" s="1" t="s">
        <v>7256</v>
      </c>
      <c r="F20452" s="2"/>
      <c r="G20452" s="2"/>
      <c r="H20452" s="2"/>
    </row>
    <row r="20453" spans="1:8" x14ac:dyDescent="0.25">
      <c r="A20453" s="1"/>
      <c r="B20453" s="1" t="s">
        <v>6862</v>
      </c>
      <c r="C20453" s="1" t="s">
        <v>6863</v>
      </c>
      <c r="D20453" s="22" t="str">
        <f>HYPERLINK("https://rhld.insurance.arkansas.gov/NPILookup?Npi=1942802509","1942802509")</f>
        <v>1942802509</v>
      </c>
      <c r="E20453" s="1" t="s">
        <v>24983</v>
      </c>
      <c r="F20453" s="2"/>
      <c r="G20453" s="2"/>
      <c r="H20453" s="2"/>
    </row>
    <row r="20454" spans="1:8" x14ac:dyDescent="0.25">
      <c r="A20454" s="1"/>
      <c r="B20454" s="1" t="s">
        <v>6862</v>
      </c>
      <c r="C20454" s="1" t="s">
        <v>6863</v>
      </c>
      <c r="D20454" s="22" t="str">
        <f>HYPERLINK("https://rhld.insurance.arkansas.gov/NPILookup?Npi=1942814355","1942814355")</f>
        <v>1942814355</v>
      </c>
      <c r="E20454" s="1" t="s">
        <v>12532</v>
      </c>
      <c r="F20454" s="2"/>
      <c r="G20454" s="2"/>
      <c r="H20454" s="2"/>
    </row>
    <row r="20455" spans="1:8" x14ac:dyDescent="0.25">
      <c r="A20455" s="1"/>
      <c r="B20455" s="1" t="s">
        <v>6862</v>
      </c>
      <c r="C20455" s="1" t="s">
        <v>6863</v>
      </c>
      <c r="D20455" s="22" t="str">
        <f>HYPERLINK("https://rhld.insurance.arkansas.gov/NPILookup?Npi=1942825476","1942825476")</f>
        <v>1942825476</v>
      </c>
      <c r="E20455" s="1" t="s">
        <v>24984</v>
      </c>
      <c r="F20455" s="2"/>
      <c r="G20455" s="2"/>
      <c r="H20455" s="2"/>
    </row>
    <row r="20456" spans="1:8" x14ac:dyDescent="0.25">
      <c r="A20456" s="1"/>
      <c r="B20456" s="1" t="s">
        <v>6862</v>
      </c>
      <c r="C20456" s="1" t="s">
        <v>6863</v>
      </c>
      <c r="D20456" s="22" t="str">
        <f>HYPERLINK("https://rhld.insurance.arkansas.gov/NPILookup?Npi=1942849674","1942849674")</f>
        <v>1942849674</v>
      </c>
      <c r="E20456" s="1" t="s">
        <v>7257</v>
      </c>
      <c r="F20456" s="2"/>
      <c r="G20456" s="2"/>
      <c r="H20456" s="2"/>
    </row>
    <row r="20457" spans="1:8" x14ac:dyDescent="0.25">
      <c r="A20457" s="1"/>
      <c r="B20457" s="1" t="s">
        <v>6862</v>
      </c>
      <c r="C20457" s="1" t="s">
        <v>6863</v>
      </c>
      <c r="D20457" s="22" t="str">
        <f>HYPERLINK("https://rhld.insurance.arkansas.gov/NPILookup?Npi=1942864582","1942864582")</f>
        <v>1942864582</v>
      </c>
      <c r="E20457" s="1" t="s">
        <v>32065</v>
      </c>
      <c r="F20457" s="2"/>
      <c r="G20457" s="2"/>
      <c r="H20457" s="2"/>
    </row>
    <row r="20458" spans="1:8" x14ac:dyDescent="0.25">
      <c r="A20458" s="1"/>
      <c r="B20458" s="1" t="s">
        <v>6862</v>
      </c>
      <c r="C20458" s="1" t="s">
        <v>6863</v>
      </c>
      <c r="D20458" s="22" t="str">
        <f>HYPERLINK("https://rhld.insurance.arkansas.gov/NPILookup?Npi=1942916143","1942916143")</f>
        <v>1942916143</v>
      </c>
      <c r="E20458" s="1" t="s">
        <v>24985</v>
      </c>
      <c r="F20458" s="2"/>
      <c r="G20458" s="2"/>
      <c r="H20458" s="2"/>
    </row>
    <row r="20459" spans="1:8" x14ac:dyDescent="0.25">
      <c r="A20459" s="1"/>
      <c r="B20459" s="1" t="s">
        <v>6862</v>
      </c>
      <c r="C20459" s="1" t="s">
        <v>6863</v>
      </c>
      <c r="D20459" s="22" t="str">
        <f>HYPERLINK("https://rhld.insurance.arkansas.gov/NPILookup?Npi=1942928148","1942928148")</f>
        <v>1942928148</v>
      </c>
      <c r="E20459" s="1" t="s">
        <v>24986</v>
      </c>
      <c r="F20459" s="2"/>
      <c r="G20459" s="2"/>
      <c r="H20459" s="2"/>
    </row>
    <row r="20460" spans="1:8" x14ac:dyDescent="0.25">
      <c r="A20460" s="1"/>
      <c r="B20460" s="1" t="s">
        <v>6862</v>
      </c>
      <c r="C20460" s="1" t="s">
        <v>6863</v>
      </c>
      <c r="D20460" s="22" t="str">
        <f>HYPERLINK("https://rhld.insurance.arkansas.gov/NPILookup?Npi=1942956099","1942956099")</f>
        <v>1942956099</v>
      </c>
      <c r="E20460" s="1" t="s">
        <v>24987</v>
      </c>
      <c r="F20460" s="2"/>
      <c r="G20460" s="2"/>
      <c r="H20460" s="2"/>
    </row>
    <row r="20461" spans="1:8" x14ac:dyDescent="0.25">
      <c r="A20461" s="1"/>
      <c r="B20461" s="1" t="s">
        <v>6862</v>
      </c>
      <c r="C20461" s="1" t="s">
        <v>6863</v>
      </c>
      <c r="D20461" s="22" t="str">
        <f>HYPERLINK("https://rhld.insurance.arkansas.gov/NPILookup?Npi=1942975321","1942975321")</f>
        <v>1942975321</v>
      </c>
      <c r="E20461" s="1" t="s">
        <v>7258</v>
      </c>
      <c r="F20461" s="2"/>
      <c r="G20461" s="2"/>
      <c r="H20461" s="2"/>
    </row>
    <row r="20462" spans="1:8" x14ac:dyDescent="0.25">
      <c r="A20462" s="1"/>
      <c r="B20462" s="1" t="s">
        <v>6862</v>
      </c>
      <c r="C20462" s="1" t="s">
        <v>6863</v>
      </c>
      <c r="D20462" s="22" t="str">
        <f>HYPERLINK("https://rhld.insurance.arkansas.gov/NPILookup?Npi=1952002032","1952002032")</f>
        <v>1952002032</v>
      </c>
      <c r="E20462" s="1" t="s">
        <v>12533</v>
      </c>
      <c r="F20462" s="2"/>
      <c r="G20462" s="2"/>
      <c r="H20462" s="2"/>
    </row>
    <row r="20463" spans="1:8" x14ac:dyDescent="0.25">
      <c r="A20463" s="1"/>
      <c r="B20463" s="1" t="s">
        <v>6862</v>
      </c>
      <c r="C20463" s="1" t="s">
        <v>6863</v>
      </c>
      <c r="D20463" s="22" t="str">
        <f>HYPERLINK("https://rhld.insurance.arkansas.gov/NPILookup?Npi=1952078719","1952078719")</f>
        <v>1952078719</v>
      </c>
      <c r="E20463" s="1" t="s">
        <v>12534</v>
      </c>
      <c r="F20463" s="2"/>
      <c r="G20463" s="2"/>
      <c r="H20463" s="2"/>
    </row>
    <row r="20464" spans="1:8" x14ac:dyDescent="0.25">
      <c r="A20464" s="1"/>
      <c r="B20464" s="1" t="s">
        <v>6862</v>
      </c>
      <c r="C20464" s="1" t="s">
        <v>6863</v>
      </c>
      <c r="D20464" s="22" t="str">
        <f>HYPERLINK("https://rhld.insurance.arkansas.gov/NPILookup?Npi=1952086142","1952086142")</f>
        <v>1952086142</v>
      </c>
      <c r="E20464" s="1" t="s">
        <v>5281</v>
      </c>
      <c r="F20464" s="2"/>
      <c r="G20464" s="2"/>
      <c r="H20464" s="2"/>
    </row>
    <row r="20465" spans="1:8" x14ac:dyDescent="0.25">
      <c r="A20465" s="1"/>
      <c r="B20465" s="1" t="s">
        <v>6862</v>
      </c>
      <c r="C20465" s="1" t="s">
        <v>6863</v>
      </c>
      <c r="D20465" s="22" t="str">
        <f>HYPERLINK("https://rhld.insurance.arkansas.gov/NPILookup?Npi=1952182164","1952182164")</f>
        <v>1952182164</v>
      </c>
      <c r="E20465" s="1" t="s">
        <v>6277</v>
      </c>
      <c r="F20465" s="2"/>
      <c r="G20465" s="2"/>
      <c r="H20465" s="2"/>
    </row>
    <row r="20466" spans="1:8" x14ac:dyDescent="0.25">
      <c r="A20466" s="1"/>
      <c r="B20466" s="1" t="s">
        <v>6862</v>
      </c>
      <c r="C20466" s="1" t="s">
        <v>6863</v>
      </c>
      <c r="D20466" s="22" t="str">
        <f>HYPERLINK("https://rhld.insurance.arkansas.gov/NPILookup?Npi=1952186488","1952186488")</f>
        <v>1952186488</v>
      </c>
      <c r="E20466" s="1" t="s">
        <v>4747</v>
      </c>
      <c r="F20466" s="2"/>
      <c r="G20466" s="2"/>
      <c r="H20466" s="2"/>
    </row>
    <row r="20467" spans="1:8" x14ac:dyDescent="0.25">
      <c r="A20467" s="1"/>
      <c r="B20467" s="1" t="s">
        <v>6862</v>
      </c>
      <c r="C20467" s="1" t="s">
        <v>6863</v>
      </c>
      <c r="D20467" s="22" t="str">
        <f>HYPERLINK("https://rhld.insurance.arkansas.gov/NPILookup?Npi=1952389504","1952389504")</f>
        <v>1952389504</v>
      </c>
      <c r="E20467" s="1" t="s">
        <v>5511</v>
      </c>
      <c r="F20467" s="2"/>
      <c r="G20467" s="2"/>
      <c r="H20467" s="2"/>
    </row>
    <row r="20468" spans="1:8" x14ac:dyDescent="0.25">
      <c r="A20468" s="1"/>
      <c r="B20468" s="1" t="s">
        <v>6862</v>
      </c>
      <c r="C20468" s="1" t="s">
        <v>6863</v>
      </c>
      <c r="D20468" s="22" t="str">
        <f>HYPERLINK("https://rhld.insurance.arkansas.gov/NPILookup?Npi=1952586992","1952586992")</f>
        <v>1952586992</v>
      </c>
      <c r="E20468" s="1" t="s">
        <v>7259</v>
      </c>
      <c r="F20468" s="2"/>
      <c r="G20468" s="2"/>
      <c r="H20468" s="2"/>
    </row>
    <row r="20469" spans="1:8" x14ac:dyDescent="0.25">
      <c r="A20469" s="1"/>
      <c r="B20469" s="1" t="s">
        <v>6862</v>
      </c>
      <c r="C20469" s="1" t="s">
        <v>6863</v>
      </c>
      <c r="D20469" s="22" t="str">
        <f>HYPERLINK("https://rhld.insurance.arkansas.gov/NPILookup?Npi=1952617763","1952617763")</f>
        <v>1952617763</v>
      </c>
      <c r="E20469" s="1" t="s">
        <v>7260</v>
      </c>
      <c r="F20469" s="2"/>
      <c r="G20469" s="2"/>
      <c r="H20469" s="2"/>
    </row>
    <row r="20470" spans="1:8" x14ac:dyDescent="0.25">
      <c r="A20470" s="1"/>
      <c r="B20470" s="1" t="s">
        <v>6862</v>
      </c>
      <c r="C20470" s="1" t="s">
        <v>6863</v>
      </c>
      <c r="D20470" s="22" t="str">
        <f>HYPERLINK("https://rhld.insurance.arkansas.gov/NPILookup?Npi=1952701021","1952701021")</f>
        <v>1952701021</v>
      </c>
      <c r="E20470" s="1" t="s">
        <v>24988</v>
      </c>
      <c r="F20470" s="2"/>
      <c r="G20470" s="2"/>
      <c r="H20470" s="2"/>
    </row>
    <row r="20471" spans="1:8" x14ac:dyDescent="0.25">
      <c r="A20471" s="1"/>
      <c r="B20471" s="1" t="s">
        <v>6862</v>
      </c>
      <c r="C20471" s="1" t="s">
        <v>6863</v>
      </c>
      <c r="D20471" s="22" t="str">
        <f>HYPERLINK("https://rhld.insurance.arkansas.gov/NPILookup?Npi=1952710121","1952710121")</f>
        <v>1952710121</v>
      </c>
      <c r="E20471" s="1" t="s">
        <v>7261</v>
      </c>
      <c r="F20471" s="2"/>
      <c r="G20471" s="2"/>
      <c r="H20471" s="2"/>
    </row>
    <row r="20472" spans="1:8" x14ac:dyDescent="0.25">
      <c r="A20472" s="1"/>
      <c r="B20472" s="1" t="s">
        <v>6862</v>
      </c>
      <c r="C20472" s="1" t="s">
        <v>6863</v>
      </c>
      <c r="D20472" s="22" t="str">
        <f>HYPERLINK("https://rhld.insurance.arkansas.gov/NPILookup?Npi=1952829285","1952829285")</f>
        <v>1952829285</v>
      </c>
      <c r="E20472" s="1" t="s">
        <v>12535</v>
      </c>
      <c r="F20472" s="2"/>
      <c r="G20472" s="2"/>
      <c r="H20472" s="2"/>
    </row>
    <row r="20473" spans="1:8" x14ac:dyDescent="0.25">
      <c r="A20473" s="1"/>
      <c r="B20473" s="1" t="s">
        <v>6862</v>
      </c>
      <c r="C20473" s="1" t="s">
        <v>6863</v>
      </c>
      <c r="D20473" s="22" t="str">
        <f>HYPERLINK("https://rhld.insurance.arkansas.gov/NPILookup?Npi=1952855785","1952855785")</f>
        <v>1952855785</v>
      </c>
      <c r="E20473" s="1" t="s">
        <v>24989</v>
      </c>
      <c r="F20473" s="2"/>
      <c r="G20473" s="2"/>
      <c r="H20473" s="2"/>
    </row>
    <row r="20474" spans="1:8" x14ac:dyDescent="0.25">
      <c r="A20474" s="1"/>
      <c r="B20474" s="1" t="s">
        <v>6862</v>
      </c>
      <c r="C20474" s="1" t="s">
        <v>6863</v>
      </c>
      <c r="D20474" s="22" t="str">
        <f>HYPERLINK("https://rhld.insurance.arkansas.gov/NPILookup?Npi=1952945776","1952945776")</f>
        <v>1952945776</v>
      </c>
      <c r="E20474" s="1" t="s">
        <v>7262</v>
      </c>
      <c r="F20474" s="2"/>
      <c r="G20474" s="2"/>
      <c r="H20474" s="2"/>
    </row>
    <row r="20475" spans="1:8" x14ac:dyDescent="0.25">
      <c r="A20475" s="1"/>
      <c r="B20475" s="1" t="s">
        <v>6862</v>
      </c>
      <c r="C20475" s="1" t="s">
        <v>6863</v>
      </c>
      <c r="D20475" s="22" t="str">
        <f>HYPERLINK("https://rhld.insurance.arkansas.gov/NPILookup?Npi=1962017871","1962017871")</f>
        <v>1962017871</v>
      </c>
      <c r="E20475" s="1" t="s">
        <v>24990</v>
      </c>
      <c r="F20475" s="2"/>
      <c r="G20475" s="2"/>
      <c r="H20475" s="2"/>
    </row>
    <row r="20476" spans="1:8" x14ac:dyDescent="0.25">
      <c r="A20476" s="1"/>
      <c r="B20476" s="1" t="s">
        <v>6862</v>
      </c>
      <c r="C20476" s="1" t="s">
        <v>6863</v>
      </c>
      <c r="D20476" s="22" t="str">
        <f>HYPERLINK("https://rhld.insurance.arkansas.gov/NPILookup?Npi=1962024091","1962024091")</f>
        <v>1962024091</v>
      </c>
      <c r="E20476" s="1" t="s">
        <v>7263</v>
      </c>
      <c r="F20476" s="2"/>
      <c r="G20476" s="2"/>
      <c r="H20476" s="2"/>
    </row>
    <row r="20477" spans="1:8" x14ac:dyDescent="0.25">
      <c r="A20477" s="1"/>
      <c r="B20477" s="1" t="s">
        <v>6862</v>
      </c>
      <c r="C20477" s="1" t="s">
        <v>6863</v>
      </c>
      <c r="D20477" s="22" t="str">
        <f>HYPERLINK("https://rhld.insurance.arkansas.gov/NPILookup?Npi=1962086611","1962086611")</f>
        <v>1962086611</v>
      </c>
      <c r="E20477" s="1" t="s">
        <v>5168</v>
      </c>
      <c r="F20477" s="2"/>
      <c r="G20477" s="2"/>
      <c r="H20477" s="2"/>
    </row>
    <row r="20478" spans="1:8" x14ac:dyDescent="0.25">
      <c r="A20478" s="1"/>
      <c r="B20478" s="1" t="s">
        <v>6862</v>
      </c>
      <c r="C20478" s="1" t="s">
        <v>6863</v>
      </c>
      <c r="D20478" s="22" t="str">
        <f>HYPERLINK("https://rhld.insurance.arkansas.gov/NPILookup?Npi=1962154047","1962154047")</f>
        <v>1962154047</v>
      </c>
      <c r="E20478" s="1" t="s">
        <v>24991</v>
      </c>
      <c r="F20478" s="2"/>
      <c r="G20478" s="2"/>
      <c r="H20478" s="2"/>
    </row>
    <row r="20479" spans="1:8" x14ac:dyDescent="0.25">
      <c r="A20479" s="1"/>
      <c r="B20479" s="1" t="s">
        <v>6862</v>
      </c>
      <c r="C20479" s="1" t="s">
        <v>6863</v>
      </c>
      <c r="D20479" s="22" t="str">
        <f>HYPERLINK("https://rhld.insurance.arkansas.gov/NPILookup?Npi=1962176883","1962176883")</f>
        <v>1962176883</v>
      </c>
      <c r="E20479" s="1" t="s">
        <v>12536</v>
      </c>
      <c r="F20479" s="2"/>
      <c r="G20479" s="2"/>
      <c r="H20479" s="2"/>
    </row>
    <row r="20480" spans="1:8" x14ac:dyDescent="0.25">
      <c r="A20480" s="1"/>
      <c r="B20480" s="1" t="s">
        <v>6862</v>
      </c>
      <c r="C20480" s="1" t="s">
        <v>6863</v>
      </c>
      <c r="D20480" s="22" t="str">
        <f>HYPERLINK("https://rhld.insurance.arkansas.gov/NPILookup?Npi=1962183681","1962183681")</f>
        <v>1962183681</v>
      </c>
      <c r="E20480" s="1" t="s">
        <v>6277</v>
      </c>
      <c r="F20480" s="2"/>
      <c r="G20480" s="2"/>
      <c r="H20480" s="2"/>
    </row>
    <row r="20481" spans="1:8" x14ac:dyDescent="0.25">
      <c r="A20481" s="1"/>
      <c r="B20481" s="1" t="s">
        <v>6862</v>
      </c>
      <c r="C20481" s="1" t="s">
        <v>6863</v>
      </c>
      <c r="D20481" s="22" t="str">
        <f>HYPERLINK("https://rhld.insurance.arkansas.gov/NPILookup?Npi=1962184028","1962184028")</f>
        <v>1962184028</v>
      </c>
      <c r="E20481" s="1" t="s">
        <v>32066</v>
      </c>
      <c r="F20481" s="2"/>
      <c r="G20481" s="2"/>
      <c r="H20481" s="2"/>
    </row>
    <row r="20482" spans="1:8" x14ac:dyDescent="0.25">
      <c r="A20482" s="1"/>
      <c r="B20482" s="1" t="s">
        <v>6862</v>
      </c>
      <c r="C20482" s="1" t="s">
        <v>6863</v>
      </c>
      <c r="D20482" s="22" t="str">
        <f>HYPERLINK("https://rhld.insurance.arkansas.gov/NPILookup?Npi=1962195628","1962195628")</f>
        <v>1962195628</v>
      </c>
      <c r="E20482" s="1" t="s">
        <v>7264</v>
      </c>
      <c r="F20482" s="2"/>
      <c r="G20482" s="2"/>
      <c r="H20482" s="2"/>
    </row>
    <row r="20483" spans="1:8" x14ac:dyDescent="0.25">
      <c r="A20483" s="1"/>
      <c r="B20483" s="1" t="s">
        <v>6862</v>
      </c>
      <c r="C20483" s="1" t="s">
        <v>6863</v>
      </c>
      <c r="D20483" s="22" t="str">
        <f>HYPERLINK("https://rhld.insurance.arkansas.gov/NPILookup?Npi=1962236943","1962236943")</f>
        <v>1962236943</v>
      </c>
      <c r="E20483" s="1" t="s">
        <v>24992</v>
      </c>
      <c r="F20483" s="2"/>
      <c r="G20483" s="2"/>
      <c r="H20483" s="2"/>
    </row>
    <row r="20484" spans="1:8" x14ac:dyDescent="0.25">
      <c r="A20484" s="1"/>
      <c r="B20484" s="1" t="s">
        <v>6862</v>
      </c>
      <c r="C20484" s="1" t="s">
        <v>6863</v>
      </c>
      <c r="D20484" s="22" t="str">
        <f>HYPERLINK("https://rhld.insurance.arkansas.gov/NPILookup?Npi=1962275768","1962275768")</f>
        <v>1962275768</v>
      </c>
      <c r="E20484" s="1" t="s">
        <v>24993</v>
      </c>
      <c r="F20484" s="2"/>
      <c r="G20484" s="2"/>
      <c r="H20484" s="2"/>
    </row>
    <row r="20485" spans="1:8" x14ac:dyDescent="0.25">
      <c r="A20485" s="1"/>
      <c r="B20485" s="1" t="s">
        <v>6862</v>
      </c>
      <c r="C20485" s="1" t="s">
        <v>6863</v>
      </c>
      <c r="D20485" s="22" t="str">
        <f>HYPERLINK("https://rhld.insurance.arkansas.gov/NPILookup?Npi=1962447540","1962447540")</f>
        <v>1962447540</v>
      </c>
      <c r="E20485" s="1" t="s">
        <v>12537</v>
      </c>
      <c r="F20485" s="2"/>
      <c r="G20485" s="2"/>
      <c r="H20485" s="2"/>
    </row>
    <row r="20486" spans="1:8" x14ac:dyDescent="0.25">
      <c r="A20486" s="1"/>
      <c r="B20486" s="1" t="s">
        <v>6862</v>
      </c>
      <c r="C20486" s="1" t="s">
        <v>6863</v>
      </c>
      <c r="D20486" s="22" t="str">
        <f>HYPERLINK("https://rhld.insurance.arkansas.gov/NPILookup?Npi=1962465658","1962465658")</f>
        <v>1962465658</v>
      </c>
      <c r="E20486" s="1" t="s">
        <v>12538</v>
      </c>
      <c r="F20486" s="2"/>
      <c r="G20486" s="2"/>
      <c r="H20486" s="2"/>
    </row>
    <row r="20487" spans="1:8" x14ac:dyDescent="0.25">
      <c r="A20487" s="1"/>
      <c r="B20487" s="1" t="s">
        <v>6862</v>
      </c>
      <c r="C20487" s="1" t="s">
        <v>6863</v>
      </c>
      <c r="D20487" s="22" t="str">
        <f>HYPERLINK("https://rhld.insurance.arkansas.gov/NPILookup?Npi=1962539858","1962539858")</f>
        <v>1962539858</v>
      </c>
      <c r="E20487" s="1" t="s">
        <v>24994</v>
      </c>
      <c r="F20487" s="2"/>
      <c r="G20487" s="2"/>
      <c r="H20487" s="2"/>
    </row>
    <row r="20488" spans="1:8" x14ac:dyDescent="0.25">
      <c r="A20488" s="1"/>
      <c r="B20488" s="1" t="s">
        <v>6862</v>
      </c>
      <c r="C20488" s="1" t="s">
        <v>6863</v>
      </c>
      <c r="D20488" s="22" t="str">
        <f>HYPERLINK("https://rhld.insurance.arkansas.gov/NPILookup?Npi=1962552760","1962552760")</f>
        <v>1962552760</v>
      </c>
      <c r="E20488" s="1" t="s">
        <v>24995</v>
      </c>
      <c r="F20488" s="2"/>
      <c r="G20488" s="2"/>
      <c r="H20488" s="2"/>
    </row>
    <row r="20489" spans="1:8" x14ac:dyDescent="0.25">
      <c r="A20489" s="1"/>
      <c r="B20489" s="1" t="s">
        <v>6862</v>
      </c>
      <c r="C20489" s="1" t="s">
        <v>6863</v>
      </c>
      <c r="D20489" s="22" t="str">
        <f>HYPERLINK("https://rhld.insurance.arkansas.gov/NPILookup?Npi=1962640805","1962640805")</f>
        <v>1962640805</v>
      </c>
      <c r="E20489" s="1" t="s">
        <v>24996</v>
      </c>
      <c r="F20489" s="2"/>
      <c r="G20489" s="2"/>
      <c r="H20489" s="2"/>
    </row>
    <row r="20490" spans="1:8" x14ac:dyDescent="0.25">
      <c r="A20490" s="1"/>
      <c r="B20490" s="1" t="s">
        <v>6862</v>
      </c>
      <c r="C20490" s="1" t="s">
        <v>6863</v>
      </c>
      <c r="D20490" s="22" t="str">
        <f>HYPERLINK("https://rhld.insurance.arkansas.gov/NPILookup?Npi=1962659433","1962659433")</f>
        <v>1962659433</v>
      </c>
      <c r="E20490" s="1" t="s">
        <v>24997</v>
      </c>
      <c r="F20490" s="2"/>
      <c r="G20490" s="2"/>
      <c r="H20490" s="2"/>
    </row>
    <row r="20491" spans="1:8" x14ac:dyDescent="0.25">
      <c r="A20491" s="1"/>
      <c r="B20491" s="1" t="s">
        <v>6862</v>
      </c>
      <c r="C20491" s="1" t="s">
        <v>6863</v>
      </c>
      <c r="D20491" s="22" t="str">
        <f>HYPERLINK("https://rhld.insurance.arkansas.gov/NPILookup?Npi=1962666214","1962666214")</f>
        <v>1962666214</v>
      </c>
      <c r="E20491" s="1" t="s">
        <v>7265</v>
      </c>
      <c r="F20491" s="2"/>
      <c r="G20491" s="2"/>
      <c r="H20491" s="2"/>
    </row>
    <row r="20492" spans="1:8" x14ac:dyDescent="0.25">
      <c r="A20492" s="1"/>
      <c r="B20492" s="1" t="s">
        <v>6862</v>
      </c>
      <c r="C20492" s="1" t="s">
        <v>6863</v>
      </c>
      <c r="D20492" s="22" t="str">
        <f>HYPERLINK("https://rhld.insurance.arkansas.gov/NPILookup?Npi=1962697789","1962697789")</f>
        <v>1962697789</v>
      </c>
      <c r="E20492" s="1" t="s">
        <v>12539</v>
      </c>
      <c r="F20492" s="2"/>
      <c r="G20492" s="2"/>
      <c r="H20492" s="2"/>
    </row>
    <row r="20493" spans="1:8" x14ac:dyDescent="0.25">
      <c r="A20493" s="1"/>
      <c r="B20493" s="1" t="s">
        <v>6862</v>
      </c>
      <c r="C20493" s="1" t="s">
        <v>6863</v>
      </c>
      <c r="D20493" s="22" t="str">
        <f>HYPERLINK("https://rhld.insurance.arkansas.gov/NPILookup?Npi=1962708867","1962708867")</f>
        <v>1962708867</v>
      </c>
      <c r="E20493" s="1" t="s">
        <v>24998</v>
      </c>
      <c r="F20493" s="2"/>
      <c r="G20493" s="2"/>
      <c r="H20493" s="2"/>
    </row>
    <row r="20494" spans="1:8" x14ac:dyDescent="0.25">
      <c r="A20494" s="1"/>
      <c r="B20494" s="1" t="s">
        <v>6862</v>
      </c>
      <c r="C20494" s="1" t="s">
        <v>6863</v>
      </c>
      <c r="D20494" s="22" t="str">
        <f>HYPERLINK("https://rhld.insurance.arkansas.gov/NPILookup?Npi=1962756783","1962756783")</f>
        <v>1962756783</v>
      </c>
      <c r="E20494" s="1" t="s">
        <v>24999</v>
      </c>
      <c r="F20494" s="2"/>
      <c r="G20494" s="2"/>
      <c r="H20494" s="2"/>
    </row>
    <row r="20495" spans="1:8" x14ac:dyDescent="0.25">
      <c r="A20495" s="1"/>
      <c r="B20495" s="1" t="s">
        <v>6862</v>
      </c>
      <c r="C20495" s="1" t="s">
        <v>6863</v>
      </c>
      <c r="D20495" s="22" t="str">
        <f>HYPERLINK("https://rhld.insurance.arkansas.gov/NPILookup?Npi=1962768499","1962768499")</f>
        <v>1962768499</v>
      </c>
      <c r="E20495" s="1" t="s">
        <v>25000</v>
      </c>
      <c r="F20495" s="2"/>
      <c r="G20495" s="2"/>
      <c r="H20495" s="2"/>
    </row>
    <row r="20496" spans="1:8" x14ac:dyDescent="0.25">
      <c r="A20496" s="1"/>
      <c r="B20496" s="1" t="s">
        <v>6862</v>
      </c>
      <c r="C20496" s="1" t="s">
        <v>6863</v>
      </c>
      <c r="D20496" s="22" t="str">
        <f>HYPERLINK("https://rhld.insurance.arkansas.gov/NPILookup?Npi=1962891754","1962891754")</f>
        <v>1962891754</v>
      </c>
      <c r="E20496" s="1" t="s">
        <v>12540</v>
      </c>
      <c r="F20496" s="2"/>
      <c r="G20496" s="2"/>
      <c r="H20496" s="2"/>
    </row>
    <row r="20497" spans="1:8" x14ac:dyDescent="0.25">
      <c r="A20497" s="1"/>
      <c r="B20497" s="1" t="s">
        <v>6862</v>
      </c>
      <c r="C20497" s="1" t="s">
        <v>6863</v>
      </c>
      <c r="D20497" s="22" t="str">
        <f>HYPERLINK("https://rhld.insurance.arkansas.gov/NPILookup?Npi=1962926196","1962926196")</f>
        <v>1962926196</v>
      </c>
      <c r="E20497" s="1" t="s">
        <v>25001</v>
      </c>
      <c r="F20497" s="2"/>
      <c r="G20497" s="2"/>
      <c r="H20497" s="2"/>
    </row>
    <row r="20498" spans="1:8" x14ac:dyDescent="0.25">
      <c r="A20498" s="1"/>
      <c r="B20498" s="1" t="s">
        <v>6862</v>
      </c>
      <c r="C20498" s="1" t="s">
        <v>6863</v>
      </c>
      <c r="D20498" s="22" t="str">
        <f>HYPERLINK("https://rhld.insurance.arkansas.gov/NPILookup?Npi=1962980144","1962980144")</f>
        <v>1962980144</v>
      </c>
      <c r="E20498" s="1" t="s">
        <v>25002</v>
      </c>
      <c r="F20498" s="2"/>
      <c r="G20498" s="2"/>
      <c r="H20498" s="2"/>
    </row>
    <row r="20499" spans="1:8" x14ac:dyDescent="0.25">
      <c r="A20499" s="1"/>
      <c r="B20499" s="1" t="s">
        <v>6862</v>
      </c>
      <c r="C20499" s="1" t="s">
        <v>6863</v>
      </c>
      <c r="D20499" s="22" t="str">
        <f>HYPERLINK("https://rhld.insurance.arkansas.gov/NPILookup?Npi=1962983502","1962983502")</f>
        <v>1962983502</v>
      </c>
      <c r="E20499" s="1" t="s">
        <v>409</v>
      </c>
      <c r="F20499" s="2"/>
      <c r="G20499" s="2"/>
      <c r="H20499" s="2"/>
    </row>
    <row r="20500" spans="1:8" x14ac:dyDescent="0.25">
      <c r="A20500" s="1"/>
      <c r="B20500" s="1" t="s">
        <v>6862</v>
      </c>
      <c r="C20500" s="1" t="s">
        <v>6863</v>
      </c>
      <c r="D20500" s="22" t="str">
        <f>HYPERLINK("https://rhld.insurance.arkansas.gov/NPILookup?Npi=1972059871","1972059871")</f>
        <v>1972059871</v>
      </c>
      <c r="E20500" s="1" t="s">
        <v>25003</v>
      </c>
      <c r="F20500" s="2"/>
      <c r="G20500" s="2"/>
      <c r="H20500" s="2"/>
    </row>
    <row r="20501" spans="1:8" x14ac:dyDescent="0.25">
      <c r="A20501" s="1"/>
      <c r="B20501" s="1" t="s">
        <v>6862</v>
      </c>
      <c r="C20501" s="1" t="s">
        <v>6863</v>
      </c>
      <c r="D20501" s="22" t="str">
        <f>HYPERLINK("https://rhld.insurance.arkansas.gov/NPILookup?Npi=1972079267","1972079267")</f>
        <v>1972079267</v>
      </c>
      <c r="E20501" s="1" t="s">
        <v>12541</v>
      </c>
      <c r="F20501" s="2"/>
      <c r="G20501" s="2"/>
      <c r="H20501" s="2"/>
    </row>
    <row r="20502" spans="1:8" x14ac:dyDescent="0.25">
      <c r="A20502" s="1"/>
      <c r="B20502" s="1" t="s">
        <v>6862</v>
      </c>
      <c r="C20502" s="1" t="s">
        <v>6863</v>
      </c>
      <c r="D20502" s="22" t="str">
        <f>HYPERLINK("https://rhld.insurance.arkansas.gov/NPILookup?Npi=1972094944","1972094944")</f>
        <v>1972094944</v>
      </c>
      <c r="E20502" s="1" t="s">
        <v>12542</v>
      </c>
      <c r="F20502" s="2"/>
      <c r="G20502" s="2"/>
      <c r="H20502" s="2"/>
    </row>
    <row r="20503" spans="1:8" x14ac:dyDescent="0.25">
      <c r="A20503" s="1"/>
      <c r="B20503" s="1" t="s">
        <v>6862</v>
      </c>
      <c r="C20503" s="1" t="s">
        <v>6863</v>
      </c>
      <c r="D20503" s="22" t="str">
        <f>HYPERLINK("https://rhld.insurance.arkansas.gov/NPILookup?Npi=1972116481","1972116481")</f>
        <v>1972116481</v>
      </c>
      <c r="E20503" s="1" t="s">
        <v>7266</v>
      </c>
      <c r="F20503" s="2"/>
      <c r="G20503" s="2"/>
      <c r="H20503" s="2"/>
    </row>
    <row r="20504" spans="1:8" x14ac:dyDescent="0.25">
      <c r="A20504" s="1"/>
      <c r="B20504" s="1" t="s">
        <v>6862</v>
      </c>
      <c r="C20504" s="1" t="s">
        <v>6863</v>
      </c>
      <c r="D20504" s="22" t="str">
        <f>HYPERLINK("https://rhld.insurance.arkansas.gov/NPILookup?Npi=1972119691","1972119691")</f>
        <v>1972119691</v>
      </c>
      <c r="E20504" s="1" t="s">
        <v>7267</v>
      </c>
      <c r="F20504" s="2"/>
      <c r="G20504" s="2"/>
      <c r="H20504" s="2"/>
    </row>
    <row r="20505" spans="1:8" x14ac:dyDescent="0.25">
      <c r="A20505" s="1"/>
      <c r="B20505" s="1" t="s">
        <v>6862</v>
      </c>
      <c r="C20505" s="1" t="s">
        <v>6863</v>
      </c>
      <c r="D20505" s="22" t="str">
        <f>HYPERLINK("https://rhld.insurance.arkansas.gov/NPILookup?Npi=1972143543","1972143543")</f>
        <v>1972143543</v>
      </c>
      <c r="E20505" s="1" t="s">
        <v>25004</v>
      </c>
      <c r="F20505" s="2"/>
      <c r="G20505" s="2"/>
      <c r="H20505" s="2"/>
    </row>
    <row r="20506" spans="1:8" x14ac:dyDescent="0.25">
      <c r="A20506" s="1"/>
      <c r="B20506" s="1" t="s">
        <v>6862</v>
      </c>
      <c r="C20506" s="1" t="s">
        <v>6863</v>
      </c>
      <c r="D20506" s="22" t="str">
        <f>HYPERLINK("https://rhld.insurance.arkansas.gov/NPILookup?Npi=1972166965","1972166965")</f>
        <v>1972166965</v>
      </c>
      <c r="E20506" s="1" t="s">
        <v>7268</v>
      </c>
      <c r="F20506" s="2"/>
      <c r="G20506" s="2"/>
      <c r="H20506" s="2"/>
    </row>
    <row r="20507" spans="1:8" x14ac:dyDescent="0.25">
      <c r="A20507" s="1"/>
      <c r="B20507" s="1" t="s">
        <v>6862</v>
      </c>
      <c r="C20507" s="1" t="s">
        <v>6863</v>
      </c>
      <c r="D20507" s="22" t="str">
        <f>HYPERLINK("https://rhld.insurance.arkansas.gov/NPILookup?Npi=1972211555","1972211555")</f>
        <v>1972211555</v>
      </c>
      <c r="E20507" s="1" t="s">
        <v>7269</v>
      </c>
      <c r="F20507" s="2"/>
      <c r="G20507" s="2"/>
      <c r="H20507" s="2"/>
    </row>
    <row r="20508" spans="1:8" x14ac:dyDescent="0.25">
      <c r="A20508" s="1"/>
      <c r="B20508" s="1" t="s">
        <v>6862</v>
      </c>
      <c r="C20508" s="1" t="s">
        <v>6863</v>
      </c>
      <c r="D20508" s="22" t="str">
        <f>HYPERLINK("https://rhld.insurance.arkansas.gov/NPILookup?Npi=1972218691","1972218691")</f>
        <v>1972218691</v>
      </c>
      <c r="E20508" s="1" t="s">
        <v>7270</v>
      </c>
      <c r="F20508" s="2"/>
      <c r="G20508" s="2"/>
      <c r="H20508" s="2"/>
    </row>
    <row r="20509" spans="1:8" x14ac:dyDescent="0.25">
      <c r="A20509" s="1"/>
      <c r="B20509" s="1" t="s">
        <v>6862</v>
      </c>
      <c r="C20509" s="1" t="s">
        <v>6863</v>
      </c>
      <c r="D20509" s="22" t="str">
        <f>HYPERLINK("https://rhld.insurance.arkansas.gov/NPILookup?Npi=1972221026","1972221026")</f>
        <v>1972221026</v>
      </c>
      <c r="E20509" s="1" t="s">
        <v>7271</v>
      </c>
      <c r="F20509" s="2"/>
      <c r="G20509" s="2"/>
      <c r="H20509" s="2"/>
    </row>
    <row r="20510" spans="1:8" x14ac:dyDescent="0.25">
      <c r="A20510" s="1"/>
      <c r="B20510" s="1" t="s">
        <v>6862</v>
      </c>
      <c r="C20510" s="1" t="s">
        <v>6863</v>
      </c>
      <c r="D20510" s="22" t="str">
        <f>HYPERLINK("https://rhld.insurance.arkansas.gov/NPILookup?Npi=1972223196","1972223196")</f>
        <v>1972223196</v>
      </c>
      <c r="E20510" s="1" t="s">
        <v>25005</v>
      </c>
      <c r="F20510" s="2"/>
      <c r="G20510" s="2"/>
      <c r="H20510" s="2"/>
    </row>
    <row r="20511" spans="1:8" x14ac:dyDescent="0.25">
      <c r="A20511" s="1"/>
      <c r="B20511" s="1" t="s">
        <v>6862</v>
      </c>
      <c r="C20511" s="1" t="s">
        <v>6863</v>
      </c>
      <c r="D20511" s="22" t="str">
        <f>HYPERLINK("https://rhld.insurance.arkansas.gov/NPILookup?Npi=1972225233","1972225233")</f>
        <v>1972225233</v>
      </c>
      <c r="E20511" s="1" t="s">
        <v>25006</v>
      </c>
      <c r="F20511" s="2"/>
      <c r="G20511" s="2"/>
      <c r="H20511" s="2"/>
    </row>
    <row r="20512" spans="1:8" x14ac:dyDescent="0.25">
      <c r="A20512" s="1"/>
      <c r="B20512" s="1" t="s">
        <v>6862</v>
      </c>
      <c r="C20512" s="1" t="s">
        <v>6863</v>
      </c>
      <c r="D20512" s="22" t="str">
        <f>HYPERLINK("https://rhld.insurance.arkansas.gov/NPILookup?Npi=1972231900","1972231900")</f>
        <v>1972231900</v>
      </c>
      <c r="E20512" s="1" t="s">
        <v>25007</v>
      </c>
      <c r="F20512" s="2"/>
      <c r="G20512" s="2"/>
      <c r="H20512" s="2"/>
    </row>
    <row r="20513" spans="1:8" x14ac:dyDescent="0.25">
      <c r="A20513" s="1"/>
      <c r="B20513" s="1" t="s">
        <v>6862</v>
      </c>
      <c r="C20513" s="1" t="s">
        <v>6863</v>
      </c>
      <c r="D20513" s="22" t="str">
        <f>HYPERLINK("https://rhld.insurance.arkansas.gov/NPILookup?Npi=1972277309","1972277309")</f>
        <v>1972277309</v>
      </c>
      <c r="E20513" s="1" t="s">
        <v>25008</v>
      </c>
      <c r="F20513" s="2"/>
      <c r="G20513" s="2"/>
      <c r="H20513" s="2"/>
    </row>
    <row r="20514" spans="1:8" x14ac:dyDescent="0.25">
      <c r="A20514" s="1"/>
      <c r="B20514" s="1" t="s">
        <v>6862</v>
      </c>
      <c r="C20514" s="1" t="s">
        <v>6863</v>
      </c>
      <c r="D20514" s="22" t="str">
        <f>HYPERLINK("https://rhld.insurance.arkansas.gov/NPILookup?Npi=1972556280","1972556280")</f>
        <v>1972556280</v>
      </c>
      <c r="E20514" s="1" t="s">
        <v>25009</v>
      </c>
      <c r="F20514" s="2"/>
      <c r="G20514" s="2"/>
      <c r="H20514" s="2"/>
    </row>
    <row r="20515" spans="1:8" x14ac:dyDescent="0.25">
      <c r="A20515" s="1"/>
      <c r="B20515" s="1" t="s">
        <v>6862</v>
      </c>
      <c r="C20515" s="1" t="s">
        <v>6863</v>
      </c>
      <c r="D20515" s="22" t="str">
        <f>HYPERLINK("https://rhld.insurance.arkansas.gov/NPILookup?Npi=1972559375","1972559375")</f>
        <v>1972559375</v>
      </c>
      <c r="E20515" s="1" t="s">
        <v>25010</v>
      </c>
      <c r="F20515" s="2"/>
      <c r="G20515" s="2"/>
      <c r="H20515" s="2"/>
    </row>
    <row r="20516" spans="1:8" x14ac:dyDescent="0.25">
      <c r="A20516" s="1"/>
      <c r="B20516" s="1" t="s">
        <v>6862</v>
      </c>
      <c r="C20516" s="1" t="s">
        <v>6863</v>
      </c>
      <c r="D20516" s="22" t="str">
        <f>HYPERLINK("https://rhld.insurance.arkansas.gov/NPILookup?Npi=1972583250","1972583250")</f>
        <v>1972583250</v>
      </c>
      <c r="E20516" s="1" t="s">
        <v>25011</v>
      </c>
      <c r="F20516" s="2"/>
      <c r="G20516" s="2"/>
      <c r="H20516" s="2"/>
    </row>
    <row r="20517" spans="1:8" x14ac:dyDescent="0.25">
      <c r="A20517" s="1"/>
      <c r="B20517" s="1" t="s">
        <v>6862</v>
      </c>
      <c r="C20517" s="1" t="s">
        <v>6863</v>
      </c>
      <c r="D20517" s="22" t="str">
        <f>HYPERLINK("https://rhld.insurance.arkansas.gov/NPILookup?Npi=1972645166","1972645166")</f>
        <v>1972645166</v>
      </c>
      <c r="E20517" s="1" t="s">
        <v>12543</v>
      </c>
      <c r="F20517" s="2"/>
      <c r="G20517" s="2"/>
      <c r="H20517" s="2"/>
    </row>
    <row r="20518" spans="1:8" x14ac:dyDescent="0.25">
      <c r="A20518" s="1"/>
      <c r="B20518" s="1" t="s">
        <v>6862</v>
      </c>
      <c r="C20518" s="1" t="s">
        <v>6863</v>
      </c>
      <c r="D20518" s="22" t="str">
        <f>HYPERLINK("https://rhld.insurance.arkansas.gov/NPILookup?Npi=1972669646","1972669646")</f>
        <v>1972669646</v>
      </c>
      <c r="E20518" s="1" t="s">
        <v>7200</v>
      </c>
      <c r="F20518" s="2"/>
      <c r="G20518" s="2"/>
      <c r="H20518" s="2"/>
    </row>
    <row r="20519" spans="1:8" x14ac:dyDescent="0.25">
      <c r="A20519" s="1"/>
      <c r="B20519" s="1" t="s">
        <v>6862</v>
      </c>
      <c r="C20519" s="1" t="s">
        <v>6863</v>
      </c>
      <c r="D20519" s="22" t="str">
        <f>HYPERLINK("https://rhld.insurance.arkansas.gov/NPILookup?Npi=1972791325","1972791325")</f>
        <v>1972791325</v>
      </c>
      <c r="E20519" s="1" t="s">
        <v>25012</v>
      </c>
      <c r="F20519" s="2"/>
      <c r="G20519" s="2"/>
      <c r="H20519" s="2"/>
    </row>
    <row r="20520" spans="1:8" x14ac:dyDescent="0.25">
      <c r="A20520" s="1"/>
      <c r="B20520" s="1" t="s">
        <v>6862</v>
      </c>
      <c r="C20520" s="1" t="s">
        <v>6863</v>
      </c>
      <c r="D20520" s="22" t="str">
        <f>HYPERLINK("https://rhld.insurance.arkansas.gov/NPILookup?Npi=1972859940","1972859940")</f>
        <v>1972859940</v>
      </c>
      <c r="E20520" s="1" t="s">
        <v>5645</v>
      </c>
      <c r="F20520" s="2"/>
      <c r="G20520" s="2"/>
      <c r="H20520" s="2"/>
    </row>
    <row r="20521" spans="1:8" x14ac:dyDescent="0.25">
      <c r="A20521" s="1"/>
      <c r="B20521" s="1" t="s">
        <v>6862</v>
      </c>
      <c r="C20521" s="1" t="s">
        <v>6863</v>
      </c>
      <c r="D20521" s="22" t="str">
        <f>HYPERLINK("https://rhld.insurance.arkansas.gov/NPILookup?Npi=1972888394","1972888394")</f>
        <v>1972888394</v>
      </c>
      <c r="E20521" s="1" t="s">
        <v>12544</v>
      </c>
      <c r="F20521" s="2"/>
      <c r="G20521" s="2"/>
      <c r="H20521" s="2"/>
    </row>
    <row r="20522" spans="1:8" x14ac:dyDescent="0.25">
      <c r="A20522" s="1"/>
      <c r="B20522" s="1" t="s">
        <v>6862</v>
      </c>
      <c r="C20522" s="1" t="s">
        <v>6863</v>
      </c>
      <c r="D20522" s="22" t="str">
        <f>HYPERLINK("https://rhld.insurance.arkansas.gov/NPILookup?Npi=1972953990","1972953990")</f>
        <v>1972953990</v>
      </c>
      <c r="E20522" s="1" t="s">
        <v>12545</v>
      </c>
      <c r="F20522" s="2"/>
      <c r="G20522" s="2"/>
      <c r="H20522" s="2"/>
    </row>
    <row r="20523" spans="1:8" x14ac:dyDescent="0.25">
      <c r="A20523" s="1"/>
      <c r="B20523" s="1" t="s">
        <v>6862</v>
      </c>
      <c r="C20523" s="1" t="s">
        <v>6863</v>
      </c>
      <c r="D20523" s="22" t="str">
        <f>HYPERLINK("https://rhld.insurance.arkansas.gov/NPILookup?Npi=1972977858","1972977858")</f>
        <v>1972977858</v>
      </c>
      <c r="E20523" s="1" t="s">
        <v>25013</v>
      </c>
      <c r="F20523" s="2"/>
      <c r="G20523" s="2"/>
      <c r="H20523" s="2"/>
    </row>
    <row r="20524" spans="1:8" x14ac:dyDescent="0.25">
      <c r="A20524" s="1"/>
      <c r="B20524" s="1" t="s">
        <v>6862</v>
      </c>
      <c r="C20524" s="1" t="s">
        <v>6863</v>
      </c>
      <c r="D20524" s="22" t="str">
        <f>HYPERLINK("https://rhld.insurance.arkansas.gov/NPILookup?Npi=1982040051","1982040051")</f>
        <v>1982040051</v>
      </c>
      <c r="E20524" s="1" t="s">
        <v>25014</v>
      </c>
      <c r="F20524" s="2"/>
      <c r="G20524" s="2"/>
      <c r="H20524" s="2"/>
    </row>
    <row r="20525" spans="1:8" x14ac:dyDescent="0.25">
      <c r="A20525" s="1"/>
      <c r="B20525" s="1" t="s">
        <v>6862</v>
      </c>
      <c r="C20525" s="1" t="s">
        <v>6863</v>
      </c>
      <c r="D20525" s="22" t="str">
        <f>HYPERLINK("https://rhld.insurance.arkansas.gov/NPILookup?Npi=1982055950","1982055950")</f>
        <v>1982055950</v>
      </c>
      <c r="E20525" s="1" t="s">
        <v>25016</v>
      </c>
      <c r="F20525" s="2"/>
      <c r="G20525" s="2"/>
      <c r="H20525" s="2"/>
    </row>
    <row r="20526" spans="1:8" x14ac:dyDescent="0.25">
      <c r="A20526" s="1"/>
      <c r="B20526" s="1" t="s">
        <v>6862</v>
      </c>
      <c r="C20526" s="1" t="s">
        <v>6863</v>
      </c>
      <c r="D20526" s="22" t="str">
        <f>HYPERLINK("https://rhld.insurance.arkansas.gov/NPILookup?Npi=1982192340","1982192340")</f>
        <v>1982192340</v>
      </c>
      <c r="E20526" s="1" t="s">
        <v>7273</v>
      </c>
      <c r="F20526" s="2"/>
      <c r="G20526" s="2"/>
      <c r="H20526" s="2"/>
    </row>
    <row r="20527" spans="1:8" x14ac:dyDescent="0.25">
      <c r="A20527" s="1"/>
      <c r="B20527" s="1" t="s">
        <v>6862</v>
      </c>
      <c r="C20527" s="1" t="s">
        <v>6863</v>
      </c>
      <c r="D20527" s="22" t="str">
        <f>HYPERLINK("https://rhld.insurance.arkansas.gov/NPILookup?Npi=1982250189","1982250189")</f>
        <v>1982250189</v>
      </c>
      <c r="E20527" s="1" t="s">
        <v>25017</v>
      </c>
      <c r="F20527" s="2"/>
      <c r="G20527" s="2"/>
      <c r="H20527" s="2"/>
    </row>
    <row r="20528" spans="1:8" x14ac:dyDescent="0.25">
      <c r="A20528" s="1"/>
      <c r="B20528" s="1" t="s">
        <v>6862</v>
      </c>
      <c r="C20528" s="1" t="s">
        <v>6863</v>
      </c>
      <c r="D20528" s="22" t="str">
        <f>HYPERLINK("https://rhld.insurance.arkansas.gov/NPILookup?Npi=1982254710","1982254710")</f>
        <v>1982254710</v>
      </c>
      <c r="E20528" s="1" t="s">
        <v>25018</v>
      </c>
      <c r="F20528" s="2"/>
      <c r="G20528" s="2"/>
      <c r="H20528" s="2"/>
    </row>
    <row r="20529" spans="1:8" x14ac:dyDescent="0.25">
      <c r="A20529" s="1"/>
      <c r="B20529" s="1" t="s">
        <v>6862</v>
      </c>
      <c r="C20529" s="1" t="s">
        <v>6863</v>
      </c>
      <c r="D20529" s="22" t="str">
        <f>HYPERLINK("https://rhld.insurance.arkansas.gov/NPILookup?Npi=1982270237","1982270237")</f>
        <v>1982270237</v>
      </c>
      <c r="E20529" s="1" t="s">
        <v>25019</v>
      </c>
      <c r="F20529" s="2"/>
      <c r="G20529" s="2"/>
      <c r="H20529" s="2"/>
    </row>
    <row r="20530" spans="1:8" x14ac:dyDescent="0.25">
      <c r="A20530" s="1"/>
      <c r="B20530" s="1" t="s">
        <v>6862</v>
      </c>
      <c r="C20530" s="1" t="s">
        <v>6863</v>
      </c>
      <c r="D20530" s="22" t="str">
        <f>HYPERLINK("https://rhld.insurance.arkansas.gov/NPILookup?Npi=1982270815","1982270815")</f>
        <v>1982270815</v>
      </c>
      <c r="E20530" s="1" t="s">
        <v>25020</v>
      </c>
      <c r="F20530" s="2"/>
      <c r="G20530" s="2"/>
      <c r="H20530" s="2"/>
    </row>
    <row r="20531" spans="1:8" x14ac:dyDescent="0.25">
      <c r="A20531" s="1"/>
      <c r="B20531" s="1" t="s">
        <v>6862</v>
      </c>
      <c r="C20531" s="1" t="s">
        <v>6863</v>
      </c>
      <c r="D20531" s="22" t="str">
        <f>HYPERLINK("https://rhld.insurance.arkansas.gov/NPILookup?Npi=1982330593","1982330593")</f>
        <v>1982330593</v>
      </c>
      <c r="E20531" s="1" t="s">
        <v>25021</v>
      </c>
      <c r="F20531" s="2"/>
      <c r="G20531" s="2"/>
      <c r="H20531" s="2"/>
    </row>
    <row r="20532" spans="1:8" x14ac:dyDescent="0.25">
      <c r="A20532" s="1"/>
      <c r="B20532" s="1" t="s">
        <v>6862</v>
      </c>
      <c r="C20532" s="1" t="s">
        <v>6863</v>
      </c>
      <c r="D20532" s="22" t="str">
        <f>HYPERLINK("https://rhld.insurance.arkansas.gov/NPILookup?Npi=1982385308","1982385308")</f>
        <v>1982385308</v>
      </c>
      <c r="E20532" s="1" t="s">
        <v>6642</v>
      </c>
      <c r="F20532" s="2"/>
      <c r="G20532" s="2"/>
      <c r="H20532" s="2"/>
    </row>
    <row r="20533" spans="1:8" x14ac:dyDescent="0.25">
      <c r="A20533" s="1"/>
      <c r="B20533" s="1" t="s">
        <v>6862</v>
      </c>
      <c r="C20533" s="1" t="s">
        <v>6863</v>
      </c>
      <c r="D20533" s="22" t="str">
        <f>HYPERLINK("https://rhld.insurance.arkansas.gov/NPILookup?Npi=1982685723","1982685723")</f>
        <v>1982685723</v>
      </c>
      <c r="E20533" s="1" t="s">
        <v>25022</v>
      </c>
      <c r="F20533" s="2"/>
      <c r="G20533" s="2"/>
      <c r="H20533" s="2"/>
    </row>
    <row r="20534" spans="1:8" x14ac:dyDescent="0.25">
      <c r="A20534" s="1"/>
      <c r="B20534" s="1" t="s">
        <v>6862</v>
      </c>
      <c r="C20534" s="1" t="s">
        <v>6863</v>
      </c>
      <c r="D20534" s="22" t="str">
        <f>HYPERLINK("https://rhld.insurance.arkansas.gov/NPILookup?Npi=1982907028","1982907028")</f>
        <v>1982907028</v>
      </c>
      <c r="E20534" s="1" t="s">
        <v>25023</v>
      </c>
      <c r="F20534" s="2"/>
      <c r="G20534" s="2"/>
      <c r="H20534" s="2"/>
    </row>
    <row r="20535" spans="1:8" x14ac:dyDescent="0.25">
      <c r="A20535" s="1"/>
      <c r="B20535" s="1" t="s">
        <v>6862</v>
      </c>
      <c r="C20535" s="1" t="s">
        <v>6863</v>
      </c>
      <c r="D20535" s="22" t="str">
        <f>HYPERLINK("https://rhld.insurance.arkansas.gov/NPILookup?Npi=1992066344","1992066344")</f>
        <v>1992066344</v>
      </c>
      <c r="E20535" s="1" t="s">
        <v>12546</v>
      </c>
      <c r="F20535" s="2"/>
      <c r="G20535" s="2"/>
      <c r="H20535" s="2"/>
    </row>
    <row r="20536" spans="1:8" x14ac:dyDescent="0.25">
      <c r="A20536" s="1"/>
      <c r="B20536" s="1" t="s">
        <v>6862</v>
      </c>
      <c r="C20536" s="1" t="s">
        <v>6863</v>
      </c>
      <c r="D20536" s="22" t="str">
        <f>HYPERLINK("https://rhld.insurance.arkansas.gov/NPILookup?Npi=1992073373","1992073373")</f>
        <v>1992073373</v>
      </c>
      <c r="E20536" s="1" t="s">
        <v>12547</v>
      </c>
      <c r="F20536" s="2"/>
      <c r="G20536" s="2"/>
      <c r="H20536" s="2"/>
    </row>
    <row r="20537" spans="1:8" x14ac:dyDescent="0.25">
      <c r="A20537" s="1"/>
      <c r="B20537" s="1" t="s">
        <v>6862</v>
      </c>
      <c r="C20537" s="1" t="s">
        <v>6863</v>
      </c>
      <c r="D20537" s="22" t="str">
        <f>HYPERLINK("https://rhld.insurance.arkansas.gov/NPILookup?Npi=1992250674","1992250674")</f>
        <v>1992250674</v>
      </c>
      <c r="E20537" s="1" t="s">
        <v>25024</v>
      </c>
      <c r="F20537" s="2"/>
      <c r="G20537" s="2"/>
      <c r="H20537" s="2"/>
    </row>
    <row r="20538" spans="1:8" x14ac:dyDescent="0.25">
      <c r="A20538" s="1"/>
      <c r="B20538" s="1" t="s">
        <v>6862</v>
      </c>
      <c r="C20538" s="1" t="s">
        <v>6863</v>
      </c>
      <c r="D20538" s="22" t="str">
        <f>HYPERLINK("https://rhld.insurance.arkansas.gov/NPILookup?Npi=1992279830","1992279830")</f>
        <v>1992279830</v>
      </c>
      <c r="E20538" s="1" t="s">
        <v>7274</v>
      </c>
      <c r="F20538" s="2"/>
      <c r="G20538" s="2"/>
      <c r="H20538" s="2"/>
    </row>
    <row r="20539" spans="1:8" x14ac:dyDescent="0.25">
      <c r="A20539" s="1"/>
      <c r="B20539" s="1" t="s">
        <v>6862</v>
      </c>
      <c r="C20539" s="1" t="s">
        <v>6863</v>
      </c>
      <c r="D20539" s="22" t="str">
        <f>HYPERLINK("https://rhld.insurance.arkansas.gov/NPILookup?Npi=1992288351","1992288351")</f>
        <v>1992288351</v>
      </c>
      <c r="E20539" s="1" t="s">
        <v>25025</v>
      </c>
      <c r="F20539" s="2"/>
      <c r="G20539" s="2"/>
      <c r="H20539" s="2"/>
    </row>
    <row r="20540" spans="1:8" x14ac:dyDescent="0.25">
      <c r="A20540" s="1"/>
      <c r="B20540" s="1" t="s">
        <v>6862</v>
      </c>
      <c r="C20540" s="1" t="s">
        <v>6863</v>
      </c>
      <c r="D20540" s="22" t="str">
        <f>HYPERLINK("https://rhld.insurance.arkansas.gov/NPILookup?Npi=1992340814","1992340814")</f>
        <v>1992340814</v>
      </c>
      <c r="E20540" s="1" t="s">
        <v>6861</v>
      </c>
      <c r="F20540" s="2"/>
      <c r="G20540" s="2"/>
      <c r="H20540" s="2"/>
    </row>
    <row r="20541" spans="1:8" x14ac:dyDescent="0.25">
      <c r="A20541" s="1"/>
      <c r="B20541" s="1" t="s">
        <v>6862</v>
      </c>
      <c r="C20541" s="1" t="s">
        <v>6863</v>
      </c>
      <c r="D20541" s="22" t="str">
        <f>HYPERLINK("https://rhld.insurance.arkansas.gov/NPILookup?Npi=1992371306","1992371306")</f>
        <v>1992371306</v>
      </c>
      <c r="E20541" s="1" t="s">
        <v>25026</v>
      </c>
      <c r="F20541" s="2"/>
      <c r="G20541" s="2"/>
      <c r="H20541" s="2"/>
    </row>
    <row r="20542" spans="1:8" x14ac:dyDescent="0.25">
      <c r="A20542" s="1"/>
      <c r="B20542" s="1" t="s">
        <v>6862</v>
      </c>
      <c r="C20542" s="1" t="s">
        <v>6863</v>
      </c>
      <c r="D20542" s="22" t="str">
        <f>HYPERLINK("https://rhld.insurance.arkansas.gov/NPILookup?Npi=1992395511","1992395511")</f>
        <v>1992395511</v>
      </c>
      <c r="E20542" s="1" t="s">
        <v>7275</v>
      </c>
      <c r="F20542" s="2"/>
      <c r="G20542" s="2"/>
      <c r="H20542" s="2"/>
    </row>
    <row r="20543" spans="1:8" x14ac:dyDescent="0.25">
      <c r="A20543" s="1"/>
      <c r="B20543" s="1" t="s">
        <v>6862</v>
      </c>
      <c r="C20543" s="1" t="s">
        <v>6863</v>
      </c>
      <c r="D20543" s="22" t="str">
        <f>HYPERLINK("https://rhld.insurance.arkansas.gov/NPILookup?Npi=1992405658","1992405658")</f>
        <v>1992405658</v>
      </c>
      <c r="E20543" s="1" t="s">
        <v>25027</v>
      </c>
      <c r="F20543" s="2"/>
      <c r="G20543" s="2"/>
      <c r="H20543" s="2"/>
    </row>
    <row r="20544" spans="1:8" x14ac:dyDescent="0.25">
      <c r="A20544" s="1"/>
      <c r="B20544" s="1" t="s">
        <v>6862</v>
      </c>
      <c r="C20544" s="1" t="s">
        <v>6863</v>
      </c>
      <c r="D20544" s="22" t="str">
        <f>HYPERLINK("https://rhld.insurance.arkansas.gov/NPILookup?Npi=1992426175","1992426175")</f>
        <v>1992426175</v>
      </c>
      <c r="E20544" s="1" t="s">
        <v>25028</v>
      </c>
      <c r="F20544" s="2"/>
      <c r="G20544" s="2"/>
      <c r="H20544" s="2"/>
    </row>
    <row r="20545" spans="1:8" x14ac:dyDescent="0.25">
      <c r="A20545" s="1"/>
      <c r="B20545" s="1" t="s">
        <v>6862</v>
      </c>
      <c r="C20545" s="1" t="s">
        <v>6863</v>
      </c>
      <c r="D20545" s="22" t="str">
        <f>HYPERLINK("https://rhld.insurance.arkansas.gov/NPILookup?Npi=1992472476","1992472476")</f>
        <v>1992472476</v>
      </c>
      <c r="E20545" s="1" t="s">
        <v>25029</v>
      </c>
      <c r="F20545" s="2"/>
      <c r="G20545" s="2"/>
      <c r="H20545" s="2"/>
    </row>
    <row r="20546" spans="1:8" x14ac:dyDescent="0.25">
      <c r="A20546" s="1"/>
      <c r="B20546" s="1" t="s">
        <v>6862</v>
      </c>
      <c r="C20546" s="1" t="s">
        <v>6863</v>
      </c>
      <c r="D20546" s="22" t="str">
        <f>HYPERLINK("https://rhld.insurance.arkansas.gov/NPILookup?Npi=1992481691","1992481691")</f>
        <v>1992481691</v>
      </c>
      <c r="E20546" s="1" t="s">
        <v>5652</v>
      </c>
      <c r="F20546" s="2"/>
      <c r="G20546" s="2"/>
      <c r="H20546" s="2"/>
    </row>
    <row r="20547" spans="1:8" x14ac:dyDescent="0.25">
      <c r="A20547" s="1"/>
      <c r="B20547" s="1" t="s">
        <v>6862</v>
      </c>
      <c r="C20547" s="1" t="s">
        <v>6863</v>
      </c>
      <c r="D20547" s="22" t="str">
        <f>HYPERLINK("https://rhld.insurance.arkansas.gov/NPILookup?Npi=1992733018","1992733018")</f>
        <v>1992733018</v>
      </c>
      <c r="E20547" s="1" t="s">
        <v>7276</v>
      </c>
      <c r="F20547" s="2"/>
      <c r="G20547" s="2"/>
      <c r="H20547" s="2"/>
    </row>
    <row r="20548" spans="1:8" x14ac:dyDescent="0.25">
      <c r="A20548" s="1"/>
      <c r="B20548" s="1" t="s">
        <v>6862</v>
      </c>
      <c r="C20548" s="1" t="s">
        <v>6863</v>
      </c>
      <c r="D20548" s="22" t="str">
        <f>HYPERLINK("https://rhld.insurance.arkansas.gov/NPILookup?Npi=1992781835","1992781835")</f>
        <v>1992781835</v>
      </c>
      <c r="E20548" s="1" t="s">
        <v>25030</v>
      </c>
      <c r="F20548" s="2"/>
      <c r="G20548" s="2"/>
      <c r="H20548" s="2"/>
    </row>
    <row r="20549" spans="1:8" x14ac:dyDescent="0.25">
      <c r="A20549" s="1"/>
      <c r="B20549" s="1" t="s">
        <v>7277</v>
      </c>
      <c r="C20549" s="1" t="s">
        <v>7278</v>
      </c>
      <c r="D20549" s="22" t="str">
        <f>HYPERLINK("https://rhld.insurance.arkansas.gov/NPILookup?Npi=1013064310","1013064310")</f>
        <v>1013064310</v>
      </c>
      <c r="E20549" s="1" t="s">
        <v>16319</v>
      </c>
      <c r="F20549" s="2"/>
      <c r="G20549" s="2"/>
      <c r="H20549" s="2"/>
    </row>
    <row r="20550" spans="1:8" x14ac:dyDescent="0.25">
      <c r="A20550" s="1"/>
      <c r="B20550" s="1" t="s">
        <v>7277</v>
      </c>
      <c r="C20550" s="1" t="s">
        <v>7278</v>
      </c>
      <c r="D20550" s="22" t="str">
        <f>HYPERLINK("https://rhld.insurance.arkansas.gov/NPILookup?Npi=1013905165","1013905165")</f>
        <v>1013905165</v>
      </c>
      <c r="E20550" s="1" t="s">
        <v>1199</v>
      </c>
      <c r="F20550" s="2"/>
      <c r="G20550" s="2"/>
      <c r="H20550" s="2"/>
    </row>
    <row r="20551" spans="1:8" x14ac:dyDescent="0.25">
      <c r="A20551" s="1"/>
      <c r="B20551" s="1" t="s">
        <v>7277</v>
      </c>
      <c r="C20551" s="1" t="s">
        <v>7278</v>
      </c>
      <c r="D20551" s="22" t="str">
        <f>HYPERLINK("https://rhld.insurance.arkansas.gov/NPILookup?Npi=1013924752","1013924752")</f>
        <v>1013924752</v>
      </c>
      <c r="E20551" s="1" t="s">
        <v>4581</v>
      </c>
      <c r="F20551" s="2"/>
      <c r="G20551" s="2"/>
      <c r="H20551" s="2"/>
    </row>
    <row r="20552" spans="1:8" x14ac:dyDescent="0.25">
      <c r="A20552" s="1"/>
      <c r="B20552" s="1" t="s">
        <v>7277</v>
      </c>
      <c r="C20552" s="1" t="s">
        <v>7278</v>
      </c>
      <c r="D20552" s="22" t="str">
        <f>HYPERLINK("https://rhld.insurance.arkansas.gov/NPILookup?Npi=1013952365","1013952365")</f>
        <v>1013952365</v>
      </c>
      <c r="E20552" s="1" t="s">
        <v>32067</v>
      </c>
      <c r="F20552" s="2"/>
      <c r="G20552" s="2"/>
      <c r="H20552" s="2"/>
    </row>
    <row r="20553" spans="1:8" x14ac:dyDescent="0.25">
      <c r="A20553" s="1"/>
      <c r="B20553" s="1" t="s">
        <v>7277</v>
      </c>
      <c r="C20553" s="1" t="s">
        <v>7278</v>
      </c>
      <c r="D20553" s="22" t="str">
        <f>HYPERLINK("https://rhld.insurance.arkansas.gov/NPILookup?Npi=1023075637","1023075637")</f>
        <v>1023075637</v>
      </c>
      <c r="E20553" s="1" t="s">
        <v>4582</v>
      </c>
      <c r="F20553" s="2"/>
      <c r="G20553" s="2"/>
      <c r="H20553" s="2"/>
    </row>
    <row r="20554" spans="1:8" x14ac:dyDescent="0.25">
      <c r="A20554" s="1"/>
      <c r="B20554" s="1" t="s">
        <v>7277</v>
      </c>
      <c r="C20554" s="1" t="s">
        <v>7278</v>
      </c>
      <c r="D20554" s="22" t="str">
        <f>HYPERLINK("https://rhld.insurance.arkansas.gov/NPILookup?Npi=1033209606","1033209606")</f>
        <v>1033209606</v>
      </c>
      <c r="E20554" s="1" t="s">
        <v>25031</v>
      </c>
      <c r="F20554" s="2"/>
      <c r="G20554" s="2"/>
      <c r="H20554" s="2"/>
    </row>
    <row r="20555" spans="1:8" x14ac:dyDescent="0.25">
      <c r="A20555" s="1"/>
      <c r="B20555" s="1" t="s">
        <v>7277</v>
      </c>
      <c r="C20555" s="1" t="s">
        <v>7278</v>
      </c>
      <c r="D20555" s="22" t="str">
        <f>HYPERLINK("https://rhld.insurance.arkansas.gov/NPILookup?Npi=1033318589","1033318589")</f>
        <v>1033318589</v>
      </c>
      <c r="E20555" s="1" t="s">
        <v>7279</v>
      </c>
      <c r="F20555" s="2"/>
      <c r="G20555" s="2"/>
      <c r="H20555" s="2"/>
    </row>
    <row r="20556" spans="1:8" x14ac:dyDescent="0.25">
      <c r="A20556" s="1"/>
      <c r="B20556" s="1" t="s">
        <v>7277</v>
      </c>
      <c r="C20556" s="1" t="s">
        <v>7278</v>
      </c>
      <c r="D20556" s="22" t="str">
        <f>HYPERLINK("https://rhld.insurance.arkansas.gov/NPILookup?Npi=1043316821","1043316821")</f>
        <v>1043316821</v>
      </c>
      <c r="E20556" s="1" t="s">
        <v>7280</v>
      </c>
      <c r="F20556" s="2"/>
      <c r="G20556" s="2"/>
      <c r="H20556" s="2"/>
    </row>
    <row r="20557" spans="1:8" x14ac:dyDescent="0.25">
      <c r="A20557" s="1"/>
      <c r="B20557" s="1" t="s">
        <v>7277</v>
      </c>
      <c r="C20557" s="1" t="s">
        <v>7278</v>
      </c>
      <c r="D20557" s="22" t="str">
        <f>HYPERLINK("https://rhld.insurance.arkansas.gov/NPILookup?Npi=1063123016","1063123016")</f>
        <v>1063123016</v>
      </c>
      <c r="E20557" s="1" t="s">
        <v>25032</v>
      </c>
      <c r="F20557" s="2"/>
      <c r="G20557" s="2"/>
      <c r="H20557" s="2"/>
    </row>
    <row r="20558" spans="1:8" x14ac:dyDescent="0.25">
      <c r="A20558" s="1"/>
      <c r="B20558" s="1" t="s">
        <v>7277</v>
      </c>
      <c r="C20558" s="1" t="s">
        <v>7278</v>
      </c>
      <c r="D20558" s="22" t="str">
        <f>HYPERLINK("https://rhld.insurance.arkansas.gov/NPILookup?Npi=1104072651","1104072651")</f>
        <v>1104072651</v>
      </c>
      <c r="E20558" s="1" t="s">
        <v>25033</v>
      </c>
      <c r="F20558" s="2"/>
      <c r="G20558" s="2"/>
      <c r="H20558" s="2"/>
    </row>
    <row r="20559" spans="1:8" x14ac:dyDescent="0.25">
      <c r="A20559" s="1"/>
      <c r="B20559" s="1" t="s">
        <v>7277</v>
      </c>
      <c r="C20559" s="1" t="s">
        <v>7278</v>
      </c>
      <c r="D20559" s="22" t="str">
        <f>HYPERLINK("https://rhld.insurance.arkansas.gov/NPILookup?Npi=1114933777","1114933777")</f>
        <v>1114933777</v>
      </c>
      <c r="E20559" s="1" t="s">
        <v>25034</v>
      </c>
      <c r="F20559" s="2"/>
      <c r="G20559" s="2"/>
      <c r="H20559" s="2"/>
    </row>
    <row r="20560" spans="1:8" x14ac:dyDescent="0.25">
      <c r="A20560" s="1"/>
      <c r="B20560" s="1" t="s">
        <v>7277</v>
      </c>
      <c r="C20560" s="1" t="s">
        <v>7278</v>
      </c>
      <c r="D20560" s="22" t="str">
        <f>HYPERLINK("https://rhld.insurance.arkansas.gov/NPILookup?Npi=1114989233","1114989233")</f>
        <v>1114989233</v>
      </c>
      <c r="E20560" s="1" t="s">
        <v>32068</v>
      </c>
      <c r="F20560" s="2"/>
      <c r="G20560" s="2"/>
      <c r="H20560" s="2"/>
    </row>
    <row r="20561" spans="1:8" x14ac:dyDescent="0.25">
      <c r="A20561" s="1"/>
      <c r="B20561" s="1" t="s">
        <v>7277</v>
      </c>
      <c r="C20561" s="1" t="s">
        <v>7278</v>
      </c>
      <c r="D20561" s="22" t="str">
        <f>HYPERLINK("https://rhld.insurance.arkansas.gov/NPILookup?Npi=1144289331","1144289331")</f>
        <v>1144289331</v>
      </c>
      <c r="E20561" s="1" t="s">
        <v>7281</v>
      </c>
      <c r="F20561" s="2"/>
      <c r="G20561" s="2"/>
      <c r="H20561" s="2"/>
    </row>
    <row r="20562" spans="1:8" x14ac:dyDescent="0.25">
      <c r="A20562" s="1"/>
      <c r="B20562" s="1" t="s">
        <v>7277</v>
      </c>
      <c r="C20562" s="1" t="s">
        <v>7278</v>
      </c>
      <c r="D20562" s="22" t="str">
        <f>HYPERLINK("https://rhld.insurance.arkansas.gov/NPILookup?Npi=1144452293","1144452293")</f>
        <v>1144452293</v>
      </c>
      <c r="E20562" s="1" t="s">
        <v>217</v>
      </c>
      <c r="F20562" s="2"/>
      <c r="G20562" s="2"/>
      <c r="H20562" s="2"/>
    </row>
    <row r="20563" spans="1:8" x14ac:dyDescent="0.25">
      <c r="A20563" s="1"/>
      <c r="B20563" s="1" t="s">
        <v>7277</v>
      </c>
      <c r="C20563" s="1" t="s">
        <v>7278</v>
      </c>
      <c r="D20563" s="22" t="str">
        <f>HYPERLINK("https://rhld.insurance.arkansas.gov/NPILookup?Npi=1174539753","1174539753")</f>
        <v>1174539753</v>
      </c>
      <c r="E20563" s="1" t="s">
        <v>25035</v>
      </c>
      <c r="F20563" s="2"/>
      <c r="G20563" s="2"/>
      <c r="H20563" s="2"/>
    </row>
    <row r="20564" spans="1:8" x14ac:dyDescent="0.25">
      <c r="A20564" s="1"/>
      <c r="B20564" s="1" t="s">
        <v>7277</v>
      </c>
      <c r="C20564" s="1" t="s">
        <v>7278</v>
      </c>
      <c r="D20564" s="22" t="str">
        <f>HYPERLINK("https://rhld.insurance.arkansas.gov/NPILookup?Npi=1174742456","1174742456")</f>
        <v>1174742456</v>
      </c>
      <c r="E20564" s="1" t="s">
        <v>10018</v>
      </c>
      <c r="F20564" s="2"/>
      <c r="G20564" s="2"/>
      <c r="H20564" s="2"/>
    </row>
    <row r="20565" spans="1:8" x14ac:dyDescent="0.25">
      <c r="A20565" s="1"/>
      <c r="B20565" s="1" t="s">
        <v>7277</v>
      </c>
      <c r="C20565" s="1" t="s">
        <v>7278</v>
      </c>
      <c r="D20565" s="22" t="str">
        <f>HYPERLINK("https://rhld.insurance.arkansas.gov/NPILookup?Npi=1184680324","1184680324")</f>
        <v>1184680324</v>
      </c>
      <c r="E20565" s="1" t="s">
        <v>16453</v>
      </c>
      <c r="F20565" s="2"/>
      <c r="G20565" s="2"/>
      <c r="H20565" s="2"/>
    </row>
    <row r="20566" spans="1:8" x14ac:dyDescent="0.25">
      <c r="A20566" s="1"/>
      <c r="B20566" s="1" t="s">
        <v>7277</v>
      </c>
      <c r="C20566" s="1" t="s">
        <v>7278</v>
      </c>
      <c r="D20566" s="22" t="str">
        <f>HYPERLINK("https://rhld.insurance.arkansas.gov/NPILookup?Npi=1194187765","1194187765")</f>
        <v>1194187765</v>
      </c>
      <c r="E20566" s="1" t="s">
        <v>12548</v>
      </c>
      <c r="F20566" s="2"/>
      <c r="G20566" s="2"/>
      <c r="H20566" s="2"/>
    </row>
    <row r="20567" spans="1:8" x14ac:dyDescent="0.25">
      <c r="A20567" s="1"/>
      <c r="B20567" s="1" t="s">
        <v>7277</v>
      </c>
      <c r="C20567" s="1" t="s">
        <v>7278</v>
      </c>
      <c r="D20567" s="22" t="str">
        <f>HYPERLINK("https://rhld.insurance.arkansas.gov/NPILookup?Npi=1194746602","1194746602")</f>
        <v>1194746602</v>
      </c>
      <c r="E20567" s="1" t="s">
        <v>17297</v>
      </c>
      <c r="F20567" s="2"/>
      <c r="G20567" s="2"/>
      <c r="H20567" s="2"/>
    </row>
    <row r="20568" spans="1:8" x14ac:dyDescent="0.25">
      <c r="A20568" s="1"/>
      <c r="B20568" s="1" t="s">
        <v>7277</v>
      </c>
      <c r="C20568" s="1" t="s">
        <v>7278</v>
      </c>
      <c r="D20568" s="22" t="str">
        <f>HYPERLINK("https://rhld.insurance.arkansas.gov/NPILookup?Npi=1225040447","1225040447")</f>
        <v>1225040447</v>
      </c>
      <c r="E20568" s="1" t="s">
        <v>10612</v>
      </c>
      <c r="F20568" s="2"/>
      <c r="G20568" s="2"/>
      <c r="H20568" s="2"/>
    </row>
    <row r="20569" spans="1:8" x14ac:dyDescent="0.25">
      <c r="A20569" s="1"/>
      <c r="B20569" s="1" t="s">
        <v>7277</v>
      </c>
      <c r="C20569" s="1" t="s">
        <v>7278</v>
      </c>
      <c r="D20569" s="22" t="str">
        <f>HYPERLINK("https://rhld.insurance.arkansas.gov/NPILookup?Npi=1225042377","1225042377")</f>
        <v>1225042377</v>
      </c>
      <c r="E20569" s="1" t="s">
        <v>18391</v>
      </c>
      <c r="F20569" s="2"/>
      <c r="G20569" s="2"/>
      <c r="H20569" s="2"/>
    </row>
    <row r="20570" spans="1:8" x14ac:dyDescent="0.25">
      <c r="A20570" s="1"/>
      <c r="B20570" s="1" t="s">
        <v>7277</v>
      </c>
      <c r="C20570" s="1" t="s">
        <v>7278</v>
      </c>
      <c r="D20570" s="22" t="str">
        <f>HYPERLINK("https://rhld.insurance.arkansas.gov/NPILookup?Npi=1225327224","1225327224")</f>
        <v>1225327224</v>
      </c>
      <c r="E20570" s="1" t="s">
        <v>12549</v>
      </c>
      <c r="F20570" s="2"/>
      <c r="G20570" s="2"/>
      <c r="H20570" s="2"/>
    </row>
    <row r="20571" spans="1:8" x14ac:dyDescent="0.25">
      <c r="A20571" s="1"/>
      <c r="B20571" s="1" t="s">
        <v>7277</v>
      </c>
      <c r="C20571" s="1" t="s">
        <v>7278</v>
      </c>
      <c r="D20571" s="22" t="str">
        <f>HYPERLINK("https://rhld.insurance.arkansas.gov/NPILookup?Npi=1235181066","1235181066")</f>
        <v>1235181066</v>
      </c>
      <c r="E20571" s="1" t="s">
        <v>12550</v>
      </c>
      <c r="F20571" s="2"/>
      <c r="G20571" s="2"/>
      <c r="H20571" s="2"/>
    </row>
    <row r="20572" spans="1:8" x14ac:dyDescent="0.25">
      <c r="A20572" s="1"/>
      <c r="B20572" s="1" t="s">
        <v>7277</v>
      </c>
      <c r="C20572" s="1" t="s">
        <v>7278</v>
      </c>
      <c r="D20572" s="22" t="str">
        <f>HYPERLINK("https://rhld.insurance.arkansas.gov/NPILookup?Npi=1306295266","1306295266")</f>
        <v>1306295266</v>
      </c>
      <c r="E20572" s="1" t="s">
        <v>25036</v>
      </c>
      <c r="F20572" s="2"/>
      <c r="G20572" s="2"/>
      <c r="H20572" s="2"/>
    </row>
    <row r="20573" spans="1:8" x14ac:dyDescent="0.25">
      <c r="A20573" s="1"/>
      <c r="B20573" s="1" t="s">
        <v>7277</v>
      </c>
      <c r="C20573" s="1" t="s">
        <v>7278</v>
      </c>
      <c r="D20573" s="22" t="str">
        <f>HYPERLINK("https://rhld.insurance.arkansas.gov/NPILookup?Npi=1316951486","1316951486")</f>
        <v>1316951486</v>
      </c>
      <c r="E20573" s="1" t="s">
        <v>12551</v>
      </c>
      <c r="F20573" s="2"/>
      <c r="G20573" s="2"/>
      <c r="H20573" s="2"/>
    </row>
    <row r="20574" spans="1:8" x14ac:dyDescent="0.25">
      <c r="A20574" s="1"/>
      <c r="B20574" s="1" t="s">
        <v>7277</v>
      </c>
      <c r="C20574" s="1" t="s">
        <v>7278</v>
      </c>
      <c r="D20574" s="22" t="str">
        <f>HYPERLINK("https://rhld.insurance.arkansas.gov/NPILookup?Npi=1326003179","1326003179")</f>
        <v>1326003179</v>
      </c>
      <c r="E20574" s="1" t="s">
        <v>18164</v>
      </c>
      <c r="F20574" s="2"/>
      <c r="G20574" s="2"/>
      <c r="H20574" s="2"/>
    </row>
    <row r="20575" spans="1:8" x14ac:dyDescent="0.25">
      <c r="A20575" s="1"/>
      <c r="B20575" s="1" t="s">
        <v>7277</v>
      </c>
      <c r="C20575" s="1" t="s">
        <v>7278</v>
      </c>
      <c r="D20575" s="22" t="str">
        <f>HYPERLINK("https://rhld.insurance.arkansas.gov/NPILookup?Npi=1356312490","1356312490")</f>
        <v>1356312490</v>
      </c>
      <c r="E20575" s="1" t="s">
        <v>25037</v>
      </c>
      <c r="F20575" s="2"/>
      <c r="G20575" s="2"/>
      <c r="H20575" s="2"/>
    </row>
    <row r="20576" spans="1:8" x14ac:dyDescent="0.25">
      <c r="A20576" s="1"/>
      <c r="B20576" s="1" t="s">
        <v>7277</v>
      </c>
      <c r="C20576" s="1" t="s">
        <v>7278</v>
      </c>
      <c r="D20576" s="22" t="str">
        <f>HYPERLINK("https://rhld.insurance.arkansas.gov/NPILookup?Npi=1366604100","1366604100")</f>
        <v>1366604100</v>
      </c>
      <c r="E20576" s="1" t="s">
        <v>7282</v>
      </c>
      <c r="F20576" s="2"/>
      <c r="G20576" s="2"/>
      <c r="H20576" s="2"/>
    </row>
    <row r="20577" spans="1:8" x14ac:dyDescent="0.25">
      <c r="A20577" s="1"/>
      <c r="B20577" s="1" t="s">
        <v>7277</v>
      </c>
      <c r="C20577" s="1" t="s">
        <v>7278</v>
      </c>
      <c r="D20577" s="22" t="str">
        <f>HYPERLINK("https://rhld.insurance.arkansas.gov/NPILookup?Npi=1427403278","1427403278")</f>
        <v>1427403278</v>
      </c>
      <c r="E20577" s="1" t="s">
        <v>7283</v>
      </c>
      <c r="F20577" s="2"/>
      <c r="G20577" s="2"/>
      <c r="H20577" s="2"/>
    </row>
    <row r="20578" spans="1:8" x14ac:dyDescent="0.25">
      <c r="A20578" s="1"/>
      <c r="B20578" s="1" t="s">
        <v>7277</v>
      </c>
      <c r="C20578" s="1" t="s">
        <v>7278</v>
      </c>
      <c r="D20578" s="22" t="str">
        <f>HYPERLINK("https://rhld.insurance.arkansas.gov/NPILookup?Npi=1437534682","1437534682")</f>
        <v>1437534682</v>
      </c>
      <c r="E20578" s="1" t="s">
        <v>25038</v>
      </c>
      <c r="F20578" s="2"/>
      <c r="G20578" s="2"/>
      <c r="H20578" s="2"/>
    </row>
    <row r="20579" spans="1:8" x14ac:dyDescent="0.25">
      <c r="A20579" s="1"/>
      <c r="B20579" s="1" t="s">
        <v>7277</v>
      </c>
      <c r="C20579" s="1" t="s">
        <v>7278</v>
      </c>
      <c r="D20579" s="22" t="str">
        <f>HYPERLINK("https://rhld.insurance.arkansas.gov/NPILookup?Npi=1447217369","1447217369")</f>
        <v>1447217369</v>
      </c>
      <c r="E20579" s="1" t="s">
        <v>16644</v>
      </c>
      <c r="F20579" s="2"/>
      <c r="G20579" s="2"/>
      <c r="H20579" s="2"/>
    </row>
    <row r="20580" spans="1:8" x14ac:dyDescent="0.25">
      <c r="A20580" s="1"/>
      <c r="B20580" s="1" t="s">
        <v>7277</v>
      </c>
      <c r="C20580" s="1" t="s">
        <v>7278</v>
      </c>
      <c r="D20580" s="22" t="str">
        <f>HYPERLINK("https://rhld.insurance.arkansas.gov/NPILookup?Npi=1447339544","1447339544")</f>
        <v>1447339544</v>
      </c>
      <c r="E20580" s="1" t="s">
        <v>140</v>
      </c>
      <c r="F20580" s="2"/>
      <c r="G20580" s="2"/>
      <c r="H20580" s="2"/>
    </row>
    <row r="20581" spans="1:8" x14ac:dyDescent="0.25">
      <c r="A20581" s="1"/>
      <c r="B20581" s="1" t="s">
        <v>7277</v>
      </c>
      <c r="C20581" s="1" t="s">
        <v>7278</v>
      </c>
      <c r="D20581" s="22" t="str">
        <f>HYPERLINK("https://rhld.insurance.arkansas.gov/NPILookup?Npi=1477647089","1477647089")</f>
        <v>1477647089</v>
      </c>
      <c r="E20581" s="1" t="s">
        <v>747</v>
      </c>
      <c r="F20581" s="2"/>
      <c r="G20581" s="2"/>
      <c r="H20581" s="2"/>
    </row>
    <row r="20582" spans="1:8" x14ac:dyDescent="0.25">
      <c r="A20582" s="1"/>
      <c r="B20582" s="1" t="s">
        <v>7277</v>
      </c>
      <c r="C20582" s="1" t="s">
        <v>7278</v>
      </c>
      <c r="D20582" s="22" t="str">
        <f>HYPERLINK("https://rhld.insurance.arkansas.gov/NPILookup?Npi=1487655247","1487655247")</f>
        <v>1487655247</v>
      </c>
      <c r="E20582" s="1" t="s">
        <v>10645</v>
      </c>
      <c r="F20582" s="2"/>
      <c r="G20582" s="2"/>
      <c r="H20582" s="2"/>
    </row>
    <row r="20583" spans="1:8" x14ac:dyDescent="0.25">
      <c r="A20583" s="1"/>
      <c r="B20583" s="1" t="s">
        <v>7277</v>
      </c>
      <c r="C20583" s="1" t="s">
        <v>7278</v>
      </c>
      <c r="D20583" s="22" t="str">
        <f>HYPERLINK("https://rhld.insurance.arkansas.gov/NPILookup?Npi=1497725493","1497725493")</f>
        <v>1497725493</v>
      </c>
      <c r="E20583" s="1" t="s">
        <v>18477</v>
      </c>
      <c r="F20583" s="2"/>
      <c r="G20583" s="2"/>
      <c r="H20583" s="2"/>
    </row>
    <row r="20584" spans="1:8" x14ac:dyDescent="0.25">
      <c r="A20584" s="1"/>
      <c r="B20584" s="1" t="s">
        <v>7277</v>
      </c>
      <c r="C20584" s="1" t="s">
        <v>7278</v>
      </c>
      <c r="D20584" s="22" t="str">
        <f>HYPERLINK("https://rhld.insurance.arkansas.gov/NPILookup?Npi=1508879412","1508879412")</f>
        <v>1508879412</v>
      </c>
      <c r="E20584" s="1" t="s">
        <v>18599</v>
      </c>
      <c r="F20584" s="2"/>
      <c r="G20584" s="2"/>
      <c r="H20584" s="2"/>
    </row>
    <row r="20585" spans="1:8" x14ac:dyDescent="0.25">
      <c r="A20585" s="1"/>
      <c r="B20585" s="1" t="s">
        <v>7277</v>
      </c>
      <c r="C20585" s="1" t="s">
        <v>7278</v>
      </c>
      <c r="D20585" s="22" t="str">
        <f>HYPERLINK("https://rhld.insurance.arkansas.gov/NPILookup?Npi=1518232727","1518232727")</f>
        <v>1518232727</v>
      </c>
      <c r="E20585" s="1" t="s">
        <v>16706</v>
      </c>
      <c r="F20585" s="2"/>
      <c r="G20585" s="2"/>
      <c r="H20585" s="2"/>
    </row>
    <row r="20586" spans="1:8" x14ac:dyDescent="0.25">
      <c r="A20586" s="1"/>
      <c r="B20586" s="1" t="s">
        <v>7277</v>
      </c>
      <c r="C20586" s="1" t="s">
        <v>7278</v>
      </c>
      <c r="D20586" s="22" t="str">
        <f>HYPERLINK("https://rhld.insurance.arkansas.gov/NPILookup?Npi=1538326434","1538326434")</f>
        <v>1538326434</v>
      </c>
      <c r="E20586" s="1" t="s">
        <v>7284</v>
      </c>
      <c r="F20586" s="2"/>
      <c r="G20586" s="2"/>
      <c r="H20586" s="2"/>
    </row>
    <row r="20587" spans="1:8" x14ac:dyDescent="0.25">
      <c r="A20587" s="1"/>
      <c r="B20587" s="1" t="s">
        <v>7277</v>
      </c>
      <c r="C20587" s="1" t="s">
        <v>7278</v>
      </c>
      <c r="D20587" s="22" t="str">
        <f>HYPERLINK("https://rhld.insurance.arkansas.gov/NPILookup?Npi=1538377791","1538377791")</f>
        <v>1538377791</v>
      </c>
      <c r="E20587" s="1" t="s">
        <v>32069</v>
      </c>
      <c r="F20587" s="2"/>
      <c r="G20587" s="2"/>
      <c r="H20587" s="2"/>
    </row>
    <row r="20588" spans="1:8" x14ac:dyDescent="0.25">
      <c r="A20588" s="1"/>
      <c r="B20588" s="1" t="s">
        <v>7277</v>
      </c>
      <c r="C20588" s="1" t="s">
        <v>7278</v>
      </c>
      <c r="D20588" s="22" t="str">
        <f>HYPERLINK("https://rhld.insurance.arkansas.gov/NPILookup?Npi=1568525806","1568525806")</f>
        <v>1568525806</v>
      </c>
      <c r="E20588" s="1" t="s">
        <v>4598</v>
      </c>
      <c r="F20588" s="2"/>
      <c r="G20588" s="2"/>
      <c r="H20588" s="2"/>
    </row>
    <row r="20589" spans="1:8" x14ac:dyDescent="0.25">
      <c r="A20589" s="1"/>
      <c r="B20589" s="1" t="s">
        <v>7277</v>
      </c>
      <c r="C20589" s="1" t="s">
        <v>7278</v>
      </c>
      <c r="D20589" s="22" t="str">
        <f>HYPERLINK("https://rhld.insurance.arkansas.gov/NPILookup?Npi=1568881407","1568881407")</f>
        <v>1568881407</v>
      </c>
      <c r="E20589" s="1" t="s">
        <v>25039</v>
      </c>
      <c r="F20589" s="2"/>
      <c r="G20589" s="2"/>
      <c r="H20589" s="2"/>
    </row>
    <row r="20590" spans="1:8" x14ac:dyDescent="0.25">
      <c r="A20590" s="1"/>
      <c r="B20590" s="1" t="s">
        <v>7277</v>
      </c>
      <c r="C20590" s="1" t="s">
        <v>7278</v>
      </c>
      <c r="D20590" s="22" t="str">
        <f>HYPERLINK("https://rhld.insurance.arkansas.gov/NPILookup?Npi=1588059430","1588059430")</f>
        <v>1588059430</v>
      </c>
      <c r="E20590" s="1" t="s">
        <v>12552</v>
      </c>
      <c r="F20590" s="2"/>
      <c r="G20590" s="2"/>
      <c r="H20590" s="2"/>
    </row>
    <row r="20591" spans="1:8" x14ac:dyDescent="0.25">
      <c r="A20591" s="1"/>
      <c r="B20591" s="1" t="s">
        <v>7277</v>
      </c>
      <c r="C20591" s="1" t="s">
        <v>7278</v>
      </c>
      <c r="D20591" s="22" t="str">
        <f>HYPERLINK("https://rhld.insurance.arkansas.gov/NPILookup?Npi=1588899645","1588899645")</f>
        <v>1588899645</v>
      </c>
      <c r="E20591" s="1" t="s">
        <v>25040</v>
      </c>
      <c r="F20591" s="2"/>
      <c r="G20591" s="2"/>
      <c r="H20591" s="2"/>
    </row>
    <row r="20592" spans="1:8" x14ac:dyDescent="0.25">
      <c r="A20592" s="1"/>
      <c r="B20592" s="1" t="s">
        <v>7277</v>
      </c>
      <c r="C20592" s="1" t="s">
        <v>7278</v>
      </c>
      <c r="D20592" s="22" t="str">
        <f>HYPERLINK("https://rhld.insurance.arkansas.gov/NPILookup?Npi=1649740424","1649740424")</f>
        <v>1649740424</v>
      </c>
      <c r="E20592" s="1" t="s">
        <v>12553</v>
      </c>
      <c r="F20592" s="2"/>
      <c r="G20592" s="2"/>
      <c r="H20592" s="2"/>
    </row>
    <row r="20593" spans="1:8" x14ac:dyDescent="0.25">
      <c r="A20593" s="1"/>
      <c r="B20593" s="1" t="s">
        <v>7277</v>
      </c>
      <c r="C20593" s="1" t="s">
        <v>7278</v>
      </c>
      <c r="D20593" s="22" t="str">
        <f>HYPERLINK("https://rhld.insurance.arkansas.gov/NPILookup?Npi=1699092205","1699092205")</f>
        <v>1699092205</v>
      </c>
      <c r="E20593" s="1" t="s">
        <v>12554</v>
      </c>
      <c r="F20593" s="2"/>
      <c r="G20593" s="2"/>
      <c r="H20593" s="2"/>
    </row>
    <row r="20594" spans="1:8" x14ac:dyDescent="0.25">
      <c r="A20594" s="1"/>
      <c r="B20594" s="1" t="s">
        <v>7277</v>
      </c>
      <c r="C20594" s="1" t="s">
        <v>7278</v>
      </c>
      <c r="D20594" s="22" t="str">
        <f>HYPERLINK("https://rhld.insurance.arkansas.gov/NPILookup?Npi=1710373279","1710373279")</f>
        <v>1710373279</v>
      </c>
      <c r="E20594" s="1" t="s">
        <v>25041</v>
      </c>
      <c r="F20594" s="2"/>
      <c r="G20594" s="2"/>
      <c r="H20594" s="2"/>
    </row>
    <row r="20595" spans="1:8" x14ac:dyDescent="0.25">
      <c r="A20595" s="1"/>
      <c r="B20595" s="1" t="s">
        <v>7277</v>
      </c>
      <c r="C20595" s="1" t="s">
        <v>7278</v>
      </c>
      <c r="D20595" s="22" t="str">
        <f>HYPERLINK("https://rhld.insurance.arkansas.gov/NPILookup?Npi=1720399967","1720399967")</f>
        <v>1720399967</v>
      </c>
      <c r="E20595" s="1" t="s">
        <v>18549</v>
      </c>
      <c r="F20595" s="2"/>
      <c r="G20595" s="2"/>
      <c r="H20595" s="2"/>
    </row>
    <row r="20596" spans="1:8" x14ac:dyDescent="0.25">
      <c r="A20596" s="1"/>
      <c r="B20596" s="1" t="s">
        <v>7277</v>
      </c>
      <c r="C20596" s="1" t="s">
        <v>7278</v>
      </c>
      <c r="D20596" s="22" t="str">
        <f>HYPERLINK("https://rhld.insurance.arkansas.gov/NPILookup?Npi=1730475179","1730475179")</f>
        <v>1730475179</v>
      </c>
      <c r="E20596" s="1" t="s">
        <v>25042</v>
      </c>
      <c r="F20596" s="2"/>
      <c r="G20596" s="2"/>
      <c r="H20596" s="2"/>
    </row>
    <row r="20597" spans="1:8" x14ac:dyDescent="0.25">
      <c r="A20597" s="1"/>
      <c r="B20597" s="1" t="s">
        <v>7277</v>
      </c>
      <c r="C20597" s="1" t="s">
        <v>7278</v>
      </c>
      <c r="D20597" s="22" t="str">
        <f>HYPERLINK("https://rhld.insurance.arkansas.gov/NPILookup?Npi=1740231877","1740231877")</f>
        <v>1740231877</v>
      </c>
      <c r="E20597" s="1" t="s">
        <v>32070</v>
      </c>
      <c r="F20597" s="2"/>
      <c r="G20597" s="2"/>
      <c r="H20597" s="2"/>
    </row>
    <row r="20598" spans="1:8" x14ac:dyDescent="0.25">
      <c r="A20598" s="1"/>
      <c r="B20598" s="1" t="s">
        <v>7277</v>
      </c>
      <c r="C20598" s="1" t="s">
        <v>7278</v>
      </c>
      <c r="D20598" s="22" t="str">
        <f>HYPERLINK("https://rhld.insurance.arkansas.gov/NPILookup?Npi=1740245893","1740245893")</f>
        <v>1740245893</v>
      </c>
      <c r="E20598" s="1" t="s">
        <v>25043</v>
      </c>
      <c r="F20598" s="2"/>
      <c r="G20598" s="2"/>
      <c r="H20598" s="2"/>
    </row>
    <row r="20599" spans="1:8" x14ac:dyDescent="0.25">
      <c r="A20599" s="1"/>
      <c r="B20599" s="1" t="s">
        <v>7277</v>
      </c>
      <c r="C20599" s="1" t="s">
        <v>7278</v>
      </c>
      <c r="D20599" s="22" t="str">
        <f>HYPERLINK("https://rhld.insurance.arkansas.gov/NPILookup?Npi=1750612727","1750612727")</f>
        <v>1750612727</v>
      </c>
      <c r="E20599" s="1" t="s">
        <v>4798</v>
      </c>
      <c r="F20599" s="2"/>
      <c r="G20599" s="2"/>
      <c r="H20599" s="2"/>
    </row>
    <row r="20600" spans="1:8" x14ac:dyDescent="0.25">
      <c r="A20600" s="1"/>
      <c r="B20600" s="1" t="s">
        <v>7277</v>
      </c>
      <c r="C20600" s="1" t="s">
        <v>7278</v>
      </c>
      <c r="D20600" s="22" t="str">
        <f>HYPERLINK("https://rhld.insurance.arkansas.gov/NPILookup?Npi=1760400477","1760400477")</f>
        <v>1760400477</v>
      </c>
      <c r="E20600" s="1" t="s">
        <v>12555</v>
      </c>
      <c r="F20600" s="2"/>
      <c r="G20600" s="2"/>
      <c r="H20600" s="2"/>
    </row>
    <row r="20601" spans="1:8" x14ac:dyDescent="0.25">
      <c r="A20601" s="1"/>
      <c r="B20601" s="1" t="s">
        <v>7277</v>
      </c>
      <c r="C20601" s="1" t="s">
        <v>7278</v>
      </c>
      <c r="D20601" s="22" t="str">
        <f>HYPERLINK("https://rhld.insurance.arkansas.gov/NPILookup?Npi=1780690065","1780690065")</f>
        <v>1780690065</v>
      </c>
      <c r="E20601" s="1" t="s">
        <v>16886</v>
      </c>
      <c r="F20601" s="2"/>
      <c r="G20601" s="2"/>
      <c r="H20601" s="2"/>
    </row>
    <row r="20602" spans="1:8" x14ac:dyDescent="0.25">
      <c r="A20602" s="1"/>
      <c r="B20602" s="1" t="s">
        <v>7277</v>
      </c>
      <c r="C20602" s="1" t="s">
        <v>7278</v>
      </c>
      <c r="D20602" s="22" t="str">
        <f>HYPERLINK("https://rhld.insurance.arkansas.gov/NPILookup?Npi=1790852838","1790852838")</f>
        <v>1790852838</v>
      </c>
      <c r="E20602" s="1" t="s">
        <v>16891</v>
      </c>
      <c r="F20602" s="2"/>
      <c r="G20602" s="2"/>
      <c r="H20602" s="2"/>
    </row>
    <row r="20603" spans="1:8" x14ac:dyDescent="0.25">
      <c r="A20603" s="1"/>
      <c r="B20603" s="1" t="s">
        <v>7277</v>
      </c>
      <c r="C20603" s="1" t="s">
        <v>7278</v>
      </c>
      <c r="D20603" s="22" t="str">
        <f>HYPERLINK("https://rhld.insurance.arkansas.gov/NPILookup?Npi=1801327051","1801327051")</f>
        <v>1801327051</v>
      </c>
      <c r="E20603" s="1" t="s">
        <v>5672</v>
      </c>
      <c r="F20603" s="2"/>
      <c r="G20603" s="2"/>
      <c r="H20603" s="2"/>
    </row>
    <row r="20604" spans="1:8" x14ac:dyDescent="0.25">
      <c r="A20604" s="1"/>
      <c r="B20604" s="1" t="s">
        <v>7277</v>
      </c>
      <c r="C20604" s="1" t="s">
        <v>7278</v>
      </c>
      <c r="D20604" s="22" t="str">
        <f>HYPERLINK("https://rhld.insurance.arkansas.gov/NPILookup?Npi=1821263765","1821263765")</f>
        <v>1821263765</v>
      </c>
      <c r="E20604" s="1" t="s">
        <v>25044</v>
      </c>
      <c r="F20604" s="2"/>
      <c r="G20604" s="2"/>
      <c r="H20604" s="2"/>
    </row>
    <row r="20605" spans="1:8" x14ac:dyDescent="0.25">
      <c r="A20605" s="1"/>
      <c r="B20605" s="1" t="s">
        <v>7277</v>
      </c>
      <c r="C20605" s="1" t="s">
        <v>7278</v>
      </c>
      <c r="D20605" s="22" t="str">
        <f>HYPERLINK("https://rhld.insurance.arkansas.gov/NPILookup?Npi=1831254127","1831254127")</f>
        <v>1831254127</v>
      </c>
      <c r="E20605" s="1" t="s">
        <v>25045</v>
      </c>
      <c r="F20605" s="2"/>
      <c r="G20605" s="2"/>
      <c r="H20605" s="2"/>
    </row>
    <row r="20606" spans="1:8" x14ac:dyDescent="0.25">
      <c r="A20606" s="1"/>
      <c r="B20606" s="1" t="s">
        <v>7277</v>
      </c>
      <c r="C20606" s="1" t="s">
        <v>7278</v>
      </c>
      <c r="D20606" s="22" t="str">
        <f>HYPERLINK("https://rhld.insurance.arkansas.gov/NPILookup?Npi=1831346535","1831346535")</f>
        <v>1831346535</v>
      </c>
      <c r="E20606" s="1" t="s">
        <v>12556</v>
      </c>
      <c r="F20606" s="2"/>
      <c r="G20606" s="2"/>
      <c r="H20606" s="2"/>
    </row>
    <row r="20607" spans="1:8" x14ac:dyDescent="0.25">
      <c r="A20607" s="1"/>
      <c r="B20607" s="1" t="s">
        <v>7277</v>
      </c>
      <c r="C20607" s="1" t="s">
        <v>7278</v>
      </c>
      <c r="D20607" s="22" t="str">
        <f>HYPERLINK("https://rhld.insurance.arkansas.gov/NPILookup?Npi=1851489058","1851489058")</f>
        <v>1851489058</v>
      </c>
      <c r="E20607" s="1" t="s">
        <v>25046</v>
      </c>
      <c r="F20607" s="2"/>
      <c r="G20607" s="2"/>
      <c r="H20607" s="2"/>
    </row>
    <row r="20608" spans="1:8" x14ac:dyDescent="0.25">
      <c r="A20608" s="1"/>
      <c r="B20608" s="1" t="s">
        <v>7277</v>
      </c>
      <c r="C20608" s="1" t="s">
        <v>7278</v>
      </c>
      <c r="D20608" s="22" t="str">
        <f>HYPERLINK("https://rhld.insurance.arkansas.gov/NPILookup?Npi=1861458531","1861458531")</f>
        <v>1861458531</v>
      </c>
      <c r="E20608" s="1" t="s">
        <v>11296</v>
      </c>
      <c r="F20608" s="2"/>
      <c r="G20608" s="2"/>
      <c r="H20608" s="2"/>
    </row>
    <row r="20609" spans="1:8" x14ac:dyDescent="0.25">
      <c r="A20609" s="1"/>
      <c r="B20609" s="1" t="s">
        <v>7277</v>
      </c>
      <c r="C20609" s="1" t="s">
        <v>7278</v>
      </c>
      <c r="D20609" s="22" t="str">
        <f>HYPERLINK("https://rhld.insurance.arkansas.gov/NPILookup?Npi=1922216084","1922216084")</f>
        <v>1922216084</v>
      </c>
      <c r="E20609" s="1" t="s">
        <v>4608</v>
      </c>
      <c r="F20609" s="2"/>
      <c r="G20609" s="2"/>
      <c r="H20609" s="2"/>
    </row>
    <row r="20610" spans="1:8" x14ac:dyDescent="0.25">
      <c r="A20610" s="1"/>
      <c r="B20610" s="1" t="s">
        <v>7277</v>
      </c>
      <c r="C20610" s="1" t="s">
        <v>7278</v>
      </c>
      <c r="D20610" s="22" t="str">
        <f>HYPERLINK("https://rhld.insurance.arkansas.gov/NPILookup?Npi=1952692352","1952692352")</f>
        <v>1952692352</v>
      </c>
      <c r="E20610" s="1" t="s">
        <v>25048</v>
      </c>
      <c r="F20610" s="2"/>
      <c r="G20610" s="2"/>
      <c r="H20610" s="2"/>
    </row>
    <row r="20611" spans="1:8" x14ac:dyDescent="0.25">
      <c r="A20611" s="1"/>
      <c r="B20611" s="1" t="s">
        <v>7277</v>
      </c>
      <c r="C20611" s="1" t="s">
        <v>7278</v>
      </c>
      <c r="D20611" s="22" t="str">
        <f>HYPERLINK("https://rhld.insurance.arkansas.gov/NPILookup?Npi=1962490458","1962490458")</f>
        <v>1962490458</v>
      </c>
      <c r="E20611" s="1" t="s">
        <v>18219</v>
      </c>
      <c r="F20611" s="2"/>
      <c r="G20611" s="2"/>
      <c r="H20611" s="2"/>
    </row>
    <row r="20612" spans="1:8" x14ac:dyDescent="0.25">
      <c r="A20612" s="1"/>
      <c r="B20612" s="1" t="s">
        <v>7277</v>
      </c>
      <c r="C20612" s="1" t="s">
        <v>7278</v>
      </c>
      <c r="D20612" s="22" t="str">
        <f>HYPERLINK("https://rhld.insurance.arkansas.gov/NPILookup?Npi=1962631341","1962631341")</f>
        <v>1962631341</v>
      </c>
      <c r="E20612" s="1" t="s">
        <v>25049</v>
      </c>
      <c r="F20612" s="2"/>
      <c r="G20612" s="2"/>
      <c r="H20612" s="2"/>
    </row>
    <row r="20613" spans="1:8" x14ac:dyDescent="0.25">
      <c r="A20613" s="1"/>
      <c r="B20613" s="1" t="s">
        <v>7285</v>
      </c>
      <c r="C20613" s="1" t="s">
        <v>7286</v>
      </c>
      <c r="D20613" s="22" t="str">
        <f>HYPERLINK("https://rhld.insurance.arkansas.gov/NPILookup?Npi=1003886748","1003886748")</f>
        <v>1003886748</v>
      </c>
      <c r="E20613" s="1" t="s">
        <v>25050</v>
      </c>
      <c r="F20613" s="2"/>
      <c r="G20613" s="2"/>
      <c r="H20613" s="2"/>
    </row>
    <row r="20614" spans="1:8" x14ac:dyDescent="0.25">
      <c r="A20614" s="1"/>
      <c r="B20614" s="1" t="s">
        <v>7285</v>
      </c>
      <c r="C20614" s="1" t="s">
        <v>7286</v>
      </c>
      <c r="D20614" s="22" t="str">
        <f>HYPERLINK("https://rhld.insurance.arkansas.gov/NPILookup?Npi=1013141209","1013141209")</f>
        <v>1013141209</v>
      </c>
      <c r="E20614" s="1" t="s">
        <v>2338</v>
      </c>
      <c r="F20614" s="2"/>
      <c r="G20614" s="2"/>
      <c r="H20614" s="2"/>
    </row>
    <row r="20615" spans="1:8" x14ac:dyDescent="0.25">
      <c r="A20615" s="1"/>
      <c r="B20615" s="1" t="s">
        <v>7285</v>
      </c>
      <c r="C20615" s="1" t="s">
        <v>7286</v>
      </c>
      <c r="D20615" s="22" t="str">
        <f>HYPERLINK("https://rhld.insurance.arkansas.gov/NPILookup?Npi=1023097433","1023097433")</f>
        <v>1023097433</v>
      </c>
      <c r="E20615" s="1" t="s">
        <v>25051</v>
      </c>
      <c r="F20615" s="2"/>
      <c r="G20615" s="2"/>
      <c r="H20615" s="2"/>
    </row>
    <row r="20616" spans="1:8" x14ac:dyDescent="0.25">
      <c r="A20616" s="1"/>
      <c r="B20616" s="1" t="s">
        <v>7285</v>
      </c>
      <c r="C20616" s="1" t="s">
        <v>7286</v>
      </c>
      <c r="D20616" s="22" t="str">
        <f>HYPERLINK("https://rhld.insurance.arkansas.gov/NPILookup?Npi=1023538568","1023538568")</f>
        <v>1023538568</v>
      </c>
      <c r="E20616" s="1" t="s">
        <v>25052</v>
      </c>
      <c r="F20616" s="2"/>
      <c r="G20616" s="2"/>
      <c r="H20616" s="2"/>
    </row>
    <row r="20617" spans="1:8" x14ac:dyDescent="0.25">
      <c r="A20617" s="1"/>
      <c r="B20617" s="1" t="s">
        <v>7285</v>
      </c>
      <c r="C20617" s="1" t="s">
        <v>7286</v>
      </c>
      <c r="D20617" s="22" t="str">
        <f>HYPERLINK("https://rhld.insurance.arkansas.gov/NPILookup?Npi=1023547957","1023547957")</f>
        <v>1023547957</v>
      </c>
      <c r="E20617" s="1" t="s">
        <v>12557</v>
      </c>
      <c r="F20617" s="2"/>
      <c r="G20617" s="2"/>
      <c r="H20617" s="2"/>
    </row>
    <row r="20618" spans="1:8" x14ac:dyDescent="0.25">
      <c r="A20618" s="1"/>
      <c r="B20618" s="1" t="s">
        <v>7285</v>
      </c>
      <c r="C20618" s="1" t="s">
        <v>7286</v>
      </c>
      <c r="D20618" s="22" t="str">
        <f>HYPERLINK("https://rhld.insurance.arkansas.gov/NPILookup?Npi=1033182837","1033182837")</f>
        <v>1033182837</v>
      </c>
      <c r="E20618" s="1" t="s">
        <v>25053</v>
      </c>
      <c r="F20618" s="2"/>
      <c r="G20618" s="2"/>
      <c r="H20618" s="2"/>
    </row>
    <row r="20619" spans="1:8" x14ac:dyDescent="0.25">
      <c r="A20619" s="1"/>
      <c r="B20619" s="1" t="s">
        <v>7285</v>
      </c>
      <c r="C20619" s="1" t="s">
        <v>7286</v>
      </c>
      <c r="D20619" s="22" t="str">
        <f>HYPERLINK("https://rhld.insurance.arkansas.gov/NPILookup?Npi=1033432521","1033432521")</f>
        <v>1033432521</v>
      </c>
      <c r="E20619" s="1" t="s">
        <v>25054</v>
      </c>
      <c r="F20619" s="2"/>
      <c r="G20619" s="2"/>
      <c r="H20619" s="2"/>
    </row>
    <row r="20620" spans="1:8" x14ac:dyDescent="0.25">
      <c r="A20620" s="1"/>
      <c r="B20620" s="1" t="s">
        <v>7285</v>
      </c>
      <c r="C20620" s="1" t="s">
        <v>7286</v>
      </c>
      <c r="D20620" s="22" t="str">
        <f>HYPERLINK("https://rhld.insurance.arkansas.gov/NPILookup?Npi=1053311142","1053311142")</f>
        <v>1053311142</v>
      </c>
      <c r="E20620" s="1" t="s">
        <v>25055</v>
      </c>
      <c r="F20620" s="2"/>
      <c r="G20620" s="2"/>
      <c r="H20620" s="2"/>
    </row>
    <row r="20621" spans="1:8" x14ac:dyDescent="0.25">
      <c r="A20621" s="1"/>
      <c r="B20621" s="1" t="s">
        <v>7285</v>
      </c>
      <c r="C20621" s="1" t="s">
        <v>7286</v>
      </c>
      <c r="D20621" s="22" t="str">
        <f>HYPERLINK("https://rhld.insurance.arkansas.gov/NPILookup?Npi=1053311944","1053311944")</f>
        <v>1053311944</v>
      </c>
      <c r="E20621" s="1" t="s">
        <v>12558</v>
      </c>
      <c r="F20621" s="2"/>
      <c r="G20621" s="2"/>
      <c r="H20621" s="2"/>
    </row>
    <row r="20622" spans="1:8" x14ac:dyDescent="0.25">
      <c r="A20622" s="1"/>
      <c r="B20622" s="1" t="s">
        <v>7285</v>
      </c>
      <c r="C20622" s="1" t="s">
        <v>7286</v>
      </c>
      <c r="D20622" s="22" t="str">
        <f>HYPERLINK("https://rhld.insurance.arkansas.gov/NPILookup?Npi=1053372946","1053372946")</f>
        <v>1053372946</v>
      </c>
      <c r="E20622" s="1" t="s">
        <v>25056</v>
      </c>
      <c r="F20622" s="2"/>
      <c r="G20622" s="2"/>
      <c r="H20622" s="2"/>
    </row>
    <row r="20623" spans="1:8" x14ac:dyDescent="0.25">
      <c r="A20623" s="1"/>
      <c r="B20623" s="1" t="s">
        <v>7285</v>
      </c>
      <c r="C20623" s="1" t="s">
        <v>7286</v>
      </c>
      <c r="D20623" s="22" t="str">
        <f>HYPERLINK("https://rhld.insurance.arkansas.gov/NPILookup?Npi=1053678052","1053678052")</f>
        <v>1053678052</v>
      </c>
      <c r="E20623" s="1" t="s">
        <v>12559</v>
      </c>
      <c r="F20623" s="2"/>
      <c r="G20623" s="2"/>
      <c r="H20623" s="2"/>
    </row>
    <row r="20624" spans="1:8" x14ac:dyDescent="0.25">
      <c r="A20624" s="1"/>
      <c r="B20624" s="1" t="s">
        <v>7285</v>
      </c>
      <c r="C20624" s="1" t="s">
        <v>7286</v>
      </c>
      <c r="D20624" s="22" t="str">
        <f>HYPERLINK("https://rhld.insurance.arkansas.gov/NPILookup?Npi=1073764692","1073764692")</f>
        <v>1073764692</v>
      </c>
      <c r="E20624" s="1" t="s">
        <v>7287</v>
      </c>
      <c r="F20624" s="2"/>
      <c r="G20624" s="2"/>
      <c r="H20624" s="2"/>
    </row>
    <row r="20625" spans="1:8" x14ac:dyDescent="0.25">
      <c r="A20625" s="1"/>
      <c r="B20625" s="1" t="s">
        <v>7285</v>
      </c>
      <c r="C20625" s="1" t="s">
        <v>7286</v>
      </c>
      <c r="D20625" s="22" t="str">
        <f>HYPERLINK("https://rhld.insurance.arkansas.gov/NPILookup?Npi=1093949448","1093949448")</f>
        <v>1093949448</v>
      </c>
      <c r="E20625" s="1" t="s">
        <v>25057</v>
      </c>
      <c r="F20625" s="2"/>
      <c r="G20625" s="2"/>
      <c r="H20625" s="2"/>
    </row>
    <row r="20626" spans="1:8" x14ac:dyDescent="0.25">
      <c r="A20626" s="1"/>
      <c r="B20626" s="1" t="s">
        <v>7285</v>
      </c>
      <c r="C20626" s="1" t="s">
        <v>7286</v>
      </c>
      <c r="D20626" s="22" t="str">
        <f>HYPERLINK("https://rhld.insurance.arkansas.gov/NPILookup?Npi=1104842814","1104842814")</f>
        <v>1104842814</v>
      </c>
      <c r="E20626" s="1" t="s">
        <v>7288</v>
      </c>
      <c r="F20626" s="2"/>
      <c r="G20626" s="2"/>
      <c r="H20626" s="2"/>
    </row>
    <row r="20627" spans="1:8" x14ac:dyDescent="0.25">
      <c r="A20627" s="1"/>
      <c r="B20627" s="1" t="s">
        <v>7285</v>
      </c>
      <c r="C20627" s="1" t="s">
        <v>7286</v>
      </c>
      <c r="D20627" s="22" t="str">
        <f>HYPERLINK("https://rhld.insurance.arkansas.gov/NPILookup?Npi=1114160389","1114160389")</f>
        <v>1114160389</v>
      </c>
      <c r="E20627" s="1" t="s">
        <v>25058</v>
      </c>
      <c r="F20627" s="2"/>
      <c r="G20627" s="2"/>
      <c r="H20627" s="2"/>
    </row>
    <row r="20628" spans="1:8" x14ac:dyDescent="0.25">
      <c r="A20628" s="1"/>
      <c r="B20628" s="1" t="s">
        <v>7285</v>
      </c>
      <c r="C20628" s="1" t="s">
        <v>7286</v>
      </c>
      <c r="D20628" s="22" t="str">
        <f>HYPERLINK("https://rhld.insurance.arkansas.gov/NPILookup?Npi=1124178355","1124178355")</f>
        <v>1124178355</v>
      </c>
      <c r="E20628" s="1" t="s">
        <v>25059</v>
      </c>
      <c r="F20628" s="2"/>
      <c r="G20628" s="2"/>
      <c r="H20628" s="2"/>
    </row>
    <row r="20629" spans="1:8" x14ac:dyDescent="0.25">
      <c r="A20629" s="1"/>
      <c r="B20629" s="1" t="s">
        <v>7285</v>
      </c>
      <c r="C20629" s="1" t="s">
        <v>7286</v>
      </c>
      <c r="D20629" s="22" t="str">
        <f>HYPERLINK("https://rhld.insurance.arkansas.gov/NPILookup?Npi=1134125511","1134125511")</f>
        <v>1134125511</v>
      </c>
      <c r="E20629" s="1" t="s">
        <v>25060</v>
      </c>
      <c r="F20629" s="2"/>
      <c r="G20629" s="2"/>
      <c r="H20629" s="2"/>
    </row>
    <row r="20630" spans="1:8" x14ac:dyDescent="0.25">
      <c r="A20630" s="1"/>
      <c r="B20630" s="1" t="s">
        <v>7285</v>
      </c>
      <c r="C20630" s="1" t="s">
        <v>7286</v>
      </c>
      <c r="D20630" s="22" t="str">
        <f>HYPERLINK("https://rhld.insurance.arkansas.gov/NPILookup?Npi=1134290646","1134290646")</f>
        <v>1134290646</v>
      </c>
      <c r="E20630" s="1" t="s">
        <v>4541</v>
      </c>
      <c r="F20630" s="2"/>
      <c r="G20630" s="2"/>
      <c r="H20630" s="2"/>
    </row>
    <row r="20631" spans="1:8" x14ac:dyDescent="0.25">
      <c r="A20631" s="1"/>
      <c r="B20631" s="1" t="s">
        <v>7285</v>
      </c>
      <c r="C20631" s="1" t="s">
        <v>7286</v>
      </c>
      <c r="D20631" s="22" t="str">
        <f>HYPERLINK("https://rhld.insurance.arkansas.gov/NPILookup?Npi=1134652977","1134652977")</f>
        <v>1134652977</v>
      </c>
      <c r="E20631" s="1" t="s">
        <v>7289</v>
      </c>
      <c r="F20631" s="2"/>
      <c r="G20631" s="2"/>
      <c r="H20631" s="2"/>
    </row>
    <row r="20632" spans="1:8" x14ac:dyDescent="0.25">
      <c r="A20632" s="1"/>
      <c r="B20632" s="1" t="s">
        <v>7285</v>
      </c>
      <c r="C20632" s="1" t="s">
        <v>7286</v>
      </c>
      <c r="D20632" s="22" t="str">
        <f>HYPERLINK("https://rhld.insurance.arkansas.gov/NPILookup?Npi=1134681570","1134681570")</f>
        <v>1134681570</v>
      </c>
      <c r="E20632" s="1" t="s">
        <v>12560</v>
      </c>
      <c r="F20632" s="2"/>
      <c r="G20632" s="2"/>
      <c r="H20632" s="2"/>
    </row>
    <row r="20633" spans="1:8" x14ac:dyDescent="0.25">
      <c r="A20633" s="1"/>
      <c r="B20633" s="1" t="s">
        <v>7285</v>
      </c>
      <c r="C20633" s="1" t="s">
        <v>7286</v>
      </c>
      <c r="D20633" s="22" t="str">
        <f>HYPERLINK("https://rhld.insurance.arkansas.gov/NPILookup?Npi=1144220666","1144220666")</f>
        <v>1144220666</v>
      </c>
      <c r="E20633" s="1" t="s">
        <v>7290</v>
      </c>
      <c r="F20633" s="2"/>
      <c r="G20633" s="2"/>
      <c r="H20633" s="2"/>
    </row>
    <row r="20634" spans="1:8" x14ac:dyDescent="0.25">
      <c r="A20634" s="1"/>
      <c r="B20634" s="1" t="s">
        <v>7285</v>
      </c>
      <c r="C20634" s="1" t="s">
        <v>7286</v>
      </c>
      <c r="D20634" s="22" t="str">
        <f>HYPERLINK("https://rhld.insurance.arkansas.gov/NPILookup?Npi=1144312521","1144312521")</f>
        <v>1144312521</v>
      </c>
      <c r="E20634" s="1" t="s">
        <v>25061</v>
      </c>
      <c r="F20634" s="2"/>
      <c r="G20634" s="2"/>
      <c r="H20634" s="2"/>
    </row>
    <row r="20635" spans="1:8" x14ac:dyDescent="0.25">
      <c r="A20635" s="1"/>
      <c r="B20635" s="1" t="s">
        <v>7285</v>
      </c>
      <c r="C20635" s="1" t="s">
        <v>7286</v>
      </c>
      <c r="D20635" s="22" t="str">
        <f>HYPERLINK("https://rhld.insurance.arkansas.gov/NPILookup?Npi=1144341827","1144341827")</f>
        <v>1144341827</v>
      </c>
      <c r="E20635" s="1" t="s">
        <v>7291</v>
      </c>
      <c r="F20635" s="2"/>
      <c r="G20635" s="2"/>
      <c r="H20635" s="2"/>
    </row>
    <row r="20636" spans="1:8" x14ac:dyDescent="0.25">
      <c r="A20636" s="1"/>
      <c r="B20636" s="1" t="s">
        <v>7285</v>
      </c>
      <c r="C20636" s="1" t="s">
        <v>7286</v>
      </c>
      <c r="D20636" s="22" t="str">
        <f>HYPERLINK("https://rhld.insurance.arkansas.gov/NPILookup?Npi=1144674045","1144674045")</f>
        <v>1144674045</v>
      </c>
      <c r="E20636" s="1" t="s">
        <v>7292</v>
      </c>
      <c r="F20636" s="2"/>
      <c r="G20636" s="2"/>
      <c r="H20636" s="2"/>
    </row>
    <row r="20637" spans="1:8" x14ac:dyDescent="0.25">
      <c r="A20637" s="1"/>
      <c r="B20637" s="1" t="s">
        <v>7285</v>
      </c>
      <c r="C20637" s="1" t="s">
        <v>7286</v>
      </c>
      <c r="D20637" s="22" t="str">
        <f>HYPERLINK("https://rhld.insurance.arkansas.gov/NPILookup?Npi=1164460119","1164460119")</f>
        <v>1164460119</v>
      </c>
      <c r="E20637" s="1" t="s">
        <v>7293</v>
      </c>
      <c r="F20637" s="2"/>
      <c r="G20637" s="2"/>
      <c r="H20637" s="2"/>
    </row>
    <row r="20638" spans="1:8" x14ac:dyDescent="0.25">
      <c r="A20638" s="1"/>
      <c r="B20638" s="1" t="s">
        <v>7285</v>
      </c>
      <c r="C20638" s="1" t="s">
        <v>7286</v>
      </c>
      <c r="D20638" s="22" t="str">
        <f>HYPERLINK("https://rhld.insurance.arkansas.gov/NPILookup?Npi=1164492989","1164492989")</f>
        <v>1164492989</v>
      </c>
      <c r="E20638" s="1" t="s">
        <v>25062</v>
      </c>
      <c r="F20638" s="2"/>
      <c r="G20638" s="2"/>
      <c r="H20638" s="2"/>
    </row>
    <row r="20639" spans="1:8" x14ac:dyDescent="0.25">
      <c r="A20639" s="1"/>
      <c r="B20639" s="1" t="s">
        <v>7285</v>
      </c>
      <c r="C20639" s="1" t="s">
        <v>7286</v>
      </c>
      <c r="D20639" s="22" t="str">
        <f>HYPERLINK("https://rhld.insurance.arkansas.gov/NPILookup?Npi=1184756280","1184756280")</f>
        <v>1184756280</v>
      </c>
      <c r="E20639" s="1" t="s">
        <v>25063</v>
      </c>
      <c r="F20639" s="2"/>
      <c r="G20639" s="2"/>
      <c r="H20639" s="2"/>
    </row>
    <row r="20640" spans="1:8" x14ac:dyDescent="0.25">
      <c r="A20640" s="1"/>
      <c r="B20640" s="1" t="s">
        <v>7285</v>
      </c>
      <c r="C20640" s="1" t="s">
        <v>7286</v>
      </c>
      <c r="D20640" s="22" t="str">
        <f>HYPERLINK("https://rhld.insurance.arkansas.gov/NPILookup?Npi=1184793259","1184793259")</f>
        <v>1184793259</v>
      </c>
      <c r="E20640" s="1" t="s">
        <v>12561</v>
      </c>
      <c r="F20640" s="2"/>
      <c r="G20640" s="2"/>
      <c r="H20640" s="2"/>
    </row>
    <row r="20641" spans="1:8" x14ac:dyDescent="0.25">
      <c r="A20641" s="1"/>
      <c r="B20641" s="1" t="s">
        <v>7285</v>
      </c>
      <c r="C20641" s="1" t="s">
        <v>7286</v>
      </c>
      <c r="D20641" s="22" t="str">
        <f>HYPERLINK("https://rhld.insurance.arkansas.gov/NPILookup?Npi=1215376058","1215376058")</f>
        <v>1215376058</v>
      </c>
      <c r="E20641" s="1" t="s">
        <v>2144</v>
      </c>
      <c r="F20641" s="2"/>
      <c r="G20641" s="2"/>
      <c r="H20641" s="2"/>
    </row>
    <row r="20642" spans="1:8" x14ac:dyDescent="0.25">
      <c r="A20642" s="1"/>
      <c r="B20642" s="1" t="s">
        <v>7285</v>
      </c>
      <c r="C20642" s="1" t="s">
        <v>7286</v>
      </c>
      <c r="D20642" s="22" t="str">
        <f>HYPERLINK("https://rhld.insurance.arkansas.gov/NPILookup?Npi=1215931951","1215931951")</f>
        <v>1215931951</v>
      </c>
      <c r="E20642" s="1" t="s">
        <v>12562</v>
      </c>
      <c r="F20642" s="2"/>
      <c r="G20642" s="2"/>
      <c r="H20642" s="2"/>
    </row>
    <row r="20643" spans="1:8" x14ac:dyDescent="0.25">
      <c r="A20643" s="1"/>
      <c r="B20643" s="1" t="s">
        <v>7285</v>
      </c>
      <c r="C20643" s="1" t="s">
        <v>7286</v>
      </c>
      <c r="D20643" s="22" t="str">
        <f>HYPERLINK("https://rhld.insurance.arkansas.gov/NPILookup?Npi=1225038748","1225038748")</f>
        <v>1225038748</v>
      </c>
      <c r="E20643" s="1" t="s">
        <v>25064</v>
      </c>
      <c r="F20643" s="2"/>
      <c r="G20643" s="2"/>
      <c r="H20643" s="2"/>
    </row>
    <row r="20644" spans="1:8" x14ac:dyDescent="0.25">
      <c r="A20644" s="1"/>
      <c r="B20644" s="1" t="s">
        <v>7285</v>
      </c>
      <c r="C20644" s="1" t="s">
        <v>7286</v>
      </c>
      <c r="D20644" s="22" t="str">
        <f>HYPERLINK("https://rhld.insurance.arkansas.gov/NPILookup?Npi=1235131640","1235131640")</f>
        <v>1235131640</v>
      </c>
      <c r="E20644" s="1" t="s">
        <v>25065</v>
      </c>
      <c r="F20644" s="2"/>
      <c r="G20644" s="2"/>
      <c r="H20644" s="2"/>
    </row>
    <row r="20645" spans="1:8" x14ac:dyDescent="0.25">
      <c r="A20645" s="1"/>
      <c r="B20645" s="1" t="s">
        <v>7285</v>
      </c>
      <c r="C20645" s="1" t="s">
        <v>7286</v>
      </c>
      <c r="D20645" s="22" t="str">
        <f>HYPERLINK("https://rhld.insurance.arkansas.gov/NPILookup?Npi=1235176843","1235176843")</f>
        <v>1235176843</v>
      </c>
      <c r="E20645" s="1" t="s">
        <v>25066</v>
      </c>
      <c r="F20645" s="2"/>
      <c r="G20645" s="2"/>
      <c r="H20645" s="2"/>
    </row>
    <row r="20646" spans="1:8" x14ac:dyDescent="0.25">
      <c r="A20646" s="1"/>
      <c r="B20646" s="1" t="s">
        <v>7285</v>
      </c>
      <c r="C20646" s="1" t="s">
        <v>7286</v>
      </c>
      <c r="D20646" s="22" t="str">
        <f>HYPERLINK("https://rhld.insurance.arkansas.gov/NPILookup?Npi=1235314147","1235314147")</f>
        <v>1235314147</v>
      </c>
      <c r="E20646" s="1" t="s">
        <v>7294</v>
      </c>
      <c r="F20646" s="2"/>
      <c r="G20646" s="2"/>
      <c r="H20646" s="2"/>
    </row>
    <row r="20647" spans="1:8" x14ac:dyDescent="0.25">
      <c r="A20647" s="1"/>
      <c r="B20647" s="1" t="s">
        <v>7285</v>
      </c>
      <c r="C20647" s="1" t="s">
        <v>7286</v>
      </c>
      <c r="D20647" s="22" t="str">
        <f>HYPERLINK("https://rhld.insurance.arkansas.gov/NPILookup?Npi=1245227784","1245227784")</f>
        <v>1245227784</v>
      </c>
      <c r="E20647" s="1" t="s">
        <v>7295</v>
      </c>
      <c r="F20647" s="2"/>
      <c r="G20647" s="2"/>
      <c r="H20647" s="2"/>
    </row>
    <row r="20648" spans="1:8" x14ac:dyDescent="0.25">
      <c r="A20648" s="1"/>
      <c r="B20648" s="1" t="s">
        <v>7285</v>
      </c>
      <c r="C20648" s="1" t="s">
        <v>7286</v>
      </c>
      <c r="D20648" s="22" t="str">
        <f>HYPERLINK("https://rhld.insurance.arkansas.gov/NPILookup?Npi=1255473286","1255473286")</f>
        <v>1255473286</v>
      </c>
      <c r="E20648" s="1" t="s">
        <v>25067</v>
      </c>
      <c r="F20648" s="2"/>
      <c r="G20648" s="2"/>
      <c r="H20648" s="2"/>
    </row>
    <row r="20649" spans="1:8" x14ac:dyDescent="0.25">
      <c r="A20649" s="1"/>
      <c r="B20649" s="1" t="s">
        <v>7285</v>
      </c>
      <c r="C20649" s="1" t="s">
        <v>7286</v>
      </c>
      <c r="D20649" s="22" t="str">
        <f>HYPERLINK("https://rhld.insurance.arkansas.gov/NPILookup?Npi=1255513230","1255513230")</f>
        <v>1255513230</v>
      </c>
      <c r="E20649" s="1" t="s">
        <v>7296</v>
      </c>
      <c r="F20649" s="2"/>
      <c r="G20649" s="2"/>
      <c r="H20649" s="2"/>
    </row>
    <row r="20650" spans="1:8" x14ac:dyDescent="0.25">
      <c r="A20650" s="1"/>
      <c r="B20650" s="1" t="s">
        <v>7285</v>
      </c>
      <c r="C20650" s="1" t="s">
        <v>7286</v>
      </c>
      <c r="D20650" s="22" t="str">
        <f>HYPERLINK("https://rhld.insurance.arkansas.gov/NPILookup?Npi=1255711313","1255711313")</f>
        <v>1255711313</v>
      </c>
      <c r="E20650" s="1" t="s">
        <v>25068</v>
      </c>
      <c r="F20650" s="2"/>
      <c r="G20650" s="2"/>
      <c r="H20650" s="2"/>
    </row>
    <row r="20651" spans="1:8" x14ac:dyDescent="0.25">
      <c r="A20651" s="1"/>
      <c r="B20651" s="1" t="s">
        <v>7285</v>
      </c>
      <c r="C20651" s="1" t="s">
        <v>7286</v>
      </c>
      <c r="D20651" s="22" t="str">
        <f>HYPERLINK("https://rhld.insurance.arkansas.gov/NPILookup?Npi=1265425656","1265425656")</f>
        <v>1265425656</v>
      </c>
      <c r="E20651" s="1" t="s">
        <v>25069</v>
      </c>
      <c r="F20651" s="2"/>
      <c r="G20651" s="2"/>
      <c r="H20651" s="2"/>
    </row>
    <row r="20652" spans="1:8" x14ac:dyDescent="0.25">
      <c r="A20652" s="1"/>
      <c r="B20652" s="1" t="s">
        <v>7285</v>
      </c>
      <c r="C20652" s="1" t="s">
        <v>7286</v>
      </c>
      <c r="D20652" s="22" t="str">
        <f>HYPERLINK("https://rhld.insurance.arkansas.gov/NPILookup?Npi=1275521601","1275521601")</f>
        <v>1275521601</v>
      </c>
      <c r="E20652" s="1" t="s">
        <v>25070</v>
      </c>
      <c r="F20652" s="2"/>
      <c r="G20652" s="2"/>
      <c r="H20652" s="2"/>
    </row>
    <row r="20653" spans="1:8" x14ac:dyDescent="0.25">
      <c r="A20653" s="1"/>
      <c r="B20653" s="1" t="s">
        <v>7285</v>
      </c>
      <c r="C20653" s="1" t="s">
        <v>7286</v>
      </c>
      <c r="D20653" s="22" t="str">
        <f>HYPERLINK("https://rhld.insurance.arkansas.gov/NPILookup?Npi=1275676975","1275676975")</f>
        <v>1275676975</v>
      </c>
      <c r="E20653" s="1" t="s">
        <v>12563</v>
      </c>
      <c r="F20653" s="2"/>
      <c r="G20653" s="2"/>
      <c r="H20653" s="2"/>
    </row>
    <row r="20654" spans="1:8" x14ac:dyDescent="0.25">
      <c r="A20654" s="1"/>
      <c r="B20654" s="1" t="s">
        <v>7285</v>
      </c>
      <c r="C20654" s="1" t="s">
        <v>7286</v>
      </c>
      <c r="D20654" s="22" t="str">
        <f>HYPERLINK("https://rhld.insurance.arkansas.gov/NPILookup?Npi=1275736340","1275736340")</f>
        <v>1275736340</v>
      </c>
      <c r="E20654" s="1" t="s">
        <v>25071</v>
      </c>
      <c r="F20654" s="2"/>
      <c r="G20654" s="2"/>
      <c r="H20654" s="2"/>
    </row>
    <row r="20655" spans="1:8" x14ac:dyDescent="0.25">
      <c r="A20655" s="1"/>
      <c r="B20655" s="1" t="s">
        <v>7285</v>
      </c>
      <c r="C20655" s="1" t="s">
        <v>7286</v>
      </c>
      <c r="D20655" s="22" t="str">
        <f>HYPERLINK("https://rhld.insurance.arkansas.gov/NPILookup?Npi=1285046896","1285046896")</f>
        <v>1285046896</v>
      </c>
      <c r="E20655" s="1" t="s">
        <v>25072</v>
      </c>
      <c r="F20655" s="2"/>
      <c r="G20655" s="2"/>
      <c r="H20655" s="2"/>
    </row>
    <row r="20656" spans="1:8" x14ac:dyDescent="0.25">
      <c r="A20656" s="1"/>
      <c r="B20656" s="1" t="s">
        <v>7285</v>
      </c>
      <c r="C20656" s="1" t="s">
        <v>7286</v>
      </c>
      <c r="D20656" s="22" t="str">
        <f>HYPERLINK("https://rhld.insurance.arkansas.gov/NPILookup?Npi=1285696070","1285696070")</f>
        <v>1285696070</v>
      </c>
      <c r="E20656" s="1" t="s">
        <v>25073</v>
      </c>
      <c r="F20656" s="2"/>
      <c r="G20656" s="2"/>
      <c r="H20656" s="2"/>
    </row>
    <row r="20657" spans="1:8" x14ac:dyDescent="0.25">
      <c r="A20657" s="1"/>
      <c r="B20657" s="1" t="s">
        <v>7285</v>
      </c>
      <c r="C20657" s="1" t="s">
        <v>7286</v>
      </c>
      <c r="D20657" s="22" t="str">
        <f>HYPERLINK("https://rhld.insurance.arkansas.gov/NPILookup?Npi=1295780153","1295780153")</f>
        <v>1295780153</v>
      </c>
      <c r="E20657" s="1" t="s">
        <v>25074</v>
      </c>
      <c r="F20657" s="2"/>
      <c r="G20657" s="2"/>
      <c r="H20657" s="2"/>
    </row>
    <row r="20658" spans="1:8" x14ac:dyDescent="0.25">
      <c r="A20658" s="1"/>
      <c r="B20658" s="1" t="s">
        <v>7285</v>
      </c>
      <c r="C20658" s="1" t="s">
        <v>7286</v>
      </c>
      <c r="D20658" s="22" t="str">
        <f>HYPERLINK("https://rhld.insurance.arkansas.gov/NPILookup?Npi=1316150949","1316150949")</f>
        <v>1316150949</v>
      </c>
      <c r="E20658" s="1" t="s">
        <v>25075</v>
      </c>
      <c r="F20658" s="2"/>
      <c r="G20658" s="2"/>
      <c r="H20658" s="2"/>
    </row>
    <row r="20659" spans="1:8" x14ac:dyDescent="0.25">
      <c r="A20659" s="1"/>
      <c r="B20659" s="1" t="s">
        <v>7285</v>
      </c>
      <c r="C20659" s="1" t="s">
        <v>7286</v>
      </c>
      <c r="D20659" s="22" t="str">
        <f>HYPERLINK("https://rhld.insurance.arkansas.gov/NPILookup?Npi=1316931272","1316931272")</f>
        <v>1316931272</v>
      </c>
      <c r="E20659" s="1" t="s">
        <v>25076</v>
      </c>
      <c r="F20659" s="2"/>
      <c r="G20659" s="2"/>
      <c r="H20659" s="2"/>
    </row>
    <row r="20660" spans="1:8" x14ac:dyDescent="0.25">
      <c r="A20660" s="1"/>
      <c r="B20660" s="1" t="s">
        <v>7285</v>
      </c>
      <c r="C20660" s="1" t="s">
        <v>7286</v>
      </c>
      <c r="D20660" s="22" t="str">
        <f>HYPERLINK("https://rhld.insurance.arkansas.gov/NPILookup?Npi=1316956634","1316956634")</f>
        <v>1316956634</v>
      </c>
      <c r="E20660" s="1" t="s">
        <v>7297</v>
      </c>
      <c r="F20660" s="2"/>
      <c r="G20660" s="2"/>
      <c r="H20660" s="2"/>
    </row>
    <row r="20661" spans="1:8" x14ac:dyDescent="0.25">
      <c r="A20661" s="1"/>
      <c r="B20661" s="1" t="s">
        <v>7285</v>
      </c>
      <c r="C20661" s="1" t="s">
        <v>7286</v>
      </c>
      <c r="D20661" s="22" t="str">
        <f>HYPERLINK("https://rhld.insurance.arkansas.gov/NPILookup?Npi=1336135995","1336135995")</f>
        <v>1336135995</v>
      </c>
      <c r="E20661" s="1" t="s">
        <v>25077</v>
      </c>
      <c r="F20661" s="2"/>
      <c r="G20661" s="2"/>
      <c r="H20661" s="2"/>
    </row>
    <row r="20662" spans="1:8" x14ac:dyDescent="0.25">
      <c r="A20662" s="1"/>
      <c r="B20662" s="1" t="s">
        <v>7285</v>
      </c>
      <c r="C20662" s="1" t="s">
        <v>7286</v>
      </c>
      <c r="D20662" s="22" t="str">
        <f>HYPERLINK("https://rhld.insurance.arkansas.gov/NPILookup?Npi=1336162221","1336162221")</f>
        <v>1336162221</v>
      </c>
      <c r="E20662" s="1" t="s">
        <v>25078</v>
      </c>
      <c r="F20662" s="2"/>
      <c r="G20662" s="2"/>
      <c r="H20662" s="2"/>
    </row>
    <row r="20663" spans="1:8" x14ac:dyDescent="0.25">
      <c r="A20663" s="1"/>
      <c r="B20663" s="1" t="s">
        <v>7285</v>
      </c>
      <c r="C20663" s="1" t="s">
        <v>7286</v>
      </c>
      <c r="D20663" s="22" t="str">
        <f>HYPERLINK("https://rhld.insurance.arkansas.gov/NPILookup?Npi=1346246352","1346246352")</f>
        <v>1346246352</v>
      </c>
      <c r="E20663" s="1" t="s">
        <v>25079</v>
      </c>
      <c r="F20663" s="2"/>
      <c r="G20663" s="2"/>
      <c r="H20663" s="2"/>
    </row>
    <row r="20664" spans="1:8" x14ac:dyDescent="0.25">
      <c r="A20664" s="1"/>
      <c r="B20664" s="1" t="s">
        <v>7285</v>
      </c>
      <c r="C20664" s="1" t="s">
        <v>7286</v>
      </c>
      <c r="D20664" s="22" t="str">
        <f>HYPERLINK("https://rhld.insurance.arkansas.gov/NPILookup?Npi=1346651494","1346651494")</f>
        <v>1346651494</v>
      </c>
      <c r="E20664" s="1" t="s">
        <v>7298</v>
      </c>
      <c r="F20664" s="2"/>
      <c r="G20664" s="2"/>
      <c r="H20664" s="2"/>
    </row>
    <row r="20665" spans="1:8" x14ac:dyDescent="0.25">
      <c r="A20665" s="1"/>
      <c r="B20665" s="1" t="s">
        <v>7285</v>
      </c>
      <c r="C20665" s="1" t="s">
        <v>7286</v>
      </c>
      <c r="D20665" s="22" t="str">
        <f>HYPERLINK("https://rhld.insurance.arkansas.gov/NPILookup?Npi=1366001190","1366001190")</f>
        <v>1366001190</v>
      </c>
      <c r="E20665" s="1" t="s">
        <v>12564</v>
      </c>
      <c r="F20665" s="2"/>
      <c r="G20665" s="2"/>
      <c r="H20665" s="2"/>
    </row>
    <row r="20666" spans="1:8" x14ac:dyDescent="0.25">
      <c r="A20666" s="1"/>
      <c r="B20666" s="1" t="s">
        <v>7285</v>
      </c>
      <c r="C20666" s="1" t="s">
        <v>7286</v>
      </c>
      <c r="D20666" s="22" t="str">
        <f>HYPERLINK("https://rhld.insurance.arkansas.gov/NPILookup?Npi=1366499139","1366499139")</f>
        <v>1366499139</v>
      </c>
      <c r="E20666" s="1" t="s">
        <v>7299</v>
      </c>
      <c r="F20666" s="2"/>
      <c r="G20666" s="2"/>
      <c r="H20666" s="2"/>
    </row>
    <row r="20667" spans="1:8" x14ac:dyDescent="0.25">
      <c r="A20667" s="1"/>
      <c r="B20667" s="1" t="s">
        <v>7285</v>
      </c>
      <c r="C20667" s="1" t="s">
        <v>7286</v>
      </c>
      <c r="D20667" s="22" t="str">
        <f>HYPERLINK("https://rhld.insurance.arkansas.gov/NPILookup?Npi=1366753055","1366753055")</f>
        <v>1366753055</v>
      </c>
      <c r="E20667" s="1" t="s">
        <v>25080</v>
      </c>
      <c r="F20667" s="2"/>
      <c r="G20667" s="2"/>
      <c r="H20667" s="2"/>
    </row>
    <row r="20668" spans="1:8" x14ac:dyDescent="0.25">
      <c r="A20668" s="1"/>
      <c r="B20668" s="1" t="s">
        <v>7285</v>
      </c>
      <c r="C20668" s="1" t="s">
        <v>7286</v>
      </c>
      <c r="D20668" s="22" t="str">
        <f>HYPERLINK("https://rhld.insurance.arkansas.gov/NPILookup?Npi=1366829509","1366829509")</f>
        <v>1366829509</v>
      </c>
      <c r="E20668" s="1" t="s">
        <v>9935</v>
      </c>
      <c r="F20668" s="2"/>
      <c r="G20668" s="2"/>
      <c r="H20668" s="2"/>
    </row>
    <row r="20669" spans="1:8" x14ac:dyDescent="0.25">
      <c r="A20669" s="1"/>
      <c r="B20669" s="1" t="s">
        <v>7285</v>
      </c>
      <c r="C20669" s="1" t="s">
        <v>7286</v>
      </c>
      <c r="D20669" s="22" t="str">
        <f>HYPERLINK("https://rhld.insurance.arkansas.gov/NPILookup?Npi=1376168971","1376168971")</f>
        <v>1376168971</v>
      </c>
      <c r="E20669" s="1" t="s">
        <v>6517</v>
      </c>
      <c r="F20669" s="2"/>
      <c r="G20669" s="2"/>
      <c r="H20669" s="2"/>
    </row>
    <row r="20670" spans="1:8" x14ac:dyDescent="0.25">
      <c r="A20670" s="1"/>
      <c r="B20670" s="1" t="s">
        <v>7285</v>
      </c>
      <c r="C20670" s="1" t="s">
        <v>7286</v>
      </c>
      <c r="D20670" s="22" t="str">
        <f>HYPERLINK("https://rhld.insurance.arkansas.gov/NPILookup?Npi=1386045763","1386045763")</f>
        <v>1386045763</v>
      </c>
      <c r="E20670" s="1" t="s">
        <v>7300</v>
      </c>
      <c r="F20670" s="2"/>
      <c r="G20670" s="2"/>
      <c r="H20670" s="2"/>
    </row>
    <row r="20671" spans="1:8" x14ac:dyDescent="0.25">
      <c r="A20671" s="1"/>
      <c r="B20671" s="1" t="s">
        <v>7285</v>
      </c>
      <c r="C20671" s="1" t="s">
        <v>7286</v>
      </c>
      <c r="D20671" s="22" t="str">
        <f>HYPERLINK("https://rhld.insurance.arkansas.gov/NPILookup?Npi=1386639789","1386639789")</f>
        <v>1386639789</v>
      </c>
      <c r="E20671" s="1" t="s">
        <v>7301</v>
      </c>
      <c r="F20671" s="2"/>
      <c r="G20671" s="2"/>
      <c r="H20671" s="2"/>
    </row>
    <row r="20672" spans="1:8" x14ac:dyDescent="0.25">
      <c r="A20672" s="1"/>
      <c r="B20672" s="1" t="s">
        <v>7285</v>
      </c>
      <c r="C20672" s="1" t="s">
        <v>7286</v>
      </c>
      <c r="D20672" s="22" t="str">
        <f>HYPERLINK("https://rhld.insurance.arkansas.gov/NPILookup?Npi=1396744959","1396744959")</f>
        <v>1396744959</v>
      </c>
      <c r="E20672" s="1" t="s">
        <v>7302</v>
      </c>
      <c r="F20672" s="2"/>
      <c r="G20672" s="2"/>
      <c r="H20672" s="2"/>
    </row>
    <row r="20673" spans="1:8" x14ac:dyDescent="0.25">
      <c r="A20673" s="1"/>
      <c r="B20673" s="1" t="s">
        <v>7285</v>
      </c>
      <c r="C20673" s="1" t="s">
        <v>7286</v>
      </c>
      <c r="D20673" s="22" t="str">
        <f>HYPERLINK("https://rhld.insurance.arkansas.gov/NPILookup?Npi=1407814940","1407814940")</f>
        <v>1407814940</v>
      </c>
      <c r="E20673" s="1" t="s">
        <v>7303</v>
      </c>
      <c r="F20673" s="2"/>
      <c r="G20673" s="2"/>
      <c r="H20673" s="2"/>
    </row>
    <row r="20674" spans="1:8" x14ac:dyDescent="0.25">
      <c r="A20674" s="1"/>
      <c r="B20674" s="1" t="s">
        <v>7285</v>
      </c>
      <c r="C20674" s="1" t="s">
        <v>7286</v>
      </c>
      <c r="D20674" s="22" t="str">
        <f>HYPERLINK("https://rhld.insurance.arkansas.gov/NPILookup?Npi=1407907926","1407907926")</f>
        <v>1407907926</v>
      </c>
      <c r="E20674" s="1" t="s">
        <v>25081</v>
      </c>
      <c r="F20674" s="2"/>
      <c r="G20674" s="2"/>
      <c r="H20674" s="2"/>
    </row>
    <row r="20675" spans="1:8" x14ac:dyDescent="0.25">
      <c r="A20675" s="1"/>
      <c r="B20675" s="1" t="s">
        <v>7285</v>
      </c>
      <c r="C20675" s="1" t="s">
        <v>7286</v>
      </c>
      <c r="D20675" s="22" t="str">
        <f>HYPERLINK("https://rhld.insurance.arkansas.gov/NPILookup?Npi=1407953458","1407953458")</f>
        <v>1407953458</v>
      </c>
      <c r="E20675" s="1" t="s">
        <v>25082</v>
      </c>
      <c r="F20675" s="2"/>
      <c r="G20675" s="2"/>
      <c r="H20675" s="2"/>
    </row>
    <row r="20676" spans="1:8" x14ac:dyDescent="0.25">
      <c r="A20676" s="1"/>
      <c r="B20676" s="1" t="s">
        <v>7285</v>
      </c>
      <c r="C20676" s="1" t="s">
        <v>7286</v>
      </c>
      <c r="D20676" s="22" t="str">
        <f>HYPERLINK("https://rhld.insurance.arkansas.gov/NPILookup?Npi=1427031863","1427031863")</f>
        <v>1427031863</v>
      </c>
      <c r="E20676" s="1" t="s">
        <v>7304</v>
      </c>
      <c r="F20676" s="2"/>
      <c r="G20676" s="2"/>
      <c r="H20676" s="2"/>
    </row>
    <row r="20677" spans="1:8" x14ac:dyDescent="0.25">
      <c r="A20677" s="1"/>
      <c r="B20677" s="1" t="s">
        <v>7285</v>
      </c>
      <c r="C20677" s="1" t="s">
        <v>7286</v>
      </c>
      <c r="D20677" s="22" t="str">
        <f>HYPERLINK("https://rhld.insurance.arkansas.gov/NPILookup?Npi=1427044353","1427044353")</f>
        <v>1427044353</v>
      </c>
      <c r="E20677" s="1" t="s">
        <v>12565</v>
      </c>
      <c r="F20677" s="2"/>
      <c r="G20677" s="2"/>
      <c r="H20677" s="2"/>
    </row>
    <row r="20678" spans="1:8" x14ac:dyDescent="0.25">
      <c r="A20678" s="1"/>
      <c r="B20678" s="1" t="s">
        <v>7285</v>
      </c>
      <c r="C20678" s="1" t="s">
        <v>7286</v>
      </c>
      <c r="D20678" s="22" t="str">
        <f>HYPERLINK("https://rhld.insurance.arkansas.gov/NPILookup?Npi=1427140920","1427140920")</f>
        <v>1427140920</v>
      </c>
      <c r="E20678" s="1" t="s">
        <v>12566</v>
      </c>
      <c r="F20678" s="2"/>
      <c r="G20678" s="2"/>
      <c r="H20678" s="2"/>
    </row>
    <row r="20679" spans="1:8" x14ac:dyDescent="0.25">
      <c r="A20679" s="1"/>
      <c r="B20679" s="1" t="s">
        <v>7285</v>
      </c>
      <c r="C20679" s="1" t="s">
        <v>7286</v>
      </c>
      <c r="D20679" s="22" t="str">
        <f>HYPERLINK("https://rhld.insurance.arkansas.gov/NPILookup?Npi=1437113727","1437113727")</f>
        <v>1437113727</v>
      </c>
      <c r="E20679" s="1" t="s">
        <v>25083</v>
      </c>
      <c r="F20679" s="2"/>
      <c r="G20679" s="2"/>
      <c r="H20679" s="2"/>
    </row>
    <row r="20680" spans="1:8" x14ac:dyDescent="0.25">
      <c r="A20680" s="1"/>
      <c r="B20680" s="1" t="s">
        <v>7285</v>
      </c>
      <c r="C20680" s="1" t="s">
        <v>7286</v>
      </c>
      <c r="D20680" s="22" t="str">
        <f>HYPERLINK("https://rhld.insurance.arkansas.gov/NPILookup?Npi=1437142619","1437142619")</f>
        <v>1437142619</v>
      </c>
      <c r="E20680" s="1" t="s">
        <v>7305</v>
      </c>
      <c r="F20680" s="2"/>
      <c r="G20680" s="2"/>
      <c r="H20680" s="2"/>
    </row>
    <row r="20681" spans="1:8" x14ac:dyDescent="0.25">
      <c r="A20681" s="1"/>
      <c r="B20681" s="1" t="s">
        <v>7285</v>
      </c>
      <c r="C20681" s="1" t="s">
        <v>7286</v>
      </c>
      <c r="D20681" s="22" t="str">
        <f>HYPERLINK("https://rhld.insurance.arkansas.gov/NPILookup?Npi=1477644516","1477644516")</f>
        <v>1477644516</v>
      </c>
      <c r="E20681" s="1" t="s">
        <v>25084</v>
      </c>
      <c r="F20681" s="2"/>
      <c r="G20681" s="2"/>
      <c r="H20681" s="2"/>
    </row>
    <row r="20682" spans="1:8" x14ac:dyDescent="0.25">
      <c r="A20682" s="1"/>
      <c r="B20682" s="1" t="s">
        <v>7285</v>
      </c>
      <c r="C20682" s="1" t="s">
        <v>7286</v>
      </c>
      <c r="D20682" s="22" t="str">
        <f>HYPERLINK("https://rhld.insurance.arkansas.gov/NPILookup?Npi=1487733259","1487733259")</f>
        <v>1487733259</v>
      </c>
      <c r="E20682" s="1" t="s">
        <v>25085</v>
      </c>
      <c r="F20682" s="2"/>
      <c r="G20682" s="2"/>
      <c r="H20682" s="2"/>
    </row>
    <row r="20683" spans="1:8" x14ac:dyDescent="0.25">
      <c r="A20683" s="1"/>
      <c r="B20683" s="1" t="s">
        <v>7285</v>
      </c>
      <c r="C20683" s="1" t="s">
        <v>7286</v>
      </c>
      <c r="D20683" s="22" t="str">
        <f>HYPERLINK("https://rhld.insurance.arkansas.gov/NPILookup?Npi=1487771473","1487771473")</f>
        <v>1487771473</v>
      </c>
      <c r="E20683" s="1" t="s">
        <v>32071</v>
      </c>
      <c r="F20683" s="2"/>
      <c r="G20683" s="2"/>
      <c r="H20683" s="2"/>
    </row>
    <row r="20684" spans="1:8" x14ac:dyDescent="0.25">
      <c r="A20684" s="1"/>
      <c r="B20684" s="1" t="s">
        <v>7285</v>
      </c>
      <c r="C20684" s="1" t="s">
        <v>7286</v>
      </c>
      <c r="D20684" s="22" t="str">
        <f>HYPERLINK("https://rhld.insurance.arkansas.gov/NPILookup?Npi=1497008759","1497008759")</f>
        <v>1497008759</v>
      </c>
      <c r="E20684" s="1" t="s">
        <v>12567</v>
      </c>
      <c r="F20684" s="2"/>
      <c r="G20684" s="2"/>
      <c r="H20684" s="2"/>
    </row>
    <row r="20685" spans="1:8" x14ac:dyDescent="0.25">
      <c r="A20685" s="1"/>
      <c r="B20685" s="1" t="s">
        <v>7285</v>
      </c>
      <c r="C20685" s="1" t="s">
        <v>7286</v>
      </c>
      <c r="D20685" s="22" t="str">
        <f>HYPERLINK("https://rhld.insurance.arkansas.gov/NPILookup?Npi=1508838566","1508838566")</f>
        <v>1508838566</v>
      </c>
      <c r="E20685" s="1" t="s">
        <v>2870</v>
      </c>
      <c r="F20685" s="2"/>
      <c r="G20685" s="2"/>
      <c r="H20685" s="2"/>
    </row>
    <row r="20686" spans="1:8" x14ac:dyDescent="0.25">
      <c r="A20686" s="1"/>
      <c r="B20686" s="1" t="s">
        <v>7285</v>
      </c>
      <c r="C20686" s="1" t="s">
        <v>7286</v>
      </c>
      <c r="D20686" s="22" t="str">
        <f>HYPERLINK("https://rhld.insurance.arkansas.gov/NPILookup?Npi=1518259498","1518259498")</f>
        <v>1518259498</v>
      </c>
      <c r="E20686" s="1" t="s">
        <v>25086</v>
      </c>
      <c r="F20686" s="2"/>
      <c r="G20686" s="2"/>
      <c r="H20686" s="2"/>
    </row>
    <row r="20687" spans="1:8" x14ac:dyDescent="0.25">
      <c r="A20687" s="1"/>
      <c r="B20687" s="1" t="s">
        <v>7285</v>
      </c>
      <c r="C20687" s="1" t="s">
        <v>7286</v>
      </c>
      <c r="D20687" s="22" t="str">
        <f>HYPERLINK("https://rhld.insurance.arkansas.gov/NPILookup?Npi=1518999630","1518999630")</f>
        <v>1518999630</v>
      </c>
      <c r="E20687" s="1" t="s">
        <v>25087</v>
      </c>
      <c r="F20687" s="2"/>
      <c r="G20687" s="2"/>
      <c r="H20687" s="2"/>
    </row>
    <row r="20688" spans="1:8" x14ac:dyDescent="0.25">
      <c r="A20688" s="1"/>
      <c r="B20688" s="1" t="s">
        <v>7285</v>
      </c>
      <c r="C20688" s="1" t="s">
        <v>7286</v>
      </c>
      <c r="D20688" s="22" t="str">
        <f>HYPERLINK("https://rhld.insurance.arkansas.gov/NPILookup?Npi=1528251956","1528251956")</f>
        <v>1528251956</v>
      </c>
      <c r="E20688" s="1" t="s">
        <v>7306</v>
      </c>
      <c r="F20688" s="2"/>
      <c r="G20688" s="2"/>
      <c r="H20688" s="2"/>
    </row>
    <row r="20689" spans="1:8" x14ac:dyDescent="0.25">
      <c r="A20689" s="1"/>
      <c r="B20689" s="1" t="s">
        <v>7285</v>
      </c>
      <c r="C20689" s="1" t="s">
        <v>7286</v>
      </c>
      <c r="D20689" s="22" t="str">
        <f>HYPERLINK("https://rhld.insurance.arkansas.gov/NPILookup?Npi=1528687274","1528687274")</f>
        <v>1528687274</v>
      </c>
      <c r="E20689" s="1" t="s">
        <v>12568</v>
      </c>
      <c r="F20689" s="2"/>
      <c r="G20689" s="2"/>
      <c r="H20689" s="2"/>
    </row>
    <row r="20690" spans="1:8" x14ac:dyDescent="0.25">
      <c r="A20690" s="1"/>
      <c r="B20690" s="1" t="s">
        <v>7285</v>
      </c>
      <c r="C20690" s="1" t="s">
        <v>7286</v>
      </c>
      <c r="D20690" s="22" t="str">
        <f>HYPERLINK("https://rhld.insurance.arkansas.gov/NPILookup?Npi=1558920918","1558920918")</f>
        <v>1558920918</v>
      </c>
      <c r="E20690" s="1" t="s">
        <v>25088</v>
      </c>
      <c r="F20690" s="2"/>
      <c r="G20690" s="2"/>
      <c r="H20690" s="2"/>
    </row>
    <row r="20691" spans="1:8" x14ac:dyDescent="0.25">
      <c r="A20691" s="1"/>
      <c r="B20691" s="1" t="s">
        <v>7285</v>
      </c>
      <c r="C20691" s="1" t="s">
        <v>7286</v>
      </c>
      <c r="D20691" s="22" t="str">
        <f>HYPERLINK("https://rhld.insurance.arkansas.gov/NPILookup?Npi=1568485787","1568485787")</f>
        <v>1568485787</v>
      </c>
      <c r="E20691" s="1" t="s">
        <v>25089</v>
      </c>
      <c r="F20691" s="2"/>
      <c r="G20691" s="2"/>
      <c r="H20691" s="2"/>
    </row>
    <row r="20692" spans="1:8" x14ac:dyDescent="0.25">
      <c r="A20692" s="1"/>
      <c r="B20692" s="1" t="s">
        <v>7285</v>
      </c>
      <c r="C20692" s="1" t="s">
        <v>7286</v>
      </c>
      <c r="D20692" s="22" t="str">
        <f>HYPERLINK("https://rhld.insurance.arkansas.gov/NPILookup?Npi=1568496172","1568496172")</f>
        <v>1568496172</v>
      </c>
      <c r="E20692" s="1" t="s">
        <v>12569</v>
      </c>
      <c r="F20692" s="2"/>
      <c r="G20692" s="2"/>
      <c r="H20692" s="2"/>
    </row>
    <row r="20693" spans="1:8" x14ac:dyDescent="0.25">
      <c r="A20693" s="1"/>
      <c r="B20693" s="1" t="s">
        <v>7285</v>
      </c>
      <c r="C20693" s="1" t="s">
        <v>7286</v>
      </c>
      <c r="D20693" s="22" t="str">
        <f>HYPERLINK("https://rhld.insurance.arkansas.gov/NPILookup?Npi=1568716744","1568716744")</f>
        <v>1568716744</v>
      </c>
      <c r="E20693" s="1" t="s">
        <v>25090</v>
      </c>
      <c r="F20693" s="2"/>
      <c r="G20693" s="2"/>
      <c r="H20693" s="2"/>
    </row>
    <row r="20694" spans="1:8" x14ac:dyDescent="0.25">
      <c r="A20694" s="1"/>
      <c r="B20694" s="1" t="s">
        <v>7285</v>
      </c>
      <c r="C20694" s="1" t="s">
        <v>7286</v>
      </c>
      <c r="D20694" s="22" t="str">
        <f>HYPERLINK("https://rhld.insurance.arkansas.gov/NPILookup?Npi=1588292296","1588292296")</f>
        <v>1588292296</v>
      </c>
      <c r="E20694" s="1" t="s">
        <v>7307</v>
      </c>
      <c r="F20694" s="2"/>
      <c r="G20694" s="2"/>
      <c r="H20694" s="2"/>
    </row>
    <row r="20695" spans="1:8" x14ac:dyDescent="0.25">
      <c r="A20695" s="1"/>
      <c r="B20695" s="1" t="s">
        <v>7285</v>
      </c>
      <c r="C20695" s="1" t="s">
        <v>7286</v>
      </c>
      <c r="D20695" s="22" t="str">
        <f>HYPERLINK("https://rhld.insurance.arkansas.gov/NPILookup?Npi=1588667414","1588667414")</f>
        <v>1588667414</v>
      </c>
      <c r="E20695" s="1" t="s">
        <v>25091</v>
      </c>
      <c r="F20695" s="2"/>
      <c r="G20695" s="2"/>
      <c r="H20695" s="2"/>
    </row>
    <row r="20696" spans="1:8" x14ac:dyDescent="0.25">
      <c r="A20696" s="1"/>
      <c r="B20696" s="1" t="s">
        <v>7285</v>
      </c>
      <c r="C20696" s="1" t="s">
        <v>7286</v>
      </c>
      <c r="D20696" s="22" t="str">
        <f>HYPERLINK("https://rhld.insurance.arkansas.gov/NPILookup?Npi=1588827109","1588827109")</f>
        <v>1588827109</v>
      </c>
      <c r="E20696" s="1" t="s">
        <v>25092</v>
      </c>
      <c r="F20696" s="2"/>
      <c r="G20696" s="2"/>
      <c r="H20696" s="2"/>
    </row>
    <row r="20697" spans="1:8" x14ac:dyDescent="0.25">
      <c r="A20697" s="1"/>
      <c r="B20697" s="1" t="s">
        <v>7285</v>
      </c>
      <c r="C20697" s="1" t="s">
        <v>7286</v>
      </c>
      <c r="D20697" s="22" t="str">
        <f>HYPERLINK("https://rhld.insurance.arkansas.gov/NPILookup?Npi=1588839534","1588839534")</f>
        <v>1588839534</v>
      </c>
      <c r="E20697" s="1" t="s">
        <v>25093</v>
      </c>
      <c r="F20697" s="2"/>
      <c r="G20697" s="2"/>
      <c r="H20697" s="2"/>
    </row>
    <row r="20698" spans="1:8" x14ac:dyDescent="0.25">
      <c r="A20698" s="1"/>
      <c r="B20698" s="1" t="s">
        <v>7285</v>
      </c>
      <c r="C20698" s="1" t="s">
        <v>7286</v>
      </c>
      <c r="D20698" s="22" t="str">
        <f>HYPERLINK("https://rhld.insurance.arkansas.gov/NPILookup?Npi=1598257271","1598257271")</f>
        <v>1598257271</v>
      </c>
      <c r="E20698" s="1" t="s">
        <v>25094</v>
      </c>
      <c r="F20698" s="2"/>
      <c r="G20698" s="2"/>
      <c r="H20698" s="2"/>
    </row>
    <row r="20699" spans="1:8" x14ac:dyDescent="0.25">
      <c r="A20699" s="1"/>
      <c r="B20699" s="1" t="s">
        <v>7285</v>
      </c>
      <c r="C20699" s="1" t="s">
        <v>7286</v>
      </c>
      <c r="D20699" s="22" t="str">
        <f>HYPERLINK("https://rhld.insurance.arkansas.gov/NPILookup?Npi=1609288984","1609288984")</f>
        <v>1609288984</v>
      </c>
      <c r="E20699" s="1" t="s">
        <v>25095</v>
      </c>
      <c r="F20699" s="2"/>
      <c r="G20699" s="2"/>
      <c r="H20699" s="2"/>
    </row>
    <row r="20700" spans="1:8" x14ac:dyDescent="0.25">
      <c r="A20700" s="1"/>
      <c r="B20700" s="1" t="s">
        <v>7285</v>
      </c>
      <c r="C20700" s="1" t="s">
        <v>7286</v>
      </c>
      <c r="D20700" s="22" t="str">
        <f>HYPERLINK("https://rhld.insurance.arkansas.gov/NPILookup?Npi=1609846427","1609846427")</f>
        <v>1609846427</v>
      </c>
      <c r="E20700" s="1" t="s">
        <v>25096</v>
      </c>
      <c r="F20700" s="2"/>
      <c r="G20700" s="2"/>
      <c r="H20700" s="2"/>
    </row>
    <row r="20701" spans="1:8" x14ac:dyDescent="0.25">
      <c r="A20701" s="1"/>
      <c r="B20701" s="1" t="s">
        <v>7285</v>
      </c>
      <c r="C20701" s="1" t="s">
        <v>7286</v>
      </c>
      <c r="D20701" s="22" t="str">
        <f>HYPERLINK("https://rhld.insurance.arkansas.gov/NPILookup?Npi=1619062023","1619062023")</f>
        <v>1619062023</v>
      </c>
      <c r="E20701" s="1" t="s">
        <v>7308</v>
      </c>
      <c r="F20701" s="2"/>
      <c r="G20701" s="2"/>
      <c r="H20701" s="2"/>
    </row>
    <row r="20702" spans="1:8" x14ac:dyDescent="0.25">
      <c r="A20702" s="1"/>
      <c r="B20702" s="1" t="s">
        <v>7285</v>
      </c>
      <c r="C20702" s="1" t="s">
        <v>7286</v>
      </c>
      <c r="D20702" s="22" t="str">
        <f>HYPERLINK("https://rhld.insurance.arkansas.gov/NPILookup?Npi=1619912110","1619912110")</f>
        <v>1619912110</v>
      </c>
      <c r="E20702" s="1" t="s">
        <v>25097</v>
      </c>
      <c r="F20702" s="2"/>
      <c r="G20702" s="2"/>
      <c r="H20702" s="2"/>
    </row>
    <row r="20703" spans="1:8" x14ac:dyDescent="0.25">
      <c r="A20703" s="1"/>
      <c r="B20703" s="1" t="s">
        <v>7285</v>
      </c>
      <c r="C20703" s="1" t="s">
        <v>7286</v>
      </c>
      <c r="D20703" s="22" t="str">
        <f>HYPERLINK("https://rhld.insurance.arkansas.gov/NPILookup?Npi=1619977022","1619977022")</f>
        <v>1619977022</v>
      </c>
      <c r="E20703" s="1" t="s">
        <v>12570</v>
      </c>
      <c r="F20703" s="2"/>
      <c r="G20703" s="2"/>
      <c r="H20703" s="2"/>
    </row>
    <row r="20704" spans="1:8" x14ac:dyDescent="0.25">
      <c r="A20704" s="1"/>
      <c r="B20704" s="1" t="s">
        <v>7285</v>
      </c>
      <c r="C20704" s="1" t="s">
        <v>7286</v>
      </c>
      <c r="D20704" s="22" t="str">
        <f>HYPERLINK("https://rhld.insurance.arkansas.gov/NPILookup?Npi=1629048111","1629048111")</f>
        <v>1629048111</v>
      </c>
      <c r="E20704" s="1" t="s">
        <v>7309</v>
      </c>
      <c r="F20704" s="2"/>
      <c r="G20704" s="2"/>
      <c r="H20704" s="2"/>
    </row>
    <row r="20705" spans="1:8" x14ac:dyDescent="0.25">
      <c r="A20705" s="1"/>
      <c r="B20705" s="1" t="s">
        <v>7285</v>
      </c>
      <c r="C20705" s="1" t="s">
        <v>7286</v>
      </c>
      <c r="D20705" s="22" t="str">
        <f>HYPERLINK("https://rhld.insurance.arkansas.gov/NPILookup?Npi=1639238181","1639238181")</f>
        <v>1639238181</v>
      </c>
      <c r="E20705" s="1" t="s">
        <v>12571</v>
      </c>
      <c r="F20705" s="2"/>
      <c r="G20705" s="2"/>
      <c r="H20705" s="2"/>
    </row>
    <row r="20706" spans="1:8" x14ac:dyDescent="0.25">
      <c r="A20706" s="1"/>
      <c r="B20706" s="1" t="s">
        <v>7285</v>
      </c>
      <c r="C20706" s="1" t="s">
        <v>7286</v>
      </c>
      <c r="D20706" s="22" t="str">
        <f>HYPERLINK("https://rhld.insurance.arkansas.gov/NPILookup?Npi=1639345242","1639345242")</f>
        <v>1639345242</v>
      </c>
      <c r="E20706" s="1" t="s">
        <v>25098</v>
      </c>
      <c r="F20706" s="2"/>
      <c r="G20706" s="2"/>
      <c r="H20706" s="2"/>
    </row>
    <row r="20707" spans="1:8" x14ac:dyDescent="0.25">
      <c r="A20707" s="1"/>
      <c r="B20707" s="1" t="s">
        <v>7285</v>
      </c>
      <c r="C20707" s="1" t="s">
        <v>7286</v>
      </c>
      <c r="D20707" s="22" t="str">
        <f>HYPERLINK("https://rhld.insurance.arkansas.gov/NPILookup?Npi=1639347073","1639347073")</f>
        <v>1639347073</v>
      </c>
      <c r="E20707" s="1" t="s">
        <v>7310</v>
      </c>
      <c r="F20707" s="2"/>
      <c r="G20707" s="2"/>
      <c r="H20707" s="2"/>
    </row>
    <row r="20708" spans="1:8" x14ac:dyDescent="0.25">
      <c r="A20708" s="1"/>
      <c r="B20708" s="1" t="s">
        <v>7285</v>
      </c>
      <c r="C20708" s="1" t="s">
        <v>7286</v>
      </c>
      <c r="D20708" s="22" t="str">
        <f>HYPERLINK("https://rhld.insurance.arkansas.gov/NPILookup?Npi=1639732126","1639732126")</f>
        <v>1639732126</v>
      </c>
      <c r="E20708" s="1" t="s">
        <v>25099</v>
      </c>
      <c r="F20708" s="2"/>
      <c r="G20708" s="2"/>
      <c r="H20708" s="2"/>
    </row>
    <row r="20709" spans="1:8" x14ac:dyDescent="0.25">
      <c r="A20709" s="1"/>
      <c r="B20709" s="1" t="s">
        <v>7285</v>
      </c>
      <c r="C20709" s="1" t="s">
        <v>7286</v>
      </c>
      <c r="D20709" s="22" t="str">
        <f>HYPERLINK("https://rhld.insurance.arkansas.gov/NPILookup?Npi=1649254228","1649254228")</f>
        <v>1649254228</v>
      </c>
      <c r="E20709" s="1" t="s">
        <v>25100</v>
      </c>
      <c r="F20709" s="2"/>
      <c r="G20709" s="2"/>
      <c r="H20709" s="2"/>
    </row>
    <row r="20710" spans="1:8" x14ac:dyDescent="0.25">
      <c r="A20710" s="1"/>
      <c r="B20710" s="1" t="s">
        <v>7285</v>
      </c>
      <c r="C20710" s="1" t="s">
        <v>7286</v>
      </c>
      <c r="D20710" s="22" t="str">
        <f>HYPERLINK("https://rhld.insurance.arkansas.gov/NPILookup?Npi=1649275058","1649275058")</f>
        <v>1649275058</v>
      </c>
      <c r="E20710" s="1" t="s">
        <v>25101</v>
      </c>
      <c r="F20710" s="2"/>
      <c r="G20710" s="2"/>
      <c r="H20710" s="2"/>
    </row>
    <row r="20711" spans="1:8" x14ac:dyDescent="0.25">
      <c r="A20711" s="1"/>
      <c r="B20711" s="1" t="s">
        <v>7285</v>
      </c>
      <c r="C20711" s="1" t="s">
        <v>7286</v>
      </c>
      <c r="D20711" s="22" t="str">
        <f>HYPERLINK("https://rhld.insurance.arkansas.gov/NPILookup?Npi=1649667817","1649667817")</f>
        <v>1649667817</v>
      </c>
      <c r="E20711" s="1" t="s">
        <v>7311</v>
      </c>
      <c r="F20711" s="2"/>
      <c r="G20711" s="2"/>
      <c r="H20711" s="2"/>
    </row>
    <row r="20712" spans="1:8" x14ac:dyDescent="0.25">
      <c r="A20712" s="1"/>
      <c r="B20712" s="1" t="s">
        <v>7285</v>
      </c>
      <c r="C20712" s="1" t="s">
        <v>7286</v>
      </c>
      <c r="D20712" s="22" t="str">
        <f>HYPERLINK("https://rhld.insurance.arkansas.gov/NPILookup?Npi=1659877884","1659877884")</f>
        <v>1659877884</v>
      </c>
      <c r="E20712" s="1" t="s">
        <v>4625</v>
      </c>
      <c r="F20712" s="2"/>
      <c r="G20712" s="2"/>
      <c r="H20712" s="2"/>
    </row>
    <row r="20713" spans="1:8" x14ac:dyDescent="0.25">
      <c r="A20713" s="1"/>
      <c r="B20713" s="1" t="s">
        <v>7285</v>
      </c>
      <c r="C20713" s="1" t="s">
        <v>7286</v>
      </c>
      <c r="D20713" s="22" t="str">
        <f>HYPERLINK("https://rhld.insurance.arkansas.gov/NPILookup?Npi=1679701429","1679701429")</f>
        <v>1679701429</v>
      </c>
      <c r="E20713" s="1" t="s">
        <v>25102</v>
      </c>
      <c r="F20713" s="2"/>
      <c r="G20713" s="2"/>
      <c r="H20713" s="2"/>
    </row>
    <row r="20714" spans="1:8" x14ac:dyDescent="0.25">
      <c r="A20714" s="1"/>
      <c r="B20714" s="1" t="s">
        <v>7285</v>
      </c>
      <c r="C20714" s="1" t="s">
        <v>7286</v>
      </c>
      <c r="D20714" s="22" t="str">
        <f>HYPERLINK("https://rhld.insurance.arkansas.gov/NPILookup?Npi=1689642019","1689642019")</f>
        <v>1689642019</v>
      </c>
      <c r="E20714" s="1" t="s">
        <v>25103</v>
      </c>
      <c r="F20714" s="2"/>
      <c r="G20714" s="2"/>
      <c r="H20714" s="2"/>
    </row>
    <row r="20715" spans="1:8" x14ac:dyDescent="0.25">
      <c r="A20715" s="1"/>
      <c r="B20715" s="1" t="s">
        <v>7285</v>
      </c>
      <c r="C20715" s="1" t="s">
        <v>7286</v>
      </c>
      <c r="D20715" s="22" t="str">
        <f>HYPERLINK("https://rhld.insurance.arkansas.gov/NPILookup?Npi=1699778407","1699778407")</f>
        <v>1699778407</v>
      </c>
      <c r="E20715" s="1" t="s">
        <v>12572</v>
      </c>
      <c r="F20715" s="2"/>
      <c r="G20715" s="2"/>
      <c r="H20715" s="2"/>
    </row>
    <row r="20716" spans="1:8" x14ac:dyDescent="0.25">
      <c r="A20716" s="1"/>
      <c r="B20716" s="1" t="s">
        <v>7285</v>
      </c>
      <c r="C20716" s="1" t="s">
        <v>7286</v>
      </c>
      <c r="D20716" s="22" t="str">
        <f>HYPERLINK("https://rhld.insurance.arkansas.gov/NPILookup?Npi=1700349669","1700349669")</f>
        <v>1700349669</v>
      </c>
      <c r="E20716" s="1" t="s">
        <v>25104</v>
      </c>
      <c r="F20716" s="2"/>
      <c r="G20716" s="2"/>
      <c r="H20716" s="2"/>
    </row>
    <row r="20717" spans="1:8" x14ac:dyDescent="0.25">
      <c r="A20717" s="1"/>
      <c r="B20717" s="1" t="s">
        <v>7285</v>
      </c>
      <c r="C20717" s="1" t="s">
        <v>7286</v>
      </c>
      <c r="D20717" s="22" t="str">
        <f>HYPERLINK("https://rhld.insurance.arkansas.gov/NPILookup?Npi=1710418876","1710418876")</f>
        <v>1710418876</v>
      </c>
      <c r="E20717" s="1" t="s">
        <v>12573</v>
      </c>
      <c r="F20717" s="2"/>
      <c r="G20717" s="2"/>
      <c r="H20717" s="2"/>
    </row>
    <row r="20718" spans="1:8" x14ac:dyDescent="0.25">
      <c r="A20718" s="1"/>
      <c r="B20718" s="1" t="s">
        <v>7285</v>
      </c>
      <c r="C20718" s="1" t="s">
        <v>7286</v>
      </c>
      <c r="D20718" s="22" t="str">
        <f>HYPERLINK("https://rhld.insurance.arkansas.gov/NPILookup?Npi=1710981519","1710981519")</f>
        <v>1710981519</v>
      </c>
      <c r="E20718" s="1" t="s">
        <v>7312</v>
      </c>
      <c r="F20718" s="2"/>
      <c r="G20718" s="2"/>
      <c r="H20718" s="2"/>
    </row>
    <row r="20719" spans="1:8" x14ac:dyDescent="0.25">
      <c r="A20719" s="1"/>
      <c r="B20719" s="1" t="s">
        <v>7285</v>
      </c>
      <c r="C20719" s="1" t="s">
        <v>7286</v>
      </c>
      <c r="D20719" s="22" t="str">
        <f>HYPERLINK("https://rhld.insurance.arkansas.gov/NPILookup?Npi=1720071970","1720071970")</f>
        <v>1720071970</v>
      </c>
      <c r="E20719" s="1" t="s">
        <v>25105</v>
      </c>
      <c r="F20719" s="2"/>
      <c r="G20719" s="2"/>
      <c r="H20719" s="2"/>
    </row>
    <row r="20720" spans="1:8" x14ac:dyDescent="0.25">
      <c r="A20720" s="1"/>
      <c r="B20720" s="1" t="s">
        <v>7285</v>
      </c>
      <c r="C20720" s="1" t="s">
        <v>7286</v>
      </c>
      <c r="D20720" s="22" t="str">
        <f>HYPERLINK("https://rhld.insurance.arkansas.gov/NPILookup?Npi=1720083033","1720083033")</f>
        <v>1720083033</v>
      </c>
      <c r="E20720" s="1" t="s">
        <v>25106</v>
      </c>
      <c r="F20720" s="2"/>
      <c r="G20720" s="2"/>
      <c r="H20720" s="2"/>
    </row>
    <row r="20721" spans="1:8" x14ac:dyDescent="0.25">
      <c r="A20721" s="1"/>
      <c r="B20721" s="1" t="s">
        <v>7285</v>
      </c>
      <c r="C20721" s="1" t="s">
        <v>7286</v>
      </c>
      <c r="D20721" s="22" t="str">
        <f>HYPERLINK("https://rhld.insurance.arkansas.gov/NPILookup?Npi=1750305892","1750305892")</f>
        <v>1750305892</v>
      </c>
      <c r="E20721" s="1" t="s">
        <v>7313</v>
      </c>
      <c r="F20721" s="2"/>
      <c r="G20721" s="2"/>
      <c r="H20721" s="2"/>
    </row>
    <row r="20722" spans="1:8" x14ac:dyDescent="0.25">
      <c r="A20722" s="1"/>
      <c r="B20722" s="1" t="s">
        <v>7285</v>
      </c>
      <c r="C20722" s="1" t="s">
        <v>7286</v>
      </c>
      <c r="D20722" s="22" t="str">
        <f>HYPERLINK("https://rhld.insurance.arkansas.gov/NPILookup?Npi=1750312369","1750312369")</f>
        <v>1750312369</v>
      </c>
      <c r="E20722" s="1" t="s">
        <v>7314</v>
      </c>
      <c r="F20722" s="2"/>
      <c r="G20722" s="2"/>
      <c r="H20722" s="2"/>
    </row>
    <row r="20723" spans="1:8" x14ac:dyDescent="0.25">
      <c r="A20723" s="1"/>
      <c r="B20723" s="1" t="s">
        <v>7285</v>
      </c>
      <c r="C20723" s="1" t="s">
        <v>7286</v>
      </c>
      <c r="D20723" s="22" t="str">
        <f>HYPERLINK("https://rhld.insurance.arkansas.gov/NPILookup?Npi=1760613004","1760613004")</f>
        <v>1760613004</v>
      </c>
      <c r="E20723" s="1" t="s">
        <v>25107</v>
      </c>
      <c r="F20723" s="2"/>
      <c r="G20723" s="2"/>
      <c r="H20723" s="2"/>
    </row>
    <row r="20724" spans="1:8" x14ac:dyDescent="0.25">
      <c r="A20724" s="1"/>
      <c r="B20724" s="1" t="s">
        <v>7285</v>
      </c>
      <c r="C20724" s="1" t="s">
        <v>7286</v>
      </c>
      <c r="D20724" s="22" t="str">
        <f>HYPERLINK("https://rhld.insurance.arkansas.gov/NPILookup?Npi=1760826887","1760826887")</f>
        <v>1760826887</v>
      </c>
      <c r="E20724" s="1" t="s">
        <v>25108</v>
      </c>
      <c r="F20724" s="2"/>
      <c r="G20724" s="2"/>
      <c r="H20724" s="2"/>
    </row>
    <row r="20725" spans="1:8" x14ac:dyDescent="0.25">
      <c r="A20725" s="1"/>
      <c r="B20725" s="1" t="s">
        <v>7285</v>
      </c>
      <c r="C20725" s="1" t="s">
        <v>7286</v>
      </c>
      <c r="D20725" s="22" t="str">
        <f>HYPERLINK("https://rhld.insurance.arkansas.gov/NPILookup?Npi=1760975916","1760975916")</f>
        <v>1760975916</v>
      </c>
      <c r="E20725" s="1" t="s">
        <v>25109</v>
      </c>
      <c r="F20725" s="2"/>
      <c r="G20725" s="2"/>
      <c r="H20725" s="2"/>
    </row>
    <row r="20726" spans="1:8" x14ac:dyDescent="0.25">
      <c r="A20726" s="1"/>
      <c r="B20726" s="1" t="s">
        <v>7285</v>
      </c>
      <c r="C20726" s="1" t="s">
        <v>7286</v>
      </c>
      <c r="D20726" s="22" t="str">
        <f>HYPERLINK("https://rhld.insurance.arkansas.gov/NPILookup?Npi=1770013245","1770013245")</f>
        <v>1770013245</v>
      </c>
      <c r="E20726" s="1" t="s">
        <v>7315</v>
      </c>
      <c r="F20726" s="2"/>
      <c r="G20726" s="2"/>
      <c r="H20726" s="2"/>
    </row>
    <row r="20727" spans="1:8" x14ac:dyDescent="0.25">
      <c r="A20727" s="1"/>
      <c r="B20727" s="1" t="s">
        <v>7285</v>
      </c>
      <c r="C20727" s="1" t="s">
        <v>7286</v>
      </c>
      <c r="D20727" s="22" t="str">
        <f>HYPERLINK("https://rhld.insurance.arkansas.gov/NPILookup?Npi=1770581357","1770581357")</f>
        <v>1770581357</v>
      </c>
      <c r="E20727" s="1" t="s">
        <v>7316</v>
      </c>
      <c r="F20727" s="2"/>
      <c r="G20727" s="2"/>
      <c r="H20727" s="2"/>
    </row>
    <row r="20728" spans="1:8" x14ac:dyDescent="0.25">
      <c r="A20728" s="1"/>
      <c r="B20728" s="1" t="s">
        <v>7285</v>
      </c>
      <c r="C20728" s="1" t="s">
        <v>7286</v>
      </c>
      <c r="D20728" s="22" t="str">
        <f>HYPERLINK("https://rhld.insurance.arkansas.gov/NPILookup?Npi=1780632273","1780632273")</f>
        <v>1780632273</v>
      </c>
      <c r="E20728" s="1" t="s">
        <v>12574</v>
      </c>
      <c r="F20728" s="2"/>
      <c r="G20728" s="2"/>
      <c r="H20728" s="2"/>
    </row>
    <row r="20729" spans="1:8" x14ac:dyDescent="0.25">
      <c r="A20729" s="1"/>
      <c r="B20729" s="1" t="s">
        <v>7285</v>
      </c>
      <c r="C20729" s="1" t="s">
        <v>7286</v>
      </c>
      <c r="D20729" s="22" t="str">
        <f>HYPERLINK("https://rhld.insurance.arkansas.gov/NPILookup?Npi=1780667188","1780667188")</f>
        <v>1780667188</v>
      </c>
      <c r="E20729" s="1" t="s">
        <v>25110</v>
      </c>
      <c r="F20729" s="2"/>
      <c r="G20729" s="2"/>
      <c r="H20729" s="2"/>
    </row>
    <row r="20730" spans="1:8" x14ac:dyDescent="0.25">
      <c r="A20730" s="1"/>
      <c r="B20730" s="1" t="s">
        <v>7285</v>
      </c>
      <c r="C20730" s="1" t="s">
        <v>7286</v>
      </c>
      <c r="D20730" s="22" t="str">
        <f>HYPERLINK("https://rhld.insurance.arkansas.gov/NPILookup?Npi=1801867122","1801867122")</f>
        <v>1801867122</v>
      </c>
      <c r="E20730" s="1" t="s">
        <v>7317</v>
      </c>
      <c r="F20730" s="2"/>
      <c r="G20730" s="2"/>
      <c r="H20730" s="2"/>
    </row>
    <row r="20731" spans="1:8" x14ac:dyDescent="0.25">
      <c r="A20731" s="1"/>
      <c r="B20731" s="1" t="s">
        <v>7285</v>
      </c>
      <c r="C20731" s="1" t="s">
        <v>7286</v>
      </c>
      <c r="D20731" s="22" t="str">
        <f>HYPERLINK("https://rhld.insurance.arkansas.gov/NPILookup?Npi=1811973225","1811973225")</f>
        <v>1811973225</v>
      </c>
      <c r="E20731" s="1" t="s">
        <v>7318</v>
      </c>
      <c r="F20731" s="2"/>
      <c r="G20731" s="2"/>
      <c r="H20731" s="2"/>
    </row>
    <row r="20732" spans="1:8" x14ac:dyDescent="0.25">
      <c r="A20732" s="1"/>
      <c r="B20732" s="1" t="s">
        <v>7285</v>
      </c>
      <c r="C20732" s="1" t="s">
        <v>7286</v>
      </c>
      <c r="D20732" s="22" t="str">
        <f>HYPERLINK("https://rhld.insurance.arkansas.gov/NPILookup?Npi=1821108051","1821108051")</f>
        <v>1821108051</v>
      </c>
      <c r="E20732" s="1" t="s">
        <v>25111</v>
      </c>
      <c r="F20732" s="2"/>
      <c r="G20732" s="2"/>
      <c r="H20732" s="2"/>
    </row>
    <row r="20733" spans="1:8" x14ac:dyDescent="0.25">
      <c r="A20733" s="1"/>
      <c r="B20733" s="1" t="s">
        <v>7285</v>
      </c>
      <c r="C20733" s="1" t="s">
        <v>7286</v>
      </c>
      <c r="D20733" s="22" t="str">
        <f>HYPERLINK("https://rhld.insurance.arkansas.gov/NPILookup?Npi=1831119676","1831119676")</f>
        <v>1831119676</v>
      </c>
      <c r="E20733" s="1" t="s">
        <v>25112</v>
      </c>
      <c r="F20733" s="2"/>
      <c r="G20733" s="2"/>
      <c r="H20733" s="2"/>
    </row>
    <row r="20734" spans="1:8" x14ac:dyDescent="0.25">
      <c r="A20734" s="1"/>
      <c r="B20734" s="1" t="s">
        <v>7285</v>
      </c>
      <c r="C20734" s="1" t="s">
        <v>7286</v>
      </c>
      <c r="D20734" s="22" t="str">
        <f>HYPERLINK("https://rhld.insurance.arkansas.gov/NPILookup?Npi=1831481035","1831481035")</f>
        <v>1831481035</v>
      </c>
      <c r="E20734" s="1" t="s">
        <v>25113</v>
      </c>
      <c r="F20734" s="2"/>
      <c r="G20734" s="2"/>
      <c r="H20734" s="2"/>
    </row>
    <row r="20735" spans="1:8" x14ac:dyDescent="0.25">
      <c r="A20735" s="1"/>
      <c r="B20735" s="1" t="s">
        <v>7285</v>
      </c>
      <c r="C20735" s="1" t="s">
        <v>7286</v>
      </c>
      <c r="D20735" s="22" t="str">
        <f>HYPERLINK("https://rhld.insurance.arkansas.gov/NPILookup?Npi=1841236668","1841236668")</f>
        <v>1841236668</v>
      </c>
      <c r="E20735" s="1" t="s">
        <v>7319</v>
      </c>
      <c r="F20735" s="2"/>
      <c r="G20735" s="2"/>
      <c r="H20735" s="2"/>
    </row>
    <row r="20736" spans="1:8" x14ac:dyDescent="0.25">
      <c r="A20736" s="1"/>
      <c r="B20736" s="1" t="s">
        <v>7285</v>
      </c>
      <c r="C20736" s="1" t="s">
        <v>7286</v>
      </c>
      <c r="D20736" s="22" t="str">
        <f>HYPERLINK("https://rhld.insurance.arkansas.gov/NPILookup?Npi=1851644033","1851644033")</f>
        <v>1851644033</v>
      </c>
      <c r="E20736" s="1" t="s">
        <v>25114</v>
      </c>
      <c r="F20736" s="2"/>
      <c r="G20736" s="2"/>
      <c r="H20736" s="2"/>
    </row>
    <row r="20737" spans="1:8" x14ac:dyDescent="0.25">
      <c r="A20737" s="1"/>
      <c r="B20737" s="1" t="s">
        <v>7285</v>
      </c>
      <c r="C20737" s="1" t="s">
        <v>7286</v>
      </c>
      <c r="D20737" s="22" t="str">
        <f>HYPERLINK("https://rhld.insurance.arkansas.gov/NPILookup?Npi=1861021339","1861021339")</f>
        <v>1861021339</v>
      </c>
      <c r="E20737" s="1" t="s">
        <v>25115</v>
      </c>
      <c r="F20737" s="2"/>
      <c r="G20737" s="2"/>
      <c r="H20737" s="2"/>
    </row>
    <row r="20738" spans="1:8" x14ac:dyDescent="0.25">
      <c r="A20738" s="1"/>
      <c r="B20738" s="1" t="s">
        <v>7285</v>
      </c>
      <c r="C20738" s="1" t="s">
        <v>7286</v>
      </c>
      <c r="D20738" s="22" t="str">
        <f>HYPERLINK("https://rhld.insurance.arkansas.gov/NPILookup?Npi=1861436875","1861436875")</f>
        <v>1861436875</v>
      </c>
      <c r="E20738" s="1" t="s">
        <v>12575</v>
      </c>
      <c r="F20738" s="2"/>
      <c r="G20738" s="2"/>
      <c r="H20738" s="2"/>
    </row>
    <row r="20739" spans="1:8" x14ac:dyDescent="0.25">
      <c r="A20739" s="1"/>
      <c r="B20739" s="1" t="s">
        <v>7285</v>
      </c>
      <c r="C20739" s="1" t="s">
        <v>7286</v>
      </c>
      <c r="D20739" s="22" t="str">
        <f>HYPERLINK("https://rhld.insurance.arkansas.gov/NPILookup?Npi=1891109963","1891109963")</f>
        <v>1891109963</v>
      </c>
      <c r="E20739" s="1" t="s">
        <v>7320</v>
      </c>
      <c r="F20739" s="2"/>
      <c r="G20739" s="2"/>
      <c r="H20739" s="2"/>
    </row>
    <row r="20740" spans="1:8" x14ac:dyDescent="0.25">
      <c r="A20740" s="1"/>
      <c r="B20740" s="1" t="s">
        <v>7285</v>
      </c>
      <c r="C20740" s="1" t="s">
        <v>7286</v>
      </c>
      <c r="D20740" s="22" t="str">
        <f>HYPERLINK("https://rhld.insurance.arkansas.gov/NPILookup?Npi=1891743241","1891743241")</f>
        <v>1891743241</v>
      </c>
      <c r="E20740" s="1" t="s">
        <v>25116</v>
      </c>
      <c r="F20740" s="2"/>
      <c r="G20740" s="2"/>
      <c r="H20740" s="2"/>
    </row>
    <row r="20741" spans="1:8" x14ac:dyDescent="0.25">
      <c r="A20741" s="1"/>
      <c r="B20741" s="1" t="s">
        <v>7285</v>
      </c>
      <c r="C20741" s="1" t="s">
        <v>7286</v>
      </c>
      <c r="D20741" s="22" t="str">
        <f>HYPERLINK("https://rhld.insurance.arkansas.gov/NPILookup?Npi=1891789301","1891789301")</f>
        <v>1891789301</v>
      </c>
      <c r="E20741" s="1" t="s">
        <v>7321</v>
      </c>
      <c r="F20741" s="2"/>
      <c r="G20741" s="2"/>
      <c r="H20741" s="2"/>
    </row>
    <row r="20742" spans="1:8" x14ac:dyDescent="0.25">
      <c r="A20742" s="1"/>
      <c r="B20742" s="1" t="s">
        <v>7285</v>
      </c>
      <c r="C20742" s="1" t="s">
        <v>7286</v>
      </c>
      <c r="D20742" s="22" t="str">
        <f>HYPERLINK("https://rhld.insurance.arkansas.gov/NPILookup?Npi=1902239486","1902239486")</f>
        <v>1902239486</v>
      </c>
      <c r="E20742" s="1" t="s">
        <v>7322</v>
      </c>
      <c r="F20742" s="2"/>
      <c r="G20742" s="2"/>
      <c r="H20742" s="2"/>
    </row>
    <row r="20743" spans="1:8" x14ac:dyDescent="0.25">
      <c r="A20743" s="1"/>
      <c r="B20743" s="1" t="s">
        <v>7285</v>
      </c>
      <c r="C20743" s="1" t="s">
        <v>7286</v>
      </c>
      <c r="D20743" s="22" t="str">
        <f>HYPERLINK("https://rhld.insurance.arkansas.gov/NPILookup?Npi=1902338320","1902338320")</f>
        <v>1902338320</v>
      </c>
      <c r="E20743" s="1" t="s">
        <v>25117</v>
      </c>
      <c r="F20743" s="2"/>
      <c r="G20743" s="2"/>
      <c r="H20743" s="2"/>
    </row>
    <row r="20744" spans="1:8" x14ac:dyDescent="0.25">
      <c r="A20744" s="1"/>
      <c r="B20744" s="1" t="s">
        <v>7285</v>
      </c>
      <c r="C20744" s="1" t="s">
        <v>7286</v>
      </c>
      <c r="D20744" s="22" t="str">
        <f>HYPERLINK("https://rhld.insurance.arkansas.gov/NPILookup?Npi=1922032028","1922032028")</f>
        <v>1922032028</v>
      </c>
      <c r="E20744" s="1" t="s">
        <v>7323</v>
      </c>
      <c r="F20744" s="2"/>
      <c r="G20744" s="2"/>
      <c r="H20744" s="2"/>
    </row>
    <row r="20745" spans="1:8" x14ac:dyDescent="0.25">
      <c r="A20745" s="1"/>
      <c r="B20745" s="1" t="s">
        <v>7285</v>
      </c>
      <c r="C20745" s="1" t="s">
        <v>7286</v>
      </c>
      <c r="D20745" s="22" t="str">
        <f>HYPERLINK("https://rhld.insurance.arkansas.gov/NPILookup?Npi=1922056431","1922056431")</f>
        <v>1922056431</v>
      </c>
      <c r="E20745" s="1" t="s">
        <v>7324</v>
      </c>
      <c r="F20745" s="2"/>
      <c r="G20745" s="2"/>
      <c r="H20745" s="2"/>
    </row>
    <row r="20746" spans="1:8" x14ac:dyDescent="0.25">
      <c r="A20746" s="1"/>
      <c r="B20746" s="1" t="s">
        <v>7285</v>
      </c>
      <c r="C20746" s="1" t="s">
        <v>7286</v>
      </c>
      <c r="D20746" s="22" t="str">
        <f>HYPERLINK("https://rhld.insurance.arkansas.gov/NPILookup?Npi=1922388206","1922388206")</f>
        <v>1922388206</v>
      </c>
      <c r="E20746" s="1" t="s">
        <v>25118</v>
      </c>
      <c r="F20746" s="2"/>
      <c r="G20746" s="2"/>
      <c r="H20746" s="2"/>
    </row>
    <row r="20747" spans="1:8" x14ac:dyDescent="0.25">
      <c r="A20747" s="1"/>
      <c r="B20747" s="1" t="s">
        <v>7285</v>
      </c>
      <c r="C20747" s="1" t="s">
        <v>7286</v>
      </c>
      <c r="D20747" s="22" t="str">
        <f>HYPERLINK("https://rhld.insurance.arkansas.gov/NPILookup?Npi=1932337664","1932337664")</f>
        <v>1932337664</v>
      </c>
      <c r="E20747" s="1" t="s">
        <v>25119</v>
      </c>
      <c r="F20747" s="2"/>
      <c r="G20747" s="2"/>
      <c r="H20747" s="2"/>
    </row>
    <row r="20748" spans="1:8" x14ac:dyDescent="0.25">
      <c r="A20748" s="1"/>
      <c r="B20748" s="1" t="s">
        <v>7285</v>
      </c>
      <c r="C20748" s="1" t="s">
        <v>7286</v>
      </c>
      <c r="D20748" s="22" t="str">
        <f>HYPERLINK("https://rhld.insurance.arkansas.gov/NPILookup?Npi=1952371445","1952371445")</f>
        <v>1952371445</v>
      </c>
      <c r="E20748" s="1" t="s">
        <v>7325</v>
      </c>
      <c r="F20748" s="2"/>
      <c r="G20748" s="2"/>
      <c r="H20748" s="2"/>
    </row>
    <row r="20749" spans="1:8" x14ac:dyDescent="0.25">
      <c r="A20749" s="1"/>
      <c r="B20749" s="1" t="s">
        <v>7285</v>
      </c>
      <c r="C20749" s="1" t="s">
        <v>7286</v>
      </c>
      <c r="D20749" s="22" t="str">
        <f>HYPERLINK("https://rhld.insurance.arkansas.gov/NPILookup?Npi=1952612731","1952612731")</f>
        <v>1952612731</v>
      </c>
      <c r="E20749" s="1" t="s">
        <v>25120</v>
      </c>
      <c r="F20749" s="2"/>
      <c r="G20749" s="2"/>
      <c r="H20749" s="2"/>
    </row>
    <row r="20750" spans="1:8" x14ac:dyDescent="0.25">
      <c r="A20750" s="1"/>
      <c r="B20750" s="1" t="s">
        <v>7285</v>
      </c>
      <c r="C20750" s="1" t="s">
        <v>7286</v>
      </c>
      <c r="D20750" s="22" t="str">
        <f>HYPERLINK("https://rhld.insurance.arkansas.gov/NPILookup?Npi=1952613671","1952613671")</f>
        <v>1952613671</v>
      </c>
      <c r="E20750" s="1" t="s">
        <v>25121</v>
      </c>
      <c r="F20750" s="2"/>
      <c r="G20750" s="2"/>
      <c r="H20750" s="2"/>
    </row>
    <row r="20751" spans="1:8" x14ac:dyDescent="0.25">
      <c r="A20751" s="1"/>
      <c r="B20751" s="1" t="s">
        <v>7285</v>
      </c>
      <c r="C20751" s="1" t="s">
        <v>7286</v>
      </c>
      <c r="D20751" s="22" t="str">
        <f>HYPERLINK("https://rhld.insurance.arkansas.gov/NPILookup?Npi=1962408674","1962408674")</f>
        <v>1962408674</v>
      </c>
      <c r="E20751" s="1" t="s">
        <v>25122</v>
      </c>
      <c r="F20751" s="2"/>
      <c r="G20751" s="2"/>
      <c r="H20751" s="2"/>
    </row>
    <row r="20752" spans="1:8" x14ac:dyDescent="0.25">
      <c r="A20752" s="1"/>
      <c r="B20752" s="1" t="s">
        <v>7285</v>
      </c>
      <c r="C20752" s="1" t="s">
        <v>7286</v>
      </c>
      <c r="D20752" s="22" t="str">
        <f>HYPERLINK("https://rhld.insurance.arkansas.gov/NPILookup?Npi=1962922666","1962922666")</f>
        <v>1962922666</v>
      </c>
      <c r="E20752" s="1" t="s">
        <v>7326</v>
      </c>
      <c r="F20752" s="2"/>
      <c r="G20752" s="2"/>
      <c r="H20752" s="2"/>
    </row>
    <row r="20753" spans="1:8" x14ac:dyDescent="0.25">
      <c r="A20753" s="1"/>
      <c r="B20753" s="1" t="s">
        <v>7285</v>
      </c>
      <c r="C20753" s="1" t="s">
        <v>7286</v>
      </c>
      <c r="D20753" s="22" t="str">
        <f>HYPERLINK("https://rhld.insurance.arkansas.gov/NPILookup?Npi=1982109112","1982109112")</f>
        <v>1982109112</v>
      </c>
      <c r="E20753" s="1" t="s">
        <v>12576</v>
      </c>
      <c r="F20753" s="2"/>
      <c r="G20753" s="2"/>
      <c r="H20753" s="2"/>
    </row>
    <row r="20754" spans="1:8" x14ac:dyDescent="0.25">
      <c r="A20754" s="1"/>
      <c r="B20754" s="1" t="s">
        <v>7285</v>
      </c>
      <c r="C20754" s="1" t="s">
        <v>7286</v>
      </c>
      <c r="D20754" s="22" t="str">
        <f>HYPERLINK("https://rhld.insurance.arkansas.gov/NPILookup?Npi=1992049720","1992049720")</f>
        <v>1992049720</v>
      </c>
      <c r="E20754" s="1" t="s">
        <v>7327</v>
      </c>
      <c r="F20754" s="2"/>
      <c r="G20754" s="2"/>
      <c r="H20754" s="2"/>
    </row>
    <row r="20755" spans="1:8" x14ac:dyDescent="0.25">
      <c r="A20755" s="1"/>
      <c r="B20755" s="1" t="s">
        <v>7285</v>
      </c>
      <c r="C20755" s="1" t="s">
        <v>7286</v>
      </c>
      <c r="D20755" s="22" t="str">
        <f>HYPERLINK("https://rhld.insurance.arkansas.gov/NPILookup?Npi=1992200331","1992200331")</f>
        <v>1992200331</v>
      </c>
      <c r="E20755" s="1" t="s">
        <v>12577</v>
      </c>
      <c r="F20755" s="2"/>
      <c r="G20755" s="2"/>
      <c r="H20755" s="2"/>
    </row>
    <row r="20756" spans="1:8" x14ac:dyDescent="0.25">
      <c r="A20756" s="1"/>
      <c r="B20756" s="1" t="s">
        <v>7285</v>
      </c>
      <c r="C20756" s="1" t="s">
        <v>7286</v>
      </c>
      <c r="D20756" s="22" t="str">
        <f>HYPERLINK("https://rhld.insurance.arkansas.gov/NPILookup?Npi=1992784631","1992784631")</f>
        <v>1992784631</v>
      </c>
      <c r="E20756" s="1" t="s">
        <v>12578</v>
      </c>
      <c r="F20756" s="2"/>
      <c r="G20756" s="2"/>
      <c r="H20756" s="2"/>
    </row>
    <row r="20757" spans="1:8" x14ac:dyDescent="0.25">
      <c r="A20757" s="1"/>
      <c r="B20757" s="1" t="s">
        <v>7328</v>
      </c>
      <c r="C20757" s="1" t="s">
        <v>7329</v>
      </c>
      <c r="D20757" s="22" t="str">
        <f>HYPERLINK("https://rhld.insurance.arkansas.gov/NPILookup?Npi=1003002510","1003002510")</f>
        <v>1003002510</v>
      </c>
      <c r="E20757" s="1" t="s">
        <v>1944</v>
      </c>
      <c r="F20757" s="2"/>
      <c r="G20757" s="2"/>
      <c r="H20757" s="2"/>
    </row>
    <row r="20758" spans="1:8" x14ac:dyDescent="0.25">
      <c r="A20758" s="1"/>
      <c r="B20758" s="1" t="s">
        <v>7328</v>
      </c>
      <c r="C20758" s="1" t="s">
        <v>7329</v>
      </c>
      <c r="D20758" s="22" t="str">
        <f>HYPERLINK("https://rhld.insurance.arkansas.gov/NPILookup?Npi=1003015348","1003015348")</f>
        <v>1003015348</v>
      </c>
      <c r="E20758" s="1" t="s">
        <v>25123</v>
      </c>
      <c r="F20758" s="2"/>
      <c r="G20758" s="2"/>
      <c r="H20758" s="2"/>
    </row>
    <row r="20759" spans="1:8" x14ac:dyDescent="0.25">
      <c r="A20759" s="1"/>
      <c r="B20759" s="1" t="s">
        <v>7328</v>
      </c>
      <c r="C20759" s="1" t="s">
        <v>7329</v>
      </c>
      <c r="D20759" s="22" t="str">
        <f>HYPERLINK("https://rhld.insurance.arkansas.gov/NPILookup?Npi=1003028820","1003028820")</f>
        <v>1003028820</v>
      </c>
      <c r="E20759" s="1" t="s">
        <v>25124</v>
      </c>
      <c r="F20759" s="2"/>
      <c r="G20759" s="2"/>
      <c r="H20759" s="2"/>
    </row>
    <row r="20760" spans="1:8" x14ac:dyDescent="0.25">
      <c r="A20760" s="1"/>
      <c r="B20760" s="1" t="s">
        <v>7328</v>
      </c>
      <c r="C20760" s="1" t="s">
        <v>7329</v>
      </c>
      <c r="D20760" s="22" t="str">
        <f>HYPERLINK("https://rhld.insurance.arkansas.gov/NPILookup?Npi=1003038167","1003038167")</f>
        <v>1003038167</v>
      </c>
      <c r="E20760" s="1" t="s">
        <v>1945</v>
      </c>
      <c r="F20760" s="2"/>
      <c r="G20760" s="2"/>
      <c r="H20760" s="2"/>
    </row>
    <row r="20761" spans="1:8" x14ac:dyDescent="0.25">
      <c r="A20761" s="1"/>
      <c r="B20761" s="1" t="s">
        <v>7328</v>
      </c>
      <c r="C20761" s="1" t="s">
        <v>7329</v>
      </c>
      <c r="D20761" s="22" t="str">
        <f>HYPERLINK("https://rhld.insurance.arkansas.gov/NPILookup?Npi=1003083205","1003083205")</f>
        <v>1003083205</v>
      </c>
      <c r="E20761" s="1" t="s">
        <v>1077</v>
      </c>
      <c r="F20761" s="2"/>
      <c r="G20761" s="2"/>
      <c r="H20761" s="2"/>
    </row>
    <row r="20762" spans="1:8" x14ac:dyDescent="0.25">
      <c r="A20762" s="1"/>
      <c r="B20762" s="1" t="s">
        <v>7328</v>
      </c>
      <c r="C20762" s="1" t="s">
        <v>7329</v>
      </c>
      <c r="D20762" s="22" t="str">
        <f>HYPERLINK("https://rhld.insurance.arkansas.gov/NPILookup?Npi=1003084336","1003084336")</f>
        <v>1003084336</v>
      </c>
      <c r="E20762" s="1" t="s">
        <v>823</v>
      </c>
      <c r="F20762" s="2"/>
      <c r="G20762" s="2"/>
      <c r="H20762" s="2"/>
    </row>
    <row r="20763" spans="1:8" x14ac:dyDescent="0.25">
      <c r="A20763" s="1"/>
      <c r="B20763" s="1" t="s">
        <v>7328</v>
      </c>
      <c r="C20763" s="1" t="s">
        <v>7329</v>
      </c>
      <c r="D20763" s="22" t="str">
        <f>HYPERLINK("https://rhld.insurance.arkansas.gov/NPILookup?Npi=1003103490","1003103490")</f>
        <v>1003103490</v>
      </c>
      <c r="E20763" s="1" t="s">
        <v>12579</v>
      </c>
      <c r="F20763" s="2"/>
      <c r="G20763" s="2"/>
      <c r="H20763" s="2"/>
    </row>
    <row r="20764" spans="1:8" x14ac:dyDescent="0.25">
      <c r="A20764" s="1"/>
      <c r="B20764" s="1" t="s">
        <v>7328</v>
      </c>
      <c r="C20764" s="1" t="s">
        <v>7329</v>
      </c>
      <c r="D20764" s="22" t="str">
        <f>HYPERLINK("https://rhld.insurance.arkansas.gov/NPILookup?Npi=1003117656","1003117656")</f>
        <v>1003117656</v>
      </c>
      <c r="E20764" s="1" t="s">
        <v>25126</v>
      </c>
      <c r="F20764" s="2"/>
      <c r="G20764" s="2"/>
      <c r="H20764" s="2"/>
    </row>
    <row r="20765" spans="1:8" x14ac:dyDescent="0.25">
      <c r="A20765" s="1"/>
      <c r="B20765" s="1" t="s">
        <v>7328</v>
      </c>
      <c r="C20765" s="1" t="s">
        <v>7329</v>
      </c>
      <c r="D20765" s="22" t="str">
        <f>HYPERLINK("https://rhld.insurance.arkansas.gov/NPILookup?Npi=1003128844","1003128844")</f>
        <v>1003128844</v>
      </c>
      <c r="E20765" s="1" t="s">
        <v>32072</v>
      </c>
      <c r="F20765" s="2"/>
      <c r="G20765" s="2"/>
      <c r="H20765" s="2"/>
    </row>
    <row r="20766" spans="1:8" x14ac:dyDescent="0.25">
      <c r="A20766" s="1"/>
      <c r="B20766" s="1" t="s">
        <v>7328</v>
      </c>
      <c r="C20766" s="1" t="s">
        <v>7329</v>
      </c>
      <c r="D20766" s="22" t="str">
        <f>HYPERLINK("https://rhld.insurance.arkansas.gov/NPILookup?Npi=1003140963","1003140963")</f>
        <v>1003140963</v>
      </c>
      <c r="E20766" s="1" t="s">
        <v>1078</v>
      </c>
      <c r="F20766" s="2"/>
      <c r="G20766" s="2"/>
      <c r="H20766" s="2"/>
    </row>
    <row r="20767" spans="1:8" x14ac:dyDescent="0.25">
      <c r="A20767" s="1"/>
      <c r="B20767" s="1" t="s">
        <v>7328</v>
      </c>
      <c r="C20767" s="1" t="s">
        <v>7329</v>
      </c>
      <c r="D20767" s="22" t="str">
        <f>HYPERLINK("https://rhld.insurance.arkansas.gov/NPILookup?Npi=1003162637","1003162637")</f>
        <v>1003162637</v>
      </c>
      <c r="E20767" s="1" t="s">
        <v>1290</v>
      </c>
      <c r="F20767" s="2"/>
      <c r="G20767" s="2"/>
      <c r="H20767" s="2"/>
    </row>
    <row r="20768" spans="1:8" x14ac:dyDescent="0.25">
      <c r="A20768" s="1"/>
      <c r="B20768" s="1" t="s">
        <v>7328</v>
      </c>
      <c r="C20768" s="1" t="s">
        <v>7329</v>
      </c>
      <c r="D20768" s="22" t="str">
        <f>HYPERLINK("https://rhld.insurance.arkansas.gov/NPILookup?Npi=1003176710","1003176710")</f>
        <v>1003176710</v>
      </c>
      <c r="E20768" s="1" t="s">
        <v>12580</v>
      </c>
      <c r="F20768" s="2"/>
      <c r="G20768" s="2"/>
      <c r="H20768" s="2"/>
    </row>
    <row r="20769" spans="1:8" x14ac:dyDescent="0.25">
      <c r="A20769" s="1"/>
      <c r="B20769" s="1" t="s">
        <v>7328</v>
      </c>
      <c r="C20769" s="1" t="s">
        <v>7329</v>
      </c>
      <c r="D20769" s="22" t="str">
        <f>HYPERLINK("https://rhld.insurance.arkansas.gov/NPILookup?Npi=1003182387","1003182387")</f>
        <v>1003182387</v>
      </c>
      <c r="E20769" s="1" t="s">
        <v>25127</v>
      </c>
      <c r="F20769" s="2"/>
      <c r="G20769" s="2"/>
      <c r="H20769" s="2"/>
    </row>
    <row r="20770" spans="1:8" x14ac:dyDescent="0.25">
      <c r="A20770" s="1"/>
      <c r="B20770" s="1" t="s">
        <v>7328</v>
      </c>
      <c r="C20770" s="1" t="s">
        <v>7329</v>
      </c>
      <c r="D20770" s="22" t="str">
        <f>HYPERLINK("https://rhld.insurance.arkansas.gov/NPILookup?Npi=1003197542","1003197542")</f>
        <v>1003197542</v>
      </c>
      <c r="E20770" s="1" t="s">
        <v>25128</v>
      </c>
      <c r="F20770" s="2"/>
      <c r="G20770" s="2"/>
      <c r="H20770" s="2"/>
    </row>
    <row r="20771" spans="1:8" x14ac:dyDescent="0.25">
      <c r="A20771" s="1"/>
      <c r="B20771" s="1" t="s">
        <v>7328</v>
      </c>
      <c r="C20771" s="1" t="s">
        <v>7329</v>
      </c>
      <c r="D20771" s="22" t="str">
        <f>HYPERLINK("https://rhld.insurance.arkansas.gov/NPILookup?Npi=1003203274","1003203274")</f>
        <v>1003203274</v>
      </c>
      <c r="E20771" s="1" t="s">
        <v>257</v>
      </c>
      <c r="F20771" s="2"/>
      <c r="G20771" s="2"/>
      <c r="H20771" s="2"/>
    </row>
    <row r="20772" spans="1:8" x14ac:dyDescent="0.25">
      <c r="A20772" s="1"/>
      <c r="B20772" s="1" t="s">
        <v>7328</v>
      </c>
      <c r="C20772" s="1" t="s">
        <v>7329</v>
      </c>
      <c r="D20772" s="22" t="str">
        <f>HYPERLINK("https://rhld.insurance.arkansas.gov/NPILookup?Npi=1003222357","1003222357")</f>
        <v>1003222357</v>
      </c>
      <c r="E20772" s="1" t="s">
        <v>25129</v>
      </c>
      <c r="F20772" s="2"/>
      <c r="G20772" s="2"/>
      <c r="H20772" s="2"/>
    </row>
    <row r="20773" spans="1:8" x14ac:dyDescent="0.25">
      <c r="A20773" s="1"/>
      <c r="B20773" s="1" t="s">
        <v>7328</v>
      </c>
      <c r="C20773" s="1" t="s">
        <v>7329</v>
      </c>
      <c r="D20773" s="22" t="str">
        <f>HYPERLINK("https://rhld.insurance.arkansas.gov/NPILookup?Npi=1003227166","1003227166")</f>
        <v>1003227166</v>
      </c>
      <c r="E20773" s="1" t="s">
        <v>17118</v>
      </c>
      <c r="F20773" s="2"/>
      <c r="G20773" s="2"/>
      <c r="H20773" s="2"/>
    </row>
    <row r="20774" spans="1:8" x14ac:dyDescent="0.25">
      <c r="A20774" s="1"/>
      <c r="B20774" s="1" t="s">
        <v>7328</v>
      </c>
      <c r="C20774" s="1" t="s">
        <v>7329</v>
      </c>
      <c r="D20774" s="22" t="str">
        <f>HYPERLINK("https://rhld.insurance.arkansas.gov/NPILookup?Npi=1003234105","1003234105")</f>
        <v>1003234105</v>
      </c>
      <c r="E20774" s="1" t="s">
        <v>25130</v>
      </c>
      <c r="F20774" s="2"/>
      <c r="G20774" s="2"/>
      <c r="H20774" s="2"/>
    </row>
    <row r="20775" spans="1:8" x14ac:dyDescent="0.25">
      <c r="A20775" s="1"/>
      <c r="B20775" s="1" t="s">
        <v>7328</v>
      </c>
      <c r="C20775" s="1" t="s">
        <v>7329</v>
      </c>
      <c r="D20775" s="22" t="str">
        <f>HYPERLINK("https://rhld.insurance.arkansas.gov/NPILookup?Npi=1003250945","1003250945")</f>
        <v>1003250945</v>
      </c>
      <c r="E20775" s="1" t="s">
        <v>25131</v>
      </c>
      <c r="F20775" s="2"/>
      <c r="G20775" s="2"/>
      <c r="H20775" s="2"/>
    </row>
    <row r="20776" spans="1:8" x14ac:dyDescent="0.25">
      <c r="A20776" s="1"/>
      <c r="B20776" s="1" t="s">
        <v>7328</v>
      </c>
      <c r="C20776" s="1" t="s">
        <v>7329</v>
      </c>
      <c r="D20776" s="22" t="str">
        <f>HYPERLINK("https://rhld.insurance.arkansas.gov/NPILookup?Npi=1003255985","1003255985")</f>
        <v>1003255985</v>
      </c>
      <c r="E20776" s="1" t="s">
        <v>1738</v>
      </c>
      <c r="F20776" s="2"/>
      <c r="G20776" s="2"/>
      <c r="H20776" s="2"/>
    </row>
    <row r="20777" spans="1:8" x14ac:dyDescent="0.25">
      <c r="A20777" s="1"/>
      <c r="B20777" s="1" t="s">
        <v>7328</v>
      </c>
      <c r="C20777" s="1" t="s">
        <v>7329</v>
      </c>
      <c r="D20777" s="22" t="str">
        <f>HYPERLINK("https://rhld.insurance.arkansas.gov/NPILookup?Npi=1003268103","1003268103")</f>
        <v>1003268103</v>
      </c>
      <c r="E20777" s="1" t="s">
        <v>25132</v>
      </c>
      <c r="F20777" s="2"/>
      <c r="G20777" s="2"/>
      <c r="H20777" s="2"/>
    </row>
    <row r="20778" spans="1:8" x14ac:dyDescent="0.25">
      <c r="A20778" s="1"/>
      <c r="B20778" s="1" t="s">
        <v>7328</v>
      </c>
      <c r="C20778" s="1" t="s">
        <v>7329</v>
      </c>
      <c r="D20778" s="22" t="str">
        <f>HYPERLINK("https://rhld.insurance.arkansas.gov/NPILookup?Npi=1003278052","1003278052")</f>
        <v>1003278052</v>
      </c>
      <c r="E20778" s="1" t="s">
        <v>25133</v>
      </c>
      <c r="F20778" s="2"/>
      <c r="G20778" s="2"/>
      <c r="H20778" s="2"/>
    </row>
    <row r="20779" spans="1:8" x14ac:dyDescent="0.25">
      <c r="A20779" s="1"/>
      <c r="B20779" s="1" t="s">
        <v>7328</v>
      </c>
      <c r="C20779" s="1" t="s">
        <v>7329</v>
      </c>
      <c r="D20779" s="22" t="str">
        <f>HYPERLINK("https://rhld.insurance.arkansas.gov/NPILookup?Npi=1003278144","1003278144")</f>
        <v>1003278144</v>
      </c>
      <c r="E20779" s="1" t="s">
        <v>12581</v>
      </c>
      <c r="F20779" s="2"/>
      <c r="G20779" s="2"/>
      <c r="H20779" s="2"/>
    </row>
    <row r="20780" spans="1:8" x14ac:dyDescent="0.25">
      <c r="A20780" s="1"/>
      <c r="B20780" s="1" t="s">
        <v>7328</v>
      </c>
      <c r="C20780" s="1" t="s">
        <v>7329</v>
      </c>
      <c r="D20780" s="22" t="str">
        <f>HYPERLINK("https://rhld.insurance.arkansas.gov/NPILookup?Npi=1003290826","1003290826")</f>
        <v>1003290826</v>
      </c>
      <c r="E20780" s="1" t="s">
        <v>12582</v>
      </c>
      <c r="F20780" s="2"/>
      <c r="G20780" s="2"/>
      <c r="H20780" s="2"/>
    </row>
    <row r="20781" spans="1:8" x14ac:dyDescent="0.25">
      <c r="A20781" s="1"/>
      <c r="B20781" s="1" t="s">
        <v>7328</v>
      </c>
      <c r="C20781" s="1" t="s">
        <v>7329</v>
      </c>
      <c r="D20781" s="22" t="str">
        <f>HYPERLINK("https://rhld.insurance.arkansas.gov/NPILookup?Npi=1003302639","1003302639")</f>
        <v>1003302639</v>
      </c>
      <c r="E20781" s="1" t="s">
        <v>25134</v>
      </c>
      <c r="F20781" s="2"/>
      <c r="G20781" s="2"/>
      <c r="H20781" s="2"/>
    </row>
    <row r="20782" spans="1:8" x14ac:dyDescent="0.25">
      <c r="A20782" s="1"/>
      <c r="B20782" s="1" t="s">
        <v>7328</v>
      </c>
      <c r="C20782" s="1" t="s">
        <v>7329</v>
      </c>
      <c r="D20782" s="22" t="str">
        <f>HYPERLINK("https://rhld.insurance.arkansas.gov/NPILookup?Npi=1003304213","1003304213")</f>
        <v>1003304213</v>
      </c>
      <c r="E20782" s="1" t="s">
        <v>12583</v>
      </c>
      <c r="F20782" s="2"/>
      <c r="G20782" s="2"/>
      <c r="H20782" s="2"/>
    </row>
    <row r="20783" spans="1:8" x14ac:dyDescent="0.25">
      <c r="A20783" s="1"/>
      <c r="B20783" s="1" t="s">
        <v>7328</v>
      </c>
      <c r="C20783" s="1" t="s">
        <v>7329</v>
      </c>
      <c r="D20783" s="22" t="str">
        <f>HYPERLINK("https://rhld.insurance.arkansas.gov/NPILookup?Npi=1003331208","1003331208")</f>
        <v>1003331208</v>
      </c>
      <c r="E20783" s="1" t="s">
        <v>25135</v>
      </c>
      <c r="F20783" s="2"/>
      <c r="G20783" s="2"/>
      <c r="H20783" s="2"/>
    </row>
    <row r="20784" spans="1:8" x14ac:dyDescent="0.25">
      <c r="A20784" s="1"/>
      <c r="B20784" s="1" t="s">
        <v>7328</v>
      </c>
      <c r="C20784" s="1" t="s">
        <v>7329</v>
      </c>
      <c r="D20784" s="22" t="str">
        <f>HYPERLINK("https://rhld.insurance.arkansas.gov/NPILookup?Npi=1003331356","1003331356")</f>
        <v>1003331356</v>
      </c>
      <c r="E20784" s="1" t="s">
        <v>1946</v>
      </c>
      <c r="F20784" s="2"/>
      <c r="G20784" s="2"/>
      <c r="H20784" s="2"/>
    </row>
    <row r="20785" spans="1:8" x14ac:dyDescent="0.25">
      <c r="A20785" s="1"/>
      <c r="B20785" s="1" t="s">
        <v>7328</v>
      </c>
      <c r="C20785" s="1" t="s">
        <v>7329</v>
      </c>
      <c r="D20785" s="22" t="str">
        <f>HYPERLINK("https://rhld.insurance.arkansas.gov/NPILookup?Npi=1003348871","1003348871")</f>
        <v>1003348871</v>
      </c>
      <c r="E20785" s="1" t="s">
        <v>5678</v>
      </c>
      <c r="F20785" s="2"/>
      <c r="G20785" s="2"/>
      <c r="H20785" s="2"/>
    </row>
    <row r="20786" spans="1:8" x14ac:dyDescent="0.25">
      <c r="A20786" s="1"/>
      <c r="B20786" s="1" t="s">
        <v>7328</v>
      </c>
      <c r="C20786" s="1" t="s">
        <v>7329</v>
      </c>
      <c r="D20786" s="22" t="str">
        <f>HYPERLINK("https://rhld.insurance.arkansas.gov/NPILookup?Npi=1003352444","1003352444")</f>
        <v>1003352444</v>
      </c>
      <c r="E20786" s="1" t="s">
        <v>25136</v>
      </c>
      <c r="F20786" s="2"/>
      <c r="G20786" s="2"/>
      <c r="H20786" s="2"/>
    </row>
    <row r="20787" spans="1:8" x14ac:dyDescent="0.25">
      <c r="A20787" s="1"/>
      <c r="B20787" s="1" t="s">
        <v>7328</v>
      </c>
      <c r="C20787" s="1" t="s">
        <v>7329</v>
      </c>
      <c r="D20787" s="22" t="str">
        <f>HYPERLINK("https://rhld.insurance.arkansas.gov/NPILookup?Npi=1003355447","1003355447")</f>
        <v>1003355447</v>
      </c>
      <c r="E20787" s="1" t="s">
        <v>25137</v>
      </c>
      <c r="F20787" s="2"/>
      <c r="G20787" s="2"/>
      <c r="H20787" s="2"/>
    </row>
    <row r="20788" spans="1:8" x14ac:dyDescent="0.25">
      <c r="A20788" s="1"/>
      <c r="B20788" s="1" t="s">
        <v>7328</v>
      </c>
      <c r="C20788" s="1" t="s">
        <v>7329</v>
      </c>
      <c r="D20788" s="22" t="str">
        <f>HYPERLINK("https://rhld.insurance.arkansas.gov/NPILookup?Npi=1003381229","1003381229")</f>
        <v>1003381229</v>
      </c>
      <c r="E20788" s="1" t="s">
        <v>25138</v>
      </c>
      <c r="F20788" s="2"/>
      <c r="G20788" s="2"/>
      <c r="H20788" s="2"/>
    </row>
    <row r="20789" spans="1:8" x14ac:dyDescent="0.25">
      <c r="A20789" s="1"/>
      <c r="B20789" s="1" t="s">
        <v>7328</v>
      </c>
      <c r="C20789" s="1" t="s">
        <v>7329</v>
      </c>
      <c r="D20789" s="22" t="str">
        <f>HYPERLINK("https://rhld.insurance.arkansas.gov/NPILookup?Npi=1003387333","1003387333")</f>
        <v>1003387333</v>
      </c>
      <c r="E20789" s="1" t="s">
        <v>25139</v>
      </c>
      <c r="F20789" s="2"/>
      <c r="G20789" s="2"/>
      <c r="H20789" s="2"/>
    </row>
    <row r="20790" spans="1:8" x14ac:dyDescent="0.25">
      <c r="A20790" s="1"/>
      <c r="B20790" s="1" t="s">
        <v>7328</v>
      </c>
      <c r="C20790" s="1" t="s">
        <v>7329</v>
      </c>
      <c r="D20790" s="22" t="str">
        <f>HYPERLINK("https://rhld.insurance.arkansas.gov/NPILookup?Npi=1003389834","1003389834")</f>
        <v>1003389834</v>
      </c>
      <c r="E20790" s="1" t="s">
        <v>7330</v>
      </c>
      <c r="F20790" s="2"/>
      <c r="G20790" s="2"/>
      <c r="H20790" s="2"/>
    </row>
    <row r="20791" spans="1:8" x14ac:dyDescent="0.25">
      <c r="A20791" s="1"/>
      <c r="B20791" s="1" t="s">
        <v>7328</v>
      </c>
      <c r="C20791" s="1" t="s">
        <v>7329</v>
      </c>
      <c r="D20791" s="22" t="str">
        <f>HYPERLINK("https://rhld.insurance.arkansas.gov/NPILookup?Npi=1003395427","1003395427")</f>
        <v>1003395427</v>
      </c>
      <c r="E20791" s="1" t="s">
        <v>25140</v>
      </c>
      <c r="F20791" s="2"/>
      <c r="G20791" s="2"/>
      <c r="H20791" s="2"/>
    </row>
    <row r="20792" spans="1:8" x14ac:dyDescent="0.25">
      <c r="A20792" s="1"/>
      <c r="B20792" s="1" t="s">
        <v>7328</v>
      </c>
      <c r="C20792" s="1" t="s">
        <v>7329</v>
      </c>
      <c r="D20792" s="22" t="str">
        <f>HYPERLINK("https://rhld.insurance.arkansas.gov/NPILookup?Npi=1003406653","1003406653")</f>
        <v>1003406653</v>
      </c>
      <c r="E20792" s="1" t="s">
        <v>25141</v>
      </c>
      <c r="F20792" s="2"/>
      <c r="G20792" s="2"/>
      <c r="H20792" s="2"/>
    </row>
    <row r="20793" spans="1:8" x14ac:dyDescent="0.25">
      <c r="A20793" s="1"/>
      <c r="B20793" s="1" t="s">
        <v>7328</v>
      </c>
      <c r="C20793" s="1" t="s">
        <v>7329</v>
      </c>
      <c r="D20793" s="22" t="str">
        <f>HYPERLINK("https://rhld.insurance.arkansas.gov/NPILookup?Npi=1003416421","1003416421")</f>
        <v>1003416421</v>
      </c>
      <c r="E20793" s="1" t="s">
        <v>25142</v>
      </c>
      <c r="F20793" s="2"/>
      <c r="G20793" s="2"/>
      <c r="H20793" s="2"/>
    </row>
    <row r="20794" spans="1:8" x14ac:dyDescent="0.25">
      <c r="A20794" s="1"/>
      <c r="B20794" s="1" t="s">
        <v>7328</v>
      </c>
      <c r="C20794" s="1" t="s">
        <v>7329</v>
      </c>
      <c r="D20794" s="22" t="str">
        <f>HYPERLINK("https://rhld.insurance.arkansas.gov/NPILookup?Npi=1003424243","1003424243")</f>
        <v>1003424243</v>
      </c>
      <c r="E20794" s="1" t="s">
        <v>7331</v>
      </c>
      <c r="F20794" s="2"/>
      <c r="G20794" s="2"/>
      <c r="H20794" s="2"/>
    </row>
    <row r="20795" spans="1:8" x14ac:dyDescent="0.25">
      <c r="A20795" s="1"/>
      <c r="B20795" s="1" t="s">
        <v>7328</v>
      </c>
      <c r="C20795" s="1" t="s">
        <v>7329</v>
      </c>
      <c r="D20795" s="22" t="str">
        <f>HYPERLINK("https://rhld.insurance.arkansas.gov/NPILookup?Npi=1003425315","1003425315")</f>
        <v>1003425315</v>
      </c>
      <c r="E20795" s="1" t="s">
        <v>25143</v>
      </c>
      <c r="F20795" s="2"/>
      <c r="G20795" s="2"/>
      <c r="H20795" s="2"/>
    </row>
    <row r="20796" spans="1:8" x14ac:dyDescent="0.25">
      <c r="A20796" s="1"/>
      <c r="B20796" s="1" t="s">
        <v>7328</v>
      </c>
      <c r="C20796" s="1" t="s">
        <v>7329</v>
      </c>
      <c r="D20796" s="22" t="str">
        <f>HYPERLINK("https://rhld.insurance.arkansas.gov/NPILookup?Npi=1003426396","1003426396")</f>
        <v>1003426396</v>
      </c>
      <c r="E20796" s="1" t="s">
        <v>7332</v>
      </c>
      <c r="F20796" s="2"/>
      <c r="G20796" s="2"/>
      <c r="H20796" s="2"/>
    </row>
    <row r="20797" spans="1:8" x14ac:dyDescent="0.25">
      <c r="A20797" s="1"/>
      <c r="B20797" s="1" t="s">
        <v>7328</v>
      </c>
      <c r="C20797" s="1" t="s">
        <v>7329</v>
      </c>
      <c r="D20797" s="22" t="str">
        <f>HYPERLINK("https://rhld.insurance.arkansas.gov/NPILookup?Npi=1003446428","1003446428")</f>
        <v>1003446428</v>
      </c>
      <c r="E20797" s="1" t="s">
        <v>25144</v>
      </c>
      <c r="F20797" s="2"/>
      <c r="G20797" s="2"/>
      <c r="H20797" s="2"/>
    </row>
    <row r="20798" spans="1:8" x14ac:dyDescent="0.25">
      <c r="A20798" s="1"/>
      <c r="B20798" s="1" t="s">
        <v>7328</v>
      </c>
      <c r="C20798" s="1" t="s">
        <v>7329</v>
      </c>
      <c r="D20798" s="22" t="str">
        <f>HYPERLINK("https://rhld.insurance.arkansas.gov/NPILookup?Npi=1003458944","1003458944")</f>
        <v>1003458944</v>
      </c>
      <c r="E20798" s="1" t="s">
        <v>7333</v>
      </c>
      <c r="F20798" s="2"/>
      <c r="G20798" s="2"/>
      <c r="H20798" s="2"/>
    </row>
    <row r="20799" spans="1:8" x14ac:dyDescent="0.25">
      <c r="A20799" s="1"/>
      <c r="B20799" s="1" t="s">
        <v>7328</v>
      </c>
      <c r="C20799" s="1" t="s">
        <v>7329</v>
      </c>
      <c r="D20799" s="22" t="str">
        <f>HYPERLINK("https://rhld.insurance.arkansas.gov/NPILookup?Npi=1003465618","1003465618")</f>
        <v>1003465618</v>
      </c>
      <c r="E20799" s="1" t="s">
        <v>25145</v>
      </c>
      <c r="F20799" s="2"/>
      <c r="G20799" s="2"/>
      <c r="H20799" s="2"/>
    </row>
    <row r="20800" spans="1:8" x14ac:dyDescent="0.25">
      <c r="A20800" s="1"/>
      <c r="B20800" s="1" t="s">
        <v>7328</v>
      </c>
      <c r="C20800" s="1" t="s">
        <v>7329</v>
      </c>
      <c r="D20800" s="22" t="str">
        <f>HYPERLINK("https://rhld.insurance.arkansas.gov/NPILookup?Npi=1003477134","1003477134")</f>
        <v>1003477134</v>
      </c>
      <c r="E20800" s="1" t="s">
        <v>25146</v>
      </c>
      <c r="F20800" s="2"/>
      <c r="G20800" s="2"/>
      <c r="H20800" s="2"/>
    </row>
    <row r="20801" spans="1:8" x14ac:dyDescent="0.25">
      <c r="A20801" s="1"/>
      <c r="B20801" s="1" t="s">
        <v>7328</v>
      </c>
      <c r="C20801" s="1" t="s">
        <v>7329</v>
      </c>
      <c r="D20801" s="22" t="str">
        <f>HYPERLINK("https://rhld.insurance.arkansas.gov/NPILookup?Npi=1003479957","1003479957")</f>
        <v>1003479957</v>
      </c>
      <c r="E20801" s="1" t="s">
        <v>12584</v>
      </c>
      <c r="F20801" s="2"/>
      <c r="G20801" s="2"/>
      <c r="H20801" s="2"/>
    </row>
    <row r="20802" spans="1:8" x14ac:dyDescent="0.25">
      <c r="A20802" s="1"/>
      <c r="B20802" s="1" t="s">
        <v>7328</v>
      </c>
      <c r="C20802" s="1" t="s">
        <v>7329</v>
      </c>
      <c r="D20802" s="22" t="str">
        <f>HYPERLINK("https://rhld.insurance.arkansas.gov/NPILookup?Npi=1003485178","1003485178")</f>
        <v>1003485178</v>
      </c>
      <c r="E20802" s="1" t="s">
        <v>12585</v>
      </c>
      <c r="F20802" s="2"/>
      <c r="G20802" s="2"/>
      <c r="H20802" s="2"/>
    </row>
    <row r="20803" spans="1:8" x14ac:dyDescent="0.25">
      <c r="A20803" s="1"/>
      <c r="B20803" s="1" t="s">
        <v>7328</v>
      </c>
      <c r="C20803" s="1" t="s">
        <v>7329</v>
      </c>
      <c r="D20803" s="22" t="str">
        <f>HYPERLINK("https://rhld.insurance.arkansas.gov/NPILookup?Npi=1003492059","1003492059")</f>
        <v>1003492059</v>
      </c>
      <c r="E20803" s="1" t="s">
        <v>25147</v>
      </c>
      <c r="F20803" s="2"/>
      <c r="G20803" s="2"/>
      <c r="H20803" s="2"/>
    </row>
    <row r="20804" spans="1:8" x14ac:dyDescent="0.25">
      <c r="A20804" s="1"/>
      <c r="B20804" s="1" t="s">
        <v>7328</v>
      </c>
      <c r="C20804" s="1" t="s">
        <v>7329</v>
      </c>
      <c r="D20804" s="22" t="str">
        <f>HYPERLINK("https://rhld.insurance.arkansas.gov/NPILookup?Npi=1003492943","1003492943")</f>
        <v>1003492943</v>
      </c>
      <c r="E20804" s="1" t="s">
        <v>25148</v>
      </c>
      <c r="F20804" s="2"/>
      <c r="G20804" s="2"/>
      <c r="H20804" s="2"/>
    </row>
    <row r="20805" spans="1:8" x14ac:dyDescent="0.25">
      <c r="A20805" s="1"/>
      <c r="B20805" s="1" t="s">
        <v>7328</v>
      </c>
      <c r="C20805" s="1" t="s">
        <v>7329</v>
      </c>
      <c r="D20805" s="22" t="str">
        <f>HYPERLINK("https://rhld.insurance.arkansas.gov/NPILookup?Npi=1003527011","1003527011")</f>
        <v>1003527011</v>
      </c>
      <c r="E20805" s="1" t="s">
        <v>32073</v>
      </c>
      <c r="F20805" s="2"/>
      <c r="G20805" s="2"/>
      <c r="H20805" s="2"/>
    </row>
    <row r="20806" spans="1:8" x14ac:dyDescent="0.25">
      <c r="A20806" s="1"/>
      <c r="B20806" s="1" t="s">
        <v>7328</v>
      </c>
      <c r="C20806" s="1" t="s">
        <v>7329</v>
      </c>
      <c r="D20806" s="22" t="str">
        <f>HYPERLINK("https://rhld.insurance.arkansas.gov/NPILookup?Npi=1003541327","1003541327")</f>
        <v>1003541327</v>
      </c>
      <c r="E20806" s="1" t="s">
        <v>25149</v>
      </c>
      <c r="F20806" s="2"/>
      <c r="G20806" s="2"/>
      <c r="H20806" s="2"/>
    </row>
    <row r="20807" spans="1:8" x14ac:dyDescent="0.25">
      <c r="A20807" s="1"/>
      <c r="B20807" s="1" t="s">
        <v>7328</v>
      </c>
      <c r="C20807" s="1" t="s">
        <v>7329</v>
      </c>
      <c r="D20807" s="22" t="str">
        <f>HYPERLINK("https://rhld.insurance.arkansas.gov/NPILookup?Npi=1003551474","1003551474")</f>
        <v>1003551474</v>
      </c>
      <c r="E20807" s="1" t="s">
        <v>7334</v>
      </c>
      <c r="F20807" s="2"/>
      <c r="G20807" s="2"/>
      <c r="H20807" s="2"/>
    </row>
    <row r="20808" spans="1:8" x14ac:dyDescent="0.25">
      <c r="A20808" s="1"/>
      <c r="B20808" s="1" t="s">
        <v>7328</v>
      </c>
      <c r="C20808" s="1" t="s">
        <v>7329</v>
      </c>
      <c r="D20808" s="22" t="str">
        <f>HYPERLINK("https://rhld.insurance.arkansas.gov/NPILookup?Npi=1003553520","1003553520")</f>
        <v>1003553520</v>
      </c>
      <c r="E20808" s="1" t="s">
        <v>25150</v>
      </c>
      <c r="F20808" s="2"/>
      <c r="G20808" s="2"/>
      <c r="H20808" s="2"/>
    </row>
    <row r="20809" spans="1:8" x14ac:dyDescent="0.25">
      <c r="A20809" s="1"/>
      <c r="B20809" s="1" t="s">
        <v>7328</v>
      </c>
      <c r="C20809" s="1" t="s">
        <v>7329</v>
      </c>
      <c r="D20809" s="22" t="str">
        <f>HYPERLINK("https://rhld.insurance.arkansas.gov/NPILookup?Npi=1003563271","1003563271")</f>
        <v>1003563271</v>
      </c>
      <c r="E20809" s="1" t="s">
        <v>12586</v>
      </c>
      <c r="F20809" s="2"/>
      <c r="G20809" s="2"/>
      <c r="H20809" s="2"/>
    </row>
    <row r="20810" spans="1:8" x14ac:dyDescent="0.25">
      <c r="A20810" s="1"/>
      <c r="B20810" s="1" t="s">
        <v>7328</v>
      </c>
      <c r="C20810" s="1" t="s">
        <v>7329</v>
      </c>
      <c r="D20810" s="22" t="str">
        <f>HYPERLINK("https://rhld.insurance.arkansas.gov/NPILookup?Npi=1003579418","1003579418")</f>
        <v>1003579418</v>
      </c>
      <c r="E20810" s="1" t="s">
        <v>25151</v>
      </c>
      <c r="F20810" s="2"/>
      <c r="G20810" s="2"/>
      <c r="H20810" s="2"/>
    </row>
    <row r="20811" spans="1:8" x14ac:dyDescent="0.25">
      <c r="A20811" s="1"/>
      <c r="B20811" s="1" t="s">
        <v>7328</v>
      </c>
      <c r="C20811" s="1" t="s">
        <v>7329</v>
      </c>
      <c r="D20811" s="22" t="str">
        <f>HYPERLINK("https://rhld.insurance.arkansas.gov/NPILookup?Npi=1003598178","1003598178")</f>
        <v>1003598178</v>
      </c>
      <c r="E20811" s="1" t="s">
        <v>7335</v>
      </c>
      <c r="F20811" s="2"/>
      <c r="G20811" s="2"/>
      <c r="H20811" s="2"/>
    </row>
    <row r="20812" spans="1:8" x14ac:dyDescent="0.25">
      <c r="A20812" s="1"/>
      <c r="B20812" s="1" t="s">
        <v>7328</v>
      </c>
      <c r="C20812" s="1" t="s">
        <v>7329</v>
      </c>
      <c r="D20812" s="22" t="str">
        <f>HYPERLINK("https://rhld.insurance.arkansas.gov/NPILookup?Npi=1003635392","1003635392")</f>
        <v>1003635392</v>
      </c>
      <c r="E20812" s="1" t="s">
        <v>25152</v>
      </c>
      <c r="F20812" s="2"/>
      <c r="G20812" s="2"/>
      <c r="H20812" s="2"/>
    </row>
    <row r="20813" spans="1:8" x14ac:dyDescent="0.25">
      <c r="A20813" s="1"/>
      <c r="B20813" s="1" t="s">
        <v>7328</v>
      </c>
      <c r="C20813" s="1" t="s">
        <v>7329</v>
      </c>
      <c r="D20813" s="22" t="str">
        <f>HYPERLINK("https://rhld.insurance.arkansas.gov/NPILookup?Npi=1003654526","1003654526")</f>
        <v>1003654526</v>
      </c>
      <c r="E20813" s="1" t="s">
        <v>32074</v>
      </c>
      <c r="F20813" s="2"/>
      <c r="G20813" s="2"/>
      <c r="H20813" s="2"/>
    </row>
    <row r="20814" spans="1:8" x14ac:dyDescent="0.25">
      <c r="A20814" s="1"/>
      <c r="B20814" s="1" t="s">
        <v>7328</v>
      </c>
      <c r="C20814" s="1" t="s">
        <v>7329</v>
      </c>
      <c r="D20814" s="22" t="str">
        <f>HYPERLINK("https://rhld.insurance.arkansas.gov/NPILookup?Npi=1003676479","1003676479")</f>
        <v>1003676479</v>
      </c>
      <c r="E20814" s="1" t="s">
        <v>32075</v>
      </c>
      <c r="F20814" s="2"/>
      <c r="G20814" s="2"/>
      <c r="H20814" s="2"/>
    </row>
    <row r="20815" spans="1:8" x14ac:dyDescent="0.25">
      <c r="A20815" s="1"/>
      <c r="B20815" s="1" t="s">
        <v>7328</v>
      </c>
      <c r="C20815" s="1" t="s">
        <v>7329</v>
      </c>
      <c r="D20815" s="22" t="str">
        <f>HYPERLINK("https://rhld.insurance.arkansas.gov/NPILookup?Npi=1003679804","1003679804")</f>
        <v>1003679804</v>
      </c>
      <c r="E20815" s="1" t="s">
        <v>32076</v>
      </c>
      <c r="F20815" s="2"/>
      <c r="G20815" s="2"/>
      <c r="H20815" s="2"/>
    </row>
    <row r="20816" spans="1:8" x14ac:dyDescent="0.25">
      <c r="A20816" s="1"/>
      <c r="B20816" s="1" t="s">
        <v>7328</v>
      </c>
      <c r="C20816" s="1" t="s">
        <v>7329</v>
      </c>
      <c r="D20816" s="22" t="str">
        <f>HYPERLINK("https://rhld.insurance.arkansas.gov/NPILookup?Npi=1003680125","1003680125")</f>
        <v>1003680125</v>
      </c>
      <c r="E20816" s="1" t="s">
        <v>32077</v>
      </c>
      <c r="F20816" s="2"/>
      <c r="G20816" s="2"/>
      <c r="H20816" s="2"/>
    </row>
    <row r="20817" spans="1:8" x14ac:dyDescent="0.25">
      <c r="A20817" s="1"/>
      <c r="B20817" s="1" t="s">
        <v>7328</v>
      </c>
      <c r="C20817" s="1" t="s">
        <v>7329</v>
      </c>
      <c r="D20817" s="22" t="str">
        <f>HYPERLINK("https://rhld.insurance.arkansas.gov/NPILookup?Npi=1003688474","1003688474")</f>
        <v>1003688474</v>
      </c>
      <c r="E20817" s="1" t="s">
        <v>25153</v>
      </c>
      <c r="F20817" s="2"/>
      <c r="G20817" s="2"/>
      <c r="H20817" s="2"/>
    </row>
    <row r="20818" spans="1:8" x14ac:dyDescent="0.25">
      <c r="A20818" s="1"/>
      <c r="B20818" s="1" t="s">
        <v>7328</v>
      </c>
      <c r="C20818" s="1" t="s">
        <v>7329</v>
      </c>
      <c r="D20818" s="22" t="str">
        <f>HYPERLINK("https://rhld.insurance.arkansas.gov/NPILookup?Npi=1003802828","1003802828")</f>
        <v>1003802828</v>
      </c>
      <c r="E20818" s="1" t="s">
        <v>11698</v>
      </c>
      <c r="F20818" s="2"/>
      <c r="G20818" s="2"/>
      <c r="H20818" s="2"/>
    </row>
    <row r="20819" spans="1:8" x14ac:dyDescent="0.25">
      <c r="A20819" s="1"/>
      <c r="B20819" s="1" t="s">
        <v>7328</v>
      </c>
      <c r="C20819" s="1" t="s">
        <v>7329</v>
      </c>
      <c r="D20819" s="22" t="str">
        <f>HYPERLINK("https://rhld.insurance.arkansas.gov/NPILookup?Npi=1003803321","1003803321")</f>
        <v>1003803321</v>
      </c>
      <c r="E20819" s="1" t="s">
        <v>25154</v>
      </c>
      <c r="F20819" s="2"/>
      <c r="G20819" s="2"/>
      <c r="H20819" s="2"/>
    </row>
    <row r="20820" spans="1:8" x14ac:dyDescent="0.25">
      <c r="A20820" s="1"/>
      <c r="B20820" s="1" t="s">
        <v>7328</v>
      </c>
      <c r="C20820" s="1" t="s">
        <v>7329</v>
      </c>
      <c r="D20820" s="22" t="str">
        <f>HYPERLINK("https://rhld.insurance.arkansas.gov/NPILookup?Npi=1003820036","1003820036")</f>
        <v>1003820036</v>
      </c>
      <c r="E20820" s="1" t="s">
        <v>18334</v>
      </c>
      <c r="F20820" s="2"/>
      <c r="G20820" s="2"/>
      <c r="H20820" s="2"/>
    </row>
    <row r="20821" spans="1:8" x14ac:dyDescent="0.25">
      <c r="A20821" s="1"/>
      <c r="B20821" s="1" t="s">
        <v>7328</v>
      </c>
      <c r="C20821" s="1" t="s">
        <v>7329</v>
      </c>
      <c r="D20821" s="22" t="str">
        <f>HYPERLINK("https://rhld.insurance.arkansas.gov/NPILookup?Npi=1003826199","1003826199")</f>
        <v>1003826199</v>
      </c>
      <c r="E20821" s="1" t="s">
        <v>25155</v>
      </c>
      <c r="F20821" s="2"/>
      <c r="G20821" s="2"/>
      <c r="H20821" s="2"/>
    </row>
    <row r="20822" spans="1:8" x14ac:dyDescent="0.25">
      <c r="A20822" s="1"/>
      <c r="B20822" s="1" t="s">
        <v>7328</v>
      </c>
      <c r="C20822" s="1" t="s">
        <v>7329</v>
      </c>
      <c r="D20822" s="22" t="str">
        <f>HYPERLINK("https://rhld.insurance.arkansas.gov/NPILookup?Npi=1003831462","1003831462")</f>
        <v>1003831462</v>
      </c>
      <c r="E20822" s="1" t="s">
        <v>25156</v>
      </c>
      <c r="F20822" s="2"/>
      <c r="G20822" s="2"/>
      <c r="H20822" s="2"/>
    </row>
    <row r="20823" spans="1:8" x14ac:dyDescent="0.25">
      <c r="A20823" s="1"/>
      <c r="B20823" s="1" t="s">
        <v>7328</v>
      </c>
      <c r="C20823" s="1" t="s">
        <v>7329</v>
      </c>
      <c r="D20823" s="22" t="str">
        <f>HYPERLINK("https://rhld.insurance.arkansas.gov/NPILookup?Npi=1003836669","1003836669")</f>
        <v>1003836669</v>
      </c>
      <c r="E20823" s="1" t="s">
        <v>25157</v>
      </c>
      <c r="F20823" s="2"/>
      <c r="G20823" s="2"/>
      <c r="H20823" s="2"/>
    </row>
    <row r="20824" spans="1:8" x14ac:dyDescent="0.25">
      <c r="A20824" s="1"/>
      <c r="B20824" s="1" t="s">
        <v>7328</v>
      </c>
      <c r="C20824" s="1" t="s">
        <v>7329</v>
      </c>
      <c r="D20824" s="22" t="str">
        <f>HYPERLINK("https://rhld.insurance.arkansas.gov/NPILookup?Npi=1003870049","1003870049")</f>
        <v>1003870049</v>
      </c>
      <c r="E20824" s="1" t="s">
        <v>2585</v>
      </c>
      <c r="F20824" s="2"/>
      <c r="G20824" s="2"/>
      <c r="H20824" s="2"/>
    </row>
    <row r="20825" spans="1:8" x14ac:dyDescent="0.25">
      <c r="A20825" s="1"/>
      <c r="B20825" s="1" t="s">
        <v>7328</v>
      </c>
      <c r="C20825" s="1" t="s">
        <v>7329</v>
      </c>
      <c r="D20825" s="22" t="str">
        <f>HYPERLINK("https://rhld.insurance.arkansas.gov/NPILookup?Npi=1003871658","1003871658")</f>
        <v>1003871658</v>
      </c>
      <c r="E20825" s="1" t="s">
        <v>17121</v>
      </c>
      <c r="F20825" s="2"/>
      <c r="G20825" s="2"/>
      <c r="H20825" s="2"/>
    </row>
    <row r="20826" spans="1:8" x14ac:dyDescent="0.25">
      <c r="A20826" s="1"/>
      <c r="B20826" s="1" t="s">
        <v>7328</v>
      </c>
      <c r="C20826" s="1" t="s">
        <v>7329</v>
      </c>
      <c r="D20826" s="22" t="str">
        <f>HYPERLINK("https://rhld.insurance.arkansas.gov/NPILookup?Npi=1003875501","1003875501")</f>
        <v>1003875501</v>
      </c>
      <c r="E20826" s="1" t="s">
        <v>17122</v>
      </c>
      <c r="F20826" s="2"/>
      <c r="G20826" s="2"/>
      <c r="H20826" s="2"/>
    </row>
    <row r="20827" spans="1:8" x14ac:dyDescent="0.25">
      <c r="A20827" s="1"/>
      <c r="B20827" s="1" t="s">
        <v>7328</v>
      </c>
      <c r="C20827" s="1" t="s">
        <v>7329</v>
      </c>
      <c r="D20827" s="22" t="str">
        <f>HYPERLINK("https://rhld.insurance.arkansas.gov/NPILookup?Npi=1003886169","1003886169")</f>
        <v>1003886169</v>
      </c>
      <c r="E20827" s="1" t="s">
        <v>25158</v>
      </c>
      <c r="F20827" s="2"/>
      <c r="G20827" s="2"/>
      <c r="H20827" s="2"/>
    </row>
    <row r="20828" spans="1:8" x14ac:dyDescent="0.25">
      <c r="A20828" s="1"/>
      <c r="B20828" s="1" t="s">
        <v>7328</v>
      </c>
      <c r="C20828" s="1" t="s">
        <v>7329</v>
      </c>
      <c r="D20828" s="22" t="str">
        <f>HYPERLINK("https://rhld.insurance.arkansas.gov/NPILookup?Npi=1003892951","1003892951")</f>
        <v>1003892951</v>
      </c>
      <c r="E20828" s="1" t="s">
        <v>12587</v>
      </c>
      <c r="F20828" s="2"/>
      <c r="G20828" s="2"/>
      <c r="H20828" s="2"/>
    </row>
    <row r="20829" spans="1:8" x14ac:dyDescent="0.25">
      <c r="A20829" s="1"/>
      <c r="B20829" s="1" t="s">
        <v>7328</v>
      </c>
      <c r="C20829" s="1" t="s">
        <v>7329</v>
      </c>
      <c r="D20829" s="22" t="str">
        <f>HYPERLINK("https://rhld.insurance.arkansas.gov/NPILookup?Npi=1003893579","1003893579")</f>
        <v>1003893579</v>
      </c>
      <c r="E20829" s="1" t="s">
        <v>25159</v>
      </c>
      <c r="F20829" s="2"/>
      <c r="G20829" s="2"/>
      <c r="H20829" s="2"/>
    </row>
    <row r="20830" spans="1:8" x14ac:dyDescent="0.25">
      <c r="A20830" s="1"/>
      <c r="B20830" s="1" t="s">
        <v>7328</v>
      </c>
      <c r="C20830" s="1" t="s">
        <v>7329</v>
      </c>
      <c r="D20830" s="22" t="str">
        <f>HYPERLINK("https://rhld.insurance.arkansas.gov/NPILookup?Npi=1003895541","1003895541")</f>
        <v>1003895541</v>
      </c>
      <c r="E20830" s="1" t="s">
        <v>25160</v>
      </c>
      <c r="F20830" s="2"/>
      <c r="G20830" s="2"/>
      <c r="H20830" s="2"/>
    </row>
    <row r="20831" spans="1:8" x14ac:dyDescent="0.25">
      <c r="A20831" s="1"/>
      <c r="B20831" s="1" t="s">
        <v>7328</v>
      </c>
      <c r="C20831" s="1" t="s">
        <v>7329</v>
      </c>
      <c r="D20831" s="22" t="str">
        <f>HYPERLINK("https://rhld.insurance.arkansas.gov/NPILookup?Npi=1003900549","1003900549")</f>
        <v>1003900549</v>
      </c>
      <c r="E20831" s="1" t="s">
        <v>25161</v>
      </c>
      <c r="F20831" s="2"/>
      <c r="G20831" s="2"/>
      <c r="H20831" s="2"/>
    </row>
    <row r="20832" spans="1:8" x14ac:dyDescent="0.25">
      <c r="A20832" s="1"/>
      <c r="B20832" s="1" t="s">
        <v>7328</v>
      </c>
      <c r="C20832" s="1" t="s">
        <v>7329</v>
      </c>
      <c r="D20832" s="22" t="str">
        <f>HYPERLINK("https://rhld.insurance.arkansas.gov/NPILookup?Npi=1003929621","1003929621")</f>
        <v>1003929621</v>
      </c>
      <c r="E20832" s="1" t="s">
        <v>7337</v>
      </c>
      <c r="F20832" s="2"/>
      <c r="G20832" s="2"/>
      <c r="H20832" s="2"/>
    </row>
    <row r="20833" spans="1:8" x14ac:dyDescent="0.25">
      <c r="A20833" s="1"/>
      <c r="B20833" s="1" t="s">
        <v>7328</v>
      </c>
      <c r="C20833" s="1" t="s">
        <v>7329</v>
      </c>
      <c r="D20833" s="22" t="str">
        <f>HYPERLINK("https://rhld.insurance.arkansas.gov/NPILookup?Npi=1003941519","1003941519")</f>
        <v>1003941519</v>
      </c>
      <c r="E20833" s="1" t="s">
        <v>25162</v>
      </c>
      <c r="F20833" s="2"/>
      <c r="G20833" s="2"/>
      <c r="H20833" s="2"/>
    </row>
    <row r="20834" spans="1:8" x14ac:dyDescent="0.25">
      <c r="A20834" s="1"/>
      <c r="B20834" s="1" t="s">
        <v>7328</v>
      </c>
      <c r="C20834" s="1" t="s">
        <v>7329</v>
      </c>
      <c r="D20834" s="22" t="str">
        <f>HYPERLINK("https://rhld.insurance.arkansas.gov/NPILookup?Npi=1003963208","1003963208")</f>
        <v>1003963208</v>
      </c>
      <c r="E20834" s="1" t="s">
        <v>9746</v>
      </c>
      <c r="F20834" s="2"/>
      <c r="G20834" s="2"/>
      <c r="H20834" s="2"/>
    </row>
    <row r="20835" spans="1:8" x14ac:dyDescent="0.25">
      <c r="A20835" s="1"/>
      <c r="B20835" s="1" t="s">
        <v>7328</v>
      </c>
      <c r="C20835" s="1" t="s">
        <v>7329</v>
      </c>
      <c r="D20835" s="22" t="str">
        <f>HYPERLINK("https://rhld.insurance.arkansas.gov/NPILookup?Npi=1003967951","1003967951")</f>
        <v>1003967951</v>
      </c>
      <c r="E20835" s="1" t="s">
        <v>25163</v>
      </c>
      <c r="F20835" s="2"/>
      <c r="G20835" s="2"/>
      <c r="H20835" s="2"/>
    </row>
    <row r="20836" spans="1:8" x14ac:dyDescent="0.25">
      <c r="A20836" s="1"/>
      <c r="B20836" s="1" t="s">
        <v>7328</v>
      </c>
      <c r="C20836" s="1" t="s">
        <v>7329</v>
      </c>
      <c r="D20836" s="22" t="str">
        <f>HYPERLINK("https://rhld.insurance.arkansas.gov/NPILookup?Npi=1013007590","1013007590")</f>
        <v>1013007590</v>
      </c>
      <c r="E20836" s="1" t="s">
        <v>25164</v>
      </c>
      <c r="F20836" s="2"/>
      <c r="G20836" s="2"/>
      <c r="H20836" s="2"/>
    </row>
    <row r="20837" spans="1:8" x14ac:dyDescent="0.25">
      <c r="A20837" s="1"/>
      <c r="B20837" s="1" t="s">
        <v>7328</v>
      </c>
      <c r="C20837" s="1" t="s">
        <v>7329</v>
      </c>
      <c r="D20837" s="22" t="str">
        <f>HYPERLINK("https://rhld.insurance.arkansas.gov/NPILookup?Npi=1013015635","1013015635")</f>
        <v>1013015635</v>
      </c>
      <c r="E20837" s="1" t="s">
        <v>12588</v>
      </c>
      <c r="F20837" s="2"/>
      <c r="G20837" s="2"/>
      <c r="H20837" s="2"/>
    </row>
    <row r="20838" spans="1:8" x14ac:dyDescent="0.25">
      <c r="A20838" s="1"/>
      <c r="B20838" s="1" t="s">
        <v>7328</v>
      </c>
      <c r="C20838" s="1" t="s">
        <v>7329</v>
      </c>
      <c r="D20838" s="22" t="str">
        <f>HYPERLINK("https://rhld.insurance.arkansas.gov/NPILookup?Npi=1013021724","1013021724")</f>
        <v>1013021724</v>
      </c>
      <c r="E20838" s="1" t="s">
        <v>25165</v>
      </c>
      <c r="F20838" s="2"/>
      <c r="G20838" s="2"/>
      <c r="H20838" s="2"/>
    </row>
    <row r="20839" spans="1:8" x14ac:dyDescent="0.25">
      <c r="A20839" s="1"/>
      <c r="B20839" s="1" t="s">
        <v>7328</v>
      </c>
      <c r="C20839" s="1" t="s">
        <v>7329</v>
      </c>
      <c r="D20839" s="22" t="str">
        <f>HYPERLINK("https://rhld.insurance.arkansas.gov/NPILookup?Npi=1013083781","1013083781")</f>
        <v>1013083781</v>
      </c>
      <c r="E20839" s="1" t="s">
        <v>25166</v>
      </c>
      <c r="F20839" s="2"/>
      <c r="G20839" s="2"/>
      <c r="H20839" s="2"/>
    </row>
    <row r="20840" spans="1:8" x14ac:dyDescent="0.25">
      <c r="A20840" s="1"/>
      <c r="B20840" s="1" t="s">
        <v>7328</v>
      </c>
      <c r="C20840" s="1" t="s">
        <v>7329</v>
      </c>
      <c r="D20840" s="22" t="str">
        <f>HYPERLINK("https://rhld.insurance.arkansas.gov/NPILookup?Npi=1013103449","1013103449")</f>
        <v>1013103449</v>
      </c>
      <c r="E20840" s="1" t="s">
        <v>17125</v>
      </c>
      <c r="F20840" s="2"/>
      <c r="G20840" s="2"/>
      <c r="H20840" s="2"/>
    </row>
    <row r="20841" spans="1:8" x14ac:dyDescent="0.25">
      <c r="A20841" s="1"/>
      <c r="B20841" s="1" t="s">
        <v>7328</v>
      </c>
      <c r="C20841" s="1" t="s">
        <v>7329</v>
      </c>
      <c r="D20841" s="22" t="str">
        <f>HYPERLINK("https://rhld.insurance.arkansas.gov/NPILookup?Npi=1013141621","1013141621")</f>
        <v>1013141621</v>
      </c>
      <c r="E20841" s="1" t="s">
        <v>2586</v>
      </c>
      <c r="F20841" s="2"/>
      <c r="G20841" s="2"/>
      <c r="H20841" s="2"/>
    </row>
    <row r="20842" spans="1:8" x14ac:dyDescent="0.25">
      <c r="A20842" s="1"/>
      <c r="B20842" s="1" t="s">
        <v>7328</v>
      </c>
      <c r="C20842" s="1" t="s">
        <v>7329</v>
      </c>
      <c r="D20842" s="22" t="str">
        <f>HYPERLINK("https://rhld.insurance.arkansas.gov/NPILookup?Npi=1013148832","1013148832")</f>
        <v>1013148832</v>
      </c>
      <c r="E20842" s="1" t="s">
        <v>17126</v>
      </c>
      <c r="F20842" s="2"/>
      <c r="G20842" s="2"/>
      <c r="H20842" s="2"/>
    </row>
    <row r="20843" spans="1:8" x14ac:dyDescent="0.25">
      <c r="A20843" s="1"/>
      <c r="B20843" s="1" t="s">
        <v>7328</v>
      </c>
      <c r="C20843" s="1" t="s">
        <v>7329</v>
      </c>
      <c r="D20843" s="22" t="str">
        <f>HYPERLINK("https://rhld.insurance.arkansas.gov/NPILookup?Npi=1013149798","1013149798")</f>
        <v>1013149798</v>
      </c>
      <c r="E20843" s="1" t="s">
        <v>25167</v>
      </c>
      <c r="F20843" s="2"/>
      <c r="G20843" s="2"/>
      <c r="H20843" s="2"/>
    </row>
    <row r="20844" spans="1:8" x14ac:dyDescent="0.25">
      <c r="A20844" s="1"/>
      <c r="B20844" s="1" t="s">
        <v>7328</v>
      </c>
      <c r="C20844" s="1" t="s">
        <v>7329</v>
      </c>
      <c r="D20844" s="22" t="str">
        <f>HYPERLINK("https://rhld.insurance.arkansas.gov/NPILookup?Npi=1013159383","1013159383")</f>
        <v>1013159383</v>
      </c>
      <c r="E20844" s="1" t="s">
        <v>25168</v>
      </c>
      <c r="F20844" s="2"/>
      <c r="G20844" s="2"/>
      <c r="H20844" s="2"/>
    </row>
    <row r="20845" spans="1:8" x14ac:dyDescent="0.25">
      <c r="A20845" s="1"/>
      <c r="B20845" s="1" t="s">
        <v>7328</v>
      </c>
      <c r="C20845" s="1" t="s">
        <v>7329</v>
      </c>
      <c r="D20845" s="22" t="str">
        <f>HYPERLINK("https://rhld.insurance.arkansas.gov/NPILookup?Npi=1013189505","1013189505")</f>
        <v>1013189505</v>
      </c>
      <c r="E20845" s="1" t="s">
        <v>25169</v>
      </c>
      <c r="F20845" s="2"/>
      <c r="G20845" s="2"/>
      <c r="H20845" s="2"/>
    </row>
    <row r="20846" spans="1:8" x14ac:dyDescent="0.25">
      <c r="A20846" s="1"/>
      <c r="B20846" s="1" t="s">
        <v>7328</v>
      </c>
      <c r="C20846" s="1" t="s">
        <v>7329</v>
      </c>
      <c r="D20846" s="22" t="str">
        <f>HYPERLINK("https://rhld.insurance.arkansas.gov/NPILookup?Npi=1013206747","1013206747")</f>
        <v>1013206747</v>
      </c>
      <c r="E20846" s="1" t="s">
        <v>32078</v>
      </c>
      <c r="F20846" s="2"/>
      <c r="G20846" s="2"/>
      <c r="H20846" s="2"/>
    </row>
    <row r="20847" spans="1:8" x14ac:dyDescent="0.25">
      <c r="A20847" s="1"/>
      <c r="B20847" s="1" t="s">
        <v>7328</v>
      </c>
      <c r="C20847" s="1" t="s">
        <v>7329</v>
      </c>
      <c r="D20847" s="22" t="str">
        <f>HYPERLINK("https://rhld.insurance.arkansas.gov/NPILookup?Npi=1013223130","1013223130")</f>
        <v>1013223130</v>
      </c>
      <c r="E20847" s="1" t="s">
        <v>12589</v>
      </c>
      <c r="F20847" s="2"/>
      <c r="G20847" s="2"/>
      <c r="H20847" s="2"/>
    </row>
    <row r="20848" spans="1:8" x14ac:dyDescent="0.25">
      <c r="A20848" s="1"/>
      <c r="B20848" s="1" t="s">
        <v>7328</v>
      </c>
      <c r="C20848" s="1" t="s">
        <v>7329</v>
      </c>
      <c r="D20848" s="22" t="str">
        <f>HYPERLINK("https://rhld.insurance.arkansas.gov/NPILookup?Npi=1013241876","1013241876")</f>
        <v>1013241876</v>
      </c>
      <c r="E20848" s="1" t="s">
        <v>25170</v>
      </c>
      <c r="F20848" s="2"/>
      <c r="G20848" s="2"/>
      <c r="H20848" s="2"/>
    </row>
    <row r="20849" spans="1:8" x14ac:dyDescent="0.25">
      <c r="A20849" s="1"/>
      <c r="B20849" s="1" t="s">
        <v>7328</v>
      </c>
      <c r="C20849" s="1" t="s">
        <v>7329</v>
      </c>
      <c r="D20849" s="22" t="str">
        <f>HYPERLINK("https://rhld.insurance.arkansas.gov/NPILookup?Npi=1013250182","1013250182")</f>
        <v>1013250182</v>
      </c>
      <c r="E20849" s="1" t="s">
        <v>17128</v>
      </c>
      <c r="F20849" s="2"/>
      <c r="G20849" s="2"/>
      <c r="H20849" s="2"/>
    </row>
    <row r="20850" spans="1:8" x14ac:dyDescent="0.25">
      <c r="A20850" s="1"/>
      <c r="B20850" s="1" t="s">
        <v>7328</v>
      </c>
      <c r="C20850" s="1" t="s">
        <v>7329</v>
      </c>
      <c r="D20850" s="22" t="str">
        <f>HYPERLINK("https://rhld.insurance.arkansas.gov/NPILookup?Npi=1013255298","1013255298")</f>
        <v>1013255298</v>
      </c>
      <c r="E20850" s="1" t="s">
        <v>1947</v>
      </c>
      <c r="F20850" s="2"/>
      <c r="G20850" s="2"/>
      <c r="H20850" s="2"/>
    </row>
    <row r="20851" spans="1:8" x14ac:dyDescent="0.25">
      <c r="A20851" s="1"/>
      <c r="B20851" s="1" t="s">
        <v>7328</v>
      </c>
      <c r="C20851" s="1" t="s">
        <v>7329</v>
      </c>
      <c r="D20851" s="22" t="str">
        <f>HYPERLINK("https://rhld.insurance.arkansas.gov/NPILookup?Npi=1013262922","1013262922")</f>
        <v>1013262922</v>
      </c>
      <c r="E20851" s="1" t="s">
        <v>261</v>
      </c>
      <c r="F20851" s="2"/>
      <c r="G20851" s="2"/>
      <c r="H20851" s="2"/>
    </row>
    <row r="20852" spans="1:8" x14ac:dyDescent="0.25">
      <c r="A20852" s="1"/>
      <c r="B20852" s="1" t="s">
        <v>7328</v>
      </c>
      <c r="C20852" s="1" t="s">
        <v>7329</v>
      </c>
      <c r="D20852" s="22" t="str">
        <f>HYPERLINK("https://rhld.insurance.arkansas.gov/NPILookup?Npi=1013271485","1013271485")</f>
        <v>1013271485</v>
      </c>
      <c r="E20852" s="1" t="s">
        <v>2352</v>
      </c>
      <c r="F20852" s="2"/>
      <c r="G20852" s="2"/>
      <c r="H20852" s="2"/>
    </row>
    <row r="20853" spans="1:8" x14ac:dyDescent="0.25">
      <c r="A20853" s="1"/>
      <c r="B20853" s="1" t="s">
        <v>7328</v>
      </c>
      <c r="C20853" s="1" t="s">
        <v>7329</v>
      </c>
      <c r="D20853" s="22" t="str">
        <f>HYPERLINK("https://rhld.insurance.arkansas.gov/NPILookup?Npi=1013278167","1013278167")</f>
        <v>1013278167</v>
      </c>
      <c r="E20853" s="1" t="s">
        <v>12590</v>
      </c>
      <c r="F20853" s="2"/>
      <c r="G20853" s="2"/>
      <c r="H20853" s="2"/>
    </row>
    <row r="20854" spans="1:8" x14ac:dyDescent="0.25">
      <c r="A20854" s="1"/>
      <c r="B20854" s="1" t="s">
        <v>7328</v>
      </c>
      <c r="C20854" s="1" t="s">
        <v>7329</v>
      </c>
      <c r="D20854" s="22" t="str">
        <f>HYPERLINK("https://rhld.insurance.arkansas.gov/NPILookup?Npi=1013279918","1013279918")</f>
        <v>1013279918</v>
      </c>
      <c r="E20854" s="1" t="s">
        <v>12591</v>
      </c>
      <c r="F20854" s="2"/>
      <c r="G20854" s="2"/>
      <c r="H20854" s="2"/>
    </row>
    <row r="20855" spans="1:8" x14ac:dyDescent="0.25">
      <c r="A20855" s="1"/>
      <c r="B20855" s="1" t="s">
        <v>7328</v>
      </c>
      <c r="C20855" s="1" t="s">
        <v>7329</v>
      </c>
      <c r="D20855" s="22" t="str">
        <f>HYPERLINK("https://rhld.insurance.arkansas.gov/NPILookup?Npi=1013281609","1013281609")</f>
        <v>1013281609</v>
      </c>
      <c r="E20855" s="1" t="s">
        <v>25171</v>
      </c>
      <c r="F20855" s="2"/>
      <c r="G20855" s="2"/>
      <c r="H20855" s="2"/>
    </row>
    <row r="20856" spans="1:8" x14ac:dyDescent="0.25">
      <c r="A20856" s="1"/>
      <c r="B20856" s="1" t="s">
        <v>7328</v>
      </c>
      <c r="C20856" s="1" t="s">
        <v>7329</v>
      </c>
      <c r="D20856" s="22" t="str">
        <f>HYPERLINK("https://rhld.insurance.arkansas.gov/NPILookup?Npi=1013302587","1013302587")</f>
        <v>1013302587</v>
      </c>
      <c r="E20856" s="1" t="s">
        <v>12592</v>
      </c>
      <c r="F20856" s="2"/>
      <c r="G20856" s="2"/>
      <c r="H20856" s="2"/>
    </row>
    <row r="20857" spans="1:8" x14ac:dyDescent="0.25">
      <c r="A20857" s="1"/>
      <c r="B20857" s="1" t="s">
        <v>7328</v>
      </c>
      <c r="C20857" s="1" t="s">
        <v>7329</v>
      </c>
      <c r="D20857" s="22" t="str">
        <f>HYPERLINK("https://rhld.insurance.arkansas.gov/NPILookup?Npi=1013304393","1013304393")</f>
        <v>1013304393</v>
      </c>
      <c r="E20857" s="1" t="s">
        <v>10195</v>
      </c>
      <c r="F20857" s="2"/>
      <c r="G20857" s="2"/>
      <c r="H20857" s="2"/>
    </row>
    <row r="20858" spans="1:8" x14ac:dyDescent="0.25">
      <c r="A20858" s="1"/>
      <c r="B20858" s="1" t="s">
        <v>7328</v>
      </c>
      <c r="C20858" s="1" t="s">
        <v>7329</v>
      </c>
      <c r="D20858" s="22" t="str">
        <f>HYPERLINK("https://rhld.insurance.arkansas.gov/NPILookup?Npi=1013305564","1013305564")</f>
        <v>1013305564</v>
      </c>
      <c r="E20858" s="1" t="s">
        <v>25173</v>
      </c>
      <c r="F20858" s="2"/>
      <c r="G20858" s="2"/>
      <c r="H20858" s="2"/>
    </row>
    <row r="20859" spans="1:8" x14ac:dyDescent="0.25">
      <c r="A20859" s="1"/>
      <c r="B20859" s="1" t="s">
        <v>7328</v>
      </c>
      <c r="C20859" s="1" t="s">
        <v>7329</v>
      </c>
      <c r="D20859" s="22" t="str">
        <f>HYPERLINK("https://rhld.insurance.arkansas.gov/NPILookup?Npi=1013305895","1013305895")</f>
        <v>1013305895</v>
      </c>
      <c r="E20859" s="1" t="s">
        <v>32079</v>
      </c>
      <c r="F20859" s="2"/>
      <c r="G20859" s="2"/>
      <c r="H20859" s="2"/>
    </row>
    <row r="20860" spans="1:8" x14ac:dyDescent="0.25">
      <c r="A20860" s="1"/>
      <c r="B20860" s="1" t="s">
        <v>7328</v>
      </c>
      <c r="C20860" s="1" t="s">
        <v>7329</v>
      </c>
      <c r="D20860" s="22" t="str">
        <f>HYPERLINK("https://rhld.insurance.arkansas.gov/NPILookup?Npi=1013308436","1013308436")</f>
        <v>1013308436</v>
      </c>
      <c r="E20860" s="1" t="s">
        <v>1693</v>
      </c>
      <c r="F20860" s="2"/>
      <c r="G20860" s="2"/>
      <c r="H20860" s="2"/>
    </row>
    <row r="20861" spans="1:8" x14ac:dyDescent="0.25">
      <c r="A20861" s="1"/>
      <c r="B20861" s="1" t="s">
        <v>7328</v>
      </c>
      <c r="C20861" s="1" t="s">
        <v>7329</v>
      </c>
      <c r="D20861" s="22" t="str">
        <f>HYPERLINK("https://rhld.insurance.arkansas.gov/NPILookup?Npi=1013324193","1013324193")</f>
        <v>1013324193</v>
      </c>
      <c r="E20861" s="1" t="s">
        <v>25174</v>
      </c>
      <c r="F20861" s="2"/>
      <c r="G20861" s="2"/>
      <c r="H20861" s="2"/>
    </row>
    <row r="20862" spans="1:8" x14ac:dyDescent="0.25">
      <c r="A20862" s="1"/>
      <c r="B20862" s="1" t="s">
        <v>7328</v>
      </c>
      <c r="C20862" s="1" t="s">
        <v>7329</v>
      </c>
      <c r="D20862" s="22" t="str">
        <f>HYPERLINK("https://rhld.insurance.arkansas.gov/NPILookup?Npi=1013324631","1013324631")</f>
        <v>1013324631</v>
      </c>
      <c r="E20862" s="1" t="s">
        <v>25175</v>
      </c>
      <c r="F20862" s="2"/>
      <c r="G20862" s="2"/>
      <c r="H20862" s="2"/>
    </row>
    <row r="20863" spans="1:8" x14ac:dyDescent="0.25">
      <c r="A20863" s="1"/>
      <c r="B20863" s="1" t="s">
        <v>7328</v>
      </c>
      <c r="C20863" s="1" t="s">
        <v>7329</v>
      </c>
      <c r="D20863" s="22" t="str">
        <f>HYPERLINK("https://rhld.insurance.arkansas.gov/NPILookup?Npi=1013324722","1013324722")</f>
        <v>1013324722</v>
      </c>
      <c r="E20863" s="1" t="s">
        <v>824</v>
      </c>
      <c r="F20863" s="2"/>
      <c r="G20863" s="2"/>
      <c r="H20863" s="2"/>
    </row>
    <row r="20864" spans="1:8" x14ac:dyDescent="0.25">
      <c r="A20864" s="1"/>
      <c r="B20864" s="1" t="s">
        <v>7328</v>
      </c>
      <c r="C20864" s="1" t="s">
        <v>7329</v>
      </c>
      <c r="D20864" s="22" t="str">
        <f>HYPERLINK("https://rhld.insurance.arkansas.gov/NPILookup?Npi=1013329218","1013329218")</f>
        <v>1013329218</v>
      </c>
      <c r="E20864" s="1" t="s">
        <v>25176</v>
      </c>
      <c r="F20864" s="2"/>
      <c r="G20864" s="2"/>
      <c r="H20864" s="2"/>
    </row>
    <row r="20865" spans="1:8" x14ac:dyDescent="0.25">
      <c r="A20865" s="1"/>
      <c r="B20865" s="1" t="s">
        <v>7328</v>
      </c>
      <c r="C20865" s="1" t="s">
        <v>7329</v>
      </c>
      <c r="D20865" s="22" t="str">
        <f>HYPERLINK("https://rhld.insurance.arkansas.gov/NPILookup?Npi=1013336296","1013336296")</f>
        <v>1013336296</v>
      </c>
      <c r="E20865" s="1" t="s">
        <v>2587</v>
      </c>
      <c r="F20865" s="2"/>
      <c r="G20865" s="2"/>
      <c r="H20865" s="2"/>
    </row>
    <row r="20866" spans="1:8" x14ac:dyDescent="0.25">
      <c r="A20866" s="1"/>
      <c r="B20866" s="1" t="s">
        <v>7328</v>
      </c>
      <c r="C20866" s="1" t="s">
        <v>7329</v>
      </c>
      <c r="D20866" s="22" t="str">
        <f>HYPERLINK("https://rhld.insurance.arkansas.gov/NPILookup?Npi=1013339266","1013339266")</f>
        <v>1013339266</v>
      </c>
      <c r="E20866" s="1" t="s">
        <v>25177</v>
      </c>
      <c r="F20866" s="2"/>
      <c r="G20866" s="2"/>
      <c r="H20866" s="2"/>
    </row>
    <row r="20867" spans="1:8" x14ac:dyDescent="0.25">
      <c r="A20867" s="1"/>
      <c r="B20867" s="1" t="s">
        <v>7328</v>
      </c>
      <c r="C20867" s="1" t="s">
        <v>7329</v>
      </c>
      <c r="D20867" s="22" t="str">
        <f>HYPERLINK("https://rhld.insurance.arkansas.gov/NPILookup?Npi=1013340744","1013340744")</f>
        <v>1013340744</v>
      </c>
      <c r="E20867" s="1" t="s">
        <v>2269</v>
      </c>
      <c r="F20867" s="2"/>
      <c r="G20867" s="2"/>
      <c r="H20867" s="2"/>
    </row>
    <row r="20868" spans="1:8" x14ac:dyDescent="0.25">
      <c r="A20868" s="1"/>
      <c r="B20868" s="1" t="s">
        <v>7328</v>
      </c>
      <c r="C20868" s="1" t="s">
        <v>7329</v>
      </c>
      <c r="D20868" s="22" t="str">
        <f>HYPERLINK("https://rhld.insurance.arkansas.gov/NPILookup?Npi=1013353150","1013353150")</f>
        <v>1013353150</v>
      </c>
      <c r="E20868" s="1" t="s">
        <v>15701</v>
      </c>
      <c r="F20868" s="2"/>
      <c r="G20868" s="2"/>
      <c r="H20868" s="2"/>
    </row>
    <row r="20869" spans="1:8" x14ac:dyDescent="0.25">
      <c r="A20869" s="1"/>
      <c r="B20869" s="1" t="s">
        <v>7328</v>
      </c>
      <c r="C20869" s="1" t="s">
        <v>7329</v>
      </c>
      <c r="D20869" s="22" t="str">
        <f>HYPERLINK("https://rhld.insurance.arkansas.gov/NPILookup?Npi=1013358704","1013358704")</f>
        <v>1013358704</v>
      </c>
      <c r="E20869" s="1" t="s">
        <v>25178</v>
      </c>
      <c r="F20869" s="2"/>
      <c r="G20869" s="2"/>
      <c r="H20869" s="2"/>
    </row>
    <row r="20870" spans="1:8" x14ac:dyDescent="0.25">
      <c r="A20870" s="1"/>
      <c r="B20870" s="1" t="s">
        <v>7328</v>
      </c>
      <c r="C20870" s="1" t="s">
        <v>7329</v>
      </c>
      <c r="D20870" s="22" t="str">
        <f>HYPERLINK("https://rhld.insurance.arkansas.gov/NPILookup?Npi=1013359769","1013359769")</f>
        <v>1013359769</v>
      </c>
      <c r="E20870" s="1" t="s">
        <v>25179</v>
      </c>
      <c r="F20870" s="2"/>
      <c r="G20870" s="2"/>
      <c r="H20870" s="2"/>
    </row>
    <row r="20871" spans="1:8" x14ac:dyDescent="0.25">
      <c r="A20871" s="1"/>
      <c r="B20871" s="1" t="s">
        <v>7328</v>
      </c>
      <c r="C20871" s="1" t="s">
        <v>7329</v>
      </c>
      <c r="D20871" s="22" t="str">
        <f>HYPERLINK("https://rhld.insurance.arkansas.gov/NPILookup?Npi=1013367226","1013367226")</f>
        <v>1013367226</v>
      </c>
      <c r="E20871" s="1" t="s">
        <v>25180</v>
      </c>
      <c r="F20871" s="2"/>
      <c r="G20871" s="2"/>
      <c r="H20871" s="2"/>
    </row>
    <row r="20872" spans="1:8" x14ac:dyDescent="0.25">
      <c r="A20872" s="1"/>
      <c r="B20872" s="1" t="s">
        <v>7328</v>
      </c>
      <c r="C20872" s="1" t="s">
        <v>7329</v>
      </c>
      <c r="D20872" s="22" t="str">
        <f>HYPERLINK("https://rhld.insurance.arkansas.gov/NPILookup?Npi=1013369404","1013369404")</f>
        <v>1013369404</v>
      </c>
      <c r="E20872" s="1" t="s">
        <v>20921</v>
      </c>
      <c r="F20872" s="2"/>
      <c r="G20872" s="2"/>
      <c r="H20872" s="2"/>
    </row>
    <row r="20873" spans="1:8" x14ac:dyDescent="0.25">
      <c r="A20873" s="1"/>
      <c r="B20873" s="1" t="s">
        <v>7328</v>
      </c>
      <c r="C20873" s="1" t="s">
        <v>7329</v>
      </c>
      <c r="D20873" s="22" t="str">
        <f>HYPERLINK("https://rhld.insurance.arkansas.gov/NPILookup?Npi=1013375815","1013375815")</f>
        <v>1013375815</v>
      </c>
      <c r="E20873" s="1" t="s">
        <v>2588</v>
      </c>
      <c r="F20873" s="2"/>
      <c r="G20873" s="2"/>
      <c r="H20873" s="2"/>
    </row>
    <row r="20874" spans="1:8" x14ac:dyDescent="0.25">
      <c r="A20874" s="1"/>
      <c r="B20874" s="1" t="s">
        <v>7328</v>
      </c>
      <c r="C20874" s="1" t="s">
        <v>7329</v>
      </c>
      <c r="D20874" s="22" t="str">
        <f>HYPERLINK("https://rhld.insurance.arkansas.gov/NPILookup?Npi=1013377415","1013377415")</f>
        <v>1013377415</v>
      </c>
      <c r="E20874" s="1" t="s">
        <v>1249</v>
      </c>
      <c r="F20874" s="2"/>
      <c r="G20874" s="2"/>
      <c r="H20874" s="2"/>
    </row>
    <row r="20875" spans="1:8" x14ac:dyDescent="0.25">
      <c r="A20875" s="1"/>
      <c r="B20875" s="1" t="s">
        <v>7328</v>
      </c>
      <c r="C20875" s="1" t="s">
        <v>7329</v>
      </c>
      <c r="D20875" s="22" t="str">
        <f>HYPERLINK("https://rhld.insurance.arkansas.gov/NPILookup?Npi=1013380013","1013380013")</f>
        <v>1013380013</v>
      </c>
      <c r="E20875" s="1" t="s">
        <v>25181</v>
      </c>
      <c r="F20875" s="2"/>
      <c r="G20875" s="2"/>
      <c r="H20875" s="2"/>
    </row>
    <row r="20876" spans="1:8" x14ac:dyDescent="0.25">
      <c r="A20876" s="1"/>
      <c r="B20876" s="1" t="s">
        <v>7328</v>
      </c>
      <c r="C20876" s="1" t="s">
        <v>7329</v>
      </c>
      <c r="D20876" s="22" t="str">
        <f>HYPERLINK("https://rhld.insurance.arkansas.gov/NPILookup?Npi=1013415355","1013415355")</f>
        <v>1013415355</v>
      </c>
      <c r="E20876" s="1" t="s">
        <v>25182</v>
      </c>
      <c r="F20876" s="2"/>
      <c r="G20876" s="2"/>
      <c r="H20876" s="2"/>
    </row>
    <row r="20877" spans="1:8" x14ac:dyDescent="0.25">
      <c r="A20877" s="1"/>
      <c r="B20877" s="1" t="s">
        <v>7328</v>
      </c>
      <c r="C20877" s="1" t="s">
        <v>7329</v>
      </c>
      <c r="D20877" s="22" t="str">
        <f>HYPERLINK("https://rhld.insurance.arkansas.gov/NPILookup?Npi=1013417518","1013417518")</f>
        <v>1013417518</v>
      </c>
      <c r="E20877" s="1" t="s">
        <v>25183</v>
      </c>
      <c r="F20877" s="2"/>
      <c r="G20877" s="2"/>
      <c r="H20877" s="2"/>
    </row>
    <row r="20878" spans="1:8" x14ac:dyDescent="0.25">
      <c r="A20878" s="1"/>
      <c r="B20878" s="1" t="s">
        <v>7328</v>
      </c>
      <c r="C20878" s="1" t="s">
        <v>7329</v>
      </c>
      <c r="D20878" s="22" t="str">
        <f>HYPERLINK("https://rhld.insurance.arkansas.gov/NPILookup?Npi=1013435718","1013435718")</f>
        <v>1013435718</v>
      </c>
      <c r="E20878" s="1" t="s">
        <v>32080</v>
      </c>
      <c r="F20878" s="2"/>
      <c r="G20878" s="2"/>
      <c r="H20878" s="2"/>
    </row>
    <row r="20879" spans="1:8" x14ac:dyDescent="0.25">
      <c r="A20879" s="1"/>
      <c r="B20879" s="1" t="s">
        <v>7328</v>
      </c>
      <c r="C20879" s="1" t="s">
        <v>7329</v>
      </c>
      <c r="D20879" s="22" t="str">
        <f>HYPERLINK("https://rhld.insurance.arkansas.gov/NPILookup?Npi=1013439082","1013439082")</f>
        <v>1013439082</v>
      </c>
      <c r="E20879" s="1" t="s">
        <v>25184</v>
      </c>
      <c r="F20879" s="2"/>
      <c r="G20879" s="2"/>
      <c r="H20879" s="2"/>
    </row>
    <row r="20880" spans="1:8" x14ac:dyDescent="0.25">
      <c r="A20880" s="1"/>
      <c r="B20880" s="1" t="s">
        <v>7328</v>
      </c>
      <c r="C20880" s="1" t="s">
        <v>7329</v>
      </c>
      <c r="D20880" s="22" t="str">
        <f>HYPERLINK("https://rhld.insurance.arkansas.gov/NPILookup?Npi=1013443589","1013443589")</f>
        <v>1013443589</v>
      </c>
      <c r="E20880" s="1" t="s">
        <v>25185</v>
      </c>
      <c r="F20880" s="2"/>
      <c r="G20880" s="2"/>
      <c r="H20880" s="2"/>
    </row>
    <row r="20881" spans="1:8" x14ac:dyDescent="0.25">
      <c r="A20881" s="1"/>
      <c r="B20881" s="1" t="s">
        <v>7328</v>
      </c>
      <c r="C20881" s="1" t="s">
        <v>7329</v>
      </c>
      <c r="D20881" s="22" t="str">
        <f>HYPERLINK("https://rhld.insurance.arkansas.gov/NPILookup?Npi=1013447846","1013447846")</f>
        <v>1013447846</v>
      </c>
      <c r="E20881" s="1" t="s">
        <v>1948</v>
      </c>
      <c r="F20881" s="2"/>
      <c r="G20881" s="2"/>
      <c r="H20881" s="2"/>
    </row>
    <row r="20882" spans="1:8" x14ac:dyDescent="0.25">
      <c r="A20882" s="1"/>
      <c r="B20882" s="1" t="s">
        <v>7328</v>
      </c>
      <c r="C20882" s="1" t="s">
        <v>7329</v>
      </c>
      <c r="D20882" s="22" t="str">
        <f>HYPERLINK("https://rhld.insurance.arkansas.gov/NPILookup?Npi=1013473008","1013473008")</f>
        <v>1013473008</v>
      </c>
      <c r="E20882" s="1" t="s">
        <v>25186</v>
      </c>
      <c r="F20882" s="2"/>
      <c r="G20882" s="2"/>
      <c r="H20882" s="2"/>
    </row>
    <row r="20883" spans="1:8" x14ac:dyDescent="0.25">
      <c r="A20883" s="1"/>
      <c r="B20883" s="1" t="s">
        <v>7328</v>
      </c>
      <c r="C20883" s="1" t="s">
        <v>7329</v>
      </c>
      <c r="D20883" s="22" t="str">
        <f>HYPERLINK("https://rhld.insurance.arkansas.gov/NPILookup?Npi=1013479989","1013479989")</f>
        <v>1013479989</v>
      </c>
      <c r="E20883" s="1" t="s">
        <v>25187</v>
      </c>
      <c r="F20883" s="2"/>
      <c r="G20883" s="2"/>
      <c r="H20883" s="2"/>
    </row>
    <row r="20884" spans="1:8" x14ac:dyDescent="0.25">
      <c r="A20884" s="1"/>
      <c r="B20884" s="1" t="s">
        <v>7328</v>
      </c>
      <c r="C20884" s="1" t="s">
        <v>7329</v>
      </c>
      <c r="D20884" s="22" t="str">
        <f>HYPERLINK("https://rhld.insurance.arkansas.gov/NPILookup?Npi=1013489590","1013489590")</f>
        <v>1013489590</v>
      </c>
      <c r="E20884" s="1" t="s">
        <v>25188</v>
      </c>
      <c r="F20884" s="2"/>
      <c r="G20884" s="2"/>
      <c r="H20884" s="2"/>
    </row>
    <row r="20885" spans="1:8" x14ac:dyDescent="0.25">
      <c r="A20885" s="1"/>
      <c r="B20885" s="1" t="s">
        <v>7328</v>
      </c>
      <c r="C20885" s="1" t="s">
        <v>7329</v>
      </c>
      <c r="D20885" s="22" t="str">
        <f>HYPERLINK("https://rhld.insurance.arkansas.gov/NPILookup?Npi=1013493832","1013493832")</f>
        <v>1013493832</v>
      </c>
      <c r="E20885" s="1" t="s">
        <v>2589</v>
      </c>
      <c r="F20885" s="2"/>
      <c r="G20885" s="2"/>
      <c r="H20885" s="2"/>
    </row>
    <row r="20886" spans="1:8" x14ac:dyDescent="0.25">
      <c r="A20886" s="1"/>
      <c r="B20886" s="1" t="s">
        <v>7328</v>
      </c>
      <c r="C20886" s="1" t="s">
        <v>7329</v>
      </c>
      <c r="D20886" s="22" t="str">
        <f>HYPERLINK("https://rhld.insurance.arkansas.gov/NPILookup?Npi=1013493865","1013493865")</f>
        <v>1013493865</v>
      </c>
      <c r="E20886" s="1" t="s">
        <v>25189</v>
      </c>
      <c r="F20886" s="2"/>
      <c r="G20886" s="2"/>
      <c r="H20886" s="2"/>
    </row>
    <row r="20887" spans="1:8" x14ac:dyDescent="0.25">
      <c r="A20887" s="1"/>
      <c r="B20887" s="1" t="s">
        <v>7328</v>
      </c>
      <c r="C20887" s="1" t="s">
        <v>7329</v>
      </c>
      <c r="D20887" s="22" t="str">
        <f>HYPERLINK("https://rhld.insurance.arkansas.gov/NPILookup?Npi=1013513589","1013513589")</f>
        <v>1013513589</v>
      </c>
      <c r="E20887" s="1" t="s">
        <v>2590</v>
      </c>
      <c r="F20887" s="2"/>
      <c r="G20887" s="2"/>
      <c r="H20887" s="2"/>
    </row>
    <row r="20888" spans="1:8" x14ac:dyDescent="0.25">
      <c r="A20888" s="1"/>
      <c r="B20888" s="1" t="s">
        <v>7328</v>
      </c>
      <c r="C20888" s="1" t="s">
        <v>7329</v>
      </c>
      <c r="D20888" s="22" t="str">
        <f>HYPERLINK("https://rhld.insurance.arkansas.gov/NPILookup?Npi=1013515857","1013515857")</f>
        <v>1013515857</v>
      </c>
      <c r="E20888" s="1" t="s">
        <v>25190</v>
      </c>
      <c r="F20888" s="2"/>
      <c r="G20888" s="2"/>
      <c r="H20888" s="2"/>
    </row>
    <row r="20889" spans="1:8" x14ac:dyDescent="0.25">
      <c r="A20889" s="1"/>
      <c r="B20889" s="1" t="s">
        <v>7328</v>
      </c>
      <c r="C20889" s="1" t="s">
        <v>7329</v>
      </c>
      <c r="D20889" s="22" t="str">
        <f>HYPERLINK("https://rhld.insurance.arkansas.gov/NPILookup?Npi=1013524388","1013524388")</f>
        <v>1013524388</v>
      </c>
      <c r="E20889" s="1" t="s">
        <v>25191</v>
      </c>
      <c r="F20889" s="2"/>
      <c r="G20889" s="2"/>
      <c r="H20889" s="2"/>
    </row>
    <row r="20890" spans="1:8" x14ac:dyDescent="0.25">
      <c r="A20890" s="1"/>
      <c r="B20890" s="1" t="s">
        <v>7328</v>
      </c>
      <c r="C20890" s="1" t="s">
        <v>7329</v>
      </c>
      <c r="D20890" s="22" t="str">
        <f>HYPERLINK("https://rhld.insurance.arkansas.gov/NPILookup?Npi=1013524495","1013524495")</f>
        <v>1013524495</v>
      </c>
      <c r="E20890" s="1" t="s">
        <v>25192</v>
      </c>
      <c r="F20890" s="2"/>
      <c r="G20890" s="2"/>
      <c r="H20890" s="2"/>
    </row>
    <row r="20891" spans="1:8" x14ac:dyDescent="0.25">
      <c r="A20891" s="1"/>
      <c r="B20891" s="1" t="s">
        <v>7328</v>
      </c>
      <c r="C20891" s="1" t="s">
        <v>7329</v>
      </c>
      <c r="D20891" s="22" t="str">
        <f>HYPERLINK("https://rhld.insurance.arkansas.gov/NPILookup?Npi=1013528728","1013528728")</f>
        <v>1013528728</v>
      </c>
      <c r="E20891" s="1" t="s">
        <v>25193</v>
      </c>
      <c r="F20891" s="2"/>
      <c r="G20891" s="2"/>
      <c r="H20891" s="2"/>
    </row>
    <row r="20892" spans="1:8" x14ac:dyDescent="0.25">
      <c r="A20892" s="1"/>
      <c r="B20892" s="1" t="s">
        <v>7328</v>
      </c>
      <c r="C20892" s="1" t="s">
        <v>7329</v>
      </c>
      <c r="D20892" s="22" t="str">
        <f>HYPERLINK("https://rhld.insurance.arkansas.gov/NPILookup?Npi=1013548783","1013548783")</f>
        <v>1013548783</v>
      </c>
      <c r="E20892" s="1" t="s">
        <v>20932</v>
      </c>
      <c r="F20892" s="2"/>
      <c r="G20892" s="2"/>
      <c r="H20892" s="2"/>
    </row>
    <row r="20893" spans="1:8" x14ac:dyDescent="0.25">
      <c r="A20893" s="1"/>
      <c r="B20893" s="1" t="s">
        <v>7328</v>
      </c>
      <c r="C20893" s="1" t="s">
        <v>7329</v>
      </c>
      <c r="D20893" s="22" t="str">
        <f>HYPERLINK("https://rhld.insurance.arkansas.gov/NPILookup?Npi=1013560655","1013560655")</f>
        <v>1013560655</v>
      </c>
      <c r="E20893" s="1" t="s">
        <v>25194</v>
      </c>
      <c r="F20893" s="2"/>
      <c r="G20893" s="2"/>
      <c r="H20893" s="2"/>
    </row>
    <row r="20894" spans="1:8" x14ac:dyDescent="0.25">
      <c r="A20894" s="1"/>
      <c r="B20894" s="1" t="s">
        <v>7328</v>
      </c>
      <c r="C20894" s="1" t="s">
        <v>7329</v>
      </c>
      <c r="D20894" s="22" t="str">
        <f>HYPERLINK("https://rhld.insurance.arkansas.gov/NPILookup?Npi=1013563493","1013563493")</f>
        <v>1013563493</v>
      </c>
      <c r="E20894" s="1" t="s">
        <v>1740</v>
      </c>
      <c r="F20894" s="2"/>
      <c r="G20894" s="2"/>
      <c r="H20894" s="2"/>
    </row>
    <row r="20895" spans="1:8" x14ac:dyDescent="0.25">
      <c r="A20895" s="1"/>
      <c r="B20895" s="1" t="s">
        <v>7328</v>
      </c>
      <c r="C20895" s="1" t="s">
        <v>7329</v>
      </c>
      <c r="D20895" s="22" t="str">
        <f>HYPERLINK("https://rhld.insurance.arkansas.gov/NPILookup?Npi=1013568013","1013568013")</f>
        <v>1013568013</v>
      </c>
      <c r="E20895" s="1" t="s">
        <v>32081</v>
      </c>
      <c r="F20895" s="2"/>
      <c r="G20895" s="2"/>
      <c r="H20895" s="2"/>
    </row>
    <row r="20896" spans="1:8" x14ac:dyDescent="0.25">
      <c r="A20896" s="1"/>
      <c r="B20896" s="1" t="s">
        <v>7328</v>
      </c>
      <c r="C20896" s="1" t="s">
        <v>7329</v>
      </c>
      <c r="D20896" s="22" t="str">
        <f>HYPERLINK("https://rhld.insurance.arkansas.gov/NPILookup?Npi=1013568997","1013568997")</f>
        <v>1013568997</v>
      </c>
      <c r="E20896" s="1" t="s">
        <v>2591</v>
      </c>
      <c r="F20896" s="2"/>
      <c r="G20896" s="2"/>
      <c r="H20896" s="2"/>
    </row>
    <row r="20897" spans="1:8" x14ac:dyDescent="0.25">
      <c r="A20897" s="1"/>
      <c r="B20897" s="1" t="s">
        <v>7328</v>
      </c>
      <c r="C20897" s="1" t="s">
        <v>7329</v>
      </c>
      <c r="D20897" s="22" t="str">
        <f>HYPERLINK("https://rhld.insurance.arkansas.gov/NPILookup?Npi=1013571876","1013571876")</f>
        <v>1013571876</v>
      </c>
      <c r="E20897" s="1" t="s">
        <v>7338</v>
      </c>
      <c r="F20897" s="2"/>
      <c r="G20897" s="2"/>
      <c r="H20897" s="2"/>
    </row>
    <row r="20898" spans="1:8" x14ac:dyDescent="0.25">
      <c r="A20898" s="1"/>
      <c r="B20898" s="1" t="s">
        <v>7328</v>
      </c>
      <c r="C20898" s="1" t="s">
        <v>7329</v>
      </c>
      <c r="D20898" s="22" t="str">
        <f>HYPERLINK("https://rhld.insurance.arkansas.gov/NPILookup?Npi=1013580448","1013580448")</f>
        <v>1013580448</v>
      </c>
      <c r="E20898" s="1" t="s">
        <v>25195</v>
      </c>
      <c r="F20898" s="2"/>
      <c r="G20898" s="2"/>
      <c r="H20898" s="2"/>
    </row>
    <row r="20899" spans="1:8" x14ac:dyDescent="0.25">
      <c r="A20899" s="1"/>
      <c r="B20899" s="1" t="s">
        <v>7328</v>
      </c>
      <c r="C20899" s="1" t="s">
        <v>7329</v>
      </c>
      <c r="D20899" s="22" t="str">
        <f>HYPERLINK("https://rhld.insurance.arkansas.gov/NPILookup?Npi=1013587575","1013587575")</f>
        <v>1013587575</v>
      </c>
      <c r="E20899" s="1" t="s">
        <v>2353</v>
      </c>
      <c r="F20899" s="2"/>
      <c r="G20899" s="2"/>
      <c r="H20899" s="2"/>
    </row>
    <row r="20900" spans="1:8" x14ac:dyDescent="0.25">
      <c r="A20900" s="1"/>
      <c r="B20900" s="1" t="s">
        <v>7328</v>
      </c>
      <c r="C20900" s="1" t="s">
        <v>7329</v>
      </c>
      <c r="D20900" s="22" t="str">
        <f>HYPERLINK("https://rhld.insurance.arkansas.gov/NPILookup?Npi=1013591478","1013591478")</f>
        <v>1013591478</v>
      </c>
      <c r="E20900" s="1" t="s">
        <v>12593</v>
      </c>
      <c r="F20900" s="2"/>
      <c r="G20900" s="2"/>
      <c r="H20900" s="2"/>
    </row>
    <row r="20901" spans="1:8" x14ac:dyDescent="0.25">
      <c r="A20901" s="1"/>
      <c r="B20901" s="1" t="s">
        <v>7328</v>
      </c>
      <c r="C20901" s="1" t="s">
        <v>7329</v>
      </c>
      <c r="D20901" s="22" t="str">
        <f>HYPERLINK("https://rhld.insurance.arkansas.gov/NPILookup?Npi=1013593383","1013593383")</f>
        <v>1013593383</v>
      </c>
      <c r="E20901" s="1" t="s">
        <v>25196</v>
      </c>
      <c r="F20901" s="2"/>
      <c r="G20901" s="2"/>
      <c r="H20901" s="2"/>
    </row>
    <row r="20902" spans="1:8" x14ac:dyDescent="0.25">
      <c r="A20902" s="1"/>
      <c r="B20902" s="1" t="s">
        <v>7328</v>
      </c>
      <c r="C20902" s="1" t="s">
        <v>7329</v>
      </c>
      <c r="D20902" s="22" t="str">
        <f>HYPERLINK("https://rhld.insurance.arkansas.gov/NPILookup?Npi=1013603232","1013603232")</f>
        <v>1013603232</v>
      </c>
      <c r="E20902" s="1" t="s">
        <v>12594</v>
      </c>
      <c r="F20902" s="2"/>
      <c r="G20902" s="2"/>
      <c r="H20902" s="2"/>
    </row>
    <row r="20903" spans="1:8" x14ac:dyDescent="0.25">
      <c r="A20903" s="1"/>
      <c r="B20903" s="1" t="s">
        <v>7328</v>
      </c>
      <c r="C20903" s="1" t="s">
        <v>7329</v>
      </c>
      <c r="D20903" s="22" t="str">
        <f>HYPERLINK("https://rhld.insurance.arkansas.gov/NPILookup?Npi=1013629674","1013629674")</f>
        <v>1013629674</v>
      </c>
      <c r="E20903" s="1" t="s">
        <v>25197</v>
      </c>
      <c r="F20903" s="2"/>
      <c r="G20903" s="2"/>
      <c r="H20903" s="2"/>
    </row>
    <row r="20904" spans="1:8" x14ac:dyDescent="0.25">
      <c r="A20904" s="1"/>
      <c r="B20904" s="1" t="s">
        <v>7328</v>
      </c>
      <c r="C20904" s="1" t="s">
        <v>7329</v>
      </c>
      <c r="D20904" s="22" t="str">
        <f>HYPERLINK("https://rhld.insurance.arkansas.gov/NPILookup?Npi=1013636695","1013636695")</f>
        <v>1013636695</v>
      </c>
      <c r="E20904" s="1" t="s">
        <v>25198</v>
      </c>
      <c r="F20904" s="2"/>
      <c r="G20904" s="2"/>
      <c r="H20904" s="2"/>
    </row>
    <row r="20905" spans="1:8" x14ac:dyDescent="0.25">
      <c r="A20905" s="1"/>
      <c r="B20905" s="1" t="s">
        <v>7328</v>
      </c>
      <c r="C20905" s="1" t="s">
        <v>7329</v>
      </c>
      <c r="D20905" s="22" t="str">
        <f>HYPERLINK("https://rhld.insurance.arkansas.gov/NPILookup?Npi=1013658822","1013658822")</f>
        <v>1013658822</v>
      </c>
      <c r="E20905" s="1" t="s">
        <v>25199</v>
      </c>
      <c r="F20905" s="2"/>
      <c r="G20905" s="2"/>
      <c r="H20905" s="2"/>
    </row>
    <row r="20906" spans="1:8" x14ac:dyDescent="0.25">
      <c r="A20906" s="1"/>
      <c r="B20906" s="1" t="s">
        <v>7328</v>
      </c>
      <c r="C20906" s="1" t="s">
        <v>7329</v>
      </c>
      <c r="D20906" s="22" t="str">
        <f>HYPERLINK("https://rhld.insurance.arkansas.gov/NPILookup?Npi=1013664093","1013664093")</f>
        <v>1013664093</v>
      </c>
      <c r="E20906" s="1" t="s">
        <v>25200</v>
      </c>
      <c r="F20906" s="2"/>
      <c r="G20906" s="2"/>
      <c r="H20906" s="2"/>
    </row>
    <row r="20907" spans="1:8" x14ac:dyDescent="0.25">
      <c r="A20907" s="1"/>
      <c r="B20907" s="1" t="s">
        <v>7328</v>
      </c>
      <c r="C20907" s="1" t="s">
        <v>7329</v>
      </c>
      <c r="D20907" s="22" t="str">
        <f>HYPERLINK("https://rhld.insurance.arkansas.gov/NPILookup?Npi=1013684760","1013684760")</f>
        <v>1013684760</v>
      </c>
      <c r="E20907" s="1" t="s">
        <v>32082</v>
      </c>
      <c r="F20907" s="2"/>
      <c r="G20907" s="2"/>
      <c r="H20907" s="2"/>
    </row>
    <row r="20908" spans="1:8" x14ac:dyDescent="0.25">
      <c r="A20908" s="1"/>
      <c r="B20908" s="1" t="s">
        <v>7328</v>
      </c>
      <c r="C20908" s="1" t="s">
        <v>7329</v>
      </c>
      <c r="D20908" s="22" t="str">
        <f>HYPERLINK("https://rhld.insurance.arkansas.gov/NPILookup?Npi=1013695469","1013695469")</f>
        <v>1013695469</v>
      </c>
      <c r="E20908" s="1" t="s">
        <v>7339</v>
      </c>
      <c r="F20908" s="2"/>
      <c r="G20908" s="2"/>
      <c r="H20908" s="2"/>
    </row>
    <row r="20909" spans="1:8" x14ac:dyDescent="0.25">
      <c r="A20909" s="1"/>
      <c r="B20909" s="1" t="s">
        <v>7328</v>
      </c>
      <c r="C20909" s="1" t="s">
        <v>7329</v>
      </c>
      <c r="D20909" s="22" t="str">
        <f>HYPERLINK("https://rhld.insurance.arkansas.gov/NPILookup?Npi=1013759570","1013759570")</f>
        <v>1013759570</v>
      </c>
      <c r="E20909" s="1" t="s">
        <v>25201</v>
      </c>
      <c r="F20909" s="2"/>
      <c r="G20909" s="2"/>
      <c r="H20909" s="2"/>
    </row>
    <row r="20910" spans="1:8" x14ac:dyDescent="0.25">
      <c r="A20910" s="1"/>
      <c r="B20910" s="1" t="s">
        <v>7328</v>
      </c>
      <c r="C20910" s="1" t="s">
        <v>7329</v>
      </c>
      <c r="D20910" s="22" t="str">
        <f>HYPERLINK("https://rhld.insurance.arkansas.gov/NPILookup?Npi=1013778612","1013778612")</f>
        <v>1013778612</v>
      </c>
      <c r="E20910" s="1" t="s">
        <v>25202</v>
      </c>
      <c r="F20910" s="2"/>
      <c r="G20910" s="2"/>
      <c r="H20910" s="2"/>
    </row>
    <row r="20911" spans="1:8" x14ac:dyDescent="0.25">
      <c r="A20911" s="1"/>
      <c r="B20911" s="1" t="s">
        <v>7328</v>
      </c>
      <c r="C20911" s="1" t="s">
        <v>7329</v>
      </c>
      <c r="D20911" s="22" t="str">
        <f>HYPERLINK("https://rhld.insurance.arkansas.gov/NPILookup?Npi=1013901222","1013901222")</f>
        <v>1013901222</v>
      </c>
      <c r="E20911" s="1" t="s">
        <v>25203</v>
      </c>
      <c r="F20911" s="2"/>
      <c r="G20911" s="2"/>
      <c r="H20911" s="2"/>
    </row>
    <row r="20912" spans="1:8" x14ac:dyDescent="0.25">
      <c r="A20912" s="1"/>
      <c r="B20912" s="1" t="s">
        <v>7328</v>
      </c>
      <c r="C20912" s="1" t="s">
        <v>7329</v>
      </c>
      <c r="D20912" s="22" t="str">
        <f>HYPERLINK("https://rhld.insurance.arkansas.gov/NPILookup?Npi=1013903269","1013903269")</f>
        <v>1013903269</v>
      </c>
      <c r="E20912" s="1" t="s">
        <v>1949</v>
      </c>
      <c r="F20912" s="2"/>
      <c r="G20912" s="2"/>
      <c r="H20912" s="2"/>
    </row>
    <row r="20913" spans="1:8" x14ac:dyDescent="0.25">
      <c r="A20913" s="1"/>
      <c r="B20913" s="1" t="s">
        <v>7328</v>
      </c>
      <c r="C20913" s="1" t="s">
        <v>7329</v>
      </c>
      <c r="D20913" s="22" t="str">
        <f>HYPERLINK("https://rhld.insurance.arkansas.gov/NPILookup?Npi=1013922988","1013922988")</f>
        <v>1013922988</v>
      </c>
      <c r="E20913" s="1" t="s">
        <v>25204</v>
      </c>
      <c r="F20913" s="2"/>
      <c r="G20913" s="2"/>
      <c r="H20913" s="2"/>
    </row>
    <row r="20914" spans="1:8" x14ac:dyDescent="0.25">
      <c r="A20914" s="1"/>
      <c r="B20914" s="1" t="s">
        <v>7328</v>
      </c>
      <c r="C20914" s="1" t="s">
        <v>7329</v>
      </c>
      <c r="D20914" s="22" t="str">
        <f>HYPERLINK("https://rhld.insurance.arkansas.gov/NPILookup?Npi=1013945138","1013945138")</f>
        <v>1013945138</v>
      </c>
      <c r="E20914" s="1" t="s">
        <v>2592</v>
      </c>
      <c r="F20914" s="2"/>
      <c r="G20914" s="2"/>
      <c r="H20914" s="2"/>
    </row>
    <row r="20915" spans="1:8" x14ac:dyDescent="0.25">
      <c r="A20915" s="1"/>
      <c r="B20915" s="1" t="s">
        <v>7328</v>
      </c>
      <c r="C20915" s="1" t="s">
        <v>7329</v>
      </c>
      <c r="D20915" s="22" t="str">
        <f>HYPERLINK("https://rhld.insurance.arkansas.gov/NPILookup?Npi=1013949213","1013949213")</f>
        <v>1013949213</v>
      </c>
      <c r="E20915" s="1" t="s">
        <v>12595</v>
      </c>
      <c r="F20915" s="2"/>
      <c r="G20915" s="2"/>
      <c r="H20915" s="2"/>
    </row>
    <row r="20916" spans="1:8" x14ac:dyDescent="0.25">
      <c r="A20916" s="1"/>
      <c r="B20916" s="1" t="s">
        <v>7328</v>
      </c>
      <c r="C20916" s="1" t="s">
        <v>7329</v>
      </c>
      <c r="D20916" s="22" t="str">
        <f>HYPERLINK("https://rhld.insurance.arkansas.gov/NPILookup?Npi=1013953157","1013953157")</f>
        <v>1013953157</v>
      </c>
      <c r="E20916" s="1" t="s">
        <v>25205</v>
      </c>
      <c r="F20916" s="2"/>
      <c r="G20916" s="2"/>
      <c r="H20916" s="2"/>
    </row>
    <row r="20917" spans="1:8" x14ac:dyDescent="0.25">
      <c r="A20917" s="1"/>
      <c r="B20917" s="1" t="s">
        <v>7328</v>
      </c>
      <c r="C20917" s="1" t="s">
        <v>7329</v>
      </c>
      <c r="D20917" s="22" t="str">
        <f>HYPERLINK("https://rhld.insurance.arkansas.gov/NPILookup?Npi=1013958008","1013958008")</f>
        <v>1013958008</v>
      </c>
      <c r="E20917" s="1" t="s">
        <v>25206</v>
      </c>
      <c r="F20917" s="2"/>
      <c r="G20917" s="2"/>
      <c r="H20917" s="2"/>
    </row>
    <row r="20918" spans="1:8" x14ac:dyDescent="0.25">
      <c r="A20918" s="1"/>
      <c r="B20918" s="1" t="s">
        <v>7328</v>
      </c>
      <c r="C20918" s="1" t="s">
        <v>7329</v>
      </c>
      <c r="D20918" s="22" t="str">
        <f>HYPERLINK("https://rhld.insurance.arkansas.gov/NPILookup?Npi=1013958909","1013958909")</f>
        <v>1013958909</v>
      </c>
      <c r="E20918" s="1" t="s">
        <v>17133</v>
      </c>
      <c r="F20918" s="2"/>
      <c r="G20918" s="2"/>
      <c r="H20918" s="2"/>
    </row>
    <row r="20919" spans="1:8" x14ac:dyDescent="0.25">
      <c r="A20919" s="1"/>
      <c r="B20919" s="1" t="s">
        <v>7328</v>
      </c>
      <c r="C20919" s="1" t="s">
        <v>7329</v>
      </c>
      <c r="D20919" s="22" t="str">
        <f>HYPERLINK("https://rhld.insurance.arkansas.gov/NPILookup?Npi=1013983873","1013983873")</f>
        <v>1013983873</v>
      </c>
      <c r="E20919" s="1" t="s">
        <v>12596</v>
      </c>
      <c r="F20919" s="2"/>
      <c r="G20919" s="2"/>
      <c r="H20919" s="2"/>
    </row>
    <row r="20920" spans="1:8" x14ac:dyDescent="0.25">
      <c r="A20920" s="1"/>
      <c r="B20920" s="1" t="s">
        <v>7328</v>
      </c>
      <c r="C20920" s="1" t="s">
        <v>7329</v>
      </c>
      <c r="D20920" s="22" t="str">
        <f>HYPERLINK("https://rhld.insurance.arkansas.gov/NPILookup?Npi=1013991694","1013991694")</f>
        <v>1013991694</v>
      </c>
      <c r="E20920" s="1" t="s">
        <v>7340</v>
      </c>
      <c r="F20920" s="2"/>
      <c r="G20920" s="2"/>
      <c r="H20920" s="2"/>
    </row>
    <row r="20921" spans="1:8" x14ac:dyDescent="0.25">
      <c r="A20921" s="1"/>
      <c r="B20921" s="1" t="s">
        <v>7328</v>
      </c>
      <c r="C20921" s="1" t="s">
        <v>7329</v>
      </c>
      <c r="D20921" s="22" t="str">
        <f>HYPERLINK("https://rhld.insurance.arkansas.gov/NPILookup?Npi=1023003258","1023003258")</f>
        <v>1023003258</v>
      </c>
      <c r="E20921" s="1" t="s">
        <v>12597</v>
      </c>
      <c r="F20921" s="2"/>
      <c r="G20921" s="2"/>
      <c r="H20921" s="2"/>
    </row>
    <row r="20922" spans="1:8" x14ac:dyDescent="0.25">
      <c r="A20922" s="1"/>
      <c r="B20922" s="1" t="s">
        <v>7328</v>
      </c>
      <c r="C20922" s="1" t="s">
        <v>7329</v>
      </c>
      <c r="D20922" s="22" t="str">
        <f>HYPERLINK("https://rhld.insurance.arkansas.gov/NPILookup?Npi=1023015310","1023015310")</f>
        <v>1023015310</v>
      </c>
      <c r="E20922" s="1" t="s">
        <v>1202</v>
      </c>
      <c r="F20922" s="2"/>
      <c r="G20922" s="2"/>
      <c r="H20922" s="2"/>
    </row>
    <row r="20923" spans="1:8" x14ac:dyDescent="0.25">
      <c r="A20923" s="1"/>
      <c r="B20923" s="1" t="s">
        <v>7328</v>
      </c>
      <c r="C20923" s="1" t="s">
        <v>7329</v>
      </c>
      <c r="D20923" s="22" t="str">
        <f>HYPERLINK("https://rhld.insurance.arkansas.gov/NPILookup?Npi=1023018439","1023018439")</f>
        <v>1023018439</v>
      </c>
      <c r="E20923" s="1" t="s">
        <v>25207</v>
      </c>
      <c r="F20923" s="2"/>
      <c r="G20923" s="2"/>
      <c r="H20923" s="2"/>
    </row>
    <row r="20924" spans="1:8" x14ac:dyDescent="0.25">
      <c r="A20924" s="1"/>
      <c r="B20924" s="1" t="s">
        <v>7328</v>
      </c>
      <c r="C20924" s="1" t="s">
        <v>7329</v>
      </c>
      <c r="D20924" s="22" t="str">
        <f>HYPERLINK("https://rhld.insurance.arkansas.gov/NPILookup?Npi=1023019668","1023019668")</f>
        <v>1023019668</v>
      </c>
      <c r="E20924" s="1" t="s">
        <v>17135</v>
      </c>
      <c r="F20924" s="2"/>
      <c r="G20924" s="2"/>
      <c r="H20924" s="2"/>
    </row>
    <row r="20925" spans="1:8" x14ac:dyDescent="0.25">
      <c r="A20925" s="1"/>
      <c r="B20925" s="1" t="s">
        <v>7328</v>
      </c>
      <c r="C20925" s="1" t="s">
        <v>7329</v>
      </c>
      <c r="D20925" s="22" t="str">
        <f>HYPERLINK("https://rhld.insurance.arkansas.gov/NPILookup?Npi=1023033073","1023033073")</f>
        <v>1023033073</v>
      </c>
      <c r="E20925" s="1" t="s">
        <v>25208</v>
      </c>
      <c r="F20925" s="2"/>
      <c r="G20925" s="2"/>
      <c r="H20925" s="2"/>
    </row>
    <row r="20926" spans="1:8" x14ac:dyDescent="0.25">
      <c r="A20926" s="1"/>
      <c r="B20926" s="1" t="s">
        <v>7328</v>
      </c>
      <c r="C20926" s="1" t="s">
        <v>7329</v>
      </c>
      <c r="D20926" s="22" t="str">
        <f>HYPERLINK("https://rhld.insurance.arkansas.gov/NPILookup?Npi=1023048303","1023048303")</f>
        <v>1023048303</v>
      </c>
      <c r="E20926" s="1" t="s">
        <v>7341</v>
      </c>
      <c r="F20926" s="2"/>
      <c r="G20926" s="2"/>
      <c r="H20926" s="2"/>
    </row>
    <row r="20927" spans="1:8" x14ac:dyDescent="0.25">
      <c r="A20927" s="1"/>
      <c r="B20927" s="1" t="s">
        <v>7328</v>
      </c>
      <c r="C20927" s="1" t="s">
        <v>7329</v>
      </c>
      <c r="D20927" s="22" t="str">
        <f>HYPERLINK("https://rhld.insurance.arkansas.gov/NPILookup?Npi=1023059193","1023059193")</f>
        <v>1023059193</v>
      </c>
      <c r="E20927" s="1" t="s">
        <v>2593</v>
      </c>
      <c r="F20927" s="2"/>
      <c r="G20927" s="2"/>
      <c r="H20927" s="2"/>
    </row>
    <row r="20928" spans="1:8" x14ac:dyDescent="0.25">
      <c r="A20928" s="1"/>
      <c r="B20928" s="1" t="s">
        <v>7328</v>
      </c>
      <c r="C20928" s="1" t="s">
        <v>7329</v>
      </c>
      <c r="D20928" s="22" t="str">
        <f>HYPERLINK("https://rhld.insurance.arkansas.gov/NPILookup?Npi=1023072105","1023072105")</f>
        <v>1023072105</v>
      </c>
      <c r="E20928" s="1" t="s">
        <v>10196</v>
      </c>
      <c r="F20928" s="2"/>
      <c r="G20928" s="2"/>
      <c r="H20928" s="2"/>
    </row>
    <row r="20929" spans="1:8" x14ac:dyDescent="0.25">
      <c r="A20929" s="1"/>
      <c r="B20929" s="1" t="s">
        <v>7328</v>
      </c>
      <c r="C20929" s="1" t="s">
        <v>7329</v>
      </c>
      <c r="D20929" s="22" t="str">
        <f>HYPERLINK("https://rhld.insurance.arkansas.gov/NPILookup?Npi=1023074119","1023074119")</f>
        <v>1023074119</v>
      </c>
      <c r="E20929" s="1" t="s">
        <v>25209</v>
      </c>
      <c r="F20929" s="2"/>
      <c r="G20929" s="2"/>
      <c r="H20929" s="2"/>
    </row>
    <row r="20930" spans="1:8" x14ac:dyDescent="0.25">
      <c r="A20930" s="1"/>
      <c r="B20930" s="1" t="s">
        <v>7328</v>
      </c>
      <c r="C20930" s="1" t="s">
        <v>7329</v>
      </c>
      <c r="D20930" s="22" t="str">
        <f>HYPERLINK("https://rhld.insurance.arkansas.gov/NPILookup?Npi=1023074382","1023074382")</f>
        <v>1023074382</v>
      </c>
      <c r="E20930" s="1" t="s">
        <v>125</v>
      </c>
      <c r="F20930" s="2"/>
      <c r="G20930" s="2"/>
      <c r="H20930" s="2"/>
    </row>
    <row r="20931" spans="1:8" x14ac:dyDescent="0.25">
      <c r="A20931" s="1"/>
      <c r="B20931" s="1" t="s">
        <v>7328</v>
      </c>
      <c r="C20931" s="1" t="s">
        <v>7329</v>
      </c>
      <c r="D20931" s="22" t="str">
        <f>HYPERLINK("https://rhld.insurance.arkansas.gov/NPILookup?Npi=1023076619","1023076619")</f>
        <v>1023076619</v>
      </c>
      <c r="E20931" s="1" t="s">
        <v>23283</v>
      </c>
      <c r="F20931" s="2"/>
      <c r="G20931" s="2"/>
      <c r="H20931" s="2"/>
    </row>
    <row r="20932" spans="1:8" x14ac:dyDescent="0.25">
      <c r="A20932" s="1"/>
      <c r="B20932" s="1" t="s">
        <v>7328</v>
      </c>
      <c r="C20932" s="1" t="s">
        <v>7329</v>
      </c>
      <c r="D20932" s="22" t="str">
        <f>HYPERLINK("https://rhld.insurance.arkansas.gov/NPILookup?Npi=1023079985","1023079985")</f>
        <v>1023079985</v>
      </c>
      <c r="E20932" s="1" t="s">
        <v>93</v>
      </c>
      <c r="F20932" s="2"/>
      <c r="G20932" s="2"/>
      <c r="H20932" s="2"/>
    </row>
    <row r="20933" spans="1:8" x14ac:dyDescent="0.25">
      <c r="A20933" s="1"/>
      <c r="B20933" s="1" t="s">
        <v>7328</v>
      </c>
      <c r="C20933" s="1" t="s">
        <v>7329</v>
      </c>
      <c r="D20933" s="22" t="str">
        <f>HYPERLINK("https://rhld.insurance.arkansas.gov/NPILookup?Npi=1023082575","1023082575")</f>
        <v>1023082575</v>
      </c>
      <c r="E20933" s="1" t="s">
        <v>25210</v>
      </c>
      <c r="F20933" s="2"/>
      <c r="G20933" s="2"/>
      <c r="H20933" s="2"/>
    </row>
    <row r="20934" spans="1:8" x14ac:dyDescent="0.25">
      <c r="A20934" s="1"/>
      <c r="B20934" s="1" t="s">
        <v>7328</v>
      </c>
      <c r="C20934" s="1" t="s">
        <v>7329</v>
      </c>
      <c r="D20934" s="22" t="str">
        <f>HYPERLINK("https://rhld.insurance.arkansas.gov/NPILookup?Npi=1023086931","1023086931")</f>
        <v>1023086931</v>
      </c>
      <c r="E20934" s="1" t="s">
        <v>1367</v>
      </c>
      <c r="F20934" s="2"/>
      <c r="G20934" s="2"/>
      <c r="H20934" s="2"/>
    </row>
    <row r="20935" spans="1:8" x14ac:dyDescent="0.25">
      <c r="A20935" s="1"/>
      <c r="B20935" s="1" t="s">
        <v>7328</v>
      </c>
      <c r="C20935" s="1" t="s">
        <v>7329</v>
      </c>
      <c r="D20935" s="22" t="str">
        <f>HYPERLINK("https://rhld.insurance.arkansas.gov/NPILookup?Npi=1023090685","1023090685")</f>
        <v>1023090685</v>
      </c>
      <c r="E20935" s="1" t="s">
        <v>25211</v>
      </c>
      <c r="F20935" s="2"/>
      <c r="G20935" s="2"/>
      <c r="H20935" s="2"/>
    </row>
    <row r="20936" spans="1:8" x14ac:dyDescent="0.25">
      <c r="A20936" s="1"/>
      <c r="B20936" s="1" t="s">
        <v>7328</v>
      </c>
      <c r="C20936" s="1" t="s">
        <v>7329</v>
      </c>
      <c r="D20936" s="22" t="str">
        <f>HYPERLINK("https://rhld.insurance.arkansas.gov/NPILookup?Npi=1023093655","1023093655")</f>
        <v>1023093655</v>
      </c>
      <c r="E20936" s="1" t="s">
        <v>25212</v>
      </c>
      <c r="F20936" s="2"/>
      <c r="G20936" s="2"/>
      <c r="H20936" s="2"/>
    </row>
    <row r="20937" spans="1:8" x14ac:dyDescent="0.25">
      <c r="A20937" s="1"/>
      <c r="B20937" s="1" t="s">
        <v>7328</v>
      </c>
      <c r="C20937" s="1" t="s">
        <v>7329</v>
      </c>
      <c r="D20937" s="22" t="str">
        <f>HYPERLINK("https://rhld.insurance.arkansas.gov/NPILookup?Npi=1023108503","1023108503")</f>
        <v>1023108503</v>
      </c>
      <c r="E20937" s="1" t="s">
        <v>12598</v>
      </c>
      <c r="F20937" s="2"/>
      <c r="G20937" s="2"/>
      <c r="H20937" s="2"/>
    </row>
    <row r="20938" spans="1:8" x14ac:dyDescent="0.25">
      <c r="A20938" s="1"/>
      <c r="B20938" s="1" t="s">
        <v>7328</v>
      </c>
      <c r="C20938" s="1" t="s">
        <v>7329</v>
      </c>
      <c r="D20938" s="22" t="str">
        <f>HYPERLINK("https://rhld.insurance.arkansas.gov/NPILookup?Npi=1023113784","1023113784")</f>
        <v>1023113784</v>
      </c>
      <c r="E20938" s="1" t="s">
        <v>32083</v>
      </c>
      <c r="F20938" s="2"/>
      <c r="G20938" s="2"/>
      <c r="H20938" s="2"/>
    </row>
    <row r="20939" spans="1:8" x14ac:dyDescent="0.25">
      <c r="A20939" s="1"/>
      <c r="B20939" s="1" t="s">
        <v>7328</v>
      </c>
      <c r="C20939" s="1" t="s">
        <v>7329</v>
      </c>
      <c r="D20939" s="22" t="str">
        <f>HYPERLINK("https://rhld.insurance.arkansas.gov/NPILookup?Npi=1023122926","1023122926")</f>
        <v>1023122926</v>
      </c>
      <c r="E20939" s="1" t="s">
        <v>12599</v>
      </c>
      <c r="F20939" s="2"/>
      <c r="G20939" s="2"/>
      <c r="H20939" s="2"/>
    </row>
    <row r="20940" spans="1:8" x14ac:dyDescent="0.25">
      <c r="A20940" s="1"/>
      <c r="B20940" s="1" t="s">
        <v>7328</v>
      </c>
      <c r="C20940" s="1" t="s">
        <v>7329</v>
      </c>
      <c r="D20940" s="22" t="str">
        <f>HYPERLINK("https://rhld.insurance.arkansas.gov/NPILookup?Npi=1023143740","1023143740")</f>
        <v>1023143740</v>
      </c>
      <c r="E20940" s="1" t="s">
        <v>2594</v>
      </c>
      <c r="F20940" s="2"/>
      <c r="G20940" s="2"/>
      <c r="H20940" s="2"/>
    </row>
    <row r="20941" spans="1:8" x14ac:dyDescent="0.25">
      <c r="A20941" s="1"/>
      <c r="B20941" s="1" t="s">
        <v>7328</v>
      </c>
      <c r="C20941" s="1" t="s">
        <v>7329</v>
      </c>
      <c r="D20941" s="22" t="str">
        <f>HYPERLINK("https://rhld.insurance.arkansas.gov/NPILookup?Npi=1023170305","1023170305")</f>
        <v>1023170305</v>
      </c>
      <c r="E20941" s="1" t="s">
        <v>25213</v>
      </c>
      <c r="F20941" s="2"/>
      <c r="G20941" s="2"/>
      <c r="H20941" s="2"/>
    </row>
    <row r="20942" spans="1:8" x14ac:dyDescent="0.25">
      <c r="A20942" s="1"/>
      <c r="B20942" s="1" t="s">
        <v>7328</v>
      </c>
      <c r="C20942" s="1" t="s">
        <v>7329</v>
      </c>
      <c r="D20942" s="22" t="str">
        <f>HYPERLINK("https://rhld.insurance.arkansas.gov/NPILookup?Npi=1023181864","1023181864")</f>
        <v>1023181864</v>
      </c>
      <c r="E20942" s="1" t="s">
        <v>2595</v>
      </c>
      <c r="F20942" s="2"/>
      <c r="G20942" s="2"/>
      <c r="H20942" s="2"/>
    </row>
    <row r="20943" spans="1:8" x14ac:dyDescent="0.25">
      <c r="A20943" s="1"/>
      <c r="B20943" s="1" t="s">
        <v>7328</v>
      </c>
      <c r="C20943" s="1" t="s">
        <v>7329</v>
      </c>
      <c r="D20943" s="22" t="str">
        <f>HYPERLINK("https://rhld.insurance.arkansas.gov/NPILookup?Npi=1023211521","1023211521")</f>
        <v>1023211521</v>
      </c>
      <c r="E20943" s="1" t="s">
        <v>2596</v>
      </c>
      <c r="F20943" s="2"/>
      <c r="G20943" s="2"/>
      <c r="H20943" s="2"/>
    </row>
    <row r="20944" spans="1:8" x14ac:dyDescent="0.25">
      <c r="A20944" s="1"/>
      <c r="B20944" s="1" t="s">
        <v>7328</v>
      </c>
      <c r="C20944" s="1" t="s">
        <v>7329</v>
      </c>
      <c r="D20944" s="22" t="str">
        <f>HYPERLINK("https://rhld.insurance.arkansas.gov/NPILookup?Npi=1023214574","1023214574")</f>
        <v>1023214574</v>
      </c>
      <c r="E20944" s="1" t="s">
        <v>187</v>
      </c>
      <c r="F20944" s="2"/>
      <c r="G20944" s="2"/>
      <c r="H20944" s="2"/>
    </row>
    <row r="20945" spans="1:8" x14ac:dyDescent="0.25">
      <c r="A20945" s="1"/>
      <c r="B20945" s="1" t="s">
        <v>7328</v>
      </c>
      <c r="C20945" s="1" t="s">
        <v>7329</v>
      </c>
      <c r="D20945" s="22" t="str">
        <f>HYPERLINK("https://rhld.insurance.arkansas.gov/NPILookup?Npi=1023240744","1023240744")</f>
        <v>1023240744</v>
      </c>
      <c r="E20945" s="1" t="s">
        <v>25214</v>
      </c>
      <c r="F20945" s="2"/>
      <c r="G20945" s="2"/>
      <c r="H20945" s="2"/>
    </row>
    <row r="20946" spans="1:8" x14ac:dyDescent="0.25">
      <c r="A20946" s="1"/>
      <c r="B20946" s="1" t="s">
        <v>7328</v>
      </c>
      <c r="C20946" s="1" t="s">
        <v>7329</v>
      </c>
      <c r="D20946" s="22" t="str">
        <f>HYPERLINK("https://rhld.insurance.arkansas.gov/NPILookup?Npi=1023254257","1023254257")</f>
        <v>1023254257</v>
      </c>
      <c r="E20946" s="1" t="s">
        <v>1950</v>
      </c>
      <c r="F20946" s="2"/>
      <c r="G20946" s="2"/>
      <c r="H20946" s="2"/>
    </row>
    <row r="20947" spans="1:8" x14ac:dyDescent="0.25">
      <c r="A20947" s="1"/>
      <c r="B20947" s="1" t="s">
        <v>7328</v>
      </c>
      <c r="C20947" s="1" t="s">
        <v>7329</v>
      </c>
      <c r="D20947" s="22" t="str">
        <f>HYPERLINK("https://rhld.insurance.arkansas.gov/NPILookup?Npi=1023270790","1023270790")</f>
        <v>1023270790</v>
      </c>
      <c r="E20947" s="1" t="s">
        <v>25215</v>
      </c>
      <c r="F20947" s="2"/>
      <c r="G20947" s="2"/>
      <c r="H20947" s="2"/>
    </row>
    <row r="20948" spans="1:8" x14ac:dyDescent="0.25">
      <c r="A20948" s="1"/>
      <c r="B20948" s="1" t="s">
        <v>7328</v>
      </c>
      <c r="C20948" s="1" t="s">
        <v>7329</v>
      </c>
      <c r="D20948" s="22" t="str">
        <f>HYPERLINK("https://rhld.insurance.arkansas.gov/NPILookup?Npi=1023278983","1023278983")</f>
        <v>1023278983</v>
      </c>
      <c r="E20948" s="1" t="s">
        <v>25216</v>
      </c>
      <c r="F20948" s="2"/>
      <c r="G20948" s="2"/>
      <c r="H20948" s="2"/>
    </row>
    <row r="20949" spans="1:8" x14ac:dyDescent="0.25">
      <c r="A20949" s="1"/>
      <c r="B20949" s="1" t="s">
        <v>7328</v>
      </c>
      <c r="C20949" s="1" t="s">
        <v>7329</v>
      </c>
      <c r="D20949" s="22" t="str">
        <f>HYPERLINK("https://rhld.insurance.arkansas.gov/NPILookup?Npi=1023281185","1023281185")</f>
        <v>1023281185</v>
      </c>
      <c r="E20949" s="1" t="s">
        <v>7342</v>
      </c>
      <c r="F20949" s="2"/>
      <c r="G20949" s="2"/>
      <c r="H20949" s="2"/>
    </row>
    <row r="20950" spans="1:8" x14ac:dyDescent="0.25">
      <c r="A20950" s="1"/>
      <c r="B20950" s="1" t="s">
        <v>7328</v>
      </c>
      <c r="C20950" s="1" t="s">
        <v>7329</v>
      </c>
      <c r="D20950" s="22" t="str">
        <f>HYPERLINK("https://rhld.insurance.arkansas.gov/NPILookup?Npi=1023283710","1023283710")</f>
        <v>1023283710</v>
      </c>
      <c r="E20950" s="1" t="s">
        <v>2598</v>
      </c>
      <c r="F20950" s="2"/>
      <c r="G20950" s="2"/>
      <c r="H20950" s="2"/>
    </row>
    <row r="20951" spans="1:8" x14ac:dyDescent="0.25">
      <c r="A20951" s="1"/>
      <c r="B20951" s="1" t="s">
        <v>7328</v>
      </c>
      <c r="C20951" s="1" t="s">
        <v>7329</v>
      </c>
      <c r="D20951" s="22" t="str">
        <f>HYPERLINK("https://rhld.insurance.arkansas.gov/NPILookup?Npi=1023305703","1023305703")</f>
        <v>1023305703</v>
      </c>
      <c r="E20951" s="1" t="s">
        <v>7343</v>
      </c>
      <c r="F20951" s="2"/>
      <c r="G20951" s="2"/>
      <c r="H20951" s="2"/>
    </row>
    <row r="20952" spans="1:8" x14ac:dyDescent="0.25">
      <c r="A20952" s="1"/>
      <c r="B20952" s="1" t="s">
        <v>7328</v>
      </c>
      <c r="C20952" s="1" t="s">
        <v>7329</v>
      </c>
      <c r="D20952" s="22" t="str">
        <f>HYPERLINK("https://rhld.insurance.arkansas.gov/NPILookup?Npi=1023378783","1023378783")</f>
        <v>1023378783</v>
      </c>
      <c r="E20952" s="1" t="s">
        <v>12601</v>
      </c>
      <c r="F20952" s="2"/>
      <c r="G20952" s="2"/>
      <c r="H20952" s="2"/>
    </row>
    <row r="20953" spans="1:8" x14ac:dyDescent="0.25">
      <c r="A20953" s="1"/>
      <c r="B20953" s="1" t="s">
        <v>7328</v>
      </c>
      <c r="C20953" s="1" t="s">
        <v>7329</v>
      </c>
      <c r="D20953" s="22" t="str">
        <f>HYPERLINK("https://rhld.insurance.arkansas.gov/NPILookup?Npi=1023404100","1023404100")</f>
        <v>1023404100</v>
      </c>
      <c r="E20953" s="1" t="s">
        <v>25217</v>
      </c>
      <c r="F20953" s="2"/>
      <c r="G20953" s="2"/>
      <c r="H20953" s="2"/>
    </row>
    <row r="20954" spans="1:8" x14ac:dyDescent="0.25">
      <c r="A20954" s="1"/>
      <c r="B20954" s="1" t="s">
        <v>7328</v>
      </c>
      <c r="C20954" s="1" t="s">
        <v>7329</v>
      </c>
      <c r="D20954" s="22" t="str">
        <f>HYPERLINK("https://rhld.insurance.arkansas.gov/NPILookup?Npi=1023405198","1023405198")</f>
        <v>1023405198</v>
      </c>
      <c r="E20954" s="1" t="s">
        <v>17143</v>
      </c>
      <c r="F20954" s="2"/>
      <c r="G20954" s="2"/>
      <c r="H20954" s="2"/>
    </row>
    <row r="20955" spans="1:8" x14ac:dyDescent="0.25">
      <c r="A20955" s="1"/>
      <c r="B20955" s="1" t="s">
        <v>7328</v>
      </c>
      <c r="C20955" s="1" t="s">
        <v>7329</v>
      </c>
      <c r="D20955" s="22" t="str">
        <f>HYPERLINK("https://rhld.insurance.arkansas.gov/NPILookup?Npi=1023422599","1023422599")</f>
        <v>1023422599</v>
      </c>
      <c r="E20955" s="1" t="s">
        <v>25218</v>
      </c>
      <c r="F20955" s="2"/>
      <c r="G20955" s="2"/>
      <c r="H20955" s="2"/>
    </row>
    <row r="20956" spans="1:8" x14ac:dyDescent="0.25">
      <c r="A20956" s="1"/>
      <c r="B20956" s="1" t="s">
        <v>7328</v>
      </c>
      <c r="C20956" s="1" t="s">
        <v>7329</v>
      </c>
      <c r="D20956" s="22" t="str">
        <f>HYPERLINK("https://rhld.insurance.arkansas.gov/NPILookup?Npi=1023424413","1023424413")</f>
        <v>1023424413</v>
      </c>
      <c r="E20956" s="1" t="s">
        <v>25219</v>
      </c>
      <c r="F20956" s="2"/>
      <c r="G20956" s="2"/>
      <c r="H20956" s="2"/>
    </row>
    <row r="20957" spans="1:8" x14ac:dyDescent="0.25">
      <c r="A20957" s="1"/>
      <c r="B20957" s="1" t="s">
        <v>7328</v>
      </c>
      <c r="C20957" s="1" t="s">
        <v>7329</v>
      </c>
      <c r="D20957" s="22" t="str">
        <f>HYPERLINK("https://rhld.insurance.arkansas.gov/NPILookup?Npi=1023425469","1023425469")</f>
        <v>1023425469</v>
      </c>
      <c r="E20957" s="1" t="s">
        <v>7344</v>
      </c>
      <c r="F20957" s="2"/>
      <c r="G20957" s="2"/>
      <c r="H20957" s="2"/>
    </row>
    <row r="20958" spans="1:8" x14ac:dyDescent="0.25">
      <c r="A20958" s="1"/>
      <c r="B20958" s="1" t="s">
        <v>7328</v>
      </c>
      <c r="C20958" s="1" t="s">
        <v>7329</v>
      </c>
      <c r="D20958" s="22" t="str">
        <f>HYPERLINK("https://rhld.insurance.arkansas.gov/NPILookup?Npi=1023427952","1023427952")</f>
        <v>1023427952</v>
      </c>
      <c r="E20958" s="1" t="s">
        <v>25220</v>
      </c>
      <c r="F20958" s="2"/>
      <c r="G20958" s="2"/>
      <c r="H20958" s="2"/>
    </row>
    <row r="20959" spans="1:8" x14ac:dyDescent="0.25">
      <c r="A20959" s="1"/>
      <c r="B20959" s="1" t="s">
        <v>7328</v>
      </c>
      <c r="C20959" s="1" t="s">
        <v>7329</v>
      </c>
      <c r="D20959" s="22" t="str">
        <f>HYPERLINK("https://rhld.insurance.arkansas.gov/NPILookup?Npi=1023431749","1023431749")</f>
        <v>1023431749</v>
      </c>
      <c r="E20959" s="1" t="s">
        <v>262</v>
      </c>
      <c r="F20959" s="2"/>
      <c r="G20959" s="2"/>
      <c r="H20959" s="2"/>
    </row>
    <row r="20960" spans="1:8" x14ac:dyDescent="0.25">
      <c r="A20960" s="1"/>
      <c r="B20960" s="1" t="s">
        <v>7328</v>
      </c>
      <c r="C20960" s="1" t="s">
        <v>7329</v>
      </c>
      <c r="D20960" s="22" t="str">
        <f>HYPERLINK("https://rhld.insurance.arkansas.gov/NPILookup?Npi=1023441672","1023441672")</f>
        <v>1023441672</v>
      </c>
      <c r="E20960" s="1" t="s">
        <v>12602</v>
      </c>
      <c r="F20960" s="2"/>
      <c r="G20960" s="2"/>
      <c r="H20960" s="2"/>
    </row>
    <row r="20961" spans="1:8" x14ac:dyDescent="0.25">
      <c r="A20961" s="1"/>
      <c r="B20961" s="1" t="s">
        <v>7328</v>
      </c>
      <c r="C20961" s="1" t="s">
        <v>7329</v>
      </c>
      <c r="D20961" s="22" t="str">
        <f>HYPERLINK("https://rhld.insurance.arkansas.gov/NPILookup?Npi=1023449550","1023449550")</f>
        <v>1023449550</v>
      </c>
      <c r="E20961" s="1" t="s">
        <v>25221</v>
      </c>
      <c r="F20961" s="2"/>
      <c r="G20961" s="2"/>
      <c r="H20961" s="2"/>
    </row>
    <row r="20962" spans="1:8" x14ac:dyDescent="0.25">
      <c r="A20962" s="1"/>
      <c r="B20962" s="1" t="s">
        <v>7328</v>
      </c>
      <c r="C20962" s="1" t="s">
        <v>7329</v>
      </c>
      <c r="D20962" s="22" t="str">
        <f>HYPERLINK("https://rhld.insurance.arkansas.gov/NPILookup?Npi=1023452174","1023452174")</f>
        <v>1023452174</v>
      </c>
      <c r="E20962" s="1" t="s">
        <v>25222</v>
      </c>
      <c r="F20962" s="2"/>
      <c r="G20962" s="2"/>
      <c r="H20962" s="2"/>
    </row>
    <row r="20963" spans="1:8" x14ac:dyDescent="0.25">
      <c r="A20963" s="1"/>
      <c r="B20963" s="1" t="s">
        <v>7328</v>
      </c>
      <c r="C20963" s="1" t="s">
        <v>7329</v>
      </c>
      <c r="D20963" s="22" t="str">
        <f>HYPERLINK("https://rhld.insurance.arkansas.gov/NPILookup?Npi=1023460623","1023460623")</f>
        <v>1023460623</v>
      </c>
      <c r="E20963" s="1" t="s">
        <v>12603</v>
      </c>
      <c r="F20963" s="2"/>
      <c r="G20963" s="2"/>
      <c r="H20963" s="2"/>
    </row>
    <row r="20964" spans="1:8" x14ac:dyDescent="0.25">
      <c r="A20964" s="1"/>
      <c r="B20964" s="1" t="s">
        <v>7328</v>
      </c>
      <c r="C20964" s="1" t="s">
        <v>7329</v>
      </c>
      <c r="D20964" s="22" t="str">
        <f>HYPERLINK("https://rhld.insurance.arkansas.gov/NPILookup?Npi=1023461399","1023461399")</f>
        <v>1023461399</v>
      </c>
      <c r="E20964" s="1" t="s">
        <v>25223</v>
      </c>
      <c r="F20964" s="2"/>
      <c r="G20964" s="2"/>
      <c r="H20964" s="2"/>
    </row>
    <row r="20965" spans="1:8" x14ac:dyDescent="0.25">
      <c r="A20965" s="1"/>
      <c r="B20965" s="1" t="s">
        <v>7328</v>
      </c>
      <c r="C20965" s="1" t="s">
        <v>7329</v>
      </c>
      <c r="D20965" s="22" t="str">
        <f>HYPERLINK("https://rhld.insurance.arkansas.gov/NPILookup?Npi=1023470465","1023470465")</f>
        <v>1023470465</v>
      </c>
      <c r="E20965" s="1" t="s">
        <v>25224</v>
      </c>
      <c r="F20965" s="2"/>
      <c r="G20965" s="2"/>
      <c r="H20965" s="2"/>
    </row>
    <row r="20966" spans="1:8" x14ac:dyDescent="0.25">
      <c r="A20966" s="1"/>
      <c r="B20966" s="1" t="s">
        <v>7328</v>
      </c>
      <c r="C20966" s="1" t="s">
        <v>7329</v>
      </c>
      <c r="D20966" s="22" t="str">
        <f>HYPERLINK("https://rhld.insurance.arkansas.gov/NPILookup?Npi=1023475878","1023475878")</f>
        <v>1023475878</v>
      </c>
      <c r="E20966" s="1" t="s">
        <v>25225</v>
      </c>
      <c r="F20966" s="2"/>
      <c r="G20966" s="2"/>
      <c r="H20966" s="2"/>
    </row>
    <row r="20967" spans="1:8" x14ac:dyDescent="0.25">
      <c r="A20967" s="1"/>
      <c r="B20967" s="1" t="s">
        <v>7328</v>
      </c>
      <c r="C20967" s="1" t="s">
        <v>7329</v>
      </c>
      <c r="D20967" s="22" t="str">
        <f>HYPERLINK("https://rhld.insurance.arkansas.gov/NPILookup?Npi=1023489242","1023489242")</f>
        <v>1023489242</v>
      </c>
      <c r="E20967" s="1" t="s">
        <v>12604</v>
      </c>
      <c r="F20967" s="2"/>
      <c r="G20967" s="2"/>
      <c r="H20967" s="2"/>
    </row>
    <row r="20968" spans="1:8" x14ac:dyDescent="0.25">
      <c r="A20968" s="1"/>
      <c r="B20968" s="1" t="s">
        <v>7328</v>
      </c>
      <c r="C20968" s="1" t="s">
        <v>7329</v>
      </c>
      <c r="D20968" s="22" t="str">
        <f>HYPERLINK("https://rhld.insurance.arkansas.gov/NPILookup?Npi=1023493160","1023493160")</f>
        <v>1023493160</v>
      </c>
      <c r="E20968" s="1" t="s">
        <v>12605</v>
      </c>
      <c r="F20968" s="2"/>
      <c r="G20968" s="2"/>
      <c r="H20968" s="2"/>
    </row>
    <row r="20969" spans="1:8" x14ac:dyDescent="0.25">
      <c r="A20969" s="1"/>
      <c r="B20969" s="1" t="s">
        <v>7328</v>
      </c>
      <c r="C20969" s="1" t="s">
        <v>7329</v>
      </c>
      <c r="D20969" s="22" t="str">
        <f>HYPERLINK("https://rhld.insurance.arkansas.gov/NPILookup?Npi=1023498045","1023498045")</f>
        <v>1023498045</v>
      </c>
      <c r="E20969" s="1" t="s">
        <v>7345</v>
      </c>
      <c r="F20969" s="2"/>
      <c r="G20969" s="2"/>
      <c r="H20969" s="2"/>
    </row>
    <row r="20970" spans="1:8" x14ac:dyDescent="0.25">
      <c r="A20970" s="1"/>
      <c r="B20970" s="1" t="s">
        <v>7328</v>
      </c>
      <c r="C20970" s="1" t="s">
        <v>7329</v>
      </c>
      <c r="D20970" s="22" t="str">
        <f>HYPERLINK("https://rhld.insurance.arkansas.gov/NPILookup?Npi=1023503869","1023503869")</f>
        <v>1023503869</v>
      </c>
      <c r="E20970" s="1" t="s">
        <v>25226</v>
      </c>
      <c r="F20970" s="2"/>
      <c r="G20970" s="2"/>
      <c r="H20970" s="2"/>
    </row>
    <row r="20971" spans="1:8" x14ac:dyDescent="0.25">
      <c r="A20971" s="1"/>
      <c r="B20971" s="1" t="s">
        <v>7328</v>
      </c>
      <c r="C20971" s="1" t="s">
        <v>7329</v>
      </c>
      <c r="D20971" s="22" t="str">
        <f>HYPERLINK("https://rhld.insurance.arkansas.gov/NPILookup?Npi=1023506607","1023506607")</f>
        <v>1023506607</v>
      </c>
      <c r="E20971" s="1" t="s">
        <v>25227</v>
      </c>
      <c r="F20971" s="2"/>
      <c r="G20971" s="2"/>
      <c r="H20971" s="2"/>
    </row>
    <row r="20972" spans="1:8" x14ac:dyDescent="0.25">
      <c r="A20972" s="1"/>
      <c r="B20972" s="1" t="s">
        <v>7328</v>
      </c>
      <c r="C20972" s="1" t="s">
        <v>7329</v>
      </c>
      <c r="D20972" s="22" t="str">
        <f>HYPERLINK("https://rhld.insurance.arkansas.gov/NPILookup?Npi=1023509940","1023509940")</f>
        <v>1023509940</v>
      </c>
      <c r="E20972" s="1" t="s">
        <v>25228</v>
      </c>
      <c r="F20972" s="2"/>
      <c r="G20972" s="2"/>
      <c r="H20972" s="2"/>
    </row>
    <row r="20973" spans="1:8" x14ac:dyDescent="0.25">
      <c r="A20973" s="1"/>
      <c r="B20973" s="1" t="s">
        <v>7328</v>
      </c>
      <c r="C20973" s="1" t="s">
        <v>7329</v>
      </c>
      <c r="D20973" s="22" t="str">
        <f>HYPERLINK("https://rhld.insurance.arkansas.gov/NPILookup?Npi=1023514643","1023514643")</f>
        <v>1023514643</v>
      </c>
      <c r="E20973" s="1" t="s">
        <v>12606</v>
      </c>
      <c r="F20973" s="2"/>
      <c r="G20973" s="2"/>
      <c r="H20973" s="2"/>
    </row>
    <row r="20974" spans="1:8" x14ac:dyDescent="0.25">
      <c r="A20974" s="1"/>
      <c r="B20974" s="1" t="s">
        <v>7328</v>
      </c>
      <c r="C20974" s="1" t="s">
        <v>7329</v>
      </c>
      <c r="D20974" s="22" t="str">
        <f>HYPERLINK("https://rhld.insurance.arkansas.gov/NPILookup?Npi=1023520780","1023520780")</f>
        <v>1023520780</v>
      </c>
      <c r="E20974" s="1" t="s">
        <v>25229</v>
      </c>
      <c r="F20974" s="2"/>
      <c r="G20974" s="2"/>
      <c r="H20974" s="2"/>
    </row>
    <row r="20975" spans="1:8" x14ac:dyDescent="0.25">
      <c r="A20975" s="1"/>
      <c r="B20975" s="1" t="s">
        <v>7328</v>
      </c>
      <c r="C20975" s="1" t="s">
        <v>7329</v>
      </c>
      <c r="D20975" s="22" t="str">
        <f>HYPERLINK("https://rhld.insurance.arkansas.gov/NPILookup?Npi=1023525490","1023525490")</f>
        <v>1023525490</v>
      </c>
      <c r="E20975" s="1" t="s">
        <v>25230</v>
      </c>
      <c r="F20975" s="2"/>
      <c r="G20975" s="2"/>
      <c r="H20975" s="2"/>
    </row>
    <row r="20976" spans="1:8" x14ac:dyDescent="0.25">
      <c r="A20976" s="1"/>
      <c r="B20976" s="1" t="s">
        <v>7328</v>
      </c>
      <c r="C20976" s="1" t="s">
        <v>7329</v>
      </c>
      <c r="D20976" s="22" t="str">
        <f>HYPERLINK("https://rhld.insurance.arkansas.gov/NPILookup?Npi=1023531506","1023531506")</f>
        <v>1023531506</v>
      </c>
      <c r="E20976" s="1" t="s">
        <v>25231</v>
      </c>
      <c r="F20976" s="2"/>
      <c r="G20976" s="2"/>
      <c r="H20976" s="2"/>
    </row>
    <row r="20977" spans="1:8" x14ac:dyDescent="0.25">
      <c r="A20977" s="1"/>
      <c r="B20977" s="1" t="s">
        <v>7328</v>
      </c>
      <c r="C20977" s="1" t="s">
        <v>7329</v>
      </c>
      <c r="D20977" s="22" t="str">
        <f>HYPERLINK("https://rhld.insurance.arkansas.gov/NPILookup?Npi=1023531811","1023531811")</f>
        <v>1023531811</v>
      </c>
      <c r="E20977" s="1" t="s">
        <v>825</v>
      </c>
      <c r="F20977" s="2"/>
      <c r="G20977" s="2"/>
      <c r="H20977" s="2"/>
    </row>
    <row r="20978" spans="1:8" x14ac:dyDescent="0.25">
      <c r="A20978" s="1"/>
      <c r="B20978" s="1" t="s">
        <v>7328</v>
      </c>
      <c r="C20978" s="1" t="s">
        <v>7329</v>
      </c>
      <c r="D20978" s="22" t="str">
        <f>HYPERLINK("https://rhld.insurance.arkansas.gov/NPILookup?Npi=1023549441","1023549441")</f>
        <v>1023549441</v>
      </c>
      <c r="E20978" s="1" t="s">
        <v>12607</v>
      </c>
      <c r="F20978" s="2"/>
      <c r="G20978" s="2"/>
      <c r="H20978" s="2"/>
    </row>
    <row r="20979" spans="1:8" x14ac:dyDescent="0.25">
      <c r="A20979" s="1"/>
      <c r="B20979" s="1" t="s">
        <v>7328</v>
      </c>
      <c r="C20979" s="1" t="s">
        <v>7329</v>
      </c>
      <c r="D20979" s="22" t="str">
        <f>HYPERLINK("https://rhld.insurance.arkansas.gov/NPILookup?Npi=1023575420","1023575420")</f>
        <v>1023575420</v>
      </c>
      <c r="E20979" s="1" t="s">
        <v>25232</v>
      </c>
      <c r="F20979" s="2"/>
      <c r="G20979" s="2"/>
      <c r="H20979" s="2"/>
    </row>
    <row r="20980" spans="1:8" x14ac:dyDescent="0.25">
      <c r="A20980" s="1"/>
      <c r="B20980" s="1" t="s">
        <v>7328</v>
      </c>
      <c r="C20980" s="1" t="s">
        <v>7329</v>
      </c>
      <c r="D20980" s="22" t="str">
        <f>HYPERLINK("https://rhld.insurance.arkansas.gov/NPILookup?Npi=1023577442","1023577442")</f>
        <v>1023577442</v>
      </c>
      <c r="E20980" s="1" t="s">
        <v>25233</v>
      </c>
      <c r="F20980" s="2"/>
      <c r="G20980" s="2"/>
      <c r="H20980" s="2"/>
    </row>
    <row r="20981" spans="1:8" x14ac:dyDescent="0.25">
      <c r="A20981" s="1"/>
      <c r="B20981" s="1" t="s">
        <v>7328</v>
      </c>
      <c r="C20981" s="1" t="s">
        <v>7329</v>
      </c>
      <c r="D20981" s="22" t="str">
        <f>HYPERLINK("https://rhld.insurance.arkansas.gov/NPILookup?Npi=1023587714","1023587714")</f>
        <v>1023587714</v>
      </c>
      <c r="E20981" s="1" t="s">
        <v>25234</v>
      </c>
      <c r="F20981" s="2"/>
      <c r="G20981" s="2"/>
      <c r="H20981" s="2"/>
    </row>
    <row r="20982" spans="1:8" x14ac:dyDescent="0.25">
      <c r="A20982" s="1"/>
      <c r="B20982" s="1" t="s">
        <v>7328</v>
      </c>
      <c r="C20982" s="1" t="s">
        <v>7329</v>
      </c>
      <c r="D20982" s="22" t="str">
        <f>HYPERLINK("https://rhld.insurance.arkansas.gov/NPILookup?Npi=1023595659","1023595659")</f>
        <v>1023595659</v>
      </c>
      <c r="E20982" s="1" t="s">
        <v>25235</v>
      </c>
      <c r="F20982" s="2"/>
      <c r="G20982" s="2"/>
      <c r="H20982" s="2"/>
    </row>
    <row r="20983" spans="1:8" x14ac:dyDescent="0.25">
      <c r="A20983" s="1"/>
      <c r="B20983" s="1" t="s">
        <v>7328</v>
      </c>
      <c r="C20983" s="1" t="s">
        <v>7329</v>
      </c>
      <c r="D20983" s="22" t="str">
        <f>HYPERLINK("https://rhld.insurance.arkansas.gov/NPILookup?Npi=1023597655","1023597655")</f>
        <v>1023597655</v>
      </c>
      <c r="E20983" s="1" t="s">
        <v>25236</v>
      </c>
      <c r="F20983" s="2"/>
      <c r="G20983" s="2"/>
      <c r="H20983" s="2"/>
    </row>
    <row r="20984" spans="1:8" x14ac:dyDescent="0.25">
      <c r="A20984" s="1"/>
      <c r="B20984" s="1" t="s">
        <v>7328</v>
      </c>
      <c r="C20984" s="1" t="s">
        <v>7329</v>
      </c>
      <c r="D20984" s="22" t="str">
        <f>HYPERLINK("https://rhld.insurance.arkansas.gov/NPILookup?Npi=1023614880","1023614880")</f>
        <v>1023614880</v>
      </c>
      <c r="E20984" s="1" t="s">
        <v>25237</v>
      </c>
      <c r="F20984" s="2"/>
      <c r="G20984" s="2"/>
      <c r="H20984" s="2"/>
    </row>
    <row r="20985" spans="1:8" x14ac:dyDescent="0.25">
      <c r="A20985" s="1"/>
      <c r="B20985" s="1" t="s">
        <v>7328</v>
      </c>
      <c r="C20985" s="1" t="s">
        <v>7329</v>
      </c>
      <c r="D20985" s="22" t="str">
        <f>HYPERLINK("https://rhld.insurance.arkansas.gov/NPILookup?Npi=1023617594","1023617594")</f>
        <v>1023617594</v>
      </c>
      <c r="E20985" s="1" t="s">
        <v>7346</v>
      </c>
      <c r="F20985" s="2"/>
      <c r="G20985" s="2"/>
      <c r="H20985" s="2"/>
    </row>
    <row r="20986" spans="1:8" x14ac:dyDescent="0.25">
      <c r="A20986" s="1"/>
      <c r="B20986" s="1" t="s">
        <v>7328</v>
      </c>
      <c r="C20986" s="1" t="s">
        <v>7329</v>
      </c>
      <c r="D20986" s="22" t="str">
        <f>HYPERLINK("https://rhld.insurance.arkansas.gov/NPILookup?Npi=1023627577","1023627577")</f>
        <v>1023627577</v>
      </c>
      <c r="E20986" s="1" t="s">
        <v>2354</v>
      </c>
      <c r="F20986" s="2"/>
      <c r="G20986" s="2"/>
      <c r="H20986" s="2"/>
    </row>
    <row r="20987" spans="1:8" x14ac:dyDescent="0.25">
      <c r="A20987" s="1"/>
      <c r="B20987" s="1" t="s">
        <v>7328</v>
      </c>
      <c r="C20987" s="1" t="s">
        <v>7329</v>
      </c>
      <c r="D20987" s="22" t="str">
        <f>HYPERLINK("https://rhld.insurance.arkansas.gov/NPILookup?Npi=1023637949","1023637949")</f>
        <v>1023637949</v>
      </c>
      <c r="E20987" s="1" t="s">
        <v>25238</v>
      </c>
      <c r="F20987" s="2"/>
      <c r="G20987" s="2"/>
      <c r="H20987" s="2"/>
    </row>
    <row r="20988" spans="1:8" x14ac:dyDescent="0.25">
      <c r="A20988" s="1"/>
      <c r="B20988" s="1" t="s">
        <v>7328</v>
      </c>
      <c r="C20988" s="1" t="s">
        <v>7329</v>
      </c>
      <c r="D20988" s="22" t="str">
        <f>HYPERLINK("https://rhld.insurance.arkansas.gov/NPILookup?Npi=1023646734","1023646734")</f>
        <v>1023646734</v>
      </c>
      <c r="E20988" s="1" t="s">
        <v>7347</v>
      </c>
      <c r="F20988" s="2"/>
      <c r="G20988" s="2"/>
      <c r="H20988" s="2"/>
    </row>
    <row r="20989" spans="1:8" x14ac:dyDescent="0.25">
      <c r="A20989" s="1"/>
      <c r="B20989" s="1" t="s">
        <v>7328</v>
      </c>
      <c r="C20989" s="1" t="s">
        <v>7329</v>
      </c>
      <c r="D20989" s="22" t="str">
        <f>HYPERLINK("https://rhld.insurance.arkansas.gov/NPILookup?Npi=1023650900","1023650900")</f>
        <v>1023650900</v>
      </c>
      <c r="E20989" s="1" t="s">
        <v>4055</v>
      </c>
      <c r="F20989" s="2"/>
      <c r="G20989" s="2"/>
      <c r="H20989" s="2"/>
    </row>
    <row r="20990" spans="1:8" x14ac:dyDescent="0.25">
      <c r="A20990" s="1"/>
      <c r="B20990" s="1" t="s">
        <v>7328</v>
      </c>
      <c r="C20990" s="1" t="s">
        <v>7329</v>
      </c>
      <c r="D20990" s="22" t="str">
        <f>HYPERLINK("https://rhld.insurance.arkansas.gov/NPILookup?Npi=1023655461","1023655461")</f>
        <v>1023655461</v>
      </c>
      <c r="E20990" s="1" t="s">
        <v>7348</v>
      </c>
      <c r="F20990" s="2"/>
      <c r="G20990" s="2"/>
      <c r="H20990" s="2"/>
    </row>
    <row r="20991" spans="1:8" x14ac:dyDescent="0.25">
      <c r="A20991" s="1"/>
      <c r="B20991" s="1" t="s">
        <v>7328</v>
      </c>
      <c r="C20991" s="1" t="s">
        <v>7329</v>
      </c>
      <c r="D20991" s="22" t="str">
        <f>HYPERLINK("https://rhld.insurance.arkansas.gov/NPILookup?Npi=1023688264","1023688264")</f>
        <v>1023688264</v>
      </c>
      <c r="E20991" s="1" t="s">
        <v>25239</v>
      </c>
      <c r="F20991" s="2"/>
      <c r="G20991" s="2"/>
      <c r="H20991" s="2"/>
    </row>
    <row r="20992" spans="1:8" x14ac:dyDescent="0.25">
      <c r="A20992" s="1"/>
      <c r="B20992" s="1" t="s">
        <v>7328</v>
      </c>
      <c r="C20992" s="1" t="s">
        <v>7329</v>
      </c>
      <c r="D20992" s="22" t="str">
        <f>HYPERLINK("https://rhld.insurance.arkansas.gov/NPILookup?Npi=1023692266","1023692266")</f>
        <v>1023692266</v>
      </c>
      <c r="E20992" s="1" t="s">
        <v>25240</v>
      </c>
      <c r="F20992" s="2"/>
      <c r="G20992" s="2"/>
      <c r="H20992" s="2"/>
    </row>
    <row r="20993" spans="1:8" x14ac:dyDescent="0.25">
      <c r="A20993" s="1"/>
      <c r="B20993" s="1" t="s">
        <v>7328</v>
      </c>
      <c r="C20993" s="1" t="s">
        <v>7329</v>
      </c>
      <c r="D20993" s="22" t="str">
        <f>HYPERLINK("https://rhld.insurance.arkansas.gov/NPILookup?Npi=1023706793","1023706793")</f>
        <v>1023706793</v>
      </c>
      <c r="E20993" s="1" t="s">
        <v>12608</v>
      </c>
      <c r="F20993" s="2"/>
      <c r="G20993" s="2"/>
      <c r="H20993" s="2"/>
    </row>
    <row r="20994" spans="1:8" x14ac:dyDescent="0.25">
      <c r="A20994" s="1"/>
      <c r="B20994" s="1" t="s">
        <v>7328</v>
      </c>
      <c r="C20994" s="1" t="s">
        <v>7329</v>
      </c>
      <c r="D20994" s="22" t="str">
        <f>HYPERLINK("https://rhld.insurance.arkansas.gov/NPILookup?Npi=1023707205","1023707205")</f>
        <v>1023707205</v>
      </c>
      <c r="E20994" s="1" t="s">
        <v>4297</v>
      </c>
      <c r="F20994" s="2"/>
      <c r="G20994" s="2"/>
      <c r="H20994" s="2"/>
    </row>
    <row r="20995" spans="1:8" x14ac:dyDescent="0.25">
      <c r="A20995" s="1"/>
      <c r="B20995" s="1" t="s">
        <v>7328</v>
      </c>
      <c r="C20995" s="1" t="s">
        <v>7329</v>
      </c>
      <c r="D20995" s="22" t="str">
        <f>HYPERLINK("https://rhld.insurance.arkansas.gov/NPILookup?Npi=1023715968","1023715968")</f>
        <v>1023715968</v>
      </c>
      <c r="E20995" s="1" t="s">
        <v>25241</v>
      </c>
      <c r="F20995" s="2"/>
      <c r="G20995" s="2"/>
      <c r="H20995" s="2"/>
    </row>
    <row r="20996" spans="1:8" x14ac:dyDescent="0.25">
      <c r="A20996" s="1"/>
      <c r="B20996" s="1" t="s">
        <v>7328</v>
      </c>
      <c r="C20996" s="1" t="s">
        <v>7329</v>
      </c>
      <c r="D20996" s="22" t="str">
        <f>HYPERLINK("https://rhld.insurance.arkansas.gov/NPILookup?Npi=1023732716","1023732716")</f>
        <v>1023732716</v>
      </c>
      <c r="E20996" s="1" t="s">
        <v>7349</v>
      </c>
      <c r="F20996" s="2"/>
      <c r="G20996" s="2"/>
      <c r="H20996" s="2"/>
    </row>
    <row r="20997" spans="1:8" x14ac:dyDescent="0.25">
      <c r="A20997" s="1"/>
      <c r="B20997" s="1" t="s">
        <v>7328</v>
      </c>
      <c r="C20997" s="1" t="s">
        <v>7329</v>
      </c>
      <c r="D20997" s="22" t="str">
        <f>HYPERLINK("https://rhld.insurance.arkansas.gov/NPILookup?Npi=1023742038","1023742038")</f>
        <v>1023742038</v>
      </c>
      <c r="E20997" s="1" t="s">
        <v>25242</v>
      </c>
      <c r="F20997" s="2"/>
      <c r="G20997" s="2"/>
      <c r="H20997" s="2"/>
    </row>
    <row r="20998" spans="1:8" x14ac:dyDescent="0.25">
      <c r="A20998" s="1"/>
      <c r="B20998" s="1" t="s">
        <v>7328</v>
      </c>
      <c r="C20998" s="1" t="s">
        <v>7329</v>
      </c>
      <c r="D20998" s="22" t="str">
        <f>HYPERLINK("https://rhld.insurance.arkansas.gov/NPILookup?Npi=1023762069","1023762069")</f>
        <v>1023762069</v>
      </c>
      <c r="E20998" s="1" t="s">
        <v>25243</v>
      </c>
      <c r="F20998" s="2"/>
      <c r="G20998" s="2"/>
      <c r="H20998" s="2"/>
    </row>
    <row r="20999" spans="1:8" x14ac:dyDescent="0.25">
      <c r="A20999" s="1"/>
      <c r="B20999" s="1" t="s">
        <v>7328</v>
      </c>
      <c r="C20999" s="1" t="s">
        <v>7329</v>
      </c>
      <c r="D20999" s="22" t="str">
        <f>HYPERLINK("https://rhld.insurance.arkansas.gov/NPILookup?Npi=1023764289","1023764289")</f>
        <v>1023764289</v>
      </c>
      <c r="E20999" s="1" t="s">
        <v>32084</v>
      </c>
      <c r="F20999" s="2"/>
      <c r="G20999" s="2"/>
      <c r="H20999" s="2"/>
    </row>
    <row r="21000" spans="1:8" x14ac:dyDescent="0.25">
      <c r="A21000" s="1"/>
      <c r="B21000" s="1" t="s">
        <v>7328</v>
      </c>
      <c r="C21000" s="1" t="s">
        <v>7329</v>
      </c>
      <c r="D21000" s="22" t="str">
        <f>HYPERLINK("https://rhld.insurance.arkansas.gov/NPILookup?Npi=1023765294","1023765294")</f>
        <v>1023765294</v>
      </c>
      <c r="E21000" s="1" t="s">
        <v>12609</v>
      </c>
      <c r="F21000" s="2"/>
      <c r="G21000" s="2"/>
      <c r="H21000" s="2"/>
    </row>
    <row r="21001" spans="1:8" x14ac:dyDescent="0.25">
      <c r="A21001" s="1"/>
      <c r="B21001" s="1" t="s">
        <v>7328</v>
      </c>
      <c r="C21001" s="1" t="s">
        <v>7329</v>
      </c>
      <c r="D21001" s="22" t="str">
        <f>HYPERLINK("https://rhld.insurance.arkansas.gov/NPILookup?Npi=1023777901","1023777901")</f>
        <v>1023777901</v>
      </c>
      <c r="E21001" s="1" t="s">
        <v>25244</v>
      </c>
      <c r="F21001" s="2"/>
      <c r="G21001" s="2"/>
      <c r="H21001" s="2"/>
    </row>
    <row r="21002" spans="1:8" x14ac:dyDescent="0.25">
      <c r="A21002" s="1"/>
      <c r="B21002" s="1" t="s">
        <v>7328</v>
      </c>
      <c r="C21002" s="1" t="s">
        <v>7329</v>
      </c>
      <c r="D21002" s="22" t="str">
        <f>HYPERLINK("https://rhld.insurance.arkansas.gov/NPILookup?Npi=1023781606","1023781606")</f>
        <v>1023781606</v>
      </c>
      <c r="E21002" s="1" t="s">
        <v>25245</v>
      </c>
      <c r="F21002" s="2"/>
      <c r="G21002" s="2"/>
      <c r="H21002" s="2"/>
    </row>
    <row r="21003" spans="1:8" x14ac:dyDescent="0.25">
      <c r="A21003" s="1"/>
      <c r="B21003" s="1" t="s">
        <v>7328</v>
      </c>
      <c r="C21003" s="1" t="s">
        <v>7329</v>
      </c>
      <c r="D21003" s="22" t="str">
        <f>HYPERLINK("https://rhld.insurance.arkansas.gov/NPILookup?Npi=1023785045","1023785045")</f>
        <v>1023785045</v>
      </c>
      <c r="E21003" s="1" t="s">
        <v>7350</v>
      </c>
      <c r="F21003" s="2"/>
      <c r="G21003" s="2"/>
      <c r="H21003" s="2"/>
    </row>
    <row r="21004" spans="1:8" x14ac:dyDescent="0.25">
      <c r="A21004" s="1"/>
      <c r="B21004" s="1" t="s">
        <v>7328</v>
      </c>
      <c r="C21004" s="1" t="s">
        <v>7329</v>
      </c>
      <c r="D21004" s="22" t="str">
        <f>HYPERLINK("https://rhld.insurance.arkansas.gov/NPILookup?Npi=1023873171","1023873171")</f>
        <v>1023873171</v>
      </c>
      <c r="E21004" s="1" t="s">
        <v>25246</v>
      </c>
      <c r="F21004" s="2"/>
      <c r="G21004" s="2"/>
      <c r="H21004" s="2"/>
    </row>
    <row r="21005" spans="1:8" x14ac:dyDescent="0.25">
      <c r="A21005" s="1"/>
      <c r="B21005" s="1" t="s">
        <v>7328</v>
      </c>
      <c r="C21005" s="1" t="s">
        <v>7329</v>
      </c>
      <c r="D21005" s="22" t="str">
        <f>HYPERLINK("https://rhld.insurance.arkansas.gov/NPILookup?Npi=1023873247","1023873247")</f>
        <v>1023873247</v>
      </c>
      <c r="E21005" s="1" t="s">
        <v>25247</v>
      </c>
      <c r="F21005" s="2"/>
      <c r="G21005" s="2"/>
      <c r="H21005" s="2"/>
    </row>
    <row r="21006" spans="1:8" x14ac:dyDescent="0.25">
      <c r="A21006" s="1"/>
      <c r="B21006" s="1" t="s">
        <v>7328</v>
      </c>
      <c r="C21006" s="1" t="s">
        <v>7329</v>
      </c>
      <c r="D21006" s="22" t="str">
        <f>HYPERLINK("https://rhld.insurance.arkansas.gov/NPILookup?Npi=1023890340","1023890340")</f>
        <v>1023890340</v>
      </c>
      <c r="E21006" s="1" t="s">
        <v>7351</v>
      </c>
      <c r="F21006" s="2"/>
      <c r="G21006" s="2"/>
      <c r="H21006" s="2"/>
    </row>
    <row r="21007" spans="1:8" x14ac:dyDescent="0.25">
      <c r="A21007" s="1"/>
      <c r="B21007" s="1" t="s">
        <v>7328</v>
      </c>
      <c r="C21007" s="1" t="s">
        <v>7329</v>
      </c>
      <c r="D21007" s="22" t="str">
        <f>HYPERLINK("https://rhld.insurance.arkansas.gov/NPILookup?Npi=1033100433","1033100433")</f>
        <v>1033100433</v>
      </c>
      <c r="E21007" s="1" t="s">
        <v>15705</v>
      </c>
      <c r="F21007" s="2"/>
      <c r="G21007" s="2"/>
      <c r="H21007" s="2"/>
    </row>
    <row r="21008" spans="1:8" x14ac:dyDescent="0.25">
      <c r="A21008" s="1"/>
      <c r="B21008" s="1" t="s">
        <v>7328</v>
      </c>
      <c r="C21008" s="1" t="s">
        <v>7329</v>
      </c>
      <c r="D21008" s="22" t="str">
        <f>HYPERLINK("https://rhld.insurance.arkansas.gov/NPILookup?Npi=1033102181","1033102181")</f>
        <v>1033102181</v>
      </c>
      <c r="E21008" s="1" t="s">
        <v>25248</v>
      </c>
      <c r="F21008" s="2"/>
      <c r="G21008" s="2"/>
      <c r="H21008" s="2"/>
    </row>
    <row r="21009" spans="1:8" x14ac:dyDescent="0.25">
      <c r="A21009" s="1"/>
      <c r="B21009" s="1" t="s">
        <v>7328</v>
      </c>
      <c r="C21009" s="1" t="s">
        <v>7329</v>
      </c>
      <c r="D21009" s="22" t="str">
        <f>HYPERLINK("https://rhld.insurance.arkansas.gov/NPILookup?Npi=1033102637","1033102637")</f>
        <v>1033102637</v>
      </c>
      <c r="E21009" s="1" t="s">
        <v>10199</v>
      </c>
      <c r="F21009" s="2"/>
      <c r="G21009" s="2"/>
      <c r="H21009" s="2"/>
    </row>
    <row r="21010" spans="1:8" x14ac:dyDescent="0.25">
      <c r="A21010" s="1"/>
      <c r="B21010" s="1" t="s">
        <v>7328</v>
      </c>
      <c r="C21010" s="1" t="s">
        <v>7329</v>
      </c>
      <c r="D21010" s="22" t="str">
        <f>HYPERLINK("https://rhld.insurance.arkansas.gov/NPILookup?Npi=1033103296","1033103296")</f>
        <v>1033103296</v>
      </c>
      <c r="E21010" s="1" t="s">
        <v>25249</v>
      </c>
      <c r="F21010" s="2"/>
      <c r="G21010" s="2"/>
      <c r="H21010" s="2"/>
    </row>
    <row r="21011" spans="1:8" x14ac:dyDescent="0.25">
      <c r="A21011" s="1"/>
      <c r="B21011" s="1" t="s">
        <v>7328</v>
      </c>
      <c r="C21011" s="1" t="s">
        <v>7329</v>
      </c>
      <c r="D21011" s="22" t="str">
        <f>HYPERLINK("https://rhld.insurance.arkansas.gov/NPILookup?Npi=1033105747","1033105747")</f>
        <v>1033105747</v>
      </c>
      <c r="E21011" s="1" t="s">
        <v>12610</v>
      </c>
      <c r="F21011" s="2"/>
      <c r="G21011" s="2"/>
      <c r="H21011" s="2"/>
    </row>
    <row r="21012" spans="1:8" x14ac:dyDescent="0.25">
      <c r="A21012" s="1"/>
      <c r="B21012" s="1" t="s">
        <v>7328</v>
      </c>
      <c r="C21012" s="1" t="s">
        <v>7329</v>
      </c>
      <c r="D21012" s="22" t="str">
        <f>HYPERLINK("https://rhld.insurance.arkansas.gov/NPILookup?Npi=1033114566","1033114566")</f>
        <v>1033114566</v>
      </c>
      <c r="E21012" s="1" t="s">
        <v>25250</v>
      </c>
      <c r="F21012" s="2"/>
      <c r="G21012" s="2"/>
      <c r="H21012" s="2"/>
    </row>
    <row r="21013" spans="1:8" x14ac:dyDescent="0.25">
      <c r="A21013" s="1"/>
      <c r="B21013" s="1" t="s">
        <v>7328</v>
      </c>
      <c r="C21013" s="1" t="s">
        <v>7329</v>
      </c>
      <c r="D21013" s="22" t="str">
        <f>HYPERLINK("https://rhld.insurance.arkansas.gov/NPILookup?Npi=1033115639","1033115639")</f>
        <v>1033115639</v>
      </c>
      <c r="E21013" s="1" t="s">
        <v>25251</v>
      </c>
      <c r="F21013" s="2"/>
      <c r="G21013" s="2"/>
      <c r="H21013" s="2"/>
    </row>
    <row r="21014" spans="1:8" x14ac:dyDescent="0.25">
      <c r="A21014" s="1"/>
      <c r="B21014" s="1" t="s">
        <v>7328</v>
      </c>
      <c r="C21014" s="1" t="s">
        <v>7329</v>
      </c>
      <c r="D21014" s="22" t="str">
        <f>HYPERLINK("https://rhld.insurance.arkansas.gov/NPILookup?Npi=1033138391","1033138391")</f>
        <v>1033138391</v>
      </c>
      <c r="E21014" s="1" t="s">
        <v>25252</v>
      </c>
      <c r="F21014" s="2"/>
      <c r="G21014" s="2"/>
      <c r="H21014" s="2"/>
    </row>
    <row r="21015" spans="1:8" x14ac:dyDescent="0.25">
      <c r="A21015" s="1"/>
      <c r="B21015" s="1" t="s">
        <v>7328</v>
      </c>
      <c r="C21015" s="1" t="s">
        <v>7329</v>
      </c>
      <c r="D21015" s="22" t="str">
        <f>HYPERLINK("https://rhld.insurance.arkansas.gov/NPILookup?Npi=1033158845","1033158845")</f>
        <v>1033158845</v>
      </c>
      <c r="E21015" s="1" t="s">
        <v>25253</v>
      </c>
      <c r="F21015" s="2"/>
      <c r="G21015" s="2"/>
      <c r="H21015" s="2"/>
    </row>
    <row r="21016" spans="1:8" x14ac:dyDescent="0.25">
      <c r="A21016" s="1"/>
      <c r="B21016" s="1" t="s">
        <v>7328</v>
      </c>
      <c r="C21016" s="1" t="s">
        <v>7329</v>
      </c>
      <c r="D21016" s="22" t="str">
        <f>HYPERLINK("https://rhld.insurance.arkansas.gov/NPILookup?Npi=1033180963","1033180963")</f>
        <v>1033180963</v>
      </c>
      <c r="E21016" s="1" t="s">
        <v>25254</v>
      </c>
      <c r="F21016" s="2"/>
      <c r="G21016" s="2"/>
      <c r="H21016" s="2"/>
    </row>
    <row r="21017" spans="1:8" x14ac:dyDescent="0.25">
      <c r="A21017" s="1"/>
      <c r="B21017" s="1" t="s">
        <v>7328</v>
      </c>
      <c r="C21017" s="1" t="s">
        <v>7329</v>
      </c>
      <c r="D21017" s="22" t="str">
        <f>HYPERLINK("https://rhld.insurance.arkansas.gov/NPILookup?Npi=1033192992","1033192992")</f>
        <v>1033192992</v>
      </c>
      <c r="E21017" s="1" t="s">
        <v>2355</v>
      </c>
      <c r="F21017" s="2"/>
      <c r="G21017" s="2"/>
      <c r="H21017" s="2"/>
    </row>
    <row r="21018" spans="1:8" x14ac:dyDescent="0.25">
      <c r="A21018" s="1"/>
      <c r="B21018" s="1" t="s">
        <v>7328</v>
      </c>
      <c r="C21018" s="1" t="s">
        <v>7329</v>
      </c>
      <c r="D21018" s="22" t="str">
        <f>HYPERLINK("https://rhld.insurance.arkansas.gov/NPILookup?Npi=1033193966","1033193966")</f>
        <v>1033193966</v>
      </c>
      <c r="E21018" s="1" t="s">
        <v>25255</v>
      </c>
      <c r="F21018" s="2"/>
      <c r="G21018" s="2"/>
      <c r="H21018" s="2"/>
    </row>
    <row r="21019" spans="1:8" x14ac:dyDescent="0.25">
      <c r="A21019" s="1"/>
      <c r="B21019" s="1" t="s">
        <v>7328</v>
      </c>
      <c r="C21019" s="1" t="s">
        <v>7329</v>
      </c>
      <c r="D21019" s="22" t="str">
        <f>HYPERLINK("https://rhld.insurance.arkansas.gov/NPILookup?Npi=1033195953","1033195953")</f>
        <v>1033195953</v>
      </c>
      <c r="E21019" s="1" t="s">
        <v>25256</v>
      </c>
      <c r="F21019" s="2"/>
      <c r="G21019" s="2"/>
      <c r="H21019" s="2"/>
    </row>
    <row r="21020" spans="1:8" x14ac:dyDescent="0.25">
      <c r="A21020" s="1"/>
      <c r="B21020" s="1" t="s">
        <v>7328</v>
      </c>
      <c r="C21020" s="1" t="s">
        <v>7329</v>
      </c>
      <c r="D21020" s="22" t="str">
        <f>HYPERLINK("https://rhld.insurance.arkansas.gov/NPILookup?Npi=1033196704","1033196704")</f>
        <v>1033196704</v>
      </c>
      <c r="E21020" s="1" t="s">
        <v>7352</v>
      </c>
      <c r="F21020" s="2"/>
      <c r="G21020" s="2"/>
      <c r="H21020" s="2"/>
    </row>
    <row r="21021" spans="1:8" x14ac:dyDescent="0.25">
      <c r="A21021" s="1"/>
      <c r="B21021" s="1" t="s">
        <v>7328</v>
      </c>
      <c r="C21021" s="1" t="s">
        <v>7329</v>
      </c>
      <c r="D21021" s="22" t="str">
        <f>HYPERLINK("https://rhld.insurance.arkansas.gov/NPILookup?Npi=1033219753","1033219753")</f>
        <v>1033219753</v>
      </c>
      <c r="E21021" s="1" t="s">
        <v>25257</v>
      </c>
      <c r="F21021" s="2"/>
      <c r="G21021" s="2"/>
      <c r="H21021" s="2"/>
    </row>
    <row r="21022" spans="1:8" x14ac:dyDescent="0.25">
      <c r="A21022" s="1"/>
      <c r="B21022" s="1" t="s">
        <v>7328</v>
      </c>
      <c r="C21022" s="1" t="s">
        <v>7329</v>
      </c>
      <c r="D21022" s="22" t="str">
        <f>HYPERLINK("https://rhld.insurance.arkansas.gov/NPILookup?Npi=1033223599","1033223599")</f>
        <v>1033223599</v>
      </c>
      <c r="E21022" s="1" t="s">
        <v>7353</v>
      </c>
      <c r="F21022" s="2"/>
      <c r="G21022" s="2"/>
      <c r="H21022" s="2"/>
    </row>
    <row r="21023" spans="1:8" x14ac:dyDescent="0.25">
      <c r="A21023" s="1"/>
      <c r="B21023" s="1" t="s">
        <v>7328</v>
      </c>
      <c r="C21023" s="1" t="s">
        <v>7329</v>
      </c>
      <c r="D21023" s="22" t="str">
        <f>HYPERLINK("https://rhld.insurance.arkansas.gov/NPILookup?Npi=1033267679","1033267679")</f>
        <v>1033267679</v>
      </c>
      <c r="E21023" s="1" t="s">
        <v>17149</v>
      </c>
      <c r="F21023" s="2"/>
      <c r="G21023" s="2"/>
      <c r="H21023" s="2"/>
    </row>
    <row r="21024" spans="1:8" x14ac:dyDescent="0.25">
      <c r="A21024" s="1"/>
      <c r="B21024" s="1" t="s">
        <v>7328</v>
      </c>
      <c r="C21024" s="1" t="s">
        <v>7329</v>
      </c>
      <c r="D21024" s="22" t="str">
        <f>HYPERLINK("https://rhld.insurance.arkansas.gov/NPILookup?Npi=1033283155","1033283155")</f>
        <v>1033283155</v>
      </c>
      <c r="E21024" s="1" t="s">
        <v>17150</v>
      </c>
      <c r="F21024" s="2"/>
      <c r="G21024" s="2"/>
      <c r="H21024" s="2"/>
    </row>
    <row r="21025" spans="1:8" x14ac:dyDescent="0.25">
      <c r="A21025" s="1"/>
      <c r="B21025" s="1" t="s">
        <v>7328</v>
      </c>
      <c r="C21025" s="1" t="s">
        <v>7329</v>
      </c>
      <c r="D21025" s="22" t="str">
        <f>HYPERLINK("https://rhld.insurance.arkansas.gov/NPILookup?Npi=1033301320","1033301320")</f>
        <v>1033301320</v>
      </c>
      <c r="E21025" s="1" t="s">
        <v>17151</v>
      </c>
      <c r="F21025" s="2"/>
      <c r="G21025" s="2"/>
      <c r="H21025" s="2"/>
    </row>
    <row r="21026" spans="1:8" x14ac:dyDescent="0.25">
      <c r="A21026" s="1"/>
      <c r="B21026" s="1" t="s">
        <v>7328</v>
      </c>
      <c r="C21026" s="1" t="s">
        <v>7329</v>
      </c>
      <c r="D21026" s="22" t="str">
        <f>HYPERLINK("https://rhld.insurance.arkansas.gov/NPILookup?Npi=1033304902","1033304902")</f>
        <v>1033304902</v>
      </c>
      <c r="E21026" s="1" t="s">
        <v>12611</v>
      </c>
      <c r="F21026" s="2"/>
      <c r="G21026" s="2"/>
      <c r="H21026" s="2"/>
    </row>
    <row r="21027" spans="1:8" x14ac:dyDescent="0.25">
      <c r="A21027" s="1"/>
      <c r="B21027" s="1" t="s">
        <v>7328</v>
      </c>
      <c r="C21027" s="1" t="s">
        <v>7329</v>
      </c>
      <c r="D21027" s="22" t="str">
        <f>HYPERLINK("https://rhld.insurance.arkansas.gov/NPILookup?Npi=1033329701","1033329701")</f>
        <v>1033329701</v>
      </c>
      <c r="E21027" s="1" t="s">
        <v>11422</v>
      </c>
      <c r="F21027" s="2"/>
      <c r="G21027" s="2"/>
      <c r="H21027" s="2"/>
    </row>
    <row r="21028" spans="1:8" x14ac:dyDescent="0.25">
      <c r="A21028" s="1"/>
      <c r="B21028" s="1" t="s">
        <v>7328</v>
      </c>
      <c r="C21028" s="1" t="s">
        <v>7329</v>
      </c>
      <c r="D21028" s="22" t="str">
        <f>HYPERLINK("https://rhld.insurance.arkansas.gov/NPILookup?Npi=1033346358","1033346358")</f>
        <v>1033346358</v>
      </c>
      <c r="E21028" s="1" t="s">
        <v>17152</v>
      </c>
      <c r="F21028" s="2"/>
      <c r="G21028" s="2"/>
      <c r="H21028" s="2"/>
    </row>
    <row r="21029" spans="1:8" x14ac:dyDescent="0.25">
      <c r="A21029" s="1"/>
      <c r="B21029" s="1" t="s">
        <v>7328</v>
      </c>
      <c r="C21029" s="1" t="s">
        <v>7329</v>
      </c>
      <c r="D21029" s="22" t="str">
        <f>HYPERLINK("https://rhld.insurance.arkansas.gov/NPILookup?Npi=1033356126","1033356126")</f>
        <v>1033356126</v>
      </c>
      <c r="E21029" s="1" t="s">
        <v>12612</v>
      </c>
      <c r="F21029" s="2"/>
      <c r="G21029" s="2"/>
      <c r="H21029" s="2"/>
    </row>
    <row r="21030" spans="1:8" x14ac:dyDescent="0.25">
      <c r="A21030" s="1"/>
      <c r="B21030" s="1" t="s">
        <v>7328</v>
      </c>
      <c r="C21030" s="1" t="s">
        <v>7329</v>
      </c>
      <c r="D21030" s="22" t="str">
        <f>HYPERLINK("https://rhld.insurance.arkansas.gov/NPILookup?Npi=1033368246","1033368246")</f>
        <v>1033368246</v>
      </c>
      <c r="E21030" s="1" t="s">
        <v>2599</v>
      </c>
      <c r="F21030" s="2"/>
      <c r="G21030" s="2"/>
      <c r="H21030" s="2"/>
    </row>
    <row r="21031" spans="1:8" x14ac:dyDescent="0.25">
      <c r="A21031" s="1"/>
      <c r="B21031" s="1" t="s">
        <v>7328</v>
      </c>
      <c r="C21031" s="1" t="s">
        <v>7329</v>
      </c>
      <c r="D21031" s="22" t="str">
        <f>HYPERLINK("https://rhld.insurance.arkansas.gov/NPILookup?Npi=1033382684","1033382684")</f>
        <v>1033382684</v>
      </c>
      <c r="E21031" s="1" t="s">
        <v>25259</v>
      </c>
      <c r="F21031" s="2"/>
      <c r="G21031" s="2"/>
      <c r="H21031" s="2"/>
    </row>
    <row r="21032" spans="1:8" x14ac:dyDescent="0.25">
      <c r="A21032" s="1"/>
      <c r="B21032" s="1" t="s">
        <v>7328</v>
      </c>
      <c r="C21032" s="1" t="s">
        <v>7329</v>
      </c>
      <c r="D21032" s="22" t="str">
        <f>HYPERLINK("https://rhld.insurance.arkansas.gov/NPILookup?Npi=1033394804","1033394804")</f>
        <v>1033394804</v>
      </c>
      <c r="E21032" s="1" t="s">
        <v>25260</v>
      </c>
      <c r="F21032" s="2"/>
      <c r="G21032" s="2"/>
      <c r="H21032" s="2"/>
    </row>
    <row r="21033" spans="1:8" x14ac:dyDescent="0.25">
      <c r="A21033" s="1"/>
      <c r="B21033" s="1" t="s">
        <v>7328</v>
      </c>
      <c r="C21033" s="1" t="s">
        <v>7329</v>
      </c>
      <c r="D21033" s="22" t="str">
        <f>HYPERLINK("https://rhld.insurance.arkansas.gov/NPILookup?Npi=1033405824","1033405824")</f>
        <v>1033405824</v>
      </c>
      <c r="E21033" s="1" t="s">
        <v>2600</v>
      </c>
      <c r="F21033" s="2"/>
      <c r="G21033" s="2"/>
      <c r="H21033" s="2"/>
    </row>
    <row r="21034" spans="1:8" x14ac:dyDescent="0.25">
      <c r="A21034" s="1"/>
      <c r="B21034" s="1" t="s">
        <v>7328</v>
      </c>
      <c r="C21034" s="1" t="s">
        <v>7329</v>
      </c>
      <c r="D21034" s="22" t="str">
        <f>HYPERLINK("https://rhld.insurance.arkansas.gov/NPILookup?Npi=1033418439","1033418439")</f>
        <v>1033418439</v>
      </c>
      <c r="E21034" s="1" t="s">
        <v>25261</v>
      </c>
      <c r="F21034" s="2"/>
      <c r="G21034" s="2"/>
      <c r="H21034" s="2"/>
    </row>
    <row r="21035" spans="1:8" x14ac:dyDescent="0.25">
      <c r="A21035" s="1"/>
      <c r="B21035" s="1" t="s">
        <v>7328</v>
      </c>
      <c r="C21035" s="1" t="s">
        <v>7329</v>
      </c>
      <c r="D21035" s="22" t="str">
        <f>HYPERLINK("https://rhld.insurance.arkansas.gov/NPILookup?Npi=1033461447","1033461447")</f>
        <v>1033461447</v>
      </c>
      <c r="E21035" s="1" t="s">
        <v>25262</v>
      </c>
      <c r="F21035" s="2"/>
      <c r="G21035" s="2"/>
      <c r="H21035" s="2"/>
    </row>
    <row r="21036" spans="1:8" x14ac:dyDescent="0.25">
      <c r="A21036" s="1"/>
      <c r="B21036" s="1" t="s">
        <v>7328</v>
      </c>
      <c r="C21036" s="1" t="s">
        <v>7329</v>
      </c>
      <c r="D21036" s="22" t="str">
        <f>HYPERLINK("https://rhld.insurance.arkansas.gov/NPILookup?Npi=1033479225","1033479225")</f>
        <v>1033479225</v>
      </c>
      <c r="E21036" s="1" t="s">
        <v>25263</v>
      </c>
      <c r="F21036" s="2"/>
      <c r="G21036" s="2"/>
      <c r="H21036" s="2"/>
    </row>
    <row r="21037" spans="1:8" x14ac:dyDescent="0.25">
      <c r="A21037" s="1"/>
      <c r="B21037" s="1" t="s">
        <v>7328</v>
      </c>
      <c r="C21037" s="1" t="s">
        <v>7329</v>
      </c>
      <c r="D21037" s="22" t="str">
        <f>HYPERLINK("https://rhld.insurance.arkansas.gov/NPILookup?Npi=1033480116","1033480116")</f>
        <v>1033480116</v>
      </c>
      <c r="E21037" s="1" t="s">
        <v>25264</v>
      </c>
      <c r="F21037" s="2"/>
      <c r="G21037" s="2"/>
      <c r="H21037" s="2"/>
    </row>
    <row r="21038" spans="1:8" x14ac:dyDescent="0.25">
      <c r="A21038" s="1"/>
      <c r="B21038" s="1" t="s">
        <v>7328</v>
      </c>
      <c r="C21038" s="1" t="s">
        <v>7329</v>
      </c>
      <c r="D21038" s="22" t="str">
        <f>HYPERLINK("https://rhld.insurance.arkansas.gov/NPILookup?Npi=1033500673","1033500673")</f>
        <v>1033500673</v>
      </c>
      <c r="E21038" s="1" t="s">
        <v>12613</v>
      </c>
      <c r="F21038" s="2"/>
      <c r="G21038" s="2"/>
      <c r="H21038" s="2"/>
    </row>
    <row r="21039" spans="1:8" x14ac:dyDescent="0.25">
      <c r="A21039" s="1"/>
      <c r="B21039" s="1" t="s">
        <v>7328</v>
      </c>
      <c r="C21039" s="1" t="s">
        <v>7329</v>
      </c>
      <c r="D21039" s="22" t="str">
        <f>HYPERLINK("https://rhld.insurance.arkansas.gov/NPILookup?Npi=1033501127","1033501127")</f>
        <v>1033501127</v>
      </c>
      <c r="E21039" s="1" t="s">
        <v>25265</v>
      </c>
      <c r="F21039" s="2"/>
      <c r="G21039" s="2"/>
      <c r="H21039" s="2"/>
    </row>
    <row r="21040" spans="1:8" x14ac:dyDescent="0.25">
      <c r="A21040" s="1"/>
      <c r="B21040" s="1" t="s">
        <v>7328</v>
      </c>
      <c r="C21040" s="1" t="s">
        <v>7329</v>
      </c>
      <c r="D21040" s="22" t="str">
        <f>HYPERLINK("https://rhld.insurance.arkansas.gov/NPILookup?Npi=1033511449","1033511449")</f>
        <v>1033511449</v>
      </c>
      <c r="E21040" s="1" t="s">
        <v>25266</v>
      </c>
      <c r="F21040" s="2"/>
      <c r="G21040" s="2"/>
      <c r="H21040" s="2"/>
    </row>
    <row r="21041" spans="1:8" x14ac:dyDescent="0.25">
      <c r="A21041" s="1"/>
      <c r="B21041" s="1" t="s">
        <v>7328</v>
      </c>
      <c r="C21041" s="1" t="s">
        <v>7329</v>
      </c>
      <c r="D21041" s="22" t="str">
        <f>HYPERLINK("https://rhld.insurance.arkansas.gov/NPILookup?Npi=1033523089","1033523089")</f>
        <v>1033523089</v>
      </c>
      <c r="E21041" s="1" t="s">
        <v>12614</v>
      </c>
      <c r="F21041" s="2"/>
      <c r="G21041" s="2"/>
      <c r="H21041" s="2"/>
    </row>
    <row r="21042" spans="1:8" x14ac:dyDescent="0.25">
      <c r="A21042" s="1"/>
      <c r="B21042" s="1" t="s">
        <v>7328</v>
      </c>
      <c r="C21042" s="1" t="s">
        <v>7329</v>
      </c>
      <c r="D21042" s="22" t="str">
        <f>HYPERLINK("https://rhld.insurance.arkansas.gov/NPILookup?Npi=1033524863","1033524863")</f>
        <v>1033524863</v>
      </c>
      <c r="E21042" s="1" t="s">
        <v>25267</v>
      </c>
      <c r="F21042" s="2"/>
      <c r="G21042" s="2"/>
      <c r="H21042" s="2"/>
    </row>
    <row r="21043" spans="1:8" x14ac:dyDescent="0.25">
      <c r="A21043" s="1"/>
      <c r="B21043" s="1" t="s">
        <v>7328</v>
      </c>
      <c r="C21043" s="1" t="s">
        <v>7329</v>
      </c>
      <c r="D21043" s="22" t="str">
        <f>HYPERLINK("https://rhld.insurance.arkansas.gov/NPILookup?Npi=1033530605","1033530605")</f>
        <v>1033530605</v>
      </c>
      <c r="E21043" s="1" t="s">
        <v>12615</v>
      </c>
      <c r="F21043" s="2"/>
      <c r="G21043" s="2"/>
      <c r="H21043" s="2"/>
    </row>
    <row r="21044" spans="1:8" x14ac:dyDescent="0.25">
      <c r="A21044" s="1"/>
      <c r="B21044" s="1" t="s">
        <v>7328</v>
      </c>
      <c r="C21044" s="1" t="s">
        <v>7329</v>
      </c>
      <c r="D21044" s="22" t="str">
        <f>HYPERLINK("https://rhld.insurance.arkansas.gov/NPILookup?Npi=1033534847","1033534847")</f>
        <v>1033534847</v>
      </c>
      <c r="E21044" s="1" t="s">
        <v>12616</v>
      </c>
      <c r="F21044" s="2"/>
      <c r="G21044" s="2"/>
      <c r="H21044" s="2"/>
    </row>
    <row r="21045" spans="1:8" x14ac:dyDescent="0.25">
      <c r="A21045" s="1"/>
      <c r="B21045" s="1" t="s">
        <v>7328</v>
      </c>
      <c r="C21045" s="1" t="s">
        <v>7329</v>
      </c>
      <c r="D21045" s="22" t="str">
        <f>HYPERLINK("https://rhld.insurance.arkansas.gov/NPILookup?Npi=1033557145","1033557145")</f>
        <v>1033557145</v>
      </c>
      <c r="E21045" s="1" t="s">
        <v>25268</v>
      </c>
      <c r="F21045" s="2"/>
      <c r="G21045" s="2"/>
      <c r="H21045" s="2"/>
    </row>
    <row r="21046" spans="1:8" x14ac:dyDescent="0.25">
      <c r="A21046" s="1"/>
      <c r="B21046" s="1" t="s">
        <v>7328</v>
      </c>
      <c r="C21046" s="1" t="s">
        <v>7329</v>
      </c>
      <c r="D21046" s="22" t="str">
        <f>HYPERLINK("https://rhld.insurance.arkansas.gov/NPILookup?Npi=1033577234","1033577234")</f>
        <v>1033577234</v>
      </c>
      <c r="E21046" s="1" t="s">
        <v>25269</v>
      </c>
      <c r="F21046" s="2"/>
      <c r="G21046" s="2"/>
      <c r="H21046" s="2"/>
    </row>
    <row r="21047" spans="1:8" x14ac:dyDescent="0.25">
      <c r="A21047" s="1"/>
      <c r="B21047" s="1" t="s">
        <v>7328</v>
      </c>
      <c r="C21047" s="1" t="s">
        <v>7329</v>
      </c>
      <c r="D21047" s="22" t="str">
        <f>HYPERLINK("https://rhld.insurance.arkansas.gov/NPILookup?Npi=1033587860","1033587860")</f>
        <v>1033587860</v>
      </c>
      <c r="E21047" s="1" t="s">
        <v>17157</v>
      </c>
      <c r="F21047" s="2"/>
      <c r="G21047" s="2"/>
      <c r="H21047" s="2"/>
    </row>
    <row r="21048" spans="1:8" x14ac:dyDescent="0.25">
      <c r="A21048" s="1"/>
      <c r="B21048" s="1" t="s">
        <v>7328</v>
      </c>
      <c r="C21048" s="1" t="s">
        <v>7329</v>
      </c>
      <c r="D21048" s="22" t="str">
        <f>HYPERLINK("https://rhld.insurance.arkansas.gov/NPILookup?Npi=1033596218","1033596218")</f>
        <v>1033596218</v>
      </c>
      <c r="E21048" s="1" t="s">
        <v>13570</v>
      </c>
      <c r="F21048" s="2"/>
      <c r="G21048" s="2"/>
      <c r="H21048" s="2"/>
    </row>
    <row r="21049" spans="1:8" x14ac:dyDescent="0.25">
      <c r="A21049" s="1"/>
      <c r="B21049" s="1" t="s">
        <v>7328</v>
      </c>
      <c r="C21049" s="1" t="s">
        <v>7329</v>
      </c>
      <c r="D21049" s="22" t="str">
        <f>HYPERLINK("https://rhld.insurance.arkansas.gov/NPILookup?Npi=1033597802","1033597802")</f>
        <v>1033597802</v>
      </c>
      <c r="E21049" s="1" t="s">
        <v>25270</v>
      </c>
      <c r="F21049" s="2"/>
      <c r="G21049" s="2"/>
      <c r="H21049" s="2"/>
    </row>
    <row r="21050" spans="1:8" x14ac:dyDescent="0.25">
      <c r="A21050" s="1"/>
      <c r="B21050" s="1" t="s">
        <v>7328</v>
      </c>
      <c r="C21050" s="1" t="s">
        <v>7329</v>
      </c>
      <c r="D21050" s="22" t="str">
        <f>HYPERLINK("https://rhld.insurance.arkansas.gov/NPILookup?Npi=1033612585","1033612585")</f>
        <v>1033612585</v>
      </c>
      <c r="E21050" s="1" t="s">
        <v>25271</v>
      </c>
      <c r="F21050" s="2"/>
      <c r="G21050" s="2"/>
      <c r="H21050" s="2"/>
    </row>
    <row r="21051" spans="1:8" x14ac:dyDescent="0.25">
      <c r="A21051" s="1"/>
      <c r="B21051" s="1" t="s">
        <v>7328</v>
      </c>
      <c r="C21051" s="1" t="s">
        <v>7329</v>
      </c>
      <c r="D21051" s="22" t="str">
        <f>HYPERLINK("https://rhld.insurance.arkansas.gov/NPILookup?Npi=1033626585","1033626585")</f>
        <v>1033626585</v>
      </c>
      <c r="E21051" s="1" t="s">
        <v>25272</v>
      </c>
      <c r="F21051" s="2"/>
      <c r="G21051" s="2"/>
      <c r="H21051" s="2"/>
    </row>
    <row r="21052" spans="1:8" x14ac:dyDescent="0.25">
      <c r="A21052" s="1"/>
      <c r="B21052" s="1" t="s">
        <v>7328</v>
      </c>
      <c r="C21052" s="1" t="s">
        <v>7329</v>
      </c>
      <c r="D21052" s="22" t="str">
        <f>HYPERLINK("https://rhld.insurance.arkansas.gov/NPILookup?Npi=1033635297","1033635297")</f>
        <v>1033635297</v>
      </c>
      <c r="E21052" s="1" t="s">
        <v>1368</v>
      </c>
      <c r="F21052" s="2"/>
      <c r="G21052" s="2"/>
      <c r="H21052" s="2"/>
    </row>
    <row r="21053" spans="1:8" x14ac:dyDescent="0.25">
      <c r="A21053" s="1"/>
      <c r="B21053" s="1" t="s">
        <v>7328</v>
      </c>
      <c r="C21053" s="1" t="s">
        <v>7329</v>
      </c>
      <c r="D21053" s="22" t="str">
        <f>HYPERLINK("https://rhld.insurance.arkansas.gov/NPILookup?Npi=1033638499","1033638499")</f>
        <v>1033638499</v>
      </c>
      <c r="E21053" s="1" t="s">
        <v>7354</v>
      </c>
      <c r="F21053" s="2"/>
      <c r="G21053" s="2"/>
      <c r="H21053" s="2"/>
    </row>
    <row r="21054" spans="1:8" x14ac:dyDescent="0.25">
      <c r="A21054" s="1"/>
      <c r="B21054" s="1" t="s">
        <v>7328</v>
      </c>
      <c r="C21054" s="1" t="s">
        <v>7329</v>
      </c>
      <c r="D21054" s="22" t="str">
        <f>HYPERLINK("https://rhld.insurance.arkansas.gov/NPILookup?Npi=1033648803","1033648803")</f>
        <v>1033648803</v>
      </c>
      <c r="E21054" s="1" t="s">
        <v>25273</v>
      </c>
      <c r="F21054" s="2"/>
      <c r="G21054" s="2"/>
      <c r="H21054" s="2"/>
    </row>
    <row r="21055" spans="1:8" x14ac:dyDescent="0.25">
      <c r="A21055" s="1"/>
      <c r="B21055" s="1" t="s">
        <v>7328</v>
      </c>
      <c r="C21055" s="1" t="s">
        <v>7329</v>
      </c>
      <c r="D21055" s="22" t="str">
        <f>HYPERLINK("https://rhld.insurance.arkansas.gov/NPILookup?Npi=1033652045","1033652045")</f>
        <v>1033652045</v>
      </c>
      <c r="E21055" s="1" t="s">
        <v>25274</v>
      </c>
      <c r="F21055" s="2"/>
      <c r="G21055" s="2"/>
      <c r="H21055" s="2"/>
    </row>
    <row r="21056" spans="1:8" x14ac:dyDescent="0.25">
      <c r="A21056" s="1"/>
      <c r="B21056" s="1" t="s">
        <v>7328</v>
      </c>
      <c r="C21056" s="1" t="s">
        <v>7329</v>
      </c>
      <c r="D21056" s="22" t="str">
        <f>HYPERLINK("https://rhld.insurance.arkansas.gov/NPILookup?Npi=1033659677","1033659677")</f>
        <v>1033659677</v>
      </c>
      <c r="E21056" s="1" t="s">
        <v>2602</v>
      </c>
      <c r="F21056" s="2"/>
      <c r="G21056" s="2"/>
      <c r="H21056" s="2"/>
    </row>
    <row r="21057" spans="1:8" x14ac:dyDescent="0.25">
      <c r="A21057" s="1"/>
      <c r="B21057" s="1" t="s">
        <v>7328</v>
      </c>
      <c r="C21057" s="1" t="s">
        <v>7329</v>
      </c>
      <c r="D21057" s="22" t="str">
        <f>HYPERLINK("https://rhld.insurance.arkansas.gov/NPILookup?Npi=1033661798","1033661798")</f>
        <v>1033661798</v>
      </c>
      <c r="E21057" s="1" t="s">
        <v>25275</v>
      </c>
      <c r="F21057" s="2"/>
      <c r="G21057" s="2"/>
      <c r="H21057" s="2"/>
    </row>
    <row r="21058" spans="1:8" x14ac:dyDescent="0.25">
      <c r="A21058" s="1"/>
      <c r="B21058" s="1" t="s">
        <v>7328</v>
      </c>
      <c r="C21058" s="1" t="s">
        <v>7329</v>
      </c>
      <c r="D21058" s="22" t="str">
        <f>HYPERLINK("https://rhld.insurance.arkansas.gov/NPILookup?Npi=1033672712","1033672712")</f>
        <v>1033672712</v>
      </c>
      <c r="E21058" s="1" t="s">
        <v>10200</v>
      </c>
      <c r="F21058" s="2"/>
      <c r="G21058" s="2"/>
      <c r="H21058" s="2"/>
    </row>
    <row r="21059" spans="1:8" x14ac:dyDescent="0.25">
      <c r="A21059" s="1"/>
      <c r="B21059" s="1" t="s">
        <v>7328</v>
      </c>
      <c r="C21059" s="1" t="s">
        <v>7329</v>
      </c>
      <c r="D21059" s="22" t="str">
        <f>HYPERLINK("https://rhld.insurance.arkansas.gov/NPILookup?Npi=1033674049","1033674049")</f>
        <v>1033674049</v>
      </c>
      <c r="E21059" s="1" t="s">
        <v>25276</v>
      </c>
      <c r="F21059" s="2"/>
      <c r="G21059" s="2"/>
      <c r="H21059" s="2"/>
    </row>
    <row r="21060" spans="1:8" x14ac:dyDescent="0.25">
      <c r="A21060" s="1"/>
      <c r="B21060" s="1" t="s">
        <v>7328</v>
      </c>
      <c r="C21060" s="1" t="s">
        <v>7329</v>
      </c>
      <c r="D21060" s="22" t="str">
        <f>HYPERLINK("https://rhld.insurance.arkansas.gov/NPILookup?Npi=1033675798","1033675798")</f>
        <v>1033675798</v>
      </c>
      <c r="E21060" s="1" t="s">
        <v>25277</v>
      </c>
      <c r="F21060" s="2"/>
      <c r="G21060" s="2"/>
      <c r="H21060" s="2"/>
    </row>
    <row r="21061" spans="1:8" x14ac:dyDescent="0.25">
      <c r="A21061" s="1"/>
      <c r="B21061" s="1" t="s">
        <v>7328</v>
      </c>
      <c r="C21061" s="1" t="s">
        <v>7329</v>
      </c>
      <c r="D21061" s="22" t="str">
        <f>HYPERLINK("https://rhld.insurance.arkansas.gov/NPILookup?Npi=1033689864","1033689864")</f>
        <v>1033689864</v>
      </c>
      <c r="E21061" s="1" t="s">
        <v>25278</v>
      </c>
      <c r="F21061" s="2"/>
      <c r="G21061" s="2"/>
      <c r="H21061" s="2"/>
    </row>
    <row r="21062" spans="1:8" x14ac:dyDescent="0.25">
      <c r="A21062" s="1"/>
      <c r="B21062" s="1" t="s">
        <v>7328</v>
      </c>
      <c r="C21062" s="1" t="s">
        <v>7329</v>
      </c>
      <c r="D21062" s="22" t="str">
        <f>HYPERLINK("https://rhld.insurance.arkansas.gov/NPILookup?Npi=1033696273","1033696273")</f>
        <v>1033696273</v>
      </c>
      <c r="E21062" s="1" t="s">
        <v>2603</v>
      </c>
      <c r="F21062" s="2"/>
      <c r="G21062" s="2"/>
      <c r="H21062" s="2"/>
    </row>
    <row r="21063" spans="1:8" x14ac:dyDescent="0.25">
      <c r="A21063" s="1"/>
      <c r="B21063" s="1" t="s">
        <v>7328</v>
      </c>
      <c r="C21063" s="1" t="s">
        <v>7329</v>
      </c>
      <c r="D21063" s="22" t="str">
        <f>HYPERLINK("https://rhld.insurance.arkansas.gov/NPILookup?Npi=1033699855","1033699855")</f>
        <v>1033699855</v>
      </c>
      <c r="E21063" s="1" t="s">
        <v>32085</v>
      </c>
      <c r="F21063" s="2"/>
      <c r="G21063" s="2"/>
      <c r="H21063" s="2"/>
    </row>
    <row r="21064" spans="1:8" x14ac:dyDescent="0.25">
      <c r="A21064" s="1"/>
      <c r="B21064" s="1" t="s">
        <v>7328</v>
      </c>
      <c r="C21064" s="1" t="s">
        <v>7329</v>
      </c>
      <c r="D21064" s="22" t="str">
        <f>HYPERLINK("https://rhld.insurance.arkansas.gov/NPILookup?Npi=1033713482","1033713482")</f>
        <v>1033713482</v>
      </c>
      <c r="E21064" s="1" t="s">
        <v>1742</v>
      </c>
      <c r="F21064" s="2"/>
      <c r="G21064" s="2"/>
      <c r="H21064" s="2"/>
    </row>
    <row r="21065" spans="1:8" x14ac:dyDescent="0.25">
      <c r="A21065" s="1"/>
      <c r="B21065" s="1" t="s">
        <v>7328</v>
      </c>
      <c r="C21065" s="1" t="s">
        <v>7329</v>
      </c>
      <c r="D21065" s="22" t="str">
        <f>HYPERLINK("https://rhld.insurance.arkansas.gov/NPILookup?Npi=1033718903","1033718903")</f>
        <v>1033718903</v>
      </c>
      <c r="E21065" s="1" t="s">
        <v>25279</v>
      </c>
      <c r="F21065" s="2"/>
      <c r="G21065" s="2"/>
      <c r="H21065" s="2"/>
    </row>
    <row r="21066" spans="1:8" x14ac:dyDescent="0.25">
      <c r="A21066" s="1"/>
      <c r="B21066" s="1" t="s">
        <v>7328</v>
      </c>
      <c r="C21066" s="1" t="s">
        <v>7329</v>
      </c>
      <c r="D21066" s="22" t="str">
        <f>HYPERLINK("https://rhld.insurance.arkansas.gov/NPILookup?Npi=1033724349","1033724349")</f>
        <v>1033724349</v>
      </c>
      <c r="E21066" s="1" t="s">
        <v>25280</v>
      </c>
      <c r="F21066" s="2"/>
      <c r="G21066" s="2"/>
      <c r="H21066" s="2"/>
    </row>
    <row r="21067" spans="1:8" x14ac:dyDescent="0.25">
      <c r="A21067" s="1"/>
      <c r="B21067" s="1" t="s">
        <v>7328</v>
      </c>
      <c r="C21067" s="1" t="s">
        <v>7329</v>
      </c>
      <c r="D21067" s="22" t="str">
        <f>HYPERLINK("https://rhld.insurance.arkansas.gov/NPILookup?Npi=1033727235","1033727235")</f>
        <v>1033727235</v>
      </c>
      <c r="E21067" s="1" t="s">
        <v>7355</v>
      </c>
      <c r="F21067" s="2"/>
      <c r="G21067" s="2"/>
      <c r="H21067" s="2"/>
    </row>
    <row r="21068" spans="1:8" x14ac:dyDescent="0.25">
      <c r="A21068" s="1"/>
      <c r="B21068" s="1" t="s">
        <v>7328</v>
      </c>
      <c r="C21068" s="1" t="s">
        <v>7329</v>
      </c>
      <c r="D21068" s="22" t="str">
        <f>HYPERLINK("https://rhld.insurance.arkansas.gov/NPILookup?Npi=1033737424","1033737424")</f>
        <v>1033737424</v>
      </c>
      <c r="E21068" s="1" t="s">
        <v>1743</v>
      </c>
      <c r="F21068" s="2"/>
      <c r="G21068" s="2"/>
      <c r="H21068" s="2"/>
    </row>
    <row r="21069" spans="1:8" x14ac:dyDescent="0.25">
      <c r="A21069" s="1"/>
      <c r="B21069" s="1" t="s">
        <v>7328</v>
      </c>
      <c r="C21069" s="1" t="s">
        <v>7329</v>
      </c>
      <c r="D21069" s="22" t="str">
        <f>HYPERLINK("https://rhld.insurance.arkansas.gov/NPILookup?Npi=1033740402","1033740402")</f>
        <v>1033740402</v>
      </c>
      <c r="E21069" s="1" t="s">
        <v>7356</v>
      </c>
      <c r="F21069" s="2"/>
      <c r="G21069" s="2"/>
      <c r="H21069" s="2"/>
    </row>
    <row r="21070" spans="1:8" x14ac:dyDescent="0.25">
      <c r="A21070" s="1"/>
      <c r="B21070" s="1" t="s">
        <v>7328</v>
      </c>
      <c r="C21070" s="1" t="s">
        <v>7329</v>
      </c>
      <c r="D21070" s="22" t="str">
        <f>HYPERLINK("https://rhld.insurance.arkansas.gov/NPILookup?Npi=1033750898","1033750898")</f>
        <v>1033750898</v>
      </c>
      <c r="E21070" s="1" t="s">
        <v>2604</v>
      </c>
      <c r="F21070" s="2"/>
      <c r="G21070" s="2"/>
      <c r="H21070" s="2"/>
    </row>
    <row r="21071" spans="1:8" x14ac:dyDescent="0.25">
      <c r="A21071" s="1"/>
      <c r="B21071" s="1" t="s">
        <v>7328</v>
      </c>
      <c r="C21071" s="1" t="s">
        <v>7329</v>
      </c>
      <c r="D21071" s="22" t="str">
        <f>HYPERLINK("https://rhld.insurance.arkansas.gov/NPILookup?Npi=1033752803","1033752803")</f>
        <v>1033752803</v>
      </c>
      <c r="E21071" s="1" t="s">
        <v>2605</v>
      </c>
      <c r="F21071" s="2"/>
      <c r="G21071" s="2"/>
      <c r="H21071" s="2"/>
    </row>
    <row r="21072" spans="1:8" x14ac:dyDescent="0.25">
      <c r="A21072" s="1"/>
      <c r="B21072" s="1" t="s">
        <v>7328</v>
      </c>
      <c r="C21072" s="1" t="s">
        <v>7329</v>
      </c>
      <c r="D21072" s="22" t="str">
        <f>HYPERLINK("https://rhld.insurance.arkansas.gov/NPILookup?Npi=1033765490","1033765490")</f>
        <v>1033765490</v>
      </c>
      <c r="E21072" s="1" t="s">
        <v>20986</v>
      </c>
      <c r="F21072" s="2"/>
      <c r="G21072" s="2"/>
      <c r="H21072" s="2"/>
    </row>
    <row r="21073" spans="1:8" x14ac:dyDescent="0.25">
      <c r="A21073" s="1"/>
      <c r="B21073" s="1" t="s">
        <v>7328</v>
      </c>
      <c r="C21073" s="1" t="s">
        <v>7329</v>
      </c>
      <c r="D21073" s="22" t="str">
        <f>HYPERLINK("https://rhld.insurance.arkansas.gov/NPILookup?Npi=1033771969","1033771969")</f>
        <v>1033771969</v>
      </c>
      <c r="E21073" s="1" t="s">
        <v>1369</v>
      </c>
      <c r="F21073" s="2"/>
      <c r="G21073" s="2"/>
      <c r="H21073" s="2"/>
    </row>
    <row r="21074" spans="1:8" x14ac:dyDescent="0.25">
      <c r="A21074" s="1"/>
      <c r="B21074" s="1" t="s">
        <v>7328</v>
      </c>
      <c r="C21074" s="1" t="s">
        <v>7329</v>
      </c>
      <c r="D21074" s="22" t="str">
        <f>HYPERLINK("https://rhld.insurance.arkansas.gov/NPILookup?Npi=1033776497","1033776497")</f>
        <v>1033776497</v>
      </c>
      <c r="E21074" s="1" t="s">
        <v>25281</v>
      </c>
      <c r="F21074" s="2"/>
      <c r="G21074" s="2"/>
      <c r="H21074" s="2"/>
    </row>
    <row r="21075" spans="1:8" x14ac:dyDescent="0.25">
      <c r="A21075" s="1"/>
      <c r="B21075" s="1" t="s">
        <v>7328</v>
      </c>
      <c r="C21075" s="1" t="s">
        <v>7329</v>
      </c>
      <c r="D21075" s="22" t="str">
        <f>HYPERLINK("https://rhld.insurance.arkansas.gov/NPILookup?Npi=1033788195","1033788195")</f>
        <v>1033788195</v>
      </c>
      <c r="E21075" s="1" t="s">
        <v>25282</v>
      </c>
      <c r="F21075" s="2"/>
      <c r="G21075" s="2"/>
      <c r="H21075" s="2"/>
    </row>
    <row r="21076" spans="1:8" x14ac:dyDescent="0.25">
      <c r="A21076" s="1"/>
      <c r="B21076" s="1" t="s">
        <v>7328</v>
      </c>
      <c r="C21076" s="1" t="s">
        <v>7329</v>
      </c>
      <c r="D21076" s="22" t="str">
        <f>HYPERLINK("https://rhld.insurance.arkansas.gov/NPILookup?Npi=1033790159","1033790159")</f>
        <v>1033790159</v>
      </c>
      <c r="E21076" s="1" t="s">
        <v>12617</v>
      </c>
      <c r="F21076" s="2"/>
      <c r="G21076" s="2"/>
      <c r="H21076" s="2"/>
    </row>
    <row r="21077" spans="1:8" x14ac:dyDescent="0.25">
      <c r="A21077" s="1"/>
      <c r="B21077" s="1" t="s">
        <v>7328</v>
      </c>
      <c r="C21077" s="1" t="s">
        <v>7329</v>
      </c>
      <c r="D21077" s="22" t="str">
        <f>HYPERLINK("https://rhld.insurance.arkansas.gov/NPILookup?Npi=1033791322","1033791322")</f>
        <v>1033791322</v>
      </c>
      <c r="E21077" s="1" t="s">
        <v>25283</v>
      </c>
      <c r="F21077" s="2"/>
      <c r="G21077" s="2"/>
      <c r="H21077" s="2"/>
    </row>
    <row r="21078" spans="1:8" x14ac:dyDescent="0.25">
      <c r="A21078" s="1"/>
      <c r="B21078" s="1" t="s">
        <v>7328</v>
      </c>
      <c r="C21078" s="1" t="s">
        <v>7329</v>
      </c>
      <c r="D21078" s="22" t="str">
        <f>HYPERLINK("https://rhld.insurance.arkansas.gov/NPILookup?Npi=1033810718","1033810718")</f>
        <v>1033810718</v>
      </c>
      <c r="E21078" s="1" t="s">
        <v>7357</v>
      </c>
      <c r="F21078" s="2"/>
      <c r="G21078" s="2"/>
      <c r="H21078" s="2"/>
    </row>
    <row r="21079" spans="1:8" x14ac:dyDescent="0.25">
      <c r="A21079" s="1"/>
      <c r="B21079" s="1" t="s">
        <v>7328</v>
      </c>
      <c r="C21079" s="1" t="s">
        <v>7329</v>
      </c>
      <c r="D21079" s="22" t="str">
        <f>HYPERLINK("https://rhld.insurance.arkansas.gov/NPILookup?Npi=1033816087","1033816087")</f>
        <v>1033816087</v>
      </c>
      <c r="E21079" s="1" t="s">
        <v>7358</v>
      </c>
      <c r="F21079" s="2"/>
      <c r="G21079" s="2"/>
      <c r="H21079" s="2"/>
    </row>
    <row r="21080" spans="1:8" x14ac:dyDescent="0.25">
      <c r="A21080" s="1"/>
      <c r="B21080" s="1" t="s">
        <v>7328</v>
      </c>
      <c r="C21080" s="1" t="s">
        <v>7329</v>
      </c>
      <c r="D21080" s="22" t="str">
        <f>HYPERLINK("https://rhld.insurance.arkansas.gov/NPILookup?Npi=1033824792","1033824792")</f>
        <v>1033824792</v>
      </c>
      <c r="E21080" s="1" t="s">
        <v>7359</v>
      </c>
      <c r="F21080" s="2"/>
      <c r="G21080" s="2"/>
      <c r="H21080" s="2"/>
    </row>
    <row r="21081" spans="1:8" x14ac:dyDescent="0.25">
      <c r="A21081" s="1"/>
      <c r="B21081" s="1" t="s">
        <v>7328</v>
      </c>
      <c r="C21081" s="1" t="s">
        <v>7329</v>
      </c>
      <c r="D21081" s="22" t="str">
        <f>HYPERLINK("https://rhld.insurance.arkansas.gov/NPILookup?Npi=1033824867","1033824867")</f>
        <v>1033824867</v>
      </c>
      <c r="E21081" s="1" t="s">
        <v>4051</v>
      </c>
      <c r="F21081" s="2"/>
      <c r="G21081" s="2"/>
      <c r="H21081" s="2"/>
    </row>
    <row r="21082" spans="1:8" x14ac:dyDescent="0.25">
      <c r="A21082" s="1"/>
      <c r="B21082" s="1" t="s">
        <v>7328</v>
      </c>
      <c r="C21082" s="1" t="s">
        <v>7329</v>
      </c>
      <c r="D21082" s="22" t="str">
        <f>HYPERLINK("https://rhld.insurance.arkansas.gov/NPILookup?Npi=1033829775","1033829775")</f>
        <v>1033829775</v>
      </c>
      <c r="E21082" s="1" t="s">
        <v>25284</v>
      </c>
      <c r="F21082" s="2"/>
      <c r="G21082" s="2"/>
      <c r="H21082" s="2"/>
    </row>
    <row r="21083" spans="1:8" x14ac:dyDescent="0.25">
      <c r="A21083" s="1"/>
      <c r="B21083" s="1" t="s">
        <v>7328</v>
      </c>
      <c r="C21083" s="1" t="s">
        <v>7329</v>
      </c>
      <c r="D21083" s="22" t="str">
        <f>HYPERLINK("https://rhld.insurance.arkansas.gov/NPILookup?Npi=1033834692","1033834692")</f>
        <v>1033834692</v>
      </c>
      <c r="E21083" s="1" t="s">
        <v>7360</v>
      </c>
      <c r="F21083" s="2"/>
      <c r="G21083" s="2"/>
      <c r="H21083" s="2"/>
    </row>
    <row r="21084" spans="1:8" x14ac:dyDescent="0.25">
      <c r="A21084" s="1"/>
      <c r="B21084" s="1" t="s">
        <v>7328</v>
      </c>
      <c r="C21084" s="1" t="s">
        <v>7329</v>
      </c>
      <c r="D21084" s="22" t="str">
        <f>HYPERLINK("https://rhld.insurance.arkansas.gov/NPILookup?Npi=1033839931","1033839931")</f>
        <v>1033839931</v>
      </c>
      <c r="E21084" s="1" t="s">
        <v>25285</v>
      </c>
      <c r="F21084" s="2"/>
      <c r="G21084" s="2"/>
      <c r="H21084" s="2"/>
    </row>
    <row r="21085" spans="1:8" x14ac:dyDescent="0.25">
      <c r="A21085" s="1"/>
      <c r="B21085" s="1" t="s">
        <v>7328</v>
      </c>
      <c r="C21085" s="1" t="s">
        <v>7329</v>
      </c>
      <c r="D21085" s="22" t="str">
        <f>HYPERLINK("https://rhld.insurance.arkansas.gov/NPILookup?Npi=1033840988","1033840988")</f>
        <v>1033840988</v>
      </c>
      <c r="E21085" s="1" t="s">
        <v>7361</v>
      </c>
      <c r="F21085" s="2"/>
      <c r="G21085" s="2"/>
      <c r="H21085" s="2"/>
    </row>
    <row r="21086" spans="1:8" x14ac:dyDescent="0.25">
      <c r="A21086" s="1"/>
      <c r="B21086" s="1" t="s">
        <v>7328</v>
      </c>
      <c r="C21086" s="1" t="s">
        <v>7329</v>
      </c>
      <c r="D21086" s="22" t="str">
        <f>HYPERLINK("https://rhld.insurance.arkansas.gov/NPILookup?Npi=1033841036","1033841036")</f>
        <v>1033841036</v>
      </c>
      <c r="E21086" s="1" t="s">
        <v>25286</v>
      </c>
      <c r="F21086" s="2"/>
      <c r="G21086" s="2"/>
      <c r="H21086" s="2"/>
    </row>
    <row r="21087" spans="1:8" x14ac:dyDescent="0.25">
      <c r="A21087" s="1"/>
      <c r="B21087" s="1" t="s">
        <v>7328</v>
      </c>
      <c r="C21087" s="1" t="s">
        <v>7329</v>
      </c>
      <c r="D21087" s="22" t="str">
        <f>HYPERLINK("https://rhld.insurance.arkansas.gov/NPILookup?Npi=1033847975","1033847975")</f>
        <v>1033847975</v>
      </c>
      <c r="E21087" s="1" t="s">
        <v>32086</v>
      </c>
      <c r="F21087" s="2"/>
      <c r="G21087" s="2"/>
      <c r="H21087" s="2"/>
    </row>
    <row r="21088" spans="1:8" x14ac:dyDescent="0.25">
      <c r="A21088" s="1"/>
      <c r="B21088" s="1" t="s">
        <v>7328</v>
      </c>
      <c r="C21088" s="1" t="s">
        <v>7329</v>
      </c>
      <c r="D21088" s="22" t="str">
        <f>HYPERLINK("https://rhld.insurance.arkansas.gov/NPILookup?Npi=1033857628","1033857628")</f>
        <v>1033857628</v>
      </c>
      <c r="E21088" s="1" t="s">
        <v>25287</v>
      </c>
      <c r="F21088" s="2"/>
      <c r="G21088" s="2"/>
      <c r="H21088" s="2"/>
    </row>
    <row r="21089" spans="1:8" x14ac:dyDescent="0.25">
      <c r="A21089" s="1"/>
      <c r="B21089" s="1" t="s">
        <v>7328</v>
      </c>
      <c r="C21089" s="1" t="s">
        <v>7329</v>
      </c>
      <c r="D21089" s="22" t="str">
        <f>HYPERLINK("https://rhld.insurance.arkansas.gov/NPILookup?Npi=1033862883","1033862883")</f>
        <v>1033862883</v>
      </c>
      <c r="E21089" s="1" t="s">
        <v>25288</v>
      </c>
      <c r="F21089" s="2"/>
      <c r="G21089" s="2"/>
      <c r="H21089" s="2"/>
    </row>
    <row r="21090" spans="1:8" x14ac:dyDescent="0.25">
      <c r="A21090" s="1"/>
      <c r="B21090" s="1" t="s">
        <v>7328</v>
      </c>
      <c r="C21090" s="1" t="s">
        <v>7329</v>
      </c>
      <c r="D21090" s="22" t="str">
        <f>HYPERLINK("https://rhld.insurance.arkansas.gov/NPILookup?Npi=1033880109","1033880109")</f>
        <v>1033880109</v>
      </c>
      <c r="E21090" s="1" t="s">
        <v>12618</v>
      </c>
      <c r="F21090" s="2"/>
      <c r="G21090" s="2"/>
      <c r="H21090" s="2"/>
    </row>
    <row r="21091" spans="1:8" x14ac:dyDescent="0.25">
      <c r="A21091" s="1"/>
      <c r="B21091" s="1" t="s">
        <v>7328</v>
      </c>
      <c r="C21091" s="1" t="s">
        <v>7329</v>
      </c>
      <c r="D21091" s="22" t="str">
        <f>HYPERLINK("https://rhld.insurance.arkansas.gov/NPILookup?Npi=1033886809","1033886809")</f>
        <v>1033886809</v>
      </c>
      <c r="E21091" s="1" t="s">
        <v>4438</v>
      </c>
      <c r="F21091" s="2"/>
      <c r="G21091" s="2"/>
      <c r="H21091" s="2"/>
    </row>
    <row r="21092" spans="1:8" x14ac:dyDescent="0.25">
      <c r="A21092" s="1"/>
      <c r="B21092" s="1" t="s">
        <v>7328</v>
      </c>
      <c r="C21092" s="1" t="s">
        <v>7329</v>
      </c>
      <c r="D21092" s="22" t="str">
        <f>HYPERLINK("https://rhld.insurance.arkansas.gov/NPILookup?Npi=1033891619","1033891619")</f>
        <v>1033891619</v>
      </c>
      <c r="E21092" s="1" t="s">
        <v>7362</v>
      </c>
      <c r="F21092" s="2"/>
      <c r="G21092" s="2"/>
      <c r="H21092" s="2"/>
    </row>
    <row r="21093" spans="1:8" x14ac:dyDescent="0.25">
      <c r="A21093" s="1"/>
      <c r="B21093" s="1" t="s">
        <v>7328</v>
      </c>
      <c r="C21093" s="1" t="s">
        <v>7329</v>
      </c>
      <c r="D21093" s="22" t="str">
        <f>HYPERLINK("https://rhld.insurance.arkansas.gov/NPILookup?Npi=1033926001","1033926001")</f>
        <v>1033926001</v>
      </c>
      <c r="E21093" s="1" t="s">
        <v>32087</v>
      </c>
      <c r="F21093" s="2"/>
      <c r="G21093" s="2"/>
      <c r="H21093" s="2"/>
    </row>
    <row r="21094" spans="1:8" x14ac:dyDescent="0.25">
      <c r="A21094" s="1"/>
      <c r="B21094" s="1" t="s">
        <v>7328</v>
      </c>
      <c r="C21094" s="1" t="s">
        <v>7329</v>
      </c>
      <c r="D21094" s="22" t="str">
        <f>HYPERLINK("https://rhld.insurance.arkansas.gov/NPILookup?Npi=1033930656","1033930656")</f>
        <v>1033930656</v>
      </c>
      <c r="E21094" s="1" t="s">
        <v>32088</v>
      </c>
      <c r="F21094" s="2"/>
      <c r="G21094" s="2"/>
      <c r="H21094" s="2"/>
    </row>
    <row r="21095" spans="1:8" x14ac:dyDescent="0.25">
      <c r="A21095" s="1"/>
      <c r="B21095" s="1" t="s">
        <v>7328</v>
      </c>
      <c r="C21095" s="1" t="s">
        <v>7329</v>
      </c>
      <c r="D21095" s="22" t="str">
        <f>HYPERLINK("https://rhld.insurance.arkansas.gov/NPILookup?Npi=1033949409","1033949409")</f>
        <v>1033949409</v>
      </c>
      <c r="E21095" s="1" t="s">
        <v>32089</v>
      </c>
      <c r="F21095" s="2"/>
      <c r="G21095" s="2"/>
      <c r="H21095" s="2"/>
    </row>
    <row r="21096" spans="1:8" x14ac:dyDescent="0.25">
      <c r="A21096" s="1"/>
      <c r="B21096" s="1" t="s">
        <v>7328</v>
      </c>
      <c r="C21096" s="1" t="s">
        <v>7329</v>
      </c>
      <c r="D21096" s="22" t="str">
        <f>HYPERLINK("https://rhld.insurance.arkansas.gov/NPILookup?Npi=1033960265","1033960265")</f>
        <v>1033960265</v>
      </c>
      <c r="E21096" s="1" t="s">
        <v>32090</v>
      </c>
      <c r="F21096" s="2"/>
      <c r="G21096" s="2"/>
      <c r="H21096" s="2"/>
    </row>
    <row r="21097" spans="1:8" x14ac:dyDescent="0.25">
      <c r="A21097" s="1"/>
      <c r="B21097" s="1" t="s">
        <v>7328</v>
      </c>
      <c r="C21097" s="1" t="s">
        <v>7329</v>
      </c>
      <c r="D21097" s="22" t="str">
        <f>HYPERLINK("https://rhld.insurance.arkansas.gov/NPILookup?Npi=1033972666","1033972666")</f>
        <v>1033972666</v>
      </c>
      <c r="E21097" s="1" t="s">
        <v>25289</v>
      </c>
      <c r="F21097" s="2"/>
      <c r="G21097" s="2"/>
      <c r="H21097" s="2"/>
    </row>
    <row r="21098" spans="1:8" x14ac:dyDescent="0.25">
      <c r="A21098" s="1"/>
      <c r="B21098" s="1" t="s">
        <v>7328</v>
      </c>
      <c r="C21098" s="1" t="s">
        <v>7329</v>
      </c>
      <c r="D21098" s="22" t="str">
        <f>HYPERLINK("https://rhld.insurance.arkansas.gov/NPILookup?Npi=1043028939","1043028939")</f>
        <v>1043028939</v>
      </c>
      <c r="E21098" s="1" t="s">
        <v>32091</v>
      </c>
      <c r="F21098" s="2"/>
      <c r="G21098" s="2"/>
      <c r="H21098" s="2"/>
    </row>
    <row r="21099" spans="1:8" x14ac:dyDescent="0.25">
      <c r="A21099" s="1"/>
      <c r="B21099" s="1" t="s">
        <v>7328</v>
      </c>
      <c r="C21099" s="1" t="s">
        <v>7329</v>
      </c>
      <c r="D21099" s="22" t="str">
        <f>HYPERLINK("https://rhld.insurance.arkansas.gov/NPILookup?Npi=1043030513","1043030513")</f>
        <v>1043030513</v>
      </c>
      <c r="E21099" s="1" t="s">
        <v>25290</v>
      </c>
      <c r="F21099" s="2"/>
      <c r="G21099" s="2"/>
      <c r="H21099" s="2"/>
    </row>
    <row r="21100" spans="1:8" x14ac:dyDescent="0.25">
      <c r="A21100" s="1"/>
      <c r="B21100" s="1" t="s">
        <v>7328</v>
      </c>
      <c r="C21100" s="1" t="s">
        <v>7329</v>
      </c>
      <c r="D21100" s="22" t="str">
        <f>HYPERLINK("https://rhld.insurance.arkansas.gov/NPILookup?Npi=1043048200","1043048200")</f>
        <v>1043048200</v>
      </c>
      <c r="E21100" s="1" t="s">
        <v>32092</v>
      </c>
      <c r="F21100" s="2"/>
      <c r="G21100" s="2"/>
      <c r="H21100" s="2"/>
    </row>
    <row r="21101" spans="1:8" x14ac:dyDescent="0.25">
      <c r="A21101" s="1"/>
      <c r="B21101" s="1" t="s">
        <v>7328</v>
      </c>
      <c r="C21101" s="1" t="s">
        <v>7329</v>
      </c>
      <c r="D21101" s="22" t="str">
        <f>HYPERLINK("https://rhld.insurance.arkansas.gov/NPILookup?Npi=1043049422","1043049422")</f>
        <v>1043049422</v>
      </c>
      <c r="E21101" s="1" t="s">
        <v>25291</v>
      </c>
      <c r="F21101" s="2"/>
      <c r="G21101" s="2"/>
      <c r="H21101" s="2"/>
    </row>
    <row r="21102" spans="1:8" x14ac:dyDescent="0.25">
      <c r="A21102" s="1"/>
      <c r="B21102" s="1" t="s">
        <v>7328</v>
      </c>
      <c r="C21102" s="1" t="s">
        <v>7329</v>
      </c>
      <c r="D21102" s="22" t="str">
        <f>HYPERLINK("https://rhld.insurance.arkansas.gov/NPILookup?Npi=1043057391","1043057391")</f>
        <v>1043057391</v>
      </c>
      <c r="E21102" s="1" t="s">
        <v>25292</v>
      </c>
      <c r="F21102" s="2"/>
      <c r="G21102" s="2"/>
      <c r="H21102" s="2"/>
    </row>
    <row r="21103" spans="1:8" x14ac:dyDescent="0.25">
      <c r="A21103" s="1"/>
      <c r="B21103" s="1" t="s">
        <v>7328</v>
      </c>
      <c r="C21103" s="1" t="s">
        <v>7329</v>
      </c>
      <c r="D21103" s="22" t="str">
        <f>HYPERLINK("https://rhld.insurance.arkansas.gov/NPILookup?Npi=1043062193","1043062193")</f>
        <v>1043062193</v>
      </c>
      <c r="E21103" s="1" t="s">
        <v>25293</v>
      </c>
      <c r="F21103" s="2"/>
      <c r="G21103" s="2"/>
      <c r="H21103" s="2"/>
    </row>
    <row r="21104" spans="1:8" x14ac:dyDescent="0.25">
      <c r="A21104" s="1"/>
      <c r="B21104" s="1" t="s">
        <v>7328</v>
      </c>
      <c r="C21104" s="1" t="s">
        <v>7329</v>
      </c>
      <c r="D21104" s="22" t="str">
        <f>HYPERLINK("https://rhld.insurance.arkansas.gov/NPILookup?Npi=1043201940","1043201940")</f>
        <v>1043201940</v>
      </c>
      <c r="E21104" s="1" t="s">
        <v>25294</v>
      </c>
      <c r="F21104" s="2"/>
      <c r="G21104" s="2"/>
      <c r="H21104" s="2"/>
    </row>
    <row r="21105" spans="1:8" x14ac:dyDescent="0.25">
      <c r="A21105" s="1"/>
      <c r="B21105" s="1" t="s">
        <v>7328</v>
      </c>
      <c r="C21105" s="1" t="s">
        <v>7329</v>
      </c>
      <c r="D21105" s="22" t="str">
        <f>HYPERLINK("https://rhld.insurance.arkansas.gov/NPILookup?Npi=1043203003","1043203003")</f>
        <v>1043203003</v>
      </c>
      <c r="E21105" s="1" t="s">
        <v>12619</v>
      </c>
      <c r="F21105" s="2"/>
      <c r="G21105" s="2"/>
      <c r="H21105" s="2"/>
    </row>
    <row r="21106" spans="1:8" x14ac:dyDescent="0.25">
      <c r="A21106" s="1"/>
      <c r="B21106" s="1" t="s">
        <v>7328</v>
      </c>
      <c r="C21106" s="1" t="s">
        <v>7329</v>
      </c>
      <c r="D21106" s="22" t="str">
        <f>HYPERLINK("https://rhld.insurance.arkansas.gov/NPILookup?Npi=1043208879","1043208879")</f>
        <v>1043208879</v>
      </c>
      <c r="E21106" s="1" t="s">
        <v>25295</v>
      </c>
      <c r="F21106" s="2"/>
      <c r="G21106" s="2"/>
      <c r="H21106" s="2"/>
    </row>
    <row r="21107" spans="1:8" x14ac:dyDescent="0.25">
      <c r="A21107" s="1"/>
      <c r="B21107" s="1" t="s">
        <v>7328</v>
      </c>
      <c r="C21107" s="1" t="s">
        <v>7329</v>
      </c>
      <c r="D21107" s="22" t="str">
        <f>HYPERLINK("https://rhld.insurance.arkansas.gov/NPILookup?Npi=1043232580","1043232580")</f>
        <v>1043232580</v>
      </c>
      <c r="E21107" s="1" t="s">
        <v>25296</v>
      </c>
      <c r="F21107" s="2"/>
      <c r="G21107" s="2"/>
      <c r="H21107" s="2"/>
    </row>
    <row r="21108" spans="1:8" x14ac:dyDescent="0.25">
      <c r="A21108" s="1"/>
      <c r="B21108" s="1" t="s">
        <v>7328</v>
      </c>
      <c r="C21108" s="1" t="s">
        <v>7329</v>
      </c>
      <c r="D21108" s="22" t="str">
        <f>HYPERLINK("https://rhld.insurance.arkansas.gov/NPILookup?Npi=1043236748","1043236748")</f>
        <v>1043236748</v>
      </c>
      <c r="E21108" s="1" t="s">
        <v>25297</v>
      </c>
      <c r="F21108" s="2"/>
      <c r="G21108" s="2"/>
      <c r="H21108" s="2"/>
    </row>
    <row r="21109" spans="1:8" x14ac:dyDescent="0.25">
      <c r="A21109" s="1"/>
      <c r="B21109" s="1" t="s">
        <v>7328</v>
      </c>
      <c r="C21109" s="1" t="s">
        <v>7329</v>
      </c>
      <c r="D21109" s="22" t="str">
        <f>HYPERLINK("https://rhld.insurance.arkansas.gov/NPILookup?Npi=1043239965","1043239965")</f>
        <v>1043239965</v>
      </c>
      <c r="E21109" s="1" t="s">
        <v>25298</v>
      </c>
      <c r="F21109" s="2"/>
      <c r="G21109" s="2"/>
      <c r="H21109" s="2"/>
    </row>
    <row r="21110" spans="1:8" x14ac:dyDescent="0.25">
      <c r="A21110" s="1"/>
      <c r="B21110" s="1" t="s">
        <v>7328</v>
      </c>
      <c r="C21110" s="1" t="s">
        <v>7329</v>
      </c>
      <c r="D21110" s="22" t="str">
        <f>HYPERLINK("https://rhld.insurance.arkansas.gov/NPILookup?Npi=1043255128","1043255128")</f>
        <v>1043255128</v>
      </c>
      <c r="E21110" s="1" t="s">
        <v>2606</v>
      </c>
      <c r="F21110" s="2"/>
      <c r="G21110" s="2"/>
      <c r="H21110" s="2"/>
    </row>
    <row r="21111" spans="1:8" x14ac:dyDescent="0.25">
      <c r="A21111" s="1"/>
      <c r="B21111" s="1" t="s">
        <v>7328</v>
      </c>
      <c r="C21111" s="1" t="s">
        <v>7329</v>
      </c>
      <c r="D21111" s="22" t="str">
        <f>HYPERLINK("https://rhld.insurance.arkansas.gov/NPILookup?Npi=1043262538","1043262538")</f>
        <v>1043262538</v>
      </c>
      <c r="E21111" s="1" t="s">
        <v>25299</v>
      </c>
      <c r="F21111" s="2"/>
      <c r="G21111" s="2"/>
      <c r="H21111" s="2"/>
    </row>
    <row r="21112" spans="1:8" x14ac:dyDescent="0.25">
      <c r="A21112" s="1"/>
      <c r="B21112" s="1" t="s">
        <v>7328</v>
      </c>
      <c r="C21112" s="1" t="s">
        <v>7329</v>
      </c>
      <c r="D21112" s="22" t="str">
        <f>HYPERLINK("https://rhld.insurance.arkansas.gov/NPILookup?Npi=1043265655","1043265655")</f>
        <v>1043265655</v>
      </c>
      <c r="E21112" s="1" t="s">
        <v>10201</v>
      </c>
      <c r="F21112" s="2"/>
      <c r="G21112" s="2"/>
      <c r="H21112" s="2"/>
    </row>
    <row r="21113" spans="1:8" x14ac:dyDescent="0.25">
      <c r="A21113" s="1"/>
      <c r="B21113" s="1" t="s">
        <v>7328</v>
      </c>
      <c r="C21113" s="1" t="s">
        <v>7329</v>
      </c>
      <c r="D21113" s="22" t="str">
        <f>HYPERLINK("https://rhld.insurance.arkansas.gov/NPILookup?Npi=1043276439","1043276439")</f>
        <v>1043276439</v>
      </c>
      <c r="E21113" s="1" t="s">
        <v>25300</v>
      </c>
      <c r="F21113" s="2"/>
      <c r="G21113" s="2"/>
      <c r="H21113" s="2"/>
    </row>
    <row r="21114" spans="1:8" x14ac:dyDescent="0.25">
      <c r="A21114" s="1"/>
      <c r="B21114" s="1" t="s">
        <v>7328</v>
      </c>
      <c r="C21114" s="1" t="s">
        <v>7329</v>
      </c>
      <c r="D21114" s="22" t="str">
        <f>HYPERLINK("https://rhld.insurance.arkansas.gov/NPILookup?Npi=1043278914","1043278914")</f>
        <v>1043278914</v>
      </c>
      <c r="E21114" s="1" t="s">
        <v>25301</v>
      </c>
      <c r="F21114" s="2"/>
      <c r="G21114" s="2"/>
      <c r="H21114" s="2"/>
    </row>
    <row r="21115" spans="1:8" x14ac:dyDescent="0.25">
      <c r="A21115" s="1"/>
      <c r="B21115" s="1" t="s">
        <v>7328</v>
      </c>
      <c r="C21115" s="1" t="s">
        <v>7329</v>
      </c>
      <c r="D21115" s="22" t="str">
        <f>HYPERLINK("https://rhld.insurance.arkansas.gov/NPILookup?Npi=1043281256","1043281256")</f>
        <v>1043281256</v>
      </c>
      <c r="E21115" s="1" t="s">
        <v>7363</v>
      </c>
      <c r="F21115" s="2"/>
      <c r="G21115" s="2"/>
      <c r="H21115" s="2"/>
    </row>
    <row r="21116" spans="1:8" x14ac:dyDescent="0.25">
      <c r="A21116" s="1"/>
      <c r="B21116" s="1" t="s">
        <v>7328</v>
      </c>
      <c r="C21116" s="1" t="s">
        <v>7329</v>
      </c>
      <c r="D21116" s="22" t="str">
        <f>HYPERLINK("https://rhld.insurance.arkansas.gov/NPILookup?Npi=1043284730","1043284730")</f>
        <v>1043284730</v>
      </c>
      <c r="E21116" s="1" t="s">
        <v>1079</v>
      </c>
      <c r="F21116" s="2"/>
      <c r="G21116" s="2"/>
      <c r="H21116" s="2"/>
    </row>
    <row r="21117" spans="1:8" x14ac:dyDescent="0.25">
      <c r="A21117" s="1"/>
      <c r="B21117" s="1" t="s">
        <v>7328</v>
      </c>
      <c r="C21117" s="1" t="s">
        <v>7329</v>
      </c>
      <c r="D21117" s="22" t="str">
        <f>HYPERLINK("https://rhld.insurance.arkansas.gov/NPILookup?Npi=1043291560","1043291560")</f>
        <v>1043291560</v>
      </c>
      <c r="E21117" s="1" t="s">
        <v>25302</v>
      </c>
      <c r="F21117" s="2"/>
      <c r="G21117" s="2"/>
      <c r="H21117" s="2"/>
    </row>
    <row r="21118" spans="1:8" x14ac:dyDescent="0.25">
      <c r="A21118" s="1"/>
      <c r="B21118" s="1" t="s">
        <v>7328</v>
      </c>
      <c r="C21118" s="1" t="s">
        <v>7329</v>
      </c>
      <c r="D21118" s="22" t="str">
        <f>HYPERLINK("https://rhld.insurance.arkansas.gov/NPILookup?Npi=1043307499","1043307499")</f>
        <v>1043307499</v>
      </c>
      <c r="E21118" s="1" t="s">
        <v>25303</v>
      </c>
      <c r="F21118" s="2"/>
      <c r="G21118" s="2"/>
      <c r="H21118" s="2"/>
    </row>
    <row r="21119" spans="1:8" x14ac:dyDescent="0.25">
      <c r="A21119" s="1"/>
      <c r="B21119" s="1" t="s">
        <v>7328</v>
      </c>
      <c r="C21119" s="1" t="s">
        <v>7329</v>
      </c>
      <c r="D21119" s="22" t="str">
        <f>HYPERLINK("https://rhld.insurance.arkansas.gov/NPILookup?Npi=1043324692","1043324692")</f>
        <v>1043324692</v>
      </c>
      <c r="E21119" s="1" t="s">
        <v>2607</v>
      </c>
      <c r="F21119" s="2"/>
      <c r="G21119" s="2"/>
      <c r="H21119" s="2"/>
    </row>
    <row r="21120" spans="1:8" x14ac:dyDescent="0.25">
      <c r="A21120" s="1"/>
      <c r="B21120" s="1" t="s">
        <v>7328</v>
      </c>
      <c r="C21120" s="1" t="s">
        <v>7329</v>
      </c>
      <c r="D21120" s="22" t="str">
        <f>HYPERLINK("https://rhld.insurance.arkansas.gov/NPILookup?Npi=1043340011","1043340011")</f>
        <v>1043340011</v>
      </c>
      <c r="E21120" s="1" t="s">
        <v>25304</v>
      </c>
      <c r="F21120" s="2"/>
      <c r="G21120" s="2"/>
      <c r="H21120" s="2"/>
    </row>
    <row r="21121" spans="1:8" x14ac:dyDescent="0.25">
      <c r="A21121" s="1"/>
      <c r="B21121" s="1" t="s">
        <v>7328</v>
      </c>
      <c r="C21121" s="1" t="s">
        <v>7329</v>
      </c>
      <c r="D21121" s="22" t="str">
        <f>HYPERLINK("https://rhld.insurance.arkansas.gov/NPILookup?Npi=1043361983","1043361983")</f>
        <v>1043361983</v>
      </c>
      <c r="E21121" s="1" t="s">
        <v>12620</v>
      </c>
      <c r="F21121" s="2"/>
      <c r="G21121" s="2"/>
      <c r="H21121" s="2"/>
    </row>
    <row r="21122" spans="1:8" x14ac:dyDescent="0.25">
      <c r="A21122" s="1"/>
      <c r="B21122" s="1" t="s">
        <v>7328</v>
      </c>
      <c r="C21122" s="1" t="s">
        <v>7329</v>
      </c>
      <c r="D21122" s="22" t="str">
        <f>HYPERLINK("https://rhld.insurance.arkansas.gov/NPILookup?Npi=1043364201","1043364201")</f>
        <v>1043364201</v>
      </c>
      <c r="E21122" s="1" t="s">
        <v>25305</v>
      </c>
      <c r="F21122" s="2"/>
      <c r="G21122" s="2"/>
      <c r="H21122" s="2"/>
    </row>
    <row r="21123" spans="1:8" x14ac:dyDescent="0.25">
      <c r="A21123" s="1"/>
      <c r="B21123" s="1" t="s">
        <v>7328</v>
      </c>
      <c r="C21123" s="1" t="s">
        <v>7329</v>
      </c>
      <c r="D21123" s="22" t="str">
        <f>HYPERLINK("https://rhld.insurance.arkansas.gov/NPILookup?Npi=1043416373","1043416373")</f>
        <v>1043416373</v>
      </c>
      <c r="E21123" s="1" t="s">
        <v>12621</v>
      </c>
      <c r="F21123" s="2"/>
      <c r="G21123" s="2"/>
      <c r="H21123" s="2"/>
    </row>
    <row r="21124" spans="1:8" x14ac:dyDescent="0.25">
      <c r="A21124" s="1"/>
      <c r="B21124" s="1" t="s">
        <v>7328</v>
      </c>
      <c r="C21124" s="1" t="s">
        <v>7329</v>
      </c>
      <c r="D21124" s="22" t="str">
        <f>HYPERLINK("https://rhld.insurance.arkansas.gov/NPILookup?Npi=1043424880","1043424880")</f>
        <v>1043424880</v>
      </c>
      <c r="E21124" s="1" t="s">
        <v>12622</v>
      </c>
      <c r="F21124" s="2"/>
      <c r="G21124" s="2"/>
      <c r="H21124" s="2"/>
    </row>
    <row r="21125" spans="1:8" x14ac:dyDescent="0.25">
      <c r="A21125" s="1"/>
      <c r="B21125" s="1" t="s">
        <v>7328</v>
      </c>
      <c r="C21125" s="1" t="s">
        <v>7329</v>
      </c>
      <c r="D21125" s="22" t="str">
        <f>HYPERLINK("https://rhld.insurance.arkansas.gov/NPILookup?Npi=1043431208","1043431208")</f>
        <v>1043431208</v>
      </c>
      <c r="E21125" s="1" t="s">
        <v>2608</v>
      </c>
      <c r="F21125" s="2"/>
      <c r="G21125" s="2"/>
      <c r="H21125" s="2"/>
    </row>
    <row r="21126" spans="1:8" x14ac:dyDescent="0.25">
      <c r="A21126" s="1"/>
      <c r="B21126" s="1" t="s">
        <v>7328</v>
      </c>
      <c r="C21126" s="1" t="s">
        <v>7329</v>
      </c>
      <c r="D21126" s="22" t="str">
        <f>HYPERLINK("https://rhld.insurance.arkansas.gov/NPILookup?Npi=1043456023","1043456023")</f>
        <v>1043456023</v>
      </c>
      <c r="E21126" s="1" t="s">
        <v>17164</v>
      </c>
      <c r="F21126" s="2"/>
      <c r="G21126" s="2"/>
      <c r="H21126" s="2"/>
    </row>
    <row r="21127" spans="1:8" x14ac:dyDescent="0.25">
      <c r="A21127" s="1"/>
      <c r="B21127" s="1" t="s">
        <v>7328</v>
      </c>
      <c r="C21127" s="1" t="s">
        <v>7329</v>
      </c>
      <c r="D21127" s="22" t="str">
        <f>HYPERLINK("https://rhld.insurance.arkansas.gov/NPILookup?Npi=1043468234","1043468234")</f>
        <v>1043468234</v>
      </c>
      <c r="E21127" s="1" t="s">
        <v>25306</v>
      </c>
      <c r="F21127" s="2"/>
      <c r="G21127" s="2"/>
      <c r="H21127" s="2"/>
    </row>
    <row r="21128" spans="1:8" x14ac:dyDescent="0.25">
      <c r="A21128" s="1"/>
      <c r="B21128" s="1" t="s">
        <v>7328</v>
      </c>
      <c r="C21128" s="1" t="s">
        <v>7329</v>
      </c>
      <c r="D21128" s="22" t="str">
        <f>HYPERLINK("https://rhld.insurance.arkansas.gov/NPILookup?Npi=1043472962","1043472962")</f>
        <v>1043472962</v>
      </c>
      <c r="E21128" s="1" t="s">
        <v>188</v>
      </c>
      <c r="F21128" s="2"/>
      <c r="G21128" s="2"/>
      <c r="H21128" s="2"/>
    </row>
    <row r="21129" spans="1:8" x14ac:dyDescent="0.25">
      <c r="A21129" s="1"/>
      <c r="B21129" s="1" t="s">
        <v>7328</v>
      </c>
      <c r="C21129" s="1" t="s">
        <v>7329</v>
      </c>
      <c r="D21129" s="22" t="str">
        <f>HYPERLINK("https://rhld.insurance.arkansas.gov/NPILookup?Npi=1043506777","1043506777")</f>
        <v>1043506777</v>
      </c>
      <c r="E21129" s="1" t="s">
        <v>25307</v>
      </c>
      <c r="F21129" s="2"/>
      <c r="G21129" s="2"/>
      <c r="H21129" s="2"/>
    </row>
    <row r="21130" spans="1:8" x14ac:dyDescent="0.25">
      <c r="A21130" s="1"/>
      <c r="B21130" s="1" t="s">
        <v>7328</v>
      </c>
      <c r="C21130" s="1" t="s">
        <v>7329</v>
      </c>
      <c r="D21130" s="22" t="str">
        <f>HYPERLINK("https://rhld.insurance.arkansas.gov/NPILookup?Npi=1043527336","1043527336")</f>
        <v>1043527336</v>
      </c>
      <c r="E21130" s="1" t="s">
        <v>12623</v>
      </c>
      <c r="F21130" s="2"/>
      <c r="G21130" s="2"/>
      <c r="H21130" s="2"/>
    </row>
    <row r="21131" spans="1:8" x14ac:dyDescent="0.25">
      <c r="A21131" s="1"/>
      <c r="B21131" s="1" t="s">
        <v>7328</v>
      </c>
      <c r="C21131" s="1" t="s">
        <v>7329</v>
      </c>
      <c r="D21131" s="22" t="str">
        <f>HYPERLINK("https://rhld.insurance.arkansas.gov/NPILookup?Npi=1043529134","1043529134")</f>
        <v>1043529134</v>
      </c>
      <c r="E21131" s="1" t="s">
        <v>12624</v>
      </c>
      <c r="F21131" s="2"/>
      <c r="G21131" s="2"/>
      <c r="H21131" s="2"/>
    </row>
    <row r="21132" spans="1:8" x14ac:dyDescent="0.25">
      <c r="A21132" s="1"/>
      <c r="B21132" s="1" t="s">
        <v>7328</v>
      </c>
      <c r="C21132" s="1" t="s">
        <v>7329</v>
      </c>
      <c r="D21132" s="22" t="str">
        <f>HYPERLINK("https://rhld.insurance.arkansas.gov/NPILookup?Npi=1043546930","1043546930")</f>
        <v>1043546930</v>
      </c>
      <c r="E21132" s="1" t="s">
        <v>25308</v>
      </c>
      <c r="F21132" s="2"/>
      <c r="G21132" s="2"/>
      <c r="H21132" s="2"/>
    </row>
    <row r="21133" spans="1:8" x14ac:dyDescent="0.25">
      <c r="A21133" s="1"/>
      <c r="B21133" s="1" t="s">
        <v>7328</v>
      </c>
      <c r="C21133" s="1" t="s">
        <v>7329</v>
      </c>
      <c r="D21133" s="22" t="str">
        <f>HYPERLINK("https://rhld.insurance.arkansas.gov/NPILookup?Npi=1043549371","1043549371")</f>
        <v>1043549371</v>
      </c>
      <c r="E21133" s="1" t="s">
        <v>25309</v>
      </c>
      <c r="F21133" s="2"/>
      <c r="G21133" s="2"/>
      <c r="H21133" s="2"/>
    </row>
    <row r="21134" spans="1:8" x14ac:dyDescent="0.25">
      <c r="A21134" s="1"/>
      <c r="B21134" s="1" t="s">
        <v>7328</v>
      </c>
      <c r="C21134" s="1" t="s">
        <v>7329</v>
      </c>
      <c r="D21134" s="22" t="str">
        <f>HYPERLINK("https://rhld.insurance.arkansas.gov/NPILookup?Npi=1043553167","1043553167")</f>
        <v>1043553167</v>
      </c>
      <c r="E21134" s="1" t="s">
        <v>17165</v>
      </c>
      <c r="F21134" s="2"/>
      <c r="G21134" s="2"/>
      <c r="H21134" s="2"/>
    </row>
    <row r="21135" spans="1:8" x14ac:dyDescent="0.25">
      <c r="A21135" s="1"/>
      <c r="B21135" s="1" t="s">
        <v>7328</v>
      </c>
      <c r="C21135" s="1" t="s">
        <v>7329</v>
      </c>
      <c r="D21135" s="22" t="str">
        <f>HYPERLINK("https://rhld.insurance.arkansas.gov/NPILookup?Npi=1043575467","1043575467")</f>
        <v>1043575467</v>
      </c>
      <c r="E21135" s="1" t="s">
        <v>25310</v>
      </c>
      <c r="F21135" s="2"/>
      <c r="G21135" s="2"/>
      <c r="H21135" s="2"/>
    </row>
    <row r="21136" spans="1:8" x14ac:dyDescent="0.25">
      <c r="A21136" s="1"/>
      <c r="B21136" s="1" t="s">
        <v>7328</v>
      </c>
      <c r="C21136" s="1" t="s">
        <v>7329</v>
      </c>
      <c r="D21136" s="22" t="str">
        <f>HYPERLINK("https://rhld.insurance.arkansas.gov/NPILookup?Npi=1043604804","1043604804")</f>
        <v>1043604804</v>
      </c>
      <c r="E21136" s="1" t="s">
        <v>32093</v>
      </c>
      <c r="F21136" s="2"/>
      <c r="G21136" s="2"/>
      <c r="H21136" s="2"/>
    </row>
    <row r="21137" spans="1:8" x14ac:dyDescent="0.25">
      <c r="A21137" s="1"/>
      <c r="B21137" s="1" t="s">
        <v>7328</v>
      </c>
      <c r="C21137" s="1" t="s">
        <v>7329</v>
      </c>
      <c r="D21137" s="22" t="str">
        <f>HYPERLINK("https://rhld.insurance.arkansas.gov/NPILookup?Npi=1043611502","1043611502")</f>
        <v>1043611502</v>
      </c>
      <c r="E21137" s="1" t="s">
        <v>25311</v>
      </c>
      <c r="F21137" s="2"/>
      <c r="G21137" s="2"/>
      <c r="H21137" s="2"/>
    </row>
    <row r="21138" spans="1:8" x14ac:dyDescent="0.25">
      <c r="A21138" s="1"/>
      <c r="B21138" s="1" t="s">
        <v>7328</v>
      </c>
      <c r="C21138" s="1" t="s">
        <v>7329</v>
      </c>
      <c r="D21138" s="22" t="str">
        <f>HYPERLINK("https://rhld.insurance.arkansas.gov/NPILookup?Npi=1043618945","1043618945")</f>
        <v>1043618945</v>
      </c>
      <c r="E21138" s="1" t="s">
        <v>12625</v>
      </c>
      <c r="F21138" s="2"/>
      <c r="G21138" s="2"/>
      <c r="H21138" s="2"/>
    </row>
    <row r="21139" spans="1:8" x14ac:dyDescent="0.25">
      <c r="A21139" s="1"/>
      <c r="B21139" s="1" t="s">
        <v>7328</v>
      </c>
      <c r="C21139" s="1" t="s">
        <v>7329</v>
      </c>
      <c r="D21139" s="22" t="str">
        <f>HYPERLINK("https://rhld.insurance.arkansas.gov/NPILookup?Npi=1043629900","1043629900")</f>
        <v>1043629900</v>
      </c>
      <c r="E21139" s="1" t="s">
        <v>1013</v>
      </c>
      <c r="F21139" s="2"/>
      <c r="G21139" s="2"/>
      <c r="H21139" s="2"/>
    </row>
    <row r="21140" spans="1:8" x14ac:dyDescent="0.25">
      <c r="A21140" s="1"/>
      <c r="B21140" s="1" t="s">
        <v>7328</v>
      </c>
      <c r="C21140" s="1" t="s">
        <v>7329</v>
      </c>
      <c r="D21140" s="22" t="str">
        <f>HYPERLINK("https://rhld.insurance.arkansas.gov/NPILookup?Npi=1043633696","1043633696")</f>
        <v>1043633696</v>
      </c>
      <c r="E21140" s="1" t="s">
        <v>25312</v>
      </c>
      <c r="F21140" s="2"/>
      <c r="G21140" s="2"/>
      <c r="H21140" s="2"/>
    </row>
    <row r="21141" spans="1:8" x14ac:dyDescent="0.25">
      <c r="A21141" s="1"/>
      <c r="B21141" s="1" t="s">
        <v>7328</v>
      </c>
      <c r="C21141" s="1" t="s">
        <v>7329</v>
      </c>
      <c r="D21141" s="22" t="str">
        <f>HYPERLINK("https://rhld.insurance.arkansas.gov/NPILookup?Npi=1043636244","1043636244")</f>
        <v>1043636244</v>
      </c>
      <c r="E21141" s="1" t="s">
        <v>7365</v>
      </c>
      <c r="F21141" s="2"/>
      <c r="G21141" s="2"/>
      <c r="H21141" s="2"/>
    </row>
    <row r="21142" spans="1:8" x14ac:dyDescent="0.25">
      <c r="A21142" s="1"/>
      <c r="B21142" s="1" t="s">
        <v>7328</v>
      </c>
      <c r="C21142" s="1" t="s">
        <v>7329</v>
      </c>
      <c r="D21142" s="22" t="str">
        <f>HYPERLINK("https://rhld.insurance.arkansas.gov/NPILookup?Npi=1043657646","1043657646")</f>
        <v>1043657646</v>
      </c>
      <c r="E21142" s="1" t="s">
        <v>1952</v>
      </c>
      <c r="F21142" s="2"/>
      <c r="G21142" s="2"/>
      <c r="H21142" s="2"/>
    </row>
    <row r="21143" spans="1:8" x14ac:dyDescent="0.25">
      <c r="A21143" s="1"/>
      <c r="B21143" s="1" t="s">
        <v>7328</v>
      </c>
      <c r="C21143" s="1" t="s">
        <v>7329</v>
      </c>
      <c r="D21143" s="22" t="str">
        <f>HYPERLINK("https://rhld.insurance.arkansas.gov/NPILookup?Npi=1043660194","1043660194")</f>
        <v>1043660194</v>
      </c>
      <c r="E21143" s="1" t="s">
        <v>25313</v>
      </c>
      <c r="F21143" s="2"/>
      <c r="G21143" s="2"/>
      <c r="H21143" s="2"/>
    </row>
    <row r="21144" spans="1:8" x14ac:dyDescent="0.25">
      <c r="A21144" s="1"/>
      <c r="B21144" s="1" t="s">
        <v>7328</v>
      </c>
      <c r="C21144" s="1" t="s">
        <v>7329</v>
      </c>
      <c r="D21144" s="22" t="str">
        <f>HYPERLINK("https://rhld.insurance.arkansas.gov/NPILookup?Npi=1043674336","1043674336")</f>
        <v>1043674336</v>
      </c>
      <c r="E21144" s="1" t="s">
        <v>25314</v>
      </c>
      <c r="F21144" s="2"/>
      <c r="G21144" s="2"/>
      <c r="H21144" s="2"/>
    </row>
    <row r="21145" spans="1:8" x14ac:dyDescent="0.25">
      <c r="A21145" s="1"/>
      <c r="B21145" s="1" t="s">
        <v>7328</v>
      </c>
      <c r="C21145" s="1" t="s">
        <v>7329</v>
      </c>
      <c r="D21145" s="22" t="str">
        <f>HYPERLINK("https://rhld.insurance.arkansas.gov/NPILookup?Npi=1043682677","1043682677")</f>
        <v>1043682677</v>
      </c>
      <c r="E21145" s="1" t="s">
        <v>25315</v>
      </c>
      <c r="F21145" s="2"/>
      <c r="G21145" s="2"/>
      <c r="H21145" s="2"/>
    </row>
    <row r="21146" spans="1:8" x14ac:dyDescent="0.25">
      <c r="A21146" s="1"/>
      <c r="B21146" s="1" t="s">
        <v>7328</v>
      </c>
      <c r="C21146" s="1" t="s">
        <v>7329</v>
      </c>
      <c r="D21146" s="22" t="str">
        <f>HYPERLINK("https://rhld.insurance.arkansas.gov/NPILookup?Npi=1043691322","1043691322")</f>
        <v>1043691322</v>
      </c>
      <c r="E21146" s="1" t="s">
        <v>25316</v>
      </c>
      <c r="F21146" s="2"/>
      <c r="G21146" s="2"/>
      <c r="H21146" s="2"/>
    </row>
    <row r="21147" spans="1:8" x14ac:dyDescent="0.25">
      <c r="A21147" s="1"/>
      <c r="B21147" s="1" t="s">
        <v>7328</v>
      </c>
      <c r="C21147" s="1" t="s">
        <v>7329</v>
      </c>
      <c r="D21147" s="22" t="str">
        <f>HYPERLINK("https://rhld.insurance.arkansas.gov/NPILookup?Npi=1043692080","1043692080")</f>
        <v>1043692080</v>
      </c>
      <c r="E21147" s="1" t="s">
        <v>827</v>
      </c>
      <c r="F21147" s="2"/>
      <c r="G21147" s="2"/>
      <c r="H21147" s="2"/>
    </row>
    <row r="21148" spans="1:8" x14ac:dyDescent="0.25">
      <c r="A21148" s="1"/>
      <c r="B21148" s="1" t="s">
        <v>7328</v>
      </c>
      <c r="C21148" s="1" t="s">
        <v>7329</v>
      </c>
      <c r="D21148" s="22" t="str">
        <f>HYPERLINK("https://rhld.insurance.arkansas.gov/NPILookup?Npi=1043692528","1043692528")</f>
        <v>1043692528</v>
      </c>
      <c r="E21148" s="1" t="s">
        <v>12626</v>
      </c>
      <c r="F21148" s="2"/>
      <c r="G21148" s="2"/>
      <c r="H21148" s="2"/>
    </row>
    <row r="21149" spans="1:8" x14ac:dyDescent="0.25">
      <c r="A21149" s="1"/>
      <c r="B21149" s="1" t="s">
        <v>7328</v>
      </c>
      <c r="C21149" s="1" t="s">
        <v>7329</v>
      </c>
      <c r="D21149" s="22" t="str">
        <f>HYPERLINK("https://rhld.insurance.arkansas.gov/NPILookup?Npi=1043694243","1043694243")</f>
        <v>1043694243</v>
      </c>
      <c r="E21149" s="1" t="s">
        <v>828</v>
      </c>
      <c r="F21149" s="2"/>
      <c r="G21149" s="2"/>
      <c r="H21149" s="2"/>
    </row>
    <row r="21150" spans="1:8" x14ac:dyDescent="0.25">
      <c r="A21150" s="1"/>
      <c r="B21150" s="1" t="s">
        <v>7328</v>
      </c>
      <c r="C21150" s="1" t="s">
        <v>7329</v>
      </c>
      <c r="D21150" s="22" t="str">
        <f>HYPERLINK("https://rhld.insurance.arkansas.gov/NPILookup?Npi=1043702343","1043702343")</f>
        <v>1043702343</v>
      </c>
      <c r="E21150" s="1" t="s">
        <v>1953</v>
      </c>
      <c r="F21150" s="2"/>
      <c r="G21150" s="2"/>
      <c r="H21150" s="2"/>
    </row>
    <row r="21151" spans="1:8" x14ac:dyDescent="0.25">
      <c r="A21151" s="1"/>
      <c r="B21151" s="1" t="s">
        <v>7328</v>
      </c>
      <c r="C21151" s="1" t="s">
        <v>7329</v>
      </c>
      <c r="D21151" s="22" t="str">
        <f>HYPERLINK("https://rhld.insurance.arkansas.gov/NPILookup?Npi=1043704497","1043704497")</f>
        <v>1043704497</v>
      </c>
      <c r="E21151" s="1" t="s">
        <v>25317</v>
      </c>
      <c r="F21151" s="2"/>
      <c r="G21151" s="2"/>
      <c r="H21151" s="2"/>
    </row>
    <row r="21152" spans="1:8" x14ac:dyDescent="0.25">
      <c r="A21152" s="1"/>
      <c r="B21152" s="1" t="s">
        <v>7328</v>
      </c>
      <c r="C21152" s="1" t="s">
        <v>7329</v>
      </c>
      <c r="D21152" s="22" t="str">
        <f>HYPERLINK("https://rhld.insurance.arkansas.gov/NPILookup?Npi=1043705726","1043705726")</f>
        <v>1043705726</v>
      </c>
      <c r="E21152" s="1" t="s">
        <v>21013</v>
      </c>
      <c r="F21152" s="2"/>
      <c r="G21152" s="2"/>
      <c r="H21152" s="2"/>
    </row>
    <row r="21153" spans="1:8" x14ac:dyDescent="0.25">
      <c r="A21153" s="1"/>
      <c r="B21153" s="1" t="s">
        <v>7328</v>
      </c>
      <c r="C21153" s="1" t="s">
        <v>7329</v>
      </c>
      <c r="D21153" s="22" t="str">
        <f>HYPERLINK("https://rhld.insurance.arkansas.gov/NPILookup?Npi=1043707854","1043707854")</f>
        <v>1043707854</v>
      </c>
      <c r="E21153" s="1" t="s">
        <v>7366</v>
      </c>
      <c r="F21153" s="2"/>
      <c r="G21153" s="2"/>
      <c r="H21153" s="2"/>
    </row>
    <row r="21154" spans="1:8" x14ac:dyDescent="0.25">
      <c r="A21154" s="1"/>
      <c r="B21154" s="1" t="s">
        <v>7328</v>
      </c>
      <c r="C21154" s="1" t="s">
        <v>7329</v>
      </c>
      <c r="D21154" s="22" t="str">
        <f>HYPERLINK("https://rhld.insurance.arkansas.gov/NPILookup?Npi=1043708092","1043708092")</f>
        <v>1043708092</v>
      </c>
      <c r="E21154" s="1" t="s">
        <v>25318</v>
      </c>
      <c r="F21154" s="2"/>
      <c r="G21154" s="2"/>
      <c r="H21154" s="2"/>
    </row>
    <row r="21155" spans="1:8" x14ac:dyDescent="0.25">
      <c r="A21155" s="1"/>
      <c r="B21155" s="1" t="s">
        <v>7328</v>
      </c>
      <c r="C21155" s="1" t="s">
        <v>7329</v>
      </c>
      <c r="D21155" s="22" t="str">
        <f>HYPERLINK("https://rhld.insurance.arkansas.gov/NPILookup?Npi=1043721129","1043721129")</f>
        <v>1043721129</v>
      </c>
      <c r="E21155" s="1" t="s">
        <v>25319</v>
      </c>
      <c r="F21155" s="2"/>
      <c r="G21155" s="2"/>
      <c r="H21155" s="2"/>
    </row>
    <row r="21156" spans="1:8" x14ac:dyDescent="0.25">
      <c r="A21156" s="1"/>
      <c r="B21156" s="1" t="s">
        <v>7328</v>
      </c>
      <c r="C21156" s="1" t="s">
        <v>7329</v>
      </c>
      <c r="D21156" s="22" t="str">
        <f>HYPERLINK("https://rhld.insurance.arkansas.gov/NPILookup?Npi=1043724347","1043724347")</f>
        <v>1043724347</v>
      </c>
      <c r="E21156" s="1" t="s">
        <v>7367</v>
      </c>
      <c r="F21156" s="2"/>
      <c r="G21156" s="2"/>
      <c r="H21156" s="2"/>
    </row>
    <row r="21157" spans="1:8" x14ac:dyDescent="0.25">
      <c r="A21157" s="1"/>
      <c r="B21157" s="1" t="s">
        <v>7328</v>
      </c>
      <c r="C21157" s="1" t="s">
        <v>7329</v>
      </c>
      <c r="D21157" s="22" t="str">
        <f>HYPERLINK("https://rhld.insurance.arkansas.gov/NPILookup?Npi=1043730328","1043730328")</f>
        <v>1043730328</v>
      </c>
      <c r="E21157" s="1" t="s">
        <v>1954</v>
      </c>
      <c r="F21157" s="2"/>
      <c r="G21157" s="2"/>
      <c r="H21157" s="2"/>
    </row>
    <row r="21158" spans="1:8" x14ac:dyDescent="0.25">
      <c r="A21158" s="1"/>
      <c r="B21158" s="1" t="s">
        <v>7328</v>
      </c>
      <c r="C21158" s="1" t="s">
        <v>7329</v>
      </c>
      <c r="D21158" s="22" t="str">
        <f>HYPERLINK("https://rhld.insurance.arkansas.gov/NPILookup?Npi=1043743594","1043743594")</f>
        <v>1043743594</v>
      </c>
      <c r="E21158" s="1" t="s">
        <v>25320</v>
      </c>
      <c r="F21158" s="2"/>
      <c r="G21158" s="2"/>
      <c r="H21158" s="2"/>
    </row>
    <row r="21159" spans="1:8" x14ac:dyDescent="0.25">
      <c r="A21159" s="1"/>
      <c r="B21159" s="1" t="s">
        <v>7328</v>
      </c>
      <c r="C21159" s="1" t="s">
        <v>7329</v>
      </c>
      <c r="D21159" s="22" t="str">
        <f>HYPERLINK("https://rhld.insurance.arkansas.gov/NPILookup?Npi=1043752009","1043752009")</f>
        <v>1043752009</v>
      </c>
      <c r="E21159" s="1" t="s">
        <v>1203</v>
      </c>
      <c r="F21159" s="2"/>
      <c r="G21159" s="2"/>
      <c r="H21159" s="2"/>
    </row>
    <row r="21160" spans="1:8" x14ac:dyDescent="0.25">
      <c r="A21160" s="1"/>
      <c r="B21160" s="1" t="s">
        <v>7328</v>
      </c>
      <c r="C21160" s="1" t="s">
        <v>7329</v>
      </c>
      <c r="D21160" s="22" t="str">
        <f>HYPERLINK("https://rhld.insurance.arkansas.gov/NPILookup?Npi=1043760259","1043760259")</f>
        <v>1043760259</v>
      </c>
      <c r="E21160" s="1" t="s">
        <v>25321</v>
      </c>
      <c r="F21160" s="2"/>
      <c r="G21160" s="2"/>
      <c r="H21160" s="2"/>
    </row>
    <row r="21161" spans="1:8" x14ac:dyDescent="0.25">
      <c r="A21161" s="1"/>
      <c r="B21161" s="1" t="s">
        <v>7328</v>
      </c>
      <c r="C21161" s="1" t="s">
        <v>7329</v>
      </c>
      <c r="D21161" s="22" t="str">
        <f>HYPERLINK("https://rhld.insurance.arkansas.gov/NPILookup?Npi=1043766355","1043766355")</f>
        <v>1043766355</v>
      </c>
      <c r="E21161" s="1" t="s">
        <v>7368</v>
      </c>
      <c r="F21161" s="2"/>
      <c r="G21161" s="2"/>
      <c r="H21161" s="2"/>
    </row>
    <row r="21162" spans="1:8" x14ac:dyDescent="0.25">
      <c r="A21162" s="1"/>
      <c r="B21162" s="1" t="s">
        <v>7328</v>
      </c>
      <c r="C21162" s="1" t="s">
        <v>7329</v>
      </c>
      <c r="D21162" s="22" t="str">
        <f>HYPERLINK("https://rhld.insurance.arkansas.gov/NPILookup?Npi=1043770076","1043770076")</f>
        <v>1043770076</v>
      </c>
      <c r="E21162" s="1" t="s">
        <v>25322</v>
      </c>
      <c r="F21162" s="2"/>
      <c r="G21162" s="2"/>
      <c r="H21162" s="2"/>
    </row>
    <row r="21163" spans="1:8" x14ac:dyDescent="0.25">
      <c r="A21163" s="1"/>
      <c r="B21163" s="1" t="s">
        <v>7328</v>
      </c>
      <c r="C21163" s="1" t="s">
        <v>7329</v>
      </c>
      <c r="D21163" s="22" t="str">
        <f>HYPERLINK("https://rhld.insurance.arkansas.gov/NPILookup?Npi=1043771223","1043771223")</f>
        <v>1043771223</v>
      </c>
      <c r="E21163" s="1" t="s">
        <v>12627</v>
      </c>
      <c r="F21163" s="2"/>
      <c r="G21163" s="2"/>
      <c r="H21163" s="2"/>
    </row>
    <row r="21164" spans="1:8" x14ac:dyDescent="0.25">
      <c r="A21164" s="1"/>
      <c r="B21164" s="1" t="s">
        <v>7328</v>
      </c>
      <c r="C21164" s="1" t="s">
        <v>7329</v>
      </c>
      <c r="D21164" s="22" t="str">
        <f>HYPERLINK("https://rhld.insurance.arkansas.gov/NPILookup?Npi=1043773674","1043773674")</f>
        <v>1043773674</v>
      </c>
      <c r="E21164" s="1" t="s">
        <v>7369</v>
      </c>
      <c r="F21164" s="2"/>
      <c r="G21164" s="2"/>
      <c r="H21164" s="2"/>
    </row>
    <row r="21165" spans="1:8" x14ac:dyDescent="0.25">
      <c r="A21165" s="1"/>
      <c r="B21165" s="1" t="s">
        <v>7328</v>
      </c>
      <c r="C21165" s="1" t="s">
        <v>7329</v>
      </c>
      <c r="D21165" s="22" t="str">
        <f>HYPERLINK("https://rhld.insurance.arkansas.gov/NPILookup?Npi=1043776727","1043776727")</f>
        <v>1043776727</v>
      </c>
      <c r="E21165" s="1" t="s">
        <v>2356</v>
      </c>
      <c r="F21165" s="2"/>
      <c r="G21165" s="2"/>
      <c r="H21165" s="2"/>
    </row>
    <row r="21166" spans="1:8" x14ac:dyDescent="0.25">
      <c r="A21166" s="1"/>
      <c r="B21166" s="1" t="s">
        <v>7328</v>
      </c>
      <c r="C21166" s="1" t="s">
        <v>7329</v>
      </c>
      <c r="D21166" s="22" t="str">
        <f>HYPERLINK("https://rhld.insurance.arkansas.gov/NPILookup?Npi=1043790611","1043790611")</f>
        <v>1043790611</v>
      </c>
      <c r="E21166" s="1" t="s">
        <v>1313</v>
      </c>
      <c r="F21166" s="2"/>
      <c r="G21166" s="2"/>
      <c r="H21166" s="2"/>
    </row>
    <row r="21167" spans="1:8" x14ac:dyDescent="0.25">
      <c r="A21167" s="1"/>
      <c r="B21167" s="1" t="s">
        <v>7328</v>
      </c>
      <c r="C21167" s="1" t="s">
        <v>7329</v>
      </c>
      <c r="D21167" s="22" t="str">
        <f>HYPERLINK("https://rhld.insurance.arkansas.gov/NPILookup?Npi=1043793896","1043793896")</f>
        <v>1043793896</v>
      </c>
      <c r="E21167" s="1" t="s">
        <v>7370</v>
      </c>
      <c r="F21167" s="2"/>
      <c r="G21167" s="2"/>
      <c r="H21167" s="2"/>
    </row>
    <row r="21168" spans="1:8" x14ac:dyDescent="0.25">
      <c r="A21168" s="1"/>
      <c r="B21168" s="1" t="s">
        <v>7328</v>
      </c>
      <c r="C21168" s="1" t="s">
        <v>7329</v>
      </c>
      <c r="D21168" s="22" t="str">
        <f>HYPERLINK("https://rhld.insurance.arkansas.gov/NPILookup?Npi=1043801855","1043801855")</f>
        <v>1043801855</v>
      </c>
      <c r="E21168" s="1" t="s">
        <v>12628</v>
      </c>
      <c r="F21168" s="2"/>
      <c r="G21168" s="2"/>
      <c r="H21168" s="2"/>
    </row>
    <row r="21169" spans="1:8" x14ac:dyDescent="0.25">
      <c r="A21169" s="1"/>
      <c r="B21169" s="1" t="s">
        <v>7328</v>
      </c>
      <c r="C21169" s="1" t="s">
        <v>7329</v>
      </c>
      <c r="D21169" s="22" t="str">
        <f>HYPERLINK("https://rhld.insurance.arkansas.gov/NPILookup?Npi=1043812449","1043812449")</f>
        <v>1043812449</v>
      </c>
      <c r="E21169" s="1" t="s">
        <v>25323</v>
      </c>
      <c r="F21169" s="2"/>
      <c r="G21169" s="2"/>
      <c r="H21169" s="2"/>
    </row>
    <row r="21170" spans="1:8" x14ac:dyDescent="0.25">
      <c r="A21170" s="1"/>
      <c r="B21170" s="1" t="s">
        <v>7328</v>
      </c>
      <c r="C21170" s="1" t="s">
        <v>7329</v>
      </c>
      <c r="D21170" s="22" t="str">
        <f>HYPERLINK("https://rhld.insurance.arkansas.gov/NPILookup?Npi=1043840457","1043840457")</f>
        <v>1043840457</v>
      </c>
      <c r="E21170" s="1" t="s">
        <v>25324</v>
      </c>
      <c r="F21170" s="2"/>
      <c r="G21170" s="2"/>
      <c r="H21170" s="2"/>
    </row>
    <row r="21171" spans="1:8" x14ac:dyDescent="0.25">
      <c r="A21171" s="1"/>
      <c r="B21171" s="1" t="s">
        <v>7328</v>
      </c>
      <c r="C21171" s="1" t="s">
        <v>7329</v>
      </c>
      <c r="D21171" s="22" t="str">
        <f>HYPERLINK("https://rhld.insurance.arkansas.gov/NPILookup?Npi=1043840549","1043840549")</f>
        <v>1043840549</v>
      </c>
      <c r="E21171" s="1" t="s">
        <v>2610</v>
      </c>
      <c r="F21171" s="2"/>
      <c r="G21171" s="2"/>
      <c r="H21171" s="2"/>
    </row>
    <row r="21172" spans="1:8" x14ac:dyDescent="0.25">
      <c r="A21172" s="1"/>
      <c r="B21172" s="1" t="s">
        <v>7328</v>
      </c>
      <c r="C21172" s="1" t="s">
        <v>7329</v>
      </c>
      <c r="D21172" s="22" t="str">
        <f>HYPERLINK("https://rhld.insurance.arkansas.gov/NPILookup?Npi=1043845431","1043845431")</f>
        <v>1043845431</v>
      </c>
      <c r="E21172" s="1" t="s">
        <v>25325</v>
      </c>
      <c r="F21172" s="2"/>
      <c r="G21172" s="2"/>
      <c r="H21172" s="2"/>
    </row>
    <row r="21173" spans="1:8" x14ac:dyDescent="0.25">
      <c r="A21173" s="1"/>
      <c r="B21173" s="1" t="s">
        <v>7328</v>
      </c>
      <c r="C21173" s="1" t="s">
        <v>7329</v>
      </c>
      <c r="D21173" s="22" t="str">
        <f>HYPERLINK("https://rhld.insurance.arkansas.gov/NPILookup?Npi=1043851587","1043851587")</f>
        <v>1043851587</v>
      </c>
      <c r="E21173" s="1" t="s">
        <v>25326</v>
      </c>
      <c r="F21173" s="2"/>
      <c r="G21173" s="2"/>
      <c r="H21173" s="2"/>
    </row>
    <row r="21174" spans="1:8" x14ac:dyDescent="0.25">
      <c r="A21174" s="1"/>
      <c r="B21174" s="1" t="s">
        <v>7328</v>
      </c>
      <c r="C21174" s="1" t="s">
        <v>7329</v>
      </c>
      <c r="D21174" s="22" t="str">
        <f>HYPERLINK("https://rhld.insurance.arkansas.gov/NPILookup?Npi=1043862766","1043862766")</f>
        <v>1043862766</v>
      </c>
      <c r="E21174" s="1" t="s">
        <v>1370</v>
      </c>
      <c r="F21174" s="2"/>
      <c r="G21174" s="2"/>
      <c r="H21174" s="2"/>
    </row>
    <row r="21175" spans="1:8" x14ac:dyDescent="0.25">
      <c r="A21175" s="1"/>
      <c r="B21175" s="1" t="s">
        <v>7328</v>
      </c>
      <c r="C21175" s="1" t="s">
        <v>7329</v>
      </c>
      <c r="D21175" s="22" t="str">
        <f>HYPERLINK("https://rhld.insurance.arkansas.gov/NPILookup?Npi=1043867914","1043867914")</f>
        <v>1043867914</v>
      </c>
      <c r="E21175" s="1" t="s">
        <v>21019</v>
      </c>
      <c r="F21175" s="2"/>
      <c r="G21175" s="2"/>
      <c r="H21175" s="2"/>
    </row>
    <row r="21176" spans="1:8" x14ac:dyDescent="0.25">
      <c r="A21176" s="1"/>
      <c r="B21176" s="1" t="s">
        <v>7328</v>
      </c>
      <c r="C21176" s="1" t="s">
        <v>7329</v>
      </c>
      <c r="D21176" s="22" t="str">
        <f>HYPERLINK("https://rhld.insurance.arkansas.gov/NPILookup?Npi=1043874803","1043874803")</f>
        <v>1043874803</v>
      </c>
      <c r="E21176" s="1" t="s">
        <v>25327</v>
      </c>
      <c r="F21176" s="2"/>
      <c r="G21176" s="2"/>
      <c r="H21176" s="2"/>
    </row>
    <row r="21177" spans="1:8" x14ac:dyDescent="0.25">
      <c r="A21177" s="1"/>
      <c r="B21177" s="1" t="s">
        <v>7328</v>
      </c>
      <c r="C21177" s="1" t="s">
        <v>7329</v>
      </c>
      <c r="D21177" s="22" t="str">
        <f>HYPERLINK("https://rhld.insurance.arkansas.gov/NPILookup?Npi=1043878051","1043878051")</f>
        <v>1043878051</v>
      </c>
      <c r="E21177" s="1" t="s">
        <v>10203</v>
      </c>
      <c r="F21177" s="2"/>
      <c r="G21177" s="2"/>
      <c r="H21177" s="2"/>
    </row>
    <row r="21178" spans="1:8" x14ac:dyDescent="0.25">
      <c r="A21178" s="1"/>
      <c r="B21178" s="1" t="s">
        <v>7328</v>
      </c>
      <c r="C21178" s="1" t="s">
        <v>7329</v>
      </c>
      <c r="D21178" s="22" t="str">
        <f>HYPERLINK("https://rhld.insurance.arkansas.gov/NPILookup?Npi=1043885098","1043885098")</f>
        <v>1043885098</v>
      </c>
      <c r="E21178" s="1" t="s">
        <v>32094</v>
      </c>
      <c r="F21178" s="2"/>
      <c r="G21178" s="2"/>
      <c r="H21178" s="2"/>
    </row>
    <row r="21179" spans="1:8" x14ac:dyDescent="0.25">
      <c r="A21179" s="1"/>
      <c r="B21179" s="1" t="s">
        <v>7328</v>
      </c>
      <c r="C21179" s="1" t="s">
        <v>7329</v>
      </c>
      <c r="D21179" s="22" t="str">
        <f>HYPERLINK("https://rhld.insurance.arkansas.gov/NPILookup?Npi=1043892334","1043892334")</f>
        <v>1043892334</v>
      </c>
      <c r="E21179" s="1" t="s">
        <v>25328</v>
      </c>
      <c r="F21179" s="2"/>
      <c r="G21179" s="2"/>
      <c r="H21179" s="2"/>
    </row>
    <row r="21180" spans="1:8" x14ac:dyDescent="0.25">
      <c r="A21180" s="1"/>
      <c r="B21180" s="1" t="s">
        <v>7328</v>
      </c>
      <c r="C21180" s="1" t="s">
        <v>7329</v>
      </c>
      <c r="D21180" s="22" t="str">
        <f>HYPERLINK("https://rhld.insurance.arkansas.gov/NPILookup?Npi=1043923766","1043923766")</f>
        <v>1043923766</v>
      </c>
      <c r="E21180" s="1" t="s">
        <v>7371</v>
      </c>
      <c r="F21180" s="2"/>
      <c r="G21180" s="2"/>
      <c r="H21180" s="2"/>
    </row>
    <row r="21181" spans="1:8" x14ac:dyDescent="0.25">
      <c r="A21181" s="1"/>
      <c r="B21181" s="1" t="s">
        <v>7328</v>
      </c>
      <c r="C21181" s="1" t="s">
        <v>7329</v>
      </c>
      <c r="D21181" s="22" t="str">
        <f>HYPERLINK("https://rhld.insurance.arkansas.gov/NPILookup?Npi=1043929573","1043929573")</f>
        <v>1043929573</v>
      </c>
      <c r="E21181" s="1" t="s">
        <v>7372</v>
      </c>
      <c r="F21181" s="2"/>
      <c r="G21181" s="2"/>
      <c r="H21181" s="2"/>
    </row>
    <row r="21182" spans="1:8" x14ac:dyDescent="0.25">
      <c r="A21182" s="1"/>
      <c r="B21182" s="1" t="s">
        <v>7328</v>
      </c>
      <c r="C21182" s="1" t="s">
        <v>7329</v>
      </c>
      <c r="D21182" s="22" t="str">
        <f>HYPERLINK("https://rhld.insurance.arkansas.gov/NPILookup?Npi=1043931793","1043931793")</f>
        <v>1043931793</v>
      </c>
      <c r="E21182" s="1" t="s">
        <v>25329</v>
      </c>
      <c r="F21182" s="2"/>
      <c r="G21182" s="2"/>
      <c r="H21182" s="2"/>
    </row>
    <row r="21183" spans="1:8" x14ac:dyDescent="0.25">
      <c r="A21183" s="1"/>
      <c r="B21183" s="1" t="s">
        <v>7328</v>
      </c>
      <c r="C21183" s="1" t="s">
        <v>7329</v>
      </c>
      <c r="D21183" s="22" t="str">
        <f>HYPERLINK("https://rhld.insurance.arkansas.gov/NPILookup?Npi=1043949563","1043949563")</f>
        <v>1043949563</v>
      </c>
      <c r="E21183" s="1" t="s">
        <v>25330</v>
      </c>
      <c r="F21183" s="2"/>
      <c r="G21183" s="2"/>
      <c r="H21183" s="2"/>
    </row>
    <row r="21184" spans="1:8" x14ac:dyDescent="0.25">
      <c r="A21184" s="1"/>
      <c r="B21184" s="1" t="s">
        <v>7328</v>
      </c>
      <c r="C21184" s="1" t="s">
        <v>7329</v>
      </c>
      <c r="D21184" s="22" t="str">
        <f>HYPERLINK("https://rhld.insurance.arkansas.gov/NPILookup?Npi=1043950785","1043950785")</f>
        <v>1043950785</v>
      </c>
      <c r="E21184" s="1" t="s">
        <v>25331</v>
      </c>
      <c r="F21184" s="2"/>
      <c r="G21184" s="2"/>
      <c r="H21184" s="2"/>
    </row>
    <row r="21185" spans="1:8" x14ac:dyDescent="0.25">
      <c r="A21185" s="1"/>
      <c r="B21185" s="1" t="s">
        <v>7328</v>
      </c>
      <c r="C21185" s="1" t="s">
        <v>7329</v>
      </c>
      <c r="D21185" s="22" t="str">
        <f>HYPERLINK("https://rhld.insurance.arkansas.gov/NPILookup?Npi=1043978091","1043978091")</f>
        <v>1043978091</v>
      </c>
      <c r="E21185" s="1" t="s">
        <v>25332</v>
      </c>
      <c r="F21185" s="2"/>
      <c r="G21185" s="2"/>
      <c r="H21185" s="2"/>
    </row>
    <row r="21186" spans="1:8" x14ac:dyDescent="0.25">
      <c r="A21186" s="1"/>
      <c r="B21186" s="1" t="s">
        <v>7328</v>
      </c>
      <c r="C21186" s="1" t="s">
        <v>7329</v>
      </c>
      <c r="D21186" s="22" t="str">
        <f>HYPERLINK("https://rhld.insurance.arkansas.gov/NPILookup?Npi=1043979024","1043979024")</f>
        <v>1043979024</v>
      </c>
      <c r="E21186" s="1" t="s">
        <v>25333</v>
      </c>
      <c r="F21186" s="2"/>
      <c r="G21186" s="2"/>
      <c r="H21186" s="2"/>
    </row>
    <row r="21187" spans="1:8" x14ac:dyDescent="0.25">
      <c r="A21187" s="1"/>
      <c r="B21187" s="1" t="s">
        <v>7328</v>
      </c>
      <c r="C21187" s="1" t="s">
        <v>7329</v>
      </c>
      <c r="D21187" s="22" t="str">
        <f>HYPERLINK("https://rhld.insurance.arkansas.gov/NPILookup?Npi=1043988728","1043988728")</f>
        <v>1043988728</v>
      </c>
      <c r="E21187" s="1" t="s">
        <v>25334</v>
      </c>
      <c r="F21187" s="2"/>
      <c r="G21187" s="2"/>
      <c r="H21187" s="2"/>
    </row>
    <row r="21188" spans="1:8" x14ac:dyDescent="0.25">
      <c r="A21188" s="1"/>
      <c r="B21188" s="1" t="s">
        <v>7328</v>
      </c>
      <c r="C21188" s="1" t="s">
        <v>7329</v>
      </c>
      <c r="D21188" s="22" t="str">
        <f>HYPERLINK("https://rhld.insurance.arkansas.gov/NPILookup?Npi=1053005785","1053005785")</f>
        <v>1053005785</v>
      </c>
      <c r="E21188" s="1" t="s">
        <v>7373</v>
      </c>
      <c r="F21188" s="2"/>
      <c r="G21188" s="2"/>
      <c r="H21188" s="2"/>
    </row>
    <row r="21189" spans="1:8" x14ac:dyDescent="0.25">
      <c r="A21189" s="1"/>
      <c r="B21189" s="1" t="s">
        <v>7328</v>
      </c>
      <c r="C21189" s="1" t="s">
        <v>7329</v>
      </c>
      <c r="D21189" s="22" t="str">
        <f>HYPERLINK("https://rhld.insurance.arkansas.gov/NPILookup?Npi=1053023796","1053023796")</f>
        <v>1053023796</v>
      </c>
      <c r="E21189" s="1" t="s">
        <v>25335</v>
      </c>
      <c r="F21189" s="2"/>
      <c r="G21189" s="2"/>
      <c r="H21189" s="2"/>
    </row>
    <row r="21190" spans="1:8" x14ac:dyDescent="0.25">
      <c r="A21190" s="1"/>
      <c r="B21190" s="1" t="s">
        <v>7328</v>
      </c>
      <c r="C21190" s="1" t="s">
        <v>7329</v>
      </c>
      <c r="D21190" s="22" t="str">
        <f>HYPERLINK("https://rhld.insurance.arkansas.gov/NPILookup?Npi=1053033563","1053033563")</f>
        <v>1053033563</v>
      </c>
      <c r="E21190" s="1" t="s">
        <v>25336</v>
      </c>
      <c r="F21190" s="2"/>
      <c r="G21190" s="2"/>
      <c r="H21190" s="2"/>
    </row>
    <row r="21191" spans="1:8" x14ac:dyDescent="0.25">
      <c r="A21191" s="1"/>
      <c r="B21191" s="1" t="s">
        <v>7328</v>
      </c>
      <c r="C21191" s="1" t="s">
        <v>7329</v>
      </c>
      <c r="D21191" s="22" t="str">
        <f>HYPERLINK("https://rhld.insurance.arkansas.gov/NPILookup?Npi=1053045674","1053045674")</f>
        <v>1053045674</v>
      </c>
      <c r="E21191" s="1" t="s">
        <v>2437</v>
      </c>
      <c r="F21191" s="2"/>
      <c r="G21191" s="2"/>
      <c r="H21191" s="2"/>
    </row>
    <row r="21192" spans="1:8" x14ac:dyDescent="0.25">
      <c r="A21192" s="1"/>
      <c r="B21192" s="1" t="s">
        <v>7328</v>
      </c>
      <c r="C21192" s="1" t="s">
        <v>7329</v>
      </c>
      <c r="D21192" s="22" t="str">
        <f>HYPERLINK("https://rhld.insurance.arkansas.gov/NPILookup?Npi=1053047969","1053047969")</f>
        <v>1053047969</v>
      </c>
      <c r="E21192" s="1" t="s">
        <v>2357</v>
      </c>
      <c r="F21192" s="2"/>
      <c r="G21192" s="2"/>
      <c r="H21192" s="2"/>
    </row>
    <row r="21193" spans="1:8" x14ac:dyDescent="0.25">
      <c r="A21193" s="1"/>
      <c r="B21193" s="1" t="s">
        <v>7328</v>
      </c>
      <c r="C21193" s="1" t="s">
        <v>7329</v>
      </c>
      <c r="D21193" s="22" t="str">
        <f>HYPERLINK("https://rhld.insurance.arkansas.gov/NPILookup?Npi=1053053389","1053053389")</f>
        <v>1053053389</v>
      </c>
      <c r="E21193" s="1" t="s">
        <v>7374</v>
      </c>
      <c r="F21193" s="2"/>
      <c r="G21193" s="2"/>
      <c r="H21193" s="2"/>
    </row>
    <row r="21194" spans="1:8" x14ac:dyDescent="0.25">
      <c r="A21194" s="1"/>
      <c r="B21194" s="1" t="s">
        <v>7328</v>
      </c>
      <c r="C21194" s="1" t="s">
        <v>7329</v>
      </c>
      <c r="D21194" s="22" t="str">
        <f>HYPERLINK("https://rhld.insurance.arkansas.gov/NPILookup?Npi=1053090621","1053090621")</f>
        <v>1053090621</v>
      </c>
      <c r="E21194" s="1" t="s">
        <v>12629</v>
      </c>
      <c r="F21194" s="2"/>
      <c r="G21194" s="2"/>
      <c r="H21194" s="2"/>
    </row>
    <row r="21195" spans="1:8" x14ac:dyDescent="0.25">
      <c r="A21195" s="1"/>
      <c r="B21195" s="1" t="s">
        <v>7328</v>
      </c>
      <c r="C21195" s="1" t="s">
        <v>7329</v>
      </c>
      <c r="D21195" s="22" t="str">
        <f>HYPERLINK("https://rhld.insurance.arkansas.gov/NPILookup?Npi=1053094532","1053094532")</f>
        <v>1053094532</v>
      </c>
      <c r="E21195" s="1" t="s">
        <v>32095</v>
      </c>
      <c r="F21195" s="2"/>
      <c r="G21195" s="2"/>
      <c r="H21195" s="2"/>
    </row>
    <row r="21196" spans="1:8" x14ac:dyDescent="0.25">
      <c r="A21196" s="1"/>
      <c r="B21196" s="1" t="s">
        <v>7328</v>
      </c>
      <c r="C21196" s="1" t="s">
        <v>7329</v>
      </c>
      <c r="D21196" s="22" t="str">
        <f>HYPERLINK("https://rhld.insurance.arkansas.gov/NPILookup?Npi=1053120329","1053120329")</f>
        <v>1053120329</v>
      </c>
      <c r="E21196" s="1" t="s">
        <v>32096</v>
      </c>
      <c r="F21196" s="2"/>
      <c r="G21196" s="2"/>
      <c r="H21196" s="2"/>
    </row>
    <row r="21197" spans="1:8" x14ac:dyDescent="0.25">
      <c r="A21197" s="1"/>
      <c r="B21197" s="1" t="s">
        <v>7328</v>
      </c>
      <c r="C21197" s="1" t="s">
        <v>7329</v>
      </c>
      <c r="D21197" s="22" t="str">
        <f>HYPERLINK("https://rhld.insurance.arkansas.gov/NPILookup?Npi=1053167460","1053167460")</f>
        <v>1053167460</v>
      </c>
      <c r="E21197" s="1" t="s">
        <v>25337</v>
      </c>
      <c r="F21197" s="2"/>
      <c r="G21197" s="2"/>
      <c r="H21197" s="2"/>
    </row>
    <row r="21198" spans="1:8" x14ac:dyDescent="0.25">
      <c r="A21198" s="1"/>
      <c r="B21198" s="1" t="s">
        <v>7328</v>
      </c>
      <c r="C21198" s="1" t="s">
        <v>7329</v>
      </c>
      <c r="D21198" s="22" t="str">
        <f>HYPERLINK("https://rhld.insurance.arkansas.gov/NPILookup?Npi=1053300558","1053300558")</f>
        <v>1053300558</v>
      </c>
      <c r="E21198" s="1" t="s">
        <v>7375</v>
      </c>
      <c r="F21198" s="2"/>
      <c r="G21198" s="2"/>
      <c r="H21198" s="2"/>
    </row>
    <row r="21199" spans="1:8" x14ac:dyDescent="0.25">
      <c r="A21199" s="1"/>
      <c r="B21199" s="1" t="s">
        <v>7328</v>
      </c>
      <c r="C21199" s="1" t="s">
        <v>7329</v>
      </c>
      <c r="D21199" s="22" t="str">
        <f>HYPERLINK("https://rhld.insurance.arkansas.gov/NPILookup?Npi=1053302844","1053302844")</f>
        <v>1053302844</v>
      </c>
      <c r="E21199" s="1" t="s">
        <v>25338</v>
      </c>
      <c r="F21199" s="2"/>
      <c r="G21199" s="2"/>
      <c r="H21199" s="2"/>
    </row>
    <row r="21200" spans="1:8" x14ac:dyDescent="0.25">
      <c r="A21200" s="1"/>
      <c r="B21200" s="1" t="s">
        <v>7328</v>
      </c>
      <c r="C21200" s="1" t="s">
        <v>7329</v>
      </c>
      <c r="D21200" s="22" t="str">
        <f>HYPERLINK("https://rhld.insurance.arkansas.gov/NPILookup?Npi=1053304758","1053304758")</f>
        <v>1053304758</v>
      </c>
      <c r="E21200" s="1" t="s">
        <v>25339</v>
      </c>
      <c r="F21200" s="2"/>
      <c r="G21200" s="2"/>
      <c r="H21200" s="2"/>
    </row>
    <row r="21201" spans="1:8" x14ac:dyDescent="0.25">
      <c r="A21201" s="1"/>
      <c r="B21201" s="1" t="s">
        <v>7328</v>
      </c>
      <c r="C21201" s="1" t="s">
        <v>7329</v>
      </c>
      <c r="D21201" s="22" t="str">
        <f>HYPERLINK("https://rhld.insurance.arkansas.gov/NPILookup?Npi=1053304881","1053304881")</f>
        <v>1053304881</v>
      </c>
      <c r="E21201" s="1" t="s">
        <v>1080</v>
      </c>
      <c r="F21201" s="2"/>
      <c r="G21201" s="2"/>
      <c r="H21201" s="2"/>
    </row>
    <row r="21202" spans="1:8" x14ac:dyDescent="0.25">
      <c r="A21202" s="1"/>
      <c r="B21202" s="1" t="s">
        <v>7328</v>
      </c>
      <c r="C21202" s="1" t="s">
        <v>7329</v>
      </c>
      <c r="D21202" s="22" t="str">
        <f>HYPERLINK("https://rhld.insurance.arkansas.gov/NPILookup?Npi=1053305250","1053305250")</f>
        <v>1053305250</v>
      </c>
      <c r="E21202" s="1" t="s">
        <v>25340</v>
      </c>
      <c r="F21202" s="2"/>
      <c r="G21202" s="2"/>
      <c r="H21202" s="2"/>
    </row>
    <row r="21203" spans="1:8" x14ac:dyDescent="0.25">
      <c r="A21203" s="1"/>
      <c r="B21203" s="1" t="s">
        <v>7328</v>
      </c>
      <c r="C21203" s="1" t="s">
        <v>7329</v>
      </c>
      <c r="D21203" s="22" t="str">
        <f>HYPERLINK("https://rhld.insurance.arkansas.gov/NPILookup?Npi=1053309898","1053309898")</f>
        <v>1053309898</v>
      </c>
      <c r="E21203" s="1" t="s">
        <v>2611</v>
      </c>
      <c r="F21203" s="2"/>
      <c r="G21203" s="2"/>
      <c r="H21203" s="2"/>
    </row>
    <row r="21204" spans="1:8" x14ac:dyDescent="0.25">
      <c r="A21204" s="1"/>
      <c r="B21204" s="1" t="s">
        <v>7328</v>
      </c>
      <c r="C21204" s="1" t="s">
        <v>7329</v>
      </c>
      <c r="D21204" s="22" t="str">
        <f>HYPERLINK("https://rhld.insurance.arkansas.gov/NPILookup?Npi=1053311068","1053311068")</f>
        <v>1053311068</v>
      </c>
      <c r="E21204" s="1" t="s">
        <v>10204</v>
      </c>
      <c r="F21204" s="2"/>
      <c r="G21204" s="2"/>
      <c r="H21204" s="2"/>
    </row>
    <row r="21205" spans="1:8" x14ac:dyDescent="0.25">
      <c r="A21205" s="1"/>
      <c r="B21205" s="1" t="s">
        <v>7328</v>
      </c>
      <c r="C21205" s="1" t="s">
        <v>7329</v>
      </c>
      <c r="D21205" s="22" t="str">
        <f>HYPERLINK("https://rhld.insurance.arkansas.gov/NPILookup?Npi=1053314104","1053314104")</f>
        <v>1053314104</v>
      </c>
      <c r="E21205" s="1" t="s">
        <v>12630</v>
      </c>
      <c r="F21205" s="2"/>
      <c r="G21205" s="2"/>
      <c r="H21205" s="2"/>
    </row>
    <row r="21206" spans="1:8" x14ac:dyDescent="0.25">
      <c r="A21206" s="1"/>
      <c r="B21206" s="1" t="s">
        <v>7328</v>
      </c>
      <c r="C21206" s="1" t="s">
        <v>7329</v>
      </c>
      <c r="D21206" s="22" t="str">
        <f>HYPERLINK("https://rhld.insurance.arkansas.gov/NPILookup?Npi=1053316067","1053316067")</f>
        <v>1053316067</v>
      </c>
      <c r="E21206" s="1" t="s">
        <v>25341</v>
      </c>
      <c r="F21206" s="2"/>
      <c r="G21206" s="2"/>
      <c r="H21206" s="2"/>
    </row>
    <row r="21207" spans="1:8" x14ac:dyDescent="0.25">
      <c r="A21207" s="1"/>
      <c r="B21207" s="1" t="s">
        <v>7328</v>
      </c>
      <c r="C21207" s="1" t="s">
        <v>7329</v>
      </c>
      <c r="D21207" s="22" t="str">
        <f>HYPERLINK("https://rhld.insurance.arkansas.gov/NPILookup?Npi=1053326876","1053326876")</f>
        <v>1053326876</v>
      </c>
      <c r="E21207" s="1" t="s">
        <v>7376</v>
      </c>
      <c r="F21207" s="2"/>
      <c r="G21207" s="2"/>
      <c r="H21207" s="2"/>
    </row>
    <row r="21208" spans="1:8" x14ac:dyDescent="0.25">
      <c r="A21208" s="1"/>
      <c r="B21208" s="1" t="s">
        <v>7328</v>
      </c>
      <c r="C21208" s="1" t="s">
        <v>7329</v>
      </c>
      <c r="D21208" s="22" t="str">
        <f>HYPERLINK("https://rhld.insurance.arkansas.gov/NPILookup?Npi=1053348870","1053348870")</f>
        <v>1053348870</v>
      </c>
      <c r="E21208" s="1" t="s">
        <v>12631</v>
      </c>
      <c r="F21208" s="2"/>
      <c r="G21208" s="2"/>
      <c r="H21208" s="2"/>
    </row>
    <row r="21209" spans="1:8" x14ac:dyDescent="0.25">
      <c r="A21209" s="1"/>
      <c r="B21209" s="1" t="s">
        <v>7328</v>
      </c>
      <c r="C21209" s="1" t="s">
        <v>7329</v>
      </c>
      <c r="D21209" s="22" t="str">
        <f>HYPERLINK("https://rhld.insurance.arkansas.gov/NPILookup?Npi=1053352773","1053352773")</f>
        <v>1053352773</v>
      </c>
      <c r="E21209" s="1" t="s">
        <v>25342</v>
      </c>
      <c r="F21209" s="2"/>
      <c r="G21209" s="2"/>
      <c r="H21209" s="2"/>
    </row>
    <row r="21210" spans="1:8" x14ac:dyDescent="0.25">
      <c r="A21210" s="1"/>
      <c r="B21210" s="1" t="s">
        <v>7328</v>
      </c>
      <c r="C21210" s="1" t="s">
        <v>7329</v>
      </c>
      <c r="D21210" s="22" t="str">
        <f>HYPERLINK("https://rhld.insurance.arkansas.gov/NPILookup?Npi=1053355206","1053355206")</f>
        <v>1053355206</v>
      </c>
      <c r="E21210" s="1" t="s">
        <v>1081</v>
      </c>
      <c r="F21210" s="2"/>
      <c r="G21210" s="2"/>
      <c r="H21210" s="2"/>
    </row>
    <row r="21211" spans="1:8" x14ac:dyDescent="0.25">
      <c r="A21211" s="1"/>
      <c r="B21211" s="1" t="s">
        <v>7328</v>
      </c>
      <c r="C21211" s="1" t="s">
        <v>7329</v>
      </c>
      <c r="D21211" s="22" t="str">
        <f>HYPERLINK("https://rhld.insurance.arkansas.gov/NPILookup?Npi=1053370213","1053370213")</f>
        <v>1053370213</v>
      </c>
      <c r="E21211" s="1" t="s">
        <v>25343</v>
      </c>
      <c r="F21211" s="2"/>
      <c r="G21211" s="2"/>
      <c r="H21211" s="2"/>
    </row>
    <row r="21212" spans="1:8" x14ac:dyDescent="0.25">
      <c r="A21212" s="1"/>
      <c r="B21212" s="1" t="s">
        <v>7328</v>
      </c>
      <c r="C21212" s="1" t="s">
        <v>7329</v>
      </c>
      <c r="D21212" s="22" t="str">
        <f>HYPERLINK("https://rhld.insurance.arkansas.gov/NPILookup?Npi=1053390781","1053390781")</f>
        <v>1053390781</v>
      </c>
      <c r="E21212" s="1" t="s">
        <v>25344</v>
      </c>
      <c r="F21212" s="2"/>
      <c r="G21212" s="2"/>
      <c r="H21212" s="2"/>
    </row>
    <row r="21213" spans="1:8" x14ac:dyDescent="0.25">
      <c r="A21213" s="1"/>
      <c r="B21213" s="1" t="s">
        <v>7328</v>
      </c>
      <c r="C21213" s="1" t="s">
        <v>7329</v>
      </c>
      <c r="D21213" s="22" t="str">
        <f>HYPERLINK("https://rhld.insurance.arkansas.gov/NPILookup?Npi=1053396523","1053396523")</f>
        <v>1053396523</v>
      </c>
      <c r="E21213" s="1" t="s">
        <v>25345</v>
      </c>
      <c r="F21213" s="2"/>
      <c r="G21213" s="2"/>
      <c r="H21213" s="2"/>
    </row>
    <row r="21214" spans="1:8" x14ac:dyDescent="0.25">
      <c r="A21214" s="1"/>
      <c r="B21214" s="1" t="s">
        <v>7328</v>
      </c>
      <c r="C21214" s="1" t="s">
        <v>7329</v>
      </c>
      <c r="D21214" s="22" t="str">
        <f>HYPERLINK("https://rhld.insurance.arkansas.gov/NPILookup?Npi=1053401521","1053401521")</f>
        <v>1053401521</v>
      </c>
      <c r="E21214" s="1" t="s">
        <v>25346</v>
      </c>
      <c r="F21214" s="2"/>
      <c r="G21214" s="2"/>
      <c r="H21214" s="2"/>
    </row>
    <row r="21215" spans="1:8" x14ac:dyDescent="0.25">
      <c r="A21215" s="1"/>
      <c r="B21215" s="1" t="s">
        <v>7328</v>
      </c>
      <c r="C21215" s="1" t="s">
        <v>7329</v>
      </c>
      <c r="D21215" s="22" t="str">
        <f>HYPERLINK("https://rhld.insurance.arkansas.gov/NPILookup?Npi=1053408476","1053408476")</f>
        <v>1053408476</v>
      </c>
      <c r="E21215" s="1" t="s">
        <v>829</v>
      </c>
      <c r="F21215" s="2"/>
      <c r="G21215" s="2"/>
      <c r="H21215" s="2"/>
    </row>
    <row r="21216" spans="1:8" x14ac:dyDescent="0.25">
      <c r="A21216" s="1"/>
      <c r="B21216" s="1" t="s">
        <v>7328</v>
      </c>
      <c r="C21216" s="1" t="s">
        <v>7329</v>
      </c>
      <c r="D21216" s="22" t="str">
        <f>HYPERLINK("https://rhld.insurance.arkansas.gov/NPILookup?Npi=1053411942","1053411942")</f>
        <v>1053411942</v>
      </c>
      <c r="E21216" s="1" t="s">
        <v>17170</v>
      </c>
      <c r="F21216" s="2"/>
      <c r="G21216" s="2"/>
      <c r="H21216" s="2"/>
    </row>
    <row r="21217" spans="1:8" x14ac:dyDescent="0.25">
      <c r="A21217" s="1"/>
      <c r="B21217" s="1" t="s">
        <v>7328</v>
      </c>
      <c r="C21217" s="1" t="s">
        <v>7329</v>
      </c>
      <c r="D21217" s="22" t="str">
        <f>HYPERLINK("https://rhld.insurance.arkansas.gov/NPILookup?Npi=1053424515","1053424515")</f>
        <v>1053424515</v>
      </c>
      <c r="E21217" s="1" t="s">
        <v>25347</v>
      </c>
      <c r="F21217" s="2"/>
      <c r="G21217" s="2"/>
      <c r="H21217" s="2"/>
    </row>
    <row r="21218" spans="1:8" x14ac:dyDescent="0.25">
      <c r="A21218" s="1"/>
      <c r="B21218" s="1" t="s">
        <v>7328</v>
      </c>
      <c r="C21218" s="1" t="s">
        <v>7329</v>
      </c>
      <c r="D21218" s="22" t="str">
        <f>HYPERLINK("https://rhld.insurance.arkansas.gov/NPILookup?Npi=1053429209","1053429209")</f>
        <v>1053429209</v>
      </c>
      <c r="E21218" s="1" t="s">
        <v>7377</v>
      </c>
      <c r="F21218" s="2"/>
      <c r="G21218" s="2"/>
      <c r="H21218" s="2"/>
    </row>
    <row r="21219" spans="1:8" x14ac:dyDescent="0.25">
      <c r="A21219" s="1"/>
      <c r="B21219" s="1" t="s">
        <v>7328</v>
      </c>
      <c r="C21219" s="1" t="s">
        <v>7329</v>
      </c>
      <c r="D21219" s="22" t="str">
        <f>HYPERLINK("https://rhld.insurance.arkansas.gov/NPILookup?Npi=1053449694","1053449694")</f>
        <v>1053449694</v>
      </c>
      <c r="E21219" s="1" t="s">
        <v>25348</v>
      </c>
      <c r="F21219" s="2"/>
      <c r="G21219" s="2"/>
      <c r="H21219" s="2"/>
    </row>
    <row r="21220" spans="1:8" x14ac:dyDescent="0.25">
      <c r="A21220" s="1"/>
      <c r="B21220" s="1" t="s">
        <v>7328</v>
      </c>
      <c r="C21220" s="1" t="s">
        <v>7329</v>
      </c>
      <c r="D21220" s="22" t="str">
        <f>HYPERLINK("https://rhld.insurance.arkansas.gov/NPILookup?Npi=1053452839","1053452839")</f>
        <v>1053452839</v>
      </c>
      <c r="E21220" s="1" t="s">
        <v>7378</v>
      </c>
      <c r="F21220" s="2"/>
      <c r="G21220" s="2"/>
      <c r="H21220" s="2"/>
    </row>
    <row r="21221" spans="1:8" x14ac:dyDescent="0.25">
      <c r="A21221" s="1"/>
      <c r="B21221" s="1" t="s">
        <v>7328</v>
      </c>
      <c r="C21221" s="1" t="s">
        <v>7329</v>
      </c>
      <c r="D21221" s="22" t="str">
        <f>HYPERLINK("https://rhld.insurance.arkansas.gov/NPILookup?Npi=1053466276","1053466276")</f>
        <v>1053466276</v>
      </c>
      <c r="E21221" s="1" t="s">
        <v>12633</v>
      </c>
      <c r="F21221" s="2"/>
      <c r="G21221" s="2"/>
      <c r="H21221" s="2"/>
    </row>
    <row r="21222" spans="1:8" x14ac:dyDescent="0.25">
      <c r="A21222" s="1"/>
      <c r="B21222" s="1" t="s">
        <v>7328</v>
      </c>
      <c r="C21222" s="1" t="s">
        <v>7329</v>
      </c>
      <c r="D21222" s="22" t="str">
        <f>HYPERLINK("https://rhld.insurance.arkansas.gov/NPILookup?Npi=1053473231","1053473231")</f>
        <v>1053473231</v>
      </c>
      <c r="E21222" s="1" t="s">
        <v>25349</v>
      </c>
      <c r="F21222" s="2"/>
      <c r="G21222" s="2"/>
      <c r="H21222" s="2"/>
    </row>
    <row r="21223" spans="1:8" x14ac:dyDescent="0.25">
      <c r="A21223" s="1"/>
      <c r="B21223" s="1" t="s">
        <v>7328</v>
      </c>
      <c r="C21223" s="1" t="s">
        <v>7329</v>
      </c>
      <c r="D21223" s="22" t="str">
        <f>HYPERLINK("https://rhld.insurance.arkansas.gov/NPILookup?Npi=1053519207","1053519207")</f>
        <v>1053519207</v>
      </c>
      <c r="E21223" s="1" t="s">
        <v>12634</v>
      </c>
      <c r="F21223" s="2"/>
      <c r="G21223" s="2"/>
      <c r="H21223" s="2"/>
    </row>
    <row r="21224" spans="1:8" x14ac:dyDescent="0.25">
      <c r="A21224" s="1"/>
      <c r="B21224" s="1" t="s">
        <v>7328</v>
      </c>
      <c r="C21224" s="1" t="s">
        <v>7329</v>
      </c>
      <c r="D21224" s="22" t="str">
        <f>HYPERLINK("https://rhld.insurance.arkansas.gov/NPILookup?Npi=1053525014","1053525014")</f>
        <v>1053525014</v>
      </c>
      <c r="E21224" s="1" t="s">
        <v>25350</v>
      </c>
      <c r="F21224" s="2"/>
      <c r="G21224" s="2"/>
      <c r="H21224" s="2"/>
    </row>
    <row r="21225" spans="1:8" x14ac:dyDescent="0.25">
      <c r="A21225" s="1"/>
      <c r="B21225" s="1" t="s">
        <v>7328</v>
      </c>
      <c r="C21225" s="1" t="s">
        <v>7329</v>
      </c>
      <c r="D21225" s="22" t="str">
        <f>HYPERLINK("https://rhld.insurance.arkansas.gov/NPILookup?Npi=1053528778","1053528778")</f>
        <v>1053528778</v>
      </c>
      <c r="E21225" s="1" t="s">
        <v>263</v>
      </c>
      <c r="F21225" s="2"/>
      <c r="G21225" s="2"/>
      <c r="H21225" s="2"/>
    </row>
    <row r="21226" spans="1:8" x14ac:dyDescent="0.25">
      <c r="A21226" s="1"/>
      <c r="B21226" s="1" t="s">
        <v>7328</v>
      </c>
      <c r="C21226" s="1" t="s">
        <v>7329</v>
      </c>
      <c r="D21226" s="22" t="str">
        <f>HYPERLINK("https://rhld.insurance.arkansas.gov/NPILookup?Npi=1053542845","1053542845")</f>
        <v>1053542845</v>
      </c>
      <c r="E21226" s="1" t="s">
        <v>1955</v>
      </c>
      <c r="F21226" s="2"/>
      <c r="G21226" s="2"/>
      <c r="H21226" s="2"/>
    </row>
    <row r="21227" spans="1:8" x14ac:dyDescent="0.25">
      <c r="A21227" s="1"/>
      <c r="B21227" s="1" t="s">
        <v>7328</v>
      </c>
      <c r="C21227" s="1" t="s">
        <v>7329</v>
      </c>
      <c r="D21227" s="22" t="str">
        <f>HYPERLINK("https://rhld.insurance.arkansas.gov/NPILookup?Npi=1053544015","1053544015")</f>
        <v>1053544015</v>
      </c>
      <c r="E21227" s="1" t="s">
        <v>7379</v>
      </c>
      <c r="F21227" s="2"/>
      <c r="G21227" s="2"/>
      <c r="H21227" s="2"/>
    </row>
    <row r="21228" spans="1:8" x14ac:dyDescent="0.25">
      <c r="A21228" s="1"/>
      <c r="B21228" s="1" t="s">
        <v>7328</v>
      </c>
      <c r="C21228" s="1" t="s">
        <v>7329</v>
      </c>
      <c r="D21228" s="22" t="str">
        <f>HYPERLINK("https://rhld.insurance.arkansas.gov/NPILookup?Npi=1053548461","1053548461")</f>
        <v>1053548461</v>
      </c>
      <c r="E21228" s="1" t="s">
        <v>17171</v>
      </c>
      <c r="F21228" s="2"/>
      <c r="G21228" s="2"/>
      <c r="H21228" s="2"/>
    </row>
    <row r="21229" spans="1:8" x14ac:dyDescent="0.25">
      <c r="A21229" s="1"/>
      <c r="B21229" s="1" t="s">
        <v>7328</v>
      </c>
      <c r="C21229" s="1" t="s">
        <v>7329</v>
      </c>
      <c r="D21229" s="22" t="str">
        <f>HYPERLINK("https://rhld.insurance.arkansas.gov/NPILookup?Npi=1053553024","1053553024")</f>
        <v>1053553024</v>
      </c>
      <c r="E21229" s="1" t="s">
        <v>164</v>
      </c>
      <c r="F21229" s="2"/>
      <c r="G21229" s="2"/>
      <c r="H21229" s="2"/>
    </row>
    <row r="21230" spans="1:8" x14ac:dyDescent="0.25">
      <c r="A21230" s="1"/>
      <c r="B21230" s="1" t="s">
        <v>7328</v>
      </c>
      <c r="C21230" s="1" t="s">
        <v>7329</v>
      </c>
      <c r="D21230" s="22" t="str">
        <f>HYPERLINK("https://rhld.insurance.arkansas.gov/NPILookup?Npi=1053556332","1053556332")</f>
        <v>1053556332</v>
      </c>
      <c r="E21230" s="1" t="s">
        <v>25352</v>
      </c>
      <c r="F21230" s="2"/>
      <c r="G21230" s="2"/>
      <c r="H21230" s="2"/>
    </row>
    <row r="21231" spans="1:8" x14ac:dyDescent="0.25">
      <c r="A21231" s="1"/>
      <c r="B21231" s="1" t="s">
        <v>7328</v>
      </c>
      <c r="C21231" s="1" t="s">
        <v>7329</v>
      </c>
      <c r="D21231" s="22" t="str">
        <f>HYPERLINK("https://rhld.insurance.arkansas.gov/NPILookup?Npi=1053560979","1053560979")</f>
        <v>1053560979</v>
      </c>
      <c r="E21231" s="1" t="s">
        <v>25353</v>
      </c>
      <c r="F21231" s="2"/>
      <c r="G21231" s="2"/>
      <c r="H21231" s="2"/>
    </row>
    <row r="21232" spans="1:8" x14ac:dyDescent="0.25">
      <c r="A21232" s="1"/>
      <c r="B21232" s="1" t="s">
        <v>7328</v>
      </c>
      <c r="C21232" s="1" t="s">
        <v>7329</v>
      </c>
      <c r="D21232" s="22" t="str">
        <f>HYPERLINK("https://rhld.insurance.arkansas.gov/NPILookup?Npi=1053569400","1053569400")</f>
        <v>1053569400</v>
      </c>
      <c r="E21232" s="1" t="s">
        <v>25354</v>
      </c>
      <c r="F21232" s="2"/>
      <c r="G21232" s="2"/>
      <c r="H21232" s="2"/>
    </row>
    <row r="21233" spans="1:8" x14ac:dyDescent="0.25">
      <c r="A21233" s="1"/>
      <c r="B21233" s="1" t="s">
        <v>7328</v>
      </c>
      <c r="C21233" s="1" t="s">
        <v>7329</v>
      </c>
      <c r="D21233" s="22" t="str">
        <f>HYPERLINK("https://rhld.insurance.arkansas.gov/NPILookup?Npi=1053593509","1053593509")</f>
        <v>1053593509</v>
      </c>
      <c r="E21233" s="1" t="s">
        <v>2612</v>
      </c>
      <c r="F21233" s="2"/>
      <c r="G21233" s="2"/>
      <c r="H21233" s="2"/>
    </row>
    <row r="21234" spans="1:8" x14ac:dyDescent="0.25">
      <c r="A21234" s="1"/>
      <c r="B21234" s="1" t="s">
        <v>7328</v>
      </c>
      <c r="C21234" s="1" t="s">
        <v>7329</v>
      </c>
      <c r="D21234" s="22" t="str">
        <f>HYPERLINK("https://rhld.insurance.arkansas.gov/NPILookup?Npi=1053606145","1053606145")</f>
        <v>1053606145</v>
      </c>
      <c r="E21234" s="1" t="s">
        <v>12635</v>
      </c>
      <c r="F21234" s="2"/>
      <c r="G21234" s="2"/>
      <c r="H21234" s="2"/>
    </row>
    <row r="21235" spans="1:8" x14ac:dyDescent="0.25">
      <c r="A21235" s="1"/>
      <c r="B21235" s="1" t="s">
        <v>7328</v>
      </c>
      <c r="C21235" s="1" t="s">
        <v>7329</v>
      </c>
      <c r="D21235" s="22" t="str">
        <f>HYPERLINK("https://rhld.insurance.arkansas.gov/NPILookup?Npi=1053606350","1053606350")</f>
        <v>1053606350</v>
      </c>
      <c r="E21235" s="1" t="s">
        <v>12636</v>
      </c>
      <c r="F21235" s="2"/>
      <c r="G21235" s="2"/>
      <c r="H21235" s="2"/>
    </row>
    <row r="21236" spans="1:8" x14ac:dyDescent="0.25">
      <c r="A21236" s="1"/>
      <c r="B21236" s="1" t="s">
        <v>7328</v>
      </c>
      <c r="C21236" s="1" t="s">
        <v>7329</v>
      </c>
      <c r="D21236" s="22" t="str">
        <f>HYPERLINK("https://rhld.insurance.arkansas.gov/NPILookup?Npi=1053623066","1053623066")</f>
        <v>1053623066</v>
      </c>
      <c r="E21236" s="1" t="s">
        <v>25355</v>
      </c>
      <c r="F21236" s="2"/>
      <c r="G21236" s="2"/>
      <c r="H21236" s="2"/>
    </row>
    <row r="21237" spans="1:8" x14ac:dyDescent="0.25">
      <c r="A21237" s="1"/>
      <c r="B21237" s="1" t="s">
        <v>7328</v>
      </c>
      <c r="C21237" s="1" t="s">
        <v>7329</v>
      </c>
      <c r="D21237" s="22" t="str">
        <f>HYPERLINK("https://rhld.insurance.arkansas.gov/NPILookup?Npi=1053634485","1053634485")</f>
        <v>1053634485</v>
      </c>
      <c r="E21237" s="1" t="s">
        <v>12637</v>
      </c>
      <c r="F21237" s="2"/>
      <c r="G21237" s="2"/>
      <c r="H21237" s="2"/>
    </row>
    <row r="21238" spans="1:8" x14ac:dyDescent="0.25">
      <c r="A21238" s="1"/>
      <c r="B21238" s="1" t="s">
        <v>7328</v>
      </c>
      <c r="C21238" s="1" t="s">
        <v>7329</v>
      </c>
      <c r="D21238" s="22" t="str">
        <f>HYPERLINK("https://rhld.insurance.arkansas.gov/NPILookup?Npi=1053638817","1053638817")</f>
        <v>1053638817</v>
      </c>
      <c r="E21238" s="1" t="s">
        <v>25356</v>
      </c>
      <c r="F21238" s="2"/>
      <c r="G21238" s="2"/>
      <c r="H21238" s="2"/>
    </row>
    <row r="21239" spans="1:8" x14ac:dyDescent="0.25">
      <c r="A21239" s="1"/>
      <c r="B21239" s="1" t="s">
        <v>7328</v>
      </c>
      <c r="C21239" s="1" t="s">
        <v>7329</v>
      </c>
      <c r="D21239" s="22" t="str">
        <f>HYPERLINK("https://rhld.insurance.arkansas.gov/NPILookup?Npi=1053650945","1053650945")</f>
        <v>1053650945</v>
      </c>
      <c r="E21239" s="1" t="s">
        <v>25357</v>
      </c>
      <c r="F21239" s="2"/>
      <c r="G21239" s="2"/>
      <c r="H21239" s="2"/>
    </row>
    <row r="21240" spans="1:8" x14ac:dyDescent="0.25">
      <c r="A21240" s="1"/>
      <c r="B21240" s="1" t="s">
        <v>7328</v>
      </c>
      <c r="C21240" s="1" t="s">
        <v>7329</v>
      </c>
      <c r="D21240" s="22" t="str">
        <f>HYPERLINK("https://rhld.insurance.arkansas.gov/NPILookup?Npi=1053654608","1053654608")</f>
        <v>1053654608</v>
      </c>
      <c r="E21240" s="1" t="s">
        <v>25358</v>
      </c>
      <c r="F21240" s="2"/>
      <c r="G21240" s="2"/>
      <c r="H21240" s="2"/>
    </row>
    <row r="21241" spans="1:8" x14ac:dyDescent="0.25">
      <c r="A21241" s="1"/>
      <c r="B21241" s="1" t="s">
        <v>7328</v>
      </c>
      <c r="C21241" s="1" t="s">
        <v>7329</v>
      </c>
      <c r="D21241" s="22" t="str">
        <f>HYPERLINK("https://rhld.insurance.arkansas.gov/NPILookup?Npi=1053685958","1053685958")</f>
        <v>1053685958</v>
      </c>
      <c r="E21241" s="1" t="s">
        <v>12638</v>
      </c>
      <c r="F21241" s="2"/>
      <c r="G21241" s="2"/>
      <c r="H21241" s="2"/>
    </row>
    <row r="21242" spans="1:8" x14ac:dyDescent="0.25">
      <c r="A21242" s="1"/>
      <c r="B21242" s="1" t="s">
        <v>7328</v>
      </c>
      <c r="C21242" s="1" t="s">
        <v>7329</v>
      </c>
      <c r="D21242" s="22" t="str">
        <f>HYPERLINK("https://rhld.insurance.arkansas.gov/NPILookup?Npi=1053704346","1053704346")</f>
        <v>1053704346</v>
      </c>
      <c r="E21242" s="1" t="s">
        <v>7380</v>
      </c>
      <c r="F21242" s="2"/>
      <c r="G21242" s="2"/>
      <c r="H21242" s="2"/>
    </row>
    <row r="21243" spans="1:8" x14ac:dyDescent="0.25">
      <c r="A21243" s="1"/>
      <c r="B21243" s="1" t="s">
        <v>7328</v>
      </c>
      <c r="C21243" s="1" t="s">
        <v>7329</v>
      </c>
      <c r="D21243" s="22" t="str">
        <f>HYPERLINK("https://rhld.insurance.arkansas.gov/NPILookup?Npi=1053711333","1053711333")</f>
        <v>1053711333</v>
      </c>
      <c r="E21243" s="1" t="s">
        <v>25359</v>
      </c>
      <c r="F21243" s="2"/>
      <c r="G21243" s="2"/>
      <c r="H21243" s="2"/>
    </row>
    <row r="21244" spans="1:8" x14ac:dyDescent="0.25">
      <c r="A21244" s="1"/>
      <c r="B21244" s="1" t="s">
        <v>7328</v>
      </c>
      <c r="C21244" s="1" t="s">
        <v>7329</v>
      </c>
      <c r="D21244" s="22" t="str">
        <f>HYPERLINK("https://rhld.insurance.arkansas.gov/NPILookup?Npi=1053725499","1053725499")</f>
        <v>1053725499</v>
      </c>
      <c r="E21244" s="1" t="s">
        <v>10208</v>
      </c>
      <c r="F21244" s="2"/>
      <c r="G21244" s="2"/>
      <c r="H21244" s="2"/>
    </row>
    <row r="21245" spans="1:8" x14ac:dyDescent="0.25">
      <c r="A21245" s="1"/>
      <c r="B21245" s="1" t="s">
        <v>7328</v>
      </c>
      <c r="C21245" s="1" t="s">
        <v>7329</v>
      </c>
      <c r="D21245" s="22" t="str">
        <f>HYPERLINK("https://rhld.insurance.arkansas.gov/NPILookup?Npi=1053735282","1053735282")</f>
        <v>1053735282</v>
      </c>
      <c r="E21245" s="1" t="s">
        <v>25361</v>
      </c>
      <c r="F21245" s="2"/>
      <c r="G21245" s="2"/>
      <c r="H21245" s="2"/>
    </row>
    <row r="21246" spans="1:8" x14ac:dyDescent="0.25">
      <c r="A21246" s="1"/>
      <c r="B21246" s="1" t="s">
        <v>7328</v>
      </c>
      <c r="C21246" s="1" t="s">
        <v>7329</v>
      </c>
      <c r="D21246" s="22" t="str">
        <f>HYPERLINK("https://rhld.insurance.arkansas.gov/NPILookup?Npi=1053735639","1053735639")</f>
        <v>1053735639</v>
      </c>
      <c r="E21246" s="1" t="s">
        <v>2613</v>
      </c>
      <c r="F21246" s="2"/>
      <c r="G21246" s="2"/>
      <c r="H21246" s="2"/>
    </row>
    <row r="21247" spans="1:8" x14ac:dyDescent="0.25">
      <c r="A21247" s="1"/>
      <c r="B21247" s="1" t="s">
        <v>7328</v>
      </c>
      <c r="C21247" s="1" t="s">
        <v>7329</v>
      </c>
      <c r="D21247" s="22" t="str">
        <f>HYPERLINK("https://rhld.insurance.arkansas.gov/NPILookup?Npi=1053737452","1053737452")</f>
        <v>1053737452</v>
      </c>
      <c r="E21247" s="1" t="s">
        <v>25362</v>
      </c>
      <c r="F21247" s="2"/>
      <c r="G21247" s="2"/>
      <c r="H21247" s="2"/>
    </row>
    <row r="21248" spans="1:8" x14ac:dyDescent="0.25">
      <c r="A21248" s="1"/>
      <c r="B21248" s="1" t="s">
        <v>7328</v>
      </c>
      <c r="C21248" s="1" t="s">
        <v>7329</v>
      </c>
      <c r="D21248" s="22" t="str">
        <f>HYPERLINK("https://rhld.insurance.arkansas.gov/NPILookup?Npi=1053744391","1053744391")</f>
        <v>1053744391</v>
      </c>
      <c r="E21248" s="1" t="s">
        <v>12639</v>
      </c>
      <c r="F21248" s="2"/>
      <c r="G21248" s="2"/>
      <c r="H21248" s="2"/>
    </row>
    <row r="21249" spans="1:8" x14ac:dyDescent="0.25">
      <c r="A21249" s="1"/>
      <c r="B21249" s="1" t="s">
        <v>7328</v>
      </c>
      <c r="C21249" s="1" t="s">
        <v>7329</v>
      </c>
      <c r="D21249" s="22" t="str">
        <f>HYPERLINK("https://rhld.insurance.arkansas.gov/NPILookup?Npi=1053756312","1053756312")</f>
        <v>1053756312</v>
      </c>
      <c r="E21249" s="1" t="s">
        <v>25363</v>
      </c>
      <c r="F21249" s="2"/>
      <c r="G21249" s="2"/>
      <c r="H21249" s="2"/>
    </row>
    <row r="21250" spans="1:8" x14ac:dyDescent="0.25">
      <c r="A21250" s="1"/>
      <c r="B21250" s="1" t="s">
        <v>7328</v>
      </c>
      <c r="C21250" s="1" t="s">
        <v>7329</v>
      </c>
      <c r="D21250" s="22" t="str">
        <f>HYPERLINK("https://rhld.insurance.arkansas.gov/NPILookup?Npi=1053781088","1053781088")</f>
        <v>1053781088</v>
      </c>
      <c r="E21250" s="1" t="s">
        <v>12640</v>
      </c>
      <c r="F21250" s="2"/>
      <c r="G21250" s="2"/>
      <c r="H21250" s="2"/>
    </row>
    <row r="21251" spans="1:8" x14ac:dyDescent="0.25">
      <c r="A21251" s="1"/>
      <c r="B21251" s="1" t="s">
        <v>7328</v>
      </c>
      <c r="C21251" s="1" t="s">
        <v>7329</v>
      </c>
      <c r="D21251" s="22" t="str">
        <f>HYPERLINK("https://rhld.insurance.arkansas.gov/NPILookup?Npi=1053792259","1053792259")</f>
        <v>1053792259</v>
      </c>
      <c r="E21251" s="1" t="s">
        <v>25364</v>
      </c>
      <c r="F21251" s="2"/>
      <c r="G21251" s="2"/>
      <c r="H21251" s="2"/>
    </row>
    <row r="21252" spans="1:8" x14ac:dyDescent="0.25">
      <c r="A21252" s="1"/>
      <c r="B21252" s="1" t="s">
        <v>7328</v>
      </c>
      <c r="C21252" s="1" t="s">
        <v>7329</v>
      </c>
      <c r="D21252" s="22" t="str">
        <f>HYPERLINK("https://rhld.insurance.arkansas.gov/NPILookup?Npi=1053797399","1053797399")</f>
        <v>1053797399</v>
      </c>
      <c r="E21252" s="1" t="s">
        <v>25365</v>
      </c>
      <c r="F21252" s="2"/>
      <c r="G21252" s="2"/>
      <c r="H21252" s="2"/>
    </row>
    <row r="21253" spans="1:8" x14ac:dyDescent="0.25">
      <c r="A21253" s="1"/>
      <c r="B21253" s="1" t="s">
        <v>7328</v>
      </c>
      <c r="C21253" s="1" t="s">
        <v>7329</v>
      </c>
      <c r="D21253" s="22" t="str">
        <f>HYPERLINK("https://rhld.insurance.arkansas.gov/NPILookup?Npi=1053807701","1053807701")</f>
        <v>1053807701</v>
      </c>
      <c r="E21253" s="1" t="s">
        <v>7381</v>
      </c>
      <c r="F21253" s="2"/>
      <c r="G21253" s="2"/>
      <c r="H21253" s="2"/>
    </row>
    <row r="21254" spans="1:8" x14ac:dyDescent="0.25">
      <c r="A21254" s="1"/>
      <c r="B21254" s="1" t="s">
        <v>7328</v>
      </c>
      <c r="C21254" s="1" t="s">
        <v>7329</v>
      </c>
      <c r="D21254" s="22" t="str">
        <f>HYPERLINK("https://rhld.insurance.arkansas.gov/NPILookup?Npi=1053808881","1053808881")</f>
        <v>1053808881</v>
      </c>
      <c r="E21254" s="1" t="s">
        <v>146</v>
      </c>
      <c r="F21254" s="2"/>
      <c r="G21254" s="2"/>
      <c r="H21254" s="2"/>
    </row>
    <row r="21255" spans="1:8" x14ac:dyDescent="0.25">
      <c r="A21255" s="1"/>
      <c r="B21255" s="1" t="s">
        <v>7328</v>
      </c>
      <c r="C21255" s="1" t="s">
        <v>7329</v>
      </c>
      <c r="D21255" s="22" t="str">
        <f>HYPERLINK("https://rhld.insurance.arkansas.gov/NPILookup?Npi=1053810101","1053810101")</f>
        <v>1053810101</v>
      </c>
      <c r="E21255" s="1" t="s">
        <v>1956</v>
      </c>
      <c r="F21255" s="2"/>
      <c r="G21255" s="2"/>
      <c r="H21255" s="2"/>
    </row>
    <row r="21256" spans="1:8" x14ac:dyDescent="0.25">
      <c r="A21256" s="1"/>
      <c r="B21256" s="1" t="s">
        <v>7328</v>
      </c>
      <c r="C21256" s="1" t="s">
        <v>7329</v>
      </c>
      <c r="D21256" s="22" t="str">
        <f>HYPERLINK("https://rhld.insurance.arkansas.gov/NPILookup?Npi=1053819417","1053819417")</f>
        <v>1053819417</v>
      </c>
      <c r="E21256" s="1" t="s">
        <v>25366</v>
      </c>
      <c r="F21256" s="2"/>
      <c r="G21256" s="2"/>
      <c r="H21256" s="2"/>
    </row>
    <row r="21257" spans="1:8" x14ac:dyDescent="0.25">
      <c r="A21257" s="1"/>
      <c r="B21257" s="1" t="s">
        <v>7328</v>
      </c>
      <c r="C21257" s="1" t="s">
        <v>7329</v>
      </c>
      <c r="D21257" s="22" t="str">
        <f>HYPERLINK("https://rhld.insurance.arkansas.gov/NPILookup?Npi=1053835215","1053835215")</f>
        <v>1053835215</v>
      </c>
      <c r="E21257" s="1" t="s">
        <v>25367</v>
      </c>
      <c r="F21257" s="2"/>
      <c r="G21257" s="2"/>
      <c r="H21257" s="2"/>
    </row>
    <row r="21258" spans="1:8" x14ac:dyDescent="0.25">
      <c r="A21258" s="1"/>
      <c r="B21258" s="1" t="s">
        <v>7328</v>
      </c>
      <c r="C21258" s="1" t="s">
        <v>7329</v>
      </c>
      <c r="D21258" s="22" t="str">
        <f>HYPERLINK("https://rhld.insurance.arkansas.gov/NPILookup?Npi=1053843631","1053843631")</f>
        <v>1053843631</v>
      </c>
      <c r="E21258" s="1" t="s">
        <v>830</v>
      </c>
      <c r="F21258" s="2"/>
      <c r="G21258" s="2"/>
      <c r="H21258" s="2"/>
    </row>
    <row r="21259" spans="1:8" x14ac:dyDescent="0.25">
      <c r="A21259" s="1"/>
      <c r="B21259" s="1" t="s">
        <v>7328</v>
      </c>
      <c r="C21259" s="1" t="s">
        <v>7329</v>
      </c>
      <c r="D21259" s="22" t="str">
        <f>HYPERLINK("https://rhld.insurance.arkansas.gov/NPILookup?Npi=1053845651","1053845651")</f>
        <v>1053845651</v>
      </c>
      <c r="E21259" s="1" t="s">
        <v>25368</v>
      </c>
      <c r="F21259" s="2"/>
      <c r="G21259" s="2"/>
      <c r="H21259" s="2"/>
    </row>
    <row r="21260" spans="1:8" x14ac:dyDescent="0.25">
      <c r="A21260" s="1"/>
      <c r="B21260" s="1" t="s">
        <v>7328</v>
      </c>
      <c r="C21260" s="1" t="s">
        <v>7329</v>
      </c>
      <c r="D21260" s="22" t="str">
        <f>HYPERLINK("https://rhld.insurance.arkansas.gov/NPILookup?Npi=1053846154","1053846154")</f>
        <v>1053846154</v>
      </c>
      <c r="E21260" s="1" t="s">
        <v>20060</v>
      </c>
      <c r="F21260" s="2"/>
      <c r="G21260" s="2"/>
      <c r="H21260" s="2"/>
    </row>
    <row r="21261" spans="1:8" x14ac:dyDescent="0.25">
      <c r="A21261" s="1"/>
      <c r="B21261" s="1" t="s">
        <v>7328</v>
      </c>
      <c r="C21261" s="1" t="s">
        <v>7329</v>
      </c>
      <c r="D21261" s="22" t="str">
        <f>HYPERLINK("https://rhld.insurance.arkansas.gov/NPILookup?Npi=1053846857","1053846857")</f>
        <v>1053846857</v>
      </c>
      <c r="E21261" s="1" t="s">
        <v>12641</v>
      </c>
      <c r="F21261" s="2"/>
      <c r="G21261" s="2"/>
      <c r="H21261" s="2"/>
    </row>
    <row r="21262" spans="1:8" x14ac:dyDescent="0.25">
      <c r="A21262" s="1"/>
      <c r="B21262" s="1" t="s">
        <v>7328</v>
      </c>
      <c r="C21262" s="1" t="s">
        <v>7329</v>
      </c>
      <c r="D21262" s="22" t="str">
        <f>HYPERLINK("https://rhld.insurance.arkansas.gov/NPILookup?Npi=1053872176","1053872176")</f>
        <v>1053872176</v>
      </c>
      <c r="E21262" s="1" t="s">
        <v>12642</v>
      </c>
      <c r="F21262" s="2"/>
      <c r="G21262" s="2"/>
      <c r="H21262" s="2"/>
    </row>
    <row r="21263" spans="1:8" x14ac:dyDescent="0.25">
      <c r="A21263" s="1"/>
      <c r="B21263" s="1" t="s">
        <v>7328</v>
      </c>
      <c r="C21263" s="1" t="s">
        <v>7329</v>
      </c>
      <c r="D21263" s="22" t="str">
        <f>HYPERLINK("https://rhld.insurance.arkansas.gov/NPILookup?Npi=1053875146","1053875146")</f>
        <v>1053875146</v>
      </c>
      <c r="E21263" s="1" t="s">
        <v>25369</v>
      </c>
      <c r="F21263" s="2"/>
      <c r="G21263" s="2"/>
      <c r="H21263" s="2"/>
    </row>
    <row r="21264" spans="1:8" x14ac:dyDescent="0.25">
      <c r="A21264" s="1"/>
      <c r="B21264" s="1" t="s">
        <v>7328</v>
      </c>
      <c r="C21264" s="1" t="s">
        <v>7329</v>
      </c>
      <c r="D21264" s="22" t="str">
        <f>HYPERLINK("https://rhld.insurance.arkansas.gov/NPILookup?Npi=1053891895","1053891895")</f>
        <v>1053891895</v>
      </c>
      <c r="E21264" s="1" t="s">
        <v>25370</v>
      </c>
      <c r="F21264" s="2"/>
      <c r="G21264" s="2"/>
      <c r="H21264" s="2"/>
    </row>
    <row r="21265" spans="1:8" x14ac:dyDescent="0.25">
      <c r="A21265" s="1"/>
      <c r="B21265" s="1" t="s">
        <v>7328</v>
      </c>
      <c r="C21265" s="1" t="s">
        <v>7329</v>
      </c>
      <c r="D21265" s="22" t="str">
        <f>HYPERLINK("https://rhld.insurance.arkansas.gov/NPILookup?Npi=1053897884","1053897884")</f>
        <v>1053897884</v>
      </c>
      <c r="E21265" s="1" t="s">
        <v>1470</v>
      </c>
      <c r="F21265" s="2"/>
      <c r="G21265" s="2"/>
      <c r="H21265" s="2"/>
    </row>
    <row r="21266" spans="1:8" x14ac:dyDescent="0.25">
      <c r="A21266" s="1"/>
      <c r="B21266" s="1" t="s">
        <v>7328</v>
      </c>
      <c r="C21266" s="1" t="s">
        <v>7329</v>
      </c>
      <c r="D21266" s="22" t="str">
        <f>HYPERLINK("https://rhld.insurance.arkansas.gov/NPILookup?Npi=1053907931","1053907931")</f>
        <v>1053907931</v>
      </c>
      <c r="E21266" s="1" t="s">
        <v>7382</v>
      </c>
      <c r="F21266" s="2"/>
      <c r="G21266" s="2"/>
      <c r="H21266" s="2"/>
    </row>
    <row r="21267" spans="1:8" x14ac:dyDescent="0.25">
      <c r="A21267" s="1"/>
      <c r="B21267" s="1" t="s">
        <v>7328</v>
      </c>
      <c r="C21267" s="1" t="s">
        <v>7329</v>
      </c>
      <c r="D21267" s="22" t="str">
        <f>HYPERLINK("https://rhld.insurance.arkansas.gov/NPILookup?Npi=1053917310","1053917310")</f>
        <v>1053917310</v>
      </c>
      <c r="E21267" s="1" t="s">
        <v>25176</v>
      </c>
      <c r="F21267" s="2"/>
      <c r="G21267" s="2"/>
      <c r="H21267" s="2"/>
    </row>
    <row r="21268" spans="1:8" x14ac:dyDescent="0.25">
      <c r="A21268" s="1"/>
      <c r="B21268" s="1" t="s">
        <v>7328</v>
      </c>
      <c r="C21268" s="1" t="s">
        <v>7329</v>
      </c>
      <c r="D21268" s="22" t="str">
        <f>HYPERLINK("https://rhld.insurance.arkansas.gov/NPILookup?Npi=1053932806","1053932806")</f>
        <v>1053932806</v>
      </c>
      <c r="E21268" s="1" t="s">
        <v>25371</v>
      </c>
      <c r="F21268" s="2"/>
      <c r="G21268" s="2"/>
      <c r="H21268" s="2"/>
    </row>
    <row r="21269" spans="1:8" x14ac:dyDescent="0.25">
      <c r="A21269" s="1"/>
      <c r="B21269" s="1" t="s">
        <v>7328</v>
      </c>
      <c r="C21269" s="1" t="s">
        <v>7329</v>
      </c>
      <c r="D21269" s="22" t="str">
        <f>HYPERLINK("https://rhld.insurance.arkansas.gov/NPILookup?Npi=1053949586","1053949586")</f>
        <v>1053949586</v>
      </c>
      <c r="E21269" s="1" t="s">
        <v>25372</v>
      </c>
      <c r="F21269" s="2"/>
      <c r="G21269" s="2"/>
      <c r="H21269" s="2"/>
    </row>
    <row r="21270" spans="1:8" x14ac:dyDescent="0.25">
      <c r="A21270" s="1"/>
      <c r="B21270" s="1" t="s">
        <v>7328</v>
      </c>
      <c r="C21270" s="1" t="s">
        <v>7329</v>
      </c>
      <c r="D21270" s="22" t="str">
        <f>HYPERLINK("https://rhld.insurance.arkansas.gov/NPILookup?Npi=1053950113","1053950113")</f>
        <v>1053950113</v>
      </c>
      <c r="E21270" s="1" t="s">
        <v>2358</v>
      </c>
      <c r="F21270" s="2"/>
      <c r="G21270" s="2"/>
      <c r="H21270" s="2"/>
    </row>
    <row r="21271" spans="1:8" x14ac:dyDescent="0.25">
      <c r="A21271" s="1"/>
      <c r="B21271" s="1" t="s">
        <v>7328</v>
      </c>
      <c r="C21271" s="1" t="s">
        <v>7329</v>
      </c>
      <c r="D21271" s="22" t="str">
        <f>HYPERLINK("https://rhld.insurance.arkansas.gov/NPILookup?Npi=1053957464","1053957464")</f>
        <v>1053957464</v>
      </c>
      <c r="E21271" s="1" t="s">
        <v>1471</v>
      </c>
      <c r="F21271" s="2"/>
      <c r="G21271" s="2"/>
      <c r="H21271" s="2"/>
    </row>
    <row r="21272" spans="1:8" x14ac:dyDescent="0.25">
      <c r="A21272" s="1"/>
      <c r="B21272" s="1" t="s">
        <v>7328</v>
      </c>
      <c r="C21272" s="1" t="s">
        <v>7329</v>
      </c>
      <c r="D21272" s="22" t="str">
        <f>HYPERLINK("https://rhld.insurance.arkansas.gov/NPILookup?Npi=1053963736","1053963736")</f>
        <v>1053963736</v>
      </c>
      <c r="E21272" s="1" t="s">
        <v>7383</v>
      </c>
      <c r="F21272" s="2"/>
      <c r="G21272" s="2"/>
      <c r="H21272" s="2"/>
    </row>
    <row r="21273" spans="1:8" x14ac:dyDescent="0.25">
      <c r="A21273" s="1"/>
      <c r="B21273" s="1" t="s">
        <v>7328</v>
      </c>
      <c r="C21273" s="1" t="s">
        <v>7329</v>
      </c>
      <c r="D21273" s="22" t="str">
        <f>HYPERLINK("https://rhld.insurance.arkansas.gov/NPILookup?Npi=1053973081","1053973081")</f>
        <v>1053973081</v>
      </c>
      <c r="E21273" s="1" t="s">
        <v>25373</v>
      </c>
      <c r="F21273" s="2"/>
      <c r="G21273" s="2"/>
      <c r="H21273" s="2"/>
    </row>
    <row r="21274" spans="1:8" x14ac:dyDescent="0.25">
      <c r="A21274" s="1"/>
      <c r="B21274" s="1" t="s">
        <v>7328</v>
      </c>
      <c r="C21274" s="1" t="s">
        <v>7329</v>
      </c>
      <c r="D21274" s="22" t="str">
        <f>HYPERLINK("https://rhld.insurance.arkansas.gov/NPILookup?Npi=1053998518","1053998518")</f>
        <v>1053998518</v>
      </c>
      <c r="E21274" s="1" t="s">
        <v>25374</v>
      </c>
      <c r="F21274" s="2"/>
      <c r="G21274" s="2"/>
      <c r="H21274" s="2"/>
    </row>
    <row r="21275" spans="1:8" x14ac:dyDescent="0.25">
      <c r="A21275" s="1"/>
      <c r="B21275" s="1" t="s">
        <v>7328</v>
      </c>
      <c r="C21275" s="1" t="s">
        <v>7329</v>
      </c>
      <c r="D21275" s="22" t="str">
        <f>HYPERLINK("https://rhld.insurance.arkansas.gov/NPILookup?Npi=1063010874","1063010874")</f>
        <v>1063010874</v>
      </c>
      <c r="E21275" s="1" t="s">
        <v>25375</v>
      </c>
      <c r="F21275" s="2"/>
      <c r="G21275" s="2"/>
      <c r="H21275" s="2"/>
    </row>
    <row r="21276" spans="1:8" x14ac:dyDescent="0.25">
      <c r="A21276" s="1"/>
      <c r="B21276" s="1" t="s">
        <v>7328</v>
      </c>
      <c r="C21276" s="1" t="s">
        <v>7329</v>
      </c>
      <c r="D21276" s="22" t="str">
        <f>HYPERLINK("https://rhld.insurance.arkansas.gov/NPILookup?Npi=1063016962","1063016962")</f>
        <v>1063016962</v>
      </c>
      <c r="E21276" s="1" t="s">
        <v>21063</v>
      </c>
      <c r="F21276" s="2"/>
      <c r="G21276" s="2"/>
      <c r="H21276" s="2"/>
    </row>
    <row r="21277" spans="1:8" x14ac:dyDescent="0.25">
      <c r="A21277" s="1"/>
      <c r="B21277" s="1" t="s">
        <v>7328</v>
      </c>
      <c r="C21277" s="1" t="s">
        <v>7329</v>
      </c>
      <c r="D21277" s="22" t="str">
        <f>HYPERLINK("https://rhld.insurance.arkansas.gov/NPILookup?Npi=1063020469","1063020469")</f>
        <v>1063020469</v>
      </c>
      <c r="E21277" s="1" t="s">
        <v>7384</v>
      </c>
      <c r="F21277" s="2"/>
      <c r="G21277" s="2"/>
      <c r="H21277" s="2"/>
    </row>
    <row r="21278" spans="1:8" x14ac:dyDescent="0.25">
      <c r="A21278" s="1"/>
      <c r="B21278" s="1" t="s">
        <v>7328</v>
      </c>
      <c r="C21278" s="1" t="s">
        <v>7329</v>
      </c>
      <c r="D21278" s="22" t="str">
        <f>HYPERLINK("https://rhld.insurance.arkansas.gov/NPILookup?Npi=1063048817","1063048817")</f>
        <v>1063048817</v>
      </c>
      <c r="E21278" s="1" t="s">
        <v>18349</v>
      </c>
      <c r="F21278" s="2"/>
      <c r="G21278" s="2"/>
      <c r="H21278" s="2"/>
    </row>
    <row r="21279" spans="1:8" x14ac:dyDescent="0.25">
      <c r="A21279" s="1"/>
      <c r="B21279" s="1" t="s">
        <v>7328</v>
      </c>
      <c r="C21279" s="1" t="s">
        <v>7329</v>
      </c>
      <c r="D21279" s="22" t="str">
        <f>HYPERLINK("https://rhld.insurance.arkansas.gov/NPILookup?Npi=1063054955","1063054955")</f>
        <v>1063054955</v>
      </c>
      <c r="E21279" s="1" t="s">
        <v>11447</v>
      </c>
      <c r="F21279" s="2"/>
      <c r="G21279" s="2"/>
      <c r="H21279" s="2"/>
    </row>
    <row r="21280" spans="1:8" x14ac:dyDescent="0.25">
      <c r="A21280" s="1"/>
      <c r="B21280" s="1" t="s">
        <v>7328</v>
      </c>
      <c r="C21280" s="1" t="s">
        <v>7329</v>
      </c>
      <c r="D21280" s="22" t="str">
        <f>HYPERLINK("https://rhld.insurance.arkansas.gov/NPILookup?Npi=1063069326","1063069326")</f>
        <v>1063069326</v>
      </c>
      <c r="E21280" s="1" t="s">
        <v>21064</v>
      </c>
      <c r="F21280" s="2"/>
      <c r="G21280" s="2"/>
      <c r="H21280" s="2"/>
    </row>
    <row r="21281" spans="1:8" x14ac:dyDescent="0.25">
      <c r="A21281" s="1"/>
      <c r="B21281" s="1" t="s">
        <v>7328</v>
      </c>
      <c r="C21281" s="1" t="s">
        <v>7329</v>
      </c>
      <c r="D21281" s="22" t="str">
        <f>HYPERLINK("https://rhld.insurance.arkansas.gov/NPILookup?Npi=1063089449","1063089449")</f>
        <v>1063089449</v>
      </c>
      <c r="E21281" s="1" t="s">
        <v>25376</v>
      </c>
      <c r="F21281" s="2"/>
      <c r="G21281" s="2"/>
      <c r="H21281" s="2"/>
    </row>
    <row r="21282" spans="1:8" x14ac:dyDescent="0.25">
      <c r="A21282" s="1"/>
      <c r="B21282" s="1" t="s">
        <v>7328</v>
      </c>
      <c r="C21282" s="1" t="s">
        <v>7329</v>
      </c>
      <c r="D21282" s="22" t="str">
        <f>HYPERLINK("https://rhld.insurance.arkansas.gov/NPILookup?Npi=1063090959","1063090959")</f>
        <v>1063090959</v>
      </c>
      <c r="E21282" s="1" t="s">
        <v>32097</v>
      </c>
      <c r="F21282" s="2"/>
      <c r="G21282" s="2"/>
      <c r="H21282" s="2"/>
    </row>
    <row r="21283" spans="1:8" x14ac:dyDescent="0.25">
      <c r="A21283" s="1"/>
      <c r="B21283" s="1" t="s">
        <v>7328</v>
      </c>
      <c r="C21283" s="1" t="s">
        <v>7329</v>
      </c>
      <c r="D21283" s="22" t="str">
        <f>HYPERLINK("https://rhld.insurance.arkansas.gov/NPILookup?Npi=1063093102","1063093102")</f>
        <v>1063093102</v>
      </c>
      <c r="E21283" s="1" t="s">
        <v>25377</v>
      </c>
      <c r="F21283" s="2"/>
      <c r="G21283" s="2"/>
      <c r="H21283" s="2"/>
    </row>
    <row r="21284" spans="1:8" x14ac:dyDescent="0.25">
      <c r="A21284" s="1"/>
      <c r="B21284" s="1" t="s">
        <v>7328</v>
      </c>
      <c r="C21284" s="1" t="s">
        <v>7329</v>
      </c>
      <c r="D21284" s="22" t="str">
        <f>HYPERLINK("https://rhld.insurance.arkansas.gov/NPILookup?Npi=1063102994","1063102994")</f>
        <v>1063102994</v>
      </c>
      <c r="E21284" s="1" t="s">
        <v>5729</v>
      </c>
      <c r="F21284" s="2"/>
      <c r="G21284" s="2"/>
      <c r="H21284" s="2"/>
    </row>
    <row r="21285" spans="1:8" x14ac:dyDescent="0.25">
      <c r="A21285" s="1"/>
      <c r="B21285" s="1" t="s">
        <v>7328</v>
      </c>
      <c r="C21285" s="1" t="s">
        <v>7329</v>
      </c>
      <c r="D21285" s="22" t="str">
        <f>HYPERLINK("https://rhld.insurance.arkansas.gov/NPILookup?Npi=1063108280","1063108280")</f>
        <v>1063108280</v>
      </c>
      <c r="E21285" s="1" t="s">
        <v>32098</v>
      </c>
      <c r="F21285" s="2"/>
      <c r="G21285" s="2"/>
      <c r="H21285" s="2"/>
    </row>
    <row r="21286" spans="1:8" x14ac:dyDescent="0.25">
      <c r="A21286" s="1"/>
      <c r="B21286" s="1" t="s">
        <v>7328</v>
      </c>
      <c r="C21286" s="1" t="s">
        <v>7329</v>
      </c>
      <c r="D21286" s="22" t="str">
        <f>HYPERLINK("https://rhld.insurance.arkansas.gov/NPILookup?Npi=1063119113","1063119113")</f>
        <v>1063119113</v>
      </c>
      <c r="E21286" s="1" t="s">
        <v>32099</v>
      </c>
      <c r="F21286" s="2"/>
      <c r="G21286" s="2"/>
      <c r="H21286" s="2"/>
    </row>
    <row r="21287" spans="1:8" x14ac:dyDescent="0.25">
      <c r="A21287" s="1"/>
      <c r="B21287" s="1" t="s">
        <v>7328</v>
      </c>
      <c r="C21287" s="1" t="s">
        <v>7329</v>
      </c>
      <c r="D21287" s="22" t="str">
        <f>HYPERLINK("https://rhld.insurance.arkansas.gov/NPILookup?Npi=1063137412","1063137412")</f>
        <v>1063137412</v>
      </c>
      <c r="E21287" s="1" t="s">
        <v>25378</v>
      </c>
      <c r="F21287" s="2"/>
      <c r="G21287" s="2"/>
      <c r="H21287" s="2"/>
    </row>
    <row r="21288" spans="1:8" x14ac:dyDescent="0.25">
      <c r="A21288" s="1"/>
      <c r="B21288" s="1" t="s">
        <v>7328</v>
      </c>
      <c r="C21288" s="1" t="s">
        <v>7329</v>
      </c>
      <c r="D21288" s="22" t="str">
        <f>HYPERLINK("https://rhld.insurance.arkansas.gov/NPILookup?Npi=1063142065","1063142065")</f>
        <v>1063142065</v>
      </c>
      <c r="E21288" s="1" t="s">
        <v>25379</v>
      </c>
      <c r="F21288" s="2"/>
      <c r="G21288" s="2"/>
      <c r="H21288" s="2"/>
    </row>
    <row r="21289" spans="1:8" x14ac:dyDescent="0.25">
      <c r="A21289" s="1"/>
      <c r="B21289" s="1" t="s">
        <v>7328</v>
      </c>
      <c r="C21289" s="1" t="s">
        <v>7329</v>
      </c>
      <c r="D21289" s="22" t="str">
        <f>HYPERLINK("https://rhld.insurance.arkansas.gov/NPILookup?Npi=1063143329","1063143329")</f>
        <v>1063143329</v>
      </c>
      <c r="E21289" s="1" t="s">
        <v>25380</v>
      </c>
      <c r="F21289" s="2"/>
      <c r="G21289" s="2"/>
      <c r="H21289" s="2"/>
    </row>
    <row r="21290" spans="1:8" x14ac:dyDescent="0.25">
      <c r="A21290" s="1"/>
      <c r="B21290" s="1" t="s">
        <v>7328</v>
      </c>
      <c r="C21290" s="1" t="s">
        <v>7329</v>
      </c>
      <c r="D21290" s="22" t="str">
        <f>HYPERLINK("https://rhld.insurance.arkansas.gov/NPILookup?Npi=1063144798","1063144798")</f>
        <v>1063144798</v>
      </c>
      <c r="E21290" s="1" t="s">
        <v>25381</v>
      </c>
      <c r="F21290" s="2"/>
      <c r="G21290" s="2"/>
      <c r="H21290" s="2"/>
    </row>
    <row r="21291" spans="1:8" x14ac:dyDescent="0.25">
      <c r="A21291" s="1"/>
      <c r="B21291" s="1" t="s">
        <v>7328</v>
      </c>
      <c r="C21291" s="1" t="s">
        <v>7329</v>
      </c>
      <c r="D21291" s="22" t="str">
        <f>HYPERLINK("https://rhld.insurance.arkansas.gov/NPILookup?Npi=1063150001","1063150001")</f>
        <v>1063150001</v>
      </c>
      <c r="E21291" s="1" t="s">
        <v>25382</v>
      </c>
      <c r="F21291" s="2"/>
      <c r="G21291" s="2"/>
      <c r="H21291" s="2"/>
    </row>
    <row r="21292" spans="1:8" x14ac:dyDescent="0.25">
      <c r="A21292" s="1"/>
      <c r="B21292" s="1" t="s">
        <v>7328</v>
      </c>
      <c r="C21292" s="1" t="s">
        <v>7329</v>
      </c>
      <c r="D21292" s="22" t="str">
        <f>HYPERLINK("https://rhld.insurance.arkansas.gov/NPILookup?Npi=1063154219","1063154219")</f>
        <v>1063154219</v>
      </c>
      <c r="E21292" s="1" t="s">
        <v>25383</v>
      </c>
      <c r="F21292" s="2"/>
      <c r="G21292" s="2"/>
      <c r="H21292" s="2"/>
    </row>
    <row r="21293" spans="1:8" x14ac:dyDescent="0.25">
      <c r="A21293" s="1"/>
      <c r="B21293" s="1" t="s">
        <v>7328</v>
      </c>
      <c r="C21293" s="1" t="s">
        <v>7329</v>
      </c>
      <c r="D21293" s="22" t="str">
        <f>HYPERLINK("https://rhld.insurance.arkansas.gov/NPILookup?Npi=1063162287","1063162287")</f>
        <v>1063162287</v>
      </c>
      <c r="E21293" s="1" t="s">
        <v>25384</v>
      </c>
      <c r="F21293" s="2"/>
      <c r="G21293" s="2"/>
      <c r="H21293" s="2"/>
    </row>
    <row r="21294" spans="1:8" x14ac:dyDescent="0.25">
      <c r="A21294" s="1"/>
      <c r="B21294" s="1" t="s">
        <v>7328</v>
      </c>
      <c r="C21294" s="1" t="s">
        <v>7329</v>
      </c>
      <c r="D21294" s="22" t="str">
        <f>HYPERLINK("https://rhld.insurance.arkansas.gov/NPILookup?Npi=1063175693","1063175693")</f>
        <v>1063175693</v>
      </c>
      <c r="E21294" s="1" t="s">
        <v>7385</v>
      </c>
      <c r="F21294" s="2"/>
      <c r="G21294" s="2"/>
      <c r="H21294" s="2"/>
    </row>
    <row r="21295" spans="1:8" x14ac:dyDescent="0.25">
      <c r="A21295" s="1"/>
      <c r="B21295" s="1" t="s">
        <v>7328</v>
      </c>
      <c r="C21295" s="1" t="s">
        <v>7329</v>
      </c>
      <c r="D21295" s="22" t="str">
        <f>HYPERLINK("https://rhld.insurance.arkansas.gov/NPILookup?Npi=1063177426","1063177426")</f>
        <v>1063177426</v>
      </c>
      <c r="E21295" s="1" t="s">
        <v>25385</v>
      </c>
      <c r="F21295" s="2"/>
      <c r="G21295" s="2"/>
      <c r="H21295" s="2"/>
    </row>
    <row r="21296" spans="1:8" x14ac:dyDescent="0.25">
      <c r="A21296" s="1"/>
      <c r="B21296" s="1" t="s">
        <v>7328</v>
      </c>
      <c r="C21296" s="1" t="s">
        <v>7329</v>
      </c>
      <c r="D21296" s="22" t="str">
        <f>HYPERLINK("https://rhld.insurance.arkansas.gov/NPILookup?Npi=1063207538","1063207538")</f>
        <v>1063207538</v>
      </c>
      <c r="E21296" s="1" t="s">
        <v>32100</v>
      </c>
      <c r="F21296" s="2"/>
      <c r="G21296" s="2"/>
      <c r="H21296" s="2"/>
    </row>
    <row r="21297" spans="1:8" x14ac:dyDescent="0.25">
      <c r="A21297" s="1"/>
      <c r="B21297" s="1" t="s">
        <v>7328</v>
      </c>
      <c r="C21297" s="1" t="s">
        <v>7329</v>
      </c>
      <c r="D21297" s="22" t="str">
        <f>HYPERLINK("https://rhld.insurance.arkansas.gov/NPILookup?Npi=1063227171","1063227171")</f>
        <v>1063227171</v>
      </c>
      <c r="E21297" s="1" t="s">
        <v>32101</v>
      </c>
      <c r="F21297" s="2"/>
      <c r="G21297" s="2"/>
      <c r="H21297" s="2"/>
    </row>
    <row r="21298" spans="1:8" x14ac:dyDescent="0.25">
      <c r="A21298" s="1"/>
      <c r="B21298" s="1" t="s">
        <v>7328</v>
      </c>
      <c r="C21298" s="1" t="s">
        <v>7329</v>
      </c>
      <c r="D21298" s="22" t="str">
        <f>HYPERLINK("https://rhld.insurance.arkansas.gov/NPILookup?Npi=1063240646","1063240646")</f>
        <v>1063240646</v>
      </c>
      <c r="E21298" s="1" t="s">
        <v>25386</v>
      </c>
      <c r="F21298" s="2"/>
      <c r="G21298" s="2"/>
      <c r="H21298" s="2"/>
    </row>
    <row r="21299" spans="1:8" x14ac:dyDescent="0.25">
      <c r="A21299" s="1"/>
      <c r="B21299" s="1" t="s">
        <v>7328</v>
      </c>
      <c r="C21299" s="1" t="s">
        <v>7329</v>
      </c>
      <c r="D21299" s="22" t="str">
        <f>HYPERLINK("https://rhld.insurance.arkansas.gov/NPILookup?Npi=1063273019","1063273019")</f>
        <v>1063273019</v>
      </c>
      <c r="E21299" s="1" t="s">
        <v>25387</v>
      </c>
      <c r="F21299" s="2"/>
      <c r="G21299" s="2"/>
      <c r="H21299" s="2"/>
    </row>
    <row r="21300" spans="1:8" x14ac:dyDescent="0.25">
      <c r="A21300" s="1"/>
      <c r="B21300" s="1" t="s">
        <v>7328</v>
      </c>
      <c r="C21300" s="1" t="s">
        <v>7329</v>
      </c>
      <c r="D21300" s="22" t="str">
        <f>HYPERLINK("https://rhld.insurance.arkansas.gov/NPILookup?Npi=1063280691","1063280691")</f>
        <v>1063280691</v>
      </c>
      <c r="E21300" s="1" t="s">
        <v>7386</v>
      </c>
      <c r="F21300" s="2"/>
      <c r="G21300" s="2"/>
      <c r="H21300" s="2"/>
    </row>
    <row r="21301" spans="1:8" x14ac:dyDescent="0.25">
      <c r="A21301" s="1"/>
      <c r="B21301" s="1" t="s">
        <v>7328</v>
      </c>
      <c r="C21301" s="1" t="s">
        <v>7329</v>
      </c>
      <c r="D21301" s="22" t="str">
        <f>HYPERLINK("https://rhld.insurance.arkansas.gov/NPILookup?Npi=1063280923","1063280923")</f>
        <v>1063280923</v>
      </c>
      <c r="E21301" s="1" t="s">
        <v>7387</v>
      </c>
      <c r="F21301" s="2"/>
      <c r="G21301" s="2"/>
      <c r="H21301" s="2"/>
    </row>
    <row r="21302" spans="1:8" x14ac:dyDescent="0.25">
      <c r="A21302" s="1"/>
      <c r="B21302" s="1" t="s">
        <v>7328</v>
      </c>
      <c r="C21302" s="1" t="s">
        <v>7329</v>
      </c>
      <c r="D21302" s="22" t="str">
        <f>HYPERLINK("https://rhld.insurance.arkansas.gov/NPILookup?Npi=1063291789","1063291789")</f>
        <v>1063291789</v>
      </c>
      <c r="E21302" s="1" t="s">
        <v>7388</v>
      </c>
      <c r="F21302" s="2"/>
      <c r="G21302" s="2"/>
      <c r="H21302" s="2"/>
    </row>
    <row r="21303" spans="1:8" x14ac:dyDescent="0.25">
      <c r="A21303" s="1"/>
      <c r="B21303" s="1" t="s">
        <v>7328</v>
      </c>
      <c r="C21303" s="1" t="s">
        <v>7329</v>
      </c>
      <c r="D21303" s="22" t="str">
        <f>HYPERLINK("https://rhld.insurance.arkansas.gov/NPILookup?Npi=1063294056","1063294056")</f>
        <v>1063294056</v>
      </c>
      <c r="E21303" s="1" t="s">
        <v>6517</v>
      </c>
      <c r="F21303" s="2"/>
      <c r="G21303" s="2"/>
      <c r="H21303" s="2"/>
    </row>
    <row r="21304" spans="1:8" x14ac:dyDescent="0.25">
      <c r="A21304" s="1"/>
      <c r="B21304" s="1" t="s">
        <v>7328</v>
      </c>
      <c r="C21304" s="1" t="s">
        <v>7329</v>
      </c>
      <c r="D21304" s="22" t="str">
        <f>HYPERLINK("https://rhld.insurance.arkansas.gov/NPILookup?Npi=1063296333","1063296333")</f>
        <v>1063296333</v>
      </c>
      <c r="E21304" s="1" t="s">
        <v>25388</v>
      </c>
      <c r="F21304" s="2"/>
      <c r="G21304" s="2"/>
      <c r="H21304" s="2"/>
    </row>
    <row r="21305" spans="1:8" x14ac:dyDescent="0.25">
      <c r="A21305" s="1"/>
      <c r="B21305" s="1" t="s">
        <v>7328</v>
      </c>
      <c r="C21305" s="1" t="s">
        <v>7329</v>
      </c>
      <c r="D21305" s="22" t="str">
        <f>HYPERLINK("https://rhld.insurance.arkansas.gov/NPILookup?Npi=1063402485","1063402485")</f>
        <v>1063402485</v>
      </c>
      <c r="E21305" s="1" t="s">
        <v>25389</v>
      </c>
      <c r="F21305" s="2"/>
      <c r="G21305" s="2"/>
      <c r="H21305" s="2"/>
    </row>
    <row r="21306" spans="1:8" x14ac:dyDescent="0.25">
      <c r="A21306" s="1"/>
      <c r="B21306" s="1" t="s">
        <v>7328</v>
      </c>
      <c r="C21306" s="1" t="s">
        <v>7329</v>
      </c>
      <c r="D21306" s="22" t="str">
        <f>HYPERLINK("https://rhld.insurance.arkansas.gov/NPILookup?Npi=1063404952","1063404952")</f>
        <v>1063404952</v>
      </c>
      <c r="E21306" s="1" t="s">
        <v>25390</v>
      </c>
      <c r="F21306" s="2"/>
      <c r="G21306" s="2"/>
      <c r="H21306" s="2"/>
    </row>
    <row r="21307" spans="1:8" x14ac:dyDescent="0.25">
      <c r="A21307" s="1"/>
      <c r="B21307" s="1" t="s">
        <v>7328</v>
      </c>
      <c r="C21307" s="1" t="s">
        <v>7329</v>
      </c>
      <c r="D21307" s="22" t="str">
        <f>HYPERLINK("https://rhld.insurance.arkansas.gov/NPILookup?Npi=1063406056","1063406056")</f>
        <v>1063406056</v>
      </c>
      <c r="E21307" s="1" t="s">
        <v>25391</v>
      </c>
      <c r="F21307" s="2"/>
      <c r="G21307" s="2"/>
      <c r="H21307" s="2"/>
    </row>
    <row r="21308" spans="1:8" x14ac:dyDescent="0.25">
      <c r="A21308" s="1"/>
      <c r="B21308" s="1" t="s">
        <v>7328</v>
      </c>
      <c r="C21308" s="1" t="s">
        <v>7329</v>
      </c>
      <c r="D21308" s="22" t="str">
        <f>HYPERLINK("https://rhld.insurance.arkansas.gov/NPILookup?Npi=1063406114","1063406114")</f>
        <v>1063406114</v>
      </c>
      <c r="E21308" s="1" t="s">
        <v>25392</v>
      </c>
      <c r="F21308" s="2"/>
      <c r="G21308" s="2"/>
      <c r="H21308" s="2"/>
    </row>
    <row r="21309" spans="1:8" x14ac:dyDescent="0.25">
      <c r="A21309" s="1"/>
      <c r="B21309" s="1" t="s">
        <v>7328</v>
      </c>
      <c r="C21309" s="1" t="s">
        <v>7329</v>
      </c>
      <c r="D21309" s="22" t="str">
        <f>HYPERLINK("https://rhld.insurance.arkansas.gov/NPILookup?Npi=1063409878","1063409878")</f>
        <v>1063409878</v>
      </c>
      <c r="E21309" s="1" t="s">
        <v>25393</v>
      </c>
      <c r="F21309" s="2"/>
      <c r="G21309" s="2"/>
      <c r="H21309" s="2"/>
    </row>
    <row r="21310" spans="1:8" x14ac:dyDescent="0.25">
      <c r="A21310" s="1"/>
      <c r="B21310" s="1" t="s">
        <v>7328</v>
      </c>
      <c r="C21310" s="1" t="s">
        <v>7329</v>
      </c>
      <c r="D21310" s="22" t="str">
        <f>HYPERLINK("https://rhld.insurance.arkansas.gov/NPILookup?Npi=1063413656","1063413656")</f>
        <v>1063413656</v>
      </c>
      <c r="E21310" s="1" t="s">
        <v>17173</v>
      </c>
      <c r="F21310" s="2"/>
      <c r="G21310" s="2"/>
      <c r="H21310" s="2"/>
    </row>
    <row r="21311" spans="1:8" x14ac:dyDescent="0.25">
      <c r="A21311" s="1"/>
      <c r="B21311" s="1" t="s">
        <v>7328</v>
      </c>
      <c r="C21311" s="1" t="s">
        <v>7329</v>
      </c>
      <c r="D21311" s="22" t="str">
        <f>HYPERLINK("https://rhld.insurance.arkansas.gov/NPILookup?Npi=1063425791","1063425791")</f>
        <v>1063425791</v>
      </c>
      <c r="E21311" s="1" t="s">
        <v>7389</v>
      </c>
      <c r="F21311" s="2"/>
      <c r="G21311" s="2"/>
      <c r="H21311" s="2"/>
    </row>
    <row r="21312" spans="1:8" x14ac:dyDescent="0.25">
      <c r="A21312" s="1"/>
      <c r="B21312" s="1" t="s">
        <v>7328</v>
      </c>
      <c r="C21312" s="1" t="s">
        <v>7329</v>
      </c>
      <c r="D21312" s="22" t="str">
        <f>HYPERLINK("https://rhld.insurance.arkansas.gov/NPILookup?Npi=1063440899","1063440899")</f>
        <v>1063440899</v>
      </c>
      <c r="E21312" s="1" t="s">
        <v>25394</v>
      </c>
      <c r="F21312" s="2"/>
      <c r="G21312" s="2"/>
      <c r="H21312" s="2"/>
    </row>
    <row r="21313" spans="1:8" x14ac:dyDescent="0.25">
      <c r="A21313" s="1"/>
      <c r="B21313" s="1" t="s">
        <v>7328</v>
      </c>
      <c r="C21313" s="1" t="s">
        <v>7329</v>
      </c>
      <c r="D21313" s="22" t="str">
        <f>HYPERLINK("https://rhld.insurance.arkansas.gov/NPILookup?Npi=1063443711","1063443711")</f>
        <v>1063443711</v>
      </c>
      <c r="E21313" s="1" t="s">
        <v>12643</v>
      </c>
      <c r="F21313" s="2"/>
      <c r="G21313" s="2"/>
      <c r="H21313" s="2"/>
    </row>
    <row r="21314" spans="1:8" x14ac:dyDescent="0.25">
      <c r="A21314" s="1"/>
      <c r="B21314" s="1" t="s">
        <v>7328</v>
      </c>
      <c r="C21314" s="1" t="s">
        <v>7329</v>
      </c>
      <c r="D21314" s="22" t="str">
        <f>HYPERLINK("https://rhld.insurance.arkansas.gov/NPILookup?Npi=1063446425","1063446425")</f>
        <v>1063446425</v>
      </c>
      <c r="E21314" s="1" t="s">
        <v>12644</v>
      </c>
      <c r="F21314" s="2"/>
      <c r="G21314" s="2"/>
      <c r="H21314" s="2"/>
    </row>
    <row r="21315" spans="1:8" x14ac:dyDescent="0.25">
      <c r="A21315" s="1"/>
      <c r="B21315" s="1" t="s">
        <v>7328</v>
      </c>
      <c r="C21315" s="1" t="s">
        <v>7329</v>
      </c>
      <c r="D21315" s="22" t="str">
        <f>HYPERLINK("https://rhld.insurance.arkansas.gov/NPILookup?Npi=1063446516","1063446516")</f>
        <v>1063446516</v>
      </c>
      <c r="E21315" s="1" t="s">
        <v>12645</v>
      </c>
      <c r="F21315" s="2"/>
      <c r="G21315" s="2"/>
      <c r="H21315" s="2"/>
    </row>
    <row r="21316" spans="1:8" x14ac:dyDescent="0.25">
      <c r="A21316" s="1"/>
      <c r="B21316" s="1" t="s">
        <v>7328</v>
      </c>
      <c r="C21316" s="1" t="s">
        <v>7329</v>
      </c>
      <c r="D21316" s="22" t="str">
        <f>HYPERLINK("https://rhld.insurance.arkansas.gov/NPILookup?Npi=1063453728","1063453728")</f>
        <v>1063453728</v>
      </c>
      <c r="E21316" s="1" t="s">
        <v>25395</v>
      </c>
      <c r="F21316" s="2"/>
      <c r="G21316" s="2"/>
      <c r="H21316" s="2"/>
    </row>
    <row r="21317" spans="1:8" x14ac:dyDescent="0.25">
      <c r="A21317" s="1"/>
      <c r="B21317" s="1" t="s">
        <v>7328</v>
      </c>
      <c r="C21317" s="1" t="s">
        <v>7329</v>
      </c>
      <c r="D21317" s="22" t="str">
        <f>HYPERLINK("https://rhld.insurance.arkansas.gov/NPILookup?Npi=1063460335","1063460335")</f>
        <v>1063460335</v>
      </c>
      <c r="E21317" s="1" t="s">
        <v>12646</v>
      </c>
      <c r="F21317" s="2"/>
      <c r="G21317" s="2"/>
      <c r="H21317" s="2"/>
    </row>
    <row r="21318" spans="1:8" x14ac:dyDescent="0.25">
      <c r="A21318" s="1"/>
      <c r="B21318" s="1" t="s">
        <v>7328</v>
      </c>
      <c r="C21318" s="1" t="s">
        <v>7329</v>
      </c>
      <c r="D21318" s="22" t="str">
        <f>HYPERLINK("https://rhld.insurance.arkansas.gov/NPILookup?Npi=1063478493","1063478493")</f>
        <v>1063478493</v>
      </c>
      <c r="E21318" s="1" t="s">
        <v>25396</v>
      </c>
      <c r="F21318" s="2"/>
      <c r="G21318" s="2"/>
      <c r="H21318" s="2"/>
    </row>
    <row r="21319" spans="1:8" x14ac:dyDescent="0.25">
      <c r="A21319" s="1"/>
      <c r="B21319" s="1" t="s">
        <v>7328</v>
      </c>
      <c r="C21319" s="1" t="s">
        <v>7329</v>
      </c>
      <c r="D21319" s="22" t="str">
        <f>HYPERLINK("https://rhld.insurance.arkansas.gov/NPILookup?Npi=1063479814","1063479814")</f>
        <v>1063479814</v>
      </c>
      <c r="E21319" s="1" t="s">
        <v>12647</v>
      </c>
      <c r="F21319" s="2"/>
      <c r="G21319" s="2"/>
      <c r="H21319" s="2"/>
    </row>
    <row r="21320" spans="1:8" x14ac:dyDescent="0.25">
      <c r="A21320" s="1"/>
      <c r="B21320" s="1" t="s">
        <v>7328</v>
      </c>
      <c r="C21320" s="1" t="s">
        <v>7329</v>
      </c>
      <c r="D21320" s="22" t="str">
        <f>HYPERLINK("https://rhld.insurance.arkansas.gov/NPILookup?Npi=1063485811","1063485811")</f>
        <v>1063485811</v>
      </c>
      <c r="E21320" s="1" t="s">
        <v>25397</v>
      </c>
      <c r="F21320" s="2"/>
      <c r="G21320" s="2"/>
      <c r="H21320" s="2"/>
    </row>
    <row r="21321" spans="1:8" x14ac:dyDescent="0.25">
      <c r="A21321" s="1"/>
      <c r="B21321" s="1" t="s">
        <v>7328</v>
      </c>
      <c r="C21321" s="1" t="s">
        <v>7329</v>
      </c>
      <c r="D21321" s="22" t="str">
        <f>HYPERLINK("https://rhld.insurance.arkansas.gov/NPILookup?Npi=1063491355","1063491355")</f>
        <v>1063491355</v>
      </c>
      <c r="E21321" s="1" t="s">
        <v>25398</v>
      </c>
      <c r="F21321" s="2"/>
      <c r="G21321" s="2"/>
      <c r="H21321" s="2"/>
    </row>
    <row r="21322" spans="1:8" x14ac:dyDescent="0.25">
      <c r="A21322" s="1"/>
      <c r="B21322" s="1" t="s">
        <v>7328</v>
      </c>
      <c r="C21322" s="1" t="s">
        <v>7329</v>
      </c>
      <c r="D21322" s="22" t="str">
        <f>HYPERLINK("https://rhld.insurance.arkansas.gov/NPILookup?Npi=1063497931","1063497931")</f>
        <v>1063497931</v>
      </c>
      <c r="E21322" s="1" t="s">
        <v>25399</v>
      </c>
      <c r="F21322" s="2"/>
      <c r="G21322" s="2"/>
      <c r="H21322" s="2"/>
    </row>
    <row r="21323" spans="1:8" x14ac:dyDescent="0.25">
      <c r="A21323" s="1"/>
      <c r="B21323" s="1" t="s">
        <v>7328</v>
      </c>
      <c r="C21323" s="1" t="s">
        <v>7329</v>
      </c>
      <c r="D21323" s="22" t="str">
        <f>HYPERLINK("https://rhld.insurance.arkansas.gov/NPILookup?Npi=1063498707","1063498707")</f>
        <v>1063498707</v>
      </c>
      <c r="E21323" s="1" t="s">
        <v>25400</v>
      </c>
      <c r="F21323" s="2"/>
      <c r="G21323" s="2"/>
      <c r="H21323" s="2"/>
    </row>
    <row r="21324" spans="1:8" x14ac:dyDescent="0.25">
      <c r="A21324" s="1"/>
      <c r="B21324" s="1" t="s">
        <v>7328</v>
      </c>
      <c r="C21324" s="1" t="s">
        <v>7329</v>
      </c>
      <c r="D21324" s="22" t="str">
        <f>HYPERLINK("https://rhld.insurance.arkansas.gov/NPILookup?Npi=1063499150","1063499150")</f>
        <v>1063499150</v>
      </c>
      <c r="E21324" s="1" t="s">
        <v>12648</v>
      </c>
      <c r="F21324" s="2"/>
      <c r="G21324" s="2"/>
      <c r="H21324" s="2"/>
    </row>
    <row r="21325" spans="1:8" x14ac:dyDescent="0.25">
      <c r="A21325" s="1"/>
      <c r="B21325" s="1" t="s">
        <v>7328</v>
      </c>
      <c r="C21325" s="1" t="s">
        <v>7329</v>
      </c>
      <c r="D21325" s="22" t="str">
        <f>HYPERLINK("https://rhld.insurance.arkansas.gov/NPILookup?Npi=1063505147","1063505147")</f>
        <v>1063505147</v>
      </c>
      <c r="E21325" s="1" t="s">
        <v>17396</v>
      </c>
      <c r="F21325" s="2"/>
      <c r="G21325" s="2"/>
      <c r="H21325" s="2"/>
    </row>
    <row r="21326" spans="1:8" x14ac:dyDescent="0.25">
      <c r="A21326" s="1"/>
      <c r="B21326" s="1" t="s">
        <v>7328</v>
      </c>
      <c r="C21326" s="1" t="s">
        <v>7329</v>
      </c>
      <c r="D21326" s="22" t="str">
        <f>HYPERLINK("https://rhld.insurance.arkansas.gov/NPILookup?Npi=1063505857","1063505857")</f>
        <v>1063505857</v>
      </c>
      <c r="E21326" s="1" t="s">
        <v>25401</v>
      </c>
      <c r="F21326" s="2"/>
      <c r="G21326" s="2"/>
      <c r="H21326" s="2"/>
    </row>
    <row r="21327" spans="1:8" x14ac:dyDescent="0.25">
      <c r="A21327" s="1"/>
      <c r="B21327" s="1" t="s">
        <v>7328</v>
      </c>
      <c r="C21327" s="1" t="s">
        <v>7329</v>
      </c>
      <c r="D21327" s="22" t="str">
        <f>HYPERLINK("https://rhld.insurance.arkansas.gov/NPILookup?Npi=1063530871","1063530871")</f>
        <v>1063530871</v>
      </c>
      <c r="E21327" s="1" t="s">
        <v>7390</v>
      </c>
      <c r="F21327" s="2"/>
      <c r="G21327" s="2"/>
      <c r="H21327" s="2"/>
    </row>
    <row r="21328" spans="1:8" x14ac:dyDescent="0.25">
      <c r="A21328" s="1"/>
      <c r="B21328" s="1" t="s">
        <v>7328</v>
      </c>
      <c r="C21328" s="1" t="s">
        <v>7329</v>
      </c>
      <c r="D21328" s="22" t="str">
        <f>HYPERLINK("https://rhld.insurance.arkansas.gov/NPILookup?Npi=1063540615","1063540615")</f>
        <v>1063540615</v>
      </c>
      <c r="E21328" s="1" t="s">
        <v>10211</v>
      </c>
      <c r="F21328" s="2"/>
      <c r="G21328" s="2"/>
      <c r="H21328" s="2"/>
    </row>
    <row r="21329" spans="1:8" x14ac:dyDescent="0.25">
      <c r="A21329" s="1"/>
      <c r="B21329" s="1" t="s">
        <v>7328</v>
      </c>
      <c r="C21329" s="1" t="s">
        <v>7329</v>
      </c>
      <c r="D21329" s="22" t="str">
        <f>HYPERLINK("https://rhld.insurance.arkansas.gov/NPILookup?Npi=1063547834","1063547834")</f>
        <v>1063547834</v>
      </c>
      <c r="E21329" s="1" t="s">
        <v>25402</v>
      </c>
      <c r="F21329" s="2"/>
      <c r="G21329" s="2"/>
      <c r="H21329" s="2"/>
    </row>
    <row r="21330" spans="1:8" x14ac:dyDescent="0.25">
      <c r="A21330" s="1"/>
      <c r="B21330" s="1" t="s">
        <v>7328</v>
      </c>
      <c r="C21330" s="1" t="s">
        <v>7329</v>
      </c>
      <c r="D21330" s="22" t="str">
        <f>HYPERLINK("https://rhld.insurance.arkansas.gov/NPILookup?Npi=1063585164","1063585164")</f>
        <v>1063585164</v>
      </c>
      <c r="E21330" s="1" t="s">
        <v>1204</v>
      </c>
      <c r="F21330" s="2"/>
      <c r="G21330" s="2"/>
      <c r="H21330" s="2"/>
    </row>
    <row r="21331" spans="1:8" x14ac:dyDescent="0.25">
      <c r="A21331" s="1"/>
      <c r="B21331" s="1" t="s">
        <v>7328</v>
      </c>
      <c r="C21331" s="1" t="s">
        <v>7329</v>
      </c>
      <c r="D21331" s="22" t="str">
        <f>HYPERLINK("https://rhld.insurance.arkansas.gov/NPILookup?Npi=1063585966","1063585966")</f>
        <v>1063585966</v>
      </c>
      <c r="E21331" s="1" t="s">
        <v>2615</v>
      </c>
      <c r="F21331" s="2"/>
      <c r="G21331" s="2"/>
      <c r="H21331" s="2"/>
    </row>
    <row r="21332" spans="1:8" x14ac:dyDescent="0.25">
      <c r="A21332" s="1"/>
      <c r="B21332" s="1" t="s">
        <v>7328</v>
      </c>
      <c r="C21332" s="1" t="s">
        <v>7329</v>
      </c>
      <c r="D21332" s="22" t="str">
        <f>HYPERLINK("https://rhld.insurance.arkansas.gov/NPILookup?Npi=1063622652","1063622652")</f>
        <v>1063622652</v>
      </c>
      <c r="E21332" s="1" t="s">
        <v>25403</v>
      </c>
      <c r="F21332" s="2"/>
      <c r="G21332" s="2"/>
      <c r="H21332" s="2"/>
    </row>
    <row r="21333" spans="1:8" x14ac:dyDescent="0.25">
      <c r="A21333" s="1"/>
      <c r="B21333" s="1" t="s">
        <v>7328</v>
      </c>
      <c r="C21333" s="1" t="s">
        <v>7329</v>
      </c>
      <c r="D21333" s="22" t="str">
        <f>HYPERLINK("https://rhld.insurance.arkansas.gov/NPILookup?Npi=1063628642","1063628642")</f>
        <v>1063628642</v>
      </c>
      <c r="E21333" s="1" t="s">
        <v>7391</v>
      </c>
      <c r="F21333" s="2"/>
      <c r="G21333" s="2"/>
      <c r="H21333" s="2"/>
    </row>
    <row r="21334" spans="1:8" x14ac:dyDescent="0.25">
      <c r="A21334" s="1"/>
      <c r="B21334" s="1" t="s">
        <v>7328</v>
      </c>
      <c r="C21334" s="1" t="s">
        <v>7329</v>
      </c>
      <c r="D21334" s="22" t="str">
        <f>HYPERLINK("https://rhld.insurance.arkansas.gov/NPILookup?Npi=1063648897","1063648897")</f>
        <v>1063648897</v>
      </c>
      <c r="E21334" s="1" t="s">
        <v>7392</v>
      </c>
      <c r="F21334" s="2"/>
      <c r="G21334" s="2"/>
      <c r="H21334" s="2"/>
    </row>
    <row r="21335" spans="1:8" x14ac:dyDescent="0.25">
      <c r="A21335" s="1"/>
      <c r="B21335" s="1" t="s">
        <v>7328</v>
      </c>
      <c r="C21335" s="1" t="s">
        <v>7329</v>
      </c>
      <c r="D21335" s="22" t="str">
        <f>HYPERLINK("https://rhld.insurance.arkansas.gov/NPILookup?Npi=1063675650","1063675650")</f>
        <v>1063675650</v>
      </c>
      <c r="E21335" s="1" t="s">
        <v>189</v>
      </c>
      <c r="F21335" s="2"/>
      <c r="G21335" s="2"/>
      <c r="H21335" s="2"/>
    </row>
    <row r="21336" spans="1:8" x14ac:dyDescent="0.25">
      <c r="A21336" s="1"/>
      <c r="B21336" s="1" t="s">
        <v>7328</v>
      </c>
      <c r="C21336" s="1" t="s">
        <v>7329</v>
      </c>
      <c r="D21336" s="22" t="str">
        <f>HYPERLINK("https://rhld.insurance.arkansas.gov/NPILookup?Npi=1063679827","1063679827")</f>
        <v>1063679827</v>
      </c>
      <c r="E21336" s="1" t="s">
        <v>25405</v>
      </c>
      <c r="F21336" s="2"/>
      <c r="G21336" s="2"/>
      <c r="H21336" s="2"/>
    </row>
    <row r="21337" spans="1:8" x14ac:dyDescent="0.25">
      <c r="A21337" s="1"/>
      <c r="B21337" s="1" t="s">
        <v>7328</v>
      </c>
      <c r="C21337" s="1" t="s">
        <v>7329</v>
      </c>
      <c r="D21337" s="22" t="str">
        <f>HYPERLINK("https://rhld.insurance.arkansas.gov/NPILookup?Npi=1063710564","1063710564")</f>
        <v>1063710564</v>
      </c>
      <c r="E21337" s="1" t="s">
        <v>25406</v>
      </c>
      <c r="F21337" s="2"/>
      <c r="G21337" s="2"/>
      <c r="H21337" s="2"/>
    </row>
    <row r="21338" spans="1:8" x14ac:dyDescent="0.25">
      <c r="A21338" s="1"/>
      <c r="B21338" s="1" t="s">
        <v>7328</v>
      </c>
      <c r="C21338" s="1" t="s">
        <v>7329</v>
      </c>
      <c r="D21338" s="22" t="str">
        <f>HYPERLINK("https://rhld.insurance.arkansas.gov/NPILookup?Npi=1063718237","1063718237")</f>
        <v>1063718237</v>
      </c>
      <c r="E21338" s="1" t="s">
        <v>25407</v>
      </c>
      <c r="F21338" s="2"/>
      <c r="G21338" s="2"/>
      <c r="H21338" s="2"/>
    </row>
    <row r="21339" spans="1:8" x14ac:dyDescent="0.25">
      <c r="A21339" s="1"/>
      <c r="B21339" s="1" t="s">
        <v>7328</v>
      </c>
      <c r="C21339" s="1" t="s">
        <v>7329</v>
      </c>
      <c r="D21339" s="22" t="str">
        <f>HYPERLINK("https://rhld.insurance.arkansas.gov/NPILookup?Npi=1063718633","1063718633")</f>
        <v>1063718633</v>
      </c>
      <c r="E21339" s="1" t="s">
        <v>25408</v>
      </c>
      <c r="F21339" s="2"/>
      <c r="G21339" s="2"/>
      <c r="H21339" s="2"/>
    </row>
    <row r="21340" spans="1:8" x14ac:dyDescent="0.25">
      <c r="A21340" s="1"/>
      <c r="B21340" s="1" t="s">
        <v>7328</v>
      </c>
      <c r="C21340" s="1" t="s">
        <v>7329</v>
      </c>
      <c r="D21340" s="22" t="str">
        <f>HYPERLINK("https://rhld.insurance.arkansas.gov/NPILookup?Npi=1063725711","1063725711")</f>
        <v>1063725711</v>
      </c>
      <c r="E21340" s="1" t="s">
        <v>10779</v>
      </c>
      <c r="F21340" s="2"/>
      <c r="G21340" s="2"/>
      <c r="H21340" s="2"/>
    </row>
    <row r="21341" spans="1:8" x14ac:dyDescent="0.25">
      <c r="A21341" s="1"/>
      <c r="B21341" s="1" t="s">
        <v>7328</v>
      </c>
      <c r="C21341" s="1" t="s">
        <v>7329</v>
      </c>
      <c r="D21341" s="22" t="str">
        <f>HYPERLINK("https://rhld.insurance.arkansas.gov/NPILookup?Npi=1063748101","1063748101")</f>
        <v>1063748101</v>
      </c>
      <c r="E21341" s="1" t="s">
        <v>2616</v>
      </c>
      <c r="F21341" s="2"/>
      <c r="G21341" s="2"/>
      <c r="H21341" s="2"/>
    </row>
    <row r="21342" spans="1:8" x14ac:dyDescent="0.25">
      <c r="A21342" s="1"/>
      <c r="B21342" s="1" t="s">
        <v>7328</v>
      </c>
      <c r="C21342" s="1" t="s">
        <v>7329</v>
      </c>
      <c r="D21342" s="22" t="str">
        <f>HYPERLINK("https://rhld.insurance.arkansas.gov/NPILookup?Npi=1063753465","1063753465")</f>
        <v>1063753465</v>
      </c>
      <c r="E21342" s="1" t="s">
        <v>12649</v>
      </c>
      <c r="F21342" s="2"/>
      <c r="G21342" s="2"/>
      <c r="H21342" s="2"/>
    </row>
    <row r="21343" spans="1:8" x14ac:dyDescent="0.25">
      <c r="A21343" s="1"/>
      <c r="B21343" s="1" t="s">
        <v>7328</v>
      </c>
      <c r="C21343" s="1" t="s">
        <v>7329</v>
      </c>
      <c r="D21343" s="22" t="str">
        <f>HYPERLINK("https://rhld.insurance.arkansas.gov/NPILookup?Npi=1063760056","1063760056")</f>
        <v>1063760056</v>
      </c>
      <c r="E21343" s="1" t="s">
        <v>1472</v>
      </c>
      <c r="F21343" s="2"/>
      <c r="G21343" s="2"/>
      <c r="H21343" s="2"/>
    </row>
    <row r="21344" spans="1:8" x14ac:dyDescent="0.25">
      <c r="A21344" s="1"/>
      <c r="B21344" s="1" t="s">
        <v>7328</v>
      </c>
      <c r="C21344" s="1" t="s">
        <v>7329</v>
      </c>
      <c r="D21344" s="22" t="str">
        <f>HYPERLINK("https://rhld.insurance.arkansas.gov/NPILookup?Npi=1063772515","1063772515")</f>
        <v>1063772515</v>
      </c>
      <c r="E21344" s="1" t="s">
        <v>21078</v>
      </c>
      <c r="F21344" s="2"/>
      <c r="G21344" s="2"/>
      <c r="H21344" s="2"/>
    </row>
    <row r="21345" spans="1:8" x14ac:dyDescent="0.25">
      <c r="A21345" s="1"/>
      <c r="B21345" s="1" t="s">
        <v>7328</v>
      </c>
      <c r="C21345" s="1" t="s">
        <v>7329</v>
      </c>
      <c r="D21345" s="22" t="str">
        <f>HYPERLINK("https://rhld.insurance.arkansas.gov/NPILookup?Npi=1063826840","1063826840")</f>
        <v>1063826840</v>
      </c>
      <c r="E21345" s="1" t="s">
        <v>25409</v>
      </c>
      <c r="F21345" s="2"/>
      <c r="G21345" s="2"/>
      <c r="H21345" s="2"/>
    </row>
    <row r="21346" spans="1:8" x14ac:dyDescent="0.25">
      <c r="A21346" s="1"/>
      <c r="B21346" s="1" t="s">
        <v>7328</v>
      </c>
      <c r="C21346" s="1" t="s">
        <v>7329</v>
      </c>
      <c r="D21346" s="22" t="str">
        <f>HYPERLINK("https://rhld.insurance.arkansas.gov/NPILookup?Npi=1063831774","1063831774")</f>
        <v>1063831774</v>
      </c>
      <c r="E21346" s="1" t="s">
        <v>25410</v>
      </c>
      <c r="F21346" s="2"/>
      <c r="G21346" s="2"/>
      <c r="H21346" s="2"/>
    </row>
    <row r="21347" spans="1:8" x14ac:dyDescent="0.25">
      <c r="A21347" s="1"/>
      <c r="B21347" s="1" t="s">
        <v>7328</v>
      </c>
      <c r="C21347" s="1" t="s">
        <v>7329</v>
      </c>
      <c r="D21347" s="22" t="str">
        <f>HYPERLINK("https://rhld.insurance.arkansas.gov/NPILookup?Npi=1063835064","1063835064")</f>
        <v>1063835064</v>
      </c>
      <c r="E21347" s="1" t="s">
        <v>2617</v>
      </c>
      <c r="F21347" s="2"/>
      <c r="G21347" s="2"/>
      <c r="H21347" s="2"/>
    </row>
    <row r="21348" spans="1:8" x14ac:dyDescent="0.25">
      <c r="A21348" s="1"/>
      <c r="B21348" s="1" t="s">
        <v>7328</v>
      </c>
      <c r="C21348" s="1" t="s">
        <v>7329</v>
      </c>
      <c r="D21348" s="22" t="str">
        <f>HYPERLINK("https://rhld.insurance.arkansas.gov/NPILookup?Npi=1063836542","1063836542")</f>
        <v>1063836542</v>
      </c>
      <c r="E21348" s="1" t="s">
        <v>25411</v>
      </c>
      <c r="F21348" s="2"/>
      <c r="G21348" s="2"/>
      <c r="H21348" s="2"/>
    </row>
    <row r="21349" spans="1:8" x14ac:dyDescent="0.25">
      <c r="A21349" s="1"/>
      <c r="B21349" s="1" t="s">
        <v>7328</v>
      </c>
      <c r="C21349" s="1" t="s">
        <v>7329</v>
      </c>
      <c r="D21349" s="22" t="str">
        <f>HYPERLINK("https://rhld.insurance.arkansas.gov/NPILookup?Npi=1063855302","1063855302")</f>
        <v>1063855302</v>
      </c>
      <c r="E21349" s="1" t="s">
        <v>17176</v>
      </c>
      <c r="F21349" s="2"/>
      <c r="G21349" s="2"/>
      <c r="H21349" s="2"/>
    </row>
    <row r="21350" spans="1:8" x14ac:dyDescent="0.25">
      <c r="A21350" s="1"/>
      <c r="B21350" s="1" t="s">
        <v>7328</v>
      </c>
      <c r="C21350" s="1" t="s">
        <v>7329</v>
      </c>
      <c r="D21350" s="22" t="str">
        <f>HYPERLINK("https://rhld.insurance.arkansas.gov/NPILookup?Npi=1063864627","1063864627")</f>
        <v>1063864627</v>
      </c>
      <c r="E21350" s="1" t="s">
        <v>25412</v>
      </c>
      <c r="F21350" s="2"/>
      <c r="G21350" s="2"/>
      <c r="H21350" s="2"/>
    </row>
    <row r="21351" spans="1:8" x14ac:dyDescent="0.25">
      <c r="A21351" s="1"/>
      <c r="B21351" s="1" t="s">
        <v>7328</v>
      </c>
      <c r="C21351" s="1" t="s">
        <v>7329</v>
      </c>
      <c r="D21351" s="22" t="str">
        <f>HYPERLINK("https://rhld.insurance.arkansas.gov/NPILookup?Npi=1063866135","1063866135")</f>
        <v>1063866135</v>
      </c>
      <c r="E21351" s="1" t="s">
        <v>11921</v>
      </c>
      <c r="F21351" s="2"/>
      <c r="G21351" s="2"/>
      <c r="H21351" s="2"/>
    </row>
    <row r="21352" spans="1:8" x14ac:dyDescent="0.25">
      <c r="A21352" s="1"/>
      <c r="B21352" s="1" t="s">
        <v>7328</v>
      </c>
      <c r="C21352" s="1" t="s">
        <v>7329</v>
      </c>
      <c r="D21352" s="22" t="str">
        <f>HYPERLINK("https://rhld.insurance.arkansas.gov/NPILookup?Npi=1063866341","1063866341")</f>
        <v>1063866341</v>
      </c>
      <c r="E21352" s="1" t="s">
        <v>12650</v>
      </c>
      <c r="F21352" s="2"/>
      <c r="G21352" s="2"/>
      <c r="H21352" s="2"/>
    </row>
    <row r="21353" spans="1:8" x14ac:dyDescent="0.25">
      <c r="A21353" s="1"/>
      <c r="B21353" s="1" t="s">
        <v>7328</v>
      </c>
      <c r="C21353" s="1" t="s">
        <v>7329</v>
      </c>
      <c r="D21353" s="22" t="str">
        <f>HYPERLINK("https://rhld.insurance.arkansas.gov/NPILookup?Npi=1063870467","1063870467")</f>
        <v>1063870467</v>
      </c>
      <c r="E21353" s="1" t="s">
        <v>25413</v>
      </c>
      <c r="F21353" s="2"/>
      <c r="G21353" s="2"/>
      <c r="H21353" s="2"/>
    </row>
    <row r="21354" spans="1:8" x14ac:dyDescent="0.25">
      <c r="A21354" s="1"/>
      <c r="B21354" s="1" t="s">
        <v>7328</v>
      </c>
      <c r="C21354" s="1" t="s">
        <v>7329</v>
      </c>
      <c r="D21354" s="22" t="str">
        <f>HYPERLINK("https://rhld.insurance.arkansas.gov/NPILookup?Npi=1063871135","1063871135")</f>
        <v>1063871135</v>
      </c>
      <c r="E21354" s="1" t="s">
        <v>2618</v>
      </c>
      <c r="F21354" s="2"/>
      <c r="G21354" s="2"/>
      <c r="H21354" s="2"/>
    </row>
    <row r="21355" spans="1:8" x14ac:dyDescent="0.25">
      <c r="A21355" s="1"/>
      <c r="B21355" s="1" t="s">
        <v>7328</v>
      </c>
      <c r="C21355" s="1" t="s">
        <v>7329</v>
      </c>
      <c r="D21355" s="22" t="str">
        <f>HYPERLINK("https://rhld.insurance.arkansas.gov/NPILookup?Npi=1063878387","1063878387")</f>
        <v>1063878387</v>
      </c>
      <c r="E21355" s="1" t="s">
        <v>25414</v>
      </c>
      <c r="F21355" s="2"/>
      <c r="G21355" s="2"/>
      <c r="H21355" s="2"/>
    </row>
    <row r="21356" spans="1:8" x14ac:dyDescent="0.25">
      <c r="A21356" s="1"/>
      <c r="B21356" s="1" t="s">
        <v>7328</v>
      </c>
      <c r="C21356" s="1" t="s">
        <v>7329</v>
      </c>
      <c r="D21356" s="22" t="str">
        <f>HYPERLINK("https://rhld.insurance.arkansas.gov/NPILookup?Npi=1063887958","1063887958")</f>
        <v>1063887958</v>
      </c>
      <c r="E21356" s="1" t="s">
        <v>12651</v>
      </c>
      <c r="F21356" s="2"/>
      <c r="G21356" s="2"/>
      <c r="H21356" s="2"/>
    </row>
    <row r="21357" spans="1:8" x14ac:dyDescent="0.25">
      <c r="A21357" s="1"/>
      <c r="B21357" s="1" t="s">
        <v>7328</v>
      </c>
      <c r="C21357" s="1" t="s">
        <v>7329</v>
      </c>
      <c r="D21357" s="22" t="str">
        <f>HYPERLINK("https://rhld.insurance.arkansas.gov/NPILookup?Npi=1063891570","1063891570")</f>
        <v>1063891570</v>
      </c>
      <c r="E21357" s="1" t="s">
        <v>12652</v>
      </c>
      <c r="F21357" s="2"/>
      <c r="G21357" s="2"/>
      <c r="H21357" s="2"/>
    </row>
    <row r="21358" spans="1:8" x14ac:dyDescent="0.25">
      <c r="A21358" s="1"/>
      <c r="B21358" s="1" t="s">
        <v>7328</v>
      </c>
      <c r="C21358" s="1" t="s">
        <v>7329</v>
      </c>
      <c r="D21358" s="22" t="str">
        <f>HYPERLINK("https://rhld.insurance.arkansas.gov/NPILookup?Npi=1063892529","1063892529")</f>
        <v>1063892529</v>
      </c>
      <c r="E21358" s="1" t="s">
        <v>17177</v>
      </c>
      <c r="F21358" s="2"/>
      <c r="G21358" s="2"/>
      <c r="H21358" s="2"/>
    </row>
    <row r="21359" spans="1:8" x14ac:dyDescent="0.25">
      <c r="A21359" s="1"/>
      <c r="B21359" s="1" t="s">
        <v>7328</v>
      </c>
      <c r="C21359" s="1" t="s">
        <v>7329</v>
      </c>
      <c r="D21359" s="22" t="str">
        <f>HYPERLINK("https://rhld.insurance.arkansas.gov/NPILookup?Npi=1063894194","1063894194")</f>
        <v>1063894194</v>
      </c>
      <c r="E21359" s="1" t="s">
        <v>2619</v>
      </c>
      <c r="F21359" s="2"/>
      <c r="G21359" s="2"/>
      <c r="H21359" s="2"/>
    </row>
    <row r="21360" spans="1:8" x14ac:dyDescent="0.25">
      <c r="A21360" s="1"/>
      <c r="B21360" s="1" t="s">
        <v>7328</v>
      </c>
      <c r="C21360" s="1" t="s">
        <v>7329</v>
      </c>
      <c r="D21360" s="22" t="str">
        <f>HYPERLINK("https://rhld.insurance.arkansas.gov/NPILookup?Npi=1063904779","1063904779")</f>
        <v>1063904779</v>
      </c>
      <c r="E21360" s="1" t="s">
        <v>12653</v>
      </c>
      <c r="F21360" s="2"/>
      <c r="G21360" s="2"/>
      <c r="H21360" s="2"/>
    </row>
    <row r="21361" spans="1:8" x14ac:dyDescent="0.25">
      <c r="A21361" s="1"/>
      <c r="B21361" s="1" t="s">
        <v>7328</v>
      </c>
      <c r="C21361" s="1" t="s">
        <v>7329</v>
      </c>
      <c r="D21361" s="22" t="str">
        <f>HYPERLINK("https://rhld.insurance.arkansas.gov/NPILookup?Npi=1063908457","1063908457")</f>
        <v>1063908457</v>
      </c>
      <c r="E21361" s="1" t="s">
        <v>25415</v>
      </c>
      <c r="F21361" s="2"/>
      <c r="G21361" s="2"/>
      <c r="H21361" s="2"/>
    </row>
    <row r="21362" spans="1:8" x14ac:dyDescent="0.25">
      <c r="A21362" s="1"/>
      <c r="B21362" s="1" t="s">
        <v>7328</v>
      </c>
      <c r="C21362" s="1" t="s">
        <v>7329</v>
      </c>
      <c r="D21362" s="22" t="str">
        <f>HYPERLINK("https://rhld.insurance.arkansas.gov/NPILookup?Npi=1063908713","1063908713")</f>
        <v>1063908713</v>
      </c>
      <c r="E21362" s="1" t="s">
        <v>12654</v>
      </c>
      <c r="F21362" s="2"/>
      <c r="G21362" s="2"/>
      <c r="H21362" s="2"/>
    </row>
    <row r="21363" spans="1:8" x14ac:dyDescent="0.25">
      <c r="A21363" s="1"/>
      <c r="B21363" s="1" t="s">
        <v>7328</v>
      </c>
      <c r="C21363" s="1" t="s">
        <v>7329</v>
      </c>
      <c r="D21363" s="22" t="str">
        <f>HYPERLINK("https://rhld.insurance.arkansas.gov/NPILookup?Npi=1063909182","1063909182")</f>
        <v>1063909182</v>
      </c>
      <c r="E21363" s="1" t="s">
        <v>25416</v>
      </c>
      <c r="F21363" s="2"/>
      <c r="G21363" s="2"/>
      <c r="H21363" s="2"/>
    </row>
    <row r="21364" spans="1:8" x14ac:dyDescent="0.25">
      <c r="A21364" s="1"/>
      <c r="B21364" s="1" t="s">
        <v>7328</v>
      </c>
      <c r="C21364" s="1" t="s">
        <v>7329</v>
      </c>
      <c r="D21364" s="22" t="str">
        <f>HYPERLINK("https://rhld.insurance.arkansas.gov/NPILookup?Npi=1063911790","1063911790")</f>
        <v>1063911790</v>
      </c>
      <c r="E21364" s="1" t="s">
        <v>25417</v>
      </c>
      <c r="F21364" s="2"/>
      <c r="G21364" s="2"/>
      <c r="H21364" s="2"/>
    </row>
    <row r="21365" spans="1:8" x14ac:dyDescent="0.25">
      <c r="A21365" s="1"/>
      <c r="B21365" s="1" t="s">
        <v>7328</v>
      </c>
      <c r="C21365" s="1" t="s">
        <v>7329</v>
      </c>
      <c r="D21365" s="22" t="str">
        <f>HYPERLINK("https://rhld.insurance.arkansas.gov/NPILookup?Npi=1063920452","1063920452")</f>
        <v>1063920452</v>
      </c>
      <c r="E21365" s="1" t="s">
        <v>25418</v>
      </c>
      <c r="F21365" s="2"/>
      <c r="G21365" s="2"/>
      <c r="H21365" s="2"/>
    </row>
    <row r="21366" spans="1:8" x14ac:dyDescent="0.25">
      <c r="A21366" s="1"/>
      <c r="B21366" s="1" t="s">
        <v>7328</v>
      </c>
      <c r="C21366" s="1" t="s">
        <v>7329</v>
      </c>
      <c r="D21366" s="22" t="str">
        <f>HYPERLINK("https://rhld.insurance.arkansas.gov/NPILookup?Npi=1063930634","1063930634")</f>
        <v>1063930634</v>
      </c>
      <c r="E21366" s="1" t="s">
        <v>12655</v>
      </c>
      <c r="F21366" s="2"/>
      <c r="G21366" s="2"/>
      <c r="H21366" s="2"/>
    </row>
    <row r="21367" spans="1:8" x14ac:dyDescent="0.25">
      <c r="A21367" s="1"/>
      <c r="B21367" s="1" t="s">
        <v>7328</v>
      </c>
      <c r="C21367" s="1" t="s">
        <v>7329</v>
      </c>
      <c r="D21367" s="22" t="str">
        <f>HYPERLINK("https://rhld.insurance.arkansas.gov/NPILookup?Npi=1063932283","1063932283")</f>
        <v>1063932283</v>
      </c>
      <c r="E21367" s="1" t="s">
        <v>25419</v>
      </c>
      <c r="F21367" s="2"/>
      <c r="G21367" s="2"/>
      <c r="H21367" s="2"/>
    </row>
    <row r="21368" spans="1:8" x14ac:dyDescent="0.25">
      <c r="A21368" s="1"/>
      <c r="B21368" s="1" t="s">
        <v>7328</v>
      </c>
      <c r="C21368" s="1" t="s">
        <v>7329</v>
      </c>
      <c r="D21368" s="22" t="str">
        <f>HYPERLINK("https://rhld.insurance.arkansas.gov/NPILookup?Npi=1063935245","1063935245")</f>
        <v>1063935245</v>
      </c>
      <c r="E21368" s="1" t="s">
        <v>25420</v>
      </c>
      <c r="F21368" s="2"/>
      <c r="G21368" s="2"/>
      <c r="H21368" s="2"/>
    </row>
    <row r="21369" spans="1:8" x14ac:dyDescent="0.25">
      <c r="A21369" s="1"/>
      <c r="B21369" s="1" t="s">
        <v>7328</v>
      </c>
      <c r="C21369" s="1" t="s">
        <v>7329</v>
      </c>
      <c r="D21369" s="22" t="str">
        <f>HYPERLINK("https://rhld.insurance.arkansas.gov/NPILookup?Npi=1063936839","1063936839")</f>
        <v>1063936839</v>
      </c>
      <c r="E21369" s="1" t="s">
        <v>25421</v>
      </c>
      <c r="F21369" s="2"/>
      <c r="G21369" s="2"/>
      <c r="H21369" s="2"/>
    </row>
    <row r="21370" spans="1:8" x14ac:dyDescent="0.25">
      <c r="A21370" s="1"/>
      <c r="B21370" s="1" t="s">
        <v>7328</v>
      </c>
      <c r="C21370" s="1" t="s">
        <v>7329</v>
      </c>
      <c r="D21370" s="22" t="str">
        <f>HYPERLINK("https://rhld.insurance.arkansas.gov/NPILookup?Npi=1063943587","1063943587")</f>
        <v>1063943587</v>
      </c>
      <c r="E21370" s="1" t="s">
        <v>25422</v>
      </c>
      <c r="F21370" s="2"/>
      <c r="G21370" s="2"/>
      <c r="H21370" s="2"/>
    </row>
    <row r="21371" spans="1:8" x14ac:dyDescent="0.25">
      <c r="A21371" s="1"/>
      <c r="B21371" s="1" t="s">
        <v>7328</v>
      </c>
      <c r="C21371" s="1" t="s">
        <v>7329</v>
      </c>
      <c r="D21371" s="22" t="str">
        <f>HYPERLINK("https://rhld.insurance.arkansas.gov/NPILookup?Npi=1063949345","1063949345")</f>
        <v>1063949345</v>
      </c>
      <c r="E21371" s="1" t="s">
        <v>25423</v>
      </c>
      <c r="F21371" s="2"/>
      <c r="G21371" s="2"/>
      <c r="H21371" s="2"/>
    </row>
    <row r="21372" spans="1:8" x14ac:dyDescent="0.25">
      <c r="A21372" s="1"/>
      <c r="B21372" s="1" t="s">
        <v>7328</v>
      </c>
      <c r="C21372" s="1" t="s">
        <v>7329</v>
      </c>
      <c r="D21372" s="22" t="str">
        <f>HYPERLINK("https://rhld.insurance.arkansas.gov/NPILookup?Npi=1063957546","1063957546")</f>
        <v>1063957546</v>
      </c>
      <c r="E21372" s="1" t="s">
        <v>25424</v>
      </c>
      <c r="F21372" s="2"/>
      <c r="G21372" s="2"/>
      <c r="H21372" s="2"/>
    </row>
    <row r="21373" spans="1:8" x14ac:dyDescent="0.25">
      <c r="A21373" s="1"/>
      <c r="B21373" s="1" t="s">
        <v>7328</v>
      </c>
      <c r="C21373" s="1" t="s">
        <v>7329</v>
      </c>
      <c r="D21373" s="22" t="str">
        <f>HYPERLINK("https://rhld.insurance.arkansas.gov/NPILookup?Npi=1063958940","1063958940")</f>
        <v>1063958940</v>
      </c>
      <c r="E21373" s="1" t="s">
        <v>1205</v>
      </c>
      <c r="F21373" s="2"/>
      <c r="G21373" s="2"/>
      <c r="H21373" s="2"/>
    </row>
    <row r="21374" spans="1:8" x14ac:dyDescent="0.25">
      <c r="A21374" s="1"/>
      <c r="B21374" s="1" t="s">
        <v>7328</v>
      </c>
      <c r="C21374" s="1" t="s">
        <v>7329</v>
      </c>
      <c r="D21374" s="22" t="str">
        <f>HYPERLINK("https://rhld.insurance.arkansas.gov/NPILookup?Npi=1063976389","1063976389")</f>
        <v>1063976389</v>
      </c>
      <c r="E21374" s="1" t="s">
        <v>22711</v>
      </c>
      <c r="F21374" s="2"/>
      <c r="G21374" s="2"/>
      <c r="H21374" s="2"/>
    </row>
    <row r="21375" spans="1:8" x14ac:dyDescent="0.25">
      <c r="A21375" s="1"/>
      <c r="B21375" s="1" t="s">
        <v>7328</v>
      </c>
      <c r="C21375" s="1" t="s">
        <v>7329</v>
      </c>
      <c r="D21375" s="22" t="str">
        <f>HYPERLINK("https://rhld.insurance.arkansas.gov/NPILookup?Npi=1063977965","1063977965")</f>
        <v>1063977965</v>
      </c>
      <c r="E21375" s="1" t="s">
        <v>2620</v>
      </c>
      <c r="F21375" s="2"/>
      <c r="G21375" s="2"/>
      <c r="H21375" s="2"/>
    </row>
    <row r="21376" spans="1:8" x14ac:dyDescent="0.25">
      <c r="A21376" s="1"/>
      <c r="B21376" s="1" t="s">
        <v>7328</v>
      </c>
      <c r="C21376" s="1" t="s">
        <v>7329</v>
      </c>
      <c r="D21376" s="22" t="str">
        <f>HYPERLINK("https://rhld.insurance.arkansas.gov/NPILookup?Npi=1063979128","1063979128")</f>
        <v>1063979128</v>
      </c>
      <c r="E21376" s="1" t="s">
        <v>32102</v>
      </c>
      <c r="F21376" s="2"/>
      <c r="G21376" s="2"/>
      <c r="H21376" s="2"/>
    </row>
    <row r="21377" spans="1:8" x14ac:dyDescent="0.25">
      <c r="A21377" s="1"/>
      <c r="B21377" s="1" t="s">
        <v>7328</v>
      </c>
      <c r="C21377" s="1" t="s">
        <v>7329</v>
      </c>
      <c r="D21377" s="22" t="str">
        <f>HYPERLINK("https://rhld.insurance.arkansas.gov/NPILookup?Npi=1063987667","1063987667")</f>
        <v>1063987667</v>
      </c>
      <c r="E21377" s="1" t="s">
        <v>25425</v>
      </c>
      <c r="F21377" s="2"/>
      <c r="G21377" s="2"/>
      <c r="H21377" s="2"/>
    </row>
    <row r="21378" spans="1:8" x14ac:dyDescent="0.25">
      <c r="A21378" s="1"/>
      <c r="B21378" s="1" t="s">
        <v>7328</v>
      </c>
      <c r="C21378" s="1" t="s">
        <v>7329</v>
      </c>
      <c r="D21378" s="22" t="str">
        <f>HYPERLINK("https://rhld.insurance.arkansas.gov/NPILookup?Npi=1063988996","1063988996")</f>
        <v>1063988996</v>
      </c>
      <c r="E21378" s="1" t="s">
        <v>25426</v>
      </c>
      <c r="F21378" s="2"/>
      <c r="G21378" s="2"/>
      <c r="H21378" s="2"/>
    </row>
    <row r="21379" spans="1:8" x14ac:dyDescent="0.25">
      <c r="A21379" s="1"/>
      <c r="B21379" s="1" t="s">
        <v>7328</v>
      </c>
      <c r="C21379" s="1" t="s">
        <v>7329</v>
      </c>
      <c r="D21379" s="22" t="str">
        <f>HYPERLINK("https://rhld.insurance.arkansas.gov/NPILookup?Npi=1063999464","1063999464")</f>
        <v>1063999464</v>
      </c>
      <c r="E21379" s="1" t="s">
        <v>7394</v>
      </c>
      <c r="F21379" s="2"/>
      <c r="G21379" s="2"/>
      <c r="H21379" s="2"/>
    </row>
    <row r="21380" spans="1:8" x14ac:dyDescent="0.25">
      <c r="A21380" s="1"/>
      <c r="B21380" s="1" t="s">
        <v>7328</v>
      </c>
      <c r="C21380" s="1" t="s">
        <v>7329</v>
      </c>
      <c r="D21380" s="22" t="str">
        <f>HYPERLINK("https://rhld.insurance.arkansas.gov/NPILookup?Npi=1073004149","1073004149")</f>
        <v>1073004149</v>
      </c>
      <c r="E21380" s="1" t="s">
        <v>12656</v>
      </c>
      <c r="F21380" s="2"/>
      <c r="G21380" s="2"/>
      <c r="H21380" s="2"/>
    </row>
    <row r="21381" spans="1:8" x14ac:dyDescent="0.25">
      <c r="A21381" s="1"/>
      <c r="B21381" s="1" t="s">
        <v>7328</v>
      </c>
      <c r="C21381" s="1" t="s">
        <v>7329</v>
      </c>
      <c r="D21381" s="22" t="str">
        <f>HYPERLINK("https://rhld.insurance.arkansas.gov/NPILookup?Npi=1073010138","1073010138")</f>
        <v>1073010138</v>
      </c>
      <c r="E21381" s="1" t="s">
        <v>1629</v>
      </c>
      <c r="F21381" s="2"/>
      <c r="G21381" s="2"/>
      <c r="H21381" s="2"/>
    </row>
    <row r="21382" spans="1:8" x14ac:dyDescent="0.25">
      <c r="A21382" s="1"/>
      <c r="B21382" s="1" t="s">
        <v>7328</v>
      </c>
      <c r="C21382" s="1" t="s">
        <v>7329</v>
      </c>
      <c r="D21382" s="22" t="str">
        <f>HYPERLINK("https://rhld.insurance.arkansas.gov/NPILookup?Npi=1073011599","1073011599")</f>
        <v>1073011599</v>
      </c>
      <c r="E21382" s="1" t="s">
        <v>25427</v>
      </c>
      <c r="F21382" s="2"/>
      <c r="G21382" s="2"/>
      <c r="H21382" s="2"/>
    </row>
    <row r="21383" spans="1:8" x14ac:dyDescent="0.25">
      <c r="A21383" s="1"/>
      <c r="B21383" s="1" t="s">
        <v>7328</v>
      </c>
      <c r="C21383" s="1" t="s">
        <v>7329</v>
      </c>
      <c r="D21383" s="22" t="str">
        <f>HYPERLINK("https://rhld.insurance.arkansas.gov/NPILookup?Npi=1073017521","1073017521")</f>
        <v>1073017521</v>
      </c>
      <c r="E21383" s="1" t="s">
        <v>25428</v>
      </c>
      <c r="F21383" s="2"/>
      <c r="G21383" s="2"/>
      <c r="H21383" s="2"/>
    </row>
    <row r="21384" spans="1:8" x14ac:dyDescent="0.25">
      <c r="A21384" s="1"/>
      <c r="B21384" s="1" t="s">
        <v>7328</v>
      </c>
      <c r="C21384" s="1" t="s">
        <v>7329</v>
      </c>
      <c r="D21384" s="22" t="str">
        <f>HYPERLINK("https://rhld.insurance.arkansas.gov/NPILookup?Npi=1073017620","1073017620")</f>
        <v>1073017620</v>
      </c>
      <c r="E21384" s="1" t="s">
        <v>1014</v>
      </c>
      <c r="F21384" s="2"/>
      <c r="G21384" s="2"/>
      <c r="H21384" s="2"/>
    </row>
    <row r="21385" spans="1:8" x14ac:dyDescent="0.25">
      <c r="A21385" s="1"/>
      <c r="B21385" s="1" t="s">
        <v>7328</v>
      </c>
      <c r="C21385" s="1" t="s">
        <v>7329</v>
      </c>
      <c r="D21385" s="22" t="str">
        <f>HYPERLINK("https://rhld.insurance.arkansas.gov/NPILookup?Npi=1073025623","1073025623")</f>
        <v>1073025623</v>
      </c>
      <c r="E21385" s="1" t="s">
        <v>2122</v>
      </c>
      <c r="F21385" s="2"/>
      <c r="G21385" s="2"/>
      <c r="H21385" s="2"/>
    </row>
    <row r="21386" spans="1:8" x14ac:dyDescent="0.25">
      <c r="A21386" s="1"/>
      <c r="B21386" s="1" t="s">
        <v>7328</v>
      </c>
      <c r="C21386" s="1" t="s">
        <v>7329</v>
      </c>
      <c r="D21386" s="22" t="str">
        <f>HYPERLINK("https://rhld.insurance.arkansas.gov/NPILookup?Npi=1073025698","1073025698")</f>
        <v>1073025698</v>
      </c>
      <c r="E21386" s="1" t="s">
        <v>25429</v>
      </c>
      <c r="F21386" s="2"/>
      <c r="G21386" s="2"/>
      <c r="H21386" s="2"/>
    </row>
    <row r="21387" spans="1:8" x14ac:dyDescent="0.25">
      <c r="A21387" s="1"/>
      <c r="B21387" s="1" t="s">
        <v>7328</v>
      </c>
      <c r="C21387" s="1" t="s">
        <v>7329</v>
      </c>
      <c r="D21387" s="22" t="str">
        <f>HYPERLINK("https://rhld.insurance.arkansas.gov/NPILookup?Npi=1073031878","1073031878")</f>
        <v>1073031878</v>
      </c>
      <c r="E21387" s="1" t="s">
        <v>1744</v>
      </c>
      <c r="F21387" s="2"/>
      <c r="G21387" s="2"/>
      <c r="H21387" s="2"/>
    </row>
    <row r="21388" spans="1:8" x14ac:dyDescent="0.25">
      <c r="A21388" s="1"/>
      <c r="B21388" s="1" t="s">
        <v>7328</v>
      </c>
      <c r="C21388" s="1" t="s">
        <v>7329</v>
      </c>
      <c r="D21388" s="22" t="str">
        <f>HYPERLINK("https://rhld.insurance.arkansas.gov/NPILookup?Npi=1073033262","1073033262")</f>
        <v>1073033262</v>
      </c>
      <c r="E21388" s="1" t="s">
        <v>7395</v>
      </c>
      <c r="F21388" s="2"/>
      <c r="G21388" s="2"/>
      <c r="H21388" s="2"/>
    </row>
    <row r="21389" spans="1:8" x14ac:dyDescent="0.25">
      <c r="A21389" s="1"/>
      <c r="B21389" s="1" t="s">
        <v>7328</v>
      </c>
      <c r="C21389" s="1" t="s">
        <v>7329</v>
      </c>
      <c r="D21389" s="22" t="str">
        <f>HYPERLINK("https://rhld.insurance.arkansas.gov/NPILookup?Npi=1073047957","1073047957")</f>
        <v>1073047957</v>
      </c>
      <c r="E21389" s="1" t="s">
        <v>7396</v>
      </c>
      <c r="F21389" s="2"/>
      <c r="G21389" s="2"/>
      <c r="H21389" s="2"/>
    </row>
    <row r="21390" spans="1:8" x14ac:dyDescent="0.25">
      <c r="A21390" s="1"/>
      <c r="B21390" s="1" t="s">
        <v>7328</v>
      </c>
      <c r="C21390" s="1" t="s">
        <v>7329</v>
      </c>
      <c r="D21390" s="22" t="str">
        <f>HYPERLINK("https://rhld.insurance.arkansas.gov/NPILookup?Npi=1073051249","1073051249")</f>
        <v>1073051249</v>
      </c>
      <c r="E21390" s="1" t="s">
        <v>831</v>
      </c>
      <c r="F21390" s="2"/>
      <c r="G21390" s="2"/>
      <c r="H21390" s="2"/>
    </row>
    <row r="21391" spans="1:8" x14ac:dyDescent="0.25">
      <c r="A21391" s="1"/>
      <c r="B21391" s="1" t="s">
        <v>7328</v>
      </c>
      <c r="C21391" s="1" t="s">
        <v>7329</v>
      </c>
      <c r="D21391" s="22" t="str">
        <f>HYPERLINK("https://rhld.insurance.arkansas.gov/NPILookup?Npi=1073058749","1073058749")</f>
        <v>1073058749</v>
      </c>
      <c r="E21391" s="1" t="s">
        <v>12657</v>
      </c>
      <c r="F21391" s="2"/>
      <c r="G21391" s="2"/>
      <c r="H21391" s="2"/>
    </row>
    <row r="21392" spans="1:8" x14ac:dyDescent="0.25">
      <c r="A21392" s="1"/>
      <c r="B21392" s="1" t="s">
        <v>7328</v>
      </c>
      <c r="C21392" s="1" t="s">
        <v>7329</v>
      </c>
      <c r="D21392" s="22" t="str">
        <f>HYPERLINK("https://rhld.insurance.arkansas.gov/NPILookup?Npi=1073069589","1073069589")</f>
        <v>1073069589</v>
      </c>
      <c r="E21392" s="1" t="s">
        <v>7397</v>
      </c>
      <c r="F21392" s="2"/>
      <c r="G21392" s="2"/>
      <c r="H21392" s="2"/>
    </row>
    <row r="21393" spans="1:8" x14ac:dyDescent="0.25">
      <c r="A21393" s="1"/>
      <c r="B21393" s="1" t="s">
        <v>7328</v>
      </c>
      <c r="C21393" s="1" t="s">
        <v>7329</v>
      </c>
      <c r="D21393" s="22" t="str">
        <f>HYPERLINK("https://rhld.insurance.arkansas.gov/NPILookup?Npi=1073071585","1073071585")</f>
        <v>1073071585</v>
      </c>
      <c r="E21393" s="1" t="s">
        <v>25430</v>
      </c>
      <c r="F21393" s="2"/>
      <c r="G21393" s="2"/>
      <c r="H21393" s="2"/>
    </row>
    <row r="21394" spans="1:8" x14ac:dyDescent="0.25">
      <c r="A21394" s="1"/>
      <c r="B21394" s="1" t="s">
        <v>7328</v>
      </c>
      <c r="C21394" s="1" t="s">
        <v>7329</v>
      </c>
      <c r="D21394" s="22" t="str">
        <f>HYPERLINK("https://rhld.insurance.arkansas.gov/NPILookup?Npi=1073075735","1073075735")</f>
        <v>1073075735</v>
      </c>
      <c r="E21394" s="1" t="s">
        <v>12658</v>
      </c>
      <c r="F21394" s="2"/>
      <c r="G21394" s="2"/>
      <c r="H21394" s="2"/>
    </row>
    <row r="21395" spans="1:8" x14ac:dyDescent="0.25">
      <c r="A21395" s="1"/>
      <c r="B21395" s="1" t="s">
        <v>7328</v>
      </c>
      <c r="C21395" s="1" t="s">
        <v>7329</v>
      </c>
      <c r="D21395" s="22" t="str">
        <f>HYPERLINK("https://rhld.insurance.arkansas.gov/NPILookup?Npi=1073076550","1073076550")</f>
        <v>1073076550</v>
      </c>
      <c r="E21395" s="1" t="s">
        <v>25431</v>
      </c>
      <c r="F21395" s="2"/>
      <c r="G21395" s="2"/>
      <c r="H21395" s="2"/>
    </row>
    <row r="21396" spans="1:8" x14ac:dyDescent="0.25">
      <c r="A21396" s="1"/>
      <c r="B21396" s="1" t="s">
        <v>7328</v>
      </c>
      <c r="C21396" s="1" t="s">
        <v>7329</v>
      </c>
      <c r="D21396" s="22" t="str">
        <f>HYPERLINK("https://rhld.insurance.arkansas.gov/NPILookup?Npi=1073078648","1073078648")</f>
        <v>1073078648</v>
      </c>
      <c r="E21396" s="1" t="s">
        <v>25432</v>
      </c>
      <c r="F21396" s="2"/>
      <c r="G21396" s="2"/>
      <c r="H21396" s="2"/>
    </row>
    <row r="21397" spans="1:8" x14ac:dyDescent="0.25">
      <c r="A21397" s="1"/>
      <c r="B21397" s="1" t="s">
        <v>7328</v>
      </c>
      <c r="C21397" s="1" t="s">
        <v>7329</v>
      </c>
      <c r="D21397" s="22" t="str">
        <f>HYPERLINK("https://rhld.insurance.arkansas.gov/NPILookup?Npi=1073080255","1073080255")</f>
        <v>1073080255</v>
      </c>
      <c r="E21397" s="1" t="s">
        <v>25433</v>
      </c>
      <c r="F21397" s="2"/>
      <c r="G21397" s="2"/>
      <c r="H21397" s="2"/>
    </row>
    <row r="21398" spans="1:8" x14ac:dyDescent="0.25">
      <c r="A21398" s="1"/>
      <c r="B21398" s="1" t="s">
        <v>7328</v>
      </c>
      <c r="C21398" s="1" t="s">
        <v>7329</v>
      </c>
      <c r="D21398" s="22" t="str">
        <f>HYPERLINK("https://rhld.insurance.arkansas.gov/NPILookup?Npi=1073087391","1073087391")</f>
        <v>1073087391</v>
      </c>
      <c r="E21398" s="1" t="s">
        <v>25434</v>
      </c>
      <c r="F21398" s="2"/>
      <c r="G21398" s="2"/>
      <c r="H21398" s="2"/>
    </row>
    <row r="21399" spans="1:8" x14ac:dyDescent="0.25">
      <c r="A21399" s="1"/>
      <c r="B21399" s="1" t="s">
        <v>7328</v>
      </c>
      <c r="C21399" s="1" t="s">
        <v>7329</v>
      </c>
      <c r="D21399" s="22" t="str">
        <f>HYPERLINK("https://rhld.insurance.arkansas.gov/NPILookup?Npi=1073087490","1073087490")</f>
        <v>1073087490</v>
      </c>
      <c r="E21399" s="1" t="s">
        <v>25435</v>
      </c>
      <c r="F21399" s="2"/>
      <c r="G21399" s="2"/>
      <c r="H21399" s="2"/>
    </row>
    <row r="21400" spans="1:8" x14ac:dyDescent="0.25">
      <c r="A21400" s="1"/>
      <c r="B21400" s="1" t="s">
        <v>7328</v>
      </c>
      <c r="C21400" s="1" t="s">
        <v>7329</v>
      </c>
      <c r="D21400" s="22" t="str">
        <f>HYPERLINK("https://rhld.insurance.arkansas.gov/NPILookup?Npi=1073101630","1073101630")</f>
        <v>1073101630</v>
      </c>
      <c r="E21400" s="1" t="s">
        <v>25436</v>
      </c>
      <c r="F21400" s="2"/>
      <c r="G21400" s="2"/>
      <c r="H21400" s="2"/>
    </row>
    <row r="21401" spans="1:8" x14ac:dyDescent="0.25">
      <c r="A21401" s="1"/>
      <c r="B21401" s="1" t="s">
        <v>7328</v>
      </c>
      <c r="C21401" s="1" t="s">
        <v>7329</v>
      </c>
      <c r="D21401" s="22" t="str">
        <f>HYPERLINK("https://rhld.insurance.arkansas.gov/NPILookup?Npi=1073105474","1073105474")</f>
        <v>1073105474</v>
      </c>
      <c r="E21401" s="1" t="s">
        <v>25437</v>
      </c>
      <c r="F21401" s="2"/>
      <c r="G21401" s="2"/>
      <c r="H21401" s="2"/>
    </row>
    <row r="21402" spans="1:8" x14ac:dyDescent="0.25">
      <c r="A21402" s="1"/>
      <c r="B21402" s="1" t="s">
        <v>7328</v>
      </c>
      <c r="C21402" s="1" t="s">
        <v>7329</v>
      </c>
      <c r="D21402" s="22" t="str">
        <f>HYPERLINK("https://rhld.insurance.arkansas.gov/NPILookup?Npi=1073133179","1073133179")</f>
        <v>1073133179</v>
      </c>
      <c r="E21402" s="1" t="s">
        <v>17179</v>
      </c>
      <c r="F21402" s="2"/>
      <c r="G21402" s="2"/>
      <c r="H21402" s="2"/>
    </row>
    <row r="21403" spans="1:8" x14ac:dyDescent="0.25">
      <c r="A21403" s="1"/>
      <c r="B21403" s="1" t="s">
        <v>7328</v>
      </c>
      <c r="C21403" s="1" t="s">
        <v>7329</v>
      </c>
      <c r="D21403" s="22" t="str">
        <f>HYPERLINK("https://rhld.insurance.arkansas.gov/NPILookup?Npi=1073142683","1073142683")</f>
        <v>1073142683</v>
      </c>
      <c r="E21403" s="1" t="s">
        <v>25438</v>
      </c>
      <c r="F21403" s="2"/>
      <c r="G21403" s="2"/>
      <c r="H21403" s="2"/>
    </row>
    <row r="21404" spans="1:8" x14ac:dyDescent="0.25">
      <c r="A21404" s="1"/>
      <c r="B21404" s="1" t="s">
        <v>7328</v>
      </c>
      <c r="C21404" s="1" t="s">
        <v>7329</v>
      </c>
      <c r="D21404" s="22" t="str">
        <f>HYPERLINK("https://rhld.insurance.arkansas.gov/NPILookup?Npi=1073151742","1073151742")</f>
        <v>1073151742</v>
      </c>
      <c r="E21404" s="1" t="s">
        <v>25439</v>
      </c>
      <c r="F21404" s="2"/>
      <c r="G21404" s="2"/>
      <c r="H21404" s="2"/>
    </row>
    <row r="21405" spans="1:8" x14ac:dyDescent="0.25">
      <c r="A21405" s="1"/>
      <c r="B21405" s="1" t="s">
        <v>7328</v>
      </c>
      <c r="C21405" s="1" t="s">
        <v>7329</v>
      </c>
      <c r="D21405" s="22" t="str">
        <f>HYPERLINK("https://rhld.insurance.arkansas.gov/NPILookup?Npi=1073159133","1073159133")</f>
        <v>1073159133</v>
      </c>
      <c r="E21405" s="1" t="s">
        <v>25440</v>
      </c>
      <c r="F21405" s="2"/>
      <c r="G21405" s="2"/>
      <c r="H21405" s="2"/>
    </row>
    <row r="21406" spans="1:8" x14ac:dyDescent="0.25">
      <c r="A21406" s="1"/>
      <c r="B21406" s="1" t="s">
        <v>7328</v>
      </c>
      <c r="C21406" s="1" t="s">
        <v>7329</v>
      </c>
      <c r="D21406" s="22" t="str">
        <f>HYPERLINK("https://rhld.insurance.arkansas.gov/NPILookup?Npi=1073159984","1073159984")</f>
        <v>1073159984</v>
      </c>
      <c r="E21406" s="1" t="s">
        <v>25441</v>
      </c>
      <c r="F21406" s="2"/>
      <c r="G21406" s="2"/>
      <c r="H21406" s="2"/>
    </row>
    <row r="21407" spans="1:8" x14ac:dyDescent="0.25">
      <c r="A21407" s="1"/>
      <c r="B21407" s="1" t="s">
        <v>7328</v>
      </c>
      <c r="C21407" s="1" t="s">
        <v>7329</v>
      </c>
      <c r="D21407" s="22" t="str">
        <f>HYPERLINK("https://rhld.insurance.arkansas.gov/NPILookup?Npi=1073168837","1073168837")</f>
        <v>1073168837</v>
      </c>
      <c r="E21407" s="1" t="s">
        <v>25442</v>
      </c>
      <c r="F21407" s="2"/>
      <c r="G21407" s="2"/>
      <c r="H21407" s="2"/>
    </row>
    <row r="21408" spans="1:8" x14ac:dyDescent="0.25">
      <c r="A21408" s="1"/>
      <c r="B21408" s="1" t="s">
        <v>7328</v>
      </c>
      <c r="C21408" s="1" t="s">
        <v>7329</v>
      </c>
      <c r="D21408" s="22" t="str">
        <f>HYPERLINK("https://rhld.insurance.arkansas.gov/NPILookup?Npi=1073168985","1073168985")</f>
        <v>1073168985</v>
      </c>
      <c r="E21408" s="1" t="s">
        <v>7398</v>
      </c>
      <c r="F21408" s="2"/>
      <c r="G21408" s="2"/>
      <c r="H21408" s="2"/>
    </row>
    <row r="21409" spans="1:8" x14ac:dyDescent="0.25">
      <c r="A21409" s="1"/>
      <c r="B21409" s="1" t="s">
        <v>7328</v>
      </c>
      <c r="C21409" s="1" t="s">
        <v>7329</v>
      </c>
      <c r="D21409" s="22" t="str">
        <f>HYPERLINK("https://rhld.insurance.arkansas.gov/NPILookup?Npi=1073173324","1073173324")</f>
        <v>1073173324</v>
      </c>
      <c r="E21409" s="1" t="s">
        <v>25443</v>
      </c>
      <c r="F21409" s="2"/>
      <c r="G21409" s="2"/>
      <c r="H21409" s="2"/>
    </row>
    <row r="21410" spans="1:8" x14ac:dyDescent="0.25">
      <c r="A21410" s="1"/>
      <c r="B21410" s="1" t="s">
        <v>7328</v>
      </c>
      <c r="C21410" s="1" t="s">
        <v>7329</v>
      </c>
      <c r="D21410" s="22" t="str">
        <f>HYPERLINK("https://rhld.insurance.arkansas.gov/NPILookup?Npi=1073184727","1073184727")</f>
        <v>1073184727</v>
      </c>
      <c r="E21410" s="1" t="s">
        <v>21091</v>
      </c>
      <c r="F21410" s="2"/>
      <c r="G21410" s="2"/>
      <c r="H21410" s="2"/>
    </row>
    <row r="21411" spans="1:8" x14ac:dyDescent="0.25">
      <c r="A21411" s="1"/>
      <c r="B21411" s="1" t="s">
        <v>7328</v>
      </c>
      <c r="C21411" s="1" t="s">
        <v>7329</v>
      </c>
      <c r="D21411" s="22" t="str">
        <f>HYPERLINK("https://rhld.insurance.arkansas.gov/NPILookup?Npi=1073187126","1073187126")</f>
        <v>1073187126</v>
      </c>
      <c r="E21411" s="1" t="s">
        <v>1745</v>
      </c>
      <c r="F21411" s="2"/>
      <c r="G21411" s="2"/>
      <c r="H21411" s="2"/>
    </row>
    <row r="21412" spans="1:8" x14ac:dyDescent="0.25">
      <c r="A21412" s="1"/>
      <c r="B21412" s="1" t="s">
        <v>7328</v>
      </c>
      <c r="C21412" s="1" t="s">
        <v>7329</v>
      </c>
      <c r="D21412" s="22" t="str">
        <f>HYPERLINK("https://rhld.insurance.arkansas.gov/NPILookup?Npi=1073189205","1073189205")</f>
        <v>1073189205</v>
      </c>
      <c r="E21412" s="1" t="s">
        <v>12659</v>
      </c>
      <c r="F21412" s="2"/>
      <c r="G21412" s="2"/>
      <c r="H21412" s="2"/>
    </row>
    <row r="21413" spans="1:8" x14ac:dyDescent="0.25">
      <c r="A21413" s="1"/>
      <c r="B21413" s="1" t="s">
        <v>7328</v>
      </c>
      <c r="C21413" s="1" t="s">
        <v>7329</v>
      </c>
      <c r="D21413" s="22" t="str">
        <f>HYPERLINK("https://rhld.insurance.arkansas.gov/NPILookup?Npi=1073191904","1073191904")</f>
        <v>1073191904</v>
      </c>
      <c r="E21413" s="1" t="s">
        <v>25444</v>
      </c>
      <c r="F21413" s="2"/>
      <c r="G21413" s="2"/>
      <c r="H21413" s="2"/>
    </row>
    <row r="21414" spans="1:8" x14ac:dyDescent="0.25">
      <c r="A21414" s="1"/>
      <c r="B21414" s="1" t="s">
        <v>7328</v>
      </c>
      <c r="C21414" s="1" t="s">
        <v>7329</v>
      </c>
      <c r="D21414" s="22" t="str">
        <f>HYPERLINK("https://rhld.insurance.arkansas.gov/NPILookup?Npi=1073194023","1073194023")</f>
        <v>1073194023</v>
      </c>
      <c r="E21414" s="1" t="s">
        <v>32103</v>
      </c>
      <c r="F21414" s="2"/>
      <c r="G21414" s="2"/>
      <c r="H21414" s="2"/>
    </row>
    <row r="21415" spans="1:8" x14ac:dyDescent="0.25">
      <c r="A21415" s="1"/>
      <c r="B21415" s="1" t="s">
        <v>7328</v>
      </c>
      <c r="C21415" s="1" t="s">
        <v>7329</v>
      </c>
      <c r="D21415" s="22" t="str">
        <f>HYPERLINK("https://rhld.insurance.arkansas.gov/NPILookup?Npi=1073210647","1073210647")</f>
        <v>1073210647</v>
      </c>
      <c r="E21415" s="1" t="s">
        <v>12660</v>
      </c>
      <c r="F21415" s="2"/>
      <c r="G21415" s="2"/>
      <c r="H21415" s="2"/>
    </row>
    <row r="21416" spans="1:8" x14ac:dyDescent="0.25">
      <c r="A21416" s="1"/>
      <c r="B21416" s="1" t="s">
        <v>7328</v>
      </c>
      <c r="C21416" s="1" t="s">
        <v>7329</v>
      </c>
      <c r="D21416" s="22" t="str">
        <f>HYPERLINK("https://rhld.insurance.arkansas.gov/NPILookup?Npi=1073212585","1073212585")</f>
        <v>1073212585</v>
      </c>
      <c r="E21416" s="1" t="s">
        <v>5729</v>
      </c>
      <c r="F21416" s="2"/>
      <c r="G21416" s="2"/>
      <c r="H21416" s="2"/>
    </row>
    <row r="21417" spans="1:8" x14ac:dyDescent="0.25">
      <c r="A21417" s="1"/>
      <c r="B21417" s="1" t="s">
        <v>7328</v>
      </c>
      <c r="C21417" s="1" t="s">
        <v>7329</v>
      </c>
      <c r="D21417" s="22" t="str">
        <f>HYPERLINK("https://rhld.insurance.arkansas.gov/NPILookup?Npi=1073249280","1073249280")</f>
        <v>1073249280</v>
      </c>
      <c r="E21417" s="1" t="s">
        <v>7399</v>
      </c>
      <c r="F21417" s="2"/>
      <c r="G21417" s="2"/>
      <c r="H21417" s="2"/>
    </row>
    <row r="21418" spans="1:8" x14ac:dyDescent="0.25">
      <c r="A21418" s="1"/>
      <c r="B21418" s="1" t="s">
        <v>7328</v>
      </c>
      <c r="C21418" s="1" t="s">
        <v>7329</v>
      </c>
      <c r="D21418" s="22" t="str">
        <f>HYPERLINK("https://rhld.insurance.arkansas.gov/NPILookup?Npi=1073257374","1073257374")</f>
        <v>1073257374</v>
      </c>
      <c r="E21418" s="1" t="s">
        <v>12661</v>
      </c>
      <c r="F21418" s="2"/>
      <c r="G21418" s="2"/>
      <c r="H21418" s="2"/>
    </row>
    <row r="21419" spans="1:8" x14ac:dyDescent="0.25">
      <c r="A21419" s="1"/>
      <c r="B21419" s="1" t="s">
        <v>7328</v>
      </c>
      <c r="C21419" s="1" t="s">
        <v>7329</v>
      </c>
      <c r="D21419" s="22" t="str">
        <f>HYPERLINK("https://rhld.insurance.arkansas.gov/NPILookup?Npi=1073269106","1073269106")</f>
        <v>1073269106</v>
      </c>
      <c r="E21419" s="1" t="s">
        <v>7400</v>
      </c>
      <c r="F21419" s="2"/>
      <c r="G21419" s="2"/>
      <c r="H21419" s="2"/>
    </row>
    <row r="21420" spans="1:8" x14ac:dyDescent="0.25">
      <c r="A21420" s="1"/>
      <c r="B21420" s="1" t="s">
        <v>7328</v>
      </c>
      <c r="C21420" s="1" t="s">
        <v>7329</v>
      </c>
      <c r="D21420" s="22" t="str">
        <f>HYPERLINK("https://rhld.insurance.arkansas.gov/NPILookup?Npi=1073270633","1073270633")</f>
        <v>1073270633</v>
      </c>
      <c r="E21420" s="1" t="s">
        <v>25445</v>
      </c>
      <c r="F21420" s="2"/>
      <c r="G21420" s="2"/>
      <c r="H21420" s="2"/>
    </row>
    <row r="21421" spans="1:8" x14ac:dyDescent="0.25">
      <c r="A21421" s="1"/>
      <c r="B21421" s="1" t="s">
        <v>7328</v>
      </c>
      <c r="C21421" s="1" t="s">
        <v>7329</v>
      </c>
      <c r="D21421" s="22" t="str">
        <f>HYPERLINK("https://rhld.insurance.arkansas.gov/NPILookup?Npi=1073296471","1073296471")</f>
        <v>1073296471</v>
      </c>
      <c r="E21421" s="1" t="s">
        <v>32104</v>
      </c>
      <c r="F21421" s="2"/>
      <c r="G21421" s="2"/>
      <c r="H21421" s="2"/>
    </row>
    <row r="21422" spans="1:8" x14ac:dyDescent="0.25">
      <c r="A21422" s="1"/>
      <c r="B21422" s="1" t="s">
        <v>7328</v>
      </c>
      <c r="C21422" s="1" t="s">
        <v>7329</v>
      </c>
      <c r="D21422" s="22" t="str">
        <f>HYPERLINK("https://rhld.insurance.arkansas.gov/NPILookup?Npi=1073326765","1073326765")</f>
        <v>1073326765</v>
      </c>
      <c r="E21422" s="1" t="s">
        <v>32105</v>
      </c>
      <c r="F21422" s="2"/>
      <c r="G21422" s="2"/>
      <c r="H21422" s="2"/>
    </row>
    <row r="21423" spans="1:8" x14ac:dyDescent="0.25">
      <c r="A21423" s="1"/>
      <c r="B21423" s="1" t="s">
        <v>7328</v>
      </c>
      <c r="C21423" s="1" t="s">
        <v>7329</v>
      </c>
      <c r="D21423" s="22" t="str">
        <f>HYPERLINK("https://rhld.insurance.arkansas.gov/NPILookup?Npi=1073340899","1073340899")</f>
        <v>1073340899</v>
      </c>
      <c r="E21423" s="1" t="s">
        <v>25446</v>
      </c>
      <c r="F21423" s="2"/>
      <c r="G21423" s="2"/>
      <c r="H21423" s="2"/>
    </row>
    <row r="21424" spans="1:8" x14ac:dyDescent="0.25">
      <c r="A21424" s="1"/>
      <c r="B21424" s="1" t="s">
        <v>7328</v>
      </c>
      <c r="C21424" s="1" t="s">
        <v>7329</v>
      </c>
      <c r="D21424" s="22" t="str">
        <f>HYPERLINK("https://rhld.insurance.arkansas.gov/NPILookup?Npi=1073343182","1073343182")</f>
        <v>1073343182</v>
      </c>
      <c r="E21424" s="1" t="s">
        <v>25447</v>
      </c>
      <c r="F21424" s="2"/>
      <c r="G21424" s="2"/>
      <c r="H21424" s="2"/>
    </row>
    <row r="21425" spans="1:8" x14ac:dyDescent="0.25">
      <c r="A21425" s="1"/>
      <c r="B21425" s="1" t="s">
        <v>7328</v>
      </c>
      <c r="C21425" s="1" t="s">
        <v>7329</v>
      </c>
      <c r="D21425" s="22" t="str">
        <f>HYPERLINK("https://rhld.insurance.arkansas.gov/NPILookup?Npi=1073351706","1073351706")</f>
        <v>1073351706</v>
      </c>
      <c r="E21425" s="1" t="s">
        <v>25448</v>
      </c>
      <c r="F21425" s="2"/>
      <c r="G21425" s="2"/>
      <c r="H21425" s="2"/>
    </row>
    <row r="21426" spans="1:8" x14ac:dyDescent="0.25">
      <c r="A21426" s="1"/>
      <c r="B21426" s="1" t="s">
        <v>7328</v>
      </c>
      <c r="C21426" s="1" t="s">
        <v>7329</v>
      </c>
      <c r="D21426" s="22" t="str">
        <f>HYPERLINK("https://rhld.insurance.arkansas.gov/NPILookup?Npi=1073501458","1073501458")</f>
        <v>1073501458</v>
      </c>
      <c r="E21426" s="1" t="s">
        <v>7401</v>
      </c>
      <c r="F21426" s="2"/>
      <c r="G21426" s="2"/>
      <c r="H21426" s="2"/>
    </row>
    <row r="21427" spans="1:8" x14ac:dyDescent="0.25">
      <c r="A21427" s="1"/>
      <c r="B21427" s="1" t="s">
        <v>7328</v>
      </c>
      <c r="C21427" s="1" t="s">
        <v>7329</v>
      </c>
      <c r="D21427" s="22" t="str">
        <f>HYPERLINK("https://rhld.insurance.arkansas.gov/NPILookup?Npi=1073506010","1073506010")</f>
        <v>1073506010</v>
      </c>
      <c r="E21427" s="1" t="s">
        <v>2621</v>
      </c>
      <c r="F21427" s="2"/>
      <c r="G21427" s="2"/>
      <c r="H21427" s="2"/>
    </row>
    <row r="21428" spans="1:8" x14ac:dyDescent="0.25">
      <c r="A21428" s="1"/>
      <c r="B21428" s="1" t="s">
        <v>7328</v>
      </c>
      <c r="C21428" s="1" t="s">
        <v>7329</v>
      </c>
      <c r="D21428" s="22" t="str">
        <f>HYPERLINK("https://rhld.insurance.arkansas.gov/NPILookup?Npi=1073512828","1073512828")</f>
        <v>1073512828</v>
      </c>
      <c r="E21428" s="1" t="s">
        <v>2622</v>
      </c>
      <c r="F21428" s="2"/>
      <c r="G21428" s="2"/>
      <c r="H21428" s="2"/>
    </row>
    <row r="21429" spans="1:8" x14ac:dyDescent="0.25">
      <c r="A21429" s="1"/>
      <c r="B21429" s="1" t="s">
        <v>7328</v>
      </c>
      <c r="C21429" s="1" t="s">
        <v>7329</v>
      </c>
      <c r="D21429" s="22" t="str">
        <f>HYPERLINK("https://rhld.insurance.arkansas.gov/NPILookup?Npi=1073514022","1073514022")</f>
        <v>1073514022</v>
      </c>
      <c r="E21429" s="1" t="s">
        <v>2623</v>
      </c>
      <c r="F21429" s="2"/>
      <c r="G21429" s="2"/>
      <c r="H21429" s="2"/>
    </row>
    <row r="21430" spans="1:8" x14ac:dyDescent="0.25">
      <c r="A21430" s="1"/>
      <c r="B21430" s="1" t="s">
        <v>7328</v>
      </c>
      <c r="C21430" s="1" t="s">
        <v>7329</v>
      </c>
      <c r="D21430" s="22" t="str">
        <f>HYPERLINK("https://rhld.insurance.arkansas.gov/NPILookup?Npi=1073516852","1073516852")</f>
        <v>1073516852</v>
      </c>
      <c r="E21430" s="1" t="s">
        <v>25449</v>
      </c>
      <c r="F21430" s="2"/>
      <c r="G21430" s="2"/>
      <c r="H21430" s="2"/>
    </row>
    <row r="21431" spans="1:8" x14ac:dyDescent="0.25">
      <c r="A21431" s="1"/>
      <c r="B21431" s="1" t="s">
        <v>7328</v>
      </c>
      <c r="C21431" s="1" t="s">
        <v>7329</v>
      </c>
      <c r="D21431" s="22" t="str">
        <f>HYPERLINK("https://rhld.insurance.arkansas.gov/NPILookup?Npi=1073521282","1073521282")</f>
        <v>1073521282</v>
      </c>
      <c r="E21431" s="1" t="s">
        <v>17181</v>
      </c>
      <c r="F21431" s="2"/>
      <c r="G21431" s="2"/>
      <c r="H21431" s="2"/>
    </row>
    <row r="21432" spans="1:8" x14ac:dyDescent="0.25">
      <c r="A21432" s="1"/>
      <c r="B21432" s="1" t="s">
        <v>7328</v>
      </c>
      <c r="C21432" s="1" t="s">
        <v>7329</v>
      </c>
      <c r="D21432" s="22" t="str">
        <f>HYPERLINK("https://rhld.insurance.arkansas.gov/NPILookup?Npi=1073533261","1073533261")</f>
        <v>1073533261</v>
      </c>
      <c r="E21432" s="1" t="s">
        <v>25450</v>
      </c>
      <c r="F21432" s="2"/>
      <c r="G21432" s="2"/>
      <c r="H21432" s="2"/>
    </row>
    <row r="21433" spans="1:8" x14ac:dyDescent="0.25">
      <c r="A21433" s="1"/>
      <c r="B21433" s="1" t="s">
        <v>7328</v>
      </c>
      <c r="C21433" s="1" t="s">
        <v>7329</v>
      </c>
      <c r="D21433" s="22" t="str">
        <f>HYPERLINK("https://rhld.insurance.arkansas.gov/NPILookup?Npi=1073536132","1073536132")</f>
        <v>1073536132</v>
      </c>
      <c r="E21433" s="1" t="s">
        <v>12662</v>
      </c>
      <c r="F21433" s="2"/>
      <c r="G21433" s="2"/>
      <c r="H21433" s="2"/>
    </row>
    <row r="21434" spans="1:8" x14ac:dyDescent="0.25">
      <c r="A21434" s="1"/>
      <c r="B21434" s="1" t="s">
        <v>7328</v>
      </c>
      <c r="C21434" s="1" t="s">
        <v>7329</v>
      </c>
      <c r="D21434" s="22" t="str">
        <f>HYPERLINK("https://rhld.insurance.arkansas.gov/NPILookup?Npi=1073540084","1073540084")</f>
        <v>1073540084</v>
      </c>
      <c r="E21434" s="1" t="s">
        <v>25451</v>
      </c>
      <c r="F21434" s="2"/>
      <c r="G21434" s="2"/>
      <c r="H21434" s="2"/>
    </row>
    <row r="21435" spans="1:8" x14ac:dyDescent="0.25">
      <c r="A21435" s="1"/>
      <c r="B21435" s="1" t="s">
        <v>7328</v>
      </c>
      <c r="C21435" s="1" t="s">
        <v>7329</v>
      </c>
      <c r="D21435" s="22" t="str">
        <f>HYPERLINK("https://rhld.insurance.arkansas.gov/NPILookup?Npi=1073555876","1073555876")</f>
        <v>1073555876</v>
      </c>
      <c r="E21435" s="1" t="s">
        <v>25452</v>
      </c>
      <c r="F21435" s="2"/>
      <c r="G21435" s="2"/>
      <c r="H21435" s="2"/>
    </row>
    <row r="21436" spans="1:8" x14ac:dyDescent="0.25">
      <c r="A21436" s="1"/>
      <c r="B21436" s="1" t="s">
        <v>7328</v>
      </c>
      <c r="C21436" s="1" t="s">
        <v>7329</v>
      </c>
      <c r="D21436" s="22" t="str">
        <f>HYPERLINK("https://rhld.insurance.arkansas.gov/NPILookup?Npi=1073569828","1073569828")</f>
        <v>1073569828</v>
      </c>
      <c r="E21436" s="1" t="s">
        <v>12663</v>
      </c>
      <c r="F21436" s="2"/>
      <c r="G21436" s="2"/>
      <c r="H21436" s="2"/>
    </row>
    <row r="21437" spans="1:8" x14ac:dyDescent="0.25">
      <c r="A21437" s="1"/>
      <c r="B21437" s="1" t="s">
        <v>7328</v>
      </c>
      <c r="C21437" s="1" t="s">
        <v>7329</v>
      </c>
      <c r="D21437" s="22" t="str">
        <f>HYPERLINK("https://rhld.insurance.arkansas.gov/NPILookup?Npi=1073571824","1073571824")</f>
        <v>1073571824</v>
      </c>
      <c r="E21437" s="1" t="s">
        <v>12664</v>
      </c>
      <c r="F21437" s="2"/>
      <c r="G21437" s="2"/>
      <c r="H21437" s="2"/>
    </row>
    <row r="21438" spans="1:8" x14ac:dyDescent="0.25">
      <c r="A21438" s="1"/>
      <c r="B21438" s="1" t="s">
        <v>7328</v>
      </c>
      <c r="C21438" s="1" t="s">
        <v>7329</v>
      </c>
      <c r="D21438" s="22" t="str">
        <f>HYPERLINK("https://rhld.insurance.arkansas.gov/NPILookup?Npi=1073576955","1073576955")</f>
        <v>1073576955</v>
      </c>
      <c r="E21438" s="1" t="s">
        <v>25453</v>
      </c>
      <c r="F21438" s="2"/>
      <c r="G21438" s="2"/>
      <c r="H21438" s="2"/>
    </row>
    <row r="21439" spans="1:8" x14ac:dyDescent="0.25">
      <c r="A21439" s="1"/>
      <c r="B21439" s="1" t="s">
        <v>7328</v>
      </c>
      <c r="C21439" s="1" t="s">
        <v>7329</v>
      </c>
      <c r="D21439" s="22" t="str">
        <f>HYPERLINK("https://rhld.insurance.arkansas.gov/NPILookup?Npi=1073579322","1073579322")</f>
        <v>1073579322</v>
      </c>
      <c r="E21439" s="1" t="s">
        <v>25454</v>
      </c>
      <c r="F21439" s="2"/>
      <c r="G21439" s="2"/>
      <c r="H21439" s="2"/>
    </row>
    <row r="21440" spans="1:8" x14ac:dyDescent="0.25">
      <c r="A21440" s="1"/>
      <c r="B21440" s="1" t="s">
        <v>7328</v>
      </c>
      <c r="C21440" s="1" t="s">
        <v>7329</v>
      </c>
      <c r="D21440" s="22" t="str">
        <f>HYPERLINK("https://rhld.insurance.arkansas.gov/NPILookup?Npi=1073582748","1073582748")</f>
        <v>1073582748</v>
      </c>
      <c r="E21440" s="1" t="s">
        <v>7403</v>
      </c>
      <c r="F21440" s="2"/>
      <c r="G21440" s="2"/>
      <c r="H21440" s="2"/>
    </row>
    <row r="21441" spans="1:8" x14ac:dyDescent="0.25">
      <c r="A21441" s="1"/>
      <c r="B21441" s="1" t="s">
        <v>7328</v>
      </c>
      <c r="C21441" s="1" t="s">
        <v>7329</v>
      </c>
      <c r="D21441" s="22" t="str">
        <f>HYPERLINK("https://rhld.insurance.arkansas.gov/NPILookup?Npi=1073585279","1073585279")</f>
        <v>1073585279</v>
      </c>
      <c r="E21441" s="1" t="s">
        <v>12665</v>
      </c>
      <c r="F21441" s="2"/>
      <c r="G21441" s="2"/>
      <c r="H21441" s="2"/>
    </row>
    <row r="21442" spans="1:8" x14ac:dyDescent="0.25">
      <c r="A21442" s="1"/>
      <c r="B21442" s="1" t="s">
        <v>7328</v>
      </c>
      <c r="C21442" s="1" t="s">
        <v>7329</v>
      </c>
      <c r="D21442" s="22" t="str">
        <f>HYPERLINK("https://rhld.insurance.arkansas.gov/NPILookup?Npi=1073592523","1073592523")</f>
        <v>1073592523</v>
      </c>
      <c r="E21442" s="1" t="s">
        <v>1957</v>
      </c>
      <c r="F21442" s="2"/>
      <c r="G21442" s="2"/>
      <c r="H21442" s="2"/>
    </row>
    <row r="21443" spans="1:8" x14ac:dyDescent="0.25">
      <c r="A21443" s="1"/>
      <c r="B21443" s="1" t="s">
        <v>7328</v>
      </c>
      <c r="C21443" s="1" t="s">
        <v>7329</v>
      </c>
      <c r="D21443" s="22" t="str">
        <f>HYPERLINK("https://rhld.insurance.arkansas.gov/NPILookup?Npi=1073593026","1073593026")</f>
        <v>1073593026</v>
      </c>
      <c r="E21443" s="1" t="s">
        <v>12666</v>
      </c>
      <c r="F21443" s="2"/>
      <c r="G21443" s="2"/>
      <c r="H21443" s="2"/>
    </row>
    <row r="21444" spans="1:8" x14ac:dyDescent="0.25">
      <c r="A21444" s="1"/>
      <c r="B21444" s="1" t="s">
        <v>7328</v>
      </c>
      <c r="C21444" s="1" t="s">
        <v>7329</v>
      </c>
      <c r="D21444" s="22" t="str">
        <f>HYPERLINK("https://rhld.insurance.arkansas.gov/NPILookup?Npi=1073594909","1073594909")</f>
        <v>1073594909</v>
      </c>
      <c r="E21444" s="1" t="s">
        <v>12667</v>
      </c>
      <c r="F21444" s="2"/>
      <c r="G21444" s="2"/>
      <c r="H21444" s="2"/>
    </row>
    <row r="21445" spans="1:8" x14ac:dyDescent="0.25">
      <c r="A21445" s="1"/>
      <c r="B21445" s="1" t="s">
        <v>7328</v>
      </c>
      <c r="C21445" s="1" t="s">
        <v>7329</v>
      </c>
      <c r="D21445" s="22" t="str">
        <f>HYPERLINK("https://rhld.insurance.arkansas.gov/NPILookup?Npi=1073597266","1073597266")</f>
        <v>1073597266</v>
      </c>
      <c r="E21445" s="1" t="s">
        <v>12668</v>
      </c>
      <c r="F21445" s="2"/>
      <c r="G21445" s="2"/>
      <c r="H21445" s="2"/>
    </row>
    <row r="21446" spans="1:8" x14ac:dyDescent="0.25">
      <c r="A21446" s="1"/>
      <c r="B21446" s="1" t="s">
        <v>7328</v>
      </c>
      <c r="C21446" s="1" t="s">
        <v>7329</v>
      </c>
      <c r="D21446" s="22" t="str">
        <f>HYPERLINK("https://rhld.insurance.arkansas.gov/NPILookup?Npi=1073603403","1073603403")</f>
        <v>1073603403</v>
      </c>
      <c r="E21446" s="1" t="s">
        <v>25455</v>
      </c>
      <c r="F21446" s="2"/>
      <c r="G21446" s="2"/>
      <c r="H21446" s="2"/>
    </row>
    <row r="21447" spans="1:8" x14ac:dyDescent="0.25">
      <c r="A21447" s="1"/>
      <c r="B21447" s="1" t="s">
        <v>7328</v>
      </c>
      <c r="C21447" s="1" t="s">
        <v>7329</v>
      </c>
      <c r="D21447" s="22" t="str">
        <f>HYPERLINK("https://rhld.insurance.arkansas.gov/NPILookup?Npi=1073604559","1073604559")</f>
        <v>1073604559</v>
      </c>
      <c r="E21447" s="1" t="s">
        <v>9653</v>
      </c>
      <c r="F21447" s="2"/>
      <c r="G21447" s="2"/>
      <c r="H21447" s="2"/>
    </row>
    <row r="21448" spans="1:8" x14ac:dyDescent="0.25">
      <c r="A21448" s="1"/>
      <c r="B21448" s="1" t="s">
        <v>7328</v>
      </c>
      <c r="C21448" s="1" t="s">
        <v>7329</v>
      </c>
      <c r="D21448" s="22" t="str">
        <f>HYPERLINK("https://rhld.insurance.arkansas.gov/NPILookup?Npi=1073604690","1073604690")</f>
        <v>1073604690</v>
      </c>
      <c r="E21448" s="1" t="s">
        <v>25456</v>
      </c>
      <c r="F21448" s="2"/>
      <c r="G21448" s="2"/>
      <c r="H21448" s="2"/>
    </row>
    <row r="21449" spans="1:8" x14ac:dyDescent="0.25">
      <c r="A21449" s="1"/>
      <c r="B21449" s="1" t="s">
        <v>7328</v>
      </c>
      <c r="C21449" s="1" t="s">
        <v>7329</v>
      </c>
      <c r="D21449" s="22" t="str">
        <f>HYPERLINK("https://rhld.insurance.arkansas.gov/NPILookup?Npi=1073616934","1073616934")</f>
        <v>1073616934</v>
      </c>
      <c r="E21449" s="1" t="s">
        <v>25457</v>
      </c>
      <c r="F21449" s="2"/>
      <c r="G21449" s="2"/>
      <c r="H21449" s="2"/>
    </row>
    <row r="21450" spans="1:8" x14ac:dyDescent="0.25">
      <c r="A21450" s="1"/>
      <c r="B21450" s="1" t="s">
        <v>7328</v>
      </c>
      <c r="C21450" s="1" t="s">
        <v>7329</v>
      </c>
      <c r="D21450" s="22" t="str">
        <f>HYPERLINK("https://rhld.insurance.arkansas.gov/NPILookup?Npi=1073621827","1073621827")</f>
        <v>1073621827</v>
      </c>
      <c r="E21450" s="1" t="s">
        <v>12669</v>
      </c>
      <c r="F21450" s="2"/>
      <c r="G21450" s="2"/>
      <c r="H21450" s="2"/>
    </row>
    <row r="21451" spans="1:8" x14ac:dyDescent="0.25">
      <c r="A21451" s="1"/>
      <c r="B21451" s="1" t="s">
        <v>7328</v>
      </c>
      <c r="C21451" s="1" t="s">
        <v>7329</v>
      </c>
      <c r="D21451" s="22" t="str">
        <f>HYPERLINK("https://rhld.insurance.arkansas.gov/NPILookup?Npi=1073637823","1073637823")</f>
        <v>1073637823</v>
      </c>
      <c r="E21451" s="1" t="s">
        <v>25458</v>
      </c>
      <c r="F21451" s="2"/>
      <c r="G21451" s="2"/>
      <c r="H21451" s="2"/>
    </row>
    <row r="21452" spans="1:8" x14ac:dyDescent="0.25">
      <c r="A21452" s="1"/>
      <c r="B21452" s="1" t="s">
        <v>7328</v>
      </c>
      <c r="C21452" s="1" t="s">
        <v>7329</v>
      </c>
      <c r="D21452" s="22" t="str">
        <f>HYPERLINK("https://rhld.insurance.arkansas.gov/NPILookup?Npi=1073687505","1073687505")</f>
        <v>1073687505</v>
      </c>
      <c r="E21452" s="1" t="s">
        <v>17183</v>
      </c>
      <c r="F21452" s="2"/>
      <c r="G21452" s="2"/>
      <c r="H21452" s="2"/>
    </row>
    <row r="21453" spans="1:8" x14ac:dyDescent="0.25">
      <c r="A21453" s="1"/>
      <c r="B21453" s="1" t="s">
        <v>7328</v>
      </c>
      <c r="C21453" s="1" t="s">
        <v>7329</v>
      </c>
      <c r="D21453" s="22" t="str">
        <f>HYPERLINK("https://rhld.insurance.arkansas.gov/NPILookup?Npi=1073712212","1073712212")</f>
        <v>1073712212</v>
      </c>
      <c r="E21453" s="1" t="s">
        <v>25459</v>
      </c>
      <c r="F21453" s="2"/>
      <c r="G21453" s="2"/>
      <c r="H21453" s="2"/>
    </row>
    <row r="21454" spans="1:8" x14ac:dyDescent="0.25">
      <c r="A21454" s="1"/>
      <c r="B21454" s="1" t="s">
        <v>7328</v>
      </c>
      <c r="C21454" s="1" t="s">
        <v>7329</v>
      </c>
      <c r="D21454" s="22" t="str">
        <f>HYPERLINK("https://rhld.insurance.arkansas.gov/NPILookup?Npi=1073735205","1073735205")</f>
        <v>1073735205</v>
      </c>
      <c r="E21454" s="1" t="s">
        <v>12670</v>
      </c>
      <c r="F21454" s="2"/>
      <c r="G21454" s="2"/>
      <c r="H21454" s="2"/>
    </row>
    <row r="21455" spans="1:8" x14ac:dyDescent="0.25">
      <c r="A21455" s="1"/>
      <c r="B21455" s="1" t="s">
        <v>7328</v>
      </c>
      <c r="C21455" s="1" t="s">
        <v>7329</v>
      </c>
      <c r="D21455" s="22" t="str">
        <f>HYPERLINK("https://rhld.insurance.arkansas.gov/NPILookup?Npi=1073742730","1073742730")</f>
        <v>1073742730</v>
      </c>
      <c r="E21455" s="1" t="s">
        <v>25460</v>
      </c>
      <c r="F21455" s="2"/>
      <c r="G21455" s="2"/>
      <c r="H21455" s="2"/>
    </row>
    <row r="21456" spans="1:8" x14ac:dyDescent="0.25">
      <c r="A21456" s="1"/>
      <c r="B21456" s="1" t="s">
        <v>7328</v>
      </c>
      <c r="C21456" s="1" t="s">
        <v>7329</v>
      </c>
      <c r="D21456" s="22" t="str">
        <f>HYPERLINK("https://rhld.insurance.arkansas.gov/NPILookup?Npi=1073745873","1073745873")</f>
        <v>1073745873</v>
      </c>
      <c r="E21456" s="1" t="s">
        <v>25461</v>
      </c>
      <c r="F21456" s="2"/>
      <c r="G21456" s="2"/>
      <c r="H21456" s="2"/>
    </row>
    <row r="21457" spans="1:8" x14ac:dyDescent="0.25">
      <c r="A21457" s="1"/>
      <c r="B21457" s="1" t="s">
        <v>7328</v>
      </c>
      <c r="C21457" s="1" t="s">
        <v>7329</v>
      </c>
      <c r="D21457" s="22" t="str">
        <f>HYPERLINK("https://rhld.insurance.arkansas.gov/NPILookup?Npi=1073749420","1073749420")</f>
        <v>1073749420</v>
      </c>
      <c r="E21457" s="1" t="s">
        <v>25462</v>
      </c>
      <c r="F21457" s="2"/>
      <c r="G21457" s="2"/>
      <c r="H21457" s="2"/>
    </row>
    <row r="21458" spans="1:8" x14ac:dyDescent="0.25">
      <c r="A21458" s="1"/>
      <c r="B21458" s="1" t="s">
        <v>7328</v>
      </c>
      <c r="C21458" s="1" t="s">
        <v>7329</v>
      </c>
      <c r="D21458" s="22" t="str">
        <f>HYPERLINK("https://rhld.insurance.arkansas.gov/NPILookup?Npi=1073809158","1073809158")</f>
        <v>1073809158</v>
      </c>
      <c r="E21458" s="1" t="s">
        <v>12671</v>
      </c>
      <c r="F21458" s="2"/>
      <c r="G21458" s="2"/>
      <c r="H21458" s="2"/>
    </row>
    <row r="21459" spans="1:8" x14ac:dyDescent="0.25">
      <c r="A21459" s="1"/>
      <c r="B21459" s="1" t="s">
        <v>7328</v>
      </c>
      <c r="C21459" s="1" t="s">
        <v>7329</v>
      </c>
      <c r="D21459" s="22" t="str">
        <f>HYPERLINK("https://rhld.insurance.arkansas.gov/NPILookup?Npi=1073810263","1073810263")</f>
        <v>1073810263</v>
      </c>
      <c r="E21459" s="1" t="s">
        <v>32106</v>
      </c>
      <c r="F21459" s="2"/>
      <c r="G21459" s="2"/>
      <c r="H21459" s="2"/>
    </row>
    <row r="21460" spans="1:8" x14ac:dyDescent="0.25">
      <c r="A21460" s="1"/>
      <c r="B21460" s="1" t="s">
        <v>7328</v>
      </c>
      <c r="C21460" s="1" t="s">
        <v>7329</v>
      </c>
      <c r="D21460" s="22" t="str">
        <f>HYPERLINK("https://rhld.insurance.arkansas.gov/NPILookup?Npi=1073810537","1073810537")</f>
        <v>1073810537</v>
      </c>
      <c r="E21460" s="1" t="s">
        <v>25463</v>
      </c>
      <c r="F21460" s="2"/>
      <c r="G21460" s="2"/>
      <c r="H21460" s="2"/>
    </row>
    <row r="21461" spans="1:8" x14ac:dyDescent="0.25">
      <c r="A21461" s="1"/>
      <c r="B21461" s="1" t="s">
        <v>7328</v>
      </c>
      <c r="C21461" s="1" t="s">
        <v>7329</v>
      </c>
      <c r="D21461" s="22" t="str">
        <f>HYPERLINK("https://rhld.insurance.arkansas.gov/NPILookup?Npi=1073836466","1073836466")</f>
        <v>1073836466</v>
      </c>
      <c r="E21461" s="1" t="s">
        <v>1958</v>
      </c>
      <c r="F21461" s="2"/>
      <c r="G21461" s="2"/>
      <c r="H21461" s="2"/>
    </row>
    <row r="21462" spans="1:8" x14ac:dyDescent="0.25">
      <c r="A21462" s="1"/>
      <c r="B21462" s="1" t="s">
        <v>7328</v>
      </c>
      <c r="C21462" s="1" t="s">
        <v>7329</v>
      </c>
      <c r="D21462" s="22" t="str">
        <f>HYPERLINK("https://rhld.insurance.arkansas.gov/NPILookup?Npi=1073841235","1073841235")</f>
        <v>1073841235</v>
      </c>
      <c r="E21462" s="1" t="s">
        <v>7404</v>
      </c>
      <c r="F21462" s="2"/>
      <c r="G21462" s="2"/>
      <c r="H21462" s="2"/>
    </row>
    <row r="21463" spans="1:8" x14ac:dyDescent="0.25">
      <c r="A21463" s="1"/>
      <c r="B21463" s="1" t="s">
        <v>7328</v>
      </c>
      <c r="C21463" s="1" t="s">
        <v>7329</v>
      </c>
      <c r="D21463" s="22" t="str">
        <f>HYPERLINK("https://rhld.insurance.arkansas.gov/NPILookup?Npi=1073852877","1073852877")</f>
        <v>1073852877</v>
      </c>
      <c r="E21463" s="1" t="s">
        <v>25464</v>
      </c>
      <c r="F21463" s="2"/>
      <c r="G21463" s="2"/>
      <c r="H21463" s="2"/>
    </row>
    <row r="21464" spans="1:8" x14ac:dyDescent="0.25">
      <c r="A21464" s="1"/>
      <c r="B21464" s="1" t="s">
        <v>7328</v>
      </c>
      <c r="C21464" s="1" t="s">
        <v>7329</v>
      </c>
      <c r="D21464" s="22" t="str">
        <f>HYPERLINK("https://rhld.insurance.arkansas.gov/NPILookup?Npi=1073856514","1073856514")</f>
        <v>1073856514</v>
      </c>
      <c r="E21464" s="1" t="s">
        <v>25465</v>
      </c>
      <c r="F21464" s="2"/>
      <c r="G21464" s="2"/>
      <c r="H21464" s="2"/>
    </row>
    <row r="21465" spans="1:8" x14ac:dyDescent="0.25">
      <c r="A21465" s="1"/>
      <c r="B21465" s="1" t="s">
        <v>7328</v>
      </c>
      <c r="C21465" s="1" t="s">
        <v>7329</v>
      </c>
      <c r="D21465" s="22" t="str">
        <f>HYPERLINK("https://rhld.insurance.arkansas.gov/NPILookup?Npi=1073859732","1073859732")</f>
        <v>1073859732</v>
      </c>
      <c r="E21465" s="1" t="s">
        <v>12673</v>
      </c>
      <c r="F21465" s="2"/>
      <c r="G21465" s="2"/>
      <c r="H21465" s="2"/>
    </row>
    <row r="21466" spans="1:8" x14ac:dyDescent="0.25">
      <c r="A21466" s="1"/>
      <c r="B21466" s="1" t="s">
        <v>7328</v>
      </c>
      <c r="C21466" s="1" t="s">
        <v>7329</v>
      </c>
      <c r="D21466" s="22" t="str">
        <f>HYPERLINK("https://rhld.insurance.arkansas.gov/NPILookup?Npi=1073863106","1073863106")</f>
        <v>1073863106</v>
      </c>
      <c r="E21466" s="1" t="s">
        <v>2624</v>
      </c>
      <c r="F21466" s="2"/>
      <c r="G21466" s="2"/>
      <c r="H21466" s="2"/>
    </row>
    <row r="21467" spans="1:8" x14ac:dyDescent="0.25">
      <c r="A21467" s="1"/>
      <c r="B21467" s="1" t="s">
        <v>7328</v>
      </c>
      <c r="C21467" s="1" t="s">
        <v>7329</v>
      </c>
      <c r="D21467" s="22" t="str">
        <f>HYPERLINK("https://rhld.insurance.arkansas.gov/NPILookup?Npi=1073884276","1073884276")</f>
        <v>1073884276</v>
      </c>
      <c r="E21467" s="1" t="s">
        <v>1206</v>
      </c>
      <c r="F21467" s="2"/>
      <c r="G21467" s="2"/>
      <c r="H21467" s="2"/>
    </row>
    <row r="21468" spans="1:8" x14ac:dyDescent="0.25">
      <c r="A21468" s="1"/>
      <c r="B21468" s="1" t="s">
        <v>7328</v>
      </c>
      <c r="C21468" s="1" t="s">
        <v>7329</v>
      </c>
      <c r="D21468" s="22" t="str">
        <f>HYPERLINK("https://rhld.insurance.arkansas.gov/NPILookup?Npi=1073902276","1073902276")</f>
        <v>1073902276</v>
      </c>
      <c r="E21468" s="1" t="s">
        <v>754</v>
      </c>
      <c r="F21468" s="2"/>
      <c r="G21468" s="2"/>
      <c r="H21468" s="2"/>
    </row>
    <row r="21469" spans="1:8" x14ac:dyDescent="0.25">
      <c r="A21469" s="1"/>
      <c r="B21469" s="1" t="s">
        <v>7328</v>
      </c>
      <c r="C21469" s="1" t="s">
        <v>7329</v>
      </c>
      <c r="D21469" s="22" t="str">
        <f>HYPERLINK("https://rhld.insurance.arkansas.gov/NPILookup?Npi=1073921029","1073921029")</f>
        <v>1073921029</v>
      </c>
      <c r="E21469" s="1" t="s">
        <v>329</v>
      </c>
      <c r="F21469" s="2"/>
      <c r="G21469" s="2"/>
      <c r="H21469" s="2"/>
    </row>
    <row r="21470" spans="1:8" x14ac:dyDescent="0.25">
      <c r="A21470" s="1"/>
      <c r="B21470" s="1" t="s">
        <v>7328</v>
      </c>
      <c r="C21470" s="1" t="s">
        <v>7329</v>
      </c>
      <c r="D21470" s="22" t="str">
        <f>HYPERLINK("https://rhld.insurance.arkansas.gov/NPILookup?Npi=1073935425","1073935425")</f>
        <v>1073935425</v>
      </c>
      <c r="E21470" s="1" t="s">
        <v>10285</v>
      </c>
      <c r="F21470" s="2"/>
      <c r="G21470" s="2"/>
      <c r="H21470" s="2"/>
    </row>
    <row r="21471" spans="1:8" x14ac:dyDescent="0.25">
      <c r="A21471" s="1"/>
      <c r="B21471" s="1" t="s">
        <v>7328</v>
      </c>
      <c r="C21471" s="1" t="s">
        <v>7329</v>
      </c>
      <c r="D21471" s="22" t="str">
        <f>HYPERLINK("https://rhld.insurance.arkansas.gov/NPILookup?Npi=1073953626","1073953626")</f>
        <v>1073953626</v>
      </c>
      <c r="E21471" s="1" t="s">
        <v>7405</v>
      </c>
      <c r="F21471" s="2"/>
      <c r="G21471" s="2"/>
      <c r="H21471" s="2"/>
    </row>
    <row r="21472" spans="1:8" x14ac:dyDescent="0.25">
      <c r="A21472" s="1"/>
      <c r="B21472" s="1" t="s">
        <v>7328</v>
      </c>
      <c r="C21472" s="1" t="s">
        <v>7329</v>
      </c>
      <c r="D21472" s="22" t="str">
        <f>HYPERLINK("https://rhld.insurance.arkansas.gov/NPILookup?Npi=1073965141","1073965141")</f>
        <v>1073965141</v>
      </c>
      <c r="E21472" s="1" t="s">
        <v>25466</v>
      </c>
      <c r="F21472" s="2"/>
      <c r="G21472" s="2"/>
      <c r="H21472" s="2"/>
    </row>
    <row r="21473" spans="1:8" x14ac:dyDescent="0.25">
      <c r="A21473" s="1"/>
      <c r="B21473" s="1" t="s">
        <v>7328</v>
      </c>
      <c r="C21473" s="1" t="s">
        <v>7329</v>
      </c>
      <c r="D21473" s="22" t="str">
        <f>HYPERLINK("https://rhld.insurance.arkansas.gov/NPILookup?Npi=1073966248","1073966248")</f>
        <v>1073966248</v>
      </c>
      <c r="E21473" s="1" t="s">
        <v>25467</v>
      </c>
      <c r="F21473" s="2"/>
      <c r="G21473" s="2"/>
      <c r="H21473" s="2"/>
    </row>
    <row r="21474" spans="1:8" x14ac:dyDescent="0.25">
      <c r="A21474" s="1"/>
      <c r="B21474" s="1" t="s">
        <v>7328</v>
      </c>
      <c r="C21474" s="1" t="s">
        <v>7329</v>
      </c>
      <c r="D21474" s="22" t="str">
        <f>HYPERLINK("https://rhld.insurance.arkansas.gov/NPILookup?Npi=1073970166","1073970166")</f>
        <v>1073970166</v>
      </c>
      <c r="E21474" s="1" t="s">
        <v>684</v>
      </c>
      <c r="F21474" s="2"/>
      <c r="G21474" s="2"/>
      <c r="H21474" s="2"/>
    </row>
    <row r="21475" spans="1:8" x14ac:dyDescent="0.25">
      <c r="A21475" s="1"/>
      <c r="B21475" s="1" t="s">
        <v>7328</v>
      </c>
      <c r="C21475" s="1" t="s">
        <v>7329</v>
      </c>
      <c r="D21475" s="22" t="str">
        <f>HYPERLINK("https://rhld.insurance.arkansas.gov/NPILookup?Npi=1073971925","1073971925")</f>
        <v>1073971925</v>
      </c>
      <c r="E21475" s="1" t="s">
        <v>25468</v>
      </c>
      <c r="F21475" s="2"/>
      <c r="G21475" s="2"/>
      <c r="H21475" s="2"/>
    </row>
    <row r="21476" spans="1:8" x14ac:dyDescent="0.25">
      <c r="A21476" s="1"/>
      <c r="B21476" s="1" t="s">
        <v>7328</v>
      </c>
      <c r="C21476" s="1" t="s">
        <v>7329</v>
      </c>
      <c r="D21476" s="22" t="str">
        <f>HYPERLINK("https://rhld.insurance.arkansas.gov/NPILookup?Npi=1073979969","1073979969")</f>
        <v>1073979969</v>
      </c>
      <c r="E21476" s="1" t="s">
        <v>25469</v>
      </c>
      <c r="F21476" s="2"/>
      <c r="G21476" s="2"/>
      <c r="H21476" s="2"/>
    </row>
    <row r="21477" spans="1:8" x14ac:dyDescent="0.25">
      <c r="A21477" s="1"/>
      <c r="B21477" s="1" t="s">
        <v>7328</v>
      </c>
      <c r="C21477" s="1" t="s">
        <v>7329</v>
      </c>
      <c r="D21477" s="22" t="str">
        <f>HYPERLINK("https://rhld.insurance.arkansas.gov/NPILookup?Npi=1073981056","1073981056")</f>
        <v>1073981056</v>
      </c>
      <c r="E21477" s="1" t="s">
        <v>2625</v>
      </c>
      <c r="F21477" s="2"/>
      <c r="G21477" s="2"/>
      <c r="H21477" s="2"/>
    </row>
    <row r="21478" spans="1:8" x14ac:dyDescent="0.25">
      <c r="A21478" s="1"/>
      <c r="B21478" s="1" t="s">
        <v>7328</v>
      </c>
      <c r="C21478" s="1" t="s">
        <v>7329</v>
      </c>
      <c r="D21478" s="22" t="str">
        <f>HYPERLINK("https://rhld.insurance.arkansas.gov/NPILookup?Npi=1073983540","1073983540")</f>
        <v>1073983540</v>
      </c>
      <c r="E21478" s="1" t="s">
        <v>7406</v>
      </c>
      <c r="F21478" s="2"/>
      <c r="G21478" s="2"/>
      <c r="H21478" s="2"/>
    </row>
    <row r="21479" spans="1:8" x14ac:dyDescent="0.25">
      <c r="A21479" s="1"/>
      <c r="B21479" s="1" t="s">
        <v>7328</v>
      </c>
      <c r="C21479" s="1" t="s">
        <v>7329</v>
      </c>
      <c r="D21479" s="22" t="str">
        <f>HYPERLINK("https://rhld.insurance.arkansas.gov/NPILookup?Npi=1083002364","1083002364")</f>
        <v>1083002364</v>
      </c>
      <c r="E21479" s="1" t="s">
        <v>2626</v>
      </c>
      <c r="F21479" s="2"/>
      <c r="G21479" s="2"/>
      <c r="H21479" s="2"/>
    </row>
    <row r="21480" spans="1:8" x14ac:dyDescent="0.25">
      <c r="A21480" s="1"/>
      <c r="B21480" s="1" t="s">
        <v>7328</v>
      </c>
      <c r="C21480" s="1" t="s">
        <v>7329</v>
      </c>
      <c r="D21480" s="22" t="str">
        <f>HYPERLINK("https://rhld.insurance.arkansas.gov/NPILookup?Npi=1083005417","1083005417")</f>
        <v>1083005417</v>
      </c>
      <c r="E21480" s="1" t="s">
        <v>12674</v>
      </c>
      <c r="F21480" s="2"/>
      <c r="G21480" s="2"/>
      <c r="H21480" s="2"/>
    </row>
    <row r="21481" spans="1:8" x14ac:dyDescent="0.25">
      <c r="A21481" s="1"/>
      <c r="B21481" s="1" t="s">
        <v>7328</v>
      </c>
      <c r="C21481" s="1" t="s">
        <v>7329</v>
      </c>
      <c r="D21481" s="22" t="str">
        <f>HYPERLINK("https://rhld.insurance.arkansas.gov/NPILookup?Npi=1083017313","1083017313")</f>
        <v>1083017313</v>
      </c>
      <c r="E21481" s="1" t="s">
        <v>1572</v>
      </c>
      <c r="F21481" s="2"/>
      <c r="G21481" s="2"/>
      <c r="H21481" s="2"/>
    </row>
    <row r="21482" spans="1:8" x14ac:dyDescent="0.25">
      <c r="A21482" s="1"/>
      <c r="B21482" s="1" t="s">
        <v>7328</v>
      </c>
      <c r="C21482" s="1" t="s">
        <v>7329</v>
      </c>
      <c r="D21482" s="22" t="str">
        <f>HYPERLINK("https://rhld.insurance.arkansas.gov/NPILookup?Npi=1083024848","1083024848")</f>
        <v>1083024848</v>
      </c>
      <c r="E21482" s="1" t="s">
        <v>10488</v>
      </c>
      <c r="F21482" s="2"/>
      <c r="G21482" s="2"/>
      <c r="H21482" s="2"/>
    </row>
    <row r="21483" spans="1:8" x14ac:dyDescent="0.25">
      <c r="A21483" s="1"/>
      <c r="B21483" s="1" t="s">
        <v>7328</v>
      </c>
      <c r="C21483" s="1" t="s">
        <v>7329</v>
      </c>
      <c r="D21483" s="22" t="str">
        <f>HYPERLINK("https://rhld.insurance.arkansas.gov/NPILookup?Npi=1083046445","1083046445")</f>
        <v>1083046445</v>
      </c>
      <c r="E21483" s="1" t="s">
        <v>25470</v>
      </c>
      <c r="F21483" s="2"/>
      <c r="G21483" s="2"/>
      <c r="H21483" s="2"/>
    </row>
    <row r="21484" spans="1:8" x14ac:dyDescent="0.25">
      <c r="A21484" s="1"/>
      <c r="B21484" s="1" t="s">
        <v>7328</v>
      </c>
      <c r="C21484" s="1" t="s">
        <v>7329</v>
      </c>
      <c r="D21484" s="22" t="str">
        <f>HYPERLINK("https://rhld.insurance.arkansas.gov/NPILookup?Npi=1083065015","1083065015")</f>
        <v>1083065015</v>
      </c>
      <c r="E21484" s="1" t="s">
        <v>1959</v>
      </c>
      <c r="F21484" s="2"/>
      <c r="G21484" s="2"/>
      <c r="H21484" s="2"/>
    </row>
    <row r="21485" spans="1:8" x14ac:dyDescent="0.25">
      <c r="A21485" s="1"/>
      <c r="B21485" s="1" t="s">
        <v>7328</v>
      </c>
      <c r="C21485" s="1" t="s">
        <v>7329</v>
      </c>
      <c r="D21485" s="22" t="str">
        <f>HYPERLINK("https://rhld.insurance.arkansas.gov/NPILookup?Npi=1083065049","1083065049")</f>
        <v>1083065049</v>
      </c>
      <c r="E21485" s="1" t="s">
        <v>25471</v>
      </c>
      <c r="F21485" s="2"/>
      <c r="G21485" s="2"/>
      <c r="H21485" s="2"/>
    </row>
    <row r="21486" spans="1:8" x14ac:dyDescent="0.25">
      <c r="A21486" s="1"/>
      <c r="B21486" s="1" t="s">
        <v>7328</v>
      </c>
      <c r="C21486" s="1" t="s">
        <v>7329</v>
      </c>
      <c r="D21486" s="22" t="str">
        <f>HYPERLINK("https://rhld.insurance.arkansas.gov/NPILookup?Npi=1083071237","1083071237")</f>
        <v>1083071237</v>
      </c>
      <c r="E21486" s="1" t="s">
        <v>25472</v>
      </c>
      <c r="F21486" s="2"/>
      <c r="G21486" s="2"/>
      <c r="H21486" s="2"/>
    </row>
    <row r="21487" spans="1:8" x14ac:dyDescent="0.25">
      <c r="A21487" s="1"/>
      <c r="B21487" s="1" t="s">
        <v>7328</v>
      </c>
      <c r="C21487" s="1" t="s">
        <v>7329</v>
      </c>
      <c r="D21487" s="22" t="str">
        <f>HYPERLINK("https://rhld.insurance.arkansas.gov/NPILookup?Npi=1083072086","1083072086")</f>
        <v>1083072086</v>
      </c>
      <c r="E21487" s="1" t="s">
        <v>25473</v>
      </c>
      <c r="F21487" s="2"/>
      <c r="G21487" s="2"/>
      <c r="H21487" s="2"/>
    </row>
    <row r="21488" spans="1:8" x14ac:dyDescent="0.25">
      <c r="A21488" s="1"/>
      <c r="B21488" s="1" t="s">
        <v>7328</v>
      </c>
      <c r="C21488" s="1" t="s">
        <v>7329</v>
      </c>
      <c r="D21488" s="22" t="str">
        <f>HYPERLINK("https://rhld.insurance.arkansas.gov/NPILookup?Npi=1083107452","1083107452")</f>
        <v>1083107452</v>
      </c>
      <c r="E21488" s="1" t="s">
        <v>4831</v>
      </c>
      <c r="F21488" s="2"/>
      <c r="G21488" s="2"/>
      <c r="H21488" s="2"/>
    </row>
    <row r="21489" spans="1:8" x14ac:dyDescent="0.25">
      <c r="A21489" s="1"/>
      <c r="B21489" s="1" t="s">
        <v>7328</v>
      </c>
      <c r="C21489" s="1" t="s">
        <v>7329</v>
      </c>
      <c r="D21489" s="22" t="str">
        <f>HYPERLINK("https://rhld.insurance.arkansas.gov/NPILookup?Npi=1083116917","1083116917")</f>
        <v>1083116917</v>
      </c>
      <c r="E21489" s="1" t="s">
        <v>12675</v>
      </c>
      <c r="F21489" s="2"/>
      <c r="G21489" s="2"/>
      <c r="H21489" s="2"/>
    </row>
    <row r="21490" spans="1:8" x14ac:dyDescent="0.25">
      <c r="A21490" s="1"/>
      <c r="B21490" s="1" t="s">
        <v>7328</v>
      </c>
      <c r="C21490" s="1" t="s">
        <v>7329</v>
      </c>
      <c r="D21490" s="22" t="str">
        <f>HYPERLINK("https://rhld.insurance.arkansas.gov/NPILookup?Npi=1083134720","1083134720")</f>
        <v>1083134720</v>
      </c>
      <c r="E21490" s="1" t="s">
        <v>25474</v>
      </c>
      <c r="F21490" s="2"/>
      <c r="G21490" s="2"/>
      <c r="H21490" s="2"/>
    </row>
    <row r="21491" spans="1:8" x14ac:dyDescent="0.25">
      <c r="A21491" s="1"/>
      <c r="B21491" s="1" t="s">
        <v>7328</v>
      </c>
      <c r="C21491" s="1" t="s">
        <v>7329</v>
      </c>
      <c r="D21491" s="22" t="str">
        <f>HYPERLINK("https://rhld.insurance.arkansas.gov/NPILookup?Npi=1083137798","1083137798")</f>
        <v>1083137798</v>
      </c>
      <c r="E21491" s="1" t="s">
        <v>25475</v>
      </c>
      <c r="F21491" s="2"/>
      <c r="G21491" s="2"/>
      <c r="H21491" s="2"/>
    </row>
    <row r="21492" spans="1:8" x14ac:dyDescent="0.25">
      <c r="A21492" s="1"/>
      <c r="B21492" s="1" t="s">
        <v>7328</v>
      </c>
      <c r="C21492" s="1" t="s">
        <v>7329</v>
      </c>
      <c r="D21492" s="22" t="str">
        <f>HYPERLINK("https://rhld.insurance.arkansas.gov/NPILookup?Npi=1083143580","1083143580")</f>
        <v>1083143580</v>
      </c>
      <c r="E21492" s="1" t="s">
        <v>25476</v>
      </c>
      <c r="F21492" s="2"/>
      <c r="G21492" s="2"/>
      <c r="H21492" s="2"/>
    </row>
    <row r="21493" spans="1:8" x14ac:dyDescent="0.25">
      <c r="A21493" s="1"/>
      <c r="B21493" s="1" t="s">
        <v>7328</v>
      </c>
      <c r="C21493" s="1" t="s">
        <v>7329</v>
      </c>
      <c r="D21493" s="22" t="str">
        <f>HYPERLINK("https://rhld.insurance.arkansas.gov/NPILookup?Npi=1083146617","1083146617")</f>
        <v>1083146617</v>
      </c>
      <c r="E21493" s="1" t="s">
        <v>2628</v>
      </c>
      <c r="F21493" s="2"/>
      <c r="G21493" s="2"/>
      <c r="H21493" s="2"/>
    </row>
    <row r="21494" spans="1:8" x14ac:dyDescent="0.25">
      <c r="A21494" s="1"/>
      <c r="B21494" s="1" t="s">
        <v>7328</v>
      </c>
      <c r="C21494" s="1" t="s">
        <v>7329</v>
      </c>
      <c r="D21494" s="22" t="str">
        <f>HYPERLINK("https://rhld.insurance.arkansas.gov/NPILookup?Npi=1083148522","1083148522")</f>
        <v>1083148522</v>
      </c>
      <c r="E21494" s="1" t="s">
        <v>25477</v>
      </c>
      <c r="F21494" s="2"/>
      <c r="G21494" s="2"/>
      <c r="H21494" s="2"/>
    </row>
    <row r="21495" spans="1:8" x14ac:dyDescent="0.25">
      <c r="A21495" s="1"/>
      <c r="B21495" s="1" t="s">
        <v>7328</v>
      </c>
      <c r="C21495" s="1" t="s">
        <v>7329</v>
      </c>
      <c r="D21495" s="22" t="str">
        <f>HYPERLINK("https://rhld.insurance.arkansas.gov/NPILookup?Npi=1083150304","1083150304")</f>
        <v>1083150304</v>
      </c>
      <c r="E21495" s="1" t="s">
        <v>2629</v>
      </c>
      <c r="F21495" s="2"/>
      <c r="G21495" s="2"/>
      <c r="H21495" s="2"/>
    </row>
    <row r="21496" spans="1:8" x14ac:dyDescent="0.25">
      <c r="A21496" s="1"/>
      <c r="B21496" s="1" t="s">
        <v>7328</v>
      </c>
      <c r="C21496" s="1" t="s">
        <v>7329</v>
      </c>
      <c r="D21496" s="22" t="str">
        <f>HYPERLINK("https://rhld.insurance.arkansas.gov/NPILookup?Npi=1083152821","1083152821")</f>
        <v>1083152821</v>
      </c>
      <c r="E21496" s="1" t="s">
        <v>25478</v>
      </c>
      <c r="F21496" s="2"/>
      <c r="G21496" s="2"/>
      <c r="H21496" s="2"/>
    </row>
    <row r="21497" spans="1:8" x14ac:dyDescent="0.25">
      <c r="A21497" s="1"/>
      <c r="B21497" s="1" t="s">
        <v>7328</v>
      </c>
      <c r="C21497" s="1" t="s">
        <v>7329</v>
      </c>
      <c r="D21497" s="22" t="str">
        <f>HYPERLINK("https://rhld.insurance.arkansas.gov/NPILookup?Npi=1083154512","1083154512")</f>
        <v>1083154512</v>
      </c>
      <c r="E21497" s="1" t="s">
        <v>25479</v>
      </c>
      <c r="F21497" s="2"/>
      <c r="G21497" s="2"/>
      <c r="H21497" s="2"/>
    </row>
    <row r="21498" spans="1:8" x14ac:dyDescent="0.25">
      <c r="A21498" s="1"/>
      <c r="B21498" s="1" t="s">
        <v>7328</v>
      </c>
      <c r="C21498" s="1" t="s">
        <v>7329</v>
      </c>
      <c r="D21498" s="22" t="str">
        <f>HYPERLINK("https://rhld.insurance.arkansas.gov/NPILookup?Npi=1083163638","1083163638")</f>
        <v>1083163638</v>
      </c>
      <c r="E21498" s="1" t="s">
        <v>25480</v>
      </c>
      <c r="F21498" s="2"/>
      <c r="G21498" s="2"/>
      <c r="H21498" s="2"/>
    </row>
    <row r="21499" spans="1:8" x14ac:dyDescent="0.25">
      <c r="A21499" s="1"/>
      <c r="B21499" s="1" t="s">
        <v>7328</v>
      </c>
      <c r="C21499" s="1" t="s">
        <v>7329</v>
      </c>
      <c r="D21499" s="22" t="str">
        <f>HYPERLINK("https://rhld.insurance.arkansas.gov/NPILookup?Npi=1083164842","1083164842")</f>
        <v>1083164842</v>
      </c>
      <c r="E21499" s="1" t="s">
        <v>7407</v>
      </c>
      <c r="F21499" s="2"/>
      <c r="G21499" s="2"/>
      <c r="H21499" s="2"/>
    </row>
    <row r="21500" spans="1:8" x14ac:dyDescent="0.25">
      <c r="A21500" s="1"/>
      <c r="B21500" s="1" t="s">
        <v>7328</v>
      </c>
      <c r="C21500" s="1" t="s">
        <v>7329</v>
      </c>
      <c r="D21500" s="22" t="str">
        <f>HYPERLINK("https://rhld.insurance.arkansas.gov/NPILookup?Npi=1083167522","1083167522")</f>
        <v>1083167522</v>
      </c>
      <c r="E21500" s="1" t="s">
        <v>25481</v>
      </c>
      <c r="F21500" s="2"/>
      <c r="G21500" s="2"/>
      <c r="H21500" s="2"/>
    </row>
    <row r="21501" spans="1:8" x14ac:dyDescent="0.25">
      <c r="A21501" s="1"/>
      <c r="B21501" s="1" t="s">
        <v>7328</v>
      </c>
      <c r="C21501" s="1" t="s">
        <v>7329</v>
      </c>
      <c r="D21501" s="22" t="str">
        <f>HYPERLINK("https://rhld.insurance.arkansas.gov/NPILookup?Npi=1083170807","1083170807")</f>
        <v>1083170807</v>
      </c>
      <c r="E21501" s="1" t="s">
        <v>25482</v>
      </c>
      <c r="F21501" s="2"/>
      <c r="G21501" s="2"/>
      <c r="H21501" s="2"/>
    </row>
    <row r="21502" spans="1:8" x14ac:dyDescent="0.25">
      <c r="A21502" s="1"/>
      <c r="B21502" s="1" t="s">
        <v>7328</v>
      </c>
      <c r="C21502" s="1" t="s">
        <v>7329</v>
      </c>
      <c r="D21502" s="22" t="str">
        <f>HYPERLINK("https://rhld.insurance.arkansas.gov/NPILookup?Npi=1083170880","1083170880")</f>
        <v>1083170880</v>
      </c>
      <c r="E21502" s="1" t="s">
        <v>12676</v>
      </c>
      <c r="F21502" s="2"/>
      <c r="G21502" s="2"/>
      <c r="H21502" s="2"/>
    </row>
    <row r="21503" spans="1:8" x14ac:dyDescent="0.25">
      <c r="A21503" s="1"/>
      <c r="B21503" s="1" t="s">
        <v>7328</v>
      </c>
      <c r="C21503" s="1" t="s">
        <v>7329</v>
      </c>
      <c r="D21503" s="22" t="str">
        <f>HYPERLINK("https://rhld.insurance.arkansas.gov/NPILookup?Npi=1083174502","1083174502")</f>
        <v>1083174502</v>
      </c>
      <c r="E21503" s="1" t="s">
        <v>17184</v>
      </c>
      <c r="F21503" s="2"/>
      <c r="G21503" s="2"/>
      <c r="H21503" s="2"/>
    </row>
    <row r="21504" spans="1:8" x14ac:dyDescent="0.25">
      <c r="A21504" s="1"/>
      <c r="B21504" s="1" t="s">
        <v>7328</v>
      </c>
      <c r="C21504" s="1" t="s">
        <v>7329</v>
      </c>
      <c r="D21504" s="22" t="str">
        <f>HYPERLINK("https://rhld.insurance.arkansas.gov/NPILookup?Npi=1083176564","1083176564")</f>
        <v>1083176564</v>
      </c>
      <c r="E21504" s="1" t="s">
        <v>25483</v>
      </c>
      <c r="F21504" s="2"/>
      <c r="G21504" s="2"/>
      <c r="H21504" s="2"/>
    </row>
    <row r="21505" spans="1:8" x14ac:dyDescent="0.25">
      <c r="A21505" s="1"/>
      <c r="B21505" s="1" t="s">
        <v>7328</v>
      </c>
      <c r="C21505" s="1" t="s">
        <v>7329</v>
      </c>
      <c r="D21505" s="22" t="str">
        <f>HYPERLINK("https://rhld.insurance.arkansas.gov/NPILookup?Npi=1083177141","1083177141")</f>
        <v>1083177141</v>
      </c>
      <c r="E21505" s="1" t="s">
        <v>25484</v>
      </c>
      <c r="F21505" s="2"/>
      <c r="G21505" s="2"/>
      <c r="H21505" s="2"/>
    </row>
    <row r="21506" spans="1:8" x14ac:dyDescent="0.25">
      <c r="A21506" s="1"/>
      <c r="B21506" s="1" t="s">
        <v>7328</v>
      </c>
      <c r="C21506" s="1" t="s">
        <v>7329</v>
      </c>
      <c r="D21506" s="22" t="str">
        <f>HYPERLINK("https://rhld.insurance.arkansas.gov/NPILookup?Npi=1083181416","1083181416")</f>
        <v>1083181416</v>
      </c>
      <c r="E21506" s="1" t="s">
        <v>7408</v>
      </c>
      <c r="F21506" s="2"/>
      <c r="G21506" s="2"/>
      <c r="H21506" s="2"/>
    </row>
    <row r="21507" spans="1:8" x14ac:dyDescent="0.25">
      <c r="A21507" s="1"/>
      <c r="B21507" s="1" t="s">
        <v>7328</v>
      </c>
      <c r="C21507" s="1" t="s">
        <v>7329</v>
      </c>
      <c r="D21507" s="22" t="str">
        <f>HYPERLINK("https://rhld.insurance.arkansas.gov/NPILookup?Npi=1083182968","1083182968")</f>
        <v>1083182968</v>
      </c>
      <c r="E21507" s="1" t="s">
        <v>2630</v>
      </c>
      <c r="F21507" s="2"/>
      <c r="G21507" s="2"/>
      <c r="H21507" s="2"/>
    </row>
    <row r="21508" spans="1:8" x14ac:dyDescent="0.25">
      <c r="A21508" s="1"/>
      <c r="B21508" s="1" t="s">
        <v>7328</v>
      </c>
      <c r="C21508" s="1" t="s">
        <v>7329</v>
      </c>
      <c r="D21508" s="22" t="str">
        <f>HYPERLINK("https://rhld.insurance.arkansas.gov/NPILookup?Npi=1083183263","1083183263")</f>
        <v>1083183263</v>
      </c>
      <c r="E21508" s="1" t="s">
        <v>25485</v>
      </c>
      <c r="F21508" s="2"/>
      <c r="G21508" s="2"/>
      <c r="H21508" s="2"/>
    </row>
    <row r="21509" spans="1:8" x14ac:dyDescent="0.25">
      <c r="A21509" s="1"/>
      <c r="B21509" s="1" t="s">
        <v>7328</v>
      </c>
      <c r="C21509" s="1" t="s">
        <v>7329</v>
      </c>
      <c r="D21509" s="22" t="str">
        <f>HYPERLINK("https://rhld.insurance.arkansas.gov/NPILookup?Npi=1083190318","1083190318")</f>
        <v>1083190318</v>
      </c>
      <c r="E21509" s="1" t="s">
        <v>6338</v>
      </c>
      <c r="F21509" s="2"/>
      <c r="G21509" s="2"/>
      <c r="H21509" s="2"/>
    </row>
    <row r="21510" spans="1:8" x14ac:dyDescent="0.25">
      <c r="A21510" s="1"/>
      <c r="B21510" s="1" t="s">
        <v>7328</v>
      </c>
      <c r="C21510" s="1" t="s">
        <v>7329</v>
      </c>
      <c r="D21510" s="22" t="str">
        <f>HYPERLINK("https://rhld.insurance.arkansas.gov/NPILookup?Npi=1083193338","1083193338")</f>
        <v>1083193338</v>
      </c>
      <c r="E21510" s="1" t="s">
        <v>25486</v>
      </c>
      <c r="F21510" s="2"/>
      <c r="G21510" s="2"/>
      <c r="H21510" s="2"/>
    </row>
    <row r="21511" spans="1:8" x14ac:dyDescent="0.25">
      <c r="A21511" s="1"/>
      <c r="B21511" s="1" t="s">
        <v>7328</v>
      </c>
      <c r="C21511" s="1" t="s">
        <v>7329</v>
      </c>
      <c r="D21511" s="22" t="str">
        <f>HYPERLINK("https://rhld.insurance.arkansas.gov/NPILookup?Npi=1083227128","1083227128")</f>
        <v>1083227128</v>
      </c>
      <c r="E21511" s="1" t="s">
        <v>12677</v>
      </c>
      <c r="F21511" s="2"/>
      <c r="G21511" s="2"/>
      <c r="H21511" s="2"/>
    </row>
    <row r="21512" spans="1:8" x14ac:dyDescent="0.25">
      <c r="A21512" s="1"/>
      <c r="B21512" s="1" t="s">
        <v>7328</v>
      </c>
      <c r="C21512" s="1" t="s">
        <v>7329</v>
      </c>
      <c r="D21512" s="22" t="str">
        <f>HYPERLINK("https://rhld.insurance.arkansas.gov/NPILookup?Npi=1083231807","1083231807")</f>
        <v>1083231807</v>
      </c>
      <c r="E21512" s="1" t="s">
        <v>7409</v>
      </c>
      <c r="F21512" s="2"/>
      <c r="G21512" s="2"/>
      <c r="H21512" s="2"/>
    </row>
    <row r="21513" spans="1:8" x14ac:dyDescent="0.25">
      <c r="A21513" s="1"/>
      <c r="B21513" s="1" t="s">
        <v>7328</v>
      </c>
      <c r="C21513" s="1" t="s">
        <v>7329</v>
      </c>
      <c r="D21513" s="22" t="str">
        <f>HYPERLINK("https://rhld.insurance.arkansas.gov/NPILookup?Npi=1083235113","1083235113")</f>
        <v>1083235113</v>
      </c>
      <c r="E21513" s="1" t="s">
        <v>17186</v>
      </c>
      <c r="F21513" s="2"/>
      <c r="G21513" s="2"/>
      <c r="H21513" s="2"/>
    </row>
    <row r="21514" spans="1:8" x14ac:dyDescent="0.25">
      <c r="A21514" s="1"/>
      <c r="B21514" s="1" t="s">
        <v>7328</v>
      </c>
      <c r="C21514" s="1" t="s">
        <v>7329</v>
      </c>
      <c r="D21514" s="22" t="str">
        <f>HYPERLINK("https://rhld.insurance.arkansas.gov/NPILookup?Npi=1083249320","1083249320")</f>
        <v>1083249320</v>
      </c>
      <c r="E21514" s="1" t="s">
        <v>25487</v>
      </c>
      <c r="F21514" s="2"/>
      <c r="G21514" s="2"/>
      <c r="H21514" s="2"/>
    </row>
    <row r="21515" spans="1:8" x14ac:dyDescent="0.25">
      <c r="A21515" s="1"/>
      <c r="B21515" s="1" t="s">
        <v>7328</v>
      </c>
      <c r="C21515" s="1" t="s">
        <v>7329</v>
      </c>
      <c r="D21515" s="22" t="str">
        <f>HYPERLINK("https://rhld.insurance.arkansas.gov/NPILookup?Npi=1083251821","1083251821")</f>
        <v>1083251821</v>
      </c>
      <c r="E21515" s="1" t="s">
        <v>25488</v>
      </c>
      <c r="F21515" s="2"/>
      <c r="G21515" s="2"/>
      <c r="H21515" s="2"/>
    </row>
    <row r="21516" spans="1:8" x14ac:dyDescent="0.25">
      <c r="A21516" s="1"/>
      <c r="B21516" s="1" t="s">
        <v>7328</v>
      </c>
      <c r="C21516" s="1" t="s">
        <v>7329</v>
      </c>
      <c r="D21516" s="22" t="str">
        <f>HYPERLINK("https://rhld.insurance.arkansas.gov/NPILookup?Npi=1083258644","1083258644")</f>
        <v>1083258644</v>
      </c>
      <c r="E21516" s="1" t="s">
        <v>7410</v>
      </c>
      <c r="F21516" s="2"/>
      <c r="G21516" s="2"/>
      <c r="H21516" s="2"/>
    </row>
    <row r="21517" spans="1:8" x14ac:dyDescent="0.25">
      <c r="A21517" s="1"/>
      <c r="B21517" s="1" t="s">
        <v>7328</v>
      </c>
      <c r="C21517" s="1" t="s">
        <v>7329</v>
      </c>
      <c r="D21517" s="22" t="str">
        <f>HYPERLINK("https://rhld.insurance.arkansas.gov/NPILookup?Npi=1083260871","1083260871")</f>
        <v>1083260871</v>
      </c>
      <c r="E21517" s="1" t="s">
        <v>25489</v>
      </c>
      <c r="F21517" s="2"/>
      <c r="G21517" s="2"/>
      <c r="H21517" s="2"/>
    </row>
    <row r="21518" spans="1:8" x14ac:dyDescent="0.25">
      <c r="A21518" s="1"/>
      <c r="B21518" s="1" t="s">
        <v>7328</v>
      </c>
      <c r="C21518" s="1" t="s">
        <v>7329</v>
      </c>
      <c r="D21518" s="22" t="str">
        <f>HYPERLINK("https://rhld.insurance.arkansas.gov/NPILookup?Npi=1083268486","1083268486")</f>
        <v>1083268486</v>
      </c>
      <c r="E21518" s="1" t="s">
        <v>25490</v>
      </c>
      <c r="F21518" s="2"/>
      <c r="G21518" s="2"/>
      <c r="H21518" s="2"/>
    </row>
    <row r="21519" spans="1:8" x14ac:dyDescent="0.25">
      <c r="A21519" s="1"/>
      <c r="B21519" s="1" t="s">
        <v>7328</v>
      </c>
      <c r="C21519" s="1" t="s">
        <v>7329</v>
      </c>
      <c r="D21519" s="22" t="str">
        <f>HYPERLINK("https://rhld.insurance.arkansas.gov/NPILookup?Npi=1083269401","1083269401")</f>
        <v>1083269401</v>
      </c>
      <c r="E21519" s="1" t="s">
        <v>5896</v>
      </c>
      <c r="F21519" s="2"/>
      <c r="G21519" s="2"/>
      <c r="H21519" s="2"/>
    </row>
    <row r="21520" spans="1:8" x14ac:dyDescent="0.25">
      <c r="A21520" s="1"/>
      <c r="B21520" s="1" t="s">
        <v>7328</v>
      </c>
      <c r="C21520" s="1" t="s">
        <v>7329</v>
      </c>
      <c r="D21520" s="22" t="str">
        <f>HYPERLINK("https://rhld.insurance.arkansas.gov/NPILookup?Npi=1083269807","1083269807")</f>
        <v>1083269807</v>
      </c>
      <c r="E21520" s="1" t="s">
        <v>7411</v>
      </c>
      <c r="F21520" s="2"/>
      <c r="G21520" s="2"/>
      <c r="H21520" s="2"/>
    </row>
    <row r="21521" spans="1:8" x14ac:dyDescent="0.25">
      <c r="A21521" s="1"/>
      <c r="B21521" s="1" t="s">
        <v>7328</v>
      </c>
      <c r="C21521" s="1" t="s">
        <v>7329</v>
      </c>
      <c r="D21521" s="22" t="str">
        <f>HYPERLINK("https://rhld.insurance.arkansas.gov/NPILookup?Npi=1083284780","1083284780")</f>
        <v>1083284780</v>
      </c>
      <c r="E21521" s="1" t="s">
        <v>25491</v>
      </c>
      <c r="F21521" s="2"/>
      <c r="G21521" s="2"/>
      <c r="H21521" s="2"/>
    </row>
    <row r="21522" spans="1:8" x14ac:dyDescent="0.25">
      <c r="A21522" s="1"/>
      <c r="B21522" s="1" t="s">
        <v>7328</v>
      </c>
      <c r="C21522" s="1" t="s">
        <v>7329</v>
      </c>
      <c r="D21522" s="22" t="str">
        <f>HYPERLINK("https://rhld.insurance.arkansas.gov/NPILookup?Npi=1083289144","1083289144")</f>
        <v>1083289144</v>
      </c>
      <c r="E21522" s="1" t="s">
        <v>32107</v>
      </c>
      <c r="F21522" s="2"/>
      <c r="G21522" s="2"/>
      <c r="H21522" s="2"/>
    </row>
    <row r="21523" spans="1:8" x14ac:dyDescent="0.25">
      <c r="A21523" s="1"/>
      <c r="B21523" s="1" t="s">
        <v>7328</v>
      </c>
      <c r="C21523" s="1" t="s">
        <v>7329</v>
      </c>
      <c r="D21523" s="22" t="str">
        <f>HYPERLINK("https://rhld.insurance.arkansas.gov/NPILookup?Npi=1083297741","1083297741")</f>
        <v>1083297741</v>
      </c>
      <c r="E21523" s="1" t="s">
        <v>25492</v>
      </c>
      <c r="F21523" s="2"/>
      <c r="G21523" s="2"/>
      <c r="H21523" s="2"/>
    </row>
    <row r="21524" spans="1:8" x14ac:dyDescent="0.25">
      <c r="A21524" s="1"/>
      <c r="B21524" s="1" t="s">
        <v>7328</v>
      </c>
      <c r="C21524" s="1" t="s">
        <v>7329</v>
      </c>
      <c r="D21524" s="22" t="str">
        <f>HYPERLINK("https://rhld.insurance.arkansas.gov/NPILookup?Npi=1083315170","1083315170")</f>
        <v>1083315170</v>
      </c>
      <c r="E21524" s="1" t="s">
        <v>32108</v>
      </c>
      <c r="F21524" s="2"/>
      <c r="G21524" s="2"/>
      <c r="H21524" s="2"/>
    </row>
    <row r="21525" spans="1:8" x14ac:dyDescent="0.25">
      <c r="A21525" s="1"/>
      <c r="B21525" s="1" t="s">
        <v>7328</v>
      </c>
      <c r="C21525" s="1" t="s">
        <v>7329</v>
      </c>
      <c r="D21525" s="22" t="str">
        <f>HYPERLINK("https://rhld.insurance.arkansas.gov/NPILookup?Npi=1083336382","1083336382")</f>
        <v>1083336382</v>
      </c>
      <c r="E21525" s="1" t="s">
        <v>2360</v>
      </c>
      <c r="F21525" s="2"/>
      <c r="G21525" s="2"/>
      <c r="H21525" s="2"/>
    </row>
    <row r="21526" spans="1:8" x14ac:dyDescent="0.25">
      <c r="A21526" s="1"/>
      <c r="B21526" s="1" t="s">
        <v>7328</v>
      </c>
      <c r="C21526" s="1" t="s">
        <v>7329</v>
      </c>
      <c r="D21526" s="22" t="str">
        <f>HYPERLINK("https://rhld.insurance.arkansas.gov/NPILookup?Npi=1083347256","1083347256")</f>
        <v>1083347256</v>
      </c>
      <c r="E21526" s="1" t="s">
        <v>7412</v>
      </c>
      <c r="F21526" s="2"/>
      <c r="G21526" s="2"/>
      <c r="H21526" s="2"/>
    </row>
    <row r="21527" spans="1:8" x14ac:dyDescent="0.25">
      <c r="A21527" s="1"/>
      <c r="B21527" s="1" t="s">
        <v>7328</v>
      </c>
      <c r="C21527" s="1" t="s">
        <v>7329</v>
      </c>
      <c r="D21527" s="22" t="str">
        <f>HYPERLINK("https://rhld.insurance.arkansas.gov/NPILookup?Npi=1083354302","1083354302")</f>
        <v>1083354302</v>
      </c>
      <c r="E21527" s="1" t="s">
        <v>25493</v>
      </c>
      <c r="F21527" s="2"/>
      <c r="G21527" s="2"/>
      <c r="H21527" s="2"/>
    </row>
    <row r="21528" spans="1:8" x14ac:dyDescent="0.25">
      <c r="A21528" s="1"/>
      <c r="B21528" s="1" t="s">
        <v>7328</v>
      </c>
      <c r="C21528" s="1" t="s">
        <v>7329</v>
      </c>
      <c r="D21528" s="22" t="str">
        <f>HYPERLINK("https://rhld.insurance.arkansas.gov/NPILookup?Npi=1083361604","1083361604")</f>
        <v>1083361604</v>
      </c>
      <c r="E21528" s="1" t="s">
        <v>25494</v>
      </c>
      <c r="F21528" s="2"/>
      <c r="G21528" s="2"/>
      <c r="H21528" s="2"/>
    </row>
    <row r="21529" spans="1:8" x14ac:dyDescent="0.25">
      <c r="A21529" s="1"/>
      <c r="B21529" s="1" t="s">
        <v>7328</v>
      </c>
      <c r="C21529" s="1" t="s">
        <v>7329</v>
      </c>
      <c r="D21529" s="22" t="str">
        <f>HYPERLINK("https://rhld.insurance.arkansas.gov/NPILookup?Npi=1083363592","1083363592")</f>
        <v>1083363592</v>
      </c>
      <c r="E21529" s="1" t="s">
        <v>6175</v>
      </c>
      <c r="F21529" s="2"/>
      <c r="G21529" s="2"/>
      <c r="H21529" s="2"/>
    </row>
    <row r="21530" spans="1:8" x14ac:dyDescent="0.25">
      <c r="A21530" s="1"/>
      <c r="B21530" s="1" t="s">
        <v>7328</v>
      </c>
      <c r="C21530" s="1" t="s">
        <v>7329</v>
      </c>
      <c r="D21530" s="22" t="str">
        <f>HYPERLINK("https://rhld.insurance.arkansas.gov/NPILookup?Npi=1083366975","1083366975")</f>
        <v>1083366975</v>
      </c>
      <c r="E21530" s="1" t="s">
        <v>7413</v>
      </c>
      <c r="F21530" s="2"/>
      <c r="G21530" s="2"/>
      <c r="H21530" s="2"/>
    </row>
    <row r="21531" spans="1:8" x14ac:dyDescent="0.25">
      <c r="A21531" s="1"/>
      <c r="B21531" s="1" t="s">
        <v>7328</v>
      </c>
      <c r="C21531" s="1" t="s">
        <v>7329</v>
      </c>
      <c r="D21531" s="22" t="str">
        <f>HYPERLINK("https://rhld.insurance.arkansas.gov/NPILookup?Npi=1083368351","1083368351")</f>
        <v>1083368351</v>
      </c>
      <c r="E21531" s="1" t="s">
        <v>25495</v>
      </c>
      <c r="F21531" s="2"/>
      <c r="G21531" s="2"/>
      <c r="H21531" s="2"/>
    </row>
    <row r="21532" spans="1:8" x14ac:dyDescent="0.25">
      <c r="A21532" s="1"/>
      <c r="B21532" s="1" t="s">
        <v>7328</v>
      </c>
      <c r="C21532" s="1" t="s">
        <v>7329</v>
      </c>
      <c r="D21532" s="22" t="str">
        <f>HYPERLINK("https://rhld.insurance.arkansas.gov/NPILookup?Npi=1083370100","1083370100")</f>
        <v>1083370100</v>
      </c>
      <c r="E21532" s="1" t="s">
        <v>7414</v>
      </c>
      <c r="F21532" s="2"/>
      <c r="G21532" s="2"/>
      <c r="H21532" s="2"/>
    </row>
    <row r="21533" spans="1:8" x14ac:dyDescent="0.25">
      <c r="A21533" s="1"/>
      <c r="B21533" s="1" t="s">
        <v>7328</v>
      </c>
      <c r="C21533" s="1" t="s">
        <v>7329</v>
      </c>
      <c r="D21533" s="22" t="str">
        <f>HYPERLINK("https://rhld.insurance.arkansas.gov/NPILookup?Npi=1083371686","1083371686")</f>
        <v>1083371686</v>
      </c>
      <c r="E21533" s="1" t="s">
        <v>25496</v>
      </c>
      <c r="F21533" s="2"/>
      <c r="G21533" s="2"/>
      <c r="H21533" s="2"/>
    </row>
    <row r="21534" spans="1:8" x14ac:dyDescent="0.25">
      <c r="A21534" s="1"/>
      <c r="B21534" s="1" t="s">
        <v>7328</v>
      </c>
      <c r="C21534" s="1" t="s">
        <v>7329</v>
      </c>
      <c r="D21534" s="22" t="str">
        <f>HYPERLINK("https://rhld.insurance.arkansas.gov/NPILookup?Npi=1083388359","1083388359")</f>
        <v>1083388359</v>
      </c>
      <c r="E21534" s="1" t="s">
        <v>12678</v>
      </c>
      <c r="F21534" s="2"/>
      <c r="G21534" s="2"/>
      <c r="H21534" s="2"/>
    </row>
    <row r="21535" spans="1:8" x14ac:dyDescent="0.25">
      <c r="A21535" s="1"/>
      <c r="B21535" s="1" t="s">
        <v>7328</v>
      </c>
      <c r="C21535" s="1" t="s">
        <v>7329</v>
      </c>
      <c r="D21535" s="22" t="str">
        <f>HYPERLINK("https://rhld.insurance.arkansas.gov/NPILookup?Npi=1083433403","1083433403")</f>
        <v>1083433403</v>
      </c>
      <c r="E21535" s="1" t="s">
        <v>32109</v>
      </c>
      <c r="F21535" s="2"/>
      <c r="G21535" s="2"/>
      <c r="H21535" s="2"/>
    </row>
    <row r="21536" spans="1:8" x14ac:dyDescent="0.25">
      <c r="A21536" s="1"/>
      <c r="B21536" s="1" t="s">
        <v>7328</v>
      </c>
      <c r="C21536" s="1" t="s">
        <v>7329</v>
      </c>
      <c r="D21536" s="22" t="str">
        <f>HYPERLINK("https://rhld.insurance.arkansas.gov/NPILookup?Npi=1083433981","1083433981")</f>
        <v>1083433981</v>
      </c>
      <c r="E21536" s="1" t="s">
        <v>32110</v>
      </c>
      <c r="F21536" s="2"/>
      <c r="G21536" s="2"/>
      <c r="H21536" s="2"/>
    </row>
    <row r="21537" spans="1:8" x14ac:dyDescent="0.25">
      <c r="A21537" s="1"/>
      <c r="B21537" s="1" t="s">
        <v>7328</v>
      </c>
      <c r="C21537" s="1" t="s">
        <v>7329</v>
      </c>
      <c r="D21537" s="22" t="str">
        <f>HYPERLINK("https://rhld.insurance.arkansas.gov/NPILookup?Npi=1083450910","1083450910")</f>
        <v>1083450910</v>
      </c>
      <c r="E21537" s="1" t="s">
        <v>25497</v>
      </c>
      <c r="F21537" s="2"/>
      <c r="G21537" s="2"/>
      <c r="H21537" s="2"/>
    </row>
    <row r="21538" spans="1:8" x14ac:dyDescent="0.25">
      <c r="A21538" s="1"/>
      <c r="B21538" s="1" t="s">
        <v>7328</v>
      </c>
      <c r="C21538" s="1" t="s">
        <v>7329</v>
      </c>
      <c r="D21538" s="22" t="str">
        <f>HYPERLINK("https://rhld.insurance.arkansas.gov/NPILookup?Npi=1083477327","1083477327")</f>
        <v>1083477327</v>
      </c>
      <c r="E21538" s="1" t="s">
        <v>25498</v>
      </c>
      <c r="F21538" s="2"/>
      <c r="G21538" s="2"/>
      <c r="H21538" s="2"/>
    </row>
    <row r="21539" spans="1:8" x14ac:dyDescent="0.25">
      <c r="A21539" s="1"/>
      <c r="B21539" s="1" t="s">
        <v>7328</v>
      </c>
      <c r="C21539" s="1" t="s">
        <v>7329</v>
      </c>
      <c r="D21539" s="22" t="str">
        <f>HYPERLINK("https://rhld.insurance.arkansas.gov/NPILookup?Npi=1083481139","1083481139")</f>
        <v>1083481139</v>
      </c>
      <c r="E21539" s="1" t="s">
        <v>25499</v>
      </c>
      <c r="F21539" s="2"/>
      <c r="G21539" s="2"/>
      <c r="H21539" s="2"/>
    </row>
    <row r="21540" spans="1:8" x14ac:dyDescent="0.25">
      <c r="A21540" s="1"/>
      <c r="B21540" s="1" t="s">
        <v>7328</v>
      </c>
      <c r="C21540" s="1" t="s">
        <v>7329</v>
      </c>
      <c r="D21540" s="22" t="str">
        <f>HYPERLINK("https://rhld.insurance.arkansas.gov/NPILookup?Npi=1083481501","1083481501")</f>
        <v>1083481501</v>
      </c>
      <c r="E21540" s="1" t="s">
        <v>21132</v>
      </c>
      <c r="F21540" s="2"/>
      <c r="G21540" s="2"/>
      <c r="H21540" s="2"/>
    </row>
    <row r="21541" spans="1:8" x14ac:dyDescent="0.25">
      <c r="A21541" s="1"/>
      <c r="B21541" s="1" t="s">
        <v>7328</v>
      </c>
      <c r="C21541" s="1" t="s">
        <v>7329</v>
      </c>
      <c r="D21541" s="22" t="str">
        <f>HYPERLINK("https://rhld.insurance.arkansas.gov/NPILookup?Npi=1083486351","1083486351")</f>
        <v>1083486351</v>
      </c>
      <c r="E21541" s="1" t="s">
        <v>25500</v>
      </c>
      <c r="F21541" s="2"/>
      <c r="G21541" s="2"/>
      <c r="H21541" s="2"/>
    </row>
    <row r="21542" spans="1:8" x14ac:dyDescent="0.25">
      <c r="A21542" s="1"/>
      <c r="B21542" s="1" t="s">
        <v>7328</v>
      </c>
      <c r="C21542" s="1" t="s">
        <v>7329</v>
      </c>
      <c r="D21542" s="22" t="str">
        <f>HYPERLINK("https://rhld.insurance.arkansas.gov/NPILookup?Npi=1083602825","1083602825")</f>
        <v>1083602825</v>
      </c>
      <c r="E21542" s="1" t="s">
        <v>1960</v>
      </c>
      <c r="F21542" s="2"/>
      <c r="G21542" s="2"/>
      <c r="H21542" s="2"/>
    </row>
    <row r="21543" spans="1:8" x14ac:dyDescent="0.25">
      <c r="A21543" s="1"/>
      <c r="B21543" s="1" t="s">
        <v>7328</v>
      </c>
      <c r="C21543" s="1" t="s">
        <v>7329</v>
      </c>
      <c r="D21543" s="22" t="str">
        <f>HYPERLINK("https://rhld.insurance.arkansas.gov/NPILookup?Npi=1083602882","1083602882")</f>
        <v>1083602882</v>
      </c>
      <c r="E21543" s="1" t="s">
        <v>16812</v>
      </c>
      <c r="F21543" s="2"/>
      <c r="G21543" s="2"/>
      <c r="H21543" s="2"/>
    </row>
    <row r="21544" spans="1:8" x14ac:dyDescent="0.25">
      <c r="A21544" s="1"/>
      <c r="B21544" s="1" t="s">
        <v>7328</v>
      </c>
      <c r="C21544" s="1" t="s">
        <v>7329</v>
      </c>
      <c r="D21544" s="22" t="str">
        <f>HYPERLINK("https://rhld.insurance.arkansas.gov/NPILookup?Npi=1083603369","1083603369")</f>
        <v>1083603369</v>
      </c>
      <c r="E21544" s="1" t="s">
        <v>12679</v>
      </c>
      <c r="F21544" s="2"/>
      <c r="G21544" s="2"/>
      <c r="H21544" s="2"/>
    </row>
    <row r="21545" spans="1:8" x14ac:dyDescent="0.25">
      <c r="A21545" s="1"/>
      <c r="B21545" s="1" t="s">
        <v>7328</v>
      </c>
      <c r="C21545" s="1" t="s">
        <v>7329</v>
      </c>
      <c r="D21545" s="22" t="str">
        <f>HYPERLINK("https://rhld.insurance.arkansas.gov/NPILookup?Npi=1083604060","1083604060")</f>
        <v>1083604060</v>
      </c>
      <c r="E21545" s="1" t="s">
        <v>25501</v>
      </c>
      <c r="F21545" s="2"/>
      <c r="G21545" s="2"/>
      <c r="H21545" s="2"/>
    </row>
    <row r="21546" spans="1:8" x14ac:dyDescent="0.25">
      <c r="A21546" s="1"/>
      <c r="B21546" s="1" t="s">
        <v>7328</v>
      </c>
      <c r="C21546" s="1" t="s">
        <v>7329</v>
      </c>
      <c r="D21546" s="22" t="str">
        <f>HYPERLINK("https://rhld.insurance.arkansas.gov/NPILookup?Npi=1083611057","1083611057")</f>
        <v>1083611057</v>
      </c>
      <c r="E21546" s="1" t="s">
        <v>25502</v>
      </c>
      <c r="F21546" s="2"/>
      <c r="G21546" s="2"/>
      <c r="H21546" s="2"/>
    </row>
    <row r="21547" spans="1:8" x14ac:dyDescent="0.25">
      <c r="A21547" s="1"/>
      <c r="B21547" s="1" t="s">
        <v>7328</v>
      </c>
      <c r="C21547" s="1" t="s">
        <v>7329</v>
      </c>
      <c r="D21547" s="22" t="str">
        <f>HYPERLINK("https://rhld.insurance.arkansas.gov/NPILookup?Npi=1083615348","1083615348")</f>
        <v>1083615348</v>
      </c>
      <c r="E21547" s="1" t="s">
        <v>12680</v>
      </c>
      <c r="F21547" s="2"/>
      <c r="G21547" s="2"/>
      <c r="H21547" s="2"/>
    </row>
    <row r="21548" spans="1:8" x14ac:dyDescent="0.25">
      <c r="A21548" s="1"/>
      <c r="B21548" s="1" t="s">
        <v>7328</v>
      </c>
      <c r="C21548" s="1" t="s">
        <v>7329</v>
      </c>
      <c r="D21548" s="22" t="str">
        <f>HYPERLINK("https://rhld.insurance.arkansas.gov/NPILookup?Npi=1083616080","1083616080")</f>
        <v>1083616080</v>
      </c>
      <c r="E21548" s="1" t="s">
        <v>25503</v>
      </c>
      <c r="F21548" s="2"/>
      <c r="G21548" s="2"/>
      <c r="H21548" s="2"/>
    </row>
    <row r="21549" spans="1:8" x14ac:dyDescent="0.25">
      <c r="A21549" s="1"/>
      <c r="B21549" s="1" t="s">
        <v>7328</v>
      </c>
      <c r="C21549" s="1" t="s">
        <v>7329</v>
      </c>
      <c r="D21549" s="22" t="str">
        <f>HYPERLINK("https://rhld.insurance.arkansas.gov/NPILookup?Npi=1083618953","1083618953")</f>
        <v>1083618953</v>
      </c>
      <c r="E21549" s="1" t="s">
        <v>832</v>
      </c>
      <c r="F21549" s="2"/>
      <c r="G21549" s="2"/>
      <c r="H21549" s="2"/>
    </row>
    <row r="21550" spans="1:8" x14ac:dyDescent="0.25">
      <c r="A21550" s="1"/>
      <c r="B21550" s="1" t="s">
        <v>7328</v>
      </c>
      <c r="C21550" s="1" t="s">
        <v>7329</v>
      </c>
      <c r="D21550" s="22" t="str">
        <f>HYPERLINK("https://rhld.insurance.arkansas.gov/NPILookup?Npi=1083626998","1083626998")</f>
        <v>1083626998</v>
      </c>
      <c r="E21550" s="1" t="s">
        <v>25504</v>
      </c>
      <c r="F21550" s="2"/>
      <c r="G21550" s="2"/>
      <c r="H21550" s="2"/>
    </row>
    <row r="21551" spans="1:8" x14ac:dyDescent="0.25">
      <c r="A21551" s="1"/>
      <c r="B21551" s="1" t="s">
        <v>7328</v>
      </c>
      <c r="C21551" s="1" t="s">
        <v>7329</v>
      </c>
      <c r="D21551" s="22" t="str">
        <f>HYPERLINK("https://rhld.insurance.arkansas.gov/NPILookup?Npi=1083641252","1083641252")</f>
        <v>1083641252</v>
      </c>
      <c r="E21551" s="1" t="s">
        <v>1961</v>
      </c>
      <c r="F21551" s="2"/>
      <c r="G21551" s="2"/>
      <c r="H21551" s="2"/>
    </row>
    <row r="21552" spans="1:8" x14ac:dyDescent="0.25">
      <c r="A21552" s="1"/>
      <c r="B21552" s="1" t="s">
        <v>7328</v>
      </c>
      <c r="C21552" s="1" t="s">
        <v>7329</v>
      </c>
      <c r="D21552" s="22" t="str">
        <f>HYPERLINK("https://rhld.insurance.arkansas.gov/NPILookup?Npi=1083666234","1083666234")</f>
        <v>1083666234</v>
      </c>
      <c r="E21552" s="1" t="s">
        <v>25505</v>
      </c>
      <c r="F21552" s="2"/>
      <c r="G21552" s="2"/>
      <c r="H21552" s="2"/>
    </row>
    <row r="21553" spans="1:8" x14ac:dyDescent="0.25">
      <c r="A21553" s="1"/>
      <c r="B21553" s="1" t="s">
        <v>7328</v>
      </c>
      <c r="C21553" s="1" t="s">
        <v>7329</v>
      </c>
      <c r="D21553" s="22" t="str">
        <f>HYPERLINK("https://rhld.insurance.arkansas.gov/NPILookup?Npi=1083670566","1083670566")</f>
        <v>1083670566</v>
      </c>
      <c r="E21553" s="1" t="s">
        <v>2631</v>
      </c>
      <c r="F21553" s="2"/>
      <c r="G21553" s="2"/>
      <c r="H21553" s="2"/>
    </row>
    <row r="21554" spans="1:8" x14ac:dyDescent="0.25">
      <c r="A21554" s="1"/>
      <c r="B21554" s="1" t="s">
        <v>7328</v>
      </c>
      <c r="C21554" s="1" t="s">
        <v>7329</v>
      </c>
      <c r="D21554" s="22" t="str">
        <f>HYPERLINK("https://rhld.insurance.arkansas.gov/NPILookup?Npi=1083670830","1083670830")</f>
        <v>1083670830</v>
      </c>
      <c r="E21554" s="1" t="s">
        <v>25506</v>
      </c>
      <c r="F21554" s="2"/>
      <c r="G21554" s="2"/>
      <c r="H21554" s="2"/>
    </row>
    <row r="21555" spans="1:8" x14ac:dyDescent="0.25">
      <c r="A21555" s="1"/>
      <c r="B21555" s="1" t="s">
        <v>7328</v>
      </c>
      <c r="C21555" s="1" t="s">
        <v>7329</v>
      </c>
      <c r="D21555" s="22" t="str">
        <f>HYPERLINK("https://rhld.insurance.arkansas.gov/NPILookup?Npi=1083675284","1083675284")</f>
        <v>1083675284</v>
      </c>
      <c r="E21555" s="1" t="s">
        <v>17191</v>
      </c>
      <c r="F21555" s="2"/>
      <c r="G21555" s="2"/>
      <c r="H21555" s="2"/>
    </row>
    <row r="21556" spans="1:8" x14ac:dyDescent="0.25">
      <c r="A21556" s="1"/>
      <c r="B21556" s="1" t="s">
        <v>7328</v>
      </c>
      <c r="C21556" s="1" t="s">
        <v>7329</v>
      </c>
      <c r="D21556" s="22" t="str">
        <f>HYPERLINK("https://rhld.insurance.arkansas.gov/NPILookup?Npi=1083677058","1083677058")</f>
        <v>1083677058</v>
      </c>
      <c r="E21556" s="1" t="s">
        <v>25507</v>
      </c>
      <c r="F21556" s="2"/>
      <c r="G21556" s="2"/>
      <c r="H21556" s="2"/>
    </row>
    <row r="21557" spans="1:8" x14ac:dyDescent="0.25">
      <c r="A21557" s="1"/>
      <c r="B21557" s="1" t="s">
        <v>7328</v>
      </c>
      <c r="C21557" s="1" t="s">
        <v>7329</v>
      </c>
      <c r="D21557" s="22" t="str">
        <f>HYPERLINK("https://rhld.insurance.arkansas.gov/NPILookup?Npi=1083685416","1083685416")</f>
        <v>1083685416</v>
      </c>
      <c r="E21557" s="1" t="s">
        <v>16665</v>
      </c>
      <c r="F21557" s="2"/>
      <c r="G21557" s="2"/>
      <c r="H21557" s="2"/>
    </row>
    <row r="21558" spans="1:8" x14ac:dyDescent="0.25">
      <c r="A21558" s="1"/>
      <c r="B21558" s="1" t="s">
        <v>7328</v>
      </c>
      <c r="C21558" s="1" t="s">
        <v>7329</v>
      </c>
      <c r="D21558" s="22" t="str">
        <f>HYPERLINK("https://rhld.insurance.arkansas.gov/NPILookup?Npi=1083689855","1083689855")</f>
        <v>1083689855</v>
      </c>
      <c r="E21558" s="1" t="s">
        <v>17192</v>
      </c>
      <c r="F21558" s="2"/>
      <c r="G21558" s="2"/>
      <c r="H21558" s="2"/>
    </row>
    <row r="21559" spans="1:8" x14ac:dyDescent="0.25">
      <c r="A21559" s="1"/>
      <c r="B21559" s="1" t="s">
        <v>7328</v>
      </c>
      <c r="C21559" s="1" t="s">
        <v>7329</v>
      </c>
      <c r="D21559" s="22" t="str">
        <f>HYPERLINK("https://rhld.insurance.arkansas.gov/NPILookup?Npi=1083692677","1083692677")</f>
        <v>1083692677</v>
      </c>
      <c r="E21559" s="1" t="s">
        <v>222</v>
      </c>
      <c r="F21559" s="2"/>
      <c r="G21559" s="2"/>
      <c r="H21559" s="2"/>
    </row>
    <row r="21560" spans="1:8" x14ac:dyDescent="0.25">
      <c r="A21560" s="1"/>
      <c r="B21560" s="1" t="s">
        <v>7328</v>
      </c>
      <c r="C21560" s="1" t="s">
        <v>7329</v>
      </c>
      <c r="D21560" s="22" t="str">
        <f>HYPERLINK("https://rhld.insurance.arkansas.gov/NPILookup?Npi=1083703896","1083703896")</f>
        <v>1083703896</v>
      </c>
      <c r="E21560" s="1" t="s">
        <v>2632</v>
      </c>
      <c r="F21560" s="2"/>
      <c r="G21560" s="2"/>
      <c r="H21560" s="2"/>
    </row>
    <row r="21561" spans="1:8" x14ac:dyDescent="0.25">
      <c r="A21561" s="1"/>
      <c r="B21561" s="1" t="s">
        <v>7328</v>
      </c>
      <c r="C21561" s="1" t="s">
        <v>7329</v>
      </c>
      <c r="D21561" s="22" t="str">
        <f>HYPERLINK("https://rhld.insurance.arkansas.gov/NPILookup?Npi=1083705388","1083705388")</f>
        <v>1083705388</v>
      </c>
      <c r="E21561" s="1" t="s">
        <v>25509</v>
      </c>
      <c r="F21561" s="2"/>
      <c r="G21561" s="2"/>
      <c r="H21561" s="2"/>
    </row>
    <row r="21562" spans="1:8" x14ac:dyDescent="0.25">
      <c r="A21562" s="1"/>
      <c r="B21562" s="1" t="s">
        <v>7328</v>
      </c>
      <c r="C21562" s="1" t="s">
        <v>7329</v>
      </c>
      <c r="D21562" s="22" t="str">
        <f>HYPERLINK("https://rhld.insurance.arkansas.gov/NPILookup?Npi=1083714117","1083714117")</f>
        <v>1083714117</v>
      </c>
      <c r="E21562" s="1" t="s">
        <v>1962</v>
      </c>
      <c r="F21562" s="2"/>
      <c r="G21562" s="2"/>
      <c r="H21562" s="2"/>
    </row>
    <row r="21563" spans="1:8" x14ac:dyDescent="0.25">
      <c r="A21563" s="1"/>
      <c r="B21563" s="1" t="s">
        <v>7328</v>
      </c>
      <c r="C21563" s="1" t="s">
        <v>7329</v>
      </c>
      <c r="D21563" s="22" t="str">
        <f>HYPERLINK("https://rhld.insurance.arkansas.gov/NPILookup?Npi=1083756803","1083756803")</f>
        <v>1083756803</v>
      </c>
      <c r="E21563" s="1" t="s">
        <v>25510</v>
      </c>
      <c r="F21563" s="2"/>
      <c r="G21563" s="2"/>
      <c r="H21563" s="2"/>
    </row>
    <row r="21564" spans="1:8" x14ac:dyDescent="0.25">
      <c r="A21564" s="1"/>
      <c r="B21564" s="1" t="s">
        <v>7328</v>
      </c>
      <c r="C21564" s="1" t="s">
        <v>7329</v>
      </c>
      <c r="D21564" s="22" t="str">
        <f>HYPERLINK("https://rhld.insurance.arkansas.gov/NPILookup?Npi=1083768618","1083768618")</f>
        <v>1083768618</v>
      </c>
      <c r="E21564" s="1" t="s">
        <v>2144</v>
      </c>
      <c r="F21564" s="2"/>
      <c r="G21564" s="2"/>
      <c r="H21564" s="2"/>
    </row>
    <row r="21565" spans="1:8" x14ac:dyDescent="0.25">
      <c r="A21565" s="1"/>
      <c r="B21565" s="1" t="s">
        <v>7328</v>
      </c>
      <c r="C21565" s="1" t="s">
        <v>7329</v>
      </c>
      <c r="D21565" s="22" t="str">
        <f>HYPERLINK("https://rhld.insurance.arkansas.gov/NPILookup?Npi=1083779235","1083779235")</f>
        <v>1083779235</v>
      </c>
      <c r="E21565" s="1" t="s">
        <v>2633</v>
      </c>
      <c r="F21565" s="2"/>
      <c r="G21565" s="2"/>
      <c r="H21565" s="2"/>
    </row>
    <row r="21566" spans="1:8" x14ac:dyDescent="0.25">
      <c r="A21566" s="1"/>
      <c r="B21566" s="1" t="s">
        <v>7328</v>
      </c>
      <c r="C21566" s="1" t="s">
        <v>7329</v>
      </c>
      <c r="D21566" s="22" t="str">
        <f>HYPERLINK("https://rhld.insurance.arkansas.gov/NPILookup?Npi=1083783187","1083783187")</f>
        <v>1083783187</v>
      </c>
      <c r="E21566" s="1" t="s">
        <v>25511</v>
      </c>
      <c r="F21566" s="2"/>
      <c r="G21566" s="2"/>
      <c r="H21566" s="2"/>
    </row>
    <row r="21567" spans="1:8" x14ac:dyDescent="0.25">
      <c r="A21567" s="1"/>
      <c r="B21567" s="1" t="s">
        <v>7328</v>
      </c>
      <c r="C21567" s="1" t="s">
        <v>7329</v>
      </c>
      <c r="D21567" s="22" t="str">
        <f>HYPERLINK("https://rhld.insurance.arkansas.gov/NPILookup?Npi=1083790083","1083790083")</f>
        <v>1083790083</v>
      </c>
      <c r="E21567" s="1" t="s">
        <v>4233</v>
      </c>
      <c r="F21567" s="2"/>
      <c r="G21567" s="2"/>
      <c r="H21567" s="2"/>
    </row>
    <row r="21568" spans="1:8" x14ac:dyDescent="0.25">
      <c r="A21568" s="1"/>
      <c r="B21568" s="1" t="s">
        <v>7328</v>
      </c>
      <c r="C21568" s="1" t="s">
        <v>7329</v>
      </c>
      <c r="D21568" s="22" t="str">
        <f>HYPERLINK("https://rhld.insurance.arkansas.gov/NPILookup?Npi=1083808067","1083808067")</f>
        <v>1083808067</v>
      </c>
      <c r="E21568" s="1" t="s">
        <v>25512</v>
      </c>
      <c r="F21568" s="2"/>
      <c r="G21568" s="2"/>
      <c r="H21568" s="2"/>
    </row>
    <row r="21569" spans="1:8" x14ac:dyDescent="0.25">
      <c r="A21569" s="1"/>
      <c r="B21569" s="1" t="s">
        <v>7328</v>
      </c>
      <c r="C21569" s="1" t="s">
        <v>7329</v>
      </c>
      <c r="D21569" s="22" t="str">
        <f>HYPERLINK("https://rhld.insurance.arkansas.gov/NPILookup?Npi=1083824452","1083824452")</f>
        <v>1083824452</v>
      </c>
      <c r="E21569" s="1" t="s">
        <v>1754</v>
      </c>
      <c r="F21569" s="2"/>
      <c r="G21569" s="2"/>
      <c r="H21569" s="2"/>
    </row>
    <row r="21570" spans="1:8" x14ac:dyDescent="0.25">
      <c r="A21570" s="1"/>
      <c r="B21570" s="1" t="s">
        <v>7328</v>
      </c>
      <c r="C21570" s="1" t="s">
        <v>7329</v>
      </c>
      <c r="D21570" s="22" t="str">
        <f>HYPERLINK("https://rhld.insurance.arkansas.gov/NPILookup?Npi=1083849772","1083849772")</f>
        <v>1083849772</v>
      </c>
      <c r="E21570" s="1" t="s">
        <v>25513</v>
      </c>
      <c r="F21570" s="2"/>
      <c r="G21570" s="2"/>
      <c r="H21570" s="2"/>
    </row>
    <row r="21571" spans="1:8" x14ac:dyDescent="0.25">
      <c r="A21571" s="1"/>
      <c r="B21571" s="1" t="s">
        <v>7328</v>
      </c>
      <c r="C21571" s="1" t="s">
        <v>7329</v>
      </c>
      <c r="D21571" s="22" t="str">
        <f>HYPERLINK("https://rhld.insurance.arkansas.gov/NPILookup?Npi=1083856892","1083856892")</f>
        <v>1083856892</v>
      </c>
      <c r="E21571" s="1" t="s">
        <v>7415</v>
      </c>
      <c r="F21571" s="2"/>
      <c r="G21571" s="2"/>
      <c r="H21571" s="2"/>
    </row>
    <row r="21572" spans="1:8" x14ac:dyDescent="0.25">
      <c r="A21572" s="1"/>
      <c r="B21572" s="1" t="s">
        <v>7328</v>
      </c>
      <c r="C21572" s="1" t="s">
        <v>7329</v>
      </c>
      <c r="D21572" s="22" t="str">
        <f>HYPERLINK("https://rhld.insurance.arkansas.gov/NPILookup?Npi=1083861389","1083861389")</f>
        <v>1083861389</v>
      </c>
      <c r="E21572" s="1" t="s">
        <v>7416</v>
      </c>
      <c r="F21572" s="2"/>
      <c r="G21572" s="2"/>
      <c r="H21572" s="2"/>
    </row>
    <row r="21573" spans="1:8" x14ac:dyDescent="0.25">
      <c r="A21573" s="1"/>
      <c r="B21573" s="1" t="s">
        <v>7328</v>
      </c>
      <c r="C21573" s="1" t="s">
        <v>7329</v>
      </c>
      <c r="D21573" s="22" t="str">
        <f>HYPERLINK("https://rhld.insurance.arkansas.gov/NPILookup?Npi=1083867444","1083867444")</f>
        <v>1083867444</v>
      </c>
      <c r="E21573" s="1" t="s">
        <v>25514</v>
      </c>
      <c r="F21573" s="2"/>
      <c r="G21573" s="2"/>
      <c r="H21573" s="2"/>
    </row>
    <row r="21574" spans="1:8" x14ac:dyDescent="0.25">
      <c r="A21574" s="1"/>
      <c r="B21574" s="1" t="s">
        <v>7328</v>
      </c>
      <c r="C21574" s="1" t="s">
        <v>7329</v>
      </c>
      <c r="D21574" s="22" t="str">
        <f>HYPERLINK("https://rhld.insurance.arkansas.gov/NPILookup?Npi=1083873590","1083873590")</f>
        <v>1083873590</v>
      </c>
      <c r="E21574" s="1" t="s">
        <v>25515</v>
      </c>
      <c r="F21574" s="2"/>
      <c r="G21574" s="2"/>
      <c r="H21574" s="2"/>
    </row>
    <row r="21575" spans="1:8" x14ac:dyDescent="0.25">
      <c r="A21575" s="1"/>
      <c r="B21575" s="1" t="s">
        <v>7328</v>
      </c>
      <c r="C21575" s="1" t="s">
        <v>7329</v>
      </c>
      <c r="D21575" s="22" t="str">
        <f>HYPERLINK("https://rhld.insurance.arkansas.gov/NPILookup?Npi=1083920086","1083920086")</f>
        <v>1083920086</v>
      </c>
      <c r="E21575" s="1" t="s">
        <v>12682</v>
      </c>
      <c r="F21575" s="2"/>
      <c r="G21575" s="2"/>
      <c r="H21575" s="2"/>
    </row>
    <row r="21576" spans="1:8" x14ac:dyDescent="0.25">
      <c r="A21576" s="1"/>
      <c r="B21576" s="1" t="s">
        <v>7328</v>
      </c>
      <c r="C21576" s="1" t="s">
        <v>7329</v>
      </c>
      <c r="D21576" s="22" t="str">
        <f>HYPERLINK("https://rhld.insurance.arkansas.gov/NPILookup?Npi=1083931331","1083931331")</f>
        <v>1083931331</v>
      </c>
      <c r="E21576" s="1" t="s">
        <v>25516</v>
      </c>
      <c r="F21576" s="2"/>
      <c r="G21576" s="2"/>
      <c r="H21576" s="2"/>
    </row>
    <row r="21577" spans="1:8" x14ac:dyDescent="0.25">
      <c r="A21577" s="1"/>
      <c r="B21577" s="1" t="s">
        <v>7328</v>
      </c>
      <c r="C21577" s="1" t="s">
        <v>7329</v>
      </c>
      <c r="D21577" s="22" t="str">
        <f>HYPERLINK("https://rhld.insurance.arkansas.gov/NPILookup?Npi=1083934632","1083934632")</f>
        <v>1083934632</v>
      </c>
      <c r="E21577" s="1" t="s">
        <v>94</v>
      </c>
      <c r="F21577" s="2"/>
      <c r="G21577" s="2"/>
      <c r="H21577" s="2"/>
    </row>
    <row r="21578" spans="1:8" x14ac:dyDescent="0.25">
      <c r="A21578" s="1"/>
      <c r="B21578" s="1" t="s">
        <v>7328</v>
      </c>
      <c r="C21578" s="1" t="s">
        <v>7329</v>
      </c>
      <c r="D21578" s="22" t="str">
        <f>HYPERLINK("https://rhld.insurance.arkansas.gov/NPILookup?Npi=1083959266","1083959266")</f>
        <v>1083959266</v>
      </c>
      <c r="E21578" s="1" t="s">
        <v>12683</v>
      </c>
      <c r="F21578" s="2"/>
      <c r="G21578" s="2"/>
      <c r="H21578" s="2"/>
    </row>
    <row r="21579" spans="1:8" x14ac:dyDescent="0.25">
      <c r="A21579" s="1"/>
      <c r="B21579" s="1" t="s">
        <v>7328</v>
      </c>
      <c r="C21579" s="1" t="s">
        <v>7329</v>
      </c>
      <c r="D21579" s="22" t="str">
        <f>HYPERLINK("https://rhld.insurance.arkansas.gov/NPILookup?Npi=1083976534","1083976534")</f>
        <v>1083976534</v>
      </c>
      <c r="E21579" s="1" t="s">
        <v>25517</v>
      </c>
      <c r="F21579" s="2"/>
      <c r="G21579" s="2"/>
      <c r="H21579" s="2"/>
    </row>
    <row r="21580" spans="1:8" x14ac:dyDescent="0.25">
      <c r="A21580" s="1"/>
      <c r="B21580" s="1" t="s">
        <v>7328</v>
      </c>
      <c r="C21580" s="1" t="s">
        <v>7329</v>
      </c>
      <c r="D21580" s="22" t="str">
        <f>HYPERLINK("https://rhld.insurance.arkansas.gov/NPILookup?Npi=1093002313","1093002313")</f>
        <v>1093002313</v>
      </c>
      <c r="E21580" s="1" t="s">
        <v>25518</v>
      </c>
      <c r="F21580" s="2"/>
      <c r="G21580" s="2"/>
      <c r="H21580" s="2"/>
    </row>
    <row r="21581" spans="1:8" x14ac:dyDescent="0.25">
      <c r="A21581" s="1"/>
      <c r="B21581" s="1" t="s">
        <v>7328</v>
      </c>
      <c r="C21581" s="1" t="s">
        <v>7329</v>
      </c>
      <c r="D21581" s="22" t="str">
        <f>HYPERLINK("https://rhld.insurance.arkansas.gov/NPILookup?Npi=1093002768","1093002768")</f>
        <v>1093002768</v>
      </c>
      <c r="E21581" s="1" t="s">
        <v>32111</v>
      </c>
      <c r="F21581" s="2"/>
      <c r="G21581" s="2"/>
      <c r="H21581" s="2"/>
    </row>
    <row r="21582" spans="1:8" x14ac:dyDescent="0.25">
      <c r="A21582" s="1"/>
      <c r="B21582" s="1" t="s">
        <v>7328</v>
      </c>
      <c r="C21582" s="1" t="s">
        <v>7329</v>
      </c>
      <c r="D21582" s="22" t="str">
        <f>HYPERLINK("https://rhld.insurance.arkansas.gov/NPILookup?Npi=1093016487","1093016487")</f>
        <v>1093016487</v>
      </c>
      <c r="E21582" s="1" t="s">
        <v>7417</v>
      </c>
      <c r="F21582" s="2"/>
      <c r="G21582" s="2"/>
      <c r="H21582" s="2"/>
    </row>
    <row r="21583" spans="1:8" x14ac:dyDescent="0.25">
      <c r="A21583" s="1"/>
      <c r="B21583" s="1" t="s">
        <v>7328</v>
      </c>
      <c r="C21583" s="1" t="s">
        <v>7329</v>
      </c>
      <c r="D21583" s="22" t="str">
        <f>HYPERLINK("https://rhld.insurance.arkansas.gov/NPILookup?Npi=1093021826","1093021826")</f>
        <v>1093021826</v>
      </c>
      <c r="E21583" s="1" t="s">
        <v>25519</v>
      </c>
      <c r="F21583" s="2"/>
      <c r="G21583" s="2"/>
      <c r="H21583" s="2"/>
    </row>
    <row r="21584" spans="1:8" x14ac:dyDescent="0.25">
      <c r="A21584" s="1"/>
      <c r="B21584" s="1" t="s">
        <v>7328</v>
      </c>
      <c r="C21584" s="1" t="s">
        <v>7329</v>
      </c>
      <c r="D21584" s="22" t="str">
        <f>HYPERLINK("https://rhld.insurance.arkansas.gov/NPILookup?Npi=1093030918","1093030918")</f>
        <v>1093030918</v>
      </c>
      <c r="E21584" s="1" t="s">
        <v>16828</v>
      </c>
      <c r="F21584" s="2"/>
      <c r="G21584" s="2"/>
      <c r="H21584" s="2"/>
    </row>
    <row r="21585" spans="1:8" x14ac:dyDescent="0.25">
      <c r="A21585" s="1"/>
      <c r="B21585" s="1" t="s">
        <v>7328</v>
      </c>
      <c r="C21585" s="1" t="s">
        <v>7329</v>
      </c>
      <c r="D21585" s="22" t="str">
        <f>HYPERLINK("https://rhld.insurance.arkansas.gov/NPILookup?Npi=1093031619","1093031619")</f>
        <v>1093031619</v>
      </c>
      <c r="E21585" s="1" t="s">
        <v>25520</v>
      </c>
      <c r="F21585" s="2"/>
      <c r="G21585" s="2"/>
      <c r="H21585" s="2"/>
    </row>
    <row r="21586" spans="1:8" x14ac:dyDescent="0.25">
      <c r="A21586" s="1"/>
      <c r="B21586" s="1" t="s">
        <v>7328</v>
      </c>
      <c r="C21586" s="1" t="s">
        <v>7329</v>
      </c>
      <c r="D21586" s="22" t="str">
        <f>HYPERLINK("https://rhld.insurance.arkansas.gov/NPILookup?Npi=1093037632","1093037632")</f>
        <v>1093037632</v>
      </c>
      <c r="E21586" s="1" t="s">
        <v>2361</v>
      </c>
      <c r="F21586" s="2"/>
      <c r="G21586" s="2"/>
      <c r="H21586" s="2"/>
    </row>
    <row r="21587" spans="1:8" x14ac:dyDescent="0.25">
      <c r="A21587" s="1"/>
      <c r="B21587" s="1" t="s">
        <v>7328</v>
      </c>
      <c r="C21587" s="1" t="s">
        <v>7329</v>
      </c>
      <c r="D21587" s="22" t="str">
        <f>HYPERLINK("https://rhld.insurance.arkansas.gov/NPILookup?Npi=1093042541","1093042541")</f>
        <v>1093042541</v>
      </c>
      <c r="E21587" s="1" t="s">
        <v>32112</v>
      </c>
      <c r="F21587" s="2"/>
      <c r="G21587" s="2"/>
      <c r="H21587" s="2"/>
    </row>
    <row r="21588" spans="1:8" x14ac:dyDescent="0.25">
      <c r="A21588" s="1"/>
      <c r="B21588" s="1" t="s">
        <v>7328</v>
      </c>
      <c r="C21588" s="1" t="s">
        <v>7329</v>
      </c>
      <c r="D21588" s="22" t="str">
        <f>HYPERLINK("https://rhld.insurance.arkansas.gov/NPILookup?Npi=1093054462","1093054462")</f>
        <v>1093054462</v>
      </c>
      <c r="E21588" s="1" t="s">
        <v>264</v>
      </c>
      <c r="F21588" s="2"/>
      <c r="G21588" s="2"/>
      <c r="H21588" s="2"/>
    </row>
    <row r="21589" spans="1:8" x14ac:dyDescent="0.25">
      <c r="A21589" s="1"/>
      <c r="B21589" s="1" t="s">
        <v>7328</v>
      </c>
      <c r="C21589" s="1" t="s">
        <v>7329</v>
      </c>
      <c r="D21589" s="22" t="str">
        <f>HYPERLINK("https://rhld.insurance.arkansas.gov/NPILookup?Npi=1093085458","1093085458")</f>
        <v>1093085458</v>
      </c>
      <c r="E21589" s="1" t="s">
        <v>12685</v>
      </c>
      <c r="F21589" s="2"/>
      <c r="G21589" s="2"/>
      <c r="H21589" s="2"/>
    </row>
    <row r="21590" spans="1:8" x14ac:dyDescent="0.25">
      <c r="A21590" s="1"/>
      <c r="B21590" s="1" t="s">
        <v>7328</v>
      </c>
      <c r="C21590" s="1" t="s">
        <v>7329</v>
      </c>
      <c r="D21590" s="22" t="str">
        <f>HYPERLINK("https://rhld.insurance.arkansas.gov/NPILookup?Npi=1093088023","1093088023")</f>
        <v>1093088023</v>
      </c>
      <c r="E21590" s="1" t="s">
        <v>1291</v>
      </c>
      <c r="F21590" s="2"/>
      <c r="G21590" s="2"/>
      <c r="H21590" s="2"/>
    </row>
    <row r="21591" spans="1:8" x14ac:dyDescent="0.25">
      <c r="A21591" s="1"/>
      <c r="B21591" s="1" t="s">
        <v>7328</v>
      </c>
      <c r="C21591" s="1" t="s">
        <v>7329</v>
      </c>
      <c r="D21591" s="22" t="str">
        <f>HYPERLINK("https://rhld.insurance.arkansas.gov/NPILookup?Npi=1093102758","1093102758")</f>
        <v>1093102758</v>
      </c>
      <c r="E21591" s="1" t="s">
        <v>25522</v>
      </c>
      <c r="F21591" s="2"/>
      <c r="G21591" s="2"/>
      <c r="H21591" s="2"/>
    </row>
    <row r="21592" spans="1:8" x14ac:dyDescent="0.25">
      <c r="A21592" s="1"/>
      <c r="B21592" s="1" t="s">
        <v>7328</v>
      </c>
      <c r="C21592" s="1" t="s">
        <v>7329</v>
      </c>
      <c r="D21592" s="22" t="str">
        <f>HYPERLINK("https://rhld.insurance.arkansas.gov/NPILookup?Npi=1093104895","1093104895")</f>
        <v>1093104895</v>
      </c>
      <c r="E21592" s="1" t="s">
        <v>17196</v>
      </c>
      <c r="F21592" s="2"/>
      <c r="G21592" s="2"/>
      <c r="H21592" s="2"/>
    </row>
    <row r="21593" spans="1:8" x14ac:dyDescent="0.25">
      <c r="A21593" s="1"/>
      <c r="B21593" s="1" t="s">
        <v>7328</v>
      </c>
      <c r="C21593" s="1" t="s">
        <v>7329</v>
      </c>
      <c r="D21593" s="22" t="str">
        <f>HYPERLINK("https://rhld.insurance.arkansas.gov/NPILookup?Npi=1093105918","1093105918")</f>
        <v>1093105918</v>
      </c>
      <c r="E21593" s="1" t="s">
        <v>25523</v>
      </c>
      <c r="F21593" s="2"/>
      <c r="G21593" s="2"/>
      <c r="H21593" s="2"/>
    </row>
    <row r="21594" spans="1:8" x14ac:dyDescent="0.25">
      <c r="A21594" s="1"/>
      <c r="B21594" s="1" t="s">
        <v>7328</v>
      </c>
      <c r="C21594" s="1" t="s">
        <v>7329</v>
      </c>
      <c r="D21594" s="22" t="str">
        <f>HYPERLINK("https://rhld.insurance.arkansas.gov/NPILookup?Npi=1093106072","1093106072")</f>
        <v>1093106072</v>
      </c>
      <c r="E21594" s="1" t="s">
        <v>7418</v>
      </c>
      <c r="F21594" s="2"/>
      <c r="G21594" s="2"/>
      <c r="H21594" s="2"/>
    </row>
    <row r="21595" spans="1:8" x14ac:dyDescent="0.25">
      <c r="A21595" s="1"/>
      <c r="B21595" s="1" t="s">
        <v>7328</v>
      </c>
      <c r="C21595" s="1" t="s">
        <v>7329</v>
      </c>
      <c r="D21595" s="22" t="str">
        <f>HYPERLINK("https://rhld.insurance.arkansas.gov/NPILookup?Npi=1093130098","1093130098")</f>
        <v>1093130098</v>
      </c>
      <c r="E21595" s="1" t="s">
        <v>25524</v>
      </c>
      <c r="F21595" s="2"/>
      <c r="G21595" s="2"/>
      <c r="H21595" s="2"/>
    </row>
    <row r="21596" spans="1:8" x14ac:dyDescent="0.25">
      <c r="A21596" s="1"/>
      <c r="B21596" s="1" t="s">
        <v>7328</v>
      </c>
      <c r="C21596" s="1" t="s">
        <v>7329</v>
      </c>
      <c r="D21596" s="22" t="str">
        <f>HYPERLINK("https://rhld.insurance.arkansas.gov/NPILookup?Npi=1093139214","1093139214")</f>
        <v>1093139214</v>
      </c>
      <c r="E21596" s="1" t="s">
        <v>174</v>
      </c>
      <c r="F21596" s="2"/>
      <c r="G21596" s="2"/>
      <c r="H21596" s="2"/>
    </row>
    <row r="21597" spans="1:8" x14ac:dyDescent="0.25">
      <c r="A21597" s="1"/>
      <c r="B21597" s="1" t="s">
        <v>7328</v>
      </c>
      <c r="C21597" s="1" t="s">
        <v>7329</v>
      </c>
      <c r="D21597" s="22" t="str">
        <f>HYPERLINK("https://rhld.insurance.arkansas.gov/NPILookup?Npi=1093156309","1093156309")</f>
        <v>1093156309</v>
      </c>
      <c r="E21597" s="1" t="s">
        <v>32113</v>
      </c>
      <c r="F21597" s="2"/>
      <c r="G21597" s="2"/>
      <c r="H21597" s="2"/>
    </row>
    <row r="21598" spans="1:8" x14ac:dyDescent="0.25">
      <c r="A21598" s="1"/>
      <c r="B21598" s="1" t="s">
        <v>7328</v>
      </c>
      <c r="C21598" s="1" t="s">
        <v>7329</v>
      </c>
      <c r="D21598" s="22" t="str">
        <f>HYPERLINK("https://rhld.insurance.arkansas.gov/NPILookup?Npi=1093161069","1093161069")</f>
        <v>1093161069</v>
      </c>
      <c r="E21598" s="1" t="s">
        <v>25526</v>
      </c>
      <c r="F21598" s="2"/>
      <c r="G21598" s="2"/>
      <c r="H21598" s="2"/>
    </row>
    <row r="21599" spans="1:8" x14ac:dyDescent="0.25">
      <c r="A21599" s="1"/>
      <c r="B21599" s="1" t="s">
        <v>7328</v>
      </c>
      <c r="C21599" s="1" t="s">
        <v>7329</v>
      </c>
      <c r="D21599" s="22" t="str">
        <f>HYPERLINK("https://rhld.insurance.arkansas.gov/NPILookup?Npi=1093161838","1093161838")</f>
        <v>1093161838</v>
      </c>
      <c r="E21599" s="1" t="s">
        <v>1746</v>
      </c>
      <c r="F21599" s="2"/>
      <c r="G21599" s="2"/>
      <c r="H21599" s="2"/>
    </row>
    <row r="21600" spans="1:8" x14ac:dyDescent="0.25">
      <c r="A21600" s="1"/>
      <c r="B21600" s="1" t="s">
        <v>7328</v>
      </c>
      <c r="C21600" s="1" t="s">
        <v>7329</v>
      </c>
      <c r="D21600" s="22" t="str">
        <f>HYPERLINK("https://rhld.insurance.arkansas.gov/NPILookup?Npi=1093165441","1093165441")</f>
        <v>1093165441</v>
      </c>
      <c r="E21600" s="1" t="s">
        <v>7419</v>
      </c>
      <c r="F21600" s="2"/>
      <c r="G21600" s="2"/>
      <c r="H21600" s="2"/>
    </row>
    <row r="21601" spans="1:8" x14ac:dyDescent="0.25">
      <c r="A21601" s="1"/>
      <c r="B21601" s="1" t="s">
        <v>7328</v>
      </c>
      <c r="C21601" s="1" t="s">
        <v>7329</v>
      </c>
      <c r="D21601" s="22" t="str">
        <f>HYPERLINK("https://rhld.insurance.arkansas.gov/NPILookup?Npi=1093173643","1093173643")</f>
        <v>1093173643</v>
      </c>
      <c r="E21601" s="1" t="s">
        <v>25527</v>
      </c>
      <c r="F21601" s="2"/>
      <c r="G21601" s="2"/>
      <c r="H21601" s="2"/>
    </row>
    <row r="21602" spans="1:8" x14ac:dyDescent="0.25">
      <c r="A21602" s="1"/>
      <c r="B21602" s="1" t="s">
        <v>7328</v>
      </c>
      <c r="C21602" s="1" t="s">
        <v>7329</v>
      </c>
      <c r="D21602" s="22" t="str">
        <f>HYPERLINK("https://rhld.insurance.arkansas.gov/NPILookup?Npi=1093174716","1093174716")</f>
        <v>1093174716</v>
      </c>
      <c r="E21602" s="1" t="s">
        <v>25528</v>
      </c>
      <c r="F21602" s="2"/>
      <c r="G21602" s="2"/>
      <c r="H21602" s="2"/>
    </row>
    <row r="21603" spans="1:8" x14ac:dyDescent="0.25">
      <c r="A21603" s="1"/>
      <c r="B21603" s="1" t="s">
        <v>7328</v>
      </c>
      <c r="C21603" s="1" t="s">
        <v>7329</v>
      </c>
      <c r="D21603" s="22" t="str">
        <f>HYPERLINK("https://rhld.insurance.arkansas.gov/NPILookup?Npi=1093181794","1093181794")</f>
        <v>1093181794</v>
      </c>
      <c r="E21603" s="1" t="s">
        <v>25529</v>
      </c>
      <c r="F21603" s="2"/>
      <c r="G21603" s="2"/>
      <c r="H21603" s="2"/>
    </row>
    <row r="21604" spans="1:8" x14ac:dyDescent="0.25">
      <c r="A21604" s="1"/>
      <c r="B21604" s="1" t="s">
        <v>7328</v>
      </c>
      <c r="C21604" s="1" t="s">
        <v>7329</v>
      </c>
      <c r="D21604" s="22" t="str">
        <f>HYPERLINK("https://rhld.insurance.arkansas.gov/NPILookup?Npi=1093191025","1093191025")</f>
        <v>1093191025</v>
      </c>
      <c r="E21604" s="1" t="s">
        <v>2634</v>
      </c>
      <c r="F21604" s="2"/>
      <c r="G21604" s="2"/>
      <c r="H21604" s="2"/>
    </row>
    <row r="21605" spans="1:8" x14ac:dyDescent="0.25">
      <c r="A21605" s="1"/>
      <c r="B21605" s="1" t="s">
        <v>7328</v>
      </c>
      <c r="C21605" s="1" t="s">
        <v>7329</v>
      </c>
      <c r="D21605" s="22" t="str">
        <f>HYPERLINK("https://rhld.insurance.arkansas.gov/NPILookup?Npi=1093191751","1093191751")</f>
        <v>1093191751</v>
      </c>
      <c r="E21605" s="1" t="s">
        <v>7420</v>
      </c>
      <c r="F21605" s="2"/>
      <c r="G21605" s="2"/>
      <c r="H21605" s="2"/>
    </row>
    <row r="21606" spans="1:8" x14ac:dyDescent="0.25">
      <c r="A21606" s="1"/>
      <c r="B21606" s="1" t="s">
        <v>7328</v>
      </c>
      <c r="C21606" s="1" t="s">
        <v>7329</v>
      </c>
      <c r="D21606" s="22" t="str">
        <f>HYPERLINK("https://rhld.insurance.arkansas.gov/NPILookup?Npi=1093191819","1093191819")</f>
        <v>1093191819</v>
      </c>
      <c r="E21606" s="1" t="s">
        <v>7421</v>
      </c>
      <c r="F21606" s="2"/>
      <c r="G21606" s="2"/>
      <c r="H21606" s="2"/>
    </row>
    <row r="21607" spans="1:8" x14ac:dyDescent="0.25">
      <c r="A21607" s="1"/>
      <c r="B21607" s="1" t="s">
        <v>7328</v>
      </c>
      <c r="C21607" s="1" t="s">
        <v>7329</v>
      </c>
      <c r="D21607" s="22" t="str">
        <f>HYPERLINK("https://rhld.insurance.arkansas.gov/NPILookup?Npi=1093193823","1093193823")</f>
        <v>1093193823</v>
      </c>
      <c r="E21607" s="1" t="s">
        <v>12686</v>
      </c>
      <c r="F21607" s="2"/>
      <c r="G21607" s="2"/>
      <c r="H21607" s="2"/>
    </row>
    <row r="21608" spans="1:8" x14ac:dyDescent="0.25">
      <c r="A21608" s="1"/>
      <c r="B21608" s="1" t="s">
        <v>7328</v>
      </c>
      <c r="C21608" s="1" t="s">
        <v>7329</v>
      </c>
      <c r="D21608" s="22" t="str">
        <f>HYPERLINK("https://rhld.insurance.arkansas.gov/NPILookup?Npi=1093195885","1093195885")</f>
        <v>1093195885</v>
      </c>
      <c r="E21608" s="1" t="s">
        <v>12687</v>
      </c>
      <c r="F21608" s="2"/>
      <c r="G21608" s="2"/>
      <c r="H21608" s="2"/>
    </row>
    <row r="21609" spans="1:8" x14ac:dyDescent="0.25">
      <c r="A21609" s="1"/>
      <c r="B21609" s="1" t="s">
        <v>7328</v>
      </c>
      <c r="C21609" s="1" t="s">
        <v>7329</v>
      </c>
      <c r="D21609" s="22" t="str">
        <f>HYPERLINK("https://rhld.insurance.arkansas.gov/NPILookup?Npi=1093211773","1093211773")</f>
        <v>1093211773</v>
      </c>
      <c r="E21609" s="1" t="s">
        <v>2362</v>
      </c>
      <c r="F21609" s="2"/>
      <c r="G21609" s="2"/>
      <c r="H21609" s="2"/>
    </row>
    <row r="21610" spans="1:8" x14ac:dyDescent="0.25">
      <c r="A21610" s="1"/>
      <c r="B21610" s="1" t="s">
        <v>7328</v>
      </c>
      <c r="C21610" s="1" t="s">
        <v>7329</v>
      </c>
      <c r="D21610" s="22" t="str">
        <f>HYPERLINK("https://rhld.insurance.arkansas.gov/NPILookup?Npi=1093225815","1093225815")</f>
        <v>1093225815</v>
      </c>
      <c r="E21610" s="1" t="s">
        <v>25530</v>
      </c>
      <c r="F21610" s="2"/>
      <c r="G21610" s="2"/>
      <c r="H21610" s="2"/>
    </row>
    <row r="21611" spans="1:8" x14ac:dyDescent="0.25">
      <c r="A21611" s="1"/>
      <c r="B21611" s="1" t="s">
        <v>7328</v>
      </c>
      <c r="C21611" s="1" t="s">
        <v>7329</v>
      </c>
      <c r="D21611" s="22" t="str">
        <f>HYPERLINK("https://rhld.insurance.arkansas.gov/NPILookup?Npi=1093227423","1093227423")</f>
        <v>1093227423</v>
      </c>
      <c r="E21611" s="1" t="s">
        <v>25531</v>
      </c>
      <c r="F21611" s="2"/>
      <c r="G21611" s="2"/>
      <c r="H21611" s="2"/>
    </row>
    <row r="21612" spans="1:8" x14ac:dyDescent="0.25">
      <c r="A21612" s="1"/>
      <c r="B21612" s="1" t="s">
        <v>7328</v>
      </c>
      <c r="C21612" s="1" t="s">
        <v>7329</v>
      </c>
      <c r="D21612" s="22" t="str">
        <f>HYPERLINK("https://rhld.insurance.arkansas.gov/NPILookup?Npi=1093227688","1093227688")</f>
        <v>1093227688</v>
      </c>
      <c r="E21612" s="1" t="s">
        <v>2635</v>
      </c>
      <c r="F21612" s="2"/>
      <c r="G21612" s="2"/>
      <c r="H21612" s="2"/>
    </row>
    <row r="21613" spans="1:8" x14ac:dyDescent="0.25">
      <c r="A21613" s="1"/>
      <c r="B21613" s="1" t="s">
        <v>7328</v>
      </c>
      <c r="C21613" s="1" t="s">
        <v>7329</v>
      </c>
      <c r="D21613" s="22" t="str">
        <f>HYPERLINK("https://rhld.insurance.arkansas.gov/NPILookup?Npi=1093228520","1093228520")</f>
        <v>1093228520</v>
      </c>
      <c r="E21613" s="1" t="s">
        <v>7422</v>
      </c>
      <c r="F21613" s="2"/>
      <c r="G21613" s="2"/>
      <c r="H21613" s="2"/>
    </row>
    <row r="21614" spans="1:8" x14ac:dyDescent="0.25">
      <c r="A21614" s="1"/>
      <c r="B21614" s="1" t="s">
        <v>7328</v>
      </c>
      <c r="C21614" s="1" t="s">
        <v>7329</v>
      </c>
      <c r="D21614" s="22" t="str">
        <f>HYPERLINK("https://rhld.insurance.arkansas.gov/NPILookup?Npi=1093229395","1093229395")</f>
        <v>1093229395</v>
      </c>
      <c r="E21614" s="1" t="s">
        <v>25532</v>
      </c>
      <c r="F21614" s="2"/>
      <c r="G21614" s="2"/>
      <c r="H21614" s="2"/>
    </row>
    <row r="21615" spans="1:8" x14ac:dyDescent="0.25">
      <c r="A21615" s="1"/>
      <c r="B21615" s="1" t="s">
        <v>7328</v>
      </c>
      <c r="C21615" s="1" t="s">
        <v>7329</v>
      </c>
      <c r="D21615" s="22" t="str">
        <f>HYPERLINK("https://rhld.insurance.arkansas.gov/NPILookup?Npi=1093238875","1093238875")</f>
        <v>1093238875</v>
      </c>
      <c r="E21615" s="1" t="s">
        <v>25533</v>
      </c>
      <c r="F21615" s="2"/>
      <c r="G21615" s="2"/>
      <c r="H21615" s="2"/>
    </row>
    <row r="21616" spans="1:8" x14ac:dyDescent="0.25">
      <c r="A21616" s="1"/>
      <c r="B21616" s="1" t="s">
        <v>7328</v>
      </c>
      <c r="C21616" s="1" t="s">
        <v>7329</v>
      </c>
      <c r="D21616" s="22" t="str">
        <f>HYPERLINK("https://rhld.insurance.arkansas.gov/NPILookup?Npi=1093241051","1093241051")</f>
        <v>1093241051</v>
      </c>
      <c r="E21616" s="1" t="s">
        <v>12688</v>
      </c>
      <c r="F21616" s="2"/>
      <c r="G21616" s="2"/>
      <c r="H21616" s="2"/>
    </row>
    <row r="21617" spans="1:8" x14ac:dyDescent="0.25">
      <c r="A21617" s="1"/>
      <c r="B21617" s="1" t="s">
        <v>7328</v>
      </c>
      <c r="C21617" s="1" t="s">
        <v>7329</v>
      </c>
      <c r="D21617" s="22" t="str">
        <f>HYPERLINK("https://rhld.insurance.arkansas.gov/NPILookup?Npi=1093245532","1093245532")</f>
        <v>1093245532</v>
      </c>
      <c r="E21617" s="1" t="s">
        <v>25534</v>
      </c>
      <c r="F21617" s="2"/>
      <c r="G21617" s="2"/>
      <c r="H21617" s="2"/>
    </row>
    <row r="21618" spans="1:8" x14ac:dyDescent="0.25">
      <c r="A21618" s="1"/>
      <c r="B21618" s="1" t="s">
        <v>7328</v>
      </c>
      <c r="C21618" s="1" t="s">
        <v>7329</v>
      </c>
      <c r="D21618" s="22" t="str">
        <f>HYPERLINK("https://rhld.insurance.arkansas.gov/NPILookup?Npi=1093254294","1093254294")</f>
        <v>1093254294</v>
      </c>
      <c r="E21618" s="1" t="s">
        <v>25535</v>
      </c>
      <c r="F21618" s="2"/>
      <c r="G21618" s="2"/>
      <c r="H21618" s="2"/>
    </row>
    <row r="21619" spans="1:8" x14ac:dyDescent="0.25">
      <c r="A21619" s="1"/>
      <c r="B21619" s="1" t="s">
        <v>7328</v>
      </c>
      <c r="C21619" s="1" t="s">
        <v>7329</v>
      </c>
      <c r="D21619" s="22" t="str">
        <f>HYPERLINK("https://rhld.insurance.arkansas.gov/NPILookup?Npi=1093255325","1093255325")</f>
        <v>1093255325</v>
      </c>
      <c r="E21619" s="1" t="s">
        <v>12689</v>
      </c>
      <c r="F21619" s="2"/>
      <c r="G21619" s="2"/>
      <c r="H21619" s="2"/>
    </row>
    <row r="21620" spans="1:8" x14ac:dyDescent="0.25">
      <c r="A21620" s="1"/>
      <c r="B21620" s="1" t="s">
        <v>7328</v>
      </c>
      <c r="C21620" s="1" t="s">
        <v>7329</v>
      </c>
      <c r="D21620" s="22" t="str">
        <f>HYPERLINK("https://rhld.insurance.arkansas.gov/NPILookup?Npi=1093270241","1093270241")</f>
        <v>1093270241</v>
      </c>
      <c r="E21620" s="1" t="s">
        <v>7423</v>
      </c>
      <c r="F21620" s="2"/>
      <c r="G21620" s="2"/>
      <c r="H21620" s="2"/>
    </row>
    <row r="21621" spans="1:8" x14ac:dyDescent="0.25">
      <c r="A21621" s="1"/>
      <c r="B21621" s="1" t="s">
        <v>7328</v>
      </c>
      <c r="C21621" s="1" t="s">
        <v>7329</v>
      </c>
      <c r="D21621" s="22" t="str">
        <f>HYPERLINK("https://rhld.insurance.arkansas.gov/NPILookup?Npi=1093271082","1093271082")</f>
        <v>1093271082</v>
      </c>
      <c r="E21621" s="1" t="s">
        <v>2363</v>
      </c>
      <c r="F21621" s="2"/>
      <c r="G21621" s="2"/>
      <c r="H21621" s="2"/>
    </row>
    <row r="21622" spans="1:8" x14ac:dyDescent="0.25">
      <c r="A21622" s="1"/>
      <c r="B21622" s="1" t="s">
        <v>7328</v>
      </c>
      <c r="C21622" s="1" t="s">
        <v>7329</v>
      </c>
      <c r="D21622" s="22" t="str">
        <f>HYPERLINK("https://rhld.insurance.arkansas.gov/NPILookup?Npi=1093273195","1093273195")</f>
        <v>1093273195</v>
      </c>
      <c r="E21622" s="1" t="s">
        <v>12690</v>
      </c>
      <c r="F21622" s="2"/>
      <c r="G21622" s="2"/>
      <c r="H21622" s="2"/>
    </row>
    <row r="21623" spans="1:8" x14ac:dyDescent="0.25">
      <c r="A21623" s="1"/>
      <c r="B21623" s="1" t="s">
        <v>7328</v>
      </c>
      <c r="C21623" s="1" t="s">
        <v>7329</v>
      </c>
      <c r="D21623" s="22" t="str">
        <f>HYPERLINK("https://rhld.insurance.arkansas.gov/NPILookup?Npi=1093274177","1093274177")</f>
        <v>1093274177</v>
      </c>
      <c r="E21623" s="1" t="s">
        <v>32114</v>
      </c>
      <c r="F21623" s="2"/>
      <c r="G21623" s="2"/>
      <c r="H21623" s="2"/>
    </row>
    <row r="21624" spans="1:8" x14ac:dyDescent="0.25">
      <c r="A21624" s="1"/>
      <c r="B21624" s="1" t="s">
        <v>7328</v>
      </c>
      <c r="C21624" s="1" t="s">
        <v>7329</v>
      </c>
      <c r="D21624" s="22" t="str">
        <f>HYPERLINK("https://rhld.insurance.arkansas.gov/NPILookup?Npi=1093281917","1093281917")</f>
        <v>1093281917</v>
      </c>
      <c r="E21624" s="1" t="s">
        <v>25536</v>
      </c>
      <c r="F21624" s="2"/>
      <c r="G21624" s="2"/>
      <c r="H21624" s="2"/>
    </row>
    <row r="21625" spans="1:8" x14ac:dyDescent="0.25">
      <c r="A21625" s="1"/>
      <c r="B21625" s="1" t="s">
        <v>7328</v>
      </c>
      <c r="C21625" s="1" t="s">
        <v>7329</v>
      </c>
      <c r="D21625" s="22" t="str">
        <f>HYPERLINK("https://rhld.insurance.arkansas.gov/NPILookup?Npi=1093292104","1093292104")</f>
        <v>1093292104</v>
      </c>
      <c r="E21625" s="1" t="s">
        <v>7424</v>
      </c>
      <c r="F21625" s="2"/>
      <c r="G21625" s="2"/>
      <c r="H21625" s="2"/>
    </row>
    <row r="21626" spans="1:8" x14ac:dyDescent="0.25">
      <c r="A21626" s="1"/>
      <c r="B21626" s="1" t="s">
        <v>7328</v>
      </c>
      <c r="C21626" s="1" t="s">
        <v>7329</v>
      </c>
      <c r="D21626" s="22" t="str">
        <f>HYPERLINK("https://rhld.insurance.arkansas.gov/NPILookup?Npi=1093309106","1093309106")</f>
        <v>1093309106</v>
      </c>
      <c r="E21626" s="1" t="s">
        <v>5911</v>
      </c>
      <c r="F21626" s="2"/>
      <c r="G21626" s="2"/>
      <c r="H21626" s="2"/>
    </row>
    <row r="21627" spans="1:8" x14ac:dyDescent="0.25">
      <c r="A21627" s="1"/>
      <c r="B21627" s="1" t="s">
        <v>7328</v>
      </c>
      <c r="C21627" s="1" t="s">
        <v>7329</v>
      </c>
      <c r="D21627" s="22" t="str">
        <f>HYPERLINK("https://rhld.insurance.arkansas.gov/NPILookup?Npi=1093309668","1093309668")</f>
        <v>1093309668</v>
      </c>
      <c r="E21627" s="1" t="s">
        <v>25537</v>
      </c>
      <c r="F21627" s="2"/>
      <c r="G21627" s="2"/>
      <c r="H21627" s="2"/>
    </row>
    <row r="21628" spans="1:8" x14ac:dyDescent="0.25">
      <c r="A21628" s="1"/>
      <c r="B21628" s="1" t="s">
        <v>7328</v>
      </c>
      <c r="C21628" s="1" t="s">
        <v>7329</v>
      </c>
      <c r="D21628" s="22" t="str">
        <f>HYPERLINK("https://rhld.insurance.arkansas.gov/NPILookup?Npi=1093314973","1093314973")</f>
        <v>1093314973</v>
      </c>
      <c r="E21628" s="1" t="s">
        <v>25538</v>
      </c>
      <c r="F21628" s="2"/>
      <c r="G21628" s="2"/>
      <c r="H21628" s="2"/>
    </row>
    <row r="21629" spans="1:8" x14ac:dyDescent="0.25">
      <c r="A21629" s="1"/>
      <c r="B21629" s="1" t="s">
        <v>7328</v>
      </c>
      <c r="C21629" s="1" t="s">
        <v>7329</v>
      </c>
      <c r="D21629" s="22" t="str">
        <f>HYPERLINK("https://rhld.insurance.arkansas.gov/NPILookup?Npi=1093323461","1093323461")</f>
        <v>1093323461</v>
      </c>
      <c r="E21629" s="1" t="s">
        <v>25539</v>
      </c>
      <c r="F21629" s="2"/>
      <c r="G21629" s="2"/>
      <c r="H21629" s="2"/>
    </row>
    <row r="21630" spans="1:8" x14ac:dyDescent="0.25">
      <c r="A21630" s="1"/>
      <c r="B21630" s="1" t="s">
        <v>7328</v>
      </c>
      <c r="C21630" s="1" t="s">
        <v>7329</v>
      </c>
      <c r="D21630" s="22" t="str">
        <f>HYPERLINK("https://rhld.insurance.arkansas.gov/NPILookup?Npi=1093335879","1093335879")</f>
        <v>1093335879</v>
      </c>
      <c r="E21630" s="1" t="s">
        <v>2636</v>
      </c>
      <c r="F21630" s="2"/>
      <c r="G21630" s="2"/>
      <c r="H21630" s="2"/>
    </row>
    <row r="21631" spans="1:8" x14ac:dyDescent="0.25">
      <c r="A21631" s="1"/>
      <c r="B21631" s="1" t="s">
        <v>7328</v>
      </c>
      <c r="C21631" s="1" t="s">
        <v>7329</v>
      </c>
      <c r="D21631" s="22" t="str">
        <f>HYPERLINK("https://rhld.insurance.arkansas.gov/NPILookup?Npi=1093361347","1093361347")</f>
        <v>1093361347</v>
      </c>
      <c r="E21631" s="1" t="s">
        <v>6643</v>
      </c>
      <c r="F21631" s="2"/>
      <c r="G21631" s="2"/>
      <c r="H21631" s="2"/>
    </row>
    <row r="21632" spans="1:8" x14ac:dyDescent="0.25">
      <c r="A21632" s="1"/>
      <c r="B21632" s="1" t="s">
        <v>7328</v>
      </c>
      <c r="C21632" s="1" t="s">
        <v>7329</v>
      </c>
      <c r="D21632" s="22" t="str">
        <f>HYPERLINK("https://rhld.insurance.arkansas.gov/NPILookup?Npi=1093385858","1093385858")</f>
        <v>1093385858</v>
      </c>
      <c r="E21632" s="1" t="s">
        <v>192</v>
      </c>
      <c r="F21632" s="2"/>
      <c r="G21632" s="2"/>
      <c r="H21632" s="2"/>
    </row>
    <row r="21633" spans="1:8" x14ac:dyDescent="0.25">
      <c r="A21633" s="1"/>
      <c r="B21633" s="1" t="s">
        <v>7328</v>
      </c>
      <c r="C21633" s="1" t="s">
        <v>7329</v>
      </c>
      <c r="D21633" s="22" t="str">
        <f>HYPERLINK("https://rhld.insurance.arkansas.gov/NPILookup?Npi=1093417719","1093417719")</f>
        <v>1093417719</v>
      </c>
      <c r="E21633" s="1" t="s">
        <v>6550</v>
      </c>
      <c r="F21633" s="2"/>
      <c r="G21633" s="2"/>
      <c r="H21633" s="2"/>
    </row>
    <row r="21634" spans="1:8" x14ac:dyDescent="0.25">
      <c r="A21634" s="1"/>
      <c r="B21634" s="1" t="s">
        <v>7328</v>
      </c>
      <c r="C21634" s="1" t="s">
        <v>7329</v>
      </c>
      <c r="D21634" s="22" t="str">
        <f>HYPERLINK("https://rhld.insurance.arkansas.gov/NPILookup?Npi=1093430225","1093430225")</f>
        <v>1093430225</v>
      </c>
      <c r="E21634" s="1" t="s">
        <v>25540</v>
      </c>
      <c r="F21634" s="2"/>
      <c r="G21634" s="2"/>
      <c r="H21634" s="2"/>
    </row>
    <row r="21635" spans="1:8" x14ac:dyDescent="0.25">
      <c r="A21635" s="1"/>
      <c r="B21635" s="1" t="s">
        <v>7328</v>
      </c>
      <c r="C21635" s="1" t="s">
        <v>7329</v>
      </c>
      <c r="D21635" s="22" t="str">
        <f>HYPERLINK("https://rhld.insurance.arkansas.gov/NPILookup?Npi=1093435869","1093435869")</f>
        <v>1093435869</v>
      </c>
      <c r="E21635" s="1" t="s">
        <v>32115</v>
      </c>
      <c r="F21635" s="2"/>
      <c r="G21635" s="2"/>
      <c r="H21635" s="2"/>
    </row>
    <row r="21636" spans="1:8" x14ac:dyDescent="0.25">
      <c r="A21636" s="1"/>
      <c r="B21636" s="1" t="s">
        <v>7328</v>
      </c>
      <c r="C21636" s="1" t="s">
        <v>7329</v>
      </c>
      <c r="D21636" s="22" t="str">
        <f>HYPERLINK("https://rhld.insurance.arkansas.gov/NPILookup?Npi=1093470213","1093470213")</f>
        <v>1093470213</v>
      </c>
      <c r="E21636" s="1" t="s">
        <v>25541</v>
      </c>
      <c r="F21636" s="2"/>
      <c r="G21636" s="2"/>
      <c r="H21636" s="2"/>
    </row>
    <row r="21637" spans="1:8" x14ac:dyDescent="0.25">
      <c r="A21637" s="1"/>
      <c r="B21637" s="1" t="s">
        <v>7328</v>
      </c>
      <c r="C21637" s="1" t="s">
        <v>7329</v>
      </c>
      <c r="D21637" s="22" t="str">
        <f>HYPERLINK("https://rhld.insurance.arkansas.gov/NPILookup?Npi=1093480758","1093480758")</f>
        <v>1093480758</v>
      </c>
      <c r="E21637" s="1" t="s">
        <v>1747</v>
      </c>
      <c r="F21637" s="2"/>
      <c r="G21637" s="2"/>
      <c r="H21637" s="2"/>
    </row>
    <row r="21638" spans="1:8" x14ac:dyDescent="0.25">
      <c r="A21638" s="1"/>
      <c r="B21638" s="1" t="s">
        <v>7328</v>
      </c>
      <c r="C21638" s="1" t="s">
        <v>7329</v>
      </c>
      <c r="D21638" s="22" t="str">
        <f>HYPERLINK("https://rhld.insurance.arkansas.gov/NPILookup?Npi=1093483562","1093483562")</f>
        <v>1093483562</v>
      </c>
      <c r="E21638" s="1" t="s">
        <v>25542</v>
      </c>
      <c r="F21638" s="2"/>
      <c r="G21638" s="2"/>
      <c r="H21638" s="2"/>
    </row>
    <row r="21639" spans="1:8" x14ac:dyDescent="0.25">
      <c r="A21639" s="1"/>
      <c r="B21639" s="1" t="s">
        <v>7328</v>
      </c>
      <c r="C21639" s="1" t="s">
        <v>7329</v>
      </c>
      <c r="D21639" s="22" t="str">
        <f>HYPERLINK("https://rhld.insurance.arkansas.gov/NPILookup?Npi=1093526022","1093526022")</f>
        <v>1093526022</v>
      </c>
      <c r="E21639" s="1" t="s">
        <v>32116</v>
      </c>
      <c r="F21639" s="2"/>
      <c r="G21639" s="2"/>
      <c r="H21639" s="2"/>
    </row>
    <row r="21640" spans="1:8" x14ac:dyDescent="0.25">
      <c r="A21640" s="1"/>
      <c r="B21640" s="1" t="s">
        <v>7328</v>
      </c>
      <c r="C21640" s="1" t="s">
        <v>7329</v>
      </c>
      <c r="D21640" s="22" t="str">
        <f>HYPERLINK("https://rhld.insurance.arkansas.gov/NPILookup?Npi=1093548711","1093548711")</f>
        <v>1093548711</v>
      </c>
      <c r="E21640" s="1" t="s">
        <v>32117</v>
      </c>
      <c r="F21640" s="2"/>
      <c r="G21640" s="2"/>
      <c r="H21640" s="2"/>
    </row>
    <row r="21641" spans="1:8" x14ac:dyDescent="0.25">
      <c r="A21641" s="1"/>
      <c r="B21641" s="1" t="s">
        <v>7328</v>
      </c>
      <c r="C21641" s="1" t="s">
        <v>7329</v>
      </c>
      <c r="D21641" s="22" t="str">
        <f>HYPERLINK("https://rhld.insurance.arkansas.gov/NPILookup?Npi=1093550741","1093550741")</f>
        <v>1093550741</v>
      </c>
      <c r="E21641" s="1" t="s">
        <v>31797</v>
      </c>
      <c r="F21641" s="2"/>
      <c r="G21641" s="2"/>
      <c r="H21641" s="2"/>
    </row>
    <row r="21642" spans="1:8" x14ac:dyDescent="0.25">
      <c r="A21642" s="1"/>
      <c r="B21642" s="1" t="s">
        <v>7328</v>
      </c>
      <c r="C21642" s="1" t="s">
        <v>7329</v>
      </c>
      <c r="D21642" s="22" t="str">
        <f>HYPERLINK("https://rhld.insurance.arkansas.gov/NPILookup?Npi=1093578114","1093578114")</f>
        <v>1093578114</v>
      </c>
      <c r="E21642" s="1" t="s">
        <v>25543</v>
      </c>
      <c r="F21642" s="2"/>
      <c r="G21642" s="2"/>
      <c r="H21642" s="2"/>
    </row>
    <row r="21643" spans="1:8" x14ac:dyDescent="0.25">
      <c r="A21643" s="1"/>
      <c r="B21643" s="1" t="s">
        <v>7328</v>
      </c>
      <c r="C21643" s="1" t="s">
        <v>7329</v>
      </c>
      <c r="D21643" s="22" t="str">
        <f>HYPERLINK("https://rhld.insurance.arkansas.gov/NPILookup?Npi=1093579096","1093579096")</f>
        <v>1093579096</v>
      </c>
      <c r="E21643" s="1" t="s">
        <v>32118</v>
      </c>
      <c r="F21643" s="2"/>
      <c r="G21643" s="2"/>
      <c r="H21643" s="2"/>
    </row>
    <row r="21644" spans="1:8" x14ac:dyDescent="0.25">
      <c r="A21644" s="1"/>
      <c r="B21644" s="1" t="s">
        <v>7328</v>
      </c>
      <c r="C21644" s="1" t="s">
        <v>7329</v>
      </c>
      <c r="D21644" s="22" t="str">
        <f>HYPERLINK("https://rhld.insurance.arkansas.gov/NPILookup?Npi=1093585275","1093585275")</f>
        <v>1093585275</v>
      </c>
      <c r="E21644" s="1" t="s">
        <v>25544</v>
      </c>
      <c r="F21644" s="2"/>
      <c r="G21644" s="2"/>
      <c r="H21644" s="2"/>
    </row>
    <row r="21645" spans="1:8" x14ac:dyDescent="0.25">
      <c r="A21645" s="1"/>
      <c r="B21645" s="1" t="s">
        <v>7328</v>
      </c>
      <c r="C21645" s="1" t="s">
        <v>7329</v>
      </c>
      <c r="D21645" s="22" t="str">
        <f>HYPERLINK("https://rhld.insurance.arkansas.gov/NPILookup?Npi=1093710113","1093710113")</f>
        <v>1093710113</v>
      </c>
      <c r="E21645" s="1" t="s">
        <v>25545</v>
      </c>
      <c r="F21645" s="2"/>
      <c r="G21645" s="2"/>
      <c r="H21645" s="2"/>
    </row>
    <row r="21646" spans="1:8" x14ac:dyDescent="0.25">
      <c r="A21646" s="1"/>
      <c r="B21646" s="1" t="s">
        <v>7328</v>
      </c>
      <c r="C21646" s="1" t="s">
        <v>7329</v>
      </c>
      <c r="D21646" s="22" t="str">
        <f>HYPERLINK("https://rhld.insurance.arkansas.gov/NPILookup?Npi=1093715641","1093715641")</f>
        <v>1093715641</v>
      </c>
      <c r="E21646" s="1" t="s">
        <v>2638</v>
      </c>
      <c r="F21646" s="2"/>
      <c r="G21646" s="2"/>
      <c r="H21646" s="2"/>
    </row>
    <row r="21647" spans="1:8" x14ac:dyDescent="0.25">
      <c r="A21647" s="1"/>
      <c r="B21647" s="1" t="s">
        <v>7328</v>
      </c>
      <c r="C21647" s="1" t="s">
        <v>7329</v>
      </c>
      <c r="D21647" s="22" t="str">
        <f>HYPERLINK("https://rhld.insurance.arkansas.gov/NPILookup?Npi=1093717696","1093717696")</f>
        <v>1093717696</v>
      </c>
      <c r="E21647" s="1" t="s">
        <v>25546</v>
      </c>
      <c r="F21647" s="2"/>
      <c r="G21647" s="2"/>
      <c r="H21647" s="2"/>
    </row>
    <row r="21648" spans="1:8" x14ac:dyDescent="0.25">
      <c r="A21648" s="1"/>
      <c r="B21648" s="1" t="s">
        <v>7328</v>
      </c>
      <c r="C21648" s="1" t="s">
        <v>7329</v>
      </c>
      <c r="D21648" s="22" t="str">
        <f>HYPERLINK("https://rhld.insurance.arkansas.gov/NPILookup?Npi=1093726333","1093726333")</f>
        <v>1093726333</v>
      </c>
      <c r="E21648" s="1" t="s">
        <v>25547</v>
      </c>
      <c r="F21648" s="2"/>
      <c r="G21648" s="2"/>
      <c r="H21648" s="2"/>
    </row>
    <row r="21649" spans="1:8" x14ac:dyDescent="0.25">
      <c r="A21649" s="1"/>
      <c r="B21649" s="1" t="s">
        <v>7328</v>
      </c>
      <c r="C21649" s="1" t="s">
        <v>7329</v>
      </c>
      <c r="D21649" s="22" t="str">
        <f>HYPERLINK("https://rhld.insurance.arkansas.gov/NPILookup?Npi=1093737439","1093737439")</f>
        <v>1093737439</v>
      </c>
      <c r="E21649" s="1" t="s">
        <v>25548</v>
      </c>
      <c r="F21649" s="2"/>
      <c r="G21649" s="2"/>
      <c r="H21649" s="2"/>
    </row>
    <row r="21650" spans="1:8" x14ac:dyDescent="0.25">
      <c r="A21650" s="1"/>
      <c r="B21650" s="1" t="s">
        <v>7328</v>
      </c>
      <c r="C21650" s="1" t="s">
        <v>7329</v>
      </c>
      <c r="D21650" s="22" t="str">
        <f>HYPERLINK("https://rhld.insurance.arkansas.gov/NPILookup?Npi=1093739286","1093739286")</f>
        <v>1093739286</v>
      </c>
      <c r="E21650" s="1" t="s">
        <v>2639</v>
      </c>
      <c r="F21650" s="2"/>
      <c r="G21650" s="2"/>
      <c r="H21650" s="2"/>
    </row>
    <row r="21651" spans="1:8" x14ac:dyDescent="0.25">
      <c r="A21651" s="1"/>
      <c r="B21651" s="1" t="s">
        <v>7328</v>
      </c>
      <c r="C21651" s="1" t="s">
        <v>7329</v>
      </c>
      <c r="D21651" s="22" t="str">
        <f>HYPERLINK("https://rhld.insurance.arkansas.gov/NPILookup?Npi=1093739989","1093739989")</f>
        <v>1093739989</v>
      </c>
      <c r="E21651" s="1" t="s">
        <v>12691</v>
      </c>
      <c r="F21651" s="2"/>
      <c r="G21651" s="2"/>
      <c r="H21651" s="2"/>
    </row>
    <row r="21652" spans="1:8" x14ac:dyDescent="0.25">
      <c r="A21652" s="1"/>
      <c r="B21652" s="1" t="s">
        <v>7328</v>
      </c>
      <c r="C21652" s="1" t="s">
        <v>7329</v>
      </c>
      <c r="D21652" s="22" t="str">
        <f>HYPERLINK("https://rhld.insurance.arkansas.gov/NPILookup?Npi=1093741910","1093741910")</f>
        <v>1093741910</v>
      </c>
      <c r="E21652" s="1" t="s">
        <v>223</v>
      </c>
      <c r="F21652" s="2"/>
      <c r="G21652" s="2"/>
      <c r="H21652" s="2"/>
    </row>
    <row r="21653" spans="1:8" x14ac:dyDescent="0.25">
      <c r="A21653" s="1"/>
      <c r="B21653" s="1" t="s">
        <v>7328</v>
      </c>
      <c r="C21653" s="1" t="s">
        <v>7329</v>
      </c>
      <c r="D21653" s="22" t="str">
        <f>HYPERLINK("https://rhld.insurance.arkansas.gov/NPILookup?Npi=1093745648","1093745648")</f>
        <v>1093745648</v>
      </c>
      <c r="E21653" s="1" t="s">
        <v>10215</v>
      </c>
      <c r="F21653" s="2"/>
      <c r="G21653" s="2"/>
      <c r="H21653" s="2"/>
    </row>
    <row r="21654" spans="1:8" x14ac:dyDescent="0.25">
      <c r="A21654" s="1"/>
      <c r="B21654" s="1" t="s">
        <v>7328</v>
      </c>
      <c r="C21654" s="1" t="s">
        <v>7329</v>
      </c>
      <c r="D21654" s="22" t="str">
        <f>HYPERLINK("https://rhld.insurance.arkansas.gov/NPILookup?Npi=1093750671","1093750671")</f>
        <v>1093750671</v>
      </c>
      <c r="E21654" s="1" t="s">
        <v>12692</v>
      </c>
      <c r="F21654" s="2"/>
      <c r="G21654" s="2"/>
      <c r="H21654" s="2"/>
    </row>
    <row r="21655" spans="1:8" x14ac:dyDescent="0.25">
      <c r="A21655" s="1"/>
      <c r="B21655" s="1" t="s">
        <v>7328</v>
      </c>
      <c r="C21655" s="1" t="s">
        <v>7329</v>
      </c>
      <c r="D21655" s="22" t="str">
        <f>HYPERLINK("https://rhld.insurance.arkansas.gov/NPILookup?Npi=1093752198","1093752198")</f>
        <v>1093752198</v>
      </c>
      <c r="E21655" s="1" t="s">
        <v>25550</v>
      </c>
      <c r="F21655" s="2"/>
      <c r="G21655" s="2"/>
      <c r="H21655" s="2"/>
    </row>
    <row r="21656" spans="1:8" x14ac:dyDescent="0.25">
      <c r="A21656" s="1"/>
      <c r="B21656" s="1" t="s">
        <v>7328</v>
      </c>
      <c r="C21656" s="1" t="s">
        <v>7329</v>
      </c>
      <c r="D21656" s="22" t="str">
        <f>HYPERLINK("https://rhld.insurance.arkansas.gov/NPILookup?Npi=1093759581","1093759581")</f>
        <v>1093759581</v>
      </c>
      <c r="E21656" s="1" t="s">
        <v>25551</v>
      </c>
      <c r="F21656" s="2"/>
      <c r="G21656" s="2"/>
      <c r="H21656" s="2"/>
    </row>
    <row r="21657" spans="1:8" x14ac:dyDescent="0.25">
      <c r="A21657" s="1"/>
      <c r="B21657" s="1" t="s">
        <v>7328</v>
      </c>
      <c r="C21657" s="1" t="s">
        <v>7329</v>
      </c>
      <c r="D21657" s="22" t="str">
        <f>HYPERLINK("https://rhld.insurance.arkansas.gov/NPILookup?Npi=1093761298","1093761298")</f>
        <v>1093761298</v>
      </c>
      <c r="E21657" s="1" t="s">
        <v>13385</v>
      </c>
      <c r="F21657" s="2"/>
      <c r="G21657" s="2"/>
      <c r="H21657" s="2"/>
    </row>
    <row r="21658" spans="1:8" x14ac:dyDescent="0.25">
      <c r="A21658" s="1"/>
      <c r="B21658" s="1" t="s">
        <v>7328</v>
      </c>
      <c r="C21658" s="1" t="s">
        <v>7329</v>
      </c>
      <c r="D21658" s="22" t="str">
        <f>HYPERLINK("https://rhld.insurance.arkansas.gov/NPILookup?Npi=1093763807","1093763807")</f>
        <v>1093763807</v>
      </c>
      <c r="E21658" s="1" t="s">
        <v>25552</v>
      </c>
      <c r="F21658" s="2"/>
      <c r="G21658" s="2"/>
      <c r="H21658" s="2"/>
    </row>
    <row r="21659" spans="1:8" x14ac:dyDescent="0.25">
      <c r="A21659" s="1"/>
      <c r="B21659" s="1" t="s">
        <v>7328</v>
      </c>
      <c r="C21659" s="1" t="s">
        <v>7329</v>
      </c>
      <c r="D21659" s="22" t="str">
        <f>HYPERLINK("https://rhld.insurance.arkansas.gov/NPILookup?Npi=1093766925","1093766925")</f>
        <v>1093766925</v>
      </c>
      <c r="E21659" s="1" t="s">
        <v>12693</v>
      </c>
      <c r="F21659" s="2"/>
      <c r="G21659" s="2"/>
      <c r="H21659" s="2"/>
    </row>
    <row r="21660" spans="1:8" x14ac:dyDescent="0.25">
      <c r="A21660" s="1"/>
      <c r="B21660" s="1" t="s">
        <v>7328</v>
      </c>
      <c r="C21660" s="1" t="s">
        <v>7329</v>
      </c>
      <c r="D21660" s="22" t="str">
        <f>HYPERLINK("https://rhld.insurance.arkansas.gov/NPILookup?Npi=1093770133","1093770133")</f>
        <v>1093770133</v>
      </c>
      <c r="E21660" s="1" t="s">
        <v>25553</v>
      </c>
      <c r="F21660" s="2"/>
      <c r="G21660" s="2"/>
      <c r="H21660" s="2"/>
    </row>
    <row r="21661" spans="1:8" x14ac:dyDescent="0.25">
      <c r="A21661" s="1"/>
      <c r="B21661" s="1" t="s">
        <v>7328</v>
      </c>
      <c r="C21661" s="1" t="s">
        <v>7329</v>
      </c>
      <c r="D21661" s="22" t="str">
        <f>HYPERLINK("https://rhld.insurance.arkansas.gov/NPILookup?Npi=1093772592","1093772592")</f>
        <v>1093772592</v>
      </c>
      <c r="E21661" s="1" t="s">
        <v>25554</v>
      </c>
      <c r="F21661" s="2"/>
      <c r="G21661" s="2"/>
      <c r="H21661" s="2"/>
    </row>
    <row r="21662" spans="1:8" x14ac:dyDescent="0.25">
      <c r="A21662" s="1"/>
      <c r="B21662" s="1" t="s">
        <v>7328</v>
      </c>
      <c r="C21662" s="1" t="s">
        <v>7329</v>
      </c>
      <c r="D21662" s="22" t="str">
        <f>HYPERLINK("https://rhld.insurance.arkansas.gov/NPILookup?Npi=1093778136","1093778136")</f>
        <v>1093778136</v>
      </c>
      <c r="E21662" s="1" t="s">
        <v>12694</v>
      </c>
      <c r="F21662" s="2"/>
      <c r="G21662" s="2"/>
      <c r="H21662" s="2"/>
    </row>
    <row r="21663" spans="1:8" x14ac:dyDescent="0.25">
      <c r="A21663" s="1"/>
      <c r="B21663" s="1" t="s">
        <v>7328</v>
      </c>
      <c r="C21663" s="1" t="s">
        <v>7329</v>
      </c>
      <c r="D21663" s="22" t="str">
        <f>HYPERLINK("https://rhld.insurance.arkansas.gov/NPILookup?Npi=1093778169","1093778169")</f>
        <v>1093778169</v>
      </c>
      <c r="E21663" s="1" t="s">
        <v>25555</v>
      </c>
      <c r="F21663" s="2"/>
      <c r="G21663" s="2"/>
      <c r="H21663" s="2"/>
    </row>
    <row r="21664" spans="1:8" x14ac:dyDescent="0.25">
      <c r="A21664" s="1"/>
      <c r="B21664" s="1" t="s">
        <v>7328</v>
      </c>
      <c r="C21664" s="1" t="s">
        <v>7329</v>
      </c>
      <c r="D21664" s="22" t="str">
        <f>HYPERLINK("https://rhld.insurance.arkansas.gov/NPILookup?Npi=1093796534","1093796534")</f>
        <v>1093796534</v>
      </c>
      <c r="E21664" s="1" t="s">
        <v>25556</v>
      </c>
      <c r="F21664" s="2"/>
      <c r="G21664" s="2"/>
      <c r="H21664" s="2"/>
    </row>
    <row r="21665" spans="1:8" x14ac:dyDescent="0.25">
      <c r="A21665" s="1"/>
      <c r="B21665" s="1" t="s">
        <v>7328</v>
      </c>
      <c r="C21665" s="1" t="s">
        <v>7329</v>
      </c>
      <c r="D21665" s="22" t="str">
        <f>HYPERLINK("https://rhld.insurance.arkansas.gov/NPILookup?Npi=1093806671","1093806671")</f>
        <v>1093806671</v>
      </c>
      <c r="E21665" s="1" t="s">
        <v>7425</v>
      </c>
      <c r="F21665" s="2"/>
      <c r="G21665" s="2"/>
      <c r="H21665" s="2"/>
    </row>
    <row r="21666" spans="1:8" x14ac:dyDescent="0.25">
      <c r="A21666" s="1"/>
      <c r="B21666" s="1" t="s">
        <v>7328</v>
      </c>
      <c r="C21666" s="1" t="s">
        <v>7329</v>
      </c>
      <c r="D21666" s="22" t="str">
        <f>HYPERLINK("https://rhld.insurance.arkansas.gov/NPILookup?Npi=1093813644","1093813644")</f>
        <v>1093813644</v>
      </c>
      <c r="E21666" s="1" t="s">
        <v>3445</v>
      </c>
      <c r="F21666" s="2"/>
      <c r="G21666" s="2"/>
      <c r="H21666" s="2"/>
    </row>
    <row r="21667" spans="1:8" x14ac:dyDescent="0.25">
      <c r="A21667" s="1"/>
      <c r="B21667" s="1" t="s">
        <v>7328</v>
      </c>
      <c r="C21667" s="1" t="s">
        <v>7329</v>
      </c>
      <c r="D21667" s="22" t="str">
        <f>HYPERLINK("https://rhld.insurance.arkansas.gov/NPILookup?Npi=1093815268","1093815268")</f>
        <v>1093815268</v>
      </c>
      <c r="E21667" s="1" t="s">
        <v>25557</v>
      </c>
      <c r="F21667" s="2"/>
      <c r="G21667" s="2"/>
      <c r="H21667" s="2"/>
    </row>
    <row r="21668" spans="1:8" x14ac:dyDescent="0.25">
      <c r="A21668" s="1"/>
      <c r="B21668" s="1" t="s">
        <v>7328</v>
      </c>
      <c r="C21668" s="1" t="s">
        <v>7329</v>
      </c>
      <c r="D21668" s="22" t="str">
        <f>HYPERLINK("https://rhld.insurance.arkansas.gov/NPILookup?Npi=1093821811","1093821811")</f>
        <v>1093821811</v>
      </c>
      <c r="E21668" s="1" t="s">
        <v>25558</v>
      </c>
      <c r="F21668" s="2"/>
      <c r="G21668" s="2"/>
      <c r="H21668" s="2"/>
    </row>
    <row r="21669" spans="1:8" x14ac:dyDescent="0.25">
      <c r="A21669" s="1"/>
      <c r="B21669" s="1" t="s">
        <v>7328</v>
      </c>
      <c r="C21669" s="1" t="s">
        <v>7329</v>
      </c>
      <c r="D21669" s="22" t="str">
        <f>HYPERLINK("https://rhld.insurance.arkansas.gov/NPILookup?Npi=1093827560","1093827560")</f>
        <v>1093827560</v>
      </c>
      <c r="E21669" s="1" t="s">
        <v>25559</v>
      </c>
      <c r="F21669" s="2"/>
      <c r="G21669" s="2"/>
      <c r="H21669" s="2"/>
    </row>
    <row r="21670" spans="1:8" x14ac:dyDescent="0.25">
      <c r="A21670" s="1"/>
      <c r="B21670" s="1" t="s">
        <v>7328</v>
      </c>
      <c r="C21670" s="1" t="s">
        <v>7329</v>
      </c>
      <c r="D21670" s="22" t="str">
        <f>HYPERLINK("https://rhld.insurance.arkansas.gov/NPILookup?Npi=1093916256","1093916256")</f>
        <v>1093916256</v>
      </c>
      <c r="E21670" s="1" t="s">
        <v>190</v>
      </c>
      <c r="F21670" s="2"/>
      <c r="G21670" s="2"/>
      <c r="H21670" s="2"/>
    </row>
    <row r="21671" spans="1:8" x14ac:dyDescent="0.25">
      <c r="A21671" s="1"/>
      <c r="B21671" s="1" t="s">
        <v>7328</v>
      </c>
      <c r="C21671" s="1" t="s">
        <v>7329</v>
      </c>
      <c r="D21671" s="22" t="str">
        <f>HYPERLINK("https://rhld.insurance.arkansas.gov/NPILookup?Npi=1093918997","1093918997")</f>
        <v>1093918997</v>
      </c>
      <c r="E21671" s="1" t="s">
        <v>25560</v>
      </c>
      <c r="F21671" s="2"/>
      <c r="G21671" s="2"/>
      <c r="H21671" s="2"/>
    </row>
    <row r="21672" spans="1:8" x14ac:dyDescent="0.25">
      <c r="A21672" s="1"/>
      <c r="B21672" s="1" t="s">
        <v>7328</v>
      </c>
      <c r="C21672" s="1" t="s">
        <v>7329</v>
      </c>
      <c r="D21672" s="22" t="str">
        <f>HYPERLINK("https://rhld.insurance.arkansas.gov/NPILookup?Npi=1093931719","1093931719")</f>
        <v>1093931719</v>
      </c>
      <c r="E21672" s="1" t="s">
        <v>7426</v>
      </c>
      <c r="F21672" s="2"/>
      <c r="G21672" s="2"/>
      <c r="H21672" s="2"/>
    </row>
    <row r="21673" spans="1:8" x14ac:dyDescent="0.25">
      <c r="A21673" s="1"/>
      <c r="B21673" s="1" t="s">
        <v>7328</v>
      </c>
      <c r="C21673" s="1" t="s">
        <v>7329</v>
      </c>
      <c r="D21673" s="22" t="str">
        <f>HYPERLINK("https://rhld.insurance.arkansas.gov/NPILookup?Npi=1093948796","1093948796")</f>
        <v>1093948796</v>
      </c>
      <c r="E21673" s="1" t="s">
        <v>7427</v>
      </c>
      <c r="F21673" s="2"/>
      <c r="G21673" s="2"/>
      <c r="H21673" s="2"/>
    </row>
    <row r="21674" spans="1:8" x14ac:dyDescent="0.25">
      <c r="A21674" s="1"/>
      <c r="B21674" s="1" t="s">
        <v>7328</v>
      </c>
      <c r="C21674" s="1" t="s">
        <v>7329</v>
      </c>
      <c r="D21674" s="22" t="str">
        <f>HYPERLINK("https://rhld.insurance.arkansas.gov/NPILookup?Npi=1093964223","1093964223")</f>
        <v>1093964223</v>
      </c>
      <c r="E21674" s="1" t="s">
        <v>25561</v>
      </c>
      <c r="F21674" s="2"/>
      <c r="G21674" s="2"/>
      <c r="H21674" s="2"/>
    </row>
    <row r="21675" spans="1:8" x14ac:dyDescent="0.25">
      <c r="A21675" s="1"/>
      <c r="B21675" s="1" t="s">
        <v>7328</v>
      </c>
      <c r="C21675" s="1" t="s">
        <v>7329</v>
      </c>
      <c r="D21675" s="22" t="str">
        <f>HYPERLINK("https://rhld.insurance.arkansas.gov/NPILookup?Npi=1093975484","1093975484")</f>
        <v>1093975484</v>
      </c>
      <c r="E21675" s="1" t="s">
        <v>25562</v>
      </c>
      <c r="F21675" s="2"/>
      <c r="G21675" s="2"/>
      <c r="H21675" s="2"/>
    </row>
    <row r="21676" spans="1:8" x14ac:dyDescent="0.25">
      <c r="A21676" s="1"/>
      <c r="B21676" s="1" t="s">
        <v>7328</v>
      </c>
      <c r="C21676" s="1" t="s">
        <v>7329</v>
      </c>
      <c r="D21676" s="22" t="str">
        <f>HYPERLINK("https://rhld.insurance.arkansas.gov/NPILookup?Npi=1093996134","1093996134")</f>
        <v>1093996134</v>
      </c>
      <c r="E21676" s="1" t="s">
        <v>694</v>
      </c>
      <c r="F21676" s="2"/>
      <c r="G21676" s="2"/>
      <c r="H21676" s="2"/>
    </row>
    <row r="21677" spans="1:8" x14ac:dyDescent="0.25">
      <c r="A21677" s="1"/>
      <c r="B21677" s="1" t="s">
        <v>7328</v>
      </c>
      <c r="C21677" s="1" t="s">
        <v>7329</v>
      </c>
      <c r="D21677" s="22" t="str">
        <f>HYPERLINK("https://rhld.insurance.arkansas.gov/NPILookup?Npi=1104000553","1104000553")</f>
        <v>1104000553</v>
      </c>
      <c r="E21677" s="1" t="s">
        <v>25563</v>
      </c>
      <c r="F21677" s="2"/>
      <c r="G21677" s="2"/>
      <c r="H21677" s="2"/>
    </row>
    <row r="21678" spans="1:8" x14ac:dyDescent="0.25">
      <c r="A21678" s="1"/>
      <c r="B21678" s="1" t="s">
        <v>7328</v>
      </c>
      <c r="C21678" s="1" t="s">
        <v>7329</v>
      </c>
      <c r="D21678" s="22" t="str">
        <f>HYPERLINK("https://rhld.insurance.arkansas.gov/NPILookup?Npi=1104016732","1104016732")</f>
        <v>1104016732</v>
      </c>
      <c r="E21678" s="1" t="s">
        <v>25564</v>
      </c>
      <c r="F21678" s="2"/>
      <c r="G21678" s="2"/>
      <c r="H21678" s="2"/>
    </row>
    <row r="21679" spans="1:8" x14ac:dyDescent="0.25">
      <c r="A21679" s="1"/>
      <c r="B21679" s="1" t="s">
        <v>7328</v>
      </c>
      <c r="C21679" s="1" t="s">
        <v>7329</v>
      </c>
      <c r="D21679" s="22" t="str">
        <f>HYPERLINK("https://rhld.insurance.arkansas.gov/NPILookup?Npi=1104029453","1104029453")</f>
        <v>1104029453</v>
      </c>
      <c r="E21679" s="1" t="s">
        <v>25565</v>
      </c>
      <c r="F21679" s="2"/>
      <c r="G21679" s="2"/>
      <c r="H21679" s="2"/>
    </row>
    <row r="21680" spans="1:8" x14ac:dyDescent="0.25">
      <c r="A21680" s="1"/>
      <c r="B21680" s="1" t="s">
        <v>7328</v>
      </c>
      <c r="C21680" s="1" t="s">
        <v>7329</v>
      </c>
      <c r="D21680" s="22" t="str">
        <f>HYPERLINK("https://rhld.insurance.arkansas.gov/NPILookup?Npi=1104065234","1104065234")</f>
        <v>1104065234</v>
      </c>
      <c r="E21680" s="1" t="s">
        <v>25566</v>
      </c>
      <c r="F21680" s="2"/>
      <c r="G21680" s="2"/>
      <c r="H21680" s="2"/>
    </row>
    <row r="21681" spans="1:8" x14ac:dyDescent="0.25">
      <c r="A21681" s="1"/>
      <c r="B21681" s="1" t="s">
        <v>7328</v>
      </c>
      <c r="C21681" s="1" t="s">
        <v>7329</v>
      </c>
      <c r="D21681" s="22" t="str">
        <f>HYPERLINK("https://rhld.insurance.arkansas.gov/NPILookup?Npi=1104076645","1104076645")</f>
        <v>1104076645</v>
      </c>
      <c r="E21681" s="1" t="s">
        <v>25567</v>
      </c>
      <c r="F21681" s="2"/>
      <c r="G21681" s="2"/>
      <c r="H21681" s="2"/>
    </row>
    <row r="21682" spans="1:8" x14ac:dyDescent="0.25">
      <c r="A21682" s="1"/>
      <c r="B21682" s="1" t="s">
        <v>7328</v>
      </c>
      <c r="C21682" s="1" t="s">
        <v>7329</v>
      </c>
      <c r="D21682" s="22" t="str">
        <f>HYPERLINK("https://rhld.insurance.arkansas.gov/NPILookup?Npi=1104101716","1104101716")</f>
        <v>1104101716</v>
      </c>
      <c r="E21682" s="1" t="s">
        <v>25568</v>
      </c>
      <c r="F21682" s="2"/>
      <c r="G21682" s="2"/>
      <c r="H21682" s="2"/>
    </row>
    <row r="21683" spans="1:8" x14ac:dyDescent="0.25">
      <c r="A21683" s="1"/>
      <c r="B21683" s="1" t="s">
        <v>7328</v>
      </c>
      <c r="C21683" s="1" t="s">
        <v>7329</v>
      </c>
      <c r="D21683" s="22" t="str">
        <f>HYPERLINK("https://rhld.insurance.arkansas.gov/NPILookup?Npi=1104111442","1104111442")</f>
        <v>1104111442</v>
      </c>
      <c r="E21683" s="1" t="s">
        <v>25569</v>
      </c>
      <c r="F21683" s="2"/>
      <c r="G21683" s="2"/>
      <c r="H21683" s="2"/>
    </row>
    <row r="21684" spans="1:8" x14ac:dyDescent="0.25">
      <c r="A21684" s="1"/>
      <c r="B21684" s="1" t="s">
        <v>7328</v>
      </c>
      <c r="C21684" s="1" t="s">
        <v>7329</v>
      </c>
      <c r="D21684" s="22" t="str">
        <f>HYPERLINK("https://rhld.insurance.arkansas.gov/NPILookup?Npi=1104115153","1104115153")</f>
        <v>1104115153</v>
      </c>
      <c r="E21684" s="1" t="s">
        <v>25570</v>
      </c>
      <c r="F21684" s="2"/>
      <c r="G21684" s="2"/>
      <c r="H21684" s="2"/>
    </row>
    <row r="21685" spans="1:8" x14ac:dyDescent="0.25">
      <c r="A21685" s="1"/>
      <c r="B21685" s="1" t="s">
        <v>7328</v>
      </c>
      <c r="C21685" s="1" t="s">
        <v>7329</v>
      </c>
      <c r="D21685" s="22" t="str">
        <f>HYPERLINK("https://rhld.insurance.arkansas.gov/NPILookup?Npi=1104122803","1104122803")</f>
        <v>1104122803</v>
      </c>
      <c r="E21685" s="1" t="s">
        <v>25571</v>
      </c>
      <c r="F21685" s="2"/>
      <c r="G21685" s="2"/>
      <c r="H21685" s="2"/>
    </row>
    <row r="21686" spans="1:8" x14ac:dyDescent="0.25">
      <c r="A21686" s="1"/>
      <c r="B21686" s="1" t="s">
        <v>7328</v>
      </c>
      <c r="C21686" s="1" t="s">
        <v>7329</v>
      </c>
      <c r="D21686" s="22" t="str">
        <f>HYPERLINK("https://rhld.insurance.arkansas.gov/NPILookup?Npi=1104128867","1104128867")</f>
        <v>1104128867</v>
      </c>
      <c r="E21686" s="1" t="s">
        <v>12695</v>
      </c>
      <c r="F21686" s="2"/>
      <c r="G21686" s="2"/>
      <c r="H21686" s="2"/>
    </row>
    <row r="21687" spans="1:8" x14ac:dyDescent="0.25">
      <c r="A21687" s="1"/>
      <c r="B21687" s="1" t="s">
        <v>7328</v>
      </c>
      <c r="C21687" s="1" t="s">
        <v>7329</v>
      </c>
      <c r="D21687" s="22" t="str">
        <f>HYPERLINK("https://rhld.insurance.arkansas.gov/NPILookup?Npi=1104141472","1104141472")</f>
        <v>1104141472</v>
      </c>
      <c r="E21687" s="1" t="s">
        <v>25572</v>
      </c>
      <c r="F21687" s="2"/>
      <c r="G21687" s="2"/>
      <c r="H21687" s="2"/>
    </row>
    <row r="21688" spans="1:8" x14ac:dyDescent="0.25">
      <c r="A21688" s="1"/>
      <c r="B21688" s="1" t="s">
        <v>7328</v>
      </c>
      <c r="C21688" s="1" t="s">
        <v>7329</v>
      </c>
      <c r="D21688" s="22" t="str">
        <f>HYPERLINK("https://rhld.insurance.arkansas.gov/NPILookup?Npi=1104168459","1104168459")</f>
        <v>1104168459</v>
      </c>
      <c r="E21688" s="1" t="s">
        <v>1964</v>
      </c>
      <c r="F21688" s="2"/>
      <c r="G21688" s="2"/>
      <c r="H21688" s="2"/>
    </row>
    <row r="21689" spans="1:8" x14ac:dyDescent="0.25">
      <c r="A21689" s="1"/>
      <c r="B21689" s="1" t="s">
        <v>7328</v>
      </c>
      <c r="C21689" s="1" t="s">
        <v>7329</v>
      </c>
      <c r="D21689" s="22" t="str">
        <f>HYPERLINK("https://rhld.insurance.arkansas.gov/NPILookup?Npi=1104169895","1104169895")</f>
        <v>1104169895</v>
      </c>
      <c r="E21689" s="1" t="s">
        <v>251</v>
      </c>
      <c r="F21689" s="2"/>
      <c r="G21689" s="2"/>
      <c r="H21689" s="2"/>
    </row>
    <row r="21690" spans="1:8" x14ac:dyDescent="0.25">
      <c r="A21690" s="1"/>
      <c r="B21690" s="1" t="s">
        <v>7328</v>
      </c>
      <c r="C21690" s="1" t="s">
        <v>7329</v>
      </c>
      <c r="D21690" s="22" t="str">
        <f>HYPERLINK("https://rhld.insurance.arkansas.gov/NPILookup?Npi=1104182641","1104182641")</f>
        <v>1104182641</v>
      </c>
      <c r="E21690" s="1" t="s">
        <v>2640</v>
      </c>
      <c r="F21690" s="2"/>
      <c r="G21690" s="2"/>
      <c r="H21690" s="2"/>
    </row>
    <row r="21691" spans="1:8" x14ac:dyDescent="0.25">
      <c r="A21691" s="1"/>
      <c r="B21691" s="1" t="s">
        <v>7328</v>
      </c>
      <c r="C21691" s="1" t="s">
        <v>7329</v>
      </c>
      <c r="D21691" s="22" t="str">
        <f>HYPERLINK("https://rhld.insurance.arkansas.gov/NPILookup?Npi=1104189836","1104189836")</f>
        <v>1104189836</v>
      </c>
      <c r="E21691" s="1" t="s">
        <v>25573</v>
      </c>
      <c r="F21691" s="2"/>
      <c r="G21691" s="2"/>
      <c r="H21691" s="2"/>
    </row>
    <row r="21692" spans="1:8" x14ac:dyDescent="0.25">
      <c r="A21692" s="1"/>
      <c r="B21692" s="1" t="s">
        <v>7328</v>
      </c>
      <c r="C21692" s="1" t="s">
        <v>7329</v>
      </c>
      <c r="D21692" s="22" t="str">
        <f>HYPERLINK("https://rhld.insurance.arkansas.gov/NPILookup?Npi=1104201482","1104201482")</f>
        <v>1104201482</v>
      </c>
      <c r="E21692" s="1" t="s">
        <v>12696</v>
      </c>
      <c r="F21692" s="2"/>
      <c r="G21692" s="2"/>
      <c r="H21692" s="2"/>
    </row>
    <row r="21693" spans="1:8" x14ac:dyDescent="0.25">
      <c r="A21693" s="1"/>
      <c r="B21693" s="1" t="s">
        <v>7328</v>
      </c>
      <c r="C21693" s="1" t="s">
        <v>7329</v>
      </c>
      <c r="D21693" s="22" t="str">
        <f>HYPERLINK("https://rhld.insurance.arkansas.gov/NPILookup?Npi=1104209915","1104209915")</f>
        <v>1104209915</v>
      </c>
      <c r="E21693" s="1" t="s">
        <v>2641</v>
      </c>
      <c r="F21693" s="2"/>
      <c r="G21693" s="2"/>
      <c r="H21693" s="2"/>
    </row>
    <row r="21694" spans="1:8" x14ac:dyDescent="0.25">
      <c r="A21694" s="1"/>
      <c r="B21694" s="1" t="s">
        <v>7328</v>
      </c>
      <c r="C21694" s="1" t="s">
        <v>7329</v>
      </c>
      <c r="D21694" s="22" t="str">
        <f>HYPERLINK("https://rhld.insurance.arkansas.gov/NPILookup?Npi=1104210095","1104210095")</f>
        <v>1104210095</v>
      </c>
      <c r="E21694" s="1" t="s">
        <v>25574</v>
      </c>
      <c r="F21694" s="2"/>
      <c r="G21694" s="2"/>
      <c r="H21694" s="2"/>
    </row>
    <row r="21695" spans="1:8" x14ac:dyDescent="0.25">
      <c r="A21695" s="1"/>
      <c r="B21695" s="1" t="s">
        <v>7328</v>
      </c>
      <c r="C21695" s="1" t="s">
        <v>7329</v>
      </c>
      <c r="D21695" s="22" t="str">
        <f>HYPERLINK("https://rhld.insurance.arkansas.gov/NPILookup?Npi=1104213289","1104213289")</f>
        <v>1104213289</v>
      </c>
      <c r="E21695" s="1" t="s">
        <v>1015</v>
      </c>
      <c r="F21695" s="2"/>
      <c r="G21695" s="2"/>
      <c r="H21695" s="2"/>
    </row>
    <row r="21696" spans="1:8" x14ac:dyDescent="0.25">
      <c r="A21696" s="1"/>
      <c r="B21696" s="1" t="s">
        <v>7328</v>
      </c>
      <c r="C21696" s="1" t="s">
        <v>7329</v>
      </c>
      <c r="D21696" s="22" t="str">
        <f>HYPERLINK("https://rhld.insurance.arkansas.gov/NPILookup?Npi=1104218312","1104218312")</f>
        <v>1104218312</v>
      </c>
      <c r="E21696" s="1" t="s">
        <v>7428</v>
      </c>
      <c r="F21696" s="2"/>
      <c r="G21696" s="2"/>
      <c r="H21696" s="2"/>
    </row>
    <row r="21697" spans="1:8" x14ac:dyDescent="0.25">
      <c r="A21697" s="1"/>
      <c r="B21697" s="1" t="s">
        <v>7328</v>
      </c>
      <c r="C21697" s="1" t="s">
        <v>7329</v>
      </c>
      <c r="D21697" s="22" t="str">
        <f>HYPERLINK("https://rhld.insurance.arkansas.gov/NPILookup?Npi=1104225317","1104225317")</f>
        <v>1104225317</v>
      </c>
      <c r="E21697" s="1" t="s">
        <v>714</v>
      </c>
      <c r="F21697" s="2"/>
      <c r="G21697" s="2"/>
      <c r="H21697" s="2"/>
    </row>
    <row r="21698" spans="1:8" x14ac:dyDescent="0.25">
      <c r="A21698" s="1"/>
      <c r="B21698" s="1" t="s">
        <v>7328</v>
      </c>
      <c r="C21698" s="1" t="s">
        <v>7329</v>
      </c>
      <c r="D21698" s="22" t="str">
        <f>HYPERLINK("https://rhld.insurance.arkansas.gov/NPILookup?Npi=1104245281","1104245281")</f>
        <v>1104245281</v>
      </c>
      <c r="E21698" s="1" t="s">
        <v>25575</v>
      </c>
      <c r="F21698" s="2"/>
      <c r="G21698" s="2"/>
      <c r="H21698" s="2"/>
    </row>
    <row r="21699" spans="1:8" x14ac:dyDescent="0.25">
      <c r="A21699" s="1"/>
      <c r="B21699" s="1" t="s">
        <v>7328</v>
      </c>
      <c r="C21699" s="1" t="s">
        <v>7329</v>
      </c>
      <c r="D21699" s="22" t="str">
        <f>HYPERLINK("https://rhld.insurance.arkansas.gov/NPILookup?Npi=1104245745","1104245745")</f>
        <v>1104245745</v>
      </c>
      <c r="E21699" s="1" t="s">
        <v>25576</v>
      </c>
      <c r="F21699" s="2"/>
      <c r="G21699" s="2"/>
      <c r="H21699" s="2"/>
    </row>
    <row r="21700" spans="1:8" x14ac:dyDescent="0.25">
      <c r="A21700" s="1"/>
      <c r="B21700" s="1" t="s">
        <v>7328</v>
      </c>
      <c r="C21700" s="1" t="s">
        <v>7329</v>
      </c>
      <c r="D21700" s="22" t="str">
        <f>HYPERLINK("https://rhld.insurance.arkansas.gov/NPILookup?Npi=1104255157","1104255157")</f>
        <v>1104255157</v>
      </c>
      <c r="E21700" s="1" t="s">
        <v>1630</v>
      </c>
      <c r="F21700" s="2"/>
      <c r="G21700" s="2"/>
      <c r="H21700" s="2"/>
    </row>
    <row r="21701" spans="1:8" x14ac:dyDescent="0.25">
      <c r="A21701" s="1"/>
      <c r="B21701" s="1" t="s">
        <v>7328</v>
      </c>
      <c r="C21701" s="1" t="s">
        <v>7329</v>
      </c>
      <c r="D21701" s="22" t="str">
        <f>HYPERLINK("https://rhld.insurance.arkansas.gov/NPILookup?Npi=1104262625","1104262625")</f>
        <v>1104262625</v>
      </c>
      <c r="E21701" s="1" t="s">
        <v>17206</v>
      </c>
      <c r="F21701" s="2"/>
      <c r="G21701" s="2"/>
      <c r="H21701" s="2"/>
    </row>
    <row r="21702" spans="1:8" x14ac:dyDescent="0.25">
      <c r="A21702" s="1"/>
      <c r="B21702" s="1" t="s">
        <v>7328</v>
      </c>
      <c r="C21702" s="1" t="s">
        <v>7329</v>
      </c>
      <c r="D21702" s="22" t="str">
        <f>HYPERLINK("https://rhld.insurance.arkansas.gov/NPILookup?Npi=1104265081","1104265081")</f>
        <v>1104265081</v>
      </c>
      <c r="E21702" s="1" t="s">
        <v>12697</v>
      </c>
      <c r="F21702" s="2"/>
      <c r="G21702" s="2"/>
      <c r="H21702" s="2"/>
    </row>
    <row r="21703" spans="1:8" x14ac:dyDescent="0.25">
      <c r="A21703" s="1"/>
      <c r="B21703" s="1" t="s">
        <v>7328</v>
      </c>
      <c r="C21703" s="1" t="s">
        <v>7329</v>
      </c>
      <c r="D21703" s="22" t="str">
        <f>HYPERLINK("https://rhld.insurance.arkansas.gov/NPILookup?Npi=1104266204","1104266204")</f>
        <v>1104266204</v>
      </c>
      <c r="E21703" s="1" t="s">
        <v>25577</v>
      </c>
      <c r="F21703" s="2"/>
      <c r="G21703" s="2"/>
      <c r="H21703" s="2"/>
    </row>
    <row r="21704" spans="1:8" x14ac:dyDescent="0.25">
      <c r="A21704" s="1"/>
      <c r="B21704" s="1" t="s">
        <v>7328</v>
      </c>
      <c r="C21704" s="1" t="s">
        <v>7329</v>
      </c>
      <c r="D21704" s="22" t="str">
        <f>HYPERLINK("https://rhld.insurance.arkansas.gov/NPILookup?Npi=1104301514","1104301514")</f>
        <v>1104301514</v>
      </c>
      <c r="E21704" s="1" t="s">
        <v>2642</v>
      </c>
      <c r="F21704" s="2"/>
      <c r="G21704" s="2"/>
      <c r="H21704" s="2"/>
    </row>
    <row r="21705" spans="1:8" x14ac:dyDescent="0.25">
      <c r="A21705" s="1"/>
      <c r="B21705" s="1" t="s">
        <v>7328</v>
      </c>
      <c r="C21705" s="1" t="s">
        <v>7329</v>
      </c>
      <c r="D21705" s="22" t="str">
        <f>HYPERLINK("https://rhld.insurance.arkansas.gov/NPILookup?Npi=1104306588","1104306588")</f>
        <v>1104306588</v>
      </c>
      <c r="E21705" s="1" t="s">
        <v>32119</v>
      </c>
      <c r="F21705" s="2"/>
      <c r="G21705" s="2"/>
      <c r="H21705" s="2"/>
    </row>
    <row r="21706" spans="1:8" x14ac:dyDescent="0.25">
      <c r="A21706" s="1"/>
      <c r="B21706" s="1" t="s">
        <v>7328</v>
      </c>
      <c r="C21706" s="1" t="s">
        <v>7329</v>
      </c>
      <c r="D21706" s="22" t="str">
        <f>HYPERLINK("https://rhld.insurance.arkansas.gov/NPILookup?Npi=1104312420","1104312420")</f>
        <v>1104312420</v>
      </c>
      <c r="E21706" s="1" t="s">
        <v>12199</v>
      </c>
      <c r="F21706" s="2"/>
      <c r="G21706" s="2"/>
      <c r="H21706" s="2"/>
    </row>
    <row r="21707" spans="1:8" x14ac:dyDescent="0.25">
      <c r="A21707" s="1"/>
      <c r="B21707" s="1" t="s">
        <v>7328</v>
      </c>
      <c r="C21707" s="1" t="s">
        <v>7329</v>
      </c>
      <c r="D21707" s="22" t="str">
        <f>HYPERLINK("https://rhld.insurance.arkansas.gov/NPILookup?Npi=1104313386","1104313386")</f>
        <v>1104313386</v>
      </c>
      <c r="E21707" s="1" t="s">
        <v>32120</v>
      </c>
      <c r="F21707" s="2"/>
      <c r="G21707" s="2"/>
      <c r="H21707" s="2"/>
    </row>
    <row r="21708" spans="1:8" x14ac:dyDescent="0.25">
      <c r="A21708" s="1"/>
      <c r="B21708" s="1" t="s">
        <v>7328</v>
      </c>
      <c r="C21708" s="1" t="s">
        <v>7329</v>
      </c>
      <c r="D21708" s="22" t="str">
        <f>HYPERLINK("https://rhld.insurance.arkansas.gov/NPILookup?Npi=1104316819","1104316819")</f>
        <v>1104316819</v>
      </c>
      <c r="E21708" s="1" t="s">
        <v>12698</v>
      </c>
      <c r="F21708" s="2"/>
      <c r="G21708" s="2"/>
      <c r="H21708" s="2"/>
    </row>
    <row r="21709" spans="1:8" x14ac:dyDescent="0.25">
      <c r="A21709" s="1"/>
      <c r="B21709" s="1" t="s">
        <v>7328</v>
      </c>
      <c r="C21709" s="1" t="s">
        <v>7329</v>
      </c>
      <c r="D21709" s="22" t="str">
        <f>HYPERLINK("https://rhld.insurance.arkansas.gov/NPILookup?Npi=1104319136","1104319136")</f>
        <v>1104319136</v>
      </c>
      <c r="E21709" s="1" t="s">
        <v>12699</v>
      </c>
      <c r="F21709" s="2"/>
      <c r="G21709" s="2"/>
      <c r="H21709" s="2"/>
    </row>
    <row r="21710" spans="1:8" x14ac:dyDescent="0.25">
      <c r="A21710" s="1"/>
      <c r="B21710" s="1" t="s">
        <v>7328</v>
      </c>
      <c r="C21710" s="1" t="s">
        <v>7329</v>
      </c>
      <c r="D21710" s="22" t="str">
        <f>HYPERLINK("https://rhld.insurance.arkansas.gov/NPILookup?Npi=1104336536","1104336536")</f>
        <v>1104336536</v>
      </c>
      <c r="E21710" s="1" t="s">
        <v>7430</v>
      </c>
      <c r="F21710" s="2"/>
      <c r="G21710" s="2"/>
      <c r="H21710" s="2"/>
    </row>
    <row r="21711" spans="1:8" x14ac:dyDescent="0.25">
      <c r="A21711" s="1"/>
      <c r="B21711" s="1" t="s">
        <v>7328</v>
      </c>
      <c r="C21711" s="1" t="s">
        <v>7329</v>
      </c>
      <c r="D21711" s="22" t="str">
        <f>HYPERLINK("https://rhld.insurance.arkansas.gov/NPILookup?Npi=1104340645","1104340645")</f>
        <v>1104340645</v>
      </c>
      <c r="E21711" s="1" t="s">
        <v>25578</v>
      </c>
      <c r="F21711" s="2"/>
      <c r="G21711" s="2"/>
      <c r="H21711" s="2"/>
    </row>
    <row r="21712" spans="1:8" x14ac:dyDescent="0.25">
      <c r="A21712" s="1"/>
      <c r="B21712" s="1" t="s">
        <v>7328</v>
      </c>
      <c r="C21712" s="1" t="s">
        <v>7329</v>
      </c>
      <c r="D21712" s="22" t="str">
        <f>HYPERLINK("https://rhld.insurance.arkansas.gov/NPILookup?Npi=1104342799","1104342799")</f>
        <v>1104342799</v>
      </c>
      <c r="E21712" s="1" t="s">
        <v>25579</v>
      </c>
      <c r="F21712" s="2"/>
      <c r="G21712" s="2"/>
      <c r="H21712" s="2"/>
    </row>
    <row r="21713" spans="1:8" x14ac:dyDescent="0.25">
      <c r="A21713" s="1"/>
      <c r="B21713" s="1" t="s">
        <v>7328</v>
      </c>
      <c r="C21713" s="1" t="s">
        <v>7329</v>
      </c>
      <c r="D21713" s="22" t="str">
        <f>HYPERLINK("https://rhld.insurance.arkansas.gov/NPILookup?Npi=1104358159","1104358159")</f>
        <v>1104358159</v>
      </c>
      <c r="E21713" s="1" t="s">
        <v>2643</v>
      </c>
      <c r="F21713" s="2"/>
      <c r="G21713" s="2"/>
      <c r="H21713" s="2"/>
    </row>
    <row r="21714" spans="1:8" x14ac:dyDescent="0.25">
      <c r="A21714" s="1"/>
      <c r="B21714" s="1" t="s">
        <v>7328</v>
      </c>
      <c r="C21714" s="1" t="s">
        <v>7329</v>
      </c>
      <c r="D21714" s="22" t="str">
        <f>HYPERLINK("https://rhld.insurance.arkansas.gov/NPILookup?Npi=1104358688","1104358688")</f>
        <v>1104358688</v>
      </c>
      <c r="E21714" s="1" t="s">
        <v>25580</v>
      </c>
      <c r="F21714" s="2"/>
      <c r="G21714" s="2"/>
      <c r="H21714" s="2"/>
    </row>
    <row r="21715" spans="1:8" x14ac:dyDescent="0.25">
      <c r="A21715" s="1"/>
      <c r="B21715" s="1" t="s">
        <v>7328</v>
      </c>
      <c r="C21715" s="1" t="s">
        <v>7329</v>
      </c>
      <c r="D21715" s="22" t="str">
        <f>HYPERLINK("https://rhld.insurance.arkansas.gov/NPILookup?Npi=1104361864","1104361864")</f>
        <v>1104361864</v>
      </c>
      <c r="E21715" s="1" t="s">
        <v>25581</v>
      </c>
      <c r="F21715" s="2"/>
      <c r="G21715" s="2"/>
      <c r="H21715" s="2"/>
    </row>
    <row r="21716" spans="1:8" x14ac:dyDescent="0.25">
      <c r="A21716" s="1"/>
      <c r="B21716" s="1" t="s">
        <v>7328</v>
      </c>
      <c r="C21716" s="1" t="s">
        <v>7329</v>
      </c>
      <c r="D21716" s="22" t="str">
        <f>HYPERLINK("https://rhld.insurance.arkansas.gov/NPILookup?Npi=1104361880","1104361880")</f>
        <v>1104361880</v>
      </c>
      <c r="E21716" s="1" t="s">
        <v>11484</v>
      </c>
      <c r="F21716" s="2"/>
      <c r="G21716" s="2"/>
      <c r="H21716" s="2"/>
    </row>
    <row r="21717" spans="1:8" x14ac:dyDescent="0.25">
      <c r="A21717" s="1"/>
      <c r="B21717" s="1" t="s">
        <v>7328</v>
      </c>
      <c r="C21717" s="1" t="s">
        <v>7329</v>
      </c>
      <c r="D21717" s="22" t="str">
        <f>HYPERLINK("https://rhld.insurance.arkansas.gov/NPILookup?Npi=1104363944","1104363944")</f>
        <v>1104363944</v>
      </c>
      <c r="E21717" s="1" t="s">
        <v>833</v>
      </c>
      <c r="F21717" s="2"/>
      <c r="G21717" s="2"/>
      <c r="H21717" s="2"/>
    </row>
    <row r="21718" spans="1:8" x14ac:dyDescent="0.25">
      <c r="A21718" s="1"/>
      <c r="B21718" s="1" t="s">
        <v>7328</v>
      </c>
      <c r="C21718" s="1" t="s">
        <v>7329</v>
      </c>
      <c r="D21718" s="22" t="str">
        <f>HYPERLINK("https://rhld.insurance.arkansas.gov/NPILookup?Npi=1104368406","1104368406")</f>
        <v>1104368406</v>
      </c>
      <c r="E21718" s="1" t="s">
        <v>1965</v>
      </c>
      <c r="F21718" s="2"/>
      <c r="G21718" s="2"/>
      <c r="H21718" s="2"/>
    </row>
    <row r="21719" spans="1:8" x14ac:dyDescent="0.25">
      <c r="A21719" s="1"/>
      <c r="B21719" s="1" t="s">
        <v>7328</v>
      </c>
      <c r="C21719" s="1" t="s">
        <v>7329</v>
      </c>
      <c r="D21719" s="22" t="str">
        <f>HYPERLINK("https://rhld.insurance.arkansas.gov/NPILookup?Npi=1104384809","1104384809")</f>
        <v>1104384809</v>
      </c>
      <c r="E21719" s="1" t="s">
        <v>1966</v>
      </c>
      <c r="F21719" s="2"/>
      <c r="G21719" s="2"/>
      <c r="H21719" s="2"/>
    </row>
    <row r="21720" spans="1:8" x14ac:dyDescent="0.25">
      <c r="A21720" s="1"/>
      <c r="B21720" s="1" t="s">
        <v>7328</v>
      </c>
      <c r="C21720" s="1" t="s">
        <v>7329</v>
      </c>
      <c r="D21720" s="22" t="str">
        <f>HYPERLINK("https://rhld.insurance.arkansas.gov/NPILookup?Npi=1104385632","1104385632")</f>
        <v>1104385632</v>
      </c>
      <c r="E21720" s="1" t="s">
        <v>32121</v>
      </c>
      <c r="F21720" s="2"/>
      <c r="G21720" s="2"/>
      <c r="H21720" s="2"/>
    </row>
    <row r="21721" spans="1:8" x14ac:dyDescent="0.25">
      <c r="A21721" s="1"/>
      <c r="B21721" s="1" t="s">
        <v>7328</v>
      </c>
      <c r="C21721" s="1" t="s">
        <v>7329</v>
      </c>
      <c r="D21721" s="22" t="str">
        <f>HYPERLINK("https://rhld.insurance.arkansas.gov/NPILookup?Npi=1104387562","1104387562")</f>
        <v>1104387562</v>
      </c>
      <c r="E21721" s="1" t="s">
        <v>25582</v>
      </c>
      <c r="F21721" s="2"/>
      <c r="G21721" s="2"/>
      <c r="H21721" s="2"/>
    </row>
    <row r="21722" spans="1:8" x14ac:dyDescent="0.25">
      <c r="A21722" s="1"/>
      <c r="B21722" s="1" t="s">
        <v>7328</v>
      </c>
      <c r="C21722" s="1" t="s">
        <v>7329</v>
      </c>
      <c r="D21722" s="22" t="str">
        <f>HYPERLINK("https://rhld.insurance.arkansas.gov/NPILookup?Npi=1104388081","1104388081")</f>
        <v>1104388081</v>
      </c>
      <c r="E21722" s="1" t="s">
        <v>2644</v>
      </c>
      <c r="F21722" s="2"/>
      <c r="G21722" s="2"/>
      <c r="H21722" s="2"/>
    </row>
    <row r="21723" spans="1:8" x14ac:dyDescent="0.25">
      <c r="A21723" s="1"/>
      <c r="B21723" s="1" t="s">
        <v>7328</v>
      </c>
      <c r="C21723" s="1" t="s">
        <v>7329</v>
      </c>
      <c r="D21723" s="22" t="str">
        <f>HYPERLINK("https://rhld.insurance.arkansas.gov/NPILookup?Npi=1104405422","1104405422")</f>
        <v>1104405422</v>
      </c>
      <c r="E21723" s="1" t="s">
        <v>25583</v>
      </c>
      <c r="F21723" s="2"/>
      <c r="G21723" s="2"/>
      <c r="H21723" s="2"/>
    </row>
    <row r="21724" spans="1:8" x14ac:dyDescent="0.25">
      <c r="A21724" s="1"/>
      <c r="B21724" s="1" t="s">
        <v>7328</v>
      </c>
      <c r="C21724" s="1" t="s">
        <v>7329</v>
      </c>
      <c r="D21724" s="22" t="str">
        <f>HYPERLINK("https://rhld.insurance.arkansas.gov/NPILookup?Npi=1104405869","1104405869")</f>
        <v>1104405869</v>
      </c>
      <c r="E21724" s="1" t="s">
        <v>4240</v>
      </c>
      <c r="F21724" s="2"/>
      <c r="G21724" s="2"/>
      <c r="H21724" s="2"/>
    </row>
    <row r="21725" spans="1:8" x14ac:dyDescent="0.25">
      <c r="A21725" s="1"/>
      <c r="B21725" s="1" t="s">
        <v>7328</v>
      </c>
      <c r="C21725" s="1" t="s">
        <v>7329</v>
      </c>
      <c r="D21725" s="22" t="str">
        <f>HYPERLINK("https://rhld.insurance.arkansas.gov/NPILookup?Npi=1104410604","1104410604")</f>
        <v>1104410604</v>
      </c>
      <c r="E21725" s="1" t="s">
        <v>12700</v>
      </c>
      <c r="F21725" s="2"/>
      <c r="G21725" s="2"/>
      <c r="H21725" s="2"/>
    </row>
    <row r="21726" spans="1:8" x14ac:dyDescent="0.25">
      <c r="A21726" s="1"/>
      <c r="B21726" s="1" t="s">
        <v>7328</v>
      </c>
      <c r="C21726" s="1" t="s">
        <v>7329</v>
      </c>
      <c r="D21726" s="22" t="str">
        <f>HYPERLINK("https://rhld.insurance.arkansas.gov/NPILookup?Npi=1104417021","1104417021")</f>
        <v>1104417021</v>
      </c>
      <c r="E21726" s="1" t="s">
        <v>25584</v>
      </c>
      <c r="F21726" s="2"/>
      <c r="G21726" s="2"/>
      <c r="H21726" s="2"/>
    </row>
    <row r="21727" spans="1:8" x14ac:dyDescent="0.25">
      <c r="A21727" s="1"/>
      <c r="B21727" s="1" t="s">
        <v>7328</v>
      </c>
      <c r="C21727" s="1" t="s">
        <v>7329</v>
      </c>
      <c r="D21727" s="22" t="str">
        <f>HYPERLINK("https://rhld.insurance.arkansas.gov/NPILookup?Npi=1104419241","1104419241")</f>
        <v>1104419241</v>
      </c>
      <c r="E21727" s="1" t="s">
        <v>12701</v>
      </c>
      <c r="F21727" s="2"/>
      <c r="G21727" s="2"/>
      <c r="H21727" s="2"/>
    </row>
    <row r="21728" spans="1:8" x14ac:dyDescent="0.25">
      <c r="A21728" s="1"/>
      <c r="B21728" s="1" t="s">
        <v>7328</v>
      </c>
      <c r="C21728" s="1" t="s">
        <v>7329</v>
      </c>
      <c r="D21728" s="22" t="str">
        <f>HYPERLINK("https://rhld.insurance.arkansas.gov/NPILookup?Npi=1104425586","1104425586")</f>
        <v>1104425586</v>
      </c>
      <c r="E21728" s="1" t="s">
        <v>25585</v>
      </c>
      <c r="F21728" s="2"/>
      <c r="G21728" s="2"/>
      <c r="H21728" s="2"/>
    </row>
    <row r="21729" spans="1:8" x14ac:dyDescent="0.25">
      <c r="A21729" s="1"/>
      <c r="B21729" s="1" t="s">
        <v>7328</v>
      </c>
      <c r="C21729" s="1" t="s">
        <v>7329</v>
      </c>
      <c r="D21729" s="22" t="str">
        <f>HYPERLINK("https://rhld.insurance.arkansas.gov/NPILookup?Npi=1104426261","1104426261")</f>
        <v>1104426261</v>
      </c>
      <c r="E21729" s="1" t="s">
        <v>2438</v>
      </c>
      <c r="F21729" s="2"/>
      <c r="G21729" s="2"/>
      <c r="H21729" s="2"/>
    </row>
    <row r="21730" spans="1:8" x14ac:dyDescent="0.25">
      <c r="A21730" s="1"/>
      <c r="B21730" s="1" t="s">
        <v>7328</v>
      </c>
      <c r="C21730" s="1" t="s">
        <v>7329</v>
      </c>
      <c r="D21730" s="22" t="str">
        <f>HYPERLINK("https://rhld.insurance.arkansas.gov/NPILookup?Npi=1104431485","1104431485")</f>
        <v>1104431485</v>
      </c>
      <c r="E21730" s="1" t="s">
        <v>25586</v>
      </c>
      <c r="F21730" s="2"/>
      <c r="G21730" s="2"/>
      <c r="H21730" s="2"/>
    </row>
    <row r="21731" spans="1:8" x14ac:dyDescent="0.25">
      <c r="A21731" s="1"/>
      <c r="B21731" s="1" t="s">
        <v>7328</v>
      </c>
      <c r="C21731" s="1" t="s">
        <v>7329</v>
      </c>
      <c r="D21731" s="22" t="str">
        <f>HYPERLINK("https://rhld.insurance.arkansas.gov/NPILookup?Npi=1104433341","1104433341")</f>
        <v>1104433341</v>
      </c>
      <c r="E21731" s="1" t="s">
        <v>32122</v>
      </c>
      <c r="F21731" s="2"/>
      <c r="G21731" s="2"/>
      <c r="H21731" s="2"/>
    </row>
    <row r="21732" spans="1:8" x14ac:dyDescent="0.25">
      <c r="A21732" s="1"/>
      <c r="B21732" s="1" t="s">
        <v>7328</v>
      </c>
      <c r="C21732" s="1" t="s">
        <v>7329</v>
      </c>
      <c r="D21732" s="22" t="str">
        <f>HYPERLINK("https://rhld.insurance.arkansas.gov/NPILookup?Npi=1104446103","1104446103")</f>
        <v>1104446103</v>
      </c>
      <c r="E21732" s="1" t="s">
        <v>17208</v>
      </c>
      <c r="F21732" s="2"/>
      <c r="G21732" s="2"/>
      <c r="H21732" s="2"/>
    </row>
    <row r="21733" spans="1:8" x14ac:dyDescent="0.25">
      <c r="A21733" s="1"/>
      <c r="B21733" s="1" t="s">
        <v>7328</v>
      </c>
      <c r="C21733" s="1" t="s">
        <v>7329</v>
      </c>
      <c r="D21733" s="22" t="str">
        <f>HYPERLINK("https://rhld.insurance.arkansas.gov/NPILookup?Npi=1104450154","1104450154")</f>
        <v>1104450154</v>
      </c>
      <c r="E21733" s="1" t="s">
        <v>12702</v>
      </c>
      <c r="F21733" s="2"/>
      <c r="G21733" s="2"/>
      <c r="H21733" s="2"/>
    </row>
    <row r="21734" spans="1:8" x14ac:dyDescent="0.25">
      <c r="A21734" s="1"/>
      <c r="B21734" s="1" t="s">
        <v>7328</v>
      </c>
      <c r="C21734" s="1" t="s">
        <v>7329</v>
      </c>
      <c r="D21734" s="22" t="str">
        <f>HYPERLINK("https://rhld.insurance.arkansas.gov/NPILookup?Npi=1104452887","1104452887")</f>
        <v>1104452887</v>
      </c>
      <c r="E21734" s="1" t="s">
        <v>25587</v>
      </c>
      <c r="F21734" s="2"/>
      <c r="G21734" s="2"/>
      <c r="H21734" s="2"/>
    </row>
    <row r="21735" spans="1:8" x14ac:dyDescent="0.25">
      <c r="A21735" s="1"/>
      <c r="B21735" s="1" t="s">
        <v>7328</v>
      </c>
      <c r="C21735" s="1" t="s">
        <v>7329</v>
      </c>
      <c r="D21735" s="22" t="str">
        <f>HYPERLINK("https://rhld.insurance.arkansas.gov/NPILookup?Npi=1104459478","1104459478")</f>
        <v>1104459478</v>
      </c>
      <c r="E21735" s="1" t="s">
        <v>25588</v>
      </c>
      <c r="F21735" s="2"/>
      <c r="G21735" s="2"/>
      <c r="H21735" s="2"/>
    </row>
    <row r="21736" spans="1:8" x14ac:dyDescent="0.25">
      <c r="A21736" s="1"/>
      <c r="B21736" s="1" t="s">
        <v>7328</v>
      </c>
      <c r="C21736" s="1" t="s">
        <v>7329</v>
      </c>
      <c r="D21736" s="22" t="str">
        <f>HYPERLINK("https://rhld.insurance.arkansas.gov/NPILookup?Npi=1104462712","1104462712")</f>
        <v>1104462712</v>
      </c>
      <c r="E21736" s="1" t="s">
        <v>12703</v>
      </c>
      <c r="F21736" s="2"/>
      <c r="G21736" s="2"/>
      <c r="H21736" s="2"/>
    </row>
    <row r="21737" spans="1:8" x14ac:dyDescent="0.25">
      <c r="A21737" s="1"/>
      <c r="B21737" s="1" t="s">
        <v>7328</v>
      </c>
      <c r="C21737" s="1" t="s">
        <v>7329</v>
      </c>
      <c r="D21737" s="22" t="str">
        <f>HYPERLINK("https://rhld.insurance.arkansas.gov/NPILookup?Npi=1104468560","1104468560")</f>
        <v>1104468560</v>
      </c>
      <c r="E21737" s="1" t="s">
        <v>25589</v>
      </c>
      <c r="F21737" s="2"/>
      <c r="G21737" s="2"/>
      <c r="H21737" s="2"/>
    </row>
    <row r="21738" spans="1:8" x14ac:dyDescent="0.25">
      <c r="A21738" s="1"/>
      <c r="B21738" s="1" t="s">
        <v>7328</v>
      </c>
      <c r="C21738" s="1" t="s">
        <v>7329</v>
      </c>
      <c r="D21738" s="22" t="str">
        <f>HYPERLINK("https://rhld.insurance.arkansas.gov/NPILookup?Npi=1104468610","1104468610")</f>
        <v>1104468610</v>
      </c>
      <c r="E21738" s="1" t="s">
        <v>7431</v>
      </c>
      <c r="F21738" s="2"/>
      <c r="G21738" s="2"/>
      <c r="H21738" s="2"/>
    </row>
    <row r="21739" spans="1:8" x14ac:dyDescent="0.25">
      <c r="A21739" s="1"/>
      <c r="B21739" s="1" t="s">
        <v>7328</v>
      </c>
      <c r="C21739" s="1" t="s">
        <v>7329</v>
      </c>
      <c r="D21739" s="22" t="str">
        <f>HYPERLINK("https://rhld.insurance.arkansas.gov/NPILookup?Npi=1104476720","1104476720")</f>
        <v>1104476720</v>
      </c>
      <c r="E21739" s="1" t="s">
        <v>1748</v>
      </c>
      <c r="F21739" s="2"/>
      <c r="G21739" s="2"/>
      <c r="H21739" s="2"/>
    </row>
    <row r="21740" spans="1:8" x14ac:dyDescent="0.25">
      <c r="A21740" s="1"/>
      <c r="B21740" s="1" t="s">
        <v>7328</v>
      </c>
      <c r="C21740" s="1" t="s">
        <v>7329</v>
      </c>
      <c r="D21740" s="22" t="str">
        <f>HYPERLINK("https://rhld.insurance.arkansas.gov/NPILookup?Npi=1104478585","1104478585")</f>
        <v>1104478585</v>
      </c>
      <c r="E21740" s="1" t="s">
        <v>12704</v>
      </c>
      <c r="F21740" s="2"/>
      <c r="G21740" s="2"/>
      <c r="H21740" s="2"/>
    </row>
    <row r="21741" spans="1:8" x14ac:dyDescent="0.25">
      <c r="A21741" s="1"/>
      <c r="B21741" s="1" t="s">
        <v>7328</v>
      </c>
      <c r="C21741" s="1" t="s">
        <v>7329</v>
      </c>
      <c r="D21741" s="22" t="str">
        <f>HYPERLINK("https://rhld.insurance.arkansas.gov/NPILookup?Npi=1104492255","1104492255")</f>
        <v>1104492255</v>
      </c>
      <c r="E21741" s="1" t="s">
        <v>25590</v>
      </c>
      <c r="F21741" s="2"/>
      <c r="G21741" s="2"/>
      <c r="H21741" s="2"/>
    </row>
    <row r="21742" spans="1:8" x14ac:dyDescent="0.25">
      <c r="A21742" s="1"/>
      <c r="B21742" s="1" t="s">
        <v>7328</v>
      </c>
      <c r="C21742" s="1" t="s">
        <v>7329</v>
      </c>
      <c r="D21742" s="22" t="str">
        <f>HYPERLINK("https://rhld.insurance.arkansas.gov/NPILookup?Npi=1104497932","1104497932")</f>
        <v>1104497932</v>
      </c>
      <c r="E21742" s="1" t="s">
        <v>12705</v>
      </c>
      <c r="F21742" s="2"/>
      <c r="G21742" s="2"/>
      <c r="H21742" s="2"/>
    </row>
    <row r="21743" spans="1:8" x14ac:dyDescent="0.25">
      <c r="A21743" s="1"/>
      <c r="B21743" s="1" t="s">
        <v>7328</v>
      </c>
      <c r="C21743" s="1" t="s">
        <v>7329</v>
      </c>
      <c r="D21743" s="22" t="str">
        <f>HYPERLINK("https://rhld.insurance.arkansas.gov/NPILookup?Npi=1104507300","1104507300")</f>
        <v>1104507300</v>
      </c>
      <c r="E21743" s="1" t="s">
        <v>32123</v>
      </c>
      <c r="F21743" s="2"/>
      <c r="G21743" s="2"/>
      <c r="H21743" s="2"/>
    </row>
    <row r="21744" spans="1:8" x14ac:dyDescent="0.25">
      <c r="A21744" s="1"/>
      <c r="B21744" s="1" t="s">
        <v>7328</v>
      </c>
      <c r="C21744" s="1" t="s">
        <v>7329</v>
      </c>
      <c r="D21744" s="22" t="str">
        <f>HYPERLINK("https://rhld.insurance.arkansas.gov/NPILookup?Npi=1104526573","1104526573")</f>
        <v>1104526573</v>
      </c>
      <c r="E21744" s="1" t="s">
        <v>7432</v>
      </c>
      <c r="F21744" s="2"/>
      <c r="G21744" s="2"/>
      <c r="H21744" s="2"/>
    </row>
    <row r="21745" spans="1:8" x14ac:dyDescent="0.25">
      <c r="A21745" s="1"/>
      <c r="B21745" s="1" t="s">
        <v>7328</v>
      </c>
      <c r="C21745" s="1" t="s">
        <v>7329</v>
      </c>
      <c r="D21745" s="22" t="str">
        <f>HYPERLINK("https://rhld.insurance.arkansas.gov/NPILookup?Npi=1104531110","1104531110")</f>
        <v>1104531110</v>
      </c>
      <c r="E21745" s="1" t="s">
        <v>7433</v>
      </c>
      <c r="F21745" s="2"/>
      <c r="G21745" s="2"/>
      <c r="H21745" s="2"/>
    </row>
    <row r="21746" spans="1:8" x14ac:dyDescent="0.25">
      <c r="A21746" s="1"/>
      <c r="B21746" s="1" t="s">
        <v>7328</v>
      </c>
      <c r="C21746" s="1" t="s">
        <v>7329</v>
      </c>
      <c r="D21746" s="22" t="str">
        <f>HYPERLINK("https://rhld.insurance.arkansas.gov/NPILookup?Npi=1104539162","1104539162")</f>
        <v>1104539162</v>
      </c>
      <c r="E21746" s="1" t="s">
        <v>12706</v>
      </c>
      <c r="F21746" s="2"/>
      <c r="G21746" s="2"/>
      <c r="H21746" s="2"/>
    </row>
    <row r="21747" spans="1:8" x14ac:dyDescent="0.25">
      <c r="A21747" s="1"/>
      <c r="B21747" s="1" t="s">
        <v>7328</v>
      </c>
      <c r="C21747" s="1" t="s">
        <v>7329</v>
      </c>
      <c r="D21747" s="22" t="str">
        <f>HYPERLINK("https://rhld.insurance.arkansas.gov/NPILookup?Npi=1104544113","1104544113")</f>
        <v>1104544113</v>
      </c>
      <c r="E21747" s="1" t="s">
        <v>4869</v>
      </c>
      <c r="F21747" s="2"/>
      <c r="G21747" s="2"/>
      <c r="H21747" s="2"/>
    </row>
    <row r="21748" spans="1:8" x14ac:dyDescent="0.25">
      <c r="A21748" s="1"/>
      <c r="B21748" s="1" t="s">
        <v>7328</v>
      </c>
      <c r="C21748" s="1" t="s">
        <v>7329</v>
      </c>
      <c r="D21748" s="22" t="str">
        <f>HYPERLINK("https://rhld.insurance.arkansas.gov/NPILookup?Npi=1104564186","1104564186")</f>
        <v>1104564186</v>
      </c>
      <c r="E21748" s="1" t="s">
        <v>25591</v>
      </c>
      <c r="F21748" s="2"/>
      <c r="G21748" s="2"/>
      <c r="H21748" s="2"/>
    </row>
    <row r="21749" spans="1:8" x14ac:dyDescent="0.25">
      <c r="A21749" s="1"/>
      <c r="B21749" s="1" t="s">
        <v>7328</v>
      </c>
      <c r="C21749" s="1" t="s">
        <v>7329</v>
      </c>
      <c r="D21749" s="22" t="str">
        <f>HYPERLINK("https://rhld.insurance.arkansas.gov/NPILookup?Npi=1104569649","1104569649")</f>
        <v>1104569649</v>
      </c>
      <c r="E21749" s="1" t="s">
        <v>25592</v>
      </c>
      <c r="F21749" s="2"/>
      <c r="G21749" s="2"/>
      <c r="H21749" s="2"/>
    </row>
    <row r="21750" spans="1:8" x14ac:dyDescent="0.25">
      <c r="A21750" s="1"/>
      <c r="B21750" s="1" t="s">
        <v>7328</v>
      </c>
      <c r="C21750" s="1" t="s">
        <v>7329</v>
      </c>
      <c r="D21750" s="22" t="str">
        <f>HYPERLINK("https://rhld.insurance.arkansas.gov/NPILookup?Npi=1104574334","1104574334")</f>
        <v>1104574334</v>
      </c>
      <c r="E21750" s="1" t="s">
        <v>7434</v>
      </c>
      <c r="F21750" s="2"/>
      <c r="G21750" s="2"/>
      <c r="H21750" s="2"/>
    </row>
    <row r="21751" spans="1:8" x14ac:dyDescent="0.25">
      <c r="A21751" s="1"/>
      <c r="B21751" s="1" t="s">
        <v>7328</v>
      </c>
      <c r="C21751" s="1" t="s">
        <v>7329</v>
      </c>
      <c r="D21751" s="22" t="str">
        <f>HYPERLINK("https://rhld.insurance.arkansas.gov/NPILookup?Npi=1104592955","1104592955")</f>
        <v>1104592955</v>
      </c>
      <c r="E21751" s="1" t="s">
        <v>12707</v>
      </c>
      <c r="F21751" s="2"/>
      <c r="G21751" s="2"/>
      <c r="H21751" s="2"/>
    </row>
    <row r="21752" spans="1:8" x14ac:dyDescent="0.25">
      <c r="A21752" s="1"/>
      <c r="B21752" s="1" t="s">
        <v>7328</v>
      </c>
      <c r="C21752" s="1" t="s">
        <v>7329</v>
      </c>
      <c r="D21752" s="22" t="str">
        <f>HYPERLINK("https://rhld.insurance.arkansas.gov/NPILookup?Npi=1104603653","1104603653")</f>
        <v>1104603653</v>
      </c>
      <c r="E21752" s="1" t="s">
        <v>7435</v>
      </c>
      <c r="F21752" s="2"/>
      <c r="G21752" s="2"/>
      <c r="H21752" s="2"/>
    </row>
    <row r="21753" spans="1:8" x14ac:dyDescent="0.25">
      <c r="A21753" s="1"/>
      <c r="B21753" s="1" t="s">
        <v>7328</v>
      </c>
      <c r="C21753" s="1" t="s">
        <v>7329</v>
      </c>
      <c r="D21753" s="22" t="str">
        <f>HYPERLINK("https://rhld.insurance.arkansas.gov/NPILookup?Npi=1104627066","1104627066")</f>
        <v>1104627066</v>
      </c>
      <c r="E21753" s="1" t="s">
        <v>32124</v>
      </c>
      <c r="F21753" s="2"/>
      <c r="G21753" s="2"/>
      <c r="H21753" s="2"/>
    </row>
    <row r="21754" spans="1:8" x14ac:dyDescent="0.25">
      <c r="A21754" s="1"/>
      <c r="B21754" s="1" t="s">
        <v>7328</v>
      </c>
      <c r="C21754" s="1" t="s">
        <v>7329</v>
      </c>
      <c r="D21754" s="22" t="str">
        <f>HYPERLINK("https://rhld.insurance.arkansas.gov/NPILookup?Npi=1104645837","1104645837")</f>
        <v>1104645837</v>
      </c>
      <c r="E21754" s="1" t="s">
        <v>25593</v>
      </c>
      <c r="F21754" s="2"/>
      <c r="G21754" s="2"/>
      <c r="H21754" s="2"/>
    </row>
    <row r="21755" spans="1:8" x14ac:dyDescent="0.25">
      <c r="A21755" s="1"/>
      <c r="B21755" s="1" t="s">
        <v>7328</v>
      </c>
      <c r="C21755" s="1" t="s">
        <v>7329</v>
      </c>
      <c r="D21755" s="22" t="str">
        <f>HYPERLINK("https://rhld.insurance.arkansas.gov/NPILookup?Npi=1104688506","1104688506")</f>
        <v>1104688506</v>
      </c>
      <c r="E21755" s="1" t="s">
        <v>25594</v>
      </c>
      <c r="F21755" s="2"/>
      <c r="G21755" s="2"/>
      <c r="H21755" s="2"/>
    </row>
    <row r="21756" spans="1:8" x14ac:dyDescent="0.25">
      <c r="A21756" s="1"/>
      <c r="B21756" s="1" t="s">
        <v>7328</v>
      </c>
      <c r="C21756" s="1" t="s">
        <v>7329</v>
      </c>
      <c r="D21756" s="22" t="str">
        <f>HYPERLINK("https://rhld.insurance.arkansas.gov/NPILookup?Npi=1104696186","1104696186")</f>
        <v>1104696186</v>
      </c>
      <c r="E21756" s="1" t="s">
        <v>32125</v>
      </c>
      <c r="F21756" s="2"/>
      <c r="G21756" s="2"/>
      <c r="H21756" s="2"/>
    </row>
    <row r="21757" spans="1:8" x14ac:dyDescent="0.25">
      <c r="A21757" s="1"/>
      <c r="B21757" s="1" t="s">
        <v>7328</v>
      </c>
      <c r="C21757" s="1" t="s">
        <v>7329</v>
      </c>
      <c r="D21757" s="22" t="str">
        <f>HYPERLINK("https://rhld.insurance.arkansas.gov/NPILookup?Npi=1104811108","1104811108")</f>
        <v>1104811108</v>
      </c>
      <c r="E21757" s="1" t="s">
        <v>25595</v>
      </c>
      <c r="F21757" s="2"/>
      <c r="G21757" s="2"/>
      <c r="H21757" s="2"/>
    </row>
    <row r="21758" spans="1:8" x14ac:dyDescent="0.25">
      <c r="A21758" s="1"/>
      <c r="B21758" s="1" t="s">
        <v>7328</v>
      </c>
      <c r="C21758" s="1" t="s">
        <v>7329</v>
      </c>
      <c r="D21758" s="22" t="str">
        <f>HYPERLINK("https://rhld.insurance.arkansas.gov/NPILookup?Npi=1104820612","1104820612")</f>
        <v>1104820612</v>
      </c>
      <c r="E21758" s="1" t="s">
        <v>12708</v>
      </c>
      <c r="F21758" s="2"/>
      <c r="G21758" s="2"/>
      <c r="H21758" s="2"/>
    </row>
    <row r="21759" spans="1:8" x14ac:dyDescent="0.25">
      <c r="A21759" s="1"/>
      <c r="B21759" s="1" t="s">
        <v>7328</v>
      </c>
      <c r="C21759" s="1" t="s">
        <v>7329</v>
      </c>
      <c r="D21759" s="22" t="str">
        <f>HYPERLINK("https://rhld.insurance.arkansas.gov/NPILookup?Npi=1104823020","1104823020")</f>
        <v>1104823020</v>
      </c>
      <c r="E21759" s="1" t="s">
        <v>12709</v>
      </c>
      <c r="F21759" s="2"/>
      <c r="G21759" s="2"/>
      <c r="H21759" s="2"/>
    </row>
    <row r="21760" spans="1:8" x14ac:dyDescent="0.25">
      <c r="A21760" s="1"/>
      <c r="B21760" s="1" t="s">
        <v>7328</v>
      </c>
      <c r="C21760" s="1" t="s">
        <v>7329</v>
      </c>
      <c r="D21760" s="22" t="str">
        <f>HYPERLINK("https://rhld.insurance.arkansas.gov/NPILookup?Npi=1104826320","1104826320")</f>
        <v>1104826320</v>
      </c>
      <c r="E21760" s="1" t="s">
        <v>12710</v>
      </c>
      <c r="F21760" s="2"/>
      <c r="G21760" s="2"/>
      <c r="H21760" s="2"/>
    </row>
    <row r="21761" spans="1:8" x14ac:dyDescent="0.25">
      <c r="A21761" s="1"/>
      <c r="B21761" s="1" t="s">
        <v>7328</v>
      </c>
      <c r="C21761" s="1" t="s">
        <v>7329</v>
      </c>
      <c r="D21761" s="22" t="str">
        <f>HYPERLINK("https://rhld.insurance.arkansas.gov/NPILookup?Npi=1104830710","1104830710")</f>
        <v>1104830710</v>
      </c>
      <c r="E21761" s="1" t="s">
        <v>224</v>
      </c>
      <c r="F21761" s="2"/>
      <c r="G21761" s="2"/>
      <c r="H21761" s="2"/>
    </row>
    <row r="21762" spans="1:8" x14ac:dyDescent="0.25">
      <c r="A21762" s="1"/>
      <c r="B21762" s="1" t="s">
        <v>7328</v>
      </c>
      <c r="C21762" s="1" t="s">
        <v>7329</v>
      </c>
      <c r="D21762" s="22" t="str">
        <f>HYPERLINK("https://rhld.insurance.arkansas.gov/NPILookup?Npi=1104838945","1104838945")</f>
        <v>1104838945</v>
      </c>
      <c r="E21762" s="1" t="s">
        <v>1967</v>
      </c>
      <c r="F21762" s="2"/>
      <c r="G21762" s="2"/>
      <c r="H21762" s="2"/>
    </row>
    <row r="21763" spans="1:8" x14ac:dyDescent="0.25">
      <c r="A21763" s="1"/>
      <c r="B21763" s="1" t="s">
        <v>7328</v>
      </c>
      <c r="C21763" s="1" t="s">
        <v>7329</v>
      </c>
      <c r="D21763" s="22" t="str">
        <f>HYPERLINK("https://rhld.insurance.arkansas.gov/NPILookup?Npi=1104851641","1104851641")</f>
        <v>1104851641</v>
      </c>
      <c r="E21763" s="1" t="s">
        <v>25596</v>
      </c>
      <c r="F21763" s="2"/>
      <c r="G21763" s="2"/>
      <c r="H21763" s="2"/>
    </row>
    <row r="21764" spans="1:8" x14ac:dyDescent="0.25">
      <c r="A21764" s="1"/>
      <c r="B21764" s="1" t="s">
        <v>7328</v>
      </c>
      <c r="C21764" s="1" t="s">
        <v>7329</v>
      </c>
      <c r="D21764" s="22" t="str">
        <f>HYPERLINK("https://rhld.insurance.arkansas.gov/NPILookup?Npi=1104853860","1104853860")</f>
        <v>1104853860</v>
      </c>
      <c r="E21764" s="1" t="s">
        <v>25597</v>
      </c>
      <c r="F21764" s="2"/>
      <c r="G21764" s="2"/>
      <c r="H21764" s="2"/>
    </row>
    <row r="21765" spans="1:8" x14ac:dyDescent="0.25">
      <c r="A21765" s="1"/>
      <c r="B21765" s="1" t="s">
        <v>7328</v>
      </c>
      <c r="C21765" s="1" t="s">
        <v>7329</v>
      </c>
      <c r="D21765" s="22" t="str">
        <f>HYPERLINK("https://rhld.insurance.arkansas.gov/NPILookup?Npi=1104861616","1104861616")</f>
        <v>1104861616</v>
      </c>
      <c r="E21765" s="1" t="s">
        <v>7436</v>
      </c>
      <c r="F21765" s="2"/>
      <c r="G21765" s="2"/>
      <c r="H21765" s="2"/>
    </row>
    <row r="21766" spans="1:8" x14ac:dyDescent="0.25">
      <c r="A21766" s="1"/>
      <c r="B21766" s="1" t="s">
        <v>7328</v>
      </c>
      <c r="C21766" s="1" t="s">
        <v>7329</v>
      </c>
      <c r="D21766" s="22" t="str">
        <f>HYPERLINK("https://rhld.insurance.arkansas.gov/NPILookup?Npi=1104872969","1104872969")</f>
        <v>1104872969</v>
      </c>
      <c r="E21766" s="1" t="s">
        <v>25598</v>
      </c>
      <c r="F21766" s="2"/>
      <c r="G21766" s="2"/>
      <c r="H21766" s="2"/>
    </row>
    <row r="21767" spans="1:8" x14ac:dyDescent="0.25">
      <c r="A21767" s="1"/>
      <c r="B21767" s="1" t="s">
        <v>7328</v>
      </c>
      <c r="C21767" s="1" t="s">
        <v>7329</v>
      </c>
      <c r="D21767" s="22" t="str">
        <f>HYPERLINK("https://rhld.insurance.arkansas.gov/NPILookup?Npi=1104887215","1104887215")</f>
        <v>1104887215</v>
      </c>
      <c r="E21767" s="1" t="s">
        <v>25599</v>
      </c>
      <c r="F21767" s="2"/>
      <c r="G21767" s="2"/>
      <c r="H21767" s="2"/>
    </row>
    <row r="21768" spans="1:8" x14ac:dyDescent="0.25">
      <c r="A21768" s="1"/>
      <c r="B21768" s="1" t="s">
        <v>7328</v>
      </c>
      <c r="C21768" s="1" t="s">
        <v>7329</v>
      </c>
      <c r="D21768" s="22" t="str">
        <f>HYPERLINK("https://rhld.insurance.arkansas.gov/NPILookup?Npi=1104893858","1104893858")</f>
        <v>1104893858</v>
      </c>
      <c r="E21768" s="1" t="s">
        <v>9792</v>
      </c>
      <c r="F21768" s="2"/>
      <c r="G21768" s="2"/>
      <c r="H21768" s="2"/>
    </row>
    <row r="21769" spans="1:8" x14ac:dyDescent="0.25">
      <c r="A21769" s="1"/>
      <c r="B21769" s="1" t="s">
        <v>7328</v>
      </c>
      <c r="C21769" s="1" t="s">
        <v>7329</v>
      </c>
      <c r="D21769" s="22" t="str">
        <f>HYPERLINK("https://rhld.insurance.arkansas.gov/NPILookup?Npi=1104918457","1104918457")</f>
        <v>1104918457</v>
      </c>
      <c r="E21769" s="1" t="s">
        <v>12711</v>
      </c>
      <c r="F21769" s="2"/>
      <c r="G21769" s="2"/>
      <c r="H21769" s="2"/>
    </row>
    <row r="21770" spans="1:8" x14ac:dyDescent="0.25">
      <c r="A21770" s="1"/>
      <c r="B21770" s="1" t="s">
        <v>7328</v>
      </c>
      <c r="C21770" s="1" t="s">
        <v>7329</v>
      </c>
      <c r="D21770" s="22" t="str">
        <f>HYPERLINK("https://rhld.insurance.arkansas.gov/NPILookup?Npi=1104968171","1104968171")</f>
        <v>1104968171</v>
      </c>
      <c r="E21770" s="1" t="s">
        <v>25600</v>
      </c>
      <c r="F21770" s="2"/>
      <c r="G21770" s="2"/>
      <c r="H21770" s="2"/>
    </row>
    <row r="21771" spans="1:8" x14ac:dyDescent="0.25">
      <c r="A21771" s="1"/>
      <c r="B21771" s="1" t="s">
        <v>7328</v>
      </c>
      <c r="C21771" s="1" t="s">
        <v>7329</v>
      </c>
      <c r="D21771" s="22" t="str">
        <f>HYPERLINK("https://rhld.insurance.arkansas.gov/NPILookup?Npi=1104971373","1104971373")</f>
        <v>1104971373</v>
      </c>
      <c r="E21771" s="1" t="s">
        <v>18073</v>
      </c>
      <c r="F21771" s="2"/>
      <c r="G21771" s="2"/>
      <c r="H21771" s="2"/>
    </row>
    <row r="21772" spans="1:8" x14ac:dyDescent="0.25">
      <c r="A21772" s="1"/>
      <c r="B21772" s="1" t="s">
        <v>7328</v>
      </c>
      <c r="C21772" s="1" t="s">
        <v>7329</v>
      </c>
      <c r="D21772" s="22" t="str">
        <f>HYPERLINK("https://rhld.insurance.arkansas.gov/NPILookup?Npi=1104988070","1104988070")</f>
        <v>1104988070</v>
      </c>
      <c r="E21772" s="1" t="s">
        <v>25601</v>
      </c>
      <c r="F21772" s="2"/>
      <c r="G21772" s="2"/>
      <c r="H21772" s="2"/>
    </row>
    <row r="21773" spans="1:8" x14ac:dyDescent="0.25">
      <c r="A21773" s="1"/>
      <c r="B21773" s="1" t="s">
        <v>7328</v>
      </c>
      <c r="C21773" s="1" t="s">
        <v>7329</v>
      </c>
      <c r="D21773" s="22" t="str">
        <f>HYPERLINK("https://rhld.insurance.arkansas.gov/NPILookup?Npi=1114004967","1114004967")</f>
        <v>1114004967</v>
      </c>
      <c r="E21773" s="1" t="s">
        <v>12712</v>
      </c>
      <c r="F21773" s="2"/>
      <c r="G21773" s="2"/>
      <c r="H21773" s="2"/>
    </row>
    <row r="21774" spans="1:8" x14ac:dyDescent="0.25">
      <c r="A21774" s="1"/>
      <c r="B21774" s="1" t="s">
        <v>7328</v>
      </c>
      <c r="C21774" s="1" t="s">
        <v>7329</v>
      </c>
      <c r="D21774" s="22" t="str">
        <f>HYPERLINK("https://rhld.insurance.arkansas.gov/NPILookup?Npi=1114015989","1114015989")</f>
        <v>1114015989</v>
      </c>
      <c r="E21774" s="1" t="s">
        <v>20064</v>
      </c>
      <c r="F21774" s="2"/>
      <c r="G21774" s="2"/>
      <c r="H21774" s="2"/>
    </row>
    <row r="21775" spans="1:8" x14ac:dyDescent="0.25">
      <c r="A21775" s="1"/>
      <c r="B21775" s="1" t="s">
        <v>7328</v>
      </c>
      <c r="C21775" s="1" t="s">
        <v>7329</v>
      </c>
      <c r="D21775" s="22" t="str">
        <f>HYPERLINK("https://rhld.insurance.arkansas.gov/NPILookup?Npi=1114017555","1114017555")</f>
        <v>1114017555</v>
      </c>
      <c r="E21775" s="1" t="s">
        <v>10222</v>
      </c>
      <c r="F21775" s="2"/>
      <c r="G21775" s="2"/>
      <c r="H21775" s="2"/>
    </row>
    <row r="21776" spans="1:8" x14ac:dyDescent="0.25">
      <c r="A21776" s="1"/>
      <c r="B21776" s="1" t="s">
        <v>7328</v>
      </c>
      <c r="C21776" s="1" t="s">
        <v>7329</v>
      </c>
      <c r="D21776" s="22" t="str">
        <f>HYPERLINK("https://rhld.insurance.arkansas.gov/NPILookup?Npi=1114027356","1114027356")</f>
        <v>1114027356</v>
      </c>
      <c r="E21776" s="1" t="s">
        <v>12713</v>
      </c>
      <c r="F21776" s="2"/>
      <c r="G21776" s="2"/>
      <c r="H21776" s="2"/>
    </row>
    <row r="21777" spans="1:8" x14ac:dyDescent="0.25">
      <c r="A21777" s="1"/>
      <c r="B21777" s="1" t="s">
        <v>7328</v>
      </c>
      <c r="C21777" s="1" t="s">
        <v>7329</v>
      </c>
      <c r="D21777" s="22" t="str">
        <f>HYPERLINK("https://rhld.insurance.arkansas.gov/NPILookup?Npi=1114029238","1114029238")</f>
        <v>1114029238</v>
      </c>
      <c r="E21777" s="1" t="s">
        <v>25602</v>
      </c>
      <c r="F21777" s="2"/>
      <c r="G21777" s="2"/>
      <c r="H21777" s="2"/>
    </row>
    <row r="21778" spans="1:8" x14ac:dyDescent="0.25">
      <c r="A21778" s="1"/>
      <c r="B21778" s="1" t="s">
        <v>7328</v>
      </c>
      <c r="C21778" s="1" t="s">
        <v>7329</v>
      </c>
      <c r="D21778" s="22" t="str">
        <f>HYPERLINK("https://rhld.insurance.arkansas.gov/NPILookup?Npi=1114074523","1114074523")</f>
        <v>1114074523</v>
      </c>
      <c r="E21778" s="1" t="s">
        <v>2646</v>
      </c>
      <c r="F21778" s="2"/>
      <c r="G21778" s="2"/>
      <c r="H21778" s="2"/>
    </row>
    <row r="21779" spans="1:8" x14ac:dyDescent="0.25">
      <c r="A21779" s="1"/>
      <c r="B21779" s="1" t="s">
        <v>7328</v>
      </c>
      <c r="C21779" s="1" t="s">
        <v>7329</v>
      </c>
      <c r="D21779" s="22" t="str">
        <f>HYPERLINK("https://rhld.insurance.arkansas.gov/NPILookup?Npi=1114085768","1114085768")</f>
        <v>1114085768</v>
      </c>
      <c r="E21779" s="1" t="s">
        <v>25603</v>
      </c>
      <c r="F21779" s="2"/>
      <c r="G21779" s="2"/>
      <c r="H21779" s="2"/>
    </row>
    <row r="21780" spans="1:8" x14ac:dyDescent="0.25">
      <c r="A21780" s="1"/>
      <c r="B21780" s="1" t="s">
        <v>7328</v>
      </c>
      <c r="C21780" s="1" t="s">
        <v>7329</v>
      </c>
      <c r="D21780" s="22" t="str">
        <f>HYPERLINK("https://rhld.insurance.arkansas.gov/NPILookup?Npi=1114098852","1114098852")</f>
        <v>1114098852</v>
      </c>
      <c r="E21780" s="1" t="s">
        <v>25604</v>
      </c>
      <c r="F21780" s="2"/>
      <c r="G21780" s="2"/>
      <c r="H21780" s="2"/>
    </row>
    <row r="21781" spans="1:8" x14ac:dyDescent="0.25">
      <c r="A21781" s="1"/>
      <c r="B21781" s="1" t="s">
        <v>7328</v>
      </c>
      <c r="C21781" s="1" t="s">
        <v>7329</v>
      </c>
      <c r="D21781" s="22" t="str">
        <f>HYPERLINK("https://rhld.insurance.arkansas.gov/NPILookup?Npi=1114099025","1114099025")</f>
        <v>1114099025</v>
      </c>
      <c r="E21781" s="1" t="s">
        <v>25605</v>
      </c>
      <c r="F21781" s="2"/>
      <c r="G21781" s="2"/>
      <c r="H21781" s="2"/>
    </row>
    <row r="21782" spans="1:8" x14ac:dyDescent="0.25">
      <c r="A21782" s="1"/>
      <c r="B21782" s="1" t="s">
        <v>7328</v>
      </c>
      <c r="C21782" s="1" t="s">
        <v>7329</v>
      </c>
      <c r="D21782" s="22" t="str">
        <f>HYPERLINK("https://rhld.insurance.arkansas.gov/NPILookup?Npi=1114145893","1114145893")</f>
        <v>1114145893</v>
      </c>
      <c r="E21782" s="1" t="s">
        <v>25606</v>
      </c>
      <c r="F21782" s="2"/>
      <c r="G21782" s="2"/>
      <c r="H21782" s="2"/>
    </row>
    <row r="21783" spans="1:8" x14ac:dyDescent="0.25">
      <c r="A21783" s="1"/>
      <c r="B21783" s="1" t="s">
        <v>7328</v>
      </c>
      <c r="C21783" s="1" t="s">
        <v>7329</v>
      </c>
      <c r="D21783" s="22" t="str">
        <f>HYPERLINK("https://rhld.insurance.arkansas.gov/NPILookup?Npi=1114148137","1114148137")</f>
        <v>1114148137</v>
      </c>
      <c r="E21783" s="1" t="s">
        <v>12715</v>
      </c>
      <c r="F21783" s="2"/>
      <c r="G21783" s="2"/>
      <c r="H21783" s="2"/>
    </row>
    <row r="21784" spans="1:8" x14ac:dyDescent="0.25">
      <c r="A21784" s="1"/>
      <c r="B21784" s="1" t="s">
        <v>7328</v>
      </c>
      <c r="C21784" s="1" t="s">
        <v>7329</v>
      </c>
      <c r="D21784" s="22" t="str">
        <f>HYPERLINK("https://rhld.insurance.arkansas.gov/NPILookup?Npi=1114149093","1114149093")</f>
        <v>1114149093</v>
      </c>
      <c r="E21784" s="1" t="s">
        <v>25607</v>
      </c>
      <c r="F21784" s="2"/>
      <c r="G21784" s="2"/>
      <c r="H21784" s="2"/>
    </row>
    <row r="21785" spans="1:8" x14ac:dyDescent="0.25">
      <c r="A21785" s="1"/>
      <c r="B21785" s="1" t="s">
        <v>7328</v>
      </c>
      <c r="C21785" s="1" t="s">
        <v>7329</v>
      </c>
      <c r="D21785" s="22" t="str">
        <f>HYPERLINK("https://rhld.insurance.arkansas.gov/NPILookup?Npi=1114199130","1114199130")</f>
        <v>1114199130</v>
      </c>
      <c r="E21785" s="1" t="s">
        <v>25608</v>
      </c>
      <c r="F21785" s="2"/>
      <c r="G21785" s="2"/>
      <c r="H21785" s="2"/>
    </row>
    <row r="21786" spans="1:8" x14ac:dyDescent="0.25">
      <c r="A21786" s="1"/>
      <c r="B21786" s="1" t="s">
        <v>7328</v>
      </c>
      <c r="C21786" s="1" t="s">
        <v>7329</v>
      </c>
      <c r="D21786" s="22" t="str">
        <f>HYPERLINK("https://rhld.insurance.arkansas.gov/NPILookup?Npi=1114228400","1114228400")</f>
        <v>1114228400</v>
      </c>
      <c r="E21786" s="1" t="s">
        <v>12716</v>
      </c>
      <c r="F21786" s="2"/>
      <c r="G21786" s="2"/>
      <c r="H21786" s="2"/>
    </row>
    <row r="21787" spans="1:8" x14ac:dyDescent="0.25">
      <c r="A21787" s="1"/>
      <c r="B21787" s="1" t="s">
        <v>7328</v>
      </c>
      <c r="C21787" s="1" t="s">
        <v>7329</v>
      </c>
      <c r="D21787" s="22" t="str">
        <f>HYPERLINK("https://rhld.insurance.arkansas.gov/NPILookup?Npi=1114256872","1114256872")</f>
        <v>1114256872</v>
      </c>
      <c r="E21787" s="1" t="s">
        <v>25609</v>
      </c>
      <c r="F21787" s="2"/>
      <c r="G21787" s="2"/>
      <c r="H21787" s="2"/>
    </row>
    <row r="21788" spans="1:8" x14ac:dyDescent="0.25">
      <c r="A21788" s="1"/>
      <c r="B21788" s="1" t="s">
        <v>7328</v>
      </c>
      <c r="C21788" s="1" t="s">
        <v>7329</v>
      </c>
      <c r="D21788" s="22" t="str">
        <f>HYPERLINK("https://rhld.insurance.arkansas.gov/NPILookup?Npi=1114260726","1114260726")</f>
        <v>1114260726</v>
      </c>
      <c r="E21788" s="1" t="s">
        <v>12717</v>
      </c>
      <c r="F21788" s="2"/>
      <c r="G21788" s="2"/>
      <c r="H21788" s="2"/>
    </row>
    <row r="21789" spans="1:8" x14ac:dyDescent="0.25">
      <c r="A21789" s="1"/>
      <c r="B21789" s="1" t="s">
        <v>7328</v>
      </c>
      <c r="C21789" s="1" t="s">
        <v>7329</v>
      </c>
      <c r="D21789" s="22" t="str">
        <f>HYPERLINK("https://rhld.insurance.arkansas.gov/NPILookup?Npi=1114281060","1114281060")</f>
        <v>1114281060</v>
      </c>
      <c r="E21789" s="1" t="s">
        <v>834</v>
      </c>
      <c r="F21789" s="2"/>
      <c r="G21789" s="2"/>
      <c r="H21789" s="2"/>
    </row>
    <row r="21790" spans="1:8" x14ac:dyDescent="0.25">
      <c r="A21790" s="1"/>
      <c r="B21790" s="1" t="s">
        <v>7328</v>
      </c>
      <c r="C21790" s="1" t="s">
        <v>7329</v>
      </c>
      <c r="D21790" s="22" t="str">
        <f>HYPERLINK("https://rhld.insurance.arkansas.gov/NPILookup?Npi=1114289899","1114289899")</f>
        <v>1114289899</v>
      </c>
      <c r="E21790" s="1" t="s">
        <v>25610</v>
      </c>
      <c r="F21790" s="2"/>
      <c r="G21790" s="2"/>
      <c r="H21790" s="2"/>
    </row>
    <row r="21791" spans="1:8" x14ac:dyDescent="0.25">
      <c r="A21791" s="1"/>
      <c r="B21791" s="1" t="s">
        <v>7328</v>
      </c>
      <c r="C21791" s="1" t="s">
        <v>7329</v>
      </c>
      <c r="D21791" s="22" t="str">
        <f>HYPERLINK("https://rhld.insurance.arkansas.gov/NPILookup?Npi=1114300092","1114300092")</f>
        <v>1114300092</v>
      </c>
      <c r="E21791" s="1" t="s">
        <v>25611</v>
      </c>
      <c r="F21791" s="2"/>
      <c r="G21791" s="2"/>
      <c r="H21791" s="2"/>
    </row>
    <row r="21792" spans="1:8" x14ac:dyDescent="0.25">
      <c r="A21792" s="1"/>
      <c r="B21792" s="1" t="s">
        <v>7328</v>
      </c>
      <c r="C21792" s="1" t="s">
        <v>7329</v>
      </c>
      <c r="D21792" s="22" t="str">
        <f>HYPERLINK("https://rhld.insurance.arkansas.gov/NPILookup?Npi=1114300100","1114300100")</f>
        <v>1114300100</v>
      </c>
      <c r="E21792" s="1" t="s">
        <v>1207</v>
      </c>
      <c r="F21792" s="2"/>
      <c r="G21792" s="2"/>
      <c r="H21792" s="2"/>
    </row>
    <row r="21793" spans="1:8" x14ac:dyDescent="0.25">
      <c r="A21793" s="1"/>
      <c r="B21793" s="1" t="s">
        <v>7328</v>
      </c>
      <c r="C21793" s="1" t="s">
        <v>7329</v>
      </c>
      <c r="D21793" s="22" t="str">
        <f>HYPERLINK("https://rhld.insurance.arkansas.gov/NPILookup?Npi=1114305828","1114305828")</f>
        <v>1114305828</v>
      </c>
      <c r="E21793" s="1" t="s">
        <v>25612</v>
      </c>
      <c r="F21793" s="2"/>
      <c r="G21793" s="2"/>
      <c r="H21793" s="2"/>
    </row>
    <row r="21794" spans="1:8" x14ac:dyDescent="0.25">
      <c r="A21794" s="1"/>
      <c r="B21794" s="1" t="s">
        <v>7328</v>
      </c>
      <c r="C21794" s="1" t="s">
        <v>7329</v>
      </c>
      <c r="D21794" s="22" t="str">
        <f>HYPERLINK("https://rhld.insurance.arkansas.gov/NPILookup?Npi=1114308707","1114308707")</f>
        <v>1114308707</v>
      </c>
      <c r="E21794" s="1" t="s">
        <v>10172</v>
      </c>
      <c r="F21794" s="2"/>
      <c r="G21794" s="2"/>
      <c r="H21794" s="2"/>
    </row>
    <row r="21795" spans="1:8" x14ac:dyDescent="0.25">
      <c r="A21795" s="1"/>
      <c r="B21795" s="1" t="s">
        <v>7328</v>
      </c>
      <c r="C21795" s="1" t="s">
        <v>7329</v>
      </c>
      <c r="D21795" s="22" t="str">
        <f>HYPERLINK("https://rhld.insurance.arkansas.gov/NPILookup?Npi=1114310711","1114310711")</f>
        <v>1114310711</v>
      </c>
      <c r="E21795" s="1" t="s">
        <v>32126</v>
      </c>
      <c r="F21795" s="2"/>
      <c r="G21795" s="2"/>
      <c r="H21795" s="2"/>
    </row>
    <row r="21796" spans="1:8" x14ac:dyDescent="0.25">
      <c r="A21796" s="1"/>
      <c r="B21796" s="1" t="s">
        <v>7328</v>
      </c>
      <c r="C21796" s="1" t="s">
        <v>7329</v>
      </c>
      <c r="D21796" s="22" t="str">
        <f>HYPERLINK("https://rhld.insurance.arkansas.gov/NPILookup?Npi=1114311529","1114311529")</f>
        <v>1114311529</v>
      </c>
      <c r="E21796" s="1" t="s">
        <v>25613</v>
      </c>
      <c r="F21796" s="2"/>
      <c r="G21796" s="2"/>
      <c r="H21796" s="2"/>
    </row>
    <row r="21797" spans="1:8" x14ac:dyDescent="0.25">
      <c r="A21797" s="1"/>
      <c r="B21797" s="1" t="s">
        <v>7328</v>
      </c>
      <c r="C21797" s="1" t="s">
        <v>7329</v>
      </c>
      <c r="D21797" s="22" t="str">
        <f>HYPERLINK("https://rhld.insurance.arkansas.gov/NPILookup?Npi=1114318532","1114318532")</f>
        <v>1114318532</v>
      </c>
      <c r="E21797" s="1" t="s">
        <v>159</v>
      </c>
      <c r="F21797" s="2"/>
      <c r="G21797" s="2"/>
      <c r="H21797" s="2"/>
    </row>
    <row r="21798" spans="1:8" x14ac:dyDescent="0.25">
      <c r="A21798" s="1"/>
      <c r="B21798" s="1" t="s">
        <v>7328</v>
      </c>
      <c r="C21798" s="1" t="s">
        <v>7329</v>
      </c>
      <c r="D21798" s="22" t="str">
        <f>HYPERLINK("https://rhld.insurance.arkansas.gov/NPILookup?Npi=1114319605","1114319605")</f>
        <v>1114319605</v>
      </c>
      <c r="E21798" s="1" t="s">
        <v>12718</v>
      </c>
      <c r="F21798" s="2"/>
      <c r="G21798" s="2"/>
      <c r="H21798" s="2"/>
    </row>
    <row r="21799" spans="1:8" x14ac:dyDescent="0.25">
      <c r="A21799" s="1"/>
      <c r="B21799" s="1" t="s">
        <v>7328</v>
      </c>
      <c r="C21799" s="1" t="s">
        <v>7329</v>
      </c>
      <c r="D21799" s="22" t="str">
        <f>HYPERLINK("https://rhld.insurance.arkansas.gov/NPILookup?Npi=1114329497","1114329497")</f>
        <v>1114329497</v>
      </c>
      <c r="E21799" s="1" t="s">
        <v>12719</v>
      </c>
      <c r="F21799" s="2"/>
      <c r="G21799" s="2"/>
      <c r="H21799" s="2"/>
    </row>
    <row r="21800" spans="1:8" x14ac:dyDescent="0.25">
      <c r="A21800" s="1"/>
      <c r="B21800" s="1" t="s">
        <v>7328</v>
      </c>
      <c r="C21800" s="1" t="s">
        <v>7329</v>
      </c>
      <c r="D21800" s="22" t="str">
        <f>HYPERLINK("https://rhld.insurance.arkansas.gov/NPILookup?Npi=1114330420","1114330420")</f>
        <v>1114330420</v>
      </c>
      <c r="E21800" s="1" t="s">
        <v>2647</v>
      </c>
      <c r="F21800" s="2"/>
      <c r="G21800" s="2"/>
      <c r="H21800" s="2"/>
    </row>
    <row r="21801" spans="1:8" x14ac:dyDescent="0.25">
      <c r="A21801" s="1"/>
      <c r="B21801" s="1" t="s">
        <v>7328</v>
      </c>
      <c r="C21801" s="1" t="s">
        <v>7329</v>
      </c>
      <c r="D21801" s="22" t="str">
        <f>HYPERLINK("https://rhld.insurance.arkansas.gov/NPILookup?Npi=1114330552","1114330552")</f>
        <v>1114330552</v>
      </c>
      <c r="E21801" s="1" t="s">
        <v>17217</v>
      </c>
      <c r="F21801" s="2"/>
      <c r="G21801" s="2"/>
      <c r="H21801" s="2"/>
    </row>
    <row r="21802" spans="1:8" x14ac:dyDescent="0.25">
      <c r="A21802" s="1"/>
      <c r="B21802" s="1" t="s">
        <v>7328</v>
      </c>
      <c r="C21802" s="1" t="s">
        <v>7329</v>
      </c>
      <c r="D21802" s="22" t="str">
        <f>HYPERLINK("https://rhld.insurance.arkansas.gov/NPILookup?Npi=1114348737","1114348737")</f>
        <v>1114348737</v>
      </c>
      <c r="E21802" s="1" t="s">
        <v>7437</v>
      </c>
      <c r="F21802" s="2"/>
      <c r="G21802" s="2"/>
      <c r="H21802" s="2"/>
    </row>
    <row r="21803" spans="1:8" x14ac:dyDescent="0.25">
      <c r="A21803" s="1"/>
      <c r="B21803" s="1" t="s">
        <v>7328</v>
      </c>
      <c r="C21803" s="1" t="s">
        <v>7329</v>
      </c>
      <c r="D21803" s="22" t="str">
        <f>HYPERLINK("https://rhld.insurance.arkansas.gov/NPILookup?Npi=1114359379","1114359379")</f>
        <v>1114359379</v>
      </c>
      <c r="E21803" s="1" t="s">
        <v>25614</v>
      </c>
      <c r="F21803" s="2"/>
      <c r="G21803" s="2"/>
      <c r="H21803" s="2"/>
    </row>
    <row r="21804" spans="1:8" x14ac:dyDescent="0.25">
      <c r="A21804" s="1"/>
      <c r="B21804" s="1" t="s">
        <v>7328</v>
      </c>
      <c r="C21804" s="1" t="s">
        <v>7329</v>
      </c>
      <c r="D21804" s="22" t="str">
        <f>HYPERLINK("https://rhld.insurance.arkansas.gov/NPILookup?Npi=1114371119","1114371119")</f>
        <v>1114371119</v>
      </c>
      <c r="E21804" s="1" t="s">
        <v>17218</v>
      </c>
      <c r="F21804" s="2"/>
      <c r="G21804" s="2"/>
      <c r="H21804" s="2"/>
    </row>
    <row r="21805" spans="1:8" x14ac:dyDescent="0.25">
      <c r="A21805" s="1"/>
      <c r="B21805" s="1" t="s">
        <v>7328</v>
      </c>
      <c r="C21805" s="1" t="s">
        <v>7329</v>
      </c>
      <c r="D21805" s="22" t="str">
        <f>HYPERLINK("https://rhld.insurance.arkansas.gov/NPILookup?Npi=1114381472","1114381472")</f>
        <v>1114381472</v>
      </c>
      <c r="E21805" s="1" t="s">
        <v>25615</v>
      </c>
      <c r="F21805" s="2"/>
      <c r="G21805" s="2"/>
      <c r="H21805" s="2"/>
    </row>
    <row r="21806" spans="1:8" x14ac:dyDescent="0.25">
      <c r="A21806" s="1"/>
      <c r="B21806" s="1" t="s">
        <v>7328</v>
      </c>
      <c r="C21806" s="1" t="s">
        <v>7329</v>
      </c>
      <c r="D21806" s="22" t="str">
        <f>HYPERLINK("https://rhld.insurance.arkansas.gov/NPILookup?Npi=1114390937","1114390937")</f>
        <v>1114390937</v>
      </c>
      <c r="E21806" s="1" t="s">
        <v>12720</v>
      </c>
      <c r="F21806" s="2"/>
      <c r="G21806" s="2"/>
      <c r="H21806" s="2"/>
    </row>
    <row r="21807" spans="1:8" x14ac:dyDescent="0.25">
      <c r="A21807" s="1"/>
      <c r="B21807" s="1" t="s">
        <v>7328</v>
      </c>
      <c r="C21807" s="1" t="s">
        <v>7329</v>
      </c>
      <c r="D21807" s="22" t="str">
        <f>HYPERLINK("https://rhld.insurance.arkansas.gov/NPILookup?Npi=1114418993","1114418993")</f>
        <v>1114418993</v>
      </c>
      <c r="E21807" s="1" t="s">
        <v>25616</v>
      </c>
      <c r="F21807" s="2"/>
      <c r="G21807" s="2"/>
      <c r="H21807" s="2"/>
    </row>
    <row r="21808" spans="1:8" x14ac:dyDescent="0.25">
      <c r="A21808" s="1"/>
      <c r="B21808" s="1" t="s">
        <v>7328</v>
      </c>
      <c r="C21808" s="1" t="s">
        <v>7329</v>
      </c>
      <c r="D21808" s="22" t="str">
        <f>HYPERLINK("https://rhld.insurance.arkansas.gov/NPILookup?Npi=1114421476","1114421476")</f>
        <v>1114421476</v>
      </c>
      <c r="E21808" s="1" t="s">
        <v>25617</v>
      </c>
      <c r="F21808" s="2"/>
      <c r="G21808" s="2"/>
      <c r="H21808" s="2"/>
    </row>
    <row r="21809" spans="1:8" x14ac:dyDescent="0.25">
      <c r="A21809" s="1"/>
      <c r="B21809" s="1" t="s">
        <v>7328</v>
      </c>
      <c r="C21809" s="1" t="s">
        <v>7329</v>
      </c>
      <c r="D21809" s="22" t="str">
        <f>HYPERLINK("https://rhld.insurance.arkansas.gov/NPILookup?Npi=1114424736","1114424736")</f>
        <v>1114424736</v>
      </c>
      <c r="E21809" s="1" t="s">
        <v>25618</v>
      </c>
      <c r="F21809" s="2"/>
      <c r="G21809" s="2"/>
      <c r="H21809" s="2"/>
    </row>
    <row r="21810" spans="1:8" x14ac:dyDescent="0.25">
      <c r="A21810" s="1"/>
      <c r="B21810" s="1" t="s">
        <v>7328</v>
      </c>
      <c r="C21810" s="1" t="s">
        <v>7329</v>
      </c>
      <c r="D21810" s="22" t="str">
        <f>HYPERLINK("https://rhld.insurance.arkansas.gov/NPILookup?Npi=1114427549","1114427549")</f>
        <v>1114427549</v>
      </c>
      <c r="E21810" s="1" t="s">
        <v>25619</v>
      </c>
      <c r="F21810" s="2"/>
      <c r="G21810" s="2"/>
      <c r="H21810" s="2"/>
    </row>
    <row r="21811" spans="1:8" x14ac:dyDescent="0.25">
      <c r="A21811" s="1"/>
      <c r="B21811" s="1" t="s">
        <v>7328</v>
      </c>
      <c r="C21811" s="1" t="s">
        <v>7329</v>
      </c>
      <c r="D21811" s="22" t="str">
        <f>HYPERLINK("https://rhld.insurance.arkansas.gov/NPILookup?Npi=1114454048","1114454048")</f>
        <v>1114454048</v>
      </c>
      <c r="E21811" s="1" t="s">
        <v>25620</v>
      </c>
      <c r="F21811" s="2"/>
      <c r="G21811" s="2"/>
      <c r="H21811" s="2"/>
    </row>
    <row r="21812" spans="1:8" x14ac:dyDescent="0.25">
      <c r="A21812" s="1"/>
      <c r="B21812" s="1" t="s">
        <v>7328</v>
      </c>
      <c r="C21812" s="1" t="s">
        <v>7329</v>
      </c>
      <c r="D21812" s="22" t="str">
        <f>HYPERLINK("https://rhld.insurance.arkansas.gov/NPILookup?Npi=1114459500","1114459500")</f>
        <v>1114459500</v>
      </c>
      <c r="E21812" s="1" t="s">
        <v>7439</v>
      </c>
      <c r="F21812" s="2"/>
      <c r="G21812" s="2"/>
      <c r="H21812" s="2"/>
    </row>
    <row r="21813" spans="1:8" x14ac:dyDescent="0.25">
      <c r="A21813" s="1"/>
      <c r="B21813" s="1" t="s">
        <v>7328</v>
      </c>
      <c r="C21813" s="1" t="s">
        <v>7329</v>
      </c>
      <c r="D21813" s="22" t="str">
        <f>HYPERLINK("https://rhld.insurance.arkansas.gov/NPILookup?Npi=1114470549","1114470549")</f>
        <v>1114470549</v>
      </c>
      <c r="E21813" s="1" t="s">
        <v>755</v>
      </c>
      <c r="F21813" s="2"/>
      <c r="G21813" s="2"/>
      <c r="H21813" s="2"/>
    </row>
    <row r="21814" spans="1:8" x14ac:dyDescent="0.25">
      <c r="A21814" s="1"/>
      <c r="B21814" s="1" t="s">
        <v>7328</v>
      </c>
      <c r="C21814" s="1" t="s">
        <v>7329</v>
      </c>
      <c r="D21814" s="22" t="str">
        <f>HYPERLINK("https://rhld.insurance.arkansas.gov/NPILookup?Npi=1114472875","1114472875")</f>
        <v>1114472875</v>
      </c>
      <c r="E21814" s="1" t="s">
        <v>12721</v>
      </c>
      <c r="F21814" s="2"/>
      <c r="G21814" s="2"/>
      <c r="H21814" s="2"/>
    </row>
    <row r="21815" spans="1:8" x14ac:dyDescent="0.25">
      <c r="A21815" s="1"/>
      <c r="B21815" s="1" t="s">
        <v>7328</v>
      </c>
      <c r="C21815" s="1" t="s">
        <v>7329</v>
      </c>
      <c r="D21815" s="22" t="str">
        <f>HYPERLINK("https://rhld.insurance.arkansas.gov/NPILookup?Npi=1114479680","1114479680")</f>
        <v>1114479680</v>
      </c>
      <c r="E21815" s="1" t="s">
        <v>12722</v>
      </c>
      <c r="F21815" s="2"/>
      <c r="G21815" s="2"/>
      <c r="H21815" s="2"/>
    </row>
    <row r="21816" spans="1:8" x14ac:dyDescent="0.25">
      <c r="A21816" s="1"/>
      <c r="B21816" s="1" t="s">
        <v>7328</v>
      </c>
      <c r="C21816" s="1" t="s">
        <v>7329</v>
      </c>
      <c r="D21816" s="22" t="str">
        <f>HYPERLINK("https://rhld.insurance.arkansas.gov/NPILookup?Npi=1114480209","1114480209")</f>
        <v>1114480209</v>
      </c>
      <c r="E21816" s="1" t="s">
        <v>25621</v>
      </c>
      <c r="F21816" s="2"/>
      <c r="G21816" s="2"/>
      <c r="H21816" s="2"/>
    </row>
    <row r="21817" spans="1:8" x14ac:dyDescent="0.25">
      <c r="A21817" s="1"/>
      <c r="B21817" s="1" t="s">
        <v>7328</v>
      </c>
      <c r="C21817" s="1" t="s">
        <v>7329</v>
      </c>
      <c r="D21817" s="22" t="str">
        <f>HYPERLINK("https://rhld.insurance.arkansas.gov/NPILookup?Npi=1114483104","1114483104")</f>
        <v>1114483104</v>
      </c>
      <c r="E21817" s="1" t="s">
        <v>25622</v>
      </c>
      <c r="F21817" s="2"/>
      <c r="G21817" s="2"/>
      <c r="H21817" s="2"/>
    </row>
    <row r="21818" spans="1:8" x14ac:dyDescent="0.25">
      <c r="A21818" s="1"/>
      <c r="B21818" s="1" t="s">
        <v>7328</v>
      </c>
      <c r="C21818" s="1" t="s">
        <v>7329</v>
      </c>
      <c r="D21818" s="22" t="str">
        <f>HYPERLINK("https://rhld.insurance.arkansas.gov/NPILookup?Npi=1114484417","1114484417")</f>
        <v>1114484417</v>
      </c>
      <c r="E21818" s="1" t="s">
        <v>25623</v>
      </c>
      <c r="F21818" s="2"/>
      <c r="G21818" s="2"/>
      <c r="H21818" s="2"/>
    </row>
    <row r="21819" spans="1:8" x14ac:dyDescent="0.25">
      <c r="A21819" s="1"/>
      <c r="B21819" s="1" t="s">
        <v>7328</v>
      </c>
      <c r="C21819" s="1" t="s">
        <v>7329</v>
      </c>
      <c r="D21819" s="22" t="str">
        <f>HYPERLINK("https://rhld.insurance.arkansas.gov/NPILookup?Npi=1114488483","1114488483")</f>
        <v>1114488483</v>
      </c>
      <c r="E21819" s="1" t="s">
        <v>25624</v>
      </c>
      <c r="F21819" s="2"/>
      <c r="G21819" s="2"/>
      <c r="H21819" s="2"/>
    </row>
    <row r="21820" spans="1:8" x14ac:dyDescent="0.25">
      <c r="A21820" s="1"/>
      <c r="B21820" s="1" t="s">
        <v>7328</v>
      </c>
      <c r="C21820" s="1" t="s">
        <v>7329</v>
      </c>
      <c r="D21820" s="22" t="str">
        <f>HYPERLINK("https://rhld.insurance.arkansas.gov/NPILookup?Npi=1114491966","1114491966")</f>
        <v>1114491966</v>
      </c>
      <c r="E21820" s="1" t="s">
        <v>25625</v>
      </c>
      <c r="F21820" s="2"/>
      <c r="G21820" s="2"/>
      <c r="H21820" s="2"/>
    </row>
    <row r="21821" spans="1:8" x14ac:dyDescent="0.25">
      <c r="A21821" s="1"/>
      <c r="B21821" s="1" t="s">
        <v>7328</v>
      </c>
      <c r="C21821" s="1" t="s">
        <v>7329</v>
      </c>
      <c r="D21821" s="22" t="str">
        <f>HYPERLINK("https://rhld.insurance.arkansas.gov/NPILookup?Npi=1114492329","1114492329")</f>
        <v>1114492329</v>
      </c>
      <c r="E21821" s="1" t="s">
        <v>7440</v>
      </c>
      <c r="F21821" s="2"/>
      <c r="G21821" s="2"/>
      <c r="H21821" s="2"/>
    </row>
    <row r="21822" spans="1:8" x14ac:dyDescent="0.25">
      <c r="A21822" s="1"/>
      <c r="B21822" s="1" t="s">
        <v>7328</v>
      </c>
      <c r="C21822" s="1" t="s">
        <v>7329</v>
      </c>
      <c r="D21822" s="22" t="str">
        <f>HYPERLINK("https://rhld.insurance.arkansas.gov/NPILookup?Npi=1114495058","1114495058")</f>
        <v>1114495058</v>
      </c>
      <c r="E21822" s="1" t="s">
        <v>25626</v>
      </c>
      <c r="F21822" s="2"/>
      <c r="G21822" s="2"/>
      <c r="H21822" s="2"/>
    </row>
    <row r="21823" spans="1:8" x14ac:dyDescent="0.25">
      <c r="A21823" s="1"/>
      <c r="B21823" s="1" t="s">
        <v>7328</v>
      </c>
      <c r="C21823" s="1" t="s">
        <v>7329</v>
      </c>
      <c r="D21823" s="22" t="str">
        <f>HYPERLINK("https://rhld.insurance.arkansas.gov/NPILookup?Npi=1114502176","1114502176")</f>
        <v>1114502176</v>
      </c>
      <c r="E21823" s="1" t="s">
        <v>25627</v>
      </c>
      <c r="F21823" s="2"/>
      <c r="G21823" s="2"/>
      <c r="H21823" s="2"/>
    </row>
    <row r="21824" spans="1:8" x14ac:dyDescent="0.25">
      <c r="A21824" s="1"/>
      <c r="B21824" s="1" t="s">
        <v>7328</v>
      </c>
      <c r="C21824" s="1" t="s">
        <v>7329</v>
      </c>
      <c r="D21824" s="22" t="str">
        <f>HYPERLINK("https://rhld.insurance.arkansas.gov/NPILookup?Npi=1114503430","1114503430")</f>
        <v>1114503430</v>
      </c>
      <c r="E21824" s="1" t="s">
        <v>25628</v>
      </c>
      <c r="F21824" s="2"/>
      <c r="G21824" s="2"/>
      <c r="H21824" s="2"/>
    </row>
    <row r="21825" spans="1:8" x14ac:dyDescent="0.25">
      <c r="A21825" s="1"/>
      <c r="B21825" s="1" t="s">
        <v>7328</v>
      </c>
      <c r="C21825" s="1" t="s">
        <v>7329</v>
      </c>
      <c r="D21825" s="22" t="str">
        <f>HYPERLINK("https://rhld.insurance.arkansas.gov/NPILookup?Npi=1114520491","1114520491")</f>
        <v>1114520491</v>
      </c>
      <c r="E21825" s="1" t="s">
        <v>25629</v>
      </c>
      <c r="F21825" s="2"/>
      <c r="G21825" s="2"/>
      <c r="H21825" s="2"/>
    </row>
    <row r="21826" spans="1:8" x14ac:dyDescent="0.25">
      <c r="A21826" s="1"/>
      <c r="B21826" s="1" t="s">
        <v>7328</v>
      </c>
      <c r="C21826" s="1" t="s">
        <v>7329</v>
      </c>
      <c r="D21826" s="22" t="str">
        <f>HYPERLINK("https://rhld.insurance.arkansas.gov/NPILookup?Npi=1114524436","1114524436")</f>
        <v>1114524436</v>
      </c>
      <c r="E21826" s="1" t="s">
        <v>25630</v>
      </c>
      <c r="F21826" s="2"/>
      <c r="G21826" s="2"/>
      <c r="H21826" s="2"/>
    </row>
    <row r="21827" spans="1:8" x14ac:dyDescent="0.25">
      <c r="A21827" s="1"/>
      <c r="B21827" s="1" t="s">
        <v>7328</v>
      </c>
      <c r="C21827" s="1" t="s">
        <v>7329</v>
      </c>
      <c r="D21827" s="22" t="str">
        <f>HYPERLINK("https://rhld.insurance.arkansas.gov/NPILookup?Npi=1114534070","1114534070")</f>
        <v>1114534070</v>
      </c>
      <c r="E21827" s="1" t="s">
        <v>25631</v>
      </c>
      <c r="F21827" s="2"/>
      <c r="G21827" s="2"/>
      <c r="H21827" s="2"/>
    </row>
    <row r="21828" spans="1:8" x14ac:dyDescent="0.25">
      <c r="A21828" s="1"/>
      <c r="B21828" s="1" t="s">
        <v>7328</v>
      </c>
      <c r="C21828" s="1" t="s">
        <v>7329</v>
      </c>
      <c r="D21828" s="22" t="str">
        <f>HYPERLINK("https://rhld.insurance.arkansas.gov/NPILookup?Npi=1114534369","1114534369")</f>
        <v>1114534369</v>
      </c>
      <c r="E21828" s="1" t="s">
        <v>25632</v>
      </c>
      <c r="F21828" s="2"/>
      <c r="G21828" s="2"/>
      <c r="H21828" s="2"/>
    </row>
    <row r="21829" spans="1:8" x14ac:dyDescent="0.25">
      <c r="A21829" s="1"/>
      <c r="B21829" s="1" t="s">
        <v>7328</v>
      </c>
      <c r="C21829" s="1" t="s">
        <v>7329</v>
      </c>
      <c r="D21829" s="22" t="str">
        <f>HYPERLINK("https://rhld.insurance.arkansas.gov/NPILookup?Npi=1114545142","1114545142")</f>
        <v>1114545142</v>
      </c>
      <c r="E21829" s="1" t="s">
        <v>25633</v>
      </c>
      <c r="F21829" s="2"/>
      <c r="G21829" s="2"/>
      <c r="H21829" s="2"/>
    </row>
    <row r="21830" spans="1:8" x14ac:dyDescent="0.25">
      <c r="A21830" s="1"/>
      <c r="B21830" s="1" t="s">
        <v>7328</v>
      </c>
      <c r="C21830" s="1" t="s">
        <v>7329</v>
      </c>
      <c r="D21830" s="22" t="str">
        <f>HYPERLINK("https://rhld.insurance.arkansas.gov/NPILookup?Npi=1114556370","1114556370")</f>
        <v>1114556370</v>
      </c>
      <c r="E21830" s="1" t="s">
        <v>25634</v>
      </c>
      <c r="F21830" s="2"/>
      <c r="G21830" s="2"/>
      <c r="H21830" s="2"/>
    </row>
    <row r="21831" spans="1:8" x14ac:dyDescent="0.25">
      <c r="A21831" s="1"/>
      <c r="B21831" s="1" t="s">
        <v>7328</v>
      </c>
      <c r="C21831" s="1" t="s">
        <v>7329</v>
      </c>
      <c r="D21831" s="22" t="str">
        <f>HYPERLINK("https://rhld.insurance.arkansas.gov/NPILookup?Npi=1114556594","1114556594")</f>
        <v>1114556594</v>
      </c>
      <c r="E21831" s="1" t="s">
        <v>31409</v>
      </c>
      <c r="F21831" s="2"/>
      <c r="G21831" s="2"/>
      <c r="H21831" s="2"/>
    </row>
    <row r="21832" spans="1:8" x14ac:dyDescent="0.25">
      <c r="A21832" s="1"/>
      <c r="B21832" s="1" t="s">
        <v>7328</v>
      </c>
      <c r="C21832" s="1" t="s">
        <v>7329</v>
      </c>
      <c r="D21832" s="22" t="str">
        <f>HYPERLINK("https://rhld.insurance.arkansas.gov/NPILookup?Npi=1114558996","1114558996")</f>
        <v>1114558996</v>
      </c>
      <c r="E21832" s="1" t="s">
        <v>25635</v>
      </c>
      <c r="F21832" s="2"/>
      <c r="G21832" s="2"/>
      <c r="H21832" s="2"/>
    </row>
    <row r="21833" spans="1:8" x14ac:dyDescent="0.25">
      <c r="A21833" s="1"/>
      <c r="B21833" s="1" t="s">
        <v>7328</v>
      </c>
      <c r="C21833" s="1" t="s">
        <v>7329</v>
      </c>
      <c r="D21833" s="22" t="str">
        <f>HYPERLINK("https://rhld.insurance.arkansas.gov/NPILookup?Npi=1114569928","1114569928")</f>
        <v>1114569928</v>
      </c>
      <c r="E21833" s="1" t="s">
        <v>25636</v>
      </c>
      <c r="F21833" s="2"/>
      <c r="G21833" s="2"/>
      <c r="H21833" s="2"/>
    </row>
    <row r="21834" spans="1:8" x14ac:dyDescent="0.25">
      <c r="A21834" s="1"/>
      <c r="B21834" s="1" t="s">
        <v>7328</v>
      </c>
      <c r="C21834" s="1" t="s">
        <v>7329</v>
      </c>
      <c r="D21834" s="22" t="str">
        <f>HYPERLINK("https://rhld.insurance.arkansas.gov/NPILookup?Npi=1114576469","1114576469")</f>
        <v>1114576469</v>
      </c>
      <c r="E21834" s="1" t="s">
        <v>1474</v>
      </c>
      <c r="F21834" s="2"/>
      <c r="G21834" s="2"/>
      <c r="H21834" s="2"/>
    </row>
    <row r="21835" spans="1:8" x14ac:dyDescent="0.25">
      <c r="A21835" s="1"/>
      <c r="B21835" s="1" t="s">
        <v>7328</v>
      </c>
      <c r="C21835" s="1" t="s">
        <v>7329</v>
      </c>
      <c r="D21835" s="22" t="str">
        <f>HYPERLINK("https://rhld.insurance.arkansas.gov/NPILookup?Npi=1114576592","1114576592")</f>
        <v>1114576592</v>
      </c>
      <c r="E21835" s="1" t="s">
        <v>25637</v>
      </c>
      <c r="F21835" s="2"/>
      <c r="G21835" s="2"/>
      <c r="H21835" s="2"/>
    </row>
    <row r="21836" spans="1:8" x14ac:dyDescent="0.25">
      <c r="A21836" s="1"/>
      <c r="B21836" s="1" t="s">
        <v>7328</v>
      </c>
      <c r="C21836" s="1" t="s">
        <v>7329</v>
      </c>
      <c r="D21836" s="22" t="str">
        <f>HYPERLINK("https://rhld.insurance.arkansas.gov/NPILookup?Npi=1114589496","1114589496")</f>
        <v>1114589496</v>
      </c>
      <c r="E21836" s="1" t="s">
        <v>25638</v>
      </c>
      <c r="F21836" s="2"/>
      <c r="G21836" s="2"/>
      <c r="H21836" s="2"/>
    </row>
    <row r="21837" spans="1:8" x14ac:dyDescent="0.25">
      <c r="A21837" s="1"/>
      <c r="B21837" s="1" t="s">
        <v>7328</v>
      </c>
      <c r="C21837" s="1" t="s">
        <v>7329</v>
      </c>
      <c r="D21837" s="22" t="str">
        <f>HYPERLINK("https://rhld.insurance.arkansas.gov/NPILookup?Npi=1114606621","1114606621")</f>
        <v>1114606621</v>
      </c>
      <c r="E21837" s="1" t="s">
        <v>7441</v>
      </c>
      <c r="F21837" s="2"/>
      <c r="G21837" s="2"/>
      <c r="H21837" s="2"/>
    </row>
    <row r="21838" spans="1:8" x14ac:dyDescent="0.25">
      <c r="A21838" s="1"/>
      <c r="B21838" s="1" t="s">
        <v>7328</v>
      </c>
      <c r="C21838" s="1" t="s">
        <v>7329</v>
      </c>
      <c r="D21838" s="22" t="str">
        <f>HYPERLINK("https://rhld.insurance.arkansas.gov/NPILookup?Npi=1114617818","1114617818")</f>
        <v>1114617818</v>
      </c>
      <c r="E21838" s="1" t="s">
        <v>7442</v>
      </c>
      <c r="F21838" s="2"/>
      <c r="G21838" s="2"/>
      <c r="H21838" s="2"/>
    </row>
    <row r="21839" spans="1:8" x14ac:dyDescent="0.25">
      <c r="A21839" s="1"/>
      <c r="B21839" s="1" t="s">
        <v>7328</v>
      </c>
      <c r="C21839" s="1" t="s">
        <v>7329</v>
      </c>
      <c r="D21839" s="22" t="str">
        <f>HYPERLINK("https://rhld.insurance.arkansas.gov/NPILookup?Npi=1114627411","1114627411")</f>
        <v>1114627411</v>
      </c>
      <c r="E21839" s="1" t="s">
        <v>7443</v>
      </c>
      <c r="F21839" s="2"/>
      <c r="G21839" s="2"/>
      <c r="H21839" s="2"/>
    </row>
    <row r="21840" spans="1:8" x14ac:dyDescent="0.25">
      <c r="A21840" s="1"/>
      <c r="B21840" s="1" t="s">
        <v>7328</v>
      </c>
      <c r="C21840" s="1" t="s">
        <v>7329</v>
      </c>
      <c r="D21840" s="22" t="str">
        <f>HYPERLINK("https://rhld.insurance.arkansas.gov/NPILookup?Npi=1114632908","1114632908")</f>
        <v>1114632908</v>
      </c>
      <c r="E21840" s="1" t="s">
        <v>12723</v>
      </c>
      <c r="F21840" s="2"/>
      <c r="G21840" s="2"/>
      <c r="H21840" s="2"/>
    </row>
    <row r="21841" spans="1:8" x14ac:dyDescent="0.25">
      <c r="A21841" s="1"/>
      <c r="B21841" s="1" t="s">
        <v>7328</v>
      </c>
      <c r="C21841" s="1" t="s">
        <v>7329</v>
      </c>
      <c r="D21841" s="22" t="str">
        <f>HYPERLINK("https://rhld.insurance.arkansas.gov/NPILookup?Npi=1114650322","1114650322")</f>
        <v>1114650322</v>
      </c>
      <c r="E21841" s="1" t="s">
        <v>5511</v>
      </c>
      <c r="F21841" s="2"/>
      <c r="G21841" s="2"/>
      <c r="H21841" s="2"/>
    </row>
    <row r="21842" spans="1:8" x14ac:dyDescent="0.25">
      <c r="A21842" s="1"/>
      <c r="B21842" s="1" t="s">
        <v>7328</v>
      </c>
      <c r="C21842" s="1" t="s">
        <v>7329</v>
      </c>
      <c r="D21842" s="22" t="str">
        <f>HYPERLINK("https://rhld.insurance.arkansas.gov/NPILookup?Npi=1114656881","1114656881")</f>
        <v>1114656881</v>
      </c>
      <c r="E21842" s="1" t="s">
        <v>7444</v>
      </c>
      <c r="F21842" s="2"/>
      <c r="G21842" s="2"/>
      <c r="H21842" s="2"/>
    </row>
    <row r="21843" spans="1:8" x14ac:dyDescent="0.25">
      <c r="A21843" s="1"/>
      <c r="B21843" s="1" t="s">
        <v>7328</v>
      </c>
      <c r="C21843" s="1" t="s">
        <v>7329</v>
      </c>
      <c r="D21843" s="22" t="str">
        <f>HYPERLINK("https://rhld.insurance.arkansas.gov/NPILookup?Npi=1114658291","1114658291")</f>
        <v>1114658291</v>
      </c>
      <c r="E21843" s="1" t="s">
        <v>25639</v>
      </c>
      <c r="F21843" s="2"/>
      <c r="G21843" s="2"/>
      <c r="H21843" s="2"/>
    </row>
    <row r="21844" spans="1:8" x14ac:dyDescent="0.25">
      <c r="A21844" s="1"/>
      <c r="B21844" s="1" t="s">
        <v>7328</v>
      </c>
      <c r="C21844" s="1" t="s">
        <v>7329</v>
      </c>
      <c r="D21844" s="22" t="str">
        <f>HYPERLINK("https://rhld.insurance.arkansas.gov/NPILookup?Npi=1114665726","1114665726")</f>
        <v>1114665726</v>
      </c>
      <c r="E21844" s="1" t="s">
        <v>25640</v>
      </c>
      <c r="F21844" s="2"/>
      <c r="G21844" s="2"/>
      <c r="H21844" s="2"/>
    </row>
    <row r="21845" spans="1:8" x14ac:dyDescent="0.25">
      <c r="A21845" s="1"/>
      <c r="B21845" s="1" t="s">
        <v>7328</v>
      </c>
      <c r="C21845" s="1" t="s">
        <v>7329</v>
      </c>
      <c r="D21845" s="22" t="str">
        <f>HYPERLINK("https://rhld.insurance.arkansas.gov/NPILookup?Npi=1114681053","1114681053")</f>
        <v>1114681053</v>
      </c>
      <c r="E21845" s="1" t="s">
        <v>7445</v>
      </c>
      <c r="F21845" s="2"/>
      <c r="G21845" s="2"/>
      <c r="H21845" s="2"/>
    </row>
    <row r="21846" spans="1:8" x14ac:dyDescent="0.25">
      <c r="A21846" s="1"/>
      <c r="B21846" s="1" t="s">
        <v>7328</v>
      </c>
      <c r="C21846" s="1" t="s">
        <v>7329</v>
      </c>
      <c r="D21846" s="22" t="str">
        <f>HYPERLINK("https://rhld.insurance.arkansas.gov/NPILookup?Npi=1114687316","1114687316")</f>
        <v>1114687316</v>
      </c>
      <c r="E21846" s="1" t="s">
        <v>25641</v>
      </c>
      <c r="F21846" s="2"/>
      <c r="G21846" s="2"/>
      <c r="H21846" s="2"/>
    </row>
    <row r="21847" spans="1:8" x14ac:dyDescent="0.25">
      <c r="A21847" s="1"/>
      <c r="B21847" s="1" t="s">
        <v>7328</v>
      </c>
      <c r="C21847" s="1" t="s">
        <v>7329</v>
      </c>
      <c r="D21847" s="22" t="str">
        <f>HYPERLINK("https://rhld.insurance.arkansas.gov/NPILookup?Npi=1114697612","1114697612")</f>
        <v>1114697612</v>
      </c>
      <c r="E21847" s="1" t="s">
        <v>12724</v>
      </c>
      <c r="F21847" s="2"/>
      <c r="G21847" s="2"/>
      <c r="H21847" s="2"/>
    </row>
    <row r="21848" spans="1:8" x14ac:dyDescent="0.25">
      <c r="A21848" s="1"/>
      <c r="B21848" s="1" t="s">
        <v>7328</v>
      </c>
      <c r="C21848" s="1" t="s">
        <v>7329</v>
      </c>
      <c r="D21848" s="22" t="str">
        <f>HYPERLINK("https://rhld.insurance.arkansas.gov/NPILookup?Npi=1114705795","1114705795")</f>
        <v>1114705795</v>
      </c>
      <c r="E21848" s="1" t="s">
        <v>7446</v>
      </c>
      <c r="F21848" s="2"/>
      <c r="G21848" s="2"/>
      <c r="H21848" s="2"/>
    </row>
    <row r="21849" spans="1:8" x14ac:dyDescent="0.25">
      <c r="A21849" s="1"/>
      <c r="B21849" s="1" t="s">
        <v>7328</v>
      </c>
      <c r="C21849" s="1" t="s">
        <v>7329</v>
      </c>
      <c r="D21849" s="22" t="str">
        <f>HYPERLINK("https://rhld.insurance.arkansas.gov/NPILookup?Npi=1114747680","1114747680")</f>
        <v>1114747680</v>
      </c>
      <c r="E21849" s="1" t="s">
        <v>32127</v>
      </c>
      <c r="F21849" s="2"/>
      <c r="G21849" s="2"/>
      <c r="H21849" s="2"/>
    </row>
    <row r="21850" spans="1:8" x14ac:dyDescent="0.25">
      <c r="A21850" s="1"/>
      <c r="B21850" s="1" t="s">
        <v>7328</v>
      </c>
      <c r="C21850" s="1" t="s">
        <v>7329</v>
      </c>
      <c r="D21850" s="22" t="str">
        <f>HYPERLINK("https://rhld.insurance.arkansas.gov/NPILookup?Npi=1114754876","1114754876")</f>
        <v>1114754876</v>
      </c>
      <c r="E21850" s="1" t="s">
        <v>25642</v>
      </c>
      <c r="F21850" s="2"/>
      <c r="G21850" s="2"/>
      <c r="H21850" s="2"/>
    </row>
    <row r="21851" spans="1:8" x14ac:dyDescent="0.25">
      <c r="A21851" s="1"/>
      <c r="B21851" s="1" t="s">
        <v>7328</v>
      </c>
      <c r="C21851" s="1" t="s">
        <v>7329</v>
      </c>
      <c r="D21851" s="22" t="str">
        <f>HYPERLINK("https://rhld.insurance.arkansas.gov/NPILookup?Npi=1114777257","1114777257")</f>
        <v>1114777257</v>
      </c>
      <c r="E21851" s="1" t="s">
        <v>25643</v>
      </c>
      <c r="F21851" s="2"/>
      <c r="G21851" s="2"/>
      <c r="H21851" s="2"/>
    </row>
    <row r="21852" spans="1:8" x14ac:dyDescent="0.25">
      <c r="A21852" s="1"/>
      <c r="B21852" s="1" t="s">
        <v>7328</v>
      </c>
      <c r="C21852" s="1" t="s">
        <v>7329</v>
      </c>
      <c r="D21852" s="22" t="str">
        <f>HYPERLINK("https://rhld.insurance.arkansas.gov/NPILookup?Npi=1114903879","1114903879")</f>
        <v>1114903879</v>
      </c>
      <c r="E21852" s="1" t="s">
        <v>25644</v>
      </c>
      <c r="F21852" s="2"/>
      <c r="G21852" s="2"/>
      <c r="H21852" s="2"/>
    </row>
    <row r="21853" spans="1:8" x14ac:dyDescent="0.25">
      <c r="A21853" s="1"/>
      <c r="B21853" s="1" t="s">
        <v>7328</v>
      </c>
      <c r="C21853" s="1" t="s">
        <v>7329</v>
      </c>
      <c r="D21853" s="22" t="str">
        <f>HYPERLINK("https://rhld.insurance.arkansas.gov/NPILookup?Npi=1114920972","1114920972")</f>
        <v>1114920972</v>
      </c>
      <c r="E21853" s="1" t="s">
        <v>25646</v>
      </c>
      <c r="F21853" s="2"/>
      <c r="G21853" s="2"/>
      <c r="H21853" s="2"/>
    </row>
    <row r="21854" spans="1:8" x14ac:dyDescent="0.25">
      <c r="A21854" s="1"/>
      <c r="B21854" s="1" t="s">
        <v>7328</v>
      </c>
      <c r="C21854" s="1" t="s">
        <v>7329</v>
      </c>
      <c r="D21854" s="22" t="str">
        <f>HYPERLINK("https://rhld.insurance.arkansas.gov/NPILookup?Npi=1114928439","1114928439")</f>
        <v>1114928439</v>
      </c>
      <c r="E21854" s="1" t="s">
        <v>25647</v>
      </c>
      <c r="F21854" s="2"/>
      <c r="G21854" s="2"/>
      <c r="H21854" s="2"/>
    </row>
    <row r="21855" spans="1:8" x14ac:dyDescent="0.25">
      <c r="A21855" s="1"/>
      <c r="B21855" s="1" t="s">
        <v>7328</v>
      </c>
      <c r="C21855" s="1" t="s">
        <v>7329</v>
      </c>
      <c r="D21855" s="22" t="str">
        <f>HYPERLINK("https://rhld.insurance.arkansas.gov/NPILookup?Npi=1114928793","1114928793")</f>
        <v>1114928793</v>
      </c>
      <c r="E21855" s="1" t="s">
        <v>25648</v>
      </c>
      <c r="F21855" s="2"/>
      <c r="G21855" s="2"/>
      <c r="H21855" s="2"/>
    </row>
    <row r="21856" spans="1:8" x14ac:dyDescent="0.25">
      <c r="A21856" s="1"/>
      <c r="B21856" s="1" t="s">
        <v>7328</v>
      </c>
      <c r="C21856" s="1" t="s">
        <v>7329</v>
      </c>
      <c r="D21856" s="22" t="str">
        <f>HYPERLINK("https://rhld.insurance.arkansas.gov/NPILookup?Npi=1114949708","1114949708")</f>
        <v>1114949708</v>
      </c>
      <c r="E21856" s="1" t="s">
        <v>7447</v>
      </c>
      <c r="F21856" s="2"/>
      <c r="G21856" s="2"/>
      <c r="H21856" s="2"/>
    </row>
    <row r="21857" spans="1:8" x14ac:dyDescent="0.25">
      <c r="A21857" s="1"/>
      <c r="B21857" s="1" t="s">
        <v>7328</v>
      </c>
      <c r="C21857" s="1" t="s">
        <v>7329</v>
      </c>
      <c r="D21857" s="22" t="str">
        <f>HYPERLINK("https://rhld.insurance.arkansas.gov/NPILookup?Npi=1114970084","1114970084")</f>
        <v>1114970084</v>
      </c>
      <c r="E21857" s="1" t="s">
        <v>12725</v>
      </c>
      <c r="F21857" s="2"/>
      <c r="G21857" s="2"/>
      <c r="H21857" s="2"/>
    </row>
    <row r="21858" spans="1:8" x14ac:dyDescent="0.25">
      <c r="A21858" s="1"/>
      <c r="B21858" s="1" t="s">
        <v>7328</v>
      </c>
      <c r="C21858" s="1" t="s">
        <v>7329</v>
      </c>
      <c r="D21858" s="22" t="str">
        <f>HYPERLINK("https://rhld.insurance.arkansas.gov/NPILookup?Npi=1114970704","1114970704")</f>
        <v>1114970704</v>
      </c>
      <c r="E21858" s="1" t="s">
        <v>25649</v>
      </c>
      <c r="F21858" s="2"/>
      <c r="G21858" s="2"/>
      <c r="H21858" s="2"/>
    </row>
    <row r="21859" spans="1:8" x14ac:dyDescent="0.25">
      <c r="A21859" s="1"/>
      <c r="B21859" s="1" t="s">
        <v>7328</v>
      </c>
      <c r="C21859" s="1" t="s">
        <v>7329</v>
      </c>
      <c r="D21859" s="22" t="str">
        <f>HYPERLINK("https://rhld.insurance.arkansas.gov/NPILookup?Npi=1114992732","1114992732")</f>
        <v>1114992732</v>
      </c>
      <c r="E21859" s="1" t="s">
        <v>10224</v>
      </c>
      <c r="F21859" s="2"/>
      <c r="G21859" s="2"/>
      <c r="H21859" s="2"/>
    </row>
    <row r="21860" spans="1:8" x14ac:dyDescent="0.25">
      <c r="A21860" s="1"/>
      <c r="B21860" s="1" t="s">
        <v>7328</v>
      </c>
      <c r="C21860" s="1" t="s">
        <v>7329</v>
      </c>
      <c r="D21860" s="22" t="str">
        <f>HYPERLINK("https://rhld.insurance.arkansas.gov/NPILookup?Npi=1114994035","1114994035")</f>
        <v>1114994035</v>
      </c>
      <c r="E21860" s="1" t="s">
        <v>835</v>
      </c>
      <c r="F21860" s="2"/>
      <c r="G21860" s="2"/>
      <c r="H21860" s="2"/>
    </row>
    <row r="21861" spans="1:8" x14ac:dyDescent="0.25">
      <c r="A21861" s="1"/>
      <c r="B21861" s="1" t="s">
        <v>7328</v>
      </c>
      <c r="C21861" s="1" t="s">
        <v>7329</v>
      </c>
      <c r="D21861" s="22" t="str">
        <f>HYPERLINK("https://rhld.insurance.arkansas.gov/NPILookup?Npi=1124007653","1124007653")</f>
        <v>1124007653</v>
      </c>
      <c r="E21861" s="1" t="s">
        <v>7448</v>
      </c>
      <c r="F21861" s="2"/>
      <c r="G21861" s="2"/>
      <c r="H21861" s="2"/>
    </row>
    <row r="21862" spans="1:8" x14ac:dyDescent="0.25">
      <c r="A21862" s="1"/>
      <c r="B21862" s="1" t="s">
        <v>7328</v>
      </c>
      <c r="C21862" s="1" t="s">
        <v>7329</v>
      </c>
      <c r="D21862" s="22" t="str">
        <f>HYPERLINK("https://rhld.insurance.arkansas.gov/NPILookup?Npi=1124010301","1124010301")</f>
        <v>1124010301</v>
      </c>
      <c r="E21862" s="1" t="s">
        <v>25650</v>
      </c>
      <c r="F21862" s="2"/>
      <c r="G21862" s="2"/>
      <c r="H21862" s="2"/>
    </row>
    <row r="21863" spans="1:8" x14ac:dyDescent="0.25">
      <c r="A21863" s="1"/>
      <c r="B21863" s="1" t="s">
        <v>7328</v>
      </c>
      <c r="C21863" s="1" t="s">
        <v>7329</v>
      </c>
      <c r="D21863" s="22" t="str">
        <f>HYPERLINK("https://rhld.insurance.arkansas.gov/NPILookup?Npi=1124011747","1124011747")</f>
        <v>1124011747</v>
      </c>
      <c r="E21863" s="1" t="s">
        <v>25651</v>
      </c>
      <c r="F21863" s="2"/>
      <c r="G21863" s="2"/>
      <c r="H21863" s="2"/>
    </row>
    <row r="21864" spans="1:8" x14ac:dyDescent="0.25">
      <c r="A21864" s="1"/>
      <c r="B21864" s="1" t="s">
        <v>7328</v>
      </c>
      <c r="C21864" s="1" t="s">
        <v>7329</v>
      </c>
      <c r="D21864" s="22" t="str">
        <f>HYPERLINK("https://rhld.insurance.arkansas.gov/NPILookup?Npi=1124011754","1124011754")</f>
        <v>1124011754</v>
      </c>
      <c r="E21864" s="1" t="s">
        <v>25652</v>
      </c>
      <c r="F21864" s="2"/>
      <c r="G21864" s="2"/>
      <c r="H21864" s="2"/>
    </row>
    <row r="21865" spans="1:8" x14ac:dyDescent="0.25">
      <c r="A21865" s="1"/>
      <c r="B21865" s="1" t="s">
        <v>7328</v>
      </c>
      <c r="C21865" s="1" t="s">
        <v>7329</v>
      </c>
      <c r="D21865" s="22" t="str">
        <f>HYPERLINK("https://rhld.insurance.arkansas.gov/NPILookup?Npi=1124012323","1124012323")</f>
        <v>1124012323</v>
      </c>
      <c r="E21865" s="1" t="s">
        <v>25653</v>
      </c>
      <c r="F21865" s="2"/>
      <c r="G21865" s="2"/>
      <c r="H21865" s="2"/>
    </row>
    <row r="21866" spans="1:8" x14ac:dyDescent="0.25">
      <c r="A21866" s="1"/>
      <c r="B21866" s="1" t="s">
        <v>7328</v>
      </c>
      <c r="C21866" s="1" t="s">
        <v>7329</v>
      </c>
      <c r="D21866" s="22" t="str">
        <f>HYPERLINK("https://rhld.insurance.arkansas.gov/NPILookup?Npi=1124013925","1124013925")</f>
        <v>1124013925</v>
      </c>
      <c r="E21866" s="1" t="s">
        <v>25654</v>
      </c>
      <c r="F21866" s="2"/>
      <c r="G21866" s="2"/>
      <c r="H21866" s="2"/>
    </row>
    <row r="21867" spans="1:8" x14ac:dyDescent="0.25">
      <c r="A21867" s="1"/>
      <c r="B21867" s="1" t="s">
        <v>7328</v>
      </c>
      <c r="C21867" s="1" t="s">
        <v>7329</v>
      </c>
      <c r="D21867" s="22" t="str">
        <f>HYPERLINK("https://rhld.insurance.arkansas.gov/NPILookup?Npi=1124026836","1124026836")</f>
        <v>1124026836</v>
      </c>
      <c r="E21867" s="1" t="s">
        <v>12726</v>
      </c>
      <c r="F21867" s="2"/>
      <c r="G21867" s="2"/>
      <c r="H21867" s="2"/>
    </row>
    <row r="21868" spans="1:8" x14ac:dyDescent="0.25">
      <c r="A21868" s="1"/>
      <c r="B21868" s="1" t="s">
        <v>7328</v>
      </c>
      <c r="C21868" s="1" t="s">
        <v>7329</v>
      </c>
      <c r="D21868" s="22" t="str">
        <f>HYPERLINK("https://rhld.insurance.arkansas.gov/NPILookup?Npi=1124029624","1124029624")</f>
        <v>1124029624</v>
      </c>
      <c r="E21868" s="1" t="s">
        <v>25656</v>
      </c>
      <c r="F21868" s="2"/>
      <c r="G21868" s="2"/>
      <c r="H21868" s="2"/>
    </row>
    <row r="21869" spans="1:8" x14ac:dyDescent="0.25">
      <c r="A21869" s="1"/>
      <c r="B21869" s="1" t="s">
        <v>7328</v>
      </c>
      <c r="C21869" s="1" t="s">
        <v>7329</v>
      </c>
      <c r="D21869" s="22" t="str">
        <f>HYPERLINK("https://rhld.insurance.arkansas.gov/NPILookup?Npi=1124034541","1124034541")</f>
        <v>1124034541</v>
      </c>
      <c r="E21869" s="1" t="s">
        <v>7449</v>
      </c>
      <c r="F21869" s="2"/>
      <c r="G21869" s="2"/>
      <c r="H21869" s="2"/>
    </row>
    <row r="21870" spans="1:8" x14ac:dyDescent="0.25">
      <c r="A21870" s="1"/>
      <c r="B21870" s="1" t="s">
        <v>7328</v>
      </c>
      <c r="C21870" s="1" t="s">
        <v>7329</v>
      </c>
      <c r="D21870" s="22" t="str">
        <f>HYPERLINK("https://rhld.insurance.arkansas.gov/NPILookup?Npi=1124035993","1124035993")</f>
        <v>1124035993</v>
      </c>
      <c r="E21870" s="1" t="s">
        <v>95</v>
      </c>
      <c r="F21870" s="2"/>
      <c r="G21870" s="2"/>
      <c r="H21870" s="2"/>
    </row>
    <row r="21871" spans="1:8" x14ac:dyDescent="0.25">
      <c r="A21871" s="1"/>
      <c r="B21871" s="1" t="s">
        <v>7328</v>
      </c>
      <c r="C21871" s="1" t="s">
        <v>7329</v>
      </c>
      <c r="D21871" s="22" t="str">
        <f>HYPERLINK("https://rhld.insurance.arkansas.gov/NPILookup?Npi=1124058839","1124058839")</f>
        <v>1124058839</v>
      </c>
      <c r="E21871" s="1" t="s">
        <v>12727</v>
      </c>
      <c r="F21871" s="2"/>
      <c r="G21871" s="2"/>
      <c r="H21871" s="2"/>
    </row>
    <row r="21872" spans="1:8" x14ac:dyDescent="0.25">
      <c r="A21872" s="1"/>
      <c r="B21872" s="1" t="s">
        <v>7328</v>
      </c>
      <c r="C21872" s="1" t="s">
        <v>7329</v>
      </c>
      <c r="D21872" s="22" t="str">
        <f>HYPERLINK("https://rhld.insurance.arkansas.gov/NPILookup?Npi=1124074489","1124074489")</f>
        <v>1124074489</v>
      </c>
      <c r="E21872" s="1" t="s">
        <v>12728</v>
      </c>
      <c r="F21872" s="2"/>
      <c r="G21872" s="2"/>
      <c r="H21872" s="2"/>
    </row>
    <row r="21873" spans="1:8" x14ac:dyDescent="0.25">
      <c r="A21873" s="1"/>
      <c r="B21873" s="1" t="s">
        <v>7328</v>
      </c>
      <c r="C21873" s="1" t="s">
        <v>7329</v>
      </c>
      <c r="D21873" s="22" t="str">
        <f>HYPERLINK("https://rhld.insurance.arkansas.gov/NPILookup?Npi=1124076922","1124076922")</f>
        <v>1124076922</v>
      </c>
      <c r="E21873" s="1" t="s">
        <v>12729</v>
      </c>
      <c r="F21873" s="2"/>
      <c r="G21873" s="2"/>
      <c r="H21873" s="2"/>
    </row>
    <row r="21874" spans="1:8" x14ac:dyDescent="0.25">
      <c r="A21874" s="1"/>
      <c r="B21874" s="1" t="s">
        <v>7328</v>
      </c>
      <c r="C21874" s="1" t="s">
        <v>7329</v>
      </c>
      <c r="D21874" s="22" t="str">
        <f>HYPERLINK("https://rhld.insurance.arkansas.gov/NPILookup?Npi=1124092960","1124092960")</f>
        <v>1124092960</v>
      </c>
      <c r="E21874" s="1" t="s">
        <v>25657</v>
      </c>
      <c r="F21874" s="2"/>
      <c r="G21874" s="2"/>
      <c r="H21874" s="2"/>
    </row>
    <row r="21875" spans="1:8" x14ac:dyDescent="0.25">
      <c r="A21875" s="1"/>
      <c r="B21875" s="1" t="s">
        <v>7328</v>
      </c>
      <c r="C21875" s="1" t="s">
        <v>7329</v>
      </c>
      <c r="D21875" s="22" t="str">
        <f>HYPERLINK("https://rhld.insurance.arkansas.gov/NPILookup?Npi=1124096151","1124096151")</f>
        <v>1124096151</v>
      </c>
      <c r="E21875" s="1" t="s">
        <v>12730</v>
      </c>
      <c r="F21875" s="2"/>
      <c r="G21875" s="2"/>
      <c r="H21875" s="2"/>
    </row>
    <row r="21876" spans="1:8" x14ac:dyDescent="0.25">
      <c r="A21876" s="1"/>
      <c r="B21876" s="1" t="s">
        <v>7328</v>
      </c>
      <c r="C21876" s="1" t="s">
        <v>7329</v>
      </c>
      <c r="D21876" s="22" t="str">
        <f>HYPERLINK("https://rhld.insurance.arkansas.gov/NPILookup?Npi=1124098587","1124098587")</f>
        <v>1124098587</v>
      </c>
      <c r="E21876" s="1" t="s">
        <v>25658</v>
      </c>
      <c r="F21876" s="2"/>
      <c r="G21876" s="2"/>
      <c r="H21876" s="2"/>
    </row>
    <row r="21877" spans="1:8" x14ac:dyDescent="0.25">
      <c r="A21877" s="1"/>
      <c r="B21877" s="1" t="s">
        <v>7328</v>
      </c>
      <c r="C21877" s="1" t="s">
        <v>7329</v>
      </c>
      <c r="D21877" s="22" t="str">
        <f>HYPERLINK("https://rhld.insurance.arkansas.gov/NPILookup?Npi=1124098603","1124098603")</f>
        <v>1124098603</v>
      </c>
      <c r="E21877" s="1" t="s">
        <v>2648</v>
      </c>
      <c r="F21877" s="2"/>
      <c r="G21877" s="2"/>
      <c r="H21877" s="2"/>
    </row>
    <row r="21878" spans="1:8" x14ac:dyDescent="0.25">
      <c r="A21878" s="1"/>
      <c r="B21878" s="1" t="s">
        <v>7328</v>
      </c>
      <c r="C21878" s="1" t="s">
        <v>7329</v>
      </c>
      <c r="D21878" s="22" t="str">
        <f>HYPERLINK("https://rhld.insurance.arkansas.gov/NPILookup?Npi=1124120548","1124120548")</f>
        <v>1124120548</v>
      </c>
      <c r="E21878" s="1" t="s">
        <v>2123</v>
      </c>
      <c r="F21878" s="2"/>
      <c r="G21878" s="2"/>
      <c r="H21878" s="2"/>
    </row>
    <row r="21879" spans="1:8" x14ac:dyDescent="0.25">
      <c r="A21879" s="1"/>
      <c r="B21879" s="1" t="s">
        <v>7328</v>
      </c>
      <c r="C21879" s="1" t="s">
        <v>7329</v>
      </c>
      <c r="D21879" s="22" t="str">
        <f>HYPERLINK("https://rhld.insurance.arkansas.gov/NPILookup?Npi=1124127634","1124127634")</f>
        <v>1124127634</v>
      </c>
      <c r="E21879" s="1" t="s">
        <v>25659</v>
      </c>
      <c r="F21879" s="2"/>
      <c r="G21879" s="2"/>
      <c r="H21879" s="2"/>
    </row>
    <row r="21880" spans="1:8" x14ac:dyDescent="0.25">
      <c r="A21880" s="1"/>
      <c r="B21880" s="1" t="s">
        <v>7328</v>
      </c>
      <c r="C21880" s="1" t="s">
        <v>7329</v>
      </c>
      <c r="D21880" s="22" t="str">
        <f>HYPERLINK("https://rhld.insurance.arkansas.gov/NPILookup?Npi=1124132485","1124132485")</f>
        <v>1124132485</v>
      </c>
      <c r="E21880" s="1" t="s">
        <v>25660</v>
      </c>
      <c r="F21880" s="2"/>
      <c r="G21880" s="2"/>
      <c r="H21880" s="2"/>
    </row>
    <row r="21881" spans="1:8" x14ac:dyDescent="0.25">
      <c r="A21881" s="1"/>
      <c r="B21881" s="1" t="s">
        <v>7328</v>
      </c>
      <c r="C21881" s="1" t="s">
        <v>7329</v>
      </c>
      <c r="D21881" s="22" t="str">
        <f>HYPERLINK("https://rhld.insurance.arkansas.gov/NPILookup?Npi=1124132550","1124132550")</f>
        <v>1124132550</v>
      </c>
      <c r="E21881" s="1" t="s">
        <v>165</v>
      </c>
      <c r="F21881" s="2"/>
      <c r="G21881" s="2"/>
      <c r="H21881" s="2"/>
    </row>
    <row r="21882" spans="1:8" x14ac:dyDescent="0.25">
      <c r="A21882" s="1"/>
      <c r="B21882" s="1" t="s">
        <v>7328</v>
      </c>
      <c r="C21882" s="1" t="s">
        <v>7329</v>
      </c>
      <c r="D21882" s="22" t="str">
        <f>HYPERLINK("https://rhld.insurance.arkansas.gov/NPILookup?Npi=1124192695","1124192695")</f>
        <v>1124192695</v>
      </c>
      <c r="E21882" s="1" t="s">
        <v>836</v>
      </c>
      <c r="F21882" s="2"/>
      <c r="G21882" s="2"/>
      <c r="H21882" s="2"/>
    </row>
    <row r="21883" spans="1:8" x14ac:dyDescent="0.25">
      <c r="A21883" s="1"/>
      <c r="B21883" s="1" t="s">
        <v>7328</v>
      </c>
      <c r="C21883" s="1" t="s">
        <v>7329</v>
      </c>
      <c r="D21883" s="22" t="str">
        <f>HYPERLINK("https://rhld.insurance.arkansas.gov/NPILookup?Npi=1124203195","1124203195")</f>
        <v>1124203195</v>
      </c>
      <c r="E21883" s="1" t="s">
        <v>12731</v>
      </c>
      <c r="F21883" s="2"/>
      <c r="G21883" s="2"/>
      <c r="H21883" s="2"/>
    </row>
    <row r="21884" spans="1:8" x14ac:dyDescent="0.25">
      <c r="A21884" s="1"/>
      <c r="B21884" s="1" t="s">
        <v>7328</v>
      </c>
      <c r="C21884" s="1" t="s">
        <v>7329</v>
      </c>
      <c r="D21884" s="22" t="str">
        <f>HYPERLINK("https://rhld.insurance.arkansas.gov/NPILookup?Npi=1124220025","1124220025")</f>
        <v>1124220025</v>
      </c>
      <c r="E21884" s="1" t="s">
        <v>25661</v>
      </c>
      <c r="F21884" s="2"/>
      <c r="G21884" s="2"/>
      <c r="H21884" s="2"/>
    </row>
    <row r="21885" spans="1:8" x14ac:dyDescent="0.25">
      <c r="A21885" s="1"/>
      <c r="B21885" s="1" t="s">
        <v>7328</v>
      </c>
      <c r="C21885" s="1" t="s">
        <v>7329</v>
      </c>
      <c r="D21885" s="22" t="str">
        <f>HYPERLINK("https://rhld.insurance.arkansas.gov/NPILookup?Npi=1124228382","1124228382")</f>
        <v>1124228382</v>
      </c>
      <c r="E21885" s="1" t="s">
        <v>25662</v>
      </c>
      <c r="F21885" s="2"/>
      <c r="G21885" s="2"/>
      <c r="H21885" s="2"/>
    </row>
    <row r="21886" spans="1:8" x14ac:dyDescent="0.25">
      <c r="A21886" s="1"/>
      <c r="B21886" s="1" t="s">
        <v>7328</v>
      </c>
      <c r="C21886" s="1" t="s">
        <v>7329</v>
      </c>
      <c r="D21886" s="22" t="str">
        <f>HYPERLINK("https://rhld.insurance.arkansas.gov/NPILookup?Npi=1124238951","1124238951")</f>
        <v>1124238951</v>
      </c>
      <c r="E21886" s="1" t="s">
        <v>1324</v>
      </c>
      <c r="F21886" s="2"/>
      <c r="G21886" s="2"/>
      <c r="H21886" s="2"/>
    </row>
    <row r="21887" spans="1:8" x14ac:dyDescent="0.25">
      <c r="A21887" s="1"/>
      <c r="B21887" s="1" t="s">
        <v>7328</v>
      </c>
      <c r="C21887" s="1" t="s">
        <v>7329</v>
      </c>
      <c r="D21887" s="22" t="str">
        <f>HYPERLINK("https://rhld.insurance.arkansas.gov/NPILookup?Npi=1124250741","1124250741")</f>
        <v>1124250741</v>
      </c>
      <c r="E21887" s="1" t="s">
        <v>25663</v>
      </c>
      <c r="F21887" s="2"/>
      <c r="G21887" s="2"/>
      <c r="H21887" s="2"/>
    </row>
    <row r="21888" spans="1:8" x14ac:dyDescent="0.25">
      <c r="A21888" s="1"/>
      <c r="B21888" s="1" t="s">
        <v>7328</v>
      </c>
      <c r="C21888" s="1" t="s">
        <v>7329</v>
      </c>
      <c r="D21888" s="22" t="str">
        <f>HYPERLINK("https://rhld.insurance.arkansas.gov/NPILookup?Npi=1124258553","1124258553")</f>
        <v>1124258553</v>
      </c>
      <c r="E21888" s="1" t="s">
        <v>17225</v>
      </c>
      <c r="F21888" s="2"/>
      <c r="G21888" s="2"/>
      <c r="H21888" s="2"/>
    </row>
    <row r="21889" spans="1:8" x14ac:dyDescent="0.25">
      <c r="A21889" s="1"/>
      <c r="B21889" s="1" t="s">
        <v>7328</v>
      </c>
      <c r="C21889" s="1" t="s">
        <v>7329</v>
      </c>
      <c r="D21889" s="22" t="str">
        <f>HYPERLINK("https://rhld.insurance.arkansas.gov/NPILookup?Npi=1124281563","1124281563")</f>
        <v>1124281563</v>
      </c>
      <c r="E21889" s="1" t="s">
        <v>25664</v>
      </c>
      <c r="F21889" s="2"/>
      <c r="G21889" s="2"/>
      <c r="H21889" s="2"/>
    </row>
    <row r="21890" spans="1:8" x14ac:dyDescent="0.25">
      <c r="A21890" s="1"/>
      <c r="B21890" s="1" t="s">
        <v>7328</v>
      </c>
      <c r="C21890" s="1" t="s">
        <v>7329</v>
      </c>
      <c r="D21890" s="22" t="str">
        <f>HYPERLINK("https://rhld.insurance.arkansas.gov/NPILookup?Npi=1124298849","1124298849")</f>
        <v>1124298849</v>
      </c>
      <c r="E21890" s="1" t="s">
        <v>12732</v>
      </c>
      <c r="F21890" s="2"/>
      <c r="G21890" s="2"/>
      <c r="H21890" s="2"/>
    </row>
    <row r="21891" spans="1:8" x14ac:dyDescent="0.25">
      <c r="A21891" s="1"/>
      <c r="B21891" s="1" t="s">
        <v>7328</v>
      </c>
      <c r="C21891" s="1" t="s">
        <v>7329</v>
      </c>
      <c r="D21891" s="22" t="str">
        <f>HYPERLINK("https://rhld.insurance.arkansas.gov/NPILookup?Npi=1124306097","1124306097")</f>
        <v>1124306097</v>
      </c>
      <c r="E21891" s="1" t="s">
        <v>25665</v>
      </c>
      <c r="F21891" s="2"/>
      <c r="G21891" s="2"/>
      <c r="H21891" s="2"/>
    </row>
    <row r="21892" spans="1:8" x14ac:dyDescent="0.25">
      <c r="A21892" s="1"/>
      <c r="B21892" s="1" t="s">
        <v>7328</v>
      </c>
      <c r="C21892" s="1" t="s">
        <v>7329</v>
      </c>
      <c r="D21892" s="22" t="str">
        <f>HYPERLINK("https://rhld.insurance.arkansas.gov/NPILookup?Npi=1124342530","1124342530")</f>
        <v>1124342530</v>
      </c>
      <c r="E21892" s="1" t="s">
        <v>32128</v>
      </c>
      <c r="F21892" s="2"/>
      <c r="G21892" s="2"/>
      <c r="H21892" s="2"/>
    </row>
    <row r="21893" spans="1:8" x14ac:dyDescent="0.25">
      <c r="A21893" s="1"/>
      <c r="B21893" s="1" t="s">
        <v>7328</v>
      </c>
      <c r="C21893" s="1" t="s">
        <v>7329</v>
      </c>
      <c r="D21893" s="22" t="str">
        <f>HYPERLINK("https://rhld.insurance.arkansas.gov/NPILookup?Npi=1124343074","1124343074")</f>
        <v>1124343074</v>
      </c>
      <c r="E21893" s="1" t="s">
        <v>7450</v>
      </c>
      <c r="F21893" s="2"/>
      <c r="G21893" s="2"/>
      <c r="H21893" s="2"/>
    </row>
    <row r="21894" spans="1:8" x14ac:dyDescent="0.25">
      <c r="A21894" s="1"/>
      <c r="B21894" s="1" t="s">
        <v>7328</v>
      </c>
      <c r="C21894" s="1" t="s">
        <v>7329</v>
      </c>
      <c r="D21894" s="22" t="str">
        <f>HYPERLINK("https://rhld.insurance.arkansas.gov/NPILookup?Npi=1124355623","1124355623")</f>
        <v>1124355623</v>
      </c>
      <c r="E21894" s="1" t="s">
        <v>25666</v>
      </c>
      <c r="F21894" s="2"/>
      <c r="G21894" s="2"/>
      <c r="H21894" s="2"/>
    </row>
    <row r="21895" spans="1:8" x14ac:dyDescent="0.25">
      <c r="A21895" s="1"/>
      <c r="B21895" s="1" t="s">
        <v>7328</v>
      </c>
      <c r="C21895" s="1" t="s">
        <v>7329</v>
      </c>
      <c r="D21895" s="22" t="str">
        <f>HYPERLINK("https://rhld.insurance.arkansas.gov/NPILookup?Npi=1124364724","1124364724")</f>
        <v>1124364724</v>
      </c>
      <c r="E21895" s="1" t="s">
        <v>25667</v>
      </c>
      <c r="F21895" s="2"/>
      <c r="G21895" s="2"/>
      <c r="H21895" s="2"/>
    </row>
    <row r="21896" spans="1:8" x14ac:dyDescent="0.25">
      <c r="A21896" s="1"/>
      <c r="B21896" s="1" t="s">
        <v>7328</v>
      </c>
      <c r="C21896" s="1" t="s">
        <v>7329</v>
      </c>
      <c r="D21896" s="22" t="str">
        <f>HYPERLINK("https://rhld.insurance.arkansas.gov/NPILookup?Npi=1124366943","1124366943")</f>
        <v>1124366943</v>
      </c>
      <c r="E21896" s="1" t="s">
        <v>25668</v>
      </c>
      <c r="F21896" s="2"/>
      <c r="G21896" s="2"/>
      <c r="H21896" s="2"/>
    </row>
    <row r="21897" spans="1:8" x14ac:dyDescent="0.25">
      <c r="A21897" s="1"/>
      <c r="B21897" s="1" t="s">
        <v>7328</v>
      </c>
      <c r="C21897" s="1" t="s">
        <v>7329</v>
      </c>
      <c r="D21897" s="22" t="str">
        <f>HYPERLINK("https://rhld.insurance.arkansas.gov/NPILookup?Npi=1124376546","1124376546")</f>
        <v>1124376546</v>
      </c>
      <c r="E21897" s="1" t="s">
        <v>25669</v>
      </c>
      <c r="F21897" s="2"/>
      <c r="G21897" s="2"/>
      <c r="H21897" s="2"/>
    </row>
    <row r="21898" spans="1:8" x14ac:dyDescent="0.25">
      <c r="A21898" s="1"/>
      <c r="B21898" s="1" t="s">
        <v>7328</v>
      </c>
      <c r="C21898" s="1" t="s">
        <v>7329</v>
      </c>
      <c r="D21898" s="22" t="str">
        <f>HYPERLINK("https://rhld.insurance.arkansas.gov/NPILookup?Npi=1124377593","1124377593")</f>
        <v>1124377593</v>
      </c>
      <c r="E21898" s="1" t="s">
        <v>12733</v>
      </c>
      <c r="F21898" s="2"/>
      <c r="G21898" s="2"/>
      <c r="H21898" s="2"/>
    </row>
    <row r="21899" spans="1:8" x14ac:dyDescent="0.25">
      <c r="A21899" s="1"/>
      <c r="B21899" s="1" t="s">
        <v>7328</v>
      </c>
      <c r="C21899" s="1" t="s">
        <v>7329</v>
      </c>
      <c r="D21899" s="22" t="str">
        <f>HYPERLINK("https://rhld.insurance.arkansas.gov/NPILookup?Npi=1124387139","1124387139")</f>
        <v>1124387139</v>
      </c>
      <c r="E21899" s="1" t="s">
        <v>25670</v>
      </c>
      <c r="F21899" s="2"/>
      <c r="G21899" s="2"/>
      <c r="H21899" s="2"/>
    </row>
    <row r="21900" spans="1:8" x14ac:dyDescent="0.25">
      <c r="A21900" s="1"/>
      <c r="B21900" s="1" t="s">
        <v>7328</v>
      </c>
      <c r="C21900" s="1" t="s">
        <v>7329</v>
      </c>
      <c r="D21900" s="22" t="str">
        <f>HYPERLINK("https://rhld.insurance.arkansas.gov/NPILookup?Npi=1124396833","1124396833")</f>
        <v>1124396833</v>
      </c>
      <c r="E21900" s="1" t="s">
        <v>756</v>
      </c>
      <c r="F21900" s="2"/>
      <c r="G21900" s="2"/>
      <c r="H21900" s="2"/>
    </row>
    <row r="21901" spans="1:8" x14ac:dyDescent="0.25">
      <c r="A21901" s="1"/>
      <c r="B21901" s="1" t="s">
        <v>7328</v>
      </c>
      <c r="C21901" s="1" t="s">
        <v>7329</v>
      </c>
      <c r="D21901" s="22" t="str">
        <f>HYPERLINK("https://rhld.insurance.arkansas.gov/NPILookup?Npi=1124404173","1124404173")</f>
        <v>1124404173</v>
      </c>
      <c r="E21901" s="1" t="s">
        <v>25671</v>
      </c>
      <c r="F21901" s="2"/>
      <c r="G21901" s="2"/>
      <c r="H21901" s="2"/>
    </row>
    <row r="21902" spans="1:8" x14ac:dyDescent="0.25">
      <c r="A21902" s="1"/>
      <c r="B21902" s="1" t="s">
        <v>7328</v>
      </c>
      <c r="C21902" s="1" t="s">
        <v>7329</v>
      </c>
      <c r="D21902" s="22" t="str">
        <f>HYPERLINK("https://rhld.insurance.arkansas.gov/NPILookup?Npi=1124417142","1124417142")</f>
        <v>1124417142</v>
      </c>
      <c r="E21902" s="1" t="s">
        <v>21253</v>
      </c>
      <c r="F21902" s="2"/>
      <c r="G21902" s="2"/>
      <c r="H21902" s="2"/>
    </row>
    <row r="21903" spans="1:8" x14ac:dyDescent="0.25">
      <c r="A21903" s="1"/>
      <c r="B21903" s="1" t="s">
        <v>7328</v>
      </c>
      <c r="C21903" s="1" t="s">
        <v>7329</v>
      </c>
      <c r="D21903" s="22" t="str">
        <f>HYPERLINK("https://rhld.insurance.arkansas.gov/NPILookup?Npi=1124418769","1124418769")</f>
        <v>1124418769</v>
      </c>
      <c r="E21903" s="1" t="s">
        <v>265</v>
      </c>
      <c r="F21903" s="2"/>
      <c r="G21903" s="2"/>
      <c r="H21903" s="2"/>
    </row>
    <row r="21904" spans="1:8" x14ac:dyDescent="0.25">
      <c r="A21904" s="1"/>
      <c r="B21904" s="1" t="s">
        <v>7328</v>
      </c>
      <c r="C21904" s="1" t="s">
        <v>7329</v>
      </c>
      <c r="D21904" s="22" t="str">
        <f>HYPERLINK("https://rhld.insurance.arkansas.gov/NPILookup?Npi=1124419015","1124419015")</f>
        <v>1124419015</v>
      </c>
      <c r="E21904" s="1" t="s">
        <v>25672</v>
      </c>
      <c r="F21904" s="2"/>
      <c r="G21904" s="2"/>
      <c r="H21904" s="2"/>
    </row>
    <row r="21905" spans="1:8" x14ac:dyDescent="0.25">
      <c r="A21905" s="1"/>
      <c r="B21905" s="1" t="s">
        <v>7328</v>
      </c>
      <c r="C21905" s="1" t="s">
        <v>7329</v>
      </c>
      <c r="D21905" s="22" t="str">
        <f>HYPERLINK("https://rhld.insurance.arkansas.gov/NPILookup?Npi=1124421011","1124421011")</f>
        <v>1124421011</v>
      </c>
      <c r="E21905" s="1" t="s">
        <v>12734</v>
      </c>
      <c r="F21905" s="2"/>
      <c r="G21905" s="2"/>
      <c r="H21905" s="2"/>
    </row>
    <row r="21906" spans="1:8" x14ac:dyDescent="0.25">
      <c r="A21906" s="1"/>
      <c r="B21906" s="1" t="s">
        <v>7328</v>
      </c>
      <c r="C21906" s="1" t="s">
        <v>7329</v>
      </c>
      <c r="D21906" s="22" t="str">
        <f>HYPERLINK("https://rhld.insurance.arkansas.gov/NPILookup?Npi=1124432455","1124432455")</f>
        <v>1124432455</v>
      </c>
      <c r="E21906" s="1" t="s">
        <v>12735</v>
      </c>
      <c r="F21906" s="2"/>
      <c r="G21906" s="2"/>
      <c r="H21906" s="2"/>
    </row>
    <row r="21907" spans="1:8" x14ac:dyDescent="0.25">
      <c r="A21907" s="1"/>
      <c r="B21907" s="1" t="s">
        <v>7328</v>
      </c>
      <c r="C21907" s="1" t="s">
        <v>7329</v>
      </c>
      <c r="D21907" s="22" t="str">
        <f>HYPERLINK("https://rhld.insurance.arkansas.gov/NPILookup?Npi=1124437330","1124437330")</f>
        <v>1124437330</v>
      </c>
      <c r="E21907" s="1" t="s">
        <v>12736</v>
      </c>
      <c r="F21907" s="2"/>
      <c r="G21907" s="2"/>
      <c r="H21907" s="2"/>
    </row>
    <row r="21908" spans="1:8" x14ac:dyDescent="0.25">
      <c r="A21908" s="1"/>
      <c r="B21908" s="1" t="s">
        <v>7328</v>
      </c>
      <c r="C21908" s="1" t="s">
        <v>7329</v>
      </c>
      <c r="D21908" s="22" t="str">
        <f>HYPERLINK("https://rhld.insurance.arkansas.gov/NPILookup?Npi=1124461140","1124461140")</f>
        <v>1124461140</v>
      </c>
      <c r="E21908" s="1" t="s">
        <v>25673</v>
      </c>
      <c r="F21908" s="2"/>
      <c r="G21908" s="2"/>
      <c r="H21908" s="2"/>
    </row>
    <row r="21909" spans="1:8" x14ac:dyDescent="0.25">
      <c r="A21909" s="1"/>
      <c r="B21909" s="1" t="s">
        <v>7328</v>
      </c>
      <c r="C21909" s="1" t="s">
        <v>7329</v>
      </c>
      <c r="D21909" s="22" t="str">
        <f>HYPERLINK("https://rhld.insurance.arkansas.gov/NPILookup?Npi=1124469887","1124469887")</f>
        <v>1124469887</v>
      </c>
      <c r="E21909" s="1" t="s">
        <v>25674</v>
      </c>
      <c r="F21909" s="2"/>
      <c r="G21909" s="2"/>
      <c r="H21909" s="2"/>
    </row>
    <row r="21910" spans="1:8" x14ac:dyDescent="0.25">
      <c r="A21910" s="1"/>
      <c r="B21910" s="1" t="s">
        <v>7328</v>
      </c>
      <c r="C21910" s="1" t="s">
        <v>7329</v>
      </c>
      <c r="D21910" s="22" t="str">
        <f>HYPERLINK("https://rhld.insurance.arkansas.gov/NPILookup?Npi=1124481262","1124481262")</f>
        <v>1124481262</v>
      </c>
      <c r="E21910" s="1" t="s">
        <v>25675</v>
      </c>
      <c r="F21910" s="2"/>
      <c r="G21910" s="2"/>
      <c r="H21910" s="2"/>
    </row>
    <row r="21911" spans="1:8" x14ac:dyDescent="0.25">
      <c r="A21911" s="1"/>
      <c r="B21911" s="1" t="s">
        <v>7328</v>
      </c>
      <c r="C21911" s="1" t="s">
        <v>7329</v>
      </c>
      <c r="D21911" s="22" t="str">
        <f>HYPERLINK("https://rhld.insurance.arkansas.gov/NPILookup?Npi=1124482120","1124482120")</f>
        <v>1124482120</v>
      </c>
      <c r="E21911" s="1" t="s">
        <v>7451</v>
      </c>
      <c r="F21911" s="2"/>
      <c r="G21911" s="2"/>
      <c r="H21911" s="2"/>
    </row>
    <row r="21912" spans="1:8" x14ac:dyDescent="0.25">
      <c r="A21912" s="1"/>
      <c r="B21912" s="1" t="s">
        <v>7328</v>
      </c>
      <c r="C21912" s="1" t="s">
        <v>7329</v>
      </c>
      <c r="D21912" s="22" t="str">
        <f>HYPERLINK("https://rhld.insurance.arkansas.gov/NPILookup?Npi=1124508908","1124508908")</f>
        <v>1124508908</v>
      </c>
      <c r="E21912" s="1" t="s">
        <v>25676</v>
      </c>
      <c r="F21912" s="2"/>
      <c r="G21912" s="2"/>
      <c r="H21912" s="2"/>
    </row>
    <row r="21913" spans="1:8" x14ac:dyDescent="0.25">
      <c r="A21913" s="1"/>
      <c r="B21913" s="1" t="s">
        <v>7328</v>
      </c>
      <c r="C21913" s="1" t="s">
        <v>7329</v>
      </c>
      <c r="D21913" s="22" t="str">
        <f>HYPERLINK("https://rhld.insurance.arkansas.gov/NPILookup?Npi=1124510169","1124510169")</f>
        <v>1124510169</v>
      </c>
      <c r="E21913" s="1" t="s">
        <v>7452</v>
      </c>
      <c r="F21913" s="2"/>
      <c r="G21913" s="2"/>
      <c r="H21913" s="2"/>
    </row>
    <row r="21914" spans="1:8" x14ac:dyDescent="0.25">
      <c r="A21914" s="1"/>
      <c r="B21914" s="1" t="s">
        <v>7328</v>
      </c>
      <c r="C21914" s="1" t="s">
        <v>7329</v>
      </c>
      <c r="D21914" s="22" t="str">
        <f>HYPERLINK("https://rhld.insurance.arkansas.gov/NPILookup?Npi=1124510250","1124510250")</f>
        <v>1124510250</v>
      </c>
      <c r="E21914" s="1" t="s">
        <v>25677</v>
      </c>
      <c r="F21914" s="2"/>
      <c r="G21914" s="2"/>
      <c r="H21914" s="2"/>
    </row>
    <row r="21915" spans="1:8" x14ac:dyDescent="0.25">
      <c r="A21915" s="1"/>
      <c r="B21915" s="1" t="s">
        <v>7328</v>
      </c>
      <c r="C21915" s="1" t="s">
        <v>7329</v>
      </c>
      <c r="D21915" s="22" t="str">
        <f>HYPERLINK("https://rhld.insurance.arkansas.gov/NPILookup?Npi=1124514328","1124514328")</f>
        <v>1124514328</v>
      </c>
      <c r="E21915" s="1" t="s">
        <v>25678</v>
      </c>
      <c r="F21915" s="2"/>
      <c r="G21915" s="2"/>
      <c r="H21915" s="2"/>
    </row>
    <row r="21916" spans="1:8" x14ac:dyDescent="0.25">
      <c r="A21916" s="1"/>
      <c r="B21916" s="1" t="s">
        <v>7328</v>
      </c>
      <c r="C21916" s="1" t="s">
        <v>7329</v>
      </c>
      <c r="D21916" s="22" t="str">
        <f>HYPERLINK("https://rhld.insurance.arkansas.gov/NPILookup?Npi=1124537162","1124537162")</f>
        <v>1124537162</v>
      </c>
      <c r="E21916" s="1" t="s">
        <v>25679</v>
      </c>
      <c r="F21916" s="2"/>
      <c r="G21916" s="2"/>
      <c r="H21916" s="2"/>
    </row>
    <row r="21917" spans="1:8" x14ac:dyDescent="0.25">
      <c r="A21917" s="1"/>
      <c r="B21917" s="1" t="s">
        <v>7328</v>
      </c>
      <c r="C21917" s="1" t="s">
        <v>7329</v>
      </c>
      <c r="D21917" s="22" t="str">
        <f>HYPERLINK("https://rhld.insurance.arkansas.gov/NPILookup?Npi=1124543483","1124543483")</f>
        <v>1124543483</v>
      </c>
      <c r="E21917" s="1" t="s">
        <v>7453</v>
      </c>
      <c r="F21917" s="2"/>
      <c r="G21917" s="2"/>
      <c r="H21917" s="2"/>
    </row>
    <row r="21918" spans="1:8" x14ac:dyDescent="0.25">
      <c r="A21918" s="1"/>
      <c r="B21918" s="1" t="s">
        <v>7328</v>
      </c>
      <c r="C21918" s="1" t="s">
        <v>7329</v>
      </c>
      <c r="D21918" s="22" t="str">
        <f>HYPERLINK("https://rhld.insurance.arkansas.gov/NPILookup?Npi=1124550041","1124550041")</f>
        <v>1124550041</v>
      </c>
      <c r="E21918" s="1" t="s">
        <v>837</v>
      </c>
      <c r="F21918" s="2"/>
      <c r="G21918" s="2"/>
      <c r="H21918" s="2"/>
    </row>
    <row r="21919" spans="1:8" x14ac:dyDescent="0.25">
      <c r="A21919" s="1"/>
      <c r="B21919" s="1" t="s">
        <v>7328</v>
      </c>
      <c r="C21919" s="1" t="s">
        <v>7329</v>
      </c>
      <c r="D21919" s="22" t="str">
        <f>HYPERLINK("https://rhld.insurance.arkansas.gov/NPILookup?Npi=1124567607","1124567607")</f>
        <v>1124567607</v>
      </c>
      <c r="E21919" s="1" t="s">
        <v>32129</v>
      </c>
      <c r="F21919" s="2"/>
      <c r="G21919" s="2"/>
      <c r="H21919" s="2"/>
    </row>
    <row r="21920" spans="1:8" x14ac:dyDescent="0.25">
      <c r="A21920" s="1"/>
      <c r="B21920" s="1" t="s">
        <v>7328</v>
      </c>
      <c r="C21920" s="1" t="s">
        <v>7329</v>
      </c>
      <c r="D21920" s="22" t="str">
        <f>HYPERLINK("https://rhld.insurance.arkansas.gov/NPILookup?Npi=1124575147","1124575147")</f>
        <v>1124575147</v>
      </c>
      <c r="E21920" s="1" t="s">
        <v>25680</v>
      </c>
      <c r="F21920" s="2"/>
      <c r="G21920" s="2"/>
      <c r="H21920" s="2"/>
    </row>
    <row r="21921" spans="1:8" x14ac:dyDescent="0.25">
      <c r="A21921" s="1"/>
      <c r="B21921" s="1" t="s">
        <v>7328</v>
      </c>
      <c r="C21921" s="1" t="s">
        <v>7329</v>
      </c>
      <c r="D21921" s="22" t="str">
        <f>HYPERLINK("https://rhld.insurance.arkansas.gov/NPILookup?Npi=1124580832","1124580832")</f>
        <v>1124580832</v>
      </c>
      <c r="E21921" s="1" t="s">
        <v>25681</v>
      </c>
      <c r="F21921" s="2"/>
      <c r="G21921" s="2"/>
      <c r="H21921" s="2"/>
    </row>
    <row r="21922" spans="1:8" x14ac:dyDescent="0.25">
      <c r="A21922" s="1"/>
      <c r="B21922" s="1" t="s">
        <v>7328</v>
      </c>
      <c r="C21922" s="1" t="s">
        <v>7329</v>
      </c>
      <c r="D21922" s="22" t="str">
        <f>HYPERLINK("https://rhld.insurance.arkansas.gov/NPILookup?Npi=1124584503","1124584503")</f>
        <v>1124584503</v>
      </c>
      <c r="E21922" s="1" t="s">
        <v>1371</v>
      </c>
      <c r="F21922" s="2"/>
      <c r="G21922" s="2"/>
      <c r="H21922" s="2"/>
    </row>
    <row r="21923" spans="1:8" x14ac:dyDescent="0.25">
      <c r="A21923" s="1"/>
      <c r="B21923" s="1" t="s">
        <v>7328</v>
      </c>
      <c r="C21923" s="1" t="s">
        <v>7329</v>
      </c>
      <c r="D21923" s="22" t="str">
        <f>HYPERLINK("https://rhld.insurance.arkansas.gov/NPILookup?Npi=1124584966","1124584966")</f>
        <v>1124584966</v>
      </c>
      <c r="E21923" s="1" t="s">
        <v>25682</v>
      </c>
      <c r="F21923" s="2"/>
      <c r="G21923" s="2"/>
      <c r="H21923" s="2"/>
    </row>
    <row r="21924" spans="1:8" x14ac:dyDescent="0.25">
      <c r="A21924" s="1"/>
      <c r="B21924" s="1" t="s">
        <v>7328</v>
      </c>
      <c r="C21924" s="1" t="s">
        <v>7329</v>
      </c>
      <c r="D21924" s="22" t="str">
        <f>HYPERLINK("https://rhld.insurance.arkansas.gov/NPILookup?Npi=1124586995","1124586995")</f>
        <v>1124586995</v>
      </c>
      <c r="E21924" s="1" t="s">
        <v>25683</v>
      </c>
      <c r="F21924" s="2"/>
      <c r="G21924" s="2"/>
      <c r="H21924" s="2"/>
    </row>
    <row r="21925" spans="1:8" x14ac:dyDescent="0.25">
      <c r="A21925" s="1"/>
      <c r="B21925" s="1" t="s">
        <v>7328</v>
      </c>
      <c r="C21925" s="1" t="s">
        <v>7329</v>
      </c>
      <c r="D21925" s="22" t="str">
        <f>HYPERLINK("https://rhld.insurance.arkansas.gov/NPILookup?Npi=1124611439","1124611439")</f>
        <v>1124611439</v>
      </c>
      <c r="E21925" s="1" t="s">
        <v>21262</v>
      </c>
      <c r="F21925" s="2"/>
      <c r="G21925" s="2"/>
      <c r="H21925" s="2"/>
    </row>
    <row r="21926" spans="1:8" x14ac:dyDescent="0.25">
      <c r="A21926" s="1"/>
      <c r="B21926" s="1" t="s">
        <v>7328</v>
      </c>
      <c r="C21926" s="1" t="s">
        <v>7329</v>
      </c>
      <c r="D21926" s="22" t="str">
        <f>HYPERLINK("https://rhld.insurance.arkansas.gov/NPILookup?Npi=1124616933","1124616933")</f>
        <v>1124616933</v>
      </c>
      <c r="E21926" s="1" t="s">
        <v>1510</v>
      </c>
      <c r="F21926" s="2"/>
      <c r="G21926" s="2"/>
      <c r="H21926" s="2"/>
    </row>
    <row r="21927" spans="1:8" x14ac:dyDescent="0.25">
      <c r="A21927" s="1"/>
      <c r="B21927" s="1" t="s">
        <v>7328</v>
      </c>
      <c r="C21927" s="1" t="s">
        <v>7329</v>
      </c>
      <c r="D21927" s="22" t="str">
        <f>HYPERLINK("https://rhld.insurance.arkansas.gov/NPILookup?Npi=1124617105","1124617105")</f>
        <v>1124617105</v>
      </c>
      <c r="E21927" s="1" t="s">
        <v>12737</v>
      </c>
      <c r="F21927" s="2"/>
      <c r="G21927" s="2"/>
      <c r="H21927" s="2"/>
    </row>
    <row r="21928" spans="1:8" x14ac:dyDescent="0.25">
      <c r="A21928" s="1"/>
      <c r="B21928" s="1" t="s">
        <v>7328</v>
      </c>
      <c r="C21928" s="1" t="s">
        <v>7329</v>
      </c>
      <c r="D21928" s="22" t="str">
        <f>HYPERLINK("https://rhld.insurance.arkansas.gov/NPILookup?Npi=1124621594","1124621594")</f>
        <v>1124621594</v>
      </c>
      <c r="E21928" s="1" t="s">
        <v>1825</v>
      </c>
      <c r="F21928" s="2"/>
      <c r="G21928" s="2"/>
      <c r="H21928" s="2"/>
    </row>
    <row r="21929" spans="1:8" x14ac:dyDescent="0.25">
      <c r="A21929" s="1"/>
      <c r="B21929" s="1" t="s">
        <v>7328</v>
      </c>
      <c r="C21929" s="1" t="s">
        <v>7329</v>
      </c>
      <c r="D21929" s="22" t="str">
        <f>HYPERLINK("https://rhld.insurance.arkansas.gov/NPILookup?Npi=1124632310","1124632310")</f>
        <v>1124632310</v>
      </c>
      <c r="E21929" s="1" t="s">
        <v>32130</v>
      </c>
      <c r="F21929" s="2"/>
      <c r="G21929" s="2"/>
      <c r="H21929" s="2"/>
    </row>
    <row r="21930" spans="1:8" x14ac:dyDescent="0.25">
      <c r="A21930" s="1"/>
      <c r="B21930" s="1" t="s">
        <v>7328</v>
      </c>
      <c r="C21930" s="1" t="s">
        <v>7329</v>
      </c>
      <c r="D21930" s="22" t="str">
        <f>HYPERLINK("https://rhld.insurance.arkansas.gov/NPILookup?Npi=1124636915","1124636915")</f>
        <v>1124636915</v>
      </c>
      <c r="E21930" s="1" t="s">
        <v>25684</v>
      </c>
      <c r="F21930" s="2"/>
      <c r="G21930" s="2"/>
      <c r="H21930" s="2"/>
    </row>
    <row r="21931" spans="1:8" x14ac:dyDescent="0.25">
      <c r="A21931" s="1"/>
      <c r="B21931" s="1" t="s">
        <v>7328</v>
      </c>
      <c r="C21931" s="1" t="s">
        <v>7329</v>
      </c>
      <c r="D21931" s="22" t="str">
        <f>HYPERLINK("https://rhld.insurance.arkansas.gov/NPILookup?Npi=1124641816","1124641816")</f>
        <v>1124641816</v>
      </c>
      <c r="E21931" s="1" t="s">
        <v>3879</v>
      </c>
      <c r="F21931" s="2"/>
      <c r="G21931" s="2"/>
      <c r="H21931" s="2"/>
    </row>
    <row r="21932" spans="1:8" x14ac:dyDescent="0.25">
      <c r="A21932" s="1"/>
      <c r="B21932" s="1" t="s">
        <v>7328</v>
      </c>
      <c r="C21932" s="1" t="s">
        <v>7329</v>
      </c>
      <c r="D21932" s="22" t="str">
        <f>HYPERLINK("https://rhld.insurance.arkansas.gov/NPILookup?Npi=1124651468","1124651468")</f>
        <v>1124651468</v>
      </c>
      <c r="E21932" s="1" t="s">
        <v>7454</v>
      </c>
      <c r="F21932" s="2"/>
      <c r="G21932" s="2"/>
      <c r="H21932" s="2"/>
    </row>
    <row r="21933" spans="1:8" x14ac:dyDescent="0.25">
      <c r="A21933" s="1"/>
      <c r="B21933" s="1" t="s">
        <v>7328</v>
      </c>
      <c r="C21933" s="1" t="s">
        <v>7329</v>
      </c>
      <c r="D21933" s="22" t="str">
        <f>HYPERLINK("https://rhld.insurance.arkansas.gov/NPILookup?Npi=1124653340","1124653340")</f>
        <v>1124653340</v>
      </c>
      <c r="E21933" s="1" t="s">
        <v>12738</v>
      </c>
      <c r="F21933" s="2"/>
      <c r="G21933" s="2"/>
      <c r="H21933" s="2"/>
    </row>
    <row r="21934" spans="1:8" x14ac:dyDescent="0.25">
      <c r="A21934" s="1"/>
      <c r="B21934" s="1" t="s">
        <v>7328</v>
      </c>
      <c r="C21934" s="1" t="s">
        <v>7329</v>
      </c>
      <c r="D21934" s="22" t="str">
        <f>HYPERLINK("https://rhld.insurance.arkansas.gov/NPILookup?Npi=1124658380","1124658380")</f>
        <v>1124658380</v>
      </c>
      <c r="E21934" s="1" t="s">
        <v>25435</v>
      </c>
      <c r="F21934" s="2"/>
      <c r="G21934" s="2"/>
      <c r="H21934" s="2"/>
    </row>
    <row r="21935" spans="1:8" x14ac:dyDescent="0.25">
      <c r="A21935" s="1"/>
      <c r="B21935" s="1" t="s">
        <v>7328</v>
      </c>
      <c r="C21935" s="1" t="s">
        <v>7329</v>
      </c>
      <c r="D21935" s="22" t="str">
        <f>HYPERLINK("https://rhld.insurance.arkansas.gov/NPILookup?Npi=1124666482","1124666482")</f>
        <v>1124666482</v>
      </c>
      <c r="E21935" s="1" t="s">
        <v>25685</v>
      </c>
      <c r="F21935" s="2"/>
      <c r="G21935" s="2"/>
      <c r="H21935" s="2"/>
    </row>
    <row r="21936" spans="1:8" x14ac:dyDescent="0.25">
      <c r="A21936" s="1"/>
      <c r="B21936" s="1" t="s">
        <v>7328</v>
      </c>
      <c r="C21936" s="1" t="s">
        <v>7329</v>
      </c>
      <c r="D21936" s="22" t="str">
        <f>HYPERLINK("https://rhld.insurance.arkansas.gov/NPILookup?Npi=1124673439","1124673439")</f>
        <v>1124673439</v>
      </c>
      <c r="E21936" s="1" t="s">
        <v>3414</v>
      </c>
      <c r="F21936" s="2"/>
      <c r="G21936" s="2"/>
      <c r="H21936" s="2"/>
    </row>
    <row r="21937" spans="1:8" x14ac:dyDescent="0.25">
      <c r="A21937" s="1"/>
      <c r="B21937" s="1" t="s">
        <v>7328</v>
      </c>
      <c r="C21937" s="1" t="s">
        <v>7329</v>
      </c>
      <c r="D21937" s="22" t="str">
        <f>HYPERLINK("https://rhld.insurance.arkansas.gov/NPILookup?Npi=1124676416","1124676416")</f>
        <v>1124676416</v>
      </c>
      <c r="E21937" s="1" t="s">
        <v>25686</v>
      </c>
      <c r="F21937" s="2"/>
      <c r="G21937" s="2"/>
      <c r="H21937" s="2"/>
    </row>
    <row r="21938" spans="1:8" x14ac:dyDescent="0.25">
      <c r="A21938" s="1"/>
      <c r="B21938" s="1" t="s">
        <v>7328</v>
      </c>
      <c r="C21938" s="1" t="s">
        <v>7329</v>
      </c>
      <c r="D21938" s="22" t="str">
        <f>HYPERLINK("https://rhld.insurance.arkansas.gov/NPILookup?Npi=1124681465","1124681465")</f>
        <v>1124681465</v>
      </c>
      <c r="E21938" s="1" t="s">
        <v>25687</v>
      </c>
      <c r="F21938" s="2"/>
      <c r="G21938" s="2"/>
      <c r="H21938" s="2"/>
    </row>
    <row r="21939" spans="1:8" x14ac:dyDescent="0.25">
      <c r="A21939" s="1"/>
      <c r="B21939" s="1" t="s">
        <v>7328</v>
      </c>
      <c r="C21939" s="1" t="s">
        <v>7329</v>
      </c>
      <c r="D21939" s="22" t="str">
        <f>HYPERLINK("https://rhld.insurance.arkansas.gov/NPILookup?Npi=1124687157","1124687157")</f>
        <v>1124687157</v>
      </c>
      <c r="E21939" s="1" t="s">
        <v>4252</v>
      </c>
      <c r="F21939" s="2"/>
      <c r="G21939" s="2"/>
      <c r="H21939" s="2"/>
    </row>
    <row r="21940" spans="1:8" x14ac:dyDescent="0.25">
      <c r="A21940" s="1"/>
      <c r="B21940" s="1" t="s">
        <v>7328</v>
      </c>
      <c r="C21940" s="1" t="s">
        <v>7329</v>
      </c>
      <c r="D21940" s="22" t="str">
        <f>HYPERLINK("https://rhld.insurance.arkansas.gov/NPILookup?Npi=1124697891","1124697891")</f>
        <v>1124697891</v>
      </c>
      <c r="E21940" s="1" t="s">
        <v>25688</v>
      </c>
      <c r="F21940" s="2"/>
      <c r="G21940" s="2"/>
      <c r="H21940" s="2"/>
    </row>
    <row r="21941" spans="1:8" x14ac:dyDescent="0.25">
      <c r="A21941" s="1"/>
      <c r="B21941" s="1" t="s">
        <v>7328</v>
      </c>
      <c r="C21941" s="1" t="s">
        <v>7329</v>
      </c>
      <c r="D21941" s="22" t="str">
        <f>HYPERLINK("https://rhld.insurance.arkansas.gov/NPILookup?Npi=1124700257","1124700257")</f>
        <v>1124700257</v>
      </c>
      <c r="E21941" s="1" t="s">
        <v>25689</v>
      </c>
      <c r="F21941" s="2"/>
      <c r="G21941" s="2"/>
      <c r="H21941" s="2"/>
    </row>
    <row r="21942" spans="1:8" x14ac:dyDescent="0.25">
      <c r="A21942" s="1"/>
      <c r="B21942" s="1" t="s">
        <v>7328</v>
      </c>
      <c r="C21942" s="1" t="s">
        <v>7329</v>
      </c>
      <c r="D21942" s="22" t="str">
        <f>HYPERLINK("https://rhld.insurance.arkansas.gov/NPILookup?Npi=1124720107","1124720107")</f>
        <v>1124720107</v>
      </c>
      <c r="E21942" s="1" t="s">
        <v>7455</v>
      </c>
      <c r="F21942" s="2"/>
      <c r="G21942" s="2"/>
      <c r="H21942" s="2"/>
    </row>
    <row r="21943" spans="1:8" x14ac:dyDescent="0.25">
      <c r="A21943" s="1"/>
      <c r="B21943" s="1" t="s">
        <v>7328</v>
      </c>
      <c r="C21943" s="1" t="s">
        <v>7329</v>
      </c>
      <c r="D21943" s="22" t="str">
        <f>HYPERLINK("https://rhld.insurance.arkansas.gov/NPILookup?Npi=1124737739","1124737739")</f>
        <v>1124737739</v>
      </c>
      <c r="E21943" s="1" t="s">
        <v>25690</v>
      </c>
      <c r="F21943" s="2"/>
      <c r="G21943" s="2"/>
      <c r="H21943" s="2"/>
    </row>
    <row r="21944" spans="1:8" x14ac:dyDescent="0.25">
      <c r="A21944" s="1"/>
      <c r="B21944" s="1" t="s">
        <v>7328</v>
      </c>
      <c r="C21944" s="1" t="s">
        <v>7329</v>
      </c>
      <c r="D21944" s="22" t="str">
        <f>HYPERLINK("https://rhld.insurance.arkansas.gov/NPILookup?Npi=1124740428","1124740428")</f>
        <v>1124740428</v>
      </c>
      <c r="E21944" s="1" t="s">
        <v>25691</v>
      </c>
      <c r="F21944" s="2"/>
      <c r="G21944" s="2"/>
      <c r="H21944" s="2"/>
    </row>
    <row r="21945" spans="1:8" x14ac:dyDescent="0.25">
      <c r="A21945" s="1"/>
      <c r="B21945" s="1" t="s">
        <v>7328</v>
      </c>
      <c r="C21945" s="1" t="s">
        <v>7329</v>
      </c>
      <c r="D21945" s="22" t="str">
        <f>HYPERLINK("https://rhld.insurance.arkansas.gov/NPILookup?Npi=1124741715","1124741715")</f>
        <v>1124741715</v>
      </c>
      <c r="E21945" s="1" t="s">
        <v>7456</v>
      </c>
      <c r="F21945" s="2"/>
      <c r="G21945" s="2"/>
      <c r="H21945" s="2"/>
    </row>
    <row r="21946" spans="1:8" x14ac:dyDescent="0.25">
      <c r="A21946" s="1"/>
      <c r="B21946" s="1" t="s">
        <v>7328</v>
      </c>
      <c r="C21946" s="1" t="s">
        <v>7329</v>
      </c>
      <c r="D21946" s="22" t="str">
        <f>HYPERLINK("https://rhld.insurance.arkansas.gov/NPILookup?Npi=1124744321","1124744321")</f>
        <v>1124744321</v>
      </c>
      <c r="E21946" s="1" t="s">
        <v>25692</v>
      </c>
      <c r="F21946" s="2"/>
      <c r="G21946" s="2"/>
      <c r="H21946" s="2"/>
    </row>
    <row r="21947" spans="1:8" x14ac:dyDescent="0.25">
      <c r="A21947" s="1"/>
      <c r="B21947" s="1" t="s">
        <v>7328</v>
      </c>
      <c r="C21947" s="1" t="s">
        <v>7329</v>
      </c>
      <c r="D21947" s="22" t="str">
        <f>HYPERLINK("https://rhld.insurance.arkansas.gov/NPILookup?Npi=1124746102","1124746102")</f>
        <v>1124746102</v>
      </c>
      <c r="E21947" s="1" t="s">
        <v>32131</v>
      </c>
      <c r="F21947" s="2"/>
      <c r="G21947" s="2"/>
      <c r="H21947" s="2"/>
    </row>
    <row r="21948" spans="1:8" x14ac:dyDescent="0.25">
      <c r="A21948" s="1"/>
      <c r="B21948" s="1" t="s">
        <v>7328</v>
      </c>
      <c r="C21948" s="1" t="s">
        <v>7329</v>
      </c>
      <c r="D21948" s="22" t="str">
        <f>HYPERLINK("https://rhld.insurance.arkansas.gov/NPILookup?Npi=1124755079","1124755079")</f>
        <v>1124755079</v>
      </c>
      <c r="E21948" s="1" t="s">
        <v>25693</v>
      </c>
      <c r="F21948" s="2"/>
      <c r="G21948" s="2"/>
      <c r="H21948" s="2"/>
    </row>
    <row r="21949" spans="1:8" x14ac:dyDescent="0.25">
      <c r="A21949" s="1"/>
      <c r="B21949" s="1" t="s">
        <v>7328</v>
      </c>
      <c r="C21949" s="1" t="s">
        <v>7329</v>
      </c>
      <c r="D21949" s="22" t="str">
        <f>HYPERLINK("https://rhld.insurance.arkansas.gov/NPILookup?Npi=1124782453","1124782453")</f>
        <v>1124782453</v>
      </c>
      <c r="E21949" s="1" t="s">
        <v>7457</v>
      </c>
      <c r="F21949" s="2"/>
      <c r="G21949" s="2"/>
      <c r="H21949" s="2"/>
    </row>
    <row r="21950" spans="1:8" x14ac:dyDescent="0.25">
      <c r="A21950" s="1"/>
      <c r="B21950" s="1" t="s">
        <v>7328</v>
      </c>
      <c r="C21950" s="1" t="s">
        <v>7329</v>
      </c>
      <c r="D21950" s="22" t="str">
        <f>HYPERLINK("https://rhld.insurance.arkansas.gov/NPILookup?Npi=1124782719","1124782719")</f>
        <v>1124782719</v>
      </c>
      <c r="E21950" s="1" t="s">
        <v>12739</v>
      </c>
      <c r="F21950" s="2"/>
      <c r="G21950" s="2"/>
      <c r="H21950" s="2"/>
    </row>
    <row r="21951" spans="1:8" x14ac:dyDescent="0.25">
      <c r="A21951" s="1"/>
      <c r="B21951" s="1" t="s">
        <v>7328</v>
      </c>
      <c r="C21951" s="1" t="s">
        <v>7329</v>
      </c>
      <c r="D21951" s="22" t="str">
        <f>HYPERLINK("https://rhld.insurance.arkansas.gov/NPILookup?Npi=1124799580","1124799580")</f>
        <v>1124799580</v>
      </c>
      <c r="E21951" s="1" t="s">
        <v>25694</v>
      </c>
      <c r="F21951" s="2"/>
      <c r="G21951" s="2"/>
      <c r="H21951" s="2"/>
    </row>
    <row r="21952" spans="1:8" x14ac:dyDescent="0.25">
      <c r="A21952" s="1"/>
      <c r="B21952" s="1" t="s">
        <v>7328</v>
      </c>
      <c r="C21952" s="1" t="s">
        <v>7329</v>
      </c>
      <c r="D21952" s="22" t="str">
        <f>HYPERLINK("https://rhld.insurance.arkansas.gov/NPILookup?Npi=1124806450","1124806450")</f>
        <v>1124806450</v>
      </c>
      <c r="E21952" s="1" t="s">
        <v>7458</v>
      </c>
      <c r="F21952" s="2"/>
      <c r="G21952" s="2"/>
      <c r="H21952" s="2"/>
    </row>
    <row r="21953" spans="1:8" x14ac:dyDescent="0.25">
      <c r="A21953" s="1"/>
      <c r="B21953" s="1" t="s">
        <v>7328</v>
      </c>
      <c r="C21953" s="1" t="s">
        <v>7329</v>
      </c>
      <c r="D21953" s="22" t="str">
        <f>HYPERLINK("https://rhld.insurance.arkansas.gov/NPILookup?Npi=1124881073","1124881073")</f>
        <v>1124881073</v>
      </c>
      <c r="E21953" s="1" t="s">
        <v>25695</v>
      </c>
      <c r="F21953" s="2"/>
      <c r="G21953" s="2"/>
      <c r="H21953" s="2"/>
    </row>
    <row r="21954" spans="1:8" x14ac:dyDescent="0.25">
      <c r="A21954" s="1"/>
      <c r="B21954" s="1" t="s">
        <v>7328</v>
      </c>
      <c r="C21954" s="1" t="s">
        <v>7329</v>
      </c>
      <c r="D21954" s="22" t="str">
        <f>HYPERLINK("https://rhld.insurance.arkansas.gov/NPILookup?Npi=1124885553","1124885553")</f>
        <v>1124885553</v>
      </c>
      <c r="E21954" s="1" t="s">
        <v>25696</v>
      </c>
      <c r="F21954" s="2"/>
      <c r="G21954" s="2"/>
      <c r="H21954" s="2"/>
    </row>
    <row r="21955" spans="1:8" x14ac:dyDescent="0.25">
      <c r="A21955" s="1"/>
      <c r="B21955" s="1" t="s">
        <v>7328</v>
      </c>
      <c r="C21955" s="1" t="s">
        <v>7329</v>
      </c>
      <c r="D21955" s="22" t="str">
        <f>HYPERLINK("https://rhld.insurance.arkansas.gov/NPILookup?Npi=1124898093","1124898093")</f>
        <v>1124898093</v>
      </c>
      <c r="E21955" s="1" t="s">
        <v>12740</v>
      </c>
      <c r="F21955" s="2"/>
      <c r="G21955" s="2"/>
      <c r="H21955" s="2"/>
    </row>
    <row r="21956" spans="1:8" x14ac:dyDescent="0.25">
      <c r="A21956" s="1"/>
      <c r="B21956" s="1" t="s">
        <v>7328</v>
      </c>
      <c r="C21956" s="1" t="s">
        <v>7329</v>
      </c>
      <c r="D21956" s="22" t="str">
        <f>HYPERLINK("https://rhld.insurance.arkansas.gov/NPILookup?Npi=1134106743","1134106743")</f>
        <v>1134106743</v>
      </c>
      <c r="E21956" s="1" t="s">
        <v>10226</v>
      </c>
      <c r="F21956" s="2"/>
      <c r="G21956" s="2"/>
      <c r="H21956" s="2"/>
    </row>
    <row r="21957" spans="1:8" x14ac:dyDescent="0.25">
      <c r="A21957" s="1"/>
      <c r="B21957" s="1" t="s">
        <v>7328</v>
      </c>
      <c r="C21957" s="1" t="s">
        <v>7329</v>
      </c>
      <c r="D21957" s="22" t="str">
        <f>HYPERLINK("https://rhld.insurance.arkansas.gov/NPILookup?Npi=1134126600","1134126600")</f>
        <v>1134126600</v>
      </c>
      <c r="E21957" s="1" t="s">
        <v>25697</v>
      </c>
      <c r="F21957" s="2"/>
      <c r="G21957" s="2"/>
      <c r="H21957" s="2"/>
    </row>
    <row r="21958" spans="1:8" x14ac:dyDescent="0.25">
      <c r="A21958" s="1"/>
      <c r="B21958" s="1" t="s">
        <v>7328</v>
      </c>
      <c r="C21958" s="1" t="s">
        <v>7329</v>
      </c>
      <c r="D21958" s="22" t="str">
        <f>HYPERLINK("https://rhld.insurance.arkansas.gov/NPILookup?Npi=1134133556","1134133556")</f>
        <v>1134133556</v>
      </c>
      <c r="E21958" s="1" t="s">
        <v>25698</v>
      </c>
      <c r="F21958" s="2"/>
      <c r="G21958" s="2"/>
      <c r="H21958" s="2"/>
    </row>
    <row r="21959" spans="1:8" x14ac:dyDescent="0.25">
      <c r="A21959" s="1"/>
      <c r="B21959" s="1" t="s">
        <v>7328</v>
      </c>
      <c r="C21959" s="1" t="s">
        <v>7329</v>
      </c>
      <c r="D21959" s="22" t="str">
        <f>HYPERLINK("https://rhld.insurance.arkansas.gov/NPILookup?Npi=1134143472","1134143472")</f>
        <v>1134143472</v>
      </c>
      <c r="E21959" s="1" t="s">
        <v>715</v>
      </c>
      <c r="F21959" s="2"/>
      <c r="G21959" s="2"/>
      <c r="H21959" s="2"/>
    </row>
    <row r="21960" spans="1:8" x14ac:dyDescent="0.25">
      <c r="A21960" s="1"/>
      <c r="B21960" s="1" t="s">
        <v>7328</v>
      </c>
      <c r="C21960" s="1" t="s">
        <v>7329</v>
      </c>
      <c r="D21960" s="22" t="str">
        <f>HYPERLINK("https://rhld.insurance.arkansas.gov/NPILookup?Npi=1134163512","1134163512")</f>
        <v>1134163512</v>
      </c>
      <c r="E21960" s="1" t="s">
        <v>12741</v>
      </c>
      <c r="F21960" s="2"/>
      <c r="G21960" s="2"/>
      <c r="H21960" s="2"/>
    </row>
    <row r="21961" spans="1:8" x14ac:dyDescent="0.25">
      <c r="A21961" s="1"/>
      <c r="B21961" s="1" t="s">
        <v>7328</v>
      </c>
      <c r="C21961" s="1" t="s">
        <v>7329</v>
      </c>
      <c r="D21961" s="22" t="str">
        <f>HYPERLINK("https://rhld.insurance.arkansas.gov/NPILookup?Npi=1134164098","1134164098")</f>
        <v>1134164098</v>
      </c>
      <c r="E21961" s="1" t="s">
        <v>7459</v>
      </c>
      <c r="F21961" s="2"/>
      <c r="G21961" s="2"/>
      <c r="H21961" s="2"/>
    </row>
    <row r="21962" spans="1:8" x14ac:dyDescent="0.25">
      <c r="A21962" s="1"/>
      <c r="B21962" s="1" t="s">
        <v>7328</v>
      </c>
      <c r="C21962" s="1" t="s">
        <v>7329</v>
      </c>
      <c r="D21962" s="22" t="str">
        <f>HYPERLINK("https://rhld.insurance.arkansas.gov/NPILookup?Npi=1134167877","1134167877")</f>
        <v>1134167877</v>
      </c>
      <c r="E21962" s="1" t="s">
        <v>25699</v>
      </c>
      <c r="F21962" s="2"/>
      <c r="G21962" s="2"/>
      <c r="H21962" s="2"/>
    </row>
    <row r="21963" spans="1:8" x14ac:dyDescent="0.25">
      <c r="A21963" s="1"/>
      <c r="B21963" s="1" t="s">
        <v>7328</v>
      </c>
      <c r="C21963" s="1" t="s">
        <v>7329</v>
      </c>
      <c r="D21963" s="22" t="str">
        <f>HYPERLINK("https://rhld.insurance.arkansas.gov/NPILookup?Npi=1134178841","1134178841")</f>
        <v>1134178841</v>
      </c>
      <c r="E21963" s="1" t="s">
        <v>25700</v>
      </c>
      <c r="F21963" s="2"/>
      <c r="G21963" s="2"/>
      <c r="H21963" s="2"/>
    </row>
    <row r="21964" spans="1:8" x14ac:dyDescent="0.25">
      <c r="A21964" s="1"/>
      <c r="B21964" s="1" t="s">
        <v>7328</v>
      </c>
      <c r="C21964" s="1" t="s">
        <v>7329</v>
      </c>
      <c r="D21964" s="22" t="str">
        <f>HYPERLINK("https://rhld.insurance.arkansas.gov/NPILookup?Npi=1134182751","1134182751")</f>
        <v>1134182751</v>
      </c>
      <c r="E21964" s="1" t="s">
        <v>12742</v>
      </c>
      <c r="F21964" s="2"/>
      <c r="G21964" s="2"/>
      <c r="H21964" s="2"/>
    </row>
    <row r="21965" spans="1:8" x14ac:dyDescent="0.25">
      <c r="A21965" s="1"/>
      <c r="B21965" s="1" t="s">
        <v>7328</v>
      </c>
      <c r="C21965" s="1" t="s">
        <v>7329</v>
      </c>
      <c r="D21965" s="22" t="str">
        <f>HYPERLINK("https://rhld.insurance.arkansas.gov/NPILookup?Npi=1134184484","1134184484")</f>
        <v>1134184484</v>
      </c>
      <c r="E21965" s="1" t="s">
        <v>25701</v>
      </c>
      <c r="F21965" s="2"/>
      <c r="G21965" s="2"/>
      <c r="H21965" s="2"/>
    </row>
    <row r="21966" spans="1:8" x14ac:dyDescent="0.25">
      <c r="A21966" s="1"/>
      <c r="B21966" s="1" t="s">
        <v>7328</v>
      </c>
      <c r="C21966" s="1" t="s">
        <v>7329</v>
      </c>
      <c r="D21966" s="22" t="str">
        <f>HYPERLINK("https://rhld.insurance.arkansas.gov/NPILookup?Npi=1134186133","1134186133")</f>
        <v>1134186133</v>
      </c>
      <c r="E21966" s="1" t="s">
        <v>25702</v>
      </c>
      <c r="F21966" s="2"/>
      <c r="G21966" s="2"/>
      <c r="H21966" s="2"/>
    </row>
    <row r="21967" spans="1:8" x14ac:dyDescent="0.25">
      <c r="A21967" s="1"/>
      <c r="B21967" s="1" t="s">
        <v>7328</v>
      </c>
      <c r="C21967" s="1" t="s">
        <v>7329</v>
      </c>
      <c r="D21967" s="22" t="str">
        <f>HYPERLINK("https://rhld.insurance.arkansas.gov/NPILookup?Npi=1134187925","1134187925")</f>
        <v>1134187925</v>
      </c>
      <c r="E21967" s="1" t="s">
        <v>25703</v>
      </c>
      <c r="F21967" s="2"/>
      <c r="G21967" s="2"/>
      <c r="H21967" s="2"/>
    </row>
    <row r="21968" spans="1:8" x14ac:dyDescent="0.25">
      <c r="A21968" s="1"/>
      <c r="B21968" s="1" t="s">
        <v>7328</v>
      </c>
      <c r="C21968" s="1" t="s">
        <v>7329</v>
      </c>
      <c r="D21968" s="22" t="str">
        <f>HYPERLINK("https://rhld.insurance.arkansas.gov/NPILookup?Npi=1134188063","1134188063")</f>
        <v>1134188063</v>
      </c>
      <c r="E21968" s="1" t="s">
        <v>1016</v>
      </c>
      <c r="F21968" s="2"/>
      <c r="G21968" s="2"/>
      <c r="H21968" s="2"/>
    </row>
    <row r="21969" spans="1:8" x14ac:dyDescent="0.25">
      <c r="A21969" s="1"/>
      <c r="B21969" s="1" t="s">
        <v>7328</v>
      </c>
      <c r="C21969" s="1" t="s">
        <v>7329</v>
      </c>
      <c r="D21969" s="22" t="str">
        <f>HYPERLINK("https://rhld.insurance.arkansas.gov/NPILookup?Npi=1134189020","1134189020")</f>
        <v>1134189020</v>
      </c>
      <c r="E21969" s="1" t="s">
        <v>25704</v>
      </c>
      <c r="F21969" s="2"/>
      <c r="G21969" s="2"/>
      <c r="H21969" s="2"/>
    </row>
    <row r="21970" spans="1:8" x14ac:dyDescent="0.25">
      <c r="A21970" s="1"/>
      <c r="B21970" s="1" t="s">
        <v>7328</v>
      </c>
      <c r="C21970" s="1" t="s">
        <v>7329</v>
      </c>
      <c r="D21970" s="22" t="str">
        <f>HYPERLINK("https://rhld.insurance.arkansas.gov/NPILookup?Npi=1134189137","1134189137")</f>
        <v>1134189137</v>
      </c>
      <c r="E21970" s="1" t="s">
        <v>1017</v>
      </c>
      <c r="F21970" s="2"/>
      <c r="G21970" s="2"/>
      <c r="H21970" s="2"/>
    </row>
    <row r="21971" spans="1:8" x14ac:dyDescent="0.25">
      <c r="A21971" s="1"/>
      <c r="B21971" s="1" t="s">
        <v>7328</v>
      </c>
      <c r="C21971" s="1" t="s">
        <v>7329</v>
      </c>
      <c r="D21971" s="22" t="str">
        <f>HYPERLINK("https://rhld.insurance.arkansas.gov/NPILookup?Npi=1134215288","1134215288")</f>
        <v>1134215288</v>
      </c>
      <c r="E21971" s="1" t="s">
        <v>25705</v>
      </c>
      <c r="F21971" s="2"/>
      <c r="G21971" s="2"/>
      <c r="H21971" s="2"/>
    </row>
    <row r="21972" spans="1:8" x14ac:dyDescent="0.25">
      <c r="A21972" s="1"/>
      <c r="B21972" s="1" t="s">
        <v>7328</v>
      </c>
      <c r="C21972" s="1" t="s">
        <v>7329</v>
      </c>
      <c r="D21972" s="22" t="str">
        <f>HYPERLINK("https://rhld.insurance.arkansas.gov/NPILookup?Npi=1134218605","1134218605")</f>
        <v>1134218605</v>
      </c>
      <c r="E21972" s="1" t="s">
        <v>25706</v>
      </c>
      <c r="F21972" s="2"/>
      <c r="G21972" s="2"/>
      <c r="H21972" s="2"/>
    </row>
    <row r="21973" spans="1:8" x14ac:dyDescent="0.25">
      <c r="A21973" s="1"/>
      <c r="B21973" s="1" t="s">
        <v>7328</v>
      </c>
      <c r="C21973" s="1" t="s">
        <v>7329</v>
      </c>
      <c r="D21973" s="22" t="str">
        <f>HYPERLINK("https://rhld.insurance.arkansas.gov/NPILookup?Npi=1134219603","1134219603")</f>
        <v>1134219603</v>
      </c>
      <c r="E21973" s="1" t="s">
        <v>25707</v>
      </c>
      <c r="F21973" s="2"/>
      <c r="G21973" s="2"/>
      <c r="H21973" s="2"/>
    </row>
    <row r="21974" spans="1:8" x14ac:dyDescent="0.25">
      <c r="A21974" s="1"/>
      <c r="B21974" s="1" t="s">
        <v>7328</v>
      </c>
      <c r="C21974" s="1" t="s">
        <v>7329</v>
      </c>
      <c r="D21974" s="22" t="str">
        <f>HYPERLINK("https://rhld.insurance.arkansas.gov/NPILookup?Npi=1134231756","1134231756")</f>
        <v>1134231756</v>
      </c>
      <c r="E21974" s="1" t="s">
        <v>12743</v>
      </c>
      <c r="F21974" s="2"/>
      <c r="G21974" s="2"/>
      <c r="H21974" s="2"/>
    </row>
    <row r="21975" spans="1:8" x14ac:dyDescent="0.25">
      <c r="A21975" s="1"/>
      <c r="B21975" s="1" t="s">
        <v>7328</v>
      </c>
      <c r="C21975" s="1" t="s">
        <v>7329</v>
      </c>
      <c r="D21975" s="22" t="str">
        <f>HYPERLINK("https://rhld.insurance.arkansas.gov/NPILookup?Npi=1134241037","1134241037")</f>
        <v>1134241037</v>
      </c>
      <c r="E21975" s="1" t="s">
        <v>12744</v>
      </c>
      <c r="F21975" s="2"/>
      <c r="G21975" s="2"/>
      <c r="H21975" s="2"/>
    </row>
    <row r="21976" spans="1:8" x14ac:dyDescent="0.25">
      <c r="A21976" s="1"/>
      <c r="B21976" s="1" t="s">
        <v>7328</v>
      </c>
      <c r="C21976" s="1" t="s">
        <v>7329</v>
      </c>
      <c r="D21976" s="22" t="str">
        <f>HYPERLINK("https://rhld.insurance.arkansas.gov/NPILookup?Npi=1134257967","1134257967")</f>
        <v>1134257967</v>
      </c>
      <c r="E21976" s="1" t="s">
        <v>12745</v>
      </c>
      <c r="F21976" s="2"/>
      <c r="G21976" s="2"/>
      <c r="H21976" s="2"/>
    </row>
    <row r="21977" spans="1:8" x14ac:dyDescent="0.25">
      <c r="A21977" s="1"/>
      <c r="B21977" s="1" t="s">
        <v>7328</v>
      </c>
      <c r="C21977" s="1" t="s">
        <v>7329</v>
      </c>
      <c r="D21977" s="22" t="str">
        <f>HYPERLINK("https://rhld.insurance.arkansas.gov/NPILookup?Npi=1134282999","1134282999")</f>
        <v>1134282999</v>
      </c>
      <c r="E21977" s="1" t="s">
        <v>25708</v>
      </c>
      <c r="F21977" s="2"/>
      <c r="G21977" s="2"/>
      <c r="H21977" s="2"/>
    </row>
    <row r="21978" spans="1:8" x14ac:dyDescent="0.25">
      <c r="A21978" s="1"/>
      <c r="B21978" s="1" t="s">
        <v>7328</v>
      </c>
      <c r="C21978" s="1" t="s">
        <v>7329</v>
      </c>
      <c r="D21978" s="22" t="str">
        <f>HYPERLINK("https://rhld.insurance.arkansas.gov/NPILookup?Npi=1134316250","1134316250")</f>
        <v>1134316250</v>
      </c>
      <c r="E21978" s="1" t="s">
        <v>25709</v>
      </c>
      <c r="F21978" s="2"/>
      <c r="G21978" s="2"/>
      <c r="H21978" s="2"/>
    </row>
    <row r="21979" spans="1:8" x14ac:dyDescent="0.25">
      <c r="A21979" s="1"/>
      <c r="B21979" s="1" t="s">
        <v>7328</v>
      </c>
      <c r="C21979" s="1" t="s">
        <v>7329</v>
      </c>
      <c r="D21979" s="22" t="str">
        <f>HYPERLINK("https://rhld.insurance.arkansas.gov/NPILookup?Npi=1134340276","1134340276")</f>
        <v>1134340276</v>
      </c>
      <c r="E21979" s="1" t="s">
        <v>12746</v>
      </c>
      <c r="F21979" s="2"/>
      <c r="G21979" s="2"/>
      <c r="H21979" s="2"/>
    </row>
    <row r="21980" spans="1:8" x14ac:dyDescent="0.25">
      <c r="A21980" s="1"/>
      <c r="B21980" s="1" t="s">
        <v>7328</v>
      </c>
      <c r="C21980" s="1" t="s">
        <v>7329</v>
      </c>
      <c r="D21980" s="22" t="str">
        <f>HYPERLINK("https://rhld.insurance.arkansas.gov/NPILookup?Npi=1134351299","1134351299")</f>
        <v>1134351299</v>
      </c>
      <c r="E21980" s="1" t="s">
        <v>12747</v>
      </c>
      <c r="F21980" s="2"/>
      <c r="G21980" s="2"/>
      <c r="H21980" s="2"/>
    </row>
    <row r="21981" spans="1:8" x14ac:dyDescent="0.25">
      <c r="A21981" s="1"/>
      <c r="B21981" s="1" t="s">
        <v>7328</v>
      </c>
      <c r="C21981" s="1" t="s">
        <v>7329</v>
      </c>
      <c r="D21981" s="22" t="str">
        <f>HYPERLINK("https://rhld.insurance.arkansas.gov/NPILookup?Npi=1134354293","1134354293")</f>
        <v>1134354293</v>
      </c>
      <c r="E21981" s="1" t="s">
        <v>724</v>
      </c>
      <c r="F21981" s="2"/>
      <c r="G21981" s="2"/>
      <c r="H21981" s="2"/>
    </row>
    <row r="21982" spans="1:8" x14ac:dyDescent="0.25">
      <c r="A21982" s="1"/>
      <c r="B21982" s="1" t="s">
        <v>7328</v>
      </c>
      <c r="C21982" s="1" t="s">
        <v>7329</v>
      </c>
      <c r="D21982" s="22" t="str">
        <f>HYPERLINK("https://rhld.insurance.arkansas.gov/NPILookup?Npi=1134355217","1134355217")</f>
        <v>1134355217</v>
      </c>
      <c r="E21982" s="1" t="s">
        <v>1969</v>
      </c>
      <c r="F21982" s="2"/>
      <c r="G21982" s="2"/>
      <c r="H21982" s="2"/>
    </row>
    <row r="21983" spans="1:8" x14ac:dyDescent="0.25">
      <c r="A21983" s="1"/>
      <c r="B21983" s="1" t="s">
        <v>7328</v>
      </c>
      <c r="C21983" s="1" t="s">
        <v>7329</v>
      </c>
      <c r="D21983" s="22" t="str">
        <f>HYPERLINK("https://rhld.insurance.arkansas.gov/NPILookup?Npi=1134356942","1134356942")</f>
        <v>1134356942</v>
      </c>
      <c r="E21983" s="1" t="s">
        <v>25710</v>
      </c>
      <c r="F21983" s="2"/>
      <c r="G21983" s="2"/>
      <c r="H21983" s="2"/>
    </row>
    <row r="21984" spans="1:8" x14ac:dyDescent="0.25">
      <c r="A21984" s="1"/>
      <c r="B21984" s="1" t="s">
        <v>7328</v>
      </c>
      <c r="C21984" s="1" t="s">
        <v>7329</v>
      </c>
      <c r="D21984" s="22" t="str">
        <f>HYPERLINK("https://rhld.insurance.arkansas.gov/NPILookup?Npi=1134368848","1134368848")</f>
        <v>1134368848</v>
      </c>
      <c r="E21984" s="1" t="s">
        <v>12748</v>
      </c>
      <c r="F21984" s="2"/>
      <c r="G21984" s="2"/>
      <c r="H21984" s="2"/>
    </row>
    <row r="21985" spans="1:8" x14ac:dyDescent="0.25">
      <c r="A21985" s="1"/>
      <c r="B21985" s="1" t="s">
        <v>7328</v>
      </c>
      <c r="C21985" s="1" t="s">
        <v>7329</v>
      </c>
      <c r="D21985" s="22" t="str">
        <f>HYPERLINK("https://rhld.insurance.arkansas.gov/NPILookup?Npi=1134383276","1134383276")</f>
        <v>1134383276</v>
      </c>
      <c r="E21985" s="1" t="s">
        <v>25711</v>
      </c>
      <c r="F21985" s="2"/>
      <c r="G21985" s="2"/>
      <c r="H21985" s="2"/>
    </row>
    <row r="21986" spans="1:8" x14ac:dyDescent="0.25">
      <c r="A21986" s="1"/>
      <c r="B21986" s="1" t="s">
        <v>7328</v>
      </c>
      <c r="C21986" s="1" t="s">
        <v>7329</v>
      </c>
      <c r="D21986" s="22" t="str">
        <f>HYPERLINK("https://rhld.insurance.arkansas.gov/NPILookup?Npi=1134389497","1134389497")</f>
        <v>1134389497</v>
      </c>
      <c r="E21986" s="1" t="s">
        <v>25712</v>
      </c>
      <c r="F21986" s="2"/>
      <c r="G21986" s="2"/>
      <c r="H21986" s="2"/>
    </row>
    <row r="21987" spans="1:8" x14ac:dyDescent="0.25">
      <c r="A21987" s="1"/>
      <c r="B21987" s="1" t="s">
        <v>7328</v>
      </c>
      <c r="C21987" s="1" t="s">
        <v>7329</v>
      </c>
      <c r="D21987" s="22" t="str">
        <f>HYPERLINK("https://rhld.insurance.arkansas.gov/NPILookup?Npi=1134403884","1134403884")</f>
        <v>1134403884</v>
      </c>
      <c r="E21987" s="1" t="s">
        <v>25713</v>
      </c>
      <c r="F21987" s="2"/>
      <c r="G21987" s="2"/>
      <c r="H21987" s="2"/>
    </row>
    <row r="21988" spans="1:8" x14ac:dyDescent="0.25">
      <c r="A21988" s="1"/>
      <c r="B21988" s="1" t="s">
        <v>7328</v>
      </c>
      <c r="C21988" s="1" t="s">
        <v>7329</v>
      </c>
      <c r="D21988" s="22" t="str">
        <f>HYPERLINK("https://rhld.insurance.arkansas.gov/NPILookup?Npi=1134408461","1134408461")</f>
        <v>1134408461</v>
      </c>
      <c r="E21988" s="1" t="s">
        <v>12749</v>
      </c>
      <c r="F21988" s="2"/>
      <c r="G21988" s="2"/>
      <c r="H21988" s="2"/>
    </row>
    <row r="21989" spans="1:8" x14ac:dyDescent="0.25">
      <c r="A21989" s="1"/>
      <c r="B21989" s="1" t="s">
        <v>7328</v>
      </c>
      <c r="C21989" s="1" t="s">
        <v>7329</v>
      </c>
      <c r="D21989" s="22" t="str">
        <f>HYPERLINK("https://rhld.insurance.arkansas.gov/NPILookup?Npi=1134415417","1134415417")</f>
        <v>1134415417</v>
      </c>
      <c r="E21989" s="1" t="s">
        <v>25714</v>
      </c>
      <c r="F21989" s="2"/>
      <c r="G21989" s="2"/>
      <c r="H21989" s="2"/>
    </row>
    <row r="21990" spans="1:8" x14ac:dyDescent="0.25">
      <c r="A21990" s="1"/>
      <c r="B21990" s="1" t="s">
        <v>7328</v>
      </c>
      <c r="C21990" s="1" t="s">
        <v>7329</v>
      </c>
      <c r="D21990" s="22" t="str">
        <f>HYPERLINK("https://rhld.insurance.arkansas.gov/NPILookup?Npi=1134425705","1134425705")</f>
        <v>1134425705</v>
      </c>
      <c r="E21990" s="1" t="s">
        <v>25715</v>
      </c>
      <c r="F21990" s="2"/>
      <c r="G21990" s="2"/>
      <c r="H21990" s="2"/>
    </row>
    <row r="21991" spans="1:8" x14ac:dyDescent="0.25">
      <c r="A21991" s="1"/>
      <c r="B21991" s="1" t="s">
        <v>7328</v>
      </c>
      <c r="C21991" s="1" t="s">
        <v>7329</v>
      </c>
      <c r="D21991" s="22" t="str">
        <f>HYPERLINK("https://rhld.insurance.arkansas.gov/NPILookup?Npi=1134458243","1134458243")</f>
        <v>1134458243</v>
      </c>
      <c r="E21991" s="1" t="s">
        <v>25716</v>
      </c>
      <c r="F21991" s="2"/>
      <c r="G21991" s="2"/>
      <c r="H21991" s="2"/>
    </row>
    <row r="21992" spans="1:8" x14ac:dyDescent="0.25">
      <c r="A21992" s="1"/>
      <c r="B21992" s="1" t="s">
        <v>7328</v>
      </c>
      <c r="C21992" s="1" t="s">
        <v>7329</v>
      </c>
      <c r="D21992" s="22" t="str">
        <f>HYPERLINK("https://rhld.insurance.arkansas.gov/NPILookup?Npi=1134459233","1134459233")</f>
        <v>1134459233</v>
      </c>
      <c r="E21992" s="1" t="s">
        <v>25717</v>
      </c>
      <c r="F21992" s="2"/>
      <c r="G21992" s="2"/>
      <c r="H21992" s="2"/>
    </row>
    <row r="21993" spans="1:8" x14ac:dyDescent="0.25">
      <c r="A21993" s="1"/>
      <c r="B21993" s="1" t="s">
        <v>7328</v>
      </c>
      <c r="C21993" s="1" t="s">
        <v>7329</v>
      </c>
      <c r="D21993" s="22" t="str">
        <f>HYPERLINK("https://rhld.insurance.arkansas.gov/NPILookup?Npi=1134474661","1134474661")</f>
        <v>1134474661</v>
      </c>
      <c r="E21993" s="1" t="s">
        <v>2649</v>
      </c>
      <c r="F21993" s="2"/>
      <c r="G21993" s="2"/>
      <c r="H21993" s="2"/>
    </row>
    <row r="21994" spans="1:8" x14ac:dyDescent="0.25">
      <c r="A21994" s="1"/>
      <c r="B21994" s="1" t="s">
        <v>7328</v>
      </c>
      <c r="C21994" s="1" t="s">
        <v>7329</v>
      </c>
      <c r="D21994" s="22" t="str">
        <f>HYPERLINK("https://rhld.insurance.arkansas.gov/NPILookup?Npi=1134479272","1134479272")</f>
        <v>1134479272</v>
      </c>
      <c r="E21994" s="1" t="s">
        <v>1970</v>
      </c>
      <c r="F21994" s="2"/>
      <c r="G21994" s="2"/>
      <c r="H21994" s="2"/>
    </row>
    <row r="21995" spans="1:8" x14ac:dyDescent="0.25">
      <c r="A21995" s="1"/>
      <c r="B21995" s="1" t="s">
        <v>7328</v>
      </c>
      <c r="C21995" s="1" t="s">
        <v>7329</v>
      </c>
      <c r="D21995" s="22" t="str">
        <f>HYPERLINK("https://rhld.insurance.arkansas.gov/NPILookup?Npi=1134495088","1134495088")</f>
        <v>1134495088</v>
      </c>
      <c r="E21995" s="1" t="s">
        <v>25718</v>
      </c>
      <c r="F21995" s="2"/>
      <c r="G21995" s="2"/>
      <c r="H21995" s="2"/>
    </row>
    <row r="21996" spans="1:8" x14ac:dyDescent="0.25">
      <c r="A21996" s="1"/>
      <c r="B21996" s="1" t="s">
        <v>7328</v>
      </c>
      <c r="C21996" s="1" t="s">
        <v>7329</v>
      </c>
      <c r="D21996" s="22" t="str">
        <f>HYPERLINK("https://rhld.insurance.arkansas.gov/NPILookup?Npi=1134516578","1134516578")</f>
        <v>1134516578</v>
      </c>
      <c r="E21996" s="1" t="s">
        <v>7461</v>
      </c>
      <c r="F21996" s="2"/>
      <c r="G21996" s="2"/>
      <c r="H21996" s="2"/>
    </row>
    <row r="21997" spans="1:8" x14ac:dyDescent="0.25">
      <c r="A21997" s="1"/>
      <c r="B21997" s="1" t="s">
        <v>7328</v>
      </c>
      <c r="C21997" s="1" t="s">
        <v>7329</v>
      </c>
      <c r="D21997" s="22" t="str">
        <f>HYPERLINK("https://rhld.insurance.arkansas.gov/NPILookup?Npi=1134517014","1134517014")</f>
        <v>1134517014</v>
      </c>
      <c r="E21997" s="1" t="s">
        <v>175</v>
      </c>
      <c r="F21997" s="2"/>
      <c r="G21997" s="2"/>
      <c r="H21997" s="2"/>
    </row>
    <row r="21998" spans="1:8" x14ac:dyDescent="0.25">
      <c r="A21998" s="1"/>
      <c r="B21998" s="1" t="s">
        <v>7328</v>
      </c>
      <c r="C21998" s="1" t="s">
        <v>7329</v>
      </c>
      <c r="D21998" s="22" t="str">
        <f>HYPERLINK("https://rhld.insurance.arkansas.gov/NPILookup?Npi=1134534282","1134534282")</f>
        <v>1134534282</v>
      </c>
      <c r="E21998" s="1" t="s">
        <v>12750</v>
      </c>
      <c r="F21998" s="2"/>
      <c r="G21998" s="2"/>
      <c r="H21998" s="2"/>
    </row>
    <row r="21999" spans="1:8" x14ac:dyDescent="0.25">
      <c r="A21999" s="1"/>
      <c r="B21999" s="1" t="s">
        <v>7328</v>
      </c>
      <c r="C21999" s="1" t="s">
        <v>7329</v>
      </c>
      <c r="D21999" s="22" t="str">
        <f>HYPERLINK("https://rhld.insurance.arkansas.gov/NPILookup?Npi=1134537020","1134537020")</f>
        <v>1134537020</v>
      </c>
      <c r="E21999" s="1" t="s">
        <v>25719</v>
      </c>
      <c r="F21999" s="2"/>
      <c r="G21999" s="2"/>
      <c r="H21999" s="2"/>
    </row>
    <row r="22000" spans="1:8" x14ac:dyDescent="0.25">
      <c r="A22000" s="1"/>
      <c r="B22000" s="1" t="s">
        <v>7328</v>
      </c>
      <c r="C22000" s="1" t="s">
        <v>7329</v>
      </c>
      <c r="D22000" s="22" t="str">
        <f>HYPERLINK("https://rhld.insurance.arkansas.gov/NPILookup?Npi=1134549447","1134549447")</f>
        <v>1134549447</v>
      </c>
      <c r="E22000" s="1" t="s">
        <v>25720</v>
      </c>
      <c r="F22000" s="2"/>
      <c r="G22000" s="2"/>
      <c r="H22000" s="2"/>
    </row>
    <row r="22001" spans="1:8" x14ac:dyDescent="0.25">
      <c r="A22001" s="1"/>
      <c r="B22001" s="1" t="s">
        <v>7328</v>
      </c>
      <c r="C22001" s="1" t="s">
        <v>7329</v>
      </c>
      <c r="D22001" s="22" t="str">
        <f>HYPERLINK("https://rhld.insurance.arkansas.gov/NPILookup?Npi=1134550767","1134550767")</f>
        <v>1134550767</v>
      </c>
      <c r="E22001" s="1" t="s">
        <v>12751</v>
      </c>
      <c r="F22001" s="2"/>
      <c r="G22001" s="2"/>
      <c r="H22001" s="2"/>
    </row>
    <row r="22002" spans="1:8" x14ac:dyDescent="0.25">
      <c r="A22002" s="1"/>
      <c r="B22002" s="1" t="s">
        <v>7328</v>
      </c>
      <c r="C22002" s="1" t="s">
        <v>7329</v>
      </c>
      <c r="D22002" s="22" t="str">
        <f>HYPERLINK("https://rhld.insurance.arkansas.gov/NPILookup?Npi=1134577208","1134577208")</f>
        <v>1134577208</v>
      </c>
      <c r="E22002" s="1" t="s">
        <v>25721</v>
      </c>
      <c r="F22002" s="2"/>
      <c r="G22002" s="2"/>
      <c r="H22002" s="2"/>
    </row>
    <row r="22003" spans="1:8" x14ac:dyDescent="0.25">
      <c r="A22003" s="1"/>
      <c r="B22003" s="1" t="s">
        <v>7328</v>
      </c>
      <c r="C22003" s="1" t="s">
        <v>7329</v>
      </c>
      <c r="D22003" s="22" t="str">
        <f>HYPERLINK("https://rhld.insurance.arkansas.gov/NPILookup?Npi=1134579758","1134579758")</f>
        <v>1134579758</v>
      </c>
      <c r="E22003" s="1" t="s">
        <v>12752</v>
      </c>
      <c r="F22003" s="2"/>
      <c r="G22003" s="2"/>
      <c r="H22003" s="2"/>
    </row>
    <row r="22004" spans="1:8" x14ac:dyDescent="0.25">
      <c r="A22004" s="1"/>
      <c r="B22004" s="1" t="s">
        <v>7328</v>
      </c>
      <c r="C22004" s="1" t="s">
        <v>7329</v>
      </c>
      <c r="D22004" s="22" t="str">
        <f>HYPERLINK("https://rhld.insurance.arkansas.gov/NPILookup?Npi=1134581861","1134581861")</f>
        <v>1134581861</v>
      </c>
      <c r="E22004" s="1" t="s">
        <v>12753</v>
      </c>
      <c r="F22004" s="2"/>
      <c r="G22004" s="2"/>
      <c r="H22004" s="2"/>
    </row>
    <row r="22005" spans="1:8" x14ac:dyDescent="0.25">
      <c r="A22005" s="1"/>
      <c r="B22005" s="1" t="s">
        <v>7328</v>
      </c>
      <c r="C22005" s="1" t="s">
        <v>7329</v>
      </c>
      <c r="D22005" s="22" t="str">
        <f>HYPERLINK("https://rhld.insurance.arkansas.gov/NPILookup?Npi=1134588015","1134588015")</f>
        <v>1134588015</v>
      </c>
      <c r="E22005" s="1" t="s">
        <v>25722</v>
      </c>
      <c r="F22005" s="2"/>
      <c r="G22005" s="2"/>
      <c r="H22005" s="2"/>
    </row>
    <row r="22006" spans="1:8" x14ac:dyDescent="0.25">
      <c r="A22006" s="1"/>
      <c r="B22006" s="1" t="s">
        <v>7328</v>
      </c>
      <c r="C22006" s="1" t="s">
        <v>7329</v>
      </c>
      <c r="D22006" s="22" t="str">
        <f>HYPERLINK("https://rhld.insurance.arkansas.gov/NPILookup?Npi=1134591290","1134591290")</f>
        <v>1134591290</v>
      </c>
      <c r="E22006" s="1" t="s">
        <v>25723</v>
      </c>
      <c r="F22006" s="2"/>
      <c r="G22006" s="2"/>
      <c r="H22006" s="2"/>
    </row>
    <row r="22007" spans="1:8" x14ac:dyDescent="0.25">
      <c r="A22007" s="1"/>
      <c r="B22007" s="1" t="s">
        <v>7328</v>
      </c>
      <c r="C22007" s="1" t="s">
        <v>7329</v>
      </c>
      <c r="D22007" s="22" t="str">
        <f>HYPERLINK("https://rhld.insurance.arkansas.gov/NPILookup?Npi=1134594294","1134594294")</f>
        <v>1134594294</v>
      </c>
      <c r="E22007" s="1" t="s">
        <v>815</v>
      </c>
      <c r="F22007" s="2"/>
      <c r="G22007" s="2"/>
      <c r="H22007" s="2"/>
    </row>
    <row r="22008" spans="1:8" x14ac:dyDescent="0.25">
      <c r="A22008" s="1"/>
      <c r="B22008" s="1" t="s">
        <v>7328</v>
      </c>
      <c r="C22008" s="1" t="s">
        <v>7329</v>
      </c>
      <c r="D22008" s="22" t="str">
        <f>HYPERLINK("https://rhld.insurance.arkansas.gov/NPILookup?Npi=1134596125","1134596125")</f>
        <v>1134596125</v>
      </c>
      <c r="E22008" s="1" t="s">
        <v>2175</v>
      </c>
      <c r="F22008" s="2"/>
      <c r="G22008" s="2"/>
      <c r="H22008" s="2"/>
    </row>
    <row r="22009" spans="1:8" x14ac:dyDescent="0.25">
      <c r="A22009" s="1"/>
      <c r="B22009" s="1" t="s">
        <v>7328</v>
      </c>
      <c r="C22009" s="1" t="s">
        <v>7329</v>
      </c>
      <c r="D22009" s="22" t="str">
        <f>HYPERLINK("https://rhld.insurance.arkansas.gov/NPILookup?Npi=1134605108","1134605108")</f>
        <v>1134605108</v>
      </c>
      <c r="E22009" s="1" t="s">
        <v>25724</v>
      </c>
      <c r="F22009" s="2"/>
      <c r="G22009" s="2"/>
      <c r="H22009" s="2"/>
    </row>
    <row r="22010" spans="1:8" x14ac:dyDescent="0.25">
      <c r="A22010" s="1"/>
      <c r="B22010" s="1" t="s">
        <v>7328</v>
      </c>
      <c r="C22010" s="1" t="s">
        <v>7329</v>
      </c>
      <c r="D22010" s="22" t="str">
        <f>HYPERLINK("https://rhld.insurance.arkansas.gov/NPILookup?Npi=1134609696","1134609696")</f>
        <v>1134609696</v>
      </c>
      <c r="E22010" s="1" t="s">
        <v>25725</v>
      </c>
      <c r="F22010" s="2"/>
      <c r="G22010" s="2"/>
      <c r="H22010" s="2"/>
    </row>
    <row r="22011" spans="1:8" x14ac:dyDescent="0.25">
      <c r="A22011" s="1"/>
      <c r="B22011" s="1" t="s">
        <v>7328</v>
      </c>
      <c r="C22011" s="1" t="s">
        <v>7329</v>
      </c>
      <c r="D22011" s="22" t="str">
        <f>HYPERLINK("https://rhld.insurance.arkansas.gov/NPILookup?Npi=1134613326","1134613326")</f>
        <v>1134613326</v>
      </c>
      <c r="E22011" s="1" t="s">
        <v>25726</v>
      </c>
      <c r="F22011" s="2"/>
      <c r="G22011" s="2"/>
      <c r="H22011" s="2"/>
    </row>
    <row r="22012" spans="1:8" x14ac:dyDescent="0.25">
      <c r="A22012" s="1"/>
      <c r="B22012" s="1" t="s">
        <v>7328</v>
      </c>
      <c r="C22012" s="1" t="s">
        <v>7329</v>
      </c>
      <c r="D22012" s="22" t="str">
        <f>HYPERLINK("https://rhld.insurance.arkansas.gov/NPILookup?Npi=1134614928","1134614928")</f>
        <v>1134614928</v>
      </c>
      <c r="E22012" s="1" t="s">
        <v>25727</v>
      </c>
      <c r="F22012" s="2"/>
      <c r="G22012" s="2"/>
      <c r="H22012" s="2"/>
    </row>
    <row r="22013" spans="1:8" x14ac:dyDescent="0.25">
      <c r="A22013" s="1"/>
      <c r="B22013" s="1" t="s">
        <v>7328</v>
      </c>
      <c r="C22013" s="1" t="s">
        <v>7329</v>
      </c>
      <c r="D22013" s="22" t="str">
        <f>HYPERLINK("https://rhld.insurance.arkansas.gov/NPILookup?Npi=1134616436","1134616436")</f>
        <v>1134616436</v>
      </c>
      <c r="E22013" s="1" t="s">
        <v>2364</v>
      </c>
      <c r="F22013" s="2"/>
      <c r="G22013" s="2"/>
      <c r="H22013" s="2"/>
    </row>
    <row r="22014" spans="1:8" x14ac:dyDescent="0.25">
      <c r="A22014" s="1"/>
      <c r="B22014" s="1" t="s">
        <v>7328</v>
      </c>
      <c r="C22014" s="1" t="s">
        <v>7329</v>
      </c>
      <c r="D22014" s="22" t="str">
        <f>HYPERLINK("https://rhld.insurance.arkansas.gov/NPILookup?Npi=1134622806","1134622806")</f>
        <v>1134622806</v>
      </c>
      <c r="E22014" s="1" t="s">
        <v>12754</v>
      </c>
      <c r="F22014" s="2"/>
      <c r="G22014" s="2"/>
      <c r="H22014" s="2"/>
    </row>
    <row r="22015" spans="1:8" x14ac:dyDescent="0.25">
      <c r="A22015" s="1"/>
      <c r="B22015" s="1" t="s">
        <v>7328</v>
      </c>
      <c r="C22015" s="1" t="s">
        <v>7329</v>
      </c>
      <c r="D22015" s="22" t="str">
        <f>HYPERLINK("https://rhld.insurance.arkansas.gov/NPILookup?Npi=1134643190","1134643190")</f>
        <v>1134643190</v>
      </c>
      <c r="E22015" s="1" t="s">
        <v>25728</v>
      </c>
      <c r="F22015" s="2"/>
      <c r="G22015" s="2"/>
      <c r="H22015" s="2"/>
    </row>
    <row r="22016" spans="1:8" x14ac:dyDescent="0.25">
      <c r="A22016" s="1"/>
      <c r="B22016" s="1" t="s">
        <v>7328</v>
      </c>
      <c r="C22016" s="1" t="s">
        <v>7329</v>
      </c>
      <c r="D22016" s="22" t="str">
        <f>HYPERLINK("https://rhld.insurance.arkansas.gov/NPILookup?Npi=1134651276","1134651276")</f>
        <v>1134651276</v>
      </c>
      <c r="E22016" s="1" t="s">
        <v>2650</v>
      </c>
      <c r="F22016" s="2"/>
      <c r="G22016" s="2"/>
      <c r="H22016" s="2"/>
    </row>
    <row r="22017" spans="1:8" x14ac:dyDescent="0.25">
      <c r="A22017" s="1"/>
      <c r="B22017" s="1" t="s">
        <v>7328</v>
      </c>
      <c r="C22017" s="1" t="s">
        <v>7329</v>
      </c>
      <c r="D22017" s="22" t="str">
        <f>HYPERLINK("https://rhld.insurance.arkansas.gov/NPILookup?Npi=1134657836","1134657836")</f>
        <v>1134657836</v>
      </c>
      <c r="E22017" s="1" t="s">
        <v>1018</v>
      </c>
      <c r="F22017" s="2"/>
      <c r="G22017" s="2"/>
      <c r="H22017" s="2"/>
    </row>
    <row r="22018" spans="1:8" x14ac:dyDescent="0.25">
      <c r="A22018" s="1"/>
      <c r="B22018" s="1" t="s">
        <v>7328</v>
      </c>
      <c r="C22018" s="1" t="s">
        <v>7329</v>
      </c>
      <c r="D22018" s="22" t="str">
        <f>HYPERLINK("https://rhld.insurance.arkansas.gov/NPILookup?Npi=1134659428","1134659428")</f>
        <v>1134659428</v>
      </c>
      <c r="E22018" s="1" t="s">
        <v>25729</v>
      </c>
      <c r="F22018" s="2"/>
      <c r="G22018" s="2"/>
      <c r="H22018" s="2"/>
    </row>
    <row r="22019" spans="1:8" x14ac:dyDescent="0.25">
      <c r="A22019" s="1"/>
      <c r="B22019" s="1" t="s">
        <v>7328</v>
      </c>
      <c r="C22019" s="1" t="s">
        <v>7329</v>
      </c>
      <c r="D22019" s="22" t="str">
        <f>HYPERLINK("https://rhld.insurance.arkansas.gov/NPILookup?Npi=1134680317","1134680317")</f>
        <v>1134680317</v>
      </c>
      <c r="E22019" s="1" t="s">
        <v>25730</v>
      </c>
      <c r="F22019" s="2"/>
      <c r="G22019" s="2"/>
      <c r="H22019" s="2"/>
    </row>
    <row r="22020" spans="1:8" x14ac:dyDescent="0.25">
      <c r="A22020" s="1"/>
      <c r="B22020" s="1" t="s">
        <v>7328</v>
      </c>
      <c r="C22020" s="1" t="s">
        <v>7329</v>
      </c>
      <c r="D22020" s="22" t="str">
        <f>HYPERLINK("https://rhld.insurance.arkansas.gov/NPILookup?Npi=1134685209","1134685209")</f>
        <v>1134685209</v>
      </c>
      <c r="E22020" s="1" t="s">
        <v>10714</v>
      </c>
      <c r="F22020" s="2"/>
      <c r="G22020" s="2"/>
      <c r="H22020" s="2"/>
    </row>
    <row r="22021" spans="1:8" x14ac:dyDescent="0.25">
      <c r="A22021" s="1"/>
      <c r="B22021" s="1" t="s">
        <v>7328</v>
      </c>
      <c r="C22021" s="1" t="s">
        <v>7329</v>
      </c>
      <c r="D22021" s="22" t="str">
        <f>HYPERLINK("https://rhld.insurance.arkansas.gov/NPILookup?Npi=1134685217","1134685217")</f>
        <v>1134685217</v>
      </c>
      <c r="E22021" s="1" t="s">
        <v>1749</v>
      </c>
      <c r="F22021" s="2"/>
      <c r="G22021" s="2"/>
      <c r="H22021" s="2"/>
    </row>
    <row r="22022" spans="1:8" x14ac:dyDescent="0.25">
      <c r="A22022" s="1"/>
      <c r="B22022" s="1" t="s">
        <v>7328</v>
      </c>
      <c r="C22022" s="1" t="s">
        <v>7329</v>
      </c>
      <c r="D22022" s="22" t="str">
        <f>HYPERLINK("https://rhld.insurance.arkansas.gov/NPILookup?Npi=1134695265","1134695265")</f>
        <v>1134695265</v>
      </c>
      <c r="E22022" s="1" t="s">
        <v>25731</v>
      </c>
      <c r="F22022" s="2"/>
      <c r="G22022" s="2"/>
      <c r="H22022" s="2"/>
    </row>
    <row r="22023" spans="1:8" x14ac:dyDescent="0.25">
      <c r="A22023" s="1"/>
      <c r="B22023" s="1" t="s">
        <v>7328</v>
      </c>
      <c r="C22023" s="1" t="s">
        <v>7329</v>
      </c>
      <c r="D22023" s="22" t="str">
        <f>HYPERLINK("https://rhld.insurance.arkansas.gov/NPILookup?Npi=1134705916","1134705916")</f>
        <v>1134705916</v>
      </c>
      <c r="E22023" s="1" t="s">
        <v>25732</v>
      </c>
      <c r="F22023" s="2"/>
      <c r="G22023" s="2"/>
      <c r="H22023" s="2"/>
    </row>
    <row r="22024" spans="1:8" x14ac:dyDescent="0.25">
      <c r="A22024" s="1"/>
      <c r="B22024" s="1" t="s">
        <v>7328</v>
      </c>
      <c r="C22024" s="1" t="s">
        <v>7329</v>
      </c>
      <c r="D22024" s="22" t="str">
        <f>HYPERLINK("https://rhld.insurance.arkansas.gov/NPILookup?Npi=1134713027","1134713027")</f>
        <v>1134713027</v>
      </c>
      <c r="E22024" s="1" t="s">
        <v>25733</v>
      </c>
      <c r="F22024" s="2"/>
      <c r="G22024" s="2"/>
      <c r="H22024" s="2"/>
    </row>
    <row r="22025" spans="1:8" x14ac:dyDescent="0.25">
      <c r="A22025" s="1"/>
      <c r="B22025" s="1" t="s">
        <v>7328</v>
      </c>
      <c r="C22025" s="1" t="s">
        <v>7329</v>
      </c>
      <c r="D22025" s="22" t="str">
        <f>HYPERLINK("https://rhld.insurance.arkansas.gov/NPILookup?Npi=1134730005","1134730005")</f>
        <v>1134730005</v>
      </c>
      <c r="E22025" s="1" t="s">
        <v>25734</v>
      </c>
      <c r="F22025" s="2"/>
      <c r="G22025" s="2"/>
      <c r="H22025" s="2"/>
    </row>
    <row r="22026" spans="1:8" x14ac:dyDescent="0.25">
      <c r="A22026" s="1"/>
      <c r="B22026" s="1" t="s">
        <v>7328</v>
      </c>
      <c r="C22026" s="1" t="s">
        <v>7329</v>
      </c>
      <c r="D22026" s="22" t="str">
        <f>HYPERLINK("https://rhld.insurance.arkansas.gov/NPILookup?Npi=1134730450","1134730450")</f>
        <v>1134730450</v>
      </c>
      <c r="E22026" s="1" t="s">
        <v>25735</v>
      </c>
      <c r="F22026" s="2"/>
      <c r="G22026" s="2"/>
      <c r="H22026" s="2"/>
    </row>
    <row r="22027" spans="1:8" x14ac:dyDescent="0.25">
      <c r="A22027" s="1"/>
      <c r="B22027" s="1" t="s">
        <v>7328</v>
      </c>
      <c r="C22027" s="1" t="s">
        <v>7329</v>
      </c>
      <c r="D22027" s="22" t="str">
        <f>HYPERLINK("https://rhld.insurance.arkansas.gov/NPILookup?Npi=1134733611","1134733611")</f>
        <v>1134733611</v>
      </c>
      <c r="E22027" s="1" t="s">
        <v>25736</v>
      </c>
      <c r="F22027" s="2"/>
      <c r="G22027" s="2"/>
      <c r="H22027" s="2"/>
    </row>
    <row r="22028" spans="1:8" x14ac:dyDescent="0.25">
      <c r="A22028" s="1"/>
      <c r="B22028" s="1" t="s">
        <v>7328</v>
      </c>
      <c r="C22028" s="1" t="s">
        <v>7329</v>
      </c>
      <c r="D22028" s="22" t="str">
        <f>HYPERLINK("https://rhld.insurance.arkansas.gov/NPILookup?Npi=1134738347","1134738347")</f>
        <v>1134738347</v>
      </c>
      <c r="E22028" s="1" t="s">
        <v>7462</v>
      </c>
      <c r="F22028" s="2"/>
      <c r="G22028" s="2"/>
      <c r="H22028" s="2"/>
    </row>
    <row r="22029" spans="1:8" x14ac:dyDescent="0.25">
      <c r="A22029" s="1"/>
      <c r="B22029" s="1" t="s">
        <v>7328</v>
      </c>
      <c r="C22029" s="1" t="s">
        <v>7329</v>
      </c>
      <c r="D22029" s="22" t="str">
        <f>HYPERLINK("https://rhld.insurance.arkansas.gov/NPILookup?Npi=1134758915","1134758915")</f>
        <v>1134758915</v>
      </c>
      <c r="E22029" s="1" t="s">
        <v>25737</v>
      </c>
      <c r="F22029" s="2"/>
      <c r="G22029" s="2"/>
      <c r="H22029" s="2"/>
    </row>
    <row r="22030" spans="1:8" x14ac:dyDescent="0.25">
      <c r="A22030" s="1"/>
      <c r="B22030" s="1" t="s">
        <v>7328</v>
      </c>
      <c r="C22030" s="1" t="s">
        <v>7329</v>
      </c>
      <c r="D22030" s="22" t="str">
        <f>HYPERLINK("https://rhld.insurance.arkansas.gov/NPILookup?Npi=1134767627","1134767627")</f>
        <v>1134767627</v>
      </c>
      <c r="E22030" s="1" t="s">
        <v>12755</v>
      </c>
      <c r="F22030" s="2"/>
      <c r="G22030" s="2"/>
      <c r="H22030" s="2"/>
    </row>
    <row r="22031" spans="1:8" x14ac:dyDescent="0.25">
      <c r="A22031" s="1"/>
      <c r="B22031" s="1" t="s">
        <v>7328</v>
      </c>
      <c r="C22031" s="1" t="s">
        <v>7329</v>
      </c>
      <c r="D22031" s="22" t="str">
        <f>HYPERLINK("https://rhld.insurance.arkansas.gov/NPILookup?Npi=1134771686","1134771686")</f>
        <v>1134771686</v>
      </c>
      <c r="E22031" s="1" t="s">
        <v>25738</v>
      </c>
      <c r="F22031" s="2"/>
      <c r="G22031" s="2"/>
      <c r="H22031" s="2"/>
    </row>
    <row r="22032" spans="1:8" x14ac:dyDescent="0.25">
      <c r="A22032" s="1"/>
      <c r="B22032" s="1" t="s">
        <v>7328</v>
      </c>
      <c r="C22032" s="1" t="s">
        <v>7329</v>
      </c>
      <c r="D22032" s="22" t="str">
        <f>HYPERLINK("https://rhld.insurance.arkansas.gov/NPILookup?Npi=1134785769","1134785769")</f>
        <v>1134785769</v>
      </c>
      <c r="E22032" s="1" t="s">
        <v>25739</v>
      </c>
      <c r="F22032" s="2"/>
      <c r="G22032" s="2"/>
      <c r="H22032" s="2"/>
    </row>
    <row r="22033" spans="1:8" x14ac:dyDescent="0.25">
      <c r="A22033" s="1"/>
      <c r="B22033" s="1" t="s">
        <v>7328</v>
      </c>
      <c r="C22033" s="1" t="s">
        <v>7329</v>
      </c>
      <c r="D22033" s="22" t="str">
        <f>HYPERLINK("https://rhld.insurance.arkansas.gov/NPILookup?Npi=1134791411","1134791411")</f>
        <v>1134791411</v>
      </c>
      <c r="E22033" s="1" t="s">
        <v>3596</v>
      </c>
      <c r="F22033" s="2"/>
      <c r="G22033" s="2"/>
      <c r="H22033" s="2"/>
    </row>
    <row r="22034" spans="1:8" x14ac:dyDescent="0.25">
      <c r="A22034" s="1"/>
      <c r="B22034" s="1" t="s">
        <v>7328</v>
      </c>
      <c r="C22034" s="1" t="s">
        <v>7329</v>
      </c>
      <c r="D22034" s="22" t="str">
        <f>HYPERLINK("https://rhld.insurance.arkansas.gov/NPILookup?Npi=1134803323","1134803323")</f>
        <v>1134803323</v>
      </c>
      <c r="E22034" s="1" t="s">
        <v>25740</v>
      </c>
      <c r="F22034" s="2"/>
      <c r="G22034" s="2"/>
      <c r="H22034" s="2"/>
    </row>
    <row r="22035" spans="1:8" x14ac:dyDescent="0.25">
      <c r="A22035" s="1"/>
      <c r="B22035" s="1" t="s">
        <v>7328</v>
      </c>
      <c r="C22035" s="1" t="s">
        <v>7329</v>
      </c>
      <c r="D22035" s="22" t="str">
        <f>HYPERLINK("https://rhld.insurance.arkansas.gov/NPILookup?Npi=1134805377","1134805377")</f>
        <v>1134805377</v>
      </c>
      <c r="E22035" s="1" t="s">
        <v>7463</v>
      </c>
      <c r="F22035" s="2"/>
      <c r="G22035" s="2"/>
      <c r="H22035" s="2"/>
    </row>
    <row r="22036" spans="1:8" x14ac:dyDescent="0.25">
      <c r="A22036" s="1"/>
      <c r="B22036" s="1" t="s">
        <v>7328</v>
      </c>
      <c r="C22036" s="1" t="s">
        <v>7329</v>
      </c>
      <c r="D22036" s="22" t="str">
        <f>HYPERLINK("https://rhld.insurance.arkansas.gov/NPILookup?Npi=1134826571","1134826571")</f>
        <v>1134826571</v>
      </c>
      <c r="E22036" s="1" t="s">
        <v>7464</v>
      </c>
      <c r="F22036" s="2"/>
      <c r="G22036" s="2"/>
      <c r="H22036" s="2"/>
    </row>
    <row r="22037" spans="1:8" x14ac:dyDescent="0.25">
      <c r="A22037" s="1"/>
      <c r="B22037" s="1" t="s">
        <v>7328</v>
      </c>
      <c r="C22037" s="1" t="s">
        <v>7329</v>
      </c>
      <c r="D22037" s="22" t="str">
        <f>HYPERLINK("https://rhld.insurance.arkansas.gov/NPILookup?Npi=1134841943","1134841943")</f>
        <v>1134841943</v>
      </c>
      <c r="E22037" s="1" t="s">
        <v>10064</v>
      </c>
      <c r="F22037" s="2"/>
      <c r="G22037" s="2"/>
      <c r="H22037" s="2"/>
    </row>
    <row r="22038" spans="1:8" x14ac:dyDescent="0.25">
      <c r="A22038" s="1"/>
      <c r="B22038" s="1" t="s">
        <v>7328</v>
      </c>
      <c r="C22038" s="1" t="s">
        <v>7329</v>
      </c>
      <c r="D22038" s="22" t="str">
        <f>HYPERLINK("https://rhld.insurance.arkansas.gov/NPILookup?Npi=1134843527","1134843527")</f>
        <v>1134843527</v>
      </c>
      <c r="E22038" s="1" t="s">
        <v>25741</v>
      </c>
      <c r="F22038" s="2"/>
      <c r="G22038" s="2"/>
      <c r="H22038" s="2"/>
    </row>
    <row r="22039" spans="1:8" x14ac:dyDescent="0.25">
      <c r="A22039" s="1"/>
      <c r="B22039" s="1" t="s">
        <v>7328</v>
      </c>
      <c r="C22039" s="1" t="s">
        <v>7329</v>
      </c>
      <c r="D22039" s="22" t="str">
        <f>HYPERLINK("https://rhld.insurance.arkansas.gov/NPILookup?Npi=1134845746","1134845746")</f>
        <v>1134845746</v>
      </c>
      <c r="E22039" s="1" t="s">
        <v>2651</v>
      </c>
      <c r="F22039" s="2"/>
      <c r="G22039" s="2"/>
      <c r="H22039" s="2"/>
    </row>
    <row r="22040" spans="1:8" x14ac:dyDescent="0.25">
      <c r="A22040" s="1"/>
      <c r="B22040" s="1" t="s">
        <v>7328</v>
      </c>
      <c r="C22040" s="1" t="s">
        <v>7329</v>
      </c>
      <c r="D22040" s="22" t="str">
        <f>HYPERLINK("https://rhld.insurance.arkansas.gov/NPILookup?Npi=1134870181","1134870181")</f>
        <v>1134870181</v>
      </c>
      <c r="E22040" s="1" t="s">
        <v>25742</v>
      </c>
      <c r="F22040" s="2"/>
      <c r="G22040" s="2"/>
      <c r="H22040" s="2"/>
    </row>
    <row r="22041" spans="1:8" x14ac:dyDescent="0.25">
      <c r="A22041" s="1"/>
      <c r="B22041" s="1" t="s">
        <v>7328</v>
      </c>
      <c r="C22041" s="1" t="s">
        <v>7329</v>
      </c>
      <c r="D22041" s="22" t="str">
        <f>HYPERLINK("https://rhld.insurance.arkansas.gov/NPILookup?Npi=1134883663","1134883663")</f>
        <v>1134883663</v>
      </c>
      <c r="E22041" s="1" t="s">
        <v>25743</v>
      </c>
      <c r="F22041" s="2"/>
      <c r="G22041" s="2"/>
      <c r="H22041" s="2"/>
    </row>
    <row r="22042" spans="1:8" x14ac:dyDescent="0.25">
      <c r="A22042" s="1"/>
      <c r="B22042" s="1" t="s">
        <v>7328</v>
      </c>
      <c r="C22042" s="1" t="s">
        <v>7329</v>
      </c>
      <c r="D22042" s="22" t="str">
        <f>HYPERLINK("https://rhld.insurance.arkansas.gov/NPILookup?Npi=1134895170","1134895170")</f>
        <v>1134895170</v>
      </c>
      <c r="E22042" s="1" t="s">
        <v>25744</v>
      </c>
      <c r="F22042" s="2"/>
      <c r="G22042" s="2"/>
      <c r="H22042" s="2"/>
    </row>
    <row r="22043" spans="1:8" x14ac:dyDescent="0.25">
      <c r="A22043" s="1"/>
      <c r="B22043" s="1" t="s">
        <v>7328</v>
      </c>
      <c r="C22043" s="1" t="s">
        <v>7329</v>
      </c>
      <c r="D22043" s="22" t="str">
        <f>HYPERLINK("https://rhld.insurance.arkansas.gov/NPILookup?Npi=1134895394","1134895394")</f>
        <v>1134895394</v>
      </c>
      <c r="E22043" s="1" t="s">
        <v>25745</v>
      </c>
      <c r="F22043" s="2"/>
      <c r="G22043" s="2"/>
      <c r="H22043" s="2"/>
    </row>
    <row r="22044" spans="1:8" x14ac:dyDescent="0.25">
      <c r="A22044" s="1"/>
      <c r="B22044" s="1" t="s">
        <v>7328</v>
      </c>
      <c r="C22044" s="1" t="s">
        <v>7329</v>
      </c>
      <c r="D22044" s="22" t="str">
        <f>HYPERLINK("https://rhld.insurance.arkansas.gov/NPILookup?Npi=1134900525","1134900525")</f>
        <v>1134900525</v>
      </c>
      <c r="E22044" s="1" t="s">
        <v>7465</v>
      </c>
      <c r="F22044" s="2"/>
      <c r="G22044" s="2"/>
      <c r="H22044" s="2"/>
    </row>
    <row r="22045" spans="1:8" x14ac:dyDescent="0.25">
      <c r="A22045" s="1"/>
      <c r="B22045" s="1" t="s">
        <v>7328</v>
      </c>
      <c r="C22045" s="1" t="s">
        <v>7329</v>
      </c>
      <c r="D22045" s="22" t="str">
        <f>HYPERLINK("https://rhld.insurance.arkansas.gov/NPILookup?Npi=1134906381","1134906381")</f>
        <v>1134906381</v>
      </c>
      <c r="E22045" s="1" t="s">
        <v>7466</v>
      </c>
      <c r="F22045" s="2"/>
      <c r="G22045" s="2"/>
      <c r="H22045" s="2"/>
    </row>
    <row r="22046" spans="1:8" x14ac:dyDescent="0.25">
      <c r="A22046" s="1"/>
      <c r="B22046" s="1" t="s">
        <v>7328</v>
      </c>
      <c r="C22046" s="1" t="s">
        <v>7329</v>
      </c>
      <c r="D22046" s="22" t="str">
        <f>HYPERLINK("https://rhld.insurance.arkansas.gov/NPILookup?Npi=1134907637","1134907637")</f>
        <v>1134907637</v>
      </c>
      <c r="E22046" s="1" t="s">
        <v>32132</v>
      </c>
      <c r="F22046" s="2"/>
      <c r="G22046" s="2"/>
      <c r="H22046" s="2"/>
    </row>
    <row r="22047" spans="1:8" x14ac:dyDescent="0.25">
      <c r="A22047" s="1"/>
      <c r="B22047" s="1" t="s">
        <v>7328</v>
      </c>
      <c r="C22047" s="1" t="s">
        <v>7329</v>
      </c>
      <c r="D22047" s="22" t="str">
        <f>HYPERLINK("https://rhld.insurance.arkansas.gov/NPILookup?Npi=1134994155","1134994155")</f>
        <v>1134994155</v>
      </c>
      <c r="E22047" s="1" t="s">
        <v>7467</v>
      </c>
      <c r="F22047" s="2"/>
      <c r="G22047" s="2"/>
      <c r="H22047" s="2"/>
    </row>
    <row r="22048" spans="1:8" x14ac:dyDescent="0.25">
      <c r="A22048" s="1"/>
      <c r="B22048" s="1" t="s">
        <v>7328</v>
      </c>
      <c r="C22048" s="1" t="s">
        <v>7329</v>
      </c>
      <c r="D22048" s="22" t="str">
        <f>HYPERLINK("https://rhld.insurance.arkansas.gov/NPILookup?Npi=1144056110","1144056110")</f>
        <v>1144056110</v>
      </c>
      <c r="E22048" s="1" t="s">
        <v>25746</v>
      </c>
      <c r="F22048" s="2"/>
      <c r="G22048" s="2"/>
      <c r="H22048" s="2"/>
    </row>
    <row r="22049" spans="1:8" x14ac:dyDescent="0.25">
      <c r="A22049" s="1"/>
      <c r="B22049" s="1" t="s">
        <v>7328</v>
      </c>
      <c r="C22049" s="1" t="s">
        <v>7329</v>
      </c>
      <c r="D22049" s="22" t="str">
        <f>HYPERLINK("https://rhld.insurance.arkansas.gov/NPILookup?Npi=1144066879","1144066879")</f>
        <v>1144066879</v>
      </c>
      <c r="E22049" s="1" t="s">
        <v>25747</v>
      </c>
      <c r="F22049" s="2"/>
      <c r="G22049" s="2"/>
      <c r="H22049" s="2"/>
    </row>
    <row r="22050" spans="1:8" x14ac:dyDescent="0.25">
      <c r="A22050" s="1"/>
      <c r="B22050" s="1" t="s">
        <v>7328</v>
      </c>
      <c r="C22050" s="1" t="s">
        <v>7329</v>
      </c>
      <c r="D22050" s="22" t="str">
        <f>HYPERLINK("https://rhld.insurance.arkansas.gov/NPILookup?Npi=1144217373","1144217373")</f>
        <v>1144217373</v>
      </c>
      <c r="E22050" s="1" t="s">
        <v>25748</v>
      </c>
      <c r="F22050" s="2"/>
      <c r="G22050" s="2"/>
      <c r="H22050" s="2"/>
    </row>
    <row r="22051" spans="1:8" x14ac:dyDescent="0.25">
      <c r="A22051" s="1"/>
      <c r="B22051" s="1" t="s">
        <v>7328</v>
      </c>
      <c r="C22051" s="1" t="s">
        <v>7329</v>
      </c>
      <c r="D22051" s="22" t="str">
        <f>HYPERLINK("https://rhld.insurance.arkansas.gov/NPILookup?Npi=1144218264","1144218264")</f>
        <v>1144218264</v>
      </c>
      <c r="E22051" s="1" t="s">
        <v>25749</v>
      </c>
      <c r="F22051" s="2"/>
      <c r="G22051" s="2"/>
      <c r="H22051" s="2"/>
    </row>
    <row r="22052" spans="1:8" x14ac:dyDescent="0.25">
      <c r="A22052" s="1"/>
      <c r="B22052" s="1" t="s">
        <v>7328</v>
      </c>
      <c r="C22052" s="1" t="s">
        <v>7329</v>
      </c>
      <c r="D22052" s="22" t="str">
        <f>HYPERLINK("https://rhld.insurance.arkansas.gov/NPILookup?Npi=1144221268","1144221268")</f>
        <v>1144221268</v>
      </c>
      <c r="E22052" s="1" t="s">
        <v>25750</v>
      </c>
      <c r="F22052" s="2"/>
      <c r="G22052" s="2"/>
      <c r="H22052" s="2"/>
    </row>
    <row r="22053" spans="1:8" x14ac:dyDescent="0.25">
      <c r="A22053" s="1"/>
      <c r="B22053" s="1" t="s">
        <v>7328</v>
      </c>
      <c r="C22053" s="1" t="s">
        <v>7329</v>
      </c>
      <c r="D22053" s="22" t="str">
        <f>HYPERLINK("https://rhld.insurance.arkansas.gov/NPILookup?Npi=1144225020","1144225020")</f>
        <v>1144225020</v>
      </c>
      <c r="E22053" s="1" t="s">
        <v>2652</v>
      </c>
      <c r="F22053" s="2"/>
      <c r="G22053" s="2"/>
      <c r="H22053" s="2"/>
    </row>
    <row r="22054" spans="1:8" x14ac:dyDescent="0.25">
      <c r="A22054" s="1"/>
      <c r="B22054" s="1" t="s">
        <v>7328</v>
      </c>
      <c r="C22054" s="1" t="s">
        <v>7329</v>
      </c>
      <c r="D22054" s="22" t="str">
        <f>HYPERLINK("https://rhld.insurance.arkansas.gov/NPILookup?Npi=1144226010","1144226010")</f>
        <v>1144226010</v>
      </c>
      <c r="E22054" s="1" t="s">
        <v>25751</v>
      </c>
      <c r="F22054" s="2"/>
      <c r="G22054" s="2"/>
      <c r="H22054" s="2"/>
    </row>
    <row r="22055" spans="1:8" x14ac:dyDescent="0.25">
      <c r="A22055" s="1"/>
      <c r="B22055" s="1" t="s">
        <v>7328</v>
      </c>
      <c r="C22055" s="1" t="s">
        <v>7329</v>
      </c>
      <c r="D22055" s="22" t="str">
        <f>HYPERLINK("https://rhld.insurance.arkansas.gov/NPILookup?Npi=1144239500","1144239500")</f>
        <v>1144239500</v>
      </c>
      <c r="E22055" s="1" t="s">
        <v>25752</v>
      </c>
      <c r="F22055" s="2"/>
      <c r="G22055" s="2"/>
      <c r="H22055" s="2"/>
    </row>
    <row r="22056" spans="1:8" x14ac:dyDescent="0.25">
      <c r="A22056" s="1"/>
      <c r="B22056" s="1" t="s">
        <v>7328</v>
      </c>
      <c r="C22056" s="1" t="s">
        <v>7329</v>
      </c>
      <c r="D22056" s="22" t="str">
        <f>HYPERLINK("https://rhld.insurance.arkansas.gov/NPILookup?Npi=1144242892","1144242892")</f>
        <v>1144242892</v>
      </c>
      <c r="E22056" s="1" t="s">
        <v>127</v>
      </c>
      <c r="F22056" s="2"/>
      <c r="G22056" s="2"/>
      <c r="H22056" s="2"/>
    </row>
    <row r="22057" spans="1:8" x14ac:dyDescent="0.25">
      <c r="A22057" s="1"/>
      <c r="B22057" s="1" t="s">
        <v>7328</v>
      </c>
      <c r="C22057" s="1" t="s">
        <v>7329</v>
      </c>
      <c r="D22057" s="22" t="str">
        <f>HYPERLINK("https://rhld.insurance.arkansas.gov/NPILookup?Npi=1144249475","1144249475")</f>
        <v>1144249475</v>
      </c>
      <c r="E22057" s="1" t="s">
        <v>25753</v>
      </c>
      <c r="F22057" s="2"/>
      <c r="G22057" s="2"/>
      <c r="H22057" s="2"/>
    </row>
    <row r="22058" spans="1:8" x14ac:dyDescent="0.25">
      <c r="A22058" s="1"/>
      <c r="B22058" s="1" t="s">
        <v>7328</v>
      </c>
      <c r="C22058" s="1" t="s">
        <v>7329</v>
      </c>
      <c r="D22058" s="22" t="str">
        <f>HYPERLINK("https://rhld.insurance.arkansas.gov/NPILookup?Npi=1144261470","1144261470")</f>
        <v>1144261470</v>
      </c>
      <c r="E22058" s="1" t="s">
        <v>25754</v>
      </c>
      <c r="F22058" s="2"/>
      <c r="G22058" s="2"/>
      <c r="H22058" s="2"/>
    </row>
    <row r="22059" spans="1:8" x14ac:dyDescent="0.25">
      <c r="A22059" s="1"/>
      <c r="B22059" s="1" t="s">
        <v>7328</v>
      </c>
      <c r="C22059" s="1" t="s">
        <v>7329</v>
      </c>
      <c r="D22059" s="22" t="str">
        <f>HYPERLINK("https://rhld.insurance.arkansas.gov/NPILookup?Npi=1144266727","1144266727")</f>
        <v>1144266727</v>
      </c>
      <c r="E22059" s="1" t="s">
        <v>12757</v>
      </c>
      <c r="F22059" s="2"/>
      <c r="G22059" s="2"/>
      <c r="H22059" s="2"/>
    </row>
    <row r="22060" spans="1:8" x14ac:dyDescent="0.25">
      <c r="A22060" s="1"/>
      <c r="B22060" s="1" t="s">
        <v>7328</v>
      </c>
      <c r="C22060" s="1" t="s">
        <v>7329</v>
      </c>
      <c r="D22060" s="22" t="str">
        <f>HYPERLINK("https://rhld.insurance.arkansas.gov/NPILookup?Npi=1144274200","1144274200")</f>
        <v>1144274200</v>
      </c>
      <c r="E22060" s="1" t="s">
        <v>228</v>
      </c>
      <c r="F22060" s="2"/>
      <c r="G22060" s="2"/>
      <c r="H22060" s="2"/>
    </row>
    <row r="22061" spans="1:8" x14ac:dyDescent="0.25">
      <c r="A22061" s="1"/>
      <c r="B22061" s="1" t="s">
        <v>7328</v>
      </c>
      <c r="C22061" s="1" t="s">
        <v>7329</v>
      </c>
      <c r="D22061" s="22" t="str">
        <f>HYPERLINK("https://rhld.insurance.arkansas.gov/NPILookup?Npi=1144287947","1144287947")</f>
        <v>1144287947</v>
      </c>
      <c r="E22061" s="1" t="s">
        <v>10230</v>
      </c>
      <c r="F22061" s="2"/>
      <c r="G22061" s="2"/>
      <c r="H22061" s="2"/>
    </row>
    <row r="22062" spans="1:8" x14ac:dyDescent="0.25">
      <c r="A22062" s="1"/>
      <c r="B22062" s="1" t="s">
        <v>7328</v>
      </c>
      <c r="C22062" s="1" t="s">
        <v>7329</v>
      </c>
      <c r="D22062" s="22" t="str">
        <f>HYPERLINK("https://rhld.insurance.arkansas.gov/NPILookup?Npi=1144288317","1144288317")</f>
        <v>1144288317</v>
      </c>
      <c r="E22062" s="1" t="s">
        <v>128</v>
      </c>
      <c r="F22062" s="2"/>
      <c r="G22062" s="2"/>
      <c r="H22062" s="2"/>
    </row>
    <row r="22063" spans="1:8" x14ac:dyDescent="0.25">
      <c r="A22063" s="1"/>
      <c r="B22063" s="1" t="s">
        <v>7328</v>
      </c>
      <c r="C22063" s="1" t="s">
        <v>7329</v>
      </c>
      <c r="D22063" s="22" t="str">
        <f>HYPERLINK("https://rhld.insurance.arkansas.gov/NPILookup?Npi=1144291816","1144291816")</f>
        <v>1144291816</v>
      </c>
      <c r="E22063" s="1" t="s">
        <v>191</v>
      </c>
      <c r="F22063" s="2"/>
      <c r="G22063" s="2"/>
      <c r="H22063" s="2"/>
    </row>
    <row r="22064" spans="1:8" x14ac:dyDescent="0.25">
      <c r="A22064" s="1"/>
      <c r="B22064" s="1" t="s">
        <v>7328</v>
      </c>
      <c r="C22064" s="1" t="s">
        <v>7329</v>
      </c>
      <c r="D22064" s="22" t="str">
        <f>HYPERLINK("https://rhld.insurance.arkansas.gov/NPILookup?Npi=1144291907","1144291907")</f>
        <v>1144291907</v>
      </c>
      <c r="E22064" s="1" t="s">
        <v>25755</v>
      </c>
      <c r="F22064" s="2"/>
      <c r="G22064" s="2"/>
      <c r="H22064" s="2"/>
    </row>
    <row r="22065" spans="1:8" x14ac:dyDescent="0.25">
      <c r="A22065" s="1"/>
      <c r="B22065" s="1" t="s">
        <v>7328</v>
      </c>
      <c r="C22065" s="1" t="s">
        <v>7329</v>
      </c>
      <c r="D22065" s="22" t="str">
        <f>HYPERLINK("https://rhld.insurance.arkansas.gov/NPILookup?Npi=1144294299","1144294299")</f>
        <v>1144294299</v>
      </c>
      <c r="E22065" s="1" t="s">
        <v>12758</v>
      </c>
      <c r="F22065" s="2"/>
      <c r="G22065" s="2"/>
      <c r="H22065" s="2"/>
    </row>
    <row r="22066" spans="1:8" x14ac:dyDescent="0.25">
      <c r="A22066" s="1"/>
      <c r="B22066" s="1" t="s">
        <v>7328</v>
      </c>
      <c r="C22066" s="1" t="s">
        <v>7329</v>
      </c>
      <c r="D22066" s="22" t="str">
        <f>HYPERLINK("https://rhld.insurance.arkansas.gov/NPILookup?Npi=1144294646","1144294646")</f>
        <v>1144294646</v>
      </c>
      <c r="E22066" s="1" t="s">
        <v>25756</v>
      </c>
      <c r="F22066" s="2"/>
      <c r="G22066" s="2"/>
      <c r="H22066" s="2"/>
    </row>
    <row r="22067" spans="1:8" x14ac:dyDescent="0.25">
      <c r="A22067" s="1"/>
      <c r="B22067" s="1" t="s">
        <v>7328</v>
      </c>
      <c r="C22067" s="1" t="s">
        <v>7329</v>
      </c>
      <c r="D22067" s="22" t="str">
        <f>HYPERLINK("https://rhld.insurance.arkansas.gov/NPILookup?Npi=1144294992","1144294992")</f>
        <v>1144294992</v>
      </c>
      <c r="E22067" s="1" t="s">
        <v>25757</v>
      </c>
      <c r="F22067" s="2"/>
      <c r="G22067" s="2"/>
      <c r="H22067" s="2"/>
    </row>
    <row r="22068" spans="1:8" x14ac:dyDescent="0.25">
      <c r="A22068" s="1"/>
      <c r="B22068" s="1" t="s">
        <v>7328</v>
      </c>
      <c r="C22068" s="1" t="s">
        <v>7329</v>
      </c>
      <c r="D22068" s="22" t="str">
        <f>HYPERLINK("https://rhld.insurance.arkansas.gov/NPILookup?Npi=1144298845","1144298845")</f>
        <v>1144298845</v>
      </c>
      <c r="E22068" s="1" t="s">
        <v>12760</v>
      </c>
      <c r="F22068" s="2"/>
      <c r="G22068" s="2"/>
      <c r="H22068" s="2"/>
    </row>
    <row r="22069" spans="1:8" x14ac:dyDescent="0.25">
      <c r="A22069" s="1"/>
      <c r="B22069" s="1" t="s">
        <v>7328</v>
      </c>
      <c r="C22069" s="1" t="s">
        <v>7329</v>
      </c>
      <c r="D22069" s="22" t="str">
        <f>HYPERLINK("https://rhld.insurance.arkansas.gov/NPILookup?Npi=1144329798","1144329798")</f>
        <v>1144329798</v>
      </c>
      <c r="E22069" s="1" t="s">
        <v>25758</v>
      </c>
      <c r="F22069" s="2"/>
      <c r="G22069" s="2"/>
      <c r="H22069" s="2"/>
    </row>
    <row r="22070" spans="1:8" x14ac:dyDescent="0.25">
      <c r="A22070" s="1"/>
      <c r="B22070" s="1" t="s">
        <v>7328</v>
      </c>
      <c r="C22070" s="1" t="s">
        <v>7329</v>
      </c>
      <c r="D22070" s="22" t="str">
        <f>HYPERLINK("https://rhld.insurance.arkansas.gov/NPILookup?Npi=1144334343","1144334343")</f>
        <v>1144334343</v>
      </c>
      <c r="E22070" s="1" t="s">
        <v>25759</v>
      </c>
      <c r="F22070" s="2"/>
      <c r="G22070" s="2"/>
      <c r="H22070" s="2"/>
    </row>
    <row r="22071" spans="1:8" x14ac:dyDescent="0.25">
      <c r="A22071" s="1"/>
      <c r="B22071" s="1" t="s">
        <v>7328</v>
      </c>
      <c r="C22071" s="1" t="s">
        <v>7329</v>
      </c>
      <c r="D22071" s="22" t="str">
        <f>HYPERLINK("https://rhld.insurance.arkansas.gov/NPILookup?Npi=1144334863","1144334863")</f>
        <v>1144334863</v>
      </c>
      <c r="E22071" s="1" t="s">
        <v>25760</v>
      </c>
      <c r="F22071" s="2"/>
      <c r="G22071" s="2"/>
      <c r="H22071" s="2"/>
    </row>
    <row r="22072" spans="1:8" x14ac:dyDescent="0.25">
      <c r="A22072" s="1"/>
      <c r="B22072" s="1" t="s">
        <v>7328</v>
      </c>
      <c r="C22072" s="1" t="s">
        <v>7329</v>
      </c>
      <c r="D22072" s="22" t="str">
        <f>HYPERLINK("https://rhld.insurance.arkansas.gov/NPILookup?Npi=1144395120","1144395120")</f>
        <v>1144395120</v>
      </c>
      <c r="E22072" s="1" t="s">
        <v>25761</v>
      </c>
      <c r="F22072" s="2"/>
      <c r="G22072" s="2"/>
      <c r="H22072" s="2"/>
    </row>
    <row r="22073" spans="1:8" x14ac:dyDescent="0.25">
      <c r="A22073" s="1"/>
      <c r="B22073" s="1" t="s">
        <v>7328</v>
      </c>
      <c r="C22073" s="1" t="s">
        <v>7329</v>
      </c>
      <c r="D22073" s="22" t="str">
        <f>HYPERLINK("https://rhld.insurance.arkansas.gov/NPILookup?Npi=1144424656","1144424656")</f>
        <v>1144424656</v>
      </c>
      <c r="E22073" s="1" t="s">
        <v>12761</v>
      </c>
      <c r="F22073" s="2"/>
      <c r="G22073" s="2"/>
      <c r="H22073" s="2"/>
    </row>
    <row r="22074" spans="1:8" x14ac:dyDescent="0.25">
      <c r="A22074" s="1"/>
      <c r="B22074" s="1" t="s">
        <v>7328</v>
      </c>
      <c r="C22074" s="1" t="s">
        <v>7329</v>
      </c>
      <c r="D22074" s="22" t="str">
        <f>HYPERLINK("https://rhld.insurance.arkansas.gov/NPILookup?Npi=1144482175","1144482175")</f>
        <v>1144482175</v>
      </c>
      <c r="E22074" s="1" t="s">
        <v>12762</v>
      </c>
      <c r="F22074" s="2"/>
      <c r="G22074" s="2"/>
      <c r="H22074" s="2"/>
    </row>
    <row r="22075" spans="1:8" x14ac:dyDescent="0.25">
      <c r="A22075" s="1"/>
      <c r="B22075" s="1" t="s">
        <v>7328</v>
      </c>
      <c r="C22075" s="1" t="s">
        <v>7329</v>
      </c>
      <c r="D22075" s="22" t="str">
        <f>HYPERLINK("https://rhld.insurance.arkansas.gov/NPILookup?Npi=1144496233","1144496233")</f>
        <v>1144496233</v>
      </c>
      <c r="E22075" s="1" t="s">
        <v>25762</v>
      </c>
      <c r="F22075" s="2"/>
      <c r="G22075" s="2"/>
      <c r="H22075" s="2"/>
    </row>
    <row r="22076" spans="1:8" x14ac:dyDescent="0.25">
      <c r="A22076" s="1"/>
      <c r="B22076" s="1" t="s">
        <v>7328</v>
      </c>
      <c r="C22076" s="1" t="s">
        <v>7329</v>
      </c>
      <c r="D22076" s="22" t="str">
        <f>HYPERLINK("https://rhld.insurance.arkansas.gov/NPILookup?Npi=1144496894","1144496894")</f>
        <v>1144496894</v>
      </c>
      <c r="E22076" s="1" t="s">
        <v>25763</v>
      </c>
      <c r="F22076" s="2"/>
      <c r="G22076" s="2"/>
      <c r="H22076" s="2"/>
    </row>
    <row r="22077" spans="1:8" x14ac:dyDescent="0.25">
      <c r="A22077" s="1"/>
      <c r="B22077" s="1" t="s">
        <v>7328</v>
      </c>
      <c r="C22077" s="1" t="s">
        <v>7329</v>
      </c>
      <c r="D22077" s="22" t="str">
        <f>HYPERLINK("https://rhld.insurance.arkansas.gov/NPILookup?Npi=1144516964","1144516964")</f>
        <v>1144516964</v>
      </c>
      <c r="E22077" s="1" t="s">
        <v>12763</v>
      </c>
      <c r="F22077" s="2"/>
      <c r="G22077" s="2"/>
      <c r="H22077" s="2"/>
    </row>
    <row r="22078" spans="1:8" x14ac:dyDescent="0.25">
      <c r="A22078" s="1"/>
      <c r="B22078" s="1" t="s">
        <v>7328</v>
      </c>
      <c r="C22078" s="1" t="s">
        <v>7329</v>
      </c>
      <c r="D22078" s="22" t="str">
        <f>HYPERLINK("https://rhld.insurance.arkansas.gov/NPILookup?Npi=1144517129","1144517129")</f>
        <v>1144517129</v>
      </c>
      <c r="E22078" s="1" t="s">
        <v>2654</v>
      </c>
      <c r="F22078" s="2"/>
      <c r="G22078" s="2"/>
      <c r="H22078" s="2"/>
    </row>
    <row r="22079" spans="1:8" x14ac:dyDescent="0.25">
      <c r="A22079" s="1"/>
      <c r="B22079" s="1" t="s">
        <v>7328</v>
      </c>
      <c r="C22079" s="1" t="s">
        <v>7329</v>
      </c>
      <c r="D22079" s="22" t="str">
        <f>HYPERLINK("https://rhld.insurance.arkansas.gov/NPILookup?Npi=1144519570","1144519570")</f>
        <v>1144519570</v>
      </c>
      <c r="E22079" s="1" t="s">
        <v>25764</v>
      </c>
      <c r="F22079" s="2"/>
      <c r="G22079" s="2"/>
      <c r="H22079" s="2"/>
    </row>
    <row r="22080" spans="1:8" x14ac:dyDescent="0.25">
      <c r="A22080" s="1"/>
      <c r="B22080" s="1" t="s">
        <v>7328</v>
      </c>
      <c r="C22080" s="1" t="s">
        <v>7329</v>
      </c>
      <c r="D22080" s="22" t="str">
        <f>HYPERLINK("https://rhld.insurance.arkansas.gov/NPILookup?Npi=1144530114","1144530114")</f>
        <v>1144530114</v>
      </c>
      <c r="E22080" s="1" t="s">
        <v>12764</v>
      </c>
      <c r="F22080" s="2"/>
      <c r="G22080" s="2"/>
      <c r="H22080" s="2"/>
    </row>
    <row r="22081" spans="1:8" x14ac:dyDescent="0.25">
      <c r="A22081" s="1"/>
      <c r="B22081" s="1" t="s">
        <v>7328</v>
      </c>
      <c r="C22081" s="1" t="s">
        <v>7329</v>
      </c>
      <c r="D22081" s="22" t="str">
        <f>HYPERLINK("https://rhld.insurance.arkansas.gov/NPILookup?Npi=1144540683","1144540683")</f>
        <v>1144540683</v>
      </c>
      <c r="E22081" s="1" t="s">
        <v>25765</v>
      </c>
      <c r="F22081" s="2"/>
      <c r="G22081" s="2"/>
      <c r="H22081" s="2"/>
    </row>
    <row r="22082" spans="1:8" x14ac:dyDescent="0.25">
      <c r="A22082" s="1"/>
      <c r="B22082" s="1" t="s">
        <v>7328</v>
      </c>
      <c r="C22082" s="1" t="s">
        <v>7329</v>
      </c>
      <c r="D22082" s="22" t="str">
        <f>HYPERLINK("https://rhld.insurance.arkansas.gov/NPILookup?Npi=1144553538","1144553538")</f>
        <v>1144553538</v>
      </c>
      <c r="E22082" s="1" t="s">
        <v>129</v>
      </c>
      <c r="F22082" s="2"/>
      <c r="G22082" s="2"/>
      <c r="H22082" s="2"/>
    </row>
    <row r="22083" spans="1:8" x14ac:dyDescent="0.25">
      <c r="A22083" s="1"/>
      <c r="B22083" s="1" t="s">
        <v>7328</v>
      </c>
      <c r="C22083" s="1" t="s">
        <v>7329</v>
      </c>
      <c r="D22083" s="22" t="str">
        <f>HYPERLINK("https://rhld.insurance.arkansas.gov/NPILookup?Npi=1144556515","1144556515")</f>
        <v>1144556515</v>
      </c>
      <c r="E22083" s="1" t="s">
        <v>176</v>
      </c>
      <c r="F22083" s="2"/>
      <c r="G22083" s="2"/>
      <c r="H22083" s="2"/>
    </row>
    <row r="22084" spans="1:8" x14ac:dyDescent="0.25">
      <c r="A22084" s="1"/>
      <c r="B22084" s="1" t="s">
        <v>7328</v>
      </c>
      <c r="C22084" s="1" t="s">
        <v>7329</v>
      </c>
      <c r="D22084" s="22" t="str">
        <f>HYPERLINK("https://rhld.insurance.arkansas.gov/NPILookup?Npi=1144563073","1144563073")</f>
        <v>1144563073</v>
      </c>
      <c r="E22084" s="1" t="s">
        <v>12765</v>
      </c>
      <c r="F22084" s="2"/>
      <c r="G22084" s="2"/>
      <c r="H22084" s="2"/>
    </row>
    <row r="22085" spans="1:8" x14ac:dyDescent="0.25">
      <c r="A22085" s="1"/>
      <c r="B22085" s="1" t="s">
        <v>7328</v>
      </c>
      <c r="C22085" s="1" t="s">
        <v>7329</v>
      </c>
      <c r="D22085" s="22" t="str">
        <f>HYPERLINK("https://rhld.insurance.arkansas.gov/NPILookup?Npi=1144567272","1144567272")</f>
        <v>1144567272</v>
      </c>
      <c r="E22085" s="1" t="s">
        <v>25766</v>
      </c>
      <c r="F22085" s="2"/>
      <c r="G22085" s="2"/>
      <c r="H22085" s="2"/>
    </row>
    <row r="22086" spans="1:8" x14ac:dyDescent="0.25">
      <c r="A22086" s="1"/>
      <c r="B22086" s="1" t="s">
        <v>7328</v>
      </c>
      <c r="C22086" s="1" t="s">
        <v>7329</v>
      </c>
      <c r="D22086" s="22" t="str">
        <f>HYPERLINK("https://rhld.insurance.arkansas.gov/NPILookup?Npi=1144595570","1144595570")</f>
        <v>1144595570</v>
      </c>
      <c r="E22086" s="1" t="s">
        <v>1973</v>
      </c>
      <c r="F22086" s="2"/>
      <c r="G22086" s="2"/>
      <c r="H22086" s="2"/>
    </row>
    <row r="22087" spans="1:8" x14ac:dyDescent="0.25">
      <c r="A22087" s="1"/>
      <c r="B22087" s="1" t="s">
        <v>7328</v>
      </c>
      <c r="C22087" s="1" t="s">
        <v>7329</v>
      </c>
      <c r="D22087" s="22" t="str">
        <f>HYPERLINK("https://rhld.insurance.arkansas.gov/NPILookup?Npi=1144607268","1144607268")</f>
        <v>1144607268</v>
      </c>
      <c r="E22087" s="1" t="s">
        <v>32133</v>
      </c>
      <c r="F22087" s="2"/>
      <c r="G22087" s="2"/>
      <c r="H22087" s="2"/>
    </row>
    <row r="22088" spans="1:8" x14ac:dyDescent="0.25">
      <c r="A22088" s="1"/>
      <c r="B22088" s="1" t="s">
        <v>7328</v>
      </c>
      <c r="C22088" s="1" t="s">
        <v>7329</v>
      </c>
      <c r="D22088" s="22" t="str">
        <f>HYPERLINK("https://rhld.insurance.arkansas.gov/NPILookup?Npi=1144611922","1144611922")</f>
        <v>1144611922</v>
      </c>
      <c r="E22088" s="1" t="s">
        <v>25767</v>
      </c>
      <c r="F22088" s="2"/>
      <c r="G22088" s="2"/>
      <c r="H22088" s="2"/>
    </row>
    <row r="22089" spans="1:8" x14ac:dyDescent="0.25">
      <c r="A22089" s="1"/>
      <c r="B22089" s="1" t="s">
        <v>7328</v>
      </c>
      <c r="C22089" s="1" t="s">
        <v>7329</v>
      </c>
      <c r="D22089" s="22" t="str">
        <f>HYPERLINK("https://rhld.insurance.arkansas.gov/NPILookup?Npi=1144623356","1144623356")</f>
        <v>1144623356</v>
      </c>
      <c r="E22089" s="1" t="s">
        <v>17239</v>
      </c>
      <c r="F22089" s="2"/>
      <c r="G22089" s="2"/>
      <c r="H22089" s="2"/>
    </row>
    <row r="22090" spans="1:8" x14ac:dyDescent="0.25">
      <c r="A22090" s="1"/>
      <c r="B22090" s="1" t="s">
        <v>7328</v>
      </c>
      <c r="C22090" s="1" t="s">
        <v>7329</v>
      </c>
      <c r="D22090" s="22" t="str">
        <f>HYPERLINK("https://rhld.insurance.arkansas.gov/NPILookup?Npi=1144630955","1144630955")</f>
        <v>1144630955</v>
      </c>
      <c r="E22090" s="1" t="s">
        <v>17240</v>
      </c>
      <c r="F22090" s="2"/>
      <c r="G22090" s="2"/>
      <c r="H22090" s="2"/>
    </row>
    <row r="22091" spans="1:8" x14ac:dyDescent="0.25">
      <c r="A22091" s="1"/>
      <c r="B22091" s="1" t="s">
        <v>7328</v>
      </c>
      <c r="C22091" s="1" t="s">
        <v>7329</v>
      </c>
      <c r="D22091" s="22" t="str">
        <f>HYPERLINK("https://rhld.insurance.arkansas.gov/NPILookup?Npi=1144662354","1144662354")</f>
        <v>1144662354</v>
      </c>
      <c r="E22091" s="1" t="s">
        <v>25768</v>
      </c>
      <c r="F22091" s="2"/>
      <c r="G22091" s="2"/>
      <c r="H22091" s="2"/>
    </row>
    <row r="22092" spans="1:8" x14ac:dyDescent="0.25">
      <c r="A22092" s="1"/>
      <c r="B22092" s="1" t="s">
        <v>7328</v>
      </c>
      <c r="C22092" s="1" t="s">
        <v>7329</v>
      </c>
      <c r="D22092" s="22" t="str">
        <f>HYPERLINK("https://rhld.insurance.arkansas.gov/NPILookup?Npi=1144664384","1144664384")</f>
        <v>1144664384</v>
      </c>
      <c r="E22092" s="1" t="s">
        <v>1974</v>
      </c>
      <c r="F22092" s="2"/>
      <c r="G22092" s="2"/>
      <c r="H22092" s="2"/>
    </row>
    <row r="22093" spans="1:8" x14ac:dyDescent="0.25">
      <c r="A22093" s="1"/>
      <c r="B22093" s="1" t="s">
        <v>7328</v>
      </c>
      <c r="C22093" s="1" t="s">
        <v>7329</v>
      </c>
      <c r="D22093" s="22" t="str">
        <f>HYPERLINK("https://rhld.insurance.arkansas.gov/NPILookup?Npi=1144672056","1144672056")</f>
        <v>1144672056</v>
      </c>
      <c r="E22093" s="1" t="s">
        <v>725</v>
      </c>
      <c r="F22093" s="2"/>
      <c r="G22093" s="2"/>
      <c r="H22093" s="2"/>
    </row>
    <row r="22094" spans="1:8" x14ac:dyDescent="0.25">
      <c r="A22094" s="1"/>
      <c r="B22094" s="1" t="s">
        <v>7328</v>
      </c>
      <c r="C22094" s="1" t="s">
        <v>7329</v>
      </c>
      <c r="D22094" s="22" t="str">
        <f>HYPERLINK("https://rhld.insurance.arkansas.gov/NPILookup?Npi=1144672825","1144672825")</f>
        <v>1144672825</v>
      </c>
      <c r="E22094" s="1" t="s">
        <v>25769</v>
      </c>
      <c r="F22094" s="2"/>
      <c r="G22094" s="2"/>
      <c r="H22094" s="2"/>
    </row>
    <row r="22095" spans="1:8" x14ac:dyDescent="0.25">
      <c r="A22095" s="1"/>
      <c r="B22095" s="1" t="s">
        <v>7328</v>
      </c>
      <c r="C22095" s="1" t="s">
        <v>7329</v>
      </c>
      <c r="D22095" s="22" t="str">
        <f>HYPERLINK("https://rhld.insurance.arkansas.gov/NPILookup?Npi=1144681883","1144681883")</f>
        <v>1144681883</v>
      </c>
      <c r="E22095" s="1" t="s">
        <v>12766</v>
      </c>
      <c r="F22095" s="2"/>
      <c r="G22095" s="2"/>
      <c r="H22095" s="2"/>
    </row>
    <row r="22096" spans="1:8" x14ac:dyDescent="0.25">
      <c r="A22096" s="1"/>
      <c r="B22096" s="1" t="s">
        <v>7328</v>
      </c>
      <c r="C22096" s="1" t="s">
        <v>7329</v>
      </c>
      <c r="D22096" s="22" t="str">
        <f>HYPERLINK("https://rhld.insurance.arkansas.gov/NPILookup?Npi=1144683343","1144683343")</f>
        <v>1144683343</v>
      </c>
      <c r="E22096" s="1" t="s">
        <v>1975</v>
      </c>
      <c r="F22096" s="2"/>
      <c r="G22096" s="2"/>
      <c r="H22096" s="2"/>
    </row>
    <row r="22097" spans="1:8" x14ac:dyDescent="0.25">
      <c r="A22097" s="1"/>
      <c r="B22097" s="1" t="s">
        <v>7328</v>
      </c>
      <c r="C22097" s="1" t="s">
        <v>7329</v>
      </c>
      <c r="D22097" s="22" t="str">
        <f>HYPERLINK("https://rhld.insurance.arkansas.gov/NPILookup?Npi=1144691320","1144691320")</f>
        <v>1144691320</v>
      </c>
      <c r="E22097" s="1" t="s">
        <v>25770</v>
      </c>
      <c r="F22097" s="2"/>
      <c r="G22097" s="2"/>
      <c r="H22097" s="2"/>
    </row>
    <row r="22098" spans="1:8" x14ac:dyDescent="0.25">
      <c r="A22098" s="1"/>
      <c r="B22098" s="1" t="s">
        <v>7328</v>
      </c>
      <c r="C22098" s="1" t="s">
        <v>7329</v>
      </c>
      <c r="D22098" s="22" t="str">
        <f>HYPERLINK("https://rhld.insurance.arkansas.gov/NPILookup?Npi=1144693979","1144693979")</f>
        <v>1144693979</v>
      </c>
      <c r="E22098" s="1" t="s">
        <v>25771</v>
      </c>
      <c r="F22098" s="2"/>
      <c r="G22098" s="2"/>
      <c r="H22098" s="2"/>
    </row>
    <row r="22099" spans="1:8" x14ac:dyDescent="0.25">
      <c r="A22099" s="1"/>
      <c r="B22099" s="1" t="s">
        <v>7328</v>
      </c>
      <c r="C22099" s="1" t="s">
        <v>7329</v>
      </c>
      <c r="D22099" s="22" t="str">
        <f>HYPERLINK("https://rhld.insurance.arkansas.gov/NPILookup?Npi=1144698580","1144698580")</f>
        <v>1144698580</v>
      </c>
      <c r="E22099" s="1" t="s">
        <v>266</v>
      </c>
      <c r="F22099" s="2"/>
      <c r="G22099" s="2"/>
      <c r="H22099" s="2"/>
    </row>
    <row r="22100" spans="1:8" x14ac:dyDescent="0.25">
      <c r="A22100" s="1"/>
      <c r="B22100" s="1" t="s">
        <v>7328</v>
      </c>
      <c r="C22100" s="1" t="s">
        <v>7329</v>
      </c>
      <c r="D22100" s="22" t="str">
        <f>HYPERLINK("https://rhld.insurance.arkansas.gov/NPILookup?Npi=1144699984","1144699984")</f>
        <v>1144699984</v>
      </c>
      <c r="E22100" s="1" t="s">
        <v>2655</v>
      </c>
      <c r="F22100" s="2"/>
      <c r="G22100" s="2"/>
      <c r="H22100" s="2"/>
    </row>
    <row r="22101" spans="1:8" x14ac:dyDescent="0.25">
      <c r="A22101" s="1"/>
      <c r="B22101" s="1" t="s">
        <v>7328</v>
      </c>
      <c r="C22101" s="1" t="s">
        <v>7329</v>
      </c>
      <c r="D22101" s="22" t="str">
        <f>HYPERLINK("https://rhld.insurance.arkansas.gov/NPILookup?Npi=1144705047","1144705047")</f>
        <v>1144705047</v>
      </c>
      <c r="E22101" s="1" t="s">
        <v>2656</v>
      </c>
      <c r="F22101" s="2"/>
      <c r="G22101" s="2"/>
      <c r="H22101" s="2"/>
    </row>
    <row r="22102" spans="1:8" x14ac:dyDescent="0.25">
      <c r="A22102" s="1"/>
      <c r="B22102" s="1" t="s">
        <v>7328</v>
      </c>
      <c r="C22102" s="1" t="s">
        <v>7329</v>
      </c>
      <c r="D22102" s="22" t="str">
        <f>HYPERLINK("https://rhld.insurance.arkansas.gov/NPILookup?Npi=1144708058","1144708058")</f>
        <v>1144708058</v>
      </c>
      <c r="E22102" s="1" t="s">
        <v>7468</v>
      </c>
      <c r="F22102" s="2"/>
      <c r="G22102" s="2"/>
      <c r="H22102" s="2"/>
    </row>
    <row r="22103" spans="1:8" x14ac:dyDescent="0.25">
      <c r="A22103" s="1"/>
      <c r="B22103" s="1" t="s">
        <v>7328</v>
      </c>
      <c r="C22103" s="1" t="s">
        <v>7329</v>
      </c>
      <c r="D22103" s="22" t="str">
        <f>HYPERLINK("https://rhld.insurance.arkansas.gov/NPILookup?Npi=1144726993","1144726993")</f>
        <v>1144726993</v>
      </c>
      <c r="E22103" s="1" t="s">
        <v>7469</v>
      </c>
      <c r="F22103" s="2"/>
      <c r="G22103" s="2"/>
      <c r="H22103" s="2"/>
    </row>
    <row r="22104" spans="1:8" x14ac:dyDescent="0.25">
      <c r="A22104" s="1"/>
      <c r="B22104" s="1" t="s">
        <v>7328</v>
      </c>
      <c r="C22104" s="1" t="s">
        <v>7329</v>
      </c>
      <c r="D22104" s="22" t="str">
        <f>HYPERLINK("https://rhld.insurance.arkansas.gov/NPILookup?Npi=1144727108","1144727108")</f>
        <v>1144727108</v>
      </c>
      <c r="E22104" s="1" t="s">
        <v>25772</v>
      </c>
      <c r="F22104" s="2"/>
      <c r="G22104" s="2"/>
      <c r="H22104" s="2"/>
    </row>
    <row r="22105" spans="1:8" x14ac:dyDescent="0.25">
      <c r="A22105" s="1"/>
      <c r="B22105" s="1" t="s">
        <v>7328</v>
      </c>
      <c r="C22105" s="1" t="s">
        <v>7329</v>
      </c>
      <c r="D22105" s="22" t="str">
        <f>HYPERLINK("https://rhld.insurance.arkansas.gov/NPILookup?Npi=1144735424","1144735424")</f>
        <v>1144735424</v>
      </c>
      <c r="E22105" s="1" t="s">
        <v>1208</v>
      </c>
      <c r="F22105" s="2"/>
      <c r="G22105" s="2"/>
      <c r="H22105" s="2"/>
    </row>
    <row r="22106" spans="1:8" x14ac:dyDescent="0.25">
      <c r="A22106" s="1"/>
      <c r="B22106" s="1" t="s">
        <v>7328</v>
      </c>
      <c r="C22106" s="1" t="s">
        <v>7329</v>
      </c>
      <c r="D22106" s="22" t="str">
        <f>HYPERLINK("https://rhld.insurance.arkansas.gov/NPILookup?Npi=1144738725","1144738725")</f>
        <v>1144738725</v>
      </c>
      <c r="E22106" s="1" t="s">
        <v>25773</v>
      </c>
      <c r="F22106" s="2"/>
      <c r="G22106" s="2"/>
      <c r="H22106" s="2"/>
    </row>
    <row r="22107" spans="1:8" x14ac:dyDescent="0.25">
      <c r="A22107" s="1"/>
      <c r="B22107" s="1" t="s">
        <v>7328</v>
      </c>
      <c r="C22107" s="1" t="s">
        <v>7329</v>
      </c>
      <c r="D22107" s="22" t="str">
        <f>HYPERLINK("https://rhld.insurance.arkansas.gov/NPILookup?Npi=1144738964","1144738964")</f>
        <v>1144738964</v>
      </c>
      <c r="E22107" s="1" t="s">
        <v>25774</v>
      </c>
      <c r="F22107" s="2"/>
      <c r="G22107" s="2"/>
      <c r="H22107" s="2"/>
    </row>
    <row r="22108" spans="1:8" x14ac:dyDescent="0.25">
      <c r="A22108" s="1"/>
      <c r="B22108" s="1" t="s">
        <v>7328</v>
      </c>
      <c r="C22108" s="1" t="s">
        <v>7329</v>
      </c>
      <c r="D22108" s="22" t="str">
        <f>HYPERLINK("https://rhld.insurance.arkansas.gov/NPILookup?Npi=1144739798","1144739798")</f>
        <v>1144739798</v>
      </c>
      <c r="E22108" s="1" t="s">
        <v>7470</v>
      </c>
      <c r="F22108" s="2"/>
      <c r="G22108" s="2"/>
      <c r="H22108" s="2"/>
    </row>
    <row r="22109" spans="1:8" x14ac:dyDescent="0.25">
      <c r="A22109" s="1"/>
      <c r="B22109" s="1" t="s">
        <v>7328</v>
      </c>
      <c r="C22109" s="1" t="s">
        <v>7329</v>
      </c>
      <c r="D22109" s="22" t="str">
        <f>HYPERLINK("https://rhld.insurance.arkansas.gov/NPILookup?Npi=1144740796","1144740796")</f>
        <v>1144740796</v>
      </c>
      <c r="E22109" s="1" t="s">
        <v>9640</v>
      </c>
      <c r="F22109" s="2"/>
      <c r="G22109" s="2"/>
      <c r="H22109" s="2"/>
    </row>
    <row r="22110" spans="1:8" x14ac:dyDescent="0.25">
      <c r="A22110" s="1"/>
      <c r="B22110" s="1" t="s">
        <v>7328</v>
      </c>
      <c r="C22110" s="1" t="s">
        <v>7329</v>
      </c>
      <c r="D22110" s="22" t="str">
        <f>HYPERLINK("https://rhld.insurance.arkansas.gov/NPILookup?Npi=1144753302","1144753302")</f>
        <v>1144753302</v>
      </c>
      <c r="E22110" s="1" t="s">
        <v>25775</v>
      </c>
      <c r="F22110" s="2"/>
      <c r="G22110" s="2"/>
      <c r="H22110" s="2"/>
    </row>
    <row r="22111" spans="1:8" x14ac:dyDescent="0.25">
      <c r="A22111" s="1"/>
      <c r="B22111" s="1" t="s">
        <v>7328</v>
      </c>
      <c r="C22111" s="1" t="s">
        <v>7329</v>
      </c>
      <c r="D22111" s="22" t="str">
        <f>HYPERLINK("https://rhld.insurance.arkansas.gov/NPILookup?Npi=1144756545","1144756545")</f>
        <v>1144756545</v>
      </c>
      <c r="E22111" s="1" t="s">
        <v>18147</v>
      </c>
      <c r="F22111" s="2"/>
      <c r="G22111" s="2"/>
      <c r="H22111" s="2"/>
    </row>
    <row r="22112" spans="1:8" x14ac:dyDescent="0.25">
      <c r="A22112" s="1"/>
      <c r="B22112" s="1" t="s">
        <v>7328</v>
      </c>
      <c r="C22112" s="1" t="s">
        <v>7329</v>
      </c>
      <c r="D22112" s="22" t="str">
        <f>HYPERLINK("https://rhld.insurance.arkansas.gov/NPILookup?Npi=1144760687","1144760687")</f>
        <v>1144760687</v>
      </c>
      <c r="E22112" s="1" t="s">
        <v>25776</v>
      </c>
      <c r="F22112" s="2"/>
      <c r="G22112" s="2"/>
      <c r="H22112" s="2"/>
    </row>
    <row r="22113" spans="1:8" x14ac:dyDescent="0.25">
      <c r="A22113" s="1"/>
      <c r="B22113" s="1" t="s">
        <v>7328</v>
      </c>
      <c r="C22113" s="1" t="s">
        <v>7329</v>
      </c>
      <c r="D22113" s="22" t="str">
        <f>HYPERLINK("https://rhld.insurance.arkansas.gov/NPILookup?Npi=1144766288","1144766288")</f>
        <v>1144766288</v>
      </c>
      <c r="E22113" s="1" t="s">
        <v>20277</v>
      </c>
      <c r="F22113" s="2"/>
      <c r="G22113" s="2"/>
      <c r="H22113" s="2"/>
    </row>
    <row r="22114" spans="1:8" x14ac:dyDescent="0.25">
      <c r="A22114" s="1"/>
      <c r="B22114" s="1" t="s">
        <v>7328</v>
      </c>
      <c r="C22114" s="1" t="s">
        <v>7329</v>
      </c>
      <c r="D22114" s="22" t="str">
        <f>HYPERLINK("https://rhld.insurance.arkansas.gov/NPILookup?Npi=1144771296","1144771296")</f>
        <v>1144771296</v>
      </c>
      <c r="E22114" s="1" t="s">
        <v>25777</v>
      </c>
      <c r="F22114" s="2"/>
      <c r="G22114" s="2"/>
      <c r="H22114" s="2"/>
    </row>
    <row r="22115" spans="1:8" x14ac:dyDescent="0.25">
      <c r="A22115" s="1"/>
      <c r="B22115" s="1" t="s">
        <v>7328</v>
      </c>
      <c r="C22115" s="1" t="s">
        <v>7329</v>
      </c>
      <c r="D22115" s="22" t="str">
        <f>HYPERLINK("https://rhld.insurance.arkansas.gov/NPILookup?Npi=1144781022","1144781022")</f>
        <v>1144781022</v>
      </c>
      <c r="E22115" s="1" t="s">
        <v>25778</v>
      </c>
      <c r="F22115" s="2"/>
      <c r="G22115" s="2"/>
      <c r="H22115" s="2"/>
    </row>
    <row r="22116" spans="1:8" x14ac:dyDescent="0.25">
      <c r="A22116" s="1"/>
      <c r="B22116" s="1" t="s">
        <v>7328</v>
      </c>
      <c r="C22116" s="1" t="s">
        <v>7329</v>
      </c>
      <c r="D22116" s="22" t="str">
        <f>HYPERLINK("https://rhld.insurance.arkansas.gov/NPILookup?Npi=1144782020","1144782020")</f>
        <v>1144782020</v>
      </c>
      <c r="E22116" s="1" t="s">
        <v>7471</v>
      </c>
      <c r="F22116" s="2"/>
      <c r="G22116" s="2"/>
      <c r="H22116" s="2"/>
    </row>
    <row r="22117" spans="1:8" x14ac:dyDescent="0.25">
      <c r="A22117" s="1"/>
      <c r="B22117" s="1" t="s">
        <v>7328</v>
      </c>
      <c r="C22117" s="1" t="s">
        <v>7329</v>
      </c>
      <c r="D22117" s="22" t="str">
        <f>HYPERLINK("https://rhld.insurance.arkansas.gov/NPILookup?Npi=1144783200","1144783200")</f>
        <v>1144783200</v>
      </c>
      <c r="E22117" s="1" t="s">
        <v>25779</v>
      </c>
      <c r="F22117" s="2"/>
      <c r="G22117" s="2"/>
      <c r="H22117" s="2"/>
    </row>
    <row r="22118" spans="1:8" x14ac:dyDescent="0.25">
      <c r="A22118" s="1"/>
      <c r="B22118" s="1" t="s">
        <v>7328</v>
      </c>
      <c r="C22118" s="1" t="s">
        <v>7329</v>
      </c>
      <c r="D22118" s="22" t="str">
        <f>HYPERLINK("https://rhld.insurance.arkansas.gov/NPILookup?Npi=1144783788","1144783788")</f>
        <v>1144783788</v>
      </c>
      <c r="E22118" s="1" t="s">
        <v>7134</v>
      </c>
      <c r="F22118" s="2"/>
      <c r="G22118" s="2"/>
      <c r="H22118" s="2"/>
    </row>
    <row r="22119" spans="1:8" x14ac:dyDescent="0.25">
      <c r="A22119" s="1"/>
      <c r="B22119" s="1" t="s">
        <v>7328</v>
      </c>
      <c r="C22119" s="1" t="s">
        <v>7329</v>
      </c>
      <c r="D22119" s="22" t="str">
        <f>HYPERLINK("https://rhld.insurance.arkansas.gov/NPILookup?Npi=1144788068","1144788068")</f>
        <v>1144788068</v>
      </c>
      <c r="E22119" s="1" t="s">
        <v>25780</v>
      </c>
      <c r="F22119" s="2"/>
      <c r="G22119" s="2"/>
      <c r="H22119" s="2"/>
    </row>
    <row r="22120" spans="1:8" x14ac:dyDescent="0.25">
      <c r="A22120" s="1"/>
      <c r="B22120" s="1" t="s">
        <v>7328</v>
      </c>
      <c r="C22120" s="1" t="s">
        <v>7329</v>
      </c>
      <c r="D22120" s="22" t="str">
        <f>HYPERLINK("https://rhld.insurance.arkansas.gov/NPILookup?Npi=1144792334","1144792334")</f>
        <v>1144792334</v>
      </c>
      <c r="E22120" s="1" t="s">
        <v>2365</v>
      </c>
      <c r="F22120" s="2"/>
      <c r="G22120" s="2"/>
      <c r="H22120" s="2"/>
    </row>
    <row r="22121" spans="1:8" x14ac:dyDescent="0.25">
      <c r="A22121" s="1"/>
      <c r="B22121" s="1" t="s">
        <v>7328</v>
      </c>
      <c r="C22121" s="1" t="s">
        <v>7329</v>
      </c>
      <c r="D22121" s="22" t="str">
        <f>HYPERLINK("https://rhld.insurance.arkansas.gov/NPILookup?Npi=1144794827","1144794827")</f>
        <v>1144794827</v>
      </c>
      <c r="E22121" s="1" t="s">
        <v>25781</v>
      </c>
      <c r="F22121" s="2"/>
      <c r="G22121" s="2"/>
      <c r="H22121" s="2"/>
    </row>
    <row r="22122" spans="1:8" x14ac:dyDescent="0.25">
      <c r="A22122" s="1"/>
      <c r="B22122" s="1" t="s">
        <v>7328</v>
      </c>
      <c r="C22122" s="1" t="s">
        <v>7329</v>
      </c>
      <c r="D22122" s="22" t="str">
        <f>HYPERLINK("https://rhld.insurance.arkansas.gov/NPILookup?Npi=1144797101","1144797101")</f>
        <v>1144797101</v>
      </c>
      <c r="E22122" s="1" t="s">
        <v>4264</v>
      </c>
      <c r="F22122" s="2"/>
      <c r="G22122" s="2"/>
      <c r="H22122" s="2"/>
    </row>
    <row r="22123" spans="1:8" x14ac:dyDescent="0.25">
      <c r="A22123" s="1"/>
      <c r="B22123" s="1" t="s">
        <v>7328</v>
      </c>
      <c r="C22123" s="1" t="s">
        <v>7329</v>
      </c>
      <c r="D22123" s="22" t="str">
        <f>HYPERLINK("https://rhld.insurance.arkansas.gov/NPILookup?Npi=1144804022","1144804022")</f>
        <v>1144804022</v>
      </c>
      <c r="E22123" s="1" t="s">
        <v>25782</v>
      </c>
      <c r="F22123" s="2"/>
      <c r="G22123" s="2"/>
      <c r="H22123" s="2"/>
    </row>
    <row r="22124" spans="1:8" x14ac:dyDescent="0.25">
      <c r="A22124" s="1"/>
      <c r="B22124" s="1" t="s">
        <v>7328</v>
      </c>
      <c r="C22124" s="1" t="s">
        <v>7329</v>
      </c>
      <c r="D22124" s="22" t="str">
        <f>HYPERLINK("https://rhld.insurance.arkansas.gov/NPILookup?Npi=1144804725","1144804725")</f>
        <v>1144804725</v>
      </c>
      <c r="E22124" s="1" t="s">
        <v>25783</v>
      </c>
      <c r="F22124" s="2"/>
      <c r="G22124" s="2"/>
      <c r="H22124" s="2"/>
    </row>
    <row r="22125" spans="1:8" x14ac:dyDescent="0.25">
      <c r="A22125" s="1"/>
      <c r="B22125" s="1" t="s">
        <v>7328</v>
      </c>
      <c r="C22125" s="1" t="s">
        <v>7329</v>
      </c>
      <c r="D22125" s="22" t="str">
        <f>HYPERLINK("https://rhld.insurance.arkansas.gov/NPILookup?Npi=1144807488","1144807488")</f>
        <v>1144807488</v>
      </c>
      <c r="E22125" s="1" t="s">
        <v>25784</v>
      </c>
      <c r="F22125" s="2"/>
      <c r="G22125" s="2"/>
      <c r="H22125" s="2"/>
    </row>
    <row r="22126" spans="1:8" x14ac:dyDescent="0.25">
      <c r="A22126" s="1"/>
      <c r="B22126" s="1" t="s">
        <v>7328</v>
      </c>
      <c r="C22126" s="1" t="s">
        <v>7329</v>
      </c>
      <c r="D22126" s="22" t="str">
        <f>HYPERLINK("https://rhld.insurance.arkansas.gov/NPILookup?Npi=1144807694","1144807694")</f>
        <v>1144807694</v>
      </c>
      <c r="E22126" s="1" t="s">
        <v>2366</v>
      </c>
      <c r="F22126" s="2"/>
      <c r="G22126" s="2"/>
      <c r="H22126" s="2"/>
    </row>
    <row r="22127" spans="1:8" x14ac:dyDescent="0.25">
      <c r="A22127" s="1"/>
      <c r="B22127" s="1" t="s">
        <v>7328</v>
      </c>
      <c r="C22127" s="1" t="s">
        <v>7329</v>
      </c>
      <c r="D22127" s="22" t="str">
        <f>HYPERLINK("https://rhld.insurance.arkansas.gov/NPILookup?Npi=1144809138","1144809138")</f>
        <v>1144809138</v>
      </c>
      <c r="E22127" s="1" t="s">
        <v>25785</v>
      </c>
      <c r="F22127" s="2"/>
      <c r="G22127" s="2"/>
      <c r="H22127" s="2"/>
    </row>
    <row r="22128" spans="1:8" x14ac:dyDescent="0.25">
      <c r="A22128" s="1"/>
      <c r="B22128" s="1" t="s">
        <v>7328</v>
      </c>
      <c r="C22128" s="1" t="s">
        <v>7329</v>
      </c>
      <c r="D22128" s="22" t="str">
        <f>HYPERLINK("https://rhld.insurance.arkansas.gov/NPILookup?Npi=1144816430","1144816430")</f>
        <v>1144816430</v>
      </c>
      <c r="E22128" s="1" t="s">
        <v>25786</v>
      </c>
      <c r="F22128" s="2"/>
      <c r="G22128" s="2"/>
      <c r="H22128" s="2"/>
    </row>
    <row r="22129" spans="1:8" x14ac:dyDescent="0.25">
      <c r="A22129" s="1"/>
      <c r="B22129" s="1" t="s">
        <v>7328</v>
      </c>
      <c r="C22129" s="1" t="s">
        <v>7329</v>
      </c>
      <c r="D22129" s="22" t="str">
        <f>HYPERLINK("https://rhld.insurance.arkansas.gov/NPILookup?Npi=1144823360","1144823360")</f>
        <v>1144823360</v>
      </c>
      <c r="E22129" s="1" t="s">
        <v>25787</v>
      </c>
      <c r="F22129" s="2"/>
      <c r="G22129" s="2"/>
      <c r="H22129" s="2"/>
    </row>
    <row r="22130" spans="1:8" x14ac:dyDescent="0.25">
      <c r="A22130" s="1"/>
      <c r="B22130" s="1" t="s">
        <v>7328</v>
      </c>
      <c r="C22130" s="1" t="s">
        <v>7329</v>
      </c>
      <c r="D22130" s="22" t="str">
        <f>HYPERLINK("https://rhld.insurance.arkansas.gov/NPILookup?Npi=1144836347","1144836347")</f>
        <v>1144836347</v>
      </c>
      <c r="E22130" s="1" t="s">
        <v>12767</v>
      </c>
      <c r="F22130" s="2"/>
      <c r="G22130" s="2"/>
      <c r="H22130" s="2"/>
    </row>
    <row r="22131" spans="1:8" x14ac:dyDescent="0.25">
      <c r="A22131" s="1"/>
      <c r="B22131" s="1" t="s">
        <v>7328</v>
      </c>
      <c r="C22131" s="1" t="s">
        <v>7329</v>
      </c>
      <c r="D22131" s="22" t="str">
        <f>HYPERLINK("https://rhld.insurance.arkansas.gov/NPILookup?Npi=1144836909","1144836909")</f>
        <v>1144836909</v>
      </c>
      <c r="E22131" s="1" t="s">
        <v>12768</v>
      </c>
      <c r="F22131" s="2"/>
      <c r="G22131" s="2"/>
      <c r="H22131" s="2"/>
    </row>
    <row r="22132" spans="1:8" x14ac:dyDescent="0.25">
      <c r="A22132" s="1"/>
      <c r="B22132" s="1" t="s">
        <v>7328</v>
      </c>
      <c r="C22132" s="1" t="s">
        <v>7329</v>
      </c>
      <c r="D22132" s="22" t="str">
        <f>HYPERLINK("https://rhld.insurance.arkansas.gov/NPILookup?Npi=1144856998","1144856998")</f>
        <v>1144856998</v>
      </c>
      <c r="E22132" s="1" t="s">
        <v>7472</v>
      </c>
      <c r="F22132" s="2"/>
      <c r="G22132" s="2"/>
      <c r="H22132" s="2"/>
    </row>
    <row r="22133" spans="1:8" x14ac:dyDescent="0.25">
      <c r="A22133" s="1"/>
      <c r="B22133" s="1" t="s">
        <v>7328</v>
      </c>
      <c r="C22133" s="1" t="s">
        <v>7329</v>
      </c>
      <c r="D22133" s="22" t="str">
        <f>HYPERLINK("https://rhld.insurance.arkansas.gov/NPILookup?Npi=1144861709","1144861709")</f>
        <v>1144861709</v>
      </c>
      <c r="E22133" s="1" t="s">
        <v>1631</v>
      </c>
      <c r="F22133" s="2"/>
      <c r="G22133" s="2"/>
      <c r="H22133" s="2"/>
    </row>
    <row r="22134" spans="1:8" x14ac:dyDescent="0.25">
      <c r="A22134" s="1"/>
      <c r="B22134" s="1" t="s">
        <v>7328</v>
      </c>
      <c r="C22134" s="1" t="s">
        <v>7329</v>
      </c>
      <c r="D22134" s="22" t="str">
        <f>HYPERLINK("https://rhld.insurance.arkansas.gov/NPILookup?Npi=1144864539","1144864539")</f>
        <v>1144864539</v>
      </c>
      <c r="E22134" s="1" t="s">
        <v>7473</v>
      </c>
      <c r="F22134" s="2"/>
      <c r="G22134" s="2"/>
      <c r="H22134" s="2"/>
    </row>
    <row r="22135" spans="1:8" x14ac:dyDescent="0.25">
      <c r="A22135" s="1"/>
      <c r="B22135" s="1" t="s">
        <v>7328</v>
      </c>
      <c r="C22135" s="1" t="s">
        <v>7329</v>
      </c>
      <c r="D22135" s="22" t="str">
        <f>HYPERLINK("https://rhld.insurance.arkansas.gov/NPILookup?Npi=1144869827","1144869827")</f>
        <v>1144869827</v>
      </c>
      <c r="E22135" s="1" t="s">
        <v>7474</v>
      </c>
      <c r="F22135" s="2"/>
      <c r="G22135" s="2"/>
      <c r="H22135" s="2"/>
    </row>
    <row r="22136" spans="1:8" x14ac:dyDescent="0.25">
      <c r="A22136" s="1"/>
      <c r="B22136" s="1" t="s">
        <v>7328</v>
      </c>
      <c r="C22136" s="1" t="s">
        <v>7329</v>
      </c>
      <c r="D22136" s="22" t="str">
        <f>HYPERLINK("https://rhld.insurance.arkansas.gov/NPILookup?Npi=1144872839","1144872839")</f>
        <v>1144872839</v>
      </c>
      <c r="E22136" s="1" t="s">
        <v>7475</v>
      </c>
      <c r="F22136" s="2"/>
      <c r="G22136" s="2"/>
      <c r="H22136" s="2"/>
    </row>
    <row r="22137" spans="1:8" x14ac:dyDescent="0.25">
      <c r="A22137" s="1"/>
      <c r="B22137" s="1" t="s">
        <v>7328</v>
      </c>
      <c r="C22137" s="1" t="s">
        <v>7329</v>
      </c>
      <c r="D22137" s="22" t="str">
        <f>HYPERLINK("https://rhld.insurance.arkansas.gov/NPILookup?Npi=1144881665","1144881665")</f>
        <v>1144881665</v>
      </c>
      <c r="E22137" s="1" t="s">
        <v>2657</v>
      </c>
      <c r="F22137" s="2"/>
      <c r="G22137" s="2"/>
      <c r="H22137" s="2"/>
    </row>
    <row r="22138" spans="1:8" x14ac:dyDescent="0.25">
      <c r="A22138" s="1"/>
      <c r="B22138" s="1" t="s">
        <v>7328</v>
      </c>
      <c r="C22138" s="1" t="s">
        <v>7329</v>
      </c>
      <c r="D22138" s="22" t="str">
        <f>HYPERLINK("https://rhld.insurance.arkansas.gov/NPILookup?Npi=1144887001","1144887001")</f>
        <v>1144887001</v>
      </c>
      <c r="E22138" s="1" t="s">
        <v>7476</v>
      </c>
      <c r="F22138" s="2"/>
      <c r="G22138" s="2"/>
      <c r="H22138" s="2"/>
    </row>
    <row r="22139" spans="1:8" x14ac:dyDescent="0.25">
      <c r="A22139" s="1"/>
      <c r="B22139" s="1" t="s">
        <v>7328</v>
      </c>
      <c r="C22139" s="1" t="s">
        <v>7329</v>
      </c>
      <c r="D22139" s="22" t="str">
        <f>HYPERLINK("https://rhld.insurance.arkansas.gov/NPILookup?Npi=1144890526","1144890526")</f>
        <v>1144890526</v>
      </c>
      <c r="E22139" s="1" t="s">
        <v>25788</v>
      </c>
      <c r="F22139" s="2"/>
      <c r="G22139" s="2"/>
      <c r="H22139" s="2"/>
    </row>
    <row r="22140" spans="1:8" x14ac:dyDescent="0.25">
      <c r="A22140" s="1"/>
      <c r="B22140" s="1" t="s">
        <v>7328</v>
      </c>
      <c r="C22140" s="1" t="s">
        <v>7329</v>
      </c>
      <c r="D22140" s="22" t="str">
        <f>HYPERLINK("https://rhld.insurance.arkansas.gov/NPILookup?Npi=1144898057","1144898057")</f>
        <v>1144898057</v>
      </c>
      <c r="E22140" s="1" t="s">
        <v>25789</v>
      </c>
      <c r="F22140" s="2"/>
      <c r="G22140" s="2"/>
      <c r="H22140" s="2"/>
    </row>
    <row r="22141" spans="1:8" x14ac:dyDescent="0.25">
      <c r="A22141" s="1"/>
      <c r="B22141" s="1" t="s">
        <v>7328</v>
      </c>
      <c r="C22141" s="1" t="s">
        <v>7329</v>
      </c>
      <c r="D22141" s="22" t="str">
        <f>HYPERLINK("https://rhld.insurance.arkansas.gov/NPILookup?Npi=1144901125","1144901125")</f>
        <v>1144901125</v>
      </c>
      <c r="E22141" s="1" t="s">
        <v>32134</v>
      </c>
      <c r="F22141" s="2"/>
      <c r="G22141" s="2"/>
      <c r="H22141" s="2"/>
    </row>
    <row r="22142" spans="1:8" x14ac:dyDescent="0.25">
      <c r="A22142" s="1"/>
      <c r="B22142" s="1" t="s">
        <v>7328</v>
      </c>
      <c r="C22142" s="1" t="s">
        <v>7329</v>
      </c>
      <c r="D22142" s="22" t="str">
        <f>HYPERLINK("https://rhld.insurance.arkansas.gov/NPILookup?Npi=1144920281","1144920281")</f>
        <v>1144920281</v>
      </c>
      <c r="E22142" s="1" t="s">
        <v>25790</v>
      </c>
      <c r="F22142" s="2"/>
      <c r="G22142" s="2"/>
      <c r="H22142" s="2"/>
    </row>
    <row r="22143" spans="1:8" x14ac:dyDescent="0.25">
      <c r="A22143" s="1"/>
      <c r="B22143" s="1" t="s">
        <v>7328</v>
      </c>
      <c r="C22143" s="1" t="s">
        <v>7329</v>
      </c>
      <c r="D22143" s="22" t="str">
        <f>HYPERLINK("https://rhld.insurance.arkansas.gov/NPILookup?Npi=1144931916","1144931916")</f>
        <v>1144931916</v>
      </c>
      <c r="E22143" s="1" t="s">
        <v>6455</v>
      </c>
      <c r="F22143" s="2"/>
      <c r="G22143" s="2"/>
      <c r="H22143" s="2"/>
    </row>
    <row r="22144" spans="1:8" x14ac:dyDescent="0.25">
      <c r="A22144" s="1"/>
      <c r="B22144" s="1" t="s">
        <v>7328</v>
      </c>
      <c r="C22144" s="1" t="s">
        <v>7329</v>
      </c>
      <c r="D22144" s="22" t="str">
        <f>HYPERLINK("https://rhld.insurance.arkansas.gov/NPILookup?Npi=1144936147","1144936147")</f>
        <v>1144936147</v>
      </c>
      <c r="E22144" s="1" t="s">
        <v>25791</v>
      </c>
      <c r="F22144" s="2"/>
      <c r="G22144" s="2"/>
      <c r="H22144" s="2"/>
    </row>
    <row r="22145" spans="1:8" x14ac:dyDescent="0.25">
      <c r="A22145" s="1"/>
      <c r="B22145" s="1" t="s">
        <v>7328</v>
      </c>
      <c r="C22145" s="1" t="s">
        <v>7329</v>
      </c>
      <c r="D22145" s="22" t="str">
        <f>HYPERLINK("https://rhld.insurance.arkansas.gov/NPILookup?Npi=1144946260","1144946260")</f>
        <v>1144946260</v>
      </c>
      <c r="E22145" s="1" t="s">
        <v>25792</v>
      </c>
      <c r="F22145" s="2"/>
      <c r="G22145" s="2"/>
      <c r="H22145" s="2"/>
    </row>
    <row r="22146" spans="1:8" x14ac:dyDescent="0.25">
      <c r="A22146" s="1"/>
      <c r="B22146" s="1" t="s">
        <v>7328</v>
      </c>
      <c r="C22146" s="1" t="s">
        <v>7329</v>
      </c>
      <c r="D22146" s="22" t="str">
        <f>HYPERLINK("https://rhld.insurance.arkansas.gov/NPILookup?Npi=1144950098","1144950098")</f>
        <v>1144950098</v>
      </c>
      <c r="E22146" s="1" t="s">
        <v>12769</v>
      </c>
      <c r="F22146" s="2"/>
      <c r="G22146" s="2"/>
      <c r="H22146" s="2"/>
    </row>
    <row r="22147" spans="1:8" x14ac:dyDescent="0.25">
      <c r="A22147" s="1"/>
      <c r="B22147" s="1" t="s">
        <v>7328</v>
      </c>
      <c r="C22147" s="1" t="s">
        <v>7329</v>
      </c>
      <c r="D22147" s="22" t="str">
        <f>HYPERLINK("https://rhld.insurance.arkansas.gov/NPILookup?Npi=1144955139","1144955139")</f>
        <v>1144955139</v>
      </c>
      <c r="E22147" s="1" t="s">
        <v>25793</v>
      </c>
      <c r="F22147" s="2"/>
      <c r="G22147" s="2"/>
      <c r="H22147" s="2"/>
    </row>
    <row r="22148" spans="1:8" x14ac:dyDescent="0.25">
      <c r="A22148" s="1"/>
      <c r="B22148" s="1" t="s">
        <v>7328</v>
      </c>
      <c r="C22148" s="1" t="s">
        <v>7329</v>
      </c>
      <c r="D22148" s="22" t="str">
        <f>HYPERLINK("https://rhld.insurance.arkansas.gov/NPILookup?Npi=1144966375","1144966375")</f>
        <v>1144966375</v>
      </c>
      <c r="E22148" s="1" t="s">
        <v>25794</v>
      </c>
      <c r="F22148" s="2"/>
      <c r="G22148" s="2"/>
      <c r="H22148" s="2"/>
    </row>
    <row r="22149" spans="1:8" x14ac:dyDescent="0.25">
      <c r="A22149" s="1"/>
      <c r="B22149" s="1" t="s">
        <v>7328</v>
      </c>
      <c r="C22149" s="1" t="s">
        <v>7329</v>
      </c>
      <c r="D22149" s="22" t="str">
        <f>HYPERLINK("https://rhld.insurance.arkansas.gov/NPILookup?Npi=1144974320","1144974320")</f>
        <v>1144974320</v>
      </c>
      <c r="E22149" s="1" t="s">
        <v>25795</v>
      </c>
      <c r="F22149" s="2"/>
      <c r="G22149" s="2"/>
      <c r="H22149" s="2"/>
    </row>
    <row r="22150" spans="1:8" x14ac:dyDescent="0.25">
      <c r="A22150" s="1"/>
      <c r="B22150" s="1" t="s">
        <v>7328</v>
      </c>
      <c r="C22150" s="1" t="s">
        <v>7329</v>
      </c>
      <c r="D22150" s="22" t="str">
        <f>HYPERLINK("https://rhld.insurance.arkansas.gov/NPILookup?Npi=1144984451","1144984451")</f>
        <v>1144984451</v>
      </c>
      <c r="E22150" s="1" t="s">
        <v>25796</v>
      </c>
      <c r="F22150" s="2"/>
      <c r="G22150" s="2"/>
      <c r="H22150" s="2"/>
    </row>
    <row r="22151" spans="1:8" x14ac:dyDescent="0.25">
      <c r="A22151" s="1"/>
      <c r="B22151" s="1" t="s">
        <v>7328</v>
      </c>
      <c r="C22151" s="1" t="s">
        <v>7329</v>
      </c>
      <c r="D22151" s="22" t="str">
        <f>HYPERLINK("https://rhld.insurance.arkansas.gov/NPILookup?Npi=1144989500","1144989500")</f>
        <v>1144989500</v>
      </c>
      <c r="E22151" s="1" t="s">
        <v>25797</v>
      </c>
      <c r="F22151" s="2"/>
      <c r="G22151" s="2"/>
      <c r="H22151" s="2"/>
    </row>
    <row r="22152" spans="1:8" x14ac:dyDescent="0.25">
      <c r="A22152" s="1"/>
      <c r="B22152" s="1" t="s">
        <v>7328</v>
      </c>
      <c r="C22152" s="1" t="s">
        <v>7329</v>
      </c>
      <c r="D22152" s="22" t="str">
        <f>HYPERLINK("https://rhld.insurance.arkansas.gov/NPILookup?Npi=1144990623","1144990623")</f>
        <v>1144990623</v>
      </c>
      <c r="E22152" s="1" t="s">
        <v>25798</v>
      </c>
      <c r="F22152" s="2"/>
      <c r="G22152" s="2"/>
      <c r="H22152" s="2"/>
    </row>
    <row r="22153" spans="1:8" x14ac:dyDescent="0.25">
      <c r="A22153" s="1"/>
      <c r="B22153" s="1" t="s">
        <v>7328</v>
      </c>
      <c r="C22153" s="1" t="s">
        <v>7329</v>
      </c>
      <c r="D22153" s="22" t="str">
        <f>HYPERLINK("https://rhld.insurance.arkansas.gov/NPILookup?Npi=1154000917","1154000917")</f>
        <v>1154000917</v>
      </c>
      <c r="E22153" s="1" t="s">
        <v>25799</v>
      </c>
      <c r="F22153" s="2"/>
      <c r="G22153" s="2"/>
      <c r="H22153" s="2"/>
    </row>
    <row r="22154" spans="1:8" x14ac:dyDescent="0.25">
      <c r="A22154" s="1"/>
      <c r="B22154" s="1" t="s">
        <v>7328</v>
      </c>
      <c r="C22154" s="1" t="s">
        <v>7329</v>
      </c>
      <c r="D22154" s="22" t="str">
        <f>HYPERLINK("https://rhld.insurance.arkansas.gov/NPILookup?Npi=1154004950","1154004950")</f>
        <v>1154004950</v>
      </c>
      <c r="E22154" s="1" t="s">
        <v>5208</v>
      </c>
      <c r="F22154" s="2"/>
      <c r="G22154" s="2"/>
      <c r="H22154" s="2"/>
    </row>
    <row r="22155" spans="1:8" x14ac:dyDescent="0.25">
      <c r="A22155" s="1"/>
      <c r="B22155" s="1" t="s">
        <v>7328</v>
      </c>
      <c r="C22155" s="1" t="s">
        <v>7329</v>
      </c>
      <c r="D22155" s="22" t="str">
        <f>HYPERLINK("https://rhld.insurance.arkansas.gov/NPILookup?Npi=1154011872","1154011872")</f>
        <v>1154011872</v>
      </c>
      <c r="E22155" s="1" t="s">
        <v>5285</v>
      </c>
      <c r="F22155" s="2"/>
      <c r="G22155" s="2"/>
      <c r="H22155" s="2"/>
    </row>
    <row r="22156" spans="1:8" x14ac:dyDescent="0.25">
      <c r="A22156" s="1"/>
      <c r="B22156" s="1" t="s">
        <v>7328</v>
      </c>
      <c r="C22156" s="1" t="s">
        <v>7329</v>
      </c>
      <c r="D22156" s="22" t="str">
        <f>HYPERLINK("https://rhld.insurance.arkansas.gov/NPILookup?Npi=1154031987","1154031987")</f>
        <v>1154031987</v>
      </c>
      <c r="E22156" s="1" t="s">
        <v>25800</v>
      </c>
      <c r="F22156" s="2"/>
      <c r="G22156" s="2"/>
      <c r="H22156" s="2"/>
    </row>
    <row r="22157" spans="1:8" x14ac:dyDescent="0.25">
      <c r="A22157" s="1"/>
      <c r="B22157" s="1" t="s">
        <v>7328</v>
      </c>
      <c r="C22157" s="1" t="s">
        <v>7329</v>
      </c>
      <c r="D22157" s="22" t="str">
        <f>HYPERLINK("https://rhld.insurance.arkansas.gov/NPILookup?Npi=1154033140","1154033140")</f>
        <v>1154033140</v>
      </c>
      <c r="E22157" s="1" t="s">
        <v>2367</v>
      </c>
      <c r="F22157" s="2"/>
      <c r="G22157" s="2"/>
      <c r="H22157" s="2"/>
    </row>
    <row r="22158" spans="1:8" x14ac:dyDescent="0.25">
      <c r="A22158" s="1"/>
      <c r="B22158" s="1" t="s">
        <v>7328</v>
      </c>
      <c r="C22158" s="1" t="s">
        <v>7329</v>
      </c>
      <c r="D22158" s="22" t="str">
        <f>HYPERLINK("https://rhld.insurance.arkansas.gov/NPILookup?Npi=1154036721","1154036721")</f>
        <v>1154036721</v>
      </c>
      <c r="E22158" s="1" t="s">
        <v>7477</v>
      </c>
      <c r="F22158" s="2"/>
      <c r="G22158" s="2"/>
      <c r="H22158" s="2"/>
    </row>
    <row r="22159" spans="1:8" x14ac:dyDescent="0.25">
      <c r="A22159" s="1"/>
      <c r="B22159" s="1" t="s">
        <v>7328</v>
      </c>
      <c r="C22159" s="1" t="s">
        <v>7329</v>
      </c>
      <c r="D22159" s="22" t="str">
        <f>HYPERLINK("https://rhld.insurance.arkansas.gov/NPILookup?Npi=1154048262","1154048262")</f>
        <v>1154048262</v>
      </c>
      <c r="E22159" s="1" t="s">
        <v>12770</v>
      </c>
      <c r="F22159" s="2"/>
      <c r="G22159" s="2"/>
      <c r="H22159" s="2"/>
    </row>
    <row r="22160" spans="1:8" x14ac:dyDescent="0.25">
      <c r="A22160" s="1"/>
      <c r="B22160" s="1" t="s">
        <v>7328</v>
      </c>
      <c r="C22160" s="1" t="s">
        <v>7329</v>
      </c>
      <c r="D22160" s="22" t="str">
        <f>HYPERLINK("https://rhld.insurance.arkansas.gov/NPILookup?Npi=1154058816","1154058816")</f>
        <v>1154058816</v>
      </c>
      <c r="E22160" s="1" t="s">
        <v>12771</v>
      </c>
      <c r="F22160" s="2"/>
      <c r="G22160" s="2"/>
      <c r="H22160" s="2"/>
    </row>
    <row r="22161" spans="1:8" x14ac:dyDescent="0.25">
      <c r="A22161" s="1"/>
      <c r="B22161" s="1" t="s">
        <v>7328</v>
      </c>
      <c r="C22161" s="1" t="s">
        <v>7329</v>
      </c>
      <c r="D22161" s="22" t="str">
        <f>HYPERLINK("https://rhld.insurance.arkansas.gov/NPILookup?Npi=1154088805","1154088805")</f>
        <v>1154088805</v>
      </c>
      <c r="E22161" s="1" t="s">
        <v>25801</v>
      </c>
      <c r="F22161" s="2"/>
      <c r="G22161" s="2"/>
      <c r="H22161" s="2"/>
    </row>
    <row r="22162" spans="1:8" x14ac:dyDescent="0.25">
      <c r="A22162" s="1"/>
      <c r="B22162" s="1" t="s">
        <v>7328</v>
      </c>
      <c r="C22162" s="1" t="s">
        <v>7329</v>
      </c>
      <c r="D22162" s="22" t="str">
        <f>HYPERLINK("https://rhld.insurance.arkansas.gov/NPILookup?Npi=1154104206","1154104206")</f>
        <v>1154104206</v>
      </c>
      <c r="E22162" s="1" t="s">
        <v>12772</v>
      </c>
      <c r="F22162" s="2"/>
      <c r="G22162" s="2"/>
      <c r="H22162" s="2"/>
    </row>
    <row r="22163" spans="1:8" x14ac:dyDescent="0.25">
      <c r="A22163" s="1"/>
      <c r="B22163" s="1" t="s">
        <v>7328</v>
      </c>
      <c r="C22163" s="1" t="s">
        <v>7329</v>
      </c>
      <c r="D22163" s="22" t="str">
        <f>HYPERLINK("https://rhld.insurance.arkansas.gov/NPILookup?Npi=1154158699","1154158699")</f>
        <v>1154158699</v>
      </c>
      <c r="E22163" s="1" t="s">
        <v>31809</v>
      </c>
      <c r="F22163" s="2"/>
      <c r="G22163" s="2"/>
      <c r="H22163" s="2"/>
    </row>
    <row r="22164" spans="1:8" x14ac:dyDescent="0.25">
      <c r="A22164" s="1"/>
      <c r="B22164" s="1" t="s">
        <v>7328</v>
      </c>
      <c r="C22164" s="1" t="s">
        <v>7329</v>
      </c>
      <c r="D22164" s="22" t="str">
        <f>HYPERLINK("https://rhld.insurance.arkansas.gov/NPILookup?Npi=1154177160","1154177160")</f>
        <v>1154177160</v>
      </c>
      <c r="E22164" s="1" t="s">
        <v>25802</v>
      </c>
      <c r="F22164" s="2"/>
      <c r="G22164" s="2"/>
      <c r="H22164" s="2"/>
    </row>
    <row r="22165" spans="1:8" x14ac:dyDescent="0.25">
      <c r="A22165" s="1"/>
      <c r="B22165" s="1" t="s">
        <v>7328</v>
      </c>
      <c r="C22165" s="1" t="s">
        <v>7329</v>
      </c>
      <c r="D22165" s="22" t="str">
        <f>HYPERLINK("https://rhld.insurance.arkansas.gov/NPILookup?Npi=1154194579","1154194579")</f>
        <v>1154194579</v>
      </c>
      <c r="E22165" s="1" t="s">
        <v>5979</v>
      </c>
      <c r="F22165" s="2"/>
      <c r="G22165" s="2"/>
      <c r="H22165" s="2"/>
    </row>
    <row r="22166" spans="1:8" x14ac:dyDescent="0.25">
      <c r="A22166" s="1"/>
      <c r="B22166" s="1" t="s">
        <v>7328</v>
      </c>
      <c r="C22166" s="1" t="s">
        <v>7329</v>
      </c>
      <c r="D22166" s="22" t="str">
        <f>HYPERLINK("https://rhld.insurance.arkansas.gov/NPILookup?Npi=1154300705","1154300705")</f>
        <v>1154300705</v>
      </c>
      <c r="E22166" s="1" t="s">
        <v>7478</v>
      </c>
      <c r="F22166" s="2"/>
      <c r="G22166" s="2"/>
      <c r="H22166" s="2"/>
    </row>
    <row r="22167" spans="1:8" x14ac:dyDescent="0.25">
      <c r="A22167" s="1"/>
      <c r="B22167" s="1" t="s">
        <v>7328</v>
      </c>
      <c r="C22167" s="1" t="s">
        <v>7329</v>
      </c>
      <c r="D22167" s="22" t="str">
        <f>HYPERLINK("https://rhld.insurance.arkansas.gov/NPILookup?Npi=1154311595","1154311595")</f>
        <v>1154311595</v>
      </c>
      <c r="E22167" s="1" t="s">
        <v>17244</v>
      </c>
      <c r="F22167" s="2"/>
      <c r="G22167" s="2"/>
      <c r="H22167" s="2"/>
    </row>
    <row r="22168" spans="1:8" x14ac:dyDescent="0.25">
      <c r="A22168" s="1"/>
      <c r="B22168" s="1" t="s">
        <v>7328</v>
      </c>
      <c r="C22168" s="1" t="s">
        <v>7329</v>
      </c>
      <c r="D22168" s="22" t="str">
        <f>HYPERLINK("https://rhld.insurance.arkansas.gov/NPILookup?Npi=1154311959","1154311959")</f>
        <v>1154311959</v>
      </c>
      <c r="E22168" s="1" t="s">
        <v>7479</v>
      </c>
      <c r="F22168" s="2"/>
      <c r="G22168" s="2"/>
      <c r="H22168" s="2"/>
    </row>
    <row r="22169" spans="1:8" x14ac:dyDescent="0.25">
      <c r="A22169" s="1"/>
      <c r="B22169" s="1" t="s">
        <v>7328</v>
      </c>
      <c r="C22169" s="1" t="s">
        <v>7329</v>
      </c>
      <c r="D22169" s="22" t="str">
        <f>HYPERLINK("https://rhld.insurance.arkansas.gov/NPILookup?Npi=1154314771","1154314771")</f>
        <v>1154314771</v>
      </c>
      <c r="E22169" s="1" t="s">
        <v>25803</v>
      </c>
      <c r="F22169" s="2"/>
      <c r="G22169" s="2"/>
      <c r="H22169" s="2"/>
    </row>
    <row r="22170" spans="1:8" x14ac:dyDescent="0.25">
      <c r="A22170" s="1"/>
      <c r="B22170" s="1" t="s">
        <v>7328</v>
      </c>
      <c r="C22170" s="1" t="s">
        <v>7329</v>
      </c>
      <c r="D22170" s="22" t="str">
        <f>HYPERLINK("https://rhld.insurance.arkansas.gov/NPILookup?Npi=1154327237","1154327237")</f>
        <v>1154327237</v>
      </c>
      <c r="E22170" s="1" t="s">
        <v>96</v>
      </c>
      <c r="F22170" s="2"/>
      <c r="G22170" s="2"/>
      <c r="H22170" s="2"/>
    </row>
    <row r="22171" spans="1:8" x14ac:dyDescent="0.25">
      <c r="A22171" s="1"/>
      <c r="B22171" s="1" t="s">
        <v>7328</v>
      </c>
      <c r="C22171" s="1" t="s">
        <v>7329</v>
      </c>
      <c r="D22171" s="22" t="str">
        <f>HYPERLINK("https://rhld.insurance.arkansas.gov/NPILookup?Npi=1154330629","1154330629")</f>
        <v>1154330629</v>
      </c>
      <c r="E22171" s="1" t="s">
        <v>2368</v>
      </c>
      <c r="F22171" s="2"/>
      <c r="G22171" s="2"/>
      <c r="H22171" s="2"/>
    </row>
    <row r="22172" spans="1:8" x14ac:dyDescent="0.25">
      <c r="A22172" s="1"/>
      <c r="B22172" s="1" t="s">
        <v>7328</v>
      </c>
      <c r="C22172" s="1" t="s">
        <v>7329</v>
      </c>
      <c r="D22172" s="22" t="str">
        <f>HYPERLINK("https://rhld.insurance.arkansas.gov/NPILookup?Npi=1154339752","1154339752")</f>
        <v>1154339752</v>
      </c>
      <c r="E22172" s="1" t="s">
        <v>25804</v>
      </c>
      <c r="F22172" s="2"/>
      <c r="G22172" s="2"/>
      <c r="H22172" s="2"/>
    </row>
    <row r="22173" spans="1:8" x14ac:dyDescent="0.25">
      <c r="A22173" s="1"/>
      <c r="B22173" s="1" t="s">
        <v>7328</v>
      </c>
      <c r="C22173" s="1" t="s">
        <v>7329</v>
      </c>
      <c r="D22173" s="22" t="str">
        <f>HYPERLINK("https://rhld.insurance.arkansas.gov/NPILookup?Npi=1154344810","1154344810")</f>
        <v>1154344810</v>
      </c>
      <c r="E22173" s="1" t="s">
        <v>25805</v>
      </c>
      <c r="F22173" s="2"/>
      <c r="G22173" s="2"/>
      <c r="H22173" s="2"/>
    </row>
    <row r="22174" spans="1:8" x14ac:dyDescent="0.25">
      <c r="A22174" s="1"/>
      <c r="B22174" s="1" t="s">
        <v>7328</v>
      </c>
      <c r="C22174" s="1" t="s">
        <v>7329</v>
      </c>
      <c r="D22174" s="22" t="str">
        <f>HYPERLINK("https://rhld.insurance.arkansas.gov/NPILookup?Npi=1154365732","1154365732")</f>
        <v>1154365732</v>
      </c>
      <c r="E22174" s="1" t="s">
        <v>25806</v>
      </c>
      <c r="F22174" s="2"/>
      <c r="G22174" s="2"/>
      <c r="H22174" s="2"/>
    </row>
    <row r="22175" spans="1:8" x14ac:dyDescent="0.25">
      <c r="A22175" s="1"/>
      <c r="B22175" s="1" t="s">
        <v>7328</v>
      </c>
      <c r="C22175" s="1" t="s">
        <v>7329</v>
      </c>
      <c r="D22175" s="22" t="str">
        <f>HYPERLINK("https://rhld.insurance.arkansas.gov/NPILookup?Npi=1154366961","1154366961")</f>
        <v>1154366961</v>
      </c>
      <c r="E22175" s="1" t="s">
        <v>25807</v>
      </c>
      <c r="F22175" s="2"/>
      <c r="G22175" s="2"/>
      <c r="H22175" s="2"/>
    </row>
    <row r="22176" spans="1:8" x14ac:dyDescent="0.25">
      <c r="A22176" s="1"/>
      <c r="B22176" s="1" t="s">
        <v>7328</v>
      </c>
      <c r="C22176" s="1" t="s">
        <v>7329</v>
      </c>
      <c r="D22176" s="22" t="str">
        <f>HYPERLINK("https://rhld.insurance.arkansas.gov/NPILookup?Npi=1154371946","1154371946")</f>
        <v>1154371946</v>
      </c>
      <c r="E22176" s="1" t="s">
        <v>2658</v>
      </c>
      <c r="F22176" s="2"/>
      <c r="G22176" s="2"/>
      <c r="H22176" s="2"/>
    </row>
    <row r="22177" spans="1:8" x14ac:dyDescent="0.25">
      <c r="A22177" s="1"/>
      <c r="B22177" s="1" t="s">
        <v>7328</v>
      </c>
      <c r="C22177" s="1" t="s">
        <v>7329</v>
      </c>
      <c r="D22177" s="22" t="str">
        <f>HYPERLINK("https://rhld.insurance.arkansas.gov/NPILookup?Npi=1154374932","1154374932")</f>
        <v>1154374932</v>
      </c>
      <c r="E22177" s="1" t="s">
        <v>193</v>
      </c>
      <c r="F22177" s="2"/>
      <c r="G22177" s="2"/>
      <c r="H22177" s="2"/>
    </row>
    <row r="22178" spans="1:8" x14ac:dyDescent="0.25">
      <c r="A22178" s="1"/>
      <c r="B22178" s="1" t="s">
        <v>7328</v>
      </c>
      <c r="C22178" s="1" t="s">
        <v>7329</v>
      </c>
      <c r="D22178" s="22" t="str">
        <f>HYPERLINK("https://rhld.insurance.arkansas.gov/NPILookup?Npi=1154382992","1154382992")</f>
        <v>1154382992</v>
      </c>
      <c r="E22178" s="1" t="s">
        <v>21337</v>
      </c>
      <c r="F22178" s="2"/>
      <c r="G22178" s="2"/>
      <c r="H22178" s="2"/>
    </row>
    <row r="22179" spans="1:8" x14ac:dyDescent="0.25">
      <c r="A22179" s="1"/>
      <c r="B22179" s="1" t="s">
        <v>7328</v>
      </c>
      <c r="C22179" s="1" t="s">
        <v>7329</v>
      </c>
      <c r="D22179" s="22" t="str">
        <f>HYPERLINK("https://rhld.insurance.arkansas.gov/NPILookup?Npi=1154388056","1154388056")</f>
        <v>1154388056</v>
      </c>
      <c r="E22179" s="1" t="s">
        <v>2659</v>
      </c>
      <c r="F22179" s="2"/>
      <c r="G22179" s="2"/>
      <c r="H22179" s="2"/>
    </row>
    <row r="22180" spans="1:8" x14ac:dyDescent="0.25">
      <c r="A22180" s="1"/>
      <c r="B22180" s="1" t="s">
        <v>7328</v>
      </c>
      <c r="C22180" s="1" t="s">
        <v>7329</v>
      </c>
      <c r="D22180" s="22" t="str">
        <f>HYPERLINK("https://rhld.insurance.arkansas.gov/NPILookup?Npi=1154389419","1154389419")</f>
        <v>1154389419</v>
      </c>
      <c r="E22180" s="1" t="s">
        <v>32135</v>
      </c>
      <c r="F22180" s="2"/>
      <c r="G22180" s="2"/>
      <c r="H22180" s="2"/>
    </row>
    <row r="22181" spans="1:8" x14ac:dyDescent="0.25">
      <c r="A22181" s="1"/>
      <c r="B22181" s="1" t="s">
        <v>7328</v>
      </c>
      <c r="C22181" s="1" t="s">
        <v>7329</v>
      </c>
      <c r="D22181" s="22" t="str">
        <f>HYPERLINK("https://rhld.insurance.arkansas.gov/NPILookup?Npi=1154391514","1154391514")</f>
        <v>1154391514</v>
      </c>
      <c r="E22181" s="1" t="s">
        <v>12773</v>
      </c>
      <c r="F22181" s="2"/>
      <c r="G22181" s="2"/>
      <c r="H22181" s="2"/>
    </row>
    <row r="22182" spans="1:8" x14ac:dyDescent="0.25">
      <c r="A22182" s="1"/>
      <c r="B22182" s="1" t="s">
        <v>7328</v>
      </c>
      <c r="C22182" s="1" t="s">
        <v>7329</v>
      </c>
      <c r="D22182" s="22" t="str">
        <f>HYPERLINK("https://rhld.insurance.arkansas.gov/NPILookup?Npi=1154397537","1154397537")</f>
        <v>1154397537</v>
      </c>
      <c r="E22182" s="1" t="s">
        <v>25808</v>
      </c>
      <c r="F22182" s="2"/>
      <c r="G22182" s="2"/>
      <c r="H22182" s="2"/>
    </row>
    <row r="22183" spans="1:8" x14ac:dyDescent="0.25">
      <c r="A22183" s="1"/>
      <c r="B22183" s="1" t="s">
        <v>7328</v>
      </c>
      <c r="C22183" s="1" t="s">
        <v>7329</v>
      </c>
      <c r="D22183" s="22" t="str">
        <f>HYPERLINK("https://rhld.insurance.arkansas.gov/NPILookup?Npi=1154402444","1154402444")</f>
        <v>1154402444</v>
      </c>
      <c r="E22183" s="1" t="s">
        <v>25809</v>
      </c>
      <c r="F22183" s="2"/>
      <c r="G22183" s="2"/>
      <c r="H22183" s="2"/>
    </row>
    <row r="22184" spans="1:8" x14ac:dyDescent="0.25">
      <c r="A22184" s="1"/>
      <c r="B22184" s="1" t="s">
        <v>7328</v>
      </c>
      <c r="C22184" s="1" t="s">
        <v>7329</v>
      </c>
      <c r="D22184" s="22" t="str">
        <f>HYPERLINK("https://rhld.insurance.arkansas.gov/NPILookup?Npi=1154406486","1154406486")</f>
        <v>1154406486</v>
      </c>
      <c r="E22184" s="1" t="s">
        <v>1976</v>
      </c>
      <c r="F22184" s="2"/>
      <c r="G22184" s="2"/>
      <c r="H22184" s="2"/>
    </row>
    <row r="22185" spans="1:8" x14ac:dyDescent="0.25">
      <c r="A22185" s="1"/>
      <c r="B22185" s="1" t="s">
        <v>7328</v>
      </c>
      <c r="C22185" s="1" t="s">
        <v>7329</v>
      </c>
      <c r="D22185" s="22" t="str">
        <f>HYPERLINK("https://rhld.insurance.arkansas.gov/NPILookup?Npi=1154411379","1154411379")</f>
        <v>1154411379</v>
      </c>
      <c r="E22185" s="1" t="s">
        <v>2660</v>
      </c>
      <c r="F22185" s="2"/>
      <c r="G22185" s="2"/>
      <c r="H22185" s="2"/>
    </row>
    <row r="22186" spans="1:8" x14ac:dyDescent="0.25">
      <c r="A22186" s="1"/>
      <c r="B22186" s="1" t="s">
        <v>7328</v>
      </c>
      <c r="C22186" s="1" t="s">
        <v>7329</v>
      </c>
      <c r="D22186" s="22" t="str">
        <f>HYPERLINK("https://rhld.insurance.arkansas.gov/NPILookup?Npi=1154436327","1154436327")</f>
        <v>1154436327</v>
      </c>
      <c r="E22186" s="1" t="s">
        <v>12774</v>
      </c>
      <c r="F22186" s="2"/>
      <c r="G22186" s="2"/>
      <c r="H22186" s="2"/>
    </row>
    <row r="22187" spans="1:8" x14ac:dyDescent="0.25">
      <c r="A22187" s="1"/>
      <c r="B22187" s="1" t="s">
        <v>7328</v>
      </c>
      <c r="C22187" s="1" t="s">
        <v>7329</v>
      </c>
      <c r="D22187" s="22" t="str">
        <f>HYPERLINK("https://rhld.insurance.arkansas.gov/NPILookup?Npi=1154471670","1154471670")</f>
        <v>1154471670</v>
      </c>
      <c r="E22187" s="1" t="s">
        <v>25810</v>
      </c>
      <c r="F22187" s="2"/>
      <c r="G22187" s="2"/>
      <c r="H22187" s="2"/>
    </row>
    <row r="22188" spans="1:8" x14ac:dyDescent="0.25">
      <c r="A22188" s="1"/>
      <c r="B22188" s="1" t="s">
        <v>7328</v>
      </c>
      <c r="C22188" s="1" t="s">
        <v>7329</v>
      </c>
      <c r="D22188" s="22" t="str">
        <f>HYPERLINK("https://rhld.insurance.arkansas.gov/NPILookup?Npi=1154519478","1154519478")</f>
        <v>1154519478</v>
      </c>
      <c r="E22188" s="1" t="s">
        <v>7480</v>
      </c>
      <c r="F22188" s="2"/>
      <c r="G22188" s="2"/>
      <c r="H22188" s="2"/>
    </row>
    <row r="22189" spans="1:8" x14ac:dyDescent="0.25">
      <c r="A22189" s="1"/>
      <c r="B22189" s="1" t="s">
        <v>7328</v>
      </c>
      <c r="C22189" s="1" t="s">
        <v>7329</v>
      </c>
      <c r="D22189" s="22" t="str">
        <f>HYPERLINK("https://rhld.insurance.arkansas.gov/NPILookup?Npi=1154526515","1154526515")</f>
        <v>1154526515</v>
      </c>
      <c r="E22189" s="1" t="s">
        <v>2661</v>
      </c>
      <c r="F22189" s="2"/>
      <c r="G22189" s="2"/>
      <c r="H22189" s="2"/>
    </row>
    <row r="22190" spans="1:8" x14ac:dyDescent="0.25">
      <c r="A22190" s="1"/>
      <c r="B22190" s="1" t="s">
        <v>7328</v>
      </c>
      <c r="C22190" s="1" t="s">
        <v>7329</v>
      </c>
      <c r="D22190" s="22" t="str">
        <f>HYPERLINK("https://rhld.insurance.arkansas.gov/NPILookup?Npi=1154538247","1154538247")</f>
        <v>1154538247</v>
      </c>
      <c r="E22190" s="1" t="s">
        <v>25811</v>
      </c>
      <c r="F22190" s="2"/>
      <c r="G22190" s="2"/>
      <c r="H22190" s="2"/>
    </row>
    <row r="22191" spans="1:8" x14ac:dyDescent="0.25">
      <c r="A22191" s="1"/>
      <c r="B22191" s="1" t="s">
        <v>7328</v>
      </c>
      <c r="C22191" s="1" t="s">
        <v>7329</v>
      </c>
      <c r="D22191" s="22" t="str">
        <f>HYPERLINK("https://rhld.insurance.arkansas.gov/NPILookup?Npi=1154554434","1154554434")</f>
        <v>1154554434</v>
      </c>
      <c r="E22191" s="1" t="s">
        <v>25812</v>
      </c>
      <c r="F22191" s="2"/>
      <c r="G22191" s="2"/>
      <c r="H22191" s="2"/>
    </row>
    <row r="22192" spans="1:8" x14ac:dyDescent="0.25">
      <c r="A22192" s="1"/>
      <c r="B22192" s="1" t="s">
        <v>7328</v>
      </c>
      <c r="C22192" s="1" t="s">
        <v>7329</v>
      </c>
      <c r="D22192" s="22" t="str">
        <f>HYPERLINK("https://rhld.insurance.arkansas.gov/NPILookup?Npi=1154582799","1154582799")</f>
        <v>1154582799</v>
      </c>
      <c r="E22192" s="1" t="s">
        <v>17248</v>
      </c>
      <c r="F22192" s="2"/>
      <c r="G22192" s="2"/>
      <c r="H22192" s="2"/>
    </row>
    <row r="22193" spans="1:8" x14ac:dyDescent="0.25">
      <c r="A22193" s="1"/>
      <c r="B22193" s="1" t="s">
        <v>7328</v>
      </c>
      <c r="C22193" s="1" t="s">
        <v>7329</v>
      </c>
      <c r="D22193" s="22" t="str">
        <f>HYPERLINK("https://rhld.insurance.arkansas.gov/NPILookup?Npi=1154595098","1154595098")</f>
        <v>1154595098</v>
      </c>
      <c r="E22193" s="1" t="s">
        <v>25813</v>
      </c>
      <c r="F22193" s="2"/>
      <c r="G22193" s="2"/>
      <c r="H22193" s="2"/>
    </row>
    <row r="22194" spans="1:8" x14ac:dyDescent="0.25">
      <c r="A22194" s="1"/>
      <c r="B22194" s="1" t="s">
        <v>7328</v>
      </c>
      <c r="C22194" s="1" t="s">
        <v>7329</v>
      </c>
      <c r="D22194" s="22" t="str">
        <f>HYPERLINK("https://rhld.insurance.arkansas.gov/NPILookup?Npi=1154599900","1154599900")</f>
        <v>1154599900</v>
      </c>
      <c r="E22194" s="1" t="s">
        <v>2662</v>
      </c>
      <c r="F22194" s="2"/>
      <c r="G22194" s="2"/>
      <c r="H22194" s="2"/>
    </row>
    <row r="22195" spans="1:8" x14ac:dyDescent="0.25">
      <c r="A22195" s="1"/>
      <c r="B22195" s="1" t="s">
        <v>7328</v>
      </c>
      <c r="C22195" s="1" t="s">
        <v>7329</v>
      </c>
      <c r="D22195" s="22" t="str">
        <f>HYPERLINK("https://rhld.insurance.arkansas.gov/NPILookup?Npi=1154612588","1154612588")</f>
        <v>1154612588</v>
      </c>
      <c r="E22195" s="1" t="s">
        <v>7481</v>
      </c>
      <c r="F22195" s="2"/>
      <c r="G22195" s="2"/>
      <c r="H22195" s="2"/>
    </row>
    <row r="22196" spans="1:8" x14ac:dyDescent="0.25">
      <c r="A22196" s="1"/>
      <c r="B22196" s="1" t="s">
        <v>7328</v>
      </c>
      <c r="C22196" s="1" t="s">
        <v>7329</v>
      </c>
      <c r="D22196" s="22" t="str">
        <f>HYPERLINK("https://rhld.insurance.arkansas.gov/NPILookup?Npi=1154628113","1154628113")</f>
        <v>1154628113</v>
      </c>
      <c r="E22196" s="1" t="s">
        <v>25814</v>
      </c>
      <c r="F22196" s="2"/>
      <c r="G22196" s="2"/>
      <c r="H22196" s="2"/>
    </row>
    <row r="22197" spans="1:8" x14ac:dyDescent="0.25">
      <c r="A22197" s="1"/>
      <c r="B22197" s="1" t="s">
        <v>7328</v>
      </c>
      <c r="C22197" s="1" t="s">
        <v>7329</v>
      </c>
      <c r="D22197" s="22" t="str">
        <f>HYPERLINK("https://rhld.insurance.arkansas.gov/NPILookup?Npi=1154638179","1154638179")</f>
        <v>1154638179</v>
      </c>
      <c r="E22197" s="1" t="s">
        <v>2369</v>
      </c>
      <c r="F22197" s="2"/>
      <c r="G22197" s="2"/>
      <c r="H22197" s="2"/>
    </row>
    <row r="22198" spans="1:8" x14ac:dyDescent="0.25">
      <c r="A22198" s="1"/>
      <c r="B22198" s="1" t="s">
        <v>7328</v>
      </c>
      <c r="C22198" s="1" t="s">
        <v>7329</v>
      </c>
      <c r="D22198" s="22" t="str">
        <f>HYPERLINK("https://rhld.insurance.arkansas.gov/NPILookup?Npi=1154654937","1154654937")</f>
        <v>1154654937</v>
      </c>
      <c r="E22198" s="1" t="s">
        <v>7482</v>
      </c>
      <c r="F22198" s="2"/>
      <c r="G22198" s="2"/>
      <c r="H22198" s="2"/>
    </row>
    <row r="22199" spans="1:8" x14ac:dyDescent="0.25">
      <c r="A22199" s="1"/>
      <c r="B22199" s="1" t="s">
        <v>7328</v>
      </c>
      <c r="C22199" s="1" t="s">
        <v>7329</v>
      </c>
      <c r="D22199" s="22" t="str">
        <f>HYPERLINK("https://rhld.insurance.arkansas.gov/NPILookup?Npi=1154657468","1154657468")</f>
        <v>1154657468</v>
      </c>
      <c r="E22199" s="1" t="s">
        <v>25815</v>
      </c>
      <c r="F22199" s="2"/>
      <c r="G22199" s="2"/>
      <c r="H22199" s="2"/>
    </row>
    <row r="22200" spans="1:8" x14ac:dyDescent="0.25">
      <c r="A22200" s="1"/>
      <c r="B22200" s="1" t="s">
        <v>7328</v>
      </c>
      <c r="C22200" s="1" t="s">
        <v>7329</v>
      </c>
      <c r="D22200" s="22" t="str">
        <f>HYPERLINK("https://rhld.insurance.arkansas.gov/NPILookup?Npi=1154659100","1154659100")</f>
        <v>1154659100</v>
      </c>
      <c r="E22200" s="1" t="s">
        <v>1977</v>
      </c>
      <c r="F22200" s="2"/>
      <c r="G22200" s="2"/>
      <c r="H22200" s="2"/>
    </row>
    <row r="22201" spans="1:8" x14ac:dyDescent="0.25">
      <c r="A22201" s="1"/>
      <c r="B22201" s="1" t="s">
        <v>7328</v>
      </c>
      <c r="C22201" s="1" t="s">
        <v>7329</v>
      </c>
      <c r="D22201" s="22" t="str">
        <f>HYPERLINK("https://rhld.insurance.arkansas.gov/NPILookup?Npi=1154664316","1154664316")</f>
        <v>1154664316</v>
      </c>
      <c r="E22201" s="1" t="s">
        <v>257</v>
      </c>
      <c r="F22201" s="2"/>
      <c r="G22201" s="2"/>
      <c r="H22201" s="2"/>
    </row>
    <row r="22202" spans="1:8" x14ac:dyDescent="0.25">
      <c r="A22202" s="1"/>
      <c r="B22202" s="1" t="s">
        <v>7328</v>
      </c>
      <c r="C22202" s="1" t="s">
        <v>7329</v>
      </c>
      <c r="D22202" s="22" t="str">
        <f>HYPERLINK("https://rhld.insurance.arkansas.gov/NPILookup?Npi=1154684355","1154684355")</f>
        <v>1154684355</v>
      </c>
      <c r="E22202" s="1" t="s">
        <v>17250</v>
      </c>
      <c r="F22202" s="2"/>
      <c r="G22202" s="2"/>
      <c r="H22202" s="2"/>
    </row>
    <row r="22203" spans="1:8" x14ac:dyDescent="0.25">
      <c r="A22203" s="1"/>
      <c r="B22203" s="1" t="s">
        <v>7328</v>
      </c>
      <c r="C22203" s="1" t="s">
        <v>7329</v>
      </c>
      <c r="D22203" s="22" t="str">
        <f>HYPERLINK("https://rhld.insurance.arkansas.gov/NPILookup?Npi=1154688059","1154688059")</f>
        <v>1154688059</v>
      </c>
      <c r="E22203" s="1" t="s">
        <v>25816</v>
      </c>
      <c r="F22203" s="2"/>
      <c r="G22203" s="2"/>
      <c r="H22203" s="2"/>
    </row>
    <row r="22204" spans="1:8" x14ac:dyDescent="0.25">
      <c r="A22204" s="1"/>
      <c r="B22204" s="1" t="s">
        <v>7328</v>
      </c>
      <c r="C22204" s="1" t="s">
        <v>7329</v>
      </c>
      <c r="D22204" s="22" t="str">
        <f>HYPERLINK("https://rhld.insurance.arkansas.gov/NPILookup?Npi=1154696607","1154696607")</f>
        <v>1154696607</v>
      </c>
      <c r="E22204" s="1" t="s">
        <v>1750</v>
      </c>
      <c r="F22204" s="2"/>
      <c r="G22204" s="2"/>
      <c r="H22204" s="2"/>
    </row>
    <row r="22205" spans="1:8" x14ac:dyDescent="0.25">
      <c r="A22205" s="1"/>
      <c r="B22205" s="1" t="s">
        <v>7328</v>
      </c>
      <c r="C22205" s="1" t="s">
        <v>7329</v>
      </c>
      <c r="D22205" s="22" t="str">
        <f>HYPERLINK("https://rhld.insurance.arkansas.gov/NPILookup?Npi=1154697829","1154697829")</f>
        <v>1154697829</v>
      </c>
      <c r="E22205" s="1" t="s">
        <v>25817</v>
      </c>
      <c r="F22205" s="2"/>
      <c r="G22205" s="2"/>
      <c r="H22205" s="2"/>
    </row>
    <row r="22206" spans="1:8" x14ac:dyDescent="0.25">
      <c r="A22206" s="1"/>
      <c r="B22206" s="1" t="s">
        <v>7328</v>
      </c>
      <c r="C22206" s="1" t="s">
        <v>7329</v>
      </c>
      <c r="D22206" s="22" t="str">
        <f>HYPERLINK("https://rhld.insurance.arkansas.gov/NPILookup?Npi=1154727378","1154727378")</f>
        <v>1154727378</v>
      </c>
      <c r="E22206" s="1" t="s">
        <v>12775</v>
      </c>
      <c r="F22206" s="2"/>
      <c r="G22206" s="2"/>
      <c r="H22206" s="2"/>
    </row>
    <row r="22207" spans="1:8" x14ac:dyDescent="0.25">
      <c r="A22207" s="1"/>
      <c r="B22207" s="1" t="s">
        <v>7328</v>
      </c>
      <c r="C22207" s="1" t="s">
        <v>7329</v>
      </c>
      <c r="D22207" s="22" t="str">
        <f>HYPERLINK("https://rhld.insurance.arkansas.gov/NPILookup?Npi=1154730166","1154730166")</f>
        <v>1154730166</v>
      </c>
      <c r="E22207" s="1" t="s">
        <v>25818</v>
      </c>
      <c r="F22207" s="2"/>
      <c r="G22207" s="2"/>
      <c r="H22207" s="2"/>
    </row>
    <row r="22208" spans="1:8" x14ac:dyDescent="0.25">
      <c r="A22208" s="1"/>
      <c r="B22208" s="1" t="s">
        <v>7328</v>
      </c>
      <c r="C22208" s="1" t="s">
        <v>7329</v>
      </c>
      <c r="D22208" s="22" t="str">
        <f>HYPERLINK("https://rhld.insurance.arkansas.gov/NPILookup?Npi=1154736262","1154736262")</f>
        <v>1154736262</v>
      </c>
      <c r="E22208" s="1" t="s">
        <v>12776</v>
      </c>
      <c r="F22208" s="2"/>
      <c r="G22208" s="2"/>
      <c r="H22208" s="2"/>
    </row>
    <row r="22209" spans="1:8" x14ac:dyDescent="0.25">
      <c r="A22209" s="1"/>
      <c r="B22209" s="1" t="s">
        <v>7328</v>
      </c>
      <c r="C22209" s="1" t="s">
        <v>7329</v>
      </c>
      <c r="D22209" s="22" t="str">
        <f>HYPERLINK("https://rhld.insurance.arkansas.gov/NPILookup?Npi=1154773521","1154773521")</f>
        <v>1154773521</v>
      </c>
      <c r="E22209" s="1" t="s">
        <v>2663</v>
      </c>
      <c r="F22209" s="2"/>
      <c r="G22209" s="2"/>
      <c r="H22209" s="2"/>
    </row>
    <row r="22210" spans="1:8" x14ac:dyDescent="0.25">
      <c r="A22210" s="1"/>
      <c r="B22210" s="1" t="s">
        <v>7328</v>
      </c>
      <c r="C22210" s="1" t="s">
        <v>7329</v>
      </c>
      <c r="D22210" s="22" t="str">
        <f>HYPERLINK("https://rhld.insurance.arkansas.gov/NPILookup?Npi=1154776409","1154776409")</f>
        <v>1154776409</v>
      </c>
      <c r="E22210" s="1" t="s">
        <v>1106</v>
      </c>
      <c r="F22210" s="2"/>
      <c r="G22210" s="2"/>
      <c r="H22210" s="2"/>
    </row>
    <row r="22211" spans="1:8" x14ac:dyDescent="0.25">
      <c r="A22211" s="1"/>
      <c r="B22211" s="1" t="s">
        <v>7328</v>
      </c>
      <c r="C22211" s="1" t="s">
        <v>7329</v>
      </c>
      <c r="D22211" s="22" t="str">
        <f>HYPERLINK("https://rhld.insurance.arkansas.gov/NPILookup?Npi=1154790111","1154790111")</f>
        <v>1154790111</v>
      </c>
      <c r="E22211" s="1" t="s">
        <v>25819</v>
      </c>
      <c r="F22211" s="2"/>
      <c r="G22211" s="2"/>
      <c r="H22211" s="2"/>
    </row>
    <row r="22212" spans="1:8" x14ac:dyDescent="0.25">
      <c r="A22212" s="1"/>
      <c r="B22212" s="1" t="s">
        <v>7328</v>
      </c>
      <c r="C22212" s="1" t="s">
        <v>7329</v>
      </c>
      <c r="D22212" s="22" t="str">
        <f>HYPERLINK("https://rhld.insurance.arkansas.gov/NPILookup?Npi=1154796365","1154796365")</f>
        <v>1154796365</v>
      </c>
      <c r="E22212" s="1" t="s">
        <v>3437</v>
      </c>
      <c r="F22212" s="2"/>
      <c r="G22212" s="2"/>
      <c r="H22212" s="2"/>
    </row>
    <row r="22213" spans="1:8" x14ac:dyDescent="0.25">
      <c r="A22213" s="1"/>
      <c r="B22213" s="1" t="s">
        <v>7328</v>
      </c>
      <c r="C22213" s="1" t="s">
        <v>7329</v>
      </c>
      <c r="D22213" s="22" t="str">
        <f>HYPERLINK("https://rhld.insurance.arkansas.gov/NPILookup?Npi=1154800704","1154800704")</f>
        <v>1154800704</v>
      </c>
      <c r="E22213" s="1" t="s">
        <v>25820</v>
      </c>
      <c r="F22213" s="2"/>
      <c r="G22213" s="2"/>
      <c r="H22213" s="2"/>
    </row>
    <row r="22214" spans="1:8" x14ac:dyDescent="0.25">
      <c r="A22214" s="1"/>
      <c r="B22214" s="1" t="s">
        <v>7328</v>
      </c>
      <c r="C22214" s="1" t="s">
        <v>7329</v>
      </c>
      <c r="D22214" s="22" t="str">
        <f>HYPERLINK("https://rhld.insurance.arkansas.gov/NPILookup?Npi=1154808145","1154808145")</f>
        <v>1154808145</v>
      </c>
      <c r="E22214" s="1" t="s">
        <v>25821</v>
      </c>
      <c r="F22214" s="2"/>
      <c r="G22214" s="2"/>
      <c r="H22214" s="2"/>
    </row>
    <row r="22215" spans="1:8" x14ac:dyDescent="0.25">
      <c r="A22215" s="1"/>
      <c r="B22215" s="1" t="s">
        <v>7328</v>
      </c>
      <c r="C22215" s="1" t="s">
        <v>7329</v>
      </c>
      <c r="D22215" s="22" t="str">
        <f>HYPERLINK("https://rhld.insurance.arkansas.gov/NPILookup?Npi=1154810612","1154810612")</f>
        <v>1154810612</v>
      </c>
      <c r="E22215" s="1" t="s">
        <v>12777</v>
      </c>
      <c r="F22215" s="2"/>
      <c r="G22215" s="2"/>
      <c r="H22215" s="2"/>
    </row>
    <row r="22216" spans="1:8" x14ac:dyDescent="0.25">
      <c r="A22216" s="1"/>
      <c r="B22216" s="1" t="s">
        <v>7328</v>
      </c>
      <c r="C22216" s="1" t="s">
        <v>7329</v>
      </c>
      <c r="D22216" s="22" t="str">
        <f>HYPERLINK("https://rhld.insurance.arkansas.gov/NPILookup?Npi=1154815843","1154815843")</f>
        <v>1154815843</v>
      </c>
      <c r="E22216" s="1" t="s">
        <v>25822</v>
      </c>
      <c r="F22216" s="2"/>
      <c r="G22216" s="2"/>
      <c r="H22216" s="2"/>
    </row>
    <row r="22217" spans="1:8" x14ac:dyDescent="0.25">
      <c r="A22217" s="1"/>
      <c r="B22217" s="1" t="s">
        <v>7328</v>
      </c>
      <c r="C22217" s="1" t="s">
        <v>7329</v>
      </c>
      <c r="D22217" s="22" t="str">
        <f>HYPERLINK("https://rhld.insurance.arkansas.gov/NPILookup?Npi=1154816098","1154816098")</f>
        <v>1154816098</v>
      </c>
      <c r="E22217" s="1" t="s">
        <v>25823</v>
      </c>
      <c r="F22217" s="2"/>
      <c r="G22217" s="2"/>
      <c r="H22217" s="2"/>
    </row>
    <row r="22218" spans="1:8" x14ac:dyDescent="0.25">
      <c r="A22218" s="1"/>
      <c r="B22218" s="1" t="s">
        <v>7328</v>
      </c>
      <c r="C22218" s="1" t="s">
        <v>7329</v>
      </c>
      <c r="D22218" s="22" t="str">
        <f>HYPERLINK("https://rhld.insurance.arkansas.gov/NPILookup?Npi=1154824803","1154824803")</f>
        <v>1154824803</v>
      </c>
      <c r="E22218" s="1" t="s">
        <v>25824</v>
      </c>
      <c r="F22218" s="2"/>
      <c r="G22218" s="2"/>
      <c r="H22218" s="2"/>
    </row>
    <row r="22219" spans="1:8" x14ac:dyDescent="0.25">
      <c r="A22219" s="1"/>
      <c r="B22219" s="1" t="s">
        <v>7328</v>
      </c>
      <c r="C22219" s="1" t="s">
        <v>7329</v>
      </c>
      <c r="D22219" s="22" t="str">
        <f>HYPERLINK("https://rhld.insurance.arkansas.gov/NPILookup?Npi=1154828457","1154828457")</f>
        <v>1154828457</v>
      </c>
      <c r="E22219" s="1" t="s">
        <v>12778</v>
      </c>
      <c r="F22219" s="2"/>
      <c r="G22219" s="2"/>
      <c r="H22219" s="2"/>
    </row>
    <row r="22220" spans="1:8" x14ac:dyDescent="0.25">
      <c r="A22220" s="1"/>
      <c r="B22220" s="1" t="s">
        <v>7328</v>
      </c>
      <c r="C22220" s="1" t="s">
        <v>7329</v>
      </c>
      <c r="D22220" s="22" t="str">
        <f>HYPERLINK("https://rhld.insurance.arkansas.gov/NPILookup?Npi=1154838704","1154838704")</f>
        <v>1154838704</v>
      </c>
      <c r="E22220" s="1" t="s">
        <v>12779</v>
      </c>
      <c r="F22220" s="2"/>
      <c r="G22220" s="2"/>
      <c r="H22220" s="2"/>
    </row>
    <row r="22221" spans="1:8" x14ac:dyDescent="0.25">
      <c r="A22221" s="1"/>
      <c r="B22221" s="1" t="s">
        <v>7328</v>
      </c>
      <c r="C22221" s="1" t="s">
        <v>7329</v>
      </c>
      <c r="D22221" s="22" t="str">
        <f>HYPERLINK("https://rhld.insurance.arkansas.gov/NPILookup?Npi=1154842409","1154842409")</f>
        <v>1154842409</v>
      </c>
      <c r="E22221" s="1" t="s">
        <v>12780</v>
      </c>
      <c r="F22221" s="2"/>
      <c r="G22221" s="2"/>
      <c r="H22221" s="2"/>
    </row>
    <row r="22222" spans="1:8" x14ac:dyDescent="0.25">
      <c r="A22222" s="1"/>
      <c r="B22222" s="1" t="s">
        <v>7328</v>
      </c>
      <c r="C22222" s="1" t="s">
        <v>7329</v>
      </c>
      <c r="D22222" s="22" t="str">
        <f>HYPERLINK("https://rhld.insurance.arkansas.gov/NPILookup?Npi=1154852499","1154852499")</f>
        <v>1154852499</v>
      </c>
      <c r="E22222" s="1" t="s">
        <v>2664</v>
      </c>
      <c r="F22222" s="2"/>
      <c r="G22222" s="2"/>
      <c r="H22222" s="2"/>
    </row>
    <row r="22223" spans="1:8" x14ac:dyDescent="0.25">
      <c r="A22223" s="1"/>
      <c r="B22223" s="1" t="s">
        <v>7328</v>
      </c>
      <c r="C22223" s="1" t="s">
        <v>7329</v>
      </c>
      <c r="D22223" s="22" t="str">
        <f>HYPERLINK("https://rhld.insurance.arkansas.gov/NPILookup?Npi=1154869139","1154869139")</f>
        <v>1154869139</v>
      </c>
      <c r="E22223" s="1" t="s">
        <v>25825</v>
      </c>
      <c r="F22223" s="2"/>
      <c r="G22223" s="2"/>
      <c r="H22223" s="2"/>
    </row>
    <row r="22224" spans="1:8" x14ac:dyDescent="0.25">
      <c r="A22224" s="1"/>
      <c r="B22224" s="1" t="s">
        <v>7328</v>
      </c>
      <c r="C22224" s="1" t="s">
        <v>7329</v>
      </c>
      <c r="D22224" s="22" t="str">
        <f>HYPERLINK("https://rhld.insurance.arkansas.gov/NPILookup?Npi=1154876365","1154876365")</f>
        <v>1154876365</v>
      </c>
      <c r="E22224" s="1" t="s">
        <v>726</v>
      </c>
      <c r="F22224" s="2"/>
      <c r="G22224" s="2"/>
      <c r="H22224" s="2"/>
    </row>
    <row r="22225" spans="1:8" x14ac:dyDescent="0.25">
      <c r="A22225" s="1"/>
      <c r="B22225" s="1" t="s">
        <v>7328</v>
      </c>
      <c r="C22225" s="1" t="s">
        <v>7329</v>
      </c>
      <c r="D22225" s="22" t="str">
        <f>HYPERLINK("https://rhld.insurance.arkansas.gov/NPILookup?Npi=1154883049","1154883049")</f>
        <v>1154883049</v>
      </c>
      <c r="E22225" s="1" t="s">
        <v>12781</v>
      </c>
      <c r="F22225" s="2"/>
      <c r="G22225" s="2"/>
      <c r="H22225" s="2"/>
    </row>
    <row r="22226" spans="1:8" x14ac:dyDescent="0.25">
      <c r="A22226" s="1"/>
      <c r="B22226" s="1" t="s">
        <v>7328</v>
      </c>
      <c r="C22226" s="1" t="s">
        <v>7329</v>
      </c>
      <c r="D22226" s="22" t="str">
        <f>HYPERLINK("https://rhld.insurance.arkansas.gov/NPILookup?Npi=1154889707","1154889707")</f>
        <v>1154889707</v>
      </c>
      <c r="E22226" s="1" t="s">
        <v>12782</v>
      </c>
      <c r="F22226" s="2"/>
      <c r="G22226" s="2"/>
      <c r="H22226" s="2"/>
    </row>
    <row r="22227" spans="1:8" x14ac:dyDescent="0.25">
      <c r="A22227" s="1"/>
      <c r="B22227" s="1" t="s">
        <v>7328</v>
      </c>
      <c r="C22227" s="1" t="s">
        <v>7329</v>
      </c>
      <c r="D22227" s="22" t="str">
        <f>HYPERLINK("https://rhld.insurance.arkansas.gov/NPILookup?Npi=1154897486","1154897486")</f>
        <v>1154897486</v>
      </c>
      <c r="E22227" s="1" t="s">
        <v>25826</v>
      </c>
      <c r="F22227" s="2"/>
      <c r="G22227" s="2"/>
      <c r="H22227" s="2"/>
    </row>
    <row r="22228" spans="1:8" x14ac:dyDescent="0.25">
      <c r="A22228" s="1"/>
      <c r="B22228" s="1" t="s">
        <v>7328</v>
      </c>
      <c r="C22228" s="1" t="s">
        <v>7329</v>
      </c>
      <c r="D22228" s="22" t="str">
        <f>HYPERLINK("https://rhld.insurance.arkansas.gov/NPILookup?Npi=1154897601","1154897601")</f>
        <v>1154897601</v>
      </c>
      <c r="E22228" s="1" t="s">
        <v>25827</v>
      </c>
      <c r="F22228" s="2"/>
      <c r="G22228" s="2"/>
      <c r="H22228" s="2"/>
    </row>
    <row r="22229" spans="1:8" x14ac:dyDescent="0.25">
      <c r="A22229" s="1"/>
      <c r="B22229" s="1" t="s">
        <v>7328</v>
      </c>
      <c r="C22229" s="1" t="s">
        <v>7329</v>
      </c>
      <c r="D22229" s="22" t="str">
        <f>HYPERLINK("https://rhld.insurance.arkansas.gov/NPILookup?Npi=1154912251","1154912251")</f>
        <v>1154912251</v>
      </c>
      <c r="E22229" s="1" t="s">
        <v>25828</v>
      </c>
      <c r="F22229" s="2"/>
      <c r="G22229" s="2"/>
      <c r="H22229" s="2"/>
    </row>
    <row r="22230" spans="1:8" x14ac:dyDescent="0.25">
      <c r="A22230" s="1"/>
      <c r="B22230" s="1" t="s">
        <v>7328</v>
      </c>
      <c r="C22230" s="1" t="s">
        <v>7329</v>
      </c>
      <c r="D22230" s="22" t="str">
        <f>HYPERLINK("https://rhld.insurance.arkansas.gov/NPILookup?Npi=1154915007","1154915007")</f>
        <v>1154915007</v>
      </c>
      <c r="E22230" s="1" t="s">
        <v>25829</v>
      </c>
      <c r="F22230" s="2"/>
      <c r="G22230" s="2"/>
      <c r="H22230" s="2"/>
    </row>
    <row r="22231" spans="1:8" x14ac:dyDescent="0.25">
      <c r="A22231" s="1"/>
      <c r="B22231" s="1" t="s">
        <v>7328</v>
      </c>
      <c r="C22231" s="1" t="s">
        <v>7329</v>
      </c>
      <c r="D22231" s="22" t="str">
        <f>HYPERLINK("https://rhld.insurance.arkansas.gov/NPILookup?Npi=1154921047","1154921047")</f>
        <v>1154921047</v>
      </c>
      <c r="E22231" s="1" t="s">
        <v>12783</v>
      </c>
      <c r="F22231" s="2"/>
      <c r="G22231" s="2"/>
      <c r="H22231" s="2"/>
    </row>
    <row r="22232" spans="1:8" x14ac:dyDescent="0.25">
      <c r="A22232" s="1"/>
      <c r="B22232" s="1" t="s">
        <v>7328</v>
      </c>
      <c r="C22232" s="1" t="s">
        <v>7329</v>
      </c>
      <c r="D22232" s="22" t="str">
        <f>HYPERLINK("https://rhld.insurance.arkansas.gov/NPILookup?Npi=1154932655","1154932655")</f>
        <v>1154932655</v>
      </c>
      <c r="E22232" s="1" t="s">
        <v>7483</v>
      </c>
      <c r="F22232" s="2"/>
      <c r="G22232" s="2"/>
      <c r="H22232" s="2"/>
    </row>
    <row r="22233" spans="1:8" x14ac:dyDescent="0.25">
      <c r="A22233" s="1"/>
      <c r="B22233" s="1" t="s">
        <v>7328</v>
      </c>
      <c r="C22233" s="1" t="s">
        <v>7329</v>
      </c>
      <c r="D22233" s="22" t="str">
        <f>HYPERLINK("https://rhld.insurance.arkansas.gov/NPILookup?Npi=1154935757","1154935757")</f>
        <v>1154935757</v>
      </c>
      <c r="E22233" s="1" t="s">
        <v>12784</v>
      </c>
      <c r="F22233" s="2"/>
      <c r="G22233" s="2"/>
      <c r="H22233" s="2"/>
    </row>
    <row r="22234" spans="1:8" x14ac:dyDescent="0.25">
      <c r="A22234" s="1"/>
      <c r="B22234" s="1" t="s">
        <v>7328</v>
      </c>
      <c r="C22234" s="1" t="s">
        <v>7329</v>
      </c>
      <c r="D22234" s="22" t="str">
        <f>HYPERLINK("https://rhld.insurance.arkansas.gov/NPILookup?Npi=1154951127","1154951127")</f>
        <v>1154951127</v>
      </c>
      <c r="E22234" s="1" t="s">
        <v>20143</v>
      </c>
      <c r="F22234" s="2"/>
      <c r="G22234" s="2"/>
      <c r="H22234" s="2"/>
    </row>
    <row r="22235" spans="1:8" x14ac:dyDescent="0.25">
      <c r="A22235" s="1"/>
      <c r="B22235" s="1" t="s">
        <v>7328</v>
      </c>
      <c r="C22235" s="1" t="s">
        <v>7329</v>
      </c>
      <c r="D22235" s="22" t="str">
        <f>HYPERLINK("https://rhld.insurance.arkansas.gov/NPILookup?Npi=1154951739","1154951739")</f>
        <v>1154951739</v>
      </c>
      <c r="E22235" s="1" t="s">
        <v>12785</v>
      </c>
      <c r="F22235" s="2"/>
      <c r="G22235" s="2"/>
      <c r="H22235" s="2"/>
    </row>
    <row r="22236" spans="1:8" x14ac:dyDescent="0.25">
      <c r="A22236" s="1"/>
      <c r="B22236" s="1" t="s">
        <v>7328</v>
      </c>
      <c r="C22236" s="1" t="s">
        <v>7329</v>
      </c>
      <c r="D22236" s="22" t="str">
        <f>HYPERLINK("https://rhld.insurance.arkansas.gov/NPILookup?Npi=1154959559","1154959559")</f>
        <v>1154959559</v>
      </c>
      <c r="E22236" s="1" t="s">
        <v>25830</v>
      </c>
      <c r="F22236" s="2"/>
      <c r="G22236" s="2"/>
      <c r="H22236" s="2"/>
    </row>
    <row r="22237" spans="1:8" x14ac:dyDescent="0.25">
      <c r="A22237" s="1"/>
      <c r="B22237" s="1" t="s">
        <v>7328</v>
      </c>
      <c r="C22237" s="1" t="s">
        <v>7329</v>
      </c>
      <c r="D22237" s="22" t="str">
        <f>HYPERLINK("https://rhld.insurance.arkansas.gov/NPILookup?Npi=1154960011","1154960011")</f>
        <v>1154960011</v>
      </c>
      <c r="E22237" s="1" t="s">
        <v>25831</v>
      </c>
      <c r="F22237" s="2"/>
      <c r="G22237" s="2"/>
      <c r="H22237" s="2"/>
    </row>
    <row r="22238" spans="1:8" x14ac:dyDescent="0.25">
      <c r="A22238" s="1"/>
      <c r="B22238" s="1" t="s">
        <v>7328</v>
      </c>
      <c r="C22238" s="1" t="s">
        <v>7329</v>
      </c>
      <c r="D22238" s="22" t="str">
        <f>HYPERLINK("https://rhld.insurance.arkansas.gov/NPILookup?Npi=1154965036","1154965036")</f>
        <v>1154965036</v>
      </c>
      <c r="E22238" s="1" t="s">
        <v>25832</v>
      </c>
      <c r="F22238" s="2"/>
      <c r="G22238" s="2"/>
      <c r="H22238" s="2"/>
    </row>
    <row r="22239" spans="1:8" x14ac:dyDescent="0.25">
      <c r="A22239" s="1"/>
      <c r="B22239" s="1" t="s">
        <v>7328</v>
      </c>
      <c r="C22239" s="1" t="s">
        <v>7329</v>
      </c>
      <c r="D22239" s="22" t="str">
        <f>HYPERLINK("https://rhld.insurance.arkansas.gov/NPILookup?Npi=1154981710","1154981710")</f>
        <v>1154981710</v>
      </c>
      <c r="E22239" s="1" t="s">
        <v>10235</v>
      </c>
      <c r="F22239" s="2"/>
      <c r="G22239" s="2"/>
      <c r="H22239" s="2"/>
    </row>
    <row r="22240" spans="1:8" x14ac:dyDescent="0.25">
      <c r="A22240" s="1"/>
      <c r="B22240" s="1" t="s">
        <v>7328</v>
      </c>
      <c r="C22240" s="1" t="s">
        <v>7329</v>
      </c>
      <c r="D22240" s="22" t="str">
        <f>HYPERLINK("https://rhld.insurance.arkansas.gov/NPILookup?Npi=1154986560","1154986560")</f>
        <v>1154986560</v>
      </c>
      <c r="E22240" s="1" t="s">
        <v>25833</v>
      </c>
      <c r="F22240" s="2"/>
      <c r="G22240" s="2"/>
      <c r="H22240" s="2"/>
    </row>
    <row r="22241" spans="1:8" x14ac:dyDescent="0.25">
      <c r="A22241" s="1"/>
      <c r="B22241" s="1" t="s">
        <v>7328</v>
      </c>
      <c r="C22241" s="1" t="s">
        <v>7329</v>
      </c>
      <c r="D22241" s="22" t="str">
        <f>HYPERLINK("https://rhld.insurance.arkansas.gov/NPILookup?Npi=1154991057","1154991057")</f>
        <v>1154991057</v>
      </c>
      <c r="E22241" s="1" t="s">
        <v>25834</v>
      </c>
      <c r="F22241" s="2"/>
      <c r="G22241" s="2"/>
      <c r="H22241" s="2"/>
    </row>
    <row r="22242" spans="1:8" x14ac:dyDescent="0.25">
      <c r="A22242" s="1"/>
      <c r="B22242" s="1" t="s">
        <v>7328</v>
      </c>
      <c r="C22242" s="1" t="s">
        <v>7329</v>
      </c>
      <c r="D22242" s="22" t="str">
        <f>HYPERLINK("https://rhld.insurance.arkansas.gov/NPILookup?Npi=1154999225","1154999225")</f>
        <v>1154999225</v>
      </c>
      <c r="E22242" s="1" t="s">
        <v>12786</v>
      </c>
      <c r="F22242" s="2"/>
      <c r="G22242" s="2"/>
      <c r="H22242" s="2"/>
    </row>
    <row r="22243" spans="1:8" x14ac:dyDescent="0.25">
      <c r="A22243" s="1"/>
      <c r="B22243" s="1" t="s">
        <v>7328</v>
      </c>
      <c r="C22243" s="1" t="s">
        <v>7329</v>
      </c>
      <c r="D22243" s="22" t="str">
        <f>HYPERLINK("https://rhld.insurance.arkansas.gov/NPILookup?Npi=1164031373","1164031373")</f>
        <v>1164031373</v>
      </c>
      <c r="E22243" s="1" t="s">
        <v>7484</v>
      </c>
      <c r="F22243" s="2"/>
      <c r="G22243" s="2"/>
      <c r="H22243" s="2"/>
    </row>
    <row r="22244" spans="1:8" x14ac:dyDescent="0.25">
      <c r="A22244" s="1"/>
      <c r="B22244" s="1" t="s">
        <v>7328</v>
      </c>
      <c r="C22244" s="1" t="s">
        <v>7329</v>
      </c>
      <c r="D22244" s="22" t="str">
        <f>HYPERLINK("https://rhld.insurance.arkansas.gov/NPILookup?Npi=1164044228","1164044228")</f>
        <v>1164044228</v>
      </c>
      <c r="E22244" s="1" t="s">
        <v>25835</v>
      </c>
      <c r="F22244" s="2"/>
      <c r="G22244" s="2"/>
      <c r="H22244" s="2"/>
    </row>
    <row r="22245" spans="1:8" x14ac:dyDescent="0.25">
      <c r="A22245" s="1"/>
      <c r="B22245" s="1" t="s">
        <v>7328</v>
      </c>
      <c r="C22245" s="1" t="s">
        <v>7329</v>
      </c>
      <c r="D22245" s="22" t="str">
        <f>HYPERLINK("https://rhld.insurance.arkansas.gov/NPILookup?Npi=1164052742","1164052742")</f>
        <v>1164052742</v>
      </c>
      <c r="E22245" s="1" t="s">
        <v>25836</v>
      </c>
      <c r="F22245" s="2"/>
      <c r="G22245" s="2"/>
      <c r="H22245" s="2"/>
    </row>
    <row r="22246" spans="1:8" x14ac:dyDescent="0.25">
      <c r="A22246" s="1"/>
      <c r="B22246" s="1" t="s">
        <v>7328</v>
      </c>
      <c r="C22246" s="1" t="s">
        <v>7329</v>
      </c>
      <c r="D22246" s="22" t="str">
        <f>HYPERLINK("https://rhld.insurance.arkansas.gov/NPILookup?Npi=1164054649","1164054649")</f>
        <v>1164054649</v>
      </c>
      <c r="E22246" s="1" t="s">
        <v>21365</v>
      </c>
      <c r="F22246" s="2"/>
      <c r="G22246" s="2"/>
      <c r="H22246" s="2"/>
    </row>
    <row r="22247" spans="1:8" x14ac:dyDescent="0.25">
      <c r="A22247" s="1"/>
      <c r="B22247" s="1" t="s">
        <v>7328</v>
      </c>
      <c r="C22247" s="1" t="s">
        <v>7329</v>
      </c>
      <c r="D22247" s="22" t="str">
        <f>HYPERLINK("https://rhld.insurance.arkansas.gov/NPILookup?Npi=1164062071","1164062071")</f>
        <v>1164062071</v>
      </c>
      <c r="E22247" s="1" t="s">
        <v>7485</v>
      </c>
      <c r="F22247" s="2"/>
      <c r="G22247" s="2"/>
      <c r="H22247" s="2"/>
    </row>
    <row r="22248" spans="1:8" x14ac:dyDescent="0.25">
      <c r="A22248" s="1"/>
      <c r="B22248" s="1" t="s">
        <v>7328</v>
      </c>
      <c r="C22248" s="1" t="s">
        <v>7329</v>
      </c>
      <c r="D22248" s="22" t="str">
        <f>HYPERLINK("https://rhld.insurance.arkansas.gov/NPILookup?Npi=1164069969","1164069969")</f>
        <v>1164069969</v>
      </c>
      <c r="E22248" s="1" t="s">
        <v>25837</v>
      </c>
      <c r="F22248" s="2"/>
      <c r="G22248" s="2"/>
      <c r="H22248" s="2"/>
    </row>
    <row r="22249" spans="1:8" x14ac:dyDescent="0.25">
      <c r="A22249" s="1"/>
      <c r="B22249" s="1" t="s">
        <v>7328</v>
      </c>
      <c r="C22249" s="1" t="s">
        <v>7329</v>
      </c>
      <c r="D22249" s="22" t="str">
        <f>HYPERLINK("https://rhld.insurance.arkansas.gov/NPILookup?Npi=1164081337","1164081337")</f>
        <v>1164081337</v>
      </c>
      <c r="E22249" s="1" t="s">
        <v>12787</v>
      </c>
      <c r="F22249" s="2"/>
      <c r="G22249" s="2"/>
      <c r="H22249" s="2"/>
    </row>
    <row r="22250" spans="1:8" x14ac:dyDescent="0.25">
      <c r="A22250" s="1"/>
      <c r="B22250" s="1" t="s">
        <v>7328</v>
      </c>
      <c r="C22250" s="1" t="s">
        <v>7329</v>
      </c>
      <c r="D22250" s="22" t="str">
        <f>HYPERLINK("https://rhld.insurance.arkansas.gov/NPILookup?Npi=1164086559","1164086559")</f>
        <v>1164086559</v>
      </c>
      <c r="E22250" s="1" t="s">
        <v>25838</v>
      </c>
      <c r="F22250" s="2"/>
      <c r="G22250" s="2"/>
      <c r="H22250" s="2"/>
    </row>
    <row r="22251" spans="1:8" x14ac:dyDescent="0.25">
      <c r="A22251" s="1"/>
      <c r="B22251" s="1" t="s">
        <v>7328</v>
      </c>
      <c r="C22251" s="1" t="s">
        <v>7329</v>
      </c>
      <c r="D22251" s="22" t="str">
        <f>HYPERLINK("https://rhld.insurance.arkansas.gov/NPILookup?Npi=1164094579","1164094579")</f>
        <v>1164094579</v>
      </c>
      <c r="E22251" s="1" t="s">
        <v>7486</v>
      </c>
      <c r="F22251" s="2"/>
      <c r="G22251" s="2"/>
      <c r="H22251" s="2"/>
    </row>
    <row r="22252" spans="1:8" x14ac:dyDescent="0.25">
      <c r="A22252" s="1"/>
      <c r="B22252" s="1" t="s">
        <v>7328</v>
      </c>
      <c r="C22252" s="1" t="s">
        <v>7329</v>
      </c>
      <c r="D22252" s="22" t="str">
        <f>HYPERLINK("https://rhld.insurance.arkansas.gov/NPILookup?Npi=1164098216","1164098216")</f>
        <v>1164098216</v>
      </c>
      <c r="E22252" s="1" t="s">
        <v>25839</v>
      </c>
      <c r="F22252" s="2"/>
      <c r="G22252" s="2"/>
      <c r="H22252" s="2"/>
    </row>
    <row r="22253" spans="1:8" x14ac:dyDescent="0.25">
      <c r="A22253" s="1"/>
      <c r="B22253" s="1" t="s">
        <v>7328</v>
      </c>
      <c r="C22253" s="1" t="s">
        <v>7329</v>
      </c>
      <c r="D22253" s="22" t="str">
        <f>HYPERLINK("https://rhld.insurance.arkansas.gov/NPILookup?Npi=1164100376","1164100376")</f>
        <v>1164100376</v>
      </c>
      <c r="E22253" s="1" t="s">
        <v>25840</v>
      </c>
      <c r="F22253" s="2"/>
      <c r="G22253" s="2"/>
      <c r="H22253" s="2"/>
    </row>
    <row r="22254" spans="1:8" x14ac:dyDescent="0.25">
      <c r="A22254" s="1"/>
      <c r="B22254" s="1" t="s">
        <v>7328</v>
      </c>
      <c r="C22254" s="1" t="s">
        <v>7329</v>
      </c>
      <c r="D22254" s="22" t="str">
        <f>HYPERLINK("https://rhld.insurance.arkansas.gov/NPILookup?Npi=1164101564","1164101564")</f>
        <v>1164101564</v>
      </c>
      <c r="E22254" s="1" t="s">
        <v>7487</v>
      </c>
      <c r="F22254" s="2"/>
      <c r="G22254" s="2"/>
      <c r="H22254" s="2"/>
    </row>
    <row r="22255" spans="1:8" x14ac:dyDescent="0.25">
      <c r="A22255" s="1"/>
      <c r="B22255" s="1" t="s">
        <v>7328</v>
      </c>
      <c r="C22255" s="1" t="s">
        <v>7329</v>
      </c>
      <c r="D22255" s="22" t="str">
        <f>HYPERLINK("https://rhld.insurance.arkansas.gov/NPILookup?Npi=1164114096","1164114096")</f>
        <v>1164114096</v>
      </c>
      <c r="E22255" s="1" t="s">
        <v>7488</v>
      </c>
      <c r="F22255" s="2"/>
      <c r="G22255" s="2"/>
      <c r="H22255" s="2"/>
    </row>
    <row r="22256" spans="1:8" x14ac:dyDescent="0.25">
      <c r="A22256" s="1"/>
      <c r="B22256" s="1" t="s">
        <v>7328</v>
      </c>
      <c r="C22256" s="1" t="s">
        <v>7329</v>
      </c>
      <c r="D22256" s="22" t="str">
        <f>HYPERLINK("https://rhld.insurance.arkansas.gov/NPILookup?Npi=1164125795","1164125795")</f>
        <v>1164125795</v>
      </c>
      <c r="E22256" s="1" t="s">
        <v>25841</v>
      </c>
      <c r="F22256" s="2"/>
      <c r="G22256" s="2"/>
      <c r="H22256" s="2"/>
    </row>
    <row r="22257" spans="1:8" x14ac:dyDescent="0.25">
      <c r="A22257" s="1"/>
      <c r="B22257" s="1" t="s">
        <v>7328</v>
      </c>
      <c r="C22257" s="1" t="s">
        <v>7329</v>
      </c>
      <c r="D22257" s="22" t="str">
        <f>HYPERLINK("https://rhld.insurance.arkansas.gov/NPILookup?Npi=1164164257","1164164257")</f>
        <v>1164164257</v>
      </c>
      <c r="E22257" s="1" t="s">
        <v>32136</v>
      </c>
      <c r="F22257" s="2"/>
      <c r="G22257" s="2"/>
      <c r="H22257" s="2"/>
    </row>
    <row r="22258" spans="1:8" x14ac:dyDescent="0.25">
      <c r="A22258" s="1"/>
      <c r="B22258" s="1" t="s">
        <v>7328</v>
      </c>
      <c r="C22258" s="1" t="s">
        <v>7329</v>
      </c>
      <c r="D22258" s="22" t="str">
        <f>HYPERLINK("https://rhld.insurance.arkansas.gov/NPILookup?Npi=1164166179","1164166179")</f>
        <v>1164166179</v>
      </c>
      <c r="E22258" s="1" t="s">
        <v>32137</v>
      </c>
      <c r="F22258" s="2"/>
      <c r="G22258" s="2"/>
      <c r="H22258" s="2"/>
    </row>
    <row r="22259" spans="1:8" x14ac:dyDescent="0.25">
      <c r="A22259" s="1"/>
      <c r="B22259" s="1" t="s">
        <v>7328</v>
      </c>
      <c r="C22259" s="1" t="s">
        <v>7329</v>
      </c>
      <c r="D22259" s="22" t="str">
        <f>HYPERLINK("https://rhld.insurance.arkansas.gov/NPILookup?Npi=1164175303","1164175303")</f>
        <v>1164175303</v>
      </c>
      <c r="E22259" s="1" t="s">
        <v>25842</v>
      </c>
      <c r="F22259" s="2"/>
      <c r="G22259" s="2"/>
      <c r="H22259" s="2"/>
    </row>
    <row r="22260" spans="1:8" x14ac:dyDescent="0.25">
      <c r="A22260" s="1"/>
      <c r="B22260" s="1" t="s">
        <v>7328</v>
      </c>
      <c r="C22260" s="1" t="s">
        <v>7329</v>
      </c>
      <c r="D22260" s="22" t="str">
        <f>HYPERLINK("https://rhld.insurance.arkansas.gov/NPILookup?Npi=1164186219","1164186219")</f>
        <v>1164186219</v>
      </c>
      <c r="E22260" s="1" t="s">
        <v>7489</v>
      </c>
      <c r="F22260" s="2"/>
      <c r="G22260" s="2"/>
      <c r="H22260" s="2"/>
    </row>
    <row r="22261" spans="1:8" x14ac:dyDescent="0.25">
      <c r="A22261" s="1"/>
      <c r="B22261" s="1" t="s">
        <v>7328</v>
      </c>
      <c r="C22261" s="1" t="s">
        <v>7329</v>
      </c>
      <c r="D22261" s="22" t="str">
        <f>HYPERLINK("https://rhld.insurance.arkansas.gov/NPILookup?Npi=1164199089","1164199089")</f>
        <v>1164199089</v>
      </c>
      <c r="E22261" s="1" t="s">
        <v>7490</v>
      </c>
      <c r="F22261" s="2"/>
      <c r="G22261" s="2"/>
      <c r="H22261" s="2"/>
    </row>
    <row r="22262" spans="1:8" x14ac:dyDescent="0.25">
      <c r="A22262" s="1"/>
      <c r="B22262" s="1" t="s">
        <v>7328</v>
      </c>
      <c r="C22262" s="1" t="s">
        <v>7329</v>
      </c>
      <c r="D22262" s="22" t="str">
        <f>HYPERLINK("https://rhld.insurance.arkansas.gov/NPILookup?Npi=1164208021","1164208021")</f>
        <v>1164208021</v>
      </c>
      <c r="E22262" s="1" t="s">
        <v>11528</v>
      </c>
      <c r="F22262" s="2"/>
      <c r="G22262" s="2"/>
      <c r="H22262" s="2"/>
    </row>
    <row r="22263" spans="1:8" x14ac:dyDescent="0.25">
      <c r="A22263" s="1"/>
      <c r="B22263" s="1" t="s">
        <v>7328</v>
      </c>
      <c r="C22263" s="1" t="s">
        <v>7329</v>
      </c>
      <c r="D22263" s="22" t="str">
        <f>HYPERLINK("https://rhld.insurance.arkansas.gov/NPILookup?Npi=1164289906","1164289906")</f>
        <v>1164289906</v>
      </c>
      <c r="E22263" s="1" t="s">
        <v>25843</v>
      </c>
      <c r="F22263" s="2"/>
      <c r="G22263" s="2"/>
      <c r="H22263" s="2"/>
    </row>
    <row r="22264" spans="1:8" x14ac:dyDescent="0.25">
      <c r="A22264" s="1"/>
      <c r="B22264" s="1" t="s">
        <v>7328</v>
      </c>
      <c r="C22264" s="1" t="s">
        <v>7329</v>
      </c>
      <c r="D22264" s="22" t="str">
        <f>HYPERLINK("https://rhld.insurance.arkansas.gov/NPILookup?Npi=1164294963","1164294963")</f>
        <v>1164294963</v>
      </c>
      <c r="E22264" s="1" t="s">
        <v>32138</v>
      </c>
      <c r="F22264" s="2"/>
      <c r="G22264" s="2"/>
      <c r="H22264" s="2"/>
    </row>
    <row r="22265" spans="1:8" x14ac:dyDescent="0.25">
      <c r="A22265" s="1"/>
      <c r="B22265" s="1" t="s">
        <v>7328</v>
      </c>
      <c r="C22265" s="1" t="s">
        <v>7329</v>
      </c>
      <c r="D22265" s="22" t="str">
        <f>HYPERLINK("https://rhld.insurance.arkansas.gov/NPILookup?Npi=1164296281","1164296281")</f>
        <v>1164296281</v>
      </c>
      <c r="E22265" s="1" t="s">
        <v>7491</v>
      </c>
      <c r="F22265" s="2"/>
      <c r="G22265" s="2"/>
      <c r="H22265" s="2"/>
    </row>
    <row r="22266" spans="1:8" x14ac:dyDescent="0.25">
      <c r="A22266" s="1"/>
      <c r="B22266" s="1" t="s">
        <v>7328</v>
      </c>
      <c r="C22266" s="1" t="s">
        <v>7329</v>
      </c>
      <c r="D22266" s="22" t="str">
        <f>HYPERLINK("https://rhld.insurance.arkansas.gov/NPILookup?Npi=1164403986","1164403986")</f>
        <v>1164403986</v>
      </c>
      <c r="E22266" s="1" t="s">
        <v>25844</v>
      </c>
      <c r="F22266" s="2"/>
      <c r="G22266" s="2"/>
      <c r="H22266" s="2"/>
    </row>
    <row r="22267" spans="1:8" x14ac:dyDescent="0.25">
      <c r="A22267" s="1"/>
      <c r="B22267" s="1" t="s">
        <v>7328</v>
      </c>
      <c r="C22267" s="1" t="s">
        <v>7329</v>
      </c>
      <c r="D22267" s="22" t="str">
        <f>HYPERLINK("https://rhld.insurance.arkansas.gov/NPILookup?Npi=1164412193","1164412193")</f>
        <v>1164412193</v>
      </c>
      <c r="E22267" s="1" t="s">
        <v>7492</v>
      </c>
      <c r="F22267" s="2"/>
      <c r="G22267" s="2"/>
      <c r="H22267" s="2"/>
    </row>
    <row r="22268" spans="1:8" x14ac:dyDescent="0.25">
      <c r="A22268" s="1"/>
      <c r="B22268" s="1" t="s">
        <v>7328</v>
      </c>
      <c r="C22268" s="1" t="s">
        <v>7329</v>
      </c>
      <c r="D22268" s="22" t="str">
        <f>HYPERLINK("https://rhld.insurance.arkansas.gov/NPILookup?Npi=1164414587","1164414587")</f>
        <v>1164414587</v>
      </c>
      <c r="E22268" s="1" t="s">
        <v>25845</v>
      </c>
      <c r="F22268" s="2"/>
      <c r="G22268" s="2"/>
      <c r="H22268" s="2"/>
    </row>
    <row r="22269" spans="1:8" x14ac:dyDescent="0.25">
      <c r="A22269" s="1"/>
      <c r="B22269" s="1" t="s">
        <v>7328</v>
      </c>
      <c r="C22269" s="1" t="s">
        <v>7329</v>
      </c>
      <c r="D22269" s="22" t="str">
        <f>HYPERLINK("https://rhld.insurance.arkansas.gov/NPILookup?Npi=1164416368","1164416368")</f>
        <v>1164416368</v>
      </c>
      <c r="E22269" s="1" t="s">
        <v>25846</v>
      </c>
      <c r="F22269" s="2"/>
      <c r="G22269" s="2"/>
      <c r="H22269" s="2"/>
    </row>
    <row r="22270" spans="1:8" x14ac:dyDescent="0.25">
      <c r="A22270" s="1"/>
      <c r="B22270" s="1" t="s">
        <v>7328</v>
      </c>
      <c r="C22270" s="1" t="s">
        <v>7329</v>
      </c>
      <c r="D22270" s="22" t="str">
        <f>HYPERLINK("https://rhld.insurance.arkansas.gov/NPILookup?Npi=1164418679","1164418679")</f>
        <v>1164418679</v>
      </c>
      <c r="E22270" s="1" t="s">
        <v>25847</v>
      </c>
      <c r="F22270" s="2"/>
      <c r="G22270" s="2"/>
      <c r="H22270" s="2"/>
    </row>
    <row r="22271" spans="1:8" x14ac:dyDescent="0.25">
      <c r="A22271" s="1"/>
      <c r="B22271" s="1" t="s">
        <v>7328</v>
      </c>
      <c r="C22271" s="1" t="s">
        <v>7329</v>
      </c>
      <c r="D22271" s="22" t="str">
        <f>HYPERLINK("https://rhld.insurance.arkansas.gov/NPILookup?Npi=1164420501","1164420501")</f>
        <v>1164420501</v>
      </c>
      <c r="E22271" s="1" t="s">
        <v>25848</v>
      </c>
      <c r="F22271" s="2"/>
      <c r="G22271" s="2"/>
      <c r="H22271" s="2"/>
    </row>
    <row r="22272" spans="1:8" x14ac:dyDescent="0.25">
      <c r="A22272" s="1"/>
      <c r="B22272" s="1" t="s">
        <v>7328</v>
      </c>
      <c r="C22272" s="1" t="s">
        <v>7329</v>
      </c>
      <c r="D22272" s="22" t="str">
        <f>HYPERLINK("https://rhld.insurance.arkansas.gov/NPILookup?Npi=1164429981","1164429981")</f>
        <v>1164429981</v>
      </c>
      <c r="E22272" s="1" t="s">
        <v>25849</v>
      </c>
      <c r="F22272" s="2"/>
      <c r="G22272" s="2"/>
      <c r="H22272" s="2"/>
    </row>
    <row r="22273" spans="1:8" x14ac:dyDescent="0.25">
      <c r="A22273" s="1"/>
      <c r="B22273" s="1" t="s">
        <v>7328</v>
      </c>
      <c r="C22273" s="1" t="s">
        <v>7329</v>
      </c>
      <c r="D22273" s="22" t="str">
        <f>HYPERLINK("https://rhld.insurance.arkansas.gov/NPILookup?Npi=1164433298","1164433298")</f>
        <v>1164433298</v>
      </c>
      <c r="E22273" s="1" t="s">
        <v>25850</v>
      </c>
      <c r="F22273" s="2"/>
      <c r="G22273" s="2"/>
      <c r="H22273" s="2"/>
    </row>
    <row r="22274" spans="1:8" x14ac:dyDescent="0.25">
      <c r="A22274" s="1"/>
      <c r="B22274" s="1" t="s">
        <v>7328</v>
      </c>
      <c r="C22274" s="1" t="s">
        <v>7329</v>
      </c>
      <c r="D22274" s="22" t="str">
        <f>HYPERLINK("https://rhld.insurance.arkansas.gov/NPILookup?Npi=1164434163","1164434163")</f>
        <v>1164434163</v>
      </c>
      <c r="E22274" s="1" t="s">
        <v>2156</v>
      </c>
      <c r="F22274" s="2"/>
      <c r="G22274" s="2"/>
      <c r="H22274" s="2"/>
    </row>
    <row r="22275" spans="1:8" x14ac:dyDescent="0.25">
      <c r="A22275" s="1"/>
      <c r="B22275" s="1" t="s">
        <v>7328</v>
      </c>
      <c r="C22275" s="1" t="s">
        <v>7329</v>
      </c>
      <c r="D22275" s="22" t="str">
        <f>HYPERLINK("https://rhld.insurance.arkansas.gov/NPILookup?Npi=1164448155","1164448155")</f>
        <v>1164448155</v>
      </c>
      <c r="E22275" s="1" t="s">
        <v>2665</v>
      </c>
      <c r="F22275" s="2"/>
      <c r="G22275" s="2"/>
      <c r="H22275" s="2"/>
    </row>
    <row r="22276" spans="1:8" x14ac:dyDescent="0.25">
      <c r="A22276" s="1"/>
      <c r="B22276" s="1" t="s">
        <v>7328</v>
      </c>
      <c r="C22276" s="1" t="s">
        <v>7329</v>
      </c>
      <c r="D22276" s="22" t="str">
        <f>HYPERLINK("https://rhld.insurance.arkansas.gov/NPILookup?Npi=1164451373","1164451373")</f>
        <v>1164451373</v>
      </c>
      <c r="E22276" s="1" t="s">
        <v>25851</v>
      </c>
      <c r="F22276" s="2"/>
      <c r="G22276" s="2"/>
      <c r="H22276" s="2"/>
    </row>
    <row r="22277" spans="1:8" x14ac:dyDescent="0.25">
      <c r="A22277" s="1"/>
      <c r="B22277" s="1" t="s">
        <v>7328</v>
      </c>
      <c r="C22277" s="1" t="s">
        <v>7329</v>
      </c>
      <c r="D22277" s="22" t="str">
        <f>HYPERLINK("https://rhld.insurance.arkansas.gov/NPILookup?Npi=1164462602","1164462602")</f>
        <v>1164462602</v>
      </c>
      <c r="E22277" s="1" t="s">
        <v>1978</v>
      </c>
      <c r="F22277" s="2"/>
      <c r="G22277" s="2"/>
      <c r="H22277" s="2"/>
    </row>
    <row r="22278" spans="1:8" x14ac:dyDescent="0.25">
      <c r="A22278" s="1"/>
      <c r="B22278" s="1" t="s">
        <v>7328</v>
      </c>
      <c r="C22278" s="1" t="s">
        <v>7329</v>
      </c>
      <c r="D22278" s="22" t="str">
        <f>HYPERLINK("https://rhld.insurance.arkansas.gov/NPILookup?Npi=1164466603","1164466603")</f>
        <v>1164466603</v>
      </c>
      <c r="E22278" s="1" t="s">
        <v>12788</v>
      </c>
      <c r="F22278" s="2"/>
      <c r="G22278" s="2"/>
      <c r="H22278" s="2"/>
    </row>
    <row r="22279" spans="1:8" x14ac:dyDescent="0.25">
      <c r="A22279" s="1"/>
      <c r="B22279" s="1" t="s">
        <v>7328</v>
      </c>
      <c r="C22279" s="1" t="s">
        <v>7329</v>
      </c>
      <c r="D22279" s="22" t="str">
        <f>HYPERLINK("https://rhld.insurance.arkansas.gov/NPILookup?Npi=1164482162","1164482162")</f>
        <v>1164482162</v>
      </c>
      <c r="E22279" s="1" t="s">
        <v>17258</v>
      </c>
      <c r="F22279" s="2"/>
      <c r="G22279" s="2"/>
      <c r="H22279" s="2"/>
    </row>
    <row r="22280" spans="1:8" x14ac:dyDescent="0.25">
      <c r="A22280" s="1"/>
      <c r="B22280" s="1" t="s">
        <v>7328</v>
      </c>
      <c r="C22280" s="1" t="s">
        <v>7329</v>
      </c>
      <c r="D22280" s="22" t="str">
        <f>HYPERLINK("https://rhld.insurance.arkansas.gov/NPILookup?Npi=1164482592","1164482592")</f>
        <v>1164482592</v>
      </c>
      <c r="E22280" s="1" t="s">
        <v>12789</v>
      </c>
      <c r="F22280" s="2"/>
      <c r="G22280" s="2"/>
      <c r="H22280" s="2"/>
    </row>
    <row r="22281" spans="1:8" x14ac:dyDescent="0.25">
      <c r="A22281" s="1"/>
      <c r="B22281" s="1" t="s">
        <v>7328</v>
      </c>
      <c r="C22281" s="1" t="s">
        <v>7329</v>
      </c>
      <c r="D22281" s="22" t="str">
        <f>HYPERLINK("https://rhld.insurance.arkansas.gov/NPILookup?Npi=1164496105","1164496105")</f>
        <v>1164496105</v>
      </c>
      <c r="E22281" s="1" t="s">
        <v>25852</v>
      </c>
      <c r="F22281" s="2"/>
      <c r="G22281" s="2"/>
      <c r="H22281" s="2"/>
    </row>
    <row r="22282" spans="1:8" x14ac:dyDescent="0.25">
      <c r="A22282" s="1"/>
      <c r="B22282" s="1" t="s">
        <v>7328</v>
      </c>
      <c r="C22282" s="1" t="s">
        <v>7329</v>
      </c>
      <c r="D22282" s="22" t="str">
        <f>HYPERLINK("https://rhld.insurance.arkansas.gov/NPILookup?Npi=1164497327","1164497327")</f>
        <v>1164497327</v>
      </c>
      <c r="E22282" s="1" t="s">
        <v>25853</v>
      </c>
      <c r="F22282" s="2"/>
      <c r="G22282" s="2"/>
      <c r="H22282" s="2"/>
    </row>
    <row r="22283" spans="1:8" x14ac:dyDescent="0.25">
      <c r="A22283" s="1"/>
      <c r="B22283" s="1" t="s">
        <v>7328</v>
      </c>
      <c r="C22283" s="1" t="s">
        <v>7329</v>
      </c>
      <c r="D22283" s="22" t="str">
        <f>HYPERLINK("https://rhld.insurance.arkansas.gov/NPILookup?Npi=1164499935","1164499935")</f>
        <v>1164499935</v>
      </c>
      <c r="E22283" s="1" t="s">
        <v>25854</v>
      </c>
      <c r="F22283" s="2"/>
      <c r="G22283" s="2"/>
      <c r="H22283" s="2"/>
    </row>
    <row r="22284" spans="1:8" x14ac:dyDescent="0.25">
      <c r="A22284" s="1"/>
      <c r="B22284" s="1" t="s">
        <v>7328</v>
      </c>
      <c r="C22284" s="1" t="s">
        <v>7329</v>
      </c>
      <c r="D22284" s="22" t="str">
        <f>HYPERLINK("https://rhld.insurance.arkansas.gov/NPILookup?Npi=1164534491","1164534491")</f>
        <v>1164534491</v>
      </c>
      <c r="E22284" s="1" t="s">
        <v>1979</v>
      </c>
      <c r="F22284" s="2"/>
      <c r="G22284" s="2"/>
      <c r="H22284" s="2"/>
    </row>
    <row r="22285" spans="1:8" x14ac:dyDescent="0.25">
      <c r="A22285" s="1"/>
      <c r="B22285" s="1" t="s">
        <v>7328</v>
      </c>
      <c r="C22285" s="1" t="s">
        <v>7329</v>
      </c>
      <c r="D22285" s="22" t="str">
        <f>HYPERLINK("https://rhld.insurance.arkansas.gov/NPILookup?Npi=1164544045","1164544045")</f>
        <v>1164544045</v>
      </c>
      <c r="E22285" s="1" t="s">
        <v>17260</v>
      </c>
      <c r="F22285" s="2"/>
      <c r="G22285" s="2"/>
      <c r="H22285" s="2"/>
    </row>
    <row r="22286" spans="1:8" x14ac:dyDescent="0.25">
      <c r="A22286" s="1"/>
      <c r="B22286" s="1" t="s">
        <v>7328</v>
      </c>
      <c r="C22286" s="1" t="s">
        <v>7329</v>
      </c>
      <c r="D22286" s="22" t="str">
        <f>HYPERLINK("https://rhld.insurance.arkansas.gov/NPILookup?Npi=1164608519","1164608519")</f>
        <v>1164608519</v>
      </c>
      <c r="E22286" s="1" t="s">
        <v>25855</v>
      </c>
      <c r="F22286" s="2"/>
      <c r="G22286" s="2"/>
      <c r="H22286" s="2"/>
    </row>
    <row r="22287" spans="1:8" x14ac:dyDescent="0.25">
      <c r="A22287" s="1"/>
      <c r="B22287" s="1" t="s">
        <v>7328</v>
      </c>
      <c r="C22287" s="1" t="s">
        <v>7329</v>
      </c>
      <c r="D22287" s="22" t="str">
        <f>HYPERLINK("https://rhld.insurance.arkansas.gov/NPILookup?Npi=1164630117","1164630117")</f>
        <v>1164630117</v>
      </c>
      <c r="E22287" s="1" t="s">
        <v>10237</v>
      </c>
      <c r="F22287" s="2"/>
      <c r="G22287" s="2"/>
      <c r="H22287" s="2"/>
    </row>
    <row r="22288" spans="1:8" x14ac:dyDescent="0.25">
      <c r="A22288" s="1"/>
      <c r="B22288" s="1" t="s">
        <v>7328</v>
      </c>
      <c r="C22288" s="1" t="s">
        <v>7329</v>
      </c>
      <c r="D22288" s="22" t="str">
        <f>HYPERLINK("https://rhld.insurance.arkansas.gov/NPILookup?Npi=1164656294","1164656294")</f>
        <v>1164656294</v>
      </c>
      <c r="E22288" s="1" t="s">
        <v>25856</v>
      </c>
      <c r="F22288" s="2"/>
      <c r="G22288" s="2"/>
      <c r="H22288" s="2"/>
    </row>
    <row r="22289" spans="1:8" x14ac:dyDescent="0.25">
      <c r="A22289" s="1"/>
      <c r="B22289" s="1" t="s">
        <v>7328</v>
      </c>
      <c r="C22289" s="1" t="s">
        <v>7329</v>
      </c>
      <c r="D22289" s="22" t="str">
        <f>HYPERLINK("https://rhld.insurance.arkansas.gov/NPILookup?Npi=1164675518","1164675518")</f>
        <v>1164675518</v>
      </c>
      <c r="E22289" s="1" t="s">
        <v>17042</v>
      </c>
      <c r="F22289" s="2"/>
      <c r="G22289" s="2"/>
      <c r="H22289" s="2"/>
    </row>
    <row r="22290" spans="1:8" x14ac:dyDescent="0.25">
      <c r="A22290" s="1"/>
      <c r="B22290" s="1" t="s">
        <v>7328</v>
      </c>
      <c r="C22290" s="1" t="s">
        <v>7329</v>
      </c>
      <c r="D22290" s="22" t="str">
        <f>HYPERLINK("https://rhld.insurance.arkansas.gov/NPILookup?Npi=1164683827","1164683827")</f>
        <v>1164683827</v>
      </c>
      <c r="E22290" s="1" t="s">
        <v>25857</v>
      </c>
      <c r="F22290" s="2"/>
      <c r="G22290" s="2"/>
      <c r="H22290" s="2"/>
    </row>
    <row r="22291" spans="1:8" x14ac:dyDescent="0.25">
      <c r="A22291" s="1"/>
      <c r="B22291" s="1" t="s">
        <v>7328</v>
      </c>
      <c r="C22291" s="1" t="s">
        <v>7329</v>
      </c>
      <c r="D22291" s="22" t="str">
        <f>HYPERLINK("https://rhld.insurance.arkansas.gov/NPILookup?Npi=1164728739","1164728739")</f>
        <v>1164728739</v>
      </c>
      <c r="E22291" s="1" t="s">
        <v>25858</v>
      </c>
      <c r="F22291" s="2"/>
      <c r="G22291" s="2"/>
      <c r="H22291" s="2"/>
    </row>
    <row r="22292" spans="1:8" x14ac:dyDescent="0.25">
      <c r="A22292" s="1"/>
      <c r="B22292" s="1" t="s">
        <v>7328</v>
      </c>
      <c r="C22292" s="1" t="s">
        <v>7329</v>
      </c>
      <c r="D22292" s="22" t="str">
        <f>HYPERLINK("https://rhld.insurance.arkansas.gov/NPILookup?Npi=1164734174","1164734174")</f>
        <v>1164734174</v>
      </c>
      <c r="E22292" s="1" t="s">
        <v>25859</v>
      </c>
      <c r="F22292" s="2"/>
      <c r="G22292" s="2"/>
      <c r="H22292" s="2"/>
    </row>
    <row r="22293" spans="1:8" x14ac:dyDescent="0.25">
      <c r="A22293" s="1"/>
      <c r="B22293" s="1" t="s">
        <v>7328</v>
      </c>
      <c r="C22293" s="1" t="s">
        <v>7329</v>
      </c>
      <c r="D22293" s="22" t="str">
        <f>HYPERLINK("https://rhld.insurance.arkansas.gov/NPILookup?Npi=1164740452","1164740452")</f>
        <v>1164740452</v>
      </c>
      <c r="E22293" s="1" t="s">
        <v>25860</v>
      </c>
      <c r="F22293" s="2"/>
      <c r="G22293" s="2"/>
      <c r="H22293" s="2"/>
    </row>
    <row r="22294" spans="1:8" x14ac:dyDescent="0.25">
      <c r="A22294" s="1"/>
      <c r="B22294" s="1" t="s">
        <v>7328</v>
      </c>
      <c r="C22294" s="1" t="s">
        <v>7329</v>
      </c>
      <c r="D22294" s="22" t="str">
        <f>HYPERLINK("https://rhld.insurance.arkansas.gov/NPILookup?Npi=1164748315","1164748315")</f>
        <v>1164748315</v>
      </c>
      <c r="E22294" s="1" t="s">
        <v>25861</v>
      </c>
      <c r="F22294" s="2"/>
      <c r="G22294" s="2"/>
      <c r="H22294" s="2"/>
    </row>
    <row r="22295" spans="1:8" x14ac:dyDescent="0.25">
      <c r="A22295" s="1"/>
      <c r="B22295" s="1" t="s">
        <v>7328</v>
      </c>
      <c r="C22295" s="1" t="s">
        <v>7329</v>
      </c>
      <c r="D22295" s="22" t="str">
        <f>HYPERLINK("https://rhld.insurance.arkansas.gov/NPILookup?Npi=1164755872","1164755872")</f>
        <v>1164755872</v>
      </c>
      <c r="E22295" s="1" t="s">
        <v>7493</v>
      </c>
      <c r="F22295" s="2"/>
      <c r="G22295" s="2"/>
      <c r="H22295" s="2"/>
    </row>
    <row r="22296" spans="1:8" x14ac:dyDescent="0.25">
      <c r="A22296" s="1"/>
      <c r="B22296" s="1" t="s">
        <v>7328</v>
      </c>
      <c r="C22296" s="1" t="s">
        <v>7329</v>
      </c>
      <c r="D22296" s="22" t="str">
        <f>HYPERLINK("https://rhld.insurance.arkansas.gov/NPILookup?Npi=1164758124","1164758124")</f>
        <v>1164758124</v>
      </c>
      <c r="E22296" s="1" t="s">
        <v>1082</v>
      </c>
      <c r="F22296" s="2"/>
      <c r="G22296" s="2"/>
      <c r="H22296" s="2"/>
    </row>
    <row r="22297" spans="1:8" x14ac:dyDescent="0.25">
      <c r="A22297" s="1"/>
      <c r="B22297" s="1" t="s">
        <v>7328</v>
      </c>
      <c r="C22297" s="1" t="s">
        <v>7329</v>
      </c>
      <c r="D22297" s="22" t="str">
        <f>HYPERLINK("https://rhld.insurance.arkansas.gov/NPILookup?Npi=1164758496","1164758496")</f>
        <v>1164758496</v>
      </c>
      <c r="E22297" s="1" t="s">
        <v>838</v>
      </c>
      <c r="F22297" s="2"/>
      <c r="G22297" s="2"/>
      <c r="H22297" s="2"/>
    </row>
    <row r="22298" spans="1:8" x14ac:dyDescent="0.25">
      <c r="A22298" s="1"/>
      <c r="B22298" s="1" t="s">
        <v>7328</v>
      </c>
      <c r="C22298" s="1" t="s">
        <v>7329</v>
      </c>
      <c r="D22298" s="22" t="str">
        <f>HYPERLINK("https://rhld.insurance.arkansas.gov/NPILookup?Npi=1164765756","1164765756")</f>
        <v>1164765756</v>
      </c>
      <c r="E22298" s="1" t="s">
        <v>17263</v>
      </c>
      <c r="F22298" s="2"/>
      <c r="G22298" s="2"/>
      <c r="H22298" s="2"/>
    </row>
    <row r="22299" spans="1:8" x14ac:dyDescent="0.25">
      <c r="A22299" s="1"/>
      <c r="B22299" s="1" t="s">
        <v>7328</v>
      </c>
      <c r="C22299" s="1" t="s">
        <v>7329</v>
      </c>
      <c r="D22299" s="22" t="str">
        <f>HYPERLINK("https://rhld.insurance.arkansas.gov/NPILookup?Npi=1164804209","1164804209")</f>
        <v>1164804209</v>
      </c>
      <c r="E22299" s="1" t="s">
        <v>25862</v>
      </c>
      <c r="F22299" s="2"/>
      <c r="G22299" s="2"/>
      <c r="H22299" s="2"/>
    </row>
    <row r="22300" spans="1:8" x14ac:dyDescent="0.25">
      <c r="A22300" s="1"/>
      <c r="B22300" s="1" t="s">
        <v>7328</v>
      </c>
      <c r="C22300" s="1" t="s">
        <v>7329</v>
      </c>
      <c r="D22300" s="22" t="str">
        <f>HYPERLINK("https://rhld.insurance.arkansas.gov/NPILookup?Npi=1164832085","1164832085")</f>
        <v>1164832085</v>
      </c>
      <c r="E22300" s="1" t="s">
        <v>2666</v>
      </c>
      <c r="F22300" s="2"/>
      <c r="G22300" s="2"/>
      <c r="H22300" s="2"/>
    </row>
    <row r="22301" spans="1:8" x14ac:dyDescent="0.25">
      <c r="A22301" s="1"/>
      <c r="B22301" s="1" t="s">
        <v>7328</v>
      </c>
      <c r="C22301" s="1" t="s">
        <v>7329</v>
      </c>
      <c r="D22301" s="22" t="str">
        <f>HYPERLINK("https://rhld.insurance.arkansas.gov/NPILookup?Npi=1164836862","1164836862")</f>
        <v>1164836862</v>
      </c>
      <c r="E22301" s="1" t="s">
        <v>7494</v>
      </c>
      <c r="F22301" s="2"/>
      <c r="G22301" s="2"/>
      <c r="H22301" s="2"/>
    </row>
    <row r="22302" spans="1:8" x14ac:dyDescent="0.25">
      <c r="A22302" s="1"/>
      <c r="B22302" s="1" t="s">
        <v>7328</v>
      </c>
      <c r="C22302" s="1" t="s">
        <v>7329</v>
      </c>
      <c r="D22302" s="22" t="str">
        <f>HYPERLINK("https://rhld.insurance.arkansas.gov/NPILookup?Npi=1164845814","1164845814")</f>
        <v>1164845814</v>
      </c>
      <c r="E22302" s="1" t="s">
        <v>2667</v>
      </c>
      <c r="F22302" s="2"/>
      <c r="G22302" s="2"/>
      <c r="H22302" s="2"/>
    </row>
    <row r="22303" spans="1:8" x14ac:dyDescent="0.25">
      <c r="A22303" s="1"/>
      <c r="B22303" s="1" t="s">
        <v>7328</v>
      </c>
      <c r="C22303" s="1" t="s">
        <v>7329</v>
      </c>
      <c r="D22303" s="22" t="str">
        <f>HYPERLINK("https://rhld.insurance.arkansas.gov/NPILookup?Npi=1164846119","1164846119")</f>
        <v>1164846119</v>
      </c>
      <c r="E22303" s="1" t="s">
        <v>12790</v>
      </c>
      <c r="F22303" s="2"/>
      <c r="G22303" s="2"/>
      <c r="H22303" s="2"/>
    </row>
    <row r="22304" spans="1:8" x14ac:dyDescent="0.25">
      <c r="A22304" s="1"/>
      <c r="B22304" s="1" t="s">
        <v>7328</v>
      </c>
      <c r="C22304" s="1" t="s">
        <v>7329</v>
      </c>
      <c r="D22304" s="22" t="str">
        <f>HYPERLINK("https://rhld.insurance.arkansas.gov/NPILookup?Npi=1164869988","1164869988")</f>
        <v>1164869988</v>
      </c>
      <c r="E22304" s="1" t="s">
        <v>21392</v>
      </c>
      <c r="F22304" s="2"/>
      <c r="G22304" s="2"/>
      <c r="H22304" s="2"/>
    </row>
    <row r="22305" spans="1:8" x14ac:dyDescent="0.25">
      <c r="A22305" s="1"/>
      <c r="B22305" s="1" t="s">
        <v>7328</v>
      </c>
      <c r="C22305" s="1" t="s">
        <v>7329</v>
      </c>
      <c r="D22305" s="22" t="str">
        <f>HYPERLINK("https://rhld.insurance.arkansas.gov/NPILookup?Npi=1164882700","1164882700")</f>
        <v>1164882700</v>
      </c>
      <c r="E22305" s="1" t="s">
        <v>25864</v>
      </c>
      <c r="F22305" s="2"/>
      <c r="G22305" s="2"/>
      <c r="H22305" s="2"/>
    </row>
    <row r="22306" spans="1:8" x14ac:dyDescent="0.25">
      <c r="A22306" s="1"/>
      <c r="B22306" s="1" t="s">
        <v>7328</v>
      </c>
      <c r="C22306" s="1" t="s">
        <v>7329</v>
      </c>
      <c r="D22306" s="22" t="str">
        <f>HYPERLINK("https://rhld.insurance.arkansas.gov/NPILookup?Npi=1164889002","1164889002")</f>
        <v>1164889002</v>
      </c>
      <c r="E22306" s="1" t="s">
        <v>759</v>
      </c>
      <c r="F22306" s="2"/>
      <c r="G22306" s="2"/>
      <c r="H22306" s="2"/>
    </row>
    <row r="22307" spans="1:8" x14ac:dyDescent="0.25">
      <c r="A22307" s="1"/>
      <c r="B22307" s="1" t="s">
        <v>7328</v>
      </c>
      <c r="C22307" s="1" t="s">
        <v>7329</v>
      </c>
      <c r="D22307" s="22" t="str">
        <f>HYPERLINK("https://rhld.insurance.arkansas.gov/NPILookup?Npi=1164893756","1164893756")</f>
        <v>1164893756</v>
      </c>
      <c r="E22307" s="1" t="s">
        <v>32139</v>
      </c>
      <c r="F22307" s="2"/>
      <c r="G22307" s="2"/>
      <c r="H22307" s="2"/>
    </row>
    <row r="22308" spans="1:8" x14ac:dyDescent="0.25">
      <c r="A22308" s="1"/>
      <c r="B22308" s="1" t="s">
        <v>7328</v>
      </c>
      <c r="C22308" s="1" t="s">
        <v>7329</v>
      </c>
      <c r="D22308" s="22" t="str">
        <f>HYPERLINK("https://rhld.insurance.arkansas.gov/NPILookup?Npi=1164897823","1164897823")</f>
        <v>1164897823</v>
      </c>
      <c r="E22308" s="1" t="s">
        <v>25865</v>
      </c>
      <c r="F22308" s="2"/>
      <c r="G22308" s="2"/>
      <c r="H22308" s="2"/>
    </row>
    <row r="22309" spans="1:8" x14ac:dyDescent="0.25">
      <c r="A22309" s="1"/>
      <c r="B22309" s="1" t="s">
        <v>7328</v>
      </c>
      <c r="C22309" s="1" t="s">
        <v>7329</v>
      </c>
      <c r="D22309" s="22" t="str">
        <f>HYPERLINK("https://rhld.insurance.arkansas.gov/NPILookup?Npi=1164907283","1164907283")</f>
        <v>1164907283</v>
      </c>
      <c r="E22309" s="1" t="s">
        <v>25866</v>
      </c>
      <c r="F22309" s="2"/>
      <c r="G22309" s="2"/>
      <c r="H22309" s="2"/>
    </row>
    <row r="22310" spans="1:8" x14ac:dyDescent="0.25">
      <c r="A22310" s="1"/>
      <c r="B22310" s="1" t="s">
        <v>7328</v>
      </c>
      <c r="C22310" s="1" t="s">
        <v>7329</v>
      </c>
      <c r="D22310" s="22" t="str">
        <f>HYPERLINK("https://rhld.insurance.arkansas.gov/NPILookup?Npi=1164908034","1164908034")</f>
        <v>1164908034</v>
      </c>
      <c r="E22310" s="1" t="s">
        <v>25867</v>
      </c>
      <c r="F22310" s="2"/>
      <c r="G22310" s="2"/>
      <c r="H22310" s="2"/>
    </row>
    <row r="22311" spans="1:8" x14ac:dyDescent="0.25">
      <c r="A22311" s="1"/>
      <c r="B22311" s="1" t="s">
        <v>7328</v>
      </c>
      <c r="C22311" s="1" t="s">
        <v>7329</v>
      </c>
      <c r="D22311" s="22" t="str">
        <f>HYPERLINK("https://rhld.insurance.arkansas.gov/NPILookup?Npi=1164916706","1164916706")</f>
        <v>1164916706</v>
      </c>
      <c r="E22311" s="1" t="s">
        <v>25868</v>
      </c>
      <c r="F22311" s="2"/>
      <c r="G22311" s="2"/>
      <c r="H22311" s="2"/>
    </row>
    <row r="22312" spans="1:8" x14ac:dyDescent="0.25">
      <c r="A22312" s="1"/>
      <c r="B22312" s="1" t="s">
        <v>7328</v>
      </c>
      <c r="C22312" s="1" t="s">
        <v>7329</v>
      </c>
      <c r="D22312" s="22" t="str">
        <f>HYPERLINK("https://rhld.insurance.arkansas.gov/NPILookup?Npi=1164917852","1164917852")</f>
        <v>1164917852</v>
      </c>
      <c r="E22312" s="1" t="s">
        <v>1209</v>
      </c>
      <c r="F22312" s="2"/>
      <c r="G22312" s="2"/>
      <c r="H22312" s="2"/>
    </row>
    <row r="22313" spans="1:8" x14ac:dyDescent="0.25">
      <c r="A22313" s="1"/>
      <c r="B22313" s="1" t="s">
        <v>7328</v>
      </c>
      <c r="C22313" s="1" t="s">
        <v>7329</v>
      </c>
      <c r="D22313" s="22" t="str">
        <f>HYPERLINK("https://rhld.insurance.arkansas.gov/NPILookup?Npi=1164944039","1164944039")</f>
        <v>1164944039</v>
      </c>
      <c r="E22313" s="1" t="s">
        <v>25869</v>
      </c>
      <c r="F22313" s="2"/>
      <c r="G22313" s="2"/>
      <c r="H22313" s="2"/>
    </row>
    <row r="22314" spans="1:8" x14ac:dyDescent="0.25">
      <c r="A22314" s="1"/>
      <c r="B22314" s="1" t="s">
        <v>7328</v>
      </c>
      <c r="C22314" s="1" t="s">
        <v>7329</v>
      </c>
      <c r="D22314" s="22" t="str">
        <f>HYPERLINK("https://rhld.insurance.arkansas.gov/NPILookup?Npi=1164956199","1164956199")</f>
        <v>1164956199</v>
      </c>
      <c r="E22314" s="1" t="s">
        <v>12791</v>
      </c>
      <c r="F22314" s="2"/>
      <c r="G22314" s="2"/>
      <c r="H22314" s="2"/>
    </row>
    <row r="22315" spans="1:8" x14ac:dyDescent="0.25">
      <c r="A22315" s="1"/>
      <c r="B22315" s="1" t="s">
        <v>7328</v>
      </c>
      <c r="C22315" s="1" t="s">
        <v>7329</v>
      </c>
      <c r="D22315" s="22" t="str">
        <f>HYPERLINK("https://rhld.insurance.arkansas.gov/NPILookup?Npi=1164958013","1164958013")</f>
        <v>1164958013</v>
      </c>
      <c r="E22315" s="1" t="s">
        <v>25870</v>
      </c>
      <c r="F22315" s="2"/>
      <c r="G22315" s="2"/>
      <c r="H22315" s="2"/>
    </row>
    <row r="22316" spans="1:8" x14ac:dyDescent="0.25">
      <c r="A22316" s="1"/>
      <c r="B22316" s="1" t="s">
        <v>7328</v>
      </c>
      <c r="C22316" s="1" t="s">
        <v>7329</v>
      </c>
      <c r="D22316" s="22" t="str">
        <f>HYPERLINK("https://rhld.insurance.arkansas.gov/NPILookup?Npi=1164979605","1164979605")</f>
        <v>1164979605</v>
      </c>
      <c r="E22316" s="1" t="s">
        <v>1479</v>
      </c>
      <c r="F22316" s="2"/>
      <c r="G22316" s="2"/>
      <c r="H22316" s="2"/>
    </row>
    <row r="22317" spans="1:8" x14ac:dyDescent="0.25">
      <c r="A22317" s="1"/>
      <c r="B22317" s="1" t="s">
        <v>7328</v>
      </c>
      <c r="C22317" s="1" t="s">
        <v>7329</v>
      </c>
      <c r="D22317" s="22" t="str">
        <f>HYPERLINK("https://rhld.insurance.arkansas.gov/NPILookup?Npi=1164980728","1164980728")</f>
        <v>1164980728</v>
      </c>
      <c r="E22317" s="1" t="s">
        <v>7495</v>
      </c>
      <c r="F22317" s="2"/>
      <c r="G22317" s="2"/>
      <c r="H22317" s="2"/>
    </row>
    <row r="22318" spans="1:8" x14ac:dyDescent="0.25">
      <c r="A22318" s="1"/>
      <c r="B22318" s="1" t="s">
        <v>7328</v>
      </c>
      <c r="C22318" s="1" t="s">
        <v>7329</v>
      </c>
      <c r="D22318" s="22" t="str">
        <f>HYPERLINK("https://rhld.insurance.arkansas.gov/NPILookup?Npi=1164980975","1164980975")</f>
        <v>1164980975</v>
      </c>
      <c r="E22318" s="1" t="s">
        <v>12792</v>
      </c>
      <c r="F22318" s="2"/>
      <c r="G22318" s="2"/>
      <c r="H22318" s="2"/>
    </row>
    <row r="22319" spans="1:8" x14ac:dyDescent="0.25">
      <c r="A22319" s="1"/>
      <c r="B22319" s="1" t="s">
        <v>7328</v>
      </c>
      <c r="C22319" s="1" t="s">
        <v>7329</v>
      </c>
      <c r="D22319" s="22" t="str">
        <f>HYPERLINK("https://rhld.insurance.arkansas.gov/NPILookup?Npi=1164991048","1164991048")</f>
        <v>1164991048</v>
      </c>
      <c r="E22319" s="1" t="s">
        <v>32140</v>
      </c>
      <c r="F22319" s="2"/>
      <c r="G22319" s="2"/>
      <c r="H22319" s="2"/>
    </row>
    <row r="22320" spans="1:8" x14ac:dyDescent="0.25">
      <c r="A22320" s="1"/>
      <c r="B22320" s="1" t="s">
        <v>7328</v>
      </c>
      <c r="C22320" s="1" t="s">
        <v>7329</v>
      </c>
      <c r="D22320" s="22" t="str">
        <f>HYPERLINK("https://rhld.insurance.arkansas.gov/NPILookup?Npi=1164998084","1164998084")</f>
        <v>1164998084</v>
      </c>
      <c r="E22320" s="1" t="s">
        <v>12793</v>
      </c>
      <c r="F22320" s="2"/>
      <c r="G22320" s="2"/>
      <c r="H22320" s="2"/>
    </row>
    <row r="22321" spans="1:8" x14ac:dyDescent="0.25">
      <c r="A22321" s="1"/>
      <c r="B22321" s="1" t="s">
        <v>7328</v>
      </c>
      <c r="C22321" s="1" t="s">
        <v>7329</v>
      </c>
      <c r="D22321" s="22" t="str">
        <f>HYPERLINK("https://rhld.insurance.arkansas.gov/NPILookup?Npi=1174018295","1174018295")</f>
        <v>1174018295</v>
      </c>
      <c r="E22321" s="1" t="s">
        <v>12794</v>
      </c>
      <c r="F22321" s="2"/>
      <c r="G22321" s="2"/>
      <c r="H22321" s="2"/>
    </row>
    <row r="22322" spans="1:8" x14ac:dyDescent="0.25">
      <c r="A22322" s="1"/>
      <c r="B22322" s="1" t="s">
        <v>7328</v>
      </c>
      <c r="C22322" s="1" t="s">
        <v>7329</v>
      </c>
      <c r="D22322" s="22" t="str">
        <f>HYPERLINK("https://rhld.insurance.arkansas.gov/NPILookup?Npi=1174019798","1174019798")</f>
        <v>1174019798</v>
      </c>
      <c r="E22322" s="1" t="s">
        <v>12795</v>
      </c>
      <c r="F22322" s="2"/>
      <c r="G22322" s="2"/>
      <c r="H22322" s="2"/>
    </row>
    <row r="22323" spans="1:8" x14ac:dyDescent="0.25">
      <c r="A22323" s="1"/>
      <c r="B22323" s="1" t="s">
        <v>7328</v>
      </c>
      <c r="C22323" s="1" t="s">
        <v>7329</v>
      </c>
      <c r="D22323" s="22" t="str">
        <f>HYPERLINK("https://rhld.insurance.arkansas.gov/NPILookup?Npi=1174021067","1174021067")</f>
        <v>1174021067</v>
      </c>
      <c r="E22323" s="1" t="s">
        <v>25871</v>
      </c>
      <c r="F22323" s="2"/>
      <c r="G22323" s="2"/>
      <c r="H22323" s="2"/>
    </row>
    <row r="22324" spans="1:8" x14ac:dyDescent="0.25">
      <c r="A22324" s="1"/>
      <c r="B22324" s="1" t="s">
        <v>7328</v>
      </c>
      <c r="C22324" s="1" t="s">
        <v>7329</v>
      </c>
      <c r="D22324" s="22" t="str">
        <f>HYPERLINK("https://rhld.insurance.arkansas.gov/NPILookup?Npi=1174026165","1174026165")</f>
        <v>1174026165</v>
      </c>
      <c r="E22324" s="1" t="s">
        <v>1210</v>
      </c>
      <c r="F22324" s="2"/>
      <c r="G22324" s="2"/>
      <c r="H22324" s="2"/>
    </row>
    <row r="22325" spans="1:8" x14ac:dyDescent="0.25">
      <c r="A22325" s="1"/>
      <c r="B22325" s="1" t="s">
        <v>7328</v>
      </c>
      <c r="C22325" s="1" t="s">
        <v>7329</v>
      </c>
      <c r="D22325" s="22" t="str">
        <f>HYPERLINK("https://rhld.insurance.arkansas.gov/NPILookup?Npi=1174028534","1174028534")</f>
        <v>1174028534</v>
      </c>
      <c r="E22325" s="1" t="s">
        <v>12796</v>
      </c>
      <c r="F22325" s="2"/>
      <c r="G22325" s="2"/>
      <c r="H22325" s="2"/>
    </row>
    <row r="22326" spans="1:8" x14ac:dyDescent="0.25">
      <c r="A22326" s="1"/>
      <c r="B22326" s="1" t="s">
        <v>7328</v>
      </c>
      <c r="C22326" s="1" t="s">
        <v>7329</v>
      </c>
      <c r="D22326" s="22" t="str">
        <f>HYPERLINK("https://rhld.insurance.arkansas.gov/NPILookup?Npi=1174034565","1174034565")</f>
        <v>1174034565</v>
      </c>
      <c r="E22326" s="1" t="s">
        <v>12797</v>
      </c>
      <c r="F22326" s="2"/>
      <c r="G22326" s="2"/>
      <c r="H22326" s="2"/>
    </row>
    <row r="22327" spans="1:8" x14ac:dyDescent="0.25">
      <c r="A22327" s="1"/>
      <c r="B22327" s="1" t="s">
        <v>7328</v>
      </c>
      <c r="C22327" s="1" t="s">
        <v>7329</v>
      </c>
      <c r="D22327" s="22" t="str">
        <f>HYPERLINK("https://rhld.insurance.arkansas.gov/NPILookup?Npi=1174041818","1174041818")</f>
        <v>1174041818</v>
      </c>
      <c r="E22327" s="1" t="s">
        <v>839</v>
      </c>
      <c r="F22327" s="2"/>
      <c r="G22327" s="2"/>
      <c r="H22327" s="2"/>
    </row>
    <row r="22328" spans="1:8" x14ac:dyDescent="0.25">
      <c r="A22328" s="1"/>
      <c r="B22328" s="1" t="s">
        <v>7328</v>
      </c>
      <c r="C22328" s="1" t="s">
        <v>7329</v>
      </c>
      <c r="D22328" s="22" t="str">
        <f>HYPERLINK("https://rhld.insurance.arkansas.gov/NPILookup?Npi=1174044531","1174044531")</f>
        <v>1174044531</v>
      </c>
      <c r="E22328" s="1" t="s">
        <v>25872</v>
      </c>
      <c r="F22328" s="2"/>
      <c r="G22328" s="2"/>
      <c r="H22328" s="2"/>
    </row>
    <row r="22329" spans="1:8" x14ac:dyDescent="0.25">
      <c r="A22329" s="1"/>
      <c r="B22329" s="1" t="s">
        <v>7328</v>
      </c>
      <c r="C22329" s="1" t="s">
        <v>7329</v>
      </c>
      <c r="D22329" s="22" t="str">
        <f>HYPERLINK("https://rhld.insurance.arkansas.gov/NPILookup?Npi=1174046940","1174046940")</f>
        <v>1174046940</v>
      </c>
      <c r="E22329" s="1" t="s">
        <v>12798</v>
      </c>
      <c r="F22329" s="2"/>
      <c r="G22329" s="2"/>
      <c r="H22329" s="2"/>
    </row>
    <row r="22330" spans="1:8" x14ac:dyDescent="0.25">
      <c r="A22330" s="1"/>
      <c r="B22330" s="1" t="s">
        <v>7328</v>
      </c>
      <c r="C22330" s="1" t="s">
        <v>7329</v>
      </c>
      <c r="D22330" s="22" t="str">
        <f>HYPERLINK("https://rhld.insurance.arkansas.gov/NPILookup?Npi=1174048201","1174048201")</f>
        <v>1174048201</v>
      </c>
      <c r="E22330" s="1" t="s">
        <v>1020</v>
      </c>
      <c r="F22330" s="2"/>
      <c r="G22330" s="2"/>
      <c r="H22330" s="2"/>
    </row>
    <row r="22331" spans="1:8" x14ac:dyDescent="0.25">
      <c r="A22331" s="1"/>
      <c r="B22331" s="1" t="s">
        <v>7328</v>
      </c>
      <c r="C22331" s="1" t="s">
        <v>7329</v>
      </c>
      <c r="D22331" s="22" t="str">
        <f>HYPERLINK("https://rhld.insurance.arkansas.gov/NPILookup?Npi=1174049308","1174049308")</f>
        <v>1174049308</v>
      </c>
      <c r="E22331" s="1" t="s">
        <v>25873</v>
      </c>
      <c r="F22331" s="2"/>
      <c r="G22331" s="2"/>
      <c r="H22331" s="2"/>
    </row>
    <row r="22332" spans="1:8" x14ac:dyDescent="0.25">
      <c r="A22332" s="1"/>
      <c r="B22332" s="1" t="s">
        <v>7328</v>
      </c>
      <c r="C22332" s="1" t="s">
        <v>7329</v>
      </c>
      <c r="D22332" s="22" t="str">
        <f>HYPERLINK("https://rhld.insurance.arkansas.gov/NPILookup?Npi=1174049530","1174049530")</f>
        <v>1174049530</v>
      </c>
      <c r="E22332" s="1" t="s">
        <v>12799</v>
      </c>
      <c r="F22332" s="2"/>
      <c r="G22332" s="2"/>
      <c r="H22332" s="2"/>
    </row>
    <row r="22333" spans="1:8" x14ac:dyDescent="0.25">
      <c r="A22333" s="1"/>
      <c r="B22333" s="1" t="s">
        <v>7328</v>
      </c>
      <c r="C22333" s="1" t="s">
        <v>7329</v>
      </c>
      <c r="D22333" s="22" t="str">
        <f>HYPERLINK("https://rhld.insurance.arkansas.gov/NPILookup?Npi=1174049985","1174049985")</f>
        <v>1174049985</v>
      </c>
      <c r="E22333" s="1" t="s">
        <v>7496</v>
      </c>
      <c r="F22333" s="2"/>
      <c r="G22333" s="2"/>
      <c r="H22333" s="2"/>
    </row>
    <row r="22334" spans="1:8" x14ac:dyDescent="0.25">
      <c r="A22334" s="1"/>
      <c r="B22334" s="1" t="s">
        <v>7328</v>
      </c>
      <c r="C22334" s="1" t="s">
        <v>7329</v>
      </c>
      <c r="D22334" s="22" t="str">
        <f>HYPERLINK("https://rhld.insurance.arkansas.gov/NPILookup?Npi=1174052690","1174052690")</f>
        <v>1174052690</v>
      </c>
      <c r="E22334" s="1" t="s">
        <v>1980</v>
      </c>
      <c r="F22334" s="2"/>
      <c r="G22334" s="2"/>
      <c r="H22334" s="2"/>
    </row>
    <row r="22335" spans="1:8" x14ac:dyDescent="0.25">
      <c r="A22335" s="1"/>
      <c r="B22335" s="1" t="s">
        <v>7328</v>
      </c>
      <c r="C22335" s="1" t="s">
        <v>7329</v>
      </c>
      <c r="D22335" s="22" t="str">
        <f>HYPERLINK("https://rhld.insurance.arkansas.gov/NPILookup?Npi=1174057376","1174057376")</f>
        <v>1174057376</v>
      </c>
      <c r="E22335" s="1" t="s">
        <v>25874</v>
      </c>
      <c r="F22335" s="2"/>
      <c r="G22335" s="2"/>
      <c r="H22335" s="2"/>
    </row>
    <row r="22336" spans="1:8" x14ac:dyDescent="0.25">
      <c r="A22336" s="1"/>
      <c r="B22336" s="1" t="s">
        <v>7328</v>
      </c>
      <c r="C22336" s="1" t="s">
        <v>7329</v>
      </c>
      <c r="D22336" s="22" t="str">
        <f>HYPERLINK("https://rhld.insurance.arkansas.gov/NPILookup?Npi=1174057863","1174057863")</f>
        <v>1174057863</v>
      </c>
      <c r="E22336" s="1" t="s">
        <v>2668</v>
      </c>
      <c r="F22336" s="2"/>
      <c r="G22336" s="2"/>
      <c r="H22336" s="2"/>
    </row>
    <row r="22337" spans="1:8" x14ac:dyDescent="0.25">
      <c r="A22337" s="1"/>
      <c r="B22337" s="1" t="s">
        <v>7328</v>
      </c>
      <c r="C22337" s="1" t="s">
        <v>7329</v>
      </c>
      <c r="D22337" s="22" t="str">
        <f>HYPERLINK("https://rhld.insurance.arkansas.gov/NPILookup?Npi=1174063358","1174063358")</f>
        <v>1174063358</v>
      </c>
      <c r="E22337" s="1" t="s">
        <v>25875</v>
      </c>
      <c r="F22337" s="2"/>
      <c r="G22337" s="2"/>
      <c r="H22337" s="2"/>
    </row>
    <row r="22338" spans="1:8" x14ac:dyDescent="0.25">
      <c r="A22338" s="1"/>
      <c r="B22338" s="1" t="s">
        <v>7328</v>
      </c>
      <c r="C22338" s="1" t="s">
        <v>7329</v>
      </c>
      <c r="D22338" s="22" t="str">
        <f>HYPERLINK("https://rhld.insurance.arkansas.gov/NPILookup?Npi=1174069611","1174069611")</f>
        <v>1174069611</v>
      </c>
      <c r="E22338" s="1" t="s">
        <v>25876</v>
      </c>
      <c r="F22338" s="2"/>
      <c r="G22338" s="2"/>
      <c r="H22338" s="2"/>
    </row>
    <row r="22339" spans="1:8" x14ac:dyDescent="0.25">
      <c r="A22339" s="1"/>
      <c r="B22339" s="1" t="s">
        <v>7328</v>
      </c>
      <c r="C22339" s="1" t="s">
        <v>7329</v>
      </c>
      <c r="D22339" s="22" t="str">
        <f>HYPERLINK("https://rhld.insurance.arkansas.gov/NPILookup?Npi=1174070205","1174070205")</f>
        <v>1174070205</v>
      </c>
      <c r="E22339" s="1" t="s">
        <v>12800</v>
      </c>
      <c r="F22339" s="2"/>
      <c r="G22339" s="2"/>
      <c r="H22339" s="2"/>
    </row>
    <row r="22340" spans="1:8" x14ac:dyDescent="0.25">
      <c r="A22340" s="1"/>
      <c r="B22340" s="1" t="s">
        <v>7328</v>
      </c>
      <c r="C22340" s="1" t="s">
        <v>7329</v>
      </c>
      <c r="D22340" s="22" t="str">
        <f>HYPERLINK("https://rhld.insurance.arkansas.gov/NPILookup?Npi=1174080949","1174080949")</f>
        <v>1174080949</v>
      </c>
      <c r="E22340" s="1" t="s">
        <v>25877</v>
      </c>
      <c r="F22340" s="2"/>
      <c r="G22340" s="2"/>
      <c r="H22340" s="2"/>
    </row>
    <row r="22341" spans="1:8" x14ac:dyDescent="0.25">
      <c r="A22341" s="1"/>
      <c r="B22341" s="1" t="s">
        <v>7328</v>
      </c>
      <c r="C22341" s="1" t="s">
        <v>7329</v>
      </c>
      <c r="D22341" s="22" t="str">
        <f>HYPERLINK("https://rhld.insurance.arkansas.gov/NPILookup?Npi=1174101927","1174101927")</f>
        <v>1174101927</v>
      </c>
      <c r="E22341" s="1" t="s">
        <v>7497</v>
      </c>
      <c r="F22341" s="2"/>
      <c r="G22341" s="2"/>
      <c r="H22341" s="2"/>
    </row>
    <row r="22342" spans="1:8" x14ac:dyDescent="0.25">
      <c r="A22342" s="1"/>
      <c r="B22342" s="1" t="s">
        <v>7328</v>
      </c>
      <c r="C22342" s="1" t="s">
        <v>7329</v>
      </c>
      <c r="D22342" s="22" t="str">
        <f>HYPERLINK("https://rhld.insurance.arkansas.gov/NPILookup?Npi=1174107916","1174107916")</f>
        <v>1174107916</v>
      </c>
      <c r="E22342" s="1" t="s">
        <v>25878</v>
      </c>
      <c r="F22342" s="2"/>
      <c r="G22342" s="2"/>
      <c r="H22342" s="2"/>
    </row>
    <row r="22343" spans="1:8" x14ac:dyDescent="0.25">
      <c r="A22343" s="1"/>
      <c r="B22343" s="1" t="s">
        <v>7328</v>
      </c>
      <c r="C22343" s="1" t="s">
        <v>7329</v>
      </c>
      <c r="D22343" s="22" t="str">
        <f>HYPERLINK("https://rhld.insurance.arkansas.gov/NPILookup?Npi=1174112098","1174112098")</f>
        <v>1174112098</v>
      </c>
      <c r="E22343" s="1" t="s">
        <v>12801</v>
      </c>
      <c r="F22343" s="2"/>
      <c r="G22343" s="2"/>
      <c r="H22343" s="2"/>
    </row>
    <row r="22344" spans="1:8" x14ac:dyDescent="0.25">
      <c r="A22344" s="1"/>
      <c r="B22344" s="1" t="s">
        <v>7328</v>
      </c>
      <c r="C22344" s="1" t="s">
        <v>7329</v>
      </c>
      <c r="D22344" s="22" t="str">
        <f>HYPERLINK("https://rhld.insurance.arkansas.gov/NPILookup?Npi=1174120307","1174120307")</f>
        <v>1174120307</v>
      </c>
      <c r="E22344" s="1" t="s">
        <v>25879</v>
      </c>
      <c r="F22344" s="2"/>
      <c r="G22344" s="2"/>
      <c r="H22344" s="2"/>
    </row>
    <row r="22345" spans="1:8" x14ac:dyDescent="0.25">
      <c r="A22345" s="1"/>
      <c r="B22345" s="1" t="s">
        <v>7328</v>
      </c>
      <c r="C22345" s="1" t="s">
        <v>7329</v>
      </c>
      <c r="D22345" s="22" t="str">
        <f>HYPERLINK("https://rhld.insurance.arkansas.gov/NPILookup?Npi=1174121248","1174121248")</f>
        <v>1174121248</v>
      </c>
      <c r="E22345" s="1" t="s">
        <v>7498</v>
      </c>
      <c r="F22345" s="2"/>
      <c r="G22345" s="2"/>
      <c r="H22345" s="2"/>
    </row>
    <row r="22346" spans="1:8" x14ac:dyDescent="0.25">
      <c r="A22346" s="1"/>
      <c r="B22346" s="1" t="s">
        <v>7328</v>
      </c>
      <c r="C22346" s="1" t="s">
        <v>7329</v>
      </c>
      <c r="D22346" s="22" t="str">
        <f>HYPERLINK("https://rhld.insurance.arkansas.gov/NPILookup?Npi=1174122121","1174122121")</f>
        <v>1174122121</v>
      </c>
      <c r="E22346" s="1" t="s">
        <v>25880</v>
      </c>
      <c r="F22346" s="2"/>
      <c r="G22346" s="2"/>
      <c r="H22346" s="2"/>
    </row>
    <row r="22347" spans="1:8" x14ac:dyDescent="0.25">
      <c r="A22347" s="1"/>
      <c r="B22347" s="1" t="s">
        <v>7328</v>
      </c>
      <c r="C22347" s="1" t="s">
        <v>7329</v>
      </c>
      <c r="D22347" s="22" t="str">
        <f>HYPERLINK("https://rhld.insurance.arkansas.gov/NPILookup?Npi=1174132948","1174132948")</f>
        <v>1174132948</v>
      </c>
      <c r="E22347" s="1" t="s">
        <v>7499</v>
      </c>
      <c r="F22347" s="2"/>
      <c r="G22347" s="2"/>
      <c r="H22347" s="2"/>
    </row>
    <row r="22348" spans="1:8" x14ac:dyDescent="0.25">
      <c r="A22348" s="1"/>
      <c r="B22348" s="1" t="s">
        <v>7328</v>
      </c>
      <c r="C22348" s="1" t="s">
        <v>7329</v>
      </c>
      <c r="D22348" s="22" t="str">
        <f>HYPERLINK("https://rhld.insurance.arkansas.gov/NPILookup?Npi=1174134019","1174134019")</f>
        <v>1174134019</v>
      </c>
      <c r="E22348" s="1" t="s">
        <v>7500</v>
      </c>
      <c r="F22348" s="2"/>
      <c r="G22348" s="2"/>
      <c r="H22348" s="2"/>
    </row>
    <row r="22349" spans="1:8" x14ac:dyDescent="0.25">
      <c r="A22349" s="1"/>
      <c r="B22349" s="1" t="s">
        <v>7328</v>
      </c>
      <c r="C22349" s="1" t="s">
        <v>7329</v>
      </c>
      <c r="D22349" s="22" t="str">
        <f>HYPERLINK("https://rhld.insurance.arkansas.gov/NPILookup?Npi=1174137111","1174137111")</f>
        <v>1174137111</v>
      </c>
      <c r="E22349" s="1" t="s">
        <v>25881</v>
      </c>
      <c r="F22349" s="2"/>
      <c r="G22349" s="2"/>
      <c r="H22349" s="2"/>
    </row>
    <row r="22350" spans="1:8" x14ac:dyDescent="0.25">
      <c r="A22350" s="1"/>
      <c r="B22350" s="1" t="s">
        <v>7328</v>
      </c>
      <c r="C22350" s="1" t="s">
        <v>7329</v>
      </c>
      <c r="D22350" s="22" t="str">
        <f>HYPERLINK("https://rhld.insurance.arkansas.gov/NPILookup?Npi=1174138473","1174138473")</f>
        <v>1174138473</v>
      </c>
      <c r="E22350" s="1" t="s">
        <v>7501</v>
      </c>
      <c r="F22350" s="2"/>
      <c r="G22350" s="2"/>
      <c r="H22350" s="2"/>
    </row>
    <row r="22351" spans="1:8" x14ac:dyDescent="0.25">
      <c r="A22351" s="1"/>
      <c r="B22351" s="1" t="s">
        <v>7328</v>
      </c>
      <c r="C22351" s="1" t="s">
        <v>7329</v>
      </c>
      <c r="D22351" s="22" t="str">
        <f>HYPERLINK("https://rhld.insurance.arkansas.gov/NPILookup?Npi=1174139182","1174139182")</f>
        <v>1174139182</v>
      </c>
      <c r="E22351" s="1" t="s">
        <v>25882</v>
      </c>
      <c r="F22351" s="2"/>
      <c r="G22351" s="2"/>
      <c r="H22351" s="2"/>
    </row>
    <row r="22352" spans="1:8" x14ac:dyDescent="0.25">
      <c r="A22352" s="1"/>
      <c r="B22352" s="1" t="s">
        <v>7328</v>
      </c>
      <c r="C22352" s="1" t="s">
        <v>7329</v>
      </c>
      <c r="D22352" s="22" t="str">
        <f>HYPERLINK("https://rhld.insurance.arkansas.gov/NPILookup?Npi=1174139455","1174139455")</f>
        <v>1174139455</v>
      </c>
      <c r="E22352" s="1" t="s">
        <v>7502</v>
      </c>
      <c r="F22352" s="2"/>
      <c r="G22352" s="2"/>
      <c r="H22352" s="2"/>
    </row>
    <row r="22353" spans="1:8" x14ac:dyDescent="0.25">
      <c r="A22353" s="1"/>
      <c r="B22353" s="1" t="s">
        <v>7328</v>
      </c>
      <c r="C22353" s="1" t="s">
        <v>7329</v>
      </c>
      <c r="D22353" s="22" t="str">
        <f>HYPERLINK("https://rhld.insurance.arkansas.gov/NPILookup?Npi=1174156624","1174156624")</f>
        <v>1174156624</v>
      </c>
      <c r="E22353" s="1" t="s">
        <v>25883</v>
      </c>
      <c r="F22353" s="2"/>
      <c r="G22353" s="2"/>
      <c r="H22353" s="2"/>
    </row>
    <row r="22354" spans="1:8" x14ac:dyDescent="0.25">
      <c r="A22354" s="1"/>
      <c r="B22354" s="1" t="s">
        <v>7328</v>
      </c>
      <c r="C22354" s="1" t="s">
        <v>7329</v>
      </c>
      <c r="D22354" s="22" t="str">
        <f>HYPERLINK("https://rhld.insurance.arkansas.gov/NPILookup?Npi=1174157424","1174157424")</f>
        <v>1174157424</v>
      </c>
      <c r="E22354" s="1" t="s">
        <v>25884</v>
      </c>
      <c r="F22354" s="2"/>
      <c r="G22354" s="2"/>
      <c r="H22354" s="2"/>
    </row>
    <row r="22355" spans="1:8" x14ac:dyDescent="0.25">
      <c r="A22355" s="1"/>
      <c r="B22355" s="1" t="s">
        <v>7328</v>
      </c>
      <c r="C22355" s="1" t="s">
        <v>7329</v>
      </c>
      <c r="D22355" s="22" t="str">
        <f>HYPERLINK("https://rhld.insurance.arkansas.gov/NPILookup?Npi=1174157523","1174157523")</f>
        <v>1174157523</v>
      </c>
      <c r="E22355" s="1" t="s">
        <v>25885</v>
      </c>
      <c r="F22355" s="2"/>
      <c r="G22355" s="2"/>
      <c r="H22355" s="2"/>
    </row>
    <row r="22356" spans="1:8" x14ac:dyDescent="0.25">
      <c r="A22356" s="1"/>
      <c r="B22356" s="1" t="s">
        <v>7328</v>
      </c>
      <c r="C22356" s="1" t="s">
        <v>7329</v>
      </c>
      <c r="D22356" s="22" t="str">
        <f>HYPERLINK("https://rhld.insurance.arkansas.gov/NPILookup?Npi=1174157879","1174157879")</f>
        <v>1174157879</v>
      </c>
      <c r="E22356" s="1" t="s">
        <v>25886</v>
      </c>
      <c r="F22356" s="2"/>
      <c r="G22356" s="2"/>
      <c r="H22356" s="2"/>
    </row>
    <row r="22357" spans="1:8" x14ac:dyDescent="0.25">
      <c r="A22357" s="1"/>
      <c r="B22357" s="1" t="s">
        <v>7328</v>
      </c>
      <c r="C22357" s="1" t="s">
        <v>7329</v>
      </c>
      <c r="D22357" s="22" t="str">
        <f>HYPERLINK("https://rhld.insurance.arkansas.gov/NPILookup?Npi=1174160089","1174160089")</f>
        <v>1174160089</v>
      </c>
      <c r="E22357" s="1" t="s">
        <v>25887</v>
      </c>
      <c r="F22357" s="2"/>
      <c r="G22357" s="2"/>
      <c r="H22357" s="2"/>
    </row>
    <row r="22358" spans="1:8" x14ac:dyDescent="0.25">
      <c r="A22358" s="1"/>
      <c r="B22358" s="1" t="s">
        <v>7328</v>
      </c>
      <c r="C22358" s="1" t="s">
        <v>7329</v>
      </c>
      <c r="D22358" s="22" t="str">
        <f>HYPERLINK("https://rhld.insurance.arkansas.gov/NPILookup?Npi=1174177612","1174177612")</f>
        <v>1174177612</v>
      </c>
      <c r="E22358" s="1" t="s">
        <v>12802</v>
      </c>
      <c r="F22358" s="2"/>
      <c r="G22358" s="2"/>
      <c r="H22358" s="2"/>
    </row>
    <row r="22359" spans="1:8" x14ac:dyDescent="0.25">
      <c r="A22359" s="1"/>
      <c r="B22359" s="1" t="s">
        <v>7328</v>
      </c>
      <c r="C22359" s="1" t="s">
        <v>7329</v>
      </c>
      <c r="D22359" s="22" t="str">
        <f>HYPERLINK("https://rhld.insurance.arkansas.gov/NPILookup?Npi=1174184931","1174184931")</f>
        <v>1174184931</v>
      </c>
      <c r="E22359" s="1" t="s">
        <v>17266</v>
      </c>
      <c r="F22359" s="2"/>
      <c r="G22359" s="2"/>
      <c r="H22359" s="2"/>
    </row>
    <row r="22360" spans="1:8" x14ac:dyDescent="0.25">
      <c r="A22360" s="1"/>
      <c r="B22360" s="1" t="s">
        <v>7328</v>
      </c>
      <c r="C22360" s="1" t="s">
        <v>7329</v>
      </c>
      <c r="D22360" s="22" t="str">
        <f>HYPERLINK("https://rhld.insurance.arkansas.gov/NPILookup?Npi=1174185987","1174185987")</f>
        <v>1174185987</v>
      </c>
      <c r="E22360" s="1" t="s">
        <v>12803</v>
      </c>
      <c r="F22360" s="2"/>
      <c r="G22360" s="2"/>
      <c r="H22360" s="2"/>
    </row>
    <row r="22361" spans="1:8" x14ac:dyDescent="0.25">
      <c r="A22361" s="1"/>
      <c r="B22361" s="1" t="s">
        <v>7328</v>
      </c>
      <c r="C22361" s="1" t="s">
        <v>7329</v>
      </c>
      <c r="D22361" s="22" t="str">
        <f>HYPERLINK("https://rhld.insurance.arkansas.gov/NPILookup?Npi=1174236392","1174236392")</f>
        <v>1174236392</v>
      </c>
      <c r="E22361" s="1" t="s">
        <v>7503</v>
      </c>
      <c r="F22361" s="2"/>
      <c r="G22361" s="2"/>
      <c r="H22361" s="2"/>
    </row>
    <row r="22362" spans="1:8" x14ac:dyDescent="0.25">
      <c r="A22362" s="1"/>
      <c r="B22362" s="1" t="s">
        <v>7328</v>
      </c>
      <c r="C22362" s="1" t="s">
        <v>7329</v>
      </c>
      <c r="D22362" s="22" t="str">
        <f>HYPERLINK("https://rhld.insurance.arkansas.gov/NPILookup?Npi=1174242283","1174242283")</f>
        <v>1174242283</v>
      </c>
      <c r="E22362" s="1" t="s">
        <v>25888</v>
      </c>
      <c r="F22362" s="2"/>
      <c r="G22362" s="2"/>
      <c r="H22362" s="2"/>
    </row>
    <row r="22363" spans="1:8" x14ac:dyDescent="0.25">
      <c r="A22363" s="1"/>
      <c r="B22363" s="1" t="s">
        <v>7328</v>
      </c>
      <c r="C22363" s="1" t="s">
        <v>7329</v>
      </c>
      <c r="D22363" s="22" t="str">
        <f>HYPERLINK("https://rhld.insurance.arkansas.gov/NPILookup?Npi=1174254585","1174254585")</f>
        <v>1174254585</v>
      </c>
      <c r="E22363" s="1" t="s">
        <v>25889</v>
      </c>
      <c r="F22363" s="2"/>
      <c r="G22363" s="2"/>
      <c r="H22363" s="2"/>
    </row>
    <row r="22364" spans="1:8" x14ac:dyDescent="0.25">
      <c r="A22364" s="1"/>
      <c r="B22364" s="1" t="s">
        <v>7328</v>
      </c>
      <c r="C22364" s="1" t="s">
        <v>7329</v>
      </c>
      <c r="D22364" s="22" t="str">
        <f>HYPERLINK("https://rhld.insurance.arkansas.gov/NPILookup?Npi=1174256770","1174256770")</f>
        <v>1174256770</v>
      </c>
      <c r="E22364" s="1" t="s">
        <v>25890</v>
      </c>
      <c r="F22364" s="2"/>
      <c r="G22364" s="2"/>
      <c r="H22364" s="2"/>
    </row>
    <row r="22365" spans="1:8" x14ac:dyDescent="0.25">
      <c r="A22365" s="1"/>
      <c r="B22365" s="1" t="s">
        <v>7328</v>
      </c>
      <c r="C22365" s="1" t="s">
        <v>7329</v>
      </c>
      <c r="D22365" s="22" t="str">
        <f>HYPERLINK("https://rhld.insurance.arkansas.gov/NPILookup?Npi=1174259295","1174259295")</f>
        <v>1174259295</v>
      </c>
      <c r="E22365" s="1" t="s">
        <v>12804</v>
      </c>
      <c r="F22365" s="2"/>
      <c r="G22365" s="2"/>
      <c r="H22365" s="2"/>
    </row>
    <row r="22366" spans="1:8" x14ac:dyDescent="0.25">
      <c r="A22366" s="1"/>
      <c r="B22366" s="1" t="s">
        <v>7328</v>
      </c>
      <c r="C22366" s="1" t="s">
        <v>7329</v>
      </c>
      <c r="D22366" s="22" t="str">
        <f>HYPERLINK("https://rhld.insurance.arkansas.gov/NPILookup?Npi=1174288427","1174288427")</f>
        <v>1174288427</v>
      </c>
      <c r="E22366" s="1" t="s">
        <v>7504</v>
      </c>
      <c r="F22366" s="2"/>
      <c r="G22366" s="2"/>
      <c r="H22366" s="2"/>
    </row>
    <row r="22367" spans="1:8" x14ac:dyDescent="0.25">
      <c r="A22367" s="1"/>
      <c r="B22367" s="1" t="s">
        <v>7328</v>
      </c>
      <c r="C22367" s="1" t="s">
        <v>7329</v>
      </c>
      <c r="D22367" s="22" t="str">
        <f>HYPERLINK("https://rhld.insurance.arkansas.gov/NPILookup?Npi=1174294094","1174294094")</f>
        <v>1174294094</v>
      </c>
      <c r="E22367" s="1" t="s">
        <v>25891</v>
      </c>
      <c r="F22367" s="2"/>
      <c r="G22367" s="2"/>
      <c r="H22367" s="2"/>
    </row>
    <row r="22368" spans="1:8" x14ac:dyDescent="0.25">
      <c r="A22368" s="1"/>
      <c r="B22368" s="1" t="s">
        <v>7328</v>
      </c>
      <c r="C22368" s="1" t="s">
        <v>7329</v>
      </c>
      <c r="D22368" s="22" t="str">
        <f>HYPERLINK("https://rhld.insurance.arkansas.gov/NPILookup?Npi=1174298038","1174298038")</f>
        <v>1174298038</v>
      </c>
      <c r="E22368" s="1" t="s">
        <v>25892</v>
      </c>
      <c r="F22368" s="2"/>
      <c r="G22368" s="2"/>
      <c r="H22368" s="2"/>
    </row>
    <row r="22369" spans="1:8" x14ac:dyDescent="0.25">
      <c r="A22369" s="1"/>
      <c r="B22369" s="1" t="s">
        <v>7328</v>
      </c>
      <c r="C22369" s="1" t="s">
        <v>7329</v>
      </c>
      <c r="D22369" s="22" t="str">
        <f>HYPERLINK("https://rhld.insurance.arkansas.gov/NPILookup?Npi=1174304042","1174304042")</f>
        <v>1174304042</v>
      </c>
      <c r="E22369" s="1" t="s">
        <v>7505</v>
      </c>
      <c r="F22369" s="2"/>
      <c r="G22369" s="2"/>
      <c r="H22369" s="2"/>
    </row>
    <row r="22370" spans="1:8" x14ac:dyDescent="0.25">
      <c r="A22370" s="1"/>
      <c r="B22370" s="1" t="s">
        <v>7328</v>
      </c>
      <c r="C22370" s="1" t="s">
        <v>7329</v>
      </c>
      <c r="D22370" s="22" t="str">
        <f>HYPERLINK("https://rhld.insurance.arkansas.gov/NPILookup?Npi=1174378186","1174378186")</f>
        <v>1174378186</v>
      </c>
      <c r="E22370" s="1" t="s">
        <v>25893</v>
      </c>
      <c r="F22370" s="2"/>
      <c r="G22370" s="2"/>
      <c r="H22370" s="2"/>
    </row>
    <row r="22371" spans="1:8" x14ac:dyDescent="0.25">
      <c r="A22371" s="1"/>
      <c r="B22371" s="1" t="s">
        <v>7328</v>
      </c>
      <c r="C22371" s="1" t="s">
        <v>7329</v>
      </c>
      <c r="D22371" s="22" t="str">
        <f>HYPERLINK("https://rhld.insurance.arkansas.gov/NPILookup?Npi=1174501449","1174501449")</f>
        <v>1174501449</v>
      </c>
      <c r="E22371" s="1" t="s">
        <v>12805</v>
      </c>
      <c r="F22371" s="2"/>
      <c r="G22371" s="2"/>
      <c r="H22371" s="2"/>
    </row>
    <row r="22372" spans="1:8" x14ac:dyDescent="0.25">
      <c r="A22372" s="1"/>
      <c r="B22372" s="1" t="s">
        <v>7328</v>
      </c>
      <c r="C22372" s="1" t="s">
        <v>7329</v>
      </c>
      <c r="D22372" s="22" t="str">
        <f>HYPERLINK("https://rhld.insurance.arkansas.gov/NPILookup?Npi=1174502710","1174502710")</f>
        <v>1174502710</v>
      </c>
      <c r="E22372" s="1" t="s">
        <v>25894</v>
      </c>
      <c r="F22372" s="2"/>
      <c r="G22372" s="2"/>
      <c r="H22372" s="2"/>
    </row>
    <row r="22373" spans="1:8" x14ac:dyDescent="0.25">
      <c r="A22373" s="1"/>
      <c r="B22373" s="1" t="s">
        <v>7328</v>
      </c>
      <c r="C22373" s="1" t="s">
        <v>7329</v>
      </c>
      <c r="D22373" s="22" t="str">
        <f>HYPERLINK("https://rhld.insurance.arkansas.gov/NPILookup?Npi=1174502991","1174502991")</f>
        <v>1174502991</v>
      </c>
      <c r="E22373" s="1" t="s">
        <v>25895</v>
      </c>
      <c r="F22373" s="2"/>
      <c r="G22373" s="2"/>
      <c r="H22373" s="2"/>
    </row>
    <row r="22374" spans="1:8" x14ac:dyDescent="0.25">
      <c r="A22374" s="1"/>
      <c r="B22374" s="1" t="s">
        <v>7328</v>
      </c>
      <c r="C22374" s="1" t="s">
        <v>7329</v>
      </c>
      <c r="D22374" s="22" t="str">
        <f>HYPERLINK("https://rhld.insurance.arkansas.gov/NPILookup?Npi=1174508386","1174508386")</f>
        <v>1174508386</v>
      </c>
      <c r="E22374" s="1" t="s">
        <v>17267</v>
      </c>
      <c r="F22374" s="2"/>
      <c r="G22374" s="2"/>
      <c r="H22374" s="2"/>
    </row>
    <row r="22375" spans="1:8" x14ac:dyDescent="0.25">
      <c r="A22375" s="1"/>
      <c r="B22375" s="1" t="s">
        <v>7328</v>
      </c>
      <c r="C22375" s="1" t="s">
        <v>7329</v>
      </c>
      <c r="D22375" s="22" t="str">
        <f>HYPERLINK("https://rhld.insurance.arkansas.gov/NPILookup?Npi=1174517056","1174517056")</f>
        <v>1174517056</v>
      </c>
      <c r="E22375" s="1" t="s">
        <v>25896</v>
      </c>
      <c r="F22375" s="2"/>
      <c r="G22375" s="2"/>
      <c r="H22375" s="2"/>
    </row>
    <row r="22376" spans="1:8" x14ac:dyDescent="0.25">
      <c r="A22376" s="1"/>
      <c r="B22376" s="1" t="s">
        <v>7328</v>
      </c>
      <c r="C22376" s="1" t="s">
        <v>7329</v>
      </c>
      <c r="D22376" s="22" t="str">
        <f>HYPERLINK("https://rhld.insurance.arkansas.gov/NPILookup?Npi=1174517825","1174517825")</f>
        <v>1174517825</v>
      </c>
      <c r="E22376" s="1" t="s">
        <v>7506</v>
      </c>
      <c r="F22376" s="2"/>
      <c r="G22376" s="2"/>
      <c r="H22376" s="2"/>
    </row>
    <row r="22377" spans="1:8" x14ac:dyDescent="0.25">
      <c r="A22377" s="1"/>
      <c r="B22377" s="1" t="s">
        <v>7328</v>
      </c>
      <c r="C22377" s="1" t="s">
        <v>7329</v>
      </c>
      <c r="D22377" s="22" t="str">
        <f>HYPERLINK("https://rhld.insurance.arkansas.gov/NPILookup?Npi=1174520688","1174520688")</f>
        <v>1174520688</v>
      </c>
      <c r="E22377" s="1" t="s">
        <v>25897</v>
      </c>
      <c r="F22377" s="2"/>
      <c r="G22377" s="2"/>
      <c r="H22377" s="2"/>
    </row>
    <row r="22378" spans="1:8" x14ac:dyDescent="0.25">
      <c r="A22378" s="1"/>
      <c r="B22378" s="1" t="s">
        <v>7328</v>
      </c>
      <c r="C22378" s="1" t="s">
        <v>7329</v>
      </c>
      <c r="D22378" s="22" t="str">
        <f>HYPERLINK("https://rhld.insurance.arkansas.gov/NPILookup?Npi=1174521702","1174521702")</f>
        <v>1174521702</v>
      </c>
      <c r="E22378" s="1" t="s">
        <v>12806</v>
      </c>
      <c r="F22378" s="2"/>
      <c r="G22378" s="2"/>
      <c r="H22378" s="2"/>
    </row>
    <row r="22379" spans="1:8" x14ac:dyDescent="0.25">
      <c r="A22379" s="1"/>
      <c r="B22379" s="1" t="s">
        <v>7328</v>
      </c>
      <c r="C22379" s="1" t="s">
        <v>7329</v>
      </c>
      <c r="D22379" s="22" t="str">
        <f>HYPERLINK("https://rhld.insurance.arkansas.gov/NPILookup?Npi=1174523120","1174523120")</f>
        <v>1174523120</v>
      </c>
      <c r="E22379" s="1" t="s">
        <v>12807</v>
      </c>
      <c r="F22379" s="2"/>
      <c r="G22379" s="2"/>
      <c r="H22379" s="2"/>
    </row>
    <row r="22380" spans="1:8" x14ac:dyDescent="0.25">
      <c r="A22380" s="1"/>
      <c r="B22380" s="1" t="s">
        <v>7328</v>
      </c>
      <c r="C22380" s="1" t="s">
        <v>7329</v>
      </c>
      <c r="D22380" s="22" t="str">
        <f>HYPERLINK("https://rhld.insurance.arkansas.gov/NPILookup?Npi=1174524086","1174524086")</f>
        <v>1174524086</v>
      </c>
      <c r="E22380" s="1" t="s">
        <v>25898</v>
      </c>
      <c r="F22380" s="2"/>
      <c r="G22380" s="2"/>
      <c r="H22380" s="2"/>
    </row>
    <row r="22381" spans="1:8" x14ac:dyDescent="0.25">
      <c r="A22381" s="1"/>
      <c r="B22381" s="1" t="s">
        <v>7328</v>
      </c>
      <c r="C22381" s="1" t="s">
        <v>7329</v>
      </c>
      <c r="D22381" s="22" t="str">
        <f>HYPERLINK("https://rhld.insurance.arkansas.gov/NPILookup?Npi=1174529887","1174529887")</f>
        <v>1174529887</v>
      </c>
      <c r="E22381" s="1" t="s">
        <v>130</v>
      </c>
      <c r="F22381" s="2"/>
      <c r="G22381" s="2"/>
      <c r="H22381" s="2"/>
    </row>
    <row r="22382" spans="1:8" x14ac:dyDescent="0.25">
      <c r="A22382" s="1"/>
      <c r="B22382" s="1" t="s">
        <v>7328</v>
      </c>
      <c r="C22382" s="1" t="s">
        <v>7329</v>
      </c>
      <c r="D22382" s="22" t="str">
        <f>HYPERLINK("https://rhld.insurance.arkansas.gov/NPILookup?Npi=1174552210","1174552210")</f>
        <v>1174552210</v>
      </c>
      <c r="E22382" s="1" t="s">
        <v>9748</v>
      </c>
      <c r="F22382" s="2"/>
      <c r="G22382" s="2"/>
      <c r="H22382" s="2"/>
    </row>
    <row r="22383" spans="1:8" x14ac:dyDescent="0.25">
      <c r="A22383" s="1"/>
      <c r="B22383" s="1" t="s">
        <v>7328</v>
      </c>
      <c r="C22383" s="1" t="s">
        <v>7329</v>
      </c>
      <c r="D22383" s="22" t="str">
        <f>HYPERLINK("https://rhld.insurance.arkansas.gov/NPILookup?Npi=1174558456","1174558456")</f>
        <v>1174558456</v>
      </c>
      <c r="E22383" s="1" t="s">
        <v>25899</v>
      </c>
      <c r="F22383" s="2"/>
      <c r="G22383" s="2"/>
      <c r="H22383" s="2"/>
    </row>
    <row r="22384" spans="1:8" x14ac:dyDescent="0.25">
      <c r="A22384" s="1"/>
      <c r="B22384" s="1" t="s">
        <v>7328</v>
      </c>
      <c r="C22384" s="1" t="s">
        <v>7329</v>
      </c>
      <c r="D22384" s="22" t="str">
        <f>HYPERLINK("https://rhld.insurance.arkansas.gov/NPILookup?Npi=1174560965","1174560965")</f>
        <v>1174560965</v>
      </c>
      <c r="E22384" s="1" t="s">
        <v>1981</v>
      </c>
      <c r="F22384" s="2"/>
      <c r="G22384" s="2"/>
      <c r="H22384" s="2"/>
    </row>
    <row r="22385" spans="1:8" x14ac:dyDescent="0.25">
      <c r="A22385" s="1"/>
      <c r="B22385" s="1" t="s">
        <v>7328</v>
      </c>
      <c r="C22385" s="1" t="s">
        <v>7329</v>
      </c>
      <c r="D22385" s="22" t="str">
        <f>HYPERLINK("https://rhld.insurance.arkansas.gov/NPILookup?Npi=1174566574","1174566574")</f>
        <v>1174566574</v>
      </c>
      <c r="E22385" s="1" t="s">
        <v>17270</v>
      </c>
      <c r="F22385" s="2"/>
      <c r="G22385" s="2"/>
      <c r="H22385" s="2"/>
    </row>
    <row r="22386" spans="1:8" x14ac:dyDescent="0.25">
      <c r="A22386" s="1"/>
      <c r="B22386" s="1" t="s">
        <v>7328</v>
      </c>
      <c r="C22386" s="1" t="s">
        <v>7329</v>
      </c>
      <c r="D22386" s="22" t="str">
        <f>HYPERLINK("https://rhld.insurance.arkansas.gov/NPILookup?Npi=1174593446","1174593446")</f>
        <v>1174593446</v>
      </c>
      <c r="E22386" s="1" t="s">
        <v>12808</v>
      </c>
      <c r="F22386" s="2"/>
      <c r="G22386" s="2"/>
      <c r="H22386" s="2"/>
    </row>
    <row r="22387" spans="1:8" x14ac:dyDescent="0.25">
      <c r="A22387" s="1"/>
      <c r="B22387" s="1" t="s">
        <v>7328</v>
      </c>
      <c r="C22387" s="1" t="s">
        <v>7329</v>
      </c>
      <c r="D22387" s="22" t="str">
        <f>HYPERLINK("https://rhld.insurance.arkansas.gov/NPILookup?Npi=1174613657","1174613657")</f>
        <v>1174613657</v>
      </c>
      <c r="E22387" s="1" t="s">
        <v>1982</v>
      </c>
      <c r="F22387" s="2"/>
      <c r="G22387" s="2"/>
      <c r="H22387" s="2"/>
    </row>
    <row r="22388" spans="1:8" x14ac:dyDescent="0.25">
      <c r="A22388" s="1"/>
      <c r="B22388" s="1" t="s">
        <v>7328</v>
      </c>
      <c r="C22388" s="1" t="s">
        <v>7329</v>
      </c>
      <c r="D22388" s="22" t="str">
        <f>HYPERLINK("https://rhld.insurance.arkansas.gov/NPILookup?Npi=1174662357","1174662357")</f>
        <v>1174662357</v>
      </c>
      <c r="E22388" s="1" t="s">
        <v>12809</v>
      </c>
      <c r="F22388" s="2"/>
      <c r="G22388" s="2"/>
      <c r="H22388" s="2"/>
    </row>
    <row r="22389" spans="1:8" x14ac:dyDescent="0.25">
      <c r="A22389" s="1"/>
      <c r="B22389" s="1" t="s">
        <v>7328</v>
      </c>
      <c r="C22389" s="1" t="s">
        <v>7329</v>
      </c>
      <c r="D22389" s="22" t="str">
        <f>HYPERLINK("https://rhld.insurance.arkansas.gov/NPILookup?Npi=1174679377","1174679377")</f>
        <v>1174679377</v>
      </c>
      <c r="E22389" s="1" t="s">
        <v>1502</v>
      </c>
      <c r="F22389" s="2"/>
      <c r="G22389" s="2"/>
      <c r="H22389" s="2"/>
    </row>
    <row r="22390" spans="1:8" x14ac:dyDescent="0.25">
      <c r="A22390" s="1"/>
      <c r="B22390" s="1" t="s">
        <v>7328</v>
      </c>
      <c r="C22390" s="1" t="s">
        <v>7329</v>
      </c>
      <c r="D22390" s="22" t="str">
        <f>HYPERLINK("https://rhld.insurance.arkansas.gov/NPILookup?Npi=1174683205","1174683205")</f>
        <v>1174683205</v>
      </c>
      <c r="E22390" s="1" t="s">
        <v>32141</v>
      </c>
      <c r="F22390" s="2"/>
      <c r="G22390" s="2"/>
      <c r="H22390" s="2"/>
    </row>
    <row r="22391" spans="1:8" x14ac:dyDescent="0.25">
      <c r="A22391" s="1"/>
      <c r="B22391" s="1" t="s">
        <v>7328</v>
      </c>
      <c r="C22391" s="1" t="s">
        <v>7329</v>
      </c>
      <c r="D22391" s="22" t="str">
        <f>HYPERLINK("https://rhld.insurance.arkansas.gov/NPILookup?Npi=1174685465","1174685465")</f>
        <v>1174685465</v>
      </c>
      <c r="E22391" s="1" t="s">
        <v>2669</v>
      </c>
      <c r="F22391" s="2"/>
      <c r="G22391" s="2"/>
      <c r="H22391" s="2"/>
    </row>
    <row r="22392" spans="1:8" x14ac:dyDescent="0.25">
      <c r="A22392" s="1"/>
      <c r="B22392" s="1" t="s">
        <v>7328</v>
      </c>
      <c r="C22392" s="1" t="s">
        <v>7329</v>
      </c>
      <c r="D22392" s="22" t="str">
        <f>HYPERLINK("https://rhld.insurance.arkansas.gov/NPILookup?Npi=1174729735","1174729735")</f>
        <v>1174729735</v>
      </c>
      <c r="E22392" s="1" t="s">
        <v>25900</v>
      </c>
      <c r="F22392" s="2"/>
      <c r="G22392" s="2"/>
      <c r="H22392" s="2"/>
    </row>
    <row r="22393" spans="1:8" x14ac:dyDescent="0.25">
      <c r="A22393" s="1"/>
      <c r="B22393" s="1" t="s">
        <v>7328</v>
      </c>
      <c r="C22393" s="1" t="s">
        <v>7329</v>
      </c>
      <c r="D22393" s="22" t="str">
        <f>HYPERLINK("https://rhld.insurance.arkansas.gov/NPILookup?Npi=1174748412","1174748412")</f>
        <v>1174748412</v>
      </c>
      <c r="E22393" s="1" t="s">
        <v>25901</v>
      </c>
      <c r="F22393" s="2"/>
      <c r="G22393" s="2"/>
      <c r="H22393" s="2"/>
    </row>
    <row r="22394" spans="1:8" x14ac:dyDescent="0.25">
      <c r="A22394" s="1"/>
      <c r="B22394" s="1" t="s">
        <v>7328</v>
      </c>
      <c r="C22394" s="1" t="s">
        <v>7329</v>
      </c>
      <c r="D22394" s="22" t="str">
        <f>HYPERLINK("https://rhld.insurance.arkansas.gov/NPILookup?Npi=1174750962","1174750962")</f>
        <v>1174750962</v>
      </c>
      <c r="E22394" s="1" t="s">
        <v>25902</v>
      </c>
      <c r="F22394" s="2"/>
      <c r="G22394" s="2"/>
      <c r="H22394" s="2"/>
    </row>
    <row r="22395" spans="1:8" x14ac:dyDescent="0.25">
      <c r="A22395" s="1"/>
      <c r="B22395" s="1" t="s">
        <v>7328</v>
      </c>
      <c r="C22395" s="1" t="s">
        <v>7329</v>
      </c>
      <c r="D22395" s="22" t="str">
        <f>HYPERLINK("https://rhld.insurance.arkansas.gov/NPILookup?Npi=1174788368","1174788368")</f>
        <v>1174788368</v>
      </c>
      <c r="E22395" s="1" t="s">
        <v>914</v>
      </c>
      <c r="F22395" s="2"/>
      <c r="G22395" s="2"/>
      <c r="H22395" s="2"/>
    </row>
    <row r="22396" spans="1:8" x14ac:dyDescent="0.25">
      <c r="A22396" s="1"/>
      <c r="B22396" s="1" t="s">
        <v>7328</v>
      </c>
      <c r="C22396" s="1" t="s">
        <v>7329</v>
      </c>
      <c r="D22396" s="22" t="str">
        <f>HYPERLINK("https://rhld.insurance.arkansas.gov/NPILookup?Npi=1174791081","1174791081")</f>
        <v>1174791081</v>
      </c>
      <c r="E22396" s="1" t="s">
        <v>32142</v>
      </c>
      <c r="F22396" s="2"/>
      <c r="G22396" s="2"/>
      <c r="H22396" s="2"/>
    </row>
    <row r="22397" spans="1:8" x14ac:dyDescent="0.25">
      <c r="A22397" s="1"/>
      <c r="B22397" s="1" t="s">
        <v>7328</v>
      </c>
      <c r="C22397" s="1" t="s">
        <v>7329</v>
      </c>
      <c r="D22397" s="22" t="str">
        <f>HYPERLINK("https://rhld.insurance.arkansas.gov/NPILookup?Npi=1174799258","1174799258")</f>
        <v>1174799258</v>
      </c>
      <c r="E22397" s="1" t="s">
        <v>25903</v>
      </c>
      <c r="F22397" s="2"/>
      <c r="G22397" s="2"/>
      <c r="H22397" s="2"/>
    </row>
    <row r="22398" spans="1:8" x14ac:dyDescent="0.25">
      <c r="A22398" s="1"/>
      <c r="B22398" s="1" t="s">
        <v>7328</v>
      </c>
      <c r="C22398" s="1" t="s">
        <v>7329</v>
      </c>
      <c r="D22398" s="22" t="str">
        <f>HYPERLINK("https://rhld.insurance.arkansas.gov/NPILookup?Npi=1174822506","1174822506")</f>
        <v>1174822506</v>
      </c>
      <c r="E22398" s="1" t="s">
        <v>25904</v>
      </c>
      <c r="F22398" s="2"/>
      <c r="G22398" s="2"/>
      <c r="H22398" s="2"/>
    </row>
    <row r="22399" spans="1:8" x14ac:dyDescent="0.25">
      <c r="A22399" s="1"/>
      <c r="B22399" s="1" t="s">
        <v>7328</v>
      </c>
      <c r="C22399" s="1" t="s">
        <v>7329</v>
      </c>
      <c r="D22399" s="22" t="str">
        <f>HYPERLINK("https://rhld.insurance.arkansas.gov/NPILookup?Npi=1174847313","1174847313")</f>
        <v>1174847313</v>
      </c>
      <c r="E22399" s="1" t="s">
        <v>25905</v>
      </c>
      <c r="F22399" s="2"/>
      <c r="G22399" s="2"/>
      <c r="H22399" s="2"/>
    </row>
    <row r="22400" spans="1:8" x14ac:dyDescent="0.25">
      <c r="A22400" s="1"/>
      <c r="B22400" s="1" t="s">
        <v>7328</v>
      </c>
      <c r="C22400" s="1" t="s">
        <v>7329</v>
      </c>
      <c r="D22400" s="22" t="str">
        <f>HYPERLINK("https://rhld.insurance.arkansas.gov/NPILookup?Npi=1174877369","1174877369")</f>
        <v>1174877369</v>
      </c>
      <c r="E22400" s="1" t="s">
        <v>25906</v>
      </c>
      <c r="F22400" s="2"/>
      <c r="G22400" s="2"/>
      <c r="H22400" s="2"/>
    </row>
    <row r="22401" spans="1:8" x14ac:dyDescent="0.25">
      <c r="A22401" s="1"/>
      <c r="B22401" s="1" t="s">
        <v>7328</v>
      </c>
      <c r="C22401" s="1" t="s">
        <v>7329</v>
      </c>
      <c r="D22401" s="22" t="str">
        <f>HYPERLINK("https://rhld.insurance.arkansas.gov/NPILookup?Npi=1174890065","1174890065")</f>
        <v>1174890065</v>
      </c>
      <c r="E22401" s="1" t="s">
        <v>12810</v>
      </c>
      <c r="F22401" s="2"/>
      <c r="G22401" s="2"/>
      <c r="H22401" s="2"/>
    </row>
    <row r="22402" spans="1:8" x14ac:dyDescent="0.25">
      <c r="A22402" s="1"/>
      <c r="B22402" s="1" t="s">
        <v>7328</v>
      </c>
      <c r="C22402" s="1" t="s">
        <v>7329</v>
      </c>
      <c r="D22402" s="22" t="str">
        <f>HYPERLINK("https://rhld.insurance.arkansas.gov/NPILookup?Npi=1174902795","1174902795")</f>
        <v>1174902795</v>
      </c>
      <c r="E22402" s="1" t="s">
        <v>25907</v>
      </c>
      <c r="F22402" s="2"/>
      <c r="G22402" s="2"/>
      <c r="H22402" s="2"/>
    </row>
    <row r="22403" spans="1:8" x14ac:dyDescent="0.25">
      <c r="A22403" s="1"/>
      <c r="B22403" s="1" t="s">
        <v>7328</v>
      </c>
      <c r="C22403" s="1" t="s">
        <v>7329</v>
      </c>
      <c r="D22403" s="22" t="str">
        <f>HYPERLINK("https://rhld.insurance.arkansas.gov/NPILookup?Npi=1174903389","1174903389")</f>
        <v>1174903389</v>
      </c>
      <c r="E22403" s="1" t="s">
        <v>25908</v>
      </c>
      <c r="F22403" s="2"/>
      <c r="G22403" s="2"/>
      <c r="H22403" s="2"/>
    </row>
    <row r="22404" spans="1:8" x14ac:dyDescent="0.25">
      <c r="A22404" s="1"/>
      <c r="B22404" s="1" t="s">
        <v>7328</v>
      </c>
      <c r="C22404" s="1" t="s">
        <v>7329</v>
      </c>
      <c r="D22404" s="22" t="str">
        <f>HYPERLINK("https://rhld.insurance.arkansas.gov/NPILookup?Npi=1174910210","1174910210")</f>
        <v>1174910210</v>
      </c>
      <c r="E22404" s="1" t="s">
        <v>25909</v>
      </c>
      <c r="F22404" s="2"/>
      <c r="G22404" s="2"/>
      <c r="H22404" s="2"/>
    </row>
    <row r="22405" spans="1:8" x14ac:dyDescent="0.25">
      <c r="A22405" s="1"/>
      <c r="B22405" s="1" t="s">
        <v>7328</v>
      </c>
      <c r="C22405" s="1" t="s">
        <v>7329</v>
      </c>
      <c r="D22405" s="22" t="str">
        <f>HYPERLINK("https://rhld.insurance.arkansas.gov/NPILookup?Npi=1174930259","1174930259")</f>
        <v>1174930259</v>
      </c>
      <c r="E22405" s="1" t="s">
        <v>7508</v>
      </c>
      <c r="F22405" s="2"/>
      <c r="G22405" s="2"/>
      <c r="H22405" s="2"/>
    </row>
    <row r="22406" spans="1:8" x14ac:dyDescent="0.25">
      <c r="A22406" s="1"/>
      <c r="B22406" s="1" t="s">
        <v>7328</v>
      </c>
      <c r="C22406" s="1" t="s">
        <v>7329</v>
      </c>
      <c r="D22406" s="22" t="str">
        <f>HYPERLINK("https://rhld.insurance.arkansas.gov/NPILookup?Npi=1174949747","1174949747")</f>
        <v>1174949747</v>
      </c>
      <c r="E22406" s="1" t="s">
        <v>25910</v>
      </c>
      <c r="F22406" s="2"/>
      <c r="G22406" s="2"/>
      <c r="H22406" s="2"/>
    </row>
    <row r="22407" spans="1:8" x14ac:dyDescent="0.25">
      <c r="A22407" s="1"/>
      <c r="B22407" s="1" t="s">
        <v>7328</v>
      </c>
      <c r="C22407" s="1" t="s">
        <v>7329</v>
      </c>
      <c r="D22407" s="22" t="str">
        <f>HYPERLINK("https://rhld.insurance.arkansas.gov/NPILookup?Npi=1174968853","1174968853")</f>
        <v>1174968853</v>
      </c>
      <c r="E22407" s="1" t="s">
        <v>7509</v>
      </c>
      <c r="F22407" s="2"/>
      <c r="G22407" s="2"/>
      <c r="H22407" s="2"/>
    </row>
    <row r="22408" spans="1:8" x14ac:dyDescent="0.25">
      <c r="A22408" s="1"/>
      <c r="B22408" s="1" t="s">
        <v>7328</v>
      </c>
      <c r="C22408" s="1" t="s">
        <v>7329</v>
      </c>
      <c r="D22408" s="22" t="str">
        <f>HYPERLINK("https://rhld.insurance.arkansas.gov/NPILookup?Npi=1174973317","1174973317")</f>
        <v>1174973317</v>
      </c>
      <c r="E22408" s="1" t="s">
        <v>7510</v>
      </c>
      <c r="F22408" s="2"/>
      <c r="G22408" s="2"/>
      <c r="H22408" s="2"/>
    </row>
    <row r="22409" spans="1:8" x14ac:dyDescent="0.25">
      <c r="A22409" s="1"/>
      <c r="B22409" s="1" t="s">
        <v>7328</v>
      </c>
      <c r="C22409" s="1" t="s">
        <v>7329</v>
      </c>
      <c r="D22409" s="22" t="str">
        <f>HYPERLINK("https://rhld.insurance.arkansas.gov/NPILookup?Npi=1174973879","1174973879")</f>
        <v>1174973879</v>
      </c>
      <c r="E22409" s="1" t="s">
        <v>11541</v>
      </c>
      <c r="F22409" s="2"/>
      <c r="G22409" s="2"/>
      <c r="H22409" s="2"/>
    </row>
    <row r="22410" spans="1:8" x14ac:dyDescent="0.25">
      <c r="A22410" s="1"/>
      <c r="B22410" s="1" t="s">
        <v>7328</v>
      </c>
      <c r="C22410" s="1" t="s">
        <v>7329</v>
      </c>
      <c r="D22410" s="22" t="str">
        <f>HYPERLINK("https://rhld.insurance.arkansas.gov/NPILookup?Npi=1174978985","1174978985")</f>
        <v>1174978985</v>
      </c>
      <c r="E22410" s="1" t="s">
        <v>1983</v>
      </c>
      <c r="F22410" s="2"/>
      <c r="G22410" s="2"/>
      <c r="H22410" s="2"/>
    </row>
    <row r="22411" spans="1:8" x14ac:dyDescent="0.25">
      <c r="A22411" s="1"/>
      <c r="B22411" s="1" t="s">
        <v>7328</v>
      </c>
      <c r="C22411" s="1" t="s">
        <v>7329</v>
      </c>
      <c r="D22411" s="22" t="str">
        <f>HYPERLINK("https://rhld.insurance.arkansas.gov/NPILookup?Npi=1174981104","1174981104")</f>
        <v>1174981104</v>
      </c>
      <c r="E22411" s="1" t="s">
        <v>25911</v>
      </c>
      <c r="F22411" s="2"/>
      <c r="G22411" s="2"/>
      <c r="H22411" s="2"/>
    </row>
    <row r="22412" spans="1:8" x14ac:dyDescent="0.25">
      <c r="A22412" s="1"/>
      <c r="B22412" s="1" t="s">
        <v>7328</v>
      </c>
      <c r="C22412" s="1" t="s">
        <v>7329</v>
      </c>
      <c r="D22412" s="22" t="str">
        <f>HYPERLINK("https://rhld.insurance.arkansas.gov/NPILookup?Npi=1184007734","1184007734")</f>
        <v>1184007734</v>
      </c>
      <c r="E22412" s="1" t="s">
        <v>25912</v>
      </c>
      <c r="F22412" s="2"/>
      <c r="G22412" s="2"/>
      <c r="H22412" s="2"/>
    </row>
    <row r="22413" spans="1:8" x14ac:dyDescent="0.25">
      <c r="A22413" s="1"/>
      <c r="B22413" s="1" t="s">
        <v>7328</v>
      </c>
      <c r="C22413" s="1" t="s">
        <v>7329</v>
      </c>
      <c r="D22413" s="22" t="str">
        <f>HYPERLINK("https://rhld.insurance.arkansas.gov/NPILookup?Npi=1184010340","1184010340")</f>
        <v>1184010340</v>
      </c>
      <c r="E22413" s="1" t="s">
        <v>25913</v>
      </c>
      <c r="F22413" s="2"/>
      <c r="G22413" s="2"/>
      <c r="H22413" s="2"/>
    </row>
    <row r="22414" spans="1:8" x14ac:dyDescent="0.25">
      <c r="A22414" s="1"/>
      <c r="B22414" s="1" t="s">
        <v>7328</v>
      </c>
      <c r="C22414" s="1" t="s">
        <v>7329</v>
      </c>
      <c r="D22414" s="22" t="str">
        <f>HYPERLINK("https://rhld.insurance.arkansas.gov/NPILookup?Npi=1184015422","1184015422")</f>
        <v>1184015422</v>
      </c>
      <c r="E22414" s="1" t="s">
        <v>2670</v>
      </c>
      <c r="F22414" s="2"/>
      <c r="G22414" s="2"/>
      <c r="H22414" s="2"/>
    </row>
    <row r="22415" spans="1:8" x14ac:dyDescent="0.25">
      <c r="A22415" s="1"/>
      <c r="B22415" s="1" t="s">
        <v>7328</v>
      </c>
      <c r="C22415" s="1" t="s">
        <v>7329</v>
      </c>
      <c r="D22415" s="22" t="str">
        <f>HYPERLINK("https://rhld.insurance.arkansas.gov/NPILookup?Npi=1184019796","1184019796")</f>
        <v>1184019796</v>
      </c>
      <c r="E22415" s="1" t="s">
        <v>25914</v>
      </c>
      <c r="F22415" s="2"/>
      <c r="G22415" s="2"/>
      <c r="H22415" s="2"/>
    </row>
    <row r="22416" spans="1:8" x14ac:dyDescent="0.25">
      <c r="A22416" s="1"/>
      <c r="B22416" s="1" t="s">
        <v>7328</v>
      </c>
      <c r="C22416" s="1" t="s">
        <v>7329</v>
      </c>
      <c r="D22416" s="22" t="str">
        <f>HYPERLINK("https://rhld.insurance.arkansas.gov/NPILookup?Npi=1184038598","1184038598")</f>
        <v>1184038598</v>
      </c>
      <c r="E22416" s="1" t="s">
        <v>17280</v>
      </c>
      <c r="F22416" s="2"/>
      <c r="G22416" s="2"/>
      <c r="H22416" s="2"/>
    </row>
    <row r="22417" spans="1:8" x14ac:dyDescent="0.25">
      <c r="A22417" s="1"/>
      <c r="B22417" s="1" t="s">
        <v>7328</v>
      </c>
      <c r="C22417" s="1" t="s">
        <v>7329</v>
      </c>
      <c r="D22417" s="22" t="str">
        <f>HYPERLINK("https://rhld.insurance.arkansas.gov/NPILookup?Npi=1184039471","1184039471")</f>
        <v>1184039471</v>
      </c>
      <c r="E22417" s="1" t="s">
        <v>25915</v>
      </c>
      <c r="F22417" s="2"/>
      <c r="G22417" s="2"/>
      <c r="H22417" s="2"/>
    </row>
    <row r="22418" spans="1:8" x14ac:dyDescent="0.25">
      <c r="A22418" s="1"/>
      <c r="B22418" s="1" t="s">
        <v>7328</v>
      </c>
      <c r="C22418" s="1" t="s">
        <v>7329</v>
      </c>
      <c r="D22418" s="22" t="str">
        <f>HYPERLINK("https://rhld.insurance.arkansas.gov/NPILookup?Npi=1184047730","1184047730")</f>
        <v>1184047730</v>
      </c>
      <c r="E22418" s="1" t="s">
        <v>25916</v>
      </c>
      <c r="F22418" s="2"/>
      <c r="G22418" s="2"/>
      <c r="H22418" s="2"/>
    </row>
    <row r="22419" spans="1:8" x14ac:dyDescent="0.25">
      <c r="A22419" s="1"/>
      <c r="B22419" s="1" t="s">
        <v>7328</v>
      </c>
      <c r="C22419" s="1" t="s">
        <v>7329</v>
      </c>
      <c r="D22419" s="22" t="str">
        <f>HYPERLINK("https://rhld.insurance.arkansas.gov/NPILookup?Npi=1184069015","1184069015")</f>
        <v>1184069015</v>
      </c>
      <c r="E22419" s="1" t="s">
        <v>727</v>
      </c>
      <c r="F22419" s="2"/>
      <c r="G22419" s="2"/>
      <c r="H22419" s="2"/>
    </row>
    <row r="22420" spans="1:8" x14ac:dyDescent="0.25">
      <c r="A22420" s="1"/>
      <c r="B22420" s="1" t="s">
        <v>7328</v>
      </c>
      <c r="C22420" s="1" t="s">
        <v>7329</v>
      </c>
      <c r="D22420" s="22" t="str">
        <f>HYPERLINK("https://rhld.insurance.arkansas.gov/NPILookup?Npi=1184072258","1184072258")</f>
        <v>1184072258</v>
      </c>
      <c r="E22420" s="1" t="s">
        <v>2671</v>
      </c>
      <c r="F22420" s="2"/>
      <c r="G22420" s="2"/>
      <c r="H22420" s="2"/>
    </row>
    <row r="22421" spans="1:8" x14ac:dyDescent="0.25">
      <c r="A22421" s="1"/>
      <c r="B22421" s="1" t="s">
        <v>7328</v>
      </c>
      <c r="C22421" s="1" t="s">
        <v>7329</v>
      </c>
      <c r="D22421" s="22" t="str">
        <f>HYPERLINK("https://rhld.insurance.arkansas.gov/NPILookup?Npi=1184074197","1184074197")</f>
        <v>1184074197</v>
      </c>
      <c r="E22421" s="1" t="s">
        <v>25917</v>
      </c>
      <c r="F22421" s="2"/>
      <c r="G22421" s="2"/>
      <c r="H22421" s="2"/>
    </row>
    <row r="22422" spans="1:8" x14ac:dyDescent="0.25">
      <c r="A22422" s="1"/>
      <c r="B22422" s="1" t="s">
        <v>7328</v>
      </c>
      <c r="C22422" s="1" t="s">
        <v>7329</v>
      </c>
      <c r="D22422" s="22" t="str">
        <f>HYPERLINK("https://rhld.insurance.arkansas.gov/NPILookup?Npi=1184076119","1184076119")</f>
        <v>1184076119</v>
      </c>
      <c r="E22422" s="1" t="s">
        <v>5698</v>
      </c>
      <c r="F22422" s="2"/>
      <c r="G22422" s="2"/>
      <c r="H22422" s="2"/>
    </row>
    <row r="22423" spans="1:8" x14ac:dyDescent="0.25">
      <c r="A22423" s="1"/>
      <c r="B22423" s="1" t="s">
        <v>7328</v>
      </c>
      <c r="C22423" s="1" t="s">
        <v>7329</v>
      </c>
      <c r="D22423" s="22" t="str">
        <f>HYPERLINK("https://rhld.insurance.arkansas.gov/NPILookup?Npi=1184077802","1184077802")</f>
        <v>1184077802</v>
      </c>
      <c r="E22423" s="1" t="s">
        <v>25918</v>
      </c>
      <c r="F22423" s="2"/>
      <c r="G22423" s="2"/>
      <c r="H22423" s="2"/>
    </row>
    <row r="22424" spans="1:8" x14ac:dyDescent="0.25">
      <c r="A22424" s="1"/>
      <c r="B22424" s="1" t="s">
        <v>7328</v>
      </c>
      <c r="C22424" s="1" t="s">
        <v>7329</v>
      </c>
      <c r="D22424" s="22" t="str">
        <f>HYPERLINK("https://rhld.insurance.arkansas.gov/NPILookup?Npi=1184079246","1184079246")</f>
        <v>1184079246</v>
      </c>
      <c r="E22424" s="1" t="s">
        <v>7511</v>
      </c>
      <c r="F22424" s="2"/>
      <c r="G22424" s="2"/>
      <c r="H22424" s="2"/>
    </row>
    <row r="22425" spans="1:8" x14ac:dyDescent="0.25">
      <c r="A22425" s="1"/>
      <c r="B22425" s="1" t="s">
        <v>7328</v>
      </c>
      <c r="C22425" s="1" t="s">
        <v>7329</v>
      </c>
      <c r="D22425" s="22" t="str">
        <f>HYPERLINK("https://rhld.insurance.arkansas.gov/NPILookup?Npi=1184082273","1184082273")</f>
        <v>1184082273</v>
      </c>
      <c r="E22425" s="1" t="s">
        <v>25919</v>
      </c>
      <c r="F22425" s="2"/>
      <c r="G22425" s="2"/>
      <c r="H22425" s="2"/>
    </row>
    <row r="22426" spans="1:8" x14ac:dyDescent="0.25">
      <c r="A22426" s="1"/>
      <c r="B22426" s="1" t="s">
        <v>7328</v>
      </c>
      <c r="C22426" s="1" t="s">
        <v>7329</v>
      </c>
      <c r="D22426" s="22" t="str">
        <f>HYPERLINK("https://rhld.insurance.arkansas.gov/NPILookup?Npi=1184083263","1184083263")</f>
        <v>1184083263</v>
      </c>
      <c r="E22426" s="1" t="s">
        <v>32143</v>
      </c>
      <c r="F22426" s="2"/>
      <c r="G22426" s="2"/>
      <c r="H22426" s="2"/>
    </row>
    <row r="22427" spans="1:8" x14ac:dyDescent="0.25">
      <c r="A22427" s="1"/>
      <c r="B22427" s="1" t="s">
        <v>7328</v>
      </c>
      <c r="C22427" s="1" t="s">
        <v>7329</v>
      </c>
      <c r="D22427" s="22" t="str">
        <f>HYPERLINK("https://rhld.insurance.arkansas.gov/NPILookup?Npi=1184084097","1184084097")</f>
        <v>1184084097</v>
      </c>
      <c r="E22427" s="1" t="s">
        <v>25920</v>
      </c>
      <c r="F22427" s="2"/>
      <c r="G22427" s="2"/>
      <c r="H22427" s="2"/>
    </row>
    <row r="22428" spans="1:8" x14ac:dyDescent="0.25">
      <c r="A22428" s="1"/>
      <c r="B22428" s="1" t="s">
        <v>7328</v>
      </c>
      <c r="C22428" s="1" t="s">
        <v>7329</v>
      </c>
      <c r="D22428" s="22" t="str">
        <f>HYPERLINK("https://rhld.insurance.arkansas.gov/NPILookup?Npi=1184091407","1184091407")</f>
        <v>1184091407</v>
      </c>
      <c r="E22428" s="1" t="s">
        <v>25921</v>
      </c>
      <c r="F22428" s="2"/>
      <c r="G22428" s="2"/>
      <c r="H22428" s="2"/>
    </row>
    <row r="22429" spans="1:8" x14ac:dyDescent="0.25">
      <c r="A22429" s="1"/>
      <c r="B22429" s="1" t="s">
        <v>7328</v>
      </c>
      <c r="C22429" s="1" t="s">
        <v>7329</v>
      </c>
      <c r="D22429" s="22" t="str">
        <f>HYPERLINK("https://rhld.insurance.arkansas.gov/NPILookup?Npi=1184091415","1184091415")</f>
        <v>1184091415</v>
      </c>
      <c r="E22429" s="1" t="s">
        <v>17396</v>
      </c>
      <c r="F22429" s="2"/>
      <c r="G22429" s="2"/>
      <c r="H22429" s="2"/>
    </row>
    <row r="22430" spans="1:8" x14ac:dyDescent="0.25">
      <c r="A22430" s="1"/>
      <c r="B22430" s="1" t="s">
        <v>7328</v>
      </c>
      <c r="C22430" s="1" t="s">
        <v>7329</v>
      </c>
      <c r="D22430" s="22" t="str">
        <f>HYPERLINK("https://rhld.insurance.arkansas.gov/NPILookup?Npi=1184096745","1184096745")</f>
        <v>1184096745</v>
      </c>
      <c r="E22430" s="1" t="s">
        <v>25922</v>
      </c>
      <c r="F22430" s="2"/>
      <c r="G22430" s="2"/>
      <c r="H22430" s="2"/>
    </row>
    <row r="22431" spans="1:8" x14ac:dyDescent="0.25">
      <c r="A22431" s="1"/>
      <c r="B22431" s="1" t="s">
        <v>7328</v>
      </c>
      <c r="C22431" s="1" t="s">
        <v>7329</v>
      </c>
      <c r="D22431" s="22" t="str">
        <f>HYPERLINK("https://rhld.insurance.arkansas.gov/NPILookup?Npi=1184102303","1184102303")</f>
        <v>1184102303</v>
      </c>
      <c r="E22431" s="1" t="s">
        <v>25923</v>
      </c>
      <c r="F22431" s="2"/>
      <c r="G22431" s="2"/>
      <c r="H22431" s="2"/>
    </row>
    <row r="22432" spans="1:8" x14ac:dyDescent="0.25">
      <c r="A22432" s="1"/>
      <c r="B22432" s="1" t="s">
        <v>7328</v>
      </c>
      <c r="C22432" s="1" t="s">
        <v>7329</v>
      </c>
      <c r="D22432" s="22" t="str">
        <f>HYPERLINK("https://rhld.insurance.arkansas.gov/NPILookup?Npi=1184107104","1184107104")</f>
        <v>1184107104</v>
      </c>
      <c r="E22432" s="1" t="s">
        <v>12811</v>
      </c>
      <c r="F22432" s="2"/>
      <c r="G22432" s="2"/>
      <c r="H22432" s="2"/>
    </row>
    <row r="22433" spans="1:8" x14ac:dyDescent="0.25">
      <c r="A22433" s="1"/>
      <c r="B22433" s="1" t="s">
        <v>7328</v>
      </c>
      <c r="C22433" s="1" t="s">
        <v>7329</v>
      </c>
      <c r="D22433" s="22" t="str">
        <f>HYPERLINK("https://rhld.insurance.arkansas.gov/NPILookup?Npi=1184107138","1184107138")</f>
        <v>1184107138</v>
      </c>
      <c r="E22433" s="1" t="s">
        <v>25924</v>
      </c>
      <c r="F22433" s="2"/>
      <c r="G22433" s="2"/>
      <c r="H22433" s="2"/>
    </row>
    <row r="22434" spans="1:8" x14ac:dyDescent="0.25">
      <c r="A22434" s="1"/>
      <c r="B22434" s="1" t="s">
        <v>7328</v>
      </c>
      <c r="C22434" s="1" t="s">
        <v>7329</v>
      </c>
      <c r="D22434" s="22" t="str">
        <f>HYPERLINK("https://rhld.insurance.arkansas.gov/NPILookup?Npi=1184108318","1184108318")</f>
        <v>1184108318</v>
      </c>
      <c r="E22434" s="1" t="s">
        <v>2125</v>
      </c>
      <c r="F22434" s="2"/>
      <c r="G22434" s="2"/>
      <c r="H22434" s="2"/>
    </row>
    <row r="22435" spans="1:8" x14ac:dyDescent="0.25">
      <c r="A22435" s="1"/>
      <c r="B22435" s="1" t="s">
        <v>7328</v>
      </c>
      <c r="C22435" s="1" t="s">
        <v>7329</v>
      </c>
      <c r="D22435" s="22" t="str">
        <f>HYPERLINK("https://rhld.insurance.arkansas.gov/NPILookup?Npi=1184112112","1184112112")</f>
        <v>1184112112</v>
      </c>
      <c r="E22435" s="1" t="s">
        <v>25925</v>
      </c>
      <c r="F22435" s="2"/>
      <c r="G22435" s="2"/>
      <c r="H22435" s="2"/>
    </row>
    <row r="22436" spans="1:8" x14ac:dyDescent="0.25">
      <c r="A22436" s="1"/>
      <c r="B22436" s="1" t="s">
        <v>7328</v>
      </c>
      <c r="C22436" s="1" t="s">
        <v>7329</v>
      </c>
      <c r="D22436" s="22" t="str">
        <f>HYPERLINK("https://rhld.insurance.arkansas.gov/NPILookup?Npi=1184118051","1184118051")</f>
        <v>1184118051</v>
      </c>
      <c r="E22436" s="1" t="s">
        <v>4277</v>
      </c>
      <c r="F22436" s="2"/>
      <c r="G22436" s="2"/>
      <c r="H22436" s="2"/>
    </row>
    <row r="22437" spans="1:8" x14ac:dyDescent="0.25">
      <c r="A22437" s="1"/>
      <c r="B22437" s="1" t="s">
        <v>7328</v>
      </c>
      <c r="C22437" s="1" t="s">
        <v>7329</v>
      </c>
      <c r="D22437" s="22" t="str">
        <f>HYPERLINK("https://rhld.insurance.arkansas.gov/NPILookup?Npi=1184123002","1184123002")</f>
        <v>1184123002</v>
      </c>
      <c r="E22437" s="1" t="s">
        <v>21432</v>
      </c>
      <c r="F22437" s="2"/>
      <c r="G22437" s="2"/>
      <c r="H22437" s="2"/>
    </row>
    <row r="22438" spans="1:8" x14ac:dyDescent="0.25">
      <c r="A22438" s="1"/>
      <c r="B22438" s="1" t="s">
        <v>7328</v>
      </c>
      <c r="C22438" s="1" t="s">
        <v>7329</v>
      </c>
      <c r="D22438" s="22" t="str">
        <f>HYPERLINK("https://rhld.insurance.arkansas.gov/NPILookup?Npi=1184127292","1184127292")</f>
        <v>1184127292</v>
      </c>
      <c r="E22438" s="1" t="s">
        <v>9820</v>
      </c>
      <c r="F22438" s="2"/>
      <c r="G22438" s="2"/>
      <c r="H22438" s="2"/>
    </row>
    <row r="22439" spans="1:8" x14ac:dyDescent="0.25">
      <c r="A22439" s="1"/>
      <c r="B22439" s="1" t="s">
        <v>7328</v>
      </c>
      <c r="C22439" s="1" t="s">
        <v>7329</v>
      </c>
      <c r="D22439" s="22" t="str">
        <f>HYPERLINK("https://rhld.insurance.arkansas.gov/NPILookup?Npi=1184134660","1184134660")</f>
        <v>1184134660</v>
      </c>
      <c r="E22439" s="1" t="s">
        <v>1043</v>
      </c>
      <c r="F22439" s="2"/>
      <c r="G22439" s="2"/>
      <c r="H22439" s="2"/>
    </row>
    <row r="22440" spans="1:8" x14ac:dyDescent="0.25">
      <c r="A22440" s="1"/>
      <c r="B22440" s="1" t="s">
        <v>7328</v>
      </c>
      <c r="C22440" s="1" t="s">
        <v>7329</v>
      </c>
      <c r="D22440" s="22" t="str">
        <f>HYPERLINK("https://rhld.insurance.arkansas.gov/NPILookup?Npi=1184151490","1184151490")</f>
        <v>1184151490</v>
      </c>
      <c r="E22440" s="1" t="s">
        <v>25926</v>
      </c>
      <c r="F22440" s="2"/>
      <c r="G22440" s="2"/>
      <c r="H22440" s="2"/>
    </row>
    <row r="22441" spans="1:8" x14ac:dyDescent="0.25">
      <c r="A22441" s="1"/>
      <c r="B22441" s="1" t="s">
        <v>7328</v>
      </c>
      <c r="C22441" s="1" t="s">
        <v>7329</v>
      </c>
      <c r="D22441" s="22" t="str">
        <f>HYPERLINK("https://rhld.insurance.arkansas.gov/NPILookup?Npi=1184161895","1184161895")</f>
        <v>1184161895</v>
      </c>
      <c r="E22441" s="1" t="s">
        <v>25927</v>
      </c>
      <c r="F22441" s="2"/>
      <c r="G22441" s="2"/>
      <c r="H22441" s="2"/>
    </row>
    <row r="22442" spans="1:8" x14ac:dyDescent="0.25">
      <c r="A22442" s="1"/>
      <c r="B22442" s="1" t="s">
        <v>7328</v>
      </c>
      <c r="C22442" s="1" t="s">
        <v>7329</v>
      </c>
      <c r="D22442" s="22" t="str">
        <f>HYPERLINK("https://rhld.insurance.arkansas.gov/NPILookup?Npi=1184165441","1184165441")</f>
        <v>1184165441</v>
      </c>
      <c r="E22442" s="1" t="s">
        <v>25928</v>
      </c>
      <c r="F22442" s="2"/>
      <c r="G22442" s="2"/>
      <c r="H22442" s="2"/>
    </row>
    <row r="22443" spans="1:8" x14ac:dyDescent="0.25">
      <c r="A22443" s="1"/>
      <c r="B22443" s="1" t="s">
        <v>7328</v>
      </c>
      <c r="C22443" s="1" t="s">
        <v>7329</v>
      </c>
      <c r="D22443" s="22" t="str">
        <f>HYPERLINK("https://rhld.insurance.arkansas.gov/NPILookup?Npi=1184170086","1184170086")</f>
        <v>1184170086</v>
      </c>
      <c r="E22443" s="1" t="s">
        <v>7512</v>
      </c>
      <c r="F22443" s="2"/>
      <c r="G22443" s="2"/>
      <c r="H22443" s="2"/>
    </row>
    <row r="22444" spans="1:8" x14ac:dyDescent="0.25">
      <c r="A22444" s="1"/>
      <c r="B22444" s="1" t="s">
        <v>7328</v>
      </c>
      <c r="C22444" s="1" t="s">
        <v>7329</v>
      </c>
      <c r="D22444" s="22" t="str">
        <f>HYPERLINK("https://rhld.insurance.arkansas.gov/NPILookup?Npi=1184170268","1184170268")</f>
        <v>1184170268</v>
      </c>
      <c r="E22444" s="1" t="s">
        <v>7513</v>
      </c>
      <c r="F22444" s="2"/>
      <c r="G22444" s="2"/>
      <c r="H22444" s="2"/>
    </row>
    <row r="22445" spans="1:8" x14ac:dyDescent="0.25">
      <c r="A22445" s="1"/>
      <c r="B22445" s="1" t="s">
        <v>7328</v>
      </c>
      <c r="C22445" s="1" t="s">
        <v>7329</v>
      </c>
      <c r="D22445" s="22" t="str">
        <f>HYPERLINK("https://rhld.insurance.arkansas.gov/NPILookup?Npi=1184181026","1184181026")</f>
        <v>1184181026</v>
      </c>
      <c r="E22445" s="1" t="s">
        <v>25929</v>
      </c>
      <c r="F22445" s="2"/>
      <c r="G22445" s="2"/>
      <c r="H22445" s="2"/>
    </row>
    <row r="22446" spans="1:8" x14ac:dyDescent="0.25">
      <c r="A22446" s="1"/>
      <c r="B22446" s="1" t="s">
        <v>7328</v>
      </c>
      <c r="C22446" s="1" t="s">
        <v>7329</v>
      </c>
      <c r="D22446" s="22" t="str">
        <f>HYPERLINK("https://rhld.insurance.arkansas.gov/NPILookup?Npi=1184181216","1184181216")</f>
        <v>1184181216</v>
      </c>
      <c r="E22446" s="1" t="s">
        <v>12812</v>
      </c>
      <c r="F22446" s="2"/>
      <c r="G22446" s="2"/>
      <c r="H22446" s="2"/>
    </row>
    <row r="22447" spans="1:8" x14ac:dyDescent="0.25">
      <c r="A22447" s="1"/>
      <c r="B22447" s="1" t="s">
        <v>7328</v>
      </c>
      <c r="C22447" s="1" t="s">
        <v>7329</v>
      </c>
      <c r="D22447" s="22" t="str">
        <f>HYPERLINK("https://rhld.insurance.arkansas.gov/NPILookup?Npi=1184184814","1184184814")</f>
        <v>1184184814</v>
      </c>
      <c r="E22447" s="1" t="s">
        <v>25930</v>
      </c>
      <c r="F22447" s="2"/>
      <c r="G22447" s="2"/>
      <c r="H22447" s="2"/>
    </row>
    <row r="22448" spans="1:8" x14ac:dyDescent="0.25">
      <c r="A22448" s="1"/>
      <c r="B22448" s="1" t="s">
        <v>7328</v>
      </c>
      <c r="C22448" s="1" t="s">
        <v>7329</v>
      </c>
      <c r="D22448" s="22" t="str">
        <f>HYPERLINK("https://rhld.insurance.arkansas.gov/NPILookup?Npi=1184197501","1184197501")</f>
        <v>1184197501</v>
      </c>
      <c r="E22448" s="1" t="s">
        <v>25931</v>
      </c>
      <c r="F22448" s="2"/>
      <c r="G22448" s="2"/>
      <c r="H22448" s="2"/>
    </row>
    <row r="22449" spans="1:8" x14ac:dyDescent="0.25">
      <c r="A22449" s="1"/>
      <c r="B22449" s="1" t="s">
        <v>7328</v>
      </c>
      <c r="C22449" s="1" t="s">
        <v>7329</v>
      </c>
      <c r="D22449" s="22" t="str">
        <f>HYPERLINK("https://rhld.insurance.arkansas.gov/NPILookup?Npi=1184199119","1184199119")</f>
        <v>1184199119</v>
      </c>
      <c r="E22449" s="1" t="s">
        <v>2672</v>
      </c>
      <c r="F22449" s="2"/>
      <c r="G22449" s="2"/>
      <c r="H22449" s="2"/>
    </row>
    <row r="22450" spans="1:8" x14ac:dyDescent="0.25">
      <c r="A22450" s="1"/>
      <c r="B22450" s="1" t="s">
        <v>7328</v>
      </c>
      <c r="C22450" s="1" t="s">
        <v>7329</v>
      </c>
      <c r="D22450" s="22" t="str">
        <f>HYPERLINK("https://rhld.insurance.arkansas.gov/NPILookup?Npi=1184201659","1184201659")</f>
        <v>1184201659</v>
      </c>
      <c r="E22450" s="1" t="s">
        <v>25932</v>
      </c>
      <c r="F22450" s="2"/>
      <c r="G22450" s="2"/>
      <c r="H22450" s="2"/>
    </row>
    <row r="22451" spans="1:8" x14ac:dyDescent="0.25">
      <c r="A22451" s="1"/>
      <c r="B22451" s="1" t="s">
        <v>7328</v>
      </c>
      <c r="C22451" s="1" t="s">
        <v>7329</v>
      </c>
      <c r="D22451" s="22" t="str">
        <f>HYPERLINK("https://rhld.insurance.arkansas.gov/NPILookup?Npi=1184225096","1184225096")</f>
        <v>1184225096</v>
      </c>
      <c r="E22451" s="1" t="s">
        <v>12813</v>
      </c>
      <c r="F22451" s="2"/>
      <c r="G22451" s="2"/>
      <c r="H22451" s="2"/>
    </row>
    <row r="22452" spans="1:8" x14ac:dyDescent="0.25">
      <c r="A22452" s="1"/>
      <c r="B22452" s="1" t="s">
        <v>7328</v>
      </c>
      <c r="C22452" s="1" t="s">
        <v>7329</v>
      </c>
      <c r="D22452" s="22" t="str">
        <f>HYPERLINK("https://rhld.insurance.arkansas.gov/NPILookup?Npi=1184230286","1184230286")</f>
        <v>1184230286</v>
      </c>
      <c r="E22452" s="1" t="s">
        <v>25933</v>
      </c>
      <c r="F22452" s="2"/>
      <c r="G22452" s="2"/>
      <c r="H22452" s="2"/>
    </row>
    <row r="22453" spans="1:8" x14ac:dyDescent="0.25">
      <c r="A22453" s="1"/>
      <c r="B22453" s="1" t="s">
        <v>7328</v>
      </c>
      <c r="C22453" s="1" t="s">
        <v>7329</v>
      </c>
      <c r="D22453" s="22" t="str">
        <f>HYPERLINK("https://rhld.insurance.arkansas.gov/NPILookup?Npi=1184232571","1184232571")</f>
        <v>1184232571</v>
      </c>
      <c r="E22453" s="1" t="s">
        <v>7514</v>
      </c>
      <c r="F22453" s="2"/>
      <c r="G22453" s="2"/>
      <c r="H22453" s="2"/>
    </row>
    <row r="22454" spans="1:8" x14ac:dyDescent="0.25">
      <c r="A22454" s="1"/>
      <c r="B22454" s="1" t="s">
        <v>7328</v>
      </c>
      <c r="C22454" s="1" t="s">
        <v>7329</v>
      </c>
      <c r="D22454" s="22" t="str">
        <f>HYPERLINK("https://rhld.insurance.arkansas.gov/NPILookup?Npi=1184237786","1184237786")</f>
        <v>1184237786</v>
      </c>
      <c r="E22454" s="1" t="s">
        <v>11546</v>
      </c>
      <c r="F22454" s="2"/>
      <c r="G22454" s="2"/>
      <c r="H22454" s="2"/>
    </row>
    <row r="22455" spans="1:8" x14ac:dyDescent="0.25">
      <c r="A22455" s="1"/>
      <c r="B22455" s="1" t="s">
        <v>7328</v>
      </c>
      <c r="C22455" s="1" t="s">
        <v>7329</v>
      </c>
      <c r="D22455" s="22" t="str">
        <f>HYPERLINK("https://rhld.insurance.arkansas.gov/NPILookup?Npi=1184238149","1184238149")</f>
        <v>1184238149</v>
      </c>
      <c r="E22455" s="1" t="s">
        <v>25934</v>
      </c>
      <c r="F22455" s="2"/>
      <c r="G22455" s="2"/>
      <c r="H22455" s="2"/>
    </row>
    <row r="22456" spans="1:8" x14ac:dyDescent="0.25">
      <c r="A22456" s="1"/>
      <c r="B22456" s="1" t="s">
        <v>7328</v>
      </c>
      <c r="C22456" s="1" t="s">
        <v>7329</v>
      </c>
      <c r="D22456" s="22" t="str">
        <f>HYPERLINK("https://rhld.insurance.arkansas.gov/NPILookup?Npi=1184250805","1184250805")</f>
        <v>1184250805</v>
      </c>
      <c r="E22456" s="1" t="s">
        <v>12814</v>
      </c>
      <c r="F22456" s="2"/>
      <c r="G22456" s="2"/>
      <c r="H22456" s="2"/>
    </row>
    <row r="22457" spans="1:8" x14ac:dyDescent="0.25">
      <c r="A22457" s="1"/>
      <c r="B22457" s="1" t="s">
        <v>7328</v>
      </c>
      <c r="C22457" s="1" t="s">
        <v>7329</v>
      </c>
      <c r="D22457" s="22" t="str">
        <f>HYPERLINK("https://rhld.insurance.arkansas.gov/NPILookup?Npi=1184254765","1184254765")</f>
        <v>1184254765</v>
      </c>
      <c r="E22457" s="1" t="s">
        <v>32144</v>
      </c>
      <c r="F22457" s="2"/>
      <c r="G22457" s="2"/>
      <c r="H22457" s="2"/>
    </row>
    <row r="22458" spans="1:8" x14ac:dyDescent="0.25">
      <c r="A22458" s="1"/>
      <c r="B22458" s="1" t="s">
        <v>7328</v>
      </c>
      <c r="C22458" s="1" t="s">
        <v>7329</v>
      </c>
      <c r="D22458" s="22" t="str">
        <f>HYPERLINK("https://rhld.insurance.arkansas.gov/NPILookup?Npi=1184255226","1184255226")</f>
        <v>1184255226</v>
      </c>
      <c r="E22458" s="1" t="s">
        <v>25935</v>
      </c>
      <c r="F22458" s="2"/>
      <c r="G22458" s="2"/>
      <c r="H22458" s="2"/>
    </row>
    <row r="22459" spans="1:8" x14ac:dyDescent="0.25">
      <c r="A22459" s="1"/>
      <c r="B22459" s="1" t="s">
        <v>7328</v>
      </c>
      <c r="C22459" s="1" t="s">
        <v>7329</v>
      </c>
      <c r="D22459" s="22" t="str">
        <f>HYPERLINK("https://rhld.insurance.arkansas.gov/NPILookup?Npi=1184275133","1184275133")</f>
        <v>1184275133</v>
      </c>
      <c r="E22459" s="1" t="s">
        <v>7515</v>
      </c>
      <c r="F22459" s="2"/>
      <c r="G22459" s="2"/>
      <c r="H22459" s="2"/>
    </row>
    <row r="22460" spans="1:8" x14ac:dyDescent="0.25">
      <c r="A22460" s="1"/>
      <c r="B22460" s="1" t="s">
        <v>7328</v>
      </c>
      <c r="C22460" s="1" t="s">
        <v>7329</v>
      </c>
      <c r="D22460" s="22" t="str">
        <f>HYPERLINK("https://rhld.insurance.arkansas.gov/NPILookup?Npi=1184279739","1184279739")</f>
        <v>1184279739</v>
      </c>
      <c r="E22460" s="1" t="s">
        <v>32145</v>
      </c>
      <c r="F22460" s="2"/>
      <c r="G22460" s="2"/>
      <c r="H22460" s="2"/>
    </row>
    <row r="22461" spans="1:8" x14ac:dyDescent="0.25">
      <c r="A22461" s="1"/>
      <c r="B22461" s="1" t="s">
        <v>7328</v>
      </c>
      <c r="C22461" s="1" t="s">
        <v>7329</v>
      </c>
      <c r="D22461" s="22" t="str">
        <f>HYPERLINK("https://rhld.insurance.arkansas.gov/NPILookup?Npi=1184284804","1184284804")</f>
        <v>1184284804</v>
      </c>
      <c r="E22461" s="1" t="s">
        <v>25936</v>
      </c>
      <c r="F22461" s="2"/>
      <c r="G22461" s="2"/>
      <c r="H22461" s="2"/>
    </row>
    <row r="22462" spans="1:8" x14ac:dyDescent="0.25">
      <c r="A22462" s="1"/>
      <c r="B22462" s="1" t="s">
        <v>7328</v>
      </c>
      <c r="C22462" s="1" t="s">
        <v>7329</v>
      </c>
      <c r="D22462" s="22" t="str">
        <f>HYPERLINK("https://rhld.insurance.arkansas.gov/NPILookup?Npi=1184291809","1184291809")</f>
        <v>1184291809</v>
      </c>
      <c r="E22462" s="1" t="s">
        <v>25937</v>
      </c>
      <c r="F22462" s="2"/>
      <c r="G22462" s="2"/>
      <c r="H22462" s="2"/>
    </row>
    <row r="22463" spans="1:8" x14ac:dyDescent="0.25">
      <c r="A22463" s="1"/>
      <c r="B22463" s="1" t="s">
        <v>7328</v>
      </c>
      <c r="C22463" s="1" t="s">
        <v>7329</v>
      </c>
      <c r="D22463" s="22" t="str">
        <f>HYPERLINK("https://rhld.insurance.arkansas.gov/NPILookup?Npi=1184292880","1184292880")</f>
        <v>1184292880</v>
      </c>
      <c r="E22463" s="1" t="s">
        <v>17043</v>
      </c>
      <c r="F22463" s="2"/>
      <c r="G22463" s="2"/>
      <c r="H22463" s="2"/>
    </row>
    <row r="22464" spans="1:8" x14ac:dyDescent="0.25">
      <c r="A22464" s="1"/>
      <c r="B22464" s="1" t="s">
        <v>7328</v>
      </c>
      <c r="C22464" s="1" t="s">
        <v>7329</v>
      </c>
      <c r="D22464" s="22" t="str">
        <f>HYPERLINK("https://rhld.insurance.arkansas.gov/NPILookup?Npi=1184293383","1184293383")</f>
        <v>1184293383</v>
      </c>
      <c r="E22464" s="1" t="s">
        <v>12815</v>
      </c>
      <c r="F22464" s="2"/>
      <c r="G22464" s="2"/>
      <c r="H22464" s="2"/>
    </row>
    <row r="22465" spans="1:8" x14ac:dyDescent="0.25">
      <c r="A22465" s="1"/>
      <c r="B22465" s="1" t="s">
        <v>7328</v>
      </c>
      <c r="C22465" s="1" t="s">
        <v>7329</v>
      </c>
      <c r="D22465" s="22" t="str">
        <f>HYPERLINK("https://rhld.insurance.arkansas.gov/NPILookup?Npi=1184317943","1184317943")</f>
        <v>1184317943</v>
      </c>
      <c r="E22465" s="1" t="s">
        <v>25938</v>
      </c>
      <c r="F22465" s="2"/>
      <c r="G22465" s="2"/>
      <c r="H22465" s="2"/>
    </row>
    <row r="22466" spans="1:8" x14ac:dyDescent="0.25">
      <c r="A22466" s="1"/>
      <c r="B22466" s="1" t="s">
        <v>7328</v>
      </c>
      <c r="C22466" s="1" t="s">
        <v>7329</v>
      </c>
      <c r="D22466" s="22" t="str">
        <f>HYPERLINK("https://rhld.insurance.arkansas.gov/NPILookup?Npi=1184324113","1184324113")</f>
        <v>1184324113</v>
      </c>
      <c r="E22466" s="1" t="s">
        <v>25939</v>
      </c>
      <c r="F22466" s="2"/>
      <c r="G22466" s="2"/>
      <c r="H22466" s="2"/>
    </row>
    <row r="22467" spans="1:8" x14ac:dyDescent="0.25">
      <c r="A22467" s="1"/>
      <c r="B22467" s="1" t="s">
        <v>7328</v>
      </c>
      <c r="C22467" s="1" t="s">
        <v>7329</v>
      </c>
      <c r="D22467" s="22" t="str">
        <f>HYPERLINK("https://rhld.insurance.arkansas.gov/NPILookup?Npi=1184336844","1184336844")</f>
        <v>1184336844</v>
      </c>
      <c r="E22467" s="1" t="s">
        <v>25940</v>
      </c>
      <c r="F22467" s="2"/>
      <c r="G22467" s="2"/>
      <c r="H22467" s="2"/>
    </row>
    <row r="22468" spans="1:8" x14ac:dyDescent="0.25">
      <c r="A22468" s="1"/>
      <c r="B22468" s="1" t="s">
        <v>7328</v>
      </c>
      <c r="C22468" s="1" t="s">
        <v>7329</v>
      </c>
      <c r="D22468" s="22" t="str">
        <f>HYPERLINK("https://rhld.insurance.arkansas.gov/NPILookup?Npi=1184346322","1184346322")</f>
        <v>1184346322</v>
      </c>
      <c r="E22468" s="1" t="s">
        <v>25941</v>
      </c>
      <c r="F22468" s="2"/>
      <c r="G22468" s="2"/>
      <c r="H22468" s="2"/>
    </row>
    <row r="22469" spans="1:8" x14ac:dyDescent="0.25">
      <c r="A22469" s="1"/>
      <c r="B22469" s="1" t="s">
        <v>7328</v>
      </c>
      <c r="C22469" s="1" t="s">
        <v>7329</v>
      </c>
      <c r="D22469" s="22" t="str">
        <f>HYPERLINK("https://rhld.insurance.arkansas.gov/NPILookup?Npi=1184356248","1184356248")</f>
        <v>1184356248</v>
      </c>
      <c r="E22469" s="1" t="s">
        <v>25942</v>
      </c>
      <c r="F22469" s="2"/>
      <c r="G22469" s="2"/>
      <c r="H22469" s="2"/>
    </row>
    <row r="22470" spans="1:8" x14ac:dyDescent="0.25">
      <c r="A22470" s="1"/>
      <c r="B22470" s="1" t="s">
        <v>7328</v>
      </c>
      <c r="C22470" s="1" t="s">
        <v>7329</v>
      </c>
      <c r="D22470" s="22" t="str">
        <f>HYPERLINK("https://rhld.insurance.arkansas.gov/NPILookup?Npi=1184373680","1184373680")</f>
        <v>1184373680</v>
      </c>
      <c r="E22470" s="1" t="s">
        <v>25943</v>
      </c>
      <c r="F22470" s="2"/>
      <c r="G22470" s="2"/>
      <c r="H22470" s="2"/>
    </row>
    <row r="22471" spans="1:8" x14ac:dyDescent="0.25">
      <c r="A22471" s="1"/>
      <c r="B22471" s="1" t="s">
        <v>7328</v>
      </c>
      <c r="C22471" s="1" t="s">
        <v>7329</v>
      </c>
      <c r="D22471" s="22" t="str">
        <f>HYPERLINK("https://rhld.insurance.arkansas.gov/NPILookup?Npi=1184400574","1184400574")</f>
        <v>1184400574</v>
      </c>
      <c r="E22471" s="1" t="s">
        <v>7516</v>
      </c>
      <c r="F22471" s="2"/>
      <c r="G22471" s="2"/>
      <c r="H22471" s="2"/>
    </row>
    <row r="22472" spans="1:8" x14ac:dyDescent="0.25">
      <c r="A22472" s="1"/>
      <c r="B22472" s="1" t="s">
        <v>7328</v>
      </c>
      <c r="C22472" s="1" t="s">
        <v>7329</v>
      </c>
      <c r="D22472" s="22" t="str">
        <f>HYPERLINK("https://rhld.insurance.arkansas.gov/NPILookup?Npi=1184406514","1184406514")</f>
        <v>1184406514</v>
      </c>
      <c r="E22472" s="1" t="s">
        <v>7517</v>
      </c>
      <c r="F22472" s="2"/>
      <c r="G22472" s="2"/>
      <c r="H22472" s="2"/>
    </row>
    <row r="22473" spans="1:8" x14ac:dyDescent="0.25">
      <c r="A22473" s="1"/>
      <c r="B22473" s="1" t="s">
        <v>7328</v>
      </c>
      <c r="C22473" s="1" t="s">
        <v>7329</v>
      </c>
      <c r="D22473" s="22" t="str">
        <f>HYPERLINK("https://rhld.insurance.arkansas.gov/NPILookup?Npi=1184495574","1184495574")</f>
        <v>1184495574</v>
      </c>
      <c r="E22473" s="1" t="s">
        <v>7518</v>
      </c>
      <c r="F22473" s="2"/>
      <c r="G22473" s="2"/>
      <c r="H22473" s="2"/>
    </row>
    <row r="22474" spans="1:8" x14ac:dyDescent="0.25">
      <c r="A22474" s="1"/>
      <c r="B22474" s="1" t="s">
        <v>7328</v>
      </c>
      <c r="C22474" s="1" t="s">
        <v>7329</v>
      </c>
      <c r="D22474" s="22" t="str">
        <f>HYPERLINK("https://rhld.insurance.arkansas.gov/NPILookup?Npi=1184608754","1184608754")</f>
        <v>1184608754</v>
      </c>
      <c r="E22474" s="1" t="s">
        <v>12816</v>
      </c>
      <c r="F22474" s="2"/>
      <c r="G22474" s="2"/>
      <c r="H22474" s="2"/>
    </row>
    <row r="22475" spans="1:8" x14ac:dyDescent="0.25">
      <c r="A22475" s="1"/>
      <c r="B22475" s="1" t="s">
        <v>7328</v>
      </c>
      <c r="C22475" s="1" t="s">
        <v>7329</v>
      </c>
      <c r="D22475" s="22" t="str">
        <f>HYPERLINK("https://rhld.insurance.arkansas.gov/NPILookup?Npi=1184610792","1184610792")</f>
        <v>1184610792</v>
      </c>
      <c r="E22475" s="1" t="s">
        <v>2673</v>
      </c>
      <c r="F22475" s="2"/>
      <c r="G22475" s="2"/>
      <c r="H22475" s="2"/>
    </row>
    <row r="22476" spans="1:8" x14ac:dyDescent="0.25">
      <c r="A22476" s="1"/>
      <c r="B22476" s="1" t="s">
        <v>7328</v>
      </c>
      <c r="C22476" s="1" t="s">
        <v>7329</v>
      </c>
      <c r="D22476" s="22" t="str">
        <f>HYPERLINK("https://rhld.insurance.arkansas.gov/NPILookup?Npi=1184621294","1184621294")</f>
        <v>1184621294</v>
      </c>
      <c r="E22476" s="1" t="s">
        <v>25944</v>
      </c>
      <c r="F22476" s="2"/>
      <c r="G22476" s="2"/>
      <c r="H22476" s="2"/>
    </row>
    <row r="22477" spans="1:8" x14ac:dyDescent="0.25">
      <c r="A22477" s="1"/>
      <c r="B22477" s="1" t="s">
        <v>7328</v>
      </c>
      <c r="C22477" s="1" t="s">
        <v>7329</v>
      </c>
      <c r="D22477" s="22" t="str">
        <f>HYPERLINK("https://rhld.insurance.arkansas.gov/NPILookup?Npi=1184626020","1184626020")</f>
        <v>1184626020</v>
      </c>
      <c r="E22477" s="1" t="s">
        <v>2674</v>
      </c>
      <c r="F22477" s="2"/>
      <c r="G22477" s="2"/>
      <c r="H22477" s="2"/>
    </row>
    <row r="22478" spans="1:8" x14ac:dyDescent="0.25">
      <c r="A22478" s="1"/>
      <c r="B22478" s="1" t="s">
        <v>7328</v>
      </c>
      <c r="C22478" s="1" t="s">
        <v>7329</v>
      </c>
      <c r="D22478" s="22" t="str">
        <f>HYPERLINK("https://rhld.insurance.arkansas.gov/NPILookup?Npi=1184629206","1184629206")</f>
        <v>1184629206</v>
      </c>
      <c r="E22478" s="1" t="s">
        <v>7519</v>
      </c>
      <c r="F22478" s="2"/>
      <c r="G22478" s="2"/>
      <c r="H22478" s="2"/>
    </row>
    <row r="22479" spans="1:8" x14ac:dyDescent="0.25">
      <c r="A22479" s="1"/>
      <c r="B22479" s="1" t="s">
        <v>7328</v>
      </c>
      <c r="C22479" s="1" t="s">
        <v>7329</v>
      </c>
      <c r="D22479" s="22" t="str">
        <f>HYPERLINK("https://rhld.insurance.arkansas.gov/NPILookup?Npi=1184630212","1184630212")</f>
        <v>1184630212</v>
      </c>
      <c r="E22479" s="1" t="s">
        <v>25945</v>
      </c>
      <c r="F22479" s="2"/>
      <c r="G22479" s="2"/>
      <c r="H22479" s="2"/>
    </row>
    <row r="22480" spans="1:8" x14ac:dyDescent="0.25">
      <c r="A22480" s="1"/>
      <c r="B22480" s="1" t="s">
        <v>7328</v>
      </c>
      <c r="C22480" s="1" t="s">
        <v>7329</v>
      </c>
      <c r="D22480" s="22" t="str">
        <f>HYPERLINK("https://rhld.insurance.arkansas.gov/NPILookup?Npi=1184631376","1184631376")</f>
        <v>1184631376</v>
      </c>
      <c r="E22480" s="1" t="s">
        <v>1984</v>
      </c>
      <c r="F22480" s="2"/>
      <c r="G22480" s="2"/>
      <c r="H22480" s="2"/>
    </row>
    <row r="22481" spans="1:8" x14ac:dyDescent="0.25">
      <c r="A22481" s="1"/>
      <c r="B22481" s="1" t="s">
        <v>7328</v>
      </c>
      <c r="C22481" s="1" t="s">
        <v>7329</v>
      </c>
      <c r="D22481" s="22" t="str">
        <f>HYPERLINK("https://rhld.insurance.arkansas.gov/NPILookup?Npi=1184631798","1184631798")</f>
        <v>1184631798</v>
      </c>
      <c r="E22481" s="1" t="s">
        <v>25946</v>
      </c>
      <c r="F22481" s="2"/>
      <c r="G22481" s="2"/>
      <c r="H22481" s="2"/>
    </row>
    <row r="22482" spans="1:8" x14ac:dyDescent="0.25">
      <c r="A22482" s="1"/>
      <c r="B22482" s="1" t="s">
        <v>7328</v>
      </c>
      <c r="C22482" s="1" t="s">
        <v>7329</v>
      </c>
      <c r="D22482" s="22" t="str">
        <f>HYPERLINK("https://rhld.insurance.arkansas.gov/NPILookup?Npi=1184650616","1184650616")</f>
        <v>1184650616</v>
      </c>
      <c r="E22482" s="1" t="s">
        <v>17286</v>
      </c>
      <c r="F22482" s="2"/>
      <c r="G22482" s="2"/>
      <c r="H22482" s="2"/>
    </row>
    <row r="22483" spans="1:8" x14ac:dyDescent="0.25">
      <c r="A22483" s="1"/>
      <c r="B22483" s="1" t="s">
        <v>7328</v>
      </c>
      <c r="C22483" s="1" t="s">
        <v>7329</v>
      </c>
      <c r="D22483" s="22" t="str">
        <f>HYPERLINK("https://rhld.insurance.arkansas.gov/NPILookup?Npi=1184654774","1184654774")</f>
        <v>1184654774</v>
      </c>
      <c r="E22483" s="1" t="s">
        <v>7520</v>
      </c>
      <c r="F22483" s="2"/>
      <c r="G22483" s="2"/>
      <c r="H22483" s="2"/>
    </row>
    <row r="22484" spans="1:8" x14ac:dyDescent="0.25">
      <c r="A22484" s="1"/>
      <c r="B22484" s="1" t="s">
        <v>7328</v>
      </c>
      <c r="C22484" s="1" t="s">
        <v>7329</v>
      </c>
      <c r="D22484" s="22" t="str">
        <f>HYPERLINK("https://rhld.insurance.arkansas.gov/NPILookup?Npi=1184674962","1184674962")</f>
        <v>1184674962</v>
      </c>
      <c r="E22484" s="1" t="s">
        <v>12817</v>
      </c>
      <c r="F22484" s="2"/>
      <c r="G22484" s="2"/>
      <c r="H22484" s="2"/>
    </row>
    <row r="22485" spans="1:8" x14ac:dyDescent="0.25">
      <c r="A22485" s="1"/>
      <c r="B22485" s="1" t="s">
        <v>7328</v>
      </c>
      <c r="C22485" s="1" t="s">
        <v>7329</v>
      </c>
      <c r="D22485" s="22" t="str">
        <f>HYPERLINK("https://rhld.insurance.arkansas.gov/NPILookup?Npi=1184675332","1184675332")</f>
        <v>1184675332</v>
      </c>
      <c r="E22485" s="1" t="s">
        <v>25947</v>
      </c>
      <c r="F22485" s="2"/>
      <c r="G22485" s="2"/>
      <c r="H22485" s="2"/>
    </row>
    <row r="22486" spans="1:8" x14ac:dyDescent="0.25">
      <c r="A22486" s="1"/>
      <c r="B22486" s="1" t="s">
        <v>7328</v>
      </c>
      <c r="C22486" s="1" t="s">
        <v>7329</v>
      </c>
      <c r="D22486" s="22" t="str">
        <f>HYPERLINK("https://rhld.insurance.arkansas.gov/NPILookup?Npi=1184676041","1184676041")</f>
        <v>1184676041</v>
      </c>
      <c r="E22486" s="1" t="s">
        <v>11668</v>
      </c>
      <c r="F22486" s="2"/>
      <c r="G22486" s="2"/>
      <c r="H22486" s="2"/>
    </row>
    <row r="22487" spans="1:8" x14ac:dyDescent="0.25">
      <c r="A22487" s="1"/>
      <c r="B22487" s="1" t="s">
        <v>7328</v>
      </c>
      <c r="C22487" s="1" t="s">
        <v>7329</v>
      </c>
      <c r="D22487" s="22" t="str">
        <f>HYPERLINK("https://rhld.insurance.arkansas.gov/NPILookup?Npi=1184680530","1184680530")</f>
        <v>1184680530</v>
      </c>
      <c r="E22487" s="1" t="s">
        <v>25948</v>
      </c>
      <c r="F22487" s="2"/>
      <c r="G22487" s="2"/>
      <c r="H22487" s="2"/>
    </row>
    <row r="22488" spans="1:8" x14ac:dyDescent="0.25">
      <c r="A22488" s="1"/>
      <c r="B22488" s="1" t="s">
        <v>7328</v>
      </c>
      <c r="C22488" s="1" t="s">
        <v>7329</v>
      </c>
      <c r="D22488" s="22" t="str">
        <f>HYPERLINK("https://rhld.insurance.arkansas.gov/NPILookup?Npi=1184682866","1184682866")</f>
        <v>1184682866</v>
      </c>
      <c r="E22488" s="1" t="s">
        <v>3919</v>
      </c>
      <c r="F22488" s="2"/>
      <c r="G22488" s="2"/>
      <c r="H22488" s="2"/>
    </row>
    <row r="22489" spans="1:8" x14ac:dyDescent="0.25">
      <c r="A22489" s="1"/>
      <c r="B22489" s="1" t="s">
        <v>7328</v>
      </c>
      <c r="C22489" s="1" t="s">
        <v>7329</v>
      </c>
      <c r="D22489" s="22" t="str">
        <f>HYPERLINK("https://rhld.insurance.arkansas.gov/NPILookup?Npi=1184690455","1184690455")</f>
        <v>1184690455</v>
      </c>
      <c r="E22489" s="1" t="s">
        <v>12818</v>
      </c>
      <c r="F22489" s="2"/>
      <c r="G22489" s="2"/>
      <c r="H22489" s="2"/>
    </row>
    <row r="22490" spans="1:8" x14ac:dyDescent="0.25">
      <c r="A22490" s="1"/>
      <c r="B22490" s="1" t="s">
        <v>7328</v>
      </c>
      <c r="C22490" s="1" t="s">
        <v>7329</v>
      </c>
      <c r="D22490" s="22" t="str">
        <f>HYPERLINK("https://rhld.insurance.arkansas.gov/NPILookup?Npi=1184693442","1184693442")</f>
        <v>1184693442</v>
      </c>
      <c r="E22490" s="1" t="s">
        <v>12819</v>
      </c>
      <c r="F22490" s="2"/>
      <c r="G22490" s="2"/>
      <c r="H22490" s="2"/>
    </row>
    <row r="22491" spans="1:8" x14ac:dyDescent="0.25">
      <c r="A22491" s="1"/>
      <c r="B22491" s="1" t="s">
        <v>7328</v>
      </c>
      <c r="C22491" s="1" t="s">
        <v>7329</v>
      </c>
      <c r="D22491" s="22" t="str">
        <f>HYPERLINK("https://rhld.insurance.arkansas.gov/NPILookup?Npi=1184697203","1184697203")</f>
        <v>1184697203</v>
      </c>
      <c r="E22491" s="1" t="s">
        <v>25949</v>
      </c>
      <c r="F22491" s="2"/>
      <c r="G22491" s="2"/>
      <c r="H22491" s="2"/>
    </row>
    <row r="22492" spans="1:8" x14ac:dyDescent="0.25">
      <c r="A22492" s="1"/>
      <c r="B22492" s="1" t="s">
        <v>7328</v>
      </c>
      <c r="C22492" s="1" t="s">
        <v>7329</v>
      </c>
      <c r="D22492" s="22" t="str">
        <f>HYPERLINK("https://rhld.insurance.arkansas.gov/NPILookup?Npi=1184724312","1184724312")</f>
        <v>1184724312</v>
      </c>
      <c r="E22492" s="1" t="s">
        <v>12820</v>
      </c>
      <c r="F22492" s="2"/>
      <c r="G22492" s="2"/>
      <c r="H22492" s="2"/>
    </row>
    <row r="22493" spans="1:8" x14ac:dyDescent="0.25">
      <c r="A22493" s="1"/>
      <c r="B22493" s="1" t="s">
        <v>7328</v>
      </c>
      <c r="C22493" s="1" t="s">
        <v>7329</v>
      </c>
      <c r="D22493" s="22" t="str">
        <f>HYPERLINK("https://rhld.insurance.arkansas.gov/NPILookup?Npi=1184735151","1184735151")</f>
        <v>1184735151</v>
      </c>
      <c r="E22493" s="1" t="s">
        <v>1084</v>
      </c>
      <c r="F22493" s="2"/>
      <c r="G22493" s="2"/>
      <c r="H22493" s="2"/>
    </row>
    <row r="22494" spans="1:8" x14ac:dyDescent="0.25">
      <c r="A22494" s="1"/>
      <c r="B22494" s="1" t="s">
        <v>7328</v>
      </c>
      <c r="C22494" s="1" t="s">
        <v>7329</v>
      </c>
      <c r="D22494" s="22" t="str">
        <f>HYPERLINK("https://rhld.insurance.arkansas.gov/NPILookup?Npi=1184749319","1184749319")</f>
        <v>1184749319</v>
      </c>
      <c r="E22494" s="1" t="s">
        <v>17288</v>
      </c>
      <c r="F22494" s="2"/>
      <c r="G22494" s="2"/>
      <c r="H22494" s="2"/>
    </row>
    <row r="22495" spans="1:8" x14ac:dyDescent="0.25">
      <c r="A22495" s="1"/>
      <c r="B22495" s="1" t="s">
        <v>7328</v>
      </c>
      <c r="C22495" s="1" t="s">
        <v>7329</v>
      </c>
      <c r="D22495" s="22" t="str">
        <f>HYPERLINK("https://rhld.insurance.arkansas.gov/NPILookup?Npi=1184758617","1184758617")</f>
        <v>1184758617</v>
      </c>
      <c r="E22495" s="1" t="s">
        <v>2675</v>
      </c>
      <c r="F22495" s="2"/>
      <c r="G22495" s="2"/>
      <c r="H22495" s="2"/>
    </row>
    <row r="22496" spans="1:8" x14ac:dyDescent="0.25">
      <c r="A22496" s="1"/>
      <c r="B22496" s="1" t="s">
        <v>7328</v>
      </c>
      <c r="C22496" s="1" t="s">
        <v>7329</v>
      </c>
      <c r="D22496" s="22" t="str">
        <f>HYPERLINK("https://rhld.insurance.arkansas.gov/NPILookup?Npi=1184811879","1184811879")</f>
        <v>1184811879</v>
      </c>
      <c r="E22496" s="1" t="s">
        <v>25950</v>
      </c>
      <c r="F22496" s="2"/>
      <c r="G22496" s="2"/>
      <c r="H22496" s="2"/>
    </row>
    <row r="22497" spans="1:8" x14ac:dyDescent="0.25">
      <c r="A22497" s="1"/>
      <c r="B22497" s="1" t="s">
        <v>7328</v>
      </c>
      <c r="C22497" s="1" t="s">
        <v>7329</v>
      </c>
      <c r="D22497" s="22" t="str">
        <f>HYPERLINK("https://rhld.insurance.arkansas.gov/NPILookup?Npi=1184827891","1184827891")</f>
        <v>1184827891</v>
      </c>
      <c r="E22497" s="1" t="s">
        <v>25951</v>
      </c>
      <c r="F22497" s="2"/>
      <c r="G22497" s="2"/>
      <c r="H22497" s="2"/>
    </row>
    <row r="22498" spans="1:8" x14ac:dyDescent="0.25">
      <c r="A22498" s="1"/>
      <c r="B22498" s="1" t="s">
        <v>7328</v>
      </c>
      <c r="C22498" s="1" t="s">
        <v>7329</v>
      </c>
      <c r="D22498" s="22" t="str">
        <f>HYPERLINK("https://rhld.insurance.arkansas.gov/NPILookup?Npi=1184848343","1184848343")</f>
        <v>1184848343</v>
      </c>
      <c r="E22498" s="1" t="s">
        <v>229</v>
      </c>
      <c r="F22498" s="2"/>
      <c r="G22498" s="2"/>
      <c r="H22498" s="2"/>
    </row>
    <row r="22499" spans="1:8" x14ac:dyDescent="0.25">
      <c r="A22499" s="1"/>
      <c r="B22499" s="1" t="s">
        <v>7328</v>
      </c>
      <c r="C22499" s="1" t="s">
        <v>7329</v>
      </c>
      <c r="D22499" s="22" t="str">
        <f>HYPERLINK("https://rhld.insurance.arkansas.gov/NPILookup?Npi=1184857690","1184857690")</f>
        <v>1184857690</v>
      </c>
      <c r="E22499" s="1" t="s">
        <v>7521</v>
      </c>
      <c r="F22499" s="2"/>
      <c r="G22499" s="2"/>
      <c r="H22499" s="2"/>
    </row>
    <row r="22500" spans="1:8" x14ac:dyDescent="0.25">
      <c r="A22500" s="1"/>
      <c r="B22500" s="1" t="s">
        <v>7328</v>
      </c>
      <c r="C22500" s="1" t="s">
        <v>7329</v>
      </c>
      <c r="D22500" s="22" t="str">
        <f>HYPERLINK("https://rhld.insurance.arkansas.gov/NPILookup?Npi=1184863938","1184863938")</f>
        <v>1184863938</v>
      </c>
      <c r="E22500" s="1" t="s">
        <v>1985</v>
      </c>
      <c r="F22500" s="2"/>
      <c r="G22500" s="2"/>
      <c r="H22500" s="2"/>
    </row>
    <row r="22501" spans="1:8" x14ac:dyDescent="0.25">
      <c r="A22501" s="1"/>
      <c r="B22501" s="1" t="s">
        <v>7328</v>
      </c>
      <c r="C22501" s="1" t="s">
        <v>7329</v>
      </c>
      <c r="D22501" s="22" t="str">
        <f>HYPERLINK("https://rhld.insurance.arkansas.gov/NPILookup?Npi=1184865164","1184865164")</f>
        <v>1184865164</v>
      </c>
      <c r="E22501" s="1" t="s">
        <v>12821</v>
      </c>
      <c r="F22501" s="2"/>
      <c r="G22501" s="2"/>
      <c r="H22501" s="2"/>
    </row>
    <row r="22502" spans="1:8" x14ac:dyDescent="0.25">
      <c r="A22502" s="1"/>
      <c r="B22502" s="1" t="s">
        <v>7328</v>
      </c>
      <c r="C22502" s="1" t="s">
        <v>7329</v>
      </c>
      <c r="D22502" s="22" t="str">
        <f>HYPERLINK("https://rhld.insurance.arkansas.gov/NPILookup?Npi=1184882383","1184882383")</f>
        <v>1184882383</v>
      </c>
      <c r="E22502" s="1" t="s">
        <v>17289</v>
      </c>
      <c r="F22502" s="2"/>
      <c r="G22502" s="2"/>
      <c r="H22502" s="2"/>
    </row>
    <row r="22503" spans="1:8" x14ac:dyDescent="0.25">
      <c r="A22503" s="1"/>
      <c r="B22503" s="1" t="s">
        <v>7328</v>
      </c>
      <c r="C22503" s="1" t="s">
        <v>7329</v>
      </c>
      <c r="D22503" s="22" t="str">
        <f>HYPERLINK("https://rhld.insurance.arkansas.gov/NPILookup?Npi=1184903023","1184903023")</f>
        <v>1184903023</v>
      </c>
      <c r="E22503" s="1" t="s">
        <v>1211</v>
      </c>
      <c r="F22503" s="2"/>
      <c r="G22503" s="2"/>
      <c r="H22503" s="2"/>
    </row>
    <row r="22504" spans="1:8" x14ac:dyDescent="0.25">
      <c r="A22504" s="1"/>
      <c r="B22504" s="1" t="s">
        <v>7328</v>
      </c>
      <c r="C22504" s="1" t="s">
        <v>7329</v>
      </c>
      <c r="D22504" s="22" t="str">
        <f>HYPERLINK("https://rhld.insurance.arkansas.gov/NPILookup?Npi=1184913022","1184913022")</f>
        <v>1184913022</v>
      </c>
      <c r="E22504" s="1" t="s">
        <v>12822</v>
      </c>
      <c r="F22504" s="2"/>
      <c r="G22504" s="2"/>
      <c r="H22504" s="2"/>
    </row>
    <row r="22505" spans="1:8" x14ac:dyDescent="0.25">
      <c r="A22505" s="1"/>
      <c r="B22505" s="1" t="s">
        <v>7328</v>
      </c>
      <c r="C22505" s="1" t="s">
        <v>7329</v>
      </c>
      <c r="D22505" s="22" t="str">
        <f>HYPERLINK("https://rhld.insurance.arkansas.gov/NPILookup?Npi=1184929622","1184929622")</f>
        <v>1184929622</v>
      </c>
      <c r="E22505" s="1" t="s">
        <v>25952</v>
      </c>
      <c r="F22505" s="2"/>
      <c r="G22505" s="2"/>
      <c r="H22505" s="2"/>
    </row>
    <row r="22506" spans="1:8" x14ac:dyDescent="0.25">
      <c r="A22506" s="1"/>
      <c r="B22506" s="1" t="s">
        <v>7328</v>
      </c>
      <c r="C22506" s="1" t="s">
        <v>7329</v>
      </c>
      <c r="D22506" s="22" t="str">
        <f>HYPERLINK("https://rhld.insurance.arkansas.gov/NPILookup?Npi=1184933145","1184933145")</f>
        <v>1184933145</v>
      </c>
      <c r="E22506" s="1" t="s">
        <v>632</v>
      </c>
      <c r="F22506" s="2"/>
      <c r="G22506" s="2"/>
      <c r="H22506" s="2"/>
    </row>
    <row r="22507" spans="1:8" x14ac:dyDescent="0.25">
      <c r="A22507" s="1"/>
      <c r="B22507" s="1" t="s">
        <v>7328</v>
      </c>
      <c r="C22507" s="1" t="s">
        <v>7329</v>
      </c>
      <c r="D22507" s="22" t="str">
        <f>HYPERLINK("https://rhld.insurance.arkansas.gov/NPILookup?Npi=1184935827","1184935827")</f>
        <v>1184935827</v>
      </c>
      <c r="E22507" s="1" t="s">
        <v>25953</v>
      </c>
      <c r="F22507" s="2"/>
      <c r="G22507" s="2"/>
      <c r="H22507" s="2"/>
    </row>
    <row r="22508" spans="1:8" x14ac:dyDescent="0.25">
      <c r="A22508" s="1"/>
      <c r="B22508" s="1" t="s">
        <v>7328</v>
      </c>
      <c r="C22508" s="1" t="s">
        <v>7329</v>
      </c>
      <c r="D22508" s="22" t="str">
        <f>HYPERLINK("https://rhld.insurance.arkansas.gov/NPILookup?Npi=1184954034","1184954034")</f>
        <v>1184954034</v>
      </c>
      <c r="E22508" s="1" t="s">
        <v>12823</v>
      </c>
      <c r="F22508" s="2"/>
      <c r="G22508" s="2"/>
      <c r="H22508" s="2"/>
    </row>
    <row r="22509" spans="1:8" x14ac:dyDescent="0.25">
      <c r="A22509" s="1"/>
      <c r="B22509" s="1" t="s">
        <v>7328</v>
      </c>
      <c r="C22509" s="1" t="s">
        <v>7329</v>
      </c>
      <c r="D22509" s="22" t="str">
        <f>HYPERLINK("https://rhld.insurance.arkansas.gov/NPILookup?Npi=1184965113","1184965113")</f>
        <v>1184965113</v>
      </c>
      <c r="E22509" s="1" t="s">
        <v>25954</v>
      </c>
      <c r="F22509" s="2"/>
      <c r="G22509" s="2"/>
      <c r="H22509" s="2"/>
    </row>
    <row r="22510" spans="1:8" x14ac:dyDescent="0.25">
      <c r="A22510" s="1"/>
      <c r="B22510" s="1" t="s">
        <v>7328</v>
      </c>
      <c r="C22510" s="1" t="s">
        <v>7329</v>
      </c>
      <c r="D22510" s="22" t="str">
        <f>HYPERLINK("https://rhld.insurance.arkansas.gov/NPILookup?Npi=1184967945","1184967945")</f>
        <v>1184967945</v>
      </c>
      <c r="E22510" s="1" t="s">
        <v>2676</v>
      </c>
      <c r="F22510" s="2"/>
      <c r="G22510" s="2"/>
      <c r="H22510" s="2"/>
    </row>
    <row r="22511" spans="1:8" x14ac:dyDescent="0.25">
      <c r="A22511" s="1"/>
      <c r="B22511" s="1" t="s">
        <v>7328</v>
      </c>
      <c r="C22511" s="1" t="s">
        <v>7329</v>
      </c>
      <c r="D22511" s="22" t="str">
        <f>HYPERLINK("https://rhld.insurance.arkansas.gov/NPILookup?Npi=1184978421","1184978421")</f>
        <v>1184978421</v>
      </c>
      <c r="E22511" s="1" t="s">
        <v>267</v>
      </c>
      <c r="F22511" s="2"/>
      <c r="G22511" s="2"/>
      <c r="H22511" s="2"/>
    </row>
    <row r="22512" spans="1:8" x14ac:dyDescent="0.25">
      <c r="A22512" s="1"/>
      <c r="B22512" s="1" t="s">
        <v>7328</v>
      </c>
      <c r="C22512" s="1" t="s">
        <v>7329</v>
      </c>
      <c r="D22512" s="22" t="str">
        <f>HYPERLINK("https://rhld.insurance.arkansas.gov/NPILookup?Npi=1194011494","1194011494")</f>
        <v>1194011494</v>
      </c>
      <c r="E22512" s="1" t="s">
        <v>18377</v>
      </c>
      <c r="F22512" s="2"/>
      <c r="G22512" s="2"/>
      <c r="H22512" s="2"/>
    </row>
    <row r="22513" spans="1:8" x14ac:dyDescent="0.25">
      <c r="A22513" s="1"/>
      <c r="B22513" s="1" t="s">
        <v>7328</v>
      </c>
      <c r="C22513" s="1" t="s">
        <v>7329</v>
      </c>
      <c r="D22513" s="22" t="str">
        <f>HYPERLINK("https://rhld.insurance.arkansas.gov/NPILookup?Npi=1194024158","1194024158")</f>
        <v>1194024158</v>
      </c>
      <c r="E22513" s="1" t="s">
        <v>25955</v>
      </c>
      <c r="F22513" s="2"/>
      <c r="G22513" s="2"/>
      <c r="H22513" s="2"/>
    </row>
    <row r="22514" spans="1:8" x14ac:dyDescent="0.25">
      <c r="A22514" s="1"/>
      <c r="B22514" s="1" t="s">
        <v>7328</v>
      </c>
      <c r="C22514" s="1" t="s">
        <v>7329</v>
      </c>
      <c r="D22514" s="22" t="str">
        <f>HYPERLINK("https://rhld.insurance.arkansas.gov/NPILookup?Npi=1194040865","1194040865")</f>
        <v>1194040865</v>
      </c>
      <c r="E22514" s="1" t="s">
        <v>17291</v>
      </c>
      <c r="F22514" s="2"/>
      <c r="G22514" s="2"/>
      <c r="H22514" s="2"/>
    </row>
    <row r="22515" spans="1:8" x14ac:dyDescent="0.25">
      <c r="A22515" s="1"/>
      <c r="B22515" s="1" t="s">
        <v>7328</v>
      </c>
      <c r="C22515" s="1" t="s">
        <v>7329</v>
      </c>
      <c r="D22515" s="22" t="str">
        <f>HYPERLINK("https://rhld.insurance.arkansas.gov/NPILookup?Npi=1194074393","1194074393")</f>
        <v>1194074393</v>
      </c>
      <c r="E22515" s="1" t="s">
        <v>25956</v>
      </c>
      <c r="F22515" s="2"/>
      <c r="G22515" s="2"/>
      <c r="H22515" s="2"/>
    </row>
    <row r="22516" spans="1:8" x14ac:dyDescent="0.25">
      <c r="A22516" s="1"/>
      <c r="B22516" s="1" t="s">
        <v>7328</v>
      </c>
      <c r="C22516" s="1" t="s">
        <v>7329</v>
      </c>
      <c r="D22516" s="22" t="str">
        <f>HYPERLINK("https://rhld.insurance.arkansas.gov/NPILookup?Npi=1194086926","1194086926")</f>
        <v>1194086926</v>
      </c>
      <c r="E22516" s="1" t="s">
        <v>2677</v>
      </c>
      <c r="F22516" s="2"/>
      <c r="G22516" s="2"/>
      <c r="H22516" s="2"/>
    </row>
    <row r="22517" spans="1:8" x14ac:dyDescent="0.25">
      <c r="A22517" s="1"/>
      <c r="B22517" s="1" t="s">
        <v>7328</v>
      </c>
      <c r="C22517" s="1" t="s">
        <v>7329</v>
      </c>
      <c r="D22517" s="22" t="str">
        <f>HYPERLINK("https://rhld.insurance.arkansas.gov/NPILookup?Npi=1194088054","1194088054")</f>
        <v>1194088054</v>
      </c>
      <c r="E22517" s="1" t="s">
        <v>2678</v>
      </c>
      <c r="F22517" s="2"/>
      <c r="G22517" s="2"/>
      <c r="H22517" s="2"/>
    </row>
    <row r="22518" spans="1:8" x14ac:dyDescent="0.25">
      <c r="A22518" s="1"/>
      <c r="B22518" s="1" t="s">
        <v>7328</v>
      </c>
      <c r="C22518" s="1" t="s">
        <v>7329</v>
      </c>
      <c r="D22518" s="22" t="str">
        <f>HYPERLINK("https://rhld.insurance.arkansas.gov/NPILookup?Npi=1194089763","1194089763")</f>
        <v>1194089763</v>
      </c>
      <c r="E22518" s="1" t="s">
        <v>25957</v>
      </c>
      <c r="F22518" s="2"/>
      <c r="G22518" s="2"/>
      <c r="H22518" s="2"/>
    </row>
    <row r="22519" spans="1:8" x14ac:dyDescent="0.25">
      <c r="A22519" s="1"/>
      <c r="B22519" s="1" t="s">
        <v>7328</v>
      </c>
      <c r="C22519" s="1" t="s">
        <v>7329</v>
      </c>
      <c r="D22519" s="22" t="str">
        <f>HYPERLINK("https://rhld.insurance.arkansas.gov/NPILookup?Npi=1194090787","1194090787")</f>
        <v>1194090787</v>
      </c>
      <c r="E22519" s="1" t="s">
        <v>12824</v>
      </c>
      <c r="F22519" s="2"/>
      <c r="G22519" s="2"/>
      <c r="H22519" s="2"/>
    </row>
    <row r="22520" spans="1:8" x14ac:dyDescent="0.25">
      <c r="A22520" s="1"/>
      <c r="B22520" s="1" t="s">
        <v>7328</v>
      </c>
      <c r="C22520" s="1" t="s">
        <v>7329</v>
      </c>
      <c r="D22520" s="22" t="str">
        <f>HYPERLINK("https://rhld.insurance.arkansas.gov/NPILookup?Npi=1194109249","1194109249")</f>
        <v>1194109249</v>
      </c>
      <c r="E22520" s="1" t="s">
        <v>15747</v>
      </c>
      <c r="F22520" s="2"/>
      <c r="G22520" s="2"/>
      <c r="H22520" s="2"/>
    </row>
    <row r="22521" spans="1:8" x14ac:dyDescent="0.25">
      <c r="A22521" s="1"/>
      <c r="B22521" s="1" t="s">
        <v>7328</v>
      </c>
      <c r="C22521" s="1" t="s">
        <v>7329</v>
      </c>
      <c r="D22521" s="22" t="str">
        <f>HYPERLINK("https://rhld.insurance.arkansas.gov/NPILookup?Npi=1194115691","1194115691")</f>
        <v>1194115691</v>
      </c>
      <c r="E22521" s="1" t="s">
        <v>25958</v>
      </c>
      <c r="F22521" s="2"/>
      <c r="G22521" s="2"/>
      <c r="H22521" s="2"/>
    </row>
    <row r="22522" spans="1:8" x14ac:dyDescent="0.25">
      <c r="A22522" s="1"/>
      <c r="B22522" s="1" t="s">
        <v>7328</v>
      </c>
      <c r="C22522" s="1" t="s">
        <v>7329</v>
      </c>
      <c r="D22522" s="22" t="str">
        <f>HYPERLINK("https://rhld.insurance.arkansas.gov/NPILookup?Npi=1194121624","1194121624")</f>
        <v>1194121624</v>
      </c>
      <c r="E22522" s="1" t="s">
        <v>2679</v>
      </c>
      <c r="F22522" s="2"/>
      <c r="G22522" s="2"/>
      <c r="H22522" s="2"/>
    </row>
    <row r="22523" spans="1:8" x14ac:dyDescent="0.25">
      <c r="A22523" s="1"/>
      <c r="B22523" s="1" t="s">
        <v>7328</v>
      </c>
      <c r="C22523" s="1" t="s">
        <v>7329</v>
      </c>
      <c r="D22523" s="22" t="str">
        <f>HYPERLINK("https://rhld.insurance.arkansas.gov/NPILookup?Npi=1194129411","1194129411")</f>
        <v>1194129411</v>
      </c>
      <c r="E22523" s="1" t="s">
        <v>25959</v>
      </c>
      <c r="F22523" s="2"/>
      <c r="G22523" s="2"/>
      <c r="H22523" s="2"/>
    </row>
    <row r="22524" spans="1:8" x14ac:dyDescent="0.25">
      <c r="A22524" s="1"/>
      <c r="B22524" s="1" t="s">
        <v>7328</v>
      </c>
      <c r="C22524" s="1" t="s">
        <v>7329</v>
      </c>
      <c r="D22524" s="22" t="str">
        <f>HYPERLINK("https://rhld.insurance.arkansas.gov/NPILookup?Npi=1194134858","1194134858")</f>
        <v>1194134858</v>
      </c>
      <c r="E22524" s="1" t="s">
        <v>2689</v>
      </c>
      <c r="F22524" s="2"/>
      <c r="G22524" s="2"/>
      <c r="H22524" s="2"/>
    </row>
    <row r="22525" spans="1:8" x14ac:dyDescent="0.25">
      <c r="A22525" s="1"/>
      <c r="B22525" s="1" t="s">
        <v>7328</v>
      </c>
      <c r="C22525" s="1" t="s">
        <v>7329</v>
      </c>
      <c r="D22525" s="22" t="str">
        <f>HYPERLINK("https://rhld.insurance.arkansas.gov/NPILookup?Npi=1194141267","1194141267")</f>
        <v>1194141267</v>
      </c>
      <c r="E22525" s="1" t="s">
        <v>25960</v>
      </c>
      <c r="F22525" s="2"/>
      <c r="G22525" s="2"/>
      <c r="H22525" s="2"/>
    </row>
    <row r="22526" spans="1:8" x14ac:dyDescent="0.25">
      <c r="A22526" s="1"/>
      <c r="B22526" s="1" t="s">
        <v>7328</v>
      </c>
      <c r="C22526" s="1" t="s">
        <v>7329</v>
      </c>
      <c r="D22526" s="22" t="str">
        <f>HYPERLINK("https://rhld.insurance.arkansas.gov/NPILookup?Npi=1194143347","1194143347")</f>
        <v>1194143347</v>
      </c>
      <c r="E22526" s="1" t="s">
        <v>7522</v>
      </c>
      <c r="F22526" s="2"/>
      <c r="G22526" s="2"/>
      <c r="H22526" s="2"/>
    </row>
    <row r="22527" spans="1:8" x14ac:dyDescent="0.25">
      <c r="A22527" s="1"/>
      <c r="B22527" s="1" t="s">
        <v>7328</v>
      </c>
      <c r="C22527" s="1" t="s">
        <v>7329</v>
      </c>
      <c r="D22527" s="22" t="str">
        <f>HYPERLINK("https://rhld.insurance.arkansas.gov/NPILookup?Npi=1194144964","1194144964")</f>
        <v>1194144964</v>
      </c>
      <c r="E22527" s="1" t="s">
        <v>25961</v>
      </c>
      <c r="F22527" s="2"/>
      <c r="G22527" s="2"/>
      <c r="H22527" s="2"/>
    </row>
    <row r="22528" spans="1:8" x14ac:dyDescent="0.25">
      <c r="A22528" s="1"/>
      <c r="B22528" s="1" t="s">
        <v>7328</v>
      </c>
      <c r="C22528" s="1" t="s">
        <v>7329</v>
      </c>
      <c r="D22528" s="22" t="str">
        <f>HYPERLINK("https://rhld.insurance.arkansas.gov/NPILookup?Npi=1194145607","1194145607")</f>
        <v>1194145607</v>
      </c>
      <c r="E22528" s="1" t="s">
        <v>1373</v>
      </c>
      <c r="F22528" s="2"/>
      <c r="G22528" s="2"/>
      <c r="H22528" s="2"/>
    </row>
    <row r="22529" spans="1:8" x14ac:dyDescent="0.25">
      <c r="A22529" s="1"/>
      <c r="B22529" s="1" t="s">
        <v>7328</v>
      </c>
      <c r="C22529" s="1" t="s">
        <v>7329</v>
      </c>
      <c r="D22529" s="22" t="str">
        <f>HYPERLINK("https://rhld.insurance.arkansas.gov/NPILookup?Npi=1194148197","1194148197")</f>
        <v>1194148197</v>
      </c>
      <c r="E22529" s="1" t="s">
        <v>177</v>
      </c>
      <c r="F22529" s="2"/>
      <c r="G22529" s="2"/>
      <c r="H22529" s="2"/>
    </row>
    <row r="22530" spans="1:8" x14ac:dyDescent="0.25">
      <c r="A22530" s="1"/>
      <c r="B22530" s="1" t="s">
        <v>7328</v>
      </c>
      <c r="C22530" s="1" t="s">
        <v>7329</v>
      </c>
      <c r="D22530" s="22" t="str">
        <f>HYPERLINK("https://rhld.insurance.arkansas.gov/NPILookup?Npi=1194166199","1194166199")</f>
        <v>1194166199</v>
      </c>
      <c r="E22530" s="1" t="s">
        <v>25962</v>
      </c>
      <c r="F22530" s="2"/>
      <c r="G22530" s="2"/>
      <c r="H22530" s="2"/>
    </row>
    <row r="22531" spans="1:8" x14ac:dyDescent="0.25">
      <c r="A22531" s="1"/>
      <c r="B22531" s="1" t="s">
        <v>7328</v>
      </c>
      <c r="C22531" s="1" t="s">
        <v>7329</v>
      </c>
      <c r="D22531" s="22" t="str">
        <f>HYPERLINK("https://rhld.insurance.arkansas.gov/NPILookup?Npi=1194166850","1194166850")</f>
        <v>1194166850</v>
      </c>
      <c r="E22531" s="1" t="s">
        <v>12825</v>
      </c>
      <c r="F22531" s="2"/>
      <c r="G22531" s="2"/>
      <c r="H22531" s="2"/>
    </row>
    <row r="22532" spans="1:8" x14ac:dyDescent="0.25">
      <c r="A22532" s="1"/>
      <c r="B22532" s="1" t="s">
        <v>7328</v>
      </c>
      <c r="C22532" s="1" t="s">
        <v>7329</v>
      </c>
      <c r="D22532" s="22" t="str">
        <f>HYPERLINK("https://rhld.insurance.arkansas.gov/NPILookup?Npi=1194169466","1194169466")</f>
        <v>1194169466</v>
      </c>
      <c r="E22532" s="1" t="s">
        <v>7523</v>
      </c>
      <c r="F22532" s="2"/>
      <c r="G22532" s="2"/>
      <c r="H22532" s="2"/>
    </row>
    <row r="22533" spans="1:8" x14ac:dyDescent="0.25">
      <c r="A22533" s="1"/>
      <c r="B22533" s="1" t="s">
        <v>7328</v>
      </c>
      <c r="C22533" s="1" t="s">
        <v>7329</v>
      </c>
      <c r="D22533" s="22" t="str">
        <f>HYPERLINK("https://rhld.insurance.arkansas.gov/NPILookup?Npi=1194174086","1194174086")</f>
        <v>1194174086</v>
      </c>
      <c r="E22533" s="1" t="s">
        <v>25963</v>
      </c>
      <c r="F22533" s="2"/>
      <c r="G22533" s="2"/>
      <c r="H22533" s="2"/>
    </row>
    <row r="22534" spans="1:8" x14ac:dyDescent="0.25">
      <c r="A22534" s="1"/>
      <c r="B22534" s="1" t="s">
        <v>7328</v>
      </c>
      <c r="C22534" s="1" t="s">
        <v>7329</v>
      </c>
      <c r="D22534" s="22" t="str">
        <f>HYPERLINK("https://rhld.insurance.arkansas.gov/NPILookup?Npi=1194178376","1194178376")</f>
        <v>1194178376</v>
      </c>
      <c r="E22534" s="1" t="s">
        <v>12826</v>
      </c>
      <c r="F22534" s="2"/>
      <c r="G22534" s="2"/>
      <c r="H22534" s="2"/>
    </row>
    <row r="22535" spans="1:8" x14ac:dyDescent="0.25">
      <c r="A22535" s="1"/>
      <c r="B22535" s="1" t="s">
        <v>7328</v>
      </c>
      <c r="C22535" s="1" t="s">
        <v>7329</v>
      </c>
      <c r="D22535" s="22" t="str">
        <f>HYPERLINK("https://rhld.insurance.arkansas.gov/NPILookup?Npi=1194179101","1194179101")</f>
        <v>1194179101</v>
      </c>
      <c r="E22535" s="1" t="s">
        <v>2680</v>
      </c>
      <c r="F22535" s="2"/>
      <c r="G22535" s="2"/>
      <c r="H22535" s="2"/>
    </row>
    <row r="22536" spans="1:8" x14ac:dyDescent="0.25">
      <c r="A22536" s="1"/>
      <c r="B22536" s="1" t="s">
        <v>7328</v>
      </c>
      <c r="C22536" s="1" t="s">
        <v>7329</v>
      </c>
      <c r="D22536" s="22" t="str">
        <f>HYPERLINK("https://rhld.insurance.arkansas.gov/NPILookup?Npi=1194182832","1194182832")</f>
        <v>1194182832</v>
      </c>
      <c r="E22536" s="1" t="s">
        <v>12827</v>
      </c>
      <c r="F22536" s="2"/>
      <c r="G22536" s="2"/>
      <c r="H22536" s="2"/>
    </row>
    <row r="22537" spans="1:8" x14ac:dyDescent="0.25">
      <c r="A22537" s="1"/>
      <c r="B22537" s="1" t="s">
        <v>7328</v>
      </c>
      <c r="C22537" s="1" t="s">
        <v>7329</v>
      </c>
      <c r="D22537" s="22" t="str">
        <f>HYPERLINK("https://rhld.insurance.arkansas.gov/NPILookup?Npi=1194193870","1194193870")</f>
        <v>1194193870</v>
      </c>
      <c r="E22537" s="1" t="s">
        <v>7524</v>
      </c>
      <c r="F22537" s="2"/>
      <c r="G22537" s="2"/>
      <c r="H22537" s="2"/>
    </row>
    <row r="22538" spans="1:8" x14ac:dyDescent="0.25">
      <c r="A22538" s="1"/>
      <c r="B22538" s="1" t="s">
        <v>7328</v>
      </c>
      <c r="C22538" s="1" t="s">
        <v>7329</v>
      </c>
      <c r="D22538" s="22" t="str">
        <f>HYPERLINK("https://rhld.insurance.arkansas.gov/NPILookup?Npi=1194210070","1194210070")</f>
        <v>1194210070</v>
      </c>
      <c r="E22538" s="1" t="s">
        <v>12828</v>
      </c>
      <c r="F22538" s="2"/>
      <c r="G22538" s="2"/>
      <c r="H22538" s="2"/>
    </row>
    <row r="22539" spans="1:8" x14ac:dyDescent="0.25">
      <c r="A22539" s="1"/>
      <c r="B22539" s="1" t="s">
        <v>7328</v>
      </c>
      <c r="C22539" s="1" t="s">
        <v>7329</v>
      </c>
      <c r="D22539" s="22" t="str">
        <f>HYPERLINK("https://rhld.insurance.arkansas.gov/NPILookup?Npi=1194213926","1194213926")</f>
        <v>1194213926</v>
      </c>
      <c r="E22539" s="1" t="s">
        <v>12829</v>
      </c>
      <c r="F22539" s="2"/>
      <c r="G22539" s="2"/>
      <c r="H22539" s="2"/>
    </row>
    <row r="22540" spans="1:8" x14ac:dyDescent="0.25">
      <c r="A22540" s="1"/>
      <c r="B22540" s="1" t="s">
        <v>7328</v>
      </c>
      <c r="C22540" s="1" t="s">
        <v>7329</v>
      </c>
      <c r="D22540" s="22" t="str">
        <f>HYPERLINK("https://rhld.insurance.arkansas.gov/NPILookup?Npi=1194215814","1194215814")</f>
        <v>1194215814</v>
      </c>
      <c r="E22540" s="1" t="s">
        <v>371</v>
      </c>
      <c r="F22540" s="2"/>
      <c r="G22540" s="2"/>
      <c r="H22540" s="2"/>
    </row>
    <row r="22541" spans="1:8" x14ac:dyDescent="0.25">
      <c r="A22541" s="1"/>
      <c r="B22541" s="1" t="s">
        <v>7328</v>
      </c>
      <c r="C22541" s="1" t="s">
        <v>7329</v>
      </c>
      <c r="D22541" s="22" t="str">
        <f>HYPERLINK("https://rhld.insurance.arkansas.gov/NPILookup?Npi=1194220186","1194220186")</f>
        <v>1194220186</v>
      </c>
      <c r="E22541" s="1" t="s">
        <v>17295</v>
      </c>
      <c r="F22541" s="2"/>
      <c r="G22541" s="2"/>
      <c r="H22541" s="2"/>
    </row>
    <row r="22542" spans="1:8" x14ac:dyDescent="0.25">
      <c r="A22542" s="1"/>
      <c r="B22542" s="1" t="s">
        <v>7328</v>
      </c>
      <c r="C22542" s="1" t="s">
        <v>7329</v>
      </c>
      <c r="D22542" s="22" t="str">
        <f>HYPERLINK("https://rhld.insurance.arkansas.gov/NPILookup?Npi=1194223891","1194223891")</f>
        <v>1194223891</v>
      </c>
      <c r="E22542" s="1" t="s">
        <v>21468</v>
      </c>
      <c r="F22542" s="2"/>
      <c r="G22542" s="2"/>
      <c r="H22542" s="2"/>
    </row>
    <row r="22543" spans="1:8" x14ac:dyDescent="0.25">
      <c r="A22543" s="1"/>
      <c r="B22543" s="1" t="s">
        <v>7328</v>
      </c>
      <c r="C22543" s="1" t="s">
        <v>7329</v>
      </c>
      <c r="D22543" s="22" t="str">
        <f>HYPERLINK("https://rhld.insurance.arkansas.gov/NPILookup?Npi=1194232439","1194232439")</f>
        <v>1194232439</v>
      </c>
      <c r="E22543" s="1" t="s">
        <v>25964</v>
      </c>
      <c r="F22543" s="2"/>
      <c r="G22543" s="2"/>
      <c r="H22543" s="2"/>
    </row>
    <row r="22544" spans="1:8" x14ac:dyDescent="0.25">
      <c r="A22544" s="1"/>
      <c r="B22544" s="1" t="s">
        <v>7328</v>
      </c>
      <c r="C22544" s="1" t="s">
        <v>7329</v>
      </c>
      <c r="D22544" s="22" t="str">
        <f>HYPERLINK("https://rhld.insurance.arkansas.gov/NPILookup?Npi=1194254664","1194254664")</f>
        <v>1194254664</v>
      </c>
      <c r="E22544" s="1" t="s">
        <v>25965</v>
      </c>
      <c r="F22544" s="2"/>
      <c r="G22544" s="2"/>
      <c r="H22544" s="2"/>
    </row>
    <row r="22545" spans="1:8" x14ac:dyDescent="0.25">
      <c r="A22545" s="1"/>
      <c r="B22545" s="1" t="s">
        <v>7328</v>
      </c>
      <c r="C22545" s="1" t="s">
        <v>7329</v>
      </c>
      <c r="D22545" s="22" t="str">
        <f>HYPERLINK("https://rhld.insurance.arkansas.gov/NPILookup?Npi=1194257378","1194257378")</f>
        <v>1194257378</v>
      </c>
      <c r="E22545" s="1" t="s">
        <v>1292</v>
      </c>
      <c r="F22545" s="2"/>
      <c r="G22545" s="2"/>
      <c r="H22545" s="2"/>
    </row>
    <row r="22546" spans="1:8" x14ac:dyDescent="0.25">
      <c r="A22546" s="1"/>
      <c r="B22546" s="1" t="s">
        <v>7328</v>
      </c>
      <c r="C22546" s="1" t="s">
        <v>7329</v>
      </c>
      <c r="D22546" s="22" t="str">
        <f>HYPERLINK("https://rhld.insurance.arkansas.gov/NPILookup?Npi=1194263863","1194263863")</f>
        <v>1194263863</v>
      </c>
      <c r="E22546" s="1" t="s">
        <v>25966</v>
      </c>
      <c r="F22546" s="2"/>
      <c r="G22546" s="2"/>
      <c r="H22546" s="2"/>
    </row>
    <row r="22547" spans="1:8" x14ac:dyDescent="0.25">
      <c r="A22547" s="1"/>
      <c r="B22547" s="1" t="s">
        <v>7328</v>
      </c>
      <c r="C22547" s="1" t="s">
        <v>7329</v>
      </c>
      <c r="D22547" s="22" t="str">
        <f>HYPERLINK("https://rhld.insurance.arkansas.gov/NPILookup?Npi=1194281188","1194281188")</f>
        <v>1194281188</v>
      </c>
      <c r="E22547" s="1" t="s">
        <v>1695</v>
      </c>
      <c r="F22547" s="2"/>
      <c r="G22547" s="2"/>
      <c r="H22547" s="2"/>
    </row>
    <row r="22548" spans="1:8" x14ac:dyDescent="0.25">
      <c r="A22548" s="1"/>
      <c r="B22548" s="1" t="s">
        <v>7328</v>
      </c>
      <c r="C22548" s="1" t="s">
        <v>7329</v>
      </c>
      <c r="D22548" s="22" t="str">
        <f>HYPERLINK("https://rhld.insurance.arkansas.gov/NPILookup?Npi=1194281840","1194281840")</f>
        <v>1194281840</v>
      </c>
      <c r="E22548" s="1" t="s">
        <v>2681</v>
      </c>
      <c r="F22548" s="2"/>
      <c r="G22548" s="2"/>
      <c r="H22548" s="2"/>
    </row>
    <row r="22549" spans="1:8" x14ac:dyDescent="0.25">
      <c r="A22549" s="1"/>
      <c r="B22549" s="1" t="s">
        <v>7328</v>
      </c>
      <c r="C22549" s="1" t="s">
        <v>7329</v>
      </c>
      <c r="D22549" s="22" t="str">
        <f>HYPERLINK("https://rhld.insurance.arkansas.gov/NPILookup?Npi=1194285478","1194285478")</f>
        <v>1194285478</v>
      </c>
      <c r="E22549" s="1" t="s">
        <v>4282</v>
      </c>
      <c r="F22549" s="2"/>
      <c r="G22549" s="2"/>
      <c r="H22549" s="2"/>
    </row>
    <row r="22550" spans="1:8" x14ac:dyDescent="0.25">
      <c r="A22550" s="1"/>
      <c r="B22550" s="1" t="s">
        <v>7328</v>
      </c>
      <c r="C22550" s="1" t="s">
        <v>7329</v>
      </c>
      <c r="D22550" s="22" t="str">
        <f>HYPERLINK("https://rhld.insurance.arkansas.gov/NPILookup?Npi=1194288662","1194288662")</f>
        <v>1194288662</v>
      </c>
      <c r="E22550" s="1" t="s">
        <v>9874</v>
      </c>
      <c r="F22550" s="2"/>
      <c r="G22550" s="2"/>
      <c r="H22550" s="2"/>
    </row>
    <row r="22551" spans="1:8" x14ac:dyDescent="0.25">
      <c r="A22551" s="1"/>
      <c r="B22551" s="1" t="s">
        <v>7328</v>
      </c>
      <c r="C22551" s="1" t="s">
        <v>7329</v>
      </c>
      <c r="D22551" s="22" t="str">
        <f>HYPERLINK("https://rhld.insurance.arkansas.gov/NPILookup?Npi=1194291336","1194291336")</f>
        <v>1194291336</v>
      </c>
      <c r="E22551" s="1" t="s">
        <v>1293</v>
      </c>
      <c r="F22551" s="2"/>
      <c r="G22551" s="2"/>
      <c r="H22551" s="2"/>
    </row>
    <row r="22552" spans="1:8" x14ac:dyDescent="0.25">
      <c r="A22552" s="1"/>
      <c r="B22552" s="1" t="s">
        <v>7328</v>
      </c>
      <c r="C22552" s="1" t="s">
        <v>7329</v>
      </c>
      <c r="D22552" s="22" t="str">
        <f>HYPERLINK("https://rhld.insurance.arkansas.gov/NPILookup?Npi=1194293928","1194293928")</f>
        <v>1194293928</v>
      </c>
      <c r="E22552" s="1" t="s">
        <v>25967</v>
      </c>
      <c r="F22552" s="2"/>
      <c r="G22552" s="2"/>
      <c r="H22552" s="2"/>
    </row>
    <row r="22553" spans="1:8" x14ac:dyDescent="0.25">
      <c r="A22553" s="1"/>
      <c r="B22553" s="1" t="s">
        <v>7328</v>
      </c>
      <c r="C22553" s="1" t="s">
        <v>7329</v>
      </c>
      <c r="D22553" s="22" t="str">
        <f>HYPERLINK("https://rhld.insurance.arkansas.gov/NPILookup?Npi=1194295063","1194295063")</f>
        <v>1194295063</v>
      </c>
      <c r="E22553" s="1" t="s">
        <v>25968</v>
      </c>
      <c r="F22553" s="2"/>
      <c r="G22553" s="2"/>
      <c r="H22553" s="2"/>
    </row>
    <row r="22554" spans="1:8" x14ac:dyDescent="0.25">
      <c r="A22554" s="1"/>
      <c r="B22554" s="1" t="s">
        <v>7328</v>
      </c>
      <c r="C22554" s="1" t="s">
        <v>7329</v>
      </c>
      <c r="D22554" s="22" t="str">
        <f>HYPERLINK("https://rhld.insurance.arkansas.gov/NPILookup?Npi=1194300525","1194300525")</f>
        <v>1194300525</v>
      </c>
      <c r="E22554" s="1" t="s">
        <v>25969</v>
      </c>
      <c r="F22554" s="2"/>
      <c r="G22554" s="2"/>
      <c r="H22554" s="2"/>
    </row>
    <row r="22555" spans="1:8" x14ac:dyDescent="0.25">
      <c r="A22555" s="1"/>
      <c r="B22555" s="1" t="s">
        <v>7328</v>
      </c>
      <c r="C22555" s="1" t="s">
        <v>7329</v>
      </c>
      <c r="D22555" s="22" t="str">
        <f>HYPERLINK("https://rhld.insurance.arkansas.gov/NPILookup?Npi=1194301242","1194301242")</f>
        <v>1194301242</v>
      </c>
      <c r="E22555" s="1" t="s">
        <v>7525</v>
      </c>
      <c r="F22555" s="2"/>
      <c r="G22555" s="2"/>
      <c r="H22555" s="2"/>
    </row>
    <row r="22556" spans="1:8" x14ac:dyDescent="0.25">
      <c r="A22556" s="1"/>
      <c r="B22556" s="1" t="s">
        <v>7328</v>
      </c>
      <c r="C22556" s="1" t="s">
        <v>7329</v>
      </c>
      <c r="D22556" s="22" t="str">
        <f>HYPERLINK("https://rhld.insurance.arkansas.gov/NPILookup?Npi=1194308841","1194308841")</f>
        <v>1194308841</v>
      </c>
      <c r="E22556" s="1" t="s">
        <v>25970</v>
      </c>
      <c r="F22556" s="2"/>
      <c r="G22556" s="2"/>
      <c r="H22556" s="2"/>
    </row>
    <row r="22557" spans="1:8" x14ac:dyDescent="0.25">
      <c r="A22557" s="1"/>
      <c r="B22557" s="1" t="s">
        <v>7328</v>
      </c>
      <c r="C22557" s="1" t="s">
        <v>7329</v>
      </c>
      <c r="D22557" s="22" t="str">
        <f>HYPERLINK("https://rhld.insurance.arkansas.gov/NPILookup?Npi=1194311498","1194311498")</f>
        <v>1194311498</v>
      </c>
      <c r="E22557" s="1" t="s">
        <v>25971</v>
      </c>
      <c r="F22557" s="2"/>
      <c r="G22557" s="2"/>
      <c r="H22557" s="2"/>
    </row>
    <row r="22558" spans="1:8" x14ac:dyDescent="0.25">
      <c r="A22558" s="1"/>
      <c r="B22558" s="1" t="s">
        <v>7328</v>
      </c>
      <c r="C22558" s="1" t="s">
        <v>7329</v>
      </c>
      <c r="D22558" s="22" t="str">
        <f>HYPERLINK("https://rhld.insurance.arkansas.gov/NPILookup?Npi=1194321711","1194321711")</f>
        <v>1194321711</v>
      </c>
      <c r="E22558" s="1" t="s">
        <v>25972</v>
      </c>
      <c r="F22558" s="2"/>
      <c r="G22558" s="2"/>
      <c r="H22558" s="2"/>
    </row>
    <row r="22559" spans="1:8" x14ac:dyDescent="0.25">
      <c r="A22559" s="1"/>
      <c r="B22559" s="1" t="s">
        <v>7328</v>
      </c>
      <c r="C22559" s="1" t="s">
        <v>7329</v>
      </c>
      <c r="D22559" s="22" t="str">
        <f>HYPERLINK("https://rhld.insurance.arkansas.gov/NPILookup?Npi=1194321893","1194321893")</f>
        <v>1194321893</v>
      </c>
      <c r="E22559" s="1" t="s">
        <v>7526</v>
      </c>
      <c r="F22559" s="2"/>
      <c r="G22559" s="2"/>
      <c r="H22559" s="2"/>
    </row>
    <row r="22560" spans="1:8" x14ac:dyDescent="0.25">
      <c r="A22560" s="1"/>
      <c r="B22560" s="1" t="s">
        <v>7328</v>
      </c>
      <c r="C22560" s="1" t="s">
        <v>7329</v>
      </c>
      <c r="D22560" s="22" t="str">
        <f>HYPERLINK("https://rhld.insurance.arkansas.gov/NPILookup?Npi=1194331744","1194331744")</f>
        <v>1194331744</v>
      </c>
      <c r="E22560" s="1" t="s">
        <v>25973</v>
      </c>
      <c r="F22560" s="2"/>
      <c r="G22560" s="2"/>
      <c r="H22560" s="2"/>
    </row>
    <row r="22561" spans="1:8" x14ac:dyDescent="0.25">
      <c r="A22561" s="1"/>
      <c r="B22561" s="1" t="s">
        <v>7328</v>
      </c>
      <c r="C22561" s="1" t="s">
        <v>7329</v>
      </c>
      <c r="D22561" s="22" t="str">
        <f>HYPERLINK("https://rhld.insurance.arkansas.gov/NPILookup?Npi=1194332007","1194332007")</f>
        <v>1194332007</v>
      </c>
      <c r="E22561" s="1" t="s">
        <v>25974</v>
      </c>
      <c r="F22561" s="2"/>
      <c r="G22561" s="2"/>
      <c r="H22561" s="2"/>
    </row>
    <row r="22562" spans="1:8" x14ac:dyDescent="0.25">
      <c r="A22562" s="1"/>
      <c r="B22562" s="1" t="s">
        <v>7328</v>
      </c>
      <c r="C22562" s="1" t="s">
        <v>7329</v>
      </c>
      <c r="D22562" s="22" t="str">
        <f>HYPERLINK("https://rhld.insurance.arkansas.gov/NPILookup?Npi=1194340034","1194340034")</f>
        <v>1194340034</v>
      </c>
      <c r="E22562" s="1" t="s">
        <v>25975</v>
      </c>
      <c r="F22562" s="2"/>
      <c r="G22562" s="2"/>
      <c r="H22562" s="2"/>
    </row>
    <row r="22563" spans="1:8" x14ac:dyDescent="0.25">
      <c r="A22563" s="1"/>
      <c r="B22563" s="1" t="s">
        <v>7328</v>
      </c>
      <c r="C22563" s="1" t="s">
        <v>7329</v>
      </c>
      <c r="D22563" s="22" t="str">
        <f>HYPERLINK("https://rhld.insurance.arkansas.gov/NPILookup?Npi=1194356535","1194356535")</f>
        <v>1194356535</v>
      </c>
      <c r="E22563" s="1" t="s">
        <v>12830</v>
      </c>
      <c r="F22563" s="2"/>
      <c r="G22563" s="2"/>
      <c r="H22563" s="2"/>
    </row>
    <row r="22564" spans="1:8" x14ac:dyDescent="0.25">
      <c r="A22564" s="1"/>
      <c r="B22564" s="1" t="s">
        <v>7328</v>
      </c>
      <c r="C22564" s="1" t="s">
        <v>7329</v>
      </c>
      <c r="D22564" s="22" t="str">
        <f>HYPERLINK("https://rhld.insurance.arkansas.gov/NPILookup?Npi=1194360842","1194360842")</f>
        <v>1194360842</v>
      </c>
      <c r="E22564" s="1" t="s">
        <v>25976</v>
      </c>
      <c r="F22564" s="2"/>
      <c r="G22564" s="2"/>
      <c r="H22564" s="2"/>
    </row>
    <row r="22565" spans="1:8" x14ac:dyDescent="0.25">
      <c r="A22565" s="1"/>
      <c r="B22565" s="1" t="s">
        <v>7328</v>
      </c>
      <c r="C22565" s="1" t="s">
        <v>7329</v>
      </c>
      <c r="D22565" s="22" t="str">
        <f>HYPERLINK("https://rhld.insurance.arkansas.gov/NPILookup?Npi=1194367136","1194367136")</f>
        <v>1194367136</v>
      </c>
      <c r="E22565" s="1" t="s">
        <v>32146</v>
      </c>
      <c r="F22565" s="2"/>
      <c r="G22565" s="2"/>
      <c r="H22565" s="2"/>
    </row>
    <row r="22566" spans="1:8" x14ac:dyDescent="0.25">
      <c r="A22566" s="1"/>
      <c r="B22566" s="1" t="s">
        <v>7328</v>
      </c>
      <c r="C22566" s="1" t="s">
        <v>7329</v>
      </c>
      <c r="D22566" s="22" t="str">
        <f>HYPERLINK("https://rhld.insurance.arkansas.gov/NPILookup?Npi=1194377457","1194377457")</f>
        <v>1194377457</v>
      </c>
      <c r="E22566" s="1" t="s">
        <v>1031</v>
      </c>
      <c r="F22566" s="2"/>
      <c r="G22566" s="2"/>
      <c r="H22566" s="2"/>
    </row>
    <row r="22567" spans="1:8" x14ac:dyDescent="0.25">
      <c r="A22567" s="1"/>
      <c r="B22567" s="1" t="s">
        <v>7328</v>
      </c>
      <c r="C22567" s="1" t="s">
        <v>7329</v>
      </c>
      <c r="D22567" s="22" t="str">
        <f>HYPERLINK("https://rhld.insurance.arkansas.gov/NPILookup?Npi=1194385989","1194385989")</f>
        <v>1194385989</v>
      </c>
      <c r="E22567" s="1" t="s">
        <v>25977</v>
      </c>
      <c r="F22567" s="2"/>
      <c r="G22567" s="2"/>
      <c r="H22567" s="2"/>
    </row>
    <row r="22568" spans="1:8" x14ac:dyDescent="0.25">
      <c r="A22568" s="1"/>
      <c r="B22568" s="1" t="s">
        <v>7328</v>
      </c>
      <c r="C22568" s="1" t="s">
        <v>7329</v>
      </c>
      <c r="D22568" s="22" t="str">
        <f>HYPERLINK("https://rhld.insurance.arkansas.gov/NPILookup?Npi=1194388454","1194388454")</f>
        <v>1194388454</v>
      </c>
      <c r="E22568" s="1" t="s">
        <v>25978</v>
      </c>
      <c r="F22568" s="2"/>
      <c r="G22568" s="2"/>
      <c r="H22568" s="2"/>
    </row>
    <row r="22569" spans="1:8" x14ac:dyDescent="0.25">
      <c r="A22569" s="1"/>
      <c r="B22569" s="1" t="s">
        <v>7328</v>
      </c>
      <c r="C22569" s="1" t="s">
        <v>7329</v>
      </c>
      <c r="D22569" s="22" t="str">
        <f>HYPERLINK("https://rhld.insurance.arkansas.gov/NPILookup?Npi=1194393603","1194393603")</f>
        <v>1194393603</v>
      </c>
      <c r="E22569" s="1" t="s">
        <v>21475</v>
      </c>
      <c r="F22569" s="2"/>
      <c r="G22569" s="2"/>
      <c r="H22569" s="2"/>
    </row>
    <row r="22570" spans="1:8" x14ac:dyDescent="0.25">
      <c r="A22570" s="1"/>
      <c r="B22570" s="1" t="s">
        <v>7328</v>
      </c>
      <c r="C22570" s="1" t="s">
        <v>7329</v>
      </c>
      <c r="D22570" s="22" t="str">
        <f>HYPERLINK("https://rhld.insurance.arkansas.gov/NPILookup?Npi=1194407379","1194407379")</f>
        <v>1194407379</v>
      </c>
      <c r="E22570" s="1" t="s">
        <v>7527</v>
      </c>
      <c r="F22570" s="2"/>
      <c r="G22570" s="2"/>
      <c r="H22570" s="2"/>
    </row>
    <row r="22571" spans="1:8" x14ac:dyDescent="0.25">
      <c r="A22571" s="1"/>
      <c r="B22571" s="1" t="s">
        <v>7328</v>
      </c>
      <c r="C22571" s="1" t="s">
        <v>7329</v>
      </c>
      <c r="D22571" s="22" t="str">
        <f>HYPERLINK("https://rhld.insurance.arkansas.gov/NPILookup?Npi=1194421339","1194421339")</f>
        <v>1194421339</v>
      </c>
      <c r="E22571" s="1" t="s">
        <v>25979</v>
      </c>
      <c r="F22571" s="2"/>
      <c r="G22571" s="2"/>
      <c r="H22571" s="2"/>
    </row>
    <row r="22572" spans="1:8" x14ac:dyDescent="0.25">
      <c r="A22572" s="1"/>
      <c r="B22572" s="1" t="s">
        <v>7328</v>
      </c>
      <c r="C22572" s="1" t="s">
        <v>7329</v>
      </c>
      <c r="D22572" s="22" t="str">
        <f>HYPERLINK("https://rhld.insurance.arkansas.gov/NPILookup?Npi=1194442731","1194442731")</f>
        <v>1194442731</v>
      </c>
      <c r="E22572" s="1" t="s">
        <v>32147</v>
      </c>
      <c r="F22572" s="2"/>
      <c r="G22572" s="2"/>
      <c r="H22572" s="2"/>
    </row>
    <row r="22573" spans="1:8" x14ac:dyDescent="0.25">
      <c r="A22573" s="1"/>
      <c r="B22573" s="1" t="s">
        <v>7328</v>
      </c>
      <c r="C22573" s="1" t="s">
        <v>7329</v>
      </c>
      <c r="D22573" s="22" t="str">
        <f>HYPERLINK("https://rhld.insurance.arkansas.gov/NPILookup?Npi=1194494500","1194494500")</f>
        <v>1194494500</v>
      </c>
      <c r="E22573" s="1" t="s">
        <v>25980</v>
      </c>
      <c r="F22573" s="2"/>
      <c r="G22573" s="2"/>
      <c r="H22573" s="2"/>
    </row>
    <row r="22574" spans="1:8" x14ac:dyDescent="0.25">
      <c r="A22574" s="1"/>
      <c r="B22574" s="1" t="s">
        <v>7328</v>
      </c>
      <c r="C22574" s="1" t="s">
        <v>7329</v>
      </c>
      <c r="D22574" s="22" t="str">
        <f>HYPERLINK("https://rhld.insurance.arkansas.gov/NPILookup?Npi=1194560771","1194560771")</f>
        <v>1194560771</v>
      </c>
      <c r="E22574" s="1" t="s">
        <v>32148</v>
      </c>
      <c r="F22574" s="2"/>
      <c r="G22574" s="2"/>
      <c r="H22574" s="2"/>
    </row>
    <row r="22575" spans="1:8" x14ac:dyDescent="0.25">
      <c r="A22575" s="1"/>
      <c r="B22575" s="1" t="s">
        <v>7328</v>
      </c>
      <c r="C22575" s="1" t="s">
        <v>7329</v>
      </c>
      <c r="D22575" s="22" t="str">
        <f>HYPERLINK("https://rhld.insurance.arkansas.gov/NPILookup?Npi=1194579938","1194579938")</f>
        <v>1194579938</v>
      </c>
      <c r="E22575" s="1" t="s">
        <v>25981</v>
      </c>
      <c r="F22575" s="2"/>
      <c r="G22575" s="2"/>
      <c r="H22575" s="2"/>
    </row>
    <row r="22576" spans="1:8" x14ac:dyDescent="0.25">
      <c r="A22576" s="1"/>
      <c r="B22576" s="1" t="s">
        <v>7328</v>
      </c>
      <c r="C22576" s="1" t="s">
        <v>7329</v>
      </c>
      <c r="D22576" s="22" t="str">
        <f>HYPERLINK("https://rhld.insurance.arkansas.gov/NPILookup?Npi=1194594788","1194594788")</f>
        <v>1194594788</v>
      </c>
      <c r="E22576" s="1" t="s">
        <v>7528</v>
      </c>
      <c r="F22576" s="2"/>
      <c r="G22576" s="2"/>
      <c r="H22576" s="2"/>
    </row>
    <row r="22577" spans="1:8" x14ac:dyDescent="0.25">
      <c r="A22577" s="1"/>
      <c r="B22577" s="1" t="s">
        <v>7328</v>
      </c>
      <c r="C22577" s="1" t="s">
        <v>7329</v>
      </c>
      <c r="D22577" s="22" t="str">
        <f>HYPERLINK("https://rhld.insurance.arkansas.gov/NPILookup?Npi=1194700146","1194700146")</f>
        <v>1194700146</v>
      </c>
      <c r="E22577" s="1" t="s">
        <v>12831</v>
      </c>
      <c r="F22577" s="2"/>
      <c r="G22577" s="2"/>
      <c r="H22577" s="2"/>
    </row>
    <row r="22578" spans="1:8" x14ac:dyDescent="0.25">
      <c r="A22578" s="1"/>
      <c r="B22578" s="1" t="s">
        <v>7328</v>
      </c>
      <c r="C22578" s="1" t="s">
        <v>7329</v>
      </c>
      <c r="D22578" s="22" t="str">
        <f>HYPERLINK("https://rhld.insurance.arkansas.gov/NPILookup?Npi=1194710160","1194710160")</f>
        <v>1194710160</v>
      </c>
      <c r="E22578" s="1" t="s">
        <v>25982</v>
      </c>
      <c r="F22578" s="2"/>
      <c r="G22578" s="2"/>
      <c r="H22578" s="2"/>
    </row>
    <row r="22579" spans="1:8" x14ac:dyDescent="0.25">
      <c r="A22579" s="1"/>
      <c r="B22579" s="1" t="s">
        <v>7328</v>
      </c>
      <c r="C22579" s="1" t="s">
        <v>7329</v>
      </c>
      <c r="D22579" s="22" t="str">
        <f>HYPERLINK("https://rhld.insurance.arkansas.gov/NPILookup?Npi=1194711697","1194711697")</f>
        <v>1194711697</v>
      </c>
      <c r="E22579" s="1" t="s">
        <v>688</v>
      </c>
      <c r="F22579" s="2"/>
      <c r="G22579" s="2"/>
      <c r="H22579" s="2"/>
    </row>
    <row r="22580" spans="1:8" x14ac:dyDescent="0.25">
      <c r="A22580" s="1"/>
      <c r="B22580" s="1" t="s">
        <v>7328</v>
      </c>
      <c r="C22580" s="1" t="s">
        <v>7329</v>
      </c>
      <c r="D22580" s="22" t="str">
        <f>HYPERLINK("https://rhld.insurance.arkansas.gov/NPILookup?Npi=1194715888","1194715888")</f>
        <v>1194715888</v>
      </c>
      <c r="E22580" s="1" t="s">
        <v>17296</v>
      </c>
      <c r="F22580" s="2"/>
      <c r="G22580" s="2"/>
      <c r="H22580" s="2"/>
    </row>
    <row r="22581" spans="1:8" x14ac:dyDescent="0.25">
      <c r="A22581" s="1"/>
      <c r="B22581" s="1" t="s">
        <v>7328</v>
      </c>
      <c r="C22581" s="1" t="s">
        <v>7329</v>
      </c>
      <c r="D22581" s="22" t="str">
        <f>HYPERLINK("https://rhld.insurance.arkansas.gov/NPILookup?Npi=1194719518","1194719518")</f>
        <v>1194719518</v>
      </c>
      <c r="E22581" s="1" t="s">
        <v>25983</v>
      </c>
      <c r="F22581" s="2"/>
      <c r="G22581" s="2"/>
      <c r="H22581" s="2"/>
    </row>
    <row r="22582" spans="1:8" x14ac:dyDescent="0.25">
      <c r="A22582" s="1"/>
      <c r="B22582" s="1" t="s">
        <v>7328</v>
      </c>
      <c r="C22582" s="1" t="s">
        <v>7329</v>
      </c>
      <c r="D22582" s="22" t="str">
        <f>HYPERLINK("https://rhld.insurance.arkansas.gov/NPILookup?Npi=1194720169","1194720169")</f>
        <v>1194720169</v>
      </c>
      <c r="E22582" s="1" t="s">
        <v>25984</v>
      </c>
      <c r="F22582" s="2"/>
      <c r="G22582" s="2"/>
      <c r="H22582" s="2"/>
    </row>
    <row r="22583" spans="1:8" x14ac:dyDescent="0.25">
      <c r="A22583" s="1"/>
      <c r="B22583" s="1" t="s">
        <v>7328</v>
      </c>
      <c r="C22583" s="1" t="s">
        <v>7329</v>
      </c>
      <c r="D22583" s="22" t="str">
        <f>HYPERLINK("https://rhld.insurance.arkansas.gov/NPILookup?Npi=1194722173","1194722173")</f>
        <v>1194722173</v>
      </c>
      <c r="E22583" s="1" t="s">
        <v>716</v>
      </c>
      <c r="F22583" s="2"/>
      <c r="G22583" s="2"/>
      <c r="H22583" s="2"/>
    </row>
    <row r="22584" spans="1:8" x14ac:dyDescent="0.25">
      <c r="A22584" s="1"/>
      <c r="B22584" s="1" t="s">
        <v>7328</v>
      </c>
      <c r="C22584" s="1" t="s">
        <v>7329</v>
      </c>
      <c r="D22584" s="22" t="str">
        <f>HYPERLINK("https://rhld.insurance.arkansas.gov/NPILookup?Npi=1194723056","1194723056")</f>
        <v>1194723056</v>
      </c>
      <c r="E22584" s="1" t="s">
        <v>7529</v>
      </c>
      <c r="F22584" s="2"/>
      <c r="G22584" s="2"/>
      <c r="H22584" s="2"/>
    </row>
    <row r="22585" spans="1:8" x14ac:dyDescent="0.25">
      <c r="A22585" s="1"/>
      <c r="B22585" s="1" t="s">
        <v>7328</v>
      </c>
      <c r="C22585" s="1" t="s">
        <v>7329</v>
      </c>
      <c r="D22585" s="22" t="str">
        <f>HYPERLINK("https://rhld.insurance.arkansas.gov/NPILookup?Npi=1194725432","1194725432")</f>
        <v>1194725432</v>
      </c>
      <c r="E22585" s="1" t="s">
        <v>25985</v>
      </c>
      <c r="F22585" s="2"/>
      <c r="G22585" s="2"/>
      <c r="H22585" s="2"/>
    </row>
    <row r="22586" spans="1:8" x14ac:dyDescent="0.25">
      <c r="A22586" s="1"/>
      <c r="B22586" s="1" t="s">
        <v>7328</v>
      </c>
      <c r="C22586" s="1" t="s">
        <v>7329</v>
      </c>
      <c r="D22586" s="22" t="str">
        <f>HYPERLINK("https://rhld.insurance.arkansas.gov/NPILookup?Npi=1194726679","1194726679")</f>
        <v>1194726679</v>
      </c>
      <c r="E22586" s="1" t="s">
        <v>25986</v>
      </c>
      <c r="F22586" s="2"/>
      <c r="G22586" s="2"/>
      <c r="H22586" s="2"/>
    </row>
    <row r="22587" spans="1:8" x14ac:dyDescent="0.25">
      <c r="A22587" s="1"/>
      <c r="B22587" s="1" t="s">
        <v>7328</v>
      </c>
      <c r="C22587" s="1" t="s">
        <v>7329</v>
      </c>
      <c r="D22587" s="22" t="str">
        <f>HYPERLINK("https://rhld.insurance.arkansas.gov/NPILookup?Npi=1194750653","1194750653")</f>
        <v>1194750653</v>
      </c>
      <c r="E22587" s="1" t="s">
        <v>2683</v>
      </c>
      <c r="F22587" s="2"/>
      <c r="G22587" s="2"/>
      <c r="H22587" s="2"/>
    </row>
    <row r="22588" spans="1:8" x14ac:dyDescent="0.25">
      <c r="A22588" s="1"/>
      <c r="B22588" s="1" t="s">
        <v>7328</v>
      </c>
      <c r="C22588" s="1" t="s">
        <v>7329</v>
      </c>
      <c r="D22588" s="22" t="str">
        <f>HYPERLINK("https://rhld.insurance.arkansas.gov/NPILookup?Npi=1194757849","1194757849")</f>
        <v>1194757849</v>
      </c>
      <c r="E22588" s="1" t="s">
        <v>25988</v>
      </c>
      <c r="F22588" s="2"/>
      <c r="G22588" s="2"/>
      <c r="H22588" s="2"/>
    </row>
    <row r="22589" spans="1:8" x14ac:dyDescent="0.25">
      <c r="A22589" s="1"/>
      <c r="B22589" s="1" t="s">
        <v>7328</v>
      </c>
      <c r="C22589" s="1" t="s">
        <v>7329</v>
      </c>
      <c r="D22589" s="22" t="str">
        <f>HYPERLINK("https://rhld.insurance.arkansas.gov/NPILookup?Npi=1194767657","1194767657")</f>
        <v>1194767657</v>
      </c>
      <c r="E22589" s="1" t="s">
        <v>25989</v>
      </c>
      <c r="F22589" s="2"/>
      <c r="G22589" s="2"/>
      <c r="H22589" s="2"/>
    </row>
    <row r="22590" spans="1:8" x14ac:dyDescent="0.25">
      <c r="A22590" s="1"/>
      <c r="B22590" s="1" t="s">
        <v>7328</v>
      </c>
      <c r="C22590" s="1" t="s">
        <v>7329</v>
      </c>
      <c r="D22590" s="22" t="str">
        <f>HYPERLINK("https://rhld.insurance.arkansas.gov/NPILookup?Npi=1194767897","1194767897")</f>
        <v>1194767897</v>
      </c>
      <c r="E22590" s="1" t="s">
        <v>2684</v>
      </c>
      <c r="F22590" s="2"/>
      <c r="G22590" s="2"/>
      <c r="H22590" s="2"/>
    </row>
    <row r="22591" spans="1:8" x14ac:dyDescent="0.25">
      <c r="A22591" s="1"/>
      <c r="B22591" s="1" t="s">
        <v>7328</v>
      </c>
      <c r="C22591" s="1" t="s">
        <v>7329</v>
      </c>
      <c r="D22591" s="22" t="str">
        <f>HYPERLINK("https://rhld.insurance.arkansas.gov/NPILookup?Npi=1194783472","1194783472")</f>
        <v>1194783472</v>
      </c>
      <c r="E22591" s="1" t="s">
        <v>17299</v>
      </c>
      <c r="F22591" s="2"/>
      <c r="G22591" s="2"/>
      <c r="H22591" s="2"/>
    </row>
    <row r="22592" spans="1:8" x14ac:dyDescent="0.25">
      <c r="A22592" s="1"/>
      <c r="B22592" s="1" t="s">
        <v>7328</v>
      </c>
      <c r="C22592" s="1" t="s">
        <v>7329</v>
      </c>
      <c r="D22592" s="22" t="str">
        <f>HYPERLINK("https://rhld.insurance.arkansas.gov/NPILookup?Npi=1194786111","1194786111")</f>
        <v>1194786111</v>
      </c>
      <c r="E22592" s="1" t="s">
        <v>25990</v>
      </c>
      <c r="F22592" s="2"/>
      <c r="G22592" s="2"/>
      <c r="H22592" s="2"/>
    </row>
    <row r="22593" spans="1:8" x14ac:dyDescent="0.25">
      <c r="A22593" s="1"/>
      <c r="B22593" s="1" t="s">
        <v>7328</v>
      </c>
      <c r="C22593" s="1" t="s">
        <v>7329</v>
      </c>
      <c r="D22593" s="22" t="str">
        <f>HYPERLINK("https://rhld.insurance.arkansas.gov/NPILookup?Npi=1194793224","1194793224")</f>
        <v>1194793224</v>
      </c>
      <c r="E22593" s="1" t="s">
        <v>25991</v>
      </c>
      <c r="F22593" s="2"/>
      <c r="G22593" s="2"/>
      <c r="H22593" s="2"/>
    </row>
    <row r="22594" spans="1:8" x14ac:dyDescent="0.25">
      <c r="A22594" s="1"/>
      <c r="B22594" s="1" t="s">
        <v>7328</v>
      </c>
      <c r="C22594" s="1" t="s">
        <v>7329</v>
      </c>
      <c r="D22594" s="22" t="str">
        <f>HYPERLINK("https://rhld.insurance.arkansas.gov/NPILookup?Npi=1194807024","1194807024")</f>
        <v>1194807024</v>
      </c>
      <c r="E22594" s="1" t="s">
        <v>25992</v>
      </c>
      <c r="F22594" s="2"/>
      <c r="G22594" s="2"/>
      <c r="H22594" s="2"/>
    </row>
    <row r="22595" spans="1:8" x14ac:dyDescent="0.25">
      <c r="A22595" s="1"/>
      <c r="B22595" s="1" t="s">
        <v>7328</v>
      </c>
      <c r="C22595" s="1" t="s">
        <v>7329</v>
      </c>
      <c r="D22595" s="22" t="str">
        <f>HYPERLINK("https://rhld.insurance.arkansas.gov/NPILookup?Npi=1194824193","1194824193")</f>
        <v>1194824193</v>
      </c>
      <c r="E22595" s="1" t="s">
        <v>12832</v>
      </c>
      <c r="F22595" s="2"/>
      <c r="G22595" s="2"/>
      <c r="H22595" s="2"/>
    </row>
    <row r="22596" spans="1:8" x14ac:dyDescent="0.25">
      <c r="A22596" s="1"/>
      <c r="B22596" s="1" t="s">
        <v>7328</v>
      </c>
      <c r="C22596" s="1" t="s">
        <v>7329</v>
      </c>
      <c r="D22596" s="22" t="str">
        <f>HYPERLINK("https://rhld.insurance.arkansas.gov/NPILookup?Npi=1194921635","1194921635")</f>
        <v>1194921635</v>
      </c>
      <c r="E22596" s="1" t="s">
        <v>2685</v>
      </c>
      <c r="F22596" s="2"/>
      <c r="G22596" s="2"/>
      <c r="H22596" s="2"/>
    </row>
    <row r="22597" spans="1:8" x14ac:dyDescent="0.25">
      <c r="A22597" s="1"/>
      <c r="B22597" s="1" t="s">
        <v>7328</v>
      </c>
      <c r="C22597" s="1" t="s">
        <v>7329</v>
      </c>
      <c r="D22597" s="22" t="str">
        <f>HYPERLINK("https://rhld.insurance.arkansas.gov/NPILookup?Npi=1194938381","1194938381")</f>
        <v>1194938381</v>
      </c>
      <c r="E22597" s="1" t="s">
        <v>10720</v>
      </c>
      <c r="F22597" s="2"/>
      <c r="G22597" s="2"/>
      <c r="H22597" s="2"/>
    </row>
    <row r="22598" spans="1:8" x14ac:dyDescent="0.25">
      <c r="A22598" s="1"/>
      <c r="B22598" s="1" t="s">
        <v>7328</v>
      </c>
      <c r="C22598" s="1" t="s">
        <v>7329</v>
      </c>
      <c r="D22598" s="22" t="str">
        <f>HYPERLINK("https://rhld.insurance.arkansas.gov/NPILookup?Npi=1194953141","1194953141")</f>
        <v>1194953141</v>
      </c>
      <c r="E22598" s="1" t="s">
        <v>2686</v>
      </c>
      <c r="F22598" s="2"/>
      <c r="G22598" s="2"/>
      <c r="H22598" s="2"/>
    </row>
    <row r="22599" spans="1:8" x14ac:dyDescent="0.25">
      <c r="A22599" s="1"/>
      <c r="B22599" s="1" t="s">
        <v>7328</v>
      </c>
      <c r="C22599" s="1" t="s">
        <v>7329</v>
      </c>
      <c r="D22599" s="22" t="str">
        <f>HYPERLINK("https://rhld.insurance.arkansas.gov/NPILookup?Npi=1194967414","1194967414")</f>
        <v>1194967414</v>
      </c>
      <c r="E22599" s="1" t="s">
        <v>194</v>
      </c>
      <c r="F22599" s="2"/>
      <c r="G22599" s="2"/>
      <c r="H22599" s="2"/>
    </row>
    <row r="22600" spans="1:8" x14ac:dyDescent="0.25">
      <c r="A22600" s="1"/>
      <c r="B22600" s="1" t="s">
        <v>7328</v>
      </c>
      <c r="C22600" s="1" t="s">
        <v>7329</v>
      </c>
      <c r="D22600" s="22" t="str">
        <f>HYPERLINK("https://rhld.insurance.arkansas.gov/NPILookup?Npi=1194976852","1194976852")</f>
        <v>1194976852</v>
      </c>
      <c r="E22600" s="1" t="s">
        <v>840</v>
      </c>
      <c r="F22600" s="2"/>
      <c r="G22600" s="2"/>
      <c r="H22600" s="2"/>
    </row>
    <row r="22601" spans="1:8" x14ac:dyDescent="0.25">
      <c r="A22601" s="1"/>
      <c r="B22601" s="1" t="s">
        <v>7328</v>
      </c>
      <c r="C22601" s="1" t="s">
        <v>7329</v>
      </c>
      <c r="D22601" s="22" t="str">
        <f>HYPERLINK("https://rhld.insurance.arkansas.gov/NPILookup?Npi=1194984336","1194984336")</f>
        <v>1194984336</v>
      </c>
      <c r="E22601" s="1" t="s">
        <v>24276</v>
      </c>
      <c r="F22601" s="2"/>
      <c r="G22601" s="2"/>
      <c r="H22601" s="2"/>
    </row>
    <row r="22602" spans="1:8" x14ac:dyDescent="0.25">
      <c r="A22602" s="1"/>
      <c r="B22602" s="1" t="s">
        <v>7328</v>
      </c>
      <c r="C22602" s="1" t="s">
        <v>7329</v>
      </c>
      <c r="D22602" s="22" t="str">
        <f>HYPERLINK("https://rhld.insurance.arkansas.gov/NPILookup?Npi=1194990366","1194990366")</f>
        <v>1194990366</v>
      </c>
      <c r="E22602" s="1" t="s">
        <v>2463</v>
      </c>
      <c r="F22602" s="2"/>
      <c r="G22602" s="2"/>
      <c r="H22602" s="2"/>
    </row>
    <row r="22603" spans="1:8" x14ac:dyDescent="0.25">
      <c r="A22603" s="1"/>
      <c r="B22603" s="1" t="s">
        <v>7328</v>
      </c>
      <c r="C22603" s="1" t="s">
        <v>7329</v>
      </c>
      <c r="D22603" s="22" t="str">
        <f>HYPERLINK("https://rhld.insurance.arkansas.gov/NPILookup?Npi=1205006871","1205006871")</f>
        <v>1205006871</v>
      </c>
      <c r="E22603" s="1" t="s">
        <v>2687</v>
      </c>
      <c r="F22603" s="2"/>
      <c r="G22603" s="2"/>
      <c r="H22603" s="2"/>
    </row>
    <row r="22604" spans="1:8" x14ac:dyDescent="0.25">
      <c r="A22604" s="1"/>
      <c r="B22604" s="1" t="s">
        <v>7328</v>
      </c>
      <c r="C22604" s="1" t="s">
        <v>7329</v>
      </c>
      <c r="D22604" s="22" t="str">
        <f>HYPERLINK("https://rhld.insurance.arkansas.gov/NPILookup?Npi=1205009818","1205009818")</f>
        <v>1205009818</v>
      </c>
      <c r="E22604" s="1" t="s">
        <v>24625</v>
      </c>
      <c r="F22604" s="2"/>
      <c r="G22604" s="2"/>
      <c r="H22604" s="2"/>
    </row>
    <row r="22605" spans="1:8" x14ac:dyDescent="0.25">
      <c r="A22605" s="1"/>
      <c r="B22605" s="1" t="s">
        <v>7328</v>
      </c>
      <c r="C22605" s="1" t="s">
        <v>7329</v>
      </c>
      <c r="D22605" s="22" t="str">
        <f>HYPERLINK("https://rhld.insurance.arkansas.gov/NPILookup?Npi=1205011541","1205011541")</f>
        <v>1205011541</v>
      </c>
      <c r="E22605" s="1" t="s">
        <v>25993</v>
      </c>
      <c r="F22605" s="2"/>
      <c r="G22605" s="2"/>
      <c r="H22605" s="2"/>
    </row>
    <row r="22606" spans="1:8" x14ac:dyDescent="0.25">
      <c r="A22606" s="1"/>
      <c r="B22606" s="1" t="s">
        <v>7328</v>
      </c>
      <c r="C22606" s="1" t="s">
        <v>7329</v>
      </c>
      <c r="D22606" s="22" t="str">
        <f>HYPERLINK("https://rhld.insurance.arkansas.gov/NPILookup?Npi=1205023207","1205023207")</f>
        <v>1205023207</v>
      </c>
      <c r="E22606" s="1" t="s">
        <v>2688</v>
      </c>
      <c r="F22606" s="2"/>
      <c r="G22606" s="2"/>
      <c r="H22606" s="2"/>
    </row>
    <row r="22607" spans="1:8" x14ac:dyDescent="0.25">
      <c r="A22607" s="1"/>
      <c r="B22607" s="1" t="s">
        <v>7328</v>
      </c>
      <c r="C22607" s="1" t="s">
        <v>7329</v>
      </c>
      <c r="D22607" s="22" t="str">
        <f>HYPERLINK("https://rhld.insurance.arkansas.gov/NPILookup?Npi=1205025269","1205025269")</f>
        <v>1205025269</v>
      </c>
      <c r="E22607" s="1" t="s">
        <v>25994</v>
      </c>
      <c r="F22607" s="2"/>
      <c r="G22607" s="2"/>
      <c r="H22607" s="2"/>
    </row>
    <row r="22608" spans="1:8" x14ac:dyDescent="0.25">
      <c r="A22608" s="1"/>
      <c r="B22608" s="1" t="s">
        <v>7328</v>
      </c>
      <c r="C22608" s="1" t="s">
        <v>7329</v>
      </c>
      <c r="D22608" s="22" t="str">
        <f>HYPERLINK("https://rhld.insurance.arkansas.gov/NPILookup?Npi=1205026440","1205026440")</f>
        <v>1205026440</v>
      </c>
      <c r="E22608" s="1" t="s">
        <v>7530</v>
      </c>
      <c r="F22608" s="2"/>
      <c r="G22608" s="2"/>
      <c r="H22608" s="2"/>
    </row>
    <row r="22609" spans="1:8" x14ac:dyDescent="0.25">
      <c r="A22609" s="1"/>
      <c r="B22609" s="1" t="s">
        <v>7328</v>
      </c>
      <c r="C22609" s="1" t="s">
        <v>7329</v>
      </c>
      <c r="D22609" s="22" t="str">
        <f>HYPERLINK("https://rhld.insurance.arkansas.gov/NPILookup?Npi=1205030335","1205030335")</f>
        <v>1205030335</v>
      </c>
      <c r="E22609" s="1" t="s">
        <v>25995</v>
      </c>
      <c r="F22609" s="2"/>
      <c r="G22609" s="2"/>
      <c r="H22609" s="2"/>
    </row>
    <row r="22610" spans="1:8" x14ac:dyDescent="0.25">
      <c r="A22610" s="1"/>
      <c r="B22610" s="1" t="s">
        <v>7328</v>
      </c>
      <c r="C22610" s="1" t="s">
        <v>7329</v>
      </c>
      <c r="D22610" s="22" t="str">
        <f>HYPERLINK("https://rhld.insurance.arkansas.gov/NPILookup?Npi=1205032745","1205032745")</f>
        <v>1205032745</v>
      </c>
      <c r="E22610" s="1" t="s">
        <v>17302</v>
      </c>
      <c r="F22610" s="2"/>
      <c r="G22610" s="2"/>
      <c r="H22610" s="2"/>
    </row>
    <row r="22611" spans="1:8" x14ac:dyDescent="0.25">
      <c r="A22611" s="1"/>
      <c r="B22611" s="1" t="s">
        <v>7328</v>
      </c>
      <c r="C22611" s="1" t="s">
        <v>7329</v>
      </c>
      <c r="D22611" s="22" t="str">
        <f>HYPERLINK("https://rhld.insurance.arkansas.gov/NPILookup?Npi=1205037611","1205037611")</f>
        <v>1205037611</v>
      </c>
      <c r="E22611" s="1" t="s">
        <v>15936</v>
      </c>
      <c r="F22611" s="2"/>
      <c r="G22611" s="2"/>
      <c r="H22611" s="2"/>
    </row>
    <row r="22612" spans="1:8" x14ac:dyDescent="0.25">
      <c r="A22612" s="1"/>
      <c r="B22612" s="1" t="s">
        <v>7328</v>
      </c>
      <c r="C22612" s="1" t="s">
        <v>7329</v>
      </c>
      <c r="D22612" s="22" t="str">
        <f>HYPERLINK("https://rhld.insurance.arkansas.gov/NPILookup?Npi=1205043510","1205043510")</f>
        <v>1205043510</v>
      </c>
      <c r="E22612" s="1" t="s">
        <v>25996</v>
      </c>
      <c r="F22612" s="2"/>
      <c r="G22612" s="2"/>
      <c r="H22612" s="2"/>
    </row>
    <row r="22613" spans="1:8" x14ac:dyDescent="0.25">
      <c r="A22613" s="1"/>
      <c r="B22613" s="1" t="s">
        <v>7328</v>
      </c>
      <c r="C22613" s="1" t="s">
        <v>7329</v>
      </c>
      <c r="D22613" s="22" t="str">
        <f>HYPERLINK("https://rhld.insurance.arkansas.gov/NPILookup?Npi=1205047610","1205047610")</f>
        <v>1205047610</v>
      </c>
      <c r="E22613" s="1" t="s">
        <v>25997</v>
      </c>
      <c r="F22613" s="2"/>
      <c r="G22613" s="2"/>
      <c r="H22613" s="2"/>
    </row>
    <row r="22614" spans="1:8" x14ac:dyDescent="0.25">
      <c r="A22614" s="1"/>
      <c r="B22614" s="1" t="s">
        <v>7328</v>
      </c>
      <c r="C22614" s="1" t="s">
        <v>7329</v>
      </c>
      <c r="D22614" s="22" t="str">
        <f>HYPERLINK("https://rhld.insurance.arkansas.gov/NPILookup?Npi=1205057957","1205057957")</f>
        <v>1205057957</v>
      </c>
      <c r="E22614" s="1" t="s">
        <v>1475</v>
      </c>
      <c r="F22614" s="2"/>
      <c r="G22614" s="2"/>
      <c r="H22614" s="2"/>
    </row>
    <row r="22615" spans="1:8" x14ac:dyDescent="0.25">
      <c r="A22615" s="1"/>
      <c r="B22615" s="1" t="s">
        <v>7328</v>
      </c>
      <c r="C22615" s="1" t="s">
        <v>7329</v>
      </c>
      <c r="D22615" s="22" t="str">
        <f>HYPERLINK("https://rhld.insurance.arkansas.gov/NPILookup?Npi=1205064581","1205064581")</f>
        <v>1205064581</v>
      </c>
      <c r="E22615" s="1" t="s">
        <v>1751</v>
      </c>
      <c r="F22615" s="2"/>
      <c r="G22615" s="2"/>
      <c r="H22615" s="2"/>
    </row>
    <row r="22616" spans="1:8" x14ac:dyDescent="0.25">
      <c r="A22616" s="1"/>
      <c r="B22616" s="1" t="s">
        <v>7328</v>
      </c>
      <c r="C22616" s="1" t="s">
        <v>7329</v>
      </c>
      <c r="D22616" s="22" t="str">
        <f>HYPERLINK("https://rhld.insurance.arkansas.gov/NPILookup?Npi=1205069630","1205069630")</f>
        <v>1205069630</v>
      </c>
      <c r="E22616" s="1" t="s">
        <v>12834</v>
      </c>
      <c r="F22616" s="2"/>
      <c r="G22616" s="2"/>
      <c r="H22616" s="2"/>
    </row>
    <row r="22617" spans="1:8" x14ac:dyDescent="0.25">
      <c r="A22617" s="1"/>
      <c r="B22617" s="1" t="s">
        <v>7328</v>
      </c>
      <c r="C22617" s="1" t="s">
        <v>7329</v>
      </c>
      <c r="D22617" s="22" t="str">
        <f>HYPERLINK("https://rhld.insurance.arkansas.gov/NPILookup?Npi=1205076403","1205076403")</f>
        <v>1205076403</v>
      </c>
      <c r="E22617" s="1" t="s">
        <v>21497</v>
      </c>
      <c r="F22617" s="2"/>
      <c r="G22617" s="2"/>
      <c r="H22617" s="2"/>
    </row>
    <row r="22618" spans="1:8" x14ac:dyDescent="0.25">
      <c r="A22618" s="1"/>
      <c r="B22618" s="1" t="s">
        <v>7328</v>
      </c>
      <c r="C22618" s="1" t="s">
        <v>7329</v>
      </c>
      <c r="D22618" s="22" t="str">
        <f>HYPERLINK("https://rhld.insurance.arkansas.gov/NPILookup?Npi=1205078482","1205078482")</f>
        <v>1205078482</v>
      </c>
      <c r="E22618" s="1" t="s">
        <v>2689</v>
      </c>
      <c r="F22618" s="2"/>
      <c r="G22618" s="2"/>
      <c r="H22618" s="2"/>
    </row>
    <row r="22619" spans="1:8" x14ac:dyDescent="0.25">
      <c r="A22619" s="1"/>
      <c r="B22619" s="1" t="s">
        <v>7328</v>
      </c>
      <c r="C22619" s="1" t="s">
        <v>7329</v>
      </c>
      <c r="D22619" s="22" t="str">
        <f>HYPERLINK("https://rhld.insurance.arkansas.gov/NPILookup?Npi=1205093085","1205093085")</f>
        <v>1205093085</v>
      </c>
      <c r="E22619" s="1" t="s">
        <v>2690</v>
      </c>
      <c r="F22619" s="2"/>
      <c r="G22619" s="2"/>
      <c r="H22619" s="2"/>
    </row>
    <row r="22620" spans="1:8" x14ac:dyDescent="0.25">
      <c r="A22620" s="1"/>
      <c r="B22620" s="1" t="s">
        <v>7328</v>
      </c>
      <c r="C22620" s="1" t="s">
        <v>7329</v>
      </c>
      <c r="D22620" s="22" t="str">
        <f>HYPERLINK("https://rhld.insurance.arkansas.gov/NPILookup?Npi=1205096351","1205096351")</f>
        <v>1205096351</v>
      </c>
      <c r="E22620" s="1" t="s">
        <v>25998</v>
      </c>
      <c r="F22620" s="2"/>
      <c r="G22620" s="2"/>
      <c r="H22620" s="2"/>
    </row>
    <row r="22621" spans="1:8" x14ac:dyDescent="0.25">
      <c r="A22621" s="1"/>
      <c r="B22621" s="1" t="s">
        <v>7328</v>
      </c>
      <c r="C22621" s="1" t="s">
        <v>7329</v>
      </c>
      <c r="D22621" s="22" t="str">
        <f>HYPERLINK("https://rhld.insurance.arkansas.gov/NPILookup?Npi=1205097987","1205097987")</f>
        <v>1205097987</v>
      </c>
      <c r="E22621" s="1" t="s">
        <v>25999</v>
      </c>
      <c r="F22621" s="2"/>
      <c r="G22621" s="2"/>
      <c r="H22621" s="2"/>
    </row>
    <row r="22622" spans="1:8" x14ac:dyDescent="0.25">
      <c r="A22622" s="1"/>
      <c r="B22622" s="1" t="s">
        <v>7328</v>
      </c>
      <c r="C22622" s="1" t="s">
        <v>7329</v>
      </c>
      <c r="D22622" s="22" t="str">
        <f>HYPERLINK("https://rhld.insurance.arkansas.gov/NPILookup?Npi=1205114295","1205114295")</f>
        <v>1205114295</v>
      </c>
      <c r="E22622" s="1" t="s">
        <v>7531</v>
      </c>
      <c r="F22622" s="2"/>
      <c r="G22622" s="2"/>
      <c r="H22622" s="2"/>
    </row>
    <row r="22623" spans="1:8" x14ac:dyDescent="0.25">
      <c r="A22623" s="1"/>
      <c r="B22623" s="1" t="s">
        <v>7328</v>
      </c>
      <c r="C22623" s="1" t="s">
        <v>7329</v>
      </c>
      <c r="D22623" s="22" t="str">
        <f>HYPERLINK("https://rhld.insurance.arkansas.gov/NPILookup?Npi=1205118858","1205118858")</f>
        <v>1205118858</v>
      </c>
      <c r="E22623" s="1" t="s">
        <v>32149</v>
      </c>
      <c r="F22623" s="2"/>
      <c r="G22623" s="2"/>
      <c r="H22623" s="2"/>
    </row>
    <row r="22624" spans="1:8" x14ac:dyDescent="0.25">
      <c r="A22624" s="1"/>
      <c r="B22624" s="1" t="s">
        <v>7328</v>
      </c>
      <c r="C22624" s="1" t="s">
        <v>7329</v>
      </c>
      <c r="D22624" s="22" t="str">
        <f>HYPERLINK("https://rhld.insurance.arkansas.gov/NPILookup?Npi=1205148210","1205148210")</f>
        <v>1205148210</v>
      </c>
      <c r="E22624" s="1" t="s">
        <v>26000</v>
      </c>
      <c r="F22624" s="2"/>
      <c r="G22624" s="2"/>
      <c r="H22624" s="2"/>
    </row>
    <row r="22625" spans="1:8" x14ac:dyDescent="0.25">
      <c r="A22625" s="1"/>
      <c r="B22625" s="1" t="s">
        <v>7328</v>
      </c>
      <c r="C22625" s="1" t="s">
        <v>7329</v>
      </c>
      <c r="D22625" s="22" t="str">
        <f>HYPERLINK("https://rhld.insurance.arkansas.gov/NPILookup?Npi=1205179298","1205179298")</f>
        <v>1205179298</v>
      </c>
      <c r="E22625" s="1" t="s">
        <v>26001</v>
      </c>
      <c r="F22625" s="2"/>
      <c r="G22625" s="2"/>
      <c r="H22625" s="2"/>
    </row>
    <row r="22626" spans="1:8" x14ac:dyDescent="0.25">
      <c r="A22626" s="1"/>
      <c r="B22626" s="1" t="s">
        <v>7328</v>
      </c>
      <c r="C22626" s="1" t="s">
        <v>7329</v>
      </c>
      <c r="D22626" s="22" t="str">
        <f>HYPERLINK("https://rhld.insurance.arkansas.gov/NPILookup?Npi=1205181559","1205181559")</f>
        <v>1205181559</v>
      </c>
      <c r="E22626" s="1" t="s">
        <v>7532</v>
      </c>
      <c r="F22626" s="2"/>
      <c r="G22626" s="2"/>
      <c r="H22626" s="2"/>
    </row>
    <row r="22627" spans="1:8" x14ac:dyDescent="0.25">
      <c r="A22627" s="1"/>
      <c r="B22627" s="1" t="s">
        <v>7328</v>
      </c>
      <c r="C22627" s="1" t="s">
        <v>7329</v>
      </c>
      <c r="D22627" s="22" t="str">
        <f>HYPERLINK("https://rhld.insurance.arkansas.gov/NPILookup?Npi=1205202504","1205202504")</f>
        <v>1205202504</v>
      </c>
      <c r="E22627" s="1" t="s">
        <v>26002</v>
      </c>
      <c r="F22627" s="2"/>
      <c r="G22627" s="2"/>
      <c r="H22627" s="2"/>
    </row>
    <row r="22628" spans="1:8" x14ac:dyDescent="0.25">
      <c r="A22628" s="1"/>
      <c r="B22628" s="1" t="s">
        <v>7328</v>
      </c>
      <c r="C22628" s="1" t="s">
        <v>7329</v>
      </c>
      <c r="D22628" s="22" t="str">
        <f>HYPERLINK("https://rhld.insurance.arkansas.gov/NPILookup?Npi=1205220654","1205220654")</f>
        <v>1205220654</v>
      </c>
      <c r="E22628" s="1" t="s">
        <v>17305</v>
      </c>
      <c r="F22628" s="2"/>
      <c r="G22628" s="2"/>
      <c r="H22628" s="2"/>
    </row>
    <row r="22629" spans="1:8" x14ac:dyDescent="0.25">
      <c r="A22629" s="1"/>
      <c r="B22629" s="1" t="s">
        <v>7328</v>
      </c>
      <c r="C22629" s="1" t="s">
        <v>7329</v>
      </c>
      <c r="D22629" s="22" t="str">
        <f>HYPERLINK("https://rhld.insurance.arkansas.gov/NPILookup?Npi=1205224870","1205224870")</f>
        <v>1205224870</v>
      </c>
      <c r="E22629" s="1" t="s">
        <v>12835</v>
      </c>
      <c r="F22629" s="2"/>
      <c r="G22629" s="2"/>
      <c r="H22629" s="2"/>
    </row>
    <row r="22630" spans="1:8" x14ac:dyDescent="0.25">
      <c r="A22630" s="1"/>
      <c r="B22630" s="1" t="s">
        <v>7328</v>
      </c>
      <c r="C22630" s="1" t="s">
        <v>7329</v>
      </c>
      <c r="D22630" s="22" t="str">
        <f>HYPERLINK("https://rhld.insurance.arkansas.gov/NPILookup?Npi=1205226925","1205226925")</f>
        <v>1205226925</v>
      </c>
      <c r="E22630" s="1" t="s">
        <v>26003</v>
      </c>
      <c r="F22630" s="2"/>
      <c r="G22630" s="2"/>
      <c r="H22630" s="2"/>
    </row>
    <row r="22631" spans="1:8" x14ac:dyDescent="0.25">
      <c r="A22631" s="1"/>
      <c r="B22631" s="1" t="s">
        <v>7328</v>
      </c>
      <c r="C22631" s="1" t="s">
        <v>7329</v>
      </c>
      <c r="D22631" s="22" t="str">
        <f>HYPERLINK("https://rhld.insurance.arkansas.gov/NPILookup?Npi=1205240041","1205240041")</f>
        <v>1205240041</v>
      </c>
      <c r="E22631" s="1" t="s">
        <v>1987</v>
      </c>
      <c r="F22631" s="2"/>
      <c r="G22631" s="2"/>
      <c r="H22631" s="2"/>
    </row>
    <row r="22632" spans="1:8" x14ac:dyDescent="0.25">
      <c r="A22632" s="1"/>
      <c r="B22632" s="1" t="s">
        <v>7328</v>
      </c>
      <c r="C22632" s="1" t="s">
        <v>7329</v>
      </c>
      <c r="D22632" s="22" t="str">
        <f>HYPERLINK("https://rhld.insurance.arkansas.gov/NPILookup?Npi=1205240439","1205240439")</f>
        <v>1205240439</v>
      </c>
      <c r="E22632" s="1" t="s">
        <v>26004</v>
      </c>
      <c r="F22632" s="2"/>
      <c r="G22632" s="2"/>
      <c r="H22632" s="2"/>
    </row>
    <row r="22633" spans="1:8" x14ac:dyDescent="0.25">
      <c r="A22633" s="1"/>
      <c r="B22633" s="1" t="s">
        <v>7328</v>
      </c>
      <c r="C22633" s="1" t="s">
        <v>7329</v>
      </c>
      <c r="D22633" s="22" t="str">
        <f>HYPERLINK("https://rhld.insurance.arkansas.gov/NPILookup?Npi=1205292968","1205292968")</f>
        <v>1205292968</v>
      </c>
      <c r="E22633" s="1" t="s">
        <v>2691</v>
      </c>
      <c r="F22633" s="2"/>
      <c r="G22633" s="2"/>
      <c r="H22633" s="2"/>
    </row>
    <row r="22634" spans="1:8" x14ac:dyDescent="0.25">
      <c r="A22634" s="1"/>
      <c r="B22634" s="1" t="s">
        <v>7328</v>
      </c>
      <c r="C22634" s="1" t="s">
        <v>7329</v>
      </c>
      <c r="D22634" s="22" t="str">
        <f>HYPERLINK("https://rhld.insurance.arkansas.gov/NPILookup?Npi=1205293198","1205293198")</f>
        <v>1205293198</v>
      </c>
      <c r="E22634" s="1" t="s">
        <v>7533</v>
      </c>
      <c r="F22634" s="2"/>
      <c r="G22634" s="2"/>
      <c r="H22634" s="2"/>
    </row>
    <row r="22635" spans="1:8" x14ac:dyDescent="0.25">
      <c r="A22635" s="1"/>
      <c r="B22635" s="1" t="s">
        <v>7328</v>
      </c>
      <c r="C22635" s="1" t="s">
        <v>7329</v>
      </c>
      <c r="D22635" s="22" t="str">
        <f>HYPERLINK("https://rhld.insurance.arkansas.gov/NPILookup?Npi=1205293750","1205293750")</f>
        <v>1205293750</v>
      </c>
      <c r="E22635" s="1" t="s">
        <v>2370</v>
      </c>
      <c r="F22635" s="2"/>
      <c r="G22635" s="2"/>
      <c r="H22635" s="2"/>
    </row>
    <row r="22636" spans="1:8" x14ac:dyDescent="0.25">
      <c r="A22636" s="1"/>
      <c r="B22636" s="1" t="s">
        <v>7328</v>
      </c>
      <c r="C22636" s="1" t="s">
        <v>7329</v>
      </c>
      <c r="D22636" s="22" t="str">
        <f>HYPERLINK("https://rhld.insurance.arkansas.gov/NPILookup?Npi=1205305307","1205305307")</f>
        <v>1205305307</v>
      </c>
      <c r="E22636" s="1" t="s">
        <v>32150</v>
      </c>
      <c r="F22636" s="2"/>
      <c r="G22636" s="2"/>
      <c r="H22636" s="2"/>
    </row>
    <row r="22637" spans="1:8" x14ac:dyDescent="0.25">
      <c r="A22637" s="1"/>
      <c r="B22637" s="1" t="s">
        <v>7328</v>
      </c>
      <c r="C22637" s="1" t="s">
        <v>7329</v>
      </c>
      <c r="D22637" s="22" t="str">
        <f>HYPERLINK("https://rhld.insurance.arkansas.gov/NPILookup?Npi=1205314432","1205314432")</f>
        <v>1205314432</v>
      </c>
      <c r="E22637" s="1" t="s">
        <v>1374</v>
      </c>
      <c r="F22637" s="2"/>
      <c r="G22637" s="2"/>
      <c r="H22637" s="2"/>
    </row>
    <row r="22638" spans="1:8" x14ac:dyDescent="0.25">
      <c r="A22638" s="1"/>
      <c r="B22638" s="1" t="s">
        <v>7328</v>
      </c>
      <c r="C22638" s="1" t="s">
        <v>7329</v>
      </c>
      <c r="D22638" s="22" t="str">
        <f>HYPERLINK("https://rhld.insurance.arkansas.gov/NPILookup?Npi=1205315637","1205315637")</f>
        <v>1205315637</v>
      </c>
      <c r="E22638" s="1" t="s">
        <v>12836</v>
      </c>
      <c r="F22638" s="2"/>
      <c r="G22638" s="2"/>
      <c r="H22638" s="2"/>
    </row>
    <row r="22639" spans="1:8" x14ac:dyDescent="0.25">
      <c r="A22639" s="1"/>
      <c r="B22639" s="1" t="s">
        <v>7328</v>
      </c>
      <c r="C22639" s="1" t="s">
        <v>7329</v>
      </c>
      <c r="D22639" s="22" t="str">
        <f>HYPERLINK("https://rhld.insurance.arkansas.gov/NPILookup?Npi=1205315900","1205315900")</f>
        <v>1205315900</v>
      </c>
      <c r="E22639" s="1" t="s">
        <v>26005</v>
      </c>
      <c r="F22639" s="2"/>
      <c r="G22639" s="2"/>
      <c r="H22639" s="2"/>
    </row>
    <row r="22640" spans="1:8" x14ac:dyDescent="0.25">
      <c r="A22640" s="1"/>
      <c r="B22640" s="1" t="s">
        <v>7328</v>
      </c>
      <c r="C22640" s="1" t="s">
        <v>7329</v>
      </c>
      <c r="D22640" s="22" t="str">
        <f>HYPERLINK("https://rhld.insurance.arkansas.gov/NPILookup?Npi=1205325487","1205325487")</f>
        <v>1205325487</v>
      </c>
      <c r="E22640" s="1" t="s">
        <v>26006</v>
      </c>
      <c r="F22640" s="2"/>
      <c r="G22640" s="2"/>
      <c r="H22640" s="2"/>
    </row>
    <row r="22641" spans="1:8" x14ac:dyDescent="0.25">
      <c r="A22641" s="1"/>
      <c r="B22641" s="1" t="s">
        <v>7328</v>
      </c>
      <c r="C22641" s="1" t="s">
        <v>7329</v>
      </c>
      <c r="D22641" s="22" t="str">
        <f>HYPERLINK("https://rhld.insurance.arkansas.gov/NPILookup?Npi=1205340395","1205340395")</f>
        <v>1205340395</v>
      </c>
      <c r="E22641" s="1" t="s">
        <v>26007</v>
      </c>
      <c r="F22641" s="2"/>
      <c r="G22641" s="2"/>
      <c r="H22641" s="2"/>
    </row>
    <row r="22642" spans="1:8" x14ac:dyDescent="0.25">
      <c r="A22642" s="1"/>
      <c r="B22642" s="1" t="s">
        <v>7328</v>
      </c>
      <c r="C22642" s="1" t="s">
        <v>7329</v>
      </c>
      <c r="D22642" s="22" t="str">
        <f>HYPERLINK("https://rhld.insurance.arkansas.gov/NPILookup?Npi=1205344041","1205344041")</f>
        <v>1205344041</v>
      </c>
      <c r="E22642" s="1" t="s">
        <v>26008</v>
      </c>
      <c r="F22642" s="2"/>
      <c r="G22642" s="2"/>
      <c r="H22642" s="2"/>
    </row>
    <row r="22643" spans="1:8" x14ac:dyDescent="0.25">
      <c r="A22643" s="1"/>
      <c r="B22643" s="1" t="s">
        <v>7328</v>
      </c>
      <c r="C22643" s="1" t="s">
        <v>7329</v>
      </c>
      <c r="D22643" s="22" t="str">
        <f>HYPERLINK("https://rhld.insurance.arkansas.gov/NPILookup?Npi=1205345386","1205345386")</f>
        <v>1205345386</v>
      </c>
      <c r="E22643" s="1" t="s">
        <v>2692</v>
      </c>
      <c r="F22643" s="2"/>
      <c r="G22643" s="2"/>
      <c r="H22643" s="2"/>
    </row>
    <row r="22644" spans="1:8" x14ac:dyDescent="0.25">
      <c r="A22644" s="1"/>
      <c r="B22644" s="1" t="s">
        <v>7328</v>
      </c>
      <c r="C22644" s="1" t="s">
        <v>7329</v>
      </c>
      <c r="D22644" s="22" t="str">
        <f>HYPERLINK("https://rhld.insurance.arkansas.gov/NPILookup?Npi=1205347390","1205347390")</f>
        <v>1205347390</v>
      </c>
      <c r="E22644" s="1" t="s">
        <v>2126</v>
      </c>
      <c r="F22644" s="2"/>
      <c r="G22644" s="2"/>
      <c r="H22644" s="2"/>
    </row>
    <row r="22645" spans="1:8" x14ac:dyDescent="0.25">
      <c r="A22645" s="1"/>
      <c r="B22645" s="1" t="s">
        <v>7328</v>
      </c>
      <c r="C22645" s="1" t="s">
        <v>7329</v>
      </c>
      <c r="D22645" s="22" t="str">
        <f>HYPERLINK("https://rhld.insurance.arkansas.gov/NPILookup?Npi=1205354271","1205354271")</f>
        <v>1205354271</v>
      </c>
      <c r="E22645" s="1" t="s">
        <v>26009</v>
      </c>
      <c r="F22645" s="2"/>
      <c r="G22645" s="2"/>
      <c r="H22645" s="2"/>
    </row>
    <row r="22646" spans="1:8" x14ac:dyDescent="0.25">
      <c r="A22646" s="1"/>
      <c r="B22646" s="1" t="s">
        <v>7328</v>
      </c>
      <c r="C22646" s="1" t="s">
        <v>7329</v>
      </c>
      <c r="D22646" s="22" t="str">
        <f>HYPERLINK("https://rhld.insurance.arkansas.gov/NPILookup?Npi=1205355526","1205355526")</f>
        <v>1205355526</v>
      </c>
      <c r="E22646" s="1" t="s">
        <v>1021</v>
      </c>
      <c r="F22646" s="2"/>
      <c r="G22646" s="2"/>
      <c r="H22646" s="2"/>
    </row>
    <row r="22647" spans="1:8" x14ac:dyDescent="0.25">
      <c r="A22647" s="1"/>
      <c r="B22647" s="1" t="s">
        <v>7328</v>
      </c>
      <c r="C22647" s="1" t="s">
        <v>7329</v>
      </c>
      <c r="D22647" s="22" t="str">
        <f>HYPERLINK("https://rhld.insurance.arkansas.gov/NPILookup?Npi=1205356565","1205356565")</f>
        <v>1205356565</v>
      </c>
      <c r="E22647" s="1" t="s">
        <v>26010</v>
      </c>
      <c r="F22647" s="2"/>
      <c r="G22647" s="2"/>
      <c r="H22647" s="2"/>
    </row>
    <row r="22648" spans="1:8" x14ac:dyDescent="0.25">
      <c r="A22648" s="1"/>
      <c r="B22648" s="1" t="s">
        <v>7328</v>
      </c>
      <c r="C22648" s="1" t="s">
        <v>7329</v>
      </c>
      <c r="D22648" s="22" t="str">
        <f>HYPERLINK("https://rhld.insurance.arkansas.gov/NPILookup?Npi=1205362969","1205362969")</f>
        <v>1205362969</v>
      </c>
      <c r="E22648" s="1" t="s">
        <v>843</v>
      </c>
      <c r="F22648" s="2"/>
      <c r="G22648" s="2"/>
      <c r="H22648" s="2"/>
    </row>
    <row r="22649" spans="1:8" x14ac:dyDescent="0.25">
      <c r="A22649" s="1"/>
      <c r="B22649" s="1" t="s">
        <v>7328</v>
      </c>
      <c r="C22649" s="1" t="s">
        <v>7329</v>
      </c>
      <c r="D22649" s="22" t="str">
        <f>HYPERLINK("https://rhld.insurance.arkansas.gov/NPILookup?Npi=1205376712","1205376712")</f>
        <v>1205376712</v>
      </c>
      <c r="E22649" s="1" t="s">
        <v>26011</v>
      </c>
      <c r="F22649" s="2"/>
      <c r="G22649" s="2"/>
      <c r="H22649" s="2"/>
    </row>
    <row r="22650" spans="1:8" x14ac:dyDescent="0.25">
      <c r="A22650" s="1"/>
      <c r="B22650" s="1" t="s">
        <v>7328</v>
      </c>
      <c r="C22650" s="1" t="s">
        <v>7329</v>
      </c>
      <c r="D22650" s="22" t="str">
        <f>HYPERLINK("https://rhld.insurance.arkansas.gov/NPILookup?Npi=1205386604","1205386604")</f>
        <v>1205386604</v>
      </c>
      <c r="E22650" s="1" t="s">
        <v>26012</v>
      </c>
      <c r="F22650" s="2"/>
      <c r="G22650" s="2"/>
      <c r="H22650" s="2"/>
    </row>
    <row r="22651" spans="1:8" x14ac:dyDescent="0.25">
      <c r="A22651" s="1"/>
      <c r="B22651" s="1" t="s">
        <v>7328</v>
      </c>
      <c r="C22651" s="1" t="s">
        <v>7329</v>
      </c>
      <c r="D22651" s="22" t="str">
        <f>HYPERLINK("https://rhld.insurance.arkansas.gov/NPILookup?Npi=1205388212","1205388212")</f>
        <v>1205388212</v>
      </c>
      <c r="E22651" s="1" t="s">
        <v>2693</v>
      </c>
      <c r="F22651" s="2"/>
      <c r="G22651" s="2"/>
      <c r="H22651" s="2"/>
    </row>
    <row r="22652" spans="1:8" x14ac:dyDescent="0.25">
      <c r="A22652" s="1"/>
      <c r="B22652" s="1" t="s">
        <v>7328</v>
      </c>
      <c r="C22652" s="1" t="s">
        <v>7329</v>
      </c>
      <c r="D22652" s="22" t="str">
        <f>HYPERLINK("https://rhld.insurance.arkansas.gov/NPILookup?Npi=1205389632","1205389632")</f>
        <v>1205389632</v>
      </c>
      <c r="E22652" s="1" t="s">
        <v>26013</v>
      </c>
      <c r="F22652" s="2"/>
      <c r="G22652" s="2"/>
      <c r="H22652" s="2"/>
    </row>
    <row r="22653" spans="1:8" x14ac:dyDescent="0.25">
      <c r="A22653" s="1"/>
      <c r="B22653" s="1" t="s">
        <v>7328</v>
      </c>
      <c r="C22653" s="1" t="s">
        <v>7329</v>
      </c>
      <c r="D22653" s="22" t="str">
        <f>HYPERLINK("https://rhld.insurance.arkansas.gov/NPILookup?Npi=1205392164","1205392164")</f>
        <v>1205392164</v>
      </c>
      <c r="E22653" s="1" t="s">
        <v>1294</v>
      </c>
      <c r="F22653" s="2"/>
      <c r="G22653" s="2"/>
      <c r="H22653" s="2"/>
    </row>
    <row r="22654" spans="1:8" x14ac:dyDescent="0.25">
      <c r="A22654" s="1"/>
      <c r="B22654" s="1" t="s">
        <v>7328</v>
      </c>
      <c r="C22654" s="1" t="s">
        <v>7329</v>
      </c>
      <c r="D22654" s="22" t="str">
        <f>HYPERLINK("https://rhld.insurance.arkansas.gov/NPILookup?Npi=1205392396","1205392396")</f>
        <v>1205392396</v>
      </c>
      <c r="E22654" s="1" t="s">
        <v>26014</v>
      </c>
      <c r="F22654" s="2"/>
      <c r="G22654" s="2"/>
      <c r="H22654" s="2"/>
    </row>
    <row r="22655" spans="1:8" x14ac:dyDescent="0.25">
      <c r="A22655" s="1"/>
      <c r="B22655" s="1" t="s">
        <v>7328</v>
      </c>
      <c r="C22655" s="1" t="s">
        <v>7329</v>
      </c>
      <c r="D22655" s="22" t="str">
        <f>HYPERLINK("https://rhld.insurance.arkansas.gov/NPILookup?Npi=1205397304","1205397304")</f>
        <v>1205397304</v>
      </c>
      <c r="E22655" s="1" t="s">
        <v>17306</v>
      </c>
      <c r="F22655" s="2"/>
      <c r="G22655" s="2"/>
      <c r="H22655" s="2"/>
    </row>
    <row r="22656" spans="1:8" x14ac:dyDescent="0.25">
      <c r="A22656" s="1"/>
      <c r="B22656" s="1" t="s">
        <v>7328</v>
      </c>
      <c r="C22656" s="1" t="s">
        <v>7329</v>
      </c>
      <c r="D22656" s="22" t="str">
        <f>HYPERLINK("https://rhld.insurance.arkansas.gov/NPILookup?Npi=1205397809","1205397809")</f>
        <v>1205397809</v>
      </c>
      <c r="E22656" s="1" t="s">
        <v>7534</v>
      </c>
      <c r="F22656" s="2"/>
      <c r="G22656" s="2"/>
      <c r="H22656" s="2"/>
    </row>
    <row r="22657" spans="1:8" x14ac:dyDescent="0.25">
      <c r="A22657" s="1"/>
      <c r="B22657" s="1" t="s">
        <v>7328</v>
      </c>
      <c r="C22657" s="1" t="s">
        <v>7329</v>
      </c>
      <c r="D22657" s="22" t="str">
        <f>HYPERLINK("https://rhld.insurance.arkansas.gov/NPILookup?Npi=1205402351","1205402351")</f>
        <v>1205402351</v>
      </c>
      <c r="E22657" s="1" t="s">
        <v>7535</v>
      </c>
      <c r="F22657" s="2"/>
      <c r="G22657" s="2"/>
      <c r="H22657" s="2"/>
    </row>
    <row r="22658" spans="1:8" x14ac:dyDescent="0.25">
      <c r="A22658" s="1"/>
      <c r="B22658" s="1" t="s">
        <v>7328</v>
      </c>
      <c r="C22658" s="1" t="s">
        <v>7329</v>
      </c>
      <c r="D22658" s="22" t="str">
        <f>HYPERLINK("https://rhld.insurance.arkansas.gov/NPILookup?Npi=1205406709","1205406709")</f>
        <v>1205406709</v>
      </c>
      <c r="E22658" s="1" t="s">
        <v>26015</v>
      </c>
      <c r="F22658" s="2"/>
      <c r="G22658" s="2"/>
      <c r="H22658" s="2"/>
    </row>
    <row r="22659" spans="1:8" x14ac:dyDescent="0.25">
      <c r="A22659" s="1"/>
      <c r="B22659" s="1" t="s">
        <v>7328</v>
      </c>
      <c r="C22659" s="1" t="s">
        <v>7329</v>
      </c>
      <c r="D22659" s="22" t="str">
        <f>HYPERLINK("https://rhld.insurance.arkansas.gov/NPILookup?Npi=1205407962","1205407962")</f>
        <v>1205407962</v>
      </c>
      <c r="E22659" s="1" t="s">
        <v>26016</v>
      </c>
      <c r="F22659" s="2"/>
      <c r="G22659" s="2"/>
      <c r="H22659" s="2"/>
    </row>
    <row r="22660" spans="1:8" x14ac:dyDescent="0.25">
      <c r="A22660" s="1"/>
      <c r="B22660" s="1" t="s">
        <v>7328</v>
      </c>
      <c r="C22660" s="1" t="s">
        <v>7329</v>
      </c>
      <c r="D22660" s="22" t="str">
        <f>HYPERLINK("https://rhld.insurance.arkansas.gov/NPILookup?Npi=1205415064","1205415064")</f>
        <v>1205415064</v>
      </c>
      <c r="E22660" s="1" t="s">
        <v>7536</v>
      </c>
      <c r="F22660" s="2"/>
      <c r="G22660" s="2"/>
      <c r="H22660" s="2"/>
    </row>
    <row r="22661" spans="1:8" x14ac:dyDescent="0.25">
      <c r="A22661" s="1"/>
      <c r="B22661" s="1" t="s">
        <v>7328</v>
      </c>
      <c r="C22661" s="1" t="s">
        <v>7329</v>
      </c>
      <c r="D22661" s="22" t="str">
        <f>HYPERLINK("https://rhld.insurance.arkansas.gov/NPILookup?Npi=1205415791","1205415791")</f>
        <v>1205415791</v>
      </c>
      <c r="E22661" s="1" t="s">
        <v>26017</v>
      </c>
      <c r="F22661" s="2"/>
      <c r="G22661" s="2"/>
      <c r="H22661" s="2"/>
    </row>
    <row r="22662" spans="1:8" x14ac:dyDescent="0.25">
      <c r="A22662" s="1"/>
      <c r="B22662" s="1" t="s">
        <v>7328</v>
      </c>
      <c r="C22662" s="1" t="s">
        <v>7329</v>
      </c>
      <c r="D22662" s="22" t="str">
        <f>HYPERLINK("https://rhld.insurance.arkansas.gov/NPILookup?Npi=1205426145","1205426145")</f>
        <v>1205426145</v>
      </c>
      <c r="E22662" s="1" t="s">
        <v>26018</v>
      </c>
      <c r="F22662" s="2"/>
      <c r="G22662" s="2"/>
      <c r="H22662" s="2"/>
    </row>
    <row r="22663" spans="1:8" x14ac:dyDescent="0.25">
      <c r="A22663" s="1"/>
      <c r="B22663" s="1" t="s">
        <v>7328</v>
      </c>
      <c r="C22663" s="1" t="s">
        <v>7329</v>
      </c>
      <c r="D22663" s="22" t="str">
        <f>HYPERLINK("https://rhld.insurance.arkansas.gov/NPILookup?Npi=1205428604","1205428604")</f>
        <v>1205428604</v>
      </c>
      <c r="E22663" s="1" t="s">
        <v>12837</v>
      </c>
      <c r="F22663" s="2"/>
      <c r="G22663" s="2"/>
      <c r="H22663" s="2"/>
    </row>
    <row r="22664" spans="1:8" x14ac:dyDescent="0.25">
      <c r="A22664" s="1"/>
      <c r="B22664" s="1" t="s">
        <v>7328</v>
      </c>
      <c r="C22664" s="1" t="s">
        <v>7329</v>
      </c>
      <c r="D22664" s="22" t="str">
        <f>HYPERLINK("https://rhld.insurance.arkansas.gov/NPILookup?Npi=1205434719","1205434719")</f>
        <v>1205434719</v>
      </c>
      <c r="E22664" s="1" t="s">
        <v>26019</v>
      </c>
      <c r="F22664" s="2"/>
      <c r="G22664" s="2"/>
      <c r="H22664" s="2"/>
    </row>
    <row r="22665" spans="1:8" x14ac:dyDescent="0.25">
      <c r="A22665" s="1"/>
      <c r="B22665" s="1" t="s">
        <v>7328</v>
      </c>
      <c r="C22665" s="1" t="s">
        <v>7329</v>
      </c>
      <c r="D22665" s="22" t="str">
        <f>HYPERLINK("https://rhld.insurance.arkansas.gov/NPILookup?Npi=1205499019","1205499019")</f>
        <v>1205499019</v>
      </c>
      <c r="E22665" s="1" t="s">
        <v>2694</v>
      </c>
      <c r="F22665" s="2"/>
      <c r="G22665" s="2"/>
      <c r="H22665" s="2"/>
    </row>
    <row r="22666" spans="1:8" x14ac:dyDescent="0.25">
      <c r="A22666" s="1"/>
      <c r="B22666" s="1" t="s">
        <v>7328</v>
      </c>
      <c r="C22666" s="1" t="s">
        <v>7329</v>
      </c>
      <c r="D22666" s="22" t="str">
        <f>HYPERLINK("https://rhld.insurance.arkansas.gov/NPILookup?Npi=1205504750","1205504750")</f>
        <v>1205504750</v>
      </c>
      <c r="E22666" s="1" t="s">
        <v>26020</v>
      </c>
      <c r="F22666" s="2"/>
      <c r="G22666" s="2"/>
      <c r="H22666" s="2"/>
    </row>
    <row r="22667" spans="1:8" x14ac:dyDescent="0.25">
      <c r="A22667" s="1"/>
      <c r="B22667" s="1" t="s">
        <v>7328</v>
      </c>
      <c r="C22667" s="1" t="s">
        <v>7329</v>
      </c>
      <c r="D22667" s="22" t="str">
        <f>HYPERLINK("https://rhld.insurance.arkansas.gov/NPILookup?Npi=1205507985","1205507985")</f>
        <v>1205507985</v>
      </c>
      <c r="E22667" s="1" t="s">
        <v>26021</v>
      </c>
      <c r="F22667" s="2"/>
      <c r="G22667" s="2"/>
      <c r="H22667" s="2"/>
    </row>
    <row r="22668" spans="1:8" x14ac:dyDescent="0.25">
      <c r="A22668" s="1"/>
      <c r="B22668" s="1" t="s">
        <v>7328</v>
      </c>
      <c r="C22668" s="1" t="s">
        <v>7329</v>
      </c>
      <c r="D22668" s="22" t="str">
        <f>HYPERLINK("https://rhld.insurance.arkansas.gov/NPILookup?Npi=1205508140","1205508140")</f>
        <v>1205508140</v>
      </c>
      <c r="E22668" s="1" t="s">
        <v>7537</v>
      </c>
      <c r="F22668" s="2"/>
      <c r="G22668" s="2"/>
      <c r="H22668" s="2"/>
    </row>
    <row r="22669" spans="1:8" x14ac:dyDescent="0.25">
      <c r="A22669" s="1"/>
      <c r="B22669" s="1" t="s">
        <v>7328</v>
      </c>
      <c r="C22669" s="1" t="s">
        <v>7329</v>
      </c>
      <c r="D22669" s="22" t="str">
        <f>HYPERLINK("https://rhld.insurance.arkansas.gov/NPILookup?Npi=1205511433","1205511433")</f>
        <v>1205511433</v>
      </c>
      <c r="E22669" s="1" t="s">
        <v>7538</v>
      </c>
      <c r="F22669" s="2"/>
      <c r="G22669" s="2"/>
      <c r="H22669" s="2"/>
    </row>
    <row r="22670" spans="1:8" x14ac:dyDescent="0.25">
      <c r="A22670" s="1"/>
      <c r="B22670" s="1" t="s">
        <v>7328</v>
      </c>
      <c r="C22670" s="1" t="s">
        <v>7329</v>
      </c>
      <c r="D22670" s="22" t="str">
        <f>HYPERLINK("https://rhld.insurance.arkansas.gov/NPILookup?Npi=1205560901","1205560901")</f>
        <v>1205560901</v>
      </c>
      <c r="E22670" s="1" t="s">
        <v>7539</v>
      </c>
      <c r="F22670" s="2"/>
      <c r="G22670" s="2"/>
      <c r="H22670" s="2"/>
    </row>
    <row r="22671" spans="1:8" x14ac:dyDescent="0.25">
      <c r="A22671" s="1"/>
      <c r="B22671" s="1" t="s">
        <v>7328</v>
      </c>
      <c r="C22671" s="1" t="s">
        <v>7329</v>
      </c>
      <c r="D22671" s="22" t="str">
        <f>HYPERLINK("https://rhld.insurance.arkansas.gov/NPILookup?Npi=1205561222","1205561222")</f>
        <v>1205561222</v>
      </c>
      <c r="E22671" s="1" t="s">
        <v>26022</v>
      </c>
      <c r="F22671" s="2"/>
      <c r="G22671" s="2"/>
      <c r="H22671" s="2"/>
    </row>
    <row r="22672" spans="1:8" x14ac:dyDescent="0.25">
      <c r="A22672" s="1"/>
      <c r="B22672" s="1" t="s">
        <v>7328</v>
      </c>
      <c r="C22672" s="1" t="s">
        <v>7329</v>
      </c>
      <c r="D22672" s="22" t="str">
        <f>HYPERLINK("https://rhld.insurance.arkansas.gov/NPILookup?Npi=1205580834","1205580834")</f>
        <v>1205580834</v>
      </c>
      <c r="E22672" s="1" t="s">
        <v>26023</v>
      </c>
      <c r="F22672" s="2"/>
      <c r="G22672" s="2"/>
      <c r="H22672" s="2"/>
    </row>
    <row r="22673" spans="1:8" x14ac:dyDescent="0.25">
      <c r="A22673" s="1"/>
      <c r="B22673" s="1" t="s">
        <v>7328</v>
      </c>
      <c r="C22673" s="1" t="s">
        <v>7329</v>
      </c>
      <c r="D22673" s="22" t="str">
        <f>HYPERLINK("https://rhld.insurance.arkansas.gov/NPILookup?Npi=1205583077","1205583077")</f>
        <v>1205583077</v>
      </c>
      <c r="E22673" s="1" t="s">
        <v>12838</v>
      </c>
      <c r="F22673" s="2"/>
      <c r="G22673" s="2"/>
      <c r="H22673" s="2"/>
    </row>
    <row r="22674" spans="1:8" x14ac:dyDescent="0.25">
      <c r="A22674" s="1"/>
      <c r="B22674" s="1" t="s">
        <v>7328</v>
      </c>
      <c r="C22674" s="1" t="s">
        <v>7329</v>
      </c>
      <c r="D22674" s="22" t="str">
        <f>HYPERLINK("https://rhld.insurance.arkansas.gov/NPILookup?Npi=1205588589","1205588589")</f>
        <v>1205588589</v>
      </c>
      <c r="E22674" s="1" t="s">
        <v>26024</v>
      </c>
      <c r="F22674" s="2"/>
      <c r="G22674" s="2"/>
      <c r="H22674" s="2"/>
    </row>
    <row r="22675" spans="1:8" x14ac:dyDescent="0.25">
      <c r="A22675" s="1"/>
      <c r="B22675" s="1" t="s">
        <v>7328</v>
      </c>
      <c r="C22675" s="1" t="s">
        <v>7329</v>
      </c>
      <c r="D22675" s="22" t="str">
        <f>HYPERLINK("https://rhld.insurance.arkansas.gov/NPILookup?Npi=1205589058","1205589058")</f>
        <v>1205589058</v>
      </c>
      <c r="E22675" s="1" t="s">
        <v>26025</v>
      </c>
      <c r="F22675" s="2"/>
      <c r="G22675" s="2"/>
      <c r="H22675" s="2"/>
    </row>
    <row r="22676" spans="1:8" x14ac:dyDescent="0.25">
      <c r="A22676" s="1"/>
      <c r="B22676" s="1" t="s">
        <v>7328</v>
      </c>
      <c r="C22676" s="1" t="s">
        <v>7329</v>
      </c>
      <c r="D22676" s="22" t="str">
        <f>HYPERLINK("https://rhld.insurance.arkansas.gov/NPILookup?Npi=1205593068","1205593068")</f>
        <v>1205593068</v>
      </c>
      <c r="E22676" s="1" t="s">
        <v>12839</v>
      </c>
      <c r="F22676" s="2"/>
      <c r="G22676" s="2"/>
      <c r="H22676" s="2"/>
    </row>
    <row r="22677" spans="1:8" x14ac:dyDescent="0.25">
      <c r="A22677" s="1"/>
      <c r="B22677" s="1" t="s">
        <v>7328</v>
      </c>
      <c r="C22677" s="1" t="s">
        <v>7329</v>
      </c>
      <c r="D22677" s="22" t="str">
        <f>HYPERLINK("https://rhld.insurance.arkansas.gov/NPILookup?Npi=1205598505","1205598505")</f>
        <v>1205598505</v>
      </c>
      <c r="E22677" s="1" t="s">
        <v>26026</v>
      </c>
      <c r="F22677" s="2"/>
      <c r="G22677" s="2"/>
      <c r="H22677" s="2"/>
    </row>
    <row r="22678" spans="1:8" x14ac:dyDescent="0.25">
      <c r="A22678" s="1"/>
      <c r="B22678" s="1" t="s">
        <v>7328</v>
      </c>
      <c r="C22678" s="1" t="s">
        <v>7329</v>
      </c>
      <c r="D22678" s="22" t="str">
        <f>HYPERLINK("https://rhld.insurance.arkansas.gov/NPILookup?Npi=1205599917","1205599917")</f>
        <v>1205599917</v>
      </c>
      <c r="E22678" s="1" t="s">
        <v>26027</v>
      </c>
      <c r="F22678" s="2"/>
      <c r="G22678" s="2"/>
      <c r="H22678" s="2"/>
    </row>
    <row r="22679" spans="1:8" x14ac:dyDescent="0.25">
      <c r="A22679" s="1"/>
      <c r="B22679" s="1" t="s">
        <v>7328</v>
      </c>
      <c r="C22679" s="1" t="s">
        <v>7329</v>
      </c>
      <c r="D22679" s="22" t="str">
        <f>HYPERLINK("https://rhld.insurance.arkansas.gov/NPILookup?Npi=1205611597","1205611597")</f>
        <v>1205611597</v>
      </c>
      <c r="E22679" s="1" t="s">
        <v>4522</v>
      </c>
      <c r="F22679" s="2"/>
      <c r="G22679" s="2"/>
      <c r="H22679" s="2"/>
    </row>
    <row r="22680" spans="1:8" x14ac:dyDescent="0.25">
      <c r="A22680" s="1"/>
      <c r="B22680" s="1" t="s">
        <v>7328</v>
      </c>
      <c r="C22680" s="1" t="s">
        <v>7329</v>
      </c>
      <c r="D22680" s="22" t="str">
        <f>HYPERLINK("https://rhld.insurance.arkansas.gov/NPILookup?Npi=1205646296","1205646296")</f>
        <v>1205646296</v>
      </c>
      <c r="E22680" s="1" t="s">
        <v>32151</v>
      </c>
      <c r="F22680" s="2"/>
      <c r="G22680" s="2"/>
      <c r="H22680" s="2"/>
    </row>
    <row r="22681" spans="1:8" x14ac:dyDescent="0.25">
      <c r="A22681" s="1"/>
      <c r="B22681" s="1" t="s">
        <v>7328</v>
      </c>
      <c r="C22681" s="1" t="s">
        <v>7329</v>
      </c>
      <c r="D22681" s="22" t="str">
        <f>HYPERLINK("https://rhld.insurance.arkansas.gov/NPILookup?Npi=1205679727","1205679727")</f>
        <v>1205679727</v>
      </c>
      <c r="E22681" s="1" t="s">
        <v>21517</v>
      </c>
      <c r="F22681" s="2"/>
      <c r="G22681" s="2"/>
      <c r="H22681" s="2"/>
    </row>
    <row r="22682" spans="1:8" x14ac:dyDescent="0.25">
      <c r="A22682" s="1"/>
      <c r="B22682" s="1" t="s">
        <v>7328</v>
      </c>
      <c r="C22682" s="1" t="s">
        <v>7329</v>
      </c>
      <c r="D22682" s="22" t="str">
        <f>HYPERLINK("https://rhld.insurance.arkansas.gov/NPILookup?Npi=1205682366","1205682366")</f>
        <v>1205682366</v>
      </c>
      <c r="E22682" s="1" t="s">
        <v>26028</v>
      </c>
      <c r="F22682" s="2"/>
      <c r="G22682" s="2"/>
      <c r="H22682" s="2"/>
    </row>
    <row r="22683" spans="1:8" x14ac:dyDescent="0.25">
      <c r="A22683" s="1"/>
      <c r="B22683" s="1" t="s">
        <v>7328</v>
      </c>
      <c r="C22683" s="1" t="s">
        <v>7329</v>
      </c>
      <c r="D22683" s="22" t="str">
        <f>HYPERLINK("https://rhld.insurance.arkansas.gov/NPILookup?Npi=1205811247","1205811247")</f>
        <v>1205811247</v>
      </c>
      <c r="E22683" s="1" t="s">
        <v>26029</v>
      </c>
      <c r="F22683" s="2"/>
      <c r="G22683" s="2"/>
      <c r="H22683" s="2"/>
    </row>
    <row r="22684" spans="1:8" x14ac:dyDescent="0.25">
      <c r="A22684" s="1"/>
      <c r="B22684" s="1" t="s">
        <v>7328</v>
      </c>
      <c r="C22684" s="1" t="s">
        <v>7329</v>
      </c>
      <c r="D22684" s="22" t="str">
        <f>HYPERLINK("https://rhld.insurance.arkansas.gov/NPILookup?Npi=1205814654","1205814654")</f>
        <v>1205814654</v>
      </c>
      <c r="E22684" s="1" t="s">
        <v>26030</v>
      </c>
      <c r="F22684" s="2"/>
      <c r="G22684" s="2"/>
      <c r="H22684" s="2"/>
    </row>
    <row r="22685" spans="1:8" x14ac:dyDescent="0.25">
      <c r="A22685" s="1"/>
      <c r="B22685" s="1" t="s">
        <v>7328</v>
      </c>
      <c r="C22685" s="1" t="s">
        <v>7329</v>
      </c>
      <c r="D22685" s="22" t="str">
        <f>HYPERLINK("https://rhld.insurance.arkansas.gov/NPILookup?Npi=1205826187","1205826187")</f>
        <v>1205826187</v>
      </c>
      <c r="E22685" s="1" t="s">
        <v>26031</v>
      </c>
      <c r="F22685" s="2"/>
      <c r="G22685" s="2"/>
      <c r="H22685" s="2"/>
    </row>
    <row r="22686" spans="1:8" x14ac:dyDescent="0.25">
      <c r="A22686" s="1"/>
      <c r="B22686" s="1" t="s">
        <v>7328</v>
      </c>
      <c r="C22686" s="1" t="s">
        <v>7329</v>
      </c>
      <c r="D22686" s="22" t="str">
        <f>HYPERLINK("https://rhld.insurance.arkansas.gov/NPILookup?Npi=1205829710","1205829710")</f>
        <v>1205829710</v>
      </c>
      <c r="E22686" s="1" t="s">
        <v>2695</v>
      </c>
      <c r="F22686" s="2"/>
      <c r="G22686" s="2"/>
      <c r="H22686" s="2"/>
    </row>
    <row r="22687" spans="1:8" x14ac:dyDescent="0.25">
      <c r="A22687" s="1"/>
      <c r="B22687" s="1" t="s">
        <v>7328</v>
      </c>
      <c r="C22687" s="1" t="s">
        <v>7329</v>
      </c>
      <c r="D22687" s="22" t="str">
        <f>HYPERLINK("https://rhld.insurance.arkansas.gov/NPILookup?Npi=1205832219","1205832219")</f>
        <v>1205832219</v>
      </c>
      <c r="E22687" s="1" t="s">
        <v>1988</v>
      </c>
      <c r="F22687" s="2"/>
      <c r="G22687" s="2"/>
      <c r="H22687" s="2"/>
    </row>
    <row r="22688" spans="1:8" x14ac:dyDescent="0.25">
      <c r="A22688" s="1"/>
      <c r="B22688" s="1" t="s">
        <v>7328</v>
      </c>
      <c r="C22688" s="1" t="s">
        <v>7329</v>
      </c>
      <c r="D22688" s="22" t="str">
        <f>HYPERLINK("https://rhld.insurance.arkansas.gov/NPILookup?Npi=1205832920","1205832920")</f>
        <v>1205832920</v>
      </c>
      <c r="E22688" s="1" t="s">
        <v>26032</v>
      </c>
      <c r="F22688" s="2"/>
      <c r="G22688" s="2"/>
      <c r="H22688" s="2"/>
    </row>
    <row r="22689" spans="1:8" x14ac:dyDescent="0.25">
      <c r="A22689" s="1"/>
      <c r="B22689" s="1" t="s">
        <v>7328</v>
      </c>
      <c r="C22689" s="1" t="s">
        <v>7329</v>
      </c>
      <c r="D22689" s="22" t="str">
        <f>HYPERLINK("https://rhld.insurance.arkansas.gov/NPILookup?Npi=1205833738","1205833738")</f>
        <v>1205833738</v>
      </c>
      <c r="E22689" s="1" t="s">
        <v>12840</v>
      </c>
      <c r="F22689" s="2"/>
      <c r="G22689" s="2"/>
      <c r="H22689" s="2"/>
    </row>
    <row r="22690" spans="1:8" x14ac:dyDescent="0.25">
      <c r="A22690" s="1"/>
      <c r="B22690" s="1" t="s">
        <v>7328</v>
      </c>
      <c r="C22690" s="1" t="s">
        <v>7329</v>
      </c>
      <c r="D22690" s="22" t="str">
        <f>HYPERLINK("https://rhld.insurance.arkansas.gov/NPILookup?Npi=1205846813","1205846813")</f>
        <v>1205846813</v>
      </c>
      <c r="E22690" s="1" t="s">
        <v>26033</v>
      </c>
      <c r="F22690" s="2"/>
      <c r="G22690" s="2"/>
      <c r="H22690" s="2"/>
    </row>
    <row r="22691" spans="1:8" x14ac:dyDescent="0.25">
      <c r="A22691" s="1"/>
      <c r="B22691" s="1" t="s">
        <v>7328</v>
      </c>
      <c r="C22691" s="1" t="s">
        <v>7329</v>
      </c>
      <c r="D22691" s="22" t="str">
        <f>HYPERLINK("https://rhld.insurance.arkansas.gov/NPILookup?Npi=1205850542","1205850542")</f>
        <v>1205850542</v>
      </c>
      <c r="E22691" s="1" t="s">
        <v>26034</v>
      </c>
      <c r="F22691" s="2"/>
      <c r="G22691" s="2"/>
      <c r="H22691" s="2"/>
    </row>
    <row r="22692" spans="1:8" x14ac:dyDescent="0.25">
      <c r="A22692" s="1"/>
      <c r="B22692" s="1" t="s">
        <v>7328</v>
      </c>
      <c r="C22692" s="1" t="s">
        <v>7329</v>
      </c>
      <c r="D22692" s="22" t="str">
        <f>HYPERLINK("https://rhld.insurance.arkansas.gov/NPILookup?Npi=1205858651","1205858651")</f>
        <v>1205858651</v>
      </c>
      <c r="E22692" s="1" t="s">
        <v>26035</v>
      </c>
      <c r="F22692" s="2"/>
      <c r="G22692" s="2"/>
      <c r="H22692" s="2"/>
    </row>
    <row r="22693" spans="1:8" x14ac:dyDescent="0.25">
      <c r="A22693" s="1"/>
      <c r="B22693" s="1" t="s">
        <v>7328</v>
      </c>
      <c r="C22693" s="1" t="s">
        <v>7329</v>
      </c>
      <c r="D22693" s="22" t="str">
        <f>HYPERLINK("https://rhld.insurance.arkansas.gov/NPILookup?Npi=1205867843","1205867843")</f>
        <v>1205867843</v>
      </c>
      <c r="E22693" s="1" t="s">
        <v>97</v>
      </c>
      <c r="F22693" s="2"/>
      <c r="G22693" s="2"/>
      <c r="H22693" s="2"/>
    </row>
    <row r="22694" spans="1:8" x14ac:dyDescent="0.25">
      <c r="A22694" s="1"/>
      <c r="B22694" s="1" t="s">
        <v>7328</v>
      </c>
      <c r="C22694" s="1" t="s">
        <v>7329</v>
      </c>
      <c r="D22694" s="22" t="str">
        <f>HYPERLINK("https://rhld.insurance.arkansas.gov/NPILookup?Npi=1205875846","1205875846")</f>
        <v>1205875846</v>
      </c>
      <c r="E22694" s="1" t="s">
        <v>26036</v>
      </c>
      <c r="F22694" s="2"/>
      <c r="G22694" s="2"/>
      <c r="H22694" s="2"/>
    </row>
    <row r="22695" spans="1:8" x14ac:dyDescent="0.25">
      <c r="A22695" s="1"/>
      <c r="B22695" s="1" t="s">
        <v>7328</v>
      </c>
      <c r="C22695" s="1" t="s">
        <v>7329</v>
      </c>
      <c r="D22695" s="22" t="str">
        <f>HYPERLINK("https://rhld.insurance.arkansas.gov/NPILookup?Npi=1205878105","1205878105")</f>
        <v>1205878105</v>
      </c>
      <c r="E22695" s="1" t="s">
        <v>26037</v>
      </c>
      <c r="F22695" s="2"/>
      <c r="G22695" s="2"/>
      <c r="H22695" s="2"/>
    </row>
    <row r="22696" spans="1:8" x14ac:dyDescent="0.25">
      <c r="A22696" s="1"/>
      <c r="B22696" s="1" t="s">
        <v>7328</v>
      </c>
      <c r="C22696" s="1" t="s">
        <v>7329</v>
      </c>
      <c r="D22696" s="22" t="str">
        <f>HYPERLINK("https://rhld.insurance.arkansas.gov/NPILookup?Npi=1205884640","1205884640")</f>
        <v>1205884640</v>
      </c>
      <c r="E22696" s="1" t="s">
        <v>26038</v>
      </c>
      <c r="F22696" s="2"/>
      <c r="G22696" s="2"/>
      <c r="H22696" s="2"/>
    </row>
    <row r="22697" spans="1:8" x14ac:dyDescent="0.25">
      <c r="A22697" s="1"/>
      <c r="B22697" s="1" t="s">
        <v>7328</v>
      </c>
      <c r="C22697" s="1" t="s">
        <v>7329</v>
      </c>
      <c r="D22697" s="22" t="str">
        <f>HYPERLINK("https://rhld.insurance.arkansas.gov/NPILookup?Npi=1205886090","1205886090")</f>
        <v>1205886090</v>
      </c>
      <c r="E22697" s="1" t="s">
        <v>26039</v>
      </c>
      <c r="F22697" s="2"/>
      <c r="G22697" s="2"/>
      <c r="H22697" s="2"/>
    </row>
    <row r="22698" spans="1:8" x14ac:dyDescent="0.25">
      <c r="A22698" s="1"/>
      <c r="B22698" s="1" t="s">
        <v>7328</v>
      </c>
      <c r="C22698" s="1" t="s">
        <v>7329</v>
      </c>
      <c r="D22698" s="22" t="str">
        <f>HYPERLINK("https://rhld.insurance.arkansas.gov/NPILookup?Npi=1205895448","1205895448")</f>
        <v>1205895448</v>
      </c>
      <c r="E22698" s="1" t="s">
        <v>626</v>
      </c>
      <c r="F22698" s="2"/>
      <c r="G22698" s="2"/>
      <c r="H22698" s="2"/>
    </row>
    <row r="22699" spans="1:8" x14ac:dyDescent="0.25">
      <c r="A22699" s="1"/>
      <c r="B22699" s="1" t="s">
        <v>7328</v>
      </c>
      <c r="C22699" s="1" t="s">
        <v>7329</v>
      </c>
      <c r="D22699" s="22" t="str">
        <f>HYPERLINK("https://rhld.insurance.arkansas.gov/NPILookup?Npi=1205896347","1205896347")</f>
        <v>1205896347</v>
      </c>
      <c r="E22699" s="1" t="s">
        <v>17309</v>
      </c>
      <c r="F22699" s="2"/>
      <c r="G22699" s="2"/>
      <c r="H22699" s="2"/>
    </row>
    <row r="22700" spans="1:8" x14ac:dyDescent="0.25">
      <c r="A22700" s="1"/>
      <c r="B22700" s="1" t="s">
        <v>7328</v>
      </c>
      <c r="C22700" s="1" t="s">
        <v>7329</v>
      </c>
      <c r="D22700" s="22" t="str">
        <f>HYPERLINK("https://rhld.insurance.arkansas.gov/NPILookup?Npi=1205899572","1205899572")</f>
        <v>1205899572</v>
      </c>
      <c r="E22700" s="1" t="s">
        <v>12841</v>
      </c>
      <c r="F22700" s="2"/>
      <c r="G22700" s="2"/>
      <c r="H22700" s="2"/>
    </row>
    <row r="22701" spans="1:8" x14ac:dyDescent="0.25">
      <c r="A22701" s="1"/>
      <c r="B22701" s="1" t="s">
        <v>7328</v>
      </c>
      <c r="C22701" s="1" t="s">
        <v>7329</v>
      </c>
      <c r="D22701" s="22" t="str">
        <f>HYPERLINK("https://rhld.insurance.arkansas.gov/NPILookup?Npi=1205916806","1205916806")</f>
        <v>1205916806</v>
      </c>
      <c r="E22701" s="1" t="s">
        <v>844</v>
      </c>
      <c r="F22701" s="2"/>
      <c r="G22701" s="2"/>
      <c r="H22701" s="2"/>
    </row>
    <row r="22702" spans="1:8" x14ac:dyDescent="0.25">
      <c r="A22702" s="1"/>
      <c r="B22702" s="1" t="s">
        <v>7328</v>
      </c>
      <c r="C22702" s="1" t="s">
        <v>7329</v>
      </c>
      <c r="D22702" s="22" t="str">
        <f>HYPERLINK("https://rhld.insurance.arkansas.gov/NPILookup?Npi=1205923471","1205923471")</f>
        <v>1205923471</v>
      </c>
      <c r="E22702" s="1" t="s">
        <v>20082</v>
      </c>
      <c r="F22702" s="2"/>
      <c r="G22702" s="2"/>
      <c r="H22702" s="2"/>
    </row>
    <row r="22703" spans="1:8" x14ac:dyDescent="0.25">
      <c r="A22703" s="1"/>
      <c r="B22703" s="1" t="s">
        <v>7328</v>
      </c>
      <c r="C22703" s="1" t="s">
        <v>7329</v>
      </c>
      <c r="D22703" s="22" t="str">
        <f>HYPERLINK("https://rhld.insurance.arkansas.gov/NPILookup?Npi=1205934957","1205934957")</f>
        <v>1205934957</v>
      </c>
      <c r="E22703" s="1" t="s">
        <v>26040</v>
      </c>
      <c r="F22703" s="2"/>
      <c r="G22703" s="2"/>
      <c r="H22703" s="2"/>
    </row>
    <row r="22704" spans="1:8" x14ac:dyDescent="0.25">
      <c r="A22704" s="1"/>
      <c r="B22704" s="1" t="s">
        <v>7328</v>
      </c>
      <c r="C22704" s="1" t="s">
        <v>7329</v>
      </c>
      <c r="D22704" s="22" t="str">
        <f>HYPERLINK("https://rhld.insurance.arkansas.gov/NPILookup?Npi=1205937695","1205937695")</f>
        <v>1205937695</v>
      </c>
      <c r="E22704" s="1" t="s">
        <v>26041</v>
      </c>
      <c r="F22704" s="2"/>
      <c r="G22704" s="2"/>
      <c r="H22704" s="2"/>
    </row>
    <row r="22705" spans="1:8" x14ac:dyDescent="0.25">
      <c r="A22705" s="1"/>
      <c r="B22705" s="1" t="s">
        <v>7328</v>
      </c>
      <c r="C22705" s="1" t="s">
        <v>7329</v>
      </c>
      <c r="D22705" s="22" t="str">
        <f>HYPERLINK("https://rhld.insurance.arkansas.gov/NPILookup?Npi=1205943289","1205943289")</f>
        <v>1205943289</v>
      </c>
      <c r="E22705" s="1" t="s">
        <v>17187</v>
      </c>
      <c r="F22705" s="2"/>
      <c r="G22705" s="2"/>
      <c r="H22705" s="2"/>
    </row>
    <row r="22706" spans="1:8" x14ac:dyDescent="0.25">
      <c r="A22706" s="1"/>
      <c r="B22706" s="1" t="s">
        <v>7328</v>
      </c>
      <c r="C22706" s="1" t="s">
        <v>7329</v>
      </c>
      <c r="D22706" s="22" t="str">
        <f>HYPERLINK("https://rhld.insurance.arkansas.gov/NPILookup?Npi=1205948247","1205948247")</f>
        <v>1205948247</v>
      </c>
      <c r="E22706" s="1" t="s">
        <v>17310</v>
      </c>
      <c r="F22706" s="2"/>
      <c r="G22706" s="2"/>
      <c r="H22706" s="2"/>
    </row>
    <row r="22707" spans="1:8" x14ac:dyDescent="0.25">
      <c r="A22707" s="1"/>
      <c r="B22707" s="1" t="s">
        <v>7328</v>
      </c>
      <c r="C22707" s="1" t="s">
        <v>7329</v>
      </c>
      <c r="D22707" s="22" t="str">
        <f>HYPERLINK("https://rhld.insurance.arkansas.gov/NPILookup?Npi=1205970365","1205970365")</f>
        <v>1205970365</v>
      </c>
      <c r="E22707" s="1" t="s">
        <v>3643</v>
      </c>
      <c r="F22707" s="2"/>
      <c r="G22707" s="2"/>
      <c r="H22707" s="2"/>
    </row>
    <row r="22708" spans="1:8" x14ac:dyDescent="0.25">
      <c r="A22708" s="1"/>
      <c r="B22708" s="1" t="s">
        <v>7328</v>
      </c>
      <c r="C22708" s="1" t="s">
        <v>7329</v>
      </c>
      <c r="D22708" s="22" t="str">
        <f>HYPERLINK("https://rhld.insurance.arkansas.gov/NPILookup?Npi=1205974649","1205974649")</f>
        <v>1205974649</v>
      </c>
      <c r="E22708" s="1" t="s">
        <v>7540</v>
      </c>
      <c r="F22708" s="2"/>
      <c r="G22708" s="2"/>
      <c r="H22708" s="2"/>
    </row>
    <row r="22709" spans="1:8" x14ac:dyDescent="0.25">
      <c r="A22709" s="1"/>
      <c r="B22709" s="1" t="s">
        <v>7328</v>
      </c>
      <c r="C22709" s="1" t="s">
        <v>7329</v>
      </c>
      <c r="D22709" s="22" t="str">
        <f>HYPERLINK("https://rhld.insurance.arkansas.gov/NPILookup?Npi=1205979341","1205979341")</f>
        <v>1205979341</v>
      </c>
      <c r="E22709" s="1" t="s">
        <v>26042</v>
      </c>
      <c r="F22709" s="2"/>
      <c r="G22709" s="2"/>
      <c r="H22709" s="2"/>
    </row>
    <row r="22710" spans="1:8" x14ac:dyDescent="0.25">
      <c r="A22710" s="1"/>
      <c r="B22710" s="1" t="s">
        <v>7328</v>
      </c>
      <c r="C22710" s="1" t="s">
        <v>7329</v>
      </c>
      <c r="D22710" s="22" t="str">
        <f>HYPERLINK("https://rhld.insurance.arkansas.gov/NPILookup?Npi=1215044052","1215044052")</f>
        <v>1215044052</v>
      </c>
      <c r="E22710" s="1" t="s">
        <v>26043</v>
      </c>
      <c r="F22710" s="2"/>
      <c r="G22710" s="2"/>
      <c r="H22710" s="2"/>
    </row>
    <row r="22711" spans="1:8" x14ac:dyDescent="0.25">
      <c r="A22711" s="1"/>
      <c r="B22711" s="1" t="s">
        <v>7328</v>
      </c>
      <c r="C22711" s="1" t="s">
        <v>7329</v>
      </c>
      <c r="D22711" s="22" t="str">
        <f>HYPERLINK("https://rhld.insurance.arkansas.gov/NPILookup?Npi=1215051628","1215051628")</f>
        <v>1215051628</v>
      </c>
      <c r="E22711" s="1" t="s">
        <v>728</v>
      </c>
      <c r="F22711" s="2"/>
      <c r="G22711" s="2"/>
      <c r="H22711" s="2"/>
    </row>
    <row r="22712" spans="1:8" x14ac:dyDescent="0.25">
      <c r="A22712" s="1"/>
      <c r="B22712" s="1" t="s">
        <v>7328</v>
      </c>
      <c r="C22712" s="1" t="s">
        <v>7329</v>
      </c>
      <c r="D22712" s="22" t="str">
        <f>HYPERLINK("https://rhld.insurance.arkansas.gov/NPILookup?Npi=1215065867","1215065867")</f>
        <v>1215065867</v>
      </c>
      <c r="E22712" s="1" t="s">
        <v>26044</v>
      </c>
      <c r="F22712" s="2"/>
      <c r="G22712" s="2"/>
      <c r="H22712" s="2"/>
    </row>
    <row r="22713" spans="1:8" x14ac:dyDescent="0.25">
      <c r="A22713" s="1"/>
      <c r="B22713" s="1" t="s">
        <v>7328</v>
      </c>
      <c r="C22713" s="1" t="s">
        <v>7329</v>
      </c>
      <c r="D22713" s="22" t="str">
        <f>HYPERLINK("https://rhld.insurance.arkansas.gov/NPILookup?Npi=1215082458","1215082458")</f>
        <v>1215082458</v>
      </c>
      <c r="E22713" s="1" t="s">
        <v>9749</v>
      </c>
      <c r="F22713" s="2"/>
      <c r="G22713" s="2"/>
      <c r="H22713" s="2"/>
    </row>
    <row r="22714" spans="1:8" x14ac:dyDescent="0.25">
      <c r="A22714" s="1"/>
      <c r="B22714" s="1" t="s">
        <v>7328</v>
      </c>
      <c r="C22714" s="1" t="s">
        <v>7329</v>
      </c>
      <c r="D22714" s="22" t="str">
        <f>HYPERLINK("https://rhld.insurance.arkansas.gov/NPILookup?Npi=1215083993","1215083993")</f>
        <v>1215083993</v>
      </c>
      <c r="E22714" s="1" t="s">
        <v>26045</v>
      </c>
      <c r="F22714" s="2"/>
      <c r="G22714" s="2"/>
      <c r="H22714" s="2"/>
    </row>
    <row r="22715" spans="1:8" x14ac:dyDescent="0.25">
      <c r="A22715" s="1"/>
      <c r="B22715" s="1" t="s">
        <v>7328</v>
      </c>
      <c r="C22715" s="1" t="s">
        <v>7329</v>
      </c>
      <c r="D22715" s="22" t="str">
        <f>HYPERLINK("https://rhld.insurance.arkansas.gov/NPILookup?Npi=1215138227","1215138227")</f>
        <v>1215138227</v>
      </c>
      <c r="E22715" s="1" t="s">
        <v>12843</v>
      </c>
      <c r="F22715" s="2"/>
      <c r="G22715" s="2"/>
      <c r="H22715" s="2"/>
    </row>
    <row r="22716" spans="1:8" x14ac:dyDescent="0.25">
      <c r="A22716" s="1"/>
      <c r="B22716" s="1" t="s">
        <v>7328</v>
      </c>
      <c r="C22716" s="1" t="s">
        <v>7329</v>
      </c>
      <c r="D22716" s="22" t="str">
        <f>HYPERLINK("https://rhld.insurance.arkansas.gov/NPILookup?Npi=1215154398","1215154398")</f>
        <v>1215154398</v>
      </c>
      <c r="E22716" s="1" t="s">
        <v>26046</v>
      </c>
      <c r="F22716" s="2"/>
      <c r="G22716" s="2"/>
      <c r="H22716" s="2"/>
    </row>
    <row r="22717" spans="1:8" x14ac:dyDescent="0.25">
      <c r="A22717" s="1"/>
      <c r="B22717" s="1" t="s">
        <v>7328</v>
      </c>
      <c r="C22717" s="1" t="s">
        <v>7329</v>
      </c>
      <c r="D22717" s="22" t="str">
        <f>HYPERLINK("https://rhld.insurance.arkansas.gov/NPILookup?Npi=1215164629","1215164629")</f>
        <v>1215164629</v>
      </c>
      <c r="E22717" s="1" t="s">
        <v>12844</v>
      </c>
      <c r="F22717" s="2"/>
      <c r="G22717" s="2"/>
      <c r="H22717" s="2"/>
    </row>
    <row r="22718" spans="1:8" x14ac:dyDescent="0.25">
      <c r="A22718" s="1"/>
      <c r="B22718" s="1" t="s">
        <v>7328</v>
      </c>
      <c r="C22718" s="1" t="s">
        <v>7329</v>
      </c>
      <c r="D22718" s="22" t="str">
        <f>HYPERLINK("https://rhld.insurance.arkansas.gov/NPILookup?Npi=1215165311","1215165311")</f>
        <v>1215165311</v>
      </c>
      <c r="E22718" s="1" t="s">
        <v>7541</v>
      </c>
      <c r="F22718" s="2"/>
      <c r="G22718" s="2"/>
      <c r="H22718" s="2"/>
    </row>
    <row r="22719" spans="1:8" x14ac:dyDescent="0.25">
      <c r="A22719" s="1"/>
      <c r="B22719" s="1" t="s">
        <v>7328</v>
      </c>
      <c r="C22719" s="1" t="s">
        <v>7329</v>
      </c>
      <c r="D22719" s="22" t="str">
        <f>HYPERLINK("https://rhld.insurance.arkansas.gov/NPILookup?Npi=1215165576","1215165576")</f>
        <v>1215165576</v>
      </c>
      <c r="E22719" s="1" t="s">
        <v>2697</v>
      </c>
      <c r="F22719" s="2"/>
      <c r="G22719" s="2"/>
      <c r="H22719" s="2"/>
    </row>
    <row r="22720" spans="1:8" x14ac:dyDescent="0.25">
      <c r="A22720" s="1"/>
      <c r="B22720" s="1" t="s">
        <v>7328</v>
      </c>
      <c r="C22720" s="1" t="s">
        <v>7329</v>
      </c>
      <c r="D22720" s="22" t="str">
        <f>HYPERLINK("https://rhld.insurance.arkansas.gov/NPILookup?Npi=1215167150","1215167150")</f>
        <v>1215167150</v>
      </c>
      <c r="E22720" s="1" t="s">
        <v>1085</v>
      </c>
      <c r="F22720" s="2"/>
      <c r="G22720" s="2"/>
      <c r="H22720" s="2"/>
    </row>
    <row r="22721" spans="1:8" x14ac:dyDescent="0.25">
      <c r="A22721" s="1"/>
      <c r="B22721" s="1" t="s">
        <v>7328</v>
      </c>
      <c r="C22721" s="1" t="s">
        <v>7329</v>
      </c>
      <c r="D22721" s="22" t="str">
        <f>HYPERLINK("https://rhld.insurance.arkansas.gov/NPILookup?Npi=1215170121","1215170121")</f>
        <v>1215170121</v>
      </c>
      <c r="E22721" s="1" t="s">
        <v>12845</v>
      </c>
      <c r="F22721" s="2"/>
      <c r="G22721" s="2"/>
      <c r="H22721" s="2"/>
    </row>
    <row r="22722" spans="1:8" x14ac:dyDescent="0.25">
      <c r="A22722" s="1"/>
      <c r="B22722" s="1" t="s">
        <v>7328</v>
      </c>
      <c r="C22722" s="1" t="s">
        <v>7329</v>
      </c>
      <c r="D22722" s="22" t="str">
        <f>HYPERLINK("https://rhld.insurance.arkansas.gov/NPILookup?Npi=1215172713","1215172713")</f>
        <v>1215172713</v>
      </c>
      <c r="E22722" s="1" t="s">
        <v>26047</v>
      </c>
      <c r="F22722" s="2"/>
      <c r="G22722" s="2"/>
      <c r="H22722" s="2"/>
    </row>
    <row r="22723" spans="1:8" x14ac:dyDescent="0.25">
      <c r="A22723" s="1"/>
      <c r="B22723" s="1" t="s">
        <v>7328</v>
      </c>
      <c r="C22723" s="1" t="s">
        <v>7329</v>
      </c>
      <c r="D22723" s="22" t="str">
        <f>HYPERLINK("https://rhld.insurance.arkansas.gov/NPILookup?Npi=1215189618","1215189618")</f>
        <v>1215189618</v>
      </c>
      <c r="E22723" s="1" t="s">
        <v>1989</v>
      </c>
      <c r="F22723" s="2"/>
      <c r="G22723" s="2"/>
      <c r="H22723" s="2"/>
    </row>
    <row r="22724" spans="1:8" x14ac:dyDescent="0.25">
      <c r="A22724" s="1"/>
      <c r="B22724" s="1" t="s">
        <v>7328</v>
      </c>
      <c r="C22724" s="1" t="s">
        <v>7329</v>
      </c>
      <c r="D22724" s="22" t="str">
        <f>HYPERLINK("https://rhld.insurance.arkansas.gov/NPILookup?Npi=1215195631","1215195631")</f>
        <v>1215195631</v>
      </c>
      <c r="E22724" s="1" t="s">
        <v>26048</v>
      </c>
      <c r="F22724" s="2"/>
      <c r="G22724" s="2"/>
      <c r="H22724" s="2"/>
    </row>
    <row r="22725" spans="1:8" x14ac:dyDescent="0.25">
      <c r="A22725" s="1"/>
      <c r="B22725" s="1" t="s">
        <v>7328</v>
      </c>
      <c r="C22725" s="1" t="s">
        <v>7329</v>
      </c>
      <c r="D22725" s="22" t="str">
        <f>HYPERLINK("https://rhld.insurance.arkansas.gov/NPILookup?Npi=1215222336","1215222336")</f>
        <v>1215222336</v>
      </c>
      <c r="E22725" s="1" t="s">
        <v>26049</v>
      </c>
      <c r="F22725" s="2"/>
      <c r="G22725" s="2"/>
      <c r="H22725" s="2"/>
    </row>
    <row r="22726" spans="1:8" x14ac:dyDescent="0.25">
      <c r="A22726" s="1"/>
      <c r="B22726" s="1" t="s">
        <v>7328</v>
      </c>
      <c r="C22726" s="1" t="s">
        <v>7329</v>
      </c>
      <c r="D22726" s="22" t="str">
        <f>HYPERLINK("https://rhld.insurance.arkansas.gov/NPILookup?Npi=1215222666","1215222666")</f>
        <v>1215222666</v>
      </c>
      <c r="E22726" s="1" t="s">
        <v>7542</v>
      </c>
      <c r="F22726" s="2"/>
      <c r="G22726" s="2"/>
      <c r="H22726" s="2"/>
    </row>
    <row r="22727" spans="1:8" x14ac:dyDescent="0.25">
      <c r="A22727" s="1"/>
      <c r="B22727" s="1" t="s">
        <v>7328</v>
      </c>
      <c r="C22727" s="1" t="s">
        <v>7329</v>
      </c>
      <c r="D22727" s="22" t="str">
        <f>HYPERLINK("https://rhld.insurance.arkansas.gov/NPILookup?Npi=1215224704","1215224704")</f>
        <v>1215224704</v>
      </c>
      <c r="E22727" s="1" t="s">
        <v>26050</v>
      </c>
      <c r="F22727" s="2"/>
      <c r="G22727" s="2"/>
      <c r="H22727" s="2"/>
    </row>
    <row r="22728" spans="1:8" x14ac:dyDescent="0.25">
      <c r="A22728" s="1"/>
      <c r="B22728" s="1" t="s">
        <v>7328</v>
      </c>
      <c r="C22728" s="1" t="s">
        <v>7329</v>
      </c>
      <c r="D22728" s="22" t="str">
        <f>HYPERLINK("https://rhld.insurance.arkansas.gov/NPILookup?Npi=1215233887","1215233887")</f>
        <v>1215233887</v>
      </c>
      <c r="E22728" s="1" t="s">
        <v>11358</v>
      </c>
      <c r="F22728" s="2"/>
      <c r="G22728" s="2"/>
      <c r="H22728" s="2"/>
    </row>
    <row r="22729" spans="1:8" x14ac:dyDescent="0.25">
      <c r="A22729" s="1"/>
      <c r="B22729" s="1" t="s">
        <v>7328</v>
      </c>
      <c r="C22729" s="1" t="s">
        <v>7329</v>
      </c>
      <c r="D22729" s="22" t="str">
        <f>HYPERLINK("https://rhld.insurance.arkansas.gov/NPILookup?Npi=1215234836","1215234836")</f>
        <v>1215234836</v>
      </c>
      <c r="E22729" s="1" t="s">
        <v>12847</v>
      </c>
      <c r="F22729" s="2"/>
      <c r="G22729" s="2"/>
      <c r="H22729" s="2"/>
    </row>
    <row r="22730" spans="1:8" x14ac:dyDescent="0.25">
      <c r="A22730" s="1"/>
      <c r="B22730" s="1" t="s">
        <v>7328</v>
      </c>
      <c r="C22730" s="1" t="s">
        <v>7329</v>
      </c>
      <c r="D22730" s="22" t="str">
        <f>HYPERLINK("https://rhld.insurance.arkansas.gov/NPILookup?Npi=1215241153","1215241153")</f>
        <v>1215241153</v>
      </c>
      <c r="E22730" s="1" t="s">
        <v>32152</v>
      </c>
      <c r="F22730" s="2"/>
      <c r="G22730" s="2"/>
      <c r="H22730" s="2"/>
    </row>
    <row r="22731" spans="1:8" x14ac:dyDescent="0.25">
      <c r="A22731" s="1"/>
      <c r="B22731" s="1" t="s">
        <v>7328</v>
      </c>
      <c r="C22731" s="1" t="s">
        <v>7329</v>
      </c>
      <c r="D22731" s="22" t="str">
        <f>HYPERLINK("https://rhld.insurance.arkansas.gov/NPILookup?Npi=1215246103","1215246103")</f>
        <v>1215246103</v>
      </c>
      <c r="E22731" s="1" t="s">
        <v>26051</v>
      </c>
      <c r="F22731" s="2"/>
      <c r="G22731" s="2"/>
      <c r="H22731" s="2"/>
    </row>
    <row r="22732" spans="1:8" x14ac:dyDescent="0.25">
      <c r="A22732" s="1"/>
      <c r="B22732" s="1" t="s">
        <v>7328</v>
      </c>
      <c r="C22732" s="1" t="s">
        <v>7329</v>
      </c>
      <c r="D22732" s="22" t="str">
        <f>HYPERLINK("https://rhld.insurance.arkansas.gov/NPILookup?Npi=1215249156","1215249156")</f>
        <v>1215249156</v>
      </c>
      <c r="E22732" s="1" t="s">
        <v>12848</v>
      </c>
      <c r="F22732" s="2"/>
      <c r="G22732" s="2"/>
      <c r="H22732" s="2"/>
    </row>
    <row r="22733" spans="1:8" x14ac:dyDescent="0.25">
      <c r="A22733" s="1"/>
      <c r="B22733" s="1" t="s">
        <v>7328</v>
      </c>
      <c r="C22733" s="1" t="s">
        <v>7329</v>
      </c>
      <c r="D22733" s="22" t="str">
        <f>HYPERLINK("https://rhld.insurance.arkansas.gov/NPILookup?Npi=1215251764","1215251764")</f>
        <v>1215251764</v>
      </c>
      <c r="E22733" s="1" t="s">
        <v>26052</v>
      </c>
      <c r="F22733" s="2"/>
      <c r="G22733" s="2"/>
      <c r="H22733" s="2"/>
    </row>
    <row r="22734" spans="1:8" x14ac:dyDescent="0.25">
      <c r="A22734" s="1"/>
      <c r="B22734" s="1" t="s">
        <v>7328</v>
      </c>
      <c r="C22734" s="1" t="s">
        <v>7329</v>
      </c>
      <c r="D22734" s="22" t="str">
        <f>HYPERLINK("https://rhld.insurance.arkansas.gov/NPILookup?Npi=1215256680","1215256680")</f>
        <v>1215256680</v>
      </c>
      <c r="E22734" s="1" t="s">
        <v>1752</v>
      </c>
      <c r="F22734" s="2"/>
      <c r="G22734" s="2"/>
      <c r="H22734" s="2"/>
    </row>
    <row r="22735" spans="1:8" x14ac:dyDescent="0.25">
      <c r="A22735" s="1"/>
      <c r="B22735" s="1" t="s">
        <v>7328</v>
      </c>
      <c r="C22735" s="1" t="s">
        <v>7329</v>
      </c>
      <c r="D22735" s="22" t="str">
        <f>HYPERLINK("https://rhld.insurance.arkansas.gov/NPILookup?Npi=1215271069","1215271069")</f>
        <v>1215271069</v>
      </c>
      <c r="E22735" s="1" t="s">
        <v>26053</v>
      </c>
      <c r="F22735" s="2"/>
      <c r="G22735" s="2"/>
      <c r="H22735" s="2"/>
    </row>
    <row r="22736" spans="1:8" x14ac:dyDescent="0.25">
      <c r="A22736" s="1"/>
      <c r="B22736" s="1" t="s">
        <v>7328</v>
      </c>
      <c r="C22736" s="1" t="s">
        <v>7329</v>
      </c>
      <c r="D22736" s="22" t="str">
        <f>HYPERLINK("https://rhld.insurance.arkansas.gov/NPILookup?Npi=1215271176","1215271176")</f>
        <v>1215271176</v>
      </c>
      <c r="E22736" s="1" t="s">
        <v>12849</v>
      </c>
      <c r="F22736" s="2"/>
      <c r="G22736" s="2"/>
      <c r="H22736" s="2"/>
    </row>
    <row r="22737" spans="1:8" x14ac:dyDescent="0.25">
      <c r="A22737" s="1"/>
      <c r="B22737" s="1" t="s">
        <v>7328</v>
      </c>
      <c r="C22737" s="1" t="s">
        <v>7329</v>
      </c>
      <c r="D22737" s="22" t="str">
        <f>HYPERLINK("https://rhld.insurance.arkansas.gov/NPILookup?Npi=1215276977","1215276977")</f>
        <v>1215276977</v>
      </c>
      <c r="E22737" s="1" t="s">
        <v>32153</v>
      </c>
      <c r="F22737" s="2"/>
      <c r="G22737" s="2"/>
      <c r="H22737" s="2"/>
    </row>
    <row r="22738" spans="1:8" x14ac:dyDescent="0.25">
      <c r="A22738" s="1"/>
      <c r="B22738" s="1" t="s">
        <v>7328</v>
      </c>
      <c r="C22738" s="1" t="s">
        <v>7329</v>
      </c>
      <c r="D22738" s="22" t="str">
        <f>HYPERLINK("https://rhld.insurance.arkansas.gov/NPILookup?Npi=1215278163","1215278163")</f>
        <v>1215278163</v>
      </c>
      <c r="E22738" s="1" t="s">
        <v>26054</v>
      </c>
      <c r="F22738" s="2"/>
      <c r="G22738" s="2"/>
      <c r="H22738" s="2"/>
    </row>
    <row r="22739" spans="1:8" x14ac:dyDescent="0.25">
      <c r="A22739" s="1"/>
      <c r="B22739" s="1" t="s">
        <v>7328</v>
      </c>
      <c r="C22739" s="1" t="s">
        <v>7329</v>
      </c>
      <c r="D22739" s="22" t="str">
        <f>HYPERLINK("https://rhld.insurance.arkansas.gov/NPILookup?Npi=1215284187","1215284187")</f>
        <v>1215284187</v>
      </c>
      <c r="E22739" s="1" t="s">
        <v>2698</v>
      </c>
      <c r="F22739" s="2"/>
      <c r="G22739" s="2"/>
      <c r="H22739" s="2"/>
    </row>
    <row r="22740" spans="1:8" x14ac:dyDescent="0.25">
      <c r="A22740" s="1"/>
      <c r="B22740" s="1" t="s">
        <v>7328</v>
      </c>
      <c r="C22740" s="1" t="s">
        <v>7329</v>
      </c>
      <c r="D22740" s="22" t="str">
        <f>HYPERLINK("https://rhld.insurance.arkansas.gov/NPILookup?Npi=1215287750","1215287750")</f>
        <v>1215287750</v>
      </c>
      <c r="E22740" s="1" t="s">
        <v>26055</v>
      </c>
      <c r="F22740" s="2"/>
      <c r="G22740" s="2"/>
      <c r="H22740" s="2"/>
    </row>
    <row r="22741" spans="1:8" x14ac:dyDescent="0.25">
      <c r="A22741" s="1"/>
      <c r="B22741" s="1" t="s">
        <v>7328</v>
      </c>
      <c r="C22741" s="1" t="s">
        <v>7329</v>
      </c>
      <c r="D22741" s="22" t="str">
        <f>HYPERLINK("https://rhld.insurance.arkansas.gov/NPILookup?Npi=1215310503","1215310503")</f>
        <v>1215310503</v>
      </c>
      <c r="E22741" s="1" t="s">
        <v>2699</v>
      </c>
      <c r="F22741" s="2"/>
      <c r="G22741" s="2"/>
      <c r="H22741" s="2"/>
    </row>
    <row r="22742" spans="1:8" x14ac:dyDescent="0.25">
      <c r="A22742" s="1"/>
      <c r="B22742" s="1" t="s">
        <v>7328</v>
      </c>
      <c r="C22742" s="1" t="s">
        <v>7329</v>
      </c>
      <c r="D22742" s="22" t="str">
        <f>HYPERLINK("https://rhld.insurance.arkansas.gov/NPILookup?Npi=1215310784","1215310784")</f>
        <v>1215310784</v>
      </c>
      <c r="E22742" s="1" t="s">
        <v>1753</v>
      </c>
      <c r="F22742" s="2"/>
      <c r="G22742" s="2"/>
      <c r="H22742" s="2"/>
    </row>
    <row r="22743" spans="1:8" x14ac:dyDescent="0.25">
      <c r="A22743" s="1"/>
      <c r="B22743" s="1" t="s">
        <v>7328</v>
      </c>
      <c r="C22743" s="1" t="s">
        <v>7329</v>
      </c>
      <c r="D22743" s="22" t="str">
        <f>HYPERLINK("https://rhld.insurance.arkansas.gov/NPILookup?Npi=1215313598","1215313598")</f>
        <v>1215313598</v>
      </c>
      <c r="E22743" s="1" t="s">
        <v>26056</v>
      </c>
      <c r="F22743" s="2"/>
      <c r="G22743" s="2"/>
      <c r="H22743" s="2"/>
    </row>
    <row r="22744" spans="1:8" x14ac:dyDescent="0.25">
      <c r="A22744" s="1"/>
      <c r="B22744" s="1" t="s">
        <v>7328</v>
      </c>
      <c r="C22744" s="1" t="s">
        <v>7329</v>
      </c>
      <c r="D22744" s="22" t="str">
        <f>HYPERLINK("https://rhld.insurance.arkansas.gov/NPILookup?Npi=1215323639","1215323639")</f>
        <v>1215323639</v>
      </c>
      <c r="E22744" s="1" t="s">
        <v>26057</v>
      </c>
      <c r="F22744" s="2"/>
      <c r="G22744" s="2"/>
      <c r="H22744" s="2"/>
    </row>
    <row r="22745" spans="1:8" x14ac:dyDescent="0.25">
      <c r="A22745" s="1"/>
      <c r="B22745" s="1" t="s">
        <v>7328</v>
      </c>
      <c r="C22745" s="1" t="s">
        <v>7329</v>
      </c>
      <c r="D22745" s="22" t="str">
        <f>HYPERLINK("https://rhld.insurance.arkansas.gov/NPILookup?Npi=1215330550","1215330550")</f>
        <v>1215330550</v>
      </c>
      <c r="E22745" s="1" t="s">
        <v>12850</v>
      </c>
      <c r="F22745" s="2"/>
      <c r="G22745" s="2"/>
      <c r="H22745" s="2"/>
    </row>
    <row r="22746" spans="1:8" x14ac:dyDescent="0.25">
      <c r="A22746" s="1"/>
      <c r="B22746" s="1" t="s">
        <v>7328</v>
      </c>
      <c r="C22746" s="1" t="s">
        <v>7329</v>
      </c>
      <c r="D22746" s="22" t="str">
        <f>HYPERLINK("https://rhld.insurance.arkansas.gov/NPILookup?Npi=1215331996","1215331996")</f>
        <v>1215331996</v>
      </c>
      <c r="E22746" s="1" t="s">
        <v>26058</v>
      </c>
      <c r="F22746" s="2"/>
      <c r="G22746" s="2"/>
      <c r="H22746" s="2"/>
    </row>
    <row r="22747" spans="1:8" x14ac:dyDescent="0.25">
      <c r="A22747" s="1"/>
      <c r="B22747" s="1" t="s">
        <v>7328</v>
      </c>
      <c r="C22747" s="1" t="s">
        <v>7329</v>
      </c>
      <c r="D22747" s="22" t="str">
        <f>HYPERLINK("https://rhld.insurance.arkansas.gov/NPILookup?Npi=1215336474","1215336474")</f>
        <v>1215336474</v>
      </c>
      <c r="E22747" s="1" t="s">
        <v>1754</v>
      </c>
      <c r="F22747" s="2"/>
      <c r="G22747" s="2"/>
      <c r="H22747" s="2"/>
    </row>
    <row r="22748" spans="1:8" x14ac:dyDescent="0.25">
      <c r="A22748" s="1"/>
      <c r="B22748" s="1" t="s">
        <v>7328</v>
      </c>
      <c r="C22748" s="1" t="s">
        <v>7329</v>
      </c>
      <c r="D22748" s="22" t="str">
        <f>HYPERLINK("https://rhld.insurance.arkansas.gov/NPILookup?Npi=1215341656","1215341656")</f>
        <v>1215341656</v>
      </c>
      <c r="E22748" s="1" t="s">
        <v>26059</v>
      </c>
      <c r="F22748" s="2"/>
      <c r="G22748" s="2"/>
      <c r="H22748" s="2"/>
    </row>
    <row r="22749" spans="1:8" x14ac:dyDescent="0.25">
      <c r="A22749" s="1"/>
      <c r="B22749" s="1" t="s">
        <v>7328</v>
      </c>
      <c r="C22749" s="1" t="s">
        <v>7329</v>
      </c>
      <c r="D22749" s="22" t="str">
        <f>HYPERLINK("https://rhld.insurance.arkansas.gov/NPILookup?Npi=1215383385","1215383385")</f>
        <v>1215383385</v>
      </c>
      <c r="E22749" s="1" t="s">
        <v>7543</v>
      </c>
      <c r="F22749" s="2"/>
      <c r="G22749" s="2"/>
      <c r="H22749" s="2"/>
    </row>
    <row r="22750" spans="1:8" x14ac:dyDescent="0.25">
      <c r="A22750" s="1"/>
      <c r="B22750" s="1" t="s">
        <v>7328</v>
      </c>
      <c r="C22750" s="1" t="s">
        <v>7329</v>
      </c>
      <c r="D22750" s="22" t="str">
        <f>HYPERLINK("https://rhld.insurance.arkansas.gov/NPILookup?Npi=1215386065","1215386065")</f>
        <v>1215386065</v>
      </c>
      <c r="E22750" s="1" t="s">
        <v>2227</v>
      </c>
      <c r="F22750" s="2"/>
      <c r="G22750" s="2"/>
      <c r="H22750" s="2"/>
    </row>
    <row r="22751" spans="1:8" x14ac:dyDescent="0.25">
      <c r="A22751" s="1"/>
      <c r="B22751" s="1" t="s">
        <v>7328</v>
      </c>
      <c r="C22751" s="1" t="s">
        <v>7329</v>
      </c>
      <c r="D22751" s="22" t="str">
        <f>HYPERLINK("https://rhld.insurance.arkansas.gov/NPILookup?Npi=1215394218","1215394218")</f>
        <v>1215394218</v>
      </c>
      <c r="E22751" s="1" t="s">
        <v>26060</v>
      </c>
      <c r="F22751" s="2"/>
      <c r="G22751" s="2"/>
      <c r="H22751" s="2"/>
    </row>
    <row r="22752" spans="1:8" x14ac:dyDescent="0.25">
      <c r="A22752" s="1"/>
      <c r="B22752" s="1" t="s">
        <v>7328</v>
      </c>
      <c r="C22752" s="1" t="s">
        <v>7329</v>
      </c>
      <c r="D22752" s="22" t="str">
        <f>HYPERLINK("https://rhld.insurance.arkansas.gov/NPILookup?Npi=1215401955","1215401955")</f>
        <v>1215401955</v>
      </c>
      <c r="E22752" s="1" t="s">
        <v>26061</v>
      </c>
      <c r="F22752" s="2"/>
      <c r="G22752" s="2"/>
      <c r="H22752" s="2"/>
    </row>
    <row r="22753" spans="1:8" x14ac:dyDescent="0.25">
      <c r="A22753" s="1"/>
      <c r="B22753" s="1" t="s">
        <v>7328</v>
      </c>
      <c r="C22753" s="1" t="s">
        <v>7329</v>
      </c>
      <c r="D22753" s="22" t="str">
        <f>HYPERLINK("https://rhld.insurance.arkansas.gov/NPILookup?Npi=1215414560","1215414560")</f>
        <v>1215414560</v>
      </c>
      <c r="E22753" s="1" t="s">
        <v>26062</v>
      </c>
      <c r="F22753" s="2"/>
      <c r="G22753" s="2"/>
      <c r="H22753" s="2"/>
    </row>
    <row r="22754" spans="1:8" x14ac:dyDescent="0.25">
      <c r="A22754" s="1"/>
      <c r="B22754" s="1" t="s">
        <v>7328</v>
      </c>
      <c r="C22754" s="1" t="s">
        <v>7329</v>
      </c>
      <c r="D22754" s="22" t="str">
        <f>HYPERLINK("https://rhld.insurance.arkansas.gov/NPILookup?Npi=1215415062","1215415062")</f>
        <v>1215415062</v>
      </c>
      <c r="E22754" s="1" t="s">
        <v>26063</v>
      </c>
      <c r="F22754" s="2"/>
      <c r="G22754" s="2"/>
      <c r="H22754" s="2"/>
    </row>
    <row r="22755" spans="1:8" x14ac:dyDescent="0.25">
      <c r="A22755" s="1"/>
      <c r="B22755" s="1" t="s">
        <v>7328</v>
      </c>
      <c r="C22755" s="1" t="s">
        <v>7329</v>
      </c>
      <c r="D22755" s="22" t="str">
        <f>HYPERLINK("https://rhld.insurance.arkansas.gov/NPILookup?Npi=1215447560","1215447560")</f>
        <v>1215447560</v>
      </c>
      <c r="E22755" s="1" t="s">
        <v>7544</v>
      </c>
      <c r="F22755" s="2"/>
      <c r="G22755" s="2"/>
      <c r="H22755" s="2"/>
    </row>
    <row r="22756" spans="1:8" x14ac:dyDescent="0.25">
      <c r="A22756" s="1"/>
      <c r="B22756" s="1" t="s">
        <v>7328</v>
      </c>
      <c r="C22756" s="1" t="s">
        <v>7329</v>
      </c>
      <c r="D22756" s="22" t="str">
        <f>HYPERLINK("https://rhld.insurance.arkansas.gov/NPILookup?Npi=1215454178","1215454178")</f>
        <v>1215454178</v>
      </c>
      <c r="E22756" s="1" t="s">
        <v>2700</v>
      </c>
      <c r="F22756" s="2"/>
      <c r="G22756" s="2"/>
      <c r="H22756" s="2"/>
    </row>
    <row r="22757" spans="1:8" x14ac:dyDescent="0.25">
      <c r="A22757" s="1"/>
      <c r="B22757" s="1" t="s">
        <v>7328</v>
      </c>
      <c r="C22757" s="1" t="s">
        <v>7329</v>
      </c>
      <c r="D22757" s="22" t="str">
        <f>HYPERLINK("https://rhld.insurance.arkansas.gov/NPILookup?Npi=1215455373","1215455373")</f>
        <v>1215455373</v>
      </c>
      <c r="E22757" s="1" t="s">
        <v>26064</v>
      </c>
      <c r="F22757" s="2"/>
      <c r="G22757" s="2"/>
      <c r="H22757" s="2"/>
    </row>
    <row r="22758" spans="1:8" x14ac:dyDescent="0.25">
      <c r="A22758" s="1"/>
      <c r="B22758" s="1" t="s">
        <v>7328</v>
      </c>
      <c r="C22758" s="1" t="s">
        <v>7329</v>
      </c>
      <c r="D22758" s="22" t="str">
        <f>HYPERLINK("https://rhld.insurance.arkansas.gov/NPILookup?Npi=1215455639","1215455639")</f>
        <v>1215455639</v>
      </c>
      <c r="E22758" s="1" t="s">
        <v>12851</v>
      </c>
      <c r="F22758" s="2"/>
      <c r="G22758" s="2"/>
      <c r="H22758" s="2"/>
    </row>
    <row r="22759" spans="1:8" x14ac:dyDescent="0.25">
      <c r="A22759" s="1"/>
      <c r="B22759" s="1" t="s">
        <v>7328</v>
      </c>
      <c r="C22759" s="1" t="s">
        <v>7329</v>
      </c>
      <c r="D22759" s="22" t="str">
        <f>HYPERLINK("https://rhld.insurance.arkansas.gov/NPILookup?Npi=1215459169","1215459169")</f>
        <v>1215459169</v>
      </c>
      <c r="E22759" s="1" t="s">
        <v>5729</v>
      </c>
      <c r="F22759" s="2"/>
      <c r="G22759" s="2"/>
      <c r="H22759" s="2"/>
    </row>
    <row r="22760" spans="1:8" x14ac:dyDescent="0.25">
      <c r="A22760" s="1"/>
      <c r="B22760" s="1" t="s">
        <v>7328</v>
      </c>
      <c r="C22760" s="1" t="s">
        <v>7329</v>
      </c>
      <c r="D22760" s="22" t="str">
        <f>HYPERLINK("https://rhld.insurance.arkansas.gov/NPILookup?Npi=1215470489","1215470489")</f>
        <v>1215470489</v>
      </c>
      <c r="E22760" s="1" t="s">
        <v>26065</v>
      </c>
      <c r="F22760" s="2"/>
      <c r="G22760" s="2"/>
      <c r="H22760" s="2"/>
    </row>
    <row r="22761" spans="1:8" x14ac:dyDescent="0.25">
      <c r="A22761" s="1"/>
      <c r="B22761" s="1" t="s">
        <v>7328</v>
      </c>
      <c r="C22761" s="1" t="s">
        <v>7329</v>
      </c>
      <c r="D22761" s="22" t="str">
        <f>HYPERLINK("https://rhld.insurance.arkansas.gov/NPILookup?Npi=1215475546","1215475546")</f>
        <v>1215475546</v>
      </c>
      <c r="E22761" s="1" t="s">
        <v>7545</v>
      </c>
      <c r="F22761" s="2"/>
      <c r="G22761" s="2"/>
      <c r="H22761" s="2"/>
    </row>
    <row r="22762" spans="1:8" x14ac:dyDescent="0.25">
      <c r="A22762" s="1"/>
      <c r="B22762" s="1" t="s">
        <v>7328</v>
      </c>
      <c r="C22762" s="1" t="s">
        <v>7329</v>
      </c>
      <c r="D22762" s="22" t="str">
        <f>HYPERLINK("https://rhld.insurance.arkansas.gov/NPILookup?Npi=1215478367","1215478367")</f>
        <v>1215478367</v>
      </c>
      <c r="E22762" s="1" t="s">
        <v>26066</v>
      </c>
      <c r="F22762" s="2"/>
      <c r="G22762" s="2"/>
      <c r="H22762" s="2"/>
    </row>
    <row r="22763" spans="1:8" x14ac:dyDescent="0.25">
      <c r="A22763" s="1"/>
      <c r="B22763" s="1" t="s">
        <v>7328</v>
      </c>
      <c r="C22763" s="1" t="s">
        <v>7329</v>
      </c>
      <c r="D22763" s="22" t="str">
        <f>HYPERLINK("https://rhld.insurance.arkansas.gov/NPILookup?Npi=1215478375","1215478375")</f>
        <v>1215478375</v>
      </c>
      <c r="E22763" s="1" t="s">
        <v>2701</v>
      </c>
      <c r="F22763" s="2"/>
      <c r="G22763" s="2"/>
      <c r="H22763" s="2"/>
    </row>
    <row r="22764" spans="1:8" x14ac:dyDescent="0.25">
      <c r="A22764" s="1"/>
      <c r="B22764" s="1" t="s">
        <v>7328</v>
      </c>
      <c r="C22764" s="1" t="s">
        <v>7329</v>
      </c>
      <c r="D22764" s="22" t="str">
        <f>HYPERLINK("https://rhld.insurance.arkansas.gov/NPILookup?Npi=1215489331","1215489331")</f>
        <v>1215489331</v>
      </c>
      <c r="E22764" s="1" t="s">
        <v>12852</v>
      </c>
      <c r="F22764" s="2"/>
      <c r="G22764" s="2"/>
      <c r="H22764" s="2"/>
    </row>
    <row r="22765" spans="1:8" x14ac:dyDescent="0.25">
      <c r="A22765" s="1"/>
      <c r="B22765" s="1" t="s">
        <v>7328</v>
      </c>
      <c r="C22765" s="1" t="s">
        <v>7329</v>
      </c>
      <c r="D22765" s="22" t="str">
        <f>HYPERLINK("https://rhld.insurance.arkansas.gov/NPILookup?Npi=1215490578","1215490578")</f>
        <v>1215490578</v>
      </c>
      <c r="E22765" s="1" t="s">
        <v>26067</v>
      </c>
      <c r="F22765" s="2"/>
      <c r="G22765" s="2"/>
      <c r="H22765" s="2"/>
    </row>
    <row r="22766" spans="1:8" x14ac:dyDescent="0.25">
      <c r="A22766" s="1"/>
      <c r="B22766" s="1" t="s">
        <v>7328</v>
      </c>
      <c r="C22766" s="1" t="s">
        <v>7329</v>
      </c>
      <c r="D22766" s="22" t="str">
        <f>HYPERLINK("https://rhld.insurance.arkansas.gov/NPILookup?Npi=1215498316","1215498316")</f>
        <v>1215498316</v>
      </c>
      <c r="E22766" s="1" t="s">
        <v>26068</v>
      </c>
      <c r="F22766" s="2"/>
      <c r="G22766" s="2"/>
      <c r="H22766" s="2"/>
    </row>
    <row r="22767" spans="1:8" x14ac:dyDescent="0.25">
      <c r="A22767" s="1"/>
      <c r="B22767" s="1" t="s">
        <v>7328</v>
      </c>
      <c r="C22767" s="1" t="s">
        <v>7329</v>
      </c>
      <c r="D22767" s="22" t="str">
        <f>HYPERLINK("https://rhld.insurance.arkansas.gov/NPILookup?Npi=1215505615","1215505615")</f>
        <v>1215505615</v>
      </c>
      <c r="E22767" s="1" t="s">
        <v>12854</v>
      </c>
      <c r="F22767" s="2"/>
      <c r="G22767" s="2"/>
      <c r="H22767" s="2"/>
    </row>
    <row r="22768" spans="1:8" x14ac:dyDescent="0.25">
      <c r="A22768" s="1"/>
      <c r="B22768" s="1" t="s">
        <v>7328</v>
      </c>
      <c r="C22768" s="1" t="s">
        <v>7329</v>
      </c>
      <c r="D22768" s="22" t="str">
        <f>HYPERLINK("https://rhld.insurance.arkansas.gov/NPILookup?Npi=1215507363","1215507363")</f>
        <v>1215507363</v>
      </c>
      <c r="E22768" s="1" t="s">
        <v>32154</v>
      </c>
      <c r="F22768" s="2"/>
      <c r="G22768" s="2"/>
      <c r="H22768" s="2"/>
    </row>
    <row r="22769" spans="1:8" x14ac:dyDescent="0.25">
      <c r="A22769" s="1"/>
      <c r="B22769" s="1" t="s">
        <v>7328</v>
      </c>
      <c r="C22769" s="1" t="s">
        <v>7329</v>
      </c>
      <c r="D22769" s="22" t="str">
        <f>HYPERLINK("https://rhld.insurance.arkansas.gov/NPILookup?Npi=1215507884","1215507884")</f>
        <v>1215507884</v>
      </c>
      <c r="E22769" s="1" t="s">
        <v>26069</v>
      </c>
      <c r="F22769" s="2"/>
      <c r="G22769" s="2"/>
      <c r="H22769" s="2"/>
    </row>
    <row r="22770" spans="1:8" x14ac:dyDescent="0.25">
      <c r="A22770" s="1"/>
      <c r="B22770" s="1" t="s">
        <v>7328</v>
      </c>
      <c r="C22770" s="1" t="s">
        <v>7329</v>
      </c>
      <c r="D22770" s="22" t="str">
        <f>HYPERLINK("https://rhld.insurance.arkansas.gov/NPILookup?Npi=1215515002","1215515002")</f>
        <v>1215515002</v>
      </c>
      <c r="E22770" s="1" t="s">
        <v>26070</v>
      </c>
      <c r="F22770" s="2"/>
      <c r="G22770" s="2"/>
      <c r="H22770" s="2"/>
    </row>
    <row r="22771" spans="1:8" x14ac:dyDescent="0.25">
      <c r="A22771" s="1"/>
      <c r="B22771" s="1" t="s">
        <v>7328</v>
      </c>
      <c r="C22771" s="1" t="s">
        <v>7329</v>
      </c>
      <c r="D22771" s="22" t="str">
        <f>HYPERLINK("https://rhld.insurance.arkansas.gov/NPILookup?Npi=1215519210","1215519210")</f>
        <v>1215519210</v>
      </c>
      <c r="E22771" s="1" t="s">
        <v>26071</v>
      </c>
      <c r="F22771" s="2"/>
      <c r="G22771" s="2"/>
      <c r="H22771" s="2"/>
    </row>
    <row r="22772" spans="1:8" x14ac:dyDescent="0.25">
      <c r="A22772" s="1"/>
      <c r="B22772" s="1" t="s">
        <v>7328</v>
      </c>
      <c r="C22772" s="1" t="s">
        <v>7329</v>
      </c>
      <c r="D22772" s="22" t="str">
        <f>HYPERLINK("https://rhld.insurance.arkansas.gov/NPILookup?Npi=1215536792","1215536792")</f>
        <v>1215536792</v>
      </c>
      <c r="E22772" s="1" t="s">
        <v>7546</v>
      </c>
      <c r="F22772" s="2"/>
      <c r="G22772" s="2"/>
      <c r="H22772" s="2"/>
    </row>
    <row r="22773" spans="1:8" x14ac:dyDescent="0.25">
      <c r="A22773" s="1"/>
      <c r="B22773" s="1" t="s">
        <v>7328</v>
      </c>
      <c r="C22773" s="1" t="s">
        <v>7329</v>
      </c>
      <c r="D22773" s="22" t="str">
        <f>HYPERLINK("https://rhld.insurance.arkansas.gov/NPILookup?Npi=1215538285","1215538285")</f>
        <v>1215538285</v>
      </c>
      <c r="E22773" s="1" t="s">
        <v>2371</v>
      </c>
      <c r="F22773" s="2"/>
      <c r="G22773" s="2"/>
      <c r="H22773" s="2"/>
    </row>
    <row r="22774" spans="1:8" x14ac:dyDescent="0.25">
      <c r="A22774" s="1"/>
      <c r="B22774" s="1" t="s">
        <v>7328</v>
      </c>
      <c r="C22774" s="1" t="s">
        <v>7329</v>
      </c>
      <c r="D22774" s="22" t="str">
        <f>HYPERLINK("https://rhld.insurance.arkansas.gov/NPILookup?Npi=1215545298","1215545298")</f>
        <v>1215545298</v>
      </c>
      <c r="E22774" s="1" t="s">
        <v>26072</v>
      </c>
      <c r="F22774" s="2"/>
      <c r="G22774" s="2"/>
      <c r="H22774" s="2"/>
    </row>
    <row r="22775" spans="1:8" x14ac:dyDescent="0.25">
      <c r="A22775" s="1"/>
      <c r="B22775" s="1" t="s">
        <v>7328</v>
      </c>
      <c r="C22775" s="1" t="s">
        <v>7329</v>
      </c>
      <c r="D22775" s="22" t="str">
        <f>HYPERLINK("https://rhld.insurance.arkansas.gov/NPILookup?Npi=1215546262","1215546262")</f>
        <v>1215546262</v>
      </c>
      <c r="E22775" s="1" t="s">
        <v>7547</v>
      </c>
      <c r="F22775" s="2"/>
      <c r="G22775" s="2"/>
      <c r="H22775" s="2"/>
    </row>
    <row r="22776" spans="1:8" x14ac:dyDescent="0.25">
      <c r="A22776" s="1"/>
      <c r="B22776" s="1" t="s">
        <v>7328</v>
      </c>
      <c r="C22776" s="1" t="s">
        <v>7329</v>
      </c>
      <c r="D22776" s="22" t="str">
        <f>HYPERLINK("https://rhld.insurance.arkansas.gov/NPILookup?Npi=1215549217","1215549217")</f>
        <v>1215549217</v>
      </c>
      <c r="E22776" s="1" t="s">
        <v>26073</v>
      </c>
      <c r="F22776" s="2"/>
      <c r="G22776" s="2"/>
      <c r="H22776" s="2"/>
    </row>
    <row r="22777" spans="1:8" x14ac:dyDescent="0.25">
      <c r="A22777" s="1"/>
      <c r="B22777" s="1" t="s">
        <v>7328</v>
      </c>
      <c r="C22777" s="1" t="s">
        <v>7329</v>
      </c>
      <c r="D22777" s="22" t="str">
        <f>HYPERLINK("https://rhld.insurance.arkansas.gov/NPILookup?Npi=1215554647","1215554647")</f>
        <v>1215554647</v>
      </c>
      <c r="E22777" s="1" t="s">
        <v>7548</v>
      </c>
      <c r="F22777" s="2"/>
      <c r="G22777" s="2"/>
      <c r="H22777" s="2"/>
    </row>
    <row r="22778" spans="1:8" x14ac:dyDescent="0.25">
      <c r="A22778" s="1"/>
      <c r="B22778" s="1" t="s">
        <v>7328</v>
      </c>
      <c r="C22778" s="1" t="s">
        <v>7329</v>
      </c>
      <c r="D22778" s="22" t="str">
        <f>HYPERLINK("https://rhld.insurance.arkansas.gov/NPILookup?Npi=1215561642","1215561642")</f>
        <v>1215561642</v>
      </c>
      <c r="E22778" s="1" t="s">
        <v>26074</v>
      </c>
      <c r="F22778" s="2"/>
      <c r="G22778" s="2"/>
      <c r="H22778" s="2"/>
    </row>
    <row r="22779" spans="1:8" x14ac:dyDescent="0.25">
      <c r="A22779" s="1"/>
      <c r="B22779" s="1" t="s">
        <v>7328</v>
      </c>
      <c r="C22779" s="1" t="s">
        <v>7329</v>
      </c>
      <c r="D22779" s="22" t="str">
        <f>HYPERLINK("https://rhld.insurance.arkansas.gov/NPILookup?Npi=1215562970","1215562970")</f>
        <v>1215562970</v>
      </c>
      <c r="E22779" s="1" t="s">
        <v>26075</v>
      </c>
      <c r="F22779" s="2"/>
      <c r="G22779" s="2"/>
      <c r="H22779" s="2"/>
    </row>
    <row r="22780" spans="1:8" x14ac:dyDescent="0.25">
      <c r="A22780" s="1"/>
      <c r="B22780" s="1" t="s">
        <v>7328</v>
      </c>
      <c r="C22780" s="1" t="s">
        <v>7329</v>
      </c>
      <c r="D22780" s="22" t="str">
        <f>HYPERLINK("https://rhld.insurance.arkansas.gov/NPILookup?Npi=1215565056","1215565056")</f>
        <v>1215565056</v>
      </c>
      <c r="E22780" s="1" t="s">
        <v>12855</v>
      </c>
      <c r="F22780" s="2"/>
      <c r="G22780" s="2"/>
      <c r="H22780" s="2"/>
    </row>
    <row r="22781" spans="1:8" x14ac:dyDescent="0.25">
      <c r="A22781" s="1"/>
      <c r="B22781" s="1" t="s">
        <v>7328</v>
      </c>
      <c r="C22781" s="1" t="s">
        <v>7329</v>
      </c>
      <c r="D22781" s="22" t="str">
        <f>HYPERLINK("https://rhld.insurance.arkansas.gov/NPILookup?Npi=1215567995","1215567995")</f>
        <v>1215567995</v>
      </c>
      <c r="E22781" s="1" t="s">
        <v>2702</v>
      </c>
      <c r="F22781" s="2"/>
      <c r="G22781" s="2"/>
      <c r="H22781" s="2"/>
    </row>
    <row r="22782" spans="1:8" x14ac:dyDescent="0.25">
      <c r="A22782" s="1"/>
      <c r="B22782" s="1" t="s">
        <v>7328</v>
      </c>
      <c r="C22782" s="1" t="s">
        <v>7329</v>
      </c>
      <c r="D22782" s="22" t="str">
        <f>HYPERLINK("https://rhld.insurance.arkansas.gov/NPILookup?Npi=1215596168","1215596168")</f>
        <v>1215596168</v>
      </c>
      <c r="E22782" s="1" t="s">
        <v>26076</v>
      </c>
      <c r="F22782" s="2"/>
      <c r="G22782" s="2"/>
      <c r="H22782" s="2"/>
    </row>
    <row r="22783" spans="1:8" x14ac:dyDescent="0.25">
      <c r="A22783" s="1"/>
      <c r="B22783" s="1" t="s">
        <v>7328</v>
      </c>
      <c r="C22783" s="1" t="s">
        <v>7329</v>
      </c>
      <c r="D22783" s="22" t="str">
        <f>HYPERLINK("https://rhld.insurance.arkansas.gov/NPILookup?Npi=1215597273","1215597273")</f>
        <v>1215597273</v>
      </c>
      <c r="E22783" s="1" t="s">
        <v>26077</v>
      </c>
      <c r="F22783" s="2"/>
      <c r="G22783" s="2"/>
      <c r="H22783" s="2"/>
    </row>
    <row r="22784" spans="1:8" x14ac:dyDescent="0.25">
      <c r="A22784" s="1"/>
      <c r="B22784" s="1" t="s">
        <v>7328</v>
      </c>
      <c r="C22784" s="1" t="s">
        <v>7329</v>
      </c>
      <c r="D22784" s="22" t="str">
        <f>HYPERLINK("https://rhld.insurance.arkansas.gov/NPILookup?Npi=1215598131","1215598131")</f>
        <v>1215598131</v>
      </c>
      <c r="E22784" s="1" t="s">
        <v>7550</v>
      </c>
      <c r="F22784" s="2"/>
      <c r="G22784" s="2"/>
      <c r="H22784" s="2"/>
    </row>
    <row r="22785" spans="1:8" x14ac:dyDescent="0.25">
      <c r="A22785" s="1"/>
      <c r="B22785" s="1" t="s">
        <v>7328</v>
      </c>
      <c r="C22785" s="1" t="s">
        <v>7329</v>
      </c>
      <c r="D22785" s="22" t="str">
        <f>HYPERLINK("https://rhld.insurance.arkansas.gov/NPILookup?Npi=1215604459","1215604459")</f>
        <v>1215604459</v>
      </c>
      <c r="E22785" s="1" t="s">
        <v>26078</v>
      </c>
      <c r="F22785" s="2"/>
      <c r="G22785" s="2"/>
      <c r="H22785" s="2"/>
    </row>
    <row r="22786" spans="1:8" x14ac:dyDescent="0.25">
      <c r="A22786" s="1"/>
      <c r="B22786" s="1" t="s">
        <v>7328</v>
      </c>
      <c r="C22786" s="1" t="s">
        <v>7329</v>
      </c>
      <c r="D22786" s="22" t="str">
        <f>HYPERLINK("https://rhld.insurance.arkansas.gov/NPILookup?Npi=1215608328","1215608328")</f>
        <v>1215608328</v>
      </c>
      <c r="E22786" s="1" t="s">
        <v>2703</v>
      </c>
      <c r="F22786" s="2"/>
      <c r="G22786" s="2"/>
      <c r="H22786" s="2"/>
    </row>
    <row r="22787" spans="1:8" x14ac:dyDescent="0.25">
      <c r="A22787" s="1"/>
      <c r="B22787" s="1" t="s">
        <v>7328</v>
      </c>
      <c r="C22787" s="1" t="s">
        <v>7329</v>
      </c>
      <c r="D22787" s="22" t="str">
        <f>HYPERLINK("https://rhld.insurance.arkansas.gov/NPILookup?Npi=1215610019","1215610019")</f>
        <v>1215610019</v>
      </c>
      <c r="E22787" s="1" t="s">
        <v>7551</v>
      </c>
      <c r="F22787" s="2"/>
      <c r="G22787" s="2"/>
      <c r="H22787" s="2"/>
    </row>
    <row r="22788" spans="1:8" x14ac:dyDescent="0.25">
      <c r="A22788" s="1"/>
      <c r="B22788" s="1" t="s">
        <v>7328</v>
      </c>
      <c r="C22788" s="1" t="s">
        <v>7329</v>
      </c>
      <c r="D22788" s="22" t="str">
        <f>HYPERLINK("https://rhld.insurance.arkansas.gov/NPILookup?Npi=1215649132","1215649132")</f>
        <v>1215649132</v>
      </c>
      <c r="E22788" s="1" t="s">
        <v>32155</v>
      </c>
      <c r="F22788" s="2"/>
      <c r="G22788" s="2"/>
      <c r="H22788" s="2"/>
    </row>
    <row r="22789" spans="1:8" x14ac:dyDescent="0.25">
      <c r="A22789" s="1"/>
      <c r="B22789" s="1" t="s">
        <v>7328</v>
      </c>
      <c r="C22789" s="1" t="s">
        <v>7329</v>
      </c>
      <c r="D22789" s="22" t="str">
        <f>HYPERLINK("https://rhld.insurance.arkansas.gov/NPILookup?Npi=1215659081","1215659081")</f>
        <v>1215659081</v>
      </c>
      <c r="E22789" s="1" t="s">
        <v>12856</v>
      </c>
      <c r="F22789" s="2"/>
      <c r="G22789" s="2"/>
      <c r="H22789" s="2"/>
    </row>
    <row r="22790" spans="1:8" x14ac:dyDescent="0.25">
      <c r="A22790" s="1"/>
      <c r="B22790" s="1" t="s">
        <v>7328</v>
      </c>
      <c r="C22790" s="1" t="s">
        <v>7329</v>
      </c>
      <c r="D22790" s="22" t="str">
        <f>HYPERLINK("https://rhld.insurance.arkansas.gov/NPILookup?Npi=1215665708","1215665708")</f>
        <v>1215665708</v>
      </c>
      <c r="E22790" s="1" t="s">
        <v>26079</v>
      </c>
      <c r="F22790" s="2"/>
      <c r="G22790" s="2"/>
      <c r="H22790" s="2"/>
    </row>
    <row r="22791" spans="1:8" x14ac:dyDescent="0.25">
      <c r="A22791" s="1"/>
      <c r="B22791" s="1" t="s">
        <v>7328</v>
      </c>
      <c r="C22791" s="1" t="s">
        <v>7329</v>
      </c>
      <c r="D22791" s="22" t="str">
        <f>HYPERLINK("https://rhld.insurance.arkansas.gov/NPILookup?Npi=1215683586","1215683586")</f>
        <v>1215683586</v>
      </c>
      <c r="E22791" s="1" t="s">
        <v>26080</v>
      </c>
      <c r="F22791" s="2"/>
      <c r="G22791" s="2"/>
      <c r="H22791" s="2"/>
    </row>
    <row r="22792" spans="1:8" x14ac:dyDescent="0.25">
      <c r="A22792" s="1"/>
      <c r="B22792" s="1" t="s">
        <v>7328</v>
      </c>
      <c r="C22792" s="1" t="s">
        <v>7329</v>
      </c>
      <c r="D22792" s="22" t="str">
        <f>HYPERLINK("https://rhld.insurance.arkansas.gov/NPILookup?Npi=1215704119","1215704119")</f>
        <v>1215704119</v>
      </c>
      <c r="E22792" s="1" t="s">
        <v>26081</v>
      </c>
      <c r="F22792" s="2"/>
      <c r="G22792" s="2"/>
      <c r="H22792" s="2"/>
    </row>
    <row r="22793" spans="1:8" x14ac:dyDescent="0.25">
      <c r="A22793" s="1"/>
      <c r="B22793" s="1" t="s">
        <v>7328</v>
      </c>
      <c r="C22793" s="1" t="s">
        <v>7329</v>
      </c>
      <c r="D22793" s="22" t="str">
        <f>HYPERLINK("https://rhld.insurance.arkansas.gov/NPILookup?Npi=1215754627","1215754627")</f>
        <v>1215754627</v>
      </c>
      <c r="E22793" s="1" t="s">
        <v>26082</v>
      </c>
      <c r="F22793" s="2"/>
      <c r="G22793" s="2"/>
      <c r="H22793" s="2"/>
    </row>
    <row r="22794" spans="1:8" x14ac:dyDescent="0.25">
      <c r="A22794" s="1"/>
      <c r="B22794" s="1" t="s">
        <v>7328</v>
      </c>
      <c r="C22794" s="1" t="s">
        <v>7329</v>
      </c>
      <c r="D22794" s="22" t="str">
        <f>HYPERLINK("https://rhld.insurance.arkansas.gov/NPILookup?Npi=1215774609","1215774609")</f>
        <v>1215774609</v>
      </c>
      <c r="E22794" s="1" t="s">
        <v>26083</v>
      </c>
      <c r="F22794" s="2"/>
      <c r="G22794" s="2"/>
      <c r="H22794" s="2"/>
    </row>
    <row r="22795" spans="1:8" x14ac:dyDescent="0.25">
      <c r="A22795" s="1"/>
      <c r="B22795" s="1" t="s">
        <v>7328</v>
      </c>
      <c r="C22795" s="1" t="s">
        <v>7329</v>
      </c>
      <c r="D22795" s="22" t="str">
        <f>HYPERLINK("https://rhld.insurance.arkansas.gov/NPILookup?Npi=1215784806","1215784806")</f>
        <v>1215784806</v>
      </c>
      <c r="E22795" s="1" t="s">
        <v>26084</v>
      </c>
      <c r="F22795" s="2"/>
      <c r="G22795" s="2"/>
      <c r="H22795" s="2"/>
    </row>
    <row r="22796" spans="1:8" x14ac:dyDescent="0.25">
      <c r="A22796" s="1"/>
      <c r="B22796" s="1" t="s">
        <v>7328</v>
      </c>
      <c r="C22796" s="1" t="s">
        <v>7329</v>
      </c>
      <c r="D22796" s="22" t="str">
        <f>HYPERLINK("https://rhld.insurance.arkansas.gov/NPILookup?Npi=1215789870","1215789870")</f>
        <v>1215789870</v>
      </c>
      <c r="E22796" s="1" t="s">
        <v>26085</v>
      </c>
      <c r="F22796" s="2"/>
      <c r="G22796" s="2"/>
      <c r="H22796" s="2"/>
    </row>
    <row r="22797" spans="1:8" x14ac:dyDescent="0.25">
      <c r="A22797" s="1"/>
      <c r="B22797" s="1" t="s">
        <v>7328</v>
      </c>
      <c r="C22797" s="1" t="s">
        <v>7329</v>
      </c>
      <c r="D22797" s="22" t="str">
        <f>HYPERLINK("https://rhld.insurance.arkansas.gov/NPILookup?Npi=1215902358","1215902358")</f>
        <v>1215902358</v>
      </c>
      <c r="E22797" s="1" t="s">
        <v>26086</v>
      </c>
      <c r="F22797" s="2"/>
      <c r="G22797" s="2"/>
      <c r="H22797" s="2"/>
    </row>
    <row r="22798" spans="1:8" x14ac:dyDescent="0.25">
      <c r="A22798" s="1"/>
      <c r="B22798" s="1" t="s">
        <v>7328</v>
      </c>
      <c r="C22798" s="1" t="s">
        <v>7329</v>
      </c>
      <c r="D22798" s="22" t="str">
        <f>HYPERLINK("https://rhld.insurance.arkansas.gov/NPILookup?Npi=1215905575","1215905575")</f>
        <v>1215905575</v>
      </c>
      <c r="E22798" s="1" t="s">
        <v>26087</v>
      </c>
      <c r="F22798" s="2"/>
      <c r="G22798" s="2"/>
      <c r="H22798" s="2"/>
    </row>
    <row r="22799" spans="1:8" x14ac:dyDescent="0.25">
      <c r="A22799" s="1"/>
      <c r="B22799" s="1" t="s">
        <v>7328</v>
      </c>
      <c r="C22799" s="1" t="s">
        <v>7329</v>
      </c>
      <c r="D22799" s="22" t="str">
        <f>HYPERLINK("https://rhld.insurance.arkansas.gov/NPILookup?Npi=1215916861","1215916861")</f>
        <v>1215916861</v>
      </c>
      <c r="E22799" s="1" t="s">
        <v>26088</v>
      </c>
      <c r="F22799" s="2"/>
      <c r="G22799" s="2"/>
      <c r="H22799" s="2"/>
    </row>
    <row r="22800" spans="1:8" x14ac:dyDescent="0.25">
      <c r="A22800" s="1"/>
      <c r="B22800" s="1" t="s">
        <v>7328</v>
      </c>
      <c r="C22800" s="1" t="s">
        <v>7329</v>
      </c>
      <c r="D22800" s="22" t="str">
        <f>HYPERLINK("https://rhld.insurance.arkansas.gov/NPILookup?Npi=1215924683","1215924683")</f>
        <v>1215924683</v>
      </c>
      <c r="E22800" s="1" t="s">
        <v>12857</v>
      </c>
      <c r="F22800" s="2"/>
      <c r="G22800" s="2"/>
      <c r="H22800" s="2"/>
    </row>
    <row r="22801" spans="1:8" x14ac:dyDescent="0.25">
      <c r="A22801" s="1"/>
      <c r="B22801" s="1" t="s">
        <v>7328</v>
      </c>
      <c r="C22801" s="1" t="s">
        <v>7329</v>
      </c>
      <c r="D22801" s="22" t="str">
        <f>HYPERLINK("https://rhld.insurance.arkansas.gov/NPILookup?Npi=1215930029","1215930029")</f>
        <v>1215930029</v>
      </c>
      <c r="E22801" s="1" t="s">
        <v>131</v>
      </c>
      <c r="F22801" s="2"/>
      <c r="G22801" s="2"/>
      <c r="H22801" s="2"/>
    </row>
    <row r="22802" spans="1:8" x14ac:dyDescent="0.25">
      <c r="A22802" s="1"/>
      <c r="B22802" s="1" t="s">
        <v>7328</v>
      </c>
      <c r="C22802" s="1" t="s">
        <v>7329</v>
      </c>
      <c r="D22802" s="22" t="str">
        <f>HYPERLINK("https://rhld.insurance.arkansas.gov/NPILookup?Npi=1215930094","1215930094")</f>
        <v>1215930094</v>
      </c>
      <c r="E22802" s="1" t="s">
        <v>26089</v>
      </c>
      <c r="F22802" s="2"/>
      <c r="G22802" s="2"/>
      <c r="H22802" s="2"/>
    </row>
    <row r="22803" spans="1:8" x14ac:dyDescent="0.25">
      <c r="A22803" s="1"/>
      <c r="B22803" s="1" t="s">
        <v>7328</v>
      </c>
      <c r="C22803" s="1" t="s">
        <v>7329</v>
      </c>
      <c r="D22803" s="22" t="str">
        <f>HYPERLINK("https://rhld.insurance.arkansas.gov/NPILookup?Npi=1215932488","1215932488")</f>
        <v>1215932488</v>
      </c>
      <c r="E22803" s="1" t="s">
        <v>10249</v>
      </c>
      <c r="F22803" s="2"/>
      <c r="G22803" s="2"/>
      <c r="H22803" s="2"/>
    </row>
    <row r="22804" spans="1:8" x14ac:dyDescent="0.25">
      <c r="A22804" s="1"/>
      <c r="B22804" s="1" t="s">
        <v>7328</v>
      </c>
      <c r="C22804" s="1" t="s">
        <v>7329</v>
      </c>
      <c r="D22804" s="22" t="str">
        <f>HYPERLINK("https://rhld.insurance.arkansas.gov/NPILookup?Npi=1215952965","1215952965")</f>
        <v>1215952965</v>
      </c>
      <c r="E22804" s="1" t="s">
        <v>2704</v>
      </c>
      <c r="F22804" s="2"/>
      <c r="G22804" s="2"/>
      <c r="H22804" s="2"/>
    </row>
    <row r="22805" spans="1:8" x14ac:dyDescent="0.25">
      <c r="A22805" s="1"/>
      <c r="B22805" s="1" t="s">
        <v>7328</v>
      </c>
      <c r="C22805" s="1" t="s">
        <v>7329</v>
      </c>
      <c r="D22805" s="22" t="str">
        <f>HYPERLINK("https://rhld.insurance.arkansas.gov/NPILookup?Npi=1215968599","1215968599")</f>
        <v>1215968599</v>
      </c>
      <c r="E22805" s="1" t="s">
        <v>17316</v>
      </c>
      <c r="F22805" s="2"/>
      <c r="G22805" s="2"/>
      <c r="H22805" s="2"/>
    </row>
    <row r="22806" spans="1:8" x14ac:dyDescent="0.25">
      <c r="A22806" s="1"/>
      <c r="B22806" s="1" t="s">
        <v>7328</v>
      </c>
      <c r="C22806" s="1" t="s">
        <v>7329</v>
      </c>
      <c r="D22806" s="22" t="str">
        <f>HYPERLINK("https://rhld.insurance.arkansas.gov/NPILookup?Npi=1215971338","1215971338")</f>
        <v>1215971338</v>
      </c>
      <c r="E22806" s="1" t="s">
        <v>2705</v>
      </c>
      <c r="F22806" s="2"/>
      <c r="G22806" s="2"/>
      <c r="H22806" s="2"/>
    </row>
    <row r="22807" spans="1:8" x14ac:dyDescent="0.25">
      <c r="A22807" s="1"/>
      <c r="B22807" s="1" t="s">
        <v>7328</v>
      </c>
      <c r="C22807" s="1" t="s">
        <v>7329</v>
      </c>
      <c r="D22807" s="22" t="str">
        <f>HYPERLINK("https://rhld.insurance.arkansas.gov/NPILookup?Npi=1215972252","1215972252")</f>
        <v>1215972252</v>
      </c>
      <c r="E22807" s="1" t="s">
        <v>26090</v>
      </c>
      <c r="F22807" s="2"/>
      <c r="G22807" s="2"/>
      <c r="H22807" s="2"/>
    </row>
    <row r="22808" spans="1:8" x14ac:dyDescent="0.25">
      <c r="A22808" s="1"/>
      <c r="B22808" s="1" t="s">
        <v>7328</v>
      </c>
      <c r="C22808" s="1" t="s">
        <v>7329</v>
      </c>
      <c r="D22808" s="22" t="str">
        <f>HYPERLINK("https://rhld.insurance.arkansas.gov/NPILookup?Npi=1215975792","1215975792")</f>
        <v>1215975792</v>
      </c>
      <c r="E22808" s="1" t="s">
        <v>26091</v>
      </c>
      <c r="F22808" s="2"/>
      <c r="G22808" s="2"/>
      <c r="H22808" s="2"/>
    </row>
    <row r="22809" spans="1:8" x14ac:dyDescent="0.25">
      <c r="A22809" s="1"/>
      <c r="B22809" s="1" t="s">
        <v>7328</v>
      </c>
      <c r="C22809" s="1" t="s">
        <v>7329</v>
      </c>
      <c r="D22809" s="22" t="str">
        <f>HYPERLINK("https://rhld.insurance.arkansas.gov/NPILookup?Npi=1215985973","1215985973")</f>
        <v>1215985973</v>
      </c>
      <c r="E22809" s="1" t="s">
        <v>12858</v>
      </c>
      <c r="F22809" s="2"/>
      <c r="G22809" s="2"/>
      <c r="H22809" s="2"/>
    </row>
    <row r="22810" spans="1:8" x14ac:dyDescent="0.25">
      <c r="A22810" s="1"/>
      <c r="B22810" s="1" t="s">
        <v>7328</v>
      </c>
      <c r="C22810" s="1" t="s">
        <v>7329</v>
      </c>
      <c r="D22810" s="22" t="str">
        <f>HYPERLINK("https://rhld.insurance.arkansas.gov/NPILookup?Npi=1215993787","1215993787")</f>
        <v>1215993787</v>
      </c>
      <c r="E22810" s="1" t="s">
        <v>1551</v>
      </c>
      <c r="F22810" s="2"/>
      <c r="G22810" s="2"/>
      <c r="H22810" s="2"/>
    </row>
    <row r="22811" spans="1:8" x14ac:dyDescent="0.25">
      <c r="A22811" s="1"/>
      <c r="B22811" s="1" t="s">
        <v>7328</v>
      </c>
      <c r="C22811" s="1" t="s">
        <v>7329</v>
      </c>
      <c r="D22811" s="22" t="str">
        <f>HYPERLINK("https://rhld.insurance.arkansas.gov/NPILookup?Npi=1215999016","1215999016")</f>
        <v>1215999016</v>
      </c>
      <c r="E22811" s="1" t="s">
        <v>17318</v>
      </c>
      <c r="F22811" s="2"/>
      <c r="G22811" s="2"/>
      <c r="H22811" s="2"/>
    </row>
    <row r="22812" spans="1:8" x14ac:dyDescent="0.25">
      <c r="A22812" s="1"/>
      <c r="B22812" s="1" t="s">
        <v>7328</v>
      </c>
      <c r="C22812" s="1" t="s">
        <v>7329</v>
      </c>
      <c r="D22812" s="22" t="str">
        <f>HYPERLINK("https://rhld.insurance.arkansas.gov/NPILookup?Npi=1225003098","1225003098")</f>
        <v>1225003098</v>
      </c>
      <c r="E22812" s="1" t="s">
        <v>7552</v>
      </c>
      <c r="F22812" s="2"/>
      <c r="G22812" s="2"/>
      <c r="H22812" s="2"/>
    </row>
    <row r="22813" spans="1:8" x14ac:dyDescent="0.25">
      <c r="A22813" s="1"/>
      <c r="B22813" s="1" t="s">
        <v>7328</v>
      </c>
      <c r="C22813" s="1" t="s">
        <v>7329</v>
      </c>
      <c r="D22813" s="22" t="str">
        <f>HYPERLINK("https://rhld.insurance.arkansas.gov/NPILookup?Npi=1225014707","1225014707")</f>
        <v>1225014707</v>
      </c>
      <c r="E22813" s="1" t="s">
        <v>7553</v>
      </c>
      <c r="F22813" s="2"/>
      <c r="G22813" s="2"/>
      <c r="H22813" s="2"/>
    </row>
    <row r="22814" spans="1:8" x14ac:dyDescent="0.25">
      <c r="A22814" s="1"/>
      <c r="B22814" s="1" t="s">
        <v>7328</v>
      </c>
      <c r="C22814" s="1" t="s">
        <v>7329</v>
      </c>
      <c r="D22814" s="22" t="str">
        <f>HYPERLINK("https://rhld.insurance.arkansas.gov/NPILookup?Npi=1225018518","1225018518")</f>
        <v>1225018518</v>
      </c>
      <c r="E22814" s="1" t="s">
        <v>17320</v>
      </c>
      <c r="F22814" s="2"/>
      <c r="G22814" s="2"/>
      <c r="H22814" s="2"/>
    </row>
    <row r="22815" spans="1:8" x14ac:dyDescent="0.25">
      <c r="A22815" s="1"/>
      <c r="B22815" s="1" t="s">
        <v>7328</v>
      </c>
      <c r="C22815" s="1" t="s">
        <v>7329</v>
      </c>
      <c r="D22815" s="22" t="str">
        <f>HYPERLINK("https://rhld.insurance.arkansas.gov/NPILookup?Npi=1225024482","1225024482")</f>
        <v>1225024482</v>
      </c>
      <c r="E22815" s="1" t="s">
        <v>26092</v>
      </c>
      <c r="F22815" s="2"/>
      <c r="G22815" s="2"/>
      <c r="H22815" s="2"/>
    </row>
    <row r="22816" spans="1:8" x14ac:dyDescent="0.25">
      <c r="A22816" s="1"/>
      <c r="B22816" s="1" t="s">
        <v>7328</v>
      </c>
      <c r="C22816" s="1" t="s">
        <v>7329</v>
      </c>
      <c r="D22816" s="22" t="str">
        <f>HYPERLINK("https://rhld.insurance.arkansas.gov/NPILookup?Npi=1225050685","1225050685")</f>
        <v>1225050685</v>
      </c>
      <c r="E22816" s="1" t="s">
        <v>12859</v>
      </c>
      <c r="F22816" s="2"/>
      <c r="G22816" s="2"/>
      <c r="H22816" s="2"/>
    </row>
    <row r="22817" spans="1:8" x14ac:dyDescent="0.25">
      <c r="A22817" s="1"/>
      <c r="B22817" s="1" t="s">
        <v>7328</v>
      </c>
      <c r="C22817" s="1" t="s">
        <v>7329</v>
      </c>
      <c r="D22817" s="22" t="str">
        <f>HYPERLINK("https://rhld.insurance.arkansas.gov/NPILookup?Npi=1225051246","1225051246")</f>
        <v>1225051246</v>
      </c>
      <c r="E22817" s="1" t="s">
        <v>26093</v>
      </c>
      <c r="F22817" s="2"/>
      <c r="G22817" s="2"/>
      <c r="H22817" s="2"/>
    </row>
    <row r="22818" spans="1:8" x14ac:dyDescent="0.25">
      <c r="A22818" s="1"/>
      <c r="B22818" s="1" t="s">
        <v>7328</v>
      </c>
      <c r="C22818" s="1" t="s">
        <v>7329</v>
      </c>
      <c r="D22818" s="22" t="str">
        <f>HYPERLINK("https://rhld.insurance.arkansas.gov/NPILookup?Npi=1225056872","1225056872")</f>
        <v>1225056872</v>
      </c>
      <c r="E22818" s="1" t="s">
        <v>12860</v>
      </c>
      <c r="F22818" s="2"/>
      <c r="G22818" s="2"/>
      <c r="H22818" s="2"/>
    </row>
    <row r="22819" spans="1:8" x14ac:dyDescent="0.25">
      <c r="A22819" s="1"/>
      <c r="B22819" s="1" t="s">
        <v>7328</v>
      </c>
      <c r="C22819" s="1" t="s">
        <v>7329</v>
      </c>
      <c r="D22819" s="22" t="str">
        <f>HYPERLINK("https://rhld.insurance.arkansas.gov/NPILookup?Npi=1225065048","1225065048")</f>
        <v>1225065048</v>
      </c>
      <c r="E22819" s="1" t="s">
        <v>2706</v>
      </c>
      <c r="F22819" s="2"/>
      <c r="G22819" s="2"/>
      <c r="H22819" s="2"/>
    </row>
    <row r="22820" spans="1:8" x14ac:dyDescent="0.25">
      <c r="A22820" s="1"/>
      <c r="B22820" s="1" t="s">
        <v>7328</v>
      </c>
      <c r="C22820" s="1" t="s">
        <v>7329</v>
      </c>
      <c r="D22820" s="22" t="str">
        <f>HYPERLINK("https://rhld.insurance.arkansas.gov/NPILookup?Npi=1225072044","1225072044")</f>
        <v>1225072044</v>
      </c>
      <c r="E22820" s="1" t="s">
        <v>98</v>
      </c>
      <c r="F22820" s="2"/>
      <c r="G22820" s="2"/>
      <c r="H22820" s="2"/>
    </row>
    <row r="22821" spans="1:8" x14ac:dyDescent="0.25">
      <c r="A22821" s="1"/>
      <c r="B22821" s="1" t="s">
        <v>7328</v>
      </c>
      <c r="C22821" s="1" t="s">
        <v>7329</v>
      </c>
      <c r="D22821" s="22" t="str">
        <f>HYPERLINK("https://rhld.insurance.arkansas.gov/NPILookup?Npi=1225079189","1225079189")</f>
        <v>1225079189</v>
      </c>
      <c r="E22821" s="1" t="s">
        <v>32156</v>
      </c>
      <c r="F22821" s="2"/>
      <c r="G22821" s="2"/>
      <c r="H22821" s="2"/>
    </row>
    <row r="22822" spans="1:8" x14ac:dyDescent="0.25">
      <c r="A22822" s="1"/>
      <c r="B22822" s="1" t="s">
        <v>7328</v>
      </c>
      <c r="C22822" s="1" t="s">
        <v>7329</v>
      </c>
      <c r="D22822" s="22" t="str">
        <f>HYPERLINK("https://rhld.insurance.arkansas.gov/NPILookup?Npi=1225084577","1225084577")</f>
        <v>1225084577</v>
      </c>
      <c r="E22822" s="1" t="s">
        <v>12861</v>
      </c>
      <c r="F22822" s="2"/>
      <c r="G22822" s="2"/>
      <c r="H22822" s="2"/>
    </row>
    <row r="22823" spans="1:8" x14ac:dyDescent="0.25">
      <c r="A22823" s="1"/>
      <c r="B22823" s="1" t="s">
        <v>7328</v>
      </c>
      <c r="C22823" s="1" t="s">
        <v>7329</v>
      </c>
      <c r="D22823" s="22" t="str">
        <f>HYPERLINK("https://rhld.insurance.arkansas.gov/NPILookup?Npi=1225086630","1225086630")</f>
        <v>1225086630</v>
      </c>
      <c r="E22823" s="1" t="s">
        <v>26094</v>
      </c>
      <c r="F22823" s="2"/>
      <c r="G22823" s="2"/>
      <c r="H22823" s="2"/>
    </row>
    <row r="22824" spans="1:8" x14ac:dyDescent="0.25">
      <c r="A22824" s="1"/>
      <c r="B22824" s="1" t="s">
        <v>7328</v>
      </c>
      <c r="C22824" s="1" t="s">
        <v>7329</v>
      </c>
      <c r="D22824" s="22" t="str">
        <f>HYPERLINK("https://rhld.insurance.arkansas.gov/NPILookup?Npi=1225090962","1225090962")</f>
        <v>1225090962</v>
      </c>
      <c r="E22824" s="1" t="s">
        <v>2707</v>
      </c>
      <c r="F22824" s="2"/>
      <c r="G22824" s="2"/>
      <c r="H22824" s="2"/>
    </row>
    <row r="22825" spans="1:8" x14ac:dyDescent="0.25">
      <c r="A22825" s="1"/>
      <c r="B22825" s="1" t="s">
        <v>7328</v>
      </c>
      <c r="C22825" s="1" t="s">
        <v>7329</v>
      </c>
      <c r="D22825" s="22" t="str">
        <f>HYPERLINK("https://rhld.insurance.arkansas.gov/NPILookup?Npi=1225099922","1225099922")</f>
        <v>1225099922</v>
      </c>
      <c r="E22825" s="1" t="s">
        <v>7554</v>
      </c>
      <c r="F22825" s="2"/>
      <c r="G22825" s="2"/>
      <c r="H22825" s="2"/>
    </row>
    <row r="22826" spans="1:8" x14ac:dyDescent="0.25">
      <c r="A22826" s="1"/>
      <c r="B22826" s="1" t="s">
        <v>7328</v>
      </c>
      <c r="C22826" s="1" t="s">
        <v>7329</v>
      </c>
      <c r="D22826" s="22" t="str">
        <f>HYPERLINK("https://rhld.insurance.arkansas.gov/NPILookup?Npi=1225128796","1225128796")</f>
        <v>1225128796</v>
      </c>
      <c r="E22826" s="1" t="s">
        <v>26095</v>
      </c>
      <c r="F22826" s="2"/>
      <c r="G22826" s="2"/>
      <c r="H22826" s="2"/>
    </row>
    <row r="22827" spans="1:8" x14ac:dyDescent="0.25">
      <c r="A22827" s="1"/>
      <c r="B22827" s="1" t="s">
        <v>7328</v>
      </c>
      <c r="C22827" s="1" t="s">
        <v>7329</v>
      </c>
      <c r="D22827" s="22" t="str">
        <f>HYPERLINK("https://rhld.insurance.arkansas.gov/NPILookup?Npi=1225142607","1225142607")</f>
        <v>1225142607</v>
      </c>
      <c r="E22827" s="1" t="s">
        <v>2708</v>
      </c>
      <c r="F22827" s="2"/>
      <c r="G22827" s="2"/>
      <c r="H22827" s="2"/>
    </row>
    <row r="22828" spans="1:8" x14ac:dyDescent="0.25">
      <c r="A22828" s="1"/>
      <c r="B22828" s="1" t="s">
        <v>7328</v>
      </c>
      <c r="C22828" s="1" t="s">
        <v>7329</v>
      </c>
      <c r="D22828" s="22" t="str">
        <f>HYPERLINK("https://rhld.insurance.arkansas.gov/NPILookup?Npi=1225148315","1225148315")</f>
        <v>1225148315</v>
      </c>
      <c r="E22828" s="1" t="s">
        <v>26096</v>
      </c>
      <c r="F22828" s="2"/>
      <c r="G22828" s="2"/>
      <c r="H22828" s="2"/>
    </row>
    <row r="22829" spans="1:8" x14ac:dyDescent="0.25">
      <c r="A22829" s="1"/>
      <c r="B22829" s="1" t="s">
        <v>7328</v>
      </c>
      <c r="C22829" s="1" t="s">
        <v>7329</v>
      </c>
      <c r="D22829" s="22" t="str">
        <f>HYPERLINK("https://rhld.insurance.arkansas.gov/NPILookup?Npi=1225149685","1225149685")</f>
        <v>1225149685</v>
      </c>
      <c r="E22829" s="1" t="s">
        <v>26097</v>
      </c>
      <c r="F22829" s="2"/>
      <c r="G22829" s="2"/>
      <c r="H22829" s="2"/>
    </row>
    <row r="22830" spans="1:8" x14ac:dyDescent="0.25">
      <c r="A22830" s="1"/>
      <c r="B22830" s="1" t="s">
        <v>7328</v>
      </c>
      <c r="C22830" s="1" t="s">
        <v>7329</v>
      </c>
      <c r="D22830" s="22" t="str">
        <f>HYPERLINK("https://rhld.insurance.arkansas.gov/NPILookup?Npi=1225162779","1225162779")</f>
        <v>1225162779</v>
      </c>
      <c r="E22830" s="1" t="s">
        <v>26098</v>
      </c>
      <c r="F22830" s="2"/>
      <c r="G22830" s="2"/>
      <c r="H22830" s="2"/>
    </row>
    <row r="22831" spans="1:8" x14ac:dyDescent="0.25">
      <c r="A22831" s="1"/>
      <c r="B22831" s="1" t="s">
        <v>7328</v>
      </c>
      <c r="C22831" s="1" t="s">
        <v>7329</v>
      </c>
      <c r="D22831" s="22" t="str">
        <f>HYPERLINK("https://rhld.insurance.arkansas.gov/NPILookup?Npi=1225188121","1225188121")</f>
        <v>1225188121</v>
      </c>
      <c r="E22831" s="1" t="s">
        <v>12862</v>
      </c>
      <c r="F22831" s="2"/>
      <c r="G22831" s="2"/>
      <c r="H22831" s="2"/>
    </row>
    <row r="22832" spans="1:8" x14ac:dyDescent="0.25">
      <c r="A22832" s="1"/>
      <c r="B22832" s="1" t="s">
        <v>7328</v>
      </c>
      <c r="C22832" s="1" t="s">
        <v>7329</v>
      </c>
      <c r="D22832" s="22" t="str">
        <f>HYPERLINK("https://rhld.insurance.arkansas.gov/NPILookup?Npi=1225194178","1225194178")</f>
        <v>1225194178</v>
      </c>
      <c r="E22832" s="1" t="s">
        <v>10253</v>
      </c>
      <c r="F22832" s="2"/>
      <c r="G22832" s="2"/>
      <c r="H22832" s="2"/>
    </row>
    <row r="22833" spans="1:8" x14ac:dyDescent="0.25">
      <c r="A22833" s="1"/>
      <c r="B22833" s="1" t="s">
        <v>7328</v>
      </c>
      <c r="C22833" s="1" t="s">
        <v>7329</v>
      </c>
      <c r="D22833" s="22" t="str">
        <f>HYPERLINK("https://rhld.insurance.arkansas.gov/NPILookup?Npi=1225200546","1225200546")</f>
        <v>1225200546</v>
      </c>
      <c r="E22833" s="1" t="s">
        <v>248</v>
      </c>
      <c r="F22833" s="2"/>
      <c r="G22833" s="2"/>
      <c r="H22833" s="2"/>
    </row>
    <row r="22834" spans="1:8" x14ac:dyDescent="0.25">
      <c r="A22834" s="1"/>
      <c r="B22834" s="1" t="s">
        <v>7328</v>
      </c>
      <c r="C22834" s="1" t="s">
        <v>7329</v>
      </c>
      <c r="D22834" s="22" t="str">
        <f>HYPERLINK("https://rhld.insurance.arkansas.gov/NPILookup?Npi=1225206436","1225206436")</f>
        <v>1225206436</v>
      </c>
      <c r="E22834" s="1" t="s">
        <v>251</v>
      </c>
      <c r="F22834" s="2"/>
      <c r="G22834" s="2"/>
      <c r="H22834" s="2"/>
    </row>
    <row r="22835" spans="1:8" x14ac:dyDescent="0.25">
      <c r="A22835" s="1"/>
      <c r="B22835" s="1" t="s">
        <v>7328</v>
      </c>
      <c r="C22835" s="1" t="s">
        <v>7329</v>
      </c>
      <c r="D22835" s="22" t="str">
        <f>HYPERLINK("https://rhld.insurance.arkansas.gov/NPILookup?Npi=1225213812","1225213812")</f>
        <v>1225213812</v>
      </c>
      <c r="E22835" s="1" t="s">
        <v>12863</v>
      </c>
      <c r="F22835" s="2"/>
      <c r="G22835" s="2"/>
      <c r="H22835" s="2"/>
    </row>
    <row r="22836" spans="1:8" x14ac:dyDescent="0.25">
      <c r="A22836" s="1"/>
      <c r="B22836" s="1" t="s">
        <v>7328</v>
      </c>
      <c r="C22836" s="1" t="s">
        <v>7329</v>
      </c>
      <c r="D22836" s="22" t="str">
        <f>HYPERLINK("https://rhld.insurance.arkansas.gov/NPILookup?Npi=1225232952","1225232952")</f>
        <v>1225232952</v>
      </c>
      <c r="E22836" s="1" t="s">
        <v>26099</v>
      </c>
      <c r="F22836" s="2"/>
      <c r="G22836" s="2"/>
      <c r="H22836" s="2"/>
    </row>
    <row r="22837" spans="1:8" x14ac:dyDescent="0.25">
      <c r="A22837" s="1"/>
      <c r="B22837" s="1" t="s">
        <v>7328</v>
      </c>
      <c r="C22837" s="1" t="s">
        <v>7329</v>
      </c>
      <c r="D22837" s="22" t="str">
        <f>HYPERLINK("https://rhld.insurance.arkansas.gov/NPILookup?Npi=1225261779","1225261779")</f>
        <v>1225261779</v>
      </c>
      <c r="E22837" s="1" t="s">
        <v>1990</v>
      </c>
      <c r="F22837" s="2"/>
      <c r="G22837" s="2"/>
      <c r="H22837" s="2"/>
    </row>
    <row r="22838" spans="1:8" x14ac:dyDescent="0.25">
      <c r="A22838" s="1"/>
      <c r="B22838" s="1" t="s">
        <v>7328</v>
      </c>
      <c r="C22838" s="1" t="s">
        <v>7329</v>
      </c>
      <c r="D22838" s="22" t="str">
        <f>HYPERLINK("https://rhld.insurance.arkansas.gov/NPILookup?Npi=1225292592","1225292592")</f>
        <v>1225292592</v>
      </c>
      <c r="E22838" s="1" t="s">
        <v>26100</v>
      </c>
      <c r="F22838" s="2"/>
      <c r="G22838" s="2"/>
      <c r="H22838" s="2"/>
    </row>
    <row r="22839" spans="1:8" x14ac:dyDescent="0.25">
      <c r="A22839" s="1"/>
      <c r="B22839" s="1" t="s">
        <v>7328</v>
      </c>
      <c r="C22839" s="1" t="s">
        <v>7329</v>
      </c>
      <c r="D22839" s="22" t="str">
        <f>HYPERLINK("https://rhld.insurance.arkansas.gov/NPILookup?Npi=1225295322","1225295322")</f>
        <v>1225295322</v>
      </c>
      <c r="E22839" s="1" t="s">
        <v>26101</v>
      </c>
      <c r="F22839" s="2"/>
      <c r="G22839" s="2"/>
      <c r="H22839" s="2"/>
    </row>
    <row r="22840" spans="1:8" x14ac:dyDescent="0.25">
      <c r="A22840" s="1"/>
      <c r="B22840" s="1" t="s">
        <v>7328</v>
      </c>
      <c r="C22840" s="1" t="s">
        <v>7329</v>
      </c>
      <c r="D22840" s="22" t="str">
        <f>HYPERLINK("https://rhld.insurance.arkansas.gov/NPILookup?Npi=1225297260","1225297260")</f>
        <v>1225297260</v>
      </c>
      <c r="E22840" s="1" t="s">
        <v>26102</v>
      </c>
      <c r="F22840" s="2"/>
      <c r="G22840" s="2"/>
      <c r="H22840" s="2"/>
    </row>
    <row r="22841" spans="1:8" x14ac:dyDescent="0.25">
      <c r="A22841" s="1"/>
      <c r="B22841" s="1" t="s">
        <v>7328</v>
      </c>
      <c r="C22841" s="1" t="s">
        <v>7329</v>
      </c>
      <c r="D22841" s="22" t="str">
        <f>HYPERLINK("https://rhld.insurance.arkansas.gov/NPILookup?Npi=1225297666","1225297666")</f>
        <v>1225297666</v>
      </c>
      <c r="E22841" s="1" t="s">
        <v>7555</v>
      </c>
      <c r="F22841" s="2"/>
      <c r="G22841" s="2"/>
      <c r="H22841" s="2"/>
    </row>
    <row r="22842" spans="1:8" x14ac:dyDescent="0.25">
      <c r="A22842" s="1"/>
      <c r="B22842" s="1" t="s">
        <v>7328</v>
      </c>
      <c r="C22842" s="1" t="s">
        <v>7329</v>
      </c>
      <c r="D22842" s="22" t="str">
        <f>HYPERLINK("https://rhld.insurance.arkansas.gov/NPILookup?Npi=1225299761","1225299761")</f>
        <v>1225299761</v>
      </c>
      <c r="E22842" s="1" t="s">
        <v>1086</v>
      </c>
      <c r="F22842" s="2"/>
      <c r="G22842" s="2"/>
      <c r="H22842" s="2"/>
    </row>
    <row r="22843" spans="1:8" x14ac:dyDescent="0.25">
      <c r="A22843" s="1"/>
      <c r="B22843" s="1" t="s">
        <v>7328</v>
      </c>
      <c r="C22843" s="1" t="s">
        <v>7329</v>
      </c>
      <c r="D22843" s="22" t="str">
        <f>HYPERLINK("https://rhld.insurance.arkansas.gov/NPILookup?Npi=1225304801","1225304801")</f>
        <v>1225304801</v>
      </c>
      <c r="E22843" s="1" t="s">
        <v>32157</v>
      </c>
      <c r="F22843" s="2"/>
      <c r="G22843" s="2"/>
      <c r="H22843" s="2"/>
    </row>
    <row r="22844" spans="1:8" x14ac:dyDescent="0.25">
      <c r="A22844" s="1"/>
      <c r="B22844" s="1" t="s">
        <v>7328</v>
      </c>
      <c r="C22844" s="1" t="s">
        <v>7329</v>
      </c>
      <c r="D22844" s="22" t="str">
        <f>HYPERLINK("https://rhld.insurance.arkansas.gov/NPILookup?Npi=1225309883","1225309883")</f>
        <v>1225309883</v>
      </c>
      <c r="E22844" s="1" t="s">
        <v>12864</v>
      </c>
      <c r="F22844" s="2"/>
      <c r="G22844" s="2"/>
      <c r="H22844" s="2"/>
    </row>
    <row r="22845" spans="1:8" x14ac:dyDescent="0.25">
      <c r="A22845" s="1"/>
      <c r="B22845" s="1" t="s">
        <v>7328</v>
      </c>
      <c r="C22845" s="1" t="s">
        <v>7329</v>
      </c>
      <c r="D22845" s="22" t="str">
        <f>HYPERLINK("https://rhld.insurance.arkansas.gov/NPILookup?Npi=1225323595","1225323595")</f>
        <v>1225323595</v>
      </c>
      <c r="E22845" s="1" t="s">
        <v>12865</v>
      </c>
      <c r="F22845" s="2"/>
      <c r="G22845" s="2"/>
      <c r="H22845" s="2"/>
    </row>
    <row r="22846" spans="1:8" x14ac:dyDescent="0.25">
      <c r="A22846" s="1"/>
      <c r="B22846" s="1" t="s">
        <v>7328</v>
      </c>
      <c r="C22846" s="1" t="s">
        <v>7329</v>
      </c>
      <c r="D22846" s="22" t="str">
        <f>HYPERLINK("https://rhld.insurance.arkansas.gov/NPILookup?Npi=1225335953","1225335953")</f>
        <v>1225335953</v>
      </c>
      <c r="E22846" s="1" t="s">
        <v>7556</v>
      </c>
      <c r="F22846" s="2"/>
      <c r="G22846" s="2"/>
      <c r="H22846" s="2"/>
    </row>
    <row r="22847" spans="1:8" x14ac:dyDescent="0.25">
      <c r="A22847" s="1"/>
      <c r="B22847" s="1" t="s">
        <v>7328</v>
      </c>
      <c r="C22847" s="1" t="s">
        <v>7329</v>
      </c>
      <c r="D22847" s="22" t="str">
        <f>HYPERLINK("https://rhld.insurance.arkansas.gov/NPILookup?Npi=1225339385","1225339385")</f>
        <v>1225339385</v>
      </c>
      <c r="E22847" s="1" t="s">
        <v>32158</v>
      </c>
      <c r="F22847" s="2"/>
      <c r="G22847" s="2"/>
      <c r="H22847" s="2"/>
    </row>
    <row r="22848" spans="1:8" x14ac:dyDescent="0.25">
      <c r="A22848" s="1"/>
      <c r="B22848" s="1" t="s">
        <v>7328</v>
      </c>
      <c r="C22848" s="1" t="s">
        <v>7329</v>
      </c>
      <c r="D22848" s="22" t="str">
        <f>HYPERLINK("https://rhld.insurance.arkansas.gov/NPILookup?Npi=1225349251","1225349251")</f>
        <v>1225349251</v>
      </c>
      <c r="E22848" s="1" t="s">
        <v>7557</v>
      </c>
      <c r="F22848" s="2"/>
      <c r="G22848" s="2"/>
      <c r="H22848" s="2"/>
    </row>
    <row r="22849" spans="1:8" x14ac:dyDescent="0.25">
      <c r="A22849" s="1"/>
      <c r="B22849" s="1" t="s">
        <v>7328</v>
      </c>
      <c r="C22849" s="1" t="s">
        <v>7329</v>
      </c>
      <c r="D22849" s="22" t="str">
        <f>HYPERLINK("https://rhld.insurance.arkansas.gov/NPILookup?Npi=1225357635","1225357635")</f>
        <v>1225357635</v>
      </c>
      <c r="E22849" s="1" t="s">
        <v>26104</v>
      </c>
      <c r="F22849" s="2"/>
      <c r="G22849" s="2"/>
      <c r="H22849" s="2"/>
    </row>
    <row r="22850" spans="1:8" x14ac:dyDescent="0.25">
      <c r="A22850" s="1"/>
      <c r="B22850" s="1" t="s">
        <v>7328</v>
      </c>
      <c r="C22850" s="1" t="s">
        <v>7329</v>
      </c>
      <c r="D22850" s="22" t="str">
        <f>HYPERLINK("https://rhld.insurance.arkansas.gov/NPILookup?Npi=1225373749","1225373749")</f>
        <v>1225373749</v>
      </c>
      <c r="E22850" s="1" t="s">
        <v>26105</v>
      </c>
      <c r="F22850" s="2"/>
      <c r="G22850" s="2"/>
      <c r="H22850" s="2"/>
    </row>
    <row r="22851" spans="1:8" x14ac:dyDescent="0.25">
      <c r="A22851" s="1"/>
      <c r="B22851" s="1" t="s">
        <v>7328</v>
      </c>
      <c r="C22851" s="1" t="s">
        <v>7329</v>
      </c>
      <c r="D22851" s="22" t="str">
        <f>HYPERLINK("https://rhld.insurance.arkansas.gov/NPILookup?Npi=1225376411","1225376411")</f>
        <v>1225376411</v>
      </c>
      <c r="E22851" s="1" t="s">
        <v>26106</v>
      </c>
      <c r="F22851" s="2"/>
      <c r="G22851" s="2"/>
      <c r="H22851" s="2"/>
    </row>
    <row r="22852" spans="1:8" x14ac:dyDescent="0.25">
      <c r="A22852" s="1"/>
      <c r="B22852" s="1" t="s">
        <v>7328</v>
      </c>
      <c r="C22852" s="1" t="s">
        <v>7329</v>
      </c>
      <c r="D22852" s="22" t="str">
        <f>HYPERLINK("https://rhld.insurance.arkansas.gov/NPILookup?Npi=1225408057","1225408057")</f>
        <v>1225408057</v>
      </c>
      <c r="E22852" s="1" t="s">
        <v>26107</v>
      </c>
      <c r="F22852" s="2"/>
      <c r="G22852" s="2"/>
      <c r="H22852" s="2"/>
    </row>
    <row r="22853" spans="1:8" x14ac:dyDescent="0.25">
      <c r="A22853" s="1"/>
      <c r="B22853" s="1" t="s">
        <v>7328</v>
      </c>
      <c r="C22853" s="1" t="s">
        <v>7329</v>
      </c>
      <c r="D22853" s="22" t="str">
        <f>HYPERLINK("https://rhld.insurance.arkansas.gov/NPILookup?Npi=1225413693","1225413693")</f>
        <v>1225413693</v>
      </c>
      <c r="E22853" s="1" t="s">
        <v>26108</v>
      </c>
      <c r="F22853" s="2"/>
      <c r="G22853" s="2"/>
      <c r="H22853" s="2"/>
    </row>
    <row r="22854" spans="1:8" x14ac:dyDescent="0.25">
      <c r="A22854" s="1"/>
      <c r="B22854" s="1" t="s">
        <v>7328</v>
      </c>
      <c r="C22854" s="1" t="s">
        <v>7329</v>
      </c>
      <c r="D22854" s="22" t="str">
        <f>HYPERLINK("https://rhld.insurance.arkansas.gov/NPILookup?Npi=1225424146","1225424146")</f>
        <v>1225424146</v>
      </c>
      <c r="E22854" s="1" t="s">
        <v>268</v>
      </c>
      <c r="F22854" s="2"/>
      <c r="G22854" s="2"/>
      <c r="H22854" s="2"/>
    </row>
    <row r="22855" spans="1:8" x14ac:dyDescent="0.25">
      <c r="A22855" s="1"/>
      <c r="B22855" s="1" t="s">
        <v>7328</v>
      </c>
      <c r="C22855" s="1" t="s">
        <v>7329</v>
      </c>
      <c r="D22855" s="22" t="str">
        <f>HYPERLINK("https://rhld.insurance.arkansas.gov/NPILookup?Npi=1225484512","1225484512")</f>
        <v>1225484512</v>
      </c>
      <c r="E22855" s="1" t="s">
        <v>20578</v>
      </c>
      <c r="F22855" s="2"/>
      <c r="G22855" s="2"/>
      <c r="H22855" s="2"/>
    </row>
    <row r="22856" spans="1:8" x14ac:dyDescent="0.25">
      <c r="A22856" s="1"/>
      <c r="B22856" s="1" t="s">
        <v>7328</v>
      </c>
      <c r="C22856" s="1" t="s">
        <v>7329</v>
      </c>
      <c r="D22856" s="22" t="str">
        <f>HYPERLINK("https://rhld.insurance.arkansas.gov/NPILookup?Npi=1225490600","1225490600")</f>
        <v>1225490600</v>
      </c>
      <c r="E22856" s="1" t="s">
        <v>26109</v>
      </c>
      <c r="F22856" s="2"/>
      <c r="G22856" s="2"/>
      <c r="H22856" s="2"/>
    </row>
    <row r="22857" spans="1:8" x14ac:dyDescent="0.25">
      <c r="A22857" s="1"/>
      <c r="B22857" s="1" t="s">
        <v>7328</v>
      </c>
      <c r="C22857" s="1" t="s">
        <v>7329</v>
      </c>
      <c r="D22857" s="22" t="str">
        <f>HYPERLINK("https://rhld.insurance.arkansas.gov/NPILookup?Npi=1225498074","1225498074")</f>
        <v>1225498074</v>
      </c>
      <c r="E22857" s="1" t="s">
        <v>26110</v>
      </c>
      <c r="F22857" s="2"/>
      <c r="G22857" s="2"/>
      <c r="H22857" s="2"/>
    </row>
    <row r="22858" spans="1:8" x14ac:dyDescent="0.25">
      <c r="A22858" s="1"/>
      <c r="B22858" s="1" t="s">
        <v>7328</v>
      </c>
      <c r="C22858" s="1" t="s">
        <v>7329</v>
      </c>
      <c r="D22858" s="22" t="str">
        <f>HYPERLINK("https://rhld.insurance.arkansas.gov/NPILookup?Npi=1225502297","1225502297")</f>
        <v>1225502297</v>
      </c>
      <c r="E22858" s="1" t="s">
        <v>26111</v>
      </c>
      <c r="F22858" s="2"/>
      <c r="G22858" s="2"/>
      <c r="H22858" s="2"/>
    </row>
    <row r="22859" spans="1:8" x14ac:dyDescent="0.25">
      <c r="A22859" s="1"/>
      <c r="B22859" s="1" t="s">
        <v>7328</v>
      </c>
      <c r="C22859" s="1" t="s">
        <v>7329</v>
      </c>
      <c r="D22859" s="22" t="str">
        <f>HYPERLINK("https://rhld.insurance.arkansas.gov/NPILookup?Npi=1225503642","1225503642")</f>
        <v>1225503642</v>
      </c>
      <c r="E22859" s="1" t="s">
        <v>26112</v>
      </c>
      <c r="F22859" s="2"/>
      <c r="G22859" s="2"/>
      <c r="H22859" s="2"/>
    </row>
    <row r="22860" spans="1:8" x14ac:dyDescent="0.25">
      <c r="A22860" s="1"/>
      <c r="B22860" s="1" t="s">
        <v>7328</v>
      </c>
      <c r="C22860" s="1" t="s">
        <v>7329</v>
      </c>
      <c r="D22860" s="22" t="str">
        <f>HYPERLINK("https://rhld.insurance.arkansas.gov/NPILookup?Npi=1225512635","1225512635")</f>
        <v>1225512635</v>
      </c>
      <c r="E22860" s="1" t="s">
        <v>1375</v>
      </c>
      <c r="F22860" s="2"/>
      <c r="G22860" s="2"/>
      <c r="H22860" s="2"/>
    </row>
    <row r="22861" spans="1:8" x14ac:dyDescent="0.25">
      <c r="A22861" s="1"/>
      <c r="B22861" s="1" t="s">
        <v>7328</v>
      </c>
      <c r="C22861" s="1" t="s">
        <v>7329</v>
      </c>
      <c r="D22861" s="22" t="str">
        <f>HYPERLINK("https://rhld.insurance.arkansas.gov/NPILookup?Npi=1225516826","1225516826")</f>
        <v>1225516826</v>
      </c>
      <c r="E22861" s="1" t="s">
        <v>2710</v>
      </c>
      <c r="F22861" s="2"/>
      <c r="G22861" s="2"/>
      <c r="H22861" s="2"/>
    </row>
    <row r="22862" spans="1:8" x14ac:dyDescent="0.25">
      <c r="A22862" s="1"/>
      <c r="B22862" s="1" t="s">
        <v>7328</v>
      </c>
      <c r="C22862" s="1" t="s">
        <v>7329</v>
      </c>
      <c r="D22862" s="22" t="str">
        <f>HYPERLINK("https://rhld.insurance.arkansas.gov/NPILookup?Npi=1225518384","1225518384")</f>
        <v>1225518384</v>
      </c>
      <c r="E22862" s="1" t="s">
        <v>21566</v>
      </c>
      <c r="F22862" s="2"/>
      <c r="G22862" s="2"/>
      <c r="H22862" s="2"/>
    </row>
    <row r="22863" spans="1:8" x14ac:dyDescent="0.25">
      <c r="A22863" s="1"/>
      <c r="B22863" s="1" t="s">
        <v>7328</v>
      </c>
      <c r="C22863" s="1" t="s">
        <v>7329</v>
      </c>
      <c r="D22863" s="22" t="str">
        <f>HYPERLINK("https://rhld.insurance.arkansas.gov/NPILookup?Npi=1225528540","1225528540")</f>
        <v>1225528540</v>
      </c>
      <c r="E22863" s="1" t="s">
        <v>17327</v>
      </c>
      <c r="F22863" s="2"/>
      <c r="G22863" s="2"/>
      <c r="H22863" s="2"/>
    </row>
    <row r="22864" spans="1:8" x14ac:dyDescent="0.25">
      <c r="A22864" s="1"/>
      <c r="B22864" s="1" t="s">
        <v>7328</v>
      </c>
      <c r="C22864" s="1" t="s">
        <v>7329</v>
      </c>
      <c r="D22864" s="22" t="str">
        <f>HYPERLINK("https://rhld.insurance.arkansas.gov/NPILookup?Npi=1225535024","1225535024")</f>
        <v>1225535024</v>
      </c>
      <c r="E22864" s="1" t="s">
        <v>13712</v>
      </c>
      <c r="F22864" s="2"/>
      <c r="G22864" s="2"/>
      <c r="H22864" s="2"/>
    </row>
    <row r="22865" spans="1:8" x14ac:dyDescent="0.25">
      <c r="A22865" s="1"/>
      <c r="B22865" s="1" t="s">
        <v>7328</v>
      </c>
      <c r="C22865" s="1" t="s">
        <v>7329</v>
      </c>
      <c r="D22865" s="22" t="str">
        <f>HYPERLINK("https://rhld.insurance.arkansas.gov/NPILookup?Npi=1225542723","1225542723")</f>
        <v>1225542723</v>
      </c>
      <c r="E22865" s="1" t="s">
        <v>26113</v>
      </c>
      <c r="F22865" s="2"/>
      <c r="G22865" s="2"/>
      <c r="H22865" s="2"/>
    </row>
    <row r="22866" spans="1:8" x14ac:dyDescent="0.25">
      <c r="A22866" s="1"/>
      <c r="B22866" s="1" t="s">
        <v>7328</v>
      </c>
      <c r="C22866" s="1" t="s">
        <v>7329</v>
      </c>
      <c r="D22866" s="22" t="str">
        <f>HYPERLINK("https://rhld.insurance.arkansas.gov/NPILookup?Npi=1225547763","1225547763")</f>
        <v>1225547763</v>
      </c>
      <c r="E22866" s="1" t="s">
        <v>12867</v>
      </c>
      <c r="F22866" s="2"/>
      <c r="G22866" s="2"/>
      <c r="H22866" s="2"/>
    </row>
    <row r="22867" spans="1:8" x14ac:dyDescent="0.25">
      <c r="A22867" s="1"/>
      <c r="B22867" s="1" t="s">
        <v>7328</v>
      </c>
      <c r="C22867" s="1" t="s">
        <v>7329</v>
      </c>
      <c r="D22867" s="22" t="str">
        <f>HYPERLINK("https://rhld.insurance.arkansas.gov/NPILookup?Npi=1225556632","1225556632")</f>
        <v>1225556632</v>
      </c>
      <c r="E22867" s="1" t="s">
        <v>1022</v>
      </c>
      <c r="F22867" s="2"/>
      <c r="G22867" s="2"/>
      <c r="H22867" s="2"/>
    </row>
    <row r="22868" spans="1:8" x14ac:dyDescent="0.25">
      <c r="A22868" s="1"/>
      <c r="B22868" s="1" t="s">
        <v>7328</v>
      </c>
      <c r="C22868" s="1" t="s">
        <v>7329</v>
      </c>
      <c r="D22868" s="22" t="str">
        <f>HYPERLINK("https://rhld.insurance.arkansas.gov/NPILookup?Npi=1225559800","1225559800")</f>
        <v>1225559800</v>
      </c>
      <c r="E22868" s="1" t="s">
        <v>26114</v>
      </c>
      <c r="F22868" s="2"/>
      <c r="G22868" s="2"/>
      <c r="H22868" s="2"/>
    </row>
    <row r="22869" spans="1:8" x14ac:dyDescent="0.25">
      <c r="A22869" s="1"/>
      <c r="B22869" s="1" t="s">
        <v>7328</v>
      </c>
      <c r="C22869" s="1" t="s">
        <v>7329</v>
      </c>
      <c r="D22869" s="22" t="str">
        <f>HYPERLINK("https://rhld.insurance.arkansas.gov/NPILookup?Npi=1225560162","1225560162")</f>
        <v>1225560162</v>
      </c>
      <c r="E22869" s="1" t="s">
        <v>846</v>
      </c>
      <c r="F22869" s="2"/>
      <c r="G22869" s="2"/>
      <c r="H22869" s="2"/>
    </row>
    <row r="22870" spans="1:8" x14ac:dyDescent="0.25">
      <c r="A22870" s="1"/>
      <c r="B22870" s="1" t="s">
        <v>7328</v>
      </c>
      <c r="C22870" s="1" t="s">
        <v>7329</v>
      </c>
      <c r="D22870" s="22" t="str">
        <f>HYPERLINK("https://rhld.insurance.arkansas.gov/NPILookup?Npi=1225565948","1225565948")</f>
        <v>1225565948</v>
      </c>
      <c r="E22870" s="1" t="s">
        <v>7558</v>
      </c>
      <c r="F22870" s="2"/>
      <c r="G22870" s="2"/>
      <c r="H22870" s="2"/>
    </row>
    <row r="22871" spans="1:8" x14ac:dyDescent="0.25">
      <c r="A22871" s="1"/>
      <c r="B22871" s="1" t="s">
        <v>7328</v>
      </c>
      <c r="C22871" s="1" t="s">
        <v>7329</v>
      </c>
      <c r="D22871" s="22" t="str">
        <f>HYPERLINK("https://rhld.insurance.arkansas.gov/NPILookup?Npi=1225568272","1225568272")</f>
        <v>1225568272</v>
      </c>
      <c r="E22871" s="1" t="s">
        <v>2711</v>
      </c>
      <c r="F22871" s="2"/>
      <c r="G22871" s="2"/>
      <c r="H22871" s="2"/>
    </row>
    <row r="22872" spans="1:8" x14ac:dyDescent="0.25">
      <c r="A22872" s="1"/>
      <c r="B22872" s="1" t="s">
        <v>7328</v>
      </c>
      <c r="C22872" s="1" t="s">
        <v>7329</v>
      </c>
      <c r="D22872" s="22" t="str">
        <f>HYPERLINK("https://rhld.insurance.arkansas.gov/NPILookup?Npi=1225573249","1225573249")</f>
        <v>1225573249</v>
      </c>
      <c r="E22872" s="1" t="s">
        <v>7559</v>
      </c>
      <c r="F22872" s="2"/>
      <c r="G22872" s="2"/>
      <c r="H22872" s="2"/>
    </row>
    <row r="22873" spans="1:8" x14ac:dyDescent="0.25">
      <c r="A22873" s="1"/>
      <c r="B22873" s="1" t="s">
        <v>7328</v>
      </c>
      <c r="C22873" s="1" t="s">
        <v>7329</v>
      </c>
      <c r="D22873" s="22" t="str">
        <f>HYPERLINK("https://rhld.insurance.arkansas.gov/NPILookup?Npi=1225594336","1225594336")</f>
        <v>1225594336</v>
      </c>
      <c r="E22873" s="1" t="s">
        <v>26115</v>
      </c>
      <c r="F22873" s="2"/>
      <c r="G22873" s="2"/>
      <c r="H22873" s="2"/>
    </row>
    <row r="22874" spans="1:8" x14ac:dyDescent="0.25">
      <c r="A22874" s="1"/>
      <c r="B22874" s="1" t="s">
        <v>7328</v>
      </c>
      <c r="C22874" s="1" t="s">
        <v>7329</v>
      </c>
      <c r="D22874" s="22" t="str">
        <f>HYPERLINK("https://rhld.insurance.arkansas.gov/NPILookup?Npi=1225599863","1225599863")</f>
        <v>1225599863</v>
      </c>
      <c r="E22874" s="1" t="s">
        <v>26116</v>
      </c>
      <c r="F22874" s="2"/>
      <c r="G22874" s="2"/>
      <c r="H22874" s="2"/>
    </row>
    <row r="22875" spans="1:8" x14ac:dyDescent="0.25">
      <c r="A22875" s="1"/>
      <c r="B22875" s="1" t="s">
        <v>7328</v>
      </c>
      <c r="C22875" s="1" t="s">
        <v>7329</v>
      </c>
      <c r="D22875" s="22" t="str">
        <f>HYPERLINK("https://rhld.insurance.arkansas.gov/NPILookup?Npi=1225602170","1225602170")</f>
        <v>1225602170</v>
      </c>
      <c r="E22875" s="1" t="s">
        <v>26117</v>
      </c>
      <c r="F22875" s="2"/>
      <c r="G22875" s="2"/>
      <c r="H22875" s="2"/>
    </row>
    <row r="22876" spans="1:8" x14ac:dyDescent="0.25">
      <c r="A22876" s="1"/>
      <c r="B22876" s="1" t="s">
        <v>7328</v>
      </c>
      <c r="C22876" s="1" t="s">
        <v>7329</v>
      </c>
      <c r="D22876" s="22" t="str">
        <f>HYPERLINK("https://rhld.insurance.arkansas.gov/NPILookup?Npi=1225607724","1225607724")</f>
        <v>1225607724</v>
      </c>
      <c r="E22876" s="1" t="s">
        <v>26118</v>
      </c>
      <c r="F22876" s="2"/>
      <c r="G22876" s="2"/>
      <c r="H22876" s="2"/>
    </row>
    <row r="22877" spans="1:8" x14ac:dyDescent="0.25">
      <c r="A22877" s="1"/>
      <c r="B22877" s="1" t="s">
        <v>7328</v>
      </c>
      <c r="C22877" s="1" t="s">
        <v>7329</v>
      </c>
      <c r="D22877" s="22" t="str">
        <f>HYPERLINK("https://rhld.insurance.arkansas.gov/NPILookup?Npi=1225615784","1225615784")</f>
        <v>1225615784</v>
      </c>
      <c r="E22877" s="1" t="s">
        <v>17328</v>
      </c>
      <c r="F22877" s="2"/>
      <c r="G22877" s="2"/>
      <c r="H22877" s="2"/>
    </row>
    <row r="22878" spans="1:8" x14ac:dyDescent="0.25">
      <c r="A22878" s="1"/>
      <c r="B22878" s="1" t="s">
        <v>7328</v>
      </c>
      <c r="C22878" s="1" t="s">
        <v>7329</v>
      </c>
      <c r="D22878" s="22" t="str">
        <f>HYPERLINK("https://rhld.insurance.arkansas.gov/NPILookup?Npi=1225620149","1225620149")</f>
        <v>1225620149</v>
      </c>
      <c r="E22878" s="1" t="s">
        <v>21569</v>
      </c>
      <c r="F22878" s="2"/>
      <c r="G22878" s="2"/>
      <c r="H22878" s="2"/>
    </row>
    <row r="22879" spans="1:8" x14ac:dyDescent="0.25">
      <c r="A22879" s="1"/>
      <c r="B22879" s="1" t="s">
        <v>7328</v>
      </c>
      <c r="C22879" s="1" t="s">
        <v>7329</v>
      </c>
      <c r="D22879" s="22" t="str">
        <f>HYPERLINK("https://rhld.insurance.arkansas.gov/NPILookup?Npi=1225622608","1225622608")</f>
        <v>1225622608</v>
      </c>
      <c r="E22879" s="1" t="s">
        <v>12868</v>
      </c>
      <c r="F22879" s="2"/>
      <c r="G22879" s="2"/>
      <c r="H22879" s="2"/>
    </row>
    <row r="22880" spans="1:8" x14ac:dyDescent="0.25">
      <c r="A22880" s="1"/>
      <c r="B22880" s="1" t="s">
        <v>7328</v>
      </c>
      <c r="C22880" s="1" t="s">
        <v>7329</v>
      </c>
      <c r="D22880" s="22" t="str">
        <f>HYPERLINK("https://rhld.insurance.arkansas.gov/NPILookup?Npi=1225650138","1225650138")</f>
        <v>1225650138</v>
      </c>
      <c r="E22880" s="1" t="s">
        <v>26119</v>
      </c>
      <c r="F22880" s="2"/>
      <c r="G22880" s="2"/>
      <c r="H22880" s="2"/>
    </row>
    <row r="22881" spans="1:8" x14ac:dyDescent="0.25">
      <c r="A22881" s="1"/>
      <c r="B22881" s="1" t="s">
        <v>7328</v>
      </c>
      <c r="C22881" s="1" t="s">
        <v>7329</v>
      </c>
      <c r="D22881" s="22" t="str">
        <f>HYPERLINK("https://rhld.insurance.arkansas.gov/NPILookup?Npi=1225658149","1225658149")</f>
        <v>1225658149</v>
      </c>
      <c r="E22881" s="1" t="s">
        <v>2712</v>
      </c>
      <c r="F22881" s="2"/>
      <c r="G22881" s="2"/>
      <c r="H22881" s="2"/>
    </row>
    <row r="22882" spans="1:8" x14ac:dyDescent="0.25">
      <c r="A22882" s="1"/>
      <c r="B22882" s="1" t="s">
        <v>7328</v>
      </c>
      <c r="C22882" s="1" t="s">
        <v>7329</v>
      </c>
      <c r="D22882" s="22" t="str">
        <f>HYPERLINK("https://rhld.insurance.arkansas.gov/NPILookup?Npi=1225659014","1225659014")</f>
        <v>1225659014</v>
      </c>
      <c r="E22882" s="1" t="s">
        <v>4296</v>
      </c>
      <c r="F22882" s="2"/>
      <c r="G22882" s="2"/>
      <c r="H22882" s="2"/>
    </row>
    <row r="22883" spans="1:8" x14ac:dyDescent="0.25">
      <c r="A22883" s="1"/>
      <c r="B22883" s="1" t="s">
        <v>7328</v>
      </c>
      <c r="C22883" s="1" t="s">
        <v>7329</v>
      </c>
      <c r="D22883" s="22" t="str">
        <f>HYPERLINK("https://rhld.insurance.arkansas.gov/NPILookup?Npi=1225659998","1225659998")</f>
        <v>1225659998</v>
      </c>
      <c r="E22883" s="1" t="s">
        <v>26120</v>
      </c>
      <c r="F22883" s="2"/>
      <c r="G22883" s="2"/>
      <c r="H22883" s="2"/>
    </row>
    <row r="22884" spans="1:8" x14ac:dyDescent="0.25">
      <c r="A22884" s="1"/>
      <c r="B22884" s="1" t="s">
        <v>7328</v>
      </c>
      <c r="C22884" s="1" t="s">
        <v>7329</v>
      </c>
      <c r="D22884" s="22" t="str">
        <f>HYPERLINK("https://rhld.insurance.arkansas.gov/NPILookup?Npi=1225664261","1225664261")</f>
        <v>1225664261</v>
      </c>
      <c r="E22884" s="1" t="s">
        <v>7560</v>
      </c>
      <c r="F22884" s="2"/>
      <c r="G22884" s="2"/>
      <c r="H22884" s="2"/>
    </row>
    <row r="22885" spans="1:8" x14ac:dyDescent="0.25">
      <c r="A22885" s="1"/>
      <c r="B22885" s="1" t="s">
        <v>7328</v>
      </c>
      <c r="C22885" s="1" t="s">
        <v>7329</v>
      </c>
      <c r="D22885" s="22" t="str">
        <f>HYPERLINK("https://rhld.insurance.arkansas.gov/NPILookup?Npi=1225679558","1225679558")</f>
        <v>1225679558</v>
      </c>
      <c r="E22885" s="1" t="s">
        <v>13475</v>
      </c>
      <c r="F22885" s="2"/>
      <c r="G22885" s="2"/>
      <c r="H22885" s="2"/>
    </row>
    <row r="22886" spans="1:8" x14ac:dyDescent="0.25">
      <c r="A22886" s="1"/>
      <c r="B22886" s="1" t="s">
        <v>7328</v>
      </c>
      <c r="C22886" s="1" t="s">
        <v>7329</v>
      </c>
      <c r="D22886" s="22" t="str">
        <f>HYPERLINK("https://rhld.insurance.arkansas.gov/NPILookup?Npi=1225681604","1225681604")</f>
        <v>1225681604</v>
      </c>
      <c r="E22886" s="1" t="s">
        <v>26121</v>
      </c>
      <c r="F22886" s="2"/>
      <c r="G22886" s="2"/>
      <c r="H22886" s="2"/>
    </row>
    <row r="22887" spans="1:8" x14ac:dyDescent="0.25">
      <c r="A22887" s="1"/>
      <c r="B22887" s="1" t="s">
        <v>7328</v>
      </c>
      <c r="C22887" s="1" t="s">
        <v>7329</v>
      </c>
      <c r="D22887" s="22" t="str">
        <f>HYPERLINK("https://rhld.insurance.arkansas.gov/NPILookup?Npi=1225683865","1225683865")</f>
        <v>1225683865</v>
      </c>
      <c r="E22887" s="1" t="s">
        <v>26122</v>
      </c>
      <c r="F22887" s="2"/>
      <c r="G22887" s="2"/>
      <c r="H22887" s="2"/>
    </row>
    <row r="22888" spans="1:8" x14ac:dyDescent="0.25">
      <c r="A22888" s="1"/>
      <c r="B22888" s="1" t="s">
        <v>7328</v>
      </c>
      <c r="C22888" s="1" t="s">
        <v>7329</v>
      </c>
      <c r="D22888" s="22" t="str">
        <f>HYPERLINK("https://rhld.insurance.arkansas.gov/NPILookup?Npi=1225699325","1225699325")</f>
        <v>1225699325</v>
      </c>
      <c r="E22888" s="1" t="s">
        <v>32159</v>
      </c>
      <c r="F22888" s="2"/>
      <c r="G22888" s="2"/>
      <c r="H22888" s="2"/>
    </row>
    <row r="22889" spans="1:8" x14ac:dyDescent="0.25">
      <c r="A22889" s="1"/>
      <c r="B22889" s="1" t="s">
        <v>7328</v>
      </c>
      <c r="C22889" s="1" t="s">
        <v>7329</v>
      </c>
      <c r="D22889" s="22" t="str">
        <f>HYPERLINK("https://rhld.insurance.arkansas.gov/NPILookup?Npi=1225704315","1225704315")</f>
        <v>1225704315</v>
      </c>
      <c r="E22889" s="1" t="s">
        <v>26123</v>
      </c>
      <c r="F22889" s="2"/>
      <c r="G22889" s="2"/>
      <c r="H22889" s="2"/>
    </row>
    <row r="22890" spans="1:8" x14ac:dyDescent="0.25">
      <c r="A22890" s="1"/>
      <c r="B22890" s="1" t="s">
        <v>7328</v>
      </c>
      <c r="C22890" s="1" t="s">
        <v>7329</v>
      </c>
      <c r="D22890" s="22" t="str">
        <f>HYPERLINK("https://rhld.insurance.arkansas.gov/NPILookup?Npi=1225709694","1225709694")</f>
        <v>1225709694</v>
      </c>
      <c r="E22890" s="1" t="s">
        <v>26124</v>
      </c>
      <c r="F22890" s="2"/>
      <c r="G22890" s="2"/>
      <c r="H22890" s="2"/>
    </row>
    <row r="22891" spans="1:8" x14ac:dyDescent="0.25">
      <c r="A22891" s="1"/>
      <c r="B22891" s="1" t="s">
        <v>7328</v>
      </c>
      <c r="C22891" s="1" t="s">
        <v>7329</v>
      </c>
      <c r="D22891" s="22" t="str">
        <f>HYPERLINK("https://rhld.insurance.arkansas.gov/NPILookup?Npi=1225722804","1225722804")</f>
        <v>1225722804</v>
      </c>
      <c r="E22891" s="1" t="s">
        <v>7561</v>
      </c>
      <c r="F22891" s="2"/>
      <c r="G22891" s="2"/>
      <c r="H22891" s="2"/>
    </row>
    <row r="22892" spans="1:8" x14ac:dyDescent="0.25">
      <c r="A22892" s="1"/>
      <c r="B22892" s="1" t="s">
        <v>7328</v>
      </c>
      <c r="C22892" s="1" t="s">
        <v>7329</v>
      </c>
      <c r="D22892" s="22" t="str">
        <f>HYPERLINK("https://rhld.insurance.arkansas.gov/NPILookup?Npi=1225757008","1225757008")</f>
        <v>1225757008</v>
      </c>
      <c r="E22892" s="1" t="s">
        <v>7562</v>
      </c>
      <c r="F22892" s="2"/>
      <c r="G22892" s="2"/>
      <c r="H22892" s="2"/>
    </row>
    <row r="22893" spans="1:8" x14ac:dyDescent="0.25">
      <c r="A22893" s="1"/>
      <c r="B22893" s="1" t="s">
        <v>7328</v>
      </c>
      <c r="C22893" s="1" t="s">
        <v>7329</v>
      </c>
      <c r="D22893" s="22" t="str">
        <f>HYPERLINK("https://rhld.insurance.arkansas.gov/NPILookup?Npi=1225768443","1225768443")</f>
        <v>1225768443</v>
      </c>
      <c r="E22893" s="1" t="s">
        <v>26125</v>
      </c>
      <c r="F22893" s="2"/>
      <c r="G22893" s="2"/>
      <c r="H22893" s="2"/>
    </row>
    <row r="22894" spans="1:8" x14ac:dyDescent="0.25">
      <c r="A22894" s="1"/>
      <c r="B22894" s="1" t="s">
        <v>7328</v>
      </c>
      <c r="C22894" s="1" t="s">
        <v>7329</v>
      </c>
      <c r="D22894" s="22" t="str">
        <f>HYPERLINK("https://rhld.insurance.arkansas.gov/NPILookup?Npi=1225768922","1225768922")</f>
        <v>1225768922</v>
      </c>
      <c r="E22894" s="1" t="s">
        <v>26126</v>
      </c>
      <c r="F22894" s="2"/>
      <c r="G22894" s="2"/>
      <c r="H22894" s="2"/>
    </row>
    <row r="22895" spans="1:8" x14ac:dyDescent="0.25">
      <c r="A22895" s="1"/>
      <c r="B22895" s="1" t="s">
        <v>7328</v>
      </c>
      <c r="C22895" s="1" t="s">
        <v>7329</v>
      </c>
      <c r="D22895" s="22" t="str">
        <f>HYPERLINK("https://rhld.insurance.arkansas.gov/NPILookup?Npi=1225781032","1225781032")</f>
        <v>1225781032</v>
      </c>
      <c r="E22895" s="1" t="s">
        <v>26127</v>
      </c>
      <c r="F22895" s="2"/>
      <c r="G22895" s="2"/>
      <c r="H22895" s="2"/>
    </row>
    <row r="22896" spans="1:8" x14ac:dyDescent="0.25">
      <c r="A22896" s="1"/>
      <c r="B22896" s="1" t="s">
        <v>7328</v>
      </c>
      <c r="C22896" s="1" t="s">
        <v>7329</v>
      </c>
      <c r="D22896" s="22" t="str">
        <f>HYPERLINK("https://rhld.insurance.arkansas.gov/NPILookup?Npi=1225806227","1225806227")</f>
        <v>1225806227</v>
      </c>
      <c r="E22896" s="1" t="s">
        <v>26128</v>
      </c>
      <c r="F22896" s="2"/>
      <c r="G22896" s="2"/>
      <c r="H22896" s="2"/>
    </row>
    <row r="22897" spans="1:8" x14ac:dyDescent="0.25">
      <c r="A22897" s="1"/>
      <c r="B22897" s="1" t="s">
        <v>7328</v>
      </c>
      <c r="C22897" s="1" t="s">
        <v>7329</v>
      </c>
      <c r="D22897" s="22" t="str">
        <f>HYPERLINK("https://rhld.insurance.arkansas.gov/NPILookup?Npi=1225891427","1225891427")</f>
        <v>1225891427</v>
      </c>
      <c r="E22897" s="1" t="s">
        <v>12869</v>
      </c>
      <c r="F22897" s="2"/>
      <c r="G22897" s="2"/>
      <c r="H22897" s="2"/>
    </row>
    <row r="22898" spans="1:8" x14ac:dyDescent="0.25">
      <c r="A22898" s="1"/>
      <c r="B22898" s="1" t="s">
        <v>7328</v>
      </c>
      <c r="C22898" s="1" t="s">
        <v>7329</v>
      </c>
      <c r="D22898" s="22" t="str">
        <f>HYPERLINK("https://rhld.insurance.arkansas.gov/NPILookup?Npi=1235106154","1235106154")</f>
        <v>1235106154</v>
      </c>
      <c r="E22898" s="1" t="s">
        <v>195</v>
      </c>
      <c r="F22898" s="2"/>
      <c r="G22898" s="2"/>
      <c r="H22898" s="2"/>
    </row>
    <row r="22899" spans="1:8" x14ac:dyDescent="0.25">
      <c r="A22899" s="1"/>
      <c r="B22899" s="1" t="s">
        <v>7328</v>
      </c>
      <c r="C22899" s="1" t="s">
        <v>7329</v>
      </c>
      <c r="D22899" s="22" t="str">
        <f>HYPERLINK("https://rhld.insurance.arkansas.gov/NPILookup?Npi=1235122383","1235122383")</f>
        <v>1235122383</v>
      </c>
      <c r="E22899" s="1" t="s">
        <v>26129</v>
      </c>
      <c r="F22899" s="2"/>
      <c r="G22899" s="2"/>
      <c r="H22899" s="2"/>
    </row>
    <row r="22900" spans="1:8" x14ac:dyDescent="0.25">
      <c r="A22900" s="1"/>
      <c r="B22900" s="1" t="s">
        <v>7328</v>
      </c>
      <c r="C22900" s="1" t="s">
        <v>7329</v>
      </c>
      <c r="D22900" s="22" t="str">
        <f>HYPERLINK("https://rhld.insurance.arkansas.gov/NPILookup?Npi=1235124223","1235124223")</f>
        <v>1235124223</v>
      </c>
      <c r="E22900" s="1" t="s">
        <v>1476</v>
      </c>
      <c r="F22900" s="2"/>
      <c r="G22900" s="2"/>
      <c r="H22900" s="2"/>
    </row>
    <row r="22901" spans="1:8" x14ac:dyDescent="0.25">
      <c r="A22901" s="1"/>
      <c r="B22901" s="1" t="s">
        <v>7328</v>
      </c>
      <c r="C22901" s="1" t="s">
        <v>7329</v>
      </c>
      <c r="D22901" s="22" t="str">
        <f>HYPERLINK("https://rhld.insurance.arkansas.gov/NPILookup?Npi=1235130444","1235130444")</f>
        <v>1235130444</v>
      </c>
      <c r="E22901" s="1" t="s">
        <v>12870</v>
      </c>
      <c r="F22901" s="2"/>
      <c r="G22901" s="2"/>
      <c r="H22901" s="2"/>
    </row>
    <row r="22902" spans="1:8" x14ac:dyDescent="0.25">
      <c r="A22902" s="1"/>
      <c r="B22902" s="1" t="s">
        <v>7328</v>
      </c>
      <c r="C22902" s="1" t="s">
        <v>7329</v>
      </c>
      <c r="D22902" s="22" t="str">
        <f>HYPERLINK("https://rhld.insurance.arkansas.gov/NPILookup?Npi=1235147513","1235147513")</f>
        <v>1235147513</v>
      </c>
      <c r="E22902" s="1" t="s">
        <v>26130</v>
      </c>
      <c r="F22902" s="2"/>
      <c r="G22902" s="2"/>
      <c r="H22902" s="2"/>
    </row>
    <row r="22903" spans="1:8" x14ac:dyDescent="0.25">
      <c r="A22903" s="1"/>
      <c r="B22903" s="1" t="s">
        <v>7328</v>
      </c>
      <c r="C22903" s="1" t="s">
        <v>7329</v>
      </c>
      <c r="D22903" s="22" t="str">
        <f>HYPERLINK("https://rhld.insurance.arkansas.gov/NPILookup?Npi=1235161829","1235161829")</f>
        <v>1235161829</v>
      </c>
      <c r="E22903" s="1" t="s">
        <v>847</v>
      </c>
      <c r="F22903" s="2"/>
      <c r="G22903" s="2"/>
      <c r="H22903" s="2"/>
    </row>
    <row r="22904" spans="1:8" x14ac:dyDescent="0.25">
      <c r="A22904" s="1"/>
      <c r="B22904" s="1" t="s">
        <v>7328</v>
      </c>
      <c r="C22904" s="1" t="s">
        <v>7329</v>
      </c>
      <c r="D22904" s="22" t="str">
        <f>HYPERLINK("https://rhld.insurance.arkansas.gov/NPILookup?Npi=1235163353","1235163353")</f>
        <v>1235163353</v>
      </c>
      <c r="E22904" s="1" t="s">
        <v>26131</v>
      </c>
      <c r="F22904" s="2"/>
      <c r="G22904" s="2"/>
      <c r="H22904" s="2"/>
    </row>
    <row r="22905" spans="1:8" x14ac:dyDescent="0.25">
      <c r="A22905" s="1"/>
      <c r="B22905" s="1" t="s">
        <v>7328</v>
      </c>
      <c r="C22905" s="1" t="s">
        <v>7329</v>
      </c>
      <c r="D22905" s="22" t="str">
        <f>HYPERLINK("https://rhld.insurance.arkansas.gov/NPILookup?Npi=1235172156","1235172156")</f>
        <v>1235172156</v>
      </c>
      <c r="E22905" s="1" t="s">
        <v>26132</v>
      </c>
      <c r="F22905" s="2"/>
      <c r="G22905" s="2"/>
      <c r="H22905" s="2"/>
    </row>
    <row r="22906" spans="1:8" x14ac:dyDescent="0.25">
      <c r="A22906" s="1"/>
      <c r="B22906" s="1" t="s">
        <v>7328</v>
      </c>
      <c r="C22906" s="1" t="s">
        <v>7329</v>
      </c>
      <c r="D22906" s="22" t="str">
        <f>HYPERLINK("https://rhld.insurance.arkansas.gov/NPILookup?Npi=1235175225","1235175225")</f>
        <v>1235175225</v>
      </c>
      <c r="E22906" s="1" t="s">
        <v>12871</v>
      </c>
      <c r="F22906" s="2"/>
      <c r="G22906" s="2"/>
      <c r="H22906" s="2"/>
    </row>
    <row r="22907" spans="1:8" x14ac:dyDescent="0.25">
      <c r="A22907" s="1"/>
      <c r="B22907" s="1" t="s">
        <v>7328</v>
      </c>
      <c r="C22907" s="1" t="s">
        <v>7329</v>
      </c>
      <c r="D22907" s="22" t="str">
        <f>HYPERLINK("https://rhld.insurance.arkansas.gov/NPILookup?Npi=1235181710","1235181710")</f>
        <v>1235181710</v>
      </c>
      <c r="E22907" s="1" t="s">
        <v>1991</v>
      </c>
      <c r="F22907" s="2"/>
      <c r="G22907" s="2"/>
      <c r="H22907" s="2"/>
    </row>
    <row r="22908" spans="1:8" x14ac:dyDescent="0.25">
      <c r="A22908" s="1"/>
      <c r="B22908" s="1" t="s">
        <v>7328</v>
      </c>
      <c r="C22908" s="1" t="s">
        <v>7329</v>
      </c>
      <c r="D22908" s="22" t="str">
        <f>HYPERLINK("https://rhld.insurance.arkansas.gov/NPILookup?Npi=1235190349","1235190349")</f>
        <v>1235190349</v>
      </c>
      <c r="E22908" s="1" t="s">
        <v>26133</v>
      </c>
      <c r="F22908" s="2"/>
      <c r="G22908" s="2"/>
      <c r="H22908" s="2"/>
    </row>
    <row r="22909" spans="1:8" x14ac:dyDescent="0.25">
      <c r="A22909" s="1"/>
      <c r="B22909" s="1" t="s">
        <v>7328</v>
      </c>
      <c r="C22909" s="1" t="s">
        <v>7329</v>
      </c>
      <c r="D22909" s="22" t="str">
        <f>HYPERLINK("https://rhld.insurance.arkansas.gov/NPILookup?Npi=1235191602","1235191602")</f>
        <v>1235191602</v>
      </c>
      <c r="E22909" s="1" t="s">
        <v>7923</v>
      </c>
      <c r="F22909" s="2"/>
      <c r="G22909" s="2"/>
      <c r="H22909" s="2"/>
    </row>
    <row r="22910" spans="1:8" x14ac:dyDescent="0.25">
      <c r="A22910" s="1"/>
      <c r="B22910" s="1" t="s">
        <v>7328</v>
      </c>
      <c r="C22910" s="1" t="s">
        <v>7329</v>
      </c>
      <c r="D22910" s="22" t="str">
        <f>HYPERLINK("https://rhld.insurance.arkansas.gov/NPILookup?Npi=1235194481","1235194481")</f>
        <v>1235194481</v>
      </c>
      <c r="E22910" s="1" t="s">
        <v>26134</v>
      </c>
      <c r="F22910" s="2"/>
      <c r="G22910" s="2"/>
      <c r="H22910" s="2"/>
    </row>
    <row r="22911" spans="1:8" x14ac:dyDescent="0.25">
      <c r="A22911" s="1"/>
      <c r="B22911" s="1" t="s">
        <v>7328</v>
      </c>
      <c r="C22911" s="1" t="s">
        <v>7329</v>
      </c>
      <c r="D22911" s="22" t="str">
        <f>HYPERLINK("https://rhld.insurance.arkansas.gov/NPILookup?Npi=1235204140","1235204140")</f>
        <v>1235204140</v>
      </c>
      <c r="E22911" s="1" t="s">
        <v>26135</v>
      </c>
      <c r="F22911" s="2"/>
      <c r="G22911" s="2"/>
      <c r="H22911" s="2"/>
    </row>
    <row r="22912" spans="1:8" x14ac:dyDescent="0.25">
      <c r="A22912" s="1"/>
      <c r="B22912" s="1" t="s">
        <v>7328</v>
      </c>
      <c r="C22912" s="1" t="s">
        <v>7329</v>
      </c>
      <c r="D22912" s="22" t="str">
        <f>HYPERLINK("https://rhld.insurance.arkansas.gov/NPILookup?Npi=1235209198","1235209198")</f>
        <v>1235209198</v>
      </c>
      <c r="E22912" s="1" t="s">
        <v>26136</v>
      </c>
      <c r="F22912" s="2"/>
      <c r="G22912" s="2"/>
      <c r="H22912" s="2"/>
    </row>
    <row r="22913" spans="1:8" x14ac:dyDescent="0.25">
      <c r="A22913" s="1"/>
      <c r="B22913" s="1" t="s">
        <v>7328</v>
      </c>
      <c r="C22913" s="1" t="s">
        <v>7329</v>
      </c>
      <c r="D22913" s="22" t="str">
        <f>HYPERLINK("https://rhld.insurance.arkansas.gov/NPILookup?Npi=1235242298","1235242298")</f>
        <v>1235242298</v>
      </c>
      <c r="E22913" s="1" t="s">
        <v>2465</v>
      </c>
      <c r="F22913" s="2"/>
      <c r="G22913" s="2"/>
      <c r="H22913" s="2"/>
    </row>
    <row r="22914" spans="1:8" x14ac:dyDescent="0.25">
      <c r="A22914" s="1"/>
      <c r="B22914" s="1" t="s">
        <v>7328</v>
      </c>
      <c r="C22914" s="1" t="s">
        <v>7329</v>
      </c>
      <c r="D22914" s="22" t="str">
        <f>HYPERLINK("https://rhld.insurance.arkansas.gov/NPILookup?Npi=1235244401","1235244401")</f>
        <v>1235244401</v>
      </c>
      <c r="E22914" s="1" t="s">
        <v>12872</v>
      </c>
      <c r="F22914" s="2"/>
      <c r="G22914" s="2"/>
      <c r="H22914" s="2"/>
    </row>
    <row r="22915" spans="1:8" x14ac:dyDescent="0.25">
      <c r="A22915" s="1"/>
      <c r="B22915" s="1" t="s">
        <v>7328</v>
      </c>
      <c r="C22915" s="1" t="s">
        <v>7329</v>
      </c>
      <c r="D22915" s="22" t="str">
        <f>HYPERLINK("https://rhld.insurance.arkansas.gov/NPILookup?Npi=1235244955","1235244955")</f>
        <v>1235244955</v>
      </c>
      <c r="E22915" s="1" t="s">
        <v>26137</v>
      </c>
      <c r="F22915" s="2"/>
      <c r="G22915" s="2"/>
      <c r="H22915" s="2"/>
    </row>
    <row r="22916" spans="1:8" x14ac:dyDescent="0.25">
      <c r="A22916" s="1"/>
      <c r="B22916" s="1" t="s">
        <v>7328</v>
      </c>
      <c r="C22916" s="1" t="s">
        <v>7329</v>
      </c>
      <c r="D22916" s="22" t="str">
        <f>HYPERLINK("https://rhld.insurance.arkansas.gov/NPILookup?Npi=1235256462","1235256462")</f>
        <v>1235256462</v>
      </c>
      <c r="E22916" s="1" t="s">
        <v>7563</v>
      </c>
      <c r="F22916" s="2"/>
      <c r="G22916" s="2"/>
      <c r="H22916" s="2"/>
    </row>
    <row r="22917" spans="1:8" x14ac:dyDescent="0.25">
      <c r="A22917" s="1"/>
      <c r="B22917" s="1" t="s">
        <v>7328</v>
      </c>
      <c r="C22917" s="1" t="s">
        <v>7329</v>
      </c>
      <c r="D22917" s="22" t="str">
        <f>HYPERLINK("https://rhld.insurance.arkansas.gov/NPILookup?Npi=1235332529","1235332529")</f>
        <v>1235332529</v>
      </c>
      <c r="E22917" s="1" t="s">
        <v>12873</v>
      </c>
      <c r="F22917" s="2"/>
      <c r="G22917" s="2"/>
      <c r="H22917" s="2"/>
    </row>
    <row r="22918" spans="1:8" x14ac:dyDescent="0.25">
      <c r="A22918" s="1"/>
      <c r="B22918" s="1" t="s">
        <v>7328</v>
      </c>
      <c r="C22918" s="1" t="s">
        <v>7329</v>
      </c>
      <c r="D22918" s="22" t="str">
        <f>HYPERLINK("https://rhld.insurance.arkansas.gov/NPILookup?Npi=1235337049","1235337049")</f>
        <v>1235337049</v>
      </c>
      <c r="E22918" s="1" t="s">
        <v>26138</v>
      </c>
      <c r="F22918" s="2"/>
      <c r="G22918" s="2"/>
      <c r="H22918" s="2"/>
    </row>
    <row r="22919" spans="1:8" x14ac:dyDescent="0.25">
      <c r="A22919" s="1"/>
      <c r="B22919" s="1" t="s">
        <v>7328</v>
      </c>
      <c r="C22919" s="1" t="s">
        <v>7329</v>
      </c>
      <c r="D22919" s="22" t="str">
        <f>HYPERLINK("https://rhld.insurance.arkansas.gov/NPILookup?Npi=1235360819","1235360819")</f>
        <v>1235360819</v>
      </c>
      <c r="E22919" s="1" t="s">
        <v>12874</v>
      </c>
      <c r="F22919" s="2"/>
      <c r="G22919" s="2"/>
      <c r="H22919" s="2"/>
    </row>
    <row r="22920" spans="1:8" x14ac:dyDescent="0.25">
      <c r="A22920" s="1"/>
      <c r="B22920" s="1" t="s">
        <v>7328</v>
      </c>
      <c r="C22920" s="1" t="s">
        <v>7329</v>
      </c>
      <c r="D22920" s="22" t="str">
        <f>HYPERLINK("https://rhld.insurance.arkansas.gov/NPILookup?Npi=1235365800","1235365800")</f>
        <v>1235365800</v>
      </c>
      <c r="E22920" s="1" t="s">
        <v>26139</v>
      </c>
      <c r="F22920" s="2"/>
      <c r="G22920" s="2"/>
      <c r="H22920" s="2"/>
    </row>
    <row r="22921" spans="1:8" x14ac:dyDescent="0.25">
      <c r="A22921" s="1"/>
      <c r="B22921" s="1" t="s">
        <v>7328</v>
      </c>
      <c r="C22921" s="1" t="s">
        <v>7329</v>
      </c>
      <c r="D22921" s="22" t="str">
        <f>HYPERLINK("https://rhld.insurance.arkansas.gov/NPILookup?Npi=1235369497","1235369497")</f>
        <v>1235369497</v>
      </c>
      <c r="E22921" s="1" t="s">
        <v>12875</v>
      </c>
      <c r="F22921" s="2"/>
      <c r="G22921" s="2"/>
      <c r="H22921" s="2"/>
    </row>
    <row r="22922" spans="1:8" x14ac:dyDescent="0.25">
      <c r="A22922" s="1"/>
      <c r="B22922" s="1" t="s">
        <v>7328</v>
      </c>
      <c r="C22922" s="1" t="s">
        <v>7329</v>
      </c>
      <c r="D22922" s="22" t="str">
        <f>HYPERLINK("https://rhld.insurance.arkansas.gov/NPILookup?Npi=1235371303","1235371303")</f>
        <v>1235371303</v>
      </c>
      <c r="E22922" s="1" t="s">
        <v>26140</v>
      </c>
      <c r="F22922" s="2"/>
      <c r="G22922" s="2"/>
      <c r="H22922" s="2"/>
    </row>
    <row r="22923" spans="1:8" x14ac:dyDescent="0.25">
      <c r="A22923" s="1"/>
      <c r="B22923" s="1" t="s">
        <v>7328</v>
      </c>
      <c r="C22923" s="1" t="s">
        <v>7329</v>
      </c>
      <c r="D22923" s="22" t="str">
        <f>HYPERLINK("https://rhld.insurance.arkansas.gov/NPILookup?Npi=1235371758","1235371758")</f>
        <v>1235371758</v>
      </c>
      <c r="E22923" s="1" t="s">
        <v>3645</v>
      </c>
      <c r="F22923" s="2"/>
      <c r="G22923" s="2"/>
      <c r="H22923" s="2"/>
    </row>
    <row r="22924" spans="1:8" x14ac:dyDescent="0.25">
      <c r="A22924" s="1"/>
      <c r="B22924" s="1" t="s">
        <v>7328</v>
      </c>
      <c r="C22924" s="1" t="s">
        <v>7329</v>
      </c>
      <c r="D22924" s="22" t="str">
        <f>HYPERLINK("https://rhld.insurance.arkansas.gov/NPILookup?Npi=1235379876","1235379876")</f>
        <v>1235379876</v>
      </c>
      <c r="E22924" s="1" t="s">
        <v>26141</v>
      </c>
      <c r="F22924" s="2"/>
      <c r="G22924" s="2"/>
      <c r="H22924" s="2"/>
    </row>
    <row r="22925" spans="1:8" x14ac:dyDescent="0.25">
      <c r="A22925" s="1"/>
      <c r="B22925" s="1" t="s">
        <v>7328</v>
      </c>
      <c r="C22925" s="1" t="s">
        <v>7329</v>
      </c>
      <c r="D22925" s="22" t="str">
        <f>HYPERLINK("https://rhld.insurance.arkansas.gov/NPILookup?Npi=1235385238","1235385238")</f>
        <v>1235385238</v>
      </c>
      <c r="E22925" s="1" t="s">
        <v>1992</v>
      </c>
      <c r="F22925" s="2"/>
      <c r="G22925" s="2"/>
      <c r="H22925" s="2"/>
    </row>
    <row r="22926" spans="1:8" x14ac:dyDescent="0.25">
      <c r="A22926" s="1"/>
      <c r="B22926" s="1" t="s">
        <v>7328</v>
      </c>
      <c r="C22926" s="1" t="s">
        <v>7329</v>
      </c>
      <c r="D22926" s="22" t="str">
        <f>HYPERLINK("https://rhld.insurance.arkansas.gov/NPILookup?Npi=1235402959","1235402959")</f>
        <v>1235402959</v>
      </c>
      <c r="E22926" s="1" t="s">
        <v>26142</v>
      </c>
      <c r="F22926" s="2"/>
      <c r="G22926" s="2"/>
      <c r="H22926" s="2"/>
    </row>
    <row r="22927" spans="1:8" x14ac:dyDescent="0.25">
      <c r="A22927" s="1"/>
      <c r="B22927" s="1" t="s">
        <v>7328</v>
      </c>
      <c r="C22927" s="1" t="s">
        <v>7329</v>
      </c>
      <c r="D22927" s="22" t="str">
        <f>HYPERLINK("https://rhld.insurance.arkansas.gov/NPILookup?Npi=1235453150","1235453150")</f>
        <v>1235453150</v>
      </c>
      <c r="E22927" s="1" t="s">
        <v>7564</v>
      </c>
      <c r="F22927" s="2"/>
      <c r="G22927" s="2"/>
      <c r="H22927" s="2"/>
    </row>
    <row r="22928" spans="1:8" x14ac:dyDescent="0.25">
      <c r="A22928" s="1"/>
      <c r="B22928" s="1" t="s">
        <v>7328</v>
      </c>
      <c r="C22928" s="1" t="s">
        <v>7329</v>
      </c>
      <c r="D22928" s="22" t="str">
        <f>HYPERLINK("https://rhld.insurance.arkansas.gov/NPILookup?Npi=1235457789","1235457789")</f>
        <v>1235457789</v>
      </c>
      <c r="E22928" s="1" t="s">
        <v>17336</v>
      </c>
      <c r="F22928" s="2"/>
      <c r="G22928" s="2"/>
      <c r="H22928" s="2"/>
    </row>
    <row r="22929" spans="1:8" x14ac:dyDescent="0.25">
      <c r="A22929" s="1"/>
      <c r="B22929" s="1" t="s">
        <v>7328</v>
      </c>
      <c r="C22929" s="1" t="s">
        <v>7329</v>
      </c>
      <c r="D22929" s="22" t="str">
        <f>HYPERLINK("https://rhld.insurance.arkansas.gov/NPILookup?Npi=1235493453","1235493453")</f>
        <v>1235493453</v>
      </c>
      <c r="E22929" s="1" t="s">
        <v>7565</v>
      </c>
      <c r="F22929" s="2"/>
      <c r="G22929" s="2"/>
      <c r="H22929" s="2"/>
    </row>
    <row r="22930" spans="1:8" x14ac:dyDescent="0.25">
      <c r="A22930" s="1"/>
      <c r="B22930" s="1" t="s">
        <v>7328</v>
      </c>
      <c r="C22930" s="1" t="s">
        <v>7329</v>
      </c>
      <c r="D22930" s="22" t="str">
        <f>HYPERLINK("https://rhld.insurance.arkansas.gov/NPILookup?Npi=1235500562","1235500562")</f>
        <v>1235500562</v>
      </c>
      <c r="E22930" s="1" t="s">
        <v>26144</v>
      </c>
      <c r="F22930" s="2"/>
      <c r="G22930" s="2"/>
      <c r="H22930" s="2"/>
    </row>
    <row r="22931" spans="1:8" x14ac:dyDescent="0.25">
      <c r="A22931" s="1"/>
      <c r="B22931" s="1" t="s">
        <v>7328</v>
      </c>
      <c r="C22931" s="1" t="s">
        <v>7329</v>
      </c>
      <c r="D22931" s="22" t="str">
        <f>HYPERLINK("https://rhld.insurance.arkansas.gov/NPILookup?Npi=1235509043","1235509043")</f>
        <v>1235509043</v>
      </c>
      <c r="E22931" s="1" t="s">
        <v>2372</v>
      </c>
      <c r="F22931" s="2"/>
      <c r="G22931" s="2"/>
      <c r="H22931" s="2"/>
    </row>
    <row r="22932" spans="1:8" x14ac:dyDescent="0.25">
      <c r="A22932" s="1"/>
      <c r="B22932" s="1" t="s">
        <v>7328</v>
      </c>
      <c r="C22932" s="1" t="s">
        <v>7329</v>
      </c>
      <c r="D22932" s="22" t="str">
        <f>HYPERLINK("https://rhld.insurance.arkansas.gov/NPILookup?Npi=1235517152","1235517152")</f>
        <v>1235517152</v>
      </c>
      <c r="E22932" s="1" t="s">
        <v>26145</v>
      </c>
      <c r="F22932" s="2"/>
      <c r="G22932" s="2"/>
      <c r="H22932" s="2"/>
    </row>
    <row r="22933" spans="1:8" x14ac:dyDescent="0.25">
      <c r="A22933" s="1"/>
      <c r="B22933" s="1" t="s">
        <v>7328</v>
      </c>
      <c r="C22933" s="1" t="s">
        <v>7329</v>
      </c>
      <c r="D22933" s="22" t="str">
        <f>HYPERLINK("https://rhld.insurance.arkansas.gov/NPILookup?Npi=1235522780","1235522780")</f>
        <v>1235522780</v>
      </c>
      <c r="E22933" s="1" t="s">
        <v>12876</v>
      </c>
      <c r="F22933" s="2"/>
      <c r="G22933" s="2"/>
      <c r="H22933" s="2"/>
    </row>
    <row r="22934" spans="1:8" x14ac:dyDescent="0.25">
      <c r="A22934" s="1"/>
      <c r="B22934" s="1" t="s">
        <v>7328</v>
      </c>
      <c r="C22934" s="1" t="s">
        <v>7329</v>
      </c>
      <c r="D22934" s="22" t="str">
        <f>HYPERLINK("https://rhld.insurance.arkansas.gov/NPILookup?Npi=1235524869","1235524869")</f>
        <v>1235524869</v>
      </c>
      <c r="E22934" s="1" t="s">
        <v>12877</v>
      </c>
      <c r="F22934" s="2"/>
      <c r="G22934" s="2"/>
      <c r="H22934" s="2"/>
    </row>
    <row r="22935" spans="1:8" x14ac:dyDescent="0.25">
      <c r="A22935" s="1"/>
      <c r="B22935" s="1" t="s">
        <v>7328</v>
      </c>
      <c r="C22935" s="1" t="s">
        <v>7329</v>
      </c>
      <c r="D22935" s="22" t="str">
        <f>HYPERLINK("https://rhld.insurance.arkansas.gov/NPILookup?Npi=1235530478","1235530478")</f>
        <v>1235530478</v>
      </c>
      <c r="E22935" s="1" t="s">
        <v>26146</v>
      </c>
      <c r="F22935" s="2"/>
      <c r="G22935" s="2"/>
      <c r="H22935" s="2"/>
    </row>
    <row r="22936" spans="1:8" x14ac:dyDescent="0.25">
      <c r="A22936" s="1"/>
      <c r="B22936" s="1" t="s">
        <v>7328</v>
      </c>
      <c r="C22936" s="1" t="s">
        <v>7329</v>
      </c>
      <c r="D22936" s="22" t="str">
        <f>HYPERLINK("https://rhld.insurance.arkansas.gov/NPILookup?Npi=1235541012","1235541012")</f>
        <v>1235541012</v>
      </c>
      <c r="E22936" s="1" t="s">
        <v>12878</v>
      </c>
      <c r="F22936" s="2"/>
      <c r="G22936" s="2"/>
      <c r="H22936" s="2"/>
    </row>
    <row r="22937" spans="1:8" x14ac:dyDescent="0.25">
      <c r="A22937" s="1"/>
      <c r="B22937" s="1" t="s">
        <v>7328</v>
      </c>
      <c r="C22937" s="1" t="s">
        <v>7329</v>
      </c>
      <c r="D22937" s="22" t="str">
        <f>HYPERLINK("https://rhld.insurance.arkansas.gov/NPILookup?Npi=1235546490","1235546490")</f>
        <v>1235546490</v>
      </c>
      <c r="E22937" s="1" t="s">
        <v>26147</v>
      </c>
      <c r="F22937" s="2"/>
      <c r="G22937" s="2"/>
      <c r="H22937" s="2"/>
    </row>
    <row r="22938" spans="1:8" x14ac:dyDescent="0.25">
      <c r="A22938" s="1"/>
      <c r="B22938" s="1" t="s">
        <v>7328</v>
      </c>
      <c r="C22938" s="1" t="s">
        <v>7329</v>
      </c>
      <c r="D22938" s="22" t="str">
        <f>HYPERLINK("https://rhld.insurance.arkansas.gov/NPILookup?Npi=1235547589","1235547589")</f>
        <v>1235547589</v>
      </c>
      <c r="E22938" s="1" t="s">
        <v>11597</v>
      </c>
      <c r="F22938" s="2"/>
      <c r="G22938" s="2"/>
      <c r="H22938" s="2"/>
    </row>
    <row r="22939" spans="1:8" x14ac:dyDescent="0.25">
      <c r="A22939" s="1"/>
      <c r="B22939" s="1" t="s">
        <v>7328</v>
      </c>
      <c r="C22939" s="1" t="s">
        <v>7329</v>
      </c>
      <c r="D22939" s="22" t="str">
        <f>HYPERLINK("https://rhld.insurance.arkansas.gov/NPILookup?Npi=1235553611","1235553611")</f>
        <v>1235553611</v>
      </c>
      <c r="E22939" s="1" t="s">
        <v>12879</v>
      </c>
      <c r="F22939" s="2"/>
      <c r="G22939" s="2"/>
      <c r="H22939" s="2"/>
    </row>
    <row r="22940" spans="1:8" x14ac:dyDescent="0.25">
      <c r="A22940" s="1"/>
      <c r="B22940" s="1" t="s">
        <v>7328</v>
      </c>
      <c r="C22940" s="1" t="s">
        <v>7329</v>
      </c>
      <c r="D22940" s="22" t="str">
        <f>HYPERLINK("https://rhld.insurance.arkansas.gov/NPILookup?Npi=1235581802","1235581802")</f>
        <v>1235581802</v>
      </c>
      <c r="E22940" s="1" t="s">
        <v>26148</v>
      </c>
      <c r="F22940" s="2"/>
      <c r="G22940" s="2"/>
      <c r="H22940" s="2"/>
    </row>
    <row r="22941" spans="1:8" x14ac:dyDescent="0.25">
      <c r="A22941" s="1"/>
      <c r="B22941" s="1" t="s">
        <v>7328</v>
      </c>
      <c r="C22941" s="1" t="s">
        <v>7329</v>
      </c>
      <c r="D22941" s="22" t="str">
        <f>HYPERLINK("https://rhld.insurance.arkansas.gov/NPILookup?Npi=1235585563","1235585563")</f>
        <v>1235585563</v>
      </c>
      <c r="E22941" s="1" t="s">
        <v>10411</v>
      </c>
      <c r="F22941" s="2"/>
      <c r="G22941" s="2"/>
      <c r="H22941" s="2"/>
    </row>
    <row r="22942" spans="1:8" x14ac:dyDescent="0.25">
      <c r="A22942" s="1"/>
      <c r="B22942" s="1" t="s">
        <v>7328</v>
      </c>
      <c r="C22942" s="1" t="s">
        <v>7329</v>
      </c>
      <c r="D22942" s="22" t="str">
        <f>HYPERLINK("https://rhld.insurance.arkansas.gov/NPILookup?Npi=1235589748","1235589748")</f>
        <v>1235589748</v>
      </c>
      <c r="E22942" s="1" t="s">
        <v>26149</v>
      </c>
      <c r="F22942" s="2"/>
      <c r="G22942" s="2"/>
      <c r="H22942" s="2"/>
    </row>
    <row r="22943" spans="1:8" x14ac:dyDescent="0.25">
      <c r="A22943" s="1"/>
      <c r="B22943" s="1" t="s">
        <v>7328</v>
      </c>
      <c r="C22943" s="1" t="s">
        <v>7329</v>
      </c>
      <c r="D22943" s="22" t="str">
        <f>HYPERLINK("https://rhld.insurance.arkansas.gov/NPILookup?Npi=1235603614","1235603614")</f>
        <v>1235603614</v>
      </c>
      <c r="E22943" s="1" t="s">
        <v>2713</v>
      </c>
      <c r="F22943" s="2"/>
      <c r="G22943" s="2"/>
      <c r="H22943" s="2"/>
    </row>
    <row r="22944" spans="1:8" x14ac:dyDescent="0.25">
      <c r="A22944" s="1"/>
      <c r="B22944" s="1" t="s">
        <v>7328</v>
      </c>
      <c r="C22944" s="1" t="s">
        <v>7329</v>
      </c>
      <c r="D22944" s="22" t="str">
        <f>HYPERLINK("https://rhld.insurance.arkansas.gov/NPILookup?Npi=1235604919","1235604919")</f>
        <v>1235604919</v>
      </c>
      <c r="E22944" s="1" t="s">
        <v>26150</v>
      </c>
      <c r="F22944" s="2"/>
      <c r="G22944" s="2"/>
      <c r="H22944" s="2"/>
    </row>
    <row r="22945" spans="1:8" x14ac:dyDescent="0.25">
      <c r="A22945" s="1"/>
      <c r="B22945" s="1" t="s">
        <v>7328</v>
      </c>
      <c r="C22945" s="1" t="s">
        <v>7329</v>
      </c>
      <c r="D22945" s="22" t="str">
        <f>HYPERLINK("https://rhld.insurance.arkansas.gov/NPILookup?Npi=1235629130","1235629130")</f>
        <v>1235629130</v>
      </c>
      <c r="E22945" s="1" t="s">
        <v>26151</v>
      </c>
      <c r="F22945" s="2"/>
      <c r="G22945" s="2"/>
      <c r="H22945" s="2"/>
    </row>
    <row r="22946" spans="1:8" x14ac:dyDescent="0.25">
      <c r="A22946" s="1"/>
      <c r="B22946" s="1" t="s">
        <v>7328</v>
      </c>
      <c r="C22946" s="1" t="s">
        <v>7329</v>
      </c>
      <c r="D22946" s="22" t="str">
        <f>HYPERLINK("https://rhld.insurance.arkansas.gov/NPILookup?Npi=1235635111","1235635111")</f>
        <v>1235635111</v>
      </c>
      <c r="E22946" s="1" t="s">
        <v>26152</v>
      </c>
      <c r="F22946" s="2"/>
      <c r="G22946" s="2"/>
      <c r="H22946" s="2"/>
    </row>
    <row r="22947" spans="1:8" x14ac:dyDescent="0.25">
      <c r="A22947" s="1"/>
      <c r="B22947" s="1" t="s">
        <v>7328</v>
      </c>
      <c r="C22947" s="1" t="s">
        <v>7329</v>
      </c>
      <c r="D22947" s="22" t="str">
        <f>HYPERLINK("https://rhld.insurance.arkansas.gov/NPILookup?Npi=1235645508","1235645508")</f>
        <v>1235645508</v>
      </c>
      <c r="E22947" s="1" t="s">
        <v>3230</v>
      </c>
      <c r="F22947" s="2"/>
      <c r="G22947" s="2"/>
      <c r="H22947" s="2"/>
    </row>
    <row r="22948" spans="1:8" x14ac:dyDescent="0.25">
      <c r="A22948" s="1"/>
      <c r="B22948" s="1" t="s">
        <v>7328</v>
      </c>
      <c r="C22948" s="1" t="s">
        <v>7329</v>
      </c>
      <c r="D22948" s="22" t="str">
        <f>HYPERLINK("https://rhld.insurance.arkansas.gov/NPILookup?Npi=1235648874","1235648874")</f>
        <v>1235648874</v>
      </c>
      <c r="E22948" s="1" t="s">
        <v>1023</v>
      </c>
      <c r="F22948" s="2"/>
      <c r="G22948" s="2"/>
      <c r="H22948" s="2"/>
    </row>
    <row r="22949" spans="1:8" x14ac:dyDescent="0.25">
      <c r="A22949" s="1"/>
      <c r="B22949" s="1" t="s">
        <v>7328</v>
      </c>
      <c r="C22949" s="1" t="s">
        <v>7329</v>
      </c>
      <c r="D22949" s="22" t="str">
        <f>HYPERLINK("https://rhld.insurance.arkansas.gov/NPILookup?Npi=1235651563","1235651563")</f>
        <v>1235651563</v>
      </c>
      <c r="E22949" s="1" t="s">
        <v>20692</v>
      </c>
      <c r="F22949" s="2"/>
      <c r="G22949" s="2"/>
      <c r="H22949" s="2"/>
    </row>
    <row r="22950" spans="1:8" x14ac:dyDescent="0.25">
      <c r="A22950" s="1"/>
      <c r="B22950" s="1" t="s">
        <v>7328</v>
      </c>
      <c r="C22950" s="1" t="s">
        <v>7329</v>
      </c>
      <c r="D22950" s="22" t="str">
        <f>HYPERLINK("https://rhld.insurance.arkansas.gov/NPILookup?Npi=1235652611","1235652611")</f>
        <v>1235652611</v>
      </c>
      <c r="E22950" s="1" t="s">
        <v>2714</v>
      </c>
      <c r="F22950" s="2"/>
      <c r="G22950" s="2"/>
      <c r="H22950" s="2"/>
    </row>
    <row r="22951" spans="1:8" x14ac:dyDescent="0.25">
      <c r="A22951" s="1"/>
      <c r="B22951" s="1" t="s">
        <v>7328</v>
      </c>
      <c r="C22951" s="1" t="s">
        <v>7329</v>
      </c>
      <c r="D22951" s="22" t="str">
        <f>HYPERLINK("https://rhld.insurance.arkansas.gov/NPILookup?Npi=1235653692","1235653692")</f>
        <v>1235653692</v>
      </c>
      <c r="E22951" s="1" t="s">
        <v>26153</v>
      </c>
      <c r="F22951" s="2"/>
      <c r="G22951" s="2"/>
      <c r="H22951" s="2"/>
    </row>
    <row r="22952" spans="1:8" x14ac:dyDescent="0.25">
      <c r="A22952" s="1"/>
      <c r="B22952" s="1" t="s">
        <v>7328</v>
      </c>
      <c r="C22952" s="1" t="s">
        <v>7329</v>
      </c>
      <c r="D22952" s="22" t="str">
        <f>HYPERLINK("https://rhld.insurance.arkansas.gov/NPILookup?Npi=1235655531","1235655531")</f>
        <v>1235655531</v>
      </c>
      <c r="E22952" s="1" t="s">
        <v>26154</v>
      </c>
      <c r="F22952" s="2"/>
      <c r="G22952" s="2"/>
      <c r="H22952" s="2"/>
    </row>
    <row r="22953" spans="1:8" x14ac:dyDescent="0.25">
      <c r="A22953" s="1"/>
      <c r="B22953" s="1" t="s">
        <v>7328</v>
      </c>
      <c r="C22953" s="1" t="s">
        <v>7329</v>
      </c>
      <c r="D22953" s="22" t="str">
        <f>HYPERLINK("https://rhld.insurance.arkansas.gov/NPILookup?Npi=1235658055","1235658055")</f>
        <v>1235658055</v>
      </c>
      <c r="E22953" s="1" t="s">
        <v>26155</v>
      </c>
      <c r="F22953" s="2"/>
      <c r="G22953" s="2"/>
      <c r="H22953" s="2"/>
    </row>
    <row r="22954" spans="1:8" x14ac:dyDescent="0.25">
      <c r="A22954" s="1"/>
      <c r="B22954" s="1" t="s">
        <v>7328</v>
      </c>
      <c r="C22954" s="1" t="s">
        <v>7329</v>
      </c>
      <c r="D22954" s="22" t="str">
        <f>HYPERLINK("https://rhld.insurance.arkansas.gov/NPILookup?Npi=1235660564","1235660564")</f>
        <v>1235660564</v>
      </c>
      <c r="E22954" s="1" t="s">
        <v>12880</v>
      </c>
      <c r="F22954" s="2"/>
      <c r="G22954" s="2"/>
      <c r="H22954" s="2"/>
    </row>
    <row r="22955" spans="1:8" x14ac:dyDescent="0.25">
      <c r="A22955" s="1"/>
      <c r="B22955" s="1" t="s">
        <v>7328</v>
      </c>
      <c r="C22955" s="1" t="s">
        <v>7329</v>
      </c>
      <c r="D22955" s="22" t="str">
        <f>HYPERLINK("https://rhld.insurance.arkansas.gov/NPILookup?Npi=1235667965","1235667965")</f>
        <v>1235667965</v>
      </c>
      <c r="E22955" s="1" t="s">
        <v>2715</v>
      </c>
      <c r="F22955" s="2"/>
      <c r="G22955" s="2"/>
      <c r="H22955" s="2"/>
    </row>
    <row r="22956" spans="1:8" x14ac:dyDescent="0.25">
      <c r="A22956" s="1"/>
      <c r="B22956" s="1" t="s">
        <v>7328</v>
      </c>
      <c r="C22956" s="1" t="s">
        <v>7329</v>
      </c>
      <c r="D22956" s="22" t="str">
        <f>HYPERLINK("https://rhld.insurance.arkansas.gov/NPILookup?Npi=1235676966","1235676966")</f>
        <v>1235676966</v>
      </c>
      <c r="E22956" s="1" t="s">
        <v>7567</v>
      </c>
      <c r="F22956" s="2"/>
      <c r="G22956" s="2"/>
      <c r="H22956" s="2"/>
    </row>
    <row r="22957" spans="1:8" x14ac:dyDescent="0.25">
      <c r="A22957" s="1"/>
      <c r="B22957" s="1" t="s">
        <v>7328</v>
      </c>
      <c r="C22957" s="1" t="s">
        <v>7329</v>
      </c>
      <c r="D22957" s="22" t="str">
        <f>HYPERLINK("https://rhld.insurance.arkansas.gov/NPILookup?Npi=1235687773","1235687773")</f>
        <v>1235687773</v>
      </c>
      <c r="E22957" s="1" t="s">
        <v>26156</v>
      </c>
      <c r="F22957" s="2"/>
      <c r="G22957" s="2"/>
      <c r="H22957" s="2"/>
    </row>
    <row r="22958" spans="1:8" x14ac:dyDescent="0.25">
      <c r="A22958" s="1"/>
      <c r="B22958" s="1" t="s">
        <v>7328</v>
      </c>
      <c r="C22958" s="1" t="s">
        <v>7329</v>
      </c>
      <c r="D22958" s="22" t="str">
        <f>HYPERLINK("https://rhld.insurance.arkansas.gov/NPILookup?Npi=1235695321","1235695321")</f>
        <v>1235695321</v>
      </c>
      <c r="E22958" s="1" t="s">
        <v>7568</v>
      </c>
      <c r="F22958" s="2"/>
      <c r="G22958" s="2"/>
      <c r="H22958" s="2"/>
    </row>
    <row r="22959" spans="1:8" x14ac:dyDescent="0.25">
      <c r="A22959" s="1"/>
      <c r="B22959" s="1" t="s">
        <v>7328</v>
      </c>
      <c r="C22959" s="1" t="s">
        <v>7329</v>
      </c>
      <c r="D22959" s="22" t="str">
        <f>HYPERLINK("https://rhld.insurance.arkansas.gov/NPILookup?Npi=1235695768","1235695768")</f>
        <v>1235695768</v>
      </c>
      <c r="E22959" s="1" t="s">
        <v>26157</v>
      </c>
      <c r="F22959" s="2"/>
      <c r="G22959" s="2"/>
      <c r="H22959" s="2"/>
    </row>
    <row r="22960" spans="1:8" x14ac:dyDescent="0.25">
      <c r="A22960" s="1"/>
      <c r="B22960" s="1" t="s">
        <v>7328</v>
      </c>
      <c r="C22960" s="1" t="s">
        <v>7329</v>
      </c>
      <c r="D22960" s="22" t="str">
        <f>HYPERLINK("https://rhld.insurance.arkansas.gov/NPILookup?Npi=1235709494","1235709494")</f>
        <v>1235709494</v>
      </c>
      <c r="E22960" s="1" t="s">
        <v>7569</v>
      </c>
      <c r="F22960" s="2"/>
      <c r="G22960" s="2"/>
      <c r="H22960" s="2"/>
    </row>
    <row r="22961" spans="1:8" x14ac:dyDescent="0.25">
      <c r="A22961" s="1"/>
      <c r="B22961" s="1" t="s">
        <v>7328</v>
      </c>
      <c r="C22961" s="1" t="s">
        <v>7329</v>
      </c>
      <c r="D22961" s="22" t="str">
        <f>HYPERLINK("https://rhld.insurance.arkansas.gov/NPILookup?Npi=1235717174","1235717174")</f>
        <v>1235717174</v>
      </c>
      <c r="E22961" s="1" t="s">
        <v>26158</v>
      </c>
      <c r="F22961" s="2"/>
      <c r="G22961" s="2"/>
      <c r="H22961" s="2"/>
    </row>
    <row r="22962" spans="1:8" x14ac:dyDescent="0.25">
      <c r="A22962" s="1"/>
      <c r="B22962" s="1" t="s">
        <v>7328</v>
      </c>
      <c r="C22962" s="1" t="s">
        <v>7329</v>
      </c>
      <c r="D22962" s="22" t="str">
        <f>HYPERLINK("https://rhld.insurance.arkansas.gov/NPILookup?Npi=1235721259","1235721259")</f>
        <v>1235721259</v>
      </c>
      <c r="E22962" s="1" t="s">
        <v>26159</v>
      </c>
      <c r="F22962" s="2"/>
      <c r="G22962" s="2"/>
      <c r="H22962" s="2"/>
    </row>
    <row r="22963" spans="1:8" x14ac:dyDescent="0.25">
      <c r="A22963" s="1"/>
      <c r="B22963" s="1" t="s">
        <v>7328</v>
      </c>
      <c r="C22963" s="1" t="s">
        <v>7329</v>
      </c>
      <c r="D22963" s="22" t="str">
        <f>HYPERLINK("https://rhld.insurance.arkansas.gov/NPILookup?Npi=1235721960","1235721960")</f>
        <v>1235721960</v>
      </c>
      <c r="E22963" s="1" t="s">
        <v>7570</v>
      </c>
      <c r="F22963" s="2"/>
      <c r="G22963" s="2"/>
      <c r="H22963" s="2"/>
    </row>
    <row r="22964" spans="1:8" x14ac:dyDescent="0.25">
      <c r="A22964" s="1"/>
      <c r="B22964" s="1" t="s">
        <v>7328</v>
      </c>
      <c r="C22964" s="1" t="s">
        <v>7329</v>
      </c>
      <c r="D22964" s="22" t="str">
        <f>HYPERLINK("https://rhld.insurance.arkansas.gov/NPILookup?Npi=1235737354","1235737354")</f>
        <v>1235737354</v>
      </c>
      <c r="E22964" s="1" t="s">
        <v>26160</v>
      </c>
      <c r="F22964" s="2"/>
      <c r="G22964" s="2"/>
      <c r="H22964" s="2"/>
    </row>
    <row r="22965" spans="1:8" x14ac:dyDescent="0.25">
      <c r="A22965" s="1"/>
      <c r="B22965" s="1" t="s">
        <v>7328</v>
      </c>
      <c r="C22965" s="1" t="s">
        <v>7329</v>
      </c>
      <c r="D22965" s="22" t="str">
        <f>HYPERLINK("https://rhld.insurance.arkansas.gov/NPILookup?Npi=1235760273","1235760273")</f>
        <v>1235760273</v>
      </c>
      <c r="E22965" s="1" t="s">
        <v>26161</v>
      </c>
      <c r="F22965" s="2"/>
      <c r="G22965" s="2"/>
      <c r="H22965" s="2"/>
    </row>
    <row r="22966" spans="1:8" x14ac:dyDescent="0.25">
      <c r="A22966" s="1"/>
      <c r="B22966" s="1" t="s">
        <v>7328</v>
      </c>
      <c r="C22966" s="1" t="s">
        <v>7329</v>
      </c>
      <c r="D22966" s="22" t="str">
        <f>HYPERLINK("https://rhld.insurance.arkansas.gov/NPILookup?Npi=1235762816","1235762816")</f>
        <v>1235762816</v>
      </c>
      <c r="E22966" s="1" t="s">
        <v>26162</v>
      </c>
      <c r="F22966" s="2"/>
      <c r="G22966" s="2"/>
      <c r="H22966" s="2"/>
    </row>
    <row r="22967" spans="1:8" x14ac:dyDescent="0.25">
      <c r="A22967" s="1"/>
      <c r="B22967" s="1" t="s">
        <v>7328</v>
      </c>
      <c r="C22967" s="1" t="s">
        <v>7329</v>
      </c>
      <c r="D22967" s="22" t="str">
        <f>HYPERLINK("https://rhld.insurance.arkansas.gov/NPILookup?Npi=1235770942","1235770942")</f>
        <v>1235770942</v>
      </c>
      <c r="E22967" s="1" t="s">
        <v>26163</v>
      </c>
      <c r="F22967" s="2"/>
      <c r="G22967" s="2"/>
      <c r="H22967" s="2"/>
    </row>
    <row r="22968" spans="1:8" x14ac:dyDescent="0.25">
      <c r="A22968" s="1"/>
      <c r="B22968" s="1" t="s">
        <v>7328</v>
      </c>
      <c r="C22968" s="1" t="s">
        <v>7329</v>
      </c>
      <c r="D22968" s="22" t="str">
        <f>HYPERLINK("https://rhld.insurance.arkansas.gov/NPILookup?Npi=1235776311","1235776311")</f>
        <v>1235776311</v>
      </c>
      <c r="E22968" s="1" t="s">
        <v>26164</v>
      </c>
      <c r="F22968" s="2"/>
      <c r="G22968" s="2"/>
      <c r="H22968" s="2"/>
    </row>
    <row r="22969" spans="1:8" x14ac:dyDescent="0.25">
      <c r="A22969" s="1"/>
      <c r="B22969" s="1" t="s">
        <v>7328</v>
      </c>
      <c r="C22969" s="1" t="s">
        <v>7329</v>
      </c>
      <c r="D22969" s="22" t="str">
        <f>HYPERLINK("https://rhld.insurance.arkansas.gov/NPILookup?Npi=1235796145","1235796145")</f>
        <v>1235796145</v>
      </c>
      <c r="E22969" s="1" t="s">
        <v>26165</v>
      </c>
      <c r="F22969" s="2"/>
      <c r="G22969" s="2"/>
      <c r="H22969" s="2"/>
    </row>
    <row r="22970" spans="1:8" x14ac:dyDescent="0.25">
      <c r="A22970" s="1"/>
      <c r="B22970" s="1" t="s">
        <v>7328</v>
      </c>
      <c r="C22970" s="1" t="s">
        <v>7329</v>
      </c>
      <c r="D22970" s="22" t="str">
        <f>HYPERLINK("https://rhld.insurance.arkansas.gov/NPILookup?Npi=1235812033","1235812033")</f>
        <v>1235812033</v>
      </c>
      <c r="E22970" s="1" t="s">
        <v>26166</v>
      </c>
      <c r="F22970" s="2"/>
      <c r="G22970" s="2"/>
      <c r="H22970" s="2"/>
    </row>
    <row r="22971" spans="1:8" x14ac:dyDescent="0.25">
      <c r="A22971" s="1"/>
      <c r="B22971" s="1" t="s">
        <v>7328</v>
      </c>
      <c r="C22971" s="1" t="s">
        <v>7329</v>
      </c>
      <c r="D22971" s="22" t="str">
        <f>HYPERLINK("https://rhld.insurance.arkansas.gov/NPILookup?Npi=1235818311","1235818311")</f>
        <v>1235818311</v>
      </c>
      <c r="E22971" s="1" t="s">
        <v>7571</v>
      </c>
      <c r="F22971" s="2"/>
      <c r="G22971" s="2"/>
      <c r="H22971" s="2"/>
    </row>
    <row r="22972" spans="1:8" x14ac:dyDescent="0.25">
      <c r="A22972" s="1"/>
      <c r="B22972" s="1" t="s">
        <v>7328</v>
      </c>
      <c r="C22972" s="1" t="s">
        <v>7329</v>
      </c>
      <c r="D22972" s="22" t="str">
        <f>HYPERLINK("https://rhld.insurance.arkansas.gov/NPILookup?Npi=1235837279","1235837279")</f>
        <v>1235837279</v>
      </c>
      <c r="E22972" s="1" t="s">
        <v>7572</v>
      </c>
      <c r="F22972" s="2"/>
      <c r="G22972" s="2"/>
      <c r="H22972" s="2"/>
    </row>
    <row r="22973" spans="1:8" x14ac:dyDescent="0.25">
      <c r="A22973" s="1"/>
      <c r="B22973" s="1" t="s">
        <v>7328</v>
      </c>
      <c r="C22973" s="1" t="s">
        <v>7329</v>
      </c>
      <c r="D22973" s="22" t="str">
        <f>HYPERLINK("https://rhld.insurance.arkansas.gov/NPILookup?Npi=1235839473","1235839473")</f>
        <v>1235839473</v>
      </c>
      <c r="E22973" s="1" t="s">
        <v>7573</v>
      </c>
      <c r="F22973" s="2"/>
      <c r="G22973" s="2"/>
      <c r="H22973" s="2"/>
    </row>
    <row r="22974" spans="1:8" x14ac:dyDescent="0.25">
      <c r="A22974" s="1"/>
      <c r="B22974" s="1" t="s">
        <v>7328</v>
      </c>
      <c r="C22974" s="1" t="s">
        <v>7329</v>
      </c>
      <c r="D22974" s="22" t="str">
        <f>HYPERLINK("https://rhld.insurance.arkansas.gov/NPILookup?Npi=1235863572","1235863572")</f>
        <v>1235863572</v>
      </c>
      <c r="E22974" s="1" t="s">
        <v>7574</v>
      </c>
      <c r="F22974" s="2"/>
      <c r="G22974" s="2"/>
      <c r="H22974" s="2"/>
    </row>
    <row r="22975" spans="1:8" x14ac:dyDescent="0.25">
      <c r="A22975" s="1"/>
      <c r="B22975" s="1" t="s">
        <v>7328</v>
      </c>
      <c r="C22975" s="1" t="s">
        <v>7329</v>
      </c>
      <c r="D22975" s="22" t="str">
        <f>HYPERLINK("https://rhld.insurance.arkansas.gov/NPILookup?Npi=1235866039","1235866039")</f>
        <v>1235866039</v>
      </c>
      <c r="E22975" s="1" t="s">
        <v>7575</v>
      </c>
      <c r="F22975" s="2"/>
      <c r="G22975" s="2"/>
      <c r="H22975" s="2"/>
    </row>
    <row r="22976" spans="1:8" x14ac:dyDescent="0.25">
      <c r="A22976" s="1"/>
      <c r="B22976" s="1" t="s">
        <v>7328</v>
      </c>
      <c r="C22976" s="1" t="s">
        <v>7329</v>
      </c>
      <c r="D22976" s="22" t="str">
        <f>HYPERLINK("https://rhld.insurance.arkansas.gov/NPILookup?Npi=1235867144","1235867144")</f>
        <v>1235867144</v>
      </c>
      <c r="E22976" s="1" t="s">
        <v>26167</v>
      </c>
      <c r="F22976" s="2"/>
      <c r="G22976" s="2"/>
      <c r="H22976" s="2"/>
    </row>
    <row r="22977" spans="1:8" x14ac:dyDescent="0.25">
      <c r="A22977" s="1"/>
      <c r="B22977" s="1" t="s">
        <v>7328</v>
      </c>
      <c r="C22977" s="1" t="s">
        <v>7329</v>
      </c>
      <c r="D22977" s="22" t="str">
        <f>HYPERLINK("https://rhld.insurance.arkansas.gov/NPILookup?Npi=1235867177","1235867177")</f>
        <v>1235867177</v>
      </c>
      <c r="E22977" s="1" t="s">
        <v>26168</v>
      </c>
      <c r="F22977" s="2"/>
      <c r="G22977" s="2"/>
      <c r="H22977" s="2"/>
    </row>
    <row r="22978" spans="1:8" x14ac:dyDescent="0.25">
      <c r="A22978" s="1"/>
      <c r="B22978" s="1" t="s">
        <v>7328</v>
      </c>
      <c r="C22978" s="1" t="s">
        <v>7329</v>
      </c>
      <c r="D22978" s="22" t="str">
        <f>HYPERLINK("https://rhld.insurance.arkansas.gov/NPILookup?Npi=1235867821","1235867821")</f>
        <v>1235867821</v>
      </c>
      <c r="E22978" s="1" t="s">
        <v>6078</v>
      </c>
      <c r="F22978" s="2"/>
      <c r="G22978" s="2"/>
      <c r="H22978" s="2"/>
    </row>
    <row r="22979" spans="1:8" x14ac:dyDescent="0.25">
      <c r="A22979" s="1"/>
      <c r="B22979" s="1" t="s">
        <v>7328</v>
      </c>
      <c r="C22979" s="1" t="s">
        <v>7329</v>
      </c>
      <c r="D22979" s="22" t="str">
        <f>HYPERLINK("https://rhld.insurance.arkansas.gov/NPILookup?Npi=1235874512","1235874512")</f>
        <v>1235874512</v>
      </c>
      <c r="E22979" s="1" t="s">
        <v>26169</v>
      </c>
      <c r="F22979" s="2"/>
      <c r="G22979" s="2"/>
      <c r="H22979" s="2"/>
    </row>
    <row r="22980" spans="1:8" x14ac:dyDescent="0.25">
      <c r="A22980" s="1"/>
      <c r="B22980" s="1" t="s">
        <v>7328</v>
      </c>
      <c r="C22980" s="1" t="s">
        <v>7329</v>
      </c>
      <c r="D22980" s="22" t="str">
        <f>HYPERLINK("https://rhld.insurance.arkansas.gov/NPILookup?Npi=1235891417","1235891417")</f>
        <v>1235891417</v>
      </c>
      <c r="E22980" s="1" t="s">
        <v>12881</v>
      </c>
      <c r="F22980" s="2"/>
      <c r="G22980" s="2"/>
      <c r="H22980" s="2"/>
    </row>
    <row r="22981" spans="1:8" x14ac:dyDescent="0.25">
      <c r="A22981" s="1"/>
      <c r="B22981" s="1" t="s">
        <v>7328</v>
      </c>
      <c r="C22981" s="1" t="s">
        <v>7329</v>
      </c>
      <c r="D22981" s="22" t="str">
        <f>HYPERLINK("https://rhld.insurance.arkansas.gov/NPILookup?Npi=1235914771","1235914771")</f>
        <v>1235914771</v>
      </c>
      <c r="E22981" s="1" t="s">
        <v>7576</v>
      </c>
      <c r="F22981" s="2"/>
      <c r="G22981" s="2"/>
      <c r="H22981" s="2"/>
    </row>
    <row r="22982" spans="1:8" x14ac:dyDescent="0.25">
      <c r="A22982" s="1"/>
      <c r="B22982" s="1" t="s">
        <v>7328</v>
      </c>
      <c r="C22982" s="1" t="s">
        <v>7329</v>
      </c>
      <c r="D22982" s="22" t="str">
        <f>HYPERLINK("https://rhld.insurance.arkansas.gov/NPILookup?Npi=1235972969","1235972969")</f>
        <v>1235972969</v>
      </c>
      <c r="E22982" s="1" t="s">
        <v>32160</v>
      </c>
      <c r="F22982" s="2"/>
      <c r="G22982" s="2"/>
      <c r="H22982" s="2"/>
    </row>
    <row r="22983" spans="1:8" x14ac:dyDescent="0.25">
      <c r="A22983" s="1"/>
      <c r="B22983" s="1" t="s">
        <v>7328</v>
      </c>
      <c r="C22983" s="1" t="s">
        <v>7329</v>
      </c>
      <c r="D22983" s="22" t="str">
        <f>HYPERLINK("https://rhld.insurance.arkansas.gov/NPILookup?Npi=1245011923","1245011923")</f>
        <v>1245011923</v>
      </c>
      <c r="E22983" s="1" t="s">
        <v>26170</v>
      </c>
      <c r="F22983" s="2"/>
      <c r="G22983" s="2"/>
      <c r="H22983" s="2"/>
    </row>
    <row r="22984" spans="1:8" x14ac:dyDescent="0.25">
      <c r="A22984" s="1"/>
      <c r="B22984" s="1" t="s">
        <v>7328</v>
      </c>
      <c r="C22984" s="1" t="s">
        <v>7329</v>
      </c>
      <c r="D22984" s="22" t="str">
        <f>HYPERLINK("https://rhld.insurance.arkansas.gov/NPILookup?Npi=1245018670","1245018670")</f>
        <v>1245018670</v>
      </c>
      <c r="E22984" s="1" t="s">
        <v>7577</v>
      </c>
      <c r="F22984" s="2"/>
      <c r="G22984" s="2"/>
      <c r="H22984" s="2"/>
    </row>
    <row r="22985" spans="1:8" x14ac:dyDescent="0.25">
      <c r="A22985" s="1"/>
      <c r="B22985" s="1" t="s">
        <v>7328</v>
      </c>
      <c r="C22985" s="1" t="s">
        <v>7329</v>
      </c>
      <c r="D22985" s="22" t="str">
        <f>HYPERLINK("https://rhld.insurance.arkansas.gov/NPILookup?Npi=1245053826","1245053826")</f>
        <v>1245053826</v>
      </c>
      <c r="E22985" s="1" t="s">
        <v>32161</v>
      </c>
      <c r="F22985" s="2"/>
      <c r="G22985" s="2"/>
      <c r="H22985" s="2"/>
    </row>
    <row r="22986" spans="1:8" x14ac:dyDescent="0.25">
      <c r="A22986" s="1"/>
      <c r="B22986" s="1" t="s">
        <v>7328</v>
      </c>
      <c r="C22986" s="1" t="s">
        <v>7329</v>
      </c>
      <c r="D22986" s="22" t="str">
        <f>HYPERLINK("https://rhld.insurance.arkansas.gov/NPILookup?Npi=1245087923","1245087923")</f>
        <v>1245087923</v>
      </c>
      <c r="E22986" s="1" t="s">
        <v>26171</v>
      </c>
      <c r="F22986" s="2"/>
      <c r="G22986" s="2"/>
      <c r="H22986" s="2"/>
    </row>
    <row r="22987" spans="1:8" x14ac:dyDescent="0.25">
      <c r="A22987" s="1"/>
      <c r="B22987" s="1" t="s">
        <v>7328</v>
      </c>
      <c r="C22987" s="1" t="s">
        <v>7329</v>
      </c>
      <c r="D22987" s="22" t="str">
        <f>HYPERLINK("https://rhld.insurance.arkansas.gov/NPILookup?Npi=1245093608","1245093608")</f>
        <v>1245093608</v>
      </c>
      <c r="E22987" s="1" t="s">
        <v>32162</v>
      </c>
      <c r="F22987" s="2"/>
      <c r="G22987" s="2"/>
      <c r="H22987" s="2"/>
    </row>
    <row r="22988" spans="1:8" x14ac:dyDescent="0.25">
      <c r="A22988" s="1"/>
      <c r="B22988" s="1" t="s">
        <v>7328</v>
      </c>
      <c r="C22988" s="1" t="s">
        <v>7329</v>
      </c>
      <c r="D22988" s="22" t="str">
        <f>HYPERLINK("https://rhld.insurance.arkansas.gov/NPILookup?Npi=1245200468","1245200468")</f>
        <v>1245200468</v>
      </c>
      <c r="E22988" s="1" t="s">
        <v>26172</v>
      </c>
      <c r="F22988" s="2"/>
      <c r="G22988" s="2"/>
      <c r="H22988" s="2"/>
    </row>
    <row r="22989" spans="1:8" x14ac:dyDescent="0.25">
      <c r="A22989" s="1"/>
      <c r="B22989" s="1" t="s">
        <v>7328</v>
      </c>
      <c r="C22989" s="1" t="s">
        <v>7329</v>
      </c>
      <c r="D22989" s="22" t="str">
        <f>HYPERLINK("https://rhld.insurance.arkansas.gov/NPILookup?Npi=1245200971","1245200971")</f>
        <v>1245200971</v>
      </c>
      <c r="E22989" s="1" t="s">
        <v>2716</v>
      </c>
      <c r="F22989" s="2"/>
      <c r="G22989" s="2"/>
      <c r="H22989" s="2"/>
    </row>
    <row r="22990" spans="1:8" x14ac:dyDescent="0.25">
      <c r="A22990" s="1"/>
      <c r="B22990" s="1" t="s">
        <v>7328</v>
      </c>
      <c r="C22990" s="1" t="s">
        <v>7329</v>
      </c>
      <c r="D22990" s="22" t="str">
        <f>HYPERLINK("https://rhld.insurance.arkansas.gov/NPILookup?Npi=1245202654","1245202654")</f>
        <v>1245202654</v>
      </c>
      <c r="E22990" s="1" t="s">
        <v>757</v>
      </c>
      <c r="F22990" s="2"/>
      <c r="G22990" s="2"/>
      <c r="H22990" s="2"/>
    </row>
    <row r="22991" spans="1:8" x14ac:dyDescent="0.25">
      <c r="A22991" s="1"/>
      <c r="B22991" s="1" t="s">
        <v>7328</v>
      </c>
      <c r="C22991" s="1" t="s">
        <v>7329</v>
      </c>
      <c r="D22991" s="22" t="str">
        <f>HYPERLINK("https://rhld.insurance.arkansas.gov/NPILookup?Npi=1245209485","1245209485")</f>
        <v>1245209485</v>
      </c>
      <c r="E22991" s="1" t="s">
        <v>26173</v>
      </c>
      <c r="F22991" s="2"/>
      <c r="G22991" s="2"/>
      <c r="H22991" s="2"/>
    </row>
    <row r="22992" spans="1:8" x14ac:dyDescent="0.25">
      <c r="A22992" s="1"/>
      <c r="B22992" s="1" t="s">
        <v>7328</v>
      </c>
      <c r="C22992" s="1" t="s">
        <v>7329</v>
      </c>
      <c r="D22992" s="22" t="str">
        <f>HYPERLINK("https://rhld.insurance.arkansas.gov/NPILookup?Npi=1245222348","1245222348")</f>
        <v>1245222348</v>
      </c>
      <c r="E22992" s="1" t="s">
        <v>26174</v>
      </c>
      <c r="F22992" s="2"/>
      <c r="G22992" s="2"/>
      <c r="H22992" s="2"/>
    </row>
    <row r="22993" spans="1:8" x14ac:dyDescent="0.25">
      <c r="A22993" s="1"/>
      <c r="B22993" s="1" t="s">
        <v>7328</v>
      </c>
      <c r="C22993" s="1" t="s">
        <v>7329</v>
      </c>
      <c r="D22993" s="22" t="str">
        <f>HYPERLINK("https://rhld.insurance.arkansas.gov/NPILookup?Npi=1245223866","1245223866")</f>
        <v>1245223866</v>
      </c>
      <c r="E22993" s="1" t="s">
        <v>26175</v>
      </c>
      <c r="F22993" s="2"/>
      <c r="G22993" s="2"/>
      <c r="H22993" s="2"/>
    </row>
    <row r="22994" spans="1:8" x14ac:dyDescent="0.25">
      <c r="A22994" s="1"/>
      <c r="B22994" s="1" t="s">
        <v>7328</v>
      </c>
      <c r="C22994" s="1" t="s">
        <v>7329</v>
      </c>
      <c r="D22994" s="22" t="str">
        <f>HYPERLINK("https://rhld.insurance.arkansas.gov/NPILookup?Npi=1245224229","1245224229")</f>
        <v>1245224229</v>
      </c>
      <c r="E22994" s="1" t="s">
        <v>26176</v>
      </c>
      <c r="F22994" s="2"/>
      <c r="G22994" s="2"/>
      <c r="H22994" s="2"/>
    </row>
    <row r="22995" spans="1:8" x14ac:dyDescent="0.25">
      <c r="A22995" s="1"/>
      <c r="B22995" s="1" t="s">
        <v>7328</v>
      </c>
      <c r="C22995" s="1" t="s">
        <v>7329</v>
      </c>
      <c r="D22995" s="22" t="str">
        <f>HYPERLINK("https://rhld.insurance.arkansas.gov/NPILookup?Npi=1245232263","1245232263")</f>
        <v>1245232263</v>
      </c>
      <c r="E22995" s="1" t="s">
        <v>7578</v>
      </c>
      <c r="F22995" s="2"/>
      <c r="G22995" s="2"/>
      <c r="H22995" s="2"/>
    </row>
    <row r="22996" spans="1:8" x14ac:dyDescent="0.25">
      <c r="A22996" s="1"/>
      <c r="B22996" s="1" t="s">
        <v>7328</v>
      </c>
      <c r="C22996" s="1" t="s">
        <v>7329</v>
      </c>
      <c r="D22996" s="22" t="str">
        <f>HYPERLINK("https://rhld.insurance.arkansas.gov/NPILookup?Npi=1245234061","1245234061")</f>
        <v>1245234061</v>
      </c>
      <c r="E22996" s="1" t="s">
        <v>26177</v>
      </c>
      <c r="F22996" s="2"/>
      <c r="G22996" s="2"/>
      <c r="H22996" s="2"/>
    </row>
    <row r="22997" spans="1:8" x14ac:dyDescent="0.25">
      <c r="A22997" s="1"/>
      <c r="B22997" s="1" t="s">
        <v>7328</v>
      </c>
      <c r="C22997" s="1" t="s">
        <v>7329</v>
      </c>
      <c r="D22997" s="22" t="str">
        <f>HYPERLINK("https://rhld.insurance.arkansas.gov/NPILookup?Npi=1245237528","1245237528")</f>
        <v>1245237528</v>
      </c>
      <c r="E22997" s="1" t="s">
        <v>26178</v>
      </c>
      <c r="F22997" s="2"/>
      <c r="G22997" s="2"/>
      <c r="H22997" s="2"/>
    </row>
    <row r="22998" spans="1:8" x14ac:dyDescent="0.25">
      <c r="A22998" s="1"/>
      <c r="B22998" s="1" t="s">
        <v>7328</v>
      </c>
      <c r="C22998" s="1" t="s">
        <v>7329</v>
      </c>
      <c r="D22998" s="22" t="str">
        <f>HYPERLINK("https://rhld.insurance.arkansas.gov/NPILookup?Npi=1245260140","1245260140")</f>
        <v>1245260140</v>
      </c>
      <c r="E22998" s="1" t="s">
        <v>9750</v>
      </c>
      <c r="F22998" s="2"/>
      <c r="G22998" s="2"/>
      <c r="H22998" s="2"/>
    </row>
    <row r="22999" spans="1:8" x14ac:dyDescent="0.25">
      <c r="A22999" s="1"/>
      <c r="B22999" s="1" t="s">
        <v>7328</v>
      </c>
      <c r="C22999" s="1" t="s">
        <v>7329</v>
      </c>
      <c r="D22999" s="22" t="str">
        <f>HYPERLINK("https://rhld.insurance.arkansas.gov/NPILookup?Npi=1245264696","1245264696")</f>
        <v>1245264696</v>
      </c>
      <c r="E22999" s="1" t="s">
        <v>12882</v>
      </c>
      <c r="F22999" s="2"/>
      <c r="G22999" s="2"/>
      <c r="H22999" s="2"/>
    </row>
    <row r="23000" spans="1:8" x14ac:dyDescent="0.25">
      <c r="A23000" s="1"/>
      <c r="B23000" s="1" t="s">
        <v>7328</v>
      </c>
      <c r="C23000" s="1" t="s">
        <v>7329</v>
      </c>
      <c r="D23000" s="22" t="str">
        <f>HYPERLINK("https://rhld.insurance.arkansas.gov/NPILookup?Npi=1245286442","1245286442")</f>
        <v>1245286442</v>
      </c>
      <c r="E23000" s="1" t="s">
        <v>17340</v>
      </c>
      <c r="F23000" s="2"/>
      <c r="G23000" s="2"/>
      <c r="H23000" s="2"/>
    </row>
    <row r="23001" spans="1:8" x14ac:dyDescent="0.25">
      <c r="A23001" s="1"/>
      <c r="B23001" s="1" t="s">
        <v>7328</v>
      </c>
      <c r="C23001" s="1" t="s">
        <v>7329</v>
      </c>
      <c r="D23001" s="22" t="str">
        <f>HYPERLINK("https://rhld.insurance.arkansas.gov/NPILookup?Npi=1245291301","1245291301")</f>
        <v>1245291301</v>
      </c>
      <c r="E23001" s="1" t="s">
        <v>12883</v>
      </c>
      <c r="F23001" s="2"/>
      <c r="G23001" s="2"/>
      <c r="H23001" s="2"/>
    </row>
    <row r="23002" spans="1:8" x14ac:dyDescent="0.25">
      <c r="A23002" s="1"/>
      <c r="B23002" s="1" t="s">
        <v>7328</v>
      </c>
      <c r="C23002" s="1" t="s">
        <v>7329</v>
      </c>
      <c r="D23002" s="22" t="str">
        <f>HYPERLINK("https://rhld.insurance.arkansas.gov/NPILookup?Npi=1245292549","1245292549")</f>
        <v>1245292549</v>
      </c>
      <c r="E23002" s="1" t="s">
        <v>26179</v>
      </c>
      <c r="F23002" s="2"/>
      <c r="G23002" s="2"/>
      <c r="H23002" s="2"/>
    </row>
    <row r="23003" spans="1:8" x14ac:dyDescent="0.25">
      <c r="A23003" s="1"/>
      <c r="B23003" s="1" t="s">
        <v>7328</v>
      </c>
      <c r="C23003" s="1" t="s">
        <v>7329</v>
      </c>
      <c r="D23003" s="22" t="str">
        <f>HYPERLINK("https://rhld.insurance.arkansas.gov/NPILookup?Npi=1245298132","1245298132")</f>
        <v>1245298132</v>
      </c>
      <c r="E23003" s="1" t="s">
        <v>26180</v>
      </c>
      <c r="F23003" s="2"/>
      <c r="G23003" s="2"/>
      <c r="H23003" s="2"/>
    </row>
    <row r="23004" spans="1:8" x14ac:dyDescent="0.25">
      <c r="A23004" s="1"/>
      <c r="B23004" s="1" t="s">
        <v>7328</v>
      </c>
      <c r="C23004" s="1" t="s">
        <v>7329</v>
      </c>
      <c r="D23004" s="22" t="str">
        <f>HYPERLINK("https://rhld.insurance.arkansas.gov/NPILookup?Npi=1245307586","1245307586")</f>
        <v>1245307586</v>
      </c>
      <c r="E23004" s="1" t="s">
        <v>252</v>
      </c>
      <c r="F23004" s="2"/>
      <c r="G23004" s="2"/>
      <c r="H23004" s="2"/>
    </row>
    <row r="23005" spans="1:8" x14ac:dyDescent="0.25">
      <c r="A23005" s="1"/>
      <c r="B23005" s="1" t="s">
        <v>7328</v>
      </c>
      <c r="C23005" s="1" t="s">
        <v>7329</v>
      </c>
      <c r="D23005" s="22" t="str">
        <f>HYPERLINK("https://rhld.insurance.arkansas.gov/NPILookup?Npi=1245309418","1245309418")</f>
        <v>1245309418</v>
      </c>
      <c r="E23005" s="1" t="s">
        <v>26181</v>
      </c>
      <c r="F23005" s="2"/>
      <c r="G23005" s="2"/>
      <c r="H23005" s="2"/>
    </row>
    <row r="23006" spans="1:8" x14ac:dyDescent="0.25">
      <c r="A23006" s="1"/>
      <c r="B23006" s="1" t="s">
        <v>7328</v>
      </c>
      <c r="C23006" s="1" t="s">
        <v>7329</v>
      </c>
      <c r="D23006" s="22" t="str">
        <f>HYPERLINK("https://rhld.insurance.arkansas.gov/NPILookup?Npi=1245322387","1245322387")</f>
        <v>1245322387</v>
      </c>
      <c r="E23006" s="1" t="s">
        <v>26182</v>
      </c>
      <c r="F23006" s="2"/>
      <c r="G23006" s="2"/>
      <c r="H23006" s="2"/>
    </row>
    <row r="23007" spans="1:8" x14ac:dyDescent="0.25">
      <c r="A23007" s="1"/>
      <c r="B23007" s="1" t="s">
        <v>7328</v>
      </c>
      <c r="C23007" s="1" t="s">
        <v>7329</v>
      </c>
      <c r="D23007" s="22" t="str">
        <f>HYPERLINK("https://rhld.insurance.arkansas.gov/NPILookup?Npi=1245325430","1245325430")</f>
        <v>1245325430</v>
      </c>
      <c r="E23007" s="1" t="s">
        <v>26183</v>
      </c>
      <c r="F23007" s="2"/>
      <c r="G23007" s="2"/>
      <c r="H23007" s="2"/>
    </row>
    <row r="23008" spans="1:8" x14ac:dyDescent="0.25">
      <c r="A23008" s="1"/>
      <c r="B23008" s="1" t="s">
        <v>7328</v>
      </c>
      <c r="C23008" s="1" t="s">
        <v>7329</v>
      </c>
      <c r="D23008" s="22" t="str">
        <f>HYPERLINK("https://rhld.insurance.arkansas.gov/NPILookup?Npi=1245329663","1245329663")</f>
        <v>1245329663</v>
      </c>
      <c r="E23008" s="1" t="s">
        <v>26184</v>
      </c>
      <c r="F23008" s="2"/>
      <c r="G23008" s="2"/>
      <c r="H23008" s="2"/>
    </row>
    <row r="23009" spans="1:8" x14ac:dyDescent="0.25">
      <c r="A23009" s="1"/>
      <c r="B23009" s="1" t="s">
        <v>7328</v>
      </c>
      <c r="C23009" s="1" t="s">
        <v>7329</v>
      </c>
      <c r="D23009" s="22" t="str">
        <f>HYPERLINK("https://rhld.insurance.arkansas.gov/NPILookup?Npi=1245351774","1245351774")</f>
        <v>1245351774</v>
      </c>
      <c r="E23009" s="1" t="s">
        <v>12884</v>
      </c>
      <c r="F23009" s="2"/>
      <c r="G23009" s="2"/>
      <c r="H23009" s="2"/>
    </row>
    <row r="23010" spans="1:8" x14ac:dyDescent="0.25">
      <c r="A23010" s="1"/>
      <c r="B23010" s="1" t="s">
        <v>7328</v>
      </c>
      <c r="C23010" s="1" t="s">
        <v>7329</v>
      </c>
      <c r="D23010" s="22" t="str">
        <f>HYPERLINK("https://rhld.insurance.arkansas.gov/NPILookup?Npi=1245359132","1245359132")</f>
        <v>1245359132</v>
      </c>
      <c r="E23010" s="1" t="s">
        <v>7579</v>
      </c>
      <c r="F23010" s="2"/>
      <c r="G23010" s="2"/>
      <c r="H23010" s="2"/>
    </row>
    <row r="23011" spans="1:8" x14ac:dyDescent="0.25">
      <c r="A23011" s="1"/>
      <c r="B23011" s="1" t="s">
        <v>7328</v>
      </c>
      <c r="C23011" s="1" t="s">
        <v>7329</v>
      </c>
      <c r="D23011" s="22" t="str">
        <f>HYPERLINK("https://rhld.insurance.arkansas.gov/NPILookup?Npi=1245379528","1245379528")</f>
        <v>1245379528</v>
      </c>
      <c r="E23011" s="1" t="s">
        <v>26185</v>
      </c>
      <c r="F23011" s="2"/>
      <c r="G23011" s="2"/>
      <c r="H23011" s="2"/>
    </row>
    <row r="23012" spans="1:8" x14ac:dyDescent="0.25">
      <c r="A23012" s="1"/>
      <c r="B23012" s="1" t="s">
        <v>7328</v>
      </c>
      <c r="C23012" s="1" t="s">
        <v>7329</v>
      </c>
      <c r="D23012" s="22" t="str">
        <f>HYPERLINK("https://rhld.insurance.arkansas.gov/NPILookup?Npi=1245383264","1245383264")</f>
        <v>1245383264</v>
      </c>
      <c r="E23012" s="1" t="s">
        <v>2718</v>
      </c>
      <c r="F23012" s="2"/>
      <c r="G23012" s="2"/>
      <c r="H23012" s="2"/>
    </row>
    <row r="23013" spans="1:8" x14ac:dyDescent="0.25">
      <c r="A23013" s="1"/>
      <c r="B23013" s="1" t="s">
        <v>7328</v>
      </c>
      <c r="C23013" s="1" t="s">
        <v>7329</v>
      </c>
      <c r="D23013" s="22" t="str">
        <f>HYPERLINK("https://rhld.insurance.arkansas.gov/NPILookup?Npi=1245387091","1245387091")</f>
        <v>1245387091</v>
      </c>
      <c r="E23013" s="1" t="s">
        <v>1866</v>
      </c>
      <c r="F23013" s="2"/>
      <c r="G23013" s="2"/>
      <c r="H23013" s="2"/>
    </row>
    <row r="23014" spans="1:8" x14ac:dyDescent="0.25">
      <c r="A23014" s="1"/>
      <c r="B23014" s="1" t="s">
        <v>7328</v>
      </c>
      <c r="C23014" s="1" t="s">
        <v>7329</v>
      </c>
      <c r="D23014" s="22" t="str">
        <f>HYPERLINK("https://rhld.insurance.arkansas.gov/NPILookup?Npi=1245407576","1245407576")</f>
        <v>1245407576</v>
      </c>
      <c r="E23014" s="1" t="s">
        <v>1993</v>
      </c>
      <c r="F23014" s="2"/>
      <c r="G23014" s="2"/>
      <c r="H23014" s="2"/>
    </row>
    <row r="23015" spans="1:8" x14ac:dyDescent="0.25">
      <c r="A23015" s="1"/>
      <c r="B23015" s="1" t="s">
        <v>7328</v>
      </c>
      <c r="C23015" s="1" t="s">
        <v>7329</v>
      </c>
      <c r="D23015" s="22" t="str">
        <f>HYPERLINK("https://rhld.insurance.arkansas.gov/NPILookup?Npi=1245491380","1245491380")</f>
        <v>1245491380</v>
      </c>
      <c r="E23015" s="1" t="s">
        <v>18700</v>
      </c>
      <c r="F23015" s="2"/>
      <c r="G23015" s="2"/>
      <c r="H23015" s="2"/>
    </row>
    <row r="23016" spans="1:8" x14ac:dyDescent="0.25">
      <c r="A23016" s="1"/>
      <c r="B23016" s="1" t="s">
        <v>7328</v>
      </c>
      <c r="C23016" s="1" t="s">
        <v>7329</v>
      </c>
      <c r="D23016" s="22" t="str">
        <f>HYPERLINK("https://rhld.insurance.arkansas.gov/NPILookup?Npi=1245502640","1245502640")</f>
        <v>1245502640</v>
      </c>
      <c r="E23016" s="1" t="s">
        <v>26186</v>
      </c>
      <c r="F23016" s="2"/>
      <c r="G23016" s="2"/>
      <c r="H23016" s="2"/>
    </row>
    <row r="23017" spans="1:8" x14ac:dyDescent="0.25">
      <c r="A23017" s="1"/>
      <c r="B23017" s="1" t="s">
        <v>7328</v>
      </c>
      <c r="C23017" s="1" t="s">
        <v>7329</v>
      </c>
      <c r="D23017" s="22" t="str">
        <f>HYPERLINK("https://rhld.insurance.arkansas.gov/NPILookup?Npi=1245522549","1245522549")</f>
        <v>1245522549</v>
      </c>
      <c r="E23017" s="1" t="s">
        <v>7580</v>
      </c>
      <c r="F23017" s="2"/>
      <c r="G23017" s="2"/>
      <c r="H23017" s="2"/>
    </row>
    <row r="23018" spans="1:8" x14ac:dyDescent="0.25">
      <c r="A23018" s="1"/>
      <c r="B23018" s="1" t="s">
        <v>7328</v>
      </c>
      <c r="C23018" s="1" t="s">
        <v>7329</v>
      </c>
      <c r="D23018" s="22" t="str">
        <f>HYPERLINK("https://rhld.insurance.arkansas.gov/NPILookup?Npi=1245542323","1245542323")</f>
        <v>1245542323</v>
      </c>
      <c r="E23018" s="1" t="s">
        <v>12885</v>
      </c>
      <c r="F23018" s="2"/>
      <c r="G23018" s="2"/>
      <c r="H23018" s="2"/>
    </row>
    <row r="23019" spans="1:8" x14ac:dyDescent="0.25">
      <c r="A23019" s="1"/>
      <c r="B23019" s="1" t="s">
        <v>7328</v>
      </c>
      <c r="C23019" s="1" t="s">
        <v>7329</v>
      </c>
      <c r="D23019" s="22" t="str">
        <f>HYPERLINK("https://rhld.insurance.arkansas.gov/NPILookup?Npi=1245547645","1245547645")</f>
        <v>1245547645</v>
      </c>
      <c r="E23019" s="1" t="s">
        <v>26187</v>
      </c>
      <c r="F23019" s="2"/>
      <c r="G23019" s="2"/>
      <c r="H23019" s="2"/>
    </row>
    <row r="23020" spans="1:8" x14ac:dyDescent="0.25">
      <c r="A23020" s="1"/>
      <c r="B23020" s="1" t="s">
        <v>7328</v>
      </c>
      <c r="C23020" s="1" t="s">
        <v>7329</v>
      </c>
      <c r="D23020" s="22" t="str">
        <f>HYPERLINK("https://rhld.insurance.arkansas.gov/NPILookup?Npi=1245547702","1245547702")</f>
        <v>1245547702</v>
      </c>
      <c r="E23020" s="1" t="s">
        <v>133</v>
      </c>
      <c r="F23020" s="2"/>
      <c r="G23020" s="2"/>
      <c r="H23020" s="2"/>
    </row>
    <row r="23021" spans="1:8" x14ac:dyDescent="0.25">
      <c r="A23021" s="1"/>
      <c r="B23021" s="1" t="s">
        <v>7328</v>
      </c>
      <c r="C23021" s="1" t="s">
        <v>7329</v>
      </c>
      <c r="D23021" s="22" t="str">
        <f>HYPERLINK("https://rhld.insurance.arkansas.gov/NPILookup?Npi=1245559681","1245559681")</f>
        <v>1245559681</v>
      </c>
      <c r="E23021" s="1" t="s">
        <v>26188</v>
      </c>
      <c r="F23021" s="2"/>
      <c r="G23021" s="2"/>
      <c r="H23021" s="2"/>
    </row>
    <row r="23022" spans="1:8" x14ac:dyDescent="0.25">
      <c r="A23022" s="1"/>
      <c r="B23022" s="1" t="s">
        <v>7328</v>
      </c>
      <c r="C23022" s="1" t="s">
        <v>7329</v>
      </c>
      <c r="D23022" s="22" t="str">
        <f>HYPERLINK("https://rhld.insurance.arkansas.gov/NPILookup?Npi=1245564186","1245564186")</f>
        <v>1245564186</v>
      </c>
      <c r="E23022" s="1" t="s">
        <v>26189</v>
      </c>
      <c r="F23022" s="2"/>
      <c r="G23022" s="2"/>
      <c r="H23022" s="2"/>
    </row>
    <row r="23023" spans="1:8" x14ac:dyDescent="0.25">
      <c r="A23023" s="1"/>
      <c r="B23023" s="1" t="s">
        <v>7328</v>
      </c>
      <c r="C23023" s="1" t="s">
        <v>7329</v>
      </c>
      <c r="D23023" s="22" t="str">
        <f>HYPERLINK("https://rhld.insurance.arkansas.gov/NPILookup?Npi=1245579127","1245579127")</f>
        <v>1245579127</v>
      </c>
      <c r="E23023" s="1" t="s">
        <v>21620</v>
      </c>
      <c r="F23023" s="2"/>
      <c r="G23023" s="2"/>
      <c r="H23023" s="2"/>
    </row>
    <row r="23024" spans="1:8" x14ac:dyDescent="0.25">
      <c r="A23024" s="1"/>
      <c r="B23024" s="1" t="s">
        <v>7328</v>
      </c>
      <c r="C23024" s="1" t="s">
        <v>7329</v>
      </c>
      <c r="D23024" s="22" t="str">
        <f>HYPERLINK("https://rhld.insurance.arkansas.gov/NPILookup?Npi=1245579200","1245579200")</f>
        <v>1245579200</v>
      </c>
      <c r="E23024" s="1" t="s">
        <v>26190</v>
      </c>
      <c r="F23024" s="2"/>
      <c r="G23024" s="2"/>
      <c r="H23024" s="2"/>
    </row>
    <row r="23025" spans="1:8" x14ac:dyDescent="0.25">
      <c r="A23025" s="1"/>
      <c r="B23025" s="1" t="s">
        <v>7328</v>
      </c>
      <c r="C23025" s="1" t="s">
        <v>7329</v>
      </c>
      <c r="D23025" s="22" t="str">
        <f>HYPERLINK("https://rhld.insurance.arkansas.gov/NPILookup?Npi=1245586874","1245586874")</f>
        <v>1245586874</v>
      </c>
      <c r="E23025" s="1" t="s">
        <v>21621</v>
      </c>
      <c r="F23025" s="2"/>
      <c r="G23025" s="2"/>
      <c r="H23025" s="2"/>
    </row>
    <row r="23026" spans="1:8" x14ac:dyDescent="0.25">
      <c r="A23026" s="1"/>
      <c r="B23026" s="1" t="s">
        <v>7328</v>
      </c>
      <c r="C23026" s="1" t="s">
        <v>7329</v>
      </c>
      <c r="D23026" s="22" t="str">
        <f>HYPERLINK("https://rhld.insurance.arkansas.gov/NPILookup?Npi=1245603273","1245603273")</f>
        <v>1245603273</v>
      </c>
      <c r="E23026" s="1" t="s">
        <v>26191</v>
      </c>
      <c r="F23026" s="2"/>
      <c r="G23026" s="2"/>
      <c r="H23026" s="2"/>
    </row>
    <row r="23027" spans="1:8" x14ac:dyDescent="0.25">
      <c r="A23027" s="1"/>
      <c r="B23027" s="1" t="s">
        <v>7328</v>
      </c>
      <c r="C23027" s="1" t="s">
        <v>7329</v>
      </c>
      <c r="D23027" s="22" t="str">
        <f>HYPERLINK("https://rhld.insurance.arkansas.gov/NPILookup?Npi=1245612431","1245612431")</f>
        <v>1245612431</v>
      </c>
      <c r="E23027" s="1" t="s">
        <v>26192</v>
      </c>
      <c r="F23027" s="2"/>
      <c r="G23027" s="2"/>
      <c r="H23027" s="2"/>
    </row>
    <row r="23028" spans="1:8" x14ac:dyDescent="0.25">
      <c r="A23028" s="1"/>
      <c r="B23028" s="1" t="s">
        <v>7328</v>
      </c>
      <c r="C23028" s="1" t="s">
        <v>7329</v>
      </c>
      <c r="D23028" s="22" t="str">
        <f>HYPERLINK("https://rhld.insurance.arkansas.gov/NPILookup?Npi=1245618768","1245618768")</f>
        <v>1245618768</v>
      </c>
      <c r="E23028" s="1" t="s">
        <v>26193</v>
      </c>
      <c r="F23028" s="2"/>
      <c r="G23028" s="2"/>
      <c r="H23028" s="2"/>
    </row>
    <row r="23029" spans="1:8" x14ac:dyDescent="0.25">
      <c r="A23029" s="1"/>
      <c r="B23029" s="1" t="s">
        <v>7328</v>
      </c>
      <c r="C23029" s="1" t="s">
        <v>7329</v>
      </c>
      <c r="D23029" s="22" t="str">
        <f>HYPERLINK("https://rhld.insurance.arkansas.gov/NPILookup?Npi=1245628148","1245628148")</f>
        <v>1245628148</v>
      </c>
      <c r="E23029" s="1" t="s">
        <v>26194</v>
      </c>
      <c r="F23029" s="2"/>
      <c r="G23029" s="2"/>
      <c r="H23029" s="2"/>
    </row>
    <row r="23030" spans="1:8" x14ac:dyDescent="0.25">
      <c r="A23030" s="1"/>
      <c r="B23030" s="1" t="s">
        <v>7328</v>
      </c>
      <c r="C23030" s="1" t="s">
        <v>7329</v>
      </c>
      <c r="D23030" s="22" t="str">
        <f>HYPERLINK("https://rhld.insurance.arkansas.gov/NPILookup?Npi=1245633304","1245633304")</f>
        <v>1245633304</v>
      </c>
      <c r="E23030" s="1" t="s">
        <v>26195</v>
      </c>
      <c r="F23030" s="2"/>
      <c r="G23030" s="2"/>
      <c r="H23030" s="2"/>
    </row>
    <row r="23031" spans="1:8" x14ac:dyDescent="0.25">
      <c r="A23031" s="1"/>
      <c r="B23031" s="1" t="s">
        <v>7328</v>
      </c>
      <c r="C23031" s="1" t="s">
        <v>7329</v>
      </c>
      <c r="D23031" s="22" t="str">
        <f>HYPERLINK("https://rhld.insurance.arkansas.gov/NPILookup?Npi=1245635291","1245635291")</f>
        <v>1245635291</v>
      </c>
      <c r="E23031" s="1" t="s">
        <v>12675</v>
      </c>
      <c r="F23031" s="2"/>
      <c r="G23031" s="2"/>
      <c r="H23031" s="2"/>
    </row>
    <row r="23032" spans="1:8" x14ac:dyDescent="0.25">
      <c r="A23032" s="1"/>
      <c r="B23032" s="1" t="s">
        <v>7328</v>
      </c>
      <c r="C23032" s="1" t="s">
        <v>7329</v>
      </c>
      <c r="D23032" s="22" t="str">
        <f>HYPERLINK("https://rhld.insurance.arkansas.gov/NPILookup?Npi=1245635507","1245635507")</f>
        <v>1245635507</v>
      </c>
      <c r="E23032" s="1" t="s">
        <v>26196</v>
      </c>
      <c r="F23032" s="2"/>
      <c r="G23032" s="2"/>
      <c r="H23032" s="2"/>
    </row>
    <row r="23033" spans="1:8" x14ac:dyDescent="0.25">
      <c r="A23033" s="1"/>
      <c r="B23033" s="1" t="s">
        <v>7328</v>
      </c>
      <c r="C23033" s="1" t="s">
        <v>7329</v>
      </c>
      <c r="D23033" s="22" t="str">
        <f>HYPERLINK("https://rhld.insurance.arkansas.gov/NPILookup?Npi=1245644012","1245644012")</f>
        <v>1245644012</v>
      </c>
      <c r="E23033" s="1" t="s">
        <v>26197</v>
      </c>
      <c r="F23033" s="2"/>
      <c r="G23033" s="2"/>
      <c r="H23033" s="2"/>
    </row>
    <row r="23034" spans="1:8" x14ac:dyDescent="0.25">
      <c r="A23034" s="1"/>
      <c r="B23034" s="1" t="s">
        <v>7328</v>
      </c>
      <c r="C23034" s="1" t="s">
        <v>7329</v>
      </c>
      <c r="D23034" s="22" t="str">
        <f>HYPERLINK("https://rhld.insurance.arkansas.gov/NPILookup?Npi=1245644814","1245644814")</f>
        <v>1245644814</v>
      </c>
      <c r="E23034" s="1" t="s">
        <v>1295</v>
      </c>
      <c r="F23034" s="2"/>
      <c r="G23034" s="2"/>
      <c r="H23034" s="2"/>
    </row>
    <row r="23035" spans="1:8" x14ac:dyDescent="0.25">
      <c r="A23035" s="1"/>
      <c r="B23035" s="1" t="s">
        <v>7328</v>
      </c>
      <c r="C23035" s="1" t="s">
        <v>7329</v>
      </c>
      <c r="D23035" s="22" t="str">
        <f>HYPERLINK("https://rhld.insurance.arkansas.gov/NPILookup?Npi=1245646934","1245646934")</f>
        <v>1245646934</v>
      </c>
      <c r="E23035" s="1" t="s">
        <v>13385</v>
      </c>
      <c r="F23035" s="2"/>
      <c r="G23035" s="2"/>
      <c r="H23035" s="2"/>
    </row>
    <row r="23036" spans="1:8" x14ac:dyDescent="0.25">
      <c r="A23036" s="1"/>
      <c r="B23036" s="1" t="s">
        <v>7328</v>
      </c>
      <c r="C23036" s="1" t="s">
        <v>7329</v>
      </c>
      <c r="D23036" s="22" t="str">
        <f>HYPERLINK("https://rhld.insurance.arkansas.gov/NPILookup?Npi=1245647494","1245647494")</f>
        <v>1245647494</v>
      </c>
      <c r="E23036" s="1" t="s">
        <v>848</v>
      </c>
      <c r="F23036" s="2"/>
      <c r="G23036" s="2"/>
      <c r="H23036" s="2"/>
    </row>
    <row r="23037" spans="1:8" x14ac:dyDescent="0.25">
      <c r="A23037" s="1"/>
      <c r="B23037" s="1" t="s">
        <v>7328</v>
      </c>
      <c r="C23037" s="1" t="s">
        <v>7329</v>
      </c>
      <c r="D23037" s="22" t="str">
        <f>HYPERLINK("https://rhld.insurance.arkansas.gov/NPILookup?Npi=1245648716","1245648716")</f>
        <v>1245648716</v>
      </c>
      <c r="E23037" s="1" t="s">
        <v>12886</v>
      </c>
      <c r="F23037" s="2"/>
      <c r="G23037" s="2"/>
      <c r="H23037" s="2"/>
    </row>
    <row r="23038" spans="1:8" x14ac:dyDescent="0.25">
      <c r="A23038" s="1"/>
      <c r="B23038" s="1" t="s">
        <v>7328</v>
      </c>
      <c r="C23038" s="1" t="s">
        <v>7329</v>
      </c>
      <c r="D23038" s="22" t="str">
        <f>HYPERLINK("https://rhld.insurance.arkansas.gov/NPILookup?Npi=1245650803","1245650803")</f>
        <v>1245650803</v>
      </c>
      <c r="E23038" s="1" t="s">
        <v>12887</v>
      </c>
      <c r="F23038" s="2"/>
      <c r="G23038" s="2"/>
      <c r="H23038" s="2"/>
    </row>
    <row r="23039" spans="1:8" x14ac:dyDescent="0.25">
      <c r="A23039" s="1"/>
      <c r="B23039" s="1" t="s">
        <v>7328</v>
      </c>
      <c r="C23039" s="1" t="s">
        <v>7329</v>
      </c>
      <c r="D23039" s="22" t="str">
        <f>HYPERLINK("https://rhld.insurance.arkansas.gov/NPILookup?Npi=1245656164","1245656164")</f>
        <v>1245656164</v>
      </c>
      <c r="E23039" s="1" t="s">
        <v>26198</v>
      </c>
      <c r="F23039" s="2"/>
      <c r="G23039" s="2"/>
      <c r="H23039" s="2"/>
    </row>
    <row r="23040" spans="1:8" x14ac:dyDescent="0.25">
      <c r="A23040" s="1"/>
      <c r="B23040" s="1" t="s">
        <v>7328</v>
      </c>
      <c r="C23040" s="1" t="s">
        <v>7329</v>
      </c>
      <c r="D23040" s="22" t="str">
        <f>HYPERLINK("https://rhld.insurance.arkansas.gov/NPILookup?Npi=1245659309","1245659309")</f>
        <v>1245659309</v>
      </c>
      <c r="E23040" s="1" t="s">
        <v>2721</v>
      </c>
      <c r="F23040" s="2"/>
      <c r="G23040" s="2"/>
      <c r="H23040" s="2"/>
    </row>
    <row r="23041" spans="1:8" x14ac:dyDescent="0.25">
      <c r="A23041" s="1"/>
      <c r="B23041" s="1" t="s">
        <v>7328</v>
      </c>
      <c r="C23041" s="1" t="s">
        <v>7329</v>
      </c>
      <c r="D23041" s="22" t="str">
        <f>HYPERLINK("https://rhld.insurance.arkansas.gov/NPILookup?Npi=1245666536","1245666536")</f>
        <v>1245666536</v>
      </c>
      <c r="E23041" s="1" t="s">
        <v>26199</v>
      </c>
      <c r="F23041" s="2"/>
      <c r="G23041" s="2"/>
      <c r="H23041" s="2"/>
    </row>
    <row r="23042" spans="1:8" x14ac:dyDescent="0.25">
      <c r="A23042" s="1"/>
      <c r="B23042" s="1" t="s">
        <v>7328</v>
      </c>
      <c r="C23042" s="1" t="s">
        <v>7329</v>
      </c>
      <c r="D23042" s="22" t="str">
        <f>HYPERLINK("https://rhld.insurance.arkansas.gov/NPILookup?Npi=1245680321","1245680321")</f>
        <v>1245680321</v>
      </c>
      <c r="E23042" s="1" t="s">
        <v>26200</v>
      </c>
      <c r="F23042" s="2"/>
      <c r="G23042" s="2"/>
      <c r="H23042" s="2"/>
    </row>
    <row r="23043" spans="1:8" x14ac:dyDescent="0.25">
      <c r="A23043" s="1"/>
      <c r="B23043" s="1" t="s">
        <v>7328</v>
      </c>
      <c r="C23043" s="1" t="s">
        <v>7329</v>
      </c>
      <c r="D23043" s="22" t="str">
        <f>HYPERLINK("https://rhld.insurance.arkansas.gov/NPILookup?Npi=1245683895","1245683895")</f>
        <v>1245683895</v>
      </c>
      <c r="E23043" s="1" t="s">
        <v>12888</v>
      </c>
      <c r="F23043" s="2"/>
      <c r="G23043" s="2"/>
      <c r="H23043" s="2"/>
    </row>
    <row r="23044" spans="1:8" x14ac:dyDescent="0.25">
      <c r="A23044" s="1"/>
      <c r="B23044" s="1" t="s">
        <v>7328</v>
      </c>
      <c r="C23044" s="1" t="s">
        <v>7329</v>
      </c>
      <c r="D23044" s="22" t="str">
        <f>HYPERLINK("https://rhld.insurance.arkansas.gov/NPILookup?Npi=1245698190","1245698190")</f>
        <v>1245698190</v>
      </c>
      <c r="E23044" s="1" t="s">
        <v>26201</v>
      </c>
      <c r="F23044" s="2"/>
      <c r="G23044" s="2"/>
      <c r="H23044" s="2"/>
    </row>
    <row r="23045" spans="1:8" x14ac:dyDescent="0.25">
      <c r="A23045" s="1"/>
      <c r="B23045" s="1" t="s">
        <v>7328</v>
      </c>
      <c r="C23045" s="1" t="s">
        <v>7329</v>
      </c>
      <c r="D23045" s="22" t="str">
        <f>HYPERLINK("https://rhld.insurance.arkansas.gov/NPILookup?Npi=1245699024","1245699024")</f>
        <v>1245699024</v>
      </c>
      <c r="E23045" s="1" t="s">
        <v>26202</v>
      </c>
      <c r="F23045" s="2"/>
      <c r="G23045" s="2"/>
      <c r="H23045" s="2"/>
    </row>
    <row r="23046" spans="1:8" x14ac:dyDescent="0.25">
      <c r="A23046" s="1"/>
      <c r="B23046" s="1" t="s">
        <v>7328</v>
      </c>
      <c r="C23046" s="1" t="s">
        <v>7329</v>
      </c>
      <c r="D23046" s="22" t="str">
        <f>HYPERLINK("https://rhld.insurance.arkansas.gov/NPILookup?Npi=1245699453","1245699453")</f>
        <v>1245699453</v>
      </c>
      <c r="E23046" s="1" t="s">
        <v>26203</v>
      </c>
      <c r="F23046" s="2"/>
      <c r="G23046" s="2"/>
      <c r="H23046" s="2"/>
    </row>
    <row r="23047" spans="1:8" x14ac:dyDescent="0.25">
      <c r="A23047" s="1"/>
      <c r="B23047" s="1" t="s">
        <v>7328</v>
      </c>
      <c r="C23047" s="1" t="s">
        <v>7329</v>
      </c>
      <c r="D23047" s="22" t="str">
        <f>HYPERLINK("https://rhld.insurance.arkansas.gov/NPILookup?Npi=1245702539","1245702539")</f>
        <v>1245702539</v>
      </c>
      <c r="E23047" s="1" t="s">
        <v>2723</v>
      </c>
      <c r="F23047" s="2"/>
      <c r="G23047" s="2"/>
      <c r="H23047" s="2"/>
    </row>
    <row r="23048" spans="1:8" x14ac:dyDescent="0.25">
      <c r="A23048" s="1"/>
      <c r="B23048" s="1" t="s">
        <v>7328</v>
      </c>
      <c r="C23048" s="1" t="s">
        <v>7329</v>
      </c>
      <c r="D23048" s="22" t="str">
        <f>HYPERLINK("https://rhld.insurance.arkansas.gov/NPILookup?Npi=1245712579","1245712579")</f>
        <v>1245712579</v>
      </c>
      <c r="E23048" s="1" t="s">
        <v>1755</v>
      </c>
      <c r="F23048" s="2"/>
      <c r="G23048" s="2"/>
      <c r="H23048" s="2"/>
    </row>
    <row r="23049" spans="1:8" x14ac:dyDescent="0.25">
      <c r="A23049" s="1"/>
      <c r="B23049" s="1" t="s">
        <v>7328</v>
      </c>
      <c r="C23049" s="1" t="s">
        <v>7329</v>
      </c>
      <c r="D23049" s="22" t="str">
        <f>HYPERLINK("https://rhld.insurance.arkansas.gov/NPILookup?Npi=1245712959","1245712959")</f>
        <v>1245712959</v>
      </c>
      <c r="E23049" s="1" t="s">
        <v>26204</v>
      </c>
      <c r="F23049" s="2"/>
      <c r="G23049" s="2"/>
      <c r="H23049" s="2"/>
    </row>
    <row r="23050" spans="1:8" x14ac:dyDescent="0.25">
      <c r="A23050" s="1"/>
      <c r="B23050" s="1" t="s">
        <v>7328</v>
      </c>
      <c r="C23050" s="1" t="s">
        <v>7329</v>
      </c>
      <c r="D23050" s="22" t="str">
        <f>HYPERLINK("https://rhld.insurance.arkansas.gov/NPILookup?Npi=1245719590","1245719590")</f>
        <v>1245719590</v>
      </c>
      <c r="E23050" s="1" t="s">
        <v>3233</v>
      </c>
      <c r="F23050" s="2"/>
      <c r="G23050" s="2"/>
      <c r="H23050" s="2"/>
    </row>
    <row r="23051" spans="1:8" x14ac:dyDescent="0.25">
      <c r="A23051" s="1"/>
      <c r="B23051" s="1" t="s">
        <v>7328</v>
      </c>
      <c r="C23051" s="1" t="s">
        <v>7329</v>
      </c>
      <c r="D23051" s="22" t="str">
        <f>HYPERLINK("https://rhld.insurance.arkansas.gov/NPILookup?Npi=1245726512","1245726512")</f>
        <v>1245726512</v>
      </c>
      <c r="E23051" s="1" t="s">
        <v>26205</v>
      </c>
      <c r="F23051" s="2"/>
      <c r="G23051" s="2"/>
      <c r="H23051" s="2"/>
    </row>
    <row r="23052" spans="1:8" x14ac:dyDescent="0.25">
      <c r="A23052" s="1"/>
      <c r="B23052" s="1" t="s">
        <v>7328</v>
      </c>
      <c r="C23052" s="1" t="s">
        <v>7329</v>
      </c>
      <c r="D23052" s="22" t="str">
        <f>HYPERLINK("https://rhld.insurance.arkansas.gov/NPILookup?Npi=1245727163","1245727163")</f>
        <v>1245727163</v>
      </c>
      <c r="E23052" s="1" t="s">
        <v>7581</v>
      </c>
      <c r="F23052" s="2"/>
      <c r="G23052" s="2"/>
      <c r="H23052" s="2"/>
    </row>
    <row r="23053" spans="1:8" x14ac:dyDescent="0.25">
      <c r="A23053" s="1"/>
      <c r="B23053" s="1" t="s">
        <v>7328</v>
      </c>
      <c r="C23053" s="1" t="s">
        <v>7329</v>
      </c>
      <c r="D23053" s="22" t="str">
        <f>HYPERLINK("https://rhld.insurance.arkansas.gov/NPILookup?Npi=1245728914","1245728914")</f>
        <v>1245728914</v>
      </c>
      <c r="E23053" s="1" t="s">
        <v>26206</v>
      </c>
      <c r="F23053" s="2"/>
      <c r="G23053" s="2"/>
      <c r="H23053" s="2"/>
    </row>
    <row r="23054" spans="1:8" x14ac:dyDescent="0.25">
      <c r="A23054" s="1"/>
      <c r="B23054" s="1" t="s">
        <v>7328</v>
      </c>
      <c r="C23054" s="1" t="s">
        <v>7329</v>
      </c>
      <c r="D23054" s="22" t="str">
        <f>HYPERLINK("https://rhld.insurance.arkansas.gov/NPILookup?Npi=1245738004","1245738004")</f>
        <v>1245738004</v>
      </c>
      <c r="E23054" s="1" t="s">
        <v>26207</v>
      </c>
      <c r="F23054" s="2"/>
      <c r="G23054" s="2"/>
      <c r="H23054" s="2"/>
    </row>
    <row r="23055" spans="1:8" x14ac:dyDescent="0.25">
      <c r="A23055" s="1"/>
      <c r="B23055" s="1" t="s">
        <v>7328</v>
      </c>
      <c r="C23055" s="1" t="s">
        <v>7329</v>
      </c>
      <c r="D23055" s="22" t="str">
        <f>HYPERLINK("https://rhld.insurance.arkansas.gov/NPILookup?Npi=1245741735","1245741735")</f>
        <v>1245741735</v>
      </c>
      <c r="E23055" s="1" t="s">
        <v>17344</v>
      </c>
      <c r="F23055" s="2"/>
      <c r="G23055" s="2"/>
      <c r="H23055" s="2"/>
    </row>
    <row r="23056" spans="1:8" x14ac:dyDescent="0.25">
      <c r="A23056" s="1"/>
      <c r="B23056" s="1" t="s">
        <v>7328</v>
      </c>
      <c r="C23056" s="1" t="s">
        <v>7329</v>
      </c>
      <c r="D23056" s="22" t="str">
        <f>HYPERLINK("https://rhld.insurance.arkansas.gov/NPILookup?Npi=1245752070","1245752070")</f>
        <v>1245752070</v>
      </c>
      <c r="E23056" s="1" t="s">
        <v>26208</v>
      </c>
      <c r="F23056" s="2"/>
      <c r="G23056" s="2"/>
      <c r="H23056" s="2"/>
    </row>
    <row r="23057" spans="1:8" x14ac:dyDescent="0.25">
      <c r="A23057" s="1"/>
      <c r="B23057" s="1" t="s">
        <v>7328</v>
      </c>
      <c r="C23057" s="1" t="s">
        <v>7329</v>
      </c>
      <c r="D23057" s="22" t="str">
        <f>HYPERLINK("https://rhld.insurance.arkansas.gov/NPILookup?Npi=1245756972","1245756972")</f>
        <v>1245756972</v>
      </c>
      <c r="E23057" s="1" t="s">
        <v>26209</v>
      </c>
      <c r="F23057" s="2"/>
      <c r="G23057" s="2"/>
      <c r="H23057" s="2"/>
    </row>
    <row r="23058" spans="1:8" x14ac:dyDescent="0.25">
      <c r="A23058" s="1"/>
      <c r="B23058" s="1" t="s">
        <v>7328</v>
      </c>
      <c r="C23058" s="1" t="s">
        <v>7329</v>
      </c>
      <c r="D23058" s="22" t="str">
        <f>HYPERLINK("https://rhld.insurance.arkansas.gov/NPILookup?Npi=1245795558","1245795558")</f>
        <v>1245795558</v>
      </c>
      <c r="E23058" s="1" t="s">
        <v>26210</v>
      </c>
      <c r="F23058" s="2"/>
      <c r="G23058" s="2"/>
      <c r="H23058" s="2"/>
    </row>
    <row r="23059" spans="1:8" x14ac:dyDescent="0.25">
      <c r="A23059" s="1"/>
      <c r="B23059" s="1" t="s">
        <v>7328</v>
      </c>
      <c r="C23059" s="1" t="s">
        <v>7329</v>
      </c>
      <c r="D23059" s="22" t="str">
        <f>HYPERLINK("https://rhld.insurance.arkansas.gov/NPILookup?Npi=1245799287","1245799287")</f>
        <v>1245799287</v>
      </c>
      <c r="E23059" s="1" t="s">
        <v>32163</v>
      </c>
      <c r="F23059" s="2"/>
      <c r="G23059" s="2"/>
      <c r="H23059" s="2"/>
    </row>
    <row r="23060" spans="1:8" x14ac:dyDescent="0.25">
      <c r="A23060" s="1"/>
      <c r="B23060" s="1" t="s">
        <v>7328</v>
      </c>
      <c r="C23060" s="1" t="s">
        <v>7329</v>
      </c>
      <c r="D23060" s="22" t="str">
        <f>HYPERLINK("https://rhld.insurance.arkansas.gov/NPILookup?Npi=1245815596","1245815596")</f>
        <v>1245815596</v>
      </c>
      <c r="E23060" s="1" t="s">
        <v>12889</v>
      </c>
      <c r="F23060" s="2"/>
      <c r="G23060" s="2"/>
      <c r="H23060" s="2"/>
    </row>
    <row r="23061" spans="1:8" x14ac:dyDescent="0.25">
      <c r="A23061" s="1"/>
      <c r="B23061" s="1" t="s">
        <v>7328</v>
      </c>
      <c r="C23061" s="1" t="s">
        <v>7329</v>
      </c>
      <c r="D23061" s="22" t="str">
        <f>HYPERLINK("https://rhld.insurance.arkansas.gov/NPILookup?Npi=1245841626","1245841626")</f>
        <v>1245841626</v>
      </c>
      <c r="E23061" s="1" t="s">
        <v>26211</v>
      </c>
      <c r="F23061" s="2"/>
      <c r="G23061" s="2"/>
      <c r="H23061" s="2"/>
    </row>
    <row r="23062" spans="1:8" x14ac:dyDescent="0.25">
      <c r="A23062" s="1"/>
      <c r="B23062" s="1" t="s">
        <v>7328</v>
      </c>
      <c r="C23062" s="1" t="s">
        <v>7329</v>
      </c>
      <c r="D23062" s="22" t="str">
        <f>HYPERLINK("https://rhld.insurance.arkansas.gov/NPILookup?Npi=1245870989","1245870989")</f>
        <v>1245870989</v>
      </c>
      <c r="E23062" s="1" t="s">
        <v>26212</v>
      </c>
      <c r="F23062" s="2"/>
      <c r="G23062" s="2"/>
      <c r="H23062" s="2"/>
    </row>
    <row r="23063" spans="1:8" x14ac:dyDescent="0.25">
      <c r="A23063" s="1"/>
      <c r="B23063" s="1" t="s">
        <v>7328</v>
      </c>
      <c r="C23063" s="1" t="s">
        <v>7329</v>
      </c>
      <c r="D23063" s="22" t="str">
        <f>HYPERLINK("https://rhld.insurance.arkansas.gov/NPILookup?Npi=1245871847","1245871847")</f>
        <v>1245871847</v>
      </c>
      <c r="E23063" s="1" t="s">
        <v>26213</v>
      </c>
      <c r="F23063" s="2"/>
      <c r="G23063" s="2"/>
      <c r="H23063" s="2"/>
    </row>
    <row r="23064" spans="1:8" x14ac:dyDescent="0.25">
      <c r="A23064" s="1"/>
      <c r="B23064" s="1" t="s">
        <v>7328</v>
      </c>
      <c r="C23064" s="1" t="s">
        <v>7329</v>
      </c>
      <c r="D23064" s="22" t="str">
        <f>HYPERLINK("https://rhld.insurance.arkansas.gov/NPILookup?Npi=1245872886","1245872886")</f>
        <v>1245872886</v>
      </c>
      <c r="E23064" s="1" t="s">
        <v>7582</v>
      </c>
      <c r="F23064" s="2"/>
      <c r="G23064" s="2"/>
      <c r="H23064" s="2"/>
    </row>
    <row r="23065" spans="1:8" x14ac:dyDescent="0.25">
      <c r="A23065" s="1"/>
      <c r="B23065" s="1" t="s">
        <v>7328</v>
      </c>
      <c r="C23065" s="1" t="s">
        <v>7329</v>
      </c>
      <c r="D23065" s="22" t="str">
        <f>HYPERLINK("https://rhld.insurance.arkansas.gov/NPILookup?Npi=1245877224","1245877224")</f>
        <v>1245877224</v>
      </c>
      <c r="E23065" s="1" t="s">
        <v>26214</v>
      </c>
      <c r="F23065" s="2"/>
      <c r="G23065" s="2"/>
      <c r="H23065" s="2"/>
    </row>
    <row r="23066" spans="1:8" x14ac:dyDescent="0.25">
      <c r="A23066" s="1"/>
      <c r="B23066" s="1" t="s">
        <v>7328</v>
      </c>
      <c r="C23066" s="1" t="s">
        <v>7329</v>
      </c>
      <c r="D23066" s="22" t="str">
        <f>HYPERLINK("https://rhld.insurance.arkansas.gov/NPILookup?Npi=1245877794","1245877794")</f>
        <v>1245877794</v>
      </c>
      <c r="E23066" s="1" t="s">
        <v>26215</v>
      </c>
      <c r="F23066" s="2"/>
      <c r="G23066" s="2"/>
      <c r="H23066" s="2"/>
    </row>
    <row r="23067" spans="1:8" x14ac:dyDescent="0.25">
      <c r="A23067" s="1"/>
      <c r="B23067" s="1" t="s">
        <v>7328</v>
      </c>
      <c r="C23067" s="1" t="s">
        <v>7329</v>
      </c>
      <c r="D23067" s="22" t="str">
        <f>HYPERLINK("https://rhld.insurance.arkansas.gov/NPILookup?Npi=1245884634","1245884634")</f>
        <v>1245884634</v>
      </c>
      <c r="E23067" s="1" t="s">
        <v>26216</v>
      </c>
      <c r="F23067" s="2"/>
      <c r="G23067" s="2"/>
      <c r="H23067" s="2"/>
    </row>
    <row r="23068" spans="1:8" x14ac:dyDescent="0.25">
      <c r="A23068" s="1"/>
      <c r="B23068" s="1" t="s">
        <v>7328</v>
      </c>
      <c r="C23068" s="1" t="s">
        <v>7329</v>
      </c>
      <c r="D23068" s="22" t="str">
        <f>HYPERLINK("https://rhld.insurance.arkansas.gov/NPILookup?Npi=1245886829","1245886829")</f>
        <v>1245886829</v>
      </c>
      <c r="E23068" s="1" t="s">
        <v>1477</v>
      </c>
      <c r="F23068" s="2"/>
      <c r="G23068" s="2"/>
      <c r="H23068" s="2"/>
    </row>
    <row r="23069" spans="1:8" x14ac:dyDescent="0.25">
      <c r="A23069" s="1"/>
      <c r="B23069" s="1" t="s">
        <v>7328</v>
      </c>
      <c r="C23069" s="1" t="s">
        <v>7329</v>
      </c>
      <c r="D23069" s="22" t="str">
        <f>HYPERLINK("https://rhld.insurance.arkansas.gov/NPILookup?Npi=1245908292","1245908292")</f>
        <v>1245908292</v>
      </c>
      <c r="E23069" s="1" t="s">
        <v>26217</v>
      </c>
      <c r="F23069" s="2"/>
      <c r="G23069" s="2"/>
      <c r="H23069" s="2"/>
    </row>
    <row r="23070" spans="1:8" x14ac:dyDescent="0.25">
      <c r="A23070" s="1"/>
      <c r="B23070" s="1" t="s">
        <v>7328</v>
      </c>
      <c r="C23070" s="1" t="s">
        <v>7329</v>
      </c>
      <c r="D23070" s="22" t="str">
        <f>HYPERLINK("https://rhld.insurance.arkansas.gov/NPILookup?Npi=1245928142","1245928142")</f>
        <v>1245928142</v>
      </c>
      <c r="E23070" s="1" t="s">
        <v>26218</v>
      </c>
      <c r="F23070" s="2"/>
      <c r="G23070" s="2"/>
      <c r="H23070" s="2"/>
    </row>
    <row r="23071" spans="1:8" x14ac:dyDescent="0.25">
      <c r="A23071" s="1"/>
      <c r="B23071" s="1" t="s">
        <v>7328</v>
      </c>
      <c r="C23071" s="1" t="s">
        <v>7329</v>
      </c>
      <c r="D23071" s="22" t="str">
        <f>HYPERLINK("https://rhld.insurance.arkansas.gov/NPILookup?Npi=1245948017","1245948017")</f>
        <v>1245948017</v>
      </c>
      <c r="E23071" s="1" t="s">
        <v>12890</v>
      </c>
      <c r="F23071" s="2"/>
      <c r="G23071" s="2"/>
      <c r="H23071" s="2"/>
    </row>
    <row r="23072" spans="1:8" x14ac:dyDescent="0.25">
      <c r="A23072" s="1"/>
      <c r="B23072" s="1" t="s">
        <v>7328</v>
      </c>
      <c r="C23072" s="1" t="s">
        <v>7329</v>
      </c>
      <c r="D23072" s="22" t="str">
        <f>HYPERLINK("https://rhld.insurance.arkansas.gov/NPILookup?Npi=1245959717","1245959717")</f>
        <v>1245959717</v>
      </c>
      <c r="E23072" s="1" t="s">
        <v>26219</v>
      </c>
      <c r="F23072" s="2"/>
      <c r="G23072" s="2"/>
      <c r="H23072" s="2"/>
    </row>
    <row r="23073" spans="1:8" x14ac:dyDescent="0.25">
      <c r="A23073" s="1"/>
      <c r="B23073" s="1" t="s">
        <v>7328</v>
      </c>
      <c r="C23073" s="1" t="s">
        <v>7329</v>
      </c>
      <c r="D23073" s="22" t="str">
        <f>HYPERLINK("https://rhld.insurance.arkansas.gov/NPILookup?Npi=1245962315","1245962315")</f>
        <v>1245962315</v>
      </c>
      <c r="E23073" s="1" t="s">
        <v>26220</v>
      </c>
      <c r="F23073" s="2"/>
      <c r="G23073" s="2"/>
      <c r="H23073" s="2"/>
    </row>
    <row r="23074" spans="1:8" x14ac:dyDescent="0.25">
      <c r="A23074" s="1"/>
      <c r="B23074" s="1" t="s">
        <v>7328</v>
      </c>
      <c r="C23074" s="1" t="s">
        <v>7329</v>
      </c>
      <c r="D23074" s="22" t="str">
        <f>HYPERLINK("https://rhld.insurance.arkansas.gov/NPILookup?Npi=1245971621","1245971621")</f>
        <v>1245971621</v>
      </c>
      <c r="E23074" s="1" t="s">
        <v>12891</v>
      </c>
      <c r="F23074" s="2"/>
      <c r="G23074" s="2"/>
      <c r="H23074" s="2"/>
    </row>
    <row r="23075" spans="1:8" x14ac:dyDescent="0.25">
      <c r="A23075" s="1"/>
      <c r="B23075" s="1" t="s">
        <v>7328</v>
      </c>
      <c r="C23075" s="1" t="s">
        <v>7329</v>
      </c>
      <c r="D23075" s="22" t="str">
        <f>HYPERLINK("https://rhld.insurance.arkansas.gov/NPILookup?Npi=1245976596","1245976596")</f>
        <v>1245976596</v>
      </c>
      <c r="E23075" s="1" t="s">
        <v>26221</v>
      </c>
      <c r="F23075" s="2"/>
      <c r="G23075" s="2"/>
      <c r="H23075" s="2"/>
    </row>
    <row r="23076" spans="1:8" x14ac:dyDescent="0.25">
      <c r="A23076" s="1"/>
      <c r="B23076" s="1" t="s">
        <v>7328</v>
      </c>
      <c r="C23076" s="1" t="s">
        <v>7329</v>
      </c>
      <c r="D23076" s="22" t="str">
        <f>HYPERLINK("https://rhld.insurance.arkansas.gov/NPILookup?Npi=1255006722","1255006722")</f>
        <v>1255006722</v>
      </c>
      <c r="E23076" s="1" t="s">
        <v>7583</v>
      </c>
      <c r="F23076" s="2"/>
      <c r="G23076" s="2"/>
      <c r="H23076" s="2"/>
    </row>
    <row r="23077" spans="1:8" x14ac:dyDescent="0.25">
      <c r="A23077" s="1"/>
      <c r="B23077" s="1" t="s">
        <v>7328</v>
      </c>
      <c r="C23077" s="1" t="s">
        <v>7329</v>
      </c>
      <c r="D23077" s="22" t="str">
        <f>HYPERLINK("https://rhld.insurance.arkansas.gov/NPILookup?Npi=1255008843","1255008843")</f>
        <v>1255008843</v>
      </c>
      <c r="E23077" s="1" t="s">
        <v>26222</v>
      </c>
      <c r="F23077" s="2"/>
      <c r="G23077" s="2"/>
      <c r="H23077" s="2"/>
    </row>
    <row r="23078" spans="1:8" x14ac:dyDescent="0.25">
      <c r="A23078" s="1"/>
      <c r="B23078" s="1" t="s">
        <v>7328</v>
      </c>
      <c r="C23078" s="1" t="s">
        <v>7329</v>
      </c>
      <c r="D23078" s="22" t="str">
        <f>HYPERLINK("https://rhld.insurance.arkansas.gov/NPILookup?Npi=1255009114","1255009114")</f>
        <v>1255009114</v>
      </c>
      <c r="E23078" s="1" t="s">
        <v>903</v>
      </c>
      <c r="F23078" s="2"/>
      <c r="G23078" s="2"/>
      <c r="H23078" s="2"/>
    </row>
    <row r="23079" spans="1:8" x14ac:dyDescent="0.25">
      <c r="A23079" s="1"/>
      <c r="B23079" s="1" t="s">
        <v>7328</v>
      </c>
      <c r="C23079" s="1" t="s">
        <v>7329</v>
      </c>
      <c r="D23079" s="22" t="str">
        <f>HYPERLINK("https://rhld.insurance.arkansas.gov/NPILookup?Npi=1255015814","1255015814")</f>
        <v>1255015814</v>
      </c>
      <c r="E23079" s="1" t="s">
        <v>7584</v>
      </c>
      <c r="F23079" s="2"/>
      <c r="G23079" s="2"/>
      <c r="H23079" s="2"/>
    </row>
    <row r="23080" spans="1:8" x14ac:dyDescent="0.25">
      <c r="A23080" s="1"/>
      <c r="B23080" s="1" t="s">
        <v>7328</v>
      </c>
      <c r="C23080" s="1" t="s">
        <v>7329</v>
      </c>
      <c r="D23080" s="22" t="str">
        <f>HYPERLINK("https://rhld.insurance.arkansas.gov/NPILookup?Npi=1255031282","1255031282")</f>
        <v>1255031282</v>
      </c>
      <c r="E23080" s="1" t="s">
        <v>7585</v>
      </c>
      <c r="F23080" s="2"/>
      <c r="G23080" s="2"/>
      <c r="H23080" s="2"/>
    </row>
    <row r="23081" spans="1:8" x14ac:dyDescent="0.25">
      <c r="A23081" s="1"/>
      <c r="B23081" s="1" t="s">
        <v>7328</v>
      </c>
      <c r="C23081" s="1" t="s">
        <v>7329</v>
      </c>
      <c r="D23081" s="22" t="str">
        <f>HYPERLINK("https://rhld.insurance.arkansas.gov/NPILookup?Npi=1255062121","1255062121")</f>
        <v>1255062121</v>
      </c>
      <c r="E23081" s="1" t="s">
        <v>26223</v>
      </c>
      <c r="F23081" s="2"/>
      <c r="G23081" s="2"/>
      <c r="H23081" s="2"/>
    </row>
    <row r="23082" spans="1:8" x14ac:dyDescent="0.25">
      <c r="A23082" s="1"/>
      <c r="B23082" s="1" t="s">
        <v>7328</v>
      </c>
      <c r="C23082" s="1" t="s">
        <v>7329</v>
      </c>
      <c r="D23082" s="22" t="str">
        <f>HYPERLINK("https://rhld.insurance.arkansas.gov/NPILookup?Npi=1255063160","1255063160")</f>
        <v>1255063160</v>
      </c>
      <c r="E23082" s="1" t="s">
        <v>12892</v>
      </c>
      <c r="F23082" s="2"/>
      <c r="G23082" s="2"/>
      <c r="H23082" s="2"/>
    </row>
    <row r="23083" spans="1:8" x14ac:dyDescent="0.25">
      <c r="A23083" s="1"/>
      <c r="B23083" s="1" t="s">
        <v>7328</v>
      </c>
      <c r="C23083" s="1" t="s">
        <v>7329</v>
      </c>
      <c r="D23083" s="22" t="str">
        <f>HYPERLINK("https://rhld.insurance.arkansas.gov/NPILookup?Npi=1255077160","1255077160")</f>
        <v>1255077160</v>
      </c>
      <c r="E23083" s="1" t="s">
        <v>12893</v>
      </c>
      <c r="F23083" s="2"/>
      <c r="G23083" s="2"/>
      <c r="H23083" s="2"/>
    </row>
    <row r="23084" spans="1:8" x14ac:dyDescent="0.25">
      <c r="A23084" s="1"/>
      <c r="B23084" s="1" t="s">
        <v>7328</v>
      </c>
      <c r="C23084" s="1" t="s">
        <v>7329</v>
      </c>
      <c r="D23084" s="22" t="str">
        <f>HYPERLINK("https://rhld.insurance.arkansas.gov/NPILookup?Npi=1255084042","1255084042")</f>
        <v>1255084042</v>
      </c>
      <c r="E23084" s="1" t="s">
        <v>26224</v>
      </c>
      <c r="F23084" s="2"/>
      <c r="G23084" s="2"/>
      <c r="H23084" s="2"/>
    </row>
    <row r="23085" spans="1:8" x14ac:dyDescent="0.25">
      <c r="A23085" s="1"/>
      <c r="B23085" s="1" t="s">
        <v>7328</v>
      </c>
      <c r="C23085" s="1" t="s">
        <v>7329</v>
      </c>
      <c r="D23085" s="22" t="str">
        <f>HYPERLINK("https://rhld.insurance.arkansas.gov/NPILookup?Npi=1255089926","1255089926")</f>
        <v>1255089926</v>
      </c>
      <c r="E23085" s="1" t="s">
        <v>12894</v>
      </c>
      <c r="F23085" s="2"/>
      <c r="G23085" s="2"/>
      <c r="H23085" s="2"/>
    </row>
    <row r="23086" spans="1:8" x14ac:dyDescent="0.25">
      <c r="A23086" s="1"/>
      <c r="B23086" s="1" t="s">
        <v>7328</v>
      </c>
      <c r="C23086" s="1" t="s">
        <v>7329</v>
      </c>
      <c r="D23086" s="22" t="str">
        <f>HYPERLINK("https://rhld.insurance.arkansas.gov/NPILookup?Npi=1255117818","1255117818")</f>
        <v>1255117818</v>
      </c>
      <c r="E23086" s="1" t="s">
        <v>7586</v>
      </c>
      <c r="F23086" s="2"/>
      <c r="G23086" s="2"/>
      <c r="H23086" s="2"/>
    </row>
    <row r="23087" spans="1:8" x14ac:dyDescent="0.25">
      <c r="A23087" s="1"/>
      <c r="B23087" s="1" t="s">
        <v>7328</v>
      </c>
      <c r="C23087" s="1" t="s">
        <v>7329</v>
      </c>
      <c r="D23087" s="22" t="str">
        <f>HYPERLINK("https://rhld.insurance.arkansas.gov/NPILookup?Npi=1255144978","1255144978")</f>
        <v>1255144978</v>
      </c>
      <c r="E23087" s="1" t="s">
        <v>32164</v>
      </c>
      <c r="F23087" s="2"/>
      <c r="G23087" s="2"/>
      <c r="H23087" s="2"/>
    </row>
    <row r="23088" spans="1:8" x14ac:dyDescent="0.25">
      <c r="A23088" s="1"/>
      <c r="B23088" s="1" t="s">
        <v>7328</v>
      </c>
      <c r="C23088" s="1" t="s">
        <v>7329</v>
      </c>
      <c r="D23088" s="22" t="str">
        <f>HYPERLINK("https://rhld.insurance.arkansas.gov/NPILookup?Npi=1255192084","1255192084")</f>
        <v>1255192084</v>
      </c>
      <c r="E23088" s="1" t="s">
        <v>32165</v>
      </c>
      <c r="F23088" s="2"/>
      <c r="G23088" s="2"/>
      <c r="H23088" s="2"/>
    </row>
    <row r="23089" spans="1:8" x14ac:dyDescent="0.25">
      <c r="A23089" s="1"/>
      <c r="B23089" s="1" t="s">
        <v>7328</v>
      </c>
      <c r="C23089" s="1" t="s">
        <v>7329</v>
      </c>
      <c r="D23089" s="22" t="str">
        <f>HYPERLINK("https://rhld.insurance.arkansas.gov/NPILookup?Npi=1255306502","1255306502")</f>
        <v>1255306502</v>
      </c>
      <c r="E23089" s="1" t="s">
        <v>196</v>
      </c>
      <c r="F23089" s="2"/>
      <c r="G23089" s="2"/>
      <c r="H23089" s="2"/>
    </row>
    <row r="23090" spans="1:8" x14ac:dyDescent="0.25">
      <c r="A23090" s="1"/>
      <c r="B23090" s="1" t="s">
        <v>7328</v>
      </c>
      <c r="C23090" s="1" t="s">
        <v>7329</v>
      </c>
      <c r="D23090" s="22" t="str">
        <f>HYPERLINK("https://rhld.insurance.arkansas.gov/NPILookup?Npi=1255310819","1255310819")</f>
        <v>1255310819</v>
      </c>
      <c r="E23090" s="1" t="s">
        <v>26225</v>
      </c>
      <c r="F23090" s="2"/>
      <c r="G23090" s="2"/>
      <c r="H23090" s="2"/>
    </row>
    <row r="23091" spans="1:8" x14ac:dyDescent="0.25">
      <c r="A23091" s="1"/>
      <c r="B23091" s="1" t="s">
        <v>7328</v>
      </c>
      <c r="C23091" s="1" t="s">
        <v>7329</v>
      </c>
      <c r="D23091" s="22" t="str">
        <f>HYPERLINK("https://rhld.insurance.arkansas.gov/NPILookup?Npi=1255318093","1255318093")</f>
        <v>1255318093</v>
      </c>
      <c r="E23091" s="1" t="s">
        <v>26226</v>
      </c>
      <c r="F23091" s="2"/>
      <c r="G23091" s="2"/>
      <c r="H23091" s="2"/>
    </row>
    <row r="23092" spans="1:8" x14ac:dyDescent="0.25">
      <c r="A23092" s="1"/>
      <c r="B23092" s="1" t="s">
        <v>7328</v>
      </c>
      <c r="C23092" s="1" t="s">
        <v>7329</v>
      </c>
      <c r="D23092" s="22" t="str">
        <f>HYPERLINK("https://rhld.insurance.arkansas.gov/NPILookup?Npi=1255338679","1255338679")</f>
        <v>1255338679</v>
      </c>
      <c r="E23092" s="1" t="s">
        <v>7603</v>
      </c>
      <c r="F23092" s="2"/>
      <c r="G23092" s="2"/>
      <c r="H23092" s="2"/>
    </row>
    <row r="23093" spans="1:8" x14ac:dyDescent="0.25">
      <c r="A23093" s="1"/>
      <c r="B23093" s="1" t="s">
        <v>7328</v>
      </c>
      <c r="C23093" s="1" t="s">
        <v>7329</v>
      </c>
      <c r="D23093" s="22" t="str">
        <f>HYPERLINK("https://rhld.insurance.arkansas.gov/NPILookup?Npi=1255355996","1255355996")</f>
        <v>1255355996</v>
      </c>
      <c r="E23093" s="1" t="s">
        <v>26227</v>
      </c>
      <c r="F23093" s="2"/>
      <c r="G23093" s="2"/>
      <c r="H23093" s="2"/>
    </row>
    <row r="23094" spans="1:8" x14ac:dyDescent="0.25">
      <c r="A23094" s="1"/>
      <c r="B23094" s="1" t="s">
        <v>7328</v>
      </c>
      <c r="C23094" s="1" t="s">
        <v>7329</v>
      </c>
      <c r="D23094" s="22" t="str">
        <f>HYPERLINK("https://rhld.insurance.arkansas.gov/NPILookup?Npi=1255369286","1255369286")</f>
        <v>1255369286</v>
      </c>
      <c r="E23094" s="1" t="s">
        <v>17347</v>
      </c>
      <c r="F23094" s="2"/>
      <c r="G23094" s="2"/>
      <c r="H23094" s="2"/>
    </row>
    <row r="23095" spans="1:8" x14ac:dyDescent="0.25">
      <c r="A23095" s="1"/>
      <c r="B23095" s="1" t="s">
        <v>7328</v>
      </c>
      <c r="C23095" s="1" t="s">
        <v>7329</v>
      </c>
      <c r="D23095" s="22" t="str">
        <f>HYPERLINK("https://rhld.insurance.arkansas.gov/NPILookup?Npi=1255369666","1255369666")</f>
        <v>1255369666</v>
      </c>
      <c r="E23095" s="1" t="s">
        <v>249</v>
      </c>
      <c r="F23095" s="2"/>
      <c r="G23095" s="2"/>
      <c r="H23095" s="2"/>
    </row>
    <row r="23096" spans="1:8" x14ac:dyDescent="0.25">
      <c r="A23096" s="1"/>
      <c r="B23096" s="1" t="s">
        <v>7328</v>
      </c>
      <c r="C23096" s="1" t="s">
        <v>7329</v>
      </c>
      <c r="D23096" s="22" t="str">
        <f>HYPERLINK("https://rhld.insurance.arkansas.gov/NPILookup?Npi=1255376786","1255376786")</f>
        <v>1255376786</v>
      </c>
      <c r="E23096" s="1" t="s">
        <v>26228</v>
      </c>
      <c r="F23096" s="2"/>
      <c r="G23096" s="2"/>
      <c r="H23096" s="2"/>
    </row>
    <row r="23097" spans="1:8" x14ac:dyDescent="0.25">
      <c r="A23097" s="1"/>
      <c r="B23097" s="1" t="s">
        <v>7328</v>
      </c>
      <c r="C23097" s="1" t="s">
        <v>7329</v>
      </c>
      <c r="D23097" s="22" t="str">
        <f>HYPERLINK("https://rhld.insurance.arkansas.gov/NPILookup?Npi=1255379350","1255379350")</f>
        <v>1255379350</v>
      </c>
      <c r="E23097" s="1" t="s">
        <v>32166</v>
      </c>
      <c r="F23097" s="2"/>
      <c r="G23097" s="2"/>
      <c r="H23097" s="2"/>
    </row>
    <row r="23098" spans="1:8" x14ac:dyDescent="0.25">
      <c r="A23098" s="1"/>
      <c r="B23098" s="1" t="s">
        <v>7328</v>
      </c>
      <c r="C23098" s="1" t="s">
        <v>7329</v>
      </c>
      <c r="D23098" s="22" t="str">
        <f>HYPERLINK("https://rhld.insurance.arkansas.gov/NPILookup?Npi=1255395752","1255395752")</f>
        <v>1255395752</v>
      </c>
      <c r="E23098" s="1" t="s">
        <v>26229</v>
      </c>
      <c r="F23098" s="2"/>
      <c r="G23098" s="2"/>
      <c r="H23098" s="2"/>
    </row>
    <row r="23099" spans="1:8" x14ac:dyDescent="0.25">
      <c r="A23099" s="1"/>
      <c r="B23099" s="1" t="s">
        <v>7328</v>
      </c>
      <c r="C23099" s="1" t="s">
        <v>7329</v>
      </c>
      <c r="D23099" s="22" t="str">
        <f>HYPERLINK("https://rhld.insurance.arkansas.gov/NPILookup?Npi=1255397006","1255397006")</f>
        <v>1255397006</v>
      </c>
      <c r="E23099" s="1" t="s">
        <v>2725</v>
      </c>
      <c r="F23099" s="2"/>
      <c r="G23099" s="2"/>
      <c r="H23099" s="2"/>
    </row>
    <row r="23100" spans="1:8" x14ac:dyDescent="0.25">
      <c r="A23100" s="1"/>
      <c r="B23100" s="1" t="s">
        <v>7328</v>
      </c>
      <c r="C23100" s="1" t="s">
        <v>7329</v>
      </c>
      <c r="D23100" s="22" t="str">
        <f>HYPERLINK("https://rhld.insurance.arkansas.gov/NPILookup?Npi=1255398400","1255398400")</f>
        <v>1255398400</v>
      </c>
      <c r="E23100" s="1" t="s">
        <v>26230</v>
      </c>
      <c r="F23100" s="2"/>
      <c r="G23100" s="2"/>
      <c r="H23100" s="2"/>
    </row>
    <row r="23101" spans="1:8" x14ac:dyDescent="0.25">
      <c r="A23101" s="1"/>
      <c r="B23101" s="1" t="s">
        <v>7328</v>
      </c>
      <c r="C23101" s="1" t="s">
        <v>7329</v>
      </c>
      <c r="D23101" s="22" t="str">
        <f>HYPERLINK("https://rhld.insurance.arkansas.gov/NPILookup?Npi=1255398897","1255398897")</f>
        <v>1255398897</v>
      </c>
      <c r="E23101" s="1" t="s">
        <v>17348</v>
      </c>
      <c r="F23101" s="2"/>
      <c r="G23101" s="2"/>
      <c r="H23101" s="2"/>
    </row>
    <row r="23102" spans="1:8" x14ac:dyDescent="0.25">
      <c r="A23102" s="1"/>
      <c r="B23102" s="1" t="s">
        <v>7328</v>
      </c>
      <c r="C23102" s="1" t="s">
        <v>7329</v>
      </c>
      <c r="D23102" s="22" t="str">
        <f>HYPERLINK("https://rhld.insurance.arkansas.gov/NPILookup?Npi=1255405353","1255405353")</f>
        <v>1255405353</v>
      </c>
      <c r="E23102" s="1" t="s">
        <v>21642</v>
      </c>
      <c r="F23102" s="2"/>
      <c r="G23102" s="2"/>
      <c r="H23102" s="2"/>
    </row>
    <row r="23103" spans="1:8" x14ac:dyDescent="0.25">
      <c r="A23103" s="1"/>
      <c r="B23103" s="1" t="s">
        <v>7328</v>
      </c>
      <c r="C23103" s="1" t="s">
        <v>7329</v>
      </c>
      <c r="D23103" s="22" t="str">
        <f>HYPERLINK("https://rhld.insurance.arkansas.gov/NPILookup?Npi=1255405379","1255405379")</f>
        <v>1255405379</v>
      </c>
      <c r="E23103" s="1" t="s">
        <v>2727</v>
      </c>
      <c r="F23103" s="2"/>
      <c r="G23103" s="2"/>
      <c r="H23103" s="2"/>
    </row>
    <row r="23104" spans="1:8" x14ac:dyDescent="0.25">
      <c r="A23104" s="1"/>
      <c r="B23104" s="1" t="s">
        <v>7328</v>
      </c>
      <c r="C23104" s="1" t="s">
        <v>7329</v>
      </c>
      <c r="D23104" s="22" t="str">
        <f>HYPERLINK("https://rhld.insurance.arkansas.gov/NPILookup?Npi=1255411989","1255411989")</f>
        <v>1255411989</v>
      </c>
      <c r="E23104" s="1" t="s">
        <v>26231</v>
      </c>
      <c r="F23104" s="2"/>
      <c r="G23104" s="2"/>
      <c r="H23104" s="2"/>
    </row>
    <row r="23105" spans="1:8" x14ac:dyDescent="0.25">
      <c r="A23105" s="1"/>
      <c r="B23105" s="1" t="s">
        <v>7328</v>
      </c>
      <c r="C23105" s="1" t="s">
        <v>7329</v>
      </c>
      <c r="D23105" s="22" t="str">
        <f>HYPERLINK("https://rhld.insurance.arkansas.gov/NPILookup?Npi=1255412417","1255412417")</f>
        <v>1255412417</v>
      </c>
      <c r="E23105" s="1" t="s">
        <v>17349</v>
      </c>
      <c r="F23105" s="2"/>
      <c r="G23105" s="2"/>
      <c r="H23105" s="2"/>
    </row>
    <row r="23106" spans="1:8" x14ac:dyDescent="0.25">
      <c r="A23106" s="1"/>
      <c r="B23106" s="1" t="s">
        <v>7328</v>
      </c>
      <c r="C23106" s="1" t="s">
        <v>7329</v>
      </c>
      <c r="D23106" s="22" t="str">
        <f>HYPERLINK("https://rhld.insurance.arkansas.gov/NPILookup?Npi=1255413092","1255413092")</f>
        <v>1255413092</v>
      </c>
      <c r="E23106" s="1" t="s">
        <v>26232</v>
      </c>
      <c r="F23106" s="2"/>
      <c r="G23106" s="2"/>
      <c r="H23106" s="2"/>
    </row>
    <row r="23107" spans="1:8" x14ac:dyDescent="0.25">
      <c r="A23107" s="1"/>
      <c r="B23107" s="1" t="s">
        <v>7328</v>
      </c>
      <c r="C23107" s="1" t="s">
        <v>7329</v>
      </c>
      <c r="D23107" s="22" t="str">
        <f>HYPERLINK("https://rhld.insurance.arkansas.gov/NPILookup?Npi=1255421723","1255421723")</f>
        <v>1255421723</v>
      </c>
      <c r="E23107" s="1" t="s">
        <v>12895</v>
      </c>
      <c r="F23107" s="2"/>
      <c r="G23107" s="2"/>
      <c r="H23107" s="2"/>
    </row>
    <row r="23108" spans="1:8" x14ac:dyDescent="0.25">
      <c r="A23108" s="1"/>
      <c r="B23108" s="1" t="s">
        <v>7328</v>
      </c>
      <c r="C23108" s="1" t="s">
        <v>7329</v>
      </c>
      <c r="D23108" s="22" t="str">
        <f>HYPERLINK("https://rhld.insurance.arkansas.gov/NPILookup?Npi=1255436549","1255436549")</f>
        <v>1255436549</v>
      </c>
      <c r="E23108" s="1" t="s">
        <v>12896</v>
      </c>
      <c r="F23108" s="2"/>
      <c r="G23108" s="2"/>
      <c r="H23108" s="2"/>
    </row>
    <row r="23109" spans="1:8" x14ac:dyDescent="0.25">
      <c r="A23109" s="1"/>
      <c r="B23109" s="1" t="s">
        <v>7328</v>
      </c>
      <c r="C23109" s="1" t="s">
        <v>7329</v>
      </c>
      <c r="D23109" s="22" t="str">
        <f>HYPERLINK("https://rhld.insurance.arkansas.gov/NPILookup?Npi=1255449245","1255449245")</f>
        <v>1255449245</v>
      </c>
      <c r="E23109" s="1" t="s">
        <v>2728</v>
      </c>
      <c r="F23109" s="2"/>
      <c r="G23109" s="2"/>
      <c r="H23109" s="2"/>
    </row>
    <row r="23110" spans="1:8" x14ac:dyDescent="0.25">
      <c r="A23110" s="1"/>
      <c r="B23110" s="1" t="s">
        <v>7328</v>
      </c>
      <c r="C23110" s="1" t="s">
        <v>7329</v>
      </c>
      <c r="D23110" s="22" t="str">
        <f>HYPERLINK("https://rhld.insurance.arkansas.gov/NPILookup?Npi=1255468914","1255468914")</f>
        <v>1255468914</v>
      </c>
      <c r="E23110" s="1" t="s">
        <v>26233</v>
      </c>
      <c r="F23110" s="2"/>
      <c r="G23110" s="2"/>
      <c r="H23110" s="2"/>
    </row>
    <row r="23111" spans="1:8" x14ac:dyDescent="0.25">
      <c r="A23111" s="1"/>
      <c r="B23111" s="1" t="s">
        <v>7328</v>
      </c>
      <c r="C23111" s="1" t="s">
        <v>7329</v>
      </c>
      <c r="D23111" s="22" t="str">
        <f>HYPERLINK("https://rhld.insurance.arkansas.gov/NPILookup?Npi=1255476677","1255476677")</f>
        <v>1255476677</v>
      </c>
      <c r="E23111" s="1" t="s">
        <v>26234</v>
      </c>
      <c r="F23111" s="2"/>
      <c r="G23111" s="2"/>
      <c r="H23111" s="2"/>
    </row>
    <row r="23112" spans="1:8" x14ac:dyDescent="0.25">
      <c r="A23112" s="1"/>
      <c r="B23112" s="1" t="s">
        <v>7328</v>
      </c>
      <c r="C23112" s="1" t="s">
        <v>7329</v>
      </c>
      <c r="D23112" s="22" t="str">
        <f>HYPERLINK("https://rhld.insurance.arkansas.gov/NPILookup?Npi=1255516712","1255516712")</f>
        <v>1255516712</v>
      </c>
      <c r="E23112" s="1" t="s">
        <v>26235</v>
      </c>
      <c r="F23112" s="2"/>
      <c r="G23112" s="2"/>
      <c r="H23112" s="2"/>
    </row>
    <row r="23113" spans="1:8" x14ac:dyDescent="0.25">
      <c r="A23113" s="1"/>
      <c r="B23113" s="1" t="s">
        <v>7328</v>
      </c>
      <c r="C23113" s="1" t="s">
        <v>7329</v>
      </c>
      <c r="D23113" s="22" t="str">
        <f>HYPERLINK("https://rhld.insurance.arkansas.gov/NPILookup?Npi=1255517066","1255517066")</f>
        <v>1255517066</v>
      </c>
      <c r="E23113" s="1" t="s">
        <v>26236</v>
      </c>
      <c r="F23113" s="2"/>
      <c r="G23113" s="2"/>
      <c r="H23113" s="2"/>
    </row>
    <row r="23114" spans="1:8" x14ac:dyDescent="0.25">
      <c r="A23114" s="1"/>
      <c r="B23114" s="1" t="s">
        <v>7328</v>
      </c>
      <c r="C23114" s="1" t="s">
        <v>7329</v>
      </c>
      <c r="D23114" s="22" t="str">
        <f>HYPERLINK("https://rhld.insurance.arkansas.gov/NPILookup?Npi=1255546974","1255546974")</f>
        <v>1255546974</v>
      </c>
      <c r="E23114" s="1" t="s">
        <v>12897</v>
      </c>
      <c r="F23114" s="2"/>
      <c r="G23114" s="2"/>
      <c r="H23114" s="2"/>
    </row>
    <row r="23115" spans="1:8" x14ac:dyDescent="0.25">
      <c r="A23115" s="1"/>
      <c r="B23115" s="1" t="s">
        <v>7328</v>
      </c>
      <c r="C23115" s="1" t="s">
        <v>7329</v>
      </c>
      <c r="D23115" s="22" t="str">
        <f>HYPERLINK("https://rhld.insurance.arkansas.gov/NPILookup?Npi=1255549598","1255549598")</f>
        <v>1255549598</v>
      </c>
      <c r="E23115" s="1" t="s">
        <v>12898</v>
      </c>
      <c r="F23115" s="2"/>
      <c r="G23115" s="2"/>
      <c r="H23115" s="2"/>
    </row>
    <row r="23116" spans="1:8" x14ac:dyDescent="0.25">
      <c r="A23116" s="1"/>
      <c r="B23116" s="1" t="s">
        <v>7328</v>
      </c>
      <c r="C23116" s="1" t="s">
        <v>7329</v>
      </c>
      <c r="D23116" s="22" t="str">
        <f>HYPERLINK("https://rhld.insurance.arkansas.gov/NPILookup?Npi=1255562856","1255562856")</f>
        <v>1255562856</v>
      </c>
      <c r="E23116" s="1" t="s">
        <v>26237</v>
      </c>
      <c r="F23116" s="2"/>
      <c r="G23116" s="2"/>
      <c r="H23116" s="2"/>
    </row>
    <row r="23117" spans="1:8" x14ac:dyDescent="0.25">
      <c r="A23117" s="1"/>
      <c r="B23117" s="1" t="s">
        <v>7328</v>
      </c>
      <c r="C23117" s="1" t="s">
        <v>7329</v>
      </c>
      <c r="D23117" s="22" t="str">
        <f>HYPERLINK("https://rhld.insurance.arkansas.gov/NPILookup?Npi=1255584637","1255584637")</f>
        <v>1255584637</v>
      </c>
      <c r="E23117" s="1" t="s">
        <v>21648</v>
      </c>
      <c r="F23117" s="2"/>
      <c r="G23117" s="2"/>
      <c r="H23117" s="2"/>
    </row>
    <row r="23118" spans="1:8" x14ac:dyDescent="0.25">
      <c r="A23118" s="1"/>
      <c r="B23118" s="1" t="s">
        <v>7328</v>
      </c>
      <c r="C23118" s="1" t="s">
        <v>7329</v>
      </c>
      <c r="D23118" s="22" t="str">
        <f>HYPERLINK("https://rhld.insurance.arkansas.gov/NPILookup?Npi=1255591244","1255591244")</f>
        <v>1255591244</v>
      </c>
      <c r="E23118" s="1" t="s">
        <v>10256</v>
      </c>
      <c r="F23118" s="2"/>
      <c r="G23118" s="2"/>
      <c r="H23118" s="2"/>
    </row>
    <row r="23119" spans="1:8" x14ac:dyDescent="0.25">
      <c r="A23119" s="1"/>
      <c r="B23119" s="1" t="s">
        <v>7328</v>
      </c>
      <c r="C23119" s="1" t="s">
        <v>7329</v>
      </c>
      <c r="D23119" s="22" t="str">
        <f>HYPERLINK("https://rhld.insurance.arkansas.gov/NPILookup?Npi=1255626602","1255626602")</f>
        <v>1255626602</v>
      </c>
      <c r="E23119" s="1" t="s">
        <v>12899</v>
      </c>
      <c r="F23119" s="2"/>
      <c r="G23119" s="2"/>
      <c r="H23119" s="2"/>
    </row>
    <row r="23120" spans="1:8" x14ac:dyDescent="0.25">
      <c r="A23120" s="1"/>
      <c r="B23120" s="1" t="s">
        <v>7328</v>
      </c>
      <c r="C23120" s="1" t="s">
        <v>7329</v>
      </c>
      <c r="D23120" s="22" t="str">
        <f>HYPERLINK("https://rhld.insurance.arkansas.gov/NPILookup?Npi=1255654331","1255654331")</f>
        <v>1255654331</v>
      </c>
      <c r="E23120" s="1" t="s">
        <v>26239</v>
      </c>
      <c r="F23120" s="2"/>
      <c r="G23120" s="2"/>
      <c r="H23120" s="2"/>
    </row>
    <row r="23121" spans="1:8" x14ac:dyDescent="0.25">
      <c r="A23121" s="1"/>
      <c r="B23121" s="1" t="s">
        <v>7328</v>
      </c>
      <c r="C23121" s="1" t="s">
        <v>7329</v>
      </c>
      <c r="D23121" s="22" t="str">
        <f>HYPERLINK("https://rhld.insurance.arkansas.gov/NPILookup?Npi=1255657060","1255657060")</f>
        <v>1255657060</v>
      </c>
      <c r="E23121" s="1" t="s">
        <v>26240</v>
      </c>
      <c r="F23121" s="2"/>
      <c r="G23121" s="2"/>
      <c r="H23121" s="2"/>
    </row>
    <row r="23122" spans="1:8" x14ac:dyDescent="0.25">
      <c r="A23122" s="1"/>
      <c r="B23122" s="1" t="s">
        <v>7328</v>
      </c>
      <c r="C23122" s="1" t="s">
        <v>7329</v>
      </c>
      <c r="D23122" s="22" t="str">
        <f>HYPERLINK("https://rhld.insurance.arkansas.gov/NPILookup?Npi=1255670782","1255670782")</f>
        <v>1255670782</v>
      </c>
      <c r="E23122" s="1" t="s">
        <v>26241</v>
      </c>
      <c r="F23122" s="2"/>
      <c r="G23122" s="2"/>
      <c r="H23122" s="2"/>
    </row>
    <row r="23123" spans="1:8" x14ac:dyDescent="0.25">
      <c r="A23123" s="1"/>
      <c r="B23123" s="1" t="s">
        <v>7328</v>
      </c>
      <c r="C23123" s="1" t="s">
        <v>7329</v>
      </c>
      <c r="D23123" s="22" t="str">
        <f>HYPERLINK("https://rhld.insurance.arkansas.gov/NPILookup?Npi=1255679270","1255679270")</f>
        <v>1255679270</v>
      </c>
      <c r="E23123" s="1" t="s">
        <v>7587</v>
      </c>
      <c r="F23123" s="2"/>
      <c r="G23123" s="2"/>
      <c r="H23123" s="2"/>
    </row>
    <row r="23124" spans="1:8" x14ac:dyDescent="0.25">
      <c r="A23124" s="1"/>
      <c r="B23124" s="1" t="s">
        <v>7328</v>
      </c>
      <c r="C23124" s="1" t="s">
        <v>7329</v>
      </c>
      <c r="D23124" s="22" t="str">
        <f>HYPERLINK("https://rhld.insurance.arkansas.gov/NPILookup?Npi=1255688016","1255688016")</f>
        <v>1255688016</v>
      </c>
      <c r="E23124" s="1" t="s">
        <v>1994</v>
      </c>
      <c r="F23124" s="2"/>
      <c r="G23124" s="2"/>
      <c r="H23124" s="2"/>
    </row>
    <row r="23125" spans="1:8" x14ac:dyDescent="0.25">
      <c r="A23125" s="1"/>
      <c r="B23125" s="1" t="s">
        <v>7328</v>
      </c>
      <c r="C23125" s="1" t="s">
        <v>7329</v>
      </c>
      <c r="D23125" s="22" t="str">
        <f>HYPERLINK("https://rhld.insurance.arkansas.gov/NPILookup?Npi=1255710885","1255710885")</f>
        <v>1255710885</v>
      </c>
      <c r="E23125" s="1" t="s">
        <v>12901</v>
      </c>
      <c r="F23125" s="2"/>
      <c r="G23125" s="2"/>
      <c r="H23125" s="2"/>
    </row>
    <row r="23126" spans="1:8" x14ac:dyDescent="0.25">
      <c r="A23126" s="1"/>
      <c r="B23126" s="1" t="s">
        <v>7328</v>
      </c>
      <c r="C23126" s="1" t="s">
        <v>7329</v>
      </c>
      <c r="D23126" s="22" t="str">
        <f>HYPERLINK("https://rhld.insurance.arkansas.gov/NPILookup?Npi=1255715348","1255715348")</f>
        <v>1255715348</v>
      </c>
      <c r="E23126" s="1" t="s">
        <v>12902</v>
      </c>
      <c r="F23126" s="2"/>
      <c r="G23126" s="2"/>
      <c r="H23126" s="2"/>
    </row>
    <row r="23127" spans="1:8" x14ac:dyDescent="0.25">
      <c r="A23127" s="1"/>
      <c r="B23127" s="1" t="s">
        <v>7328</v>
      </c>
      <c r="C23127" s="1" t="s">
        <v>7329</v>
      </c>
      <c r="D23127" s="22" t="str">
        <f>HYPERLINK("https://rhld.insurance.arkansas.gov/NPILookup?Npi=1255733895","1255733895")</f>
        <v>1255733895</v>
      </c>
      <c r="E23127" s="1" t="s">
        <v>26242</v>
      </c>
      <c r="F23127" s="2"/>
      <c r="G23127" s="2"/>
      <c r="H23127" s="2"/>
    </row>
    <row r="23128" spans="1:8" x14ac:dyDescent="0.25">
      <c r="A23128" s="1"/>
      <c r="B23128" s="1" t="s">
        <v>7328</v>
      </c>
      <c r="C23128" s="1" t="s">
        <v>7329</v>
      </c>
      <c r="D23128" s="22" t="str">
        <f>HYPERLINK("https://rhld.insurance.arkansas.gov/NPILookup?Npi=1255735551","1255735551")</f>
        <v>1255735551</v>
      </c>
      <c r="E23128" s="1" t="s">
        <v>26243</v>
      </c>
      <c r="F23128" s="2"/>
      <c r="G23128" s="2"/>
      <c r="H23128" s="2"/>
    </row>
    <row r="23129" spans="1:8" x14ac:dyDescent="0.25">
      <c r="A23129" s="1"/>
      <c r="B23129" s="1" t="s">
        <v>7328</v>
      </c>
      <c r="C23129" s="1" t="s">
        <v>7329</v>
      </c>
      <c r="D23129" s="22" t="str">
        <f>HYPERLINK("https://rhld.insurance.arkansas.gov/NPILookup?Npi=1255737359","1255737359")</f>
        <v>1255737359</v>
      </c>
      <c r="E23129" s="1" t="s">
        <v>7588</v>
      </c>
      <c r="F23129" s="2"/>
      <c r="G23129" s="2"/>
      <c r="H23129" s="2"/>
    </row>
    <row r="23130" spans="1:8" x14ac:dyDescent="0.25">
      <c r="A23130" s="1"/>
      <c r="B23130" s="1" t="s">
        <v>7328</v>
      </c>
      <c r="C23130" s="1" t="s">
        <v>7329</v>
      </c>
      <c r="D23130" s="22" t="str">
        <f>HYPERLINK("https://rhld.insurance.arkansas.gov/NPILookup?Npi=1255746491","1255746491")</f>
        <v>1255746491</v>
      </c>
      <c r="E23130" s="1" t="s">
        <v>12903</v>
      </c>
      <c r="F23130" s="2"/>
      <c r="G23130" s="2"/>
      <c r="H23130" s="2"/>
    </row>
    <row r="23131" spans="1:8" x14ac:dyDescent="0.25">
      <c r="A23131" s="1"/>
      <c r="B23131" s="1" t="s">
        <v>7328</v>
      </c>
      <c r="C23131" s="1" t="s">
        <v>7329</v>
      </c>
      <c r="D23131" s="22" t="str">
        <f>HYPERLINK("https://rhld.insurance.arkansas.gov/NPILookup?Npi=1255748604","1255748604")</f>
        <v>1255748604</v>
      </c>
      <c r="E23131" s="1" t="s">
        <v>7589</v>
      </c>
      <c r="F23131" s="2"/>
      <c r="G23131" s="2"/>
      <c r="H23131" s="2"/>
    </row>
    <row r="23132" spans="1:8" x14ac:dyDescent="0.25">
      <c r="A23132" s="1"/>
      <c r="B23132" s="1" t="s">
        <v>7328</v>
      </c>
      <c r="C23132" s="1" t="s">
        <v>7329</v>
      </c>
      <c r="D23132" s="22" t="str">
        <f>HYPERLINK("https://rhld.insurance.arkansas.gov/NPILookup?Npi=1255755260","1255755260")</f>
        <v>1255755260</v>
      </c>
      <c r="E23132" s="1" t="s">
        <v>12904</v>
      </c>
      <c r="F23132" s="2"/>
      <c r="G23132" s="2"/>
      <c r="H23132" s="2"/>
    </row>
    <row r="23133" spans="1:8" x14ac:dyDescent="0.25">
      <c r="A23133" s="1"/>
      <c r="B23133" s="1" t="s">
        <v>7328</v>
      </c>
      <c r="C23133" s="1" t="s">
        <v>7329</v>
      </c>
      <c r="D23133" s="22" t="str">
        <f>HYPERLINK("https://rhld.insurance.arkansas.gov/NPILookup?Npi=1255767828","1255767828")</f>
        <v>1255767828</v>
      </c>
      <c r="E23133" s="1" t="s">
        <v>26244</v>
      </c>
      <c r="F23133" s="2"/>
      <c r="G23133" s="2"/>
      <c r="H23133" s="2"/>
    </row>
    <row r="23134" spans="1:8" x14ac:dyDescent="0.25">
      <c r="A23134" s="1"/>
      <c r="B23134" s="1" t="s">
        <v>7328</v>
      </c>
      <c r="C23134" s="1" t="s">
        <v>7329</v>
      </c>
      <c r="D23134" s="22" t="str">
        <f>HYPERLINK("https://rhld.insurance.arkansas.gov/NPILookup?Npi=1255781555","1255781555")</f>
        <v>1255781555</v>
      </c>
      <c r="E23134" s="1" t="s">
        <v>7590</v>
      </c>
      <c r="F23134" s="2"/>
      <c r="G23134" s="2"/>
      <c r="H23134" s="2"/>
    </row>
    <row r="23135" spans="1:8" x14ac:dyDescent="0.25">
      <c r="A23135" s="1"/>
      <c r="B23135" s="1" t="s">
        <v>7328</v>
      </c>
      <c r="C23135" s="1" t="s">
        <v>7329</v>
      </c>
      <c r="D23135" s="22" t="str">
        <f>HYPERLINK("https://rhld.insurance.arkansas.gov/NPILookup?Npi=1255782843","1255782843")</f>
        <v>1255782843</v>
      </c>
      <c r="E23135" s="1" t="s">
        <v>26245</v>
      </c>
      <c r="F23135" s="2"/>
      <c r="G23135" s="2"/>
      <c r="H23135" s="2"/>
    </row>
    <row r="23136" spans="1:8" x14ac:dyDescent="0.25">
      <c r="A23136" s="1"/>
      <c r="B23136" s="1" t="s">
        <v>7328</v>
      </c>
      <c r="C23136" s="1" t="s">
        <v>7329</v>
      </c>
      <c r="D23136" s="22" t="str">
        <f>HYPERLINK("https://rhld.insurance.arkansas.gov/NPILookup?Npi=1255790135","1255790135")</f>
        <v>1255790135</v>
      </c>
      <c r="E23136" s="1" t="s">
        <v>2729</v>
      </c>
      <c r="F23136" s="2"/>
      <c r="G23136" s="2"/>
      <c r="H23136" s="2"/>
    </row>
    <row r="23137" spans="1:8" x14ac:dyDescent="0.25">
      <c r="A23137" s="1"/>
      <c r="B23137" s="1" t="s">
        <v>7328</v>
      </c>
      <c r="C23137" s="1" t="s">
        <v>7329</v>
      </c>
      <c r="D23137" s="22" t="str">
        <f>HYPERLINK("https://rhld.insurance.arkansas.gov/NPILookup?Npi=1255790531","1255790531")</f>
        <v>1255790531</v>
      </c>
      <c r="E23137" s="1" t="s">
        <v>1995</v>
      </c>
      <c r="F23137" s="2"/>
      <c r="G23137" s="2"/>
      <c r="H23137" s="2"/>
    </row>
    <row r="23138" spans="1:8" x14ac:dyDescent="0.25">
      <c r="A23138" s="1"/>
      <c r="B23138" s="1" t="s">
        <v>7328</v>
      </c>
      <c r="C23138" s="1" t="s">
        <v>7329</v>
      </c>
      <c r="D23138" s="22" t="str">
        <f>HYPERLINK("https://rhld.insurance.arkansas.gov/NPILookup?Npi=1255794871","1255794871")</f>
        <v>1255794871</v>
      </c>
      <c r="E23138" s="1" t="s">
        <v>26246</v>
      </c>
      <c r="F23138" s="2"/>
      <c r="G23138" s="2"/>
      <c r="H23138" s="2"/>
    </row>
    <row r="23139" spans="1:8" x14ac:dyDescent="0.25">
      <c r="A23139" s="1"/>
      <c r="B23139" s="1" t="s">
        <v>7328</v>
      </c>
      <c r="C23139" s="1" t="s">
        <v>7329</v>
      </c>
      <c r="D23139" s="22" t="str">
        <f>HYPERLINK("https://rhld.insurance.arkansas.gov/NPILookup?Npi=1255813879","1255813879")</f>
        <v>1255813879</v>
      </c>
      <c r="E23139" s="1" t="s">
        <v>1377</v>
      </c>
      <c r="F23139" s="2"/>
      <c r="G23139" s="2"/>
      <c r="H23139" s="2"/>
    </row>
    <row r="23140" spans="1:8" x14ac:dyDescent="0.25">
      <c r="A23140" s="1"/>
      <c r="B23140" s="1" t="s">
        <v>7328</v>
      </c>
      <c r="C23140" s="1" t="s">
        <v>7329</v>
      </c>
      <c r="D23140" s="22" t="str">
        <f>HYPERLINK("https://rhld.insurance.arkansas.gov/NPILookup?Npi=1255815171","1255815171")</f>
        <v>1255815171</v>
      </c>
      <c r="E23140" s="1" t="s">
        <v>26247</v>
      </c>
      <c r="F23140" s="2"/>
      <c r="G23140" s="2"/>
      <c r="H23140" s="2"/>
    </row>
    <row r="23141" spans="1:8" x14ac:dyDescent="0.25">
      <c r="A23141" s="1"/>
      <c r="B23141" s="1" t="s">
        <v>7328</v>
      </c>
      <c r="C23141" s="1" t="s">
        <v>7329</v>
      </c>
      <c r="D23141" s="22" t="str">
        <f>HYPERLINK("https://rhld.insurance.arkansas.gov/NPILookup?Npi=1255816062","1255816062")</f>
        <v>1255816062</v>
      </c>
      <c r="E23141" s="1" t="s">
        <v>12905</v>
      </c>
      <c r="F23141" s="2"/>
      <c r="G23141" s="2"/>
      <c r="H23141" s="2"/>
    </row>
    <row r="23142" spans="1:8" x14ac:dyDescent="0.25">
      <c r="A23142" s="1"/>
      <c r="B23142" s="1" t="s">
        <v>7328</v>
      </c>
      <c r="C23142" s="1" t="s">
        <v>7329</v>
      </c>
      <c r="D23142" s="22" t="str">
        <f>HYPERLINK("https://rhld.insurance.arkansas.gov/NPILookup?Npi=1255825113","1255825113")</f>
        <v>1255825113</v>
      </c>
      <c r="E23142" s="1" t="s">
        <v>26248</v>
      </c>
      <c r="F23142" s="2"/>
      <c r="G23142" s="2"/>
      <c r="H23142" s="2"/>
    </row>
    <row r="23143" spans="1:8" x14ac:dyDescent="0.25">
      <c r="A23143" s="1"/>
      <c r="B23143" s="1" t="s">
        <v>7328</v>
      </c>
      <c r="C23143" s="1" t="s">
        <v>7329</v>
      </c>
      <c r="D23143" s="22" t="str">
        <f>HYPERLINK("https://rhld.insurance.arkansas.gov/NPILookup?Npi=1255826889","1255826889")</f>
        <v>1255826889</v>
      </c>
      <c r="E23143" s="1" t="s">
        <v>7591</v>
      </c>
      <c r="F23143" s="2"/>
      <c r="G23143" s="2"/>
      <c r="H23143" s="2"/>
    </row>
    <row r="23144" spans="1:8" x14ac:dyDescent="0.25">
      <c r="A23144" s="1"/>
      <c r="B23144" s="1" t="s">
        <v>7328</v>
      </c>
      <c r="C23144" s="1" t="s">
        <v>7329</v>
      </c>
      <c r="D23144" s="22" t="str">
        <f>HYPERLINK("https://rhld.insurance.arkansas.gov/NPILookup?Npi=1255835898","1255835898")</f>
        <v>1255835898</v>
      </c>
      <c r="E23144" s="1" t="s">
        <v>26249</v>
      </c>
      <c r="F23144" s="2"/>
      <c r="G23144" s="2"/>
      <c r="H23144" s="2"/>
    </row>
    <row r="23145" spans="1:8" x14ac:dyDescent="0.25">
      <c r="A23145" s="1"/>
      <c r="B23145" s="1" t="s">
        <v>7328</v>
      </c>
      <c r="C23145" s="1" t="s">
        <v>7329</v>
      </c>
      <c r="D23145" s="22" t="str">
        <f>HYPERLINK("https://rhld.insurance.arkansas.gov/NPILookup?Npi=1255837894","1255837894")</f>
        <v>1255837894</v>
      </c>
      <c r="E23145" s="1" t="s">
        <v>26250</v>
      </c>
      <c r="F23145" s="2"/>
      <c r="G23145" s="2"/>
      <c r="H23145" s="2"/>
    </row>
    <row r="23146" spans="1:8" x14ac:dyDescent="0.25">
      <c r="A23146" s="1"/>
      <c r="B23146" s="1" t="s">
        <v>7328</v>
      </c>
      <c r="C23146" s="1" t="s">
        <v>7329</v>
      </c>
      <c r="D23146" s="22" t="str">
        <f>HYPERLINK("https://rhld.insurance.arkansas.gov/NPILookup?Npi=1255839858","1255839858")</f>
        <v>1255839858</v>
      </c>
      <c r="E23146" s="1" t="s">
        <v>853</v>
      </c>
      <c r="F23146" s="2"/>
      <c r="G23146" s="2"/>
      <c r="H23146" s="2"/>
    </row>
    <row r="23147" spans="1:8" x14ac:dyDescent="0.25">
      <c r="A23147" s="1"/>
      <c r="B23147" s="1" t="s">
        <v>7328</v>
      </c>
      <c r="C23147" s="1" t="s">
        <v>7329</v>
      </c>
      <c r="D23147" s="22" t="str">
        <f>HYPERLINK("https://rhld.insurance.arkansas.gov/NPILookup?Npi=1255851515","1255851515")</f>
        <v>1255851515</v>
      </c>
      <c r="E23147" s="1" t="s">
        <v>26251</v>
      </c>
      <c r="F23147" s="2"/>
      <c r="G23147" s="2"/>
      <c r="H23147" s="2"/>
    </row>
    <row r="23148" spans="1:8" x14ac:dyDescent="0.25">
      <c r="A23148" s="1"/>
      <c r="B23148" s="1" t="s">
        <v>7328</v>
      </c>
      <c r="C23148" s="1" t="s">
        <v>7329</v>
      </c>
      <c r="D23148" s="22" t="str">
        <f>HYPERLINK("https://rhld.insurance.arkansas.gov/NPILookup?Npi=1255852281","1255852281")</f>
        <v>1255852281</v>
      </c>
      <c r="E23148" s="1" t="s">
        <v>19016</v>
      </c>
      <c r="F23148" s="2"/>
      <c r="G23148" s="2"/>
      <c r="H23148" s="2"/>
    </row>
    <row r="23149" spans="1:8" x14ac:dyDescent="0.25">
      <c r="A23149" s="1"/>
      <c r="B23149" s="1" t="s">
        <v>7328</v>
      </c>
      <c r="C23149" s="1" t="s">
        <v>7329</v>
      </c>
      <c r="D23149" s="22" t="str">
        <f>HYPERLINK("https://rhld.insurance.arkansas.gov/NPILookup?Npi=1255855540","1255855540")</f>
        <v>1255855540</v>
      </c>
      <c r="E23149" s="1" t="s">
        <v>7592</v>
      </c>
      <c r="F23149" s="2"/>
      <c r="G23149" s="2"/>
      <c r="H23149" s="2"/>
    </row>
    <row r="23150" spans="1:8" x14ac:dyDescent="0.25">
      <c r="A23150" s="1"/>
      <c r="B23150" s="1" t="s">
        <v>7328</v>
      </c>
      <c r="C23150" s="1" t="s">
        <v>7329</v>
      </c>
      <c r="D23150" s="22" t="str">
        <f>HYPERLINK("https://rhld.insurance.arkansas.gov/NPILookup?Npi=1255887550","1255887550")</f>
        <v>1255887550</v>
      </c>
      <c r="E23150" s="1" t="s">
        <v>26252</v>
      </c>
      <c r="F23150" s="2"/>
      <c r="G23150" s="2"/>
      <c r="H23150" s="2"/>
    </row>
    <row r="23151" spans="1:8" x14ac:dyDescent="0.25">
      <c r="A23151" s="1"/>
      <c r="B23151" s="1" t="s">
        <v>7328</v>
      </c>
      <c r="C23151" s="1" t="s">
        <v>7329</v>
      </c>
      <c r="D23151" s="22" t="str">
        <f>HYPERLINK("https://rhld.insurance.arkansas.gov/NPILookup?Npi=1255895017","1255895017")</f>
        <v>1255895017</v>
      </c>
      <c r="E23151" s="1" t="s">
        <v>26253</v>
      </c>
      <c r="F23151" s="2"/>
      <c r="G23151" s="2"/>
      <c r="H23151" s="2"/>
    </row>
    <row r="23152" spans="1:8" x14ac:dyDescent="0.25">
      <c r="A23152" s="1"/>
      <c r="B23152" s="1" t="s">
        <v>7328</v>
      </c>
      <c r="C23152" s="1" t="s">
        <v>7329</v>
      </c>
      <c r="D23152" s="22" t="str">
        <f>HYPERLINK("https://rhld.insurance.arkansas.gov/NPILookup?Npi=1255896957","1255896957")</f>
        <v>1255896957</v>
      </c>
      <c r="E23152" s="1" t="s">
        <v>7593</v>
      </c>
      <c r="F23152" s="2"/>
      <c r="G23152" s="2"/>
      <c r="H23152" s="2"/>
    </row>
    <row r="23153" spans="1:8" x14ac:dyDescent="0.25">
      <c r="A23153" s="1"/>
      <c r="B23153" s="1" t="s">
        <v>7328</v>
      </c>
      <c r="C23153" s="1" t="s">
        <v>7329</v>
      </c>
      <c r="D23153" s="22" t="str">
        <f>HYPERLINK("https://rhld.insurance.arkansas.gov/NPILookup?Npi=1255901963","1255901963")</f>
        <v>1255901963</v>
      </c>
      <c r="E23153" s="1" t="s">
        <v>26254</v>
      </c>
      <c r="F23153" s="2"/>
      <c r="G23153" s="2"/>
      <c r="H23153" s="2"/>
    </row>
    <row r="23154" spans="1:8" x14ac:dyDescent="0.25">
      <c r="A23154" s="1"/>
      <c r="B23154" s="1" t="s">
        <v>7328</v>
      </c>
      <c r="C23154" s="1" t="s">
        <v>7329</v>
      </c>
      <c r="D23154" s="22" t="str">
        <f>HYPERLINK("https://rhld.insurance.arkansas.gov/NPILookup?Npi=1255902581","1255902581")</f>
        <v>1255902581</v>
      </c>
      <c r="E23154" s="1" t="s">
        <v>26255</v>
      </c>
      <c r="F23154" s="2"/>
      <c r="G23154" s="2"/>
      <c r="H23154" s="2"/>
    </row>
    <row r="23155" spans="1:8" x14ac:dyDescent="0.25">
      <c r="A23155" s="1"/>
      <c r="B23155" s="1" t="s">
        <v>7328</v>
      </c>
      <c r="C23155" s="1" t="s">
        <v>7329</v>
      </c>
      <c r="D23155" s="22" t="str">
        <f>HYPERLINK("https://rhld.insurance.arkansas.gov/NPILookup?Npi=1255907705","1255907705")</f>
        <v>1255907705</v>
      </c>
      <c r="E23155" s="1" t="s">
        <v>26256</v>
      </c>
      <c r="F23155" s="2"/>
      <c r="G23155" s="2"/>
      <c r="H23155" s="2"/>
    </row>
    <row r="23156" spans="1:8" x14ac:dyDescent="0.25">
      <c r="A23156" s="1"/>
      <c r="B23156" s="1" t="s">
        <v>7328</v>
      </c>
      <c r="C23156" s="1" t="s">
        <v>7329</v>
      </c>
      <c r="D23156" s="22" t="str">
        <f>HYPERLINK("https://rhld.insurance.arkansas.gov/NPILookup?Npi=1255908455","1255908455")</f>
        <v>1255908455</v>
      </c>
      <c r="E23156" s="1" t="s">
        <v>26257</v>
      </c>
      <c r="F23156" s="2"/>
      <c r="G23156" s="2"/>
      <c r="H23156" s="2"/>
    </row>
    <row r="23157" spans="1:8" x14ac:dyDescent="0.25">
      <c r="A23157" s="1"/>
      <c r="B23157" s="1" t="s">
        <v>7328</v>
      </c>
      <c r="C23157" s="1" t="s">
        <v>7329</v>
      </c>
      <c r="D23157" s="22" t="str">
        <f>HYPERLINK("https://rhld.insurance.arkansas.gov/NPILookup?Npi=1255910949","1255910949")</f>
        <v>1255910949</v>
      </c>
      <c r="E23157" s="1" t="s">
        <v>26258</v>
      </c>
      <c r="F23157" s="2"/>
      <c r="G23157" s="2"/>
      <c r="H23157" s="2"/>
    </row>
    <row r="23158" spans="1:8" x14ac:dyDescent="0.25">
      <c r="A23158" s="1"/>
      <c r="B23158" s="1" t="s">
        <v>7328</v>
      </c>
      <c r="C23158" s="1" t="s">
        <v>7329</v>
      </c>
      <c r="D23158" s="22" t="str">
        <f>HYPERLINK("https://rhld.insurance.arkansas.gov/NPILookup?Npi=1255912127","1255912127")</f>
        <v>1255912127</v>
      </c>
      <c r="E23158" s="1" t="s">
        <v>26259</v>
      </c>
      <c r="F23158" s="2"/>
      <c r="G23158" s="2"/>
      <c r="H23158" s="2"/>
    </row>
    <row r="23159" spans="1:8" x14ac:dyDescent="0.25">
      <c r="A23159" s="1"/>
      <c r="B23159" s="1" t="s">
        <v>7328</v>
      </c>
      <c r="C23159" s="1" t="s">
        <v>7329</v>
      </c>
      <c r="D23159" s="22" t="str">
        <f>HYPERLINK("https://rhld.insurance.arkansas.gov/NPILookup?Npi=1255912705","1255912705")</f>
        <v>1255912705</v>
      </c>
      <c r="E23159" s="1" t="s">
        <v>1756</v>
      </c>
      <c r="F23159" s="2"/>
      <c r="G23159" s="2"/>
      <c r="H23159" s="2"/>
    </row>
    <row r="23160" spans="1:8" x14ac:dyDescent="0.25">
      <c r="A23160" s="1"/>
      <c r="B23160" s="1" t="s">
        <v>7328</v>
      </c>
      <c r="C23160" s="1" t="s">
        <v>7329</v>
      </c>
      <c r="D23160" s="22" t="str">
        <f>HYPERLINK("https://rhld.insurance.arkansas.gov/NPILookup?Npi=1255913992","1255913992")</f>
        <v>1255913992</v>
      </c>
      <c r="E23160" s="1" t="s">
        <v>26260</v>
      </c>
      <c r="F23160" s="2"/>
      <c r="G23160" s="2"/>
      <c r="H23160" s="2"/>
    </row>
    <row r="23161" spans="1:8" x14ac:dyDescent="0.25">
      <c r="A23161" s="1"/>
      <c r="B23161" s="1" t="s">
        <v>7328</v>
      </c>
      <c r="C23161" s="1" t="s">
        <v>7329</v>
      </c>
      <c r="D23161" s="22" t="str">
        <f>HYPERLINK("https://rhld.insurance.arkansas.gov/NPILookup?Npi=1255918157","1255918157")</f>
        <v>1255918157</v>
      </c>
      <c r="E23161" s="1" t="s">
        <v>17352</v>
      </c>
      <c r="F23161" s="2"/>
      <c r="G23161" s="2"/>
      <c r="H23161" s="2"/>
    </row>
    <row r="23162" spans="1:8" x14ac:dyDescent="0.25">
      <c r="A23162" s="1"/>
      <c r="B23162" s="1" t="s">
        <v>7328</v>
      </c>
      <c r="C23162" s="1" t="s">
        <v>7329</v>
      </c>
      <c r="D23162" s="22" t="str">
        <f>HYPERLINK("https://rhld.insurance.arkansas.gov/NPILookup?Npi=1255958484","1255958484")</f>
        <v>1255958484</v>
      </c>
      <c r="E23162" s="1" t="s">
        <v>4312</v>
      </c>
      <c r="F23162" s="2"/>
      <c r="G23162" s="2"/>
      <c r="H23162" s="2"/>
    </row>
    <row r="23163" spans="1:8" x14ac:dyDescent="0.25">
      <c r="A23163" s="1"/>
      <c r="B23163" s="1" t="s">
        <v>7328</v>
      </c>
      <c r="C23163" s="1" t="s">
        <v>7329</v>
      </c>
      <c r="D23163" s="22" t="str">
        <f>HYPERLINK("https://rhld.insurance.arkansas.gov/NPILookup?Npi=1255973871","1255973871")</f>
        <v>1255973871</v>
      </c>
      <c r="E23163" s="1" t="s">
        <v>26261</v>
      </c>
      <c r="F23163" s="2"/>
      <c r="G23163" s="2"/>
      <c r="H23163" s="2"/>
    </row>
    <row r="23164" spans="1:8" x14ac:dyDescent="0.25">
      <c r="A23164" s="1"/>
      <c r="B23164" s="1" t="s">
        <v>7328</v>
      </c>
      <c r="C23164" s="1" t="s">
        <v>7329</v>
      </c>
      <c r="D23164" s="22" t="str">
        <f>HYPERLINK("https://rhld.insurance.arkansas.gov/NPILookup?Npi=1255992897","1255992897")</f>
        <v>1255992897</v>
      </c>
      <c r="E23164" s="1" t="s">
        <v>26262</v>
      </c>
      <c r="F23164" s="2"/>
      <c r="G23164" s="2"/>
      <c r="H23164" s="2"/>
    </row>
    <row r="23165" spans="1:8" x14ac:dyDescent="0.25">
      <c r="A23165" s="1"/>
      <c r="B23165" s="1" t="s">
        <v>7328</v>
      </c>
      <c r="C23165" s="1" t="s">
        <v>7329</v>
      </c>
      <c r="D23165" s="22" t="str">
        <f>HYPERLINK("https://rhld.insurance.arkansas.gov/NPILookup?Npi=1265002513","1265002513")</f>
        <v>1265002513</v>
      </c>
      <c r="E23165" s="1" t="s">
        <v>26263</v>
      </c>
      <c r="F23165" s="2"/>
      <c r="G23165" s="2"/>
      <c r="H23165" s="2"/>
    </row>
    <row r="23166" spans="1:8" x14ac:dyDescent="0.25">
      <c r="A23166" s="1"/>
      <c r="B23166" s="1" t="s">
        <v>7328</v>
      </c>
      <c r="C23166" s="1" t="s">
        <v>7329</v>
      </c>
      <c r="D23166" s="22" t="str">
        <f>HYPERLINK("https://rhld.insurance.arkansas.gov/NPILookup?Npi=1265003180","1265003180")</f>
        <v>1265003180</v>
      </c>
      <c r="E23166" s="1" t="s">
        <v>12906</v>
      </c>
      <c r="F23166" s="2"/>
      <c r="G23166" s="2"/>
      <c r="H23166" s="2"/>
    </row>
    <row r="23167" spans="1:8" x14ac:dyDescent="0.25">
      <c r="A23167" s="1"/>
      <c r="B23167" s="1" t="s">
        <v>7328</v>
      </c>
      <c r="C23167" s="1" t="s">
        <v>7329</v>
      </c>
      <c r="D23167" s="22" t="str">
        <f>HYPERLINK("https://rhld.insurance.arkansas.gov/NPILookup?Npi=1265004550","1265004550")</f>
        <v>1265004550</v>
      </c>
      <c r="E23167" s="1" t="s">
        <v>26264</v>
      </c>
      <c r="F23167" s="2"/>
      <c r="G23167" s="2"/>
      <c r="H23167" s="2"/>
    </row>
    <row r="23168" spans="1:8" x14ac:dyDescent="0.25">
      <c r="A23168" s="1"/>
      <c r="B23168" s="1" t="s">
        <v>7328</v>
      </c>
      <c r="C23168" s="1" t="s">
        <v>7329</v>
      </c>
      <c r="D23168" s="22" t="str">
        <f>HYPERLINK("https://rhld.insurance.arkansas.gov/NPILookup?Npi=1265010276","1265010276")</f>
        <v>1265010276</v>
      </c>
      <c r="E23168" s="1" t="s">
        <v>10257</v>
      </c>
      <c r="F23168" s="2"/>
      <c r="G23168" s="2"/>
      <c r="H23168" s="2"/>
    </row>
    <row r="23169" spans="1:8" x14ac:dyDescent="0.25">
      <c r="A23169" s="1"/>
      <c r="B23169" s="1" t="s">
        <v>7328</v>
      </c>
      <c r="C23169" s="1" t="s">
        <v>7329</v>
      </c>
      <c r="D23169" s="22" t="str">
        <f>HYPERLINK("https://rhld.insurance.arkansas.gov/NPILookup?Npi=1265038848","1265038848")</f>
        <v>1265038848</v>
      </c>
      <c r="E23169" s="1" t="s">
        <v>12907</v>
      </c>
      <c r="F23169" s="2"/>
      <c r="G23169" s="2"/>
      <c r="H23169" s="2"/>
    </row>
    <row r="23170" spans="1:8" x14ac:dyDescent="0.25">
      <c r="A23170" s="1"/>
      <c r="B23170" s="1" t="s">
        <v>7328</v>
      </c>
      <c r="C23170" s="1" t="s">
        <v>7329</v>
      </c>
      <c r="D23170" s="22" t="str">
        <f>HYPERLINK("https://rhld.insurance.arkansas.gov/NPILookup?Npi=1265057129","1265057129")</f>
        <v>1265057129</v>
      </c>
      <c r="E23170" s="1" t="s">
        <v>1549</v>
      </c>
      <c r="F23170" s="2"/>
      <c r="G23170" s="2"/>
      <c r="H23170" s="2"/>
    </row>
    <row r="23171" spans="1:8" x14ac:dyDescent="0.25">
      <c r="A23171" s="1"/>
      <c r="B23171" s="1" t="s">
        <v>7328</v>
      </c>
      <c r="C23171" s="1" t="s">
        <v>7329</v>
      </c>
      <c r="D23171" s="22" t="str">
        <f>HYPERLINK("https://rhld.insurance.arkansas.gov/NPILookup?Npi=1265058804","1265058804")</f>
        <v>1265058804</v>
      </c>
      <c r="E23171" s="1" t="s">
        <v>32167</v>
      </c>
      <c r="F23171" s="2"/>
      <c r="G23171" s="2"/>
      <c r="H23171" s="2"/>
    </row>
    <row r="23172" spans="1:8" x14ac:dyDescent="0.25">
      <c r="A23172" s="1"/>
      <c r="B23172" s="1" t="s">
        <v>7328</v>
      </c>
      <c r="C23172" s="1" t="s">
        <v>7329</v>
      </c>
      <c r="D23172" s="22" t="str">
        <f>HYPERLINK("https://rhld.insurance.arkansas.gov/NPILookup?Npi=1265060479","1265060479")</f>
        <v>1265060479</v>
      </c>
      <c r="E23172" s="1" t="s">
        <v>26265</v>
      </c>
      <c r="F23172" s="2"/>
      <c r="G23172" s="2"/>
      <c r="H23172" s="2"/>
    </row>
    <row r="23173" spans="1:8" x14ac:dyDescent="0.25">
      <c r="A23173" s="1"/>
      <c r="B23173" s="1" t="s">
        <v>7328</v>
      </c>
      <c r="C23173" s="1" t="s">
        <v>7329</v>
      </c>
      <c r="D23173" s="22" t="str">
        <f>HYPERLINK("https://rhld.insurance.arkansas.gov/NPILookup?Npi=1265092134","1265092134")</f>
        <v>1265092134</v>
      </c>
      <c r="E23173" s="1" t="s">
        <v>26266</v>
      </c>
      <c r="F23173" s="2"/>
      <c r="G23173" s="2"/>
      <c r="H23173" s="2"/>
    </row>
    <row r="23174" spans="1:8" x14ac:dyDescent="0.25">
      <c r="A23174" s="1"/>
      <c r="B23174" s="1" t="s">
        <v>7328</v>
      </c>
      <c r="C23174" s="1" t="s">
        <v>7329</v>
      </c>
      <c r="D23174" s="22" t="str">
        <f>HYPERLINK("https://rhld.insurance.arkansas.gov/NPILookup?Npi=1265094213","1265094213")</f>
        <v>1265094213</v>
      </c>
      <c r="E23174" s="1" t="s">
        <v>12908</v>
      </c>
      <c r="F23174" s="2"/>
      <c r="G23174" s="2"/>
      <c r="H23174" s="2"/>
    </row>
    <row r="23175" spans="1:8" x14ac:dyDescent="0.25">
      <c r="A23175" s="1"/>
      <c r="B23175" s="1" t="s">
        <v>7328</v>
      </c>
      <c r="C23175" s="1" t="s">
        <v>7329</v>
      </c>
      <c r="D23175" s="22" t="str">
        <f>HYPERLINK("https://rhld.insurance.arkansas.gov/NPILookup?Npi=1265094478","1265094478")</f>
        <v>1265094478</v>
      </c>
      <c r="E23175" s="1" t="s">
        <v>2373</v>
      </c>
      <c r="F23175" s="2"/>
      <c r="G23175" s="2"/>
      <c r="H23175" s="2"/>
    </row>
    <row r="23176" spans="1:8" x14ac:dyDescent="0.25">
      <c r="A23176" s="1"/>
      <c r="B23176" s="1" t="s">
        <v>7328</v>
      </c>
      <c r="C23176" s="1" t="s">
        <v>7329</v>
      </c>
      <c r="D23176" s="22" t="str">
        <f>HYPERLINK("https://rhld.insurance.arkansas.gov/NPILookup?Npi=1265095277","1265095277")</f>
        <v>1265095277</v>
      </c>
      <c r="E23176" s="1" t="s">
        <v>11621</v>
      </c>
      <c r="F23176" s="2"/>
      <c r="G23176" s="2"/>
      <c r="H23176" s="2"/>
    </row>
    <row r="23177" spans="1:8" x14ac:dyDescent="0.25">
      <c r="A23177" s="1"/>
      <c r="B23177" s="1" t="s">
        <v>7328</v>
      </c>
      <c r="C23177" s="1" t="s">
        <v>7329</v>
      </c>
      <c r="D23177" s="22" t="str">
        <f>HYPERLINK("https://rhld.insurance.arkansas.gov/NPILookup?Npi=1265102859","1265102859")</f>
        <v>1265102859</v>
      </c>
      <c r="E23177" s="1" t="s">
        <v>26267</v>
      </c>
      <c r="F23177" s="2"/>
      <c r="G23177" s="2"/>
      <c r="H23177" s="2"/>
    </row>
    <row r="23178" spans="1:8" x14ac:dyDescent="0.25">
      <c r="A23178" s="1"/>
      <c r="B23178" s="1" t="s">
        <v>7328</v>
      </c>
      <c r="C23178" s="1" t="s">
        <v>7329</v>
      </c>
      <c r="D23178" s="22" t="str">
        <f>HYPERLINK("https://rhld.insurance.arkansas.gov/NPILookup?Npi=1265104095","1265104095")</f>
        <v>1265104095</v>
      </c>
      <c r="E23178" s="1" t="s">
        <v>7594</v>
      </c>
      <c r="F23178" s="2"/>
      <c r="G23178" s="2"/>
      <c r="H23178" s="2"/>
    </row>
    <row r="23179" spans="1:8" x14ac:dyDescent="0.25">
      <c r="A23179" s="1"/>
      <c r="B23179" s="1" t="s">
        <v>7328</v>
      </c>
      <c r="C23179" s="1" t="s">
        <v>7329</v>
      </c>
      <c r="D23179" s="22" t="str">
        <f>HYPERLINK("https://rhld.insurance.arkansas.gov/NPILookup?Npi=1265114961","1265114961")</f>
        <v>1265114961</v>
      </c>
      <c r="E23179" s="1" t="s">
        <v>12909</v>
      </c>
      <c r="F23179" s="2"/>
      <c r="G23179" s="2"/>
      <c r="H23179" s="2"/>
    </row>
    <row r="23180" spans="1:8" x14ac:dyDescent="0.25">
      <c r="A23180" s="1"/>
      <c r="B23180" s="1" t="s">
        <v>7328</v>
      </c>
      <c r="C23180" s="1" t="s">
        <v>7329</v>
      </c>
      <c r="D23180" s="22" t="str">
        <f>HYPERLINK("https://rhld.insurance.arkansas.gov/NPILookup?Npi=1265127674","1265127674")</f>
        <v>1265127674</v>
      </c>
      <c r="E23180" s="1" t="s">
        <v>7595</v>
      </c>
      <c r="F23180" s="2"/>
      <c r="G23180" s="2"/>
      <c r="H23180" s="2"/>
    </row>
    <row r="23181" spans="1:8" x14ac:dyDescent="0.25">
      <c r="A23181" s="1"/>
      <c r="B23181" s="1" t="s">
        <v>7328</v>
      </c>
      <c r="C23181" s="1" t="s">
        <v>7329</v>
      </c>
      <c r="D23181" s="22" t="str">
        <f>HYPERLINK("https://rhld.insurance.arkansas.gov/NPILookup?Npi=1265163513","1265163513")</f>
        <v>1265163513</v>
      </c>
      <c r="E23181" s="1" t="s">
        <v>26268</v>
      </c>
      <c r="F23181" s="2"/>
      <c r="G23181" s="2"/>
      <c r="H23181" s="2"/>
    </row>
    <row r="23182" spans="1:8" x14ac:dyDescent="0.25">
      <c r="A23182" s="1"/>
      <c r="B23182" s="1" t="s">
        <v>7328</v>
      </c>
      <c r="C23182" s="1" t="s">
        <v>7329</v>
      </c>
      <c r="D23182" s="22" t="str">
        <f>HYPERLINK("https://rhld.insurance.arkansas.gov/NPILookup?Npi=1265166318","1265166318")</f>
        <v>1265166318</v>
      </c>
      <c r="E23182" s="1" t="s">
        <v>26269</v>
      </c>
      <c r="F23182" s="2"/>
      <c r="G23182" s="2"/>
      <c r="H23182" s="2"/>
    </row>
    <row r="23183" spans="1:8" x14ac:dyDescent="0.25">
      <c r="A23183" s="1"/>
      <c r="B23183" s="1" t="s">
        <v>7328</v>
      </c>
      <c r="C23183" s="1" t="s">
        <v>7329</v>
      </c>
      <c r="D23183" s="22" t="str">
        <f>HYPERLINK("https://rhld.insurance.arkansas.gov/NPILookup?Npi=1265168702","1265168702")</f>
        <v>1265168702</v>
      </c>
      <c r="E23183" s="1" t="s">
        <v>32168</v>
      </c>
      <c r="F23183" s="2"/>
      <c r="G23183" s="2"/>
      <c r="H23183" s="2"/>
    </row>
    <row r="23184" spans="1:8" x14ac:dyDescent="0.25">
      <c r="A23184" s="1"/>
      <c r="B23184" s="1" t="s">
        <v>7328</v>
      </c>
      <c r="C23184" s="1" t="s">
        <v>7329</v>
      </c>
      <c r="D23184" s="22" t="str">
        <f>HYPERLINK("https://rhld.insurance.arkansas.gov/NPILookup?Npi=1265194914","1265194914")</f>
        <v>1265194914</v>
      </c>
      <c r="E23184" s="1" t="s">
        <v>26270</v>
      </c>
      <c r="F23184" s="2"/>
      <c r="G23184" s="2"/>
      <c r="H23184" s="2"/>
    </row>
    <row r="23185" spans="1:8" x14ac:dyDescent="0.25">
      <c r="A23185" s="1"/>
      <c r="B23185" s="1" t="s">
        <v>7328</v>
      </c>
      <c r="C23185" s="1" t="s">
        <v>7329</v>
      </c>
      <c r="D23185" s="22" t="str">
        <f>HYPERLINK("https://rhld.insurance.arkansas.gov/NPILookup?Npi=1265196828","1265196828")</f>
        <v>1265196828</v>
      </c>
      <c r="E23185" s="1" t="s">
        <v>2730</v>
      </c>
      <c r="F23185" s="2"/>
      <c r="G23185" s="2"/>
      <c r="H23185" s="2"/>
    </row>
    <row r="23186" spans="1:8" x14ac:dyDescent="0.25">
      <c r="A23186" s="1"/>
      <c r="B23186" s="1" t="s">
        <v>7328</v>
      </c>
      <c r="C23186" s="1" t="s">
        <v>7329</v>
      </c>
      <c r="D23186" s="22" t="str">
        <f>HYPERLINK("https://rhld.insurance.arkansas.gov/NPILookup?Npi=1265255202","1265255202")</f>
        <v>1265255202</v>
      </c>
      <c r="E23186" s="1" t="s">
        <v>32169</v>
      </c>
      <c r="F23186" s="2"/>
      <c r="G23186" s="2"/>
      <c r="H23186" s="2"/>
    </row>
    <row r="23187" spans="1:8" x14ac:dyDescent="0.25">
      <c r="A23187" s="1"/>
      <c r="B23187" s="1" t="s">
        <v>7328</v>
      </c>
      <c r="C23187" s="1" t="s">
        <v>7329</v>
      </c>
      <c r="D23187" s="22" t="str">
        <f>HYPERLINK("https://rhld.insurance.arkansas.gov/NPILookup?Npi=1265278923","1265278923")</f>
        <v>1265278923</v>
      </c>
      <c r="E23187" s="1" t="s">
        <v>32170</v>
      </c>
      <c r="F23187" s="2"/>
      <c r="G23187" s="2"/>
      <c r="H23187" s="2"/>
    </row>
    <row r="23188" spans="1:8" x14ac:dyDescent="0.25">
      <c r="A23188" s="1"/>
      <c r="B23188" s="1" t="s">
        <v>7328</v>
      </c>
      <c r="C23188" s="1" t="s">
        <v>7329</v>
      </c>
      <c r="D23188" s="22" t="str">
        <f>HYPERLINK("https://rhld.insurance.arkansas.gov/NPILookup?Npi=1265401160","1265401160")</f>
        <v>1265401160</v>
      </c>
      <c r="E23188" s="1" t="s">
        <v>26271</v>
      </c>
      <c r="F23188" s="2"/>
      <c r="G23188" s="2"/>
      <c r="H23188" s="2"/>
    </row>
    <row r="23189" spans="1:8" x14ac:dyDescent="0.25">
      <c r="A23189" s="1"/>
      <c r="B23189" s="1" t="s">
        <v>7328</v>
      </c>
      <c r="C23189" s="1" t="s">
        <v>7329</v>
      </c>
      <c r="D23189" s="22" t="str">
        <f>HYPERLINK("https://rhld.insurance.arkansas.gov/NPILookup?Npi=1265407936","1265407936")</f>
        <v>1265407936</v>
      </c>
      <c r="E23189" s="1" t="s">
        <v>26272</v>
      </c>
      <c r="F23189" s="2"/>
      <c r="G23189" s="2"/>
      <c r="H23189" s="2"/>
    </row>
    <row r="23190" spans="1:8" x14ac:dyDescent="0.25">
      <c r="A23190" s="1"/>
      <c r="B23190" s="1" t="s">
        <v>7328</v>
      </c>
      <c r="C23190" s="1" t="s">
        <v>7329</v>
      </c>
      <c r="D23190" s="22" t="str">
        <f>HYPERLINK("https://rhld.insurance.arkansas.gov/NPILookup?Npi=1265419774","1265419774")</f>
        <v>1265419774</v>
      </c>
      <c r="E23190" s="1" t="s">
        <v>12910</v>
      </c>
      <c r="F23190" s="2"/>
      <c r="G23190" s="2"/>
      <c r="H23190" s="2"/>
    </row>
    <row r="23191" spans="1:8" x14ac:dyDescent="0.25">
      <c r="A23191" s="1"/>
      <c r="B23191" s="1" t="s">
        <v>7328</v>
      </c>
      <c r="C23191" s="1" t="s">
        <v>7329</v>
      </c>
      <c r="D23191" s="22" t="str">
        <f>HYPERLINK("https://rhld.insurance.arkansas.gov/NPILookup?Npi=1265423347","1265423347")</f>
        <v>1265423347</v>
      </c>
      <c r="E23191" s="1" t="s">
        <v>12911</v>
      </c>
      <c r="F23191" s="2"/>
      <c r="G23191" s="2"/>
      <c r="H23191" s="2"/>
    </row>
    <row r="23192" spans="1:8" x14ac:dyDescent="0.25">
      <c r="A23192" s="1"/>
      <c r="B23192" s="1" t="s">
        <v>7328</v>
      </c>
      <c r="C23192" s="1" t="s">
        <v>7329</v>
      </c>
      <c r="D23192" s="22" t="str">
        <f>HYPERLINK("https://rhld.insurance.arkansas.gov/NPILookup?Npi=1265430201","1265430201")</f>
        <v>1265430201</v>
      </c>
      <c r="E23192" s="1" t="s">
        <v>10258</v>
      </c>
      <c r="F23192" s="2"/>
      <c r="G23192" s="2"/>
      <c r="H23192" s="2"/>
    </row>
    <row r="23193" spans="1:8" x14ac:dyDescent="0.25">
      <c r="A23193" s="1"/>
      <c r="B23193" s="1" t="s">
        <v>7328</v>
      </c>
      <c r="C23193" s="1" t="s">
        <v>7329</v>
      </c>
      <c r="D23193" s="22" t="str">
        <f>HYPERLINK("https://rhld.insurance.arkansas.gov/NPILookup?Npi=1265432645","1265432645")</f>
        <v>1265432645</v>
      </c>
      <c r="E23193" s="1" t="s">
        <v>26273</v>
      </c>
      <c r="F23193" s="2"/>
      <c r="G23193" s="2"/>
      <c r="H23193" s="2"/>
    </row>
    <row r="23194" spans="1:8" x14ac:dyDescent="0.25">
      <c r="A23194" s="1"/>
      <c r="B23194" s="1" t="s">
        <v>7328</v>
      </c>
      <c r="C23194" s="1" t="s">
        <v>7329</v>
      </c>
      <c r="D23194" s="22" t="str">
        <f>HYPERLINK("https://rhld.insurance.arkansas.gov/NPILookup?Npi=1265450654","1265450654")</f>
        <v>1265450654</v>
      </c>
      <c r="E23194" s="1" t="s">
        <v>26275</v>
      </c>
      <c r="F23194" s="2"/>
      <c r="G23194" s="2"/>
      <c r="H23194" s="2"/>
    </row>
    <row r="23195" spans="1:8" x14ac:dyDescent="0.25">
      <c r="A23195" s="1"/>
      <c r="B23195" s="1" t="s">
        <v>7328</v>
      </c>
      <c r="C23195" s="1" t="s">
        <v>7329</v>
      </c>
      <c r="D23195" s="22" t="str">
        <f>HYPERLINK("https://rhld.insurance.arkansas.gov/NPILookup?Npi=1265460430","1265460430")</f>
        <v>1265460430</v>
      </c>
      <c r="E23195" s="1" t="s">
        <v>26276</v>
      </c>
      <c r="F23195" s="2"/>
      <c r="G23195" s="2"/>
      <c r="H23195" s="2"/>
    </row>
    <row r="23196" spans="1:8" x14ac:dyDescent="0.25">
      <c r="A23196" s="1"/>
      <c r="B23196" s="1" t="s">
        <v>7328</v>
      </c>
      <c r="C23196" s="1" t="s">
        <v>7329</v>
      </c>
      <c r="D23196" s="22" t="str">
        <f>HYPERLINK("https://rhld.insurance.arkansas.gov/NPILookup?Npi=1265469670","1265469670")</f>
        <v>1265469670</v>
      </c>
      <c r="E23196" s="1" t="s">
        <v>7596</v>
      </c>
      <c r="F23196" s="2"/>
      <c r="G23196" s="2"/>
      <c r="H23196" s="2"/>
    </row>
    <row r="23197" spans="1:8" x14ac:dyDescent="0.25">
      <c r="A23197" s="1"/>
      <c r="B23197" s="1" t="s">
        <v>7328</v>
      </c>
      <c r="C23197" s="1" t="s">
        <v>7329</v>
      </c>
      <c r="D23197" s="22" t="str">
        <f>HYPERLINK("https://rhld.insurance.arkansas.gov/NPILookup?Npi=1265472880","1265472880")</f>
        <v>1265472880</v>
      </c>
      <c r="E23197" s="1" t="s">
        <v>26277</v>
      </c>
      <c r="F23197" s="2"/>
      <c r="G23197" s="2"/>
      <c r="H23197" s="2"/>
    </row>
    <row r="23198" spans="1:8" x14ac:dyDescent="0.25">
      <c r="A23198" s="1"/>
      <c r="B23198" s="1" t="s">
        <v>7328</v>
      </c>
      <c r="C23198" s="1" t="s">
        <v>7329</v>
      </c>
      <c r="D23198" s="22" t="str">
        <f>HYPERLINK("https://rhld.insurance.arkansas.gov/NPILookup?Npi=1265489421","1265489421")</f>
        <v>1265489421</v>
      </c>
      <c r="E23198" s="1" t="s">
        <v>10260</v>
      </c>
      <c r="F23198" s="2"/>
      <c r="G23198" s="2"/>
      <c r="H23198" s="2"/>
    </row>
    <row r="23199" spans="1:8" x14ac:dyDescent="0.25">
      <c r="A23199" s="1"/>
      <c r="B23199" s="1" t="s">
        <v>7328</v>
      </c>
      <c r="C23199" s="1" t="s">
        <v>7329</v>
      </c>
      <c r="D23199" s="22" t="str">
        <f>HYPERLINK("https://rhld.insurance.arkansas.gov/NPILookup?Npi=1265497242","1265497242")</f>
        <v>1265497242</v>
      </c>
      <c r="E23199" s="1" t="s">
        <v>17356</v>
      </c>
      <c r="F23199" s="2"/>
      <c r="G23199" s="2"/>
      <c r="H23199" s="2"/>
    </row>
    <row r="23200" spans="1:8" x14ac:dyDescent="0.25">
      <c r="A23200" s="1"/>
      <c r="B23200" s="1" t="s">
        <v>7328</v>
      </c>
      <c r="C23200" s="1" t="s">
        <v>7329</v>
      </c>
      <c r="D23200" s="22" t="str">
        <f>HYPERLINK("https://rhld.insurance.arkansas.gov/NPILookup?Npi=1265512982","1265512982")</f>
        <v>1265512982</v>
      </c>
      <c r="E23200" s="1" t="s">
        <v>26278</v>
      </c>
      <c r="F23200" s="2"/>
      <c r="G23200" s="2"/>
      <c r="H23200" s="2"/>
    </row>
    <row r="23201" spans="1:8" x14ac:dyDescent="0.25">
      <c r="A23201" s="1"/>
      <c r="B23201" s="1" t="s">
        <v>7328</v>
      </c>
      <c r="C23201" s="1" t="s">
        <v>7329</v>
      </c>
      <c r="D23201" s="22" t="str">
        <f>HYPERLINK("https://rhld.insurance.arkansas.gov/NPILookup?Npi=1265514368","1265514368")</f>
        <v>1265514368</v>
      </c>
      <c r="E23201" s="1" t="s">
        <v>7597</v>
      </c>
      <c r="F23201" s="2"/>
      <c r="G23201" s="2"/>
      <c r="H23201" s="2"/>
    </row>
    <row r="23202" spans="1:8" x14ac:dyDescent="0.25">
      <c r="A23202" s="1"/>
      <c r="B23202" s="1" t="s">
        <v>7328</v>
      </c>
      <c r="C23202" s="1" t="s">
        <v>7329</v>
      </c>
      <c r="D23202" s="22" t="str">
        <f>HYPERLINK("https://rhld.insurance.arkansas.gov/NPILookup?Npi=1265522692","1265522692")</f>
        <v>1265522692</v>
      </c>
      <c r="E23202" s="1" t="s">
        <v>26279</v>
      </c>
      <c r="F23202" s="2"/>
      <c r="G23202" s="2"/>
      <c r="H23202" s="2"/>
    </row>
    <row r="23203" spans="1:8" x14ac:dyDescent="0.25">
      <c r="A23203" s="1"/>
      <c r="B23203" s="1" t="s">
        <v>7328</v>
      </c>
      <c r="C23203" s="1" t="s">
        <v>7329</v>
      </c>
      <c r="D23203" s="22" t="str">
        <f>HYPERLINK("https://rhld.insurance.arkansas.gov/NPILookup?Npi=1265522742","1265522742")</f>
        <v>1265522742</v>
      </c>
      <c r="E23203" s="1" t="s">
        <v>12912</v>
      </c>
      <c r="F23203" s="2"/>
      <c r="G23203" s="2"/>
      <c r="H23203" s="2"/>
    </row>
    <row r="23204" spans="1:8" x14ac:dyDescent="0.25">
      <c r="A23204" s="1"/>
      <c r="B23204" s="1" t="s">
        <v>7328</v>
      </c>
      <c r="C23204" s="1" t="s">
        <v>7329</v>
      </c>
      <c r="D23204" s="22" t="str">
        <f>HYPERLINK("https://rhld.insurance.arkansas.gov/NPILookup?Npi=1265523930","1265523930")</f>
        <v>1265523930</v>
      </c>
      <c r="E23204" s="1" t="s">
        <v>12913</v>
      </c>
      <c r="F23204" s="2"/>
      <c r="G23204" s="2"/>
      <c r="H23204" s="2"/>
    </row>
    <row r="23205" spans="1:8" x14ac:dyDescent="0.25">
      <c r="A23205" s="1"/>
      <c r="B23205" s="1" t="s">
        <v>7328</v>
      </c>
      <c r="C23205" s="1" t="s">
        <v>7329</v>
      </c>
      <c r="D23205" s="22" t="str">
        <f>HYPERLINK("https://rhld.insurance.arkansas.gov/NPILookup?Npi=1265524300","1265524300")</f>
        <v>1265524300</v>
      </c>
      <c r="E23205" s="1" t="s">
        <v>17357</v>
      </c>
      <c r="F23205" s="2"/>
      <c r="G23205" s="2"/>
      <c r="H23205" s="2"/>
    </row>
    <row r="23206" spans="1:8" x14ac:dyDescent="0.25">
      <c r="A23206" s="1"/>
      <c r="B23206" s="1" t="s">
        <v>7328</v>
      </c>
      <c r="C23206" s="1" t="s">
        <v>7329</v>
      </c>
      <c r="D23206" s="22" t="str">
        <f>HYPERLINK("https://rhld.insurance.arkansas.gov/NPILookup?Npi=1265525331","1265525331")</f>
        <v>1265525331</v>
      </c>
      <c r="E23206" s="1" t="s">
        <v>26280</v>
      </c>
      <c r="F23206" s="2"/>
      <c r="G23206" s="2"/>
      <c r="H23206" s="2"/>
    </row>
    <row r="23207" spans="1:8" x14ac:dyDescent="0.25">
      <c r="A23207" s="1"/>
      <c r="B23207" s="1" t="s">
        <v>7328</v>
      </c>
      <c r="C23207" s="1" t="s">
        <v>7329</v>
      </c>
      <c r="D23207" s="22" t="str">
        <f>HYPERLINK("https://rhld.insurance.arkansas.gov/NPILookup?Npi=1265532899","1265532899")</f>
        <v>1265532899</v>
      </c>
      <c r="E23207" s="1" t="s">
        <v>26281</v>
      </c>
      <c r="F23207" s="2"/>
      <c r="G23207" s="2"/>
      <c r="H23207" s="2"/>
    </row>
    <row r="23208" spans="1:8" x14ac:dyDescent="0.25">
      <c r="A23208" s="1"/>
      <c r="B23208" s="1" t="s">
        <v>7328</v>
      </c>
      <c r="C23208" s="1" t="s">
        <v>7329</v>
      </c>
      <c r="D23208" s="22" t="str">
        <f>HYPERLINK("https://rhld.insurance.arkansas.gov/NPILookup?Npi=1265534184","1265534184")</f>
        <v>1265534184</v>
      </c>
      <c r="E23208" s="1" t="s">
        <v>26282</v>
      </c>
      <c r="F23208" s="2"/>
      <c r="G23208" s="2"/>
      <c r="H23208" s="2"/>
    </row>
    <row r="23209" spans="1:8" x14ac:dyDescent="0.25">
      <c r="A23209" s="1"/>
      <c r="B23209" s="1" t="s">
        <v>7328</v>
      </c>
      <c r="C23209" s="1" t="s">
        <v>7329</v>
      </c>
      <c r="D23209" s="22" t="str">
        <f>HYPERLINK("https://rhld.insurance.arkansas.gov/NPILookup?Npi=1265539720","1265539720")</f>
        <v>1265539720</v>
      </c>
      <c r="E23209" s="1" t="s">
        <v>2731</v>
      </c>
      <c r="F23209" s="2"/>
      <c r="G23209" s="2"/>
      <c r="H23209" s="2"/>
    </row>
    <row r="23210" spans="1:8" x14ac:dyDescent="0.25">
      <c r="A23210" s="1"/>
      <c r="B23210" s="1" t="s">
        <v>7328</v>
      </c>
      <c r="C23210" s="1" t="s">
        <v>7329</v>
      </c>
      <c r="D23210" s="22" t="str">
        <f>HYPERLINK("https://rhld.insurance.arkansas.gov/NPILookup?Npi=1265540777","1265540777")</f>
        <v>1265540777</v>
      </c>
      <c r="E23210" s="1" t="s">
        <v>11623</v>
      </c>
      <c r="F23210" s="2"/>
      <c r="G23210" s="2"/>
      <c r="H23210" s="2"/>
    </row>
    <row r="23211" spans="1:8" x14ac:dyDescent="0.25">
      <c r="A23211" s="1"/>
      <c r="B23211" s="1" t="s">
        <v>7328</v>
      </c>
      <c r="C23211" s="1" t="s">
        <v>7329</v>
      </c>
      <c r="D23211" s="22" t="str">
        <f>HYPERLINK("https://rhld.insurance.arkansas.gov/NPILookup?Npi=1265545875","1265545875")</f>
        <v>1265545875</v>
      </c>
      <c r="E23211" s="1" t="s">
        <v>26283</v>
      </c>
      <c r="F23211" s="2"/>
      <c r="G23211" s="2"/>
      <c r="H23211" s="2"/>
    </row>
    <row r="23212" spans="1:8" x14ac:dyDescent="0.25">
      <c r="A23212" s="1"/>
      <c r="B23212" s="1" t="s">
        <v>7328</v>
      </c>
      <c r="C23212" s="1" t="s">
        <v>7329</v>
      </c>
      <c r="D23212" s="22" t="str">
        <f>HYPERLINK("https://rhld.insurance.arkansas.gov/NPILookup?Npi=1265546485","1265546485")</f>
        <v>1265546485</v>
      </c>
      <c r="E23212" s="1" t="s">
        <v>7598</v>
      </c>
      <c r="F23212" s="2"/>
      <c r="G23212" s="2"/>
      <c r="H23212" s="2"/>
    </row>
    <row r="23213" spans="1:8" x14ac:dyDescent="0.25">
      <c r="A23213" s="1"/>
      <c r="B23213" s="1" t="s">
        <v>7328</v>
      </c>
      <c r="C23213" s="1" t="s">
        <v>7329</v>
      </c>
      <c r="D23213" s="22" t="str">
        <f>HYPERLINK("https://rhld.insurance.arkansas.gov/NPILookup?Npi=1265546840","1265546840")</f>
        <v>1265546840</v>
      </c>
      <c r="E23213" s="1" t="s">
        <v>26284</v>
      </c>
      <c r="F23213" s="2"/>
      <c r="G23213" s="2"/>
      <c r="H23213" s="2"/>
    </row>
    <row r="23214" spans="1:8" x14ac:dyDescent="0.25">
      <c r="A23214" s="1"/>
      <c r="B23214" s="1" t="s">
        <v>7328</v>
      </c>
      <c r="C23214" s="1" t="s">
        <v>7329</v>
      </c>
      <c r="D23214" s="22" t="str">
        <f>HYPERLINK("https://rhld.insurance.arkansas.gov/NPILookup?Npi=1265622468","1265622468")</f>
        <v>1265622468</v>
      </c>
      <c r="E23214" s="1" t="s">
        <v>26285</v>
      </c>
      <c r="F23214" s="2"/>
      <c r="G23214" s="2"/>
      <c r="H23214" s="2"/>
    </row>
    <row r="23215" spans="1:8" x14ac:dyDescent="0.25">
      <c r="A23215" s="1"/>
      <c r="B23215" s="1" t="s">
        <v>7328</v>
      </c>
      <c r="C23215" s="1" t="s">
        <v>7329</v>
      </c>
      <c r="D23215" s="22" t="str">
        <f>HYPERLINK("https://rhld.insurance.arkansas.gov/NPILookup?Npi=1265624621","1265624621")</f>
        <v>1265624621</v>
      </c>
      <c r="E23215" s="1" t="s">
        <v>2732</v>
      </c>
      <c r="F23215" s="2"/>
      <c r="G23215" s="2"/>
      <c r="H23215" s="2"/>
    </row>
    <row r="23216" spans="1:8" x14ac:dyDescent="0.25">
      <c r="A23216" s="1"/>
      <c r="B23216" s="1" t="s">
        <v>7328</v>
      </c>
      <c r="C23216" s="1" t="s">
        <v>7329</v>
      </c>
      <c r="D23216" s="22" t="str">
        <f>HYPERLINK("https://rhld.insurance.arkansas.gov/NPILookup?Npi=1265626790","1265626790")</f>
        <v>1265626790</v>
      </c>
      <c r="E23216" s="1" t="s">
        <v>26286</v>
      </c>
      <c r="F23216" s="2"/>
      <c r="G23216" s="2"/>
      <c r="H23216" s="2"/>
    </row>
    <row r="23217" spans="1:8" x14ac:dyDescent="0.25">
      <c r="A23217" s="1"/>
      <c r="B23217" s="1" t="s">
        <v>7328</v>
      </c>
      <c r="C23217" s="1" t="s">
        <v>7329</v>
      </c>
      <c r="D23217" s="22" t="str">
        <f>HYPERLINK("https://rhld.insurance.arkansas.gov/NPILookup?Npi=1265632368","1265632368")</f>
        <v>1265632368</v>
      </c>
      <c r="E23217" s="1" t="s">
        <v>22157</v>
      </c>
      <c r="F23217" s="2"/>
      <c r="G23217" s="2"/>
      <c r="H23217" s="2"/>
    </row>
    <row r="23218" spans="1:8" x14ac:dyDescent="0.25">
      <c r="A23218" s="1"/>
      <c r="B23218" s="1" t="s">
        <v>7328</v>
      </c>
      <c r="C23218" s="1" t="s">
        <v>7329</v>
      </c>
      <c r="D23218" s="22" t="str">
        <f>HYPERLINK("https://rhld.insurance.arkansas.gov/NPILookup?Npi=1265635981","1265635981")</f>
        <v>1265635981</v>
      </c>
      <c r="E23218" s="1" t="s">
        <v>1996</v>
      </c>
      <c r="F23218" s="2"/>
      <c r="G23218" s="2"/>
      <c r="H23218" s="2"/>
    </row>
    <row r="23219" spans="1:8" x14ac:dyDescent="0.25">
      <c r="A23219" s="1"/>
      <c r="B23219" s="1" t="s">
        <v>7328</v>
      </c>
      <c r="C23219" s="1" t="s">
        <v>7329</v>
      </c>
      <c r="D23219" s="22" t="str">
        <f>HYPERLINK("https://rhld.insurance.arkansas.gov/NPILookup?Npi=1265653372","1265653372")</f>
        <v>1265653372</v>
      </c>
      <c r="E23219" s="1" t="s">
        <v>26287</v>
      </c>
      <c r="F23219" s="2"/>
      <c r="G23219" s="2"/>
      <c r="H23219" s="2"/>
    </row>
    <row r="23220" spans="1:8" x14ac:dyDescent="0.25">
      <c r="A23220" s="1"/>
      <c r="B23220" s="1" t="s">
        <v>7328</v>
      </c>
      <c r="C23220" s="1" t="s">
        <v>7329</v>
      </c>
      <c r="D23220" s="22" t="str">
        <f>HYPERLINK("https://rhld.insurance.arkansas.gov/NPILookup?Npi=1265662092","1265662092")</f>
        <v>1265662092</v>
      </c>
      <c r="E23220" s="1" t="s">
        <v>2733</v>
      </c>
      <c r="F23220" s="2"/>
      <c r="G23220" s="2"/>
      <c r="H23220" s="2"/>
    </row>
    <row r="23221" spans="1:8" x14ac:dyDescent="0.25">
      <c r="A23221" s="1"/>
      <c r="B23221" s="1" t="s">
        <v>7328</v>
      </c>
      <c r="C23221" s="1" t="s">
        <v>7329</v>
      </c>
      <c r="D23221" s="22" t="str">
        <f>HYPERLINK("https://rhld.insurance.arkansas.gov/NPILookup?Npi=1265662969","1265662969")</f>
        <v>1265662969</v>
      </c>
      <c r="E23221" s="1" t="s">
        <v>134</v>
      </c>
      <c r="F23221" s="2"/>
      <c r="G23221" s="2"/>
      <c r="H23221" s="2"/>
    </row>
    <row r="23222" spans="1:8" x14ac:dyDescent="0.25">
      <c r="A23222" s="1"/>
      <c r="B23222" s="1" t="s">
        <v>7328</v>
      </c>
      <c r="C23222" s="1" t="s">
        <v>7329</v>
      </c>
      <c r="D23222" s="22" t="str">
        <f>HYPERLINK("https://rhld.insurance.arkansas.gov/NPILookup?Npi=1265675201","1265675201")</f>
        <v>1265675201</v>
      </c>
      <c r="E23222" s="1" t="s">
        <v>12914</v>
      </c>
      <c r="F23222" s="2"/>
      <c r="G23222" s="2"/>
      <c r="H23222" s="2"/>
    </row>
    <row r="23223" spans="1:8" x14ac:dyDescent="0.25">
      <c r="A23223" s="1"/>
      <c r="B23223" s="1" t="s">
        <v>7328</v>
      </c>
      <c r="C23223" s="1" t="s">
        <v>7329</v>
      </c>
      <c r="D23223" s="22" t="str">
        <f>HYPERLINK("https://rhld.insurance.arkansas.gov/NPILookup?Npi=1265680243","1265680243")</f>
        <v>1265680243</v>
      </c>
      <c r="E23223" s="1" t="s">
        <v>1696</v>
      </c>
      <c r="F23223" s="2"/>
      <c r="G23223" s="2"/>
      <c r="H23223" s="2"/>
    </row>
    <row r="23224" spans="1:8" x14ac:dyDescent="0.25">
      <c r="A23224" s="1"/>
      <c r="B23224" s="1" t="s">
        <v>7328</v>
      </c>
      <c r="C23224" s="1" t="s">
        <v>7329</v>
      </c>
      <c r="D23224" s="22" t="str">
        <f>HYPERLINK("https://rhld.insurance.arkansas.gov/NPILookup?Npi=1265710958","1265710958")</f>
        <v>1265710958</v>
      </c>
      <c r="E23224" s="1" t="s">
        <v>258</v>
      </c>
      <c r="F23224" s="2"/>
      <c r="G23224" s="2"/>
      <c r="H23224" s="2"/>
    </row>
    <row r="23225" spans="1:8" x14ac:dyDescent="0.25">
      <c r="A23225" s="1"/>
      <c r="B23225" s="1" t="s">
        <v>7328</v>
      </c>
      <c r="C23225" s="1" t="s">
        <v>7329</v>
      </c>
      <c r="D23225" s="22" t="str">
        <f>HYPERLINK("https://rhld.insurance.arkansas.gov/NPILookup?Npi=1265713689","1265713689")</f>
        <v>1265713689</v>
      </c>
      <c r="E23225" s="1" t="s">
        <v>7599</v>
      </c>
      <c r="F23225" s="2"/>
      <c r="G23225" s="2"/>
      <c r="H23225" s="2"/>
    </row>
    <row r="23226" spans="1:8" x14ac:dyDescent="0.25">
      <c r="A23226" s="1"/>
      <c r="B23226" s="1" t="s">
        <v>7328</v>
      </c>
      <c r="C23226" s="1" t="s">
        <v>7329</v>
      </c>
      <c r="D23226" s="22" t="str">
        <f>HYPERLINK("https://rhld.insurance.arkansas.gov/NPILookup?Npi=1265725550","1265725550")</f>
        <v>1265725550</v>
      </c>
      <c r="E23226" s="1" t="s">
        <v>26288</v>
      </c>
      <c r="F23226" s="2"/>
      <c r="G23226" s="2"/>
      <c r="H23226" s="2"/>
    </row>
    <row r="23227" spans="1:8" x14ac:dyDescent="0.25">
      <c r="A23227" s="1"/>
      <c r="B23227" s="1" t="s">
        <v>7328</v>
      </c>
      <c r="C23227" s="1" t="s">
        <v>7329</v>
      </c>
      <c r="D23227" s="22" t="str">
        <f>HYPERLINK("https://rhld.insurance.arkansas.gov/NPILookup?Npi=1265727960","1265727960")</f>
        <v>1265727960</v>
      </c>
      <c r="E23227" s="1" t="s">
        <v>849</v>
      </c>
      <c r="F23227" s="2"/>
      <c r="G23227" s="2"/>
      <c r="H23227" s="2"/>
    </row>
    <row r="23228" spans="1:8" x14ac:dyDescent="0.25">
      <c r="A23228" s="1"/>
      <c r="B23228" s="1" t="s">
        <v>7328</v>
      </c>
      <c r="C23228" s="1" t="s">
        <v>7329</v>
      </c>
      <c r="D23228" s="22" t="str">
        <f>HYPERLINK("https://rhld.insurance.arkansas.gov/NPILookup?Npi=1265735922","1265735922")</f>
        <v>1265735922</v>
      </c>
      <c r="E23228" s="1" t="s">
        <v>2734</v>
      </c>
      <c r="F23228" s="2"/>
      <c r="G23228" s="2"/>
      <c r="H23228" s="2"/>
    </row>
    <row r="23229" spans="1:8" x14ac:dyDescent="0.25">
      <c r="A23229" s="1"/>
      <c r="B23229" s="1" t="s">
        <v>7328</v>
      </c>
      <c r="C23229" s="1" t="s">
        <v>7329</v>
      </c>
      <c r="D23229" s="22" t="str">
        <f>HYPERLINK("https://rhld.insurance.arkansas.gov/NPILookup?Npi=1265751101","1265751101")</f>
        <v>1265751101</v>
      </c>
      <c r="E23229" s="1" t="s">
        <v>17361</v>
      </c>
      <c r="F23229" s="2"/>
      <c r="G23229" s="2"/>
      <c r="H23229" s="2"/>
    </row>
    <row r="23230" spans="1:8" x14ac:dyDescent="0.25">
      <c r="A23230" s="1"/>
      <c r="B23230" s="1" t="s">
        <v>7328</v>
      </c>
      <c r="C23230" s="1" t="s">
        <v>7329</v>
      </c>
      <c r="D23230" s="22" t="str">
        <f>HYPERLINK("https://rhld.insurance.arkansas.gov/NPILookup?Npi=1265782601","1265782601")</f>
        <v>1265782601</v>
      </c>
      <c r="E23230" s="1" t="s">
        <v>31840</v>
      </c>
      <c r="F23230" s="2"/>
      <c r="G23230" s="2"/>
      <c r="H23230" s="2"/>
    </row>
    <row r="23231" spans="1:8" x14ac:dyDescent="0.25">
      <c r="A23231" s="1"/>
      <c r="B23231" s="1" t="s">
        <v>7328</v>
      </c>
      <c r="C23231" s="1" t="s">
        <v>7329</v>
      </c>
      <c r="D23231" s="22" t="str">
        <f>HYPERLINK("https://rhld.insurance.arkansas.gov/NPILookup?Npi=1265794564","1265794564")</f>
        <v>1265794564</v>
      </c>
      <c r="E23231" s="1" t="s">
        <v>26289</v>
      </c>
      <c r="F23231" s="2"/>
      <c r="G23231" s="2"/>
      <c r="H23231" s="2"/>
    </row>
    <row r="23232" spans="1:8" x14ac:dyDescent="0.25">
      <c r="A23232" s="1"/>
      <c r="B23232" s="1" t="s">
        <v>7328</v>
      </c>
      <c r="C23232" s="1" t="s">
        <v>7329</v>
      </c>
      <c r="D23232" s="22" t="str">
        <f>HYPERLINK("https://rhld.insurance.arkansas.gov/NPILookup?Npi=1265798805","1265798805")</f>
        <v>1265798805</v>
      </c>
      <c r="E23232" s="1" t="s">
        <v>26290</v>
      </c>
      <c r="F23232" s="2"/>
      <c r="G23232" s="2"/>
      <c r="H23232" s="2"/>
    </row>
    <row r="23233" spans="1:8" x14ac:dyDescent="0.25">
      <c r="A23233" s="1"/>
      <c r="B23233" s="1" t="s">
        <v>7328</v>
      </c>
      <c r="C23233" s="1" t="s">
        <v>7329</v>
      </c>
      <c r="D23233" s="22" t="str">
        <f>HYPERLINK("https://rhld.insurance.arkansas.gov/NPILookup?Npi=1265801682","1265801682")</f>
        <v>1265801682</v>
      </c>
      <c r="E23233" s="1" t="s">
        <v>12915</v>
      </c>
      <c r="F23233" s="2"/>
      <c r="G23233" s="2"/>
      <c r="H23233" s="2"/>
    </row>
    <row r="23234" spans="1:8" x14ac:dyDescent="0.25">
      <c r="A23234" s="1"/>
      <c r="B23234" s="1" t="s">
        <v>7328</v>
      </c>
      <c r="C23234" s="1" t="s">
        <v>7329</v>
      </c>
      <c r="D23234" s="22" t="str">
        <f>HYPERLINK("https://rhld.insurance.arkansas.gov/NPILookup?Npi=1265814529","1265814529")</f>
        <v>1265814529</v>
      </c>
      <c r="E23234" s="1" t="s">
        <v>17362</v>
      </c>
      <c r="F23234" s="2"/>
      <c r="G23234" s="2"/>
      <c r="H23234" s="2"/>
    </row>
    <row r="23235" spans="1:8" x14ac:dyDescent="0.25">
      <c r="A23235" s="1"/>
      <c r="B23235" s="1" t="s">
        <v>7328</v>
      </c>
      <c r="C23235" s="1" t="s">
        <v>7329</v>
      </c>
      <c r="D23235" s="22" t="str">
        <f>HYPERLINK("https://rhld.insurance.arkansas.gov/NPILookup?Npi=1265820542","1265820542")</f>
        <v>1265820542</v>
      </c>
      <c r="E23235" s="1" t="s">
        <v>9735</v>
      </c>
      <c r="F23235" s="2"/>
      <c r="G23235" s="2"/>
      <c r="H23235" s="2"/>
    </row>
    <row r="23236" spans="1:8" x14ac:dyDescent="0.25">
      <c r="A23236" s="1"/>
      <c r="B23236" s="1" t="s">
        <v>7328</v>
      </c>
      <c r="C23236" s="1" t="s">
        <v>7329</v>
      </c>
      <c r="D23236" s="22" t="str">
        <f>HYPERLINK("https://rhld.insurance.arkansas.gov/NPILookup?Npi=1265822035","1265822035")</f>
        <v>1265822035</v>
      </c>
      <c r="E23236" s="1" t="s">
        <v>32171</v>
      </c>
      <c r="F23236" s="2"/>
      <c r="G23236" s="2"/>
      <c r="H23236" s="2"/>
    </row>
    <row r="23237" spans="1:8" x14ac:dyDescent="0.25">
      <c r="A23237" s="1"/>
      <c r="B23237" s="1" t="s">
        <v>7328</v>
      </c>
      <c r="C23237" s="1" t="s">
        <v>7329</v>
      </c>
      <c r="D23237" s="22" t="str">
        <f>HYPERLINK("https://rhld.insurance.arkansas.gov/NPILookup?Npi=1265822092","1265822092")</f>
        <v>1265822092</v>
      </c>
      <c r="E23237" s="1" t="s">
        <v>26291</v>
      </c>
      <c r="F23237" s="2"/>
      <c r="G23237" s="2"/>
      <c r="H23237" s="2"/>
    </row>
    <row r="23238" spans="1:8" x14ac:dyDescent="0.25">
      <c r="A23238" s="1"/>
      <c r="B23238" s="1" t="s">
        <v>7328</v>
      </c>
      <c r="C23238" s="1" t="s">
        <v>7329</v>
      </c>
      <c r="D23238" s="22" t="str">
        <f>HYPERLINK("https://rhld.insurance.arkansas.gov/NPILookup?Npi=1265824841","1265824841")</f>
        <v>1265824841</v>
      </c>
      <c r="E23238" s="1" t="s">
        <v>26292</v>
      </c>
      <c r="F23238" s="2"/>
      <c r="G23238" s="2"/>
      <c r="H23238" s="2"/>
    </row>
    <row r="23239" spans="1:8" x14ac:dyDescent="0.25">
      <c r="A23239" s="1"/>
      <c r="B23239" s="1" t="s">
        <v>7328</v>
      </c>
      <c r="C23239" s="1" t="s">
        <v>7329</v>
      </c>
      <c r="D23239" s="22" t="str">
        <f>HYPERLINK("https://rhld.insurance.arkansas.gov/NPILookup?Npi=1265826093","1265826093")</f>
        <v>1265826093</v>
      </c>
      <c r="E23239" s="1" t="s">
        <v>32172</v>
      </c>
      <c r="F23239" s="2"/>
      <c r="G23239" s="2"/>
      <c r="H23239" s="2"/>
    </row>
    <row r="23240" spans="1:8" x14ac:dyDescent="0.25">
      <c r="A23240" s="1"/>
      <c r="B23240" s="1" t="s">
        <v>7328</v>
      </c>
      <c r="C23240" s="1" t="s">
        <v>7329</v>
      </c>
      <c r="D23240" s="22" t="str">
        <f>HYPERLINK("https://rhld.insurance.arkansas.gov/NPILookup?Npi=1265829485","1265829485")</f>
        <v>1265829485</v>
      </c>
      <c r="E23240" s="1" t="s">
        <v>12916</v>
      </c>
      <c r="F23240" s="2"/>
      <c r="G23240" s="2"/>
      <c r="H23240" s="2"/>
    </row>
    <row r="23241" spans="1:8" x14ac:dyDescent="0.25">
      <c r="A23241" s="1"/>
      <c r="B23241" s="1" t="s">
        <v>7328</v>
      </c>
      <c r="C23241" s="1" t="s">
        <v>7329</v>
      </c>
      <c r="D23241" s="22" t="str">
        <f>HYPERLINK("https://rhld.insurance.arkansas.gov/NPILookup?Npi=1265841282","1265841282")</f>
        <v>1265841282</v>
      </c>
      <c r="E23241" s="1" t="s">
        <v>26293</v>
      </c>
      <c r="F23241" s="2"/>
      <c r="G23241" s="2"/>
      <c r="H23241" s="2"/>
    </row>
    <row r="23242" spans="1:8" x14ac:dyDescent="0.25">
      <c r="A23242" s="1"/>
      <c r="B23242" s="1" t="s">
        <v>7328</v>
      </c>
      <c r="C23242" s="1" t="s">
        <v>7329</v>
      </c>
      <c r="D23242" s="22" t="str">
        <f>HYPERLINK("https://rhld.insurance.arkansas.gov/NPILookup?Npi=1265859961","1265859961")</f>
        <v>1265859961</v>
      </c>
      <c r="E23242" s="1" t="s">
        <v>26294</v>
      </c>
      <c r="F23242" s="2"/>
      <c r="G23242" s="2"/>
      <c r="H23242" s="2"/>
    </row>
    <row r="23243" spans="1:8" x14ac:dyDescent="0.25">
      <c r="A23243" s="1"/>
      <c r="B23243" s="1" t="s">
        <v>7328</v>
      </c>
      <c r="C23243" s="1" t="s">
        <v>7329</v>
      </c>
      <c r="D23243" s="22" t="str">
        <f>HYPERLINK("https://rhld.insurance.arkansas.gov/NPILookup?Npi=1265862692","1265862692")</f>
        <v>1265862692</v>
      </c>
      <c r="E23243" s="1" t="s">
        <v>694</v>
      </c>
      <c r="F23243" s="2"/>
      <c r="G23243" s="2"/>
      <c r="H23243" s="2"/>
    </row>
    <row r="23244" spans="1:8" x14ac:dyDescent="0.25">
      <c r="A23244" s="1"/>
      <c r="B23244" s="1" t="s">
        <v>7328</v>
      </c>
      <c r="C23244" s="1" t="s">
        <v>7329</v>
      </c>
      <c r="D23244" s="22" t="str">
        <f>HYPERLINK("https://rhld.insurance.arkansas.gov/NPILookup?Npi=1265871131","1265871131")</f>
        <v>1265871131</v>
      </c>
      <c r="E23244" s="1" t="s">
        <v>7600</v>
      </c>
      <c r="F23244" s="2"/>
      <c r="G23244" s="2"/>
      <c r="H23244" s="2"/>
    </row>
    <row r="23245" spans="1:8" x14ac:dyDescent="0.25">
      <c r="A23245" s="1"/>
      <c r="B23245" s="1" t="s">
        <v>7328</v>
      </c>
      <c r="C23245" s="1" t="s">
        <v>7329</v>
      </c>
      <c r="D23245" s="22" t="str">
        <f>HYPERLINK("https://rhld.insurance.arkansas.gov/NPILookup?Npi=1265884910","1265884910")</f>
        <v>1265884910</v>
      </c>
      <c r="E23245" s="1" t="s">
        <v>26295</v>
      </c>
      <c r="F23245" s="2"/>
      <c r="G23245" s="2"/>
      <c r="H23245" s="2"/>
    </row>
    <row r="23246" spans="1:8" x14ac:dyDescent="0.25">
      <c r="A23246" s="1"/>
      <c r="B23246" s="1" t="s">
        <v>7328</v>
      </c>
      <c r="C23246" s="1" t="s">
        <v>7329</v>
      </c>
      <c r="D23246" s="22" t="str">
        <f>HYPERLINK("https://rhld.insurance.arkansas.gov/NPILookup?Npi=1265892186","1265892186")</f>
        <v>1265892186</v>
      </c>
      <c r="E23246" s="1" t="s">
        <v>12917</v>
      </c>
      <c r="F23246" s="2"/>
      <c r="G23246" s="2"/>
      <c r="H23246" s="2"/>
    </row>
    <row r="23247" spans="1:8" x14ac:dyDescent="0.25">
      <c r="A23247" s="1"/>
      <c r="B23247" s="1" t="s">
        <v>7328</v>
      </c>
      <c r="C23247" s="1" t="s">
        <v>7329</v>
      </c>
      <c r="D23247" s="22" t="str">
        <f>HYPERLINK("https://rhld.insurance.arkansas.gov/NPILookup?Npi=1265892475","1265892475")</f>
        <v>1265892475</v>
      </c>
      <c r="E23247" s="1" t="s">
        <v>26296</v>
      </c>
      <c r="F23247" s="2"/>
      <c r="G23247" s="2"/>
      <c r="H23247" s="2"/>
    </row>
    <row r="23248" spans="1:8" x14ac:dyDescent="0.25">
      <c r="A23248" s="1"/>
      <c r="B23248" s="1" t="s">
        <v>7328</v>
      </c>
      <c r="C23248" s="1" t="s">
        <v>7329</v>
      </c>
      <c r="D23248" s="22" t="str">
        <f>HYPERLINK("https://rhld.insurance.arkansas.gov/NPILookup?Npi=1265895981","1265895981")</f>
        <v>1265895981</v>
      </c>
      <c r="E23248" s="1" t="s">
        <v>3301</v>
      </c>
      <c r="F23248" s="2"/>
      <c r="G23248" s="2"/>
      <c r="H23248" s="2"/>
    </row>
    <row r="23249" spans="1:8" x14ac:dyDescent="0.25">
      <c r="A23249" s="1"/>
      <c r="B23249" s="1" t="s">
        <v>7328</v>
      </c>
      <c r="C23249" s="1" t="s">
        <v>7329</v>
      </c>
      <c r="D23249" s="22" t="str">
        <f>HYPERLINK("https://rhld.insurance.arkansas.gov/NPILookup?Npi=1265902613","1265902613")</f>
        <v>1265902613</v>
      </c>
      <c r="E23249" s="1" t="s">
        <v>26297</v>
      </c>
      <c r="F23249" s="2"/>
      <c r="G23249" s="2"/>
      <c r="H23249" s="2"/>
    </row>
    <row r="23250" spans="1:8" x14ac:dyDescent="0.25">
      <c r="A23250" s="1"/>
      <c r="B23250" s="1" t="s">
        <v>7328</v>
      </c>
      <c r="C23250" s="1" t="s">
        <v>7329</v>
      </c>
      <c r="D23250" s="22" t="str">
        <f>HYPERLINK("https://rhld.insurance.arkansas.gov/NPILookup?Npi=1265910749","1265910749")</f>
        <v>1265910749</v>
      </c>
      <c r="E23250" s="1" t="s">
        <v>26298</v>
      </c>
      <c r="F23250" s="2"/>
      <c r="G23250" s="2"/>
      <c r="H23250" s="2"/>
    </row>
    <row r="23251" spans="1:8" x14ac:dyDescent="0.25">
      <c r="A23251" s="1"/>
      <c r="B23251" s="1" t="s">
        <v>7328</v>
      </c>
      <c r="C23251" s="1" t="s">
        <v>7329</v>
      </c>
      <c r="D23251" s="22" t="str">
        <f>HYPERLINK("https://rhld.insurance.arkansas.gov/NPILookup?Npi=1265919708","1265919708")</f>
        <v>1265919708</v>
      </c>
      <c r="E23251" s="1" t="s">
        <v>26299</v>
      </c>
      <c r="F23251" s="2"/>
      <c r="G23251" s="2"/>
      <c r="H23251" s="2"/>
    </row>
    <row r="23252" spans="1:8" x14ac:dyDescent="0.25">
      <c r="A23252" s="1"/>
      <c r="B23252" s="1" t="s">
        <v>7328</v>
      </c>
      <c r="C23252" s="1" t="s">
        <v>7329</v>
      </c>
      <c r="D23252" s="22" t="str">
        <f>HYPERLINK("https://rhld.insurance.arkansas.gov/NPILookup?Npi=1265920177","1265920177")</f>
        <v>1265920177</v>
      </c>
      <c r="E23252" s="1" t="s">
        <v>26300</v>
      </c>
      <c r="F23252" s="2"/>
      <c r="G23252" s="2"/>
      <c r="H23252" s="2"/>
    </row>
    <row r="23253" spans="1:8" x14ac:dyDescent="0.25">
      <c r="A23253" s="1"/>
      <c r="B23253" s="1" t="s">
        <v>7328</v>
      </c>
      <c r="C23253" s="1" t="s">
        <v>7329</v>
      </c>
      <c r="D23253" s="22" t="str">
        <f>HYPERLINK("https://rhld.insurance.arkansas.gov/NPILookup?Npi=1265925358","1265925358")</f>
        <v>1265925358</v>
      </c>
      <c r="E23253" s="1" t="s">
        <v>32173</v>
      </c>
      <c r="F23253" s="2"/>
      <c r="G23253" s="2"/>
      <c r="H23253" s="2"/>
    </row>
    <row r="23254" spans="1:8" x14ac:dyDescent="0.25">
      <c r="A23254" s="1"/>
      <c r="B23254" s="1" t="s">
        <v>7328</v>
      </c>
      <c r="C23254" s="1" t="s">
        <v>7329</v>
      </c>
      <c r="D23254" s="22" t="str">
        <f>HYPERLINK("https://rhld.insurance.arkansas.gov/NPILookup?Npi=1265939342","1265939342")</f>
        <v>1265939342</v>
      </c>
      <c r="E23254" s="1" t="s">
        <v>20242</v>
      </c>
      <c r="F23254" s="2"/>
      <c r="G23254" s="2"/>
      <c r="H23254" s="2"/>
    </row>
    <row r="23255" spans="1:8" x14ac:dyDescent="0.25">
      <c r="A23255" s="1"/>
      <c r="B23255" s="1" t="s">
        <v>7328</v>
      </c>
      <c r="C23255" s="1" t="s">
        <v>7329</v>
      </c>
      <c r="D23255" s="22" t="str">
        <f>HYPERLINK("https://rhld.insurance.arkansas.gov/NPILookup?Npi=1265949895","1265949895")</f>
        <v>1265949895</v>
      </c>
      <c r="E23255" s="1" t="s">
        <v>26301</v>
      </c>
      <c r="F23255" s="2"/>
      <c r="G23255" s="2"/>
      <c r="H23255" s="2"/>
    </row>
    <row r="23256" spans="1:8" x14ac:dyDescent="0.25">
      <c r="A23256" s="1"/>
      <c r="B23256" s="1" t="s">
        <v>7328</v>
      </c>
      <c r="C23256" s="1" t="s">
        <v>7329</v>
      </c>
      <c r="D23256" s="22" t="str">
        <f>HYPERLINK("https://rhld.insurance.arkansas.gov/NPILookup?Npi=1265956676","1265956676")</f>
        <v>1265956676</v>
      </c>
      <c r="E23256" s="1" t="s">
        <v>7601</v>
      </c>
      <c r="F23256" s="2"/>
      <c r="G23256" s="2"/>
      <c r="H23256" s="2"/>
    </row>
    <row r="23257" spans="1:8" x14ac:dyDescent="0.25">
      <c r="A23257" s="1"/>
      <c r="B23257" s="1" t="s">
        <v>7328</v>
      </c>
      <c r="C23257" s="1" t="s">
        <v>7329</v>
      </c>
      <c r="D23257" s="22" t="str">
        <f>HYPERLINK("https://rhld.insurance.arkansas.gov/NPILookup?Npi=1265959415","1265959415")</f>
        <v>1265959415</v>
      </c>
      <c r="E23257" s="1" t="s">
        <v>850</v>
      </c>
      <c r="F23257" s="2"/>
      <c r="G23257" s="2"/>
      <c r="H23257" s="2"/>
    </row>
    <row r="23258" spans="1:8" x14ac:dyDescent="0.25">
      <c r="A23258" s="1"/>
      <c r="B23258" s="1" t="s">
        <v>7328</v>
      </c>
      <c r="C23258" s="1" t="s">
        <v>7329</v>
      </c>
      <c r="D23258" s="22" t="str">
        <f>HYPERLINK("https://rhld.insurance.arkansas.gov/NPILookup?Npi=1265962120","1265962120")</f>
        <v>1265962120</v>
      </c>
      <c r="E23258" s="1" t="s">
        <v>7602</v>
      </c>
      <c r="F23258" s="2"/>
      <c r="G23258" s="2"/>
      <c r="H23258" s="2"/>
    </row>
    <row r="23259" spans="1:8" x14ac:dyDescent="0.25">
      <c r="A23259" s="1"/>
      <c r="B23259" s="1" t="s">
        <v>7328</v>
      </c>
      <c r="C23259" s="1" t="s">
        <v>7329</v>
      </c>
      <c r="D23259" s="22" t="str">
        <f>HYPERLINK("https://rhld.insurance.arkansas.gov/NPILookup?Npi=1265968606","1265968606")</f>
        <v>1265968606</v>
      </c>
      <c r="E23259" s="1" t="s">
        <v>7603</v>
      </c>
      <c r="F23259" s="2"/>
      <c r="G23259" s="2"/>
      <c r="H23259" s="2"/>
    </row>
    <row r="23260" spans="1:8" x14ac:dyDescent="0.25">
      <c r="A23260" s="1"/>
      <c r="B23260" s="1" t="s">
        <v>7328</v>
      </c>
      <c r="C23260" s="1" t="s">
        <v>7329</v>
      </c>
      <c r="D23260" s="22" t="str">
        <f>HYPERLINK("https://rhld.insurance.arkansas.gov/NPILookup?Npi=1265986913","1265986913")</f>
        <v>1265986913</v>
      </c>
      <c r="E23260" s="1" t="s">
        <v>2735</v>
      </c>
      <c r="F23260" s="2"/>
      <c r="G23260" s="2"/>
      <c r="H23260" s="2"/>
    </row>
    <row r="23261" spans="1:8" x14ac:dyDescent="0.25">
      <c r="A23261" s="1"/>
      <c r="B23261" s="1" t="s">
        <v>7328</v>
      </c>
      <c r="C23261" s="1" t="s">
        <v>7329</v>
      </c>
      <c r="D23261" s="22" t="str">
        <f>HYPERLINK("https://rhld.insurance.arkansas.gov/NPILookup?Npi=1265988208","1265988208")</f>
        <v>1265988208</v>
      </c>
      <c r="E23261" s="1" t="s">
        <v>851</v>
      </c>
      <c r="F23261" s="2"/>
      <c r="G23261" s="2"/>
      <c r="H23261" s="2"/>
    </row>
    <row r="23262" spans="1:8" x14ac:dyDescent="0.25">
      <c r="A23262" s="1"/>
      <c r="B23262" s="1" t="s">
        <v>7328</v>
      </c>
      <c r="C23262" s="1" t="s">
        <v>7329</v>
      </c>
      <c r="D23262" s="22" t="str">
        <f>HYPERLINK("https://rhld.insurance.arkansas.gov/NPILookup?Npi=1265993182","1265993182")</f>
        <v>1265993182</v>
      </c>
      <c r="E23262" s="1" t="s">
        <v>1378</v>
      </c>
      <c r="F23262" s="2"/>
      <c r="G23262" s="2"/>
      <c r="H23262" s="2"/>
    </row>
    <row r="23263" spans="1:8" x14ac:dyDescent="0.25">
      <c r="A23263" s="1"/>
      <c r="B23263" s="1" t="s">
        <v>7328</v>
      </c>
      <c r="C23263" s="1" t="s">
        <v>7329</v>
      </c>
      <c r="D23263" s="22" t="str">
        <f>HYPERLINK("https://rhld.insurance.arkansas.gov/NPILookup?Npi=1265996094","1265996094")</f>
        <v>1265996094</v>
      </c>
      <c r="E23263" s="1" t="s">
        <v>12918</v>
      </c>
      <c r="F23263" s="2"/>
      <c r="G23263" s="2"/>
      <c r="H23263" s="2"/>
    </row>
    <row r="23264" spans="1:8" x14ac:dyDescent="0.25">
      <c r="A23264" s="1"/>
      <c r="B23264" s="1" t="s">
        <v>7328</v>
      </c>
      <c r="C23264" s="1" t="s">
        <v>7329</v>
      </c>
      <c r="D23264" s="22" t="str">
        <f>HYPERLINK("https://rhld.insurance.arkansas.gov/NPILookup?Npi=1265999007","1265999007")</f>
        <v>1265999007</v>
      </c>
      <c r="E23264" s="1" t="s">
        <v>26302</v>
      </c>
      <c r="F23264" s="2"/>
      <c r="G23264" s="2"/>
      <c r="H23264" s="2"/>
    </row>
    <row r="23265" spans="1:8" x14ac:dyDescent="0.25">
      <c r="A23265" s="1"/>
      <c r="B23265" s="1" t="s">
        <v>7328</v>
      </c>
      <c r="C23265" s="1" t="s">
        <v>7329</v>
      </c>
      <c r="D23265" s="22" t="str">
        <f>HYPERLINK("https://rhld.insurance.arkansas.gov/NPILookup?Npi=1275000374","1275000374")</f>
        <v>1275000374</v>
      </c>
      <c r="E23265" s="1" t="s">
        <v>26303</v>
      </c>
      <c r="F23265" s="2"/>
      <c r="G23265" s="2"/>
      <c r="H23265" s="2"/>
    </row>
    <row r="23266" spans="1:8" x14ac:dyDescent="0.25">
      <c r="A23266" s="1"/>
      <c r="B23266" s="1" t="s">
        <v>7328</v>
      </c>
      <c r="C23266" s="1" t="s">
        <v>7329</v>
      </c>
      <c r="D23266" s="22" t="str">
        <f>HYPERLINK("https://rhld.insurance.arkansas.gov/NPILookup?Npi=1275002305","1275002305")</f>
        <v>1275002305</v>
      </c>
      <c r="E23266" s="1" t="s">
        <v>26304</v>
      </c>
      <c r="F23266" s="2"/>
      <c r="G23266" s="2"/>
      <c r="H23266" s="2"/>
    </row>
    <row r="23267" spans="1:8" x14ac:dyDescent="0.25">
      <c r="A23267" s="1"/>
      <c r="B23267" s="1" t="s">
        <v>7328</v>
      </c>
      <c r="C23267" s="1" t="s">
        <v>7329</v>
      </c>
      <c r="D23267" s="22" t="str">
        <f>HYPERLINK("https://rhld.insurance.arkansas.gov/NPILookup?Npi=1275007072","1275007072")</f>
        <v>1275007072</v>
      </c>
      <c r="E23267" s="1" t="s">
        <v>12919</v>
      </c>
      <c r="F23267" s="2"/>
      <c r="G23267" s="2"/>
      <c r="H23267" s="2"/>
    </row>
    <row r="23268" spans="1:8" x14ac:dyDescent="0.25">
      <c r="A23268" s="1"/>
      <c r="B23268" s="1" t="s">
        <v>7328</v>
      </c>
      <c r="C23268" s="1" t="s">
        <v>7329</v>
      </c>
      <c r="D23268" s="22" t="str">
        <f>HYPERLINK("https://rhld.insurance.arkansas.gov/NPILookup?Npi=1275014409","1275014409")</f>
        <v>1275014409</v>
      </c>
      <c r="E23268" s="1" t="s">
        <v>2736</v>
      </c>
      <c r="F23268" s="2"/>
      <c r="G23268" s="2"/>
      <c r="H23268" s="2"/>
    </row>
    <row r="23269" spans="1:8" x14ac:dyDescent="0.25">
      <c r="A23269" s="1"/>
      <c r="B23269" s="1" t="s">
        <v>7328</v>
      </c>
      <c r="C23269" s="1" t="s">
        <v>7329</v>
      </c>
      <c r="D23269" s="22" t="str">
        <f>HYPERLINK("https://rhld.insurance.arkansas.gov/NPILookup?Npi=1275020943","1275020943")</f>
        <v>1275020943</v>
      </c>
      <c r="E23269" s="1" t="s">
        <v>7604</v>
      </c>
      <c r="F23269" s="2"/>
      <c r="G23269" s="2"/>
      <c r="H23269" s="2"/>
    </row>
    <row r="23270" spans="1:8" x14ac:dyDescent="0.25">
      <c r="A23270" s="1"/>
      <c r="B23270" s="1" t="s">
        <v>7328</v>
      </c>
      <c r="C23270" s="1" t="s">
        <v>7329</v>
      </c>
      <c r="D23270" s="22" t="str">
        <f>HYPERLINK("https://rhld.insurance.arkansas.gov/NPILookup?Npi=1275024127","1275024127")</f>
        <v>1275024127</v>
      </c>
      <c r="E23270" s="1" t="s">
        <v>26305</v>
      </c>
      <c r="F23270" s="2"/>
      <c r="G23270" s="2"/>
      <c r="H23270" s="2"/>
    </row>
    <row r="23271" spans="1:8" x14ac:dyDescent="0.25">
      <c r="A23271" s="1"/>
      <c r="B23271" s="1" t="s">
        <v>7328</v>
      </c>
      <c r="C23271" s="1" t="s">
        <v>7329</v>
      </c>
      <c r="D23271" s="22" t="str">
        <f>HYPERLINK("https://rhld.insurance.arkansas.gov/NPILookup?Npi=1275025561","1275025561")</f>
        <v>1275025561</v>
      </c>
      <c r="E23271" s="1" t="s">
        <v>26306</v>
      </c>
      <c r="F23271" s="2"/>
      <c r="G23271" s="2"/>
      <c r="H23271" s="2"/>
    </row>
    <row r="23272" spans="1:8" x14ac:dyDescent="0.25">
      <c r="A23272" s="1"/>
      <c r="B23272" s="1" t="s">
        <v>7328</v>
      </c>
      <c r="C23272" s="1" t="s">
        <v>7329</v>
      </c>
      <c r="D23272" s="22" t="str">
        <f>HYPERLINK("https://rhld.insurance.arkansas.gov/NPILookup?Npi=1275040511","1275040511")</f>
        <v>1275040511</v>
      </c>
      <c r="E23272" s="1" t="s">
        <v>26307</v>
      </c>
      <c r="F23272" s="2"/>
      <c r="G23272" s="2"/>
      <c r="H23272" s="2"/>
    </row>
    <row r="23273" spans="1:8" x14ac:dyDescent="0.25">
      <c r="A23273" s="1"/>
      <c r="B23273" s="1" t="s">
        <v>7328</v>
      </c>
      <c r="C23273" s="1" t="s">
        <v>7329</v>
      </c>
      <c r="D23273" s="22" t="str">
        <f>HYPERLINK("https://rhld.insurance.arkansas.gov/NPILookup?Npi=1275041923","1275041923")</f>
        <v>1275041923</v>
      </c>
      <c r="E23273" s="1" t="s">
        <v>26308</v>
      </c>
      <c r="F23273" s="2"/>
      <c r="G23273" s="2"/>
      <c r="H23273" s="2"/>
    </row>
    <row r="23274" spans="1:8" x14ac:dyDescent="0.25">
      <c r="A23274" s="1"/>
      <c r="B23274" s="1" t="s">
        <v>7328</v>
      </c>
      <c r="C23274" s="1" t="s">
        <v>7329</v>
      </c>
      <c r="D23274" s="22" t="str">
        <f>HYPERLINK("https://rhld.insurance.arkansas.gov/NPILookup?Npi=1275048480","1275048480")</f>
        <v>1275048480</v>
      </c>
      <c r="E23274" s="1" t="s">
        <v>12920</v>
      </c>
      <c r="F23274" s="2"/>
      <c r="G23274" s="2"/>
      <c r="H23274" s="2"/>
    </row>
    <row r="23275" spans="1:8" x14ac:dyDescent="0.25">
      <c r="A23275" s="1"/>
      <c r="B23275" s="1" t="s">
        <v>7328</v>
      </c>
      <c r="C23275" s="1" t="s">
        <v>7329</v>
      </c>
      <c r="D23275" s="22" t="str">
        <f>HYPERLINK("https://rhld.insurance.arkansas.gov/NPILookup?Npi=1275054215","1275054215")</f>
        <v>1275054215</v>
      </c>
      <c r="E23275" s="1" t="s">
        <v>12921</v>
      </c>
      <c r="F23275" s="2"/>
      <c r="G23275" s="2"/>
      <c r="H23275" s="2"/>
    </row>
    <row r="23276" spans="1:8" x14ac:dyDescent="0.25">
      <c r="A23276" s="1"/>
      <c r="B23276" s="1" t="s">
        <v>7328</v>
      </c>
      <c r="C23276" s="1" t="s">
        <v>7329</v>
      </c>
      <c r="D23276" s="22" t="str">
        <f>HYPERLINK("https://rhld.insurance.arkansas.gov/NPILookup?Npi=1275061657","1275061657")</f>
        <v>1275061657</v>
      </c>
      <c r="E23276" s="1" t="s">
        <v>26309</v>
      </c>
      <c r="F23276" s="2"/>
      <c r="G23276" s="2"/>
      <c r="H23276" s="2"/>
    </row>
    <row r="23277" spans="1:8" x14ac:dyDescent="0.25">
      <c r="A23277" s="1"/>
      <c r="B23277" s="1" t="s">
        <v>7328</v>
      </c>
      <c r="C23277" s="1" t="s">
        <v>7329</v>
      </c>
      <c r="D23277" s="22" t="str">
        <f>HYPERLINK("https://rhld.insurance.arkansas.gov/NPILookup?Npi=1275065500","1275065500")</f>
        <v>1275065500</v>
      </c>
      <c r="E23277" s="1" t="s">
        <v>12922</v>
      </c>
      <c r="F23277" s="2"/>
      <c r="G23277" s="2"/>
      <c r="H23277" s="2"/>
    </row>
    <row r="23278" spans="1:8" x14ac:dyDescent="0.25">
      <c r="A23278" s="1"/>
      <c r="B23278" s="1" t="s">
        <v>7328</v>
      </c>
      <c r="C23278" s="1" t="s">
        <v>7329</v>
      </c>
      <c r="D23278" s="22" t="str">
        <f>HYPERLINK("https://rhld.insurance.arkansas.gov/NPILookup?Npi=1275066839","1275066839")</f>
        <v>1275066839</v>
      </c>
      <c r="E23278" s="1" t="s">
        <v>26310</v>
      </c>
      <c r="F23278" s="2"/>
      <c r="G23278" s="2"/>
      <c r="H23278" s="2"/>
    </row>
    <row r="23279" spans="1:8" x14ac:dyDescent="0.25">
      <c r="A23279" s="1"/>
      <c r="B23279" s="1" t="s">
        <v>7328</v>
      </c>
      <c r="C23279" s="1" t="s">
        <v>7329</v>
      </c>
      <c r="D23279" s="22" t="str">
        <f>HYPERLINK("https://rhld.insurance.arkansas.gov/NPILookup?Npi=1275071516","1275071516")</f>
        <v>1275071516</v>
      </c>
      <c r="E23279" s="1" t="s">
        <v>12923</v>
      </c>
      <c r="F23279" s="2"/>
      <c r="G23279" s="2"/>
      <c r="H23279" s="2"/>
    </row>
    <row r="23280" spans="1:8" x14ac:dyDescent="0.25">
      <c r="A23280" s="1"/>
      <c r="B23280" s="1" t="s">
        <v>7328</v>
      </c>
      <c r="C23280" s="1" t="s">
        <v>7329</v>
      </c>
      <c r="D23280" s="22" t="str">
        <f>HYPERLINK("https://rhld.insurance.arkansas.gov/NPILookup?Npi=1275071755","1275071755")</f>
        <v>1275071755</v>
      </c>
      <c r="E23280" s="1" t="s">
        <v>26311</v>
      </c>
      <c r="F23280" s="2"/>
      <c r="G23280" s="2"/>
      <c r="H23280" s="2"/>
    </row>
    <row r="23281" spans="1:8" x14ac:dyDescent="0.25">
      <c r="A23281" s="1"/>
      <c r="B23281" s="1" t="s">
        <v>7328</v>
      </c>
      <c r="C23281" s="1" t="s">
        <v>7329</v>
      </c>
      <c r="D23281" s="22" t="str">
        <f>HYPERLINK("https://rhld.insurance.arkansas.gov/NPILookup?Npi=1275074049","1275074049")</f>
        <v>1275074049</v>
      </c>
      <c r="E23281" s="1" t="s">
        <v>2737</v>
      </c>
      <c r="F23281" s="2"/>
      <c r="G23281" s="2"/>
      <c r="H23281" s="2"/>
    </row>
    <row r="23282" spans="1:8" x14ac:dyDescent="0.25">
      <c r="A23282" s="1"/>
      <c r="B23282" s="1" t="s">
        <v>7328</v>
      </c>
      <c r="C23282" s="1" t="s">
        <v>7329</v>
      </c>
      <c r="D23282" s="22" t="str">
        <f>HYPERLINK("https://rhld.insurance.arkansas.gov/NPILookup?Npi=1275086902","1275086902")</f>
        <v>1275086902</v>
      </c>
      <c r="E23282" s="1" t="s">
        <v>26312</v>
      </c>
      <c r="F23282" s="2"/>
      <c r="G23282" s="2"/>
      <c r="H23282" s="2"/>
    </row>
    <row r="23283" spans="1:8" x14ac:dyDescent="0.25">
      <c r="A23283" s="1"/>
      <c r="B23283" s="1" t="s">
        <v>7328</v>
      </c>
      <c r="C23283" s="1" t="s">
        <v>7329</v>
      </c>
      <c r="D23283" s="22" t="str">
        <f>HYPERLINK("https://rhld.insurance.arkansas.gov/NPILookup?Npi=1275092199","1275092199")</f>
        <v>1275092199</v>
      </c>
      <c r="E23283" s="1" t="s">
        <v>2738</v>
      </c>
      <c r="F23283" s="2"/>
      <c r="G23283" s="2"/>
      <c r="H23283" s="2"/>
    </row>
    <row r="23284" spans="1:8" x14ac:dyDescent="0.25">
      <c r="A23284" s="1"/>
      <c r="B23284" s="1" t="s">
        <v>7328</v>
      </c>
      <c r="C23284" s="1" t="s">
        <v>7329</v>
      </c>
      <c r="D23284" s="22" t="str">
        <f>HYPERLINK("https://rhld.insurance.arkansas.gov/NPILookup?Npi=1275099475","1275099475")</f>
        <v>1275099475</v>
      </c>
      <c r="E23284" s="1" t="s">
        <v>26313</v>
      </c>
      <c r="F23284" s="2"/>
      <c r="G23284" s="2"/>
      <c r="H23284" s="2"/>
    </row>
    <row r="23285" spans="1:8" x14ac:dyDescent="0.25">
      <c r="A23285" s="1"/>
      <c r="B23285" s="1" t="s">
        <v>7328</v>
      </c>
      <c r="C23285" s="1" t="s">
        <v>7329</v>
      </c>
      <c r="D23285" s="22" t="str">
        <f>HYPERLINK("https://rhld.insurance.arkansas.gov/NPILookup?Npi=1275105983","1275105983")</f>
        <v>1275105983</v>
      </c>
      <c r="E23285" s="1" t="s">
        <v>7605</v>
      </c>
      <c r="F23285" s="2"/>
      <c r="G23285" s="2"/>
      <c r="H23285" s="2"/>
    </row>
    <row r="23286" spans="1:8" x14ac:dyDescent="0.25">
      <c r="A23286" s="1"/>
      <c r="B23286" s="1" t="s">
        <v>7328</v>
      </c>
      <c r="C23286" s="1" t="s">
        <v>7329</v>
      </c>
      <c r="D23286" s="22" t="str">
        <f>HYPERLINK("https://rhld.insurance.arkansas.gov/NPILookup?Npi=1275122566","1275122566")</f>
        <v>1275122566</v>
      </c>
      <c r="E23286" s="1" t="s">
        <v>7606</v>
      </c>
      <c r="F23286" s="2"/>
      <c r="G23286" s="2"/>
      <c r="H23286" s="2"/>
    </row>
    <row r="23287" spans="1:8" x14ac:dyDescent="0.25">
      <c r="A23287" s="1"/>
      <c r="B23287" s="1" t="s">
        <v>7328</v>
      </c>
      <c r="C23287" s="1" t="s">
        <v>7329</v>
      </c>
      <c r="D23287" s="22" t="str">
        <f>HYPERLINK("https://rhld.insurance.arkansas.gov/NPILookup?Npi=1275132474","1275132474")</f>
        <v>1275132474</v>
      </c>
      <c r="E23287" s="1" t="s">
        <v>26314</v>
      </c>
      <c r="F23287" s="2"/>
      <c r="G23287" s="2"/>
      <c r="H23287" s="2"/>
    </row>
    <row r="23288" spans="1:8" x14ac:dyDescent="0.25">
      <c r="A23288" s="1"/>
      <c r="B23288" s="1" t="s">
        <v>7328</v>
      </c>
      <c r="C23288" s="1" t="s">
        <v>7329</v>
      </c>
      <c r="D23288" s="22" t="str">
        <f>HYPERLINK("https://rhld.insurance.arkansas.gov/NPILookup?Npi=1275136665","1275136665")</f>
        <v>1275136665</v>
      </c>
      <c r="E23288" s="1" t="s">
        <v>7607</v>
      </c>
      <c r="F23288" s="2"/>
      <c r="G23288" s="2"/>
      <c r="H23288" s="2"/>
    </row>
    <row r="23289" spans="1:8" x14ac:dyDescent="0.25">
      <c r="A23289" s="1"/>
      <c r="B23289" s="1" t="s">
        <v>7328</v>
      </c>
      <c r="C23289" s="1" t="s">
        <v>7329</v>
      </c>
      <c r="D23289" s="22" t="str">
        <f>HYPERLINK("https://rhld.insurance.arkansas.gov/NPILookup?Npi=1275148561","1275148561")</f>
        <v>1275148561</v>
      </c>
      <c r="E23289" s="1" t="s">
        <v>26315</v>
      </c>
      <c r="F23289" s="2"/>
      <c r="G23289" s="2"/>
      <c r="H23289" s="2"/>
    </row>
    <row r="23290" spans="1:8" x14ac:dyDescent="0.25">
      <c r="A23290" s="1"/>
      <c r="B23290" s="1" t="s">
        <v>7328</v>
      </c>
      <c r="C23290" s="1" t="s">
        <v>7329</v>
      </c>
      <c r="D23290" s="22" t="str">
        <f>HYPERLINK("https://rhld.insurance.arkansas.gov/NPILookup?Npi=1275151524","1275151524")</f>
        <v>1275151524</v>
      </c>
      <c r="E23290" s="1" t="s">
        <v>26316</v>
      </c>
      <c r="F23290" s="2"/>
      <c r="G23290" s="2"/>
      <c r="H23290" s="2"/>
    </row>
    <row r="23291" spans="1:8" x14ac:dyDescent="0.25">
      <c r="A23291" s="1"/>
      <c r="B23291" s="1" t="s">
        <v>7328</v>
      </c>
      <c r="C23291" s="1" t="s">
        <v>7329</v>
      </c>
      <c r="D23291" s="22" t="str">
        <f>HYPERLINK("https://rhld.insurance.arkansas.gov/NPILookup?Npi=1275159295","1275159295")</f>
        <v>1275159295</v>
      </c>
      <c r="E23291" s="1" t="s">
        <v>1757</v>
      </c>
      <c r="F23291" s="2"/>
      <c r="G23291" s="2"/>
      <c r="H23291" s="2"/>
    </row>
    <row r="23292" spans="1:8" x14ac:dyDescent="0.25">
      <c r="A23292" s="1"/>
      <c r="B23292" s="1" t="s">
        <v>7328</v>
      </c>
      <c r="C23292" s="1" t="s">
        <v>7329</v>
      </c>
      <c r="D23292" s="22" t="str">
        <f>HYPERLINK("https://rhld.insurance.arkansas.gov/NPILookup?Npi=1275167397","1275167397")</f>
        <v>1275167397</v>
      </c>
      <c r="E23292" s="1" t="s">
        <v>2739</v>
      </c>
      <c r="F23292" s="2"/>
      <c r="G23292" s="2"/>
      <c r="H23292" s="2"/>
    </row>
    <row r="23293" spans="1:8" x14ac:dyDescent="0.25">
      <c r="A23293" s="1"/>
      <c r="B23293" s="1" t="s">
        <v>7328</v>
      </c>
      <c r="C23293" s="1" t="s">
        <v>7329</v>
      </c>
      <c r="D23293" s="22" t="str">
        <f>HYPERLINK("https://rhld.insurance.arkansas.gov/NPILookup?Npi=1275168130","1275168130")</f>
        <v>1275168130</v>
      </c>
      <c r="E23293" s="1" t="s">
        <v>26317</v>
      </c>
      <c r="F23293" s="2"/>
      <c r="G23293" s="2"/>
      <c r="H23293" s="2"/>
    </row>
    <row r="23294" spans="1:8" x14ac:dyDescent="0.25">
      <c r="A23294" s="1"/>
      <c r="B23294" s="1" t="s">
        <v>7328</v>
      </c>
      <c r="C23294" s="1" t="s">
        <v>7329</v>
      </c>
      <c r="D23294" s="22" t="str">
        <f>HYPERLINK("https://rhld.insurance.arkansas.gov/NPILookup?Npi=1275168643","1275168643")</f>
        <v>1275168643</v>
      </c>
      <c r="E23294" s="1" t="s">
        <v>7608</v>
      </c>
      <c r="F23294" s="2"/>
      <c r="G23294" s="2"/>
      <c r="H23294" s="2"/>
    </row>
    <row r="23295" spans="1:8" x14ac:dyDescent="0.25">
      <c r="A23295" s="1"/>
      <c r="B23295" s="1" t="s">
        <v>7328</v>
      </c>
      <c r="C23295" s="1" t="s">
        <v>7329</v>
      </c>
      <c r="D23295" s="22" t="str">
        <f>HYPERLINK("https://rhld.insurance.arkansas.gov/NPILookup?Npi=1275173544","1275173544")</f>
        <v>1275173544</v>
      </c>
      <c r="E23295" s="1" t="s">
        <v>26318</v>
      </c>
      <c r="F23295" s="2"/>
      <c r="G23295" s="2"/>
      <c r="H23295" s="2"/>
    </row>
    <row r="23296" spans="1:8" x14ac:dyDescent="0.25">
      <c r="A23296" s="1"/>
      <c r="B23296" s="1" t="s">
        <v>7328</v>
      </c>
      <c r="C23296" s="1" t="s">
        <v>7329</v>
      </c>
      <c r="D23296" s="22" t="str">
        <f>HYPERLINK("https://rhld.insurance.arkansas.gov/NPILookup?Npi=1275174518","1275174518")</f>
        <v>1275174518</v>
      </c>
      <c r="E23296" s="1" t="s">
        <v>26319</v>
      </c>
      <c r="F23296" s="2"/>
      <c r="G23296" s="2"/>
      <c r="H23296" s="2"/>
    </row>
    <row r="23297" spans="1:8" x14ac:dyDescent="0.25">
      <c r="A23297" s="1"/>
      <c r="B23297" s="1" t="s">
        <v>7328</v>
      </c>
      <c r="C23297" s="1" t="s">
        <v>7329</v>
      </c>
      <c r="D23297" s="22" t="str">
        <f>HYPERLINK("https://rhld.insurance.arkansas.gov/NPILookup?Npi=1275193328","1275193328")</f>
        <v>1275193328</v>
      </c>
      <c r="E23297" s="1" t="s">
        <v>12924</v>
      </c>
      <c r="F23297" s="2"/>
      <c r="G23297" s="2"/>
      <c r="H23297" s="2"/>
    </row>
    <row r="23298" spans="1:8" x14ac:dyDescent="0.25">
      <c r="A23298" s="1"/>
      <c r="B23298" s="1" t="s">
        <v>7328</v>
      </c>
      <c r="C23298" s="1" t="s">
        <v>7329</v>
      </c>
      <c r="D23298" s="22" t="str">
        <f>HYPERLINK("https://rhld.insurance.arkansas.gov/NPILookup?Npi=1275226813","1275226813")</f>
        <v>1275226813</v>
      </c>
      <c r="E23298" s="1" t="s">
        <v>7609</v>
      </c>
      <c r="F23298" s="2"/>
      <c r="G23298" s="2"/>
      <c r="H23298" s="2"/>
    </row>
    <row r="23299" spans="1:8" x14ac:dyDescent="0.25">
      <c r="A23299" s="1"/>
      <c r="B23299" s="1" t="s">
        <v>7328</v>
      </c>
      <c r="C23299" s="1" t="s">
        <v>7329</v>
      </c>
      <c r="D23299" s="22" t="str">
        <f>HYPERLINK("https://rhld.insurance.arkansas.gov/NPILookup?Npi=1275238743","1275238743")</f>
        <v>1275238743</v>
      </c>
      <c r="E23299" s="1" t="s">
        <v>7610</v>
      </c>
      <c r="F23299" s="2"/>
      <c r="G23299" s="2"/>
      <c r="H23299" s="2"/>
    </row>
    <row r="23300" spans="1:8" x14ac:dyDescent="0.25">
      <c r="A23300" s="1"/>
      <c r="B23300" s="1" t="s">
        <v>7328</v>
      </c>
      <c r="C23300" s="1" t="s">
        <v>7329</v>
      </c>
      <c r="D23300" s="22" t="str">
        <f>HYPERLINK("https://rhld.insurance.arkansas.gov/NPILookup?Npi=1275252793","1275252793")</f>
        <v>1275252793</v>
      </c>
      <c r="E23300" s="1" t="s">
        <v>26320</v>
      </c>
      <c r="F23300" s="2"/>
      <c r="G23300" s="2"/>
      <c r="H23300" s="2"/>
    </row>
    <row r="23301" spans="1:8" x14ac:dyDescent="0.25">
      <c r="A23301" s="1"/>
      <c r="B23301" s="1" t="s">
        <v>7328</v>
      </c>
      <c r="C23301" s="1" t="s">
        <v>7329</v>
      </c>
      <c r="D23301" s="22" t="str">
        <f>HYPERLINK("https://rhld.insurance.arkansas.gov/NPILookup?Npi=1275256752","1275256752")</f>
        <v>1275256752</v>
      </c>
      <c r="E23301" s="1" t="s">
        <v>26321</v>
      </c>
      <c r="F23301" s="2"/>
      <c r="G23301" s="2"/>
      <c r="H23301" s="2"/>
    </row>
    <row r="23302" spans="1:8" x14ac:dyDescent="0.25">
      <c r="A23302" s="1"/>
      <c r="B23302" s="1" t="s">
        <v>7328</v>
      </c>
      <c r="C23302" s="1" t="s">
        <v>7329</v>
      </c>
      <c r="D23302" s="22" t="str">
        <f>HYPERLINK("https://rhld.insurance.arkansas.gov/NPILookup?Npi=1275285090","1275285090")</f>
        <v>1275285090</v>
      </c>
      <c r="E23302" s="1" t="s">
        <v>26322</v>
      </c>
      <c r="F23302" s="2"/>
      <c r="G23302" s="2"/>
      <c r="H23302" s="2"/>
    </row>
    <row r="23303" spans="1:8" x14ac:dyDescent="0.25">
      <c r="A23303" s="1"/>
      <c r="B23303" s="1" t="s">
        <v>7328</v>
      </c>
      <c r="C23303" s="1" t="s">
        <v>7329</v>
      </c>
      <c r="D23303" s="22" t="str">
        <f>HYPERLINK("https://rhld.insurance.arkansas.gov/NPILookup?Npi=1275290173","1275290173")</f>
        <v>1275290173</v>
      </c>
      <c r="E23303" s="1" t="s">
        <v>7611</v>
      </c>
      <c r="F23303" s="2"/>
      <c r="G23303" s="2"/>
      <c r="H23303" s="2"/>
    </row>
    <row r="23304" spans="1:8" x14ac:dyDescent="0.25">
      <c r="A23304" s="1"/>
      <c r="B23304" s="1" t="s">
        <v>7328</v>
      </c>
      <c r="C23304" s="1" t="s">
        <v>7329</v>
      </c>
      <c r="D23304" s="22" t="str">
        <f>HYPERLINK("https://rhld.insurance.arkansas.gov/NPILookup?Npi=1275294100","1275294100")</f>
        <v>1275294100</v>
      </c>
      <c r="E23304" s="1" t="s">
        <v>26323</v>
      </c>
      <c r="F23304" s="2"/>
      <c r="G23304" s="2"/>
      <c r="H23304" s="2"/>
    </row>
    <row r="23305" spans="1:8" x14ac:dyDescent="0.25">
      <c r="A23305" s="1"/>
      <c r="B23305" s="1" t="s">
        <v>7328</v>
      </c>
      <c r="C23305" s="1" t="s">
        <v>7329</v>
      </c>
      <c r="D23305" s="22" t="str">
        <f>HYPERLINK("https://rhld.insurance.arkansas.gov/NPILookup?Npi=1275316804","1275316804")</f>
        <v>1275316804</v>
      </c>
      <c r="E23305" s="1" t="s">
        <v>6043</v>
      </c>
      <c r="F23305" s="2"/>
      <c r="G23305" s="2"/>
      <c r="H23305" s="2"/>
    </row>
    <row r="23306" spans="1:8" x14ac:dyDescent="0.25">
      <c r="A23306" s="1"/>
      <c r="B23306" s="1" t="s">
        <v>7328</v>
      </c>
      <c r="C23306" s="1" t="s">
        <v>7329</v>
      </c>
      <c r="D23306" s="22" t="str">
        <f>HYPERLINK("https://rhld.insurance.arkansas.gov/NPILookup?Npi=1275388795","1275388795")</f>
        <v>1275388795</v>
      </c>
      <c r="E23306" s="1" t="s">
        <v>21703</v>
      </c>
      <c r="F23306" s="2"/>
      <c r="G23306" s="2"/>
      <c r="H23306" s="2"/>
    </row>
    <row r="23307" spans="1:8" x14ac:dyDescent="0.25">
      <c r="A23307" s="1"/>
      <c r="B23307" s="1" t="s">
        <v>7328</v>
      </c>
      <c r="C23307" s="1" t="s">
        <v>7329</v>
      </c>
      <c r="D23307" s="22" t="str">
        <f>HYPERLINK("https://rhld.insurance.arkansas.gov/NPILookup?Npi=1275397903","1275397903")</f>
        <v>1275397903</v>
      </c>
      <c r="E23307" s="1" t="s">
        <v>11610</v>
      </c>
      <c r="F23307" s="2"/>
      <c r="G23307" s="2"/>
      <c r="H23307" s="2"/>
    </row>
    <row r="23308" spans="1:8" x14ac:dyDescent="0.25">
      <c r="A23308" s="1"/>
      <c r="B23308" s="1" t="s">
        <v>7328</v>
      </c>
      <c r="C23308" s="1" t="s">
        <v>7329</v>
      </c>
      <c r="D23308" s="22" t="str">
        <f>HYPERLINK("https://rhld.insurance.arkansas.gov/NPILookup?Npi=1275504516","1275504516")</f>
        <v>1275504516</v>
      </c>
      <c r="E23308" s="1" t="s">
        <v>26324</v>
      </c>
      <c r="F23308" s="2"/>
      <c r="G23308" s="2"/>
      <c r="H23308" s="2"/>
    </row>
    <row r="23309" spans="1:8" x14ac:dyDescent="0.25">
      <c r="A23309" s="1"/>
      <c r="B23309" s="1" t="s">
        <v>7328</v>
      </c>
      <c r="C23309" s="1" t="s">
        <v>7329</v>
      </c>
      <c r="D23309" s="22" t="str">
        <f>HYPERLINK("https://rhld.insurance.arkansas.gov/NPILookup?Npi=1275509069","1275509069")</f>
        <v>1275509069</v>
      </c>
      <c r="E23309" s="1" t="s">
        <v>135</v>
      </c>
      <c r="F23309" s="2"/>
      <c r="G23309" s="2"/>
      <c r="H23309" s="2"/>
    </row>
    <row r="23310" spans="1:8" x14ac:dyDescent="0.25">
      <c r="A23310" s="1"/>
      <c r="B23310" s="1" t="s">
        <v>7328</v>
      </c>
      <c r="C23310" s="1" t="s">
        <v>7329</v>
      </c>
      <c r="D23310" s="22" t="str">
        <f>HYPERLINK("https://rhld.insurance.arkansas.gov/NPILookup?Npi=1275514929","1275514929")</f>
        <v>1275514929</v>
      </c>
      <c r="E23310" s="1" t="s">
        <v>26325</v>
      </c>
      <c r="F23310" s="2"/>
      <c r="G23310" s="2"/>
      <c r="H23310" s="2"/>
    </row>
    <row r="23311" spans="1:8" x14ac:dyDescent="0.25">
      <c r="A23311" s="1"/>
      <c r="B23311" s="1" t="s">
        <v>7328</v>
      </c>
      <c r="C23311" s="1" t="s">
        <v>7329</v>
      </c>
      <c r="D23311" s="22" t="str">
        <f>HYPERLINK("https://rhld.insurance.arkansas.gov/NPILookup?Npi=1275521056","1275521056")</f>
        <v>1275521056</v>
      </c>
      <c r="E23311" s="1" t="s">
        <v>26326</v>
      </c>
      <c r="F23311" s="2"/>
      <c r="G23311" s="2"/>
      <c r="H23311" s="2"/>
    </row>
    <row r="23312" spans="1:8" x14ac:dyDescent="0.25">
      <c r="A23312" s="1"/>
      <c r="B23312" s="1" t="s">
        <v>7328</v>
      </c>
      <c r="C23312" s="1" t="s">
        <v>7329</v>
      </c>
      <c r="D23312" s="22" t="str">
        <f>HYPERLINK("https://rhld.insurance.arkansas.gov/NPILookup?Npi=1275528267","1275528267")</f>
        <v>1275528267</v>
      </c>
      <c r="E23312" s="1" t="s">
        <v>26327</v>
      </c>
      <c r="F23312" s="2"/>
      <c r="G23312" s="2"/>
      <c r="H23312" s="2"/>
    </row>
    <row r="23313" spans="1:8" x14ac:dyDescent="0.25">
      <c r="A23313" s="1"/>
      <c r="B23313" s="1" t="s">
        <v>7328</v>
      </c>
      <c r="C23313" s="1" t="s">
        <v>7329</v>
      </c>
      <c r="D23313" s="22" t="str">
        <f>HYPERLINK("https://rhld.insurance.arkansas.gov/NPILookup?Npi=1275534752","1275534752")</f>
        <v>1275534752</v>
      </c>
      <c r="E23313" s="1" t="s">
        <v>12925</v>
      </c>
      <c r="F23313" s="2"/>
      <c r="G23313" s="2"/>
      <c r="H23313" s="2"/>
    </row>
    <row r="23314" spans="1:8" x14ac:dyDescent="0.25">
      <c r="A23314" s="1"/>
      <c r="B23314" s="1" t="s">
        <v>7328</v>
      </c>
      <c r="C23314" s="1" t="s">
        <v>7329</v>
      </c>
      <c r="D23314" s="22" t="str">
        <f>HYPERLINK("https://rhld.insurance.arkansas.gov/NPILookup?Npi=1275537912","1275537912")</f>
        <v>1275537912</v>
      </c>
      <c r="E23314" s="1" t="s">
        <v>26328</v>
      </c>
      <c r="F23314" s="2"/>
      <c r="G23314" s="2"/>
      <c r="H23314" s="2"/>
    </row>
    <row r="23315" spans="1:8" x14ac:dyDescent="0.25">
      <c r="A23315" s="1"/>
      <c r="B23315" s="1" t="s">
        <v>7328</v>
      </c>
      <c r="C23315" s="1" t="s">
        <v>7329</v>
      </c>
      <c r="D23315" s="22" t="str">
        <f>HYPERLINK("https://rhld.insurance.arkansas.gov/NPILookup?Npi=1275547218","1275547218")</f>
        <v>1275547218</v>
      </c>
      <c r="E23315" s="1" t="s">
        <v>26329</v>
      </c>
      <c r="F23315" s="2"/>
      <c r="G23315" s="2"/>
      <c r="H23315" s="2"/>
    </row>
    <row r="23316" spans="1:8" x14ac:dyDescent="0.25">
      <c r="A23316" s="1"/>
      <c r="B23316" s="1" t="s">
        <v>7328</v>
      </c>
      <c r="C23316" s="1" t="s">
        <v>7329</v>
      </c>
      <c r="D23316" s="22" t="str">
        <f>HYPERLINK("https://rhld.insurance.arkansas.gov/NPILookup?Npi=1275547242","1275547242")</f>
        <v>1275547242</v>
      </c>
      <c r="E23316" s="1" t="s">
        <v>26330</v>
      </c>
      <c r="F23316" s="2"/>
      <c r="G23316" s="2"/>
      <c r="H23316" s="2"/>
    </row>
    <row r="23317" spans="1:8" x14ac:dyDescent="0.25">
      <c r="A23317" s="1"/>
      <c r="B23317" s="1" t="s">
        <v>7328</v>
      </c>
      <c r="C23317" s="1" t="s">
        <v>7329</v>
      </c>
      <c r="D23317" s="22" t="str">
        <f>HYPERLINK("https://rhld.insurance.arkansas.gov/NPILookup?Npi=1275549172","1275549172")</f>
        <v>1275549172</v>
      </c>
      <c r="E23317" s="1" t="s">
        <v>12926</v>
      </c>
      <c r="F23317" s="2"/>
      <c r="G23317" s="2"/>
      <c r="H23317" s="2"/>
    </row>
    <row r="23318" spans="1:8" x14ac:dyDescent="0.25">
      <c r="A23318" s="1"/>
      <c r="B23318" s="1" t="s">
        <v>7328</v>
      </c>
      <c r="C23318" s="1" t="s">
        <v>7329</v>
      </c>
      <c r="D23318" s="22" t="str">
        <f>HYPERLINK("https://rhld.insurance.arkansas.gov/NPILookup?Npi=1275553794","1275553794")</f>
        <v>1275553794</v>
      </c>
      <c r="E23318" s="1" t="s">
        <v>26331</v>
      </c>
      <c r="F23318" s="2"/>
      <c r="G23318" s="2"/>
      <c r="H23318" s="2"/>
    </row>
    <row r="23319" spans="1:8" x14ac:dyDescent="0.25">
      <c r="A23319" s="1"/>
      <c r="B23319" s="1" t="s">
        <v>7328</v>
      </c>
      <c r="C23319" s="1" t="s">
        <v>7329</v>
      </c>
      <c r="D23319" s="22" t="str">
        <f>HYPERLINK("https://rhld.insurance.arkansas.gov/NPILookup?Npi=1275558918","1275558918")</f>
        <v>1275558918</v>
      </c>
      <c r="E23319" s="1" t="s">
        <v>26332</v>
      </c>
      <c r="F23319" s="2"/>
      <c r="G23319" s="2"/>
      <c r="H23319" s="2"/>
    </row>
    <row r="23320" spans="1:8" x14ac:dyDescent="0.25">
      <c r="A23320" s="1"/>
      <c r="B23320" s="1" t="s">
        <v>7328</v>
      </c>
      <c r="C23320" s="1" t="s">
        <v>7329</v>
      </c>
      <c r="D23320" s="22" t="str">
        <f>HYPERLINK("https://rhld.insurance.arkansas.gov/NPILookup?Npi=1275562464","1275562464")</f>
        <v>1275562464</v>
      </c>
      <c r="E23320" s="1" t="s">
        <v>2740</v>
      </c>
      <c r="F23320" s="2"/>
      <c r="G23320" s="2"/>
      <c r="H23320" s="2"/>
    </row>
    <row r="23321" spans="1:8" x14ac:dyDescent="0.25">
      <c r="A23321" s="1"/>
      <c r="B23321" s="1" t="s">
        <v>7328</v>
      </c>
      <c r="C23321" s="1" t="s">
        <v>7329</v>
      </c>
      <c r="D23321" s="22" t="str">
        <f>HYPERLINK("https://rhld.insurance.arkansas.gov/NPILookup?Npi=1275572380","1275572380")</f>
        <v>1275572380</v>
      </c>
      <c r="E23321" s="1" t="s">
        <v>2741</v>
      </c>
      <c r="F23321" s="2"/>
      <c r="G23321" s="2"/>
      <c r="H23321" s="2"/>
    </row>
    <row r="23322" spans="1:8" x14ac:dyDescent="0.25">
      <c r="A23322" s="1"/>
      <c r="B23322" s="1" t="s">
        <v>7328</v>
      </c>
      <c r="C23322" s="1" t="s">
        <v>7329</v>
      </c>
      <c r="D23322" s="22" t="str">
        <f>HYPERLINK("https://rhld.insurance.arkansas.gov/NPILookup?Npi=1275573750","1275573750")</f>
        <v>1275573750</v>
      </c>
      <c r="E23322" s="1" t="s">
        <v>26333</v>
      </c>
      <c r="F23322" s="2"/>
      <c r="G23322" s="2"/>
      <c r="H23322" s="2"/>
    </row>
    <row r="23323" spans="1:8" x14ac:dyDescent="0.25">
      <c r="A23323" s="1"/>
      <c r="B23323" s="1" t="s">
        <v>7328</v>
      </c>
      <c r="C23323" s="1" t="s">
        <v>7329</v>
      </c>
      <c r="D23323" s="22" t="str">
        <f>HYPERLINK("https://rhld.insurance.arkansas.gov/NPILookup?Npi=1275577280","1275577280")</f>
        <v>1275577280</v>
      </c>
      <c r="E23323" s="1" t="s">
        <v>26334</v>
      </c>
      <c r="F23323" s="2"/>
      <c r="G23323" s="2"/>
      <c r="H23323" s="2"/>
    </row>
    <row r="23324" spans="1:8" x14ac:dyDescent="0.25">
      <c r="A23324" s="1"/>
      <c r="B23324" s="1" t="s">
        <v>7328</v>
      </c>
      <c r="C23324" s="1" t="s">
        <v>7329</v>
      </c>
      <c r="D23324" s="22" t="str">
        <f>HYPERLINK("https://rhld.insurance.arkansas.gov/NPILookup?Npi=1275582991","1275582991")</f>
        <v>1275582991</v>
      </c>
      <c r="E23324" s="1" t="s">
        <v>17371</v>
      </c>
      <c r="F23324" s="2"/>
      <c r="G23324" s="2"/>
      <c r="H23324" s="2"/>
    </row>
    <row r="23325" spans="1:8" x14ac:dyDescent="0.25">
      <c r="A23325" s="1"/>
      <c r="B23325" s="1" t="s">
        <v>7328</v>
      </c>
      <c r="C23325" s="1" t="s">
        <v>7329</v>
      </c>
      <c r="D23325" s="22" t="str">
        <f>HYPERLINK("https://rhld.insurance.arkansas.gov/NPILookup?Npi=1275583056","1275583056")</f>
        <v>1275583056</v>
      </c>
      <c r="E23325" s="1" t="s">
        <v>17372</v>
      </c>
      <c r="F23325" s="2"/>
      <c r="G23325" s="2"/>
      <c r="H23325" s="2"/>
    </row>
    <row r="23326" spans="1:8" x14ac:dyDescent="0.25">
      <c r="A23326" s="1"/>
      <c r="B23326" s="1" t="s">
        <v>7328</v>
      </c>
      <c r="C23326" s="1" t="s">
        <v>7329</v>
      </c>
      <c r="D23326" s="22" t="str">
        <f>HYPERLINK("https://rhld.insurance.arkansas.gov/NPILookup?Npi=1275584690","1275584690")</f>
        <v>1275584690</v>
      </c>
      <c r="E23326" s="1" t="s">
        <v>12927</v>
      </c>
      <c r="F23326" s="2"/>
      <c r="G23326" s="2"/>
      <c r="H23326" s="2"/>
    </row>
    <row r="23327" spans="1:8" x14ac:dyDescent="0.25">
      <c r="A23327" s="1"/>
      <c r="B23327" s="1" t="s">
        <v>7328</v>
      </c>
      <c r="C23327" s="1" t="s">
        <v>7329</v>
      </c>
      <c r="D23327" s="22" t="str">
        <f>HYPERLINK("https://rhld.insurance.arkansas.gov/NPILookup?Npi=1275598740","1275598740")</f>
        <v>1275598740</v>
      </c>
      <c r="E23327" s="1" t="s">
        <v>12928</v>
      </c>
      <c r="F23327" s="2"/>
      <c r="G23327" s="2"/>
      <c r="H23327" s="2"/>
    </row>
    <row r="23328" spans="1:8" x14ac:dyDescent="0.25">
      <c r="A23328" s="1"/>
      <c r="B23328" s="1" t="s">
        <v>7328</v>
      </c>
      <c r="C23328" s="1" t="s">
        <v>7329</v>
      </c>
      <c r="D23328" s="22" t="str">
        <f>HYPERLINK("https://rhld.insurance.arkansas.gov/NPILookup?Npi=1275599987","1275599987")</f>
        <v>1275599987</v>
      </c>
      <c r="E23328" s="1" t="s">
        <v>136</v>
      </c>
      <c r="F23328" s="2"/>
      <c r="G23328" s="2"/>
      <c r="H23328" s="2"/>
    </row>
    <row r="23329" spans="1:8" x14ac:dyDescent="0.25">
      <c r="A23329" s="1"/>
      <c r="B23329" s="1" t="s">
        <v>7328</v>
      </c>
      <c r="C23329" s="1" t="s">
        <v>7329</v>
      </c>
      <c r="D23329" s="22" t="str">
        <f>HYPERLINK("https://rhld.insurance.arkansas.gov/NPILookup?Npi=1275601346","1275601346")</f>
        <v>1275601346</v>
      </c>
      <c r="E23329" s="1" t="s">
        <v>2742</v>
      </c>
      <c r="F23329" s="2"/>
      <c r="G23329" s="2"/>
      <c r="H23329" s="2"/>
    </row>
    <row r="23330" spans="1:8" x14ac:dyDescent="0.25">
      <c r="A23330" s="1"/>
      <c r="B23330" s="1" t="s">
        <v>7328</v>
      </c>
      <c r="C23330" s="1" t="s">
        <v>7329</v>
      </c>
      <c r="D23330" s="22" t="str">
        <f>HYPERLINK("https://rhld.insurance.arkansas.gov/NPILookup?Npi=1275605032","1275605032")</f>
        <v>1275605032</v>
      </c>
      <c r="E23330" s="1" t="s">
        <v>7627</v>
      </c>
      <c r="F23330" s="2"/>
      <c r="G23330" s="2"/>
      <c r="H23330" s="2"/>
    </row>
    <row r="23331" spans="1:8" x14ac:dyDescent="0.25">
      <c r="A23331" s="1"/>
      <c r="B23331" s="1" t="s">
        <v>7328</v>
      </c>
      <c r="C23331" s="1" t="s">
        <v>7329</v>
      </c>
      <c r="D23331" s="22" t="str">
        <f>HYPERLINK("https://rhld.insurance.arkansas.gov/NPILookup?Npi=1275624868","1275624868")</f>
        <v>1275624868</v>
      </c>
      <c r="E23331" s="1" t="s">
        <v>26335</v>
      </c>
      <c r="F23331" s="2"/>
      <c r="G23331" s="2"/>
      <c r="H23331" s="2"/>
    </row>
    <row r="23332" spans="1:8" x14ac:dyDescent="0.25">
      <c r="A23332" s="1"/>
      <c r="B23332" s="1" t="s">
        <v>7328</v>
      </c>
      <c r="C23332" s="1" t="s">
        <v>7329</v>
      </c>
      <c r="D23332" s="22" t="str">
        <f>HYPERLINK("https://rhld.insurance.arkansas.gov/NPILookup?Npi=1275628349","1275628349")</f>
        <v>1275628349</v>
      </c>
      <c r="E23332" s="1" t="s">
        <v>1087</v>
      </c>
      <c r="F23332" s="2"/>
      <c r="G23332" s="2"/>
      <c r="H23332" s="2"/>
    </row>
    <row r="23333" spans="1:8" x14ac:dyDescent="0.25">
      <c r="A23333" s="1"/>
      <c r="B23333" s="1" t="s">
        <v>7328</v>
      </c>
      <c r="C23333" s="1" t="s">
        <v>7329</v>
      </c>
      <c r="D23333" s="22" t="str">
        <f>HYPERLINK("https://rhld.insurance.arkansas.gov/NPILookup?Npi=1275632903","1275632903")</f>
        <v>1275632903</v>
      </c>
      <c r="E23333" s="1" t="s">
        <v>10262</v>
      </c>
      <c r="F23333" s="2"/>
      <c r="G23333" s="2"/>
      <c r="H23333" s="2"/>
    </row>
    <row r="23334" spans="1:8" x14ac:dyDescent="0.25">
      <c r="A23334" s="1"/>
      <c r="B23334" s="1" t="s">
        <v>7328</v>
      </c>
      <c r="C23334" s="1" t="s">
        <v>7329</v>
      </c>
      <c r="D23334" s="22" t="str">
        <f>HYPERLINK("https://rhld.insurance.arkansas.gov/NPILookup?Npi=1275638363","1275638363")</f>
        <v>1275638363</v>
      </c>
      <c r="E23334" s="1" t="s">
        <v>26336</v>
      </c>
      <c r="F23334" s="2"/>
      <c r="G23334" s="2"/>
      <c r="H23334" s="2"/>
    </row>
    <row r="23335" spans="1:8" x14ac:dyDescent="0.25">
      <c r="A23335" s="1"/>
      <c r="B23335" s="1" t="s">
        <v>7328</v>
      </c>
      <c r="C23335" s="1" t="s">
        <v>7329</v>
      </c>
      <c r="D23335" s="22" t="str">
        <f>HYPERLINK("https://rhld.insurance.arkansas.gov/NPILookup?Npi=1275638728","1275638728")</f>
        <v>1275638728</v>
      </c>
      <c r="E23335" s="1" t="s">
        <v>26337</v>
      </c>
      <c r="F23335" s="2"/>
      <c r="G23335" s="2"/>
      <c r="H23335" s="2"/>
    </row>
    <row r="23336" spans="1:8" x14ac:dyDescent="0.25">
      <c r="A23336" s="1"/>
      <c r="B23336" s="1" t="s">
        <v>7328</v>
      </c>
      <c r="C23336" s="1" t="s">
        <v>7329</v>
      </c>
      <c r="D23336" s="22" t="str">
        <f>HYPERLINK("https://rhld.insurance.arkansas.gov/NPILookup?Npi=1275733636","1275733636")</f>
        <v>1275733636</v>
      </c>
      <c r="E23336" s="1" t="s">
        <v>11258</v>
      </c>
      <c r="F23336" s="2"/>
      <c r="G23336" s="2"/>
      <c r="H23336" s="2"/>
    </row>
    <row r="23337" spans="1:8" x14ac:dyDescent="0.25">
      <c r="A23337" s="1"/>
      <c r="B23337" s="1" t="s">
        <v>7328</v>
      </c>
      <c r="C23337" s="1" t="s">
        <v>7329</v>
      </c>
      <c r="D23337" s="22" t="str">
        <f>HYPERLINK("https://rhld.insurance.arkansas.gov/NPILookup?Npi=1275751513","1275751513")</f>
        <v>1275751513</v>
      </c>
      <c r="E23337" s="1" t="s">
        <v>26338</v>
      </c>
      <c r="F23337" s="2"/>
      <c r="G23337" s="2"/>
      <c r="H23337" s="2"/>
    </row>
    <row r="23338" spans="1:8" x14ac:dyDescent="0.25">
      <c r="A23338" s="1"/>
      <c r="B23338" s="1" t="s">
        <v>7328</v>
      </c>
      <c r="C23338" s="1" t="s">
        <v>7329</v>
      </c>
      <c r="D23338" s="22" t="str">
        <f>HYPERLINK("https://rhld.insurance.arkansas.gov/NPILookup?Npi=1275757437","1275757437")</f>
        <v>1275757437</v>
      </c>
      <c r="E23338" s="1" t="s">
        <v>15767</v>
      </c>
      <c r="F23338" s="2"/>
      <c r="G23338" s="2"/>
      <c r="H23338" s="2"/>
    </row>
    <row r="23339" spans="1:8" x14ac:dyDescent="0.25">
      <c r="A23339" s="1"/>
      <c r="B23339" s="1" t="s">
        <v>7328</v>
      </c>
      <c r="C23339" s="1" t="s">
        <v>7329</v>
      </c>
      <c r="D23339" s="22" t="str">
        <f>HYPERLINK("https://rhld.insurance.arkansas.gov/NPILookup?Npi=1275762536","1275762536")</f>
        <v>1275762536</v>
      </c>
      <c r="E23339" s="1" t="s">
        <v>26339</v>
      </c>
      <c r="F23339" s="2"/>
      <c r="G23339" s="2"/>
      <c r="H23339" s="2"/>
    </row>
    <row r="23340" spans="1:8" x14ac:dyDescent="0.25">
      <c r="A23340" s="1"/>
      <c r="B23340" s="1" t="s">
        <v>7328</v>
      </c>
      <c r="C23340" s="1" t="s">
        <v>7329</v>
      </c>
      <c r="D23340" s="22" t="str">
        <f>HYPERLINK("https://rhld.insurance.arkansas.gov/NPILookup?Npi=1275774440","1275774440")</f>
        <v>1275774440</v>
      </c>
      <c r="E23340" s="1" t="s">
        <v>1997</v>
      </c>
      <c r="F23340" s="2"/>
      <c r="G23340" s="2"/>
      <c r="H23340" s="2"/>
    </row>
    <row r="23341" spans="1:8" x14ac:dyDescent="0.25">
      <c r="A23341" s="1"/>
      <c r="B23341" s="1" t="s">
        <v>7328</v>
      </c>
      <c r="C23341" s="1" t="s">
        <v>7329</v>
      </c>
      <c r="D23341" s="22" t="str">
        <f>HYPERLINK("https://rhld.insurance.arkansas.gov/NPILookup?Npi=1275780736","1275780736")</f>
        <v>1275780736</v>
      </c>
      <c r="E23341" s="1" t="s">
        <v>26340</v>
      </c>
      <c r="F23341" s="2"/>
      <c r="G23341" s="2"/>
      <c r="H23341" s="2"/>
    </row>
    <row r="23342" spans="1:8" x14ac:dyDescent="0.25">
      <c r="A23342" s="1"/>
      <c r="B23342" s="1" t="s">
        <v>7328</v>
      </c>
      <c r="C23342" s="1" t="s">
        <v>7329</v>
      </c>
      <c r="D23342" s="22" t="str">
        <f>HYPERLINK("https://rhld.insurance.arkansas.gov/NPILookup?Npi=1275791402","1275791402")</f>
        <v>1275791402</v>
      </c>
      <c r="E23342" s="1" t="s">
        <v>26341</v>
      </c>
      <c r="F23342" s="2"/>
      <c r="G23342" s="2"/>
      <c r="H23342" s="2"/>
    </row>
    <row r="23343" spans="1:8" x14ac:dyDescent="0.25">
      <c r="A23343" s="1"/>
      <c r="B23343" s="1" t="s">
        <v>7328</v>
      </c>
      <c r="C23343" s="1" t="s">
        <v>7329</v>
      </c>
      <c r="D23343" s="22" t="str">
        <f>HYPERLINK("https://rhld.insurance.arkansas.gov/NPILookup?Npi=1275798498","1275798498")</f>
        <v>1275798498</v>
      </c>
      <c r="E23343" s="1" t="s">
        <v>26342</v>
      </c>
      <c r="F23343" s="2"/>
      <c r="G23343" s="2"/>
      <c r="H23343" s="2"/>
    </row>
    <row r="23344" spans="1:8" x14ac:dyDescent="0.25">
      <c r="A23344" s="1"/>
      <c r="B23344" s="1" t="s">
        <v>7328</v>
      </c>
      <c r="C23344" s="1" t="s">
        <v>7329</v>
      </c>
      <c r="D23344" s="22" t="str">
        <f>HYPERLINK("https://rhld.insurance.arkansas.gov/NPILookup?Npi=1275800344","1275800344")</f>
        <v>1275800344</v>
      </c>
      <c r="E23344" s="1" t="s">
        <v>26343</v>
      </c>
      <c r="F23344" s="2"/>
      <c r="G23344" s="2"/>
      <c r="H23344" s="2"/>
    </row>
    <row r="23345" spans="1:8" x14ac:dyDescent="0.25">
      <c r="A23345" s="1"/>
      <c r="B23345" s="1" t="s">
        <v>7328</v>
      </c>
      <c r="C23345" s="1" t="s">
        <v>7329</v>
      </c>
      <c r="D23345" s="22" t="str">
        <f>HYPERLINK("https://rhld.insurance.arkansas.gov/NPILookup?Npi=1275823924","1275823924")</f>
        <v>1275823924</v>
      </c>
      <c r="E23345" s="1" t="s">
        <v>32174</v>
      </c>
      <c r="F23345" s="2"/>
      <c r="G23345" s="2"/>
      <c r="H23345" s="2"/>
    </row>
    <row r="23346" spans="1:8" x14ac:dyDescent="0.25">
      <c r="A23346" s="1"/>
      <c r="B23346" s="1" t="s">
        <v>7328</v>
      </c>
      <c r="C23346" s="1" t="s">
        <v>7329</v>
      </c>
      <c r="D23346" s="22" t="str">
        <f>HYPERLINK("https://rhld.insurance.arkansas.gov/NPILookup?Npi=1275840480","1275840480")</f>
        <v>1275840480</v>
      </c>
      <c r="E23346" s="1" t="s">
        <v>234</v>
      </c>
      <c r="F23346" s="2"/>
      <c r="G23346" s="2"/>
      <c r="H23346" s="2"/>
    </row>
    <row r="23347" spans="1:8" x14ac:dyDescent="0.25">
      <c r="A23347" s="1"/>
      <c r="B23347" s="1" t="s">
        <v>7328</v>
      </c>
      <c r="C23347" s="1" t="s">
        <v>7329</v>
      </c>
      <c r="D23347" s="22" t="str">
        <f>HYPERLINK("https://rhld.insurance.arkansas.gov/NPILookup?Npi=1275852188","1275852188")</f>
        <v>1275852188</v>
      </c>
      <c r="E23347" s="1" t="s">
        <v>26344</v>
      </c>
      <c r="F23347" s="2"/>
      <c r="G23347" s="2"/>
      <c r="H23347" s="2"/>
    </row>
    <row r="23348" spans="1:8" x14ac:dyDescent="0.25">
      <c r="A23348" s="1"/>
      <c r="B23348" s="1" t="s">
        <v>7328</v>
      </c>
      <c r="C23348" s="1" t="s">
        <v>7329</v>
      </c>
      <c r="D23348" s="22" t="str">
        <f>HYPERLINK("https://rhld.insurance.arkansas.gov/NPILookup?Npi=1275870057","1275870057")</f>
        <v>1275870057</v>
      </c>
      <c r="E23348" s="1" t="s">
        <v>178</v>
      </c>
      <c r="F23348" s="2"/>
      <c r="G23348" s="2"/>
      <c r="H23348" s="2"/>
    </row>
    <row r="23349" spans="1:8" x14ac:dyDescent="0.25">
      <c r="A23349" s="1"/>
      <c r="B23349" s="1" t="s">
        <v>7328</v>
      </c>
      <c r="C23349" s="1" t="s">
        <v>7329</v>
      </c>
      <c r="D23349" s="22" t="str">
        <f>HYPERLINK("https://rhld.insurance.arkansas.gov/NPILookup?Npi=1275884645","1275884645")</f>
        <v>1275884645</v>
      </c>
      <c r="E23349" s="1" t="s">
        <v>7614</v>
      </c>
      <c r="F23349" s="2"/>
      <c r="G23349" s="2"/>
      <c r="H23349" s="2"/>
    </row>
    <row r="23350" spans="1:8" x14ac:dyDescent="0.25">
      <c r="A23350" s="1"/>
      <c r="B23350" s="1" t="s">
        <v>7328</v>
      </c>
      <c r="C23350" s="1" t="s">
        <v>7329</v>
      </c>
      <c r="D23350" s="22" t="str">
        <f>HYPERLINK("https://rhld.insurance.arkansas.gov/NPILookup?Npi=1275889164","1275889164")</f>
        <v>1275889164</v>
      </c>
      <c r="E23350" s="1" t="s">
        <v>26345</v>
      </c>
      <c r="F23350" s="2"/>
      <c r="G23350" s="2"/>
      <c r="H23350" s="2"/>
    </row>
    <row r="23351" spans="1:8" x14ac:dyDescent="0.25">
      <c r="A23351" s="1"/>
      <c r="B23351" s="1" t="s">
        <v>7328</v>
      </c>
      <c r="C23351" s="1" t="s">
        <v>7329</v>
      </c>
      <c r="D23351" s="22" t="str">
        <f>HYPERLINK("https://rhld.insurance.arkansas.gov/NPILookup?Npi=1275896326","1275896326")</f>
        <v>1275896326</v>
      </c>
      <c r="E23351" s="1" t="s">
        <v>12929</v>
      </c>
      <c r="F23351" s="2"/>
      <c r="G23351" s="2"/>
      <c r="H23351" s="2"/>
    </row>
    <row r="23352" spans="1:8" x14ac:dyDescent="0.25">
      <c r="A23352" s="1"/>
      <c r="B23352" s="1" t="s">
        <v>7328</v>
      </c>
      <c r="C23352" s="1" t="s">
        <v>7329</v>
      </c>
      <c r="D23352" s="22" t="str">
        <f>HYPERLINK("https://rhld.insurance.arkansas.gov/NPILookup?Npi=1275920654","1275920654")</f>
        <v>1275920654</v>
      </c>
      <c r="E23352" s="1" t="s">
        <v>26346</v>
      </c>
      <c r="F23352" s="2"/>
      <c r="G23352" s="2"/>
      <c r="H23352" s="2"/>
    </row>
    <row r="23353" spans="1:8" x14ac:dyDescent="0.25">
      <c r="A23353" s="1"/>
      <c r="B23353" s="1" t="s">
        <v>7328</v>
      </c>
      <c r="C23353" s="1" t="s">
        <v>7329</v>
      </c>
      <c r="D23353" s="22" t="str">
        <f>HYPERLINK("https://rhld.insurance.arkansas.gov/NPILookup?Npi=1275924821","1275924821")</f>
        <v>1275924821</v>
      </c>
      <c r="E23353" s="1" t="s">
        <v>26347</v>
      </c>
      <c r="F23353" s="2"/>
      <c r="G23353" s="2"/>
      <c r="H23353" s="2"/>
    </row>
    <row r="23354" spans="1:8" x14ac:dyDescent="0.25">
      <c r="A23354" s="1"/>
      <c r="B23354" s="1" t="s">
        <v>7328</v>
      </c>
      <c r="C23354" s="1" t="s">
        <v>7329</v>
      </c>
      <c r="D23354" s="22" t="str">
        <f>HYPERLINK("https://rhld.insurance.arkansas.gov/NPILookup?Npi=1275932253","1275932253")</f>
        <v>1275932253</v>
      </c>
      <c r="E23354" s="1" t="s">
        <v>2743</v>
      </c>
      <c r="F23354" s="2"/>
      <c r="G23354" s="2"/>
      <c r="H23354" s="2"/>
    </row>
    <row r="23355" spans="1:8" x14ac:dyDescent="0.25">
      <c r="A23355" s="1"/>
      <c r="B23355" s="1" t="s">
        <v>7328</v>
      </c>
      <c r="C23355" s="1" t="s">
        <v>7329</v>
      </c>
      <c r="D23355" s="22" t="str">
        <f>HYPERLINK("https://rhld.insurance.arkansas.gov/NPILookup?Npi=1275932634","1275932634")</f>
        <v>1275932634</v>
      </c>
      <c r="E23355" s="1" t="s">
        <v>158</v>
      </c>
      <c r="F23355" s="2"/>
      <c r="G23355" s="2"/>
      <c r="H23355" s="2"/>
    </row>
    <row r="23356" spans="1:8" x14ac:dyDescent="0.25">
      <c r="A23356" s="1"/>
      <c r="B23356" s="1" t="s">
        <v>7328</v>
      </c>
      <c r="C23356" s="1" t="s">
        <v>7329</v>
      </c>
      <c r="D23356" s="22" t="str">
        <f>HYPERLINK("https://rhld.insurance.arkansas.gov/NPILookup?Npi=1275936163","1275936163")</f>
        <v>1275936163</v>
      </c>
      <c r="E23356" s="1" t="s">
        <v>1024</v>
      </c>
      <c r="F23356" s="2"/>
      <c r="G23356" s="2"/>
      <c r="H23356" s="2"/>
    </row>
    <row r="23357" spans="1:8" x14ac:dyDescent="0.25">
      <c r="A23357" s="1"/>
      <c r="B23357" s="1" t="s">
        <v>7328</v>
      </c>
      <c r="C23357" s="1" t="s">
        <v>7329</v>
      </c>
      <c r="D23357" s="22" t="str">
        <f>HYPERLINK("https://rhld.insurance.arkansas.gov/NPILookup?Npi=1275941312","1275941312")</f>
        <v>1275941312</v>
      </c>
      <c r="E23357" s="1" t="s">
        <v>160</v>
      </c>
      <c r="F23357" s="2"/>
      <c r="G23357" s="2"/>
      <c r="H23357" s="2"/>
    </row>
    <row r="23358" spans="1:8" x14ac:dyDescent="0.25">
      <c r="A23358" s="1"/>
      <c r="B23358" s="1" t="s">
        <v>7328</v>
      </c>
      <c r="C23358" s="1" t="s">
        <v>7329</v>
      </c>
      <c r="D23358" s="22" t="str">
        <f>HYPERLINK("https://rhld.insurance.arkansas.gov/NPILookup?Npi=1275946964","1275946964")</f>
        <v>1275946964</v>
      </c>
      <c r="E23358" s="1" t="s">
        <v>1093</v>
      </c>
      <c r="F23358" s="2"/>
      <c r="G23358" s="2"/>
      <c r="H23358" s="2"/>
    </row>
    <row r="23359" spans="1:8" x14ac:dyDescent="0.25">
      <c r="A23359" s="1"/>
      <c r="B23359" s="1" t="s">
        <v>7328</v>
      </c>
      <c r="C23359" s="1" t="s">
        <v>7329</v>
      </c>
      <c r="D23359" s="22" t="str">
        <f>HYPERLINK("https://rhld.insurance.arkansas.gov/NPILookup?Npi=1275959256","1275959256")</f>
        <v>1275959256</v>
      </c>
      <c r="E23359" s="1" t="s">
        <v>26349</v>
      </c>
      <c r="F23359" s="2"/>
      <c r="G23359" s="2"/>
      <c r="H23359" s="2"/>
    </row>
    <row r="23360" spans="1:8" x14ac:dyDescent="0.25">
      <c r="A23360" s="1"/>
      <c r="B23360" s="1" t="s">
        <v>7328</v>
      </c>
      <c r="C23360" s="1" t="s">
        <v>7329</v>
      </c>
      <c r="D23360" s="22" t="str">
        <f>HYPERLINK("https://rhld.insurance.arkansas.gov/NPILookup?Npi=1275964645","1275964645")</f>
        <v>1275964645</v>
      </c>
      <c r="E23360" s="1" t="s">
        <v>26350</v>
      </c>
      <c r="F23360" s="2"/>
      <c r="G23360" s="2"/>
      <c r="H23360" s="2"/>
    </row>
    <row r="23361" spans="1:8" x14ac:dyDescent="0.25">
      <c r="A23361" s="1"/>
      <c r="B23361" s="1" t="s">
        <v>7328</v>
      </c>
      <c r="C23361" s="1" t="s">
        <v>7329</v>
      </c>
      <c r="D23361" s="22" t="str">
        <f>HYPERLINK("https://rhld.insurance.arkansas.gov/NPILookup?Npi=1275984858","1275984858")</f>
        <v>1275984858</v>
      </c>
      <c r="E23361" s="1" t="s">
        <v>26351</v>
      </c>
      <c r="F23361" s="2"/>
      <c r="G23361" s="2"/>
      <c r="H23361" s="2"/>
    </row>
    <row r="23362" spans="1:8" x14ac:dyDescent="0.25">
      <c r="A23362" s="1"/>
      <c r="B23362" s="1" t="s">
        <v>7328</v>
      </c>
      <c r="C23362" s="1" t="s">
        <v>7329</v>
      </c>
      <c r="D23362" s="22" t="str">
        <f>HYPERLINK("https://rhld.insurance.arkansas.gov/NPILookup?Npi=1275988339","1275988339")</f>
        <v>1275988339</v>
      </c>
      <c r="E23362" s="1" t="s">
        <v>7615</v>
      </c>
      <c r="F23362" s="2"/>
      <c r="G23362" s="2"/>
      <c r="H23362" s="2"/>
    </row>
    <row r="23363" spans="1:8" x14ac:dyDescent="0.25">
      <c r="A23363" s="1"/>
      <c r="B23363" s="1" t="s">
        <v>7328</v>
      </c>
      <c r="C23363" s="1" t="s">
        <v>7329</v>
      </c>
      <c r="D23363" s="22" t="str">
        <f>HYPERLINK("https://rhld.insurance.arkansas.gov/NPILookup?Npi=1275995383","1275995383")</f>
        <v>1275995383</v>
      </c>
      <c r="E23363" s="1" t="s">
        <v>26352</v>
      </c>
      <c r="F23363" s="2"/>
      <c r="G23363" s="2"/>
      <c r="H23363" s="2"/>
    </row>
    <row r="23364" spans="1:8" x14ac:dyDescent="0.25">
      <c r="A23364" s="1"/>
      <c r="B23364" s="1" t="s">
        <v>7328</v>
      </c>
      <c r="C23364" s="1" t="s">
        <v>7329</v>
      </c>
      <c r="D23364" s="22" t="str">
        <f>HYPERLINK("https://rhld.insurance.arkansas.gov/NPILookup?Npi=1275998577","1275998577")</f>
        <v>1275998577</v>
      </c>
      <c r="E23364" s="1" t="s">
        <v>26354</v>
      </c>
      <c r="F23364" s="2"/>
      <c r="G23364" s="2"/>
      <c r="H23364" s="2"/>
    </row>
    <row r="23365" spans="1:8" x14ac:dyDescent="0.25">
      <c r="A23365" s="1"/>
      <c r="B23365" s="1" t="s">
        <v>7328</v>
      </c>
      <c r="C23365" s="1" t="s">
        <v>7329</v>
      </c>
      <c r="D23365" s="22" t="str">
        <f>HYPERLINK("https://rhld.insurance.arkansas.gov/NPILookup?Npi=1285003509","1285003509")</f>
        <v>1285003509</v>
      </c>
      <c r="E23365" s="1" t="s">
        <v>2744</v>
      </c>
      <c r="F23365" s="2"/>
      <c r="G23365" s="2"/>
      <c r="H23365" s="2"/>
    </row>
    <row r="23366" spans="1:8" x14ac:dyDescent="0.25">
      <c r="A23366" s="1"/>
      <c r="B23366" s="1" t="s">
        <v>7328</v>
      </c>
      <c r="C23366" s="1" t="s">
        <v>7329</v>
      </c>
      <c r="D23366" s="22" t="str">
        <f>HYPERLINK("https://rhld.insurance.arkansas.gov/NPILookup?Npi=1285017517","1285017517")</f>
        <v>1285017517</v>
      </c>
      <c r="E23366" s="1" t="s">
        <v>2745</v>
      </c>
      <c r="F23366" s="2"/>
      <c r="G23366" s="2"/>
      <c r="H23366" s="2"/>
    </row>
    <row r="23367" spans="1:8" x14ac:dyDescent="0.25">
      <c r="A23367" s="1"/>
      <c r="B23367" s="1" t="s">
        <v>7328</v>
      </c>
      <c r="C23367" s="1" t="s">
        <v>7329</v>
      </c>
      <c r="D23367" s="22" t="str">
        <f>HYPERLINK("https://rhld.insurance.arkansas.gov/NPILookup?Npi=1285019380","1285019380")</f>
        <v>1285019380</v>
      </c>
      <c r="E23367" s="1" t="s">
        <v>26355</v>
      </c>
      <c r="F23367" s="2"/>
      <c r="G23367" s="2"/>
      <c r="H23367" s="2"/>
    </row>
    <row r="23368" spans="1:8" x14ac:dyDescent="0.25">
      <c r="A23368" s="1"/>
      <c r="B23368" s="1" t="s">
        <v>7328</v>
      </c>
      <c r="C23368" s="1" t="s">
        <v>7329</v>
      </c>
      <c r="D23368" s="22" t="str">
        <f>HYPERLINK("https://rhld.insurance.arkansas.gov/NPILookup?Npi=1285022632","1285022632")</f>
        <v>1285022632</v>
      </c>
      <c r="E23368" s="1" t="s">
        <v>12930</v>
      </c>
      <c r="F23368" s="2"/>
      <c r="G23368" s="2"/>
      <c r="H23368" s="2"/>
    </row>
    <row r="23369" spans="1:8" x14ac:dyDescent="0.25">
      <c r="A23369" s="1"/>
      <c r="B23369" s="1" t="s">
        <v>7328</v>
      </c>
      <c r="C23369" s="1" t="s">
        <v>7329</v>
      </c>
      <c r="D23369" s="22" t="str">
        <f>HYPERLINK("https://rhld.insurance.arkansas.gov/NPILookup?Npi=1285023440","1285023440")</f>
        <v>1285023440</v>
      </c>
      <c r="E23369" s="1" t="s">
        <v>179</v>
      </c>
      <c r="F23369" s="2"/>
      <c r="G23369" s="2"/>
      <c r="H23369" s="2"/>
    </row>
    <row r="23370" spans="1:8" x14ac:dyDescent="0.25">
      <c r="A23370" s="1"/>
      <c r="B23370" s="1" t="s">
        <v>7328</v>
      </c>
      <c r="C23370" s="1" t="s">
        <v>7329</v>
      </c>
      <c r="D23370" s="22" t="str">
        <f>HYPERLINK("https://rhld.insurance.arkansas.gov/NPILookup?Npi=1285025262","1285025262")</f>
        <v>1285025262</v>
      </c>
      <c r="E23370" s="1" t="s">
        <v>12931</v>
      </c>
      <c r="F23370" s="2"/>
      <c r="G23370" s="2"/>
      <c r="H23370" s="2"/>
    </row>
    <row r="23371" spans="1:8" x14ac:dyDescent="0.25">
      <c r="A23371" s="1"/>
      <c r="B23371" s="1" t="s">
        <v>7328</v>
      </c>
      <c r="C23371" s="1" t="s">
        <v>7329</v>
      </c>
      <c r="D23371" s="22" t="str">
        <f>HYPERLINK("https://rhld.insurance.arkansas.gov/NPILookup?Npi=1285041665","1285041665")</f>
        <v>1285041665</v>
      </c>
      <c r="E23371" s="1" t="s">
        <v>2746</v>
      </c>
      <c r="F23371" s="2"/>
      <c r="G23371" s="2"/>
      <c r="H23371" s="2"/>
    </row>
    <row r="23372" spans="1:8" x14ac:dyDescent="0.25">
      <c r="A23372" s="1"/>
      <c r="B23372" s="1" t="s">
        <v>7328</v>
      </c>
      <c r="C23372" s="1" t="s">
        <v>7329</v>
      </c>
      <c r="D23372" s="22" t="str">
        <f>HYPERLINK("https://rhld.insurance.arkansas.gov/NPILookup?Npi=1285042259","1285042259")</f>
        <v>1285042259</v>
      </c>
      <c r="E23372" s="1" t="s">
        <v>26356</v>
      </c>
      <c r="F23372" s="2"/>
      <c r="G23372" s="2"/>
      <c r="H23372" s="2"/>
    </row>
    <row r="23373" spans="1:8" x14ac:dyDescent="0.25">
      <c r="A23373" s="1"/>
      <c r="B23373" s="1" t="s">
        <v>7328</v>
      </c>
      <c r="C23373" s="1" t="s">
        <v>7329</v>
      </c>
      <c r="D23373" s="22" t="str">
        <f>HYPERLINK("https://rhld.insurance.arkansas.gov/NPILookup?Npi=1285053983","1285053983")</f>
        <v>1285053983</v>
      </c>
      <c r="E23373" s="1" t="s">
        <v>760</v>
      </c>
      <c r="F23373" s="2"/>
      <c r="G23373" s="2"/>
      <c r="H23373" s="2"/>
    </row>
    <row r="23374" spans="1:8" x14ac:dyDescent="0.25">
      <c r="A23374" s="1"/>
      <c r="B23374" s="1" t="s">
        <v>7328</v>
      </c>
      <c r="C23374" s="1" t="s">
        <v>7329</v>
      </c>
      <c r="D23374" s="22" t="str">
        <f>HYPERLINK("https://rhld.insurance.arkansas.gov/NPILookup?Npi=1285065656","1285065656")</f>
        <v>1285065656</v>
      </c>
      <c r="E23374" s="1" t="s">
        <v>26357</v>
      </c>
      <c r="F23374" s="2"/>
      <c r="G23374" s="2"/>
      <c r="H23374" s="2"/>
    </row>
    <row r="23375" spans="1:8" x14ac:dyDescent="0.25">
      <c r="A23375" s="1"/>
      <c r="B23375" s="1" t="s">
        <v>7328</v>
      </c>
      <c r="C23375" s="1" t="s">
        <v>7329</v>
      </c>
      <c r="D23375" s="22" t="str">
        <f>HYPERLINK("https://rhld.insurance.arkansas.gov/NPILookup?Npi=1285080853","1285080853")</f>
        <v>1285080853</v>
      </c>
      <c r="E23375" s="1" t="s">
        <v>7955</v>
      </c>
      <c r="F23375" s="2"/>
      <c r="G23375" s="2"/>
      <c r="H23375" s="2"/>
    </row>
    <row r="23376" spans="1:8" x14ac:dyDescent="0.25">
      <c r="A23376" s="1"/>
      <c r="B23376" s="1" t="s">
        <v>7328</v>
      </c>
      <c r="C23376" s="1" t="s">
        <v>7329</v>
      </c>
      <c r="D23376" s="22" t="str">
        <f>HYPERLINK("https://rhld.insurance.arkansas.gov/NPILookup?Npi=1285083717","1285083717")</f>
        <v>1285083717</v>
      </c>
      <c r="E23376" s="1" t="s">
        <v>11400</v>
      </c>
      <c r="F23376" s="2"/>
      <c r="G23376" s="2"/>
      <c r="H23376" s="2"/>
    </row>
    <row r="23377" spans="1:8" x14ac:dyDescent="0.25">
      <c r="A23377" s="1"/>
      <c r="B23377" s="1" t="s">
        <v>7328</v>
      </c>
      <c r="C23377" s="1" t="s">
        <v>7329</v>
      </c>
      <c r="D23377" s="22" t="str">
        <f>HYPERLINK("https://rhld.insurance.arkansas.gov/NPILookup?Npi=1285087429","1285087429")</f>
        <v>1285087429</v>
      </c>
      <c r="E23377" s="1" t="s">
        <v>1758</v>
      </c>
      <c r="F23377" s="2"/>
      <c r="G23377" s="2"/>
      <c r="H23377" s="2"/>
    </row>
    <row r="23378" spans="1:8" x14ac:dyDescent="0.25">
      <c r="A23378" s="1"/>
      <c r="B23378" s="1" t="s">
        <v>7328</v>
      </c>
      <c r="C23378" s="1" t="s">
        <v>7329</v>
      </c>
      <c r="D23378" s="22" t="str">
        <f>HYPERLINK("https://rhld.insurance.arkansas.gov/NPILookup?Npi=1285088146","1285088146")</f>
        <v>1285088146</v>
      </c>
      <c r="E23378" s="1" t="s">
        <v>26358</v>
      </c>
      <c r="F23378" s="2"/>
      <c r="G23378" s="2"/>
      <c r="H23378" s="2"/>
    </row>
    <row r="23379" spans="1:8" x14ac:dyDescent="0.25">
      <c r="A23379" s="1"/>
      <c r="B23379" s="1" t="s">
        <v>7328</v>
      </c>
      <c r="C23379" s="1" t="s">
        <v>7329</v>
      </c>
      <c r="D23379" s="22" t="str">
        <f>HYPERLINK("https://rhld.insurance.arkansas.gov/NPILookup?Npi=1285090647","1285090647")</f>
        <v>1285090647</v>
      </c>
      <c r="E23379" s="1" t="s">
        <v>26359</v>
      </c>
      <c r="F23379" s="2"/>
      <c r="G23379" s="2"/>
      <c r="H23379" s="2"/>
    </row>
    <row r="23380" spans="1:8" x14ac:dyDescent="0.25">
      <c r="A23380" s="1"/>
      <c r="B23380" s="1" t="s">
        <v>7328</v>
      </c>
      <c r="C23380" s="1" t="s">
        <v>7329</v>
      </c>
      <c r="D23380" s="22" t="str">
        <f>HYPERLINK("https://rhld.insurance.arkansas.gov/NPILookup?Npi=1285094052","1285094052")</f>
        <v>1285094052</v>
      </c>
      <c r="E23380" s="1" t="s">
        <v>26360</v>
      </c>
      <c r="F23380" s="2"/>
      <c r="G23380" s="2"/>
      <c r="H23380" s="2"/>
    </row>
    <row r="23381" spans="1:8" x14ac:dyDescent="0.25">
      <c r="A23381" s="1"/>
      <c r="B23381" s="1" t="s">
        <v>7328</v>
      </c>
      <c r="C23381" s="1" t="s">
        <v>7329</v>
      </c>
      <c r="D23381" s="22" t="str">
        <f>HYPERLINK("https://rhld.insurance.arkansas.gov/NPILookup?Npi=1285095174","1285095174")</f>
        <v>1285095174</v>
      </c>
      <c r="E23381" s="1" t="s">
        <v>2747</v>
      </c>
      <c r="F23381" s="2"/>
      <c r="G23381" s="2"/>
      <c r="H23381" s="2"/>
    </row>
    <row r="23382" spans="1:8" x14ac:dyDescent="0.25">
      <c r="A23382" s="1"/>
      <c r="B23382" s="1" t="s">
        <v>7328</v>
      </c>
      <c r="C23382" s="1" t="s">
        <v>7329</v>
      </c>
      <c r="D23382" s="22" t="str">
        <f>HYPERLINK("https://rhld.insurance.arkansas.gov/NPILookup?Npi=1285097949","1285097949")</f>
        <v>1285097949</v>
      </c>
      <c r="E23382" s="1" t="s">
        <v>26361</v>
      </c>
      <c r="F23382" s="2"/>
      <c r="G23382" s="2"/>
      <c r="H23382" s="2"/>
    </row>
    <row r="23383" spans="1:8" x14ac:dyDescent="0.25">
      <c r="A23383" s="1"/>
      <c r="B23383" s="1" t="s">
        <v>7328</v>
      </c>
      <c r="C23383" s="1" t="s">
        <v>7329</v>
      </c>
      <c r="D23383" s="22" t="str">
        <f>HYPERLINK("https://rhld.insurance.arkansas.gov/NPILookup?Npi=1285098921","1285098921")</f>
        <v>1285098921</v>
      </c>
      <c r="E23383" s="1" t="s">
        <v>12932</v>
      </c>
      <c r="F23383" s="2"/>
      <c r="G23383" s="2"/>
      <c r="H23383" s="2"/>
    </row>
    <row r="23384" spans="1:8" x14ac:dyDescent="0.25">
      <c r="A23384" s="1"/>
      <c r="B23384" s="1" t="s">
        <v>7328</v>
      </c>
      <c r="C23384" s="1" t="s">
        <v>7329</v>
      </c>
      <c r="D23384" s="22" t="str">
        <f>HYPERLINK("https://rhld.insurance.arkansas.gov/NPILookup?Npi=1285099440","1285099440")</f>
        <v>1285099440</v>
      </c>
      <c r="E23384" s="1" t="s">
        <v>32175</v>
      </c>
      <c r="F23384" s="2"/>
      <c r="G23384" s="2"/>
      <c r="H23384" s="2"/>
    </row>
    <row r="23385" spans="1:8" x14ac:dyDescent="0.25">
      <c r="A23385" s="1"/>
      <c r="B23385" s="1" t="s">
        <v>7328</v>
      </c>
      <c r="C23385" s="1" t="s">
        <v>7329</v>
      </c>
      <c r="D23385" s="22" t="str">
        <f>HYPERLINK("https://rhld.insurance.arkansas.gov/NPILookup?Npi=1285116830","1285116830")</f>
        <v>1285116830</v>
      </c>
      <c r="E23385" s="1" t="s">
        <v>26362</v>
      </c>
      <c r="F23385" s="2"/>
      <c r="G23385" s="2"/>
      <c r="H23385" s="2"/>
    </row>
    <row r="23386" spans="1:8" x14ac:dyDescent="0.25">
      <c r="A23386" s="1"/>
      <c r="B23386" s="1" t="s">
        <v>7328</v>
      </c>
      <c r="C23386" s="1" t="s">
        <v>7329</v>
      </c>
      <c r="D23386" s="22" t="str">
        <f>HYPERLINK("https://rhld.insurance.arkansas.gov/NPILookup?Npi=1285121558","1285121558")</f>
        <v>1285121558</v>
      </c>
      <c r="E23386" s="1" t="s">
        <v>26363</v>
      </c>
      <c r="F23386" s="2"/>
      <c r="G23386" s="2"/>
      <c r="H23386" s="2"/>
    </row>
    <row r="23387" spans="1:8" x14ac:dyDescent="0.25">
      <c r="A23387" s="1"/>
      <c r="B23387" s="1" t="s">
        <v>7328</v>
      </c>
      <c r="C23387" s="1" t="s">
        <v>7329</v>
      </c>
      <c r="D23387" s="22" t="str">
        <f>HYPERLINK("https://rhld.insurance.arkansas.gov/NPILookup?Npi=1285131383","1285131383")</f>
        <v>1285131383</v>
      </c>
      <c r="E23387" s="1" t="s">
        <v>26364</v>
      </c>
      <c r="F23387" s="2"/>
      <c r="G23387" s="2"/>
      <c r="H23387" s="2"/>
    </row>
    <row r="23388" spans="1:8" x14ac:dyDescent="0.25">
      <c r="A23388" s="1"/>
      <c r="B23388" s="1" t="s">
        <v>7328</v>
      </c>
      <c r="C23388" s="1" t="s">
        <v>7329</v>
      </c>
      <c r="D23388" s="22" t="str">
        <f>HYPERLINK("https://rhld.insurance.arkansas.gov/NPILookup?Npi=1285158436","1285158436")</f>
        <v>1285158436</v>
      </c>
      <c r="E23388" s="1" t="s">
        <v>1998</v>
      </c>
      <c r="F23388" s="2"/>
      <c r="G23388" s="2"/>
      <c r="H23388" s="2"/>
    </row>
    <row r="23389" spans="1:8" x14ac:dyDescent="0.25">
      <c r="A23389" s="1"/>
      <c r="B23389" s="1" t="s">
        <v>7328</v>
      </c>
      <c r="C23389" s="1" t="s">
        <v>7329</v>
      </c>
      <c r="D23389" s="22" t="str">
        <f>HYPERLINK("https://rhld.insurance.arkansas.gov/NPILookup?Npi=1285159780","1285159780")</f>
        <v>1285159780</v>
      </c>
      <c r="E23389" s="1" t="s">
        <v>26365</v>
      </c>
      <c r="F23389" s="2"/>
      <c r="G23389" s="2"/>
      <c r="H23389" s="2"/>
    </row>
    <row r="23390" spans="1:8" x14ac:dyDescent="0.25">
      <c r="A23390" s="1"/>
      <c r="B23390" s="1" t="s">
        <v>7328</v>
      </c>
      <c r="C23390" s="1" t="s">
        <v>7329</v>
      </c>
      <c r="D23390" s="22" t="str">
        <f>HYPERLINK("https://rhld.insurance.arkansas.gov/NPILookup?Npi=1285164145","1285164145")</f>
        <v>1285164145</v>
      </c>
      <c r="E23390" s="1" t="s">
        <v>852</v>
      </c>
      <c r="F23390" s="2"/>
      <c r="G23390" s="2"/>
      <c r="H23390" s="2"/>
    </row>
    <row r="23391" spans="1:8" x14ac:dyDescent="0.25">
      <c r="A23391" s="1"/>
      <c r="B23391" s="1" t="s">
        <v>7328</v>
      </c>
      <c r="C23391" s="1" t="s">
        <v>7329</v>
      </c>
      <c r="D23391" s="22" t="str">
        <f>HYPERLINK("https://rhld.insurance.arkansas.gov/NPILookup?Npi=1285171876","1285171876")</f>
        <v>1285171876</v>
      </c>
      <c r="E23391" s="1" t="s">
        <v>21730</v>
      </c>
      <c r="F23391" s="2"/>
      <c r="G23391" s="2"/>
      <c r="H23391" s="2"/>
    </row>
    <row r="23392" spans="1:8" x14ac:dyDescent="0.25">
      <c r="A23392" s="1"/>
      <c r="B23392" s="1" t="s">
        <v>7328</v>
      </c>
      <c r="C23392" s="1" t="s">
        <v>7329</v>
      </c>
      <c r="D23392" s="22" t="str">
        <f>HYPERLINK("https://rhld.insurance.arkansas.gov/NPILookup?Npi=1285174342","1285174342")</f>
        <v>1285174342</v>
      </c>
      <c r="E23392" s="1" t="s">
        <v>1379</v>
      </c>
      <c r="F23392" s="2"/>
      <c r="G23392" s="2"/>
      <c r="H23392" s="2"/>
    </row>
    <row r="23393" spans="1:8" x14ac:dyDescent="0.25">
      <c r="A23393" s="1"/>
      <c r="B23393" s="1" t="s">
        <v>7328</v>
      </c>
      <c r="C23393" s="1" t="s">
        <v>7329</v>
      </c>
      <c r="D23393" s="22" t="str">
        <f>HYPERLINK("https://rhld.insurance.arkansas.gov/NPILookup?Npi=1285180984","1285180984")</f>
        <v>1285180984</v>
      </c>
      <c r="E23393" s="1" t="s">
        <v>12933</v>
      </c>
      <c r="F23393" s="2"/>
      <c r="G23393" s="2"/>
      <c r="H23393" s="2"/>
    </row>
    <row r="23394" spans="1:8" x14ac:dyDescent="0.25">
      <c r="A23394" s="1"/>
      <c r="B23394" s="1" t="s">
        <v>7328</v>
      </c>
      <c r="C23394" s="1" t="s">
        <v>7329</v>
      </c>
      <c r="D23394" s="22" t="str">
        <f>HYPERLINK("https://rhld.insurance.arkansas.gov/NPILookup?Npi=1285186759","1285186759")</f>
        <v>1285186759</v>
      </c>
      <c r="E23394" s="1" t="s">
        <v>26366</v>
      </c>
      <c r="F23394" s="2"/>
      <c r="G23394" s="2"/>
      <c r="H23394" s="2"/>
    </row>
    <row r="23395" spans="1:8" x14ac:dyDescent="0.25">
      <c r="A23395" s="1"/>
      <c r="B23395" s="1" t="s">
        <v>7328</v>
      </c>
      <c r="C23395" s="1" t="s">
        <v>7329</v>
      </c>
      <c r="D23395" s="22" t="str">
        <f>HYPERLINK("https://rhld.insurance.arkansas.gov/NPILookup?Npi=1285198507","1285198507")</f>
        <v>1285198507</v>
      </c>
      <c r="E23395" s="1" t="s">
        <v>26367</v>
      </c>
      <c r="F23395" s="2"/>
      <c r="G23395" s="2"/>
      <c r="H23395" s="2"/>
    </row>
    <row r="23396" spans="1:8" x14ac:dyDescent="0.25">
      <c r="A23396" s="1"/>
      <c r="B23396" s="1" t="s">
        <v>7328</v>
      </c>
      <c r="C23396" s="1" t="s">
        <v>7329</v>
      </c>
      <c r="D23396" s="22" t="str">
        <f>HYPERLINK("https://rhld.insurance.arkansas.gov/NPILookup?Npi=1285199802","1285199802")</f>
        <v>1285199802</v>
      </c>
      <c r="E23396" s="1" t="s">
        <v>2122</v>
      </c>
      <c r="F23396" s="2"/>
      <c r="G23396" s="2"/>
      <c r="H23396" s="2"/>
    </row>
    <row r="23397" spans="1:8" x14ac:dyDescent="0.25">
      <c r="A23397" s="1"/>
      <c r="B23397" s="1" t="s">
        <v>7328</v>
      </c>
      <c r="C23397" s="1" t="s">
        <v>7329</v>
      </c>
      <c r="D23397" s="22" t="str">
        <f>HYPERLINK("https://rhld.insurance.arkansas.gov/NPILookup?Npi=1285214346","1285214346")</f>
        <v>1285214346</v>
      </c>
      <c r="E23397" s="1" t="s">
        <v>31426</v>
      </c>
      <c r="F23397" s="2"/>
      <c r="G23397" s="2"/>
      <c r="H23397" s="2"/>
    </row>
    <row r="23398" spans="1:8" x14ac:dyDescent="0.25">
      <c r="A23398" s="1"/>
      <c r="B23398" s="1" t="s">
        <v>7328</v>
      </c>
      <c r="C23398" s="1" t="s">
        <v>7329</v>
      </c>
      <c r="D23398" s="22" t="str">
        <f>HYPERLINK("https://rhld.insurance.arkansas.gov/NPILookup?Npi=1285215491","1285215491")</f>
        <v>1285215491</v>
      </c>
      <c r="E23398" s="1" t="s">
        <v>26368</v>
      </c>
      <c r="F23398" s="2"/>
      <c r="G23398" s="2"/>
      <c r="H23398" s="2"/>
    </row>
    <row r="23399" spans="1:8" x14ac:dyDescent="0.25">
      <c r="A23399" s="1"/>
      <c r="B23399" s="1" t="s">
        <v>7328</v>
      </c>
      <c r="C23399" s="1" t="s">
        <v>7329</v>
      </c>
      <c r="D23399" s="22" t="str">
        <f>HYPERLINK("https://rhld.insurance.arkansas.gov/NPILookup?Npi=1285219303","1285219303")</f>
        <v>1285219303</v>
      </c>
      <c r="E23399" s="1" t="s">
        <v>7616</v>
      </c>
      <c r="F23399" s="2"/>
      <c r="G23399" s="2"/>
      <c r="H23399" s="2"/>
    </row>
    <row r="23400" spans="1:8" x14ac:dyDescent="0.25">
      <c r="A23400" s="1"/>
      <c r="B23400" s="1" t="s">
        <v>7328</v>
      </c>
      <c r="C23400" s="1" t="s">
        <v>7329</v>
      </c>
      <c r="D23400" s="22" t="str">
        <f>HYPERLINK("https://rhld.insurance.arkansas.gov/NPILookup?Npi=1285224949","1285224949")</f>
        <v>1285224949</v>
      </c>
      <c r="E23400" s="1" t="s">
        <v>26369</v>
      </c>
      <c r="F23400" s="2"/>
      <c r="G23400" s="2"/>
      <c r="H23400" s="2"/>
    </row>
    <row r="23401" spans="1:8" x14ac:dyDescent="0.25">
      <c r="A23401" s="1"/>
      <c r="B23401" s="1" t="s">
        <v>7328</v>
      </c>
      <c r="C23401" s="1" t="s">
        <v>7329</v>
      </c>
      <c r="D23401" s="22" t="str">
        <f>HYPERLINK("https://rhld.insurance.arkansas.gov/NPILookup?Npi=1285229559","1285229559")</f>
        <v>1285229559</v>
      </c>
      <c r="E23401" s="1" t="s">
        <v>26370</v>
      </c>
      <c r="F23401" s="2"/>
      <c r="G23401" s="2"/>
      <c r="H23401" s="2"/>
    </row>
    <row r="23402" spans="1:8" x14ac:dyDescent="0.25">
      <c r="A23402" s="1"/>
      <c r="B23402" s="1" t="s">
        <v>7328</v>
      </c>
      <c r="C23402" s="1" t="s">
        <v>7329</v>
      </c>
      <c r="D23402" s="22" t="str">
        <f>HYPERLINK("https://rhld.insurance.arkansas.gov/NPILookup?Npi=1285235937","1285235937")</f>
        <v>1285235937</v>
      </c>
      <c r="E23402" s="1" t="s">
        <v>7617</v>
      </c>
      <c r="F23402" s="2"/>
      <c r="G23402" s="2"/>
      <c r="H23402" s="2"/>
    </row>
    <row r="23403" spans="1:8" x14ac:dyDescent="0.25">
      <c r="A23403" s="1"/>
      <c r="B23403" s="1" t="s">
        <v>7328</v>
      </c>
      <c r="C23403" s="1" t="s">
        <v>7329</v>
      </c>
      <c r="D23403" s="22" t="str">
        <f>HYPERLINK("https://rhld.insurance.arkansas.gov/NPILookup?Npi=1285237305","1285237305")</f>
        <v>1285237305</v>
      </c>
      <c r="E23403" s="1" t="s">
        <v>26371</v>
      </c>
      <c r="F23403" s="2"/>
      <c r="G23403" s="2"/>
      <c r="H23403" s="2"/>
    </row>
    <row r="23404" spans="1:8" x14ac:dyDescent="0.25">
      <c r="A23404" s="1"/>
      <c r="B23404" s="1" t="s">
        <v>7328</v>
      </c>
      <c r="C23404" s="1" t="s">
        <v>7329</v>
      </c>
      <c r="D23404" s="22" t="str">
        <f>HYPERLINK("https://rhld.insurance.arkansas.gov/NPILookup?Npi=1285244178","1285244178")</f>
        <v>1285244178</v>
      </c>
      <c r="E23404" s="1" t="s">
        <v>26372</v>
      </c>
      <c r="F23404" s="2"/>
      <c r="G23404" s="2"/>
      <c r="H23404" s="2"/>
    </row>
    <row r="23405" spans="1:8" x14ac:dyDescent="0.25">
      <c r="A23405" s="1"/>
      <c r="B23405" s="1" t="s">
        <v>7328</v>
      </c>
      <c r="C23405" s="1" t="s">
        <v>7329</v>
      </c>
      <c r="D23405" s="22" t="str">
        <f>HYPERLINK("https://rhld.insurance.arkansas.gov/NPILookup?Npi=1285249011","1285249011")</f>
        <v>1285249011</v>
      </c>
      <c r="E23405" s="1" t="s">
        <v>26373</v>
      </c>
      <c r="F23405" s="2"/>
      <c r="G23405" s="2"/>
      <c r="H23405" s="2"/>
    </row>
    <row r="23406" spans="1:8" x14ac:dyDescent="0.25">
      <c r="A23406" s="1"/>
      <c r="B23406" s="1" t="s">
        <v>7328</v>
      </c>
      <c r="C23406" s="1" t="s">
        <v>7329</v>
      </c>
      <c r="D23406" s="22" t="str">
        <f>HYPERLINK("https://rhld.insurance.arkansas.gov/NPILookup?Npi=1285266676","1285266676")</f>
        <v>1285266676</v>
      </c>
      <c r="E23406" s="1" t="s">
        <v>26374</v>
      </c>
      <c r="F23406" s="2"/>
      <c r="G23406" s="2"/>
      <c r="H23406" s="2"/>
    </row>
    <row r="23407" spans="1:8" x14ac:dyDescent="0.25">
      <c r="A23407" s="1"/>
      <c r="B23407" s="1" t="s">
        <v>7328</v>
      </c>
      <c r="C23407" s="1" t="s">
        <v>7329</v>
      </c>
      <c r="D23407" s="22" t="str">
        <f>HYPERLINK("https://rhld.insurance.arkansas.gov/NPILookup?Npi=1285271411","1285271411")</f>
        <v>1285271411</v>
      </c>
      <c r="E23407" s="1" t="s">
        <v>26375</v>
      </c>
      <c r="F23407" s="2"/>
      <c r="G23407" s="2"/>
      <c r="H23407" s="2"/>
    </row>
    <row r="23408" spans="1:8" x14ac:dyDescent="0.25">
      <c r="A23408" s="1"/>
      <c r="B23408" s="1" t="s">
        <v>7328</v>
      </c>
      <c r="C23408" s="1" t="s">
        <v>7329</v>
      </c>
      <c r="D23408" s="22" t="str">
        <f>HYPERLINK("https://rhld.insurance.arkansas.gov/NPILookup?Npi=1285273326","1285273326")</f>
        <v>1285273326</v>
      </c>
      <c r="E23408" s="1" t="s">
        <v>26376</v>
      </c>
      <c r="F23408" s="2"/>
      <c r="G23408" s="2"/>
      <c r="H23408" s="2"/>
    </row>
    <row r="23409" spans="1:8" x14ac:dyDescent="0.25">
      <c r="A23409" s="1"/>
      <c r="B23409" s="1" t="s">
        <v>7328</v>
      </c>
      <c r="C23409" s="1" t="s">
        <v>7329</v>
      </c>
      <c r="D23409" s="22" t="str">
        <f>HYPERLINK("https://rhld.insurance.arkansas.gov/NPILookup?Npi=1285274605","1285274605")</f>
        <v>1285274605</v>
      </c>
      <c r="E23409" s="1" t="s">
        <v>26377</v>
      </c>
      <c r="F23409" s="2"/>
      <c r="G23409" s="2"/>
      <c r="H23409" s="2"/>
    </row>
    <row r="23410" spans="1:8" x14ac:dyDescent="0.25">
      <c r="A23410" s="1"/>
      <c r="B23410" s="1" t="s">
        <v>7328</v>
      </c>
      <c r="C23410" s="1" t="s">
        <v>7329</v>
      </c>
      <c r="D23410" s="22" t="str">
        <f>HYPERLINK("https://rhld.insurance.arkansas.gov/NPILookup?Npi=1285289488","1285289488")</f>
        <v>1285289488</v>
      </c>
      <c r="E23410" s="1" t="s">
        <v>26378</v>
      </c>
      <c r="F23410" s="2"/>
      <c r="G23410" s="2"/>
      <c r="H23410" s="2"/>
    </row>
    <row r="23411" spans="1:8" x14ac:dyDescent="0.25">
      <c r="A23411" s="1"/>
      <c r="B23411" s="1" t="s">
        <v>7328</v>
      </c>
      <c r="C23411" s="1" t="s">
        <v>7329</v>
      </c>
      <c r="D23411" s="22" t="str">
        <f>HYPERLINK("https://rhld.insurance.arkansas.gov/NPILookup?Npi=1285295865","1285295865")</f>
        <v>1285295865</v>
      </c>
      <c r="E23411" s="1" t="s">
        <v>26379</v>
      </c>
      <c r="F23411" s="2"/>
      <c r="G23411" s="2"/>
      <c r="H23411" s="2"/>
    </row>
    <row r="23412" spans="1:8" x14ac:dyDescent="0.25">
      <c r="A23412" s="1"/>
      <c r="B23412" s="1" t="s">
        <v>7328</v>
      </c>
      <c r="C23412" s="1" t="s">
        <v>7329</v>
      </c>
      <c r="D23412" s="22" t="str">
        <f>HYPERLINK("https://rhld.insurance.arkansas.gov/NPILookup?Npi=1285297606","1285297606")</f>
        <v>1285297606</v>
      </c>
      <c r="E23412" s="1" t="s">
        <v>26380</v>
      </c>
      <c r="F23412" s="2"/>
      <c r="G23412" s="2"/>
      <c r="H23412" s="2"/>
    </row>
    <row r="23413" spans="1:8" x14ac:dyDescent="0.25">
      <c r="A23413" s="1"/>
      <c r="B23413" s="1" t="s">
        <v>7328</v>
      </c>
      <c r="C23413" s="1" t="s">
        <v>7329</v>
      </c>
      <c r="D23413" s="22" t="str">
        <f>HYPERLINK("https://rhld.insurance.arkansas.gov/NPILookup?Npi=1285314716","1285314716")</f>
        <v>1285314716</v>
      </c>
      <c r="E23413" s="1" t="s">
        <v>7618</v>
      </c>
      <c r="F23413" s="2"/>
      <c r="G23413" s="2"/>
      <c r="H23413" s="2"/>
    </row>
    <row r="23414" spans="1:8" x14ac:dyDescent="0.25">
      <c r="A23414" s="1"/>
      <c r="B23414" s="1" t="s">
        <v>7328</v>
      </c>
      <c r="C23414" s="1" t="s">
        <v>7329</v>
      </c>
      <c r="D23414" s="22" t="str">
        <f>HYPERLINK("https://rhld.insurance.arkansas.gov/NPILookup?Npi=1285317735","1285317735")</f>
        <v>1285317735</v>
      </c>
      <c r="E23414" s="1" t="s">
        <v>5876</v>
      </c>
      <c r="F23414" s="2"/>
      <c r="G23414" s="2"/>
      <c r="H23414" s="2"/>
    </row>
    <row r="23415" spans="1:8" x14ac:dyDescent="0.25">
      <c r="A23415" s="1"/>
      <c r="B23415" s="1" t="s">
        <v>7328</v>
      </c>
      <c r="C23415" s="1" t="s">
        <v>7329</v>
      </c>
      <c r="D23415" s="22" t="str">
        <f>HYPERLINK("https://rhld.insurance.arkansas.gov/NPILookup?Npi=1285327452","1285327452")</f>
        <v>1285327452</v>
      </c>
      <c r="E23415" s="1" t="s">
        <v>7619</v>
      </c>
      <c r="F23415" s="2"/>
      <c r="G23415" s="2"/>
      <c r="H23415" s="2"/>
    </row>
    <row r="23416" spans="1:8" x14ac:dyDescent="0.25">
      <c r="A23416" s="1"/>
      <c r="B23416" s="1" t="s">
        <v>7328</v>
      </c>
      <c r="C23416" s="1" t="s">
        <v>7329</v>
      </c>
      <c r="D23416" s="22" t="str">
        <f>HYPERLINK("https://rhld.insurance.arkansas.gov/NPILookup?Npi=1285330084","1285330084")</f>
        <v>1285330084</v>
      </c>
      <c r="E23416" s="1" t="s">
        <v>26381</v>
      </c>
      <c r="F23416" s="2"/>
      <c r="G23416" s="2"/>
      <c r="H23416" s="2"/>
    </row>
    <row r="23417" spans="1:8" x14ac:dyDescent="0.25">
      <c r="A23417" s="1"/>
      <c r="B23417" s="1" t="s">
        <v>7328</v>
      </c>
      <c r="C23417" s="1" t="s">
        <v>7329</v>
      </c>
      <c r="D23417" s="22" t="str">
        <f>HYPERLINK("https://rhld.insurance.arkansas.gov/NPILookup?Npi=1285344986","1285344986")</f>
        <v>1285344986</v>
      </c>
      <c r="E23417" s="1" t="s">
        <v>7620</v>
      </c>
      <c r="F23417" s="2"/>
      <c r="G23417" s="2"/>
      <c r="H23417" s="2"/>
    </row>
    <row r="23418" spans="1:8" x14ac:dyDescent="0.25">
      <c r="A23418" s="1"/>
      <c r="B23418" s="1" t="s">
        <v>7328</v>
      </c>
      <c r="C23418" s="1" t="s">
        <v>7329</v>
      </c>
      <c r="D23418" s="22" t="str">
        <f>HYPERLINK("https://rhld.insurance.arkansas.gov/NPILookup?Npi=1285357293","1285357293")</f>
        <v>1285357293</v>
      </c>
      <c r="E23418" s="1" t="s">
        <v>7621</v>
      </c>
      <c r="F23418" s="2"/>
      <c r="G23418" s="2"/>
      <c r="H23418" s="2"/>
    </row>
    <row r="23419" spans="1:8" x14ac:dyDescent="0.25">
      <c r="A23419" s="1"/>
      <c r="B23419" s="1" t="s">
        <v>7328</v>
      </c>
      <c r="C23419" s="1" t="s">
        <v>7329</v>
      </c>
      <c r="D23419" s="22" t="str">
        <f>HYPERLINK("https://rhld.insurance.arkansas.gov/NPILookup?Npi=1285362913","1285362913")</f>
        <v>1285362913</v>
      </c>
      <c r="E23419" s="1" t="s">
        <v>26382</v>
      </c>
      <c r="F23419" s="2"/>
      <c r="G23419" s="2"/>
      <c r="H23419" s="2"/>
    </row>
    <row r="23420" spans="1:8" x14ac:dyDescent="0.25">
      <c r="A23420" s="1"/>
      <c r="B23420" s="1" t="s">
        <v>7328</v>
      </c>
      <c r="C23420" s="1" t="s">
        <v>7329</v>
      </c>
      <c r="D23420" s="22" t="str">
        <f>HYPERLINK("https://rhld.insurance.arkansas.gov/NPILookup?Npi=1285389262","1285389262")</f>
        <v>1285389262</v>
      </c>
      <c r="E23420" s="1" t="s">
        <v>26383</v>
      </c>
      <c r="F23420" s="2"/>
      <c r="G23420" s="2"/>
      <c r="H23420" s="2"/>
    </row>
    <row r="23421" spans="1:8" x14ac:dyDescent="0.25">
      <c r="A23421" s="1"/>
      <c r="B23421" s="1" t="s">
        <v>7328</v>
      </c>
      <c r="C23421" s="1" t="s">
        <v>7329</v>
      </c>
      <c r="D23421" s="22" t="str">
        <f>HYPERLINK("https://rhld.insurance.arkansas.gov/NPILookup?Npi=1285392084","1285392084")</f>
        <v>1285392084</v>
      </c>
      <c r="E23421" s="1" t="s">
        <v>18158</v>
      </c>
      <c r="F23421" s="2"/>
      <c r="G23421" s="2"/>
      <c r="H23421" s="2"/>
    </row>
    <row r="23422" spans="1:8" x14ac:dyDescent="0.25">
      <c r="A23422" s="1"/>
      <c r="B23422" s="1" t="s">
        <v>7328</v>
      </c>
      <c r="C23422" s="1" t="s">
        <v>7329</v>
      </c>
      <c r="D23422" s="22" t="str">
        <f>HYPERLINK("https://rhld.insurance.arkansas.gov/NPILookup?Npi=1285395533","1285395533")</f>
        <v>1285395533</v>
      </c>
      <c r="E23422" s="1" t="s">
        <v>26384</v>
      </c>
      <c r="F23422" s="2"/>
      <c r="G23422" s="2"/>
      <c r="H23422" s="2"/>
    </row>
    <row r="23423" spans="1:8" x14ac:dyDescent="0.25">
      <c r="A23423" s="1"/>
      <c r="B23423" s="1" t="s">
        <v>7328</v>
      </c>
      <c r="C23423" s="1" t="s">
        <v>7329</v>
      </c>
      <c r="D23423" s="22" t="str">
        <f>HYPERLINK("https://rhld.insurance.arkansas.gov/NPILookup?Npi=1285397240","1285397240")</f>
        <v>1285397240</v>
      </c>
      <c r="E23423" s="1" t="s">
        <v>26385</v>
      </c>
      <c r="F23423" s="2"/>
      <c r="G23423" s="2"/>
      <c r="H23423" s="2"/>
    </row>
    <row r="23424" spans="1:8" x14ac:dyDescent="0.25">
      <c r="A23424" s="1"/>
      <c r="B23424" s="1" t="s">
        <v>7328</v>
      </c>
      <c r="C23424" s="1" t="s">
        <v>7329</v>
      </c>
      <c r="D23424" s="22" t="str">
        <f>HYPERLINK("https://rhld.insurance.arkansas.gov/NPILookup?Npi=1285398131","1285398131")</f>
        <v>1285398131</v>
      </c>
      <c r="E23424" s="1" t="s">
        <v>7622</v>
      </c>
      <c r="F23424" s="2"/>
      <c r="G23424" s="2"/>
      <c r="H23424" s="2"/>
    </row>
    <row r="23425" spans="1:8" x14ac:dyDescent="0.25">
      <c r="A23425" s="1"/>
      <c r="B23425" s="1" t="s">
        <v>7328</v>
      </c>
      <c r="C23425" s="1" t="s">
        <v>7329</v>
      </c>
      <c r="D23425" s="22" t="str">
        <f>HYPERLINK("https://rhld.insurance.arkansas.gov/NPILookup?Npi=1285600049","1285600049")</f>
        <v>1285600049</v>
      </c>
      <c r="E23425" s="1" t="s">
        <v>26386</v>
      </c>
      <c r="F23425" s="2"/>
      <c r="G23425" s="2"/>
      <c r="H23425" s="2"/>
    </row>
    <row r="23426" spans="1:8" x14ac:dyDescent="0.25">
      <c r="A23426" s="1"/>
      <c r="B23426" s="1" t="s">
        <v>7328</v>
      </c>
      <c r="C23426" s="1" t="s">
        <v>7329</v>
      </c>
      <c r="D23426" s="22" t="str">
        <f>HYPERLINK("https://rhld.insurance.arkansas.gov/NPILookup?Npi=1285600262","1285600262")</f>
        <v>1285600262</v>
      </c>
      <c r="E23426" s="1" t="s">
        <v>26387</v>
      </c>
      <c r="F23426" s="2"/>
      <c r="G23426" s="2"/>
      <c r="H23426" s="2"/>
    </row>
    <row r="23427" spans="1:8" x14ac:dyDescent="0.25">
      <c r="A23427" s="1"/>
      <c r="B23427" s="1" t="s">
        <v>7328</v>
      </c>
      <c r="C23427" s="1" t="s">
        <v>7329</v>
      </c>
      <c r="D23427" s="22" t="str">
        <f>HYPERLINK("https://rhld.insurance.arkansas.gov/NPILookup?Npi=1285601815","1285601815")</f>
        <v>1285601815</v>
      </c>
      <c r="E23427" s="1" t="s">
        <v>137</v>
      </c>
      <c r="F23427" s="2"/>
      <c r="G23427" s="2"/>
      <c r="H23427" s="2"/>
    </row>
    <row r="23428" spans="1:8" x14ac:dyDescent="0.25">
      <c r="A23428" s="1"/>
      <c r="B23428" s="1" t="s">
        <v>7328</v>
      </c>
      <c r="C23428" s="1" t="s">
        <v>7329</v>
      </c>
      <c r="D23428" s="22" t="str">
        <f>HYPERLINK("https://rhld.insurance.arkansas.gov/NPILookup?Npi=1285612820","1285612820")</f>
        <v>1285612820</v>
      </c>
      <c r="E23428" s="1" t="s">
        <v>94</v>
      </c>
      <c r="F23428" s="2"/>
      <c r="G23428" s="2"/>
      <c r="H23428" s="2"/>
    </row>
    <row r="23429" spans="1:8" x14ac:dyDescent="0.25">
      <c r="A23429" s="1"/>
      <c r="B23429" s="1" t="s">
        <v>7328</v>
      </c>
      <c r="C23429" s="1" t="s">
        <v>7329</v>
      </c>
      <c r="D23429" s="22" t="str">
        <f>HYPERLINK("https://rhld.insurance.arkansas.gov/NPILookup?Npi=1285613323","1285613323")</f>
        <v>1285613323</v>
      </c>
      <c r="E23429" s="1" t="s">
        <v>26388</v>
      </c>
      <c r="F23429" s="2"/>
      <c r="G23429" s="2"/>
      <c r="H23429" s="2"/>
    </row>
    <row r="23430" spans="1:8" x14ac:dyDescent="0.25">
      <c r="A23430" s="1"/>
      <c r="B23430" s="1" t="s">
        <v>7328</v>
      </c>
      <c r="C23430" s="1" t="s">
        <v>7329</v>
      </c>
      <c r="D23430" s="22" t="str">
        <f>HYPERLINK("https://rhld.insurance.arkansas.gov/NPILookup?Npi=1285622076","1285622076")</f>
        <v>1285622076</v>
      </c>
      <c r="E23430" s="1" t="s">
        <v>26389</v>
      </c>
      <c r="F23430" s="2"/>
      <c r="G23430" s="2"/>
      <c r="H23430" s="2"/>
    </row>
    <row r="23431" spans="1:8" x14ac:dyDescent="0.25">
      <c r="A23431" s="1"/>
      <c r="B23431" s="1" t="s">
        <v>7328</v>
      </c>
      <c r="C23431" s="1" t="s">
        <v>7329</v>
      </c>
      <c r="D23431" s="22" t="str">
        <f>HYPERLINK("https://rhld.insurance.arkansas.gov/NPILookup?Npi=1285626994","1285626994")</f>
        <v>1285626994</v>
      </c>
      <c r="E23431" s="1" t="s">
        <v>26390</v>
      </c>
      <c r="F23431" s="2"/>
      <c r="G23431" s="2"/>
      <c r="H23431" s="2"/>
    </row>
    <row r="23432" spans="1:8" x14ac:dyDescent="0.25">
      <c r="A23432" s="1"/>
      <c r="B23432" s="1" t="s">
        <v>7328</v>
      </c>
      <c r="C23432" s="1" t="s">
        <v>7329</v>
      </c>
      <c r="D23432" s="22" t="str">
        <f>HYPERLINK("https://rhld.insurance.arkansas.gov/NPILookup?Npi=1285632224","1285632224")</f>
        <v>1285632224</v>
      </c>
      <c r="E23432" s="1" t="s">
        <v>26391</v>
      </c>
      <c r="F23432" s="2"/>
      <c r="G23432" s="2"/>
      <c r="H23432" s="2"/>
    </row>
    <row r="23433" spans="1:8" x14ac:dyDescent="0.25">
      <c r="A23433" s="1"/>
      <c r="B23433" s="1" t="s">
        <v>7328</v>
      </c>
      <c r="C23433" s="1" t="s">
        <v>7329</v>
      </c>
      <c r="D23433" s="22" t="str">
        <f>HYPERLINK("https://rhld.insurance.arkansas.gov/NPILookup?Npi=1285660464","1285660464")</f>
        <v>1285660464</v>
      </c>
      <c r="E23433" s="1" t="s">
        <v>26392</v>
      </c>
      <c r="F23433" s="2"/>
      <c r="G23433" s="2"/>
      <c r="H23433" s="2"/>
    </row>
    <row r="23434" spans="1:8" x14ac:dyDescent="0.25">
      <c r="A23434" s="1"/>
      <c r="B23434" s="1" t="s">
        <v>7328</v>
      </c>
      <c r="C23434" s="1" t="s">
        <v>7329</v>
      </c>
      <c r="D23434" s="22" t="str">
        <f>HYPERLINK("https://rhld.insurance.arkansas.gov/NPILookup?Npi=1285662791","1285662791")</f>
        <v>1285662791</v>
      </c>
      <c r="E23434" s="1" t="s">
        <v>17382</v>
      </c>
      <c r="F23434" s="2"/>
      <c r="G23434" s="2"/>
      <c r="H23434" s="2"/>
    </row>
    <row r="23435" spans="1:8" x14ac:dyDescent="0.25">
      <c r="A23435" s="1"/>
      <c r="B23435" s="1" t="s">
        <v>7328</v>
      </c>
      <c r="C23435" s="1" t="s">
        <v>7329</v>
      </c>
      <c r="D23435" s="22" t="str">
        <f>HYPERLINK("https://rhld.insurance.arkansas.gov/NPILookup?Npi=1285662957","1285662957")</f>
        <v>1285662957</v>
      </c>
      <c r="E23435" s="1" t="s">
        <v>7623</v>
      </c>
      <c r="F23435" s="2"/>
      <c r="G23435" s="2"/>
      <c r="H23435" s="2"/>
    </row>
    <row r="23436" spans="1:8" x14ac:dyDescent="0.25">
      <c r="A23436" s="1"/>
      <c r="B23436" s="1" t="s">
        <v>7328</v>
      </c>
      <c r="C23436" s="1" t="s">
        <v>7329</v>
      </c>
      <c r="D23436" s="22" t="str">
        <f>HYPERLINK("https://rhld.insurance.arkansas.gov/NPILookup?Npi=1285682849","1285682849")</f>
        <v>1285682849</v>
      </c>
      <c r="E23436" s="1" t="s">
        <v>17383</v>
      </c>
      <c r="F23436" s="2"/>
      <c r="G23436" s="2"/>
      <c r="H23436" s="2"/>
    </row>
    <row r="23437" spans="1:8" x14ac:dyDescent="0.25">
      <c r="A23437" s="1"/>
      <c r="B23437" s="1" t="s">
        <v>7328</v>
      </c>
      <c r="C23437" s="1" t="s">
        <v>7329</v>
      </c>
      <c r="D23437" s="22" t="str">
        <f>HYPERLINK("https://rhld.insurance.arkansas.gov/NPILookup?Npi=1285697839","1285697839")</f>
        <v>1285697839</v>
      </c>
      <c r="E23437" s="1" t="s">
        <v>12934</v>
      </c>
      <c r="F23437" s="2"/>
      <c r="G23437" s="2"/>
      <c r="H23437" s="2"/>
    </row>
    <row r="23438" spans="1:8" x14ac:dyDescent="0.25">
      <c r="A23438" s="1"/>
      <c r="B23438" s="1" t="s">
        <v>7328</v>
      </c>
      <c r="C23438" s="1" t="s">
        <v>7329</v>
      </c>
      <c r="D23438" s="22" t="str">
        <f>HYPERLINK("https://rhld.insurance.arkansas.gov/NPILookup?Npi=1285735183","1285735183")</f>
        <v>1285735183</v>
      </c>
      <c r="E23438" s="1" t="s">
        <v>26393</v>
      </c>
      <c r="F23438" s="2"/>
      <c r="G23438" s="2"/>
      <c r="H23438" s="2"/>
    </row>
    <row r="23439" spans="1:8" x14ac:dyDescent="0.25">
      <c r="A23439" s="1"/>
      <c r="B23439" s="1" t="s">
        <v>7328</v>
      </c>
      <c r="C23439" s="1" t="s">
        <v>7329</v>
      </c>
      <c r="D23439" s="22" t="str">
        <f>HYPERLINK("https://rhld.insurance.arkansas.gov/NPILookup?Npi=1285780643","1285780643")</f>
        <v>1285780643</v>
      </c>
      <c r="E23439" s="1" t="s">
        <v>12935</v>
      </c>
      <c r="F23439" s="2"/>
      <c r="G23439" s="2"/>
      <c r="H23439" s="2"/>
    </row>
    <row r="23440" spans="1:8" x14ac:dyDescent="0.25">
      <c r="A23440" s="1"/>
      <c r="B23440" s="1" t="s">
        <v>7328</v>
      </c>
      <c r="C23440" s="1" t="s">
        <v>7329</v>
      </c>
      <c r="D23440" s="22" t="str">
        <f>HYPERLINK("https://rhld.insurance.arkansas.gov/NPILookup?Npi=1285780809","1285780809")</f>
        <v>1285780809</v>
      </c>
      <c r="E23440" s="1" t="s">
        <v>26394</v>
      </c>
      <c r="F23440" s="2"/>
      <c r="G23440" s="2"/>
      <c r="H23440" s="2"/>
    </row>
    <row r="23441" spans="1:8" x14ac:dyDescent="0.25">
      <c r="A23441" s="1"/>
      <c r="B23441" s="1" t="s">
        <v>7328</v>
      </c>
      <c r="C23441" s="1" t="s">
        <v>7329</v>
      </c>
      <c r="D23441" s="22" t="str">
        <f>HYPERLINK("https://rhld.insurance.arkansas.gov/NPILookup?Npi=1285805150","1285805150")</f>
        <v>1285805150</v>
      </c>
      <c r="E23441" s="1" t="s">
        <v>26395</v>
      </c>
      <c r="F23441" s="2"/>
      <c r="G23441" s="2"/>
      <c r="H23441" s="2"/>
    </row>
    <row r="23442" spans="1:8" x14ac:dyDescent="0.25">
      <c r="A23442" s="1"/>
      <c r="B23442" s="1" t="s">
        <v>7328</v>
      </c>
      <c r="C23442" s="1" t="s">
        <v>7329</v>
      </c>
      <c r="D23442" s="22" t="str">
        <f>HYPERLINK("https://rhld.insurance.arkansas.gov/NPILookup?Npi=1285805358","1285805358")</f>
        <v>1285805358</v>
      </c>
      <c r="E23442" s="1" t="s">
        <v>2748</v>
      </c>
      <c r="F23442" s="2"/>
      <c r="G23442" s="2"/>
      <c r="H23442" s="2"/>
    </row>
    <row r="23443" spans="1:8" x14ac:dyDescent="0.25">
      <c r="A23443" s="1"/>
      <c r="B23443" s="1" t="s">
        <v>7328</v>
      </c>
      <c r="C23443" s="1" t="s">
        <v>7329</v>
      </c>
      <c r="D23443" s="22" t="str">
        <f>HYPERLINK("https://rhld.insurance.arkansas.gov/NPILookup?Npi=1285819227","1285819227")</f>
        <v>1285819227</v>
      </c>
      <c r="E23443" s="1" t="s">
        <v>26396</v>
      </c>
      <c r="F23443" s="2"/>
      <c r="G23443" s="2"/>
      <c r="H23443" s="2"/>
    </row>
    <row r="23444" spans="1:8" x14ac:dyDescent="0.25">
      <c r="A23444" s="1"/>
      <c r="B23444" s="1" t="s">
        <v>7328</v>
      </c>
      <c r="C23444" s="1" t="s">
        <v>7329</v>
      </c>
      <c r="D23444" s="22" t="str">
        <f>HYPERLINK("https://rhld.insurance.arkansas.gov/NPILookup?Npi=1285845727","1285845727")</f>
        <v>1285845727</v>
      </c>
      <c r="E23444" s="1" t="s">
        <v>10265</v>
      </c>
      <c r="F23444" s="2"/>
      <c r="G23444" s="2"/>
      <c r="H23444" s="2"/>
    </row>
    <row r="23445" spans="1:8" x14ac:dyDescent="0.25">
      <c r="A23445" s="1"/>
      <c r="B23445" s="1" t="s">
        <v>7328</v>
      </c>
      <c r="C23445" s="1" t="s">
        <v>7329</v>
      </c>
      <c r="D23445" s="22" t="str">
        <f>HYPERLINK("https://rhld.insurance.arkansas.gov/NPILookup?Npi=1285856971","1285856971")</f>
        <v>1285856971</v>
      </c>
      <c r="E23445" s="1" t="s">
        <v>26397</v>
      </c>
      <c r="F23445" s="2"/>
      <c r="G23445" s="2"/>
      <c r="H23445" s="2"/>
    </row>
    <row r="23446" spans="1:8" x14ac:dyDescent="0.25">
      <c r="A23446" s="1"/>
      <c r="B23446" s="1" t="s">
        <v>7328</v>
      </c>
      <c r="C23446" s="1" t="s">
        <v>7329</v>
      </c>
      <c r="D23446" s="22" t="str">
        <f>HYPERLINK("https://rhld.insurance.arkansas.gov/NPILookup?Npi=1285862540","1285862540")</f>
        <v>1285862540</v>
      </c>
      <c r="E23446" s="1" t="s">
        <v>17387</v>
      </c>
      <c r="F23446" s="2"/>
      <c r="G23446" s="2"/>
      <c r="H23446" s="2"/>
    </row>
    <row r="23447" spans="1:8" x14ac:dyDescent="0.25">
      <c r="A23447" s="1"/>
      <c r="B23447" s="1" t="s">
        <v>7328</v>
      </c>
      <c r="C23447" s="1" t="s">
        <v>7329</v>
      </c>
      <c r="D23447" s="22" t="str">
        <f>HYPERLINK("https://rhld.insurance.arkansas.gov/NPILookup?Npi=1285863423","1285863423")</f>
        <v>1285863423</v>
      </c>
      <c r="E23447" s="1" t="s">
        <v>26398</v>
      </c>
      <c r="F23447" s="2"/>
      <c r="G23447" s="2"/>
      <c r="H23447" s="2"/>
    </row>
    <row r="23448" spans="1:8" x14ac:dyDescent="0.25">
      <c r="A23448" s="1"/>
      <c r="B23448" s="1" t="s">
        <v>7328</v>
      </c>
      <c r="C23448" s="1" t="s">
        <v>7329</v>
      </c>
      <c r="D23448" s="22" t="str">
        <f>HYPERLINK("https://rhld.insurance.arkansas.gov/NPILookup?Npi=1285873984","1285873984")</f>
        <v>1285873984</v>
      </c>
      <c r="E23448" s="1" t="s">
        <v>26399</v>
      </c>
      <c r="F23448" s="2"/>
      <c r="G23448" s="2"/>
      <c r="H23448" s="2"/>
    </row>
    <row r="23449" spans="1:8" x14ac:dyDescent="0.25">
      <c r="A23449" s="1"/>
      <c r="B23449" s="1" t="s">
        <v>7328</v>
      </c>
      <c r="C23449" s="1" t="s">
        <v>7329</v>
      </c>
      <c r="D23449" s="22" t="str">
        <f>HYPERLINK("https://rhld.insurance.arkansas.gov/NPILookup?Npi=1285893966","1285893966")</f>
        <v>1285893966</v>
      </c>
      <c r="E23449" s="1" t="s">
        <v>12936</v>
      </c>
      <c r="F23449" s="2"/>
      <c r="G23449" s="2"/>
      <c r="H23449" s="2"/>
    </row>
    <row r="23450" spans="1:8" x14ac:dyDescent="0.25">
      <c r="A23450" s="1"/>
      <c r="B23450" s="1" t="s">
        <v>7328</v>
      </c>
      <c r="C23450" s="1" t="s">
        <v>7329</v>
      </c>
      <c r="D23450" s="22" t="str">
        <f>HYPERLINK("https://rhld.insurance.arkansas.gov/NPILookup?Npi=1285897553","1285897553")</f>
        <v>1285897553</v>
      </c>
      <c r="E23450" s="1" t="s">
        <v>26400</v>
      </c>
      <c r="F23450" s="2"/>
      <c r="G23450" s="2"/>
      <c r="H23450" s="2"/>
    </row>
    <row r="23451" spans="1:8" x14ac:dyDescent="0.25">
      <c r="A23451" s="1"/>
      <c r="B23451" s="1" t="s">
        <v>7328</v>
      </c>
      <c r="C23451" s="1" t="s">
        <v>7329</v>
      </c>
      <c r="D23451" s="22" t="str">
        <f>HYPERLINK("https://rhld.insurance.arkansas.gov/NPILookup?Npi=1285902841","1285902841")</f>
        <v>1285902841</v>
      </c>
      <c r="E23451" s="1" t="s">
        <v>26401</v>
      </c>
      <c r="F23451" s="2"/>
      <c r="G23451" s="2"/>
      <c r="H23451" s="2"/>
    </row>
    <row r="23452" spans="1:8" x14ac:dyDescent="0.25">
      <c r="A23452" s="1"/>
      <c r="B23452" s="1" t="s">
        <v>7328</v>
      </c>
      <c r="C23452" s="1" t="s">
        <v>7329</v>
      </c>
      <c r="D23452" s="22" t="str">
        <f>HYPERLINK("https://rhld.insurance.arkansas.gov/NPILookup?Npi=1285909903","1285909903")</f>
        <v>1285909903</v>
      </c>
      <c r="E23452" s="1" t="s">
        <v>12636</v>
      </c>
      <c r="F23452" s="2"/>
      <c r="G23452" s="2"/>
      <c r="H23452" s="2"/>
    </row>
    <row r="23453" spans="1:8" x14ac:dyDescent="0.25">
      <c r="A23453" s="1"/>
      <c r="B23453" s="1" t="s">
        <v>7328</v>
      </c>
      <c r="C23453" s="1" t="s">
        <v>7329</v>
      </c>
      <c r="D23453" s="22" t="str">
        <f>HYPERLINK("https://rhld.insurance.arkansas.gov/NPILookup?Npi=1285924761","1285924761")</f>
        <v>1285924761</v>
      </c>
      <c r="E23453" s="1" t="s">
        <v>7624</v>
      </c>
      <c r="F23453" s="2"/>
      <c r="G23453" s="2"/>
      <c r="H23453" s="2"/>
    </row>
    <row r="23454" spans="1:8" x14ac:dyDescent="0.25">
      <c r="A23454" s="1"/>
      <c r="B23454" s="1" t="s">
        <v>7328</v>
      </c>
      <c r="C23454" s="1" t="s">
        <v>7329</v>
      </c>
      <c r="D23454" s="22" t="str">
        <f>HYPERLINK("https://rhld.insurance.arkansas.gov/NPILookup?Npi=1285927277","1285927277")</f>
        <v>1285927277</v>
      </c>
      <c r="E23454" s="1" t="s">
        <v>26402</v>
      </c>
      <c r="F23454" s="2"/>
      <c r="G23454" s="2"/>
      <c r="H23454" s="2"/>
    </row>
    <row r="23455" spans="1:8" x14ac:dyDescent="0.25">
      <c r="A23455" s="1"/>
      <c r="B23455" s="1" t="s">
        <v>7328</v>
      </c>
      <c r="C23455" s="1" t="s">
        <v>7329</v>
      </c>
      <c r="D23455" s="22" t="str">
        <f>HYPERLINK("https://rhld.insurance.arkansas.gov/NPILookup?Npi=1285945915","1285945915")</f>
        <v>1285945915</v>
      </c>
      <c r="E23455" s="1" t="s">
        <v>17389</v>
      </c>
      <c r="F23455" s="2"/>
      <c r="G23455" s="2"/>
      <c r="H23455" s="2"/>
    </row>
    <row r="23456" spans="1:8" x14ac:dyDescent="0.25">
      <c r="A23456" s="1"/>
      <c r="B23456" s="1" t="s">
        <v>7328</v>
      </c>
      <c r="C23456" s="1" t="s">
        <v>7329</v>
      </c>
      <c r="D23456" s="22" t="str">
        <f>HYPERLINK("https://rhld.insurance.arkansas.gov/NPILookup?Npi=1285956904","1285956904")</f>
        <v>1285956904</v>
      </c>
      <c r="E23456" s="1" t="s">
        <v>26403</v>
      </c>
      <c r="F23456" s="2"/>
      <c r="G23456" s="2"/>
      <c r="H23456" s="2"/>
    </row>
    <row r="23457" spans="1:8" x14ac:dyDescent="0.25">
      <c r="A23457" s="1"/>
      <c r="B23457" s="1" t="s">
        <v>7328</v>
      </c>
      <c r="C23457" s="1" t="s">
        <v>7329</v>
      </c>
      <c r="D23457" s="22" t="str">
        <f>HYPERLINK("https://rhld.insurance.arkansas.gov/NPILookup?Npi=1285977769","1285977769")</f>
        <v>1285977769</v>
      </c>
      <c r="E23457" s="1" t="s">
        <v>26404</v>
      </c>
      <c r="F23457" s="2"/>
      <c r="G23457" s="2"/>
      <c r="H23457" s="2"/>
    </row>
    <row r="23458" spans="1:8" x14ac:dyDescent="0.25">
      <c r="A23458" s="1"/>
      <c r="B23458" s="1" t="s">
        <v>7328</v>
      </c>
      <c r="C23458" s="1" t="s">
        <v>7329</v>
      </c>
      <c r="D23458" s="22" t="str">
        <f>HYPERLINK("https://rhld.insurance.arkansas.gov/NPILookup?Npi=1285996306","1285996306")</f>
        <v>1285996306</v>
      </c>
      <c r="E23458" s="1" t="s">
        <v>26405</v>
      </c>
      <c r="F23458" s="2"/>
      <c r="G23458" s="2"/>
      <c r="H23458" s="2"/>
    </row>
    <row r="23459" spans="1:8" x14ac:dyDescent="0.25">
      <c r="A23459" s="1"/>
      <c r="B23459" s="1" t="s">
        <v>7328</v>
      </c>
      <c r="C23459" s="1" t="s">
        <v>7329</v>
      </c>
      <c r="D23459" s="22" t="str">
        <f>HYPERLINK("https://rhld.insurance.arkansas.gov/NPILookup?Npi=1295007342","1295007342")</f>
        <v>1295007342</v>
      </c>
      <c r="E23459" s="1" t="s">
        <v>17055</v>
      </c>
      <c r="F23459" s="2"/>
      <c r="G23459" s="2"/>
      <c r="H23459" s="2"/>
    </row>
    <row r="23460" spans="1:8" x14ac:dyDescent="0.25">
      <c r="A23460" s="1"/>
      <c r="B23460" s="1" t="s">
        <v>7328</v>
      </c>
      <c r="C23460" s="1" t="s">
        <v>7329</v>
      </c>
      <c r="D23460" s="22" t="str">
        <f>HYPERLINK("https://rhld.insurance.arkansas.gov/NPILookup?Npi=1295025914","1295025914")</f>
        <v>1295025914</v>
      </c>
      <c r="E23460" s="1" t="s">
        <v>26406</v>
      </c>
      <c r="F23460" s="2"/>
      <c r="G23460" s="2"/>
      <c r="H23460" s="2"/>
    </row>
    <row r="23461" spans="1:8" x14ac:dyDescent="0.25">
      <c r="A23461" s="1"/>
      <c r="B23461" s="1" t="s">
        <v>7328</v>
      </c>
      <c r="C23461" s="1" t="s">
        <v>7329</v>
      </c>
      <c r="D23461" s="22" t="str">
        <f>HYPERLINK("https://rhld.insurance.arkansas.gov/NPILookup?Npi=1295032514","1295032514")</f>
        <v>1295032514</v>
      </c>
      <c r="E23461" s="1" t="s">
        <v>26407</v>
      </c>
      <c r="F23461" s="2"/>
      <c r="G23461" s="2"/>
      <c r="H23461" s="2"/>
    </row>
    <row r="23462" spans="1:8" x14ac:dyDescent="0.25">
      <c r="A23462" s="1"/>
      <c r="B23462" s="1" t="s">
        <v>7328</v>
      </c>
      <c r="C23462" s="1" t="s">
        <v>7329</v>
      </c>
      <c r="D23462" s="22" t="str">
        <f>HYPERLINK("https://rhld.insurance.arkansas.gov/NPILookup?Npi=1295056687","1295056687")</f>
        <v>1295056687</v>
      </c>
      <c r="E23462" s="1" t="s">
        <v>26408</v>
      </c>
      <c r="F23462" s="2"/>
      <c r="G23462" s="2"/>
      <c r="H23462" s="2"/>
    </row>
    <row r="23463" spans="1:8" x14ac:dyDescent="0.25">
      <c r="A23463" s="1"/>
      <c r="B23463" s="1" t="s">
        <v>7328</v>
      </c>
      <c r="C23463" s="1" t="s">
        <v>7329</v>
      </c>
      <c r="D23463" s="22" t="str">
        <f>HYPERLINK("https://rhld.insurance.arkansas.gov/NPILookup?Npi=1295093532","1295093532")</f>
        <v>1295093532</v>
      </c>
      <c r="E23463" s="1" t="s">
        <v>12937</v>
      </c>
      <c r="F23463" s="2"/>
      <c r="G23463" s="2"/>
      <c r="H23463" s="2"/>
    </row>
    <row r="23464" spans="1:8" x14ac:dyDescent="0.25">
      <c r="A23464" s="1"/>
      <c r="B23464" s="1" t="s">
        <v>7328</v>
      </c>
      <c r="C23464" s="1" t="s">
        <v>7329</v>
      </c>
      <c r="D23464" s="22" t="str">
        <f>HYPERLINK("https://rhld.insurance.arkansas.gov/NPILookup?Npi=1295098036","1295098036")</f>
        <v>1295098036</v>
      </c>
      <c r="E23464" s="1" t="s">
        <v>26409</v>
      </c>
      <c r="F23464" s="2"/>
      <c r="G23464" s="2"/>
      <c r="H23464" s="2"/>
    </row>
    <row r="23465" spans="1:8" x14ac:dyDescent="0.25">
      <c r="A23465" s="1"/>
      <c r="B23465" s="1" t="s">
        <v>7328</v>
      </c>
      <c r="C23465" s="1" t="s">
        <v>7329</v>
      </c>
      <c r="D23465" s="22" t="str">
        <f>HYPERLINK("https://rhld.insurance.arkansas.gov/NPILookup?Npi=1295105930","1295105930")</f>
        <v>1295105930</v>
      </c>
      <c r="E23465" s="1" t="s">
        <v>26410</v>
      </c>
      <c r="F23465" s="2"/>
      <c r="G23465" s="2"/>
      <c r="H23465" s="2"/>
    </row>
    <row r="23466" spans="1:8" x14ac:dyDescent="0.25">
      <c r="A23466" s="1"/>
      <c r="B23466" s="1" t="s">
        <v>7328</v>
      </c>
      <c r="C23466" s="1" t="s">
        <v>7329</v>
      </c>
      <c r="D23466" s="22" t="str">
        <f>HYPERLINK("https://rhld.insurance.arkansas.gov/NPILookup?Npi=1295113272","1295113272")</f>
        <v>1295113272</v>
      </c>
      <c r="E23466" s="1" t="s">
        <v>1801</v>
      </c>
      <c r="F23466" s="2"/>
      <c r="G23466" s="2"/>
      <c r="H23466" s="2"/>
    </row>
    <row r="23467" spans="1:8" x14ac:dyDescent="0.25">
      <c r="A23467" s="1"/>
      <c r="B23467" s="1" t="s">
        <v>7328</v>
      </c>
      <c r="C23467" s="1" t="s">
        <v>7329</v>
      </c>
      <c r="D23467" s="22" t="str">
        <f>HYPERLINK("https://rhld.insurance.arkansas.gov/NPILookup?Npi=1295115236","1295115236")</f>
        <v>1295115236</v>
      </c>
      <c r="E23467" s="1" t="s">
        <v>26411</v>
      </c>
      <c r="F23467" s="2"/>
      <c r="G23467" s="2"/>
      <c r="H23467" s="2"/>
    </row>
    <row r="23468" spans="1:8" x14ac:dyDescent="0.25">
      <c r="A23468" s="1"/>
      <c r="B23468" s="1" t="s">
        <v>7328</v>
      </c>
      <c r="C23468" s="1" t="s">
        <v>7329</v>
      </c>
      <c r="D23468" s="22" t="str">
        <f>HYPERLINK("https://rhld.insurance.arkansas.gov/NPILookup?Npi=1295140374","1295140374")</f>
        <v>1295140374</v>
      </c>
      <c r="E23468" s="1" t="s">
        <v>12938</v>
      </c>
      <c r="F23468" s="2"/>
      <c r="G23468" s="2"/>
      <c r="H23468" s="2"/>
    </row>
    <row r="23469" spans="1:8" x14ac:dyDescent="0.25">
      <c r="A23469" s="1"/>
      <c r="B23469" s="1" t="s">
        <v>7328</v>
      </c>
      <c r="C23469" s="1" t="s">
        <v>7329</v>
      </c>
      <c r="D23469" s="22" t="str">
        <f>HYPERLINK("https://rhld.insurance.arkansas.gov/NPILookup?Npi=1295143980","1295143980")</f>
        <v>1295143980</v>
      </c>
      <c r="E23469" s="1" t="s">
        <v>18713</v>
      </c>
      <c r="F23469" s="2"/>
      <c r="G23469" s="2"/>
      <c r="H23469" s="2"/>
    </row>
    <row r="23470" spans="1:8" x14ac:dyDescent="0.25">
      <c r="A23470" s="1"/>
      <c r="B23470" s="1" t="s">
        <v>7328</v>
      </c>
      <c r="C23470" s="1" t="s">
        <v>7329</v>
      </c>
      <c r="D23470" s="22" t="str">
        <f>HYPERLINK("https://rhld.insurance.arkansas.gov/NPILookup?Npi=1295150787","1295150787")</f>
        <v>1295150787</v>
      </c>
      <c r="E23470" s="1" t="s">
        <v>26412</v>
      </c>
      <c r="F23470" s="2"/>
      <c r="G23470" s="2"/>
      <c r="H23470" s="2"/>
    </row>
    <row r="23471" spans="1:8" x14ac:dyDescent="0.25">
      <c r="A23471" s="1"/>
      <c r="B23471" s="1" t="s">
        <v>7328</v>
      </c>
      <c r="C23471" s="1" t="s">
        <v>7329</v>
      </c>
      <c r="D23471" s="22" t="str">
        <f>HYPERLINK("https://rhld.insurance.arkansas.gov/NPILookup?Npi=1295154714","1295154714")</f>
        <v>1295154714</v>
      </c>
      <c r="E23471" s="1" t="s">
        <v>17391</v>
      </c>
      <c r="F23471" s="2"/>
      <c r="G23471" s="2"/>
      <c r="H23471" s="2"/>
    </row>
    <row r="23472" spans="1:8" x14ac:dyDescent="0.25">
      <c r="A23472" s="1"/>
      <c r="B23472" s="1" t="s">
        <v>7328</v>
      </c>
      <c r="C23472" s="1" t="s">
        <v>7329</v>
      </c>
      <c r="D23472" s="22" t="str">
        <f>HYPERLINK("https://rhld.insurance.arkansas.gov/NPILookup?Npi=1295155844","1295155844")</f>
        <v>1295155844</v>
      </c>
      <c r="E23472" s="1" t="s">
        <v>2751</v>
      </c>
      <c r="F23472" s="2"/>
      <c r="G23472" s="2"/>
      <c r="H23472" s="2"/>
    </row>
    <row r="23473" spans="1:8" x14ac:dyDescent="0.25">
      <c r="A23473" s="1"/>
      <c r="B23473" s="1" t="s">
        <v>7328</v>
      </c>
      <c r="C23473" s="1" t="s">
        <v>7329</v>
      </c>
      <c r="D23473" s="22" t="str">
        <f>HYPERLINK("https://rhld.insurance.arkansas.gov/NPILookup?Npi=1295158913","1295158913")</f>
        <v>1295158913</v>
      </c>
      <c r="E23473" s="1" t="s">
        <v>13617</v>
      </c>
      <c r="F23473" s="2"/>
      <c r="G23473" s="2"/>
      <c r="H23473" s="2"/>
    </row>
    <row r="23474" spans="1:8" x14ac:dyDescent="0.25">
      <c r="A23474" s="1"/>
      <c r="B23474" s="1" t="s">
        <v>7328</v>
      </c>
      <c r="C23474" s="1" t="s">
        <v>7329</v>
      </c>
      <c r="D23474" s="22" t="str">
        <f>HYPERLINK("https://rhld.insurance.arkansas.gov/NPILookup?Npi=1295185106","1295185106")</f>
        <v>1295185106</v>
      </c>
      <c r="E23474" s="1" t="s">
        <v>26413</v>
      </c>
      <c r="F23474" s="2"/>
      <c r="G23474" s="2"/>
      <c r="H23474" s="2"/>
    </row>
    <row r="23475" spans="1:8" x14ac:dyDescent="0.25">
      <c r="A23475" s="1"/>
      <c r="B23475" s="1" t="s">
        <v>7328</v>
      </c>
      <c r="C23475" s="1" t="s">
        <v>7329</v>
      </c>
      <c r="D23475" s="22" t="str">
        <f>HYPERLINK("https://rhld.insurance.arkansas.gov/NPILookup?Npi=1295187789","1295187789")</f>
        <v>1295187789</v>
      </c>
      <c r="E23475" s="1" t="s">
        <v>7625</v>
      </c>
      <c r="F23475" s="2"/>
      <c r="G23475" s="2"/>
      <c r="H23475" s="2"/>
    </row>
    <row r="23476" spans="1:8" x14ac:dyDescent="0.25">
      <c r="A23476" s="1"/>
      <c r="B23476" s="1" t="s">
        <v>7328</v>
      </c>
      <c r="C23476" s="1" t="s">
        <v>7329</v>
      </c>
      <c r="D23476" s="22" t="str">
        <f>HYPERLINK("https://rhld.insurance.arkansas.gov/NPILookup?Npi=1295192847","1295192847")</f>
        <v>1295192847</v>
      </c>
      <c r="E23476" s="1" t="s">
        <v>26414</v>
      </c>
      <c r="F23476" s="2"/>
      <c r="G23476" s="2"/>
      <c r="H23476" s="2"/>
    </row>
    <row r="23477" spans="1:8" x14ac:dyDescent="0.25">
      <c r="A23477" s="1"/>
      <c r="B23477" s="1" t="s">
        <v>7328</v>
      </c>
      <c r="C23477" s="1" t="s">
        <v>7329</v>
      </c>
      <c r="D23477" s="22" t="str">
        <f>HYPERLINK("https://rhld.insurance.arkansas.gov/NPILookup?Npi=1295193191","1295193191")</f>
        <v>1295193191</v>
      </c>
      <c r="E23477" s="1" t="s">
        <v>12939</v>
      </c>
      <c r="F23477" s="2"/>
      <c r="G23477" s="2"/>
      <c r="H23477" s="2"/>
    </row>
    <row r="23478" spans="1:8" x14ac:dyDescent="0.25">
      <c r="A23478" s="1"/>
      <c r="B23478" s="1" t="s">
        <v>7328</v>
      </c>
      <c r="C23478" s="1" t="s">
        <v>7329</v>
      </c>
      <c r="D23478" s="22" t="str">
        <f>HYPERLINK("https://rhld.insurance.arkansas.gov/NPILookup?Npi=1295209500","1295209500")</f>
        <v>1295209500</v>
      </c>
      <c r="E23478" s="1" t="s">
        <v>26415</v>
      </c>
      <c r="F23478" s="2"/>
      <c r="G23478" s="2"/>
      <c r="H23478" s="2"/>
    </row>
    <row r="23479" spans="1:8" x14ac:dyDescent="0.25">
      <c r="A23479" s="1"/>
      <c r="B23479" s="1" t="s">
        <v>7328</v>
      </c>
      <c r="C23479" s="1" t="s">
        <v>7329</v>
      </c>
      <c r="D23479" s="22" t="str">
        <f>HYPERLINK("https://rhld.insurance.arkansas.gov/NPILookup?Npi=1295218899","1295218899")</f>
        <v>1295218899</v>
      </c>
      <c r="E23479" s="1" t="s">
        <v>26416</v>
      </c>
      <c r="F23479" s="2"/>
      <c r="G23479" s="2"/>
      <c r="H23479" s="2"/>
    </row>
    <row r="23480" spans="1:8" x14ac:dyDescent="0.25">
      <c r="A23480" s="1"/>
      <c r="B23480" s="1" t="s">
        <v>7328</v>
      </c>
      <c r="C23480" s="1" t="s">
        <v>7329</v>
      </c>
      <c r="D23480" s="22" t="str">
        <f>HYPERLINK("https://rhld.insurance.arkansas.gov/NPILookup?Npi=1295228468","1295228468")</f>
        <v>1295228468</v>
      </c>
      <c r="E23480" s="1" t="s">
        <v>7626</v>
      </c>
      <c r="F23480" s="2"/>
      <c r="G23480" s="2"/>
      <c r="H23480" s="2"/>
    </row>
    <row r="23481" spans="1:8" x14ac:dyDescent="0.25">
      <c r="A23481" s="1"/>
      <c r="B23481" s="1" t="s">
        <v>7328</v>
      </c>
      <c r="C23481" s="1" t="s">
        <v>7329</v>
      </c>
      <c r="D23481" s="22" t="str">
        <f>HYPERLINK("https://rhld.insurance.arkansas.gov/NPILookup?Npi=1295231504","1295231504")</f>
        <v>1295231504</v>
      </c>
      <c r="E23481" s="1" t="s">
        <v>26417</v>
      </c>
      <c r="F23481" s="2"/>
      <c r="G23481" s="2"/>
      <c r="H23481" s="2"/>
    </row>
    <row r="23482" spans="1:8" x14ac:dyDescent="0.25">
      <c r="A23482" s="1"/>
      <c r="B23482" s="1" t="s">
        <v>7328</v>
      </c>
      <c r="C23482" s="1" t="s">
        <v>7329</v>
      </c>
      <c r="D23482" s="22" t="str">
        <f>HYPERLINK("https://rhld.insurance.arkansas.gov/NPILookup?Npi=1295231512","1295231512")</f>
        <v>1295231512</v>
      </c>
      <c r="E23482" s="1" t="s">
        <v>26418</v>
      </c>
      <c r="F23482" s="2"/>
      <c r="G23482" s="2"/>
      <c r="H23482" s="2"/>
    </row>
    <row r="23483" spans="1:8" x14ac:dyDescent="0.25">
      <c r="A23483" s="1"/>
      <c r="B23483" s="1" t="s">
        <v>7328</v>
      </c>
      <c r="C23483" s="1" t="s">
        <v>7329</v>
      </c>
      <c r="D23483" s="22" t="str">
        <f>HYPERLINK("https://rhld.insurance.arkansas.gov/NPILookup?Npi=1295232767","1295232767")</f>
        <v>1295232767</v>
      </c>
      <c r="E23483" s="1" t="s">
        <v>26419</v>
      </c>
      <c r="F23483" s="2"/>
      <c r="G23483" s="2"/>
      <c r="H23483" s="2"/>
    </row>
    <row r="23484" spans="1:8" x14ac:dyDescent="0.25">
      <c r="A23484" s="1"/>
      <c r="B23484" s="1" t="s">
        <v>7328</v>
      </c>
      <c r="C23484" s="1" t="s">
        <v>7329</v>
      </c>
      <c r="D23484" s="22" t="str">
        <f>HYPERLINK("https://rhld.insurance.arkansas.gov/NPILookup?Npi=1295235331","1295235331")</f>
        <v>1295235331</v>
      </c>
      <c r="E23484" s="1" t="s">
        <v>26420</v>
      </c>
      <c r="F23484" s="2"/>
      <c r="G23484" s="2"/>
      <c r="H23484" s="2"/>
    </row>
    <row r="23485" spans="1:8" x14ac:dyDescent="0.25">
      <c r="A23485" s="1"/>
      <c r="B23485" s="1" t="s">
        <v>7328</v>
      </c>
      <c r="C23485" s="1" t="s">
        <v>7329</v>
      </c>
      <c r="D23485" s="22" t="str">
        <f>HYPERLINK("https://rhld.insurance.arkansas.gov/NPILookup?Npi=1295235570","1295235570")</f>
        <v>1295235570</v>
      </c>
      <c r="E23485" s="1" t="s">
        <v>12940</v>
      </c>
      <c r="F23485" s="2"/>
      <c r="G23485" s="2"/>
      <c r="H23485" s="2"/>
    </row>
    <row r="23486" spans="1:8" x14ac:dyDescent="0.25">
      <c r="A23486" s="1"/>
      <c r="B23486" s="1" t="s">
        <v>7328</v>
      </c>
      <c r="C23486" s="1" t="s">
        <v>7329</v>
      </c>
      <c r="D23486" s="22" t="str">
        <f>HYPERLINK("https://rhld.insurance.arkansas.gov/NPILookup?Npi=1295238160","1295238160")</f>
        <v>1295238160</v>
      </c>
      <c r="E23486" s="1" t="s">
        <v>4274</v>
      </c>
      <c r="F23486" s="2"/>
      <c r="G23486" s="2"/>
      <c r="H23486" s="2"/>
    </row>
    <row r="23487" spans="1:8" x14ac:dyDescent="0.25">
      <c r="A23487" s="1"/>
      <c r="B23487" s="1" t="s">
        <v>7328</v>
      </c>
      <c r="C23487" s="1" t="s">
        <v>7329</v>
      </c>
      <c r="D23487" s="22" t="str">
        <f>HYPERLINK("https://rhld.insurance.arkansas.gov/NPILookup?Npi=1295239408","1295239408")</f>
        <v>1295239408</v>
      </c>
      <c r="E23487" s="1" t="s">
        <v>26421</v>
      </c>
      <c r="F23487" s="2"/>
      <c r="G23487" s="2"/>
      <c r="H23487" s="2"/>
    </row>
    <row r="23488" spans="1:8" x14ac:dyDescent="0.25">
      <c r="A23488" s="1"/>
      <c r="B23488" s="1" t="s">
        <v>7328</v>
      </c>
      <c r="C23488" s="1" t="s">
        <v>7329</v>
      </c>
      <c r="D23488" s="22" t="str">
        <f>HYPERLINK("https://rhld.insurance.arkansas.gov/NPILookup?Npi=1295240414","1295240414")</f>
        <v>1295240414</v>
      </c>
      <c r="E23488" s="1" t="s">
        <v>26422</v>
      </c>
      <c r="F23488" s="2"/>
      <c r="G23488" s="2"/>
      <c r="H23488" s="2"/>
    </row>
    <row r="23489" spans="1:8" x14ac:dyDescent="0.25">
      <c r="A23489" s="1"/>
      <c r="B23489" s="1" t="s">
        <v>7328</v>
      </c>
      <c r="C23489" s="1" t="s">
        <v>7329</v>
      </c>
      <c r="D23489" s="22" t="str">
        <f>HYPERLINK("https://rhld.insurance.arkansas.gov/NPILookup?Npi=1295259224","1295259224")</f>
        <v>1295259224</v>
      </c>
      <c r="E23489" s="1" t="s">
        <v>2752</v>
      </c>
      <c r="F23489" s="2"/>
      <c r="G23489" s="2"/>
      <c r="H23489" s="2"/>
    </row>
    <row r="23490" spans="1:8" x14ac:dyDescent="0.25">
      <c r="A23490" s="1"/>
      <c r="B23490" s="1" t="s">
        <v>7328</v>
      </c>
      <c r="C23490" s="1" t="s">
        <v>7329</v>
      </c>
      <c r="D23490" s="22" t="str">
        <f>HYPERLINK("https://rhld.insurance.arkansas.gov/NPILookup?Npi=1295276285","1295276285")</f>
        <v>1295276285</v>
      </c>
      <c r="E23490" s="1" t="s">
        <v>26423</v>
      </c>
      <c r="F23490" s="2"/>
      <c r="G23490" s="2"/>
      <c r="H23490" s="2"/>
    </row>
    <row r="23491" spans="1:8" x14ac:dyDescent="0.25">
      <c r="A23491" s="1"/>
      <c r="B23491" s="1" t="s">
        <v>7328</v>
      </c>
      <c r="C23491" s="1" t="s">
        <v>7329</v>
      </c>
      <c r="D23491" s="22" t="str">
        <f>HYPERLINK("https://rhld.insurance.arkansas.gov/NPILookup?Npi=1295278984","1295278984")</f>
        <v>1295278984</v>
      </c>
      <c r="E23491" s="1" t="s">
        <v>12941</v>
      </c>
      <c r="F23491" s="2"/>
      <c r="G23491" s="2"/>
      <c r="H23491" s="2"/>
    </row>
    <row r="23492" spans="1:8" x14ac:dyDescent="0.25">
      <c r="A23492" s="1"/>
      <c r="B23492" s="1" t="s">
        <v>7328</v>
      </c>
      <c r="C23492" s="1" t="s">
        <v>7329</v>
      </c>
      <c r="D23492" s="22" t="str">
        <f>HYPERLINK("https://rhld.insurance.arkansas.gov/NPILookup?Npi=1295292332","1295292332")</f>
        <v>1295292332</v>
      </c>
      <c r="E23492" s="1" t="s">
        <v>736</v>
      </c>
      <c r="F23492" s="2"/>
      <c r="G23492" s="2"/>
      <c r="H23492" s="2"/>
    </row>
    <row r="23493" spans="1:8" x14ac:dyDescent="0.25">
      <c r="A23493" s="1"/>
      <c r="B23493" s="1" t="s">
        <v>7328</v>
      </c>
      <c r="C23493" s="1" t="s">
        <v>7329</v>
      </c>
      <c r="D23493" s="22" t="str">
        <f>HYPERLINK("https://rhld.insurance.arkansas.gov/NPILookup?Npi=1295310795","1295310795")</f>
        <v>1295310795</v>
      </c>
      <c r="E23493" s="1" t="s">
        <v>26424</v>
      </c>
      <c r="F23493" s="2"/>
      <c r="G23493" s="2"/>
      <c r="H23493" s="2"/>
    </row>
    <row r="23494" spans="1:8" x14ac:dyDescent="0.25">
      <c r="A23494" s="1"/>
      <c r="B23494" s="1" t="s">
        <v>7328</v>
      </c>
      <c r="C23494" s="1" t="s">
        <v>7329</v>
      </c>
      <c r="D23494" s="22" t="str">
        <f>HYPERLINK("https://rhld.insurance.arkansas.gov/NPILookup?Npi=1295310985","1295310985")</f>
        <v>1295310985</v>
      </c>
      <c r="E23494" s="1" t="s">
        <v>26425</v>
      </c>
      <c r="F23494" s="2"/>
      <c r="G23494" s="2"/>
      <c r="H23494" s="2"/>
    </row>
    <row r="23495" spans="1:8" x14ac:dyDescent="0.25">
      <c r="A23495" s="1"/>
      <c r="B23495" s="1" t="s">
        <v>7328</v>
      </c>
      <c r="C23495" s="1" t="s">
        <v>7329</v>
      </c>
      <c r="D23495" s="22" t="str">
        <f>HYPERLINK("https://rhld.insurance.arkansas.gov/NPILookup?Npi=1295311280","1295311280")</f>
        <v>1295311280</v>
      </c>
      <c r="E23495" s="1" t="s">
        <v>26426</v>
      </c>
      <c r="F23495" s="2"/>
      <c r="G23495" s="2"/>
      <c r="H23495" s="2"/>
    </row>
    <row r="23496" spans="1:8" x14ac:dyDescent="0.25">
      <c r="A23496" s="1"/>
      <c r="B23496" s="1" t="s">
        <v>7328</v>
      </c>
      <c r="C23496" s="1" t="s">
        <v>7329</v>
      </c>
      <c r="D23496" s="22" t="str">
        <f>HYPERLINK("https://rhld.insurance.arkansas.gov/NPILookup?Npi=1295324481","1295324481")</f>
        <v>1295324481</v>
      </c>
      <c r="E23496" s="1" t="s">
        <v>1635</v>
      </c>
      <c r="F23496" s="2"/>
      <c r="G23496" s="2"/>
      <c r="H23496" s="2"/>
    </row>
    <row r="23497" spans="1:8" x14ac:dyDescent="0.25">
      <c r="A23497" s="1"/>
      <c r="B23497" s="1" t="s">
        <v>7328</v>
      </c>
      <c r="C23497" s="1" t="s">
        <v>7329</v>
      </c>
      <c r="D23497" s="22" t="str">
        <f>HYPERLINK("https://rhld.insurance.arkansas.gov/NPILookup?Npi=1295344968","1295344968")</f>
        <v>1295344968</v>
      </c>
      <c r="E23497" s="1" t="s">
        <v>26427</v>
      </c>
      <c r="F23497" s="2"/>
      <c r="G23497" s="2"/>
      <c r="H23497" s="2"/>
    </row>
    <row r="23498" spans="1:8" x14ac:dyDescent="0.25">
      <c r="A23498" s="1"/>
      <c r="B23498" s="1" t="s">
        <v>7328</v>
      </c>
      <c r="C23498" s="1" t="s">
        <v>7329</v>
      </c>
      <c r="D23498" s="22" t="str">
        <f>HYPERLINK("https://rhld.insurance.arkansas.gov/NPILookup?Npi=1295346260","1295346260")</f>
        <v>1295346260</v>
      </c>
      <c r="E23498" s="1" t="s">
        <v>7628</v>
      </c>
      <c r="F23498" s="2"/>
      <c r="G23498" s="2"/>
      <c r="H23498" s="2"/>
    </row>
    <row r="23499" spans="1:8" x14ac:dyDescent="0.25">
      <c r="A23499" s="1"/>
      <c r="B23499" s="1" t="s">
        <v>7328</v>
      </c>
      <c r="C23499" s="1" t="s">
        <v>7329</v>
      </c>
      <c r="D23499" s="22" t="str">
        <f>HYPERLINK("https://rhld.insurance.arkansas.gov/NPILookup?Npi=1295348027","1295348027")</f>
        <v>1295348027</v>
      </c>
      <c r="E23499" s="1" t="s">
        <v>26428</v>
      </c>
      <c r="F23499" s="2"/>
      <c r="G23499" s="2"/>
      <c r="H23499" s="2"/>
    </row>
    <row r="23500" spans="1:8" x14ac:dyDescent="0.25">
      <c r="A23500" s="1"/>
      <c r="B23500" s="1" t="s">
        <v>7328</v>
      </c>
      <c r="C23500" s="1" t="s">
        <v>7329</v>
      </c>
      <c r="D23500" s="22" t="str">
        <f>HYPERLINK("https://rhld.insurance.arkansas.gov/NPILookup?Npi=1295360360","1295360360")</f>
        <v>1295360360</v>
      </c>
      <c r="E23500" s="1" t="s">
        <v>26429</v>
      </c>
      <c r="F23500" s="2"/>
      <c r="G23500" s="2"/>
      <c r="H23500" s="2"/>
    </row>
    <row r="23501" spans="1:8" x14ac:dyDescent="0.25">
      <c r="A23501" s="1"/>
      <c r="B23501" s="1" t="s">
        <v>7328</v>
      </c>
      <c r="C23501" s="1" t="s">
        <v>7329</v>
      </c>
      <c r="D23501" s="22" t="str">
        <f>HYPERLINK("https://rhld.insurance.arkansas.gov/NPILookup?Npi=1295364263","1295364263")</f>
        <v>1295364263</v>
      </c>
      <c r="E23501" s="1" t="s">
        <v>7629</v>
      </c>
      <c r="F23501" s="2"/>
      <c r="G23501" s="2"/>
      <c r="H23501" s="2"/>
    </row>
    <row r="23502" spans="1:8" x14ac:dyDescent="0.25">
      <c r="A23502" s="1"/>
      <c r="B23502" s="1" t="s">
        <v>7328</v>
      </c>
      <c r="C23502" s="1" t="s">
        <v>7329</v>
      </c>
      <c r="D23502" s="22" t="str">
        <f>HYPERLINK("https://rhld.insurance.arkansas.gov/NPILookup?Npi=1295372233","1295372233")</f>
        <v>1295372233</v>
      </c>
      <c r="E23502" s="1" t="s">
        <v>7630</v>
      </c>
      <c r="F23502" s="2"/>
      <c r="G23502" s="2"/>
      <c r="H23502" s="2"/>
    </row>
    <row r="23503" spans="1:8" x14ac:dyDescent="0.25">
      <c r="A23503" s="1"/>
      <c r="B23503" s="1" t="s">
        <v>7328</v>
      </c>
      <c r="C23503" s="1" t="s">
        <v>7329</v>
      </c>
      <c r="D23503" s="22" t="str">
        <f>HYPERLINK("https://rhld.insurance.arkansas.gov/NPILookup?Npi=1295383974","1295383974")</f>
        <v>1295383974</v>
      </c>
      <c r="E23503" s="1" t="s">
        <v>7631</v>
      </c>
      <c r="F23503" s="2"/>
      <c r="G23503" s="2"/>
      <c r="H23503" s="2"/>
    </row>
    <row r="23504" spans="1:8" x14ac:dyDescent="0.25">
      <c r="A23504" s="1"/>
      <c r="B23504" s="1" t="s">
        <v>7328</v>
      </c>
      <c r="C23504" s="1" t="s">
        <v>7329</v>
      </c>
      <c r="D23504" s="22" t="str">
        <f>HYPERLINK("https://rhld.insurance.arkansas.gov/NPILookup?Npi=1295390136","1295390136")</f>
        <v>1295390136</v>
      </c>
      <c r="E23504" s="1" t="s">
        <v>26430</v>
      </c>
      <c r="F23504" s="2"/>
      <c r="G23504" s="2"/>
      <c r="H23504" s="2"/>
    </row>
    <row r="23505" spans="1:8" x14ac:dyDescent="0.25">
      <c r="A23505" s="1"/>
      <c r="B23505" s="1" t="s">
        <v>7328</v>
      </c>
      <c r="C23505" s="1" t="s">
        <v>7329</v>
      </c>
      <c r="D23505" s="22" t="str">
        <f>HYPERLINK("https://rhld.insurance.arkansas.gov/NPILookup?Npi=1295394278","1295394278")</f>
        <v>1295394278</v>
      </c>
      <c r="E23505" s="1" t="s">
        <v>411</v>
      </c>
      <c r="F23505" s="2"/>
      <c r="G23505" s="2"/>
      <c r="H23505" s="2"/>
    </row>
    <row r="23506" spans="1:8" x14ac:dyDescent="0.25">
      <c r="A23506" s="1"/>
      <c r="B23506" s="1" t="s">
        <v>7328</v>
      </c>
      <c r="C23506" s="1" t="s">
        <v>7329</v>
      </c>
      <c r="D23506" s="22" t="str">
        <f>HYPERLINK("https://rhld.insurance.arkansas.gov/NPILookup?Npi=1295395333","1295395333")</f>
        <v>1295395333</v>
      </c>
      <c r="E23506" s="1" t="s">
        <v>26431</v>
      </c>
      <c r="F23506" s="2"/>
      <c r="G23506" s="2"/>
      <c r="H23506" s="2"/>
    </row>
    <row r="23507" spans="1:8" x14ac:dyDescent="0.25">
      <c r="A23507" s="1"/>
      <c r="B23507" s="1" t="s">
        <v>7328</v>
      </c>
      <c r="C23507" s="1" t="s">
        <v>7329</v>
      </c>
      <c r="D23507" s="22" t="str">
        <f>HYPERLINK("https://rhld.insurance.arkansas.gov/NPILookup?Npi=1295398865","1295398865")</f>
        <v>1295398865</v>
      </c>
      <c r="E23507" s="1" t="s">
        <v>12942</v>
      </c>
      <c r="F23507" s="2"/>
      <c r="G23507" s="2"/>
      <c r="H23507" s="2"/>
    </row>
    <row r="23508" spans="1:8" x14ac:dyDescent="0.25">
      <c r="A23508" s="1"/>
      <c r="B23508" s="1" t="s">
        <v>7328</v>
      </c>
      <c r="C23508" s="1" t="s">
        <v>7329</v>
      </c>
      <c r="D23508" s="22" t="str">
        <f>HYPERLINK("https://rhld.insurance.arkansas.gov/NPILookup?Npi=1295405421","1295405421")</f>
        <v>1295405421</v>
      </c>
      <c r="E23508" s="1" t="s">
        <v>26432</v>
      </c>
      <c r="F23508" s="2"/>
      <c r="G23508" s="2"/>
      <c r="H23508" s="2"/>
    </row>
    <row r="23509" spans="1:8" x14ac:dyDescent="0.25">
      <c r="A23509" s="1"/>
      <c r="B23509" s="1" t="s">
        <v>7328</v>
      </c>
      <c r="C23509" s="1" t="s">
        <v>7329</v>
      </c>
      <c r="D23509" s="22" t="str">
        <f>HYPERLINK("https://rhld.insurance.arkansas.gov/NPILookup?Npi=1295410272","1295410272")</f>
        <v>1295410272</v>
      </c>
      <c r="E23509" s="1" t="s">
        <v>7632</v>
      </c>
      <c r="F23509" s="2"/>
      <c r="G23509" s="2"/>
      <c r="H23509" s="2"/>
    </row>
    <row r="23510" spans="1:8" x14ac:dyDescent="0.25">
      <c r="A23510" s="1"/>
      <c r="B23510" s="1" t="s">
        <v>7328</v>
      </c>
      <c r="C23510" s="1" t="s">
        <v>7329</v>
      </c>
      <c r="D23510" s="22" t="str">
        <f>HYPERLINK("https://rhld.insurance.arkansas.gov/NPILookup?Npi=1295427417","1295427417")</f>
        <v>1295427417</v>
      </c>
      <c r="E23510" s="1" t="s">
        <v>26433</v>
      </c>
      <c r="F23510" s="2"/>
      <c r="G23510" s="2"/>
      <c r="H23510" s="2"/>
    </row>
    <row r="23511" spans="1:8" x14ac:dyDescent="0.25">
      <c r="A23511" s="1"/>
      <c r="B23511" s="1" t="s">
        <v>7328</v>
      </c>
      <c r="C23511" s="1" t="s">
        <v>7329</v>
      </c>
      <c r="D23511" s="22" t="str">
        <f>HYPERLINK("https://rhld.insurance.arkansas.gov/NPILookup?Npi=1295468783","1295468783")</f>
        <v>1295468783</v>
      </c>
      <c r="E23511" s="1" t="s">
        <v>26434</v>
      </c>
      <c r="F23511" s="2"/>
      <c r="G23511" s="2"/>
      <c r="H23511" s="2"/>
    </row>
    <row r="23512" spans="1:8" x14ac:dyDescent="0.25">
      <c r="A23512" s="1"/>
      <c r="B23512" s="1" t="s">
        <v>7328</v>
      </c>
      <c r="C23512" s="1" t="s">
        <v>7329</v>
      </c>
      <c r="D23512" s="22" t="str">
        <f>HYPERLINK("https://rhld.insurance.arkansas.gov/NPILookup?Npi=1295480630","1295480630")</f>
        <v>1295480630</v>
      </c>
      <c r="E23512" s="1" t="s">
        <v>7633</v>
      </c>
      <c r="F23512" s="2"/>
      <c r="G23512" s="2"/>
      <c r="H23512" s="2"/>
    </row>
    <row r="23513" spans="1:8" x14ac:dyDescent="0.25">
      <c r="A23513" s="1"/>
      <c r="B23513" s="1" t="s">
        <v>7328</v>
      </c>
      <c r="C23513" s="1" t="s">
        <v>7329</v>
      </c>
      <c r="D23513" s="22" t="str">
        <f>HYPERLINK("https://rhld.insurance.arkansas.gov/NPILookup?Npi=1295535623","1295535623")</f>
        <v>1295535623</v>
      </c>
      <c r="E23513" s="1" t="s">
        <v>32176</v>
      </c>
      <c r="F23513" s="2"/>
      <c r="G23513" s="2"/>
      <c r="H23513" s="2"/>
    </row>
    <row r="23514" spans="1:8" x14ac:dyDescent="0.25">
      <c r="A23514" s="1"/>
      <c r="B23514" s="1" t="s">
        <v>7328</v>
      </c>
      <c r="C23514" s="1" t="s">
        <v>7329</v>
      </c>
      <c r="D23514" s="22" t="str">
        <f>HYPERLINK("https://rhld.insurance.arkansas.gov/NPILookup?Npi=1295538247","1295538247")</f>
        <v>1295538247</v>
      </c>
      <c r="E23514" s="1" t="s">
        <v>32177</v>
      </c>
      <c r="F23514" s="2"/>
      <c r="G23514" s="2"/>
      <c r="H23514" s="2"/>
    </row>
    <row r="23515" spans="1:8" x14ac:dyDescent="0.25">
      <c r="A23515" s="1"/>
      <c r="B23515" s="1" t="s">
        <v>7328</v>
      </c>
      <c r="C23515" s="1" t="s">
        <v>7329</v>
      </c>
      <c r="D23515" s="22" t="str">
        <f>HYPERLINK("https://rhld.insurance.arkansas.gov/NPILookup?Npi=1295553782","1295553782")</f>
        <v>1295553782</v>
      </c>
      <c r="E23515" s="1" t="s">
        <v>2700</v>
      </c>
      <c r="F23515" s="2"/>
      <c r="G23515" s="2"/>
      <c r="H23515" s="2"/>
    </row>
    <row r="23516" spans="1:8" x14ac:dyDescent="0.25">
      <c r="A23516" s="1"/>
      <c r="B23516" s="1" t="s">
        <v>7328</v>
      </c>
      <c r="C23516" s="1" t="s">
        <v>7329</v>
      </c>
      <c r="D23516" s="22" t="str">
        <f>HYPERLINK("https://rhld.insurance.arkansas.gov/NPILookup?Npi=1295580827","1295580827")</f>
        <v>1295580827</v>
      </c>
      <c r="E23516" s="1" t="s">
        <v>26435</v>
      </c>
      <c r="F23516" s="2"/>
      <c r="G23516" s="2"/>
      <c r="H23516" s="2"/>
    </row>
    <row r="23517" spans="1:8" x14ac:dyDescent="0.25">
      <c r="A23517" s="1"/>
      <c r="B23517" s="1" t="s">
        <v>7328</v>
      </c>
      <c r="C23517" s="1" t="s">
        <v>7329</v>
      </c>
      <c r="D23517" s="22" t="str">
        <f>HYPERLINK("https://rhld.insurance.arkansas.gov/NPILookup?Npi=1295708121","1295708121")</f>
        <v>1295708121</v>
      </c>
      <c r="E23517" s="1" t="s">
        <v>7634</v>
      </c>
      <c r="F23517" s="2"/>
      <c r="G23517" s="2"/>
      <c r="H23517" s="2"/>
    </row>
    <row r="23518" spans="1:8" x14ac:dyDescent="0.25">
      <c r="A23518" s="1"/>
      <c r="B23518" s="1" t="s">
        <v>7328</v>
      </c>
      <c r="C23518" s="1" t="s">
        <v>7329</v>
      </c>
      <c r="D23518" s="22" t="str">
        <f>HYPERLINK("https://rhld.insurance.arkansas.gov/NPILookup?Npi=1295708428","1295708428")</f>
        <v>1295708428</v>
      </c>
      <c r="E23518" s="1" t="s">
        <v>26436</v>
      </c>
      <c r="F23518" s="2"/>
      <c r="G23518" s="2"/>
      <c r="H23518" s="2"/>
    </row>
    <row r="23519" spans="1:8" x14ac:dyDescent="0.25">
      <c r="A23519" s="1"/>
      <c r="B23519" s="1" t="s">
        <v>7328</v>
      </c>
      <c r="C23519" s="1" t="s">
        <v>7329</v>
      </c>
      <c r="D23519" s="22" t="str">
        <f>HYPERLINK("https://rhld.insurance.arkansas.gov/NPILookup?Npi=1295722668","1295722668")</f>
        <v>1295722668</v>
      </c>
      <c r="E23519" s="1" t="s">
        <v>26437</v>
      </c>
      <c r="F23519" s="2"/>
      <c r="G23519" s="2"/>
      <c r="H23519" s="2"/>
    </row>
    <row r="23520" spans="1:8" x14ac:dyDescent="0.25">
      <c r="A23520" s="1"/>
      <c r="B23520" s="1" t="s">
        <v>7328</v>
      </c>
      <c r="C23520" s="1" t="s">
        <v>7329</v>
      </c>
      <c r="D23520" s="22" t="str">
        <f>HYPERLINK("https://rhld.insurance.arkansas.gov/NPILookup?Npi=1295723286","1295723286")</f>
        <v>1295723286</v>
      </c>
      <c r="E23520" s="1" t="s">
        <v>26438</v>
      </c>
      <c r="F23520" s="2"/>
      <c r="G23520" s="2"/>
      <c r="H23520" s="2"/>
    </row>
    <row r="23521" spans="1:8" x14ac:dyDescent="0.25">
      <c r="A23521" s="1"/>
      <c r="B23521" s="1" t="s">
        <v>7328</v>
      </c>
      <c r="C23521" s="1" t="s">
        <v>7329</v>
      </c>
      <c r="D23521" s="22" t="str">
        <f>HYPERLINK("https://rhld.insurance.arkansas.gov/NPILookup?Npi=1295727477","1295727477")</f>
        <v>1295727477</v>
      </c>
      <c r="E23521" s="1" t="s">
        <v>26439</v>
      </c>
      <c r="F23521" s="2"/>
      <c r="G23521" s="2"/>
      <c r="H23521" s="2"/>
    </row>
    <row r="23522" spans="1:8" x14ac:dyDescent="0.25">
      <c r="A23522" s="1"/>
      <c r="B23522" s="1" t="s">
        <v>7328</v>
      </c>
      <c r="C23522" s="1" t="s">
        <v>7329</v>
      </c>
      <c r="D23522" s="22" t="str">
        <f>HYPERLINK("https://rhld.insurance.arkansas.gov/NPILookup?Npi=1295732816","1295732816")</f>
        <v>1295732816</v>
      </c>
      <c r="E23522" s="1" t="s">
        <v>12943</v>
      </c>
      <c r="F23522" s="2"/>
      <c r="G23522" s="2"/>
      <c r="H23522" s="2"/>
    </row>
    <row r="23523" spans="1:8" x14ac:dyDescent="0.25">
      <c r="A23523" s="1"/>
      <c r="B23523" s="1" t="s">
        <v>7328</v>
      </c>
      <c r="C23523" s="1" t="s">
        <v>7329</v>
      </c>
      <c r="D23523" s="22" t="str">
        <f>HYPERLINK("https://rhld.insurance.arkansas.gov/NPILookup?Npi=1295735959","1295735959")</f>
        <v>1295735959</v>
      </c>
      <c r="E23523" s="1" t="s">
        <v>26440</v>
      </c>
      <c r="F23523" s="2"/>
      <c r="G23523" s="2"/>
      <c r="H23523" s="2"/>
    </row>
    <row r="23524" spans="1:8" x14ac:dyDescent="0.25">
      <c r="A23524" s="1"/>
      <c r="B23524" s="1" t="s">
        <v>7328</v>
      </c>
      <c r="C23524" s="1" t="s">
        <v>7329</v>
      </c>
      <c r="D23524" s="22" t="str">
        <f>HYPERLINK("https://rhld.insurance.arkansas.gov/NPILookup?Npi=1295738128","1295738128")</f>
        <v>1295738128</v>
      </c>
      <c r="E23524" s="1" t="s">
        <v>138</v>
      </c>
      <c r="F23524" s="2"/>
      <c r="G23524" s="2"/>
      <c r="H23524" s="2"/>
    </row>
    <row r="23525" spans="1:8" x14ac:dyDescent="0.25">
      <c r="A23525" s="1"/>
      <c r="B23525" s="1" t="s">
        <v>7328</v>
      </c>
      <c r="C23525" s="1" t="s">
        <v>7329</v>
      </c>
      <c r="D23525" s="22" t="str">
        <f>HYPERLINK("https://rhld.insurance.arkansas.gov/NPILookup?Npi=1295738706","1295738706")</f>
        <v>1295738706</v>
      </c>
      <c r="E23525" s="1" t="s">
        <v>26441</v>
      </c>
      <c r="F23525" s="2"/>
      <c r="G23525" s="2"/>
      <c r="H23525" s="2"/>
    </row>
    <row r="23526" spans="1:8" x14ac:dyDescent="0.25">
      <c r="A23526" s="1"/>
      <c r="B23526" s="1" t="s">
        <v>7328</v>
      </c>
      <c r="C23526" s="1" t="s">
        <v>7329</v>
      </c>
      <c r="D23526" s="22" t="str">
        <f>HYPERLINK("https://rhld.insurance.arkansas.gov/NPILookup?Npi=1295744134","1295744134")</f>
        <v>1295744134</v>
      </c>
      <c r="E23526" s="1" t="s">
        <v>26442</v>
      </c>
      <c r="F23526" s="2"/>
      <c r="G23526" s="2"/>
      <c r="H23526" s="2"/>
    </row>
    <row r="23527" spans="1:8" x14ac:dyDescent="0.25">
      <c r="A23527" s="1"/>
      <c r="B23527" s="1" t="s">
        <v>7328</v>
      </c>
      <c r="C23527" s="1" t="s">
        <v>7329</v>
      </c>
      <c r="D23527" s="22" t="str">
        <f>HYPERLINK("https://rhld.insurance.arkansas.gov/NPILookup?Npi=1295747566","1295747566")</f>
        <v>1295747566</v>
      </c>
      <c r="E23527" s="1" t="s">
        <v>197</v>
      </c>
      <c r="F23527" s="2"/>
      <c r="G23527" s="2"/>
      <c r="H23527" s="2"/>
    </row>
    <row r="23528" spans="1:8" x14ac:dyDescent="0.25">
      <c r="A23528" s="1"/>
      <c r="B23528" s="1" t="s">
        <v>7328</v>
      </c>
      <c r="C23528" s="1" t="s">
        <v>7329</v>
      </c>
      <c r="D23528" s="22" t="str">
        <f>HYPERLINK("https://rhld.insurance.arkansas.gov/NPILookup?Npi=1295752368","1295752368")</f>
        <v>1295752368</v>
      </c>
      <c r="E23528" s="1" t="s">
        <v>26443</v>
      </c>
      <c r="F23528" s="2"/>
      <c r="G23528" s="2"/>
      <c r="H23528" s="2"/>
    </row>
    <row r="23529" spans="1:8" x14ac:dyDescent="0.25">
      <c r="A23529" s="1"/>
      <c r="B23529" s="1" t="s">
        <v>7328</v>
      </c>
      <c r="C23529" s="1" t="s">
        <v>7329</v>
      </c>
      <c r="D23529" s="22" t="str">
        <f>HYPERLINK("https://rhld.insurance.arkansas.gov/NPILookup?Npi=1295759629","1295759629")</f>
        <v>1295759629</v>
      </c>
      <c r="E23529" s="1" t="s">
        <v>166</v>
      </c>
      <c r="F23529" s="2"/>
      <c r="G23529" s="2"/>
      <c r="H23529" s="2"/>
    </row>
    <row r="23530" spans="1:8" x14ac:dyDescent="0.25">
      <c r="A23530" s="1"/>
      <c r="B23530" s="1" t="s">
        <v>7328</v>
      </c>
      <c r="C23530" s="1" t="s">
        <v>7329</v>
      </c>
      <c r="D23530" s="22" t="str">
        <f>HYPERLINK("https://rhld.insurance.arkansas.gov/NPILookup?Npi=1295775310","1295775310")</f>
        <v>1295775310</v>
      </c>
      <c r="E23530" s="1" t="s">
        <v>26444</v>
      </c>
      <c r="F23530" s="2"/>
      <c r="G23530" s="2"/>
      <c r="H23530" s="2"/>
    </row>
    <row r="23531" spans="1:8" x14ac:dyDescent="0.25">
      <c r="A23531" s="1"/>
      <c r="B23531" s="1" t="s">
        <v>7328</v>
      </c>
      <c r="C23531" s="1" t="s">
        <v>7329</v>
      </c>
      <c r="D23531" s="22" t="str">
        <f>HYPERLINK("https://rhld.insurance.arkansas.gov/NPILookup?Npi=1295780690","1295780690")</f>
        <v>1295780690</v>
      </c>
      <c r="E23531" s="1" t="s">
        <v>26445</v>
      </c>
      <c r="F23531" s="2"/>
      <c r="G23531" s="2"/>
      <c r="H23531" s="2"/>
    </row>
    <row r="23532" spans="1:8" x14ac:dyDescent="0.25">
      <c r="A23532" s="1"/>
      <c r="B23532" s="1" t="s">
        <v>7328</v>
      </c>
      <c r="C23532" s="1" t="s">
        <v>7329</v>
      </c>
      <c r="D23532" s="22" t="str">
        <f>HYPERLINK("https://rhld.insurance.arkansas.gov/NPILookup?Npi=1295781987","1295781987")</f>
        <v>1295781987</v>
      </c>
      <c r="E23532" s="1" t="s">
        <v>10267</v>
      </c>
      <c r="F23532" s="2"/>
      <c r="G23532" s="2"/>
      <c r="H23532" s="2"/>
    </row>
    <row r="23533" spans="1:8" x14ac:dyDescent="0.25">
      <c r="A23533" s="1"/>
      <c r="B23533" s="1" t="s">
        <v>7328</v>
      </c>
      <c r="C23533" s="1" t="s">
        <v>7329</v>
      </c>
      <c r="D23533" s="22" t="str">
        <f>HYPERLINK("https://rhld.insurance.arkansas.gov/NPILookup?Npi=1295791523","1295791523")</f>
        <v>1295791523</v>
      </c>
      <c r="E23533" s="1" t="s">
        <v>26446</v>
      </c>
      <c r="F23533" s="2"/>
      <c r="G23533" s="2"/>
      <c r="H23533" s="2"/>
    </row>
    <row r="23534" spans="1:8" x14ac:dyDescent="0.25">
      <c r="A23534" s="1"/>
      <c r="B23534" s="1" t="s">
        <v>7328</v>
      </c>
      <c r="C23534" s="1" t="s">
        <v>7329</v>
      </c>
      <c r="D23534" s="22" t="str">
        <f>HYPERLINK("https://rhld.insurance.arkansas.gov/NPILookup?Npi=1295796720","1295796720")</f>
        <v>1295796720</v>
      </c>
      <c r="E23534" s="1" t="s">
        <v>10269</v>
      </c>
      <c r="F23534" s="2"/>
      <c r="G23534" s="2"/>
      <c r="H23534" s="2"/>
    </row>
    <row r="23535" spans="1:8" x14ac:dyDescent="0.25">
      <c r="A23535" s="1"/>
      <c r="B23535" s="1" t="s">
        <v>7328</v>
      </c>
      <c r="C23535" s="1" t="s">
        <v>7329</v>
      </c>
      <c r="D23535" s="22" t="str">
        <f>HYPERLINK("https://rhld.insurance.arkansas.gov/NPILookup?Npi=1295826196","1295826196")</f>
        <v>1295826196</v>
      </c>
      <c r="E23535" s="1" t="s">
        <v>26447</v>
      </c>
      <c r="F23535" s="2"/>
      <c r="G23535" s="2"/>
      <c r="H23535" s="2"/>
    </row>
    <row r="23536" spans="1:8" x14ac:dyDescent="0.25">
      <c r="A23536" s="1"/>
      <c r="B23536" s="1" t="s">
        <v>7328</v>
      </c>
      <c r="C23536" s="1" t="s">
        <v>7329</v>
      </c>
      <c r="D23536" s="22" t="str">
        <f>HYPERLINK("https://rhld.insurance.arkansas.gov/NPILookup?Npi=1295833739","1295833739")</f>
        <v>1295833739</v>
      </c>
      <c r="E23536" s="1" t="s">
        <v>26448</v>
      </c>
      <c r="F23536" s="2"/>
      <c r="G23536" s="2"/>
      <c r="H23536" s="2"/>
    </row>
    <row r="23537" spans="1:8" x14ac:dyDescent="0.25">
      <c r="A23537" s="1"/>
      <c r="B23537" s="1" t="s">
        <v>7328</v>
      </c>
      <c r="C23537" s="1" t="s">
        <v>7329</v>
      </c>
      <c r="D23537" s="22" t="str">
        <f>HYPERLINK("https://rhld.insurance.arkansas.gov/NPILookup?Npi=1295839397","1295839397")</f>
        <v>1295839397</v>
      </c>
      <c r="E23537" s="1" t="s">
        <v>17395</v>
      </c>
      <c r="F23537" s="2"/>
      <c r="G23537" s="2"/>
      <c r="H23537" s="2"/>
    </row>
    <row r="23538" spans="1:8" x14ac:dyDescent="0.25">
      <c r="A23538" s="1"/>
      <c r="B23538" s="1" t="s">
        <v>7328</v>
      </c>
      <c r="C23538" s="1" t="s">
        <v>7329</v>
      </c>
      <c r="D23538" s="22" t="str">
        <f>HYPERLINK("https://rhld.insurance.arkansas.gov/NPILookup?Npi=1295840569","1295840569")</f>
        <v>1295840569</v>
      </c>
      <c r="E23538" s="1" t="s">
        <v>26449</v>
      </c>
      <c r="F23538" s="2"/>
      <c r="G23538" s="2"/>
      <c r="H23538" s="2"/>
    </row>
    <row r="23539" spans="1:8" x14ac:dyDescent="0.25">
      <c r="A23539" s="1"/>
      <c r="B23539" s="1" t="s">
        <v>7328</v>
      </c>
      <c r="C23539" s="1" t="s">
        <v>7329</v>
      </c>
      <c r="D23539" s="22" t="str">
        <f>HYPERLINK("https://rhld.insurance.arkansas.gov/NPILookup?Npi=1295858967","1295858967")</f>
        <v>1295858967</v>
      </c>
      <c r="E23539" s="1" t="s">
        <v>12944</v>
      </c>
      <c r="F23539" s="2"/>
      <c r="G23539" s="2"/>
      <c r="H23539" s="2"/>
    </row>
    <row r="23540" spans="1:8" x14ac:dyDescent="0.25">
      <c r="A23540" s="1"/>
      <c r="B23540" s="1" t="s">
        <v>7328</v>
      </c>
      <c r="C23540" s="1" t="s">
        <v>7329</v>
      </c>
      <c r="D23540" s="22" t="str">
        <f>HYPERLINK("https://rhld.insurance.arkansas.gov/NPILookup?Npi=1295894442","1295894442")</f>
        <v>1295894442</v>
      </c>
      <c r="E23540" s="1" t="s">
        <v>17396</v>
      </c>
      <c r="F23540" s="2"/>
      <c r="G23540" s="2"/>
      <c r="H23540" s="2"/>
    </row>
    <row r="23541" spans="1:8" x14ac:dyDescent="0.25">
      <c r="A23541" s="1"/>
      <c r="B23541" s="1" t="s">
        <v>7328</v>
      </c>
      <c r="C23541" s="1" t="s">
        <v>7329</v>
      </c>
      <c r="D23541" s="22" t="str">
        <f>HYPERLINK("https://rhld.insurance.arkansas.gov/NPILookup?Npi=1295923829","1295923829")</f>
        <v>1295923829</v>
      </c>
      <c r="E23541" s="1" t="s">
        <v>26450</v>
      </c>
      <c r="F23541" s="2"/>
      <c r="G23541" s="2"/>
      <c r="H23541" s="2"/>
    </row>
    <row r="23542" spans="1:8" x14ac:dyDescent="0.25">
      <c r="A23542" s="1"/>
      <c r="B23542" s="1" t="s">
        <v>7328</v>
      </c>
      <c r="C23542" s="1" t="s">
        <v>7329</v>
      </c>
      <c r="D23542" s="22" t="str">
        <f>HYPERLINK("https://rhld.insurance.arkansas.gov/NPILookup?Npi=1295928018","1295928018")</f>
        <v>1295928018</v>
      </c>
      <c r="E23542" s="1" t="s">
        <v>1212</v>
      </c>
      <c r="F23542" s="2"/>
      <c r="G23542" s="2"/>
      <c r="H23542" s="2"/>
    </row>
    <row r="23543" spans="1:8" x14ac:dyDescent="0.25">
      <c r="A23543" s="1"/>
      <c r="B23543" s="1" t="s">
        <v>7328</v>
      </c>
      <c r="C23543" s="1" t="s">
        <v>7329</v>
      </c>
      <c r="D23543" s="22" t="str">
        <f>HYPERLINK("https://rhld.insurance.arkansas.gov/NPILookup?Npi=1295929628","1295929628")</f>
        <v>1295929628</v>
      </c>
      <c r="E23543" s="1" t="s">
        <v>26451</v>
      </c>
      <c r="F23543" s="2"/>
      <c r="G23543" s="2"/>
      <c r="H23543" s="2"/>
    </row>
    <row r="23544" spans="1:8" x14ac:dyDescent="0.25">
      <c r="A23544" s="1"/>
      <c r="B23544" s="1" t="s">
        <v>7328</v>
      </c>
      <c r="C23544" s="1" t="s">
        <v>7329</v>
      </c>
      <c r="D23544" s="22" t="str">
        <f>HYPERLINK("https://rhld.insurance.arkansas.gov/NPILookup?Npi=1295937001","1295937001")</f>
        <v>1295937001</v>
      </c>
      <c r="E23544" s="1" t="s">
        <v>12945</v>
      </c>
      <c r="F23544" s="2"/>
      <c r="G23544" s="2"/>
      <c r="H23544" s="2"/>
    </row>
    <row r="23545" spans="1:8" x14ac:dyDescent="0.25">
      <c r="A23545" s="1"/>
      <c r="B23545" s="1" t="s">
        <v>7328</v>
      </c>
      <c r="C23545" s="1" t="s">
        <v>7329</v>
      </c>
      <c r="D23545" s="22" t="str">
        <f>HYPERLINK("https://rhld.insurance.arkansas.gov/NPILookup?Npi=1295956316","1295956316")</f>
        <v>1295956316</v>
      </c>
      <c r="E23545" s="1" t="s">
        <v>26452</v>
      </c>
      <c r="F23545" s="2"/>
      <c r="G23545" s="2"/>
      <c r="H23545" s="2"/>
    </row>
    <row r="23546" spans="1:8" x14ac:dyDescent="0.25">
      <c r="A23546" s="1"/>
      <c r="B23546" s="1" t="s">
        <v>7328</v>
      </c>
      <c r="C23546" s="1" t="s">
        <v>7329</v>
      </c>
      <c r="D23546" s="22" t="str">
        <f>HYPERLINK("https://rhld.insurance.arkansas.gov/NPILookup?Npi=1295956472","1295956472")</f>
        <v>1295956472</v>
      </c>
      <c r="E23546" s="1" t="s">
        <v>10270</v>
      </c>
      <c r="F23546" s="2"/>
      <c r="G23546" s="2"/>
      <c r="H23546" s="2"/>
    </row>
    <row r="23547" spans="1:8" x14ac:dyDescent="0.25">
      <c r="A23547" s="1"/>
      <c r="B23547" s="1" t="s">
        <v>7328</v>
      </c>
      <c r="C23547" s="1" t="s">
        <v>7329</v>
      </c>
      <c r="D23547" s="22" t="str">
        <f>HYPERLINK("https://rhld.insurance.arkansas.gov/NPILookup?Npi=1295960748","1295960748")</f>
        <v>1295960748</v>
      </c>
      <c r="E23547" s="1" t="s">
        <v>26453</v>
      </c>
      <c r="F23547" s="2"/>
      <c r="G23547" s="2"/>
      <c r="H23547" s="2"/>
    </row>
    <row r="23548" spans="1:8" x14ac:dyDescent="0.25">
      <c r="A23548" s="1"/>
      <c r="B23548" s="1" t="s">
        <v>7328</v>
      </c>
      <c r="C23548" s="1" t="s">
        <v>7329</v>
      </c>
      <c r="D23548" s="22" t="str">
        <f>HYPERLINK("https://rhld.insurance.arkansas.gov/NPILookup?Npi=1295967917","1295967917")</f>
        <v>1295967917</v>
      </c>
      <c r="E23548" s="1" t="s">
        <v>26454</v>
      </c>
      <c r="F23548" s="2"/>
      <c r="G23548" s="2"/>
      <c r="H23548" s="2"/>
    </row>
    <row r="23549" spans="1:8" x14ac:dyDescent="0.25">
      <c r="A23549" s="1"/>
      <c r="B23549" s="1" t="s">
        <v>7328</v>
      </c>
      <c r="C23549" s="1" t="s">
        <v>7329</v>
      </c>
      <c r="D23549" s="22" t="str">
        <f>HYPERLINK("https://rhld.insurance.arkansas.gov/NPILookup?Npi=1306009204","1306009204")</f>
        <v>1306009204</v>
      </c>
      <c r="E23549" s="1" t="s">
        <v>18719</v>
      </c>
      <c r="F23549" s="2"/>
      <c r="G23549" s="2"/>
      <c r="H23549" s="2"/>
    </row>
    <row r="23550" spans="1:8" x14ac:dyDescent="0.25">
      <c r="A23550" s="1"/>
      <c r="B23550" s="1" t="s">
        <v>7328</v>
      </c>
      <c r="C23550" s="1" t="s">
        <v>7329</v>
      </c>
      <c r="D23550" s="22" t="str">
        <f>HYPERLINK("https://rhld.insurance.arkansas.gov/NPILookup?Npi=1306018478","1306018478")</f>
        <v>1306018478</v>
      </c>
      <c r="E23550" s="1" t="s">
        <v>2754</v>
      </c>
      <c r="F23550" s="2"/>
      <c r="G23550" s="2"/>
      <c r="H23550" s="2"/>
    </row>
    <row r="23551" spans="1:8" x14ac:dyDescent="0.25">
      <c r="A23551" s="1"/>
      <c r="B23551" s="1" t="s">
        <v>7328</v>
      </c>
      <c r="C23551" s="1" t="s">
        <v>7329</v>
      </c>
      <c r="D23551" s="22" t="str">
        <f>HYPERLINK("https://rhld.insurance.arkansas.gov/NPILookup?Npi=1306024492","1306024492")</f>
        <v>1306024492</v>
      </c>
      <c r="E23551" s="1" t="s">
        <v>454</v>
      </c>
      <c r="F23551" s="2"/>
      <c r="G23551" s="2"/>
      <c r="H23551" s="2"/>
    </row>
    <row r="23552" spans="1:8" x14ac:dyDescent="0.25">
      <c r="A23552" s="1"/>
      <c r="B23552" s="1" t="s">
        <v>7328</v>
      </c>
      <c r="C23552" s="1" t="s">
        <v>7329</v>
      </c>
      <c r="D23552" s="22" t="str">
        <f>HYPERLINK("https://rhld.insurance.arkansas.gov/NPILookup?Npi=1306051677","1306051677")</f>
        <v>1306051677</v>
      </c>
      <c r="E23552" s="1" t="s">
        <v>26455</v>
      </c>
      <c r="F23552" s="2"/>
      <c r="G23552" s="2"/>
      <c r="H23552" s="2"/>
    </row>
    <row r="23553" spans="1:8" x14ac:dyDescent="0.25">
      <c r="A23553" s="1"/>
      <c r="B23553" s="1" t="s">
        <v>7328</v>
      </c>
      <c r="C23553" s="1" t="s">
        <v>7329</v>
      </c>
      <c r="D23553" s="22" t="str">
        <f>HYPERLINK("https://rhld.insurance.arkansas.gov/NPILookup?Npi=1306059753","1306059753")</f>
        <v>1306059753</v>
      </c>
      <c r="E23553" s="1" t="s">
        <v>139</v>
      </c>
      <c r="F23553" s="2"/>
      <c r="G23553" s="2"/>
      <c r="H23553" s="2"/>
    </row>
    <row r="23554" spans="1:8" x14ac:dyDescent="0.25">
      <c r="A23554" s="1"/>
      <c r="B23554" s="1" t="s">
        <v>7328</v>
      </c>
      <c r="C23554" s="1" t="s">
        <v>7329</v>
      </c>
      <c r="D23554" s="22" t="str">
        <f>HYPERLINK("https://rhld.insurance.arkansas.gov/NPILookup?Npi=1306060561","1306060561")</f>
        <v>1306060561</v>
      </c>
      <c r="E23554" s="1" t="s">
        <v>26456</v>
      </c>
      <c r="F23554" s="2"/>
      <c r="G23554" s="2"/>
      <c r="H23554" s="2"/>
    </row>
    <row r="23555" spans="1:8" x14ac:dyDescent="0.25">
      <c r="A23555" s="1"/>
      <c r="B23555" s="1" t="s">
        <v>7328</v>
      </c>
      <c r="C23555" s="1" t="s">
        <v>7329</v>
      </c>
      <c r="D23555" s="22" t="str">
        <f>HYPERLINK("https://rhld.insurance.arkansas.gov/NPILookup?Npi=1306081799","1306081799")</f>
        <v>1306081799</v>
      </c>
      <c r="E23555" s="1" t="s">
        <v>26457</v>
      </c>
      <c r="F23555" s="2"/>
      <c r="G23555" s="2"/>
      <c r="H23555" s="2"/>
    </row>
    <row r="23556" spans="1:8" x14ac:dyDescent="0.25">
      <c r="A23556" s="1"/>
      <c r="B23556" s="1" t="s">
        <v>7328</v>
      </c>
      <c r="C23556" s="1" t="s">
        <v>7329</v>
      </c>
      <c r="D23556" s="22" t="str">
        <f>HYPERLINK("https://rhld.insurance.arkansas.gov/NPILookup?Npi=1306092937","1306092937")</f>
        <v>1306092937</v>
      </c>
      <c r="E23556" s="1" t="s">
        <v>7635</v>
      </c>
      <c r="F23556" s="2"/>
      <c r="G23556" s="2"/>
      <c r="H23556" s="2"/>
    </row>
    <row r="23557" spans="1:8" x14ac:dyDescent="0.25">
      <c r="A23557" s="1"/>
      <c r="B23557" s="1" t="s">
        <v>7328</v>
      </c>
      <c r="C23557" s="1" t="s">
        <v>7329</v>
      </c>
      <c r="D23557" s="22" t="str">
        <f>HYPERLINK("https://rhld.insurance.arkansas.gov/NPILookup?Npi=1306097845","1306097845")</f>
        <v>1306097845</v>
      </c>
      <c r="E23557" s="1" t="s">
        <v>26458</v>
      </c>
      <c r="F23557" s="2"/>
      <c r="G23557" s="2"/>
      <c r="H23557" s="2"/>
    </row>
    <row r="23558" spans="1:8" x14ac:dyDescent="0.25">
      <c r="A23558" s="1"/>
      <c r="B23558" s="1" t="s">
        <v>7328</v>
      </c>
      <c r="C23558" s="1" t="s">
        <v>7329</v>
      </c>
      <c r="D23558" s="22" t="str">
        <f>HYPERLINK("https://rhld.insurance.arkansas.gov/NPILookup?Npi=1306107875","1306107875")</f>
        <v>1306107875</v>
      </c>
      <c r="E23558" s="1" t="s">
        <v>26459</v>
      </c>
      <c r="F23558" s="2"/>
      <c r="G23558" s="2"/>
      <c r="H23558" s="2"/>
    </row>
    <row r="23559" spans="1:8" x14ac:dyDescent="0.25">
      <c r="A23559" s="1"/>
      <c r="B23559" s="1" t="s">
        <v>7328</v>
      </c>
      <c r="C23559" s="1" t="s">
        <v>7329</v>
      </c>
      <c r="D23559" s="22" t="str">
        <f>HYPERLINK("https://rhld.insurance.arkansas.gov/NPILookup?Npi=1306109228","1306109228")</f>
        <v>1306109228</v>
      </c>
      <c r="E23559" s="1" t="s">
        <v>7636</v>
      </c>
      <c r="F23559" s="2"/>
      <c r="G23559" s="2"/>
      <c r="H23559" s="2"/>
    </row>
    <row r="23560" spans="1:8" x14ac:dyDescent="0.25">
      <c r="A23560" s="1"/>
      <c r="B23560" s="1" t="s">
        <v>7328</v>
      </c>
      <c r="C23560" s="1" t="s">
        <v>7329</v>
      </c>
      <c r="D23560" s="22" t="str">
        <f>HYPERLINK("https://rhld.insurance.arkansas.gov/NPILookup?Npi=1306126263","1306126263")</f>
        <v>1306126263</v>
      </c>
      <c r="E23560" s="1" t="s">
        <v>1380</v>
      </c>
      <c r="F23560" s="2"/>
      <c r="G23560" s="2"/>
      <c r="H23560" s="2"/>
    </row>
    <row r="23561" spans="1:8" x14ac:dyDescent="0.25">
      <c r="A23561" s="1"/>
      <c r="B23561" s="1" t="s">
        <v>7328</v>
      </c>
      <c r="C23561" s="1" t="s">
        <v>7329</v>
      </c>
      <c r="D23561" s="22" t="str">
        <f>HYPERLINK("https://rhld.insurance.arkansas.gov/NPILookup?Npi=1306130034","1306130034")</f>
        <v>1306130034</v>
      </c>
      <c r="E23561" s="1" t="s">
        <v>12946</v>
      </c>
      <c r="F23561" s="2"/>
      <c r="G23561" s="2"/>
      <c r="H23561" s="2"/>
    </row>
    <row r="23562" spans="1:8" x14ac:dyDescent="0.25">
      <c r="A23562" s="1"/>
      <c r="B23562" s="1" t="s">
        <v>7328</v>
      </c>
      <c r="C23562" s="1" t="s">
        <v>7329</v>
      </c>
      <c r="D23562" s="22" t="str">
        <f>HYPERLINK("https://rhld.insurance.arkansas.gov/NPILookup?Npi=1306144720","1306144720")</f>
        <v>1306144720</v>
      </c>
      <c r="E23562" s="1" t="s">
        <v>12947</v>
      </c>
      <c r="F23562" s="2"/>
      <c r="G23562" s="2"/>
      <c r="H23562" s="2"/>
    </row>
    <row r="23563" spans="1:8" x14ac:dyDescent="0.25">
      <c r="A23563" s="1"/>
      <c r="B23563" s="1" t="s">
        <v>7328</v>
      </c>
      <c r="C23563" s="1" t="s">
        <v>7329</v>
      </c>
      <c r="D23563" s="22" t="str">
        <f>HYPERLINK("https://rhld.insurance.arkansas.gov/NPILookup?Npi=1306163159","1306163159")</f>
        <v>1306163159</v>
      </c>
      <c r="E23563" s="1" t="s">
        <v>26460</v>
      </c>
      <c r="F23563" s="2"/>
      <c r="G23563" s="2"/>
      <c r="H23563" s="2"/>
    </row>
    <row r="23564" spans="1:8" x14ac:dyDescent="0.25">
      <c r="A23564" s="1"/>
      <c r="B23564" s="1" t="s">
        <v>7328</v>
      </c>
      <c r="C23564" s="1" t="s">
        <v>7329</v>
      </c>
      <c r="D23564" s="22" t="str">
        <f>HYPERLINK("https://rhld.insurance.arkansas.gov/NPILookup?Npi=1306176755","1306176755")</f>
        <v>1306176755</v>
      </c>
      <c r="E23564" s="1" t="s">
        <v>2755</v>
      </c>
      <c r="F23564" s="2"/>
      <c r="G23564" s="2"/>
      <c r="H23564" s="2"/>
    </row>
    <row r="23565" spans="1:8" x14ac:dyDescent="0.25">
      <c r="A23565" s="1"/>
      <c r="B23565" s="1" t="s">
        <v>7328</v>
      </c>
      <c r="C23565" s="1" t="s">
        <v>7329</v>
      </c>
      <c r="D23565" s="22" t="str">
        <f>HYPERLINK("https://rhld.insurance.arkansas.gov/NPILookup?Npi=1306192323","1306192323")</f>
        <v>1306192323</v>
      </c>
      <c r="E23565" s="1" t="s">
        <v>7637</v>
      </c>
      <c r="F23565" s="2"/>
      <c r="G23565" s="2"/>
      <c r="H23565" s="2"/>
    </row>
    <row r="23566" spans="1:8" x14ac:dyDescent="0.25">
      <c r="A23566" s="1"/>
      <c r="B23566" s="1" t="s">
        <v>7328</v>
      </c>
      <c r="C23566" s="1" t="s">
        <v>7329</v>
      </c>
      <c r="D23566" s="22" t="str">
        <f>HYPERLINK("https://rhld.insurance.arkansas.gov/NPILookup?Npi=1306205885","1306205885")</f>
        <v>1306205885</v>
      </c>
      <c r="E23566" s="1" t="s">
        <v>32178</v>
      </c>
      <c r="F23566" s="2"/>
      <c r="G23566" s="2"/>
      <c r="H23566" s="2"/>
    </row>
    <row r="23567" spans="1:8" x14ac:dyDescent="0.25">
      <c r="A23567" s="1"/>
      <c r="B23567" s="1" t="s">
        <v>7328</v>
      </c>
      <c r="C23567" s="1" t="s">
        <v>7329</v>
      </c>
      <c r="D23567" s="22" t="str">
        <f>HYPERLINK("https://rhld.insurance.arkansas.gov/NPILookup?Npi=1306211966","1306211966")</f>
        <v>1306211966</v>
      </c>
      <c r="E23567" s="1" t="s">
        <v>26461</v>
      </c>
      <c r="F23567" s="2"/>
      <c r="G23567" s="2"/>
      <c r="H23567" s="2"/>
    </row>
    <row r="23568" spans="1:8" x14ac:dyDescent="0.25">
      <c r="A23568" s="1"/>
      <c r="B23568" s="1" t="s">
        <v>7328</v>
      </c>
      <c r="C23568" s="1" t="s">
        <v>7329</v>
      </c>
      <c r="D23568" s="22" t="str">
        <f>HYPERLINK("https://rhld.insurance.arkansas.gov/NPILookup?Npi=1306226212","1306226212")</f>
        <v>1306226212</v>
      </c>
      <c r="E23568" s="1" t="s">
        <v>26462</v>
      </c>
      <c r="F23568" s="2"/>
      <c r="G23568" s="2"/>
      <c r="H23568" s="2"/>
    </row>
    <row r="23569" spans="1:8" x14ac:dyDescent="0.25">
      <c r="A23569" s="1"/>
      <c r="B23569" s="1" t="s">
        <v>7328</v>
      </c>
      <c r="C23569" s="1" t="s">
        <v>7329</v>
      </c>
      <c r="D23569" s="22" t="str">
        <f>HYPERLINK("https://rhld.insurance.arkansas.gov/NPILookup?Npi=1306230586","1306230586")</f>
        <v>1306230586</v>
      </c>
      <c r="E23569" s="1" t="s">
        <v>17399</v>
      </c>
      <c r="F23569" s="2"/>
      <c r="G23569" s="2"/>
      <c r="H23569" s="2"/>
    </row>
    <row r="23570" spans="1:8" x14ac:dyDescent="0.25">
      <c r="A23570" s="1"/>
      <c r="B23570" s="1" t="s">
        <v>7328</v>
      </c>
      <c r="C23570" s="1" t="s">
        <v>7329</v>
      </c>
      <c r="D23570" s="22" t="str">
        <f>HYPERLINK("https://rhld.insurance.arkansas.gov/NPILookup?Npi=1306245345","1306245345")</f>
        <v>1306245345</v>
      </c>
      <c r="E23570" s="1" t="s">
        <v>21785</v>
      </c>
      <c r="F23570" s="2"/>
      <c r="G23570" s="2"/>
      <c r="H23570" s="2"/>
    </row>
    <row r="23571" spans="1:8" x14ac:dyDescent="0.25">
      <c r="A23571" s="1"/>
      <c r="B23571" s="1" t="s">
        <v>7328</v>
      </c>
      <c r="C23571" s="1" t="s">
        <v>7329</v>
      </c>
      <c r="D23571" s="22" t="str">
        <f>HYPERLINK("https://rhld.insurance.arkansas.gov/NPILookup?Npi=1306253877","1306253877")</f>
        <v>1306253877</v>
      </c>
      <c r="E23571" s="1" t="s">
        <v>26463</v>
      </c>
      <c r="F23571" s="2"/>
      <c r="G23571" s="2"/>
      <c r="H23571" s="2"/>
    </row>
    <row r="23572" spans="1:8" x14ac:dyDescent="0.25">
      <c r="A23572" s="1"/>
      <c r="B23572" s="1" t="s">
        <v>7328</v>
      </c>
      <c r="C23572" s="1" t="s">
        <v>7329</v>
      </c>
      <c r="D23572" s="22" t="str">
        <f>HYPERLINK("https://rhld.insurance.arkansas.gov/NPILookup?Npi=1306262993","1306262993")</f>
        <v>1306262993</v>
      </c>
      <c r="E23572" s="1" t="s">
        <v>7638</v>
      </c>
      <c r="F23572" s="2"/>
      <c r="G23572" s="2"/>
      <c r="H23572" s="2"/>
    </row>
    <row r="23573" spans="1:8" x14ac:dyDescent="0.25">
      <c r="A23573" s="1"/>
      <c r="B23573" s="1" t="s">
        <v>7328</v>
      </c>
      <c r="C23573" s="1" t="s">
        <v>7329</v>
      </c>
      <c r="D23573" s="22" t="str">
        <f>HYPERLINK("https://rhld.insurance.arkansas.gov/NPILookup?Npi=1306266085","1306266085")</f>
        <v>1306266085</v>
      </c>
      <c r="E23573" s="1" t="s">
        <v>7639</v>
      </c>
      <c r="F23573" s="2"/>
      <c r="G23573" s="2"/>
      <c r="H23573" s="2"/>
    </row>
    <row r="23574" spans="1:8" x14ac:dyDescent="0.25">
      <c r="A23574" s="1"/>
      <c r="B23574" s="1" t="s">
        <v>7328</v>
      </c>
      <c r="C23574" s="1" t="s">
        <v>7329</v>
      </c>
      <c r="D23574" s="22" t="str">
        <f>HYPERLINK("https://rhld.insurance.arkansas.gov/NPILookup?Npi=1306277074","1306277074")</f>
        <v>1306277074</v>
      </c>
      <c r="E23574" s="1" t="s">
        <v>265</v>
      </c>
      <c r="F23574" s="2"/>
      <c r="G23574" s="2"/>
      <c r="H23574" s="2"/>
    </row>
    <row r="23575" spans="1:8" x14ac:dyDescent="0.25">
      <c r="A23575" s="1"/>
      <c r="B23575" s="1" t="s">
        <v>7328</v>
      </c>
      <c r="C23575" s="1" t="s">
        <v>7329</v>
      </c>
      <c r="D23575" s="22" t="str">
        <f>HYPERLINK("https://rhld.insurance.arkansas.gov/NPILookup?Npi=1306289012","1306289012")</f>
        <v>1306289012</v>
      </c>
      <c r="E23575" s="1" t="s">
        <v>11660</v>
      </c>
      <c r="F23575" s="2"/>
      <c r="G23575" s="2"/>
      <c r="H23575" s="2"/>
    </row>
    <row r="23576" spans="1:8" x14ac:dyDescent="0.25">
      <c r="A23576" s="1"/>
      <c r="B23576" s="1" t="s">
        <v>7328</v>
      </c>
      <c r="C23576" s="1" t="s">
        <v>7329</v>
      </c>
      <c r="D23576" s="22" t="str">
        <f>HYPERLINK("https://rhld.insurance.arkansas.gov/NPILookup?Npi=1306289608","1306289608")</f>
        <v>1306289608</v>
      </c>
      <c r="E23576" s="1" t="s">
        <v>17401</v>
      </c>
      <c r="F23576" s="2"/>
      <c r="G23576" s="2"/>
      <c r="H23576" s="2"/>
    </row>
    <row r="23577" spans="1:8" x14ac:dyDescent="0.25">
      <c r="A23577" s="1"/>
      <c r="B23577" s="1" t="s">
        <v>7328</v>
      </c>
      <c r="C23577" s="1" t="s">
        <v>7329</v>
      </c>
      <c r="D23577" s="22" t="str">
        <f>HYPERLINK("https://rhld.insurance.arkansas.gov/NPILookup?Npi=1306297965","1306297965")</f>
        <v>1306297965</v>
      </c>
      <c r="E23577" s="1" t="s">
        <v>26464</v>
      </c>
      <c r="F23577" s="2"/>
      <c r="G23577" s="2"/>
      <c r="H23577" s="2"/>
    </row>
    <row r="23578" spans="1:8" x14ac:dyDescent="0.25">
      <c r="A23578" s="1"/>
      <c r="B23578" s="1" t="s">
        <v>7328</v>
      </c>
      <c r="C23578" s="1" t="s">
        <v>7329</v>
      </c>
      <c r="D23578" s="22" t="str">
        <f>HYPERLINK("https://rhld.insurance.arkansas.gov/NPILookup?Npi=1306307657","1306307657")</f>
        <v>1306307657</v>
      </c>
      <c r="E23578" s="1" t="s">
        <v>2374</v>
      </c>
      <c r="F23578" s="2"/>
      <c r="G23578" s="2"/>
      <c r="H23578" s="2"/>
    </row>
    <row r="23579" spans="1:8" x14ac:dyDescent="0.25">
      <c r="A23579" s="1"/>
      <c r="B23579" s="1" t="s">
        <v>7328</v>
      </c>
      <c r="C23579" s="1" t="s">
        <v>7329</v>
      </c>
      <c r="D23579" s="22" t="str">
        <f>HYPERLINK("https://rhld.insurance.arkansas.gov/NPILookup?Npi=1306310230","1306310230")</f>
        <v>1306310230</v>
      </c>
      <c r="E23579" s="1" t="s">
        <v>7640</v>
      </c>
      <c r="F23579" s="2"/>
      <c r="G23579" s="2"/>
      <c r="H23579" s="2"/>
    </row>
    <row r="23580" spans="1:8" x14ac:dyDescent="0.25">
      <c r="A23580" s="1"/>
      <c r="B23580" s="1" t="s">
        <v>7328</v>
      </c>
      <c r="C23580" s="1" t="s">
        <v>7329</v>
      </c>
      <c r="D23580" s="22" t="str">
        <f>HYPERLINK("https://rhld.insurance.arkansas.gov/NPILookup?Npi=1306312822","1306312822")</f>
        <v>1306312822</v>
      </c>
      <c r="E23580" s="1" t="s">
        <v>7641</v>
      </c>
      <c r="F23580" s="2"/>
      <c r="G23580" s="2"/>
      <c r="H23580" s="2"/>
    </row>
    <row r="23581" spans="1:8" x14ac:dyDescent="0.25">
      <c r="A23581" s="1"/>
      <c r="B23581" s="1" t="s">
        <v>7328</v>
      </c>
      <c r="C23581" s="1" t="s">
        <v>7329</v>
      </c>
      <c r="D23581" s="22" t="str">
        <f>HYPERLINK("https://rhld.insurance.arkansas.gov/NPILookup?Npi=1306319157","1306319157")</f>
        <v>1306319157</v>
      </c>
      <c r="E23581" s="1" t="s">
        <v>26465</v>
      </c>
      <c r="F23581" s="2"/>
      <c r="G23581" s="2"/>
      <c r="H23581" s="2"/>
    </row>
    <row r="23582" spans="1:8" x14ac:dyDescent="0.25">
      <c r="A23582" s="1"/>
      <c r="B23582" s="1" t="s">
        <v>7328</v>
      </c>
      <c r="C23582" s="1" t="s">
        <v>7329</v>
      </c>
      <c r="D23582" s="22" t="str">
        <f>HYPERLINK("https://rhld.insurance.arkansas.gov/NPILookup?Npi=1306322102","1306322102")</f>
        <v>1306322102</v>
      </c>
      <c r="E23582" s="1" t="s">
        <v>26466</v>
      </c>
      <c r="F23582" s="2"/>
      <c r="G23582" s="2"/>
      <c r="H23582" s="2"/>
    </row>
    <row r="23583" spans="1:8" x14ac:dyDescent="0.25">
      <c r="A23583" s="1"/>
      <c r="B23583" s="1" t="s">
        <v>7328</v>
      </c>
      <c r="C23583" s="1" t="s">
        <v>7329</v>
      </c>
      <c r="D23583" s="22" t="str">
        <f>HYPERLINK("https://rhld.insurance.arkansas.gov/NPILookup?Npi=1306326855","1306326855")</f>
        <v>1306326855</v>
      </c>
      <c r="E23583" s="1" t="s">
        <v>26467</v>
      </c>
      <c r="F23583" s="2"/>
      <c r="G23583" s="2"/>
      <c r="H23583" s="2"/>
    </row>
    <row r="23584" spans="1:8" x14ac:dyDescent="0.25">
      <c r="A23584" s="1"/>
      <c r="B23584" s="1" t="s">
        <v>7328</v>
      </c>
      <c r="C23584" s="1" t="s">
        <v>7329</v>
      </c>
      <c r="D23584" s="22" t="str">
        <f>HYPERLINK("https://rhld.insurance.arkansas.gov/NPILookup?Npi=1306338413","1306338413")</f>
        <v>1306338413</v>
      </c>
      <c r="E23584" s="1" t="s">
        <v>12948</v>
      </c>
      <c r="F23584" s="2"/>
      <c r="G23584" s="2"/>
      <c r="H23584" s="2"/>
    </row>
    <row r="23585" spans="1:8" x14ac:dyDescent="0.25">
      <c r="A23585" s="1"/>
      <c r="B23585" s="1" t="s">
        <v>7328</v>
      </c>
      <c r="C23585" s="1" t="s">
        <v>7329</v>
      </c>
      <c r="D23585" s="22" t="str">
        <f>HYPERLINK("https://rhld.insurance.arkansas.gov/NPILookup?Npi=1306339502","1306339502")</f>
        <v>1306339502</v>
      </c>
      <c r="E23585" s="1" t="s">
        <v>26468</v>
      </c>
      <c r="F23585" s="2"/>
      <c r="G23585" s="2"/>
      <c r="H23585" s="2"/>
    </row>
    <row r="23586" spans="1:8" x14ac:dyDescent="0.25">
      <c r="A23586" s="1"/>
      <c r="B23586" s="1" t="s">
        <v>7328</v>
      </c>
      <c r="C23586" s="1" t="s">
        <v>7329</v>
      </c>
      <c r="D23586" s="22" t="str">
        <f>HYPERLINK("https://rhld.insurance.arkansas.gov/NPILookup?Npi=1306340393","1306340393")</f>
        <v>1306340393</v>
      </c>
      <c r="E23586" s="1" t="s">
        <v>26469</v>
      </c>
      <c r="F23586" s="2"/>
      <c r="G23586" s="2"/>
      <c r="H23586" s="2"/>
    </row>
    <row r="23587" spans="1:8" x14ac:dyDescent="0.25">
      <c r="A23587" s="1"/>
      <c r="B23587" s="1" t="s">
        <v>7328</v>
      </c>
      <c r="C23587" s="1" t="s">
        <v>7329</v>
      </c>
      <c r="D23587" s="22" t="str">
        <f>HYPERLINK("https://rhld.insurance.arkansas.gov/NPILookup?Npi=1306348826","1306348826")</f>
        <v>1306348826</v>
      </c>
      <c r="E23587" s="1" t="s">
        <v>26470</v>
      </c>
      <c r="F23587" s="2"/>
      <c r="G23587" s="2"/>
      <c r="H23587" s="2"/>
    </row>
    <row r="23588" spans="1:8" x14ac:dyDescent="0.25">
      <c r="A23588" s="1"/>
      <c r="B23588" s="1" t="s">
        <v>7328</v>
      </c>
      <c r="C23588" s="1" t="s">
        <v>7329</v>
      </c>
      <c r="D23588" s="22" t="str">
        <f>HYPERLINK("https://rhld.insurance.arkansas.gov/NPILookup?Npi=1306365358","1306365358")</f>
        <v>1306365358</v>
      </c>
      <c r="E23588" s="1" t="s">
        <v>23292</v>
      </c>
      <c r="F23588" s="2"/>
      <c r="G23588" s="2"/>
      <c r="H23588" s="2"/>
    </row>
    <row r="23589" spans="1:8" x14ac:dyDescent="0.25">
      <c r="A23589" s="1"/>
      <c r="B23589" s="1" t="s">
        <v>7328</v>
      </c>
      <c r="C23589" s="1" t="s">
        <v>7329</v>
      </c>
      <c r="D23589" s="22" t="str">
        <f>HYPERLINK("https://rhld.insurance.arkansas.gov/NPILookup?Npi=1306366984","1306366984")</f>
        <v>1306366984</v>
      </c>
      <c r="E23589" s="1" t="s">
        <v>26471</v>
      </c>
      <c r="F23589" s="2"/>
      <c r="G23589" s="2"/>
      <c r="H23589" s="2"/>
    </row>
    <row r="23590" spans="1:8" x14ac:dyDescent="0.25">
      <c r="A23590" s="1"/>
      <c r="B23590" s="1" t="s">
        <v>7328</v>
      </c>
      <c r="C23590" s="1" t="s">
        <v>7329</v>
      </c>
      <c r="D23590" s="22" t="str">
        <f>HYPERLINK("https://rhld.insurance.arkansas.gov/NPILookup?Npi=1306368501","1306368501")</f>
        <v>1306368501</v>
      </c>
      <c r="E23590" s="1" t="s">
        <v>2756</v>
      </c>
      <c r="F23590" s="2"/>
      <c r="G23590" s="2"/>
      <c r="H23590" s="2"/>
    </row>
    <row r="23591" spans="1:8" x14ac:dyDescent="0.25">
      <c r="A23591" s="1"/>
      <c r="B23591" s="1" t="s">
        <v>7328</v>
      </c>
      <c r="C23591" s="1" t="s">
        <v>7329</v>
      </c>
      <c r="D23591" s="22" t="str">
        <f>HYPERLINK("https://rhld.insurance.arkansas.gov/NPILookup?Npi=1306375084","1306375084")</f>
        <v>1306375084</v>
      </c>
      <c r="E23591" s="1" t="s">
        <v>26472</v>
      </c>
      <c r="F23591" s="2"/>
      <c r="G23591" s="2"/>
      <c r="H23591" s="2"/>
    </row>
    <row r="23592" spans="1:8" x14ac:dyDescent="0.25">
      <c r="A23592" s="1"/>
      <c r="B23592" s="1" t="s">
        <v>7328</v>
      </c>
      <c r="C23592" s="1" t="s">
        <v>7329</v>
      </c>
      <c r="D23592" s="22" t="str">
        <f>HYPERLINK("https://rhld.insurance.arkansas.gov/NPILookup?Npi=1306387907","1306387907")</f>
        <v>1306387907</v>
      </c>
      <c r="E23592" s="1" t="s">
        <v>12949</v>
      </c>
      <c r="F23592" s="2"/>
      <c r="G23592" s="2"/>
      <c r="H23592" s="2"/>
    </row>
    <row r="23593" spans="1:8" x14ac:dyDescent="0.25">
      <c r="A23593" s="1"/>
      <c r="B23593" s="1" t="s">
        <v>7328</v>
      </c>
      <c r="C23593" s="1" t="s">
        <v>7329</v>
      </c>
      <c r="D23593" s="22" t="str">
        <f>HYPERLINK("https://rhld.insurance.arkansas.gov/NPILookup?Npi=1306388939","1306388939")</f>
        <v>1306388939</v>
      </c>
      <c r="E23593" s="1" t="s">
        <v>32179</v>
      </c>
      <c r="F23593" s="2"/>
      <c r="G23593" s="2"/>
      <c r="H23593" s="2"/>
    </row>
    <row r="23594" spans="1:8" x14ac:dyDescent="0.25">
      <c r="A23594" s="1"/>
      <c r="B23594" s="1" t="s">
        <v>7328</v>
      </c>
      <c r="C23594" s="1" t="s">
        <v>7329</v>
      </c>
      <c r="D23594" s="22" t="str">
        <f>HYPERLINK("https://rhld.insurance.arkansas.gov/NPILookup?Npi=1306393061","1306393061")</f>
        <v>1306393061</v>
      </c>
      <c r="E23594" s="1" t="s">
        <v>762</v>
      </c>
      <c r="F23594" s="2"/>
      <c r="G23594" s="2"/>
      <c r="H23594" s="2"/>
    </row>
    <row r="23595" spans="1:8" x14ac:dyDescent="0.25">
      <c r="A23595" s="1"/>
      <c r="B23595" s="1" t="s">
        <v>7328</v>
      </c>
      <c r="C23595" s="1" t="s">
        <v>7329</v>
      </c>
      <c r="D23595" s="22" t="str">
        <f>HYPERLINK("https://rhld.insurance.arkansas.gov/NPILookup?Npi=1306394465","1306394465")</f>
        <v>1306394465</v>
      </c>
      <c r="E23595" s="1" t="s">
        <v>26473</v>
      </c>
      <c r="F23595" s="2"/>
      <c r="G23595" s="2"/>
      <c r="H23595" s="2"/>
    </row>
    <row r="23596" spans="1:8" x14ac:dyDescent="0.25">
      <c r="A23596" s="1"/>
      <c r="B23596" s="1" t="s">
        <v>7328</v>
      </c>
      <c r="C23596" s="1" t="s">
        <v>7329</v>
      </c>
      <c r="D23596" s="22" t="str">
        <f>HYPERLINK("https://rhld.insurance.arkansas.gov/NPILookup?Npi=1306406806","1306406806")</f>
        <v>1306406806</v>
      </c>
      <c r="E23596" s="1" t="s">
        <v>26474</v>
      </c>
      <c r="F23596" s="2"/>
      <c r="G23596" s="2"/>
      <c r="H23596" s="2"/>
    </row>
    <row r="23597" spans="1:8" x14ac:dyDescent="0.25">
      <c r="A23597" s="1"/>
      <c r="B23597" s="1" t="s">
        <v>7328</v>
      </c>
      <c r="C23597" s="1" t="s">
        <v>7329</v>
      </c>
      <c r="D23597" s="22" t="str">
        <f>HYPERLINK("https://rhld.insurance.arkansas.gov/NPILookup?Npi=1306409271","1306409271")</f>
        <v>1306409271</v>
      </c>
      <c r="E23597" s="1" t="s">
        <v>12950</v>
      </c>
      <c r="F23597" s="2"/>
      <c r="G23597" s="2"/>
      <c r="H23597" s="2"/>
    </row>
    <row r="23598" spans="1:8" x14ac:dyDescent="0.25">
      <c r="A23598" s="1"/>
      <c r="B23598" s="1" t="s">
        <v>7328</v>
      </c>
      <c r="C23598" s="1" t="s">
        <v>7329</v>
      </c>
      <c r="D23598" s="22" t="str">
        <f>HYPERLINK("https://rhld.insurance.arkansas.gov/NPILookup?Npi=1306409966","1306409966")</f>
        <v>1306409966</v>
      </c>
      <c r="E23598" s="1" t="s">
        <v>26475</v>
      </c>
      <c r="F23598" s="2"/>
      <c r="G23598" s="2"/>
      <c r="H23598" s="2"/>
    </row>
    <row r="23599" spans="1:8" x14ac:dyDescent="0.25">
      <c r="A23599" s="1"/>
      <c r="B23599" s="1" t="s">
        <v>7328</v>
      </c>
      <c r="C23599" s="1" t="s">
        <v>7329</v>
      </c>
      <c r="D23599" s="22" t="str">
        <f>HYPERLINK("https://rhld.insurance.arkansas.gov/NPILookup?Npi=1306412119","1306412119")</f>
        <v>1306412119</v>
      </c>
      <c r="E23599" s="1" t="s">
        <v>26476</v>
      </c>
      <c r="F23599" s="2"/>
      <c r="G23599" s="2"/>
      <c r="H23599" s="2"/>
    </row>
    <row r="23600" spans="1:8" x14ac:dyDescent="0.25">
      <c r="A23600" s="1"/>
      <c r="B23600" s="1" t="s">
        <v>7328</v>
      </c>
      <c r="C23600" s="1" t="s">
        <v>7329</v>
      </c>
      <c r="D23600" s="22" t="str">
        <f>HYPERLINK("https://rhld.insurance.arkansas.gov/NPILookup?Npi=1306417548","1306417548")</f>
        <v>1306417548</v>
      </c>
      <c r="E23600" s="1" t="s">
        <v>26477</v>
      </c>
      <c r="F23600" s="2"/>
      <c r="G23600" s="2"/>
      <c r="H23600" s="2"/>
    </row>
    <row r="23601" spans="1:8" x14ac:dyDescent="0.25">
      <c r="A23601" s="1"/>
      <c r="B23601" s="1" t="s">
        <v>7328</v>
      </c>
      <c r="C23601" s="1" t="s">
        <v>7329</v>
      </c>
      <c r="D23601" s="22" t="str">
        <f>HYPERLINK("https://rhld.insurance.arkansas.gov/NPILookup?Npi=1306421862","1306421862")</f>
        <v>1306421862</v>
      </c>
      <c r="E23601" s="1" t="s">
        <v>26478</v>
      </c>
      <c r="F23601" s="2"/>
      <c r="G23601" s="2"/>
      <c r="H23601" s="2"/>
    </row>
    <row r="23602" spans="1:8" x14ac:dyDescent="0.25">
      <c r="A23602" s="1"/>
      <c r="B23602" s="1" t="s">
        <v>7328</v>
      </c>
      <c r="C23602" s="1" t="s">
        <v>7329</v>
      </c>
      <c r="D23602" s="22" t="str">
        <f>HYPERLINK("https://rhld.insurance.arkansas.gov/NPILookup?Npi=1306431887","1306431887")</f>
        <v>1306431887</v>
      </c>
      <c r="E23602" s="1" t="s">
        <v>26479</v>
      </c>
      <c r="F23602" s="2"/>
      <c r="G23602" s="2"/>
      <c r="H23602" s="2"/>
    </row>
    <row r="23603" spans="1:8" x14ac:dyDescent="0.25">
      <c r="A23603" s="1"/>
      <c r="B23603" s="1" t="s">
        <v>7328</v>
      </c>
      <c r="C23603" s="1" t="s">
        <v>7329</v>
      </c>
      <c r="D23603" s="22" t="str">
        <f>HYPERLINK("https://rhld.insurance.arkansas.gov/NPILookup?Npi=1306434527","1306434527")</f>
        <v>1306434527</v>
      </c>
      <c r="E23603" s="1" t="s">
        <v>7642</v>
      </c>
      <c r="F23603" s="2"/>
      <c r="G23603" s="2"/>
      <c r="H23603" s="2"/>
    </row>
    <row r="23604" spans="1:8" x14ac:dyDescent="0.25">
      <c r="A23604" s="1"/>
      <c r="B23604" s="1" t="s">
        <v>7328</v>
      </c>
      <c r="C23604" s="1" t="s">
        <v>7329</v>
      </c>
      <c r="D23604" s="22" t="str">
        <f>HYPERLINK("https://rhld.insurance.arkansas.gov/NPILookup?Npi=1306437694","1306437694")</f>
        <v>1306437694</v>
      </c>
      <c r="E23604" s="1" t="s">
        <v>26480</v>
      </c>
      <c r="F23604" s="2"/>
      <c r="G23604" s="2"/>
      <c r="H23604" s="2"/>
    </row>
    <row r="23605" spans="1:8" x14ac:dyDescent="0.25">
      <c r="A23605" s="1"/>
      <c r="B23605" s="1" t="s">
        <v>7328</v>
      </c>
      <c r="C23605" s="1" t="s">
        <v>7329</v>
      </c>
      <c r="D23605" s="22" t="str">
        <f>HYPERLINK("https://rhld.insurance.arkansas.gov/NPILookup?Npi=1306455860","1306455860")</f>
        <v>1306455860</v>
      </c>
      <c r="E23605" s="1" t="s">
        <v>3248</v>
      </c>
      <c r="F23605" s="2"/>
      <c r="G23605" s="2"/>
      <c r="H23605" s="2"/>
    </row>
    <row r="23606" spans="1:8" x14ac:dyDescent="0.25">
      <c r="A23606" s="1"/>
      <c r="B23606" s="1" t="s">
        <v>7328</v>
      </c>
      <c r="C23606" s="1" t="s">
        <v>7329</v>
      </c>
      <c r="D23606" s="22" t="str">
        <f>HYPERLINK("https://rhld.insurance.arkansas.gov/NPILookup?Npi=1306459516","1306459516")</f>
        <v>1306459516</v>
      </c>
      <c r="E23606" s="1" t="s">
        <v>26481</v>
      </c>
      <c r="F23606" s="2"/>
      <c r="G23606" s="2"/>
      <c r="H23606" s="2"/>
    </row>
    <row r="23607" spans="1:8" x14ac:dyDescent="0.25">
      <c r="A23607" s="1"/>
      <c r="B23607" s="1" t="s">
        <v>7328</v>
      </c>
      <c r="C23607" s="1" t="s">
        <v>7329</v>
      </c>
      <c r="D23607" s="22" t="str">
        <f>HYPERLINK("https://rhld.insurance.arkansas.gov/NPILookup?Npi=1306469556","1306469556")</f>
        <v>1306469556</v>
      </c>
      <c r="E23607" s="1" t="s">
        <v>32180</v>
      </c>
      <c r="F23607" s="2"/>
      <c r="G23607" s="2"/>
      <c r="H23607" s="2"/>
    </row>
    <row r="23608" spans="1:8" x14ac:dyDescent="0.25">
      <c r="A23608" s="1"/>
      <c r="B23608" s="1" t="s">
        <v>7328</v>
      </c>
      <c r="C23608" s="1" t="s">
        <v>7329</v>
      </c>
      <c r="D23608" s="22" t="str">
        <f>HYPERLINK("https://rhld.insurance.arkansas.gov/NPILookup?Npi=1306475470","1306475470")</f>
        <v>1306475470</v>
      </c>
      <c r="E23608" s="1" t="s">
        <v>26482</v>
      </c>
      <c r="F23608" s="2"/>
      <c r="G23608" s="2"/>
      <c r="H23608" s="2"/>
    </row>
    <row r="23609" spans="1:8" x14ac:dyDescent="0.25">
      <c r="A23609" s="1"/>
      <c r="B23609" s="1" t="s">
        <v>7328</v>
      </c>
      <c r="C23609" s="1" t="s">
        <v>7329</v>
      </c>
      <c r="D23609" s="22" t="str">
        <f>HYPERLINK("https://rhld.insurance.arkansas.gov/NPILookup?Npi=1306476510","1306476510")</f>
        <v>1306476510</v>
      </c>
      <c r="E23609" s="1" t="s">
        <v>26483</v>
      </c>
      <c r="F23609" s="2"/>
      <c r="G23609" s="2"/>
      <c r="H23609" s="2"/>
    </row>
    <row r="23610" spans="1:8" x14ac:dyDescent="0.25">
      <c r="A23610" s="1"/>
      <c r="B23610" s="1" t="s">
        <v>7328</v>
      </c>
      <c r="C23610" s="1" t="s">
        <v>7329</v>
      </c>
      <c r="D23610" s="22" t="str">
        <f>HYPERLINK("https://rhld.insurance.arkansas.gov/NPILookup?Npi=1306476676","1306476676")</f>
        <v>1306476676</v>
      </c>
      <c r="E23610" s="1" t="s">
        <v>2757</v>
      </c>
      <c r="F23610" s="2"/>
      <c r="G23610" s="2"/>
      <c r="H23610" s="2"/>
    </row>
    <row r="23611" spans="1:8" x14ac:dyDescent="0.25">
      <c r="A23611" s="1"/>
      <c r="B23611" s="1" t="s">
        <v>7328</v>
      </c>
      <c r="C23611" s="1" t="s">
        <v>7329</v>
      </c>
      <c r="D23611" s="22" t="str">
        <f>HYPERLINK("https://rhld.insurance.arkansas.gov/NPILookup?Npi=1306476957","1306476957")</f>
        <v>1306476957</v>
      </c>
      <c r="E23611" s="1" t="s">
        <v>26484</v>
      </c>
      <c r="F23611" s="2"/>
      <c r="G23611" s="2"/>
      <c r="H23611" s="2"/>
    </row>
    <row r="23612" spans="1:8" x14ac:dyDescent="0.25">
      <c r="A23612" s="1"/>
      <c r="B23612" s="1" t="s">
        <v>7328</v>
      </c>
      <c r="C23612" s="1" t="s">
        <v>7329</v>
      </c>
      <c r="D23612" s="22" t="str">
        <f>HYPERLINK("https://rhld.insurance.arkansas.gov/NPILookup?Npi=1306485917","1306485917")</f>
        <v>1306485917</v>
      </c>
      <c r="E23612" s="1" t="s">
        <v>12951</v>
      </c>
      <c r="F23612" s="2"/>
      <c r="G23612" s="2"/>
      <c r="H23612" s="2"/>
    </row>
    <row r="23613" spans="1:8" x14ac:dyDescent="0.25">
      <c r="A23613" s="1"/>
      <c r="B23613" s="1" t="s">
        <v>7328</v>
      </c>
      <c r="C23613" s="1" t="s">
        <v>7329</v>
      </c>
      <c r="D23613" s="22" t="str">
        <f>HYPERLINK("https://rhld.insurance.arkansas.gov/NPILookup?Npi=1306486519","1306486519")</f>
        <v>1306486519</v>
      </c>
      <c r="E23613" s="1" t="s">
        <v>3553</v>
      </c>
      <c r="F23613" s="2"/>
      <c r="G23613" s="2"/>
      <c r="H23613" s="2"/>
    </row>
    <row r="23614" spans="1:8" x14ac:dyDescent="0.25">
      <c r="A23614" s="1"/>
      <c r="B23614" s="1" t="s">
        <v>7328</v>
      </c>
      <c r="C23614" s="1" t="s">
        <v>7329</v>
      </c>
      <c r="D23614" s="22" t="str">
        <f>HYPERLINK("https://rhld.insurance.arkansas.gov/NPILookup?Npi=1306489281","1306489281")</f>
        <v>1306489281</v>
      </c>
      <c r="E23614" s="1" t="s">
        <v>26485</v>
      </c>
      <c r="F23614" s="2"/>
      <c r="G23614" s="2"/>
      <c r="H23614" s="2"/>
    </row>
    <row r="23615" spans="1:8" x14ac:dyDescent="0.25">
      <c r="A23615" s="1"/>
      <c r="B23615" s="1" t="s">
        <v>7328</v>
      </c>
      <c r="C23615" s="1" t="s">
        <v>7329</v>
      </c>
      <c r="D23615" s="22" t="str">
        <f>HYPERLINK("https://rhld.insurance.arkansas.gov/NPILookup?Npi=1306496849","1306496849")</f>
        <v>1306496849</v>
      </c>
      <c r="E23615" s="1" t="s">
        <v>26486</v>
      </c>
      <c r="F23615" s="2"/>
      <c r="G23615" s="2"/>
      <c r="H23615" s="2"/>
    </row>
    <row r="23616" spans="1:8" x14ac:dyDescent="0.25">
      <c r="A23616" s="1"/>
      <c r="B23616" s="1" t="s">
        <v>7328</v>
      </c>
      <c r="C23616" s="1" t="s">
        <v>7329</v>
      </c>
      <c r="D23616" s="22" t="str">
        <f>HYPERLINK("https://rhld.insurance.arkansas.gov/NPILookup?Npi=1306513635","1306513635")</f>
        <v>1306513635</v>
      </c>
      <c r="E23616" s="1" t="s">
        <v>26487</v>
      </c>
      <c r="F23616" s="2"/>
      <c r="G23616" s="2"/>
      <c r="H23616" s="2"/>
    </row>
    <row r="23617" spans="1:8" x14ac:dyDescent="0.25">
      <c r="A23617" s="1"/>
      <c r="B23617" s="1" t="s">
        <v>7328</v>
      </c>
      <c r="C23617" s="1" t="s">
        <v>7329</v>
      </c>
      <c r="D23617" s="22" t="str">
        <f>HYPERLINK("https://rhld.insurance.arkansas.gov/NPILookup?Npi=1306514666","1306514666")</f>
        <v>1306514666</v>
      </c>
      <c r="E23617" s="1" t="s">
        <v>26488</v>
      </c>
      <c r="F23617" s="2"/>
      <c r="G23617" s="2"/>
      <c r="H23617" s="2"/>
    </row>
    <row r="23618" spans="1:8" x14ac:dyDescent="0.25">
      <c r="A23618" s="1"/>
      <c r="B23618" s="1" t="s">
        <v>7328</v>
      </c>
      <c r="C23618" s="1" t="s">
        <v>7329</v>
      </c>
      <c r="D23618" s="22" t="str">
        <f>HYPERLINK("https://rhld.insurance.arkansas.gov/NPILookup?Npi=1306539168","1306539168")</f>
        <v>1306539168</v>
      </c>
      <c r="E23618" s="1" t="s">
        <v>7643</v>
      </c>
      <c r="F23618" s="2"/>
      <c r="G23618" s="2"/>
      <c r="H23618" s="2"/>
    </row>
    <row r="23619" spans="1:8" x14ac:dyDescent="0.25">
      <c r="A23619" s="1"/>
      <c r="B23619" s="1" t="s">
        <v>7328</v>
      </c>
      <c r="C23619" s="1" t="s">
        <v>7329</v>
      </c>
      <c r="D23619" s="22" t="str">
        <f>HYPERLINK("https://rhld.insurance.arkansas.gov/NPILookup?Npi=1306552054","1306552054")</f>
        <v>1306552054</v>
      </c>
      <c r="E23619" s="1" t="s">
        <v>26489</v>
      </c>
      <c r="F23619" s="2"/>
      <c r="G23619" s="2"/>
      <c r="H23619" s="2"/>
    </row>
    <row r="23620" spans="1:8" x14ac:dyDescent="0.25">
      <c r="A23620" s="1"/>
      <c r="B23620" s="1" t="s">
        <v>7328</v>
      </c>
      <c r="C23620" s="1" t="s">
        <v>7329</v>
      </c>
      <c r="D23620" s="22" t="str">
        <f>HYPERLINK("https://rhld.insurance.arkansas.gov/NPILookup?Npi=1306559075","1306559075")</f>
        <v>1306559075</v>
      </c>
      <c r="E23620" s="1" t="s">
        <v>7644</v>
      </c>
      <c r="F23620" s="2"/>
      <c r="G23620" s="2"/>
      <c r="H23620" s="2"/>
    </row>
    <row r="23621" spans="1:8" x14ac:dyDescent="0.25">
      <c r="A23621" s="1"/>
      <c r="B23621" s="1" t="s">
        <v>7328</v>
      </c>
      <c r="C23621" s="1" t="s">
        <v>7329</v>
      </c>
      <c r="D23621" s="22" t="str">
        <f>HYPERLINK("https://rhld.insurance.arkansas.gov/NPILookup?Npi=1306570346","1306570346")</f>
        <v>1306570346</v>
      </c>
      <c r="E23621" s="1" t="s">
        <v>21797</v>
      </c>
      <c r="F23621" s="2"/>
      <c r="G23621" s="2"/>
      <c r="H23621" s="2"/>
    </row>
    <row r="23622" spans="1:8" x14ac:dyDescent="0.25">
      <c r="A23622" s="1"/>
      <c r="B23622" s="1" t="s">
        <v>7328</v>
      </c>
      <c r="C23622" s="1" t="s">
        <v>7329</v>
      </c>
      <c r="D23622" s="22" t="str">
        <f>HYPERLINK("https://rhld.insurance.arkansas.gov/NPILookup?Npi=1306591391","1306591391")</f>
        <v>1306591391</v>
      </c>
      <c r="E23622" s="1" t="s">
        <v>12952</v>
      </c>
      <c r="F23622" s="2"/>
      <c r="G23622" s="2"/>
      <c r="H23622" s="2"/>
    </row>
    <row r="23623" spans="1:8" x14ac:dyDescent="0.25">
      <c r="A23623" s="1"/>
      <c r="B23623" s="1" t="s">
        <v>7328</v>
      </c>
      <c r="C23623" s="1" t="s">
        <v>7329</v>
      </c>
      <c r="D23623" s="22" t="str">
        <f>HYPERLINK("https://rhld.insurance.arkansas.gov/NPILookup?Npi=1306602701","1306602701")</f>
        <v>1306602701</v>
      </c>
      <c r="E23623" s="1" t="s">
        <v>26490</v>
      </c>
      <c r="F23623" s="2"/>
      <c r="G23623" s="2"/>
      <c r="H23623" s="2"/>
    </row>
    <row r="23624" spans="1:8" x14ac:dyDescent="0.25">
      <c r="A23624" s="1"/>
      <c r="B23624" s="1" t="s">
        <v>7328</v>
      </c>
      <c r="C23624" s="1" t="s">
        <v>7329</v>
      </c>
      <c r="D23624" s="22" t="str">
        <f>HYPERLINK("https://rhld.insurance.arkansas.gov/NPILookup?Npi=1306687074","1306687074")</f>
        <v>1306687074</v>
      </c>
      <c r="E23624" s="1" t="s">
        <v>26491</v>
      </c>
      <c r="F23624" s="2"/>
      <c r="G23624" s="2"/>
      <c r="H23624" s="2"/>
    </row>
    <row r="23625" spans="1:8" x14ac:dyDescent="0.25">
      <c r="A23625" s="1"/>
      <c r="B23625" s="1" t="s">
        <v>7328</v>
      </c>
      <c r="C23625" s="1" t="s">
        <v>7329</v>
      </c>
      <c r="D23625" s="22" t="str">
        <f>HYPERLINK("https://rhld.insurance.arkansas.gov/NPILookup?Npi=1306695382","1306695382")</f>
        <v>1306695382</v>
      </c>
      <c r="E23625" s="1" t="s">
        <v>26492</v>
      </c>
      <c r="F23625" s="2"/>
      <c r="G23625" s="2"/>
      <c r="H23625" s="2"/>
    </row>
    <row r="23626" spans="1:8" x14ac:dyDescent="0.25">
      <c r="A23626" s="1"/>
      <c r="B23626" s="1" t="s">
        <v>7328</v>
      </c>
      <c r="C23626" s="1" t="s">
        <v>7329</v>
      </c>
      <c r="D23626" s="22" t="str">
        <f>HYPERLINK("https://rhld.insurance.arkansas.gov/NPILookup?Npi=1306801196","1306801196")</f>
        <v>1306801196</v>
      </c>
      <c r="E23626" s="1" t="s">
        <v>12953</v>
      </c>
      <c r="F23626" s="2"/>
      <c r="G23626" s="2"/>
      <c r="H23626" s="2"/>
    </row>
    <row r="23627" spans="1:8" x14ac:dyDescent="0.25">
      <c r="A23627" s="1"/>
      <c r="B23627" s="1" t="s">
        <v>7328</v>
      </c>
      <c r="C23627" s="1" t="s">
        <v>7329</v>
      </c>
      <c r="D23627" s="22" t="str">
        <f>HYPERLINK("https://rhld.insurance.arkansas.gov/NPILookup?Npi=1306803655","1306803655")</f>
        <v>1306803655</v>
      </c>
      <c r="E23627" s="1" t="s">
        <v>26493</v>
      </c>
      <c r="F23627" s="2"/>
      <c r="G23627" s="2"/>
      <c r="H23627" s="2"/>
    </row>
    <row r="23628" spans="1:8" x14ac:dyDescent="0.25">
      <c r="A23628" s="1"/>
      <c r="B23628" s="1" t="s">
        <v>7328</v>
      </c>
      <c r="C23628" s="1" t="s">
        <v>7329</v>
      </c>
      <c r="D23628" s="22" t="str">
        <f>HYPERLINK("https://rhld.insurance.arkansas.gov/NPILookup?Npi=1306805379","1306805379")</f>
        <v>1306805379</v>
      </c>
      <c r="E23628" s="1" t="s">
        <v>2758</v>
      </c>
      <c r="F23628" s="2"/>
      <c r="G23628" s="2"/>
      <c r="H23628" s="2"/>
    </row>
    <row r="23629" spans="1:8" x14ac:dyDescent="0.25">
      <c r="A23629" s="1"/>
      <c r="B23629" s="1" t="s">
        <v>7328</v>
      </c>
      <c r="C23629" s="1" t="s">
        <v>7329</v>
      </c>
      <c r="D23629" s="22" t="str">
        <f>HYPERLINK("https://rhld.insurance.arkansas.gov/NPILookup?Npi=1306809124","1306809124")</f>
        <v>1306809124</v>
      </c>
      <c r="E23629" s="1" t="s">
        <v>26494</v>
      </c>
      <c r="F23629" s="2"/>
      <c r="G23629" s="2"/>
      <c r="H23629" s="2"/>
    </row>
    <row r="23630" spans="1:8" x14ac:dyDescent="0.25">
      <c r="A23630" s="1"/>
      <c r="B23630" s="1" t="s">
        <v>7328</v>
      </c>
      <c r="C23630" s="1" t="s">
        <v>7329</v>
      </c>
      <c r="D23630" s="22" t="str">
        <f>HYPERLINK("https://rhld.insurance.arkansas.gov/NPILookup?Npi=1306810171","1306810171")</f>
        <v>1306810171</v>
      </c>
      <c r="E23630" s="1" t="s">
        <v>12954</v>
      </c>
      <c r="F23630" s="2"/>
      <c r="G23630" s="2"/>
      <c r="H23630" s="2"/>
    </row>
    <row r="23631" spans="1:8" x14ac:dyDescent="0.25">
      <c r="A23631" s="1"/>
      <c r="B23631" s="1" t="s">
        <v>7328</v>
      </c>
      <c r="C23631" s="1" t="s">
        <v>7329</v>
      </c>
      <c r="D23631" s="22" t="str">
        <f>HYPERLINK("https://rhld.insurance.arkansas.gov/NPILookup?Npi=1306814546","1306814546")</f>
        <v>1306814546</v>
      </c>
      <c r="E23631" s="1" t="s">
        <v>26495</v>
      </c>
      <c r="F23631" s="2"/>
      <c r="G23631" s="2"/>
      <c r="H23631" s="2"/>
    </row>
    <row r="23632" spans="1:8" x14ac:dyDescent="0.25">
      <c r="A23632" s="1"/>
      <c r="B23632" s="1" t="s">
        <v>7328</v>
      </c>
      <c r="C23632" s="1" t="s">
        <v>7329</v>
      </c>
      <c r="D23632" s="22" t="str">
        <f>HYPERLINK("https://rhld.insurance.arkansas.gov/NPILookup?Npi=1306816087","1306816087")</f>
        <v>1306816087</v>
      </c>
      <c r="E23632" s="1" t="s">
        <v>26496</v>
      </c>
      <c r="F23632" s="2"/>
      <c r="G23632" s="2"/>
      <c r="H23632" s="2"/>
    </row>
    <row r="23633" spans="1:8" x14ac:dyDescent="0.25">
      <c r="A23633" s="1"/>
      <c r="B23633" s="1" t="s">
        <v>7328</v>
      </c>
      <c r="C23633" s="1" t="s">
        <v>7329</v>
      </c>
      <c r="D23633" s="22" t="str">
        <f>HYPERLINK("https://rhld.insurance.arkansas.gov/NPILookup?Npi=1306830468","1306830468")</f>
        <v>1306830468</v>
      </c>
      <c r="E23633" s="1" t="s">
        <v>2001</v>
      </c>
      <c r="F23633" s="2"/>
      <c r="G23633" s="2"/>
      <c r="H23633" s="2"/>
    </row>
    <row r="23634" spans="1:8" x14ac:dyDescent="0.25">
      <c r="A23634" s="1"/>
      <c r="B23634" s="1" t="s">
        <v>7328</v>
      </c>
      <c r="C23634" s="1" t="s">
        <v>7329</v>
      </c>
      <c r="D23634" s="22" t="str">
        <f>HYPERLINK("https://rhld.insurance.arkansas.gov/NPILookup?Npi=1306833116","1306833116")</f>
        <v>1306833116</v>
      </c>
      <c r="E23634" s="1" t="s">
        <v>26497</v>
      </c>
      <c r="F23634" s="2"/>
      <c r="G23634" s="2"/>
      <c r="H23634" s="2"/>
    </row>
    <row r="23635" spans="1:8" x14ac:dyDescent="0.25">
      <c r="A23635" s="1"/>
      <c r="B23635" s="1" t="s">
        <v>7328</v>
      </c>
      <c r="C23635" s="1" t="s">
        <v>7329</v>
      </c>
      <c r="D23635" s="22" t="str">
        <f>HYPERLINK("https://rhld.insurance.arkansas.gov/NPILookup?Npi=1306835756","1306835756")</f>
        <v>1306835756</v>
      </c>
      <c r="E23635" s="1" t="s">
        <v>2759</v>
      </c>
      <c r="F23635" s="2"/>
      <c r="G23635" s="2"/>
      <c r="H23635" s="2"/>
    </row>
    <row r="23636" spans="1:8" x14ac:dyDescent="0.25">
      <c r="A23636" s="1"/>
      <c r="B23636" s="1" t="s">
        <v>7328</v>
      </c>
      <c r="C23636" s="1" t="s">
        <v>7329</v>
      </c>
      <c r="D23636" s="22" t="str">
        <f>HYPERLINK("https://rhld.insurance.arkansas.gov/NPILookup?Npi=1306865522","1306865522")</f>
        <v>1306865522</v>
      </c>
      <c r="E23636" s="1" t="s">
        <v>26498</v>
      </c>
      <c r="F23636" s="2"/>
      <c r="G23636" s="2"/>
      <c r="H23636" s="2"/>
    </row>
    <row r="23637" spans="1:8" x14ac:dyDescent="0.25">
      <c r="A23637" s="1"/>
      <c r="B23637" s="1" t="s">
        <v>7328</v>
      </c>
      <c r="C23637" s="1" t="s">
        <v>7329</v>
      </c>
      <c r="D23637" s="22" t="str">
        <f>HYPERLINK("https://rhld.insurance.arkansas.gov/NPILookup?Npi=1306870068","1306870068")</f>
        <v>1306870068</v>
      </c>
      <c r="E23637" s="1" t="s">
        <v>4330</v>
      </c>
      <c r="F23637" s="2"/>
      <c r="G23637" s="2"/>
      <c r="H23637" s="2"/>
    </row>
    <row r="23638" spans="1:8" x14ac:dyDescent="0.25">
      <c r="A23638" s="1"/>
      <c r="B23638" s="1" t="s">
        <v>7328</v>
      </c>
      <c r="C23638" s="1" t="s">
        <v>7329</v>
      </c>
      <c r="D23638" s="22" t="str">
        <f>HYPERLINK("https://rhld.insurance.arkansas.gov/NPILookup?Npi=1306876826","1306876826")</f>
        <v>1306876826</v>
      </c>
      <c r="E23638" s="1" t="s">
        <v>2760</v>
      </c>
      <c r="F23638" s="2"/>
      <c r="G23638" s="2"/>
      <c r="H23638" s="2"/>
    </row>
    <row r="23639" spans="1:8" x14ac:dyDescent="0.25">
      <c r="A23639" s="1"/>
      <c r="B23639" s="1" t="s">
        <v>7328</v>
      </c>
      <c r="C23639" s="1" t="s">
        <v>7329</v>
      </c>
      <c r="D23639" s="22" t="str">
        <f>HYPERLINK("https://rhld.insurance.arkansas.gov/NPILookup?Npi=1306882501","1306882501")</f>
        <v>1306882501</v>
      </c>
      <c r="E23639" s="1" t="s">
        <v>26499</v>
      </c>
      <c r="F23639" s="2"/>
      <c r="G23639" s="2"/>
      <c r="H23639" s="2"/>
    </row>
    <row r="23640" spans="1:8" x14ac:dyDescent="0.25">
      <c r="A23640" s="1"/>
      <c r="B23640" s="1" t="s">
        <v>7328</v>
      </c>
      <c r="C23640" s="1" t="s">
        <v>7329</v>
      </c>
      <c r="D23640" s="22" t="str">
        <f>HYPERLINK("https://rhld.insurance.arkansas.gov/NPILookup?Npi=1306885116","1306885116")</f>
        <v>1306885116</v>
      </c>
      <c r="E23640" s="1" t="s">
        <v>2761</v>
      </c>
      <c r="F23640" s="2"/>
      <c r="G23640" s="2"/>
      <c r="H23640" s="2"/>
    </row>
    <row r="23641" spans="1:8" x14ac:dyDescent="0.25">
      <c r="A23641" s="1"/>
      <c r="B23641" s="1" t="s">
        <v>7328</v>
      </c>
      <c r="C23641" s="1" t="s">
        <v>7329</v>
      </c>
      <c r="D23641" s="22" t="str">
        <f>HYPERLINK("https://rhld.insurance.arkansas.gov/NPILookup?Npi=1306885520","1306885520")</f>
        <v>1306885520</v>
      </c>
      <c r="E23641" s="1" t="s">
        <v>10276</v>
      </c>
      <c r="F23641" s="2"/>
      <c r="G23641" s="2"/>
      <c r="H23641" s="2"/>
    </row>
    <row r="23642" spans="1:8" x14ac:dyDescent="0.25">
      <c r="A23642" s="1"/>
      <c r="B23642" s="1" t="s">
        <v>7328</v>
      </c>
      <c r="C23642" s="1" t="s">
        <v>7329</v>
      </c>
      <c r="D23642" s="22" t="str">
        <f>HYPERLINK("https://rhld.insurance.arkansas.gov/NPILookup?Npi=1306895586","1306895586")</f>
        <v>1306895586</v>
      </c>
      <c r="E23642" s="1" t="s">
        <v>2762</v>
      </c>
      <c r="F23642" s="2"/>
      <c r="G23642" s="2"/>
      <c r="H23642" s="2"/>
    </row>
    <row r="23643" spans="1:8" x14ac:dyDescent="0.25">
      <c r="A23643" s="1"/>
      <c r="B23643" s="1" t="s">
        <v>7328</v>
      </c>
      <c r="C23643" s="1" t="s">
        <v>7329</v>
      </c>
      <c r="D23643" s="22" t="str">
        <f>HYPERLINK("https://rhld.insurance.arkansas.gov/NPILookup?Npi=1306919857","1306919857")</f>
        <v>1306919857</v>
      </c>
      <c r="E23643" s="1" t="s">
        <v>2002</v>
      </c>
      <c r="F23643" s="2"/>
      <c r="G23643" s="2"/>
      <c r="H23643" s="2"/>
    </row>
    <row r="23644" spans="1:8" x14ac:dyDescent="0.25">
      <c r="A23644" s="1"/>
      <c r="B23644" s="1" t="s">
        <v>7328</v>
      </c>
      <c r="C23644" s="1" t="s">
        <v>7329</v>
      </c>
      <c r="D23644" s="22" t="str">
        <f>HYPERLINK("https://rhld.insurance.arkansas.gov/NPILookup?Npi=1306922497","1306922497")</f>
        <v>1306922497</v>
      </c>
      <c r="E23644" s="1" t="s">
        <v>21436</v>
      </c>
      <c r="F23644" s="2"/>
      <c r="G23644" s="2"/>
      <c r="H23644" s="2"/>
    </row>
    <row r="23645" spans="1:8" x14ac:dyDescent="0.25">
      <c r="A23645" s="1"/>
      <c r="B23645" s="1" t="s">
        <v>7328</v>
      </c>
      <c r="C23645" s="1" t="s">
        <v>7329</v>
      </c>
      <c r="D23645" s="22" t="str">
        <f>HYPERLINK("https://rhld.insurance.arkansas.gov/NPILookup?Npi=1306942297","1306942297")</f>
        <v>1306942297</v>
      </c>
      <c r="E23645" s="1" t="s">
        <v>4331</v>
      </c>
      <c r="F23645" s="2"/>
      <c r="G23645" s="2"/>
      <c r="H23645" s="2"/>
    </row>
    <row r="23646" spans="1:8" x14ac:dyDescent="0.25">
      <c r="A23646" s="1"/>
      <c r="B23646" s="1" t="s">
        <v>7328</v>
      </c>
      <c r="C23646" s="1" t="s">
        <v>7329</v>
      </c>
      <c r="D23646" s="22" t="str">
        <f>HYPERLINK("https://rhld.insurance.arkansas.gov/NPILookup?Npi=1306944913","1306944913")</f>
        <v>1306944913</v>
      </c>
      <c r="E23646" s="1" t="s">
        <v>236</v>
      </c>
      <c r="F23646" s="2"/>
      <c r="G23646" s="2"/>
      <c r="H23646" s="2"/>
    </row>
    <row r="23647" spans="1:8" x14ac:dyDescent="0.25">
      <c r="A23647" s="1"/>
      <c r="B23647" s="1" t="s">
        <v>7328</v>
      </c>
      <c r="C23647" s="1" t="s">
        <v>7329</v>
      </c>
      <c r="D23647" s="22" t="str">
        <f>HYPERLINK("https://rhld.insurance.arkansas.gov/NPILookup?Npi=1306956032","1306956032")</f>
        <v>1306956032</v>
      </c>
      <c r="E23647" s="1" t="s">
        <v>26500</v>
      </c>
      <c r="F23647" s="2"/>
      <c r="G23647" s="2"/>
      <c r="H23647" s="2"/>
    </row>
    <row r="23648" spans="1:8" x14ac:dyDescent="0.25">
      <c r="A23648" s="1"/>
      <c r="B23648" s="1" t="s">
        <v>7328</v>
      </c>
      <c r="C23648" s="1" t="s">
        <v>7329</v>
      </c>
      <c r="D23648" s="22" t="str">
        <f>HYPERLINK("https://rhld.insurance.arkansas.gov/NPILookup?Npi=1306957006","1306957006")</f>
        <v>1306957006</v>
      </c>
      <c r="E23648" s="1" t="s">
        <v>26501</v>
      </c>
      <c r="F23648" s="2"/>
      <c r="G23648" s="2"/>
      <c r="H23648" s="2"/>
    </row>
    <row r="23649" spans="1:8" x14ac:dyDescent="0.25">
      <c r="A23649" s="1"/>
      <c r="B23649" s="1" t="s">
        <v>7328</v>
      </c>
      <c r="C23649" s="1" t="s">
        <v>7329</v>
      </c>
      <c r="D23649" s="22" t="str">
        <f>HYPERLINK("https://rhld.insurance.arkansas.gov/NPILookup?Npi=1306968284","1306968284")</f>
        <v>1306968284</v>
      </c>
      <c r="E23649" s="1" t="s">
        <v>10277</v>
      </c>
      <c r="F23649" s="2"/>
      <c r="G23649" s="2"/>
      <c r="H23649" s="2"/>
    </row>
    <row r="23650" spans="1:8" x14ac:dyDescent="0.25">
      <c r="A23650" s="1"/>
      <c r="B23650" s="1" t="s">
        <v>7328</v>
      </c>
      <c r="C23650" s="1" t="s">
        <v>7329</v>
      </c>
      <c r="D23650" s="22" t="str">
        <f>HYPERLINK("https://rhld.insurance.arkansas.gov/NPILookup?Npi=1306995527","1306995527")</f>
        <v>1306995527</v>
      </c>
      <c r="E23650" s="1" t="s">
        <v>237</v>
      </c>
      <c r="F23650" s="2"/>
      <c r="G23650" s="2"/>
      <c r="H23650" s="2"/>
    </row>
    <row r="23651" spans="1:8" x14ac:dyDescent="0.25">
      <c r="A23651" s="1"/>
      <c r="B23651" s="1" t="s">
        <v>7328</v>
      </c>
      <c r="C23651" s="1" t="s">
        <v>7329</v>
      </c>
      <c r="D23651" s="22" t="str">
        <f>HYPERLINK("https://rhld.insurance.arkansas.gov/NPILookup?Npi=1316048085","1316048085")</f>
        <v>1316048085</v>
      </c>
      <c r="E23651" s="1" t="s">
        <v>26502</v>
      </c>
      <c r="F23651" s="2"/>
      <c r="G23651" s="2"/>
      <c r="H23651" s="2"/>
    </row>
    <row r="23652" spans="1:8" x14ac:dyDescent="0.25">
      <c r="A23652" s="1"/>
      <c r="B23652" s="1" t="s">
        <v>7328</v>
      </c>
      <c r="C23652" s="1" t="s">
        <v>7329</v>
      </c>
      <c r="D23652" s="22" t="str">
        <f>HYPERLINK("https://rhld.insurance.arkansas.gov/NPILookup?Npi=1316060775","1316060775")</f>
        <v>1316060775</v>
      </c>
      <c r="E23652" s="1" t="s">
        <v>32181</v>
      </c>
      <c r="F23652" s="2"/>
      <c r="G23652" s="2"/>
      <c r="H23652" s="2"/>
    </row>
    <row r="23653" spans="1:8" x14ac:dyDescent="0.25">
      <c r="A23653" s="1"/>
      <c r="B23653" s="1" t="s">
        <v>7328</v>
      </c>
      <c r="C23653" s="1" t="s">
        <v>7329</v>
      </c>
      <c r="D23653" s="22" t="str">
        <f>HYPERLINK("https://rhld.insurance.arkansas.gov/NPILookup?Npi=1316089147","1316089147")</f>
        <v>1316089147</v>
      </c>
      <c r="E23653" s="1" t="s">
        <v>12955</v>
      </c>
      <c r="F23653" s="2"/>
      <c r="G23653" s="2"/>
      <c r="H23653" s="2"/>
    </row>
    <row r="23654" spans="1:8" x14ac:dyDescent="0.25">
      <c r="A23654" s="1"/>
      <c r="B23654" s="1" t="s">
        <v>7328</v>
      </c>
      <c r="C23654" s="1" t="s">
        <v>7329</v>
      </c>
      <c r="D23654" s="22" t="str">
        <f>HYPERLINK("https://rhld.insurance.arkansas.gov/NPILookup?Npi=1316100373","1316100373")</f>
        <v>1316100373</v>
      </c>
      <c r="E23654" s="1" t="s">
        <v>3135</v>
      </c>
      <c r="F23654" s="2"/>
      <c r="G23654" s="2"/>
      <c r="H23654" s="2"/>
    </row>
    <row r="23655" spans="1:8" x14ac:dyDescent="0.25">
      <c r="A23655" s="1"/>
      <c r="B23655" s="1" t="s">
        <v>7328</v>
      </c>
      <c r="C23655" s="1" t="s">
        <v>7329</v>
      </c>
      <c r="D23655" s="22" t="str">
        <f>HYPERLINK("https://rhld.insurance.arkansas.gov/NPILookup?Npi=1316107121","1316107121")</f>
        <v>1316107121</v>
      </c>
      <c r="E23655" s="1" t="s">
        <v>26503</v>
      </c>
      <c r="F23655" s="2"/>
      <c r="G23655" s="2"/>
      <c r="H23655" s="2"/>
    </row>
    <row r="23656" spans="1:8" x14ac:dyDescent="0.25">
      <c r="A23656" s="1"/>
      <c r="B23656" s="1" t="s">
        <v>7328</v>
      </c>
      <c r="C23656" s="1" t="s">
        <v>7329</v>
      </c>
      <c r="D23656" s="22" t="str">
        <f>HYPERLINK("https://rhld.insurance.arkansas.gov/NPILookup?Npi=1316109531","1316109531")</f>
        <v>1316109531</v>
      </c>
      <c r="E23656" s="1" t="s">
        <v>7645</v>
      </c>
      <c r="F23656" s="2"/>
      <c r="G23656" s="2"/>
      <c r="H23656" s="2"/>
    </row>
    <row r="23657" spans="1:8" x14ac:dyDescent="0.25">
      <c r="A23657" s="1"/>
      <c r="B23657" s="1" t="s">
        <v>7328</v>
      </c>
      <c r="C23657" s="1" t="s">
        <v>7329</v>
      </c>
      <c r="D23657" s="22" t="str">
        <f>HYPERLINK("https://rhld.insurance.arkansas.gov/NPILookup?Npi=1316119118","1316119118")</f>
        <v>1316119118</v>
      </c>
      <c r="E23657" s="1" t="s">
        <v>7646</v>
      </c>
      <c r="F23657" s="2"/>
      <c r="G23657" s="2"/>
      <c r="H23657" s="2"/>
    </row>
    <row r="23658" spans="1:8" x14ac:dyDescent="0.25">
      <c r="A23658" s="1"/>
      <c r="B23658" s="1" t="s">
        <v>7328</v>
      </c>
      <c r="C23658" s="1" t="s">
        <v>7329</v>
      </c>
      <c r="D23658" s="22" t="str">
        <f>HYPERLINK("https://rhld.insurance.arkansas.gov/NPILookup?Npi=1316148547","1316148547")</f>
        <v>1316148547</v>
      </c>
      <c r="E23658" s="1" t="s">
        <v>11143</v>
      </c>
      <c r="F23658" s="2"/>
      <c r="G23658" s="2"/>
      <c r="H23658" s="2"/>
    </row>
    <row r="23659" spans="1:8" x14ac:dyDescent="0.25">
      <c r="A23659" s="1"/>
      <c r="B23659" s="1" t="s">
        <v>7328</v>
      </c>
      <c r="C23659" s="1" t="s">
        <v>7329</v>
      </c>
      <c r="D23659" s="22" t="str">
        <f>HYPERLINK("https://rhld.insurance.arkansas.gov/NPILookup?Npi=1316193345","1316193345")</f>
        <v>1316193345</v>
      </c>
      <c r="E23659" s="1" t="s">
        <v>12956</v>
      </c>
      <c r="F23659" s="2"/>
      <c r="G23659" s="2"/>
      <c r="H23659" s="2"/>
    </row>
    <row r="23660" spans="1:8" x14ac:dyDescent="0.25">
      <c r="A23660" s="1"/>
      <c r="B23660" s="1" t="s">
        <v>7328</v>
      </c>
      <c r="C23660" s="1" t="s">
        <v>7329</v>
      </c>
      <c r="D23660" s="22" t="str">
        <f>HYPERLINK("https://rhld.insurance.arkansas.gov/NPILookup?Npi=1316193691","1316193691")</f>
        <v>1316193691</v>
      </c>
      <c r="E23660" s="1" t="s">
        <v>26504</v>
      </c>
      <c r="F23660" s="2"/>
      <c r="G23660" s="2"/>
      <c r="H23660" s="2"/>
    </row>
    <row r="23661" spans="1:8" x14ac:dyDescent="0.25">
      <c r="A23661" s="1"/>
      <c r="B23661" s="1" t="s">
        <v>7328</v>
      </c>
      <c r="C23661" s="1" t="s">
        <v>7329</v>
      </c>
      <c r="D23661" s="22" t="str">
        <f>HYPERLINK("https://rhld.insurance.arkansas.gov/NPILookup?Npi=1316201312","1316201312")</f>
        <v>1316201312</v>
      </c>
      <c r="E23661" s="1" t="s">
        <v>26505</v>
      </c>
      <c r="F23661" s="2"/>
      <c r="G23661" s="2"/>
      <c r="H23661" s="2"/>
    </row>
    <row r="23662" spans="1:8" x14ac:dyDescent="0.25">
      <c r="A23662" s="1"/>
      <c r="B23662" s="1" t="s">
        <v>7328</v>
      </c>
      <c r="C23662" s="1" t="s">
        <v>7329</v>
      </c>
      <c r="D23662" s="22" t="str">
        <f>HYPERLINK("https://rhld.insurance.arkansas.gov/NPILookup?Npi=1316204746","1316204746")</f>
        <v>1316204746</v>
      </c>
      <c r="E23662" s="1" t="s">
        <v>2003</v>
      </c>
      <c r="F23662" s="2"/>
      <c r="G23662" s="2"/>
      <c r="H23662" s="2"/>
    </row>
    <row r="23663" spans="1:8" x14ac:dyDescent="0.25">
      <c r="A23663" s="1"/>
      <c r="B23663" s="1" t="s">
        <v>7328</v>
      </c>
      <c r="C23663" s="1" t="s">
        <v>7329</v>
      </c>
      <c r="D23663" s="22" t="str">
        <f>HYPERLINK("https://rhld.insurance.arkansas.gov/NPILookup?Npi=1316208093","1316208093")</f>
        <v>1316208093</v>
      </c>
      <c r="E23663" s="1" t="s">
        <v>10279</v>
      </c>
      <c r="F23663" s="2"/>
      <c r="G23663" s="2"/>
      <c r="H23663" s="2"/>
    </row>
    <row r="23664" spans="1:8" x14ac:dyDescent="0.25">
      <c r="A23664" s="1"/>
      <c r="B23664" s="1" t="s">
        <v>7328</v>
      </c>
      <c r="C23664" s="1" t="s">
        <v>7329</v>
      </c>
      <c r="D23664" s="22" t="str">
        <f>HYPERLINK("https://rhld.insurance.arkansas.gov/NPILookup?Npi=1316211469","1316211469")</f>
        <v>1316211469</v>
      </c>
      <c r="E23664" s="1" t="s">
        <v>2763</v>
      </c>
      <c r="F23664" s="2"/>
      <c r="G23664" s="2"/>
      <c r="H23664" s="2"/>
    </row>
    <row r="23665" spans="1:8" x14ac:dyDescent="0.25">
      <c r="A23665" s="1"/>
      <c r="B23665" s="1" t="s">
        <v>7328</v>
      </c>
      <c r="C23665" s="1" t="s">
        <v>7329</v>
      </c>
      <c r="D23665" s="22" t="str">
        <f>HYPERLINK("https://rhld.insurance.arkansas.gov/NPILookup?Npi=1316211782","1316211782")</f>
        <v>1316211782</v>
      </c>
      <c r="E23665" s="1" t="s">
        <v>2004</v>
      </c>
      <c r="F23665" s="2"/>
      <c r="G23665" s="2"/>
      <c r="H23665" s="2"/>
    </row>
    <row r="23666" spans="1:8" x14ac:dyDescent="0.25">
      <c r="A23666" s="1"/>
      <c r="B23666" s="1" t="s">
        <v>7328</v>
      </c>
      <c r="C23666" s="1" t="s">
        <v>7329</v>
      </c>
      <c r="D23666" s="22" t="str">
        <f>HYPERLINK("https://rhld.insurance.arkansas.gov/NPILookup?Npi=1316219116","1316219116")</f>
        <v>1316219116</v>
      </c>
      <c r="E23666" s="1" t="s">
        <v>32182</v>
      </c>
      <c r="F23666" s="2"/>
      <c r="G23666" s="2"/>
      <c r="H23666" s="2"/>
    </row>
    <row r="23667" spans="1:8" x14ac:dyDescent="0.25">
      <c r="A23667" s="1"/>
      <c r="B23667" s="1" t="s">
        <v>7328</v>
      </c>
      <c r="C23667" s="1" t="s">
        <v>7329</v>
      </c>
      <c r="D23667" s="22" t="str">
        <f>HYPERLINK("https://rhld.insurance.arkansas.gov/NPILookup?Npi=1316220049","1316220049")</f>
        <v>1316220049</v>
      </c>
      <c r="E23667" s="1" t="s">
        <v>10280</v>
      </c>
      <c r="F23667" s="2"/>
      <c r="G23667" s="2"/>
      <c r="H23667" s="2"/>
    </row>
    <row r="23668" spans="1:8" x14ac:dyDescent="0.25">
      <c r="A23668" s="1"/>
      <c r="B23668" s="1" t="s">
        <v>7328</v>
      </c>
      <c r="C23668" s="1" t="s">
        <v>7329</v>
      </c>
      <c r="D23668" s="22" t="str">
        <f>HYPERLINK("https://rhld.insurance.arkansas.gov/NPILookup?Npi=1316230816","1316230816")</f>
        <v>1316230816</v>
      </c>
      <c r="E23668" s="1" t="s">
        <v>17410</v>
      </c>
      <c r="F23668" s="2"/>
      <c r="G23668" s="2"/>
      <c r="H23668" s="2"/>
    </row>
    <row r="23669" spans="1:8" x14ac:dyDescent="0.25">
      <c r="A23669" s="1"/>
      <c r="B23669" s="1" t="s">
        <v>7328</v>
      </c>
      <c r="C23669" s="1" t="s">
        <v>7329</v>
      </c>
      <c r="D23669" s="22" t="str">
        <f>HYPERLINK("https://rhld.insurance.arkansas.gov/NPILookup?Npi=1316232648","1316232648")</f>
        <v>1316232648</v>
      </c>
      <c r="E23669" s="1" t="s">
        <v>4332</v>
      </c>
      <c r="F23669" s="2"/>
      <c r="G23669" s="2"/>
      <c r="H23669" s="2"/>
    </row>
    <row r="23670" spans="1:8" x14ac:dyDescent="0.25">
      <c r="A23670" s="1"/>
      <c r="B23670" s="1" t="s">
        <v>7328</v>
      </c>
      <c r="C23670" s="1" t="s">
        <v>7329</v>
      </c>
      <c r="D23670" s="22" t="str">
        <f>HYPERLINK("https://rhld.insurance.arkansas.gov/NPILookup?Npi=1316265820","1316265820")</f>
        <v>1316265820</v>
      </c>
      <c r="E23670" s="1" t="s">
        <v>2764</v>
      </c>
      <c r="F23670" s="2"/>
      <c r="G23670" s="2"/>
      <c r="H23670" s="2"/>
    </row>
    <row r="23671" spans="1:8" x14ac:dyDescent="0.25">
      <c r="A23671" s="1"/>
      <c r="B23671" s="1" t="s">
        <v>7328</v>
      </c>
      <c r="C23671" s="1" t="s">
        <v>7329</v>
      </c>
      <c r="D23671" s="22" t="str">
        <f>HYPERLINK("https://rhld.insurance.arkansas.gov/NPILookup?Npi=1316272057","1316272057")</f>
        <v>1316272057</v>
      </c>
      <c r="E23671" s="1" t="s">
        <v>7647</v>
      </c>
      <c r="F23671" s="2"/>
      <c r="G23671" s="2"/>
      <c r="H23671" s="2"/>
    </row>
    <row r="23672" spans="1:8" x14ac:dyDescent="0.25">
      <c r="A23672" s="1"/>
      <c r="B23672" s="1" t="s">
        <v>7328</v>
      </c>
      <c r="C23672" s="1" t="s">
        <v>7329</v>
      </c>
      <c r="D23672" s="22" t="str">
        <f>HYPERLINK("https://rhld.insurance.arkansas.gov/NPILookup?Npi=1316272388","1316272388")</f>
        <v>1316272388</v>
      </c>
      <c r="E23672" s="1" t="s">
        <v>7648</v>
      </c>
      <c r="F23672" s="2"/>
      <c r="G23672" s="2"/>
      <c r="H23672" s="2"/>
    </row>
    <row r="23673" spans="1:8" x14ac:dyDescent="0.25">
      <c r="A23673" s="1"/>
      <c r="B23673" s="1" t="s">
        <v>7328</v>
      </c>
      <c r="C23673" s="1" t="s">
        <v>7329</v>
      </c>
      <c r="D23673" s="22" t="str">
        <f>HYPERLINK("https://rhld.insurance.arkansas.gov/NPILookup?Npi=1316293186","1316293186")</f>
        <v>1316293186</v>
      </c>
      <c r="E23673" s="1" t="s">
        <v>26506</v>
      </c>
      <c r="F23673" s="2"/>
      <c r="G23673" s="2"/>
      <c r="H23673" s="2"/>
    </row>
    <row r="23674" spans="1:8" x14ac:dyDescent="0.25">
      <c r="A23674" s="1"/>
      <c r="B23674" s="1" t="s">
        <v>7328</v>
      </c>
      <c r="C23674" s="1" t="s">
        <v>7329</v>
      </c>
      <c r="D23674" s="22" t="str">
        <f>HYPERLINK("https://rhld.insurance.arkansas.gov/NPILookup?Npi=1316308646","1316308646")</f>
        <v>1316308646</v>
      </c>
      <c r="E23674" s="1" t="s">
        <v>12957</v>
      </c>
      <c r="F23674" s="2"/>
      <c r="G23674" s="2"/>
      <c r="H23674" s="2"/>
    </row>
    <row r="23675" spans="1:8" x14ac:dyDescent="0.25">
      <c r="A23675" s="1"/>
      <c r="B23675" s="1" t="s">
        <v>7328</v>
      </c>
      <c r="C23675" s="1" t="s">
        <v>7329</v>
      </c>
      <c r="D23675" s="22" t="str">
        <f>HYPERLINK("https://rhld.insurance.arkansas.gov/NPILookup?Npi=1316312267","1316312267")</f>
        <v>1316312267</v>
      </c>
      <c r="E23675" s="1" t="s">
        <v>21818</v>
      </c>
      <c r="F23675" s="2"/>
      <c r="G23675" s="2"/>
      <c r="H23675" s="2"/>
    </row>
    <row r="23676" spans="1:8" x14ac:dyDescent="0.25">
      <c r="A23676" s="1"/>
      <c r="B23676" s="1" t="s">
        <v>7328</v>
      </c>
      <c r="C23676" s="1" t="s">
        <v>7329</v>
      </c>
      <c r="D23676" s="22" t="str">
        <f>HYPERLINK("https://rhld.insurance.arkansas.gov/NPILookup?Npi=1316318595","1316318595")</f>
        <v>1316318595</v>
      </c>
      <c r="E23676" s="1" t="s">
        <v>26507</v>
      </c>
      <c r="F23676" s="2"/>
      <c r="G23676" s="2"/>
      <c r="H23676" s="2"/>
    </row>
    <row r="23677" spans="1:8" x14ac:dyDescent="0.25">
      <c r="A23677" s="1"/>
      <c r="B23677" s="1" t="s">
        <v>7328</v>
      </c>
      <c r="C23677" s="1" t="s">
        <v>7329</v>
      </c>
      <c r="D23677" s="22" t="str">
        <f>HYPERLINK("https://rhld.insurance.arkansas.gov/NPILookup?Npi=1316322787","1316322787")</f>
        <v>1316322787</v>
      </c>
      <c r="E23677" s="1" t="s">
        <v>26508</v>
      </c>
      <c r="F23677" s="2"/>
      <c r="G23677" s="2"/>
      <c r="H23677" s="2"/>
    </row>
    <row r="23678" spans="1:8" x14ac:dyDescent="0.25">
      <c r="A23678" s="1"/>
      <c r="B23678" s="1" t="s">
        <v>7328</v>
      </c>
      <c r="C23678" s="1" t="s">
        <v>7329</v>
      </c>
      <c r="D23678" s="22" t="str">
        <f>HYPERLINK("https://rhld.insurance.arkansas.gov/NPILookup?Npi=1316338361","1316338361")</f>
        <v>1316338361</v>
      </c>
      <c r="E23678" s="1" t="s">
        <v>26509</v>
      </c>
      <c r="F23678" s="2"/>
      <c r="G23678" s="2"/>
      <c r="H23678" s="2"/>
    </row>
    <row r="23679" spans="1:8" x14ac:dyDescent="0.25">
      <c r="A23679" s="1"/>
      <c r="B23679" s="1" t="s">
        <v>7328</v>
      </c>
      <c r="C23679" s="1" t="s">
        <v>7329</v>
      </c>
      <c r="D23679" s="22" t="str">
        <f>HYPERLINK("https://rhld.insurance.arkansas.gov/NPILookup?Npi=1316338684","1316338684")</f>
        <v>1316338684</v>
      </c>
      <c r="E23679" s="1" t="s">
        <v>26510</v>
      </c>
      <c r="F23679" s="2"/>
      <c r="G23679" s="2"/>
      <c r="H23679" s="2"/>
    </row>
    <row r="23680" spans="1:8" x14ac:dyDescent="0.25">
      <c r="A23680" s="1"/>
      <c r="B23680" s="1" t="s">
        <v>7328</v>
      </c>
      <c r="C23680" s="1" t="s">
        <v>7329</v>
      </c>
      <c r="D23680" s="22" t="str">
        <f>HYPERLINK("https://rhld.insurance.arkansas.gov/NPILookup?Npi=1316356454","1316356454")</f>
        <v>1316356454</v>
      </c>
      <c r="E23680" s="1" t="s">
        <v>26511</v>
      </c>
      <c r="F23680" s="2"/>
      <c r="G23680" s="2"/>
      <c r="H23680" s="2"/>
    </row>
    <row r="23681" spans="1:8" x14ac:dyDescent="0.25">
      <c r="A23681" s="1"/>
      <c r="B23681" s="1" t="s">
        <v>7328</v>
      </c>
      <c r="C23681" s="1" t="s">
        <v>7329</v>
      </c>
      <c r="D23681" s="22" t="str">
        <f>HYPERLINK("https://rhld.insurance.arkansas.gov/NPILookup?Npi=1316359300","1316359300")</f>
        <v>1316359300</v>
      </c>
      <c r="E23681" s="1" t="s">
        <v>26512</v>
      </c>
      <c r="F23681" s="2"/>
      <c r="G23681" s="2"/>
      <c r="H23681" s="2"/>
    </row>
    <row r="23682" spans="1:8" x14ac:dyDescent="0.25">
      <c r="A23682" s="1"/>
      <c r="B23682" s="1" t="s">
        <v>7328</v>
      </c>
      <c r="C23682" s="1" t="s">
        <v>7329</v>
      </c>
      <c r="D23682" s="22" t="str">
        <f>HYPERLINK("https://rhld.insurance.arkansas.gov/NPILookup?Npi=1316373038","1316373038")</f>
        <v>1316373038</v>
      </c>
      <c r="E23682" s="1" t="s">
        <v>26513</v>
      </c>
      <c r="F23682" s="2"/>
      <c r="G23682" s="2"/>
      <c r="H23682" s="2"/>
    </row>
    <row r="23683" spans="1:8" x14ac:dyDescent="0.25">
      <c r="A23683" s="1"/>
      <c r="B23683" s="1" t="s">
        <v>7328</v>
      </c>
      <c r="C23683" s="1" t="s">
        <v>7329</v>
      </c>
      <c r="D23683" s="22" t="str">
        <f>HYPERLINK("https://rhld.insurance.arkansas.gov/NPILookup?Npi=1316380173","1316380173")</f>
        <v>1316380173</v>
      </c>
      <c r="E23683" s="1" t="s">
        <v>26514</v>
      </c>
      <c r="F23683" s="2"/>
      <c r="G23683" s="2"/>
      <c r="H23683" s="2"/>
    </row>
    <row r="23684" spans="1:8" x14ac:dyDescent="0.25">
      <c r="A23684" s="1"/>
      <c r="B23684" s="1" t="s">
        <v>7328</v>
      </c>
      <c r="C23684" s="1" t="s">
        <v>7329</v>
      </c>
      <c r="D23684" s="22" t="str">
        <f>HYPERLINK("https://rhld.insurance.arkansas.gov/NPILookup?Npi=1316389323","1316389323")</f>
        <v>1316389323</v>
      </c>
      <c r="E23684" s="1" t="s">
        <v>26515</v>
      </c>
      <c r="F23684" s="2"/>
      <c r="G23684" s="2"/>
      <c r="H23684" s="2"/>
    </row>
    <row r="23685" spans="1:8" x14ac:dyDescent="0.25">
      <c r="A23685" s="1"/>
      <c r="B23685" s="1" t="s">
        <v>7328</v>
      </c>
      <c r="C23685" s="1" t="s">
        <v>7329</v>
      </c>
      <c r="D23685" s="22" t="str">
        <f>HYPERLINK("https://rhld.insurance.arkansas.gov/NPILookup?Npi=1316406861","1316406861")</f>
        <v>1316406861</v>
      </c>
      <c r="E23685" s="1" t="s">
        <v>26516</v>
      </c>
      <c r="F23685" s="2"/>
      <c r="G23685" s="2"/>
      <c r="H23685" s="2"/>
    </row>
    <row r="23686" spans="1:8" x14ac:dyDescent="0.25">
      <c r="A23686" s="1"/>
      <c r="B23686" s="1" t="s">
        <v>7328</v>
      </c>
      <c r="C23686" s="1" t="s">
        <v>7329</v>
      </c>
      <c r="D23686" s="22" t="str">
        <f>HYPERLINK("https://rhld.insurance.arkansas.gov/NPILookup?Npi=1316414642","1316414642")</f>
        <v>1316414642</v>
      </c>
      <c r="E23686" s="1" t="s">
        <v>26517</v>
      </c>
      <c r="F23686" s="2"/>
      <c r="G23686" s="2"/>
      <c r="H23686" s="2"/>
    </row>
    <row r="23687" spans="1:8" x14ac:dyDescent="0.25">
      <c r="A23687" s="1"/>
      <c r="B23687" s="1" t="s">
        <v>7328</v>
      </c>
      <c r="C23687" s="1" t="s">
        <v>7329</v>
      </c>
      <c r="D23687" s="22" t="str">
        <f>HYPERLINK("https://rhld.insurance.arkansas.gov/NPILookup?Npi=1316416779","1316416779")</f>
        <v>1316416779</v>
      </c>
      <c r="E23687" s="1" t="s">
        <v>12959</v>
      </c>
      <c r="F23687" s="2"/>
      <c r="G23687" s="2"/>
      <c r="H23687" s="2"/>
    </row>
    <row r="23688" spans="1:8" x14ac:dyDescent="0.25">
      <c r="A23688" s="1"/>
      <c r="B23688" s="1" t="s">
        <v>7328</v>
      </c>
      <c r="C23688" s="1" t="s">
        <v>7329</v>
      </c>
      <c r="D23688" s="22" t="str">
        <f>HYPERLINK("https://rhld.insurance.arkansas.gov/NPILookup?Npi=1316420664","1316420664")</f>
        <v>1316420664</v>
      </c>
      <c r="E23688" s="1" t="s">
        <v>26518</v>
      </c>
      <c r="F23688" s="2"/>
      <c r="G23688" s="2"/>
      <c r="H23688" s="2"/>
    </row>
    <row r="23689" spans="1:8" x14ac:dyDescent="0.25">
      <c r="A23689" s="1"/>
      <c r="B23689" s="1" t="s">
        <v>7328</v>
      </c>
      <c r="C23689" s="1" t="s">
        <v>7329</v>
      </c>
      <c r="D23689" s="22" t="str">
        <f>HYPERLINK("https://rhld.insurance.arkansas.gov/NPILookup?Npi=1316423510","1316423510")</f>
        <v>1316423510</v>
      </c>
      <c r="E23689" s="1" t="s">
        <v>26519</v>
      </c>
      <c r="F23689" s="2"/>
      <c r="G23689" s="2"/>
      <c r="H23689" s="2"/>
    </row>
    <row r="23690" spans="1:8" x14ac:dyDescent="0.25">
      <c r="A23690" s="1"/>
      <c r="B23690" s="1" t="s">
        <v>7328</v>
      </c>
      <c r="C23690" s="1" t="s">
        <v>7329</v>
      </c>
      <c r="D23690" s="22" t="str">
        <f>HYPERLINK("https://rhld.insurance.arkansas.gov/NPILookup?Npi=1316424047","1316424047")</f>
        <v>1316424047</v>
      </c>
      <c r="E23690" s="1" t="s">
        <v>12960</v>
      </c>
      <c r="F23690" s="2"/>
      <c r="G23690" s="2"/>
      <c r="H23690" s="2"/>
    </row>
    <row r="23691" spans="1:8" x14ac:dyDescent="0.25">
      <c r="A23691" s="1"/>
      <c r="B23691" s="1" t="s">
        <v>7328</v>
      </c>
      <c r="C23691" s="1" t="s">
        <v>7329</v>
      </c>
      <c r="D23691" s="22" t="str">
        <f>HYPERLINK("https://rhld.insurance.arkansas.gov/NPILookup?Npi=1316433998","1316433998")</f>
        <v>1316433998</v>
      </c>
      <c r="E23691" s="1" t="s">
        <v>26520</v>
      </c>
      <c r="F23691" s="2"/>
      <c r="G23691" s="2"/>
      <c r="H23691" s="2"/>
    </row>
    <row r="23692" spans="1:8" x14ac:dyDescent="0.25">
      <c r="A23692" s="1"/>
      <c r="B23692" s="1" t="s">
        <v>7328</v>
      </c>
      <c r="C23692" s="1" t="s">
        <v>7329</v>
      </c>
      <c r="D23692" s="22" t="str">
        <f>HYPERLINK("https://rhld.insurance.arkansas.gov/NPILookup?Npi=1316443898","1316443898")</f>
        <v>1316443898</v>
      </c>
      <c r="E23692" s="1" t="s">
        <v>26521</v>
      </c>
      <c r="F23692" s="2"/>
      <c r="G23692" s="2"/>
      <c r="H23692" s="2"/>
    </row>
    <row r="23693" spans="1:8" x14ac:dyDescent="0.25">
      <c r="A23693" s="1"/>
      <c r="B23693" s="1" t="s">
        <v>7328</v>
      </c>
      <c r="C23693" s="1" t="s">
        <v>7329</v>
      </c>
      <c r="D23693" s="22" t="str">
        <f>HYPERLINK("https://rhld.insurance.arkansas.gov/NPILookup?Npi=1316450497","1316450497")</f>
        <v>1316450497</v>
      </c>
      <c r="E23693" s="1" t="s">
        <v>12961</v>
      </c>
      <c r="F23693" s="2"/>
      <c r="G23693" s="2"/>
      <c r="H23693" s="2"/>
    </row>
    <row r="23694" spans="1:8" x14ac:dyDescent="0.25">
      <c r="A23694" s="1"/>
      <c r="B23694" s="1" t="s">
        <v>7328</v>
      </c>
      <c r="C23694" s="1" t="s">
        <v>7329</v>
      </c>
      <c r="D23694" s="22" t="str">
        <f>HYPERLINK("https://rhld.insurance.arkansas.gov/NPILookup?Npi=1316459852","1316459852")</f>
        <v>1316459852</v>
      </c>
      <c r="E23694" s="1" t="s">
        <v>26522</v>
      </c>
      <c r="F23694" s="2"/>
      <c r="G23694" s="2"/>
      <c r="H23694" s="2"/>
    </row>
    <row r="23695" spans="1:8" x14ac:dyDescent="0.25">
      <c r="A23695" s="1"/>
      <c r="B23695" s="1" t="s">
        <v>7328</v>
      </c>
      <c r="C23695" s="1" t="s">
        <v>7329</v>
      </c>
      <c r="D23695" s="22" t="str">
        <f>HYPERLINK("https://rhld.insurance.arkansas.gov/NPILookup?Npi=1316467616","1316467616")</f>
        <v>1316467616</v>
      </c>
      <c r="E23695" s="1" t="s">
        <v>2765</v>
      </c>
      <c r="F23695" s="2"/>
      <c r="G23695" s="2"/>
      <c r="H23695" s="2"/>
    </row>
    <row r="23696" spans="1:8" x14ac:dyDescent="0.25">
      <c r="A23696" s="1"/>
      <c r="B23696" s="1" t="s">
        <v>7328</v>
      </c>
      <c r="C23696" s="1" t="s">
        <v>7329</v>
      </c>
      <c r="D23696" s="22" t="str">
        <f>HYPERLINK("https://rhld.insurance.arkansas.gov/NPILookup?Npi=1316475023","1316475023")</f>
        <v>1316475023</v>
      </c>
      <c r="E23696" s="1" t="s">
        <v>26523</v>
      </c>
      <c r="F23696" s="2"/>
      <c r="G23696" s="2"/>
      <c r="H23696" s="2"/>
    </row>
    <row r="23697" spans="1:8" x14ac:dyDescent="0.25">
      <c r="A23697" s="1"/>
      <c r="B23697" s="1" t="s">
        <v>7328</v>
      </c>
      <c r="C23697" s="1" t="s">
        <v>7329</v>
      </c>
      <c r="D23697" s="22" t="str">
        <f>HYPERLINK("https://rhld.insurance.arkansas.gov/NPILookup?Npi=1316479033","1316479033")</f>
        <v>1316479033</v>
      </c>
      <c r="E23697" s="1" t="s">
        <v>26524</v>
      </c>
      <c r="F23697" s="2"/>
      <c r="G23697" s="2"/>
      <c r="H23697" s="2"/>
    </row>
    <row r="23698" spans="1:8" x14ac:dyDescent="0.25">
      <c r="A23698" s="1"/>
      <c r="B23698" s="1" t="s">
        <v>7328</v>
      </c>
      <c r="C23698" s="1" t="s">
        <v>7329</v>
      </c>
      <c r="D23698" s="22" t="str">
        <f>HYPERLINK("https://rhld.insurance.arkansas.gov/NPILookup?Npi=1316479744","1316479744")</f>
        <v>1316479744</v>
      </c>
      <c r="E23698" s="1" t="s">
        <v>12962</v>
      </c>
      <c r="F23698" s="2"/>
      <c r="G23698" s="2"/>
      <c r="H23698" s="2"/>
    </row>
    <row r="23699" spans="1:8" x14ac:dyDescent="0.25">
      <c r="A23699" s="1"/>
      <c r="B23699" s="1" t="s">
        <v>7328</v>
      </c>
      <c r="C23699" s="1" t="s">
        <v>7329</v>
      </c>
      <c r="D23699" s="22" t="str">
        <f>HYPERLINK("https://rhld.insurance.arkansas.gov/NPILookup?Npi=1316483613","1316483613")</f>
        <v>1316483613</v>
      </c>
      <c r="E23699" s="1" t="s">
        <v>853</v>
      </c>
      <c r="F23699" s="2"/>
      <c r="G23699" s="2"/>
      <c r="H23699" s="2"/>
    </row>
    <row r="23700" spans="1:8" x14ac:dyDescent="0.25">
      <c r="A23700" s="1"/>
      <c r="B23700" s="1" t="s">
        <v>7328</v>
      </c>
      <c r="C23700" s="1" t="s">
        <v>7329</v>
      </c>
      <c r="D23700" s="22" t="str">
        <f>HYPERLINK("https://rhld.insurance.arkansas.gov/NPILookup?Npi=1316485857","1316485857")</f>
        <v>1316485857</v>
      </c>
      <c r="E23700" s="1" t="s">
        <v>26525</v>
      </c>
      <c r="F23700" s="2"/>
      <c r="G23700" s="2"/>
      <c r="H23700" s="2"/>
    </row>
    <row r="23701" spans="1:8" x14ac:dyDescent="0.25">
      <c r="A23701" s="1"/>
      <c r="B23701" s="1" t="s">
        <v>7328</v>
      </c>
      <c r="C23701" s="1" t="s">
        <v>7329</v>
      </c>
      <c r="D23701" s="22" t="str">
        <f>HYPERLINK("https://rhld.insurance.arkansas.gov/NPILookup?Npi=1316486202","1316486202")</f>
        <v>1316486202</v>
      </c>
      <c r="E23701" s="1" t="s">
        <v>26526</v>
      </c>
      <c r="F23701" s="2"/>
      <c r="G23701" s="2"/>
      <c r="H23701" s="2"/>
    </row>
    <row r="23702" spans="1:8" x14ac:dyDescent="0.25">
      <c r="A23702" s="1"/>
      <c r="B23702" s="1" t="s">
        <v>7328</v>
      </c>
      <c r="C23702" s="1" t="s">
        <v>7329</v>
      </c>
      <c r="D23702" s="22" t="str">
        <f>HYPERLINK("https://rhld.insurance.arkansas.gov/NPILookup?Npi=1316501901","1316501901")</f>
        <v>1316501901</v>
      </c>
      <c r="E23702" s="1" t="s">
        <v>12963</v>
      </c>
      <c r="F23702" s="2"/>
      <c r="G23702" s="2"/>
      <c r="H23702" s="2"/>
    </row>
    <row r="23703" spans="1:8" x14ac:dyDescent="0.25">
      <c r="A23703" s="1"/>
      <c r="B23703" s="1" t="s">
        <v>7328</v>
      </c>
      <c r="C23703" s="1" t="s">
        <v>7329</v>
      </c>
      <c r="D23703" s="22" t="str">
        <f>HYPERLINK("https://rhld.insurance.arkansas.gov/NPILookup?Npi=1316502693","1316502693")</f>
        <v>1316502693</v>
      </c>
      <c r="E23703" s="1" t="s">
        <v>32183</v>
      </c>
      <c r="F23703" s="2"/>
      <c r="G23703" s="2"/>
      <c r="H23703" s="2"/>
    </row>
    <row r="23704" spans="1:8" x14ac:dyDescent="0.25">
      <c r="A23704" s="1"/>
      <c r="B23704" s="1" t="s">
        <v>7328</v>
      </c>
      <c r="C23704" s="1" t="s">
        <v>7329</v>
      </c>
      <c r="D23704" s="22" t="str">
        <f>HYPERLINK("https://rhld.insurance.arkansas.gov/NPILookup?Npi=1316510043","1316510043")</f>
        <v>1316510043</v>
      </c>
      <c r="E23704" s="1" t="s">
        <v>1760</v>
      </c>
      <c r="F23704" s="2"/>
      <c r="G23704" s="2"/>
      <c r="H23704" s="2"/>
    </row>
    <row r="23705" spans="1:8" x14ac:dyDescent="0.25">
      <c r="A23705" s="1"/>
      <c r="B23705" s="1" t="s">
        <v>7328</v>
      </c>
      <c r="C23705" s="1" t="s">
        <v>7329</v>
      </c>
      <c r="D23705" s="22" t="str">
        <f>HYPERLINK("https://rhld.insurance.arkansas.gov/NPILookup?Npi=1316513443","1316513443")</f>
        <v>1316513443</v>
      </c>
      <c r="E23705" s="1" t="s">
        <v>26527</v>
      </c>
      <c r="F23705" s="2"/>
      <c r="G23705" s="2"/>
      <c r="H23705" s="2"/>
    </row>
    <row r="23706" spans="1:8" x14ac:dyDescent="0.25">
      <c r="A23706" s="1"/>
      <c r="B23706" s="1" t="s">
        <v>7328</v>
      </c>
      <c r="C23706" s="1" t="s">
        <v>7329</v>
      </c>
      <c r="D23706" s="22" t="str">
        <f>HYPERLINK("https://rhld.insurance.arkansas.gov/NPILookup?Npi=1316513682","1316513682")</f>
        <v>1316513682</v>
      </c>
      <c r="E23706" s="1" t="s">
        <v>12964</v>
      </c>
      <c r="F23706" s="2"/>
      <c r="G23706" s="2"/>
      <c r="H23706" s="2"/>
    </row>
    <row r="23707" spans="1:8" x14ac:dyDescent="0.25">
      <c r="A23707" s="1"/>
      <c r="B23707" s="1" t="s">
        <v>7328</v>
      </c>
      <c r="C23707" s="1" t="s">
        <v>7329</v>
      </c>
      <c r="D23707" s="22" t="str">
        <f>HYPERLINK("https://rhld.insurance.arkansas.gov/NPILookup?Npi=1316533821","1316533821")</f>
        <v>1316533821</v>
      </c>
      <c r="E23707" s="1" t="s">
        <v>26528</v>
      </c>
      <c r="F23707" s="2"/>
      <c r="G23707" s="2"/>
      <c r="H23707" s="2"/>
    </row>
    <row r="23708" spans="1:8" x14ac:dyDescent="0.25">
      <c r="A23708" s="1"/>
      <c r="B23708" s="1" t="s">
        <v>7328</v>
      </c>
      <c r="C23708" s="1" t="s">
        <v>7329</v>
      </c>
      <c r="D23708" s="22" t="str">
        <f>HYPERLINK("https://rhld.insurance.arkansas.gov/NPILookup?Npi=1316546138","1316546138")</f>
        <v>1316546138</v>
      </c>
      <c r="E23708" s="1" t="s">
        <v>839</v>
      </c>
      <c r="F23708" s="2"/>
      <c r="G23708" s="2"/>
      <c r="H23708" s="2"/>
    </row>
    <row r="23709" spans="1:8" x14ac:dyDescent="0.25">
      <c r="A23709" s="1"/>
      <c r="B23709" s="1" t="s">
        <v>7328</v>
      </c>
      <c r="C23709" s="1" t="s">
        <v>7329</v>
      </c>
      <c r="D23709" s="22" t="str">
        <f>HYPERLINK("https://rhld.insurance.arkansas.gov/NPILookup?Npi=1316549926","1316549926")</f>
        <v>1316549926</v>
      </c>
      <c r="E23709" s="1" t="s">
        <v>26529</v>
      </c>
      <c r="F23709" s="2"/>
      <c r="G23709" s="2"/>
      <c r="H23709" s="2"/>
    </row>
    <row r="23710" spans="1:8" x14ac:dyDescent="0.25">
      <c r="A23710" s="1"/>
      <c r="B23710" s="1" t="s">
        <v>7328</v>
      </c>
      <c r="C23710" s="1" t="s">
        <v>7329</v>
      </c>
      <c r="D23710" s="22" t="str">
        <f>HYPERLINK("https://rhld.insurance.arkansas.gov/NPILookup?Npi=1316551799","1316551799")</f>
        <v>1316551799</v>
      </c>
      <c r="E23710" s="1" t="s">
        <v>12965</v>
      </c>
      <c r="F23710" s="2"/>
      <c r="G23710" s="2"/>
      <c r="H23710" s="2"/>
    </row>
    <row r="23711" spans="1:8" x14ac:dyDescent="0.25">
      <c r="A23711" s="1"/>
      <c r="B23711" s="1" t="s">
        <v>7328</v>
      </c>
      <c r="C23711" s="1" t="s">
        <v>7329</v>
      </c>
      <c r="D23711" s="22" t="str">
        <f>HYPERLINK("https://rhld.insurance.arkansas.gov/NPILookup?Npi=1316556632","1316556632")</f>
        <v>1316556632</v>
      </c>
      <c r="E23711" s="1" t="s">
        <v>26530</v>
      </c>
      <c r="F23711" s="2"/>
      <c r="G23711" s="2"/>
      <c r="H23711" s="2"/>
    </row>
    <row r="23712" spans="1:8" x14ac:dyDescent="0.25">
      <c r="A23712" s="1"/>
      <c r="B23712" s="1" t="s">
        <v>7328</v>
      </c>
      <c r="C23712" s="1" t="s">
        <v>7329</v>
      </c>
      <c r="D23712" s="22" t="str">
        <f>HYPERLINK("https://rhld.insurance.arkansas.gov/NPILookup?Npi=1316557705","1316557705")</f>
        <v>1316557705</v>
      </c>
      <c r="E23712" s="1" t="s">
        <v>12966</v>
      </c>
      <c r="F23712" s="2"/>
      <c r="G23712" s="2"/>
      <c r="H23712" s="2"/>
    </row>
    <row r="23713" spans="1:8" x14ac:dyDescent="0.25">
      <c r="A23713" s="1"/>
      <c r="B23713" s="1" t="s">
        <v>7328</v>
      </c>
      <c r="C23713" s="1" t="s">
        <v>7329</v>
      </c>
      <c r="D23713" s="22" t="str">
        <f>HYPERLINK("https://rhld.insurance.arkansas.gov/NPILookup?Npi=1316565732","1316565732")</f>
        <v>1316565732</v>
      </c>
      <c r="E23713" s="1" t="s">
        <v>26531</v>
      </c>
      <c r="F23713" s="2"/>
      <c r="G23713" s="2"/>
      <c r="H23713" s="2"/>
    </row>
    <row r="23714" spans="1:8" x14ac:dyDescent="0.25">
      <c r="A23714" s="1"/>
      <c r="B23714" s="1" t="s">
        <v>7328</v>
      </c>
      <c r="C23714" s="1" t="s">
        <v>7329</v>
      </c>
      <c r="D23714" s="22" t="str">
        <f>HYPERLINK("https://rhld.insurance.arkansas.gov/NPILookup?Npi=1316566607","1316566607")</f>
        <v>1316566607</v>
      </c>
      <c r="E23714" s="1" t="s">
        <v>26532</v>
      </c>
      <c r="F23714" s="2"/>
      <c r="G23714" s="2"/>
      <c r="H23714" s="2"/>
    </row>
    <row r="23715" spans="1:8" x14ac:dyDescent="0.25">
      <c r="A23715" s="1"/>
      <c r="B23715" s="1" t="s">
        <v>7328</v>
      </c>
      <c r="C23715" s="1" t="s">
        <v>7329</v>
      </c>
      <c r="D23715" s="22" t="str">
        <f>HYPERLINK("https://rhld.insurance.arkansas.gov/NPILookup?Npi=1316583461","1316583461")</f>
        <v>1316583461</v>
      </c>
      <c r="E23715" s="1" t="s">
        <v>26533</v>
      </c>
      <c r="F23715" s="2"/>
      <c r="G23715" s="2"/>
      <c r="H23715" s="2"/>
    </row>
    <row r="23716" spans="1:8" x14ac:dyDescent="0.25">
      <c r="A23716" s="1"/>
      <c r="B23716" s="1" t="s">
        <v>7328</v>
      </c>
      <c r="C23716" s="1" t="s">
        <v>7329</v>
      </c>
      <c r="D23716" s="22" t="str">
        <f>HYPERLINK("https://rhld.insurance.arkansas.gov/NPILookup?Npi=1316596075","1316596075")</f>
        <v>1316596075</v>
      </c>
      <c r="E23716" s="1" t="s">
        <v>7649</v>
      </c>
      <c r="F23716" s="2"/>
      <c r="G23716" s="2"/>
      <c r="H23716" s="2"/>
    </row>
    <row r="23717" spans="1:8" x14ac:dyDescent="0.25">
      <c r="A23717" s="1"/>
      <c r="B23717" s="1" t="s">
        <v>7328</v>
      </c>
      <c r="C23717" s="1" t="s">
        <v>7329</v>
      </c>
      <c r="D23717" s="22" t="str">
        <f>HYPERLINK("https://rhld.insurance.arkansas.gov/NPILookup?Npi=1316610173","1316610173")</f>
        <v>1316610173</v>
      </c>
      <c r="E23717" s="1" t="s">
        <v>26534</v>
      </c>
      <c r="F23717" s="2"/>
      <c r="G23717" s="2"/>
      <c r="H23717" s="2"/>
    </row>
    <row r="23718" spans="1:8" x14ac:dyDescent="0.25">
      <c r="A23718" s="1"/>
      <c r="B23718" s="1" t="s">
        <v>7328</v>
      </c>
      <c r="C23718" s="1" t="s">
        <v>7329</v>
      </c>
      <c r="D23718" s="22" t="str">
        <f>HYPERLINK("https://rhld.insurance.arkansas.gov/NPILookup?Npi=1316611247","1316611247")</f>
        <v>1316611247</v>
      </c>
      <c r="E23718" s="1" t="s">
        <v>12967</v>
      </c>
      <c r="F23718" s="2"/>
      <c r="G23718" s="2"/>
      <c r="H23718" s="2"/>
    </row>
    <row r="23719" spans="1:8" x14ac:dyDescent="0.25">
      <c r="A23719" s="1"/>
      <c r="B23719" s="1" t="s">
        <v>7328</v>
      </c>
      <c r="C23719" s="1" t="s">
        <v>7329</v>
      </c>
      <c r="D23719" s="22" t="str">
        <f>HYPERLINK("https://rhld.insurance.arkansas.gov/NPILookup?Npi=1316613417","1316613417")</f>
        <v>1316613417</v>
      </c>
      <c r="E23719" s="1" t="s">
        <v>26535</v>
      </c>
      <c r="F23719" s="2"/>
      <c r="G23719" s="2"/>
      <c r="H23719" s="2"/>
    </row>
    <row r="23720" spans="1:8" x14ac:dyDescent="0.25">
      <c r="A23720" s="1"/>
      <c r="B23720" s="1" t="s">
        <v>7328</v>
      </c>
      <c r="C23720" s="1" t="s">
        <v>7329</v>
      </c>
      <c r="D23720" s="22" t="str">
        <f>HYPERLINK("https://rhld.insurance.arkansas.gov/NPILookup?Npi=1316618309","1316618309")</f>
        <v>1316618309</v>
      </c>
      <c r="E23720" s="1" t="s">
        <v>12968</v>
      </c>
      <c r="F23720" s="2"/>
      <c r="G23720" s="2"/>
      <c r="H23720" s="2"/>
    </row>
    <row r="23721" spans="1:8" x14ac:dyDescent="0.25">
      <c r="A23721" s="1"/>
      <c r="B23721" s="1" t="s">
        <v>7328</v>
      </c>
      <c r="C23721" s="1" t="s">
        <v>7329</v>
      </c>
      <c r="D23721" s="22" t="str">
        <f>HYPERLINK("https://rhld.insurance.arkansas.gov/NPILookup?Npi=1316621543","1316621543")</f>
        <v>1316621543</v>
      </c>
      <c r="E23721" s="1" t="s">
        <v>26536</v>
      </c>
      <c r="F23721" s="2"/>
      <c r="G23721" s="2"/>
      <c r="H23721" s="2"/>
    </row>
    <row r="23722" spans="1:8" x14ac:dyDescent="0.25">
      <c r="A23722" s="1"/>
      <c r="B23722" s="1" t="s">
        <v>7328</v>
      </c>
      <c r="C23722" s="1" t="s">
        <v>7329</v>
      </c>
      <c r="D23722" s="22" t="str">
        <f>HYPERLINK("https://rhld.insurance.arkansas.gov/NPILookup?Npi=1316626971","1316626971")</f>
        <v>1316626971</v>
      </c>
      <c r="E23722" s="1" t="s">
        <v>7650</v>
      </c>
      <c r="F23722" s="2"/>
      <c r="G23722" s="2"/>
      <c r="H23722" s="2"/>
    </row>
    <row r="23723" spans="1:8" x14ac:dyDescent="0.25">
      <c r="A23723" s="1"/>
      <c r="B23723" s="1" t="s">
        <v>7328</v>
      </c>
      <c r="C23723" s="1" t="s">
        <v>7329</v>
      </c>
      <c r="D23723" s="22" t="str">
        <f>HYPERLINK("https://rhld.insurance.arkansas.gov/NPILookup?Npi=1316634140","1316634140")</f>
        <v>1316634140</v>
      </c>
      <c r="E23723" s="1" t="s">
        <v>12969</v>
      </c>
      <c r="F23723" s="2"/>
      <c r="G23723" s="2"/>
      <c r="H23723" s="2"/>
    </row>
    <row r="23724" spans="1:8" x14ac:dyDescent="0.25">
      <c r="A23724" s="1"/>
      <c r="B23724" s="1" t="s">
        <v>7328</v>
      </c>
      <c r="C23724" s="1" t="s">
        <v>7329</v>
      </c>
      <c r="D23724" s="22" t="str">
        <f>HYPERLINK("https://rhld.insurance.arkansas.gov/NPILookup?Npi=1316654767","1316654767")</f>
        <v>1316654767</v>
      </c>
      <c r="E23724" s="1" t="s">
        <v>7651</v>
      </c>
      <c r="F23724" s="2"/>
      <c r="G23724" s="2"/>
      <c r="H23724" s="2"/>
    </row>
    <row r="23725" spans="1:8" x14ac:dyDescent="0.25">
      <c r="A23725" s="1"/>
      <c r="B23725" s="1" t="s">
        <v>7328</v>
      </c>
      <c r="C23725" s="1" t="s">
        <v>7329</v>
      </c>
      <c r="D23725" s="22" t="str">
        <f>HYPERLINK("https://rhld.insurance.arkansas.gov/NPILookup?Npi=1316672116","1316672116")</f>
        <v>1316672116</v>
      </c>
      <c r="E23725" s="1" t="s">
        <v>26537</v>
      </c>
      <c r="F23725" s="2"/>
      <c r="G23725" s="2"/>
      <c r="H23725" s="2"/>
    </row>
    <row r="23726" spans="1:8" x14ac:dyDescent="0.25">
      <c r="A23726" s="1"/>
      <c r="B23726" s="1" t="s">
        <v>7328</v>
      </c>
      <c r="C23726" s="1" t="s">
        <v>7329</v>
      </c>
      <c r="D23726" s="22" t="str">
        <f>HYPERLINK("https://rhld.insurance.arkansas.gov/NPILookup?Npi=1316672512","1316672512")</f>
        <v>1316672512</v>
      </c>
      <c r="E23726" s="1" t="s">
        <v>12970</v>
      </c>
      <c r="F23726" s="2"/>
      <c r="G23726" s="2"/>
      <c r="H23726" s="2"/>
    </row>
    <row r="23727" spans="1:8" x14ac:dyDescent="0.25">
      <c r="A23727" s="1"/>
      <c r="B23727" s="1" t="s">
        <v>7328</v>
      </c>
      <c r="C23727" s="1" t="s">
        <v>7329</v>
      </c>
      <c r="D23727" s="22" t="str">
        <f>HYPERLINK("https://rhld.insurance.arkansas.gov/NPILookup?Npi=1316677230","1316677230")</f>
        <v>1316677230</v>
      </c>
      <c r="E23727" s="1" t="s">
        <v>26538</v>
      </c>
      <c r="F23727" s="2"/>
      <c r="G23727" s="2"/>
      <c r="H23727" s="2"/>
    </row>
    <row r="23728" spans="1:8" x14ac:dyDescent="0.25">
      <c r="A23728" s="1"/>
      <c r="B23728" s="1" t="s">
        <v>7328</v>
      </c>
      <c r="C23728" s="1" t="s">
        <v>7329</v>
      </c>
      <c r="D23728" s="22" t="str">
        <f>HYPERLINK("https://rhld.insurance.arkansas.gov/NPILookup?Npi=1316686520","1316686520")</f>
        <v>1316686520</v>
      </c>
      <c r="E23728" s="1" t="s">
        <v>7652</v>
      </c>
      <c r="F23728" s="2"/>
      <c r="G23728" s="2"/>
      <c r="H23728" s="2"/>
    </row>
    <row r="23729" spans="1:8" x14ac:dyDescent="0.25">
      <c r="A23729" s="1"/>
      <c r="B23729" s="1" t="s">
        <v>7328</v>
      </c>
      <c r="C23729" s="1" t="s">
        <v>7329</v>
      </c>
      <c r="D23729" s="22" t="str">
        <f>HYPERLINK("https://rhld.insurance.arkansas.gov/NPILookup?Npi=1316688013","1316688013")</f>
        <v>1316688013</v>
      </c>
      <c r="E23729" s="1" t="s">
        <v>32184</v>
      </c>
      <c r="F23729" s="2"/>
      <c r="G23729" s="2"/>
      <c r="H23729" s="2"/>
    </row>
    <row r="23730" spans="1:8" x14ac:dyDescent="0.25">
      <c r="A23730" s="1"/>
      <c r="B23730" s="1" t="s">
        <v>7328</v>
      </c>
      <c r="C23730" s="1" t="s">
        <v>7329</v>
      </c>
      <c r="D23730" s="22" t="str">
        <f>HYPERLINK("https://rhld.insurance.arkansas.gov/NPILookup?Npi=1316694466","1316694466")</f>
        <v>1316694466</v>
      </c>
      <c r="E23730" s="1" t="s">
        <v>26539</v>
      </c>
      <c r="F23730" s="2"/>
      <c r="G23730" s="2"/>
      <c r="H23730" s="2"/>
    </row>
    <row r="23731" spans="1:8" x14ac:dyDescent="0.25">
      <c r="A23731" s="1"/>
      <c r="B23731" s="1" t="s">
        <v>7328</v>
      </c>
      <c r="C23731" s="1" t="s">
        <v>7329</v>
      </c>
      <c r="D23731" s="22" t="str">
        <f>HYPERLINK("https://rhld.insurance.arkansas.gov/NPILookup?Npi=1316783848","1316783848")</f>
        <v>1316783848</v>
      </c>
      <c r="E23731" s="1" t="s">
        <v>26540</v>
      </c>
      <c r="F23731" s="2"/>
      <c r="G23731" s="2"/>
      <c r="H23731" s="2"/>
    </row>
    <row r="23732" spans="1:8" x14ac:dyDescent="0.25">
      <c r="A23732" s="1"/>
      <c r="B23732" s="1" t="s">
        <v>7328</v>
      </c>
      <c r="C23732" s="1" t="s">
        <v>7329</v>
      </c>
      <c r="D23732" s="22" t="str">
        <f>HYPERLINK("https://rhld.insurance.arkansas.gov/NPILookup?Npi=1316784085","1316784085")</f>
        <v>1316784085</v>
      </c>
      <c r="E23732" s="1" t="s">
        <v>26541</v>
      </c>
      <c r="F23732" s="2"/>
      <c r="G23732" s="2"/>
      <c r="H23732" s="2"/>
    </row>
    <row r="23733" spans="1:8" x14ac:dyDescent="0.25">
      <c r="A23733" s="1"/>
      <c r="B23733" s="1" t="s">
        <v>7328</v>
      </c>
      <c r="C23733" s="1" t="s">
        <v>7329</v>
      </c>
      <c r="D23733" s="22" t="str">
        <f>HYPERLINK("https://rhld.insurance.arkansas.gov/NPILookup?Npi=1316788060","1316788060")</f>
        <v>1316788060</v>
      </c>
      <c r="E23733" s="1" t="s">
        <v>32185</v>
      </c>
      <c r="F23733" s="2"/>
      <c r="G23733" s="2"/>
      <c r="H23733" s="2"/>
    </row>
    <row r="23734" spans="1:8" x14ac:dyDescent="0.25">
      <c r="A23734" s="1"/>
      <c r="B23734" s="1" t="s">
        <v>7328</v>
      </c>
      <c r="C23734" s="1" t="s">
        <v>7329</v>
      </c>
      <c r="D23734" s="22" t="str">
        <f>HYPERLINK("https://rhld.insurance.arkansas.gov/NPILookup?Npi=1316788276","1316788276")</f>
        <v>1316788276</v>
      </c>
      <c r="E23734" s="1" t="s">
        <v>32186</v>
      </c>
      <c r="F23734" s="2"/>
      <c r="G23734" s="2"/>
      <c r="H23734" s="2"/>
    </row>
    <row r="23735" spans="1:8" x14ac:dyDescent="0.25">
      <c r="A23735" s="1"/>
      <c r="B23735" s="1" t="s">
        <v>7328</v>
      </c>
      <c r="C23735" s="1" t="s">
        <v>7329</v>
      </c>
      <c r="D23735" s="22" t="str">
        <f>HYPERLINK("https://rhld.insurance.arkansas.gov/NPILookup?Npi=1316830334","1316830334")</f>
        <v>1316830334</v>
      </c>
      <c r="E23735" s="1" t="s">
        <v>32187</v>
      </c>
      <c r="F23735" s="2"/>
      <c r="G23735" s="2"/>
      <c r="H23735" s="2"/>
    </row>
    <row r="23736" spans="1:8" x14ac:dyDescent="0.25">
      <c r="A23736" s="1"/>
      <c r="B23736" s="1" t="s">
        <v>7328</v>
      </c>
      <c r="C23736" s="1" t="s">
        <v>7329</v>
      </c>
      <c r="D23736" s="22" t="str">
        <f>HYPERLINK("https://rhld.insurance.arkansas.gov/NPILookup?Npi=1316901994","1316901994")</f>
        <v>1316901994</v>
      </c>
      <c r="E23736" s="1" t="s">
        <v>26542</v>
      </c>
      <c r="F23736" s="2"/>
      <c r="G23736" s="2"/>
      <c r="H23736" s="2"/>
    </row>
    <row r="23737" spans="1:8" x14ac:dyDescent="0.25">
      <c r="A23737" s="1"/>
      <c r="B23737" s="1" t="s">
        <v>7328</v>
      </c>
      <c r="C23737" s="1" t="s">
        <v>7329</v>
      </c>
      <c r="D23737" s="22" t="str">
        <f>HYPERLINK("https://rhld.insurance.arkansas.gov/NPILookup?Npi=1316903602","1316903602")</f>
        <v>1316903602</v>
      </c>
      <c r="E23737" s="1" t="s">
        <v>26543</v>
      </c>
      <c r="F23737" s="2"/>
      <c r="G23737" s="2"/>
      <c r="H23737" s="2"/>
    </row>
    <row r="23738" spans="1:8" x14ac:dyDescent="0.25">
      <c r="A23738" s="1"/>
      <c r="B23738" s="1" t="s">
        <v>7328</v>
      </c>
      <c r="C23738" s="1" t="s">
        <v>7329</v>
      </c>
      <c r="D23738" s="22" t="str">
        <f>HYPERLINK("https://rhld.insurance.arkansas.gov/NPILookup?Npi=1316904865","1316904865")</f>
        <v>1316904865</v>
      </c>
      <c r="E23738" s="1" t="s">
        <v>26544</v>
      </c>
      <c r="F23738" s="2"/>
      <c r="G23738" s="2"/>
      <c r="H23738" s="2"/>
    </row>
    <row r="23739" spans="1:8" x14ac:dyDescent="0.25">
      <c r="A23739" s="1"/>
      <c r="B23739" s="1" t="s">
        <v>7328</v>
      </c>
      <c r="C23739" s="1" t="s">
        <v>7329</v>
      </c>
      <c r="D23739" s="22" t="str">
        <f>HYPERLINK("https://rhld.insurance.arkansas.gov/NPILookup?Npi=1316906548","1316906548")</f>
        <v>1316906548</v>
      </c>
      <c r="E23739" s="1" t="s">
        <v>26545</v>
      </c>
      <c r="F23739" s="2"/>
      <c r="G23739" s="2"/>
      <c r="H23739" s="2"/>
    </row>
    <row r="23740" spans="1:8" x14ac:dyDescent="0.25">
      <c r="A23740" s="1"/>
      <c r="B23740" s="1" t="s">
        <v>7328</v>
      </c>
      <c r="C23740" s="1" t="s">
        <v>7329</v>
      </c>
      <c r="D23740" s="22" t="str">
        <f>HYPERLINK("https://rhld.insurance.arkansas.gov/NPILookup?Npi=1316916844","1316916844")</f>
        <v>1316916844</v>
      </c>
      <c r="E23740" s="1" t="s">
        <v>2766</v>
      </c>
      <c r="F23740" s="2"/>
      <c r="G23740" s="2"/>
      <c r="H23740" s="2"/>
    </row>
    <row r="23741" spans="1:8" x14ac:dyDescent="0.25">
      <c r="A23741" s="1"/>
      <c r="B23741" s="1" t="s">
        <v>7328</v>
      </c>
      <c r="C23741" s="1" t="s">
        <v>7329</v>
      </c>
      <c r="D23741" s="22" t="str">
        <f>HYPERLINK("https://rhld.insurance.arkansas.gov/NPILookup?Npi=1316918964","1316918964")</f>
        <v>1316918964</v>
      </c>
      <c r="E23741" s="1" t="s">
        <v>26546</v>
      </c>
      <c r="F23741" s="2"/>
      <c r="G23741" s="2"/>
      <c r="H23741" s="2"/>
    </row>
    <row r="23742" spans="1:8" x14ac:dyDescent="0.25">
      <c r="A23742" s="1"/>
      <c r="B23742" s="1" t="s">
        <v>7328</v>
      </c>
      <c r="C23742" s="1" t="s">
        <v>7329</v>
      </c>
      <c r="D23742" s="22" t="str">
        <f>HYPERLINK("https://rhld.insurance.arkansas.gov/NPILookup?Npi=1316930704","1316930704")</f>
        <v>1316930704</v>
      </c>
      <c r="E23742" s="1" t="s">
        <v>26547</v>
      </c>
      <c r="F23742" s="2"/>
      <c r="G23742" s="2"/>
      <c r="H23742" s="2"/>
    </row>
    <row r="23743" spans="1:8" x14ac:dyDescent="0.25">
      <c r="A23743" s="1"/>
      <c r="B23743" s="1" t="s">
        <v>7328</v>
      </c>
      <c r="C23743" s="1" t="s">
        <v>7329</v>
      </c>
      <c r="D23743" s="22" t="str">
        <f>HYPERLINK("https://rhld.insurance.arkansas.gov/NPILookup?Npi=1316930944","1316930944")</f>
        <v>1316930944</v>
      </c>
      <c r="E23743" s="1" t="s">
        <v>198</v>
      </c>
      <c r="F23743" s="2"/>
      <c r="G23743" s="2"/>
      <c r="H23743" s="2"/>
    </row>
    <row r="23744" spans="1:8" x14ac:dyDescent="0.25">
      <c r="A23744" s="1"/>
      <c r="B23744" s="1" t="s">
        <v>7328</v>
      </c>
      <c r="C23744" s="1" t="s">
        <v>7329</v>
      </c>
      <c r="D23744" s="22" t="str">
        <f>HYPERLINK("https://rhld.insurance.arkansas.gov/NPILookup?Npi=1316933575","1316933575")</f>
        <v>1316933575</v>
      </c>
      <c r="E23744" s="1" t="s">
        <v>26548</v>
      </c>
      <c r="F23744" s="2"/>
      <c r="G23744" s="2"/>
      <c r="H23744" s="2"/>
    </row>
    <row r="23745" spans="1:8" x14ac:dyDescent="0.25">
      <c r="A23745" s="1"/>
      <c r="B23745" s="1" t="s">
        <v>7328</v>
      </c>
      <c r="C23745" s="1" t="s">
        <v>7329</v>
      </c>
      <c r="D23745" s="22" t="str">
        <f>HYPERLINK("https://rhld.insurance.arkansas.gov/NPILookup?Npi=1316936917","1316936917")</f>
        <v>1316936917</v>
      </c>
      <c r="E23745" s="1" t="s">
        <v>26549</v>
      </c>
      <c r="F23745" s="2"/>
      <c r="G23745" s="2"/>
      <c r="H23745" s="2"/>
    </row>
    <row r="23746" spans="1:8" x14ac:dyDescent="0.25">
      <c r="A23746" s="1"/>
      <c r="B23746" s="1" t="s">
        <v>7328</v>
      </c>
      <c r="C23746" s="1" t="s">
        <v>7329</v>
      </c>
      <c r="D23746" s="22" t="str">
        <f>HYPERLINK("https://rhld.insurance.arkansas.gov/NPILookup?Npi=1316941040","1316941040")</f>
        <v>1316941040</v>
      </c>
      <c r="E23746" s="1" t="s">
        <v>32188</v>
      </c>
      <c r="F23746" s="2"/>
      <c r="G23746" s="2"/>
      <c r="H23746" s="2"/>
    </row>
    <row r="23747" spans="1:8" x14ac:dyDescent="0.25">
      <c r="A23747" s="1"/>
      <c r="B23747" s="1" t="s">
        <v>7328</v>
      </c>
      <c r="C23747" s="1" t="s">
        <v>7329</v>
      </c>
      <c r="D23747" s="22" t="str">
        <f>HYPERLINK("https://rhld.insurance.arkansas.gov/NPILookup?Npi=1316943632","1316943632")</f>
        <v>1316943632</v>
      </c>
      <c r="E23747" s="1" t="s">
        <v>17412</v>
      </c>
      <c r="F23747" s="2"/>
      <c r="G23747" s="2"/>
      <c r="H23747" s="2"/>
    </row>
    <row r="23748" spans="1:8" x14ac:dyDescent="0.25">
      <c r="A23748" s="1"/>
      <c r="B23748" s="1" t="s">
        <v>7328</v>
      </c>
      <c r="C23748" s="1" t="s">
        <v>7329</v>
      </c>
      <c r="D23748" s="22" t="str">
        <f>HYPERLINK("https://rhld.insurance.arkansas.gov/NPILookup?Npi=1316948003","1316948003")</f>
        <v>1316948003</v>
      </c>
      <c r="E23748" s="1" t="s">
        <v>10281</v>
      </c>
      <c r="F23748" s="2"/>
      <c r="G23748" s="2"/>
      <c r="H23748" s="2"/>
    </row>
    <row r="23749" spans="1:8" x14ac:dyDescent="0.25">
      <c r="A23749" s="1"/>
      <c r="B23749" s="1" t="s">
        <v>7328</v>
      </c>
      <c r="C23749" s="1" t="s">
        <v>7329</v>
      </c>
      <c r="D23749" s="22" t="str">
        <f>HYPERLINK("https://rhld.insurance.arkansas.gov/NPILookup?Npi=1316949159","1316949159")</f>
        <v>1316949159</v>
      </c>
      <c r="E23749" s="1" t="s">
        <v>26550</v>
      </c>
      <c r="F23749" s="2"/>
      <c r="G23749" s="2"/>
      <c r="H23749" s="2"/>
    </row>
    <row r="23750" spans="1:8" x14ac:dyDescent="0.25">
      <c r="A23750" s="1"/>
      <c r="B23750" s="1" t="s">
        <v>7328</v>
      </c>
      <c r="C23750" s="1" t="s">
        <v>7329</v>
      </c>
      <c r="D23750" s="22" t="str">
        <f>HYPERLINK("https://rhld.insurance.arkansas.gov/NPILookup?Npi=1316949167","1316949167")</f>
        <v>1316949167</v>
      </c>
      <c r="E23750" s="1" t="s">
        <v>199</v>
      </c>
      <c r="F23750" s="2"/>
      <c r="G23750" s="2"/>
      <c r="H23750" s="2"/>
    </row>
    <row r="23751" spans="1:8" x14ac:dyDescent="0.25">
      <c r="A23751" s="1"/>
      <c r="B23751" s="1" t="s">
        <v>7328</v>
      </c>
      <c r="C23751" s="1" t="s">
        <v>7329</v>
      </c>
      <c r="D23751" s="22" t="str">
        <f>HYPERLINK("https://rhld.insurance.arkansas.gov/NPILookup?Npi=1316949308","1316949308")</f>
        <v>1316949308</v>
      </c>
      <c r="E23751" s="1" t="s">
        <v>26551</v>
      </c>
      <c r="F23751" s="2"/>
      <c r="G23751" s="2"/>
      <c r="H23751" s="2"/>
    </row>
    <row r="23752" spans="1:8" x14ac:dyDescent="0.25">
      <c r="A23752" s="1"/>
      <c r="B23752" s="1" t="s">
        <v>7328</v>
      </c>
      <c r="C23752" s="1" t="s">
        <v>7329</v>
      </c>
      <c r="D23752" s="22" t="str">
        <f>HYPERLINK("https://rhld.insurance.arkansas.gov/NPILookup?Npi=1316954860","1316954860")</f>
        <v>1316954860</v>
      </c>
      <c r="E23752" s="1" t="s">
        <v>200</v>
      </c>
      <c r="F23752" s="2"/>
      <c r="G23752" s="2"/>
      <c r="H23752" s="2"/>
    </row>
    <row r="23753" spans="1:8" x14ac:dyDescent="0.25">
      <c r="A23753" s="1"/>
      <c r="B23753" s="1" t="s">
        <v>7328</v>
      </c>
      <c r="C23753" s="1" t="s">
        <v>7329</v>
      </c>
      <c r="D23753" s="22" t="str">
        <f>HYPERLINK("https://rhld.insurance.arkansas.gov/NPILookup?Npi=1316959216","1316959216")</f>
        <v>1316959216</v>
      </c>
      <c r="E23753" s="1" t="s">
        <v>9649</v>
      </c>
      <c r="F23753" s="2"/>
      <c r="G23753" s="2"/>
      <c r="H23753" s="2"/>
    </row>
    <row r="23754" spans="1:8" x14ac:dyDescent="0.25">
      <c r="A23754" s="1"/>
      <c r="B23754" s="1" t="s">
        <v>7328</v>
      </c>
      <c r="C23754" s="1" t="s">
        <v>7329</v>
      </c>
      <c r="D23754" s="22" t="str">
        <f>HYPERLINK("https://rhld.insurance.arkansas.gov/NPILookup?Npi=1316963234","1316963234")</f>
        <v>1316963234</v>
      </c>
      <c r="E23754" s="1" t="s">
        <v>26552</v>
      </c>
      <c r="F23754" s="2"/>
      <c r="G23754" s="2"/>
      <c r="H23754" s="2"/>
    </row>
    <row r="23755" spans="1:8" x14ac:dyDescent="0.25">
      <c r="A23755" s="1"/>
      <c r="B23755" s="1" t="s">
        <v>7328</v>
      </c>
      <c r="C23755" s="1" t="s">
        <v>7329</v>
      </c>
      <c r="D23755" s="22" t="str">
        <f>HYPERLINK("https://rhld.insurance.arkansas.gov/NPILookup?Npi=1316966724","1316966724")</f>
        <v>1316966724</v>
      </c>
      <c r="E23755" s="1" t="s">
        <v>7653</v>
      </c>
      <c r="F23755" s="2"/>
      <c r="G23755" s="2"/>
      <c r="H23755" s="2"/>
    </row>
    <row r="23756" spans="1:8" x14ac:dyDescent="0.25">
      <c r="A23756" s="1"/>
      <c r="B23756" s="1" t="s">
        <v>7328</v>
      </c>
      <c r="C23756" s="1" t="s">
        <v>7329</v>
      </c>
      <c r="D23756" s="22" t="str">
        <f>HYPERLINK("https://rhld.insurance.arkansas.gov/NPILookup?Npi=1316974132","1316974132")</f>
        <v>1316974132</v>
      </c>
      <c r="E23756" s="1" t="s">
        <v>26553</v>
      </c>
      <c r="F23756" s="2"/>
      <c r="G23756" s="2"/>
      <c r="H23756" s="2"/>
    </row>
    <row r="23757" spans="1:8" x14ac:dyDescent="0.25">
      <c r="A23757" s="1"/>
      <c r="B23757" s="1" t="s">
        <v>7328</v>
      </c>
      <c r="C23757" s="1" t="s">
        <v>7329</v>
      </c>
      <c r="D23757" s="22" t="str">
        <f>HYPERLINK("https://rhld.insurance.arkansas.gov/NPILookup?Npi=1316979826","1316979826")</f>
        <v>1316979826</v>
      </c>
      <c r="E23757" s="1" t="s">
        <v>26554</v>
      </c>
      <c r="F23757" s="2"/>
      <c r="G23757" s="2"/>
      <c r="H23757" s="2"/>
    </row>
    <row r="23758" spans="1:8" x14ac:dyDescent="0.25">
      <c r="A23758" s="1"/>
      <c r="B23758" s="1" t="s">
        <v>7328</v>
      </c>
      <c r="C23758" s="1" t="s">
        <v>7329</v>
      </c>
      <c r="D23758" s="22" t="str">
        <f>HYPERLINK("https://rhld.insurance.arkansas.gov/NPILookup?Npi=1316982887","1316982887")</f>
        <v>1316982887</v>
      </c>
      <c r="E23758" s="1" t="s">
        <v>12971</v>
      </c>
      <c r="F23758" s="2"/>
      <c r="G23758" s="2"/>
      <c r="H23758" s="2"/>
    </row>
    <row r="23759" spans="1:8" x14ac:dyDescent="0.25">
      <c r="A23759" s="1"/>
      <c r="B23759" s="1" t="s">
        <v>7328</v>
      </c>
      <c r="C23759" s="1" t="s">
        <v>7329</v>
      </c>
      <c r="D23759" s="22" t="str">
        <f>HYPERLINK("https://rhld.insurance.arkansas.gov/NPILookup?Npi=1316991276","1316991276")</f>
        <v>1316991276</v>
      </c>
      <c r="E23759" s="1" t="s">
        <v>12972</v>
      </c>
      <c r="F23759" s="2"/>
      <c r="G23759" s="2"/>
      <c r="H23759" s="2"/>
    </row>
    <row r="23760" spans="1:8" x14ac:dyDescent="0.25">
      <c r="A23760" s="1"/>
      <c r="B23760" s="1" t="s">
        <v>7328</v>
      </c>
      <c r="C23760" s="1" t="s">
        <v>7329</v>
      </c>
      <c r="D23760" s="22" t="str">
        <f>HYPERLINK("https://rhld.insurance.arkansas.gov/NPILookup?Npi=1316998149","1316998149")</f>
        <v>1316998149</v>
      </c>
      <c r="E23760" s="1" t="s">
        <v>26555</v>
      </c>
      <c r="F23760" s="2"/>
      <c r="G23760" s="2"/>
      <c r="H23760" s="2"/>
    </row>
    <row r="23761" spans="1:8" x14ac:dyDescent="0.25">
      <c r="A23761" s="1"/>
      <c r="B23761" s="1" t="s">
        <v>7328</v>
      </c>
      <c r="C23761" s="1" t="s">
        <v>7329</v>
      </c>
      <c r="D23761" s="22" t="str">
        <f>HYPERLINK("https://rhld.insurance.arkansas.gov/NPILookup?Npi=1326038035","1326038035")</f>
        <v>1326038035</v>
      </c>
      <c r="E23761" s="1" t="s">
        <v>26556</v>
      </c>
      <c r="F23761" s="2"/>
      <c r="G23761" s="2"/>
      <c r="H23761" s="2"/>
    </row>
    <row r="23762" spans="1:8" x14ac:dyDescent="0.25">
      <c r="A23762" s="1"/>
      <c r="B23762" s="1" t="s">
        <v>7328</v>
      </c>
      <c r="C23762" s="1" t="s">
        <v>7329</v>
      </c>
      <c r="D23762" s="22" t="str">
        <f>HYPERLINK("https://rhld.insurance.arkansas.gov/NPILookup?Npi=1326042037","1326042037")</f>
        <v>1326042037</v>
      </c>
      <c r="E23762" s="1" t="s">
        <v>26557</v>
      </c>
      <c r="F23762" s="2"/>
      <c r="G23762" s="2"/>
      <c r="H23762" s="2"/>
    </row>
    <row r="23763" spans="1:8" x14ac:dyDescent="0.25">
      <c r="A23763" s="1"/>
      <c r="B23763" s="1" t="s">
        <v>7328</v>
      </c>
      <c r="C23763" s="1" t="s">
        <v>7329</v>
      </c>
      <c r="D23763" s="22" t="str">
        <f>HYPERLINK("https://rhld.insurance.arkansas.gov/NPILookup?Npi=1326053208","1326053208")</f>
        <v>1326053208</v>
      </c>
      <c r="E23763" s="1" t="s">
        <v>26558</v>
      </c>
      <c r="F23763" s="2"/>
      <c r="G23763" s="2"/>
      <c r="H23763" s="2"/>
    </row>
    <row r="23764" spans="1:8" x14ac:dyDescent="0.25">
      <c r="A23764" s="1"/>
      <c r="B23764" s="1" t="s">
        <v>7328</v>
      </c>
      <c r="C23764" s="1" t="s">
        <v>7329</v>
      </c>
      <c r="D23764" s="22" t="str">
        <f>HYPERLINK("https://rhld.insurance.arkansas.gov/NPILookup?Npi=1326063900","1326063900")</f>
        <v>1326063900</v>
      </c>
      <c r="E23764" s="1" t="s">
        <v>17415</v>
      </c>
      <c r="F23764" s="2"/>
      <c r="G23764" s="2"/>
      <c r="H23764" s="2"/>
    </row>
    <row r="23765" spans="1:8" x14ac:dyDescent="0.25">
      <c r="A23765" s="1"/>
      <c r="B23765" s="1" t="s">
        <v>7328</v>
      </c>
      <c r="C23765" s="1" t="s">
        <v>7329</v>
      </c>
      <c r="D23765" s="22" t="str">
        <f>HYPERLINK("https://rhld.insurance.arkansas.gov/NPILookup?Npi=1326076407","1326076407")</f>
        <v>1326076407</v>
      </c>
      <c r="E23765" s="1" t="s">
        <v>17416</v>
      </c>
      <c r="F23765" s="2"/>
      <c r="G23765" s="2"/>
      <c r="H23765" s="2"/>
    </row>
    <row r="23766" spans="1:8" x14ac:dyDescent="0.25">
      <c r="A23766" s="1"/>
      <c r="B23766" s="1" t="s">
        <v>7328</v>
      </c>
      <c r="C23766" s="1" t="s">
        <v>7329</v>
      </c>
      <c r="D23766" s="22" t="str">
        <f>HYPERLINK("https://rhld.insurance.arkansas.gov/NPILookup?Npi=1326076993","1326076993")</f>
        <v>1326076993</v>
      </c>
      <c r="E23766" s="1" t="s">
        <v>12973</v>
      </c>
      <c r="F23766" s="2"/>
      <c r="G23766" s="2"/>
      <c r="H23766" s="2"/>
    </row>
    <row r="23767" spans="1:8" x14ac:dyDescent="0.25">
      <c r="A23767" s="1"/>
      <c r="B23767" s="1" t="s">
        <v>7328</v>
      </c>
      <c r="C23767" s="1" t="s">
        <v>7329</v>
      </c>
      <c r="D23767" s="22" t="str">
        <f>HYPERLINK("https://rhld.insurance.arkansas.gov/NPILookup?Npi=1326078957","1326078957")</f>
        <v>1326078957</v>
      </c>
      <c r="E23767" s="1" t="s">
        <v>2767</v>
      </c>
      <c r="F23767" s="2"/>
      <c r="G23767" s="2"/>
      <c r="H23767" s="2"/>
    </row>
    <row r="23768" spans="1:8" x14ac:dyDescent="0.25">
      <c r="A23768" s="1"/>
      <c r="B23768" s="1" t="s">
        <v>7328</v>
      </c>
      <c r="C23768" s="1" t="s">
        <v>7329</v>
      </c>
      <c r="D23768" s="22" t="str">
        <f>HYPERLINK("https://rhld.insurance.arkansas.gov/NPILookup?Npi=1326097197","1326097197")</f>
        <v>1326097197</v>
      </c>
      <c r="E23768" s="1" t="s">
        <v>26559</v>
      </c>
      <c r="F23768" s="2"/>
      <c r="G23768" s="2"/>
      <c r="H23768" s="2"/>
    </row>
    <row r="23769" spans="1:8" x14ac:dyDescent="0.25">
      <c r="A23769" s="1"/>
      <c r="B23769" s="1" t="s">
        <v>7328</v>
      </c>
      <c r="C23769" s="1" t="s">
        <v>7329</v>
      </c>
      <c r="D23769" s="22" t="str">
        <f>HYPERLINK("https://rhld.insurance.arkansas.gov/NPILookup?Npi=1326128364","1326128364")</f>
        <v>1326128364</v>
      </c>
      <c r="E23769" s="1" t="s">
        <v>689</v>
      </c>
      <c r="F23769" s="2"/>
      <c r="G23769" s="2"/>
      <c r="H23769" s="2"/>
    </row>
    <row r="23770" spans="1:8" x14ac:dyDescent="0.25">
      <c r="A23770" s="1"/>
      <c r="B23770" s="1" t="s">
        <v>7328</v>
      </c>
      <c r="C23770" s="1" t="s">
        <v>7329</v>
      </c>
      <c r="D23770" s="22" t="str">
        <f>HYPERLINK("https://rhld.insurance.arkansas.gov/NPILookup?Npi=1326152448","1326152448")</f>
        <v>1326152448</v>
      </c>
      <c r="E23770" s="1" t="s">
        <v>854</v>
      </c>
      <c r="F23770" s="2"/>
      <c r="G23770" s="2"/>
      <c r="H23770" s="2"/>
    </row>
    <row r="23771" spans="1:8" x14ac:dyDescent="0.25">
      <c r="A23771" s="1"/>
      <c r="B23771" s="1" t="s">
        <v>7328</v>
      </c>
      <c r="C23771" s="1" t="s">
        <v>7329</v>
      </c>
      <c r="D23771" s="22" t="str">
        <f>HYPERLINK("https://rhld.insurance.arkansas.gov/NPILookup?Npi=1326154501","1326154501")</f>
        <v>1326154501</v>
      </c>
      <c r="E23771" s="1" t="s">
        <v>26560</v>
      </c>
      <c r="F23771" s="2"/>
      <c r="G23771" s="2"/>
      <c r="H23771" s="2"/>
    </row>
    <row r="23772" spans="1:8" x14ac:dyDescent="0.25">
      <c r="A23772" s="1"/>
      <c r="B23772" s="1" t="s">
        <v>7328</v>
      </c>
      <c r="C23772" s="1" t="s">
        <v>7329</v>
      </c>
      <c r="D23772" s="22" t="str">
        <f>HYPERLINK("https://rhld.insurance.arkansas.gov/NPILookup?Npi=1326181991","1326181991")</f>
        <v>1326181991</v>
      </c>
      <c r="E23772" s="1" t="s">
        <v>26561</v>
      </c>
      <c r="F23772" s="2"/>
      <c r="G23772" s="2"/>
      <c r="H23772" s="2"/>
    </row>
    <row r="23773" spans="1:8" x14ac:dyDescent="0.25">
      <c r="A23773" s="1"/>
      <c r="B23773" s="1" t="s">
        <v>7328</v>
      </c>
      <c r="C23773" s="1" t="s">
        <v>7329</v>
      </c>
      <c r="D23773" s="22" t="str">
        <f>HYPERLINK("https://rhld.insurance.arkansas.gov/NPILookup?Npi=1326203720","1326203720")</f>
        <v>1326203720</v>
      </c>
      <c r="E23773" s="1" t="s">
        <v>26562</v>
      </c>
      <c r="F23773" s="2"/>
      <c r="G23773" s="2"/>
      <c r="H23773" s="2"/>
    </row>
    <row r="23774" spans="1:8" x14ac:dyDescent="0.25">
      <c r="A23774" s="1"/>
      <c r="B23774" s="1" t="s">
        <v>7328</v>
      </c>
      <c r="C23774" s="1" t="s">
        <v>7329</v>
      </c>
      <c r="D23774" s="22" t="str">
        <f>HYPERLINK("https://rhld.insurance.arkansas.gov/NPILookup?Npi=1326240797","1326240797")</f>
        <v>1326240797</v>
      </c>
      <c r="E23774" s="1" t="s">
        <v>26563</v>
      </c>
      <c r="F23774" s="2"/>
      <c r="G23774" s="2"/>
      <c r="H23774" s="2"/>
    </row>
    <row r="23775" spans="1:8" x14ac:dyDescent="0.25">
      <c r="A23775" s="1"/>
      <c r="B23775" s="1" t="s">
        <v>7328</v>
      </c>
      <c r="C23775" s="1" t="s">
        <v>7329</v>
      </c>
      <c r="D23775" s="22" t="str">
        <f>HYPERLINK("https://rhld.insurance.arkansas.gov/NPILookup?Npi=1326244260","1326244260")</f>
        <v>1326244260</v>
      </c>
      <c r="E23775" s="1" t="s">
        <v>26564</v>
      </c>
      <c r="F23775" s="2"/>
      <c r="G23775" s="2"/>
      <c r="H23775" s="2"/>
    </row>
    <row r="23776" spans="1:8" x14ac:dyDescent="0.25">
      <c r="A23776" s="1"/>
      <c r="B23776" s="1" t="s">
        <v>7328</v>
      </c>
      <c r="C23776" s="1" t="s">
        <v>7329</v>
      </c>
      <c r="D23776" s="22" t="str">
        <f>HYPERLINK("https://rhld.insurance.arkansas.gov/NPILookup?Npi=1326245291","1326245291")</f>
        <v>1326245291</v>
      </c>
      <c r="E23776" s="1" t="s">
        <v>26565</v>
      </c>
      <c r="F23776" s="2"/>
      <c r="G23776" s="2"/>
      <c r="H23776" s="2"/>
    </row>
    <row r="23777" spans="1:8" x14ac:dyDescent="0.25">
      <c r="A23777" s="1"/>
      <c r="B23777" s="1" t="s">
        <v>7328</v>
      </c>
      <c r="C23777" s="1" t="s">
        <v>7329</v>
      </c>
      <c r="D23777" s="22" t="str">
        <f>HYPERLINK("https://rhld.insurance.arkansas.gov/NPILookup?Npi=1326246190","1326246190")</f>
        <v>1326246190</v>
      </c>
      <c r="E23777" s="1" t="s">
        <v>100</v>
      </c>
      <c r="F23777" s="2"/>
      <c r="G23777" s="2"/>
      <c r="H23777" s="2"/>
    </row>
    <row r="23778" spans="1:8" x14ac:dyDescent="0.25">
      <c r="A23778" s="1"/>
      <c r="B23778" s="1" t="s">
        <v>7328</v>
      </c>
      <c r="C23778" s="1" t="s">
        <v>7329</v>
      </c>
      <c r="D23778" s="22" t="str">
        <f>HYPERLINK("https://rhld.insurance.arkansas.gov/NPILookup?Npi=1326261199","1326261199")</f>
        <v>1326261199</v>
      </c>
      <c r="E23778" s="1" t="s">
        <v>26566</v>
      </c>
      <c r="F23778" s="2"/>
      <c r="G23778" s="2"/>
      <c r="H23778" s="2"/>
    </row>
    <row r="23779" spans="1:8" x14ac:dyDescent="0.25">
      <c r="A23779" s="1"/>
      <c r="B23779" s="1" t="s">
        <v>7328</v>
      </c>
      <c r="C23779" s="1" t="s">
        <v>7329</v>
      </c>
      <c r="D23779" s="22" t="str">
        <f>HYPERLINK("https://rhld.insurance.arkansas.gov/NPILookup?Npi=1326282799","1326282799")</f>
        <v>1326282799</v>
      </c>
      <c r="E23779" s="1" t="s">
        <v>863</v>
      </c>
      <c r="F23779" s="2"/>
      <c r="G23779" s="2"/>
      <c r="H23779" s="2"/>
    </row>
    <row r="23780" spans="1:8" x14ac:dyDescent="0.25">
      <c r="A23780" s="1"/>
      <c r="B23780" s="1" t="s">
        <v>7328</v>
      </c>
      <c r="C23780" s="1" t="s">
        <v>7329</v>
      </c>
      <c r="D23780" s="22" t="str">
        <f>HYPERLINK("https://rhld.insurance.arkansas.gov/NPILookup?Npi=1326291089","1326291089")</f>
        <v>1326291089</v>
      </c>
      <c r="E23780" s="1" t="s">
        <v>1761</v>
      </c>
      <c r="F23780" s="2"/>
      <c r="G23780" s="2"/>
      <c r="H23780" s="2"/>
    </row>
    <row r="23781" spans="1:8" x14ac:dyDescent="0.25">
      <c r="A23781" s="1"/>
      <c r="B23781" s="1" t="s">
        <v>7328</v>
      </c>
      <c r="C23781" s="1" t="s">
        <v>7329</v>
      </c>
      <c r="D23781" s="22" t="str">
        <f>HYPERLINK("https://rhld.insurance.arkansas.gov/NPILookup?Npi=1326296658","1326296658")</f>
        <v>1326296658</v>
      </c>
      <c r="E23781" s="1" t="s">
        <v>355</v>
      </c>
      <c r="F23781" s="2"/>
      <c r="G23781" s="2"/>
      <c r="H23781" s="2"/>
    </row>
    <row r="23782" spans="1:8" x14ac:dyDescent="0.25">
      <c r="A23782" s="1"/>
      <c r="B23782" s="1" t="s">
        <v>7328</v>
      </c>
      <c r="C23782" s="1" t="s">
        <v>7329</v>
      </c>
      <c r="D23782" s="22" t="str">
        <f>HYPERLINK("https://rhld.insurance.arkansas.gov/NPILookup?Npi=1326344045","1326344045")</f>
        <v>1326344045</v>
      </c>
      <c r="E23782" s="1" t="s">
        <v>12974</v>
      </c>
      <c r="F23782" s="2"/>
      <c r="G23782" s="2"/>
      <c r="H23782" s="2"/>
    </row>
    <row r="23783" spans="1:8" x14ac:dyDescent="0.25">
      <c r="A23783" s="1"/>
      <c r="B23783" s="1" t="s">
        <v>7328</v>
      </c>
      <c r="C23783" s="1" t="s">
        <v>7329</v>
      </c>
      <c r="D23783" s="22" t="str">
        <f>HYPERLINK("https://rhld.insurance.arkansas.gov/NPILookup?Npi=1326346461","1326346461")</f>
        <v>1326346461</v>
      </c>
      <c r="E23783" s="1" t="s">
        <v>12975</v>
      </c>
      <c r="F23783" s="2"/>
      <c r="G23783" s="2"/>
      <c r="H23783" s="2"/>
    </row>
    <row r="23784" spans="1:8" x14ac:dyDescent="0.25">
      <c r="A23784" s="1"/>
      <c r="B23784" s="1" t="s">
        <v>7328</v>
      </c>
      <c r="C23784" s="1" t="s">
        <v>7329</v>
      </c>
      <c r="D23784" s="22" t="str">
        <f>HYPERLINK("https://rhld.insurance.arkansas.gov/NPILookup?Npi=1326354739","1326354739")</f>
        <v>1326354739</v>
      </c>
      <c r="E23784" s="1" t="s">
        <v>2769</v>
      </c>
      <c r="F23784" s="2"/>
      <c r="G23784" s="2"/>
      <c r="H23784" s="2"/>
    </row>
    <row r="23785" spans="1:8" x14ac:dyDescent="0.25">
      <c r="A23785" s="1"/>
      <c r="B23785" s="1" t="s">
        <v>7328</v>
      </c>
      <c r="C23785" s="1" t="s">
        <v>7329</v>
      </c>
      <c r="D23785" s="22" t="str">
        <f>HYPERLINK("https://rhld.insurance.arkansas.gov/NPILookup?Npi=1326356890","1326356890")</f>
        <v>1326356890</v>
      </c>
      <c r="E23785" s="1" t="s">
        <v>1213</v>
      </c>
      <c r="F23785" s="2"/>
      <c r="G23785" s="2"/>
      <c r="H23785" s="2"/>
    </row>
    <row r="23786" spans="1:8" x14ac:dyDescent="0.25">
      <c r="A23786" s="1"/>
      <c r="B23786" s="1" t="s">
        <v>7328</v>
      </c>
      <c r="C23786" s="1" t="s">
        <v>7329</v>
      </c>
      <c r="D23786" s="22" t="str">
        <f>HYPERLINK("https://rhld.insurance.arkansas.gov/NPILookup?Npi=1326358565","1326358565")</f>
        <v>1326358565</v>
      </c>
      <c r="E23786" s="1" t="s">
        <v>26567</v>
      </c>
      <c r="F23786" s="2"/>
      <c r="G23786" s="2"/>
      <c r="H23786" s="2"/>
    </row>
    <row r="23787" spans="1:8" x14ac:dyDescent="0.25">
      <c r="A23787" s="1"/>
      <c r="B23787" s="1" t="s">
        <v>7328</v>
      </c>
      <c r="C23787" s="1" t="s">
        <v>7329</v>
      </c>
      <c r="D23787" s="22" t="str">
        <f>HYPERLINK("https://rhld.insurance.arkansas.gov/NPILookup?Npi=1326359472","1326359472")</f>
        <v>1326359472</v>
      </c>
      <c r="E23787" s="1" t="s">
        <v>2770</v>
      </c>
      <c r="F23787" s="2"/>
      <c r="G23787" s="2"/>
      <c r="H23787" s="2"/>
    </row>
    <row r="23788" spans="1:8" x14ac:dyDescent="0.25">
      <c r="A23788" s="1"/>
      <c r="B23788" s="1" t="s">
        <v>7328</v>
      </c>
      <c r="C23788" s="1" t="s">
        <v>7329</v>
      </c>
      <c r="D23788" s="22" t="str">
        <f>HYPERLINK("https://rhld.insurance.arkansas.gov/NPILookup?Npi=1326361874","1326361874")</f>
        <v>1326361874</v>
      </c>
      <c r="E23788" s="1" t="s">
        <v>26568</v>
      </c>
      <c r="F23788" s="2"/>
      <c r="G23788" s="2"/>
      <c r="H23788" s="2"/>
    </row>
    <row r="23789" spans="1:8" x14ac:dyDescent="0.25">
      <c r="A23789" s="1"/>
      <c r="B23789" s="1" t="s">
        <v>7328</v>
      </c>
      <c r="C23789" s="1" t="s">
        <v>7329</v>
      </c>
      <c r="D23789" s="22" t="str">
        <f>HYPERLINK("https://rhld.insurance.arkansas.gov/NPILookup?Npi=1326381468","1326381468")</f>
        <v>1326381468</v>
      </c>
      <c r="E23789" s="1" t="s">
        <v>17420</v>
      </c>
      <c r="F23789" s="2"/>
      <c r="G23789" s="2"/>
      <c r="H23789" s="2"/>
    </row>
    <row r="23790" spans="1:8" x14ac:dyDescent="0.25">
      <c r="A23790" s="1"/>
      <c r="B23790" s="1" t="s">
        <v>7328</v>
      </c>
      <c r="C23790" s="1" t="s">
        <v>7329</v>
      </c>
      <c r="D23790" s="22" t="str">
        <f>HYPERLINK("https://rhld.insurance.arkansas.gov/NPILookup?Npi=1326388125","1326388125")</f>
        <v>1326388125</v>
      </c>
      <c r="E23790" s="1" t="s">
        <v>2771</v>
      </c>
      <c r="F23790" s="2"/>
      <c r="G23790" s="2"/>
      <c r="H23790" s="2"/>
    </row>
    <row r="23791" spans="1:8" x14ac:dyDescent="0.25">
      <c r="A23791" s="1"/>
      <c r="B23791" s="1" t="s">
        <v>7328</v>
      </c>
      <c r="C23791" s="1" t="s">
        <v>7329</v>
      </c>
      <c r="D23791" s="22" t="str">
        <f>HYPERLINK("https://rhld.insurance.arkansas.gov/NPILookup?Npi=1326392671","1326392671")</f>
        <v>1326392671</v>
      </c>
      <c r="E23791" s="1" t="s">
        <v>703</v>
      </c>
      <c r="F23791" s="2"/>
      <c r="G23791" s="2"/>
      <c r="H23791" s="2"/>
    </row>
    <row r="23792" spans="1:8" x14ac:dyDescent="0.25">
      <c r="A23792" s="1"/>
      <c r="B23792" s="1" t="s">
        <v>7328</v>
      </c>
      <c r="C23792" s="1" t="s">
        <v>7329</v>
      </c>
      <c r="D23792" s="22" t="str">
        <f>HYPERLINK("https://rhld.insurance.arkansas.gov/NPILookup?Npi=1326416736","1326416736")</f>
        <v>1326416736</v>
      </c>
      <c r="E23792" s="1" t="s">
        <v>12976</v>
      </c>
      <c r="F23792" s="2"/>
      <c r="G23792" s="2"/>
      <c r="H23792" s="2"/>
    </row>
    <row r="23793" spans="1:8" x14ac:dyDescent="0.25">
      <c r="A23793" s="1"/>
      <c r="B23793" s="1" t="s">
        <v>7328</v>
      </c>
      <c r="C23793" s="1" t="s">
        <v>7329</v>
      </c>
      <c r="D23793" s="22" t="str">
        <f>HYPERLINK("https://rhld.insurance.arkansas.gov/NPILookup?Npi=1326419359","1326419359")</f>
        <v>1326419359</v>
      </c>
      <c r="E23793" s="1" t="s">
        <v>26569</v>
      </c>
      <c r="F23793" s="2"/>
      <c r="G23793" s="2"/>
      <c r="H23793" s="2"/>
    </row>
    <row r="23794" spans="1:8" x14ac:dyDescent="0.25">
      <c r="A23794" s="1"/>
      <c r="B23794" s="1" t="s">
        <v>7328</v>
      </c>
      <c r="C23794" s="1" t="s">
        <v>7329</v>
      </c>
      <c r="D23794" s="22" t="str">
        <f>HYPERLINK("https://rhld.insurance.arkansas.gov/NPILookup?Npi=1326425919","1326425919")</f>
        <v>1326425919</v>
      </c>
      <c r="E23794" s="1" t="s">
        <v>2772</v>
      </c>
      <c r="F23794" s="2"/>
      <c r="G23794" s="2"/>
      <c r="H23794" s="2"/>
    </row>
    <row r="23795" spans="1:8" x14ac:dyDescent="0.25">
      <c r="A23795" s="1"/>
      <c r="B23795" s="1" t="s">
        <v>7328</v>
      </c>
      <c r="C23795" s="1" t="s">
        <v>7329</v>
      </c>
      <c r="D23795" s="22" t="str">
        <f>HYPERLINK("https://rhld.insurance.arkansas.gov/NPILookup?Npi=1326428905","1326428905")</f>
        <v>1326428905</v>
      </c>
      <c r="E23795" s="1" t="s">
        <v>7654</v>
      </c>
      <c r="F23795" s="2"/>
      <c r="G23795" s="2"/>
      <c r="H23795" s="2"/>
    </row>
    <row r="23796" spans="1:8" x14ac:dyDescent="0.25">
      <c r="A23796" s="1"/>
      <c r="B23796" s="1" t="s">
        <v>7328</v>
      </c>
      <c r="C23796" s="1" t="s">
        <v>7329</v>
      </c>
      <c r="D23796" s="22" t="str">
        <f>HYPERLINK("https://rhld.insurance.arkansas.gov/NPILookup?Npi=1326438466","1326438466")</f>
        <v>1326438466</v>
      </c>
      <c r="E23796" s="1" t="s">
        <v>21849</v>
      </c>
      <c r="F23796" s="2"/>
      <c r="G23796" s="2"/>
      <c r="H23796" s="2"/>
    </row>
    <row r="23797" spans="1:8" x14ac:dyDescent="0.25">
      <c r="A23797" s="1"/>
      <c r="B23797" s="1" t="s">
        <v>7328</v>
      </c>
      <c r="C23797" s="1" t="s">
        <v>7329</v>
      </c>
      <c r="D23797" s="22" t="str">
        <f>HYPERLINK("https://rhld.insurance.arkansas.gov/NPILookup?Npi=1326445578","1326445578")</f>
        <v>1326445578</v>
      </c>
      <c r="E23797" s="1" t="s">
        <v>2773</v>
      </c>
      <c r="F23797" s="2"/>
      <c r="G23797" s="2"/>
      <c r="H23797" s="2"/>
    </row>
    <row r="23798" spans="1:8" x14ac:dyDescent="0.25">
      <c r="A23798" s="1"/>
      <c r="B23798" s="1" t="s">
        <v>7328</v>
      </c>
      <c r="C23798" s="1" t="s">
        <v>7329</v>
      </c>
      <c r="D23798" s="22" t="str">
        <f>HYPERLINK("https://rhld.insurance.arkansas.gov/NPILookup?Npi=1326449182","1326449182")</f>
        <v>1326449182</v>
      </c>
      <c r="E23798" s="1" t="s">
        <v>32189</v>
      </c>
      <c r="F23798" s="2"/>
      <c r="G23798" s="2"/>
      <c r="H23798" s="2"/>
    </row>
    <row r="23799" spans="1:8" x14ac:dyDescent="0.25">
      <c r="A23799" s="1"/>
      <c r="B23799" s="1" t="s">
        <v>7328</v>
      </c>
      <c r="C23799" s="1" t="s">
        <v>7329</v>
      </c>
      <c r="D23799" s="22" t="str">
        <f>HYPERLINK("https://rhld.insurance.arkansas.gov/NPILookup?Npi=1326455957","1326455957")</f>
        <v>1326455957</v>
      </c>
      <c r="E23799" s="1" t="s">
        <v>26570</v>
      </c>
      <c r="F23799" s="2"/>
      <c r="G23799" s="2"/>
      <c r="H23799" s="2"/>
    </row>
    <row r="23800" spans="1:8" x14ac:dyDescent="0.25">
      <c r="A23800" s="1"/>
      <c r="B23800" s="1" t="s">
        <v>7328</v>
      </c>
      <c r="C23800" s="1" t="s">
        <v>7329</v>
      </c>
      <c r="D23800" s="22" t="str">
        <f>HYPERLINK("https://rhld.insurance.arkansas.gov/NPILookup?Npi=1326457557","1326457557")</f>
        <v>1326457557</v>
      </c>
      <c r="E23800" s="1" t="s">
        <v>7655</v>
      </c>
      <c r="F23800" s="2"/>
      <c r="G23800" s="2"/>
      <c r="H23800" s="2"/>
    </row>
    <row r="23801" spans="1:8" x14ac:dyDescent="0.25">
      <c r="A23801" s="1"/>
      <c r="B23801" s="1" t="s">
        <v>7328</v>
      </c>
      <c r="C23801" s="1" t="s">
        <v>7329</v>
      </c>
      <c r="D23801" s="22" t="str">
        <f>HYPERLINK("https://rhld.insurance.arkansas.gov/NPILookup?Npi=1326458902","1326458902")</f>
        <v>1326458902</v>
      </c>
      <c r="E23801" s="1" t="s">
        <v>26571</v>
      </c>
      <c r="F23801" s="2"/>
      <c r="G23801" s="2"/>
      <c r="H23801" s="2"/>
    </row>
    <row r="23802" spans="1:8" x14ac:dyDescent="0.25">
      <c r="A23802" s="1"/>
      <c r="B23802" s="1" t="s">
        <v>7328</v>
      </c>
      <c r="C23802" s="1" t="s">
        <v>7329</v>
      </c>
      <c r="D23802" s="22" t="str">
        <f>HYPERLINK("https://rhld.insurance.arkansas.gov/NPILookup?Npi=1326465691","1326465691")</f>
        <v>1326465691</v>
      </c>
      <c r="E23802" s="1" t="s">
        <v>17421</v>
      </c>
      <c r="F23802" s="2"/>
      <c r="G23802" s="2"/>
      <c r="H23802" s="2"/>
    </row>
    <row r="23803" spans="1:8" x14ac:dyDescent="0.25">
      <c r="A23803" s="1"/>
      <c r="B23803" s="1" t="s">
        <v>7328</v>
      </c>
      <c r="C23803" s="1" t="s">
        <v>7329</v>
      </c>
      <c r="D23803" s="22" t="str">
        <f>HYPERLINK("https://rhld.insurance.arkansas.gov/NPILookup?Npi=1326468059","1326468059")</f>
        <v>1326468059</v>
      </c>
      <c r="E23803" s="1" t="s">
        <v>26572</v>
      </c>
      <c r="F23803" s="2"/>
      <c r="G23803" s="2"/>
      <c r="H23803" s="2"/>
    </row>
    <row r="23804" spans="1:8" x14ac:dyDescent="0.25">
      <c r="A23804" s="1"/>
      <c r="B23804" s="1" t="s">
        <v>7328</v>
      </c>
      <c r="C23804" s="1" t="s">
        <v>7329</v>
      </c>
      <c r="D23804" s="22" t="str">
        <f>HYPERLINK("https://rhld.insurance.arkansas.gov/NPILookup?Npi=1326472002","1326472002")</f>
        <v>1326472002</v>
      </c>
      <c r="E23804" s="1" t="s">
        <v>26573</v>
      </c>
      <c r="F23804" s="2"/>
      <c r="G23804" s="2"/>
      <c r="H23804" s="2"/>
    </row>
    <row r="23805" spans="1:8" x14ac:dyDescent="0.25">
      <c r="A23805" s="1"/>
      <c r="B23805" s="1" t="s">
        <v>7328</v>
      </c>
      <c r="C23805" s="1" t="s">
        <v>7329</v>
      </c>
      <c r="D23805" s="22" t="str">
        <f>HYPERLINK("https://rhld.insurance.arkansas.gov/NPILookup?Npi=1326481664","1326481664")</f>
        <v>1326481664</v>
      </c>
      <c r="E23805" s="1" t="s">
        <v>26574</v>
      </c>
      <c r="F23805" s="2"/>
      <c r="G23805" s="2"/>
      <c r="H23805" s="2"/>
    </row>
    <row r="23806" spans="1:8" x14ac:dyDescent="0.25">
      <c r="A23806" s="1"/>
      <c r="B23806" s="1" t="s">
        <v>7328</v>
      </c>
      <c r="C23806" s="1" t="s">
        <v>7329</v>
      </c>
      <c r="D23806" s="22" t="str">
        <f>HYPERLINK("https://rhld.insurance.arkansas.gov/NPILookup?Npi=1326490798","1326490798")</f>
        <v>1326490798</v>
      </c>
      <c r="E23806" s="1" t="s">
        <v>1697</v>
      </c>
      <c r="F23806" s="2"/>
      <c r="G23806" s="2"/>
      <c r="H23806" s="2"/>
    </row>
    <row r="23807" spans="1:8" x14ac:dyDescent="0.25">
      <c r="A23807" s="1"/>
      <c r="B23807" s="1" t="s">
        <v>7328</v>
      </c>
      <c r="C23807" s="1" t="s">
        <v>7329</v>
      </c>
      <c r="D23807" s="22" t="str">
        <f>HYPERLINK("https://rhld.insurance.arkansas.gov/NPILookup?Npi=1326496936","1326496936")</f>
        <v>1326496936</v>
      </c>
      <c r="E23807" s="1" t="s">
        <v>26575</v>
      </c>
      <c r="F23807" s="2"/>
      <c r="G23807" s="2"/>
      <c r="H23807" s="2"/>
    </row>
    <row r="23808" spans="1:8" x14ac:dyDescent="0.25">
      <c r="A23808" s="1"/>
      <c r="B23808" s="1" t="s">
        <v>7328</v>
      </c>
      <c r="C23808" s="1" t="s">
        <v>7329</v>
      </c>
      <c r="D23808" s="22" t="str">
        <f>HYPERLINK("https://rhld.insurance.arkansas.gov/NPILookup?Npi=1326500406","1326500406")</f>
        <v>1326500406</v>
      </c>
      <c r="E23808" s="1" t="s">
        <v>4336</v>
      </c>
      <c r="F23808" s="2"/>
      <c r="G23808" s="2"/>
      <c r="H23808" s="2"/>
    </row>
    <row r="23809" spans="1:8" x14ac:dyDescent="0.25">
      <c r="A23809" s="1"/>
      <c r="B23809" s="1" t="s">
        <v>7328</v>
      </c>
      <c r="C23809" s="1" t="s">
        <v>7329</v>
      </c>
      <c r="D23809" s="22" t="str">
        <f>HYPERLINK("https://rhld.insurance.arkansas.gov/NPILookup?Npi=1326509092","1326509092")</f>
        <v>1326509092</v>
      </c>
      <c r="E23809" s="1" t="s">
        <v>12977</v>
      </c>
      <c r="F23809" s="2"/>
      <c r="G23809" s="2"/>
      <c r="H23809" s="2"/>
    </row>
    <row r="23810" spans="1:8" x14ac:dyDescent="0.25">
      <c r="A23810" s="1"/>
      <c r="B23810" s="1" t="s">
        <v>7328</v>
      </c>
      <c r="C23810" s="1" t="s">
        <v>7329</v>
      </c>
      <c r="D23810" s="22" t="str">
        <f>HYPERLINK("https://rhld.insurance.arkansas.gov/NPILookup?Npi=1326510033","1326510033")</f>
        <v>1326510033</v>
      </c>
      <c r="E23810" s="1" t="s">
        <v>12978</v>
      </c>
      <c r="F23810" s="2"/>
      <c r="G23810" s="2"/>
      <c r="H23810" s="2"/>
    </row>
    <row r="23811" spans="1:8" x14ac:dyDescent="0.25">
      <c r="A23811" s="1"/>
      <c r="B23811" s="1" t="s">
        <v>7328</v>
      </c>
      <c r="C23811" s="1" t="s">
        <v>7329</v>
      </c>
      <c r="D23811" s="22" t="str">
        <f>HYPERLINK("https://rhld.insurance.arkansas.gov/NPILookup?Npi=1326544305","1326544305")</f>
        <v>1326544305</v>
      </c>
      <c r="E23811" s="1" t="s">
        <v>12979</v>
      </c>
      <c r="F23811" s="2"/>
      <c r="G23811" s="2"/>
      <c r="H23811" s="2"/>
    </row>
    <row r="23812" spans="1:8" x14ac:dyDescent="0.25">
      <c r="A23812" s="1"/>
      <c r="B23812" s="1" t="s">
        <v>7328</v>
      </c>
      <c r="C23812" s="1" t="s">
        <v>7329</v>
      </c>
      <c r="D23812" s="22" t="str">
        <f>HYPERLINK("https://rhld.insurance.arkansas.gov/NPILookup?Npi=1326545401","1326545401")</f>
        <v>1326545401</v>
      </c>
      <c r="E23812" s="1" t="s">
        <v>26576</v>
      </c>
      <c r="F23812" s="2"/>
      <c r="G23812" s="2"/>
      <c r="H23812" s="2"/>
    </row>
    <row r="23813" spans="1:8" x14ac:dyDescent="0.25">
      <c r="A23813" s="1"/>
      <c r="B23813" s="1" t="s">
        <v>7328</v>
      </c>
      <c r="C23813" s="1" t="s">
        <v>7329</v>
      </c>
      <c r="D23813" s="22" t="str">
        <f>HYPERLINK("https://rhld.insurance.arkansas.gov/NPILookup?Npi=1326555616","1326555616")</f>
        <v>1326555616</v>
      </c>
      <c r="E23813" s="1" t="s">
        <v>1381</v>
      </c>
      <c r="F23813" s="2"/>
      <c r="G23813" s="2"/>
      <c r="H23813" s="2"/>
    </row>
    <row r="23814" spans="1:8" x14ac:dyDescent="0.25">
      <c r="A23814" s="1"/>
      <c r="B23814" s="1" t="s">
        <v>7328</v>
      </c>
      <c r="C23814" s="1" t="s">
        <v>7329</v>
      </c>
      <c r="D23814" s="22" t="str">
        <f>HYPERLINK("https://rhld.insurance.arkansas.gov/NPILookup?Npi=1326565607","1326565607")</f>
        <v>1326565607</v>
      </c>
      <c r="E23814" s="1" t="s">
        <v>2774</v>
      </c>
      <c r="F23814" s="2"/>
      <c r="G23814" s="2"/>
      <c r="H23814" s="2"/>
    </row>
    <row r="23815" spans="1:8" x14ac:dyDescent="0.25">
      <c r="A23815" s="1"/>
      <c r="B23815" s="1" t="s">
        <v>7328</v>
      </c>
      <c r="C23815" s="1" t="s">
        <v>7329</v>
      </c>
      <c r="D23815" s="22" t="str">
        <f>HYPERLINK("https://rhld.insurance.arkansas.gov/NPILookup?Npi=1326566357","1326566357")</f>
        <v>1326566357</v>
      </c>
      <c r="E23815" s="1" t="s">
        <v>12980</v>
      </c>
      <c r="F23815" s="2"/>
      <c r="G23815" s="2"/>
      <c r="H23815" s="2"/>
    </row>
    <row r="23816" spans="1:8" x14ac:dyDescent="0.25">
      <c r="A23816" s="1"/>
      <c r="B23816" s="1" t="s">
        <v>7328</v>
      </c>
      <c r="C23816" s="1" t="s">
        <v>7329</v>
      </c>
      <c r="D23816" s="22" t="str">
        <f>HYPERLINK("https://rhld.insurance.arkansas.gov/NPILookup?Npi=1326567595","1326567595")</f>
        <v>1326567595</v>
      </c>
      <c r="E23816" s="1" t="s">
        <v>26577</v>
      </c>
      <c r="F23816" s="2"/>
      <c r="G23816" s="2"/>
      <c r="H23816" s="2"/>
    </row>
    <row r="23817" spans="1:8" x14ac:dyDescent="0.25">
      <c r="A23817" s="1"/>
      <c r="B23817" s="1" t="s">
        <v>7328</v>
      </c>
      <c r="C23817" s="1" t="s">
        <v>7329</v>
      </c>
      <c r="D23817" s="22" t="str">
        <f>HYPERLINK("https://rhld.insurance.arkansas.gov/NPILookup?Npi=1326571159","1326571159")</f>
        <v>1326571159</v>
      </c>
      <c r="E23817" s="1" t="s">
        <v>26578</v>
      </c>
      <c r="F23817" s="2"/>
      <c r="G23817" s="2"/>
      <c r="H23817" s="2"/>
    </row>
    <row r="23818" spans="1:8" x14ac:dyDescent="0.25">
      <c r="A23818" s="1"/>
      <c r="B23818" s="1" t="s">
        <v>7328</v>
      </c>
      <c r="C23818" s="1" t="s">
        <v>7329</v>
      </c>
      <c r="D23818" s="22" t="str">
        <f>HYPERLINK("https://rhld.insurance.arkansas.gov/NPILookup?Npi=1326571779","1326571779")</f>
        <v>1326571779</v>
      </c>
      <c r="E23818" s="1" t="s">
        <v>17424</v>
      </c>
      <c r="F23818" s="2"/>
      <c r="G23818" s="2"/>
      <c r="H23818" s="2"/>
    </row>
    <row r="23819" spans="1:8" x14ac:dyDescent="0.25">
      <c r="A23819" s="1"/>
      <c r="B23819" s="1" t="s">
        <v>7328</v>
      </c>
      <c r="C23819" s="1" t="s">
        <v>7329</v>
      </c>
      <c r="D23819" s="22" t="str">
        <f>HYPERLINK("https://rhld.insurance.arkansas.gov/NPILookup?Npi=1326572934","1326572934")</f>
        <v>1326572934</v>
      </c>
      <c r="E23819" s="1" t="s">
        <v>17425</v>
      </c>
      <c r="F23819" s="2"/>
      <c r="G23819" s="2"/>
      <c r="H23819" s="2"/>
    </row>
    <row r="23820" spans="1:8" x14ac:dyDescent="0.25">
      <c r="A23820" s="1"/>
      <c r="B23820" s="1" t="s">
        <v>7328</v>
      </c>
      <c r="C23820" s="1" t="s">
        <v>7329</v>
      </c>
      <c r="D23820" s="22" t="str">
        <f>HYPERLINK("https://rhld.insurance.arkansas.gov/NPILookup?Npi=1326574625","1326574625")</f>
        <v>1326574625</v>
      </c>
      <c r="E23820" s="1" t="s">
        <v>12981</v>
      </c>
      <c r="F23820" s="2"/>
      <c r="G23820" s="2"/>
      <c r="H23820" s="2"/>
    </row>
    <row r="23821" spans="1:8" x14ac:dyDescent="0.25">
      <c r="A23821" s="1"/>
      <c r="B23821" s="1" t="s">
        <v>7328</v>
      </c>
      <c r="C23821" s="1" t="s">
        <v>7329</v>
      </c>
      <c r="D23821" s="22" t="str">
        <f>HYPERLINK("https://rhld.insurance.arkansas.gov/NPILookup?Npi=1326621319","1326621319")</f>
        <v>1326621319</v>
      </c>
      <c r="E23821" s="1" t="s">
        <v>26579</v>
      </c>
      <c r="F23821" s="2"/>
      <c r="G23821" s="2"/>
      <c r="H23821" s="2"/>
    </row>
    <row r="23822" spans="1:8" x14ac:dyDescent="0.25">
      <c r="A23822" s="1"/>
      <c r="B23822" s="1" t="s">
        <v>7328</v>
      </c>
      <c r="C23822" s="1" t="s">
        <v>7329</v>
      </c>
      <c r="D23822" s="22" t="str">
        <f>HYPERLINK("https://rhld.insurance.arkansas.gov/NPILookup?Npi=1326632001","1326632001")</f>
        <v>1326632001</v>
      </c>
      <c r="E23822" s="1" t="s">
        <v>26580</v>
      </c>
      <c r="F23822" s="2"/>
      <c r="G23822" s="2"/>
      <c r="H23822" s="2"/>
    </row>
    <row r="23823" spans="1:8" x14ac:dyDescent="0.25">
      <c r="A23823" s="1"/>
      <c r="B23823" s="1" t="s">
        <v>7328</v>
      </c>
      <c r="C23823" s="1" t="s">
        <v>7329</v>
      </c>
      <c r="D23823" s="22" t="str">
        <f>HYPERLINK("https://rhld.insurance.arkansas.gov/NPILookup?Npi=1326655416","1326655416")</f>
        <v>1326655416</v>
      </c>
      <c r="E23823" s="1" t="s">
        <v>7656</v>
      </c>
      <c r="F23823" s="2"/>
      <c r="G23823" s="2"/>
      <c r="H23823" s="2"/>
    </row>
    <row r="23824" spans="1:8" x14ac:dyDescent="0.25">
      <c r="A23824" s="1"/>
      <c r="B23824" s="1" t="s">
        <v>7328</v>
      </c>
      <c r="C23824" s="1" t="s">
        <v>7329</v>
      </c>
      <c r="D23824" s="22" t="str">
        <f>HYPERLINK("https://rhld.insurance.arkansas.gov/NPILookup?Npi=1326659368","1326659368")</f>
        <v>1326659368</v>
      </c>
      <c r="E23824" s="1" t="s">
        <v>26581</v>
      </c>
      <c r="F23824" s="2"/>
      <c r="G23824" s="2"/>
      <c r="H23824" s="2"/>
    </row>
    <row r="23825" spans="1:8" x14ac:dyDescent="0.25">
      <c r="A23825" s="1"/>
      <c r="B23825" s="1" t="s">
        <v>7328</v>
      </c>
      <c r="C23825" s="1" t="s">
        <v>7329</v>
      </c>
      <c r="D23825" s="22" t="str">
        <f>HYPERLINK("https://rhld.insurance.arkansas.gov/NPILookup?Npi=1326663857","1326663857")</f>
        <v>1326663857</v>
      </c>
      <c r="E23825" s="1" t="s">
        <v>2775</v>
      </c>
      <c r="F23825" s="2"/>
      <c r="G23825" s="2"/>
      <c r="H23825" s="2"/>
    </row>
    <row r="23826" spans="1:8" x14ac:dyDescent="0.25">
      <c r="A23826" s="1"/>
      <c r="B23826" s="1" t="s">
        <v>7328</v>
      </c>
      <c r="C23826" s="1" t="s">
        <v>7329</v>
      </c>
      <c r="D23826" s="22" t="str">
        <f>HYPERLINK("https://rhld.insurance.arkansas.gov/NPILookup?Npi=1326674458","1326674458")</f>
        <v>1326674458</v>
      </c>
      <c r="E23826" s="1" t="s">
        <v>17427</v>
      </c>
      <c r="F23826" s="2"/>
      <c r="G23826" s="2"/>
      <c r="H23826" s="2"/>
    </row>
    <row r="23827" spans="1:8" x14ac:dyDescent="0.25">
      <c r="A23827" s="1"/>
      <c r="B23827" s="1" t="s">
        <v>7328</v>
      </c>
      <c r="C23827" s="1" t="s">
        <v>7329</v>
      </c>
      <c r="D23827" s="22" t="str">
        <f>HYPERLINK("https://rhld.insurance.arkansas.gov/NPILookup?Npi=1326682998","1326682998")</f>
        <v>1326682998</v>
      </c>
      <c r="E23827" s="1" t="s">
        <v>7657</v>
      </c>
      <c r="F23827" s="2"/>
      <c r="G23827" s="2"/>
      <c r="H23827" s="2"/>
    </row>
    <row r="23828" spans="1:8" x14ac:dyDescent="0.25">
      <c r="A23828" s="1"/>
      <c r="B23828" s="1" t="s">
        <v>7328</v>
      </c>
      <c r="C23828" s="1" t="s">
        <v>7329</v>
      </c>
      <c r="D23828" s="22" t="str">
        <f>HYPERLINK("https://rhld.insurance.arkansas.gov/NPILookup?Npi=1326684531","1326684531")</f>
        <v>1326684531</v>
      </c>
      <c r="E23828" s="1" t="s">
        <v>26582</v>
      </c>
      <c r="F23828" s="2"/>
      <c r="G23828" s="2"/>
      <c r="H23828" s="2"/>
    </row>
    <row r="23829" spans="1:8" x14ac:dyDescent="0.25">
      <c r="A23829" s="1"/>
      <c r="B23829" s="1" t="s">
        <v>7328</v>
      </c>
      <c r="C23829" s="1" t="s">
        <v>7329</v>
      </c>
      <c r="D23829" s="22" t="str">
        <f>HYPERLINK("https://rhld.insurance.arkansas.gov/NPILookup?Npi=1326687203","1326687203")</f>
        <v>1326687203</v>
      </c>
      <c r="E23829" s="1" t="s">
        <v>2776</v>
      </c>
      <c r="F23829" s="2"/>
      <c r="G23829" s="2"/>
      <c r="H23829" s="2"/>
    </row>
    <row r="23830" spans="1:8" x14ac:dyDescent="0.25">
      <c r="A23830" s="1"/>
      <c r="B23830" s="1" t="s">
        <v>7328</v>
      </c>
      <c r="C23830" s="1" t="s">
        <v>7329</v>
      </c>
      <c r="D23830" s="22" t="str">
        <f>HYPERLINK("https://rhld.insurance.arkansas.gov/NPILookup?Npi=1326690132","1326690132")</f>
        <v>1326690132</v>
      </c>
      <c r="E23830" s="1" t="s">
        <v>26583</v>
      </c>
      <c r="F23830" s="2"/>
      <c r="G23830" s="2"/>
      <c r="H23830" s="2"/>
    </row>
    <row r="23831" spans="1:8" x14ac:dyDescent="0.25">
      <c r="A23831" s="1"/>
      <c r="B23831" s="1" t="s">
        <v>7328</v>
      </c>
      <c r="C23831" s="1" t="s">
        <v>7329</v>
      </c>
      <c r="D23831" s="22" t="str">
        <f>HYPERLINK("https://rhld.insurance.arkansas.gov/NPILookup?Npi=1326721762","1326721762")</f>
        <v>1326721762</v>
      </c>
      <c r="E23831" s="1" t="s">
        <v>5511</v>
      </c>
      <c r="F23831" s="2"/>
      <c r="G23831" s="2"/>
      <c r="H23831" s="2"/>
    </row>
    <row r="23832" spans="1:8" x14ac:dyDescent="0.25">
      <c r="A23832" s="1"/>
      <c r="B23832" s="1" t="s">
        <v>7328</v>
      </c>
      <c r="C23832" s="1" t="s">
        <v>7329</v>
      </c>
      <c r="D23832" s="22" t="str">
        <f>HYPERLINK("https://rhld.insurance.arkansas.gov/NPILookup?Npi=1326771957","1326771957")</f>
        <v>1326771957</v>
      </c>
      <c r="E23832" s="1" t="s">
        <v>7658</v>
      </c>
      <c r="F23832" s="2"/>
      <c r="G23832" s="2"/>
      <c r="H23832" s="2"/>
    </row>
    <row r="23833" spans="1:8" x14ac:dyDescent="0.25">
      <c r="A23833" s="1"/>
      <c r="B23833" s="1" t="s">
        <v>7328</v>
      </c>
      <c r="C23833" s="1" t="s">
        <v>7329</v>
      </c>
      <c r="D23833" s="22" t="str">
        <f>HYPERLINK("https://rhld.insurance.arkansas.gov/NPILookup?Npi=1326772732","1326772732")</f>
        <v>1326772732</v>
      </c>
      <c r="E23833" s="1" t="s">
        <v>26584</v>
      </c>
      <c r="F23833" s="2"/>
      <c r="G23833" s="2"/>
      <c r="H23833" s="2"/>
    </row>
    <row r="23834" spans="1:8" x14ac:dyDescent="0.25">
      <c r="A23834" s="1"/>
      <c r="B23834" s="1" t="s">
        <v>7328</v>
      </c>
      <c r="C23834" s="1" t="s">
        <v>7329</v>
      </c>
      <c r="D23834" s="22" t="str">
        <f>HYPERLINK("https://rhld.insurance.arkansas.gov/NPILookup?Npi=1326818147","1326818147")</f>
        <v>1326818147</v>
      </c>
      <c r="E23834" s="1" t="s">
        <v>7659</v>
      </c>
      <c r="F23834" s="2"/>
      <c r="G23834" s="2"/>
      <c r="H23834" s="2"/>
    </row>
    <row r="23835" spans="1:8" x14ac:dyDescent="0.25">
      <c r="A23835" s="1"/>
      <c r="B23835" s="1" t="s">
        <v>7328</v>
      </c>
      <c r="C23835" s="1" t="s">
        <v>7329</v>
      </c>
      <c r="D23835" s="22" t="str">
        <f>HYPERLINK("https://rhld.insurance.arkansas.gov/NPILookup?Npi=1326857160","1326857160")</f>
        <v>1326857160</v>
      </c>
      <c r="E23835" s="1" t="s">
        <v>32190</v>
      </c>
      <c r="F23835" s="2"/>
      <c r="G23835" s="2"/>
      <c r="H23835" s="2"/>
    </row>
    <row r="23836" spans="1:8" x14ac:dyDescent="0.25">
      <c r="A23836" s="1"/>
      <c r="B23836" s="1" t="s">
        <v>7328</v>
      </c>
      <c r="C23836" s="1" t="s">
        <v>7329</v>
      </c>
      <c r="D23836" s="22" t="str">
        <f>HYPERLINK("https://rhld.insurance.arkansas.gov/NPILookup?Npi=1326857863","1326857863")</f>
        <v>1326857863</v>
      </c>
      <c r="E23836" s="1" t="s">
        <v>32191</v>
      </c>
      <c r="F23836" s="2"/>
      <c r="G23836" s="2"/>
      <c r="H23836" s="2"/>
    </row>
    <row r="23837" spans="1:8" x14ac:dyDescent="0.25">
      <c r="A23837" s="1"/>
      <c r="B23837" s="1" t="s">
        <v>7328</v>
      </c>
      <c r="C23837" s="1" t="s">
        <v>7329</v>
      </c>
      <c r="D23837" s="22" t="str">
        <f>HYPERLINK("https://rhld.insurance.arkansas.gov/NPILookup?Npi=1336102532","1336102532")</f>
        <v>1336102532</v>
      </c>
      <c r="E23837" s="1" t="s">
        <v>26585</v>
      </c>
      <c r="F23837" s="2"/>
      <c r="G23837" s="2"/>
      <c r="H23837" s="2"/>
    </row>
    <row r="23838" spans="1:8" x14ac:dyDescent="0.25">
      <c r="A23838" s="1"/>
      <c r="B23838" s="1" t="s">
        <v>7328</v>
      </c>
      <c r="C23838" s="1" t="s">
        <v>7329</v>
      </c>
      <c r="D23838" s="22" t="str">
        <f>HYPERLINK("https://rhld.insurance.arkansas.gov/NPILookup?Npi=1336107010","1336107010")</f>
        <v>1336107010</v>
      </c>
      <c r="E23838" s="1" t="s">
        <v>26586</v>
      </c>
      <c r="F23838" s="2"/>
      <c r="G23838" s="2"/>
      <c r="H23838" s="2"/>
    </row>
    <row r="23839" spans="1:8" x14ac:dyDescent="0.25">
      <c r="A23839" s="1"/>
      <c r="B23839" s="1" t="s">
        <v>7328</v>
      </c>
      <c r="C23839" s="1" t="s">
        <v>7329</v>
      </c>
      <c r="D23839" s="22" t="str">
        <f>HYPERLINK("https://rhld.insurance.arkansas.gov/NPILookup?Npi=1336118157","1336118157")</f>
        <v>1336118157</v>
      </c>
      <c r="E23839" s="1" t="s">
        <v>238</v>
      </c>
      <c r="F23839" s="2"/>
      <c r="G23839" s="2"/>
      <c r="H23839" s="2"/>
    </row>
    <row r="23840" spans="1:8" x14ac:dyDescent="0.25">
      <c r="A23840" s="1"/>
      <c r="B23840" s="1" t="s">
        <v>7328</v>
      </c>
      <c r="C23840" s="1" t="s">
        <v>7329</v>
      </c>
      <c r="D23840" s="22" t="str">
        <f>HYPERLINK("https://rhld.insurance.arkansas.gov/NPILookup?Npi=1336129758","1336129758")</f>
        <v>1336129758</v>
      </c>
      <c r="E23840" s="1" t="s">
        <v>10282</v>
      </c>
      <c r="F23840" s="2"/>
      <c r="G23840" s="2"/>
      <c r="H23840" s="2"/>
    </row>
    <row r="23841" spans="1:8" x14ac:dyDescent="0.25">
      <c r="A23841" s="1"/>
      <c r="B23841" s="1" t="s">
        <v>7328</v>
      </c>
      <c r="C23841" s="1" t="s">
        <v>7329</v>
      </c>
      <c r="D23841" s="22" t="str">
        <f>HYPERLINK("https://rhld.insurance.arkansas.gov/NPILookup?Npi=1336132372","1336132372")</f>
        <v>1336132372</v>
      </c>
      <c r="E23841" s="1" t="s">
        <v>26587</v>
      </c>
      <c r="F23841" s="2"/>
      <c r="G23841" s="2"/>
      <c r="H23841" s="2"/>
    </row>
    <row r="23842" spans="1:8" x14ac:dyDescent="0.25">
      <c r="A23842" s="1"/>
      <c r="B23842" s="1" t="s">
        <v>7328</v>
      </c>
      <c r="C23842" s="1" t="s">
        <v>7329</v>
      </c>
      <c r="D23842" s="22" t="str">
        <f>HYPERLINK("https://rhld.insurance.arkansas.gov/NPILookup?Npi=1336135805","1336135805")</f>
        <v>1336135805</v>
      </c>
      <c r="E23842" s="1" t="s">
        <v>26588</v>
      </c>
      <c r="F23842" s="2"/>
      <c r="G23842" s="2"/>
      <c r="H23842" s="2"/>
    </row>
    <row r="23843" spans="1:8" x14ac:dyDescent="0.25">
      <c r="A23843" s="1"/>
      <c r="B23843" s="1" t="s">
        <v>7328</v>
      </c>
      <c r="C23843" s="1" t="s">
        <v>7329</v>
      </c>
      <c r="D23843" s="22" t="str">
        <f>HYPERLINK("https://rhld.insurance.arkansas.gov/NPILookup?Npi=1336136530","1336136530")</f>
        <v>1336136530</v>
      </c>
      <c r="E23843" s="1" t="s">
        <v>26589</v>
      </c>
      <c r="F23843" s="2"/>
      <c r="G23843" s="2"/>
      <c r="H23843" s="2"/>
    </row>
    <row r="23844" spans="1:8" x14ac:dyDescent="0.25">
      <c r="A23844" s="1"/>
      <c r="B23844" s="1" t="s">
        <v>7328</v>
      </c>
      <c r="C23844" s="1" t="s">
        <v>7329</v>
      </c>
      <c r="D23844" s="22" t="str">
        <f>HYPERLINK("https://rhld.insurance.arkansas.gov/NPILookup?Npi=1336139153","1336139153")</f>
        <v>1336139153</v>
      </c>
      <c r="E23844" s="1" t="s">
        <v>26590</v>
      </c>
      <c r="F23844" s="2"/>
      <c r="G23844" s="2"/>
      <c r="H23844" s="2"/>
    </row>
    <row r="23845" spans="1:8" x14ac:dyDescent="0.25">
      <c r="A23845" s="1"/>
      <c r="B23845" s="1" t="s">
        <v>7328</v>
      </c>
      <c r="C23845" s="1" t="s">
        <v>7329</v>
      </c>
      <c r="D23845" s="22" t="str">
        <f>HYPERLINK("https://rhld.insurance.arkansas.gov/NPILookup?Npi=1336146315","1336146315")</f>
        <v>1336146315</v>
      </c>
      <c r="E23845" s="1" t="s">
        <v>26591</v>
      </c>
      <c r="F23845" s="2"/>
      <c r="G23845" s="2"/>
      <c r="H23845" s="2"/>
    </row>
    <row r="23846" spans="1:8" x14ac:dyDescent="0.25">
      <c r="A23846" s="1"/>
      <c r="B23846" s="1" t="s">
        <v>7328</v>
      </c>
      <c r="C23846" s="1" t="s">
        <v>7329</v>
      </c>
      <c r="D23846" s="22" t="str">
        <f>HYPERLINK("https://rhld.insurance.arkansas.gov/NPILookup?Npi=1336147701","1336147701")</f>
        <v>1336147701</v>
      </c>
      <c r="E23846" s="1" t="s">
        <v>2777</v>
      </c>
      <c r="F23846" s="2"/>
      <c r="G23846" s="2"/>
      <c r="H23846" s="2"/>
    </row>
    <row r="23847" spans="1:8" x14ac:dyDescent="0.25">
      <c r="A23847" s="1"/>
      <c r="B23847" s="1" t="s">
        <v>7328</v>
      </c>
      <c r="C23847" s="1" t="s">
        <v>7329</v>
      </c>
      <c r="D23847" s="22" t="str">
        <f>HYPERLINK("https://rhld.insurance.arkansas.gov/NPILookup?Npi=1336149434","1336149434")</f>
        <v>1336149434</v>
      </c>
      <c r="E23847" s="1" t="s">
        <v>7660</v>
      </c>
      <c r="F23847" s="2"/>
      <c r="G23847" s="2"/>
      <c r="H23847" s="2"/>
    </row>
    <row r="23848" spans="1:8" x14ac:dyDescent="0.25">
      <c r="A23848" s="1"/>
      <c r="B23848" s="1" t="s">
        <v>7328</v>
      </c>
      <c r="C23848" s="1" t="s">
        <v>7329</v>
      </c>
      <c r="D23848" s="22" t="str">
        <f>HYPERLINK("https://rhld.insurance.arkansas.gov/NPILookup?Npi=1336160324","1336160324")</f>
        <v>1336160324</v>
      </c>
      <c r="E23848" s="1" t="s">
        <v>12983</v>
      </c>
      <c r="F23848" s="2"/>
      <c r="G23848" s="2"/>
      <c r="H23848" s="2"/>
    </row>
    <row r="23849" spans="1:8" x14ac:dyDescent="0.25">
      <c r="A23849" s="1"/>
      <c r="B23849" s="1" t="s">
        <v>7328</v>
      </c>
      <c r="C23849" s="1" t="s">
        <v>7329</v>
      </c>
      <c r="D23849" s="22" t="str">
        <f>HYPERLINK("https://rhld.insurance.arkansas.gov/NPILookup?Npi=1336172238","1336172238")</f>
        <v>1336172238</v>
      </c>
      <c r="E23849" s="1" t="s">
        <v>26592</v>
      </c>
      <c r="F23849" s="2"/>
      <c r="G23849" s="2"/>
      <c r="H23849" s="2"/>
    </row>
    <row r="23850" spans="1:8" x14ac:dyDescent="0.25">
      <c r="A23850" s="1"/>
      <c r="B23850" s="1" t="s">
        <v>7328</v>
      </c>
      <c r="C23850" s="1" t="s">
        <v>7329</v>
      </c>
      <c r="D23850" s="22" t="str">
        <f>HYPERLINK("https://rhld.insurance.arkansas.gov/NPILookup?Npi=1336180074","1336180074")</f>
        <v>1336180074</v>
      </c>
      <c r="E23850" s="1" t="s">
        <v>26593</v>
      </c>
      <c r="F23850" s="2"/>
      <c r="G23850" s="2"/>
      <c r="H23850" s="2"/>
    </row>
    <row r="23851" spans="1:8" x14ac:dyDescent="0.25">
      <c r="A23851" s="1"/>
      <c r="B23851" s="1" t="s">
        <v>7328</v>
      </c>
      <c r="C23851" s="1" t="s">
        <v>7329</v>
      </c>
      <c r="D23851" s="22" t="str">
        <f>HYPERLINK("https://rhld.insurance.arkansas.gov/NPILookup?Npi=1336198365","1336198365")</f>
        <v>1336198365</v>
      </c>
      <c r="E23851" s="1" t="s">
        <v>26594</v>
      </c>
      <c r="F23851" s="2"/>
      <c r="G23851" s="2"/>
      <c r="H23851" s="2"/>
    </row>
    <row r="23852" spans="1:8" x14ac:dyDescent="0.25">
      <c r="A23852" s="1"/>
      <c r="B23852" s="1" t="s">
        <v>7328</v>
      </c>
      <c r="C23852" s="1" t="s">
        <v>7329</v>
      </c>
      <c r="D23852" s="22" t="str">
        <f>HYPERLINK("https://rhld.insurance.arkansas.gov/NPILookup?Npi=1336201169","1336201169")</f>
        <v>1336201169</v>
      </c>
      <c r="E23852" s="1" t="s">
        <v>1762</v>
      </c>
      <c r="F23852" s="2"/>
      <c r="G23852" s="2"/>
      <c r="H23852" s="2"/>
    </row>
    <row r="23853" spans="1:8" x14ac:dyDescent="0.25">
      <c r="A23853" s="1"/>
      <c r="B23853" s="1" t="s">
        <v>7328</v>
      </c>
      <c r="C23853" s="1" t="s">
        <v>7329</v>
      </c>
      <c r="D23853" s="22" t="str">
        <f>HYPERLINK("https://rhld.insurance.arkansas.gov/NPILookup?Npi=1336203348","1336203348")</f>
        <v>1336203348</v>
      </c>
      <c r="E23853" s="1" t="s">
        <v>17432</v>
      </c>
      <c r="F23853" s="2"/>
      <c r="G23853" s="2"/>
      <c r="H23853" s="2"/>
    </row>
    <row r="23854" spans="1:8" x14ac:dyDescent="0.25">
      <c r="A23854" s="1"/>
      <c r="B23854" s="1" t="s">
        <v>7328</v>
      </c>
      <c r="C23854" s="1" t="s">
        <v>7329</v>
      </c>
      <c r="D23854" s="22" t="str">
        <f>HYPERLINK("https://rhld.insurance.arkansas.gov/NPILookup?Npi=1336227875","1336227875")</f>
        <v>1336227875</v>
      </c>
      <c r="E23854" s="1" t="s">
        <v>12714</v>
      </c>
      <c r="F23854" s="2"/>
      <c r="G23854" s="2"/>
      <c r="H23854" s="2"/>
    </row>
    <row r="23855" spans="1:8" x14ac:dyDescent="0.25">
      <c r="A23855" s="1"/>
      <c r="B23855" s="1" t="s">
        <v>7328</v>
      </c>
      <c r="C23855" s="1" t="s">
        <v>7329</v>
      </c>
      <c r="D23855" s="22" t="str">
        <f>HYPERLINK("https://rhld.insurance.arkansas.gov/NPILookup?Npi=1336231471","1336231471")</f>
        <v>1336231471</v>
      </c>
      <c r="E23855" s="1" t="s">
        <v>26595</v>
      </c>
      <c r="F23855" s="2"/>
      <c r="G23855" s="2"/>
      <c r="H23855" s="2"/>
    </row>
    <row r="23856" spans="1:8" x14ac:dyDescent="0.25">
      <c r="A23856" s="1"/>
      <c r="B23856" s="1" t="s">
        <v>7328</v>
      </c>
      <c r="C23856" s="1" t="s">
        <v>7329</v>
      </c>
      <c r="D23856" s="22" t="str">
        <f>HYPERLINK("https://rhld.insurance.arkansas.gov/NPILookup?Npi=1336237635","1336237635")</f>
        <v>1336237635</v>
      </c>
      <c r="E23856" s="1" t="s">
        <v>12984</v>
      </c>
      <c r="F23856" s="2"/>
      <c r="G23856" s="2"/>
      <c r="H23856" s="2"/>
    </row>
    <row r="23857" spans="1:8" x14ac:dyDescent="0.25">
      <c r="A23857" s="1"/>
      <c r="B23857" s="1" t="s">
        <v>7328</v>
      </c>
      <c r="C23857" s="1" t="s">
        <v>7329</v>
      </c>
      <c r="D23857" s="22" t="str">
        <f>HYPERLINK("https://rhld.insurance.arkansas.gov/NPILookup?Npi=1336245257","1336245257")</f>
        <v>1336245257</v>
      </c>
      <c r="E23857" s="1" t="s">
        <v>26596</v>
      </c>
      <c r="F23857" s="2"/>
      <c r="G23857" s="2"/>
      <c r="H23857" s="2"/>
    </row>
    <row r="23858" spans="1:8" x14ac:dyDescent="0.25">
      <c r="A23858" s="1"/>
      <c r="B23858" s="1" t="s">
        <v>7328</v>
      </c>
      <c r="C23858" s="1" t="s">
        <v>7329</v>
      </c>
      <c r="D23858" s="22" t="str">
        <f>HYPERLINK("https://rhld.insurance.arkansas.gov/NPILookup?Npi=1336247915","1336247915")</f>
        <v>1336247915</v>
      </c>
      <c r="E23858" s="1" t="s">
        <v>26597</v>
      </c>
      <c r="F23858" s="2"/>
      <c r="G23858" s="2"/>
      <c r="H23858" s="2"/>
    </row>
    <row r="23859" spans="1:8" x14ac:dyDescent="0.25">
      <c r="A23859" s="1"/>
      <c r="B23859" s="1" t="s">
        <v>7328</v>
      </c>
      <c r="C23859" s="1" t="s">
        <v>7329</v>
      </c>
      <c r="D23859" s="22" t="str">
        <f>HYPERLINK("https://rhld.insurance.arkansas.gov/NPILookup?Npi=1336285162","1336285162")</f>
        <v>1336285162</v>
      </c>
      <c r="E23859" s="1" t="s">
        <v>2006</v>
      </c>
      <c r="F23859" s="2"/>
      <c r="G23859" s="2"/>
      <c r="H23859" s="2"/>
    </row>
    <row r="23860" spans="1:8" x14ac:dyDescent="0.25">
      <c r="A23860" s="1"/>
      <c r="B23860" s="1" t="s">
        <v>7328</v>
      </c>
      <c r="C23860" s="1" t="s">
        <v>7329</v>
      </c>
      <c r="D23860" s="22" t="str">
        <f>HYPERLINK("https://rhld.insurance.arkansas.gov/NPILookup?Npi=1336286533","1336286533")</f>
        <v>1336286533</v>
      </c>
      <c r="E23860" s="1" t="s">
        <v>17434</v>
      </c>
      <c r="F23860" s="2"/>
      <c r="G23860" s="2"/>
      <c r="H23860" s="2"/>
    </row>
    <row r="23861" spans="1:8" x14ac:dyDescent="0.25">
      <c r="A23861" s="1"/>
      <c r="B23861" s="1" t="s">
        <v>7328</v>
      </c>
      <c r="C23861" s="1" t="s">
        <v>7329</v>
      </c>
      <c r="D23861" s="22" t="str">
        <f>HYPERLINK("https://rhld.insurance.arkansas.gov/NPILookup?Npi=1336290444","1336290444")</f>
        <v>1336290444</v>
      </c>
      <c r="E23861" s="1" t="s">
        <v>12985</v>
      </c>
      <c r="F23861" s="2"/>
      <c r="G23861" s="2"/>
      <c r="H23861" s="2"/>
    </row>
    <row r="23862" spans="1:8" x14ac:dyDescent="0.25">
      <c r="A23862" s="1"/>
      <c r="B23862" s="1" t="s">
        <v>7328</v>
      </c>
      <c r="C23862" s="1" t="s">
        <v>7329</v>
      </c>
      <c r="D23862" s="22" t="str">
        <f>HYPERLINK("https://rhld.insurance.arkansas.gov/NPILookup?Npi=1336309574","1336309574")</f>
        <v>1336309574</v>
      </c>
      <c r="E23862" s="1" t="s">
        <v>26598</v>
      </c>
      <c r="F23862" s="2"/>
      <c r="G23862" s="2"/>
      <c r="H23862" s="2"/>
    </row>
    <row r="23863" spans="1:8" x14ac:dyDescent="0.25">
      <c r="A23863" s="1"/>
      <c r="B23863" s="1" t="s">
        <v>7328</v>
      </c>
      <c r="C23863" s="1" t="s">
        <v>7329</v>
      </c>
      <c r="D23863" s="22" t="str">
        <f>HYPERLINK("https://rhld.insurance.arkansas.gov/NPILookup?Npi=1336318401","1336318401")</f>
        <v>1336318401</v>
      </c>
      <c r="E23863" s="1" t="s">
        <v>26599</v>
      </c>
      <c r="F23863" s="2"/>
      <c r="G23863" s="2"/>
      <c r="H23863" s="2"/>
    </row>
    <row r="23864" spans="1:8" x14ac:dyDescent="0.25">
      <c r="A23864" s="1"/>
      <c r="B23864" s="1" t="s">
        <v>7328</v>
      </c>
      <c r="C23864" s="1" t="s">
        <v>7329</v>
      </c>
      <c r="D23864" s="22" t="str">
        <f>HYPERLINK("https://rhld.insurance.arkansas.gov/NPILookup?Npi=1336352590","1336352590")</f>
        <v>1336352590</v>
      </c>
      <c r="E23864" s="1" t="s">
        <v>26600</v>
      </c>
      <c r="F23864" s="2"/>
      <c r="G23864" s="2"/>
      <c r="H23864" s="2"/>
    </row>
    <row r="23865" spans="1:8" x14ac:dyDescent="0.25">
      <c r="A23865" s="1"/>
      <c r="B23865" s="1" t="s">
        <v>7328</v>
      </c>
      <c r="C23865" s="1" t="s">
        <v>7329</v>
      </c>
      <c r="D23865" s="22" t="str">
        <f>HYPERLINK("https://rhld.insurance.arkansas.gov/NPILookup?Npi=1336363597","1336363597")</f>
        <v>1336363597</v>
      </c>
      <c r="E23865" s="1" t="s">
        <v>26601</v>
      </c>
      <c r="F23865" s="2"/>
      <c r="G23865" s="2"/>
      <c r="H23865" s="2"/>
    </row>
    <row r="23866" spans="1:8" x14ac:dyDescent="0.25">
      <c r="A23866" s="1"/>
      <c r="B23866" s="1" t="s">
        <v>7328</v>
      </c>
      <c r="C23866" s="1" t="s">
        <v>7329</v>
      </c>
      <c r="D23866" s="22" t="str">
        <f>HYPERLINK("https://rhld.insurance.arkansas.gov/NPILookup?Npi=1336371863","1336371863")</f>
        <v>1336371863</v>
      </c>
      <c r="E23866" s="1" t="s">
        <v>1573</v>
      </c>
      <c r="F23866" s="2"/>
      <c r="G23866" s="2"/>
      <c r="H23866" s="2"/>
    </row>
    <row r="23867" spans="1:8" x14ac:dyDescent="0.25">
      <c r="A23867" s="1"/>
      <c r="B23867" s="1" t="s">
        <v>7328</v>
      </c>
      <c r="C23867" s="1" t="s">
        <v>7329</v>
      </c>
      <c r="D23867" s="22" t="str">
        <f>HYPERLINK("https://rhld.insurance.arkansas.gov/NPILookup?Npi=1336375674","1336375674")</f>
        <v>1336375674</v>
      </c>
      <c r="E23867" s="1" t="s">
        <v>26602</v>
      </c>
      <c r="F23867" s="2"/>
      <c r="G23867" s="2"/>
      <c r="H23867" s="2"/>
    </row>
    <row r="23868" spans="1:8" x14ac:dyDescent="0.25">
      <c r="A23868" s="1"/>
      <c r="B23868" s="1" t="s">
        <v>7328</v>
      </c>
      <c r="C23868" s="1" t="s">
        <v>7329</v>
      </c>
      <c r="D23868" s="22" t="str">
        <f>HYPERLINK("https://rhld.insurance.arkansas.gov/NPILookup?Npi=1336376086","1336376086")</f>
        <v>1336376086</v>
      </c>
      <c r="E23868" s="1" t="s">
        <v>5775</v>
      </c>
      <c r="F23868" s="2"/>
      <c r="G23868" s="2"/>
      <c r="H23868" s="2"/>
    </row>
    <row r="23869" spans="1:8" x14ac:dyDescent="0.25">
      <c r="A23869" s="1"/>
      <c r="B23869" s="1" t="s">
        <v>7328</v>
      </c>
      <c r="C23869" s="1" t="s">
        <v>7329</v>
      </c>
      <c r="D23869" s="22" t="str">
        <f>HYPERLINK("https://rhld.insurance.arkansas.gov/NPILookup?Npi=1336404052","1336404052")</f>
        <v>1336404052</v>
      </c>
      <c r="E23869" s="1" t="s">
        <v>7661</v>
      </c>
      <c r="F23869" s="2"/>
      <c r="G23869" s="2"/>
      <c r="H23869" s="2"/>
    </row>
    <row r="23870" spans="1:8" x14ac:dyDescent="0.25">
      <c r="A23870" s="1"/>
      <c r="B23870" s="1" t="s">
        <v>7328</v>
      </c>
      <c r="C23870" s="1" t="s">
        <v>7329</v>
      </c>
      <c r="D23870" s="22" t="str">
        <f>HYPERLINK("https://rhld.insurance.arkansas.gov/NPILookup?Npi=1336462712","1336462712")</f>
        <v>1336462712</v>
      </c>
      <c r="E23870" s="1" t="s">
        <v>26603</v>
      </c>
      <c r="F23870" s="2"/>
      <c r="G23870" s="2"/>
      <c r="H23870" s="2"/>
    </row>
    <row r="23871" spans="1:8" x14ac:dyDescent="0.25">
      <c r="A23871" s="1"/>
      <c r="B23871" s="1" t="s">
        <v>7328</v>
      </c>
      <c r="C23871" s="1" t="s">
        <v>7329</v>
      </c>
      <c r="D23871" s="22" t="str">
        <f>HYPERLINK("https://rhld.insurance.arkansas.gov/NPILookup?Npi=1336473552","1336473552")</f>
        <v>1336473552</v>
      </c>
      <c r="E23871" s="1" t="s">
        <v>1763</v>
      </c>
      <c r="F23871" s="2"/>
      <c r="G23871" s="2"/>
      <c r="H23871" s="2"/>
    </row>
    <row r="23872" spans="1:8" x14ac:dyDescent="0.25">
      <c r="A23872" s="1"/>
      <c r="B23872" s="1" t="s">
        <v>7328</v>
      </c>
      <c r="C23872" s="1" t="s">
        <v>7329</v>
      </c>
      <c r="D23872" s="22" t="str">
        <f>HYPERLINK("https://rhld.insurance.arkansas.gov/NPILookup?Npi=1336490713","1336490713")</f>
        <v>1336490713</v>
      </c>
      <c r="E23872" s="1" t="s">
        <v>12986</v>
      </c>
      <c r="F23872" s="2"/>
      <c r="G23872" s="2"/>
      <c r="H23872" s="2"/>
    </row>
    <row r="23873" spans="1:8" x14ac:dyDescent="0.25">
      <c r="A23873" s="1"/>
      <c r="B23873" s="1" t="s">
        <v>7328</v>
      </c>
      <c r="C23873" s="1" t="s">
        <v>7329</v>
      </c>
      <c r="D23873" s="22" t="str">
        <f>HYPERLINK("https://rhld.insurance.arkansas.gov/NPILookup?Npi=1336504232","1336504232")</f>
        <v>1336504232</v>
      </c>
      <c r="E23873" s="1" t="s">
        <v>26604</v>
      </c>
      <c r="F23873" s="2"/>
      <c r="G23873" s="2"/>
      <c r="H23873" s="2"/>
    </row>
    <row r="23874" spans="1:8" x14ac:dyDescent="0.25">
      <c r="A23874" s="1"/>
      <c r="B23874" s="1" t="s">
        <v>7328</v>
      </c>
      <c r="C23874" s="1" t="s">
        <v>7329</v>
      </c>
      <c r="D23874" s="22" t="str">
        <f>HYPERLINK("https://rhld.insurance.arkansas.gov/NPILookup?Npi=1336506880","1336506880")</f>
        <v>1336506880</v>
      </c>
      <c r="E23874" s="1" t="s">
        <v>26605</v>
      </c>
      <c r="F23874" s="2"/>
      <c r="G23874" s="2"/>
      <c r="H23874" s="2"/>
    </row>
    <row r="23875" spans="1:8" x14ac:dyDescent="0.25">
      <c r="A23875" s="1"/>
      <c r="B23875" s="1" t="s">
        <v>7328</v>
      </c>
      <c r="C23875" s="1" t="s">
        <v>7329</v>
      </c>
      <c r="D23875" s="22" t="str">
        <f>HYPERLINK("https://rhld.insurance.arkansas.gov/NPILookup?Npi=1336510650","1336510650")</f>
        <v>1336510650</v>
      </c>
      <c r="E23875" s="1" t="s">
        <v>7662</v>
      </c>
      <c r="F23875" s="2"/>
      <c r="G23875" s="2"/>
      <c r="H23875" s="2"/>
    </row>
    <row r="23876" spans="1:8" x14ac:dyDescent="0.25">
      <c r="A23876" s="1"/>
      <c r="B23876" s="1" t="s">
        <v>7328</v>
      </c>
      <c r="C23876" s="1" t="s">
        <v>7329</v>
      </c>
      <c r="D23876" s="22" t="str">
        <f>HYPERLINK("https://rhld.insurance.arkansas.gov/NPILookup?Npi=1336519925","1336519925")</f>
        <v>1336519925</v>
      </c>
      <c r="E23876" s="1" t="s">
        <v>21880</v>
      </c>
      <c r="F23876" s="2"/>
      <c r="G23876" s="2"/>
      <c r="H23876" s="2"/>
    </row>
    <row r="23877" spans="1:8" x14ac:dyDescent="0.25">
      <c r="A23877" s="1"/>
      <c r="B23877" s="1" t="s">
        <v>7328</v>
      </c>
      <c r="C23877" s="1" t="s">
        <v>7329</v>
      </c>
      <c r="D23877" s="22" t="str">
        <f>HYPERLINK("https://rhld.insurance.arkansas.gov/NPILookup?Npi=1336529403","1336529403")</f>
        <v>1336529403</v>
      </c>
      <c r="E23877" s="1" t="s">
        <v>26606</v>
      </c>
      <c r="F23877" s="2"/>
      <c r="G23877" s="2"/>
      <c r="H23877" s="2"/>
    </row>
    <row r="23878" spans="1:8" x14ac:dyDescent="0.25">
      <c r="A23878" s="1"/>
      <c r="B23878" s="1" t="s">
        <v>7328</v>
      </c>
      <c r="C23878" s="1" t="s">
        <v>7329</v>
      </c>
      <c r="D23878" s="22" t="str">
        <f>HYPERLINK("https://rhld.insurance.arkansas.gov/NPILookup?Npi=1336532746","1336532746")</f>
        <v>1336532746</v>
      </c>
      <c r="E23878" s="1" t="s">
        <v>26607</v>
      </c>
      <c r="F23878" s="2"/>
      <c r="G23878" s="2"/>
      <c r="H23878" s="2"/>
    </row>
    <row r="23879" spans="1:8" x14ac:dyDescent="0.25">
      <c r="A23879" s="1"/>
      <c r="B23879" s="1" t="s">
        <v>7328</v>
      </c>
      <c r="C23879" s="1" t="s">
        <v>7329</v>
      </c>
      <c r="D23879" s="22" t="str">
        <f>HYPERLINK("https://rhld.insurance.arkansas.gov/NPILookup?Npi=1336533140","1336533140")</f>
        <v>1336533140</v>
      </c>
      <c r="E23879" s="1" t="s">
        <v>12987</v>
      </c>
      <c r="F23879" s="2"/>
      <c r="G23879" s="2"/>
      <c r="H23879" s="2"/>
    </row>
    <row r="23880" spans="1:8" x14ac:dyDescent="0.25">
      <c r="A23880" s="1"/>
      <c r="B23880" s="1" t="s">
        <v>7328</v>
      </c>
      <c r="C23880" s="1" t="s">
        <v>7329</v>
      </c>
      <c r="D23880" s="22" t="str">
        <f>HYPERLINK("https://rhld.insurance.arkansas.gov/NPILookup?Npi=1336534411","1336534411")</f>
        <v>1336534411</v>
      </c>
      <c r="E23880" s="1" t="s">
        <v>26608</v>
      </c>
      <c r="F23880" s="2"/>
      <c r="G23880" s="2"/>
      <c r="H23880" s="2"/>
    </row>
    <row r="23881" spans="1:8" x14ac:dyDescent="0.25">
      <c r="A23881" s="1"/>
      <c r="B23881" s="1" t="s">
        <v>7328</v>
      </c>
      <c r="C23881" s="1" t="s">
        <v>7329</v>
      </c>
      <c r="D23881" s="22" t="str">
        <f>HYPERLINK("https://rhld.insurance.arkansas.gov/NPILookup?Npi=1336535350","1336535350")</f>
        <v>1336535350</v>
      </c>
      <c r="E23881" s="1" t="s">
        <v>12988</v>
      </c>
      <c r="F23881" s="2"/>
      <c r="G23881" s="2"/>
      <c r="H23881" s="2"/>
    </row>
    <row r="23882" spans="1:8" x14ac:dyDescent="0.25">
      <c r="A23882" s="1"/>
      <c r="B23882" s="1" t="s">
        <v>7328</v>
      </c>
      <c r="C23882" s="1" t="s">
        <v>7329</v>
      </c>
      <c r="D23882" s="22" t="str">
        <f>HYPERLINK("https://rhld.insurance.arkansas.gov/NPILookup?Npi=1336545649","1336545649")</f>
        <v>1336545649</v>
      </c>
      <c r="E23882" s="1" t="s">
        <v>2779</v>
      </c>
      <c r="F23882" s="2"/>
      <c r="G23882" s="2"/>
      <c r="H23882" s="2"/>
    </row>
    <row r="23883" spans="1:8" x14ac:dyDescent="0.25">
      <c r="A23883" s="1"/>
      <c r="B23883" s="1" t="s">
        <v>7328</v>
      </c>
      <c r="C23883" s="1" t="s">
        <v>7329</v>
      </c>
      <c r="D23883" s="22" t="str">
        <f>HYPERLINK("https://rhld.insurance.arkansas.gov/NPILookup?Npi=1336547843","1336547843")</f>
        <v>1336547843</v>
      </c>
      <c r="E23883" s="1" t="s">
        <v>3137</v>
      </c>
      <c r="F23883" s="2"/>
      <c r="G23883" s="2"/>
      <c r="H23883" s="2"/>
    </row>
    <row r="23884" spans="1:8" x14ac:dyDescent="0.25">
      <c r="A23884" s="1"/>
      <c r="B23884" s="1" t="s">
        <v>7328</v>
      </c>
      <c r="C23884" s="1" t="s">
        <v>7329</v>
      </c>
      <c r="D23884" s="22" t="str">
        <f>HYPERLINK("https://rhld.insurance.arkansas.gov/NPILookup?Npi=1336552306","1336552306")</f>
        <v>1336552306</v>
      </c>
      <c r="E23884" s="1" t="s">
        <v>7663</v>
      </c>
      <c r="F23884" s="2"/>
      <c r="G23884" s="2"/>
      <c r="H23884" s="2"/>
    </row>
    <row r="23885" spans="1:8" x14ac:dyDescent="0.25">
      <c r="A23885" s="1"/>
      <c r="B23885" s="1" t="s">
        <v>7328</v>
      </c>
      <c r="C23885" s="1" t="s">
        <v>7329</v>
      </c>
      <c r="D23885" s="22" t="str">
        <f>HYPERLINK("https://rhld.insurance.arkansas.gov/NPILookup?Npi=1336552348","1336552348")</f>
        <v>1336552348</v>
      </c>
      <c r="E23885" s="1" t="s">
        <v>855</v>
      </c>
      <c r="F23885" s="2"/>
      <c r="G23885" s="2"/>
      <c r="H23885" s="2"/>
    </row>
    <row r="23886" spans="1:8" x14ac:dyDescent="0.25">
      <c r="A23886" s="1"/>
      <c r="B23886" s="1" t="s">
        <v>7328</v>
      </c>
      <c r="C23886" s="1" t="s">
        <v>7329</v>
      </c>
      <c r="D23886" s="22" t="str">
        <f>HYPERLINK("https://rhld.insurance.arkansas.gov/NPILookup?Npi=1336569532","1336569532")</f>
        <v>1336569532</v>
      </c>
      <c r="E23886" s="1" t="s">
        <v>26609</v>
      </c>
      <c r="F23886" s="2"/>
      <c r="G23886" s="2"/>
      <c r="H23886" s="2"/>
    </row>
    <row r="23887" spans="1:8" x14ac:dyDescent="0.25">
      <c r="A23887" s="1"/>
      <c r="B23887" s="1" t="s">
        <v>7328</v>
      </c>
      <c r="C23887" s="1" t="s">
        <v>7329</v>
      </c>
      <c r="D23887" s="22" t="str">
        <f>HYPERLINK("https://rhld.insurance.arkansas.gov/NPILookup?Npi=1336578954","1336578954")</f>
        <v>1336578954</v>
      </c>
      <c r="E23887" s="1" t="s">
        <v>26610</v>
      </c>
      <c r="F23887" s="2"/>
      <c r="G23887" s="2"/>
      <c r="H23887" s="2"/>
    </row>
    <row r="23888" spans="1:8" x14ac:dyDescent="0.25">
      <c r="A23888" s="1"/>
      <c r="B23888" s="1" t="s">
        <v>7328</v>
      </c>
      <c r="C23888" s="1" t="s">
        <v>7329</v>
      </c>
      <c r="D23888" s="22" t="str">
        <f>HYPERLINK("https://rhld.insurance.arkansas.gov/NPILookup?Npi=1336580190","1336580190")</f>
        <v>1336580190</v>
      </c>
      <c r="E23888" s="1" t="s">
        <v>2007</v>
      </c>
      <c r="F23888" s="2"/>
      <c r="G23888" s="2"/>
      <c r="H23888" s="2"/>
    </row>
    <row r="23889" spans="1:8" x14ac:dyDescent="0.25">
      <c r="A23889" s="1"/>
      <c r="B23889" s="1" t="s">
        <v>7328</v>
      </c>
      <c r="C23889" s="1" t="s">
        <v>7329</v>
      </c>
      <c r="D23889" s="22" t="str">
        <f>HYPERLINK("https://rhld.insurance.arkansas.gov/NPILookup?Npi=1336581727","1336581727")</f>
        <v>1336581727</v>
      </c>
      <c r="E23889" s="1" t="s">
        <v>10284</v>
      </c>
      <c r="F23889" s="2"/>
      <c r="G23889" s="2"/>
      <c r="H23889" s="2"/>
    </row>
    <row r="23890" spans="1:8" x14ac:dyDescent="0.25">
      <c r="A23890" s="1"/>
      <c r="B23890" s="1" t="s">
        <v>7328</v>
      </c>
      <c r="C23890" s="1" t="s">
        <v>7329</v>
      </c>
      <c r="D23890" s="22" t="str">
        <f>HYPERLINK("https://rhld.insurance.arkansas.gov/NPILookup?Npi=1336585926","1336585926")</f>
        <v>1336585926</v>
      </c>
      <c r="E23890" s="1" t="s">
        <v>17440</v>
      </c>
      <c r="F23890" s="2"/>
      <c r="G23890" s="2"/>
      <c r="H23890" s="2"/>
    </row>
    <row r="23891" spans="1:8" x14ac:dyDescent="0.25">
      <c r="A23891" s="1"/>
      <c r="B23891" s="1" t="s">
        <v>7328</v>
      </c>
      <c r="C23891" s="1" t="s">
        <v>7329</v>
      </c>
      <c r="D23891" s="22" t="str">
        <f>HYPERLINK("https://rhld.insurance.arkansas.gov/NPILookup?Npi=1336589779","1336589779")</f>
        <v>1336589779</v>
      </c>
      <c r="E23891" s="1" t="s">
        <v>26611</v>
      </c>
      <c r="F23891" s="2"/>
      <c r="G23891" s="2"/>
      <c r="H23891" s="2"/>
    </row>
    <row r="23892" spans="1:8" x14ac:dyDescent="0.25">
      <c r="A23892" s="1"/>
      <c r="B23892" s="1" t="s">
        <v>7328</v>
      </c>
      <c r="C23892" s="1" t="s">
        <v>7329</v>
      </c>
      <c r="D23892" s="22" t="str">
        <f>HYPERLINK("https://rhld.insurance.arkansas.gov/NPILookup?Npi=1336591841","1336591841")</f>
        <v>1336591841</v>
      </c>
      <c r="E23892" s="1" t="s">
        <v>763</v>
      </c>
      <c r="F23892" s="2"/>
      <c r="G23892" s="2"/>
      <c r="H23892" s="2"/>
    </row>
    <row r="23893" spans="1:8" x14ac:dyDescent="0.25">
      <c r="A23893" s="1"/>
      <c r="B23893" s="1" t="s">
        <v>7328</v>
      </c>
      <c r="C23893" s="1" t="s">
        <v>7329</v>
      </c>
      <c r="D23893" s="22" t="str">
        <f>HYPERLINK("https://rhld.insurance.arkansas.gov/NPILookup?Npi=1336594191","1336594191")</f>
        <v>1336594191</v>
      </c>
      <c r="E23893" s="1" t="s">
        <v>2375</v>
      </c>
      <c r="F23893" s="2"/>
      <c r="G23893" s="2"/>
      <c r="H23893" s="2"/>
    </row>
    <row r="23894" spans="1:8" x14ac:dyDescent="0.25">
      <c r="A23894" s="1"/>
      <c r="B23894" s="1" t="s">
        <v>7328</v>
      </c>
      <c r="C23894" s="1" t="s">
        <v>7329</v>
      </c>
      <c r="D23894" s="22" t="str">
        <f>HYPERLINK("https://rhld.insurance.arkansas.gov/NPILookup?Npi=1336605914","1336605914")</f>
        <v>1336605914</v>
      </c>
      <c r="E23894" s="1" t="s">
        <v>1296</v>
      </c>
      <c r="F23894" s="2"/>
      <c r="G23894" s="2"/>
      <c r="H23894" s="2"/>
    </row>
    <row r="23895" spans="1:8" x14ac:dyDescent="0.25">
      <c r="A23895" s="1"/>
      <c r="B23895" s="1" t="s">
        <v>7328</v>
      </c>
      <c r="C23895" s="1" t="s">
        <v>7329</v>
      </c>
      <c r="D23895" s="22" t="str">
        <f>HYPERLINK("https://rhld.insurance.arkansas.gov/NPILookup?Npi=1336607720","1336607720")</f>
        <v>1336607720</v>
      </c>
      <c r="E23895" s="1" t="s">
        <v>7664</v>
      </c>
      <c r="F23895" s="2"/>
      <c r="G23895" s="2"/>
      <c r="H23895" s="2"/>
    </row>
    <row r="23896" spans="1:8" x14ac:dyDescent="0.25">
      <c r="A23896" s="1"/>
      <c r="B23896" s="1" t="s">
        <v>7328</v>
      </c>
      <c r="C23896" s="1" t="s">
        <v>7329</v>
      </c>
      <c r="D23896" s="22" t="str">
        <f>HYPERLINK("https://rhld.insurance.arkansas.gov/NPILookup?Npi=1336613215","1336613215")</f>
        <v>1336613215</v>
      </c>
      <c r="E23896" s="1" t="s">
        <v>1764</v>
      </c>
      <c r="F23896" s="2"/>
      <c r="G23896" s="2"/>
      <c r="H23896" s="2"/>
    </row>
    <row r="23897" spans="1:8" x14ac:dyDescent="0.25">
      <c r="A23897" s="1"/>
      <c r="B23897" s="1" t="s">
        <v>7328</v>
      </c>
      <c r="C23897" s="1" t="s">
        <v>7329</v>
      </c>
      <c r="D23897" s="22" t="str">
        <f>HYPERLINK("https://rhld.insurance.arkansas.gov/NPILookup?Npi=1336614775","1336614775")</f>
        <v>1336614775</v>
      </c>
      <c r="E23897" s="1" t="s">
        <v>1297</v>
      </c>
      <c r="F23897" s="2"/>
      <c r="G23897" s="2"/>
      <c r="H23897" s="2"/>
    </row>
    <row r="23898" spans="1:8" x14ac:dyDescent="0.25">
      <c r="A23898" s="1"/>
      <c r="B23898" s="1" t="s">
        <v>7328</v>
      </c>
      <c r="C23898" s="1" t="s">
        <v>7329</v>
      </c>
      <c r="D23898" s="22" t="str">
        <f>HYPERLINK("https://rhld.insurance.arkansas.gov/NPILookup?Npi=1336640127","1336640127")</f>
        <v>1336640127</v>
      </c>
      <c r="E23898" s="1" t="s">
        <v>26612</v>
      </c>
      <c r="F23898" s="2"/>
      <c r="G23898" s="2"/>
      <c r="H23898" s="2"/>
    </row>
    <row r="23899" spans="1:8" x14ac:dyDescent="0.25">
      <c r="A23899" s="1"/>
      <c r="B23899" s="1" t="s">
        <v>7328</v>
      </c>
      <c r="C23899" s="1" t="s">
        <v>7329</v>
      </c>
      <c r="D23899" s="22" t="str">
        <f>HYPERLINK("https://rhld.insurance.arkansas.gov/NPILookup?Npi=1336646496","1336646496")</f>
        <v>1336646496</v>
      </c>
      <c r="E23899" s="1" t="s">
        <v>26613</v>
      </c>
      <c r="F23899" s="2"/>
      <c r="G23899" s="2"/>
      <c r="H23899" s="2"/>
    </row>
    <row r="23900" spans="1:8" x14ac:dyDescent="0.25">
      <c r="A23900" s="1"/>
      <c r="B23900" s="1" t="s">
        <v>7328</v>
      </c>
      <c r="C23900" s="1" t="s">
        <v>7329</v>
      </c>
      <c r="D23900" s="22" t="str">
        <f>HYPERLINK("https://rhld.insurance.arkansas.gov/NPILookup?Npi=1336655513","1336655513")</f>
        <v>1336655513</v>
      </c>
      <c r="E23900" s="1" t="s">
        <v>1025</v>
      </c>
      <c r="F23900" s="2"/>
      <c r="G23900" s="2"/>
      <c r="H23900" s="2"/>
    </row>
    <row r="23901" spans="1:8" x14ac:dyDescent="0.25">
      <c r="A23901" s="1"/>
      <c r="B23901" s="1" t="s">
        <v>7328</v>
      </c>
      <c r="C23901" s="1" t="s">
        <v>7329</v>
      </c>
      <c r="D23901" s="22" t="str">
        <f>HYPERLINK("https://rhld.insurance.arkansas.gov/NPILookup?Npi=1336655968","1336655968")</f>
        <v>1336655968</v>
      </c>
      <c r="E23901" s="1" t="s">
        <v>26614</v>
      </c>
      <c r="F23901" s="2"/>
      <c r="G23901" s="2"/>
      <c r="H23901" s="2"/>
    </row>
    <row r="23902" spans="1:8" x14ac:dyDescent="0.25">
      <c r="A23902" s="1"/>
      <c r="B23902" s="1" t="s">
        <v>7328</v>
      </c>
      <c r="C23902" s="1" t="s">
        <v>7329</v>
      </c>
      <c r="D23902" s="22" t="str">
        <f>HYPERLINK("https://rhld.insurance.arkansas.gov/NPILookup?Npi=1336671320","1336671320")</f>
        <v>1336671320</v>
      </c>
      <c r="E23902" s="1" t="s">
        <v>26615</v>
      </c>
      <c r="F23902" s="2"/>
      <c r="G23902" s="2"/>
      <c r="H23902" s="2"/>
    </row>
    <row r="23903" spans="1:8" x14ac:dyDescent="0.25">
      <c r="A23903" s="1"/>
      <c r="B23903" s="1" t="s">
        <v>7328</v>
      </c>
      <c r="C23903" s="1" t="s">
        <v>7329</v>
      </c>
      <c r="D23903" s="22" t="str">
        <f>HYPERLINK("https://rhld.insurance.arkansas.gov/NPILookup?Npi=1336675123","1336675123")</f>
        <v>1336675123</v>
      </c>
      <c r="E23903" s="1" t="s">
        <v>17441</v>
      </c>
      <c r="F23903" s="2"/>
      <c r="G23903" s="2"/>
      <c r="H23903" s="2"/>
    </row>
    <row r="23904" spans="1:8" x14ac:dyDescent="0.25">
      <c r="A23904" s="1"/>
      <c r="B23904" s="1" t="s">
        <v>7328</v>
      </c>
      <c r="C23904" s="1" t="s">
        <v>7329</v>
      </c>
      <c r="D23904" s="22" t="str">
        <f>HYPERLINK("https://rhld.insurance.arkansas.gov/NPILookup?Npi=1336675628","1336675628")</f>
        <v>1336675628</v>
      </c>
      <c r="E23904" s="1" t="s">
        <v>2780</v>
      </c>
      <c r="F23904" s="2"/>
      <c r="G23904" s="2"/>
      <c r="H23904" s="2"/>
    </row>
    <row r="23905" spans="1:8" x14ac:dyDescent="0.25">
      <c r="A23905" s="1"/>
      <c r="B23905" s="1" t="s">
        <v>7328</v>
      </c>
      <c r="C23905" s="1" t="s">
        <v>7329</v>
      </c>
      <c r="D23905" s="22" t="str">
        <f>HYPERLINK("https://rhld.insurance.arkansas.gov/NPILookup?Npi=1336686708","1336686708")</f>
        <v>1336686708</v>
      </c>
      <c r="E23905" s="1" t="s">
        <v>2781</v>
      </c>
      <c r="F23905" s="2"/>
      <c r="G23905" s="2"/>
      <c r="H23905" s="2"/>
    </row>
    <row r="23906" spans="1:8" x14ac:dyDescent="0.25">
      <c r="A23906" s="1"/>
      <c r="B23906" s="1" t="s">
        <v>7328</v>
      </c>
      <c r="C23906" s="1" t="s">
        <v>7329</v>
      </c>
      <c r="D23906" s="22" t="str">
        <f>HYPERLINK("https://rhld.insurance.arkansas.gov/NPILookup?Npi=1336694629","1336694629")</f>
        <v>1336694629</v>
      </c>
      <c r="E23906" s="1" t="s">
        <v>7665</v>
      </c>
      <c r="F23906" s="2"/>
      <c r="G23906" s="2"/>
      <c r="H23906" s="2"/>
    </row>
    <row r="23907" spans="1:8" x14ac:dyDescent="0.25">
      <c r="A23907" s="1"/>
      <c r="B23907" s="1" t="s">
        <v>7328</v>
      </c>
      <c r="C23907" s="1" t="s">
        <v>7329</v>
      </c>
      <c r="D23907" s="22" t="str">
        <f>HYPERLINK("https://rhld.insurance.arkansas.gov/NPILookup?Npi=1336695360","1336695360")</f>
        <v>1336695360</v>
      </c>
      <c r="E23907" s="1" t="s">
        <v>4750</v>
      </c>
      <c r="F23907" s="2"/>
      <c r="G23907" s="2"/>
      <c r="H23907" s="2"/>
    </row>
    <row r="23908" spans="1:8" x14ac:dyDescent="0.25">
      <c r="A23908" s="1"/>
      <c r="B23908" s="1" t="s">
        <v>7328</v>
      </c>
      <c r="C23908" s="1" t="s">
        <v>7329</v>
      </c>
      <c r="D23908" s="22" t="str">
        <f>HYPERLINK("https://rhld.insurance.arkansas.gov/NPILookup?Npi=1336699941","1336699941")</f>
        <v>1336699941</v>
      </c>
      <c r="E23908" s="1" t="s">
        <v>12989</v>
      </c>
      <c r="F23908" s="2"/>
      <c r="G23908" s="2"/>
      <c r="H23908" s="2"/>
    </row>
    <row r="23909" spans="1:8" x14ac:dyDescent="0.25">
      <c r="A23909" s="1"/>
      <c r="B23909" s="1" t="s">
        <v>7328</v>
      </c>
      <c r="C23909" s="1" t="s">
        <v>7329</v>
      </c>
      <c r="D23909" s="22" t="str">
        <f>HYPERLINK("https://rhld.insurance.arkansas.gov/NPILookup?Npi=1336702265","1336702265")</f>
        <v>1336702265</v>
      </c>
      <c r="E23909" s="1" t="s">
        <v>26616</v>
      </c>
      <c r="F23909" s="2"/>
      <c r="G23909" s="2"/>
      <c r="H23909" s="2"/>
    </row>
    <row r="23910" spans="1:8" x14ac:dyDescent="0.25">
      <c r="A23910" s="1"/>
      <c r="B23910" s="1" t="s">
        <v>7328</v>
      </c>
      <c r="C23910" s="1" t="s">
        <v>7329</v>
      </c>
      <c r="D23910" s="22" t="str">
        <f>HYPERLINK("https://rhld.insurance.arkansas.gov/NPILookup?Npi=1336705813","1336705813")</f>
        <v>1336705813</v>
      </c>
      <c r="E23910" s="1" t="s">
        <v>26617</v>
      </c>
      <c r="F23910" s="2"/>
      <c r="G23910" s="2"/>
      <c r="H23910" s="2"/>
    </row>
    <row r="23911" spans="1:8" x14ac:dyDescent="0.25">
      <c r="A23911" s="1"/>
      <c r="B23911" s="1" t="s">
        <v>7328</v>
      </c>
      <c r="C23911" s="1" t="s">
        <v>7329</v>
      </c>
      <c r="D23911" s="22" t="str">
        <f>HYPERLINK("https://rhld.insurance.arkansas.gov/NPILookup?Npi=1336709872","1336709872")</f>
        <v>1336709872</v>
      </c>
      <c r="E23911" s="1" t="s">
        <v>26618</v>
      </c>
      <c r="F23911" s="2"/>
      <c r="G23911" s="2"/>
      <c r="H23911" s="2"/>
    </row>
    <row r="23912" spans="1:8" x14ac:dyDescent="0.25">
      <c r="A23912" s="1"/>
      <c r="B23912" s="1" t="s">
        <v>7328</v>
      </c>
      <c r="C23912" s="1" t="s">
        <v>7329</v>
      </c>
      <c r="D23912" s="22" t="str">
        <f>HYPERLINK("https://rhld.insurance.arkansas.gov/NPILookup?Npi=1336720457","1336720457")</f>
        <v>1336720457</v>
      </c>
      <c r="E23912" s="1" t="s">
        <v>32192</v>
      </c>
      <c r="F23912" s="2"/>
      <c r="G23912" s="2"/>
      <c r="H23912" s="2"/>
    </row>
    <row r="23913" spans="1:8" x14ac:dyDescent="0.25">
      <c r="A23913" s="1"/>
      <c r="B23913" s="1" t="s">
        <v>7328</v>
      </c>
      <c r="C23913" s="1" t="s">
        <v>7329</v>
      </c>
      <c r="D23913" s="22" t="str">
        <f>HYPERLINK("https://rhld.insurance.arkansas.gov/NPILookup?Npi=1336722842","1336722842")</f>
        <v>1336722842</v>
      </c>
      <c r="E23913" s="1" t="s">
        <v>26619</v>
      </c>
      <c r="F23913" s="2"/>
      <c r="G23913" s="2"/>
      <c r="H23913" s="2"/>
    </row>
    <row r="23914" spans="1:8" x14ac:dyDescent="0.25">
      <c r="A23914" s="1"/>
      <c r="B23914" s="1" t="s">
        <v>7328</v>
      </c>
      <c r="C23914" s="1" t="s">
        <v>7329</v>
      </c>
      <c r="D23914" s="22" t="str">
        <f>HYPERLINK("https://rhld.insurance.arkansas.gov/NPILookup?Npi=1336762228","1336762228")</f>
        <v>1336762228</v>
      </c>
      <c r="E23914" s="1" t="s">
        <v>32193</v>
      </c>
      <c r="F23914" s="2"/>
      <c r="G23914" s="2"/>
      <c r="H23914" s="2"/>
    </row>
    <row r="23915" spans="1:8" x14ac:dyDescent="0.25">
      <c r="A23915" s="1"/>
      <c r="B23915" s="1" t="s">
        <v>7328</v>
      </c>
      <c r="C23915" s="1" t="s">
        <v>7329</v>
      </c>
      <c r="D23915" s="22" t="str">
        <f>HYPERLINK("https://rhld.insurance.arkansas.gov/NPILookup?Npi=1336764604","1336764604")</f>
        <v>1336764604</v>
      </c>
      <c r="E23915" s="1" t="s">
        <v>32194</v>
      </c>
      <c r="F23915" s="2"/>
      <c r="G23915" s="2"/>
      <c r="H23915" s="2"/>
    </row>
    <row r="23916" spans="1:8" x14ac:dyDescent="0.25">
      <c r="A23916" s="1"/>
      <c r="B23916" s="1" t="s">
        <v>7328</v>
      </c>
      <c r="C23916" s="1" t="s">
        <v>7329</v>
      </c>
      <c r="D23916" s="22" t="str">
        <f>HYPERLINK("https://rhld.insurance.arkansas.gov/NPILookup?Npi=1336764778","1336764778")</f>
        <v>1336764778</v>
      </c>
      <c r="E23916" s="1" t="s">
        <v>7666</v>
      </c>
      <c r="F23916" s="2"/>
      <c r="G23916" s="2"/>
      <c r="H23916" s="2"/>
    </row>
    <row r="23917" spans="1:8" x14ac:dyDescent="0.25">
      <c r="A23917" s="1"/>
      <c r="B23917" s="1" t="s">
        <v>7328</v>
      </c>
      <c r="C23917" s="1" t="s">
        <v>7329</v>
      </c>
      <c r="D23917" s="22" t="str">
        <f>HYPERLINK("https://rhld.insurance.arkansas.gov/NPILookup?Npi=1336779305","1336779305")</f>
        <v>1336779305</v>
      </c>
      <c r="E23917" s="1" t="s">
        <v>26620</v>
      </c>
      <c r="F23917" s="2"/>
      <c r="G23917" s="2"/>
      <c r="H23917" s="2"/>
    </row>
    <row r="23918" spans="1:8" x14ac:dyDescent="0.25">
      <c r="A23918" s="1"/>
      <c r="B23918" s="1" t="s">
        <v>7328</v>
      </c>
      <c r="C23918" s="1" t="s">
        <v>7329</v>
      </c>
      <c r="D23918" s="22" t="str">
        <f>HYPERLINK("https://rhld.insurance.arkansas.gov/NPILookup?Npi=1336780279","1336780279")</f>
        <v>1336780279</v>
      </c>
      <c r="E23918" s="1" t="s">
        <v>12990</v>
      </c>
      <c r="F23918" s="2"/>
      <c r="G23918" s="2"/>
      <c r="H23918" s="2"/>
    </row>
    <row r="23919" spans="1:8" x14ac:dyDescent="0.25">
      <c r="A23919" s="1"/>
      <c r="B23919" s="1" t="s">
        <v>7328</v>
      </c>
      <c r="C23919" s="1" t="s">
        <v>7329</v>
      </c>
      <c r="D23919" s="22" t="str">
        <f>HYPERLINK("https://rhld.insurance.arkansas.gov/NPILookup?Npi=1336792563","1336792563")</f>
        <v>1336792563</v>
      </c>
      <c r="E23919" s="1" t="s">
        <v>7667</v>
      </c>
      <c r="F23919" s="2"/>
      <c r="G23919" s="2"/>
      <c r="H23919" s="2"/>
    </row>
    <row r="23920" spans="1:8" x14ac:dyDescent="0.25">
      <c r="A23920" s="1"/>
      <c r="B23920" s="1" t="s">
        <v>7328</v>
      </c>
      <c r="C23920" s="1" t="s">
        <v>7329</v>
      </c>
      <c r="D23920" s="22" t="str">
        <f>HYPERLINK("https://rhld.insurance.arkansas.gov/NPILookup?Npi=1336793314","1336793314")</f>
        <v>1336793314</v>
      </c>
      <c r="E23920" s="1" t="s">
        <v>26621</v>
      </c>
      <c r="F23920" s="2"/>
      <c r="G23920" s="2"/>
      <c r="H23920" s="2"/>
    </row>
    <row r="23921" spans="1:8" x14ac:dyDescent="0.25">
      <c r="A23921" s="1"/>
      <c r="B23921" s="1" t="s">
        <v>7328</v>
      </c>
      <c r="C23921" s="1" t="s">
        <v>7329</v>
      </c>
      <c r="D23921" s="22" t="str">
        <f>HYPERLINK("https://rhld.insurance.arkansas.gov/NPILookup?Npi=1336793611","1336793611")</f>
        <v>1336793611</v>
      </c>
      <c r="E23921" s="1" t="s">
        <v>26622</v>
      </c>
      <c r="F23921" s="2"/>
      <c r="G23921" s="2"/>
      <c r="H23921" s="2"/>
    </row>
    <row r="23922" spans="1:8" x14ac:dyDescent="0.25">
      <c r="A23922" s="1"/>
      <c r="B23922" s="1" t="s">
        <v>7328</v>
      </c>
      <c r="C23922" s="1" t="s">
        <v>7329</v>
      </c>
      <c r="D23922" s="22" t="str">
        <f>HYPERLINK("https://rhld.insurance.arkansas.gov/NPILookup?Npi=1336793751","1336793751")</f>
        <v>1336793751</v>
      </c>
      <c r="E23922" s="1" t="s">
        <v>7668</v>
      </c>
      <c r="F23922" s="2"/>
      <c r="G23922" s="2"/>
      <c r="H23922" s="2"/>
    </row>
    <row r="23923" spans="1:8" x14ac:dyDescent="0.25">
      <c r="A23923" s="1"/>
      <c r="B23923" s="1" t="s">
        <v>7328</v>
      </c>
      <c r="C23923" s="1" t="s">
        <v>7329</v>
      </c>
      <c r="D23923" s="22" t="str">
        <f>HYPERLINK("https://rhld.insurance.arkansas.gov/NPILookup?Npi=1336798263","1336798263")</f>
        <v>1336798263</v>
      </c>
      <c r="E23923" s="1" t="s">
        <v>26623</v>
      </c>
      <c r="F23923" s="2"/>
      <c r="G23923" s="2"/>
      <c r="H23923" s="2"/>
    </row>
    <row r="23924" spans="1:8" x14ac:dyDescent="0.25">
      <c r="A23924" s="1"/>
      <c r="B23924" s="1" t="s">
        <v>7328</v>
      </c>
      <c r="C23924" s="1" t="s">
        <v>7329</v>
      </c>
      <c r="D23924" s="22" t="str">
        <f>HYPERLINK("https://rhld.insurance.arkansas.gov/NPILookup?Npi=1336808674","1336808674")</f>
        <v>1336808674</v>
      </c>
      <c r="E23924" s="1" t="s">
        <v>12991</v>
      </c>
      <c r="F23924" s="2"/>
      <c r="G23924" s="2"/>
      <c r="H23924" s="2"/>
    </row>
    <row r="23925" spans="1:8" x14ac:dyDescent="0.25">
      <c r="A23925" s="1"/>
      <c r="B23925" s="1" t="s">
        <v>7328</v>
      </c>
      <c r="C23925" s="1" t="s">
        <v>7329</v>
      </c>
      <c r="D23925" s="22" t="str">
        <f>HYPERLINK("https://rhld.insurance.arkansas.gov/NPILookup?Npi=1336817287","1336817287")</f>
        <v>1336817287</v>
      </c>
      <c r="E23925" s="1" t="s">
        <v>12992</v>
      </c>
      <c r="F23925" s="2"/>
      <c r="G23925" s="2"/>
      <c r="H23925" s="2"/>
    </row>
    <row r="23926" spans="1:8" x14ac:dyDescent="0.25">
      <c r="A23926" s="1"/>
      <c r="B23926" s="1" t="s">
        <v>7328</v>
      </c>
      <c r="C23926" s="1" t="s">
        <v>7329</v>
      </c>
      <c r="D23926" s="22" t="str">
        <f>HYPERLINK("https://rhld.insurance.arkansas.gov/NPILookup?Npi=1336817402","1336817402")</f>
        <v>1336817402</v>
      </c>
      <c r="E23926" s="1" t="s">
        <v>7669</v>
      </c>
      <c r="F23926" s="2"/>
      <c r="G23926" s="2"/>
      <c r="H23926" s="2"/>
    </row>
    <row r="23927" spans="1:8" x14ac:dyDescent="0.25">
      <c r="A23927" s="1"/>
      <c r="B23927" s="1" t="s">
        <v>7328</v>
      </c>
      <c r="C23927" s="1" t="s">
        <v>7329</v>
      </c>
      <c r="D23927" s="22" t="str">
        <f>HYPERLINK("https://rhld.insurance.arkansas.gov/NPILookup?Npi=1336820679","1336820679")</f>
        <v>1336820679</v>
      </c>
      <c r="E23927" s="1" t="s">
        <v>26624</v>
      </c>
      <c r="F23927" s="2"/>
      <c r="G23927" s="2"/>
      <c r="H23927" s="2"/>
    </row>
    <row r="23928" spans="1:8" x14ac:dyDescent="0.25">
      <c r="A23928" s="1"/>
      <c r="B23928" s="1" t="s">
        <v>7328</v>
      </c>
      <c r="C23928" s="1" t="s">
        <v>7329</v>
      </c>
      <c r="D23928" s="22" t="str">
        <f>HYPERLINK("https://rhld.insurance.arkansas.gov/NPILookup?Npi=1336825512","1336825512")</f>
        <v>1336825512</v>
      </c>
      <c r="E23928" s="1" t="s">
        <v>7670</v>
      </c>
      <c r="F23928" s="2"/>
      <c r="G23928" s="2"/>
      <c r="H23928" s="2"/>
    </row>
    <row r="23929" spans="1:8" x14ac:dyDescent="0.25">
      <c r="A23929" s="1"/>
      <c r="B23929" s="1" t="s">
        <v>7328</v>
      </c>
      <c r="C23929" s="1" t="s">
        <v>7329</v>
      </c>
      <c r="D23929" s="22" t="str">
        <f>HYPERLINK("https://rhld.insurance.arkansas.gov/NPILookup?Npi=1336843085","1336843085")</f>
        <v>1336843085</v>
      </c>
      <c r="E23929" s="1" t="s">
        <v>6416</v>
      </c>
      <c r="F23929" s="2"/>
      <c r="G23929" s="2"/>
      <c r="H23929" s="2"/>
    </row>
    <row r="23930" spans="1:8" x14ac:dyDescent="0.25">
      <c r="A23930" s="1"/>
      <c r="B23930" s="1" t="s">
        <v>7328</v>
      </c>
      <c r="C23930" s="1" t="s">
        <v>7329</v>
      </c>
      <c r="D23930" s="22" t="str">
        <f>HYPERLINK("https://rhld.insurance.arkansas.gov/NPILookup?Npi=1336854975","1336854975")</f>
        <v>1336854975</v>
      </c>
      <c r="E23930" s="1" t="s">
        <v>7671</v>
      </c>
      <c r="F23930" s="2"/>
      <c r="G23930" s="2"/>
      <c r="H23930" s="2"/>
    </row>
    <row r="23931" spans="1:8" x14ac:dyDescent="0.25">
      <c r="A23931" s="1"/>
      <c r="B23931" s="1" t="s">
        <v>7328</v>
      </c>
      <c r="C23931" s="1" t="s">
        <v>7329</v>
      </c>
      <c r="D23931" s="22" t="str">
        <f>HYPERLINK("https://rhld.insurance.arkansas.gov/NPILookup?Npi=1336870641","1336870641")</f>
        <v>1336870641</v>
      </c>
      <c r="E23931" s="1" t="s">
        <v>32195</v>
      </c>
      <c r="F23931" s="2"/>
      <c r="G23931" s="2"/>
      <c r="H23931" s="2"/>
    </row>
    <row r="23932" spans="1:8" x14ac:dyDescent="0.25">
      <c r="A23932" s="1"/>
      <c r="B23932" s="1" t="s">
        <v>7328</v>
      </c>
      <c r="C23932" s="1" t="s">
        <v>7329</v>
      </c>
      <c r="D23932" s="22" t="str">
        <f>HYPERLINK("https://rhld.insurance.arkansas.gov/NPILookup?Npi=1336871904","1336871904")</f>
        <v>1336871904</v>
      </c>
      <c r="E23932" s="1" t="s">
        <v>6965</v>
      </c>
      <c r="F23932" s="2"/>
      <c r="G23932" s="2"/>
      <c r="H23932" s="2"/>
    </row>
    <row r="23933" spans="1:8" x14ac:dyDescent="0.25">
      <c r="A23933" s="1"/>
      <c r="B23933" s="1" t="s">
        <v>7328</v>
      </c>
      <c r="C23933" s="1" t="s">
        <v>7329</v>
      </c>
      <c r="D23933" s="22" t="str">
        <f>HYPERLINK("https://rhld.insurance.arkansas.gov/NPILookup?Npi=1336874544","1336874544")</f>
        <v>1336874544</v>
      </c>
      <c r="E23933" s="1" t="s">
        <v>26625</v>
      </c>
      <c r="F23933" s="2"/>
      <c r="G23933" s="2"/>
      <c r="H23933" s="2"/>
    </row>
    <row r="23934" spans="1:8" x14ac:dyDescent="0.25">
      <c r="A23934" s="1"/>
      <c r="B23934" s="1" t="s">
        <v>7328</v>
      </c>
      <c r="C23934" s="1" t="s">
        <v>7329</v>
      </c>
      <c r="D23934" s="22" t="str">
        <f>HYPERLINK("https://rhld.insurance.arkansas.gov/NPILookup?Npi=1336885839","1336885839")</f>
        <v>1336885839</v>
      </c>
      <c r="E23934" s="1" t="s">
        <v>26626</v>
      </c>
      <c r="F23934" s="2"/>
      <c r="G23934" s="2"/>
      <c r="H23934" s="2"/>
    </row>
    <row r="23935" spans="1:8" x14ac:dyDescent="0.25">
      <c r="A23935" s="1"/>
      <c r="B23935" s="1" t="s">
        <v>7328</v>
      </c>
      <c r="C23935" s="1" t="s">
        <v>7329</v>
      </c>
      <c r="D23935" s="22" t="str">
        <f>HYPERLINK("https://rhld.insurance.arkansas.gov/NPILookup?Npi=1336913227","1336913227")</f>
        <v>1336913227</v>
      </c>
      <c r="E23935" s="1" t="s">
        <v>12993</v>
      </c>
      <c r="F23935" s="2"/>
      <c r="G23935" s="2"/>
      <c r="H23935" s="2"/>
    </row>
    <row r="23936" spans="1:8" x14ac:dyDescent="0.25">
      <c r="A23936" s="1"/>
      <c r="B23936" s="1" t="s">
        <v>7328</v>
      </c>
      <c r="C23936" s="1" t="s">
        <v>7329</v>
      </c>
      <c r="D23936" s="22" t="str">
        <f>HYPERLINK("https://rhld.insurance.arkansas.gov/NPILookup?Npi=1336923366","1336923366")</f>
        <v>1336923366</v>
      </c>
      <c r="E23936" s="1" t="s">
        <v>7672</v>
      </c>
      <c r="F23936" s="2"/>
      <c r="G23936" s="2"/>
      <c r="H23936" s="2"/>
    </row>
    <row r="23937" spans="1:8" x14ac:dyDescent="0.25">
      <c r="A23937" s="1"/>
      <c r="B23937" s="1" t="s">
        <v>7328</v>
      </c>
      <c r="C23937" s="1" t="s">
        <v>7329</v>
      </c>
      <c r="D23937" s="22" t="str">
        <f>HYPERLINK("https://rhld.insurance.arkansas.gov/NPILookup?Npi=1336928597","1336928597")</f>
        <v>1336928597</v>
      </c>
      <c r="E23937" s="1" t="s">
        <v>4541</v>
      </c>
      <c r="F23937" s="2"/>
      <c r="G23937" s="2"/>
      <c r="H23937" s="2"/>
    </row>
    <row r="23938" spans="1:8" x14ac:dyDescent="0.25">
      <c r="A23938" s="1"/>
      <c r="B23938" s="1" t="s">
        <v>7328</v>
      </c>
      <c r="C23938" s="1" t="s">
        <v>7329</v>
      </c>
      <c r="D23938" s="22" t="str">
        <f>HYPERLINK("https://rhld.insurance.arkansas.gov/NPILookup?Npi=1346029485","1346029485")</f>
        <v>1346029485</v>
      </c>
      <c r="E23938" s="1" t="s">
        <v>7673</v>
      </c>
      <c r="F23938" s="2"/>
      <c r="G23938" s="2"/>
      <c r="H23938" s="2"/>
    </row>
    <row r="23939" spans="1:8" x14ac:dyDescent="0.25">
      <c r="A23939" s="1"/>
      <c r="B23939" s="1" t="s">
        <v>7328</v>
      </c>
      <c r="C23939" s="1" t="s">
        <v>7329</v>
      </c>
      <c r="D23939" s="22" t="str">
        <f>HYPERLINK("https://rhld.insurance.arkansas.gov/NPILookup?Npi=1346202637","1346202637")</f>
        <v>1346202637</v>
      </c>
      <c r="E23939" s="1" t="s">
        <v>26627</v>
      </c>
      <c r="F23939" s="2"/>
      <c r="G23939" s="2"/>
      <c r="H23939" s="2"/>
    </row>
    <row r="23940" spans="1:8" x14ac:dyDescent="0.25">
      <c r="A23940" s="1"/>
      <c r="B23940" s="1" t="s">
        <v>7328</v>
      </c>
      <c r="C23940" s="1" t="s">
        <v>7329</v>
      </c>
      <c r="D23940" s="22" t="str">
        <f>HYPERLINK("https://rhld.insurance.arkansas.gov/NPILookup?Npi=1346205507","1346205507")</f>
        <v>1346205507</v>
      </c>
      <c r="E23940" s="1" t="s">
        <v>26628</v>
      </c>
      <c r="F23940" s="2"/>
      <c r="G23940" s="2"/>
      <c r="H23940" s="2"/>
    </row>
    <row r="23941" spans="1:8" x14ac:dyDescent="0.25">
      <c r="A23941" s="1"/>
      <c r="B23941" s="1" t="s">
        <v>7328</v>
      </c>
      <c r="C23941" s="1" t="s">
        <v>7329</v>
      </c>
      <c r="D23941" s="22" t="str">
        <f>HYPERLINK("https://rhld.insurance.arkansas.gov/NPILookup?Npi=1346205754","1346205754")</f>
        <v>1346205754</v>
      </c>
      <c r="E23941" s="1" t="s">
        <v>26629</v>
      </c>
      <c r="F23941" s="2"/>
      <c r="G23941" s="2"/>
      <c r="H23941" s="2"/>
    </row>
    <row r="23942" spans="1:8" x14ac:dyDescent="0.25">
      <c r="A23942" s="1"/>
      <c r="B23942" s="1" t="s">
        <v>7328</v>
      </c>
      <c r="C23942" s="1" t="s">
        <v>7329</v>
      </c>
      <c r="D23942" s="22" t="str">
        <f>HYPERLINK("https://rhld.insurance.arkansas.gov/NPILookup?Npi=1346207115","1346207115")</f>
        <v>1346207115</v>
      </c>
      <c r="E23942" s="1" t="s">
        <v>26630</v>
      </c>
      <c r="F23942" s="2"/>
      <c r="G23942" s="2"/>
      <c r="H23942" s="2"/>
    </row>
    <row r="23943" spans="1:8" x14ac:dyDescent="0.25">
      <c r="A23943" s="1"/>
      <c r="B23943" s="1" t="s">
        <v>7328</v>
      </c>
      <c r="C23943" s="1" t="s">
        <v>7329</v>
      </c>
      <c r="D23943" s="22" t="str">
        <f>HYPERLINK("https://rhld.insurance.arkansas.gov/NPILookup?Npi=1346208030","1346208030")</f>
        <v>1346208030</v>
      </c>
      <c r="E23943" s="1" t="s">
        <v>1765</v>
      </c>
      <c r="F23943" s="2"/>
      <c r="G23943" s="2"/>
      <c r="H23943" s="2"/>
    </row>
    <row r="23944" spans="1:8" x14ac:dyDescent="0.25">
      <c r="A23944" s="1"/>
      <c r="B23944" s="1" t="s">
        <v>7328</v>
      </c>
      <c r="C23944" s="1" t="s">
        <v>7329</v>
      </c>
      <c r="D23944" s="22" t="str">
        <f>HYPERLINK("https://rhld.insurance.arkansas.gov/NPILookup?Npi=1346208527","1346208527")</f>
        <v>1346208527</v>
      </c>
      <c r="E23944" s="1" t="s">
        <v>26631</v>
      </c>
      <c r="F23944" s="2"/>
      <c r="G23944" s="2"/>
      <c r="H23944" s="2"/>
    </row>
    <row r="23945" spans="1:8" x14ac:dyDescent="0.25">
      <c r="A23945" s="1"/>
      <c r="B23945" s="1" t="s">
        <v>7328</v>
      </c>
      <c r="C23945" s="1" t="s">
        <v>7329</v>
      </c>
      <c r="D23945" s="22" t="str">
        <f>HYPERLINK("https://rhld.insurance.arkansas.gov/NPILookup?Npi=1346208725","1346208725")</f>
        <v>1346208725</v>
      </c>
      <c r="E23945" s="1" t="s">
        <v>7674</v>
      </c>
      <c r="F23945" s="2"/>
      <c r="G23945" s="2"/>
      <c r="H23945" s="2"/>
    </row>
    <row r="23946" spans="1:8" x14ac:dyDescent="0.25">
      <c r="A23946" s="1"/>
      <c r="B23946" s="1" t="s">
        <v>7328</v>
      </c>
      <c r="C23946" s="1" t="s">
        <v>7329</v>
      </c>
      <c r="D23946" s="22" t="str">
        <f>HYPERLINK("https://rhld.insurance.arkansas.gov/NPILookup?Npi=1346216785","1346216785")</f>
        <v>1346216785</v>
      </c>
      <c r="E23946" s="1" t="s">
        <v>26632</v>
      </c>
      <c r="F23946" s="2"/>
      <c r="G23946" s="2"/>
      <c r="H23946" s="2"/>
    </row>
    <row r="23947" spans="1:8" x14ac:dyDescent="0.25">
      <c r="A23947" s="1"/>
      <c r="B23947" s="1" t="s">
        <v>7328</v>
      </c>
      <c r="C23947" s="1" t="s">
        <v>7329</v>
      </c>
      <c r="D23947" s="22" t="str">
        <f>HYPERLINK("https://rhld.insurance.arkansas.gov/NPILookup?Npi=1346225620","1346225620")</f>
        <v>1346225620</v>
      </c>
      <c r="E23947" s="1" t="s">
        <v>2782</v>
      </c>
      <c r="F23947" s="2"/>
      <c r="G23947" s="2"/>
      <c r="H23947" s="2"/>
    </row>
    <row r="23948" spans="1:8" x14ac:dyDescent="0.25">
      <c r="A23948" s="1"/>
      <c r="B23948" s="1" t="s">
        <v>7328</v>
      </c>
      <c r="C23948" s="1" t="s">
        <v>7329</v>
      </c>
      <c r="D23948" s="22" t="str">
        <f>HYPERLINK("https://rhld.insurance.arkansas.gov/NPILookup?Npi=1346229820","1346229820")</f>
        <v>1346229820</v>
      </c>
      <c r="E23948" s="1" t="s">
        <v>26633</v>
      </c>
      <c r="F23948" s="2"/>
      <c r="G23948" s="2"/>
      <c r="H23948" s="2"/>
    </row>
    <row r="23949" spans="1:8" x14ac:dyDescent="0.25">
      <c r="A23949" s="1"/>
      <c r="B23949" s="1" t="s">
        <v>7328</v>
      </c>
      <c r="C23949" s="1" t="s">
        <v>7329</v>
      </c>
      <c r="D23949" s="22" t="str">
        <f>HYPERLINK("https://rhld.insurance.arkansas.gov/NPILookup?Npi=1346232113","1346232113")</f>
        <v>1346232113</v>
      </c>
      <c r="E23949" s="1" t="s">
        <v>26634</v>
      </c>
      <c r="F23949" s="2"/>
      <c r="G23949" s="2"/>
      <c r="H23949" s="2"/>
    </row>
    <row r="23950" spans="1:8" x14ac:dyDescent="0.25">
      <c r="A23950" s="1"/>
      <c r="B23950" s="1" t="s">
        <v>7328</v>
      </c>
      <c r="C23950" s="1" t="s">
        <v>7329</v>
      </c>
      <c r="D23950" s="22" t="str">
        <f>HYPERLINK("https://rhld.insurance.arkansas.gov/NPILookup?Npi=1346233913","1346233913")</f>
        <v>1346233913</v>
      </c>
      <c r="E23950" s="1" t="s">
        <v>26635</v>
      </c>
      <c r="F23950" s="2"/>
      <c r="G23950" s="2"/>
      <c r="H23950" s="2"/>
    </row>
    <row r="23951" spans="1:8" x14ac:dyDescent="0.25">
      <c r="A23951" s="1"/>
      <c r="B23951" s="1" t="s">
        <v>7328</v>
      </c>
      <c r="C23951" s="1" t="s">
        <v>7329</v>
      </c>
      <c r="D23951" s="22" t="str">
        <f>HYPERLINK("https://rhld.insurance.arkansas.gov/NPILookup?Npi=1346238441","1346238441")</f>
        <v>1346238441</v>
      </c>
      <c r="E23951" s="1" t="s">
        <v>26636</v>
      </c>
      <c r="F23951" s="2"/>
      <c r="G23951" s="2"/>
      <c r="H23951" s="2"/>
    </row>
    <row r="23952" spans="1:8" x14ac:dyDescent="0.25">
      <c r="A23952" s="1"/>
      <c r="B23952" s="1" t="s">
        <v>7328</v>
      </c>
      <c r="C23952" s="1" t="s">
        <v>7329</v>
      </c>
      <c r="D23952" s="22" t="str">
        <f>HYPERLINK("https://rhld.insurance.arkansas.gov/NPILookup?Npi=1346252681","1346252681")</f>
        <v>1346252681</v>
      </c>
      <c r="E23952" s="1" t="s">
        <v>17444</v>
      </c>
      <c r="F23952" s="2"/>
      <c r="G23952" s="2"/>
      <c r="H23952" s="2"/>
    </row>
    <row r="23953" spans="1:8" x14ac:dyDescent="0.25">
      <c r="A23953" s="1"/>
      <c r="B23953" s="1" t="s">
        <v>7328</v>
      </c>
      <c r="C23953" s="1" t="s">
        <v>7329</v>
      </c>
      <c r="D23953" s="22" t="str">
        <f>HYPERLINK("https://rhld.insurance.arkansas.gov/NPILookup?Npi=1346253184","1346253184")</f>
        <v>1346253184</v>
      </c>
      <c r="E23953" s="1" t="s">
        <v>7675</v>
      </c>
      <c r="F23953" s="2"/>
      <c r="G23953" s="2"/>
      <c r="H23953" s="2"/>
    </row>
    <row r="23954" spans="1:8" x14ac:dyDescent="0.25">
      <c r="A23954" s="1"/>
      <c r="B23954" s="1" t="s">
        <v>7328</v>
      </c>
      <c r="C23954" s="1" t="s">
        <v>7329</v>
      </c>
      <c r="D23954" s="22" t="str">
        <f>HYPERLINK("https://rhld.insurance.arkansas.gov/NPILookup?Npi=1346259124","1346259124")</f>
        <v>1346259124</v>
      </c>
      <c r="E23954" s="1" t="s">
        <v>2783</v>
      </c>
      <c r="F23954" s="2"/>
      <c r="G23954" s="2"/>
      <c r="H23954" s="2"/>
    </row>
    <row r="23955" spans="1:8" x14ac:dyDescent="0.25">
      <c r="A23955" s="1"/>
      <c r="B23955" s="1" t="s">
        <v>7328</v>
      </c>
      <c r="C23955" s="1" t="s">
        <v>7329</v>
      </c>
      <c r="D23955" s="22" t="str">
        <f>HYPERLINK("https://rhld.insurance.arkansas.gov/NPILookup?Npi=1346276441","1346276441")</f>
        <v>1346276441</v>
      </c>
      <c r="E23955" s="1" t="s">
        <v>2008</v>
      </c>
      <c r="F23955" s="2"/>
      <c r="G23955" s="2"/>
      <c r="H23955" s="2"/>
    </row>
    <row r="23956" spans="1:8" x14ac:dyDescent="0.25">
      <c r="A23956" s="1"/>
      <c r="B23956" s="1" t="s">
        <v>7328</v>
      </c>
      <c r="C23956" s="1" t="s">
        <v>7329</v>
      </c>
      <c r="D23956" s="22" t="str">
        <f>HYPERLINK("https://rhld.insurance.arkansas.gov/NPILookup?Npi=1346282290","1346282290")</f>
        <v>1346282290</v>
      </c>
      <c r="E23956" s="1" t="s">
        <v>26637</v>
      </c>
      <c r="F23956" s="2"/>
      <c r="G23956" s="2"/>
      <c r="H23956" s="2"/>
    </row>
    <row r="23957" spans="1:8" x14ac:dyDescent="0.25">
      <c r="A23957" s="1"/>
      <c r="B23957" s="1" t="s">
        <v>7328</v>
      </c>
      <c r="C23957" s="1" t="s">
        <v>7329</v>
      </c>
      <c r="D23957" s="22" t="str">
        <f>HYPERLINK("https://rhld.insurance.arkansas.gov/NPILookup?Npi=1346283975","1346283975")</f>
        <v>1346283975</v>
      </c>
      <c r="E23957" s="1" t="s">
        <v>26638</v>
      </c>
      <c r="F23957" s="2"/>
      <c r="G23957" s="2"/>
      <c r="H23957" s="2"/>
    </row>
    <row r="23958" spans="1:8" x14ac:dyDescent="0.25">
      <c r="A23958" s="1"/>
      <c r="B23958" s="1" t="s">
        <v>7328</v>
      </c>
      <c r="C23958" s="1" t="s">
        <v>7329</v>
      </c>
      <c r="D23958" s="22" t="str">
        <f>HYPERLINK("https://rhld.insurance.arkansas.gov/NPILookup?Npi=1346300969","1346300969")</f>
        <v>1346300969</v>
      </c>
      <c r="E23958" s="1" t="s">
        <v>10287</v>
      </c>
      <c r="F23958" s="2"/>
      <c r="G23958" s="2"/>
      <c r="H23958" s="2"/>
    </row>
    <row r="23959" spans="1:8" x14ac:dyDescent="0.25">
      <c r="A23959" s="1"/>
      <c r="B23959" s="1" t="s">
        <v>7328</v>
      </c>
      <c r="C23959" s="1" t="s">
        <v>7329</v>
      </c>
      <c r="D23959" s="22" t="str">
        <f>HYPERLINK("https://rhld.insurance.arkansas.gov/NPILookup?Npi=1346318441","1346318441")</f>
        <v>1346318441</v>
      </c>
      <c r="E23959" s="1" t="s">
        <v>2272</v>
      </c>
      <c r="F23959" s="2"/>
      <c r="G23959" s="2"/>
      <c r="H23959" s="2"/>
    </row>
    <row r="23960" spans="1:8" x14ac:dyDescent="0.25">
      <c r="A23960" s="1"/>
      <c r="B23960" s="1" t="s">
        <v>7328</v>
      </c>
      <c r="C23960" s="1" t="s">
        <v>7329</v>
      </c>
      <c r="D23960" s="22" t="str">
        <f>HYPERLINK("https://rhld.insurance.arkansas.gov/NPILookup?Npi=1346330784","1346330784")</f>
        <v>1346330784</v>
      </c>
      <c r="E23960" s="1" t="s">
        <v>26640</v>
      </c>
      <c r="F23960" s="2"/>
      <c r="G23960" s="2"/>
      <c r="H23960" s="2"/>
    </row>
    <row r="23961" spans="1:8" x14ac:dyDescent="0.25">
      <c r="A23961" s="1"/>
      <c r="B23961" s="1" t="s">
        <v>7328</v>
      </c>
      <c r="C23961" s="1" t="s">
        <v>7329</v>
      </c>
      <c r="D23961" s="22" t="str">
        <f>HYPERLINK("https://rhld.insurance.arkansas.gov/NPILookup?Npi=1346347812","1346347812")</f>
        <v>1346347812</v>
      </c>
      <c r="E23961" s="1" t="s">
        <v>12994</v>
      </c>
      <c r="F23961" s="2"/>
      <c r="G23961" s="2"/>
      <c r="H23961" s="2"/>
    </row>
    <row r="23962" spans="1:8" x14ac:dyDescent="0.25">
      <c r="A23962" s="1"/>
      <c r="B23962" s="1" t="s">
        <v>7328</v>
      </c>
      <c r="C23962" s="1" t="s">
        <v>7329</v>
      </c>
      <c r="D23962" s="22" t="str">
        <f>HYPERLINK("https://rhld.insurance.arkansas.gov/NPILookup?Npi=1346355518","1346355518")</f>
        <v>1346355518</v>
      </c>
      <c r="E23962" s="1" t="s">
        <v>26641</v>
      </c>
      <c r="F23962" s="2"/>
      <c r="G23962" s="2"/>
      <c r="H23962" s="2"/>
    </row>
    <row r="23963" spans="1:8" x14ac:dyDescent="0.25">
      <c r="A23963" s="1"/>
      <c r="B23963" s="1" t="s">
        <v>7328</v>
      </c>
      <c r="C23963" s="1" t="s">
        <v>7329</v>
      </c>
      <c r="D23963" s="22" t="str">
        <f>HYPERLINK("https://rhld.insurance.arkansas.gov/NPILookup?Npi=1346363231","1346363231")</f>
        <v>1346363231</v>
      </c>
      <c r="E23963" s="1" t="s">
        <v>7676</v>
      </c>
      <c r="F23963" s="2"/>
      <c r="G23963" s="2"/>
      <c r="H23963" s="2"/>
    </row>
    <row r="23964" spans="1:8" x14ac:dyDescent="0.25">
      <c r="A23964" s="1"/>
      <c r="B23964" s="1" t="s">
        <v>7328</v>
      </c>
      <c r="C23964" s="1" t="s">
        <v>7329</v>
      </c>
      <c r="D23964" s="22" t="str">
        <f>HYPERLINK("https://rhld.insurance.arkansas.gov/NPILookup?Npi=1346385077","1346385077")</f>
        <v>1346385077</v>
      </c>
      <c r="E23964" s="1" t="s">
        <v>26642</v>
      </c>
      <c r="F23964" s="2"/>
      <c r="G23964" s="2"/>
      <c r="H23964" s="2"/>
    </row>
    <row r="23965" spans="1:8" x14ac:dyDescent="0.25">
      <c r="A23965" s="1"/>
      <c r="B23965" s="1" t="s">
        <v>7328</v>
      </c>
      <c r="C23965" s="1" t="s">
        <v>7329</v>
      </c>
      <c r="D23965" s="22" t="str">
        <f>HYPERLINK("https://rhld.insurance.arkansas.gov/NPILookup?Npi=1346404001","1346404001")</f>
        <v>1346404001</v>
      </c>
      <c r="E23965" s="1" t="s">
        <v>26643</v>
      </c>
      <c r="F23965" s="2"/>
      <c r="G23965" s="2"/>
      <c r="H23965" s="2"/>
    </row>
    <row r="23966" spans="1:8" x14ac:dyDescent="0.25">
      <c r="A23966" s="1"/>
      <c r="B23966" s="1" t="s">
        <v>7328</v>
      </c>
      <c r="C23966" s="1" t="s">
        <v>7329</v>
      </c>
      <c r="D23966" s="22" t="str">
        <f>HYPERLINK("https://rhld.insurance.arkansas.gov/NPILookup?Npi=1346467495","1346467495")</f>
        <v>1346467495</v>
      </c>
      <c r="E23966" s="1" t="s">
        <v>26644</v>
      </c>
      <c r="F23966" s="2"/>
      <c r="G23966" s="2"/>
      <c r="H23966" s="2"/>
    </row>
    <row r="23967" spans="1:8" x14ac:dyDescent="0.25">
      <c r="A23967" s="1"/>
      <c r="B23967" s="1" t="s">
        <v>7328</v>
      </c>
      <c r="C23967" s="1" t="s">
        <v>7329</v>
      </c>
      <c r="D23967" s="22" t="str">
        <f>HYPERLINK("https://rhld.insurance.arkansas.gov/NPILookup?Npi=1346472941","1346472941")</f>
        <v>1346472941</v>
      </c>
      <c r="E23967" s="1" t="s">
        <v>856</v>
      </c>
      <c r="F23967" s="2"/>
      <c r="G23967" s="2"/>
      <c r="H23967" s="2"/>
    </row>
    <row r="23968" spans="1:8" x14ac:dyDescent="0.25">
      <c r="A23968" s="1"/>
      <c r="B23968" s="1" t="s">
        <v>7328</v>
      </c>
      <c r="C23968" s="1" t="s">
        <v>7329</v>
      </c>
      <c r="D23968" s="22" t="str">
        <f>HYPERLINK("https://rhld.insurance.arkansas.gov/NPILookup?Npi=1346474483","1346474483")</f>
        <v>1346474483</v>
      </c>
      <c r="E23968" s="1" t="s">
        <v>26645</v>
      </c>
      <c r="F23968" s="2"/>
      <c r="G23968" s="2"/>
      <c r="H23968" s="2"/>
    </row>
    <row r="23969" spans="1:8" x14ac:dyDescent="0.25">
      <c r="A23969" s="1"/>
      <c r="B23969" s="1" t="s">
        <v>7328</v>
      </c>
      <c r="C23969" s="1" t="s">
        <v>7329</v>
      </c>
      <c r="D23969" s="22" t="str">
        <f>HYPERLINK("https://rhld.insurance.arkansas.gov/NPILookup?Npi=1346480449","1346480449")</f>
        <v>1346480449</v>
      </c>
      <c r="E23969" s="1" t="s">
        <v>26646</v>
      </c>
      <c r="F23969" s="2"/>
      <c r="G23969" s="2"/>
      <c r="H23969" s="2"/>
    </row>
    <row r="23970" spans="1:8" x14ac:dyDescent="0.25">
      <c r="A23970" s="1"/>
      <c r="B23970" s="1" t="s">
        <v>7328</v>
      </c>
      <c r="C23970" s="1" t="s">
        <v>7329</v>
      </c>
      <c r="D23970" s="22" t="str">
        <f>HYPERLINK("https://rhld.insurance.arkansas.gov/NPILookup?Npi=1346507522","1346507522")</f>
        <v>1346507522</v>
      </c>
      <c r="E23970" s="1" t="s">
        <v>26647</v>
      </c>
      <c r="F23970" s="2"/>
      <c r="G23970" s="2"/>
      <c r="H23970" s="2"/>
    </row>
    <row r="23971" spans="1:8" x14ac:dyDescent="0.25">
      <c r="A23971" s="1"/>
      <c r="B23971" s="1" t="s">
        <v>7328</v>
      </c>
      <c r="C23971" s="1" t="s">
        <v>7329</v>
      </c>
      <c r="D23971" s="22" t="str">
        <f>HYPERLINK("https://rhld.insurance.arkansas.gov/NPILookup?Npi=1346509478","1346509478")</f>
        <v>1346509478</v>
      </c>
      <c r="E23971" s="1" t="s">
        <v>26648</v>
      </c>
      <c r="F23971" s="2"/>
      <c r="G23971" s="2"/>
      <c r="H23971" s="2"/>
    </row>
    <row r="23972" spans="1:8" x14ac:dyDescent="0.25">
      <c r="A23972" s="1"/>
      <c r="B23972" s="1" t="s">
        <v>7328</v>
      </c>
      <c r="C23972" s="1" t="s">
        <v>7329</v>
      </c>
      <c r="D23972" s="22" t="str">
        <f>HYPERLINK("https://rhld.insurance.arkansas.gov/NPILookup?Npi=1346514403","1346514403")</f>
        <v>1346514403</v>
      </c>
      <c r="E23972" s="1" t="s">
        <v>26649</v>
      </c>
      <c r="F23972" s="2"/>
      <c r="G23972" s="2"/>
      <c r="H23972" s="2"/>
    </row>
    <row r="23973" spans="1:8" x14ac:dyDescent="0.25">
      <c r="A23973" s="1"/>
      <c r="B23973" s="1" t="s">
        <v>7328</v>
      </c>
      <c r="C23973" s="1" t="s">
        <v>7329</v>
      </c>
      <c r="D23973" s="22" t="str">
        <f>HYPERLINK("https://rhld.insurance.arkansas.gov/NPILookup?Npi=1346516291","1346516291")</f>
        <v>1346516291</v>
      </c>
      <c r="E23973" s="1" t="s">
        <v>26650</v>
      </c>
      <c r="F23973" s="2"/>
      <c r="G23973" s="2"/>
      <c r="H23973" s="2"/>
    </row>
    <row r="23974" spans="1:8" x14ac:dyDescent="0.25">
      <c r="A23974" s="1"/>
      <c r="B23974" s="1" t="s">
        <v>7328</v>
      </c>
      <c r="C23974" s="1" t="s">
        <v>7329</v>
      </c>
      <c r="D23974" s="22" t="str">
        <f>HYPERLINK("https://rhld.insurance.arkansas.gov/NPILookup?Npi=1346531308","1346531308")</f>
        <v>1346531308</v>
      </c>
      <c r="E23974" s="1" t="s">
        <v>7677</v>
      </c>
      <c r="F23974" s="2"/>
      <c r="G23974" s="2"/>
      <c r="H23974" s="2"/>
    </row>
    <row r="23975" spans="1:8" x14ac:dyDescent="0.25">
      <c r="A23975" s="1"/>
      <c r="B23975" s="1" t="s">
        <v>7328</v>
      </c>
      <c r="C23975" s="1" t="s">
        <v>7329</v>
      </c>
      <c r="D23975" s="22" t="str">
        <f>HYPERLINK("https://rhld.insurance.arkansas.gov/NPILookup?Npi=1346542867","1346542867")</f>
        <v>1346542867</v>
      </c>
      <c r="E23975" s="1" t="s">
        <v>32196</v>
      </c>
      <c r="F23975" s="2"/>
      <c r="G23975" s="2"/>
      <c r="H23975" s="2"/>
    </row>
    <row r="23976" spans="1:8" x14ac:dyDescent="0.25">
      <c r="A23976" s="1"/>
      <c r="B23976" s="1" t="s">
        <v>7328</v>
      </c>
      <c r="C23976" s="1" t="s">
        <v>7329</v>
      </c>
      <c r="D23976" s="22" t="str">
        <f>HYPERLINK("https://rhld.insurance.arkansas.gov/NPILookup?Npi=1346552148","1346552148")</f>
        <v>1346552148</v>
      </c>
      <c r="E23976" s="1" t="s">
        <v>26651</v>
      </c>
      <c r="F23976" s="2"/>
      <c r="G23976" s="2"/>
      <c r="H23976" s="2"/>
    </row>
    <row r="23977" spans="1:8" x14ac:dyDescent="0.25">
      <c r="A23977" s="1"/>
      <c r="B23977" s="1" t="s">
        <v>7328</v>
      </c>
      <c r="C23977" s="1" t="s">
        <v>7329</v>
      </c>
      <c r="D23977" s="22" t="str">
        <f>HYPERLINK("https://rhld.insurance.arkansas.gov/NPILookup?Npi=1346556511","1346556511")</f>
        <v>1346556511</v>
      </c>
      <c r="E23977" s="1" t="s">
        <v>12995</v>
      </c>
      <c r="F23977" s="2"/>
      <c r="G23977" s="2"/>
      <c r="H23977" s="2"/>
    </row>
    <row r="23978" spans="1:8" x14ac:dyDescent="0.25">
      <c r="A23978" s="1"/>
      <c r="B23978" s="1" t="s">
        <v>7328</v>
      </c>
      <c r="C23978" s="1" t="s">
        <v>7329</v>
      </c>
      <c r="D23978" s="22" t="str">
        <f>HYPERLINK("https://rhld.insurance.arkansas.gov/NPILookup?Npi=1346561461","1346561461")</f>
        <v>1346561461</v>
      </c>
      <c r="E23978" s="1" t="s">
        <v>26652</v>
      </c>
      <c r="F23978" s="2"/>
      <c r="G23978" s="2"/>
      <c r="H23978" s="2"/>
    </row>
    <row r="23979" spans="1:8" x14ac:dyDescent="0.25">
      <c r="A23979" s="1"/>
      <c r="B23979" s="1" t="s">
        <v>7328</v>
      </c>
      <c r="C23979" s="1" t="s">
        <v>7329</v>
      </c>
      <c r="D23979" s="22" t="str">
        <f>HYPERLINK("https://rhld.insurance.arkansas.gov/NPILookup?Npi=1346580628","1346580628")</f>
        <v>1346580628</v>
      </c>
      <c r="E23979" s="1" t="s">
        <v>26653</v>
      </c>
      <c r="F23979" s="2"/>
      <c r="G23979" s="2"/>
      <c r="H23979" s="2"/>
    </row>
    <row r="23980" spans="1:8" x14ac:dyDescent="0.25">
      <c r="A23980" s="1"/>
      <c r="B23980" s="1" t="s">
        <v>7328</v>
      </c>
      <c r="C23980" s="1" t="s">
        <v>7329</v>
      </c>
      <c r="D23980" s="22" t="str">
        <f>HYPERLINK("https://rhld.insurance.arkansas.gov/NPILookup?Npi=1346583887","1346583887")</f>
        <v>1346583887</v>
      </c>
      <c r="E23980" s="1" t="s">
        <v>12996</v>
      </c>
      <c r="F23980" s="2"/>
      <c r="G23980" s="2"/>
      <c r="H23980" s="2"/>
    </row>
    <row r="23981" spans="1:8" x14ac:dyDescent="0.25">
      <c r="A23981" s="1"/>
      <c r="B23981" s="1" t="s">
        <v>7328</v>
      </c>
      <c r="C23981" s="1" t="s">
        <v>7329</v>
      </c>
      <c r="D23981" s="22" t="str">
        <f>HYPERLINK("https://rhld.insurance.arkansas.gov/NPILookup?Npi=1346587540","1346587540")</f>
        <v>1346587540</v>
      </c>
      <c r="E23981" s="1" t="s">
        <v>26654</v>
      </c>
      <c r="F23981" s="2"/>
      <c r="G23981" s="2"/>
      <c r="H23981" s="2"/>
    </row>
    <row r="23982" spans="1:8" x14ac:dyDescent="0.25">
      <c r="A23982" s="1"/>
      <c r="B23982" s="1" t="s">
        <v>7328</v>
      </c>
      <c r="C23982" s="1" t="s">
        <v>7329</v>
      </c>
      <c r="D23982" s="22" t="str">
        <f>HYPERLINK("https://rhld.insurance.arkansas.gov/NPILookup?Npi=1346587599","1346587599")</f>
        <v>1346587599</v>
      </c>
      <c r="E23982" s="1" t="s">
        <v>32197</v>
      </c>
      <c r="F23982" s="2"/>
      <c r="G23982" s="2"/>
      <c r="H23982" s="2"/>
    </row>
    <row r="23983" spans="1:8" x14ac:dyDescent="0.25">
      <c r="A23983" s="1"/>
      <c r="B23983" s="1" t="s">
        <v>7328</v>
      </c>
      <c r="C23983" s="1" t="s">
        <v>7329</v>
      </c>
      <c r="D23983" s="22" t="str">
        <f>HYPERLINK("https://rhld.insurance.arkansas.gov/NPILookup?Npi=1346593852","1346593852")</f>
        <v>1346593852</v>
      </c>
      <c r="E23983" s="1" t="s">
        <v>26655</v>
      </c>
      <c r="F23983" s="2"/>
      <c r="G23983" s="2"/>
      <c r="H23983" s="2"/>
    </row>
    <row r="23984" spans="1:8" x14ac:dyDescent="0.25">
      <c r="A23984" s="1"/>
      <c r="B23984" s="1" t="s">
        <v>7328</v>
      </c>
      <c r="C23984" s="1" t="s">
        <v>7329</v>
      </c>
      <c r="D23984" s="22" t="str">
        <f>HYPERLINK("https://rhld.insurance.arkansas.gov/NPILookup?Npi=1346595014","1346595014")</f>
        <v>1346595014</v>
      </c>
      <c r="E23984" s="1" t="s">
        <v>26656</v>
      </c>
      <c r="F23984" s="2"/>
      <c r="G23984" s="2"/>
      <c r="H23984" s="2"/>
    </row>
    <row r="23985" spans="1:8" x14ac:dyDescent="0.25">
      <c r="A23985" s="1"/>
      <c r="B23985" s="1" t="s">
        <v>7328</v>
      </c>
      <c r="C23985" s="1" t="s">
        <v>7329</v>
      </c>
      <c r="D23985" s="22" t="str">
        <f>HYPERLINK("https://rhld.insurance.arkansas.gov/NPILookup?Npi=1346603552","1346603552")</f>
        <v>1346603552</v>
      </c>
      <c r="E23985" s="1" t="s">
        <v>2784</v>
      </c>
      <c r="F23985" s="2"/>
      <c r="G23985" s="2"/>
      <c r="H23985" s="2"/>
    </row>
    <row r="23986" spans="1:8" x14ac:dyDescent="0.25">
      <c r="A23986" s="1"/>
      <c r="B23986" s="1" t="s">
        <v>7328</v>
      </c>
      <c r="C23986" s="1" t="s">
        <v>7329</v>
      </c>
      <c r="D23986" s="22" t="str">
        <f>HYPERLINK("https://rhld.insurance.arkansas.gov/NPILookup?Npi=1346625993","1346625993")</f>
        <v>1346625993</v>
      </c>
      <c r="E23986" s="1" t="s">
        <v>7678</v>
      </c>
      <c r="F23986" s="2"/>
      <c r="G23986" s="2"/>
      <c r="H23986" s="2"/>
    </row>
    <row r="23987" spans="1:8" x14ac:dyDescent="0.25">
      <c r="A23987" s="1"/>
      <c r="B23987" s="1" t="s">
        <v>7328</v>
      </c>
      <c r="C23987" s="1" t="s">
        <v>7329</v>
      </c>
      <c r="D23987" s="22" t="str">
        <f>HYPERLINK("https://rhld.insurance.arkansas.gov/NPILookup?Npi=1346639283","1346639283")</f>
        <v>1346639283</v>
      </c>
      <c r="E23987" s="1" t="s">
        <v>12997</v>
      </c>
      <c r="F23987" s="2"/>
      <c r="G23987" s="2"/>
      <c r="H23987" s="2"/>
    </row>
    <row r="23988" spans="1:8" x14ac:dyDescent="0.25">
      <c r="A23988" s="1"/>
      <c r="B23988" s="1" t="s">
        <v>7328</v>
      </c>
      <c r="C23988" s="1" t="s">
        <v>7329</v>
      </c>
      <c r="D23988" s="22" t="str">
        <f>HYPERLINK("https://rhld.insurance.arkansas.gov/NPILookup?Npi=1346654415","1346654415")</f>
        <v>1346654415</v>
      </c>
      <c r="E23988" s="1" t="s">
        <v>26657</v>
      </c>
      <c r="F23988" s="2"/>
      <c r="G23988" s="2"/>
      <c r="H23988" s="2"/>
    </row>
    <row r="23989" spans="1:8" x14ac:dyDescent="0.25">
      <c r="A23989" s="1"/>
      <c r="B23989" s="1" t="s">
        <v>7328</v>
      </c>
      <c r="C23989" s="1" t="s">
        <v>7329</v>
      </c>
      <c r="D23989" s="22" t="str">
        <f>HYPERLINK("https://rhld.insurance.arkansas.gov/NPILookup?Npi=1346655636","1346655636")</f>
        <v>1346655636</v>
      </c>
      <c r="E23989" s="1" t="s">
        <v>17448</v>
      </c>
      <c r="F23989" s="2"/>
      <c r="G23989" s="2"/>
      <c r="H23989" s="2"/>
    </row>
    <row r="23990" spans="1:8" x14ac:dyDescent="0.25">
      <c r="A23990" s="1"/>
      <c r="B23990" s="1" t="s">
        <v>7328</v>
      </c>
      <c r="C23990" s="1" t="s">
        <v>7329</v>
      </c>
      <c r="D23990" s="22" t="str">
        <f>HYPERLINK("https://rhld.insurance.arkansas.gov/NPILookup?Npi=1346659505","1346659505")</f>
        <v>1346659505</v>
      </c>
      <c r="E23990" s="1" t="s">
        <v>26658</v>
      </c>
      <c r="F23990" s="2"/>
      <c r="G23990" s="2"/>
      <c r="H23990" s="2"/>
    </row>
    <row r="23991" spans="1:8" x14ac:dyDescent="0.25">
      <c r="A23991" s="1"/>
      <c r="B23991" s="1" t="s">
        <v>7328</v>
      </c>
      <c r="C23991" s="1" t="s">
        <v>7329</v>
      </c>
      <c r="D23991" s="22" t="str">
        <f>HYPERLINK("https://rhld.insurance.arkansas.gov/NPILookup?Npi=1346660537","1346660537")</f>
        <v>1346660537</v>
      </c>
      <c r="E23991" s="1" t="s">
        <v>2785</v>
      </c>
      <c r="F23991" s="2"/>
      <c r="G23991" s="2"/>
      <c r="H23991" s="2"/>
    </row>
    <row r="23992" spans="1:8" x14ac:dyDescent="0.25">
      <c r="A23992" s="1"/>
      <c r="B23992" s="1" t="s">
        <v>7328</v>
      </c>
      <c r="C23992" s="1" t="s">
        <v>7329</v>
      </c>
      <c r="D23992" s="22" t="str">
        <f>HYPERLINK("https://rhld.insurance.arkansas.gov/NPILookup?Npi=1346664166","1346664166")</f>
        <v>1346664166</v>
      </c>
      <c r="E23992" s="1" t="s">
        <v>12998</v>
      </c>
      <c r="F23992" s="2"/>
      <c r="G23992" s="2"/>
      <c r="H23992" s="2"/>
    </row>
    <row r="23993" spans="1:8" x14ac:dyDescent="0.25">
      <c r="A23993" s="1"/>
      <c r="B23993" s="1" t="s">
        <v>7328</v>
      </c>
      <c r="C23993" s="1" t="s">
        <v>7329</v>
      </c>
      <c r="D23993" s="22" t="str">
        <f>HYPERLINK("https://rhld.insurance.arkansas.gov/NPILookup?Npi=1346679388","1346679388")</f>
        <v>1346679388</v>
      </c>
      <c r="E23993" s="1" t="s">
        <v>26659</v>
      </c>
      <c r="F23993" s="2"/>
      <c r="G23993" s="2"/>
      <c r="H23993" s="2"/>
    </row>
    <row r="23994" spans="1:8" x14ac:dyDescent="0.25">
      <c r="A23994" s="1"/>
      <c r="B23994" s="1" t="s">
        <v>7328</v>
      </c>
      <c r="C23994" s="1" t="s">
        <v>7329</v>
      </c>
      <c r="D23994" s="22" t="str">
        <f>HYPERLINK("https://rhld.insurance.arkansas.gov/NPILookup?Npi=1346680329","1346680329")</f>
        <v>1346680329</v>
      </c>
      <c r="E23994" s="1" t="s">
        <v>12999</v>
      </c>
      <c r="F23994" s="2"/>
      <c r="G23994" s="2"/>
      <c r="H23994" s="2"/>
    </row>
    <row r="23995" spans="1:8" x14ac:dyDescent="0.25">
      <c r="A23995" s="1"/>
      <c r="B23995" s="1" t="s">
        <v>7328</v>
      </c>
      <c r="C23995" s="1" t="s">
        <v>7329</v>
      </c>
      <c r="D23995" s="22" t="str">
        <f>HYPERLINK("https://rhld.insurance.arkansas.gov/NPILookup?Npi=1346684594","1346684594")</f>
        <v>1346684594</v>
      </c>
      <c r="E23995" s="1" t="s">
        <v>26660</v>
      </c>
      <c r="F23995" s="2"/>
      <c r="G23995" s="2"/>
      <c r="H23995" s="2"/>
    </row>
    <row r="23996" spans="1:8" x14ac:dyDescent="0.25">
      <c r="A23996" s="1"/>
      <c r="B23996" s="1" t="s">
        <v>7328</v>
      </c>
      <c r="C23996" s="1" t="s">
        <v>7329</v>
      </c>
      <c r="D23996" s="22" t="str">
        <f>HYPERLINK("https://rhld.insurance.arkansas.gov/NPILookup?Npi=1346687423","1346687423")</f>
        <v>1346687423</v>
      </c>
      <c r="E23996" s="1" t="s">
        <v>26661</v>
      </c>
      <c r="F23996" s="2"/>
      <c r="G23996" s="2"/>
      <c r="H23996" s="2"/>
    </row>
    <row r="23997" spans="1:8" x14ac:dyDescent="0.25">
      <c r="A23997" s="1"/>
      <c r="B23997" s="1" t="s">
        <v>7328</v>
      </c>
      <c r="C23997" s="1" t="s">
        <v>7329</v>
      </c>
      <c r="D23997" s="22" t="str">
        <f>HYPERLINK("https://rhld.insurance.arkansas.gov/NPILookup?Npi=1346693710","1346693710")</f>
        <v>1346693710</v>
      </c>
      <c r="E23997" s="1" t="s">
        <v>26662</v>
      </c>
      <c r="F23997" s="2"/>
      <c r="G23997" s="2"/>
      <c r="H23997" s="2"/>
    </row>
    <row r="23998" spans="1:8" x14ac:dyDescent="0.25">
      <c r="A23998" s="1"/>
      <c r="B23998" s="1" t="s">
        <v>7328</v>
      </c>
      <c r="C23998" s="1" t="s">
        <v>7329</v>
      </c>
      <c r="D23998" s="22" t="str">
        <f>HYPERLINK("https://rhld.insurance.arkansas.gov/NPILookup?Npi=1346699329","1346699329")</f>
        <v>1346699329</v>
      </c>
      <c r="E23998" s="1" t="s">
        <v>26663</v>
      </c>
      <c r="F23998" s="2"/>
      <c r="G23998" s="2"/>
      <c r="H23998" s="2"/>
    </row>
    <row r="23999" spans="1:8" x14ac:dyDescent="0.25">
      <c r="A23999" s="1"/>
      <c r="B23999" s="1" t="s">
        <v>7328</v>
      </c>
      <c r="C23999" s="1" t="s">
        <v>7329</v>
      </c>
      <c r="D23999" s="22" t="str">
        <f>HYPERLINK("https://rhld.insurance.arkansas.gov/NPILookup?Npi=1346707528","1346707528")</f>
        <v>1346707528</v>
      </c>
      <c r="E23999" s="1" t="s">
        <v>26664</v>
      </c>
      <c r="F23999" s="2"/>
      <c r="G23999" s="2"/>
      <c r="H23999" s="2"/>
    </row>
    <row r="24000" spans="1:8" x14ac:dyDescent="0.25">
      <c r="A24000" s="1"/>
      <c r="B24000" s="1" t="s">
        <v>7328</v>
      </c>
      <c r="C24000" s="1" t="s">
        <v>7329</v>
      </c>
      <c r="D24000" s="22" t="str">
        <f>HYPERLINK("https://rhld.insurance.arkansas.gov/NPILookup?Npi=1346707981","1346707981")</f>
        <v>1346707981</v>
      </c>
      <c r="E24000" s="1" t="s">
        <v>26665</v>
      </c>
      <c r="F24000" s="2"/>
      <c r="G24000" s="2"/>
      <c r="H24000" s="2"/>
    </row>
    <row r="24001" spans="1:8" x14ac:dyDescent="0.25">
      <c r="A24001" s="1"/>
      <c r="B24001" s="1" t="s">
        <v>7328</v>
      </c>
      <c r="C24001" s="1" t="s">
        <v>7329</v>
      </c>
      <c r="D24001" s="22" t="str">
        <f>HYPERLINK("https://rhld.insurance.arkansas.gov/NPILookup?Npi=1346713948","1346713948")</f>
        <v>1346713948</v>
      </c>
      <c r="E24001" s="1" t="s">
        <v>26666</v>
      </c>
      <c r="F24001" s="2"/>
      <c r="G24001" s="2"/>
      <c r="H24001" s="2"/>
    </row>
    <row r="24002" spans="1:8" x14ac:dyDescent="0.25">
      <c r="A24002" s="1"/>
      <c r="B24002" s="1" t="s">
        <v>7328</v>
      </c>
      <c r="C24002" s="1" t="s">
        <v>7329</v>
      </c>
      <c r="D24002" s="22" t="str">
        <f>HYPERLINK("https://rhld.insurance.arkansas.gov/NPILookup?Npi=1346724887","1346724887")</f>
        <v>1346724887</v>
      </c>
      <c r="E24002" s="1" t="s">
        <v>2786</v>
      </c>
      <c r="F24002" s="2"/>
      <c r="G24002" s="2"/>
      <c r="H24002" s="2"/>
    </row>
    <row r="24003" spans="1:8" x14ac:dyDescent="0.25">
      <c r="A24003" s="1"/>
      <c r="B24003" s="1" t="s">
        <v>7328</v>
      </c>
      <c r="C24003" s="1" t="s">
        <v>7329</v>
      </c>
      <c r="D24003" s="22" t="str">
        <f>HYPERLINK("https://rhld.insurance.arkansas.gov/NPILookup?Npi=1346728953","1346728953")</f>
        <v>1346728953</v>
      </c>
      <c r="E24003" s="1" t="s">
        <v>26667</v>
      </c>
      <c r="F24003" s="2"/>
      <c r="G24003" s="2"/>
      <c r="H24003" s="2"/>
    </row>
    <row r="24004" spans="1:8" x14ac:dyDescent="0.25">
      <c r="A24004" s="1"/>
      <c r="B24004" s="1" t="s">
        <v>7328</v>
      </c>
      <c r="C24004" s="1" t="s">
        <v>7329</v>
      </c>
      <c r="D24004" s="22" t="str">
        <f>HYPERLINK("https://rhld.insurance.arkansas.gov/NPILookup?Npi=1346731932","1346731932")</f>
        <v>1346731932</v>
      </c>
      <c r="E24004" s="1" t="s">
        <v>26668</v>
      </c>
      <c r="F24004" s="2"/>
      <c r="G24004" s="2"/>
      <c r="H24004" s="2"/>
    </row>
    <row r="24005" spans="1:8" x14ac:dyDescent="0.25">
      <c r="A24005" s="1"/>
      <c r="B24005" s="1" t="s">
        <v>7328</v>
      </c>
      <c r="C24005" s="1" t="s">
        <v>7329</v>
      </c>
      <c r="D24005" s="22" t="str">
        <f>HYPERLINK("https://rhld.insurance.arkansas.gov/NPILookup?Npi=1346736717","1346736717")</f>
        <v>1346736717</v>
      </c>
      <c r="E24005" s="1" t="s">
        <v>13000</v>
      </c>
      <c r="F24005" s="2"/>
      <c r="G24005" s="2"/>
      <c r="H24005" s="2"/>
    </row>
    <row r="24006" spans="1:8" x14ac:dyDescent="0.25">
      <c r="A24006" s="1"/>
      <c r="B24006" s="1" t="s">
        <v>7328</v>
      </c>
      <c r="C24006" s="1" t="s">
        <v>7329</v>
      </c>
      <c r="D24006" s="22" t="str">
        <f>HYPERLINK("https://rhld.insurance.arkansas.gov/NPILookup?Npi=1346736873","1346736873")</f>
        <v>1346736873</v>
      </c>
      <c r="E24006" s="1" t="s">
        <v>1214</v>
      </c>
      <c r="F24006" s="2"/>
      <c r="G24006" s="2"/>
      <c r="H24006" s="2"/>
    </row>
    <row r="24007" spans="1:8" x14ac:dyDescent="0.25">
      <c r="A24007" s="1"/>
      <c r="B24007" s="1" t="s">
        <v>7328</v>
      </c>
      <c r="C24007" s="1" t="s">
        <v>7329</v>
      </c>
      <c r="D24007" s="22" t="str">
        <f>HYPERLINK("https://rhld.insurance.arkansas.gov/NPILookup?Npi=1346749504","1346749504")</f>
        <v>1346749504</v>
      </c>
      <c r="E24007" s="1" t="s">
        <v>13001</v>
      </c>
      <c r="F24007" s="2"/>
      <c r="G24007" s="2"/>
      <c r="H24007" s="2"/>
    </row>
    <row r="24008" spans="1:8" x14ac:dyDescent="0.25">
      <c r="A24008" s="1"/>
      <c r="B24008" s="1" t="s">
        <v>7328</v>
      </c>
      <c r="C24008" s="1" t="s">
        <v>7329</v>
      </c>
      <c r="D24008" s="22" t="str">
        <f>HYPERLINK("https://rhld.insurance.arkansas.gov/NPILookup?Npi=1346752151","1346752151")</f>
        <v>1346752151</v>
      </c>
      <c r="E24008" s="1" t="s">
        <v>26669</v>
      </c>
      <c r="F24008" s="2"/>
      <c r="G24008" s="2"/>
      <c r="H24008" s="2"/>
    </row>
    <row r="24009" spans="1:8" x14ac:dyDescent="0.25">
      <c r="A24009" s="1"/>
      <c r="B24009" s="1" t="s">
        <v>7328</v>
      </c>
      <c r="C24009" s="1" t="s">
        <v>7329</v>
      </c>
      <c r="D24009" s="22" t="str">
        <f>HYPERLINK("https://rhld.insurance.arkansas.gov/NPILookup?Npi=1346769155","1346769155")</f>
        <v>1346769155</v>
      </c>
      <c r="E24009" s="1" t="s">
        <v>26670</v>
      </c>
      <c r="F24009" s="2"/>
      <c r="G24009" s="2"/>
      <c r="H24009" s="2"/>
    </row>
    <row r="24010" spans="1:8" x14ac:dyDescent="0.25">
      <c r="A24010" s="1"/>
      <c r="B24010" s="1" t="s">
        <v>7328</v>
      </c>
      <c r="C24010" s="1" t="s">
        <v>7329</v>
      </c>
      <c r="D24010" s="22" t="str">
        <f>HYPERLINK("https://rhld.insurance.arkansas.gov/NPILookup?Npi=1346772050","1346772050")</f>
        <v>1346772050</v>
      </c>
      <c r="E24010" s="1" t="s">
        <v>26671</v>
      </c>
      <c r="F24010" s="2"/>
      <c r="G24010" s="2"/>
      <c r="H24010" s="2"/>
    </row>
    <row r="24011" spans="1:8" x14ac:dyDescent="0.25">
      <c r="A24011" s="1"/>
      <c r="B24011" s="1" t="s">
        <v>7328</v>
      </c>
      <c r="C24011" s="1" t="s">
        <v>7329</v>
      </c>
      <c r="D24011" s="22" t="str">
        <f>HYPERLINK("https://rhld.insurance.arkansas.gov/NPILookup?Npi=1346781325","1346781325")</f>
        <v>1346781325</v>
      </c>
      <c r="E24011" s="1" t="s">
        <v>26672</v>
      </c>
      <c r="F24011" s="2"/>
      <c r="G24011" s="2"/>
      <c r="H24011" s="2"/>
    </row>
    <row r="24012" spans="1:8" x14ac:dyDescent="0.25">
      <c r="A24012" s="1"/>
      <c r="B24012" s="1" t="s">
        <v>7328</v>
      </c>
      <c r="C24012" s="1" t="s">
        <v>7329</v>
      </c>
      <c r="D24012" s="22" t="str">
        <f>HYPERLINK("https://rhld.insurance.arkansas.gov/NPILookup?Npi=1346789724","1346789724")</f>
        <v>1346789724</v>
      </c>
      <c r="E24012" s="1" t="s">
        <v>26673</v>
      </c>
      <c r="F24012" s="2"/>
      <c r="G24012" s="2"/>
      <c r="H24012" s="2"/>
    </row>
    <row r="24013" spans="1:8" x14ac:dyDescent="0.25">
      <c r="A24013" s="1"/>
      <c r="B24013" s="1" t="s">
        <v>7328</v>
      </c>
      <c r="C24013" s="1" t="s">
        <v>7329</v>
      </c>
      <c r="D24013" s="22" t="str">
        <f>HYPERLINK("https://rhld.insurance.arkansas.gov/NPILookup?Npi=1346804812","1346804812")</f>
        <v>1346804812</v>
      </c>
      <c r="E24013" s="1" t="s">
        <v>26674</v>
      </c>
      <c r="F24013" s="2"/>
      <c r="G24013" s="2"/>
      <c r="H24013" s="2"/>
    </row>
    <row r="24014" spans="1:8" x14ac:dyDescent="0.25">
      <c r="A24014" s="1"/>
      <c r="B24014" s="1" t="s">
        <v>7328</v>
      </c>
      <c r="C24014" s="1" t="s">
        <v>7329</v>
      </c>
      <c r="D24014" s="22" t="str">
        <f>HYPERLINK("https://rhld.insurance.arkansas.gov/NPILookup?Npi=1346816543","1346816543")</f>
        <v>1346816543</v>
      </c>
      <c r="E24014" s="1" t="s">
        <v>26675</v>
      </c>
      <c r="F24014" s="2"/>
      <c r="G24014" s="2"/>
      <c r="H24014" s="2"/>
    </row>
    <row r="24015" spans="1:8" x14ac:dyDescent="0.25">
      <c r="A24015" s="1"/>
      <c r="B24015" s="1" t="s">
        <v>7328</v>
      </c>
      <c r="C24015" s="1" t="s">
        <v>7329</v>
      </c>
      <c r="D24015" s="22" t="str">
        <f>HYPERLINK("https://rhld.insurance.arkansas.gov/NPILookup?Npi=1346822384","1346822384")</f>
        <v>1346822384</v>
      </c>
      <c r="E24015" s="1" t="s">
        <v>32198</v>
      </c>
      <c r="F24015" s="2"/>
      <c r="G24015" s="2"/>
      <c r="H24015" s="2"/>
    </row>
    <row r="24016" spans="1:8" x14ac:dyDescent="0.25">
      <c r="A24016" s="1"/>
      <c r="B24016" s="1" t="s">
        <v>7328</v>
      </c>
      <c r="C24016" s="1" t="s">
        <v>7329</v>
      </c>
      <c r="D24016" s="22" t="str">
        <f>HYPERLINK("https://rhld.insurance.arkansas.gov/NPILookup?Npi=1346831138","1346831138")</f>
        <v>1346831138</v>
      </c>
      <c r="E24016" s="1" t="s">
        <v>7679</v>
      </c>
      <c r="F24016" s="2"/>
      <c r="G24016" s="2"/>
      <c r="H24016" s="2"/>
    </row>
    <row r="24017" spans="1:8" x14ac:dyDescent="0.25">
      <c r="A24017" s="1"/>
      <c r="B24017" s="1" t="s">
        <v>7328</v>
      </c>
      <c r="C24017" s="1" t="s">
        <v>7329</v>
      </c>
      <c r="D24017" s="22" t="str">
        <f>HYPERLINK("https://rhld.insurance.arkansas.gov/NPILookup?Npi=1346838414","1346838414")</f>
        <v>1346838414</v>
      </c>
      <c r="E24017" s="1" t="s">
        <v>2787</v>
      </c>
      <c r="F24017" s="2"/>
      <c r="G24017" s="2"/>
      <c r="H24017" s="2"/>
    </row>
    <row r="24018" spans="1:8" x14ac:dyDescent="0.25">
      <c r="A24018" s="1"/>
      <c r="B24018" s="1" t="s">
        <v>7328</v>
      </c>
      <c r="C24018" s="1" t="s">
        <v>7329</v>
      </c>
      <c r="D24018" s="22" t="str">
        <f>HYPERLINK("https://rhld.insurance.arkansas.gov/NPILookup?Npi=1346856366","1346856366")</f>
        <v>1346856366</v>
      </c>
      <c r="E24018" s="1" t="s">
        <v>26676</v>
      </c>
      <c r="F24018" s="2"/>
      <c r="G24018" s="2"/>
      <c r="H24018" s="2"/>
    </row>
    <row r="24019" spans="1:8" x14ac:dyDescent="0.25">
      <c r="A24019" s="1"/>
      <c r="B24019" s="1" t="s">
        <v>7328</v>
      </c>
      <c r="C24019" s="1" t="s">
        <v>7329</v>
      </c>
      <c r="D24019" s="22" t="str">
        <f>HYPERLINK("https://rhld.insurance.arkansas.gov/NPILookup?Npi=1346859147","1346859147")</f>
        <v>1346859147</v>
      </c>
      <c r="E24019" s="1" t="s">
        <v>1636</v>
      </c>
      <c r="F24019" s="2"/>
      <c r="G24019" s="2"/>
      <c r="H24019" s="2"/>
    </row>
    <row r="24020" spans="1:8" x14ac:dyDescent="0.25">
      <c r="A24020" s="1"/>
      <c r="B24020" s="1" t="s">
        <v>7328</v>
      </c>
      <c r="C24020" s="1" t="s">
        <v>7329</v>
      </c>
      <c r="D24020" s="22" t="str">
        <f>HYPERLINK("https://rhld.insurance.arkansas.gov/NPILookup?Npi=1346874609","1346874609")</f>
        <v>1346874609</v>
      </c>
      <c r="E24020" s="1" t="s">
        <v>26677</v>
      </c>
      <c r="F24020" s="2"/>
      <c r="G24020" s="2"/>
      <c r="H24020" s="2"/>
    </row>
    <row r="24021" spans="1:8" x14ac:dyDescent="0.25">
      <c r="A24021" s="1"/>
      <c r="B24021" s="1" t="s">
        <v>7328</v>
      </c>
      <c r="C24021" s="1" t="s">
        <v>7329</v>
      </c>
      <c r="D24021" s="22" t="str">
        <f>HYPERLINK("https://rhld.insurance.arkansas.gov/NPILookup?Npi=1346874716","1346874716")</f>
        <v>1346874716</v>
      </c>
      <c r="E24021" s="1" t="s">
        <v>7680</v>
      </c>
      <c r="F24021" s="2"/>
      <c r="G24021" s="2"/>
      <c r="H24021" s="2"/>
    </row>
    <row r="24022" spans="1:8" x14ac:dyDescent="0.25">
      <c r="A24022" s="1"/>
      <c r="B24022" s="1" t="s">
        <v>7328</v>
      </c>
      <c r="C24022" s="1" t="s">
        <v>7329</v>
      </c>
      <c r="D24022" s="22" t="str">
        <f>HYPERLINK("https://rhld.insurance.arkansas.gov/NPILookup?Npi=1346878717","1346878717")</f>
        <v>1346878717</v>
      </c>
      <c r="E24022" s="1" t="s">
        <v>17449</v>
      </c>
      <c r="F24022" s="2"/>
      <c r="G24022" s="2"/>
      <c r="H24022" s="2"/>
    </row>
    <row r="24023" spans="1:8" x14ac:dyDescent="0.25">
      <c r="A24023" s="1"/>
      <c r="B24023" s="1" t="s">
        <v>7328</v>
      </c>
      <c r="C24023" s="1" t="s">
        <v>7329</v>
      </c>
      <c r="D24023" s="22" t="str">
        <f>HYPERLINK("https://rhld.insurance.arkansas.gov/NPILookup?Npi=1346879079","1346879079")</f>
        <v>1346879079</v>
      </c>
      <c r="E24023" s="1" t="s">
        <v>32199</v>
      </c>
      <c r="F24023" s="2"/>
      <c r="G24023" s="2"/>
      <c r="H24023" s="2"/>
    </row>
    <row r="24024" spans="1:8" x14ac:dyDescent="0.25">
      <c r="A24024" s="1"/>
      <c r="B24024" s="1" t="s">
        <v>7328</v>
      </c>
      <c r="C24024" s="1" t="s">
        <v>7329</v>
      </c>
      <c r="D24024" s="22" t="str">
        <f>HYPERLINK("https://rhld.insurance.arkansas.gov/NPILookup?Npi=1346896123","1346896123")</f>
        <v>1346896123</v>
      </c>
      <c r="E24024" s="1" t="s">
        <v>26678</v>
      </c>
      <c r="F24024" s="2"/>
      <c r="G24024" s="2"/>
      <c r="H24024" s="2"/>
    </row>
    <row r="24025" spans="1:8" x14ac:dyDescent="0.25">
      <c r="A24025" s="1"/>
      <c r="B24025" s="1" t="s">
        <v>7328</v>
      </c>
      <c r="C24025" s="1" t="s">
        <v>7329</v>
      </c>
      <c r="D24025" s="22" t="str">
        <f>HYPERLINK("https://rhld.insurance.arkansas.gov/NPILookup?Npi=1346928975","1346928975")</f>
        <v>1346928975</v>
      </c>
      <c r="E24025" s="1" t="s">
        <v>26679</v>
      </c>
      <c r="F24025" s="2"/>
      <c r="G24025" s="2"/>
      <c r="H24025" s="2"/>
    </row>
    <row r="24026" spans="1:8" x14ac:dyDescent="0.25">
      <c r="A24026" s="1"/>
      <c r="B24026" s="1" t="s">
        <v>7328</v>
      </c>
      <c r="C24026" s="1" t="s">
        <v>7329</v>
      </c>
      <c r="D24026" s="22" t="str">
        <f>HYPERLINK("https://rhld.insurance.arkansas.gov/NPILookup?Npi=1346963519","1346963519")</f>
        <v>1346963519</v>
      </c>
      <c r="E24026" s="1" t="s">
        <v>26680</v>
      </c>
      <c r="F24026" s="2"/>
      <c r="G24026" s="2"/>
      <c r="H24026" s="2"/>
    </row>
    <row r="24027" spans="1:8" x14ac:dyDescent="0.25">
      <c r="A24027" s="1"/>
      <c r="B24027" s="1" t="s">
        <v>7328</v>
      </c>
      <c r="C24027" s="1" t="s">
        <v>7329</v>
      </c>
      <c r="D24027" s="22" t="str">
        <f>HYPERLINK("https://rhld.insurance.arkansas.gov/NPILookup?Npi=1346972437","1346972437")</f>
        <v>1346972437</v>
      </c>
      <c r="E24027" s="1" t="s">
        <v>26681</v>
      </c>
      <c r="F24027" s="2"/>
      <c r="G24027" s="2"/>
      <c r="H24027" s="2"/>
    </row>
    <row r="24028" spans="1:8" x14ac:dyDescent="0.25">
      <c r="A24028" s="1"/>
      <c r="B24028" s="1" t="s">
        <v>7328</v>
      </c>
      <c r="C24028" s="1" t="s">
        <v>7329</v>
      </c>
      <c r="D24028" s="22" t="str">
        <f>HYPERLINK("https://rhld.insurance.arkansas.gov/NPILookup?Npi=1346989787","1346989787")</f>
        <v>1346989787</v>
      </c>
      <c r="E24028" s="1" t="s">
        <v>7681</v>
      </c>
      <c r="F24028" s="2"/>
      <c r="G24028" s="2"/>
      <c r="H24028" s="2"/>
    </row>
    <row r="24029" spans="1:8" x14ac:dyDescent="0.25">
      <c r="A24029" s="1"/>
      <c r="B24029" s="1" t="s">
        <v>7328</v>
      </c>
      <c r="C24029" s="1" t="s">
        <v>7329</v>
      </c>
      <c r="D24029" s="22" t="str">
        <f>HYPERLINK("https://rhld.insurance.arkansas.gov/NPILookup?Npi=1346993441","1346993441")</f>
        <v>1346993441</v>
      </c>
      <c r="E24029" s="1" t="s">
        <v>26682</v>
      </c>
      <c r="F24029" s="2"/>
      <c r="G24029" s="2"/>
      <c r="H24029" s="2"/>
    </row>
    <row r="24030" spans="1:8" x14ac:dyDescent="0.25">
      <c r="A24030" s="1"/>
      <c r="B24030" s="1" t="s">
        <v>7328</v>
      </c>
      <c r="C24030" s="1" t="s">
        <v>7329</v>
      </c>
      <c r="D24030" s="22" t="str">
        <f>HYPERLINK("https://rhld.insurance.arkansas.gov/NPILookup?Npi=1346994654","1346994654")</f>
        <v>1346994654</v>
      </c>
      <c r="E24030" s="1" t="s">
        <v>7682</v>
      </c>
      <c r="F24030" s="2"/>
      <c r="G24030" s="2"/>
      <c r="H24030" s="2"/>
    </row>
    <row r="24031" spans="1:8" x14ac:dyDescent="0.25">
      <c r="A24031" s="1"/>
      <c r="B24031" s="1" t="s">
        <v>7328</v>
      </c>
      <c r="C24031" s="1" t="s">
        <v>7329</v>
      </c>
      <c r="D24031" s="22" t="str">
        <f>HYPERLINK("https://rhld.insurance.arkansas.gov/NPILookup?Npi=1356005250","1356005250")</f>
        <v>1356005250</v>
      </c>
      <c r="E24031" s="1" t="s">
        <v>13002</v>
      </c>
      <c r="F24031" s="2"/>
      <c r="G24031" s="2"/>
      <c r="H24031" s="2"/>
    </row>
    <row r="24032" spans="1:8" x14ac:dyDescent="0.25">
      <c r="A24032" s="1"/>
      <c r="B24032" s="1" t="s">
        <v>7328</v>
      </c>
      <c r="C24032" s="1" t="s">
        <v>7329</v>
      </c>
      <c r="D24032" s="22" t="str">
        <f>HYPERLINK("https://rhld.insurance.arkansas.gov/NPILookup?Npi=1356008668","1356008668")</f>
        <v>1356008668</v>
      </c>
      <c r="E24032" s="1" t="s">
        <v>6202</v>
      </c>
      <c r="F24032" s="2"/>
      <c r="G24032" s="2"/>
      <c r="H24032" s="2"/>
    </row>
    <row r="24033" spans="1:8" x14ac:dyDescent="0.25">
      <c r="A24033" s="1"/>
      <c r="B24033" s="1" t="s">
        <v>7328</v>
      </c>
      <c r="C24033" s="1" t="s">
        <v>7329</v>
      </c>
      <c r="D24033" s="22" t="str">
        <f>HYPERLINK("https://rhld.insurance.arkansas.gov/NPILookup?Npi=1356015465","1356015465")</f>
        <v>1356015465</v>
      </c>
      <c r="E24033" s="1" t="s">
        <v>26683</v>
      </c>
      <c r="F24033" s="2"/>
      <c r="G24033" s="2"/>
      <c r="H24033" s="2"/>
    </row>
    <row r="24034" spans="1:8" x14ac:dyDescent="0.25">
      <c r="A24034" s="1"/>
      <c r="B24034" s="1" t="s">
        <v>7328</v>
      </c>
      <c r="C24034" s="1" t="s">
        <v>7329</v>
      </c>
      <c r="D24034" s="22" t="str">
        <f>HYPERLINK("https://rhld.insurance.arkansas.gov/NPILookup?Npi=1356023576","1356023576")</f>
        <v>1356023576</v>
      </c>
      <c r="E24034" s="1" t="s">
        <v>26684</v>
      </c>
      <c r="F24034" s="2"/>
      <c r="G24034" s="2"/>
      <c r="H24034" s="2"/>
    </row>
    <row r="24035" spans="1:8" x14ac:dyDescent="0.25">
      <c r="A24035" s="1"/>
      <c r="B24035" s="1" t="s">
        <v>7328</v>
      </c>
      <c r="C24035" s="1" t="s">
        <v>7329</v>
      </c>
      <c r="D24035" s="22" t="str">
        <f>HYPERLINK("https://rhld.insurance.arkansas.gov/NPILookup?Npi=1356035802","1356035802")</f>
        <v>1356035802</v>
      </c>
      <c r="E24035" s="1" t="s">
        <v>7683</v>
      </c>
      <c r="F24035" s="2"/>
      <c r="G24035" s="2"/>
      <c r="H24035" s="2"/>
    </row>
    <row r="24036" spans="1:8" x14ac:dyDescent="0.25">
      <c r="A24036" s="1"/>
      <c r="B24036" s="1" t="s">
        <v>7328</v>
      </c>
      <c r="C24036" s="1" t="s">
        <v>7329</v>
      </c>
      <c r="D24036" s="22" t="str">
        <f>HYPERLINK("https://rhld.insurance.arkansas.gov/NPILookup?Npi=1356038368","1356038368")</f>
        <v>1356038368</v>
      </c>
      <c r="E24036" s="1" t="s">
        <v>26685</v>
      </c>
      <c r="F24036" s="2"/>
      <c r="G24036" s="2"/>
      <c r="H24036" s="2"/>
    </row>
    <row r="24037" spans="1:8" x14ac:dyDescent="0.25">
      <c r="A24037" s="1"/>
      <c r="B24037" s="1" t="s">
        <v>7328</v>
      </c>
      <c r="C24037" s="1" t="s">
        <v>7329</v>
      </c>
      <c r="D24037" s="22" t="str">
        <f>HYPERLINK("https://rhld.insurance.arkansas.gov/NPILookup?Npi=1356042964","1356042964")</f>
        <v>1356042964</v>
      </c>
      <c r="E24037" s="1" t="s">
        <v>32200</v>
      </c>
      <c r="F24037" s="2"/>
      <c r="G24037" s="2"/>
      <c r="H24037" s="2"/>
    </row>
    <row r="24038" spans="1:8" x14ac:dyDescent="0.25">
      <c r="A24038" s="1"/>
      <c r="B24038" s="1" t="s">
        <v>7328</v>
      </c>
      <c r="C24038" s="1" t="s">
        <v>7329</v>
      </c>
      <c r="D24038" s="22" t="str">
        <f>HYPERLINK("https://rhld.insurance.arkansas.gov/NPILookup?Npi=1356061121","1356061121")</f>
        <v>1356061121</v>
      </c>
      <c r="E24038" s="1" t="s">
        <v>13003</v>
      </c>
      <c r="F24038" s="2"/>
      <c r="G24038" s="2"/>
      <c r="H24038" s="2"/>
    </row>
    <row r="24039" spans="1:8" x14ac:dyDescent="0.25">
      <c r="A24039" s="1"/>
      <c r="B24039" s="1" t="s">
        <v>7328</v>
      </c>
      <c r="C24039" s="1" t="s">
        <v>7329</v>
      </c>
      <c r="D24039" s="22" t="str">
        <f>HYPERLINK("https://rhld.insurance.arkansas.gov/NPILookup?Npi=1356104228","1356104228")</f>
        <v>1356104228</v>
      </c>
      <c r="E24039" s="1" t="s">
        <v>26686</v>
      </c>
      <c r="F24039" s="2"/>
      <c r="G24039" s="2"/>
      <c r="H24039" s="2"/>
    </row>
    <row r="24040" spans="1:8" x14ac:dyDescent="0.25">
      <c r="A24040" s="1"/>
      <c r="B24040" s="1" t="s">
        <v>7328</v>
      </c>
      <c r="C24040" s="1" t="s">
        <v>7329</v>
      </c>
      <c r="D24040" s="22" t="str">
        <f>HYPERLINK("https://rhld.insurance.arkansas.gov/NPILookup?Npi=1356120471","1356120471")</f>
        <v>1356120471</v>
      </c>
      <c r="E24040" s="1" t="s">
        <v>6176</v>
      </c>
      <c r="F24040" s="2"/>
      <c r="G24040" s="2"/>
      <c r="H24040" s="2"/>
    </row>
    <row r="24041" spans="1:8" x14ac:dyDescent="0.25">
      <c r="A24041" s="1"/>
      <c r="B24041" s="1" t="s">
        <v>7328</v>
      </c>
      <c r="C24041" s="1" t="s">
        <v>7329</v>
      </c>
      <c r="D24041" s="22" t="str">
        <f>HYPERLINK("https://rhld.insurance.arkansas.gov/NPILookup?Npi=1356157481","1356157481")</f>
        <v>1356157481</v>
      </c>
      <c r="E24041" s="1" t="s">
        <v>32201</v>
      </c>
      <c r="F24041" s="2"/>
      <c r="G24041" s="2"/>
      <c r="H24041" s="2"/>
    </row>
    <row r="24042" spans="1:8" x14ac:dyDescent="0.25">
      <c r="A24042" s="1"/>
      <c r="B24042" s="1" t="s">
        <v>7328</v>
      </c>
      <c r="C24042" s="1" t="s">
        <v>7329</v>
      </c>
      <c r="D24042" s="22" t="str">
        <f>HYPERLINK("https://rhld.insurance.arkansas.gov/NPILookup?Npi=1356168132","1356168132")</f>
        <v>1356168132</v>
      </c>
      <c r="E24042" s="1" t="s">
        <v>32202</v>
      </c>
      <c r="F24042" s="2"/>
      <c r="G24042" s="2"/>
      <c r="H24042" s="2"/>
    </row>
    <row r="24043" spans="1:8" x14ac:dyDescent="0.25">
      <c r="A24043" s="1"/>
      <c r="B24043" s="1" t="s">
        <v>7328</v>
      </c>
      <c r="C24043" s="1" t="s">
        <v>7329</v>
      </c>
      <c r="D24043" s="22" t="str">
        <f>HYPERLINK("https://rhld.insurance.arkansas.gov/NPILookup?Npi=1356179436","1356179436")</f>
        <v>1356179436</v>
      </c>
      <c r="E24043" s="1" t="s">
        <v>26687</v>
      </c>
      <c r="F24043" s="2"/>
      <c r="G24043" s="2"/>
      <c r="H24043" s="2"/>
    </row>
    <row r="24044" spans="1:8" x14ac:dyDescent="0.25">
      <c r="A24044" s="1"/>
      <c r="B24044" s="1" t="s">
        <v>7328</v>
      </c>
      <c r="C24044" s="1" t="s">
        <v>7329</v>
      </c>
      <c r="D24044" s="22" t="str">
        <f>HYPERLINK("https://rhld.insurance.arkansas.gov/NPILookup?Npi=1356195374","1356195374")</f>
        <v>1356195374</v>
      </c>
      <c r="E24044" s="1" t="s">
        <v>26688</v>
      </c>
      <c r="F24044" s="2"/>
      <c r="G24044" s="2"/>
      <c r="H24044" s="2"/>
    </row>
    <row r="24045" spans="1:8" x14ac:dyDescent="0.25">
      <c r="A24045" s="1"/>
      <c r="B24045" s="1" t="s">
        <v>7328</v>
      </c>
      <c r="C24045" s="1" t="s">
        <v>7329</v>
      </c>
      <c r="D24045" s="22" t="str">
        <f>HYPERLINK("https://rhld.insurance.arkansas.gov/NPILookup?Npi=1356301147","1356301147")</f>
        <v>1356301147</v>
      </c>
      <c r="E24045" s="1" t="s">
        <v>26689</v>
      </c>
      <c r="F24045" s="2"/>
      <c r="G24045" s="2"/>
      <c r="H24045" s="2"/>
    </row>
    <row r="24046" spans="1:8" x14ac:dyDescent="0.25">
      <c r="A24046" s="1"/>
      <c r="B24046" s="1" t="s">
        <v>7328</v>
      </c>
      <c r="C24046" s="1" t="s">
        <v>7329</v>
      </c>
      <c r="D24046" s="22" t="str">
        <f>HYPERLINK("https://rhld.insurance.arkansas.gov/NPILookup?Npi=1356306716","1356306716")</f>
        <v>1356306716</v>
      </c>
      <c r="E24046" s="1" t="s">
        <v>4111</v>
      </c>
      <c r="F24046" s="2"/>
      <c r="G24046" s="2"/>
      <c r="H24046" s="2"/>
    </row>
    <row r="24047" spans="1:8" x14ac:dyDescent="0.25">
      <c r="A24047" s="1"/>
      <c r="B24047" s="1" t="s">
        <v>7328</v>
      </c>
      <c r="C24047" s="1" t="s">
        <v>7329</v>
      </c>
      <c r="D24047" s="22" t="str">
        <f>HYPERLINK("https://rhld.insurance.arkansas.gov/NPILookup?Npi=1356311617","1356311617")</f>
        <v>1356311617</v>
      </c>
      <c r="E24047" s="1" t="s">
        <v>13383</v>
      </c>
      <c r="F24047" s="2"/>
      <c r="G24047" s="2"/>
      <c r="H24047" s="2"/>
    </row>
    <row r="24048" spans="1:8" x14ac:dyDescent="0.25">
      <c r="A24048" s="1"/>
      <c r="B24048" s="1" t="s">
        <v>7328</v>
      </c>
      <c r="C24048" s="1" t="s">
        <v>7329</v>
      </c>
      <c r="D24048" s="22" t="str">
        <f>HYPERLINK("https://rhld.insurance.arkansas.gov/NPILookup?Npi=1356320832","1356320832")</f>
        <v>1356320832</v>
      </c>
      <c r="E24048" s="1" t="s">
        <v>857</v>
      </c>
      <c r="F24048" s="2"/>
      <c r="G24048" s="2"/>
      <c r="H24048" s="2"/>
    </row>
    <row r="24049" spans="1:8" x14ac:dyDescent="0.25">
      <c r="A24049" s="1"/>
      <c r="B24049" s="1" t="s">
        <v>7328</v>
      </c>
      <c r="C24049" s="1" t="s">
        <v>7329</v>
      </c>
      <c r="D24049" s="22" t="str">
        <f>HYPERLINK("https://rhld.insurance.arkansas.gov/NPILookup?Npi=1356323042","1356323042")</f>
        <v>1356323042</v>
      </c>
      <c r="E24049" s="1" t="s">
        <v>764</v>
      </c>
      <c r="F24049" s="2"/>
      <c r="G24049" s="2"/>
      <c r="H24049" s="2"/>
    </row>
    <row r="24050" spans="1:8" x14ac:dyDescent="0.25">
      <c r="A24050" s="1"/>
      <c r="B24050" s="1" t="s">
        <v>7328</v>
      </c>
      <c r="C24050" s="1" t="s">
        <v>7329</v>
      </c>
      <c r="D24050" s="22" t="str">
        <f>HYPERLINK("https://rhld.insurance.arkansas.gov/NPILookup?Npi=1356328520","1356328520")</f>
        <v>1356328520</v>
      </c>
      <c r="E24050" s="1" t="s">
        <v>13005</v>
      </c>
      <c r="F24050" s="2"/>
      <c r="G24050" s="2"/>
      <c r="H24050" s="2"/>
    </row>
    <row r="24051" spans="1:8" x14ac:dyDescent="0.25">
      <c r="A24051" s="1"/>
      <c r="B24051" s="1" t="s">
        <v>7328</v>
      </c>
      <c r="C24051" s="1" t="s">
        <v>7329</v>
      </c>
      <c r="D24051" s="22" t="str">
        <f>HYPERLINK("https://rhld.insurance.arkansas.gov/NPILookup?Npi=1356330666","1356330666")</f>
        <v>1356330666</v>
      </c>
      <c r="E24051" s="1" t="s">
        <v>26690</v>
      </c>
      <c r="F24051" s="2"/>
      <c r="G24051" s="2"/>
      <c r="H24051" s="2"/>
    </row>
    <row r="24052" spans="1:8" x14ac:dyDescent="0.25">
      <c r="A24052" s="1"/>
      <c r="B24052" s="1" t="s">
        <v>7328</v>
      </c>
      <c r="C24052" s="1" t="s">
        <v>7329</v>
      </c>
      <c r="D24052" s="22" t="str">
        <f>HYPERLINK("https://rhld.insurance.arkansas.gov/NPILookup?Npi=1356333561","1356333561")</f>
        <v>1356333561</v>
      </c>
      <c r="E24052" s="1" t="s">
        <v>1089</v>
      </c>
      <c r="F24052" s="2"/>
      <c r="G24052" s="2"/>
      <c r="H24052" s="2"/>
    </row>
    <row r="24053" spans="1:8" x14ac:dyDescent="0.25">
      <c r="A24053" s="1"/>
      <c r="B24053" s="1" t="s">
        <v>7328</v>
      </c>
      <c r="C24053" s="1" t="s">
        <v>7329</v>
      </c>
      <c r="D24053" s="22" t="str">
        <f>HYPERLINK("https://rhld.insurance.arkansas.gov/NPILookup?Npi=1356333819","1356333819")</f>
        <v>1356333819</v>
      </c>
      <c r="E24053" s="1" t="s">
        <v>7684</v>
      </c>
      <c r="F24053" s="2"/>
      <c r="G24053" s="2"/>
      <c r="H24053" s="2"/>
    </row>
    <row r="24054" spans="1:8" x14ac:dyDescent="0.25">
      <c r="A24054" s="1"/>
      <c r="B24054" s="1" t="s">
        <v>7328</v>
      </c>
      <c r="C24054" s="1" t="s">
        <v>7329</v>
      </c>
      <c r="D24054" s="22" t="str">
        <f>HYPERLINK("https://rhld.insurance.arkansas.gov/NPILookup?Npi=1356336119","1356336119")</f>
        <v>1356336119</v>
      </c>
      <c r="E24054" s="1" t="s">
        <v>26691</v>
      </c>
      <c r="F24054" s="2"/>
      <c r="G24054" s="2"/>
      <c r="H24054" s="2"/>
    </row>
    <row r="24055" spans="1:8" x14ac:dyDescent="0.25">
      <c r="A24055" s="1"/>
      <c r="B24055" s="1" t="s">
        <v>7328</v>
      </c>
      <c r="C24055" s="1" t="s">
        <v>7329</v>
      </c>
      <c r="D24055" s="22" t="str">
        <f>HYPERLINK("https://rhld.insurance.arkansas.gov/NPILookup?Npi=1356341762","1356341762")</f>
        <v>1356341762</v>
      </c>
      <c r="E24055" s="1" t="s">
        <v>2009</v>
      </c>
      <c r="F24055" s="2"/>
      <c r="G24055" s="2"/>
      <c r="H24055" s="2"/>
    </row>
    <row r="24056" spans="1:8" x14ac:dyDescent="0.25">
      <c r="A24056" s="1"/>
      <c r="B24056" s="1" t="s">
        <v>7328</v>
      </c>
      <c r="C24056" s="1" t="s">
        <v>7329</v>
      </c>
      <c r="D24056" s="22" t="str">
        <f>HYPERLINK("https://rhld.insurance.arkansas.gov/NPILookup?Npi=1356345052","1356345052")</f>
        <v>1356345052</v>
      </c>
      <c r="E24056" s="1" t="s">
        <v>1090</v>
      </c>
      <c r="F24056" s="2"/>
      <c r="G24056" s="2"/>
      <c r="H24056" s="2"/>
    </row>
    <row r="24057" spans="1:8" x14ac:dyDescent="0.25">
      <c r="A24057" s="1"/>
      <c r="B24057" s="1" t="s">
        <v>7328</v>
      </c>
      <c r="C24057" s="1" t="s">
        <v>7329</v>
      </c>
      <c r="D24057" s="22" t="str">
        <f>HYPERLINK("https://rhld.insurance.arkansas.gov/NPILookup?Npi=1356360689","1356360689")</f>
        <v>1356360689</v>
      </c>
      <c r="E24057" s="1" t="s">
        <v>26692</v>
      </c>
      <c r="F24057" s="2"/>
      <c r="G24057" s="2"/>
      <c r="H24057" s="2"/>
    </row>
    <row r="24058" spans="1:8" x14ac:dyDescent="0.25">
      <c r="A24058" s="1"/>
      <c r="B24058" s="1" t="s">
        <v>7328</v>
      </c>
      <c r="C24058" s="1" t="s">
        <v>7329</v>
      </c>
      <c r="D24058" s="22" t="str">
        <f>HYPERLINK("https://rhld.insurance.arkansas.gov/NPILookup?Npi=1356373286","1356373286")</f>
        <v>1356373286</v>
      </c>
      <c r="E24058" s="1" t="s">
        <v>26693</v>
      </c>
      <c r="F24058" s="2"/>
      <c r="G24058" s="2"/>
      <c r="H24058" s="2"/>
    </row>
    <row r="24059" spans="1:8" x14ac:dyDescent="0.25">
      <c r="A24059" s="1"/>
      <c r="B24059" s="1" t="s">
        <v>7328</v>
      </c>
      <c r="C24059" s="1" t="s">
        <v>7329</v>
      </c>
      <c r="D24059" s="22" t="str">
        <f>HYPERLINK("https://rhld.insurance.arkansas.gov/NPILookup?Npi=1356378673","1356378673")</f>
        <v>1356378673</v>
      </c>
      <c r="E24059" s="1" t="s">
        <v>13006</v>
      </c>
      <c r="F24059" s="2"/>
      <c r="G24059" s="2"/>
      <c r="H24059" s="2"/>
    </row>
    <row r="24060" spans="1:8" x14ac:dyDescent="0.25">
      <c r="A24060" s="1"/>
      <c r="B24060" s="1" t="s">
        <v>7328</v>
      </c>
      <c r="C24060" s="1" t="s">
        <v>7329</v>
      </c>
      <c r="D24060" s="22" t="str">
        <f>HYPERLINK("https://rhld.insurance.arkansas.gov/NPILookup?Npi=1356396790","1356396790")</f>
        <v>1356396790</v>
      </c>
      <c r="E24060" s="1" t="s">
        <v>26694</v>
      </c>
      <c r="F24060" s="2"/>
      <c r="G24060" s="2"/>
      <c r="H24060" s="2"/>
    </row>
    <row r="24061" spans="1:8" x14ac:dyDescent="0.25">
      <c r="A24061" s="1"/>
      <c r="B24061" s="1" t="s">
        <v>7328</v>
      </c>
      <c r="C24061" s="1" t="s">
        <v>7329</v>
      </c>
      <c r="D24061" s="22" t="str">
        <f>HYPERLINK("https://rhld.insurance.arkansas.gov/NPILookup?Npi=1356433494","1356433494")</f>
        <v>1356433494</v>
      </c>
      <c r="E24061" s="1" t="s">
        <v>26695</v>
      </c>
      <c r="F24061" s="2"/>
      <c r="G24061" s="2"/>
      <c r="H24061" s="2"/>
    </row>
    <row r="24062" spans="1:8" x14ac:dyDescent="0.25">
      <c r="A24062" s="1"/>
      <c r="B24062" s="1" t="s">
        <v>7328</v>
      </c>
      <c r="C24062" s="1" t="s">
        <v>7329</v>
      </c>
      <c r="D24062" s="22" t="str">
        <f>HYPERLINK("https://rhld.insurance.arkansas.gov/NPILookup?Npi=1356489272","1356489272")</f>
        <v>1356489272</v>
      </c>
      <c r="E24062" s="1" t="s">
        <v>7685</v>
      </c>
      <c r="F24062" s="2"/>
      <c r="G24062" s="2"/>
      <c r="H24062" s="2"/>
    </row>
    <row r="24063" spans="1:8" x14ac:dyDescent="0.25">
      <c r="A24063" s="1"/>
      <c r="B24063" s="1" t="s">
        <v>7328</v>
      </c>
      <c r="C24063" s="1" t="s">
        <v>7329</v>
      </c>
      <c r="D24063" s="22" t="str">
        <f>HYPERLINK("https://rhld.insurance.arkansas.gov/NPILookup?Npi=1356502710","1356502710")</f>
        <v>1356502710</v>
      </c>
      <c r="E24063" s="1" t="s">
        <v>26696</v>
      </c>
      <c r="F24063" s="2"/>
      <c r="G24063" s="2"/>
      <c r="H24063" s="2"/>
    </row>
    <row r="24064" spans="1:8" x14ac:dyDescent="0.25">
      <c r="A24064" s="1"/>
      <c r="B24064" s="1" t="s">
        <v>7328</v>
      </c>
      <c r="C24064" s="1" t="s">
        <v>7329</v>
      </c>
      <c r="D24064" s="22" t="str">
        <f>HYPERLINK("https://rhld.insurance.arkansas.gov/NPILookup?Npi=1356513394","1356513394")</f>
        <v>1356513394</v>
      </c>
      <c r="E24064" s="1" t="s">
        <v>26697</v>
      </c>
      <c r="F24064" s="2"/>
      <c r="G24064" s="2"/>
      <c r="H24064" s="2"/>
    </row>
    <row r="24065" spans="1:8" x14ac:dyDescent="0.25">
      <c r="A24065" s="1"/>
      <c r="B24065" s="1" t="s">
        <v>7328</v>
      </c>
      <c r="C24065" s="1" t="s">
        <v>7329</v>
      </c>
      <c r="D24065" s="22" t="str">
        <f>HYPERLINK("https://rhld.insurance.arkansas.gov/NPILookup?Npi=1356549901","1356549901")</f>
        <v>1356549901</v>
      </c>
      <c r="E24065" s="1" t="s">
        <v>13007</v>
      </c>
      <c r="F24065" s="2"/>
      <c r="G24065" s="2"/>
      <c r="H24065" s="2"/>
    </row>
    <row r="24066" spans="1:8" x14ac:dyDescent="0.25">
      <c r="A24066" s="1"/>
      <c r="B24066" s="1" t="s">
        <v>7328</v>
      </c>
      <c r="C24066" s="1" t="s">
        <v>7329</v>
      </c>
      <c r="D24066" s="22" t="str">
        <f>HYPERLINK("https://rhld.insurance.arkansas.gov/NPILookup?Npi=1356555379","1356555379")</f>
        <v>1356555379</v>
      </c>
      <c r="E24066" s="1" t="s">
        <v>13008</v>
      </c>
      <c r="F24066" s="2"/>
      <c r="G24066" s="2"/>
      <c r="H24066" s="2"/>
    </row>
    <row r="24067" spans="1:8" x14ac:dyDescent="0.25">
      <c r="A24067" s="1"/>
      <c r="B24067" s="1" t="s">
        <v>7328</v>
      </c>
      <c r="C24067" s="1" t="s">
        <v>7329</v>
      </c>
      <c r="D24067" s="22" t="str">
        <f>HYPERLINK("https://rhld.insurance.arkansas.gov/NPILookup?Npi=1356558357","1356558357")</f>
        <v>1356558357</v>
      </c>
      <c r="E24067" s="1" t="s">
        <v>20714</v>
      </c>
      <c r="F24067" s="2"/>
      <c r="G24067" s="2"/>
      <c r="H24067" s="2"/>
    </row>
    <row r="24068" spans="1:8" x14ac:dyDescent="0.25">
      <c r="A24068" s="1"/>
      <c r="B24068" s="1" t="s">
        <v>7328</v>
      </c>
      <c r="C24068" s="1" t="s">
        <v>7329</v>
      </c>
      <c r="D24068" s="22" t="str">
        <f>HYPERLINK("https://rhld.insurance.arkansas.gov/NPILookup?Npi=1356563241","1356563241")</f>
        <v>1356563241</v>
      </c>
      <c r="E24068" s="1" t="s">
        <v>13009</v>
      </c>
      <c r="F24068" s="2"/>
      <c r="G24068" s="2"/>
      <c r="H24068" s="2"/>
    </row>
    <row r="24069" spans="1:8" x14ac:dyDescent="0.25">
      <c r="A24069" s="1"/>
      <c r="B24069" s="1" t="s">
        <v>7328</v>
      </c>
      <c r="C24069" s="1" t="s">
        <v>7329</v>
      </c>
      <c r="D24069" s="22" t="str">
        <f>HYPERLINK("https://rhld.insurance.arkansas.gov/NPILookup?Npi=1356563472","1356563472")</f>
        <v>1356563472</v>
      </c>
      <c r="E24069" s="1" t="s">
        <v>13010</v>
      </c>
      <c r="F24069" s="2"/>
      <c r="G24069" s="2"/>
      <c r="H24069" s="2"/>
    </row>
    <row r="24070" spans="1:8" x14ac:dyDescent="0.25">
      <c r="A24070" s="1"/>
      <c r="B24070" s="1" t="s">
        <v>7328</v>
      </c>
      <c r="C24070" s="1" t="s">
        <v>7329</v>
      </c>
      <c r="D24070" s="22" t="str">
        <f>HYPERLINK("https://rhld.insurance.arkansas.gov/NPILookup?Npi=1356581151","1356581151")</f>
        <v>1356581151</v>
      </c>
      <c r="E24070" s="1" t="s">
        <v>13011</v>
      </c>
      <c r="F24070" s="2"/>
      <c r="G24070" s="2"/>
      <c r="H24070" s="2"/>
    </row>
    <row r="24071" spans="1:8" x14ac:dyDescent="0.25">
      <c r="A24071" s="1"/>
      <c r="B24071" s="1" t="s">
        <v>7328</v>
      </c>
      <c r="C24071" s="1" t="s">
        <v>7329</v>
      </c>
      <c r="D24071" s="22" t="str">
        <f>HYPERLINK("https://rhld.insurance.arkansas.gov/NPILookup?Npi=1356600829","1356600829")</f>
        <v>1356600829</v>
      </c>
      <c r="E24071" s="1" t="s">
        <v>26698</v>
      </c>
      <c r="F24071" s="2"/>
      <c r="G24071" s="2"/>
      <c r="H24071" s="2"/>
    </row>
    <row r="24072" spans="1:8" x14ac:dyDescent="0.25">
      <c r="A24072" s="1"/>
      <c r="B24072" s="1" t="s">
        <v>7328</v>
      </c>
      <c r="C24072" s="1" t="s">
        <v>7329</v>
      </c>
      <c r="D24072" s="22" t="str">
        <f>HYPERLINK("https://rhld.insurance.arkansas.gov/NPILookup?Npi=1356601801","1356601801")</f>
        <v>1356601801</v>
      </c>
      <c r="E24072" s="1" t="s">
        <v>13012</v>
      </c>
      <c r="F24072" s="2"/>
      <c r="G24072" s="2"/>
      <c r="H24072" s="2"/>
    </row>
    <row r="24073" spans="1:8" x14ac:dyDescent="0.25">
      <c r="A24073" s="1"/>
      <c r="B24073" s="1" t="s">
        <v>7328</v>
      </c>
      <c r="C24073" s="1" t="s">
        <v>7329</v>
      </c>
      <c r="D24073" s="22" t="str">
        <f>HYPERLINK("https://rhld.insurance.arkansas.gov/NPILookup?Npi=1356617443","1356617443")</f>
        <v>1356617443</v>
      </c>
      <c r="E24073" s="1" t="s">
        <v>26699</v>
      </c>
      <c r="F24073" s="2"/>
      <c r="G24073" s="2"/>
      <c r="H24073" s="2"/>
    </row>
    <row r="24074" spans="1:8" x14ac:dyDescent="0.25">
      <c r="A24074" s="1"/>
      <c r="B24074" s="1" t="s">
        <v>7328</v>
      </c>
      <c r="C24074" s="1" t="s">
        <v>7329</v>
      </c>
      <c r="D24074" s="22" t="str">
        <f>HYPERLINK("https://rhld.insurance.arkansas.gov/NPILookup?Npi=1356634968","1356634968")</f>
        <v>1356634968</v>
      </c>
      <c r="E24074" s="1" t="s">
        <v>26700</v>
      </c>
      <c r="F24074" s="2"/>
      <c r="G24074" s="2"/>
      <c r="H24074" s="2"/>
    </row>
    <row r="24075" spans="1:8" x14ac:dyDescent="0.25">
      <c r="A24075" s="1"/>
      <c r="B24075" s="1" t="s">
        <v>7328</v>
      </c>
      <c r="C24075" s="1" t="s">
        <v>7329</v>
      </c>
      <c r="D24075" s="22" t="str">
        <f>HYPERLINK("https://rhld.insurance.arkansas.gov/NPILookup?Npi=1356637433","1356637433")</f>
        <v>1356637433</v>
      </c>
      <c r="E24075" s="1" t="s">
        <v>101</v>
      </c>
      <c r="F24075" s="2"/>
      <c r="G24075" s="2"/>
      <c r="H24075" s="2"/>
    </row>
    <row r="24076" spans="1:8" x14ac:dyDescent="0.25">
      <c r="A24076" s="1"/>
      <c r="B24076" s="1" t="s">
        <v>7328</v>
      </c>
      <c r="C24076" s="1" t="s">
        <v>7329</v>
      </c>
      <c r="D24076" s="22" t="str">
        <f>HYPERLINK("https://rhld.insurance.arkansas.gov/NPILookup?Npi=1356638290","1356638290")</f>
        <v>1356638290</v>
      </c>
      <c r="E24076" s="1" t="s">
        <v>26701</v>
      </c>
      <c r="F24076" s="2"/>
      <c r="G24076" s="2"/>
      <c r="H24076" s="2"/>
    </row>
    <row r="24077" spans="1:8" x14ac:dyDescent="0.25">
      <c r="A24077" s="1"/>
      <c r="B24077" s="1" t="s">
        <v>7328</v>
      </c>
      <c r="C24077" s="1" t="s">
        <v>7329</v>
      </c>
      <c r="D24077" s="22" t="str">
        <f>HYPERLINK("https://rhld.insurance.arkansas.gov/NPILookup?Npi=1356649412","1356649412")</f>
        <v>1356649412</v>
      </c>
      <c r="E24077" s="1" t="s">
        <v>2788</v>
      </c>
      <c r="F24077" s="2"/>
      <c r="G24077" s="2"/>
      <c r="H24077" s="2"/>
    </row>
    <row r="24078" spans="1:8" x14ac:dyDescent="0.25">
      <c r="A24078" s="1"/>
      <c r="B24078" s="1" t="s">
        <v>7328</v>
      </c>
      <c r="C24078" s="1" t="s">
        <v>7329</v>
      </c>
      <c r="D24078" s="22" t="str">
        <f>HYPERLINK("https://rhld.insurance.arkansas.gov/NPILookup?Npi=1356655336","1356655336")</f>
        <v>1356655336</v>
      </c>
      <c r="E24078" s="1" t="s">
        <v>13013</v>
      </c>
      <c r="F24078" s="2"/>
      <c r="G24078" s="2"/>
      <c r="H24078" s="2"/>
    </row>
    <row r="24079" spans="1:8" x14ac:dyDescent="0.25">
      <c r="A24079" s="1"/>
      <c r="B24079" s="1" t="s">
        <v>7328</v>
      </c>
      <c r="C24079" s="1" t="s">
        <v>7329</v>
      </c>
      <c r="D24079" s="22" t="str">
        <f>HYPERLINK("https://rhld.insurance.arkansas.gov/NPILookup?Npi=1356657746","1356657746")</f>
        <v>1356657746</v>
      </c>
      <c r="E24079" s="1" t="s">
        <v>13014</v>
      </c>
      <c r="F24079" s="2"/>
      <c r="G24079" s="2"/>
      <c r="H24079" s="2"/>
    </row>
    <row r="24080" spans="1:8" x14ac:dyDescent="0.25">
      <c r="A24080" s="1"/>
      <c r="B24080" s="1" t="s">
        <v>7328</v>
      </c>
      <c r="C24080" s="1" t="s">
        <v>7329</v>
      </c>
      <c r="D24080" s="22" t="str">
        <f>HYPERLINK("https://rhld.insurance.arkansas.gov/NPILookup?Npi=1356680573","1356680573")</f>
        <v>1356680573</v>
      </c>
      <c r="E24080" s="1" t="s">
        <v>7686</v>
      </c>
      <c r="F24080" s="2"/>
      <c r="G24080" s="2"/>
      <c r="H24080" s="2"/>
    </row>
    <row r="24081" spans="1:8" x14ac:dyDescent="0.25">
      <c r="A24081" s="1"/>
      <c r="B24081" s="1" t="s">
        <v>7328</v>
      </c>
      <c r="C24081" s="1" t="s">
        <v>7329</v>
      </c>
      <c r="D24081" s="22" t="str">
        <f>HYPERLINK("https://rhld.insurance.arkansas.gov/NPILookup?Npi=1356716963","1356716963")</f>
        <v>1356716963</v>
      </c>
      <c r="E24081" s="1" t="s">
        <v>26703</v>
      </c>
      <c r="F24081" s="2"/>
      <c r="G24081" s="2"/>
      <c r="H24081" s="2"/>
    </row>
    <row r="24082" spans="1:8" x14ac:dyDescent="0.25">
      <c r="A24082" s="1"/>
      <c r="B24082" s="1" t="s">
        <v>7328</v>
      </c>
      <c r="C24082" s="1" t="s">
        <v>7329</v>
      </c>
      <c r="D24082" s="22" t="str">
        <f>HYPERLINK("https://rhld.insurance.arkansas.gov/NPILookup?Npi=1356719264","1356719264")</f>
        <v>1356719264</v>
      </c>
      <c r="E24082" s="1" t="s">
        <v>2789</v>
      </c>
      <c r="F24082" s="2"/>
      <c r="G24082" s="2"/>
      <c r="H24082" s="2"/>
    </row>
    <row r="24083" spans="1:8" x14ac:dyDescent="0.25">
      <c r="A24083" s="1"/>
      <c r="B24083" s="1" t="s">
        <v>7328</v>
      </c>
      <c r="C24083" s="1" t="s">
        <v>7329</v>
      </c>
      <c r="D24083" s="22" t="str">
        <f>HYPERLINK("https://rhld.insurance.arkansas.gov/NPILookup?Npi=1356720072","1356720072")</f>
        <v>1356720072</v>
      </c>
      <c r="E24083" s="1" t="s">
        <v>26704</v>
      </c>
      <c r="F24083" s="2"/>
      <c r="G24083" s="2"/>
      <c r="H24083" s="2"/>
    </row>
    <row r="24084" spans="1:8" x14ac:dyDescent="0.25">
      <c r="A24084" s="1"/>
      <c r="B24084" s="1" t="s">
        <v>7328</v>
      </c>
      <c r="C24084" s="1" t="s">
        <v>7329</v>
      </c>
      <c r="D24084" s="22" t="str">
        <f>HYPERLINK("https://rhld.insurance.arkansas.gov/NPILookup?Npi=1356726020","1356726020")</f>
        <v>1356726020</v>
      </c>
      <c r="E24084" s="1" t="s">
        <v>3455</v>
      </c>
      <c r="F24084" s="2"/>
      <c r="G24084" s="2"/>
      <c r="H24084" s="2"/>
    </row>
    <row r="24085" spans="1:8" x14ac:dyDescent="0.25">
      <c r="A24085" s="1"/>
      <c r="B24085" s="1" t="s">
        <v>7328</v>
      </c>
      <c r="C24085" s="1" t="s">
        <v>7329</v>
      </c>
      <c r="D24085" s="22" t="str">
        <f>HYPERLINK("https://rhld.insurance.arkansas.gov/NPILookup?Npi=1356732341","1356732341")</f>
        <v>1356732341</v>
      </c>
      <c r="E24085" s="1" t="s">
        <v>26705</v>
      </c>
      <c r="F24085" s="2"/>
      <c r="G24085" s="2"/>
      <c r="H24085" s="2"/>
    </row>
    <row r="24086" spans="1:8" x14ac:dyDescent="0.25">
      <c r="A24086" s="1"/>
      <c r="B24086" s="1" t="s">
        <v>7328</v>
      </c>
      <c r="C24086" s="1" t="s">
        <v>7329</v>
      </c>
      <c r="D24086" s="22" t="str">
        <f>HYPERLINK("https://rhld.insurance.arkansas.gov/NPILookup?Npi=1356739346","1356739346")</f>
        <v>1356739346</v>
      </c>
      <c r="E24086" s="1" t="s">
        <v>26706</v>
      </c>
      <c r="F24086" s="2"/>
      <c r="G24086" s="2"/>
      <c r="H24086" s="2"/>
    </row>
    <row r="24087" spans="1:8" x14ac:dyDescent="0.25">
      <c r="A24087" s="1"/>
      <c r="B24087" s="1" t="s">
        <v>7328</v>
      </c>
      <c r="C24087" s="1" t="s">
        <v>7329</v>
      </c>
      <c r="D24087" s="22" t="str">
        <f>HYPERLINK("https://rhld.insurance.arkansas.gov/NPILookup?Npi=1356780233","1356780233")</f>
        <v>1356780233</v>
      </c>
      <c r="E24087" s="1" t="s">
        <v>26707</v>
      </c>
      <c r="F24087" s="2"/>
      <c r="G24087" s="2"/>
      <c r="H24087" s="2"/>
    </row>
    <row r="24088" spans="1:8" x14ac:dyDescent="0.25">
      <c r="A24088" s="1"/>
      <c r="B24088" s="1" t="s">
        <v>7328</v>
      </c>
      <c r="C24088" s="1" t="s">
        <v>7329</v>
      </c>
      <c r="D24088" s="22" t="str">
        <f>HYPERLINK("https://rhld.insurance.arkansas.gov/NPILookup?Npi=1356780571","1356780571")</f>
        <v>1356780571</v>
      </c>
      <c r="E24088" s="1" t="s">
        <v>26708</v>
      </c>
      <c r="F24088" s="2"/>
      <c r="G24088" s="2"/>
      <c r="H24088" s="2"/>
    </row>
    <row r="24089" spans="1:8" x14ac:dyDescent="0.25">
      <c r="A24089" s="1"/>
      <c r="B24089" s="1" t="s">
        <v>7328</v>
      </c>
      <c r="C24089" s="1" t="s">
        <v>7329</v>
      </c>
      <c r="D24089" s="22" t="str">
        <f>HYPERLINK("https://rhld.insurance.arkansas.gov/NPILookup?Npi=1356784649","1356784649")</f>
        <v>1356784649</v>
      </c>
      <c r="E24089" s="1" t="s">
        <v>26709</v>
      </c>
      <c r="F24089" s="2"/>
      <c r="G24089" s="2"/>
      <c r="H24089" s="2"/>
    </row>
    <row r="24090" spans="1:8" x14ac:dyDescent="0.25">
      <c r="A24090" s="1"/>
      <c r="B24090" s="1" t="s">
        <v>7328</v>
      </c>
      <c r="C24090" s="1" t="s">
        <v>7329</v>
      </c>
      <c r="D24090" s="22" t="str">
        <f>HYPERLINK("https://rhld.insurance.arkansas.gov/NPILookup?Npi=1356791891","1356791891")</f>
        <v>1356791891</v>
      </c>
      <c r="E24090" s="1" t="s">
        <v>26710</v>
      </c>
      <c r="F24090" s="2"/>
      <c r="G24090" s="2"/>
      <c r="H24090" s="2"/>
    </row>
    <row r="24091" spans="1:8" x14ac:dyDescent="0.25">
      <c r="A24091" s="1"/>
      <c r="B24091" s="1" t="s">
        <v>7328</v>
      </c>
      <c r="C24091" s="1" t="s">
        <v>7329</v>
      </c>
      <c r="D24091" s="22" t="str">
        <f>HYPERLINK("https://rhld.insurance.arkansas.gov/NPILookup?Npi=1356793905","1356793905")</f>
        <v>1356793905</v>
      </c>
      <c r="E24091" s="1" t="s">
        <v>26711</v>
      </c>
      <c r="F24091" s="2"/>
      <c r="G24091" s="2"/>
      <c r="H24091" s="2"/>
    </row>
    <row r="24092" spans="1:8" x14ac:dyDescent="0.25">
      <c r="A24092" s="1"/>
      <c r="B24092" s="1" t="s">
        <v>7328</v>
      </c>
      <c r="C24092" s="1" t="s">
        <v>7329</v>
      </c>
      <c r="D24092" s="22" t="str">
        <f>HYPERLINK("https://rhld.insurance.arkansas.gov/NPILookup?Npi=1356807341","1356807341")</f>
        <v>1356807341</v>
      </c>
      <c r="E24092" s="1" t="s">
        <v>13015</v>
      </c>
      <c r="F24092" s="2"/>
      <c r="G24092" s="2"/>
      <c r="H24092" s="2"/>
    </row>
    <row r="24093" spans="1:8" x14ac:dyDescent="0.25">
      <c r="A24093" s="1"/>
      <c r="B24093" s="1" t="s">
        <v>7328</v>
      </c>
      <c r="C24093" s="1" t="s">
        <v>7329</v>
      </c>
      <c r="D24093" s="22" t="str">
        <f>HYPERLINK("https://rhld.insurance.arkansas.gov/NPILookup?Npi=1356810246","1356810246")</f>
        <v>1356810246</v>
      </c>
      <c r="E24093" s="1" t="s">
        <v>26712</v>
      </c>
      <c r="F24093" s="2"/>
      <c r="G24093" s="2"/>
      <c r="H24093" s="2"/>
    </row>
    <row r="24094" spans="1:8" x14ac:dyDescent="0.25">
      <c r="A24094" s="1"/>
      <c r="B24094" s="1" t="s">
        <v>7328</v>
      </c>
      <c r="C24094" s="1" t="s">
        <v>7329</v>
      </c>
      <c r="D24094" s="22" t="str">
        <f>HYPERLINK("https://rhld.insurance.arkansas.gov/NPILookup?Npi=1356827935","1356827935")</f>
        <v>1356827935</v>
      </c>
      <c r="E24094" s="1" t="s">
        <v>2010</v>
      </c>
      <c r="F24094" s="2"/>
      <c r="G24094" s="2"/>
      <c r="H24094" s="2"/>
    </row>
    <row r="24095" spans="1:8" x14ac:dyDescent="0.25">
      <c r="A24095" s="1"/>
      <c r="B24095" s="1" t="s">
        <v>7328</v>
      </c>
      <c r="C24095" s="1" t="s">
        <v>7329</v>
      </c>
      <c r="D24095" s="22" t="str">
        <f>HYPERLINK("https://rhld.insurance.arkansas.gov/NPILookup?Npi=1356829352","1356829352")</f>
        <v>1356829352</v>
      </c>
      <c r="E24095" s="1" t="s">
        <v>7687</v>
      </c>
      <c r="F24095" s="2"/>
      <c r="G24095" s="2"/>
      <c r="H24095" s="2"/>
    </row>
    <row r="24096" spans="1:8" x14ac:dyDescent="0.25">
      <c r="A24096" s="1"/>
      <c r="B24096" s="1" t="s">
        <v>7328</v>
      </c>
      <c r="C24096" s="1" t="s">
        <v>7329</v>
      </c>
      <c r="D24096" s="22" t="str">
        <f>HYPERLINK("https://rhld.insurance.arkansas.gov/NPILookup?Npi=1356836076","1356836076")</f>
        <v>1356836076</v>
      </c>
      <c r="E24096" s="1" t="s">
        <v>26713</v>
      </c>
      <c r="F24096" s="2"/>
      <c r="G24096" s="2"/>
      <c r="H24096" s="2"/>
    </row>
    <row r="24097" spans="1:8" x14ac:dyDescent="0.25">
      <c r="A24097" s="1"/>
      <c r="B24097" s="1" t="s">
        <v>7328</v>
      </c>
      <c r="C24097" s="1" t="s">
        <v>7329</v>
      </c>
      <c r="D24097" s="22" t="str">
        <f>HYPERLINK("https://rhld.insurance.arkansas.gov/NPILookup?Npi=1356837025","1356837025")</f>
        <v>1356837025</v>
      </c>
      <c r="E24097" s="1" t="s">
        <v>3743</v>
      </c>
      <c r="F24097" s="2"/>
      <c r="G24097" s="2"/>
      <c r="H24097" s="2"/>
    </row>
    <row r="24098" spans="1:8" x14ac:dyDescent="0.25">
      <c r="A24098" s="1"/>
      <c r="B24098" s="1" t="s">
        <v>7328</v>
      </c>
      <c r="C24098" s="1" t="s">
        <v>7329</v>
      </c>
      <c r="D24098" s="22" t="str">
        <f>HYPERLINK("https://rhld.insurance.arkansas.gov/NPILookup?Npi=1356840086","1356840086")</f>
        <v>1356840086</v>
      </c>
      <c r="E24098" s="1" t="s">
        <v>26714</v>
      </c>
      <c r="F24098" s="2"/>
      <c r="G24098" s="2"/>
      <c r="H24098" s="2"/>
    </row>
    <row r="24099" spans="1:8" x14ac:dyDescent="0.25">
      <c r="A24099" s="1"/>
      <c r="B24099" s="1" t="s">
        <v>7328</v>
      </c>
      <c r="C24099" s="1" t="s">
        <v>7329</v>
      </c>
      <c r="D24099" s="22" t="str">
        <f>HYPERLINK("https://rhld.insurance.arkansas.gov/NPILookup?Npi=1356842710","1356842710")</f>
        <v>1356842710</v>
      </c>
      <c r="E24099" s="1" t="s">
        <v>1767</v>
      </c>
      <c r="F24099" s="2"/>
      <c r="G24099" s="2"/>
      <c r="H24099" s="2"/>
    </row>
    <row r="24100" spans="1:8" x14ac:dyDescent="0.25">
      <c r="A24100" s="1"/>
      <c r="B24100" s="1" t="s">
        <v>7328</v>
      </c>
      <c r="C24100" s="1" t="s">
        <v>7329</v>
      </c>
      <c r="D24100" s="22" t="str">
        <f>HYPERLINK("https://rhld.insurance.arkansas.gov/NPILookup?Npi=1356849046","1356849046")</f>
        <v>1356849046</v>
      </c>
      <c r="E24100" s="1" t="s">
        <v>2790</v>
      </c>
      <c r="F24100" s="2"/>
      <c r="G24100" s="2"/>
      <c r="H24100" s="2"/>
    </row>
    <row r="24101" spans="1:8" x14ac:dyDescent="0.25">
      <c r="A24101" s="1"/>
      <c r="B24101" s="1" t="s">
        <v>7328</v>
      </c>
      <c r="C24101" s="1" t="s">
        <v>7329</v>
      </c>
      <c r="D24101" s="22" t="str">
        <f>HYPERLINK("https://rhld.insurance.arkansas.gov/NPILookup?Npi=1356857015","1356857015")</f>
        <v>1356857015</v>
      </c>
      <c r="E24101" s="1" t="s">
        <v>13016</v>
      </c>
      <c r="F24101" s="2"/>
      <c r="G24101" s="2"/>
      <c r="H24101" s="2"/>
    </row>
    <row r="24102" spans="1:8" x14ac:dyDescent="0.25">
      <c r="A24102" s="1"/>
      <c r="B24102" s="1" t="s">
        <v>7328</v>
      </c>
      <c r="C24102" s="1" t="s">
        <v>7329</v>
      </c>
      <c r="D24102" s="22" t="str">
        <f>HYPERLINK("https://rhld.insurance.arkansas.gov/NPILookup?Npi=1356867774","1356867774")</f>
        <v>1356867774</v>
      </c>
      <c r="E24102" s="1" t="s">
        <v>32203</v>
      </c>
      <c r="F24102" s="2"/>
      <c r="G24102" s="2"/>
      <c r="H24102" s="2"/>
    </row>
    <row r="24103" spans="1:8" x14ac:dyDescent="0.25">
      <c r="A24103" s="1"/>
      <c r="B24103" s="1" t="s">
        <v>7328</v>
      </c>
      <c r="C24103" s="1" t="s">
        <v>7329</v>
      </c>
      <c r="D24103" s="22" t="str">
        <f>HYPERLINK("https://rhld.insurance.arkansas.gov/NPILookup?Npi=1356896856","1356896856")</f>
        <v>1356896856</v>
      </c>
      <c r="E24103" s="1" t="s">
        <v>13017</v>
      </c>
      <c r="F24103" s="2"/>
      <c r="G24103" s="2"/>
      <c r="H24103" s="2"/>
    </row>
    <row r="24104" spans="1:8" x14ac:dyDescent="0.25">
      <c r="A24104" s="1"/>
      <c r="B24104" s="1" t="s">
        <v>7328</v>
      </c>
      <c r="C24104" s="1" t="s">
        <v>7329</v>
      </c>
      <c r="D24104" s="22" t="str">
        <f>HYPERLINK("https://rhld.insurance.arkansas.gov/NPILookup?Npi=1356902951","1356902951")</f>
        <v>1356902951</v>
      </c>
      <c r="E24104" s="1" t="s">
        <v>13018</v>
      </c>
      <c r="F24104" s="2"/>
      <c r="G24104" s="2"/>
      <c r="H24104" s="2"/>
    </row>
    <row r="24105" spans="1:8" x14ac:dyDescent="0.25">
      <c r="A24105" s="1"/>
      <c r="B24105" s="1" t="s">
        <v>7328</v>
      </c>
      <c r="C24105" s="1" t="s">
        <v>7329</v>
      </c>
      <c r="D24105" s="22" t="str">
        <f>HYPERLINK("https://rhld.insurance.arkansas.gov/NPILookup?Npi=1356909311","1356909311")</f>
        <v>1356909311</v>
      </c>
      <c r="E24105" s="1" t="s">
        <v>26715</v>
      </c>
      <c r="F24105" s="2"/>
      <c r="G24105" s="2"/>
      <c r="H24105" s="2"/>
    </row>
    <row r="24106" spans="1:8" x14ac:dyDescent="0.25">
      <c r="A24106" s="1"/>
      <c r="B24106" s="1" t="s">
        <v>7328</v>
      </c>
      <c r="C24106" s="1" t="s">
        <v>7329</v>
      </c>
      <c r="D24106" s="22" t="str">
        <f>HYPERLINK("https://rhld.insurance.arkansas.gov/NPILookup?Npi=1356920748","1356920748")</f>
        <v>1356920748</v>
      </c>
      <c r="E24106" s="1" t="s">
        <v>13019</v>
      </c>
      <c r="F24106" s="2"/>
      <c r="G24106" s="2"/>
      <c r="H24106" s="2"/>
    </row>
    <row r="24107" spans="1:8" x14ac:dyDescent="0.25">
      <c r="A24107" s="1"/>
      <c r="B24107" s="1" t="s">
        <v>7328</v>
      </c>
      <c r="C24107" s="1" t="s">
        <v>7329</v>
      </c>
      <c r="D24107" s="22" t="str">
        <f>HYPERLINK("https://rhld.insurance.arkansas.gov/NPILookup?Npi=1356921076","1356921076")</f>
        <v>1356921076</v>
      </c>
      <c r="E24107" s="1" t="s">
        <v>26716</v>
      </c>
      <c r="F24107" s="2"/>
      <c r="G24107" s="2"/>
      <c r="H24107" s="2"/>
    </row>
    <row r="24108" spans="1:8" x14ac:dyDescent="0.25">
      <c r="A24108" s="1"/>
      <c r="B24108" s="1" t="s">
        <v>7328</v>
      </c>
      <c r="C24108" s="1" t="s">
        <v>7329</v>
      </c>
      <c r="D24108" s="22" t="str">
        <f>HYPERLINK("https://rhld.insurance.arkansas.gov/NPILookup?Npi=1356928758","1356928758")</f>
        <v>1356928758</v>
      </c>
      <c r="E24108" s="1" t="s">
        <v>26717</v>
      </c>
      <c r="F24108" s="2"/>
      <c r="G24108" s="2"/>
      <c r="H24108" s="2"/>
    </row>
    <row r="24109" spans="1:8" x14ac:dyDescent="0.25">
      <c r="A24109" s="1"/>
      <c r="B24109" s="1" t="s">
        <v>7328</v>
      </c>
      <c r="C24109" s="1" t="s">
        <v>7329</v>
      </c>
      <c r="D24109" s="22" t="str">
        <f>HYPERLINK("https://rhld.insurance.arkansas.gov/NPILookup?Npi=1356931992","1356931992")</f>
        <v>1356931992</v>
      </c>
      <c r="E24109" s="1" t="s">
        <v>26718</v>
      </c>
      <c r="F24109" s="2"/>
      <c r="G24109" s="2"/>
      <c r="H24109" s="2"/>
    </row>
    <row r="24110" spans="1:8" x14ac:dyDescent="0.25">
      <c r="A24110" s="1"/>
      <c r="B24110" s="1" t="s">
        <v>7328</v>
      </c>
      <c r="C24110" s="1" t="s">
        <v>7329</v>
      </c>
      <c r="D24110" s="22" t="str">
        <f>HYPERLINK("https://rhld.insurance.arkansas.gov/NPILookup?Npi=1356937593","1356937593")</f>
        <v>1356937593</v>
      </c>
      <c r="E24110" s="1" t="s">
        <v>26719</v>
      </c>
      <c r="F24110" s="2"/>
      <c r="G24110" s="2"/>
      <c r="H24110" s="2"/>
    </row>
    <row r="24111" spans="1:8" x14ac:dyDescent="0.25">
      <c r="A24111" s="1"/>
      <c r="B24111" s="1" t="s">
        <v>7328</v>
      </c>
      <c r="C24111" s="1" t="s">
        <v>7329</v>
      </c>
      <c r="D24111" s="22" t="str">
        <f>HYPERLINK("https://rhld.insurance.arkansas.gov/NPILookup?Npi=1356941645","1356941645")</f>
        <v>1356941645</v>
      </c>
      <c r="E24111" s="1" t="s">
        <v>26720</v>
      </c>
      <c r="F24111" s="2"/>
      <c r="G24111" s="2"/>
      <c r="H24111" s="2"/>
    </row>
    <row r="24112" spans="1:8" x14ac:dyDescent="0.25">
      <c r="A24112" s="1"/>
      <c r="B24112" s="1" t="s">
        <v>7328</v>
      </c>
      <c r="C24112" s="1" t="s">
        <v>7329</v>
      </c>
      <c r="D24112" s="22" t="str">
        <f>HYPERLINK("https://rhld.insurance.arkansas.gov/NPILookup?Npi=1356957344","1356957344")</f>
        <v>1356957344</v>
      </c>
      <c r="E24112" s="1" t="s">
        <v>1637</v>
      </c>
      <c r="F24112" s="2"/>
      <c r="G24112" s="2"/>
      <c r="H24112" s="2"/>
    </row>
    <row r="24113" spans="1:8" x14ac:dyDescent="0.25">
      <c r="A24113" s="1"/>
      <c r="B24113" s="1" t="s">
        <v>7328</v>
      </c>
      <c r="C24113" s="1" t="s">
        <v>7329</v>
      </c>
      <c r="D24113" s="22" t="str">
        <f>HYPERLINK("https://rhld.insurance.arkansas.gov/NPILookup?Npi=1356978142","1356978142")</f>
        <v>1356978142</v>
      </c>
      <c r="E24113" s="1" t="s">
        <v>26721</v>
      </c>
      <c r="F24113" s="2"/>
      <c r="G24113" s="2"/>
      <c r="H24113" s="2"/>
    </row>
    <row r="24114" spans="1:8" x14ac:dyDescent="0.25">
      <c r="A24114" s="1"/>
      <c r="B24114" s="1" t="s">
        <v>7328</v>
      </c>
      <c r="C24114" s="1" t="s">
        <v>7329</v>
      </c>
      <c r="D24114" s="22" t="str">
        <f>HYPERLINK("https://rhld.insurance.arkansas.gov/NPILookup?Npi=1356984256","1356984256")</f>
        <v>1356984256</v>
      </c>
      <c r="E24114" s="1" t="s">
        <v>26722</v>
      </c>
      <c r="F24114" s="2"/>
      <c r="G24114" s="2"/>
      <c r="H24114" s="2"/>
    </row>
    <row r="24115" spans="1:8" x14ac:dyDescent="0.25">
      <c r="A24115" s="1"/>
      <c r="B24115" s="1" t="s">
        <v>7328</v>
      </c>
      <c r="C24115" s="1" t="s">
        <v>7329</v>
      </c>
      <c r="D24115" s="22" t="str">
        <f>HYPERLINK("https://rhld.insurance.arkansas.gov/NPILookup?Npi=1366016628","1366016628")</f>
        <v>1366016628</v>
      </c>
      <c r="E24115" s="1" t="s">
        <v>7688</v>
      </c>
      <c r="F24115" s="2"/>
      <c r="G24115" s="2"/>
      <c r="H24115" s="2"/>
    </row>
    <row r="24116" spans="1:8" x14ac:dyDescent="0.25">
      <c r="A24116" s="1"/>
      <c r="B24116" s="1" t="s">
        <v>7328</v>
      </c>
      <c r="C24116" s="1" t="s">
        <v>7329</v>
      </c>
      <c r="D24116" s="22" t="str">
        <f>HYPERLINK("https://rhld.insurance.arkansas.gov/NPILookup?Npi=1366021867","1366021867")</f>
        <v>1366021867</v>
      </c>
      <c r="E24116" s="1" t="s">
        <v>26723</v>
      </c>
      <c r="F24116" s="2"/>
      <c r="G24116" s="2"/>
      <c r="H24116" s="2"/>
    </row>
    <row r="24117" spans="1:8" x14ac:dyDescent="0.25">
      <c r="A24117" s="1"/>
      <c r="B24117" s="1" t="s">
        <v>7328</v>
      </c>
      <c r="C24117" s="1" t="s">
        <v>7329</v>
      </c>
      <c r="D24117" s="22" t="str">
        <f>HYPERLINK("https://rhld.insurance.arkansas.gov/NPILookup?Npi=1366021933","1366021933")</f>
        <v>1366021933</v>
      </c>
      <c r="E24117" s="1" t="s">
        <v>26724</v>
      </c>
      <c r="F24117" s="2"/>
      <c r="G24117" s="2"/>
      <c r="H24117" s="2"/>
    </row>
    <row r="24118" spans="1:8" x14ac:dyDescent="0.25">
      <c r="A24118" s="1"/>
      <c r="B24118" s="1" t="s">
        <v>7328</v>
      </c>
      <c r="C24118" s="1" t="s">
        <v>7329</v>
      </c>
      <c r="D24118" s="22" t="str">
        <f>HYPERLINK("https://rhld.insurance.arkansas.gov/NPILookup?Npi=1366044182","1366044182")</f>
        <v>1366044182</v>
      </c>
      <c r="E24118" s="1" t="s">
        <v>7689</v>
      </c>
      <c r="F24118" s="2"/>
      <c r="G24118" s="2"/>
      <c r="H24118" s="2"/>
    </row>
    <row r="24119" spans="1:8" x14ac:dyDescent="0.25">
      <c r="A24119" s="1"/>
      <c r="B24119" s="1" t="s">
        <v>7328</v>
      </c>
      <c r="C24119" s="1" t="s">
        <v>7329</v>
      </c>
      <c r="D24119" s="22" t="str">
        <f>HYPERLINK("https://rhld.insurance.arkansas.gov/NPILookup?Npi=1366054959","1366054959")</f>
        <v>1366054959</v>
      </c>
      <c r="E24119" s="1" t="s">
        <v>13020</v>
      </c>
      <c r="F24119" s="2"/>
      <c r="G24119" s="2"/>
      <c r="H24119" s="2"/>
    </row>
    <row r="24120" spans="1:8" x14ac:dyDescent="0.25">
      <c r="A24120" s="1"/>
      <c r="B24120" s="1" t="s">
        <v>7328</v>
      </c>
      <c r="C24120" s="1" t="s">
        <v>7329</v>
      </c>
      <c r="D24120" s="22" t="str">
        <f>HYPERLINK("https://rhld.insurance.arkansas.gov/NPILookup?Npi=1366069551","1366069551")</f>
        <v>1366069551</v>
      </c>
      <c r="E24120" s="1" t="s">
        <v>13021</v>
      </c>
      <c r="F24120" s="2"/>
      <c r="G24120" s="2"/>
      <c r="H24120" s="2"/>
    </row>
    <row r="24121" spans="1:8" x14ac:dyDescent="0.25">
      <c r="A24121" s="1"/>
      <c r="B24121" s="1" t="s">
        <v>7328</v>
      </c>
      <c r="C24121" s="1" t="s">
        <v>7329</v>
      </c>
      <c r="D24121" s="22" t="str">
        <f>HYPERLINK("https://rhld.insurance.arkansas.gov/NPILookup?Npi=1366070765","1366070765")</f>
        <v>1366070765</v>
      </c>
      <c r="E24121" s="1" t="s">
        <v>26725</v>
      </c>
      <c r="F24121" s="2"/>
      <c r="G24121" s="2"/>
      <c r="H24121" s="2"/>
    </row>
    <row r="24122" spans="1:8" x14ac:dyDescent="0.25">
      <c r="A24122" s="1"/>
      <c r="B24122" s="1" t="s">
        <v>7328</v>
      </c>
      <c r="C24122" s="1" t="s">
        <v>7329</v>
      </c>
      <c r="D24122" s="22" t="str">
        <f>HYPERLINK("https://rhld.insurance.arkansas.gov/NPILookup?Npi=1366071540","1366071540")</f>
        <v>1366071540</v>
      </c>
      <c r="E24122" s="1" t="s">
        <v>13022</v>
      </c>
      <c r="F24122" s="2"/>
      <c r="G24122" s="2"/>
      <c r="H24122" s="2"/>
    </row>
    <row r="24123" spans="1:8" x14ac:dyDescent="0.25">
      <c r="A24123" s="1"/>
      <c r="B24123" s="1" t="s">
        <v>7328</v>
      </c>
      <c r="C24123" s="1" t="s">
        <v>7329</v>
      </c>
      <c r="D24123" s="22" t="str">
        <f>HYPERLINK("https://rhld.insurance.arkansas.gov/NPILookup?Npi=1366074452","1366074452")</f>
        <v>1366074452</v>
      </c>
      <c r="E24123" s="1" t="s">
        <v>26726</v>
      </c>
      <c r="F24123" s="2"/>
      <c r="G24123" s="2"/>
      <c r="H24123" s="2"/>
    </row>
    <row r="24124" spans="1:8" x14ac:dyDescent="0.25">
      <c r="A24124" s="1"/>
      <c r="B24124" s="1" t="s">
        <v>7328</v>
      </c>
      <c r="C24124" s="1" t="s">
        <v>7329</v>
      </c>
      <c r="D24124" s="22" t="str">
        <f>HYPERLINK("https://rhld.insurance.arkansas.gov/NPILookup?Npi=1366076010","1366076010")</f>
        <v>1366076010</v>
      </c>
      <c r="E24124" s="1" t="s">
        <v>1574</v>
      </c>
      <c r="F24124" s="2"/>
      <c r="G24124" s="2"/>
      <c r="H24124" s="2"/>
    </row>
    <row r="24125" spans="1:8" x14ac:dyDescent="0.25">
      <c r="A24125" s="1"/>
      <c r="B24125" s="1" t="s">
        <v>7328</v>
      </c>
      <c r="C24125" s="1" t="s">
        <v>7329</v>
      </c>
      <c r="D24125" s="22" t="str">
        <f>HYPERLINK("https://rhld.insurance.arkansas.gov/NPILookup?Npi=1366086787","1366086787")</f>
        <v>1366086787</v>
      </c>
      <c r="E24125" s="1" t="s">
        <v>2791</v>
      </c>
      <c r="F24125" s="2"/>
      <c r="G24125" s="2"/>
      <c r="H24125" s="2"/>
    </row>
    <row r="24126" spans="1:8" x14ac:dyDescent="0.25">
      <c r="A24126" s="1"/>
      <c r="B24126" s="1" t="s">
        <v>7328</v>
      </c>
      <c r="C24126" s="1" t="s">
        <v>7329</v>
      </c>
      <c r="D24126" s="22" t="str">
        <f>HYPERLINK("https://rhld.insurance.arkansas.gov/NPILookup?Npi=1366088775","1366088775")</f>
        <v>1366088775</v>
      </c>
      <c r="E24126" s="1" t="s">
        <v>18073</v>
      </c>
      <c r="F24126" s="2"/>
      <c r="G24126" s="2"/>
      <c r="H24126" s="2"/>
    </row>
    <row r="24127" spans="1:8" x14ac:dyDescent="0.25">
      <c r="A24127" s="1"/>
      <c r="B24127" s="1" t="s">
        <v>7328</v>
      </c>
      <c r="C24127" s="1" t="s">
        <v>7329</v>
      </c>
      <c r="D24127" s="22" t="str">
        <f>HYPERLINK("https://rhld.insurance.arkansas.gov/NPILookup?Npi=1366089740","1366089740")</f>
        <v>1366089740</v>
      </c>
      <c r="E24127" s="1" t="s">
        <v>26727</v>
      </c>
      <c r="F24127" s="2"/>
      <c r="G24127" s="2"/>
      <c r="H24127" s="2"/>
    </row>
    <row r="24128" spans="1:8" x14ac:dyDescent="0.25">
      <c r="A24128" s="1"/>
      <c r="B24128" s="1" t="s">
        <v>7328</v>
      </c>
      <c r="C24128" s="1" t="s">
        <v>7329</v>
      </c>
      <c r="D24128" s="22" t="str">
        <f>HYPERLINK("https://rhld.insurance.arkansas.gov/NPILookup?Npi=1366102253","1366102253")</f>
        <v>1366102253</v>
      </c>
      <c r="E24128" s="1" t="s">
        <v>7690</v>
      </c>
      <c r="F24128" s="2"/>
      <c r="G24128" s="2"/>
      <c r="H24128" s="2"/>
    </row>
    <row r="24129" spans="1:8" x14ac:dyDescent="0.25">
      <c r="A24129" s="1"/>
      <c r="B24129" s="1" t="s">
        <v>7328</v>
      </c>
      <c r="C24129" s="1" t="s">
        <v>7329</v>
      </c>
      <c r="D24129" s="22" t="str">
        <f>HYPERLINK("https://rhld.insurance.arkansas.gov/NPILookup?Npi=1366103939","1366103939")</f>
        <v>1366103939</v>
      </c>
      <c r="E24129" s="1" t="s">
        <v>26728</v>
      </c>
      <c r="F24129" s="2"/>
      <c r="G24129" s="2"/>
      <c r="H24129" s="2"/>
    </row>
    <row r="24130" spans="1:8" x14ac:dyDescent="0.25">
      <c r="A24130" s="1"/>
      <c r="B24130" s="1" t="s">
        <v>7328</v>
      </c>
      <c r="C24130" s="1" t="s">
        <v>7329</v>
      </c>
      <c r="D24130" s="22" t="str">
        <f>HYPERLINK("https://rhld.insurance.arkansas.gov/NPILookup?Npi=1366107369","1366107369")</f>
        <v>1366107369</v>
      </c>
      <c r="E24130" s="1" t="s">
        <v>26729</v>
      </c>
      <c r="F24130" s="2"/>
      <c r="G24130" s="2"/>
      <c r="H24130" s="2"/>
    </row>
    <row r="24131" spans="1:8" x14ac:dyDescent="0.25">
      <c r="A24131" s="1"/>
      <c r="B24131" s="1" t="s">
        <v>7328</v>
      </c>
      <c r="C24131" s="1" t="s">
        <v>7329</v>
      </c>
      <c r="D24131" s="22" t="str">
        <f>HYPERLINK("https://rhld.insurance.arkansas.gov/NPILookup?Npi=1366111460","1366111460")</f>
        <v>1366111460</v>
      </c>
      <c r="E24131" s="1" t="s">
        <v>26730</v>
      </c>
      <c r="F24131" s="2"/>
      <c r="G24131" s="2"/>
      <c r="H24131" s="2"/>
    </row>
    <row r="24132" spans="1:8" x14ac:dyDescent="0.25">
      <c r="A24132" s="1"/>
      <c r="B24132" s="1" t="s">
        <v>7328</v>
      </c>
      <c r="C24132" s="1" t="s">
        <v>7329</v>
      </c>
      <c r="D24132" s="22" t="str">
        <f>HYPERLINK("https://rhld.insurance.arkansas.gov/NPILookup?Npi=1366114829","1366114829")</f>
        <v>1366114829</v>
      </c>
      <c r="E24132" s="1" t="s">
        <v>26731</v>
      </c>
      <c r="F24132" s="2"/>
      <c r="G24132" s="2"/>
      <c r="H24132" s="2"/>
    </row>
    <row r="24133" spans="1:8" x14ac:dyDescent="0.25">
      <c r="A24133" s="1"/>
      <c r="B24133" s="1" t="s">
        <v>7328</v>
      </c>
      <c r="C24133" s="1" t="s">
        <v>7329</v>
      </c>
      <c r="D24133" s="22" t="str">
        <f>HYPERLINK("https://rhld.insurance.arkansas.gov/NPILookup?Npi=1366119752","1366119752")</f>
        <v>1366119752</v>
      </c>
      <c r="E24133" s="1" t="s">
        <v>26732</v>
      </c>
      <c r="F24133" s="2"/>
      <c r="G24133" s="2"/>
      <c r="H24133" s="2"/>
    </row>
    <row r="24134" spans="1:8" x14ac:dyDescent="0.25">
      <c r="A24134" s="1"/>
      <c r="B24134" s="1" t="s">
        <v>7328</v>
      </c>
      <c r="C24134" s="1" t="s">
        <v>7329</v>
      </c>
      <c r="D24134" s="22" t="str">
        <f>HYPERLINK("https://rhld.insurance.arkansas.gov/NPILookup?Npi=1366154189","1366154189")</f>
        <v>1366154189</v>
      </c>
      <c r="E24134" s="1" t="s">
        <v>13023</v>
      </c>
      <c r="F24134" s="2"/>
      <c r="G24134" s="2"/>
      <c r="H24134" s="2"/>
    </row>
    <row r="24135" spans="1:8" x14ac:dyDescent="0.25">
      <c r="A24135" s="1"/>
      <c r="B24135" s="1" t="s">
        <v>7328</v>
      </c>
      <c r="C24135" s="1" t="s">
        <v>7329</v>
      </c>
      <c r="D24135" s="22" t="str">
        <f>HYPERLINK("https://rhld.insurance.arkansas.gov/NPILookup?Npi=1366199325","1366199325")</f>
        <v>1366199325</v>
      </c>
      <c r="E24135" s="1" t="s">
        <v>2376</v>
      </c>
      <c r="F24135" s="2"/>
      <c r="G24135" s="2"/>
      <c r="H24135" s="2"/>
    </row>
    <row r="24136" spans="1:8" x14ac:dyDescent="0.25">
      <c r="A24136" s="1"/>
      <c r="B24136" s="1" t="s">
        <v>7328</v>
      </c>
      <c r="C24136" s="1" t="s">
        <v>7329</v>
      </c>
      <c r="D24136" s="22" t="str">
        <f>HYPERLINK("https://rhld.insurance.arkansas.gov/NPILookup?Npi=1366205254","1366205254")</f>
        <v>1366205254</v>
      </c>
      <c r="E24136" s="1" t="s">
        <v>26733</v>
      </c>
      <c r="F24136" s="2"/>
      <c r="G24136" s="2"/>
      <c r="H24136" s="2"/>
    </row>
    <row r="24137" spans="1:8" x14ac:dyDescent="0.25">
      <c r="A24137" s="1"/>
      <c r="B24137" s="1" t="s">
        <v>7328</v>
      </c>
      <c r="C24137" s="1" t="s">
        <v>7329</v>
      </c>
      <c r="D24137" s="22" t="str">
        <f>HYPERLINK("https://rhld.insurance.arkansas.gov/NPILookup?Npi=1366258774","1366258774")</f>
        <v>1366258774</v>
      </c>
      <c r="E24137" s="1" t="s">
        <v>32204</v>
      </c>
      <c r="F24137" s="2"/>
      <c r="G24137" s="2"/>
      <c r="H24137" s="2"/>
    </row>
    <row r="24138" spans="1:8" x14ac:dyDescent="0.25">
      <c r="A24138" s="1"/>
      <c r="B24138" s="1" t="s">
        <v>7328</v>
      </c>
      <c r="C24138" s="1" t="s">
        <v>7329</v>
      </c>
      <c r="D24138" s="22" t="str">
        <f>HYPERLINK("https://rhld.insurance.arkansas.gov/NPILookup?Npi=1366268930","1366268930")</f>
        <v>1366268930</v>
      </c>
      <c r="E24138" s="1" t="s">
        <v>32205</v>
      </c>
      <c r="F24138" s="2"/>
      <c r="G24138" s="2"/>
      <c r="H24138" s="2"/>
    </row>
    <row r="24139" spans="1:8" x14ac:dyDescent="0.25">
      <c r="A24139" s="1"/>
      <c r="B24139" s="1" t="s">
        <v>7328</v>
      </c>
      <c r="C24139" s="1" t="s">
        <v>7329</v>
      </c>
      <c r="D24139" s="22" t="str">
        <f>HYPERLINK("https://rhld.insurance.arkansas.gov/NPILookup?Npi=1366285546","1366285546")</f>
        <v>1366285546</v>
      </c>
      <c r="E24139" s="1" t="s">
        <v>32206</v>
      </c>
      <c r="F24139" s="2"/>
      <c r="G24139" s="2"/>
      <c r="H24139" s="2"/>
    </row>
    <row r="24140" spans="1:8" x14ac:dyDescent="0.25">
      <c r="A24140" s="1"/>
      <c r="B24140" s="1" t="s">
        <v>7328</v>
      </c>
      <c r="C24140" s="1" t="s">
        <v>7329</v>
      </c>
      <c r="D24140" s="22" t="str">
        <f>HYPERLINK("https://rhld.insurance.arkansas.gov/NPILookup?Npi=1366402448","1366402448")</f>
        <v>1366402448</v>
      </c>
      <c r="E24140" s="1" t="s">
        <v>16665</v>
      </c>
      <c r="F24140" s="2"/>
      <c r="G24140" s="2"/>
      <c r="H24140" s="2"/>
    </row>
    <row r="24141" spans="1:8" x14ac:dyDescent="0.25">
      <c r="A24141" s="1"/>
      <c r="B24141" s="1" t="s">
        <v>7328</v>
      </c>
      <c r="C24141" s="1" t="s">
        <v>7329</v>
      </c>
      <c r="D24141" s="22" t="str">
        <f>HYPERLINK("https://rhld.insurance.arkansas.gov/NPILookup?Npi=1366403479","1366403479")</f>
        <v>1366403479</v>
      </c>
      <c r="E24141" s="1" t="s">
        <v>102</v>
      </c>
      <c r="F24141" s="2"/>
      <c r="G24141" s="2"/>
      <c r="H24141" s="2"/>
    </row>
    <row r="24142" spans="1:8" x14ac:dyDescent="0.25">
      <c r="A24142" s="1"/>
      <c r="B24142" s="1" t="s">
        <v>7328</v>
      </c>
      <c r="C24142" s="1" t="s">
        <v>7329</v>
      </c>
      <c r="D24142" s="22" t="str">
        <f>HYPERLINK("https://rhld.insurance.arkansas.gov/NPILookup?Npi=1366403560","1366403560")</f>
        <v>1366403560</v>
      </c>
      <c r="E24142" s="1" t="s">
        <v>20373</v>
      </c>
      <c r="F24142" s="2"/>
      <c r="G24142" s="2"/>
      <c r="H24142" s="2"/>
    </row>
    <row r="24143" spans="1:8" x14ac:dyDescent="0.25">
      <c r="A24143" s="1"/>
      <c r="B24143" s="1" t="s">
        <v>7328</v>
      </c>
      <c r="C24143" s="1" t="s">
        <v>7329</v>
      </c>
      <c r="D24143" s="22" t="str">
        <f>HYPERLINK("https://rhld.insurance.arkansas.gov/NPILookup?Npi=1366409930","1366409930")</f>
        <v>1366409930</v>
      </c>
      <c r="E24143" s="1" t="s">
        <v>17460</v>
      </c>
      <c r="F24143" s="2"/>
      <c r="G24143" s="2"/>
      <c r="H24143" s="2"/>
    </row>
    <row r="24144" spans="1:8" x14ac:dyDescent="0.25">
      <c r="A24144" s="1"/>
      <c r="B24144" s="1" t="s">
        <v>7328</v>
      </c>
      <c r="C24144" s="1" t="s">
        <v>7329</v>
      </c>
      <c r="D24144" s="22" t="str">
        <f>HYPERLINK("https://rhld.insurance.arkansas.gov/NPILookup?Npi=1366432247","1366432247")</f>
        <v>1366432247</v>
      </c>
      <c r="E24144" s="1" t="s">
        <v>17461</v>
      </c>
      <c r="F24144" s="2"/>
      <c r="G24144" s="2"/>
      <c r="H24144" s="2"/>
    </row>
    <row r="24145" spans="1:8" x14ac:dyDescent="0.25">
      <c r="A24145" s="1"/>
      <c r="B24145" s="1" t="s">
        <v>7328</v>
      </c>
      <c r="C24145" s="1" t="s">
        <v>7329</v>
      </c>
      <c r="D24145" s="22" t="str">
        <f>HYPERLINK("https://rhld.insurance.arkansas.gov/NPILookup?Npi=1366434680","1366434680")</f>
        <v>1366434680</v>
      </c>
      <c r="E24145" s="1" t="s">
        <v>26734</v>
      </c>
      <c r="F24145" s="2"/>
      <c r="G24145" s="2"/>
      <c r="H24145" s="2"/>
    </row>
    <row r="24146" spans="1:8" x14ac:dyDescent="0.25">
      <c r="A24146" s="1"/>
      <c r="B24146" s="1" t="s">
        <v>7328</v>
      </c>
      <c r="C24146" s="1" t="s">
        <v>7329</v>
      </c>
      <c r="D24146" s="22" t="str">
        <f>HYPERLINK("https://rhld.insurance.arkansas.gov/NPILookup?Npi=1366438384","1366438384")</f>
        <v>1366438384</v>
      </c>
      <c r="E24146" s="1" t="s">
        <v>17462</v>
      </c>
      <c r="F24146" s="2"/>
      <c r="G24146" s="2"/>
      <c r="H24146" s="2"/>
    </row>
    <row r="24147" spans="1:8" x14ac:dyDescent="0.25">
      <c r="A24147" s="1"/>
      <c r="B24147" s="1" t="s">
        <v>7328</v>
      </c>
      <c r="C24147" s="1" t="s">
        <v>7329</v>
      </c>
      <c r="D24147" s="22" t="str">
        <f>HYPERLINK("https://rhld.insurance.arkansas.gov/NPILookup?Npi=1366449274","1366449274")</f>
        <v>1366449274</v>
      </c>
      <c r="E24147" s="1" t="s">
        <v>26735</v>
      </c>
      <c r="F24147" s="2"/>
      <c r="G24147" s="2"/>
      <c r="H24147" s="2"/>
    </row>
    <row r="24148" spans="1:8" x14ac:dyDescent="0.25">
      <c r="A24148" s="1"/>
      <c r="B24148" s="1" t="s">
        <v>7328</v>
      </c>
      <c r="C24148" s="1" t="s">
        <v>7329</v>
      </c>
      <c r="D24148" s="22" t="str">
        <f>HYPERLINK("https://rhld.insurance.arkansas.gov/NPILookup?Npi=1366454209","1366454209")</f>
        <v>1366454209</v>
      </c>
      <c r="E24148" s="1" t="s">
        <v>26736</v>
      </c>
      <c r="F24148" s="2"/>
      <c r="G24148" s="2"/>
      <c r="H24148" s="2"/>
    </row>
    <row r="24149" spans="1:8" x14ac:dyDescent="0.25">
      <c r="A24149" s="1"/>
      <c r="B24149" s="1" t="s">
        <v>7328</v>
      </c>
      <c r="C24149" s="1" t="s">
        <v>7329</v>
      </c>
      <c r="D24149" s="22" t="str">
        <f>HYPERLINK("https://rhld.insurance.arkansas.gov/NPILookup?Npi=1366459224","1366459224")</f>
        <v>1366459224</v>
      </c>
      <c r="E24149" s="1" t="s">
        <v>26737</v>
      </c>
      <c r="F24149" s="2"/>
      <c r="G24149" s="2"/>
      <c r="H24149" s="2"/>
    </row>
    <row r="24150" spans="1:8" x14ac:dyDescent="0.25">
      <c r="A24150" s="1"/>
      <c r="B24150" s="1" t="s">
        <v>7328</v>
      </c>
      <c r="C24150" s="1" t="s">
        <v>7329</v>
      </c>
      <c r="D24150" s="22" t="str">
        <f>HYPERLINK("https://rhld.insurance.arkansas.gov/NPILookup?Npi=1366469959","1366469959")</f>
        <v>1366469959</v>
      </c>
      <c r="E24150" s="1" t="s">
        <v>26738</v>
      </c>
      <c r="F24150" s="2"/>
      <c r="G24150" s="2"/>
      <c r="H24150" s="2"/>
    </row>
    <row r="24151" spans="1:8" x14ac:dyDescent="0.25">
      <c r="A24151" s="1"/>
      <c r="B24151" s="1" t="s">
        <v>7328</v>
      </c>
      <c r="C24151" s="1" t="s">
        <v>7329</v>
      </c>
      <c r="D24151" s="22" t="str">
        <f>HYPERLINK("https://rhld.insurance.arkansas.gov/NPILookup?Npi=1366470205","1366470205")</f>
        <v>1366470205</v>
      </c>
      <c r="E24151" s="1" t="s">
        <v>1091</v>
      </c>
      <c r="F24151" s="2"/>
      <c r="G24151" s="2"/>
      <c r="H24151" s="2"/>
    </row>
    <row r="24152" spans="1:8" x14ac:dyDescent="0.25">
      <c r="A24152" s="1"/>
      <c r="B24152" s="1" t="s">
        <v>7328</v>
      </c>
      <c r="C24152" s="1" t="s">
        <v>7329</v>
      </c>
      <c r="D24152" s="22" t="str">
        <f>HYPERLINK("https://rhld.insurance.arkansas.gov/NPILookup?Npi=1366472144","1366472144")</f>
        <v>1366472144</v>
      </c>
      <c r="E24152" s="1" t="s">
        <v>26739</v>
      </c>
      <c r="F24152" s="2"/>
      <c r="G24152" s="2"/>
      <c r="H24152" s="2"/>
    </row>
    <row r="24153" spans="1:8" x14ac:dyDescent="0.25">
      <c r="A24153" s="1"/>
      <c r="B24153" s="1" t="s">
        <v>7328</v>
      </c>
      <c r="C24153" s="1" t="s">
        <v>7329</v>
      </c>
      <c r="D24153" s="22" t="str">
        <f>HYPERLINK("https://rhld.insurance.arkansas.gov/NPILookup?Npi=1366478588","1366478588")</f>
        <v>1366478588</v>
      </c>
      <c r="E24153" s="1" t="s">
        <v>26740</v>
      </c>
      <c r="F24153" s="2"/>
      <c r="G24153" s="2"/>
      <c r="H24153" s="2"/>
    </row>
    <row r="24154" spans="1:8" x14ac:dyDescent="0.25">
      <c r="A24154" s="1"/>
      <c r="B24154" s="1" t="s">
        <v>7328</v>
      </c>
      <c r="C24154" s="1" t="s">
        <v>7329</v>
      </c>
      <c r="D24154" s="22" t="str">
        <f>HYPERLINK("https://rhld.insurance.arkansas.gov/NPILookup?Npi=1366479818","1366479818")</f>
        <v>1366479818</v>
      </c>
      <c r="E24154" s="1" t="s">
        <v>2792</v>
      </c>
      <c r="F24154" s="2"/>
      <c r="G24154" s="2"/>
      <c r="H24154" s="2"/>
    </row>
    <row r="24155" spans="1:8" x14ac:dyDescent="0.25">
      <c r="A24155" s="1"/>
      <c r="B24155" s="1" t="s">
        <v>7328</v>
      </c>
      <c r="C24155" s="1" t="s">
        <v>7329</v>
      </c>
      <c r="D24155" s="22" t="str">
        <f>HYPERLINK("https://rhld.insurance.arkansas.gov/NPILookup?Npi=1366480055","1366480055")</f>
        <v>1366480055</v>
      </c>
      <c r="E24155" s="1" t="s">
        <v>26741</v>
      </c>
      <c r="F24155" s="2"/>
      <c r="G24155" s="2"/>
      <c r="H24155" s="2"/>
    </row>
    <row r="24156" spans="1:8" x14ac:dyDescent="0.25">
      <c r="A24156" s="1"/>
      <c r="B24156" s="1" t="s">
        <v>7328</v>
      </c>
      <c r="C24156" s="1" t="s">
        <v>7329</v>
      </c>
      <c r="D24156" s="22" t="str">
        <f>HYPERLINK("https://rhld.insurance.arkansas.gov/NPILookup?Npi=1366508756","1366508756")</f>
        <v>1366508756</v>
      </c>
      <c r="E24156" s="1" t="s">
        <v>26742</v>
      </c>
      <c r="F24156" s="2"/>
      <c r="G24156" s="2"/>
      <c r="H24156" s="2"/>
    </row>
    <row r="24157" spans="1:8" x14ac:dyDescent="0.25">
      <c r="A24157" s="1"/>
      <c r="B24157" s="1" t="s">
        <v>7328</v>
      </c>
      <c r="C24157" s="1" t="s">
        <v>7329</v>
      </c>
      <c r="D24157" s="22" t="str">
        <f>HYPERLINK("https://rhld.insurance.arkansas.gov/NPILookup?Npi=1366508780","1366508780")</f>
        <v>1366508780</v>
      </c>
      <c r="E24157" s="1" t="s">
        <v>2793</v>
      </c>
      <c r="F24157" s="2"/>
      <c r="G24157" s="2"/>
      <c r="H24157" s="2"/>
    </row>
    <row r="24158" spans="1:8" x14ac:dyDescent="0.25">
      <c r="A24158" s="1"/>
      <c r="B24158" s="1" t="s">
        <v>7328</v>
      </c>
      <c r="C24158" s="1" t="s">
        <v>7329</v>
      </c>
      <c r="D24158" s="22" t="str">
        <f>HYPERLINK("https://rhld.insurance.arkansas.gov/NPILookup?Npi=1366511289","1366511289")</f>
        <v>1366511289</v>
      </c>
      <c r="E24158" s="1" t="s">
        <v>7691</v>
      </c>
      <c r="F24158" s="2"/>
      <c r="G24158" s="2"/>
      <c r="H24158" s="2"/>
    </row>
    <row r="24159" spans="1:8" x14ac:dyDescent="0.25">
      <c r="A24159" s="1"/>
      <c r="B24159" s="1" t="s">
        <v>7328</v>
      </c>
      <c r="C24159" s="1" t="s">
        <v>7329</v>
      </c>
      <c r="D24159" s="22" t="str">
        <f>HYPERLINK("https://rhld.insurance.arkansas.gov/NPILookup?Npi=1366518938","1366518938")</f>
        <v>1366518938</v>
      </c>
      <c r="E24159" s="1" t="s">
        <v>26743</v>
      </c>
      <c r="F24159" s="2"/>
      <c r="G24159" s="2"/>
      <c r="H24159" s="2"/>
    </row>
    <row r="24160" spans="1:8" x14ac:dyDescent="0.25">
      <c r="A24160" s="1"/>
      <c r="B24160" s="1" t="s">
        <v>7328</v>
      </c>
      <c r="C24160" s="1" t="s">
        <v>7329</v>
      </c>
      <c r="D24160" s="22" t="str">
        <f>HYPERLINK("https://rhld.insurance.arkansas.gov/NPILookup?Npi=1366533937","1366533937")</f>
        <v>1366533937</v>
      </c>
      <c r="E24160" s="1" t="s">
        <v>7692</v>
      </c>
      <c r="F24160" s="2"/>
      <c r="G24160" s="2"/>
      <c r="H24160" s="2"/>
    </row>
    <row r="24161" spans="1:8" x14ac:dyDescent="0.25">
      <c r="A24161" s="1"/>
      <c r="B24161" s="1" t="s">
        <v>7328</v>
      </c>
      <c r="C24161" s="1" t="s">
        <v>7329</v>
      </c>
      <c r="D24161" s="22" t="str">
        <f>HYPERLINK("https://rhld.insurance.arkansas.gov/NPILookup?Npi=1366537466","1366537466")</f>
        <v>1366537466</v>
      </c>
      <c r="E24161" s="1" t="s">
        <v>26744</v>
      </c>
      <c r="F24161" s="2"/>
      <c r="G24161" s="2"/>
      <c r="H24161" s="2"/>
    </row>
    <row r="24162" spans="1:8" x14ac:dyDescent="0.25">
      <c r="A24162" s="1"/>
      <c r="B24162" s="1" t="s">
        <v>7328</v>
      </c>
      <c r="C24162" s="1" t="s">
        <v>7329</v>
      </c>
      <c r="D24162" s="22" t="str">
        <f>HYPERLINK("https://rhld.insurance.arkansas.gov/NPILookup?Npi=1366554743","1366554743")</f>
        <v>1366554743</v>
      </c>
      <c r="E24162" s="1" t="s">
        <v>26745</v>
      </c>
      <c r="F24162" s="2"/>
      <c r="G24162" s="2"/>
      <c r="H24162" s="2"/>
    </row>
    <row r="24163" spans="1:8" x14ac:dyDescent="0.25">
      <c r="A24163" s="1"/>
      <c r="B24163" s="1" t="s">
        <v>7328</v>
      </c>
      <c r="C24163" s="1" t="s">
        <v>7329</v>
      </c>
      <c r="D24163" s="22" t="str">
        <f>HYPERLINK("https://rhld.insurance.arkansas.gov/NPILookup?Npi=1366596066","1366596066")</f>
        <v>1366596066</v>
      </c>
      <c r="E24163" s="1" t="s">
        <v>26746</v>
      </c>
      <c r="F24163" s="2"/>
      <c r="G24163" s="2"/>
      <c r="H24163" s="2"/>
    </row>
    <row r="24164" spans="1:8" x14ac:dyDescent="0.25">
      <c r="A24164" s="1"/>
      <c r="B24164" s="1" t="s">
        <v>7328</v>
      </c>
      <c r="C24164" s="1" t="s">
        <v>7329</v>
      </c>
      <c r="D24164" s="22" t="str">
        <f>HYPERLINK("https://rhld.insurance.arkansas.gov/NPILookup?Npi=1366636821","1366636821")</f>
        <v>1366636821</v>
      </c>
      <c r="E24164" s="1" t="s">
        <v>32207</v>
      </c>
      <c r="F24164" s="2"/>
      <c r="G24164" s="2"/>
      <c r="H24164" s="2"/>
    </row>
    <row r="24165" spans="1:8" x14ac:dyDescent="0.25">
      <c r="A24165" s="1"/>
      <c r="B24165" s="1" t="s">
        <v>7328</v>
      </c>
      <c r="C24165" s="1" t="s">
        <v>7329</v>
      </c>
      <c r="D24165" s="22" t="str">
        <f>HYPERLINK("https://rhld.insurance.arkansas.gov/NPILookup?Npi=1366658346","1366658346")</f>
        <v>1366658346</v>
      </c>
      <c r="E24165" s="1" t="s">
        <v>26747</v>
      </c>
      <c r="F24165" s="2"/>
      <c r="G24165" s="2"/>
      <c r="H24165" s="2"/>
    </row>
    <row r="24166" spans="1:8" x14ac:dyDescent="0.25">
      <c r="A24166" s="1"/>
      <c r="B24166" s="1" t="s">
        <v>7328</v>
      </c>
      <c r="C24166" s="1" t="s">
        <v>7329</v>
      </c>
      <c r="D24166" s="22" t="str">
        <f>HYPERLINK("https://rhld.insurance.arkansas.gov/NPILookup?Npi=1366678963","1366678963")</f>
        <v>1366678963</v>
      </c>
      <c r="E24166" s="1" t="s">
        <v>13026</v>
      </c>
      <c r="F24166" s="2"/>
      <c r="G24166" s="2"/>
      <c r="H24166" s="2"/>
    </row>
    <row r="24167" spans="1:8" x14ac:dyDescent="0.25">
      <c r="A24167" s="1"/>
      <c r="B24167" s="1" t="s">
        <v>7328</v>
      </c>
      <c r="C24167" s="1" t="s">
        <v>7329</v>
      </c>
      <c r="D24167" s="22" t="str">
        <f>HYPERLINK("https://rhld.insurance.arkansas.gov/NPILookup?Npi=1366682494","1366682494")</f>
        <v>1366682494</v>
      </c>
      <c r="E24167" s="1" t="s">
        <v>13771</v>
      </c>
      <c r="F24167" s="2"/>
      <c r="G24167" s="2"/>
      <c r="H24167" s="2"/>
    </row>
    <row r="24168" spans="1:8" x14ac:dyDescent="0.25">
      <c r="A24168" s="1"/>
      <c r="B24168" s="1" t="s">
        <v>7328</v>
      </c>
      <c r="C24168" s="1" t="s">
        <v>7329</v>
      </c>
      <c r="D24168" s="22" t="str">
        <f>HYPERLINK("https://rhld.insurance.arkansas.gov/NPILookup?Npi=1366702987","1366702987")</f>
        <v>1366702987</v>
      </c>
      <c r="E24168" s="1" t="s">
        <v>26748</v>
      </c>
      <c r="F24168" s="2"/>
      <c r="G24168" s="2"/>
      <c r="H24168" s="2"/>
    </row>
    <row r="24169" spans="1:8" x14ac:dyDescent="0.25">
      <c r="A24169" s="1"/>
      <c r="B24169" s="1" t="s">
        <v>7328</v>
      </c>
      <c r="C24169" s="1" t="s">
        <v>7329</v>
      </c>
      <c r="D24169" s="22" t="str">
        <f>HYPERLINK("https://rhld.insurance.arkansas.gov/NPILookup?Npi=1366709685","1366709685")</f>
        <v>1366709685</v>
      </c>
      <c r="E24169" s="1" t="s">
        <v>26749</v>
      </c>
      <c r="F24169" s="2"/>
      <c r="G24169" s="2"/>
      <c r="H24169" s="2"/>
    </row>
    <row r="24170" spans="1:8" x14ac:dyDescent="0.25">
      <c r="A24170" s="1"/>
      <c r="B24170" s="1" t="s">
        <v>7328</v>
      </c>
      <c r="C24170" s="1" t="s">
        <v>7329</v>
      </c>
      <c r="D24170" s="22" t="str">
        <f>HYPERLINK("https://rhld.insurance.arkansas.gov/NPILookup?Npi=1366717316","1366717316")</f>
        <v>1366717316</v>
      </c>
      <c r="E24170" s="1" t="s">
        <v>13027</v>
      </c>
      <c r="F24170" s="2"/>
      <c r="G24170" s="2"/>
      <c r="H24170" s="2"/>
    </row>
    <row r="24171" spans="1:8" x14ac:dyDescent="0.25">
      <c r="A24171" s="1"/>
      <c r="B24171" s="1" t="s">
        <v>7328</v>
      </c>
      <c r="C24171" s="1" t="s">
        <v>7329</v>
      </c>
      <c r="D24171" s="22" t="str">
        <f>HYPERLINK("https://rhld.insurance.arkansas.gov/NPILookup?Npi=1366718553","1366718553")</f>
        <v>1366718553</v>
      </c>
      <c r="E24171" s="1" t="s">
        <v>17466</v>
      </c>
      <c r="F24171" s="2"/>
      <c r="G24171" s="2"/>
      <c r="H24171" s="2"/>
    </row>
    <row r="24172" spans="1:8" x14ac:dyDescent="0.25">
      <c r="A24172" s="1"/>
      <c r="B24172" s="1" t="s">
        <v>7328</v>
      </c>
      <c r="C24172" s="1" t="s">
        <v>7329</v>
      </c>
      <c r="D24172" s="22" t="str">
        <f>HYPERLINK("https://rhld.insurance.arkansas.gov/NPILookup?Npi=1366740615","1366740615")</f>
        <v>1366740615</v>
      </c>
      <c r="E24172" s="1" t="s">
        <v>7693</v>
      </c>
      <c r="F24172" s="2"/>
      <c r="G24172" s="2"/>
      <c r="H24172" s="2"/>
    </row>
    <row r="24173" spans="1:8" x14ac:dyDescent="0.25">
      <c r="A24173" s="1"/>
      <c r="B24173" s="1" t="s">
        <v>7328</v>
      </c>
      <c r="C24173" s="1" t="s">
        <v>7329</v>
      </c>
      <c r="D24173" s="22" t="str">
        <f>HYPERLINK("https://rhld.insurance.arkansas.gov/NPILookup?Npi=1366749707","1366749707")</f>
        <v>1366749707</v>
      </c>
      <c r="E24173" s="1" t="s">
        <v>269</v>
      </c>
      <c r="F24173" s="2"/>
      <c r="G24173" s="2"/>
      <c r="H24173" s="2"/>
    </row>
    <row r="24174" spans="1:8" x14ac:dyDescent="0.25">
      <c r="A24174" s="1"/>
      <c r="B24174" s="1" t="s">
        <v>7328</v>
      </c>
      <c r="C24174" s="1" t="s">
        <v>7329</v>
      </c>
      <c r="D24174" s="22" t="str">
        <f>HYPERLINK("https://rhld.insurance.arkansas.gov/NPILookup?Npi=1366749764","1366749764")</f>
        <v>1366749764</v>
      </c>
      <c r="E24174" s="1" t="s">
        <v>26750</v>
      </c>
      <c r="F24174" s="2"/>
      <c r="G24174" s="2"/>
      <c r="H24174" s="2"/>
    </row>
    <row r="24175" spans="1:8" x14ac:dyDescent="0.25">
      <c r="A24175" s="1"/>
      <c r="B24175" s="1" t="s">
        <v>7328</v>
      </c>
      <c r="C24175" s="1" t="s">
        <v>7329</v>
      </c>
      <c r="D24175" s="22" t="str">
        <f>HYPERLINK("https://rhld.insurance.arkansas.gov/NPILookup?Npi=1366760225","1366760225")</f>
        <v>1366760225</v>
      </c>
      <c r="E24175" s="1" t="s">
        <v>26751</v>
      </c>
      <c r="F24175" s="2"/>
      <c r="G24175" s="2"/>
      <c r="H24175" s="2"/>
    </row>
    <row r="24176" spans="1:8" x14ac:dyDescent="0.25">
      <c r="A24176" s="1"/>
      <c r="B24176" s="1" t="s">
        <v>7328</v>
      </c>
      <c r="C24176" s="1" t="s">
        <v>7329</v>
      </c>
      <c r="D24176" s="22" t="str">
        <f>HYPERLINK("https://rhld.insurance.arkansas.gov/NPILookup?Npi=1366763435","1366763435")</f>
        <v>1366763435</v>
      </c>
      <c r="E24176" s="1" t="s">
        <v>2011</v>
      </c>
      <c r="F24176" s="2"/>
      <c r="G24176" s="2"/>
      <c r="H24176" s="2"/>
    </row>
    <row r="24177" spans="1:8" x14ac:dyDescent="0.25">
      <c r="A24177" s="1"/>
      <c r="B24177" s="1" t="s">
        <v>7328</v>
      </c>
      <c r="C24177" s="1" t="s">
        <v>7329</v>
      </c>
      <c r="D24177" s="22" t="str">
        <f>HYPERLINK("https://rhld.insurance.arkansas.gov/NPILookup?Npi=1366782641","1366782641")</f>
        <v>1366782641</v>
      </c>
      <c r="E24177" s="1" t="s">
        <v>3522</v>
      </c>
      <c r="F24177" s="2"/>
      <c r="G24177" s="2"/>
      <c r="H24177" s="2"/>
    </row>
    <row r="24178" spans="1:8" x14ac:dyDescent="0.25">
      <c r="A24178" s="1"/>
      <c r="B24178" s="1" t="s">
        <v>7328</v>
      </c>
      <c r="C24178" s="1" t="s">
        <v>7329</v>
      </c>
      <c r="D24178" s="22" t="str">
        <f>HYPERLINK("https://rhld.insurance.arkansas.gov/NPILookup?Npi=1366782799","1366782799")</f>
        <v>1366782799</v>
      </c>
      <c r="E24178" s="1" t="s">
        <v>634</v>
      </c>
      <c r="F24178" s="2"/>
      <c r="G24178" s="2"/>
      <c r="H24178" s="2"/>
    </row>
    <row r="24179" spans="1:8" x14ac:dyDescent="0.25">
      <c r="A24179" s="1"/>
      <c r="B24179" s="1" t="s">
        <v>7328</v>
      </c>
      <c r="C24179" s="1" t="s">
        <v>7329</v>
      </c>
      <c r="D24179" s="22" t="str">
        <f>HYPERLINK("https://rhld.insurance.arkansas.gov/NPILookup?Npi=1366785677","1366785677")</f>
        <v>1366785677</v>
      </c>
      <c r="E24179" s="1" t="s">
        <v>26752</v>
      </c>
      <c r="F24179" s="2"/>
      <c r="G24179" s="2"/>
      <c r="H24179" s="2"/>
    </row>
    <row r="24180" spans="1:8" x14ac:dyDescent="0.25">
      <c r="A24180" s="1"/>
      <c r="B24180" s="1" t="s">
        <v>7328</v>
      </c>
      <c r="C24180" s="1" t="s">
        <v>7329</v>
      </c>
      <c r="D24180" s="22" t="str">
        <f>HYPERLINK("https://rhld.insurance.arkansas.gov/NPILookup?Npi=1366801870","1366801870")</f>
        <v>1366801870</v>
      </c>
      <c r="E24180" s="1" t="s">
        <v>26753</v>
      </c>
      <c r="F24180" s="2"/>
      <c r="G24180" s="2"/>
      <c r="H24180" s="2"/>
    </row>
    <row r="24181" spans="1:8" x14ac:dyDescent="0.25">
      <c r="A24181" s="1"/>
      <c r="B24181" s="1" t="s">
        <v>7328</v>
      </c>
      <c r="C24181" s="1" t="s">
        <v>7329</v>
      </c>
      <c r="D24181" s="22" t="str">
        <f>HYPERLINK("https://rhld.insurance.arkansas.gov/NPILookup?Npi=1366801995","1366801995")</f>
        <v>1366801995</v>
      </c>
      <c r="E24181" s="1" t="s">
        <v>26754</v>
      </c>
      <c r="F24181" s="2"/>
      <c r="G24181" s="2"/>
      <c r="H24181" s="2"/>
    </row>
    <row r="24182" spans="1:8" x14ac:dyDescent="0.25">
      <c r="A24182" s="1"/>
      <c r="B24182" s="1" t="s">
        <v>7328</v>
      </c>
      <c r="C24182" s="1" t="s">
        <v>7329</v>
      </c>
      <c r="D24182" s="22" t="str">
        <f>HYPERLINK("https://rhld.insurance.arkansas.gov/NPILookup?Npi=1366816670","1366816670")</f>
        <v>1366816670</v>
      </c>
      <c r="E24182" s="1" t="s">
        <v>26755</v>
      </c>
      <c r="F24182" s="2"/>
      <c r="G24182" s="2"/>
      <c r="H24182" s="2"/>
    </row>
    <row r="24183" spans="1:8" x14ac:dyDescent="0.25">
      <c r="A24183" s="1"/>
      <c r="B24183" s="1" t="s">
        <v>7328</v>
      </c>
      <c r="C24183" s="1" t="s">
        <v>7329</v>
      </c>
      <c r="D24183" s="22" t="str">
        <f>HYPERLINK("https://rhld.insurance.arkansas.gov/NPILookup?Npi=1366821456","1366821456")</f>
        <v>1366821456</v>
      </c>
      <c r="E24183" s="1" t="s">
        <v>26756</v>
      </c>
      <c r="F24183" s="2"/>
      <c r="G24183" s="2"/>
      <c r="H24183" s="2"/>
    </row>
    <row r="24184" spans="1:8" x14ac:dyDescent="0.25">
      <c r="A24184" s="1"/>
      <c r="B24184" s="1" t="s">
        <v>7328</v>
      </c>
      <c r="C24184" s="1" t="s">
        <v>7329</v>
      </c>
      <c r="D24184" s="22" t="str">
        <f>HYPERLINK("https://rhld.insurance.arkansas.gov/NPILookup?Npi=1366826588","1366826588")</f>
        <v>1366826588</v>
      </c>
      <c r="E24184" s="1" t="s">
        <v>26757</v>
      </c>
      <c r="F24184" s="2"/>
      <c r="G24184" s="2"/>
      <c r="H24184" s="2"/>
    </row>
    <row r="24185" spans="1:8" x14ac:dyDescent="0.25">
      <c r="A24185" s="1"/>
      <c r="B24185" s="1" t="s">
        <v>7328</v>
      </c>
      <c r="C24185" s="1" t="s">
        <v>7329</v>
      </c>
      <c r="D24185" s="22" t="str">
        <f>HYPERLINK("https://rhld.insurance.arkansas.gov/NPILookup?Npi=1366828378","1366828378")</f>
        <v>1366828378</v>
      </c>
      <c r="E24185" s="1" t="s">
        <v>26758</v>
      </c>
      <c r="F24185" s="2"/>
      <c r="G24185" s="2"/>
      <c r="H24185" s="2"/>
    </row>
    <row r="24186" spans="1:8" x14ac:dyDescent="0.25">
      <c r="A24186" s="1"/>
      <c r="B24186" s="1" t="s">
        <v>7328</v>
      </c>
      <c r="C24186" s="1" t="s">
        <v>7329</v>
      </c>
      <c r="D24186" s="22" t="str">
        <f>HYPERLINK("https://rhld.insurance.arkansas.gov/NPILookup?Npi=1366833709","1366833709")</f>
        <v>1366833709</v>
      </c>
      <c r="E24186" s="1" t="s">
        <v>26759</v>
      </c>
      <c r="F24186" s="2"/>
      <c r="G24186" s="2"/>
      <c r="H24186" s="2"/>
    </row>
    <row r="24187" spans="1:8" x14ac:dyDescent="0.25">
      <c r="A24187" s="1"/>
      <c r="B24187" s="1" t="s">
        <v>7328</v>
      </c>
      <c r="C24187" s="1" t="s">
        <v>7329</v>
      </c>
      <c r="D24187" s="22" t="str">
        <f>HYPERLINK("https://rhld.insurance.arkansas.gov/NPILookup?Npi=1366839136","1366839136")</f>
        <v>1366839136</v>
      </c>
      <c r="E24187" s="1" t="s">
        <v>13028</v>
      </c>
      <c r="F24187" s="2"/>
      <c r="G24187" s="2"/>
      <c r="H24187" s="2"/>
    </row>
    <row r="24188" spans="1:8" x14ac:dyDescent="0.25">
      <c r="A24188" s="1"/>
      <c r="B24188" s="1" t="s">
        <v>7328</v>
      </c>
      <c r="C24188" s="1" t="s">
        <v>7329</v>
      </c>
      <c r="D24188" s="22" t="str">
        <f>HYPERLINK("https://rhld.insurance.arkansas.gov/NPILookup?Npi=1366848533","1366848533")</f>
        <v>1366848533</v>
      </c>
      <c r="E24188" s="1" t="s">
        <v>858</v>
      </c>
      <c r="F24188" s="2"/>
      <c r="G24188" s="2"/>
      <c r="H24188" s="2"/>
    </row>
    <row r="24189" spans="1:8" x14ac:dyDescent="0.25">
      <c r="A24189" s="1"/>
      <c r="B24189" s="1" t="s">
        <v>7328</v>
      </c>
      <c r="C24189" s="1" t="s">
        <v>7329</v>
      </c>
      <c r="D24189" s="22" t="str">
        <f>HYPERLINK("https://rhld.insurance.arkansas.gov/NPILookup?Npi=1366857443","1366857443")</f>
        <v>1366857443</v>
      </c>
      <c r="E24189" s="1" t="s">
        <v>1768</v>
      </c>
      <c r="F24189" s="2"/>
      <c r="G24189" s="2"/>
      <c r="H24189" s="2"/>
    </row>
    <row r="24190" spans="1:8" x14ac:dyDescent="0.25">
      <c r="A24190" s="1"/>
      <c r="B24190" s="1" t="s">
        <v>7328</v>
      </c>
      <c r="C24190" s="1" t="s">
        <v>7329</v>
      </c>
      <c r="D24190" s="22" t="str">
        <f>HYPERLINK("https://rhld.insurance.arkansas.gov/NPILookup?Npi=1366861601","1366861601")</f>
        <v>1366861601</v>
      </c>
      <c r="E24190" s="1" t="s">
        <v>26760</v>
      </c>
      <c r="F24190" s="2"/>
      <c r="G24190" s="2"/>
      <c r="H24190" s="2"/>
    </row>
    <row r="24191" spans="1:8" x14ac:dyDescent="0.25">
      <c r="A24191" s="1"/>
      <c r="B24191" s="1" t="s">
        <v>7328</v>
      </c>
      <c r="C24191" s="1" t="s">
        <v>7329</v>
      </c>
      <c r="D24191" s="22" t="str">
        <f>HYPERLINK("https://rhld.insurance.arkansas.gov/NPILookup?Npi=1366861924","1366861924")</f>
        <v>1366861924</v>
      </c>
      <c r="E24191" s="1" t="s">
        <v>26761</v>
      </c>
      <c r="F24191" s="2"/>
      <c r="G24191" s="2"/>
      <c r="H24191" s="2"/>
    </row>
    <row r="24192" spans="1:8" x14ac:dyDescent="0.25">
      <c r="A24192" s="1"/>
      <c r="B24192" s="1" t="s">
        <v>7328</v>
      </c>
      <c r="C24192" s="1" t="s">
        <v>7329</v>
      </c>
      <c r="D24192" s="22" t="str">
        <f>HYPERLINK("https://rhld.insurance.arkansas.gov/NPILookup?Npi=1366872699","1366872699")</f>
        <v>1366872699</v>
      </c>
      <c r="E24192" s="1" t="s">
        <v>859</v>
      </c>
      <c r="F24192" s="2"/>
      <c r="G24192" s="2"/>
      <c r="H24192" s="2"/>
    </row>
    <row r="24193" spans="1:8" x14ac:dyDescent="0.25">
      <c r="A24193" s="1"/>
      <c r="B24193" s="1" t="s">
        <v>7328</v>
      </c>
      <c r="C24193" s="1" t="s">
        <v>7329</v>
      </c>
      <c r="D24193" s="22" t="str">
        <f>HYPERLINK("https://rhld.insurance.arkansas.gov/NPILookup?Npi=1366873887","1366873887")</f>
        <v>1366873887</v>
      </c>
      <c r="E24193" s="1" t="s">
        <v>26762</v>
      </c>
      <c r="F24193" s="2"/>
      <c r="G24193" s="2"/>
      <c r="H24193" s="2"/>
    </row>
    <row r="24194" spans="1:8" x14ac:dyDescent="0.25">
      <c r="A24194" s="1"/>
      <c r="B24194" s="1" t="s">
        <v>7328</v>
      </c>
      <c r="C24194" s="1" t="s">
        <v>7329</v>
      </c>
      <c r="D24194" s="22" t="str">
        <f>HYPERLINK("https://rhld.insurance.arkansas.gov/NPILookup?Npi=1366888901","1366888901")</f>
        <v>1366888901</v>
      </c>
      <c r="E24194" s="1" t="s">
        <v>1215</v>
      </c>
      <c r="F24194" s="2"/>
      <c r="G24194" s="2"/>
      <c r="H24194" s="2"/>
    </row>
    <row r="24195" spans="1:8" x14ac:dyDescent="0.25">
      <c r="A24195" s="1"/>
      <c r="B24195" s="1" t="s">
        <v>7328</v>
      </c>
      <c r="C24195" s="1" t="s">
        <v>7329</v>
      </c>
      <c r="D24195" s="22" t="str">
        <f>HYPERLINK("https://rhld.insurance.arkansas.gov/NPILookup?Npi=1366921280","1366921280")</f>
        <v>1366921280</v>
      </c>
      <c r="E24195" s="1" t="s">
        <v>26763</v>
      </c>
      <c r="F24195" s="2"/>
      <c r="G24195" s="2"/>
      <c r="H24195" s="2"/>
    </row>
    <row r="24196" spans="1:8" x14ac:dyDescent="0.25">
      <c r="A24196" s="1"/>
      <c r="B24196" s="1" t="s">
        <v>7328</v>
      </c>
      <c r="C24196" s="1" t="s">
        <v>7329</v>
      </c>
      <c r="D24196" s="22" t="str">
        <f>HYPERLINK("https://rhld.insurance.arkansas.gov/NPILookup?Npi=1366929960","1366929960")</f>
        <v>1366929960</v>
      </c>
      <c r="E24196" s="1" t="s">
        <v>26764</v>
      </c>
      <c r="F24196" s="2"/>
      <c r="G24196" s="2"/>
      <c r="H24196" s="2"/>
    </row>
    <row r="24197" spans="1:8" x14ac:dyDescent="0.25">
      <c r="A24197" s="1"/>
      <c r="B24197" s="1" t="s">
        <v>7328</v>
      </c>
      <c r="C24197" s="1" t="s">
        <v>7329</v>
      </c>
      <c r="D24197" s="22" t="str">
        <f>HYPERLINK("https://rhld.insurance.arkansas.gov/NPILookup?Npi=1366935066","1366935066")</f>
        <v>1366935066</v>
      </c>
      <c r="E24197" s="1" t="s">
        <v>26765</v>
      </c>
      <c r="F24197" s="2"/>
      <c r="G24197" s="2"/>
      <c r="H24197" s="2"/>
    </row>
    <row r="24198" spans="1:8" x14ac:dyDescent="0.25">
      <c r="A24198" s="1"/>
      <c r="B24198" s="1" t="s">
        <v>7328</v>
      </c>
      <c r="C24198" s="1" t="s">
        <v>7329</v>
      </c>
      <c r="D24198" s="22" t="str">
        <f>HYPERLINK("https://rhld.insurance.arkansas.gov/NPILookup?Npi=1366954232","1366954232")</f>
        <v>1366954232</v>
      </c>
      <c r="E24198" s="1" t="s">
        <v>13029</v>
      </c>
      <c r="F24198" s="2"/>
      <c r="G24198" s="2"/>
      <c r="H24198" s="2"/>
    </row>
    <row r="24199" spans="1:8" x14ac:dyDescent="0.25">
      <c r="A24199" s="1"/>
      <c r="B24199" s="1" t="s">
        <v>7328</v>
      </c>
      <c r="C24199" s="1" t="s">
        <v>7329</v>
      </c>
      <c r="D24199" s="22" t="str">
        <f>HYPERLINK("https://rhld.insurance.arkansas.gov/NPILookup?Npi=1366962748","1366962748")</f>
        <v>1366962748</v>
      </c>
      <c r="E24199" s="1" t="s">
        <v>26766</v>
      </c>
      <c r="F24199" s="2"/>
      <c r="G24199" s="2"/>
      <c r="H24199" s="2"/>
    </row>
    <row r="24200" spans="1:8" x14ac:dyDescent="0.25">
      <c r="A24200" s="1"/>
      <c r="B24200" s="1" t="s">
        <v>7328</v>
      </c>
      <c r="C24200" s="1" t="s">
        <v>7329</v>
      </c>
      <c r="D24200" s="22" t="str">
        <f>HYPERLINK("https://rhld.insurance.arkansas.gov/NPILookup?Npi=1366965071","1366965071")</f>
        <v>1366965071</v>
      </c>
      <c r="E24200" s="1" t="s">
        <v>7695</v>
      </c>
      <c r="F24200" s="2"/>
      <c r="G24200" s="2"/>
      <c r="H24200" s="2"/>
    </row>
    <row r="24201" spans="1:8" x14ac:dyDescent="0.25">
      <c r="A24201" s="1"/>
      <c r="B24201" s="1" t="s">
        <v>7328</v>
      </c>
      <c r="C24201" s="1" t="s">
        <v>7329</v>
      </c>
      <c r="D24201" s="22" t="str">
        <f>HYPERLINK("https://rhld.insurance.arkansas.gov/NPILookup?Npi=1366981151","1366981151")</f>
        <v>1366981151</v>
      </c>
      <c r="E24201" s="1" t="s">
        <v>1769</v>
      </c>
      <c r="F24201" s="2"/>
      <c r="G24201" s="2"/>
      <c r="H24201" s="2"/>
    </row>
    <row r="24202" spans="1:8" x14ac:dyDescent="0.25">
      <c r="A24202" s="1"/>
      <c r="B24202" s="1" t="s">
        <v>7328</v>
      </c>
      <c r="C24202" s="1" t="s">
        <v>7329</v>
      </c>
      <c r="D24202" s="22" t="str">
        <f>HYPERLINK("https://rhld.insurance.arkansas.gov/NPILookup?Npi=1366996886","1366996886")</f>
        <v>1366996886</v>
      </c>
      <c r="E24202" s="1" t="s">
        <v>7507</v>
      </c>
      <c r="F24202" s="2"/>
      <c r="G24202" s="2"/>
      <c r="H24202" s="2"/>
    </row>
    <row r="24203" spans="1:8" x14ac:dyDescent="0.25">
      <c r="A24203" s="1"/>
      <c r="B24203" s="1" t="s">
        <v>7328</v>
      </c>
      <c r="C24203" s="1" t="s">
        <v>7329</v>
      </c>
      <c r="D24203" s="22" t="str">
        <f>HYPERLINK("https://rhld.insurance.arkansas.gov/NPILookup?Npi=1376002766","1376002766")</f>
        <v>1376002766</v>
      </c>
      <c r="E24203" s="1" t="s">
        <v>2795</v>
      </c>
      <c r="F24203" s="2"/>
      <c r="G24203" s="2"/>
      <c r="H24203" s="2"/>
    </row>
    <row r="24204" spans="1:8" x14ac:dyDescent="0.25">
      <c r="A24204" s="1"/>
      <c r="B24204" s="1" t="s">
        <v>7328</v>
      </c>
      <c r="C24204" s="1" t="s">
        <v>7329</v>
      </c>
      <c r="D24204" s="22" t="str">
        <f>HYPERLINK("https://rhld.insurance.arkansas.gov/NPILookup?Npi=1376006585","1376006585")</f>
        <v>1376006585</v>
      </c>
      <c r="E24204" s="1" t="s">
        <v>26767</v>
      </c>
      <c r="F24204" s="2"/>
      <c r="G24204" s="2"/>
      <c r="H24204" s="2"/>
    </row>
    <row r="24205" spans="1:8" x14ac:dyDescent="0.25">
      <c r="A24205" s="1"/>
      <c r="B24205" s="1" t="s">
        <v>7328</v>
      </c>
      <c r="C24205" s="1" t="s">
        <v>7329</v>
      </c>
      <c r="D24205" s="22" t="str">
        <f>HYPERLINK("https://rhld.insurance.arkansas.gov/NPILookup?Npi=1376007427","1376007427")</f>
        <v>1376007427</v>
      </c>
      <c r="E24205" s="1" t="s">
        <v>1237</v>
      </c>
      <c r="F24205" s="2"/>
      <c r="G24205" s="2"/>
      <c r="H24205" s="2"/>
    </row>
    <row r="24206" spans="1:8" x14ac:dyDescent="0.25">
      <c r="A24206" s="1"/>
      <c r="B24206" s="1" t="s">
        <v>7328</v>
      </c>
      <c r="C24206" s="1" t="s">
        <v>7329</v>
      </c>
      <c r="D24206" s="22" t="str">
        <f>HYPERLINK("https://rhld.insurance.arkansas.gov/NPILookup?Npi=1376008334","1376008334")</f>
        <v>1376008334</v>
      </c>
      <c r="E24206" s="1" t="s">
        <v>26768</v>
      </c>
      <c r="F24206" s="2"/>
      <c r="G24206" s="2"/>
      <c r="H24206" s="2"/>
    </row>
    <row r="24207" spans="1:8" x14ac:dyDescent="0.25">
      <c r="A24207" s="1"/>
      <c r="B24207" s="1" t="s">
        <v>7328</v>
      </c>
      <c r="C24207" s="1" t="s">
        <v>7329</v>
      </c>
      <c r="D24207" s="22" t="str">
        <f>HYPERLINK("https://rhld.insurance.arkansas.gov/NPILookup?Npi=1376015735","1376015735")</f>
        <v>1376015735</v>
      </c>
      <c r="E24207" s="1" t="s">
        <v>7696</v>
      </c>
      <c r="F24207" s="2"/>
      <c r="G24207" s="2"/>
      <c r="H24207" s="2"/>
    </row>
    <row r="24208" spans="1:8" x14ac:dyDescent="0.25">
      <c r="A24208" s="1"/>
      <c r="B24208" s="1" t="s">
        <v>7328</v>
      </c>
      <c r="C24208" s="1" t="s">
        <v>7329</v>
      </c>
      <c r="D24208" s="22" t="str">
        <f>HYPERLINK("https://rhld.insurance.arkansas.gov/NPILookup?Npi=1376020420","1376020420")</f>
        <v>1376020420</v>
      </c>
      <c r="E24208" s="1" t="s">
        <v>26769</v>
      </c>
      <c r="F24208" s="2"/>
      <c r="G24208" s="2"/>
      <c r="H24208" s="2"/>
    </row>
    <row r="24209" spans="1:8" x14ac:dyDescent="0.25">
      <c r="A24209" s="1"/>
      <c r="B24209" s="1" t="s">
        <v>7328</v>
      </c>
      <c r="C24209" s="1" t="s">
        <v>7329</v>
      </c>
      <c r="D24209" s="22" t="str">
        <f>HYPERLINK("https://rhld.insurance.arkansas.gov/NPILookup?Npi=1376020917","1376020917")</f>
        <v>1376020917</v>
      </c>
      <c r="E24209" s="1" t="s">
        <v>26770</v>
      </c>
      <c r="F24209" s="2"/>
      <c r="G24209" s="2"/>
      <c r="H24209" s="2"/>
    </row>
    <row r="24210" spans="1:8" x14ac:dyDescent="0.25">
      <c r="A24210" s="1"/>
      <c r="B24210" s="1" t="s">
        <v>7328</v>
      </c>
      <c r="C24210" s="1" t="s">
        <v>7329</v>
      </c>
      <c r="D24210" s="22" t="str">
        <f>HYPERLINK("https://rhld.insurance.arkansas.gov/NPILookup?Npi=1376025601","1376025601")</f>
        <v>1376025601</v>
      </c>
      <c r="E24210" s="1" t="s">
        <v>26771</v>
      </c>
      <c r="F24210" s="2"/>
      <c r="G24210" s="2"/>
      <c r="H24210" s="2"/>
    </row>
    <row r="24211" spans="1:8" x14ac:dyDescent="0.25">
      <c r="A24211" s="1"/>
      <c r="B24211" s="1" t="s">
        <v>7328</v>
      </c>
      <c r="C24211" s="1" t="s">
        <v>7329</v>
      </c>
      <c r="D24211" s="22" t="str">
        <f>HYPERLINK("https://rhld.insurance.arkansas.gov/NPILookup?Npi=1376036558","1376036558")</f>
        <v>1376036558</v>
      </c>
      <c r="E24211" s="1" t="s">
        <v>2796</v>
      </c>
      <c r="F24211" s="2"/>
      <c r="G24211" s="2"/>
      <c r="H24211" s="2"/>
    </row>
    <row r="24212" spans="1:8" x14ac:dyDescent="0.25">
      <c r="A24212" s="1"/>
      <c r="B24212" s="1" t="s">
        <v>7328</v>
      </c>
      <c r="C24212" s="1" t="s">
        <v>7329</v>
      </c>
      <c r="D24212" s="22" t="str">
        <f>HYPERLINK("https://rhld.insurance.arkansas.gov/NPILookup?Npi=1376042168","1376042168")</f>
        <v>1376042168</v>
      </c>
      <c r="E24212" s="1" t="s">
        <v>26772</v>
      </c>
      <c r="F24212" s="2"/>
      <c r="G24212" s="2"/>
      <c r="H24212" s="2"/>
    </row>
    <row r="24213" spans="1:8" x14ac:dyDescent="0.25">
      <c r="A24213" s="1"/>
      <c r="B24213" s="1" t="s">
        <v>7328</v>
      </c>
      <c r="C24213" s="1" t="s">
        <v>7329</v>
      </c>
      <c r="D24213" s="22" t="str">
        <f>HYPERLINK("https://rhld.insurance.arkansas.gov/NPILookup?Npi=1376053561","1376053561")</f>
        <v>1376053561</v>
      </c>
      <c r="E24213" s="1" t="s">
        <v>26773</v>
      </c>
      <c r="F24213" s="2"/>
      <c r="G24213" s="2"/>
      <c r="H24213" s="2"/>
    </row>
    <row r="24214" spans="1:8" x14ac:dyDescent="0.25">
      <c r="A24214" s="1"/>
      <c r="B24214" s="1" t="s">
        <v>7328</v>
      </c>
      <c r="C24214" s="1" t="s">
        <v>7329</v>
      </c>
      <c r="D24214" s="22" t="str">
        <f>HYPERLINK("https://rhld.insurance.arkansas.gov/NPILookup?Npi=1376056705","1376056705")</f>
        <v>1376056705</v>
      </c>
      <c r="E24214" s="1" t="s">
        <v>1216</v>
      </c>
      <c r="F24214" s="2"/>
      <c r="G24214" s="2"/>
      <c r="H24214" s="2"/>
    </row>
    <row r="24215" spans="1:8" x14ac:dyDescent="0.25">
      <c r="A24215" s="1"/>
      <c r="B24215" s="1" t="s">
        <v>7328</v>
      </c>
      <c r="C24215" s="1" t="s">
        <v>7329</v>
      </c>
      <c r="D24215" s="22" t="str">
        <f>HYPERLINK("https://rhld.insurance.arkansas.gov/NPILookup?Npi=1376070391","1376070391")</f>
        <v>1376070391</v>
      </c>
      <c r="E24215" s="1" t="s">
        <v>21998</v>
      </c>
      <c r="F24215" s="2"/>
      <c r="G24215" s="2"/>
      <c r="H24215" s="2"/>
    </row>
    <row r="24216" spans="1:8" x14ac:dyDescent="0.25">
      <c r="A24216" s="1"/>
      <c r="B24216" s="1" t="s">
        <v>7328</v>
      </c>
      <c r="C24216" s="1" t="s">
        <v>7329</v>
      </c>
      <c r="D24216" s="22" t="str">
        <f>HYPERLINK("https://rhld.insurance.arkansas.gov/NPILookup?Npi=1376083931","1376083931")</f>
        <v>1376083931</v>
      </c>
      <c r="E24216" s="1" t="s">
        <v>26774</v>
      </c>
      <c r="F24216" s="2"/>
      <c r="G24216" s="2"/>
      <c r="H24216" s="2"/>
    </row>
    <row r="24217" spans="1:8" x14ac:dyDescent="0.25">
      <c r="A24217" s="1"/>
      <c r="B24217" s="1" t="s">
        <v>7328</v>
      </c>
      <c r="C24217" s="1" t="s">
        <v>7329</v>
      </c>
      <c r="D24217" s="22" t="str">
        <f>HYPERLINK("https://rhld.insurance.arkansas.gov/NPILookup?Npi=1376092510","1376092510")</f>
        <v>1376092510</v>
      </c>
      <c r="E24217" s="1" t="s">
        <v>26775</v>
      </c>
      <c r="F24217" s="2"/>
      <c r="G24217" s="2"/>
      <c r="H24217" s="2"/>
    </row>
    <row r="24218" spans="1:8" x14ac:dyDescent="0.25">
      <c r="A24218" s="1"/>
      <c r="B24218" s="1" t="s">
        <v>7328</v>
      </c>
      <c r="C24218" s="1" t="s">
        <v>7329</v>
      </c>
      <c r="D24218" s="22" t="str">
        <f>HYPERLINK("https://rhld.insurance.arkansas.gov/NPILookup?Npi=1376102335","1376102335")</f>
        <v>1376102335</v>
      </c>
      <c r="E24218" s="1" t="s">
        <v>1770</v>
      </c>
      <c r="F24218" s="2"/>
      <c r="G24218" s="2"/>
      <c r="H24218" s="2"/>
    </row>
    <row r="24219" spans="1:8" x14ac:dyDescent="0.25">
      <c r="A24219" s="1"/>
      <c r="B24219" s="1" t="s">
        <v>7328</v>
      </c>
      <c r="C24219" s="1" t="s">
        <v>7329</v>
      </c>
      <c r="D24219" s="22" t="str">
        <f>HYPERLINK("https://rhld.insurance.arkansas.gov/NPILookup?Npi=1376111500","1376111500")</f>
        <v>1376111500</v>
      </c>
      <c r="E24219" s="1" t="s">
        <v>22001</v>
      </c>
      <c r="F24219" s="2"/>
      <c r="G24219" s="2"/>
      <c r="H24219" s="2"/>
    </row>
    <row r="24220" spans="1:8" x14ac:dyDescent="0.25">
      <c r="A24220" s="1"/>
      <c r="B24220" s="1" t="s">
        <v>7328</v>
      </c>
      <c r="C24220" s="1" t="s">
        <v>7329</v>
      </c>
      <c r="D24220" s="22" t="str">
        <f>HYPERLINK("https://rhld.insurance.arkansas.gov/NPILookup?Npi=1376131409","1376131409")</f>
        <v>1376131409</v>
      </c>
      <c r="E24220" s="1" t="s">
        <v>26776</v>
      </c>
      <c r="F24220" s="2"/>
      <c r="G24220" s="2"/>
      <c r="H24220" s="2"/>
    </row>
    <row r="24221" spans="1:8" x14ac:dyDescent="0.25">
      <c r="A24221" s="1"/>
      <c r="B24221" s="1" t="s">
        <v>7328</v>
      </c>
      <c r="C24221" s="1" t="s">
        <v>7329</v>
      </c>
      <c r="D24221" s="22" t="str">
        <f>HYPERLINK("https://rhld.insurance.arkansas.gov/NPILookup?Npi=1376134668","1376134668")</f>
        <v>1376134668</v>
      </c>
      <c r="E24221" s="1" t="s">
        <v>26777</v>
      </c>
      <c r="F24221" s="2"/>
      <c r="G24221" s="2"/>
      <c r="H24221" s="2"/>
    </row>
    <row r="24222" spans="1:8" x14ac:dyDescent="0.25">
      <c r="A24222" s="1"/>
      <c r="B24222" s="1" t="s">
        <v>7328</v>
      </c>
      <c r="C24222" s="1" t="s">
        <v>7329</v>
      </c>
      <c r="D24222" s="22" t="str">
        <f>HYPERLINK("https://rhld.insurance.arkansas.gov/NPILookup?Npi=1376136176","1376136176")</f>
        <v>1376136176</v>
      </c>
      <c r="E24222" s="1" t="s">
        <v>7697</v>
      </c>
      <c r="F24222" s="2"/>
      <c r="G24222" s="2"/>
      <c r="H24222" s="2"/>
    </row>
    <row r="24223" spans="1:8" x14ac:dyDescent="0.25">
      <c r="A24223" s="1"/>
      <c r="B24223" s="1" t="s">
        <v>7328</v>
      </c>
      <c r="C24223" s="1" t="s">
        <v>7329</v>
      </c>
      <c r="D24223" s="22" t="str">
        <f>HYPERLINK("https://rhld.insurance.arkansas.gov/NPILookup?Npi=1376137141","1376137141")</f>
        <v>1376137141</v>
      </c>
      <c r="E24223" s="1" t="s">
        <v>26778</v>
      </c>
      <c r="F24223" s="2"/>
      <c r="G24223" s="2"/>
      <c r="H24223" s="2"/>
    </row>
    <row r="24224" spans="1:8" x14ac:dyDescent="0.25">
      <c r="A24224" s="1"/>
      <c r="B24224" s="1" t="s">
        <v>7328</v>
      </c>
      <c r="C24224" s="1" t="s">
        <v>7329</v>
      </c>
      <c r="D24224" s="22" t="str">
        <f>HYPERLINK("https://rhld.insurance.arkansas.gov/NPILookup?Npi=1376142943","1376142943")</f>
        <v>1376142943</v>
      </c>
      <c r="E24224" s="1" t="s">
        <v>7698</v>
      </c>
      <c r="F24224" s="2"/>
      <c r="G24224" s="2"/>
      <c r="H24224" s="2"/>
    </row>
    <row r="24225" spans="1:8" x14ac:dyDescent="0.25">
      <c r="A24225" s="1"/>
      <c r="B24225" s="1" t="s">
        <v>7328</v>
      </c>
      <c r="C24225" s="1" t="s">
        <v>7329</v>
      </c>
      <c r="D24225" s="22" t="str">
        <f>HYPERLINK("https://rhld.insurance.arkansas.gov/NPILookup?Npi=1376153544","1376153544")</f>
        <v>1376153544</v>
      </c>
      <c r="E24225" s="1" t="s">
        <v>13030</v>
      </c>
      <c r="F24225" s="2"/>
      <c r="G24225" s="2"/>
      <c r="H24225" s="2"/>
    </row>
    <row r="24226" spans="1:8" x14ac:dyDescent="0.25">
      <c r="A24226" s="1"/>
      <c r="B24226" s="1" t="s">
        <v>7328</v>
      </c>
      <c r="C24226" s="1" t="s">
        <v>7329</v>
      </c>
      <c r="D24226" s="22" t="str">
        <f>HYPERLINK("https://rhld.insurance.arkansas.gov/NPILookup?Npi=1376155028","1376155028")</f>
        <v>1376155028</v>
      </c>
      <c r="E24226" s="1" t="s">
        <v>7699</v>
      </c>
      <c r="F24226" s="2"/>
      <c r="G24226" s="2"/>
      <c r="H24226" s="2"/>
    </row>
    <row r="24227" spans="1:8" x14ac:dyDescent="0.25">
      <c r="A24227" s="1"/>
      <c r="B24227" s="1" t="s">
        <v>7328</v>
      </c>
      <c r="C24227" s="1" t="s">
        <v>7329</v>
      </c>
      <c r="D24227" s="22" t="str">
        <f>HYPERLINK("https://rhld.insurance.arkansas.gov/NPILookup?Npi=1376173229","1376173229")</f>
        <v>1376173229</v>
      </c>
      <c r="E24227" s="1" t="s">
        <v>26779</v>
      </c>
      <c r="F24227" s="2"/>
      <c r="G24227" s="2"/>
      <c r="H24227" s="2"/>
    </row>
    <row r="24228" spans="1:8" x14ac:dyDescent="0.25">
      <c r="A24228" s="1"/>
      <c r="B24228" s="1" t="s">
        <v>7328</v>
      </c>
      <c r="C24228" s="1" t="s">
        <v>7329</v>
      </c>
      <c r="D24228" s="22" t="str">
        <f>HYPERLINK("https://rhld.insurance.arkansas.gov/NPILookup?Npi=1376175273","1376175273")</f>
        <v>1376175273</v>
      </c>
      <c r="E24228" s="1" t="s">
        <v>26780</v>
      </c>
      <c r="F24228" s="2"/>
      <c r="G24228" s="2"/>
      <c r="H24228" s="2"/>
    </row>
    <row r="24229" spans="1:8" x14ac:dyDescent="0.25">
      <c r="A24229" s="1"/>
      <c r="B24229" s="1" t="s">
        <v>7328</v>
      </c>
      <c r="C24229" s="1" t="s">
        <v>7329</v>
      </c>
      <c r="D24229" s="22" t="str">
        <f>HYPERLINK("https://rhld.insurance.arkansas.gov/NPILookup?Npi=1376182535","1376182535")</f>
        <v>1376182535</v>
      </c>
      <c r="E24229" s="1" t="s">
        <v>13031</v>
      </c>
      <c r="F24229" s="2"/>
      <c r="G24229" s="2"/>
      <c r="H24229" s="2"/>
    </row>
    <row r="24230" spans="1:8" x14ac:dyDescent="0.25">
      <c r="A24230" s="1"/>
      <c r="B24230" s="1" t="s">
        <v>7328</v>
      </c>
      <c r="C24230" s="1" t="s">
        <v>7329</v>
      </c>
      <c r="D24230" s="22" t="str">
        <f>HYPERLINK("https://rhld.insurance.arkansas.gov/NPILookup?Npi=1376182816","1376182816")</f>
        <v>1376182816</v>
      </c>
      <c r="E24230" s="1" t="s">
        <v>13032</v>
      </c>
      <c r="F24230" s="2"/>
      <c r="G24230" s="2"/>
      <c r="H24230" s="2"/>
    </row>
    <row r="24231" spans="1:8" x14ac:dyDescent="0.25">
      <c r="A24231" s="1"/>
      <c r="B24231" s="1" t="s">
        <v>7328</v>
      </c>
      <c r="C24231" s="1" t="s">
        <v>7329</v>
      </c>
      <c r="D24231" s="22" t="str">
        <f>HYPERLINK("https://rhld.insurance.arkansas.gov/NPILookup?Npi=1376198192","1376198192")</f>
        <v>1376198192</v>
      </c>
      <c r="E24231" s="1" t="s">
        <v>26781</v>
      </c>
      <c r="F24231" s="2"/>
      <c r="G24231" s="2"/>
      <c r="H24231" s="2"/>
    </row>
    <row r="24232" spans="1:8" x14ac:dyDescent="0.25">
      <c r="A24232" s="1"/>
      <c r="B24232" s="1" t="s">
        <v>7328</v>
      </c>
      <c r="C24232" s="1" t="s">
        <v>7329</v>
      </c>
      <c r="D24232" s="22" t="str">
        <f>HYPERLINK("https://rhld.insurance.arkansas.gov/NPILookup?Npi=1376205419","1376205419")</f>
        <v>1376205419</v>
      </c>
      <c r="E24232" s="1" t="s">
        <v>26782</v>
      </c>
      <c r="F24232" s="2"/>
      <c r="G24232" s="2"/>
      <c r="H24232" s="2"/>
    </row>
    <row r="24233" spans="1:8" x14ac:dyDescent="0.25">
      <c r="A24233" s="1"/>
      <c r="B24233" s="1" t="s">
        <v>7328</v>
      </c>
      <c r="C24233" s="1" t="s">
        <v>7329</v>
      </c>
      <c r="D24233" s="22" t="str">
        <f>HYPERLINK("https://rhld.insurance.arkansas.gov/NPILookup?Npi=1376211664","1376211664")</f>
        <v>1376211664</v>
      </c>
      <c r="E24233" s="1" t="s">
        <v>7700</v>
      </c>
      <c r="F24233" s="2"/>
      <c r="G24233" s="2"/>
      <c r="H24233" s="2"/>
    </row>
    <row r="24234" spans="1:8" x14ac:dyDescent="0.25">
      <c r="A24234" s="1"/>
      <c r="B24234" s="1" t="s">
        <v>7328</v>
      </c>
      <c r="C24234" s="1" t="s">
        <v>7329</v>
      </c>
      <c r="D24234" s="22" t="str">
        <f>HYPERLINK("https://rhld.insurance.arkansas.gov/NPILookup?Npi=1376218693","1376218693")</f>
        <v>1376218693</v>
      </c>
      <c r="E24234" s="1" t="s">
        <v>26783</v>
      </c>
      <c r="F24234" s="2"/>
      <c r="G24234" s="2"/>
      <c r="H24234" s="2"/>
    </row>
    <row r="24235" spans="1:8" x14ac:dyDescent="0.25">
      <c r="A24235" s="1"/>
      <c r="B24235" s="1" t="s">
        <v>7328</v>
      </c>
      <c r="C24235" s="1" t="s">
        <v>7329</v>
      </c>
      <c r="D24235" s="22" t="str">
        <f>HYPERLINK("https://rhld.insurance.arkansas.gov/NPILookup?Npi=1376224535","1376224535")</f>
        <v>1376224535</v>
      </c>
      <c r="E24235" s="1" t="s">
        <v>7701</v>
      </c>
      <c r="F24235" s="2"/>
      <c r="G24235" s="2"/>
      <c r="H24235" s="2"/>
    </row>
    <row r="24236" spans="1:8" x14ac:dyDescent="0.25">
      <c r="A24236" s="1"/>
      <c r="B24236" s="1" t="s">
        <v>7328</v>
      </c>
      <c r="C24236" s="1" t="s">
        <v>7329</v>
      </c>
      <c r="D24236" s="22" t="str">
        <f>HYPERLINK("https://rhld.insurance.arkansas.gov/NPILookup?Npi=1376241653","1376241653")</f>
        <v>1376241653</v>
      </c>
      <c r="E24236" s="1" t="s">
        <v>13033</v>
      </c>
      <c r="F24236" s="2"/>
      <c r="G24236" s="2"/>
      <c r="H24236" s="2"/>
    </row>
    <row r="24237" spans="1:8" x14ac:dyDescent="0.25">
      <c r="A24237" s="1"/>
      <c r="B24237" s="1" t="s">
        <v>7328</v>
      </c>
      <c r="C24237" s="1" t="s">
        <v>7329</v>
      </c>
      <c r="D24237" s="22" t="str">
        <f>HYPERLINK("https://rhld.insurance.arkansas.gov/NPILookup?Npi=1376264895","1376264895")</f>
        <v>1376264895</v>
      </c>
      <c r="E24237" s="1" t="s">
        <v>7702</v>
      </c>
      <c r="F24237" s="2"/>
      <c r="G24237" s="2"/>
      <c r="H24237" s="2"/>
    </row>
    <row r="24238" spans="1:8" x14ac:dyDescent="0.25">
      <c r="A24238" s="1"/>
      <c r="B24238" s="1" t="s">
        <v>7328</v>
      </c>
      <c r="C24238" s="1" t="s">
        <v>7329</v>
      </c>
      <c r="D24238" s="22" t="str">
        <f>HYPERLINK("https://rhld.insurance.arkansas.gov/NPILookup?Npi=1376285577","1376285577")</f>
        <v>1376285577</v>
      </c>
      <c r="E24238" s="1" t="s">
        <v>13034</v>
      </c>
      <c r="F24238" s="2"/>
      <c r="G24238" s="2"/>
      <c r="H24238" s="2"/>
    </row>
    <row r="24239" spans="1:8" x14ac:dyDescent="0.25">
      <c r="A24239" s="1"/>
      <c r="B24239" s="1" t="s">
        <v>7328</v>
      </c>
      <c r="C24239" s="1" t="s">
        <v>7329</v>
      </c>
      <c r="D24239" s="22" t="str">
        <f>HYPERLINK("https://rhld.insurance.arkansas.gov/NPILookup?Npi=1376288621","1376288621")</f>
        <v>1376288621</v>
      </c>
      <c r="E24239" s="1" t="s">
        <v>26784</v>
      </c>
      <c r="F24239" s="2"/>
      <c r="G24239" s="2"/>
      <c r="H24239" s="2"/>
    </row>
    <row r="24240" spans="1:8" x14ac:dyDescent="0.25">
      <c r="A24240" s="1"/>
      <c r="B24240" s="1" t="s">
        <v>7328</v>
      </c>
      <c r="C24240" s="1" t="s">
        <v>7329</v>
      </c>
      <c r="D24240" s="22" t="str">
        <f>HYPERLINK("https://rhld.insurance.arkansas.gov/NPILookup?Npi=1376289405","1376289405")</f>
        <v>1376289405</v>
      </c>
      <c r="E24240" s="1" t="s">
        <v>13035</v>
      </c>
      <c r="F24240" s="2"/>
      <c r="G24240" s="2"/>
      <c r="H24240" s="2"/>
    </row>
    <row r="24241" spans="1:8" x14ac:dyDescent="0.25">
      <c r="A24241" s="1"/>
      <c r="B24241" s="1" t="s">
        <v>7328</v>
      </c>
      <c r="C24241" s="1" t="s">
        <v>7329</v>
      </c>
      <c r="D24241" s="22" t="str">
        <f>HYPERLINK("https://rhld.insurance.arkansas.gov/NPILookup?Npi=1376325944","1376325944")</f>
        <v>1376325944</v>
      </c>
      <c r="E24241" s="1" t="s">
        <v>5284</v>
      </c>
      <c r="F24241" s="2"/>
      <c r="G24241" s="2"/>
      <c r="H24241" s="2"/>
    </row>
    <row r="24242" spans="1:8" x14ac:dyDescent="0.25">
      <c r="A24242" s="1"/>
      <c r="B24242" s="1" t="s">
        <v>7328</v>
      </c>
      <c r="C24242" s="1" t="s">
        <v>7329</v>
      </c>
      <c r="D24242" s="22" t="str">
        <f>HYPERLINK("https://rhld.insurance.arkansas.gov/NPILookup?Npi=1376357525","1376357525")</f>
        <v>1376357525</v>
      </c>
      <c r="E24242" s="1" t="s">
        <v>32208</v>
      </c>
      <c r="F24242" s="2"/>
      <c r="G24242" s="2"/>
      <c r="H24242" s="2"/>
    </row>
    <row r="24243" spans="1:8" x14ac:dyDescent="0.25">
      <c r="A24243" s="1"/>
      <c r="B24243" s="1" t="s">
        <v>7328</v>
      </c>
      <c r="C24243" s="1" t="s">
        <v>7329</v>
      </c>
      <c r="D24243" s="22" t="str">
        <f>HYPERLINK("https://rhld.insurance.arkansas.gov/NPILookup?Npi=1376502690","1376502690")</f>
        <v>1376502690</v>
      </c>
      <c r="E24243" s="1" t="s">
        <v>2797</v>
      </c>
      <c r="F24243" s="2"/>
      <c r="G24243" s="2"/>
      <c r="H24243" s="2"/>
    </row>
    <row r="24244" spans="1:8" x14ac:dyDescent="0.25">
      <c r="A24244" s="1"/>
      <c r="B24244" s="1" t="s">
        <v>7328</v>
      </c>
      <c r="C24244" s="1" t="s">
        <v>7329</v>
      </c>
      <c r="D24244" s="22" t="str">
        <f>HYPERLINK("https://rhld.insurance.arkansas.gov/NPILookup?Npi=1376521773","1376521773")</f>
        <v>1376521773</v>
      </c>
      <c r="E24244" s="1" t="s">
        <v>26785</v>
      </c>
      <c r="F24244" s="2"/>
      <c r="G24244" s="2"/>
      <c r="H24244" s="2"/>
    </row>
    <row r="24245" spans="1:8" x14ac:dyDescent="0.25">
      <c r="A24245" s="1"/>
      <c r="B24245" s="1" t="s">
        <v>7328</v>
      </c>
      <c r="C24245" s="1" t="s">
        <v>7329</v>
      </c>
      <c r="D24245" s="22" t="str">
        <f>HYPERLINK("https://rhld.insurance.arkansas.gov/NPILookup?Npi=1376523316","1376523316")</f>
        <v>1376523316</v>
      </c>
      <c r="E24245" s="1" t="s">
        <v>2012</v>
      </c>
      <c r="F24245" s="2"/>
      <c r="G24245" s="2"/>
      <c r="H24245" s="2"/>
    </row>
    <row r="24246" spans="1:8" x14ac:dyDescent="0.25">
      <c r="A24246" s="1"/>
      <c r="B24246" s="1" t="s">
        <v>7328</v>
      </c>
      <c r="C24246" s="1" t="s">
        <v>7329</v>
      </c>
      <c r="D24246" s="22" t="str">
        <f>HYPERLINK("https://rhld.insurance.arkansas.gov/NPILookup?Npi=1376526889","1376526889")</f>
        <v>1376526889</v>
      </c>
      <c r="E24246" s="1" t="s">
        <v>26786</v>
      </c>
      <c r="F24246" s="2"/>
      <c r="G24246" s="2"/>
      <c r="H24246" s="2"/>
    </row>
    <row r="24247" spans="1:8" x14ac:dyDescent="0.25">
      <c r="A24247" s="1"/>
      <c r="B24247" s="1" t="s">
        <v>7328</v>
      </c>
      <c r="C24247" s="1" t="s">
        <v>7329</v>
      </c>
      <c r="D24247" s="22" t="str">
        <f>HYPERLINK("https://rhld.insurance.arkansas.gov/NPILookup?Npi=1376538090","1376538090")</f>
        <v>1376538090</v>
      </c>
      <c r="E24247" s="1" t="s">
        <v>26787</v>
      </c>
      <c r="F24247" s="2"/>
      <c r="G24247" s="2"/>
      <c r="H24247" s="2"/>
    </row>
    <row r="24248" spans="1:8" x14ac:dyDescent="0.25">
      <c r="A24248" s="1"/>
      <c r="B24248" s="1" t="s">
        <v>7328</v>
      </c>
      <c r="C24248" s="1" t="s">
        <v>7329</v>
      </c>
      <c r="D24248" s="22" t="str">
        <f>HYPERLINK("https://rhld.insurance.arkansas.gov/NPILookup?Npi=1376542290","1376542290")</f>
        <v>1376542290</v>
      </c>
      <c r="E24248" s="1" t="s">
        <v>26788</v>
      </c>
      <c r="F24248" s="2"/>
      <c r="G24248" s="2"/>
      <c r="H24248" s="2"/>
    </row>
    <row r="24249" spans="1:8" x14ac:dyDescent="0.25">
      <c r="A24249" s="1"/>
      <c r="B24249" s="1" t="s">
        <v>7328</v>
      </c>
      <c r="C24249" s="1" t="s">
        <v>7329</v>
      </c>
      <c r="D24249" s="22" t="str">
        <f>HYPERLINK("https://rhld.insurance.arkansas.gov/NPILookup?Npi=1376545103","1376545103")</f>
        <v>1376545103</v>
      </c>
      <c r="E24249" s="1" t="s">
        <v>26789</v>
      </c>
      <c r="F24249" s="2"/>
      <c r="G24249" s="2"/>
      <c r="H24249" s="2"/>
    </row>
    <row r="24250" spans="1:8" x14ac:dyDescent="0.25">
      <c r="A24250" s="1"/>
      <c r="B24250" s="1" t="s">
        <v>7328</v>
      </c>
      <c r="C24250" s="1" t="s">
        <v>7329</v>
      </c>
      <c r="D24250" s="22" t="str">
        <f>HYPERLINK("https://rhld.insurance.arkansas.gov/NPILookup?Npi=1376556746","1376556746")</f>
        <v>1376556746</v>
      </c>
      <c r="E24250" s="1" t="s">
        <v>26790</v>
      </c>
      <c r="F24250" s="2"/>
      <c r="G24250" s="2"/>
      <c r="H24250" s="2"/>
    </row>
    <row r="24251" spans="1:8" x14ac:dyDescent="0.25">
      <c r="A24251" s="1"/>
      <c r="B24251" s="1" t="s">
        <v>7328</v>
      </c>
      <c r="C24251" s="1" t="s">
        <v>7329</v>
      </c>
      <c r="D24251" s="22" t="str">
        <f>HYPERLINK("https://rhld.insurance.arkansas.gov/NPILookup?Npi=1376561647","1376561647")</f>
        <v>1376561647</v>
      </c>
      <c r="E24251" s="1" t="s">
        <v>17470</v>
      </c>
      <c r="F24251" s="2"/>
      <c r="G24251" s="2"/>
      <c r="H24251" s="2"/>
    </row>
    <row r="24252" spans="1:8" x14ac:dyDescent="0.25">
      <c r="A24252" s="1"/>
      <c r="B24252" s="1" t="s">
        <v>7328</v>
      </c>
      <c r="C24252" s="1" t="s">
        <v>7329</v>
      </c>
      <c r="D24252" s="22" t="str">
        <f>HYPERLINK("https://rhld.insurance.arkansas.gov/NPILookup?Npi=1376566182","1376566182")</f>
        <v>1376566182</v>
      </c>
      <c r="E24252" s="1" t="s">
        <v>26791</v>
      </c>
      <c r="F24252" s="2"/>
      <c r="G24252" s="2"/>
      <c r="H24252" s="2"/>
    </row>
    <row r="24253" spans="1:8" x14ac:dyDescent="0.25">
      <c r="A24253" s="1"/>
      <c r="B24253" s="1" t="s">
        <v>7328</v>
      </c>
      <c r="C24253" s="1" t="s">
        <v>7329</v>
      </c>
      <c r="D24253" s="22" t="str">
        <f>HYPERLINK("https://rhld.insurance.arkansas.gov/NPILookup?Npi=1376567081","1376567081")</f>
        <v>1376567081</v>
      </c>
      <c r="E24253" s="1" t="s">
        <v>26792</v>
      </c>
      <c r="F24253" s="2"/>
      <c r="G24253" s="2"/>
      <c r="H24253" s="2"/>
    </row>
    <row r="24254" spans="1:8" x14ac:dyDescent="0.25">
      <c r="A24254" s="1"/>
      <c r="B24254" s="1" t="s">
        <v>7328</v>
      </c>
      <c r="C24254" s="1" t="s">
        <v>7329</v>
      </c>
      <c r="D24254" s="22" t="str">
        <f>HYPERLINK("https://rhld.insurance.arkansas.gov/NPILookup?Npi=1376568204","1376568204")</f>
        <v>1376568204</v>
      </c>
      <c r="E24254" s="1" t="s">
        <v>26793</v>
      </c>
      <c r="F24254" s="2"/>
      <c r="G24254" s="2"/>
      <c r="H24254" s="2"/>
    </row>
    <row r="24255" spans="1:8" x14ac:dyDescent="0.25">
      <c r="A24255" s="1"/>
      <c r="B24255" s="1" t="s">
        <v>7328</v>
      </c>
      <c r="C24255" s="1" t="s">
        <v>7329</v>
      </c>
      <c r="D24255" s="22" t="str">
        <f>HYPERLINK("https://rhld.insurance.arkansas.gov/NPILookup?Npi=1376572800","1376572800")</f>
        <v>1376572800</v>
      </c>
      <c r="E24255" s="1" t="s">
        <v>103</v>
      </c>
      <c r="F24255" s="2"/>
      <c r="G24255" s="2"/>
      <c r="H24255" s="2"/>
    </row>
    <row r="24256" spans="1:8" x14ac:dyDescent="0.25">
      <c r="A24256" s="1"/>
      <c r="B24256" s="1" t="s">
        <v>7328</v>
      </c>
      <c r="C24256" s="1" t="s">
        <v>7329</v>
      </c>
      <c r="D24256" s="22" t="str">
        <f>HYPERLINK("https://rhld.insurance.arkansas.gov/NPILookup?Npi=1376583328","1376583328")</f>
        <v>1376583328</v>
      </c>
      <c r="E24256" s="1" t="s">
        <v>26794</v>
      </c>
      <c r="F24256" s="2"/>
      <c r="G24256" s="2"/>
      <c r="H24256" s="2"/>
    </row>
    <row r="24257" spans="1:8" x14ac:dyDescent="0.25">
      <c r="A24257" s="1"/>
      <c r="B24257" s="1" t="s">
        <v>7328</v>
      </c>
      <c r="C24257" s="1" t="s">
        <v>7329</v>
      </c>
      <c r="D24257" s="22" t="str">
        <f>HYPERLINK("https://rhld.insurance.arkansas.gov/NPILookup?Npi=1376588145","1376588145")</f>
        <v>1376588145</v>
      </c>
      <c r="E24257" s="1" t="s">
        <v>13036</v>
      </c>
      <c r="F24257" s="2"/>
      <c r="G24257" s="2"/>
      <c r="H24257" s="2"/>
    </row>
    <row r="24258" spans="1:8" x14ac:dyDescent="0.25">
      <c r="A24258" s="1"/>
      <c r="B24258" s="1" t="s">
        <v>7328</v>
      </c>
      <c r="C24258" s="1" t="s">
        <v>7329</v>
      </c>
      <c r="D24258" s="22" t="str">
        <f>HYPERLINK("https://rhld.insurance.arkansas.gov/NPILookup?Npi=1376588210","1376588210")</f>
        <v>1376588210</v>
      </c>
      <c r="E24258" s="1" t="s">
        <v>2798</v>
      </c>
      <c r="F24258" s="2"/>
      <c r="G24258" s="2"/>
      <c r="H24258" s="2"/>
    </row>
    <row r="24259" spans="1:8" x14ac:dyDescent="0.25">
      <c r="A24259" s="1"/>
      <c r="B24259" s="1" t="s">
        <v>7328</v>
      </c>
      <c r="C24259" s="1" t="s">
        <v>7329</v>
      </c>
      <c r="D24259" s="22" t="str">
        <f>HYPERLINK("https://rhld.insurance.arkansas.gov/NPILookup?Npi=1376589754","1376589754")</f>
        <v>1376589754</v>
      </c>
      <c r="E24259" s="1" t="s">
        <v>17472</v>
      </c>
      <c r="F24259" s="2"/>
      <c r="G24259" s="2"/>
      <c r="H24259" s="2"/>
    </row>
    <row r="24260" spans="1:8" x14ac:dyDescent="0.25">
      <c r="A24260" s="1"/>
      <c r="B24260" s="1" t="s">
        <v>7328</v>
      </c>
      <c r="C24260" s="1" t="s">
        <v>7329</v>
      </c>
      <c r="D24260" s="22" t="str">
        <f>HYPERLINK("https://rhld.insurance.arkansas.gov/NPILookup?Npi=1376617274","1376617274")</f>
        <v>1376617274</v>
      </c>
      <c r="E24260" s="1" t="s">
        <v>26795</v>
      </c>
      <c r="F24260" s="2"/>
      <c r="G24260" s="2"/>
      <c r="H24260" s="2"/>
    </row>
    <row r="24261" spans="1:8" x14ac:dyDescent="0.25">
      <c r="A24261" s="1"/>
      <c r="B24261" s="1" t="s">
        <v>7328</v>
      </c>
      <c r="C24261" s="1" t="s">
        <v>7329</v>
      </c>
      <c r="D24261" s="22" t="str">
        <f>HYPERLINK("https://rhld.insurance.arkansas.gov/NPILookup?Npi=1376631689","1376631689")</f>
        <v>1376631689</v>
      </c>
      <c r="E24261" s="1" t="s">
        <v>26796</v>
      </c>
      <c r="F24261" s="2"/>
      <c r="G24261" s="2"/>
      <c r="H24261" s="2"/>
    </row>
    <row r="24262" spans="1:8" x14ac:dyDescent="0.25">
      <c r="A24262" s="1"/>
      <c r="B24262" s="1" t="s">
        <v>7328</v>
      </c>
      <c r="C24262" s="1" t="s">
        <v>7329</v>
      </c>
      <c r="D24262" s="22" t="str">
        <f>HYPERLINK("https://rhld.insurance.arkansas.gov/NPILookup?Npi=1376632364","1376632364")</f>
        <v>1376632364</v>
      </c>
      <c r="E24262" s="1" t="s">
        <v>26797</v>
      </c>
      <c r="F24262" s="2"/>
      <c r="G24262" s="2"/>
      <c r="H24262" s="2"/>
    </row>
    <row r="24263" spans="1:8" x14ac:dyDescent="0.25">
      <c r="A24263" s="1"/>
      <c r="B24263" s="1" t="s">
        <v>7328</v>
      </c>
      <c r="C24263" s="1" t="s">
        <v>7329</v>
      </c>
      <c r="D24263" s="22" t="str">
        <f>HYPERLINK("https://rhld.insurance.arkansas.gov/NPILookup?Npi=1376651919","1376651919")</f>
        <v>1376651919</v>
      </c>
      <c r="E24263" s="1" t="s">
        <v>26798</v>
      </c>
      <c r="F24263" s="2"/>
      <c r="G24263" s="2"/>
      <c r="H24263" s="2"/>
    </row>
    <row r="24264" spans="1:8" x14ac:dyDescent="0.25">
      <c r="A24264" s="1"/>
      <c r="B24264" s="1" t="s">
        <v>7328</v>
      </c>
      <c r="C24264" s="1" t="s">
        <v>7329</v>
      </c>
      <c r="D24264" s="22" t="str">
        <f>HYPERLINK("https://rhld.insurance.arkansas.gov/NPILookup?Npi=1376658062","1376658062")</f>
        <v>1376658062</v>
      </c>
      <c r="E24264" s="1" t="s">
        <v>3269</v>
      </c>
      <c r="F24264" s="2"/>
      <c r="G24264" s="2"/>
      <c r="H24264" s="2"/>
    </row>
    <row r="24265" spans="1:8" x14ac:dyDescent="0.25">
      <c r="A24265" s="1"/>
      <c r="B24265" s="1" t="s">
        <v>7328</v>
      </c>
      <c r="C24265" s="1" t="s">
        <v>7329</v>
      </c>
      <c r="D24265" s="22" t="str">
        <f>HYPERLINK("https://rhld.insurance.arkansas.gov/NPILookup?Npi=1376659219","1376659219")</f>
        <v>1376659219</v>
      </c>
      <c r="E24265" s="1" t="s">
        <v>26799</v>
      </c>
      <c r="F24265" s="2"/>
      <c r="G24265" s="2"/>
      <c r="H24265" s="2"/>
    </row>
    <row r="24266" spans="1:8" x14ac:dyDescent="0.25">
      <c r="A24266" s="1"/>
      <c r="B24266" s="1" t="s">
        <v>7328</v>
      </c>
      <c r="C24266" s="1" t="s">
        <v>7329</v>
      </c>
      <c r="D24266" s="22" t="str">
        <f>HYPERLINK("https://rhld.insurance.arkansas.gov/NPILookup?Npi=1376717579","1376717579")</f>
        <v>1376717579</v>
      </c>
      <c r="E24266" s="1" t="s">
        <v>3282</v>
      </c>
      <c r="F24266" s="2"/>
      <c r="G24266" s="2"/>
      <c r="H24266" s="2"/>
    </row>
    <row r="24267" spans="1:8" x14ac:dyDescent="0.25">
      <c r="A24267" s="1"/>
      <c r="B24267" s="1" t="s">
        <v>7328</v>
      </c>
      <c r="C24267" s="1" t="s">
        <v>7329</v>
      </c>
      <c r="D24267" s="22" t="str">
        <f>HYPERLINK("https://rhld.insurance.arkansas.gov/NPILookup?Npi=1376739854","1376739854")</f>
        <v>1376739854</v>
      </c>
      <c r="E24267" s="1" t="s">
        <v>26800</v>
      </c>
      <c r="F24267" s="2"/>
      <c r="G24267" s="2"/>
      <c r="H24267" s="2"/>
    </row>
    <row r="24268" spans="1:8" x14ac:dyDescent="0.25">
      <c r="A24268" s="1"/>
      <c r="B24268" s="1" t="s">
        <v>7328</v>
      </c>
      <c r="C24268" s="1" t="s">
        <v>7329</v>
      </c>
      <c r="D24268" s="22" t="str">
        <f>HYPERLINK("https://rhld.insurance.arkansas.gov/NPILookup?Npi=1376754077","1376754077")</f>
        <v>1376754077</v>
      </c>
      <c r="E24268" s="1" t="s">
        <v>13037</v>
      </c>
      <c r="F24268" s="2"/>
      <c r="G24268" s="2"/>
      <c r="H24268" s="2"/>
    </row>
    <row r="24269" spans="1:8" x14ac:dyDescent="0.25">
      <c r="A24269" s="1"/>
      <c r="B24269" s="1" t="s">
        <v>7328</v>
      </c>
      <c r="C24269" s="1" t="s">
        <v>7329</v>
      </c>
      <c r="D24269" s="22" t="str">
        <f>HYPERLINK("https://rhld.insurance.arkansas.gov/NPILookup?Npi=1376765842","1376765842")</f>
        <v>1376765842</v>
      </c>
      <c r="E24269" s="1" t="s">
        <v>13038</v>
      </c>
      <c r="F24269" s="2"/>
      <c r="G24269" s="2"/>
      <c r="H24269" s="2"/>
    </row>
    <row r="24270" spans="1:8" x14ac:dyDescent="0.25">
      <c r="A24270" s="1"/>
      <c r="B24270" s="1" t="s">
        <v>7328</v>
      </c>
      <c r="C24270" s="1" t="s">
        <v>7329</v>
      </c>
      <c r="D24270" s="22" t="str">
        <f>HYPERLINK("https://rhld.insurance.arkansas.gov/NPILookup?Npi=1376767533","1376767533")</f>
        <v>1376767533</v>
      </c>
      <c r="E24270" s="1" t="s">
        <v>2601</v>
      </c>
      <c r="F24270" s="2"/>
      <c r="G24270" s="2"/>
      <c r="H24270" s="2"/>
    </row>
    <row r="24271" spans="1:8" x14ac:dyDescent="0.25">
      <c r="A24271" s="1"/>
      <c r="B24271" s="1" t="s">
        <v>7328</v>
      </c>
      <c r="C24271" s="1" t="s">
        <v>7329</v>
      </c>
      <c r="D24271" s="22" t="str">
        <f>HYPERLINK("https://rhld.insurance.arkansas.gov/NPILookup?Npi=1376792192","1376792192")</f>
        <v>1376792192</v>
      </c>
      <c r="E24271" s="1" t="s">
        <v>19383</v>
      </c>
      <c r="F24271" s="2"/>
      <c r="G24271" s="2"/>
      <c r="H24271" s="2"/>
    </row>
    <row r="24272" spans="1:8" x14ac:dyDescent="0.25">
      <c r="A24272" s="1"/>
      <c r="B24272" s="1" t="s">
        <v>7328</v>
      </c>
      <c r="C24272" s="1" t="s">
        <v>7329</v>
      </c>
      <c r="D24272" s="22" t="str">
        <f>HYPERLINK("https://rhld.insurance.arkansas.gov/NPILookup?Npi=1376792457","1376792457")</f>
        <v>1376792457</v>
      </c>
      <c r="E24272" s="1" t="s">
        <v>13039</v>
      </c>
      <c r="F24272" s="2"/>
      <c r="G24272" s="2"/>
      <c r="H24272" s="2"/>
    </row>
    <row r="24273" spans="1:8" x14ac:dyDescent="0.25">
      <c r="A24273" s="1"/>
      <c r="B24273" s="1" t="s">
        <v>7328</v>
      </c>
      <c r="C24273" s="1" t="s">
        <v>7329</v>
      </c>
      <c r="D24273" s="22" t="str">
        <f>HYPERLINK("https://rhld.insurance.arkansas.gov/NPILookup?Npi=1376801712","1376801712")</f>
        <v>1376801712</v>
      </c>
      <c r="E24273" s="1" t="s">
        <v>26801</v>
      </c>
      <c r="F24273" s="2"/>
      <c r="G24273" s="2"/>
      <c r="H24273" s="2"/>
    </row>
    <row r="24274" spans="1:8" x14ac:dyDescent="0.25">
      <c r="A24274" s="1"/>
      <c r="B24274" s="1" t="s">
        <v>7328</v>
      </c>
      <c r="C24274" s="1" t="s">
        <v>7329</v>
      </c>
      <c r="D24274" s="22" t="str">
        <f>HYPERLINK("https://rhld.insurance.arkansas.gov/NPILookup?Npi=1376805911","1376805911")</f>
        <v>1376805911</v>
      </c>
      <c r="E24274" s="1" t="s">
        <v>32209</v>
      </c>
      <c r="F24274" s="2"/>
      <c r="G24274" s="2"/>
      <c r="H24274" s="2"/>
    </row>
    <row r="24275" spans="1:8" x14ac:dyDescent="0.25">
      <c r="A24275" s="1"/>
      <c r="B24275" s="1" t="s">
        <v>7328</v>
      </c>
      <c r="C24275" s="1" t="s">
        <v>7329</v>
      </c>
      <c r="D24275" s="22" t="str">
        <f>HYPERLINK("https://rhld.insurance.arkansas.gov/NPILookup?Npi=1376806760","1376806760")</f>
        <v>1376806760</v>
      </c>
      <c r="E24275" s="1" t="s">
        <v>26802</v>
      </c>
      <c r="F24275" s="2"/>
      <c r="G24275" s="2"/>
      <c r="H24275" s="2"/>
    </row>
    <row r="24276" spans="1:8" x14ac:dyDescent="0.25">
      <c r="A24276" s="1"/>
      <c r="B24276" s="1" t="s">
        <v>7328</v>
      </c>
      <c r="C24276" s="1" t="s">
        <v>7329</v>
      </c>
      <c r="D24276" s="22" t="str">
        <f>HYPERLINK("https://rhld.insurance.arkansas.gov/NPILookup?Npi=1376818708","1376818708")</f>
        <v>1376818708</v>
      </c>
      <c r="E24276" s="1" t="s">
        <v>26803</v>
      </c>
      <c r="F24276" s="2"/>
      <c r="G24276" s="2"/>
      <c r="H24276" s="2"/>
    </row>
    <row r="24277" spans="1:8" x14ac:dyDescent="0.25">
      <c r="A24277" s="1"/>
      <c r="B24277" s="1" t="s">
        <v>7328</v>
      </c>
      <c r="C24277" s="1" t="s">
        <v>7329</v>
      </c>
      <c r="D24277" s="22" t="str">
        <f>HYPERLINK("https://rhld.insurance.arkansas.gov/NPILookup?Npi=1376823377","1376823377")</f>
        <v>1376823377</v>
      </c>
      <c r="E24277" s="1" t="s">
        <v>26804</v>
      </c>
      <c r="F24277" s="2"/>
      <c r="G24277" s="2"/>
      <c r="H24277" s="2"/>
    </row>
    <row r="24278" spans="1:8" x14ac:dyDescent="0.25">
      <c r="A24278" s="1"/>
      <c r="B24278" s="1" t="s">
        <v>7328</v>
      </c>
      <c r="C24278" s="1" t="s">
        <v>7329</v>
      </c>
      <c r="D24278" s="22" t="str">
        <f>HYPERLINK("https://rhld.insurance.arkansas.gov/NPILookup?Npi=1376824938","1376824938")</f>
        <v>1376824938</v>
      </c>
      <c r="E24278" s="1" t="s">
        <v>26805</v>
      </c>
      <c r="F24278" s="2"/>
      <c r="G24278" s="2"/>
      <c r="H24278" s="2"/>
    </row>
    <row r="24279" spans="1:8" x14ac:dyDescent="0.25">
      <c r="A24279" s="1"/>
      <c r="B24279" s="1" t="s">
        <v>7328</v>
      </c>
      <c r="C24279" s="1" t="s">
        <v>7329</v>
      </c>
      <c r="D24279" s="22" t="str">
        <f>HYPERLINK("https://rhld.insurance.arkansas.gov/NPILookup?Npi=1376834101","1376834101")</f>
        <v>1376834101</v>
      </c>
      <c r="E24279" s="1" t="s">
        <v>17477</v>
      </c>
      <c r="F24279" s="2"/>
      <c r="G24279" s="2"/>
      <c r="H24279" s="2"/>
    </row>
    <row r="24280" spans="1:8" x14ac:dyDescent="0.25">
      <c r="A24280" s="1"/>
      <c r="B24280" s="1" t="s">
        <v>7328</v>
      </c>
      <c r="C24280" s="1" t="s">
        <v>7329</v>
      </c>
      <c r="D24280" s="22" t="str">
        <f>HYPERLINK("https://rhld.insurance.arkansas.gov/NPILookup?Npi=1376841247","1376841247")</f>
        <v>1376841247</v>
      </c>
      <c r="E24280" s="1" t="s">
        <v>860</v>
      </c>
      <c r="F24280" s="2"/>
      <c r="G24280" s="2"/>
      <c r="H24280" s="2"/>
    </row>
    <row r="24281" spans="1:8" x14ac:dyDescent="0.25">
      <c r="A24281" s="1"/>
      <c r="B24281" s="1" t="s">
        <v>7328</v>
      </c>
      <c r="C24281" s="1" t="s">
        <v>7329</v>
      </c>
      <c r="D24281" s="22" t="str">
        <f>HYPERLINK("https://rhld.insurance.arkansas.gov/NPILookup?Npi=1376842799","1376842799")</f>
        <v>1376842799</v>
      </c>
      <c r="E24281" s="1" t="s">
        <v>13040</v>
      </c>
      <c r="F24281" s="2"/>
      <c r="G24281" s="2"/>
      <c r="H24281" s="2"/>
    </row>
    <row r="24282" spans="1:8" x14ac:dyDescent="0.25">
      <c r="A24282" s="1"/>
      <c r="B24282" s="1" t="s">
        <v>7328</v>
      </c>
      <c r="C24282" s="1" t="s">
        <v>7329</v>
      </c>
      <c r="D24282" s="22" t="str">
        <f>HYPERLINK("https://rhld.insurance.arkansas.gov/NPILookup?Npi=1376847210","1376847210")</f>
        <v>1376847210</v>
      </c>
      <c r="E24282" s="1" t="s">
        <v>26806</v>
      </c>
      <c r="F24282" s="2"/>
      <c r="G24282" s="2"/>
      <c r="H24282" s="2"/>
    </row>
    <row r="24283" spans="1:8" x14ac:dyDescent="0.25">
      <c r="A24283" s="1"/>
      <c r="B24283" s="1" t="s">
        <v>7328</v>
      </c>
      <c r="C24283" s="1" t="s">
        <v>7329</v>
      </c>
      <c r="D24283" s="22" t="str">
        <f>HYPERLINK("https://rhld.insurance.arkansas.gov/NPILookup?Npi=1376878926","1376878926")</f>
        <v>1376878926</v>
      </c>
      <c r="E24283" s="1" t="s">
        <v>26807</v>
      </c>
      <c r="F24283" s="2"/>
      <c r="G24283" s="2"/>
      <c r="H24283" s="2"/>
    </row>
    <row r="24284" spans="1:8" x14ac:dyDescent="0.25">
      <c r="A24284" s="1"/>
      <c r="B24284" s="1" t="s">
        <v>7328</v>
      </c>
      <c r="C24284" s="1" t="s">
        <v>7329</v>
      </c>
      <c r="D24284" s="22" t="str">
        <f>HYPERLINK("https://rhld.insurance.arkansas.gov/NPILookup?Npi=1376884536","1376884536")</f>
        <v>1376884536</v>
      </c>
      <c r="E24284" s="1" t="s">
        <v>26808</v>
      </c>
      <c r="F24284" s="2"/>
      <c r="G24284" s="2"/>
      <c r="H24284" s="2"/>
    </row>
    <row r="24285" spans="1:8" x14ac:dyDescent="0.25">
      <c r="A24285" s="1"/>
      <c r="B24285" s="1" t="s">
        <v>7328</v>
      </c>
      <c r="C24285" s="1" t="s">
        <v>7329</v>
      </c>
      <c r="D24285" s="22" t="str">
        <f>HYPERLINK("https://rhld.insurance.arkansas.gov/NPILookup?Npi=1376903823","1376903823")</f>
        <v>1376903823</v>
      </c>
      <c r="E24285" s="1" t="s">
        <v>26809</v>
      </c>
      <c r="F24285" s="2"/>
      <c r="G24285" s="2"/>
      <c r="H24285" s="2"/>
    </row>
    <row r="24286" spans="1:8" x14ac:dyDescent="0.25">
      <c r="A24286" s="1"/>
      <c r="B24286" s="1" t="s">
        <v>7328</v>
      </c>
      <c r="C24286" s="1" t="s">
        <v>7329</v>
      </c>
      <c r="D24286" s="22" t="str">
        <f>HYPERLINK("https://rhld.insurance.arkansas.gov/NPILookup?Npi=1376912824","1376912824")</f>
        <v>1376912824</v>
      </c>
      <c r="E24286" s="1" t="s">
        <v>26810</v>
      </c>
      <c r="F24286" s="2"/>
      <c r="G24286" s="2"/>
      <c r="H24286" s="2"/>
    </row>
    <row r="24287" spans="1:8" x14ac:dyDescent="0.25">
      <c r="A24287" s="1"/>
      <c r="B24287" s="1" t="s">
        <v>7328</v>
      </c>
      <c r="C24287" s="1" t="s">
        <v>7329</v>
      </c>
      <c r="D24287" s="22" t="str">
        <f>HYPERLINK("https://rhld.insurance.arkansas.gov/NPILookup?Npi=1376932830","1376932830")</f>
        <v>1376932830</v>
      </c>
      <c r="E24287" s="1" t="s">
        <v>26811</v>
      </c>
      <c r="F24287" s="2"/>
      <c r="G24287" s="2"/>
      <c r="H24287" s="2"/>
    </row>
    <row r="24288" spans="1:8" x14ac:dyDescent="0.25">
      <c r="A24288" s="1"/>
      <c r="B24288" s="1" t="s">
        <v>7328</v>
      </c>
      <c r="C24288" s="1" t="s">
        <v>7329</v>
      </c>
      <c r="D24288" s="22" t="str">
        <f>HYPERLINK("https://rhld.insurance.arkansas.gov/NPILookup?Npi=1376936203","1376936203")</f>
        <v>1376936203</v>
      </c>
      <c r="E24288" s="1" t="s">
        <v>2799</v>
      </c>
      <c r="F24288" s="2"/>
      <c r="G24288" s="2"/>
      <c r="H24288" s="2"/>
    </row>
    <row r="24289" spans="1:8" x14ac:dyDescent="0.25">
      <c r="A24289" s="1"/>
      <c r="B24289" s="1" t="s">
        <v>7328</v>
      </c>
      <c r="C24289" s="1" t="s">
        <v>7329</v>
      </c>
      <c r="D24289" s="22" t="str">
        <f>HYPERLINK("https://rhld.insurance.arkansas.gov/NPILookup?Npi=1376937722","1376937722")</f>
        <v>1376937722</v>
      </c>
      <c r="E24289" s="1" t="s">
        <v>13041</v>
      </c>
      <c r="F24289" s="2"/>
      <c r="G24289" s="2"/>
      <c r="H24289" s="2"/>
    </row>
    <row r="24290" spans="1:8" x14ac:dyDescent="0.25">
      <c r="A24290" s="1"/>
      <c r="B24290" s="1" t="s">
        <v>7328</v>
      </c>
      <c r="C24290" s="1" t="s">
        <v>7329</v>
      </c>
      <c r="D24290" s="22" t="str">
        <f>HYPERLINK("https://rhld.insurance.arkansas.gov/NPILookup?Npi=1376958736","1376958736")</f>
        <v>1376958736</v>
      </c>
      <c r="E24290" s="1" t="s">
        <v>2800</v>
      </c>
      <c r="F24290" s="2"/>
      <c r="G24290" s="2"/>
      <c r="H24290" s="2"/>
    </row>
    <row r="24291" spans="1:8" x14ac:dyDescent="0.25">
      <c r="A24291" s="1"/>
      <c r="B24291" s="1" t="s">
        <v>7328</v>
      </c>
      <c r="C24291" s="1" t="s">
        <v>7329</v>
      </c>
      <c r="D24291" s="22" t="str">
        <f>HYPERLINK("https://rhld.insurance.arkansas.gov/NPILookup?Npi=1376963041","1376963041")</f>
        <v>1376963041</v>
      </c>
      <c r="E24291" s="1" t="s">
        <v>26812</v>
      </c>
      <c r="F24291" s="2"/>
      <c r="G24291" s="2"/>
      <c r="H24291" s="2"/>
    </row>
    <row r="24292" spans="1:8" x14ac:dyDescent="0.25">
      <c r="A24292" s="1"/>
      <c r="B24292" s="1" t="s">
        <v>7328</v>
      </c>
      <c r="C24292" s="1" t="s">
        <v>7329</v>
      </c>
      <c r="D24292" s="22" t="str">
        <f>HYPERLINK("https://rhld.insurance.arkansas.gov/NPILookup?Npi=1376975714","1376975714")</f>
        <v>1376975714</v>
      </c>
      <c r="E24292" s="1" t="s">
        <v>26813</v>
      </c>
      <c r="F24292" s="2"/>
      <c r="G24292" s="2"/>
      <c r="H24292" s="2"/>
    </row>
    <row r="24293" spans="1:8" x14ac:dyDescent="0.25">
      <c r="A24293" s="1"/>
      <c r="B24293" s="1" t="s">
        <v>7328</v>
      </c>
      <c r="C24293" s="1" t="s">
        <v>7329</v>
      </c>
      <c r="D24293" s="22" t="str">
        <f>HYPERLINK("https://rhld.insurance.arkansas.gov/NPILookup?Npi=1376977488","1376977488")</f>
        <v>1376977488</v>
      </c>
      <c r="E24293" s="1" t="s">
        <v>7704</v>
      </c>
      <c r="F24293" s="2"/>
      <c r="G24293" s="2"/>
      <c r="H24293" s="2"/>
    </row>
    <row r="24294" spans="1:8" x14ac:dyDescent="0.25">
      <c r="A24294" s="1"/>
      <c r="B24294" s="1" t="s">
        <v>7328</v>
      </c>
      <c r="C24294" s="1" t="s">
        <v>7329</v>
      </c>
      <c r="D24294" s="22" t="str">
        <f>HYPERLINK("https://rhld.insurance.arkansas.gov/NPILookup?Npi=1376979799","1376979799")</f>
        <v>1376979799</v>
      </c>
      <c r="E24294" s="1" t="s">
        <v>13042</v>
      </c>
      <c r="F24294" s="2"/>
      <c r="G24294" s="2"/>
      <c r="H24294" s="2"/>
    </row>
    <row r="24295" spans="1:8" x14ac:dyDescent="0.25">
      <c r="A24295" s="1"/>
      <c r="B24295" s="1" t="s">
        <v>7328</v>
      </c>
      <c r="C24295" s="1" t="s">
        <v>7329</v>
      </c>
      <c r="D24295" s="22" t="str">
        <f>HYPERLINK("https://rhld.insurance.arkansas.gov/NPILookup?Npi=1376980367","1376980367")</f>
        <v>1376980367</v>
      </c>
      <c r="E24295" s="1" t="s">
        <v>1026</v>
      </c>
      <c r="F24295" s="2"/>
      <c r="G24295" s="2"/>
      <c r="H24295" s="2"/>
    </row>
    <row r="24296" spans="1:8" x14ac:dyDescent="0.25">
      <c r="A24296" s="1"/>
      <c r="B24296" s="1" t="s">
        <v>7328</v>
      </c>
      <c r="C24296" s="1" t="s">
        <v>7329</v>
      </c>
      <c r="D24296" s="22" t="str">
        <f>HYPERLINK("https://rhld.insurance.arkansas.gov/NPILookup?Npi=1376981464","1376981464")</f>
        <v>1376981464</v>
      </c>
      <c r="E24296" s="1" t="s">
        <v>7705</v>
      </c>
      <c r="F24296" s="2"/>
      <c r="G24296" s="2"/>
      <c r="H24296" s="2"/>
    </row>
    <row r="24297" spans="1:8" x14ac:dyDescent="0.25">
      <c r="A24297" s="1"/>
      <c r="B24297" s="1" t="s">
        <v>7328</v>
      </c>
      <c r="C24297" s="1" t="s">
        <v>7329</v>
      </c>
      <c r="D24297" s="22" t="str">
        <f>HYPERLINK("https://rhld.insurance.arkansas.gov/NPILookup?Npi=1376987719","1376987719")</f>
        <v>1376987719</v>
      </c>
      <c r="E24297" s="1" t="s">
        <v>26814</v>
      </c>
      <c r="F24297" s="2"/>
      <c r="G24297" s="2"/>
      <c r="H24297" s="2"/>
    </row>
    <row r="24298" spans="1:8" x14ac:dyDescent="0.25">
      <c r="A24298" s="1"/>
      <c r="B24298" s="1" t="s">
        <v>7328</v>
      </c>
      <c r="C24298" s="1" t="s">
        <v>7329</v>
      </c>
      <c r="D24298" s="22" t="str">
        <f>HYPERLINK("https://rhld.insurance.arkansas.gov/NPILookup?Npi=1376996710","1376996710")</f>
        <v>1376996710</v>
      </c>
      <c r="E24298" s="1" t="s">
        <v>26815</v>
      </c>
      <c r="F24298" s="2"/>
      <c r="G24298" s="2"/>
      <c r="H24298" s="2"/>
    </row>
    <row r="24299" spans="1:8" x14ac:dyDescent="0.25">
      <c r="A24299" s="1"/>
      <c r="B24299" s="1" t="s">
        <v>7328</v>
      </c>
      <c r="C24299" s="1" t="s">
        <v>7329</v>
      </c>
      <c r="D24299" s="22" t="str">
        <f>HYPERLINK("https://rhld.insurance.arkansas.gov/NPILookup?Npi=1376999607","1376999607")</f>
        <v>1376999607</v>
      </c>
      <c r="E24299" s="1" t="s">
        <v>2801</v>
      </c>
      <c r="F24299" s="2"/>
      <c r="G24299" s="2"/>
      <c r="H24299" s="2"/>
    </row>
    <row r="24300" spans="1:8" x14ac:dyDescent="0.25">
      <c r="A24300" s="1"/>
      <c r="B24300" s="1" t="s">
        <v>7328</v>
      </c>
      <c r="C24300" s="1" t="s">
        <v>7329</v>
      </c>
      <c r="D24300" s="22" t="str">
        <f>HYPERLINK("https://rhld.insurance.arkansas.gov/NPILookup?Npi=1376999813","1376999813")</f>
        <v>1376999813</v>
      </c>
      <c r="E24300" s="1" t="s">
        <v>26816</v>
      </c>
      <c r="F24300" s="2"/>
      <c r="G24300" s="2"/>
      <c r="H24300" s="2"/>
    </row>
    <row r="24301" spans="1:8" x14ac:dyDescent="0.25">
      <c r="A24301" s="1"/>
      <c r="B24301" s="1" t="s">
        <v>7328</v>
      </c>
      <c r="C24301" s="1" t="s">
        <v>7329</v>
      </c>
      <c r="D24301" s="22" t="str">
        <f>HYPERLINK("https://rhld.insurance.arkansas.gov/NPILookup?Npi=1386002061","1386002061")</f>
        <v>1386002061</v>
      </c>
      <c r="E24301" s="1" t="s">
        <v>19663</v>
      </c>
      <c r="F24301" s="2"/>
      <c r="G24301" s="2"/>
      <c r="H24301" s="2"/>
    </row>
    <row r="24302" spans="1:8" x14ac:dyDescent="0.25">
      <c r="A24302" s="1"/>
      <c r="B24302" s="1" t="s">
        <v>7328</v>
      </c>
      <c r="C24302" s="1" t="s">
        <v>7329</v>
      </c>
      <c r="D24302" s="22" t="str">
        <f>HYPERLINK("https://rhld.insurance.arkansas.gov/NPILookup?Npi=1386002228","1386002228")</f>
        <v>1386002228</v>
      </c>
      <c r="E24302" s="1" t="s">
        <v>26817</v>
      </c>
      <c r="F24302" s="2"/>
      <c r="G24302" s="2"/>
      <c r="H24302" s="2"/>
    </row>
    <row r="24303" spans="1:8" x14ac:dyDescent="0.25">
      <c r="A24303" s="1"/>
      <c r="B24303" s="1" t="s">
        <v>7328</v>
      </c>
      <c r="C24303" s="1" t="s">
        <v>7329</v>
      </c>
      <c r="D24303" s="22" t="str">
        <f>HYPERLINK("https://rhld.insurance.arkansas.gov/NPILookup?Npi=1386009165","1386009165")</f>
        <v>1386009165</v>
      </c>
      <c r="E24303" s="1" t="s">
        <v>1118</v>
      </c>
      <c r="F24303" s="2"/>
      <c r="G24303" s="2"/>
      <c r="H24303" s="2"/>
    </row>
    <row r="24304" spans="1:8" x14ac:dyDescent="0.25">
      <c r="A24304" s="1"/>
      <c r="B24304" s="1" t="s">
        <v>7328</v>
      </c>
      <c r="C24304" s="1" t="s">
        <v>7329</v>
      </c>
      <c r="D24304" s="22" t="str">
        <f>HYPERLINK("https://rhld.insurance.arkansas.gov/NPILookup?Npi=1386026359","1386026359")</f>
        <v>1386026359</v>
      </c>
      <c r="E24304" s="1" t="s">
        <v>16354</v>
      </c>
      <c r="F24304" s="2"/>
      <c r="G24304" s="2"/>
      <c r="H24304" s="2"/>
    </row>
    <row r="24305" spans="1:8" x14ac:dyDescent="0.25">
      <c r="A24305" s="1"/>
      <c r="B24305" s="1" t="s">
        <v>7328</v>
      </c>
      <c r="C24305" s="1" t="s">
        <v>7329</v>
      </c>
      <c r="D24305" s="22" t="str">
        <f>HYPERLINK("https://rhld.insurance.arkansas.gov/NPILookup?Npi=1386026706","1386026706")</f>
        <v>1386026706</v>
      </c>
      <c r="E24305" s="1" t="s">
        <v>7706</v>
      </c>
      <c r="F24305" s="2"/>
      <c r="G24305" s="2"/>
      <c r="H24305" s="2"/>
    </row>
    <row r="24306" spans="1:8" x14ac:dyDescent="0.25">
      <c r="A24306" s="1"/>
      <c r="B24306" s="1" t="s">
        <v>7328</v>
      </c>
      <c r="C24306" s="1" t="s">
        <v>7329</v>
      </c>
      <c r="D24306" s="22" t="str">
        <f>HYPERLINK("https://rhld.insurance.arkansas.gov/NPILookup?Npi=1386032811","1386032811")</f>
        <v>1386032811</v>
      </c>
      <c r="E24306" s="1" t="s">
        <v>13044</v>
      </c>
      <c r="F24306" s="2"/>
      <c r="G24306" s="2"/>
      <c r="H24306" s="2"/>
    </row>
    <row r="24307" spans="1:8" x14ac:dyDescent="0.25">
      <c r="A24307" s="1"/>
      <c r="B24307" s="1" t="s">
        <v>7328</v>
      </c>
      <c r="C24307" s="1" t="s">
        <v>7329</v>
      </c>
      <c r="D24307" s="22" t="str">
        <f>HYPERLINK("https://rhld.insurance.arkansas.gov/NPILookup?Npi=1386035525","1386035525")</f>
        <v>1386035525</v>
      </c>
      <c r="E24307" s="1" t="s">
        <v>26818</v>
      </c>
      <c r="F24307" s="2"/>
      <c r="G24307" s="2"/>
      <c r="H24307" s="2"/>
    </row>
    <row r="24308" spans="1:8" x14ac:dyDescent="0.25">
      <c r="A24308" s="1"/>
      <c r="B24308" s="1" t="s">
        <v>7328</v>
      </c>
      <c r="C24308" s="1" t="s">
        <v>7329</v>
      </c>
      <c r="D24308" s="22" t="str">
        <f>HYPERLINK("https://rhld.insurance.arkansas.gov/NPILookup?Npi=1386035962","1386035962")</f>
        <v>1386035962</v>
      </c>
      <c r="E24308" s="1" t="s">
        <v>13045</v>
      </c>
      <c r="F24308" s="2"/>
      <c r="G24308" s="2"/>
      <c r="H24308" s="2"/>
    </row>
    <row r="24309" spans="1:8" x14ac:dyDescent="0.25">
      <c r="A24309" s="1"/>
      <c r="B24309" s="1" t="s">
        <v>7328</v>
      </c>
      <c r="C24309" s="1" t="s">
        <v>7329</v>
      </c>
      <c r="D24309" s="22" t="str">
        <f>HYPERLINK("https://rhld.insurance.arkansas.gov/NPILookup?Npi=1386039758","1386039758")</f>
        <v>1386039758</v>
      </c>
      <c r="E24309" s="1" t="s">
        <v>13046</v>
      </c>
      <c r="F24309" s="2"/>
      <c r="G24309" s="2"/>
      <c r="H24309" s="2"/>
    </row>
    <row r="24310" spans="1:8" x14ac:dyDescent="0.25">
      <c r="A24310" s="1"/>
      <c r="B24310" s="1" t="s">
        <v>7328</v>
      </c>
      <c r="C24310" s="1" t="s">
        <v>7329</v>
      </c>
      <c r="D24310" s="22" t="str">
        <f>HYPERLINK("https://rhld.insurance.arkansas.gov/NPILookup?Npi=1386042927","1386042927")</f>
        <v>1386042927</v>
      </c>
      <c r="E24310" s="1" t="s">
        <v>26819</v>
      </c>
      <c r="F24310" s="2"/>
      <c r="G24310" s="2"/>
      <c r="H24310" s="2"/>
    </row>
    <row r="24311" spans="1:8" x14ac:dyDescent="0.25">
      <c r="A24311" s="1"/>
      <c r="B24311" s="1" t="s">
        <v>7328</v>
      </c>
      <c r="C24311" s="1" t="s">
        <v>7329</v>
      </c>
      <c r="D24311" s="22" t="str">
        <f>HYPERLINK("https://rhld.insurance.arkansas.gov/NPILookup?Npi=1386051167","1386051167")</f>
        <v>1386051167</v>
      </c>
      <c r="E24311" s="1" t="s">
        <v>26820</v>
      </c>
      <c r="F24311" s="2"/>
      <c r="G24311" s="2"/>
      <c r="H24311" s="2"/>
    </row>
    <row r="24312" spans="1:8" x14ac:dyDescent="0.25">
      <c r="A24312" s="1"/>
      <c r="B24312" s="1" t="s">
        <v>7328</v>
      </c>
      <c r="C24312" s="1" t="s">
        <v>7329</v>
      </c>
      <c r="D24312" s="22" t="str">
        <f>HYPERLINK("https://rhld.insurance.arkansas.gov/NPILookup?Npi=1386058543","1386058543")</f>
        <v>1386058543</v>
      </c>
      <c r="E24312" s="1" t="s">
        <v>26821</v>
      </c>
      <c r="F24312" s="2"/>
      <c r="G24312" s="2"/>
      <c r="H24312" s="2"/>
    </row>
    <row r="24313" spans="1:8" x14ac:dyDescent="0.25">
      <c r="A24313" s="1"/>
      <c r="B24313" s="1" t="s">
        <v>7328</v>
      </c>
      <c r="C24313" s="1" t="s">
        <v>7329</v>
      </c>
      <c r="D24313" s="22" t="str">
        <f>HYPERLINK("https://rhld.insurance.arkansas.gov/NPILookup?Npi=1386060218","1386060218")</f>
        <v>1386060218</v>
      </c>
      <c r="E24313" s="1" t="s">
        <v>2273</v>
      </c>
      <c r="F24313" s="2"/>
      <c r="G24313" s="2"/>
      <c r="H24313" s="2"/>
    </row>
    <row r="24314" spans="1:8" x14ac:dyDescent="0.25">
      <c r="A24314" s="1"/>
      <c r="B24314" s="1" t="s">
        <v>7328</v>
      </c>
      <c r="C24314" s="1" t="s">
        <v>7329</v>
      </c>
      <c r="D24314" s="22" t="str">
        <f>HYPERLINK("https://rhld.insurance.arkansas.gov/NPILookup?Npi=1386064103","1386064103")</f>
        <v>1386064103</v>
      </c>
      <c r="E24314" s="1" t="s">
        <v>1771</v>
      </c>
      <c r="F24314" s="2"/>
      <c r="G24314" s="2"/>
      <c r="H24314" s="2"/>
    </row>
    <row r="24315" spans="1:8" x14ac:dyDescent="0.25">
      <c r="A24315" s="1"/>
      <c r="B24315" s="1" t="s">
        <v>7328</v>
      </c>
      <c r="C24315" s="1" t="s">
        <v>7329</v>
      </c>
      <c r="D24315" s="22" t="str">
        <f>HYPERLINK("https://rhld.insurance.arkansas.gov/NPILookup?Npi=1386071785","1386071785")</f>
        <v>1386071785</v>
      </c>
      <c r="E24315" s="1" t="s">
        <v>26822</v>
      </c>
      <c r="F24315" s="2"/>
      <c r="G24315" s="2"/>
      <c r="H24315" s="2"/>
    </row>
    <row r="24316" spans="1:8" x14ac:dyDescent="0.25">
      <c r="A24316" s="1"/>
      <c r="B24316" s="1" t="s">
        <v>7328</v>
      </c>
      <c r="C24316" s="1" t="s">
        <v>7329</v>
      </c>
      <c r="D24316" s="22" t="str">
        <f>HYPERLINK("https://rhld.insurance.arkansas.gov/NPILookup?Npi=1386077725","1386077725")</f>
        <v>1386077725</v>
      </c>
      <c r="E24316" s="1" t="s">
        <v>2803</v>
      </c>
      <c r="F24316" s="2"/>
      <c r="G24316" s="2"/>
      <c r="H24316" s="2"/>
    </row>
    <row r="24317" spans="1:8" x14ac:dyDescent="0.25">
      <c r="A24317" s="1"/>
      <c r="B24317" s="1" t="s">
        <v>7328</v>
      </c>
      <c r="C24317" s="1" t="s">
        <v>7329</v>
      </c>
      <c r="D24317" s="22" t="str">
        <f>HYPERLINK("https://rhld.insurance.arkansas.gov/NPILookup?Npi=1386084630","1386084630")</f>
        <v>1386084630</v>
      </c>
      <c r="E24317" s="1" t="s">
        <v>26823</v>
      </c>
      <c r="F24317" s="2"/>
      <c r="G24317" s="2"/>
      <c r="H24317" s="2"/>
    </row>
    <row r="24318" spans="1:8" x14ac:dyDescent="0.25">
      <c r="A24318" s="1"/>
      <c r="B24318" s="1" t="s">
        <v>7328</v>
      </c>
      <c r="C24318" s="1" t="s">
        <v>7329</v>
      </c>
      <c r="D24318" s="22" t="str">
        <f>HYPERLINK("https://rhld.insurance.arkansas.gov/NPILookup?Npi=1386089712","1386089712")</f>
        <v>1386089712</v>
      </c>
      <c r="E24318" s="1" t="s">
        <v>26824</v>
      </c>
      <c r="F24318" s="2"/>
      <c r="G24318" s="2"/>
      <c r="H24318" s="2"/>
    </row>
    <row r="24319" spans="1:8" x14ac:dyDescent="0.25">
      <c r="A24319" s="1"/>
      <c r="B24319" s="1" t="s">
        <v>7328</v>
      </c>
      <c r="C24319" s="1" t="s">
        <v>7329</v>
      </c>
      <c r="D24319" s="22" t="str">
        <f>HYPERLINK("https://rhld.insurance.arkansas.gov/NPILookup?Npi=1386096584","1386096584")</f>
        <v>1386096584</v>
      </c>
      <c r="E24319" s="1" t="s">
        <v>13047</v>
      </c>
      <c r="F24319" s="2"/>
      <c r="G24319" s="2"/>
      <c r="H24319" s="2"/>
    </row>
    <row r="24320" spans="1:8" x14ac:dyDescent="0.25">
      <c r="A24320" s="1"/>
      <c r="B24320" s="1" t="s">
        <v>7328</v>
      </c>
      <c r="C24320" s="1" t="s">
        <v>7329</v>
      </c>
      <c r="D24320" s="22" t="str">
        <f>HYPERLINK("https://rhld.insurance.arkansas.gov/NPILookup?Npi=1386097921","1386097921")</f>
        <v>1386097921</v>
      </c>
      <c r="E24320" s="1" t="s">
        <v>26825</v>
      </c>
      <c r="F24320" s="2"/>
      <c r="G24320" s="2"/>
      <c r="H24320" s="2"/>
    </row>
    <row r="24321" spans="1:8" x14ac:dyDescent="0.25">
      <c r="A24321" s="1"/>
      <c r="B24321" s="1" t="s">
        <v>7328</v>
      </c>
      <c r="C24321" s="1" t="s">
        <v>7329</v>
      </c>
      <c r="D24321" s="22" t="str">
        <f>HYPERLINK("https://rhld.insurance.arkansas.gov/NPILookup?Npi=1386108736","1386108736")</f>
        <v>1386108736</v>
      </c>
      <c r="E24321" s="1" t="s">
        <v>26826</v>
      </c>
      <c r="F24321" s="2"/>
      <c r="G24321" s="2"/>
      <c r="H24321" s="2"/>
    </row>
    <row r="24322" spans="1:8" x14ac:dyDescent="0.25">
      <c r="A24322" s="1"/>
      <c r="B24322" s="1" t="s">
        <v>7328</v>
      </c>
      <c r="C24322" s="1" t="s">
        <v>7329</v>
      </c>
      <c r="D24322" s="22" t="str">
        <f>HYPERLINK("https://rhld.insurance.arkansas.gov/NPILookup?Npi=1386109536","1386109536")</f>
        <v>1386109536</v>
      </c>
      <c r="E24322" s="1" t="s">
        <v>1772</v>
      </c>
      <c r="F24322" s="2"/>
      <c r="G24322" s="2"/>
      <c r="H24322" s="2"/>
    </row>
    <row r="24323" spans="1:8" x14ac:dyDescent="0.25">
      <c r="A24323" s="1"/>
      <c r="B24323" s="1" t="s">
        <v>7328</v>
      </c>
      <c r="C24323" s="1" t="s">
        <v>7329</v>
      </c>
      <c r="D24323" s="22" t="str">
        <f>HYPERLINK("https://rhld.insurance.arkansas.gov/NPILookup?Npi=1386112613","1386112613")</f>
        <v>1386112613</v>
      </c>
      <c r="E24323" s="1" t="s">
        <v>1575</v>
      </c>
      <c r="F24323" s="2"/>
      <c r="G24323" s="2"/>
      <c r="H24323" s="2"/>
    </row>
    <row r="24324" spans="1:8" x14ac:dyDescent="0.25">
      <c r="A24324" s="1"/>
      <c r="B24324" s="1" t="s">
        <v>7328</v>
      </c>
      <c r="C24324" s="1" t="s">
        <v>7329</v>
      </c>
      <c r="D24324" s="22" t="str">
        <f>HYPERLINK("https://rhld.insurance.arkansas.gov/NPILookup?Npi=1386114908","1386114908")</f>
        <v>1386114908</v>
      </c>
      <c r="E24324" s="1" t="s">
        <v>26827</v>
      </c>
      <c r="F24324" s="2"/>
      <c r="G24324" s="2"/>
      <c r="H24324" s="2"/>
    </row>
    <row r="24325" spans="1:8" x14ac:dyDescent="0.25">
      <c r="A24325" s="1"/>
      <c r="B24325" s="1" t="s">
        <v>7328</v>
      </c>
      <c r="C24325" s="1" t="s">
        <v>7329</v>
      </c>
      <c r="D24325" s="22" t="str">
        <f>HYPERLINK("https://rhld.insurance.arkansas.gov/NPILookup?Npi=1386126639","1386126639")</f>
        <v>1386126639</v>
      </c>
      <c r="E24325" s="1" t="s">
        <v>22030</v>
      </c>
      <c r="F24325" s="2"/>
      <c r="G24325" s="2"/>
      <c r="H24325" s="2"/>
    </row>
    <row r="24326" spans="1:8" x14ac:dyDescent="0.25">
      <c r="A24326" s="1"/>
      <c r="B24326" s="1" t="s">
        <v>7328</v>
      </c>
      <c r="C24326" s="1" t="s">
        <v>7329</v>
      </c>
      <c r="D24326" s="22" t="str">
        <f>HYPERLINK("https://rhld.insurance.arkansas.gov/NPILookup?Npi=1386129021","1386129021")</f>
        <v>1386129021</v>
      </c>
      <c r="E24326" s="1" t="s">
        <v>26828</v>
      </c>
      <c r="F24326" s="2"/>
      <c r="G24326" s="2"/>
      <c r="H24326" s="2"/>
    </row>
    <row r="24327" spans="1:8" x14ac:dyDescent="0.25">
      <c r="A24327" s="1"/>
      <c r="B24327" s="1" t="s">
        <v>7328</v>
      </c>
      <c r="C24327" s="1" t="s">
        <v>7329</v>
      </c>
      <c r="D24327" s="22" t="str">
        <f>HYPERLINK("https://rhld.insurance.arkansas.gov/NPILookup?Npi=1386129898","1386129898")</f>
        <v>1386129898</v>
      </c>
      <c r="E24327" s="1" t="s">
        <v>26829</v>
      </c>
      <c r="F24327" s="2"/>
      <c r="G24327" s="2"/>
      <c r="H24327" s="2"/>
    </row>
    <row r="24328" spans="1:8" x14ac:dyDescent="0.25">
      <c r="A24328" s="1"/>
      <c r="B24328" s="1" t="s">
        <v>7328</v>
      </c>
      <c r="C24328" s="1" t="s">
        <v>7329</v>
      </c>
      <c r="D24328" s="22" t="str">
        <f>HYPERLINK("https://rhld.insurance.arkansas.gov/NPILookup?Npi=1386133239","1386133239")</f>
        <v>1386133239</v>
      </c>
      <c r="E24328" s="1" t="s">
        <v>26830</v>
      </c>
      <c r="F24328" s="2"/>
      <c r="G24328" s="2"/>
      <c r="H24328" s="2"/>
    </row>
    <row r="24329" spans="1:8" x14ac:dyDescent="0.25">
      <c r="A24329" s="1"/>
      <c r="B24329" s="1" t="s">
        <v>7328</v>
      </c>
      <c r="C24329" s="1" t="s">
        <v>7329</v>
      </c>
      <c r="D24329" s="22" t="str">
        <f>HYPERLINK("https://rhld.insurance.arkansas.gov/NPILookup?Npi=1386137826","1386137826")</f>
        <v>1386137826</v>
      </c>
      <c r="E24329" s="1" t="s">
        <v>26831</v>
      </c>
      <c r="F24329" s="2"/>
      <c r="G24329" s="2"/>
      <c r="H24329" s="2"/>
    </row>
    <row r="24330" spans="1:8" x14ac:dyDescent="0.25">
      <c r="A24330" s="1"/>
      <c r="B24330" s="1" t="s">
        <v>7328</v>
      </c>
      <c r="C24330" s="1" t="s">
        <v>7329</v>
      </c>
      <c r="D24330" s="22" t="str">
        <f>HYPERLINK("https://rhld.insurance.arkansas.gov/NPILookup?Npi=1386140986","1386140986")</f>
        <v>1386140986</v>
      </c>
      <c r="E24330" s="1" t="s">
        <v>26832</v>
      </c>
      <c r="F24330" s="2"/>
      <c r="G24330" s="2"/>
      <c r="H24330" s="2"/>
    </row>
    <row r="24331" spans="1:8" x14ac:dyDescent="0.25">
      <c r="A24331" s="1"/>
      <c r="B24331" s="1" t="s">
        <v>7328</v>
      </c>
      <c r="C24331" s="1" t="s">
        <v>7329</v>
      </c>
      <c r="D24331" s="22" t="str">
        <f>HYPERLINK("https://rhld.insurance.arkansas.gov/NPILookup?Npi=1386143717","1386143717")</f>
        <v>1386143717</v>
      </c>
      <c r="E24331" s="1" t="s">
        <v>26833</v>
      </c>
      <c r="F24331" s="2"/>
      <c r="G24331" s="2"/>
      <c r="H24331" s="2"/>
    </row>
    <row r="24332" spans="1:8" x14ac:dyDescent="0.25">
      <c r="A24332" s="1"/>
      <c r="B24332" s="1" t="s">
        <v>7328</v>
      </c>
      <c r="C24332" s="1" t="s">
        <v>7329</v>
      </c>
      <c r="D24332" s="22" t="str">
        <f>HYPERLINK("https://rhld.insurance.arkansas.gov/NPILookup?Npi=1386146595","1386146595")</f>
        <v>1386146595</v>
      </c>
      <c r="E24332" s="1" t="s">
        <v>26834</v>
      </c>
      <c r="F24332" s="2"/>
      <c r="G24332" s="2"/>
      <c r="H24332" s="2"/>
    </row>
    <row r="24333" spans="1:8" x14ac:dyDescent="0.25">
      <c r="A24333" s="1"/>
      <c r="B24333" s="1" t="s">
        <v>7328</v>
      </c>
      <c r="C24333" s="1" t="s">
        <v>7329</v>
      </c>
      <c r="D24333" s="22" t="str">
        <f>HYPERLINK("https://rhld.insurance.arkansas.gov/NPILookup?Npi=1386152163","1386152163")</f>
        <v>1386152163</v>
      </c>
      <c r="E24333" s="1" t="s">
        <v>13048</v>
      </c>
      <c r="F24333" s="2"/>
      <c r="G24333" s="2"/>
      <c r="H24333" s="2"/>
    </row>
    <row r="24334" spans="1:8" x14ac:dyDescent="0.25">
      <c r="A24334" s="1"/>
      <c r="B24334" s="1" t="s">
        <v>7328</v>
      </c>
      <c r="C24334" s="1" t="s">
        <v>7329</v>
      </c>
      <c r="D24334" s="22" t="str">
        <f>HYPERLINK("https://rhld.insurance.arkansas.gov/NPILookup?Npi=1386157592","1386157592")</f>
        <v>1386157592</v>
      </c>
      <c r="E24334" s="1" t="s">
        <v>1027</v>
      </c>
      <c r="F24334" s="2"/>
      <c r="G24334" s="2"/>
      <c r="H24334" s="2"/>
    </row>
    <row r="24335" spans="1:8" x14ac:dyDescent="0.25">
      <c r="A24335" s="1"/>
      <c r="B24335" s="1" t="s">
        <v>7328</v>
      </c>
      <c r="C24335" s="1" t="s">
        <v>7329</v>
      </c>
      <c r="D24335" s="22" t="str">
        <f>HYPERLINK("https://rhld.insurance.arkansas.gov/NPILookup?Npi=1386180453","1386180453")</f>
        <v>1386180453</v>
      </c>
      <c r="E24335" s="1" t="s">
        <v>26835</v>
      </c>
      <c r="F24335" s="2"/>
      <c r="G24335" s="2"/>
      <c r="H24335" s="2"/>
    </row>
    <row r="24336" spans="1:8" x14ac:dyDescent="0.25">
      <c r="A24336" s="1"/>
      <c r="B24336" s="1" t="s">
        <v>7328</v>
      </c>
      <c r="C24336" s="1" t="s">
        <v>7329</v>
      </c>
      <c r="D24336" s="22" t="str">
        <f>HYPERLINK("https://rhld.insurance.arkansas.gov/NPILookup?Npi=1386193803","1386193803")</f>
        <v>1386193803</v>
      </c>
      <c r="E24336" s="1" t="s">
        <v>26836</v>
      </c>
      <c r="F24336" s="2"/>
      <c r="G24336" s="2"/>
      <c r="H24336" s="2"/>
    </row>
    <row r="24337" spans="1:8" x14ac:dyDescent="0.25">
      <c r="A24337" s="1"/>
      <c r="B24337" s="1" t="s">
        <v>7328</v>
      </c>
      <c r="C24337" s="1" t="s">
        <v>7329</v>
      </c>
      <c r="D24337" s="22" t="str">
        <f>HYPERLINK("https://rhld.insurance.arkansas.gov/NPILookup?Npi=1386203321","1386203321")</f>
        <v>1386203321</v>
      </c>
      <c r="E24337" s="1" t="s">
        <v>2804</v>
      </c>
      <c r="F24337" s="2"/>
      <c r="G24337" s="2"/>
      <c r="H24337" s="2"/>
    </row>
    <row r="24338" spans="1:8" x14ac:dyDescent="0.25">
      <c r="A24338" s="1"/>
      <c r="B24338" s="1" t="s">
        <v>7328</v>
      </c>
      <c r="C24338" s="1" t="s">
        <v>7329</v>
      </c>
      <c r="D24338" s="22" t="str">
        <f>HYPERLINK("https://rhld.insurance.arkansas.gov/NPILookup?Npi=1386205334","1386205334")</f>
        <v>1386205334</v>
      </c>
      <c r="E24338" s="1" t="s">
        <v>13049</v>
      </c>
      <c r="F24338" s="2"/>
      <c r="G24338" s="2"/>
      <c r="H24338" s="2"/>
    </row>
    <row r="24339" spans="1:8" x14ac:dyDescent="0.25">
      <c r="A24339" s="1"/>
      <c r="B24339" s="1" t="s">
        <v>7328</v>
      </c>
      <c r="C24339" s="1" t="s">
        <v>7329</v>
      </c>
      <c r="D24339" s="22" t="str">
        <f>HYPERLINK("https://rhld.insurance.arkansas.gov/NPILookup?Npi=1386209534","1386209534")</f>
        <v>1386209534</v>
      </c>
      <c r="E24339" s="1" t="s">
        <v>26837</v>
      </c>
      <c r="F24339" s="2"/>
      <c r="G24339" s="2"/>
      <c r="H24339" s="2"/>
    </row>
    <row r="24340" spans="1:8" x14ac:dyDescent="0.25">
      <c r="A24340" s="1"/>
      <c r="B24340" s="1" t="s">
        <v>7328</v>
      </c>
      <c r="C24340" s="1" t="s">
        <v>7329</v>
      </c>
      <c r="D24340" s="22" t="str">
        <f>HYPERLINK("https://rhld.insurance.arkansas.gov/NPILookup?Npi=1386211308","1386211308")</f>
        <v>1386211308</v>
      </c>
      <c r="E24340" s="1" t="s">
        <v>13050</v>
      </c>
      <c r="F24340" s="2"/>
      <c r="G24340" s="2"/>
      <c r="H24340" s="2"/>
    </row>
    <row r="24341" spans="1:8" x14ac:dyDescent="0.25">
      <c r="A24341" s="1"/>
      <c r="B24341" s="1" t="s">
        <v>7328</v>
      </c>
      <c r="C24341" s="1" t="s">
        <v>7329</v>
      </c>
      <c r="D24341" s="22" t="str">
        <f>HYPERLINK("https://rhld.insurance.arkansas.gov/NPILookup?Npi=1386212603","1386212603")</f>
        <v>1386212603</v>
      </c>
      <c r="E24341" s="1" t="s">
        <v>26838</v>
      </c>
      <c r="F24341" s="2"/>
      <c r="G24341" s="2"/>
      <c r="H24341" s="2"/>
    </row>
    <row r="24342" spans="1:8" x14ac:dyDescent="0.25">
      <c r="A24342" s="1"/>
      <c r="B24342" s="1" t="s">
        <v>7328</v>
      </c>
      <c r="C24342" s="1" t="s">
        <v>7329</v>
      </c>
      <c r="D24342" s="22" t="str">
        <f>HYPERLINK("https://rhld.insurance.arkansas.gov/NPILookup?Npi=1386216109","1386216109")</f>
        <v>1386216109</v>
      </c>
      <c r="E24342" s="1" t="s">
        <v>13051</v>
      </c>
      <c r="F24342" s="2"/>
      <c r="G24342" s="2"/>
      <c r="H24342" s="2"/>
    </row>
    <row r="24343" spans="1:8" x14ac:dyDescent="0.25">
      <c r="A24343" s="1"/>
      <c r="B24343" s="1" t="s">
        <v>7328</v>
      </c>
      <c r="C24343" s="1" t="s">
        <v>7329</v>
      </c>
      <c r="D24343" s="22" t="str">
        <f>HYPERLINK("https://rhld.insurance.arkansas.gov/NPILookup?Npi=1386216455","1386216455")</f>
        <v>1386216455</v>
      </c>
      <c r="E24343" s="1" t="s">
        <v>26839</v>
      </c>
      <c r="F24343" s="2"/>
      <c r="G24343" s="2"/>
      <c r="H24343" s="2"/>
    </row>
    <row r="24344" spans="1:8" x14ac:dyDescent="0.25">
      <c r="A24344" s="1"/>
      <c r="B24344" s="1" t="s">
        <v>7328</v>
      </c>
      <c r="C24344" s="1" t="s">
        <v>7329</v>
      </c>
      <c r="D24344" s="22" t="str">
        <f>HYPERLINK("https://rhld.insurance.arkansas.gov/NPILookup?Npi=1386238129","1386238129")</f>
        <v>1386238129</v>
      </c>
      <c r="E24344" s="1" t="s">
        <v>26840</v>
      </c>
      <c r="F24344" s="2"/>
      <c r="G24344" s="2"/>
      <c r="H24344" s="2"/>
    </row>
    <row r="24345" spans="1:8" x14ac:dyDescent="0.25">
      <c r="A24345" s="1"/>
      <c r="B24345" s="1" t="s">
        <v>7328</v>
      </c>
      <c r="C24345" s="1" t="s">
        <v>7329</v>
      </c>
      <c r="D24345" s="22" t="str">
        <f>HYPERLINK("https://rhld.insurance.arkansas.gov/NPILookup?Npi=1386242899","1386242899")</f>
        <v>1386242899</v>
      </c>
      <c r="E24345" s="1" t="s">
        <v>26841</v>
      </c>
      <c r="F24345" s="2"/>
      <c r="G24345" s="2"/>
      <c r="H24345" s="2"/>
    </row>
    <row r="24346" spans="1:8" x14ac:dyDescent="0.25">
      <c r="A24346" s="1"/>
      <c r="B24346" s="1" t="s">
        <v>7328</v>
      </c>
      <c r="C24346" s="1" t="s">
        <v>7329</v>
      </c>
      <c r="D24346" s="22" t="str">
        <f>HYPERLINK("https://rhld.insurance.arkansas.gov/NPILookup?Npi=1386257855","1386257855")</f>
        <v>1386257855</v>
      </c>
      <c r="E24346" s="1" t="s">
        <v>26842</v>
      </c>
      <c r="F24346" s="2"/>
      <c r="G24346" s="2"/>
      <c r="H24346" s="2"/>
    </row>
    <row r="24347" spans="1:8" x14ac:dyDescent="0.25">
      <c r="A24347" s="1"/>
      <c r="B24347" s="1" t="s">
        <v>7328</v>
      </c>
      <c r="C24347" s="1" t="s">
        <v>7329</v>
      </c>
      <c r="D24347" s="22" t="str">
        <f>HYPERLINK("https://rhld.insurance.arkansas.gov/NPILookup?Npi=1386275154","1386275154")</f>
        <v>1386275154</v>
      </c>
      <c r="E24347" s="1" t="s">
        <v>7707</v>
      </c>
      <c r="F24347" s="2"/>
      <c r="G24347" s="2"/>
      <c r="H24347" s="2"/>
    </row>
    <row r="24348" spans="1:8" x14ac:dyDescent="0.25">
      <c r="A24348" s="1"/>
      <c r="B24348" s="1" t="s">
        <v>7328</v>
      </c>
      <c r="C24348" s="1" t="s">
        <v>7329</v>
      </c>
      <c r="D24348" s="22" t="str">
        <f>HYPERLINK("https://rhld.insurance.arkansas.gov/NPILookup?Npi=1386279032","1386279032")</f>
        <v>1386279032</v>
      </c>
      <c r="E24348" s="1" t="s">
        <v>1638</v>
      </c>
      <c r="F24348" s="2"/>
      <c r="G24348" s="2"/>
      <c r="H24348" s="2"/>
    </row>
    <row r="24349" spans="1:8" x14ac:dyDescent="0.25">
      <c r="A24349" s="1"/>
      <c r="B24349" s="1" t="s">
        <v>7328</v>
      </c>
      <c r="C24349" s="1" t="s">
        <v>7329</v>
      </c>
      <c r="D24349" s="22" t="str">
        <f>HYPERLINK("https://rhld.insurance.arkansas.gov/NPILookup?Npi=1386282846","1386282846")</f>
        <v>1386282846</v>
      </c>
      <c r="E24349" s="1" t="s">
        <v>26843</v>
      </c>
      <c r="F24349" s="2"/>
      <c r="G24349" s="2"/>
      <c r="H24349" s="2"/>
    </row>
    <row r="24350" spans="1:8" x14ac:dyDescent="0.25">
      <c r="A24350" s="1"/>
      <c r="B24350" s="1" t="s">
        <v>7328</v>
      </c>
      <c r="C24350" s="1" t="s">
        <v>7329</v>
      </c>
      <c r="D24350" s="22" t="str">
        <f>HYPERLINK("https://rhld.insurance.arkansas.gov/NPILookup?Npi=1386291656","1386291656")</f>
        <v>1386291656</v>
      </c>
      <c r="E24350" s="1" t="s">
        <v>1773</v>
      </c>
      <c r="F24350" s="2"/>
      <c r="G24350" s="2"/>
      <c r="H24350" s="2"/>
    </row>
    <row r="24351" spans="1:8" x14ac:dyDescent="0.25">
      <c r="A24351" s="1"/>
      <c r="B24351" s="1" t="s">
        <v>7328</v>
      </c>
      <c r="C24351" s="1" t="s">
        <v>7329</v>
      </c>
      <c r="D24351" s="22" t="str">
        <f>HYPERLINK("https://rhld.insurance.arkansas.gov/NPILookup?Npi=1386296838","1386296838")</f>
        <v>1386296838</v>
      </c>
      <c r="E24351" s="1" t="s">
        <v>26844</v>
      </c>
      <c r="F24351" s="2"/>
      <c r="G24351" s="2"/>
      <c r="H24351" s="2"/>
    </row>
    <row r="24352" spans="1:8" x14ac:dyDescent="0.25">
      <c r="A24352" s="1"/>
      <c r="B24352" s="1" t="s">
        <v>7328</v>
      </c>
      <c r="C24352" s="1" t="s">
        <v>7329</v>
      </c>
      <c r="D24352" s="22" t="str">
        <f>HYPERLINK("https://rhld.insurance.arkansas.gov/NPILookup?Npi=1386299584","1386299584")</f>
        <v>1386299584</v>
      </c>
      <c r="E24352" s="1" t="s">
        <v>26845</v>
      </c>
      <c r="F24352" s="2"/>
      <c r="G24352" s="2"/>
      <c r="H24352" s="2"/>
    </row>
    <row r="24353" spans="1:8" x14ac:dyDescent="0.25">
      <c r="A24353" s="1"/>
      <c r="B24353" s="1" t="s">
        <v>7328</v>
      </c>
      <c r="C24353" s="1" t="s">
        <v>7329</v>
      </c>
      <c r="D24353" s="22" t="str">
        <f>HYPERLINK("https://rhld.insurance.arkansas.gov/NPILookup?Npi=1386307064","1386307064")</f>
        <v>1386307064</v>
      </c>
      <c r="E24353" s="1" t="s">
        <v>26846</v>
      </c>
      <c r="F24353" s="2"/>
      <c r="G24353" s="2"/>
      <c r="H24353" s="2"/>
    </row>
    <row r="24354" spans="1:8" x14ac:dyDescent="0.25">
      <c r="A24354" s="1"/>
      <c r="B24354" s="1" t="s">
        <v>7328</v>
      </c>
      <c r="C24354" s="1" t="s">
        <v>7329</v>
      </c>
      <c r="D24354" s="22" t="str">
        <f>HYPERLINK("https://rhld.insurance.arkansas.gov/NPILookup?Npi=1386315778","1386315778")</f>
        <v>1386315778</v>
      </c>
      <c r="E24354" s="1" t="s">
        <v>26847</v>
      </c>
      <c r="F24354" s="2"/>
      <c r="G24354" s="2"/>
      <c r="H24354" s="2"/>
    </row>
    <row r="24355" spans="1:8" x14ac:dyDescent="0.25">
      <c r="A24355" s="1"/>
      <c r="B24355" s="1" t="s">
        <v>7328</v>
      </c>
      <c r="C24355" s="1" t="s">
        <v>7329</v>
      </c>
      <c r="D24355" s="22" t="str">
        <f>HYPERLINK("https://rhld.insurance.arkansas.gov/NPILookup?Npi=1386318590","1386318590")</f>
        <v>1386318590</v>
      </c>
      <c r="E24355" s="1" t="s">
        <v>26848</v>
      </c>
      <c r="F24355" s="2"/>
      <c r="G24355" s="2"/>
      <c r="H24355" s="2"/>
    </row>
    <row r="24356" spans="1:8" x14ac:dyDescent="0.25">
      <c r="A24356" s="1"/>
      <c r="B24356" s="1" t="s">
        <v>7328</v>
      </c>
      <c r="C24356" s="1" t="s">
        <v>7329</v>
      </c>
      <c r="D24356" s="22" t="str">
        <f>HYPERLINK("https://rhld.insurance.arkansas.gov/NPILookup?Npi=1386328847","1386328847")</f>
        <v>1386328847</v>
      </c>
      <c r="E24356" s="1" t="s">
        <v>7708</v>
      </c>
      <c r="F24356" s="2"/>
      <c r="G24356" s="2"/>
      <c r="H24356" s="2"/>
    </row>
    <row r="24357" spans="1:8" x14ac:dyDescent="0.25">
      <c r="A24357" s="1"/>
      <c r="B24357" s="1" t="s">
        <v>7328</v>
      </c>
      <c r="C24357" s="1" t="s">
        <v>7329</v>
      </c>
      <c r="D24357" s="22" t="str">
        <f>HYPERLINK("https://rhld.insurance.arkansas.gov/NPILookup?Npi=1386334902","1386334902")</f>
        <v>1386334902</v>
      </c>
      <c r="E24357" s="1" t="s">
        <v>6236</v>
      </c>
      <c r="F24357" s="2"/>
      <c r="G24357" s="2"/>
      <c r="H24357" s="2"/>
    </row>
    <row r="24358" spans="1:8" x14ac:dyDescent="0.25">
      <c r="A24358" s="1"/>
      <c r="B24358" s="1" t="s">
        <v>7328</v>
      </c>
      <c r="C24358" s="1" t="s">
        <v>7329</v>
      </c>
      <c r="D24358" s="22" t="str">
        <f>HYPERLINK("https://rhld.insurance.arkansas.gov/NPILookup?Npi=1386340222","1386340222")</f>
        <v>1386340222</v>
      </c>
      <c r="E24358" s="1" t="s">
        <v>26849</v>
      </c>
      <c r="F24358" s="2"/>
      <c r="G24358" s="2"/>
      <c r="H24358" s="2"/>
    </row>
    <row r="24359" spans="1:8" x14ac:dyDescent="0.25">
      <c r="A24359" s="1"/>
      <c r="B24359" s="1" t="s">
        <v>7328</v>
      </c>
      <c r="C24359" s="1" t="s">
        <v>7329</v>
      </c>
      <c r="D24359" s="22" t="str">
        <f>HYPERLINK("https://rhld.insurance.arkansas.gov/NPILookup?Npi=1386353670","1386353670")</f>
        <v>1386353670</v>
      </c>
      <c r="E24359" s="1" t="s">
        <v>7709</v>
      </c>
      <c r="F24359" s="2"/>
      <c r="G24359" s="2"/>
      <c r="H24359" s="2"/>
    </row>
    <row r="24360" spans="1:8" x14ac:dyDescent="0.25">
      <c r="A24360" s="1"/>
      <c r="B24360" s="1" t="s">
        <v>7328</v>
      </c>
      <c r="C24360" s="1" t="s">
        <v>7329</v>
      </c>
      <c r="D24360" s="22" t="str">
        <f>HYPERLINK("https://rhld.insurance.arkansas.gov/NPILookup?Npi=1386378396","1386378396")</f>
        <v>1386378396</v>
      </c>
      <c r="E24360" s="1" t="s">
        <v>26850</v>
      </c>
      <c r="F24360" s="2"/>
      <c r="G24360" s="2"/>
      <c r="H24360" s="2"/>
    </row>
    <row r="24361" spans="1:8" x14ac:dyDescent="0.25">
      <c r="A24361" s="1"/>
      <c r="B24361" s="1" t="s">
        <v>7328</v>
      </c>
      <c r="C24361" s="1" t="s">
        <v>7329</v>
      </c>
      <c r="D24361" s="22" t="str">
        <f>HYPERLINK("https://rhld.insurance.arkansas.gov/NPILookup?Npi=1386378495","1386378495")</f>
        <v>1386378495</v>
      </c>
      <c r="E24361" s="1" t="s">
        <v>13052</v>
      </c>
      <c r="F24361" s="2"/>
      <c r="G24361" s="2"/>
      <c r="H24361" s="2"/>
    </row>
    <row r="24362" spans="1:8" x14ac:dyDescent="0.25">
      <c r="A24362" s="1"/>
      <c r="B24362" s="1" t="s">
        <v>7328</v>
      </c>
      <c r="C24362" s="1" t="s">
        <v>7329</v>
      </c>
      <c r="D24362" s="22" t="str">
        <f>HYPERLINK("https://rhld.insurance.arkansas.gov/NPILookup?Npi=1386391597","1386391597")</f>
        <v>1386391597</v>
      </c>
      <c r="E24362" s="1" t="s">
        <v>26851</v>
      </c>
      <c r="F24362" s="2"/>
      <c r="G24362" s="2"/>
      <c r="H24362" s="2"/>
    </row>
    <row r="24363" spans="1:8" x14ac:dyDescent="0.25">
      <c r="A24363" s="1"/>
      <c r="B24363" s="1" t="s">
        <v>7328</v>
      </c>
      <c r="C24363" s="1" t="s">
        <v>7329</v>
      </c>
      <c r="D24363" s="22" t="str">
        <f>HYPERLINK("https://rhld.insurance.arkansas.gov/NPILookup?Npi=1386398014","1386398014")</f>
        <v>1386398014</v>
      </c>
      <c r="E24363" s="1" t="s">
        <v>7710</v>
      </c>
      <c r="F24363" s="2"/>
      <c r="G24363" s="2"/>
      <c r="H24363" s="2"/>
    </row>
    <row r="24364" spans="1:8" x14ac:dyDescent="0.25">
      <c r="A24364" s="1"/>
      <c r="B24364" s="1" t="s">
        <v>7328</v>
      </c>
      <c r="C24364" s="1" t="s">
        <v>7329</v>
      </c>
      <c r="D24364" s="22" t="str">
        <f>HYPERLINK("https://rhld.insurance.arkansas.gov/NPILookup?Npi=1386450393","1386450393")</f>
        <v>1386450393</v>
      </c>
      <c r="E24364" s="1" t="s">
        <v>32210</v>
      </c>
      <c r="F24364" s="2"/>
      <c r="G24364" s="2"/>
      <c r="H24364" s="2"/>
    </row>
    <row r="24365" spans="1:8" x14ac:dyDescent="0.25">
      <c r="A24365" s="1"/>
      <c r="B24365" s="1" t="s">
        <v>7328</v>
      </c>
      <c r="C24365" s="1" t="s">
        <v>7329</v>
      </c>
      <c r="D24365" s="22" t="str">
        <f>HYPERLINK("https://rhld.insurance.arkansas.gov/NPILookup?Npi=1386460905","1386460905")</f>
        <v>1386460905</v>
      </c>
      <c r="E24365" s="1" t="s">
        <v>32211</v>
      </c>
      <c r="F24365" s="2"/>
      <c r="G24365" s="2"/>
      <c r="H24365" s="2"/>
    </row>
    <row r="24366" spans="1:8" x14ac:dyDescent="0.25">
      <c r="A24366" s="1"/>
      <c r="B24366" s="1" t="s">
        <v>7328</v>
      </c>
      <c r="C24366" s="1" t="s">
        <v>7329</v>
      </c>
      <c r="D24366" s="22" t="str">
        <f>HYPERLINK("https://rhld.insurance.arkansas.gov/NPILookup?Npi=1386601011","1386601011")</f>
        <v>1386601011</v>
      </c>
      <c r="E24366" s="1" t="s">
        <v>26852</v>
      </c>
      <c r="F24366" s="2"/>
      <c r="G24366" s="2"/>
      <c r="H24366" s="2"/>
    </row>
    <row r="24367" spans="1:8" x14ac:dyDescent="0.25">
      <c r="A24367" s="1"/>
      <c r="B24367" s="1" t="s">
        <v>7328</v>
      </c>
      <c r="C24367" s="1" t="s">
        <v>7329</v>
      </c>
      <c r="D24367" s="22" t="str">
        <f>HYPERLINK("https://rhld.insurance.arkansas.gov/NPILookup?Npi=1386605475","1386605475")</f>
        <v>1386605475</v>
      </c>
      <c r="E24367" s="1" t="s">
        <v>26853</v>
      </c>
      <c r="F24367" s="2"/>
      <c r="G24367" s="2"/>
      <c r="H24367" s="2"/>
    </row>
    <row r="24368" spans="1:8" x14ac:dyDescent="0.25">
      <c r="A24368" s="1"/>
      <c r="B24368" s="1" t="s">
        <v>7328</v>
      </c>
      <c r="C24368" s="1" t="s">
        <v>7329</v>
      </c>
      <c r="D24368" s="22" t="str">
        <f>HYPERLINK("https://rhld.insurance.arkansas.gov/NPILookup?Npi=1386605491","1386605491")</f>
        <v>1386605491</v>
      </c>
      <c r="E24368" s="1" t="s">
        <v>26854</v>
      </c>
      <c r="F24368" s="2"/>
      <c r="G24368" s="2"/>
      <c r="H24368" s="2"/>
    </row>
    <row r="24369" spans="1:8" x14ac:dyDescent="0.25">
      <c r="A24369" s="1"/>
      <c r="B24369" s="1" t="s">
        <v>7328</v>
      </c>
      <c r="C24369" s="1" t="s">
        <v>7329</v>
      </c>
      <c r="D24369" s="22" t="str">
        <f>HYPERLINK("https://rhld.insurance.arkansas.gov/NPILookup?Npi=1386609790","1386609790")</f>
        <v>1386609790</v>
      </c>
      <c r="E24369" s="1" t="s">
        <v>26855</v>
      </c>
      <c r="F24369" s="2"/>
      <c r="G24369" s="2"/>
      <c r="H24369" s="2"/>
    </row>
    <row r="24370" spans="1:8" x14ac:dyDescent="0.25">
      <c r="A24370" s="1"/>
      <c r="B24370" s="1" t="s">
        <v>7328</v>
      </c>
      <c r="C24370" s="1" t="s">
        <v>7329</v>
      </c>
      <c r="D24370" s="22" t="str">
        <f>HYPERLINK("https://rhld.insurance.arkansas.gov/NPILookup?Npi=1386613503","1386613503")</f>
        <v>1386613503</v>
      </c>
      <c r="E24370" s="1" t="s">
        <v>2805</v>
      </c>
      <c r="F24370" s="2"/>
      <c r="G24370" s="2"/>
      <c r="H24370" s="2"/>
    </row>
    <row r="24371" spans="1:8" x14ac:dyDescent="0.25">
      <c r="A24371" s="1"/>
      <c r="B24371" s="1" t="s">
        <v>7328</v>
      </c>
      <c r="C24371" s="1" t="s">
        <v>7329</v>
      </c>
      <c r="D24371" s="22" t="str">
        <f>HYPERLINK("https://rhld.insurance.arkansas.gov/NPILookup?Npi=1386614097","1386614097")</f>
        <v>1386614097</v>
      </c>
      <c r="E24371" s="1" t="s">
        <v>13053</v>
      </c>
      <c r="F24371" s="2"/>
      <c r="G24371" s="2"/>
      <c r="H24371" s="2"/>
    </row>
    <row r="24372" spans="1:8" x14ac:dyDescent="0.25">
      <c r="A24372" s="1"/>
      <c r="B24372" s="1" t="s">
        <v>7328</v>
      </c>
      <c r="C24372" s="1" t="s">
        <v>7329</v>
      </c>
      <c r="D24372" s="22" t="str">
        <f>HYPERLINK("https://rhld.insurance.arkansas.gov/NPILookup?Npi=1386622827","1386622827")</f>
        <v>1386622827</v>
      </c>
      <c r="E24372" s="1" t="s">
        <v>2806</v>
      </c>
      <c r="F24372" s="2"/>
      <c r="G24372" s="2"/>
      <c r="H24372" s="2"/>
    </row>
    <row r="24373" spans="1:8" x14ac:dyDescent="0.25">
      <c r="A24373" s="1"/>
      <c r="B24373" s="1" t="s">
        <v>7328</v>
      </c>
      <c r="C24373" s="1" t="s">
        <v>7329</v>
      </c>
      <c r="D24373" s="22" t="str">
        <f>HYPERLINK("https://rhld.insurance.arkansas.gov/NPILookup?Npi=1386623049","1386623049")</f>
        <v>1386623049</v>
      </c>
      <c r="E24373" s="1" t="s">
        <v>26856</v>
      </c>
      <c r="F24373" s="2"/>
      <c r="G24373" s="2"/>
      <c r="H24373" s="2"/>
    </row>
    <row r="24374" spans="1:8" x14ac:dyDescent="0.25">
      <c r="A24374" s="1"/>
      <c r="B24374" s="1" t="s">
        <v>7328</v>
      </c>
      <c r="C24374" s="1" t="s">
        <v>7329</v>
      </c>
      <c r="D24374" s="22" t="str">
        <f>HYPERLINK("https://rhld.insurance.arkansas.gov/NPILookup?Npi=1386633691","1386633691")</f>
        <v>1386633691</v>
      </c>
      <c r="E24374" s="1" t="s">
        <v>26857</v>
      </c>
      <c r="F24374" s="2"/>
      <c r="G24374" s="2"/>
      <c r="H24374" s="2"/>
    </row>
    <row r="24375" spans="1:8" x14ac:dyDescent="0.25">
      <c r="A24375" s="1"/>
      <c r="B24375" s="1" t="s">
        <v>7328</v>
      </c>
      <c r="C24375" s="1" t="s">
        <v>7329</v>
      </c>
      <c r="D24375" s="22" t="str">
        <f>HYPERLINK("https://rhld.insurance.arkansas.gov/NPILookup?Npi=1386634905","1386634905")</f>
        <v>1386634905</v>
      </c>
      <c r="E24375" s="1" t="s">
        <v>26858</v>
      </c>
      <c r="F24375" s="2"/>
      <c r="G24375" s="2"/>
      <c r="H24375" s="2"/>
    </row>
    <row r="24376" spans="1:8" x14ac:dyDescent="0.25">
      <c r="A24376" s="1"/>
      <c r="B24376" s="1" t="s">
        <v>7328</v>
      </c>
      <c r="C24376" s="1" t="s">
        <v>7329</v>
      </c>
      <c r="D24376" s="22" t="str">
        <f>HYPERLINK("https://rhld.insurance.arkansas.gov/NPILookup?Npi=1386637221","1386637221")</f>
        <v>1386637221</v>
      </c>
      <c r="E24376" s="1" t="s">
        <v>104</v>
      </c>
      <c r="F24376" s="2"/>
      <c r="G24376" s="2"/>
      <c r="H24376" s="2"/>
    </row>
    <row r="24377" spans="1:8" x14ac:dyDescent="0.25">
      <c r="A24377" s="1"/>
      <c r="B24377" s="1" t="s">
        <v>7328</v>
      </c>
      <c r="C24377" s="1" t="s">
        <v>7329</v>
      </c>
      <c r="D24377" s="22" t="str">
        <f>HYPERLINK("https://rhld.insurance.arkansas.gov/NPILookup?Npi=1386642429","1386642429")</f>
        <v>1386642429</v>
      </c>
      <c r="E24377" s="1" t="s">
        <v>13054</v>
      </c>
      <c r="F24377" s="2"/>
      <c r="G24377" s="2"/>
      <c r="H24377" s="2"/>
    </row>
    <row r="24378" spans="1:8" x14ac:dyDescent="0.25">
      <c r="A24378" s="1"/>
      <c r="B24378" s="1" t="s">
        <v>7328</v>
      </c>
      <c r="C24378" s="1" t="s">
        <v>7329</v>
      </c>
      <c r="D24378" s="22" t="str">
        <f>HYPERLINK("https://rhld.insurance.arkansas.gov/NPILookup?Npi=1386668762","1386668762")</f>
        <v>1386668762</v>
      </c>
      <c r="E24378" s="1" t="s">
        <v>13055</v>
      </c>
      <c r="F24378" s="2"/>
      <c r="G24378" s="2"/>
      <c r="H24378" s="2"/>
    </row>
    <row r="24379" spans="1:8" x14ac:dyDescent="0.25">
      <c r="A24379" s="1"/>
      <c r="B24379" s="1" t="s">
        <v>7328</v>
      </c>
      <c r="C24379" s="1" t="s">
        <v>7329</v>
      </c>
      <c r="D24379" s="22" t="str">
        <f>HYPERLINK("https://rhld.insurance.arkansas.gov/NPILookup?Npi=1386672392","1386672392")</f>
        <v>1386672392</v>
      </c>
      <c r="E24379" s="1" t="s">
        <v>17481</v>
      </c>
      <c r="F24379" s="2"/>
      <c r="G24379" s="2"/>
      <c r="H24379" s="2"/>
    </row>
    <row r="24380" spans="1:8" x14ac:dyDescent="0.25">
      <c r="A24380" s="1"/>
      <c r="B24380" s="1" t="s">
        <v>7328</v>
      </c>
      <c r="C24380" s="1" t="s">
        <v>7329</v>
      </c>
      <c r="D24380" s="22" t="str">
        <f>HYPERLINK("https://rhld.insurance.arkansas.gov/NPILookup?Npi=1386681328","1386681328")</f>
        <v>1386681328</v>
      </c>
      <c r="E24380" s="1" t="s">
        <v>1092</v>
      </c>
      <c r="F24380" s="2"/>
      <c r="G24380" s="2"/>
      <c r="H24380" s="2"/>
    </row>
    <row r="24381" spans="1:8" x14ac:dyDescent="0.25">
      <c r="A24381" s="1"/>
      <c r="B24381" s="1" t="s">
        <v>7328</v>
      </c>
      <c r="C24381" s="1" t="s">
        <v>7329</v>
      </c>
      <c r="D24381" s="22" t="str">
        <f>HYPERLINK("https://rhld.insurance.arkansas.gov/NPILookup?Npi=1386733830","1386733830")</f>
        <v>1386733830</v>
      </c>
      <c r="E24381" s="1" t="s">
        <v>26859</v>
      </c>
      <c r="F24381" s="2"/>
      <c r="G24381" s="2"/>
      <c r="H24381" s="2"/>
    </row>
    <row r="24382" spans="1:8" x14ac:dyDescent="0.25">
      <c r="A24382" s="1"/>
      <c r="B24382" s="1" t="s">
        <v>7328</v>
      </c>
      <c r="C24382" s="1" t="s">
        <v>7329</v>
      </c>
      <c r="D24382" s="22" t="str">
        <f>HYPERLINK("https://rhld.insurance.arkansas.gov/NPILookup?Npi=1386744274","1386744274")</f>
        <v>1386744274</v>
      </c>
      <c r="E24382" s="1" t="s">
        <v>26860</v>
      </c>
      <c r="F24382" s="2"/>
      <c r="G24382" s="2"/>
      <c r="H24382" s="2"/>
    </row>
    <row r="24383" spans="1:8" x14ac:dyDescent="0.25">
      <c r="A24383" s="1"/>
      <c r="B24383" s="1" t="s">
        <v>7328</v>
      </c>
      <c r="C24383" s="1" t="s">
        <v>7329</v>
      </c>
      <c r="D24383" s="22" t="str">
        <f>HYPERLINK("https://rhld.insurance.arkansas.gov/NPILookup?Npi=1386820744","1386820744")</f>
        <v>1386820744</v>
      </c>
      <c r="E24383" s="1" t="s">
        <v>2807</v>
      </c>
      <c r="F24383" s="2"/>
      <c r="G24383" s="2"/>
      <c r="H24383" s="2"/>
    </row>
    <row r="24384" spans="1:8" x14ac:dyDescent="0.25">
      <c r="A24384" s="1"/>
      <c r="B24384" s="1" t="s">
        <v>7328</v>
      </c>
      <c r="C24384" s="1" t="s">
        <v>7329</v>
      </c>
      <c r="D24384" s="22" t="str">
        <f>HYPERLINK("https://rhld.insurance.arkansas.gov/NPILookup?Npi=1386830230","1386830230")</f>
        <v>1386830230</v>
      </c>
      <c r="E24384" s="1" t="s">
        <v>26861</v>
      </c>
      <c r="F24384" s="2"/>
      <c r="G24384" s="2"/>
      <c r="H24384" s="2"/>
    </row>
    <row r="24385" spans="1:8" x14ac:dyDescent="0.25">
      <c r="A24385" s="1"/>
      <c r="B24385" s="1" t="s">
        <v>7328</v>
      </c>
      <c r="C24385" s="1" t="s">
        <v>7329</v>
      </c>
      <c r="D24385" s="22" t="str">
        <f>HYPERLINK("https://rhld.insurance.arkansas.gov/NPILookup?Npi=1386895191","1386895191")</f>
        <v>1386895191</v>
      </c>
      <c r="E24385" s="1" t="s">
        <v>26862</v>
      </c>
      <c r="F24385" s="2"/>
      <c r="G24385" s="2"/>
      <c r="H24385" s="2"/>
    </row>
    <row r="24386" spans="1:8" x14ac:dyDescent="0.25">
      <c r="A24386" s="1"/>
      <c r="B24386" s="1" t="s">
        <v>7328</v>
      </c>
      <c r="C24386" s="1" t="s">
        <v>7329</v>
      </c>
      <c r="D24386" s="22" t="str">
        <f>HYPERLINK("https://rhld.insurance.arkansas.gov/NPILookup?Npi=1386953487","1386953487")</f>
        <v>1386953487</v>
      </c>
      <c r="E24386" s="1" t="s">
        <v>3980</v>
      </c>
      <c r="F24386" s="2"/>
      <c r="G24386" s="2"/>
      <c r="H24386" s="2"/>
    </row>
    <row r="24387" spans="1:8" x14ac:dyDescent="0.25">
      <c r="A24387" s="1"/>
      <c r="B24387" s="1" t="s">
        <v>7328</v>
      </c>
      <c r="C24387" s="1" t="s">
        <v>7329</v>
      </c>
      <c r="D24387" s="22" t="str">
        <f>HYPERLINK("https://rhld.insurance.arkansas.gov/NPILookup?Npi=1386964708","1386964708")</f>
        <v>1386964708</v>
      </c>
      <c r="E24387" s="1" t="s">
        <v>13057</v>
      </c>
      <c r="F24387" s="2"/>
      <c r="G24387" s="2"/>
      <c r="H24387" s="2"/>
    </row>
    <row r="24388" spans="1:8" x14ac:dyDescent="0.25">
      <c r="A24388" s="1"/>
      <c r="B24388" s="1" t="s">
        <v>7328</v>
      </c>
      <c r="C24388" s="1" t="s">
        <v>7329</v>
      </c>
      <c r="D24388" s="22" t="str">
        <f>HYPERLINK("https://rhld.insurance.arkansas.gov/NPILookup?Npi=1386976850","1386976850")</f>
        <v>1386976850</v>
      </c>
      <c r="E24388" s="1" t="s">
        <v>26863</v>
      </c>
      <c r="F24388" s="2"/>
      <c r="G24388" s="2"/>
      <c r="H24388" s="2"/>
    </row>
    <row r="24389" spans="1:8" x14ac:dyDescent="0.25">
      <c r="A24389" s="1"/>
      <c r="B24389" s="1" t="s">
        <v>7328</v>
      </c>
      <c r="C24389" s="1" t="s">
        <v>7329</v>
      </c>
      <c r="D24389" s="22" t="str">
        <f>HYPERLINK("https://rhld.insurance.arkansas.gov/NPILookup?Npi=1386983468","1386983468")</f>
        <v>1386983468</v>
      </c>
      <c r="E24389" s="1" t="s">
        <v>2013</v>
      </c>
      <c r="F24389" s="2"/>
      <c r="G24389" s="2"/>
      <c r="H24389" s="2"/>
    </row>
    <row r="24390" spans="1:8" x14ac:dyDescent="0.25">
      <c r="A24390" s="1"/>
      <c r="B24390" s="1" t="s">
        <v>7328</v>
      </c>
      <c r="C24390" s="1" t="s">
        <v>7329</v>
      </c>
      <c r="D24390" s="22" t="str">
        <f>HYPERLINK("https://rhld.insurance.arkansas.gov/NPILookup?Npi=1386986255","1386986255")</f>
        <v>1386986255</v>
      </c>
      <c r="E24390" s="1" t="s">
        <v>7711</v>
      </c>
      <c r="F24390" s="2"/>
      <c r="G24390" s="2"/>
      <c r="H24390" s="2"/>
    </row>
    <row r="24391" spans="1:8" x14ac:dyDescent="0.25">
      <c r="A24391" s="1"/>
      <c r="B24391" s="1" t="s">
        <v>7328</v>
      </c>
      <c r="C24391" s="1" t="s">
        <v>7329</v>
      </c>
      <c r="D24391" s="22" t="str">
        <f>HYPERLINK("https://rhld.insurance.arkansas.gov/NPILookup?Npi=1396005039","1396005039")</f>
        <v>1396005039</v>
      </c>
      <c r="E24391" s="1" t="s">
        <v>26864</v>
      </c>
      <c r="F24391" s="2"/>
      <c r="G24391" s="2"/>
      <c r="H24391" s="2"/>
    </row>
    <row r="24392" spans="1:8" x14ac:dyDescent="0.25">
      <c r="A24392" s="1"/>
      <c r="B24392" s="1" t="s">
        <v>7328</v>
      </c>
      <c r="C24392" s="1" t="s">
        <v>7329</v>
      </c>
      <c r="D24392" s="22" t="str">
        <f>HYPERLINK("https://rhld.insurance.arkansas.gov/NPILookup?Npi=1396020426","1396020426")</f>
        <v>1396020426</v>
      </c>
      <c r="E24392" s="1" t="s">
        <v>26865</v>
      </c>
      <c r="F24392" s="2"/>
      <c r="G24392" s="2"/>
      <c r="H24392" s="2"/>
    </row>
    <row r="24393" spans="1:8" x14ac:dyDescent="0.25">
      <c r="A24393" s="1"/>
      <c r="B24393" s="1" t="s">
        <v>7328</v>
      </c>
      <c r="C24393" s="1" t="s">
        <v>7329</v>
      </c>
      <c r="D24393" s="22" t="str">
        <f>HYPERLINK("https://rhld.insurance.arkansas.gov/NPILookup?Npi=1396039707","1396039707")</f>
        <v>1396039707</v>
      </c>
      <c r="E24393" s="1" t="s">
        <v>26866</v>
      </c>
      <c r="F24393" s="2"/>
      <c r="G24393" s="2"/>
      <c r="H24393" s="2"/>
    </row>
    <row r="24394" spans="1:8" x14ac:dyDescent="0.25">
      <c r="A24394" s="1"/>
      <c r="B24394" s="1" t="s">
        <v>7328</v>
      </c>
      <c r="C24394" s="1" t="s">
        <v>7329</v>
      </c>
      <c r="D24394" s="22" t="str">
        <f>HYPERLINK("https://rhld.insurance.arkansas.gov/NPILookup?Npi=1396041901","1396041901")</f>
        <v>1396041901</v>
      </c>
      <c r="E24394" s="1" t="s">
        <v>26867</v>
      </c>
      <c r="F24394" s="2"/>
      <c r="G24394" s="2"/>
      <c r="H24394" s="2"/>
    </row>
    <row r="24395" spans="1:8" x14ac:dyDescent="0.25">
      <c r="A24395" s="1"/>
      <c r="B24395" s="1" t="s">
        <v>7328</v>
      </c>
      <c r="C24395" s="1" t="s">
        <v>7329</v>
      </c>
      <c r="D24395" s="22" t="str">
        <f>HYPERLINK("https://rhld.insurance.arkansas.gov/NPILookup?Npi=1396045753","1396045753")</f>
        <v>1396045753</v>
      </c>
      <c r="E24395" s="1" t="s">
        <v>7712</v>
      </c>
      <c r="F24395" s="2"/>
      <c r="G24395" s="2"/>
      <c r="H24395" s="2"/>
    </row>
    <row r="24396" spans="1:8" x14ac:dyDescent="0.25">
      <c r="A24396" s="1"/>
      <c r="B24396" s="1" t="s">
        <v>7328</v>
      </c>
      <c r="C24396" s="1" t="s">
        <v>7329</v>
      </c>
      <c r="D24396" s="22" t="str">
        <f>HYPERLINK("https://rhld.insurance.arkansas.gov/NPILookup?Npi=1396060190","1396060190")</f>
        <v>1396060190</v>
      </c>
      <c r="E24396" s="1" t="s">
        <v>2808</v>
      </c>
      <c r="F24396" s="2"/>
      <c r="G24396" s="2"/>
      <c r="H24396" s="2"/>
    </row>
    <row r="24397" spans="1:8" x14ac:dyDescent="0.25">
      <c r="A24397" s="1"/>
      <c r="B24397" s="1" t="s">
        <v>7328</v>
      </c>
      <c r="C24397" s="1" t="s">
        <v>7329</v>
      </c>
      <c r="D24397" s="22" t="str">
        <f>HYPERLINK("https://rhld.insurance.arkansas.gov/NPILookup?Npi=1396060356","1396060356")</f>
        <v>1396060356</v>
      </c>
      <c r="E24397" s="1" t="s">
        <v>26868</v>
      </c>
      <c r="F24397" s="2"/>
      <c r="G24397" s="2"/>
      <c r="H24397" s="2"/>
    </row>
    <row r="24398" spans="1:8" x14ac:dyDescent="0.25">
      <c r="A24398" s="1"/>
      <c r="B24398" s="1" t="s">
        <v>7328</v>
      </c>
      <c r="C24398" s="1" t="s">
        <v>7329</v>
      </c>
      <c r="D24398" s="22" t="str">
        <f>HYPERLINK("https://rhld.insurance.arkansas.gov/NPILookup?Npi=1396077137","1396077137")</f>
        <v>1396077137</v>
      </c>
      <c r="E24398" s="1" t="s">
        <v>26869</v>
      </c>
      <c r="F24398" s="2"/>
      <c r="G24398" s="2"/>
      <c r="H24398" s="2"/>
    </row>
    <row r="24399" spans="1:8" x14ac:dyDescent="0.25">
      <c r="A24399" s="1"/>
      <c r="B24399" s="1" t="s">
        <v>7328</v>
      </c>
      <c r="C24399" s="1" t="s">
        <v>7329</v>
      </c>
      <c r="D24399" s="22" t="str">
        <f>HYPERLINK("https://rhld.insurance.arkansas.gov/NPILookup?Npi=1396094868","1396094868")</f>
        <v>1396094868</v>
      </c>
      <c r="E24399" s="1" t="s">
        <v>13058</v>
      </c>
      <c r="F24399" s="2"/>
      <c r="G24399" s="2"/>
      <c r="H24399" s="2"/>
    </row>
    <row r="24400" spans="1:8" x14ac:dyDescent="0.25">
      <c r="A24400" s="1"/>
      <c r="B24400" s="1" t="s">
        <v>7328</v>
      </c>
      <c r="C24400" s="1" t="s">
        <v>7329</v>
      </c>
      <c r="D24400" s="22" t="str">
        <f>HYPERLINK("https://rhld.insurance.arkansas.gov/NPILookup?Npi=1396095899","1396095899")</f>
        <v>1396095899</v>
      </c>
      <c r="E24400" s="1" t="s">
        <v>3139</v>
      </c>
      <c r="F24400" s="2"/>
      <c r="G24400" s="2"/>
      <c r="H24400" s="2"/>
    </row>
    <row r="24401" spans="1:8" x14ac:dyDescent="0.25">
      <c r="A24401" s="1"/>
      <c r="B24401" s="1" t="s">
        <v>7328</v>
      </c>
      <c r="C24401" s="1" t="s">
        <v>7329</v>
      </c>
      <c r="D24401" s="22" t="str">
        <f>HYPERLINK("https://rhld.insurance.arkansas.gov/NPILookup?Npi=1396107751","1396107751")</f>
        <v>1396107751</v>
      </c>
      <c r="E24401" s="1" t="s">
        <v>26870</v>
      </c>
      <c r="F24401" s="2"/>
      <c r="G24401" s="2"/>
      <c r="H24401" s="2"/>
    </row>
    <row r="24402" spans="1:8" x14ac:dyDescent="0.25">
      <c r="A24402" s="1"/>
      <c r="B24402" s="1" t="s">
        <v>7328</v>
      </c>
      <c r="C24402" s="1" t="s">
        <v>7329</v>
      </c>
      <c r="D24402" s="22" t="str">
        <f>HYPERLINK("https://rhld.insurance.arkansas.gov/NPILookup?Npi=1396110490","1396110490")</f>
        <v>1396110490</v>
      </c>
      <c r="E24402" s="1" t="s">
        <v>32212</v>
      </c>
      <c r="F24402" s="2"/>
      <c r="G24402" s="2"/>
      <c r="H24402" s="2"/>
    </row>
    <row r="24403" spans="1:8" x14ac:dyDescent="0.25">
      <c r="A24403" s="1"/>
      <c r="B24403" s="1" t="s">
        <v>7328</v>
      </c>
      <c r="C24403" s="1" t="s">
        <v>7329</v>
      </c>
      <c r="D24403" s="22" t="str">
        <f>HYPERLINK("https://rhld.insurance.arkansas.gov/NPILookup?Npi=1396115192","1396115192")</f>
        <v>1396115192</v>
      </c>
      <c r="E24403" s="1" t="s">
        <v>26871</v>
      </c>
      <c r="F24403" s="2"/>
      <c r="G24403" s="2"/>
      <c r="H24403" s="2"/>
    </row>
    <row r="24404" spans="1:8" x14ac:dyDescent="0.25">
      <c r="A24404" s="1"/>
      <c r="B24404" s="1" t="s">
        <v>7328</v>
      </c>
      <c r="C24404" s="1" t="s">
        <v>7329</v>
      </c>
      <c r="D24404" s="22" t="str">
        <f>HYPERLINK("https://rhld.insurance.arkansas.gov/NPILookup?Npi=1396117453","1396117453")</f>
        <v>1396117453</v>
      </c>
      <c r="E24404" s="1" t="s">
        <v>1384</v>
      </c>
      <c r="F24404" s="2"/>
      <c r="G24404" s="2"/>
      <c r="H24404" s="2"/>
    </row>
    <row r="24405" spans="1:8" x14ac:dyDescent="0.25">
      <c r="A24405" s="1"/>
      <c r="B24405" s="1" t="s">
        <v>7328</v>
      </c>
      <c r="C24405" s="1" t="s">
        <v>7329</v>
      </c>
      <c r="D24405" s="22" t="str">
        <f>HYPERLINK("https://rhld.insurance.arkansas.gov/NPILookup?Npi=1396128336","1396128336")</f>
        <v>1396128336</v>
      </c>
      <c r="E24405" s="1" t="s">
        <v>26872</v>
      </c>
      <c r="F24405" s="2"/>
      <c r="G24405" s="2"/>
      <c r="H24405" s="2"/>
    </row>
    <row r="24406" spans="1:8" x14ac:dyDescent="0.25">
      <c r="A24406" s="1"/>
      <c r="B24406" s="1" t="s">
        <v>7328</v>
      </c>
      <c r="C24406" s="1" t="s">
        <v>7329</v>
      </c>
      <c r="D24406" s="22" t="str">
        <f>HYPERLINK("https://rhld.insurance.arkansas.gov/NPILookup?Npi=1396130431","1396130431")</f>
        <v>1396130431</v>
      </c>
      <c r="E24406" s="1" t="s">
        <v>26873</v>
      </c>
      <c r="F24406" s="2"/>
      <c r="G24406" s="2"/>
      <c r="H24406" s="2"/>
    </row>
    <row r="24407" spans="1:8" x14ac:dyDescent="0.25">
      <c r="A24407" s="1"/>
      <c r="B24407" s="1" t="s">
        <v>7328</v>
      </c>
      <c r="C24407" s="1" t="s">
        <v>7329</v>
      </c>
      <c r="D24407" s="22" t="str">
        <f>HYPERLINK("https://rhld.insurance.arkansas.gov/NPILookup?Npi=1396131447","1396131447")</f>
        <v>1396131447</v>
      </c>
      <c r="E24407" s="1" t="s">
        <v>2809</v>
      </c>
      <c r="F24407" s="2"/>
      <c r="G24407" s="2"/>
      <c r="H24407" s="2"/>
    </row>
    <row r="24408" spans="1:8" x14ac:dyDescent="0.25">
      <c r="A24408" s="1"/>
      <c r="B24408" s="1" t="s">
        <v>7328</v>
      </c>
      <c r="C24408" s="1" t="s">
        <v>7329</v>
      </c>
      <c r="D24408" s="22" t="str">
        <f>HYPERLINK("https://rhld.insurance.arkansas.gov/NPILookup?Npi=1396133260","1396133260")</f>
        <v>1396133260</v>
      </c>
      <c r="E24408" s="1" t="s">
        <v>7713</v>
      </c>
      <c r="F24408" s="2"/>
      <c r="G24408" s="2"/>
      <c r="H24408" s="2"/>
    </row>
    <row r="24409" spans="1:8" x14ac:dyDescent="0.25">
      <c r="A24409" s="1"/>
      <c r="B24409" s="1" t="s">
        <v>7328</v>
      </c>
      <c r="C24409" s="1" t="s">
        <v>7329</v>
      </c>
      <c r="D24409" s="22" t="str">
        <f>HYPERLINK("https://rhld.insurance.arkansas.gov/NPILookup?Npi=1396139903","1396139903")</f>
        <v>1396139903</v>
      </c>
      <c r="E24409" s="1" t="s">
        <v>13059</v>
      </c>
      <c r="F24409" s="2"/>
      <c r="G24409" s="2"/>
      <c r="H24409" s="2"/>
    </row>
    <row r="24410" spans="1:8" x14ac:dyDescent="0.25">
      <c r="A24410" s="1"/>
      <c r="B24410" s="1" t="s">
        <v>7328</v>
      </c>
      <c r="C24410" s="1" t="s">
        <v>7329</v>
      </c>
      <c r="D24410" s="22" t="str">
        <f>HYPERLINK("https://rhld.insurance.arkansas.gov/NPILookup?Npi=1396141636","1396141636")</f>
        <v>1396141636</v>
      </c>
      <c r="E24410" s="1" t="s">
        <v>26874</v>
      </c>
      <c r="F24410" s="2"/>
      <c r="G24410" s="2"/>
      <c r="H24410" s="2"/>
    </row>
    <row r="24411" spans="1:8" x14ac:dyDescent="0.25">
      <c r="A24411" s="1"/>
      <c r="B24411" s="1" t="s">
        <v>7328</v>
      </c>
      <c r="C24411" s="1" t="s">
        <v>7329</v>
      </c>
      <c r="D24411" s="22" t="str">
        <f>HYPERLINK("https://rhld.insurance.arkansas.gov/NPILookup?Npi=1396155719","1396155719")</f>
        <v>1396155719</v>
      </c>
      <c r="E24411" s="1" t="s">
        <v>1385</v>
      </c>
      <c r="F24411" s="2"/>
      <c r="G24411" s="2"/>
      <c r="H24411" s="2"/>
    </row>
    <row r="24412" spans="1:8" x14ac:dyDescent="0.25">
      <c r="A24412" s="1"/>
      <c r="B24412" s="1" t="s">
        <v>7328</v>
      </c>
      <c r="C24412" s="1" t="s">
        <v>7329</v>
      </c>
      <c r="D24412" s="22" t="str">
        <f>HYPERLINK("https://rhld.insurance.arkansas.gov/NPILookup?Npi=1396163499","1396163499")</f>
        <v>1396163499</v>
      </c>
      <c r="E24412" s="1" t="s">
        <v>26875</v>
      </c>
      <c r="F24412" s="2"/>
      <c r="G24412" s="2"/>
      <c r="H24412" s="2"/>
    </row>
    <row r="24413" spans="1:8" x14ac:dyDescent="0.25">
      <c r="A24413" s="1"/>
      <c r="B24413" s="1" t="s">
        <v>7328</v>
      </c>
      <c r="C24413" s="1" t="s">
        <v>7329</v>
      </c>
      <c r="D24413" s="22" t="str">
        <f>HYPERLINK("https://rhld.insurance.arkansas.gov/NPILookup?Npi=1396181814","1396181814")</f>
        <v>1396181814</v>
      </c>
      <c r="E24413" s="1" t="s">
        <v>7714</v>
      </c>
      <c r="F24413" s="2"/>
      <c r="G24413" s="2"/>
      <c r="H24413" s="2"/>
    </row>
    <row r="24414" spans="1:8" x14ac:dyDescent="0.25">
      <c r="A24414" s="1"/>
      <c r="B24414" s="1" t="s">
        <v>7328</v>
      </c>
      <c r="C24414" s="1" t="s">
        <v>7329</v>
      </c>
      <c r="D24414" s="22" t="str">
        <f>HYPERLINK("https://rhld.insurance.arkansas.gov/NPILookup?Npi=1396191136","1396191136")</f>
        <v>1396191136</v>
      </c>
      <c r="E24414" s="1" t="s">
        <v>2645</v>
      </c>
      <c r="F24414" s="2"/>
      <c r="G24414" s="2"/>
      <c r="H24414" s="2"/>
    </row>
    <row r="24415" spans="1:8" x14ac:dyDescent="0.25">
      <c r="A24415" s="1"/>
      <c r="B24415" s="1" t="s">
        <v>7328</v>
      </c>
      <c r="C24415" s="1" t="s">
        <v>7329</v>
      </c>
      <c r="D24415" s="22" t="str">
        <f>HYPERLINK("https://rhld.insurance.arkansas.gov/NPILookup?Npi=1396194122","1396194122")</f>
        <v>1396194122</v>
      </c>
      <c r="E24415" s="1" t="s">
        <v>26876</v>
      </c>
      <c r="F24415" s="2"/>
      <c r="G24415" s="2"/>
      <c r="H24415" s="2"/>
    </row>
    <row r="24416" spans="1:8" x14ac:dyDescent="0.25">
      <c r="A24416" s="1"/>
      <c r="B24416" s="1" t="s">
        <v>7328</v>
      </c>
      <c r="C24416" s="1" t="s">
        <v>7329</v>
      </c>
      <c r="D24416" s="22" t="str">
        <f>HYPERLINK("https://rhld.insurance.arkansas.gov/NPILookup?Npi=1396195996","1396195996")</f>
        <v>1396195996</v>
      </c>
      <c r="E24416" s="1" t="s">
        <v>26877</v>
      </c>
      <c r="F24416" s="2"/>
      <c r="G24416" s="2"/>
      <c r="H24416" s="2"/>
    </row>
    <row r="24417" spans="1:8" x14ac:dyDescent="0.25">
      <c r="A24417" s="1"/>
      <c r="B24417" s="1" t="s">
        <v>7328</v>
      </c>
      <c r="C24417" s="1" t="s">
        <v>7329</v>
      </c>
      <c r="D24417" s="22" t="str">
        <f>HYPERLINK("https://rhld.insurance.arkansas.gov/NPILookup?Npi=1396200978","1396200978")</f>
        <v>1396200978</v>
      </c>
      <c r="E24417" s="1" t="s">
        <v>22060</v>
      </c>
      <c r="F24417" s="2"/>
      <c r="G24417" s="2"/>
      <c r="H24417" s="2"/>
    </row>
    <row r="24418" spans="1:8" x14ac:dyDescent="0.25">
      <c r="A24418" s="1"/>
      <c r="B24418" s="1" t="s">
        <v>7328</v>
      </c>
      <c r="C24418" s="1" t="s">
        <v>7329</v>
      </c>
      <c r="D24418" s="22" t="str">
        <f>HYPERLINK("https://rhld.insurance.arkansas.gov/NPILookup?Npi=1396207882","1396207882")</f>
        <v>1396207882</v>
      </c>
      <c r="E24418" s="1" t="s">
        <v>7715</v>
      </c>
      <c r="F24418" s="2"/>
      <c r="G24418" s="2"/>
      <c r="H24418" s="2"/>
    </row>
    <row r="24419" spans="1:8" x14ac:dyDescent="0.25">
      <c r="A24419" s="1"/>
      <c r="B24419" s="1" t="s">
        <v>7328</v>
      </c>
      <c r="C24419" s="1" t="s">
        <v>7329</v>
      </c>
      <c r="D24419" s="22" t="str">
        <f>HYPERLINK("https://rhld.insurance.arkansas.gov/NPILookup?Npi=1396210514","1396210514")</f>
        <v>1396210514</v>
      </c>
      <c r="E24419" s="1" t="s">
        <v>7716</v>
      </c>
      <c r="F24419" s="2"/>
      <c r="G24419" s="2"/>
      <c r="H24419" s="2"/>
    </row>
    <row r="24420" spans="1:8" x14ac:dyDescent="0.25">
      <c r="A24420" s="1"/>
      <c r="B24420" s="1" t="s">
        <v>7328</v>
      </c>
      <c r="C24420" s="1" t="s">
        <v>7329</v>
      </c>
      <c r="D24420" s="22" t="str">
        <f>HYPERLINK("https://rhld.insurance.arkansas.gov/NPILookup?Npi=1396217634","1396217634")</f>
        <v>1396217634</v>
      </c>
      <c r="E24420" s="1" t="s">
        <v>2810</v>
      </c>
      <c r="F24420" s="2"/>
      <c r="G24420" s="2"/>
      <c r="H24420" s="2"/>
    </row>
    <row r="24421" spans="1:8" x14ac:dyDescent="0.25">
      <c r="A24421" s="1"/>
      <c r="B24421" s="1" t="s">
        <v>7328</v>
      </c>
      <c r="C24421" s="1" t="s">
        <v>7329</v>
      </c>
      <c r="D24421" s="22" t="str">
        <f>HYPERLINK("https://rhld.insurance.arkansas.gov/NPILookup?Npi=1396224754","1396224754")</f>
        <v>1396224754</v>
      </c>
      <c r="E24421" s="1" t="s">
        <v>7717</v>
      </c>
      <c r="F24421" s="2"/>
      <c r="G24421" s="2"/>
      <c r="H24421" s="2"/>
    </row>
    <row r="24422" spans="1:8" x14ac:dyDescent="0.25">
      <c r="A24422" s="1"/>
      <c r="B24422" s="1" t="s">
        <v>7328</v>
      </c>
      <c r="C24422" s="1" t="s">
        <v>7329</v>
      </c>
      <c r="D24422" s="22" t="str">
        <f>HYPERLINK("https://rhld.insurance.arkansas.gov/NPILookup?Npi=1396230876","1396230876")</f>
        <v>1396230876</v>
      </c>
      <c r="E24422" s="1" t="s">
        <v>2811</v>
      </c>
      <c r="F24422" s="2"/>
      <c r="G24422" s="2"/>
      <c r="H24422" s="2"/>
    </row>
    <row r="24423" spans="1:8" x14ac:dyDescent="0.25">
      <c r="A24423" s="1"/>
      <c r="B24423" s="1" t="s">
        <v>7328</v>
      </c>
      <c r="C24423" s="1" t="s">
        <v>7329</v>
      </c>
      <c r="D24423" s="22" t="str">
        <f>HYPERLINK("https://rhld.insurance.arkansas.gov/NPILookup?Npi=1396238598","1396238598")</f>
        <v>1396238598</v>
      </c>
      <c r="E24423" s="1" t="s">
        <v>7718</v>
      </c>
      <c r="F24423" s="2"/>
      <c r="G24423" s="2"/>
      <c r="H24423" s="2"/>
    </row>
    <row r="24424" spans="1:8" x14ac:dyDescent="0.25">
      <c r="A24424" s="1"/>
      <c r="B24424" s="1" t="s">
        <v>7328</v>
      </c>
      <c r="C24424" s="1" t="s">
        <v>7329</v>
      </c>
      <c r="D24424" s="22" t="str">
        <f>HYPERLINK("https://rhld.insurance.arkansas.gov/NPILookup?Npi=1396244257","1396244257")</f>
        <v>1396244257</v>
      </c>
      <c r="E24424" s="1" t="s">
        <v>26878</v>
      </c>
      <c r="F24424" s="2"/>
      <c r="G24424" s="2"/>
      <c r="H24424" s="2"/>
    </row>
    <row r="24425" spans="1:8" x14ac:dyDescent="0.25">
      <c r="A24425" s="1"/>
      <c r="B24425" s="1" t="s">
        <v>7328</v>
      </c>
      <c r="C24425" s="1" t="s">
        <v>7329</v>
      </c>
      <c r="D24425" s="22" t="str">
        <f>HYPERLINK("https://rhld.insurance.arkansas.gov/NPILookup?Npi=1396248381","1396248381")</f>
        <v>1396248381</v>
      </c>
      <c r="E24425" s="1" t="s">
        <v>26879</v>
      </c>
      <c r="F24425" s="2"/>
      <c r="G24425" s="2"/>
      <c r="H24425" s="2"/>
    </row>
    <row r="24426" spans="1:8" x14ac:dyDescent="0.25">
      <c r="A24426" s="1"/>
      <c r="B24426" s="1" t="s">
        <v>7328</v>
      </c>
      <c r="C24426" s="1" t="s">
        <v>7329</v>
      </c>
      <c r="D24426" s="22" t="str">
        <f>HYPERLINK("https://rhld.insurance.arkansas.gov/NPILookup?Npi=1396252482","1396252482")</f>
        <v>1396252482</v>
      </c>
      <c r="E24426" s="1" t="s">
        <v>26880</v>
      </c>
      <c r="F24426" s="2"/>
      <c r="G24426" s="2"/>
      <c r="H24426" s="2"/>
    </row>
    <row r="24427" spans="1:8" x14ac:dyDescent="0.25">
      <c r="A24427" s="1"/>
      <c r="B24427" s="1" t="s">
        <v>7328</v>
      </c>
      <c r="C24427" s="1" t="s">
        <v>7329</v>
      </c>
      <c r="D24427" s="22" t="str">
        <f>HYPERLINK("https://rhld.insurance.arkansas.gov/NPILookup?Npi=1396254561","1396254561")</f>
        <v>1396254561</v>
      </c>
      <c r="E24427" s="1" t="s">
        <v>7719</v>
      </c>
      <c r="F24427" s="2"/>
      <c r="G24427" s="2"/>
      <c r="H24427" s="2"/>
    </row>
    <row r="24428" spans="1:8" x14ac:dyDescent="0.25">
      <c r="A24428" s="1"/>
      <c r="B24428" s="1" t="s">
        <v>7328</v>
      </c>
      <c r="C24428" s="1" t="s">
        <v>7329</v>
      </c>
      <c r="D24428" s="22" t="str">
        <f>HYPERLINK("https://rhld.insurance.arkansas.gov/NPILookup?Npi=1396257150","1396257150")</f>
        <v>1396257150</v>
      </c>
      <c r="E24428" s="1" t="s">
        <v>26881</v>
      </c>
      <c r="F24428" s="2"/>
      <c r="G24428" s="2"/>
      <c r="H24428" s="2"/>
    </row>
    <row r="24429" spans="1:8" x14ac:dyDescent="0.25">
      <c r="A24429" s="1"/>
      <c r="B24429" s="1" t="s">
        <v>7328</v>
      </c>
      <c r="C24429" s="1" t="s">
        <v>7329</v>
      </c>
      <c r="D24429" s="22" t="str">
        <f>HYPERLINK("https://rhld.insurance.arkansas.gov/NPILookup?Npi=1396273157","1396273157")</f>
        <v>1396273157</v>
      </c>
      <c r="E24429" s="1" t="s">
        <v>13060</v>
      </c>
      <c r="F24429" s="2"/>
      <c r="G24429" s="2"/>
      <c r="H24429" s="2"/>
    </row>
    <row r="24430" spans="1:8" x14ac:dyDescent="0.25">
      <c r="A24430" s="1"/>
      <c r="B24430" s="1" t="s">
        <v>7328</v>
      </c>
      <c r="C24430" s="1" t="s">
        <v>7329</v>
      </c>
      <c r="D24430" s="22" t="str">
        <f>HYPERLINK("https://rhld.insurance.arkansas.gov/NPILookup?Npi=1396273496","1396273496")</f>
        <v>1396273496</v>
      </c>
      <c r="E24430" s="1" t="s">
        <v>7720</v>
      </c>
      <c r="F24430" s="2"/>
      <c r="G24430" s="2"/>
      <c r="H24430" s="2"/>
    </row>
    <row r="24431" spans="1:8" x14ac:dyDescent="0.25">
      <c r="A24431" s="1"/>
      <c r="B24431" s="1" t="s">
        <v>7328</v>
      </c>
      <c r="C24431" s="1" t="s">
        <v>7329</v>
      </c>
      <c r="D24431" s="22" t="str">
        <f>HYPERLINK("https://rhld.insurance.arkansas.gov/NPILookup?Npi=1396295986","1396295986")</f>
        <v>1396295986</v>
      </c>
      <c r="E24431" s="1" t="s">
        <v>26882</v>
      </c>
      <c r="F24431" s="2"/>
      <c r="G24431" s="2"/>
      <c r="H24431" s="2"/>
    </row>
    <row r="24432" spans="1:8" x14ac:dyDescent="0.25">
      <c r="A24432" s="1"/>
      <c r="B24432" s="1" t="s">
        <v>7328</v>
      </c>
      <c r="C24432" s="1" t="s">
        <v>7329</v>
      </c>
      <c r="D24432" s="22" t="str">
        <f>HYPERLINK("https://rhld.insurance.arkansas.gov/NPILookup?Npi=1396299400","1396299400")</f>
        <v>1396299400</v>
      </c>
      <c r="E24432" s="1" t="s">
        <v>26883</v>
      </c>
      <c r="F24432" s="2"/>
      <c r="G24432" s="2"/>
      <c r="H24432" s="2"/>
    </row>
    <row r="24433" spans="1:8" x14ac:dyDescent="0.25">
      <c r="A24433" s="1"/>
      <c r="B24433" s="1" t="s">
        <v>7328</v>
      </c>
      <c r="C24433" s="1" t="s">
        <v>7329</v>
      </c>
      <c r="D24433" s="22" t="str">
        <f>HYPERLINK("https://rhld.insurance.arkansas.gov/NPILookup?Npi=1396304697","1396304697")</f>
        <v>1396304697</v>
      </c>
      <c r="E24433" s="1" t="s">
        <v>26884</v>
      </c>
      <c r="F24433" s="2"/>
      <c r="G24433" s="2"/>
      <c r="H24433" s="2"/>
    </row>
    <row r="24434" spans="1:8" x14ac:dyDescent="0.25">
      <c r="A24434" s="1"/>
      <c r="B24434" s="1" t="s">
        <v>7328</v>
      </c>
      <c r="C24434" s="1" t="s">
        <v>7329</v>
      </c>
      <c r="D24434" s="22" t="str">
        <f>HYPERLINK("https://rhld.insurance.arkansas.gov/NPILookup?Npi=1396306213","1396306213")</f>
        <v>1396306213</v>
      </c>
      <c r="E24434" s="1" t="s">
        <v>13061</v>
      </c>
      <c r="F24434" s="2"/>
      <c r="G24434" s="2"/>
      <c r="H24434" s="2"/>
    </row>
    <row r="24435" spans="1:8" x14ac:dyDescent="0.25">
      <c r="A24435" s="1"/>
      <c r="B24435" s="1" t="s">
        <v>7328</v>
      </c>
      <c r="C24435" s="1" t="s">
        <v>7329</v>
      </c>
      <c r="D24435" s="22" t="str">
        <f>HYPERLINK("https://rhld.insurance.arkansas.gov/NPILookup?Npi=1396314944","1396314944")</f>
        <v>1396314944</v>
      </c>
      <c r="E24435" s="1" t="s">
        <v>26885</v>
      </c>
      <c r="F24435" s="2"/>
      <c r="G24435" s="2"/>
      <c r="H24435" s="2"/>
    </row>
    <row r="24436" spans="1:8" x14ac:dyDescent="0.25">
      <c r="A24436" s="1"/>
      <c r="B24436" s="1" t="s">
        <v>7328</v>
      </c>
      <c r="C24436" s="1" t="s">
        <v>7329</v>
      </c>
      <c r="D24436" s="22" t="str">
        <f>HYPERLINK("https://rhld.insurance.arkansas.gov/NPILookup?Npi=1396315156","1396315156")</f>
        <v>1396315156</v>
      </c>
      <c r="E24436" s="1" t="s">
        <v>7721</v>
      </c>
      <c r="F24436" s="2"/>
      <c r="G24436" s="2"/>
      <c r="H24436" s="2"/>
    </row>
    <row r="24437" spans="1:8" x14ac:dyDescent="0.25">
      <c r="A24437" s="1"/>
      <c r="B24437" s="1" t="s">
        <v>7328</v>
      </c>
      <c r="C24437" s="1" t="s">
        <v>7329</v>
      </c>
      <c r="D24437" s="22" t="str">
        <f>HYPERLINK("https://rhld.insurance.arkansas.gov/NPILookup?Npi=1396323614","1396323614")</f>
        <v>1396323614</v>
      </c>
      <c r="E24437" s="1" t="s">
        <v>32213</v>
      </c>
      <c r="F24437" s="2"/>
      <c r="G24437" s="2"/>
      <c r="H24437" s="2"/>
    </row>
    <row r="24438" spans="1:8" x14ac:dyDescent="0.25">
      <c r="A24438" s="1"/>
      <c r="B24438" s="1" t="s">
        <v>7328</v>
      </c>
      <c r="C24438" s="1" t="s">
        <v>7329</v>
      </c>
      <c r="D24438" s="22" t="str">
        <f>HYPERLINK("https://rhld.insurance.arkansas.gov/NPILookup?Npi=1396324810","1396324810")</f>
        <v>1396324810</v>
      </c>
      <c r="E24438" s="1" t="s">
        <v>26886</v>
      </c>
      <c r="F24438" s="2"/>
      <c r="G24438" s="2"/>
      <c r="H24438" s="2"/>
    </row>
    <row r="24439" spans="1:8" x14ac:dyDescent="0.25">
      <c r="A24439" s="1"/>
      <c r="B24439" s="1" t="s">
        <v>7328</v>
      </c>
      <c r="C24439" s="1" t="s">
        <v>7329</v>
      </c>
      <c r="D24439" s="22" t="str">
        <f>HYPERLINK("https://rhld.insurance.arkansas.gov/NPILookup?Npi=1396339396","1396339396")</f>
        <v>1396339396</v>
      </c>
      <c r="E24439" s="1" t="s">
        <v>13062</v>
      </c>
      <c r="F24439" s="2"/>
      <c r="G24439" s="2"/>
      <c r="H24439" s="2"/>
    </row>
    <row r="24440" spans="1:8" x14ac:dyDescent="0.25">
      <c r="A24440" s="1"/>
      <c r="B24440" s="1" t="s">
        <v>7328</v>
      </c>
      <c r="C24440" s="1" t="s">
        <v>7329</v>
      </c>
      <c r="D24440" s="22" t="str">
        <f>HYPERLINK("https://rhld.insurance.arkansas.gov/NPILookup?Npi=1396350039","1396350039")</f>
        <v>1396350039</v>
      </c>
      <c r="E24440" s="1" t="s">
        <v>26887</v>
      </c>
      <c r="F24440" s="2"/>
      <c r="G24440" s="2"/>
      <c r="H24440" s="2"/>
    </row>
    <row r="24441" spans="1:8" x14ac:dyDescent="0.25">
      <c r="A24441" s="1"/>
      <c r="B24441" s="1" t="s">
        <v>7328</v>
      </c>
      <c r="C24441" s="1" t="s">
        <v>7329</v>
      </c>
      <c r="D24441" s="22" t="str">
        <f>HYPERLINK("https://rhld.insurance.arkansas.gov/NPILookup?Npi=1396362737","1396362737")</f>
        <v>1396362737</v>
      </c>
      <c r="E24441" s="1" t="s">
        <v>3770</v>
      </c>
      <c r="F24441" s="2"/>
      <c r="G24441" s="2"/>
      <c r="H24441" s="2"/>
    </row>
    <row r="24442" spans="1:8" x14ac:dyDescent="0.25">
      <c r="A24442" s="1"/>
      <c r="B24442" s="1" t="s">
        <v>7328</v>
      </c>
      <c r="C24442" s="1" t="s">
        <v>7329</v>
      </c>
      <c r="D24442" s="22" t="str">
        <f>HYPERLINK("https://rhld.insurance.arkansas.gov/NPILookup?Npi=1396381042","1396381042")</f>
        <v>1396381042</v>
      </c>
      <c r="E24442" s="1" t="s">
        <v>26888</v>
      </c>
      <c r="F24442" s="2"/>
      <c r="G24442" s="2"/>
      <c r="H24442" s="2"/>
    </row>
    <row r="24443" spans="1:8" x14ac:dyDescent="0.25">
      <c r="A24443" s="1"/>
      <c r="B24443" s="1" t="s">
        <v>7328</v>
      </c>
      <c r="C24443" s="1" t="s">
        <v>7329</v>
      </c>
      <c r="D24443" s="22" t="str">
        <f>HYPERLINK("https://rhld.insurance.arkansas.gov/NPILookup?Npi=1396394060","1396394060")</f>
        <v>1396394060</v>
      </c>
      <c r="E24443" s="1" t="s">
        <v>26889</v>
      </c>
      <c r="F24443" s="2"/>
      <c r="G24443" s="2"/>
      <c r="H24443" s="2"/>
    </row>
    <row r="24444" spans="1:8" x14ac:dyDescent="0.25">
      <c r="A24444" s="1"/>
      <c r="B24444" s="1" t="s">
        <v>7328</v>
      </c>
      <c r="C24444" s="1" t="s">
        <v>7329</v>
      </c>
      <c r="D24444" s="22" t="str">
        <f>HYPERLINK("https://rhld.insurance.arkansas.gov/NPILookup?Npi=1396402764","1396402764")</f>
        <v>1396402764</v>
      </c>
      <c r="E24444" s="1" t="s">
        <v>26890</v>
      </c>
      <c r="F24444" s="2"/>
      <c r="G24444" s="2"/>
      <c r="H24444" s="2"/>
    </row>
    <row r="24445" spans="1:8" x14ac:dyDescent="0.25">
      <c r="A24445" s="1"/>
      <c r="B24445" s="1" t="s">
        <v>7328</v>
      </c>
      <c r="C24445" s="1" t="s">
        <v>7329</v>
      </c>
      <c r="D24445" s="22" t="str">
        <f>HYPERLINK("https://rhld.insurance.arkansas.gov/NPILookup?Npi=1396411542","1396411542")</f>
        <v>1396411542</v>
      </c>
      <c r="E24445" s="1" t="s">
        <v>26891</v>
      </c>
      <c r="F24445" s="2"/>
      <c r="G24445" s="2"/>
      <c r="H24445" s="2"/>
    </row>
    <row r="24446" spans="1:8" x14ac:dyDescent="0.25">
      <c r="A24446" s="1"/>
      <c r="B24446" s="1" t="s">
        <v>7328</v>
      </c>
      <c r="C24446" s="1" t="s">
        <v>7329</v>
      </c>
      <c r="D24446" s="22" t="str">
        <f>HYPERLINK("https://rhld.insurance.arkansas.gov/NPILookup?Npi=1396425450","1396425450")</f>
        <v>1396425450</v>
      </c>
      <c r="E24446" s="1" t="s">
        <v>5932</v>
      </c>
      <c r="F24446" s="2"/>
      <c r="G24446" s="2"/>
      <c r="H24446" s="2"/>
    </row>
    <row r="24447" spans="1:8" x14ac:dyDescent="0.25">
      <c r="A24447" s="1"/>
      <c r="B24447" s="1" t="s">
        <v>7328</v>
      </c>
      <c r="C24447" s="1" t="s">
        <v>7329</v>
      </c>
      <c r="D24447" s="22" t="str">
        <f>HYPERLINK("https://rhld.insurance.arkansas.gov/NPILookup?Npi=1396434619","1396434619")</f>
        <v>1396434619</v>
      </c>
      <c r="E24447" s="1" t="s">
        <v>26892</v>
      </c>
      <c r="F24447" s="2"/>
      <c r="G24447" s="2"/>
      <c r="H24447" s="2"/>
    </row>
    <row r="24448" spans="1:8" x14ac:dyDescent="0.25">
      <c r="A24448" s="1"/>
      <c r="B24448" s="1" t="s">
        <v>7328</v>
      </c>
      <c r="C24448" s="1" t="s">
        <v>7329</v>
      </c>
      <c r="D24448" s="22" t="str">
        <f>HYPERLINK("https://rhld.insurance.arkansas.gov/NPILookup?Npi=1396460101","1396460101")</f>
        <v>1396460101</v>
      </c>
      <c r="E24448" s="1" t="s">
        <v>7722</v>
      </c>
      <c r="F24448" s="2"/>
      <c r="G24448" s="2"/>
      <c r="H24448" s="2"/>
    </row>
    <row r="24449" spans="1:8" x14ac:dyDescent="0.25">
      <c r="A24449" s="1"/>
      <c r="B24449" s="1" t="s">
        <v>7328</v>
      </c>
      <c r="C24449" s="1" t="s">
        <v>7329</v>
      </c>
      <c r="D24449" s="22" t="str">
        <f>HYPERLINK("https://rhld.insurance.arkansas.gov/NPILookup?Npi=1396464475","1396464475")</f>
        <v>1396464475</v>
      </c>
      <c r="E24449" s="1" t="s">
        <v>6245</v>
      </c>
      <c r="F24449" s="2"/>
      <c r="G24449" s="2"/>
      <c r="H24449" s="2"/>
    </row>
    <row r="24450" spans="1:8" x14ac:dyDescent="0.25">
      <c r="A24450" s="1"/>
      <c r="B24450" s="1" t="s">
        <v>7328</v>
      </c>
      <c r="C24450" s="1" t="s">
        <v>7329</v>
      </c>
      <c r="D24450" s="22" t="str">
        <f>HYPERLINK("https://rhld.insurance.arkansas.gov/NPILookup?Npi=1396479093","1396479093")</f>
        <v>1396479093</v>
      </c>
      <c r="E24450" s="1" t="s">
        <v>26893</v>
      </c>
      <c r="F24450" s="2"/>
      <c r="G24450" s="2"/>
      <c r="H24450" s="2"/>
    </row>
    <row r="24451" spans="1:8" x14ac:dyDescent="0.25">
      <c r="A24451" s="1"/>
      <c r="B24451" s="1" t="s">
        <v>7328</v>
      </c>
      <c r="C24451" s="1" t="s">
        <v>7329</v>
      </c>
      <c r="D24451" s="22" t="str">
        <f>HYPERLINK("https://rhld.insurance.arkansas.gov/NPILookup?Npi=1396490058","1396490058")</f>
        <v>1396490058</v>
      </c>
      <c r="E24451" s="1" t="s">
        <v>2014</v>
      </c>
      <c r="F24451" s="2"/>
      <c r="G24451" s="2"/>
      <c r="H24451" s="2"/>
    </row>
    <row r="24452" spans="1:8" x14ac:dyDescent="0.25">
      <c r="A24452" s="1"/>
      <c r="B24452" s="1" t="s">
        <v>7328</v>
      </c>
      <c r="C24452" s="1" t="s">
        <v>7329</v>
      </c>
      <c r="D24452" s="22" t="str">
        <f>HYPERLINK("https://rhld.insurance.arkansas.gov/NPILookup?Npi=1396499737","1396499737")</f>
        <v>1396499737</v>
      </c>
      <c r="E24452" s="1" t="s">
        <v>596</v>
      </c>
      <c r="F24452" s="2"/>
      <c r="G24452" s="2"/>
      <c r="H24452" s="2"/>
    </row>
    <row r="24453" spans="1:8" x14ac:dyDescent="0.25">
      <c r="A24453" s="1"/>
      <c r="B24453" s="1" t="s">
        <v>7328</v>
      </c>
      <c r="C24453" s="1" t="s">
        <v>7329</v>
      </c>
      <c r="D24453" s="22" t="str">
        <f>HYPERLINK("https://rhld.insurance.arkansas.gov/NPILookup?Npi=1396551412","1396551412")</f>
        <v>1396551412</v>
      </c>
      <c r="E24453" s="1" t="s">
        <v>32214</v>
      </c>
      <c r="F24453" s="2"/>
      <c r="G24453" s="2"/>
      <c r="H24453" s="2"/>
    </row>
    <row r="24454" spans="1:8" x14ac:dyDescent="0.25">
      <c r="A24454" s="1"/>
      <c r="B24454" s="1" t="s">
        <v>7328</v>
      </c>
      <c r="C24454" s="1" t="s">
        <v>7329</v>
      </c>
      <c r="D24454" s="22" t="str">
        <f>HYPERLINK("https://rhld.insurance.arkansas.gov/NPILookup?Npi=1396565206","1396565206")</f>
        <v>1396565206</v>
      </c>
      <c r="E24454" s="1" t="s">
        <v>26894</v>
      </c>
      <c r="F24454" s="2"/>
      <c r="G24454" s="2"/>
      <c r="H24454" s="2"/>
    </row>
    <row r="24455" spans="1:8" x14ac:dyDescent="0.25">
      <c r="A24455" s="1"/>
      <c r="B24455" s="1" t="s">
        <v>7328</v>
      </c>
      <c r="C24455" s="1" t="s">
        <v>7329</v>
      </c>
      <c r="D24455" s="22" t="str">
        <f>HYPERLINK("https://rhld.insurance.arkansas.gov/NPILookup?Npi=1396573119","1396573119")</f>
        <v>1396573119</v>
      </c>
      <c r="E24455" s="1" t="s">
        <v>32215</v>
      </c>
      <c r="F24455" s="2"/>
      <c r="G24455" s="2"/>
      <c r="H24455" s="2"/>
    </row>
    <row r="24456" spans="1:8" x14ac:dyDescent="0.25">
      <c r="A24456" s="1"/>
      <c r="B24456" s="1" t="s">
        <v>7328</v>
      </c>
      <c r="C24456" s="1" t="s">
        <v>7329</v>
      </c>
      <c r="D24456" s="22" t="str">
        <f>HYPERLINK("https://rhld.insurance.arkansas.gov/NPILookup?Npi=1396703252","1396703252")</f>
        <v>1396703252</v>
      </c>
      <c r="E24456" s="1" t="s">
        <v>26895</v>
      </c>
      <c r="F24456" s="2"/>
      <c r="G24456" s="2"/>
      <c r="H24456" s="2"/>
    </row>
    <row r="24457" spans="1:8" x14ac:dyDescent="0.25">
      <c r="A24457" s="1"/>
      <c r="B24457" s="1" t="s">
        <v>7328</v>
      </c>
      <c r="C24457" s="1" t="s">
        <v>7329</v>
      </c>
      <c r="D24457" s="22" t="str">
        <f>HYPERLINK("https://rhld.insurance.arkansas.gov/NPILookup?Npi=1396707808","1396707808")</f>
        <v>1396707808</v>
      </c>
      <c r="E24457" s="1" t="s">
        <v>17487</v>
      </c>
      <c r="F24457" s="2"/>
      <c r="G24457" s="2"/>
      <c r="H24457" s="2"/>
    </row>
    <row r="24458" spans="1:8" x14ac:dyDescent="0.25">
      <c r="A24458" s="1"/>
      <c r="B24458" s="1" t="s">
        <v>7328</v>
      </c>
      <c r="C24458" s="1" t="s">
        <v>7329</v>
      </c>
      <c r="D24458" s="22" t="str">
        <f>HYPERLINK("https://rhld.insurance.arkansas.gov/NPILookup?Npi=1396709150","1396709150")</f>
        <v>1396709150</v>
      </c>
      <c r="E24458" s="1" t="s">
        <v>2812</v>
      </c>
      <c r="F24458" s="2"/>
      <c r="G24458" s="2"/>
      <c r="H24458" s="2"/>
    </row>
    <row r="24459" spans="1:8" x14ac:dyDescent="0.25">
      <c r="A24459" s="1"/>
      <c r="B24459" s="1" t="s">
        <v>7328</v>
      </c>
      <c r="C24459" s="1" t="s">
        <v>7329</v>
      </c>
      <c r="D24459" s="22" t="str">
        <f>HYPERLINK("https://rhld.insurance.arkansas.gov/NPILookup?Npi=1396712287","1396712287")</f>
        <v>1396712287</v>
      </c>
      <c r="E24459" s="1" t="s">
        <v>2813</v>
      </c>
      <c r="F24459" s="2"/>
      <c r="G24459" s="2"/>
      <c r="H24459" s="2"/>
    </row>
    <row r="24460" spans="1:8" x14ac:dyDescent="0.25">
      <c r="A24460" s="1"/>
      <c r="B24460" s="1" t="s">
        <v>7328</v>
      </c>
      <c r="C24460" s="1" t="s">
        <v>7329</v>
      </c>
      <c r="D24460" s="22" t="str">
        <f>HYPERLINK("https://rhld.insurance.arkansas.gov/NPILookup?Npi=1396714424","1396714424")</f>
        <v>1396714424</v>
      </c>
      <c r="E24460" s="1" t="s">
        <v>26896</v>
      </c>
      <c r="F24460" s="2"/>
      <c r="G24460" s="2"/>
      <c r="H24460" s="2"/>
    </row>
    <row r="24461" spans="1:8" x14ac:dyDescent="0.25">
      <c r="A24461" s="1"/>
      <c r="B24461" s="1" t="s">
        <v>7328</v>
      </c>
      <c r="C24461" s="1" t="s">
        <v>7329</v>
      </c>
      <c r="D24461" s="22" t="str">
        <f>HYPERLINK("https://rhld.insurance.arkansas.gov/NPILookup?Npi=1396731550","1396731550")</f>
        <v>1396731550</v>
      </c>
      <c r="E24461" s="1" t="s">
        <v>26897</v>
      </c>
      <c r="F24461" s="2"/>
      <c r="G24461" s="2"/>
      <c r="H24461" s="2"/>
    </row>
    <row r="24462" spans="1:8" x14ac:dyDescent="0.25">
      <c r="A24462" s="1"/>
      <c r="B24462" s="1" t="s">
        <v>7328</v>
      </c>
      <c r="C24462" s="1" t="s">
        <v>7329</v>
      </c>
      <c r="D24462" s="22" t="str">
        <f>HYPERLINK("https://rhld.insurance.arkansas.gov/NPILookup?Npi=1396747648","1396747648")</f>
        <v>1396747648</v>
      </c>
      <c r="E24462" s="1" t="s">
        <v>105</v>
      </c>
      <c r="F24462" s="2"/>
      <c r="G24462" s="2"/>
      <c r="H24462" s="2"/>
    </row>
    <row r="24463" spans="1:8" x14ac:dyDescent="0.25">
      <c r="A24463" s="1"/>
      <c r="B24463" s="1" t="s">
        <v>7328</v>
      </c>
      <c r="C24463" s="1" t="s">
        <v>7329</v>
      </c>
      <c r="D24463" s="22" t="str">
        <f>HYPERLINK("https://rhld.insurance.arkansas.gov/NPILookup?Npi=1396770046","1396770046")</f>
        <v>1396770046</v>
      </c>
      <c r="E24463" s="1" t="s">
        <v>26898</v>
      </c>
      <c r="F24463" s="2"/>
      <c r="G24463" s="2"/>
      <c r="H24463" s="2"/>
    </row>
    <row r="24464" spans="1:8" x14ac:dyDescent="0.25">
      <c r="A24464" s="1"/>
      <c r="B24464" s="1" t="s">
        <v>7328</v>
      </c>
      <c r="C24464" s="1" t="s">
        <v>7329</v>
      </c>
      <c r="D24464" s="22" t="str">
        <f>HYPERLINK("https://rhld.insurance.arkansas.gov/NPILookup?Npi=1396770566","1396770566")</f>
        <v>1396770566</v>
      </c>
      <c r="E24464" s="1" t="s">
        <v>13063</v>
      </c>
      <c r="F24464" s="2"/>
      <c r="G24464" s="2"/>
      <c r="H24464" s="2"/>
    </row>
    <row r="24465" spans="1:8" x14ac:dyDescent="0.25">
      <c r="A24465" s="1"/>
      <c r="B24465" s="1" t="s">
        <v>7328</v>
      </c>
      <c r="C24465" s="1" t="s">
        <v>7329</v>
      </c>
      <c r="D24465" s="22" t="str">
        <f>HYPERLINK("https://rhld.insurance.arkansas.gov/NPILookup?Npi=1396773735","1396773735")</f>
        <v>1396773735</v>
      </c>
      <c r="E24465" s="1" t="s">
        <v>13064</v>
      </c>
      <c r="F24465" s="2"/>
      <c r="G24465" s="2"/>
      <c r="H24465" s="2"/>
    </row>
    <row r="24466" spans="1:8" x14ac:dyDescent="0.25">
      <c r="A24466" s="1"/>
      <c r="B24466" s="1" t="s">
        <v>7328</v>
      </c>
      <c r="C24466" s="1" t="s">
        <v>7329</v>
      </c>
      <c r="D24466" s="22" t="str">
        <f>HYPERLINK("https://rhld.insurance.arkansas.gov/NPILookup?Npi=1396776761","1396776761")</f>
        <v>1396776761</v>
      </c>
      <c r="E24466" s="1" t="s">
        <v>17491</v>
      </c>
      <c r="F24466" s="2"/>
      <c r="G24466" s="2"/>
      <c r="H24466" s="2"/>
    </row>
    <row r="24467" spans="1:8" x14ac:dyDescent="0.25">
      <c r="A24467" s="1"/>
      <c r="B24467" s="1" t="s">
        <v>7328</v>
      </c>
      <c r="C24467" s="1" t="s">
        <v>7329</v>
      </c>
      <c r="D24467" s="22" t="str">
        <f>HYPERLINK("https://rhld.insurance.arkansas.gov/NPILookup?Npi=1396790721","1396790721")</f>
        <v>1396790721</v>
      </c>
      <c r="E24467" s="1" t="s">
        <v>23223</v>
      </c>
      <c r="F24467" s="2"/>
      <c r="G24467" s="2"/>
      <c r="H24467" s="2"/>
    </row>
    <row r="24468" spans="1:8" x14ac:dyDescent="0.25">
      <c r="A24468" s="1"/>
      <c r="B24468" s="1" t="s">
        <v>7328</v>
      </c>
      <c r="C24468" s="1" t="s">
        <v>7329</v>
      </c>
      <c r="D24468" s="22" t="str">
        <f>HYPERLINK("https://rhld.insurance.arkansas.gov/NPILookup?Npi=1396793741","1396793741")</f>
        <v>1396793741</v>
      </c>
      <c r="E24468" s="1" t="s">
        <v>26899</v>
      </c>
      <c r="F24468" s="2"/>
      <c r="G24468" s="2"/>
      <c r="H24468" s="2"/>
    </row>
    <row r="24469" spans="1:8" x14ac:dyDescent="0.25">
      <c r="A24469" s="1"/>
      <c r="B24469" s="1" t="s">
        <v>7328</v>
      </c>
      <c r="C24469" s="1" t="s">
        <v>7329</v>
      </c>
      <c r="D24469" s="22" t="str">
        <f>HYPERLINK("https://rhld.insurance.arkansas.gov/NPILookup?Npi=1396799342","1396799342")</f>
        <v>1396799342</v>
      </c>
      <c r="E24469" s="1" t="s">
        <v>26900</v>
      </c>
      <c r="F24469" s="2"/>
      <c r="G24469" s="2"/>
      <c r="H24469" s="2"/>
    </row>
    <row r="24470" spans="1:8" x14ac:dyDescent="0.25">
      <c r="A24470" s="1"/>
      <c r="B24470" s="1" t="s">
        <v>7328</v>
      </c>
      <c r="C24470" s="1" t="s">
        <v>7329</v>
      </c>
      <c r="D24470" s="22" t="str">
        <f>HYPERLINK("https://rhld.insurance.arkansas.gov/NPILookup?Npi=1396815809","1396815809")</f>
        <v>1396815809</v>
      </c>
      <c r="E24470" s="1" t="s">
        <v>18440</v>
      </c>
      <c r="F24470" s="2"/>
      <c r="G24470" s="2"/>
      <c r="H24470" s="2"/>
    </row>
    <row r="24471" spans="1:8" x14ac:dyDescent="0.25">
      <c r="A24471" s="1"/>
      <c r="B24471" s="1" t="s">
        <v>7328</v>
      </c>
      <c r="C24471" s="1" t="s">
        <v>7329</v>
      </c>
      <c r="D24471" s="22" t="str">
        <f>HYPERLINK("https://rhld.insurance.arkansas.gov/NPILookup?Npi=1396824264","1396824264")</f>
        <v>1396824264</v>
      </c>
      <c r="E24471" s="1" t="s">
        <v>26901</v>
      </c>
      <c r="F24471" s="2"/>
      <c r="G24471" s="2"/>
      <c r="H24471" s="2"/>
    </row>
    <row r="24472" spans="1:8" x14ac:dyDescent="0.25">
      <c r="A24472" s="1"/>
      <c r="B24472" s="1" t="s">
        <v>7328</v>
      </c>
      <c r="C24472" s="1" t="s">
        <v>7329</v>
      </c>
      <c r="D24472" s="22" t="str">
        <f>HYPERLINK("https://rhld.insurance.arkansas.gov/NPILookup?Npi=1396835880","1396835880")</f>
        <v>1396835880</v>
      </c>
      <c r="E24472" s="1" t="s">
        <v>1686</v>
      </c>
      <c r="F24472" s="2"/>
      <c r="G24472" s="2"/>
      <c r="H24472" s="2"/>
    </row>
    <row r="24473" spans="1:8" x14ac:dyDescent="0.25">
      <c r="A24473" s="1"/>
      <c r="B24473" s="1" t="s">
        <v>7328</v>
      </c>
      <c r="C24473" s="1" t="s">
        <v>7329</v>
      </c>
      <c r="D24473" s="22" t="str">
        <f>HYPERLINK("https://rhld.insurance.arkansas.gov/NPILookup?Npi=1396836706","1396836706")</f>
        <v>1396836706</v>
      </c>
      <c r="E24473" s="1" t="s">
        <v>17494</v>
      </c>
      <c r="F24473" s="2"/>
      <c r="G24473" s="2"/>
      <c r="H24473" s="2"/>
    </row>
    <row r="24474" spans="1:8" x14ac:dyDescent="0.25">
      <c r="A24474" s="1"/>
      <c r="B24474" s="1" t="s">
        <v>7328</v>
      </c>
      <c r="C24474" s="1" t="s">
        <v>7329</v>
      </c>
      <c r="D24474" s="22" t="str">
        <f>HYPERLINK("https://rhld.insurance.arkansas.gov/NPILookup?Npi=1396842605","1396842605")</f>
        <v>1396842605</v>
      </c>
      <c r="E24474" s="1" t="s">
        <v>2814</v>
      </c>
      <c r="F24474" s="2"/>
      <c r="G24474" s="2"/>
      <c r="H24474" s="2"/>
    </row>
    <row r="24475" spans="1:8" x14ac:dyDescent="0.25">
      <c r="A24475" s="1"/>
      <c r="B24475" s="1" t="s">
        <v>7328</v>
      </c>
      <c r="C24475" s="1" t="s">
        <v>7329</v>
      </c>
      <c r="D24475" s="22" t="str">
        <f>HYPERLINK("https://rhld.insurance.arkansas.gov/NPILookup?Npi=1396843918","1396843918")</f>
        <v>1396843918</v>
      </c>
      <c r="E24475" s="1" t="s">
        <v>26902</v>
      </c>
      <c r="F24475" s="2"/>
      <c r="G24475" s="2"/>
      <c r="H24475" s="2"/>
    </row>
    <row r="24476" spans="1:8" x14ac:dyDescent="0.25">
      <c r="A24476" s="1"/>
      <c r="B24476" s="1" t="s">
        <v>7328</v>
      </c>
      <c r="C24476" s="1" t="s">
        <v>7329</v>
      </c>
      <c r="D24476" s="22" t="str">
        <f>HYPERLINK("https://rhld.insurance.arkansas.gov/NPILookup?Npi=1396854493","1396854493")</f>
        <v>1396854493</v>
      </c>
      <c r="E24476" s="1" t="s">
        <v>2815</v>
      </c>
      <c r="F24476" s="2"/>
      <c r="G24476" s="2"/>
      <c r="H24476" s="2"/>
    </row>
    <row r="24477" spans="1:8" x14ac:dyDescent="0.25">
      <c r="A24477" s="1"/>
      <c r="B24477" s="1" t="s">
        <v>7328</v>
      </c>
      <c r="C24477" s="1" t="s">
        <v>7329</v>
      </c>
      <c r="D24477" s="22" t="str">
        <f>HYPERLINK("https://rhld.insurance.arkansas.gov/NPILookup?Npi=1396881876","1396881876")</f>
        <v>1396881876</v>
      </c>
      <c r="E24477" s="1" t="s">
        <v>13065</v>
      </c>
      <c r="F24477" s="2"/>
      <c r="G24477" s="2"/>
      <c r="H24477" s="2"/>
    </row>
    <row r="24478" spans="1:8" x14ac:dyDescent="0.25">
      <c r="A24478" s="1"/>
      <c r="B24478" s="1" t="s">
        <v>7328</v>
      </c>
      <c r="C24478" s="1" t="s">
        <v>7329</v>
      </c>
      <c r="D24478" s="22" t="str">
        <f>HYPERLINK("https://rhld.insurance.arkansas.gov/NPILookup?Npi=1396907259","1396907259")</f>
        <v>1396907259</v>
      </c>
      <c r="E24478" s="1" t="s">
        <v>13066</v>
      </c>
      <c r="F24478" s="2"/>
      <c r="G24478" s="2"/>
      <c r="H24478" s="2"/>
    </row>
    <row r="24479" spans="1:8" x14ac:dyDescent="0.25">
      <c r="A24479" s="1"/>
      <c r="B24479" s="1" t="s">
        <v>7328</v>
      </c>
      <c r="C24479" s="1" t="s">
        <v>7329</v>
      </c>
      <c r="D24479" s="22" t="str">
        <f>HYPERLINK("https://rhld.insurance.arkansas.gov/NPILookup?Npi=1396935466","1396935466")</f>
        <v>1396935466</v>
      </c>
      <c r="E24479" s="1" t="s">
        <v>106</v>
      </c>
      <c r="F24479" s="2"/>
      <c r="G24479" s="2"/>
      <c r="H24479" s="2"/>
    </row>
    <row r="24480" spans="1:8" x14ac:dyDescent="0.25">
      <c r="A24480" s="1"/>
      <c r="B24480" s="1" t="s">
        <v>7328</v>
      </c>
      <c r="C24480" s="1" t="s">
        <v>7329</v>
      </c>
      <c r="D24480" s="22" t="str">
        <f>HYPERLINK("https://rhld.insurance.arkansas.gov/NPILookup?Npi=1396941522","1396941522")</f>
        <v>1396941522</v>
      </c>
      <c r="E24480" s="1" t="s">
        <v>26903</v>
      </c>
      <c r="F24480" s="2"/>
      <c r="G24480" s="2"/>
      <c r="H24480" s="2"/>
    </row>
    <row r="24481" spans="1:8" x14ac:dyDescent="0.25">
      <c r="A24481" s="1"/>
      <c r="B24481" s="1" t="s">
        <v>7328</v>
      </c>
      <c r="C24481" s="1" t="s">
        <v>7329</v>
      </c>
      <c r="D24481" s="22" t="str">
        <f>HYPERLINK("https://rhld.insurance.arkansas.gov/NPILookup?Npi=1396989117","1396989117")</f>
        <v>1396989117</v>
      </c>
      <c r="E24481" s="1" t="s">
        <v>26904</v>
      </c>
      <c r="F24481" s="2"/>
      <c r="G24481" s="2"/>
      <c r="H24481" s="2"/>
    </row>
    <row r="24482" spans="1:8" x14ac:dyDescent="0.25">
      <c r="A24482" s="1"/>
      <c r="B24482" s="1" t="s">
        <v>7328</v>
      </c>
      <c r="C24482" s="1" t="s">
        <v>7329</v>
      </c>
      <c r="D24482" s="22" t="str">
        <f>HYPERLINK("https://rhld.insurance.arkansas.gov/NPILookup?Npi=1396998977","1396998977")</f>
        <v>1396998977</v>
      </c>
      <c r="E24482" s="1" t="s">
        <v>1774</v>
      </c>
      <c r="F24482" s="2"/>
      <c r="G24482" s="2"/>
      <c r="H24482" s="2"/>
    </row>
    <row r="24483" spans="1:8" x14ac:dyDescent="0.25">
      <c r="A24483" s="1"/>
      <c r="B24483" s="1" t="s">
        <v>7328</v>
      </c>
      <c r="C24483" s="1" t="s">
        <v>7329</v>
      </c>
      <c r="D24483" s="22" t="str">
        <f>HYPERLINK("https://rhld.insurance.arkansas.gov/NPILookup?Npi=1407010952","1407010952")</f>
        <v>1407010952</v>
      </c>
      <c r="E24483" s="1" t="s">
        <v>26905</v>
      </c>
      <c r="F24483" s="2"/>
      <c r="G24483" s="2"/>
      <c r="H24483" s="2"/>
    </row>
    <row r="24484" spans="1:8" x14ac:dyDescent="0.25">
      <c r="A24484" s="1"/>
      <c r="B24484" s="1" t="s">
        <v>7328</v>
      </c>
      <c r="C24484" s="1" t="s">
        <v>7329</v>
      </c>
      <c r="D24484" s="22" t="str">
        <f>HYPERLINK("https://rhld.insurance.arkansas.gov/NPILookup?Npi=1407022734","1407022734")</f>
        <v>1407022734</v>
      </c>
      <c r="E24484" s="1" t="s">
        <v>26906</v>
      </c>
      <c r="F24484" s="2"/>
      <c r="G24484" s="2"/>
      <c r="H24484" s="2"/>
    </row>
    <row r="24485" spans="1:8" x14ac:dyDescent="0.25">
      <c r="A24485" s="1"/>
      <c r="B24485" s="1" t="s">
        <v>7328</v>
      </c>
      <c r="C24485" s="1" t="s">
        <v>7329</v>
      </c>
      <c r="D24485" s="22" t="str">
        <f>HYPERLINK("https://rhld.insurance.arkansas.gov/NPILookup?Npi=1407043987","1407043987")</f>
        <v>1407043987</v>
      </c>
      <c r="E24485" s="1" t="s">
        <v>7723</v>
      </c>
      <c r="F24485" s="2"/>
      <c r="G24485" s="2"/>
      <c r="H24485" s="2"/>
    </row>
    <row r="24486" spans="1:8" x14ac:dyDescent="0.25">
      <c r="A24486" s="1"/>
      <c r="B24486" s="1" t="s">
        <v>7328</v>
      </c>
      <c r="C24486" s="1" t="s">
        <v>7329</v>
      </c>
      <c r="D24486" s="22" t="str">
        <f>HYPERLINK("https://rhld.insurance.arkansas.gov/NPILookup?Npi=1407046600","1407046600")</f>
        <v>1407046600</v>
      </c>
      <c r="E24486" s="1" t="s">
        <v>2816</v>
      </c>
      <c r="F24486" s="2"/>
      <c r="G24486" s="2"/>
      <c r="H24486" s="2"/>
    </row>
    <row r="24487" spans="1:8" x14ac:dyDescent="0.25">
      <c r="A24487" s="1"/>
      <c r="B24487" s="1" t="s">
        <v>7328</v>
      </c>
      <c r="C24487" s="1" t="s">
        <v>7329</v>
      </c>
      <c r="D24487" s="22" t="str">
        <f>HYPERLINK("https://rhld.insurance.arkansas.gov/NPILookup?Npi=1407070162","1407070162")</f>
        <v>1407070162</v>
      </c>
      <c r="E24487" s="1" t="s">
        <v>13067</v>
      </c>
      <c r="F24487" s="2"/>
      <c r="G24487" s="2"/>
      <c r="H24487" s="2"/>
    </row>
    <row r="24488" spans="1:8" x14ac:dyDescent="0.25">
      <c r="A24488" s="1"/>
      <c r="B24488" s="1" t="s">
        <v>7328</v>
      </c>
      <c r="C24488" s="1" t="s">
        <v>7329</v>
      </c>
      <c r="D24488" s="22" t="str">
        <f>HYPERLINK("https://rhld.insurance.arkansas.gov/NPILookup?Npi=1407081862","1407081862")</f>
        <v>1407081862</v>
      </c>
      <c r="E24488" s="1" t="s">
        <v>26907</v>
      </c>
      <c r="F24488" s="2"/>
      <c r="G24488" s="2"/>
      <c r="H24488" s="2"/>
    </row>
    <row r="24489" spans="1:8" x14ac:dyDescent="0.25">
      <c r="A24489" s="1"/>
      <c r="B24489" s="1" t="s">
        <v>7328</v>
      </c>
      <c r="C24489" s="1" t="s">
        <v>7329</v>
      </c>
      <c r="D24489" s="22" t="str">
        <f>HYPERLINK("https://rhld.insurance.arkansas.gov/NPILookup?Npi=1407086200","1407086200")</f>
        <v>1407086200</v>
      </c>
      <c r="E24489" s="1" t="s">
        <v>9754</v>
      </c>
      <c r="F24489" s="2"/>
      <c r="G24489" s="2"/>
      <c r="H24489" s="2"/>
    </row>
    <row r="24490" spans="1:8" x14ac:dyDescent="0.25">
      <c r="A24490" s="1"/>
      <c r="B24490" s="1" t="s">
        <v>7328</v>
      </c>
      <c r="C24490" s="1" t="s">
        <v>7329</v>
      </c>
      <c r="D24490" s="22" t="str">
        <f>HYPERLINK("https://rhld.insurance.arkansas.gov/NPILookup?Npi=1407089436","1407089436")</f>
        <v>1407089436</v>
      </c>
      <c r="E24490" s="1" t="s">
        <v>1028</v>
      </c>
      <c r="F24490" s="2"/>
      <c r="G24490" s="2"/>
      <c r="H24490" s="2"/>
    </row>
    <row r="24491" spans="1:8" x14ac:dyDescent="0.25">
      <c r="A24491" s="1"/>
      <c r="B24491" s="1" t="s">
        <v>7328</v>
      </c>
      <c r="C24491" s="1" t="s">
        <v>7329</v>
      </c>
      <c r="D24491" s="22" t="str">
        <f>HYPERLINK("https://rhld.insurance.arkansas.gov/NPILookup?Npi=1407090889","1407090889")</f>
        <v>1407090889</v>
      </c>
      <c r="E24491" s="1" t="s">
        <v>7724</v>
      </c>
      <c r="F24491" s="2"/>
      <c r="G24491" s="2"/>
      <c r="H24491" s="2"/>
    </row>
    <row r="24492" spans="1:8" x14ac:dyDescent="0.25">
      <c r="A24492" s="1"/>
      <c r="B24492" s="1" t="s">
        <v>7328</v>
      </c>
      <c r="C24492" s="1" t="s">
        <v>7329</v>
      </c>
      <c r="D24492" s="22" t="str">
        <f>HYPERLINK("https://rhld.insurance.arkansas.gov/NPILookup?Npi=1407104052","1407104052")</f>
        <v>1407104052</v>
      </c>
      <c r="E24492" s="1" t="s">
        <v>13068</v>
      </c>
      <c r="F24492" s="2"/>
      <c r="G24492" s="2"/>
      <c r="H24492" s="2"/>
    </row>
    <row r="24493" spans="1:8" x14ac:dyDescent="0.25">
      <c r="A24493" s="1"/>
      <c r="B24493" s="1" t="s">
        <v>7328</v>
      </c>
      <c r="C24493" s="1" t="s">
        <v>7329</v>
      </c>
      <c r="D24493" s="22" t="str">
        <f>HYPERLINK("https://rhld.insurance.arkansas.gov/NPILookup?Npi=1407114978","1407114978")</f>
        <v>1407114978</v>
      </c>
      <c r="E24493" s="1" t="s">
        <v>26908</v>
      </c>
      <c r="F24493" s="2"/>
      <c r="G24493" s="2"/>
      <c r="H24493" s="2"/>
    </row>
    <row r="24494" spans="1:8" x14ac:dyDescent="0.25">
      <c r="A24494" s="1"/>
      <c r="B24494" s="1" t="s">
        <v>7328</v>
      </c>
      <c r="C24494" s="1" t="s">
        <v>7329</v>
      </c>
      <c r="D24494" s="22" t="str">
        <f>HYPERLINK("https://rhld.insurance.arkansas.gov/NPILookup?Npi=1407115579","1407115579")</f>
        <v>1407115579</v>
      </c>
      <c r="E24494" s="1" t="s">
        <v>13069</v>
      </c>
      <c r="F24494" s="2"/>
      <c r="G24494" s="2"/>
      <c r="H24494" s="2"/>
    </row>
    <row r="24495" spans="1:8" x14ac:dyDescent="0.25">
      <c r="A24495" s="1"/>
      <c r="B24495" s="1" t="s">
        <v>7328</v>
      </c>
      <c r="C24495" s="1" t="s">
        <v>7329</v>
      </c>
      <c r="D24495" s="22" t="str">
        <f>HYPERLINK("https://rhld.insurance.arkansas.gov/NPILookup?Npi=1407121544","1407121544")</f>
        <v>1407121544</v>
      </c>
      <c r="E24495" s="1" t="s">
        <v>32216</v>
      </c>
      <c r="F24495" s="2"/>
      <c r="G24495" s="2"/>
      <c r="H24495" s="2"/>
    </row>
    <row r="24496" spans="1:8" x14ac:dyDescent="0.25">
      <c r="A24496" s="1"/>
      <c r="B24496" s="1" t="s">
        <v>7328</v>
      </c>
      <c r="C24496" s="1" t="s">
        <v>7329</v>
      </c>
      <c r="D24496" s="22" t="str">
        <f>HYPERLINK("https://rhld.insurance.arkansas.gov/NPILookup?Npi=1407122179","1407122179")</f>
        <v>1407122179</v>
      </c>
      <c r="E24496" s="1" t="s">
        <v>26909</v>
      </c>
      <c r="F24496" s="2"/>
      <c r="G24496" s="2"/>
      <c r="H24496" s="2"/>
    </row>
    <row r="24497" spans="1:8" x14ac:dyDescent="0.25">
      <c r="A24497" s="1"/>
      <c r="B24497" s="1" t="s">
        <v>7328</v>
      </c>
      <c r="C24497" s="1" t="s">
        <v>7329</v>
      </c>
      <c r="D24497" s="22" t="str">
        <f>HYPERLINK("https://rhld.insurance.arkansas.gov/NPILookup?Npi=1407140569","1407140569")</f>
        <v>1407140569</v>
      </c>
      <c r="E24497" s="1" t="s">
        <v>26910</v>
      </c>
      <c r="F24497" s="2"/>
      <c r="G24497" s="2"/>
      <c r="H24497" s="2"/>
    </row>
    <row r="24498" spans="1:8" x14ac:dyDescent="0.25">
      <c r="A24498" s="1"/>
      <c r="B24498" s="1" t="s">
        <v>7328</v>
      </c>
      <c r="C24498" s="1" t="s">
        <v>7329</v>
      </c>
      <c r="D24498" s="22" t="str">
        <f>HYPERLINK("https://rhld.insurance.arkansas.gov/NPILookup?Npi=1407143662","1407143662")</f>
        <v>1407143662</v>
      </c>
      <c r="E24498" s="1" t="s">
        <v>26911</v>
      </c>
      <c r="F24498" s="2"/>
      <c r="G24498" s="2"/>
      <c r="H24498" s="2"/>
    </row>
    <row r="24499" spans="1:8" x14ac:dyDescent="0.25">
      <c r="A24499" s="1"/>
      <c r="B24499" s="1" t="s">
        <v>7328</v>
      </c>
      <c r="C24499" s="1" t="s">
        <v>7329</v>
      </c>
      <c r="D24499" s="22" t="str">
        <f>HYPERLINK("https://rhld.insurance.arkansas.gov/NPILookup?Npi=1407155666","1407155666")</f>
        <v>1407155666</v>
      </c>
      <c r="E24499" s="1" t="s">
        <v>26912</v>
      </c>
      <c r="F24499" s="2"/>
      <c r="G24499" s="2"/>
      <c r="H24499" s="2"/>
    </row>
    <row r="24500" spans="1:8" x14ac:dyDescent="0.25">
      <c r="A24500" s="1"/>
      <c r="B24500" s="1" t="s">
        <v>7328</v>
      </c>
      <c r="C24500" s="1" t="s">
        <v>7329</v>
      </c>
      <c r="D24500" s="22" t="str">
        <f>HYPERLINK("https://rhld.insurance.arkansas.gov/NPILookup?Npi=1407169162","1407169162")</f>
        <v>1407169162</v>
      </c>
      <c r="E24500" s="1" t="s">
        <v>26913</v>
      </c>
      <c r="F24500" s="2"/>
      <c r="G24500" s="2"/>
      <c r="H24500" s="2"/>
    </row>
    <row r="24501" spans="1:8" x14ac:dyDescent="0.25">
      <c r="A24501" s="1"/>
      <c r="B24501" s="1" t="s">
        <v>7328</v>
      </c>
      <c r="C24501" s="1" t="s">
        <v>7329</v>
      </c>
      <c r="D24501" s="22" t="str">
        <f>HYPERLINK("https://rhld.insurance.arkansas.gov/NPILookup?Npi=1407170889","1407170889")</f>
        <v>1407170889</v>
      </c>
      <c r="E24501" s="1" t="s">
        <v>167</v>
      </c>
      <c r="F24501" s="2"/>
      <c r="G24501" s="2"/>
      <c r="H24501" s="2"/>
    </row>
    <row r="24502" spans="1:8" x14ac:dyDescent="0.25">
      <c r="A24502" s="1"/>
      <c r="B24502" s="1" t="s">
        <v>7328</v>
      </c>
      <c r="C24502" s="1" t="s">
        <v>7329</v>
      </c>
      <c r="D24502" s="22" t="str">
        <f>HYPERLINK("https://rhld.insurance.arkansas.gov/NPILookup?Npi=1407195324","1407195324")</f>
        <v>1407195324</v>
      </c>
      <c r="E24502" s="1" t="s">
        <v>32217</v>
      </c>
      <c r="F24502" s="2"/>
      <c r="G24502" s="2"/>
      <c r="H24502" s="2"/>
    </row>
    <row r="24503" spans="1:8" x14ac:dyDescent="0.25">
      <c r="A24503" s="1"/>
      <c r="B24503" s="1" t="s">
        <v>7328</v>
      </c>
      <c r="C24503" s="1" t="s">
        <v>7329</v>
      </c>
      <c r="D24503" s="22" t="str">
        <f>HYPERLINK("https://rhld.insurance.arkansas.gov/NPILookup?Npi=1407197684","1407197684")</f>
        <v>1407197684</v>
      </c>
      <c r="E24503" s="1" t="s">
        <v>17498</v>
      </c>
      <c r="F24503" s="2"/>
      <c r="G24503" s="2"/>
      <c r="H24503" s="2"/>
    </row>
    <row r="24504" spans="1:8" x14ac:dyDescent="0.25">
      <c r="A24504" s="1"/>
      <c r="B24504" s="1" t="s">
        <v>7328</v>
      </c>
      <c r="C24504" s="1" t="s">
        <v>7329</v>
      </c>
      <c r="D24504" s="22" t="str">
        <f>HYPERLINK("https://rhld.insurance.arkansas.gov/NPILookup?Npi=1407200611","1407200611")</f>
        <v>1407200611</v>
      </c>
      <c r="E24504" s="1" t="s">
        <v>26914</v>
      </c>
      <c r="F24504" s="2"/>
      <c r="G24504" s="2"/>
      <c r="H24504" s="2"/>
    </row>
    <row r="24505" spans="1:8" x14ac:dyDescent="0.25">
      <c r="A24505" s="1"/>
      <c r="B24505" s="1" t="s">
        <v>7328</v>
      </c>
      <c r="C24505" s="1" t="s">
        <v>7329</v>
      </c>
      <c r="D24505" s="22" t="str">
        <f>HYPERLINK("https://rhld.insurance.arkansas.gov/NPILookup?Npi=1407203425","1407203425")</f>
        <v>1407203425</v>
      </c>
      <c r="E24505" s="1" t="s">
        <v>26915</v>
      </c>
      <c r="F24505" s="2"/>
      <c r="G24505" s="2"/>
      <c r="H24505" s="2"/>
    </row>
    <row r="24506" spans="1:8" x14ac:dyDescent="0.25">
      <c r="A24506" s="1"/>
      <c r="B24506" s="1" t="s">
        <v>7328</v>
      </c>
      <c r="C24506" s="1" t="s">
        <v>7329</v>
      </c>
      <c r="D24506" s="22" t="str">
        <f>HYPERLINK("https://rhld.insurance.arkansas.gov/NPILookup?Npi=1407223605","1407223605")</f>
        <v>1407223605</v>
      </c>
      <c r="E24506" s="1" t="s">
        <v>7725</v>
      </c>
      <c r="F24506" s="2"/>
      <c r="G24506" s="2"/>
      <c r="H24506" s="2"/>
    </row>
    <row r="24507" spans="1:8" x14ac:dyDescent="0.25">
      <c r="A24507" s="1"/>
      <c r="B24507" s="1" t="s">
        <v>7328</v>
      </c>
      <c r="C24507" s="1" t="s">
        <v>7329</v>
      </c>
      <c r="D24507" s="22" t="str">
        <f>HYPERLINK("https://rhld.insurance.arkansas.gov/NPILookup?Npi=1407239395","1407239395")</f>
        <v>1407239395</v>
      </c>
      <c r="E24507" s="1" t="s">
        <v>7726</v>
      </c>
      <c r="F24507" s="2"/>
      <c r="G24507" s="2"/>
      <c r="H24507" s="2"/>
    </row>
    <row r="24508" spans="1:8" x14ac:dyDescent="0.25">
      <c r="A24508" s="1"/>
      <c r="B24508" s="1" t="s">
        <v>7328</v>
      </c>
      <c r="C24508" s="1" t="s">
        <v>7329</v>
      </c>
      <c r="D24508" s="22" t="str">
        <f>HYPERLINK("https://rhld.insurance.arkansas.gov/NPILookup?Npi=1407241045","1407241045")</f>
        <v>1407241045</v>
      </c>
      <c r="E24508" s="1" t="s">
        <v>2817</v>
      </c>
      <c r="F24508" s="2"/>
      <c r="G24508" s="2"/>
      <c r="H24508" s="2"/>
    </row>
    <row r="24509" spans="1:8" x14ac:dyDescent="0.25">
      <c r="A24509" s="1"/>
      <c r="B24509" s="1" t="s">
        <v>7328</v>
      </c>
      <c r="C24509" s="1" t="s">
        <v>7329</v>
      </c>
      <c r="D24509" s="22" t="str">
        <f>HYPERLINK("https://rhld.insurance.arkansas.gov/NPILookup?Npi=1407242498","1407242498")</f>
        <v>1407242498</v>
      </c>
      <c r="E24509" s="1" t="s">
        <v>7727</v>
      </c>
      <c r="F24509" s="2"/>
      <c r="G24509" s="2"/>
      <c r="H24509" s="2"/>
    </row>
    <row r="24510" spans="1:8" x14ac:dyDescent="0.25">
      <c r="A24510" s="1"/>
      <c r="B24510" s="1" t="s">
        <v>7328</v>
      </c>
      <c r="C24510" s="1" t="s">
        <v>7329</v>
      </c>
      <c r="D24510" s="22" t="str">
        <f>HYPERLINK("https://rhld.insurance.arkansas.gov/NPILookup?Npi=1407247315","1407247315")</f>
        <v>1407247315</v>
      </c>
      <c r="E24510" s="1" t="s">
        <v>7728</v>
      </c>
      <c r="F24510" s="2"/>
      <c r="G24510" s="2"/>
      <c r="H24510" s="2"/>
    </row>
    <row r="24511" spans="1:8" x14ac:dyDescent="0.25">
      <c r="A24511" s="1"/>
      <c r="B24511" s="1" t="s">
        <v>7328</v>
      </c>
      <c r="C24511" s="1" t="s">
        <v>7329</v>
      </c>
      <c r="D24511" s="22" t="str">
        <f>HYPERLINK("https://rhld.insurance.arkansas.gov/NPILookup?Npi=1407249311","1407249311")</f>
        <v>1407249311</v>
      </c>
      <c r="E24511" s="1" t="s">
        <v>32218</v>
      </c>
      <c r="F24511" s="2"/>
      <c r="G24511" s="2"/>
      <c r="H24511" s="2"/>
    </row>
    <row r="24512" spans="1:8" x14ac:dyDescent="0.25">
      <c r="A24512" s="1"/>
      <c r="B24512" s="1" t="s">
        <v>7328</v>
      </c>
      <c r="C24512" s="1" t="s">
        <v>7329</v>
      </c>
      <c r="D24512" s="22" t="str">
        <f>HYPERLINK("https://rhld.insurance.arkansas.gov/NPILookup?Npi=1407251267","1407251267")</f>
        <v>1407251267</v>
      </c>
      <c r="E24512" s="1" t="s">
        <v>26916</v>
      </c>
      <c r="F24512" s="2"/>
      <c r="G24512" s="2"/>
      <c r="H24512" s="2"/>
    </row>
    <row r="24513" spans="1:8" x14ac:dyDescent="0.25">
      <c r="A24513" s="1"/>
      <c r="B24513" s="1" t="s">
        <v>7328</v>
      </c>
      <c r="C24513" s="1" t="s">
        <v>7329</v>
      </c>
      <c r="D24513" s="22" t="str">
        <f>HYPERLINK("https://rhld.insurance.arkansas.gov/NPILookup?Npi=1407260862","1407260862")</f>
        <v>1407260862</v>
      </c>
      <c r="E24513" s="1" t="s">
        <v>13070</v>
      </c>
      <c r="F24513" s="2"/>
      <c r="G24513" s="2"/>
      <c r="H24513" s="2"/>
    </row>
    <row r="24514" spans="1:8" x14ac:dyDescent="0.25">
      <c r="A24514" s="1"/>
      <c r="B24514" s="1" t="s">
        <v>7328</v>
      </c>
      <c r="C24514" s="1" t="s">
        <v>7329</v>
      </c>
      <c r="D24514" s="22" t="str">
        <f>HYPERLINK("https://rhld.insurance.arkansas.gov/NPILookup?Npi=1407288640","1407288640")</f>
        <v>1407288640</v>
      </c>
      <c r="E24514" s="1" t="s">
        <v>13071</v>
      </c>
      <c r="F24514" s="2"/>
      <c r="G24514" s="2"/>
      <c r="H24514" s="2"/>
    </row>
    <row r="24515" spans="1:8" x14ac:dyDescent="0.25">
      <c r="A24515" s="1"/>
      <c r="B24515" s="1" t="s">
        <v>7328</v>
      </c>
      <c r="C24515" s="1" t="s">
        <v>7329</v>
      </c>
      <c r="D24515" s="22" t="str">
        <f>HYPERLINK("https://rhld.insurance.arkansas.gov/NPILookup?Npi=1407301724","1407301724")</f>
        <v>1407301724</v>
      </c>
      <c r="E24515" s="1" t="s">
        <v>26917</v>
      </c>
      <c r="F24515" s="2"/>
      <c r="G24515" s="2"/>
      <c r="H24515" s="2"/>
    </row>
    <row r="24516" spans="1:8" x14ac:dyDescent="0.25">
      <c r="A24516" s="1"/>
      <c r="B24516" s="1" t="s">
        <v>7328</v>
      </c>
      <c r="C24516" s="1" t="s">
        <v>7329</v>
      </c>
      <c r="D24516" s="22" t="str">
        <f>HYPERLINK("https://rhld.insurance.arkansas.gov/NPILookup?Npi=1407302235","1407302235")</f>
        <v>1407302235</v>
      </c>
      <c r="E24516" s="1" t="s">
        <v>13072</v>
      </c>
      <c r="F24516" s="2"/>
      <c r="G24516" s="2"/>
      <c r="H24516" s="2"/>
    </row>
    <row r="24517" spans="1:8" x14ac:dyDescent="0.25">
      <c r="A24517" s="1"/>
      <c r="B24517" s="1" t="s">
        <v>7328</v>
      </c>
      <c r="C24517" s="1" t="s">
        <v>7329</v>
      </c>
      <c r="D24517" s="22" t="str">
        <f>HYPERLINK("https://rhld.insurance.arkansas.gov/NPILookup?Npi=1407311038","1407311038")</f>
        <v>1407311038</v>
      </c>
      <c r="E24517" s="1" t="s">
        <v>26918</v>
      </c>
      <c r="F24517" s="2"/>
      <c r="G24517" s="2"/>
      <c r="H24517" s="2"/>
    </row>
    <row r="24518" spans="1:8" x14ac:dyDescent="0.25">
      <c r="A24518" s="1"/>
      <c r="B24518" s="1" t="s">
        <v>7328</v>
      </c>
      <c r="C24518" s="1" t="s">
        <v>7329</v>
      </c>
      <c r="D24518" s="22" t="str">
        <f>HYPERLINK("https://rhld.insurance.arkansas.gov/NPILookup?Npi=1407312598","1407312598")</f>
        <v>1407312598</v>
      </c>
      <c r="E24518" s="1" t="s">
        <v>13073</v>
      </c>
      <c r="F24518" s="2"/>
      <c r="G24518" s="2"/>
      <c r="H24518" s="2"/>
    </row>
    <row r="24519" spans="1:8" x14ac:dyDescent="0.25">
      <c r="A24519" s="1"/>
      <c r="B24519" s="1" t="s">
        <v>7328</v>
      </c>
      <c r="C24519" s="1" t="s">
        <v>7329</v>
      </c>
      <c r="D24519" s="22" t="str">
        <f>HYPERLINK("https://rhld.insurance.arkansas.gov/NPILookup?Npi=1407313968","1407313968")</f>
        <v>1407313968</v>
      </c>
      <c r="E24519" s="1" t="s">
        <v>1775</v>
      </c>
      <c r="F24519" s="2"/>
      <c r="G24519" s="2"/>
      <c r="H24519" s="2"/>
    </row>
    <row r="24520" spans="1:8" x14ac:dyDescent="0.25">
      <c r="A24520" s="1"/>
      <c r="B24520" s="1" t="s">
        <v>7328</v>
      </c>
      <c r="C24520" s="1" t="s">
        <v>7329</v>
      </c>
      <c r="D24520" s="22" t="str">
        <f>HYPERLINK("https://rhld.insurance.arkansas.gov/NPILookup?Npi=1407319908","1407319908")</f>
        <v>1407319908</v>
      </c>
      <c r="E24520" s="1" t="s">
        <v>13074</v>
      </c>
      <c r="F24520" s="2"/>
      <c r="G24520" s="2"/>
      <c r="H24520" s="2"/>
    </row>
    <row r="24521" spans="1:8" x14ac:dyDescent="0.25">
      <c r="A24521" s="1"/>
      <c r="B24521" s="1" t="s">
        <v>7328</v>
      </c>
      <c r="C24521" s="1" t="s">
        <v>7329</v>
      </c>
      <c r="D24521" s="22" t="str">
        <f>HYPERLINK("https://rhld.insurance.arkansas.gov/NPILookup?Npi=1407332406","1407332406")</f>
        <v>1407332406</v>
      </c>
      <c r="E24521" s="1" t="s">
        <v>26919</v>
      </c>
      <c r="F24521" s="2"/>
      <c r="G24521" s="2"/>
      <c r="H24521" s="2"/>
    </row>
    <row r="24522" spans="1:8" x14ac:dyDescent="0.25">
      <c r="A24522" s="1"/>
      <c r="B24522" s="1" t="s">
        <v>7328</v>
      </c>
      <c r="C24522" s="1" t="s">
        <v>7329</v>
      </c>
      <c r="D24522" s="22" t="str">
        <f>HYPERLINK("https://rhld.insurance.arkansas.gov/NPILookup?Npi=1407333784","1407333784")</f>
        <v>1407333784</v>
      </c>
      <c r="E24522" s="1" t="s">
        <v>26920</v>
      </c>
      <c r="F24522" s="2"/>
      <c r="G24522" s="2"/>
      <c r="H24522" s="2"/>
    </row>
    <row r="24523" spans="1:8" x14ac:dyDescent="0.25">
      <c r="A24523" s="1"/>
      <c r="B24523" s="1" t="s">
        <v>7328</v>
      </c>
      <c r="C24523" s="1" t="s">
        <v>7329</v>
      </c>
      <c r="D24523" s="22" t="str">
        <f>HYPERLINK("https://rhld.insurance.arkansas.gov/NPILookup?Npi=1407335490","1407335490")</f>
        <v>1407335490</v>
      </c>
      <c r="E24523" s="1" t="s">
        <v>7729</v>
      </c>
      <c r="F24523" s="2"/>
      <c r="G24523" s="2"/>
      <c r="H24523" s="2"/>
    </row>
    <row r="24524" spans="1:8" x14ac:dyDescent="0.25">
      <c r="A24524" s="1"/>
      <c r="B24524" s="1" t="s">
        <v>7328</v>
      </c>
      <c r="C24524" s="1" t="s">
        <v>7329</v>
      </c>
      <c r="D24524" s="22" t="str">
        <f>HYPERLINK("https://rhld.insurance.arkansas.gov/NPILookup?Npi=1407335847","1407335847")</f>
        <v>1407335847</v>
      </c>
      <c r="E24524" s="1" t="s">
        <v>1639</v>
      </c>
      <c r="F24524" s="2"/>
      <c r="G24524" s="2"/>
      <c r="H24524" s="2"/>
    </row>
    <row r="24525" spans="1:8" x14ac:dyDescent="0.25">
      <c r="A24525" s="1"/>
      <c r="B24525" s="1" t="s">
        <v>7328</v>
      </c>
      <c r="C24525" s="1" t="s">
        <v>7329</v>
      </c>
      <c r="D24525" s="22" t="str">
        <f>HYPERLINK("https://rhld.insurance.arkansas.gov/NPILookup?Npi=1407345382","1407345382")</f>
        <v>1407345382</v>
      </c>
      <c r="E24525" s="1" t="s">
        <v>1386</v>
      </c>
      <c r="F24525" s="2"/>
      <c r="G24525" s="2"/>
      <c r="H24525" s="2"/>
    </row>
    <row r="24526" spans="1:8" x14ac:dyDescent="0.25">
      <c r="A24526" s="1"/>
      <c r="B24526" s="1" t="s">
        <v>7328</v>
      </c>
      <c r="C24526" s="1" t="s">
        <v>7329</v>
      </c>
      <c r="D24526" s="22" t="str">
        <f>HYPERLINK("https://rhld.insurance.arkansas.gov/NPILookup?Npi=1407350424","1407350424")</f>
        <v>1407350424</v>
      </c>
      <c r="E24526" s="1" t="s">
        <v>26921</v>
      </c>
      <c r="F24526" s="2"/>
      <c r="G24526" s="2"/>
      <c r="H24526" s="2"/>
    </row>
    <row r="24527" spans="1:8" x14ac:dyDescent="0.25">
      <c r="A24527" s="1"/>
      <c r="B24527" s="1" t="s">
        <v>7328</v>
      </c>
      <c r="C24527" s="1" t="s">
        <v>7329</v>
      </c>
      <c r="D24527" s="22" t="str">
        <f>HYPERLINK("https://rhld.insurance.arkansas.gov/NPILookup?Npi=1407351588","1407351588")</f>
        <v>1407351588</v>
      </c>
      <c r="E24527" s="1" t="s">
        <v>26922</v>
      </c>
      <c r="F24527" s="2"/>
      <c r="G24527" s="2"/>
      <c r="H24527" s="2"/>
    </row>
    <row r="24528" spans="1:8" x14ac:dyDescent="0.25">
      <c r="A24528" s="1"/>
      <c r="B24528" s="1" t="s">
        <v>7328</v>
      </c>
      <c r="C24528" s="1" t="s">
        <v>7329</v>
      </c>
      <c r="D24528" s="22" t="str">
        <f>HYPERLINK("https://rhld.insurance.arkansas.gov/NPILookup?Npi=1407352040","1407352040")</f>
        <v>1407352040</v>
      </c>
      <c r="E24528" s="1" t="s">
        <v>26923</v>
      </c>
      <c r="F24528" s="2"/>
      <c r="G24528" s="2"/>
      <c r="H24528" s="2"/>
    </row>
    <row r="24529" spans="1:8" x14ac:dyDescent="0.25">
      <c r="A24529" s="1"/>
      <c r="B24529" s="1" t="s">
        <v>7328</v>
      </c>
      <c r="C24529" s="1" t="s">
        <v>7329</v>
      </c>
      <c r="D24529" s="22" t="str">
        <f>HYPERLINK("https://rhld.insurance.arkansas.gov/NPILookup?Npi=1407352594","1407352594")</f>
        <v>1407352594</v>
      </c>
      <c r="E24529" s="1" t="s">
        <v>26924</v>
      </c>
      <c r="F24529" s="2"/>
      <c r="G24529" s="2"/>
      <c r="H24529" s="2"/>
    </row>
    <row r="24530" spans="1:8" x14ac:dyDescent="0.25">
      <c r="A24530" s="1"/>
      <c r="B24530" s="1" t="s">
        <v>7328</v>
      </c>
      <c r="C24530" s="1" t="s">
        <v>7329</v>
      </c>
      <c r="D24530" s="22" t="str">
        <f>HYPERLINK("https://rhld.insurance.arkansas.gov/NPILookup?Npi=1407358039","1407358039")</f>
        <v>1407358039</v>
      </c>
      <c r="E24530" s="1" t="s">
        <v>1027</v>
      </c>
      <c r="F24530" s="2"/>
      <c r="G24530" s="2"/>
      <c r="H24530" s="2"/>
    </row>
    <row r="24531" spans="1:8" x14ac:dyDescent="0.25">
      <c r="A24531" s="1"/>
      <c r="B24531" s="1" t="s">
        <v>7328</v>
      </c>
      <c r="C24531" s="1" t="s">
        <v>7329</v>
      </c>
      <c r="D24531" s="22" t="str">
        <f>HYPERLINK("https://rhld.insurance.arkansas.gov/NPILookup?Npi=1407359862","1407359862")</f>
        <v>1407359862</v>
      </c>
      <c r="E24531" s="1" t="s">
        <v>26925</v>
      </c>
      <c r="F24531" s="2"/>
      <c r="G24531" s="2"/>
      <c r="H24531" s="2"/>
    </row>
    <row r="24532" spans="1:8" x14ac:dyDescent="0.25">
      <c r="A24532" s="1"/>
      <c r="B24532" s="1" t="s">
        <v>7328</v>
      </c>
      <c r="C24532" s="1" t="s">
        <v>7329</v>
      </c>
      <c r="D24532" s="22" t="str">
        <f>HYPERLINK("https://rhld.insurance.arkansas.gov/NPILookup?Npi=1407360191","1407360191")</f>
        <v>1407360191</v>
      </c>
      <c r="E24532" s="1" t="s">
        <v>1552</v>
      </c>
      <c r="F24532" s="2"/>
      <c r="G24532" s="2"/>
      <c r="H24532" s="2"/>
    </row>
    <row r="24533" spans="1:8" x14ac:dyDescent="0.25">
      <c r="A24533" s="1"/>
      <c r="B24533" s="1" t="s">
        <v>7328</v>
      </c>
      <c r="C24533" s="1" t="s">
        <v>7329</v>
      </c>
      <c r="D24533" s="22" t="str">
        <f>HYPERLINK("https://rhld.insurance.arkansas.gov/NPILookup?Npi=1407360878","1407360878")</f>
        <v>1407360878</v>
      </c>
      <c r="E24533" s="1" t="s">
        <v>26926</v>
      </c>
      <c r="F24533" s="2"/>
      <c r="G24533" s="2"/>
      <c r="H24533" s="2"/>
    </row>
    <row r="24534" spans="1:8" x14ac:dyDescent="0.25">
      <c r="A24534" s="1"/>
      <c r="B24534" s="1" t="s">
        <v>7328</v>
      </c>
      <c r="C24534" s="1" t="s">
        <v>7329</v>
      </c>
      <c r="D24534" s="22" t="str">
        <f>HYPERLINK("https://rhld.insurance.arkansas.gov/NPILookup?Npi=1407364110","1407364110")</f>
        <v>1407364110</v>
      </c>
      <c r="E24534" s="1" t="s">
        <v>26927</v>
      </c>
      <c r="F24534" s="2"/>
      <c r="G24534" s="2"/>
      <c r="H24534" s="2"/>
    </row>
    <row r="24535" spans="1:8" x14ac:dyDescent="0.25">
      <c r="A24535" s="1"/>
      <c r="B24535" s="1" t="s">
        <v>7328</v>
      </c>
      <c r="C24535" s="1" t="s">
        <v>7329</v>
      </c>
      <c r="D24535" s="22" t="str">
        <f>HYPERLINK("https://rhld.insurance.arkansas.gov/NPILookup?Npi=1407364318","1407364318")</f>
        <v>1407364318</v>
      </c>
      <c r="E24535" s="1" t="s">
        <v>26928</v>
      </c>
      <c r="F24535" s="2"/>
      <c r="G24535" s="2"/>
      <c r="H24535" s="2"/>
    </row>
    <row r="24536" spans="1:8" x14ac:dyDescent="0.25">
      <c r="A24536" s="1"/>
      <c r="B24536" s="1" t="s">
        <v>7328</v>
      </c>
      <c r="C24536" s="1" t="s">
        <v>7329</v>
      </c>
      <c r="D24536" s="22" t="str">
        <f>HYPERLINK("https://rhld.insurance.arkansas.gov/NPILookup?Npi=1407366768","1407366768")</f>
        <v>1407366768</v>
      </c>
      <c r="E24536" s="1" t="s">
        <v>2717</v>
      </c>
      <c r="F24536" s="2"/>
      <c r="G24536" s="2"/>
      <c r="H24536" s="2"/>
    </row>
    <row r="24537" spans="1:8" x14ac:dyDescent="0.25">
      <c r="A24537" s="1"/>
      <c r="B24537" s="1" t="s">
        <v>7328</v>
      </c>
      <c r="C24537" s="1" t="s">
        <v>7329</v>
      </c>
      <c r="D24537" s="22" t="str">
        <f>HYPERLINK("https://rhld.insurance.arkansas.gov/NPILookup?Npi=1407379944","1407379944")</f>
        <v>1407379944</v>
      </c>
      <c r="E24537" s="1" t="s">
        <v>26929</v>
      </c>
      <c r="F24537" s="2"/>
      <c r="G24537" s="2"/>
      <c r="H24537" s="2"/>
    </row>
    <row r="24538" spans="1:8" x14ac:dyDescent="0.25">
      <c r="A24538" s="1"/>
      <c r="B24538" s="1" t="s">
        <v>7328</v>
      </c>
      <c r="C24538" s="1" t="s">
        <v>7329</v>
      </c>
      <c r="D24538" s="22" t="str">
        <f>HYPERLINK("https://rhld.insurance.arkansas.gov/NPILookup?Npi=1407380082","1407380082")</f>
        <v>1407380082</v>
      </c>
      <c r="E24538" s="1" t="s">
        <v>10303</v>
      </c>
      <c r="F24538" s="2"/>
      <c r="G24538" s="2"/>
      <c r="H24538" s="2"/>
    </row>
    <row r="24539" spans="1:8" x14ac:dyDescent="0.25">
      <c r="A24539" s="1"/>
      <c r="B24539" s="1" t="s">
        <v>7328</v>
      </c>
      <c r="C24539" s="1" t="s">
        <v>7329</v>
      </c>
      <c r="D24539" s="22" t="str">
        <f>HYPERLINK("https://rhld.insurance.arkansas.gov/NPILookup?Npi=1407387806","1407387806")</f>
        <v>1407387806</v>
      </c>
      <c r="E24539" s="1" t="s">
        <v>26930</v>
      </c>
      <c r="F24539" s="2"/>
      <c r="G24539" s="2"/>
      <c r="H24539" s="2"/>
    </row>
    <row r="24540" spans="1:8" x14ac:dyDescent="0.25">
      <c r="A24540" s="1"/>
      <c r="B24540" s="1" t="s">
        <v>7328</v>
      </c>
      <c r="C24540" s="1" t="s">
        <v>7329</v>
      </c>
      <c r="D24540" s="22" t="str">
        <f>HYPERLINK("https://rhld.insurance.arkansas.gov/NPILookup?Npi=1407388267","1407388267")</f>
        <v>1407388267</v>
      </c>
      <c r="E24540" s="1" t="s">
        <v>26931</v>
      </c>
      <c r="F24540" s="2"/>
      <c r="G24540" s="2"/>
      <c r="H24540" s="2"/>
    </row>
    <row r="24541" spans="1:8" x14ac:dyDescent="0.25">
      <c r="A24541" s="1"/>
      <c r="B24541" s="1" t="s">
        <v>7328</v>
      </c>
      <c r="C24541" s="1" t="s">
        <v>7329</v>
      </c>
      <c r="D24541" s="22" t="str">
        <f>HYPERLINK("https://rhld.insurance.arkansas.gov/NPILookup?Npi=1407389208","1407389208")</f>
        <v>1407389208</v>
      </c>
      <c r="E24541" s="1" t="s">
        <v>17500</v>
      </c>
      <c r="F24541" s="2"/>
      <c r="G24541" s="2"/>
      <c r="H24541" s="2"/>
    </row>
    <row r="24542" spans="1:8" x14ac:dyDescent="0.25">
      <c r="A24542" s="1"/>
      <c r="B24542" s="1" t="s">
        <v>7328</v>
      </c>
      <c r="C24542" s="1" t="s">
        <v>7329</v>
      </c>
      <c r="D24542" s="22" t="str">
        <f>HYPERLINK("https://rhld.insurance.arkansas.gov/NPILookup?Npi=1407391055","1407391055")</f>
        <v>1407391055</v>
      </c>
      <c r="E24542" s="1" t="s">
        <v>26932</v>
      </c>
      <c r="F24542" s="2"/>
      <c r="G24542" s="2"/>
      <c r="H24542" s="2"/>
    </row>
    <row r="24543" spans="1:8" x14ac:dyDescent="0.25">
      <c r="A24543" s="1"/>
      <c r="B24543" s="1" t="s">
        <v>7328</v>
      </c>
      <c r="C24543" s="1" t="s">
        <v>7329</v>
      </c>
      <c r="D24543" s="22" t="str">
        <f>HYPERLINK("https://rhld.insurance.arkansas.gov/NPILookup?Npi=1407397730","1407397730")</f>
        <v>1407397730</v>
      </c>
      <c r="E24543" s="1" t="s">
        <v>26933</v>
      </c>
      <c r="F24543" s="2"/>
      <c r="G24543" s="2"/>
      <c r="H24543" s="2"/>
    </row>
    <row r="24544" spans="1:8" x14ac:dyDescent="0.25">
      <c r="A24544" s="1"/>
      <c r="B24544" s="1" t="s">
        <v>7328</v>
      </c>
      <c r="C24544" s="1" t="s">
        <v>7329</v>
      </c>
      <c r="D24544" s="22" t="str">
        <f>HYPERLINK("https://rhld.insurance.arkansas.gov/NPILookup?Npi=1407410905","1407410905")</f>
        <v>1407410905</v>
      </c>
      <c r="E24544" s="1" t="s">
        <v>26934</v>
      </c>
      <c r="F24544" s="2"/>
      <c r="G24544" s="2"/>
      <c r="H24544" s="2"/>
    </row>
    <row r="24545" spans="1:8" x14ac:dyDescent="0.25">
      <c r="A24545" s="1"/>
      <c r="B24545" s="1" t="s">
        <v>7328</v>
      </c>
      <c r="C24545" s="1" t="s">
        <v>7329</v>
      </c>
      <c r="D24545" s="22" t="str">
        <f>HYPERLINK("https://rhld.insurance.arkansas.gov/NPILookup?Npi=1407414238","1407414238")</f>
        <v>1407414238</v>
      </c>
      <c r="E24545" s="1" t="s">
        <v>26935</v>
      </c>
      <c r="F24545" s="2"/>
      <c r="G24545" s="2"/>
      <c r="H24545" s="2"/>
    </row>
    <row r="24546" spans="1:8" x14ac:dyDescent="0.25">
      <c r="A24546" s="1"/>
      <c r="B24546" s="1" t="s">
        <v>7328</v>
      </c>
      <c r="C24546" s="1" t="s">
        <v>7329</v>
      </c>
      <c r="D24546" s="22" t="str">
        <f>HYPERLINK("https://rhld.insurance.arkansas.gov/NPILookup?Npi=1407416548","1407416548")</f>
        <v>1407416548</v>
      </c>
      <c r="E24546" s="1" t="s">
        <v>13075</v>
      </c>
      <c r="F24546" s="2"/>
      <c r="G24546" s="2"/>
      <c r="H24546" s="2"/>
    </row>
    <row r="24547" spans="1:8" x14ac:dyDescent="0.25">
      <c r="A24547" s="1"/>
      <c r="B24547" s="1" t="s">
        <v>7328</v>
      </c>
      <c r="C24547" s="1" t="s">
        <v>7329</v>
      </c>
      <c r="D24547" s="22" t="str">
        <f>HYPERLINK("https://rhld.insurance.arkansas.gov/NPILookup?Npi=1407421332","1407421332")</f>
        <v>1407421332</v>
      </c>
      <c r="E24547" s="1" t="s">
        <v>32219</v>
      </c>
      <c r="F24547" s="2"/>
      <c r="G24547" s="2"/>
      <c r="H24547" s="2"/>
    </row>
    <row r="24548" spans="1:8" x14ac:dyDescent="0.25">
      <c r="A24548" s="1"/>
      <c r="B24548" s="1" t="s">
        <v>7328</v>
      </c>
      <c r="C24548" s="1" t="s">
        <v>7329</v>
      </c>
      <c r="D24548" s="22" t="str">
        <f>HYPERLINK("https://rhld.insurance.arkansas.gov/NPILookup?Npi=1407450539","1407450539")</f>
        <v>1407450539</v>
      </c>
      <c r="E24548" s="1" t="s">
        <v>26936</v>
      </c>
      <c r="F24548" s="2"/>
      <c r="G24548" s="2"/>
      <c r="H24548" s="2"/>
    </row>
    <row r="24549" spans="1:8" x14ac:dyDescent="0.25">
      <c r="A24549" s="1"/>
      <c r="B24549" s="1" t="s">
        <v>7328</v>
      </c>
      <c r="C24549" s="1" t="s">
        <v>7329</v>
      </c>
      <c r="D24549" s="22" t="str">
        <f>HYPERLINK("https://rhld.insurance.arkansas.gov/NPILookup?Npi=1407460843","1407460843")</f>
        <v>1407460843</v>
      </c>
      <c r="E24549" s="1" t="s">
        <v>26937</v>
      </c>
      <c r="F24549" s="2"/>
      <c r="G24549" s="2"/>
      <c r="H24549" s="2"/>
    </row>
    <row r="24550" spans="1:8" x14ac:dyDescent="0.25">
      <c r="A24550" s="1"/>
      <c r="B24550" s="1" t="s">
        <v>7328</v>
      </c>
      <c r="C24550" s="1" t="s">
        <v>7329</v>
      </c>
      <c r="D24550" s="22" t="str">
        <f>HYPERLINK("https://rhld.insurance.arkansas.gov/NPILookup?Npi=1407463938","1407463938")</f>
        <v>1407463938</v>
      </c>
      <c r="E24550" s="1" t="s">
        <v>26938</v>
      </c>
      <c r="F24550" s="2"/>
      <c r="G24550" s="2"/>
      <c r="H24550" s="2"/>
    </row>
    <row r="24551" spans="1:8" x14ac:dyDescent="0.25">
      <c r="A24551" s="1"/>
      <c r="B24551" s="1" t="s">
        <v>7328</v>
      </c>
      <c r="C24551" s="1" t="s">
        <v>7329</v>
      </c>
      <c r="D24551" s="22" t="str">
        <f>HYPERLINK("https://rhld.insurance.arkansas.gov/NPILookup?Npi=1407470263","1407470263")</f>
        <v>1407470263</v>
      </c>
      <c r="E24551" s="1" t="s">
        <v>26939</v>
      </c>
      <c r="F24551" s="2"/>
      <c r="G24551" s="2"/>
      <c r="H24551" s="2"/>
    </row>
    <row r="24552" spans="1:8" x14ac:dyDescent="0.25">
      <c r="A24552" s="1"/>
      <c r="B24552" s="1" t="s">
        <v>7328</v>
      </c>
      <c r="C24552" s="1" t="s">
        <v>7329</v>
      </c>
      <c r="D24552" s="22" t="str">
        <f>HYPERLINK("https://rhld.insurance.arkansas.gov/NPILookup?Npi=1407472020","1407472020")</f>
        <v>1407472020</v>
      </c>
      <c r="E24552" s="1" t="s">
        <v>26940</v>
      </c>
      <c r="F24552" s="2"/>
      <c r="G24552" s="2"/>
      <c r="H24552" s="2"/>
    </row>
    <row r="24553" spans="1:8" x14ac:dyDescent="0.25">
      <c r="A24553" s="1"/>
      <c r="B24553" s="1" t="s">
        <v>7328</v>
      </c>
      <c r="C24553" s="1" t="s">
        <v>7329</v>
      </c>
      <c r="D24553" s="22" t="str">
        <f>HYPERLINK("https://rhld.insurance.arkansas.gov/NPILookup?Npi=1407502396","1407502396")</f>
        <v>1407502396</v>
      </c>
      <c r="E24553" s="1" t="s">
        <v>26941</v>
      </c>
      <c r="F24553" s="2"/>
      <c r="G24553" s="2"/>
      <c r="H24553" s="2"/>
    </row>
    <row r="24554" spans="1:8" x14ac:dyDescent="0.25">
      <c r="A24554" s="1"/>
      <c r="B24554" s="1" t="s">
        <v>7328</v>
      </c>
      <c r="C24554" s="1" t="s">
        <v>7329</v>
      </c>
      <c r="D24554" s="22" t="str">
        <f>HYPERLINK("https://rhld.insurance.arkansas.gov/NPILookup?Npi=1407522303","1407522303")</f>
        <v>1407522303</v>
      </c>
      <c r="E24554" s="1" t="s">
        <v>26942</v>
      </c>
      <c r="F24554" s="2"/>
      <c r="G24554" s="2"/>
      <c r="H24554" s="2"/>
    </row>
    <row r="24555" spans="1:8" x14ac:dyDescent="0.25">
      <c r="A24555" s="1"/>
      <c r="B24555" s="1" t="s">
        <v>7328</v>
      </c>
      <c r="C24555" s="1" t="s">
        <v>7329</v>
      </c>
      <c r="D24555" s="22" t="str">
        <f>HYPERLINK("https://rhld.insurance.arkansas.gov/NPILookup?Npi=1407529878","1407529878")</f>
        <v>1407529878</v>
      </c>
      <c r="E24555" s="1" t="s">
        <v>7730</v>
      </c>
      <c r="F24555" s="2"/>
      <c r="G24555" s="2"/>
      <c r="H24555" s="2"/>
    </row>
    <row r="24556" spans="1:8" x14ac:dyDescent="0.25">
      <c r="A24556" s="1"/>
      <c r="B24556" s="1" t="s">
        <v>7328</v>
      </c>
      <c r="C24556" s="1" t="s">
        <v>7329</v>
      </c>
      <c r="D24556" s="22" t="str">
        <f>HYPERLINK("https://rhld.insurance.arkansas.gov/NPILookup?Npi=1407545908","1407545908")</f>
        <v>1407545908</v>
      </c>
      <c r="E24556" s="1" t="s">
        <v>26943</v>
      </c>
      <c r="F24556" s="2"/>
      <c r="G24556" s="2"/>
      <c r="H24556" s="2"/>
    </row>
    <row r="24557" spans="1:8" x14ac:dyDescent="0.25">
      <c r="A24557" s="1"/>
      <c r="B24557" s="1" t="s">
        <v>7328</v>
      </c>
      <c r="C24557" s="1" t="s">
        <v>7329</v>
      </c>
      <c r="D24557" s="22" t="str">
        <f>HYPERLINK("https://rhld.insurance.arkansas.gov/NPILookup?Npi=1407552128","1407552128")</f>
        <v>1407552128</v>
      </c>
      <c r="E24557" s="1" t="s">
        <v>7731</v>
      </c>
      <c r="F24557" s="2"/>
      <c r="G24557" s="2"/>
      <c r="H24557" s="2"/>
    </row>
    <row r="24558" spans="1:8" x14ac:dyDescent="0.25">
      <c r="A24558" s="1"/>
      <c r="B24558" s="1" t="s">
        <v>7328</v>
      </c>
      <c r="C24558" s="1" t="s">
        <v>7329</v>
      </c>
      <c r="D24558" s="22" t="str">
        <f>HYPERLINK("https://rhld.insurance.arkansas.gov/NPILookup?Npi=1407552557","1407552557")</f>
        <v>1407552557</v>
      </c>
      <c r="E24558" s="1" t="s">
        <v>7732</v>
      </c>
      <c r="F24558" s="2"/>
      <c r="G24558" s="2"/>
      <c r="H24558" s="2"/>
    </row>
    <row r="24559" spans="1:8" x14ac:dyDescent="0.25">
      <c r="A24559" s="1"/>
      <c r="B24559" s="1" t="s">
        <v>7328</v>
      </c>
      <c r="C24559" s="1" t="s">
        <v>7329</v>
      </c>
      <c r="D24559" s="22" t="str">
        <f>HYPERLINK("https://rhld.insurance.arkansas.gov/NPILookup?Npi=1407568330","1407568330")</f>
        <v>1407568330</v>
      </c>
      <c r="E24559" s="1" t="s">
        <v>7733</v>
      </c>
      <c r="F24559" s="2"/>
      <c r="G24559" s="2"/>
      <c r="H24559" s="2"/>
    </row>
    <row r="24560" spans="1:8" x14ac:dyDescent="0.25">
      <c r="A24560" s="1"/>
      <c r="B24560" s="1" t="s">
        <v>7328</v>
      </c>
      <c r="C24560" s="1" t="s">
        <v>7329</v>
      </c>
      <c r="D24560" s="22" t="str">
        <f>HYPERLINK("https://rhld.insurance.arkansas.gov/NPILookup?Npi=1407584527","1407584527")</f>
        <v>1407584527</v>
      </c>
      <c r="E24560" s="1" t="s">
        <v>13076</v>
      </c>
      <c r="F24560" s="2"/>
      <c r="G24560" s="2"/>
      <c r="H24560" s="2"/>
    </row>
    <row r="24561" spans="1:8" x14ac:dyDescent="0.25">
      <c r="A24561" s="1"/>
      <c r="B24561" s="1" t="s">
        <v>7328</v>
      </c>
      <c r="C24561" s="1" t="s">
        <v>7329</v>
      </c>
      <c r="D24561" s="22" t="str">
        <f>HYPERLINK("https://rhld.insurance.arkansas.gov/NPILookup?Npi=1407585607","1407585607")</f>
        <v>1407585607</v>
      </c>
      <c r="E24561" s="1" t="s">
        <v>26944</v>
      </c>
      <c r="F24561" s="2"/>
      <c r="G24561" s="2"/>
      <c r="H24561" s="2"/>
    </row>
    <row r="24562" spans="1:8" x14ac:dyDescent="0.25">
      <c r="A24562" s="1"/>
      <c r="B24562" s="1" t="s">
        <v>7328</v>
      </c>
      <c r="C24562" s="1" t="s">
        <v>7329</v>
      </c>
      <c r="D24562" s="22" t="str">
        <f>HYPERLINK("https://rhld.insurance.arkansas.gov/NPILookup?Npi=1407588551","1407588551")</f>
        <v>1407588551</v>
      </c>
      <c r="E24562" s="1" t="s">
        <v>13077</v>
      </c>
      <c r="F24562" s="2"/>
      <c r="G24562" s="2"/>
      <c r="H24562" s="2"/>
    </row>
    <row r="24563" spans="1:8" x14ac:dyDescent="0.25">
      <c r="A24563" s="1"/>
      <c r="B24563" s="1" t="s">
        <v>7328</v>
      </c>
      <c r="C24563" s="1" t="s">
        <v>7329</v>
      </c>
      <c r="D24563" s="22" t="str">
        <f>HYPERLINK("https://rhld.insurance.arkansas.gov/NPILookup?Npi=1407596380","1407596380")</f>
        <v>1407596380</v>
      </c>
      <c r="E24563" s="1" t="s">
        <v>26945</v>
      </c>
      <c r="F24563" s="2"/>
      <c r="G24563" s="2"/>
      <c r="H24563" s="2"/>
    </row>
    <row r="24564" spans="1:8" x14ac:dyDescent="0.25">
      <c r="A24564" s="1"/>
      <c r="B24564" s="1" t="s">
        <v>7328</v>
      </c>
      <c r="C24564" s="1" t="s">
        <v>7329</v>
      </c>
      <c r="D24564" s="22" t="str">
        <f>HYPERLINK("https://rhld.insurance.arkansas.gov/NPILookup?Npi=1407611478","1407611478")</f>
        <v>1407611478</v>
      </c>
      <c r="E24564" s="1" t="s">
        <v>7734</v>
      </c>
      <c r="F24564" s="2"/>
      <c r="G24564" s="2"/>
      <c r="H24564" s="2"/>
    </row>
    <row r="24565" spans="1:8" x14ac:dyDescent="0.25">
      <c r="A24565" s="1"/>
      <c r="B24565" s="1" t="s">
        <v>7328</v>
      </c>
      <c r="C24565" s="1" t="s">
        <v>7329</v>
      </c>
      <c r="D24565" s="22" t="str">
        <f>HYPERLINK("https://rhld.insurance.arkansas.gov/NPILookup?Npi=1407629264","1407629264")</f>
        <v>1407629264</v>
      </c>
      <c r="E24565" s="1" t="s">
        <v>26946</v>
      </c>
      <c r="F24565" s="2"/>
      <c r="G24565" s="2"/>
      <c r="H24565" s="2"/>
    </row>
    <row r="24566" spans="1:8" x14ac:dyDescent="0.25">
      <c r="A24566" s="1"/>
      <c r="B24566" s="1" t="s">
        <v>7328</v>
      </c>
      <c r="C24566" s="1" t="s">
        <v>7329</v>
      </c>
      <c r="D24566" s="22" t="str">
        <f>HYPERLINK("https://rhld.insurance.arkansas.gov/NPILookup?Npi=1407637135","1407637135")</f>
        <v>1407637135</v>
      </c>
      <c r="E24566" s="1" t="s">
        <v>7735</v>
      </c>
      <c r="F24566" s="2"/>
      <c r="G24566" s="2"/>
      <c r="H24566" s="2"/>
    </row>
    <row r="24567" spans="1:8" x14ac:dyDescent="0.25">
      <c r="A24567" s="1"/>
      <c r="B24567" s="1" t="s">
        <v>7328</v>
      </c>
      <c r="C24567" s="1" t="s">
        <v>7329</v>
      </c>
      <c r="D24567" s="22" t="str">
        <f>HYPERLINK("https://rhld.insurance.arkansas.gov/NPILookup?Npi=1407683758","1407683758")</f>
        <v>1407683758</v>
      </c>
      <c r="E24567" s="1" t="s">
        <v>32220</v>
      </c>
      <c r="F24567" s="2"/>
      <c r="G24567" s="2"/>
      <c r="H24567" s="2"/>
    </row>
    <row r="24568" spans="1:8" x14ac:dyDescent="0.25">
      <c r="A24568" s="1"/>
      <c r="B24568" s="1" t="s">
        <v>7328</v>
      </c>
      <c r="C24568" s="1" t="s">
        <v>7329</v>
      </c>
      <c r="D24568" s="22" t="str">
        <f>HYPERLINK("https://rhld.insurance.arkansas.gov/NPILookup?Npi=1407694722","1407694722")</f>
        <v>1407694722</v>
      </c>
      <c r="E24568" s="1" t="s">
        <v>32221</v>
      </c>
      <c r="F24568" s="2"/>
      <c r="G24568" s="2"/>
      <c r="H24568" s="2"/>
    </row>
    <row r="24569" spans="1:8" x14ac:dyDescent="0.25">
      <c r="A24569" s="1"/>
      <c r="B24569" s="1" t="s">
        <v>7328</v>
      </c>
      <c r="C24569" s="1" t="s">
        <v>7329</v>
      </c>
      <c r="D24569" s="22" t="str">
        <f>HYPERLINK("https://rhld.insurance.arkansas.gov/NPILookup?Npi=1407696123","1407696123")</f>
        <v>1407696123</v>
      </c>
      <c r="E24569" s="1" t="s">
        <v>32222</v>
      </c>
      <c r="F24569" s="2"/>
      <c r="G24569" s="2"/>
      <c r="H24569" s="2"/>
    </row>
    <row r="24570" spans="1:8" x14ac:dyDescent="0.25">
      <c r="A24570" s="1"/>
      <c r="B24570" s="1" t="s">
        <v>7328</v>
      </c>
      <c r="C24570" s="1" t="s">
        <v>7329</v>
      </c>
      <c r="D24570" s="22" t="str">
        <f>HYPERLINK("https://rhld.insurance.arkansas.gov/NPILookup?Npi=1407806623","1407806623")</f>
        <v>1407806623</v>
      </c>
      <c r="E24570" s="1" t="s">
        <v>1776</v>
      </c>
      <c r="F24570" s="2"/>
      <c r="G24570" s="2"/>
      <c r="H24570" s="2"/>
    </row>
    <row r="24571" spans="1:8" x14ac:dyDescent="0.25">
      <c r="A24571" s="1"/>
      <c r="B24571" s="1" t="s">
        <v>7328</v>
      </c>
      <c r="C24571" s="1" t="s">
        <v>7329</v>
      </c>
      <c r="D24571" s="22" t="str">
        <f>HYPERLINK("https://rhld.insurance.arkansas.gov/NPILookup?Npi=1407810062","1407810062")</f>
        <v>1407810062</v>
      </c>
      <c r="E24571" s="1" t="s">
        <v>26947</v>
      </c>
      <c r="F24571" s="2"/>
      <c r="G24571" s="2"/>
      <c r="H24571" s="2"/>
    </row>
    <row r="24572" spans="1:8" x14ac:dyDescent="0.25">
      <c r="A24572" s="1"/>
      <c r="B24572" s="1" t="s">
        <v>7328</v>
      </c>
      <c r="C24572" s="1" t="s">
        <v>7329</v>
      </c>
      <c r="D24572" s="22" t="str">
        <f>HYPERLINK("https://rhld.insurance.arkansas.gov/NPILookup?Npi=1407810641","1407810641")</f>
        <v>1407810641</v>
      </c>
      <c r="E24572" s="1" t="s">
        <v>26948</v>
      </c>
      <c r="F24572" s="2"/>
      <c r="G24572" s="2"/>
      <c r="H24572" s="2"/>
    </row>
    <row r="24573" spans="1:8" x14ac:dyDescent="0.25">
      <c r="A24573" s="1"/>
      <c r="B24573" s="1" t="s">
        <v>7328</v>
      </c>
      <c r="C24573" s="1" t="s">
        <v>7329</v>
      </c>
      <c r="D24573" s="22" t="str">
        <f>HYPERLINK("https://rhld.insurance.arkansas.gov/NPILookup?Npi=1407810898","1407810898")</f>
        <v>1407810898</v>
      </c>
      <c r="E24573" s="1" t="s">
        <v>2818</v>
      </c>
      <c r="F24573" s="2"/>
      <c r="G24573" s="2"/>
      <c r="H24573" s="2"/>
    </row>
    <row r="24574" spans="1:8" x14ac:dyDescent="0.25">
      <c r="A24574" s="1"/>
      <c r="B24574" s="1" t="s">
        <v>7328</v>
      </c>
      <c r="C24574" s="1" t="s">
        <v>7329</v>
      </c>
      <c r="D24574" s="22" t="str">
        <f>HYPERLINK("https://rhld.insurance.arkansas.gov/NPILookup?Npi=1407812126","1407812126")</f>
        <v>1407812126</v>
      </c>
      <c r="E24574" s="1" t="s">
        <v>18446</v>
      </c>
      <c r="F24574" s="2"/>
      <c r="G24574" s="2"/>
      <c r="H24574" s="2"/>
    </row>
    <row r="24575" spans="1:8" x14ac:dyDescent="0.25">
      <c r="A24575" s="1"/>
      <c r="B24575" s="1" t="s">
        <v>7328</v>
      </c>
      <c r="C24575" s="1" t="s">
        <v>7329</v>
      </c>
      <c r="D24575" s="22" t="str">
        <f>HYPERLINK("https://rhld.insurance.arkansas.gov/NPILookup?Npi=1407831985","1407831985")</f>
        <v>1407831985</v>
      </c>
      <c r="E24575" s="1" t="s">
        <v>26949</v>
      </c>
      <c r="F24575" s="2"/>
      <c r="G24575" s="2"/>
      <c r="H24575" s="2"/>
    </row>
    <row r="24576" spans="1:8" x14ac:dyDescent="0.25">
      <c r="A24576" s="1"/>
      <c r="B24576" s="1" t="s">
        <v>7328</v>
      </c>
      <c r="C24576" s="1" t="s">
        <v>7329</v>
      </c>
      <c r="D24576" s="22" t="str">
        <f>HYPERLINK("https://rhld.insurance.arkansas.gov/NPILookup?Npi=1407846868","1407846868")</f>
        <v>1407846868</v>
      </c>
      <c r="E24576" s="1" t="s">
        <v>26950</v>
      </c>
      <c r="F24576" s="2"/>
      <c r="G24576" s="2"/>
      <c r="H24576" s="2"/>
    </row>
    <row r="24577" spans="1:8" x14ac:dyDescent="0.25">
      <c r="A24577" s="1"/>
      <c r="B24577" s="1" t="s">
        <v>7328</v>
      </c>
      <c r="C24577" s="1" t="s">
        <v>7329</v>
      </c>
      <c r="D24577" s="22" t="str">
        <f>HYPERLINK("https://rhld.insurance.arkansas.gov/NPILookup?Npi=1407848922","1407848922")</f>
        <v>1407848922</v>
      </c>
      <c r="E24577" s="1" t="s">
        <v>26951</v>
      </c>
      <c r="F24577" s="2"/>
      <c r="G24577" s="2"/>
      <c r="H24577" s="2"/>
    </row>
    <row r="24578" spans="1:8" x14ac:dyDescent="0.25">
      <c r="A24578" s="1"/>
      <c r="B24578" s="1" t="s">
        <v>7328</v>
      </c>
      <c r="C24578" s="1" t="s">
        <v>7329</v>
      </c>
      <c r="D24578" s="22" t="str">
        <f>HYPERLINK("https://rhld.insurance.arkansas.gov/NPILookup?Npi=1407849896","1407849896")</f>
        <v>1407849896</v>
      </c>
      <c r="E24578" s="1" t="s">
        <v>26952</v>
      </c>
      <c r="F24578" s="2"/>
      <c r="G24578" s="2"/>
      <c r="H24578" s="2"/>
    </row>
    <row r="24579" spans="1:8" x14ac:dyDescent="0.25">
      <c r="A24579" s="1"/>
      <c r="B24579" s="1" t="s">
        <v>7328</v>
      </c>
      <c r="C24579" s="1" t="s">
        <v>7329</v>
      </c>
      <c r="D24579" s="22" t="str">
        <f>HYPERLINK("https://rhld.insurance.arkansas.gov/NPILookup?Npi=1407856396","1407856396")</f>
        <v>1407856396</v>
      </c>
      <c r="E24579" s="1" t="s">
        <v>26953</v>
      </c>
      <c r="F24579" s="2"/>
      <c r="G24579" s="2"/>
      <c r="H24579" s="2"/>
    </row>
    <row r="24580" spans="1:8" x14ac:dyDescent="0.25">
      <c r="A24580" s="1"/>
      <c r="B24580" s="1" t="s">
        <v>7328</v>
      </c>
      <c r="C24580" s="1" t="s">
        <v>7329</v>
      </c>
      <c r="D24580" s="22" t="str">
        <f>HYPERLINK("https://rhld.insurance.arkansas.gov/NPILookup?Npi=1407857923","1407857923")</f>
        <v>1407857923</v>
      </c>
      <c r="E24580" s="1" t="s">
        <v>26954</v>
      </c>
      <c r="F24580" s="2"/>
      <c r="G24580" s="2"/>
      <c r="H24580" s="2"/>
    </row>
    <row r="24581" spans="1:8" x14ac:dyDescent="0.25">
      <c r="A24581" s="1"/>
      <c r="B24581" s="1" t="s">
        <v>7328</v>
      </c>
      <c r="C24581" s="1" t="s">
        <v>7329</v>
      </c>
      <c r="D24581" s="22" t="str">
        <f>HYPERLINK("https://rhld.insurance.arkansas.gov/NPILookup?Npi=1407857998","1407857998")</f>
        <v>1407857998</v>
      </c>
      <c r="E24581" s="1" t="s">
        <v>26955</v>
      </c>
      <c r="F24581" s="2"/>
      <c r="G24581" s="2"/>
      <c r="H24581" s="2"/>
    </row>
    <row r="24582" spans="1:8" x14ac:dyDescent="0.25">
      <c r="A24582" s="1"/>
      <c r="B24582" s="1" t="s">
        <v>7328</v>
      </c>
      <c r="C24582" s="1" t="s">
        <v>7329</v>
      </c>
      <c r="D24582" s="22" t="str">
        <f>HYPERLINK("https://rhld.insurance.arkansas.gov/NPILookup?Npi=1407858368","1407858368")</f>
        <v>1407858368</v>
      </c>
      <c r="E24582" s="1" t="s">
        <v>26956</v>
      </c>
      <c r="F24582" s="2"/>
      <c r="G24582" s="2"/>
      <c r="H24582" s="2"/>
    </row>
    <row r="24583" spans="1:8" x14ac:dyDescent="0.25">
      <c r="A24583" s="1"/>
      <c r="B24583" s="1" t="s">
        <v>7328</v>
      </c>
      <c r="C24583" s="1" t="s">
        <v>7329</v>
      </c>
      <c r="D24583" s="22" t="str">
        <f>HYPERLINK("https://rhld.insurance.arkansas.gov/NPILookup?Npi=1407860539","1407860539")</f>
        <v>1407860539</v>
      </c>
      <c r="E24583" s="1" t="s">
        <v>26957</v>
      </c>
      <c r="F24583" s="2"/>
      <c r="G24583" s="2"/>
      <c r="H24583" s="2"/>
    </row>
    <row r="24584" spans="1:8" x14ac:dyDescent="0.25">
      <c r="A24584" s="1"/>
      <c r="B24584" s="1" t="s">
        <v>7328</v>
      </c>
      <c r="C24584" s="1" t="s">
        <v>7329</v>
      </c>
      <c r="D24584" s="22" t="str">
        <f>HYPERLINK("https://rhld.insurance.arkansas.gov/NPILookup?Npi=1407878564","1407878564")</f>
        <v>1407878564</v>
      </c>
      <c r="E24584" s="1" t="s">
        <v>11765</v>
      </c>
      <c r="F24584" s="2"/>
      <c r="G24584" s="2"/>
      <c r="H24584" s="2"/>
    </row>
    <row r="24585" spans="1:8" x14ac:dyDescent="0.25">
      <c r="A24585" s="1"/>
      <c r="B24585" s="1" t="s">
        <v>7328</v>
      </c>
      <c r="C24585" s="1" t="s">
        <v>7329</v>
      </c>
      <c r="D24585" s="22" t="str">
        <f>HYPERLINK("https://rhld.insurance.arkansas.gov/NPILookup?Npi=1407880644","1407880644")</f>
        <v>1407880644</v>
      </c>
      <c r="E24585" s="1" t="s">
        <v>17503</v>
      </c>
      <c r="F24585" s="2"/>
      <c r="G24585" s="2"/>
      <c r="H24585" s="2"/>
    </row>
    <row r="24586" spans="1:8" x14ac:dyDescent="0.25">
      <c r="A24586" s="1"/>
      <c r="B24586" s="1" t="s">
        <v>7328</v>
      </c>
      <c r="C24586" s="1" t="s">
        <v>7329</v>
      </c>
      <c r="D24586" s="22" t="str">
        <f>HYPERLINK("https://rhld.insurance.arkansas.gov/NPILookup?Npi=1407883820","1407883820")</f>
        <v>1407883820</v>
      </c>
      <c r="E24586" s="1" t="s">
        <v>26958</v>
      </c>
      <c r="F24586" s="2"/>
      <c r="G24586" s="2"/>
      <c r="H24586" s="2"/>
    </row>
    <row r="24587" spans="1:8" x14ac:dyDescent="0.25">
      <c r="A24587" s="1"/>
      <c r="B24587" s="1" t="s">
        <v>7328</v>
      </c>
      <c r="C24587" s="1" t="s">
        <v>7329</v>
      </c>
      <c r="D24587" s="22" t="str">
        <f>HYPERLINK("https://rhld.insurance.arkansas.gov/NPILookup?Npi=1407884760","1407884760")</f>
        <v>1407884760</v>
      </c>
      <c r="E24587" s="1" t="s">
        <v>13078</v>
      </c>
      <c r="F24587" s="2"/>
      <c r="G24587" s="2"/>
      <c r="H24587" s="2"/>
    </row>
    <row r="24588" spans="1:8" x14ac:dyDescent="0.25">
      <c r="A24588" s="1"/>
      <c r="B24588" s="1" t="s">
        <v>7328</v>
      </c>
      <c r="C24588" s="1" t="s">
        <v>7329</v>
      </c>
      <c r="D24588" s="22" t="str">
        <f>HYPERLINK("https://rhld.insurance.arkansas.gov/NPILookup?Npi=1407898588","1407898588")</f>
        <v>1407898588</v>
      </c>
      <c r="E24588" s="1" t="s">
        <v>1478</v>
      </c>
      <c r="F24588" s="2"/>
      <c r="G24588" s="2"/>
      <c r="H24588" s="2"/>
    </row>
    <row r="24589" spans="1:8" x14ac:dyDescent="0.25">
      <c r="A24589" s="1"/>
      <c r="B24589" s="1" t="s">
        <v>7328</v>
      </c>
      <c r="C24589" s="1" t="s">
        <v>7329</v>
      </c>
      <c r="D24589" s="22" t="str">
        <f>HYPERLINK("https://rhld.insurance.arkansas.gov/NPILookup?Npi=1407913817","1407913817")</f>
        <v>1407913817</v>
      </c>
      <c r="E24589" s="1" t="s">
        <v>13079</v>
      </c>
      <c r="F24589" s="2"/>
      <c r="G24589" s="2"/>
      <c r="H24589" s="2"/>
    </row>
    <row r="24590" spans="1:8" x14ac:dyDescent="0.25">
      <c r="A24590" s="1"/>
      <c r="B24590" s="1" t="s">
        <v>7328</v>
      </c>
      <c r="C24590" s="1" t="s">
        <v>7329</v>
      </c>
      <c r="D24590" s="22" t="str">
        <f>HYPERLINK("https://rhld.insurance.arkansas.gov/NPILookup?Npi=1407924350","1407924350")</f>
        <v>1407924350</v>
      </c>
      <c r="E24590" s="1" t="s">
        <v>26959</v>
      </c>
      <c r="F24590" s="2"/>
      <c r="G24590" s="2"/>
      <c r="H24590" s="2"/>
    </row>
    <row r="24591" spans="1:8" x14ac:dyDescent="0.25">
      <c r="A24591" s="1"/>
      <c r="B24591" s="1" t="s">
        <v>7328</v>
      </c>
      <c r="C24591" s="1" t="s">
        <v>7329</v>
      </c>
      <c r="D24591" s="22" t="str">
        <f>HYPERLINK("https://rhld.insurance.arkansas.gov/NPILookup?Npi=1407946973","1407946973")</f>
        <v>1407946973</v>
      </c>
      <c r="E24591" s="1" t="s">
        <v>26960</v>
      </c>
      <c r="F24591" s="2"/>
      <c r="G24591" s="2"/>
      <c r="H24591" s="2"/>
    </row>
    <row r="24592" spans="1:8" x14ac:dyDescent="0.25">
      <c r="A24592" s="1"/>
      <c r="B24592" s="1" t="s">
        <v>7328</v>
      </c>
      <c r="C24592" s="1" t="s">
        <v>7329</v>
      </c>
      <c r="D24592" s="22" t="str">
        <f>HYPERLINK("https://rhld.insurance.arkansas.gov/NPILookup?Npi=1407995145","1407995145")</f>
        <v>1407995145</v>
      </c>
      <c r="E24592" s="1" t="s">
        <v>26961</v>
      </c>
      <c r="F24592" s="2"/>
      <c r="G24592" s="2"/>
      <c r="H24592" s="2"/>
    </row>
    <row r="24593" spans="1:8" x14ac:dyDescent="0.25">
      <c r="A24593" s="1"/>
      <c r="B24593" s="1" t="s">
        <v>7328</v>
      </c>
      <c r="C24593" s="1" t="s">
        <v>7329</v>
      </c>
      <c r="D24593" s="22" t="str">
        <f>HYPERLINK("https://rhld.insurance.arkansas.gov/NPILookup?Npi=1417002965","1417002965")</f>
        <v>1417002965</v>
      </c>
      <c r="E24593" s="1" t="s">
        <v>20728</v>
      </c>
      <c r="F24593" s="2"/>
      <c r="G24593" s="2"/>
      <c r="H24593" s="2"/>
    </row>
    <row r="24594" spans="1:8" x14ac:dyDescent="0.25">
      <c r="A24594" s="1"/>
      <c r="B24594" s="1" t="s">
        <v>7328</v>
      </c>
      <c r="C24594" s="1" t="s">
        <v>7329</v>
      </c>
      <c r="D24594" s="22" t="str">
        <f>HYPERLINK("https://rhld.insurance.arkansas.gov/NPILookup?Npi=1417005711","1417005711")</f>
        <v>1417005711</v>
      </c>
      <c r="E24594" s="1" t="s">
        <v>239</v>
      </c>
      <c r="F24594" s="2"/>
      <c r="G24594" s="2"/>
      <c r="H24594" s="2"/>
    </row>
    <row r="24595" spans="1:8" x14ac:dyDescent="0.25">
      <c r="A24595" s="1"/>
      <c r="B24595" s="1" t="s">
        <v>7328</v>
      </c>
      <c r="C24595" s="1" t="s">
        <v>7329</v>
      </c>
      <c r="D24595" s="22" t="str">
        <f>HYPERLINK("https://rhld.insurance.arkansas.gov/NPILookup?Npi=1417021007","1417021007")</f>
        <v>1417021007</v>
      </c>
      <c r="E24595" s="1" t="s">
        <v>704</v>
      </c>
      <c r="F24595" s="2"/>
      <c r="G24595" s="2"/>
      <c r="H24595" s="2"/>
    </row>
    <row r="24596" spans="1:8" x14ac:dyDescent="0.25">
      <c r="A24596" s="1"/>
      <c r="B24596" s="1" t="s">
        <v>7328</v>
      </c>
      <c r="C24596" s="1" t="s">
        <v>7329</v>
      </c>
      <c r="D24596" s="22" t="str">
        <f>HYPERLINK("https://rhld.insurance.arkansas.gov/NPILookup?Npi=1417037383","1417037383")</f>
        <v>1417037383</v>
      </c>
      <c r="E24596" s="1" t="s">
        <v>7736</v>
      </c>
      <c r="F24596" s="2"/>
      <c r="G24596" s="2"/>
      <c r="H24596" s="2"/>
    </row>
    <row r="24597" spans="1:8" x14ac:dyDescent="0.25">
      <c r="A24597" s="1"/>
      <c r="B24597" s="1" t="s">
        <v>7328</v>
      </c>
      <c r="C24597" s="1" t="s">
        <v>7329</v>
      </c>
      <c r="D24597" s="22" t="str">
        <f>HYPERLINK("https://rhld.insurance.arkansas.gov/NPILookup?Npi=1417044348","1417044348")</f>
        <v>1417044348</v>
      </c>
      <c r="E24597" s="1" t="s">
        <v>26962</v>
      </c>
      <c r="F24597" s="2"/>
      <c r="G24597" s="2"/>
      <c r="H24597" s="2"/>
    </row>
    <row r="24598" spans="1:8" x14ac:dyDescent="0.25">
      <c r="A24598" s="1"/>
      <c r="B24598" s="1" t="s">
        <v>7328</v>
      </c>
      <c r="C24598" s="1" t="s">
        <v>7329</v>
      </c>
      <c r="D24598" s="22" t="str">
        <f>HYPERLINK("https://rhld.insurance.arkansas.gov/NPILookup?Npi=1417051129","1417051129")</f>
        <v>1417051129</v>
      </c>
      <c r="E24598" s="1" t="s">
        <v>270</v>
      </c>
      <c r="F24598" s="2"/>
      <c r="G24598" s="2"/>
      <c r="H24598" s="2"/>
    </row>
    <row r="24599" spans="1:8" x14ac:dyDescent="0.25">
      <c r="A24599" s="1"/>
      <c r="B24599" s="1" t="s">
        <v>7328</v>
      </c>
      <c r="C24599" s="1" t="s">
        <v>7329</v>
      </c>
      <c r="D24599" s="22" t="str">
        <f>HYPERLINK("https://rhld.insurance.arkansas.gov/NPILookup?Npi=1417056250","1417056250")</f>
        <v>1417056250</v>
      </c>
      <c r="E24599" s="1" t="s">
        <v>13080</v>
      </c>
      <c r="F24599" s="2"/>
      <c r="G24599" s="2"/>
      <c r="H24599" s="2"/>
    </row>
    <row r="24600" spans="1:8" x14ac:dyDescent="0.25">
      <c r="A24600" s="1"/>
      <c r="B24600" s="1" t="s">
        <v>7328</v>
      </c>
      <c r="C24600" s="1" t="s">
        <v>7329</v>
      </c>
      <c r="D24600" s="22" t="str">
        <f>HYPERLINK("https://rhld.insurance.arkansas.gov/NPILookup?Npi=1417060286","1417060286")</f>
        <v>1417060286</v>
      </c>
      <c r="E24600" s="1" t="s">
        <v>26963</v>
      </c>
      <c r="F24600" s="2"/>
      <c r="G24600" s="2"/>
      <c r="H24600" s="2"/>
    </row>
    <row r="24601" spans="1:8" x14ac:dyDescent="0.25">
      <c r="A24601" s="1"/>
      <c r="B24601" s="1" t="s">
        <v>7328</v>
      </c>
      <c r="C24601" s="1" t="s">
        <v>7329</v>
      </c>
      <c r="D24601" s="22" t="str">
        <f>HYPERLINK("https://rhld.insurance.arkansas.gov/NPILookup?Npi=1417096058","1417096058")</f>
        <v>1417096058</v>
      </c>
      <c r="E24601" s="1" t="s">
        <v>26964</v>
      </c>
      <c r="F24601" s="2"/>
      <c r="G24601" s="2"/>
      <c r="H24601" s="2"/>
    </row>
    <row r="24602" spans="1:8" x14ac:dyDescent="0.25">
      <c r="A24602" s="1"/>
      <c r="B24602" s="1" t="s">
        <v>7328</v>
      </c>
      <c r="C24602" s="1" t="s">
        <v>7329</v>
      </c>
      <c r="D24602" s="22" t="str">
        <f>HYPERLINK("https://rhld.insurance.arkansas.gov/NPILookup?Npi=1417108259","1417108259")</f>
        <v>1417108259</v>
      </c>
      <c r="E24602" s="1" t="s">
        <v>26965</v>
      </c>
      <c r="F24602" s="2"/>
      <c r="G24602" s="2"/>
      <c r="H24602" s="2"/>
    </row>
    <row r="24603" spans="1:8" x14ac:dyDescent="0.25">
      <c r="A24603" s="1"/>
      <c r="B24603" s="1" t="s">
        <v>7328</v>
      </c>
      <c r="C24603" s="1" t="s">
        <v>7329</v>
      </c>
      <c r="D24603" s="22" t="str">
        <f>HYPERLINK("https://rhld.insurance.arkansas.gov/NPILookup?Npi=1417112442","1417112442")</f>
        <v>1417112442</v>
      </c>
      <c r="E24603" s="1" t="s">
        <v>2377</v>
      </c>
      <c r="F24603" s="2"/>
      <c r="G24603" s="2"/>
      <c r="H24603" s="2"/>
    </row>
    <row r="24604" spans="1:8" x14ac:dyDescent="0.25">
      <c r="A24604" s="1"/>
      <c r="B24604" s="1" t="s">
        <v>7328</v>
      </c>
      <c r="C24604" s="1" t="s">
        <v>7329</v>
      </c>
      <c r="D24604" s="22" t="str">
        <f>HYPERLINK("https://rhld.insurance.arkansas.gov/NPILookup?Npi=1417118076","1417118076")</f>
        <v>1417118076</v>
      </c>
      <c r="E24604" s="1" t="s">
        <v>17504</v>
      </c>
      <c r="F24604" s="2"/>
      <c r="G24604" s="2"/>
      <c r="H24604" s="2"/>
    </row>
    <row r="24605" spans="1:8" x14ac:dyDescent="0.25">
      <c r="A24605" s="1"/>
      <c r="B24605" s="1" t="s">
        <v>7328</v>
      </c>
      <c r="C24605" s="1" t="s">
        <v>7329</v>
      </c>
      <c r="D24605" s="22" t="str">
        <f>HYPERLINK("https://rhld.insurance.arkansas.gov/NPILookup?Npi=1417155078","1417155078")</f>
        <v>1417155078</v>
      </c>
      <c r="E24605" s="1" t="s">
        <v>2819</v>
      </c>
      <c r="F24605" s="2"/>
      <c r="G24605" s="2"/>
      <c r="H24605" s="2"/>
    </row>
    <row r="24606" spans="1:8" x14ac:dyDescent="0.25">
      <c r="A24606" s="1"/>
      <c r="B24606" s="1" t="s">
        <v>7328</v>
      </c>
      <c r="C24606" s="1" t="s">
        <v>7329</v>
      </c>
      <c r="D24606" s="22" t="str">
        <f>HYPERLINK("https://rhld.insurance.arkansas.gov/NPILookup?Npi=1417173139","1417173139")</f>
        <v>1417173139</v>
      </c>
      <c r="E24606" s="1" t="s">
        <v>26966</v>
      </c>
      <c r="F24606" s="2"/>
      <c r="G24606" s="2"/>
      <c r="H24606" s="2"/>
    </row>
    <row r="24607" spans="1:8" x14ac:dyDescent="0.25">
      <c r="A24607" s="1"/>
      <c r="B24607" s="1" t="s">
        <v>7328</v>
      </c>
      <c r="C24607" s="1" t="s">
        <v>7329</v>
      </c>
      <c r="D24607" s="22" t="str">
        <f>HYPERLINK("https://rhld.insurance.arkansas.gov/NPILookup?Npi=1417183484","1417183484")</f>
        <v>1417183484</v>
      </c>
      <c r="E24607" s="1" t="s">
        <v>26967</v>
      </c>
      <c r="F24607" s="2"/>
      <c r="G24607" s="2"/>
      <c r="H24607" s="2"/>
    </row>
    <row r="24608" spans="1:8" x14ac:dyDescent="0.25">
      <c r="A24608" s="1"/>
      <c r="B24608" s="1" t="s">
        <v>7328</v>
      </c>
      <c r="C24608" s="1" t="s">
        <v>7329</v>
      </c>
      <c r="D24608" s="22" t="str">
        <f>HYPERLINK("https://rhld.insurance.arkansas.gov/NPILookup?Npi=1417192774","1417192774")</f>
        <v>1417192774</v>
      </c>
      <c r="E24608" s="1" t="s">
        <v>13081</v>
      </c>
      <c r="F24608" s="2"/>
      <c r="G24608" s="2"/>
      <c r="H24608" s="2"/>
    </row>
    <row r="24609" spans="1:8" x14ac:dyDescent="0.25">
      <c r="A24609" s="1"/>
      <c r="B24609" s="1" t="s">
        <v>7328</v>
      </c>
      <c r="C24609" s="1" t="s">
        <v>7329</v>
      </c>
      <c r="D24609" s="22" t="str">
        <f>HYPERLINK("https://rhld.insurance.arkansas.gov/NPILookup?Npi=1417210543","1417210543")</f>
        <v>1417210543</v>
      </c>
      <c r="E24609" s="1" t="s">
        <v>26968</v>
      </c>
      <c r="F24609" s="2"/>
      <c r="G24609" s="2"/>
      <c r="H24609" s="2"/>
    </row>
    <row r="24610" spans="1:8" x14ac:dyDescent="0.25">
      <c r="A24610" s="1"/>
      <c r="B24610" s="1" t="s">
        <v>7328</v>
      </c>
      <c r="C24610" s="1" t="s">
        <v>7329</v>
      </c>
      <c r="D24610" s="22" t="str">
        <f>HYPERLINK("https://rhld.insurance.arkansas.gov/NPILookup?Npi=1417215492","1417215492")</f>
        <v>1417215492</v>
      </c>
      <c r="E24610" s="1" t="s">
        <v>26969</v>
      </c>
      <c r="F24610" s="2"/>
      <c r="G24610" s="2"/>
      <c r="H24610" s="2"/>
    </row>
    <row r="24611" spans="1:8" x14ac:dyDescent="0.25">
      <c r="A24611" s="1"/>
      <c r="B24611" s="1" t="s">
        <v>7328</v>
      </c>
      <c r="C24611" s="1" t="s">
        <v>7329</v>
      </c>
      <c r="D24611" s="22" t="str">
        <f>HYPERLINK("https://rhld.insurance.arkansas.gov/NPILookup?Npi=1417220526","1417220526")</f>
        <v>1417220526</v>
      </c>
      <c r="E24611" s="1" t="s">
        <v>22127</v>
      </c>
      <c r="F24611" s="2"/>
      <c r="G24611" s="2"/>
      <c r="H24611" s="2"/>
    </row>
    <row r="24612" spans="1:8" x14ac:dyDescent="0.25">
      <c r="A24612" s="1"/>
      <c r="B24612" s="1" t="s">
        <v>7328</v>
      </c>
      <c r="C24612" s="1" t="s">
        <v>7329</v>
      </c>
      <c r="D24612" s="22" t="str">
        <f>HYPERLINK("https://rhld.insurance.arkansas.gov/NPILookup?Npi=1417238924","1417238924")</f>
        <v>1417238924</v>
      </c>
      <c r="E24612" s="1" t="s">
        <v>26970</v>
      </c>
      <c r="F24612" s="2"/>
      <c r="G24612" s="2"/>
      <c r="H24612" s="2"/>
    </row>
    <row r="24613" spans="1:8" x14ac:dyDescent="0.25">
      <c r="A24613" s="1"/>
      <c r="B24613" s="1" t="s">
        <v>7328</v>
      </c>
      <c r="C24613" s="1" t="s">
        <v>7329</v>
      </c>
      <c r="D24613" s="22" t="str">
        <f>HYPERLINK("https://rhld.insurance.arkansas.gov/NPILookup?Npi=1417240060","1417240060")</f>
        <v>1417240060</v>
      </c>
      <c r="E24613" s="1" t="s">
        <v>26971</v>
      </c>
      <c r="F24613" s="2"/>
      <c r="G24613" s="2"/>
      <c r="H24613" s="2"/>
    </row>
    <row r="24614" spans="1:8" x14ac:dyDescent="0.25">
      <c r="A24614" s="1"/>
      <c r="B24614" s="1" t="s">
        <v>7328</v>
      </c>
      <c r="C24614" s="1" t="s">
        <v>7329</v>
      </c>
      <c r="D24614" s="22" t="str">
        <f>HYPERLINK("https://rhld.insurance.arkansas.gov/NPILookup?Npi=1417245572","1417245572")</f>
        <v>1417245572</v>
      </c>
      <c r="E24614" s="1" t="s">
        <v>26972</v>
      </c>
      <c r="F24614" s="2"/>
      <c r="G24614" s="2"/>
      <c r="H24614" s="2"/>
    </row>
    <row r="24615" spans="1:8" x14ac:dyDescent="0.25">
      <c r="A24615" s="1"/>
      <c r="B24615" s="1" t="s">
        <v>7328</v>
      </c>
      <c r="C24615" s="1" t="s">
        <v>7329</v>
      </c>
      <c r="D24615" s="22" t="str">
        <f>HYPERLINK("https://rhld.insurance.arkansas.gov/NPILookup?Npi=1417246794","1417246794")</f>
        <v>1417246794</v>
      </c>
      <c r="E24615" s="1" t="s">
        <v>26973</v>
      </c>
      <c r="F24615" s="2"/>
      <c r="G24615" s="2"/>
      <c r="H24615" s="2"/>
    </row>
    <row r="24616" spans="1:8" x14ac:dyDescent="0.25">
      <c r="A24616" s="1"/>
      <c r="B24616" s="1" t="s">
        <v>7328</v>
      </c>
      <c r="C24616" s="1" t="s">
        <v>7329</v>
      </c>
      <c r="D24616" s="22" t="str">
        <f>HYPERLINK("https://rhld.insurance.arkansas.gov/NPILookup?Npi=1417246877","1417246877")</f>
        <v>1417246877</v>
      </c>
      <c r="E24616" s="1" t="s">
        <v>2820</v>
      </c>
      <c r="F24616" s="2"/>
      <c r="G24616" s="2"/>
      <c r="H24616" s="2"/>
    </row>
    <row r="24617" spans="1:8" x14ac:dyDescent="0.25">
      <c r="A24617" s="1"/>
      <c r="B24617" s="1" t="s">
        <v>7328</v>
      </c>
      <c r="C24617" s="1" t="s">
        <v>7329</v>
      </c>
      <c r="D24617" s="22" t="str">
        <f>HYPERLINK("https://rhld.insurance.arkansas.gov/NPILookup?Npi=1417254780","1417254780")</f>
        <v>1417254780</v>
      </c>
      <c r="E24617" s="1" t="s">
        <v>2821</v>
      </c>
      <c r="F24617" s="2"/>
      <c r="G24617" s="2"/>
      <c r="H24617" s="2"/>
    </row>
    <row r="24618" spans="1:8" x14ac:dyDescent="0.25">
      <c r="A24618" s="1"/>
      <c r="B24618" s="1" t="s">
        <v>7328</v>
      </c>
      <c r="C24618" s="1" t="s">
        <v>7329</v>
      </c>
      <c r="D24618" s="22" t="str">
        <f>HYPERLINK("https://rhld.insurance.arkansas.gov/NPILookup?Npi=1417256637","1417256637")</f>
        <v>1417256637</v>
      </c>
      <c r="E24618" s="1" t="s">
        <v>26974</v>
      </c>
      <c r="F24618" s="2"/>
      <c r="G24618" s="2"/>
      <c r="H24618" s="2"/>
    </row>
    <row r="24619" spans="1:8" x14ac:dyDescent="0.25">
      <c r="A24619" s="1"/>
      <c r="B24619" s="1" t="s">
        <v>7328</v>
      </c>
      <c r="C24619" s="1" t="s">
        <v>7329</v>
      </c>
      <c r="D24619" s="22" t="str">
        <f>HYPERLINK("https://rhld.insurance.arkansas.gov/NPILookup?Npi=1417283565","1417283565")</f>
        <v>1417283565</v>
      </c>
      <c r="E24619" s="1" t="s">
        <v>7737</v>
      </c>
      <c r="F24619" s="2"/>
      <c r="G24619" s="2"/>
      <c r="H24619" s="2"/>
    </row>
    <row r="24620" spans="1:8" x14ac:dyDescent="0.25">
      <c r="A24620" s="1"/>
      <c r="B24620" s="1" t="s">
        <v>7328</v>
      </c>
      <c r="C24620" s="1" t="s">
        <v>7329</v>
      </c>
      <c r="D24620" s="22" t="str">
        <f>HYPERLINK("https://rhld.insurance.arkansas.gov/NPILookup?Npi=1417290644","1417290644")</f>
        <v>1417290644</v>
      </c>
      <c r="E24620" s="1" t="s">
        <v>26975</v>
      </c>
      <c r="F24620" s="2"/>
      <c r="G24620" s="2"/>
      <c r="H24620" s="2"/>
    </row>
    <row r="24621" spans="1:8" x14ac:dyDescent="0.25">
      <c r="A24621" s="1"/>
      <c r="B24621" s="1" t="s">
        <v>7328</v>
      </c>
      <c r="C24621" s="1" t="s">
        <v>7329</v>
      </c>
      <c r="D24621" s="22" t="str">
        <f>HYPERLINK("https://rhld.insurance.arkansas.gov/NPILookup?Npi=1417305434","1417305434")</f>
        <v>1417305434</v>
      </c>
      <c r="E24621" s="1" t="s">
        <v>26976</v>
      </c>
      <c r="F24621" s="2"/>
      <c r="G24621" s="2"/>
      <c r="H24621" s="2"/>
    </row>
    <row r="24622" spans="1:8" x14ac:dyDescent="0.25">
      <c r="A24622" s="1"/>
      <c r="B24622" s="1" t="s">
        <v>7328</v>
      </c>
      <c r="C24622" s="1" t="s">
        <v>7329</v>
      </c>
      <c r="D24622" s="22" t="str">
        <f>HYPERLINK("https://rhld.insurance.arkansas.gov/NPILookup?Npi=1417306580","1417306580")</f>
        <v>1417306580</v>
      </c>
      <c r="E24622" s="1" t="s">
        <v>26977</v>
      </c>
      <c r="F24622" s="2"/>
      <c r="G24622" s="2"/>
      <c r="H24622" s="2"/>
    </row>
    <row r="24623" spans="1:8" x14ac:dyDescent="0.25">
      <c r="A24623" s="1"/>
      <c r="B24623" s="1" t="s">
        <v>7328</v>
      </c>
      <c r="C24623" s="1" t="s">
        <v>7329</v>
      </c>
      <c r="D24623" s="22" t="str">
        <f>HYPERLINK("https://rhld.insurance.arkansas.gov/NPILookup?Npi=1417307083","1417307083")</f>
        <v>1417307083</v>
      </c>
      <c r="E24623" s="1" t="s">
        <v>5964</v>
      </c>
      <c r="F24623" s="2"/>
      <c r="G24623" s="2"/>
      <c r="H24623" s="2"/>
    </row>
    <row r="24624" spans="1:8" x14ac:dyDescent="0.25">
      <c r="A24624" s="1"/>
      <c r="B24624" s="1" t="s">
        <v>7328</v>
      </c>
      <c r="C24624" s="1" t="s">
        <v>7329</v>
      </c>
      <c r="D24624" s="22" t="str">
        <f>HYPERLINK("https://rhld.insurance.arkansas.gov/NPILookup?Npi=1417307547","1417307547")</f>
        <v>1417307547</v>
      </c>
      <c r="E24624" s="1" t="s">
        <v>26978</v>
      </c>
      <c r="F24624" s="2"/>
      <c r="G24624" s="2"/>
      <c r="H24624" s="2"/>
    </row>
    <row r="24625" spans="1:8" x14ac:dyDescent="0.25">
      <c r="A24625" s="1"/>
      <c r="B24625" s="1" t="s">
        <v>7328</v>
      </c>
      <c r="C24625" s="1" t="s">
        <v>7329</v>
      </c>
      <c r="D24625" s="22" t="str">
        <f>HYPERLINK("https://rhld.insurance.arkansas.gov/NPILookup?Npi=1417315318","1417315318")</f>
        <v>1417315318</v>
      </c>
      <c r="E24625" s="1" t="s">
        <v>26979</v>
      </c>
      <c r="F24625" s="2"/>
      <c r="G24625" s="2"/>
      <c r="H24625" s="2"/>
    </row>
    <row r="24626" spans="1:8" x14ac:dyDescent="0.25">
      <c r="A24626" s="1"/>
      <c r="B24626" s="1" t="s">
        <v>7328</v>
      </c>
      <c r="C24626" s="1" t="s">
        <v>7329</v>
      </c>
      <c r="D24626" s="22" t="str">
        <f>HYPERLINK("https://rhld.insurance.arkansas.gov/NPILookup?Npi=1417333188","1417333188")</f>
        <v>1417333188</v>
      </c>
      <c r="E24626" s="1" t="s">
        <v>1777</v>
      </c>
      <c r="F24626" s="2"/>
      <c r="G24626" s="2"/>
      <c r="H24626" s="2"/>
    </row>
    <row r="24627" spans="1:8" x14ac:dyDescent="0.25">
      <c r="A24627" s="1"/>
      <c r="B24627" s="1" t="s">
        <v>7328</v>
      </c>
      <c r="C24627" s="1" t="s">
        <v>7329</v>
      </c>
      <c r="D24627" s="22" t="str">
        <f>HYPERLINK("https://rhld.insurance.arkansas.gov/NPILookup?Npi=1417340589","1417340589")</f>
        <v>1417340589</v>
      </c>
      <c r="E24627" s="1" t="s">
        <v>26980</v>
      </c>
      <c r="F24627" s="2"/>
      <c r="G24627" s="2"/>
      <c r="H24627" s="2"/>
    </row>
    <row r="24628" spans="1:8" x14ac:dyDescent="0.25">
      <c r="A24628" s="1"/>
      <c r="B24628" s="1" t="s">
        <v>7328</v>
      </c>
      <c r="C24628" s="1" t="s">
        <v>7329</v>
      </c>
      <c r="D24628" s="22" t="str">
        <f>HYPERLINK("https://rhld.insurance.arkansas.gov/NPILookup?Npi=1417372558","1417372558")</f>
        <v>1417372558</v>
      </c>
      <c r="E24628" s="1" t="s">
        <v>26981</v>
      </c>
      <c r="F24628" s="2"/>
      <c r="G24628" s="2"/>
      <c r="H24628" s="2"/>
    </row>
    <row r="24629" spans="1:8" x14ac:dyDescent="0.25">
      <c r="A24629" s="1"/>
      <c r="B24629" s="1" t="s">
        <v>7328</v>
      </c>
      <c r="C24629" s="1" t="s">
        <v>7329</v>
      </c>
      <c r="D24629" s="22" t="str">
        <f>HYPERLINK("https://rhld.insurance.arkansas.gov/NPILookup?Npi=1417373283","1417373283")</f>
        <v>1417373283</v>
      </c>
      <c r="E24629" s="1" t="s">
        <v>6357</v>
      </c>
      <c r="F24629" s="2"/>
      <c r="G24629" s="2"/>
      <c r="H24629" s="2"/>
    </row>
    <row r="24630" spans="1:8" x14ac:dyDescent="0.25">
      <c r="A24630" s="1"/>
      <c r="B24630" s="1" t="s">
        <v>7328</v>
      </c>
      <c r="C24630" s="1" t="s">
        <v>7329</v>
      </c>
      <c r="D24630" s="22" t="str">
        <f>HYPERLINK("https://rhld.insurance.arkansas.gov/NPILookup?Npi=1417377334","1417377334")</f>
        <v>1417377334</v>
      </c>
      <c r="E24630" s="1" t="s">
        <v>26982</v>
      </c>
      <c r="F24630" s="2"/>
      <c r="G24630" s="2"/>
      <c r="H24630" s="2"/>
    </row>
    <row r="24631" spans="1:8" x14ac:dyDescent="0.25">
      <c r="A24631" s="1"/>
      <c r="B24631" s="1" t="s">
        <v>7328</v>
      </c>
      <c r="C24631" s="1" t="s">
        <v>7329</v>
      </c>
      <c r="D24631" s="22" t="str">
        <f>HYPERLINK("https://rhld.insurance.arkansas.gov/NPILookup?Npi=1417385188","1417385188")</f>
        <v>1417385188</v>
      </c>
      <c r="E24631" s="1" t="s">
        <v>13084</v>
      </c>
      <c r="F24631" s="2"/>
      <c r="G24631" s="2"/>
      <c r="H24631" s="2"/>
    </row>
    <row r="24632" spans="1:8" x14ac:dyDescent="0.25">
      <c r="A24632" s="1"/>
      <c r="B24632" s="1" t="s">
        <v>7328</v>
      </c>
      <c r="C24632" s="1" t="s">
        <v>7329</v>
      </c>
      <c r="D24632" s="22" t="str">
        <f>HYPERLINK("https://rhld.insurance.arkansas.gov/NPILookup?Npi=1417388893","1417388893")</f>
        <v>1417388893</v>
      </c>
      <c r="E24632" s="1" t="s">
        <v>26983</v>
      </c>
      <c r="F24632" s="2"/>
      <c r="G24632" s="2"/>
      <c r="H24632" s="2"/>
    </row>
    <row r="24633" spans="1:8" x14ac:dyDescent="0.25">
      <c r="A24633" s="1"/>
      <c r="B24633" s="1" t="s">
        <v>7328</v>
      </c>
      <c r="C24633" s="1" t="s">
        <v>7329</v>
      </c>
      <c r="D24633" s="22" t="str">
        <f>HYPERLINK("https://rhld.insurance.arkansas.gov/NPILookup?Npi=1417400656","1417400656")</f>
        <v>1417400656</v>
      </c>
      <c r="E24633" s="1" t="s">
        <v>26984</v>
      </c>
      <c r="F24633" s="2"/>
      <c r="G24633" s="2"/>
      <c r="H24633" s="2"/>
    </row>
    <row r="24634" spans="1:8" x14ac:dyDescent="0.25">
      <c r="A24634" s="1"/>
      <c r="B24634" s="1" t="s">
        <v>7328</v>
      </c>
      <c r="C24634" s="1" t="s">
        <v>7329</v>
      </c>
      <c r="D24634" s="22" t="str">
        <f>HYPERLINK("https://rhld.insurance.arkansas.gov/NPILookup?Npi=1417416819","1417416819")</f>
        <v>1417416819</v>
      </c>
      <c r="E24634" s="1" t="s">
        <v>7738</v>
      </c>
      <c r="F24634" s="2"/>
      <c r="G24634" s="2"/>
      <c r="H24634" s="2"/>
    </row>
    <row r="24635" spans="1:8" x14ac:dyDescent="0.25">
      <c r="A24635" s="1"/>
      <c r="B24635" s="1" t="s">
        <v>7328</v>
      </c>
      <c r="C24635" s="1" t="s">
        <v>7329</v>
      </c>
      <c r="D24635" s="22" t="str">
        <f>HYPERLINK("https://rhld.insurance.arkansas.gov/NPILookup?Npi=1417417734","1417417734")</f>
        <v>1417417734</v>
      </c>
      <c r="E24635" s="1" t="s">
        <v>26985</v>
      </c>
      <c r="F24635" s="2"/>
      <c r="G24635" s="2"/>
      <c r="H24635" s="2"/>
    </row>
    <row r="24636" spans="1:8" x14ac:dyDescent="0.25">
      <c r="A24636" s="1"/>
      <c r="B24636" s="1" t="s">
        <v>7328</v>
      </c>
      <c r="C24636" s="1" t="s">
        <v>7329</v>
      </c>
      <c r="D24636" s="22" t="str">
        <f>HYPERLINK("https://rhld.insurance.arkansas.gov/NPILookup?Npi=1417422106","1417422106")</f>
        <v>1417422106</v>
      </c>
      <c r="E24636" s="1" t="s">
        <v>13989</v>
      </c>
      <c r="F24636" s="2"/>
      <c r="G24636" s="2"/>
      <c r="H24636" s="2"/>
    </row>
    <row r="24637" spans="1:8" x14ac:dyDescent="0.25">
      <c r="A24637" s="1"/>
      <c r="B24637" s="1" t="s">
        <v>7328</v>
      </c>
      <c r="C24637" s="1" t="s">
        <v>7329</v>
      </c>
      <c r="D24637" s="22" t="str">
        <f>HYPERLINK("https://rhld.insurance.arkansas.gov/NPILookup?Npi=1417433822","1417433822")</f>
        <v>1417433822</v>
      </c>
      <c r="E24637" s="1" t="s">
        <v>26986</v>
      </c>
      <c r="F24637" s="2"/>
      <c r="G24637" s="2"/>
      <c r="H24637" s="2"/>
    </row>
    <row r="24638" spans="1:8" x14ac:dyDescent="0.25">
      <c r="A24638" s="1"/>
      <c r="B24638" s="1" t="s">
        <v>7328</v>
      </c>
      <c r="C24638" s="1" t="s">
        <v>7329</v>
      </c>
      <c r="D24638" s="22" t="str">
        <f>HYPERLINK("https://rhld.insurance.arkansas.gov/NPILookup?Npi=1417444050","1417444050")</f>
        <v>1417444050</v>
      </c>
      <c r="E24638" s="1" t="s">
        <v>26987</v>
      </c>
      <c r="F24638" s="2"/>
      <c r="G24638" s="2"/>
      <c r="H24638" s="2"/>
    </row>
    <row r="24639" spans="1:8" x14ac:dyDescent="0.25">
      <c r="A24639" s="1"/>
      <c r="B24639" s="1" t="s">
        <v>7328</v>
      </c>
      <c r="C24639" s="1" t="s">
        <v>7329</v>
      </c>
      <c r="D24639" s="22" t="str">
        <f>HYPERLINK("https://rhld.insurance.arkansas.gov/NPILookup?Npi=1417454075","1417454075")</f>
        <v>1417454075</v>
      </c>
      <c r="E24639" s="1" t="s">
        <v>26988</v>
      </c>
      <c r="F24639" s="2"/>
      <c r="G24639" s="2"/>
      <c r="H24639" s="2"/>
    </row>
    <row r="24640" spans="1:8" x14ac:dyDescent="0.25">
      <c r="A24640" s="1"/>
      <c r="B24640" s="1" t="s">
        <v>7328</v>
      </c>
      <c r="C24640" s="1" t="s">
        <v>7329</v>
      </c>
      <c r="D24640" s="22" t="str">
        <f>HYPERLINK("https://rhld.insurance.arkansas.gov/NPILookup?Npi=1417455817","1417455817")</f>
        <v>1417455817</v>
      </c>
      <c r="E24640" s="1" t="s">
        <v>3142</v>
      </c>
      <c r="F24640" s="2"/>
      <c r="G24640" s="2"/>
      <c r="H24640" s="2"/>
    </row>
    <row r="24641" spans="1:8" x14ac:dyDescent="0.25">
      <c r="A24641" s="1"/>
      <c r="B24641" s="1" t="s">
        <v>7328</v>
      </c>
      <c r="C24641" s="1" t="s">
        <v>7329</v>
      </c>
      <c r="D24641" s="22" t="str">
        <f>HYPERLINK("https://rhld.insurance.arkansas.gov/NPILookup?Npi=1417456443","1417456443")</f>
        <v>1417456443</v>
      </c>
      <c r="E24641" s="1" t="s">
        <v>13086</v>
      </c>
      <c r="F24641" s="2"/>
      <c r="G24641" s="2"/>
      <c r="H24641" s="2"/>
    </row>
    <row r="24642" spans="1:8" x14ac:dyDescent="0.25">
      <c r="A24642" s="1"/>
      <c r="B24642" s="1" t="s">
        <v>7328</v>
      </c>
      <c r="C24642" s="1" t="s">
        <v>7329</v>
      </c>
      <c r="D24642" s="22" t="str">
        <f>HYPERLINK("https://rhld.insurance.arkansas.gov/NPILookup?Npi=1417456989","1417456989")</f>
        <v>1417456989</v>
      </c>
      <c r="E24642" s="1" t="s">
        <v>2822</v>
      </c>
      <c r="F24642" s="2"/>
      <c r="G24642" s="2"/>
      <c r="H24642" s="2"/>
    </row>
    <row r="24643" spans="1:8" x14ac:dyDescent="0.25">
      <c r="A24643" s="1"/>
      <c r="B24643" s="1" t="s">
        <v>7328</v>
      </c>
      <c r="C24643" s="1" t="s">
        <v>7329</v>
      </c>
      <c r="D24643" s="22" t="str">
        <f>HYPERLINK("https://rhld.insurance.arkansas.gov/NPILookup?Npi=1417465998","1417465998")</f>
        <v>1417465998</v>
      </c>
      <c r="E24643" s="1" t="s">
        <v>26989</v>
      </c>
      <c r="F24643" s="2"/>
      <c r="G24643" s="2"/>
      <c r="H24643" s="2"/>
    </row>
    <row r="24644" spans="1:8" x14ac:dyDescent="0.25">
      <c r="A24644" s="1"/>
      <c r="B24644" s="1" t="s">
        <v>7328</v>
      </c>
      <c r="C24644" s="1" t="s">
        <v>7329</v>
      </c>
      <c r="D24644" s="22" t="str">
        <f>HYPERLINK("https://rhld.insurance.arkansas.gov/NPILookup?Npi=1417469693","1417469693")</f>
        <v>1417469693</v>
      </c>
      <c r="E24644" s="1" t="s">
        <v>13087</v>
      </c>
      <c r="F24644" s="2"/>
      <c r="G24644" s="2"/>
      <c r="H24644" s="2"/>
    </row>
    <row r="24645" spans="1:8" x14ac:dyDescent="0.25">
      <c r="A24645" s="1"/>
      <c r="B24645" s="1" t="s">
        <v>7328</v>
      </c>
      <c r="C24645" s="1" t="s">
        <v>7329</v>
      </c>
      <c r="D24645" s="22" t="str">
        <f>HYPERLINK("https://rhld.insurance.arkansas.gov/NPILookup?Npi=1417479965","1417479965")</f>
        <v>1417479965</v>
      </c>
      <c r="E24645" s="1" t="s">
        <v>26990</v>
      </c>
      <c r="F24645" s="2"/>
      <c r="G24645" s="2"/>
      <c r="H24645" s="2"/>
    </row>
    <row r="24646" spans="1:8" x14ac:dyDescent="0.25">
      <c r="A24646" s="1"/>
      <c r="B24646" s="1" t="s">
        <v>7328</v>
      </c>
      <c r="C24646" s="1" t="s">
        <v>7329</v>
      </c>
      <c r="D24646" s="22" t="str">
        <f>HYPERLINK("https://rhld.insurance.arkansas.gov/NPILookup?Npi=1417512070","1417512070")</f>
        <v>1417512070</v>
      </c>
      <c r="E24646" s="1" t="s">
        <v>7739</v>
      </c>
      <c r="F24646" s="2"/>
      <c r="G24646" s="2"/>
      <c r="H24646" s="2"/>
    </row>
    <row r="24647" spans="1:8" x14ac:dyDescent="0.25">
      <c r="A24647" s="1"/>
      <c r="B24647" s="1" t="s">
        <v>7328</v>
      </c>
      <c r="C24647" s="1" t="s">
        <v>7329</v>
      </c>
      <c r="D24647" s="22" t="str">
        <f>HYPERLINK("https://rhld.insurance.arkansas.gov/NPILookup?Npi=1417515479","1417515479")</f>
        <v>1417515479</v>
      </c>
      <c r="E24647" s="1" t="s">
        <v>26991</v>
      </c>
      <c r="F24647" s="2"/>
      <c r="G24647" s="2"/>
      <c r="H24647" s="2"/>
    </row>
    <row r="24648" spans="1:8" x14ac:dyDescent="0.25">
      <c r="A24648" s="1"/>
      <c r="B24648" s="1" t="s">
        <v>7328</v>
      </c>
      <c r="C24648" s="1" t="s">
        <v>7329</v>
      </c>
      <c r="D24648" s="22" t="str">
        <f>HYPERLINK("https://rhld.insurance.arkansas.gov/NPILookup?Npi=1417524372","1417524372")</f>
        <v>1417524372</v>
      </c>
      <c r="E24648" s="1" t="s">
        <v>26992</v>
      </c>
      <c r="F24648" s="2"/>
      <c r="G24648" s="2"/>
      <c r="H24648" s="2"/>
    </row>
    <row r="24649" spans="1:8" x14ac:dyDescent="0.25">
      <c r="A24649" s="1"/>
      <c r="B24649" s="1" t="s">
        <v>7328</v>
      </c>
      <c r="C24649" s="1" t="s">
        <v>7329</v>
      </c>
      <c r="D24649" s="22" t="str">
        <f>HYPERLINK("https://rhld.insurance.arkansas.gov/NPILookup?Npi=1417525841","1417525841")</f>
        <v>1417525841</v>
      </c>
      <c r="E24649" s="1" t="s">
        <v>26993</v>
      </c>
      <c r="F24649" s="2"/>
      <c r="G24649" s="2"/>
      <c r="H24649" s="2"/>
    </row>
    <row r="24650" spans="1:8" x14ac:dyDescent="0.25">
      <c r="A24650" s="1"/>
      <c r="B24650" s="1" t="s">
        <v>7328</v>
      </c>
      <c r="C24650" s="1" t="s">
        <v>7329</v>
      </c>
      <c r="D24650" s="22" t="str">
        <f>HYPERLINK("https://rhld.insurance.arkansas.gov/NPILookup?Npi=1417529553","1417529553")</f>
        <v>1417529553</v>
      </c>
      <c r="E24650" s="1" t="s">
        <v>13088</v>
      </c>
      <c r="F24650" s="2"/>
      <c r="G24650" s="2"/>
      <c r="H24650" s="2"/>
    </row>
    <row r="24651" spans="1:8" x14ac:dyDescent="0.25">
      <c r="A24651" s="1"/>
      <c r="B24651" s="1" t="s">
        <v>7328</v>
      </c>
      <c r="C24651" s="1" t="s">
        <v>7329</v>
      </c>
      <c r="D24651" s="22" t="str">
        <f>HYPERLINK("https://rhld.insurance.arkansas.gov/NPILookup?Npi=1417532292","1417532292")</f>
        <v>1417532292</v>
      </c>
      <c r="E24651" s="1" t="s">
        <v>26994</v>
      </c>
      <c r="F24651" s="2"/>
      <c r="G24651" s="2"/>
      <c r="H24651" s="2"/>
    </row>
    <row r="24652" spans="1:8" x14ac:dyDescent="0.25">
      <c r="A24652" s="1"/>
      <c r="B24652" s="1" t="s">
        <v>7328</v>
      </c>
      <c r="C24652" s="1" t="s">
        <v>7329</v>
      </c>
      <c r="D24652" s="22" t="str">
        <f>HYPERLINK("https://rhld.insurance.arkansas.gov/NPILookup?Npi=1417534215","1417534215")</f>
        <v>1417534215</v>
      </c>
      <c r="E24652" s="1" t="s">
        <v>26995</v>
      </c>
      <c r="F24652" s="2"/>
      <c r="G24652" s="2"/>
      <c r="H24652" s="2"/>
    </row>
    <row r="24653" spans="1:8" x14ac:dyDescent="0.25">
      <c r="A24653" s="1"/>
      <c r="B24653" s="1" t="s">
        <v>7328</v>
      </c>
      <c r="C24653" s="1" t="s">
        <v>7329</v>
      </c>
      <c r="D24653" s="22" t="str">
        <f>HYPERLINK("https://rhld.insurance.arkansas.gov/NPILookup?Npi=1417543406","1417543406")</f>
        <v>1417543406</v>
      </c>
      <c r="E24653" s="1" t="s">
        <v>26996</v>
      </c>
      <c r="F24653" s="2"/>
      <c r="G24653" s="2"/>
      <c r="H24653" s="2"/>
    </row>
    <row r="24654" spans="1:8" x14ac:dyDescent="0.25">
      <c r="A24654" s="1"/>
      <c r="B24654" s="1" t="s">
        <v>7328</v>
      </c>
      <c r="C24654" s="1" t="s">
        <v>7329</v>
      </c>
      <c r="D24654" s="22" t="str">
        <f>HYPERLINK("https://rhld.insurance.arkansas.gov/NPILookup?Npi=1417552605","1417552605")</f>
        <v>1417552605</v>
      </c>
      <c r="E24654" s="1" t="s">
        <v>13089</v>
      </c>
      <c r="F24654" s="2"/>
      <c r="G24654" s="2"/>
      <c r="H24654" s="2"/>
    </row>
    <row r="24655" spans="1:8" x14ac:dyDescent="0.25">
      <c r="A24655" s="1"/>
      <c r="B24655" s="1" t="s">
        <v>7328</v>
      </c>
      <c r="C24655" s="1" t="s">
        <v>7329</v>
      </c>
      <c r="D24655" s="22" t="str">
        <f>HYPERLINK("https://rhld.insurance.arkansas.gov/NPILookup?Npi=1417562224","1417562224")</f>
        <v>1417562224</v>
      </c>
      <c r="E24655" s="1" t="s">
        <v>13090</v>
      </c>
      <c r="F24655" s="2"/>
      <c r="G24655" s="2"/>
      <c r="H24655" s="2"/>
    </row>
    <row r="24656" spans="1:8" x14ac:dyDescent="0.25">
      <c r="A24656" s="1"/>
      <c r="B24656" s="1" t="s">
        <v>7328</v>
      </c>
      <c r="C24656" s="1" t="s">
        <v>7329</v>
      </c>
      <c r="D24656" s="22" t="str">
        <f>HYPERLINK("https://rhld.insurance.arkansas.gov/NPILookup?Npi=1417562307","1417562307")</f>
        <v>1417562307</v>
      </c>
      <c r="E24656" s="1" t="s">
        <v>26997</v>
      </c>
      <c r="F24656" s="2"/>
      <c r="G24656" s="2"/>
      <c r="H24656" s="2"/>
    </row>
    <row r="24657" spans="1:8" x14ac:dyDescent="0.25">
      <c r="A24657" s="1"/>
      <c r="B24657" s="1" t="s">
        <v>7328</v>
      </c>
      <c r="C24657" s="1" t="s">
        <v>7329</v>
      </c>
      <c r="D24657" s="22" t="str">
        <f>HYPERLINK("https://rhld.insurance.arkansas.gov/NPILookup?Npi=1417566753","1417566753")</f>
        <v>1417566753</v>
      </c>
      <c r="E24657" s="1" t="s">
        <v>26998</v>
      </c>
      <c r="F24657" s="2"/>
      <c r="G24657" s="2"/>
      <c r="H24657" s="2"/>
    </row>
    <row r="24658" spans="1:8" x14ac:dyDescent="0.25">
      <c r="A24658" s="1"/>
      <c r="B24658" s="1" t="s">
        <v>7328</v>
      </c>
      <c r="C24658" s="1" t="s">
        <v>7329</v>
      </c>
      <c r="D24658" s="22" t="str">
        <f>HYPERLINK("https://rhld.insurance.arkansas.gov/NPILookup?Npi=1417583709","1417583709")</f>
        <v>1417583709</v>
      </c>
      <c r="E24658" s="1" t="s">
        <v>13091</v>
      </c>
      <c r="F24658" s="2"/>
      <c r="G24658" s="2"/>
      <c r="H24658" s="2"/>
    </row>
    <row r="24659" spans="1:8" x14ac:dyDescent="0.25">
      <c r="A24659" s="1"/>
      <c r="B24659" s="1" t="s">
        <v>7328</v>
      </c>
      <c r="C24659" s="1" t="s">
        <v>7329</v>
      </c>
      <c r="D24659" s="22" t="str">
        <f>HYPERLINK("https://rhld.insurance.arkansas.gov/NPILookup?Npi=1417585811","1417585811")</f>
        <v>1417585811</v>
      </c>
      <c r="E24659" s="1" t="s">
        <v>26999</v>
      </c>
      <c r="F24659" s="2"/>
      <c r="G24659" s="2"/>
      <c r="H24659" s="2"/>
    </row>
    <row r="24660" spans="1:8" x14ac:dyDescent="0.25">
      <c r="A24660" s="1"/>
      <c r="B24660" s="1" t="s">
        <v>7328</v>
      </c>
      <c r="C24660" s="1" t="s">
        <v>7329</v>
      </c>
      <c r="D24660" s="22" t="str">
        <f>HYPERLINK("https://rhld.insurance.arkansas.gov/NPILookup?Npi=1417585845","1417585845")</f>
        <v>1417585845</v>
      </c>
      <c r="E24660" s="1" t="s">
        <v>17509</v>
      </c>
      <c r="F24660" s="2"/>
      <c r="G24660" s="2"/>
      <c r="H24660" s="2"/>
    </row>
    <row r="24661" spans="1:8" x14ac:dyDescent="0.25">
      <c r="A24661" s="1"/>
      <c r="B24661" s="1" t="s">
        <v>7328</v>
      </c>
      <c r="C24661" s="1" t="s">
        <v>7329</v>
      </c>
      <c r="D24661" s="22" t="str">
        <f>HYPERLINK("https://rhld.insurance.arkansas.gov/NPILookup?Npi=1417587239","1417587239")</f>
        <v>1417587239</v>
      </c>
      <c r="E24661" s="1" t="s">
        <v>27000</v>
      </c>
      <c r="F24661" s="2"/>
      <c r="G24661" s="2"/>
      <c r="H24661" s="2"/>
    </row>
    <row r="24662" spans="1:8" x14ac:dyDescent="0.25">
      <c r="A24662" s="1"/>
      <c r="B24662" s="1" t="s">
        <v>7328</v>
      </c>
      <c r="C24662" s="1" t="s">
        <v>7329</v>
      </c>
      <c r="D24662" s="22" t="str">
        <f>HYPERLINK("https://rhld.insurance.arkansas.gov/NPILookup?Npi=1417588393","1417588393")</f>
        <v>1417588393</v>
      </c>
      <c r="E24662" s="1" t="s">
        <v>2015</v>
      </c>
      <c r="F24662" s="2"/>
      <c r="G24662" s="2"/>
      <c r="H24662" s="2"/>
    </row>
    <row r="24663" spans="1:8" x14ac:dyDescent="0.25">
      <c r="A24663" s="1"/>
      <c r="B24663" s="1" t="s">
        <v>7328</v>
      </c>
      <c r="C24663" s="1" t="s">
        <v>7329</v>
      </c>
      <c r="D24663" s="22" t="str">
        <f>HYPERLINK("https://rhld.insurance.arkansas.gov/NPILookup?Npi=1417589144","1417589144")</f>
        <v>1417589144</v>
      </c>
      <c r="E24663" s="1" t="s">
        <v>10740</v>
      </c>
      <c r="F24663" s="2"/>
      <c r="G24663" s="2"/>
      <c r="H24663" s="2"/>
    </row>
    <row r="24664" spans="1:8" x14ac:dyDescent="0.25">
      <c r="A24664" s="1"/>
      <c r="B24664" s="1" t="s">
        <v>7328</v>
      </c>
      <c r="C24664" s="1" t="s">
        <v>7329</v>
      </c>
      <c r="D24664" s="22" t="str">
        <f>HYPERLINK("https://rhld.insurance.arkansas.gov/NPILookup?Npi=1417607755","1417607755")</f>
        <v>1417607755</v>
      </c>
      <c r="E24664" s="1" t="s">
        <v>27001</v>
      </c>
      <c r="F24664" s="2"/>
      <c r="G24664" s="2"/>
      <c r="H24664" s="2"/>
    </row>
    <row r="24665" spans="1:8" x14ac:dyDescent="0.25">
      <c r="A24665" s="1"/>
      <c r="B24665" s="1" t="s">
        <v>7328</v>
      </c>
      <c r="C24665" s="1" t="s">
        <v>7329</v>
      </c>
      <c r="D24665" s="22" t="str">
        <f>HYPERLINK("https://rhld.insurance.arkansas.gov/NPILookup?Npi=1417613704","1417613704")</f>
        <v>1417613704</v>
      </c>
      <c r="E24665" s="1" t="s">
        <v>7740</v>
      </c>
      <c r="F24665" s="2"/>
      <c r="G24665" s="2"/>
      <c r="H24665" s="2"/>
    </row>
    <row r="24666" spans="1:8" x14ac:dyDescent="0.25">
      <c r="A24666" s="1"/>
      <c r="B24666" s="1" t="s">
        <v>7328</v>
      </c>
      <c r="C24666" s="1" t="s">
        <v>7329</v>
      </c>
      <c r="D24666" s="22" t="str">
        <f>HYPERLINK("https://rhld.insurance.arkansas.gov/NPILookup?Npi=1417623398","1417623398")</f>
        <v>1417623398</v>
      </c>
      <c r="E24666" s="1" t="s">
        <v>27002</v>
      </c>
      <c r="F24666" s="2"/>
      <c r="G24666" s="2"/>
      <c r="H24666" s="2"/>
    </row>
    <row r="24667" spans="1:8" x14ac:dyDescent="0.25">
      <c r="A24667" s="1"/>
      <c r="B24667" s="1" t="s">
        <v>7328</v>
      </c>
      <c r="C24667" s="1" t="s">
        <v>7329</v>
      </c>
      <c r="D24667" s="22" t="str">
        <f>HYPERLINK("https://rhld.insurance.arkansas.gov/NPILookup?Npi=1417656828","1417656828")</f>
        <v>1417656828</v>
      </c>
      <c r="E24667" s="1" t="s">
        <v>7741</v>
      </c>
      <c r="F24667" s="2"/>
      <c r="G24667" s="2"/>
      <c r="H24667" s="2"/>
    </row>
    <row r="24668" spans="1:8" x14ac:dyDescent="0.25">
      <c r="A24668" s="1"/>
      <c r="B24668" s="1" t="s">
        <v>7328</v>
      </c>
      <c r="C24668" s="1" t="s">
        <v>7329</v>
      </c>
      <c r="D24668" s="22" t="str">
        <f>HYPERLINK("https://rhld.insurance.arkansas.gov/NPILookup?Npi=1417686262","1417686262")</f>
        <v>1417686262</v>
      </c>
      <c r="E24668" s="1" t="s">
        <v>2378</v>
      </c>
      <c r="F24668" s="2"/>
      <c r="G24668" s="2"/>
      <c r="H24668" s="2"/>
    </row>
    <row r="24669" spans="1:8" x14ac:dyDescent="0.25">
      <c r="A24669" s="1"/>
      <c r="B24669" s="1" t="s">
        <v>7328</v>
      </c>
      <c r="C24669" s="1" t="s">
        <v>7329</v>
      </c>
      <c r="D24669" s="22" t="str">
        <f>HYPERLINK("https://rhld.insurance.arkansas.gov/NPILookup?Npi=1417707662","1417707662")</f>
        <v>1417707662</v>
      </c>
      <c r="E24669" s="1" t="s">
        <v>27003</v>
      </c>
      <c r="F24669" s="2"/>
      <c r="G24669" s="2"/>
      <c r="H24669" s="2"/>
    </row>
    <row r="24670" spans="1:8" x14ac:dyDescent="0.25">
      <c r="A24670" s="1"/>
      <c r="B24670" s="1" t="s">
        <v>7328</v>
      </c>
      <c r="C24670" s="1" t="s">
        <v>7329</v>
      </c>
      <c r="D24670" s="22" t="str">
        <f>HYPERLINK("https://rhld.insurance.arkansas.gov/NPILookup?Npi=1417720723","1417720723")</f>
        <v>1417720723</v>
      </c>
      <c r="E24670" s="1" t="s">
        <v>32223</v>
      </c>
      <c r="F24670" s="2"/>
      <c r="G24670" s="2"/>
      <c r="H24670" s="2"/>
    </row>
    <row r="24671" spans="1:8" x14ac:dyDescent="0.25">
      <c r="A24671" s="1"/>
      <c r="B24671" s="1" t="s">
        <v>7328</v>
      </c>
      <c r="C24671" s="1" t="s">
        <v>7329</v>
      </c>
      <c r="D24671" s="22" t="str">
        <f>HYPERLINK("https://rhld.insurance.arkansas.gov/NPILookup?Npi=1417738311","1417738311")</f>
        <v>1417738311</v>
      </c>
      <c r="E24671" s="1" t="s">
        <v>7013</v>
      </c>
      <c r="F24671" s="2"/>
      <c r="G24671" s="2"/>
      <c r="H24671" s="2"/>
    </row>
    <row r="24672" spans="1:8" x14ac:dyDescent="0.25">
      <c r="A24672" s="1"/>
      <c r="B24672" s="1" t="s">
        <v>7328</v>
      </c>
      <c r="C24672" s="1" t="s">
        <v>7329</v>
      </c>
      <c r="D24672" s="22" t="str">
        <f>HYPERLINK("https://rhld.insurance.arkansas.gov/NPILookup?Npi=1417793860","1417793860")</f>
        <v>1417793860</v>
      </c>
      <c r="E24672" s="1" t="s">
        <v>32224</v>
      </c>
      <c r="F24672" s="2"/>
      <c r="G24672" s="2"/>
      <c r="H24672" s="2"/>
    </row>
    <row r="24673" spans="1:8" x14ac:dyDescent="0.25">
      <c r="A24673" s="1"/>
      <c r="B24673" s="1" t="s">
        <v>7328</v>
      </c>
      <c r="C24673" s="1" t="s">
        <v>7329</v>
      </c>
      <c r="D24673" s="22" t="str">
        <f>HYPERLINK("https://rhld.insurance.arkansas.gov/NPILookup?Npi=1417796749","1417796749")</f>
        <v>1417796749</v>
      </c>
      <c r="E24673" s="1" t="s">
        <v>32225</v>
      </c>
      <c r="F24673" s="2"/>
      <c r="G24673" s="2"/>
      <c r="H24673" s="2"/>
    </row>
    <row r="24674" spans="1:8" x14ac:dyDescent="0.25">
      <c r="A24674" s="1"/>
      <c r="B24674" s="1" t="s">
        <v>7328</v>
      </c>
      <c r="C24674" s="1" t="s">
        <v>7329</v>
      </c>
      <c r="D24674" s="22" t="str">
        <f>HYPERLINK("https://rhld.insurance.arkansas.gov/NPILookup?Npi=1417906827","1417906827")</f>
        <v>1417906827</v>
      </c>
      <c r="E24674" s="1" t="s">
        <v>1094</v>
      </c>
      <c r="F24674" s="2"/>
      <c r="G24674" s="2"/>
      <c r="H24674" s="2"/>
    </row>
    <row r="24675" spans="1:8" x14ac:dyDescent="0.25">
      <c r="A24675" s="1"/>
      <c r="B24675" s="1" t="s">
        <v>7328</v>
      </c>
      <c r="C24675" s="1" t="s">
        <v>7329</v>
      </c>
      <c r="D24675" s="22" t="str">
        <f>HYPERLINK("https://rhld.insurance.arkansas.gov/NPILookup?Npi=1417908872","1417908872")</f>
        <v>1417908872</v>
      </c>
      <c r="E24675" s="1" t="s">
        <v>27004</v>
      </c>
      <c r="F24675" s="2"/>
      <c r="G24675" s="2"/>
      <c r="H24675" s="2"/>
    </row>
    <row r="24676" spans="1:8" x14ac:dyDescent="0.25">
      <c r="A24676" s="1"/>
      <c r="B24676" s="1" t="s">
        <v>7328</v>
      </c>
      <c r="C24676" s="1" t="s">
        <v>7329</v>
      </c>
      <c r="D24676" s="22" t="str">
        <f>HYPERLINK("https://rhld.insurance.arkansas.gov/NPILookup?Npi=1417910670","1417910670")</f>
        <v>1417910670</v>
      </c>
      <c r="E24676" s="1" t="s">
        <v>27005</v>
      </c>
      <c r="F24676" s="2"/>
      <c r="G24676" s="2"/>
      <c r="H24676" s="2"/>
    </row>
    <row r="24677" spans="1:8" x14ac:dyDescent="0.25">
      <c r="A24677" s="1"/>
      <c r="B24677" s="1" t="s">
        <v>7328</v>
      </c>
      <c r="C24677" s="1" t="s">
        <v>7329</v>
      </c>
      <c r="D24677" s="22" t="str">
        <f>HYPERLINK("https://rhld.insurance.arkansas.gov/NPILookup?Npi=1417913484","1417913484")</f>
        <v>1417913484</v>
      </c>
      <c r="E24677" s="1" t="s">
        <v>27006</v>
      </c>
      <c r="F24677" s="2"/>
      <c r="G24677" s="2"/>
      <c r="H24677" s="2"/>
    </row>
    <row r="24678" spans="1:8" x14ac:dyDescent="0.25">
      <c r="A24678" s="1"/>
      <c r="B24678" s="1" t="s">
        <v>7328</v>
      </c>
      <c r="C24678" s="1" t="s">
        <v>7329</v>
      </c>
      <c r="D24678" s="22" t="str">
        <f>HYPERLINK("https://rhld.insurance.arkansas.gov/NPILookup?Npi=1417916933","1417916933")</f>
        <v>1417916933</v>
      </c>
      <c r="E24678" s="1" t="s">
        <v>2016</v>
      </c>
      <c r="F24678" s="2"/>
      <c r="G24678" s="2"/>
      <c r="H24678" s="2"/>
    </row>
    <row r="24679" spans="1:8" x14ac:dyDescent="0.25">
      <c r="A24679" s="1"/>
      <c r="B24679" s="1" t="s">
        <v>7328</v>
      </c>
      <c r="C24679" s="1" t="s">
        <v>7329</v>
      </c>
      <c r="D24679" s="22" t="str">
        <f>HYPERLINK("https://rhld.insurance.arkansas.gov/NPILookup?Npi=1417918426","1417918426")</f>
        <v>1417918426</v>
      </c>
      <c r="E24679" s="1" t="s">
        <v>141</v>
      </c>
      <c r="F24679" s="2"/>
      <c r="G24679" s="2"/>
      <c r="H24679" s="2"/>
    </row>
    <row r="24680" spans="1:8" x14ac:dyDescent="0.25">
      <c r="A24680" s="1"/>
      <c r="B24680" s="1" t="s">
        <v>7328</v>
      </c>
      <c r="C24680" s="1" t="s">
        <v>7329</v>
      </c>
      <c r="D24680" s="22" t="str">
        <f>HYPERLINK("https://rhld.insurance.arkansas.gov/NPILookup?Npi=1417921156","1417921156")</f>
        <v>1417921156</v>
      </c>
      <c r="E24680" s="1" t="s">
        <v>13092</v>
      </c>
      <c r="F24680" s="2"/>
      <c r="G24680" s="2"/>
      <c r="H24680" s="2"/>
    </row>
    <row r="24681" spans="1:8" x14ac:dyDescent="0.25">
      <c r="A24681" s="1"/>
      <c r="B24681" s="1" t="s">
        <v>7328</v>
      </c>
      <c r="C24681" s="1" t="s">
        <v>7329</v>
      </c>
      <c r="D24681" s="22" t="str">
        <f>HYPERLINK("https://rhld.insurance.arkansas.gov/NPILookup?Npi=1417922667","1417922667")</f>
        <v>1417922667</v>
      </c>
      <c r="E24681" s="1" t="s">
        <v>27007</v>
      </c>
      <c r="F24681" s="2"/>
      <c r="G24681" s="2"/>
      <c r="H24681" s="2"/>
    </row>
    <row r="24682" spans="1:8" x14ac:dyDescent="0.25">
      <c r="A24682" s="1"/>
      <c r="B24682" s="1" t="s">
        <v>7328</v>
      </c>
      <c r="C24682" s="1" t="s">
        <v>7329</v>
      </c>
      <c r="D24682" s="22" t="str">
        <f>HYPERLINK("https://rhld.insurance.arkansas.gov/NPILookup?Npi=1417922709","1417922709")</f>
        <v>1417922709</v>
      </c>
      <c r="E24682" s="1" t="s">
        <v>1095</v>
      </c>
      <c r="F24682" s="2"/>
      <c r="G24682" s="2"/>
      <c r="H24682" s="2"/>
    </row>
    <row r="24683" spans="1:8" x14ac:dyDescent="0.25">
      <c r="A24683" s="1"/>
      <c r="B24683" s="1" t="s">
        <v>7328</v>
      </c>
      <c r="C24683" s="1" t="s">
        <v>7329</v>
      </c>
      <c r="D24683" s="22" t="str">
        <f>HYPERLINK("https://rhld.insurance.arkansas.gov/NPILookup?Npi=1417925314","1417925314")</f>
        <v>1417925314</v>
      </c>
      <c r="E24683" s="1" t="s">
        <v>2823</v>
      </c>
      <c r="F24683" s="2"/>
      <c r="G24683" s="2"/>
      <c r="H24683" s="2"/>
    </row>
    <row r="24684" spans="1:8" x14ac:dyDescent="0.25">
      <c r="A24684" s="1"/>
      <c r="B24684" s="1" t="s">
        <v>7328</v>
      </c>
      <c r="C24684" s="1" t="s">
        <v>7329</v>
      </c>
      <c r="D24684" s="22" t="str">
        <f>HYPERLINK("https://rhld.insurance.arkansas.gov/NPILookup?Npi=1417927369","1417927369")</f>
        <v>1417927369</v>
      </c>
      <c r="E24684" s="1" t="s">
        <v>27008</v>
      </c>
      <c r="F24684" s="2"/>
      <c r="G24684" s="2"/>
      <c r="H24684" s="2"/>
    </row>
    <row r="24685" spans="1:8" x14ac:dyDescent="0.25">
      <c r="A24685" s="1"/>
      <c r="B24685" s="1" t="s">
        <v>7328</v>
      </c>
      <c r="C24685" s="1" t="s">
        <v>7329</v>
      </c>
      <c r="D24685" s="22" t="str">
        <f>HYPERLINK("https://rhld.insurance.arkansas.gov/NPILookup?Npi=1417929316","1417929316")</f>
        <v>1417929316</v>
      </c>
      <c r="E24685" s="1" t="s">
        <v>13093</v>
      </c>
      <c r="F24685" s="2"/>
      <c r="G24685" s="2"/>
      <c r="H24685" s="2"/>
    </row>
    <row r="24686" spans="1:8" x14ac:dyDescent="0.25">
      <c r="A24686" s="1"/>
      <c r="B24686" s="1" t="s">
        <v>7328</v>
      </c>
      <c r="C24686" s="1" t="s">
        <v>7329</v>
      </c>
      <c r="D24686" s="22" t="str">
        <f>HYPERLINK("https://rhld.insurance.arkansas.gov/NPILookup?Npi=1417941022","1417941022")</f>
        <v>1417941022</v>
      </c>
      <c r="E24686" s="1" t="s">
        <v>27009</v>
      </c>
      <c r="F24686" s="2"/>
      <c r="G24686" s="2"/>
      <c r="H24686" s="2"/>
    </row>
    <row r="24687" spans="1:8" x14ac:dyDescent="0.25">
      <c r="A24687" s="1"/>
      <c r="B24687" s="1" t="s">
        <v>7328</v>
      </c>
      <c r="C24687" s="1" t="s">
        <v>7329</v>
      </c>
      <c r="D24687" s="22" t="str">
        <f>HYPERLINK("https://rhld.insurance.arkansas.gov/NPILookup?Npi=1417949801","1417949801")</f>
        <v>1417949801</v>
      </c>
      <c r="E24687" s="1" t="s">
        <v>27010</v>
      </c>
      <c r="F24687" s="2"/>
      <c r="G24687" s="2"/>
      <c r="H24687" s="2"/>
    </row>
    <row r="24688" spans="1:8" x14ac:dyDescent="0.25">
      <c r="A24688" s="1"/>
      <c r="B24688" s="1" t="s">
        <v>7328</v>
      </c>
      <c r="C24688" s="1" t="s">
        <v>7329</v>
      </c>
      <c r="D24688" s="22" t="str">
        <f>HYPERLINK("https://rhld.insurance.arkansas.gov/NPILookup?Npi=1417955766","1417955766")</f>
        <v>1417955766</v>
      </c>
      <c r="E24688" s="1" t="s">
        <v>13094</v>
      </c>
      <c r="F24688" s="2"/>
      <c r="G24688" s="2"/>
      <c r="H24688" s="2"/>
    </row>
    <row r="24689" spans="1:8" x14ac:dyDescent="0.25">
      <c r="A24689" s="1"/>
      <c r="B24689" s="1" t="s">
        <v>7328</v>
      </c>
      <c r="C24689" s="1" t="s">
        <v>7329</v>
      </c>
      <c r="D24689" s="22" t="str">
        <f>HYPERLINK("https://rhld.insurance.arkansas.gov/NPILookup?Npi=1417958919","1417958919")</f>
        <v>1417958919</v>
      </c>
      <c r="E24689" s="1" t="s">
        <v>27011</v>
      </c>
      <c r="F24689" s="2"/>
      <c r="G24689" s="2"/>
      <c r="H24689" s="2"/>
    </row>
    <row r="24690" spans="1:8" x14ac:dyDescent="0.25">
      <c r="A24690" s="1"/>
      <c r="B24690" s="1" t="s">
        <v>7328</v>
      </c>
      <c r="C24690" s="1" t="s">
        <v>7329</v>
      </c>
      <c r="D24690" s="22" t="str">
        <f>HYPERLINK("https://rhld.insurance.arkansas.gov/NPILookup?Npi=1417969478","1417969478")</f>
        <v>1417969478</v>
      </c>
      <c r="E24690" s="1" t="s">
        <v>27012</v>
      </c>
      <c r="F24690" s="2"/>
      <c r="G24690" s="2"/>
      <c r="H24690" s="2"/>
    </row>
    <row r="24691" spans="1:8" x14ac:dyDescent="0.25">
      <c r="A24691" s="1"/>
      <c r="B24691" s="1" t="s">
        <v>7328</v>
      </c>
      <c r="C24691" s="1" t="s">
        <v>7329</v>
      </c>
      <c r="D24691" s="22" t="str">
        <f>HYPERLINK("https://rhld.insurance.arkansas.gov/NPILookup?Npi=1417980384","1417980384")</f>
        <v>1417980384</v>
      </c>
      <c r="E24691" s="1" t="s">
        <v>142</v>
      </c>
      <c r="F24691" s="2"/>
      <c r="G24691" s="2"/>
      <c r="H24691" s="2"/>
    </row>
    <row r="24692" spans="1:8" x14ac:dyDescent="0.25">
      <c r="A24692" s="1"/>
      <c r="B24692" s="1" t="s">
        <v>7328</v>
      </c>
      <c r="C24692" s="1" t="s">
        <v>7329</v>
      </c>
      <c r="D24692" s="22" t="str">
        <f>HYPERLINK("https://rhld.insurance.arkansas.gov/NPILookup?Npi=1417995457","1417995457")</f>
        <v>1417995457</v>
      </c>
      <c r="E24692" s="1" t="s">
        <v>2824</v>
      </c>
      <c r="F24692" s="2"/>
      <c r="G24692" s="2"/>
      <c r="H24692" s="2"/>
    </row>
    <row r="24693" spans="1:8" x14ac:dyDescent="0.25">
      <c r="A24693" s="1"/>
      <c r="B24693" s="1" t="s">
        <v>7328</v>
      </c>
      <c r="C24693" s="1" t="s">
        <v>7329</v>
      </c>
      <c r="D24693" s="22" t="str">
        <f>HYPERLINK("https://rhld.insurance.arkansas.gov/NPILookup?Npi=1427002146","1427002146")</f>
        <v>1427002146</v>
      </c>
      <c r="E24693" s="1" t="s">
        <v>17511</v>
      </c>
      <c r="F24693" s="2"/>
      <c r="G24693" s="2"/>
      <c r="H24693" s="2"/>
    </row>
    <row r="24694" spans="1:8" x14ac:dyDescent="0.25">
      <c r="A24694" s="1"/>
      <c r="B24694" s="1" t="s">
        <v>7328</v>
      </c>
      <c r="C24694" s="1" t="s">
        <v>7329</v>
      </c>
      <c r="D24694" s="22" t="str">
        <f>HYPERLINK("https://rhld.insurance.arkansas.gov/NPILookup?Npi=1427011410","1427011410")</f>
        <v>1427011410</v>
      </c>
      <c r="E24694" s="1" t="s">
        <v>107</v>
      </c>
      <c r="F24694" s="2"/>
      <c r="G24694" s="2"/>
      <c r="H24694" s="2"/>
    </row>
    <row r="24695" spans="1:8" x14ac:dyDescent="0.25">
      <c r="A24695" s="1"/>
      <c r="B24695" s="1" t="s">
        <v>7328</v>
      </c>
      <c r="C24695" s="1" t="s">
        <v>7329</v>
      </c>
      <c r="D24695" s="22" t="str">
        <f>HYPERLINK("https://rhld.insurance.arkansas.gov/NPILookup?Npi=1427013945","1427013945")</f>
        <v>1427013945</v>
      </c>
      <c r="E24695" s="1" t="s">
        <v>2825</v>
      </c>
      <c r="F24695" s="2"/>
      <c r="G24695" s="2"/>
      <c r="H24695" s="2"/>
    </row>
    <row r="24696" spans="1:8" x14ac:dyDescent="0.25">
      <c r="A24696" s="1"/>
      <c r="B24696" s="1" t="s">
        <v>7328</v>
      </c>
      <c r="C24696" s="1" t="s">
        <v>7329</v>
      </c>
      <c r="D24696" s="22" t="str">
        <f>HYPERLINK("https://rhld.insurance.arkansas.gov/NPILookup?Npi=1427018043","1427018043")</f>
        <v>1427018043</v>
      </c>
      <c r="E24696" s="1" t="s">
        <v>2826</v>
      </c>
      <c r="F24696" s="2"/>
      <c r="G24696" s="2"/>
      <c r="H24696" s="2"/>
    </row>
    <row r="24697" spans="1:8" x14ac:dyDescent="0.25">
      <c r="A24697" s="1"/>
      <c r="B24697" s="1" t="s">
        <v>7328</v>
      </c>
      <c r="C24697" s="1" t="s">
        <v>7329</v>
      </c>
      <c r="D24697" s="22" t="str">
        <f>HYPERLINK("https://rhld.insurance.arkansas.gov/NPILookup?Npi=1427021435","1427021435")</f>
        <v>1427021435</v>
      </c>
      <c r="E24697" s="1" t="s">
        <v>4188</v>
      </c>
      <c r="F24697" s="2"/>
      <c r="G24697" s="2"/>
      <c r="H24697" s="2"/>
    </row>
    <row r="24698" spans="1:8" x14ac:dyDescent="0.25">
      <c r="A24698" s="1"/>
      <c r="B24698" s="1" t="s">
        <v>7328</v>
      </c>
      <c r="C24698" s="1" t="s">
        <v>7329</v>
      </c>
      <c r="D24698" s="22" t="str">
        <f>HYPERLINK("https://rhld.insurance.arkansas.gov/NPILookup?Npi=1427031038","1427031038")</f>
        <v>1427031038</v>
      </c>
      <c r="E24698" s="1" t="s">
        <v>2017</v>
      </c>
      <c r="F24698" s="2"/>
      <c r="G24698" s="2"/>
      <c r="H24698" s="2"/>
    </row>
    <row r="24699" spans="1:8" x14ac:dyDescent="0.25">
      <c r="A24699" s="1"/>
      <c r="B24699" s="1" t="s">
        <v>7328</v>
      </c>
      <c r="C24699" s="1" t="s">
        <v>7329</v>
      </c>
      <c r="D24699" s="22" t="str">
        <f>HYPERLINK("https://rhld.insurance.arkansas.gov/NPILookup?Npi=1427038082","1427038082")</f>
        <v>1427038082</v>
      </c>
      <c r="E24699" s="1" t="s">
        <v>27013</v>
      </c>
      <c r="F24699" s="2"/>
      <c r="G24699" s="2"/>
      <c r="H24699" s="2"/>
    </row>
    <row r="24700" spans="1:8" x14ac:dyDescent="0.25">
      <c r="A24700" s="1"/>
      <c r="B24700" s="1" t="s">
        <v>7328</v>
      </c>
      <c r="C24700" s="1" t="s">
        <v>7329</v>
      </c>
      <c r="D24700" s="22" t="str">
        <f>HYPERLINK("https://rhld.insurance.arkansas.gov/NPILookup?Npi=1427038678","1427038678")</f>
        <v>1427038678</v>
      </c>
      <c r="E24700" s="1" t="s">
        <v>17513</v>
      </c>
      <c r="F24700" s="2"/>
      <c r="G24700" s="2"/>
      <c r="H24700" s="2"/>
    </row>
    <row r="24701" spans="1:8" x14ac:dyDescent="0.25">
      <c r="A24701" s="1"/>
      <c r="B24701" s="1" t="s">
        <v>7328</v>
      </c>
      <c r="C24701" s="1" t="s">
        <v>7329</v>
      </c>
      <c r="D24701" s="22" t="str">
        <f>HYPERLINK("https://rhld.insurance.arkansas.gov/NPILookup?Npi=1427060698","1427060698")</f>
        <v>1427060698</v>
      </c>
      <c r="E24701" s="1" t="s">
        <v>27014</v>
      </c>
      <c r="F24701" s="2"/>
      <c r="G24701" s="2"/>
      <c r="H24701" s="2"/>
    </row>
    <row r="24702" spans="1:8" x14ac:dyDescent="0.25">
      <c r="A24702" s="1"/>
      <c r="B24702" s="1" t="s">
        <v>7328</v>
      </c>
      <c r="C24702" s="1" t="s">
        <v>7329</v>
      </c>
      <c r="D24702" s="22" t="str">
        <f>HYPERLINK("https://rhld.insurance.arkansas.gov/NPILookup?Npi=1427062058","1427062058")</f>
        <v>1427062058</v>
      </c>
      <c r="E24702" s="1" t="s">
        <v>27015</v>
      </c>
      <c r="F24702" s="2"/>
      <c r="G24702" s="2"/>
      <c r="H24702" s="2"/>
    </row>
    <row r="24703" spans="1:8" x14ac:dyDescent="0.25">
      <c r="A24703" s="1"/>
      <c r="B24703" s="1" t="s">
        <v>7328</v>
      </c>
      <c r="C24703" s="1" t="s">
        <v>7329</v>
      </c>
      <c r="D24703" s="22" t="str">
        <f>HYPERLINK("https://rhld.insurance.arkansas.gov/NPILookup?Npi=1427067867","1427067867")</f>
        <v>1427067867</v>
      </c>
      <c r="E24703" s="1" t="s">
        <v>13095</v>
      </c>
      <c r="F24703" s="2"/>
      <c r="G24703" s="2"/>
      <c r="H24703" s="2"/>
    </row>
    <row r="24704" spans="1:8" x14ac:dyDescent="0.25">
      <c r="A24704" s="1"/>
      <c r="B24704" s="1" t="s">
        <v>7328</v>
      </c>
      <c r="C24704" s="1" t="s">
        <v>7329</v>
      </c>
      <c r="D24704" s="22" t="str">
        <f>HYPERLINK("https://rhld.insurance.arkansas.gov/NPILookup?Npi=1427069616","1427069616")</f>
        <v>1427069616</v>
      </c>
      <c r="E24704" s="1" t="s">
        <v>27016</v>
      </c>
      <c r="F24704" s="2"/>
      <c r="G24704" s="2"/>
      <c r="H24704" s="2"/>
    </row>
    <row r="24705" spans="1:8" x14ac:dyDescent="0.25">
      <c r="A24705" s="1"/>
      <c r="B24705" s="1" t="s">
        <v>7328</v>
      </c>
      <c r="C24705" s="1" t="s">
        <v>7329</v>
      </c>
      <c r="D24705" s="22" t="str">
        <f>HYPERLINK("https://rhld.insurance.arkansas.gov/NPILookup?Npi=1427070606","1427070606")</f>
        <v>1427070606</v>
      </c>
      <c r="E24705" s="1" t="s">
        <v>9755</v>
      </c>
      <c r="F24705" s="2"/>
      <c r="G24705" s="2"/>
      <c r="H24705" s="2"/>
    </row>
    <row r="24706" spans="1:8" x14ac:dyDescent="0.25">
      <c r="A24706" s="1"/>
      <c r="B24706" s="1" t="s">
        <v>7328</v>
      </c>
      <c r="C24706" s="1" t="s">
        <v>7329</v>
      </c>
      <c r="D24706" s="22" t="str">
        <f>HYPERLINK("https://rhld.insurance.arkansas.gov/NPILookup?Npi=1427083351","1427083351")</f>
        <v>1427083351</v>
      </c>
      <c r="E24706" s="1" t="s">
        <v>27017</v>
      </c>
      <c r="F24706" s="2"/>
      <c r="G24706" s="2"/>
      <c r="H24706" s="2"/>
    </row>
    <row r="24707" spans="1:8" x14ac:dyDescent="0.25">
      <c r="A24707" s="1"/>
      <c r="B24707" s="1" t="s">
        <v>7328</v>
      </c>
      <c r="C24707" s="1" t="s">
        <v>7329</v>
      </c>
      <c r="D24707" s="22" t="str">
        <f>HYPERLINK("https://rhld.insurance.arkansas.gov/NPILookup?Npi=1427083922","1427083922")</f>
        <v>1427083922</v>
      </c>
      <c r="E24707" s="1" t="s">
        <v>27018</v>
      </c>
      <c r="F24707" s="2"/>
      <c r="G24707" s="2"/>
      <c r="H24707" s="2"/>
    </row>
    <row r="24708" spans="1:8" x14ac:dyDescent="0.25">
      <c r="A24708" s="1"/>
      <c r="B24708" s="1" t="s">
        <v>7328</v>
      </c>
      <c r="C24708" s="1" t="s">
        <v>7329</v>
      </c>
      <c r="D24708" s="22" t="str">
        <f>HYPERLINK("https://rhld.insurance.arkansas.gov/NPILookup?Npi=1427085075","1427085075")</f>
        <v>1427085075</v>
      </c>
      <c r="E24708" s="1" t="s">
        <v>27019</v>
      </c>
      <c r="F24708" s="2"/>
      <c r="G24708" s="2"/>
      <c r="H24708" s="2"/>
    </row>
    <row r="24709" spans="1:8" x14ac:dyDescent="0.25">
      <c r="A24709" s="1"/>
      <c r="B24709" s="1" t="s">
        <v>7328</v>
      </c>
      <c r="C24709" s="1" t="s">
        <v>7329</v>
      </c>
      <c r="D24709" s="22" t="str">
        <f>HYPERLINK("https://rhld.insurance.arkansas.gov/NPILookup?Npi=1427085851","1427085851")</f>
        <v>1427085851</v>
      </c>
      <c r="E24709" s="1" t="s">
        <v>13096</v>
      </c>
      <c r="F24709" s="2"/>
      <c r="G24709" s="2"/>
      <c r="H24709" s="2"/>
    </row>
    <row r="24710" spans="1:8" x14ac:dyDescent="0.25">
      <c r="A24710" s="1"/>
      <c r="B24710" s="1" t="s">
        <v>7328</v>
      </c>
      <c r="C24710" s="1" t="s">
        <v>7329</v>
      </c>
      <c r="D24710" s="22" t="str">
        <f>HYPERLINK("https://rhld.insurance.arkansas.gov/NPILookup?Npi=1427088814","1427088814")</f>
        <v>1427088814</v>
      </c>
      <c r="E24710" s="1" t="s">
        <v>13097</v>
      </c>
      <c r="F24710" s="2"/>
      <c r="G24710" s="2"/>
      <c r="H24710" s="2"/>
    </row>
    <row r="24711" spans="1:8" x14ac:dyDescent="0.25">
      <c r="A24711" s="1"/>
      <c r="B24711" s="1" t="s">
        <v>7328</v>
      </c>
      <c r="C24711" s="1" t="s">
        <v>7329</v>
      </c>
      <c r="D24711" s="22" t="str">
        <f>HYPERLINK("https://rhld.insurance.arkansas.gov/NPILookup?Npi=1427090372","1427090372")</f>
        <v>1427090372</v>
      </c>
      <c r="E24711" s="1" t="s">
        <v>27020</v>
      </c>
      <c r="F24711" s="2"/>
      <c r="G24711" s="2"/>
      <c r="H24711" s="2"/>
    </row>
    <row r="24712" spans="1:8" x14ac:dyDescent="0.25">
      <c r="A24712" s="1"/>
      <c r="B24712" s="1" t="s">
        <v>7328</v>
      </c>
      <c r="C24712" s="1" t="s">
        <v>7329</v>
      </c>
      <c r="D24712" s="22" t="str">
        <f>HYPERLINK("https://rhld.insurance.arkansas.gov/NPILookup?Npi=1427098508","1427098508")</f>
        <v>1427098508</v>
      </c>
      <c r="E24712" s="1" t="s">
        <v>27021</v>
      </c>
      <c r="F24712" s="2"/>
      <c r="G24712" s="2"/>
      <c r="H24712" s="2"/>
    </row>
    <row r="24713" spans="1:8" x14ac:dyDescent="0.25">
      <c r="A24713" s="1"/>
      <c r="B24713" s="1" t="s">
        <v>7328</v>
      </c>
      <c r="C24713" s="1" t="s">
        <v>7329</v>
      </c>
      <c r="D24713" s="22" t="str">
        <f>HYPERLINK("https://rhld.insurance.arkansas.gov/NPILookup?Npi=1427105667","1427105667")</f>
        <v>1427105667</v>
      </c>
      <c r="E24713" s="1" t="s">
        <v>27022</v>
      </c>
      <c r="F24713" s="2"/>
      <c r="G24713" s="2"/>
      <c r="H24713" s="2"/>
    </row>
    <row r="24714" spans="1:8" x14ac:dyDescent="0.25">
      <c r="A24714" s="1"/>
      <c r="B24714" s="1" t="s">
        <v>7328</v>
      </c>
      <c r="C24714" s="1" t="s">
        <v>7329</v>
      </c>
      <c r="D24714" s="22" t="str">
        <f>HYPERLINK("https://rhld.insurance.arkansas.gov/NPILookup?Npi=1427140565","1427140565")</f>
        <v>1427140565</v>
      </c>
      <c r="E24714" s="1" t="s">
        <v>27023</v>
      </c>
      <c r="F24714" s="2"/>
      <c r="G24714" s="2"/>
      <c r="H24714" s="2"/>
    </row>
    <row r="24715" spans="1:8" x14ac:dyDescent="0.25">
      <c r="A24715" s="1"/>
      <c r="B24715" s="1" t="s">
        <v>7328</v>
      </c>
      <c r="C24715" s="1" t="s">
        <v>7329</v>
      </c>
      <c r="D24715" s="22" t="str">
        <f>HYPERLINK("https://rhld.insurance.arkansas.gov/NPILookup?Npi=1427144005","1427144005")</f>
        <v>1427144005</v>
      </c>
      <c r="E24715" s="1" t="s">
        <v>22157</v>
      </c>
      <c r="F24715" s="2"/>
      <c r="G24715" s="2"/>
      <c r="H24715" s="2"/>
    </row>
    <row r="24716" spans="1:8" x14ac:dyDescent="0.25">
      <c r="A24716" s="1"/>
      <c r="B24716" s="1" t="s">
        <v>7328</v>
      </c>
      <c r="C24716" s="1" t="s">
        <v>7329</v>
      </c>
      <c r="D24716" s="22" t="str">
        <f>HYPERLINK("https://rhld.insurance.arkansas.gov/NPILookup?Npi=1427150036","1427150036")</f>
        <v>1427150036</v>
      </c>
      <c r="E24716" s="1" t="s">
        <v>10309</v>
      </c>
      <c r="F24716" s="2"/>
      <c r="G24716" s="2"/>
      <c r="H24716" s="2"/>
    </row>
    <row r="24717" spans="1:8" x14ac:dyDescent="0.25">
      <c r="A24717" s="1"/>
      <c r="B24717" s="1" t="s">
        <v>7328</v>
      </c>
      <c r="C24717" s="1" t="s">
        <v>7329</v>
      </c>
      <c r="D24717" s="22" t="str">
        <f>HYPERLINK("https://rhld.insurance.arkansas.gov/NPILookup?Npi=1427162387","1427162387")</f>
        <v>1427162387</v>
      </c>
      <c r="E24717" s="1" t="s">
        <v>27024</v>
      </c>
      <c r="F24717" s="2"/>
      <c r="G24717" s="2"/>
      <c r="H24717" s="2"/>
    </row>
    <row r="24718" spans="1:8" x14ac:dyDescent="0.25">
      <c r="A24718" s="1"/>
      <c r="B24718" s="1" t="s">
        <v>7328</v>
      </c>
      <c r="C24718" s="1" t="s">
        <v>7329</v>
      </c>
      <c r="D24718" s="22" t="str">
        <f>HYPERLINK("https://rhld.insurance.arkansas.gov/NPILookup?Npi=1427200823","1427200823")</f>
        <v>1427200823</v>
      </c>
      <c r="E24718" s="1" t="s">
        <v>7742</v>
      </c>
      <c r="F24718" s="2"/>
      <c r="G24718" s="2"/>
      <c r="H24718" s="2"/>
    </row>
    <row r="24719" spans="1:8" x14ac:dyDescent="0.25">
      <c r="A24719" s="1"/>
      <c r="B24719" s="1" t="s">
        <v>7328</v>
      </c>
      <c r="C24719" s="1" t="s">
        <v>7329</v>
      </c>
      <c r="D24719" s="22" t="str">
        <f>HYPERLINK("https://rhld.insurance.arkansas.gov/NPILookup?Npi=1427210152","1427210152")</f>
        <v>1427210152</v>
      </c>
      <c r="E24719" s="1" t="s">
        <v>27025</v>
      </c>
      <c r="F24719" s="2"/>
      <c r="G24719" s="2"/>
      <c r="H24719" s="2"/>
    </row>
    <row r="24720" spans="1:8" x14ac:dyDescent="0.25">
      <c r="A24720" s="1"/>
      <c r="B24720" s="1" t="s">
        <v>7328</v>
      </c>
      <c r="C24720" s="1" t="s">
        <v>7329</v>
      </c>
      <c r="D24720" s="22" t="str">
        <f>HYPERLINK("https://rhld.insurance.arkansas.gov/NPILookup?Npi=1427233196","1427233196")</f>
        <v>1427233196</v>
      </c>
      <c r="E24720" s="1" t="s">
        <v>13098</v>
      </c>
      <c r="F24720" s="2"/>
      <c r="G24720" s="2"/>
      <c r="H24720" s="2"/>
    </row>
    <row r="24721" spans="1:8" x14ac:dyDescent="0.25">
      <c r="A24721" s="1"/>
      <c r="B24721" s="1" t="s">
        <v>7328</v>
      </c>
      <c r="C24721" s="1" t="s">
        <v>7329</v>
      </c>
      <c r="D24721" s="22" t="str">
        <f>HYPERLINK("https://rhld.insurance.arkansas.gov/NPILookup?Npi=1427251776","1427251776")</f>
        <v>1427251776</v>
      </c>
      <c r="E24721" s="1" t="s">
        <v>2379</v>
      </c>
      <c r="F24721" s="2"/>
      <c r="G24721" s="2"/>
      <c r="H24721" s="2"/>
    </row>
    <row r="24722" spans="1:8" x14ac:dyDescent="0.25">
      <c r="A24722" s="1"/>
      <c r="B24722" s="1" t="s">
        <v>7328</v>
      </c>
      <c r="C24722" s="1" t="s">
        <v>7329</v>
      </c>
      <c r="D24722" s="22" t="str">
        <f>HYPERLINK("https://rhld.insurance.arkansas.gov/NPILookup?Npi=1427253889","1427253889")</f>
        <v>1427253889</v>
      </c>
      <c r="E24722" s="1" t="s">
        <v>27026</v>
      </c>
      <c r="F24722" s="2"/>
      <c r="G24722" s="2"/>
      <c r="H24722" s="2"/>
    </row>
    <row r="24723" spans="1:8" x14ac:dyDescent="0.25">
      <c r="A24723" s="1"/>
      <c r="B24723" s="1" t="s">
        <v>7328</v>
      </c>
      <c r="C24723" s="1" t="s">
        <v>7329</v>
      </c>
      <c r="D24723" s="22" t="str">
        <f>HYPERLINK("https://rhld.insurance.arkansas.gov/NPILookup?Npi=1427296276","1427296276")</f>
        <v>1427296276</v>
      </c>
      <c r="E24723" s="1" t="s">
        <v>27027</v>
      </c>
      <c r="F24723" s="2"/>
      <c r="G24723" s="2"/>
      <c r="H24723" s="2"/>
    </row>
    <row r="24724" spans="1:8" x14ac:dyDescent="0.25">
      <c r="A24724" s="1"/>
      <c r="B24724" s="1" t="s">
        <v>7328</v>
      </c>
      <c r="C24724" s="1" t="s">
        <v>7329</v>
      </c>
      <c r="D24724" s="22" t="str">
        <f>HYPERLINK("https://rhld.insurance.arkansas.gov/NPILookup?Npi=1427311919","1427311919")</f>
        <v>1427311919</v>
      </c>
      <c r="E24724" s="1" t="s">
        <v>27028</v>
      </c>
      <c r="F24724" s="2"/>
      <c r="G24724" s="2"/>
      <c r="H24724" s="2"/>
    </row>
    <row r="24725" spans="1:8" x14ac:dyDescent="0.25">
      <c r="A24725" s="1"/>
      <c r="B24725" s="1" t="s">
        <v>7328</v>
      </c>
      <c r="C24725" s="1" t="s">
        <v>7329</v>
      </c>
      <c r="D24725" s="22" t="str">
        <f>HYPERLINK("https://rhld.insurance.arkansas.gov/NPILookup?Npi=1427331560","1427331560")</f>
        <v>1427331560</v>
      </c>
      <c r="E24725" s="1" t="s">
        <v>27029</v>
      </c>
      <c r="F24725" s="2"/>
      <c r="G24725" s="2"/>
      <c r="H24725" s="2"/>
    </row>
    <row r="24726" spans="1:8" x14ac:dyDescent="0.25">
      <c r="A24726" s="1"/>
      <c r="B24726" s="1" t="s">
        <v>7328</v>
      </c>
      <c r="C24726" s="1" t="s">
        <v>7329</v>
      </c>
      <c r="D24726" s="22" t="str">
        <f>HYPERLINK("https://rhld.insurance.arkansas.gov/NPILookup?Npi=1427344647","1427344647")</f>
        <v>1427344647</v>
      </c>
      <c r="E24726" s="1" t="s">
        <v>27030</v>
      </c>
      <c r="F24726" s="2"/>
      <c r="G24726" s="2"/>
      <c r="H24726" s="2"/>
    </row>
    <row r="24727" spans="1:8" x14ac:dyDescent="0.25">
      <c r="A24727" s="1"/>
      <c r="B24727" s="1" t="s">
        <v>7328</v>
      </c>
      <c r="C24727" s="1" t="s">
        <v>7329</v>
      </c>
      <c r="D24727" s="22" t="str">
        <f>HYPERLINK("https://rhld.insurance.arkansas.gov/NPILookup?Npi=1427364744","1427364744")</f>
        <v>1427364744</v>
      </c>
      <c r="E24727" s="1" t="s">
        <v>27031</v>
      </c>
      <c r="F24727" s="2"/>
      <c r="G24727" s="2"/>
      <c r="H24727" s="2"/>
    </row>
    <row r="24728" spans="1:8" x14ac:dyDescent="0.25">
      <c r="A24728" s="1"/>
      <c r="B24728" s="1" t="s">
        <v>7328</v>
      </c>
      <c r="C24728" s="1" t="s">
        <v>7329</v>
      </c>
      <c r="D24728" s="22" t="str">
        <f>HYPERLINK("https://rhld.insurance.arkansas.gov/NPILookup?Npi=1427400951","1427400951")</f>
        <v>1427400951</v>
      </c>
      <c r="E24728" s="1" t="s">
        <v>2380</v>
      </c>
      <c r="F24728" s="2"/>
      <c r="G24728" s="2"/>
      <c r="H24728" s="2"/>
    </row>
    <row r="24729" spans="1:8" x14ac:dyDescent="0.25">
      <c r="A24729" s="1"/>
      <c r="B24729" s="1" t="s">
        <v>7328</v>
      </c>
      <c r="C24729" s="1" t="s">
        <v>7329</v>
      </c>
      <c r="D24729" s="22" t="str">
        <f>HYPERLINK("https://rhld.insurance.arkansas.gov/NPILookup?Npi=1427408038","1427408038")</f>
        <v>1427408038</v>
      </c>
      <c r="E24729" s="1" t="s">
        <v>27033</v>
      </c>
      <c r="F24729" s="2"/>
      <c r="G24729" s="2"/>
      <c r="H24729" s="2"/>
    </row>
    <row r="24730" spans="1:8" x14ac:dyDescent="0.25">
      <c r="A24730" s="1"/>
      <c r="B24730" s="1" t="s">
        <v>7328</v>
      </c>
      <c r="C24730" s="1" t="s">
        <v>7329</v>
      </c>
      <c r="D24730" s="22" t="str">
        <f>HYPERLINK("https://rhld.insurance.arkansas.gov/NPILookup?Npi=1427411032","1427411032")</f>
        <v>1427411032</v>
      </c>
      <c r="E24730" s="1" t="s">
        <v>27034</v>
      </c>
      <c r="F24730" s="2"/>
      <c r="G24730" s="2"/>
      <c r="H24730" s="2"/>
    </row>
    <row r="24731" spans="1:8" x14ac:dyDescent="0.25">
      <c r="A24731" s="1"/>
      <c r="B24731" s="1" t="s">
        <v>7328</v>
      </c>
      <c r="C24731" s="1" t="s">
        <v>7329</v>
      </c>
      <c r="D24731" s="22" t="str">
        <f>HYPERLINK("https://rhld.insurance.arkansas.gov/NPILookup?Npi=1427421288","1427421288")</f>
        <v>1427421288</v>
      </c>
      <c r="E24731" s="1" t="s">
        <v>27035</v>
      </c>
      <c r="F24731" s="2"/>
      <c r="G24731" s="2"/>
      <c r="H24731" s="2"/>
    </row>
    <row r="24732" spans="1:8" x14ac:dyDescent="0.25">
      <c r="A24732" s="1"/>
      <c r="B24732" s="1" t="s">
        <v>7328</v>
      </c>
      <c r="C24732" s="1" t="s">
        <v>7329</v>
      </c>
      <c r="D24732" s="22" t="str">
        <f>HYPERLINK("https://rhld.insurance.arkansas.gov/NPILookup?Npi=1427431253","1427431253")</f>
        <v>1427431253</v>
      </c>
      <c r="E24732" s="1" t="s">
        <v>13099</v>
      </c>
      <c r="F24732" s="2"/>
      <c r="G24732" s="2"/>
      <c r="H24732" s="2"/>
    </row>
    <row r="24733" spans="1:8" x14ac:dyDescent="0.25">
      <c r="A24733" s="1"/>
      <c r="B24733" s="1" t="s">
        <v>7328</v>
      </c>
      <c r="C24733" s="1" t="s">
        <v>7329</v>
      </c>
      <c r="D24733" s="22" t="str">
        <f>HYPERLINK("https://rhld.insurance.arkansas.gov/NPILookup?Npi=1427432749","1427432749")</f>
        <v>1427432749</v>
      </c>
      <c r="E24733" s="1" t="s">
        <v>2827</v>
      </c>
      <c r="F24733" s="2"/>
      <c r="G24733" s="2"/>
      <c r="H24733" s="2"/>
    </row>
    <row r="24734" spans="1:8" x14ac:dyDescent="0.25">
      <c r="A24734" s="1"/>
      <c r="B24734" s="1" t="s">
        <v>7328</v>
      </c>
      <c r="C24734" s="1" t="s">
        <v>7329</v>
      </c>
      <c r="D24734" s="22" t="str">
        <f>HYPERLINK("https://rhld.insurance.arkansas.gov/NPILookup?Npi=1427441419","1427441419")</f>
        <v>1427441419</v>
      </c>
      <c r="E24734" s="1" t="s">
        <v>13100</v>
      </c>
      <c r="F24734" s="2"/>
      <c r="G24734" s="2"/>
      <c r="H24734" s="2"/>
    </row>
    <row r="24735" spans="1:8" x14ac:dyDescent="0.25">
      <c r="A24735" s="1"/>
      <c r="B24735" s="1" t="s">
        <v>7328</v>
      </c>
      <c r="C24735" s="1" t="s">
        <v>7329</v>
      </c>
      <c r="D24735" s="22" t="str">
        <f>HYPERLINK("https://rhld.insurance.arkansas.gov/NPILookup?Npi=1427462449","1427462449")</f>
        <v>1427462449</v>
      </c>
      <c r="E24735" s="1" t="s">
        <v>13101</v>
      </c>
      <c r="F24735" s="2"/>
      <c r="G24735" s="2"/>
      <c r="H24735" s="2"/>
    </row>
    <row r="24736" spans="1:8" x14ac:dyDescent="0.25">
      <c r="A24736" s="1"/>
      <c r="B24736" s="1" t="s">
        <v>7328</v>
      </c>
      <c r="C24736" s="1" t="s">
        <v>7329</v>
      </c>
      <c r="D24736" s="22" t="str">
        <f>HYPERLINK("https://rhld.insurance.arkansas.gov/NPILookup?Npi=1427468974","1427468974")</f>
        <v>1427468974</v>
      </c>
      <c r="E24736" s="1" t="s">
        <v>27036</v>
      </c>
      <c r="F24736" s="2"/>
      <c r="G24736" s="2"/>
      <c r="H24736" s="2"/>
    </row>
    <row r="24737" spans="1:8" x14ac:dyDescent="0.25">
      <c r="A24737" s="1"/>
      <c r="B24737" s="1" t="s">
        <v>7328</v>
      </c>
      <c r="C24737" s="1" t="s">
        <v>7329</v>
      </c>
      <c r="D24737" s="22" t="str">
        <f>HYPERLINK("https://rhld.insurance.arkansas.gov/NPILookup?Npi=1427480565","1427480565")</f>
        <v>1427480565</v>
      </c>
      <c r="E24737" s="1" t="s">
        <v>20763</v>
      </c>
      <c r="F24737" s="2"/>
      <c r="G24737" s="2"/>
      <c r="H24737" s="2"/>
    </row>
    <row r="24738" spans="1:8" x14ac:dyDescent="0.25">
      <c r="A24738" s="1"/>
      <c r="B24738" s="1" t="s">
        <v>7328</v>
      </c>
      <c r="C24738" s="1" t="s">
        <v>7329</v>
      </c>
      <c r="D24738" s="22" t="str">
        <f>HYPERLINK("https://rhld.insurance.arkansas.gov/NPILookup?Npi=1427496132","1427496132")</f>
        <v>1427496132</v>
      </c>
      <c r="E24738" s="1" t="s">
        <v>27037</v>
      </c>
      <c r="F24738" s="2"/>
      <c r="G24738" s="2"/>
      <c r="H24738" s="2"/>
    </row>
    <row r="24739" spans="1:8" x14ac:dyDescent="0.25">
      <c r="A24739" s="1"/>
      <c r="B24739" s="1" t="s">
        <v>7328</v>
      </c>
      <c r="C24739" s="1" t="s">
        <v>7329</v>
      </c>
      <c r="D24739" s="22" t="str">
        <f>HYPERLINK("https://rhld.insurance.arkansas.gov/NPILookup?Npi=1427501451","1427501451")</f>
        <v>1427501451</v>
      </c>
      <c r="E24739" s="1" t="s">
        <v>2828</v>
      </c>
      <c r="F24739" s="2"/>
      <c r="G24739" s="2"/>
      <c r="H24739" s="2"/>
    </row>
    <row r="24740" spans="1:8" x14ac:dyDescent="0.25">
      <c r="A24740" s="1"/>
      <c r="B24740" s="1" t="s">
        <v>7328</v>
      </c>
      <c r="C24740" s="1" t="s">
        <v>7329</v>
      </c>
      <c r="D24740" s="22" t="str">
        <f>HYPERLINK("https://rhld.insurance.arkansas.gov/NPILookup?Npi=1427504588","1427504588")</f>
        <v>1427504588</v>
      </c>
      <c r="E24740" s="1" t="s">
        <v>27038</v>
      </c>
      <c r="F24740" s="2"/>
      <c r="G24740" s="2"/>
      <c r="H24740" s="2"/>
    </row>
    <row r="24741" spans="1:8" x14ac:dyDescent="0.25">
      <c r="A24741" s="1"/>
      <c r="B24741" s="1" t="s">
        <v>7328</v>
      </c>
      <c r="C24741" s="1" t="s">
        <v>7329</v>
      </c>
      <c r="D24741" s="22" t="str">
        <f>HYPERLINK("https://rhld.insurance.arkansas.gov/NPILookup?Npi=1427514538","1427514538")</f>
        <v>1427514538</v>
      </c>
      <c r="E24741" s="1" t="s">
        <v>3296</v>
      </c>
      <c r="F24741" s="2"/>
      <c r="G24741" s="2"/>
      <c r="H24741" s="2"/>
    </row>
    <row r="24742" spans="1:8" x14ac:dyDescent="0.25">
      <c r="A24742" s="1"/>
      <c r="B24742" s="1" t="s">
        <v>7328</v>
      </c>
      <c r="C24742" s="1" t="s">
        <v>7329</v>
      </c>
      <c r="D24742" s="22" t="str">
        <f>HYPERLINK("https://rhld.insurance.arkansas.gov/NPILookup?Npi=1427521053","1427521053")</f>
        <v>1427521053</v>
      </c>
      <c r="E24742" s="1" t="s">
        <v>7744</v>
      </c>
      <c r="F24742" s="2"/>
      <c r="G24742" s="2"/>
      <c r="H24742" s="2"/>
    </row>
    <row r="24743" spans="1:8" x14ac:dyDescent="0.25">
      <c r="A24743" s="1"/>
      <c r="B24743" s="1" t="s">
        <v>7328</v>
      </c>
      <c r="C24743" s="1" t="s">
        <v>7329</v>
      </c>
      <c r="D24743" s="22" t="str">
        <f>HYPERLINK("https://rhld.insurance.arkansas.gov/NPILookup?Npi=1427540525","1427540525")</f>
        <v>1427540525</v>
      </c>
      <c r="E24743" s="1" t="s">
        <v>13102</v>
      </c>
      <c r="F24743" s="2"/>
      <c r="G24743" s="2"/>
      <c r="H24743" s="2"/>
    </row>
    <row r="24744" spans="1:8" x14ac:dyDescent="0.25">
      <c r="A24744" s="1"/>
      <c r="B24744" s="1" t="s">
        <v>7328</v>
      </c>
      <c r="C24744" s="1" t="s">
        <v>7329</v>
      </c>
      <c r="D24744" s="22" t="str">
        <f>HYPERLINK("https://rhld.insurance.arkansas.gov/NPILookup?Npi=1427541630","1427541630")</f>
        <v>1427541630</v>
      </c>
      <c r="E24744" s="1" t="s">
        <v>13103</v>
      </c>
      <c r="F24744" s="2"/>
      <c r="G24744" s="2"/>
      <c r="H24744" s="2"/>
    </row>
    <row r="24745" spans="1:8" x14ac:dyDescent="0.25">
      <c r="A24745" s="1"/>
      <c r="B24745" s="1" t="s">
        <v>7328</v>
      </c>
      <c r="C24745" s="1" t="s">
        <v>7329</v>
      </c>
      <c r="D24745" s="22" t="str">
        <f>HYPERLINK("https://rhld.insurance.arkansas.gov/NPILookup?Npi=1427546720","1427546720")</f>
        <v>1427546720</v>
      </c>
      <c r="E24745" s="1" t="s">
        <v>27039</v>
      </c>
      <c r="F24745" s="2"/>
      <c r="G24745" s="2"/>
      <c r="H24745" s="2"/>
    </row>
    <row r="24746" spans="1:8" x14ac:dyDescent="0.25">
      <c r="A24746" s="1"/>
      <c r="B24746" s="1" t="s">
        <v>7328</v>
      </c>
      <c r="C24746" s="1" t="s">
        <v>7329</v>
      </c>
      <c r="D24746" s="22" t="str">
        <f>HYPERLINK("https://rhld.insurance.arkansas.gov/NPILookup?Npi=1427548593","1427548593")</f>
        <v>1427548593</v>
      </c>
      <c r="E24746" s="1" t="s">
        <v>27040</v>
      </c>
      <c r="F24746" s="2"/>
      <c r="G24746" s="2"/>
      <c r="H24746" s="2"/>
    </row>
    <row r="24747" spans="1:8" x14ac:dyDescent="0.25">
      <c r="A24747" s="1"/>
      <c r="B24747" s="1" t="s">
        <v>7328</v>
      </c>
      <c r="C24747" s="1" t="s">
        <v>7329</v>
      </c>
      <c r="D24747" s="22" t="str">
        <f>HYPERLINK("https://rhld.insurance.arkansas.gov/NPILookup?Npi=1427553882","1427553882")</f>
        <v>1427553882</v>
      </c>
      <c r="E24747" s="1" t="s">
        <v>27041</v>
      </c>
      <c r="F24747" s="2"/>
      <c r="G24747" s="2"/>
      <c r="H24747" s="2"/>
    </row>
    <row r="24748" spans="1:8" x14ac:dyDescent="0.25">
      <c r="A24748" s="1"/>
      <c r="B24748" s="1" t="s">
        <v>7328</v>
      </c>
      <c r="C24748" s="1" t="s">
        <v>7329</v>
      </c>
      <c r="D24748" s="22" t="str">
        <f>HYPERLINK("https://rhld.insurance.arkansas.gov/NPILookup?Npi=1427554401","1427554401")</f>
        <v>1427554401</v>
      </c>
      <c r="E24748" s="1" t="s">
        <v>13104</v>
      </c>
      <c r="F24748" s="2"/>
      <c r="G24748" s="2"/>
      <c r="H24748" s="2"/>
    </row>
    <row r="24749" spans="1:8" x14ac:dyDescent="0.25">
      <c r="A24749" s="1"/>
      <c r="B24749" s="1" t="s">
        <v>7328</v>
      </c>
      <c r="C24749" s="1" t="s">
        <v>7329</v>
      </c>
      <c r="D24749" s="22" t="str">
        <f>HYPERLINK("https://rhld.insurance.arkansas.gov/NPILookup?Npi=1427568260","1427568260")</f>
        <v>1427568260</v>
      </c>
      <c r="E24749" s="1" t="s">
        <v>13105</v>
      </c>
      <c r="F24749" s="2"/>
      <c r="G24749" s="2"/>
      <c r="H24749" s="2"/>
    </row>
    <row r="24750" spans="1:8" x14ac:dyDescent="0.25">
      <c r="A24750" s="1"/>
      <c r="B24750" s="1" t="s">
        <v>7328</v>
      </c>
      <c r="C24750" s="1" t="s">
        <v>7329</v>
      </c>
      <c r="D24750" s="22" t="str">
        <f>HYPERLINK("https://rhld.insurance.arkansas.gov/NPILookup?Npi=1427571850","1427571850")</f>
        <v>1427571850</v>
      </c>
      <c r="E24750" s="1" t="s">
        <v>27042</v>
      </c>
      <c r="F24750" s="2"/>
      <c r="G24750" s="2"/>
      <c r="H24750" s="2"/>
    </row>
    <row r="24751" spans="1:8" x14ac:dyDescent="0.25">
      <c r="A24751" s="1"/>
      <c r="B24751" s="1" t="s">
        <v>7328</v>
      </c>
      <c r="C24751" s="1" t="s">
        <v>7329</v>
      </c>
      <c r="D24751" s="22" t="str">
        <f>HYPERLINK("https://rhld.insurance.arkansas.gov/NPILookup?Npi=1427578954","1427578954")</f>
        <v>1427578954</v>
      </c>
      <c r="E24751" s="1" t="s">
        <v>2829</v>
      </c>
      <c r="F24751" s="2"/>
      <c r="G24751" s="2"/>
      <c r="H24751" s="2"/>
    </row>
    <row r="24752" spans="1:8" x14ac:dyDescent="0.25">
      <c r="A24752" s="1"/>
      <c r="B24752" s="1" t="s">
        <v>7328</v>
      </c>
      <c r="C24752" s="1" t="s">
        <v>7329</v>
      </c>
      <c r="D24752" s="22" t="str">
        <f>HYPERLINK("https://rhld.insurance.arkansas.gov/NPILookup?Npi=1427580026","1427580026")</f>
        <v>1427580026</v>
      </c>
      <c r="E24752" s="1" t="s">
        <v>27043</v>
      </c>
      <c r="F24752" s="2"/>
      <c r="G24752" s="2"/>
      <c r="H24752" s="2"/>
    </row>
    <row r="24753" spans="1:8" x14ac:dyDescent="0.25">
      <c r="A24753" s="1"/>
      <c r="B24753" s="1" t="s">
        <v>7328</v>
      </c>
      <c r="C24753" s="1" t="s">
        <v>7329</v>
      </c>
      <c r="D24753" s="22" t="str">
        <f>HYPERLINK("https://rhld.insurance.arkansas.gov/NPILookup?Npi=1427599034","1427599034")</f>
        <v>1427599034</v>
      </c>
      <c r="E24753" s="1" t="s">
        <v>27044</v>
      </c>
      <c r="F24753" s="2"/>
      <c r="G24753" s="2"/>
      <c r="H24753" s="2"/>
    </row>
    <row r="24754" spans="1:8" x14ac:dyDescent="0.25">
      <c r="A24754" s="1"/>
      <c r="B24754" s="1" t="s">
        <v>7328</v>
      </c>
      <c r="C24754" s="1" t="s">
        <v>7329</v>
      </c>
      <c r="D24754" s="22" t="str">
        <f>HYPERLINK("https://rhld.insurance.arkansas.gov/NPILookup?Npi=1427599067","1427599067")</f>
        <v>1427599067</v>
      </c>
      <c r="E24754" s="1" t="s">
        <v>27045</v>
      </c>
      <c r="F24754" s="2"/>
      <c r="G24754" s="2"/>
      <c r="H24754" s="2"/>
    </row>
    <row r="24755" spans="1:8" x14ac:dyDescent="0.25">
      <c r="A24755" s="1"/>
      <c r="B24755" s="1" t="s">
        <v>7328</v>
      </c>
      <c r="C24755" s="1" t="s">
        <v>7329</v>
      </c>
      <c r="D24755" s="22" t="str">
        <f>HYPERLINK("https://rhld.insurance.arkansas.gov/NPILookup?Npi=1427603323","1427603323")</f>
        <v>1427603323</v>
      </c>
      <c r="E24755" s="1" t="s">
        <v>7745</v>
      </c>
      <c r="F24755" s="2"/>
      <c r="G24755" s="2"/>
      <c r="H24755" s="2"/>
    </row>
    <row r="24756" spans="1:8" x14ac:dyDescent="0.25">
      <c r="A24756" s="1"/>
      <c r="B24756" s="1" t="s">
        <v>7328</v>
      </c>
      <c r="C24756" s="1" t="s">
        <v>7329</v>
      </c>
      <c r="D24756" s="22" t="str">
        <f>HYPERLINK("https://rhld.insurance.arkansas.gov/NPILookup?Npi=1427615681","1427615681")</f>
        <v>1427615681</v>
      </c>
      <c r="E24756" s="1" t="s">
        <v>27046</v>
      </c>
      <c r="F24756" s="2"/>
      <c r="G24756" s="2"/>
      <c r="H24756" s="2"/>
    </row>
    <row r="24757" spans="1:8" x14ac:dyDescent="0.25">
      <c r="A24757" s="1"/>
      <c r="B24757" s="1" t="s">
        <v>7328</v>
      </c>
      <c r="C24757" s="1" t="s">
        <v>7329</v>
      </c>
      <c r="D24757" s="22" t="str">
        <f>HYPERLINK("https://rhld.insurance.arkansas.gov/NPILookup?Npi=1427633635","1427633635")</f>
        <v>1427633635</v>
      </c>
      <c r="E24757" s="1" t="s">
        <v>27047</v>
      </c>
      <c r="F24757" s="2"/>
      <c r="G24757" s="2"/>
      <c r="H24757" s="2"/>
    </row>
    <row r="24758" spans="1:8" x14ac:dyDescent="0.25">
      <c r="A24758" s="1"/>
      <c r="B24758" s="1" t="s">
        <v>7328</v>
      </c>
      <c r="C24758" s="1" t="s">
        <v>7329</v>
      </c>
      <c r="D24758" s="22" t="str">
        <f>HYPERLINK("https://rhld.insurance.arkansas.gov/NPILookup?Npi=1427666346","1427666346")</f>
        <v>1427666346</v>
      </c>
      <c r="E24758" s="1" t="s">
        <v>27048</v>
      </c>
      <c r="F24758" s="2"/>
      <c r="G24758" s="2"/>
      <c r="H24758" s="2"/>
    </row>
    <row r="24759" spans="1:8" x14ac:dyDescent="0.25">
      <c r="A24759" s="1"/>
      <c r="B24759" s="1" t="s">
        <v>7328</v>
      </c>
      <c r="C24759" s="1" t="s">
        <v>7329</v>
      </c>
      <c r="D24759" s="22" t="str">
        <f>HYPERLINK("https://rhld.insurance.arkansas.gov/NPILookup?Npi=1427668250","1427668250")</f>
        <v>1427668250</v>
      </c>
      <c r="E24759" s="1" t="s">
        <v>7746</v>
      </c>
      <c r="F24759" s="2"/>
      <c r="G24759" s="2"/>
      <c r="H24759" s="2"/>
    </row>
    <row r="24760" spans="1:8" x14ac:dyDescent="0.25">
      <c r="A24760" s="1"/>
      <c r="B24760" s="1" t="s">
        <v>7328</v>
      </c>
      <c r="C24760" s="1" t="s">
        <v>7329</v>
      </c>
      <c r="D24760" s="22" t="str">
        <f>HYPERLINK("https://rhld.insurance.arkansas.gov/NPILookup?Npi=1427674472","1427674472")</f>
        <v>1427674472</v>
      </c>
      <c r="E24760" s="1" t="s">
        <v>32226</v>
      </c>
      <c r="F24760" s="2"/>
      <c r="G24760" s="2"/>
      <c r="H24760" s="2"/>
    </row>
    <row r="24761" spans="1:8" x14ac:dyDescent="0.25">
      <c r="A24761" s="1"/>
      <c r="B24761" s="1" t="s">
        <v>7328</v>
      </c>
      <c r="C24761" s="1" t="s">
        <v>7329</v>
      </c>
      <c r="D24761" s="22" t="str">
        <f>HYPERLINK("https://rhld.insurance.arkansas.gov/NPILookup?Npi=1427679133","1427679133")</f>
        <v>1427679133</v>
      </c>
      <c r="E24761" s="1" t="s">
        <v>27049</v>
      </c>
      <c r="F24761" s="2"/>
      <c r="G24761" s="2"/>
      <c r="H24761" s="2"/>
    </row>
    <row r="24762" spans="1:8" x14ac:dyDescent="0.25">
      <c r="A24762" s="1"/>
      <c r="B24762" s="1" t="s">
        <v>7328</v>
      </c>
      <c r="C24762" s="1" t="s">
        <v>7329</v>
      </c>
      <c r="D24762" s="22" t="str">
        <f>HYPERLINK("https://rhld.insurance.arkansas.gov/NPILookup?Npi=1427698513","1427698513")</f>
        <v>1427698513</v>
      </c>
      <c r="E24762" s="1" t="s">
        <v>27050</v>
      </c>
      <c r="F24762" s="2"/>
      <c r="G24762" s="2"/>
      <c r="H24762" s="2"/>
    </row>
    <row r="24763" spans="1:8" x14ac:dyDescent="0.25">
      <c r="A24763" s="1"/>
      <c r="B24763" s="1" t="s">
        <v>7328</v>
      </c>
      <c r="C24763" s="1" t="s">
        <v>7329</v>
      </c>
      <c r="D24763" s="22" t="str">
        <f>HYPERLINK("https://rhld.insurance.arkansas.gov/NPILookup?Npi=1427718022","1427718022")</f>
        <v>1427718022</v>
      </c>
      <c r="E24763" s="1" t="s">
        <v>27051</v>
      </c>
      <c r="F24763" s="2"/>
      <c r="G24763" s="2"/>
      <c r="H24763" s="2"/>
    </row>
    <row r="24764" spans="1:8" x14ac:dyDescent="0.25">
      <c r="A24764" s="1"/>
      <c r="B24764" s="1" t="s">
        <v>7328</v>
      </c>
      <c r="C24764" s="1" t="s">
        <v>7329</v>
      </c>
      <c r="D24764" s="22" t="str">
        <f>HYPERLINK("https://rhld.insurance.arkansas.gov/NPILookup?Npi=1427729185","1427729185")</f>
        <v>1427729185</v>
      </c>
      <c r="E24764" s="1" t="s">
        <v>7747</v>
      </c>
      <c r="F24764" s="2"/>
      <c r="G24764" s="2"/>
      <c r="H24764" s="2"/>
    </row>
    <row r="24765" spans="1:8" x14ac:dyDescent="0.25">
      <c r="A24765" s="1"/>
      <c r="B24765" s="1" t="s">
        <v>7328</v>
      </c>
      <c r="C24765" s="1" t="s">
        <v>7329</v>
      </c>
      <c r="D24765" s="22" t="str">
        <f>HYPERLINK("https://rhld.insurance.arkansas.gov/NPILookup?Npi=1427732783","1427732783")</f>
        <v>1427732783</v>
      </c>
      <c r="E24765" s="1" t="s">
        <v>27052</v>
      </c>
      <c r="F24765" s="2"/>
      <c r="G24765" s="2"/>
      <c r="H24765" s="2"/>
    </row>
    <row r="24766" spans="1:8" x14ac:dyDescent="0.25">
      <c r="A24766" s="1"/>
      <c r="B24766" s="1" t="s">
        <v>7328</v>
      </c>
      <c r="C24766" s="1" t="s">
        <v>7329</v>
      </c>
      <c r="D24766" s="22" t="str">
        <f>HYPERLINK("https://rhld.insurance.arkansas.gov/NPILookup?Npi=1427734029","1427734029")</f>
        <v>1427734029</v>
      </c>
      <c r="E24766" s="1" t="s">
        <v>7748</v>
      </c>
      <c r="F24766" s="2"/>
      <c r="G24766" s="2"/>
      <c r="H24766" s="2"/>
    </row>
    <row r="24767" spans="1:8" x14ac:dyDescent="0.25">
      <c r="A24767" s="1"/>
      <c r="B24767" s="1" t="s">
        <v>7328</v>
      </c>
      <c r="C24767" s="1" t="s">
        <v>7329</v>
      </c>
      <c r="D24767" s="22" t="str">
        <f>HYPERLINK("https://rhld.insurance.arkansas.gov/NPILookup?Npi=1427737121","1427737121")</f>
        <v>1427737121</v>
      </c>
      <c r="E24767" s="1" t="s">
        <v>32227</v>
      </c>
      <c r="F24767" s="2"/>
      <c r="G24767" s="2"/>
      <c r="H24767" s="2"/>
    </row>
    <row r="24768" spans="1:8" x14ac:dyDescent="0.25">
      <c r="A24768" s="1"/>
      <c r="B24768" s="1" t="s">
        <v>7328</v>
      </c>
      <c r="C24768" s="1" t="s">
        <v>7329</v>
      </c>
      <c r="D24768" s="22" t="str">
        <f>HYPERLINK("https://rhld.insurance.arkansas.gov/NPILookup?Npi=1427738095","1427738095")</f>
        <v>1427738095</v>
      </c>
      <c r="E24768" s="1" t="s">
        <v>7749</v>
      </c>
      <c r="F24768" s="2"/>
      <c r="G24768" s="2"/>
      <c r="H24768" s="2"/>
    </row>
    <row r="24769" spans="1:8" x14ac:dyDescent="0.25">
      <c r="A24769" s="1"/>
      <c r="B24769" s="1" t="s">
        <v>7328</v>
      </c>
      <c r="C24769" s="1" t="s">
        <v>7329</v>
      </c>
      <c r="D24769" s="22" t="str">
        <f>HYPERLINK("https://rhld.insurance.arkansas.gov/NPILookup?Npi=1427758192","1427758192")</f>
        <v>1427758192</v>
      </c>
      <c r="E24769" s="1" t="s">
        <v>4369</v>
      </c>
      <c r="F24769" s="2"/>
      <c r="G24769" s="2"/>
      <c r="H24769" s="2"/>
    </row>
    <row r="24770" spans="1:8" x14ac:dyDescent="0.25">
      <c r="A24770" s="1"/>
      <c r="B24770" s="1" t="s">
        <v>7328</v>
      </c>
      <c r="C24770" s="1" t="s">
        <v>7329</v>
      </c>
      <c r="D24770" s="22" t="str">
        <f>HYPERLINK("https://rhld.insurance.arkansas.gov/NPILookup?Npi=1427759216","1427759216")</f>
        <v>1427759216</v>
      </c>
      <c r="E24770" s="1" t="s">
        <v>5645</v>
      </c>
      <c r="F24770" s="2"/>
      <c r="G24770" s="2"/>
      <c r="H24770" s="2"/>
    </row>
    <row r="24771" spans="1:8" x14ac:dyDescent="0.25">
      <c r="A24771" s="1"/>
      <c r="B24771" s="1" t="s">
        <v>7328</v>
      </c>
      <c r="C24771" s="1" t="s">
        <v>7329</v>
      </c>
      <c r="D24771" s="22" t="str">
        <f>HYPERLINK("https://rhld.insurance.arkansas.gov/NPILookup?Npi=1427760842","1427760842")</f>
        <v>1427760842</v>
      </c>
      <c r="E24771" s="1" t="s">
        <v>27053</v>
      </c>
      <c r="F24771" s="2"/>
      <c r="G24771" s="2"/>
      <c r="H24771" s="2"/>
    </row>
    <row r="24772" spans="1:8" x14ac:dyDescent="0.25">
      <c r="A24772" s="1"/>
      <c r="B24772" s="1" t="s">
        <v>7328</v>
      </c>
      <c r="C24772" s="1" t="s">
        <v>7329</v>
      </c>
      <c r="D24772" s="22" t="str">
        <f>HYPERLINK("https://rhld.insurance.arkansas.gov/NPILookup?Npi=1427772714","1427772714")</f>
        <v>1427772714</v>
      </c>
      <c r="E24772" s="1" t="s">
        <v>13106</v>
      </c>
      <c r="F24772" s="2"/>
      <c r="G24772" s="2"/>
      <c r="H24772" s="2"/>
    </row>
    <row r="24773" spans="1:8" x14ac:dyDescent="0.25">
      <c r="A24773" s="1"/>
      <c r="B24773" s="1" t="s">
        <v>7328</v>
      </c>
      <c r="C24773" s="1" t="s">
        <v>7329</v>
      </c>
      <c r="D24773" s="22" t="str">
        <f>HYPERLINK("https://rhld.insurance.arkansas.gov/NPILookup?Npi=1427772805","1427772805")</f>
        <v>1427772805</v>
      </c>
      <c r="E24773" s="1" t="s">
        <v>27054</v>
      </c>
      <c r="F24773" s="2"/>
      <c r="G24773" s="2"/>
      <c r="H24773" s="2"/>
    </row>
    <row r="24774" spans="1:8" x14ac:dyDescent="0.25">
      <c r="A24774" s="1"/>
      <c r="B24774" s="1" t="s">
        <v>7328</v>
      </c>
      <c r="C24774" s="1" t="s">
        <v>7329</v>
      </c>
      <c r="D24774" s="22" t="str">
        <f>HYPERLINK("https://rhld.insurance.arkansas.gov/NPILookup?Npi=1427784743","1427784743")</f>
        <v>1427784743</v>
      </c>
      <c r="E24774" s="1" t="s">
        <v>27055</v>
      </c>
      <c r="F24774" s="2"/>
      <c r="G24774" s="2"/>
      <c r="H24774" s="2"/>
    </row>
    <row r="24775" spans="1:8" x14ac:dyDescent="0.25">
      <c r="A24775" s="1"/>
      <c r="B24775" s="1" t="s">
        <v>7328</v>
      </c>
      <c r="C24775" s="1" t="s">
        <v>7329</v>
      </c>
      <c r="D24775" s="22" t="str">
        <f>HYPERLINK("https://rhld.insurance.arkansas.gov/NPILookup?Npi=1427792340","1427792340")</f>
        <v>1427792340</v>
      </c>
      <c r="E24775" s="1" t="s">
        <v>22189</v>
      </c>
      <c r="F24775" s="2"/>
      <c r="G24775" s="2"/>
      <c r="H24775" s="2"/>
    </row>
    <row r="24776" spans="1:8" x14ac:dyDescent="0.25">
      <c r="A24776" s="1"/>
      <c r="B24776" s="1" t="s">
        <v>7328</v>
      </c>
      <c r="C24776" s="1" t="s">
        <v>7329</v>
      </c>
      <c r="D24776" s="22" t="str">
        <f>HYPERLINK("https://rhld.insurance.arkansas.gov/NPILookup?Npi=1427797075","1427797075")</f>
        <v>1427797075</v>
      </c>
      <c r="E24776" s="1" t="s">
        <v>27056</v>
      </c>
      <c r="F24776" s="2"/>
      <c r="G24776" s="2"/>
      <c r="H24776" s="2"/>
    </row>
    <row r="24777" spans="1:8" x14ac:dyDescent="0.25">
      <c r="A24777" s="1"/>
      <c r="B24777" s="1" t="s">
        <v>7328</v>
      </c>
      <c r="C24777" s="1" t="s">
        <v>7329</v>
      </c>
      <c r="D24777" s="22" t="str">
        <f>HYPERLINK("https://rhld.insurance.arkansas.gov/NPILookup?Npi=1427804483","1427804483")</f>
        <v>1427804483</v>
      </c>
      <c r="E24777" s="1" t="s">
        <v>28273</v>
      </c>
      <c r="F24777" s="2"/>
      <c r="G24777" s="2"/>
      <c r="H24777" s="2"/>
    </row>
    <row r="24778" spans="1:8" x14ac:dyDescent="0.25">
      <c r="A24778" s="1"/>
      <c r="B24778" s="1" t="s">
        <v>7328</v>
      </c>
      <c r="C24778" s="1" t="s">
        <v>7329</v>
      </c>
      <c r="D24778" s="22" t="str">
        <f>HYPERLINK("https://rhld.insurance.arkansas.gov/NPILookup?Npi=1427805944","1427805944")</f>
        <v>1427805944</v>
      </c>
      <c r="E24778" s="1" t="s">
        <v>32228</v>
      </c>
      <c r="F24778" s="2"/>
      <c r="G24778" s="2"/>
      <c r="H24778" s="2"/>
    </row>
    <row r="24779" spans="1:8" x14ac:dyDescent="0.25">
      <c r="A24779" s="1"/>
      <c r="B24779" s="1" t="s">
        <v>7328</v>
      </c>
      <c r="C24779" s="1" t="s">
        <v>7329</v>
      </c>
      <c r="D24779" s="22" t="str">
        <f>HYPERLINK("https://rhld.insurance.arkansas.gov/NPILookup?Npi=1427814664","1427814664")</f>
        <v>1427814664</v>
      </c>
      <c r="E24779" s="1" t="s">
        <v>27057</v>
      </c>
      <c r="F24779" s="2"/>
      <c r="G24779" s="2"/>
      <c r="H24779" s="2"/>
    </row>
    <row r="24780" spans="1:8" x14ac:dyDescent="0.25">
      <c r="A24780" s="1"/>
      <c r="B24780" s="1" t="s">
        <v>7328</v>
      </c>
      <c r="C24780" s="1" t="s">
        <v>7329</v>
      </c>
      <c r="D24780" s="22" t="str">
        <f>HYPERLINK("https://rhld.insurance.arkansas.gov/NPILookup?Npi=1427820802","1427820802")</f>
        <v>1427820802</v>
      </c>
      <c r="E24780" s="1" t="s">
        <v>7750</v>
      </c>
      <c r="F24780" s="2"/>
      <c r="G24780" s="2"/>
      <c r="H24780" s="2"/>
    </row>
    <row r="24781" spans="1:8" x14ac:dyDescent="0.25">
      <c r="A24781" s="1"/>
      <c r="B24781" s="1" t="s">
        <v>7328</v>
      </c>
      <c r="C24781" s="1" t="s">
        <v>7329</v>
      </c>
      <c r="D24781" s="22" t="str">
        <f>HYPERLINK("https://rhld.insurance.arkansas.gov/NPILookup?Npi=1437103710","1437103710")</f>
        <v>1437103710</v>
      </c>
      <c r="E24781" s="1" t="s">
        <v>27058</v>
      </c>
      <c r="F24781" s="2"/>
      <c r="G24781" s="2"/>
      <c r="H24781" s="2"/>
    </row>
    <row r="24782" spans="1:8" x14ac:dyDescent="0.25">
      <c r="A24782" s="1"/>
      <c r="B24782" s="1" t="s">
        <v>7328</v>
      </c>
      <c r="C24782" s="1" t="s">
        <v>7329</v>
      </c>
      <c r="D24782" s="22" t="str">
        <f>HYPERLINK("https://rhld.insurance.arkansas.gov/NPILookup?Npi=1437107703","1437107703")</f>
        <v>1437107703</v>
      </c>
      <c r="E24782" s="1" t="s">
        <v>17523</v>
      </c>
      <c r="F24782" s="2"/>
      <c r="G24782" s="2"/>
      <c r="H24782" s="2"/>
    </row>
    <row r="24783" spans="1:8" x14ac:dyDescent="0.25">
      <c r="A24783" s="1"/>
      <c r="B24783" s="1" t="s">
        <v>7328</v>
      </c>
      <c r="C24783" s="1" t="s">
        <v>7329</v>
      </c>
      <c r="D24783" s="22" t="str">
        <f>HYPERLINK("https://rhld.insurance.arkansas.gov/NPILookup?Npi=1437115508","1437115508")</f>
        <v>1437115508</v>
      </c>
      <c r="E24783" s="1" t="s">
        <v>1387</v>
      </c>
      <c r="F24783" s="2"/>
      <c r="G24783" s="2"/>
      <c r="H24783" s="2"/>
    </row>
    <row r="24784" spans="1:8" x14ac:dyDescent="0.25">
      <c r="A24784" s="1"/>
      <c r="B24784" s="1" t="s">
        <v>7328</v>
      </c>
      <c r="C24784" s="1" t="s">
        <v>7329</v>
      </c>
      <c r="D24784" s="22" t="str">
        <f>HYPERLINK("https://rhld.insurance.arkansas.gov/NPILookup?Npi=1437115805","1437115805")</f>
        <v>1437115805</v>
      </c>
      <c r="E24784" s="1" t="s">
        <v>27059</v>
      </c>
      <c r="F24784" s="2"/>
      <c r="G24784" s="2"/>
      <c r="H24784" s="2"/>
    </row>
    <row r="24785" spans="1:8" x14ac:dyDescent="0.25">
      <c r="A24785" s="1"/>
      <c r="B24785" s="1" t="s">
        <v>7328</v>
      </c>
      <c r="C24785" s="1" t="s">
        <v>7329</v>
      </c>
      <c r="D24785" s="22" t="str">
        <f>HYPERLINK("https://rhld.insurance.arkansas.gov/NPILookup?Npi=1437118684","1437118684")</f>
        <v>1437118684</v>
      </c>
      <c r="E24785" s="1" t="s">
        <v>27060</v>
      </c>
      <c r="F24785" s="2"/>
      <c r="G24785" s="2"/>
      <c r="H24785" s="2"/>
    </row>
    <row r="24786" spans="1:8" x14ac:dyDescent="0.25">
      <c r="A24786" s="1"/>
      <c r="B24786" s="1" t="s">
        <v>7328</v>
      </c>
      <c r="C24786" s="1" t="s">
        <v>7329</v>
      </c>
      <c r="D24786" s="22" t="str">
        <f>HYPERLINK("https://rhld.insurance.arkansas.gov/NPILookup?Npi=1437122355","1437122355")</f>
        <v>1437122355</v>
      </c>
      <c r="E24786" s="1" t="s">
        <v>27061</v>
      </c>
      <c r="F24786" s="2"/>
      <c r="G24786" s="2"/>
      <c r="H24786" s="2"/>
    </row>
    <row r="24787" spans="1:8" x14ac:dyDescent="0.25">
      <c r="A24787" s="1"/>
      <c r="B24787" s="1" t="s">
        <v>7328</v>
      </c>
      <c r="C24787" s="1" t="s">
        <v>7329</v>
      </c>
      <c r="D24787" s="22" t="str">
        <f>HYPERLINK("https://rhld.insurance.arkansas.gov/NPILookup?Npi=1437128790","1437128790")</f>
        <v>1437128790</v>
      </c>
      <c r="E24787" s="1" t="s">
        <v>27062</v>
      </c>
      <c r="F24787" s="2"/>
      <c r="G24787" s="2"/>
      <c r="H24787" s="2"/>
    </row>
    <row r="24788" spans="1:8" x14ac:dyDescent="0.25">
      <c r="A24788" s="1"/>
      <c r="B24788" s="1" t="s">
        <v>7328</v>
      </c>
      <c r="C24788" s="1" t="s">
        <v>7329</v>
      </c>
      <c r="D24788" s="22" t="str">
        <f>HYPERLINK("https://rhld.insurance.arkansas.gov/NPILookup?Npi=1437135191","1437135191")</f>
        <v>1437135191</v>
      </c>
      <c r="E24788" s="1" t="s">
        <v>17557</v>
      </c>
      <c r="F24788" s="2"/>
      <c r="G24788" s="2"/>
      <c r="H24788" s="2"/>
    </row>
    <row r="24789" spans="1:8" x14ac:dyDescent="0.25">
      <c r="A24789" s="1"/>
      <c r="B24789" s="1" t="s">
        <v>7328</v>
      </c>
      <c r="C24789" s="1" t="s">
        <v>7329</v>
      </c>
      <c r="D24789" s="22" t="str">
        <f>HYPERLINK("https://rhld.insurance.arkansas.gov/NPILookup?Npi=1437142122","1437142122")</f>
        <v>1437142122</v>
      </c>
      <c r="E24789" s="1" t="s">
        <v>27063</v>
      </c>
      <c r="F24789" s="2"/>
      <c r="G24789" s="2"/>
      <c r="H24789" s="2"/>
    </row>
    <row r="24790" spans="1:8" x14ac:dyDescent="0.25">
      <c r="A24790" s="1"/>
      <c r="B24790" s="1" t="s">
        <v>7328</v>
      </c>
      <c r="C24790" s="1" t="s">
        <v>7329</v>
      </c>
      <c r="D24790" s="22" t="str">
        <f>HYPERLINK("https://rhld.insurance.arkansas.gov/NPILookup?Npi=1437145810","1437145810")</f>
        <v>1437145810</v>
      </c>
      <c r="E24790" s="1" t="s">
        <v>27064</v>
      </c>
      <c r="F24790" s="2"/>
      <c r="G24790" s="2"/>
      <c r="H24790" s="2"/>
    </row>
    <row r="24791" spans="1:8" x14ac:dyDescent="0.25">
      <c r="A24791" s="1"/>
      <c r="B24791" s="1" t="s">
        <v>7328</v>
      </c>
      <c r="C24791" s="1" t="s">
        <v>7329</v>
      </c>
      <c r="D24791" s="22" t="str">
        <f>HYPERLINK("https://rhld.insurance.arkansas.gov/NPILookup?Npi=1437166774","1437166774")</f>
        <v>1437166774</v>
      </c>
      <c r="E24791" s="1" t="s">
        <v>17524</v>
      </c>
      <c r="F24791" s="2"/>
      <c r="G24791" s="2"/>
      <c r="H24791" s="2"/>
    </row>
    <row r="24792" spans="1:8" x14ac:dyDescent="0.25">
      <c r="A24792" s="1"/>
      <c r="B24792" s="1" t="s">
        <v>7328</v>
      </c>
      <c r="C24792" s="1" t="s">
        <v>7329</v>
      </c>
      <c r="D24792" s="22" t="str">
        <f>HYPERLINK("https://rhld.insurance.arkansas.gov/NPILookup?Npi=1437188869","1437188869")</f>
        <v>1437188869</v>
      </c>
      <c r="E24792" s="1" t="s">
        <v>2018</v>
      </c>
      <c r="F24792" s="2"/>
      <c r="G24792" s="2"/>
      <c r="H24792" s="2"/>
    </row>
    <row r="24793" spans="1:8" x14ac:dyDescent="0.25">
      <c r="A24793" s="1"/>
      <c r="B24793" s="1" t="s">
        <v>7328</v>
      </c>
      <c r="C24793" s="1" t="s">
        <v>7329</v>
      </c>
      <c r="D24793" s="22" t="str">
        <f>HYPERLINK("https://rhld.insurance.arkansas.gov/NPILookup?Npi=1437192283","1437192283")</f>
        <v>1437192283</v>
      </c>
      <c r="E24793" s="1" t="s">
        <v>13107</v>
      </c>
      <c r="F24793" s="2"/>
      <c r="G24793" s="2"/>
      <c r="H24793" s="2"/>
    </row>
    <row r="24794" spans="1:8" x14ac:dyDescent="0.25">
      <c r="A24794" s="1"/>
      <c r="B24794" s="1" t="s">
        <v>7328</v>
      </c>
      <c r="C24794" s="1" t="s">
        <v>7329</v>
      </c>
      <c r="D24794" s="22" t="str">
        <f>HYPERLINK("https://rhld.insurance.arkansas.gov/NPILookup?Npi=1437208030","1437208030")</f>
        <v>1437208030</v>
      </c>
      <c r="E24794" s="1" t="s">
        <v>299</v>
      </c>
      <c r="F24794" s="2"/>
      <c r="G24794" s="2"/>
      <c r="H24794" s="2"/>
    </row>
    <row r="24795" spans="1:8" x14ac:dyDescent="0.25">
      <c r="A24795" s="1"/>
      <c r="B24795" s="1" t="s">
        <v>7328</v>
      </c>
      <c r="C24795" s="1" t="s">
        <v>7329</v>
      </c>
      <c r="D24795" s="22" t="str">
        <f>HYPERLINK("https://rhld.insurance.arkansas.gov/NPILookup?Npi=1437246584","1437246584")</f>
        <v>1437246584</v>
      </c>
      <c r="E24795" s="1" t="s">
        <v>27065</v>
      </c>
      <c r="F24795" s="2"/>
      <c r="G24795" s="2"/>
      <c r="H24795" s="2"/>
    </row>
    <row r="24796" spans="1:8" x14ac:dyDescent="0.25">
      <c r="A24796" s="1"/>
      <c r="B24796" s="1" t="s">
        <v>7328</v>
      </c>
      <c r="C24796" s="1" t="s">
        <v>7329</v>
      </c>
      <c r="D24796" s="22" t="str">
        <f>HYPERLINK("https://rhld.insurance.arkansas.gov/NPILookup?Npi=1437246733","1437246733")</f>
        <v>1437246733</v>
      </c>
      <c r="E24796" s="1" t="s">
        <v>27066</v>
      </c>
      <c r="F24796" s="2"/>
      <c r="G24796" s="2"/>
      <c r="H24796" s="2"/>
    </row>
    <row r="24797" spans="1:8" x14ac:dyDescent="0.25">
      <c r="A24797" s="1"/>
      <c r="B24797" s="1" t="s">
        <v>7328</v>
      </c>
      <c r="C24797" s="1" t="s">
        <v>7329</v>
      </c>
      <c r="D24797" s="22" t="str">
        <f>HYPERLINK("https://rhld.insurance.arkansas.gov/NPILookup?Npi=1437264033","1437264033")</f>
        <v>1437264033</v>
      </c>
      <c r="E24797" s="1" t="s">
        <v>2019</v>
      </c>
      <c r="F24797" s="2"/>
      <c r="G24797" s="2"/>
      <c r="H24797" s="2"/>
    </row>
    <row r="24798" spans="1:8" x14ac:dyDescent="0.25">
      <c r="A24798" s="1"/>
      <c r="B24798" s="1" t="s">
        <v>7328</v>
      </c>
      <c r="C24798" s="1" t="s">
        <v>7329</v>
      </c>
      <c r="D24798" s="22" t="str">
        <f>HYPERLINK("https://rhld.insurance.arkansas.gov/NPILookup?Npi=1437278181","1437278181")</f>
        <v>1437278181</v>
      </c>
      <c r="E24798" s="1" t="s">
        <v>13109</v>
      </c>
      <c r="F24798" s="2"/>
      <c r="G24798" s="2"/>
      <c r="H24798" s="2"/>
    </row>
    <row r="24799" spans="1:8" x14ac:dyDescent="0.25">
      <c r="A24799" s="1"/>
      <c r="B24799" s="1" t="s">
        <v>7328</v>
      </c>
      <c r="C24799" s="1" t="s">
        <v>7329</v>
      </c>
      <c r="D24799" s="22" t="str">
        <f>HYPERLINK("https://rhld.insurance.arkansas.gov/NPILookup?Npi=1437285020","1437285020")</f>
        <v>1437285020</v>
      </c>
      <c r="E24799" s="1" t="s">
        <v>27067</v>
      </c>
      <c r="F24799" s="2"/>
      <c r="G24799" s="2"/>
      <c r="H24799" s="2"/>
    </row>
    <row r="24800" spans="1:8" x14ac:dyDescent="0.25">
      <c r="A24800" s="1"/>
      <c r="B24800" s="1" t="s">
        <v>7328</v>
      </c>
      <c r="C24800" s="1" t="s">
        <v>7329</v>
      </c>
      <c r="D24800" s="22" t="str">
        <f>HYPERLINK("https://rhld.insurance.arkansas.gov/NPILookup?Npi=1437287620","1437287620")</f>
        <v>1437287620</v>
      </c>
      <c r="E24800" s="1" t="s">
        <v>13110</v>
      </c>
      <c r="F24800" s="2"/>
      <c r="G24800" s="2"/>
      <c r="H24800" s="2"/>
    </row>
    <row r="24801" spans="1:8" x14ac:dyDescent="0.25">
      <c r="A24801" s="1"/>
      <c r="B24801" s="1" t="s">
        <v>7328</v>
      </c>
      <c r="C24801" s="1" t="s">
        <v>7329</v>
      </c>
      <c r="D24801" s="22" t="str">
        <f>HYPERLINK("https://rhld.insurance.arkansas.gov/NPILookup?Npi=1437291861","1437291861")</f>
        <v>1437291861</v>
      </c>
      <c r="E24801" s="1" t="s">
        <v>27068</v>
      </c>
      <c r="F24801" s="2"/>
      <c r="G24801" s="2"/>
      <c r="H24801" s="2"/>
    </row>
    <row r="24802" spans="1:8" x14ac:dyDescent="0.25">
      <c r="A24802" s="1"/>
      <c r="B24802" s="1" t="s">
        <v>7328</v>
      </c>
      <c r="C24802" s="1" t="s">
        <v>7329</v>
      </c>
      <c r="D24802" s="22" t="str">
        <f>HYPERLINK("https://rhld.insurance.arkansas.gov/NPILookup?Npi=1437334216","1437334216")</f>
        <v>1437334216</v>
      </c>
      <c r="E24802" s="1" t="s">
        <v>27069</v>
      </c>
      <c r="F24802" s="2"/>
      <c r="G24802" s="2"/>
      <c r="H24802" s="2"/>
    </row>
    <row r="24803" spans="1:8" x14ac:dyDescent="0.25">
      <c r="A24803" s="1"/>
      <c r="B24803" s="1" t="s">
        <v>7328</v>
      </c>
      <c r="C24803" s="1" t="s">
        <v>7329</v>
      </c>
      <c r="D24803" s="22" t="str">
        <f>HYPERLINK("https://rhld.insurance.arkansas.gov/NPILookup?Npi=1437337110","1437337110")</f>
        <v>1437337110</v>
      </c>
      <c r="E24803" s="1" t="s">
        <v>27070</v>
      </c>
      <c r="F24803" s="2"/>
      <c r="G24803" s="2"/>
      <c r="H24803" s="2"/>
    </row>
    <row r="24804" spans="1:8" x14ac:dyDescent="0.25">
      <c r="A24804" s="1"/>
      <c r="B24804" s="1" t="s">
        <v>7328</v>
      </c>
      <c r="C24804" s="1" t="s">
        <v>7329</v>
      </c>
      <c r="D24804" s="22" t="str">
        <f>HYPERLINK("https://rhld.insurance.arkansas.gov/NPILookup?Npi=1437350600","1437350600")</f>
        <v>1437350600</v>
      </c>
      <c r="E24804" s="1" t="s">
        <v>17528</v>
      </c>
      <c r="F24804" s="2"/>
      <c r="G24804" s="2"/>
      <c r="H24804" s="2"/>
    </row>
    <row r="24805" spans="1:8" x14ac:dyDescent="0.25">
      <c r="A24805" s="1"/>
      <c r="B24805" s="1" t="s">
        <v>7328</v>
      </c>
      <c r="C24805" s="1" t="s">
        <v>7329</v>
      </c>
      <c r="D24805" s="22" t="str">
        <f>HYPERLINK("https://rhld.insurance.arkansas.gov/NPILookup?Npi=1437356326","1437356326")</f>
        <v>1437356326</v>
      </c>
      <c r="E24805" s="1" t="s">
        <v>17529</v>
      </c>
      <c r="F24805" s="2"/>
      <c r="G24805" s="2"/>
      <c r="H24805" s="2"/>
    </row>
    <row r="24806" spans="1:8" x14ac:dyDescent="0.25">
      <c r="A24806" s="1"/>
      <c r="B24806" s="1" t="s">
        <v>7328</v>
      </c>
      <c r="C24806" s="1" t="s">
        <v>7329</v>
      </c>
      <c r="D24806" s="22" t="str">
        <f>HYPERLINK("https://rhld.insurance.arkansas.gov/NPILookup?Npi=1437383312","1437383312")</f>
        <v>1437383312</v>
      </c>
      <c r="E24806" s="1" t="s">
        <v>32229</v>
      </c>
      <c r="F24806" s="2"/>
      <c r="G24806" s="2"/>
      <c r="H24806" s="2"/>
    </row>
    <row r="24807" spans="1:8" x14ac:dyDescent="0.25">
      <c r="A24807" s="1"/>
      <c r="B24807" s="1" t="s">
        <v>7328</v>
      </c>
      <c r="C24807" s="1" t="s">
        <v>7329</v>
      </c>
      <c r="D24807" s="22" t="str">
        <f>HYPERLINK("https://rhld.insurance.arkansas.gov/NPILookup?Npi=1437403235","1437403235")</f>
        <v>1437403235</v>
      </c>
      <c r="E24807" s="1" t="s">
        <v>27071</v>
      </c>
      <c r="F24807" s="2"/>
      <c r="G24807" s="2"/>
      <c r="H24807" s="2"/>
    </row>
    <row r="24808" spans="1:8" x14ac:dyDescent="0.25">
      <c r="A24808" s="1"/>
      <c r="B24808" s="1" t="s">
        <v>7328</v>
      </c>
      <c r="C24808" s="1" t="s">
        <v>7329</v>
      </c>
      <c r="D24808" s="22" t="str">
        <f>HYPERLINK("https://rhld.insurance.arkansas.gov/NPILookup?Npi=1437406485","1437406485")</f>
        <v>1437406485</v>
      </c>
      <c r="E24808" s="1" t="s">
        <v>27072</v>
      </c>
      <c r="F24808" s="2"/>
      <c r="G24808" s="2"/>
      <c r="H24808" s="2"/>
    </row>
    <row r="24809" spans="1:8" x14ac:dyDescent="0.25">
      <c r="A24809" s="1"/>
      <c r="B24809" s="1" t="s">
        <v>7328</v>
      </c>
      <c r="C24809" s="1" t="s">
        <v>7329</v>
      </c>
      <c r="D24809" s="22" t="str">
        <f>HYPERLINK("https://rhld.insurance.arkansas.gov/NPILookup?Npi=1437410545","1437410545")</f>
        <v>1437410545</v>
      </c>
      <c r="E24809" s="1" t="s">
        <v>27073</v>
      </c>
      <c r="F24809" s="2"/>
      <c r="G24809" s="2"/>
      <c r="H24809" s="2"/>
    </row>
    <row r="24810" spans="1:8" x14ac:dyDescent="0.25">
      <c r="A24810" s="1"/>
      <c r="B24810" s="1" t="s">
        <v>7328</v>
      </c>
      <c r="C24810" s="1" t="s">
        <v>7329</v>
      </c>
      <c r="D24810" s="22" t="str">
        <f>HYPERLINK("https://rhld.insurance.arkansas.gov/NPILookup?Npi=1437448008","1437448008")</f>
        <v>1437448008</v>
      </c>
      <c r="E24810" s="1" t="s">
        <v>13112</v>
      </c>
      <c r="F24810" s="2"/>
      <c r="G24810" s="2"/>
      <c r="H24810" s="2"/>
    </row>
    <row r="24811" spans="1:8" x14ac:dyDescent="0.25">
      <c r="A24811" s="1"/>
      <c r="B24811" s="1" t="s">
        <v>7328</v>
      </c>
      <c r="C24811" s="1" t="s">
        <v>7329</v>
      </c>
      <c r="D24811" s="22" t="str">
        <f>HYPERLINK("https://rhld.insurance.arkansas.gov/NPILookup?Npi=1437465929","1437465929")</f>
        <v>1437465929</v>
      </c>
      <c r="E24811" s="1" t="s">
        <v>27074</v>
      </c>
      <c r="F24811" s="2"/>
      <c r="G24811" s="2"/>
      <c r="H24811" s="2"/>
    </row>
    <row r="24812" spans="1:8" x14ac:dyDescent="0.25">
      <c r="A24812" s="1"/>
      <c r="B24812" s="1" t="s">
        <v>7328</v>
      </c>
      <c r="C24812" s="1" t="s">
        <v>7329</v>
      </c>
      <c r="D24812" s="22" t="str">
        <f>HYPERLINK("https://rhld.insurance.arkansas.gov/NPILookup?Npi=1437478740","1437478740")</f>
        <v>1437478740</v>
      </c>
      <c r="E24812" s="1" t="s">
        <v>22199</v>
      </c>
      <c r="F24812" s="2"/>
      <c r="G24812" s="2"/>
      <c r="H24812" s="2"/>
    </row>
    <row r="24813" spans="1:8" x14ac:dyDescent="0.25">
      <c r="A24813" s="1"/>
      <c r="B24813" s="1" t="s">
        <v>7328</v>
      </c>
      <c r="C24813" s="1" t="s">
        <v>7329</v>
      </c>
      <c r="D24813" s="22" t="str">
        <f>HYPERLINK("https://rhld.insurance.arkansas.gov/NPILookup?Npi=1437488657","1437488657")</f>
        <v>1437488657</v>
      </c>
      <c r="E24813" s="1" t="s">
        <v>27075</v>
      </c>
      <c r="F24813" s="2"/>
      <c r="G24813" s="2"/>
      <c r="H24813" s="2"/>
    </row>
    <row r="24814" spans="1:8" x14ac:dyDescent="0.25">
      <c r="A24814" s="1"/>
      <c r="B24814" s="1" t="s">
        <v>7328</v>
      </c>
      <c r="C24814" s="1" t="s">
        <v>7329</v>
      </c>
      <c r="D24814" s="22" t="str">
        <f>HYPERLINK("https://rhld.insurance.arkansas.gov/NPILookup?Npi=1437499084","1437499084")</f>
        <v>1437499084</v>
      </c>
      <c r="E24814" s="1" t="s">
        <v>27076</v>
      </c>
      <c r="F24814" s="2"/>
      <c r="G24814" s="2"/>
      <c r="H24814" s="2"/>
    </row>
    <row r="24815" spans="1:8" x14ac:dyDescent="0.25">
      <c r="A24815" s="1"/>
      <c r="B24815" s="1" t="s">
        <v>7328</v>
      </c>
      <c r="C24815" s="1" t="s">
        <v>7329</v>
      </c>
      <c r="D24815" s="22" t="str">
        <f>HYPERLINK("https://rhld.insurance.arkansas.gov/NPILookup?Npi=1437504040","1437504040")</f>
        <v>1437504040</v>
      </c>
      <c r="E24815" s="1" t="s">
        <v>10310</v>
      </c>
      <c r="F24815" s="2"/>
      <c r="G24815" s="2"/>
      <c r="H24815" s="2"/>
    </row>
    <row r="24816" spans="1:8" x14ac:dyDescent="0.25">
      <c r="A24816" s="1"/>
      <c r="B24816" s="1" t="s">
        <v>7328</v>
      </c>
      <c r="C24816" s="1" t="s">
        <v>7329</v>
      </c>
      <c r="D24816" s="22" t="str">
        <f>HYPERLINK("https://rhld.insurance.arkansas.gov/NPILookup?Npi=1437510252","1437510252")</f>
        <v>1437510252</v>
      </c>
      <c r="E24816" s="1" t="s">
        <v>27077</v>
      </c>
      <c r="F24816" s="2"/>
      <c r="G24816" s="2"/>
      <c r="H24816" s="2"/>
    </row>
    <row r="24817" spans="1:8" x14ac:dyDescent="0.25">
      <c r="A24817" s="1"/>
      <c r="B24817" s="1" t="s">
        <v>7328</v>
      </c>
      <c r="C24817" s="1" t="s">
        <v>7329</v>
      </c>
      <c r="D24817" s="22" t="str">
        <f>HYPERLINK("https://rhld.insurance.arkansas.gov/NPILookup?Npi=1437510773","1437510773")</f>
        <v>1437510773</v>
      </c>
      <c r="E24817" s="1" t="s">
        <v>1217</v>
      </c>
      <c r="F24817" s="2"/>
      <c r="G24817" s="2"/>
      <c r="H24817" s="2"/>
    </row>
    <row r="24818" spans="1:8" x14ac:dyDescent="0.25">
      <c r="A24818" s="1"/>
      <c r="B24818" s="1" t="s">
        <v>7328</v>
      </c>
      <c r="C24818" s="1" t="s">
        <v>7329</v>
      </c>
      <c r="D24818" s="22" t="str">
        <f>HYPERLINK("https://rhld.insurance.arkansas.gov/NPILookup?Npi=1437517281","1437517281")</f>
        <v>1437517281</v>
      </c>
      <c r="E24818" s="1" t="s">
        <v>1778</v>
      </c>
      <c r="F24818" s="2"/>
      <c r="G24818" s="2"/>
      <c r="H24818" s="2"/>
    </row>
    <row r="24819" spans="1:8" x14ac:dyDescent="0.25">
      <c r="A24819" s="1"/>
      <c r="B24819" s="1" t="s">
        <v>7328</v>
      </c>
      <c r="C24819" s="1" t="s">
        <v>7329</v>
      </c>
      <c r="D24819" s="22" t="str">
        <f>HYPERLINK("https://rhld.insurance.arkansas.gov/NPILookup?Npi=1437526241","1437526241")</f>
        <v>1437526241</v>
      </c>
      <c r="E24819" s="1" t="s">
        <v>27078</v>
      </c>
      <c r="F24819" s="2"/>
      <c r="G24819" s="2"/>
      <c r="H24819" s="2"/>
    </row>
    <row r="24820" spans="1:8" x14ac:dyDescent="0.25">
      <c r="A24820" s="1"/>
      <c r="B24820" s="1" t="s">
        <v>7328</v>
      </c>
      <c r="C24820" s="1" t="s">
        <v>7329</v>
      </c>
      <c r="D24820" s="22" t="str">
        <f>HYPERLINK("https://rhld.insurance.arkansas.gov/NPILookup?Npi=1437526944","1437526944")</f>
        <v>1437526944</v>
      </c>
      <c r="E24820" s="1" t="s">
        <v>13113</v>
      </c>
      <c r="F24820" s="2"/>
      <c r="G24820" s="2"/>
      <c r="H24820" s="2"/>
    </row>
    <row r="24821" spans="1:8" x14ac:dyDescent="0.25">
      <c r="A24821" s="1"/>
      <c r="B24821" s="1" t="s">
        <v>7328</v>
      </c>
      <c r="C24821" s="1" t="s">
        <v>7329</v>
      </c>
      <c r="D24821" s="22" t="str">
        <f>HYPERLINK("https://rhld.insurance.arkansas.gov/NPILookup?Npi=1437545662","1437545662")</f>
        <v>1437545662</v>
      </c>
      <c r="E24821" s="1" t="s">
        <v>11893</v>
      </c>
      <c r="F24821" s="2"/>
      <c r="G24821" s="2"/>
      <c r="H24821" s="2"/>
    </row>
    <row r="24822" spans="1:8" x14ac:dyDescent="0.25">
      <c r="A24822" s="1"/>
      <c r="B24822" s="1" t="s">
        <v>7328</v>
      </c>
      <c r="C24822" s="1" t="s">
        <v>7329</v>
      </c>
      <c r="D24822" s="22" t="str">
        <f>HYPERLINK("https://rhld.insurance.arkansas.gov/NPILookup?Npi=1437551363","1437551363")</f>
        <v>1437551363</v>
      </c>
      <c r="E24822" s="1" t="s">
        <v>27079</v>
      </c>
      <c r="F24822" s="2"/>
      <c r="G24822" s="2"/>
      <c r="H24822" s="2"/>
    </row>
    <row r="24823" spans="1:8" x14ac:dyDescent="0.25">
      <c r="A24823" s="1"/>
      <c r="B24823" s="1" t="s">
        <v>7328</v>
      </c>
      <c r="C24823" s="1" t="s">
        <v>7329</v>
      </c>
      <c r="D24823" s="22" t="str">
        <f>HYPERLINK("https://rhld.insurance.arkansas.gov/NPILookup?Npi=1437558509","1437558509")</f>
        <v>1437558509</v>
      </c>
      <c r="E24823" s="1" t="s">
        <v>271</v>
      </c>
      <c r="F24823" s="2"/>
      <c r="G24823" s="2"/>
      <c r="H24823" s="2"/>
    </row>
    <row r="24824" spans="1:8" x14ac:dyDescent="0.25">
      <c r="A24824" s="1"/>
      <c r="B24824" s="1" t="s">
        <v>7328</v>
      </c>
      <c r="C24824" s="1" t="s">
        <v>7329</v>
      </c>
      <c r="D24824" s="22" t="str">
        <f>HYPERLINK("https://rhld.insurance.arkansas.gov/NPILookup?Npi=1437566841","1437566841")</f>
        <v>1437566841</v>
      </c>
      <c r="E24824" s="1" t="s">
        <v>10742</v>
      </c>
      <c r="F24824" s="2"/>
      <c r="G24824" s="2"/>
      <c r="H24824" s="2"/>
    </row>
    <row r="24825" spans="1:8" x14ac:dyDescent="0.25">
      <c r="A24825" s="1"/>
      <c r="B24825" s="1" t="s">
        <v>7328</v>
      </c>
      <c r="C24825" s="1" t="s">
        <v>7329</v>
      </c>
      <c r="D24825" s="22" t="str">
        <f>HYPERLINK("https://rhld.insurance.arkansas.gov/NPILookup?Npi=1437574902","1437574902")</f>
        <v>1437574902</v>
      </c>
      <c r="E24825" s="1" t="s">
        <v>27080</v>
      </c>
      <c r="F24825" s="2"/>
      <c r="G24825" s="2"/>
      <c r="H24825" s="2"/>
    </row>
    <row r="24826" spans="1:8" x14ac:dyDescent="0.25">
      <c r="A24826" s="1"/>
      <c r="B24826" s="1" t="s">
        <v>7328</v>
      </c>
      <c r="C24826" s="1" t="s">
        <v>7329</v>
      </c>
      <c r="D24826" s="22" t="str">
        <f>HYPERLINK("https://rhld.insurance.arkansas.gov/NPILookup?Npi=1437576469","1437576469")</f>
        <v>1437576469</v>
      </c>
      <c r="E24826" s="1" t="s">
        <v>13114</v>
      </c>
      <c r="F24826" s="2"/>
      <c r="G24826" s="2"/>
      <c r="H24826" s="2"/>
    </row>
    <row r="24827" spans="1:8" x14ac:dyDescent="0.25">
      <c r="A24827" s="1"/>
      <c r="B24827" s="1" t="s">
        <v>7328</v>
      </c>
      <c r="C24827" s="1" t="s">
        <v>7329</v>
      </c>
      <c r="D24827" s="22" t="str">
        <f>HYPERLINK("https://rhld.insurance.arkansas.gov/NPILookup?Npi=1437582426","1437582426")</f>
        <v>1437582426</v>
      </c>
      <c r="E24827" s="1" t="s">
        <v>27081</v>
      </c>
      <c r="F24827" s="2"/>
      <c r="G24827" s="2"/>
      <c r="H24827" s="2"/>
    </row>
    <row r="24828" spans="1:8" x14ac:dyDescent="0.25">
      <c r="A24828" s="1"/>
      <c r="B24828" s="1" t="s">
        <v>7328</v>
      </c>
      <c r="C24828" s="1" t="s">
        <v>7329</v>
      </c>
      <c r="D24828" s="22" t="str">
        <f>HYPERLINK("https://rhld.insurance.arkansas.gov/NPILookup?Npi=1437582673","1437582673")</f>
        <v>1437582673</v>
      </c>
      <c r="E24828" s="1" t="s">
        <v>13115</v>
      </c>
      <c r="F24828" s="2"/>
      <c r="G24828" s="2"/>
      <c r="H24828" s="2"/>
    </row>
    <row r="24829" spans="1:8" x14ac:dyDescent="0.25">
      <c r="A24829" s="1"/>
      <c r="B24829" s="1" t="s">
        <v>7328</v>
      </c>
      <c r="C24829" s="1" t="s">
        <v>7329</v>
      </c>
      <c r="D24829" s="22" t="str">
        <f>HYPERLINK("https://rhld.insurance.arkansas.gov/NPILookup?Npi=1437593779","1437593779")</f>
        <v>1437593779</v>
      </c>
      <c r="E24829" s="1" t="s">
        <v>27082</v>
      </c>
      <c r="F24829" s="2"/>
      <c r="G24829" s="2"/>
      <c r="H24829" s="2"/>
    </row>
    <row r="24830" spans="1:8" x14ac:dyDescent="0.25">
      <c r="A24830" s="1"/>
      <c r="B24830" s="1" t="s">
        <v>7328</v>
      </c>
      <c r="C24830" s="1" t="s">
        <v>7329</v>
      </c>
      <c r="D24830" s="22" t="str">
        <f>HYPERLINK("https://rhld.insurance.arkansas.gov/NPILookup?Npi=1437617321","1437617321")</f>
        <v>1437617321</v>
      </c>
      <c r="E24830" s="1" t="s">
        <v>7751</v>
      </c>
      <c r="F24830" s="2"/>
      <c r="G24830" s="2"/>
      <c r="H24830" s="2"/>
    </row>
    <row r="24831" spans="1:8" x14ac:dyDescent="0.25">
      <c r="A24831" s="1"/>
      <c r="B24831" s="1" t="s">
        <v>7328</v>
      </c>
      <c r="C24831" s="1" t="s">
        <v>7329</v>
      </c>
      <c r="D24831" s="22" t="str">
        <f>HYPERLINK("https://rhld.insurance.arkansas.gov/NPILookup?Npi=1437621323","1437621323")</f>
        <v>1437621323</v>
      </c>
      <c r="E24831" s="1" t="s">
        <v>7752</v>
      </c>
      <c r="F24831" s="2"/>
      <c r="G24831" s="2"/>
      <c r="H24831" s="2"/>
    </row>
    <row r="24832" spans="1:8" x14ac:dyDescent="0.25">
      <c r="A24832" s="1"/>
      <c r="B24832" s="1" t="s">
        <v>7328</v>
      </c>
      <c r="C24832" s="1" t="s">
        <v>7329</v>
      </c>
      <c r="D24832" s="22" t="str">
        <f>HYPERLINK("https://rhld.insurance.arkansas.gov/NPILookup?Npi=1437626421","1437626421")</f>
        <v>1437626421</v>
      </c>
      <c r="E24832" s="1" t="s">
        <v>27083</v>
      </c>
      <c r="F24832" s="2"/>
      <c r="G24832" s="2"/>
      <c r="H24832" s="2"/>
    </row>
    <row r="24833" spans="1:8" x14ac:dyDescent="0.25">
      <c r="A24833" s="1"/>
      <c r="B24833" s="1" t="s">
        <v>7328</v>
      </c>
      <c r="C24833" s="1" t="s">
        <v>7329</v>
      </c>
      <c r="D24833" s="22" t="str">
        <f>HYPERLINK("https://rhld.insurance.arkansas.gov/NPILookup?Npi=1437645892","1437645892")</f>
        <v>1437645892</v>
      </c>
      <c r="E24833" s="1" t="s">
        <v>27084</v>
      </c>
      <c r="F24833" s="2"/>
      <c r="G24833" s="2"/>
      <c r="H24833" s="2"/>
    </row>
    <row r="24834" spans="1:8" x14ac:dyDescent="0.25">
      <c r="A24834" s="1"/>
      <c r="B24834" s="1" t="s">
        <v>7328</v>
      </c>
      <c r="C24834" s="1" t="s">
        <v>7329</v>
      </c>
      <c r="D24834" s="22" t="str">
        <f>HYPERLINK("https://rhld.insurance.arkansas.gov/NPILookup?Npi=1437646510","1437646510")</f>
        <v>1437646510</v>
      </c>
      <c r="E24834" s="1" t="s">
        <v>7753</v>
      </c>
      <c r="F24834" s="2"/>
      <c r="G24834" s="2"/>
      <c r="H24834" s="2"/>
    </row>
    <row r="24835" spans="1:8" x14ac:dyDescent="0.25">
      <c r="A24835" s="1"/>
      <c r="B24835" s="1" t="s">
        <v>7328</v>
      </c>
      <c r="C24835" s="1" t="s">
        <v>7329</v>
      </c>
      <c r="D24835" s="22" t="str">
        <f>HYPERLINK("https://rhld.insurance.arkansas.gov/NPILookup?Npi=1437647666","1437647666")</f>
        <v>1437647666</v>
      </c>
      <c r="E24835" s="1" t="s">
        <v>27085</v>
      </c>
      <c r="F24835" s="2"/>
      <c r="G24835" s="2"/>
      <c r="H24835" s="2"/>
    </row>
    <row r="24836" spans="1:8" x14ac:dyDescent="0.25">
      <c r="A24836" s="1"/>
      <c r="B24836" s="1" t="s">
        <v>7328</v>
      </c>
      <c r="C24836" s="1" t="s">
        <v>7329</v>
      </c>
      <c r="D24836" s="22" t="str">
        <f>HYPERLINK("https://rhld.insurance.arkansas.gov/NPILookup?Npi=1437651601","1437651601")</f>
        <v>1437651601</v>
      </c>
      <c r="E24836" s="1" t="s">
        <v>27086</v>
      </c>
      <c r="F24836" s="2"/>
      <c r="G24836" s="2"/>
      <c r="H24836" s="2"/>
    </row>
    <row r="24837" spans="1:8" x14ac:dyDescent="0.25">
      <c r="A24837" s="1"/>
      <c r="B24837" s="1" t="s">
        <v>7328</v>
      </c>
      <c r="C24837" s="1" t="s">
        <v>7329</v>
      </c>
      <c r="D24837" s="22" t="str">
        <f>HYPERLINK("https://rhld.insurance.arkansas.gov/NPILookup?Npi=1437655065","1437655065")</f>
        <v>1437655065</v>
      </c>
      <c r="E24837" s="1" t="s">
        <v>27087</v>
      </c>
      <c r="F24837" s="2"/>
      <c r="G24837" s="2"/>
      <c r="H24837" s="2"/>
    </row>
    <row r="24838" spans="1:8" x14ac:dyDescent="0.25">
      <c r="A24838" s="1"/>
      <c r="B24838" s="1" t="s">
        <v>7328</v>
      </c>
      <c r="C24838" s="1" t="s">
        <v>7329</v>
      </c>
      <c r="D24838" s="22" t="str">
        <f>HYPERLINK("https://rhld.insurance.arkansas.gov/NPILookup?Npi=1437656675","1437656675")</f>
        <v>1437656675</v>
      </c>
      <c r="E24838" s="1" t="s">
        <v>13116</v>
      </c>
      <c r="F24838" s="2"/>
      <c r="G24838" s="2"/>
      <c r="H24838" s="2"/>
    </row>
    <row r="24839" spans="1:8" x14ac:dyDescent="0.25">
      <c r="A24839" s="1"/>
      <c r="B24839" s="1" t="s">
        <v>7328</v>
      </c>
      <c r="C24839" s="1" t="s">
        <v>7329</v>
      </c>
      <c r="D24839" s="22" t="str">
        <f>HYPERLINK("https://rhld.insurance.arkansas.gov/NPILookup?Npi=1437661980","1437661980")</f>
        <v>1437661980</v>
      </c>
      <c r="E24839" s="1" t="s">
        <v>27088</v>
      </c>
      <c r="F24839" s="2"/>
      <c r="G24839" s="2"/>
      <c r="H24839" s="2"/>
    </row>
    <row r="24840" spans="1:8" x14ac:dyDescent="0.25">
      <c r="A24840" s="1"/>
      <c r="B24840" s="1" t="s">
        <v>7328</v>
      </c>
      <c r="C24840" s="1" t="s">
        <v>7329</v>
      </c>
      <c r="D24840" s="22" t="str">
        <f>HYPERLINK("https://rhld.insurance.arkansas.gov/NPILookup?Npi=1437679164","1437679164")</f>
        <v>1437679164</v>
      </c>
      <c r="E24840" s="1" t="s">
        <v>2020</v>
      </c>
      <c r="F24840" s="2"/>
      <c r="G24840" s="2"/>
      <c r="H24840" s="2"/>
    </row>
    <row r="24841" spans="1:8" x14ac:dyDescent="0.25">
      <c r="A24841" s="1"/>
      <c r="B24841" s="1" t="s">
        <v>7328</v>
      </c>
      <c r="C24841" s="1" t="s">
        <v>7329</v>
      </c>
      <c r="D24841" s="22" t="str">
        <f>HYPERLINK("https://rhld.insurance.arkansas.gov/NPILookup?Npi=1437679651","1437679651")</f>
        <v>1437679651</v>
      </c>
      <c r="E24841" s="1" t="s">
        <v>27089</v>
      </c>
      <c r="F24841" s="2"/>
      <c r="G24841" s="2"/>
      <c r="H24841" s="2"/>
    </row>
    <row r="24842" spans="1:8" x14ac:dyDescent="0.25">
      <c r="A24842" s="1"/>
      <c r="B24842" s="1" t="s">
        <v>7328</v>
      </c>
      <c r="C24842" s="1" t="s">
        <v>7329</v>
      </c>
      <c r="D24842" s="22" t="str">
        <f>HYPERLINK("https://rhld.insurance.arkansas.gov/NPILookup?Npi=1437680394","1437680394")</f>
        <v>1437680394</v>
      </c>
      <c r="E24842" s="1" t="s">
        <v>27090</v>
      </c>
      <c r="F24842" s="2"/>
      <c r="G24842" s="2"/>
      <c r="H24842" s="2"/>
    </row>
    <row r="24843" spans="1:8" x14ac:dyDescent="0.25">
      <c r="A24843" s="1"/>
      <c r="B24843" s="1" t="s">
        <v>7328</v>
      </c>
      <c r="C24843" s="1" t="s">
        <v>7329</v>
      </c>
      <c r="D24843" s="22" t="str">
        <f>HYPERLINK("https://rhld.insurance.arkansas.gov/NPILookup?Npi=1437693389","1437693389")</f>
        <v>1437693389</v>
      </c>
      <c r="E24843" s="1" t="s">
        <v>10312</v>
      </c>
      <c r="F24843" s="2"/>
      <c r="G24843" s="2"/>
      <c r="H24843" s="2"/>
    </row>
    <row r="24844" spans="1:8" x14ac:dyDescent="0.25">
      <c r="A24844" s="1"/>
      <c r="B24844" s="1" t="s">
        <v>7328</v>
      </c>
      <c r="C24844" s="1" t="s">
        <v>7329</v>
      </c>
      <c r="D24844" s="22" t="str">
        <f>HYPERLINK("https://rhld.insurance.arkansas.gov/NPILookup?Npi=1437698735","1437698735")</f>
        <v>1437698735</v>
      </c>
      <c r="E24844" s="1" t="s">
        <v>27091</v>
      </c>
      <c r="F24844" s="2"/>
      <c r="G24844" s="2"/>
      <c r="H24844" s="2"/>
    </row>
    <row r="24845" spans="1:8" x14ac:dyDescent="0.25">
      <c r="A24845" s="1"/>
      <c r="B24845" s="1" t="s">
        <v>7328</v>
      </c>
      <c r="C24845" s="1" t="s">
        <v>7329</v>
      </c>
      <c r="D24845" s="22" t="str">
        <f>HYPERLINK("https://rhld.insurance.arkansas.gov/NPILookup?Npi=1437705001","1437705001")</f>
        <v>1437705001</v>
      </c>
      <c r="E24845" s="1" t="s">
        <v>27092</v>
      </c>
      <c r="F24845" s="2"/>
      <c r="G24845" s="2"/>
      <c r="H24845" s="2"/>
    </row>
    <row r="24846" spans="1:8" x14ac:dyDescent="0.25">
      <c r="A24846" s="1"/>
      <c r="B24846" s="1" t="s">
        <v>7328</v>
      </c>
      <c r="C24846" s="1" t="s">
        <v>7329</v>
      </c>
      <c r="D24846" s="22" t="str">
        <f>HYPERLINK("https://rhld.insurance.arkansas.gov/NPILookup?Npi=1437738879","1437738879")</f>
        <v>1437738879</v>
      </c>
      <c r="E24846" s="1" t="s">
        <v>27093</v>
      </c>
      <c r="F24846" s="2"/>
      <c r="G24846" s="2"/>
      <c r="H24846" s="2"/>
    </row>
    <row r="24847" spans="1:8" x14ac:dyDescent="0.25">
      <c r="A24847" s="1"/>
      <c r="B24847" s="1" t="s">
        <v>7328</v>
      </c>
      <c r="C24847" s="1" t="s">
        <v>7329</v>
      </c>
      <c r="D24847" s="22" t="str">
        <f>HYPERLINK("https://rhld.insurance.arkansas.gov/NPILookup?Npi=1437765831","1437765831")</f>
        <v>1437765831</v>
      </c>
      <c r="E24847" s="1" t="s">
        <v>1779</v>
      </c>
      <c r="F24847" s="2"/>
      <c r="G24847" s="2"/>
      <c r="H24847" s="2"/>
    </row>
    <row r="24848" spans="1:8" x14ac:dyDescent="0.25">
      <c r="A24848" s="1"/>
      <c r="B24848" s="1" t="s">
        <v>7328</v>
      </c>
      <c r="C24848" s="1" t="s">
        <v>7329</v>
      </c>
      <c r="D24848" s="22" t="str">
        <f>HYPERLINK("https://rhld.insurance.arkansas.gov/NPILookup?Npi=1437771607","1437771607")</f>
        <v>1437771607</v>
      </c>
      <c r="E24848" s="1" t="s">
        <v>27094</v>
      </c>
      <c r="F24848" s="2"/>
      <c r="G24848" s="2"/>
      <c r="H24848" s="2"/>
    </row>
    <row r="24849" spans="1:8" x14ac:dyDescent="0.25">
      <c r="A24849" s="1"/>
      <c r="B24849" s="1" t="s">
        <v>7328</v>
      </c>
      <c r="C24849" s="1" t="s">
        <v>7329</v>
      </c>
      <c r="D24849" s="22" t="str">
        <f>HYPERLINK("https://rhld.insurance.arkansas.gov/NPILookup?Npi=1437792298","1437792298")</f>
        <v>1437792298</v>
      </c>
      <c r="E24849" s="1" t="s">
        <v>2831</v>
      </c>
      <c r="F24849" s="2"/>
      <c r="G24849" s="2"/>
      <c r="H24849" s="2"/>
    </row>
    <row r="24850" spans="1:8" x14ac:dyDescent="0.25">
      <c r="A24850" s="1"/>
      <c r="B24850" s="1" t="s">
        <v>7328</v>
      </c>
      <c r="C24850" s="1" t="s">
        <v>7329</v>
      </c>
      <c r="D24850" s="22" t="str">
        <f>HYPERLINK("https://rhld.insurance.arkansas.gov/NPILookup?Npi=1437800992","1437800992")</f>
        <v>1437800992</v>
      </c>
      <c r="E24850" s="1" t="s">
        <v>27095</v>
      </c>
      <c r="F24850" s="2"/>
      <c r="G24850" s="2"/>
      <c r="H24850" s="2"/>
    </row>
    <row r="24851" spans="1:8" x14ac:dyDescent="0.25">
      <c r="A24851" s="1"/>
      <c r="B24851" s="1" t="s">
        <v>7328</v>
      </c>
      <c r="C24851" s="1" t="s">
        <v>7329</v>
      </c>
      <c r="D24851" s="22" t="str">
        <f>HYPERLINK("https://rhld.insurance.arkansas.gov/NPILookup?Npi=1437806445","1437806445")</f>
        <v>1437806445</v>
      </c>
      <c r="E24851" s="1" t="s">
        <v>7754</v>
      </c>
      <c r="F24851" s="2"/>
      <c r="G24851" s="2"/>
      <c r="H24851" s="2"/>
    </row>
    <row r="24852" spans="1:8" x14ac:dyDescent="0.25">
      <c r="A24852" s="1"/>
      <c r="B24852" s="1" t="s">
        <v>7328</v>
      </c>
      <c r="C24852" s="1" t="s">
        <v>7329</v>
      </c>
      <c r="D24852" s="22" t="str">
        <f>HYPERLINK("https://rhld.insurance.arkansas.gov/NPILookup?Npi=1437807260","1437807260")</f>
        <v>1437807260</v>
      </c>
      <c r="E24852" s="1" t="s">
        <v>27096</v>
      </c>
      <c r="F24852" s="2"/>
      <c r="G24852" s="2"/>
      <c r="H24852" s="2"/>
    </row>
    <row r="24853" spans="1:8" x14ac:dyDescent="0.25">
      <c r="A24853" s="1"/>
      <c r="B24853" s="1" t="s">
        <v>7328</v>
      </c>
      <c r="C24853" s="1" t="s">
        <v>7329</v>
      </c>
      <c r="D24853" s="22" t="str">
        <f>HYPERLINK("https://rhld.insurance.arkansas.gov/NPILookup?Npi=1437827912","1437827912")</f>
        <v>1437827912</v>
      </c>
      <c r="E24853" s="1" t="s">
        <v>27097</v>
      </c>
      <c r="F24853" s="2"/>
      <c r="G24853" s="2"/>
      <c r="H24853" s="2"/>
    </row>
    <row r="24854" spans="1:8" x14ac:dyDescent="0.25">
      <c r="A24854" s="1"/>
      <c r="B24854" s="1" t="s">
        <v>7328</v>
      </c>
      <c r="C24854" s="1" t="s">
        <v>7329</v>
      </c>
      <c r="D24854" s="22" t="str">
        <f>HYPERLINK("https://rhld.insurance.arkansas.gov/NPILookup?Npi=1437828084","1437828084")</f>
        <v>1437828084</v>
      </c>
      <c r="E24854" s="1" t="s">
        <v>7755</v>
      </c>
      <c r="F24854" s="2"/>
      <c r="G24854" s="2"/>
      <c r="H24854" s="2"/>
    </row>
    <row r="24855" spans="1:8" x14ac:dyDescent="0.25">
      <c r="A24855" s="1"/>
      <c r="B24855" s="1" t="s">
        <v>7328</v>
      </c>
      <c r="C24855" s="1" t="s">
        <v>7329</v>
      </c>
      <c r="D24855" s="22" t="str">
        <f>HYPERLINK("https://rhld.insurance.arkansas.gov/NPILookup?Npi=1437844792","1437844792")</f>
        <v>1437844792</v>
      </c>
      <c r="E24855" s="1" t="s">
        <v>7756</v>
      </c>
      <c r="F24855" s="2"/>
      <c r="G24855" s="2"/>
      <c r="H24855" s="2"/>
    </row>
    <row r="24856" spans="1:8" x14ac:dyDescent="0.25">
      <c r="A24856" s="1"/>
      <c r="B24856" s="1" t="s">
        <v>7328</v>
      </c>
      <c r="C24856" s="1" t="s">
        <v>7329</v>
      </c>
      <c r="D24856" s="22" t="str">
        <f>HYPERLINK("https://rhld.insurance.arkansas.gov/NPILookup?Npi=1437856820","1437856820")</f>
        <v>1437856820</v>
      </c>
      <c r="E24856" s="1" t="s">
        <v>22219</v>
      </c>
      <c r="F24856" s="2"/>
      <c r="G24856" s="2"/>
      <c r="H24856" s="2"/>
    </row>
    <row r="24857" spans="1:8" x14ac:dyDescent="0.25">
      <c r="A24857" s="1"/>
      <c r="B24857" s="1" t="s">
        <v>7328</v>
      </c>
      <c r="C24857" s="1" t="s">
        <v>7329</v>
      </c>
      <c r="D24857" s="22" t="str">
        <f>HYPERLINK("https://rhld.insurance.arkansas.gov/NPILookup?Npi=1437857687","1437857687")</f>
        <v>1437857687</v>
      </c>
      <c r="E24857" s="1" t="s">
        <v>13117</v>
      </c>
      <c r="F24857" s="2"/>
      <c r="G24857" s="2"/>
      <c r="H24857" s="2"/>
    </row>
    <row r="24858" spans="1:8" x14ac:dyDescent="0.25">
      <c r="A24858" s="1"/>
      <c r="B24858" s="1" t="s">
        <v>7328</v>
      </c>
      <c r="C24858" s="1" t="s">
        <v>7329</v>
      </c>
      <c r="D24858" s="22" t="str">
        <f>HYPERLINK("https://rhld.insurance.arkansas.gov/NPILookup?Npi=1437866720","1437866720")</f>
        <v>1437866720</v>
      </c>
      <c r="E24858" s="1" t="s">
        <v>27098</v>
      </c>
      <c r="F24858" s="2"/>
      <c r="G24858" s="2"/>
      <c r="H24858" s="2"/>
    </row>
    <row r="24859" spans="1:8" x14ac:dyDescent="0.25">
      <c r="A24859" s="1"/>
      <c r="B24859" s="1" t="s">
        <v>7328</v>
      </c>
      <c r="C24859" s="1" t="s">
        <v>7329</v>
      </c>
      <c r="D24859" s="22" t="str">
        <f>HYPERLINK("https://rhld.insurance.arkansas.gov/NPILookup?Npi=1437871571","1437871571")</f>
        <v>1437871571</v>
      </c>
      <c r="E24859" s="1" t="s">
        <v>27099</v>
      </c>
      <c r="F24859" s="2"/>
      <c r="G24859" s="2"/>
      <c r="H24859" s="2"/>
    </row>
    <row r="24860" spans="1:8" x14ac:dyDescent="0.25">
      <c r="A24860" s="1"/>
      <c r="B24860" s="1" t="s">
        <v>7328</v>
      </c>
      <c r="C24860" s="1" t="s">
        <v>7329</v>
      </c>
      <c r="D24860" s="22" t="str">
        <f>HYPERLINK("https://rhld.insurance.arkansas.gov/NPILookup?Npi=1437882776","1437882776")</f>
        <v>1437882776</v>
      </c>
      <c r="E24860" s="1" t="s">
        <v>13118</v>
      </c>
      <c r="F24860" s="2"/>
      <c r="G24860" s="2"/>
      <c r="H24860" s="2"/>
    </row>
    <row r="24861" spans="1:8" x14ac:dyDescent="0.25">
      <c r="A24861" s="1"/>
      <c r="B24861" s="1" t="s">
        <v>7328</v>
      </c>
      <c r="C24861" s="1" t="s">
        <v>7329</v>
      </c>
      <c r="D24861" s="22" t="str">
        <f>HYPERLINK("https://rhld.insurance.arkansas.gov/NPILookup?Npi=1437925971","1437925971")</f>
        <v>1437925971</v>
      </c>
      <c r="E24861" s="1" t="s">
        <v>7757</v>
      </c>
      <c r="F24861" s="2"/>
      <c r="G24861" s="2"/>
      <c r="H24861" s="2"/>
    </row>
    <row r="24862" spans="1:8" x14ac:dyDescent="0.25">
      <c r="A24862" s="1"/>
      <c r="B24862" s="1" t="s">
        <v>7328</v>
      </c>
      <c r="C24862" s="1" t="s">
        <v>7329</v>
      </c>
      <c r="D24862" s="22" t="str">
        <f>HYPERLINK("https://rhld.insurance.arkansas.gov/NPILookup?Npi=1447012158","1447012158")</f>
        <v>1447012158</v>
      </c>
      <c r="E24862" s="1" t="s">
        <v>32230</v>
      </c>
      <c r="F24862" s="2"/>
      <c r="G24862" s="2"/>
      <c r="H24862" s="2"/>
    </row>
    <row r="24863" spans="1:8" x14ac:dyDescent="0.25">
      <c r="A24863" s="1"/>
      <c r="B24863" s="1" t="s">
        <v>7328</v>
      </c>
      <c r="C24863" s="1" t="s">
        <v>7329</v>
      </c>
      <c r="D24863" s="22" t="str">
        <f>HYPERLINK("https://rhld.insurance.arkansas.gov/NPILookup?Npi=1447025630","1447025630")</f>
        <v>1447025630</v>
      </c>
      <c r="E24863" s="1" t="s">
        <v>27100</v>
      </c>
      <c r="F24863" s="2"/>
      <c r="G24863" s="2"/>
      <c r="H24863" s="2"/>
    </row>
    <row r="24864" spans="1:8" x14ac:dyDescent="0.25">
      <c r="A24864" s="1"/>
      <c r="B24864" s="1" t="s">
        <v>7328</v>
      </c>
      <c r="C24864" s="1" t="s">
        <v>7329</v>
      </c>
      <c r="D24864" s="22" t="str">
        <f>HYPERLINK("https://rhld.insurance.arkansas.gov/NPILookup?Npi=1447058037","1447058037")</f>
        <v>1447058037</v>
      </c>
      <c r="E24864" s="1" t="s">
        <v>32231</v>
      </c>
      <c r="F24864" s="2"/>
      <c r="G24864" s="2"/>
      <c r="H24864" s="2"/>
    </row>
    <row r="24865" spans="1:8" x14ac:dyDescent="0.25">
      <c r="A24865" s="1"/>
      <c r="B24865" s="1" t="s">
        <v>7328</v>
      </c>
      <c r="C24865" s="1" t="s">
        <v>7329</v>
      </c>
      <c r="D24865" s="22" t="str">
        <f>HYPERLINK("https://rhld.insurance.arkansas.gov/NPILookup?Npi=1447074968","1447074968")</f>
        <v>1447074968</v>
      </c>
      <c r="E24865" s="1" t="s">
        <v>32232</v>
      </c>
      <c r="F24865" s="2"/>
      <c r="G24865" s="2"/>
      <c r="H24865" s="2"/>
    </row>
    <row r="24866" spans="1:8" x14ac:dyDescent="0.25">
      <c r="A24866" s="1"/>
      <c r="B24866" s="1" t="s">
        <v>7328</v>
      </c>
      <c r="C24866" s="1" t="s">
        <v>7329</v>
      </c>
      <c r="D24866" s="22" t="str">
        <f>HYPERLINK("https://rhld.insurance.arkansas.gov/NPILookup?Npi=1447075452","1447075452")</f>
        <v>1447075452</v>
      </c>
      <c r="E24866" s="1" t="s">
        <v>32233</v>
      </c>
      <c r="F24866" s="2"/>
      <c r="G24866" s="2"/>
      <c r="H24866" s="2"/>
    </row>
    <row r="24867" spans="1:8" x14ac:dyDescent="0.25">
      <c r="A24867" s="1"/>
      <c r="B24867" s="1" t="s">
        <v>7328</v>
      </c>
      <c r="C24867" s="1" t="s">
        <v>7329</v>
      </c>
      <c r="D24867" s="22" t="str">
        <f>HYPERLINK("https://rhld.insurance.arkansas.gov/NPILookup?Npi=1447200365","1447200365")</f>
        <v>1447200365</v>
      </c>
      <c r="E24867" s="1" t="s">
        <v>27101</v>
      </c>
      <c r="F24867" s="2"/>
      <c r="G24867" s="2"/>
      <c r="H24867" s="2"/>
    </row>
    <row r="24868" spans="1:8" x14ac:dyDescent="0.25">
      <c r="A24868" s="1"/>
      <c r="B24868" s="1" t="s">
        <v>7328</v>
      </c>
      <c r="C24868" s="1" t="s">
        <v>7329</v>
      </c>
      <c r="D24868" s="22" t="str">
        <f>HYPERLINK("https://rhld.insurance.arkansas.gov/NPILookup?Npi=1447200464","1447200464")</f>
        <v>1447200464</v>
      </c>
      <c r="E24868" s="1" t="s">
        <v>27102</v>
      </c>
      <c r="F24868" s="2"/>
      <c r="G24868" s="2"/>
      <c r="H24868" s="2"/>
    </row>
    <row r="24869" spans="1:8" x14ac:dyDescent="0.25">
      <c r="A24869" s="1"/>
      <c r="B24869" s="1" t="s">
        <v>7328</v>
      </c>
      <c r="C24869" s="1" t="s">
        <v>7329</v>
      </c>
      <c r="D24869" s="22" t="str">
        <f>HYPERLINK("https://rhld.insurance.arkansas.gov/NPILookup?Npi=1447202759","1447202759")</f>
        <v>1447202759</v>
      </c>
      <c r="E24869" s="1" t="s">
        <v>4357</v>
      </c>
      <c r="F24869" s="2"/>
      <c r="G24869" s="2"/>
      <c r="H24869" s="2"/>
    </row>
    <row r="24870" spans="1:8" x14ac:dyDescent="0.25">
      <c r="A24870" s="1"/>
      <c r="B24870" s="1" t="s">
        <v>7328</v>
      </c>
      <c r="C24870" s="1" t="s">
        <v>7329</v>
      </c>
      <c r="D24870" s="22" t="str">
        <f>HYPERLINK("https://rhld.insurance.arkansas.gov/NPILookup?Npi=1447209606","1447209606")</f>
        <v>1447209606</v>
      </c>
      <c r="E24870" s="1" t="s">
        <v>2832</v>
      </c>
      <c r="F24870" s="2"/>
      <c r="G24870" s="2"/>
      <c r="H24870" s="2"/>
    </row>
    <row r="24871" spans="1:8" x14ac:dyDescent="0.25">
      <c r="A24871" s="1"/>
      <c r="B24871" s="1" t="s">
        <v>7328</v>
      </c>
      <c r="C24871" s="1" t="s">
        <v>7329</v>
      </c>
      <c r="D24871" s="22" t="str">
        <f>HYPERLINK("https://rhld.insurance.arkansas.gov/NPILookup?Npi=1447223060","1447223060")</f>
        <v>1447223060</v>
      </c>
      <c r="E24871" s="1" t="s">
        <v>17532</v>
      </c>
      <c r="F24871" s="2"/>
      <c r="G24871" s="2"/>
      <c r="H24871" s="2"/>
    </row>
    <row r="24872" spans="1:8" x14ac:dyDescent="0.25">
      <c r="A24872" s="1"/>
      <c r="B24872" s="1" t="s">
        <v>7328</v>
      </c>
      <c r="C24872" s="1" t="s">
        <v>7329</v>
      </c>
      <c r="D24872" s="22" t="str">
        <f>HYPERLINK("https://rhld.insurance.arkansas.gov/NPILookup?Npi=1447233531","1447233531")</f>
        <v>1447233531</v>
      </c>
      <c r="E24872" s="1" t="s">
        <v>13119</v>
      </c>
      <c r="F24872" s="2"/>
      <c r="G24872" s="2"/>
      <c r="H24872" s="2"/>
    </row>
    <row r="24873" spans="1:8" x14ac:dyDescent="0.25">
      <c r="A24873" s="1"/>
      <c r="B24873" s="1" t="s">
        <v>7328</v>
      </c>
      <c r="C24873" s="1" t="s">
        <v>7329</v>
      </c>
      <c r="D24873" s="22" t="str">
        <f>HYPERLINK("https://rhld.insurance.arkansas.gov/NPILookup?Npi=1447238597","1447238597")</f>
        <v>1447238597</v>
      </c>
      <c r="E24873" s="1" t="s">
        <v>10569</v>
      </c>
      <c r="F24873" s="2"/>
      <c r="G24873" s="2"/>
      <c r="H24873" s="2"/>
    </row>
    <row r="24874" spans="1:8" x14ac:dyDescent="0.25">
      <c r="A24874" s="1"/>
      <c r="B24874" s="1" t="s">
        <v>7328</v>
      </c>
      <c r="C24874" s="1" t="s">
        <v>7329</v>
      </c>
      <c r="D24874" s="22" t="str">
        <f>HYPERLINK("https://rhld.insurance.arkansas.gov/NPILookup?Npi=1447239702","1447239702")</f>
        <v>1447239702</v>
      </c>
      <c r="E24874" s="1" t="s">
        <v>1780</v>
      </c>
      <c r="F24874" s="2"/>
      <c r="G24874" s="2"/>
      <c r="H24874" s="2"/>
    </row>
    <row r="24875" spans="1:8" x14ac:dyDescent="0.25">
      <c r="A24875" s="1"/>
      <c r="B24875" s="1" t="s">
        <v>7328</v>
      </c>
      <c r="C24875" s="1" t="s">
        <v>7329</v>
      </c>
      <c r="D24875" s="22" t="str">
        <f>HYPERLINK("https://rhld.insurance.arkansas.gov/NPILookup?Npi=1447247267","1447247267")</f>
        <v>1447247267</v>
      </c>
      <c r="E24875" s="1" t="s">
        <v>13120</v>
      </c>
      <c r="F24875" s="2"/>
      <c r="G24875" s="2"/>
      <c r="H24875" s="2"/>
    </row>
    <row r="24876" spans="1:8" x14ac:dyDescent="0.25">
      <c r="A24876" s="1"/>
      <c r="B24876" s="1" t="s">
        <v>7328</v>
      </c>
      <c r="C24876" s="1" t="s">
        <v>7329</v>
      </c>
      <c r="D24876" s="22" t="str">
        <f>HYPERLINK("https://rhld.insurance.arkansas.gov/NPILookup?Npi=1447255526","1447255526")</f>
        <v>1447255526</v>
      </c>
      <c r="E24876" s="1" t="s">
        <v>27104</v>
      </c>
      <c r="F24876" s="2"/>
      <c r="G24876" s="2"/>
      <c r="H24876" s="2"/>
    </row>
    <row r="24877" spans="1:8" x14ac:dyDescent="0.25">
      <c r="A24877" s="1"/>
      <c r="B24877" s="1" t="s">
        <v>7328</v>
      </c>
      <c r="C24877" s="1" t="s">
        <v>7329</v>
      </c>
      <c r="D24877" s="22" t="str">
        <f>HYPERLINK("https://rhld.insurance.arkansas.gov/NPILookup?Npi=1447257142","1447257142")</f>
        <v>1447257142</v>
      </c>
      <c r="E24877" s="1" t="s">
        <v>27105</v>
      </c>
      <c r="F24877" s="2"/>
      <c r="G24877" s="2"/>
      <c r="H24877" s="2"/>
    </row>
    <row r="24878" spans="1:8" x14ac:dyDescent="0.25">
      <c r="A24878" s="1"/>
      <c r="B24878" s="1" t="s">
        <v>7328</v>
      </c>
      <c r="C24878" s="1" t="s">
        <v>7329</v>
      </c>
      <c r="D24878" s="22" t="str">
        <f>HYPERLINK("https://rhld.insurance.arkansas.gov/NPILookup?Npi=1447261797","1447261797")</f>
        <v>1447261797</v>
      </c>
      <c r="E24878" s="1" t="s">
        <v>27106</v>
      </c>
      <c r="F24878" s="2"/>
      <c r="G24878" s="2"/>
      <c r="H24878" s="2"/>
    </row>
    <row r="24879" spans="1:8" x14ac:dyDescent="0.25">
      <c r="A24879" s="1"/>
      <c r="B24879" s="1" t="s">
        <v>7328</v>
      </c>
      <c r="C24879" s="1" t="s">
        <v>7329</v>
      </c>
      <c r="D24879" s="22" t="str">
        <f>HYPERLINK("https://rhld.insurance.arkansas.gov/NPILookup?Npi=1447271291","1447271291")</f>
        <v>1447271291</v>
      </c>
      <c r="E24879" s="1" t="s">
        <v>13121</v>
      </c>
      <c r="F24879" s="2"/>
      <c r="G24879" s="2"/>
      <c r="H24879" s="2"/>
    </row>
    <row r="24880" spans="1:8" x14ac:dyDescent="0.25">
      <c r="A24880" s="1"/>
      <c r="B24880" s="1" t="s">
        <v>7328</v>
      </c>
      <c r="C24880" s="1" t="s">
        <v>7329</v>
      </c>
      <c r="D24880" s="22" t="str">
        <f>HYPERLINK("https://rhld.insurance.arkansas.gov/NPILookup?Npi=1447275656","1447275656")</f>
        <v>1447275656</v>
      </c>
      <c r="E24880" s="1" t="s">
        <v>10315</v>
      </c>
      <c r="F24880" s="2"/>
      <c r="G24880" s="2"/>
      <c r="H24880" s="2"/>
    </row>
    <row r="24881" spans="1:8" x14ac:dyDescent="0.25">
      <c r="A24881" s="1"/>
      <c r="B24881" s="1" t="s">
        <v>7328</v>
      </c>
      <c r="C24881" s="1" t="s">
        <v>7329</v>
      </c>
      <c r="D24881" s="22" t="str">
        <f>HYPERLINK("https://rhld.insurance.arkansas.gov/NPILookup?Npi=1447281753","1447281753")</f>
        <v>1447281753</v>
      </c>
      <c r="E24881" s="1" t="s">
        <v>27107</v>
      </c>
      <c r="F24881" s="2"/>
      <c r="G24881" s="2"/>
      <c r="H24881" s="2"/>
    </row>
    <row r="24882" spans="1:8" x14ac:dyDescent="0.25">
      <c r="A24882" s="1"/>
      <c r="B24882" s="1" t="s">
        <v>7328</v>
      </c>
      <c r="C24882" s="1" t="s">
        <v>7329</v>
      </c>
      <c r="D24882" s="22" t="str">
        <f>HYPERLINK("https://rhld.insurance.arkansas.gov/NPILookup?Npi=1447282991","1447282991")</f>
        <v>1447282991</v>
      </c>
      <c r="E24882" s="1" t="s">
        <v>27108</v>
      </c>
      <c r="F24882" s="2"/>
      <c r="G24882" s="2"/>
      <c r="H24882" s="2"/>
    </row>
    <row r="24883" spans="1:8" x14ac:dyDescent="0.25">
      <c r="A24883" s="1"/>
      <c r="B24883" s="1" t="s">
        <v>7328</v>
      </c>
      <c r="C24883" s="1" t="s">
        <v>7329</v>
      </c>
      <c r="D24883" s="22" t="str">
        <f>HYPERLINK("https://rhld.insurance.arkansas.gov/NPILookup?Npi=1447297320","1447297320")</f>
        <v>1447297320</v>
      </c>
      <c r="E24883" s="1" t="s">
        <v>27109</v>
      </c>
      <c r="F24883" s="2"/>
      <c r="G24883" s="2"/>
      <c r="H24883" s="2"/>
    </row>
    <row r="24884" spans="1:8" x14ac:dyDescent="0.25">
      <c r="A24884" s="1"/>
      <c r="B24884" s="1" t="s">
        <v>7328</v>
      </c>
      <c r="C24884" s="1" t="s">
        <v>7329</v>
      </c>
      <c r="D24884" s="22" t="str">
        <f>HYPERLINK("https://rhld.insurance.arkansas.gov/NPILookup?Npi=1447324272","1447324272")</f>
        <v>1447324272</v>
      </c>
      <c r="E24884" s="1" t="s">
        <v>27110</v>
      </c>
      <c r="F24884" s="2"/>
      <c r="G24884" s="2"/>
      <c r="H24884" s="2"/>
    </row>
    <row r="24885" spans="1:8" x14ac:dyDescent="0.25">
      <c r="A24885" s="1"/>
      <c r="B24885" s="1" t="s">
        <v>7328</v>
      </c>
      <c r="C24885" s="1" t="s">
        <v>7329</v>
      </c>
      <c r="D24885" s="22" t="str">
        <f>HYPERLINK("https://rhld.insurance.arkansas.gov/NPILookup?Npi=1447329404","1447329404")</f>
        <v>1447329404</v>
      </c>
      <c r="E24885" s="1" t="s">
        <v>27111</v>
      </c>
      <c r="F24885" s="2"/>
      <c r="G24885" s="2"/>
      <c r="H24885" s="2"/>
    </row>
    <row r="24886" spans="1:8" x14ac:dyDescent="0.25">
      <c r="A24886" s="1"/>
      <c r="B24886" s="1" t="s">
        <v>7328</v>
      </c>
      <c r="C24886" s="1" t="s">
        <v>7329</v>
      </c>
      <c r="D24886" s="22" t="str">
        <f>HYPERLINK("https://rhld.insurance.arkansas.gov/NPILookup?Npi=1447335708","1447335708")</f>
        <v>1447335708</v>
      </c>
      <c r="E24886" s="1" t="s">
        <v>27112</v>
      </c>
      <c r="F24886" s="2"/>
      <c r="G24886" s="2"/>
      <c r="H24886" s="2"/>
    </row>
    <row r="24887" spans="1:8" x14ac:dyDescent="0.25">
      <c r="A24887" s="1"/>
      <c r="B24887" s="1" t="s">
        <v>7328</v>
      </c>
      <c r="C24887" s="1" t="s">
        <v>7329</v>
      </c>
      <c r="D24887" s="22" t="str">
        <f>HYPERLINK("https://rhld.insurance.arkansas.gov/NPILookup?Npi=1447339312","1447339312")</f>
        <v>1447339312</v>
      </c>
      <c r="E24887" s="1" t="s">
        <v>27113</v>
      </c>
      <c r="F24887" s="2"/>
      <c r="G24887" s="2"/>
      <c r="H24887" s="2"/>
    </row>
    <row r="24888" spans="1:8" x14ac:dyDescent="0.25">
      <c r="A24888" s="1"/>
      <c r="B24888" s="1" t="s">
        <v>7328</v>
      </c>
      <c r="C24888" s="1" t="s">
        <v>7329</v>
      </c>
      <c r="D24888" s="22" t="str">
        <f>HYPERLINK("https://rhld.insurance.arkansas.gov/NPILookup?Npi=1447341292","1447341292")</f>
        <v>1447341292</v>
      </c>
      <c r="E24888" s="1" t="s">
        <v>13122</v>
      </c>
      <c r="F24888" s="2"/>
      <c r="G24888" s="2"/>
      <c r="H24888" s="2"/>
    </row>
    <row r="24889" spans="1:8" x14ac:dyDescent="0.25">
      <c r="A24889" s="1"/>
      <c r="B24889" s="1" t="s">
        <v>7328</v>
      </c>
      <c r="C24889" s="1" t="s">
        <v>7329</v>
      </c>
      <c r="D24889" s="22" t="str">
        <f>HYPERLINK("https://rhld.insurance.arkansas.gov/NPILookup?Npi=1447347729","1447347729")</f>
        <v>1447347729</v>
      </c>
      <c r="E24889" s="1" t="s">
        <v>7758</v>
      </c>
      <c r="F24889" s="2"/>
      <c r="G24889" s="2"/>
      <c r="H24889" s="2"/>
    </row>
    <row r="24890" spans="1:8" x14ac:dyDescent="0.25">
      <c r="A24890" s="1"/>
      <c r="B24890" s="1" t="s">
        <v>7328</v>
      </c>
      <c r="C24890" s="1" t="s">
        <v>7329</v>
      </c>
      <c r="D24890" s="22" t="str">
        <f>HYPERLINK("https://rhld.insurance.arkansas.gov/NPILookup?Npi=1447363833","1447363833")</f>
        <v>1447363833</v>
      </c>
      <c r="E24890" s="1" t="s">
        <v>17534</v>
      </c>
      <c r="F24890" s="2"/>
      <c r="G24890" s="2"/>
      <c r="H24890" s="2"/>
    </row>
    <row r="24891" spans="1:8" x14ac:dyDescent="0.25">
      <c r="A24891" s="1"/>
      <c r="B24891" s="1" t="s">
        <v>7328</v>
      </c>
      <c r="C24891" s="1" t="s">
        <v>7329</v>
      </c>
      <c r="D24891" s="22" t="str">
        <f>HYPERLINK("https://rhld.insurance.arkansas.gov/NPILookup?Npi=1447385398","1447385398")</f>
        <v>1447385398</v>
      </c>
      <c r="E24891" s="1" t="s">
        <v>27115</v>
      </c>
      <c r="F24891" s="2"/>
      <c r="G24891" s="2"/>
      <c r="H24891" s="2"/>
    </row>
    <row r="24892" spans="1:8" x14ac:dyDescent="0.25">
      <c r="A24892" s="1"/>
      <c r="B24892" s="1" t="s">
        <v>7328</v>
      </c>
      <c r="C24892" s="1" t="s">
        <v>7329</v>
      </c>
      <c r="D24892" s="22" t="str">
        <f>HYPERLINK("https://rhld.insurance.arkansas.gov/NPILookup?Npi=1447407671","1447407671")</f>
        <v>1447407671</v>
      </c>
      <c r="E24892" s="1" t="s">
        <v>2833</v>
      </c>
      <c r="F24892" s="2"/>
      <c r="G24892" s="2"/>
      <c r="H24892" s="2"/>
    </row>
    <row r="24893" spans="1:8" x14ac:dyDescent="0.25">
      <c r="A24893" s="1"/>
      <c r="B24893" s="1" t="s">
        <v>7328</v>
      </c>
      <c r="C24893" s="1" t="s">
        <v>7329</v>
      </c>
      <c r="D24893" s="22" t="str">
        <f>HYPERLINK("https://rhld.insurance.arkansas.gov/NPILookup?Npi=1447409420","1447409420")</f>
        <v>1447409420</v>
      </c>
      <c r="E24893" s="1" t="s">
        <v>1096</v>
      </c>
      <c r="F24893" s="2"/>
      <c r="G24893" s="2"/>
      <c r="H24893" s="2"/>
    </row>
    <row r="24894" spans="1:8" x14ac:dyDescent="0.25">
      <c r="A24894" s="1"/>
      <c r="B24894" s="1" t="s">
        <v>7328</v>
      </c>
      <c r="C24894" s="1" t="s">
        <v>7329</v>
      </c>
      <c r="D24894" s="22" t="str">
        <f>HYPERLINK("https://rhld.insurance.arkansas.gov/NPILookup?Npi=1447410378","1447410378")</f>
        <v>1447410378</v>
      </c>
      <c r="E24894" s="1" t="s">
        <v>7759</v>
      </c>
      <c r="F24894" s="2"/>
      <c r="G24894" s="2"/>
      <c r="H24894" s="2"/>
    </row>
    <row r="24895" spans="1:8" x14ac:dyDescent="0.25">
      <c r="A24895" s="1"/>
      <c r="B24895" s="1" t="s">
        <v>7328</v>
      </c>
      <c r="C24895" s="1" t="s">
        <v>7329</v>
      </c>
      <c r="D24895" s="22" t="str">
        <f>HYPERLINK("https://rhld.insurance.arkansas.gov/NPILookup?Npi=1447421482","1447421482")</f>
        <v>1447421482</v>
      </c>
      <c r="E24895" s="1" t="s">
        <v>27116</v>
      </c>
      <c r="F24895" s="2"/>
      <c r="G24895" s="2"/>
      <c r="H24895" s="2"/>
    </row>
    <row r="24896" spans="1:8" x14ac:dyDescent="0.25">
      <c r="A24896" s="1"/>
      <c r="B24896" s="1" t="s">
        <v>7328</v>
      </c>
      <c r="C24896" s="1" t="s">
        <v>7329</v>
      </c>
      <c r="D24896" s="22" t="str">
        <f>HYPERLINK("https://rhld.insurance.arkansas.gov/NPILookup?Npi=1447433321","1447433321")</f>
        <v>1447433321</v>
      </c>
      <c r="E24896" s="1" t="s">
        <v>7760</v>
      </c>
      <c r="F24896" s="2"/>
      <c r="G24896" s="2"/>
      <c r="H24896" s="2"/>
    </row>
    <row r="24897" spans="1:8" x14ac:dyDescent="0.25">
      <c r="A24897" s="1"/>
      <c r="B24897" s="1" t="s">
        <v>7328</v>
      </c>
      <c r="C24897" s="1" t="s">
        <v>7329</v>
      </c>
      <c r="D24897" s="22" t="str">
        <f>HYPERLINK("https://rhld.insurance.arkansas.gov/NPILookup?Npi=1447460993","1447460993")</f>
        <v>1447460993</v>
      </c>
      <c r="E24897" s="1" t="s">
        <v>1218</v>
      </c>
      <c r="F24897" s="2"/>
      <c r="G24897" s="2"/>
      <c r="H24897" s="2"/>
    </row>
    <row r="24898" spans="1:8" x14ac:dyDescent="0.25">
      <c r="A24898" s="1"/>
      <c r="B24898" s="1" t="s">
        <v>7328</v>
      </c>
      <c r="C24898" s="1" t="s">
        <v>7329</v>
      </c>
      <c r="D24898" s="22" t="str">
        <f>HYPERLINK("https://rhld.insurance.arkansas.gov/NPILookup?Npi=1447468798","1447468798")</f>
        <v>1447468798</v>
      </c>
      <c r="E24898" s="1" t="s">
        <v>13123</v>
      </c>
      <c r="F24898" s="2"/>
      <c r="G24898" s="2"/>
      <c r="H24898" s="2"/>
    </row>
    <row r="24899" spans="1:8" x14ac:dyDescent="0.25">
      <c r="A24899" s="1"/>
      <c r="B24899" s="1" t="s">
        <v>7328</v>
      </c>
      <c r="C24899" s="1" t="s">
        <v>7329</v>
      </c>
      <c r="D24899" s="22" t="str">
        <f>HYPERLINK("https://rhld.insurance.arkansas.gov/NPILookup?Npi=1447481072","1447481072")</f>
        <v>1447481072</v>
      </c>
      <c r="E24899" s="1" t="s">
        <v>272</v>
      </c>
      <c r="F24899" s="2"/>
      <c r="G24899" s="2"/>
      <c r="H24899" s="2"/>
    </row>
    <row r="24900" spans="1:8" x14ac:dyDescent="0.25">
      <c r="A24900" s="1"/>
      <c r="B24900" s="1" t="s">
        <v>7328</v>
      </c>
      <c r="C24900" s="1" t="s">
        <v>7329</v>
      </c>
      <c r="D24900" s="22" t="str">
        <f>HYPERLINK("https://rhld.insurance.arkansas.gov/NPILookup?Npi=1447484860","1447484860")</f>
        <v>1447484860</v>
      </c>
      <c r="E24900" s="1" t="s">
        <v>13124</v>
      </c>
      <c r="F24900" s="2"/>
      <c r="G24900" s="2"/>
      <c r="H24900" s="2"/>
    </row>
    <row r="24901" spans="1:8" x14ac:dyDescent="0.25">
      <c r="A24901" s="1"/>
      <c r="B24901" s="1" t="s">
        <v>7328</v>
      </c>
      <c r="C24901" s="1" t="s">
        <v>7329</v>
      </c>
      <c r="D24901" s="22" t="str">
        <f>HYPERLINK("https://rhld.insurance.arkansas.gov/NPILookup?Npi=1447485727","1447485727")</f>
        <v>1447485727</v>
      </c>
      <c r="E24901" s="1" t="s">
        <v>2834</v>
      </c>
      <c r="F24901" s="2"/>
      <c r="G24901" s="2"/>
      <c r="H24901" s="2"/>
    </row>
    <row r="24902" spans="1:8" x14ac:dyDescent="0.25">
      <c r="A24902" s="1"/>
      <c r="B24902" s="1" t="s">
        <v>7328</v>
      </c>
      <c r="C24902" s="1" t="s">
        <v>7329</v>
      </c>
      <c r="D24902" s="22" t="str">
        <f>HYPERLINK("https://rhld.insurance.arkansas.gov/NPILookup?Npi=1447508320","1447508320")</f>
        <v>1447508320</v>
      </c>
      <c r="E24902" s="1" t="s">
        <v>27117</v>
      </c>
      <c r="F24902" s="2"/>
      <c r="G24902" s="2"/>
      <c r="H24902" s="2"/>
    </row>
    <row r="24903" spans="1:8" x14ac:dyDescent="0.25">
      <c r="A24903" s="1"/>
      <c r="B24903" s="1" t="s">
        <v>7328</v>
      </c>
      <c r="C24903" s="1" t="s">
        <v>7329</v>
      </c>
      <c r="D24903" s="22" t="str">
        <f>HYPERLINK("https://rhld.insurance.arkansas.gov/NPILookup?Npi=1447512579","1447512579")</f>
        <v>1447512579</v>
      </c>
      <c r="E24903" s="1" t="s">
        <v>2835</v>
      </c>
      <c r="F24903" s="2"/>
      <c r="G24903" s="2"/>
      <c r="H24903" s="2"/>
    </row>
    <row r="24904" spans="1:8" x14ac:dyDescent="0.25">
      <c r="A24904" s="1"/>
      <c r="B24904" s="1" t="s">
        <v>7328</v>
      </c>
      <c r="C24904" s="1" t="s">
        <v>7329</v>
      </c>
      <c r="D24904" s="22" t="str">
        <f>HYPERLINK("https://rhld.insurance.arkansas.gov/NPILookup?Npi=1447514310","1447514310")</f>
        <v>1447514310</v>
      </c>
      <c r="E24904" s="1" t="s">
        <v>10316</v>
      </c>
      <c r="F24904" s="2"/>
      <c r="G24904" s="2"/>
      <c r="H24904" s="2"/>
    </row>
    <row r="24905" spans="1:8" x14ac:dyDescent="0.25">
      <c r="A24905" s="1"/>
      <c r="B24905" s="1" t="s">
        <v>7328</v>
      </c>
      <c r="C24905" s="1" t="s">
        <v>7329</v>
      </c>
      <c r="D24905" s="22" t="str">
        <f>HYPERLINK("https://rhld.insurance.arkansas.gov/NPILookup?Npi=1447538798","1447538798")</f>
        <v>1447538798</v>
      </c>
      <c r="E24905" s="1" t="s">
        <v>13125</v>
      </c>
      <c r="F24905" s="2"/>
      <c r="G24905" s="2"/>
      <c r="H24905" s="2"/>
    </row>
    <row r="24906" spans="1:8" x14ac:dyDescent="0.25">
      <c r="A24906" s="1"/>
      <c r="B24906" s="1" t="s">
        <v>7328</v>
      </c>
      <c r="C24906" s="1" t="s">
        <v>7329</v>
      </c>
      <c r="D24906" s="22" t="str">
        <f>HYPERLINK("https://rhld.insurance.arkansas.gov/NPILookup?Npi=1447546452","1447546452")</f>
        <v>1447546452</v>
      </c>
      <c r="E24906" s="1" t="s">
        <v>1640</v>
      </c>
      <c r="F24906" s="2"/>
      <c r="G24906" s="2"/>
      <c r="H24906" s="2"/>
    </row>
    <row r="24907" spans="1:8" x14ac:dyDescent="0.25">
      <c r="A24907" s="1"/>
      <c r="B24907" s="1" t="s">
        <v>7328</v>
      </c>
      <c r="C24907" s="1" t="s">
        <v>7329</v>
      </c>
      <c r="D24907" s="22" t="str">
        <f>HYPERLINK("https://rhld.insurance.arkansas.gov/NPILookup?Npi=1447565700","1447565700")</f>
        <v>1447565700</v>
      </c>
      <c r="E24907" s="1" t="s">
        <v>27118</v>
      </c>
      <c r="F24907" s="2"/>
      <c r="G24907" s="2"/>
      <c r="H24907" s="2"/>
    </row>
    <row r="24908" spans="1:8" x14ac:dyDescent="0.25">
      <c r="A24908" s="1"/>
      <c r="B24908" s="1" t="s">
        <v>7328</v>
      </c>
      <c r="C24908" s="1" t="s">
        <v>7329</v>
      </c>
      <c r="D24908" s="22" t="str">
        <f>HYPERLINK("https://rhld.insurance.arkansas.gov/NPILookup?Npi=1447571583","1447571583")</f>
        <v>1447571583</v>
      </c>
      <c r="E24908" s="1" t="s">
        <v>2836</v>
      </c>
      <c r="F24908" s="2"/>
      <c r="G24908" s="2"/>
      <c r="H24908" s="2"/>
    </row>
    <row r="24909" spans="1:8" x14ac:dyDescent="0.25">
      <c r="A24909" s="1"/>
      <c r="B24909" s="1" t="s">
        <v>7328</v>
      </c>
      <c r="C24909" s="1" t="s">
        <v>7329</v>
      </c>
      <c r="D24909" s="22" t="str">
        <f>HYPERLINK("https://rhld.insurance.arkansas.gov/NPILookup?Npi=1447579073","1447579073")</f>
        <v>1447579073</v>
      </c>
      <c r="E24909" s="1" t="s">
        <v>10317</v>
      </c>
      <c r="F24909" s="2"/>
      <c r="G24909" s="2"/>
      <c r="H24909" s="2"/>
    </row>
    <row r="24910" spans="1:8" x14ac:dyDescent="0.25">
      <c r="A24910" s="1"/>
      <c r="B24910" s="1" t="s">
        <v>7328</v>
      </c>
      <c r="C24910" s="1" t="s">
        <v>7329</v>
      </c>
      <c r="D24910" s="22" t="str">
        <f>HYPERLINK("https://rhld.insurance.arkansas.gov/NPILookup?Npi=1447590864","1447590864")</f>
        <v>1447590864</v>
      </c>
      <c r="E24910" s="1" t="s">
        <v>2837</v>
      </c>
      <c r="F24910" s="2"/>
      <c r="G24910" s="2"/>
      <c r="H24910" s="2"/>
    </row>
    <row r="24911" spans="1:8" x14ac:dyDescent="0.25">
      <c r="A24911" s="1"/>
      <c r="B24911" s="1" t="s">
        <v>7328</v>
      </c>
      <c r="C24911" s="1" t="s">
        <v>7329</v>
      </c>
      <c r="D24911" s="22" t="str">
        <f>HYPERLINK("https://rhld.insurance.arkansas.gov/NPILookup?Npi=1447602321","1447602321")</f>
        <v>1447602321</v>
      </c>
      <c r="E24911" s="1" t="s">
        <v>13126</v>
      </c>
      <c r="F24911" s="2"/>
      <c r="G24911" s="2"/>
      <c r="H24911" s="2"/>
    </row>
    <row r="24912" spans="1:8" x14ac:dyDescent="0.25">
      <c r="A24912" s="1"/>
      <c r="B24912" s="1" t="s">
        <v>7328</v>
      </c>
      <c r="C24912" s="1" t="s">
        <v>7329</v>
      </c>
      <c r="D24912" s="22" t="str">
        <f>HYPERLINK("https://rhld.insurance.arkansas.gov/NPILookup?Npi=1447602909","1447602909")</f>
        <v>1447602909</v>
      </c>
      <c r="E24912" s="1" t="s">
        <v>27120</v>
      </c>
      <c r="F24912" s="2"/>
      <c r="G24912" s="2"/>
      <c r="H24912" s="2"/>
    </row>
    <row r="24913" spans="1:8" x14ac:dyDescent="0.25">
      <c r="A24913" s="1"/>
      <c r="B24913" s="1" t="s">
        <v>7328</v>
      </c>
      <c r="C24913" s="1" t="s">
        <v>7329</v>
      </c>
      <c r="D24913" s="22" t="str">
        <f>HYPERLINK("https://rhld.insurance.arkansas.gov/NPILookup?Npi=1447603808","1447603808")</f>
        <v>1447603808</v>
      </c>
      <c r="E24913" s="1" t="s">
        <v>13127</v>
      </c>
      <c r="F24913" s="2"/>
      <c r="G24913" s="2"/>
      <c r="H24913" s="2"/>
    </row>
    <row r="24914" spans="1:8" x14ac:dyDescent="0.25">
      <c r="A24914" s="1"/>
      <c r="B24914" s="1" t="s">
        <v>7328</v>
      </c>
      <c r="C24914" s="1" t="s">
        <v>7329</v>
      </c>
      <c r="D24914" s="22" t="str">
        <f>HYPERLINK("https://rhld.insurance.arkansas.gov/NPILookup?Npi=1447609656","1447609656")</f>
        <v>1447609656</v>
      </c>
      <c r="E24914" s="1" t="s">
        <v>27121</v>
      </c>
      <c r="F24914" s="2"/>
      <c r="G24914" s="2"/>
      <c r="H24914" s="2"/>
    </row>
    <row r="24915" spans="1:8" x14ac:dyDescent="0.25">
      <c r="A24915" s="1"/>
      <c r="B24915" s="1" t="s">
        <v>7328</v>
      </c>
      <c r="C24915" s="1" t="s">
        <v>7329</v>
      </c>
      <c r="D24915" s="22" t="str">
        <f>HYPERLINK("https://rhld.insurance.arkansas.gov/NPILookup?Npi=1447616040","1447616040")</f>
        <v>1447616040</v>
      </c>
      <c r="E24915" s="1" t="s">
        <v>27122</v>
      </c>
      <c r="F24915" s="2"/>
      <c r="G24915" s="2"/>
      <c r="H24915" s="2"/>
    </row>
    <row r="24916" spans="1:8" x14ac:dyDescent="0.25">
      <c r="A24916" s="1"/>
      <c r="B24916" s="1" t="s">
        <v>7328</v>
      </c>
      <c r="C24916" s="1" t="s">
        <v>7329</v>
      </c>
      <c r="D24916" s="22" t="str">
        <f>HYPERLINK("https://rhld.insurance.arkansas.gov/NPILookup?Npi=1447621255","1447621255")</f>
        <v>1447621255</v>
      </c>
      <c r="E24916" s="1" t="s">
        <v>27123</v>
      </c>
      <c r="F24916" s="2"/>
      <c r="G24916" s="2"/>
      <c r="H24916" s="2"/>
    </row>
    <row r="24917" spans="1:8" x14ac:dyDescent="0.25">
      <c r="A24917" s="1"/>
      <c r="B24917" s="1" t="s">
        <v>7328</v>
      </c>
      <c r="C24917" s="1" t="s">
        <v>7329</v>
      </c>
      <c r="D24917" s="22" t="str">
        <f>HYPERLINK("https://rhld.insurance.arkansas.gov/NPILookup?Npi=1447648431","1447648431")</f>
        <v>1447648431</v>
      </c>
      <c r="E24917" s="1" t="s">
        <v>1480</v>
      </c>
      <c r="F24917" s="2"/>
      <c r="G24917" s="2"/>
      <c r="H24917" s="2"/>
    </row>
    <row r="24918" spans="1:8" x14ac:dyDescent="0.25">
      <c r="A24918" s="1"/>
      <c r="B24918" s="1" t="s">
        <v>7328</v>
      </c>
      <c r="C24918" s="1" t="s">
        <v>7329</v>
      </c>
      <c r="D24918" s="22" t="str">
        <f>HYPERLINK("https://rhld.insurance.arkansas.gov/NPILookup?Npi=1447655287","1447655287")</f>
        <v>1447655287</v>
      </c>
      <c r="E24918" s="1" t="s">
        <v>27124</v>
      </c>
      <c r="F24918" s="2"/>
      <c r="G24918" s="2"/>
      <c r="H24918" s="2"/>
    </row>
    <row r="24919" spans="1:8" x14ac:dyDescent="0.25">
      <c r="A24919" s="1"/>
      <c r="B24919" s="1" t="s">
        <v>7328</v>
      </c>
      <c r="C24919" s="1" t="s">
        <v>7329</v>
      </c>
      <c r="D24919" s="22" t="str">
        <f>HYPERLINK("https://rhld.insurance.arkansas.gov/NPILookup?Npi=1447684527","1447684527")</f>
        <v>1447684527</v>
      </c>
      <c r="E24919" s="1" t="s">
        <v>13128</v>
      </c>
      <c r="F24919" s="2"/>
      <c r="G24919" s="2"/>
      <c r="H24919" s="2"/>
    </row>
    <row r="24920" spans="1:8" x14ac:dyDescent="0.25">
      <c r="A24920" s="1"/>
      <c r="B24920" s="1" t="s">
        <v>7328</v>
      </c>
      <c r="C24920" s="1" t="s">
        <v>7329</v>
      </c>
      <c r="D24920" s="22" t="str">
        <f>HYPERLINK("https://rhld.insurance.arkansas.gov/NPILookup?Npi=1447689799","1447689799")</f>
        <v>1447689799</v>
      </c>
      <c r="E24920" s="1" t="s">
        <v>27125</v>
      </c>
      <c r="F24920" s="2"/>
      <c r="G24920" s="2"/>
      <c r="H24920" s="2"/>
    </row>
    <row r="24921" spans="1:8" x14ac:dyDescent="0.25">
      <c r="A24921" s="1"/>
      <c r="B24921" s="1" t="s">
        <v>7328</v>
      </c>
      <c r="C24921" s="1" t="s">
        <v>7329</v>
      </c>
      <c r="D24921" s="22" t="str">
        <f>HYPERLINK("https://rhld.insurance.arkansas.gov/NPILookup?Npi=1447700299","1447700299")</f>
        <v>1447700299</v>
      </c>
      <c r="E24921" s="1" t="s">
        <v>20543</v>
      </c>
      <c r="F24921" s="2"/>
      <c r="G24921" s="2"/>
      <c r="H24921" s="2"/>
    </row>
    <row r="24922" spans="1:8" x14ac:dyDescent="0.25">
      <c r="A24922" s="1"/>
      <c r="B24922" s="1" t="s">
        <v>7328</v>
      </c>
      <c r="C24922" s="1" t="s">
        <v>7329</v>
      </c>
      <c r="D24922" s="22" t="str">
        <f>HYPERLINK("https://rhld.insurance.arkansas.gov/NPILookup?Npi=1447711379","1447711379")</f>
        <v>1447711379</v>
      </c>
      <c r="E24922" s="1" t="s">
        <v>27126</v>
      </c>
      <c r="F24922" s="2"/>
      <c r="G24922" s="2"/>
      <c r="H24922" s="2"/>
    </row>
    <row r="24923" spans="1:8" x14ac:dyDescent="0.25">
      <c r="A24923" s="1"/>
      <c r="B24923" s="1" t="s">
        <v>7328</v>
      </c>
      <c r="C24923" s="1" t="s">
        <v>7329</v>
      </c>
      <c r="D24923" s="22" t="str">
        <f>HYPERLINK("https://rhld.insurance.arkansas.gov/NPILookup?Npi=1447738810","1447738810")</f>
        <v>1447738810</v>
      </c>
      <c r="E24923" s="1" t="s">
        <v>7761</v>
      </c>
      <c r="F24923" s="2"/>
      <c r="G24923" s="2"/>
      <c r="H24923" s="2"/>
    </row>
    <row r="24924" spans="1:8" x14ac:dyDescent="0.25">
      <c r="A24924" s="1"/>
      <c r="B24924" s="1" t="s">
        <v>7328</v>
      </c>
      <c r="C24924" s="1" t="s">
        <v>7329</v>
      </c>
      <c r="D24924" s="22" t="str">
        <f>HYPERLINK("https://rhld.insurance.arkansas.gov/NPILookup?Npi=1447763032","1447763032")</f>
        <v>1447763032</v>
      </c>
      <c r="E24924" s="1" t="s">
        <v>1029</v>
      </c>
      <c r="F24924" s="2"/>
      <c r="G24924" s="2"/>
      <c r="H24924" s="2"/>
    </row>
    <row r="24925" spans="1:8" x14ac:dyDescent="0.25">
      <c r="A24925" s="1"/>
      <c r="B24925" s="1" t="s">
        <v>7328</v>
      </c>
      <c r="C24925" s="1" t="s">
        <v>7329</v>
      </c>
      <c r="D24925" s="22" t="str">
        <f>HYPERLINK("https://rhld.insurance.arkansas.gov/NPILookup?Npi=1447774963","1447774963")</f>
        <v>1447774963</v>
      </c>
      <c r="E24925" s="1" t="s">
        <v>13130</v>
      </c>
      <c r="F24925" s="2"/>
      <c r="G24925" s="2"/>
      <c r="H24925" s="2"/>
    </row>
    <row r="24926" spans="1:8" x14ac:dyDescent="0.25">
      <c r="A24926" s="1"/>
      <c r="B24926" s="1" t="s">
        <v>7328</v>
      </c>
      <c r="C24926" s="1" t="s">
        <v>7329</v>
      </c>
      <c r="D24926" s="22" t="str">
        <f>HYPERLINK("https://rhld.insurance.arkansas.gov/NPILookup?Npi=1447785480","1447785480")</f>
        <v>1447785480</v>
      </c>
      <c r="E24926" s="1" t="s">
        <v>27127</v>
      </c>
      <c r="F24926" s="2"/>
      <c r="G24926" s="2"/>
      <c r="H24926" s="2"/>
    </row>
    <row r="24927" spans="1:8" x14ac:dyDescent="0.25">
      <c r="A24927" s="1"/>
      <c r="B24927" s="1" t="s">
        <v>7328</v>
      </c>
      <c r="C24927" s="1" t="s">
        <v>7329</v>
      </c>
      <c r="D24927" s="22" t="str">
        <f>HYPERLINK("https://rhld.insurance.arkansas.gov/NPILookup?Npi=1447785787","1447785787")</f>
        <v>1447785787</v>
      </c>
      <c r="E24927" s="1" t="s">
        <v>7762</v>
      </c>
      <c r="F24927" s="2"/>
      <c r="G24927" s="2"/>
      <c r="H24927" s="2"/>
    </row>
    <row r="24928" spans="1:8" x14ac:dyDescent="0.25">
      <c r="A24928" s="1"/>
      <c r="B24928" s="1" t="s">
        <v>7328</v>
      </c>
      <c r="C24928" s="1" t="s">
        <v>7329</v>
      </c>
      <c r="D24928" s="22" t="str">
        <f>HYPERLINK("https://rhld.insurance.arkansas.gov/NPILookup?Npi=1447788609","1447788609")</f>
        <v>1447788609</v>
      </c>
      <c r="E24928" s="1" t="s">
        <v>27128</v>
      </c>
      <c r="F24928" s="2"/>
      <c r="G24928" s="2"/>
      <c r="H24928" s="2"/>
    </row>
    <row r="24929" spans="1:8" x14ac:dyDescent="0.25">
      <c r="A24929" s="1"/>
      <c r="B24929" s="1" t="s">
        <v>7328</v>
      </c>
      <c r="C24929" s="1" t="s">
        <v>7329</v>
      </c>
      <c r="D24929" s="22" t="str">
        <f>HYPERLINK("https://rhld.insurance.arkansas.gov/NPILookup?Npi=1447791645","1447791645")</f>
        <v>1447791645</v>
      </c>
      <c r="E24929" s="1" t="s">
        <v>17537</v>
      </c>
      <c r="F24929" s="2"/>
      <c r="G24929" s="2"/>
      <c r="H24929" s="2"/>
    </row>
    <row r="24930" spans="1:8" x14ac:dyDescent="0.25">
      <c r="A24930" s="1"/>
      <c r="B24930" s="1" t="s">
        <v>7328</v>
      </c>
      <c r="C24930" s="1" t="s">
        <v>7329</v>
      </c>
      <c r="D24930" s="22" t="str">
        <f>HYPERLINK("https://rhld.insurance.arkansas.gov/NPILookup?Npi=1447791983","1447791983")</f>
        <v>1447791983</v>
      </c>
      <c r="E24930" s="1" t="s">
        <v>1481</v>
      </c>
      <c r="F24930" s="2"/>
      <c r="G24930" s="2"/>
      <c r="H24930" s="2"/>
    </row>
    <row r="24931" spans="1:8" x14ac:dyDescent="0.25">
      <c r="A24931" s="1"/>
      <c r="B24931" s="1" t="s">
        <v>7328</v>
      </c>
      <c r="C24931" s="1" t="s">
        <v>7329</v>
      </c>
      <c r="D24931" s="22" t="str">
        <f>HYPERLINK("https://rhld.insurance.arkansas.gov/NPILookup?Npi=1447796438","1447796438")</f>
        <v>1447796438</v>
      </c>
      <c r="E24931" s="1" t="s">
        <v>27129</v>
      </c>
      <c r="F24931" s="2"/>
      <c r="G24931" s="2"/>
      <c r="H24931" s="2"/>
    </row>
    <row r="24932" spans="1:8" x14ac:dyDescent="0.25">
      <c r="A24932" s="1"/>
      <c r="B24932" s="1" t="s">
        <v>7328</v>
      </c>
      <c r="C24932" s="1" t="s">
        <v>7329</v>
      </c>
      <c r="D24932" s="22" t="str">
        <f>HYPERLINK("https://rhld.insurance.arkansas.gov/NPILookup?Npi=1447796875","1447796875")</f>
        <v>1447796875</v>
      </c>
      <c r="E24932" s="1" t="s">
        <v>27130</v>
      </c>
      <c r="F24932" s="2"/>
      <c r="G24932" s="2"/>
      <c r="H24932" s="2"/>
    </row>
    <row r="24933" spans="1:8" x14ac:dyDescent="0.25">
      <c r="A24933" s="1"/>
      <c r="B24933" s="1" t="s">
        <v>7328</v>
      </c>
      <c r="C24933" s="1" t="s">
        <v>7329</v>
      </c>
      <c r="D24933" s="22" t="str">
        <f>HYPERLINK("https://rhld.insurance.arkansas.gov/NPILookup?Npi=1447797741","1447797741")</f>
        <v>1447797741</v>
      </c>
      <c r="E24933" s="1" t="s">
        <v>27131</v>
      </c>
      <c r="F24933" s="2"/>
      <c r="G24933" s="2"/>
      <c r="H24933" s="2"/>
    </row>
    <row r="24934" spans="1:8" x14ac:dyDescent="0.25">
      <c r="A24934" s="1"/>
      <c r="B24934" s="1" t="s">
        <v>7328</v>
      </c>
      <c r="C24934" s="1" t="s">
        <v>7329</v>
      </c>
      <c r="D24934" s="22" t="str">
        <f>HYPERLINK("https://rhld.insurance.arkansas.gov/NPILookup?Npi=1447804661","1447804661")</f>
        <v>1447804661</v>
      </c>
      <c r="E24934" s="1" t="s">
        <v>1781</v>
      </c>
      <c r="F24934" s="2"/>
      <c r="G24934" s="2"/>
      <c r="H24934" s="2"/>
    </row>
    <row r="24935" spans="1:8" x14ac:dyDescent="0.25">
      <c r="A24935" s="1"/>
      <c r="B24935" s="1" t="s">
        <v>7328</v>
      </c>
      <c r="C24935" s="1" t="s">
        <v>7329</v>
      </c>
      <c r="D24935" s="22" t="str">
        <f>HYPERLINK("https://rhld.insurance.arkansas.gov/NPILookup?Npi=1447806203","1447806203")</f>
        <v>1447806203</v>
      </c>
      <c r="E24935" s="1" t="s">
        <v>7763</v>
      </c>
      <c r="F24935" s="2"/>
      <c r="G24935" s="2"/>
      <c r="H24935" s="2"/>
    </row>
    <row r="24936" spans="1:8" x14ac:dyDescent="0.25">
      <c r="A24936" s="1"/>
      <c r="B24936" s="1" t="s">
        <v>7328</v>
      </c>
      <c r="C24936" s="1" t="s">
        <v>7329</v>
      </c>
      <c r="D24936" s="22" t="str">
        <f>HYPERLINK("https://rhld.insurance.arkansas.gov/NPILookup?Npi=1447806856","1447806856")</f>
        <v>1447806856</v>
      </c>
      <c r="E24936" s="1" t="s">
        <v>27132</v>
      </c>
      <c r="F24936" s="2"/>
      <c r="G24936" s="2"/>
      <c r="H24936" s="2"/>
    </row>
    <row r="24937" spans="1:8" x14ac:dyDescent="0.25">
      <c r="A24937" s="1"/>
      <c r="B24937" s="1" t="s">
        <v>7328</v>
      </c>
      <c r="C24937" s="1" t="s">
        <v>7329</v>
      </c>
      <c r="D24937" s="22" t="str">
        <f>HYPERLINK("https://rhld.insurance.arkansas.gov/NPILookup?Npi=1447816772","1447816772")</f>
        <v>1447816772</v>
      </c>
      <c r="E24937" s="1" t="s">
        <v>2838</v>
      </c>
      <c r="F24937" s="2"/>
      <c r="G24937" s="2"/>
      <c r="H24937" s="2"/>
    </row>
    <row r="24938" spans="1:8" x14ac:dyDescent="0.25">
      <c r="A24938" s="1"/>
      <c r="B24938" s="1" t="s">
        <v>7328</v>
      </c>
      <c r="C24938" s="1" t="s">
        <v>7329</v>
      </c>
      <c r="D24938" s="22" t="str">
        <f>HYPERLINK("https://rhld.insurance.arkansas.gov/NPILookup?Npi=1447818554","1447818554")</f>
        <v>1447818554</v>
      </c>
      <c r="E24938" s="1" t="s">
        <v>27133</v>
      </c>
      <c r="F24938" s="2"/>
      <c r="G24938" s="2"/>
      <c r="H24938" s="2"/>
    </row>
    <row r="24939" spans="1:8" x14ac:dyDescent="0.25">
      <c r="A24939" s="1"/>
      <c r="B24939" s="1" t="s">
        <v>7328</v>
      </c>
      <c r="C24939" s="1" t="s">
        <v>7329</v>
      </c>
      <c r="D24939" s="22" t="str">
        <f>HYPERLINK("https://rhld.insurance.arkansas.gov/NPILookup?Npi=1447820998","1447820998")</f>
        <v>1447820998</v>
      </c>
      <c r="E24939" s="1" t="s">
        <v>7764</v>
      </c>
      <c r="F24939" s="2"/>
      <c r="G24939" s="2"/>
      <c r="H24939" s="2"/>
    </row>
    <row r="24940" spans="1:8" x14ac:dyDescent="0.25">
      <c r="A24940" s="1"/>
      <c r="B24940" s="1" t="s">
        <v>7328</v>
      </c>
      <c r="C24940" s="1" t="s">
        <v>7329</v>
      </c>
      <c r="D24940" s="22" t="str">
        <f>HYPERLINK("https://rhld.insurance.arkansas.gov/NPILookup?Npi=1447839170","1447839170")</f>
        <v>1447839170</v>
      </c>
      <c r="E24940" s="1" t="s">
        <v>27134</v>
      </c>
      <c r="F24940" s="2"/>
      <c r="G24940" s="2"/>
      <c r="H24940" s="2"/>
    </row>
    <row r="24941" spans="1:8" x14ac:dyDescent="0.25">
      <c r="A24941" s="1"/>
      <c r="B24941" s="1" t="s">
        <v>7328</v>
      </c>
      <c r="C24941" s="1" t="s">
        <v>7329</v>
      </c>
      <c r="D24941" s="22" t="str">
        <f>HYPERLINK("https://rhld.insurance.arkansas.gov/NPILookup?Npi=1447844923","1447844923")</f>
        <v>1447844923</v>
      </c>
      <c r="E24941" s="1" t="s">
        <v>27135</v>
      </c>
      <c r="F24941" s="2"/>
      <c r="G24941" s="2"/>
      <c r="H24941" s="2"/>
    </row>
    <row r="24942" spans="1:8" x14ac:dyDescent="0.25">
      <c r="A24942" s="1"/>
      <c r="B24942" s="1" t="s">
        <v>7328</v>
      </c>
      <c r="C24942" s="1" t="s">
        <v>7329</v>
      </c>
      <c r="D24942" s="22" t="str">
        <f>HYPERLINK("https://rhld.insurance.arkansas.gov/NPILookup?Npi=1447844998","1447844998")</f>
        <v>1447844998</v>
      </c>
      <c r="E24942" s="1" t="s">
        <v>27136</v>
      </c>
      <c r="F24942" s="2"/>
      <c r="G24942" s="2"/>
      <c r="H24942" s="2"/>
    </row>
    <row r="24943" spans="1:8" x14ac:dyDescent="0.25">
      <c r="A24943" s="1"/>
      <c r="B24943" s="1" t="s">
        <v>7328</v>
      </c>
      <c r="C24943" s="1" t="s">
        <v>7329</v>
      </c>
      <c r="D24943" s="22" t="str">
        <f>HYPERLINK("https://rhld.insurance.arkansas.gov/NPILookup?Npi=1447857073","1447857073")</f>
        <v>1447857073</v>
      </c>
      <c r="E24943" s="1" t="s">
        <v>7765</v>
      </c>
      <c r="F24943" s="2"/>
      <c r="G24943" s="2"/>
      <c r="H24943" s="2"/>
    </row>
    <row r="24944" spans="1:8" x14ac:dyDescent="0.25">
      <c r="A24944" s="1"/>
      <c r="B24944" s="1" t="s">
        <v>7328</v>
      </c>
      <c r="C24944" s="1" t="s">
        <v>7329</v>
      </c>
      <c r="D24944" s="22" t="str">
        <f>HYPERLINK("https://rhld.insurance.arkansas.gov/NPILookup?Npi=1447863170","1447863170")</f>
        <v>1447863170</v>
      </c>
      <c r="E24944" s="1" t="s">
        <v>7766</v>
      </c>
      <c r="F24944" s="2"/>
      <c r="G24944" s="2"/>
      <c r="H24944" s="2"/>
    </row>
    <row r="24945" spans="1:8" x14ac:dyDescent="0.25">
      <c r="A24945" s="1"/>
      <c r="B24945" s="1" t="s">
        <v>7328</v>
      </c>
      <c r="C24945" s="1" t="s">
        <v>7329</v>
      </c>
      <c r="D24945" s="22" t="str">
        <f>HYPERLINK("https://rhld.insurance.arkansas.gov/NPILookup?Npi=1447871124","1447871124")</f>
        <v>1447871124</v>
      </c>
      <c r="E24945" s="1" t="s">
        <v>27137</v>
      </c>
      <c r="F24945" s="2"/>
      <c r="G24945" s="2"/>
      <c r="H24945" s="2"/>
    </row>
    <row r="24946" spans="1:8" x14ac:dyDescent="0.25">
      <c r="A24946" s="1"/>
      <c r="B24946" s="1" t="s">
        <v>7328</v>
      </c>
      <c r="C24946" s="1" t="s">
        <v>7329</v>
      </c>
      <c r="D24946" s="22" t="str">
        <f>HYPERLINK("https://rhld.insurance.arkansas.gov/NPILookup?Npi=1447871934","1447871934")</f>
        <v>1447871934</v>
      </c>
      <c r="E24946" s="1" t="s">
        <v>27138</v>
      </c>
      <c r="F24946" s="2"/>
      <c r="G24946" s="2"/>
      <c r="H24946" s="2"/>
    </row>
    <row r="24947" spans="1:8" x14ac:dyDescent="0.25">
      <c r="A24947" s="1"/>
      <c r="B24947" s="1" t="s">
        <v>7328</v>
      </c>
      <c r="C24947" s="1" t="s">
        <v>7329</v>
      </c>
      <c r="D24947" s="22" t="str">
        <f>HYPERLINK("https://rhld.insurance.arkansas.gov/NPILookup?Npi=1447873005","1447873005")</f>
        <v>1447873005</v>
      </c>
      <c r="E24947" s="1" t="s">
        <v>27139</v>
      </c>
      <c r="F24947" s="2"/>
      <c r="G24947" s="2"/>
      <c r="H24947" s="2"/>
    </row>
    <row r="24948" spans="1:8" x14ac:dyDescent="0.25">
      <c r="A24948" s="1"/>
      <c r="B24948" s="1" t="s">
        <v>7328</v>
      </c>
      <c r="C24948" s="1" t="s">
        <v>7329</v>
      </c>
      <c r="D24948" s="22" t="str">
        <f>HYPERLINK("https://rhld.insurance.arkansas.gov/NPILookup?Npi=1447879168","1447879168")</f>
        <v>1447879168</v>
      </c>
      <c r="E24948" s="1" t="s">
        <v>27140</v>
      </c>
      <c r="F24948" s="2"/>
      <c r="G24948" s="2"/>
      <c r="H24948" s="2"/>
    </row>
    <row r="24949" spans="1:8" x14ac:dyDescent="0.25">
      <c r="A24949" s="1"/>
      <c r="B24949" s="1" t="s">
        <v>7328</v>
      </c>
      <c r="C24949" s="1" t="s">
        <v>7329</v>
      </c>
      <c r="D24949" s="22" t="str">
        <f>HYPERLINK("https://rhld.insurance.arkansas.gov/NPILookup?Npi=1447879556","1447879556")</f>
        <v>1447879556</v>
      </c>
      <c r="E24949" s="1" t="s">
        <v>4375</v>
      </c>
      <c r="F24949" s="2"/>
      <c r="G24949" s="2"/>
      <c r="H24949" s="2"/>
    </row>
    <row r="24950" spans="1:8" x14ac:dyDescent="0.25">
      <c r="A24950" s="1"/>
      <c r="B24950" s="1" t="s">
        <v>7328</v>
      </c>
      <c r="C24950" s="1" t="s">
        <v>7329</v>
      </c>
      <c r="D24950" s="22" t="str">
        <f>HYPERLINK("https://rhld.insurance.arkansas.gov/NPILookup?Npi=1447890298","1447890298")</f>
        <v>1447890298</v>
      </c>
      <c r="E24950" s="1" t="s">
        <v>7767</v>
      </c>
      <c r="F24950" s="2"/>
      <c r="G24950" s="2"/>
      <c r="H24950" s="2"/>
    </row>
    <row r="24951" spans="1:8" x14ac:dyDescent="0.25">
      <c r="A24951" s="1"/>
      <c r="B24951" s="1" t="s">
        <v>7328</v>
      </c>
      <c r="C24951" s="1" t="s">
        <v>7329</v>
      </c>
      <c r="D24951" s="22" t="str">
        <f>HYPERLINK("https://rhld.insurance.arkansas.gov/NPILookup?Npi=1447890595","1447890595")</f>
        <v>1447890595</v>
      </c>
      <c r="E24951" s="1" t="s">
        <v>27141</v>
      </c>
      <c r="F24951" s="2"/>
      <c r="G24951" s="2"/>
      <c r="H24951" s="2"/>
    </row>
    <row r="24952" spans="1:8" x14ac:dyDescent="0.25">
      <c r="A24952" s="1"/>
      <c r="B24952" s="1" t="s">
        <v>7328</v>
      </c>
      <c r="C24952" s="1" t="s">
        <v>7329</v>
      </c>
      <c r="D24952" s="22" t="str">
        <f>HYPERLINK("https://rhld.insurance.arkansas.gov/NPILookup?Npi=1447893987","1447893987")</f>
        <v>1447893987</v>
      </c>
      <c r="E24952" s="1" t="s">
        <v>27142</v>
      </c>
      <c r="F24952" s="2"/>
      <c r="G24952" s="2"/>
      <c r="H24952" s="2"/>
    </row>
    <row r="24953" spans="1:8" x14ac:dyDescent="0.25">
      <c r="A24953" s="1"/>
      <c r="B24953" s="1" t="s">
        <v>7328</v>
      </c>
      <c r="C24953" s="1" t="s">
        <v>7329</v>
      </c>
      <c r="D24953" s="22" t="str">
        <f>HYPERLINK("https://rhld.insurance.arkansas.gov/NPILookup?Npi=1447902168","1447902168")</f>
        <v>1447902168</v>
      </c>
      <c r="E24953" s="1" t="s">
        <v>13131</v>
      </c>
      <c r="F24953" s="2"/>
      <c r="G24953" s="2"/>
      <c r="H24953" s="2"/>
    </row>
    <row r="24954" spans="1:8" x14ac:dyDescent="0.25">
      <c r="A24954" s="1"/>
      <c r="B24954" s="1" t="s">
        <v>7328</v>
      </c>
      <c r="C24954" s="1" t="s">
        <v>7329</v>
      </c>
      <c r="D24954" s="22" t="str">
        <f>HYPERLINK("https://rhld.insurance.arkansas.gov/NPILookup?Npi=1447903190","1447903190")</f>
        <v>1447903190</v>
      </c>
      <c r="E24954" s="1" t="s">
        <v>13132</v>
      </c>
      <c r="F24954" s="2"/>
      <c r="G24954" s="2"/>
      <c r="H24954" s="2"/>
    </row>
    <row r="24955" spans="1:8" x14ac:dyDescent="0.25">
      <c r="A24955" s="1"/>
      <c r="B24955" s="1" t="s">
        <v>7328</v>
      </c>
      <c r="C24955" s="1" t="s">
        <v>7329</v>
      </c>
      <c r="D24955" s="22" t="str">
        <f>HYPERLINK("https://rhld.insurance.arkansas.gov/NPILookup?Npi=1447904503","1447904503")</f>
        <v>1447904503</v>
      </c>
      <c r="E24955" s="1" t="s">
        <v>27143</v>
      </c>
      <c r="F24955" s="2"/>
      <c r="G24955" s="2"/>
      <c r="H24955" s="2"/>
    </row>
    <row r="24956" spans="1:8" x14ac:dyDescent="0.25">
      <c r="A24956" s="1"/>
      <c r="B24956" s="1" t="s">
        <v>7328</v>
      </c>
      <c r="C24956" s="1" t="s">
        <v>7329</v>
      </c>
      <c r="D24956" s="22" t="str">
        <f>HYPERLINK("https://rhld.insurance.arkansas.gov/NPILookup?Npi=1447905682","1447905682")</f>
        <v>1447905682</v>
      </c>
      <c r="E24956" s="1" t="s">
        <v>13133</v>
      </c>
      <c r="F24956" s="2"/>
      <c r="G24956" s="2"/>
      <c r="H24956" s="2"/>
    </row>
    <row r="24957" spans="1:8" x14ac:dyDescent="0.25">
      <c r="A24957" s="1"/>
      <c r="B24957" s="1" t="s">
        <v>7328</v>
      </c>
      <c r="C24957" s="1" t="s">
        <v>7329</v>
      </c>
      <c r="D24957" s="22" t="str">
        <f>HYPERLINK("https://rhld.insurance.arkansas.gov/NPILookup?Npi=1447905989","1447905989")</f>
        <v>1447905989</v>
      </c>
      <c r="E24957" s="1" t="s">
        <v>27144</v>
      </c>
      <c r="F24957" s="2"/>
      <c r="G24957" s="2"/>
      <c r="H24957" s="2"/>
    </row>
    <row r="24958" spans="1:8" x14ac:dyDescent="0.25">
      <c r="A24958" s="1"/>
      <c r="B24958" s="1" t="s">
        <v>7328</v>
      </c>
      <c r="C24958" s="1" t="s">
        <v>7329</v>
      </c>
      <c r="D24958" s="22" t="str">
        <f>HYPERLINK("https://rhld.insurance.arkansas.gov/NPILookup?Npi=1447909411","1447909411")</f>
        <v>1447909411</v>
      </c>
      <c r="E24958" s="1" t="s">
        <v>27145</v>
      </c>
      <c r="F24958" s="2"/>
      <c r="G24958" s="2"/>
      <c r="H24958" s="2"/>
    </row>
    <row r="24959" spans="1:8" x14ac:dyDescent="0.25">
      <c r="A24959" s="1"/>
      <c r="B24959" s="1" t="s">
        <v>7328</v>
      </c>
      <c r="C24959" s="1" t="s">
        <v>7329</v>
      </c>
      <c r="D24959" s="22" t="str">
        <f>HYPERLINK("https://rhld.insurance.arkansas.gov/NPILookup?Npi=1447928148","1447928148")</f>
        <v>1447928148</v>
      </c>
      <c r="E24959" s="1" t="s">
        <v>27146</v>
      </c>
      <c r="F24959" s="2"/>
      <c r="G24959" s="2"/>
      <c r="H24959" s="2"/>
    </row>
    <row r="24960" spans="1:8" x14ac:dyDescent="0.25">
      <c r="A24960" s="1"/>
      <c r="B24960" s="1" t="s">
        <v>7328</v>
      </c>
      <c r="C24960" s="1" t="s">
        <v>7329</v>
      </c>
      <c r="D24960" s="22" t="str">
        <f>HYPERLINK("https://rhld.insurance.arkansas.gov/NPILookup?Npi=1447932033","1447932033")</f>
        <v>1447932033</v>
      </c>
      <c r="E24960" s="1" t="s">
        <v>7768</v>
      </c>
      <c r="F24960" s="2"/>
      <c r="G24960" s="2"/>
      <c r="H24960" s="2"/>
    </row>
    <row r="24961" spans="1:8" x14ac:dyDescent="0.25">
      <c r="A24961" s="1"/>
      <c r="B24961" s="1" t="s">
        <v>7328</v>
      </c>
      <c r="C24961" s="1" t="s">
        <v>7329</v>
      </c>
      <c r="D24961" s="22" t="str">
        <f>HYPERLINK("https://rhld.insurance.arkansas.gov/NPILookup?Npi=1447949383","1447949383")</f>
        <v>1447949383</v>
      </c>
      <c r="E24961" s="1" t="s">
        <v>6730</v>
      </c>
      <c r="F24961" s="2"/>
      <c r="G24961" s="2"/>
      <c r="H24961" s="2"/>
    </row>
    <row r="24962" spans="1:8" x14ac:dyDescent="0.25">
      <c r="A24962" s="1"/>
      <c r="B24962" s="1" t="s">
        <v>7328</v>
      </c>
      <c r="C24962" s="1" t="s">
        <v>7329</v>
      </c>
      <c r="D24962" s="22" t="str">
        <f>HYPERLINK("https://rhld.insurance.arkansas.gov/NPILookup?Npi=1447951439","1447951439")</f>
        <v>1447951439</v>
      </c>
      <c r="E24962" s="1" t="s">
        <v>13134</v>
      </c>
      <c r="F24962" s="2"/>
      <c r="G24962" s="2"/>
      <c r="H24962" s="2"/>
    </row>
    <row r="24963" spans="1:8" x14ac:dyDescent="0.25">
      <c r="A24963" s="1"/>
      <c r="B24963" s="1" t="s">
        <v>7328</v>
      </c>
      <c r="C24963" s="1" t="s">
        <v>7329</v>
      </c>
      <c r="D24963" s="22" t="str">
        <f>HYPERLINK("https://rhld.insurance.arkansas.gov/NPILookup?Npi=1447960661","1447960661")</f>
        <v>1447960661</v>
      </c>
      <c r="E24963" s="1" t="s">
        <v>13135</v>
      </c>
      <c r="F24963" s="2"/>
      <c r="G24963" s="2"/>
      <c r="H24963" s="2"/>
    </row>
    <row r="24964" spans="1:8" x14ac:dyDescent="0.25">
      <c r="A24964" s="1"/>
      <c r="B24964" s="1" t="s">
        <v>7328</v>
      </c>
      <c r="C24964" s="1" t="s">
        <v>7329</v>
      </c>
      <c r="D24964" s="22" t="str">
        <f>HYPERLINK("https://rhld.insurance.arkansas.gov/NPILookup?Npi=1447967567","1447967567")</f>
        <v>1447967567</v>
      </c>
      <c r="E24964" s="1" t="s">
        <v>27147</v>
      </c>
      <c r="F24964" s="2"/>
      <c r="G24964" s="2"/>
      <c r="H24964" s="2"/>
    </row>
    <row r="24965" spans="1:8" x14ac:dyDescent="0.25">
      <c r="A24965" s="1"/>
      <c r="B24965" s="1" t="s">
        <v>7328</v>
      </c>
      <c r="C24965" s="1" t="s">
        <v>7329</v>
      </c>
      <c r="D24965" s="22" t="str">
        <f>HYPERLINK("https://rhld.insurance.arkansas.gov/NPILookup?Npi=1447974159","1447974159")</f>
        <v>1447974159</v>
      </c>
      <c r="E24965" s="1" t="s">
        <v>27148</v>
      </c>
      <c r="F24965" s="2"/>
      <c r="G24965" s="2"/>
      <c r="H24965" s="2"/>
    </row>
    <row r="24966" spans="1:8" x14ac:dyDescent="0.25">
      <c r="A24966" s="1"/>
      <c r="B24966" s="1" t="s">
        <v>7328</v>
      </c>
      <c r="C24966" s="1" t="s">
        <v>7329</v>
      </c>
      <c r="D24966" s="22" t="str">
        <f>HYPERLINK("https://rhld.insurance.arkansas.gov/NPILookup?Npi=1447977202","1447977202")</f>
        <v>1447977202</v>
      </c>
      <c r="E24966" s="1" t="s">
        <v>32234</v>
      </c>
      <c r="F24966" s="2"/>
      <c r="G24966" s="2"/>
      <c r="H24966" s="2"/>
    </row>
    <row r="24967" spans="1:8" x14ac:dyDescent="0.25">
      <c r="A24967" s="1"/>
      <c r="B24967" s="1" t="s">
        <v>7328</v>
      </c>
      <c r="C24967" s="1" t="s">
        <v>7329</v>
      </c>
      <c r="D24967" s="22" t="str">
        <f>HYPERLINK("https://rhld.insurance.arkansas.gov/NPILookup?Npi=1447980073","1447980073")</f>
        <v>1447980073</v>
      </c>
      <c r="E24967" s="1" t="s">
        <v>27149</v>
      </c>
      <c r="F24967" s="2"/>
      <c r="G24967" s="2"/>
      <c r="H24967" s="2"/>
    </row>
    <row r="24968" spans="1:8" x14ac:dyDescent="0.25">
      <c r="A24968" s="1"/>
      <c r="B24968" s="1" t="s">
        <v>7328</v>
      </c>
      <c r="C24968" s="1" t="s">
        <v>7329</v>
      </c>
      <c r="D24968" s="22" t="str">
        <f>HYPERLINK("https://rhld.insurance.arkansas.gov/NPILookup?Npi=1447984851","1447984851")</f>
        <v>1447984851</v>
      </c>
      <c r="E24968" s="1" t="s">
        <v>7769</v>
      </c>
      <c r="F24968" s="2"/>
      <c r="G24968" s="2"/>
      <c r="H24968" s="2"/>
    </row>
    <row r="24969" spans="1:8" x14ac:dyDescent="0.25">
      <c r="A24969" s="1"/>
      <c r="B24969" s="1" t="s">
        <v>7328</v>
      </c>
      <c r="C24969" s="1" t="s">
        <v>7329</v>
      </c>
      <c r="D24969" s="22" t="str">
        <f>HYPERLINK("https://rhld.insurance.arkansas.gov/NPILookup?Npi=1447991880","1447991880")</f>
        <v>1447991880</v>
      </c>
      <c r="E24969" s="1" t="s">
        <v>27150</v>
      </c>
      <c r="F24969" s="2"/>
      <c r="G24969" s="2"/>
      <c r="H24969" s="2"/>
    </row>
    <row r="24970" spans="1:8" x14ac:dyDescent="0.25">
      <c r="A24970" s="1"/>
      <c r="B24970" s="1" t="s">
        <v>7328</v>
      </c>
      <c r="C24970" s="1" t="s">
        <v>7329</v>
      </c>
      <c r="D24970" s="22" t="str">
        <f>HYPERLINK("https://rhld.insurance.arkansas.gov/NPILookup?Npi=1447996517","1447996517")</f>
        <v>1447996517</v>
      </c>
      <c r="E24970" s="1" t="s">
        <v>27151</v>
      </c>
      <c r="F24970" s="2"/>
      <c r="G24970" s="2"/>
      <c r="H24970" s="2"/>
    </row>
    <row r="24971" spans="1:8" x14ac:dyDescent="0.25">
      <c r="A24971" s="1"/>
      <c r="B24971" s="1" t="s">
        <v>7328</v>
      </c>
      <c r="C24971" s="1" t="s">
        <v>7329</v>
      </c>
      <c r="D24971" s="22" t="str">
        <f>HYPERLINK("https://rhld.insurance.arkansas.gov/NPILookup?Npi=1457016370","1457016370")</f>
        <v>1457016370</v>
      </c>
      <c r="E24971" s="1" t="s">
        <v>1782</v>
      </c>
      <c r="F24971" s="2"/>
      <c r="G24971" s="2"/>
      <c r="H24971" s="2"/>
    </row>
    <row r="24972" spans="1:8" x14ac:dyDescent="0.25">
      <c r="A24972" s="1"/>
      <c r="B24972" s="1" t="s">
        <v>7328</v>
      </c>
      <c r="C24972" s="1" t="s">
        <v>7329</v>
      </c>
      <c r="D24972" s="22" t="str">
        <f>HYPERLINK("https://rhld.insurance.arkansas.gov/NPILookup?Npi=1457021289","1457021289")</f>
        <v>1457021289</v>
      </c>
      <c r="E24972" s="1" t="s">
        <v>27152</v>
      </c>
      <c r="F24972" s="2"/>
      <c r="G24972" s="2"/>
      <c r="H24972" s="2"/>
    </row>
    <row r="24973" spans="1:8" x14ac:dyDescent="0.25">
      <c r="A24973" s="1"/>
      <c r="B24973" s="1" t="s">
        <v>7328</v>
      </c>
      <c r="C24973" s="1" t="s">
        <v>7329</v>
      </c>
      <c r="D24973" s="22" t="str">
        <f>HYPERLINK("https://rhld.insurance.arkansas.gov/NPILookup?Npi=1457027377","1457027377")</f>
        <v>1457027377</v>
      </c>
      <c r="E24973" s="1" t="s">
        <v>27153</v>
      </c>
      <c r="F24973" s="2"/>
      <c r="G24973" s="2"/>
      <c r="H24973" s="2"/>
    </row>
    <row r="24974" spans="1:8" x14ac:dyDescent="0.25">
      <c r="A24974" s="1"/>
      <c r="B24974" s="1" t="s">
        <v>7328</v>
      </c>
      <c r="C24974" s="1" t="s">
        <v>7329</v>
      </c>
      <c r="D24974" s="22" t="str">
        <f>HYPERLINK("https://rhld.insurance.arkansas.gov/NPILookup?Npi=1457047144","1457047144")</f>
        <v>1457047144</v>
      </c>
      <c r="E24974" s="1" t="s">
        <v>7770</v>
      </c>
      <c r="F24974" s="2"/>
      <c r="G24974" s="2"/>
      <c r="H24974" s="2"/>
    </row>
    <row r="24975" spans="1:8" x14ac:dyDescent="0.25">
      <c r="A24975" s="1"/>
      <c r="B24975" s="1" t="s">
        <v>7328</v>
      </c>
      <c r="C24975" s="1" t="s">
        <v>7329</v>
      </c>
      <c r="D24975" s="22" t="str">
        <f>HYPERLINK("https://rhld.insurance.arkansas.gov/NPILookup?Npi=1457076267","1457076267")</f>
        <v>1457076267</v>
      </c>
      <c r="E24975" s="1" t="s">
        <v>13136</v>
      </c>
      <c r="F24975" s="2"/>
      <c r="G24975" s="2"/>
      <c r="H24975" s="2"/>
    </row>
    <row r="24976" spans="1:8" x14ac:dyDescent="0.25">
      <c r="A24976" s="1"/>
      <c r="B24976" s="1" t="s">
        <v>7328</v>
      </c>
      <c r="C24976" s="1" t="s">
        <v>7329</v>
      </c>
      <c r="D24976" s="22" t="str">
        <f>HYPERLINK("https://rhld.insurance.arkansas.gov/NPILookup?Npi=1457091225","1457091225")</f>
        <v>1457091225</v>
      </c>
      <c r="E24976" s="1" t="s">
        <v>32235</v>
      </c>
      <c r="F24976" s="2"/>
      <c r="G24976" s="2"/>
      <c r="H24976" s="2"/>
    </row>
    <row r="24977" spans="1:8" x14ac:dyDescent="0.25">
      <c r="A24977" s="1"/>
      <c r="B24977" s="1" t="s">
        <v>7328</v>
      </c>
      <c r="C24977" s="1" t="s">
        <v>7329</v>
      </c>
      <c r="D24977" s="22" t="str">
        <f>HYPERLINK("https://rhld.insurance.arkansas.gov/NPILookup?Npi=1457099392","1457099392")</f>
        <v>1457099392</v>
      </c>
      <c r="E24977" s="1" t="s">
        <v>7771</v>
      </c>
      <c r="F24977" s="2"/>
      <c r="G24977" s="2"/>
      <c r="H24977" s="2"/>
    </row>
    <row r="24978" spans="1:8" x14ac:dyDescent="0.25">
      <c r="A24978" s="1"/>
      <c r="B24978" s="1" t="s">
        <v>7328</v>
      </c>
      <c r="C24978" s="1" t="s">
        <v>7329</v>
      </c>
      <c r="D24978" s="22" t="str">
        <f>HYPERLINK("https://rhld.insurance.arkansas.gov/NPILookup?Npi=1457114274","1457114274")</f>
        <v>1457114274</v>
      </c>
      <c r="E24978" s="1" t="s">
        <v>26361</v>
      </c>
      <c r="F24978" s="2"/>
      <c r="G24978" s="2"/>
      <c r="H24978" s="2"/>
    </row>
    <row r="24979" spans="1:8" x14ac:dyDescent="0.25">
      <c r="A24979" s="1"/>
      <c r="B24979" s="1" t="s">
        <v>7328</v>
      </c>
      <c r="C24979" s="1" t="s">
        <v>7329</v>
      </c>
      <c r="D24979" s="22" t="str">
        <f>HYPERLINK("https://rhld.insurance.arkansas.gov/NPILookup?Npi=1457123861","1457123861")</f>
        <v>1457123861</v>
      </c>
      <c r="E24979" s="1" t="s">
        <v>27154</v>
      </c>
      <c r="F24979" s="2"/>
      <c r="G24979" s="2"/>
      <c r="H24979" s="2"/>
    </row>
    <row r="24980" spans="1:8" x14ac:dyDescent="0.25">
      <c r="A24980" s="1"/>
      <c r="B24980" s="1" t="s">
        <v>7328</v>
      </c>
      <c r="C24980" s="1" t="s">
        <v>7329</v>
      </c>
      <c r="D24980" s="22" t="str">
        <f>HYPERLINK("https://rhld.insurance.arkansas.gov/NPILookup?Npi=1457129314","1457129314")</f>
        <v>1457129314</v>
      </c>
      <c r="E24980" s="1" t="s">
        <v>27155</v>
      </c>
      <c r="F24980" s="2"/>
      <c r="G24980" s="2"/>
      <c r="H24980" s="2"/>
    </row>
    <row r="24981" spans="1:8" x14ac:dyDescent="0.25">
      <c r="A24981" s="1"/>
      <c r="B24981" s="1" t="s">
        <v>7328</v>
      </c>
      <c r="C24981" s="1" t="s">
        <v>7329</v>
      </c>
      <c r="D24981" s="22" t="str">
        <f>HYPERLINK("https://rhld.insurance.arkansas.gov/NPILookup?Npi=1457130239","1457130239")</f>
        <v>1457130239</v>
      </c>
      <c r="E24981" s="1" t="s">
        <v>6649</v>
      </c>
      <c r="F24981" s="2"/>
      <c r="G24981" s="2"/>
      <c r="H24981" s="2"/>
    </row>
    <row r="24982" spans="1:8" x14ac:dyDescent="0.25">
      <c r="A24982" s="1"/>
      <c r="B24982" s="1" t="s">
        <v>7328</v>
      </c>
      <c r="C24982" s="1" t="s">
        <v>7329</v>
      </c>
      <c r="D24982" s="22" t="str">
        <f>HYPERLINK("https://rhld.insurance.arkansas.gov/NPILookup?Npi=1457186462","1457186462")</f>
        <v>1457186462</v>
      </c>
      <c r="E24982" s="1" t="s">
        <v>32236</v>
      </c>
      <c r="F24982" s="2"/>
      <c r="G24982" s="2"/>
      <c r="H24982" s="2"/>
    </row>
    <row r="24983" spans="1:8" x14ac:dyDescent="0.25">
      <c r="A24983" s="1"/>
      <c r="B24983" s="1" t="s">
        <v>7328</v>
      </c>
      <c r="C24983" s="1" t="s">
        <v>7329</v>
      </c>
      <c r="D24983" s="22" t="str">
        <f>HYPERLINK("https://rhld.insurance.arkansas.gov/NPILookup?Npi=1457199754","1457199754")</f>
        <v>1457199754</v>
      </c>
      <c r="E24983" s="1" t="s">
        <v>27156</v>
      </c>
      <c r="F24983" s="2"/>
      <c r="G24983" s="2"/>
      <c r="H24983" s="2"/>
    </row>
    <row r="24984" spans="1:8" x14ac:dyDescent="0.25">
      <c r="A24984" s="1"/>
      <c r="B24984" s="1" t="s">
        <v>7328</v>
      </c>
      <c r="C24984" s="1" t="s">
        <v>7329</v>
      </c>
      <c r="D24984" s="22" t="str">
        <f>HYPERLINK("https://rhld.insurance.arkansas.gov/NPILookup?Npi=1457310476","1457310476")</f>
        <v>1457310476</v>
      </c>
      <c r="E24984" s="1" t="s">
        <v>27157</v>
      </c>
      <c r="F24984" s="2"/>
      <c r="G24984" s="2"/>
      <c r="H24984" s="2"/>
    </row>
    <row r="24985" spans="1:8" x14ac:dyDescent="0.25">
      <c r="A24985" s="1"/>
      <c r="B24985" s="1" t="s">
        <v>7328</v>
      </c>
      <c r="C24985" s="1" t="s">
        <v>7329</v>
      </c>
      <c r="D24985" s="22" t="str">
        <f>HYPERLINK("https://rhld.insurance.arkansas.gov/NPILookup?Npi=1457314007","1457314007")</f>
        <v>1457314007</v>
      </c>
      <c r="E24985" s="1" t="s">
        <v>2839</v>
      </c>
      <c r="F24985" s="2"/>
      <c r="G24985" s="2"/>
      <c r="H24985" s="2"/>
    </row>
    <row r="24986" spans="1:8" x14ac:dyDescent="0.25">
      <c r="A24986" s="1"/>
      <c r="B24986" s="1" t="s">
        <v>7328</v>
      </c>
      <c r="C24986" s="1" t="s">
        <v>7329</v>
      </c>
      <c r="D24986" s="22" t="str">
        <f>HYPERLINK("https://rhld.insurance.arkansas.gov/NPILookup?Npi=1457316556","1457316556")</f>
        <v>1457316556</v>
      </c>
      <c r="E24986" s="1" t="s">
        <v>17538</v>
      </c>
      <c r="F24986" s="2"/>
      <c r="G24986" s="2"/>
      <c r="H24986" s="2"/>
    </row>
    <row r="24987" spans="1:8" x14ac:dyDescent="0.25">
      <c r="A24987" s="1"/>
      <c r="B24987" s="1" t="s">
        <v>7328</v>
      </c>
      <c r="C24987" s="1" t="s">
        <v>7329</v>
      </c>
      <c r="D24987" s="22" t="str">
        <f>HYPERLINK("https://rhld.insurance.arkansas.gov/NPILookup?Npi=1457318065","1457318065")</f>
        <v>1457318065</v>
      </c>
      <c r="E24987" s="1" t="s">
        <v>27158</v>
      </c>
      <c r="F24987" s="2"/>
      <c r="G24987" s="2"/>
      <c r="H24987" s="2"/>
    </row>
    <row r="24988" spans="1:8" x14ac:dyDescent="0.25">
      <c r="A24988" s="1"/>
      <c r="B24988" s="1" t="s">
        <v>7328</v>
      </c>
      <c r="C24988" s="1" t="s">
        <v>7329</v>
      </c>
      <c r="D24988" s="22" t="str">
        <f>HYPERLINK("https://rhld.insurance.arkansas.gov/NPILookup?Npi=1457327389","1457327389")</f>
        <v>1457327389</v>
      </c>
      <c r="E24988" s="1" t="s">
        <v>27159</v>
      </c>
      <c r="F24988" s="2"/>
      <c r="G24988" s="2"/>
      <c r="H24988" s="2"/>
    </row>
    <row r="24989" spans="1:8" x14ac:dyDescent="0.25">
      <c r="A24989" s="1"/>
      <c r="B24989" s="1" t="s">
        <v>7328</v>
      </c>
      <c r="C24989" s="1" t="s">
        <v>7329</v>
      </c>
      <c r="D24989" s="22" t="str">
        <f>HYPERLINK("https://rhld.insurance.arkansas.gov/NPILookup?Npi=1457327934","1457327934")</f>
        <v>1457327934</v>
      </c>
      <c r="E24989" s="1" t="s">
        <v>7772</v>
      </c>
      <c r="F24989" s="2"/>
      <c r="G24989" s="2"/>
      <c r="H24989" s="2"/>
    </row>
    <row r="24990" spans="1:8" x14ac:dyDescent="0.25">
      <c r="A24990" s="1"/>
      <c r="B24990" s="1" t="s">
        <v>7328</v>
      </c>
      <c r="C24990" s="1" t="s">
        <v>7329</v>
      </c>
      <c r="D24990" s="22" t="str">
        <f>HYPERLINK("https://rhld.insurance.arkansas.gov/NPILookup?Npi=1457334633","1457334633")</f>
        <v>1457334633</v>
      </c>
      <c r="E24990" s="1" t="s">
        <v>3860</v>
      </c>
      <c r="F24990" s="2"/>
      <c r="G24990" s="2"/>
      <c r="H24990" s="2"/>
    </row>
    <row r="24991" spans="1:8" x14ac:dyDescent="0.25">
      <c r="A24991" s="1"/>
      <c r="B24991" s="1" t="s">
        <v>7328</v>
      </c>
      <c r="C24991" s="1" t="s">
        <v>7329</v>
      </c>
      <c r="D24991" s="22" t="str">
        <f>HYPERLINK("https://rhld.insurance.arkansas.gov/NPILookup?Npi=1457345779","1457345779")</f>
        <v>1457345779</v>
      </c>
      <c r="E24991" s="1" t="s">
        <v>27160</v>
      </c>
      <c r="F24991" s="2"/>
      <c r="G24991" s="2"/>
      <c r="H24991" s="2"/>
    </row>
    <row r="24992" spans="1:8" x14ac:dyDescent="0.25">
      <c r="A24992" s="1"/>
      <c r="B24992" s="1" t="s">
        <v>7328</v>
      </c>
      <c r="C24992" s="1" t="s">
        <v>7329</v>
      </c>
      <c r="D24992" s="22" t="str">
        <f>HYPERLINK("https://rhld.insurance.arkansas.gov/NPILookup?Npi=1457349839","1457349839")</f>
        <v>1457349839</v>
      </c>
      <c r="E24992" s="1" t="s">
        <v>13137</v>
      </c>
      <c r="F24992" s="2"/>
      <c r="G24992" s="2"/>
      <c r="H24992" s="2"/>
    </row>
    <row r="24993" spans="1:8" x14ac:dyDescent="0.25">
      <c r="A24993" s="1"/>
      <c r="B24993" s="1" t="s">
        <v>7328</v>
      </c>
      <c r="C24993" s="1" t="s">
        <v>7329</v>
      </c>
      <c r="D24993" s="22" t="str">
        <f>HYPERLINK("https://rhld.insurance.arkansas.gov/NPILookup?Npi=1457352577","1457352577")</f>
        <v>1457352577</v>
      </c>
      <c r="E24993" s="1" t="s">
        <v>27161</v>
      </c>
      <c r="F24993" s="2"/>
      <c r="G24993" s="2"/>
      <c r="H24993" s="2"/>
    </row>
    <row r="24994" spans="1:8" x14ac:dyDescent="0.25">
      <c r="A24994" s="1"/>
      <c r="B24994" s="1" t="s">
        <v>7328</v>
      </c>
      <c r="C24994" s="1" t="s">
        <v>7329</v>
      </c>
      <c r="D24994" s="22" t="str">
        <f>HYPERLINK("https://rhld.insurance.arkansas.gov/NPILookup?Npi=1457352742","1457352742")</f>
        <v>1457352742</v>
      </c>
      <c r="E24994" s="1" t="s">
        <v>13138</v>
      </c>
      <c r="F24994" s="2"/>
      <c r="G24994" s="2"/>
      <c r="H24994" s="2"/>
    </row>
    <row r="24995" spans="1:8" x14ac:dyDescent="0.25">
      <c r="A24995" s="1"/>
      <c r="B24995" s="1" t="s">
        <v>7328</v>
      </c>
      <c r="C24995" s="1" t="s">
        <v>7329</v>
      </c>
      <c r="D24995" s="22" t="str">
        <f>HYPERLINK("https://rhld.insurance.arkansas.gov/NPILookup?Npi=1457355372","1457355372")</f>
        <v>1457355372</v>
      </c>
      <c r="E24995" s="1" t="s">
        <v>27162</v>
      </c>
      <c r="F24995" s="2"/>
      <c r="G24995" s="2"/>
      <c r="H24995" s="2"/>
    </row>
    <row r="24996" spans="1:8" x14ac:dyDescent="0.25">
      <c r="A24996" s="1"/>
      <c r="B24996" s="1" t="s">
        <v>7328</v>
      </c>
      <c r="C24996" s="1" t="s">
        <v>7329</v>
      </c>
      <c r="D24996" s="22" t="str">
        <f>HYPERLINK("https://rhld.insurance.arkansas.gov/NPILookup?Npi=1457356347","1457356347")</f>
        <v>1457356347</v>
      </c>
      <c r="E24996" s="1" t="s">
        <v>13139</v>
      </c>
      <c r="F24996" s="2"/>
      <c r="G24996" s="2"/>
      <c r="H24996" s="2"/>
    </row>
    <row r="24997" spans="1:8" x14ac:dyDescent="0.25">
      <c r="A24997" s="1"/>
      <c r="B24997" s="1" t="s">
        <v>7328</v>
      </c>
      <c r="C24997" s="1" t="s">
        <v>7329</v>
      </c>
      <c r="D24997" s="22" t="str">
        <f>HYPERLINK("https://rhld.insurance.arkansas.gov/NPILookup?Npi=1457368854","1457368854")</f>
        <v>1457368854</v>
      </c>
      <c r="E24997" s="1" t="s">
        <v>13140</v>
      </c>
      <c r="F24997" s="2"/>
      <c r="G24997" s="2"/>
      <c r="H24997" s="2"/>
    </row>
    <row r="24998" spans="1:8" x14ac:dyDescent="0.25">
      <c r="A24998" s="1"/>
      <c r="B24998" s="1" t="s">
        <v>7328</v>
      </c>
      <c r="C24998" s="1" t="s">
        <v>7329</v>
      </c>
      <c r="D24998" s="22" t="str">
        <f>HYPERLINK("https://rhld.insurance.arkansas.gov/NPILookup?Npi=1457383127","1457383127")</f>
        <v>1457383127</v>
      </c>
      <c r="E24998" s="1" t="s">
        <v>22250</v>
      </c>
      <c r="F24998" s="2"/>
      <c r="G24998" s="2"/>
      <c r="H24998" s="2"/>
    </row>
    <row r="24999" spans="1:8" x14ac:dyDescent="0.25">
      <c r="A24999" s="1"/>
      <c r="B24999" s="1" t="s">
        <v>7328</v>
      </c>
      <c r="C24999" s="1" t="s">
        <v>7329</v>
      </c>
      <c r="D24999" s="22" t="str">
        <f>HYPERLINK("https://rhld.insurance.arkansas.gov/NPILookup?Npi=1457388266","1457388266")</f>
        <v>1457388266</v>
      </c>
      <c r="E24999" s="1" t="s">
        <v>3757</v>
      </c>
      <c r="F24999" s="2"/>
      <c r="G24999" s="2"/>
      <c r="H24999" s="2"/>
    </row>
    <row r="25000" spans="1:8" x14ac:dyDescent="0.25">
      <c r="A25000" s="1"/>
      <c r="B25000" s="1" t="s">
        <v>7328</v>
      </c>
      <c r="C25000" s="1" t="s">
        <v>7329</v>
      </c>
      <c r="D25000" s="22" t="str">
        <f>HYPERLINK("https://rhld.insurance.arkansas.gov/NPILookup?Npi=1457390734","1457390734")</f>
        <v>1457390734</v>
      </c>
      <c r="E25000" s="1" t="s">
        <v>27163</v>
      </c>
      <c r="F25000" s="2"/>
      <c r="G25000" s="2"/>
      <c r="H25000" s="2"/>
    </row>
    <row r="25001" spans="1:8" x14ac:dyDescent="0.25">
      <c r="A25001" s="1"/>
      <c r="B25001" s="1" t="s">
        <v>7328</v>
      </c>
      <c r="C25001" s="1" t="s">
        <v>7329</v>
      </c>
      <c r="D25001" s="22" t="str">
        <f>HYPERLINK("https://rhld.insurance.arkansas.gov/NPILookup?Npi=1457399438","1457399438")</f>
        <v>1457399438</v>
      </c>
      <c r="E25001" s="1" t="s">
        <v>13141</v>
      </c>
      <c r="F25001" s="2"/>
      <c r="G25001" s="2"/>
      <c r="H25001" s="2"/>
    </row>
    <row r="25002" spans="1:8" x14ac:dyDescent="0.25">
      <c r="A25002" s="1"/>
      <c r="B25002" s="1" t="s">
        <v>7328</v>
      </c>
      <c r="C25002" s="1" t="s">
        <v>7329</v>
      </c>
      <c r="D25002" s="22" t="str">
        <f>HYPERLINK("https://rhld.insurance.arkansas.gov/NPILookup?Npi=1457404154","1457404154")</f>
        <v>1457404154</v>
      </c>
      <c r="E25002" s="1" t="s">
        <v>7773</v>
      </c>
      <c r="F25002" s="2"/>
      <c r="G25002" s="2"/>
      <c r="H25002" s="2"/>
    </row>
    <row r="25003" spans="1:8" x14ac:dyDescent="0.25">
      <c r="A25003" s="1"/>
      <c r="B25003" s="1" t="s">
        <v>7328</v>
      </c>
      <c r="C25003" s="1" t="s">
        <v>7329</v>
      </c>
      <c r="D25003" s="22" t="str">
        <f>HYPERLINK("https://rhld.insurance.arkansas.gov/NPILookup?Npi=1457413858","1457413858")</f>
        <v>1457413858</v>
      </c>
      <c r="E25003" s="1" t="s">
        <v>17539</v>
      </c>
      <c r="F25003" s="2"/>
      <c r="G25003" s="2"/>
      <c r="H25003" s="2"/>
    </row>
    <row r="25004" spans="1:8" x14ac:dyDescent="0.25">
      <c r="A25004" s="1"/>
      <c r="B25004" s="1" t="s">
        <v>7328</v>
      </c>
      <c r="C25004" s="1" t="s">
        <v>7329</v>
      </c>
      <c r="D25004" s="22" t="str">
        <f>HYPERLINK("https://rhld.insurance.arkansas.gov/NPILookup?Npi=1457425902","1457425902")</f>
        <v>1457425902</v>
      </c>
      <c r="E25004" s="1" t="s">
        <v>27164</v>
      </c>
      <c r="F25004" s="2"/>
      <c r="G25004" s="2"/>
      <c r="H25004" s="2"/>
    </row>
    <row r="25005" spans="1:8" x14ac:dyDescent="0.25">
      <c r="A25005" s="1"/>
      <c r="B25005" s="1" t="s">
        <v>7328</v>
      </c>
      <c r="C25005" s="1" t="s">
        <v>7329</v>
      </c>
      <c r="D25005" s="22" t="str">
        <f>HYPERLINK("https://rhld.insurance.arkansas.gov/NPILookup?Npi=1457440034","1457440034")</f>
        <v>1457440034</v>
      </c>
      <c r="E25005" s="1" t="s">
        <v>13142</v>
      </c>
      <c r="F25005" s="2"/>
      <c r="G25005" s="2"/>
      <c r="H25005" s="2"/>
    </row>
    <row r="25006" spans="1:8" x14ac:dyDescent="0.25">
      <c r="A25006" s="1"/>
      <c r="B25006" s="1" t="s">
        <v>7328</v>
      </c>
      <c r="C25006" s="1" t="s">
        <v>7329</v>
      </c>
      <c r="D25006" s="22" t="str">
        <f>HYPERLINK("https://rhld.insurance.arkansas.gov/NPILookup?Npi=1457450827","1457450827")</f>
        <v>1457450827</v>
      </c>
      <c r="E25006" s="1" t="s">
        <v>27165</v>
      </c>
      <c r="F25006" s="2"/>
      <c r="G25006" s="2"/>
      <c r="H25006" s="2"/>
    </row>
    <row r="25007" spans="1:8" x14ac:dyDescent="0.25">
      <c r="A25007" s="1"/>
      <c r="B25007" s="1" t="s">
        <v>7328</v>
      </c>
      <c r="C25007" s="1" t="s">
        <v>7329</v>
      </c>
      <c r="D25007" s="22" t="str">
        <f>HYPERLINK("https://rhld.insurance.arkansas.gov/NPILookup?Npi=1457453573","1457453573")</f>
        <v>1457453573</v>
      </c>
      <c r="E25007" s="1" t="s">
        <v>4376</v>
      </c>
      <c r="F25007" s="2"/>
      <c r="G25007" s="2"/>
      <c r="H25007" s="2"/>
    </row>
    <row r="25008" spans="1:8" x14ac:dyDescent="0.25">
      <c r="A25008" s="1"/>
      <c r="B25008" s="1" t="s">
        <v>7328</v>
      </c>
      <c r="C25008" s="1" t="s">
        <v>7329</v>
      </c>
      <c r="D25008" s="22" t="str">
        <f>HYPERLINK("https://rhld.insurance.arkansas.gov/NPILookup?Npi=1457456808","1457456808")</f>
        <v>1457456808</v>
      </c>
      <c r="E25008" s="1" t="s">
        <v>27166</v>
      </c>
      <c r="F25008" s="2"/>
      <c r="G25008" s="2"/>
      <c r="H25008" s="2"/>
    </row>
    <row r="25009" spans="1:8" x14ac:dyDescent="0.25">
      <c r="A25009" s="1"/>
      <c r="B25009" s="1" t="s">
        <v>7328</v>
      </c>
      <c r="C25009" s="1" t="s">
        <v>7329</v>
      </c>
      <c r="D25009" s="22" t="str">
        <f>HYPERLINK("https://rhld.insurance.arkansas.gov/NPILookup?Npi=1457459182","1457459182")</f>
        <v>1457459182</v>
      </c>
      <c r="E25009" s="1" t="s">
        <v>27167</v>
      </c>
      <c r="F25009" s="2"/>
      <c r="G25009" s="2"/>
      <c r="H25009" s="2"/>
    </row>
    <row r="25010" spans="1:8" x14ac:dyDescent="0.25">
      <c r="A25010" s="1"/>
      <c r="B25010" s="1" t="s">
        <v>7328</v>
      </c>
      <c r="C25010" s="1" t="s">
        <v>7329</v>
      </c>
      <c r="D25010" s="22" t="str">
        <f>HYPERLINK("https://rhld.insurance.arkansas.gov/NPILookup?Npi=1457463960","1457463960")</f>
        <v>1457463960</v>
      </c>
      <c r="E25010" s="1" t="s">
        <v>27168</v>
      </c>
      <c r="F25010" s="2"/>
      <c r="G25010" s="2"/>
      <c r="H25010" s="2"/>
    </row>
    <row r="25011" spans="1:8" x14ac:dyDescent="0.25">
      <c r="A25011" s="1"/>
      <c r="B25011" s="1" t="s">
        <v>7328</v>
      </c>
      <c r="C25011" s="1" t="s">
        <v>7329</v>
      </c>
      <c r="D25011" s="22" t="str">
        <f>HYPERLINK("https://rhld.insurance.arkansas.gov/NPILookup?Npi=1457504250","1457504250")</f>
        <v>1457504250</v>
      </c>
      <c r="E25011" s="1" t="s">
        <v>27169</v>
      </c>
      <c r="F25011" s="2"/>
      <c r="G25011" s="2"/>
      <c r="H25011" s="2"/>
    </row>
    <row r="25012" spans="1:8" x14ac:dyDescent="0.25">
      <c r="A25012" s="1"/>
      <c r="B25012" s="1" t="s">
        <v>7328</v>
      </c>
      <c r="C25012" s="1" t="s">
        <v>7329</v>
      </c>
      <c r="D25012" s="22" t="str">
        <f>HYPERLINK("https://rhld.insurance.arkansas.gov/NPILookup?Npi=1457510877","1457510877")</f>
        <v>1457510877</v>
      </c>
      <c r="E25012" s="1" t="s">
        <v>27170</v>
      </c>
      <c r="F25012" s="2"/>
      <c r="G25012" s="2"/>
      <c r="H25012" s="2"/>
    </row>
    <row r="25013" spans="1:8" x14ac:dyDescent="0.25">
      <c r="A25013" s="1"/>
      <c r="B25013" s="1" t="s">
        <v>7328</v>
      </c>
      <c r="C25013" s="1" t="s">
        <v>7329</v>
      </c>
      <c r="D25013" s="22" t="str">
        <f>HYPERLINK("https://rhld.insurance.arkansas.gov/NPILookup?Npi=1457525909","1457525909")</f>
        <v>1457525909</v>
      </c>
      <c r="E25013" s="1" t="s">
        <v>13143</v>
      </c>
      <c r="F25013" s="2"/>
      <c r="G25013" s="2"/>
      <c r="H25013" s="2"/>
    </row>
    <row r="25014" spans="1:8" x14ac:dyDescent="0.25">
      <c r="A25014" s="1"/>
      <c r="B25014" s="1" t="s">
        <v>7328</v>
      </c>
      <c r="C25014" s="1" t="s">
        <v>7329</v>
      </c>
      <c r="D25014" s="22" t="str">
        <f>HYPERLINK("https://rhld.insurance.arkansas.gov/NPILookup?Npi=1457529661","1457529661")</f>
        <v>1457529661</v>
      </c>
      <c r="E25014" s="1" t="s">
        <v>2021</v>
      </c>
      <c r="F25014" s="2"/>
      <c r="G25014" s="2"/>
      <c r="H25014" s="2"/>
    </row>
    <row r="25015" spans="1:8" x14ac:dyDescent="0.25">
      <c r="A25015" s="1"/>
      <c r="B25015" s="1" t="s">
        <v>7328</v>
      </c>
      <c r="C25015" s="1" t="s">
        <v>7329</v>
      </c>
      <c r="D25015" s="22" t="str">
        <f>HYPERLINK("https://rhld.insurance.arkansas.gov/NPILookup?Npi=1457553422","1457553422")</f>
        <v>1457553422</v>
      </c>
      <c r="E25015" s="1" t="s">
        <v>27171</v>
      </c>
      <c r="F25015" s="2"/>
      <c r="G25015" s="2"/>
      <c r="H25015" s="2"/>
    </row>
    <row r="25016" spans="1:8" x14ac:dyDescent="0.25">
      <c r="A25016" s="1"/>
      <c r="B25016" s="1" t="s">
        <v>7328</v>
      </c>
      <c r="C25016" s="1" t="s">
        <v>7329</v>
      </c>
      <c r="D25016" s="22" t="str">
        <f>HYPERLINK("https://rhld.insurance.arkansas.gov/NPILookup?Npi=1457596959","1457596959")</f>
        <v>1457596959</v>
      </c>
      <c r="E25016" s="1" t="s">
        <v>27172</v>
      </c>
      <c r="F25016" s="2"/>
      <c r="G25016" s="2"/>
      <c r="H25016" s="2"/>
    </row>
    <row r="25017" spans="1:8" x14ac:dyDescent="0.25">
      <c r="A25017" s="1"/>
      <c r="B25017" s="1" t="s">
        <v>7328</v>
      </c>
      <c r="C25017" s="1" t="s">
        <v>7329</v>
      </c>
      <c r="D25017" s="22" t="str">
        <f>HYPERLINK("https://rhld.insurance.arkansas.gov/NPILookup?Npi=1457610743","1457610743")</f>
        <v>1457610743</v>
      </c>
      <c r="E25017" s="1" t="s">
        <v>27173</v>
      </c>
      <c r="F25017" s="2"/>
      <c r="G25017" s="2"/>
      <c r="H25017" s="2"/>
    </row>
    <row r="25018" spans="1:8" x14ac:dyDescent="0.25">
      <c r="A25018" s="1"/>
      <c r="B25018" s="1" t="s">
        <v>7328</v>
      </c>
      <c r="C25018" s="1" t="s">
        <v>7329</v>
      </c>
      <c r="D25018" s="22" t="str">
        <f>HYPERLINK("https://rhld.insurance.arkansas.gov/NPILookup?Npi=1457623258","1457623258")</f>
        <v>1457623258</v>
      </c>
      <c r="E25018" s="1" t="s">
        <v>7774</v>
      </c>
      <c r="F25018" s="2"/>
      <c r="G25018" s="2"/>
      <c r="H25018" s="2"/>
    </row>
    <row r="25019" spans="1:8" x14ac:dyDescent="0.25">
      <c r="A25019" s="1"/>
      <c r="B25019" s="1" t="s">
        <v>7328</v>
      </c>
      <c r="C25019" s="1" t="s">
        <v>7329</v>
      </c>
      <c r="D25019" s="22" t="str">
        <f>HYPERLINK("https://rhld.insurance.arkansas.gov/NPILookup?Npi=1457631053","1457631053")</f>
        <v>1457631053</v>
      </c>
      <c r="E25019" s="1" t="s">
        <v>27174</v>
      </c>
      <c r="F25019" s="2"/>
      <c r="G25019" s="2"/>
      <c r="H25019" s="2"/>
    </row>
    <row r="25020" spans="1:8" x14ac:dyDescent="0.25">
      <c r="A25020" s="1"/>
      <c r="B25020" s="1" t="s">
        <v>7328</v>
      </c>
      <c r="C25020" s="1" t="s">
        <v>7329</v>
      </c>
      <c r="D25020" s="22" t="str">
        <f>HYPERLINK("https://rhld.insurance.arkansas.gov/NPILookup?Npi=1457641763","1457641763")</f>
        <v>1457641763</v>
      </c>
      <c r="E25020" s="1" t="s">
        <v>13144</v>
      </c>
      <c r="F25020" s="2"/>
      <c r="G25020" s="2"/>
      <c r="H25020" s="2"/>
    </row>
    <row r="25021" spans="1:8" x14ac:dyDescent="0.25">
      <c r="A25021" s="1"/>
      <c r="B25021" s="1" t="s">
        <v>7328</v>
      </c>
      <c r="C25021" s="1" t="s">
        <v>7329</v>
      </c>
      <c r="D25021" s="22" t="str">
        <f>HYPERLINK("https://rhld.insurance.arkansas.gov/NPILookup?Npi=1457642688","1457642688")</f>
        <v>1457642688</v>
      </c>
      <c r="E25021" s="1" t="s">
        <v>22255</v>
      </c>
      <c r="F25021" s="2"/>
      <c r="G25021" s="2"/>
      <c r="H25021" s="2"/>
    </row>
    <row r="25022" spans="1:8" x14ac:dyDescent="0.25">
      <c r="A25022" s="1"/>
      <c r="B25022" s="1" t="s">
        <v>7328</v>
      </c>
      <c r="C25022" s="1" t="s">
        <v>7329</v>
      </c>
      <c r="D25022" s="22" t="str">
        <f>HYPERLINK("https://rhld.insurance.arkansas.gov/NPILookup?Npi=1457647414","1457647414")</f>
        <v>1457647414</v>
      </c>
      <c r="E25022" s="1" t="s">
        <v>27175</v>
      </c>
      <c r="F25022" s="2"/>
      <c r="G25022" s="2"/>
      <c r="H25022" s="2"/>
    </row>
    <row r="25023" spans="1:8" x14ac:dyDescent="0.25">
      <c r="A25023" s="1"/>
      <c r="B25023" s="1" t="s">
        <v>7328</v>
      </c>
      <c r="C25023" s="1" t="s">
        <v>7329</v>
      </c>
      <c r="D25023" s="22" t="str">
        <f>HYPERLINK("https://rhld.insurance.arkansas.gov/NPILookup?Npi=1457660961","1457660961")</f>
        <v>1457660961</v>
      </c>
      <c r="E25023" s="1" t="s">
        <v>27176</v>
      </c>
      <c r="F25023" s="2"/>
      <c r="G25023" s="2"/>
      <c r="H25023" s="2"/>
    </row>
    <row r="25024" spans="1:8" x14ac:dyDescent="0.25">
      <c r="A25024" s="1"/>
      <c r="B25024" s="1" t="s">
        <v>7328</v>
      </c>
      <c r="C25024" s="1" t="s">
        <v>7329</v>
      </c>
      <c r="D25024" s="22" t="str">
        <f>HYPERLINK("https://rhld.insurance.arkansas.gov/NPILookup?Npi=1457672388","1457672388")</f>
        <v>1457672388</v>
      </c>
      <c r="E25024" s="1" t="s">
        <v>1783</v>
      </c>
      <c r="F25024" s="2"/>
      <c r="G25024" s="2"/>
      <c r="H25024" s="2"/>
    </row>
    <row r="25025" spans="1:8" x14ac:dyDescent="0.25">
      <c r="A25025" s="1"/>
      <c r="B25025" s="1" t="s">
        <v>7328</v>
      </c>
      <c r="C25025" s="1" t="s">
        <v>7329</v>
      </c>
      <c r="D25025" s="22" t="str">
        <f>HYPERLINK("https://rhld.insurance.arkansas.gov/NPILookup?Npi=1457678054","1457678054")</f>
        <v>1457678054</v>
      </c>
      <c r="E25025" s="1" t="s">
        <v>27177</v>
      </c>
      <c r="F25025" s="2"/>
      <c r="G25025" s="2"/>
      <c r="H25025" s="2"/>
    </row>
    <row r="25026" spans="1:8" x14ac:dyDescent="0.25">
      <c r="A25026" s="1"/>
      <c r="B25026" s="1" t="s">
        <v>7328</v>
      </c>
      <c r="C25026" s="1" t="s">
        <v>7329</v>
      </c>
      <c r="D25026" s="22" t="str">
        <f>HYPERLINK("https://rhld.insurance.arkansas.gov/NPILookup?Npi=1457716029","1457716029")</f>
        <v>1457716029</v>
      </c>
      <c r="E25026" s="1" t="s">
        <v>27178</v>
      </c>
      <c r="F25026" s="2"/>
      <c r="G25026" s="2"/>
      <c r="H25026" s="2"/>
    </row>
    <row r="25027" spans="1:8" x14ac:dyDescent="0.25">
      <c r="A25027" s="1"/>
      <c r="B25027" s="1" t="s">
        <v>7328</v>
      </c>
      <c r="C25027" s="1" t="s">
        <v>7329</v>
      </c>
      <c r="D25027" s="22" t="str">
        <f>HYPERLINK("https://rhld.insurance.arkansas.gov/NPILookup?Npi=1457716813","1457716813")</f>
        <v>1457716813</v>
      </c>
      <c r="E25027" s="1" t="s">
        <v>17545</v>
      </c>
      <c r="F25027" s="2"/>
      <c r="G25027" s="2"/>
      <c r="H25027" s="2"/>
    </row>
    <row r="25028" spans="1:8" x14ac:dyDescent="0.25">
      <c r="A25028" s="1"/>
      <c r="B25028" s="1" t="s">
        <v>7328</v>
      </c>
      <c r="C25028" s="1" t="s">
        <v>7329</v>
      </c>
      <c r="D25028" s="22" t="str">
        <f>HYPERLINK("https://rhld.insurance.arkansas.gov/NPILookup?Npi=1457721359","1457721359")</f>
        <v>1457721359</v>
      </c>
      <c r="E25028" s="1" t="s">
        <v>27179</v>
      </c>
      <c r="F25028" s="2"/>
      <c r="G25028" s="2"/>
      <c r="H25028" s="2"/>
    </row>
    <row r="25029" spans="1:8" x14ac:dyDescent="0.25">
      <c r="A25029" s="1"/>
      <c r="B25029" s="1" t="s">
        <v>7328</v>
      </c>
      <c r="C25029" s="1" t="s">
        <v>7329</v>
      </c>
      <c r="D25029" s="22" t="str">
        <f>HYPERLINK("https://rhld.insurance.arkansas.gov/NPILookup?Npi=1457733875","1457733875")</f>
        <v>1457733875</v>
      </c>
      <c r="E25029" s="1" t="s">
        <v>27180</v>
      </c>
      <c r="F25029" s="2"/>
      <c r="G25029" s="2"/>
      <c r="H25029" s="2"/>
    </row>
    <row r="25030" spans="1:8" x14ac:dyDescent="0.25">
      <c r="A25030" s="1"/>
      <c r="B25030" s="1" t="s">
        <v>7328</v>
      </c>
      <c r="C25030" s="1" t="s">
        <v>7329</v>
      </c>
      <c r="D25030" s="22" t="str">
        <f>HYPERLINK("https://rhld.insurance.arkansas.gov/NPILookup?Npi=1457738072","1457738072")</f>
        <v>1457738072</v>
      </c>
      <c r="E25030" s="1" t="s">
        <v>13145</v>
      </c>
      <c r="F25030" s="2"/>
      <c r="G25030" s="2"/>
      <c r="H25030" s="2"/>
    </row>
    <row r="25031" spans="1:8" x14ac:dyDescent="0.25">
      <c r="A25031" s="1"/>
      <c r="B25031" s="1" t="s">
        <v>7328</v>
      </c>
      <c r="C25031" s="1" t="s">
        <v>7329</v>
      </c>
      <c r="D25031" s="22" t="str">
        <f>HYPERLINK("https://rhld.insurance.arkansas.gov/NPILookup?Npi=1457747297","1457747297")</f>
        <v>1457747297</v>
      </c>
      <c r="E25031" s="1" t="s">
        <v>1219</v>
      </c>
      <c r="F25031" s="2"/>
      <c r="G25031" s="2"/>
      <c r="H25031" s="2"/>
    </row>
    <row r="25032" spans="1:8" x14ac:dyDescent="0.25">
      <c r="A25032" s="1"/>
      <c r="B25032" s="1" t="s">
        <v>7328</v>
      </c>
      <c r="C25032" s="1" t="s">
        <v>7329</v>
      </c>
      <c r="D25032" s="22" t="str">
        <f>HYPERLINK("https://rhld.insurance.arkansas.gov/NPILookup?Npi=1457748683","1457748683")</f>
        <v>1457748683</v>
      </c>
      <c r="E25032" s="1" t="s">
        <v>27181</v>
      </c>
      <c r="F25032" s="2"/>
      <c r="G25032" s="2"/>
      <c r="H25032" s="2"/>
    </row>
    <row r="25033" spans="1:8" x14ac:dyDescent="0.25">
      <c r="A25033" s="1"/>
      <c r="B25033" s="1" t="s">
        <v>7328</v>
      </c>
      <c r="C25033" s="1" t="s">
        <v>7329</v>
      </c>
      <c r="D25033" s="22" t="str">
        <f>HYPERLINK("https://rhld.insurance.arkansas.gov/NPILookup?Npi=1457751182","1457751182")</f>
        <v>1457751182</v>
      </c>
      <c r="E25033" s="1" t="s">
        <v>27182</v>
      </c>
      <c r="F25033" s="2"/>
      <c r="G25033" s="2"/>
      <c r="H25033" s="2"/>
    </row>
    <row r="25034" spans="1:8" x14ac:dyDescent="0.25">
      <c r="A25034" s="1"/>
      <c r="B25034" s="1" t="s">
        <v>7328</v>
      </c>
      <c r="C25034" s="1" t="s">
        <v>7329</v>
      </c>
      <c r="D25034" s="22" t="str">
        <f>HYPERLINK("https://rhld.insurance.arkansas.gov/NPILookup?Npi=1457768533","1457768533")</f>
        <v>1457768533</v>
      </c>
      <c r="E25034" s="1" t="s">
        <v>27183</v>
      </c>
      <c r="F25034" s="2"/>
      <c r="G25034" s="2"/>
      <c r="H25034" s="2"/>
    </row>
    <row r="25035" spans="1:8" x14ac:dyDescent="0.25">
      <c r="A25035" s="1"/>
      <c r="B25035" s="1" t="s">
        <v>7328</v>
      </c>
      <c r="C25035" s="1" t="s">
        <v>7329</v>
      </c>
      <c r="D25035" s="22" t="str">
        <f>HYPERLINK("https://rhld.insurance.arkansas.gov/NPILookup?Npi=1457787400","1457787400")</f>
        <v>1457787400</v>
      </c>
      <c r="E25035" s="1" t="s">
        <v>2840</v>
      </c>
      <c r="F25035" s="2"/>
      <c r="G25035" s="2"/>
      <c r="H25035" s="2"/>
    </row>
    <row r="25036" spans="1:8" x14ac:dyDescent="0.25">
      <c r="A25036" s="1"/>
      <c r="B25036" s="1" t="s">
        <v>7328</v>
      </c>
      <c r="C25036" s="1" t="s">
        <v>7329</v>
      </c>
      <c r="D25036" s="22" t="str">
        <f>HYPERLINK("https://rhld.insurance.arkansas.gov/NPILookup?Npi=1457787426","1457787426")</f>
        <v>1457787426</v>
      </c>
      <c r="E25036" s="1" t="s">
        <v>27184</v>
      </c>
      <c r="F25036" s="2"/>
      <c r="G25036" s="2"/>
      <c r="H25036" s="2"/>
    </row>
    <row r="25037" spans="1:8" x14ac:dyDescent="0.25">
      <c r="A25037" s="1"/>
      <c r="B25037" s="1" t="s">
        <v>7328</v>
      </c>
      <c r="C25037" s="1" t="s">
        <v>7329</v>
      </c>
      <c r="D25037" s="22" t="str">
        <f>HYPERLINK("https://rhld.insurance.arkansas.gov/NPILookup?Npi=1457797839","1457797839")</f>
        <v>1457797839</v>
      </c>
      <c r="E25037" s="1" t="s">
        <v>13146</v>
      </c>
      <c r="F25037" s="2"/>
      <c r="G25037" s="2"/>
      <c r="H25037" s="2"/>
    </row>
    <row r="25038" spans="1:8" x14ac:dyDescent="0.25">
      <c r="A25038" s="1"/>
      <c r="B25038" s="1" t="s">
        <v>7328</v>
      </c>
      <c r="C25038" s="1" t="s">
        <v>7329</v>
      </c>
      <c r="D25038" s="22" t="str">
        <f>HYPERLINK("https://rhld.insurance.arkansas.gov/NPILookup?Npi=1457801342","1457801342")</f>
        <v>1457801342</v>
      </c>
      <c r="E25038" s="1" t="s">
        <v>1044</v>
      </c>
      <c r="F25038" s="2"/>
      <c r="G25038" s="2"/>
      <c r="H25038" s="2"/>
    </row>
    <row r="25039" spans="1:8" x14ac:dyDescent="0.25">
      <c r="A25039" s="1"/>
      <c r="B25039" s="1" t="s">
        <v>7328</v>
      </c>
      <c r="C25039" s="1" t="s">
        <v>7329</v>
      </c>
      <c r="D25039" s="22" t="str">
        <f>HYPERLINK("https://rhld.insurance.arkansas.gov/NPILookup?Npi=1457801797","1457801797")</f>
        <v>1457801797</v>
      </c>
      <c r="E25039" s="1" t="s">
        <v>27185</v>
      </c>
      <c r="F25039" s="2"/>
      <c r="G25039" s="2"/>
      <c r="H25039" s="2"/>
    </row>
    <row r="25040" spans="1:8" x14ac:dyDescent="0.25">
      <c r="A25040" s="1"/>
      <c r="B25040" s="1" t="s">
        <v>7328</v>
      </c>
      <c r="C25040" s="1" t="s">
        <v>7329</v>
      </c>
      <c r="D25040" s="22" t="str">
        <f>HYPERLINK("https://rhld.insurance.arkansas.gov/NPILookup?Npi=1457808362","1457808362")</f>
        <v>1457808362</v>
      </c>
      <c r="E25040" s="1" t="s">
        <v>27186</v>
      </c>
      <c r="F25040" s="2"/>
      <c r="G25040" s="2"/>
      <c r="H25040" s="2"/>
    </row>
    <row r="25041" spans="1:8" x14ac:dyDescent="0.25">
      <c r="A25041" s="1"/>
      <c r="B25041" s="1" t="s">
        <v>7328</v>
      </c>
      <c r="C25041" s="1" t="s">
        <v>7329</v>
      </c>
      <c r="D25041" s="22" t="str">
        <f>HYPERLINK("https://rhld.insurance.arkansas.gov/NPILookup?Npi=1457811556","1457811556")</f>
        <v>1457811556</v>
      </c>
      <c r="E25041" s="1" t="s">
        <v>27187</v>
      </c>
      <c r="F25041" s="2"/>
      <c r="G25041" s="2"/>
      <c r="H25041" s="2"/>
    </row>
    <row r="25042" spans="1:8" x14ac:dyDescent="0.25">
      <c r="A25042" s="1"/>
      <c r="B25042" s="1" t="s">
        <v>7328</v>
      </c>
      <c r="C25042" s="1" t="s">
        <v>7329</v>
      </c>
      <c r="D25042" s="22" t="str">
        <f>HYPERLINK("https://rhld.insurance.arkansas.gov/NPILookup?Npi=1457815755","1457815755")</f>
        <v>1457815755</v>
      </c>
      <c r="E25042" s="1" t="s">
        <v>27188</v>
      </c>
      <c r="F25042" s="2"/>
      <c r="G25042" s="2"/>
      <c r="H25042" s="2"/>
    </row>
    <row r="25043" spans="1:8" x14ac:dyDescent="0.25">
      <c r="A25043" s="1"/>
      <c r="B25043" s="1" t="s">
        <v>7328</v>
      </c>
      <c r="C25043" s="1" t="s">
        <v>7329</v>
      </c>
      <c r="D25043" s="22" t="str">
        <f>HYPERLINK("https://rhld.insurance.arkansas.gov/NPILookup?Npi=1457818353","1457818353")</f>
        <v>1457818353</v>
      </c>
      <c r="E25043" s="1" t="s">
        <v>27189</v>
      </c>
      <c r="F25043" s="2"/>
      <c r="G25043" s="2"/>
      <c r="H25043" s="2"/>
    </row>
    <row r="25044" spans="1:8" x14ac:dyDescent="0.25">
      <c r="A25044" s="1"/>
      <c r="B25044" s="1" t="s">
        <v>7328</v>
      </c>
      <c r="C25044" s="1" t="s">
        <v>7329</v>
      </c>
      <c r="D25044" s="22" t="str">
        <f>HYPERLINK("https://rhld.insurance.arkansas.gov/NPILookup?Npi=1457831794","1457831794")</f>
        <v>1457831794</v>
      </c>
      <c r="E25044" s="1" t="s">
        <v>27190</v>
      </c>
      <c r="F25044" s="2"/>
      <c r="G25044" s="2"/>
      <c r="H25044" s="2"/>
    </row>
    <row r="25045" spans="1:8" x14ac:dyDescent="0.25">
      <c r="A25045" s="1"/>
      <c r="B25045" s="1" t="s">
        <v>7328</v>
      </c>
      <c r="C25045" s="1" t="s">
        <v>7329</v>
      </c>
      <c r="D25045" s="22" t="str">
        <f>HYPERLINK("https://rhld.insurance.arkansas.gov/NPILookup?Npi=1457832842","1457832842")</f>
        <v>1457832842</v>
      </c>
      <c r="E25045" s="1" t="s">
        <v>27191</v>
      </c>
      <c r="F25045" s="2"/>
      <c r="G25045" s="2"/>
      <c r="H25045" s="2"/>
    </row>
    <row r="25046" spans="1:8" x14ac:dyDescent="0.25">
      <c r="A25046" s="1"/>
      <c r="B25046" s="1" t="s">
        <v>7328</v>
      </c>
      <c r="C25046" s="1" t="s">
        <v>7329</v>
      </c>
      <c r="D25046" s="22" t="str">
        <f>HYPERLINK("https://rhld.insurance.arkansas.gov/NPILookup?Npi=1457843740","1457843740")</f>
        <v>1457843740</v>
      </c>
      <c r="E25046" s="1" t="s">
        <v>27192</v>
      </c>
      <c r="F25046" s="2"/>
      <c r="G25046" s="2"/>
      <c r="H25046" s="2"/>
    </row>
    <row r="25047" spans="1:8" x14ac:dyDescent="0.25">
      <c r="A25047" s="1"/>
      <c r="B25047" s="1" t="s">
        <v>7328</v>
      </c>
      <c r="C25047" s="1" t="s">
        <v>7329</v>
      </c>
      <c r="D25047" s="22" t="str">
        <f>HYPERLINK("https://rhld.insurance.arkansas.gov/NPILookup?Npi=1457849713","1457849713")</f>
        <v>1457849713</v>
      </c>
      <c r="E25047" s="1" t="s">
        <v>27193</v>
      </c>
      <c r="F25047" s="2"/>
      <c r="G25047" s="2"/>
      <c r="H25047" s="2"/>
    </row>
    <row r="25048" spans="1:8" x14ac:dyDescent="0.25">
      <c r="A25048" s="1"/>
      <c r="B25048" s="1" t="s">
        <v>7328</v>
      </c>
      <c r="C25048" s="1" t="s">
        <v>7329</v>
      </c>
      <c r="D25048" s="22" t="str">
        <f>HYPERLINK("https://rhld.insurance.arkansas.gov/NPILookup?Npi=1457849929","1457849929")</f>
        <v>1457849929</v>
      </c>
      <c r="E25048" s="1" t="s">
        <v>27194</v>
      </c>
      <c r="F25048" s="2"/>
      <c r="G25048" s="2"/>
      <c r="H25048" s="2"/>
    </row>
    <row r="25049" spans="1:8" x14ac:dyDescent="0.25">
      <c r="A25049" s="1"/>
      <c r="B25049" s="1" t="s">
        <v>7328</v>
      </c>
      <c r="C25049" s="1" t="s">
        <v>7329</v>
      </c>
      <c r="D25049" s="22" t="str">
        <f>HYPERLINK("https://rhld.insurance.arkansas.gov/NPILookup?Npi=1457850372","1457850372")</f>
        <v>1457850372</v>
      </c>
      <c r="E25049" s="1" t="s">
        <v>10619</v>
      </c>
      <c r="F25049" s="2"/>
      <c r="G25049" s="2"/>
      <c r="H25049" s="2"/>
    </row>
    <row r="25050" spans="1:8" x14ac:dyDescent="0.25">
      <c r="A25050" s="1"/>
      <c r="B25050" s="1" t="s">
        <v>7328</v>
      </c>
      <c r="C25050" s="1" t="s">
        <v>7329</v>
      </c>
      <c r="D25050" s="22" t="str">
        <f>HYPERLINK("https://rhld.insurance.arkansas.gov/NPILookup?Npi=1457851404","1457851404")</f>
        <v>1457851404</v>
      </c>
      <c r="E25050" s="1" t="s">
        <v>27195</v>
      </c>
      <c r="F25050" s="2"/>
      <c r="G25050" s="2"/>
      <c r="H25050" s="2"/>
    </row>
    <row r="25051" spans="1:8" x14ac:dyDescent="0.25">
      <c r="A25051" s="1"/>
      <c r="B25051" s="1" t="s">
        <v>7328</v>
      </c>
      <c r="C25051" s="1" t="s">
        <v>7329</v>
      </c>
      <c r="D25051" s="22" t="str">
        <f>HYPERLINK("https://rhld.insurance.arkansas.gov/NPILookup?Npi=1457874208","1457874208")</f>
        <v>1457874208</v>
      </c>
      <c r="E25051" s="1" t="s">
        <v>27196</v>
      </c>
      <c r="F25051" s="2"/>
      <c r="G25051" s="2"/>
      <c r="H25051" s="2"/>
    </row>
    <row r="25052" spans="1:8" x14ac:dyDescent="0.25">
      <c r="A25052" s="1"/>
      <c r="B25052" s="1" t="s">
        <v>7328</v>
      </c>
      <c r="C25052" s="1" t="s">
        <v>7329</v>
      </c>
      <c r="D25052" s="22" t="str">
        <f>HYPERLINK("https://rhld.insurance.arkansas.gov/NPILookup?Npi=1457885352","1457885352")</f>
        <v>1457885352</v>
      </c>
      <c r="E25052" s="1" t="s">
        <v>477</v>
      </c>
      <c r="F25052" s="2"/>
      <c r="G25052" s="2"/>
      <c r="H25052" s="2"/>
    </row>
    <row r="25053" spans="1:8" x14ac:dyDescent="0.25">
      <c r="A25053" s="1"/>
      <c r="B25053" s="1" t="s">
        <v>7328</v>
      </c>
      <c r="C25053" s="1" t="s">
        <v>7329</v>
      </c>
      <c r="D25053" s="22" t="str">
        <f>HYPERLINK("https://rhld.insurance.arkansas.gov/NPILookup?Npi=1457899338","1457899338")</f>
        <v>1457899338</v>
      </c>
      <c r="E25053" s="1" t="s">
        <v>27197</v>
      </c>
      <c r="F25053" s="2"/>
      <c r="G25053" s="2"/>
      <c r="H25053" s="2"/>
    </row>
    <row r="25054" spans="1:8" x14ac:dyDescent="0.25">
      <c r="A25054" s="1"/>
      <c r="B25054" s="1" t="s">
        <v>7328</v>
      </c>
      <c r="C25054" s="1" t="s">
        <v>7329</v>
      </c>
      <c r="D25054" s="22" t="str">
        <f>HYPERLINK("https://rhld.insurance.arkansas.gov/NPILookup?Npi=1457905465","1457905465")</f>
        <v>1457905465</v>
      </c>
      <c r="E25054" s="1" t="s">
        <v>1389</v>
      </c>
      <c r="F25054" s="2"/>
      <c r="G25054" s="2"/>
      <c r="H25054" s="2"/>
    </row>
    <row r="25055" spans="1:8" x14ac:dyDescent="0.25">
      <c r="A25055" s="1"/>
      <c r="B25055" s="1" t="s">
        <v>7328</v>
      </c>
      <c r="C25055" s="1" t="s">
        <v>7329</v>
      </c>
      <c r="D25055" s="22" t="str">
        <f>HYPERLINK("https://rhld.insurance.arkansas.gov/NPILookup?Npi=1457906653","1457906653")</f>
        <v>1457906653</v>
      </c>
      <c r="E25055" s="1" t="s">
        <v>32237</v>
      </c>
      <c r="F25055" s="2"/>
      <c r="G25055" s="2"/>
      <c r="H25055" s="2"/>
    </row>
    <row r="25056" spans="1:8" x14ac:dyDescent="0.25">
      <c r="A25056" s="1"/>
      <c r="B25056" s="1" t="s">
        <v>7328</v>
      </c>
      <c r="C25056" s="1" t="s">
        <v>7329</v>
      </c>
      <c r="D25056" s="22" t="str">
        <f>HYPERLINK("https://rhld.insurance.arkansas.gov/NPILookup?Npi=1457924086","1457924086")</f>
        <v>1457924086</v>
      </c>
      <c r="E25056" s="1" t="s">
        <v>27198</v>
      </c>
      <c r="F25056" s="2"/>
      <c r="G25056" s="2"/>
      <c r="H25056" s="2"/>
    </row>
    <row r="25057" spans="1:8" x14ac:dyDescent="0.25">
      <c r="A25057" s="1"/>
      <c r="B25057" s="1" t="s">
        <v>7328</v>
      </c>
      <c r="C25057" s="1" t="s">
        <v>7329</v>
      </c>
      <c r="D25057" s="22" t="str">
        <f>HYPERLINK("https://rhld.insurance.arkansas.gov/NPILookup?Npi=1457924961","1457924961")</f>
        <v>1457924961</v>
      </c>
      <c r="E25057" s="1" t="s">
        <v>27199</v>
      </c>
      <c r="F25057" s="2"/>
      <c r="G25057" s="2"/>
      <c r="H25057" s="2"/>
    </row>
    <row r="25058" spans="1:8" x14ac:dyDescent="0.25">
      <c r="A25058" s="1"/>
      <c r="B25058" s="1" t="s">
        <v>7328</v>
      </c>
      <c r="C25058" s="1" t="s">
        <v>7329</v>
      </c>
      <c r="D25058" s="22" t="str">
        <f>HYPERLINK("https://rhld.insurance.arkansas.gov/NPILookup?Npi=1457930497","1457930497")</f>
        <v>1457930497</v>
      </c>
      <c r="E25058" s="1" t="s">
        <v>27200</v>
      </c>
      <c r="F25058" s="2"/>
      <c r="G25058" s="2"/>
      <c r="H25058" s="2"/>
    </row>
    <row r="25059" spans="1:8" x14ac:dyDescent="0.25">
      <c r="A25059" s="1"/>
      <c r="B25059" s="1" t="s">
        <v>7328</v>
      </c>
      <c r="C25059" s="1" t="s">
        <v>7329</v>
      </c>
      <c r="D25059" s="22" t="str">
        <f>HYPERLINK("https://rhld.insurance.arkansas.gov/NPILookup?Npi=1457935074","1457935074")</f>
        <v>1457935074</v>
      </c>
      <c r="E25059" s="1" t="s">
        <v>2382</v>
      </c>
      <c r="F25059" s="2"/>
      <c r="G25059" s="2"/>
      <c r="H25059" s="2"/>
    </row>
    <row r="25060" spans="1:8" x14ac:dyDescent="0.25">
      <c r="A25060" s="1"/>
      <c r="B25060" s="1" t="s">
        <v>7328</v>
      </c>
      <c r="C25060" s="1" t="s">
        <v>7329</v>
      </c>
      <c r="D25060" s="22" t="str">
        <f>HYPERLINK("https://rhld.insurance.arkansas.gov/NPILookup?Npi=1457940538","1457940538")</f>
        <v>1457940538</v>
      </c>
      <c r="E25060" s="1" t="s">
        <v>13147</v>
      </c>
      <c r="F25060" s="2"/>
      <c r="G25060" s="2"/>
      <c r="H25060" s="2"/>
    </row>
    <row r="25061" spans="1:8" x14ac:dyDescent="0.25">
      <c r="A25061" s="1"/>
      <c r="B25061" s="1" t="s">
        <v>7328</v>
      </c>
      <c r="C25061" s="1" t="s">
        <v>7329</v>
      </c>
      <c r="D25061" s="22" t="str">
        <f>HYPERLINK("https://rhld.insurance.arkansas.gov/NPILookup?Npi=1457942542","1457942542")</f>
        <v>1457942542</v>
      </c>
      <c r="E25061" s="1" t="s">
        <v>27201</v>
      </c>
      <c r="F25061" s="2"/>
      <c r="G25061" s="2"/>
      <c r="H25061" s="2"/>
    </row>
    <row r="25062" spans="1:8" x14ac:dyDescent="0.25">
      <c r="A25062" s="1"/>
      <c r="B25062" s="1" t="s">
        <v>7328</v>
      </c>
      <c r="C25062" s="1" t="s">
        <v>7329</v>
      </c>
      <c r="D25062" s="22" t="str">
        <f>HYPERLINK("https://rhld.insurance.arkansas.gov/NPILookup?Npi=1457958233","1457958233")</f>
        <v>1457958233</v>
      </c>
      <c r="E25062" s="1" t="s">
        <v>27202</v>
      </c>
      <c r="F25062" s="2"/>
      <c r="G25062" s="2"/>
      <c r="H25062" s="2"/>
    </row>
    <row r="25063" spans="1:8" x14ac:dyDescent="0.25">
      <c r="A25063" s="1"/>
      <c r="B25063" s="1" t="s">
        <v>7328</v>
      </c>
      <c r="C25063" s="1" t="s">
        <v>7329</v>
      </c>
      <c r="D25063" s="22" t="str">
        <f>HYPERLINK("https://rhld.insurance.arkansas.gov/NPILookup?Npi=1457968521","1457968521")</f>
        <v>1457968521</v>
      </c>
      <c r="E25063" s="1" t="s">
        <v>27203</v>
      </c>
      <c r="F25063" s="2"/>
      <c r="G25063" s="2"/>
      <c r="H25063" s="2"/>
    </row>
    <row r="25064" spans="1:8" x14ac:dyDescent="0.25">
      <c r="A25064" s="1"/>
      <c r="B25064" s="1" t="s">
        <v>7328</v>
      </c>
      <c r="C25064" s="1" t="s">
        <v>7329</v>
      </c>
      <c r="D25064" s="22" t="str">
        <f>HYPERLINK("https://rhld.insurance.arkansas.gov/NPILookup?Npi=1457978173","1457978173")</f>
        <v>1457978173</v>
      </c>
      <c r="E25064" s="1" t="s">
        <v>27204</v>
      </c>
      <c r="F25064" s="2"/>
      <c r="G25064" s="2"/>
      <c r="H25064" s="2"/>
    </row>
    <row r="25065" spans="1:8" x14ac:dyDescent="0.25">
      <c r="A25065" s="1"/>
      <c r="B25065" s="1" t="s">
        <v>7328</v>
      </c>
      <c r="C25065" s="1" t="s">
        <v>7329</v>
      </c>
      <c r="D25065" s="22" t="str">
        <f>HYPERLINK("https://rhld.insurance.arkansas.gov/NPILookup?Npi=1457990889","1457990889")</f>
        <v>1457990889</v>
      </c>
      <c r="E25065" s="1" t="s">
        <v>2841</v>
      </c>
      <c r="F25065" s="2"/>
      <c r="G25065" s="2"/>
      <c r="H25065" s="2"/>
    </row>
    <row r="25066" spans="1:8" x14ac:dyDescent="0.25">
      <c r="A25066" s="1"/>
      <c r="B25066" s="1" t="s">
        <v>7328</v>
      </c>
      <c r="C25066" s="1" t="s">
        <v>7329</v>
      </c>
      <c r="D25066" s="22" t="str">
        <f>HYPERLINK("https://rhld.insurance.arkansas.gov/NPILookup?Npi=1467002691","1467002691")</f>
        <v>1467002691</v>
      </c>
      <c r="E25066" s="1" t="s">
        <v>7775</v>
      </c>
      <c r="F25066" s="2"/>
      <c r="G25066" s="2"/>
      <c r="H25066" s="2"/>
    </row>
    <row r="25067" spans="1:8" x14ac:dyDescent="0.25">
      <c r="A25067" s="1"/>
      <c r="B25067" s="1" t="s">
        <v>7328</v>
      </c>
      <c r="C25067" s="1" t="s">
        <v>7329</v>
      </c>
      <c r="D25067" s="22" t="str">
        <f>HYPERLINK("https://rhld.insurance.arkansas.gov/NPILookup?Npi=1467011239","1467011239")</f>
        <v>1467011239</v>
      </c>
      <c r="E25067" s="1" t="s">
        <v>27205</v>
      </c>
      <c r="F25067" s="2"/>
      <c r="G25067" s="2"/>
      <c r="H25067" s="2"/>
    </row>
    <row r="25068" spans="1:8" x14ac:dyDescent="0.25">
      <c r="A25068" s="1"/>
      <c r="B25068" s="1" t="s">
        <v>7328</v>
      </c>
      <c r="C25068" s="1" t="s">
        <v>7329</v>
      </c>
      <c r="D25068" s="22" t="str">
        <f>HYPERLINK("https://rhld.insurance.arkansas.gov/NPILookup?Npi=1467020529","1467020529")</f>
        <v>1467020529</v>
      </c>
      <c r="E25068" s="1" t="s">
        <v>13148</v>
      </c>
      <c r="F25068" s="2"/>
      <c r="G25068" s="2"/>
      <c r="H25068" s="2"/>
    </row>
    <row r="25069" spans="1:8" x14ac:dyDescent="0.25">
      <c r="A25069" s="1"/>
      <c r="B25069" s="1" t="s">
        <v>7328</v>
      </c>
      <c r="C25069" s="1" t="s">
        <v>7329</v>
      </c>
      <c r="D25069" s="22" t="str">
        <f>HYPERLINK("https://rhld.insurance.arkansas.gov/NPILookup?Npi=1467022723","1467022723")</f>
        <v>1467022723</v>
      </c>
      <c r="E25069" s="1" t="s">
        <v>13149</v>
      </c>
      <c r="F25069" s="2"/>
      <c r="G25069" s="2"/>
      <c r="H25069" s="2"/>
    </row>
    <row r="25070" spans="1:8" x14ac:dyDescent="0.25">
      <c r="A25070" s="1"/>
      <c r="B25070" s="1" t="s">
        <v>7328</v>
      </c>
      <c r="C25070" s="1" t="s">
        <v>7329</v>
      </c>
      <c r="D25070" s="22" t="str">
        <f>HYPERLINK("https://rhld.insurance.arkansas.gov/NPILookup?Npi=1467040923","1467040923")</f>
        <v>1467040923</v>
      </c>
      <c r="E25070" s="1" t="s">
        <v>13150</v>
      </c>
      <c r="F25070" s="2"/>
      <c r="G25070" s="2"/>
      <c r="H25070" s="2"/>
    </row>
    <row r="25071" spans="1:8" x14ac:dyDescent="0.25">
      <c r="A25071" s="1"/>
      <c r="B25071" s="1" t="s">
        <v>7328</v>
      </c>
      <c r="C25071" s="1" t="s">
        <v>7329</v>
      </c>
      <c r="D25071" s="22" t="str">
        <f>HYPERLINK("https://rhld.insurance.arkansas.gov/NPILookup?Npi=1467041046","1467041046")</f>
        <v>1467041046</v>
      </c>
      <c r="E25071" s="1" t="s">
        <v>27206</v>
      </c>
      <c r="F25071" s="2"/>
      <c r="G25071" s="2"/>
      <c r="H25071" s="2"/>
    </row>
    <row r="25072" spans="1:8" x14ac:dyDescent="0.25">
      <c r="A25072" s="1"/>
      <c r="B25072" s="1" t="s">
        <v>7328</v>
      </c>
      <c r="C25072" s="1" t="s">
        <v>7329</v>
      </c>
      <c r="D25072" s="22" t="str">
        <f>HYPERLINK("https://rhld.insurance.arkansas.gov/NPILookup?Npi=1467043026","1467043026")</f>
        <v>1467043026</v>
      </c>
      <c r="E25072" s="1" t="s">
        <v>27207</v>
      </c>
      <c r="F25072" s="2"/>
      <c r="G25072" s="2"/>
      <c r="H25072" s="2"/>
    </row>
    <row r="25073" spans="1:8" x14ac:dyDescent="0.25">
      <c r="A25073" s="1"/>
      <c r="B25073" s="1" t="s">
        <v>7328</v>
      </c>
      <c r="C25073" s="1" t="s">
        <v>7329</v>
      </c>
      <c r="D25073" s="22" t="str">
        <f>HYPERLINK("https://rhld.insurance.arkansas.gov/NPILookup?Npi=1467043224","1467043224")</f>
        <v>1467043224</v>
      </c>
      <c r="E25073" s="1" t="s">
        <v>27208</v>
      </c>
      <c r="F25073" s="2"/>
      <c r="G25073" s="2"/>
      <c r="H25073" s="2"/>
    </row>
    <row r="25074" spans="1:8" x14ac:dyDescent="0.25">
      <c r="A25074" s="1"/>
      <c r="B25074" s="1" t="s">
        <v>7328</v>
      </c>
      <c r="C25074" s="1" t="s">
        <v>7329</v>
      </c>
      <c r="D25074" s="22" t="str">
        <f>HYPERLINK("https://rhld.insurance.arkansas.gov/NPILookup?Npi=1467051029","1467051029")</f>
        <v>1467051029</v>
      </c>
      <c r="E25074" s="1" t="s">
        <v>27209</v>
      </c>
      <c r="F25074" s="2"/>
      <c r="G25074" s="2"/>
      <c r="H25074" s="2"/>
    </row>
    <row r="25075" spans="1:8" x14ac:dyDescent="0.25">
      <c r="A25075" s="1"/>
      <c r="B25075" s="1" t="s">
        <v>7328</v>
      </c>
      <c r="C25075" s="1" t="s">
        <v>7329</v>
      </c>
      <c r="D25075" s="22" t="str">
        <f>HYPERLINK("https://rhld.insurance.arkansas.gov/NPILookup?Npi=1467063792","1467063792")</f>
        <v>1467063792</v>
      </c>
      <c r="E25075" s="1" t="s">
        <v>2842</v>
      </c>
      <c r="F25075" s="2"/>
      <c r="G25075" s="2"/>
      <c r="H25075" s="2"/>
    </row>
    <row r="25076" spans="1:8" x14ac:dyDescent="0.25">
      <c r="A25076" s="1"/>
      <c r="B25076" s="1" t="s">
        <v>7328</v>
      </c>
      <c r="C25076" s="1" t="s">
        <v>7329</v>
      </c>
      <c r="D25076" s="22" t="str">
        <f>HYPERLINK("https://rhld.insurance.arkansas.gov/NPILookup?Npi=1467065250","1467065250")</f>
        <v>1467065250</v>
      </c>
      <c r="E25076" s="1" t="s">
        <v>27210</v>
      </c>
      <c r="F25076" s="2"/>
      <c r="G25076" s="2"/>
      <c r="H25076" s="2"/>
    </row>
    <row r="25077" spans="1:8" x14ac:dyDescent="0.25">
      <c r="A25077" s="1"/>
      <c r="B25077" s="1" t="s">
        <v>7328</v>
      </c>
      <c r="C25077" s="1" t="s">
        <v>7329</v>
      </c>
      <c r="D25077" s="22" t="str">
        <f>HYPERLINK("https://rhld.insurance.arkansas.gov/NPILookup?Npi=1467071902","1467071902")</f>
        <v>1467071902</v>
      </c>
      <c r="E25077" s="1" t="s">
        <v>3966</v>
      </c>
      <c r="F25077" s="2"/>
      <c r="G25077" s="2"/>
      <c r="H25077" s="2"/>
    </row>
    <row r="25078" spans="1:8" x14ac:dyDescent="0.25">
      <c r="A25078" s="1"/>
      <c r="B25078" s="1" t="s">
        <v>7328</v>
      </c>
      <c r="C25078" s="1" t="s">
        <v>7329</v>
      </c>
      <c r="D25078" s="22" t="str">
        <f>HYPERLINK("https://rhld.insurance.arkansas.gov/NPILookup?Npi=1467081000","1467081000")</f>
        <v>1467081000</v>
      </c>
      <c r="E25078" s="1" t="s">
        <v>27211</v>
      </c>
      <c r="F25078" s="2"/>
      <c r="G25078" s="2"/>
      <c r="H25078" s="2"/>
    </row>
    <row r="25079" spans="1:8" x14ac:dyDescent="0.25">
      <c r="A25079" s="1"/>
      <c r="B25079" s="1" t="s">
        <v>7328</v>
      </c>
      <c r="C25079" s="1" t="s">
        <v>7329</v>
      </c>
      <c r="D25079" s="22" t="str">
        <f>HYPERLINK("https://rhld.insurance.arkansas.gov/NPILookup?Npi=1467084384","1467084384")</f>
        <v>1467084384</v>
      </c>
      <c r="E25079" s="1" t="s">
        <v>1668</v>
      </c>
      <c r="F25079" s="2"/>
      <c r="G25079" s="2"/>
      <c r="H25079" s="2"/>
    </row>
    <row r="25080" spans="1:8" x14ac:dyDescent="0.25">
      <c r="A25080" s="1"/>
      <c r="B25080" s="1" t="s">
        <v>7328</v>
      </c>
      <c r="C25080" s="1" t="s">
        <v>7329</v>
      </c>
      <c r="D25080" s="22" t="str">
        <f>HYPERLINK("https://rhld.insurance.arkansas.gov/NPILookup?Npi=1467101527","1467101527")</f>
        <v>1467101527</v>
      </c>
      <c r="E25080" s="1" t="s">
        <v>27212</v>
      </c>
      <c r="F25080" s="2"/>
      <c r="G25080" s="2"/>
      <c r="H25080" s="2"/>
    </row>
    <row r="25081" spans="1:8" x14ac:dyDescent="0.25">
      <c r="A25081" s="1"/>
      <c r="B25081" s="1" t="s">
        <v>7328</v>
      </c>
      <c r="C25081" s="1" t="s">
        <v>7329</v>
      </c>
      <c r="D25081" s="22" t="str">
        <f>HYPERLINK("https://rhld.insurance.arkansas.gov/NPILookup?Npi=1467106971","1467106971")</f>
        <v>1467106971</v>
      </c>
      <c r="E25081" s="1" t="s">
        <v>2383</v>
      </c>
      <c r="F25081" s="2"/>
      <c r="G25081" s="2"/>
      <c r="H25081" s="2"/>
    </row>
    <row r="25082" spans="1:8" x14ac:dyDescent="0.25">
      <c r="A25082" s="1"/>
      <c r="B25082" s="1" t="s">
        <v>7328</v>
      </c>
      <c r="C25082" s="1" t="s">
        <v>7329</v>
      </c>
      <c r="D25082" s="22" t="str">
        <f>HYPERLINK("https://rhld.insurance.arkansas.gov/NPILookup?Npi=1467121871","1467121871")</f>
        <v>1467121871</v>
      </c>
      <c r="E25082" s="1" t="s">
        <v>27213</v>
      </c>
      <c r="F25082" s="2"/>
      <c r="G25082" s="2"/>
      <c r="H25082" s="2"/>
    </row>
    <row r="25083" spans="1:8" x14ac:dyDescent="0.25">
      <c r="A25083" s="1"/>
      <c r="B25083" s="1" t="s">
        <v>7328</v>
      </c>
      <c r="C25083" s="1" t="s">
        <v>7329</v>
      </c>
      <c r="D25083" s="22" t="str">
        <f>HYPERLINK("https://rhld.insurance.arkansas.gov/NPILookup?Npi=1467133074","1467133074")</f>
        <v>1467133074</v>
      </c>
      <c r="E25083" s="1" t="s">
        <v>32238</v>
      </c>
      <c r="F25083" s="2"/>
      <c r="G25083" s="2"/>
      <c r="H25083" s="2"/>
    </row>
    <row r="25084" spans="1:8" x14ac:dyDescent="0.25">
      <c r="A25084" s="1"/>
      <c r="B25084" s="1" t="s">
        <v>7328</v>
      </c>
      <c r="C25084" s="1" t="s">
        <v>7329</v>
      </c>
      <c r="D25084" s="22" t="str">
        <f>HYPERLINK("https://rhld.insurance.arkansas.gov/NPILookup?Npi=1467151902","1467151902")</f>
        <v>1467151902</v>
      </c>
      <c r="E25084" s="1" t="s">
        <v>7777</v>
      </c>
      <c r="F25084" s="2"/>
      <c r="G25084" s="2"/>
      <c r="H25084" s="2"/>
    </row>
    <row r="25085" spans="1:8" x14ac:dyDescent="0.25">
      <c r="A25085" s="1"/>
      <c r="B25085" s="1" t="s">
        <v>7328</v>
      </c>
      <c r="C25085" s="1" t="s">
        <v>7329</v>
      </c>
      <c r="D25085" s="22" t="str">
        <f>HYPERLINK("https://rhld.insurance.arkansas.gov/NPILookup?Npi=1467158105","1467158105")</f>
        <v>1467158105</v>
      </c>
      <c r="E25085" s="1" t="s">
        <v>7778</v>
      </c>
      <c r="F25085" s="2"/>
      <c r="G25085" s="2"/>
      <c r="H25085" s="2"/>
    </row>
    <row r="25086" spans="1:8" x14ac:dyDescent="0.25">
      <c r="A25086" s="1"/>
      <c r="B25086" s="1" t="s">
        <v>7328</v>
      </c>
      <c r="C25086" s="1" t="s">
        <v>7329</v>
      </c>
      <c r="D25086" s="22" t="str">
        <f>HYPERLINK("https://rhld.insurance.arkansas.gov/NPILookup?Npi=1467164475","1467164475")</f>
        <v>1467164475</v>
      </c>
      <c r="E25086" s="1" t="s">
        <v>32239</v>
      </c>
      <c r="F25086" s="2"/>
      <c r="G25086" s="2"/>
      <c r="H25086" s="2"/>
    </row>
    <row r="25087" spans="1:8" x14ac:dyDescent="0.25">
      <c r="A25087" s="1"/>
      <c r="B25087" s="1" t="s">
        <v>7328</v>
      </c>
      <c r="C25087" s="1" t="s">
        <v>7329</v>
      </c>
      <c r="D25087" s="22" t="str">
        <f>HYPERLINK("https://rhld.insurance.arkansas.gov/NPILookup?Npi=1467187120","1467187120")</f>
        <v>1467187120</v>
      </c>
      <c r="E25087" s="1" t="s">
        <v>7779</v>
      </c>
      <c r="F25087" s="2"/>
      <c r="G25087" s="2"/>
      <c r="H25087" s="2"/>
    </row>
    <row r="25088" spans="1:8" x14ac:dyDescent="0.25">
      <c r="A25088" s="1"/>
      <c r="B25088" s="1" t="s">
        <v>7328</v>
      </c>
      <c r="C25088" s="1" t="s">
        <v>7329</v>
      </c>
      <c r="D25088" s="22" t="str">
        <f>HYPERLINK("https://rhld.insurance.arkansas.gov/NPILookup?Npi=1467218990","1467218990")</f>
        <v>1467218990</v>
      </c>
      <c r="E25088" s="1" t="s">
        <v>32240</v>
      </c>
      <c r="F25088" s="2"/>
      <c r="G25088" s="2"/>
      <c r="H25088" s="2"/>
    </row>
    <row r="25089" spans="1:8" x14ac:dyDescent="0.25">
      <c r="A25089" s="1"/>
      <c r="B25089" s="1" t="s">
        <v>7328</v>
      </c>
      <c r="C25089" s="1" t="s">
        <v>7329</v>
      </c>
      <c r="D25089" s="22" t="str">
        <f>HYPERLINK("https://rhld.insurance.arkansas.gov/NPILookup?Npi=1467230334","1467230334")</f>
        <v>1467230334</v>
      </c>
      <c r="E25089" s="1" t="s">
        <v>32241</v>
      </c>
      <c r="F25089" s="2"/>
      <c r="G25089" s="2"/>
      <c r="H25089" s="2"/>
    </row>
    <row r="25090" spans="1:8" x14ac:dyDescent="0.25">
      <c r="A25090" s="1"/>
      <c r="B25090" s="1" t="s">
        <v>7328</v>
      </c>
      <c r="C25090" s="1" t="s">
        <v>7329</v>
      </c>
      <c r="D25090" s="22" t="str">
        <f>HYPERLINK("https://rhld.insurance.arkansas.gov/NPILookup?Npi=1467251470","1467251470")</f>
        <v>1467251470</v>
      </c>
      <c r="E25090" s="1" t="s">
        <v>32242</v>
      </c>
      <c r="F25090" s="2"/>
      <c r="G25090" s="2"/>
      <c r="H25090" s="2"/>
    </row>
    <row r="25091" spans="1:8" x14ac:dyDescent="0.25">
      <c r="A25091" s="1"/>
      <c r="B25091" s="1" t="s">
        <v>7328</v>
      </c>
      <c r="C25091" s="1" t="s">
        <v>7329</v>
      </c>
      <c r="D25091" s="22" t="str">
        <f>HYPERLINK("https://rhld.insurance.arkansas.gov/NPILookup?Npi=1467410241","1467410241")</f>
        <v>1467410241</v>
      </c>
      <c r="E25091" s="1" t="s">
        <v>7780</v>
      </c>
      <c r="F25091" s="2"/>
      <c r="G25091" s="2"/>
      <c r="H25091" s="2"/>
    </row>
    <row r="25092" spans="1:8" x14ac:dyDescent="0.25">
      <c r="A25092" s="1"/>
      <c r="B25092" s="1" t="s">
        <v>7328</v>
      </c>
      <c r="C25092" s="1" t="s">
        <v>7329</v>
      </c>
      <c r="D25092" s="22" t="str">
        <f>HYPERLINK("https://rhld.insurance.arkansas.gov/NPILookup?Npi=1467416149","1467416149")</f>
        <v>1467416149</v>
      </c>
      <c r="E25092" s="1" t="s">
        <v>27214</v>
      </c>
      <c r="F25092" s="2"/>
      <c r="G25092" s="2"/>
      <c r="H25092" s="2"/>
    </row>
    <row r="25093" spans="1:8" x14ac:dyDescent="0.25">
      <c r="A25093" s="1"/>
      <c r="B25093" s="1" t="s">
        <v>7328</v>
      </c>
      <c r="C25093" s="1" t="s">
        <v>7329</v>
      </c>
      <c r="D25093" s="22" t="str">
        <f>HYPERLINK("https://rhld.insurance.arkansas.gov/NPILookup?Npi=1467418749","1467418749")</f>
        <v>1467418749</v>
      </c>
      <c r="E25093" s="1" t="s">
        <v>27215</v>
      </c>
      <c r="F25093" s="2"/>
      <c r="G25093" s="2"/>
      <c r="H25093" s="2"/>
    </row>
    <row r="25094" spans="1:8" x14ac:dyDescent="0.25">
      <c r="A25094" s="1"/>
      <c r="B25094" s="1" t="s">
        <v>7328</v>
      </c>
      <c r="C25094" s="1" t="s">
        <v>7329</v>
      </c>
      <c r="D25094" s="22" t="str">
        <f>HYPERLINK("https://rhld.insurance.arkansas.gov/NPILookup?Npi=1467419036","1467419036")</f>
        <v>1467419036</v>
      </c>
      <c r="E25094" s="1" t="s">
        <v>13151</v>
      </c>
      <c r="F25094" s="2"/>
      <c r="G25094" s="2"/>
      <c r="H25094" s="2"/>
    </row>
    <row r="25095" spans="1:8" x14ac:dyDescent="0.25">
      <c r="A25095" s="1"/>
      <c r="B25095" s="1" t="s">
        <v>7328</v>
      </c>
      <c r="C25095" s="1" t="s">
        <v>7329</v>
      </c>
      <c r="D25095" s="22" t="str">
        <f>HYPERLINK("https://rhld.insurance.arkansas.gov/NPILookup?Npi=1467420570","1467420570")</f>
        <v>1467420570</v>
      </c>
      <c r="E25095" s="1" t="s">
        <v>27216</v>
      </c>
      <c r="F25095" s="2"/>
      <c r="G25095" s="2"/>
      <c r="H25095" s="2"/>
    </row>
    <row r="25096" spans="1:8" x14ac:dyDescent="0.25">
      <c r="A25096" s="1"/>
      <c r="B25096" s="1" t="s">
        <v>7328</v>
      </c>
      <c r="C25096" s="1" t="s">
        <v>7329</v>
      </c>
      <c r="D25096" s="22" t="str">
        <f>HYPERLINK("https://rhld.insurance.arkansas.gov/NPILookup?Npi=1467422048","1467422048")</f>
        <v>1467422048</v>
      </c>
      <c r="E25096" s="1" t="s">
        <v>7781</v>
      </c>
      <c r="F25096" s="2"/>
      <c r="G25096" s="2"/>
      <c r="H25096" s="2"/>
    </row>
    <row r="25097" spans="1:8" x14ac:dyDescent="0.25">
      <c r="A25097" s="1"/>
      <c r="B25097" s="1" t="s">
        <v>7328</v>
      </c>
      <c r="C25097" s="1" t="s">
        <v>7329</v>
      </c>
      <c r="D25097" s="22" t="str">
        <f>HYPERLINK("https://rhld.insurance.arkansas.gov/NPILookup?Npi=1467422766","1467422766")</f>
        <v>1467422766</v>
      </c>
      <c r="E25097" s="1" t="s">
        <v>2843</v>
      </c>
      <c r="F25097" s="2"/>
      <c r="G25097" s="2"/>
      <c r="H25097" s="2"/>
    </row>
    <row r="25098" spans="1:8" x14ac:dyDescent="0.25">
      <c r="A25098" s="1"/>
      <c r="B25098" s="1" t="s">
        <v>7328</v>
      </c>
      <c r="C25098" s="1" t="s">
        <v>7329</v>
      </c>
      <c r="D25098" s="22" t="str">
        <f>HYPERLINK("https://rhld.insurance.arkansas.gov/NPILookup?Npi=1467428441","1467428441")</f>
        <v>1467428441</v>
      </c>
      <c r="E25098" s="1" t="s">
        <v>13152</v>
      </c>
      <c r="F25098" s="2"/>
      <c r="G25098" s="2"/>
      <c r="H25098" s="2"/>
    </row>
    <row r="25099" spans="1:8" x14ac:dyDescent="0.25">
      <c r="A25099" s="1"/>
      <c r="B25099" s="1" t="s">
        <v>7328</v>
      </c>
      <c r="C25099" s="1" t="s">
        <v>7329</v>
      </c>
      <c r="D25099" s="22" t="str">
        <f>HYPERLINK("https://rhld.insurance.arkansas.gov/NPILookup?Npi=1467428847","1467428847")</f>
        <v>1467428847</v>
      </c>
      <c r="E25099" s="1" t="s">
        <v>27217</v>
      </c>
      <c r="F25099" s="2"/>
      <c r="G25099" s="2"/>
      <c r="H25099" s="2"/>
    </row>
    <row r="25100" spans="1:8" x14ac:dyDescent="0.25">
      <c r="A25100" s="1"/>
      <c r="B25100" s="1" t="s">
        <v>7328</v>
      </c>
      <c r="C25100" s="1" t="s">
        <v>7329</v>
      </c>
      <c r="D25100" s="22" t="str">
        <f>HYPERLINK("https://rhld.insurance.arkansas.gov/NPILookup?Npi=1467436725","1467436725")</f>
        <v>1467436725</v>
      </c>
      <c r="E25100" s="1" t="s">
        <v>2844</v>
      </c>
      <c r="F25100" s="2"/>
      <c r="G25100" s="2"/>
      <c r="H25100" s="2"/>
    </row>
    <row r="25101" spans="1:8" x14ac:dyDescent="0.25">
      <c r="A25101" s="1"/>
      <c r="B25101" s="1" t="s">
        <v>7328</v>
      </c>
      <c r="C25101" s="1" t="s">
        <v>7329</v>
      </c>
      <c r="D25101" s="22" t="str">
        <f>HYPERLINK("https://rhld.insurance.arkansas.gov/NPILookup?Npi=1467436758","1467436758")</f>
        <v>1467436758</v>
      </c>
      <c r="E25101" s="1" t="s">
        <v>17551</v>
      </c>
      <c r="F25101" s="2"/>
      <c r="G25101" s="2"/>
      <c r="H25101" s="2"/>
    </row>
    <row r="25102" spans="1:8" x14ac:dyDescent="0.25">
      <c r="A25102" s="1"/>
      <c r="B25102" s="1" t="s">
        <v>7328</v>
      </c>
      <c r="C25102" s="1" t="s">
        <v>7329</v>
      </c>
      <c r="D25102" s="22" t="str">
        <f>HYPERLINK("https://rhld.insurance.arkansas.gov/NPILookup?Npi=1467448837","1467448837")</f>
        <v>1467448837</v>
      </c>
      <c r="E25102" s="1" t="s">
        <v>27218</v>
      </c>
      <c r="F25102" s="2"/>
      <c r="G25102" s="2"/>
      <c r="H25102" s="2"/>
    </row>
    <row r="25103" spans="1:8" x14ac:dyDescent="0.25">
      <c r="A25103" s="1"/>
      <c r="B25103" s="1" t="s">
        <v>7328</v>
      </c>
      <c r="C25103" s="1" t="s">
        <v>7329</v>
      </c>
      <c r="D25103" s="22" t="str">
        <f>HYPERLINK("https://rhld.insurance.arkansas.gov/NPILookup?Npi=1467452995","1467452995")</f>
        <v>1467452995</v>
      </c>
      <c r="E25103" s="1" t="s">
        <v>27219</v>
      </c>
      <c r="F25103" s="2"/>
      <c r="G25103" s="2"/>
      <c r="H25103" s="2"/>
    </row>
    <row r="25104" spans="1:8" x14ac:dyDescent="0.25">
      <c r="A25104" s="1"/>
      <c r="B25104" s="1" t="s">
        <v>7328</v>
      </c>
      <c r="C25104" s="1" t="s">
        <v>7329</v>
      </c>
      <c r="D25104" s="22" t="str">
        <f>HYPERLINK("https://rhld.insurance.arkansas.gov/NPILookup?Npi=1467459370","1467459370")</f>
        <v>1467459370</v>
      </c>
      <c r="E25104" s="1" t="s">
        <v>27220</v>
      </c>
      <c r="F25104" s="2"/>
      <c r="G25104" s="2"/>
      <c r="H25104" s="2"/>
    </row>
    <row r="25105" spans="1:8" x14ac:dyDescent="0.25">
      <c r="A25105" s="1"/>
      <c r="B25105" s="1" t="s">
        <v>7328</v>
      </c>
      <c r="C25105" s="1" t="s">
        <v>7329</v>
      </c>
      <c r="D25105" s="22" t="str">
        <f>HYPERLINK("https://rhld.insurance.arkansas.gov/NPILookup?Npi=1467472464","1467472464")</f>
        <v>1467472464</v>
      </c>
      <c r="E25105" s="1" t="s">
        <v>13153</v>
      </c>
      <c r="F25105" s="2"/>
      <c r="G25105" s="2"/>
      <c r="H25105" s="2"/>
    </row>
    <row r="25106" spans="1:8" x14ac:dyDescent="0.25">
      <c r="A25106" s="1"/>
      <c r="B25106" s="1" t="s">
        <v>7328</v>
      </c>
      <c r="C25106" s="1" t="s">
        <v>7329</v>
      </c>
      <c r="D25106" s="22" t="str">
        <f>HYPERLINK("https://rhld.insurance.arkansas.gov/NPILookup?Npi=1467474981","1467474981")</f>
        <v>1467474981</v>
      </c>
      <c r="E25106" s="1" t="s">
        <v>27221</v>
      </c>
      <c r="F25106" s="2"/>
      <c r="G25106" s="2"/>
      <c r="H25106" s="2"/>
    </row>
    <row r="25107" spans="1:8" x14ac:dyDescent="0.25">
      <c r="A25107" s="1"/>
      <c r="B25107" s="1" t="s">
        <v>7328</v>
      </c>
      <c r="C25107" s="1" t="s">
        <v>7329</v>
      </c>
      <c r="D25107" s="22" t="str">
        <f>HYPERLINK("https://rhld.insurance.arkansas.gov/NPILookup?Npi=1467487751","1467487751")</f>
        <v>1467487751</v>
      </c>
      <c r="E25107" s="1" t="s">
        <v>27222</v>
      </c>
      <c r="F25107" s="2"/>
      <c r="G25107" s="2"/>
      <c r="H25107" s="2"/>
    </row>
    <row r="25108" spans="1:8" x14ac:dyDescent="0.25">
      <c r="A25108" s="1"/>
      <c r="B25108" s="1" t="s">
        <v>7328</v>
      </c>
      <c r="C25108" s="1" t="s">
        <v>7329</v>
      </c>
      <c r="D25108" s="22" t="str">
        <f>HYPERLINK("https://rhld.insurance.arkansas.gov/NPILookup?Npi=1467488791","1467488791")</f>
        <v>1467488791</v>
      </c>
      <c r="E25108" s="1" t="s">
        <v>10322</v>
      </c>
      <c r="F25108" s="2"/>
      <c r="G25108" s="2"/>
      <c r="H25108" s="2"/>
    </row>
    <row r="25109" spans="1:8" x14ac:dyDescent="0.25">
      <c r="A25109" s="1"/>
      <c r="B25109" s="1" t="s">
        <v>7328</v>
      </c>
      <c r="C25109" s="1" t="s">
        <v>7329</v>
      </c>
      <c r="D25109" s="22" t="str">
        <f>HYPERLINK("https://rhld.insurance.arkansas.gov/NPILookup?Npi=1467494617","1467494617")</f>
        <v>1467494617</v>
      </c>
      <c r="E25109" s="1" t="s">
        <v>2845</v>
      </c>
      <c r="F25109" s="2"/>
      <c r="G25109" s="2"/>
      <c r="H25109" s="2"/>
    </row>
    <row r="25110" spans="1:8" x14ac:dyDescent="0.25">
      <c r="A25110" s="1"/>
      <c r="B25110" s="1" t="s">
        <v>7328</v>
      </c>
      <c r="C25110" s="1" t="s">
        <v>7329</v>
      </c>
      <c r="D25110" s="22" t="str">
        <f>HYPERLINK("https://rhld.insurance.arkansas.gov/NPILookup?Npi=1467498154","1467498154")</f>
        <v>1467498154</v>
      </c>
      <c r="E25110" s="1" t="s">
        <v>17554</v>
      </c>
      <c r="F25110" s="2"/>
      <c r="G25110" s="2"/>
      <c r="H25110" s="2"/>
    </row>
    <row r="25111" spans="1:8" x14ac:dyDescent="0.25">
      <c r="A25111" s="1"/>
      <c r="B25111" s="1" t="s">
        <v>7328</v>
      </c>
      <c r="C25111" s="1" t="s">
        <v>7329</v>
      </c>
      <c r="D25111" s="22" t="str">
        <f>HYPERLINK("https://rhld.insurance.arkansas.gov/NPILookup?Npi=1467498774","1467498774")</f>
        <v>1467498774</v>
      </c>
      <c r="E25111" s="1" t="s">
        <v>27223</v>
      </c>
      <c r="F25111" s="2"/>
      <c r="G25111" s="2"/>
      <c r="H25111" s="2"/>
    </row>
    <row r="25112" spans="1:8" x14ac:dyDescent="0.25">
      <c r="A25112" s="1"/>
      <c r="B25112" s="1" t="s">
        <v>7328</v>
      </c>
      <c r="C25112" s="1" t="s">
        <v>7329</v>
      </c>
      <c r="D25112" s="22" t="str">
        <f>HYPERLINK("https://rhld.insurance.arkansas.gov/NPILookup?Npi=1467519165","1467519165")</f>
        <v>1467519165</v>
      </c>
      <c r="E25112" s="1" t="s">
        <v>27224</v>
      </c>
      <c r="F25112" s="2"/>
      <c r="G25112" s="2"/>
      <c r="H25112" s="2"/>
    </row>
    <row r="25113" spans="1:8" x14ac:dyDescent="0.25">
      <c r="A25113" s="1"/>
      <c r="B25113" s="1" t="s">
        <v>7328</v>
      </c>
      <c r="C25113" s="1" t="s">
        <v>7329</v>
      </c>
      <c r="D25113" s="22" t="str">
        <f>HYPERLINK("https://rhld.insurance.arkansas.gov/NPILookup?Npi=1467549865","1467549865")</f>
        <v>1467549865</v>
      </c>
      <c r="E25113" s="1" t="s">
        <v>27225</v>
      </c>
      <c r="F25113" s="2"/>
      <c r="G25113" s="2"/>
      <c r="H25113" s="2"/>
    </row>
    <row r="25114" spans="1:8" x14ac:dyDescent="0.25">
      <c r="A25114" s="1"/>
      <c r="B25114" s="1" t="s">
        <v>7328</v>
      </c>
      <c r="C25114" s="1" t="s">
        <v>7329</v>
      </c>
      <c r="D25114" s="22" t="str">
        <f>HYPERLINK("https://rhld.insurance.arkansas.gov/NPILookup?Npi=1467562678","1467562678")</f>
        <v>1467562678</v>
      </c>
      <c r="E25114" s="1" t="s">
        <v>143</v>
      </c>
      <c r="F25114" s="2"/>
      <c r="G25114" s="2"/>
      <c r="H25114" s="2"/>
    </row>
    <row r="25115" spans="1:8" x14ac:dyDescent="0.25">
      <c r="A25115" s="1"/>
      <c r="B25115" s="1" t="s">
        <v>7328</v>
      </c>
      <c r="C25115" s="1" t="s">
        <v>7329</v>
      </c>
      <c r="D25115" s="22" t="str">
        <f>HYPERLINK("https://rhld.insurance.arkansas.gov/NPILookup?Npi=1467573360","1467573360")</f>
        <v>1467573360</v>
      </c>
      <c r="E25115" s="1" t="s">
        <v>27226</v>
      </c>
      <c r="F25115" s="2"/>
      <c r="G25115" s="2"/>
      <c r="H25115" s="2"/>
    </row>
    <row r="25116" spans="1:8" x14ac:dyDescent="0.25">
      <c r="A25116" s="1"/>
      <c r="B25116" s="1" t="s">
        <v>7328</v>
      </c>
      <c r="C25116" s="1" t="s">
        <v>7329</v>
      </c>
      <c r="D25116" s="22" t="str">
        <f>HYPERLINK("https://rhld.insurance.arkansas.gov/NPILookup?Npi=1467594184","1467594184")</f>
        <v>1467594184</v>
      </c>
      <c r="E25116" s="1" t="s">
        <v>109</v>
      </c>
      <c r="F25116" s="2"/>
      <c r="G25116" s="2"/>
      <c r="H25116" s="2"/>
    </row>
    <row r="25117" spans="1:8" x14ac:dyDescent="0.25">
      <c r="A25117" s="1"/>
      <c r="B25117" s="1" t="s">
        <v>7328</v>
      </c>
      <c r="C25117" s="1" t="s">
        <v>7329</v>
      </c>
      <c r="D25117" s="22" t="str">
        <f>HYPERLINK("https://rhld.insurance.arkansas.gov/NPILookup?Npi=1467594770","1467594770")</f>
        <v>1467594770</v>
      </c>
      <c r="E25117" s="1" t="s">
        <v>7782</v>
      </c>
      <c r="F25117" s="2"/>
      <c r="G25117" s="2"/>
      <c r="H25117" s="2"/>
    </row>
    <row r="25118" spans="1:8" x14ac:dyDescent="0.25">
      <c r="A25118" s="1"/>
      <c r="B25118" s="1" t="s">
        <v>7328</v>
      </c>
      <c r="C25118" s="1" t="s">
        <v>7329</v>
      </c>
      <c r="D25118" s="22" t="str">
        <f>HYPERLINK("https://rhld.insurance.arkansas.gov/NPILookup?Npi=1467605444","1467605444")</f>
        <v>1467605444</v>
      </c>
      <c r="E25118" s="1" t="s">
        <v>864</v>
      </c>
      <c r="F25118" s="2"/>
      <c r="G25118" s="2"/>
      <c r="H25118" s="2"/>
    </row>
    <row r="25119" spans="1:8" x14ac:dyDescent="0.25">
      <c r="A25119" s="1"/>
      <c r="B25119" s="1" t="s">
        <v>7328</v>
      </c>
      <c r="C25119" s="1" t="s">
        <v>7329</v>
      </c>
      <c r="D25119" s="22" t="str">
        <f>HYPERLINK("https://rhld.insurance.arkansas.gov/NPILookup?Npi=1467613000","1467613000")</f>
        <v>1467613000</v>
      </c>
      <c r="E25119" s="1" t="s">
        <v>13154</v>
      </c>
      <c r="F25119" s="2"/>
      <c r="G25119" s="2"/>
      <c r="H25119" s="2"/>
    </row>
    <row r="25120" spans="1:8" x14ac:dyDescent="0.25">
      <c r="A25120" s="1"/>
      <c r="B25120" s="1" t="s">
        <v>7328</v>
      </c>
      <c r="C25120" s="1" t="s">
        <v>7329</v>
      </c>
      <c r="D25120" s="22" t="str">
        <f>HYPERLINK("https://rhld.insurance.arkansas.gov/NPILookup?Npi=1467613562","1467613562")</f>
        <v>1467613562</v>
      </c>
      <c r="E25120" s="1" t="s">
        <v>27227</v>
      </c>
      <c r="F25120" s="2"/>
      <c r="G25120" s="2"/>
      <c r="H25120" s="2"/>
    </row>
    <row r="25121" spans="1:8" x14ac:dyDescent="0.25">
      <c r="A25121" s="1"/>
      <c r="B25121" s="1" t="s">
        <v>7328</v>
      </c>
      <c r="C25121" s="1" t="s">
        <v>7329</v>
      </c>
      <c r="D25121" s="22" t="str">
        <f>HYPERLINK("https://rhld.insurance.arkansas.gov/NPILookup?Npi=1467615252","1467615252")</f>
        <v>1467615252</v>
      </c>
      <c r="E25121" s="1" t="s">
        <v>27228</v>
      </c>
      <c r="F25121" s="2"/>
      <c r="G25121" s="2"/>
      <c r="H25121" s="2"/>
    </row>
    <row r="25122" spans="1:8" x14ac:dyDescent="0.25">
      <c r="A25122" s="1"/>
      <c r="B25122" s="1" t="s">
        <v>7328</v>
      </c>
      <c r="C25122" s="1" t="s">
        <v>7329</v>
      </c>
      <c r="D25122" s="22" t="str">
        <f>HYPERLINK("https://rhld.insurance.arkansas.gov/NPILookup?Npi=1467629790","1467629790")</f>
        <v>1467629790</v>
      </c>
      <c r="E25122" s="1" t="s">
        <v>17556</v>
      </c>
      <c r="F25122" s="2"/>
      <c r="G25122" s="2"/>
      <c r="H25122" s="2"/>
    </row>
    <row r="25123" spans="1:8" x14ac:dyDescent="0.25">
      <c r="A25123" s="1"/>
      <c r="B25123" s="1" t="s">
        <v>7328</v>
      </c>
      <c r="C25123" s="1" t="s">
        <v>7329</v>
      </c>
      <c r="D25123" s="22" t="str">
        <f>HYPERLINK("https://rhld.insurance.arkansas.gov/NPILookup?Npi=1467653626","1467653626")</f>
        <v>1467653626</v>
      </c>
      <c r="E25123" s="1" t="s">
        <v>27229</v>
      </c>
      <c r="F25123" s="2"/>
      <c r="G25123" s="2"/>
      <c r="H25123" s="2"/>
    </row>
    <row r="25124" spans="1:8" x14ac:dyDescent="0.25">
      <c r="A25124" s="1"/>
      <c r="B25124" s="1" t="s">
        <v>7328</v>
      </c>
      <c r="C25124" s="1" t="s">
        <v>7329</v>
      </c>
      <c r="D25124" s="22" t="str">
        <f>HYPERLINK("https://rhld.insurance.arkansas.gov/NPILookup?Npi=1467654715","1467654715")</f>
        <v>1467654715</v>
      </c>
      <c r="E25124" s="1" t="s">
        <v>4171</v>
      </c>
      <c r="F25124" s="2"/>
      <c r="G25124" s="2"/>
      <c r="H25124" s="2"/>
    </row>
    <row r="25125" spans="1:8" x14ac:dyDescent="0.25">
      <c r="A25125" s="1"/>
      <c r="B25125" s="1" t="s">
        <v>7328</v>
      </c>
      <c r="C25125" s="1" t="s">
        <v>7329</v>
      </c>
      <c r="D25125" s="22" t="str">
        <f>HYPERLINK("https://rhld.insurance.arkansas.gov/NPILookup?Npi=1467671677","1467671677")</f>
        <v>1467671677</v>
      </c>
      <c r="E25125" s="1" t="s">
        <v>2846</v>
      </c>
      <c r="F25125" s="2"/>
      <c r="G25125" s="2"/>
      <c r="H25125" s="2"/>
    </row>
    <row r="25126" spans="1:8" x14ac:dyDescent="0.25">
      <c r="A25126" s="1"/>
      <c r="B25126" s="1" t="s">
        <v>7328</v>
      </c>
      <c r="C25126" s="1" t="s">
        <v>7329</v>
      </c>
      <c r="D25126" s="22" t="str">
        <f>HYPERLINK("https://rhld.insurance.arkansas.gov/NPILookup?Npi=1467715656","1467715656")</f>
        <v>1467715656</v>
      </c>
      <c r="E25126" s="1" t="s">
        <v>17557</v>
      </c>
      <c r="F25126" s="2"/>
      <c r="G25126" s="2"/>
      <c r="H25126" s="2"/>
    </row>
    <row r="25127" spans="1:8" x14ac:dyDescent="0.25">
      <c r="A25127" s="1"/>
      <c r="B25127" s="1" t="s">
        <v>7328</v>
      </c>
      <c r="C25127" s="1" t="s">
        <v>7329</v>
      </c>
      <c r="D25127" s="22" t="str">
        <f>HYPERLINK("https://rhld.insurance.arkansas.gov/NPILookup?Npi=1467740225","1467740225")</f>
        <v>1467740225</v>
      </c>
      <c r="E25127" s="1" t="s">
        <v>27230</v>
      </c>
      <c r="F25127" s="2"/>
      <c r="G25127" s="2"/>
      <c r="H25127" s="2"/>
    </row>
    <row r="25128" spans="1:8" x14ac:dyDescent="0.25">
      <c r="A25128" s="1"/>
      <c r="B25128" s="1" t="s">
        <v>7328</v>
      </c>
      <c r="C25128" s="1" t="s">
        <v>7329</v>
      </c>
      <c r="D25128" s="22" t="str">
        <f>HYPERLINK("https://rhld.insurance.arkansas.gov/NPILookup?Npi=1467748459","1467748459")</f>
        <v>1467748459</v>
      </c>
      <c r="E25128" s="1" t="s">
        <v>27231</v>
      </c>
      <c r="F25128" s="2"/>
      <c r="G25128" s="2"/>
      <c r="H25128" s="2"/>
    </row>
    <row r="25129" spans="1:8" x14ac:dyDescent="0.25">
      <c r="A25129" s="1"/>
      <c r="B25129" s="1" t="s">
        <v>7328</v>
      </c>
      <c r="C25129" s="1" t="s">
        <v>7329</v>
      </c>
      <c r="D25129" s="22" t="str">
        <f>HYPERLINK("https://rhld.insurance.arkansas.gov/NPILookup?Npi=1467758904","1467758904")</f>
        <v>1467758904</v>
      </c>
      <c r="E25129" s="1" t="s">
        <v>13155</v>
      </c>
      <c r="F25129" s="2"/>
      <c r="G25129" s="2"/>
      <c r="H25129" s="2"/>
    </row>
    <row r="25130" spans="1:8" x14ac:dyDescent="0.25">
      <c r="A25130" s="1"/>
      <c r="B25130" s="1" t="s">
        <v>7328</v>
      </c>
      <c r="C25130" s="1" t="s">
        <v>7329</v>
      </c>
      <c r="D25130" s="22" t="str">
        <f>HYPERLINK("https://rhld.insurance.arkansas.gov/NPILookup?Npi=1467763110","1467763110")</f>
        <v>1467763110</v>
      </c>
      <c r="E25130" s="1" t="s">
        <v>27232</v>
      </c>
      <c r="F25130" s="2"/>
      <c r="G25130" s="2"/>
      <c r="H25130" s="2"/>
    </row>
    <row r="25131" spans="1:8" x14ac:dyDescent="0.25">
      <c r="A25131" s="1"/>
      <c r="B25131" s="1" t="s">
        <v>7328</v>
      </c>
      <c r="C25131" s="1" t="s">
        <v>7329</v>
      </c>
      <c r="D25131" s="22" t="str">
        <f>HYPERLINK("https://rhld.insurance.arkansas.gov/NPILookup?Npi=1467767087","1467767087")</f>
        <v>1467767087</v>
      </c>
      <c r="E25131" s="1" t="s">
        <v>32243</v>
      </c>
      <c r="F25131" s="2"/>
      <c r="G25131" s="2"/>
      <c r="H25131" s="2"/>
    </row>
    <row r="25132" spans="1:8" x14ac:dyDescent="0.25">
      <c r="A25132" s="1"/>
      <c r="B25132" s="1" t="s">
        <v>7328</v>
      </c>
      <c r="C25132" s="1" t="s">
        <v>7329</v>
      </c>
      <c r="D25132" s="22" t="str">
        <f>HYPERLINK("https://rhld.insurance.arkansas.gov/NPILookup?Npi=1467793679","1467793679")</f>
        <v>1467793679</v>
      </c>
      <c r="E25132" s="1" t="s">
        <v>13156</v>
      </c>
      <c r="F25132" s="2"/>
      <c r="G25132" s="2"/>
      <c r="H25132" s="2"/>
    </row>
    <row r="25133" spans="1:8" x14ac:dyDescent="0.25">
      <c r="A25133" s="1"/>
      <c r="B25133" s="1" t="s">
        <v>7328</v>
      </c>
      <c r="C25133" s="1" t="s">
        <v>7329</v>
      </c>
      <c r="D25133" s="22" t="str">
        <f>HYPERLINK("https://rhld.insurance.arkansas.gov/NPILookup?Npi=1467801761","1467801761")</f>
        <v>1467801761</v>
      </c>
      <c r="E25133" s="1" t="s">
        <v>13157</v>
      </c>
      <c r="F25133" s="2"/>
      <c r="G25133" s="2"/>
      <c r="H25133" s="2"/>
    </row>
    <row r="25134" spans="1:8" x14ac:dyDescent="0.25">
      <c r="A25134" s="1"/>
      <c r="B25134" s="1" t="s">
        <v>7328</v>
      </c>
      <c r="C25134" s="1" t="s">
        <v>7329</v>
      </c>
      <c r="D25134" s="22" t="str">
        <f>HYPERLINK("https://rhld.insurance.arkansas.gov/NPILookup?Npi=1467814137","1467814137")</f>
        <v>1467814137</v>
      </c>
      <c r="E25134" s="1" t="s">
        <v>27233</v>
      </c>
      <c r="F25134" s="2"/>
      <c r="G25134" s="2"/>
      <c r="H25134" s="2"/>
    </row>
    <row r="25135" spans="1:8" x14ac:dyDescent="0.25">
      <c r="A25135" s="1"/>
      <c r="B25135" s="1" t="s">
        <v>7328</v>
      </c>
      <c r="C25135" s="1" t="s">
        <v>7329</v>
      </c>
      <c r="D25135" s="22" t="str">
        <f>HYPERLINK("https://rhld.insurance.arkansas.gov/NPILookup?Npi=1467829515","1467829515")</f>
        <v>1467829515</v>
      </c>
      <c r="E25135" s="1" t="s">
        <v>27234</v>
      </c>
      <c r="F25135" s="2"/>
      <c r="G25135" s="2"/>
      <c r="H25135" s="2"/>
    </row>
    <row r="25136" spans="1:8" x14ac:dyDescent="0.25">
      <c r="A25136" s="1"/>
      <c r="B25136" s="1" t="s">
        <v>7328</v>
      </c>
      <c r="C25136" s="1" t="s">
        <v>7329</v>
      </c>
      <c r="D25136" s="22" t="str">
        <f>HYPERLINK("https://rhld.insurance.arkansas.gov/NPILookup?Npi=1467835611","1467835611")</f>
        <v>1467835611</v>
      </c>
      <c r="E25136" s="1" t="s">
        <v>13158</v>
      </c>
      <c r="F25136" s="2"/>
      <c r="G25136" s="2"/>
      <c r="H25136" s="2"/>
    </row>
    <row r="25137" spans="1:8" x14ac:dyDescent="0.25">
      <c r="A25137" s="1"/>
      <c r="B25137" s="1" t="s">
        <v>7328</v>
      </c>
      <c r="C25137" s="1" t="s">
        <v>7329</v>
      </c>
      <c r="D25137" s="22" t="str">
        <f>HYPERLINK("https://rhld.insurance.arkansas.gov/NPILookup?Npi=1467849794","1467849794")</f>
        <v>1467849794</v>
      </c>
      <c r="E25137" s="1" t="s">
        <v>27235</v>
      </c>
      <c r="F25137" s="2"/>
      <c r="G25137" s="2"/>
      <c r="H25137" s="2"/>
    </row>
    <row r="25138" spans="1:8" x14ac:dyDescent="0.25">
      <c r="A25138" s="1"/>
      <c r="B25138" s="1" t="s">
        <v>7328</v>
      </c>
      <c r="C25138" s="1" t="s">
        <v>7329</v>
      </c>
      <c r="D25138" s="22" t="str">
        <f>HYPERLINK("https://rhld.insurance.arkansas.gov/NPILookup?Npi=1467852814","1467852814")</f>
        <v>1467852814</v>
      </c>
      <c r="E25138" s="1" t="s">
        <v>27236</v>
      </c>
      <c r="F25138" s="2"/>
      <c r="G25138" s="2"/>
      <c r="H25138" s="2"/>
    </row>
    <row r="25139" spans="1:8" x14ac:dyDescent="0.25">
      <c r="A25139" s="1"/>
      <c r="B25139" s="1" t="s">
        <v>7328</v>
      </c>
      <c r="C25139" s="1" t="s">
        <v>7329</v>
      </c>
      <c r="D25139" s="22" t="str">
        <f>HYPERLINK("https://rhld.insurance.arkansas.gov/NPILookup?Npi=1467862458","1467862458")</f>
        <v>1467862458</v>
      </c>
      <c r="E25139" s="1" t="s">
        <v>7783</v>
      </c>
      <c r="F25139" s="2"/>
      <c r="G25139" s="2"/>
      <c r="H25139" s="2"/>
    </row>
    <row r="25140" spans="1:8" x14ac:dyDescent="0.25">
      <c r="A25140" s="1"/>
      <c r="B25140" s="1" t="s">
        <v>7328</v>
      </c>
      <c r="C25140" s="1" t="s">
        <v>7329</v>
      </c>
      <c r="D25140" s="22" t="str">
        <f>HYPERLINK("https://rhld.insurance.arkansas.gov/NPILookup?Npi=1467867762","1467867762")</f>
        <v>1467867762</v>
      </c>
      <c r="E25140" s="1" t="s">
        <v>27237</v>
      </c>
      <c r="F25140" s="2"/>
      <c r="G25140" s="2"/>
      <c r="H25140" s="2"/>
    </row>
    <row r="25141" spans="1:8" x14ac:dyDescent="0.25">
      <c r="A25141" s="1"/>
      <c r="B25141" s="1" t="s">
        <v>7328</v>
      </c>
      <c r="C25141" s="1" t="s">
        <v>7329</v>
      </c>
      <c r="D25141" s="22" t="str">
        <f>HYPERLINK("https://rhld.insurance.arkansas.gov/NPILookup?Npi=1467876615","1467876615")</f>
        <v>1467876615</v>
      </c>
      <c r="E25141" s="1" t="s">
        <v>27238</v>
      </c>
      <c r="F25141" s="2"/>
      <c r="G25141" s="2"/>
      <c r="H25141" s="2"/>
    </row>
    <row r="25142" spans="1:8" x14ac:dyDescent="0.25">
      <c r="A25142" s="1"/>
      <c r="B25142" s="1" t="s">
        <v>7328</v>
      </c>
      <c r="C25142" s="1" t="s">
        <v>7329</v>
      </c>
      <c r="D25142" s="22" t="str">
        <f>HYPERLINK("https://rhld.insurance.arkansas.gov/NPILookup?Npi=1467877340","1467877340")</f>
        <v>1467877340</v>
      </c>
      <c r="E25142" s="1" t="s">
        <v>27239</v>
      </c>
      <c r="F25142" s="2"/>
      <c r="G25142" s="2"/>
      <c r="H25142" s="2"/>
    </row>
    <row r="25143" spans="1:8" x14ac:dyDescent="0.25">
      <c r="A25143" s="1"/>
      <c r="B25143" s="1" t="s">
        <v>7328</v>
      </c>
      <c r="C25143" s="1" t="s">
        <v>7329</v>
      </c>
      <c r="D25143" s="22" t="str">
        <f>HYPERLINK("https://rhld.insurance.arkansas.gov/NPILookup?Npi=1467879247","1467879247")</f>
        <v>1467879247</v>
      </c>
      <c r="E25143" s="1" t="s">
        <v>1030</v>
      </c>
      <c r="F25143" s="2"/>
      <c r="G25143" s="2"/>
      <c r="H25143" s="2"/>
    </row>
    <row r="25144" spans="1:8" x14ac:dyDescent="0.25">
      <c r="A25144" s="1"/>
      <c r="B25144" s="1" t="s">
        <v>7328</v>
      </c>
      <c r="C25144" s="1" t="s">
        <v>7329</v>
      </c>
      <c r="D25144" s="22" t="str">
        <f>HYPERLINK("https://rhld.insurance.arkansas.gov/NPILookup?Npi=1467879957","1467879957")</f>
        <v>1467879957</v>
      </c>
      <c r="E25144" s="1" t="s">
        <v>27240</v>
      </c>
      <c r="F25144" s="2"/>
      <c r="G25144" s="2"/>
      <c r="H25144" s="2"/>
    </row>
    <row r="25145" spans="1:8" x14ac:dyDescent="0.25">
      <c r="A25145" s="1"/>
      <c r="B25145" s="1" t="s">
        <v>7328</v>
      </c>
      <c r="C25145" s="1" t="s">
        <v>7329</v>
      </c>
      <c r="D25145" s="22" t="str">
        <f>HYPERLINK("https://rhld.insurance.arkansas.gov/NPILookup?Npi=1467891945","1467891945")</f>
        <v>1467891945</v>
      </c>
      <c r="E25145" s="1" t="s">
        <v>27241</v>
      </c>
      <c r="F25145" s="2"/>
      <c r="G25145" s="2"/>
      <c r="H25145" s="2"/>
    </row>
    <row r="25146" spans="1:8" x14ac:dyDescent="0.25">
      <c r="A25146" s="1"/>
      <c r="B25146" s="1" t="s">
        <v>7328</v>
      </c>
      <c r="C25146" s="1" t="s">
        <v>7329</v>
      </c>
      <c r="D25146" s="22" t="str">
        <f>HYPERLINK("https://rhld.insurance.arkansas.gov/NPILookup?Npi=1467896506","1467896506")</f>
        <v>1467896506</v>
      </c>
      <c r="E25146" s="1" t="s">
        <v>7784</v>
      </c>
      <c r="F25146" s="2"/>
      <c r="G25146" s="2"/>
      <c r="H25146" s="2"/>
    </row>
    <row r="25147" spans="1:8" x14ac:dyDescent="0.25">
      <c r="A25147" s="1"/>
      <c r="B25147" s="1" t="s">
        <v>7328</v>
      </c>
      <c r="C25147" s="1" t="s">
        <v>7329</v>
      </c>
      <c r="D25147" s="22" t="str">
        <f>HYPERLINK("https://rhld.insurance.arkansas.gov/NPILookup?Npi=1467896886","1467896886")</f>
        <v>1467896886</v>
      </c>
      <c r="E25147" s="1" t="s">
        <v>27242</v>
      </c>
      <c r="F25147" s="2"/>
      <c r="G25147" s="2"/>
      <c r="H25147" s="2"/>
    </row>
    <row r="25148" spans="1:8" x14ac:dyDescent="0.25">
      <c r="A25148" s="1"/>
      <c r="B25148" s="1" t="s">
        <v>7328</v>
      </c>
      <c r="C25148" s="1" t="s">
        <v>7329</v>
      </c>
      <c r="D25148" s="22" t="str">
        <f>HYPERLINK("https://rhld.insurance.arkansas.gov/NPILookup?Npi=1467908202","1467908202")</f>
        <v>1467908202</v>
      </c>
      <c r="E25148" s="1" t="s">
        <v>27243</v>
      </c>
      <c r="F25148" s="2"/>
      <c r="G25148" s="2"/>
      <c r="H25148" s="2"/>
    </row>
    <row r="25149" spans="1:8" x14ac:dyDescent="0.25">
      <c r="A25149" s="1"/>
      <c r="B25149" s="1" t="s">
        <v>7328</v>
      </c>
      <c r="C25149" s="1" t="s">
        <v>7329</v>
      </c>
      <c r="D25149" s="22" t="str">
        <f>HYPERLINK("https://rhld.insurance.arkansas.gov/NPILookup?Npi=1467908970","1467908970")</f>
        <v>1467908970</v>
      </c>
      <c r="E25149" s="1" t="s">
        <v>1220</v>
      </c>
      <c r="F25149" s="2"/>
      <c r="G25149" s="2"/>
      <c r="H25149" s="2"/>
    </row>
    <row r="25150" spans="1:8" x14ac:dyDescent="0.25">
      <c r="A25150" s="1"/>
      <c r="B25150" s="1" t="s">
        <v>7328</v>
      </c>
      <c r="C25150" s="1" t="s">
        <v>7329</v>
      </c>
      <c r="D25150" s="22" t="str">
        <f>HYPERLINK("https://rhld.insurance.arkansas.gov/NPILookup?Npi=1467909366","1467909366")</f>
        <v>1467909366</v>
      </c>
      <c r="E25150" s="1" t="s">
        <v>32244</v>
      </c>
      <c r="F25150" s="2"/>
      <c r="G25150" s="2"/>
      <c r="H25150" s="2"/>
    </row>
    <row r="25151" spans="1:8" x14ac:dyDescent="0.25">
      <c r="A25151" s="1"/>
      <c r="B25151" s="1" t="s">
        <v>7328</v>
      </c>
      <c r="C25151" s="1" t="s">
        <v>7329</v>
      </c>
      <c r="D25151" s="22" t="str">
        <f>HYPERLINK("https://rhld.insurance.arkansas.gov/NPILookup?Npi=1467917468","1467917468")</f>
        <v>1467917468</v>
      </c>
      <c r="E25151" s="1" t="s">
        <v>2847</v>
      </c>
      <c r="F25151" s="2"/>
      <c r="G25151" s="2"/>
      <c r="H25151" s="2"/>
    </row>
    <row r="25152" spans="1:8" x14ac:dyDescent="0.25">
      <c r="A25152" s="1"/>
      <c r="B25152" s="1" t="s">
        <v>7328</v>
      </c>
      <c r="C25152" s="1" t="s">
        <v>7329</v>
      </c>
      <c r="D25152" s="22" t="str">
        <f>HYPERLINK("https://rhld.insurance.arkansas.gov/NPILookup?Npi=1467935114","1467935114")</f>
        <v>1467935114</v>
      </c>
      <c r="E25152" s="1" t="s">
        <v>27244</v>
      </c>
      <c r="F25152" s="2"/>
      <c r="G25152" s="2"/>
      <c r="H25152" s="2"/>
    </row>
    <row r="25153" spans="1:8" x14ac:dyDescent="0.25">
      <c r="A25153" s="1"/>
      <c r="B25153" s="1" t="s">
        <v>7328</v>
      </c>
      <c r="C25153" s="1" t="s">
        <v>7329</v>
      </c>
      <c r="D25153" s="22" t="str">
        <f>HYPERLINK("https://rhld.insurance.arkansas.gov/NPILookup?Npi=1467950105","1467950105")</f>
        <v>1467950105</v>
      </c>
      <c r="E25153" s="1" t="s">
        <v>27245</v>
      </c>
      <c r="F25153" s="2"/>
      <c r="G25153" s="2"/>
      <c r="H25153" s="2"/>
    </row>
    <row r="25154" spans="1:8" x14ac:dyDescent="0.25">
      <c r="A25154" s="1"/>
      <c r="B25154" s="1" t="s">
        <v>7328</v>
      </c>
      <c r="C25154" s="1" t="s">
        <v>7329</v>
      </c>
      <c r="D25154" s="22" t="str">
        <f>HYPERLINK("https://rhld.insurance.arkansas.gov/NPILookup?Npi=1467950501","1467950501")</f>
        <v>1467950501</v>
      </c>
      <c r="E25154" s="1" t="s">
        <v>27246</v>
      </c>
      <c r="F25154" s="2"/>
      <c r="G25154" s="2"/>
      <c r="H25154" s="2"/>
    </row>
    <row r="25155" spans="1:8" x14ac:dyDescent="0.25">
      <c r="A25155" s="1"/>
      <c r="B25155" s="1" t="s">
        <v>7328</v>
      </c>
      <c r="C25155" s="1" t="s">
        <v>7329</v>
      </c>
      <c r="D25155" s="22" t="str">
        <f>HYPERLINK("https://rhld.insurance.arkansas.gov/NPILookup?Npi=1467953026","1467953026")</f>
        <v>1467953026</v>
      </c>
      <c r="E25155" s="1" t="s">
        <v>27247</v>
      </c>
      <c r="F25155" s="2"/>
      <c r="G25155" s="2"/>
      <c r="H25155" s="2"/>
    </row>
    <row r="25156" spans="1:8" x14ac:dyDescent="0.25">
      <c r="A25156" s="1"/>
      <c r="B25156" s="1" t="s">
        <v>7328</v>
      </c>
      <c r="C25156" s="1" t="s">
        <v>7329</v>
      </c>
      <c r="D25156" s="22" t="str">
        <f>HYPERLINK("https://rhld.insurance.arkansas.gov/NPILookup?Npi=1467953174","1467953174")</f>
        <v>1467953174</v>
      </c>
      <c r="E25156" s="1" t="s">
        <v>27248</v>
      </c>
      <c r="F25156" s="2"/>
      <c r="G25156" s="2"/>
      <c r="H25156" s="2"/>
    </row>
    <row r="25157" spans="1:8" x14ac:dyDescent="0.25">
      <c r="A25157" s="1"/>
      <c r="B25157" s="1" t="s">
        <v>7328</v>
      </c>
      <c r="C25157" s="1" t="s">
        <v>7329</v>
      </c>
      <c r="D25157" s="22" t="str">
        <f>HYPERLINK("https://rhld.insurance.arkansas.gov/NPILookup?Npi=1467955088","1467955088")</f>
        <v>1467955088</v>
      </c>
      <c r="E25157" s="1" t="s">
        <v>27249</v>
      </c>
      <c r="F25157" s="2"/>
      <c r="G25157" s="2"/>
      <c r="H25157" s="2"/>
    </row>
    <row r="25158" spans="1:8" x14ac:dyDescent="0.25">
      <c r="A25158" s="1"/>
      <c r="B25158" s="1" t="s">
        <v>7328</v>
      </c>
      <c r="C25158" s="1" t="s">
        <v>7329</v>
      </c>
      <c r="D25158" s="22" t="str">
        <f>HYPERLINK("https://rhld.insurance.arkansas.gov/NPILookup?Npi=1467979229","1467979229")</f>
        <v>1467979229</v>
      </c>
      <c r="E25158" s="1" t="s">
        <v>27250</v>
      </c>
      <c r="F25158" s="2"/>
      <c r="G25158" s="2"/>
      <c r="H25158" s="2"/>
    </row>
    <row r="25159" spans="1:8" x14ac:dyDescent="0.25">
      <c r="A25159" s="1"/>
      <c r="B25159" s="1" t="s">
        <v>7328</v>
      </c>
      <c r="C25159" s="1" t="s">
        <v>7329</v>
      </c>
      <c r="D25159" s="22" t="str">
        <f>HYPERLINK("https://rhld.insurance.arkansas.gov/NPILookup?Npi=1467987875","1467987875")</f>
        <v>1467987875</v>
      </c>
      <c r="E25159" s="1" t="s">
        <v>27251</v>
      </c>
      <c r="F25159" s="2"/>
      <c r="G25159" s="2"/>
      <c r="H25159" s="2"/>
    </row>
    <row r="25160" spans="1:8" x14ac:dyDescent="0.25">
      <c r="A25160" s="1"/>
      <c r="B25160" s="1" t="s">
        <v>7328</v>
      </c>
      <c r="C25160" s="1" t="s">
        <v>7329</v>
      </c>
      <c r="D25160" s="22" t="str">
        <f>HYPERLINK("https://rhld.insurance.arkansas.gov/NPILookup?Npi=1467991000","1467991000")</f>
        <v>1467991000</v>
      </c>
      <c r="E25160" s="1" t="s">
        <v>27252</v>
      </c>
      <c r="F25160" s="2"/>
      <c r="G25160" s="2"/>
      <c r="H25160" s="2"/>
    </row>
    <row r="25161" spans="1:8" x14ac:dyDescent="0.25">
      <c r="A25161" s="1"/>
      <c r="B25161" s="1" t="s">
        <v>7328</v>
      </c>
      <c r="C25161" s="1" t="s">
        <v>7329</v>
      </c>
      <c r="D25161" s="22" t="str">
        <f>HYPERLINK("https://rhld.insurance.arkansas.gov/NPILookup?Npi=1467992933","1467992933")</f>
        <v>1467992933</v>
      </c>
      <c r="E25161" s="1" t="s">
        <v>27253</v>
      </c>
      <c r="F25161" s="2"/>
      <c r="G25161" s="2"/>
      <c r="H25161" s="2"/>
    </row>
    <row r="25162" spans="1:8" x14ac:dyDescent="0.25">
      <c r="A25162" s="1"/>
      <c r="B25162" s="1" t="s">
        <v>7328</v>
      </c>
      <c r="C25162" s="1" t="s">
        <v>7329</v>
      </c>
      <c r="D25162" s="22" t="str">
        <f>HYPERLINK("https://rhld.insurance.arkansas.gov/NPILookup?Npi=1467993600","1467993600")</f>
        <v>1467993600</v>
      </c>
      <c r="E25162" s="1" t="s">
        <v>27254</v>
      </c>
      <c r="F25162" s="2"/>
      <c r="G25162" s="2"/>
      <c r="H25162" s="2"/>
    </row>
    <row r="25163" spans="1:8" x14ac:dyDescent="0.25">
      <c r="A25163" s="1"/>
      <c r="B25163" s="1" t="s">
        <v>7328</v>
      </c>
      <c r="C25163" s="1" t="s">
        <v>7329</v>
      </c>
      <c r="D25163" s="22" t="str">
        <f>HYPERLINK("https://rhld.insurance.arkansas.gov/NPILookup?Npi=1477000529","1477000529")</f>
        <v>1477000529</v>
      </c>
      <c r="E25163" s="1" t="s">
        <v>7785</v>
      </c>
      <c r="F25163" s="2"/>
      <c r="G25163" s="2"/>
      <c r="H25163" s="2"/>
    </row>
    <row r="25164" spans="1:8" x14ac:dyDescent="0.25">
      <c r="A25164" s="1"/>
      <c r="B25164" s="1" t="s">
        <v>7328</v>
      </c>
      <c r="C25164" s="1" t="s">
        <v>7329</v>
      </c>
      <c r="D25164" s="22" t="str">
        <f>HYPERLINK("https://rhld.insurance.arkansas.gov/NPILookup?Npi=1477005296","1477005296")</f>
        <v>1477005296</v>
      </c>
      <c r="E25164" s="1" t="s">
        <v>13159</v>
      </c>
      <c r="F25164" s="2"/>
      <c r="G25164" s="2"/>
      <c r="H25164" s="2"/>
    </row>
    <row r="25165" spans="1:8" x14ac:dyDescent="0.25">
      <c r="A25165" s="1"/>
      <c r="B25165" s="1" t="s">
        <v>7328</v>
      </c>
      <c r="C25165" s="1" t="s">
        <v>7329</v>
      </c>
      <c r="D25165" s="22" t="str">
        <f>HYPERLINK("https://rhld.insurance.arkansas.gov/NPILookup?Npi=1477005429","1477005429")</f>
        <v>1477005429</v>
      </c>
      <c r="E25165" s="1" t="s">
        <v>27255</v>
      </c>
      <c r="F25165" s="2"/>
      <c r="G25165" s="2"/>
      <c r="H25165" s="2"/>
    </row>
    <row r="25166" spans="1:8" x14ac:dyDescent="0.25">
      <c r="A25166" s="1"/>
      <c r="B25166" s="1" t="s">
        <v>7328</v>
      </c>
      <c r="C25166" s="1" t="s">
        <v>7329</v>
      </c>
      <c r="D25166" s="22" t="str">
        <f>HYPERLINK("https://rhld.insurance.arkansas.gov/NPILookup?Npi=1477005577","1477005577")</f>
        <v>1477005577</v>
      </c>
      <c r="E25166" s="1" t="s">
        <v>13160</v>
      </c>
      <c r="F25166" s="2"/>
      <c r="G25166" s="2"/>
      <c r="H25166" s="2"/>
    </row>
    <row r="25167" spans="1:8" x14ac:dyDescent="0.25">
      <c r="A25167" s="1"/>
      <c r="B25167" s="1" t="s">
        <v>7328</v>
      </c>
      <c r="C25167" s="1" t="s">
        <v>7329</v>
      </c>
      <c r="D25167" s="22" t="str">
        <f>HYPERLINK("https://rhld.insurance.arkansas.gov/NPILookup?Npi=1477021988","1477021988")</f>
        <v>1477021988</v>
      </c>
      <c r="E25167" s="1" t="s">
        <v>7786</v>
      </c>
      <c r="F25167" s="2"/>
      <c r="G25167" s="2"/>
      <c r="H25167" s="2"/>
    </row>
    <row r="25168" spans="1:8" x14ac:dyDescent="0.25">
      <c r="A25168" s="1"/>
      <c r="B25168" s="1" t="s">
        <v>7328</v>
      </c>
      <c r="C25168" s="1" t="s">
        <v>7329</v>
      </c>
      <c r="D25168" s="22" t="str">
        <f>HYPERLINK("https://rhld.insurance.arkansas.gov/NPILookup?Npi=1477034981","1477034981")</f>
        <v>1477034981</v>
      </c>
      <c r="E25168" s="1" t="s">
        <v>2848</v>
      </c>
      <c r="F25168" s="2"/>
      <c r="G25168" s="2"/>
      <c r="H25168" s="2"/>
    </row>
    <row r="25169" spans="1:8" x14ac:dyDescent="0.25">
      <c r="A25169" s="1"/>
      <c r="B25169" s="1" t="s">
        <v>7328</v>
      </c>
      <c r="C25169" s="1" t="s">
        <v>7329</v>
      </c>
      <c r="D25169" s="22" t="str">
        <f>HYPERLINK("https://rhld.insurance.arkansas.gov/NPILookup?Npi=1477039105","1477039105")</f>
        <v>1477039105</v>
      </c>
      <c r="E25169" s="1" t="s">
        <v>2022</v>
      </c>
      <c r="F25169" s="2"/>
      <c r="G25169" s="2"/>
      <c r="H25169" s="2"/>
    </row>
    <row r="25170" spans="1:8" x14ac:dyDescent="0.25">
      <c r="A25170" s="1"/>
      <c r="B25170" s="1" t="s">
        <v>7328</v>
      </c>
      <c r="C25170" s="1" t="s">
        <v>7329</v>
      </c>
      <c r="D25170" s="22" t="str">
        <f>HYPERLINK("https://rhld.insurance.arkansas.gov/NPILookup?Npi=1477044162","1477044162")</f>
        <v>1477044162</v>
      </c>
      <c r="E25170" s="1" t="s">
        <v>27256</v>
      </c>
      <c r="F25170" s="2"/>
      <c r="G25170" s="2"/>
      <c r="H25170" s="2"/>
    </row>
    <row r="25171" spans="1:8" x14ac:dyDescent="0.25">
      <c r="A25171" s="1"/>
      <c r="B25171" s="1" t="s">
        <v>7328</v>
      </c>
      <c r="C25171" s="1" t="s">
        <v>7329</v>
      </c>
      <c r="D25171" s="22" t="str">
        <f>HYPERLINK("https://rhld.insurance.arkansas.gov/NPILookup?Npi=1477050110","1477050110")</f>
        <v>1477050110</v>
      </c>
      <c r="E25171" s="1" t="s">
        <v>1784</v>
      </c>
      <c r="F25171" s="2"/>
      <c r="G25171" s="2"/>
      <c r="H25171" s="2"/>
    </row>
    <row r="25172" spans="1:8" x14ac:dyDescent="0.25">
      <c r="A25172" s="1"/>
      <c r="B25172" s="1" t="s">
        <v>7328</v>
      </c>
      <c r="C25172" s="1" t="s">
        <v>7329</v>
      </c>
      <c r="D25172" s="22" t="str">
        <f>HYPERLINK("https://rhld.insurance.arkansas.gov/NPILookup?Npi=1477059459","1477059459")</f>
        <v>1477059459</v>
      </c>
      <c r="E25172" s="1" t="s">
        <v>2849</v>
      </c>
      <c r="F25172" s="2"/>
      <c r="G25172" s="2"/>
      <c r="H25172" s="2"/>
    </row>
    <row r="25173" spans="1:8" x14ac:dyDescent="0.25">
      <c r="A25173" s="1"/>
      <c r="B25173" s="1" t="s">
        <v>7328</v>
      </c>
      <c r="C25173" s="1" t="s">
        <v>7329</v>
      </c>
      <c r="D25173" s="22" t="str">
        <f>HYPERLINK("https://rhld.insurance.arkansas.gov/NPILookup?Npi=1477063873","1477063873")</f>
        <v>1477063873</v>
      </c>
      <c r="E25173" s="1" t="s">
        <v>13161</v>
      </c>
      <c r="F25173" s="2"/>
      <c r="G25173" s="2"/>
      <c r="H25173" s="2"/>
    </row>
    <row r="25174" spans="1:8" x14ac:dyDescent="0.25">
      <c r="A25174" s="1"/>
      <c r="B25174" s="1" t="s">
        <v>7328</v>
      </c>
      <c r="C25174" s="1" t="s">
        <v>7329</v>
      </c>
      <c r="D25174" s="22" t="str">
        <f>HYPERLINK("https://rhld.insurance.arkansas.gov/NPILookup?Npi=1477065803","1477065803")</f>
        <v>1477065803</v>
      </c>
      <c r="E25174" s="1" t="s">
        <v>32245</v>
      </c>
      <c r="F25174" s="2"/>
      <c r="G25174" s="2"/>
      <c r="H25174" s="2"/>
    </row>
    <row r="25175" spans="1:8" x14ac:dyDescent="0.25">
      <c r="A25175" s="1"/>
      <c r="B25175" s="1" t="s">
        <v>7328</v>
      </c>
      <c r="C25175" s="1" t="s">
        <v>7329</v>
      </c>
      <c r="D25175" s="22" t="str">
        <f>HYPERLINK("https://rhld.insurance.arkansas.gov/NPILookup?Npi=1477066926","1477066926")</f>
        <v>1477066926</v>
      </c>
      <c r="E25175" s="1" t="s">
        <v>13162</v>
      </c>
      <c r="F25175" s="2"/>
      <c r="G25175" s="2"/>
      <c r="H25175" s="2"/>
    </row>
    <row r="25176" spans="1:8" x14ac:dyDescent="0.25">
      <c r="A25176" s="1"/>
      <c r="B25176" s="1" t="s">
        <v>7328</v>
      </c>
      <c r="C25176" s="1" t="s">
        <v>7329</v>
      </c>
      <c r="D25176" s="22" t="str">
        <f>HYPERLINK("https://rhld.insurance.arkansas.gov/NPILookup?Npi=1477071504","1477071504")</f>
        <v>1477071504</v>
      </c>
      <c r="E25176" s="1" t="s">
        <v>27257</v>
      </c>
      <c r="F25176" s="2"/>
      <c r="G25176" s="2"/>
      <c r="H25176" s="2"/>
    </row>
    <row r="25177" spans="1:8" x14ac:dyDescent="0.25">
      <c r="A25177" s="1"/>
      <c r="B25177" s="1" t="s">
        <v>7328</v>
      </c>
      <c r="C25177" s="1" t="s">
        <v>7329</v>
      </c>
      <c r="D25177" s="22" t="str">
        <f>HYPERLINK("https://rhld.insurance.arkansas.gov/NPILookup?Npi=1477077295","1477077295")</f>
        <v>1477077295</v>
      </c>
      <c r="E25177" s="1" t="s">
        <v>11826</v>
      </c>
      <c r="F25177" s="2"/>
      <c r="G25177" s="2"/>
      <c r="H25177" s="2"/>
    </row>
    <row r="25178" spans="1:8" x14ac:dyDescent="0.25">
      <c r="A25178" s="1"/>
      <c r="B25178" s="1" t="s">
        <v>7328</v>
      </c>
      <c r="C25178" s="1" t="s">
        <v>7329</v>
      </c>
      <c r="D25178" s="22" t="str">
        <f>HYPERLINK("https://rhld.insurance.arkansas.gov/NPILookup?Npi=1477078962","1477078962")</f>
        <v>1477078962</v>
      </c>
      <c r="E25178" s="1" t="s">
        <v>2850</v>
      </c>
      <c r="F25178" s="2"/>
      <c r="G25178" s="2"/>
      <c r="H25178" s="2"/>
    </row>
    <row r="25179" spans="1:8" x14ac:dyDescent="0.25">
      <c r="A25179" s="1"/>
      <c r="B25179" s="1" t="s">
        <v>7328</v>
      </c>
      <c r="C25179" s="1" t="s">
        <v>7329</v>
      </c>
      <c r="D25179" s="22" t="str">
        <f>HYPERLINK("https://rhld.insurance.arkansas.gov/NPILookup?Npi=1477090637","1477090637")</f>
        <v>1477090637</v>
      </c>
      <c r="E25179" s="1" t="s">
        <v>2851</v>
      </c>
      <c r="F25179" s="2"/>
      <c r="G25179" s="2"/>
      <c r="H25179" s="2"/>
    </row>
    <row r="25180" spans="1:8" x14ac:dyDescent="0.25">
      <c r="A25180" s="1"/>
      <c r="B25180" s="1" t="s">
        <v>7328</v>
      </c>
      <c r="C25180" s="1" t="s">
        <v>7329</v>
      </c>
      <c r="D25180" s="22" t="str">
        <f>HYPERLINK("https://rhld.insurance.arkansas.gov/NPILookup?Npi=1477093458","1477093458")</f>
        <v>1477093458</v>
      </c>
      <c r="E25180" s="1" t="s">
        <v>27258</v>
      </c>
      <c r="F25180" s="2"/>
      <c r="G25180" s="2"/>
      <c r="H25180" s="2"/>
    </row>
    <row r="25181" spans="1:8" x14ac:dyDescent="0.25">
      <c r="A25181" s="1"/>
      <c r="B25181" s="1" t="s">
        <v>7328</v>
      </c>
      <c r="C25181" s="1" t="s">
        <v>7329</v>
      </c>
      <c r="D25181" s="22" t="str">
        <f>HYPERLINK("https://rhld.insurance.arkansas.gov/NPILookup?Npi=1477101152","1477101152")</f>
        <v>1477101152</v>
      </c>
      <c r="E25181" s="1" t="s">
        <v>27259</v>
      </c>
      <c r="F25181" s="2"/>
      <c r="G25181" s="2"/>
      <c r="H25181" s="2"/>
    </row>
    <row r="25182" spans="1:8" x14ac:dyDescent="0.25">
      <c r="A25182" s="1"/>
      <c r="B25182" s="1" t="s">
        <v>7328</v>
      </c>
      <c r="C25182" s="1" t="s">
        <v>7329</v>
      </c>
      <c r="D25182" s="22" t="str">
        <f>HYPERLINK("https://rhld.insurance.arkansas.gov/NPILookup?Npi=1477102119","1477102119")</f>
        <v>1477102119</v>
      </c>
      <c r="E25182" s="1" t="s">
        <v>1482</v>
      </c>
      <c r="F25182" s="2"/>
      <c r="G25182" s="2"/>
      <c r="H25182" s="2"/>
    </row>
    <row r="25183" spans="1:8" x14ac:dyDescent="0.25">
      <c r="A25183" s="1"/>
      <c r="B25183" s="1" t="s">
        <v>7328</v>
      </c>
      <c r="C25183" s="1" t="s">
        <v>7329</v>
      </c>
      <c r="D25183" s="22" t="str">
        <f>HYPERLINK("https://rhld.insurance.arkansas.gov/NPILookup?Npi=1477119543","1477119543")</f>
        <v>1477119543</v>
      </c>
      <c r="E25183" s="1" t="s">
        <v>27260</v>
      </c>
      <c r="F25183" s="2"/>
      <c r="G25183" s="2"/>
      <c r="H25183" s="2"/>
    </row>
    <row r="25184" spans="1:8" x14ac:dyDescent="0.25">
      <c r="A25184" s="1"/>
      <c r="B25184" s="1" t="s">
        <v>7328</v>
      </c>
      <c r="C25184" s="1" t="s">
        <v>7329</v>
      </c>
      <c r="D25184" s="22" t="str">
        <f>HYPERLINK("https://rhld.insurance.arkansas.gov/NPILookup?Npi=1477127330","1477127330")</f>
        <v>1477127330</v>
      </c>
      <c r="E25184" s="1" t="s">
        <v>7787</v>
      </c>
      <c r="F25184" s="2"/>
      <c r="G25184" s="2"/>
      <c r="H25184" s="2"/>
    </row>
    <row r="25185" spans="1:8" x14ac:dyDescent="0.25">
      <c r="A25185" s="1"/>
      <c r="B25185" s="1" t="s">
        <v>7328</v>
      </c>
      <c r="C25185" s="1" t="s">
        <v>7329</v>
      </c>
      <c r="D25185" s="22" t="str">
        <f>HYPERLINK("https://rhld.insurance.arkansas.gov/NPILookup?Npi=1477132439","1477132439")</f>
        <v>1477132439</v>
      </c>
      <c r="E25185" s="1" t="s">
        <v>27261</v>
      </c>
      <c r="F25185" s="2"/>
      <c r="G25185" s="2"/>
      <c r="H25185" s="2"/>
    </row>
    <row r="25186" spans="1:8" x14ac:dyDescent="0.25">
      <c r="A25186" s="1"/>
      <c r="B25186" s="1" t="s">
        <v>7328</v>
      </c>
      <c r="C25186" s="1" t="s">
        <v>7329</v>
      </c>
      <c r="D25186" s="22" t="str">
        <f>HYPERLINK("https://rhld.insurance.arkansas.gov/NPILookup?Npi=1477135267","1477135267")</f>
        <v>1477135267</v>
      </c>
      <c r="E25186" s="1" t="s">
        <v>13163</v>
      </c>
      <c r="F25186" s="2"/>
      <c r="G25186" s="2"/>
      <c r="H25186" s="2"/>
    </row>
    <row r="25187" spans="1:8" x14ac:dyDescent="0.25">
      <c r="A25187" s="1"/>
      <c r="B25187" s="1" t="s">
        <v>7328</v>
      </c>
      <c r="C25187" s="1" t="s">
        <v>7329</v>
      </c>
      <c r="D25187" s="22" t="str">
        <f>HYPERLINK("https://rhld.insurance.arkansas.gov/NPILookup?Npi=1477151157","1477151157")</f>
        <v>1477151157</v>
      </c>
      <c r="E25187" s="1" t="s">
        <v>7788</v>
      </c>
      <c r="F25187" s="2"/>
      <c r="G25187" s="2"/>
      <c r="H25187" s="2"/>
    </row>
    <row r="25188" spans="1:8" x14ac:dyDescent="0.25">
      <c r="A25188" s="1"/>
      <c r="B25188" s="1" t="s">
        <v>7328</v>
      </c>
      <c r="C25188" s="1" t="s">
        <v>7329</v>
      </c>
      <c r="D25188" s="22" t="str">
        <f>HYPERLINK("https://rhld.insurance.arkansas.gov/NPILookup?Npi=1477154771","1477154771")</f>
        <v>1477154771</v>
      </c>
      <c r="E25188" s="1" t="s">
        <v>13164</v>
      </c>
      <c r="F25188" s="2"/>
      <c r="G25188" s="2"/>
      <c r="H25188" s="2"/>
    </row>
    <row r="25189" spans="1:8" x14ac:dyDescent="0.25">
      <c r="A25189" s="1"/>
      <c r="B25189" s="1" t="s">
        <v>7328</v>
      </c>
      <c r="C25189" s="1" t="s">
        <v>7329</v>
      </c>
      <c r="D25189" s="22" t="str">
        <f>HYPERLINK("https://rhld.insurance.arkansas.gov/NPILookup?Npi=1477156719","1477156719")</f>
        <v>1477156719</v>
      </c>
      <c r="E25189" s="1" t="s">
        <v>1641</v>
      </c>
      <c r="F25189" s="2"/>
      <c r="G25189" s="2"/>
      <c r="H25189" s="2"/>
    </row>
    <row r="25190" spans="1:8" x14ac:dyDescent="0.25">
      <c r="A25190" s="1"/>
      <c r="B25190" s="1" t="s">
        <v>7328</v>
      </c>
      <c r="C25190" s="1" t="s">
        <v>7329</v>
      </c>
      <c r="D25190" s="22" t="str">
        <f>HYPERLINK("https://rhld.insurance.arkansas.gov/NPILookup?Npi=1477167468","1477167468")</f>
        <v>1477167468</v>
      </c>
      <c r="E25190" s="1" t="s">
        <v>27262</v>
      </c>
      <c r="F25190" s="2"/>
      <c r="G25190" s="2"/>
      <c r="H25190" s="2"/>
    </row>
    <row r="25191" spans="1:8" x14ac:dyDescent="0.25">
      <c r="A25191" s="1"/>
      <c r="B25191" s="1" t="s">
        <v>7328</v>
      </c>
      <c r="C25191" s="1" t="s">
        <v>7329</v>
      </c>
      <c r="D25191" s="22" t="str">
        <f>HYPERLINK("https://rhld.insurance.arkansas.gov/NPILookup?Npi=1477170082","1477170082")</f>
        <v>1477170082</v>
      </c>
      <c r="E25191" s="1" t="s">
        <v>27263</v>
      </c>
      <c r="F25191" s="2"/>
      <c r="G25191" s="2"/>
      <c r="H25191" s="2"/>
    </row>
    <row r="25192" spans="1:8" x14ac:dyDescent="0.25">
      <c r="A25192" s="1"/>
      <c r="B25192" s="1" t="s">
        <v>7328</v>
      </c>
      <c r="C25192" s="1" t="s">
        <v>7329</v>
      </c>
      <c r="D25192" s="22" t="str">
        <f>HYPERLINK("https://rhld.insurance.arkansas.gov/NPILookup?Npi=1477183176","1477183176")</f>
        <v>1477183176</v>
      </c>
      <c r="E25192" s="1" t="s">
        <v>27264</v>
      </c>
      <c r="F25192" s="2"/>
      <c r="G25192" s="2"/>
      <c r="H25192" s="2"/>
    </row>
    <row r="25193" spans="1:8" x14ac:dyDescent="0.25">
      <c r="A25193" s="1"/>
      <c r="B25193" s="1" t="s">
        <v>7328</v>
      </c>
      <c r="C25193" s="1" t="s">
        <v>7329</v>
      </c>
      <c r="D25193" s="22" t="str">
        <f>HYPERLINK("https://rhld.insurance.arkansas.gov/NPILookup?Npi=1477190023","1477190023")</f>
        <v>1477190023</v>
      </c>
      <c r="E25193" s="1" t="s">
        <v>27265</v>
      </c>
      <c r="F25193" s="2"/>
      <c r="G25193" s="2"/>
      <c r="H25193" s="2"/>
    </row>
    <row r="25194" spans="1:8" x14ac:dyDescent="0.25">
      <c r="A25194" s="1"/>
      <c r="B25194" s="1" t="s">
        <v>7328</v>
      </c>
      <c r="C25194" s="1" t="s">
        <v>7329</v>
      </c>
      <c r="D25194" s="22" t="str">
        <f>HYPERLINK("https://rhld.insurance.arkansas.gov/NPILookup?Npi=1477190759","1477190759")</f>
        <v>1477190759</v>
      </c>
      <c r="E25194" s="1" t="s">
        <v>13165</v>
      </c>
      <c r="F25194" s="2"/>
      <c r="G25194" s="2"/>
      <c r="H25194" s="2"/>
    </row>
    <row r="25195" spans="1:8" x14ac:dyDescent="0.25">
      <c r="A25195" s="1"/>
      <c r="B25195" s="1" t="s">
        <v>7328</v>
      </c>
      <c r="C25195" s="1" t="s">
        <v>7329</v>
      </c>
      <c r="D25195" s="22" t="str">
        <f>HYPERLINK("https://rhld.insurance.arkansas.gov/NPILookup?Npi=1477199354","1477199354")</f>
        <v>1477199354</v>
      </c>
      <c r="E25195" s="1" t="s">
        <v>27266</v>
      </c>
      <c r="F25195" s="2"/>
      <c r="G25195" s="2"/>
      <c r="H25195" s="2"/>
    </row>
    <row r="25196" spans="1:8" x14ac:dyDescent="0.25">
      <c r="A25196" s="1"/>
      <c r="B25196" s="1" t="s">
        <v>7328</v>
      </c>
      <c r="C25196" s="1" t="s">
        <v>7329</v>
      </c>
      <c r="D25196" s="22" t="str">
        <f>HYPERLINK("https://rhld.insurance.arkansas.gov/NPILookup?Npi=1477207678","1477207678")</f>
        <v>1477207678</v>
      </c>
      <c r="E25196" s="1" t="s">
        <v>27267</v>
      </c>
      <c r="F25196" s="2"/>
      <c r="G25196" s="2"/>
      <c r="H25196" s="2"/>
    </row>
    <row r="25197" spans="1:8" x14ac:dyDescent="0.25">
      <c r="A25197" s="1"/>
      <c r="B25197" s="1" t="s">
        <v>7328</v>
      </c>
      <c r="C25197" s="1" t="s">
        <v>7329</v>
      </c>
      <c r="D25197" s="22" t="str">
        <f>HYPERLINK("https://rhld.insurance.arkansas.gov/NPILookup?Npi=1477207827","1477207827")</f>
        <v>1477207827</v>
      </c>
      <c r="E25197" s="1" t="s">
        <v>27268</v>
      </c>
      <c r="F25197" s="2"/>
      <c r="G25197" s="2"/>
      <c r="H25197" s="2"/>
    </row>
    <row r="25198" spans="1:8" x14ac:dyDescent="0.25">
      <c r="A25198" s="1"/>
      <c r="B25198" s="1" t="s">
        <v>7328</v>
      </c>
      <c r="C25198" s="1" t="s">
        <v>7329</v>
      </c>
      <c r="D25198" s="22" t="str">
        <f>HYPERLINK("https://rhld.insurance.arkansas.gov/NPILookup?Npi=1477209401","1477209401")</f>
        <v>1477209401</v>
      </c>
      <c r="E25198" s="1" t="s">
        <v>13166</v>
      </c>
      <c r="F25198" s="2"/>
      <c r="G25198" s="2"/>
      <c r="H25198" s="2"/>
    </row>
    <row r="25199" spans="1:8" x14ac:dyDescent="0.25">
      <c r="A25199" s="1"/>
      <c r="B25199" s="1" t="s">
        <v>7328</v>
      </c>
      <c r="C25199" s="1" t="s">
        <v>7329</v>
      </c>
      <c r="D25199" s="22" t="str">
        <f>HYPERLINK("https://rhld.insurance.arkansas.gov/NPILookup?Npi=1477217438","1477217438")</f>
        <v>1477217438</v>
      </c>
      <c r="E25199" s="1" t="s">
        <v>27269</v>
      </c>
      <c r="F25199" s="2"/>
      <c r="G25199" s="2"/>
      <c r="H25199" s="2"/>
    </row>
    <row r="25200" spans="1:8" x14ac:dyDescent="0.25">
      <c r="A25200" s="1"/>
      <c r="B25200" s="1" t="s">
        <v>7328</v>
      </c>
      <c r="C25200" s="1" t="s">
        <v>7329</v>
      </c>
      <c r="D25200" s="22" t="str">
        <f>HYPERLINK("https://rhld.insurance.arkansas.gov/NPILookup?Npi=1477234490","1477234490")</f>
        <v>1477234490</v>
      </c>
      <c r="E25200" s="1" t="s">
        <v>32246</v>
      </c>
      <c r="F25200" s="2"/>
      <c r="G25200" s="2"/>
      <c r="H25200" s="2"/>
    </row>
    <row r="25201" spans="1:8" x14ac:dyDescent="0.25">
      <c r="A25201" s="1"/>
      <c r="B25201" s="1" t="s">
        <v>7328</v>
      </c>
      <c r="C25201" s="1" t="s">
        <v>7329</v>
      </c>
      <c r="D25201" s="22" t="str">
        <f>HYPERLINK("https://rhld.insurance.arkansas.gov/NPILookup?Npi=1477264745","1477264745")</f>
        <v>1477264745</v>
      </c>
      <c r="E25201" s="1" t="s">
        <v>27270</v>
      </c>
      <c r="F25201" s="2"/>
      <c r="G25201" s="2"/>
      <c r="H25201" s="2"/>
    </row>
    <row r="25202" spans="1:8" x14ac:dyDescent="0.25">
      <c r="A25202" s="1"/>
      <c r="B25202" s="1" t="s">
        <v>7328</v>
      </c>
      <c r="C25202" s="1" t="s">
        <v>7329</v>
      </c>
      <c r="D25202" s="22" t="str">
        <f>HYPERLINK("https://rhld.insurance.arkansas.gov/NPILookup?Npi=1477269306","1477269306")</f>
        <v>1477269306</v>
      </c>
      <c r="E25202" s="1" t="s">
        <v>7789</v>
      </c>
      <c r="F25202" s="2"/>
      <c r="G25202" s="2"/>
      <c r="H25202" s="2"/>
    </row>
    <row r="25203" spans="1:8" x14ac:dyDescent="0.25">
      <c r="A25203" s="1"/>
      <c r="B25203" s="1" t="s">
        <v>7328</v>
      </c>
      <c r="C25203" s="1" t="s">
        <v>7329</v>
      </c>
      <c r="D25203" s="22" t="str">
        <f>HYPERLINK("https://rhld.insurance.arkansas.gov/NPILookup?Npi=1477321917","1477321917")</f>
        <v>1477321917</v>
      </c>
      <c r="E25203" s="1" t="s">
        <v>13167</v>
      </c>
      <c r="F25203" s="2"/>
      <c r="G25203" s="2"/>
      <c r="H25203" s="2"/>
    </row>
    <row r="25204" spans="1:8" x14ac:dyDescent="0.25">
      <c r="A25204" s="1"/>
      <c r="B25204" s="1" t="s">
        <v>7328</v>
      </c>
      <c r="C25204" s="1" t="s">
        <v>7329</v>
      </c>
      <c r="D25204" s="22" t="str">
        <f>HYPERLINK("https://rhld.insurance.arkansas.gov/NPILookup?Npi=1477322485","1477322485")</f>
        <v>1477322485</v>
      </c>
      <c r="E25204" s="1" t="s">
        <v>7790</v>
      </c>
      <c r="F25204" s="2"/>
      <c r="G25204" s="2"/>
      <c r="H25204" s="2"/>
    </row>
    <row r="25205" spans="1:8" x14ac:dyDescent="0.25">
      <c r="A25205" s="1"/>
      <c r="B25205" s="1" t="s">
        <v>7328</v>
      </c>
      <c r="C25205" s="1" t="s">
        <v>7329</v>
      </c>
      <c r="D25205" s="22" t="str">
        <f>HYPERLINK("https://rhld.insurance.arkansas.gov/NPILookup?Npi=1477374973","1477374973")</f>
        <v>1477374973</v>
      </c>
      <c r="E25205" s="1" t="s">
        <v>32247</v>
      </c>
      <c r="F25205" s="2"/>
      <c r="G25205" s="2"/>
      <c r="H25205" s="2"/>
    </row>
    <row r="25206" spans="1:8" x14ac:dyDescent="0.25">
      <c r="A25206" s="1"/>
      <c r="B25206" s="1" t="s">
        <v>7328</v>
      </c>
      <c r="C25206" s="1" t="s">
        <v>7329</v>
      </c>
      <c r="D25206" s="22" t="str">
        <f>HYPERLINK("https://rhld.insurance.arkansas.gov/NPILookup?Npi=1477394930","1477394930")</f>
        <v>1477394930</v>
      </c>
      <c r="E25206" s="1" t="s">
        <v>27271</v>
      </c>
      <c r="F25206" s="2"/>
      <c r="G25206" s="2"/>
      <c r="H25206" s="2"/>
    </row>
    <row r="25207" spans="1:8" x14ac:dyDescent="0.25">
      <c r="A25207" s="1"/>
      <c r="B25207" s="1" t="s">
        <v>7328</v>
      </c>
      <c r="C25207" s="1" t="s">
        <v>7329</v>
      </c>
      <c r="D25207" s="22" t="str">
        <f>HYPERLINK("https://rhld.insurance.arkansas.gov/NPILookup?Npi=1477501518","1477501518")</f>
        <v>1477501518</v>
      </c>
      <c r="E25207" s="1" t="s">
        <v>27272</v>
      </c>
      <c r="F25207" s="2"/>
      <c r="G25207" s="2"/>
      <c r="H25207" s="2"/>
    </row>
    <row r="25208" spans="1:8" x14ac:dyDescent="0.25">
      <c r="A25208" s="1"/>
      <c r="B25208" s="1" t="s">
        <v>7328</v>
      </c>
      <c r="C25208" s="1" t="s">
        <v>7329</v>
      </c>
      <c r="D25208" s="22" t="str">
        <f>HYPERLINK("https://rhld.insurance.arkansas.gov/NPILookup?Npi=1477517217","1477517217")</f>
        <v>1477517217</v>
      </c>
      <c r="E25208" s="1" t="s">
        <v>2852</v>
      </c>
      <c r="F25208" s="2"/>
      <c r="G25208" s="2"/>
      <c r="H25208" s="2"/>
    </row>
    <row r="25209" spans="1:8" x14ac:dyDescent="0.25">
      <c r="A25209" s="1"/>
      <c r="B25209" s="1" t="s">
        <v>7328</v>
      </c>
      <c r="C25209" s="1" t="s">
        <v>7329</v>
      </c>
      <c r="D25209" s="22" t="str">
        <f>HYPERLINK("https://rhld.insurance.arkansas.gov/NPILookup?Npi=1477521037","1477521037")</f>
        <v>1477521037</v>
      </c>
      <c r="E25209" s="1" t="s">
        <v>27273</v>
      </c>
      <c r="F25209" s="2"/>
      <c r="G25209" s="2"/>
      <c r="H25209" s="2"/>
    </row>
    <row r="25210" spans="1:8" x14ac:dyDescent="0.25">
      <c r="A25210" s="1"/>
      <c r="B25210" s="1" t="s">
        <v>7328</v>
      </c>
      <c r="C25210" s="1" t="s">
        <v>7329</v>
      </c>
      <c r="D25210" s="22" t="str">
        <f>HYPERLINK("https://rhld.insurance.arkansas.gov/NPILookup?Npi=1477523215","1477523215")</f>
        <v>1477523215</v>
      </c>
      <c r="E25210" s="1" t="s">
        <v>2853</v>
      </c>
      <c r="F25210" s="2"/>
      <c r="G25210" s="2"/>
      <c r="H25210" s="2"/>
    </row>
    <row r="25211" spans="1:8" x14ac:dyDescent="0.25">
      <c r="A25211" s="1"/>
      <c r="B25211" s="1" t="s">
        <v>7328</v>
      </c>
      <c r="C25211" s="1" t="s">
        <v>7329</v>
      </c>
      <c r="D25211" s="22" t="str">
        <f>HYPERLINK("https://rhld.insurance.arkansas.gov/NPILookup?Npi=1477540532","1477540532")</f>
        <v>1477540532</v>
      </c>
      <c r="E25211" s="1" t="s">
        <v>27274</v>
      </c>
      <c r="F25211" s="2"/>
      <c r="G25211" s="2"/>
      <c r="H25211" s="2"/>
    </row>
    <row r="25212" spans="1:8" x14ac:dyDescent="0.25">
      <c r="A25212" s="1"/>
      <c r="B25212" s="1" t="s">
        <v>7328</v>
      </c>
      <c r="C25212" s="1" t="s">
        <v>7329</v>
      </c>
      <c r="D25212" s="22" t="str">
        <f>HYPERLINK("https://rhld.insurance.arkansas.gov/NPILookup?Npi=1477575355","1477575355")</f>
        <v>1477575355</v>
      </c>
      <c r="E25212" s="1" t="s">
        <v>13168</v>
      </c>
      <c r="F25212" s="2"/>
      <c r="G25212" s="2"/>
      <c r="H25212" s="2"/>
    </row>
    <row r="25213" spans="1:8" x14ac:dyDescent="0.25">
      <c r="A25213" s="1"/>
      <c r="B25213" s="1" t="s">
        <v>7328</v>
      </c>
      <c r="C25213" s="1" t="s">
        <v>7329</v>
      </c>
      <c r="D25213" s="22" t="str">
        <f>HYPERLINK("https://rhld.insurance.arkansas.gov/NPILookup?Npi=1477586345","1477586345")</f>
        <v>1477586345</v>
      </c>
      <c r="E25213" s="1" t="s">
        <v>253</v>
      </c>
      <c r="F25213" s="2"/>
      <c r="G25213" s="2"/>
      <c r="H25213" s="2"/>
    </row>
    <row r="25214" spans="1:8" x14ac:dyDescent="0.25">
      <c r="A25214" s="1"/>
      <c r="B25214" s="1" t="s">
        <v>7328</v>
      </c>
      <c r="C25214" s="1" t="s">
        <v>7329</v>
      </c>
      <c r="D25214" s="22" t="str">
        <f>HYPERLINK("https://rhld.insurance.arkansas.gov/NPILookup?Npi=1477632099","1477632099")</f>
        <v>1477632099</v>
      </c>
      <c r="E25214" s="1" t="s">
        <v>27275</v>
      </c>
      <c r="F25214" s="2"/>
      <c r="G25214" s="2"/>
      <c r="H25214" s="2"/>
    </row>
    <row r="25215" spans="1:8" x14ac:dyDescent="0.25">
      <c r="A25215" s="1"/>
      <c r="B25215" s="1" t="s">
        <v>7328</v>
      </c>
      <c r="C25215" s="1" t="s">
        <v>7329</v>
      </c>
      <c r="D25215" s="22" t="str">
        <f>HYPERLINK("https://rhld.insurance.arkansas.gov/NPILookup?Npi=1477644979","1477644979")</f>
        <v>1477644979</v>
      </c>
      <c r="E25215" s="1" t="s">
        <v>27276</v>
      </c>
      <c r="F25215" s="2"/>
      <c r="G25215" s="2"/>
      <c r="H25215" s="2"/>
    </row>
    <row r="25216" spans="1:8" x14ac:dyDescent="0.25">
      <c r="A25216" s="1"/>
      <c r="B25216" s="1" t="s">
        <v>7328</v>
      </c>
      <c r="C25216" s="1" t="s">
        <v>7329</v>
      </c>
      <c r="D25216" s="22" t="str">
        <f>HYPERLINK("https://rhld.insurance.arkansas.gov/NPILookup?Npi=1477659464","1477659464")</f>
        <v>1477659464</v>
      </c>
      <c r="E25216" s="1" t="s">
        <v>24784</v>
      </c>
      <c r="F25216" s="2"/>
      <c r="G25216" s="2"/>
      <c r="H25216" s="2"/>
    </row>
    <row r="25217" spans="1:8" x14ac:dyDescent="0.25">
      <c r="A25217" s="1"/>
      <c r="B25217" s="1" t="s">
        <v>7328</v>
      </c>
      <c r="C25217" s="1" t="s">
        <v>7329</v>
      </c>
      <c r="D25217" s="22" t="str">
        <f>HYPERLINK("https://rhld.insurance.arkansas.gov/NPILookup?Npi=1477660637","1477660637")</f>
        <v>1477660637</v>
      </c>
      <c r="E25217" s="1" t="s">
        <v>2854</v>
      </c>
      <c r="F25217" s="2"/>
      <c r="G25217" s="2"/>
      <c r="H25217" s="2"/>
    </row>
    <row r="25218" spans="1:8" x14ac:dyDescent="0.25">
      <c r="A25218" s="1"/>
      <c r="B25218" s="1" t="s">
        <v>7328</v>
      </c>
      <c r="C25218" s="1" t="s">
        <v>7329</v>
      </c>
      <c r="D25218" s="22" t="str">
        <f>HYPERLINK("https://rhld.insurance.arkansas.gov/NPILookup?Npi=1477665446","1477665446")</f>
        <v>1477665446</v>
      </c>
      <c r="E25218" s="1" t="s">
        <v>27277</v>
      </c>
      <c r="F25218" s="2"/>
      <c r="G25218" s="2"/>
      <c r="H25218" s="2"/>
    </row>
    <row r="25219" spans="1:8" x14ac:dyDescent="0.25">
      <c r="A25219" s="1"/>
      <c r="B25219" s="1" t="s">
        <v>7328</v>
      </c>
      <c r="C25219" s="1" t="s">
        <v>7329</v>
      </c>
      <c r="D25219" s="22" t="str">
        <f>HYPERLINK("https://rhld.insurance.arkansas.gov/NPILookup?Npi=1477683886","1477683886")</f>
        <v>1477683886</v>
      </c>
      <c r="E25219" s="1" t="s">
        <v>729</v>
      </c>
      <c r="F25219" s="2"/>
      <c r="G25219" s="2"/>
      <c r="H25219" s="2"/>
    </row>
    <row r="25220" spans="1:8" x14ac:dyDescent="0.25">
      <c r="A25220" s="1"/>
      <c r="B25220" s="1" t="s">
        <v>7328</v>
      </c>
      <c r="C25220" s="1" t="s">
        <v>7329</v>
      </c>
      <c r="D25220" s="22" t="str">
        <f>HYPERLINK("https://rhld.insurance.arkansas.gov/NPILookup?Npi=1477692572","1477692572")</f>
        <v>1477692572</v>
      </c>
      <c r="E25220" s="1" t="s">
        <v>32248</v>
      </c>
      <c r="F25220" s="2"/>
      <c r="G25220" s="2"/>
      <c r="H25220" s="2"/>
    </row>
    <row r="25221" spans="1:8" x14ac:dyDescent="0.25">
      <c r="A25221" s="1"/>
      <c r="B25221" s="1" t="s">
        <v>7328</v>
      </c>
      <c r="C25221" s="1" t="s">
        <v>7329</v>
      </c>
      <c r="D25221" s="22" t="str">
        <f>HYPERLINK("https://rhld.insurance.arkansas.gov/NPILookup?Npi=1477696284","1477696284")</f>
        <v>1477696284</v>
      </c>
      <c r="E25221" s="1" t="s">
        <v>27278</v>
      </c>
      <c r="F25221" s="2"/>
      <c r="G25221" s="2"/>
      <c r="H25221" s="2"/>
    </row>
    <row r="25222" spans="1:8" x14ac:dyDescent="0.25">
      <c r="A25222" s="1"/>
      <c r="B25222" s="1" t="s">
        <v>7328</v>
      </c>
      <c r="C25222" s="1" t="s">
        <v>7329</v>
      </c>
      <c r="D25222" s="22" t="str">
        <f>HYPERLINK("https://rhld.insurance.arkansas.gov/NPILookup?Npi=1477703973","1477703973")</f>
        <v>1477703973</v>
      </c>
      <c r="E25222" s="1" t="s">
        <v>27279</v>
      </c>
      <c r="F25222" s="2"/>
      <c r="G25222" s="2"/>
      <c r="H25222" s="2"/>
    </row>
    <row r="25223" spans="1:8" x14ac:dyDescent="0.25">
      <c r="A25223" s="1"/>
      <c r="B25223" s="1" t="s">
        <v>7328</v>
      </c>
      <c r="C25223" s="1" t="s">
        <v>7329</v>
      </c>
      <c r="D25223" s="22" t="str">
        <f>HYPERLINK("https://rhld.insurance.arkansas.gov/NPILookup?Npi=1477706836","1477706836")</f>
        <v>1477706836</v>
      </c>
      <c r="E25223" s="1" t="s">
        <v>27280</v>
      </c>
      <c r="F25223" s="2"/>
      <c r="G25223" s="2"/>
      <c r="H25223" s="2"/>
    </row>
    <row r="25224" spans="1:8" x14ac:dyDescent="0.25">
      <c r="A25224" s="1"/>
      <c r="B25224" s="1" t="s">
        <v>7328</v>
      </c>
      <c r="C25224" s="1" t="s">
        <v>7329</v>
      </c>
      <c r="D25224" s="22" t="str">
        <f>HYPERLINK("https://rhld.insurance.arkansas.gov/NPILookup?Npi=1477714350","1477714350")</f>
        <v>1477714350</v>
      </c>
      <c r="E25224" s="1" t="s">
        <v>7791</v>
      </c>
      <c r="F25224" s="2"/>
      <c r="G25224" s="2"/>
      <c r="H25224" s="2"/>
    </row>
    <row r="25225" spans="1:8" x14ac:dyDescent="0.25">
      <c r="A25225" s="1"/>
      <c r="B25225" s="1" t="s">
        <v>7328</v>
      </c>
      <c r="C25225" s="1" t="s">
        <v>7329</v>
      </c>
      <c r="D25225" s="22" t="str">
        <f>HYPERLINK("https://rhld.insurance.arkansas.gov/NPILookup?Npi=1477737278","1477737278")</f>
        <v>1477737278</v>
      </c>
      <c r="E25225" s="1" t="s">
        <v>27281</v>
      </c>
      <c r="F25225" s="2"/>
      <c r="G25225" s="2"/>
      <c r="H25225" s="2"/>
    </row>
    <row r="25226" spans="1:8" x14ac:dyDescent="0.25">
      <c r="A25226" s="1"/>
      <c r="B25226" s="1" t="s">
        <v>7328</v>
      </c>
      <c r="C25226" s="1" t="s">
        <v>7329</v>
      </c>
      <c r="D25226" s="22" t="str">
        <f>HYPERLINK("https://rhld.insurance.arkansas.gov/NPILookup?Npi=1477738342","1477738342")</f>
        <v>1477738342</v>
      </c>
      <c r="E25226" s="1" t="s">
        <v>17568</v>
      </c>
      <c r="F25226" s="2"/>
      <c r="G25226" s="2"/>
      <c r="H25226" s="2"/>
    </row>
    <row r="25227" spans="1:8" x14ac:dyDescent="0.25">
      <c r="A25227" s="1"/>
      <c r="B25227" s="1" t="s">
        <v>7328</v>
      </c>
      <c r="C25227" s="1" t="s">
        <v>7329</v>
      </c>
      <c r="D25227" s="22" t="str">
        <f>HYPERLINK("https://rhld.insurance.arkansas.gov/NPILookup?Npi=1477782621","1477782621")</f>
        <v>1477782621</v>
      </c>
      <c r="E25227" s="1" t="s">
        <v>27282</v>
      </c>
      <c r="F25227" s="2"/>
      <c r="G25227" s="2"/>
      <c r="H25227" s="2"/>
    </row>
    <row r="25228" spans="1:8" x14ac:dyDescent="0.25">
      <c r="A25228" s="1"/>
      <c r="B25228" s="1" t="s">
        <v>7328</v>
      </c>
      <c r="C25228" s="1" t="s">
        <v>7329</v>
      </c>
      <c r="D25228" s="22" t="str">
        <f>HYPERLINK("https://rhld.insurance.arkansas.gov/NPILookup?Npi=1477792869","1477792869")</f>
        <v>1477792869</v>
      </c>
      <c r="E25228" s="1" t="s">
        <v>27283</v>
      </c>
      <c r="F25228" s="2"/>
      <c r="G25228" s="2"/>
      <c r="H25228" s="2"/>
    </row>
    <row r="25229" spans="1:8" x14ac:dyDescent="0.25">
      <c r="A25229" s="1"/>
      <c r="B25229" s="1" t="s">
        <v>7328</v>
      </c>
      <c r="C25229" s="1" t="s">
        <v>7329</v>
      </c>
      <c r="D25229" s="22" t="str">
        <f>HYPERLINK("https://rhld.insurance.arkansas.gov/NPILookup?Npi=1477817914","1477817914")</f>
        <v>1477817914</v>
      </c>
      <c r="E25229" s="1" t="s">
        <v>10323</v>
      </c>
      <c r="F25229" s="2"/>
      <c r="G25229" s="2"/>
      <c r="H25229" s="2"/>
    </row>
    <row r="25230" spans="1:8" x14ac:dyDescent="0.25">
      <c r="A25230" s="1"/>
      <c r="B25230" s="1" t="s">
        <v>7328</v>
      </c>
      <c r="C25230" s="1" t="s">
        <v>7329</v>
      </c>
      <c r="D25230" s="22" t="str">
        <f>HYPERLINK("https://rhld.insurance.arkansas.gov/NPILookup?Npi=1477850964","1477850964")</f>
        <v>1477850964</v>
      </c>
      <c r="E25230" s="1" t="s">
        <v>27284</v>
      </c>
      <c r="F25230" s="2"/>
      <c r="G25230" s="2"/>
      <c r="H25230" s="2"/>
    </row>
    <row r="25231" spans="1:8" x14ac:dyDescent="0.25">
      <c r="A25231" s="1"/>
      <c r="B25231" s="1" t="s">
        <v>7328</v>
      </c>
      <c r="C25231" s="1" t="s">
        <v>7329</v>
      </c>
      <c r="D25231" s="22" t="str">
        <f>HYPERLINK("https://rhld.insurance.arkansas.gov/NPILookup?Npi=1477862050","1477862050")</f>
        <v>1477862050</v>
      </c>
      <c r="E25231" s="1" t="s">
        <v>11829</v>
      </c>
      <c r="F25231" s="2"/>
      <c r="G25231" s="2"/>
      <c r="H25231" s="2"/>
    </row>
    <row r="25232" spans="1:8" x14ac:dyDescent="0.25">
      <c r="A25232" s="1"/>
      <c r="B25232" s="1" t="s">
        <v>7328</v>
      </c>
      <c r="C25232" s="1" t="s">
        <v>7329</v>
      </c>
      <c r="D25232" s="22" t="str">
        <f>HYPERLINK("https://rhld.insurance.arkansas.gov/NPILookup?Npi=1477888105","1477888105")</f>
        <v>1477888105</v>
      </c>
      <c r="E25232" s="1" t="s">
        <v>27285</v>
      </c>
      <c r="F25232" s="2"/>
      <c r="G25232" s="2"/>
      <c r="H25232" s="2"/>
    </row>
    <row r="25233" spans="1:8" x14ac:dyDescent="0.25">
      <c r="A25233" s="1"/>
      <c r="B25233" s="1" t="s">
        <v>7328</v>
      </c>
      <c r="C25233" s="1" t="s">
        <v>7329</v>
      </c>
      <c r="D25233" s="22" t="str">
        <f>HYPERLINK("https://rhld.insurance.arkansas.gov/NPILookup?Npi=1477893873","1477893873")</f>
        <v>1477893873</v>
      </c>
      <c r="E25233" s="1" t="s">
        <v>2856</v>
      </c>
      <c r="F25233" s="2"/>
      <c r="G25233" s="2"/>
      <c r="H25233" s="2"/>
    </row>
    <row r="25234" spans="1:8" x14ac:dyDescent="0.25">
      <c r="A25234" s="1"/>
      <c r="B25234" s="1" t="s">
        <v>7328</v>
      </c>
      <c r="C25234" s="1" t="s">
        <v>7329</v>
      </c>
      <c r="D25234" s="22" t="str">
        <f>HYPERLINK("https://rhld.insurance.arkansas.gov/NPILookup?Npi=1477898021","1477898021")</f>
        <v>1477898021</v>
      </c>
      <c r="E25234" s="1" t="s">
        <v>27286</v>
      </c>
      <c r="F25234" s="2"/>
      <c r="G25234" s="2"/>
      <c r="H25234" s="2"/>
    </row>
    <row r="25235" spans="1:8" x14ac:dyDescent="0.25">
      <c r="A25235" s="1"/>
      <c r="B25235" s="1" t="s">
        <v>7328</v>
      </c>
      <c r="C25235" s="1" t="s">
        <v>7329</v>
      </c>
      <c r="D25235" s="22" t="str">
        <f>HYPERLINK("https://rhld.insurance.arkansas.gov/NPILookup?Npi=1477903680","1477903680")</f>
        <v>1477903680</v>
      </c>
      <c r="E25235" s="1" t="s">
        <v>27287</v>
      </c>
      <c r="F25235" s="2"/>
      <c r="G25235" s="2"/>
      <c r="H25235" s="2"/>
    </row>
    <row r="25236" spans="1:8" x14ac:dyDescent="0.25">
      <c r="A25236" s="1"/>
      <c r="B25236" s="1" t="s">
        <v>7328</v>
      </c>
      <c r="C25236" s="1" t="s">
        <v>7329</v>
      </c>
      <c r="D25236" s="22" t="str">
        <f>HYPERLINK("https://rhld.insurance.arkansas.gov/NPILookup?Npi=1477905214","1477905214")</f>
        <v>1477905214</v>
      </c>
      <c r="E25236" s="1" t="s">
        <v>865</v>
      </c>
      <c r="F25236" s="2"/>
      <c r="G25236" s="2"/>
      <c r="H25236" s="2"/>
    </row>
    <row r="25237" spans="1:8" x14ac:dyDescent="0.25">
      <c r="A25237" s="1"/>
      <c r="B25237" s="1" t="s">
        <v>7328</v>
      </c>
      <c r="C25237" s="1" t="s">
        <v>7329</v>
      </c>
      <c r="D25237" s="22" t="str">
        <f>HYPERLINK("https://rhld.insurance.arkansas.gov/NPILookup?Npi=1477913853","1477913853")</f>
        <v>1477913853</v>
      </c>
      <c r="E25237" s="1" t="s">
        <v>2857</v>
      </c>
      <c r="F25237" s="2"/>
      <c r="G25237" s="2"/>
      <c r="H25237" s="2"/>
    </row>
    <row r="25238" spans="1:8" x14ac:dyDescent="0.25">
      <c r="A25238" s="1"/>
      <c r="B25238" s="1" t="s">
        <v>7328</v>
      </c>
      <c r="C25238" s="1" t="s">
        <v>7329</v>
      </c>
      <c r="D25238" s="22" t="str">
        <f>HYPERLINK("https://rhld.insurance.arkansas.gov/NPILookup?Npi=1477913861","1477913861")</f>
        <v>1477913861</v>
      </c>
      <c r="E25238" s="1" t="s">
        <v>27288</v>
      </c>
      <c r="F25238" s="2"/>
      <c r="G25238" s="2"/>
      <c r="H25238" s="2"/>
    </row>
    <row r="25239" spans="1:8" x14ac:dyDescent="0.25">
      <c r="A25239" s="1"/>
      <c r="B25239" s="1" t="s">
        <v>7328</v>
      </c>
      <c r="C25239" s="1" t="s">
        <v>7329</v>
      </c>
      <c r="D25239" s="22" t="str">
        <f>HYPERLINK("https://rhld.insurance.arkansas.gov/NPILookup?Npi=1477915593","1477915593")</f>
        <v>1477915593</v>
      </c>
      <c r="E25239" s="1" t="s">
        <v>2858</v>
      </c>
      <c r="F25239" s="2"/>
      <c r="G25239" s="2"/>
      <c r="H25239" s="2"/>
    </row>
    <row r="25240" spans="1:8" x14ac:dyDescent="0.25">
      <c r="A25240" s="1"/>
      <c r="B25240" s="1" t="s">
        <v>7328</v>
      </c>
      <c r="C25240" s="1" t="s">
        <v>7329</v>
      </c>
      <c r="D25240" s="22" t="str">
        <f>HYPERLINK("https://rhld.insurance.arkansas.gov/NPILookup?Npi=1477915973","1477915973")</f>
        <v>1477915973</v>
      </c>
      <c r="E25240" s="1" t="s">
        <v>27289</v>
      </c>
      <c r="F25240" s="2"/>
      <c r="G25240" s="2"/>
      <c r="H25240" s="2"/>
    </row>
    <row r="25241" spans="1:8" x14ac:dyDescent="0.25">
      <c r="A25241" s="1"/>
      <c r="B25241" s="1" t="s">
        <v>7328</v>
      </c>
      <c r="C25241" s="1" t="s">
        <v>7329</v>
      </c>
      <c r="D25241" s="22" t="str">
        <f>HYPERLINK("https://rhld.insurance.arkansas.gov/NPILookup?Npi=1477918738","1477918738")</f>
        <v>1477918738</v>
      </c>
      <c r="E25241" s="1" t="s">
        <v>765</v>
      </c>
      <c r="F25241" s="2"/>
      <c r="G25241" s="2"/>
      <c r="H25241" s="2"/>
    </row>
    <row r="25242" spans="1:8" x14ac:dyDescent="0.25">
      <c r="A25242" s="1"/>
      <c r="B25242" s="1" t="s">
        <v>7328</v>
      </c>
      <c r="C25242" s="1" t="s">
        <v>7329</v>
      </c>
      <c r="D25242" s="22" t="str">
        <f>HYPERLINK("https://rhld.insurance.arkansas.gov/NPILookup?Npi=1477923241","1477923241")</f>
        <v>1477923241</v>
      </c>
      <c r="E25242" s="1" t="s">
        <v>27290</v>
      </c>
      <c r="F25242" s="2"/>
      <c r="G25242" s="2"/>
      <c r="H25242" s="2"/>
    </row>
    <row r="25243" spans="1:8" x14ac:dyDescent="0.25">
      <c r="A25243" s="1"/>
      <c r="B25243" s="1" t="s">
        <v>7328</v>
      </c>
      <c r="C25243" s="1" t="s">
        <v>7329</v>
      </c>
      <c r="D25243" s="22" t="str">
        <f>HYPERLINK("https://rhld.insurance.arkansas.gov/NPILookup?Npi=1477925600","1477925600")</f>
        <v>1477925600</v>
      </c>
      <c r="E25243" s="1" t="s">
        <v>7792</v>
      </c>
      <c r="F25243" s="2"/>
      <c r="G25243" s="2"/>
      <c r="H25243" s="2"/>
    </row>
    <row r="25244" spans="1:8" x14ac:dyDescent="0.25">
      <c r="A25244" s="1"/>
      <c r="B25244" s="1" t="s">
        <v>7328</v>
      </c>
      <c r="C25244" s="1" t="s">
        <v>7329</v>
      </c>
      <c r="D25244" s="22" t="str">
        <f>HYPERLINK("https://rhld.insurance.arkansas.gov/NPILookup?Npi=1477932242","1477932242")</f>
        <v>1477932242</v>
      </c>
      <c r="E25244" s="1" t="s">
        <v>26094</v>
      </c>
      <c r="F25244" s="2"/>
      <c r="G25244" s="2"/>
      <c r="H25244" s="2"/>
    </row>
    <row r="25245" spans="1:8" x14ac:dyDescent="0.25">
      <c r="A25245" s="1"/>
      <c r="B25245" s="1" t="s">
        <v>7328</v>
      </c>
      <c r="C25245" s="1" t="s">
        <v>7329</v>
      </c>
      <c r="D25245" s="22" t="str">
        <f>HYPERLINK("https://rhld.insurance.arkansas.gov/NPILookup?Npi=1477933893","1477933893")</f>
        <v>1477933893</v>
      </c>
      <c r="E25245" s="1" t="s">
        <v>32249</v>
      </c>
      <c r="F25245" s="2"/>
      <c r="G25245" s="2"/>
      <c r="H25245" s="2"/>
    </row>
    <row r="25246" spans="1:8" x14ac:dyDescent="0.25">
      <c r="A25246" s="1"/>
      <c r="B25246" s="1" t="s">
        <v>7328</v>
      </c>
      <c r="C25246" s="1" t="s">
        <v>7329</v>
      </c>
      <c r="D25246" s="22" t="str">
        <f>HYPERLINK("https://rhld.insurance.arkansas.gov/NPILookup?Npi=1477935385","1477935385")</f>
        <v>1477935385</v>
      </c>
      <c r="E25246" s="1" t="s">
        <v>13169</v>
      </c>
      <c r="F25246" s="2"/>
      <c r="G25246" s="2"/>
      <c r="H25246" s="2"/>
    </row>
    <row r="25247" spans="1:8" x14ac:dyDescent="0.25">
      <c r="A25247" s="1"/>
      <c r="B25247" s="1" t="s">
        <v>7328</v>
      </c>
      <c r="C25247" s="1" t="s">
        <v>7329</v>
      </c>
      <c r="D25247" s="22" t="str">
        <f>HYPERLINK("https://rhld.insurance.arkansas.gov/NPILookup?Npi=1477938009","1477938009")</f>
        <v>1477938009</v>
      </c>
      <c r="E25247" s="1" t="s">
        <v>2859</v>
      </c>
      <c r="F25247" s="2"/>
      <c r="G25247" s="2"/>
      <c r="H25247" s="2"/>
    </row>
    <row r="25248" spans="1:8" x14ac:dyDescent="0.25">
      <c r="A25248" s="1"/>
      <c r="B25248" s="1" t="s">
        <v>7328</v>
      </c>
      <c r="C25248" s="1" t="s">
        <v>7329</v>
      </c>
      <c r="D25248" s="22" t="str">
        <f>HYPERLINK("https://rhld.insurance.arkansas.gov/NPILookup?Npi=1477940971","1477940971")</f>
        <v>1477940971</v>
      </c>
      <c r="E25248" s="1" t="s">
        <v>13170</v>
      </c>
      <c r="F25248" s="2"/>
      <c r="G25248" s="2"/>
      <c r="H25248" s="2"/>
    </row>
    <row r="25249" spans="1:8" x14ac:dyDescent="0.25">
      <c r="A25249" s="1"/>
      <c r="B25249" s="1" t="s">
        <v>7328</v>
      </c>
      <c r="C25249" s="1" t="s">
        <v>7329</v>
      </c>
      <c r="D25249" s="22" t="str">
        <f>HYPERLINK("https://rhld.insurance.arkansas.gov/NPILookup?Npi=1477949238","1477949238")</f>
        <v>1477949238</v>
      </c>
      <c r="E25249" s="1" t="s">
        <v>13171</v>
      </c>
      <c r="F25249" s="2"/>
      <c r="G25249" s="2"/>
      <c r="H25249" s="2"/>
    </row>
    <row r="25250" spans="1:8" x14ac:dyDescent="0.25">
      <c r="A25250" s="1"/>
      <c r="B25250" s="1" t="s">
        <v>7328</v>
      </c>
      <c r="C25250" s="1" t="s">
        <v>7329</v>
      </c>
      <c r="D25250" s="22" t="str">
        <f>HYPERLINK("https://rhld.insurance.arkansas.gov/NPILookup?Npi=1477955524","1477955524")</f>
        <v>1477955524</v>
      </c>
      <c r="E25250" s="1" t="s">
        <v>2860</v>
      </c>
      <c r="F25250" s="2"/>
      <c r="G25250" s="2"/>
      <c r="H25250" s="2"/>
    </row>
    <row r="25251" spans="1:8" x14ac:dyDescent="0.25">
      <c r="A25251" s="1"/>
      <c r="B25251" s="1" t="s">
        <v>7328</v>
      </c>
      <c r="C25251" s="1" t="s">
        <v>7329</v>
      </c>
      <c r="D25251" s="22" t="str">
        <f>HYPERLINK("https://rhld.insurance.arkansas.gov/NPILookup?Npi=1477958114","1477958114")</f>
        <v>1477958114</v>
      </c>
      <c r="E25251" s="1" t="s">
        <v>27291</v>
      </c>
      <c r="F25251" s="2"/>
      <c r="G25251" s="2"/>
      <c r="H25251" s="2"/>
    </row>
    <row r="25252" spans="1:8" x14ac:dyDescent="0.25">
      <c r="A25252" s="1"/>
      <c r="B25252" s="1" t="s">
        <v>7328</v>
      </c>
      <c r="C25252" s="1" t="s">
        <v>7329</v>
      </c>
      <c r="D25252" s="22" t="str">
        <f>HYPERLINK("https://rhld.insurance.arkansas.gov/NPILookup?Npi=1477960920","1477960920")</f>
        <v>1477960920</v>
      </c>
      <c r="E25252" s="1" t="s">
        <v>13172</v>
      </c>
      <c r="F25252" s="2"/>
      <c r="G25252" s="2"/>
      <c r="H25252" s="2"/>
    </row>
    <row r="25253" spans="1:8" x14ac:dyDescent="0.25">
      <c r="A25253" s="1"/>
      <c r="B25253" s="1" t="s">
        <v>7328</v>
      </c>
      <c r="C25253" s="1" t="s">
        <v>7329</v>
      </c>
      <c r="D25253" s="22" t="str">
        <f>HYPERLINK("https://rhld.insurance.arkansas.gov/NPILookup?Npi=1477960995","1477960995")</f>
        <v>1477960995</v>
      </c>
      <c r="E25253" s="1" t="s">
        <v>27292</v>
      </c>
      <c r="F25253" s="2"/>
      <c r="G25253" s="2"/>
      <c r="H25253" s="2"/>
    </row>
    <row r="25254" spans="1:8" x14ac:dyDescent="0.25">
      <c r="A25254" s="1"/>
      <c r="B25254" s="1" t="s">
        <v>7328</v>
      </c>
      <c r="C25254" s="1" t="s">
        <v>7329</v>
      </c>
      <c r="D25254" s="22" t="str">
        <f>HYPERLINK("https://rhld.insurance.arkansas.gov/NPILookup?Npi=1477978054","1477978054")</f>
        <v>1477978054</v>
      </c>
      <c r="E25254" s="1" t="s">
        <v>13173</v>
      </c>
      <c r="F25254" s="2"/>
      <c r="G25254" s="2"/>
      <c r="H25254" s="2"/>
    </row>
    <row r="25255" spans="1:8" x14ac:dyDescent="0.25">
      <c r="A25255" s="1"/>
      <c r="B25255" s="1" t="s">
        <v>7328</v>
      </c>
      <c r="C25255" s="1" t="s">
        <v>7329</v>
      </c>
      <c r="D25255" s="22" t="str">
        <f>HYPERLINK("https://rhld.insurance.arkansas.gov/NPILookup?Npi=1477990521","1477990521")</f>
        <v>1477990521</v>
      </c>
      <c r="E25255" s="1" t="s">
        <v>13174</v>
      </c>
      <c r="F25255" s="2"/>
      <c r="G25255" s="2"/>
      <c r="H25255" s="2"/>
    </row>
    <row r="25256" spans="1:8" x14ac:dyDescent="0.25">
      <c r="A25256" s="1"/>
      <c r="B25256" s="1" t="s">
        <v>7328</v>
      </c>
      <c r="C25256" s="1" t="s">
        <v>7329</v>
      </c>
      <c r="D25256" s="22" t="str">
        <f>HYPERLINK("https://rhld.insurance.arkansas.gov/NPILookup?Npi=1477999282","1477999282")</f>
        <v>1477999282</v>
      </c>
      <c r="E25256" s="1" t="s">
        <v>27293</v>
      </c>
      <c r="F25256" s="2"/>
      <c r="G25256" s="2"/>
      <c r="H25256" s="2"/>
    </row>
    <row r="25257" spans="1:8" x14ac:dyDescent="0.25">
      <c r="A25257" s="1"/>
      <c r="B25257" s="1" t="s">
        <v>7328</v>
      </c>
      <c r="C25257" s="1" t="s">
        <v>7329</v>
      </c>
      <c r="D25257" s="22" t="str">
        <f>HYPERLINK("https://rhld.insurance.arkansas.gov/NPILookup?Npi=1487004461","1487004461")</f>
        <v>1487004461</v>
      </c>
      <c r="E25257" s="1" t="s">
        <v>27294</v>
      </c>
      <c r="F25257" s="2"/>
      <c r="G25257" s="2"/>
      <c r="H25257" s="2"/>
    </row>
    <row r="25258" spans="1:8" x14ac:dyDescent="0.25">
      <c r="A25258" s="1"/>
      <c r="B25258" s="1" t="s">
        <v>7328</v>
      </c>
      <c r="C25258" s="1" t="s">
        <v>7329</v>
      </c>
      <c r="D25258" s="22" t="str">
        <f>HYPERLINK("https://rhld.insurance.arkansas.gov/NPILookup?Npi=1487008793","1487008793")</f>
        <v>1487008793</v>
      </c>
      <c r="E25258" s="1" t="s">
        <v>17573</v>
      </c>
      <c r="F25258" s="2"/>
      <c r="G25258" s="2"/>
      <c r="H25258" s="2"/>
    </row>
    <row r="25259" spans="1:8" x14ac:dyDescent="0.25">
      <c r="A25259" s="1"/>
      <c r="B25259" s="1" t="s">
        <v>7328</v>
      </c>
      <c r="C25259" s="1" t="s">
        <v>7329</v>
      </c>
      <c r="D25259" s="22" t="str">
        <f>HYPERLINK("https://rhld.insurance.arkansas.gov/NPILookup?Npi=1487011383","1487011383")</f>
        <v>1487011383</v>
      </c>
      <c r="E25259" s="1" t="s">
        <v>27295</v>
      </c>
      <c r="F25259" s="2"/>
      <c r="G25259" s="2"/>
      <c r="H25259" s="2"/>
    </row>
    <row r="25260" spans="1:8" x14ac:dyDescent="0.25">
      <c r="A25260" s="1"/>
      <c r="B25260" s="1" t="s">
        <v>7328</v>
      </c>
      <c r="C25260" s="1" t="s">
        <v>7329</v>
      </c>
      <c r="D25260" s="22" t="str">
        <f>HYPERLINK("https://rhld.insurance.arkansas.gov/NPILookup?Npi=1487020855","1487020855")</f>
        <v>1487020855</v>
      </c>
      <c r="E25260" s="1" t="s">
        <v>13175</v>
      </c>
      <c r="F25260" s="2"/>
      <c r="G25260" s="2"/>
      <c r="H25260" s="2"/>
    </row>
    <row r="25261" spans="1:8" x14ac:dyDescent="0.25">
      <c r="A25261" s="1"/>
      <c r="B25261" s="1" t="s">
        <v>7328</v>
      </c>
      <c r="C25261" s="1" t="s">
        <v>7329</v>
      </c>
      <c r="D25261" s="22" t="str">
        <f>HYPERLINK("https://rhld.insurance.arkansas.gov/NPILookup?Npi=1487026696","1487026696")</f>
        <v>1487026696</v>
      </c>
      <c r="E25261" s="1" t="s">
        <v>7793</v>
      </c>
      <c r="F25261" s="2"/>
      <c r="G25261" s="2"/>
      <c r="H25261" s="2"/>
    </row>
    <row r="25262" spans="1:8" x14ac:dyDescent="0.25">
      <c r="A25262" s="1"/>
      <c r="B25262" s="1" t="s">
        <v>7328</v>
      </c>
      <c r="C25262" s="1" t="s">
        <v>7329</v>
      </c>
      <c r="D25262" s="22" t="str">
        <f>HYPERLINK("https://rhld.insurance.arkansas.gov/NPILookup?Npi=1487044962","1487044962")</f>
        <v>1487044962</v>
      </c>
      <c r="E25262" s="1" t="s">
        <v>27296</v>
      </c>
      <c r="F25262" s="2"/>
      <c r="G25262" s="2"/>
      <c r="H25262" s="2"/>
    </row>
    <row r="25263" spans="1:8" x14ac:dyDescent="0.25">
      <c r="A25263" s="1"/>
      <c r="B25263" s="1" t="s">
        <v>7328</v>
      </c>
      <c r="C25263" s="1" t="s">
        <v>7329</v>
      </c>
      <c r="D25263" s="22" t="str">
        <f>HYPERLINK("https://rhld.insurance.arkansas.gov/NPILookup?Npi=1487045795","1487045795")</f>
        <v>1487045795</v>
      </c>
      <c r="E25263" s="1" t="s">
        <v>27297</v>
      </c>
      <c r="F25263" s="2"/>
      <c r="G25263" s="2"/>
      <c r="H25263" s="2"/>
    </row>
    <row r="25264" spans="1:8" x14ac:dyDescent="0.25">
      <c r="A25264" s="1"/>
      <c r="B25264" s="1" t="s">
        <v>7328</v>
      </c>
      <c r="C25264" s="1" t="s">
        <v>7329</v>
      </c>
      <c r="D25264" s="22" t="str">
        <f>HYPERLINK("https://rhld.insurance.arkansas.gov/NPILookup?Npi=1487049953","1487049953")</f>
        <v>1487049953</v>
      </c>
      <c r="E25264" s="1" t="s">
        <v>27298</v>
      </c>
      <c r="F25264" s="2"/>
      <c r="G25264" s="2"/>
      <c r="H25264" s="2"/>
    </row>
    <row r="25265" spans="1:8" x14ac:dyDescent="0.25">
      <c r="A25265" s="1"/>
      <c r="B25265" s="1" t="s">
        <v>7328</v>
      </c>
      <c r="C25265" s="1" t="s">
        <v>7329</v>
      </c>
      <c r="D25265" s="22" t="str">
        <f>HYPERLINK("https://rhld.insurance.arkansas.gov/NPILookup?Npi=1487061149","1487061149")</f>
        <v>1487061149</v>
      </c>
      <c r="E25265" s="1" t="s">
        <v>866</v>
      </c>
      <c r="F25265" s="2"/>
      <c r="G25265" s="2"/>
      <c r="H25265" s="2"/>
    </row>
    <row r="25266" spans="1:8" x14ac:dyDescent="0.25">
      <c r="A25266" s="1"/>
      <c r="B25266" s="1" t="s">
        <v>7328</v>
      </c>
      <c r="C25266" s="1" t="s">
        <v>7329</v>
      </c>
      <c r="D25266" s="22" t="str">
        <f>HYPERLINK("https://rhld.insurance.arkansas.gov/NPILookup?Npi=1487063897","1487063897")</f>
        <v>1487063897</v>
      </c>
      <c r="E25266" s="1" t="s">
        <v>27299</v>
      </c>
      <c r="F25266" s="2"/>
      <c r="G25266" s="2"/>
      <c r="H25266" s="2"/>
    </row>
    <row r="25267" spans="1:8" x14ac:dyDescent="0.25">
      <c r="A25267" s="1"/>
      <c r="B25267" s="1" t="s">
        <v>7328</v>
      </c>
      <c r="C25267" s="1" t="s">
        <v>7329</v>
      </c>
      <c r="D25267" s="22" t="str">
        <f>HYPERLINK("https://rhld.insurance.arkansas.gov/NPILookup?Npi=1487071031","1487071031")</f>
        <v>1487071031</v>
      </c>
      <c r="E25267" s="1" t="s">
        <v>27300</v>
      </c>
      <c r="F25267" s="2"/>
      <c r="G25267" s="2"/>
      <c r="H25267" s="2"/>
    </row>
    <row r="25268" spans="1:8" x14ac:dyDescent="0.25">
      <c r="A25268" s="1"/>
      <c r="B25268" s="1" t="s">
        <v>7328</v>
      </c>
      <c r="C25268" s="1" t="s">
        <v>7329</v>
      </c>
      <c r="D25268" s="22" t="str">
        <f>HYPERLINK("https://rhld.insurance.arkansas.gov/NPILookup?Npi=1487072864","1487072864")</f>
        <v>1487072864</v>
      </c>
      <c r="E25268" s="1" t="s">
        <v>27301</v>
      </c>
      <c r="F25268" s="2"/>
      <c r="G25268" s="2"/>
      <c r="H25268" s="2"/>
    </row>
    <row r="25269" spans="1:8" x14ac:dyDescent="0.25">
      <c r="A25269" s="1"/>
      <c r="B25269" s="1" t="s">
        <v>7328</v>
      </c>
      <c r="C25269" s="1" t="s">
        <v>7329</v>
      </c>
      <c r="D25269" s="22" t="str">
        <f>HYPERLINK("https://rhld.insurance.arkansas.gov/NPILookup?Npi=1487074639","1487074639")</f>
        <v>1487074639</v>
      </c>
      <c r="E25269" s="1" t="s">
        <v>13176</v>
      </c>
      <c r="F25269" s="2"/>
      <c r="G25269" s="2"/>
      <c r="H25269" s="2"/>
    </row>
    <row r="25270" spans="1:8" x14ac:dyDescent="0.25">
      <c r="A25270" s="1"/>
      <c r="B25270" s="1" t="s">
        <v>7328</v>
      </c>
      <c r="C25270" s="1" t="s">
        <v>7329</v>
      </c>
      <c r="D25270" s="22" t="str">
        <f>HYPERLINK("https://rhld.insurance.arkansas.gov/NPILookup?Npi=1487080461","1487080461")</f>
        <v>1487080461</v>
      </c>
      <c r="E25270" s="1" t="s">
        <v>27302</v>
      </c>
      <c r="F25270" s="2"/>
      <c r="G25270" s="2"/>
      <c r="H25270" s="2"/>
    </row>
    <row r="25271" spans="1:8" x14ac:dyDescent="0.25">
      <c r="A25271" s="1"/>
      <c r="B25271" s="1" t="s">
        <v>7328</v>
      </c>
      <c r="C25271" s="1" t="s">
        <v>7329</v>
      </c>
      <c r="D25271" s="22" t="str">
        <f>HYPERLINK("https://rhld.insurance.arkansas.gov/NPILookup?Npi=1487082699","1487082699")</f>
        <v>1487082699</v>
      </c>
      <c r="E25271" s="1" t="s">
        <v>3527</v>
      </c>
      <c r="F25271" s="2"/>
      <c r="G25271" s="2"/>
      <c r="H25271" s="2"/>
    </row>
    <row r="25272" spans="1:8" x14ac:dyDescent="0.25">
      <c r="A25272" s="1"/>
      <c r="B25272" s="1" t="s">
        <v>7328</v>
      </c>
      <c r="C25272" s="1" t="s">
        <v>7329</v>
      </c>
      <c r="D25272" s="22" t="str">
        <f>HYPERLINK("https://rhld.insurance.arkansas.gov/NPILookup?Npi=1487097028","1487097028")</f>
        <v>1487097028</v>
      </c>
      <c r="E25272" s="1" t="s">
        <v>27303</v>
      </c>
      <c r="F25272" s="2"/>
      <c r="G25272" s="2"/>
      <c r="H25272" s="2"/>
    </row>
    <row r="25273" spans="1:8" x14ac:dyDescent="0.25">
      <c r="A25273" s="1"/>
      <c r="B25273" s="1" t="s">
        <v>7328</v>
      </c>
      <c r="C25273" s="1" t="s">
        <v>7329</v>
      </c>
      <c r="D25273" s="22" t="str">
        <f>HYPERLINK("https://rhld.insurance.arkansas.gov/NPILookup?Npi=1487104907","1487104907")</f>
        <v>1487104907</v>
      </c>
      <c r="E25273" s="1" t="s">
        <v>27304</v>
      </c>
      <c r="F25273" s="2"/>
      <c r="G25273" s="2"/>
      <c r="H25273" s="2"/>
    </row>
    <row r="25274" spans="1:8" x14ac:dyDescent="0.25">
      <c r="A25274" s="1"/>
      <c r="B25274" s="1" t="s">
        <v>7328</v>
      </c>
      <c r="C25274" s="1" t="s">
        <v>7329</v>
      </c>
      <c r="D25274" s="22" t="str">
        <f>HYPERLINK("https://rhld.insurance.arkansas.gov/NPILookup?Npi=1487109773","1487109773")</f>
        <v>1487109773</v>
      </c>
      <c r="E25274" s="1" t="s">
        <v>7794</v>
      </c>
      <c r="F25274" s="2"/>
      <c r="G25274" s="2"/>
      <c r="H25274" s="2"/>
    </row>
    <row r="25275" spans="1:8" x14ac:dyDescent="0.25">
      <c r="A25275" s="1"/>
      <c r="B25275" s="1" t="s">
        <v>7328</v>
      </c>
      <c r="C25275" s="1" t="s">
        <v>7329</v>
      </c>
      <c r="D25275" s="22" t="str">
        <f>HYPERLINK("https://rhld.insurance.arkansas.gov/NPILookup?Npi=1487110474","1487110474")</f>
        <v>1487110474</v>
      </c>
      <c r="E25275" s="1" t="s">
        <v>7795</v>
      </c>
      <c r="F25275" s="2"/>
      <c r="G25275" s="2"/>
      <c r="H25275" s="2"/>
    </row>
    <row r="25276" spans="1:8" x14ac:dyDescent="0.25">
      <c r="A25276" s="1"/>
      <c r="B25276" s="1" t="s">
        <v>7328</v>
      </c>
      <c r="C25276" s="1" t="s">
        <v>7329</v>
      </c>
      <c r="D25276" s="22" t="str">
        <f>HYPERLINK("https://rhld.insurance.arkansas.gov/NPILookup?Npi=1487113148","1487113148")</f>
        <v>1487113148</v>
      </c>
      <c r="E25276" s="1" t="s">
        <v>27305</v>
      </c>
      <c r="F25276" s="2"/>
      <c r="G25276" s="2"/>
      <c r="H25276" s="2"/>
    </row>
    <row r="25277" spans="1:8" x14ac:dyDescent="0.25">
      <c r="A25277" s="1"/>
      <c r="B25277" s="1" t="s">
        <v>7328</v>
      </c>
      <c r="C25277" s="1" t="s">
        <v>7329</v>
      </c>
      <c r="D25277" s="22" t="str">
        <f>HYPERLINK("https://rhld.insurance.arkansas.gov/NPILookup?Npi=1487114997","1487114997")</f>
        <v>1487114997</v>
      </c>
      <c r="E25277" s="1" t="s">
        <v>10326</v>
      </c>
      <c r="F25277" s="2"/>
      <c r="G25277" s="2"/>
      <c r="H25277" s="2"/>
    </row>
    <row r="25278" spans="1:8" x14ac:dyDescent="0.25">
      <c r="A25278" s="1"/>
      <c r="B25278" s="1" t="s">
        <v>7328</v>
      </c>
      <c r="C25278" s="1" t="s">
        <v>7329</v>
      </c>
      <c r="D25278" s="22" t="str">
        <f>HYPERLINK("https://rhld.insurance.arkansas.gov/NPILookup?Npi=1487127973","1487127973")</f>
        <v>1487127973</v>
      </c>
      <c r="E25278" s="1" t="s">
        <v>1785</v>
      </c>
      <c r="F25278" s="2"/>
      <c r="G25278" s="2"/>
      <c r="H25278" s="2"/>
    </row>
    <row r="25279" spans="1:8" x14ac:dyDescent="0.25">
      <c r="A25279" s="1"/>
      <c r="B25279" s="1" t="s">
        <v>7328</v>
      </c>
      <c r="C25279" s="1" t="s">
        <v>7329</v>
      </c>
      <c r="D25279" s="22" t="str">
        <f>HYPERLINK("https://rhld.insurance.arkansas.gov/NPILookup?Npi=1487141420","1487141420")</f>
        <v>1487141420</v>
      </c>
      <c r="E25279" s="1" t="s">
        <v>27306</v>
      </c>
      <c r="F25279" s="2"/>
      <c r="G25279" s="2"/>
      <c r="H25279" s="2"/>
    </row>
    <row r="25280" spans="1:8" x14ac:dyDescent="0.25">
      <c r="A25280" s="1"/>
      <c r="B25280" s="1" t="s">
        <v>7328</v>
      </c>
      <c r="C25280" s="1" t="s">
        <v>7329</v>
      </c>
      <c r="D25280" s="22" t="str">
        <f>HYPERLINK("https://rhld.insurance.arkansas.gov/NPILookup?Npi=1487168282","1487168282")</f>
        <v>1487168282</v>
      </c>
      <c r="E25280" s="1" t="s">
        <v>27307</v>
      </c>
      <c r="F25280" s="2"/>
      <c r="G25280" s="2"/>
      <c r="H25280" s="2"/>
    </row>
    <row r="25281" spans="1:8" x14ac:dyDescent="0.25">
      <c r="A25281" s="1"/>
      <c r="B25281" s="1" t="s">
        <v>7328</v>
      </c>
      <c r="C25281" s="1" t="s">
        <v>7329</v>
      </c>
      <c r="D25281" s="22" t="str">
        <f>HYPERLINK("https://rhld.insurance.arkansas.gov/NPILookup?Npi=1487175303","1487175303")</f>
        <v>1487175303</v>
      </c>
      <c r="E25281" s="1" t="s">
        <v>1390</v>
      </c>
      <c r="F25281" s="2"/>
      <c r="G25281" s="2"/>
      <c r="H25281" s="2"/>
    </row>
    <row r="25282" spans="1:8" x14ac:dyDescent="0.25">
      <c r="A25282" s="1"/>
      <c r="B25282" s="1" t="s">
        <v>7328</v>
      </c>
      <c r="C25282" s="1" t="s">
        <v>7329</v>
      </c>
      <c r="D25282" s="22" t="str">
        <f>HYPERLINK("https://rhld.insurance.arkansas.gov/NPILookup?Npi=1487176764","1487176764")</f>
        <v>1487176764</v>
      </c>
      <c r="E25282" s="1" t="s">
        <v>867</v>
      </c>
      <c r="F25282" s="2"/>
      <c r="G25282" s="2"/>
      <c r="H25282" s="2"/>
    </row>
    <row r="25283" spans="1:8" x14ac:dyDescent="0.25">
      <c r="A25283" s="1"/>
      <c r="B25283" s="1" t="s">
        <v>7328</v>
      </c>
      <c r="C25283" s="1" t="s">
        <v>7329</v>
      </c>
      <c r="D25283" s="22" t="str">
        <f>HYPERLINK("https://rhld.insurance.arkansas.gov/NPILookup?Npi=1487177010","1487177010")</f>
        <v>1487177010</v>
      </c>
      <c r="E25283" s="1" t="s">
        <v>27308</v>
      </c>
      <c r="F25283" s="2"/>
      <c r="G25283" s="2"/>
      <c r="H25283" s="2"/>
    </row>
    <row r="25284" spans="1:8" x14ac:dyDescent="0.25">
      <c r="A25284" s="1"/>
      <c r="B25284" s="1" t="s">
        <v>7328</v>
      </c>
      <c r="C25284" s="1" t="s">
        <v>7329</v>
      </c>
      <c r="D25284" s="22" t="str">
        <f>HYPERLINK("https://rhld.insurance.arkansas.gov/NPILookup?Npi=1487186367","1487186367")</f>
        <v>1487186367</v>
      </c>
      <c r="E25284" s="1" t="s">
        <v>27309</v>
      </c>
      <c r="F25284" s="2"/>
      <c r="G25284" s="2"/>
      <c r="H25284" s="2"/>
    </row>
    <row r="25285" spans="1:8" x14ac:dyDescent="0.25">
      <c r="A25285" s="1"/>
      <c r="B25285" s="1" t="s">
        <v>7328</v>
      </c>
      <c r="C25285" s="1" t="s">
        <v>7329</v>
      </c>
      <c r="D25285" s="22" t="str">
        <f>HYPERLINK("https://rhld.insurance.arkansas.gov/NPILookup?Npi=1487191987","1487191987")</f>
        <v>1487191987</v>
      </c>
      <c r="E25285" s="1" t="s">
        <v>27310</v>
      </c>
      <c r="F25285" s="2"/>
      <c r="G25285" s="2"/>
      <c r="H25285" s="2"/>
    </row>
    <row r="25286" spans="1:8" x14ac:dyDescent="0.25">
      <c r="A25286" s="1"/>
      <c r="B25286" s="1" t="s">
        <v>7328</v>
      </c>
      <c r="C25286" s="1" t="s">
        <v>7329</v>
      </c>
      <c r="D25286" s="22" t="str">
        <f>HYPERLINK("https://rhld.insurance.arkansas.gov/NPILookup?Npi=1487194346","1487194346")</f>
        <v>1487194346</v>
      </c>
      <c r="E25286" s="1" t="s">
        <v>2778</v>
      </c>
      <c r="F25286" s="2"/>
      <c r="G25286" s="2"/>
      <c r="H25286" s="2"/>
    </row>
    <row r="25287" spans="1:8" x14ac:dyDescent="0.25">
      <c r="A25287" s="1"/>
      <c r="B25287" s="1" t="s">
        <v>7328</v>
      </c>
      <c r="C25287" s="1" t="s">
        <v>7329</v>
      </c>
      <c r="D25287" s="22" t="str">
        <f>HYPERLINK("https://rhld.insurance.arkansas.gov/NPILookup?Npi=1487199816","1487199816")</f>
        <v>1487199816</v>
      </c>
      <c r="E25287" s="1" t="s">
        <v>27311</v>
      </c>
      <c r="F25287" s="2"/>
      <c r="G25287" s="2"/>
      <c r="H25287" s="2"/>
    </row>
    <row r="25288" spans="1:8" x14ac:dyDescent="0.25">
      <c r="A25288" s="1"/>
      <c r="B25288" s="1" t="s">
        <v>7328</v>
      </c>
      <c r="C25288" s="1" t="s">
        <v>7329</v>
      </c>
      <c r="D25288" s="22" t="str">
        <f>HYPERLINK("https://rhld.insurance.arkansas.gov/NPILookup?Npi=1487204319","1487204319")</f>
        <v>1487204319</v>
      </c>
      <c r="E25288" s="1" t="s">
        <v>7796</v>
      </c>
      <c r="F25288" s="2"/>
      <c r="G25288" s="2"/>
      <c r="H25288" s="2"/>
    </row>
    <row r="25289" spans="1:8" x14ac:dyDescent="0.25">
      <c r="A25289" s="1"/>
      <c r="B25289" s="1" t="s">
        <v>7328</v>
      </c>
      <c r="C25289" s="1" t="s">
        <v>7329</v>
      </c>
      <c r="D25289" s="22" t="str">
        <f>HYPERLINK("https://rhld.insurance.arkansas.gov/NPILookup?Npi=1487214862","1487214862")</f>
        <v>1487214862</v>
      </c>
      <c r="E25289" s="1" t="s">
        <v>3950</v>
      </c>
      <c r="F25289" s="2"/>
      <c r="G25289" s="2"/>
      <c r="H25289" s="2"/>
    </row>
    <row r="25290" spans="1:8" x14ac:dyDescent="0.25">
      <c r="A25290" s="1"/>
      <c r="B25290" s="1" t="s">
        <v>7328</v>
      </c>
      <c r="C25290" s="1" t="s">
        <v>7329</v>
      </c>
      <c r="D25290" s="22" t="str">
        <f>HYPERLINK("https://rhld.insurance.arkansas.gov/NPILookup?Npi=1487221537","1487221537")</f>
        <v>1487221537</v>
      </c>
      <c r="E25290" s="1" t="s">
        <v>27312</v>
      </c>
      <c r="F25290" s="2"/>
      <c r="G25290" s="2"/>
      <c r="H25290" s="2"/>
    </row>
    <row r="25291" spans="1:8" x14ac:dyDescent="0.25">
      <c r="A25291" s="1"/>
      <c r="B25291" s="1" t="s">
        <v>7328</v>
      </c>
      <c r="C25291" s="1" t="s">
        <v>7329</v>
      </c>
      <c r="D25291" s="22" t="str">
        <f>HYPERLINK("https://rhld.insurance.arkansas.gov/NPILookup?Npi=1487223632","1487223632")</f>
        <v>1487223632</v>
      </c>
      <c r="E25291" s="1" t="s">
        <v>7797</v>
      </c>
      <c r="F25291" s="2"/>
      <c r="G25291" s="2"/>
      <c r="H25291" s="2"/>
    </row>
    <row r="25292" spans="1:8" x14ac:dyDescent="0.25">
      <c r="A25292" s="1"/>
      <c r="B25292" s="1" t="s">
        <v>7328</v>
      </c>
      <c r="C25292" s="1" t="s">
        <v>7329</v>
      </c>
      <c r="D25292" s="22" t="str">
        <f>HYPERLINK("https://rhld.insurance.arkansas.gov/NPILookup?Npi=1487223699","1487223699")</f>
        <v>1487223699</v>
      </c>
      <c r="E25292" s="1" t="s">
        <v>32250</v>
      </c>
      <c r="F25292" s="2"/>
      <c r="G25292" s="2"/>
      <c r="H25292" s="2"/>
    </row>
    <row r="25293" spans="1:8" x14ac:dyDescent="0.25">
      <c r="A25293" s="1"/>
      <c r="B25293" s="1" t="s">
        <v>7328</v>
      </c>
      <c r="C25293" s="1" t="s">
        <v>7329</v>
      </c>
      <c r="D25293" s="22" t="str">
        <f>HYPERLINK("https://rhld.insurance.arkansas.gov/NPILookup?Npi=1487233680","1487233680")</f>
        <v>1487233680</v>
      </c>
      <c r="E25293" s="1" t="s">
        <v>27313</v>
      </c>
      <c r="F25293" s="2"/>
      <c r="G25293" s="2"/>
      <c r="H25293" s="2"/>
    </row>
    <row r="25294" spans="1:8" x14ac:dyDescent="0.25">
      <c r="A25294" s="1"/>
      <c r="B25294" s="1" t="s">
        <v>7328</v>
      </c>
      <c r="C25294" s="1" t="s">
        <v>7329</v>
      </c>
      <c r="D25294" s="22" t="str">
        <f>HYPERLINK("https://rhld.insurance.arkansas.gov/NPILookup?Npi=1487246278","1487246278")</f>
        <v>1487246278</v>
      </c>
      <c r="E25294" s="1" t="s">
        <v>7798</v>
      </c>
      <c r="F25294" s="2"/>
      <c r="G25294" s="2"/>
      <c r="H25294" s="2"/>
    </row>
    <row r="25295" spans="1:8" x14ac:dyDescent="0.25">
      <c r="A25295" s="1"/>
      <c r="B25295" s="1" t="s">
        <v>7328</v>
      </c>
      <c r="C25295" s="1" t="s">
        <v>7329</v>
      </c>
      <c r="D25295" s="22" t="str">
        <f>HYPERLINK("https://rhld.insurance.arkansas.gov/NPILookup?Npi=1487246765","1487246765")</f>
        <v>1487246765</v>
      </c>
      <c r="E25295" s="1" t="s">
        <v>27314</v>
      </c>
      <c r="F25295" s="2"/>
      <c r="G25295" s="2"/>
      <c r="H25295" s="2"/>
    </row>
    <row r="25296" spans="1:8" x14ac:dyDescent="0.25">
      <c r="A25296" s="1"/>
      <c r="B25296" s="1" t="s">
        <v>7328</v>
      </c>
      <c r="C25296" s="1" t="s">
        <v>7329</v>
      </c>
      <c r="D25296" s="22" t="str">
        <f>HYPERLINK("https://rhld.insurance.arkansas.gov/NPILookup?Npi=1487249306","1487249306")</f>
        <v>1487249306</v>
      </c>
      <c r="E25296" s="1" t="s">
        <v>7799</v>
      </c>
      <c r="F25296" s="2"/>
      <c r="G25296" s="2"/>
      <c r="H25296" s="2"/>
    </row>
    <row r="25297" spans="1:8" x14ac:dyDescent="0.25">
      <c r="A25297" s="1"/>
      <c r="B25297" s="1" t="s">
        <v>7328</v>
      </c>
      <c r="C25297" s="1" t="s">
        <v>7329</v>
      </c>
      <c r="D25297" s="22" t="str">
        <f>HYPERLINK("https://rhld.insurance.arkansas.gov/NPILookup?Npi=1487250775","1487250775")</f>
        <v>1487250775</v>
      </c>
      <c r="E25297" s="1" t="s">
        <v>27315</v>
      </c>
      <c r="F25297" s="2"/>
      <c r="G25297" s="2"/>
      <c r="H25297" s="2"/>
    </row>
    <row r="25298" spans="1:8" x14ac:dyDescent="0.25">
      <c r="A25298" s="1"/>
      <c r="B25298" s="1" t="s">
        <v>7328</v>
      </c>
      <c r="C25298" s="1" t="s">
        <v>7329</v>
      </c>
      <c r="D25298" s="22" t="str">
        <f>HYPERLINK("https://rhld.insurance.arkansas.gov/NPILookup?Npi=1487251617","1487251617")</f>
        <v>1487251617</v>
      </c>
      <c r="E25298" s="1" t="s">
        <v>7800</v>
      </c>
      <c r="F25298" s="2"/>
      <c r="G25298" s="2"/>
      <c r="H25298" s="2"/>
    </row>
    <row r="25299" spans="1:8" x14ac:dyDescent="0.25">
      <c r="A25299" s="1"/>
      <c r="B25299" s="1" t="s">
        <v>7328</v>
      </c>
      <c r="C25299" s="1" t="s">
        <v>7329</v>
      </c>
      <c r="D25299" s="22" t="str">
        <f>HYPERLINK("https://rhld.insurance.arkansas.gov/NPILookup?Npi=1487252755","1487252755")</f>
        <v>1487252755</v>
      </c>
      <c r="E25299" s="1" t="s">
        <v>27316</v>
      </c>
      <c r="F25299" s="2"/>
      <c r="G25299" s="2"/>
      <c r="H25299" s="2"/>
    </row>
    <row r="25300" spans="1:8" x14ac:dyDescent="0.25">
      <c r="A25300" s="1"/>
      <c r="B25300" s="1" t="s">
        <v>7328</v>
      </c>
      <c r="C25300" s="1" t="s">
        <v>7329</v>
      </c>
      <c r="D25300" s="22" t="str">
        <f>HYPERLINK("https://rhld.insurance.arkansas.gov/NPILookup?Npi=1487256590","1487256590")</f>
        <v>1487256590</v>
      </c>
      <c r="E25300" s="1" t="s">
        <v>7801</v>
      </c>
      <c r="F25300" s="2"/>
      <c r="G25300" s="2"/>
      <c r="H25300" s="2"/>
    </row>
    <row r="25301" spans="1:8" x14ac:dyDescent="0.25">
      <c r="A25301" s="1"/>
      <c r="B25301" s="1" t="s">
        <v>7328</v>
      </c>
      <c r="C25301" s="1" t="s">
        <v>7329</v>
      </c>
      <c r="D25301" s="22" t="str">
        <f>HYPERLINK("https://rhld.insurance.arkansas.gov/NPILookup?Npi=1487269080","1487269080")</f>
        <v>1487269080</v>
      </c>
      <c r="E25301" s="1" t="s">
        <v>31772</v>
      </c>
      <c r="F25301" s="2"/>
      <c r="G25301" s="2"/>
      <c r="H25301" s="2"/>
    </row>
    <row r="25302" spans="1:8" x14ac:dyDescent="0.25">
      <c r="A25302" s="1"/>
      <c r="B25302" s="1" t="s">
        <v>7328</v>
      </c>
      <c r="C25302" s="1" t="s">
        <v>7329</v>
      </c>
      <c r="D25302" s="22" t="str">
        <f>HYPERLINK("https://rhld.insurance.arkansas.gov/NPILookup?Npi=1487269726","1487269726")</f>
        <v>1487269726</v>
      </c>
      <c r="E25302" s="1" t="s">
        <v>7802</v>
      </c>
      <c r="F25302" s="2"/>
      <c r="G25302" s="2"/>
      <c r="H25302" s="2"/>
    </row>
    <row r="25303" spans="1:8" x14ac:dyDescent="0.25">
      <c r="A25303" s="1"/>
      <c r="B25303" s="1" t="s">
        <v>7328</v>
      </c>
      <c r="C25303" s="1" t="s">
        <v>7329</v>
      </c>
      <c r="D25303" s="22" t="str">
        <f>HYPERLINK("https://rhld.insurance.arkansas.gov/NPILookup?Npi=1487271201","1487271201")</f>
        <v>1487271201</v>
      </c>
      <c r="E25303" s="1" t="s">
        <v>7803</v>
      </c>
      <c r="F25303" s="2"/>
      <c r="G25303" s="2"/>
      <c r="H25303" s="2"/>
    </row>
    <row r="25304" spans="1:8" x14ac:dyDescent="0.25">
      <c r="A25304" s="1"/>
      <c r="B25304" s="1" t="s">
        <v>7328</v>
      </c>
      <c r="C25304" s="1" t="s">
        <v>7329</v>
      </c>
      <c r="D25304" s="22" t="str">
        <f>HYPERLINK("https://rhld.insurance.arkansas.gov/NPILookup?Npi=1487273546","1487273546")</f>
        <v>1487273546</v>
      </c>
      <c r="E25304" s="1" t="s">
        <v>27317</v>
      </c>
      <c r="F25304" s="2"/>
      <c r="G25304" s="2"/>
      <c r="H25304" s="2"/>
    </row>
    <row r="25305" spans="1:8" x14ac:dyDescent="0.25">
      <c r="A25305" s="1"/>
      <c r="B25305" s="1" t="s">
        <v>7328</v>
      </c>
      <c r="C25305" s="1" t="s">
        <v>7329</v>
      </c>
      <c r="D25305" s="22" t="str">
        <f>HYPERLINK("https://rhld.insurance.arkansas.gov/NPILookup?Npi=1487282125","1487282125")</f>
        <v>1487282125</v>
      </c>
      <c r="E25305" s="1" t="s">
        <v>13177</v>
      </c>
      <c r="F25305" s="2"/>
      <c r="G25305" s="2"/>
      <c r="H25305" s="2"/>
    </row>
    <row r="25306" spans="1:8" x14ac:dyDescent="0.25">
      <c r="A25306" s="1"/>
      <c r="B25306" s="1" t="s">
        <v>7328</v>
      </c>
      <c r="C25306" s="1" t="s">
        <v>7329</v>
      </c>
      <c r="D25306" s="22" t="str">
        <f>HYPERLINK("https://rhld.insurance.arkansas.gov/NPILookup?Npi=1487283990","1487283990")</f>
        <v>1487283990</v>
      </c>
      <c r="E25306" s="1" t="s">
        <v>10328</v>
      </c>
      <c r="F25306" s="2"/>
      <c r="G25306" s="2"/>
      <c r="H25306" s="2"/>
    </row>
    <row r="25307" spans="1:8" x14ac:dyDescent="0.25">
      <c r="A25307" s="1"/>
      <c r="B25307" s="1" t="s">
        <v>7328</v>
      </c>
      <c r="C25307" s="1" t="s">
        <v>7329</v>
      </c>
      <c r="D25307" s="22" t="str">
        <f>HYPERLINK("https://rhld.insurance.arkansas.gov/NPILookup?Npi=1487290961","1487290961")</f>
        <v>1487290961</v>
      </c>
      <c r="E25307" s="1" t="s">
        <v>27318</v>
      </c>
      <c r="F25307" s="2"/>
      <c r="G25307" s="2"/>
      <c r="H25307" s="2"/>
    </row>
    <row r="25308" spans="1:8" x14ac:dyDescent="0.25">
      <c r="A25308" s="1"/>
      <c r="B25308" s="1" t="s">
        <v>7328</v>
      </c>
      <c r="C25308" s="1" t="s">
        <v>7329</v>
      </c>
      <c r="D25308" s="22" t="str">
        <f>HYPERLINK("https://rhld.insurance.arkansas.gov/NPILookup?Npi=1487291498","1487291498")</f>
        <v>1487291498</v>
      </c>
      <c r="E25308" s="1" t="s">
        <v>7804</v>
      </c>
      <c r="F25308" s="2"/>
      <c r="G25308" s="2"/>
      <c r="H25308" s="2"/>
    </row>
    <row r="25309" spans="1:8" x14ac:dyDescent="0.25">
      <c r="A25309" s="1"/>
      <c r="B25309" s="1" t="s">
        <v>7328</v>
      </c>
      <c r="C25309" s="1" t="s">
        <v>7329</v>
      </c>
      <c r="D25309" s="22" t="str">
        <f>HYPERLINK("https://rhld.insurance.arkansas.gov/NPILookup?Npi=1487295572","1487295572")</f>
        <v>1487295572</v>
      </c>
      <c r="E25309" s="1" t="s">
        <v>13178</v>
      </c>
      <c r="F25309" s="2"/>
      <c r="G25309" s="2"/>
      <c r="H25309" s="2"/>
    </row>
    <row r="25310" spans="1:8" x14ac:dyDescent="0.25">
      <c r="A25310" s="1"/>
      <c r="B25310" s="1" t="s">
        <v>7328</v>
      </c>
      <c r="C25310" s="1" t="s">
        <v>7329</v>
      </c>
      <c r="D25310" s="22" t="str">
        <f>HYPERLINK("https://rhld.insurance.arkansas.gov/NPILookup?Npi=1487329843","1487329843")</f>
        <v>1487329843</v>
      </c>
      <c r="E25310" s="1" t="s">
        <v>27319</v>
      </c>
      <c r="F25310" s="2"/>
      <c r="G25310" s="2"/>
      <c r="H25310" s="2"/>
    </row>
    <row r="25311" spans="1:8" x14ac:dyDescent="0.25">
      <c r="A25311" s="1"/>
      <c r="B25311" s="1" t="s">
        <v>7328</v>
      </c>
      <c r="C25311" s="1" t="s">
        <v>7329</v>
      </c>
      <c r="D25311" s="22" t="str">
        <f>HYPERLINK("https://rhld.insurance.arkansas.gov/NPILookup?Npi=1487343752","1487343752")</f>
        <v>1487343752</v>
      </c>
      <c r="E25311" s="1" t="s">
        <v>7805</v>
      </c>
      <c r="F25311" s="2"/>
      <c r="G25311" s="2"/>
      <c r="H25311" s="2"/>
    </row>
    <row r="25312" spans="1:8" x14ac:dyDescent="0.25">
      <c r="A25312" s="1"/>
      <c r="B25312" s="1" t="s">
        <v>7328</v>
      </c>
      <c r="C25312" s="1" t="s">
        <v>7329</v>
      </c>
      <c r="D25312" s="22" t="str">
        <f>HYPERLINK("https://rhld.insurance.arkansas.gov/NPILookup?Npi=1487362349","1487362349")</f>
        <v>1487362349</v>
      </c>
      <c r="E25312" s="1" t="s">
        <v>27320</v>
      </c>
      <c r="F25312" s="2"/>
      <c r="G25312" s="2"/>
      <c r="H25312" s="2"/>
    </row>
    <row r="25313" spans="1:8" x14ac:dyDescent="0.25">
      <c r="A25313" s="1"/>
      <c r="B25313" s="1" t="s">
        <v>7328</v>
      </c>
      <c r="C25313" s="1" t="s">
        <v>7329</v>
      </c>
      <c r="D25313" s="22" t="str">
        <f>HYPERLINK("https://rhld.insurance.arkansas.gov/NPILookup?Npi=1487367694","1487367694")</f>
        <v>1487367694</v>
      </c>
      <c r="E25313" s="1" t="s">
        <v>7806</v>
      </c>
      <c r="F25313" s="2"/>
      <c r="G25313" s="2"/>
      <c r="H25313" s="2"/>
    </row>
    <row r="25314" spans="1:8" x14ac:dyDescent="0.25">
      <c r="A25314" s="1"/>
      <c r="B25314" s="1" t="s">
        <v>7328</v>
      </c>
      <c r="C25314" s="1" t="s">
        <v>7329</v>
      </c>
      <c r="D25314" s="22" t="str">
        <f>HYPERLINK("https://rhld.insurance.arkansas.gov/NPILookup?Npi=1487373049","1487373049")</f>
        <v>1487373049</v>
      </c>
      <c r="E25314" s="1" t="s">
        <v>27321</v>
      </c>
      <c r="F25314" s="2"/>
      <c r="G25314" s="2"/>
      <c r="H25314" s="2"/>
    </row>
    <row r="25315" spans="1:8" x14ac:dyDescent="0.25">
      <c r="A25315" s="1"/>
      <c r="B25315" s="1" t="s">
        <v>7328</v>
      </c>
      <c r="C25315" s="1" t="s">
        <v>7329</v>
      </c>
      <c r="D25315" s="22" t="str">
        <f>HYPERLINK("https://rhld.insurance.arkansas.gov/NPILookup?Npi=1487375622","1487375622")</f>
        <v>1487375622</v>
      </c>
      <c r="E25315" s="1" t="s">
        <v>27322</v>
      </c>
      <c r="F25315" s="2"/>
      <c r="G25315" s="2"/>
      <c r="H25315" s="2"/>
    </row>
    <row r="25316" spans="1:8" x14ac:dyDescent="0.25">
      <c r="A25316" s="1"/>
      <c r="B25316" s="1" t="s">
        <v>7328</v>
      </c>
      <c r="C25316" s="1" t="s">
        <v>7329</v>
      </c>
      <c r="D25316" s="22" t="str">
        <f>HYPERLINK("https://rhld.insurance.arkansas.gov/NPILookup?Npi=1487390118","1487390118")</f>
        <v>1487390118</v>
      </c>
      <c r="E25316" s="1" t="s">
        <v>27323</v>
      </c>
      <c r="F25316" s="2"/>
      <c r="G25316" s="2"/>
      <c r="H25316" s="2"/>
    </row>
    <row r="25317" spans="1:8" x14ac:dyDescent="0.25">
      <c r="A25317" s="1"/>
      <c r="B25317" s="1" t="s">
        <v>7328</v>
      </c>
      <c r="C25317" s="1" t="s">
        <v>7329</v>
      </c>
      <c r="D25317" s="22" t="str">
        <f>HYPERLINK("https://rhld.insurance.arkansas.gov/NPILookup?Npi=1487391306","1487391306")</f>
        <v>1487391306</v>
      </c>
      <c r="E25317" s="1" t="s">
        <v>32251</v>
      </c>
      <c r="F25317" s="2"/>
      <c r="G25317" s="2"/>
      <c r="H25317" s="2"/>
    </row>
    <row r="25318" spans="1:8" x14ac:dyDescent="0.25">
      <c r="A25318" s="1"/>
      <c r="B25318" s="1" t="s">
        <v>7328</v>
      </c>
      <c r="C25318" s="1" t="s">
        <v>7329</v>
      </c>
      <c r="D25318" s="22" t="str">
        <f>HYPERLINK("https://rhld.insurance.arkansas.gov/NPILookup?Npi=1487418125","1487418125")</f>
        <v>1487418125</v>
      </c>
      <c r="E25318" s="1" t="s">
        <v>7807</v>
      </c>
      <c r="F25318" s="2"/>
      <c r="G25318" s="2"/>
      <c r="H25318" s="2"/>
    </row>
    <row r="25319" spans="1:8" x14ac:dyDescent="0.25">
      <c r="A25319" s="1"/>
      <c r="B25319" s="1" t="s">
        <v>7328</v>
      </c>
      <c r="C25319" s="1" t="s">
        <v>7329</v>
      </c>
      <c r="D25319" s="22" t="str">
        <f>HYPERLINK("https://rhld.insurance.arkansas.gov/NPILookup?Npi=1487422572","1487422572")</f>
        <v>1487422572</v>
      </c>
      <c r="E25319" s="1" t="s">
        <v>22354</v>
      </c>
      <c r="F25319" s="2"/>
      <c r="G25319" s="2"/>
      <c r="H25319" s="2"/>
    </row>
    <row r="25320" spans="1:8" x14ac:dyDescent="0.25">
      <c r="A25320" s="1"/>
      <c r="B25320" s="1" t="s">
        <v>7328</v>
      </c>
      <c r="C25320" s="1" t="s">
        <v>7329</v>
      </c>
      <c r="D25320" s="22" t="str">
        <f>HYPERLINK("https://rhld.insurance.arkansas.gov/NPILookup?Npi=1487601712","1487601712")</f>
        <v>1487601712</v>
      </c>
      <c r="E25320" s="1" t="s">
        <v>15677</v>
      </c>
      <c r="F25320" s="2"/>
      <c r="G25320" s="2"/>
      <c r="H25320" s="2"/>
    </row>
    <row r="25321" spans="1:8" x14ac:dyDescent="0.25">
      <c r="A25321" s="1"/>
      <c r="B25321" s="1" t="s">
        <v>7328</v>
      </c>
      <c r="C25321" s="1" t="s">
        <v>7329</v>
      </c>
      <c r="D25321" s="22" t="str">
        <f>HYPERLINK("https://rhld.insurance.arkansas.gov/NPILookup?Npi=1487602470","1487602470")</f>
        <v>1487602470</v>
      </c>
      <c r="E25321" s="1" t="s">
        <v>13179</v>
      </c>
      <c r="F25321" s="2"/>
      <c r="G25321" s="2"/>
      <c r="H25321" s="2"/>
    </row>
    <row r="25322" spans="1:8" x14ac:dyDescent="0.25">
      <c r="A25322" s="1"/>
      <c r="B25322" s="1" t="s">
        <v>7328</v>
      </c>
      <c r="C25322" s="1" t="s">
        <v>7329</v>
      </c>
      <c r="D25322" s="22" t="str">
        <f>HYPERLINK("https://rhld.insurance.arkansas.gov/NPILookup?Npi=1487609541","1487609541")</f>
        <v>1487609541</v>
      </c>
      <c r="E25322" s="1" t="s">
        <v>13849</v>
      </c>
      <c r="F25322" s="2"/>
      <c r="G25322" s="2"/>
      <c r="H25322" s="2"/>
    </row>
    <row r="25323" spans="1:8" x14ac:dyDescent="0.25">
      <c r="A25323" s="1"/>
      <c r="B25323" s="1" t="s">
        <v>7328</v>
      </c>
      <c r="C25323" s="1" t="s">
        <v>7329</v>
      </c>
      <c r="D25323" s="22" t="str">
        <f>HYPERLINK("https://rhld.insurance.arkansas.gov/NPILookup?Npi=1487622668","1487622668")</f>
        <v>1487622668</v>
      </c>
      <c r="E25323" s="1" t="s">
        <v>2023</v>
      </c>
      <c r="F25323" s="2"/>
      <c r="G25323" s="2"/>
      <c r="H25323" s="2"/>
    </row>
    <row r="25324" spans="1:8" x14ac:dyDescent="0.25">
      <c r="A25324" s="1"/>
      <c r="B25324" s="1" t="s">
        <v>7328</v>
      </c>
      <c r="C25324" s="1" t="s">
        <v>7329</v>
      </c>
      <c r="D25324" s="22" t="str">
        <f>HYPERLINK("https://rhld.insurance.arkansas.gov/NPILookup?Npi=1487624896","1487624896")</f>
        <v>1487624896</v>
      </c>
      <c r="E25324" s="1" t="s">
        <v>13180</v>
      </c>
      <c r="F25324" s="2"/>
      <c r="G25324" s="2"/>
      <c r="H25324" s="2"/>
    </row>
    <row r="25325" spans="1:8" x14ac:dyDescent="0.25">
      <c r="A25325" s="1"/>
      <c r="B25325" s="1" t="s">
        <v>7328</v>
      </c>
      <c r="C25325" s="1" t="s">
        <v>7329</v>
      </c>
      <c r="D25325" s="22" t="str">
        <f>HYPERLINK("https://rhld.insurance.arkansas.gov/NPILookup?Npi=1487625505","1487625505")</f>
        <v>1487625505</v>
      </c>
      <c r="E25325" s="1" t="s">
        <v>7808</v>
      </c>
      <c r="F25325" s="2"/>
      <c r="G25325" s="2"/>
      <c r="H25325" s="2"/>
    </row>
    <row r="25326" spans="1:8" x14ac:dyDescent="0.25">
      <c r="A25326" s="1"/>
      <c r="B25326" s="1" t="s">
        <v>7328</v>
      </c>
      <c r="C25326" s="1" t="s">
        <v>7329</v>
      </c>
      <c r="D25326" s="22" t="str">
        <f>HYPERLINK("https://rhld.insurance.arkansas.gov/NPILookup?Npi=1487651931","1487651931")</f>
        <v>1487651931</v>
      </c>
      <c r="E25326" s="1" t="s">
        <v>27324</v>
      </c>
      <c r="F25326" s="2"/>
      <c r="G25326" s="2"/>
      <c r="H25326" s="2"/>
    </row>
    <row r="25327" spans="1:8" x14ac:dyDescent="0.25">
      <c r="A25327" s="1"/>
      <c r="B25327" s="1" t="s">
        <v>7328</v>
      </c>
      <c r="C25327" s="1" t="s">
        <v>7329</v>
      </c>
      <c r="D25327" s="22" t="str">
        <f>HYPERLINK("https://rhld.insurance.arkansas.gov/NPILookup?Npi=1487653242","1487653242")</f>
        <v>1487653242</v>
      </c>
      <c r="E25327" s="1" t="s">
        <v>27325</v>
      </c>
      <c r="F25327" s="2"/>
      <c r="G25327" s="2"/>
      <c r="H25327" s="2"/>
    </row>
    <row r="25328" spans="1:8" x14ac:dyDescent="0.25">
      <c r="A25328" s="1"/>
      <c r="B25328" s="1" t="s">
        <v>7328</v>
      </c>
      <c r="C25328" s="1" t="s">
        <v>7329</v>
      </c>
      <c r="D25328" s="22" t="str">
        <f>HYPERLINK("https://rhld.insurance.arkansas.gov/NPILookup?Npi=1487697538","1487697538")</f>
        <v>1487697538</v>
      </c>
      <c r="E25328" s="1" t="s">
        <v>27326</v>
      </c>
      <c r="F25328" s="2"/>
      <c r="G25328" s="2"/>
      <c r="H25328" s="2"/>
    </row>
    <row r="25329" spans="1:8" x14ac:dyDescent="0.25">
      <c r="A25329" s="1"/>
      <c r="B25329" s="1" t="s">
        <v>7328</v>
      </c>
      <c r="C25329" s="1" t="s">
        <v>7329</v>
      </c>
      <c r="D25329" s="22" t="str">
        <f>HYPERLINK("https://rhld.insurance.arkansas.gov/NPILookup?Npi=1487704524","1487704524")</f>
        <v>1487704524</v>
      </c>
      <c r="E25329" s="1" t="s">
        <v>13181</v>
      </c>
      <c r="F25329" s="2"/>
      <c r="G25329" s="2"/>
      <c r="H25329" s="2"/>
    </row>
    <row r="25330" spans="1:8" x14ac:dyDescent="0.25">
      <c r="A25330" s="1"/>
      <c r="B25330" s="1" t="s">
        <v>7328</v>
      </c>
      <c r="C25330" s="1" t="s">
        <v>7329</v>
      </c>
      <c r="D25330" s="22" t="str">
        <f>HYPERLINK("https://rhld.insurance.arkansas.gov/NPILookup?Npi=1487712808","1487712808")</f>
        <v>1487712808</v>
      </c>
      <c r="E25330" s="1" t="s">
        <v>17576</v>
      </c>
      <c r="F25330" s="2"/>
      <c r="G25330" s="2"/>
      <c r="H25330" s="2"/>
    </row>
    <row r="25331" spans="1:8" x14ac:dyDescent="0.25">
      <c r="A25331" s="1"/>
      <c r="B25331" s="1" t="s">
        <v>7328</v>
      </c>
      <c r="C25331" s="1" t="s">
        <v>7329</v>
      </c>
      <c r="D25331" s="22" t="str">
        <f>HYPERLINK("https://rhld.insurance.arkansas.gov/NPILookup?Npi=1487744322","1487744322")</f>
        <v>1487744322</v>
      </c>
      <c r="E25331" s="1" t="s">
        <v>27327</v>
      </c>
      <c r="F25331" s="2"/>
      <c r="G25331" s="2"/>
      <c r="H25331" s="2"/>
    </row>
    <row r="25332" spans="1:8" x14ac:dyDescent="0.25">
      <c r="A25332" s="1"/>
      <c r="B25332" s="1" t="s">
        <v>7328</v>
      </c>
      <c r="C25332" s="1" t="s">
        <v>7329</v>
      </c>
      <c r="D25332" s="22" t="str">
        <f>HYPERLINK("https://rhld.insurance.arkansas.gov/NPILookup?Npi=1487754347","1487754347")</f>
        <v>1487754347</v>
      </c>
      <c r="E25332" s="1" t="s">
        <v>32252</v>
      </c>
      <c r="F25332" s="2"/>
      <c r="G25332" s="2"/>
      <c r="H25332" s="2"/>
    </row>
    <row r="25333" spans="1:8" x14ac:dyDescent="0.25">
      <c r="A25333" s="1"/>
      <c r="B25333" s="1" t="s">
        <v>7328</v>
      </c>
      <c r="C25333" s="1" t="s">
        <v>7329</v>
      </c>
      <c r="D25333" s="22" t="str">
        <f>HYPERLINK("https://rhld.insurance.arkansas.gov/NPILookup?Npi=1487757365","1487757365")</f>
        <v>1487757365</v>
      </c>
      <c r="E25333" s="1" t="s">
        <v>27328</v>
      </c>
      <c r="F25333" s="2"/>
      <c r="G25333" s="2"/>
      <c r="H25333" s="2"/>
    </row>
    <row r="25334" spans="1:8" x14ac:dyDescent="0.25">
      <c r="A25334" s="1"/>
      <c r="B25334" s="1" t="s">
        <v>7328</v>
      </c>
      <c r="C25334" s="1" t="s">
        <v>7329</v>
      </c>
      <c r="D25334" s="22" t="str">
        <f>HYPERLINK("https://rhld.insurance.arkansas.gov/NPILookup?Npi=1487815387","1487815387")</f>
        <v>1487815387</v>
      </c>
      <c r="E25334" s="1" t="s">
        <v>17579</v>
      </c>
      <c r="F25334" s="2"/>
      <c r="G25334" s="2"/>
      <c r="H25334" s="2"/>
    </row>
    <row r="25335" spans="1:8" x14ac:dyDescent="0.25">
      <c r="A25335" s="1"/>
      <c r="B25335" s="1" t="s">
        <v>7328</v>
      </c>
      <c r="C25335" s="1" t="s">
        <v>7329</v>
      </c>
      <c r="D25335" s="22" t="str">
        <f>HYPERLINK("https://rhld.insurance.arkansas.gov/NPILookup?Npi=1487831061","1487831061")</f>
        <v>1487831061</v>
      </c>
      <c r="E25335" s="1" t="s">
        <v>27329</v>
      </c>
      <c r="F25335" s="2"/>
      <c r="G25335" s="2"/>
      <c r="H25335" s="2"/>
    </row>
    <row r="25336" spans="1:8" x14ac:dyDescent="0.25">
      <c r="A25336" s="1"/>
      <c r="B25336" s="1" t="s">
        <v>7328</v>
      </c>
      <c r="C25336" s="1" t="s">
        <v>7329</v>
      </c>
      <c r="D25336" s="22" t="str">
        <f>HYPERLINK("https://rhld.insurance.arkansas.gov/NPILookup?Npi=1487845467","1487845467")</f>
        <v>1487845467</v>
      </c>
      <c r="E25336" s="1" t="s">
        <v>27330</v>
      </c>
      <c r="F25336" s="2"/>
      <c r="G25336" s="2"/>
      <c r="H25336" s="2"/>
    </row>
    <row r="25337" spans="1:8" x14ac:dyDescent="0.25">
      <c r="A25337" s="1"/>
      <c r="B25337" s="1" t="s">
        <v>7328</v>
      </c>
      <c r="C25337" s="1" t="s">
        <v>7329</v>
      </c>
      <c r="D25337" s="22" t="str">
        <f>HYPERLINK("https://rhld.insurance.arkansas.gov/NPILookup?Npi=1487850053","1487850053")</f>
        <v>1487850053</v>
      </c>
      <c r="E25337" s="1" t="s">
        <v>17580</v>
      </c>
      <c r="F25337" s="2"/>
      <c r="G25337" s="2"/>
      <c r="H25337" s="2"/>
    </row>
    <row r="25338" spans="1:8" x14ac:dyDescent="0.25">
      <c r="A25338" s="1"/>
      <c r="B25338" s="1" t="s">
        <v>7328</v>
      </c>
      <c r="C25338" s="1" t="s">
        <v>7329</v>
      </c>
      <c r="D25338" s="22" t="str">
        <f>HYPERLINK("https://rhld.insurance.arkansas.gov/NPILookup?Npi=1487852562","1487852562")</f>
        <v>1487852562</v>
      </c>
      <c r="E25338" s="1" t="s">
        <v>27331</v>
      </c>
      <c r="F25338" s="2"/>
      <c r="G25338" s="2"/>
      <c r="H25338" s="2"/>
    </row>
    <row r="25339" spans="1:8" x14ac:dyDescent="0.25">
      <c r="A25339" s="1"/>
      <c r="B25339" s="1" t="s">
        <v>7328</v>
      </c>
      <c r="C25339" s="1" t="s">
        <v>7329</v>
      </c>
      <c r="D25339" s="22" t="str">
        <f>HYPERLINK("https://rhld.insurance.arkansas.gov/NPILookup?Npi=1487856936","1487856936")</f>
        <v>1487856936</v>
      </c>
      <c r="E25339" s="1" t="s">
        <v>7809</v>
      </c>
      <c r="F25339" s="2"/>
      <c r="G25339" s="2"/>
      <c r="H25339" s="2"/>
    </row>
    <row r="25340" spans="1:8" x14ac:dyDescent="0.25">
      <c r="A25340" s="1"/>
      <c r="B25340" s="1" t="s">
        <v>7328</v>
      </c>
      <c r="C25340" s="1" t="s">
        <v>7329</v>
      </c>
      <c r="D25340" s="22" t="str">
        <f>HYPERLINK("https://rhld.insurance.arkansas.gov/NPILookup?Npi=1487875522","1487875522")</f>
        <v>1487875522</v>
      </c>
      <c r="E25340" s="1" t="s">
        <v>203</v>
      </c>
      <c r="F25340" s="2"/>
      <c r="G25340" s="2"/>
      <c r="H25340" s="2"/>
    </row>
    <row r="25341" spans="1:8" x14ac:dyDescent="0.25">
      <c r="A25341" s="1"/>
      <c r="B25341" s="1" t="s">
        <v>7328</v>
      </c>
      <c r="C25341" s="1" t="s">
        <v>7329</v>
      </c>
      <c r="D25341" s="22" t="str">
        <f>HYPERLINK("https://rhld.insurance.arkansas.gov/NPILookup?Npi=1487878641","1487878641")</f>
        <v>1487878641</v>
      </c>
      <c r="E25341" s="1" t="s">
        <v>27332</v>
      </c>
      <c r="F25341" s="2"/>
      <c r="G25341" s="2"/>
      <c r="H25341" s="2"/>
    </row>
    <row r="25342" spans="1:8" x14ac:dyDescent="0.25">
      <c r="A25342" s="1"/>
      <c r="B25342" s="1" t="s">
        <v>7328</v>
      </c>
      <c r="C25342" s="1" t="s">
        <v>7329</v>
      </c>
      <c r="D25342" s="22" t="str">
        <f>HYPERLINK("https://rhld.insurance.arkansas.gov/NPILookup?Npi=1487881439","1487881439")</f>
        <v>1487881439</v>
      </c>
      <c r="E25342" s="1" t="s">
        <v>10329</v>
      </c>
      <c r="F25342" s="2"/>
      <c r="G25342" s="2"/>
      <c r="H25342" s="2"/>
    </row>
    <row r="25343" spans="1:8" x14ac:dyDescent="0.25">
      <c r="A25343" s="1"/>
      <c r="B25343" s="1" t="s">
        <v>7328</v>
      </c>
      <c r="C25343" s="1" t="s">
        <v>7329</v>
      </c>
      <c r="D25343" s="22" t="str">
        <f>HYPERLINK("https://rhld.insurance.arkansas.gov/NPILookup?Npi=1487881892","1487881892")</f>
        <v>1487881892</v>
      </c>
      <c r="E25343" s="1" t="s">
        <v>17581</v>
      </c>
      <c r="F25343" s="2"/>
      <c r="G25343" s="2"/>
      <c r="H25343" s="2"/>
    </row>
    <row r="25344" spans="1:8" x14ac:dyDescent="0.25">
      <c r="A25344" s="1"/>
      <c r="B25344" s="1" t="s">
        <v>7328</v>
      </c>
      <c r="C25344" s="1" t="s">
        <v>7329</v>
      </c>
      <c r="D25344" s="22" t="str">
        <f>HYPERLINK("https://rhld.insurance.arkansas.gov/NPILookup?Npi=1487897401","1487897401")</f>
        <v>1487897401</v>
      </c>
      <c r="E25344" s="1" t="s">
        <v>17582</v>
      </c>
      <c r="F25344" s="2"/>
      <c r="G25344" s="2"/>
      <c r="H25344" s="2"/>
    </row>
    <row r="25345" spans="1:8" x14ac:dyDescent="0.25">
      <c r="A25345" s="1"/>
      <c r="B25345" s="1" t="s">
        <v>7328</v>
      </c>
      <c r="C25345" s="1" t="s">
        <v>7329</v>
      </c>
      <c r="D25345" s="22" t="str">
        <f>HYPERLINK("https://rhld.insurance.arkansas.gov/NPILookup?Npi=1487903936","1487903936")</f>
        <v>1487903936</v>
      </c>
      <c r="E25345" s="1" t="s">
        <v>27333</v>
      </c>
      <c r="F25345" s="2"/>
      <c r="G25345" s="2"/>
      <c r="H25345" s="2"/>
    </row>
    <row r="25346" spans="1:8" x14ac:dyDescent="0.25">
      <c r="A25346" s="1"/>
      <c r="B25346" s="1" t="s">
        <v>7328</v>
      </c>
      <c r="C25346" s="1" t="s">
        <v>7329</v>
      </c>
      <c r="D25346" s="22" t="str">
        <f>HYPERLINK("https://rhld.insurance.arkansas.gov/NPILookup?Npi=1487917811","1487917811")</f>
        <v>1487917811</v>
      </c>
      <c r="E25346" s="1" t="s">
        <v>17584</v>
      </c>
      <c r="F25346" s="2"/>
      <c r="G25346" s="2"/>
      <c r="H25346" s="2"/>
    </row>
    <row r="25347" spans="1:8" x14ac:dyDescent="0.25">
      <c r="A25347" s="1"/>
      <c r="B25347" s="1" t="s">
        <v>7328</v>
      </c>
      <c r="C25347" s="1" t="s">
        <v>7329</v>
      </c>
      <c r="D25347" s="22" t="str">
        <f>HYPERLINK("https://rhld.insurance.arkansas.gov/NPILookup?Npi=1487918702","1487918702")</f>
        <v>1487918702</v>
      </c>
      <c r="E25347" s="1" t="s">
        <v>10330</v>
      </c>
      <c r="F25347" s="2"/>
      <c r="G25347" s="2"/>
      <c r="H25347" s="2"/>
    </row>
    <row r="25348" spans="1:8" x14ac:dyDescent="0.25">
      <c r="A25348" s="1"/>
      <c r="B25348" s="1" t="s">
        <v>7328</v>
      </c>
      <c r="C25348" s="1" t="s">
        <v>7329</v>
      </c>
      <c r="D25348" s="22" t="str">
        <f>HYPERLINK("https://rhld.insurance.arkansas.gov/NPILookup?Npi=1487927711","1487927711")</f>
        <v>1487927711</v>
      </c>
      <c r="E25348" s="1" t="s">
        <v>27334</v>
      </c>
      <c r="F25348" s="2"/>
      <c r="G25348" s="2"/>
      <c r="H25348" s="2"/>
    </row>
    <row r="25349" spans="1:8" x14ac:dyDescent="0.25">
      <c r="A25349" s="1"/>
      <c r="B25349" s="1" t="s">
        <v>7328</v>
      </c>
      <c r="C25349" s="1" t="s">
        <v>7329</v>
      </c>
      <c r="D25349" s="22" t="str">
        <f>HYPERLINK("https://rhld.insurance.arkansas.gov/NPILookup?Npi=1487944286","1487944286")</f>
        <v>1487944286</v>
      </c>
      <c r="E25349" s="1" t="s">
        <v>32253</v>
      </c>
      <c r="F25349" s="2"/>
      <c r="G25349" s="2"/>
      <c r="H25349" s="2"/>
    </row>
    <row r="25350" spans="1:8" x14ac:dyDescent="0.25">
      <c r="A25350" s="1"/>
      <c r="B25350" s="1" t="s">
        <v>7328</v>
      </c>
      <c r="C25350" s="1" t="s">
        <v>7329</v>
      </c>
      <c r="D25350" s="22" t="str">
        <f>HYPERLINK("https://rhld.insurance.arkansas.gov/NPILookup?Npi=1487944583","1487944583")</f>
        <v>1487944583</v>
      </c>
      <c r="E25350" s="1" t="s">
        <v>27335</v>
      </c>
      <c r="F25350" s="2"/>
      <c r="G25350" s="2"/>
      <c r="H25350" s="2"/>
    </row>
    <row r="25351" spans="1:8" x14ac:dyDescent="0.25">
      <c r="A25351" s="1"/>
      <c r="B25351" s="1" t="s">
        <v>7328</v>
      </c>
      <c r="C25351" s="1" t="s">
        <v>7329</v>
      </c>
      <c r="D25351" s="22" t="str">
        <f>HYPERLINK("https://rhld.insurance.arkansas.gov/NPILookup?Npi=1487950127","1487950127")</f>
        <v>1487950127</v>
      </c>
      <c r="E25351" s="1" t="s">
        <v>13182</v>
      </c>
      <c r="F25351" s="2"/>
      <c r="G25351" s="2"/>
      <c r="H25351" s="2"/>
    </row>
    <row r="25352" spans="1:8" x14ac:dyDescent="0.25">
      <c r="A25352" s="1"/>
      <c r="B25352" s="1" t="s">
        <v>7328</v>
      </c>
      <c r="C25352" s="1" t="s">
        <v>7329</v>
      </c>
      <c r="D25352" s="22" t="str">
        <f>HYPERLINK("https://rhld.insurance.arkansas.gov/NPILookup?Npi=1487951042","1487951042")</f>
        <v>1487951042</v>
      </c>
      <c r="E25352" s="1" t="s">
        <v>7810</v>
      </c>
      <c r="F25352" s="2"/>
      <c r="G25352" s="2"/>
      <c r="H25352" s="2"/>
    </row>
    <row r="25353" spans="1:8" x14ac:dyDescent="0.25">
      <c r="A25353" s="1"/>
      <c r="B25353" s="1" t="s">
        <v>7328</v>
      </c>
      <c r="C25353" s="1" t="s">
        <v>7329</v>
      </c>
      <c r="D25353" s="22" t="str">
        <f>HYPERLINK("https://rhld.insurance.arkansas.gov/NPILookup?Npi=1487952834","1487952834")</f>
        <v>1487952834</v>
      </c>
      <c r="E25353" s="1" t="s">
        <v>27336</v>
      </c>
      <c r="F25353" s="2"/>
      <c r="G25353" s="2"/>
      <c r="H25353" s="2"/>
    </row>
    <row r="25354" spans="1:8" x14ac:dyDescent="0.25">
      <c r="A25354" s="1"/>
      <c r="B25354" s="1" t="s">
        <v>7328</v>
      </c>
      <c r="C25354" s="1" t="s">
        <v>7329</v>
      </c>
      <c r="D25354" s="22" t="str">
        <f>HYPERLINK("https://rhld.insurance.arkansas.gov/NPILookup?Npi=1487960159","1487960159")</f>
        <v>1487960159</v>
      </c>
      <c r="E25354" s="1" t="s">
        <v>27337</v>
      </c>
      <c r="F25354" s="2"/>
      <c r="G25354" s="2"/>
      <c r="H25354" s="2"/>
    </row>
    <row r="25355" spans="1:8" x14ac:dyDescent="0.25">
      <c r="A25355" s="1"/>
      <c r="B25355" s="1" t="s">
        <v>7328</v>
      </c>
      <c r="C25355" s="1" t="s">
        <v>7329</v>
      </c>
      <c r="D25355" s="22" t="str">
        <f>HYPERLINK("https://rhld.insurance.arkansas.gov/NPILookup?Npi=1487960258","1487960258")</f>
        <v>1487960258</v>
      </c>
      <c r="E25355" s="1" t="s">
        <v>13183</v>
      </c>
      <c r="F25355" s="2"/>
      <c r="G25355" s="2"/>
      <c r="H25355" s="2"/>
    </row>
    <row r="25356" spans="1:8" x14ac:dyDescent="0.25">
      <c r="A25356" s="1"/>
      <c r="B25356" s="1" t="s">
        <v>7328</v>
      </c>
      <c r="C25356" s="1" t="s">
        <v>7329</v>
      </c>
      <c r="D25356" s="22" t="str">
        <f>HYPERLINK("https://rhld.insurance.arkansas.gov/NPILookup?Npi=1487968103","1487968103")</f>
        <v>1487968103</v>
      </c>
      <c r="E25356" s="1" t="s">
        <v>27338</v>
      </c>
      <c r="F25356" s="2"/>
      <c r="G25356" s="2"/>
      <c r="H25356" s="2"/>
    </row>
    <row r="25357" spans="1:8" x14ac:dyDescent="0.25">
      <c r="A25357" s="1"/>
      <c r="B25357" s="1" t="s">
        <v>7328</v>
      </c>
      <c r="C25357" s="1" t="s">
        <v>7329</v>
      </c>
      <c r="D25357" s="22" t="str">
        <f>HYPERLINK("https://rhld.insurance.arkansas.gov/NPILookup?Npi=1487970521","1487970521")</f>
        <v>1487970521</v>
      </c>
      <c r="E25357" s="1" t="s">
        <v>13184</v>
      </c>
      <c r="F25357" s="2"/>
      <c r="G25357" s="2"/>
      <c r="H25357" s="2"/>
    </row>
    <row r="25358" spans="1:8" x14ac:dyDescent="0.25">
      <c r="A25358" s="1"/>
      <c r="B25358" s="1" t="s">
        <v>7328</v>
      </c>
      <c r="C25358" s="1" t="s">
        <v>7329</v>
      </c>
      <c r="D25358" s="22" t="str">
        <f>HYPERLINK("https://rhld.insurance.arkansas.gov/NPILookup?Npi=1487992756","1487992756")</f>
        <v>1487992756</v>
      </c>
      <c r="E25358" s="1" t="s">
        <v>27339</v>
      </c>
      <c r="F25358" s="2"/>
      <c r="G25358" s="2"/>
      <c r="H25358" s="2"/>
    </row>
    <row r="25359" spans="1:8" x14ac:dyDescent="0.25">
      <c r="A25359" s="1"/>
      <c r="B25359" s="1" t="s">
        <v>7328</v>
      </c>
      <c r="C25359" s="1" t="s">
        <v>7329</v>
      </c>
      <c r="D25359" s="22" t="str">
        <f>HYPERLINK("https://rhld.insurance.arkansas.gov/NPILookup?Npi=1497001085","1497001085")</f>
        <v>1497001085</v>
      </c>
      <c r="E25359" s="1" t="s">
        <v>27340</v>
      </c>
      <c r="F25359" s="2"/>
      <c r="G25359" s="2"/>
      <c r="H25359" s="2"/>
    </row>
    <row r="25360" spans="1:8" x14ac:dyDescent="0.25">
      <c r="A25360" s="1"/>
      <c r="B25360" s="1" t="s">
        <v>7328</v>
      </c>
      <c r="C25360" s="1" t="s">
        <v>7329</v>
      </c>
      <c r="D25360" s="22" t="str">
        <f>HYPERLINK("https://rhld.insurance.arkansas.gov/NPILookup?Npi=1497006217","1497006217")</f>
        <v>1497006217</v>
      </c>
      <c r="E25360" s="1" t="s">
        <v>13185</v>
      </c>
      <c r="F25360" s="2"/>
      <c r="G25360" s="2"/>
      <c r="H25360" s="2"/>
    </row>
    <row r="25361" spans="1:8" x14ac:dyDescent="0.25">
      <c r="A25361" s="1"/>
      <c r="B25361" s="1" t="s">
        <v>7328</v>
      </c>
      <c r="C25361" s="1" t="s">
        <v>7329</v>
      </c>
      <c r="D25361" s="22" t="str">
        <f>HYPERLINK("https://rhld.insurance.arkansas.gov/NPILookup?Npi=1497009062","1497009062")</f>
        <v>1497009062</v>
      </c>
      <c r="E25361" s="1" t="s">
        <v>27341</v>
      </c>
      <c r="F25361" s="2"/>
      <c r="G25361" s="2"/>
      <c r="H25361" s="2"/>
    </row>
    <row r="25362" spans="1:8" x14ac:dyDescent="0.25">
      <c r="A25362" s="1"/>
      <c r="B25362" s="1" t="s">
        <v>7328</v>
      </c>
      <c r="C25362" s="1" t="s">
        <v>7329</v>
      </c>
      <c r="D25362" s="22" t="str">
        <f>HYPERLINK("https://rhld.insurance.arkansas.gov/NPILookup?Npi=1497032577","1497032577")</f>
        <v>1497032577</v>
      </c>
      <c r="E25362" s="1" t="s">
        <v>27342</v>
      </c>
      <c r="F25362" s="2"/>
      <c r="G25362" s="2"/>
      <c r="H25362" s="2"/>
    </row>
    <row r="25363" spans="1:8" x14ac:dyDescent="0.25">
      <c r="A25363" s="1"/>
      <c r="B25363" s="1" t="s">
        <v>7328</v>
      </c>
      <c r="C25363" s="1" t="s">
        <v>7329</v>
      </c>
      <c r="D25363" s="22" t="str">
        <f>HYPERLINK("https://rhld.insurance.arkansas.gov/NPILookup?Npi=1497046015","1497046015")</f>
        <v>1497046015</v>
      </c>
      <c r="E25363" s="1" t="s">
        <v>17585</v>
      </c>
      <c r="F25363" s="2"/>
      <c r="G25363" s="2"/>
      <c r="H25363" s="2"/>
    </row>
    <row r="25364" spans="1:8" x14ac:dyDescent="0.25">
      <c r="A25364" s="1"/>
      <c r="B25364" s="1" t="s">
        <v>7328</v>
      </c>
      <c r="C25364" s="1" t="s">
        <v>7329</v>
      </c>
      <c r="D25364" s="22" t="str">
        <f>HYPERLINK("https://rhld.insurance.arkansas.gov/NPILookup?Npi=1497051684","1497051684")</f>
        <v>1497051684</v>
      </c>
      <c r="E25364" s="1" t="s">
        <v>27343</v>
      </c>
      <c r="F25364" s="2"/>
      <c r="G25364" s="2"/>
      <c r="H25364" s="2"/>
    </row>
    <row r="25365" spans="1:8" x14ac:dyDescent="0.25">
      <c r="A25365" s="1"/>
      <c r="B25365" s="1" t="s">
        <v>7328</v>
      </c>
      <c r="C25365" s="1" t="s">
        <v>7329</v>
      </c>
      <c r="D25365" s="22" t="str">
        <f>HYPERLINK("https://rhld.insurance.arkansas.gov/NPILookup?Npi=1497103626","1497103626")</f>
        <v>1497103626</v>
      </c>
      <c r="E25365" s="1" t="s">
        <v>2024</v>
      </c>
      <c r="F25365" s="2"/>
      <c r="G25365" s="2"/>
      <c r="H25365" s="2"/>
    </row>
    <row r="25366" spans="1:8" x14ac:dyDescent="0.25">
      <c r="A25366" s="1"/>
      <c r="B25366" s="1" t="s">
        <v>7328</v>
      </c>
      <c r="C25366" s="1" t="s">
        <v>7329</v>
      </c>
      <c r="D25366" s="22" t="str">
        <f>HYPERLINK("https://rhld.insurance.arkansas.gov/NPILookup?Npi=1497118913","1497118913")</f>
        <v>1497118913</v>
      </c>
      <c r="E25366" s="1" t="s">
        <v>27344</v>
      </c>
      <c r="F25366" s="2"/>
      <c r="G25366" s="2"/>
      <c r="H25366" s="2"/>
    </row>
    <row r="25367" spans="1:8" x14ac:dyDescent="0.25">
      <c r="A25367" s="1"/>
      <c r="B25367" s="1" t="s">
        <v>7328</v>
      </c>
      <c r="C25367" s="1" t="s">
        <v>7329</v>
      </c>
      <c r="D25367" s="22" t="str">
        <f>HYPERLINK("https://rhld.insurance.arkansas.gov/NPILookup?Npi=1497122113","1497122113")</f>
        <v>1497122113</v>
      </c>
      <c r="E25367" s="1" t="s">
        <v>27345</v>
      </c>
      <c r="F25367" s="2"/>
      <c r="G25367" s="2"/>
      <c r="H25367" s="2"/>
    </row>
    <row r="25368" spans="1:8" x14ac:dyDescent="0.25">
      <c r="A25368" s="1"/>
      <c r="B25368" s="1" t="s">
        <v>7328</v>
      </c>
      <c r="C25368" s="1" t="s">
        <v>7329</v>
      </c>
      <c r="D25368" s="22" t="str">
        <f>HYPERLINK("https://rhld.insurance.arkansas.gov/NPILookup?Npi=1497124473","1497124473")</f>
        <v>1497124473</v>
      </c>
      <c r="E25368" s="1" t="s">
        <v>13186</v>
      </c>
      <c r="F25368" s="2"/>
      <c r="G25368" s="2"/>
      <c r="H25368" s="2"/>
    </row>
    <row r="25369" spans="1:8" x14ac:dyDescent="0.25">
      <c r="A25369" s="1"/>
      <c r="B25369" s="1" t="s">
        <v>7328</v>
      </c>
      <c r="C25369" s="1" t="s">
        <v>7329</v>
      </c>
      <c r="D25369" s="22" t="str">
        <f>HYPERLINK("https://rhld.insurance.arkansas.gov/NPILookup?Npi=1497125207","1497125207")</f>
        <v>1497125207</v>
      </c>
      <c r="E25369" s="1" t="s">
        <v>27346</v>
      </c>
      <c r="F25369" s="2"/>
      <c r="G25369" s="2"/>
      <c r="H25369" s="2"/>
    </row>
    <row r="25370" spans="1:8" x14ac:dyDescent="0.25">
      <c r="A25370" s="1"/>
      <c r="B25370" s="1" t="s">
        <v>7328</v>
      </c>
      <c r="C25370" s="1" t="s">
        <v>7329</v>
      </c>
      <c r="D25370" s="22" t="str">
        <f>HYPERLINK("https://rhld.insurance.arkansas.gov/NPILookup?Npi=1497128722","1497128722")</f>
        <v>1497128722</v>
      </c>
      <c r="E25370" s="1" t="s">
        <v>13187</v>
      </c>
      <c r="F25370" s="2"/>
      <c r="G25370" s="2"/>
      <c r="H25370" s="2"/>
    </row>
    <row r="25371" spans="1:8" x14ac:dyDescent="0.25">
      <c r="A25371" s="1"/>
      <c r="B25371" s="1" t="s">
        <v>7328</v>
      </c>
      <c r="C25371" s="1" t="s">
        <v>7329</v>
      </c>
      <c r="D25371" s="22" t="str">
        <f>HYPERLINK("https://rhld.insurance.arkansas.gov/NPILookup?Npi=1497138887","1497138887")</f>
        <v>1497138887</v>
      </c>
      <c r="E25371" s="1" t="s">
        <v>22379</v>
      </c>
      <c r="F25371" s="2"/>
      <c r="G25371" s="2"/>
      <c r="H25371" s="2"/>
    </row>
    <row r="25372" spans="1:8" x14ac:dyDescent="0.25">
      <c r="A25372" s="1"/>
      <c r="B25372" s="1" t="s">
        <v>7328</v>
      </c>
      <c r="C25372" s="1" t="s">
        <v>7329</v>
      </c>
      <c r="D25372" s="22" t="str">
        <f>HYPERLINK("https://rhld.insurance.arkansas.gov/NPILookup?Npi=1497139554","1497139554")</f>
        <v>1497139554</v>
      </c>
      <c r="E25372" s="1" t="s">
        <v>13188</v>
      </c>
      <c r="F25372" s="2"/>
      <c r="G25372" s="2"/>
      <c r="H25372" s="2"/>
    </row>
    <row r="25373" spans="1:8" x14ac:dyDescent="0.25">
      <c r="A25373" s="1"/>
      <c r="B25373" s="1" t="s">
        <v>7328</v>
      </c>
      <c r="C25373" s="1" t="s">
        <v>7329</v>
      </c>
      <c r="D25373" s="22" t="str">
        <f>HYPERLINK("https://rhld.insurance.arkansas.gov/NPILookup?Npi=1497141485","1497141485")</f>
        <v>1497141485</v>
      </c>
      <c r="E25373" s="1" t="s">
        <v>13189</v>
      </c>
      <c r="F25373" s="2"/>
      <c r="G25373" s="2"/>
      <c r="H25373" s="2"/>
    </row>
    <row r="25374" spans="1:8" x14ac:dyDescent="0.25">
      <c r="A25374" s="1"/>
      <c r="B25374" s="1" t="s">
        <v>7328</v>
      </c>
      <c r="C25374" s="1" t="s">
        <v>7329</v>
      </c>
      <c r="D25374" s="22" t="str">
        <f>HYPERLINK("https://rhld.insurance.arkansas.gov/NPILookup?Npi=1497144901","1497144901")</f>
        <v>1497144901</v>
      </c>
      <c r="E25374" s="1" t="s">
        <v>32254</v>
      </c>
      <c r="F25374" s="2"/>
      <c r="G25374" s="2"/>
      <c r="H25374" s="2"/>
    </row>
    <row r="25375" spans="1:8" x14ac:dyDescent="0.25">
      <c r="A25375" s="1"/>
      <c r="B25375" s="1" t="s">
        <v>7328</v>
      </c>
      <c r="C25375" s="1" t="s">
        <v>7329</v>
      </c>
      <c r="D25375" s="22" t="str">
        <f>HYPERLINK("https://rhld.insurance.arkansas.gov/NPILookup?Npi=1497148837","1497148837")</f>
        <v>1497148837</v>
      </c>
      <c r="E25375" s="1" t="s">
        <v>27347</v>
      </c>
      <c r="F25375" s="2"/>
      <c r="G25375" s="2"/>
      <c r="H25375" s="2"/>
    </row>
    <row r="25376" spans="1:8" x14ac:dyDescent="0.25">
      <c r="A25376" s="1"/>
      <c r="B25376" s="1" t="s">
        <v>7328</v>
      </c>
      <c r="C25376" s="1" t="s">
        <v>7329</v>
      </c>
      <c r="D25376" s="22" t="str">
        <f>HYPERLINK("https://rhld.insurance.arkansas.gov/NPILookup?Npi=1497149884","1497149884")</f>
        <v>1497149884</v>
      </c>
      <c r="E25376" s="1" t="s">
        <v>27348</v>
      </c>
      <c r="F25376" s="2"/>
      <c r="G25376" s="2"/>
      <c r="H25376" s="2"/>
    </row>
    <row r="25377" spans="1:8" x14ac:dyDescent="0.25">
      <c r="A25377" s="1"/>
      <c r="B25377" s="1" t="s">
        <v>7328</v>
      </c>
      <c r="C25377" s="1" t="s">
        <v>7329</v>
      </c>
      <c r="D25377" s="22" t="str">
        <f>HYPERLINK("https://rhld.insurance.arkansas.gov/NPILookup?Npi=1497160691","1497160691")</f>
        <v>1497160691</v>
      </c>
      <c r="E25377" s="1" t="s">
        <v>1221</v>
      </c>
      <c r="F25377" s="2"/>
      <c r="G25377" s="2"/>
      <c r="H25377" s="2"/>
    </row>
    <row r="25378" spans="1:8" x14ac:dyDescent="0.25">
      <c r="A25378" s="1"/>
      <c r="B25378" s="1" t="s">
        <v>7328</v>
      </c>
      <c r="C25378" s="1" t="s">
        <v>7329</v>
      </c>
      <c r="D25378" s="22" t="str">
        <f>HYPERLINK("https://rhld.insurance.arkansas.gov/NPILookup?Npi=1497181937","1497181937")</f>
        <v>1497181937</v>
      </c>
      <c r="E25378" s="1" t="s">
        <v>7811</v>
      </c>
      <c r="F25378" s="2"/>
      <c r="G25378" s="2"/>
      <c r="H25378" s="2"/>
    </row>
    <row r="25379" spans="1:8" x14ac:dyDescent="0.25">
      <c r="A25379" s="1"/>
      <c r="B25379" s="1" t="s">
        <v>7328</v>
      </c>
      <c r="C25379" s="1" t="s">
        <v>7329</v>
      </c>
      <c r="D25379" s="22" t="str">
        <f>HYPERLINK("https://rhld.insurance.arkansas.gov/NPILookup?Npi=1497182075","1497182075")</f>
        <v>1497182075</v>
      </c>
      <c r="E25379" s="1" t="s">
        <v>27349</v>
      </c>
      <c r="F25379" s="2"/>
      <c r="G25379" s="2"/>
      <c r="H25379" s="2"/>
    </row>
    <row r="25380" spans="1:8" x14ac:dyDescent="0.25">
      <c r="A25380" s="1"/>
      <c r="B25380" s="1" t="s">
        <v>7328</v>
      </c>
      <c r="C25380" s="1" t="s">
        <v>7329</v>
      </c>
      <c r="D25380" s="22" t="str">
        <f>HYPERLINK("https://rhld.insurance.arkansas.gov/NPILookup?Npi=1497194427","1497194427")</f>
        <v>1497194427</v>
      </c>
      <c r="E25380" s="1" t="s">
        <v>2862</v>
      </c>
      <c r="F25380" s="2"/>
      <c r="G25380" s="2"/>
      <c r="H25380" s="2"/>
    </row>
    <row r="25381" spans="1:8" x14ac:dyDescent="0.25">
      <c r="A25381" s="1"/>
      <c r="B25381" s="1" t="s">
        <v>7328</v>
      </c>
      <c r="C25381" s="1" t="s">
        <v>7329</v>
      </c>
      <c r="D25381" s="22" t="str">
        <f>HYPERLINK("https://rhld.insurance.arkansas.gov/NPILookup?Npi=1497195598","1497195598")</f>
        <v>1497195598</v>
      </c>
      <c r="E25381" s="1" t="s">
        <v>27350</v>
      </c>
      <c r="F25381" s="2"/>
      <c r="G25381" s="2"/>
      <c r="H25381" s="2"/>
    </row>
    <row r="25382" spans="1:8" x14ac:dyDescent="0.25">
      <c r="A25382" s="1"/>
      <c r="B25382" s="1" t="s">
        <v>7328</v>
      </c>
      <c r="C25382" s="1" t="s">
        <v>7329</v>
      </c>
      <c r="D25382" s="22" t="str">
        <f>HYPERLINK("https://rhld.insurance.arkansas.gov/NPILookup?Npi=1497200927","1497200927")</f>
        <v>1497200927</v>
      </c>
      <c r="E25382" s="1" t="s">
        <v>7812</v>
      </c>
      <c r="F25382" s="2"/>
      <c r="G25382" s="2"/>
      <c r="H25382" s="2"/>
    </row>
    <row r="25383" spans="1:8" x14ac:dyDescent="0.25">
      <c r="A25383" s="1"/>
      <c r="B25383" s="1" t="s">
        <v>7328</v>
      </c>
      <c r="C25383" s="1" t="s">
        <v>7329</v>
      </c>
      <c r="D25383" s="22" t="str">
        <f>HYPERLINK("https://rhld.insurance.arkansas.gov/NPILookup?Npi=1497203335","1497203335")</f>
        <v>1497203335</v>
      </c>
      <c r="E25383" s="1" t="s">
        <v>27351</v>
      </c>
      <c r="F25383" s="2"/>
      <c r="G25383" s="2"/>
      <c r="H25383" s="2"/>
    </row>
    <row r="25384" spans="1:8" x14ac:dyDescent="0.25">
      <c r="A25384" s="1"/>
      <c r="B25384" s="1" t="s">
        <v>7328</v>
      </c>
      <c r="C25384" s="1" t="s">
        <v>7329</v>
      </c>
      <c r="D25384" s="22" t="str">
        <f>HYPERLINK("https://rhld.insurance.arkansas.gov/NPILookup?Npi=1497204911","1497204911")</f>
        <v>1497204911</v>
      </c>
      <c r="E25384" s="1" t="s">
        <v>13190</v>
      </c>
      <c r="F25384" s="2"/>
      <c r="G25384" s="2"/>
      <c r="H25384" s="2"/>
    </row>
    <row r="25385" spans="1:8" x14ac:dyDescent="0.25">
      <c r="A25385" s="1"/>
      <c r="B25385" s="1" t="s">
        <v>7328</v>
      </c>
      <c r="C25385" s="1" t="s">
        <v>7329</v>
      </c>
      <c r="D25385" s="22" t="str">
        <f>HYPERLINK("https://rhld.insurance.arkansas.gov/NPILookup?Npi=1497206908","1497206908")</f>
        <v>1497206908</v>
      </c>
      <c r="E25385" s="1" t="s">
        <v>13191</v>
      </c>
      <c r="F25385" s="2"/>
      <c r="G25385" s="2"/>
      <c r="H25385" s="2"/>
    </row>
    <row r="25386" spans="1:8" x14ac:dyDescent="0.25">
      <c r="A25386" s="1"/>
      <c r="B25386" s="1" t="s">
        <v>7328</v>
      </c>
      <c r="C25386" s="1" t="s">
        <v>7329</v>
      </c>
      <c r="D25386" s="22" t="str">
        <f>HYPERLINK("https://rhld.insurance.arkansas.gov/NPILookup?Npi=1497206924","1497206924")</f>
        <v>1497206924</v>
      </c>
      <c r="E25386" s="1" t="s">
        <v>2025</v>
      </c>
      <c r="F25386" s="2"/>
      <c r="G25386" s="2"/>
      <c r="H25386" s="2"/>
    </row>
    <row r="25387" spans="1:8" x14ac:dyDescent="0.25">
      <c r="A25387" s="1"/>
      <c r="B25387" s="1" t="s">
        <v>7328</v>
      </c>
      <c r="C25387" s="1" t="s">
        <v>7329</v>
      </c>
      <c r="D25387" s="22" t="str">
        <f>HYPERLINK("https://rhld.insurance.arkansas.gov/NPILookup?Npi=1497208508","1497208508")</f>
        <v>1497208508</v>
      </c>
      <c r="E25387" s="1" t="s">
        <v>766</v>
      </c>
      <c r="F25387" s="2"/>
      <c r="G25387" s="2"/>
      <c r="H25387" s="2"/>
    </row>
    <row r="25388" spans="1:8" x14ac:dyDescent="0.25">
      <c r="A25388" s="1"/>
      <c r="B25388" s="1" t="s">
        <v>7328</v>
      </c>
      <c r="C25388" s="1" t="s">
        <v>7329</v>
      </c>
      <c r="D25388" s="22" t="str">
        <f>HYPERLINK("https://rhld.insurance.arkansas.gov/NPILookup?Npi=1497209696","1497209696")</f>
        <v>1497209696</v>
      </c>
      <c r="E25388" s="1" t="s">
        <v>27352</v>
      </c>
      <c r="F25388" s="2"/>
      <c r="G25388" s="2"/>
      <c r="H25388" s="2"/>
    </row>
    <row r="25389" spans="1:8" x14ac:dyDescent="0.25">
      <c r="A25389" s="1"/>
      <c r="B25389" s="1" t="s">
        <v>7328</v>
      </c>
      <c r="C25389" s="1" t="s">
        <v>7329</v>
      </c>
      <c r="D25389" s="22" t="str">
        <f>HYPERLINK("https://rhld.insurance.arkansas.gov/NPILookup?Npi=1497218721","1497218721")</f>
        <v>1497218721</v>
      </c>
      <c r="E25389" s="1" t="s">
        <v>7813</v>
      </c>
      <c r="F25389" s="2"/>
      <c r="G25389" s="2"/>
      <c r="H25389" s="2"/>
    </row>
    <row r="25390" spans="1:8" x14ac:dyDescent="0.25">
      <c r="A25390" s="1"/>
      <c r="B25390" s="1" t="s">
        <v>7328</v>
      </c>
      <c r="C25390" s="1" t="s">
        <v>7329</v>
      </c>
      <c r="D25390" s="22" t="str">
        <f>HYPERLINK("https://rhld.insurance.arkansas.gov/NPILookup?Npi=1497227003","1497227003")</f>
        <v>1497227003</v>
      </c>
      <c r="E25390" s="1" t="s">
        <v>27353</v>
      </c>
      <c r="F25390" s="2"/>
      <c r="G25390" s="2"/>
      <c r="H25390" s="2"/>
    </row>
    <row r="25391" spans="1:8" x14ac:dyDescent="0.25">
      <c r="A25391" s="1"/>
      <c r="B25391" s="1" t="s">
        <v>7328</v>
      </c>
      <c r="C25391" s="1" t="s">
        <v>7329</v>
      </c>
      <c r="D25391" s="22" t="str">
        <f>HYPERLINK("https://rhld.insurance.arkansas.gov/NPILookup?Npi=1497241343","1497241343")</f>
        <v>1497241343</v>
      </c>
      <c r="E25391" s="1" t="s">
        <v>13192</v>
      </c>
      <c r="F25391" s="2"/>
      <c r="G25391" s="2"/>
      <c r="H25391" s="2"/>
    </row>
    <row r="25392" spans="1:8" x14ac:dyDescent="0.25">
      <c r="A25392" s="1"/>
      <c r="B25392" s="1" t="s">
        <v>7328</v>
      </c>
      <c r="C25392" s="1" t="s">
        <v>7329</v>
      </c>
      <c r="D25392" s="22" t="str">
        <f>HYPERLINK("https://rhld.insurance.arkansas.gov/NPILookup?Npi=1497261093","1497261093")</f>
        <v>1497261093</v>
      </c>
      <c r="E25392" s="1" t="s">
        <v>13193</v>
      </c>
      <c r="F25392" s="2"/>
      <c r="G25392" s="2"/>
      <c r="H25392" s="2"/>
    </row>
    <row r="25393" spans="1:8" x14ac:dyDescent="0.25">
      <c r="A25393" s="1"/>
      <c r="B25393" s="1" t="s">
        <v>7328</v>
      </c>
      <c r="C25393" s="1" t="s">
        <v>7329</v>
      </c>
      <c r="D25393" s="22" t="str">
        <f>HYPERLINK("https://rhld.insurance.arkansas.gov/NPILookup?Npi=1497263222","1497263222")</f>
        <v>1497263222</v>
      </c>
      <c r="E25393" s="1" t="s">
        <v>10333</v>
      </c>
      <c r="F25393" s="2"/>
      <c r="G25393" s="2"/>
      <c r="H25393" s="2"/>
    </row>
    <row r="25394" spans="1:8" x14ac:dyDescent="0.25">
      <c r="A25394" s="1"/>
      <c r="B25394" s="1" t="s">
        <v>7328</v>
      </c>
      <c r="C25394" s="1" t="s">
        <v>7329</v>
      </c>
      <c r="D25394" s="22" t="str">
        <f>HYPERLINK("https://rhld.insurance.arkansas.gov/NPILookup?Npi=1497265227","1497265227")</f>
        <v>1497265227</v>
      </c>
      <c r="E25394" s="1" t="s">
        <v>7814</v>
      </c>
      <c r="F25394" s="2"/>
      <c r="G25394" s="2"/>
      <c r="H25394" s="2"/>
    </row>
    <row r="25395" spans="1:8" x14ac:dyDescent="0.25">
      <c r="A25395" s="1"/>
      <c r="B25395" s="1" t="s">
        <v>7328</v>
      </c>
      <c r="C25395" s="1" t="s">
        <v>7329</v>
      </c>
      <c r="D25395" s="22" t="str">
        <f>HYPERLINK("https://rhld.insurance.arkansas.gov/NPILookup?Npi=1497270771","1497270771")</f>
        <v>1497270771</v>
      </c>
      <c r="E25395" s="1" t="s">
        <v>27354</v>
      </c>
      <c r="F25395" s="2"/>
      <c r="G25395" s="2"/>
      <c r="H25395" s="2"/>
    </row>
    <row r="25396" spans="1:8" x14ac:dyDescent="0.25">
      <c r="A25396" s="1"/>
      <c r="B25396" s="1" t="s">
        <v>7328</v>
      </c>
      <c r="C25396" s="1" t="s">
        <v>7329</v>
      </c>
      <c r="D25396" s="22" t="str">
        <f>HYPERLINK("https://rhld.insurance.arkansas.gov/NPILookup?Npi=1497271456","1497271456")</f>
        <v>1497271456</v>
      </c>
      <c r="E25396" s="1" t="s">
        <v>13194</v>
      </c>
      <c r="F25396" s="2"/>
      <c r="G25396" s="2"/>
      <c r="H25396" s="2"/>
    </row>
    <row r="25397" spans="1:8" x14ac:dyDescent="0.25">
      <c r="A25397" s="1"/>
      <c r="B25397" s="1" t="s">
        <v>7328</v>
      </c>
      <c r="C25397" s="1" t="s">
        <v>7329</v>
      </c>
      <c r="D25397" s="22" t="str">
        <f>HYPERLINK("https://rhld.insurance.arkansas.gov/NPILookup?Npi=1497280630","1497280630")</f>
        <v>1497280630</v>
      </c>
      <c r="E25397" s="1" t="s">
        <v>27355</v>
      </c>
      <c r="F25397" s="2"/>
      <c r="G25397" s="2"/>
      <c r="H25397" s="2"/>
    </row>
    <row r="25398" spans="1:8" x14ac:dyDescent="0.25">
      <c r="A25398" s="1"/>
      <c r="B25398" s="1" t="s">
        <v>7328</v>
      </c>
      <c r="C25398" s="1" t="s">
        <v>7329</v>
      </c>
      <c r="D25398" s="22" t="str">
        <f>HYPERLINK("https://rhld.insurance.arkansas.gov/NPILookup?Npi=1497284475","1497284475")</f>
        <v>1497284475</v>
      </c>
      <c r="E25398" s="1" t="s">
        <v>2026</v>
      </c>
      <c r="F25398" s="2"/>
      <c r="G25398" s="2"/>
      <c r="H25398" s="2"/>
    </row>
    <row r="25399" spans="1:8" x14ac:dyDescent="0.25">
      <c r="A25399" s="1"/>
      <c r="B25399" s="1" t="s">
        <v>7328</v>
      </c>
      <c r="C25399" s="1" t="s">
        <v>7329</v>
      </c>
      <c r="D25399" s="22" t="str">
        <f>HYPERLINK("https://rhld.insurance.arkansas.gov/NPILookup?Npi=1497291835","1497291835")</f>
        <v>1497291835</v>
      </c>
      <c r="E25399" s="1" t="s">
        <v>27356</v>
      </c>
      <c r="F25399" s="2"/>
      <c r="G25399" s="2"/>
      <c r="H25399" s="2"/>
    </row>
    <row r="25400" spans="1:8" x14ac:dyDescent="0.25">
      <c r="A25400" s="1"/>
      <c r="B25400" s="1" t="s">
        <v>7328</v>
      </c>
      <c r="C25400" s="1" t="s">
        <v>7329</v>
      </c>
      <c r="D25400" s="22" t="str">
        <f>HYPERLINK("https://rhld.insurance.arkansas.gov/NPILookup?Npi=1497299523","1497299523")</f>
        <v>1497299523</v>
      </c>
      <c r="E25400" s="1" t="s">
        <v>27357</v>
      </c>
      <c r="F25400" s="2"/>
      <c r="G25400" s="2"/>
      <c r="H25400" s="2"/>
    </row>
    <row r="25401" spans="1:8" x14ac:dyDescent="0.25">
      <c r="A25401" s="1"/>
      <c r="B25401" s="1" t="s">
        <v>7328</v>
      </c>
      <c r="C25401" s="1" t="s">
        <v>7329</v>
      </c>
      <c r="D25401" s="22" t="str">
        <f>HYPERLINK("https://rhld.insurance.arkansas.gov/NPILookup?Npi=1497307664","1497307664")</f>
        <v>1497307664</v>
      </c>
      <c r="E25401" s="1" t="s">
        <v>27358</v>
      </c>
      <c r="F25401" s="2"/>
      <c r="G25401" s="2"/>
      <c r="H25401" s="2"/>
    </row>
    <row r="25402" spans="1:8" x14ac:dyDescent="0.25">
      <c r="A25402" s="1"/>
      <c r="B25402" s="1" t="s">
        <v>7328</v>
      </c>
      <c r="C25402" s="1" t="s">
        <v>7329</v>
      </c>
      <c r="D25402" s="22" t="str">
        <f>HYPERLINK("https://rhld.insurance.arkansas.gov/NPILookup?Npi=1497315527","1497315527")</f>
        <v>1497315527</v>
      </c>
      <c r="E25402" s="1" t="s">
        <v>7815</v>
      </c>
      <c r="F25402" s="2"/>
      <c r="G25402" s="2"/>
      <c r="H25402" s="2"/>
    </row>
    <row r="25403" spans="1:8" x14ac:dyDescent="0.25">
      <c r="A25403" s="1"/>
      <c r="B25403" s="1" t="s">
        <v>7328</v>
      </c>
      <c r="C25403" s="1" t="s">
        <v>7329</v>
      </c>
      <c r="D25403" s="22" t="str">
        <f>HYPERLINK("https://rhld.insurance.arkansas.gov/NPILookup?Npi=1497318232","1497318232")</f>
        <v>1497318232</v>
      </c>
      <c r="E25403" s="1" t="s">
        <v>2384</v>
      </c>
      <c r="F25403" s="2"/>
      <c r="G25403" s="2"/>
      <c r="H25403" s="2"/>
    </row>
    <row r="25404" spans="1:8" x14ac:dyDescent="0.25">
      <c r="A25404" s="1"/>
      <c r="B25404" s="1" t="s">
        <v>7328</v>
      </c>
      <c r="C25404" s="1" t="s">
        <v>7329</v>
      </c>
      <c r="D25404" s="22" t="str">
        <f>HYPERLINK("https://rhld.insurance.arkansas.gov/NPILookup?Npi=1497320337","1497320337")</f>
        <v>1497320337</v>
      </c>
      <c r="E25404" s="1" t="s">
        <v>27359</v>
      </c>
      <c r="F25404" s="2"/>
      <c r="G25404" s="2"/>
      <c r="H25404" s="2"/>
    </row>
    <row r="25405" spans="1:8" x14ac:dyDescent="0.25">
      <c r="A25405" s="1"/>
      <c r="B25405" s="1" t="s">
        <v>7328</v>
      </c>
      <c r="C25405" s="1" t="s">
        <v>7329</v>
      </c>
      <c r="D25405" s="22" t="str">
        <f>HYPERLINK("https://rhld.insurance.arkansas.gov/NPILookup?Npi=1497325997","1497325997")</f>
        <v>1497325997</v>
      </c>
      <c r="E25405" s="1" t="s">
        <v>13195</v>
      </c>
      <c r="F25405" s="2"/>
      <c r="G25405" s="2"/>
      <c r="H25405" s="2"/>
    </row>
    <row r="25406" spans="1:8" x14ac:dyDescent="0.25">
      <c r="A25406" s="1"/>
      <c r="B25406" s="1" t="s">
        <v>7328</v>
      </c>
      <c r="C25406" s="1" t="s">
        <v>7329</v>
      </c>
      <c r="D25406" s="22" t="str">
        <f>HYPERLINK("https://rhld.insurance.arkansas.gov/NPILookup?Npi=1497326599","1497326599")</f>
        <v>1497326599</v>
      </c>
      <c r="E25406" s="1" t="s">
        <v>27360</v>
      </c>
      <c r="F25406" s="2"/>
      <c r="G25406" s="2"/>
      <c r="H25406" s="2"/>
    </row>
    <row r="25407" spans="1:8" x14ac:dyDescent="0.25">
      <c r="A25407" s="1"/>
      <c r="B25407" s="1" t="s">
        <v>7328</v>
      </c>
      <c r="C25407" s="1" t="s">
        <v>7329</v>
      </c>
      <c r="D25407" s="22" t="str">
        <f>HYPERLINK("https://rhld.insurance.arkansas.gov/NPILookup?Npi=1497329247","1497329247")</f>
        <v>1497329247</v>
      </c>
      <c r="E25407" s="1" t="s">
        <v>27361</v>
      </c>
      <c r="F25407" s="2"/>
      <c r="G25407" s="2"/>
      <c r="H25407" s="2"/>
    </row>
    <row r="25408" spans="1:8" x14ac:dyDescent="0.25">
      <c r="A25408" s="1"/>
      <c r="B25408" s="1" t="s">
        <v>7328</v>
      </c>
      <c r="C25408" s="1" t="s">
        <v>7329</v>
      </c>
      <c r="D25408" s="22" t="str">
        <f>HYPERLINK("https://rhld.insurance.arkansas.gov/NPILookup?Npi=1497330310","1497330310")</f>
        <v>1497330310</v>
      </c>
      <c r="E25408" s="1" t="s">
        <v>1786</v>
      </c>
      <c r="F25408" s="2"/>
      <c r="G25408" s="2"/>
      <c r="H25408" s="2"/>
    </row>
    <row r="25409" spans="1:8" x14ac:dyDescent="0.25">
      <c r="A25409" s="1"/>
      <c r="B25409" s="1" t="s">
        <v>7328</v>
      </c>
      <c r="C25409" s="1" t="s">
        <v>7329</v>
      </c>
      <c r="D25409" s="22" t="str">
        <f>HYPERLINK("https://rhld.insurance.arkansas.gov/NPILookup?Npi=1497332696","1497332696")</f>
        <v>1497332696</v>
      </c>
      <c r="E25409" s="1" t="s">
        <v>13196</v>
      </c>
      <c r="F25409" s="2"/>
      <c r="G25409" s="2"/>
      <c r="H25409" s="2"/>
    </row>
    <row r="25410" spans="1:8" x14ac:dyDescent="0.25">
      <c r="A25410" s="1"/>
      <c r="B25410" s="1" t="s">
        <v>7328</v>
      </c>
      <c r="C25410" s="1" t="s">
        <v>7329</v>
      </c>
      <c r="D25410" s="22" t="str">
        <f>HYPERLINK("https://rhld.insurance.arkansas.gov/NPILookup?Npi=1497336770","1497336770")</f>
        <v>1497336770</v>
      </c>
      <c r="E25410" s="1" t="s">
        <v>4391</v>
      </c>
      <c r="F25410" s="2"/>
      <c r="G25410" s="2"/>
      <c r="H25410" s="2"/>
    </row>
    <row r="25411" spans="1:8" x14ac:dyDescent="0.25">
      <c r="A25411" s="1"/>
      <c r="B25411" s="1" t="s">
        <v>7328</v>
      </c>
      <c r="C25411" s="1" t="s">
        <v>7329</v>
      </c>
      <c r="D25411" s="22" t="str">
        <f>HYPERLINK("https://rhld.insurance.arkansas.gov/NPILookup?Npi=1497376040","1497376040")</f>
        <v>1497376040</v>
      </c>
      <c r="E25411" s="1" t="s">
        <v>7816</v>
      </c>
      <c r="F25411" s="2"/>
      <c r="G25411" s="2"/>
      <c r="H25411" s="2"/>
    </row>
    <row r="25412" spans="1:8" x14ac:dyDescent="0.25">
      <c r="A25412" s="1"/>
      <c r="B25412" s="1" t="s">
        <v>7328</v>
      </c>
      <c r="C25412" s="1" t="s">
        <v>7329</v>
      </c>
      <c r="D25412" s="22" t="str">
        <f>HYPERLINK("https://rhld.insurance.arkansas.gov/NPILookup?Npi=1497376453","1497376453")</f>
        <v>1497376453</v>
      </c>
      <c r="E25412" s="1" t="s">
        <v>27363</v>
      </c>
      <c r="F25412" s="2"/>
      <c r="G25412" s="2"/>
      <c r="H25412" s="2"/>
    </row>
    <row r="25413" spans="1:8" x14ac:dyDescent="0.25">
      <c r="A25413" s="1"/>
      <c r="B25413" s="1" t="s">
        <v>7328</v>
      </c>
      <c r="C25413" s="1" t="s">
        <v>7329</v>
      </c>
      <c r="D25413" s="22" t="str">
        <f>HYPERLINK("https://rhld.insurance.arkansas.gov/NPILookup?Npi=1497388912","1497388912")</f>
        <v>1497388912</v>
      </c>
      <c r="E25413" s="1" t="s">
        <v>27364</v>
      </c>
      <c r="F25413" s="2"/>
      <c r="G25413" s="2"/>
      <c r="H25413" s="2"/>
    </row>
    <row r="25414" spans="1:8" x14ac:dyDescent="0.25">
      <c r="A25414" s="1"/>
      <c r="B25414" s="1" t="s">
        <v>7328</v>
      </c>
      <c r="C25414" s="1" t="s">
        <v>7329</v>
      </c>
      <c r="D25414" s="22" t="str">
        <f>HYPERLINK("https://rhld.insurance.arkansas.gov/NPILookup?Npi=1497397921","1497397921")</f>
        <v>1497397921</v>
      </c>
      <c r="E25414" s="1" t="s">
        <v>27365</v>
      </c>
      <c r="F25414" s="2"/>
      <c r="G25414" s="2"/>
      <c r="H25414" s="2"/>
    </row>
    <row r="25415" spans="1:8" x14ac:dyDescent="0.25">
      <c r="A25415" s="1"/>
      <c r="B25415" s="1" t="s">
        <v>7328</v>
      </c>
      <c r="C25415" s="1" t="s">
        <v>7329</v>
      </c>
      <c r="D25415" s="22" t="str">
        <f>HYPERLINK("https://rhld.insurance.arkansas.gov/NPILookup?Npi=1497406961","1497406961")</f>
        <v>1497406961</v>
      </c>
      <c r="E25415" s="1" t="s">
        <v>7817</v>
      </c>
      <c r="F25415" s="2"/>
      <c r="G25415" s="2"/>
      <c r="H25415" s="2"/>
    </row>
    <row r="25416" spans="1:8" x14ac:dyDescent="0.25">
      <c r="A25416" s="1"/>
      <c r="B25416" s="1" t="s">
        <v>7328</v>
      </c>
      <c r="C25416" s="1" t="s">
        <v>7329</v>
      </c>
      <c r="D25416" s="22" t="str">
        <f>HYPERLINK("https://rhld.insurance.arkansas.gov/NPILookup?Npi=1497411722","1497411722")</f>
        <v>1497411722</v>
      </c>
      <c r="E25416" s="1" t="s">
        <v>27366</v>
      </c>
      <c r="F25416" s="2"/>
      <c r="G25416" s="2"/>
      <c r="H25416" s="2"/>
    </row>
    <row r="25417" spans="1:8" x14ac:dyDescent="0.25">
      <c r="A25417" s="1"/>
      <c r="B25417" s="1" t="s">
        <v>7328</v>
      </c>
      <c r="C25417" s="1" t="s">
        <v>7329</v>
      </c>
      <c r="D25417" s="22" t="str">
        <f>HYPERLINK("https://rhld.insurance.arkansas.gov/NPILookup?Npi=1497414213","1497414213")</f>
        <v>1497414213</v>
      </c>
      <c r="E25417" s="1" t="s">
        <v>7818</v>
      </c>
      <c r="F25417" s="2"/>
      <c r="G25417" s="2"/>
      <c r="H25417" s="2"/>
    </row>
    <row r="25418" spans="1:8" x14ac:dyDescent="0.25">
      <c r="A25418" s="1"/>
      <c r="B25418" s="1" t="s">
        <v>7328</v>
      </c>
      <c r="C25418" s="1" t="s">
        <v>7329</v>
      </c>
      <c r="D25418" s="22" t="str">
        <f>HYPERLINK("https://rhld.insurance.arkansas.gov/NPILookup?Npi=1497438196","1497438196")</f>
        <v>1497438196</v>
      </c>
      <c r="E25418" s="1" t="s">
        <v>27367</v>
      </c>
      <c r="F25418" s="2"/>
      <c r="G25418" s="2"/>
      <c r="H25418" s="2"/>
    </row>
    <row r="25419" spans="1:8" x14ac:dyDescent="0.25">
      <c r="A25419" s="1"/>
      <c r="B25419" s="1" t="s">
        <v>7328</v>
      </c>
      <c r="C25419" s="1" t="s">
        <v>7329</v>
      </c>
      <c r="D25419" s="22" t="str">
        <f>HYPERLINK("https://rhld.insurance.arkansas.gov/NPILookup?Npi=1497445647","1497445647")</f>
        <v>1497445647</v>
      </c>
      <c r="E25419" s="1" t="s">
        <v>27368</v>
      </c>
      <c r="F25419" s="2"/>
      <c r="G25419" s="2"/>
      <c r="H25419" s="2"/>
    </row>
    <row r="25420" spans="1:8" x14ac:dyDescent="0.25">
      <c r="A25420" s="1"/>
      <c r="B25420" s="1" t="s">
        <v>7328</v>
      </c>
      <c r="C25420" s="1" t="s">
        <v>7329</v>
      </c>
      <c r="D25420" s="22" t="str">
        <f>HYPERLINK("https://rhld.insurance.arkansas.gov/NPILookup?Npi=1497448229","1497448229")</f>
        <v>1497448229</v>
      </c>
      <c r="E25420" s="1" t="s">
        <v>4827</v>
      </c>
      <c r="F25420" s="2"/>
      <c r="G25420" s="2"/>
      <c r="H25420" s="2"/>
    </row>
    <row r="25421" spans="1:8" x14ac:dyDescent="0.25">
      <c r="A25421" s="1"/>
      <c r="B25421" s="1" t="s">
        <v>7328</v>
      </c>
      <c r="C25421" s="1" t="s">
        <v>7329</v>
      </c>
      <c r="D25421" s="22" t="str">
        <f>HYPERLINK("https://rhld.insurance.arkansas.gov/NPILookup?Npi=1497484505","1497484505")</f>
        <v>1497484505</v>
      </c>
      <c r="E25421" s="1" t="s">
        <v>27369</v>
      </c>
      <c r="F25421" s="2"/>
      <c r="G25421" s="2"/>
      <c r="H25421" s="2"/>
    </row>
    <row r="25422" spans="1:8" x14ac:dyDescent="0.25">
      <c r="A25422" s="1"/>
      <c r="B25422" s="1" t="s">
        <v>7328</v>
      </c>
      <c r="C25422" s="1" t="s">
        <v>7329</v>
      </c>
      <c r="D25422" s="22" t="str">
        <f>HYPERLINK("https://rhld.insurance.arkansas.gov/NPILookup?Npi=1497493290","1497493290")</f>
        <v>1497493290</v>
      </c>
      <c r="E25422" s="1" t="s">
        <v>32255</v>
      </c>
      <c r="F25422" s="2"/>
      <c r="G25422" s="2"/>
      <c r="H25422" s="2"/>
    </row>
    <row r="25423" spans="1:8" x14ac:dyDescent="0.25">
      <c r="A25423" s="1"/>
      <c r="B25423" s="1" t="s">
        <v>7328</v>
      </c>
      <c r="C25423" s="1" t="s">
        <v>7329</v>
      </c>
      <c r="D25423" s="22" t="str">
        <f>HYPERLINK("https://rhld.insurance.arkansas.gov/NPILookup?Npi=1497493431","1497493431")</f>
        <v>1497493431</v>
      </c>
      <c r="E25423" s="1" t="s">
        <v>27370</v>
      </c>
      <c r="F25423" s="2"/>
      <c r="G25423" s="2"/>
      <c r="H25423" s="2"/>
    </row>
    <row r="25424" spans="1:8" x14ac:dyDescent="0.25">
      <c r="A25424" s="1"/>
      <c r="B25424" s="1" t="s">
        <v>7328</v>
      </c>
      <c r="C25424" s="1" t="s">
        <v>7329</v>
      </c>
      <c r="D25424" s="22" t="str">
        <f>HYPERLINK("https://rhld.insurance.arkansas.gov/NPILookup?Npi=1497562326","1497562326")</f>
        <v>1497562326</v>
      </c>
      <c r="E25424" s="1" t="s">
        <v>32256</v>
      </c>
      <c r="F25424" s="2"/>
      <c r="G25424" s="2"/>
      <c r="H25424" s="2"/>
    </row>
    <row r="25425" spans="1:8" x14ac:dyDescent="0.25">
      <c r="A25425" s="1"/>
      <c r="B25425" s="1" t="s">
        <v>7328</v>
      </c>
      <c r="C25425" s="1" t="s">
        <v>7329</v>
      </c>
      <c r="D25425" s="22" t="str">
        <f>HYPERLINK("https://rhld.insurance.arkansas.gov/NPILookup?Npi=1497564538","1497564538")</f>
        <v>1497564538</v>
      </c>
      <c r="E25425" s="1" t="s">
        <v>32257</v>
      </c>
      <c r="F25425" s="2"/>
      <c r="G25425" s="2"/>
      <c r="H25425" s="2"/>
    </row>
    <row r="25426" spans="1:8" x14ac:dyDescent="0.25">
      <c r="A25426" s="1"/>
      <c r="B25426" s="1" t="s">
        <v>7328</v>
      </c>
      <c r="C25426" s="1" t="s">
        <v>7329</v>
      </c>
      <c r="D25426" s="22" t="str">
        <f>HYPERLINK("https://rhld.insurance.arkansas.gov/NPILookup?Npi=1497701130","1497701130")</f>
        <v>1497701130</v>
      </c>
      <c r="E25426" s="1" t="s">
        <v>27371</v>
      </c>
      <c r="F25426" s="2"/>
      <c r="G25426" s="2"/>
      <c r="H25426" s="2"/>
    </row>
    <row r="25427" spans="1:8" x14ac:dyDescent="0.25">
      <c r="A25427" s="1"/>
      <c r="B25427" s="1" t="s">
        <v>7328</v>
      </c>
      <c r="C25427" s="1" t="s">
        <v>7329</v>
      </c>
      <c r="D25427" s="22" t="str">
        <f>HYPERLINK("https://rhld.insurance.arkansas.gov/NPILookup?Npi=1497702096","1497702096")</f>
        <v>1497702096</v>
      </c>
      <c r="E25427" s="1" t="s">
        <v>17588</v>
      </c>
      <c r="F25427" s="2"/>
      <c r="G25427" s="2"/>
      <c r="H25427" s="2"/>
    </row>
    <row r="25428" spans="1:8" x14ac:dyDescent="0.25">
      <c r="A25428" s="1"/>
      <c r="B25428" s="1" t="s">
        <v>7328</v>
      </c>
      <c r="C25428" s="1" t="s">
        <v>7329</v>
      </c>
      <c r="D25428" s="22" t="str">
        <f>HYPERLINK("https://rhld.insurance.arkansas.gov/NPILookup?Npi=1497702823","1497702823")</f>
        <v>1497702823</v>
      </c>
      <c r="E25428" s="1" t="s">
        <v>7819</v>
      </c>
      <c r="F25428" s="2"/>
      <c r="G25428" s="2"/>
      <c r="H25428" s="2"/>
    </row>
    <row r="25429" spans="1:8" x14ac:dyDescent="0.25">
      <c r="A25429" s="1"/>
      <c r="B25429" s="1" t="s">
        <v>7328</v>
      </c>
      <c r="C25429" s="1" t="s">
        <v>7329</v>
      </c>
      <c r="D25429" s="22" t="str">
        <f>HYPERLINK("https://rhld.insurance.arkansas.gov/NPILookup?Npi=1497711279","1497711279")</f>
        <v>1497711279</v>
      </c>
      <c r="E25429" s="1" t="s">
        <v>27372</v>
      </c>
      <c r="F25429" s="2"/>
      <c r="G25429" s="2"/>
      <c r="H25429" s="2"/>
    </row>
    <row r="25430" spans="1:8" x14ac:dyDescent="0.25">
      <c r="A25430" s="1"/>
      <c r="B25430" s="1" t="s">
        <v>7328</v>
      </c>
      <c r="C25430" s="1" t="s">
        <v>7329</v>
      </c>
      <c r="D25430" s="22" t="str">
        <f>HYPERLINK("https://rhld.insurance.arkansas.gov/NPILookup?Npi=1497712293","1497712293")</f>
        <v>1497712293</v>
      </c>
      <c r="E25430" s="1" t="s">
        <v>11295</v>
      </c>
      <c r="F25430" s="2"/>
      <c r="G25430" s="2"/>
      <c r="H25430" s="2"/>
    </row>
    <row r="25431" spans="1:8" x14ac:dyDescent="0.25">
      <c r="A25431" s="1"/>
      <c r="B25431" s="1" t="s">
        <v>7328</v>
      </c>
      <c r="C25431" s="1" t="s">
        <v>7329</v>
      </c>
      <c r="D25431" s="22" t="str">
        <f>HYPERLINK("https://rhld.insurance.arkansas.gov/NPILookup?Npi=1497712368","1497712368")</f>
        <v>1497712368</v>
      </c>
      <c r="E25431" s="1" t="s">
        <v>27373</v>
      </c>
      <c r="F25431" s="2"/>
      <c r="G25431" s="2"/>
      <c r="H25431" s="2"/>
    </row>
    <row r="25432" spans="1:8" x14ac:dyDescent="0.25">
      <c r="A25432" s="1"/>
      <c r="B25432" s="1" t="s">
        <v>7328</v>
      </c>
      <c r="C25432" s="1" t="s">
        <v>7329</v>
      </c>
      <c r="D25432" s="22" t="str">
        <f>HYPERLINK("https://rhld.insurance.arkansas.gov/NPILookup?Npi=1497712640","1497712640")</f>
        <v>1497712640</v>
      </c>
      <c r="E25432" s="1" t="s">
        <v>27374</v>
      </c>
      <c r="F25432" s="2"/>
      <c r="G25432" s="2"/>
      <c r="H25432" s="2"/>
    </row>
    <row r="25433" spans="1:8" x14ac:dyDescent="0.25">
      <c r="A25433" s="1"/>
      <c r="B25433" s="1" t="s">
        <v>7328</v>
      </c>
      <c r="C25433" s="1" t="s">
        <v>7329</v>
      </c>
      <c r="D25433" s="22" t="str">
        <f>HYPERLINK("https://rhld.insurance.arkansas.gov/NPILookup?Npi=1497720221","1497720221")</f>
        <v>1497720221</v>
      </c>
      <c r="E25433" s="1" t="s">
        <v>27375</v>
      </c>
      <c r="F25433" s="2"/>
      <c r="G25433" s="2"/>
      <c r="H25433" s="2"/>
    </row>
    <row r="25434" spans="1:8" x14ac:dyDescent="0.25">
      <c r="A25434" s="1"/>
      <c r="B25434" s="1" t="s">
        <v>7328</v>
      </c>
      <c r="C25434" s="1" t="s">
        <v>7329</v>
      </c>
      <c r="D25434" s="22" t="str">
        <f>HYPERLINK("https://rhld.insurance.arkansas.gov/NPILookup?Npi=1497728638","1497728638")</f>
        <v>1497728638</v>
      </c>
      <c r="E25434" s="1" t="s">
        <v>27376</v>
      </c>
      <c r="F25434" s="2"/>
      <c r="G25434" s="2"/>
      <c r="H25434" s="2"/>
    </row>
    <row r="25435" spans="1:8" x14ac:dyDescent="0.25">
      <c r="A25435" s="1"/>
      <c r="B25435" s="1" t="s">
        <v>7328</v>
      </c>
      <c r="C25435" s="1" t="s">
        <v>7329</v>
      </c>
      <c r="D25435" s="22" t="str">
        <f>HYPERLINK("https://rhld.insurance.arkansas.gov/NPILookup?Npi=1497735120","1497735120")</f>
        <v>1497735120</v>
      </c>
      <c r="E25435" s="1" t="s">
        <v>2863</v>
      </c>
      <c r="F25435" s="2"/>
      <c r="G25435" s="2"/>
      <c r="H25435" s="2"/>
    </row>
    <row r="25436" spans="1:8" x14ac:dyDescent="0.25">
      <c r="A25436" s="1"/>
      <c r="B25436" s="1" t="s">
        <v>7328</v>
      </c>
      <c r="C25436" s="1" t="s">
        <v>7329</v>
      </c>
      <c r="D25436" s="22" t="str">
        <f>HYPERLINK("https://rhld.insurance.arkansas.gov/NPILookup?Npi=1497735609","1497735609")</f>
        <v>1497735609</v>
      </c>
      <c r="E25436" s="1" t="s">
        <v>27377</v>
      </c>
      <c r="F25436" s="2"/>
      <c r="G25436" s="2"/>
      <c r="H25436" s="2"/>
    </row>
    <row r="25437" spans="1:8" x14ac:dyDescent="0.25">
      <c r="A25437" s="1"/>
      <c r="B25437" s="1" t="s">
        <v>7328</v>
      </c>
      <c r="C25437" s="1" t="s">
        <v>7329</v>
      </c>
      <c r="D25437" s="22" t="str">
        <f>HYPERLINK("https://rhld.insurance.arkansas.gov/NPILookup?Npi=1497743413","1497743413")</f>
        <v>1497743413</v>
      </c>
      <c r="E25437" s="1" t="s">
        <v>1097</v>
      </c>
      <c r="F25437" s="2"/>
      <c r="G25437" s="2"/>
      <c r="H25437" s="2"/>
    </row>
    <row r="25438" spans="1:8" x14ac:dyDescent="0.25">
      <c r="A25438" s="1"/>
      <c r="B25438" s="1" t="s">
        <v>7328</v>
      </c>
      <c r="C25438" s="1" t="s">
        <v>7329</v>
      </c>
      <c r="D25438" s="22" t="str">
        <f>HYPERLINK("https://rhld.insurance.arkansas.gov/NPILookup?Npi=1497745830","1497745830")</f>
        <v>1497745830</v>
      </c>
      <c r="E25438" s="1" t="s">
        <v>17589</v>
      </c>
      <c r="F25438" s="2"/>
      <c r="G25438" s="2"/>
      <c r="H25438" s="2"/>
    </row>
    <row r="25439" spans="1:8" x14ac:dyDescent="0.25">
      <c r="A25439" s="1"/>
      <c r="B25439" s="1" t="s">
        <v>7328</v>
      </c>
      <c r="C25439" s="1" t="s">
        <v>7329</v>
      </c>
      <c r="D25439" s="22" t="str">
        <f>HYPERLINK("https://rhld.insurance.arkansas.gov/NPILookup?Npi=1497747646","1497747646")</f>
        <v>1497747646</v>
      </c>
      <c r="E25439" s="1" t="s">
        <v>27378</v>
      </c>
      <c r="F25439" s="2"/>
      <c r="G25439" s="2"/>
      <c r="H25439" s="2"/>
    </row>
    <row r="25440" spans="1:8" x14ac:dyDescent="0.25">
      <c r="A25440" s="1"/>
      <c r="B25440" s="1" t="s">
        <v>7328</v>
      </c>
      <c r="C25440" s="1" t="s">
        <v>7329</v>
      </c>
      <c r="D25440" s="22" t="str">
        <f>HYPERLINK("https://rhld.insurance.arkansas.gov/NPILookup?Npi=1497748297","1497748297")</f>
        <v>1497748297</v>
      </c>
      <c r="E25440" s="1" t="s">
        <v>27379</v>
      </c>
      <c r="F25440" s="2"/>
      <c r="G25440" s="2"/>
      <c r="H25440" s="2"/>
    </row>
    <row r="25441" spans="1:8" x14ac:dyDescent="0.25">
      <c r="A25441" s="1"/>
      <c r="B25441" s="1" t="s">
        <v>7328</v>
      </c>
      <c r="C25441" s="1" t="s">
        <v>7329</v>
      </c>
      <c r="D25441" s="22" t="str">
        <f>HYPERLINK("https://rhld.insurance.arkansas.gov/NPILookup?Npi=1497748487","1497748487")</f>
        <v>1497748487</v>
      </c>
      <c r="E25441" s="1" t="s">
        <v>1098</v>
      </c>
      <c r="F25441" s="2"/>
      <c r="G25441" s="2"/>
      <c r="H25441" s="2"/>
    </row>
    <row r="25442" spans="1:8" x14ac:dyDescent="0.25">
      <c r="A25442" s="1"/>
      <c r="B25442" s="1" t="s">
        <v>7328</v>
      </c>
      <c r="C25442" s="1" t="s">
        <v>7329</v>
      </c>
      <c r="D25442" s="22" t="str">
        <f>HYPERLINK("https://rhld.insurance.arkansas.gov/NPILookup?Npi=1497749428","1497749428")</f>
        <v>1497749428</v>
      </c>
      <c r="E25442" s="1" t="s">
        <v>27380</v>
      </c>
      <c r="F25442" s="2"/>
      <c r="G25442" s="2"/>
      <c r="H25442" s="2"/>
    </row>
    <row r="25443" spans="1:8" x14ac:dyDescent="0.25">
      <c r="A25443" s="1"/>
      <c r="B25443" s="1" t="s">
        <v>7328</v>
      </c>
      <c r="C25443" s="1" t="s">
        <v>7329</v>
      </c>
      <c r="D25443" s="22" t="str">
        <f>HYPERLINK("https://rhld.insurance.arkansas.gov/NPILookup?Npi=1497751390","1497751390")</f>
        <v>1497751390</v>
      </c>
      <c r="E25443" s="1" t="s">
        <v>20137</v>
      </c>
      <c r="F25443" s="2"/>
      <c r="G25443" s="2"/>
      <c r="H25443" s="2"/>
    </row>
    <row r="25444" spans="1:8" x14ac:dyDescent="0.25">
      <c r="A25444" s="1"/>
      <c r="B25444" s="1" t="s">
        <v>7328</v>
      </c>
      <c r="C25444" s="1" t="s">
        <v>7329</v>
      </c>
      <c r="D25444" s="22" t="str">
        <f>HYPERLINK("https://rhld.insurance.arkansas.gov/NPILookup?Npi=1497753131","1497753131")</f>
        <v>1497753131</v>
      </c>
      <c r="E25444" s="1" t="s">
        <v>27381</v>
      </c>
      <c r="F25444" s="2"/>
      <c r="G25444" s="2"/>
      <c r="H25444" s="2"/>
    </row>
    <row r="25445" spans="1:8" x14ac:dyDescent="0.25">
      <c r="A25445" s="1"/>
      <c r="B25445" s="1" t="s">
        <v>7328</v>
      </c>
      <c r="C25445" s="1" t="s">
        <v>7329</v>
      </c>
      <c r="D25445" s="22" t="str">
        <f>HYPERLINK("https://rhld.insurance.arkansas.gov/NPILookup?Npi=1497753818","1497753818")</f>
        <v>1497753818</v>
      </c>
      <c r="E25445" s="1" t="s">
        <v>13198</v>
      </c>
      <c r="F25445" s="2"/>
      <c r="G25445" s="2"/>
      <c r="H25445" s="2"/>
    </row>
    <row r="25446" spans="1:8" x14ac:dyDescent="0.25">
      <c r="A25446" s="1"/>
      <c r="B25446" s="1" t="s">
        <v>7328</v>
      </c>
      <c r="C25446" s="1" t="s">
        <v>7329</v>
      </c>
      <c r="D25446" s="22" t="str">
        <f>HYPERLINK("https://rhld.insurance.arkansas.gov/NPILookup?Npi=1497756407","1497756407")</f>
        <v>1497756407</v>
      </c>
      <c r="E25446" s="1" t="s">
        <v>13199</v>
      </c>
      <c r="F25446" s="2"/>
      <c r="G25446" s="2"/>
      <c r="H25446" s="2"/>
    </row>
    <row r="25447" spans="1:8" x14ac:dyDescent="0.25">
      <c r="A25447" s="1"/>
      <c r="B25447" s="1" t="s">
        <v>7328</v>
      </c>
      <c r="C25447" s="1" t="s">
        <v>7329</v>
      </c>
      <c r="D25447" s="22" t="str">
        <f>HYPERLINK("https://rhld.insurance.arkansas.gov/NPILookup?Npi=1497757520","1497757520")</f>
        <v>1497757520</v>
      </c>
      <c r="E25447" s="1" t="s">
        <v>27382</v>
      </c>
      <c r="F25447" s="2"/>
      <c r="G25447" s="2"/>
      <c r="H25447" s="2"/>
    </row>
    <row r="25448" spans="1:8" x14ac:dyDescent="0.25">
      <c r="A25448" s="1"/>
      <c r="B25448" s="1" t="s">
        <v>7328</v>
      </c>
      <c r="C25448" s="1" t="s">
        <v>7329</v>
      </c>
      <c r="D25448" s="22" t="str">
        <f>HYPERLINK("https://rhld.insurance.arkansas.gov/NPILookup?Npi=1497765010","1497765010")</f>
        <v>1497765010</v>
      </c>
      <c r="E25448" s="1" t="s">
        <v>2864</v>
      </c>
      <c r="F25448" s="2"/>
      <c r="G25448" s="2"/>
      <c r="H25448" s="2"/>
    </row>
    <row r="25449" spans="1:8" x14ac:dyDescent="0.25">
      <c r="A25449" s="1"/>
      <c r="B25449" s="1" t="s">
        <v>7328</v>
      </c>
      <c r="C25449" s="1" t="s">
        <v>7329</v>
      </c>
      <c r="D25449" s="22" t="str">
        <f>HYPERLINK("https://rhld.insurance.arkansas.gov/NPILookup?Npi=1497769772","1497769772")</f>
        <v>1497769772</v>
      </c>
      <c r="E25449" s="1" t="s">
        <v>240</v>
      </c>
      <c r="F25449" s="2"/>
      <c r="G25449" s="2"/>
      <c r="H25449" s="2"/>
    </row>
    <row r="25450" spans="1:8" x14ac:dyDescent="0.25">
      <c r="A25450" s="1"/>
      <c r="B25450" s="1" t="s">
        <v>7328</v>
      </c>
      <c r="C25450" s="1" t="s">
        <v>7329</v>
      </c>
      <c r="D25450" s="22" t="str">
        <f>HYPERLINK("https://rhld.insurance.arkansas.gov/NPILookup?Npi=1497781298","1497781298")</f>
        <v>1497781298</v>
      </c>
      <c r="E25450" s="1" t="s">
        <v>10334</v>
      </c>
      <c r="F25450" s="2"/>
      <c r="G25450" s="2"/>
      <c r="H25450" s="2"/>
    </row>
    <row r="25451" spans="1:8" x14ac:dyDescent="0.25">
      <c r="A25451" s="1"/>
      <c r="B25451" s="1" t="s">
        <v>7328</v>
      </c>
      <c r="C25451" s="1" t="s">
        <v>7329</v>
      </c>
      <c r="D25451" s="22" t="str">
        <f>HYPERLINK("https://rhld.insurance.arkansas.gov/NPILookup?Npi=1497781918","1497781918")</f>
        <v>1497781918</v>
      </c>
      <c r="E25451" s="1" t="s">
        <v>110</v>
      </c>
      <c r="F25451" s="2"/>
      <c r="G25451" s="2"/>
      <c r="H25451" s="2"/>
    </row>
    <row r="25452" spans="1:8" x14ac:dyDescent="0.25">
      <c r="A25452" s="1"/>
      <c r="B25452" s="1" t="s">
        <v>7328</v>
      </c>
      <c r="C25452" s="1" t="s">
        <v>7329</v>
      </c>
      <c r="D25452" s="22" t="str">
        <f>HYPERLINK("https://rhld.insurance.arkansas.gov/NPILookup?Npi=1497812192","1497812192")</f>
        <v>1497812192</v>
      </c>
      <c r="E25452" s="1" t="s">
        <v>2865</v>
      </c>
      <c r="F25452" s="2"/>
      <c r="G25452" s="2"/>
      <c r="H25452" s="2"/>
    </row>
    <row r="25453" spans="1:8" x14ac:dyDescent="0.25">
      <c r="A25453" s="1"/>
      <c r="B25453" s="1" t="s">
        <v>7328</v>
      </c>
      <c r="C25453" s="1" t="s">
        <v>7329</v>
      </c>
      <c r="D25453" s="22" t="str">
        <f>HYPERLINK("https://rhld.insurance.arkansas.gov/NPILookup?Npi=1497824304","1497824304")</f>
        <v>1497824304</v>
      </c>
      <c r="E25453" s="1" t="s">
        <v>27383</v>
      </c>
      <c r="F25453" s="2"/>
      <c r="G25453" s="2"/>
      <c r="H25453" s="2"/>
    </row>
    <row r="25454" spans="1:8" x14ac:dyDescent="0.25">
      <c r="A25454" s="1"/>
      <c r="B25454" s="1" t="s">
        <v>7328</v>
      </c>
      <c r="C25454" s="1" t="s">
        <v>7329</v>
      </c>
      <c r="D25454" s="22" t="str">
        <f>HYPERLINK("https://rhld.insurance.arkansas.gov/NPILookup?Npi=1497833610","1497833610")</f>
        <v>1497833610</v>
      </c>
      <c r="E25454" s="1" t="s">
        <v>17591</v>
      </c>
      <c r="F25454" s="2"/>
      <c r="G25454" s="2"/>
      <c r="H25454" s="2"/>
    </row>
    <row r="25455" spans="1:8" x14ac:dyDescent="0.25">
      <c r="A25455" s="1"/>
      <c r="B25455" s="1" t="s">
        <v>7328</v>
      </c>
      <c r="C25455" s="1" t="s">
        <v>7329</v>
      </c>
      <c r="D25455" s="22" t="str">
        <f>HYPERLINK("https://rhld.insurance.arkansas.gov/NPILookup?Npi=1497836563","1497836563")</f>
        <v>1497836563</v>
      </c>
      <c r="E25455" s="1" t="s">
        <v>13200</v>
      </c>
      <c r="F25455" s="2"/>
      <c r="G25455" s="2"/>
      <c r="H25455" s="2"/>
    </row>
    <row r="25456" spans="1:8" x14ac:dyDescent="0.25">
      <c r="A25456" s="1"/>
      <c r="B25456" s="1" t="s">
        <v>7328</v>
      </c>
      <c r="C25456" s="1" t="s">
        <v>7329</v>
      </c>
      <c r="D25456" s="22" t="str">
        <f>HYPERLINK("https://rhld.insurance.arkansas.gov/NPILookup?Npi=1497841894","1497841894")</f>
        <v>1497841894</v>
      </c>
      <c r="E25456" s="1" t="s">
        <v>13201</v>
      </c>
      <c r="F25456" s="2"/>
      <c r="G25456" s="2"/>
      <c r="H25456" s="2"/>
    </row>
    <row r="25457" spans="1:8" x14ac:dyDescent="0.25">
      <c r="A25457" s="1"/>
      <c r="B25457" s="1" t="s">
        <v>7328</v>
      </c>
      <c r="C25457" s="1" t="s">
        <v>7329</v>
      </c>
      <c r="D25457" s="22" t="str">
        <f>HYPERLINK("https://rhld.insurance.arkansas.gov/NPILookup?Npi=1497863161","1497863161")</f>
        <v>1497863161</v>
      </c>
      <c r="E25457" s="1" t="s">
        <v>7820</v>
      </c>
      <c r="F25457" s="2"/>
      <c r="G25457" s="2"/>
      <c r="H25457" s="2"/>
    </row>
    <row r="25458" spans="1:8" x14ac:dyDescent="0.25">
      <c r="A25458" s="1"/>
      <c r="B25458" s="1" t="s">
        <v>7328</v>
      </c>
      <c r="C25458" s="1" t="s">
        <v>7329</v>
      </c>
      <c r="D25458" s="22" t="str">
        <f>HYPERLINK("https://rhld.insurance.arkansas.gov/NPILookup?Npi=1497866099","1497866099")</f>
        <v>1497866099</v>
      </c>
      <c r="E25458" s="1" t="s">
        <v>17592</v>
      </c>
      <c r="F25458" s="2"/>
      <c r="G25458" s="2"/>
      <c r="H25458" s="2"/>
    </row>
    <row r="25459" spans="1:8" x14ac:dyDescent="0.25">
      <c r="A25459" s="1"/>
      <c r="B25459" s="1" t="s">
        <v>7328</v>
      </c>
      <c r="C25459" s="1" t="s">
        <v>7329</v>
      </c>
      <c r="D25459" s="22" t="str">
        <f>HYPERLINK("https://rhld.insurance.arkansas.gov/NPILookup?Npi=1497866149","1497866149")</f>
        <v>1497866149</v>
      </c>
      <c r="E25459" s="1" t="s">
        <v>17593</v>
      </c>
      <c r="F25459" s="2"/>
      <c r="G25459" s="2"/>
      <c r="H25459" s="2"/>
    </row>
    <row r="25460" spans="1:8" x14ac:dyDescent="0.25">
      <c r="A25460" s="1"/>
      <c r="B25460" s="1" t="s">
        <v>7328</v>
      </c>
      <c r="C25460" s="1" t="s">
        <v>7329</v>
      </c>
      <c r="D25460" s="22" t="str">
        <f>HYPERLINK("https://rhld.insurance.arkansas.gov/NPILookup?Npi=1497871420","1497871420")</f>
        <v>1497871420</v>
      </c>
      <c r="E25460" s="1" t="s">
        <v>27384</v>
      </c>
      <c r="F25460" s="2"/>
      <c r="G25460" s="2"/>
      <c r="H25460" s="2"/>
    </row>
    <row r="25461" spans="1:8" x14ac:dyDescent="0.25">
      <c r="A25461" s="1"/>
      <c r="B25461" s="1" t="s">
        <v>7328</v>
      </c>
      <c r="C25461" s="1" t="s">
        <v>7329</v>
      </c>
      <c r="D25461" s="22" t="str">
        <f>HYPERLINK("https://rhld.insurance.arkansas.gov/NPILookup?Npi=1497910624","1497910624")</f>
        <v>1497910624</v>
      </c>
      <c r="E25461" s="1" t="s">
        <v>27385</v>
      </c>
      <c r="F25461" s="2"/>
      <c r="G25461" s="2"/>
      <c r="H25461" s="2"/>
    </row>
    <row r="25462" spans="1:8" x14ac:dyDescent="0.25">
      <c r="A25462" s="1"/>
      <c r="B25462" s="1" t="s">
        <v>7328</v>
      </c>
      <c r="C25462" s="1" t="s">
        <v>7329</v>
      </c>
      <c r="D25462" s="22" t="str">
        <f>HYPERLINK("https://rhld.insurance.arkansas.gov/NPILookup?Npi=1497923445","1497923445")</f>
        <v>1497923445</v>
      </c>
      <c r="E25462" s="1" t="s">
        <v>13202</v>
      </c>
      <c r="F25462" s="2"/>
      <c r="G25462" s="2"/>
      <c r="H25462" s="2"/>
    </row>
    <row r="25463" spans="1:8" x14ac:dyDescent="0.25">
      <c r="A25463" s="1"/>
      <c r="B25463" s="1" t="s">
        <v>7328</v>
      </c>
      <c r="C25463" s="1" t="s">
        <v>7329</v>
      </c>
      <c r="D25463" s="22" t="str">
        <f>HYPERLINK("https://rhld.insurance.arkansas.gov/NPILookup?Npi=1497954234","1497954234")</f>
        <v>1497954234</v>
      </c>
      <c r="E25463" s="1" t="s">
        <v>27386</v>
      </c>
      <c r="F25463" s="2"/>
      <c r="G25463" s="2"/>
      <c r="H25463" s="2"/>
    </row>
    <row r="25464" spans="1:8" x14ac:dyDescent="0.25">
      <c r="A25464" s="1"/>
      <c r="B25464" s="1" t="s">
        <v>7328</v>
      </c>
      <c r="C25464" s="1" t="s">
        <v>7329</v>
      </c>
      <c r="D25464" s="22" t="str">
        <f>HYPERLINK("https://rhld.insurance.arkansas.gov/NPILookup?Npi=1497964571","1497964571")</f>
        <v>1497964571</v>
      </c>
      <c r="E25464" s="1" t="s">
        <v>13203</v>
      </c>
      <c r="F25464" s="2"/>
      <c r="G25464" s="2"/>
      <c r="H25464" s="2"/>
    </row>
    <row r="25465" spans="1:8" x14ac:dyDescent="0.25">
      <c r="A25465" s="1"/>
      <c r="B25465" s="1" t="s">
        <v>7328</v>
      </c>
      <c r="C25465" s="1" t="s">
        <v>7329</v>
      </c>
      <c r="D25465" s="22" t="str">
        <f>HYPERLINK("https://rhld.insurance.arkansas.gov/NPILookup?Npi=1497968101","1497968101")</f>
        <v>1497968101</v>
      </c>
      <c r="E25465" s="1" t="s">
        <v>11804</v>
      </c>
      <c r="F25465" s="2"/>
      <c r="G25465" s="2"/>
      <c r="H25465" s="2"/>
    </row>
    <row r="25466" spans="1:8" x14ac:dyDescent="0.25">
      <c r="A25466" s="1"/>
      <c r="B25466" s="1" t="s">
        <v>7328</v>
      </c>
      <c r="C25466" s="1" t="s">
        <v>7329</v>
      </c>
      <c r="D25466" s="22" t="str">
        <f>HYPERLINK("https://rhld.insurance.arkansas.gov/NPILookup?Npi=1497998041","1497998041")</f>
        <v>1497998041</v>
      </c>
      <c r="E25466" s="1" t="s">
        <v>2866</v>
      </c>
      <c r="F25466" s="2"/>
      <c r="G25466" s="2"/>
      <c r="H25466" s="2"/>
    </row>
    <row r="25467" spans="1:8" x14ac:dyDescent="0.25">
      <c r="A25467" s="1"/>
      <c r="B25467" s="1" t="s">
        <v>7328</v>
      </c>
      <c r="C25467" s="1" t="s">
        <v>7329</v>
      </c>
      <c r="D25467" s="22" t="str">
        <f>HYPERLINK("https://rhld.insurance.arkansas.gov/NPILookup?Npi=1508005562","1508005562")</f>
        <v>1508005562</v>
      </c>
      <c r="E25467" s="1" t="s">
        <v>7821</v>
      </c>
      <c r="F25467" s="2"/>
      <c r="G25467" s="2"/>
      <c r="H25467" s="2"/>
    </row>
    <row r="25468" spans="1:8" x14ac:dyDescent="0.25">
      <c r="A25468" s="1"/>
      <c r="B25468" s="1" t="s">
        <v>7328</v>
      </c>
      <c r="C25468" s="1" t="s">
        <v>7329</v>
      </c>
      <c r="D25468" s="22" t="str">
        <f>HYPERLINK("https://rhld.insurance.arkansas.gov/NPILookup?Npi=1508060641","1508060641")</f>
        <v>1508060641</v>
      </c>
      <c r="E25468" s="1" t="s">
        <v>27387</v>
      </c>
      <c r="F25468" s="2"/>
      <c r="G25468" s="2"/>
      <c r="H25468" s="2"/>
    </row>
    <row r="25469" spans="1:8" x14ac:dyDescent="0.25">
      <c r="A25469" s="1"/>
      <c r="B25469" s="1" t="s">
        <v>7328</v>
      </c>
      <c r="C25469" s="1" t="s">
        <v>7329</v>
      </c>
      <c r="D25469" s="22" t="str">
        <f>HYPERLINK("https://rhld.insurance.arkansas.gov/NPILookup?Npi=1508070673","1508070673")</f>
        <v>1508070673</v>
      </c>
      <c r="E25469" s="1" t="s">
        <v>27388</v>
      </c>
      <c r="F25469" s="2"/>
      <c r="G25469" s="2"/>
      <c r="H25469" s="2"/>
    </row>
    <row r="25470" spans="1:8" x14ac:dyDescent="0.25">
      <c r="A25470" s="1"/>
      <c r="B25470" s="1" t="s">
        <v>7328</v>
      </c>
      <c r="C25470" s="1" t="s">
        <v>7329</v>
      </c>
      <c r="D25470" s="22" t="str">
        <f>HYPERLINK("https://rhld.insurance.arkansas.gov/NPILookup?Npi=1508099367","1508099367")</f>
        <v>1508099367</v>
      </c>
      <c r="E25470" s="1" t="s">
        <v>32258</v>
      </c>
      <c r="F25470" s="2"/>
      <c r="G25470" s="2"/>
      <c r="H25470" s="2"/>
    </row>
    <row r="25471" spans="1:8" x14ac:dyDescent="0.25">
      <c r="A25471" s="1"/>
      <c r="B25471" s="1" t="s">
        <v>7328</v>
      </c>
      <c r="C25471" s="1" t="s">
        <v>7329</v>
      </c>
      <c r="D25471" s="22" t="str">
        <f>HYPERLINK("https://rhld.insurance.arkansas.gov/NPILookup?Npi=1508112061","1508112061")</f>
        <v>1508112061</v>
      </c>
      <c r="E25471" s="1" t="s">
        <v>2867</v>
      </c>
      <c r="F25471" s="2"/>
      <c r="G25471" s="2"/>
      <c r="H25471" s="2"/>
    </row>
    <row r="25472" spans="1:8" x14ac:dyDescent="0.25">
      <c r="A25472" s="1"/>
      <c r="B25472" s="1" t="s">
        <v>7328</v>
      </c>
      <c r="C25472" s="1" t="s">
        <v>7329</v>
      </c>
      <c r="D25472" s="22" t="str">
        <f>HYPERLINK("https://rhld.insurance.arkansas.gov/NPILookup?Npi=1508140567","1508140567")</f>
        <v>1508140567</v>
      </c>
      <c r="E25472" s="1" t="s">
        <v>27389</v>
      </c>
      <c r="F25472" s="2"/>
      <c r="G25472" s="2"/>
      <c r="H25472" s="2"/>
    </row>
    <row r="25473" spans="1:8" x14ac:dyDescent="0.25">
      <c r="A25473" s="1"/>
      <c r="B25473" s="1" t="s">
        <v>7328</v>
      </c>
      <c r="C25473" s="1" t="s">
        <v>7329</v>
      </c>
      <c r="D25473" s="22" t="str">
        <f>HYPERLINK("https://rhld.insurance.arkansas.gov/NPILookup?Npi=1508152836","1508152836")</f>
        <v>1508152836</v>
      </c>
      <c r="E25473" s="1" t="s">
        <v>27390</v>
      </c>
      <c r="F25473" s="2"/>
      <c r="G25473" s="2"/>
      <c r="H25473" s="2"/>
    </row>
    <row r="25474" spans="1:8" x14ac:dyDescent="0.25">
      <c r="A25474" s="1"/>
      <c r="B25474" s="1" t="s">
        <v>7328</v>
      </c>
      <c r="C25474" s="1" t="s">
        <v>7329</v>
      </c>
      <c r="D25474" s="22" t="str">
        <f>HYPERLINK("https://rhld.insurance.arkansas.gov/NPILookup?Npi=1508153677","1508153677")</f>
        <v>1508153677</v>
      </c>
      <c r="E25474" s="1" t="s">
        <v>27391</v>
      </c>
      <c r="F25474" s="2"/>
      <c r="G25474" s="2"/>
      <c r="H25474" s="2"/>
    </row>
    <row r="25475" spans="1:8" x14ac:dyDescent="0.25">
      <c r="A25475" s="1"/>
      <c r="B25475" s="1" t="s">
        <v>7328</v>
      </c>
      <c r="C25475" s="1" t="s">
        <v>7329</v>
      </c>
      <c r="D25475" s="22" t="str">
        <f>HYPERLINK("https://rhld.insurance.arkansas.gov/NPILookup?Npi=1508157371","1508157371")</f>
        <v>1508157371</v>
      </c>
      <c r="E25475" s="1" t="s">
        <v>1787</v>
      </c>
      <c r="F25475" s="2"/>
      <c r="G25475" s="2"/>
      <c r="H25475" s="2"/>
    </row>
    <row r="25476" spans="1:8" x14ac:dyDescent="0.25">
      <c r="A25476" s="1"/>
      <c r="B25476" s="1" t="s">
        <v>7328</v>
      </c>
      <c r="C25476" s="1" t="s">
        <v>7329</v>
      </c>
      <c r="D25476" s="22" t="str">
        <f>HYPERLINK("https://rhld.insurance.arkansas.gov/NPILookup?Npi=1508168964","1508168964")</f>
        <v>1508168964</v>
      </c>
      <c r="E25476" s="1" t="s">
        <v>2868</v>
      </c>
      <c r="F25476" s="2"/>
      <c r="G25476" s="2"/>
      <c r="H25476" s="2"/>
    </row>
    <row r="25477" spans="1:8" x14ac:dyDescent="0.25">
      <c r="A25477" s="1"/>
      <c r="B25477" s="1" t="s">
        <v>7328</v>
      </c>
      <c r="C25477" s="1" t="s">
        <v>7329</v>
      </c>
      <c r="D25477" s="22" t="str">
        <f>HYPERLINK("https://rhld.insurance.arkansas.gov/NPILookup?Npi=1508177957","1508177957")</f>
        <v>1508177957</v>
      </c>
      <c r="E25477" s="1" t="s">
        <v>13204</v>
      </c>
      <c r="F25477" s="2"/>
      <c r="G25477" s="2"/>
      <c r="H25477" s="2"/>
    </row>
    <row r="25478" spans="1:8" x14ac:dyDescent="0.25">
      <c r="A25478" s="1"/>
      <c r="B25478" s="1" t="s">
        <v>7328</v>
      </c>
      <c r="C25478" s="1" t="s">
        <v>7329</v>
      </c>
      <c r="D25478" s="22" t="str">
        <f>HYPERLINK("https://rhld.insurance.arkansas.gov/NPILookup?Npi=1508181090","1508181090")</f>
        <v>1508181090</v>
      </c>
      <c r="E25478" s="1" t="s">
        <v>27392</v>
      </c>
      <c r="F25478" s="2"/>
      <c r="G25478" s="2"/>
      <c r="H25478" s="2"/>
    </row>
    <row r="25479" spans="1:8" x14ac:dyDescent="0.25">
      <c r="A25479" s="1"/>
      <c r="B25479" s="1" t="s">
        <v>7328</v>
      </c>
      <c r="C25479" s="1" t="s">
        <v>7329</v>
      </c>
      <c r="D25479" s="22" t="str">
        <f>HYPERLINK("https://rhld.insurance.arkansas.gov/NPILookup?Npi=1508194341","1508194341")</f>
        <v>1508194341</v>
      </c>
      <c r="E25479" s="1" t="s">
        <v>27393</v>
      </c>
      <c r="F25479" s="2"/>
      <c r="G25479" s="2"/>
      <c r="H25479" s="2"/>
    </row>
    <row r="25480" spans="1:8" x14ac:dyDescent="0.25">
      <c r="A25480" s="1"/>
      <c r="B25480" s="1" t="s">
        <v>7328</v>
      </c>
      <c r="C25480" s="1" t="s">
        <v>7329</v>
      </c>
      <c r="D25480" s="22" t="str">
        <f>HYPERLINK("https://rhld.insurance.arkansas.gov/NPILookup?Npi=1508198201","1508198201")</f>
        <v>1508198201</v>
      </c>
      <c r="E25480" s="1" t="s">
        <v>18482</v>
      </c>
      <c r="F25480" s="2"/>
      <c r="G25480" s="2"/>
      <c r="H25480" s="2"/>
    </row>
    <row r="25481" spans="1:8" x14ac:dyDescent="0.25">
      <c r="A25481" s="1"/>
      <c r="B25481" s="1" t="s">
        <v>7328</v>
      </c>
      <c r="C25481" s="1" t="s">
        <v>7329</v>
      </c>
      <c r="D25481" s="22" t="str">
        <f>HYPERLINK("https://rhld.insurance.arkansas.gov/NPILookup?Npi=1508203621","1508203621")</f>
        <v>1508203621</v>
      </c>
      <c r="E25481" s="1" t="s">
        <v>7822</v>
      </c>
      <c r="F25481" s="2"/>
      <c r="G25481" s="2"/>
      <c r="H25481" s="2"/>
    </row>
    <row r="25482" spans="1:8" x14ac:dyDescent="0.25">
      <c r="A25482" s="1"/>
      <c r="B25482" s="1" t="s">
        <v>7328</v>
      </c>
      <c r="C25482" s="1" t="s">
        <v>7329</v>
      </c>
      <c r="D25482" s="22" t="str">
        <f>HYPERLINK("https://rhld.insurance.arkansas.gov/NPILookup?Npi=1508213984","1508213984")</f>
        <v>1508213984</v>
      </c>
      <c r="E25482" s="1" t="s">
        <v>868</v>
      </c>
      <c r="F25482" s="2"/>
      <c r="G25482" s="2"/>
      <c r="H25482" s="2"/>
    </row>
    <row r="25483" spans="1:8" x14ac:dyDescent="0.25">
      <c r="A25483" s="1"/>
      <c r="B25483" s="1" t="s">
        <v>7328</v>
      </c>
      <c r="C25483" s="1" t="s">
        <v>7329</v>
      </c>
      <c r="D25483" s="22" t="str">
        <f>HYPERLINK("https://rhld.insurance.arkansas.gov/NPILookup?Npi=1508252644","1508252644")</f>
        <v>1508252644</v>
      </c>
      <c r="E25483" s="1" t="s">
        <v>27394</v>
      </c>
      <c r="F25483" s="2"/>
      <c r="G25483" s="2"/>
      <c r="H25483" s="2"/>
    </row>
    <row r="25484" spans="1:8" x14ac:dyDescent="0.25">
      <c r="A25484" s="1"/>
      <c r="B25484" s="1" t="s">
        <v>7328</v>
      </c>
      <c r="C25484" s="1" t="s">
        <v>7329</v>
      </c>
      <c r="D25484" s="22" t="str">
        <f>HYPERLINK("https://rhld.insurance.arkansas.gov/NPILookup?Npi=1508253055","1508253055")</f>
        <v>1508253055</v>
      </c>
      <c r="E25484" s="1" t="s">
        <v>7823</v>
      </c>
      <c r="F25484" s="2"/>
      <c r="G25484" s="2"/>
      <c r="H25484" s="2"/>
    </row>
    <row r="25485" spans="1:8" x14ac:dyDescent="0.25">
      <c r="A25485" s="1"/>
      <c r="B25485" s="1" t="s">
        <v>7328</v>
      </c>
      <c r="C25485" s="1" t="s">
        <v>7329</v>
      </c>
      <c r="D25485" s="22" t="str">
        <f>HYPERLINK("https://rhld.insurance.arkansas.gov/NPILookup?Npi=1508254962","1508254962")</f>
        <v>1508254962</v>
      </c>
      <c r="E25485" s="1" t="s">
        <v>13205</v>
      </c>
      <c r="F25485" s="2"/>
      <c r="G25485" s="2"/>
      <c r="H25485" s="2"/>
    </row>
    <row r="25486" spans="1:8" x14ac:dyDescent="0.25">
      <c r="A25486" s="1"/>
      <c r="B25486" s="1" t="s">
        <v>7328</v>
      </c>
      <c r="C25486" s="1" t="s">
        <v>7329</v>
      </c>
      <c r="D25486" s="22" t="str">
        <f>HYPERLINK("https://rhld.insurance.arkansas.gov/NPILookup?Npi=1508275678","1508275678")</f>
        <v>1508275678</v>
      </c>
      <c r="E25486" s="1" t="s">
        <v>27395</v>
      </c>
      <c r="F25486" s="2"/>
      <c r="G25486" s="2"/>
      <c r="H25486" s="2"/>
    </row>
    <row r="25487" spans="1:8" x14ac:dyDescent="0.25">
      <c r="A25487" s="1"/>
      <c r="B25487" s="1" t="s">
        <v>7328</v>
      </c>
      <c r="C25487" s="1" t="s">
        <v>7329</v>
      </c>
      <c r="D25487" s="22" t="str">
        <f>HYPERLINK("https://rhld.insurance.arkansas.gov/NPILookup?Npi=1508282955","1508282955")</f>
        <v>1508282955</v>
      </c>
      <c r="E25487" s="1" t="s">
        <v>168</v>
      </c>
      <c r="F25487" s="2"/>
      <c r="G25487" s="2"/>
      <c r="H25487" s="2"/>
    </row>
    <row r="25488" spans="1:8" x14ac:dyDescent="0.25">
      <c r="A25488" s="1"/>
      <c r="B25488" s="1" t="s">
        <v>7328</v>
      </c>
      <c r="C25488" s="1" t="s">
        <v>7329</v>
      </c>
      <c r="D25488" s="22" t="str">
        <f>HYPERLINK("https://rhld.insurance.arkansas.gov/NPILookup?Npi=1508287590","1508287590")</f>
        <v>1508287590</v>
      </c>
      <c r="E25488" s="1" t="s">
        <v>27396</v>
      </c>
      <c r="F25488" s="2"/>
      <c r="G25488" s="2"/>
      <c r="H25488" s="2"/>
    </row>
    <row r="25489" spans="1:8" x14ac:dyDescent="0.25">
      <c r="A25489" s="1"/>
      <c r="B25489" s="1" t="s">
        <v>7328</v>
      </c>
      <c r="C25489" s="1" t="s">
        <v>7329</v>
      </c>
      <c r="D25489" s="22" t="str">
        <f>HYPERLINK("https://rhld.insurance.arkansas.gov/NPILookup?Npi=1508295601","1508295601")</f>
        <v>1508295601</v>
      </c>
      <c r="E25489" s="1" t="s">
        <v>17597</v>
      </c>
      <c r="F25489" s="2"/>
      <c r="G25489" s="2"/>
      <c r="H25489" s="2"/>
    </row>
    <row r="25490" spans="1:8" x14ac:dyDescent="0.25">
      <c r="A25490" s="1"/>
      <c r="B25490" s="1" t="s">
        <v>7328</v>
      </c>
      <c r="C25490" s="1" t="s">
        <v>7329</v>
      </c>
      <c r="D25490" s="22" t="str">
        <f>HYPERLINK("https://rhld.insurance.arkansas.gov/NPILookup?Npi=1508308131","1508308131")</f>
        <v>1508308131</v>
      </c>
      <c r="E25490" s="1" t="s">
        <v>869</v>
      </c>
      <c r="F25490" s="2"/>
      <c r="G25490" s="2"/>
      <c r="H25490" s="2"/>
    </row>
    <row r="25491" spans="1:8" x14ac:dyDescent="0.25">
      <c r="A25491" s="1"/>
      <c r="B25491" s="1" t="s">
        <v>7328</v>
      </c>
      <c r="C25491" s="1" t="s">
        <v>7329</v>
      </c>
      <c r="D25491" s="22" t="str">
        <f>HYPERLINK("https://rhld.insurance.arkansas.gov/NPILookup?Npi=1508321621","1508321621")</f>
        <v>1508321621</v>
      </c>
      <c r="E25491" s="1" t="s">
        <v>27397</v>
      </c>
      <c r="F25491" s="2"/>
      <c r="G25491" s="2"/>
      <c r="H25491" s="2"/>
    </row>
    <row r="25492" spans="1:8" x14ac:dyDescent="0.25">
      <c r="A25492" s="1"/>
      <c r="B25492" s="1" t="s">
        <v>7328</v>
      </c>
      <c r="C25492" s="1" t="s">
        <v>7329</v>
      </c>
      <c r="D25492" s="22" t="str">
        <f>HYPERLINK("https://rhld.insurance.arkansas.gov/NPILookup?Npi=1508327669","1508327669")</f>
        <v>1508327669</v>
      </c>
      <c r="E25492" s="1" t="s">
        <v>17598</v>
      </c>
      <c r="F25492" s="2"/>
      <c r="G25492" s="2"/>
      <c r="H25492" s="2"/>
    </row>
    <row r="25493" spans="1:8" x14ac:dyDescent="0.25">
      <c r="A25493" s="1"/>
      <c r="B25493" s="1" t="s">
        <v>7328</v>
      </c>
      <c r="C25493" s="1" t="s">
        <v>7329</v>
      </c>
      <c r="D25493" s="22" t="str">
        <f>HYPERLINK("https://rhld.insurance.arkansas.gov/NPILookup?Npi=1508328253","1508328253")</f>
        <v>1508328253</v>
      </c>
      <c r="E25493" s="1" t="s">
        <v>27398</v>
      </c>
      <c r="F25493" s="2"/>
      <c r="G25493" s="2"/>
      <c r="H25493" s="2"/>
    </row>
    <row r="25494" spans="1:8" x14ac:dyDescent="0.25">
      <c r="A25494" s="1"/>
      <c r="B25494" s="1" t="s">
        <v>7328</v>
      </c>
      <c r="C25494" s="1" t="s">
        <v>7329</v>
      </c>
      <c r="D25494" s="22" t="str">
        <f>HYPERLINK("https://rhld.insurance.arkansas.gov/NPILookup?Npi=1508336470","1508336470")</f>
        <v>1508336470</v>
      </c>
      <c r="E25494" s="1" t="s">
        <v>2869</v>
      </c>
      <c r="F25494" s="2"/>
      <c r="G25494" s="2"/>
      <c r="H25494" s="2"/>
    </row>
    <row r="25495" spans="1:8" x14ac:dyDescent="0.25">
      <c r="A25495" s="1"/>
      <c r="B25495" s="1" t="s">
        <v>7328</v>
      </c>
      <c r="C25495" s="1" t="s">
        <v>7329</v>
      </c>
      <c r="D25495" s="22" t="str">
        <f>HYPERLINK("https://rhld.insurance.arkansas.gov/NPILookup?Npi=1508337643","1508337643")</f>
        <v>1508337643</v>
      </c>
      <c r="E25495" s="1" t="s">
        <v>27399</v>
      </c>
      <c r="F25495" s="2"/>
      <c r="G25495" s="2"/>
      <c r="H25495" s="2"/>
    </row>
    <row r="25496" spans="1:8" x14ac:dyDescent="0.25">
      <c r="A25496" s="1"/>
      <c r="B25496" s="1" t="s">
        <v>7328</v>
      </c>
      <c r="C25496" s="1" t="s">
        <v>7329</v>
      </c>
      <c r="D25496" s="22" t="str">
        <f>HYPERLINK("https://rhld.insurance.arkansas.gov/NPILookup?Npi=1508349978","1508349978")</f>
        <v>1508349978</v>
      </c>
      <c r="E25496" s="1" t="s">
        <v>27400</v>
      </c>
      <c r="F25496" s="2"/>
      <c r="G25496" s="2"/>
      <c r="H25496" s="2"/>
    </row>
    <row r="25497" spans="1:8" x14ac:dyDescent="0.25">
      <c r="A25497" s="1"/>
      <c r="B25497" s="1" t="s">
        <v>7328</v>
      </c>
      <c r="C25497" s="1" t="s">
        <v>7329</v>
      </c>
      <c r="D25497" s="22" t="str">
        <f>HYPERLINK("https://rhld.insurance.arkansas.gov/NPILookup?Npi=1508360900","1508360900")</f>
        <v>1508360900</v>
      </c>
      <c r="E25497" s="1" t="s">
        <v>27401</v>
      </c>
      <c r="F25497" s="2"/>
      <c r="G25497" s="2"/>
      <c r="H25497" s="2"/>
    </row>
    <row r="25498" spans="1:8" x14ac:dyDescent="0.25">
      <c r="A25498" s="1"/>
      <c r="B25498" s="1" t="s">
        <v>7328</v>
      </c>
      <c r="C25498" s="1" t="s">
        <v>7329</v>
      </c>
      <c r="D25498" s="22" t="str">
        <f>HYPERLINK("https://rhld.insurance.arkansas.gov/NPILookup?Npi=1508362245","1508362245")</f>
        <v>1508362245</v>
      </c>
      <c r="E25498" s="1" t="s">
        <v>27402</v>
      </c>
      <c r="F25498" s="2"/>
      <c r="G25498" s="2"/>
      <c r="H25498" s="2"/>
    </row>
    <row r="25499" spans="1:8" x14ac:dyDescent="0.25">
      <c r="A25499" s="1"/>
      <c r="B25499" s="1" t="s">
        <v>7328</v>
      </c>
      <c r="C25499" s="1" t="s">
        <v>7329</v>
      </c>
      <c r="D25499" s="22" t="str">
        <f>HYPERLINK("https://rhld.insurance.arkansas.gov/NPILookup?Npi=1508377094","1508377094")</f>
        <v>1508377094</v>
      </c>
      <c r="E25499" s="1" t="s">
        <v>32259</v>
      </c>
      <c r="F25499" s="2"/>
      <c r="G25499" s="2"/>
      <c r="H25499" s="2"/>
    </row>
    <row r="25500" spans="1:8" x14ac:dyDescent="0.25">
      <c r="A25500" s="1"/>
      <c r="B25500" s="1" t="s">
        <v>7328</v>
      </c>
      <c r="C25500" s="1" t="s">
        <v>7329</v>
      </c>
      <c r="D25500" s="22" t="str">
        <f>HYPERLINK("https://rhld.insurance.arkansas.gov/NPILookup?Npi=1508398306","1508398306")</f>
        <v>1508398306</v>
      </c>
      <c r="E25500" s="1" t="s">
        <v>27403</v>
      </c>
      <c r="F25500" s="2"/>
      <c r="G25500" s="2"/>
      <c r="H25500" s="2"/>
    </row>
    <row r="25501" spans="1:8" x14ac:dyDescent="0.25">
      <c r="A25501" s="1"/>
      <c r="B25501" s="1" t="s">
        <v>7328</v>
      </c>
      <c r="C25501" s="1" t="s">
        <v>7329</v>
      </c>
      <c r="D25501" s="22" t="str">
        <f>HYPERLINK("https://rhld.insurance.arkansas.gov/NPILookup?Npi=1508399502","1508399502")</f>
        <v>1508399502</v>
      </c>
      <c r="E25501" s="1" t="s">
        <v>27404</v>
      </c>
      <c r="F25501" s="2"/>
      <c r="G25501" s="2"/>
      <c r="H25501" s="2"/>
    </row>
    <row r="25502" spans="1:8" x14ac:dyDescent="0.25">
      <c r="A25502" s="1"/>
      <c r="B25502" s="1" t="s">
        <v>7328</v>
      </c>
      <c r="C25502" s="1" t="s">
        <v>7329</v>
      </c>
      <c r="D25502" s="22" t="str">
        <f>HYPERLINK("https://rhld.insurance.arkansas.gov/NPILookup?Npi=1508401852","1508401852")</f>
        <v>1508401852</v>
      </c>
      <c r="E25502" s="1" t="s">
        <v>27405</v>
      </c>
      <c r="F25502" s="2"/>
      <c r="G25502" s="2"/>
      <c r="H25502" s="2"/>
    </row>
    <row r="25503" spans="1:8" x14ac:dyDescent="0.25">
      <c r="A25503" s="1"/>
      <c r="B25503" s="1" t="s">
        <v>7328</v>
      </c>
      <c r="C25503" s="1" t="s">
        <v>7329</v>
      </c>
      <c r="D25503" s="22" t="str">
        <f>HYPERLINK("https://rhld.insurance.arkansas.gov/NPILookup?Npi=1508420167","1508420167")</f>
        <v>1508420167</v>
      </c>
      <c r="E25503" s="1" t="s">
        <v>7824</v>
      </c>
      <c r="F25503" s="2"/>
      <c r="G25503" s="2"/>
      <c r="H25503" s="2"/>
    </row>
    <row r="25504" spans="1:8" x14ac:dyDescent="0.25">
      <c r="A25504" s="1"/>
      <c r="B25504" s="1" t="s">
        <v>7328</v>
      </c>
      <c r="C25504" s="1" t="s">
        <v>7329</v>
      </c>
      <c r="D25504" s="22" t="str">
        <f>HYPERLINK("https://rhld.insurance.arkansas.gov/NPILookup?Npi=1508427303","1508427303")</f>
        <v>1508427303</v>
      </c>
      <c r="E25504" s="1" t="s">
        <v>27406</v>
      </c>
      <c r="F25504" s="2"/>
      <c r="G25504" s="2"/>
      <c r="H25504" s="2"/>
    </row>
    <row r="25505" spans="1:8" x14ac:dyDescent="0.25">
      <c r="A25505" s="1"/>
      <c r="B25505" s="1" t="s">
        <v>7328</v>
      </c>
      <c r="C25505" s="1" t="s">
        <v>7329</v>
      </c>
      <c r="D25505" s="22" t="str">
        <f>HYPERLINK("https://rhld.insurance.arkansas.gov/NPILookup?Npi=1508451170","1508451170")</f>
        <v>1508451170</v>
      </c>
      <c r="E25505" s="1" t="s">
        <v>1788</v>
      </c>
      <c r="F25505" s="2"/>
      <c r="G25505" s="2"/>
      <c r="H25505" s="2"/>
    </row>
    <row r="25506" spans="1:8" x14ac:dyDescent="0.25">
      <c r="A25506" s="1"/>
      <c r="B25506" s="1" t="s">
        <v>7328</v>
      </c>
      <c r="C25506" s="1" t="s">
        <v>7329</v>
      </c>
      <c r="D25506" s="22" t="str">
        <f>HYPERLINK("https://rhld.insurance.arkansas.gov/NPILookup?Npi=1508466467","1508466467")</f>
        <v>1508466467</v>
      </c>
      <c r="E25506" s="1" t="s">
        <v>27407</v>
      </c>
      <c r="F25506" s="2"/>
      <c r="G25506" s="2"/>
      <c r="H25506" s="2"/>
    </row>
    <row r="25507" spans="1:8" x14ac:dyDescent="0.25">
      <c r="A25507" s="1"/>
      <c r="B25507" s="1" t="s">
        <v>7328</v>
      </c>
      <c r="C25507" s="1" t="s">
        <v>7329</v>
      </c>
      <c r="D25507" s="22" t="str">
        <f>HYPERLINK("https://rhld.insurance.arkansas.gov/NPILookup?Npi=1508470865","1508470865")</f>
        <v>1508470865</v>
      </c>
      <c r="E25507" s="1" t="s">
        <v>7825</v>
      </c>
      <c r="F25507" s="2"/>
      <c r="G25507" s="2"/>
      <c r="H25507" s="2"/>
    </row>
    <row r="25508" spans="1:8" x14ac:dyDescent="0.25">
      <c r="A25508" s="1"/>
      <c r="B25508" s="1" t="s">
        <v>7328</v>
      </c>
      <c r="C25508" s="1" t="s">
        <v>7329</v>
      </c>
      <c r="D25508" s="22" t="str">
        <f>HYPERLINK("https://rhld.insurance.arkansas.gov/NPILookup?Npi=1508477563","1508477563")</f>
        <v>1508477563</v>
      </c>
      <c r="E25508" s="1" t="s">
        <v>31534</v>
      </c>
      <c r="F25508" s="2"/>
      <c r="G25508" s="2"/>
      <c r="H25508" s="2"/>
    </row>
    <row r="25509" spans="1:8" x14ac:dyDescent="0.25">
      <c r="A25509" s="1"/>
      <c r="B25509" s="1" t="s">
        <v>7328</v>
      </c>
      <c r="C25509" s="1" t="s">
        <v>7329</v>
      </c>
      <c r="D25509" s="22" t="str">
        <f>HYPERLINK("https://rhld.insurance.arkansas.gov/NPILookup?Npi=1508481292","1508481292")</f>
        <v>1508481292</v>
      </c>
      <c r="E25509" s="1" t="s">
        <v>27408</v>
      </c>
      <c r="F25509" s="2"/>
      <c r="G25509" s="2"/>
      <c r="H25509" s="2"/>
    </row>
    <row r="25510" spans="1:8" x14ac:dyDescent="0.25">
      <c r="A25510" s="1"/>
      <c r="B25510" s="1" t="s">
        <v>7328</v>
      </c>
      <c r="C25510" s="1" t="s">
        <v>7329</v>
      </c>
      <c r="D25510" s="22" t="str">
        <f>HYPERLINK("https://rhld.insurance.arkansas.gov/NPILookup?Npi=1508493610","1508493610")</f>
        <v>1508493610</v>
      </c>
      <c r="E25510" s="1" t="s">
        <v>27409</v>
      </c>
      <c r="F25510" s="2"/>
      <c r="G25510" s="2"/>
      <c r="H25510" s="2"/>
    </row>
    <row r="25511" spans="1:8" x14ac:dyDescent="0.25">
      <c r="A25511" s="1"/>
      <c r="B25511" s="1" t="s">
        <v>7328</v>
      </c>
      <c r="C25511" s="1" t="s">
        <v>7329</v>
      </c>
      <c r="D25511" s="22" t="str">
        <f>HYPERLINK("https://rhld.insurance.arkansas.gov/NPILookup?Npi=1508496456","1508496456")</f>
        <v>1508496456</v>
      </c>
      <c r="E25511" s="1" t="s">
        <v>27410</v>
      </c>
      <c r="F25511" s="2"/>
      <c r="G25511" s="2"/>
      <c r="H25511" s="2"/>
    </row>
    <row r="25512" spans="1:8" x14ac:dyDescent="0.25">
      <c r="A25512" s="1"/>
      <c r="B25512" s="1" t="s">
        <v>7328</v>
      </c>
      <c r="C25512" s="1" t="s">
        <v>7329</v>
      </c>
      <c r="D25512" s="22" t="str">
        <f>HYPERLINK("https://rhld.insurance.arkansas.gov/NPILookup?Npi=1508496829","1508496829")</f>
        <v>1508496829</v>
      </c>
      <c r="E25512" s="1" t="s">
        <v>27411</v>
      </c>
      <c r="F25512" s="2"/>
      <c r="G25512" s="2"/>
      <c r="H25512" s="2"/>
    </row>
    <row r="25513" spans="1:8" x14ac:dyDescent="0.25">
      <c r="A25513" s="1"/>
      <c r="B25513" s="1" t="s">
        <v>7328</v>
      </c>
      <c r="C25513" s="1" t="s">
        <v>7329</v>
      </c>
      <c r="D25513" s="22" t="str">
        <f>HYPERLINK("https://rhld.insurance.arkansas.gov/NPILookup?Npi=1508509092","1508509092")</f>
        <v>1508509092</v>
      </c>
      <c r="E25513" s="1" t="s">
        <v>32260</v>
      </c>
      <c r="F25513" s="2"/>
      <c r="G25513" s="2"/>
      <c r="H25513" s="2"/>
    </row>
    <row r="25514" spans="1:8" x14ac:dyDescent="0.25">
      <c r="A25514" s="1"/>
      <c r="B25514" s="1" t="s">
        <v>7328</v>
      </c>
      <c r="C25514" s="1" t="s">
        <v>7329</v>
      </c>
      <c r="D25514" s="22" t="str">
        <f>HYPERLINK("https://rhld.insurance.arkansas.gov/NPILookup?Npi=1508518796","1508518796")</f>
        <v>1508518796</v>
      </c>
      <c r="E25514" s="1" t="s">
        <v>7827</v>
      </c>
      <c r="F25514" s="2"/>
      <c r="G25514" s="2"/>
      <c r="H25514" s="2"/>
    </row>
    <row r="25515" spans="1:8" x14ac:dyDescent="0.25">
      <c r="A25515" s="1"/>
      <c r="B25515" s="1" t="s">
        <v>7328</v>
      </c>
      <c r="C25515" s="1" t="s">
        <v>7329</v>
      </c>
      <c r="D25515" s="22" t="str">
        <f>HYPERLINK("https://rhld.insurance.arkansas.gov/NPILookup?Npi=1508526906","1508526906")</f>
        <v>1508526906</v>
      </c>
      <c r="E25515" s="1" t="s">
        <v>27412</v>
      </c>
      <c r="F25515" s="2"/>
      <c r="G25515" s="2"/>
      <c r="H25515" s="2"/>
    </row>
    <row r="25516" spans="1:8" x14ac:dyDescent="0.25">
      <c r="A25516" s="1"/>
      <c r="B25516" s="1" t="s">
        <v>7328</v>
      </c>
      <c r="C25516" s="1" t="s">
        <v>7329</v>
      </c>
      <c r="D25516" s="22" t="str">
        <f>HYPERLINK("https://rhld.insurance.arkansas.gov/NPILookup?Npi=1508533050","1508533050")</f>
        <v>1508533050</v>
      </c>
      <c r="E25516" s="1" t="s">
        <v>13206</v>
      </c>
      <c r="F25516" s="2"/>
      <c r="G25516" s="2"/>
      <c r="H25516" s="2"/>
    </row>
    <row r="25517" spans="1:8" x14ac:dyDescent="0.25">
      <c r="A25517" s="1"/>
      <c r="B25517" s="1" t="s">
        <v>7328</v>
      </c>
      <c r="C25517" s="1" t="s">
        <v>7329</v>
      </c>
      <c r="D25517" s="22" t="str">
        <f>HYPERLINK("https://rhld.insurance.arkansas.gov/NPILookup?Npi=1508546912","1508546912")</f>
        <v>1508546912</v>
      </c>
      <c r="E25517" s="1" t="s">
        <v>27413</v>
      </c>
      <c r="F25517" s="2"/>
      <c r="G25517" s="2"/>
      <c r="H25517" s="2"/>
    </row>
    <row r="25518" spans="1:8" x14ac:dyDescent="0.25">
      <c r="A25518" s="1"/>
      <c r="B25518" s="1" t="s">
        <v>7328</v>
      </c>
      <c r="C25518" s="1" t="s">
        <v>7329</v>
      </c>
      <c r="D25518" s="22" t="str">
        <f>HYPERLINK("https://rhld.insurance.arkansas.gov/NPILookup?Npi=1508547787","1508547787")</f>
        <v>1508547787</v>
      </c>
      <c r="E25518" s="1" t="s">
        <v>32261</v>
      </c>
      <c r="F25518" s="2"/>
      <c r="G25518" s="2"/>
      <c r="H25518" s="2"/>
    </row>
    <row r="25519" spans="1:8" x14ac:dyDescent="0.25">
      <c r="A25519" s="1"/>
      <c r="B25519" s="1" t="s">
        <v>7328</v>
      </c>
      <c r="C25519" s="1" t="s">
        <v>7329</v>
      </c>
      <c r="D25519" s="22" t="str">
        <f>HYPERLINK("https://rhld.insurance.arkansas.gov/NPILookup?Npi=1508564386","1508564386")</f>
        <v>1508564386</v>
      </c>
      <c r="E25519" s="1" t="s">
        <v>32262</v>
      </c>
      <c r="F25519" s="2"/>
      <c r="G25519" s="2"/>
      <c r="H25519" s="2"/>
    </row>
    <row r="25520" spans="1:8" x14ac:dyDescent="0.25">
      <c r="A25520" s="1"/>
      <c r="B25520" s="1" t="s">
        <v>7328</v>
      </c>
      <c r="C25520" s="1" t="s">
        <v>7329</v>
      </c>
      <c r="D25520" s="22" t="str">
        <f>HYPERLINK("https://rhld.insurance.arkansas.gov/NPILookup?Npi=1508572926","1508572926")</f>
        <v>1508572926</v>
      </c>
      <c r="E25520" s="1" t="s">
        <v>27414</v>
      </c>
      <c r="F25520" s="2"/>
      <c r="G25520" s="2"/>
      <c r="H25520" s="2"/>
    </row>
    <row r="25521" spans="1:8" x14ac:dyDescent="0.25">
      <c r="A25521" s="1"/>
      <c r="B25521" s="1" t="s">
        <v>7328</v>
      </c>
      <c r="C25521" s="1" t="s">
        <v>7329</v>
      </c>
      <c r="D25521" s="22" t="str">
        <f>HYPERLINK("https://rhld.insurance.arkansas.gov/NPILookup?Npi=1508599622","1508599622")</f>
        <v>1508599622</v>
      </c>
      <c r="E25521" s="1" t="s">
        <v>32263</v>
      </c>
      <c r="F25521" s="2"/>
      <c r="G25521" s="2"/>
      <c r="H25521" s="2"/>
    </row>
    <row r="25522" spans="1:8" x14ac:dyDescent="0.25">
      <c r="A25522" s="1"/>
      <c r="B25522" s="1" t="s">
        <v>7328</v>
      </c>
      <c r="C25522" s="1" t="s">
        <v>7329</v>
      </c>
      <c r="D25522" s="22" t="str">
        <f>HYPERLINK("https://rhld.insurance.arkansas.gov/NPILookup?Npi=1508617549","1508617549")</f>
        <v>1508617549</v>
      </c>
      <c r="E25522" s="1" t="s">
        <v>32264</v>
      </c>
      <c r="F25522" s="2"/>
      <c r="G25522" s="2"/>
      <c r="H25522" s="2"/>
    </row>
    <row r="25523" spans="1:8" x14ac:dyDescent="0.25">
      <c r="A25523" s="1"/>
      <c r="B25523" s="1" t="s">
        <v>7328</v>
      </c>
      <c r="C25523" s="1" t="s">
        <v>7329</v>
      </c>
      <c r="D25523" s="22" t="str">
        <f>HYPERLINK("https://rhld.insurance.arkansas.gov/NPILookup?Npi=1508620097","1508620097")</f>
        <v>1508620097</v>
      </c>
      <c r="E25523" s="1" t="s">
        <v>27415</v>
      </c>
      <c r="F25523" s="2"/>
      <c r="G25523" s="2"/>
      <c r="H25523" s="2"/>
    </row>
    <row r="25524" spans="1:8" x14ac:dyDescent="0.25">
      <c r="A25524" s="1"/>
      <c r="B25524" s="1" t="s">
        <v>7328</v>
      </c>
      <c r="C25524" s="1" t="s">
        <v>7329</v>
      </c>
      <c r="D25524" s="22" t="str">
        <f>HYPERLINK("https://rhld.insurance.arkansas.gov/NPILookup?Npi=1508645474","1508645474")</f>
        <v>1508645474</v>
      </c>
      <c r="E25524" s="1" t="s">
        <v>27416</v>
      </c>
      <c r="F25524" s="2"/>
      <c r="G25524" s="2"/>
      <c r="H25524" s="2"/>
    </row>
    <row r="25525" spans="1:8" x14ac:dyDescent="0.25">
      <c r="A25525" s="1"/>
      <c r="B25525" s="1" t="s">
        <v>7328</v>
      </c>
      <c r="C25525" s="1" t="s">
        <v>7329</v>
      </c>
      <c r="D25525" s="22" t="str">
        <f>HYPERLINK("https://rhld.insurance.arkansas.gov/NPILookup?Npi=1508647652","1508647652")</f>
        <v>1508647652</v>
      </c>
      <c r="E25525" s="1" t="s">
        <v>22427</v>
      </c>
      <c r="F25525" s="2"/>
      <c r="G25525" s="2"/>
      <c r="H25525" s="2"/>
    </row>
    <row r="25526" spans="1:8" x14ac:dyDescent="0.25">
      <c r="A25526" s="1"/>
      <c r="B25526" s="1" t="s">
        <v>7328</v>
      </c>
      <c r="C25526" s="1" t="s">
        <v>7329</v>
      </c>
      <c r="D25526" s="22" t="str">
        <f>HYPERLINK("https://rhld.insurance.arkansas.gov/NPILookup?Npi=1508648635","1508648635")</f>
        <v>1508648635</v>
      </c>
      <c r="E25526" s="1" t="s">
        <v>27417</v>
      </c>
      <c r="F25526" s="2"/>
      <c r="G25526" s="2"/>
      <c r="H25526" s="2"/>
    </row>
    <row r="25527" spans="1:8" x14ac:dyDescent="0.25">
      <c r="A25527" s="1"/>
      <c r="B25527" s="1" t="s">
        <v>7328</v>
      </c>
      <c r="C25527" s="1" t="s">
        <v>7329</v>
      </c>
      <c r="D25527" s="22" t="str">
        <f>HYPERLINK("https://rhld.insurance.arkansas.gov/NPILookup?Npi=1508800707","1508800707")</f>
        <v>1508800707</v>
      </c>
      <c r="E25527" s="1" t="s">
        <v>17601</v>
      </c>
      <c r="F25527" s="2"/>
      <c r="G25527" s="2"/>
      <c r="H25527" s="2"/>
    </row>
    <row r="25528" spans="1:8" x14ac:dyDescent="0.25">
      <c r="A25528" s="1"/>
      <c r="B25528" s="1" t="s">
        <v>7328</v>
      </c>
      <c r="C25528" s="1" t="s">
        <v>7329</v>
      </c>
      <c r="D25528" s="22" t="str">
        <f>HYPERLINK("https://rhld.insurance.arkansas.gov/NPILookup?Npi=1508804899","1508804899")</f>
        <v>1508804899</v>
      </c>
      <c r="E25528" s="1" t="s">
        <v>144</v>
      </c>
      <c r="F25528" s="2"/>
      <c r="G25528" s="2"/>
      <c r="H25528" s="2"/>
    </row>
    <row r="25529" spans="1:8" x14ac:dyDescent="0.25">
      <c r="A25529" s="1"/>
      <c r="B25529" s="1" t="s">
        <v>7328</v>
      </c>
      <c r="C25529" s="1" t="s">
        <v>7329</v>
      </c>
      <c r="D25529" s="22" t="str">
        <f>HYPERLINK("https://rhld.insurance.arkansas.gov/NPILookup?Npi=1508814617","1508814617")</f>
        <v>1508814617</v>
      </c>
      <c r="E25529" s="1" t="s">
        <v>17603</v>
      </c>
      <c r="F25529" s="2"/>
      <c r="G25529" s="2"/>
      <c r="H25529" s="2"/>
    </row>
    <row r="25530" spans="1:8" x14ac:dyDescent="0.25">
      <c r="A25530" s="1"/>
      <c r="B25530" s="1" t="s">
        <v>7328</v>
      </c>
      <c r="C25530" s="1" t="s">
        <v>7329</v>
      </c>
      <c r="D25530" s="22" t="str">
        <f>HYPERLINK("https://rhld.insurance.arkansas.gov/NPILookup?Npi=1508817719","1508817719")</f>
        <v>1508817719</v>
      </c>
      <c r="E25530" s="1" t="s">
        <v>27418</v>
      </c>
      <c r="F25530" s="2"/>
      <c r="G25530" s="2"/>
      <c r="H25530" s="2"/>
    </row>
    <row r="25531" spans="1:8" x14ac:dyDescent="0.25">
      <c r="A25531" s="1"/>
      <c r="B25531" s="1" t="s">
        <v>7328</v>
      </c>
      <c r="C25531" s="1" t="s">
        <v>7329</v>
      </c>
      <c r="D25531" s="22" t="str">
        <f>HYPERLINK("https://rhld.insurance.arkansas.gov/NPILookup?Npi=1508824871","1508824871")</f>
        <v>1508824871</v>
      </c>
      <c r="E25531" s="1" t="s">
        <v>10339</v>
      </c>
      <c r="F25531" s="2"/>
      <c r="G25531" s="2"/>
      <c r="H25531" s="2"/>
    </row>
    <row r="25532" spans="1:8" x14ac:dyDescent="0.25">
      <c r="A25532" s="1"/>
      <c r="B25532" s="1" t="s">
        <v>7328</v>
      </c>
      <c r="C25532" s="1" t="s">
        <v>7329</v>
      </c>
      <c r="D25532" s="22" t="str">
        <f>HYPERLINK("https://rhld.insurance.arkansas.gov/NPILookup?Npi=1508827700","1508827700")</f>
        <v>1508827700</v>
      </c>
      <c r="E25532" s="1" t="s">
        <v>10340</v>
      </c>
      <c r="F25532" s="2"/>
      <c r="G25532" s="2"/>
      <c r="H25532" s="2"/>
    </row>
    <row r="25533" spans="1:8" x14ac:dyDescent="0.25">
      <c r="A25533" s="1"/>
      <c r="B25533" s="1" t="s">
        <v>7328</v>
      </c>
      <c r="C25533" s="1" t="s">
        <v>7329</v>
      </c>
      <c r="D25533" s="22" t="str">
        <f>HYPERLINK("https://rhld.insurance.arkansas.gov/NPILookup?Npi=1508831264","1508831264")</f>
        <v>1508831264</v>
      </c>
      <c r="E25533" s="1" t="s">
        <v>2028</v>
      </c>
      <c r="F25533" s="2"/>
      <c r="G25533" s="2"/>
      <c r="H25533" s="2"/>
    </row>
    <row r="25534" spans="1:8" x14ac:dyDescent="0.25">
      <c r="A25534" s="1"/>
      <c r="B25534" s="1" t="s">
        <v>7328</v>
      </c>
      <c r="C25534" s="1" t="s">
        <v>7329</v>
      </c>
      <c r="D25534" s="22" t="str">
        <f>HYPERLINK("https://rhld.insurance.arkansas.gov/NPILookup?Npi=1508848623","1508848623")</f>
        <v>1508848623</v>
      </c>
      <c r="E25534" s="1" t="s">
        <v>7828</v>
      </c>
      <c r="F25534" s="2"/>
      <c r="G25534" s="2"/>
      <c r="H25534" s="2"/>
    </row>
    <row r="25535" spans="1:8" x14ac:dyDescent="0.25">
      <c r="A25535" s="1"/>
      <c r="B25535" s="1" t="s">
        <v>7328</v>
      </c>
      <c r="C25535" s="1" t="s">
        <v>7329</v>
      </c>
      <c r="D25535" s="22" t="str">
        <f>HYPERLINK("https://rhld.insurance.arkansas.gov/NPILookup?Npi=1508848672","1508848672")</f>
        <v>1508848672</v>
      </c>
      <c r="E25535" s="1" t="s">
        <v>13207</v>
      </c>
      <c r="F25535" s="2"/>
      <c r="G25535" s="2"/>
      <c r="H25535" s="2"/>
    </row>
    <row r="25536" spans="1:8" x14ac:dyDescent="0.25">
      <c r="A25536" s="1"/>
      <c r="B25536" s="1" t="s">
        <v>7328</v>
      </c>
      <c r="C25536" s="1" t="s">
        <v>7329</v>
      </c>
      <c r="D25536" s="22" t="str">
        <f>HYPERLINK("https://rhld.insurance.arkansas.gov/NPILookup?Npi=1508853466","1508853466")</f>
        <v>1508853466</v>
      </c>
      <c r="E25536" s="1" t="s">
        <v>23223</v>
      </c>
      <c r="F25536" s="2"/>
      <c r="G25536" s="2"/>
      <c r="H25536" s="2"/>
    </row>
    <row r="25537" spans="1:8" x14ac:dyDescent="0.25">
      <c r="A25537" s="1"/>
      <c r="B25537" s="1" t="s">
        <v>7328</v>
      </c>
      <c r="C25537" s="1" t="s">
        <v>7329</v>
      </c>
      <c r="D25537" s="22" t="str">
        <f>HYPERLINK("https://rhld.insurance.arkansas.gov/NPILookup?Npi=1508861865","1508861865")</f>
        <v>1508861865</v>
      </c>
      <c r="E25537" s="1" t="s">
        <v>13208</v>
      </c>
      <c r="F25537" s="2"/>
      <c r="G25537" s="2"/>
      <c r="H25537" s="2"/>
    </row>
    <row r="25538" spans="1:8" x14ac:dyDescent="0.25">
      <c r="A25538" s="1"/>
      <c r="B25538" s="1" t="s">
        <v>7328</v>
      </c>
      <c r="C25538" s="1" t="s">
        <v>7329</v>
      </c>
      <c r="D25538" s="22" t="str">
        <f>HYPERLINK("https://rhld.insurance.arkansas.gov/NPILookup?Npi=1508881533","1508881533")</f>
        <v>1508881533</v>
      </c>
      <c r="E25538" s="1" t="s">
        <v>1099</v>
      </c>
      <c r="F25538" s="2"/>
      <c r="G25538" s="2"/>
      <c r="H25538" s="2"/>
    </row>
    <row r="25539" spans="1:8" x14ac:dyDescent="0.25">
      <c r="A25539" s="1"/>
      <c r="B25539" s="1" t="s">
        <v>7328</v>
      </c>
      <c r="C25539" s="1" t="s">
        <v>7329</v>
      </c>
      <c r="D25539" s="22" t="str">
        <f>HYPERLINK("https://rhld.insurance.arkansas.gov/NPILookup?Npi=1508887365","1508887365")</f>
        <v>1508887365</v>
      </c>
      <c r="E25539" s="1" t="s">
        <v>27419</v>
      </c>
      <c r="F25539" s="2"/>
      <c r="G25539" s="2"/>
      <c r="H25539" s="2"/>
    </row>
    <row r="25540" spans="1:8" x14ac:dyDescent="0.25">
      <c r="A25540" s="1"/>
      <c r="B25540" s="1" t="s">
        <v>7328</v>
      </c>
      <c r="C25540" s="1" t="s">
        <v>7329</v>
      </c>
      <c r="D25540" s="22" t="str">
        <f>HYPERLINK("https://rhld.insurance.arkansas.gov/NPILookup?Npi=1508925553","1508925553")</f>
        <v>1508925553</v>
      </c>
      <c r="E25540" s="1" t="s">
        <v>13209</v>
      </c>
      <c r="F25540" s="2"/>
      <c r="G25540" s="2"/>
      <c r="H25540" s="2"/>
    </row>
    <row r="25541" spans="1:8" x14ac:dyDescent="0.25">
      <c r="A25541" s="1"/>
      <c r="B25541" s="1" t="s">
        <v>7328</v>
      </c>
      <c r="C25541" s="1" t="s">
        <v>7329</v>
      </c>
      <c r="D25541" s="22" t="str">
        <f>HYPERLINK("https://rhld.insurance.arkansas.gov/NPILookup?Npi=1508950148","1508950148")</f>
        <v>1508950148</v>
      </c>
      <c r="E25541" s="1" t="s">
        <v>4397</v>
      </c>
      <c r="F25541" s="2"/>
      <c r="G25541" s="2"/>
      <c r="H25541" s="2"/>
    </row>
    <row r="25542" spans="1:8" x14ac:dyDescent="0.25">
      <c r="A25542" s="1"/>
      <c r="B25542" s="1" t="s">
        <v>7328</v>
      </c>
      <c r="C25542" s="1" t="s">
        <v>7329</v>
      </c>
      <c r="D25542" s="22" t="str">
        <f>HYPERLINK("https://rhld.insurance.arkansas.gov/NPILookup?Npi=1508990730","1508990730")</f>
        <v>1508990730</v>
      </c>
      <c r="E25542" s="1" t="s">
        <v>17605</v>
      </c>
      <c r="F25542" s="2"/>
      <c r="G25542" s="2"/>
      <c r="H25542" s="2"/>
    </row>
    <row r="25543" spans="1:8" x14ac:dyDescent="0.25">
      <c r="A25543" s="1"/>
      <c r="B25543" s="1" t="s">
        <v>7328</v>
      </c>
      <c r="C25543" s="1" t="s">
        <v>7329</v>
      </c>
      <c r="D25543" s="22" t="str">
        <f>HYPERLINK("https://rhld.insurance.arkansas.gov/NPILookup?Npi=1518039452","1518039452")</f>
        <v>1518039452</v>
      </c>
      <c r="E25543" s="1" t="s">
        <v>27420</v>
      </c>
      <c r="F25543" s="2"/>
      <c r="G25543" s="2"/>
      <c r="H25543" s="2"/>
    </row>
    <row r="25544" spans="1:8" x14ac:dyDescent="0.25">
      <c r="A25544" s="1"/>
      <c r="B25544" s="1" t="s">
        <v>7328</v>
      </c>
      <c r="C25544" s="1" t="s">
        <v>7329</v>
      </c>
      <c r="D25544" s="22" t="str">
        <f>HYPERLINK("https://rhld.insurance.arkansas.gov/NPILookup?Npi=1518049915","1518049915")</f>
        <v>1518049915</v>
      </c>
      <c r="E25544" s="1" t="s">
        <v>7829</v>
      </c>
      <c r="F25544" s="2"/>
      <c r="G25544" s="2"/>
      <c r="H25544" s="2"/>
    </row>
    <row r="25545" spans="1:8" x14ac:dyDescent="0.25">
      <c r="A25545" s="1"/>
      <c r="B25545" s="1" t="s">
        <v>7328</v>
      </c>
      <c r="C25545" s="1" t="s">
        <v>7329</v>
      </c>
      <c r="D25545" s="22" t="str">
        <f>HYPERLINK("https://rhld.insurance.arkansas.gov/NPILookup?Npi=1518057082","1518057082")</f>
        <v>1518057082</v>
      </c>
      <c r="E25545" s="1" t="s">
        <v>27421</v>
      </c>
      <c r="F25545" s="2"/>
      <c r="G25545" s="2"/>
      <c r="H25545" s="2"/>
    </row>
    <row r="25546" spans="1:8" x14ac:dyDescent="0.25">
      <c r="A25546" s="1"/>
      <c r="B25546" s="1" t="s">
        <v>7328</v>
      </c>
      <c r="C25546" s="1" t="s">
        <v>7329</v>
      </c>
      <c r="D25546" s="22" t="str">
        <f>HYPERLINK("https://rhld.insurance.arkansas.gov/NPILookup?Npi=1518086271","1518086271")</f>
        <v>1518086271</v>
      </c>
      <c r="E25546" s="1" t="s">
        <v>27422</v>
      </c>
      <c r="F25546" s="2"/>
      <c r="G25546" s="2"/>
      <c r="H25546" s="2"/>
    </row>
    <row r="25547" spans="1:8" x14ac:dyDescent="0.25">
      <c r="A25547" s="1"/>
      <c r="B25547" s="1" t="s">
        <v>7328</v>
      </c>
      <c r="C25547" s="1" t="s">
        <v>7329</v>
      </c>
      <c r="D25547" s="22" t="str">
        <f>HYPERLINK("https://rhld.insurance.arkansas.gov/NPILookup?Npi=1518090703","1518090703")</f>
        <v>1518090703</v>
      </c>
      <c r="E25547" s="1" t="s">
        <v>27423</v>
      </c>
      <c r="F25547" s="2"/>
      <c r="G25547" s="2"/>
      <c r="H25547" s="2"/>
    </row>
    <row r="25548" spans="1:8" x14ac:dyDescent="0.25">
      <c r="A25548" s="1"/>
      <c r="B25548" s="1" t="s">
        <v>7328</v>
      </c>
      <c r="C25548" s="1" t="s">
        <v>7329</v>
      </c>
      <c r="D25548" s="22" t="str">
        <f>HYPERLINK("https://rhld.insurance.arkansas.gov/NPILookup?Npi=1518112887","1518112887")</f>
        <v>1518112887</v>
      </c>
      <c r="E25548" s="1" t="s">
        <v>27424</v>
      </c>
      <c r="F25548" s="2"/>
      <c r="G25548" s="2"/>
      <c r="H25548" s="2"/>
    </row>
    <row r="25549" spans="1:8" x14ac:dyDescent="0.25">
      <c r="A25549" s="1"/>
      <c r="B25549" s="1" t="s">
        <v>7328</v>
      </c>
      <c r="C25549" s="1" t="s">
        <v>7329</v>
      </c>
      <c r="D25549" s="22" t="str">
        <f>HYPERLINK("https://rhld.insurance.arkansas.gov/NPILookup?Npi=1518113166","1518113166")</f>
        <v>1518113166</v>
      </c>
      <c r="E25549" s="1" t="s">
        <v>1376</v>
      </c>
      <c r="F25549" s="2"/>
      <c r="G25549" s="2"/>
      <c r="H25549" s="2"/>
    </row>
    <row r="25550" spans="1:8" x14ac:dyDescent="0.25">
      <c r="A25550" s="1"/>
      <c r="B25550" s="1" t="s">
        <v>7328</v>
      </c>
      <c r="C25550" s="1" t="s">
        <v>7329</v>
      </c>
      <c r="D25550" s="22" t="str">
        <f>HYPERLINK("https://rhld.insurance.arkansas.gov/NPILookup?Npi=1518127620","1518127620")</f>
        <v>1518127620</v>
      </c>
      <c r="E25550" s="1" t="s">
        <v>27425</v>
      </c>
      <c r="F25550" s="2"/>
      <c r="G25550" s="2"/>
      <c r="H25550" s="2"/>
    </row>
    <row r="25551" spans="1:8" x14ac:dyDescent="0.25">
      <c r="A25551" s="1"/>
      <c r="B25551" s="1" t="s">
        <v>7328</v>
      </c>
      <c r="C25551" s="1" t="s">
        <v>7329</v>
      </c>
      <c r="D25551" s="22" t="str">
        <f>HYPERLINK("https://rhld.insurance.arkansas.gov/NPILookup?Npi=1518131945","1518131945")</f>
        <v>1518131945</v>
      </c>
      <c r="E25551" s="1" t="s">
        <v>27426</v>
      </c>
      <c r="F25551" s="2"/>
      <c r="G25551" s="2"/>
      <c r="H25551" s="2"/>
    </row>
    <row r="25552" spans="1:8" x14ac:dyDescent="0.25">
      <c r="A25552" s="1"/>
      <c r="B25552" s="1" t="s">
        <v>7328</v>
      </c>
      <c r="C25552" s="1" t="s">
        <v>7329</v>
      </c>
      <c r="D25552" s="22" t="str">
        <f>HYPERLINK("https://rhld.insurance.arkansas.gov/NPILookup?Npi=1518144534","1518144534")</f>
        <v>1518144534</v>
      </c>
      <c r="E25552" s="1" t="s">
        <v>2871</v>
      </c>
      <c r="F25552" s="2"/>
      <c r="G25552" s="2"/>
      <c r="H25552" s="2"/>
    </row>
    <row r="25553" spans="1:8" x14ac:dyDescent="0.25">
      <c r="A25553" s="1"/>
      <c r="B25553" s="1" t="s">
        <v>7328</v>
      </c>
      <c r="C25553" s="1" t="s">
        <v>7329</v>
      </c>
      <c r="D25553" s="22" t="str">
        <f>HYPERLINK("https://rhld.insurance.arkansas.gov/NPILookup?Npi=1518148162","1518148162")</f>
        <v>1518148162</v>
      </c>
      <c r="E25553" s="1" t="s">
        <v>27427</v>
      </c>
      <c r="F25553" s="2"/>
      <c r="G25553" s="2"/>
      <c r="H25553" s="2"/>
    </row>
    <row r="25554" spans="1:8" x14ac:dyDescent="0.25">
      <c r="A25554" s="1"/>
      <c r="B25554" s="1" t="s">
        <v>7328</v>
      </c>
      <c r="C25554" s="1" t="s">
        <v>7329</v>
      </c>
      <c r="D25554" s="22" t="str">
        <f>HYPERLINK("https://rhld.insurance.arkansas.gov/NPILookup?Npi=1518155761","1518155761")</f>
        <v>1518155761</v>
      </c>
      <c r="E25554" s="1" t="s">
        <v>10242</v>
      </c>
      <c r="F25554" s="2"/>
      <c r="G25554" s="2"/>
      <c r="H25554" s="2"/>
    </row>
    <row r="25555" spans="1:8" x14ac:dyDescent="0.25">
      <c r="A25555" s="1"/>
      <c r="B25555" s="1" t="s">
        <v>7328</v>
      </c>
      <c r="C25555" s="1" t="s">
        <v>7329</v>
      </c>
      <c r="D25555" s="22" t="str">
        <f>HYPERLINK("https://rhld.insurance.arkansas.gov/NPILookup?Npi=1518173483","1518173483")</f>
        <v>1518173483</v>
      </c>
      <c r="E25555" s="1" t="s">
        <v>27428</v>
      </c>
      <c r="F25555" s="2"/>
      <c r="G25555" s="2"/>
      <c r="H25555" s="2"/>
    </row>
    <row r="25556" spans="1:8" x14ac:dyDescent="0.25">
      <c r="A25556" s="1"/>
      <c r="B25556" s="1" t="s">
        <v>7328</v>
      </c>
      <c r="C25556" s="1" t="s">
        <v>7329</v>
      </c>
      <c r="D25556" s="22" t="str">
        <f>HYPERLINK("https://rhld.insurance.arkansas.gov/NPILookup?Npi=1518189497","1518189497")</f>
        <v>1518189497</v>
      </c>
      <c r="E25556" s="1" t="s">
        <v>27429</v>
      </c>
      <c r="F25556" s="2"/>
      <c r="G25556" s="2"/>
      <c r="H25556" s="2"/>
    </row>
    <row r="25557" spans="1:8" x14ac:dyDescent="0.25">
      <c r="A25557" s="1"/>
      <c r="B25557" s="1" t="s">
        <v>7328</v>
      </c>
      <c r="C25557" s="1" t="s">
        <v>7329</v>
      </c>
      <c r="D25557" s="22" t="str">
        <f>HYPERLINK("https://rhld.insurance.arkansas.gov/NPILookup?Npi=1518190370","1518190370")</f>
        <v>1518190370</v>
      </c>
      <c r="E25557" s="1" t="s">
        <v>17608</v>
      </c>
      <c r="F25557" s="2"/>
      <c r="G25557" s="2"/>
      <c r="H25557" s="2"/>
    </row>
    <row r="25558" spans="1:8" x14ac:dyDescent="0.25">
      <c r="A25558" s="1"/>
      <c r="B25558" s="1" t="s">
        <v>7328</v>
      </c>
      <c r="C25558" s="1" t="s">
        <v>7329</v>
      </c>
      <c r="D25558" s="22" t="str">
        <f>HYPERLINK("https://rhld.insurance.arkansas.gov/NPILookup?Npi=1518230929","1518230929")</f>
        <v>1518230929</v>
      </c>
      <c r="E25558" s="1" t="s">
        <v>13211</v>
      </c>
      <c r="F25558" s="2"/>
      <c r="G25558" s="2"/>
      <c r="H25558" s="2"/>
    </row>
    <row r="25559" spans="1:8" x14ac:dyDescent="0.25">
      <c r="A25559" s="1"/>
      <c r="B25559" s="1" t="s">
        <v>7328</v>
      </c>
      <c r="C25559" s="1" t="s">
        <v>7329</v>
      </c>
      <c r="D25559" s="22" t="str">
        <f>HYPERLINK("https://rhld.insurance.arkansas.gov/NPILookup?Npi=1518252725","1518252725")</f>
        <v>1518252725</v>
      </c>
      <c r="E25559" s="1" t="s">
        <v>11860</v>
      </c>
      <c r="F25559" s="2"/>
      <c r="G25559" s="2"/>
      <c r="H25559" s="2"/>
    </row>
    <row r="25560" spans="1:8" x14ac:dyDescent="0.25">
      <c r="A25560" s="1"/>
      <c r="B25560" s="1" t="s">
        <v>7328</v>
      </c>
      <c r="C25560" s="1" t="s">
        <v>7329</v>
      </c>
      <c r="D25560" s="22" t="str">
        <f>HYPERLINK("https://rhld.insurance.arkansas.gov/NPILookup?Npi=1518270636","1518270636")</f>
        <v>1518270636</v>
      </c>
      <c r="E25560" s="1" t="s">
        <v>2029</v>
      </c>
      <c r="F25560" s="2"/>
      <c r="G25560" s="2"/>
      <c r="H25560" s="2"/>
    </row>
    <row r="25561" spans="1:8" x14ac:dyDescent="0.25">
      <c r="A25561" s="1"/>
      <c r="B25561" s="1" t="s">
        <v>7328</v>
      </c>
      <c r="C25561" s="1" t="s">
        <v>7329</v>
      </c>
      <c r="D25561" s="22" t="str">
        <f>HYPERLINK("https://rhld.insurance.arkansas.gov/NPILookup?Npi=1518283399","1518283399")</f>
        <v>1518283399</v>
      </c>
      <c r="E25561" s="1" t="s">
        <v>13212</v>
      </c>
      <c r="F25561" s="2"/>
      <c r="G25561" s="2"/>
      <c r="H25561" s="2"/>
    </row>
    <row r="25562" spans="1:8" x14ac:dyDescent="0.25">
      <c r="A25562" s="1"/>
      <c r="B25562" s="1" t="s">
        <v>7328</v>
      </c>
      <c r="C25562" s="1" t="s">
        <v>7329</v>
      </c>
      <c r="D25562" s="22" t="str">
        <f>HYPERLINK("https://rhld.insurance.arkansas.gov/NPILookup?Npi=1518287226","1518287226")</f>
        <v>1518287226</v>
      </c>
      <c r="E25562" s="1" t="s">
        <v>27430</v>
      </c>
      <c r="F25562" s="2"/>
      <c r="G25562" s="2"/>
      <c r="H25562" s="2"/>
    </row>
    <row r="25563" spans="1:8" x14ac:dyDescent="0.25">
      <c r="A25563" s="1"/>
      <c r="B25563" s="1" t="s">
        <v>7328</v>
      </c>
      <c r="C25563" s="1" t="s">
        <v>7329</v>
      </c>
      <c r="D25563" s="22" t="str">
        <f>HYPERLINK("https://rhld.insurance.arkansas.gov/NPILookup?Npi=1518301266","1518301266")</f>
        <v>1518301266</v>
      </c>
      <c r="E25563" s="1" t="s">
        <v>27431</v>
      </c>
      <c r="F25563" s="2"/>
      <c r="G25563" s="2"/>
      <c r="H25563" s="2"/>
    </row>
    <row r="25564" spans="1:8" x14ac:dyDescent="0.25">
      <c r="A25564" s="1"/>
      <c r="B25564" s="1" t="s">
        <v>7328</v>
      </c>
      <c r="C25564" s="1" t="s">
        <v>7329</v>
      </c>
      <c r="D25564" s="22" t="str">
        <f>HYPERLINK("https://rhld.insurance.arkansas.gov/NPILookup?Npi=1518316702","1518316702")</f>
        <v>1518316702</v>
      </c>
      <c r="E25564" s="1" t="s">
        <v>1576</v>
      </c>
      <c r="F25564" s="2"/>
      <c r="G25564" s="2"/>
      <c r="H25564" s="2"/>
    </row>
    <row r="25565" spans="1:8" x14ac:dyDescent="0.25">
      <c r="A25565" s="1"/>
      <c r="B25565" s="1" t="s">
        <v>7328</v>
      </c>
      <c r="C25565" s="1" t="s">
        <v>7329</v>
      </c>
      <c r="D25565" s="22" t="str">
        <f>HYPERLINK("https://rhld.insurance.arkansas.gov/NPILookup?Npi=1518323542","1518323542")</f>
        <v>1518323542</v>
      </c>
      <c r="E25565" s="1" t="s">
        <v>27432</v>
      </c>
      <c r="F25565" s="2"/>
      <c r="G25565" s="2"/>
      <c r="H25565" s="2"/>
    </row>
    <row r="25566" spans="1:8" x14ac:dyDescent="0.25">
      <c r="A25566" s="1"/>
      <c r="B25566" s="1" t="s">
        <v>7328</v>
      </c>
      <c r="C25566" s="1" t="s">
        <v>7329</v>
      </c>
      <c r="D25566" s="22" t="str">
        <f>HYPERLINK("https://rhld.insurance.arkansas.gov/NPILookup?Npi=1518335587","1518335587")</f>
        <v>1518335587</v>
      </c>
      <c r="E25566" s="1" t="s">
        <v>27433</v>
      </c>
      <c r="F25566" s="2"/>
      <c r="G25566" s="2"/>
      <c r="H25566" s="2"/>
    </row>
    <row r="25567" spans="1:8" x14ac:dyDescent="0.25">
      <c r="A25567" s="1"/>
      <c r="B25567" s="1" t="s">
        <v>7328</v>
      </c>
      <c r="C25567" s="1" t="s">
        <v>7329</v>
      </c>
      <c r="D25567" s="22" t="str">
        <f>HYPERLINK("https://rhld.insurance.arkansas.gov/NPILookup?Npi=1518337732","1518337732")</f>
        <v>1518337732</v>
      </c>
      <c r="E25567" s="1" t="s">
        <v>2873</v>
      </c>
      <c r="F25567" s="2"/>
      <c r="G25567" s="2"/>
      <c r="H25567" s="2"/>
    </row>
    <row r="25568" spans="1:8" x14ac:dyDescent="0.25">
      <c r="A25568" s="1"/>
      <c r="B25568" s="1" t="s">
        <v>7328</v>
      </c>
      <c r="C25568" s="1" t="s">
        <v>7329</v>
      </c>
      <c r="D25568" s="22" t="str">
        <f>HYPERLINK("https://rhld.insurance.arkansas.gov/NPILookup?Npi=1518337765","1518337765")</f>
        <v>1518337765</v>
      </c>
      <c r="E25568" s="1" t="s">
        <v>27434</v>
      </c>
      <c r="F25568" s="2"/>
      <c r="G25568" s="2"/>
      <c r="H25568" s="2"/>
    </row>
    <row r="25569" spans="1:8" x14ac:dyDescent="0.25">
      <c r="A25569" s="1"/>
      <c r="B25569" s="1" t="s">
        <v>7328</v>
      </c>
      <c r="C25569" s="1" t="s">
        <v>7329</v>
      </c>
      <c r="D25569" s="22" t="str">
        <f>HYPERLINK("https://rhld.insurance.arkansas.gov/NPILookup?Npi=1518349950","1518349950")</f>
        <v>1518349950</v>
      </c>
      <c r="E25569" s="1" t="s">
        <v>13213</v>
      </c>
      <c r="F25569" s="2"/>
      <c r="G25569" s="2"/>
      <c r="H25569" s="2"/>
    </row>
    <row r="25570" spans="1:8" x14ac:dyDescent="0.25">
      <c r="A25570" s="1"/>
      <c r="B25570" s="1" t="s">
        <v>7328</v>
      </c>
      <c r="C25570" s="1" t="s">
        <v>7329</v>
      </c>
      <c r="D25570" s="22" t="str">
        <f>HYPERLINK("https://rhld.insurance.arkansas.gov/NPILookup?Npi=1518352616","1518352616")</f>
        <v>1518352616</v>
      </c>
      <c r="E25570" s="1" t="s">
        <v>27435</v>
      </c>
      <c r="F25570" s="2"/>
      <c r="G25570" s="2"/>
      <c r="H25570" s="2"/>
    </row>
    <row r="25571" spans="1:8" x14ac:dyDescent="0.25">
      <c r="A25571" s="1"/>
      <c r="B25571" s="1" t="s">
        <v>7328</v>
      </c>
      <c r="C25571" s="1" t="s">
        <v>7329</v>
      </c>
      <c r="D25571" s="22" t="str">
        <f>HYPERLINK("https://rhld.insurance.arkansas.gov/NPILookup?Npi=1518356013","1518356013")</f>
        <v>1518356013</v>
      </c>
      <c r="E25571" s="1" t="s">
        <v>2874</v>
      </c>
      <c r="F25571" s="2"/>
      <c r="G25571" s="2"/>
      <c r="H25571" s="2"/>
    </row>
    <row r="25572" spans="1:8" x14ac:dyDescent="0.25">
      <c r="A25572" s="1"/>
      <c r="B25572" s="1" t="s">
        <v>7328</v>
      </c>
      <c r="C25572" s="1" t="s">
        <v>7329</v>
      </c>
      <c r="D25572" s="22" t="str">
        <f>HYPERLINK("https://rhld.insurance.arkansas.gov/NPILookup?Npi=1518358522","1518358522")</f>
        <v>1518358522</v>
      </c>
      <c r="E25572" s="1" t="s">
        <v>2875</v>
      </c>
      <c r="F25572" s="2"/>
      <c r="G25572" s="2"/>
      <c r="H25572" s="2"/>
    </row>
    <row r="25573" spans="1:8" x14ac:dyDescent="0.25">
      <c r="A25573" s="1"/>
      <c r="B25573" s="1" t="s">
        <v>7328</v>
      </c>
      <c r="C25573" s="1" t="s">
        <v>7329</v>
      </c>
      <c r="D25573" s="22" t="str">
        <f>HYPERLINK("https://rhld.insurance.arkansas.gov/NPILookup?Npi=1518362227","1518362227")</f>
        <v>1518362227</v>
      </c>
      <c r="E25573" s="1" t="s">
        <v>27436</v>
      </c>
      <c r="F25573" s="2"/>
      <c r="G25573" s="2"/>
      <c r="H25573" s="2"/>
    </row>
    <row r="25574" spans="1:8" x14ac:dyDescent="0.25">
      <c r="A25574" s="1"/>
      <c r="B25574" s="1" t="s">
        <v>7328</v>
      </c>
      <c r="C25574" s="1" t="s">
        <v>7329</v>
      </c>
      <c r="D25574" s="22" t="str">
        <f>HYPERLINK("https://rhld.insurance.arkansas.gov/NPILookup?Npi=1518362839","1518362839")</f>
        <v>1518362839</v>
      </c>
      <c r="E25574" s="1" t="s">
        <v>13214</v>
      </c>
      <c r="F25574" s="2"/>
      <c r="G25574" s="2"/>
      <c r="H25574" s="2"/>
    </row>
    <row r="25575" spans="1:8" x14ac:dyDescent="0.25">
      <c r="A25575" s="1"/>
      <c r="B25575" s="1" t="s">
        <v>7328</v>
      </c>
      <c r="C25575" s="1" t="s">
        <v>7329</v>
      </c>
      <c r="D25575" s="22" t="str">
        <f>HYPERLINK("https://rhld.insurance.arkansas.gov/NPILookup?Npi=1518374610","1518374610")</f>
        <v>1518374610</v>
      </c>
      <c r="E25575" s="1" t="s">
        <v>274</v>
      </c>
      <c r="F25575" s="2"/>
      <c r="G25575" s="2"/>
      <c r="H25575" s="2"/>
    </row>
    <row r="25576" spans="1:8" x14ac:dyDescent="0.25">
      <c r="A25576" s="1"/>
      <c r="B25576" s="1" t="s">
        <v>7328</v>
      </c>
      <c r="C25576" s="1" t="s">
        <v>7329</v>
      </c>
      <c r="D25576" s="22" t="str">
        <f>HYPERLINK("https://rhld.insurance.arkansas.gov/NPILookup?Npi=1518378371","1518378371")</f>
        <v>1518378371</v>
      </c>
      <c r="E25576" s="1" t="s">
        <v>27437</v>
      </c>
      <c r="F25576" s="2"/>
      <c r="G25576" s="2"/>
      <c r="H25576" s="2"/>
    </row>
    <row r="25577" spans="1:8" x14ac:dyDescent="0.25">
      <c r="A25577" s="1"/>
      <c r="B25577" s="1" t="s">
        <v>7328</v>
      </c>
      <c r="C25577" s="1" t="s">
        <v>7329</v>
      </c>
      <c r="D25577" s="22" t="str">
        <f>HYPERLINK("https://rhld.insurance.arkansas.gov/NPILookup?Npi=1518389709","1518389709")</f>
        <v>1518389709</v>
      </c>
      <c r="E25577" s="1" t="s">
        <v>27438</v>
      </c>
      <c r="F25577" s="2"/>
      <c r="G25577" s="2"/>
      <c r="H25577" s="2"/>
    </row>
    <row r="25578" spans="1:8" x14ac:dyDescent="0.25">
      <c r="A25578" s="1"/>
      <c r="B25578" s="1" t="s">
        <v>7328</v>
      </c>
      <c r="C25578" s="1" t="s">
        <v>7329</v>
      </c>
      <c r="D25578" s="22" t="str">
        <f>HYPERLINK("https://rhld.insurance.arkansas.gov/NPILookup?Npi=1518415280","1518415280")</f>
        <v>1518415280</v>
      </c>
      <c r="E25578" s="1" t="s">
        <v>27439</v>
      </c>
      <c r="F25578" s="2"/>
      <c r="G25578" s="2"/>
      <c r="H25578" s="2"/>
    </row>
    <row r="25579" spans="1:8" x14ac:dyDescent="0.25">
      <c r="A25579" s="1"/>
      <c r="B25579" s="1" t="s">
        <v>7328</v>
      </c>
      <c r="C25579" s="1" t="s">
        <v>7329</v>
      </c>
      <c r="D25579" s="22" t="str">
        <f>HYPERLINK("https://rhld.insurance.arkansas.gov/NPILookup?Npi=1518422765","1518422765")</f>
        <v>1518422765</v>
      </c>
      <c r="E25579" s="1" t="s">
        <v>13215</v>
      </c>
      <c r="F25579" s="2"/>
      <c r="G25579" s="2"/>
      <c r="H25579" s="2"/>
    </row>
    <row r="25580" spans="1:8" x14ac:dyDescent="0.25">
      <c r="A25580" s="1"/>
      <c r="B25580" s="1" t="s">
        <v>7328</v>
      </c>
      <c r="C25580" s="1" t="s">
        <v>7329</v>
      </c>
      <c r="D25580" s="22" t="str">
        <f>HYPERLINK("https://rhld.insurance.arkansas.gov/NPILookup?Npi=1518423557","1518423557")</f>
        <v>1518423557</v>
      </c>
      <c r="E25580" s="1" t="s">
        <v>27440</v>
      </c>
      <c r="F25580" s="2"/>
      <c r="G25580" s="2"/>
      <c r="H25580" s="2"/>
    </row>
    <row r="25581" spans="1:8" x14ac:dyDescent="0.25">
      <c r="A25581" s="1"/>
      <c r="B25581" s="1" t="s">
        <v>7328</v>
      </c>
      <c r="C25581" s="1" t="s">
        <v>7329</v>
      </c>
      <c r="D25581" s="22" t="str">
        <f>HYPERLINK("https://rhld.insurance.arkansas.gov/NPILookup?Npi=1518424159","1518424159")</f>
        <v>1518424159</v>
      </c>
      <c r="E25581" s="1" t="s">
        <v>27441</v>
      </c>
      <c r="F25581" s="2"/>
      <c r="G25581" s="2"/>
      <c r="H25581" s="2"/>
    </row>
    <row r="25582" spans="1:8" x14ac:dyDescent="0.25">
      <c r="A25582" s="1"/>
      <c r="B25582" s="1" t="s">
        <v>7328</v>
      </c>
      <c r="C25582" s="1" t="s">
        <v>7329</v>
      </c>
      <c r="D25582" s="22" t="str">
        <f>HYPERLINK("https://rhld.insurance.arkansas.gov/NPILookup?Npi=1518439462","1518439462")</f>
        <v>1518439462</v>
      </c>
      <c r="E25582" s="1" t="s">
        <v>2876</v>
      </c>
      <c r="F25582" s="2"/>
      <c r="G25582" s="2"/>
      <c r="H25582" s="2"/>
    </row>
    <row r="25583" spans="1:8" x14ac:dyDescent="0.25">
      <c r="A25583" s="1"/>
      <c r="B25583" s="1" t="s">
        <v>7328</v>
      </c>
      <c r="C25583" s="1" t="s">
        <v>7329</v>
      </c>
      <c r="D25583" s="22" t="str">
        <f>HYPERLINK("https://rhld.insurance.arkansas.gov/NPILookup?Npi=1518443415","1518443415")</f>
        <v>1518443415</v>
      </c>
      <c r="E25583" s="1" t="s">
        <v>32265</v>
      </c>
      <c r="F25583" s="2"/>
      <c r="G25583" s="2"/>
      <c r="H25583" s="2"/>
    </row>
    <row r="25584" spans="1:8" x14ac:dyDescent="0.25">
      <c r="A25584" s="1"/>
      <c r="B25584" s="1" t="s">
        <v>7328</v>
      </c>
      <c r="C25584" s="1" t="s">
        <v>7329</v>
      </c>
      <c r="D25584" s="22" t="str">
        <f>HYPERLINK("https://rhld.insurance.arkansas.gov/NPILookup?Npi=1518443670","1518443670")</f>
        <v>1518443670</v>
      </c>
      <c r="E25584" s="1" t="s">
        <v>13216</v>
      </c>
      <c r="F25584" s="2"/>
      <c r="G25584" s="2"/>
      <c r="H25584" s="2"/>
    </row>
    <row r="25585" spans="1:8" x14ac:dyDescent="0.25">
      <c r="A25585" s="1"/>
      <c r="B25585" s="1" t="s">
        <v>7328</v>
      </c>
      <c r="C25585" s="1" t="s">
        <v>7329</v>
      </c>
      <c r="D25585" s="22" t="str">
        <f>HYPERLINK("https://rhld.insurance.arkansas.gov/NPILookup?Npi=1518447960","1518447960")</f>
        <v>1518447960</v>
      </c>
      <c r="E25585" s="1" t="s">
        <v>27442</v>
      </c>
      <c r="F25585" s="2"/>
      <c r="G25585" s="2"/>
      <c r="H25585" s="2"/>
    </row>
    <row r="25586" spans="1:8" x14ac:dyDescent="0.25">
      <c r="A25586" s="1"/>
      <c r="B25586" s="1" t="s">
        <v>7328</v>
      </c>
      <c r="C25586" s="1" t="s">
        <v>7329</v>
      </c>
      <c r="D25586" s="22" t="str">
        <f>HYPERLINK("https://rhld.insurance.arkansas.gov/NPILookup?Npi=1518459965","1518459965")</f>
        <v>1518459965</v>
      </c>
      <c r="E25586" s="1" t="s">
        <v>27443</v>
      </c>
      <c r="F25586" s="2"/>
      <c r="G25586" s="2"/>
      <c r="H25586" s="2"/>
    </row>
    <row r="25587" spans="1:8" x14ac:dyDescent="0.25">
      <c r="A25587" s="1"/>
      <c r="B25587" s="1" t="s">
        <v>7328</v>
      </c>
      <c r="C25587" s="1" t="s">
        <v>7329</v>
      </c>
      <c r="D25587" s="22" t="str">
        <f>HYPERLINK("https://rhld.insurance.arkansas.gov/NPILookup?Npi=1518463355","1518463355")</f>
        <v>1518463355</v>
      </c>
      <c r="E25587" s="1" t="s">
        <v>27444</v>
      </c>
      <c r="F25587" s="2"/>
      <c r="G25587" s="2"/>
      <c r="H25587" s="2"/>
    </row>
    <row r="25588" spans="1:8" x14ac:dyDescent="0.25">
      <c r="A25588" s="1"/>
      <c r="B25588" s="1" t="s">
        <v>7328</v>
      </c>
      <c r="C25588" s="1" t="s">
        <v>7329</v>
      </c>
      <c r="D25588" s="22" t="str">
        <f>HYPERLINK("https://rhld.insurance.arkansas.gov/NPILookup?Npi=1518475466","1518475466")</f>
        <v>1518475466</v>
      </c>
      <c r="E25588" s="1" t="s">
        <v>11863</v>
      </c>
      <c r="F25588" s="2"/>
      <c r="G25588" s="2"/>
      <c r="H25588" s="2"/>
    </row>
    <row r="25589" spans="1:8" x14ac:dyDescent="0.25">
      <c r="A25589" s="1"/>
      <c r="B25589" s="1" t="s">
        <v>7328</v>
      </c>
      <c r="C25589" s="1" t="s">
        <v>7329</v>
      </c>
      <c r="D25589" s="22" t="str">
        <f>HYPERLINK("https://rhld.insurance.arkansas.gov/NPILookup?Npi=1518481589","1518481589")</f>
        <v>1518481589</v>
      </c>
      <c r="E25589" s="1" t="s">
        <v>27445</v>
      </c>
      <c r="F25589" s="2"/>
      <c r="G25589" s="2"/>
      <c r="H25589" s="2"/>
    </row>
    <row r="25590" spans="1:8" x14ac:dyDescent="0.25">
      <c r="A25590" s="1"/>
      <c r="B25590" s="1" t="s">
        <v>7328</v>
      </c>
      <c r="C25590" s="1" t="s">
        <v>7329</v>
      </c>
      <c r="D25590" s="22" t="str">
        <f>HYPERLINK("https://rhld.insurance.arkansas.gov/NPILookup?Npi=1518491182","1518491182")</f>
        <v>1518491182</v>
      </c>
      <c r="E25590" s="1" t="s">
        <v>16186</v>
      </c>
      <c r="F25590" s="2"/>
      <c r="G25590" s="2"/>
      <c r="H25590" s="2"/>
    </row>
    <row r="25591" spans="1:8" x14ac:dyDescent="0.25">
      <c r="A25591" s="1"/>
      <c r="B25591" s="1" t="s">
        <v>7328</v>
      </c>
      <c r="C25591" s="1" t="s">
        <v>7329</v>
      </c>
      <c r="D25591" s="22" t="str">
        <f>HYPERLINK("https://rhld.insurance.arkansas.gov/NPILookup?Npi=1518496538","1518496538")</f>
        <v>1518496538</v>
      </c>
      <c r="E25591" s="1" t="s">
        <v>2030</v>
      </c>
      <c r="F25591" s="2"/>
      <c r="G25591" s="2"/>
      <c r="H25591" s="2"/>
    </row>
    <row r="25592" spans="1:8" x14ac:dyDescent="0.25">
      <c r="A25592" s="1"/>
      <c r="B25592" s="1" t="s">
        <v>7328</v>
      </c>
      <c r="C25592" s="1" t="s">
        <v>7329</v>
      </c>
      <c r="D25592" s="22" t="str">
        <f>HYPERLINK("https://rhld.insurance.arkansas.gov/NPILookup?Npi=1518505833","1518505833")</f>
        <v>1518505833</v>
      </c>
      <c r="E25592" s="1" t="s">
        <v>32266</v>
      </c>
      <c r="F25592" s="2"/>
      <c r="G25592" s="2"/>
      <c r="H25592" s="2"/>
    </row>
    <row r="25593" spans="1:8" x14ac:dyDescent="0.25">
      <c r="A25593" s="1"/>
      <c r="B25593" s="1" t="s">
        <v>7328</v>
      </c>
      <c r="C25593" s="1" t="s">
        <v>7329</v>
      </c>
      <c r="D25593" s="22" t="str">
        <f>HYPERLINK("https://rhld.insurance.arkansas.gov/NPILookup?Npi=1518507995","1518507995")</f>
        <v>1518507995</v>
      </c>
      <c r="E25593" s="1" t="s">
        <v>27446</v>
      </c>
      <c r="F25593" s="2"/>
      <c r="G25593" s="2"/>
      <c r="H25593" s="2"/>
    </row>
    <row r="25594" spans="1:8" x14ac:dyDescent="0.25">
      <c r="A25594" s="1"/>
      <c r="B25594" s="1" t="s">
        <v>7328</v>
      </c>
      <c r="C25594" s="1" t="s">
        <v>7329</v>
      </c>
      <c r="D25594" s="22" t="str">
        <f>HYPERLINK("https://rhld.insurance.arkansas.gov/NPILookup?Npi=1518519057","1518519057")</f>
        <v>1518519057</v>
      </c>
      <c r="E25594" s="1" t="s">
        <v>27447</v>
      </c>
      <c r="F25594" s="2"/>
      <c r="G25594" s="2"/>
      <c r="H25594" s="2"/>
    </row>
    <row r="25595" spans="1:8" x14ac:dyDescent="0.25">
      <c r="A25595" s="1"/>
      <c r="B25595" s="1" t="s">
        <v>7328</v>
      </c>
      <c r="C25595" s="1" t="s">
        <v>7329</v>
      </c>
      <c r="D25595" s="22" t="str">
        <f>HYPERLINK("https://rhld.insurance.arkansas.gov/NPILookup?Npi=1518520741","1518520741")</f>
        <v>1518520741</v>
      </c>
      <c r="E25595" s="1" t="s">
        <v>2385</v>
      </c>
      <c r="F25595" s="2"/>
      <c r="G25595" s="2"/>
      <c r="H25595" s="2"/>
    </row>
    <row r="25596" spans="1:8" x14ac:dyDescent="0.25">
      <c r="A25596" s="1"/>
      <c r="B25596" s="1" t="s">
        <v>7328</v>
      </c>
      <c r="C25596" s="1" t="s">
        <v>7329</v>
      </c>
      <c r="D25596" s="22" t="str">
        <f>HYPERLINK("https://rhld.insurance.arkansas.gov/NPILookup?Npi=1518532704","1518532704")</f>
        <v>1518532704</v>
      </c>
      <c r="E25596" s="1" t="s">
        <v>7831</v>
      </c>
      <c r="F25596" s="2"/>
      <c r="G25596" s="2"/>
      <c r="H25596" s="2"/>
    </row>
    <row r="25597" spans="1:8" x14ac:dyDescent="0.25">
      <c r="A25597" s="1"/>
      <c r="B25597" s="1" t="s">
        <v>7328</v>
      </c>
      <c r="C25597" s="1" t="s">
        <v>7329</v>
      </c>
      <c r="D25597" s="22" t="str">
        <f>HYPERLINK("https://rhld.insurance.arkansas.gov/NPILookup?Npi=1518548189","1518548189")</f>
        <v>1518548189</v>
      </c>
      <c r="E25597" s="1" t="s">
        <v>27448</v>
      </c>
      <c r="F25597" s="2"/>
      <c r="G25597" s="2"/>
      <c r="H25597" s="2"/>
    </row>
    <row r="25598" spans="1:8" x14ac:dyDescent="0.25">
      <c r="A25598" s="1"/>
      <c r="B25598" s="1" t="s">
        <v>7328</v>
      </c>
      <c r="C25598" s="1" t="s">
        <v>7329</v>
      </c>
      <c r="D25598" s="22" t="str">
        <f>HYPERLINK("https://rhld.insurance.arkansas.gov/NPILookup?Npi=1518565357","1518565357")</f>
        <v>1518565357</v>
      </c>
      <c r="E25598" s="1" t="s">
        <v>7832</v>
      </c>
      <c r="F25598" s="2"/>
      <c r="G25598" s="2"/>
      <c r="H25598" s="2"/>
    </row>
    <row r="25599" spans="1:8" x14ac:dyDescent="0.25">
      <c r="A25599" s="1"/>
      <c r="B25599" s="1" t="s">
        <v>7328</v>
      </c>
      <c r="C25599" s="1" t="s">
        <v>7329</v>
      </c>
      <c r="D25599" s="22" t="str">
        <f>HYPERLINK("https://rhld.insurance.arkansas.gov/NPILookup?Npi=1518572528","1518572528")</f>
        <v>1518572528</v>
      </c>
      <c r="E25599" s="1" t="s">
        <v>7833</v>
      </c>
      <c r="F25599" s="2"/>
      <c r="G25599" s="2"/>
      <c r="H25599" s="2"/>
    </row>
    <row r="25600" spans="1:8" x14ac:dyDescent="0.25">
      <c r="A25600" s="1"/>
      <c r="B25600" s="1" t="s">
        <v>7328</v>
      </c>
      <c r="C25600" s="1" t="s">
        <v>7329</v>
      </c>
      <c r="D25600" s="22" t="str">
        <f>HYPERLINK("https://rhld.insurance.arkansas.gov/NPILookup?Npi=1518580596","1518580596")</f>
        <v>1518580596</v>
      </c>
      <c r="E25600" s="1" t="s">
        <v>27449</v>
      </c>
      <c r="F25600" s="2"/>
      <c r="G25600" s="2"/>
      <c r="H25600" s="2"/>
    </row>
    <row r="25601" spans="1:8" x14ac:dyDescent="0.25">
      <c r="A25601" s="1"/>
      <c r="B25601" s="1" t="s">
        <v>7328</v>
      </c>
      <c r="C25601" s="1" t="s">
        <v>7329</v>
      </c>
      <c r="D25601" s="22" t="str">
        <f>HYPERLINK("https://rhld.insurance.arkansas.gov/NPILookup?Npi=1518581115","1518581115")</f>
        <v>1518581115</v>
      </c>
      <c r="E25601" s="1" t="s">
        <v>7834</v>
      </c>
      <c r="F25601" s="2"/>
      <c r="G25601" s="2"/>
      <c r="H25601" s="2"/>
    </row>
    <row r="25602" spans="1:8" x14ac:dyDescent="0.25">
      <c r="A25602" s="1"/>
      <c r="B25602" s="1" t="s">
        <v>7328</v>
      </c>
      <c r="C25602" s="1" t="s">
        <v>7329</v>
      </c>
      <c r="D25602" s="22" t="str">
        <f>HYPERLINK("https://rhld.insurance.arkansas.gov/NPILookup?Npi=1518582154","1518582154")</f>
        <v>1518582154</v>
      </c>
      <c r="E25602" s="1" t="s">
        <v>27450</v>
      </c>
      <c r="F25602" s="2"/>
      <c r="G25602" s="2"/>
      <c r="H25602" s="2"/>
    </row>
    <row r="25603" spans="1:8" x14ac:dyDescent="0.25">
      <c r="A25603" s="1"/>
      <c r="B25603" s="1" t="s">
        <v>7328</v>
      </c>
      <c r="C25603" s="1" t="s">
        <v>7329</v>
      </c>
      <c r="D25603" s="22" t="str">
        <f>HYPERLINK("https://rhld.insurance.arkansas.gov/NPILookup?Npi=1518583129","1518583129")</f>
        <v>1518583129</v>
      </c>
      <c r="E25603" s="1" t="s">
        <v>7835</v>
      </c>
      <c r="F25603" s="2"/>
      <c r="G25603" s="2"/>
      <c r="H25603" s="2"/>
    </row>
    <row r="25604" spans="1:8" x14ac:dyDescent="0.25">
      <c r="A25604" s="1"/>
      <c r="B25604" s="1" t="s">
        <v>7328</v>
      </c>
      <c r="C25604" s="1" t="s">
        <v>7329</v>
      </c>
      <c r="D25604" s="22" t="str">
        <f>HYPERLINK("https://rhld.insurance.arkansas.gov/NPILookup?Npi=1518606847","1518606847")</f>
        <v>1518606847</v>
      </c>
      <c r="E25604" s="1" t="s">
        <v>13217</v>
      </c>
      <c r="F25604" s="2"/>
      <c r="G25604" s="2"/>
      <c r="H25604" s="2"/>
    </row>
    <row r="25605" spans="1:8" x14ac:dyDescent="0.25">
      <c r="A25605" s="1"/>
      <c r="B25605" s="1" t="s">
        <v>7328</v>
      </c>
      <c r="C25605" s="1" t="s">
        <v>7329</v>
      </c>
      <c r="D25605" s="22" t="str">
        <f>HYPERLINK("https://rhld.insurance.arkansas.gov/NPILookup?Npi=1518614874","1518614874")</f>
        <v>1518614874</v>
      </c>
      <c r="E25605" s="1" t="s">
        <v>27451</v>
      </c>
      <c r="F25605" s="2"/>
      <c r="G25605" s="2"/>
      <c r="H25605" s="2"/>
    </row>
    <row r="25606" spans="1:8" x14ac:dyDescent="0.25">
      <c r="A25606" s="1"/>
      <c r="B25606" s="1" t="s">
        <v>7328</v>
      </c>
      <c r="C25606" s="1" t="s">
        <v>7329</v>
      </c>
      <c r="D25606" s="22" t="str">
        <f>HYPERLINK("https://rhld.insurance.arkansas.gov/NPILookup?Npi=1518621739","1518621739")</f>
        <v>1518621739</v>
      </c>
      <c r="E25606" s="1" t="s">
        <v>27452</v>
      </c>
      <c r="F25606" s="2"/>
      <c r="G25606" s="2"/>
      <c r="H25606" s="2"/>
    </row>
    <row r="25607" spans="1:8" x14ac:dyDescent="0.25">
      <c r="A25607" s="1"/>
      <c r="B25607" s="1" t="s">
        <v>7328</v>
      </c>
      <c r="C25607" s="1" t="s">
        <v>7329</v>
      </c>
      <c r="D25607" s="22" t="str">
        <f>HYPERLINK("https://rhld.insurance.arkansas.gov/NPILookup?Npi=1518622042","1518622042")</f>
        <v>1518622042</v>
      </c>
      <c r="E25607" s="1" t="s">
        <v>7836</v>
      </c>
      <c r="F25607" s="2"/>
      <c r="G25607" s="2"/>
      <c r="H25607" s="2"/>
    </row>
    <row r="25608" spans="1:8" x14ac:dyDescent="0.25">
      <c r="A25608" s="1"/>
      <c r="B25608" s="1" t="s">
        <v>7328</v>
      </c>
      <c r="C25608" s="1" t="s">
        <v>7329</v>
      </c>
      <c r="D25608" s="22" t="str">
        <f>HYPERLINK("https://rhld.insurance.arkansas.gov/NPILookup?Npi=1518626092","1518626092")</f>
        <v>1518626092</v>
      </c>
      <c r="E25608" s="1" t="s">
        <v>27453</v>
      </c>
      <c r="F25608" s="2"/>
      <c r="G25608" s="2"/>
      <c r="H25608" s="2"/>
    </row>
    <row r="25609" spans="1:8" x14ac:dyDescent="0.25">
      <c r="A25609" s="1"/>
      <c r="B25609" s="1" t="s">
        <v>7328</v>
      </c>
      <c r="C25609" s="1" t="s">
        <v>7329</v>
      </c>
      <c r="D25609" s="22" t="str">
        <f>HYPERLINK("https://rhld.insurance.arkansas.gov/NPILookup?Npi=1518630961","1518630961")</f>
        <v>1518630961</v>
      </c>
      <c r="E25609" s="1" t="s">
        <v>13218</v>
      </c>
      <c r="F25609" s="2"/>
      <c r="G25609" s="2"/>
      <c r="H25609" s="2"/>
    </row>
    <row r="25610" spans="1:8" x14ac:dyDescent="0.25">
      <c r="A25610" s="1"/>
      <c r="B25610" s="1" t="s">
        <v>7328</v>
      </c>
      <c r="C25610" s="1" t="s">
        <v>7329</v>
      </c>
      <c r="D25610" s="22" t="str">
        <f>HYPERLINK("https://rhld.insurance.arkansas.gov/NPILookup?Npi=1518647205","1518647205")</f>
        <v>1518647205</v>
      </c>
      <c r="E25610" s="1" t="s">
        <v>6390</v>
      </c>
      <c r="F25610" s="2"/>
      <c r="G25610" s="2"/>
      <c r="H25610" s="2"/>
    </row>
    <row r="25611" spans="1:8" x14ac:dyDescent="0.25">
      <c r="A25611" s="1"/>
      <c r="B25611" s="1" t="s">
        <v>7328</v>
      </c>
      <c r="C25611" s="1" t="s">
        <v>7329</v>
      </c>
      <c r="D25611" s="22" t="str">
        <f>HYPERLINK("https://rhld.insurance.arkansas.gov/NPILookup?Npi=1518648328","1518648328")</f>
        <v>1518648328</v>
      </c>
      <c r="E25611" s="1" t="s">
        <v>7837</v>
      </c>
      <c r="F25611" s="2"/>
      <c r="G25611" s="2"/>
      <c r="H25611" s="2"/>
    </row>
    <row r="25612" spans="1:8" x14ac:dyDescent="0.25">
      <c r="A25612" s="1"/>
      <c r="B25612" s="1" t="s">
        <v>7328</v>
      </c>
      <c r="C25612" s="1" t="s">
        <v>7329</v>
      </c>
      <c r="D25612" s="22" t="str">
        <f>HYPERLINK("https://rhld.insurance.arkansas.gov/NPILookup?Npi=1518667609","1518667609")</f>
        <v>1518667609</v>
      </c>
      <c r="E25612" s="1" t="s">
        <v>5928</v>
      </c>
      <c r="F25612" s="2"/>
      <c r="G25612" s="2"/>
      <c r="H25612" s="2"/>
    </row>
    <row r="25613" spans="1:8" x14ac:dyDescent="0.25">
      <c r="A25613" s="1"/>
      <c r="B25613" s="1" t="s">
        <v>7328</v>
      </c>
      <c r="C25613" s="1" t="s">
        <v>7329</v>
      </c>
      <c r="D25613" s="22" t="str">
        <f>HYPERLINK("https://rhld.insurance.arkansas.gov/NPILookup?Npi=1518668581","1518668581")</f>
        <v>1518668581</v>
      </c>
      <c r="E25613" s="1" t="s">
        <v>13219</v>
      </c>
      <c r="F25613" s="2"/>
      <c r="G25613" s="2"/>
      <c r="H25613" s="2"/>
    </row>
    <row r="25614" spans="1:8" x14ac:dyDescent="0.25">
      <c r="A25614" s="1"/>
      <c r="B25614" s="1" t="s">
        <v>7328</v>
      </c>
      <c r="C25614" s="1" t="s">
        <v>7329</v>
      </c>
      <c r="D25614" s="22" t="str">
        <f>HYPERLINK("https://rhld.insurance.arkansas.gov/NPILookup?Npi=1518685957","1518685957")</f>
        <v>1518685957</v>
      </c>
      <c r="E25614" s="1" t="s">
        <v>7838</v>
      </c>
      <c r="F25614" s="2"/>
      <c r="G25614" s="2"/>
      <c r="H25614" s="2"/>
    </row>
    <row r="25615" spans="1:8" x14ac:dyDescent="0.25">
      <c r="A25615" s="1"/>
      <c r="B25615" s="1" t="s">
        <v>7328</v>
      </c>
      <c r="C25615" s="1" t="s">
        <v>7329</v>
      </c>
      <c r="D25615" s="22" t="str">
        <f>HYPERLINK("https://rhld.insurance.arkansas.gov/NPILookup?Npi=1518700079","1518700079")</f>
        <v>1518700079</v>
      </c>
      <c r="E25615" s="1" t="s">
        <v>27454</v>
      </c>
      <c r="F25615" s="2"/>
      <c r="G25615" s="2"/>
      <c r="H25615" s="2"/>
    </row>
    <row r="25616" spans="1:8" x14ac:dyDescent="0.25">
      <c r="A25616" s="1"/>
      <c r="B25616" s="1" t="s">
        <v>7328</v>
      </c>
      <c r="C25616" s="1" t="s">
        <v>7329</v>
      </c>
      <c r="D25616" s="22" t="str">
        <f>HYPERLINK("https://rhld.insurance.arkansas.gov/NPILookup?Npi=1518717289","1518717289")</f>
        <v>1518717289</v>
      </c>
      <c r="E25616" s="1" t="s">
        <v>27455</v>
      </c>
      <c r="F25616" s="2"/>
      <c r="G25616" s="2"/>
      <c r="H25616" s="2"/>
    </row>
    <row r="25617" spans="1:8" x14ac:dyDescent="0.25">
      <c r="A25617" s="1"/>
      <c r="B25617" s="1" t="s">
        <v>7328</v>
      </c>
      <c r="C25617" s="1" t="s">
        <v>7329</v>
      </c>
      <c r="D25617" s="22" t="str">
        <f>HYPERLINK("https://rhld.insurance.arkansas.gov/NPILookup?Npi=1518723915","1518723915")</f>
        <v>1518723915</v>
      </c>
      <c r="E25617" s="1" t="s">
        <v>22462</v>
      </c>
      <c r="F25617" s="2"/>
      <c r="G25617" s="2"/>
      <c r="H25617" s="2"/>
    </row>
    <row r="25618" spans="1:8" x14ac:dyDescent="0.25">
      <c r="A25618" s="1"/>
      <c r="B25618" s="1" t="s">
        <v>7328</v>
      </c>
      <c r="C25618" s="1" t="s">
        <v>7329</v>
      </c>
      <c r="D25618" s="22" t="str">
        <f>HYPERLINK("https://rhld.insurance.arkansas.gov/NPILookup?Npi=1518736669","1518736669")</f>
        <v>1518736669</v>
      </c>
      <c r="E25618" s="1" t="s">
        <v>27456</v>
      </c>
      <c r="F25618" s="2"/>
      <c r="G25618" s="2"/>
      <c r="H25618" s="2"/>
    </row>
    <row r="25619" spans="1:8" x14ac:dyDescent="0.25">
      <c r="A25619" s="1"/>
      <c r="B25619" s="1" t="s">
        <v>7328</v>
      </c>
      <c r="C25619" s="1" t="s">
        <v>7329</v>
      </c>
      <c r="D25619" s="22" t="str">
        <f>HYPERLINK("https://rhld.insurance.arkansas.gov/NPILookup?Npi=1518906387","1518906387")</f>
        <v>1518906387</v>
      </c>
      <c r="E25619" s="1" t="s">
        <v>2807</v>
      </c>
      <c r="F25619" s="2"/>
      <c r="G25619" s="2"/>
      <c r="H25619" s="2"/>
    </row>
    <row r="25620" spans="1:8" x14ac:dyDescent="0.25">
      <c r="A25620" s="1"/>
      <c r="B25620" s="1" t="s">
        <v>7328</v>
      </c>
      <c r="C25620" s="1" t="s">
        <v>7329</v>
      </c>
      <c r="D25620" s="22" t="str">
        <f>HYPERLINK("https://rhld.insurance.arkansas.gov/NPILookup?Npi=1518906858","1518906858")</f>
        <v>1518906858</v>
      </c>
      <c r="E25620" s="1" t="s">
        <v>13220</v>
      </c>
      <c r="F25620" s="2"/>
      <c r="G25620" s="2"/>
      <c r="H25620" s="2"/>
    </row>
    <row r="25621" spans="1:8" x14ac:dyDescent="0.25">
      <c r="A25621" s="1"/>
      <c r="B25621" s="1" t="s">
        <v>7328</v>
      </c>
      <c r="C25621" s="1" t="s">
        <v>7329</v>
      </c>
      <c r="D25621" s="22" t="str">
        <f>HYPERLINK("https://rhld.insurance.arkansas.gov/NPILookup?Npi=1518908326","1518908326")</f>
        <v>1518908326</v>
      </c>
      <c r="E25621" s="1" t="s">
        <v>7839</v>
      </c>
      <c r="F25621" s="2"/>
      <c r="G25621" s="2"/>
      <c r="H25621" s="2"/>
    </row>
    <row r="25622" spans="1:8" x14ac:dyDescent="0.25">
      <c r="A25622" s="1"/>
      <c r="B25622" s="1" t="s">
        <v>7328</v>
      </c>
      <c r="C25622" s="1" t="s">
        <v>7329</v>
      </c>
      <c r="D25622" s="22" t="str">
        <f>HYPERLINK("https://rhld.insurance.arkansas.gov/NPILookup?Npi=1518918937","1518918937")</f>
        <v>1518918937</v>
      </c>
      <c r="E25622" s="1" t="s">
        <v>27457</v>
      </c>
      <c r="F25622" s="2"/>
      <c r="G25622" s="2"/>
      <c r="H25622" s="2"/>
    </row>
    <row r="25623" spans="1:8" x14ac:dyDescent="0.25">
      <c r="A25623" s="1"/>
      <c r="B25623" s="1" t="s">
        <v>7328</v>
      </c>
      <c r="C25623" s="1" t="s">
        <v>7329</v>
      </c>
      <c r="D25623" s="22" t="str">
        <f>HYPERLINK("https://rhld.insurance.arkansas.gov/NPILookup?Npi=1518920412","1518920412")</f>
        <v>1518920412</v>
      </c>
      <c r="E25623" s="1" t="s">
        <v>1100</v>
      </c>
      <c r="F25623" s="2"/>
      <c r="G25623" s="2"/>
      <c r="H25623" s="2"/>
    </row>
    <row r="25624" spans="1:8" x14ac:dyDescent="0.25">
      <c r="A25624" s="1"/>
      <c r="B25624" s="1" t="s">
        <v>7328</v>
      </c>
      <c r="C25624" s="1" t="s">
        <v>7329</v>
      </c>
      <c r="D25624" s="22" t="str">
        <f>HYPERLINK("https://rhld.insurance.arkansas.gov/NPILookup?Npi=1518921287","1518921287")</f>
        <v>1518921287</v>
      </c>
      <c r="E25624" s="1" t="s">
        <v>27458</v>
      </c>
      <c r="F25624" s="2"/>
      <c r="G25624" s="2"/>
      <c r="H25624" s="2"/>
    </row>
    <row r="25625" spans="1:8" x14ac:dyDescent="0.25">
      <c r="A25625" s="1"/>
      <c r="B25625" s="1" t="s">
        <v>7328</v>
      </c>
      <c r="C25625" s="1" t="s">
        <v>7329</v>
      </c>
      <c r="D25625" s="22" t="str">
        <f>HYPERLINK("https://rhld.insurance.arkansas.gov/NPILookup?Npi=1518923861","1518923861")</f>
        <v>1518923861</v>
      </c>
      <c r="E25625" s="1" t="s">
        <v>111</v>
      </c>
      <c r="F25625" s="2"/>
      <c r="G25625" s="2"/>
      <c r="H25625" s="2"/>
    </row>
    <row r="25626" spans="1:8" x14ac:dyDescent="0.25">
      <c r="A25626" s="1"/>
      <c r="B25626" s="1" t="s">
        <v>7328</v>
      </c>
      <c r="C25626" s="1" t="s">
        <v>7329</v>
      </c>
      <c r="D25626" s="22" t="str">
        <f>HYPERLINK("https://rhld.insurance.arkansas.gov/NPILookup?Npi=1518923903","1518923903")</f>
        <v>1518923903</v>
      </c>
      <c r="E25626" s="1" t="s">
        <v>13221</v>
      </c>
      <c r="F25626" s="2"/>
      <c r="G25626" s="2"/>
      <c r="H25626" s="2"/>
    </row>
    <row r="25627" spans="1:8" x14ac:dyDescent="0.25">
      <c r="A25627" s="1"/>
      <c r="B25627" s="1" t="s">
        <v>7328</v>
      </c>
      <c r="C25627" s="1" t="s">
        <v>7329</v>
      </c>
      <c r="D25627" s="22" t="str">
        <f>HYPERLINK("https://rhld.insurance.arkansas.gov/NPILookup?Npi=1518928027","1518928027")</f>
        <v>1518928027</v>
      </c>
      <c r="E25627" s="1" t="s">
        <v>2877</v>
      </c>
      <c r="F25627" s="2"/>
      <c r="G25627" s="2"/>
      <c r="H25627" s="2"/>
    </row>
    <row r="25628" spans="1:8" x14ac:dyDescent="0.25">
      <c r="A25628" s="1"/>
      <c r="B25628" s="1" t="s">
        <v>7328</v>
      </c>
      <c r="C25628" s="1" t="s">
        <v>7329</v>
      </c>
      <c r="D25628" s="22" t="str">
        <f>HYPERLINK("https://rhld.insurance.arkansas.gov/NPILookup?Npi=1518934314","1518934314")</f>
        <v>1518934314</v>
      </c>
      <c r="E25628" s="1" t="s">
        <v>13222</v>
      </c>
      <c r="F25628" s="2"/>
      <c r="G25628" s="2"/>
      <c r="H25628" s="2"/>
    </row>
    <row r="25629" spans="1:8" x14ac:dyDescent="0.25">
      <c r="A25629" s="1"/>
      <c r="B25629" s="1" t="s">
        <v>7328</v>
      </c>
      <c r="C25629" s="1" t="s">
        <v>7329</v>
      </c>
      <c r="D25629" s="22" t="str">
        <f>HYPERLINK("https://rhld.insurance.arkansas.gov/NPILookup?Npi=1518949429","1518949429")</f>
        <v>1518949429</v>
      </c>
      <c r="E25629" s="1" t="s">
        <v>10348</v>
      </c>
      <c r="F25629" s="2"/>
      <c r="G25629" s="2"/>
      <c r="H25629" s="2"/>
    </row>
    <row r="25630" spans="1:8" x14ac:dyDescent="0.25">
      <c r="A25630" s="1"/>
      <c r="B25630" s="1" t="s">
        <v>7328</v>
      </c>
      <c r="C25630" s="1" t="s">
        <v>7329</v>
      </c>
      <c r="D25630" s="22" t="str">
        <f>HYPERLINK("https://rhld.insurance.arkansas.gov/NPILookup?Npi=1518951664","1518951664")</f>
        <v>1518951664</v>
      </c>
      <c r="E25630" s="1" t="s">
        <v>27459</v>
      </c>
      <c r="F25630" s="2"/>
      <c r="G25630" s="2"/>
      <c r="H25630" s="2"/>
    </row>
    <row r="25631" spans="1:8" x14ac:dyDescent="0.25">
      <c r="A25631" s="1"/>
      <c r="B25631" s="1" t="s">
        <v>7328</v>
      </c>
      <c r="C25631" s="1" t="s">
        <v>7329</v>
      </c>
      <c r="D25631" s="22" t="str">
        <f>HYPERLINK("https://rhld.insurance.arkansas.gov/NPILookup?Npi=1518961275","1518961275")</f>
        <v>1518961275</v>
      </c>
      <c r="E25631" s="1" t="s">
        <v>27460</v>
      </c>
      <c r="F25631" s="2"/>
      <c r="G25631" s="2"/>
      <c r="H25631" s="2"/>
    </row>
    <row r="25632" spans="1:8" x14ac:dyDescent="0.25">
      <c r="A25632" s="1"/>
      <c r="B25632" s="1" t="s">
        <v>7328</v>
      </c>
      <c r="C25632" s="1" t="s">
        <v>7329</v>
      </c>
      <c r="D25632" s="22" t="str">
        <f>HYPERLINK("https://rhld.insurance.arkansas.gov/NPILookup?Npi=1518962968","1518962968")</f>
        <v>1518962968</v>
      </c>
      <c r="E25632" s="1" t="s">
        <v>27461</v>
      </c>
      <c r="F25632" s="2"/>
      <c r="G25632" s="2"/>
      <c r="H25632" s="2"/>
    </row>
    <row r="25633" spans="1:8" x14ac:dyDescent="0.25">
      <c r="A25633" s="1"/>
      <c r="B25633" s="1" t="s">
        <v>7328</v>
      </c>
      <c r="C25633" s="1" t="s">
        <v>7329</v>
      </c>
      <c r="D25633" s="22" t="str">
        <f>HYPERLINK("https://rhld.insurance.arkansas.gov/NPILookup?Npi=1518965128","1518965128")</f>
        <v>1518965128</v>
      </c>
      <c r="E25633" s="1" t="s">
        <v>13223</v>
      </c>
      <c r="F25633" s="2"/>
      <c r="G25633" s="2"/>
      <c r="H25633" s="2"/>
    </row>
    <row r="25634" spans="1:8" x14ac:dyDescent="0.25">
      <c r="A25634" s="1"/>
      <c r="B25634" s="1" t="s">
        <v>7328</v>
      </c>
      <c r="C25634" s="1" t="s">
        <v>7329</v>
      </c>
      <c r="D25634" s="22" t="str">
        <f>HYPERLINK("https://rhld.insurance.arkansas.gov/NPILookup?Npi=1518967181","1518967181")</f>
        <v>1518967181</v>
      </c>
      <c r="E25634" s="1" t="s">
        <v>13224</v>
      </c>
      <c r="F25634" s="2"/>
      <c r="G25634" s="2"/>
      <c r="H25634" s="2"/>
    </row>
    <row r="25635" spans="1:8" x14ac:dyDescent="0.25">
      <c r="A25635" s="1"/>
      <c r="B25635" s="1" t="s">
        <v>7328</v>
      </c>
      <c r="C25635" s="1" t="s">
        <v>7329</v>
      </c>
      <c r="D25635" s="22" t="str">
        <f>HYPERLINK("https://rhld.insurance.arkansas.gov/NPILookup?Npi=1518982305","1518982305")</f>
        <v>1518982305</v>
      </c>
      <c r="E25635" s="1" t="s">
        <v>13225</v>
      </c>
      <c r="F25635" s="2"/>
      <c r="G25635" s="2"/>
      <c r="H25635" s="2"/>
    </row>
    <row r="25636" spans="1:8" x14ac:dyDescent="0.25">
      <c r="A25636" s="1"/>
      <c r="B25636" s="1" t="s">
        <v>7328</v>
      </c>
      <c r="C25636" s="1" t="s">
        <v>7329</v>
      </c>
      <c r="D25636" s="22" t="str">
        <f>HYPERLINK("https://rhld.insurance.arkansas.gov/NPILookup?Npi=1528008703","1528008703")</f>
        <v>1528008703</v>
      </c>
      <c r="E25636" s="1" t="s">
        <v>7840</v>
      </c>
      <c r="F25636" s="2"/>
      <c r="G25636" s="2"/>
      <c r="H25636" s="2"/>
    </row>
    <row r="25637" spans="1:8" x14ac:dyDescent="0.25">
      <c r="A25637" s="1"/>
      <c r="B25637" s="1" t="s">
        <v>7328</v>
      </c>
      <c r="C25637" s="1" t="s">
        <v>7329</v>
      </c>
      <c r="D25637" s="22" t="str">
        <f>HYPERLINK("https://rhld.insurance.arkansas.gov/NPILookup?Npi=1528013851","1528013851")</f>
        <v>1528013851</v>
      </c>
      <c r="E25637" s="1" t="s">
        <v>17614</v>
      </c>
      <c r="F25637" s="2"/>
      <c r="G25637" s="2"/>
      <c r="H25637" s="2"/>
    </row>
    <row r="25638" spans="1:8" x14ac:dyDescent="0.25">
      <c r="A25638" s="1"/>
      <c r="B25638" s="1" t="s">
        <v>7328</v>
      </c>
      <c r="C25638" s="1" t="s">
        <v>7329</v>
      </c>
      <c r="D25638" s="22" t="str">
        <f>HYPERLINK("https://rhld.insurance.arkansas.gov/NPILookup?Npi=1528019098","1528019098")</f>
        <v>1528019098</v>
      </c>
      <c r="E25638" s="1" t="s">
        <v>27462</v>
      </c>
      <c r="F25638" s="2"/>
      <c r="G25638" s="2"/>
      <c r="H25638" s="2"/>
    </row>
    <row r="25639" spans="1:8" x14ac:dyDescent="0.25">
      <c r="A25639" s="1"/>
      <c r="B25639" s="1" t="s">
        <v>7328</v>
      </c>
      <c r="C25639" s="1" t="s">
        <v>7329</v>
      </c>
      <c r="D25639" s="22" t="str">
        <f>HYPERLINK("https://rhld.insurance.arkansas.gov/NPILookup?Npi=1528021649","1528021649")</f>
        <v>1528021649</v>
      </c>
      <c r="E25639" s="1" t="s">
        <v>17615</v>
      </c>
      <c r="F25639" s="2"/>
      <c r="G25639" s="2"/>
      <c r="H25639" s="2"/>
    </row>
    <row r="25640" spans="1:8" x14ac:dyDescent="0.25">
      <c r="A25640" s="1"/>
      <c r="B25640" s="1" t="s">
        <v>7328</v>
      </c>
      <c r="C25640" s="1" t="s">
        <v>7329</v>
      </c>
      <c r="D25640" s="22" t="str">
        <f>HYPERLINK("https://rhld.insurance.arkansas.gov/NPILookup?Npi=1528022167","1528022167")</f>
        <v>1528022167</v>
      </c>
      <c r="E25640" s="1" t="s">
        <v>13226</v>
      </c>
      <c r="F25640" s="2"/>
      <c r="G25640" s="2"/>
      <c r="H25640" s="2"/>
    </row>
    <row r="25641" spans="1:8" x14ac:dyDescent="0.25">
      <c r="A25641" s="1"/>
      <c r="B25641" s="1" t="s">
        <v>7328</v>
      </c>
      <c r="C25641" s="1" t="s">
        <v>7329</v>
      </c>
      <c r="D25641" s="22" t="str">
        <f>HYPERLINK("https://rhld.insurance.arkansas.gov/NPILookup?Npi=1528024866","1528024866")</f>
        <v>1528024866</v>
      </c>
      <c r="E25641" s="1" t="s">
        <v>27463</v>
      </c>
      <c r="F25641" s="2"/>
      <c r="G25641" s="2"/>
      <c r="H25641" s="2"/>
    </row>
    <row r="25642" spans="1:8" x14ac:dyDescent="0.25">
      <c r="A25642" s="1"/>
      <c r="B25642" s="1" t="s">
        <v>7328</v>
      </c>
      <c r="C25642" s="1" t="s">
        <v>7329</v>
      </c>
      <c r="D25642" s="22" t="str">
        <f>HYPERLINK("https://rhld.insurance.arkansas.gov/NPILookup?Npi=1528025038","1528025038")</f>
        <v>1528025038</v>
      </c>
      <c r="E25642" s="1" t="s">
        <v>2878</v>
      </c>
      <c r="F25642" s="2"/>
      <c r="G25642" s="2"/>
      <c r="H25642" s="2"/>
    </row>
    <row r="25643" spans="1:8" x14ac:dyDescent="0.25">
      <c r="A25643" s="1"/>
      <c r="B25643" s="1" t="s">
        <v>7328</v>
      </c>
      <c r="C25643" s="1" t="s">
        <v>7329</v>
      </c>
      <c r="D25643" s="22" t="str">
        <f>HYPERLINK("https://rhld.insurance.arkansas.gov/NPILookup?Npi=1528025525","1528025525")</f>
        <v>1528025525</v>
      </c>
      <c r="E25643" s="1" t="s">
        <v>3147</v>
      </c>
      <c r="F25643" s="2"/>
      <c r="G25643" s="2"/>
      <c r="H25643" s="2"/>
    </row>
    <row r="25644" spans="1:8" x14ac:dyDescent="0.25">
      <c r="A25644" s="1"/>
      <c r="B25644" s="1" t="s">
        <v>7328</v>
      </c>
      <c r="C25644" s="1" t="s">
        <v>7329</v>
      </c>
      <c r="D25644" s="22" t="str">
        <f>HYPERLINK("https://rhld.insurance.arkansas.gov/NPILookup?Npi=1528031655","1528031655")</f>
        <v>1528031655</v>
      </c>
      <c r="E25644" s="1" t="s">
        <v>7909</v>
      </c>
      <c r="F25644" s="2"/>
      <c r="G25644" s="2"/>
      <c r="H25644" s="2"/>
    </row>
    <row r="25645" spans="1:8" x14ac:dyDescent="0.25">
      <c r="A25645" s="1"/>
      <c r="B25645" s="1" t="s">
        <v>7328</v>
      </c>
      <c r="C25645" s="1" t="s">
        <v>7329</v>
      </c>
      <c r="D25645" s="22" t="str">
        <f>HYPERLINK("https://rhld.insurance.arkansas.gov/NPILookup?Npi=1528039443","1528039443")</f>
        <v>1528039443</v>
      </c>
      <c r="E25645" s="1" t="s">
        <v>2879</v>
      </c>
      <c r="F25645" s="2"/>
      <c r="G25645" s="2"/>
      <c r="H25645" s="2"/>
    </row>
    <row r="25646" spans="1:8" x14ac:dyDescent="0.25">
      <c r="A25646" s="1"/>
      <c r="B25646" s="1" t="s">
        <v>7328</v>
      </c>
      <c r="C25646" s="1" t="s">
        <v>7329</v>
      </c>
      <c r="D25646" s="22" t="str">
        <f>HYPERLINK("https://rhld.insurance.arkansas.gov/NPILookup?Npi=1528052784","1528052784")</f>
        <v>1528052784</v>
      </c>
      <c r="E25646" s="1" t="s">
        <v>13227</v>
      </c>
      <c r="F25646" s="2"/>
      <c r="G25646" s="2"/>
      <c r="H25646" s="2"/>
    </row>
    <row r="25647" spans="1:8" x14ac:dyDescent="0.25">
      <c r="A25647" s="1"/>
      <c r="B25647" s="1" t="s">
        <v>7328</v>
      </c>
      <c r="C25647" s="1" t="s">
        <v>7329</v>
      </c>
      <c r="D25647" s="22" t="str">
        <f>HYPERLINK("https://rhld.insurance.arkansas.gov/NPILookup?Npi=1528052800","1528052800")</f>
        <v>1528052800</v>
      </c>
      <c r="E25647" s="1" t="s">
        <v>2031</v>
      </c>
      <c r="F25647" s="2"/>
      <c r="G25647" s="2"/>
      <c r="H25647" s="2"/>
    </row>
    <row r="25648" spans="1:8" x14ac:dyDescent="0.25">
      <c r="A25648" s="1"/>
      <c r="B25648" s="1" t="s">
        <v>7328</v>
      </c>
      <c r="C25648" s="1" t="s">
        <v>7329</v>
      </c>
      <c r="D25648" s="22" t="str">
        <f>HYPERLINK("https://rhld.insurance.arkansas.gov/NPILookup?Npi=1528055381","1528055381")</f>
        <v>1528055381</v>
      </c>
      <c r="E25648" s="1" t="s">
        <v>7841</v>
      </c>
      <c r="F25648" s="2"/>
      <c r="G25648" s="2"/>
      <c r="H25648" s="2"/>
    </row>
    <row r="25649" spans="1:8" x14ac:dyDescent="0.25">
      <c r="A25649" s="1"/>
      <c r="B25649" s="1" t="s">
        <v>7328</v>
      </c>
      <c r="C25649" s="1" t="s">
        <v>7329</v>
      </c>
      <c r="D25649" s="22" t="str">
        <f>HYPERLINK("https://rhld.insurance.arkansas.gov/NPILookup?Npi=1528055738","1528055738")</f>
        <v>1528055738</v>
      </c>
      <c r="E25649" s="1" t="s">
        <v>13228</v>
      </c>
      <c r="F25649" s="2"/>
      <c r="G25649" s="2"/>
      <c r="H25649" s="2"/>
    </row>
    <row r="25650" spans="1:8" x14ac:dyDescent="0.25">
      <c r="A25650" s="1"/>
      <c r="B25650" s="1" t="s">
        <v>7328</v>
      </c>
      <c r="C25650" s="1" t="s">
        <v>7329</v>
      </c>
      <c r="D25650" s="22" t="str">
        <f>HYPERLINK("https://rhld.insurance.arkansas.gov/NPILookup?Npi=1528058096","1528058096")</f>
        <v>1528058096</v>
      </c>
      <c r="E25650" s="1" t="s">
        <v>13229</v>
      </c>
      <c r="F25650" s="2"/>
      <c r="G25650" s="2"/>
      <c r="H25650" s="2"/>
    </row>
    <row r="25651" spans="1:8" x14ac:dyDescent="0.25">
      <c r="A25651" s="1"/>
      <c r="B25651" s="1" t="s">
        <v>7328</v>
      </c>
      <c r="C25651" s="1" t="s">
        <v>7329</v>
      </c>
      <c r="D25651" s="22" t="str">
        <f>HYPERLINK("https://rhld.insurance.arkansas.gov/NPILookup?Npi=1528082328","1528082328")</f>
        <v>1528082328</v>
      </c>
      <c r="E25651" s="1" t="s">
        <v>27464</v>
      </c>
      <c r="F25651" s="2"/>
      <c r="G25651" s="2"/>
      <c r="H25651" s="2"/>
    </row>
    <row r="25652" spans="1:8" x14ac:dyDescent="0.25">
      <c r="A25652" s="1"/>
      <c r="B25652" s="1" t="s">
        <v>7328</v>
      </c>
      <c r="C25652" s="1" t="s">
        <v>7329</v>
      </c>
      <c r="D25652" s="22" t="str">
        <f>HYPERLINK("https://rhld.insurance.arkansas.gov/NPILookup?Npi=1528088846","1528088846")</f>
        <v>1528088846</v>
      </c>
      <c r="E25652" s="1" t="s">
        <v>27465</v>
      </c>
      <c r="F25652" s="2"/>
      <c r="G25652" s="2"/>
      <c r="H25652" s="2"/>
    </row>
    <row r="25653" spans="1:8" x14ac:dyDescent="0.25">
      <c r="A25653" s="1"/>
      <c r="B25653" s="1" t="s">
        <v>7328</v>
      </c>
      <c r="C25653" s="1" t="s">
        <v>7329</v>
      </c>
      <c r="D25653" s="22" t="str">
        <f>HYPERLINK("https://rhld.insurance.arkansas.gov/NPILookup?Npi=1528094695","1528094695")</f>
        <v>1528094695</v>
      </c>
      <c r="E25653" s="1" t="s">
        <v>27466</v>
      </c>
      <c r="F25653" s="2"/>
      <c r="G25653" s="2"/>
      <c r="H25653" s="2"/>
    </row>
    <row r="25654" spans="1:8" x14ac:dyDescent="0.25">
      <c r="A25654" s="1"/>
      <c r="B25654" s="1" t="s">
        <v>7328</v>
      </c>
      <c r="C25654" s="1" t="s">
        <v>7329</v>
      </c>
      <c r="D25654" s="22" t="str">
        <f>HYPERLINK("https://rhld.insurance.arkansas.gov/NPILookup?Npi=1528120466","1528120466")</f>
        <v>1528120466</v>
      </c>
      <c r="E25654" s="1" t="s">
        <v>27467</v>
      </c>
      <c r="F25654" s="2"/>
      <c r="G25654" s="2"/>
      <c r="H25654" s="2"/>
    </row>
    <row r="25655" spans="1:8" x14ac:dyDescent="0.25">
      <c r="A25655" s="1"/>
      <c r="B25655" s="1" t="s">
        <v>7328</v>
      </c>
      <c r="C25655" s="1" t="s">
        <v>7329</v>
      </c>
      <c r="D25655" s="22" t="str">
        <f>HYPERLINK("https://rhld.insurance.arkansas.gov/NPILookup?Npi=1528145695","1528145695")</f>
        <v>1528145695</v>
      </c>
      <c r="E25655" s="1" t="s">
        <v>3187</v>
      </c>
      <c r="F25655" s="2"/>
      <c r="G25655" s="2"/>
      <c r="H25655" s="2"/>
    </row>
    <row r="25656" spans="1:8" x14ac:dyDescent="0.25">
      <c r="A25656" s="1"/>
      <c r="B25656" s="1" t="s">
        <v>7328</v>
      </c>
      <c r="C25656" s="1" t="s">
        <v>7329</v>
      </c>
      <c r="D25656" s="22" t="str">
        <f>HYPERLINK("https://rhld.insurance.arkansas.gov/NPILookup?Npi=1528172095","1528172095")</f>
        <v>1528172095</v>
      </c>
      <c r="E25656" s="1" t="s">
        <v>27468</v>
      </c>
      <c r="F25656" s="2"/>
      <c r="G25656" s="2"/>
      <c r="H25656" s="2"/>
    </row>
    <row r="25657" spans="1:8" x14ac:dyDescent="0.25">
      <c r="A25657" s="1"/>
      <c r="B25657" s="1" t="s">
        <v>7328</v>
      </c>
      <c r="C25657" s="1" t="s">
        <v>7329</v>
      </c>
      <c r="D25657" s="22" t="str">
        <f>HYPERLINK("https://rhld.insurance.arkansas.gov/NPILookup?Npi=1528200417","1528200417")</f>
        <v>1528200417</v>
      </c>
      <c r="E25657" s="1" t="s">
        <v>27469</v>
      </c>
      <c r="F25657" s="2"/>
      <c r="G25657" s="2"/>
      <c r="H25657" s="2"/>
    </row>
    <row r="25658" spans="1:8" x14ac:dyDescent="0.25">
      <c r="A25658" s="1"/>
      <c r="B25658" s="1" t="s">
        <v>7328</v>
      </c>
      <c r="C25658" s="1" t="s">
        <v>7329</v>
      </c>
      <c r="D25658" s="22" t="str">
        <f>HYPERLINK("https://rhld.insurance.arkansas.gov/NPILookup?Npi=1528204989","1528204989")</f>
        <v>1528204989</v>
      </c>
      <c r="E25658" s="1" t="s">
        <v>32267</v>
      </c>
      <c r="F25658" s="2"/>
      <c r="G25658" s="2"/>
      <c r="H25658" s="2"/>
    </row>
    <row r="25659" spans="1:8" x14ac:dyDescent="0.25">
      <c r="A25659" s="1"/>
      <c r="B25659" s="1" t="s">
        <v>7328</v>
      </c>
      <c r="C25659" s="1" t="s">
        <v>7329</v>
      </c>
      <c r="D25659" s="22" t="str">
        <f>HYPERLINK("https://rhld.insurance.arkansas.gov/NPILookup?Npi=1528225844","1528225844")</f>
        <v>1528225844</v>
      </c>
      <c r="E25659" s="1" t="s">
        <v>27470</v>
      </c>
      <c r="F25659" s="2"/>
      <c r="G25659" s="2"/>
      <c r="H25659" s="2"/>
    </row>
    <row r="25660" spans="1:8" x14ac:dyDescent="0.25">
      <c r="A25660" s="1"/>
      <c r="B25660" s="1" t="s">
        <v>7328</v>
      </c>
      <c r="C25660" s="1" t="s">
        <v>7329</v>
      </c>
      <c r="D25660" s="22" t="str">
        <f>HYPERLINK("https://rhld.insurance.arkansas.gov/NPILookup?Npi=1528239464","1528239464")</f>
        <v>1528239464</v>
      </c>
      <c r="E25660" s="1" t="s">
        <v>181</v>
      </c>
      <c r="F25660" s="2"/>
      <c r="G25660" s="2"/>
      <c r="H25660" s="2"/>
    </row>
    <row r="25661" spans="1:8" x14ac:dyDescent="0.25">
      <c r="A25661" s="1"/>
      <c r="B25661" s="1" t="s">
        <v>7328</v>
      </c>
      <c r="C25661" s="1" t="s">
        <v>7329</v>
      </c>
      <c r="D25661" s="22" t="str">
        <f>HYPERLINK("https://rhld.insurance.arkansas.gov/NPILookup?Npi=1528244076","1528244076")</f>
        <v>1528244076</v>
      </c>
      <c r="E25661" s="1" t="s">
        <v>7842</v>
      </c>
      <c r="F25661" s="2"/>
      <c r="G25661" s="2"/>
      <c r="H25661" s="2"/>
    </row>
    <row r="25662" spans="1:8" x14ac:dyDescent="0.25">
      <c r="A25662" s="1"/>
      <c r="B25662" s="1" t="s">
        <v>7328</v>
      </c>
      <c r="C25662" s="1" t="s">
        <v>7329</v>
      </c>
      <c r="D25662" s="22" t="str">
        <f>HYPERLINK("https://rhld.insurance.arkansas.gov/NPILookup?Npi=1528257003","1528257003")</f>
        <v>1528257003</v>
      </c>
      <c r="E25662" s="1" t="s">
        <v>2880</v>
      </c>
      <c r="F25662" s="2"/>
      <c r="G25662" s="2"/>
      <c r="H25662" s="2"/>
    </row>
    <row r="25663" spans="1:8" x14ac:dyDescent="0.25">
      <c r="A25663" s="1"/>
      <c r="B25663" s="1" t="s">
        <v>7328</v>
      </c>
      <c r="C25663" s="1" t="s">
        <v>7329</v>
      </c>
      <c r="D25663" s="22" t="str">
        <f>HYPERLINK("https://rhld.insurance.arkansas.gov/NPILookup?Npi=1528258514","1528258514")</f>
        <v>1528258514</v>
      </c>
      <c r="E25663" s="1" t="s">
        <v>27471</v>
      </c>
      <c r="F25663" s="2"/>
      <c r="G25663" s="2"/>
      <c r="H25663" s="2"/>
    </row>
    <row r="25664" spans="1:8" x14ac:dyDescent="0.25">
      <c r="A25664" s="1"/>
      <c r="B25664" s="1" t="s">
        <v>7328</v>
      </c>
      <c r="C25664" s="1" t="s">
        <v>7329</v>
      </c>
      <c r="D25664" s="22" t="str">
        <f>HYPERLINK("https://rhld.insurance.arkansas.gov/NPILookup?Npi=1528261617","1528261617")</f>
        <v>1528261617</v>
      </c>
      <c r="E25664" s="1" t="s">
        <v>2881</v>
      </c>
      <c r="F25664" s="2"/>
      <c r="G25664" s="2"/>
      <c r="H25664" s="2"/>
    </row>
    <row r="25665" spans="1:8" x14ac:dyDescent="0.25">
      <c r="A25665" s="1"/>
      <c r="B25665" s="1" t="s">
        <v>7328</v>
      </c>
      <c r="C25665" s="1" t="s">
        <v>7329</v>
      </c>
      <c r="D25665" s="22" t="str">
        <f>HYPERLINK("https://rhld.insurance.arkansas.gov/NPILookup?Npi=1528294667","1528294667")</f>
        <v>1528294667</v>
      </c>
      <c r="E25665" s="1" t="s">
        <v>13230</v>
      </c>
      <c r="F25665" s="2"/>
      <c r="G25665" s="2"/>
      <c r="H25665" s="2"/>
    </row>
    <row r="25666" spans="1:8" x14ac:dyDescent="0.25">
      <c r="A25666" s="1"/>
      <c r="B25666" s="1" t="s">
        <v>7328</v>
      </c>
      <c r="C25666" s="1" t="s">
        <v>7329</v>
      </c>
      <c r="D25666" s="22" t="str">
        <f>HYPERLINK("https://rhld.insurance.arkansas.gov/NPILookup?Npi=1528307493","1528307493")</f>
        <v>1528307493</v>
      </c>
      <c r="E25666" s="1" t="s">
        <v>7843</v>
      </c>
      <c r="F25666" s="2"/>
      <c r="G25666" s="2"/>
      <c r="H25666" s="2"/>
    </row>
    <row r="25667" spans="1:8" x14ac:dyDescent="0.25">
      <c r="A25667" s="1"/>
      <c r="B25667" s="1" t="s">
        <v>7328</v>
      </c>
      <c r="C25667" s="1" t="s">
        <v>7329</v>
      </c>
      <c r="D25667" s="22" t="str">
        <f>HYPERLINK("https://rhld.insurance.arkansas.gov/NPILookup?Npi=1528309986","1528309986")</f>
        <v>1528309986</v>
      </c>
      <c r="E25667" s="1" t="s">
        <v>27472</v>
      </c>
      <c r="F25667" s="2"/>
      <c r="G25667" s="2"/>
      <c r="H25667" s="2"/>
    </row>
    <row r="25668" spans="1:8" x14ac:dyDescent="0.25">
      <c r="A25668" s="1"/>
      <c r="B25668" s="1" t="s">
        <v>7328</v>
      </c>
      <c r="C25668" s="1" t="s">
        <v>7329</v>
      </c>
      <c r="D25668" s="22" t="str">
        <f>HYPERLINK("https://rhld.insurance.arkansas.gov/NPILookup?Npi=1528325529","1528325529")</f>
        <v>1528325529</v>
      </c>
      <c r="E25668" s="1" t="s">
        <v>10354</v>
      </c>
      <c r="F25668" s="2"/>
      <c r="G25668" s="2"/>
      <c r="H25668" s="2"/>
    </row>
    <row r="25669" spans="1:8" x14ac:dyDescent="0.25">
      <c r="A25669" s="1"/>
      <c r="B25669" s="1" t="s">
        <v>7328</v>
      </c>
      <c r="C25669" s="1" t="s">
        <v>7329</v>
      </c>
      <c r="D25669" s="22" t="str">
        <f>HYPERLINK("https://rhld.insurance.arkansas.gov/NPILookup?Npi=1528332319","1528332319")</f>
        <v>1528332319</v>
      </c>
      <c r="E25669" s="1" t="s">
        <v>27473</v>
      </c>
      <c r="F25669" s="2"/>
      <c r="G25669" s="2"/>
      <c r="H25669" s="2"/>
    </row>
    <row r="25670" spans="1:8" x14ac:dyDescent="0.25">
      <c r="A25670" s="1"/>
      <c r="B25670" s="1" t="s">
        <v>7328</v>
      </c>
      <c r="C25670" s="1" t="s">
        <v>7329</v>
      </c>
      <c r="D25670" s="22" t="str">
        <f>HYPERLINK("https://rhld.insurance.arkansas.gov/NPILookup?Npi=1528350006","1528350006")</f>
        <v>1528350006</v>
      </c>
      <c r="E25670" s="1" t="s">
        <v>13231</v>
      </c>
      <c r="F25670" s="2"/>
      <c r="G25670" s="2"/>
      <c r="H25670" s="2"/>
    </row>
    <row r="25671" spans="1:8" x14ac:dyDescent="0.25">
      <c r="A25671" s="1"/>
      <c r="B25671" s="1" t="s">
        <v>7328</v>
      </c>
      <c r="C25671" s="1" t="s">
        <v>7329</v>
      </c>
      <c r="D25671" s="22" t="str">
        <f>HYPERLINK("https://rhld.insurance.arkansas.gov/NPILookup?Npi=1528363454","1528363454")</f>
        <v>1528363454</v>
      </c>
      <c r="E25671" s="1" t="s">
        <v>22481</v>
      </c>
      <c r="F25671" s="2"/>
      <c r="G25671" s="2"/>
      <c r="H25671" s="2"/>
    </row>
    <row r="25672" spans="1:8" x14ac:dyDescent="0.25">
      <c r="A25672" s="1"/>
      <c r="B25672" s="1" t="s">
        <v>7328</v>
      </c>
      <c r="C25672" s="1" t="s">
        <v>7329</v>
      </c>
      <c r="D25672" s="22" t="str">
        <f>HYPERLINK("https://rhld.insurance.arkansas.gov/NPILookup?Npi=1528379526","1528379526")</f>
        <v>1528379526</v>
      </c>
      <c r="E25672" s="1" t="s">
        <v>27474</v>
      </c>
      <c r="F25672" s="2"/>
      <c r="G25672" s="2"/>
      <c r="H25672" s="2"/>
    </row>
    <row r="25673" spans="1:8" x14ac:dyDescent="0.25">
      <c r="A25673" s="1"/>
      <c r="B25673" s="1" t="s">
        <v>7328</v>
      </c>
      <c r="C25673" s="1" t="s">
        <v>7329</v>
      </c>
      <c r="D25673" s="22" t="str">
        <f>HYPERLINK("https://rhld.insurance.arkansas.gov/NPILookup?Npi=1528386547","1528386547")</f>
        <v>1528386547</v>
      </c>
      <c r="E25673" s="1" t="s">
        <v>27475</v>
      </c>
      <c r="F25673" s="2"/>
      <c r="G25673" s="2"/>
      <c r="H25673" s="2"/>
    </row>
    <row r="25674" spans="1:8" x14ac:dyDescent="0.25">
      <c r="A25674" s="1"/>
      <c r="B25674" s="1" t="s">
        <v>7328</v>
      </c>
      <c r="C25674" s="1" t="s">
        <v>7329</v>
      </c>
      <c r="D25674" s="22" t="str">
        <f>HYPERLINK("https://rhld.insurance.arkansas.gov/NPILookup?Npi=1528409992","1528409992")</f>
        <v>1528409992</v>
      </c>
      <c r="E25674" s="1" t="s">
        <v>27476</v>
      </c>
      <c r="F25674" s="2"/>
      <c r="G25674" s="2"/>
      <c r="H25674" s="2"/>
    </row>
    <row r="25675" spans="1:8" x14ac:dyDescent="0.25">
      <c r="A25675" s="1"/>
      <c r="B25675" s="1" t="s">
        <v>7328</v>
      </c>
      <c r="C25675" s="1" t="s">
        <v>7329</v>
      </c>
      <c r="D25675" s="22" t="str">
        <f>HYPERLINK("https://rhld.insurance.arkansas.gov/NPILookup?Npi=1528415999","1528415999")</f>
        <v>1528415999</v>
      </c>
      <c r="E25675" s="1" t="s">
        <v>17621</v>
      </c>
      <c r="F25675" s="2"/>
      <c r="G25675" s="2"/>
      <c r="H25675" s="2"/>
    </row>
    <row r="25676" spans="1:8" x14ac:dyDescent="0.25">
      <c r="A25676" s="1"/>
      <c r="B25676" s="1" t="s">
        <v>7328</v>
      </c>
      <c r="C25676" s="1" t="s">
        <v>7329</v>
      </c>
      <c r="D25676" s="22" t="str">
        <f>HYPERLINK("https://rhld.insurance.arkansas.gov/NPILookup?Npi=1528423563","1528423563")</f>
        <v>1528423563</v>
      </c>
      <c r="E25676" s="1" t="s">
        <v>27477</v>
      </c>
      <c r="F25676" s="2"/>
      <c r="G25676" s="2"/>
      <c r="H25676" s="2"/>
    </row>
    <row r="25677" spans="1:8" x14ac:dyDescent="0.25">
      <c r="A25677" s="1"/>
      <c r="B25677" s="1" t="s">
        <v>7328</v>
      </c>
      <c r="C25677" s="1" t="s">
        <v>7329</v>
      </c>
      <c r="D25677" s="22" t="str">
        <f>HYPERLINK("https://rhld.insurance.arkansas.gov/NPILookup?Npi=1528440922","1528440922")</f>
        <v>1528440922</v>
      </c>
      <c r="E25677" s="1" t="s">
        <v>20749</v>
      </c>
      <c r="F25677" s="2"/>
      <c r="G25677" s="2"/>
      <c r="H25677" s="2"/>
    </row>
    <row r="25678" spans="1:8" x14ac:dyDescent="0.25">
      <c r="A25678" s="1"/>
      <c r="B25678" s="1" t="s">
        <v>7328</v>
      </c>
      <c r="C25678" s="1" t="s">
        <v>7329</v>
      </c>
      <c r="D25678" s="22" t="str">
        <f>HYPERLINK("https://rhld.insurance.arkansas.gov/NPILookup?Npi=1528446283","1528446283")</f>
        <v>1528446283</v>
      </c>
      <c r="E25678" s="1" t="s">
        <v>10355</v>
      </c>
      <c r="F25678" s="2"/>
      <c r="G25678" s="2"/>
      <c r="H25678" s="2"/>
    </row>
    <row r="25679" spans="1:8" x14ac:dyDescent="0.25">
      <c r="A25679" s="1"/>
      <c r="B25679" s="1" t="s">
        <v>7328</v>
      </c>
      <c r="C25679" s="1" t="s">
        <v>7329</v>
      </c>
      <c r="D25679" s="22" t="str">
        <f>HYPERLINK("https://rhld.insurance.arkansas.gov/NPILookup?Npi=1528459799","1528459799")</f>
        <v>1528459799</v>
      </c>
      <c r="E25679" s="1" t="s">
        <v>182</v>
      </c>
      <c r="F25679" s="2"/>
      <c r="G25679" s="2"/>
      <c r="H25679" s="2"/>
    </row>
    <row r="25680" spans="1:8" x14ac:dyDescent="0.25">
      <c r="A25680" s="1"/>
      <c r="B25680" s="1" t="s">
        <v>7328</v>
      </c>
      <c r="C25680" s="1" t="s">
        <v>7329</v>
      </c>
      <c r="D25680" s="22" t="str">
        <f>HYPERLINK("https://rhld.insurance.arkansas.gov/NPILookup?Npi=1528460847","1528460847")</f>
        <v>1528460847</v>
      </c>
      <c r="E25680" s="1" t="s">
        <v>27478</v>
      </c>
      <c r="F25680" s="2"/>
      <c r="G25680" s="2"/>
      <c r="H25680" s="2"/>
    </row>
    <row r="25681" spans="1:8" x14ac:dyDescent="0.25">
      <c r="A25681" s="1"/>
      <c r="B25681" s="1" t="s">
        <v>7328</v>
      </c>
      <c r="C25681" s="1" t="s">
        <v>7329</v>
      </c>
      <c r="D25681" s="22" t="str">
        <f>HYPERLINK("https://rhld.insurance.arkansas.gov/NPILookup?Npi=1528461456","1528461456")</f>
        <v>1528461456</v>
      </c>
      <c r="E25681" s="1" t="s">
        <v>13232</v>
      </c>
      <c r="F25681" s="2"/>
      <c r="G25681" s="2"/>
      <c r="H25681" s="2"/>
    </row>
    <row r="25682" spans="1:8" x14ac:dyDescent="0.25">
      <c r="A25682" s="1"/>
      <c r="B25682" s="1" t="s">
        <v>7328</v>
      </c>
      <c r="C25682" s="1" t="s">
        <v>7329</v>
      </c>
      <c r="D25682" s="22" t="str">
        <f>HYPERLINK("https://rhld.insurance.arkansas.gov/NPILookup?Npi=1528461621","1528461621")</f>
        <v>1528461621</v>
      </c>
      <c r="E25682" s="1" t="s">
        <v>730</v>
      </c>
      <c r="F25682" s="2"/>
      <c r="G25682" s="2"/>
      <c r="H25682" s="2"/>
    </row>
    <row r="25683" spans="1:8" x14ac:dyDescent="0.25">
      <c r="A25683" s="1"/>
      <c r="B25683" s="1" t="s">
        <v>7328</v>
      </c>
      <c r="C25683" s="1" t="s">
        <v>7329</v>
      </c>
      <c r="D25683" s="22" t="str">
        <f>HYPERLINK("https://rhld.insurance.arkansas.gov/NPILookup?Npi=1528472289","1528472289")</f>
        <v>1528472289</v>
      </c>
      <c r="E25683" s="1" t="s">
        <v>10356</v>
      </c>
      <c r="F25683" s="2"/>
      <c r="G25683" s="2"/>
      <c r="H25683" s="2"/>
    </row>
    <row r="25684" spans="1:8" x14ac:dyDescent="0.25">
      <c r="A25684" s="1"/>
      <c r="B25684" s="1" t="s">
        <v>7328</v>
      </c>
      <c r="C25684" s="1" t="s">
        <v>7329</v>
      </c>
      <c r="D25684" s="22" t="str">
        <f>HYPERLINK("https://rhld.insurance.arkansas.gov/NPILookup?Npi=1528476744","1528476744")</f>
        <v>1528476744</v>
      </c>
      <c r="E25684" s="1" t="s">
        <v>2032</v>
      </c>
      <c r="F25684" s="2"/>
      <c r="G25684" s="2"/>
      <c r="H25684" s="2"/>
    </row>
    <row r="25685" spans="1:8" x14ac:dyDescent="0.25">
      <c r="A25685" s="1"/>
      <c r="B25685" s="1" t="s">
        <v>7328</v>
      </c>
      <c r="C25685" s="1" t="s">
        <v>7329</v>
      </c>
      <c r="D25685" s="22" t="str">
        <f>HYPERLINK("https://rhld.insurance.arkansas.gov/NPILookup?Npi=1528481868","1528481868")</f>
        <v>1528481868</v>
      </c>
      <c r="E25685" s="1" t="s">
        <v>27479</v>
      </c>
      <c r="F25685" s="2"/>
      <c r="G25685" s="2"/>
      <c r="H25685" s="2"/>
    </row>
    <row r="25686" spans="1:8" x14ac:dyDescent="0.25">
      <c r="A25686" s="1"/>
      <c r="B25686" s="1" t="s">
        <v>7328</v>
      </c>
      <c r="C25686" s="1" t="s">
        <v>7329</v>
      </c>
      <c r="D25686" s="22" t="str">
        <f>HYPERLINK("https://rhld.insurance.arkansas.gov/NPILookup?Npi=1528482189","1528482189")</f>
        <v>1528482189</v>
      </c>
      <c r="E25686" s="1" t="s">
        <v>286</v>
      </c>
      <c r="F25686" s="2"/>
      <c r="G25686" s="2"/>
      <c r="H25686" s="2"/>
    </row>
    <row r="25687" spans="1:8" x14ac:dyDescent="0.25">
      <c r="A25687" s="1"/>
      <c r="B25687" s="1" t="s">
        <v>7328</v>
      </c>
      <c r="C25687" s="1" t="s">
        <v>7329</v>
      </c>
      <c r="D25687" s="22" t="str">
        <f>HYPERLINK("https://rhld.insurance.arkansas.gov/NPILookup?Npi=1528501160","1528501160")</f>
        <v>1528501160</v>
      </c>
      <c r="E25687" s="1" t="s">
        <v>13233</v>
      </c>
      <c r="F25687" s="2"/>
      <c r="G25687" s="2"/>
      <c r="H25687" s="2"/>
    </row>
    <row r="25688" spans="1:8" x14ac:dyDescent="0.25">
      <c r="A25688" s="1"/>
      <c r="B25688" s="1" t="s">
        <v>7328</v>
      </c>
      <c r="C25688" s="1" t="s">
        <v>7329</v>
      </c>
      <c r="D25688" s="22" t="str">
        <f>HYPERLINK("https://rhld.insurance.arkansas.gov/NPILookup?Npi=1528505088","1528505088")</f>
        <v>1528505088</v>
      </c>
      <c r="E25688" s="1" t="s">
        <v>27480</v>
      </c>
      <c r="F25688" s="2"/>
      <c r="G25688" s="2"/>
      <c r="H25688" s="2"/>
    </row>
    <row r="25689" spans="1:8" x14ac:dyDescent="0.25">
      <c r="A25689" s="1"/>
      <c r="B25689" s="1" t="s">
        <v>7328</v>
      </c>
      <c r="C25689" s="1" t="s">
        <v>7329</v>
      </c>
      <c r="D25689" s="22" t="str">
        <f>HYPERLINK("https://rhld.insurance.arkansas.gov/NPILookup?Npi=1528518339","1528518339")</f>
        <v>1528518339</v>
      </c>
      <c r="E25689" s="1" t="s">
        <v>7844</v>
      </c>
      <c r="F25689" s="2"/>
      <c r="G25689" s="2"/>
      <c r="H25689" s="2"/>
    </row>
    <row r="25690" spans="1:8" x14ac:dyDescent="0.25">
      <c r="A25690" s="1"/>
      <c r="B25690" s="1" t="s">
        <v>7328</v>
      </c>
      <c r="C25690" s="1" t="s">
        <v>7329</v>
      </c>
      <c r="D25690" s="22" t="str">
        <f>HYPERLINK("https://rhld.insurance.arkansas.gov/NPILookup?Npi=1528520228","1528520228")</f>
        <v>1528520228</v>
      </c>
      <c r="E25690" s="1" t="s">
        <v>27481</v>
      </c>
      <c r="F25690" s="2"/>
      <c r="G25690" s="2"/>
      <c r="H25690" s="2"/>
    </row>
    <row r="25691" spans="1:8" x14ac:dyDescent="0.25">
      <c r="A25691" s="1"/>
      <c r="B25691" s="1" t="s">
        <v>7328</v>
      </c>
      <c r="C25691" s="1" t="s">
        <v>7329</v>
      </c>
      <c r="D25691" s="22" t="str">
        <f>HYPERLINK("https://rhld.insurance.arkansas.gov/NPILookup?Npi=1528527009","1528527009")</f>
        <v>1528527009</v>
      </c>
      <c r="E25691" s="1" t="s">
        <v>7845</v>
      </c>
      <c r="F25691" s="2"/>
      <c r="G25691" s="2"/>
      <c r="H25691" s="2"/>
    </row>
    <row r="25692" spans="1:8" x14ac:dyDescent="0.25">
      <c r="A25692" s="1"/>
      <c r="B25692" s="1" t="s">
        <v>7328</v>
      </c>
      <c r="C25692" s="1" t="s">
        <v>7329</v>
      </c>
      <c r="D25692" s="22" t="str">
        <f>HYPERLINK("https://rhld.insurance.arkansas.gov/NPILookup?Npi=1528528809","1528528809")</f>
        <v>1528528809</v>
      </c>
      <c r="E25692" s="1" t="s">
        <v>17623</v>
      </c>
      <c r="F25692" s="2"/>
      <c r="G25692" s="2"/>
      <c r="H25692" s="2"/>
    </row>
    <row r="25693" spans="1:8" x14ac:dyDescent="0.25">
      <c r="A25693" s="1"/>
      <c r="B25693" s="1" t="s">
        <v>7328</v>
      </c>
      <c r="C25693" s="1" t="s">
        <v>7329</v>
      </c>
      <c r="D25693" s="22" t="str">
        <f>HYPERLINK("https://rhld.insurance.arkansas.gov/NPILookup?Npi=1528530953","1528530953")</f>
        <v>1528530953</v>
      </c>
      <c r="E25693" s="1" t="s">
        <v>7846</v>
      </c>
      <c r="F25693" s="2"/>
      <c r="G25693" s="2"/>
      <c r="H25693" s="2"/>
    </row>
    <row r="25694" spans="1:8" x14ac:dyDescent="0.25">
      <c r="A25694" s="1"/>
      <c r="B25694" s="1" t="s">
        <v>7328</v>
      </c>
      <c r="C25694" s="1" t="s">
        <v>7329</v>
      </c>
      <c r="D25694" s="22" t="str">
        <f>HYPERLINK("https://rhld.insurance.arkansas.gov/NPILookup?Npi=1528538915","1528538915")</f>
        <v>1528538915</v>
      </c>
      <c r="E25694" s="1" t="s">
        <v>32268</v>
      </c>
      <c r="F25694" s="2"/>
      <c r="G25694" s="2"/>
      <c r="H25694" s="2"/>
    </row>
    <row r="25695" spans="1:8" x14ac:dyDescent="0.25">
      <c r="A25695" s="1"/>
      <c r="B25695" s="1" t="s">
        <v>7328</v>
      </c>
      <c r="C25695" s="1" t="s">
        <v>7329</v>
      </c>
      <c r="D25695" s="22" t="str">
        <f>HYPERLINK("https://rhld.insurance.arkansas.gov/NPILookup?Npi=1528552130","1528552130")</f>
        <v>1528552130</v>
      </c>
      <c r="E25695" s="1" t="s">
        <v>27482</v>
      </c>
      <c r="F25695" s="2"/>
      <c r="G25695" s="2"/>
      <c r="H25695" s="2"/>
    </row>
    <row r="25696" spans="1:8" x14ac:dyDescent="0.25">
      <c r="A25696" s="1"/>
      <c r="B25696" s="1" t="s">
        <v>7328</v>
      </c>
      <c r="C25696" s="1" t="s">
        <v>7329</v>
      </c>
      <c r="D25696" s="22" t="str">
        <f>HYPERLINK("https://rhld.insurance.arkansas.gov/NPILookup?Npi=1528555406","1528555406")</f>
        <v>1528555406</v>
      </c>
      <c r="E25696" s="1" t="s">
        <v>27483</v>
      </c>
      <c r="F25696" s="2"/>
      <c r="G25696" s="2"/>
      <c r="H25696" s="2"/>
    </row>
    <row r="25697" spans="1:8" x14ac:dyDescent="0.25">
      <c r="A25697" s="1"/>
      <c r="B25697" s="1" t="s">
        <v>7328</v>
      </c>
      <c r="C25697" s="1" t="s">
        <v>7329</v>
      </c>
      <c r="D25697" s="22" t="str">
        <f>HYPERLINK("https://rhld.insurance.arkansas.gov/NPILookup?Npi=1528560513","1528560513")</f>
        <v>1528560513</v>
      </c>
      <c r="E25697" s="1" t="s">
        <v>27484</v>
      </c>
      <c r="F25697" s="2"/>
      <c r="G25697" s="2"/>
      <c r="H25697" s="2"/>
    </row>
    <row r="25698" spans="1:8" x14ac:dyDescent="0.25">
      <c r="A25698" s="1"/>
      <c r="B25698" s="1" t="s">
        <v>7328</v>
      </c>
      <c r="C25698" s="1" t="s">
        <v>7329</v>
      </c>
      <c r="D25698" s="22" t="str">
        <f>HYPERLINK("https://rhld.insurance.arkansas.gov/NPILookup?Npi=1528564143","1528564143")</f>
        <v>1528564143</v>
      </c>
      <c r="E25698" s="1" t="s">
        <v>27485</v>
      </c>
      <c r="F25698" s="2"/>
      <c r="G25698" s="2"/>
      <c r="H25698" s="2"/>
    </row>
    <row r="25699" spans="1:8" x14ac:dyDescent="0.25">
      <c r="A25699" s="1"/>
      <c r="B25699" s="1" t="s">
        <v>7328</v>
      </c>
      <c r="C25699" s="1" t="s">
        <v>7329</v>
      </c>
      <c r="D25699" s="22" t="str">
        <f>HYPERLINK("https://rhld.insurance.arkansas.gov/NPILookup?Npi=1528570819","1528570819")</f>
        <v>1528570819</v>
      </c>
      <c r="E25699" s="1" t="s">
        <v>27486</v>
      </c>
      <c r="F25699" s="2"/>
      <c r="G25699" s="2"/>
      <c r="H25699" s="2"/>
    </row>
    <row r="25700" spans="1:8" x14ac:dyDescent="0.25">
      <c r="A25700" s="1"/>
      <c r="B25700" s="1" t="s">
        <v>7328</v>
      </c>
      <c r="C25700" s="1" t="s">
        <v>7329</v>
      </c>
      <c r="D25700" s="22" t="str">
        <f>HYPERLINK("https://rhld.insurance.arkansas.gov/NPILookup?Npi=1528571148","1528571148")</f>
        <v>1528571148</v>
      </c>
      <c r="E25700" s="1" t="s">
        <v>27487</v>
      </c>
      <c r="F25700" s="2"/>
      <c r="G25700" s="2"/>
      <c r="H25700" s="2"/>
    </row>
    <row r="25701" spans="1:8" x14ac:dyDescent="0.25">
      <c r="A25701" s="1"/>
      <c r="B25701" s="1" t="s">
        <v>7328</v>
      </c>
      <c r="C25701" s="1" t="s">
        <v>7329</v>
      </c>
      <c r="D25701" s="22" t="str">
        <f>HYPERLINK("https://rhld.insurance.arkansas.gov/NPILookup?Npi=1528575545","1528575545")</f>
        <v>1528575545</v>
      </c>
      <c r="E25701" s="1" t="s">
        <v>27488</v>
      </c>
      <c r="F25701" s="2"/>
      <c r="G25701" s="2"/>
      <c r="H25701" s="2"/>
    </row>
    <row r="25702" spans="1:8" x14ac:dyDescent="0.25">
      <c r="A25702" s="1"/>
      <c r="B25702" s="1" t="s">
        <v>7328</v>
      </c>
      <c r="C25702" s="1" t="s">
        <v>7329</v>
      </c>
      <c r="D25702" s="22" t="str">
        <f>HYPERLINK("https://rhld.insurance.arkansas.gov/NPILookup?Npi=1528582186","1528582186")</f>
        <v>1528582186</v>
      </c>
      <c r="E25702" s="1" t="s">
        <v>13234</v>
      </c>
      <c r="F25702" s="2"/>
      <c r="G25702" s="2"/>
      <c r="H25702" s="2"/>
    </row>
    <row r="25703" spans="1:8" x14ac:dyDescent="0.25">
      <c r="A25703" s="1"/>
      <c r="B25703" s="1" t="s">
        <v>7328</v>
      </c>
      <c r="C25703" s="1" t="s">
        <v>7329</v>
      </c>
      <c r="D25703" s="22" t="str">
        <f>HYPERLINK("https://rhld.insurance.arkansas.gov/NPILookup?Npi=1528585734","1528585734")</f>
        <v>1528585734</v>
      </c>
      <c r="E25703" s="1" t="s">
        <v>7847</v>
      </c>
      <c r="F25703" s="2"/>
      <c r="G25703" s="2"/>
      <c r="H25703" s="2"/>
    </row>
    <row r="25704" spans="1:8" x14ac:dyDescent="0.25">
      <c r="A25704" s="1"/>
      <c r="B25704" s="1" t="s">
        <v>7328</v>
      </c>
      <c r="C25704" s="1" t="s">
        <v>7329</v>
      </c>
      <c r="D25704" s="22" t="str">
        <f>HYPERLINK("https://rhld.insurance.arkansas.gov/NPILookup?Npi=1528592862","1528592862")</f>
        <v>1528592862</v>
      </c>
      <c r="E25704" s="1" t="s">
        <v>7848</v>
      </c>
      <c r="F25704" s="2"/>
      <c r="G25704" s="2"/>
      <c r="H25704" s="2"/>
    </row>
    <row r="25705" spans="1:8" x14ac:dyDescent="0.25">
      <c r="A25705" s="1"/>
      <c r="B25705" s="1" t="s">
        <v>7328</v>
      </c>
      <c r="C25705" s="1" t="s">
        <v>7329</v>
      </c>
      <c r="D25705" s="22" t="str">
        <f>HYPERLINK("https://rhld.insurance.arkansas.gov/NPILookup?Npi=1528597028","1528597028")</f>
        <v>1528597028</v>
      </c>
      <c r="E25705" s="1" t="s">
        <v>27489</v>
      </c>
      <c r="F25705" s="2"/>
      <c r="G25705" s="2"/>
      <c r="H25705" s="2"/>
    </row>
    <row r="25706" spans="1:8" x14ac:dyDescent="0.25">
      <c r="A25706" s="1"/>
      <c r="B25706" s="1" t="s">
        <v>7328</v>
      </c>
      <c r="C25706" s="1" t="s">
        <v>7329</v>
      </c>
      <c r="D25706" s="22" t="str">
        <f>HYPERLINK("https://rhld.insurance.arkansas.gov/NPILookup?Npi=1528603859","1528603859")</f>
        <v>1528603859</v>
      </c>
      <c r="E25706" s="1" t="s">
        <v>27490</v>
      </c>
      <c r="F25706" s="2"/>
      <c r="G25706" s="2"/>
      <c r="H25706" s="2"/>
    </row>
    <row r="25707" spans="1:8" x14ac:dyDescent="0.25">
      <c r="A25707" s="1"/>
      <c r="B25707" s="1" t="s">
        <v>7328</v>
      </c>
      <c r="C25707" s="1" t="s">
        <v>7329</v>
      </c>
      <c r="D25707" s="22" t="str">
        <f>HYPERLINK("https://rhld.insurance.arkansas.gov/NPILookup?Npi=1528611654","1528611654")</f>
        <v>1528611654</v>
      </c>
      <c r="E25707" s="1" t="s">
        <v>22493</v>
      </c>
      <c r="F25707" s="2"/>
      <c r="G25707" s="2"/>
      <c r="H25707" s="2"/>
    </row>
    <row r="25708" spans="1:8" x14ac:dyDescent="0.25">
      <c r="A25708" s="1"/>
      <c r="B25708" s="1" t="s">
        <v>7328</v>
      </c>
      <c r="C25708" s="1" t="s">
        <v>7329</v>
      </c>
      <c r="D25708" s="22" t="str">
        <f>HYPERLINK("https://rhld.insurance.arkansas.gov/NPILookup?Npi=1528613726","1528613726")</f>
        <v>1528613726</v>
      </c>
      <c r="E25708" s="1" t="s">
        <v>1790</v>
      </c>
      <c r="F25708" s="2"/>
      <c r="G25708" s="2"/>
      <c r="H25708" s="2"/>
    </row>
    <row r="25709" spans="1:8" x14ac:dyDescent="0.25">
      <c r="A25709" s="1"/>
      <c r="B25709" s="1" t="s">
        <v>7328</v>
      </c>
      <c r="C25709" s="1" t="s">
        <v>7329</v>
      </c>
      <c r="D25709" s="22" t="str">
        <f>HYPERLINK("https://rhld.insurance.arkansas.gov/NPILookup?Npi=1528624160","1528624160")</f>
        <v>1528624160</v>
      </c>
      <c r="E25709" s="1" t="s">
        <v>27491</v>
      </c>
      <c r="F25709" s="2"/>
      <c r="G25709" s="2"/>
      <c r="H25709" s="2"/>
    </row>
    <row r="25710" spans="1:8" x14ac:dyDescent="0.25">
      <c r="A25710" s="1"/>
      <c r="B25710" s="1" t="s">
        <v>7328</v>
      </c>
      <c r="C25710" s="1" t="s">
        <v>7329</v>
      </c>
      <c r="D25710" s="22" t="str">
        <f>HYPERLINK("https://rhld.insurance.arkansas.gov/NPILookup?Npi=1528627676","1528627676")</f>
        <v>1528627676</v>
      </c>
      <c r="E25710" s="1" t="s">
        <v>13235</v>
      </c>
      <c r="F25710" s="2"/>
      <c r="G25710" s="2"/>
      <c r="H25710" s="2"/>
    </row>
    <row r="25711" spans="1:8" x14ac:dyDescent="0.25">
      <c r="A25711" s="1"/>
      <c r="B25711" s="1" t="s">
        <v>7328</v>
      </c>
      <c r="C25711" s="1" t="s">
        <v>7329</v>
      </c>
      <c r="D25711" s="22" t="str">
        <f>HYPERLINK("https://rhld.insurance.arkansas.gov/NPILookup?Npi=1528676707","1528676707")</f>
        <v>1528676707</v>
      </c>
      <c r="E25711" s="1" t="s">
        <v>27492</v>
      </c>
      <c r="F25711" s="2"/>
      <c r="G25711" s="2"/>
      <c r="H25711" s="2"/>
    </row>
    <row r="25712" spans="1:8" x14ac:dyDescent="0.25">
      <c r="A25712" s="1"/>
      <c r="B25712" s="1" t="s">
        <v>7328</v>
      </c>
      <c r="C25712" s="1" t="s">
        <v>7329</v>
      </c>
      <c r="D25712" s="22" t="str">
        <f>HYPERLINK("https://rhld.insurance.arkansas.gov/NPILookup?Npi=1528685807","1528685807")</f>
        <v>1528685807</v>
      </c>
      <c r="E25712" s="1" t="s">
        <v>27493</v>
      </c>
      <c r="F25712" s="2"/>
      <c r="G25712" s="2"/>
      <c r="H25712" s="2"/>
    </row>
    <row r="25713" spans="1:8" x14ac:dyDescent="0.25">
      <c r="A25713" s="1"/>
      <c r="B25713" s="1" t="s">
        <v>7328</v>
      </c>
      <c r="C25713" s="1" t="s">
        <v>7329</v>
      </c>
      <c r="D25713" s="22" t="str">
        <f>HYPERLINK("https://rhld.insurance.arkansas.gov/NPILookup?Npi=1528686870","1528686870")</f>
        <v>1528686870</v>
      </c>
      <c r="E25713" s="1" t="s">
        <v>1577</v>
      </c>
      <c r="F25713" s="2"/>
      <c r="G25713" s="2"/>
      <c r="H25713" s="2"/>
    </row>
    <row r="25714" spans="1:8" x14ac:dyDescent="0.25">
      <c r="A25714" s="1"/>
      <c r="B25714" s="1" t="s">
        <v>7328</v>
      </c>
      <c r="C25714" s="1" t="s">
        <v>7329</v>
      </c>
      <c r="D25714" s="22" t="str">
        <f>HYPERLINK("https://rhld.insurance.arkansas.gov/NPILookup?Npi=1528689239","1528689239")</f>
        <v>1528689239</v>
      </c>
      <c r="E25714" s="1" t="s">
        <v>7849</v>
      </c>
      <c r="F25714" s="2"/>
      <c r="G25714" s="2"/>
      <c r="H25714" s="2"/>
    </row>
    <row r="25715" spans="1:8" x14ac:dyDescent="0.25">
      <c r="A25715" s="1"/>
      <c r="B25715" s="1" t="s">
        <v>7328</v>
      </c>
      <c r="C25715" s="1" t="s">
        <v>7329</v>
      </c>
      <c r="D25715" s="22" t="str">
        <f>HYPERLINK("https://rhld.insurance.arkansas.gov/NPILookup?Npi=1528694544","1528694544")</f>
        <v>1528694544</v>
      </c>
      <c r="E25715" s="1" t="s">
        <v>7850</v>
      </c>
      <c r="F25715" s="2"/>
      <c r="G25715" s="2"/>
      <c r="H25715" s="2"/>
    </row>
    <row r="25716" spans="1:8" x14ac:dyDescent="0.25">
      <c r="A25716" s="1"/>
      <c r="B25716" s="1" t="s">
        <v>7328</v>
      </c>
      <c r="C25716" s="1" t="s">
        <v>7329</v>
      </c>
      <c r="D25716" s="22" t="str">
        <f>HYPERLINK("https://rhld.insurance.arkansas.gov/NPILookup?Npi=1528698859","1528698859")</f>
        <v>1528698859</v>
      </c>
      <c r="E25716" s="1" t="s">
        <v>27494</v>
      </c>
      <c r="F25716" s="2"/>
      <c r="G25716" s="2"/>
      <c r="H25716" s="2"/>
    </row>
    <row r="25717" spans="1:8" x14ac:dyDescent="0.25">
      <c r="A25717" s="1"/>
      <c r="B25717" s="1" t="s">
        <v>7328</v>
      </c>
      <c r="C25717" s="1" t="s">
        <v>7329</v>
      </c>
      <c r="D25717" s="22" t="str">
        <f>HYPERLINK("https://rhld.insurance.arkansas.gov/NPILookup?Npi=1528707304","1528707304")</f>
        <v>1528707304</v>
      </c>
      <c r="E25717" s="1" t="s">
        <v>7851</v>
      </c>
      <c r="F25717" s="2"/>
      <c r="G25717" s="2"/>
      <c r="H25717" s="2"/>
    </row>
    <row r="25718" spans="1:8" x14ac:dyDescent="0.25">
      <c r="A25718" s="1"/>
      <c r="B25718" s="1" t="s">
        <v>7328</v>
      </c>
      <c r="C25718" s="1" t="s">
        <v>7329</v>
      </c>
      <c r="D25718" s="22" t="str">
        <f>HYPERLINK("https://rhld.insurance.arkansas.gov/NPILookup?Npi=1528733862","1528733862")</f>
        <v>1528733862</v>
      </c>
      <c r="E25718" s="1" t="s">
        <v>27495</v>
      </c>
      <c r="F25718" s="2"/>
      <c r="G25718" s="2"/>
      <c r="H25718" s="2"/>
    </row>
    <row r="25719" spans="1:8" x14ac:dyDescent="0.25">
      <c r="A25719" s="1"/>
      <c r="B25719" s="1" t="s">
        <v>7328</v>
      </c>
      <c r="C25719" s="1" t="s">
        <v>7329</v>
      </c>
      <c r="D25719" s="22" t="str">
        <f>HYPERLINK("https://rhld.insurance.arkansas.gov/NPILookup?Npi=1528765146","1528765146")</f>
        <v>1528765146</v>
      </c>
      <c r="E25719" s="1" t="s">
        <v>7852</v>
      </c>
      <c r="F25719" s="2"/>
      <c r="G25719" s="2"/>
      <c r="H25719" s="2"/>
    </row>
    <row r="25720" spans="1:8" x14ac:dyDescent="0.25">
      <c r="A25720" s="1"/>
      <c r="B25720" s="1" t="s">
        <v>7328</v>
      </c>
      <c r="C25720" s="1" t="s">
        <v>7329</v>
      </c>
      <c r="D25720" s="22" t="str">
        <f>HYPERLINK("https://rhld.insurance.arkansas.gov/NPILookup?Npi=1528780285","1528780285")</f>
        <v>1528780285</v>
      </c>
      <c r="E25720" s="1" t="s">
        <v>32269</v>
      </c>
      <c r="F25720" s="2"/>
      <c r="G25720" s="2"/>
      <c r="H25720" s="2"/>
    </row>
    <row r="25721" spans="1:8" x14ac:dyDescent="0.25">
      <c r="A25721" s="1"/>
      <c r="B25721" s="1" t="s">
        <v>7328</v>
      </c>
      <c r="C25721" s="1" t="s">
        <v>7329</v>
      </c>
      <c r="D25721" s="22" t="str">
        <f>HYPERLINK("https://rhld.insurance.arkansas.gov/NPILookup?Npi=1528780343","1528780343")</f>
        <v>1528780343</v>
      </c>
      <c r="E25721" s="1" t="s">
        <v>27496</v>
      </c>
      <c r="F25721" s="2"/>
      <c r="G25721" s="2"/>
      <c r="H25721" s="2"/>
    </row>
    <row r="25722" spans="1:8" x14ac:dyDescent="0.25">
      <c r="A25722" s="1"/>
      <c r="B25722" s="1" t="s">
        <v>7328</v>
      </c>
      <c r="C25722" s="1" t="s">
        <v>7329</v>
      </c>
      <c r="D25722" s="22" t="str">
        <f>HYPERLINK("https://rhld.insurance.arkansas.gov/NPILookup?Npi=1528786316","1528786316")</f>
        <v>1528786316</v>
      </c>
      <c r="E25722" s="1" t="s">
        <v>13236</v>
      </c>
      <c r="F25722" s="2"/>
      <c r="G25722" s="2"/>
      <c r="H25722" s="2"/>
    </row>
    <row r="25723" spans="1:8" x14ac:dyDescent="0.25">
      <c r="A25723" s="1"/>
      <c r="B25723" s="1" t="s">
        <v>7328</v>
      </c>
      <c r="C25723" s="1" t="s">
        <v>7329</v>
      </c>
      <c r="D25723" s="22" t="str">
        <f>HYPERLINK("https://rhld.insurance.arkansas.gov/NPILookup?Npi=1528790532","1528790532")</f>
        <v>1528790532</v>
      </c>
      <c r="E25723" s="1" t="s">
        <v>7853</v>
      </c>
      <c r="F25723" s="2"/>
      <c r="G25723" s="2"/>
      <c r="H25723" s="2"/>
    </row>
    <row r="25724" spans="1:8" x14ac:dyDescent="0.25">
      <c r="A25724" s="1"/>
      <c r="B25724" s="1" t="s">
        <v>7328</v>
      </c>
      <c r="C25724" s="1" t="s">
        <v>7329</v>
      </c>
      <c r="D25724" s="22" t="str">
        <f>HYPERLINK("https://rhld.insurance.arkansas.gov/NPILookup?Npi=1528792595","1528792595")</f>
        <v>1528792595</v>
      </c>
      <c r="E25724" s="1" t="s">
        <v>7854</v>
      </c>
      <c r="F25724" s="2"/>
      <c r="G25724" s="2"/>
      <c r="H25724" s="2"/>
    </row>
    <row r="25725" spans="1:8" x14ac:dyDescent="0.25">
      <c r="A25725" s="1"/>
      <c r="B25725" s="1" t="s">
        <v>7328</v>
      </c>
      <c r="C25725" s="1" t="s">
        <v>7329</v>
      </c>
      <c r="D25725" s="22" t="str">
        <f>HYPERLINK("https://rhld.insurance.arkansas.gov/NPILookup?Npi=1528825445","1528825445")</f>
        <v>1528825445</v>
      </c>
      <c r="E25725" s="1" t="s">
        <v>27497</v>
      </c>
      <c r="F25725" s="2"/>
      <c r="G25725" s="2"/>
      <c r="H25725" s="2"/>
    </row>
    <row r="25726" spans="1:8" x14ac:dyDescent="0.25">
      <c r="A25726" s="1"/>
      <c r="B25726" s="1" t="s">
        <v>7328</v>
      </c>
      <c r="C25726" s="1" t="s">
        <v>7329</v>
      </c>
      <c r="D25726" s="22" t="str">
        <f>HYPERLINK("https://rhld.insurance.arkansas.gov/NPILookup?Npi=1528837507","1528837507")</f>
        <v>1528837507</v>
      </c>
      <c r="E25726" s="1" t="s">
        <v>32270</v>
      </c>
      <c r="F25726" s="2"/>
      <c r="G25726" s="2"/>
      <c r="H25726" s="2"/>
    </row>
    <row r="25727" spans="1:8" x14ac:dyDescent="0.25">
      <c r="A25727" s="1"/>
      <c r="B25727" s="1" t="s">
        <v>7328</v>
      </c>
      <c r="C25727" s="1" t="s">
        <v>7329</v>
      </c>
      <c r="D25727" s="22" t="str">
        <f>HYPERLINK("https://rhld.insurance.arkansas.gov/NPILookup?Npi=1528837945","1528837945")</f>
        <v>1528837945</v>
      </c>
      <c r="E25727" s="1" t="s">
        <v>22502</v>
      </c>
      <c r="F25727" s="2"/>
      <c r="G25727" s="2"/>
      <c r="H25727" s="2"/>
    </row>
    <row r="25728" spans="1:8" x14ac:dyDescent="0.25">
      <c r="A25728" s="1"/>
      <c r="B25728" s="1" t="s">
        <v>7328</v>
      </c>
      <c r="C25728" s="1" t="s">
        <v>7329</v>
      </c>
      <c r="D25728" s="22" t="str">
        <f>HYPERLINK("https://rhld.insurance.arkansas.gov/NPILookup?Npi=1528840113","1528840113")</f>
        <v>1528840113</v>
      </c>
      <c r="E25728" s="1" t="s">
        <v>7855</v>
      </c>
      <c r="F25728" s="2"/>
      <c r="G25728" s="2"/>
      <c r="H25728" s="2"/>
    </row>
    <row r="25729" spans="1:8" x14ac:dyDescent="0.25">
      <c r="A25729" s="1"/>
      <c r="B25729" s="1" t="s">
        <v>7328</v>
      </c>
      <c r="C25729" s="1" t="s">
        <v>7329</v>
      </c>
      <c r="D25729" s="22" t="str">
        <f>HYPERLINK("https://rhld.insurance.arkansas.gov/NPILookup?Npi=1528843935","1528843935")</f>
        <v>1528843935</v>
      </c>
      <c r="E25729" s="1" t="s">
        <v>7856</v>
      </c>
      <c r="F25729" s="2"/>
      <c r="G25729" s="2"/>
      <c r="H25729" s="2"/>
    </row>
    <row r="25730" spans="1:8" x14ac:dyDescent="0.25">
      <c r="A25730" s="1"/>
      <c r="B25730" s="1" t="s">
        <v>7328</v>
      </c>
      <c r="C25730" s="1" t="s">
        <v>7329</v>
      </c>
      <c r="D25730" s="22" t="str">
        <f>HYPERLINK("https://rhld.insurance.arkansas.gov/NPILookup?Npi=1528881919","1528881919")</f>
        <v>1528881919</v>
      </c>
      <c r="E25730" s="1" t="s">
        <v>32271</v>
      </c>
      <c r="F25730" s="2"/>
      <c r="G25730" s="2"/>
      <c r="H25730" s="2"/>
    </row>
    <row r="25731" spans="1:8" x14ac:dyDescent="0.25">
      <c r="A25731" s="1"/>
      <c r="B25731" s="1" t="s">
        <v>7328</v>
      </c>
      <c r="C25731" s="1" t="s">
        <v>7329</v>
      </c>
      <c r="D25731" s="22" t="str">
        <f>HYPERLINK("https://rhld.insurance.arkansas.gov/NPILookup?Npi=1528883261","1528883261")</f>
        <v>1528883261</v>
      </c>
      <c r="E25731" s="1" t="s">
        <v>32272</v>
      </c>
      <c r="F25731" s="2"/>
      <c r="G25731" s="2"/>
      <c r="H25731" s="2"/>
    </row>
    <row r="25732" spans="1:8" x14ac:dyDescent="0.25">
      <c r="A25732" s="1"/>
      <c r="B25732" s="1" t="s">
        <v>7328</v>
      </c>
      <c r="C25732" s="1" t="s">
        <v>7329</v>
      </c>
      <c r="D25732" s="22" t="str">
        <f>HYPERLINK("https://rhld.insurance.arkansas.gov/NPILookup?Npi=1538102322","1538102322")</f>
        <v>1538102322</v>
      </c>
      <c r="E25732" s="1" t="s">
        <v>112</v>
      </c>
      <c r="F25732" s="2"/>
      <c r="G25732" s="2"/>
      <c r="H25732" s="2"/>
    </row>
    <row r="25733" spans="1:8" x14ac:dyDescent="0.25">
      <c r="A25733" s="1"/>
      <c r="B25733" s="1" t="s">
        <v>7328</v>
      </c>
      <c r="C25733" s="1" t="s">
        <v>7329</v>
      </c>
      <c r="D25733" s="22" t="str">
        <f>HYPERLINK("https://rhld.insurance.arkansas.gov/NPILookup?Npi=1538107511","1538107511")</f>
        <v>1538107511</v>
      </c>
      <c r="E25733" s="1" t="s">
        <v>2033</v>
      </c>
      <c r="F25733" s="2"/>
      <c r="G25733" s="2"/>
      <c r="H25733" s="2"/>
    </row>
    <row r="25734" spans="1:8" x14ac:dyDescent="0.25">
      <c r="A25734" s="1"/>
      <c r="B25734" s="1" t="s">
        <v>7328</v>
      </c>
      <c r="C25734" s="1" t="s">
        <v>7329</v>
      </c>
      <c r="D25734" s="22" t="str">
        <f>HYPERLINK("https://rhld.insurance.arkansas.gov/NPILookup?Npi=1538110820","1538110820")</f>
        <v>1538110820</v>
      </c>
      <c r="E25734" s="1" t="s">
        <v>27498</v>
      </c>
      <c r="F25734" s="2"/>
      <c r="G25734" s="2"/>
      <c r="H25734" s="2"/>
    </row>
    <row r="25735" spans="1:8" x14ac:dyDescent="0.25">
      <c r="A25735" s="1"/>
      <c r="B25735" s="1" t="s">
        <v>7328</v>
      </c>
      <c r="C25735" s="1" t="s">
        <v>7329</v>
      </c>
      <c r="D25735" s="22" t="str">
        <f>HYPERLINK("https://rhld.insurance.arkansas.gov/NPILookup?Npi=1538114822","1538114822")</f>
        <v>1538114822</v>
      </c>
      <c r="E25735" s="1" t="s">
        <v>27499</v>
      </c>
      <c r="F25735" s="2"/>
      <c r="G25735" s="2"/>
      <c r="H25735" s="2"/>
    </row>
    <row r="25736" spans="1:8" x14ac:dyDescent="0.25">
      <c r="A25736" s="1"/>
      <c r="B25736" s="1" t="s">
        <v>7328</v>
      </c>
      <c r="C25736" s="1" t="s">
        <v>7329</v>
      </c>
      <c r="D25736" s="22" t="str">
        <f>HYPERLINK("https://rhld.insurance.arkansas.gov/NPILookup?Npi=1538116389","1538116389")</f>
        <v>1538116389</v>
      </c>
      <c r="E25736" s="1" t="s">
        <v>254</v>
      </c>
      <c r="F25736" s="2"/>
      <c r="G25736" s="2"/>
      <c r="H25736" s="2"/>
    </row>
    <row r="25737" spans="1:8" x14ac:dyDescent="0.25">
      <c r="A25737" s="1"/>
      <c r="B25737" s="1" t="s">
        <v>7328</v>
      </c>
      <c r="C25737" s="1" t="s">
        <v>7329</v>
      </c>
      <c r="D25737" s="22" t="str">
        <f>HYPERLINK("https://rhld.insurance.arkansas.gov/NPILookup?Npi=1538117171","1538117171")</f>
        <v>1538117171</v>
      </c>
      <c r="E25737" s="1" t="s">
        <v>13237</v>
      </c>
      <c r="F25737" s="2"/>
      <c r="G25737" s="2"/>
      <c r="H25737" s="2"/>
    </row>
    <row r="25738" spans="1:8" x14ac:dyDescent="0.25">
      <c r="A25738" s="1"/>
      <c r="B25738" s="1" t="s">
        <v>7328</v>
      </c>
      <c r="C25738" s="1" t="s">
        <v>7329</v>
      </c>
      <c r="D25738" s="22" t="str">
        <f>HYPERLINK("https://rhld.insurance.arkansas.gov/NPILookup?Npi=1538119458","1538119458")</f>
        <v>1538119458</v>
      </c>
      <c r="E25738" s="1" t="s">
        <v>27500</v>
      </c>
      <c r="F25738" s="2"/>
      <c r="G25738" s="2"/>
      <c r="H25738" s="2"/>
    </row>
    <row r="25739" spans="1:8" x14ac:dyDescent="0.25">
      <c r="A25739" s="1"/>
      <c r="B25739" s="1" t="s">
        <v>7328</v>
      </c>
      <c r="C25739" s="1" t="s">
        <v>7329</v>
      </c>
      <c r="D25739" s="22" t="str">
        <f>HYPERLINK("https://rhld.insurance.arkansas.gov/NPILookup?Npi=1538122858","1538122858")</f>
        <v>1538122858</v>
      </c>
      <c r="E25739" s="1" t="s">
        <v>24905</v>
      </c>
      <c r="F25739" s="2"/>
      <c r="G25739" s="2"/>
      <c r="H25739" s="2"/>
    </row>
    <row r="25740" spans="1:8" x14ac:dyDescent="0.25">
      <c r="A25740" s="1"/>
      <c r="B25740" s="1" t="s">
        <v>7328</v>
      </c>
      <c r="C25740" s="1" t="s">
        <v>7329</v>
      </c>
      <c r="D25740" s="22" t="str">
        <f>HYPERLINK("https://rhld.insurance.arkansas.gov/NPILookup?Npi=1538126784","1538126784")</f>
        <v>1538126784</v>
      </c>
      <c r="E25740" s="1" t="s">
        <v>27501</v>
      </c>
      <c r="F25740" s="2"/>
      <c r="G25740" s="2"/>
      <c r="H25740" s="2"/>
    </row>
    <row r="25741" spans="1:8" x14ac:dyDescent="0.25">
      <c r="A25741" s="1"/>
      <c r="B25741" s="1" t="s">
        <v>7328</v>
      </c>
      <c r="C25741" s="1" t="s">
        <v>7329</v>
      </c>
      <c r="D25741" s="22" t="str">
        <f>HYPERLINK("https://rhld.insurance.arkansas.gov/NPILookup?Npi=1538132279","1538132279")</f>
        <v>1538132279</v>
      </c>
      <c r="E25741" s="1" t="s">
        <v>13238</v>
      </c>
      <c r="F25741" s="2"/>
      <c r="G25741" s="2"/>
      <c r="H25741" s="2"/>
    </row>
    <row r="25742" spans="1:8" x14ac:dyDescent="0.25">
      <c r="A25742" s="1"/>
      <c r="B25742" s="1" t="s">
        <v>7328</v>
      </c>
      <c r="C25742" s="1" t="s">
        <v>7329</v>
      </c>
      <c r="D25742" s="22" t="str">
        <f>HYPERLINK("https://rhld.insurance.arkansas.gov/NPILookup?Npi=1538134200","1538134200")</f>
        <v>1538134200</v>
      </c>
      <c r="E25742" s="1" t="s">
        <v>17625</v>
      </c>
      <c r="F25742" s="2"/>
      <c r="G25742" s="2"/>
      <c r="H25742" s="2"/>
    </row>
    <row r="25743" spans="1:8" x14ac:dyDescent="0.25">
      <c r="A25743" s="1"/>
      <c r="B25743" s="1" t="s">
        <v>7328</v>
      </c>
      <c r="C25743" s="1" t="s">
        <v>7329</v>
      </c>
      <c r="D25743" s="22" t="str">
        <f>HYPERLINK("https://rhld.insurance.arkansas.gov/NPILookup?Npi=1538137633","1538137633")</f>
        <v>1538137633</v>
      </c>
      <c r="E25743" s="1" t="s">
        <v>17626</v>
      </c>
      <c r="F25743" s="2"/>
      <c r="G25743" s="2"/>
      <c r="H25743" s="2"/>
    </row>
    <row r="25744" spans="1:8" x14ac:dyDescent="0.25">
      <c r="A25744" s="1"/>
      <c r="B25744" s="1" t="s">
        <v>7328</v>
      </c>
      <c r="C25744" s="1" t="s">
        <v>7329</v>
      </c>
      <c r="D25744" s="22" t="str">
        <f>HYPERLINK("https://rhld.insurance.arkansas.gov/NPILookup?Npi=1538137864","1538137864")</f>
        <v>1538137864</v>
      </c>
      <c r="E25744" s="1" t="s">
        <v>204</v>
      </c>
      <c r="F25744" s="2"/>
      <c r="G25744" s="2"/>
      <c r="H25744" s="2"/>
    </row>
    <row r="25745" spans="1:8" x14ac:dyDescent="0.25">
      <c r="A25745" s="1"/>
      <c r="B25745" s="1" t="s">
        <v>7328</v>
      </c>
      <c r="C25745" s="1" t="s">
        <v>7329</v>
      </c>
      <c r="D25745" s="22" t="str">
        <f>HYPERLINK("https://rhld.insurance.arkansas.gov/NPILookup?Npi=1538139563","1538139563")</f>
        <v>1538139563</v>
      </c>
      <c r="E25745" s="1" t="s">
        <v>13239</v>
      </c>
      <c r="F25745" s="2"/>
      <c r="G25745" s="2"/>
      <c r="H25745" s="2"/>
    </row>
    <row r="25746" spans="1:8" x14ac:dyDescent="0.25">
      <c r="A25746" s="1"/>
      <c r="B25746" s="1" t="s">
        <v>7328</v>
      </c>
      <c r="C25746" s="1" t="s">
        <v>7329</v>
      </c>
      <c r="D25746" s="22" t="str">
        <f>HYPERLINK("https://rhld.insurance.arkansas.gov/NPILookup?Npi=1538141155","1538141155")</f>
        <v>1538141155</v>
      </c>
      <c r="E25746" s="1" t="s">
        <v>27502</v>
      </c>
      <c r="F25746" s="2"/>
      <c r="G25746" s="2"/>
      <c r="H25746" s="2"/>
    </row>
    <row r="25747" spans="1:8" x14ac:dyDescent="0.25">
      <c r="A25747" s="1"/>
      <c r="B25747" s="1" t="s">
        <v>7328</v>
      </c>
      <c r="C25747" s="1" t="s">
        <v>7329</v>
      </c>
      <c r="D25747" s="22" t="str">
        <f>HYPERLINK("https://rhld.insurance.arkansas.gov/NPILookup?Npi=1538141221","1538141221")</f>
        <v>1538141221</v>
      </c>
      <c r="E25747" s="1" t="s">
        <v>13240</v>
      </c>
      <c r="F25747" s="2"/>
      <c r="G25747" s="2"/>
      <c r="H25747" s="2"/>
    </row>
    <row r="25748" spans="1:8" x14ac:dyDescent="0.25">
      <c r="A25748" s="1"/>
      <c r="B25748" s="1" t="s">
        <v>7328</v>
      </c>
      <c r="C25748" s="1" t="s">
        <v>7329</v>
      </c>
      <c r="D25748" s="22" t="str">
        <f>HYPERLINK("https://rhld.insurance.arkansas.gov/NPILookup?Npi=1538152699","1538152699")</f>
        <v>1538152699</v>
      </c>
      <c r="E25748" s="1" t="s">
        <v>1558</v>
      </c>
      <c r="F25748" s="2"/>
      <c r="G25748" s="2"/>
      <c r="H25748" s="2"/>
    </row>
    <row r="25749" spans="1:8" x14ac:dyDescent="0.25">
      <c r="A25749" s="1"/>
      <c r="B25749" s="1" t="s">
        <v>7328</v>
      </c>
      <c r="C25749" s="1" t="s">
        <v>7329</v>
      </c>
      <c r="D25749" s="22" t="str">
        <f>HYPERLINK("https://rhld.insurance.arkansas.gov/NPILookup?Npi=1538154570","1538154570")</f>
        <v>1538154570</v>
      </c>
      <c r="E25749" s="1" t="s">
        <v>13241</v>
      </c>
      <c r="F25749" s="2"/>
      <c r="G25749" s="2"/>
      <c r="H25749" s="2"/>
    </row>
    <row r="25750" spans="1:8" x14ac:dyDescent="0.25">
      <c r="A25750" s="1"/>
      <c r="B25750" s="1" t="s">
        <v>7328</v>
      </c>
      <c r="C25750" s="1" t="s">
        <v>7329</v>
      </c>
      <c r="D25750" s="22" t="str">
        <f>HYPERLINK("https://rhld.insurance.arkansas.gov/NPILookup?Npi=1538155338","1538155338")</f>
        <v>1538155338</v>
      </c>
      <c r="E25750" s="1" t="s">
        <v>27503</v>
      </c>
      <c r="F25750" s="2"/>
      <c r="G25750" s="2"/>
      <c r="H25750" s="2"/>
    </row>
    <row r="25751" spans="1:8" x14ac:dyDescent="0.25">
      <c r="A25751" s="1"/>
      <c r="B25751" s="1" t="s">
        <v>7328</v>
      </c>
      <c r="C25751" s="1" t="s">
        <v>7329</v>
      </c>
      <c r="D25751" s="22" t="str">
        <f>HYPERLINK("https://rhld.insurance.arkansas.gov/NPILookup?Npi=1538162045","1538162045")</f>
        <v>1538162045</v>
      </c>
      <c r="E25751" s="1" t="s">
        <v>13242</v>
      </c>
      <c r="F25751" s="2"/>
      <c r="G25751" s="2"/>
      <c r="H25751" s="2"/>
    </row>
    <row r="25752" spans="1:8" x14ac:dyDescent="0.25">
      <c r="A25752" s="1"/>
      <c r="B25752" s="1" t="s">
        <v>7328</v>
      </c>
      <c r="C25752" s="1" t="s">
        <v>7329</v>
      </c>
      <c r="D25752" s="22" t="str">
        <f>HYPERLINK("https://rhld.insurance.arkansas.gov/NPILookup?Npi=1538163506","1538163506")</f>
        <v>1538163506</v>
      </c>
      <c r="E25752" s="1" t="s">
        <v>2883</v>
      </c>
      <c r="F25752" s="2"/>
      <c r="G25752" s="2"/>
      <c r="H25752" s="2"/>
    </row>
    <row r="25753" spans="1:8" x14ac:dyDescent="0.25">
      <c r="A25753" s="1"/>
      <c r="B25753" s="1" t="s">
        <v>7328</v>
      </c>
      <c r="C25753" s="1" t="s">
        <v>7329</v>
      </c>
      <c r="D25753" s="22" t="str">
        <f>HYPERLINK("https://rhld.insurance.arkansas.gov/NPILookup?Npi=1538168133","1538168133")</f>
        <v>1538168133</v>
      </c>
      <c r="E25753" s="1" t="s">
        <v>27504</v>
      </c>
      <c r="F25753" s="2"/>
      <c r="G25753" s="2"/>
      <c r="H25753" s="2"/>
    </row>
    <row r="25754" spans="1:8" x14ac:dyDescent="0.25">
      <c r="A25754" s="1"/>
      <c r="B25754" s="1" t="s">
        <v>7328</v>
      </c>
      <c r="C25754" s="1" t="s">
        <v>7329</v>
      </c>
      <c r="D25754" s="22" t="str">
        <f>HYPERLINK("https://rhld.insurance.arkansas.gov/NPILookup?Npi=1538168505","1538168505")</f>
        <v>1538168505</v>
      </c>
      <c r="E25754" s="1" t="s">
        <v>17627</v>
      </c>
      <c r="F25754" s="2"/>
      <c r="G25754" s="2"/>
      <c r="H25754" s="2"/>
    </row>
    <row r="25755" spans="1:8" x14ac:dyDescent="0.25">
      <c r="A25755" s="1"/>
      <c r="B25755" s="1" t="s">
        <v>7328</v>
      </c>
      <c r="C25755" s="1" t="s">
        <v>7329</v>
      </c>
      <c r="D25755" s="22" t="str">
        <f>HYPERLINK("https://rhld.insurance.arkansas.gov/NPILookup?Npi=1538169131","1538169131")</f>
        <v>1538169131</v>
      </c>
      <c r="E25755" s="1" t="s">
        <v>2884</v>
      </c>
      <c r="F25755" s="2"/>
      <c r="G25755" s="2"/>
      <c r="H25755" s="2"/>
    </row>
    <row r="25756" spans="1:8" x14ac:dyDescent="0.25">
      <c r="A25756" s="1"/>
      <c r="B25756" s="1" t="s">
        <v>7328</v>
      </c>
      <c r="C25756" s="1" t="s">
        <v>7329</v>
      </c>
      <c r="D25756" s="22" t="str">
        <f>HYPERLINK("https://rhld.insurance.arkansas.gov/NPILookup?Npi=1538181078","1538181078")</f>
        <v>1538181078</v>
      </c>
      <c r="E25756" s="1" t="s">
        <v>24035</v>
      </c>
      <c r="F25756" s="2"/>
      <c r="G25756" s="2"/>
      <c r="H25756" s="2"/>
    </row>
    <row r="25757" spans="1:8" x14ac:dyDescent="0.25">
      <c r="A25757" s="1"/>
      <c r="B25757" s="1" t="s">
        <v>7328</v>
      </c>
      <c r="C25757" s="1" t="s">
        <v>7329</v>
      </c>
      <c r="D25757" s="22" t="str">
        <f>HYPERLINK("https://rhld.insurance.arkansas.gov/NPILookup?Npi=1538185889","1538185889")</f>
        <v>1538185889</v>
      </c>
      <c r="E25757" s="1" t="s">
        <v>13244</v>
      </c>
      <c r="F25757" s="2"/>
      <c r="G25757" s="2"/>
      <c r="H25757" s="2"/>
    </row>
    <row r="25758" spans="1:8" x14ac:dyDescent="0.25">
      <c r="A25758" s="1"/>
      <c r="B25758" s="1" t="s">
        <v>7328</v>
      </c>
      <c r="C25758" s="1" t="s">
        <v>7329</v>
      </c>
      <c r="D25758" s="22" t="str">
        <f>HYPERLINK("https://rhld.insurance.arkansas.gov/NPILookup?Npi=1538187190","1538187190")</f>
        <v>1538187190</v>
      </c>
      <c r="E25758" s="1" t="s">
        <v>17628</v>
      </c>
      <c r="F25758" s="2"/>
      <c r="G25758" s="2"/>
      <c r="H25758" s="2"/>
    </row>
    <row r="25759" spans="1:8" x14ac:dyDescent="0.25">
      <c r="A25759" s="1"/>
      <c r="B25759" s="1" t="s">
        <v>7328</v>
      </c>
      <c r="C25759" s="1" t="s">
        <v>7329</v>
      </c>
      <c r="D25759" s="22" t="str">
        <f>HYPERLINK("https://rhld.insurance.arkansas.gov/NPILookup?Npi=1538189634","1538189634")</f>
        <v>1538189634</v>
      </c>
      <c r="E25759" s="1" t="s">
        <v>782</v>
      </c>
      <c r="F25759" s="2"/>
      <c r="G25759" s="2"/>
      <c r="H25759" s="2"/>
    </row>
    <row r="25760" spans="1:8" x14ac:dyDescent="0.25">
      <c r="A25760" s="1"/>
      <c r="B25760" s="1" t="s">
        <v>7328</v>
      </c>
      <c r="C25760" s="1" t="s">
        <v>7329</v>
      </c>
      <c r="D25760" s="22" t="str">
        <f>HYPERLINK("https://rhld.insurance.arkansas.gov/NPILookup?Npi=1538257894","1538257894")</f>
        <v>1538257894</v>
      </c>
      <c r="E25760" s="1" t="s">
        <v>10650</v>
      </c>
      <c r="F25760" s="2"/>
      <c r="G25760" s="2"/>
      <c r="H25760" s="2"/>
    </row>
    <row r="25761" spans="1:8" x14ac:dyDescent="0.25">
      <c r="A25761" s="1"/>
      <c r="B25761" s="1" t="s">
        <v>7328</v>
      </c>
      <c r="C25761" s="1" t="s">
        <v>7329</v>
      </c>
      <c r="D25761" s="22" t="str">
        <f>HYPERLINK("https://rhld.insurance.arkansas.gov/NPILookup?Npi=1538263827","1538263827")</f>
        <v>1538263827</v>
      </c>
      <c r="E25761" s="1" t="s">
        <v>13245</v>
      </c>
      <c r="F25761" s="2"/>
      <c r="G25761" s="2"/>
      <c r="H25761" s="2"/>
    </row>
    <row r="25762" spans="1:8" x14ac:dyDescent="0.25">
      <c r="A25762" s="1"/>
      <c r="B25762" s="1" t="s">
        <v>7328</v>
      </c>
      <c r="C25762" s="1" t="s">
        <v>7329</v>
      </c>
      <c r="D25762" s="22" t="str">
        <f>HYPERLINK("https://rhld.insurance.arkansas.gov/NPILookup?Npi=1538279385","1538279385")</f>
        <v>1538279385</v>
      </c>
      <c r="E25762" s="1" t="s">
        <v>27505</v>
      </c>
      <c r="F25762" s="2"/>
      <c r="G25762" s="2"/>
      <c r="H25762" s="2"/>
    </row>
    <row r="25763" spans="1:8" x14ac:dyDescent="0.25">
      <c r="A25763" s="1"/>
      <c r="B25763" s="1" t="s">
        <v>7328</v>
      </c>
      <c r="C25763" s="1" t="s">
        <v>7329</v>
      </c>
      <c r="D25763" s="22" t="str">
        <f>HYPERLINK("https://rhld.insurance.arkansas.gov/NPILookup?Npi=1538322052","1538322052")</f>
        <v>1538322052</v>
      </c>
      <c r="E25763" s="1" t="s">
        <v>27506</v>
      </c>
      <c r="F25763" s="2"/>
      <c r="G25763" s="2"/>
      <c r="H25763" s="2"/>
    </row>
    <row r="25764" spans="1:8" x14ac:dyDescent="0.25">
      <c r="A25764" s="1"/>
      <c r="B25764" s="1" t="s">
        <v>7328</v>
      </c>
      <c r="C25764" s="1" t="s">
        <v>7329</v>
      </c>
      <c r="D25764" s="22" t="str">
        <f>HYPERLINK("https://rhld.insurance.arkansas.gov/NPILookup?Npi=1538330220","1538330220")</f>
        <v>1538330220</v>
      </c>
      <c r="E25764" s="1" t="s">
        <v>25701</v>
      </c>
      <c r="F25764" s="2"/>
      <c r="G25764" s="2"/>
      <c r="H25764" s="2"/>
    </row>
    <row r="25765" spans="1:8" x14ac:dyDescent="0.25">
      <c r="A25765" s="1"/>
      <c r="B25765" s="1" t="s">
        <v>7328</v>
      </c>
      <c r="C25765" s="1" t="s">
        <v>7329</v>
      </c>
      <c r="D25765" s="22" t="str">
        <f>HYPERLINK("https://rhld.insurance.arkansas.gov/NPILookup?Npi=1538331962","1538331962")</f>
        <v>1538331962</v>
      </c>
      <c r="E25765" s="1" t="s">
        <v>205</v>
      </c>
      <c r="F25765" s="2"/>
      <c r="G25765" s="2"/>
      <c r="H25765" s="2"/>
    </row>
    <row r="25766" spans="1:8" x14ac:dyDescent="0.25">
      <c r="A25766" s="1"/>
      <c r="B25766" s="1" t="s">
        <v>7328</v>
      </c>
      <c r="C25766" s="1" t="s">
        <v>7329</v>
      </c>
      <c r="D25766" s="22" t="str">
        <f>HYPERLINK("https://rhld.insurance.arkansas.gov/NPILookup?Npi=1538361027","1538361027")</f>
        <v>1538361027</v>
      </c>
      <c r="E25766" s="1" t="s">
        <v>27507</v>
      </c>
      <c r="F25766" s="2"/>
      <c r="G25766" s="2"/>
      <c r="H25766" s="2"/>
    </row>
    <row r="25767" spans="1:8" x14ac:dyDescent="0.25">
      <c r="A25767" s="1"/>
      <c r="B25767" s="1" t="s">
        <v>7328</v>
      </c>
      <c r="C25767" s="1" t="s">
        <v>7329</v>
      </c>
      <c r="D25767" s="22" t="str">
        <f>HYPERLINK("https://rhld.insurance.arkansas.gov/NPILookup?Npi=1538393400","1538393400")</f>
        <v>1538393400</v>
      </c>
      <c r="E25767" s="1" t="s">
        <v>27508</v>
      </c>
      <c r="F25767" s="2"/>
      <c r="G25767" s="2"/>
      <c r="H25767" s="2"/>
    </row>
    <row r="25768" spans="1:8" x14ac:dyDescent="0.25">
      <c r="A25768" s="1"/>
      <c r="B25768" s="1" t="s">
        <v>7328</v>
      </c>
      <c r="C25768" s="1" t="s">
        <v>7329</v>
      </c>
      <c r="D25768" s="22" t="str">
        <f>HYPERLINK("https://rhld.insurance.arkansas.gov/NPILookup?Npi=1538393459","1538393459")</f>
        <v>1538393459</v>
      </c>
      <c r="E25768" s="1" t="s">
        <v>7857</v>
      </c>
      <c r="F25768" s="2"/>
      <c r="G25768" s="2"/>
      <c r="H25768" s="2"/>
    </row>
    <row r="25769" spans="1:8" x14ac:dyDescent="0.25">
      <c r="A25769" s="1"/>
      <c r="B25769" s="1" t="s">
        <v>7328</v>
      </c>
      <c r="C25769" s="1" t="s">
        <v>7329</v>
      </c>
      <c r="D25769" s="22" t="str">
        <f>HYPERLINK("https://rhld.insurance.arkansas.gov/NPILookup?Npi=1538414420","1538414420")</f>
        <v>1538414420</v>
      </c>
      <c r="E25769" s="1" t="s">
        <v>27509</v>
      </c>
      <c r="F25769" s="2"/>
      <c r="G25769" s="2"/>
      <c r="H25769" s="2"/>
    </row>
    <row r="25770" spans="1:8" x14ac:dyDescent="0.25">
      <c r="A25770" s="1"/>
      <c r="B25770" s="1" t="s">
        <v>7328</v>
      </c>
      <c r="C25770" s="1" t="s">
        <v>7329</v>
      </c>
      <c r="D25770" s="22" t="str">
        <f>HYPERLINK("https://rhld.insurance.arkansas.gov/NPILookup?Npi=1538434295","1538434295")</f>
        <v>1538434295</v>
      </c>
      <c r="E25770" s="1" t="s">
        <v>13246</v>
      </c>
      <c r="F25770" s="2"/>
      <c r="G25770" s="2"/>
      <c r="H25770" s="2"/>
    </row>
    <row r="25771" spans="1:8" x14ac:dyDescent="0.25">
      <c r="A25771" s="1"/>
      <c r="B25771" s="1" t="s">
        <v>7328</v>
      </c>
      <c r="C25771" s="1" t="s">
        <v>7329</v>
      </c>
      <c r="D25771" s="22" t="str">
        <f>HYPERLINK("https://rhld.insurance.arkansas.gov/NPILookup?Npi=1538459425","1538459425")</f>
        <v>1538459425</v>
      </c>
      <c r="E25771" s="1" t="s">
        <v>13247</v>
      </c>
      <c r="F25771" s="2"/>
      <c r="G25771" s="2"/>
      <c r="H25771" s="2"/>
    </row>
    <row r="25772" spans="1:8" x14ac:dyDescent="0.25">
      <c r="A25772" s="1"/>
      <c r="B25772" s="1" t="s">
        <v>7328</v>
      </c>
      <c r="C25772" s="1" t="s">
        <v>7329</v>
      </c>
      <c r="D25772" s="22" t="str">
        <f>HYPERLINK("https://rhld.insurance.arkansas.gov/NPILookup?Npi=1538471875","1538471875")</f>
        <v>1538471875</v>
      </c>
      <c r="E25772" s="1" t="s">
        <v>17631</v>
      </c>
      <c r="F25772" s="2"/>
      <c r="G25772" s="2"/>
      <c r="H25772" s="2"/>
    </row>
    <row r="25773" spans="1:8" x14ac:dyDescent="0.25">
      <c r="A25773" s="1"/>
      <c r="B25773" s="1" t="s">
        <v>7328</v>
      </c>
      <c r="C25773" s="1" t="s">
        <v>7329</v>
      </c>
      <c r="D25773" s="22" t="str">
        <f>HYPERLINK("https://rhld.insurance.arkansas.gov/NPILookup?Npi=1538485941","1538485941")</f>
        <v>1538485941</v>
      </c>
      <c r="E25773" s="1" t="s">
        <v>27510</v>
      </c>
      <c r="F25773" s="2"/>
      <c r="G25773" s="2"/>
      <c r="H25773" s="2"/>
    </row>
    <row r="25774" spans="1:8" x14ac:dyDescent="0.25">
      <c r="A25774" s="1"/>
      <c r="B25774" s="1" t="s">
        <v>7328</v>
      </c>
      <c r="C25774" s="1" t="s">
        <v>7329</v>
      </c>
      <c r="D25774" s="22" t="str">
        <f>HYPERLINK("https://rhld.insurance.arkansas.gov/NPILookup?Npi=1538487822","1538487822")</f>
        <v>1538487822</v>
      </c>
      <c r="E25774" s="1" t="s">
        <v>13248</v>
      </c>
      <c r="F25774" s="2"/>
      <c r="G25774" s="2"/>
      <c r="H25774" s="2"/>
    </row>
    <row r="25775" spans="1:8" x14ac:dyDescent="0.25">
      <c r="A25775" s="1"/>
      <c r="B25775" s="1" t="s">
        <v>7328</v>
      </c>
      <c r="C25775" s="1" t="s">
        <v>7329</v>
      </c>
      <c r="D25775" s="22" t="str">
        <f>HYPERLINK("https://rhld.insurance.arkansas.gov/NPILookup?Npi=1538494091","1538494091")</f>
        <v>1538494091</v>
      </c>
      <c r="E25775" s="1" t="s">
        <v>27511</v>
      </c>
      <c r="F25775" s="2"/>
      <c r="G25775" s="2"/>
      <c r="H25775" s="2"/>
    </row>
    <row r="25776" spans="1:8" x14ac:dyDescent="0.25">
      <c r="A25776" s="1"/>
      <c r="B25776" s="1" t="s">
        <v>7328</v>
      </c>
      <c r="C25776" s="1" t="s">
        <v>7329</v>
      </c>
      <c r="D25776" s="22" t="str">
        <f>HYPERLINK("https://rhld.insurance.arkansas.gov/NPILookup?Npi=1538509385","1538509385")</f>
        <v>1538509385</v>
      </c>
      <c r="E25776" s="1" t="s">
        <v>1483</v>
      </c>
      <c r="F25776" s="2"/>
      <c r="G25776" s="2"/>
      <c r="H25776" s="2"/>
    </row>
    <row r="25777" spans="1:8" x14ac:dyDescent="0.25">
      <c r="A25777" s="1"/>
      <c r="B25777" s="1" t="s">
        <v>7328</v>
      </c>
      <c r="C25777" s="1" t="s">
        <v>7329</v>
      </c>
      <c r="D25777" s="22" t="str">
        <f>HYPERLINK("https://rhld.insurance.arkansas.gov/NPILookup?Npi=1538510490","1538510490")</f>
        <v>1538510490</v>
      </c>
      <c r="E25777" s="1" t="s">
        <v>2885</v>
      </c>
      <c r="F25777" s="2"/>
      <c r="G25777" s="2"/>
      <c r="H25777" s="2"/>
    </row>
    <row r="25778" spans="1:8" x14ac:dyDescent="0.25">
      <c r="A25778" s="1"/>
      <c r="B25778" s="1" t="s">
        <v>7328</v>
      </c>
      <c r="C25778" s="1" t="s">
        <v>7329</v>
      </c>
      <c r="D25778" s="22" t="str">
        <f>HYPERLINK("https://rhld.insurance.arkansas.gov/NPILookup?Npi=1538528765","1538528765")</f>
        <v>1538528765</v>
      </c>
      <c r="E25778" s="1" t="s">
        <v>13249</v>
      </c>
      <c r="F25778" s="2"/>
      <c r="G25778" s="2"/>
      <c r="H25778" s="2"/>
    </row>
    <row r="25779" spans="1:8" x14ac:dyDescent="0.25">
      <c r="A25779" s="1"/>
      <c r="B25779" s="1" t="s">
        <v>7328</v>
      </c>
      <c r="C25779" s="1" t="s">
        <v>7329</v>
      </c>
      <c r="D25779" s="22" t="str">
        <f>HYPERLINK("https://rhld.insurance.arkansas.gov/NPILookup?Npi=1538530316","1538530316")</f>
        <v>1538530316</v>
      </c>
      <c r="E25779" s="1" t="s">
        <v>27512</v>
      </c>
      <c r="F25779" s="2"/>
      <c r="G25779" s="2"/>
      <c r="H25779" s="2"/>
    </row>
    <row r="25780" spans="1:8" x14ac:dyDescent="0.25">
      <c r="A25780" s="1"/>
      <c r="B25780" s="1" t="s">
        <v>7328</v>
      </c>
      <c r="C25780" s="1" t="s">
        <v>7329</v>
      </c>
      <c r="D25780" s="22" t="str">
        <f>HYPERLINK("https://rhld.insurance.arkansas.gov/NPILookup?Npi=1538532809","1538532809")</f>
        <v>1538532809</v>
      </c>
      <c r="E25780" s="1" t="s">
        <v>27513</v>
      </c>
      <c r="F25780" s="2"/>
      <c r="G25780" s="2"/>
      <c r="H25780" s="2"/>
    </row>
    <row r="25781" spans="1:8" x14ac:dyDescent="0.25">
      <c r="A25781" s="1"/>
      <c r="B25781" s="1" t="s">
        <v>7328</v>
      </c>
      <c r="C25781" s="1" t="s">
        <v>7329</v>
      </c>
      <c r="D25781" s="22" t="str">
        <f>HYPERLINK("https://rhld.insurance.arkansas.gov/NPILookup?Npi=1538546874","1538546874")</f>
        <v>1538546874</v>
      </c>
      <c r="E25781" s="1" t="s">
        <v>2034</v>
      </c>
      <c r="F25781" s="2"/>
      <c r="G25781" s="2"/>
      <c r="H25781" s="2"/>
    </row>
    <row r="25782" spans="1:8" x14ac:dyDescent="0.25">
      <c r="A25782" s="1"/>
      <c r="B25782" s="1" t="s">
        <v>7328</v>
      </c>
      <c r="C25782" s="1" t="s">
        <v>7329</v>
      </c>
      <c r="D25782" s="22" t="str">
        <f>HYPERLINK("https://rhld.insurance.arkansas.gov/NPILookup?Npi=1538555248","1538555248")</f>
        <v>1538555248</v>
      </c>
      <c r="E25782" s="1" t="s">
        <v>1222</v>
      </c>
      <c r="F25782" s="2"/>
      <c r="G25782" s="2"/>
      <c r="H25782" s="2"/>
    </row>
    <row r="25783" spans="1:8" x14ac:dyDescent="0.25">
      <c r="A25783" s="1"/>
      <c r="B25783" s="1" t="s">
        <v>7328</v>
      </c>
      <c r="C25783" s="1" t="s">
        <v>7329</v>
      </c>
      <c r="D25783" s="22" t="str">
        <f>HYPERLINK("https://rhld.insurance.arkansas.gov/NPILookup?Npi=1538555818","1538555818")</f>
        <v>1538555818</v>
      </c>
      <c r="E25783" s="1" t="s">
        <v>27514</v>
      </c>
      <c r="F25783" s="2"/>
      <c r="G25783" s="2"/>
      <c r="H25783" s="2"/>
    </row>
    <row r="25784" spans="1:8" x14ac:dyDescent="0.25">
      <c r="A25784" s="1"/>
      <c r="B25784" s="1" t="s">
        <v>7328</v>
      </c>
      <c r="C25784" s="1" t="s">
        <v>7329</v>
      </c>
      <c r="D25784" s="22" t="str">
        <f>HYPERLINK("https://rhld.insurance.arkansas.gov/NPILookup?Npi=1538556634","1538556634")</f>
        <v>1538556634</v>
      </c>
      <c r="E25784" s="1" t="s">
        <v>27515</v>
      </c>
      <c r="F25784" s="2"/>
      <c r="G25784" s="2"/>
      <c r="H25784" s="2"/>
    </row>
    <row r="25785" spans="1:8" x14ac:dyDescent="0.25">
      <c r="A25785" s="1"/>
      <c r="B25785" s="1" t="s">
        <v>7328</v>
      </c>
      <c r="C25785" s="1" t="s">
        <v>7329</v>
      </c>
      <c r="D25785" s="22" t="str">
        <f>HYPERLINK("https://rhld.insurance.arkansas.gov/NPILookup?Npi=1538558812","1538558812")</f>
        <v>1538558812</v>
      </c>
      <c r="E25785" s="1" t="s">
        <v>3148</v>
      </c>
      <c r="F25785" s="2"/>
      <c r="G25785" s="2"/>
      <c r="H25785" s="2"/>
    </row>
    <row r="25786" spans="1:8" x14ac:dyDescent="0.25">
      <c r="A25786" s="1"/>
      <c r="B25786" s="1" t="s">
        <v>7328</v>
      </c>
      <c r="C25786" s="1" t="s">
        <v>7329</v>
      </c>
      <c r="D25786" s="22" t="str">
        <f>HYPERLINK("https://rhld.insurance.arkansas.gov/NPILookup?Npi=1538571575","1538571575")</f>
        <v>1538571575</v>
      </c>
      <c r="E25786" s="1" t="s">
        <v>27516</v>
      </c>
      <c r="F25786" s="2"/>
      <c r="G25786" s="2"/>
      <c r="H25786" s="2"/>
    </row>
    <row r="25787" spans="1:8" x14ac:dyDescent="0.25">
      <c r="A25787" s="1"/>
      <c r="B25787" s="1" t="s">
        <v>7328</v>
      </c>
      <c r="C25787" s="1" t="s">
        <v>7329</v>
      </c>
      <c r="D25787" s="22" t="str">
        <f>HYPERLINK("https://rhld.insurance.arkansas.gov/NPILookup?Npi=1538574199","1538574199")</f>
        <v>1538574199</v>
      </c>
      <c r="E25787" s="1" t="s">
        <v>27517</v>
      </c>
      <c r="F25787" s="2"/>
      <c r="G25787" s="2"/>
      <c r="H25787" s="2"/>
    </row>
    <row r="25788" spans="1:8" x14ac:dyDescent="0.25">
      <c r="A25788" s="1"/>
      <c r="B25788" s="1" t="s">
        <v>7328</v>
      </c>
      <c r="C25788" s="1" t="s">
        <v>7329</v>
      </c>
      <c r="D25788" s="22" t="str">
        <f>HYPERLINK("https://rhld.insurance.arkansas.gov/NPILookup?Npi=1538609920","1538609920")</f>
        <v>1538609920</v>
      </c>
      <c r="E25788" s="1" t="s">
        <v>2886</v>
      </c>
      <c r="F25788" s="2"/>
      <c r="G25788" s="2"/>
      <c r="H25788" s="2"/>
    </row>
    <row r="25789" spans="1:8" x14ac:dyDescent="0.25">
      <c r="A25789" s="1"/>
      <c r="B25789" s="1" t="s">
        <v>7328</v>
      </c>
      <c r="C25789" s="1" t="s">
        <v>7329</v>
      </c>
      <c r="D25789" s="22" t="str">
        <f>HYPERLINK("https://rhld.insurance.arkansas.gov/NPILookup?Npi=1538611975","1538611975")</f>
        <v>1538611975</v>
      </c>
      <c r="E25789" s="1" t="s">
        <v>1032</v>
      </c>
      <c r="F25789" s="2"/>
      <c r="G25789" s="2"/>
      <c r="H25789" s="2"/>
    </row>
    <row r="25790" spans="1:8" x14ac:dyDescent="0.25">
      <c r="A25790" s="1"/>
      <c r="B25790" s="1" t="s">
        <v>7328</v>
      </c>
      <c r="C25790" s="1" t="s">
        <v>7329</v>
      </c>
      <c r="D25790" s="22" t="str">
        <f>HYPERLINK("https://rhld.insurance.arkansas.gov/NPILookup?Npi=1538616925","1538616925")</f>
        <v>1538616925</v>
      </c>
      <c r="E25790" s="1" t="s">
        <v>13250</v>
      </c>
      <c r="F25790" s="2"/>
      <c r="G25790" s="2"/>
      <c r="H25790" s="2"/>
    </row>
    <row r="25791" spans="1:8" x14ac:dyDescent="0.25">
      <c r="A25791" s="1"/>
      <c r="B25791" s="1" t="s">
        <v>7328</v>
      </c>
      <c r="C25791" s="1" t="s">
        <v>7329</v>
      </c>
      <c r="D25791" s="22" t="str">
        <f>HYPERLINK("https://rhld.insurance.arkansas.gov/NPILookup?Npi=1538625371","1538625371")</f>
        <v>1538625371</v>
      </c>
      <c r="E25791" s="1" t="s">
        <v>27518</v>
      </c>
      <c r="F25791" s="2"/>
      <c r="G25791" s="2"/>
      <c r="H25791" s="2"/>
    </row>
    <row r="25792" spans="1:8" x14ac:dyDescent="0.25">
      <c r="A25792" s="1"/>
      <c r="B25792" s="1" t="s">
        <v>7328</v>
      </c>
      <c r="C25792" s="1" t="s">
        <v>7329</v>
      </c>
      <c r="D25792" s="22" t="str">
        <f>HYPERLINK("https://rhld.insurance.arkansas.gov/NPILookup?Npi=1538625900","1538625900")</f>
        <v>1538625900</v>
      </c>
      <c r="E25792" s="1" t="s">
        <v>27519</v>
      </c>
      <c r="F25792" s="2"/>
      <c r="G25792" s="2"/>
      <c r="H25792" s="2"/>
    </row>
    <row r="25793" spans="1:8" x14ac:dyDescent="0.25">
      <c r="A25793" s="1"/>
      <c r="B25793" s="1" t="s">
        <v>7328</v>
      </c>
      <c r="C25793" s="1" t="s">
        <v>7329</v>
      </c>
      <c r="D25793" s="22" t="str">
        <f>HYPERLINK("https://rhld.insurance.arkansas.gov/NPILookup?Npi=1538633995","1538633995")</f>
        <v>1538633995</v>
      </c>
      <c r="E25793" s="1" t="s">
        <v>27520</v>
      </c>
      <c r="F25793" s="2"/>
      <c r="G25793" s="2"/>
      <c r="H25793" s="2"/>
    </row>
    <row r="25794" spans="1:8" x14ac:dyDescent="0.25">
      <c r="A25794" s="1"/>
      <c r="B25794" s="1" t="s">
        <v>7328</v>
      </c>
      <c r="C25794" s="1" t="s">
        <v>7329</v>
      </c>
      <c r="D25794" s="22" t="str">
        <f>HYPERLINK("https://rhld.insurance.arkansas.gov/NPILookup?Npi=1538634837","1538634837")</f>
        <v>1538634837</v>
      </c>
      <c r="E25794" s="1" t="s">
        <v>27521</v>
      </c>
      <c r="F25794" s="2"/>
      <c r="G25794" s="2"/>
      <c r="H25794" s="2"/>
    </row>
    <row r="25795" spans="1:8" x14ac:dyDescent="0.25">
      <c r="A25795" s="1"/>
      <c r="B25795" s="1" t="s">
        <v>7328</v>
      </c>
      <c r="C25795" s="1" t="s">
        <v>7329</v>
      </c>
      <c r="D25795" s="22" t="str">
        <f>HYPERLINK("https://rhld.insurance.arkansas.gov/NPILookup?Npi=1538639935","1538639935")</f>
        <v>1538639935</v>
      </c>
      <c r="E25795" s="1" t="s">
        <v>27522</v>
      </c>
      <c r="F25795" s="2"/>
      <c r="G25795" s="2"/>
      <c r="H25795" s="2"/>
    </row>
    <row r="25796" spans="1:8" x14ac:dyDescent="0.25">
      <c r="A25796" s="1"/>
      <c r="B25796" s="1" t="s">
        <v>7328</v>
      </c>
      <c r="C25796" s="1" t="s">
        <v>7329</v>
      </c>
      <c r="D25796" s="22" t="str">
        <f>HYPERLINK("https://rhld.insurance.arkansas.gov/NPILookup?Npi=1538648258","1538648258")</f>
        <v>1538648258</v>
      </c>
      <c r="E25796" s="1" t="s">
        <v>27523</v>
      </c>
      <c r="F25796" s="2"/>
      <c r="G25796" s="2"/>
      <c r="H25796" s="2"/>
    </row>
    <row r="25797" spans="1:8" x14ac:dyDescent="0.25">
      <c r="A25797" s="1"/>
      <c r="B25797" s="1" t="s">
        <v>7328</v>
      </c>
      <c r="C25797" s="1" t="s">
        <v>7329</v>
      </c>
      <c r="D25797" s="22" t="str">
        <f>HYPERLINK("https://rhld.insurance.arkansas.gov/NPILookup?Npi=1538649231","1538649231")</f>
        <v>1538649231</v>
      </c>
      <c r="E25797" s="1" t="s">
        <v>2887</v>
      </c>
      <c r="F25797" s="2"/>
      <c r="G25797" s="2"/>
      <c r="H25797" s="2"/>
    </row>
    <row r="25798" spans="1:8" x14ac:dyDescent="0.25">
      <c r="A25798" s="1"/>
      <c r="B25798" s="1" t="s">
        <v>7328</v>
      </c>
      <c r="C25798" s="1" t="s">
        <v>7329</v>
      </c>
      <c r="D25798" s="22" t="str">
        <f>HYPERLINK("https://rhld.insurance.arkansas.gov/NPILookup?Npi=1538654538","1538654538")</f>
        <v>1538654538</v>
      </c>
      <c r="E25798" s="1" t="s">
        <v>27524</v>
      </c>
      <c r="F25798" s="2"/>
      <c r="G25798" s="2"/>
      <c r="H25798" s="2"/>
    </row>
    <row r="25799" spans="1:8" x14ac:dyDescent="0.25">
      <c r="A25799" s="1"/>
      <c r="B25799" s="1" t="s">
        <v>7328</v>
      </c>
      <c r="C25799" s="1" t="s">
        <v>7329</v>
      </c>
      <c r="D25799" s="22" t="str">
        <f>HYPERLINK("https://rhld.insurance.arkansas.gov/NPILookup?Npi=1538669189","1538669189")</f>
        <v>1538669189</v>
      </c>
      <c r="E25799" s="1" t="s">
        <v>13251</v>
      </c>
      <c r="F25799" s="2"/>
      <c r="G25799" s="2"/>
      <c r="H25799" s="2"/>
    </row>
    <row r="25800" spans="1:8" x14ac:dyDescent="0.25">
      <c r="A25800" s="1"/>
      <c r="B25800" s="1" t="s">
        <v>7328</v>
      </c>
      <c r="C25800" s="1" t="s">
        <v>7329</v>
      </c>
      <c r="D25800" s="22" t="str">
        <f>HYPERLINK("https://rhld.insurance.arkansas.gov/NPILookup?Npi=1538689203","1538689203")</f>
        <v>1538689203</v>
      </c>
      <c r="E25800" s="1" t="s">
        <v>27525</v>
      </c>
      <c r="F25800" s="2"/>
      <c r="G25800" s="2"/>
      <c r="H25800" s="2"/>
    </row>
    <row r="25801" spans="1:8" x14ac:dyDescent="0.25">
      <c r="A25801" s="1"/>
      <c r="B25801" s="1" t="s">
        <v>7328</v>
      </c>
      <c r="C25801" s="1" t="s">
        <v>7329</v>
      </c>
      <c r="D25801" s="22" t="str">
        <f>HYPERLINK("https://rhld.insurance.arkansas.gov/NPILookup?Npi=1538690342","1538690342")</f>
        <v>1538690342</v>
      </c>
      <c r="E25801" s="1" t="s">
        <v>13252</v>
      </c>
      <c r="F25801" s="2"/>
      <c r="G25801" s="2"/>
      <c r="H25801" s="2"/>
    </row>
    <row r="25802" spans="1:8" x14ac:dyDescent="0.25">
      <c r="A25802" s="1"/>
      <c r="B25802" s="1" t="s">
        <v>7328</v>
      </c>
      <c r="C25802" s="1" t="s">
        <v>7329</v>
      </c>
      <c r="D25802" s="22" t="str">
        <f>HYPERLINK("https://rhld.insurance.arkansas.gov/NPILookup?Npi=1538695374","1538695374")</f>
        <v>1538695374</v>
      </c>
      <c r="E25802" s="1" t="s">
        <v>13253</v>
      </c>
      <c r="F25802" s="2"/>
      <c r="G25802" s="2"/>
      <c r="H25802" s="2"/>
    </row>
    <row r="25803" spans="1:8" x14ac:dyDescent="0.25">
      <c r="A25803" s="1"/>
      <c r="B25803" s="1" t="s">
        <v>7328</v>
      </c>
      <c r="C25803" s="1" t="s">
        <v>7329</v>
      </c>
      <c r="D25803" s="22" t="str">
        <f>HYPERLINK("https://rhld.insurance.arkansas.gov/NPILookup?Npi=1538697438","1538697438")</f>
        <v>1538697438</v>
      </c>
      <c r="E25803" s="1" t="s">
        <v>17634</v>
      </c>
      <c r="F25803" s="2"/>
      <c r="G25803" s="2"/>
      <c r="H25803" s="2"/>
    </row>
    <row r="25804" spans="1:8" x14ac:dyDescent="0.25">
      <c r="A25804" s="1"/>
      <c r="B25804" s="1" t="s">
        <v>7328</v>
      </c>
      <c r="C25804" s="1" t="s">
        <v>7329</v>
      </c>
      <c r="D25804" s="22" t="str">
        <f>HYPERLINK("https://rhld.insurance.arkansas.gov/NPILookup?Npi=1538697586","1538697586")</f>
        <v>1538697586</v>
      </c>
      <c r="E25804" s="1" t="s">
        <v>11789</v>
      </c>
      <c r="F25804" s="2"/>
      <c r="G25804" s="2"/>
      <c r="H25804" s="2"/>
    </row>
    <row r="25805" spans="1:8" x14ac:dyDescent="0.25">
      <c r="A25805" s="1"/>
      <c r="B25805" s="1" t="s">
        <v>7328</v>
      </c>
      <c r="C25805" s="1" t="s">
        <v>7329</v>
      </c>
      <c r="D25805" s="22" t="str">
        <f>HYPERLINK("https://rhld.insurance.arkansas.gov/NPILookup?Npi=1538714738","1538714738")</f>
        <v>1538714738</v>
      </c>
      <c r="E25805" s="1" t="s">
        <v>27526</v>
      </c>
      <c r="F25805" s="2"/>
      <c r="G25805" s="2"/>
      <c r="H25805" s="2"/>
    </row>
    <row r="25806" spans="1:8" x14ac:dyDescent="0.25">
      <c r="A25806" s="1"/>
      <c r="B25806" s="1" t="s">
        <v>7328</v>
      </c>
      <c r="C25806" s="1" t="s">
        <v>7329</v>
      </c>
      <c r="D25806" s="22" t="str">
        <f>HYPERLINK("https://rhld.insurance.arkansas.gov/NPILookup?Npi=1538729116","1538729116")</f>
        <v>1538729116</v>
      </c>
      <c r="E25806" s="1" t="s">
        <v>7172</v>
      </c>
      <c r="F25806" s="2"/>
      <c r="G25806" s="2"/>
      <c r="H25806" s="2"/>
    </row>
    <row r="25807" spans="1:8" x14ac:dyDescent="0.25">
      <c r="A25807" s="1"/>
      <c r="B25807" s="1" t="s">
        <v>7328</v>
      </c>
      <c r="C25807" s="1" t="s">
        <v>7329</v>
      </c>
      <c r="D25807" s="22" t="str">
        <f>HYPERLINK("https://rhld.insurance.arkansas.gov/NPILookup?Npi=1538756754","1538756754")</f>
        <v>1538756754</v>
      </c>
      <c r="E25807" s="1" t="s">
        <v>27527</v>
      </c>
      <c r="F25807" s="2"/>
      <c r="G25807" s="2"/>
      <c r="H25807" s="2"/>
    </row>
    <row r="25808" spans="1:8" x14ac:dyDescent="0.25">
      <c r="A25808" s="1"/>
      <c r="B25808" s="1" t="s">
        <v>7328</v>
      </c>
      <c r="C25808" s="1" t="s">
        <v>7329</v>
      </c>
      <c r="D25808" s="22" t="str">
        <f>HYPERLINK("https://rhld.insurance.arkansas.gov/NPILookup?Npi=1538758628","1538758628")</f>
        <v>1538758628</v>
      </c>
      <c r="E25808" s="1" t="s">
        <v>7858</v>
      </c>
      <c r="F25808" s="2"/>
      <c r="G25808" s="2"/>
      <c r="H25808" s="2"/>
    </row>
    <row r="25809" spans="1:8" x14ac:dyDescent="0.25">
      <c r="A25809" s="1"/>
      <c r="B25809" s="1" t="s">
        <v>7328</v>
      </c>
      <c r="C25809" s="1" t="s">
        <v>7329</v>
      </c>
      <c r="D25809" s="22" t="str">
        <f>HYPERLINK("https://rhld.insurance.arkansas.gov/NPILookup?Npi=1538763677","1538763677")</f>
        <v>1538763677</v>
      </c>
      <c r="E25809" s="1" t="s">
        <v>27528</v>
      </c>
      <c r="F25809" s="2"/>
      <c r="G25809" s="2"/>
      <c r="H25809" s="2"/>
    </row>
    <row r="25810" spans="1:8" x14ac:dyDescent="0.25">
      <c r="A25810" s="1"/>
      <c r="B25810" s="1" t="s">
        <v>7328</v>
      </c>
      <c r="C25810" s="1" t="s">
        <v>7329</v>
      </c>
      <c r="D25810" s="22" t="str">
        <f>HYPERLINK("https://rhld.insurance.arkansas.gov/NPILookup?Npi=1538780226","1538780226")</f>
        <v>1538780226</v>
      </c>
      <c r="E25810" s="1" t="s">
        <v>13254</v>
      </c>
      <c r="F25810" s="2"/>
      <c r="G25810" s="2"/>
      <c r="H25810" s="2"/>
    </row>
    <row r="25811" spans="1:8" x14ac:dyDescent="0.25">
      <c r="A25811" s="1"/>
      <c r="B25811" s="1" t="s">
        <v>7328</v>
      </c>
      <c r="C25811" s="1" t="s">
        <v>7329</v>
      </c>
      <c r="D25811" s="22" t="str">
        <f>HYPERLINK("https://rhld.insurance.arkansas.gov/NPILookup?Npi=1538796164","1538796164")</f>
        <v>1538796164</v>
      </c>
      <c r="E25811" s="1" t="s">
        <v>27529</v>
      </c>
      <c r="F25811" s="2"/>
      <c r="G25811" s="2"/>
      <c r="H25811" s="2"/>
    </row>
    <row r="25812" spans="1:8" x14ac:dyDescent="0.25">
      <c r="A25812" s="1"/>
      <c r="B25812" s="1" t="s">
        <v>7328</v>
      </c>
      <c r="C25812" s="1" t="s">
        <v>7329</v>
      </c>
      <c r="D25812" s="22" t="str">
        <f>HYPERLINK("https://rhld.insurance.arkansas.gov/NPILookup?Npi=1538798087","1538798087")</f>
        <v>1538798087</v>
      </c>
      <c r="E25812" s="1" t="s">
        <v>27530</v>
      </c>
      <c r="F25812" s="2"/>
      <c r="G25812" s="2"/>
      <c r="H25812" s="2"/>
    </row>
    <row r="25813" spans="1:8" x14ac:dyDescent="0.25">
      <c r="A25813" s="1"/>
      <c r="B25813" s="1" t="s">
        <v>7328</v>
      </c>
      <c r="C25813" s="1" t="s">
        <v>7329</v>
      </c>
      <c r="D25813" s="22" t="str">
        <f>HYPERLINK("https://rhld.insurance.arkansas.gov/NPILookup?Npi=1538801741","1538801741")</f>
        <v>1538801741</v>
      </c>
      <c r="E25813" s="1" t="s">
        <v>27531</v>
      </c>
      <c r="F25813" s="2"/>
      <c r="G25813" s="2"/>
      <c r="H25813" s="2"/>
    </row>
    <row r="25814" spans="1:8" x14ac:dyDescent="0.25">
      <c r="A25814" s="1"/>
      <c r="B25814" s="1" t="s">
        <v>7328</v>
      </c>
      <c r="C25814" s="1" t="s">
        <v>7329</v>
      </c>
      <c r="D25814" s="22" t="str">
        <f>HYPERLINK("https://rhld.insurance.arkansas.gov/NPILookup?Npi=1538806591","1538806591")</f>
        <v>1538806591</v>
      </c>
      <c r="E25814" s="1" t="s">
        <v>27532</v>
      </c>
      <c r="F25814" s="2"/>
      <c r="G25814" s="2"/>
      <c r="H25814" s="2"/>
    </row>
    <row r="25815" spans="1:8" x14ac:dyDescent="0.25">
      <c r="A25815" s="1"/>
      <c r="B25815" s="1" t="s">
        <v>7328</v>
      </c>
      <c r="C25815" s="1" t="s">
        <v>7329</v>
      </c>
      <c r="D25815" s="22" t="str">
        <f>HYPERLINK("https://rhld.insurance.arkansas.gov/NPILookup?Npi=1538816806","1538816806")</f>
        <v>1538816806</v>
      </c>
      <c r="E25815" s="1" t="s">
        <v>7859</v>
      </c>
      <c r="F25815" s="2"/>
      <c r="G25815" s="2"/>
      <c r="H25815" s="2"/>
    </row>
    <row r="25816" spans="1:8" x14ac:dyDescent="0.25">
      <c r="A25816" s="1"/>
      <c r="B25816" s="1" t="s">
        <v>7328</v>
      </c>
      <c r="C25816" s="1" t="s">
        <v>7329</v>
      </c>
      <c r="D25816" s="22" t="str">
        <f>HYPERLINK("https://rhld.insurance.arkansas.gov/NPILookup?Npi=1538817325","1538817325")</f>
        <v>1538817325</v>
      </c>
      <c r="E25816" s="1" t="s">
        <v>27533</v>
      </c>
      <c r="F25816" s="2"/>
      <c r="G25816" s="2"/>
      <c r="H25816" s="2"/>
    </row>
    <row r="25817" spans="1:8" x14ac:dyDescent="0.25">
      <c r="A25817" s="1"/>
      <c r="B25817" s="1" t="s">
        <v>7328</v>
      </c>
      <c r="C25817" s="1" t="s">
        <v>7329</v>
      </c>
      <c r="D25817" s="22" t="str">
        <f>HYPERLINK("https://rhld.insurance.arkansas.gov/NPILookup?Npi=1538818018","1538818018")</f>
        <v>1538818018</v>
      </c>
      <c r="E25817" s="1" t="s">
        <v>27534</v>
      </c>
      <c r="F25817" s="2"/>
      <c r="G25817" s="2"/>
      <c r="H25817" s="2"/>
    </row>
    <row r="25818" spans="1:8" x14ac:dyDescent="0.25">
      <c r="A25818" s="1"/>
      <c r="B25818" s="1" t="s">
        <v>7328</v>
      </c>
      <c r="C25818" s="1" t="s">
        <v>7329</v>
      </c>
      <c r="D25818" s="22" t="str">
        <f>HYPERLINK("https://rhld.insurance.arkansas.gov/NPILookup?Npi=1538825443","1538825443")</f>
        <v>1538825443</v>
      </c>
      <c r="E25818" s="1" t="s">
        <v>13255</v>
      </c>
      <c r="F25818" s="2"/>
      <c r="G25818" s="2"/>
      <c r="H25818" s="2"/>
    </row>
    <row r="25819" spans="1:8" x14ac:dyDescent="0.25">
      <c r="A25819" s="1"/>
      <c r="B25819" s="1" t="s">
        <v>7328</v>
      </c>
      <c r="C25819" s="1" t="s">
        <v>7329</v>
      </c>
      <c r="D25819" s="22" t="str">
        <f>HYPERLINK("https://rhld.insurance.arkansas.gov/NPILookup?Npi=1538837661","1538837661")</f>
        <v>1538837661</v>
      </c>
      <c r="E25819" s="1" t="s">
        <v>27535</v>
      </c>
      <c r="F25819" s="2"/>
      <c r="G25819" s="2"/>
      <c r="H25819" s="2"/>
    </row>
    <row r="25820" spans="1:8" x14ac:dyDescent="0.25">
      <c r="A25820" s="1"/>
      <c r="B25820" s="1" t="s">
        <v>7328</v>
      </c>
      <c r="C25820" s="1" t="s">
        <v>7329</v>
      </c>
      <c r="D25820" s="22" t="str">
        <f>HYPERLINK("https://rhld.insurance.arkansas.gov/NPILookup?Npi=1538838214","1538838214")</f>
        <v>1538838214</v>
      </c>
      <c r="E25820" s="1" t="s">
        <v>13256</v>
      </c>
      <c r="F25820" s="2"/>
      <c r="G25820" s="2"/>
      <c r="H25820" s="2"/>
    </row>
    <row r="25821" spans="1:8" x14ac:dyDescent="0.25">
      <c r="A25821" s="1"/>
      <c r="B25821" s="1" t="s">
        <v>7328</v>
      </c>
      <c r="C25821" s="1" t="s">
        <v>7329</v>
      </c>
      <c r="D25821" s="22" t="str">
        <f>HYPERLINK("https://rhld.insurance.arkansas.gov/NPILookup?Npi=1538851183","1538851183")</f>
        <v>1538851183</v>
      </c>
      <c r="E25821" s="1" t="s">
        <v>22529</v>
      </c>
      <c r="F25821" s="2"/>
      <c r="G25821" s="2"/>
      <c r="H25821" s="2"/>
    </row>
    <row r="25822" spans="1:8" x14ac:dyDescent="0.25">
      <c r="A25822" s="1"/>
      <c r="B25822" s="1" t="s">
        <v>7328</v>
      </c>
      <c r="C25822" s="1" t="s">
        <v>7329</v>
      </c>
      <c r="D25822" s="22" t="str">
        <f>HYPERLINK("https://rhld.insurance.arkansas.gov/NPILookup?Npi=1538863311","1538863311")</f>
        <v>1538863311</v>
      </c>
      <c r="E25822" s="1" t="s">
        <v>13257</v>
      </c>
      <c r="F25822" s="2"/>
      <c r="G25822" s="2"/>
      <c r="H25822" s="2"/>
    </row>
    <row r="25823" spans="1:8" x14ac:dyDescent="0.25">
      <c r="A25823" s="1"/>
      <c r="B25823" s="1" t="s">
        <v>7328</v>
      </c>
      <c r="C25823" s="1" t="s">
        <v>7329</v>
      </c>
      <c r="D25823" s="22" t="str">
        <f>HYPERLINK("https://rhld.insurance.arkansas.gov/NPILookup?Npi=1538876479","1538876479")</f>
        <v>1538876479</v>
      </c>
      <c r="E25823" s="1" t="s">
        <v>7860</v>
      </c>
      <c r="F25823" s="2"/>
      <c r="G25823" s="2"/>
      <c r="H25823" s="2"/>
    </row>
    <row r="25824" spans="1:8" x14ac:dyDescent="0.25">
      <c r="A25824" s="1"/>
      <c r="B25824" s="1" t="s">
        <v>7328</v>
      </c>
      <c r="C25824" s="1" t="s">
        <v>7329</v>
      </c>
      <c r="D25824" s="22" t="str">
        <f>HYPERLINK("https://rhld.insurance.arkansas.gov/NPILookup?Npi=1538882121","1538882121")</f>
        <v>1538882121</v>
      </c>
      <c r="E25824" s="1" t="s">
        <v>7861</v>
      </c>
      <c r="F25824" s="2"/>
      <c r="G25824" s="2"/>
      <c r="H25824" s="2"/>
    </row>
    <row r="25825" spans="1:8" x14ac:dyDescent="0.25">
      <c r="A25825" s="1"/>
      <c r="B25825" s="1" t="s">
        <v>7328</v>
      </c>
      <c r="C25825" s="1" t="s">
        <v>7329</v>
      </c>
      <c r="D25825" s="22" t="str">
        <f>HYPERLINK("https://rhld.insurance.arkansas.gov/NPILookup?Npi=1538896196","1538896196")</f>
        <v>1538896196</v>
      </c>
      <c r="E25825" s="1" t="s">
        <v>27536</v>
      </c>
      <c r="F25825" s="2"/>
      <c r="G25825" s="2"/>
      <c r="H25825" s="2"/>
    </row>
    <row r="25826" spans="1:8" x14ac:dyDescent="0.25">
      <c r="A25826" s="1"/>
      <c r="B25826" s="1" t="s">
        <v>7328</v>
      </c>
      <c r="C25826" s="1" t="s">
        <v>7329</v>
      </c>
      <c r="D25826" s="22" t="str">
        <f>HYPERLINK("https://rhld.insurance.arkansas.gov/NPILookup?Npi=1538937339","1538937339")</f>
        <v>1538937339</v>
      </c>
      <c r="E25826" s="1" t="s">
        <v>7862</v>
      </c>
      <c r="F25826" s="2"/>
      <c r="G25826" s="2"/>
      <c r="H25826" s="2"/>
    </row>
    <row r="25827" spans="1:8" x14ac:dyDescent="0.25">
      <c r="A25827" s="1"/>
      <c r="B25827" s="1" t="s">
        <v>7328</v>
      </c>
      <c r="C25827" s="1" t="s">
        <v>7329</v>
      </c>
      <c r="D25827" s="22" t="str">
        <f>HYPERLINK("https://rhld.insurance.arkansas.gov/NPILookup?Npi=1538948484","1538948484")</f>
        <v>1538948484</v>
      </c>
      <c r="E25827" s="1" t="s">
        <v>7863</v>
      </c>
      <c r="F25827" s="2"/>
      <c r="G25827" s="2"/>
      <c r="H25827" s="2"/>
    </row>
    <row r="25828" spans="1:8" x14ac:dyDescent="0.25">
      <c r="A25828" s="1"/>
      <c r="B25828" s="1" t="s">
        <v>7328</v>
      </c>
      <c r="C25828" s="1" t="s">
        <v>7329</v>
      </c>
      <c r="D25828" s="22" t="str">
        <f>HYPERLINK("https://rhld.insurance.arkansas.gov/NPILookup?Npi=1538949847","1538949847")</f>
        <v>1538949847</v>
      </c>
      <c r="E25828" s="1" t="s">
        <v>7864</v>
      </c>
      <c r="F25828" s="2"/>
      <c r="G25828" s="2"/>
      <c r="H25828" s="2"/>
    </row>
    <row r="25829" spans="1:8" x14ac:dyDescent="0.25">
      <c r="A25829" s="1"/>
      <c r="B25829" s="1" t="s">
        <v>7328</v>
      </c>
      <c r="C25829" s="1" t="s">
        <v>7329</v>
      </c>
      <c r="D25829" s="22" t="str">
        <f>HYPERLINK("https://rhld.insurance.arkansas.gov/NPILookup?Npi=1538968896","1538968896")</f>
        <v>1538968896</v>
      </c>
      <c r="E25829" s="1" t="s">
        <v>32273</v>
      </c>
      <c r="F25829" s="2"/>
      <c r="G25829" s="2"/>
      <c r="H25829" s="2"/>
    </row>
    <row r="25830" spans="1:8" x14ac:dyDescent="0.25">
      <c r="A25830" s="1"/>
      <c r="B25830" s="1" t="s">
        <v>7328</v>
      </c>
      <c r="C25830" s="1" t="s">
        <v>7329</v>
      </c>
      <c r="D25830" s="22" t="str">
        <f>HYPERLINK("https://rhld.insurance.arkansas.gov/NPILookup?Npi=1548007792","1548007792")</f>
        <v>1548007792</v>
      </c>
      <c r="E25830" s="1" t="s">
        <v>27537</v>
      </c>
      <c r="F25830" s="2"/>
      <c r="G25830" s="2"/>
      <c r="H25830" s="2"/>
    </row>
    <row r="25831" spans="1:8" x14ac:dyDescent="0.25">
      <c r="A25831" s="1"/>
      <c r="B25831" s="1" t="s">
        <v>7328</v>
      </c>
      <c r="C25831" s="1" t="s">
        <v>7329</v>
      </c>
      <c r="D25831" s="22" t="str">
        <f>HYPERLINK("https://rhld.insurance.arkansas.gov/NPILookup?Npi=1548031891","1548031891")</f>
        <v>1548031891</v>
      </c>
      <c r="E25831" s="1" t="s">
        <v>27538</v>
      </c>
      <c r="F25831" s="2"/>
      <c r="G25831" s="2"/>
      <c r="H25831" s="2"/>
    </row>
    <row r="25832" spans="1:8" x14ac:dyDescent="0.25">
      <c r="A25832" s="1"/>
      <c r="B25832" s="1" t="s">
        <v>7328</v>
      </c>
      <c r="C25832" s="1" t="s">
        <v>7329</v>
      </c>
      <c r="D25832" s="22" t="str">
        <f>HYPERLINK("https://rhld.insurance.arkansas.gov/NPILookup?Npi=1548040355","1548040355")</f>
        <v>1548040355</v>
      </c>
      <c r="E25832" s="1" t="s">
        <v>7865</v>
      </c>
      <c r="F25832" s="2"/>
      <c r="G25832" s="2"/>
      <c r="H25832" s="2"/>
    </row>
    <row r="25833" spans="1:8" x14ac:dyDescent="0.25">
      <c r="A25833" s="1"/>
      <c r="B25833" s="1" t="s">
        <v>7328</v>
      </c>
      <c r="C25833" s="1" t="s">
        <v>7329</v>
      </c>
      <c r="D25833" s="22" t="str">
        <f>HYPERLINK("https://rhld.insurance.arkansas.gov/NPILookup?Npi=1548040785","1548040785")</f>
        <v>1548040785</v>
      </c>
      <c r="E25833" s="1" t="s">
        <v>6768</v>
      </c>
      <c r="F25833" s="2"/>
      <c r="G25833" s="2"/>
      <c r="H25833" s="2"/>
    </row>
    <row r="25834" spans="1:8" x14ac:dyDescent="0.25">
      <c r="A25834" s="1"/>
      <c r="B25834" s="1" t="s">
        <v>7328</v>
      </c>
      <c r="C25834" s="1" t="s">
        <v>7329</v>
      </c>
      <c r="D25834" s="22" t="str">
        <f>HYPERLINK("https://rhld.insurance.arkansas.gov/NPILookup?Npi=1548045263","1548045263")</f>
        <v>1548045263</v>
      </c>
      <c r="E25834" s="1" t="s">
        <v>27539</v>
      </c>
      <c r="F25834" s="2"/>
      <c r="G25834" s="2"/>
      <c r="H25834" s="2"/>
    </row>
    <row r="25835" spans="1:8" x14ac:dyDescent="0.25">
      <c r="A25835" s="1"/>
      <c r="B25835" s="1" t="s">
        <v>7328</v>
      </c>
      <c r="C25835" s="1" t="s">
        <v>7329</v>
      </c>
      <c r="D25835" s="22" t="str">
        <f>HYPERLINK("https://rhld.insurance.arkansas.gov/NPILookup?Npi=1548048671","1548048671")</f>
        <v>1548048671</v>
      </c>
      <c r="E25835" s="1" t="s">
        <v>27540</v>
      </c>
      <c r="F25835" s="2"/>
      <c r="G25835" s="2"/>
      <c r="H25835" s="2"/>
    </row>
    <row r="25836" spans="1:8" x14ac:dyDescent="0.25">
      <c r="A25836" s="1"/>
      <c r="B25836" s="1" t="s">
        <v>7328</v>
      </c>
      <c r="C25836" s="1" t="s">
        <v>7329</v>
      </c>
      <c r="D25836" s="22" t="str">
        <f>HYPERLINK("https://rhld.insurance.arkansas.gov/NPILookup?Npi=1548203664","1548203664")</f>
        <v>1548203664</v>
      </c>
      <c r="E25836" s="1" t="s">
        <v>27541</v>
      </c>
      <c r="F25836" s="2"/>
      <c r="G25836" s="2"/>
      <c r="H25836" s="2"/>
    </row>
    <row r="25837" spans="1:8" x14ac:dyDescent="0.25">
      <c r="A25837" s="1"/>
      <c r="B25837" s="1" t="s">
        <v>7328</v>
      </c>
      <c r="C25837" s="1" t="s">
        <v>7329</v>
      </c>
      <c r="D25837" s="22" t="str">
        <f>HYPERLINK("https://rhld.insurance.arkansas.gov/NPILookup?Npi=1548204654","1548204654")</f>
        <v>1548204654</v>
      </c>
      <c r="E25837" s="1" t="s">
        <v>27542</v>
      </c>
      <c r="F25837" s="2"/>
      <c r="G25837" s="2"/>
      <c r="H25837" s="2"/>
    </row>
    <row r="25838" spans="1:8" x14ac:dyDescent="0.25">
      <c r="A25838" s="1"/>
      <c r="B25838" s="1" t="s">
        <v>7328</v>
      </c>
      <c r="C25838" s="1" t="s">
        <v>7329</v>
      </c>
      <c r="D25838" s="22" t="str">
        <f>HYPERLINK("https://rhld.insurance.arkansas.gov/NPILookup?Npi=1548210172","1548210172")</f>
        <v>1548210172</v>
      </c>
      <c r="E25838" s="1" t="s">
        <v>2035</v>
      </c>
      <c r="F25838" s="2"/>
      <c r="G25838" s="2"/>
      <c r="H25838" s="2"/>
    </row>
    <row r="25839" spans="1:8" x14ac:dyDescent="0.25">
      <c r="A25839" s="1"/>
      <c r="B25839" s="1" t="s">
        <v>7328</v>
      </c>
      <c r="C25839" s="1" t="s">
        <v>7329</v>
      </c>
      <c r="D25839" s="22" t="str">
        <f>HYPERLINK("https://rhld.insurance.arkansas.gov/NPILookup?Npi=1548219231","1548219231")</f>
        <v>1548219231</v>
      </c>
      <c r="E25839" s="1" t="s">
        <v>672</v>
      </c>
      <c r="F25839" s="2"/>
      <c r="G25839" s="2"/>
      <c r="H25839" s="2"/>
    </row>
    <row r="25840" spans="1:8" x14ac:dyDescent="0.25">
      <c r="A25840" s="1"/>
      <c r="B25840" s="1" t="s">
        <v>7328</v>
      </c>
      <c r="C25840" s="1" t="s">
        <v>7329</v>
      </c>
      <c r="D25840" s="22" t="str">
        <f>HYPERLINK("https://rhld.insurance.arkansas.gov/NPILookup?Npi=1548226632","1548226632")</f>
        <v>1548226632</v>
      </c>
      <c r="E25840" s="1" t="s">
        <v>13258</v>
      </c>
      <c r="F25840" s="2"/>
      <c r="G25840" s="2"/>
      <c r="H25840" s="2"/>
    </row>
    <row r="25841" spans="1:8" x14ac:dyDescent="0.25">
      <c r="A25841" s="1"/>
      <c r="B25841" s="1" t="s">
        <v>7328</v>
      </c>
      <c r="C25841" s="1" t="s">
        <v>7329</v>
      </c>
      <c r="D25841" s="22" t="str">
        <f>HYPERLINK("https://rhld.insurance.arkansas.gov/NPILookup?Npi=1548227481","1548227481")</f>
        <v>1548227481</v>
      </c>
      <c r="E25841" s="1" t="s">
        <v>13082</v>
      </c>
      <c r="F25841" s="2"/>
      <c r="G25841" s="2"/>
      <c r="H25841" s="2"/>
    </row>
    <row r="25842" spans="1:8" x14ac:dyDescent="0.25">
      <c r="A25842" s="1"/>
      <c r="B25842" s="1" t="s">
        <v>7328</v>
      </c>
      <c r="C25842" s="1" t="s">
        <v>7329</v>
      </c>
      <c r="D25842" s="22" t="str">
        <f>HYPERLINK("https://rhld.insurance.arkansas.gov/NPILookup?Npi=1548240856","1548240856")</f>
        <v>1548240856</v>
      </c>
      <c r="E25842" s="1" t="s">
        <v>27543</v>
      </c>
      <c r="F25842" s="2"/>
      <c r="G25842" s="2"/>
      <c r="H25842" s="2"/>
    </row>
    <row r="25843" spans="1:8" x14ac:dyDescent="0.25">
      <c r="A25843" s="1"/>
      <c r="B25843" s="1" t="s">
        <v>7328</v>
      </c>
      <c r="C25843" s="1" t="s">
        <v>7329</v>
      </c>
      <c r="D25843" s="22" t="str">
        <f>HYPERLINK("https://rhld.insurance.arkansas.gov/NPILookup?Npi=1548245608","1548245608")</f>
        <v>1548245608</v>
      </c>
      <c r="E25843" s="1" t="s">
        <v>17637</v>
      </c>
      <c r="F25843" s="2"/>
      <c r="G25843" s="2"/>
      <c r="H25843" s="2"/>
    </row>
    <row r="25844" spans="1:8" x14ac:dyDescent="0.25">
      <c r="A25844" s="1"/>
      <c r="B25844" s="1" t="s">
        <v>7328</v>
      </c>
      <c r="C25844" s="1" t="s">
        <v>7329</v>
      </c>
      <c r="D25844" s="22" t="str">
        <f>HYPERLINK("https://rhld.insurance.arkansas.gov/NPILookup?Npi=1548258361","1548258361")</f>
        <v>1548258361</v>
      </c>
      <c r="E25844" s="1" t="s">
        <v>27544</v>
      </c>
      <c r="F25844" s="2"/>
      <c r="G25844" s="2"/>
      <c r="H25844" s="2"/>
    </row>
    <row r="25845" spans="1:8" x14ac:dyDescent="0.25">
      <c r="A25845" s="1"/>
      <c r="B25845" s="1" t="s">
        <v>7328</v>
      </c>
      <c r="C25845" s="1" t="s">
        <v>7329</v>
      </c>
      <c r="D25845" s="22" t="str">
        <f>HYPERLINK("https://rhld.insurance.arkansas.gov/NPILookup?Npi=1548263296","1548263296")</f>
        <v>1548263296</v>
      </c>
      <c r="E25845" s="1" t="s">
        <v>27545</v>
      </c>
      <c r="F25845" s="2"/>
      <c r="G25845" s="2"/>
      <c r="H25845" s="2"/>
    </row>
    <row r="25846" spans="1:8" x14ac:dyDescent="0.25">
      <c r="A25846" s="1"/>
      <c r="B25846" s="1" t="s">
        <v>7328</v>
      </c>
      <c r="C25846" s="1" t="s">
        <v>7329</v>
      </c>
      <c r="D25846" s="22" t="str">
        <f>HYPERLINK("https://rhld.insurance.arkansas.gov/NPILookup?Npi=1548265572","1548265572")</f>
        <v>1548265572</v>
      </c>
      <c r="E25846" s="1" t="s">
        <v>27546</v>
      </c>
      <c r="F25846" s="2"/>
      <c r="G25846" s="2"/>
      <c r="H25846" s="2"/>
    </row>
    <row r="25847" spans="1:8" x14ac:dyDescent="0.25">
      <c r="A25847" s="1"/>
      <c r="B25847" s="1" t="s">
        <v>7328</v>
      </c>
      <c r="C25847" s="1" t="s">
        <v>7329</v>
      </c>
      <c r="D25847" s="22" t="str">
        <f>HYPERLINK("https://rhld.insurance.arkansas.gov/NPILookup?Npi=1548291420","1548291420")</f>
        <v>1548291420</v>
      </c>
      <c r="E25847" s="1" t="s">
        <v>17638</v>
      </c>
      <c r="F25847" s="2"/>
      <c r="G25847" s="2"/>
      <c r="H25847" s="2"/>
    </row>
    <row r="25848" spans="1:8" x14ac:dyDescent="0.25">
      <c r="A25848" s="1"/>
      <c r="B25848" s="1" t="s">
        <v>7328</v>
      </c>
      <c r="C25848" s="1" t="s">
        <v>7329</v>
      </c>
      <c r="D25848" s="22" t="str">
        <f>HYPERLINK("https://rhld.insurance.arkansas.gov/NPILookup?Npi=1548303381","1548303381")</f>
        <v>1548303381</v>
      </c>
      <c r="E25848" s="1" t="s">
        <v>27547</v>
      </c>
      <c r="F25848" s="2"/>
      <c r="G25848" s="2"/>
      <c r="H25848" s="2"/>
    </row>
    <row r="25849" spans="1:8" x14ac:dyDescent="0.25">
      <c r="A25849" s="1"/>
      <c r="B25849" s="1" t="s">
        <v>7328</v>
      </c>
      <c r="C25849" s="1" t="s">
        <v>7329</v>
      </c>
      <c r="D25849" s="22" t="str">
        <f>HYPERLINK("https://rhld.insurance.arkansas.gov/NPILookup?Npi=1548304892","1548304892")</f>
        <v>1548304892</v>
      </c>
      <c r="E25849" s="1" t="s">
        <v>27548</v>
      </c>
      <c r="F25849" s="2"/>
      <c r="G25849" s="2"/>
      <c r="H25849" s="2"/>
    </row>
    <row r="25850" spans="1:8" x14ac:dyDescent="0.25">
      <c r="A25850" s="1"/>
      <c r="B25850" s="1" t="s">
        <v>7328</v>
      </c>
      <c r="C25850" s="1" t="s">
        <v>7329</v>
      </c>
      <c r="D25850" s="22" t="str">
        <f>HYPERLINK("https://rhld.insurance.arkansas.gov/NPILookup?Npi=1548306517","1548306517")</f>
        <v>1548306517</v>
      </c>
      <c r="E25850" s="1" t="s">
        <v>1791</v>
      </c>
      <c r="F25850" s="2"/>
      <c r="G25850" s="2"/>
      <c r="H25850" s="2"/>
    </row>
    <row r="25851" spans="1:8" x14ac:dyDescent="0.25">
      <c r="A25851" s="1"/>
      <c r="B25851" s="1" t="s">
        <v>7328</v>
      </c>
      <c r="C25851" s="1" t="s">
        <v>7329</v>
      </c>
      <c r="D25851" s="22" t="str">
        <f>HYPERLINK("https://rhld.insurance.arkansas.gov/NPILookup?Npi=1548329857","1548329857")</f>
        <v>1548329857</v>
      </c>
      <c r="E25851" s="1" t="s">
        <v>27549</v>
      </c>
      <c r="F25851" s="2"/>
      <c r="G25851" s="2"/>
      <c r="H25851" s="2"/>
    </row>
    <row r="25852" spans="1:8" x14ac:dyDescent="0.25">
      <c r="A25852" s="1"/>
      <c r="B25852" s="1" t="s">
        <v>7328</v>
      </c>
      <c r="C25852" s="1" t="s">
        <v>7329</v>
      </c>
      <c r="D25852" s="22" t="str">
        <f>HYPERLINK("https://rhld.insurance.arkansas.gov/NPILookup?Npi=1548334337","1548334337")</f>
        <v>1548334337</v>
      </c>
      <c r="E25852" s="1" t="s">
        <v>27550</v>
      </c>
      <c r="F25852" s="2"/>
      <c r="G25852" s="2"/>
      <c r="H25852" s="2"/>
    </row>
    <row r="25853" spans="1:8" x14ac:dyDescent="0.25">
      <c r="A25853" s="1"/>
      <c r="B25853" s="1" t="s">
        <v>7328</v>
      </c>
      <c r="C25853" s="1" t="s">
        <v>7329</v>
      </c>
      <c r="D25853" s="22" t="str">
        <f>HYPERLINK("https://rhld.insurance.arkansas.gov/NPILookup?Npi=1548345606","1548345606")</f>
        <v>1548345606</v>
      </c>
      <c r="E25853" s="1" t="s">
        <v>27551</v>
      </c>
      <c r="F25853" s="2"/>
      <c r="G25853" s="2"/>
      <c r="H25853" s="2"/>
    </row>
    <row r="25854" spans="1:8" x14ac:dyDescent="0.25">
      <c r="A25854" s="1"/>
      <c r="B25854" s="1" t="s">
        <v>7328</v>
      </c>
      <c r="C25854" s="1" t="s">
        <v>7329</v>
      </c>
      <c r="D25854" s="22" t="str">
        <f>HYPERLINK("https://rhld.insurance.arkansas.gov/NPILookup?Npi=1548354194","1548354194")</f>
        <v>1548354194</v>
      </c>
      <c r="E25854" s="1" t="s">
        <v>27552</v>
      </c>
      <c r="F25854" s="2"/>
      <c r="G25854" s="2"/>
      <c r="H25854" s="2"/>
    </row>
    <row r="25855" spans="1:8" x14ac:dyDescent="0.25">
      <c r="A25855" s="1"/>
      <c r="B25855" s="1" t="s">
        <v>7328</v>
      </c>
      <c r="C25855" s="1" t="s">
        <v>7329</v>
      </c>
      <c r="D25855" s="22" t="str">
        <f>HYPERLINK("https://rhld.insurance.arkansas.gov/NPILookup?Npi=1548357981","1548357981")</f>
        <v>1548357981</v>
      </c>
      <c r="E25855" s="1" t="s">
        <v>13259</v>
      </c>
      <c r="F25855" s="2"/>
      <c r="G25855" s="2"/>
      <c r="H25855" s="2"/>
    </row>
    <row r="25856" spans="1:8" x14ac:dyDescent="0.25">
      <c r="A25856" s="1"/>
      <c r="B25856" s="1" t="s">
        <v>7328</v>
      </c>
      <c r="C25856" s="1" t="s">
        <v>7329</v>
      </c>
      <c r="D25856" s="22" t="str">
        <f>HYPERLINK("https://rhld.insurance.arkansas.gov/NPILookup?Npi=1548366354","1548366354")</f>
        <v>1548366354</v>
      </c>
      <c r="E25856" s="1" t="s">
        <v>13260</v>
      </c>
      <c r="F25856" s="2"/>
      <c r="G25856" s="2"/>
      <c r="H25856" s="2"/>
    </row>
    <row r="25857" spans="1:8" x14ac:dyDescent="0.25">
      <c r="A25857" s="1"/>
      <c r="B25857" s="1" t="s">
        <v>7328</v>
      </c>
      <c r="C25857" s="1" t="s">
        <v>7329</v>
      </c>
      <c r="D25857" s="22" t="str">
        <f>HYPERLINK("https://rhld.insurance.arkansas.gov/NPILookup?Npi=1548373947","1548373947")</f>
        <v>1548373947</v>
      </c>
      <c r="E25857" s="1" t="s">
        <v>27553</v>
      </c>
      <c r="F25857" s="2"/>
      <c r="G25857" s="2"/>
      <c r="H25857" s="2"/>
    </row>
    <row r="25858" spans="1:8" x14ac:dyDescent="0.25">
      <c r="A25858" s="1"/>
      <c r="B25858" s="1" t="s">
        <v>7328</v>
      </c>
      <c r="C25858" s="1" t="s">
        <v>7329</v>
      </c>
      <c r="D25858" s="22" t="str">
        <f>HYPERLINK("https://rhld.insurance.arkansas.gov/NPILookup?Npi=1548398498","1548398498")</f>
        <v>1548398498</v>
      </c>
      <c r="E25858" s="1" t="s">
        <v>13261</v>
      </c>
      <c r="F25858" s="2"/>
      <c r="G25858" s="2"/>
      <c r="H25858" s="2"/>
    </row>
    <row r="25859" spans="1:8" x14ac:dyDescent="0.25">
      <c r="A25859" s="1"/>
      <c r="B25859" s="1" t="s">
        <v>7328</v>
      </c>
      <c r="C25859" s="1" t="s">
        <v>7329</v>
      </c>
      <c r="D25859" s="22" t="str">
        <f>HYPERLINK("https://rhld.insurance.arkansas.gov/NPILookup?Npi=1548412505","1548412505")</f>
        <v>1548412505</v>
      </c>
      <c r="E25859" s="1" t="s">
        <v>1419</v>
      </c>
      <c r="F25859" s="2"/>
      <c r="G25859" s="2"/>
      <c r="H25859" s="2"/>
    </row>
    <row r="25860" spans="1:8" x14ac:dyDescent="0.25">
      <c r="A25860" s="1"/>
      <c r="B25860" s="1" t="s">
        <v>7328</v>
      </c>
      <c r="C25860" s="1" t="s">
        <v>7329</v>
      </c>
      <c r="D25860" s="22" t="str">
        <f>HYPERLINK("https://rhld.insurance.arkansas.gov/NPILookup?Npi=1548418767","1548418767")</f>
        <v>1548418767</v>
      </c>
      <c r="E25860" s="1" t="s">
        <v>1015</v>
      </c>
      <c r="F25860" s="2"/>
      <c r="G25860" s="2"/>
      <c r="H25860" s="2"/>
    </row>
    <row r="25861" spans="1:8" x14ac:dyDescent="0.25">
      <c r="A25861" s="1"/>
      <c r="B25861" s="1" t="s">
        <v>7328</v>
      </c>
      <c r="C25861" s="1" t="s">
        <v>7329</v>
      </c>
      <c r="D25861" s="22" t="str">
        <f>HYPERLINK("https://rhld.insurance.arkansas.gov/NPILookup?Npi=1548443393","1548443393")</f>
        <v>1548443393</v>
      </c>
      <c r="E25861" s="1" t="s">
        <v>27554</v>
      </c>
      <c r="F25861" s="2"/>
      <c r="G25861" s="2"/>
      <c r="H25861" s="2"/>
    </row>
    <row r="25862" spans="1:8" x14ac:dyDescent="0.25">
      <c r="A25862" s="1"/>
      <c r="B25862" s="1" t="s">
        <v>7328</v>
      </c>
      <c r="C25862" s="1" t="s">
        <v>7329</v>
      </c>
      <c r="D25862" s="22" t="str">
        <f>HYPERLINK("https://rhld.insurance.arkansas.gov/NPILookup?Npi=1548452634","1548452634")</f>
        <v>1548452634</v>
      </c>
      <c r="E25862" s="1" t="s">
        <v>27555</v>
      </c>
      <c r="F25862" s="2"/>
      <c r="G25862" s="2"/>
      <c r="H25862" s="2"/>
    </row>
    <row r="25863" spans="1:8" x14ac:dyDescent="0.25">
      <c r="A25863" s="1"/>
      <c r="B25863" s="1" t="s">
        <v>7328</v>
      </c>
      <c r="C25863" s="1" t="s">
        <v>7329</v>
      </c>
      <c r="D25863" s="22" t="str">
        <f>HYPERLINK("https://rhld.insurance.arkansas.gov/NPILookup?Npi=1548464936","1548464936")</f>
        <v>1548464936</v>
      </c>
      <c r="E25863" s="1" t="s">
        <v>27556</v>
      </c>
      <c r="F25863" s="2"/>
      <c r="G25863" s="2"/>
      <c r="H25863" s="2"/>
    </row>
    <row r="25864" spans="1:8" x14ac:dyDescent="0.25">
      <c r="A25864" s="1"/>
      <c r="B25864" s="1" t="s">
        <v>7328</v>
      </c>
      <c r="C25864" s="1" t="s">
        <v>7329</v>
      </c>
      <c r="D25864" s="22" t="str">
        <f>HYPERLINK("https://rhld.insurance.arkansas.gov/NPILookup?Npi=1548464993","1548464993")</f>
        <v>1548464993</v>
      </c>
      <c r="E25864" s="1" t="s">
        <v>686</v>
      </c>
      <c r="F25864" s="2"/>
      <c r="G25864" s="2"/>
      <c r="H25864" s="2"/>
    </row>
    <row r="25865" spans="1:8" x14ac:dyDescent="0.25">
      <c r="A25865" s="1"/>
      <c r="B25865" s="1" t="s">
        <v>7328</v>
      </c>
      <c r="C25865" s="1" t="s">
        <v>7329</v>
      </c>
      <c r="D25865" s="22" t="str">
        <f>HYPERLINK("https://rhld.insurance.arkansas.gov/NPILookup?Npi=1548476252","1548476252")</f>
        <v>1548476252</v>
      </c>
      <c r="E25865" s="1" t="s">
        <v>27557</v>
      </c>
      <c r="F25865" s="2"/>
      <c r="G25865" s="2"/>
      <c r="H25865" s="2"/>
    </row>
    <row r="25866" spans="1:8" x14ac:dyDescent="0.25">
      <c r="A25866" s="1"/>
      <c r="B25866" s="1" t="s">
        <v>7328</v>
      </c>
      <c r="C25866" s="1" t="s">
        <v>7329</v>
      </c>
      <c r="D25866" s="22" t="str">
        <f>HYPERLINK("https://rhld.insurance.arkansas.gov/NPILookup?Npi=1548497258","1548497258")</f>
        <v>1548497258</v>
      </c>
      <c r="E25866" s="1" t="s">
        <v>13262</v>
      </c>
      <c r="F25866" s="2"/>
      <c r="G25866" s="2"/>
      <c r="H25866" s="2"/>
    </row>
    <row r="25867" spans="1:8" x14ac:dyDescent="0.25">
      <c r="A25867" s="1"/>
      <c r="B25867" s="1" t="s">
        <v>7328</v>
      </c>
      <c r="C25867" s="1" t="s">
        <v>7329</v>
      </c>
      <c r="D25867" s="22" t="str">
        <f>HYPERLINK("https://rhld.insurance.arkansas.gov/NPILookup?Npi=1548500770","1548500770")</f>
        <v>1548500770</v>
      </c>
      <c r="E25867" s="1" t="s">
        <v>2888</v>
      </c>
      <c r="F25867" s="2"/>
      <c r="G25867" s="2"/>
      <c r="H25867" s="2"/>
    </row>
    <row r="25868" spans="1:8" x14ac:dyDescent="0.25">
      <c r="A25868" s="1"/>
      <c r="B25868" s="1" t="s">
        <v>7328</v>
      </c>
      <c r="C25868" s="1" t="s">
        <v>7329</v>
      </c>
      <c r="D25868" s="22" t="str">
        <f>HYPERLINK("https://rhld.insurance.arkansas.gov/NPILookup?Npi=1548524861","1548524861")</f>
        <v>1548524861</v>
      </c>
      <c r="E25868" s="1" t="s">
        <v>2889</v>
      </c>
      <c r="F25868" s="2"/>
      <c r="G25868" s="2"/>
      <c r="H25868" s="2"/>
    </row>
    <row r="25869" spans="1:8" x14ac:dyDescent="0.25">
      <c r="A25869" s="1"/>
      <c r="B25869" s="1" t="s">
        <v>7328</v>
      </c>
      <c r="C25869" s="1" t="s">
        <v>7329</v>
      </c>
      <c r="D25869" s="22" t="str">
        <f>HYPERLINK("https://rhld.insurance.arkansas.gov/NPILookup?Npi=1548540115","1548540115")</f>
        <v>1548540115</v>
      </c>
      <c r="E25869" s="1" t="s">
        <v>13263</v>
      </c>
      <c r="F25869" s="2"/>
      <c r="G25869" s="2"/>
      <c r="H25869" s="2"/>
    </row>
    <row r="25870" spans="1:8" x14ac:dyDescent="0.25">
      <c r="A25870" s="1"/>
      <c r="B25870" s="1" t="s">
        <v>7328</v>
      </c>
      <c r="C25870" s="1" t="s">
        <v>7329</v>
      </c>
      <c r="D25870" s="22" t="str">
        <f>HYPERLINK("https://rhld.insurance.arkansas.gov/NPILookup?Npi=1548540396","1548540396")</f>
        <v>1548540396</v>
      </c>
      <c r="E25870" s="1" t="s">
        <v>27558</v>
      </c>
      <c r="F25870" s="2"/>
      <c r="G25870" s="2"/>
      <c r="H25870" s="2"/>
    </row>
    <row r="25871" spans="1:8" x14ac:dyDescent="0.25">
      <c r="A25871" s="1"/>
      <c r="B25871" s="1" t="s">
        <v>7328</v>
      </c>
      <c r="C25871" s="1" t="s">
        <v>7329</v>
      </c>
      <c r="D25871" s="22" t="str">
        <f>HYPERLINK("https://rhld.insurance.arkansas.gov/NPILookup?Npi=1548550015","1548550015")</f>
        <v>1548550015</v>
      </c>
      <c r="E25871" s="1" t="s">
        <v>27559</v>
      </c>
      <c r="F25871" s="2"/>
      <c r="G25871" s="2"/>
      <c r="H25871" s="2"/>
    </row>
    <row r="25872" spans="1:8" x14ac:dyDescent="0.25">
      <c r="A25872" s="1"/>
      <c r="B25872" s="1" t="s">
        <v>7328</v>
      </c>
      <c r="C25872" s="1" t="s">
        <v>7329</v>
      </c>
      <c r="D25872" s="22" t="str">
        <f>HYPERLINK("https://rhld.insurance.arkansas.gov/NPILookup?Npi=1548555378","1548555378")</f>
        <v>1548555378</v>
      </c>
      <c r="E25872" s="1" t="s">
        <v>2036</v>
      </c>
      <c r="F25872" s="2"/>
      <c r="G25872" s="2"/>
      <c r="H25872" s="2"/>
    </row>
    <row r="25873" spans="1:8" x14ac:dyDescent="0.25">
      <c r="A25873" s="1"/>
      <c r="B25873" s="1" t="s">
        <v>7328</v>
      </c>
      <c r="C25873" s="1" t="s">
        <v>7329</v>
      </c>
      <c r="D25873" s="22" t="str">
        <f>HYPERLINK("https://rhld.insurance.arkansas.gov/NPILookup?Npi=1548580236","1548580236")</f>
        <v>1548580236</v>
      </c>
      <c r="E25873" s="1" t="s">
        <v>17640</v>
      </c>
      <c r="F25873" s="2"/>
      <c r="G25873" s="2"/>
      <c r="H25873" s="2"/>
    </row>
    <row r="25874" spans="1:8" x14ac:dyDescent="0.25">
      <c r="A25874" s="1"/>
      <c r="B25874" s="1" t="s">
        <v>7328</v>
      </c>
      <c r="C25874" s="1" t="s">
        <v>7329</v>
      </c>
      <c r="D25874" s="22" t="str">
        <f>HYPERLINK("https://rhld.insurance.arkansas.gov/NPILookup?Npi=1548604044","1548604044")</f>
        <v>1548604044</v>
      </c>
      <c r="E25874" s="1" t="s">
        <v>27560</v>
      </c>
      <c r="F25874" s="2"/>
      <c r="G25874" s="2"/>
      <c r="H25874" s="2"/>
    </row>
    <row r="25875" spans="1:8" x14ac:dyDescent="0.25">
      <c r="A25875" s="1"/>
      <c r="B25875" s="1" t="s">
        <v>7328</v>
      </c>
      <c r="C25875" s="1" t="s">
        <v>7329</v>
      </c>
      <c r="D25875" s="22" t="str">
        <f>HYPERLINK("https://rhld.insurance.arkansas.gov/NPILookup?Npi=1548606338","1548606338")</f>
        <v>1548606338</v>
      </c>
      <c r="E25875" s="1" t="s">
        <v>13265</v>
      </c>
      <c r="F25875" s="2"/>
      <c r="G25875" s="2"/>
      <c r="H25875" s="2"/>
    </row>
    <row r="25876" spans="1:8" x14ac:dyDescent="0.25">
      <c r="A25876" s="1"/>
      <c r="B25876" s="1" t="s">
        <v>7328</v>
      </c>
      <c r="C25876" s="1" t="s">
        <v>7329</v>
      </c>
      <c r="D25876" s="22" t="str">
        <f>HYPERLINK("https://rhld.insurance.arkansas.gov/NPILookup?Npi=1548611049","1548611049")</f>
        <v>1548611049</v>
      </c>
      <c r="E25876" s="1" t="s">
        <v>2891</v>
      </c>
      <c r="F25876" s="2"/>
      <c r="G25876" s="2"/>
      <c r="H25876" s="2"/>
    </row>
    <row r="25877" spans="1:8" x14ac:dyDescent="0.25">
      <c r="A25877" s="1"/>
      <c r="B25877" s="1" t="s">
        <v>7328</v>
      </c>
      <c r="C25877" s="1" t="s">
        <v>7329</v>
      </c>
      <c r="D25877" s="22" t="str">
        <f>HYPERLINK("https://rhld.insurance.arkansas.gov/NPILookup?Npi=1548611718","1548611718")</f>
        <v>1548611718</v>
      </c>
      <c r="E25877" s="1" t="s">
        <v>27561</v>
      </c>
      <c r="F25877" s="2"/>
      <c r="G25877" s="2"/>
      <c r="H25877" s="2"/>
    </row>
    <row r="25878" spans="1:8" x14ac:dyDescent="0.25">
      <c r="A25878" s="1"/>
      <c r="B25878" s="1" t="s">
        <v>7328</v>
      </c>
      <c r="C25878" s="1" t="s">
        <v>7329</v>
      </c>
      <c r="D25878" s="22" t="str">
        <f>HYPERLINK("https://rhld.insurance.arkansas.gov/NPILookup?Npi=1548613029","1548613029")</f>
        <v>1548613029</v>
      </c>
      <c r="E25878" s="1" t="s">
        <v>27562</v>
      </c>
      <c r="F25878" s="2"/>
      <c r="G25878" s="2"/>
      <c r="H25878" s="2"/>
    </row>
    <row r="25879" spans="1:8" x14ac:dyDescent="0.25">
      <c r="A25879" s="1"/>
      <c r="B25879" s="1" t="s">
        <v>7328</v>
      </c>
      <c r="C25879" s="1" t="s">
        <v>7329</v>
      </c>
      <c r="D25879" s="22" t="str">
        <f>HYPERLINK("https://rhld.insurance.arkansas.gov/NPILookup?Npi=1548626310","1548626310")</f>
        <v>1548626310</v>
      </c>
      <c r="E25879" s="1" t="s">
        <v>27563</v>
      </c>
      <c r="F25879" s="2"/>
      <c r="G25879" s="2"/>
      <c r="H25879" s="2"/>
    </row>
    <row r="25880" spans="1:8" x14ac:dyDescent="0.25">
      <c r="A25880" s="1"/>
      <c r="B25880" s="1" t="s">
        <v>7328</v>
      </c>
      <c r="C25880" s="1" t="s">
        <v>7329</v>
      </c>
      <c r="D25880" s="22" t="str">
        <f>HYPERLINK("https://rhld.insurance.arkansas.gov/NPILookup?Npi=1548627375","1548627375")</f>
        <v>1548627375</v>
      </c>
      <c r="E25880" s="1" t="s">
        <v>7866</v>
      </c>
      <c r="F25880" s="2"/>
      <c r="G25880" s="2"/>
      <c r="H25880" s="2"/>
    </row>
    <row r="25881" spans="1:8" x14ac:dyDescent="0.25">
      <c r="A25881" s="1"/>
      <c r="B25881" s="1" t="s">
        <v>7328</v>
      </c>
      <c r="C25881" s="1" t="s">
        <v>7329</v>
      </c>
      <c r="D25881" s="22" t="str">
        <f>HYPERLINK("https://rhld.insurance.arkansas.gov/NPILookup?Npi=1548629199","1548629199")</f>
        <v>1548629199</v>
      </c>
      <c r="E25881" s="1" t="s">
        <v>7867</v>
      </c>
      <c r="F25881" s="2"/>
      <c r="G25881" s="2"/>
      <c r="H25881" s="2"/>
    </row>
    <row r="25882" spans="1:8" x14ac:dyDescent="0.25">
      <c r="A25882" s="1"/>
      <c r="B25882" s="1" t="s">
        <v>7328</v>
      </c>
      <c r="C25882" s="1" t="s">
        <v>7329</v>
      </c>
      <c r="D25882" s="22" t="str">
        <f>HYPERLINK("https://rhld.insurance.arkansas.gov/NPILookup?Npi=1548641046","1548641046")</f>
        <v>1548641046</v>
      </c>
      <c r="E25882" s="1" t="s">
        <v>27564</v>
      </c>
      <c r="F25882" s="2"/>
      <c r="G25882" s="2"/>
      <c r="H25882" s="2"/>
    </row>
    <row r="25883" spans="1:8" x14ac:dyDescent="0.25">
      <c r="A25883" s="1"/>
      <c r="B25883" s="1" t="s">
        <v>7328</v>
      </c>
      <c r="C25883" s="1" t="s">
        <v>7329</v>
      </c>
      <c r="D25883" s="22" t="str">
        <f>HYPERLINK("https://rhld.insurance.arkansas.gov/NPILookup?Npi=1548653686","1548653686")</f>
        <v>1548653686</v>
      </c>
      <c r="E25883" s="1" t="s">
        <v>13266</v>
      </c>
      <c r="F25883" s="2"/>
      <c r="G25883" s="2"/>
      <c r="H25883" s="2"/>
    </row>
    <row r="25884" spans="1:8" x14ac:dyDescent="0.25">
      <c r="A25884" s="1"/>
      <c r="B25884" s="1" t="s">
        <v>7328</v>
      </c>
      <c r="C25884" s="1" t="s">
        <v>7329</v>
      </c>
      <c r="D25884" s="22" t="str">
        <f>HYPERLINK("https://rhld.insurance.arkansas.gov/NPILookup?Npi=1548657406","1548657406")</f>
        <v>1548657406</v>
      </c>
      <c r="E25884" s="1" t="s">
        <v>2037</v>
      </c>
      <c r="F25884" s="2"/>
      <c r="G25884" s="2"/>
      <c r="H25884" s="2"/>
    </row>
    <row r="25885" spans="1:8" x14ac:dyDescent="0.25">
      <c r="A25885" s="1"/>
      <c r="B25885" s="1" t="s">
        <v>7328</v>
      </c>
      <c r="C25885" s="1" t="s">
        <v>7329</v>
      </c>
      <c r="D25885" s="22" t="str">
        <f>HYPERLINK("https://rhld.insurance.arkansas.gov/NPILookup?Npi=1548669823","1548669823")</f>
        <v>1548669823</v>
      </c>
      <c r="E25885" s="1" t="s">
        <v>17641</v>
      </c>
      <c r="F25885" s="2"/>
      <c r="G25885" s="2"/>
      <c r="H25885" s="2"/>
    </row>
    <row r="25886" spans="1:8" x14ac:dyDescent="0.25">
      <c r="A25886" s="1"/>
      <c r="B25886" s="1" t="s">
        <v>7328</v>
      </c>
      <c r="C25886" s="1" t="s">
        <v>7329</v>
      </c>
      <c r="D25886" s="22" t="str">
        <f>HYPERLINK("https://rhld.insurance.arkansas.gov/NPILookup?Npi=1548672413","1548672413")</f>
        <v>1548672413</v>
      </c>
      <c r="E25886" s="1" t="s">
        <v>27565</v>
      </c>
      <c r="F25886" s="2"/>
      <c r="G25886" s="2"/>
      <c r="H25886" s="2"/>
    </row>
    <row r="25887" spans="1:8" x14ac:dyDescent="0.25">
      <c r="A25887" s="1"/>
      <c r="B25887" s="1" t="s">
        <v>7328</v>
      </c>
      <c r="C25887" s="1" t="s">
        <v>7329</v>
      </c>
      <c r="D25887" s="22" t="str">
        <f>HYPERLINK("https://rhld.insurance.arkansas.gov/NPILookup?Npi=1548709256","1548709256")</f>
        <v>1548709256</v>
      </c>
      <c r="E25887" s="1" t="s">
        <v>27566</v>
      </c>
      <c r="F25887" s="2"/>
      <c r="G25887" s="2"/>
      <c r="H25887" s="2"/>
    </row>
    <row r="25888" spans="1:8" x14ac:dyDescent="0.25">
      <c r="A25888" s="1"/>
      <c r="B25888" s="1" t="s">
        <v>7328</v>
      </c>
      <c r="C25888" s="1" t="s">
        <v>7329</v>
      </c>
      <c r="D25888" s="22" t="str">
        <f>HYPERLINK("https://rhld.insurance.arkansas.gov/NPILookup?Npi=1548709355","1548709355")</f>
        <v>1548709355</v>
      </c>
      <c r="E25888" s="1" t="s">
        <v>7868</v>
      </c>
      <c r="F25888" s="2"/>
      <c r="G25888" s="2"/>
      <c r="H25888" s="2"/>
    </row>
    <row r="25889" spans="1:8" x14ac:dyDescent="0.25">
      <c r="A25889" s="1"/>
      <c r="B25889" s="1" t="s">
        <v>7328</v>
      </c>
      <c r="C25889" s="1" t="s">
        <v>7329</v>
      </c>
      <c r="D25889" s="22" t="str">
        <f>HYPERLINK("https://rhld.insurance.arkansas.gov/NPILookup?Npi=1548718125","1548718125")</f>
        <v>1548718125</v>
      </c>
      <c r="E25889" s="1" t="s">
        <v>27567</v>
      </c>
      <c r="F25889" s="2"/>
      <c r="G25889" s="2"/>
      <c r="H25889" s="2"/>
    </row>
    <row r="25890" spans="1:8" x14ac:dyDescent="0.25">
      <c r="A25890" s="1"/>
      <c r="B25890" s="1" t="s">
        <v>7328</v>
      </c>
      <c r="C25890" s="1" t="s">
        <v>7329</v>
      </c>
      <c r="D25890" s="22" t="str">
        <f>HYPERLINK("https://rhld.insurance.arkansas.gov/NPILookup?Npi=1548727100","1548727100")</f>
        <v>1548727100</v>
      </c>
      <c r="E25890" s="1" t="s">
        <v>18790</v>
      </c>
      <c r="F25890" s="2"/>
      <c r="G25890" s="2"/>
      <c r="H25890" s="2"/>
    </row>
    <row r="25891" spans="1:8" x14ac:dyDescent="0.25">
      <c r="A25891" s="1"/>
      <c r="B25891" s="1" t="s">
        <v>7328</v>
      </c>
      <c r="C25891" s="1" t="s">
        <v>7329</v>
      </c>
      <c r="D25891" s="22" t="str">
        <f>HYPERLINK("https://rhld.insurance.arkansas.gov/NPILookup?Npi=1548727522","1548727522")</f>
        <v>1548727522</v>
      </c>
      <c r="E25891" s="1" t="s">
        <v>7869</v>
      </c>
      <c r="F25891" s="2"/>
      <c r="G25891" s="2"/>
      <c r="H25891" s="2"/>
    </row>
    <row r="25892" spans="1:8" x14ac:dyDescent="0.25">
      <c r="A25892" s="1"/>
      <c r="B25892" s="1" t="s">
        <v>7328</v>
      </c>
      <c r="C25892" s="1" t="s">
        <v>7329</v>
      </c>
      <c r="D25892" s="22" t="str">
        <f>HYPERLINK("https://rhld.insurance.arkansas.gov/NPILookup?Npi=1548729262","1548729262")</f>
        <v>1548729262</v>
      </c>
      <c r="E25892" s="1" t="s">
        <v>13803</v>
      </c>
      <c r="F25892" s="2"/>
      <c r="G25892" s="2"/>
      <c r="H25892" s="2"/>
    </row>
    <row r="25893" spans="1:8" x14ac:dyDescent="0.25">
      <c r="A25893" s="1"/>
      <c r="B25893" s="1" t="s">
        <v>7328</v>
      </c>
      <c r="C25893" s="1" t="s">
        <v>7329</v>
      </c>
      <c r="D25893" s="22" t="str">
        <f>HYPERLINK("https://rhld.insurance.arkansas.gov/NPILookup?Npi=1548733603","1548733603")</f>
        <v>1548733603</v>
      </c>
      <c r="E25893" s="1" t="s">
        <v>1792</v>
      </c>
      <c r="F25893" s="2"/>
      <c r="G25893" s="2"/>
      <c r="H25893" s="2"/>
    </row>
    <row r="25894" spans="1:8" x14ac:dyDescent="0.25">
      <c r="A25894" s="1"/>
      <c r="B25894" s="1" t="s">
        <v>7328</v>
      </c>
      <c r="C25894" s="1" t="s">
        <v>7329</v>
      </c>
      <c r="D25894" s="22" t="str">
        <f>HYPERLINK("https://rhld.insurance.arkansas.gov/NPILookup?Npi=1548733678","1548733678")</f>
        <v>1548733678</v>
      </c>
      <c r="E25894" s="1" t="s">
        <v>13267</v>
      </c>
      <c r="F25894" s="2"/>
      <c r="G25894" s="2"/>
      <c r="H25894" s="2"/>
    </row>
    <row r="25895" spans="1:8" x14ac:dyDescent="0.25">
      <c r="A25895" s="1"/>
      <c r="B25895" s="1" t="s">
        <v>7328</v>
      </c>
      <c r="C25895" s="1" t="s">
        <v>7329</v>
      </c>
      <c r="D25895" s="22" t="str">
        <f>HYPERLINK("https://rhld.insurance.arkansas.gov/NPILookup?Npi=1548745334","1548745334")</f>
        <v>1548745334</v>
      </c>
      <c r="E25895" s="1" t="s">
        <v>27568</v>
      </c>
      <c r="F25895" s="2"/>
      <c r="G25895" s="2"/>
      <c r="H25895" s="2"/>
    </row>
    <row r="25896" spans="1:8" x14ac:dyDescent="0.25">
      <c r="A25896" s="1"/>
      <c r="B25896" s="1" t="s">
        <v>7328</v>
      </c>
      <c r="C25896" s="1" t="s">
        <v>7329</v>
      </c>
      <c r="D25896" s="22" t="str">
        <f>HYPERLINK("https://rhld.insurance.arkansas.gov/NPILookup?Npi=1548749245","1548749245")</f>
        <v>1548749245</v>
      </c>
      <c r="E25896" s="1" t="s">
        <v>7870</v>
      </c>
      <c r="F25896" s="2"/>
      <c r="G25896" s="2"/>
      <c r="H25896" s="2"/>
    </row>
    <row r="25897" spans="1:8" x14ac:dyDescent="0.25">
      <c r="A25897" s="1"/>
      <c r="B25897" s="1" t="s">
        <v>7328</v>
      </c>
      <c r="C25897" s="1" t="s">
        <v>7329</v>
      </c>
      <c r="D25897" s="22" t="str">
        <f>HYPERLINK("https://rhld.insurance.arkansas.gov/NPILookup?Npi=1548749906","1548749906")</f>
        <v>1548749906</v>
      </c>
      <c r="E25897" s="1" t="s">
        <v>27569</v>
      </c>
      <c r="F25897" s="2"/>
      <c r="G25897" s="2"/>
      <c r="H25897" s="2"/>
    </row>
    <row r="25898" spans="1:8" x14ac:dyDescent="0.25">
      <c r="A25898" s="1"/>
      <c r="B25898" s="1" t="s">
        <v>7328</v>
      </c>
      <c r="C25898" s="1" t="s">
        <v>7329</v>
      </c>
      <c r="D25898" s="22" t="str">
        <f>HYPERLINK("https://rhld.insurance.arkansas.gov/NPILookup?Npi=1548767130","1548767130")</f>
        <v>1548767130</v>
      </c>
      <c r="E25898" s="1" t="s">
        <v>27570</v>
      </c>
      <c r="F25898" s="2"/>
      <c r="G25898" s="2"/>
      <c r="H25898" s="2"/>
    </row>
    <row r="25899" spans="1:8" x14ac:dyDescent="0.25">
      <c r="A25899" s="1"/>
      <c r="B25899" s="1" t="s">
        <v>7328</v>
      </c>
      <c r="C25899" s="1" t="s">
        <v>7329</v>
      </c>
      <c r="D25899" s="22" t="str">
        <f>HYPERLINK("https://rhld.insurance.arkansas.gov/NPILookup?Npi=1548773179","1548773179")</f>
        <v>1548773179</v>
      </c>
      <c r="E25899" s="1" t="s">
        <v>27571</v>
      </c>
      <c r="F25899" s="2"/>
      <c r="G25899" s="2"/>
      <c r="H25899" s="2"/>
    </row>
    <row r="25900" spans="1:8" x14ac:dyDescent="0.25">
      <c r="A25900" s="1"/>
      <c r="B25900" s="1" t="s">
        <v>7328</v>
      </c>
      <c r="C25900" s="1" t="s">
        <v>7329</v>
      </c>
      <c r="D25900" s="22" t="str">
        <f>HYPERLINK("https://rhld.insurance.arkansas.gov/NPILookup?Npi=1548788557","1548788557")</f>
        <v>1548788557</v>
      </c>
      <c r="E25900" s="1" t="s">
        <v>27572</v>
      </c>
      <c r="F25900" s="2"/>
      <c r="G25900" s="2"/>
      <c r="H25900" s="2"/>
    </row>
    <row r="25901" spans="1:8" x14ac:dyDescent="0.25">
      <c r="A25901" s="1"/>
      <c r="B25901" s="1" t="s">
        <v>7328</v>
      </c>
      <c r="C25901" s="1" t="s">
        <v>7329</v>
      </c>
      <c r="D25901" s="22" t="str">
        <f>HYPERLINK("https://rhld.insurance.arkansas.gov/NPILookup?Npi=1548792989","1548792989")</f>
        <v>1548792989</v>
      </c>
      <c r="E25901" s="1" t="s">
        <v>13268</v>
      </c>
      <c r="F25901" s="2"/>
      <c r="G25901" s="2"/>
      <c r="H25901" s="2"/>
    </row>
    <row r="25902" spans="1:8" x14ac:dyDescent="0.25">
      <c r="A25902" s="1"/>
      <c r="B25902" s="1" t="s">
        <v>7328</v>
      </c>
      <c r="C25902" s="1" t="s">
        <v>7329</v>
      </c>
      <c r="D25902" s="22" t="str">
        <f>HYPERLINK("https://rhld.insurance.arkansas.gov/NPILookup?Npi=1548820822","1548820822")</f>
        <v>1548820822</v>
      </c>
      <c r="E25902" s="1" t="s">
        <v>706</v>
      </c>
      <c r="F25902" s="2"/>
      <c r="G25902" s="2"/>
      <c r="H25902" s="2"/>
    </row>
    <row r="25903" spans="1:8" x14ac:dyDescent="0.25">
      <c r="A25903" s="1"/>
      <c r="B25903" s="1" t="s">
        <v>7328</v>
      </c>
      <c r="C25903" s="1" t="s">
        <v>7329</v>
      </c>
      <c r="D25903" s="22" t="str">
        <f>HYPERLINK("https://rhld.insurance.arkansas.gov/NPILookup?Npi=1548831696","1548831696")</f>
        <v>1548831696</v>
      </c>
      <c r="E25903" s="1" t="s">
        <v>27573</v>
      </c>
      <c r="F25903" s="2"/>
      <c r="G25903" s="2"/>
      <c r="H25903" s="2"/>
    </row>
    <row r="25904" spans="1:8" x14ac:dyDescent="0.25">
      <c r="A25904" s="1"/>
      <c r="B25904" s="1" t="s">
        <v>7328</v>
      </c>
      <c r="C25904" s="1" t="s">
        <v>7329</v>
      </c>
      <c r="D25904" s="22" t="str">
        <f>HYPERLINK("https://rhld.insurance.arkansas.gov/NPILookup?Npi=1548837826","1548837826")</f>
        <v>1548837826</v>
      </c>
      <c r="E25904" s="1" t="s">
        <v>27574</v>
      </c>
      <c r="F25904" s="2"/>
      <c r="G25904" s="2"/>
      <c r="H25904" s="2"/>
    </row>
    <row r="25905" spans="1:8" x14ac:dyDescent="0.25">
      <c r="A25905" s="1"/>
      <c r="B25905" s="1" t="s">
        <v>7328</v>
      </c>
      <c r="C25905" s="1" t="s">
        <v>7329</v>
      </c>
      <c r="D25905" s="22" t="str">
        <f>HYPERLINK("https://rhld.insurance.arkansas.gov/NPILookup?Npi=1548847197","1548847197")</f>
        <v>1548847197</v>
      </c>
      <c r="E25905" s="1" t="s">
        <v>10361</v>
      </c>
      <c r="F25905" s="2"/>
      <c r="G25905" s="2"/>
      <c r="H25905" s="2"/>
    </row>
    <row r="25906" spans="1:8" x14ac:dyDescent="0.25">
      <c r="A25906" s="1"/>
      <c r="B25906" s="1" t="s">
        <v>7328</v>
      </c>
      <c r="C25906" s="1" t="s">
        <v>7329</v>
      </c>
      <c r="D25906" s="22" t="str">
        <f>HYPERLINK("https://rhld.insurance.arkansas.gov/NPILookup?Npi=1548850084","1548850084")</f>
        <v>1548850084</v>
      </c>
      <c r="E25906" s="1" t="s">
        <v>32274</v>
      </c>
      <c r="F25906" s="2"/>
      <c r="G25906" s="2"/>
      <c r="H25906" s="2"/>
    </row>
    <row r="25907" spans="1:8" x14ac:dyDescent="0.25">
      <c r="A25907" s="1"/>
      <c r="B25907" s="1" t="s">
        <v>7328</v>
      </c>
      <c r="C25907" s="1" t="s">
        <v>7329</v>
      </c>
      <c r="D25907" s="22" t="str">
        <f>HYPERLINK("https://rhld.insurance.arkansas.gov/NPILookup?Npi=1548858749","1548858749")</f>
        <v>1548858749</v>
      </c>
      <c r="E25907" s="1" t="s">
        <v>7871</v>
      </c>
      <c r="F25907" s="2"/>
      <c r="G25907" s="2"/>
      <c r="H25907" s="2"/>
    </row>
    <row r="25908" spans="1:8" x14ac:dyDescent="0.25">
      <c r="A25908" s="1"/>
      <c r="B25908" s="1" t="s">
        <v>7328</v>
      </c>
      <c r="C25908" s="1" t="s">
        <v>7329</v>
      </c>
      <c r="D25908" s="22" t="str">
        <f>HYPERLINK("https://rhld.insurance.arkansas.gov/NPILookup?Npi=1548859812","1548859812")</f>
        <v>1548859812</v>
      </c>
      <c r="E25908" s="1" t="s">
        <v>13269</v>
      </c>
      <c r="F25908" s="2"/>
      <c r="G25908" s="2"/>
      <c r="H25908" s="2"/>
    </row>
    <row r="25909" spans="1:8" x14ac:dyDescent="0.25">
      <c r="A25909" s="1"/>
      <c r="B25909" s="1" t="s">
        <v>7328</v>
      </c>
      <c r="C25909" s="1" t="s">
        <v>7329</v>
      </c>
      <c r="D25909" s="22" t="str">
        <f>HYPERLINK("https://rhld.insurance.arkansas.gov/NPILookup?Npi=1548869845","1548869845")</f>
        <v>1548869845</v>
      </c>
      <c r="E25909" s="1" t="s">
        <v>1578</v>
      </c>
      <c r="F25909" s="2"/>
      <c r="G25909" s="2"/>
      <c r="H25909" s="2"/>
    </row>
    <row r="25910" spans="1:8" x14ac:dyDescent="0.25">
      <c r="A25910" s="1"/>
      <c r="B25910" s="1" t="s">
        <v>7328</v>
      </c>
      <c r="C25910" s="1" t="s">
        <v>7329</v>
      </c>
      <c r="D25910" s="22" t="str">
        <f>HYPERLINK("https://rhld.insurance.arkansas.gov/NPILookup?Npi=1548870611","1548870611")</f>
        <v>1548870611</v>
      </c>
      <c r="E25910" s="1" t="s">
        <v>27575</v>
      </c>
      <c r="F25910" s="2"/>
      <c r="G25910" s="2"/>
      <c r="H25910" s="2"/>
    </row>
    <row r="25911" spans="1:8" x14ac:dyDescent="0.25">
      <c r="A25911" s="1"/>
      <c r="B25911" s="1" t="s">
        <v>7328</v>
      </c>
      <c r="C25911" s="1" t="s">
        <v>7329</v>
      </c>
      <c r="D25911" s="22" t="str">
        <f>HYPERLINK("https://rhld.insurance.arkansas.gov/NPILookup?Npi=1548870892","1548870892")</f>
        <v>1548870892</v>
      </c>
      <c r="E25911" s="1" t="s">
        <v>27576</v>
      </c>
      <c r="F25911" s="2"/>
      <c r="G25911" s="2"/>
      <c r="H25911" s="2"/>
    </row>
    <row r="25912" spans="1:8" x14ac:dyDescent="0.25">
      <c r="A25912" s="1"/>
      <c r="B25912" s="1" t="s">
        <v>7328</v>
      </c>
      <c r="C25912" s="1" t="s">
        <v>7329</v>
      </c>
      <c r="D25912" s="22" t="str">
        <f>HYPERLINK("https://rhld.insurance.arkansas.gov/NPILookup?Npi=1548871510","1548871510")</f>
        <v>1548871510</v>
      </c>
      <c r="E25912" s="1" t="s">
        <v>13270</v>
      </c>
      <c r="F25912" s="2"/>
      <c r="G25912" s="2"/>
      <c r="H25912" s="2"/>
    </row>
    <row r="25913" spans="1:8" x14ac:dyDescent="0.25">
      <c r="A25913" s="1"/>
      <c r="B25913" s="1" t="s">
        <v>7328</v>
      </c>
      <c r="C25913" s="1" t="s">
        <v>7329</v>
      </c>
      <c r="D25913" s="22" t="str">
        <f>HYPERLINK("https://rhld.insurance.arkansas.gov/NPILookup?Npi=1548872302","1548872302")</f>
        <v>1548872302</v>
      </c>
      <c r="E25913" s="1" t="s">
        <v>27577</v>
      </c>
      <c r="F25913" s="2"/>
      <c r="G25913" s="2"/>
      <c r="H25913" s="2"/>
    </row>
    <row r="25914" spans="1:8" x14ac:dyDescent="0.25">
      <c r="A25914" s="1"/>
      <c r="B25914" s="1" t="s">
        <v>7328</v>
      </c>
      <c r="C25914" s="1" t="s">
        <v>7329</v>
      </c>
      <c r="D25914" s="22" t="str">
        <f>HYPERLINK("https://rhld.insurance.arkansas.gov/NPILookup?Npi=1548895568","1548895568")</f>
        <v>1548895568</v>
      </c>
      <c r="E25914" s="1" t="s">
        <v>27578</v>
      </c>
      <c r="F25914" s="2"/>
      <c r="G25914" s="2"/>
      <c r="H25914" s="2"/>
    </row>
    <row r="25915" spans="1:8" x14ac:dyDescent="0.25">
      <c r="A25915" s="1"/>
      <c r="B25915" s="1" t="s">
        <v>7328</v>
      </c>
      <c r="C25915" s="1" t="s">
        <v>7329</v>
      </c>
      <c r="D25915" s="22" t="str">
        <f>HYPERLINK("https://rhld.insurance.arkansas.gov/NPILookup?Npi=1548896962","1548896962")</f>
        <v>1548896962</v>
      </c>
      <c r="E25915" s="1" t="s">
        <v>13271</v>
      </c>
      <c r="F25915" s="2"/>
      <c r="G25915" s="2"/>
      <c r="H25915" s="2"/>
    </row>
    <row r="25916" spans="1:8" x14ac:dyDescent="0.25">
      <c r="A25916" s="1"/>
      <c r="B25916" s="1" t="s">
        <v>7328</v>
      </c>
      <c r="C25916" s="1" t="s">
        <v>7329</v>
      </c>
      <c r="D25916" s="22" t="str">
        <f>HYPERLINK("https://rhld.insurance.arkansas.gov/NPILookup?Npi=1548899107","1548899107")</f>
        <v>1548899107</v>
      </c>
      <c r="E25916" s="1" t="s">
        <v>27579</v>
      </c>
      <c r="F25916" s="2"/>
      <c r="G25916" s="2"/>
      <c r="H25916" s="2"/>
    </row>
    <row r="25917" spans="1:8" x14ac:dyDescent="0.25">
      <c r="A25917" s="1"/>
      <c r="B25917" s="1" t="s">
        <v>7328</v>
      </c>
      <c r="C25917" s="1" t="s">
        <v>7329</v>
      </c>
      <c r="D25917" s="22" t="str">
        <f>HYPERLINK("https://rhld.insurance.arkansas.gov/NPILookup?Npi=1548899636","1548899636")</f>
        <v>1548899636</v>
      </c>
      <c r="E25917" s="1" t="s">
        <v>11005</v>
      </c>
      <c r="F25917" s="2"/>
      <c r="G25917" s="2"/>
      <c r="H25917" s="2"/>
    </row>
    <row r="25918" spans="1:8" x14ac:dyDescent="0.25">
      <c r="A25918" s="1"/>
      <c r="B25918" s="1" t="s">
        <v>7328</v>
      </c>
      <c r="C25918" s="1" t="s">
        <v>7329</v>
      </c>
      <c r="D25918" s="22" t="str">
        <f>HYPERLINK("https://rhld.insurance.arkansas.gov/NPILookup?Npi=1548920499","1548920499")</f>
        <v>1548920499</v>
      </c>
      <c r="E25918" s="1" t="s">
        <v>27580</v>
      </c>
      <c r="F25918" s="2"/>
      <c r="G25918" s="2"/>
      <c r="H25918" s="2"/>
    </row>
    <row r="25919" spans="1:8" x14ac:dyDescent="0.25">
      <c r="A25919" s="1"/>
      <c r="B25919" s="1" t="s">
        <v>7328</v>
      </c>
      <c r="C25919" s="1" t="s">
        <v>7329</v>
      </c>
      <c r="D25919" s="22" t="str">
        <f>HYPERLINK("https://rhld.insurance.arkansas.gov/NPILookup?Npi=1548921497","1548921497")</f>
        <v>1548921497</v>
      </c>
      <c r="E25919" s="1" t="s">
        <v>7872</v>
      </c>
      <c r="F25919" s="2"/>
      <c r="G25919" s="2"/>
      <c r="H25919" s="2"/>
    </row>
    <row r="25920" spans="1:8" x14ac:dyDescent="0.25">
      <c r="A25920" s="1"/>
      <c r="B25920" s="1" t="s">
        <v>7328</v>
      </c>
      <c r="C25920" s="1" t="s">
        <v>7329</v>
      </c>
      <c r="D25920" s="22" t="str">
        <f>HYPERLINK("https://rhld.insurance.arkansas.gov/NPILookup?Npi=1548927619","1548927619")</f>
        <v>1548927619</v>
      </c>
      <c r="E25920" s="1" t="s">
        <v>7873</v>
      </c>
      <c r="F25920" s="2"/>
      <c r="G25920" s="2"/>
      <c r="H25920" s="2"/>
    </row>
    <row r="25921" spans="1:8" x14ac:dyDescent="0.25">
      <c r="A25921" s="1"/>
      <c r="B25921" s="1" t="s">
        <v>7328</v>
      </c>
      <c r="C25921" s="1" t="s">
        <v>7329</v>
      </c>
      <c r="D25921" s="22" t="str">
        <f>HYPERLINK("https://rhld.insurance.arkansas.gov/NPILookup?Npi=1548931132","1548931132")</f>
        <v>1548931132</v>
      </c>
      <c r="E25921" s="1" t="s">
        <v>13272</v>
      </c>
      <c r="F25921" s="2"/>
      <c r="G25921" s="2"/>
      <c r="H25921" s="2"/>
    </row>
    <row r="25922" spans="1:8" x14ac:dyDescent="0.25">
      <c r="A25922" s="1"/>
      <c r="B25922" s="1" t="s">
        <v>7328</v>
      </c>
      <c r="C25922" s="1" t="s">
        <v>7329</v>
      </c>
      <c r="D25922" s="22" t="str">
        <f>HYPERLINK("https://rhld.insurance.arkansas.gov/NPILookup?Npi=1548931546","1548931546")</f>
        <v>1548931546</v>
      </c>
      <c r="E25922" s="1" t="s">
        <v>7874</v>
      </c>
      <c r="F25922" s="2"/>
      <c r="G25922" s="2"/>
      <c r="H25922" s="2"/>
    </row>
    <row r="25923" spans="1:8" x14ac:dyDescent="0.25">
      <c r="A25923" s="1"/>
      <c r="B25923" s="1" t="s">
        <v>7328</v>
      </c>
      <c r="C25923" s="1" t="s">
        <v>7329</v>
      </c>
      <c r="D25923" s="22" t="str">
        <f>HYPERLINK("https://rhld.insurance.arkansas.gov/NPILookup?Npi=1548938764","1548938764")</f>
        <v>1548938764</v>
      </c>
      <c r="E25923" s="1" t="s">
        <v>7875</v>
      </c>
      <c r="F25923" s="2"/>
      <c r="G25923" s="2"/>
      <c r="H25923" s="2"/>
    </row>
    <row r="25924" spans="1:8" x14ac:dyDescent="0.25">
      <c r="A25924" s="1"/>
      <c r="B25924" s="1" t="s">
        <v>7328</v>
      </c>
      <c r="C25924" s="1" t="s">
        <v>7329</v>
      </c>
      <c r="D25924" s="22" t="str">
        <f>HYPERLINK("https://rhld.insurance.arkansas.gov/NPILookup?Npi=1548951577","1548951577")</f>
        <v>1548951577</v>
      </c>
      <c r="E25924" s="1" t="s">
        <v>7876</v>
      </c>
      <c r="F25924" s="2"/>
      <c r="G25924" s="2"/>
      <c r="H25924" s="2"/>
    </row>
    <row r="25925" spans="1:8" x14ac:dyDescent="0.25">
      <c r="A25925" s="1"/>
      <c r="B25925" s="1" t="s">
        <v>7328</v>
      </c>
      <c r="C25925" s="1" t="s">
        <v>7329</v>
      </c>
      <c r="D25925" s="22" t="str">
        <f>HYPERLINK("https://rhld.insurance.arkansas.gov/NPILookup?Npi=1548972409","1548972409")</f>
        <v>1548972409</v>
      </c>
      <c r="E25925" s="1" t="s">
        <v>32275</v>
      </c>
      <c r="F25925" s="2"/>
      <c r="G25925" s="2"/>
      <c r="H25925" s="2"/>
    </row>
    <row r="25926" spans="1:8" x14ac:dyDescent="0.25">
      <c r="A25926" s="1"/>
      <c r="B25926" s="1" t="s">
        <v>7328</v>
      </c>
      <c r="C25926" s="1" t="s">
        <v>7329</v>
      </c>
      <c r="D25926" s="22" t="str">
        <f>HYPERLINK("https://rhld.insurance.arkansas.gov/NPILookup?Npi=1548995756","1548995756")</f>
        <v>1548995756</v>
      </c>
      <c r="E25926" s="1" t="s">
        <v>13273</v>
      </c>
      <c r="F25926" s="2"/>
      <c r="G25926" s="2"/>
      <c r="H25926" s="2"/>
    </row>
    <row r="25927" spans="1:8" x14ac:dyDescent="0.25">
      <c r="A25927" s="1"/>
      <c r="B25927" s="1" t="s">
        <v>7328</v>
      </c>
      <c r="C25927" s="1" t="s">
        <v>7329</v>
      </c>
      <c r="D25927" s="22" t="str">
        <f>HYPERLINK("https://rhld.insurance.arkansas.gov/NPILookup?Npi=1558022459","1558022459")</f>
        <v>1558022459</v>
      </c>
      <c r="E25927" s="1" t="s">
        <v>13274</v>
      </c>
      <c r="F25927" s="2"/>
      <c r="G25927" s="2"/>
      <c r="H25927" s="2"/>
    </row>
    <row r="25928" spans="1:8" x14ac:dyDescent="0.25">
      <c r="A25928" s="1"/>
      <c r="B25928" s="1" t="s">
        <v>7328</v>
      </c>
      <c r="C25928" s="1" t="s">
        <v>7329</v>
      </c>
      <c r="D25928" s="22" t="str">
        <f>HYPERLINK("https://rhld.insurance.arkansas.gov/NPILookup?Npi=1558035121","1558035121")</f>
        <v>1558035121</v>
      </c>
      <c r="E25928" s="1" t="s">
        <v>27581</v>
      </c>
      <c r="F25928" s="2"/>
      <c r="G25928" s="2"/>
      <c r="H25928" s="2"/>
    </row>
    <row r="25929" spans="1:8" x14ac:dyDescent="0.25">
      <c r="A25929" s="1"/>
      <c r="B25929" s="1" t="s">
        <v>7328</v>
      </c>
      <c r="C25929" s="1" t="s">
        <v>7329</v>
      </c>
      <c r="D25929" s="22" t="str">
        <f>HYPERLINK("https://rhld.insurance.arkansas.gov/NPILookup?Npi=1558039297","1558039297")</f>
        <v>1558039297</v>
      </c>
      <c r="E25929" s="1" t="s">
        <v>7877</v>
      </c>
      <c r="F25929" s="2"/>
      <c r="G25929" s="2"/>
      <c r="H25929" s="2"/>
    </row>
    <row r="25930" spans="1:8" x14ac:dyDescent="0.25">
      <c r="A25930" s="1"/>
      <c r="B25930" s="1" t="s">
        <v>7328</v>
      </c>
      <c r="C25930" s="1" t="s">
        <v>7329</v>
      </c>
      <c r="D25930" s="22" t="str">
        <f>HYPERLINK("https://rhld.insurance.arkansas.gov/NPILookup?Npi=1558051920","1558051920")</f>
        <v>1558051920</v>
      </c>
      <c r="E25930" s="1" t="s">
        <v>7878</v>
      </c>
      <c r="F25930" s="2"/>
      <c r="G25930" s="2"/>
      <c r="H25930" s="2"/>
    </row>
    <row r="25931" spans="1:8" x14ac:dyDescent="0.25">
      <c r="A25931" s="1"/>
      <c r="B25931" s="1" t="s">
        <v>7328</v>
      </c>
      <c r="C25931" s="1" t="s">
        <v>7329</v>
      </c>
      <c r="D25931" s="22" t="str">
        <f>HYPERLINK("https://rhld.insurance.arkansas.gov/NPILookup?Npi=1558085944","1558085944")</f>
        <v>1558085944</v>
      </c>
      <c r="E25931" s="1" t="s">
        <v>27582</v>
      </c>
      <c r="F25931" s="2"/>
      <c r="G25931" s="2"/>
      <c r="H25931" s="2"/>
    </row>
    <row r="25932" spans="1:8" x14ac:dyDescent="0.25">
      <c r="A25932" s="1"/>
      <c r="B25932" s="1" t="s">
        <v>7328</v>
      </c>
      <c r="C25932" s="1" t="s">
        <v>7329</v>
      </c>
      <c r="D25932" s="22" t="str">
        <f>HYPERLINK("https://rhld.insurance.arkansas.gov/NPILookup?Npi=1558090977","1558090977")</f>
        <v>1558090977</v>
      </c>
      <c r="E25932" s="1" t="s">
        <v>7879</v>
      </c>
      <c r="F25932" s="2"/>
      <c r="G25932" s="2"/>
      <c r="H25932" s="2"/>
    </row>
    <row r="25933" spans="1:8" x14ac:dyDescent="0.25">
      <c r="A25933" s="1"/>
      <c r="B25933" s="1" t="s">
        <v>7328</v>
      </c>
      <c r="C25933" s="1" t="s">
        <v>7329</v>
      </c>
      <c r="D25933" s="22" t="str">
        <f>HYPERLINK("https://rhld.insurance.arkansas.gov/NPILookup?Npi=1558093393","1558093393")</f>
        <v>1558093393</v>
      </c>
      <c r="E25933" s="1" t="s">
        <v>32276</v>
      </c>
      <c r="F25933" s="2"/>
      <c r="G25933" s="2"/>
      <c r="H25933" s="2"/>
    </row>
    <row r="25934" spans="1:8" x14ac:dyDescent="0.25">
      <c r="A25934" s="1"/>
      <c r="B25934" s="1" t="s">
        <v>7328</v>
      </c>
      <c r="C25934" s="1" t="s">
        <v>7329</v>
      </c>
      <c r="D25934" s="22" t="str">
        <f>HYPERLINK("https://rhld.insurance.arkansas.gov/NPILookup?Npi=1558094631","1558094631")</f>
        <v>1558094631</v>
      </c>
      <c r="E25934" s="1" t="s">
        <v>13275</v>
      </c>
      <c r="F25934" s="2"/>
      <c r="G25934" s="2"/>
      <c r="H25934" s="2"/>
    </row>
    <row r="25935" spans="1:8" x14ac:dyDescent="0.25">
      <c r="A25935" s="1"/>
      <c r="B25935" s="1" t="s">
        <v>7328</v>
      </c>
      <c r="C25935" s="1" t="s">
        <v>7329</v>
      </c>
      <c r="D25935" s="22" t="str">
        <f>HYPERLINK("https://rhld.insurance.arkansas.gov/NPILookup?Npi=1558104349","1558104349")</f>
        <v>1558104349</v>
      </c>
      <c r="E25935" s="1" t="s">
        <v>27583</v>
      </c>
      <c r="F25935" s="2"/>
      <c r="G25935" s="2"/>
      <c r="H25935" s="2"/>
    </row>
    <row r="25936" spans="1:8" x14ac:dyDescent="0.25">
      <c r="A25936" s="1"/>
      <c r="B25936" s="1" t="s">
        <v>7328</v>
      </c>
      <c r="C25936" s="1" t="s">
        <v>7329</v>
      </c>
      <c r="D25936" s="22" t="str">
        <f>HYPERLINK("https://rhld.insurance.arkansas.gov/NPILookup?Npi=1558143495","1558143495")</f>
        <v>1558143495</v>
      </c>
      <c r="E25936" s="1" t="s">
        <v>27584</v>
      </c>
      <c r="F25936" s="2"/>
      <c r="G25936" s="2"/>
      <c r="H25936" s="2"/>
    </row>
    <row r="25937" spans="1:8" x14ac:dyDescent="0.25">
      <c r="A25937" s="1"/>
      <c r="B25937" s="1" t="s">
        <v>7328</v>
      </c>
      <c r="C25937" s="1" t="s">
        <v>7329</v>
      </c>
      <c r="D25937" s="22" t="str">
        <f>HYPERLINK("https://rhld.insurance.arkansas.gov/NPILookup?Npi=1558304527","1558304527")</f>
        <v>1558304527</v>
      </c>
      <c r="E25937" s="1" t="s">
        <v>27585</v>
      </c>
      <c r="F25937" s="2"/>
      <c r="G25937" s="2"/>
      <c r="H25937" s="2"/>
    </row>
    <row r="25938" spans="1:8" x14ac:dyDescent="0.25">
      <c r="A25938" s="1"/>
      <c r="B25938" s="1" t="s">
        <v>7328</v>
      </c>
      <c r="C25938" s="1" t="s">
        <v>7329</v>
      </c>
      <c r="D25938" s="22" t="str">
        <f>HYPERLINK("https://rhld.insurance.arkansas.gov/NPILookup?Npi=1558306019","1558306019")</f>
        <v>1558306019</v>
      </c>
      <c r="E25938" s="1" t="s">
        <v>767</v>
      </c>
      <c r="F25938" s="2"/>
      <c r="G25938" s="2"/>
      <c r="H25938" s="2"/>
    </row>
    <row r="25939" spans="1:8" x14ac:dyDescent="0.25">
      <c r="A25939" s="1"/>
      <c r="B25939" s="1" t="s">
        <v>7328</v>
      </c>
      <c r="C25939" s="1" t="s">
        <v>7329</v>
      </c>
      <c r="D25939" s="22" t="str">
        <f>HYPERLINK("https://rhld.insurance.arkansas.gov/NPILookup?Npi=1558308239","1558308239")</f>
        <v>1558308239</v>
      </c>
      <c r="E25939" s="1" t="s">
        <v>27586</v>
      </c>
      <c r="F25939" s="2"/>
      <c r="G25939" s="2"/>
      <c r="H25939" s="2"/>
    </row>
    <row r="25940" spans="1:8" x14ac:dyDescent="0.25">
      <c r="A25940" s="1"/>
      <c r="B25940" s="1" t="s">
        <v>7328</v>
      </c>
      <c r="C25940" s="1" t="s">
        <v>7329</v>
      </c>
      <c r="D25940" s="22" t="str">
        <f>HYPERLINK("https://rhld.insurance.arkansas.gov/NPILookup?Npi=1558330704","1558330704")</f>
        <v>1558330704</v>
      </c>
      <c r="E25940" s="1" t="s">
        <v>13276</v>
      </c>
      <c r="F25940" s="2"/>
      <c r="G25940" s="2"/>
      <c r="H25940" s="2"/>
    </row>
    <row r="25941" spans="1:8" x14ac:dyDescent="0.25">
      <c r="A25941" s="1"/>
      <c r="B25941" s="1" t="s">
        <v>7328</v>
      </c>
      <c r="C25941" s="1" t="s">
        <v>7329</v>
      </c>
      <c r="D25941" s="22" t="str">
        <f>HYPERLINK("https://rhld.insurance.arkansas.gov/NPILookup?Npi=1558354027","1558354027")</f>
        <v>1558354027</v>
      </c>
      <c r="E25941" s="1" t="s">
        <v>26952</v>
      </c>
      <c r="F25941" s="2"/>
      <c r="G25941" s="2"/>
      <c r="H25941" s="2"/>
    </row>
    <row r="25942" spans="1:8" x14ac:dyDescent="0.25">
      <c r="A25942" s="1"/>
      <c r="B25942" s="1" t="s">
        <v>7328</v>
      </c>
      <c r="C25942" s="1" t="s">
        <v>7329</v>
      </c>
      <c r="D25942" s="22" t="str">
        <f>HYPERLINK("https://rhld.insurance.arkansas.gov/NPILookup?Npi=1558354605","1558354605")</f>
        <v>1558354605</v>
      </c>
      <c r="E25942" s="1" t="s">
        <v>13277</v>
      </c>
      <c r="F25942" s="2"/>
      <c r="G25942" s="2"/>
      <c r="H25942" s="2"/>
    </row>
    <row r="25943" spans="1:8" x14ac:dyDescent="0.25">
      <c r="A25943" s="1"/>
      <c r="B25943" s="1" t="s">
        <v>7328</v>
      </c>
      <c r="C25943" s="1" t="s">
        <v>7329</v>
      </c>
      <c r="D25943" s="22" t="str">
        <f>HYPERLINK("https://rhld.insurance.arkansas.gov/NPILookup?Npi=1558357806","1558357806")</f>
        <v>1558357806</v>
      </c>
      <c r="E25943" s="1" t="s">
        <v>7881</v>
      </c>
      <c r="F25943" s="2"/>
      <c r="G25943" s="2"/>
      <c r="H25943" s="2"/>
    </row>
    <row r="25944" spans="1:8" x14ac:dyDescent="0.25">
      <c r="A25944" s="1"/>
      <c r="B25944" s="1" t="s">
        <v>7328</v>
      </c>
      <c r="C25944" s="1" t="s">
        <v>7329</v>
      </c>
      <c r="D25944" s="22" t="str">
        <f>HYPERLINK("https://rhld.insurance.arkansas.gov/NPILookup?Npi=1558358788","1558358788")</f>
        <v>1558358788</v>
      </c>
      <c r="E25944" s="1" t="s">
        <v>13278</v>
      </c>
      <c r="F25944" s="2"/>
      <c r="G25944" s="2"/>
      <c r="H25944" s="2"/>
    </row>
    <row r="25945" spans="1:8" x14ac:dyDescent="0.25">
      <c r="A25945" s="1"/>
      <c r="B25945" s="1" t="s">
        <v>7328</v>
      </c>
      <c r="C25945" s="1" t="s">
        <v>7329</v>
      </c>
      <c r="D25945" s="22" t="str">
        <f>HYPERLINK("https://rhld.insurance.arkansas.gov/NPILookup?Npi=1558359398","1558359398")</f>
        <v>1558359398</v>
      </c>
      <c r="E25945" s="1" t="s">
        <v>870</v>
      </c>
      <c r="F25945" s="2"/>
      <c r="G25945" s="2"/>
      <c r="H25945" s="2"/>
    </row>
    <row r="25946" spans="1:8" x14ac:dyDescent="0.25">
      <c r="A25946" s="1"/>
      <c r="B25946" s="1" t="s">
        <v>7328</v>
      </c>
      <c r="C25946" s="1" t="s">
        <v>7329</v>
      </c>
      <c r="D25946" s="22" t="str">
        <f>HYPERLINK("https://rhld.insurance.arkansas.gov/NPILookup?Npi=1558362194","1558362194")</f>
        <v>1558362194</v>
      </c>
      <c r="E25946" s="1" t="s">
        <v>10362</v>
      </c>
      <c r="F25946" s="2"/>
      <c r="G25946" s="2"/>
      <c r="H25946" s="2"/>
    </row>
    <row r="25947" spans="1:8" x14ac:dyDescent="0.25">
      <c r="A25947" s="1"/>
      <c r="B25947" s="1" t="s">
        <v>7328</v>
      </c>
      <c r="C25947" s="1" t="s">
        <v>7329</v>
      </c>
      <c r="D25947" s="22" t="str">
        <f>HYPERLINK("https://rhld.insurance.arkansas.gov/NPILookup?Npi=1558363689","1558363689")</f>
        <v>1558363689</v>
      </c>
      <c r="E25947" s="1" t="s">
        <v>114</v>
      </c>
      <c r="F25947" s="2"/>
      <c r="G25947" s="2"/>
      <c r="H25947" s="2"/>
    </row>
    <row r="25948" spans="1:8" x14ac:dyDescent="0.25">
      <c r="A25948" s="1"/>
      <c r="B25948" s="1" t="s">
        <v>7328</v>
      </c>
      <c r="C25948" s="1" t="s">
        <v>7329</v>
      </c>
      <c r="D25948" s="22" t="str">
        <f>HYPERLINK("https://rhld.insurance.arkansas.gov/NPILookup?Npi=1558368498","1558368498")</f>
        <v>1558368498</v>
      </c>
      <c r="E25948" s="1" t="s">
        <v>27587</v>
      </c>
      <c r="F25948" s="2"/>
      <c r="G25948" s="2"/>
      <c r="H25948" s="2"/>
    </row>
    <row r="25949" spans="1:8" x14ac:dyDescent="0.25">
      <c r="A25949" s="1"/>
      <c r="B25949" s="1" t="s">
        <v>7328</v>
      </c>
      <c r="C25949" s="1" t="s">
        <v>7329</v>
      </c>
      <c r="D25949" s="22" t="str">
        <f>HYPERLINK("https://rhld.insurance.arkansas.gov/NPILookup?Npi=1558389114","1558389114")</f>
        <v>1558389114</v>
      </c>
      <c r="E25949" s="1" t="s">
        <v>27588</v>
      </c>
      <c r="F25949" s="2"/>
      <c r="G25949" s="2"/>
      <c r="H25949" s="2"/>
    </row>
    <row r="25950" spans="1:8" x14ac:dyDescent="0.25">
      <c r="A25950" s="1"/>
      <c r="B25950" s="1" t="s">
        <v>7328</v>
      </c>
      <c r="C25950" s="1" t="s">
        <v>7329</v>
      </c>
      <c r="D25950" s="22" t="str">
        <f>HYPERLINK("https://rhld.insurance.arkansas.gov/NPILookup?Npi=1558440180","1558440180")</f>
        <v>1558440180</v>
      </c>
      <c r="E25950" s="1" t="s">
        <v>10363</v>
      </c>
      <c r="F25950" s="2"/>
      <c r="G25950" s="2"/>
      <c r="H25950" s="2"/>
    </row>
    <row r="25951" spans="1:8" x14ac:dyDescent="0.25">
      <c r="A25951" s="1"/>
      <c r="B25951" s="1" t="s">
        <v>7328</v>
      </c>
      <c r="C25951" s="1" t="s">
        <v>7329</v>
      </c>
      <c r="D25951" s="22" t="str">
        <f>HYPERLINK("https://rhld.insurance.arkansas.gov/NPILookup?Npi=1558470815","1558470815")</f>
        <v>1558470815</v>
      </c>
      <c r="E25951" s="1" t="s">
        <v>27330</v>
      </c>
      <c r="F25951" s="2"/>
      <c r="G25951" s="2"/>
      <c r="H25951" s="2"/>
    </row>
    <row r="25952" spans="1:8" x14ac:dyDescent="0.25">
      <c r="A25952" s="1"/>
      <c r="B25952" s="1" t="s">
        <v>7328</v>
      </c>
      <c r="C25952" s="1" t="s">
        <v>7329</v>
      </c>
      <c r="D25952" s="22" t="str">
        <f>HYPERLINK("https://rhld.insurance.arkansas.gov/NPILookup?Npi=1558473058","1558473058")</f>
        <v>1558473058</v>
      </c>
      <c r="E25952" s="1" t="s">
        <v>17647</v>
      </c>
      <c r="F25952" s="2"/>
      <c r="G25952" s="2"/>
      <c r="H25952" s="2"/>
    </row>
    <row r="25953" spans="1:8" x14ac:dyDescent="0.25">
      <c r="A25953" s="1"/>
      <c r="B25953" s="1" t="s">
        <v>7328</v>
      </c>
      <c r="C25953" s="1" t="s">
        <v>7329</v>
      </c>
      <c r="D25953" s="22" t="str">
        <f>HYPERLINK("https://rhld.insurance.arkansas.gov/NPILookup?Npi=1558473165","1558473165")</f>
        <v>1558473165</v>
      </c>
      <c r="E25953" s="1" t="s">
        <v>27589</v>
      </c>
      <c r="F25953" s="2"/>
      <c r="G25953" s="2"/>
      <c r="H25953" s="2"/>
    </row>
    <row r="25954" spans="1:8" x14ac:dyDescent="0.25">
      <c r="A25954" s="1"/>
      <c r="B25954" s="1" t="s">
        <v>7328</v>
      </c>
      <c r="C25954" s="1" t="s">
        <v>7329</v>
      </c>
      <c r="D25954" s="22" t="str">
        <f>HYPERLINK("https://rhld.insurance.arkansas.gov/NPILookup?Npi=1558477455","1558477455")</f>
        <v>1558477455</v>
      </c>
      <c r="E25954" s="1" t="s">
        <v>13748</v>
      </c>
      <c r="F25954" s="2"/>
      <c r="G25954" s="2"/>
      <c r="H25954" s="2"/>
    </row>
    <row r="25955" spans="1:8" x14ac:dyDescent="0.25">
      <c r="A25955" s="1"/>
      <c r="B25955" s="1" t="s">
        <v>7328</v>
      </c>
      <c r="C25955" s="1" t="s">
        <v>7329</v>
      </c>
      <c r="D25955" s="22" t="str">
        <f>HYPERLINK("https://rhld.insurance.arkansas.gov/NPILookup?Npi=1558477489","1558477489")</f>
        <v>1558477489</v>
      </c>
      <c r="E25955" s="1" t="s">
        <v>18285</v>
      </c>
      <c r="F25955" s="2"/>
      <c r="G25955" s="2"/>
      <c r="H25955" s="2"/>
    </row>
    <row r="25956" spans="1:8" x14ac:dyDescent="0.25">
      <c r="A25956" s="1"/>
      <c r="B25956" s="1" t="s">
        <v>7328</v>
      </c>
      <c r="C25956" s="1" t="s">
        <v>7329</v>
      </c>
      <c r="D25956" s="22" t="str">
        <f>HYPERLINK("https://rhld.insurance.arkansas.gov/NPILookup?Npi=1558492306","1558492306")</f>
        <v>1558492306</v>
      </c>
      <c r="E25956" s="1" t="s">
        <v>13279</v>
      </c>
      <c r="F25956" s="2"/>
      <c r="G25956" s="2"/>
      <c r="H25956" s="2"/>
    </row>
    <row r="25957" spans="1:8" x14ac:dyDescent="0.25">
      <c r="A25957" s="1"/>
      <c r="B25957" s="1" t="s">
        <v>7328</v>
      </c>
      <c r="C25957" s="1" t="s">
        <v>7329</v>
      </c>
      <c r="D25957" s="22" t="str">
        <f>HYPERLINK("https://rhld.insurance.arkansas.gov/NPILookup?Npi=1558511261","1558511261")</f>
        <v>1558511261</v>
      </c>
      <c r="E25957" s="1" t="s">
        <v>27590</v>
      </c>
      <c r="F25957" s="2"/>
      <c r="G25957" s="2"/>
      <c r="H25957" s="2"/>
    </row>
    <row r="25958" spans="1:8" x14ac:dyDescent="0.25">
      <c r="A25958" s="1"/>
      <c r="B25958" s="1" t="s">
        <v>7328</v>
      </c>
      <c r="C25958" s="1" t="s">
        <v>7329</v>
      </c>
      <c r="D25958" s="22" t="str">
        <f>HYPERLINK("https://rhld.insurance.arkansas.gov/NPILookup?Npi=1558523688","1558523688")</f>
        <v>1558523688</v>
      </c>
      <c r="E25958" s="1" t="s">
        <v>27591</v>
      </c>
      <c r="F25958" s="2"/>
      <c r="G25958" s="2"/>
      <c r="H25958" s="2"/>
    </row>
    <row r="25959" spans="1:8" x14ac:dyDescent="0.25">
      <c r="A25959" s="1"/>
      <c r="B25959" s="1" t="s">
        <v>7328</v>
      </c>
      <c r="C25959" s="1" t="s">
        <v>7329</v>
      </c>
      <c r="D25959" s="22" t="str">
        <f>HYPERLINK("https://rhld.insurance.arkansas.gov/NPILookup?Npi=1558529347","1558529347")</f>
        <v>1558529347</v>
      </c>
      <c r="E25959" s="1" t="s">
        <v>13280</v>
      </c>
      <c r="F25959" s="2"/>
      <c r="G25959" s="2"/>
      <c r="H25959" s="2"/>
    </row>
    <row r="25960" spans="1:8" x14ac:dyDescent="0.25">
      <c r="A25960" s="1"/>
      <c r="B25960" s="1" t="s">
        <v>7328</v>
      </c>
      <c r="C25960" s="1" t="s">
        <v>7329</v>
      </c>
      <c r="D25960" s="22" t="str">
        <f>HYPERLINK("https://rhld.insurance.arkansas.gov/NPILookup?Npi=1558544312","1558544312")</f>
        <v>1558544312</v>
      </c>
      <c r="E25960" s="1" t="s">
        <v>27592</v>
      </c>
      <c r="F25960" s="2"/>
      <c r="G25960" s="2"/>
      <c r="H25960" s="2"/>
    </row>
    <row r="25961" spans="1:8" x14ac:dyDescent="0.25">
      <c r="A25961" s="1"/>
      <c r="B25961" s="1" t="s">
        <v>7328</v>
      </c>
      <c r="C25961" s="1" t="s">
        <v>7329</v>
      </c>
      <c r="D25961" s="22" t="str">
        <f>HYPERLINK("https://rhld.insurance.arkansas.gov/NPILookup?Npi=1558547919","1558547919")</f>
        <v>1558547919</v>
      </c>
      <c r="E25961" s="1" t="s">
        <v>1126</v>
      </c>
      <c r="F25961" s="2"/>
      <c r="G25961" s="2"/>
      <c r="H25961" s="2"/>
    </row>
    <row r="25962" spans="1:8" x14ac:dyDescent="0.25">
      <c r="A25962" s="1"/>
      <c r="B25962" s="1" t="s">
        <v>7328</v>
      </c>
      <c r="C25962" s="1" t="s">
        <v>7329</v>
      </c>
      <c r="D25962" s="22" t="str">
        <f>HYPERLINK("https://rhld.insurance.arkansas.gov/NPILookup?Npi=1558561431","1558561431")</f>
        <v>1558561431</v>
      </c>
      <c r="E25962" s="1" t="s">
        <v>27593</v>
      </c>
      <c r="F25962" s="2"/>
      <c r="G25962" s="2"/>
      <c r="H25962" s="2"/>
    </row>
    <row r="25963" spans="1:8" x14ac:dyDescent="0.25">
      <c r="A25963" s="1"/>
      <c r="B25963" s="1" t="s">
        <v>7328</v>
      </c>
      <c r="C25963" s="1" t="s">
        <v>7329</v>
      </c>
      <c r="D25963" s="22" t="str">
        <f>HYPERLINK("https://rhld.insurance.arkansas.gov/NPILookup?Npi=1558568253","1558568253")</f>
        <v>1558568253</v>
      </c>
      <c r="E25963" s="1" t="s">
        <v>1698</v>
      </c>
      <c r="F25963" s="2"/>
      <c r="G25963" s="2"/>
      <c r="H25963" s="2"/>
    </row>
    <row r="25964" spans="1:8" x14ac:dyDescent="0.25">
      <c r="A25964" s="1"/>
      <c r="B25964" s="1" t="s">
        <v>7328</v>
      </c>
      <c r="C25964" s="1" t="s">
        <v>7329</v>
      </c>
      <c r="D25964" s="22" t="str">
        <f>HYPERLINK("https://rhld.insurance.arkansas.gov/NPILookup?Npi=1558594424","1558594424")</f>
        <v>1558594424</v>
      </c>
      <c r="E25964" s="1" t="s">
        <v>27594</v>
      </c>
      <c r="F25964" s="2"/>
      <c r="G25964" s="2"/>
      <c r="H25964" s="2"/>
    </row>
    <row r="25965" spans="1:8" x14ac:dyDescent="0.25">
      <c r="A25965" s="1"/>
      <c r="B25965" s="1" t="s">
        <v>7328</v>
      </c>
      <c r="C25965" s="1" t="s">
        <v>7329</v>
      </c>
      <c r="D25965" s="22" t="str">
        <f>HYPERLINK("https://rhld.insurance.arkansas.gov/NPILookup?Npi=1558603407","1558603407")</f>
        <v>1558603407</v>
      </c>
      <c r="E25965" s="1" t="s">
        <v>13281</v>
      </c>
      <c r="F25965" s="2"/>
      <c r="G25965" s="2"/>
      <c r="H25965" s="2"/>
    </row>
    <row r="25966" spans="1:8" x14ac:dyDescent="0.25">
      <c r="A25966" s="1"/>
      <c r="B25966" s="1" t="s">
        <v>7328</v>
      </c>
      <c r="C25966" s="1" t="s">
        <v>7329</v>
      </c>
      <c r="D25966" s="22" t="str">
        <f>HYPERLINK("https://rhld.insurance.arkansas.gov/NPILookup?Npi=1558614008","1558614008")</f>
        <v>1558614008</v>
      </c>
      <c r="E25966" s="1" t="s">
        <v>12140</v>
      </c>
      <c r="F25966" s="2"/>
      <c r="G25966" s="2"/>
      <c r="H25966" s="2"/>
    </row>
    <row r="25967" spans="1:8" x14ac:dyDescent="0.25">
      <c r="A25967" s="1"/>
      <c r="B25967" s="1" t="s">
        <v>7328</v>
      </c>
      <c r="C25967" s="1" t="s">
        <v>7329</v>
      </c>
      <c r="D25967" s="22" t="str">
        <f>HYPERLINK("https://rhld.insurance.arkansas.gov/NPILookup?Npi=1558616557","1558616557")</f>
        <v>1558616557</v>
      </c>
      <c r="E25967" s="1" t="s">
        <v>27595</v>
      </c>
      <c r="F25967" s="2"/>
      <c r="G25967" s="2"/>
      <c r="H25967" s="2"/>
    </row>
    <row r="25968" spans="1:8" x14ac:dyDescent="0.25">
      <c r="A25968" s="1"/>
      <c r="B25968" s="1" t="s">
        <v>7328</v>
      </c>
      <c r="C25968" s="1" t="s">
        <v>7329</v>
      </c>
      <c r="D25968" s="22" t="str">
        <f>HYPERLINK("https://rhld.insurance.arkansas.gov/NPILookup?Npi=1558618462","1558618462")</f>
        <v>1558618462</v>
      </c>
      <c r="E25968" s="1" t="s">
        <v>7882</v>
      </c>
      <c r="F25968" s="2"/>
      <c r="G25968" s="2"/>
      <c r="H25968" s="2"/>
    </row>
    <row r="25969" spans="1:8" x14ac:dyDescent="0.25">
      <c r="A25969" s="1"/>
      <c r="B25969" s="1" t="s">
        <v>7328</v>
      </c>
      <c r="C25969" s="1" t="s">
        <v>7329</v>
      </c>
      <c r="D25969" s="22" t="str">
        <f>HYPERLINK("https://rhld.insurance.arkansas.gov/NPILookup?Npi=1558620856","1558620856")</f>
        <v>1558620856</v>
      </c>
      <c r="E25969" s="1" t="s">
        <v>161</v>
      </c>
      <c r="F25969" s="2"/>
      <c r="G25969" s="2"/>
      <c r="H25969" s="2"/>
    </row>
    <row r="25970" spans="1:8" x14ac:dyDescent="0.25">
      <c r="A25970" s="1"/>
      <c r="B25970" s="1" t="s">
        <v>7328</v>
      </c>
      <c r="C25970" s="1" t="s">
        <v>7329</v>
      </c>
      <c r="D25970" s="22" t="str">
        <f>HYPERLINK("https://rhld.insurance.arkansas.gov/NPILookup?Npi=1558633222","1558633222")</f>
        <v>1558633222</v>
      </c>
      <c r="E25970" s="1" t="s">
        <v>2386</v>
      </c>
      <c r="F25970" s="2"/>
      <c r="G25970" s="2"/>
      <c r="H25970" s="2"/>
    </row>
    <row r="25971" spans="1:8" x14ac:dyDescent="0.25">
      <c r="A25971" s="1"/>
      <c r="B25971" s="1" t="s">
        <v>7328</v>
      </c>
      <c r="C25971" s="1" t="s">
        <v>7329</v>
      </c>
      <c r="D25971" s="22" t="str">
        <f>HYPERLINK("https://rhld.insurance.arkansas.gov/NPILookup?Npi=1558636704","1558636704")</f>
        <v>1558636704</v>
      </c>
      <c r="E25971" s="1" t="s">
        <v>13282</v>
      </c>
      <c r="F25971" s="2"/>
      <c r="G25971" s="2"/>
      <c r="H25971" s="2"/>
    </row>
    <row r="25972" spans="1:8" x14ac:dyDescent="0.25">
      <c r="A25972" s="1"/>
      <c r="B25972" s="1" t="s">
        <v>7328</v>
      </c>
      <c r="C25972" s="1" t="s">
        <v>7329</v>
      </c>
      <c r="D25972" s="22" t="str">
        <f>HYPERLINK("https://rhld.insurance.arkansas.gov/NPILookup?Npi=1558657635","1558657635")</f>
        <v>1558657635</v>
      </c>
      <c r="E25972" s="1" t="s">
        <v>705</v>
      </c>
      <c r="F25972" s="2"/>
      <c r="G25972" s="2"/>
      <c r="H25972" s="2"/>
    </row>
    <row r="25973" spans="1:8" x14ac:dyDescent="0.25">
      <c r="A25973" s="1"/>
      <c r="B25973" s="1" t="s">
        <v>7328</v>
      </c>
      <c r="C25973" s="1" t="s">
        <v>7329</v>
      </c>
      <c r="D25973" s="22" t="str">
        <f>HYPERLINK("https://rhld.insurance.arkansas.gov/NPILookup?Npi=1558657999","1558657999")</f>
        <v>1558657999</v>
      </c>
      <c r="E25973" s="1" t="s">
        <v>27596</v>
      </c>
      <c r="F25973" s="2"/>
      <c r="G25973" s="2"/>
      <c r="H25973" s="2"/>
    </row>
    <row r="25974" spans="1:8" x14ac:dyDescent="0.25">
      <c r="A25974" s="1"/>
      <c r="B25974" s="1" t="s">
        <v>7328</v>
      </c>
      <c r="C25974" s="1" t="s">
        <v>7329</v>
      </c>
      <c r="D25974" s="22" t="str">
        <f>HYPERLINK("https://rhld.insurance.arkansas.gov/NPILookup?Npi=1558664581","1558664581")</f>
        <v>1558664581</v>
      </c>
      <c r="E25974" s="1" t="s">
        <v>27597</v>
      </c>
      <c r="F25974" s="2"/>
      <c r="G25974" s="2"/>
      <c r="H25974" s="2"/>
    </row>
    <row r="25975" spans="1:8" x14ac:dyDescent="0.25">
      <c r="A25975" s="1"/>
      <c r="B25975" s="1" t="s">
        <v>7328</v>
      </c>
      <c r="C25975" s="1" t="s">
        <v>7329</v>
      </c>
      <c r="D25975" s="22" t="str">
        <f>HYPERLINK("https://rhld.insurance.arkansas.gov/NPILookup?Npi=1558664854","1558664854")</f>
        <v>1558664854</v>
      </c>
      <c r="E25975" s="1" t="s">
        <v>7883</v>
      </c>
      <c r="F25975" s="2"/>
      <c r="G25975" s="2"/>
      <c r="H25975" s="2"/>
    </row>
    <row r="25976" spans="1:8" x14ac:dyDescent="0.25">
      <c r="A25976" s="1"/>
      <c r="B25976" s="1" t="s">
        <v>7328</v>
      </c>
      <c r="C25976" s="1" t="s">
        <v>7329</v>
      </c>
      <c r="D25976" s="22" t="str">
        <f>HYPERLINK("https://rhld.insurance.arkansas.gov/NPILookup?Npi=1558686402","1558686402")</f>
        <v>1558686402</v>
      </c>
      <c r="E25976" s="1" t="s">
        <v>27598</v>
      </c>
      <c r="F25976" s="2"/>
      <c r="G25976" s="2"/>
      <c r="H25976" s="2"/>
    </row>
    <row r="25977" spans="1:8" x14ac:dyDescent="0.25">
      <c r="A25977" s="1"/>
      <c r="B25977" s="1" t="s">
        <v>7328</v>
      </c>
      <c r="C25977" s="1" t="s">
        <v>7329</v>
      </c>
      <c r="D25977" s="22" t="str">
        <f>HYPERLINK("https://rhld.insurance.arkansas.gov/NPILookup?Npi=1558697540","1558697540")</f>
        <v>1558697540</v>
      </c>
      <c r="E25977" s="1" t="s">
        <v>27599</v>
      </c>
      <c r="F25977" s="2"/>
      <c r="G25977" s="2"/>
      <c r="H25977" s="2"/>
    </row>
    <row r="25978" spans="1:8" x14ac:dyDescent="0.25">
      <c r="A25978" s="1"/>
      <c r="B25978" s="1" t="s">
        <v>7328</v>
      </c>
      <c r="C25978" s="1" t="s">
        <v>7329</v>
      </c>
      <c r="D25978" s="22" t="str">
        <f>HYPERLINK("https://rhld.insurance.arkansas.gov/NPILookup?Npi=1558701912","1558701912")</f>
        <v>1558701912</v>
      </c>
      <c r="E25978" s="1" t="s">
        <v>27600</v>
      </c>
      <c r="F25978" s="2"/>
      <c r="G25978" s="2"/>
      <c r="H25978" s="2"/>
    </row>
    <row r="25979" spans="1:8" x14ac:dyDescent="0.25">
      <c r="A25979" s="1"/>
      <c r="B25979" s="1" t="s">
        <v>7328</v>
      </c>
      <c r="C25979" s="1" t="s">
        <v>7329</v>
      </c>
      <c r="D25979" s="22" t="str">
        <f>HYPERLINK("https://rhld.insurance.arkansas.gov/NPILookup?Npi=1558710608","1558710608")</f>
        <v>1558710608</v>
      </c>
      <c r="E25979" s="1" t="s">
        <v>27601</v>
      </c>
      <c r="F25979" s="2"/>
      <c r="G25979" s="2"/>
      <c r="H25979" s="2"/>
    </row>
    <row r="25980" spans="1:8" x14ac:dyDescent="0.25">
      <c r="A25980" s="1"/>
      <c r="B25980" s="1" t="s">
        <v>7328</v>
      </c>
      <c r="C25980" s="1" t="s">
        <v>7329</v>
      </c>
      <c r="D25980" s="22" t="str">
        <f>HYPERLINK("https://rhld.insurance.arkansas.gov/NPILookup?Npi=1558715987","1558715987")</f>
        <v>1558715987</v>
      </c>
      <c r="E25980" s="1" t="s">
        <v>11783</v>
      </c>
      <c r="F25980" s="2"/>
      <c r="G25980" s="2"/>
      <c r="H25980" s="2"/>
    </row>
    <row r="25981" spans="1:8" x14ac:dyDescent="0.25">
      <c r="A25981" s="1"/>
      <c r="B25981" s="1" t="s">
        <v>7328</v>
      </c>
      <c r="C25981" s="1" t="s">
        <v>7329</v>
      </c>
      <c r="D25981" s="22" t="str">
        <f>HYPERLINK("https://rhld.insurance.arkansas.gov/NPILookup?Npi=1558716738","1558716738")</f>
        <v>1558716738</v>
      </c>
      <c r="E25981" s="1" t="s">
        <v>1299</v>
      </c>
      <c r="F25981" s="2"/>
      <c r="G25981" s="2"/>
      <c r="H25981" s="2"/>
    </row>
    <row r="25982" spans="1:8" x14ac:dyDescent="0.25">
      <c r="A25982" s="1"/>
      <c r="B25982" s="1" t="s">
        <v>7328</v>
      </c>
      <c r="C25982" s="1" t="s">
        <v>7329</v>
      </c>
      <c r="D25982" s="22" t="str">
        <f>HYPERLINK("https://rhld.insurance.arkansas.gov/NPILookup?Npi=1558740639","1558740639")</f>
        <v>1558740639</v>
      </c>
      <c r="E25982" s="1" t="s">
        <v>32277</v>
      </c>
      <c r="F25982" s="2"/>
      <c r="G25982" s="2"/>
      <c r="H25982" s="2"/>
    </row>
    <row r="25983" spans="1:8" x14ac:dyDescent="0.25">
      <c r="A25983" s="1"/>
      <c r="B25983" s="1" t="s">
        <v>7328</v>
      </c>
      <c r="C25983" s="1" t="s">
        <v>7329</v>
      </c>
      <c r="D25983" s="22" t="str">
        <f>HYPERLINK("https://rhld.insurance.arkansas.gov/NPILookup?Npi=1558744128","1558744128")</f>
        <v>1558744128</v>
      </c>
      <c r="E25983" s="1" t="s">
        <v>1223</v>
      </c>
      <c r="F25983" s="2"/>
      <c r="G25983" s="2"/>
      <c r="H25983" s="2"/>
    </row>
    <row r="25984" spans="1:8" x14ac:dyDescent="0.25">
      <c r="A25984" s="1"/>
      <c r="B25984" s="1" t="s">
        <v>7328</v>
      </c>
      <c r="C25984" s="1" t="s">
        <v>7329</v>
      </c>
      <c r="D25984" s="22" t="str">
        <f>HYPERLINK("https://rhld.insurance.arkansas.gov/NPILookup?Npi=1558744391","1558744391")</f>
        <v>1558744391</v>
      </c>
      <c r="E25984" s="1" t="s">
        <v>27602</v>
      </c>
      <c r="F25984" s="2"/>
      <c r="G25984" s="2"/>
      <c r="H25984" s="2"/>
    </row>
    <row r="25985" spans="1:8" x14ac:dyDescent="0.25">
      <c r="A25985" s="1"/>
      <c r="B25985" s="1" t="s">
        <v>7328</v>
      </c>
      <c r="C25985" s="1" t="s">
        <v>7329</v>
      </c>
      <c r="D25985" s="22" t="str">
        <f>HYPERLINK("https://rhld.insurance.arkansas.gov/NPILookup?Npi=1558748657","1558748657")</f>
        <v>1558748657</v>
      </c>
      <c r="E25985" s="1" t="s">
        <v>27603</v>
      </c>
      <c r="F25985" s="2"/>
      <c r="G25985" s="2"/>
      <c r="H25985" s="2"/>
    </row>
    <row r="25986" spans="1:8" x14ac:dyDescent="0.25">
      <c r="A25986" s="1"/>
      <c r="B25986" s="1" t="s">
        <v>7328</v>
      </c>
      <c r="C25986" s="1" t="s">
        <v>7329</v>
      </c>
      <c r="D25986" s="22" t="str">
        <f>HYPERLINK("https://rhld.insurance.arkansas.gov/NPILookup?Npi=1558761668","1558761668")</f>
        <v>1558761668</v>
      </c>
      <c r="E25986" s="1" t="s">
        <v>27604</v>
      </c>
      <c r="F25986" s="2"/>
      <c r="G25986" s="2"/>
      <c r="H25986" s="2"/>
    </row>
    <row r="25987" spans="1:8" x14ac:dyDescent="0.25">
      <c r="A25987" s="1"/>
      <c r="B25987" s="1" t="s">
        <v>7328</v>
      </c>
      <c r="C25987" s="1" t="s">
        <v>7329</v>
      </c>
      <c r="D25987" s="22" t="str">
        <f>HYPERLINK("https://rhld.insurance.arkansas.gov/NPILookup?Npi=1558779710","1558779710")</f>
        <v>1558779710</v>
      </c>
      <c r="E25987" s="1" t="s">
        <v>27605</v>
      </c>
      <c r="F25987" s="2"/>
      <c r="G25987" s="2"/>
      <c r="H25987" s="2"/>
    </row>
    <row r="25988" spans="1:8" x14ac:dyDescent="0.25">
      <c r="A25988" s="1"/>
      <c r="B25988" s="1" t="s">
        <v>7328</v>
      </c>
      <c r="C25988" s="1" t="s">
        <v>7329</v>
      </c>
      <c r="D25988" s="22" t="str">
        <f>HYPERLINK("https://rhld.insurance.arkansas.gov/NPILookup?Npi=1558781740","1558781740")</f>
        <v>1558781740</v>
      </c>
      <c r="E25988" s="1" t="s">
        <v>17652</v>
      </c>
      <c r="F25988" s="2"/>
      <c r="G25988" s="2"/>
      <c r="H25988" s="2"/>
    </row>
    <row r="25989" spans="1:8" x14ac:dyDescent="0.25">
      <c r="A25989" s="1"/>
      <c r="B25989" s="1" t="s">
        <v>7328</v>
      </c>
      <c r="C25989" s="1" t="s">
        <v>7329</v>
      </c>
      <c r="D25989" s="22" t="str">
        <f>HYPERLINK("https://rhld.insurance.arkansas.gov/NPILookup?Npi=1558784728","1558784728")</f>
        <v>1558784728</v>
      </c>
      <c r="E25989" s="1" t="s">
        <v>27606</v>
      </c>
      <c r="F25989" s="2"/>
      <c r="G25989" s="2"/>
      <c r="H25989" s="2"/>
    </row>
    <row r="25990" spans="1:8" x14ac:dyDescent="0.25">
      <c r="A25990" s="1"/>
      <c r="B25990" s="1" t="s">
        <v>7328</v>
      </c>
      <c r="C25990" s="1" t="s">
        <v>7329</v>
      </c>
      <c r="D25990" s="22" t="str">
        <f>HYPERLINK("https://rhld.insurance.arkansas.gov/NPILookup?Npi=1558809475","1558809475")</f>
        <v>1558809475</v>
      </c>
      <c r="E25990" s="1" t="s">
        <v>871</v>
      </c>
      <c r="F25990" s="2"/>
      <c r="G25990" s="2"/>
      <c r="H25990" s="2"/>
    </row>
    <row r="25991" spans="1:8" x14ac:dyDescent="0.25">
      <c r="A25991" s="1"/>
      <c r="B25991" s="1" t="s">
        <v>7328</v>
      </c>
      <c r="C25991" s="1" t="s">
        <v>7329</v>
      </c>
      <c r="D25991" s="22" t="str">
        <f>HYPERLINK("https://rhld.insurance.arkansas.gov/NPILookup?Npi=1558811935","1558811935")</f>
        <v>1558811935</v>
      </c>
      <c r="E25991" s="1" t="s">
        <v>2893</v>
      </c>
      <c r="F25991" s="2"/>
      <c r="G25991" s="2"/>
      <c r="H25991" s="2"/>
    </row>
    <row r="25992" spans="1:8" x14ac:dyDescent="0.25">
      <c r="A25992" s="1"/>
      <c r="B25992" s="1" t="s">
        <v>7328</v>
      </c>
      <c r="C25992" s="1" t="s">
        <v>7329</v>
      </c>
      <c r="D25992" s="22" t="str">
        <f>HYPERLINK("https://rhld.insurance.arkansas.gov/NPILookup?Npi=1558812842","1558812842")</f>
        <v>1558812842</v>
      </c>
      <c r="E25992" s="1" t="s">
        <v>2894</v>
      </c>
      <c r="F25992" s="2"/>
      <c r="G25992" s="2"/>
      <c r="H25992" s="2"/>
    </row>
    <row r="25993" spans="1:8" x14ac:dyDescent="0.25">
      <c r="A25993" s="1"/>
      <c r="B25993" s="1" t="s">
        <v>7328</v>
      </c>
      <c r="C25993" s="1" t="s">
        <v>7329</v>
      </c>
      <c r="D25993" s="22" t="str">
        <f>HYPERLINK("https://rhld.insurance.arkansas.gov/NPILookup?Npi=1558813352","1558813352")</f>
        <v>1558813352</v>
      </c>
      <c r="E25993" s="1" t="s">
        <v>2895</v>
      </c>
      <c r="F25993" s="2"/>
      <c r="G25993" s="2"/>
      <c r="H25993" s="2"/>
    </row>
    <row r="25994" spans="1:8" x14ac:dyDescent="0.25">
      <c r="A25994" s="1"/>
      <c r="B25994" s="1" t="s">
        <v>7328</v>
      </c>
      <c r="C25994" s="1" t="s">
        <v>7329</v>
      </c>
      <c r="D25994" s="22" t="str">
        <f>HYPERLINK("https://rhld.insurance.arkansas.gov/NPILookup?Npi=1558820688","1558820688")</f>
        <v>1558820688</v>
      </c>
      <c r="E25994" s="1" t="s">
        <v>27607</v>
      </c>
      <c r="F25994" s="2"/>
      <c r="G25994" s="2"/>
      <c r="H25994" s="2"/>
    </row>
    <row r="25995" spans="1:8" x14ac:dyDescent="0.25">
      <c r="A25995" s="1"/>
      <c r="B25995" s="1" t="s">
        <v>7328</v>
      </c>
      <c r="C25995" s="1" t="s">
        <v>7329</v>
      </c>
      <c r="D25995" s="22" t="str">
        <f>HYPERLINK("https://rhld.insurance.arkansas.gov/NPILookup?Npi=1558822791","1558822791")</f>
        <v>1558822791</v>
      </c>
      <c r="E25995" s="1" t="s">
        <v>13283</v>
      </c>
      <c r="F25995" s="2"/>
      <c r="G25995" s="2"/>
      <c r="H25995" s="2"/>
    </row>
    <row r="25996" spans="1:8" x14ac:dyDescent="0.25">
      <c r="A25996" s="1"/>
      <c r="B25996" s="1" t="s">
        <v>7328</v>
      </c>
      <c r="C25996" s="1" t="s">
        <v>7329</v>
      </c>
      <c r="D25996" s="22" t="str">
        <f>HYPERLINK("https://rhld.insurance.arkansas.gov/NPILookup?Npi=1558831644","1558831644")</f>
        <v>1558831644</v>
      </c>
      <c r="E25996" s="1" t="s">
        <v>27608</v>
      </c>
      <c r="F25996" s="2"/>
      <c r="G25996" s="2"/>
      <c r="H25996" s="2"/>
    </row>
    <row r="25997" spans="1:8" x14ac:dyDescent="0.25">
      <c r="A25997" s="1"/>
      <c r="B25997" s="1" t="s">
        <v>7328</v>
      </c>
      <c r="C25997" s="1" t="s">
        <v>7329</v>
      </c>
      <c r="D25997" s="22" t="str">
        <f>HYPERLINK("https://rhld.insurance.arkansas.gov/NPILookup?Npi=1558856807","1558856807")</f>
        <v>1558856807</v>
      </c>
      <c r="E25997" s="1" t="s">
        <v>2896</v>
      </c>
      <c r="F25997" s="2"/>
      <c r="G25997" s="2"/>
      <c r="H25997" s="2"/>
    </row>
    <row r="25998" spans="1:8" x14ac:dyDescent="0.25">
      <c r="A25998" s="1"/>
      <c r="B25998" s="1" t="s">
        <v>7328</v>
      </c>
      <c r="C25998" s="1" t="s">
        <v>7329</v>
      </c>
      <c r="D25998" s="22" t="str">
        <f>HYPERLINK("https://rhld.insurance.arkansas.gov/NPILookup?Npi=1558865014","1558865014")</f>
        <v>1558865014</v>
      </c>
      <c r="E25998" s="1" t="s">
        <v>17653</v>
      </c>
      <c r="F25998" s="2"/>
      <c r="G25998" s="2"/>
      <c r="H25998" s="2"/>
    </row>
    <row r="25999" spans="1:8" x14ac:dyDescent="0.25">
      <c r="A25999" s="1"/>
      <c r="B25999" s="1" t="s">
        <v>7328</v>
      </c>
      <c r="C25999" s="1" t="s">
        <v>7329</v>
      </c>
      <c r="D25999" s="22" t="str">
        <f>HYPERLINK("https://rhld.insurance.arkansas.gov/NPILookup?Npi=1558867309","1558867309")</f>
        <v>1558867309</v>
      </c>
      <c r="E25999" s="1" t="s">
        <v>27609</v>
      </c>
      <c r="F25999" s="2"/>
      <c r="G25999" s="2"/>
      <c r="H25999" s="2"/>
    </row>
    <row r="26000" spans="1:8" x14ac:dyDescent="0.25">
      <c r="A26000" s="1"/>
      <c r="B26000" s="1" t="s">
        <v>7328</v>
      </c>
      <c r="C26000" s="1" t="s">
        <v>7329</v>
      </c>
      <c r="D26000" s="22" t="str">
        <f>HYPERLINK("https://rhld.insurance.arkansas.gov/NPILookup?Npi=1558871814","1558871814")</f>
        <v>1558871814</v>
      </c>
      <c r="E26000" s="1" t="s">
        <v>2897</v>
      </c>
      <c r="F26000" s="2"/>
      <c r="G26000" s="2"/>
      <c r="H26000" s="2"/>
    </row>
    <row r="26001" spans="1:8" x14ac:dyDescent="0.25">
      <c r="A26001" s="1"/>
      <c r="B26001" s="1" t="s">
        <v>7328</v>
      </c>
      <c r="C26001" s="1" t="s">
        <v>7329</v>
      </c>
      <c r="D26001" s="22" t="str">
        <f>HYPERLINK("https://rhld.insurance.arkansas.gov/NPILookup?Npi=1558874818","1558874818")</f>
        <v>1558874818</v>
      </c>
      <c r="E26001" s="1" t="s">
        <v>7884</v>
      </c>
      <c r="F26001" s="2"/>
      <c r="G26001" s="2"/>
      <c r="H26001" s="2"/>
    </row>
    <row r="26002" spans="1:8" x14ac:dyDescent="0.25">
      <c r="A26002" s="1"/>
      <c r="B26002" s="1" t="s">
        <v>7328</v>
      </c>
      <c r="C26002" s="1" t="s">
        <v>7329</v>
      </c>
      <c r="D26002" s="22" t="str">
        <f>HYPERLINK("https://rhld.insurance.arkansas.gov/NPILookup?Npi=1558882282","1558882282")</f>
        <v>1558882282</v>
      </c>
      <c r="E26002" s="1" t="s">
        <v>27610</v>
      </c>
      <c r="F26002" s="2"/>
      <c r="G26002" s="2"/>
      <c r="H26002" s="2"/>
    </row>
    <row r="26003" spans="1:8" x14ac:dyDescent="0.25">
      <c r="A26003" s="1"/>
      <c r="B26003" s="1" t="s">
        <v>7328</v>
      </c>
      <c r="C26003" s="1" t="s">
        <v>7329</v>
      </c>
      <c r="D26003" s="22" t="str">
        <f>HYPERLINK("https://rhld.insurance.arkansas.gov/NPILookup?Npi=1558882639","1558882639")</f>
        <v>1558882639</v>
      </c>
      <c r="E26003" s="1" t="s">
        <v>13284</v>
      </c>
      <c r="F26003" s="2"/>
      <c r="G26003" s="2"/>
      <c r="H26003" s="2"/>
    </row>
    <row r="26004" spans="1:8" x14ac:dyDescent="0.25">
      <c r="A26004" s="1"/>
      <c r="B26004" s="1" t="s">
        <v>7328</v>
      </c>
      <c r="C26004" s="1" t="s">
        <v>7329</v>
      </c>
      <c r="D26004" s="22" t="str">
        <f>HYPERLINK("https://rhld.insurance.arkansas.gov/NPILookup?Npi=1558893172","1558893172")</f>
        <v>1558893172</v>
      </c>
      <c r="E26004" s="1" t="s">
        <v>27611</v>
      </c>
      <c r="F26004" s="2"/>
      <c r="G26004" s="2"/>
      <c r="H26004" s="2"/>
    </row>
    <row r="26005" spans="1:8" x14ac:dyDescent="0.25">
      <c r="A26005" s="1"/>
      <c r="B26005" s="1" t="s">
        <v>7328</v>
      </c>
      <c r="C26005" s="1" t="s">
        <v>7329</v>
      </c>
      <c r="D26005" s="22" t="str">
        <f>HYPERLINK("https://rhld.insurance.arkansas.gov/NPILookup?Npi=1558894295","1558894295")</f>
        <v>1558894295</v>
      </c>
      <c r="E26005" s="1" t="s">
        <v>13285</v>
      </c>
      <c r="F26005" s="2"/>
      <c r="G26005" s="2"/>
      <c r="H26005" s="2"/>
    </row>
    <row r="26006" spans="1:8" x14ac:dyDescent="0.25">
      <c r="A26006" s="1"/>
      <c r="B26006" s="1" t="s">
        <v>7328</v>
      </c>
      <c r="C26006" s="1" t="s">
        <v>7329</v>
      </c>
      <c r="D26006" s="22" t="str">
        <f>HYPERLINK("https://rhld.insurance.arkansas.gov/NPILookup?Npi=1558897967","1558897967")</f>
        <v>1558897967</v>
      </c>
      <c r="E26006" s="1" t="s">
        <v>17654</v>
      </c>
      <c r="F26006" s="2"/>
      <c r="G26006" s="2"/>
      <c r="H26006" s="2"/>
    </row>
    <row r="26007" spans="1:8" x14ac:dyDescent="0.25">
      <c r="A26007" s="1"/>
      <c r="B26007" s="1" t="s">
        <v>7328</v>
      </c>
      <c r="C26007" s="1" t="s">
        <v>7329</v>
      </c>
      <c r="D26007" s="22" t="str">
        <f>HYPERLINK("https://rhld.insurance.arkansas.gov/NPILookup?Npi=1558902577","1558902577")</f>
        <v>1558902577</v>
      </c>
      <c r="E26007" s="1" t="s">
        <v>27612</v>
      </c>
      <c r="F26007" s="2"/>
      <c r="G26007" s="2"/>
      <c r="H26007" s="2"/>
    </row>
    <row r="26008" spans="1:8" x14ac:dyDescent="0.25">
      <c r="A26008" s="1"/>
      <c r="B26008" s="1" t="s">
        <v>7328</v>
      </c>
      <c r="C26008" s="1" t="s">
        <v>7329</v>
      </c>
      <c r="D26008" s="22" t="str">
        <f>HYPERLINK("https://rhld.insurance.arkansas.gov/NPILookup?Npi=1558919365","1558919365")</f>
        <v>1558919365</v>
      </c>
      <c r="E26008" s="1" t="s">
        <v>1699</v>
      </c>
      <c r="F26008" s="2"/>
      <c r="G26008" s="2"/>
      <c r="H26008" s="2"/>
    </row>
    <row r="26009" spans="1:8" x14ac:dyDescent="0.25">
      <c r="A26009" s="1"/>
      <c r="B26009" s="1" t="s">
        <v>7328</v>
      </c>
      <c r="C26009" s="1" t="s">
        <v>7329</v>
      </c>
      <c r="D26009" s="22" t="str">
        <f>HYPERLINK("https://rhld.insurance.arkansas.gov/NPILookup?Npi=1558940718","1558940718")</f>
        <v>1558940718</v>
      </c>
      <c r="E26009" s="1" t="s">
        <v>27613</v>
      </c>
      <c r="F26009" s="2"/>
      <c r="G26009" s="2"/>
      <c r="H26009" s="2"/>
    </row>
    <row r="26010" spans="1:8" x14ac:dyDescent="0.25">
      <c r="A26010" s="1"/>
      <c r="B26010" s="1" t="s">
        <v>7328</v>
      </c>
      <c r="C26010" s="1" t="s">
        <v>7329</v>
      </c>
      <c r="D26010" s="22" t="str">
        <f>HYPERLINK("https://rhld.insurance.arkansas.gov/NPILookup?Npi=1558942094","1558942094")</f>
        <v>1558942094</v>
      </c>
      <c r="E26010" s="1" t="s">
        <v>27614</v>
      </c>
      <c r="F26010" s="2"/>
      <c r="G26010" s="2"/>
      <c r="H26010" s="2"/>
    </row>
    <row r="26011" spans="1:8" x14ac:dyDescent="0.25">
      <c r="A26011" s="1"/>
      <c r="B26011" s="1" t="s">
        <v>7328</v>
      </c>
      <c r="C26011" s="1" t="s">
        <v>7329</v>
      </c>
      <c r="D26011" s="22" t="str">
        <f>HYPERLINK("https://rhld.insurance.arkansas.gov/NPILookup?Npi=1558948398","1558948398")</f>
        <v>1558948398</v>
      </c>
      <c r="E26011" s="1" t="s">
        <v>32278</v>
      </c>
      <c r="F26011" s="2"/>
      <c r="G26011" s="2"/>
      <c r="H26011" s="2"/>
    </row>
    <row r="26012" spans="1:8" x14ac:dyDescent="0.25">
      <c r="A26012" s="1"/>
      <c r="B26012" s="1" t="s">
        <v>7328</v>
      </c>
      <c r="C26012" s="1" t="s">
        <v>7329</v>
      </c>
      <c r="D26012" s="22" t="str">
        <f>HYPERLINK("https://rhld.insurance.arkansas.gov/NPILookup?Npi=1558954172","1558954172")</f>
        <v>1558954172</v>
      </c>
      <c r="E26012" s="1" t="s">
        <v>7885</v>
      </c>
      <c r="F26012" s="2"/>
      <c r="G26012" s="2"/>
      <c r="H26012" s="2"/>
    </row>
    <row r="26013" spans="1:8" x14ac:dyDescent="0.25">
      <c r="A26013" s="1"/>
      <c r="B26013" s="1" t="s">
        <v>7328</v>
      </c>
      <c r="C26013" s="1" t="s">
        <v>7329</v>
      </c>
      <c r="D26013" s="22" t="str">
        <f>HYPERLINK("https://rhld.insurance.arkansas.gov/NPILookup?Npi=1558957787","1558957787")</f>
        <v>1558957787</v>
      </c>
      <c r="E26013" s="1" t="s">
        <v>27615</v>
      </c>
      <c r="F26013" s="2"/>
      <c r="G26013" s="2"/>
      <c r="H26013" s="2"/>
    </row>
    <row r="26014" spans="1:8" x14ac:dyDescent="0.25">
      <c r="A26014" s="1"/>
      <c r="B26014" s="1" t="s">
        <v>7328</v>
      </c>
      <c r="C26014" s="1" t="s">
        <v>7329</v>
      </c>
      <c r="D26014" s="22" t="str">
        <f>HYPERLINK("https://rhld.insurance.arkansas.gov/NPILookup?Npi=1558957951","1558957951")</f>
        <v>1558957951</v>
      </c>
      <c r="E26014" s="1" t="s">
        <v>7886</v>
      </c>
      <c r="F26014" s="2"/>
      <c r="G26014" s="2"/>
      <c r="H26014" s="2"/>
    </row>
    <row r="26015" spans="1:8" x14ac:dyDescent="0.25">
      <c r="A26015" s="1"/>
      <c r="B26015" s="1" t="s">
        <v>7328</v>
      </c>
      <c r="C26015" s="1" t="s">
        <v>7329</v>
      </c>
      <c r="D26015" s="22" t="str">
        <f>HYPERLINK("https://rhld.insurance.arkansas.gov/NPILookup?Npi=1558986489","1558986489")</f>
        <v>1558986489</v>
      </c>
      <c r="E26015" s="1" t="s">
        <v>7887</v>
      </c>
      <c r="F26015" s="2"/>
      <c r="G26015" s="2"/>
      <c r="H26015" s="2"/>
    </row>
    <row r="26016" spans="1:8" x14ac:dyDescent="0.25">
      <c r="A26016" s="1"/>
      <c r="B26016" s="1" t="s">
        <v>7328</v>
      </c>
      <c r="C26016" s="1" t="s">
        <v>7329</v>
      </c>
      <c r="D26016" s="22" t="str">
        <f>HYPERLINK("https://rhld.insurance.arkansas.gov/NPILookup?Npi=1558992149","1558992149")</f>
        <v>1558992149</v>
      </c>
      <c r="E26016" s="1" t="s">
        <v>27616</v>
      </c>
      <c r="F26016" s="2"/>
      <c r="G26016" s="2"/>
      <c r="H26016" s="2"/>
    </row>
    <row r="26017" spans="1:8" x14ac:dyDescent="0.25">
      <c r="A26017" s="1"/>
      <c r="B26017" s="1" t="s">
        <v>7328</v>
      </c>
      <c r="C26017" s="1" t="s">
        <v>7329</v>
      </c>
      <c r="D26017" s="22" t="str">
        <f>HYPERLINK("https://rhld.insurance.arkansas.gov/NPILookup?Npi=1568000503","1568000503")</f>
        <v>1568000503</v>
      </c>
      <c r="E26017" s="1" t="s">
        <v>7888</v>
      </c>
      <c r="F26017" s="2"/>
      <c r="G26017" s="2"/>
      <c r="H26017" s="2"/>
    </row>
    <row r="26018" spans="1:8" x14ac:dyDescent="0.25">
      <c r="A26018" s="1"/>
      <c r="B26018" s="1" t="s">
        <v>7328</v>
      </c>
      <c r="C26018" s="1" t="s">
        <v>7329</v>
      </c>
      <c r="D26018" s="22" t="str">
        <f>HYPERLINK("https://rhld.insurance.arkansas.gov/NPILookup?Npi=1568002145","1568002145")</f>
        <v>1568002145</v>
      </c>
      <c r="E26018" s="1" t="s">
        <v>7889</v>
      </c>
      <c r="F26018" s="2"/>
      <c r="G26018" s="2"/>
      <c r="H26018" s="2"/>
    </row>
    <row r="26019" spans="1:8" x14ac:dyDescent="0.25">
      <c r="A26019" s="1"/>
      <c r="B26019" s="1" t="s">
        <v>7328</v>
      </c>
      <c r="C26019" s="1" t="s">
        <v>7329</v>
      </c>
      <c r="D26019" s="22" t="str">
        <f>HYPERLINK("https://rhld.insurance.arkansas.gov/NPILookup?Npi=1568006211","1568006211")</f>
        <v>1568006211</v>
      </c>
      <c r="E26019" s="1" t="s">
        <v>32279</v>
      </c>
      <c r="F26019" s="2"/>
      <c r="G26019" s="2"/>
      <c r="H26019" s="2"/>
    </row>
    <row r="26020" spans="1:8" x14ac:dyDescent="0.25">
      <c r="A26020" s="1"/>
      <c r="B26020" s="1" t="s">
        <v>7328</v>
      </c>
      <c r="C26020" s="1" t="s">
        <v>7329</v>
      </c>
      <c r="D26020" s="22" t="str">
        <f>HYPERLINK("https://rhld.insurance.arkansas.gov/NPILookup?Npi=1568010072","1568010072")</f>
        <v>1568010072</v>
      </c>
      <c r="E26020" s="1" t="s">
        <v>27617</v>
      </c>
      <c r="F26020" s="2"/>
      <c r="G26020" s="2"/>
      <c r="H26020" s="2"/>
    </row>
    <row r="26021" spans="1:8" x14ac:dyDescent="0.25">
      <c r="A26021" s="1"/>
      <c r="B26021" s="1" t="s">
        <v>7328</v>
      </c>
      <c r="C26021" s="1" t="s">
        <v>7329</v>
      </c>
      <c r="D26021" s="22" t="str">
        <f>HYPERLINK("https://rhld.insurance.arkansas.gov/NPILookup?Npi=1568015584","1568015584")</f>
        <v>1568015584</v>
      </c>
      <c r="E26021" s="1" t="s">
        <v>27618</v>
      </c>
      <c r="F26021" s="2"/>
      <c r="G26021" s="2"/>
      <c r="H26021" s="2"/>
    </row>
    <row r="26022" spans="1:8" x14ac:dyDescent="0.25">
      <c r="A26022" s="1"/>
      <c r="B26022" s="1" t="s">
        <v>7328</v>
      </c>
      <c r="C26022" s="1" t="s">
        <v>7329</v>
      </c>
      <c r="D26022" s="22" t="str">
        <f>HYPERLINK("https://rhld.insurance.arkansas.gov/NPILookup?Npi=1568026466","1568026466")</f>
        <v>1568026466</v>
      </c>
      <c r="E26022" s="1" t="s">
        <v>2898</v>
      </c>
      <c r="F26022" s="2"/>
      <c r="G26022" s="2"/>
      <c r="H26022" s="2"/>
    </row>
    <row r="26023" spans="1:8" x14ac:dyDescent="0.25">
      <c r="A26023" s="1"/>
      <c r="B26023" s="1" t="s">
        <v>7328</v>
      </c>
      <c r="C26023" s="1" t="s">
        <v>7329</v>
      </c>
      <c r="D26023" s="22" t="str">
        <f>HYPERLINK("https://rhld.insurance.arkansas.gov/NPILookup?Npi=1568038206","1568038206")</f>
        <v>1568038206</v>
      </c>
      <c r="E26023" s="1" t="s">
        <v>27619</v>
      </c>
      <c r="F26023" s="2"/>
      <c r="G26023" s="2"/>
      <c r="H26023" s="2"/>
    </row>
    <row r="26024" spans="1:8" x14ac:dyDescent="0.25">
      <c r="A26024" s="1"/>
      <c r="B26024" s="1" t="s">
        <v>7328</v>
      </c>
      <c r="C26024" s="1" t="s">
        <v>7329</v>
      </c>
      <c r="D26024" s="22" t="str">
        <f>HYPERLINK("https://rhld.insurance.arkansas.gov/NPILookup?Npi=1568054930","1568054930")</f>
        <v>1568054930</v>
      </c>
      <c r="E26024" s="1" t="s">
        <v>27620</v>
      </c>
      <c r="F26024" s="2"/>
      <c r="G26024" s="2"/>
      <c r="H26024" s="2"/>
    </row>
    <row r="26025" spans="1:8" x14ac:dyDescent="0.25">
      <c r="A26025" s="1"/>
      <c r="B26025" s="1" t="s">
        <v>7328</v>
      </c>
      <c r="C26025" s="1" t="s">
        <v>7329</v>
      </c>
      <c r="D26025" s="22" t="str">
        <f>HYPERLINK("https://rhld.insurance.arkansas.gov/NPILookup?Npi=1568061828","1568061828")</f>
        <v>1568061828</v>
      </c>
      <c r="E26025" s="1" t="s">
        <v>27621</v>
      </c>
      <c r="F26025" s="2"/>
      <c r="G26025" s="2"/>
      <c r="H26025" s="2"/>
    </row>
    <row r="26026" spans="1:8" x14ac:dyDescent="0.25">
      <c r="A26026" s="1"/>
      <c r="B26026" s="1" t="s">
        <v>7328</v>
      </c>
      <c r="C26026" s="1" t="s">
        <v>7329</v>
      </c>
      <c r="D26026" s="22" t="str">
        <f>HYPERLINK("https://rhld.insurance.arkansas.gov/NPILookup?Npi=1568070761","1568070761")</f>
        <v>1568070761</v>
      </c>
      <c r="E26026" s="1" t="s">
        <v>27622</v>
      </c>
      <c r="F26026" s="2"/>
      <c r="G26026" s="2"/>
      <c r="H26026" s="2"/>
    </row>
    <row r="26027" spans="1:8" x14ac:dyDescent="0.25">
      <c r="A26027" s="1"/>
      <c r="B26027" s="1" t="s">
        <v>7328</v>
      </c>
      <c r="C26027" s="1" t="s">
        <v>7329</v>
      </c>
      <c r="D26027" s="22" t="str">
        <f>HYPERLINK("https://rhld.insurance.arkansas.gov/NPILookup?Npi=1568082006","1568082006")</f>
        <v>1568082006</v>
      </c>
      <c r="E26027" s="1" t="s">
        <v>27623</v>
      </c>
      <c r="F26027" s="2"/>
      <c r="G26027" s="2"/>
      <c r="H26027" s="2"/>
    </row>
    <row r="26028" spans="1:8" x14ac:dyDescent="0.25">
      <c r="A26028" s="1"/>
      <c r="B26028" s="1" t="s">
        <v>7328</v>
      </c>
      <c r="C26028" s="1" t="s">
        <v>7329</v>
      </c>
      <c r="D26028" s="22" t="str">
        <f>HYPERLINK("https://rhld.insurance.arkansas.gov/NPILookup?Npi=1568088490","1568088490")</f>
        <v>1568088490</v>
      </c>
      <c r="E26028" s="1" t="s">
        <v>32280</v>
      </c>
      <c r="F26028" s="2"/>
      <c r="G26028" s="2"/>
      <c r="H26028" s="2"/>
    </row>
    <row r="26029" spans="1:8" x14ac:dyDescent="0.25">
      <c r="A26029" s="1"/>
      <c r="B26029" s="1" t="s">
        <v>7328</v>
      </c>
      <c r="C26029" s="1" t="s">
        <v>7329</v>
      </c>
      <c r="D26029" s="22" t="str">
        <f>HYPERLINK("https://rhld.insurance.arkansas.gov/NPILookup?Npi=1568089555","1568089555")</f>
        <v>1568089555</v>
      </c>
      <c r="E26029" s="1" t="s">
        <v>4097</v>
      </c>
      <c r="F26029" s="2"/>
      <c r="G26029" s="2"/>
      <c r="H26029" s="2"/>
    </row>
    <row r="26030" spans="1:8" x14ac:dyDescent="0.25">
      <c r="A26030" s="1"/>
      <c r="B26030" s="1" t="s">
        <v>7328</v>
      </c>
      <c r="C26030" s="1" t="s">
        <v>7329</v>
      </c>
      <c r="D26030" s="22" t="str">
        <f>HYPERLINK("https://rhld.insurance.arkansas.gov/NPILookup?Npi=1568090918","1568090918")</f>
        <v>1568090918</v>
      </c>
      <c r="E26030" s="1" t="s">
        <v>32281</v>
      </c>
      <c r="F26030" s="2"/>
      <c r="G26030" s="2"/>
      <c r="H26030" s="2"/>
    </row>
    <row r="26031" spans="1:8" x14ac:dyDescent="0.25">
      <c r="A26031" s="1"/>
      <c r="B26031" s="1" t="s">
        <v>7328</v>
      </c>
      <c r="C26031" s="1" t="s">
        <v>7329</v>
      </c>
      <c r="D26031" s="22" t="str">
        <f>HYPERLINK("https://rhld.insurance.arkansas.gov/NPILookup?Npi=1568090959","1568090959")</f>
        <v>1568090959</v>
      </c>
      <c r="E26031" s="1" t="s">
        <v>27624</v>
      </c>
      <c r="F26031" s="2"/>
      <c r="G26031" s="2"/>
      <c r="H26031" s="2"/>
    </row>
    <row r="26032" spans="1:8" x14ac:dyDescent="0.25">
      <c r="A26032" s="1"/>
      <c r="B26032" s="1" t="s">
        <v>7328</v>
      </c>
      <c r="C26032" s="1" t="s">
        <v>7329</v>
      </c>
      <c r="D26032" s="22" t="str">
        <f>HYPERLINK("https://rhld.insurance.arkansas.gov/NPILookup?Npi=1568104479","1568104479")</f>
        <v>1568104479</v>
      </c>
      <c r="E26032" s="1" t="s">
        <v>27625</v>
      </c>
      <c r="F26032" s="2"/>
      <c r="G26032" s="2"/>
      <c r="H26032" s="2"/>
    </row>
    <row r="26033" spans="1:8" x14ac:dyDescent="0.25">
      <c r="A26033" s="1"/>
      <c r="B26033" s="1" t="s">
        <v>7328</v>
      </c>
      <c r="C26033" s="1" t="s">
        <v>7329</v>
      </c>
      <c r="D26033" s="22" t="str">
        <f>HYPERLINK("https://rhld.insurance.arkansas.gov/NPILookup?Npi=1568105146","1568105146")</f>
        <v>1568105146</v>
      </c>
      <c r="E26033" s="1" t="s">
        <v>27626</v>
      </c>
      <c r="F26033" s="2"/>
      <c r="G26033" s="2"/>
      <c r="H26033" s="2"/>
    </row>
    <row r="26034" spans="1:8" x14ac:dyDescent="0.25">
      <c r="A26034" s="1"/>
      <c r="B26034" s="1" t="s">
        <v>7328</v>
      </c>
      <c r="C26034" s="1" t="s">
        <v>7329</v>
      </c>
      <c r="D26034" s="22" t="str">
        <f>HYPERLINK("https://rhld.insurance.arkansas.gov/NPILookup?Npi=1568118172","1568118172")</f>
        <v>1568118172</v>
      </c>
      <c r="E26034" s="1" t="s">
        <v>7890</v>
      </c>
      <c r="F26034" s="2"/>
      <c r="G26034" s="2"/>
      <c r="H26034" s="2"/>
    </row>
    <row r="26035" spans="1:8" x14ac:dyDescent="0.25">
      <c r="A26035" s="1"/>
      <c r="B26035" s="1" t="s">
        <v>7328</v>
      </c>
      <c r="C26035" s="1" t="s">
        <v>7329</v>
      </c>
      <c r="D26035" s="22" t="str">
        <f>HYPERLINK("https://rhld.insurance.arkansas.gov/NPILookup?Npi=1568140655","1568140655")</f>
        <v>1568140655</v>
      </c>
      <c r="E26035" s="1" t="s">
        <v>5197</v>
      </c>
      <c r="F26035" s="2"/>
      <c r="G26035" s="2"/>
      <c r="H26035" s="2"/>
    </row>
    <row r="26036" spans="1:8" x14ac:dyDescent="0.25">
      <c r="A26036" s="1"/>
      <c r="B26036" s="1" t="s">
        <v>7328</v>
      </c>
      <c r="C26036" s="1" t="s">
        <v>7329</v>
      </c>
      <c r="D26036" s="22" t="str">
        <f>HYPERLINK("https://rhld.insurance.arkansas.gov/NPILookup?Npi=1568155000","1568155000")</f>
        <v>1568155000</v>
      </c>
      <c r="E26036" s="1" t="s">
        <v>27627</v>
      </c>
      <c r="F26036" s="2"/>
      <c r="G26036" s="2"/>
      <c r="H26036" s="2"/>
    </row>
    <row r="26037" spans="1:8" x14ac:dyDescent="0.25">
      <c r="A26037" s="1"/>
      <c r="B26037" s="1" t="s">
        <v>7328</v>
      </c>
      <c r="C26037" s="1" t="s">
        <v>7329</v>
      </c>
      <c r="D26037" s="22" t="str">
        <f>HYPERLINK("https://rhld.insurance.arkansas.gov/NPILookup?Npi=1568192797","1568192797")</f>
        <v>1568192797</v>
      </c>
      <c r="E26037" s="1" t="s">
        <v>27628</v>
      </c>
      <c r="F26037" s="2"/>
      <c r="G26037" s="2"/>
      <c r="H26037" s="2"/>
    </row>
    <row r="26038" spans="1:8" x14ac:dyDescent="0.25">
      <c r="A26038" s="1"/>
      <c r="B26038" s="1" t="s">
        <v>7328</v>
      </c>
      <c r="C26038" s="1" t="s">
        <v>7329</v>
      </c>
      <c r="D26038" s="22" t="str">
        <f>HYPERLINK("https://rhld.insurance.arkansas.gov/NPILookup?Npi=1568198778","1568198778")</f>
        <v>1568198778</v>
      </c>
      <c r="E26038" s="1" t="s">
        <v>27629</v>
      </c>
      <c r="F26038" s="2"/>
      <c r="G26038" s="2"/>
      <c r="H26038" s="2"/>
    </row>
    <row r="26039" spans="1:8" x14ac:dyDescent="0.25">
      <c r="A26039" s="1"/>
      <c r="B26039" s="1" t="s">
        <v>7328</v>
      </c>
      <c r="C26039" s="1" t="s">
        <v>7329</v>
      </c>
      <c r="D26039" s="22" t="str">
        <f>HYPERLINK("https://rhld.insurance.arkansas.gov/NPILookup?Npi=1568208221","1568208221")</f>
        <v>1568208221</v>
      </c>
      <c r="E26039" s="1" t="s">
        <v>32282</v>
      </c>
      <c r="F26039" s="2"/>
      <c r="G26039" s="2"/>
      <c r="H26039" s="2"/>
    </row>
    <row r="26040" spans="1:8" x14ac:dyDescent="0.25">
      <c r="A26040" s="1"/>
      <c r="B26040" s="1" t="s">
        <v>7328</v>
      </c>
      <c r="C26040" s="1" t="s">
        <v>7329</v>
      </c>
      <c r="D26040" s="22" t="str">
        <f>HYPERLINK("https://rhld.insurance.arkansas.gov/NPILookup?Npi=1568212520","1568212520")</f>
        <v>1568212520</v>
      </c>
      <c r="E26040" s="1" t="s">
        <v>27630</v>
      </c>
      <c r="F26040" s="2"/>
      <c r="G26040" s="2"/>
      <c r="H26040" s="2"/>
    </row>
    <row r="26041" spans="1:8" x14ac:dyDescent="0.25">
      <c r="A26041" s="1"/>
      <c r="B26041" s="1" t="s">
        <v>7328</v>
      </c>
      <c r="C26041" s="1" t="s">
        <v>7329</v>
      </c>
      <c r="D26041" s="22" t="str">
        <f>HYPERLINK("https://rhld.insurance.arkansas.gov/NPILookup?Npi=1568231454","1568231454")</f>
        <v>1568231454</v>
      </c>
      <c r="E26041" s="1" t="s">
        <v>27631</v>
      </c>
      <c r="F26041" s="2"/>
      <c r="G26041" s="2"/>
      <c r="H26041" s="2"/>
    </row>
    <row r="26042" spans="1:8" x14ac:dyDescent="0.25">
      <c r="A26042" s="1"/>
      <c r="B26042" s="1" t="s">
        <v>7328</v>
      </c>
      <c r="C26042" s="1" t="s">
        <v>7329</v>
      </c>
      <c r="D26042" s="22" t="str">
        <f>HYPERLINK("https://rhld.insurance.arkansas.gov/NPILookup?Npi=1568235968","1568235968")</f>
        <v>1568235968</v>
      </c>
      <c r="E26042" s="1" t="s">
        <v>7891</v>
      </c>
      <c r="F26042" s="2"/>
      <c r="G26042" s="2"/>
      <c r="H26042" s="2"/>
    </row>
    <row r="26043" spans="1:8" x14ac:dyDescent="0.25">
      <c r="A26043" s="1"/>
      <c r="B26043" s="1" t="s">
        <v>7328</v>
      </c>
      <c r="C26043" s="1" t="s">
        <v>7329</v>
      </c>
      <c r="D26043" s="22" t="str">
        <f>HYPERLINK("https://rhld.insurance.arkansas.gov/NPILookup?Npi=1568246494","1568246494")</f>
        <v>1568246494</v>
      </c>
      <c r="E26043" s="1" t="s">
        <v>27632</v>
      </c>
      <c r="F26043" s="2"/>
      <c r="G26043" s="2"/>
      <c r="H26043" s="2"/>
    </row>
    <row r="26044" spans="1:8" x14ac:dyDescent="0.25">
      <c r="A26044" s="1"/>
      <c r="B26044" s="1" t="s">
        <v>7328</v>
      </c>
      <c r="C26044" s="1" t="s">
        <v>7329</v>
      </c>
      <c r="D26044" s="22" t="str">
        <f>HYPERLINK("https://rhld.insurance.arkansas.gov/NPILookup?Npi=1568248474","1568248474")</f>
        <v>1568248474</v>
      </c>
      <c r="E26044" s="1" t="s">
        <v>7892</v>
      </c>
      <c r="F26044" s="2"/>
      <c r="G26044" s="2"/>
      <c r="H26044" s="2"/>
    </row>
    <row r="26045" spans="1:8" x14ac:dyDescent="0.25">
      <c r="A26045" s="1"/>
      <c r="B26045" s="1" t="s">
        <v>7328</v>
      </c>
      <c r="C26045" s="1" t="s">
        <v>7329</v>
      </c>
      <c r="D26045" s="22" t="str">
        <f>HYPERLINK("https://rhld.insurance.arkansas.gov/NPILookup?Npi=1568275501","1568275501")</f>
        <v>1568275501</v>
      </c>
      <c r="E26045" s="1" t="s">
        <v>32283</v>
      </c>
      <c r="F26045" s="2"/>
      <c r="G26045" s="2"/>
      <c r="H26045" s="2"/>
    </row>
    <row r="26046" spans="1:8" x14ac:dyDescent="0.25">
      <c r="A26046" s="1"/>
      <c r="B26046" s="1" t="s">
        <v>7328</v>
      </c>
      <c r="C26046" s="1" t="s">
        <v>7329</v>
      </c>
      <c r="D26046" s="22" t="str">
        <f>HYPERLINK("https://rhld.insurance.arkansas.gov/NPILookup?Npi=1568291755","1568291755")</f>
        <v>1568291755</v>
      </c>
      <c r="E26046" s="1" t="s">
        <v>27633</v>
      </c>
      <c r="F26046" s="2"/>
      <c r="G26046" s="2"/>
      <c r="H26046" s="2"/>
    </row>
    <row r="26047" spans="1:8" x14ac:dyDescent="0.25">
      <c r="A26047" s="1"/>
      <c r="B26047" s="1" t="s">
        <v>7328</v>
      </c>
      <c r="C26047" s="1" t="s">
        <v>7329</v>
      </c>
      <c r="D26047" s="22" t="str">
        <f>HYPERLINK("https://rhld.insurance.arkansas.gov/NPILookup?Npi=1568293249","1568293249")</f>
        <v>1568293249</v>
      </c>
      <c r="E26047" s="1" t="s">
        <v>32284</v>
      </c>
      <c r="F26047" s="2"/>
      <c r="G26047" s="2"/>
      <c r="H26047" s="2"/>
    </row>
    <row r="26048" spans="1:8" x14ac:dyDescent="0.25">
      <c r="A26048" s="1"/>
      <c r="B26048" s="1" t="s">
        <v>7328</v>
      </c>
      <c r="C26048" s="1" t="s">
        <v>7329</v>
      </c>
      <c r="D26048" s="22" t="str">
        <f>HYPERLINK("https://rhld.insurance.arkansas.gov/NPILookup?Npi=1568406551","1568406551")</f>
        <v>1568406551</v>
      </c>
      <c r="E26048" s="1" t="s">
        <v>27634</v>
      </c>
      <c r="F26048" s="2"/>
      <c r="G26048" s="2"/>
      <c r="H26048" s="2"/>
    </row>
    <row r="26049" spans="1:8" x14ac:dyDescent="0.25">
      <c r="A26049" s="1"/>
      <c r="B26049" s="1" t="s">
        <v>7328</v>
      </c>
      <c r="C26049" s="1" t="s">
        <v>7329</v>
      </c>
      <c r="D26049" s="22" t="str">
        <f>HYPERLINK("https://rhld.insurance.arkansas.gov/NPILookup?Npi=1568407088","1568407088")</f>
        <v>1568407088</v>
      </c>
      <c r="E26049" s="1" t="s">
        <v>13286</v>
      </c>
      <c r="F26049" s="2"/>
      <c r="G26049" s="2"/>
      <c r="H26049" s="2"/>
    </row>
    <row r="26050" spans="1:8" x14ac:dyDescent="0.25">
      <c r="A26050" s="1"/>
      <c r="B26050" s="1" t="s">
        <v>7328</v>
      </c>
      <c r="C26050" s="1" t="s">
        <v>7329</v>
      </c>
      <c r="D26050" s="22" t="str">
        <f>HYPERLINK("https://rhld.insurance.arkansas.gov/NPILookup?Npi=1568407666","1568407666")</f>
        <v>1568407666</v>
      </c>
      <c r="E26050" s="1" t="s">
        <v>27635</v>
      </c>
      <c r="F26050" s="2"/>
      <c r="G26050" s="2"/>
      <c r="H26050" s="2"/>
    </row>
    <row r="26051" spans="1:8" x14ac:dyDescent="0.25">
      <c r="A26051" s="1"/>
      <c r="B26051" s="1" t="s">
        <v>7328</v>
      </c>
      <c r="C26051" s="1" t="s">
        <v>7329</v>
      </c>
      <c r="D26051" s="22" t="str">
        <f>HYPERLINK("https://rhld.insurance.arkansas.gov/NPILookup?Npi=1568414415","1568414415")</f>
        <v>1568414415</v>
      </c>
      <c r="E26051" s="1" t="s">
        <v>27636</v>
      </c>
      <c r="F26051" s="2"/>
      <c r="G26051" s="2"/>
      <c r="H26051" s="2"/>
    </row>
    <row r="26052" spans="1:8" x14ac:dyDescent="0.25">
      <c r="A26052" s="1"/>
      <c r="B26052" s="1" t="s">
        <v>7328</v>
      </c>
      <c r="C26052" s="1" t="s">
        <v>7329</v>
      </c>
      <c r="D26052" s="22" t="str">
        <f>HYPERLINK("https://rhld.insurance.arkansas.gov/NPILookup?Npi=1568414704","1568414704")</f>
        <v>1568414704</v>
      </c>
      <c r="E26052" s="1" t="s">
        <v>11761</v>
      </c>
      <c r="F26052" s="2"/>
      <c r="G26052" s="2"/>
      <c r="H26052" s="2"/>
    </row>
    <row r="26053" spans="1:8" x14ac:dyDescent="0.25">
      <c r="A26053" s="1"/>
      <c r="B26053" s="1" t="s">
        <v>7328</v>
      </c>
      <c r="C26053" s="1" t="s">
        <v>7329</v>
      </c>
      <c r="D26053" s="22" t="str">
        <f>HYPERLINK("https://rhld.insurance.arkansas.gov/NPILookup?Npi=1568425510","1568425510")</f>
        <v>1568425510</v>
      </c>
      <c r="E26053" s="1" t="s">
        <v>27637</v>
      </c>
      <c r="F26053" s="2"/>
      <c r="G26053" s="2"/>
      <c r="H26053" s="2"/>
    </row>
    <row r="26054" spans="1:8" x14ac:dyDescent="0.25">
      <c r="A26054" s="1"/>
      <c r="B26054" s="1" t="s">
        <v>7328</v>
      </c>
      <c r="C26054" s="1" t="s">
        <v>7329</v>
      </c>
      <c r="D26054" s="22" t="str">
        <f>HYPERLINK("https://rhld.insurance.arkansas.gov/NPILookup?Npi=1568434520","1568434520")</f>
        <v>1568434520</v>
      </c>
      <c r="E26054" s="1" t="s">
        <v>27638</v>
      </c>
      <c r="F26054" s="2"/>
      <c r="G26054" s="2"/>
      <c r="H26054" s="2"/>
    </row>
    <row r="26055" spans="1:8" x14ac:dyDescent="0.25">
      <c r="A26055" s="1"/>
      <c r="B26055" s="1" t="s">
        <v>7328</v>
      </c>
      <c r="C26055" s="1" t="s">
        <v>7329</v>
      </c>
      <c r="D26055" s="22" t="str">
        <f>HYPERLINK("https://rhld.insurance.arkansas.gov/NPILookup?Npi=1568439057","1568439057")</f>
        <v>1568439057</v>
      </c>
      <c r="E26055" s="1" t="s">
        <v>2899</v>
      </c>
      <c r="F26055" s="2"/>
      <c r="G26055" s="2"/>
      <c r="H26055" s="2"/>
    </row>
    <row r="26056" spans="1:8" x14ac:dyDescent="0.25">
      <c r="A26056" s="1"/>
      <c r="B26056" s="1" t="s">
        <v>7328</v>
      </c>
      <c r="C26056" s="1" t="s">
        <v>7329</v>
      </c>
      <c r="D26056" s="22" t="str">
        <f>HYPERLINK("https://rhld.insurance.arkansas.gov/NPILookup?Npi=1568441616","1568441616")</f>
        <v>1568441616</v>
      </c>
      <c r="E26056" s="1" t="s">
        <v>17655</v>
      </c>
      <c r="F26056" s="2"/>
      <c r="G26056" s="2"/>
      <c r="H26056" s="2"/>
    </row>
    <row r="26057" spans="1:8" x14ac:dyDescent="0.25">
      <c r="A26057" s="1"/>
      <c r="B26057" s="1" t="s">
        <v>7328</v>
      </c>
      <c r="C26057" s="1" t="s">
        <v>7329</v>
      </c>
      <c r="D26057" s="22" t="str">
        <f>HYPERLINK("https://rhld.insurance.arkansas.gov/NPILookup?Npi=1568451136","1568451136")</f>
        <v>1568451136</v>
      </c>
      <c r="E26057" s="1" t="s">
        <v>2900</v>
      </c>
      <c r="F26057" s="2"/>
      <c r="G26057" s="2"/>
      <c r="H26057" s="2"/>
    </row>
    <row r="26058" spans="1:8" x14ac:dyDescent="0.25">
      <c r="A26058" s="1"/>
      <c r="B26058" s="1" t="s">
        <v>7328</v>
      </c>
      <c r="C26058" s="1" t="s">
        <v>7329</v>
      </c>
      <c r="D26058" s="22" t="str">
        <f>HYPERLINK("https://rhld.insurance.arkansas.gov/NPILookup?Npi=1568453918","1568453918")</f>
        <v>1568453918</v>
      </c>
      <c r="E26058" s="1" t="s">
        <v>7893</v>
      </c>
      <c r="F26058" s="2"/>
      <c r="G26058" s="2"/>
      <c r="H26058" s="2"/>
    </row>
    <row r="26059" spans="1:8" x14ac:dyDescent="0.25">
      <c r="A26059" s="1"/>
      <c r="B26059" s="1" t="s">
        <v>7328</v>
      </c>
      <c r="C26059" s="1" t="s">
        <v>7329</v>
      </c>
      <c r="D26059" s="22" t="str">
        <f>HYPERLINK("https://rhld.insurance.arkansas.gov/NPILookup?Npi=1568462463","1568462463")</f>
        <v>1568462463</v>
      </c>
      <c r="E26059" s="1" t="s">
        <v>242</v>
      </c>
      <c r="F26059" s="2"/>
      <c r="G26059" s="2"/>
      <c r="H26059" s="2"/>
    </row>
    <row r="26060" spans="1:8" x14ac:dyDescent="0.25">
      <c r="A26060" s="1"/>
      <c r="B26060" s="1" t="s">
        <v>7328</v>
      </c>
      <c r="C26060" s="1" t="s">
        <v>7329</v>
      </c>
      <c r="D26060" s="22" t="str">
        <f>HYPERLINK("https://rhld.insurance.arkansas.gov/NPILookup?Npi=1568466274","1568466274")</f>
        <v>1568466274</v>
      </c>
      <c r="E26060" s="1" t="s">
        <v>27639</v>
      </c>
      <c r="F26060" s="2"/>
      <c r="G26060" s="2"/>
      <c r="H26060" s="2"/>
    </row>
    <row r="26061" spans="1:8" x14ac:dyDescent="0.25">
      <c r="A26061" s="1"/>
      <c r="B26061" s="1" t="s">
        <v>7328</v>
      </c>
      <c r="C26061" s="1" t="s">
        <v>7329</v>
      </c>
      <c r="D26061" s="22" t="str">
        <f>HYPERLINK("https://rhld.insurance.arkansas.gov/NPILookup?Npi=1568469179","1568469179")</f>
        <v>1568469179</v>
      </c>
      <c r="E26061" s="1" t="s">
        <v>27640</v>
      </c>
      <c r="F26061" s="2"/>
      <c r="G26061" s="2"/>
      <c r="H26061" s="2"/>
    </row>
    <row r="26062" spans="1:8" x14ac:dyDescent="0.25">
      <c r="A26062" s="1"/>
      <c r="B26062" s="1" t="s">
        <v>7328</v>
      </c>
      <c r="C26062" s="1" t="s">
        <v>7329</v>
      </c>
      <c r="D26062" s="22" t="str">
        <f>HYPERLINK("https://rhld.insurance.arkansas.gov/NPILookup?Npi=1568469211","1568469211")</f>
        <v>1568469211</v>
      </c>
      <c r="E26062" s="1" t="s">
        <v>2901</v>
      </c>
      <c r="F26062" s="2"/>
      <c r="G26062" s="2"/>
      <c r="H26062" s="2"/>
    </row>
    <row r="26063" spans="1:8" x14ac:dyDescent="0.25">
      <c r="A26063" s="1"/>
      <c r="B26063" s="1" t="s">
        <v>7328</v>
      </c>
      <c r="C26063" s="1" t="s">
        <v>7329</v>
      </c>
      <c r="D26063" s="22" t="str">
        <f>HYPERLINK("https://rhld.insurance.arkansas.gov/NPILookup?Npi=1568471993","1568471993")</f>
        <v>1568471993</v>
      </c>
      <c r="E26063" s="1" t="s">
        <v>1101</v>
      </c>
      <c r="F26063" s="2"/>
      <c r="G26063" s="2"/>
      <c r="H26063" s="2"/>
    </row>
    <row r="26064" spans="1:8" x14ac:dyDescent="0.25">
      <c r="A26064" s="1"/>
      <c r="B26064" s="1" t="s">
        <v>7328</v>
      </c>
      <c r="C26064" s="1" t="s">
        <v>7329</v>
      </c>
      <c r="D26064" s="22" t="str">
        <f>HYPERLINK("https://rhld.insurance.arkansas.gov/NPILookup?Npi=1568499986","1568499986")</f>
        <v>1568499986</v>
      </c>
      <c r="E26064" s="1" t="s">
        <v>872</v>
      </c>
      <c r="F26064" s="2"/>
      <c r="G26064" s="2"/>
      <c r="H26064" s="2"/>
    </row>
    <row r="26065" spans="1:8" x14ac:dyDescent="0.25">
      <c r="A26065" s="1"/>
      <c r="B26065" s="1" t="s">
        <v>7328</v>
      </c>
      <c r="C26065" s="1" t="s">
        <v>7329</v>
      </c>
      <c r="D26065" s="22" t="str">
        <f>HYPERLINK("https://rhld.insurance.arkansas.gov/NPILookup?Npi=1568502938","1568502938")</f>
        <v>1568502938</v>
      </c>
      <c r="E26065" s="1" t="s">
        <v>9757</v>
      </c>
      <c r="F26065" s="2"/>
      <c r="G26065" s="2"/>
      <c r="H26065" s="2"/>
    </row>
    <row r="26066" spans="1:8" x14ac:dyDescent="0.25">
      <c r="A26066" s="1"/>
      <c r="B26066" s="1" t="s">
        <v>7328</v>
      </c>
      <c r="C26066" s="1" t="s">
        <v>7329</v>
      </c>
      <c r="D26066" s="22" t="str">
        <f>HYPERLINK("https://rhld.insurance.arkansas.gov/NPILookup?Npi=1568511491","1568511491")</f>
        <v>1568511491</v>
      </c>
      <c r="E26066" s="1" t="s">
        <v>7894</v>
      </c>
      <c r="F26066" s="2"/>
      <c r="G26066" s="2"/>
      <c r="H26066" s="2"/>
    </row>
    <row r="26067" spans="1:8" x14ac:dyDescent="0.25">
      <c r="A26067" s="1"/>
      <c r="B26067" s="1" t="s">
        <v>7328</v>
      </c>
      <c r="C26067" s="1" t="s">
        <v>7329</v>
      </c>
      <c r="D26067" s="22" t="str">
        <f>HYPERLINK("https://rhld.insurance.arkansas.gov/NPILookup?Npi=1568527190","1568527190")</f>
        <v>1568527190</v>
      </c>
      <c r="E26067" s="1" t="s">
        <v>10366</v>
      </c>
      <c r="F26067" s="2"/>
      <c r="G26067" s="2"/>
      <c r="H26067" s="2"/>
    </row>
    <row r="26068" spans="1:8" x14ac:dyDescent="0.25">
      <c r="A26068" s="1"/>
      <c r="B26068" s="1" t="s">
        <v>7328</v>
      </c>
      <c r="C26068" s="1" t="s">
        <v>7329</v>
      </c>
      <c r="D26068" s="22" t="str">
        <f>HYPERLINK("https://rhld.insurance.arkansas.gov/NPILookup?Npi=1568553071","1568553071")</f>
        <v>1568553071</v>
      </c>
      <c r="E26068" s="1" t="s">
        <v>13287</v>
      </c>
      <c r="F26068" s="2"/>
      <c r="G26068" s="2"/>
      <c r="H26068" s="2"/>
    </row>
    <row r="26069" spans="1:8" x14ac:dyDescent="0.25">
      <c r="A26069" s="1"/>
      <c r="B26069" s="1" t="s">
        <v>7328</v>
      </c>
      <c r="C26069" s="1" t="s">
        <v>7329</v>
      </c>
      <c r="D26069" s="22" t="str">
        <f>HYPERLINK("https://rhld.insurance.arkansas.gov/NPILookup?Npi=1568571438","1568571438")</f>
        <v>1568571438</v>
      </c>
      <c r="E26069" s="1" t="s">
        <v>17657</v>
      </c>
      <c r="F26069" s="2"/>
      <c r="G26069" s="2"/>
      <c r="H26069" s="2"/>
    </row>
    <row r="26070" spans="1:8" x14ac:dyDescent="0.25">
      <c r="A26070" s="1"/>
      <c r="B26070" s="1" t="s">
        <v>7328</v>
      </c>
      <c r="C26070" s="1" t="s">
        <v>7329</v>
      </c>
      <c r="D26070" s="22" t="str">
        <f>HYPERLINK("https://rhld.insurance.arkansas.gov/NPILookup?Npi=1568591238","1568591238")</f>
        <v>1568591238</v>
      </c>
      <c r="E26070" s="1" t="s">
        <v>17658</v>
      </c>
      <c r="F26070" s="2"/>
      <c r="G26070" s="2"/>
      <c r="H26070" s="2"/>
    </row>
    <row r="26071" spans="1:8" x14ac:dyDescent="0.25">
      <c r="A26071" s="1"/>
      <c r="B26071" s="1" t="s">
        <v>7328</v>
      </c>
      <c r="C26071" s="1" t="s">
        <v>7329</v>
      </c>
      <c r="D26071" s="22" t="str">
        <f>HYPERLINK("https://rhld.insurance.arkansas.gov/NPILookup?Npi=1568661395","1568661395")</f>
        <v>1568661395</v>
      </c>
      <c r="E26071" s="1" t="s">
        <v>7895</v>
      </c>
      <c r="F26071" s="2"/>
      <c r="G26071" s="2"/>
      <c r="H26071" s="2"/>
    </row>
    <row r="26072" spans="1:8" x14ac:dyDescent="0.25">
      <c r="A26072" s="1"/>
      <c r="B26072" s="1" t="s">
        <v>7328</v>
      </c>
      <c r="C26072" s="1" t="s">
        <v>7329</v>
      </c>
      <c r="D26072" s="22" t="str">
        <f>HYPERLINK("https://rhld.insurance.arkansas.gov/NPILookup?Npi=1568671246","1568671246")</f>
        <v>1568671246</v>
      </c>
      <c r="E26072" s="1" t="s">
        <v>3531</v>
      </c>
      <c r="F26072" s="2"/>
      <c r="G26072" s="2"/>
      <c r="H26072" s="2"/>
    </row>
    <row r="26073" spans="1:8" x14ac:dyDescent="0.25">
      <c r="A26073" s="1"/>
      <c r="B26073" s="1" t="s">
        <v>7328</v>
      </c>
      <c r="C26073" s="1" t="s">
        <v>7329</v>
      </c>
      <c r="D26073" s="22" t="str">
        <f>HYPERLINK("https://rhld.insurance.arkansas.gov/NPILookup?Npi=1568680437","1568680437")</f>
        <v>1568680437</v>
      </c>
      <c r="E26073" s="1" t="s">
        <v>7896</v>
      </c>
      <c r="F26073" s="2"/>
      <c r="G26073" s="2"/>
      <c r="H26073" s="2"/>
    </row>
    <row r="26074" spans="1:8" x14ac:dyDescent="0.25">
      <c r="A26074" s="1"/>
      <c r="B26074" s="1" t="s">
        <v>7328</v>
      </c>
      <c r="C26074" s="1" t="s">
        <v>7329</v>
      </c>
      <c r="D26074" s="22" t="str">
        <f>HYPERLINK("https://rhld.insurance.arkansas.gov/NPILookup?Npi=1568717734","1568717734")</f>
        <v>1568717734</v>
      </c>
      <c r="E26074" s="1" t="s">
        <v>27641</v>
      </c>
      <c r="F26074" s="2"/>
      <c r="G26074" s="2"/>
      <c r="H26074" s="2"/>
    </row>
    <row r="26075" spans="1:8" x14ac:dyDescent="0.25">
      <c r="A26075" s="1"/>
      <c r="B26075" s="1" t="s">
        <v>7328</v>
      </c>
      <c r="C26075" s="1" t="s">
        <v>7329</v>
      </c>
      <c r="D26075" s="22" t="str">
        <f>HYPERLINK("https://rhld.insurance.arkansas.gov/NPILookup?Npi=1568737864","1568737864")</f>
        <v>1568737864</v>
      </c>
      <c r="E26075" s="1" t="s">
        <v>13288</v>
      </c>
      <c r="F26075" s="2"/>
      <c r="G26075" s="2"/>
      <c r="H26075" s="2"/>
    </row>
    <row r="26076" spans="1:8" x14ac:dyDescent="0.25">
      <c r="A26076" s="1"/>
      <c r="B26076" s="1" t="s">
        <v>7328</v>
      </c>
      <c r="C26076" s="1" t="s">
        <v>7329</v>
      </c>
      <c r="D26076" s="22" t="str">
        <f>HYPERLINK("https://rhld.insurance.arkansas.gov/NPILookup?Npi=1568742401","1568742401")</f>
        <v>1568742401</v>
      </c>
      <c r="E26076" s="1" t="s">
        <v>27642</v>
      </c>
      <c r="F26076" s="2"/>
      <c r="G26076" s="2"/>
      <c r="H26076" s="2"/>
    </row>
    <row r="26077" spans="1:8" x14ac:dyDescent="0.25">
      <c r="A26077" s="1"/>
      <c r="B26077" s="1" t="s">
        <v>7328</v>
      </c>
      <c r="C26077" s="1" t="s">
        <v>7329</v>
      </c>
      <c r="D26077" s="22" t="str">
        <f>HYPERLINK("https://rhld.insurance.arkansas.gov/NPILookup?Npi=1568753481","1568753481")</f>
        <v>1568753481</v>
      </c>
      <c r="E26077" s="1" t="s">
        <v>17661</v>
      </c>
      <c r="F26077" s="2"/>
      <c r="G26077" s="2"/>
      <c r="H26077" s="2"/>
    </row>
    <row r="26078" spans="1:8" x14ac:dyDescent="0.25">
      <c r="A26078" s="1"/>
      <c r="B26078" s="1" t="s">
        <v>7328</v>
      </c>
      <c r="C26078" s="1" t="s">
        <v>7329</v>
      </c>
      <c r="D26078" s="22" t="str">
        <f>HYPERLINK("https://rhld.insurance.arkansas.gov/NPILookup?Npi=1568754851","1568754851")</f>
        <v>1568754851</v>
      </c>
      <c r="E26078" s="1" t="s">
        <v>27644</v>
      </c>
      <c r="F26078" s="2"/>
      <c r="G26078" s="2"/>
      <c r="H26078" s="2"/>
    </row>
    <row r="26079" spans="1:8" x14ac:dyDescent="0.25">
      <c r="A26079" s="1"/>
      <c r="B26079" s="1" t="s">
        <v>7328</v>
      </c>
      <c r="C26079" s="1" t="s">
        <v>7329</v>
      </c>
      <c r="D26079" s="22" t="str">
        <f>HYPERLINK("https://rhld.insurance.arkansas.gov/NPILookup?Npi=1568756104","1568756104")</f>
        <v>1568756104</v>
      </c>
      <c r="E26079" s="1" t="s">
        <v>32285</v>
      </c>
      <c r="F26079" s="2"/>
      <c r="G26079" s="2"/>
      <c r="H26079" s="2"/>
    </row>
    <row r="26080" spans="1:8" x14ac:dyDescent="0.25">
      <c r="A26080" s="1"/>
      <c r="B26080" s="1" t="s">
        <v>7328</v>
      </c>
      <c r="C26080" s="1" t="s">
        <v>7329</v>
      </c>
      <c r="D26080" s="22" t="str">
        <f>HYPERLINK("https://rhld.insurance.arkansas.gov/NPILookup?Npi=1568757730","1568757730")</f>
        <v>1568757730</v>
      </c>
      <c r="E26080" s="1" t="s">
        <v>4414</v>
      </c>
      <c r="F26080" s="2"/>
      <c r="G26080" s="2"/>
      <c r="H26080" s="2"/>
    </row>
    <row r="26081" spans="1:8" x14ac:dyDescent="0.25">
      <c r="A26081" s="1"/>
      <c r="B26081" s="1" t="s">
        <v>7328</v>
      </c>
      <c r="C26081" s="1" t="s">
        <v>7329</v>
      </c>
      <c r="D26081" s="22" t="str">
        <f>HYPERLINK("https://rhld.insurance.arkansas.gov/NPILookup?Npi=1568763514","1568763514")</f>
        <v>1568763514</v>
      </c>
      <c r="E26081" s="1" t="s">
        <v>2902</v>
      </c>
      <c r="F26081" s="2"/>
      <c r="G26081" s="2"/>
      <c r="H26081" s="2"/>
    </row>
    <row r="26082" spans="1:8" x14ac:dyDescent="0.25">
      <c r="A26082" s="1"/>
      <c r="B26082" s="1" t="s">
        <v>7328</v>
      </c>
      <c r="C26082" s="1" t="s">
        <v>7329</v>
      </c>
      <c r="D26082" s="22" t="str">
        <f>HYPERLINK("https://rhld.insurance.arkansas.gov/NPILookup?Npi=1568769040","1568769040")</f>
        <v>1568769040</v>
      </c>
      <c r="E26082" s="1" t="s">
        <v>13289</v>
      </c>
      <c r="F26082" s="2"/>
      <c r="G26082" s="2"/>
      <c r="H26082" s="2"/>
    </row>
    <row r="26083" spans="1:8" x14ac:dyDescent="0.25">
      <c r="A26083" s="1"/>
      <c r="B26083" s="1" t="s">
        <v>7328</v>
      </c>
      <c r="C26083" s="1" t="s">
        <v>7329</v>
      </c>
      <c r="D26083" s="22" t="str">
        <f>HYPERLINK("https://rhld.insurance.arkansas.gov/NPILookup?Npi=1568791259","1568791259")</f>
        <v>1568791259</v>
      </c>
      <c r="E26083" s="1" t="s">
        <v>27645</v>
      </c>
      <c r="F26083" s="2"/>
      <c r="G26083" s="2"/>
      <c r="H26083" s="2"/>
    </row>
    <row r="26084" spans="1:8" x14ac:dyDescent="0.25">
      <c r="A26084" s="1"/>
      <c r="B26084" s="1" t="s">
        <v>7328</v>
      </c>
      <c r="C26084" s="1" t="s">
        <v>7329</v>
      </c>
      <c r="D26084" s="22" t="str">
        <f>HYPERLINK("https://rhld.insurance.arkansas.gov/NPILookup?Npi=1568792885","1568792885")</f>
        <v>1568792885</v>
      </c>
      <c r="E26084" s="1" t="s">
        <v>7897</v>
      </c>
      <c r="F26084" s="2"/>
      <c r="G26084" s="2"/>
      <c r="H26084" s="2"/>
    </row>
    <row r="26085" spans="1:8" x14ac:dyDescent="0.25">
      <c r="A26085" s="1"/>
      <c r="B26085" s="1" t="s">
        <v>7328</v>
      </c>
      <c r="C26085" s="1" t="s">
        <v>7329</v>
      </c>
      <c r="D26085" s="22" t="str">
        <f>HYPERLINK("https://rhld.insurance.arkansas.gov/NPILookup?Npi=1568801447","1568801447")</f>
        <v>1568801447</v>
      </c>
      <c r="E26085" s="1" t="s">
        <v>27646</v>
      </c>
      <c r="F26085" s="2"/>
      <c r="G26085" s="2"/>
      <c r="H26085" s="2"/>
    </row>
    <row r="26086" spans="1:8" x14ac:dyDescent="0.25">
      <c r="A26086" s="1"/>
      <c r="B26086" s="1" t="s">
        <v>7328</v>
      </c>
      <c r="C26086" s="1" t="s">
        <v>7329</v>
      </c>
      <c r="D26086" s="22" t="str">
        <f>HYPERLINK("https://rhld.insurance.arkansas.gov/NPILookup?Npi=1568809044","1568809044")</f>
        <v>1568809044</v>
      </c>
      <c r="E26086" s="1" t="s">
        <v>17664</v>
      </c>
      <c r="F26086" s="2"/>
      <c r="G26086" s="2"/>
      <c r="H26086" s="2"/>
    </row>
    <row r="26087" spans="1:8" x14ac:dyDescent="0.25">
      <c r="A26087" s="1"/>
      <c r="B26087" s="1" t="s">
        <v>7328</v>
      </c>
      <c r="C26087" s="1" t="s">
        <v>7329</v>
      </c>
      <c r="D26087" s="22" t="str">
        <f>HYPERLINK("https://rhld.insurance.arkansas.gov/NPILookup?Npi=1568811321","1568811321")</f>
        <v>1568811321</v>
      </c>
      <c r="E26087" s="1" t="s">
        <v>10368</v>
      </c>
      <c r="F26087" s="2"/>
      <c r="G26087" s="2"/>
      <c r="H26087" s="2"/>
    </row>
    <row r="26088" spans="1:8" x14ac:dyDescent="0.25">
      <c r="A26088" s="1"/>
      <c r="B26088" s="1" t="s">
        <v>7328</v>
      </c>
      <c r="C26088" s="1" t="s">
        <v>7329</v>
      </c>
      <c r="D26088" s="22" t="str">
        <f>HYPERLINK("https://rhld.insurance.arkansas.gov/NPILookup?Npi=1568813517","1568813517")</f>
        <v>1568813517</v>
      </c>
      <c r="E26088" s="1" t="s">
        <v>13290</v>
      </c>
      <c r="F26088" s="2"/>
      <c r="G26088" s="2"/>
      <c r="H26088" s="2"/>
    </row>
    <row r="26089" spans="1:8" x14ac:dyDescent="0.25">
      <c r="A26089" s="1"/>
      <c r="B26089" s="1" t="s">
        <v>7328</v>
      </c>
      <c r="C26089" s="1" t="s">
        <v>7329</v>
      </c>
      <c r="D26089" s="22" t="str">
        <f>HYPERLINK("https://rhld.insurance.arkansas.gov/NPILookup?Npi=1568813608","1568813608")</f>
        <v>1568813608</v>
      </c>
      <c r="E26089" s="1" t="s">
        <v>27647</v>
      </c>
      <c r="F26089" s="2"/>
      <c r="G26089" s="2"/>
      <c r="H26089" s="2"/>
    </row>
    <row r="26090" spans="1:8" x14ac:dyDescent="0.25">
      <c r="A26090" s="1"/>
      <c r="B26090" s="1" t="s">
        <v>7328</v>
      </c>
      <c r="C26090" s="1" t="s">
        <v>7329</v>
      </c>
      <c r="D26090" s="22" t="str">
        <f>HYPERLINK("https://rhld.insurance.arkansas.gov/NPILookup?Npi=1568814655","1568814655")</f>
        <v>1568814655</v>
      </c>
      <c r="E26090" s="1" t="s">
        <v>27648</v>
      </c>
      <c r="F26090" s="2"/>
      <c r="G26090" s="2"/>
      <c r="H26090" s="2"/>
    </row>
    <row r="26091" spans="1:8" x14ac:dyDescent="0.25">
      <c r="A26091" s="1"/>
      <c r="B26091" s="1" t="s">
        <v>7328</v>
      </c>
      <c r="C26091" s="1" t="s">
        <v>7329</v>
      </c>
      <c r="D26091" s="22" t="str">
        <f>HYPERLINK("https://rhld.insurance.arkansas.gov/NPILookup?Npi=1568820389","1568820389")</f>
        <v>1568820389</v>
      </c>
      <c r="E26091" s="1" t="s">
        <v>13291</v>
      </c>
      <c r="F26091" s="2"/>
      <c r="G26091" s="2"/>
      <c r="H26091" s="2"/>
    </row>
    <row r="26092" spans="1:8" x14ac:dyDescent="0.25">
      <c r="A26092" s="1"/>
      <c r="B26092" s="1" t="s">
        <v>7328</v>
      </c>
      <c r="C26092" s="1" t="s">
        <v>7329</v>
      </c>
      <c r="D26092" s="22" t="str">
        <f>HYPERLINK("https://rhld.insurance.arkansas.gov/NPILookup?Npi=1568822401","1568822401")</f>
        <v>1568822401</v>
      </c>
      <c r="E26092" s="1" t="s">
        <v>2903</v>
      </c>
      <c r="F26092" s="2"/>
      <c r="G26092" s="2"/>
      <c r="H26092" s="2"/>
    </row>
    <row r="26093" spans="1:8" x14ac:dyDescent="0.25">
      <c r="A26093" s="1"/>
      <c r="B26093" s="1" t="s">
        <v>7328</v>
      </c>
      <c r="C26093" s="1" t="s">
        <v>7329</v>
      </c>
      <c r="D26093" s="22" t="str">
        <f>HYPERLINK("https://rhld.insurance.arkansas.gov/NPILookup?Npi=1568831048","1568831048")</f>
        <v>1568831048</v>
      </c>
      <c r="E26093" s="1" t="s">
        <v>27649</v>
      </c>
      <c r="F26093" s="2"/>
      <c r="G26093" s="2"/>
      <c r="H26093" s="2"/>
    </row>
    <row r="26094" spans="1:8" x14ac:dyDescent="0.25">
      <c r="A26094" s="1"/>
      <c r="B26094" s="1" t="s">
        <v>7328</v>
      </c>
      <c r="C26094" s="1" t="s">
        <v>7329</v>
      </c>
      <c r="D26094" s="22" t="str">
        <f>HYPERLINK("https://rhld.insurance.arkansas.gov/NPILookup?Npi=1568837144","1568837144")</f>
        <v>1568837144</v>
      </c>
      <c r="E26094" s="1" t="s">
        <v>27650</v>
      </c>
      <c r="F26094" s="2"/>
      <c r="G26094" s="2"/>
      <c r="H26094" s="2"/>
    </row>
    <row r="26095" spans="1:8" x14ac:dyDescent="0.25">
      <c r="A26095" s="1"/>
      <c r="B26095" s="1" t="s">
        <v>7328</v>
      </c>
      <c r="C26095" s="1" t="s">
        <v>7329</v>
      </c>
      <c r="D26095" s="22" t="str">
        <f>HYPERLINK("https://rhld.insurance.arkansas.gov/NPILookup?Npi=1568841088","1568841088")</f>
        <v>1568841088</v>
      </c>
      <c r="E26095" s="1" t="s">
        <v>27651</v>
      </c>
      <c r="F26095" s="2"/>
      <c r="G26095" s="2"/>
      <c r="H26095" s="2"/>
    </row>
    <row r="26096" spans="1:8" x14ac:dyDescent="0.25">
      <c r="A26096" s="1"/>
      <c r="B26096" s="1" t="s">
        <v>7328</v>
      </c>
      <c r="C26096" s="1" t="s">
        <v>7329</v>
      </c>
      <c r="D26096" s="22" t="str">
        <f>HYPERLINK("https://rhld.insurance.arkansas.gov/NPILookup?Npi=1568845071","1568845071")</f>
        <v>1568845071</v>
      </c>
      <c r="E26096" s="1" t="s">
        <v>1793</v>
      </c>
      <c r="F26096" s="2"/>
      <c r="G26096" s="2"/>
      <c r="H26096" s="2"/>
    </row>
    <row r="26097" spans="1:8" x14ac:dyDescent="0.25">
      <c r="A26097" s="1"/>
      <c r="B26097" s="1" t="s">
        <v>7328</v>
      </c>
      <c r="C26097" s="1" t="s">
        <v>7329</v>
      </c>
      <c r="D26097" s="22" t="str">
        <f>HYPERLINK("https://rhld.insurance.arkansas.gov/NPILookup?Npi=1568850147","1568850147")</f>
        <v>1568850147</v>
      </c>
      <c r="E26097" s="1" t="s">
        <v>27652</v>
      </c>
      <c r="F26097" s="2"/>
      <c r="G26097" s="2"/>
      <c r="H26097" s="2"/>
    </row>
    <row r="26098" spans="1:8" x14ac:dyDescent="0.25">
      <c r="A26098" s="1"/>
      <c r="B26098" s="1" t="s">
        <v>7328</v>
      </c>
      <c r="C26098" s="1" t="s">
        <v>7329</v>
      </c>
      <c r="D26098" s="22" t="str">
        <f>HYPERLINK("https://rhld.insurance.arkansas.gov/NPILookup?Npi=1568862001","1568862001")</f>
        <v>1568862001</v>
      </c>
      <c r="E26098" s="1" t="s">
        <v>32286</v>
      </c>
      <c r="F26098" s="2"/>
      <c r="G26098" s="2"/>
      <c r="H26098" s="2"/>
    </row>
    <row r="26099" spans="1:8" x14ac:dyDescent="0.25">
      <c r="A26099" s="1"/>
      <c r="B26099" s="1" t="s">
        <v>7328</v>
      </c>
      <c r="C26099" s="1" t="s">
        <v>7329</v>
      </c>
      <c r="D26099" s="22" t="str">
        <f>HYPERLINK("https://rhld.insurance.arkansas.gov/NPILookup?Npi=1568870640","1568870640")</f>
        <v>1568870640</v>
      </c>
      <c r="E26099" s="1" t="s">
        <v>27653</v>
      </c>
      <c r="F26099" s="2"/>
      <c r="G26099" s="2"/>
      <c r="H26099" s="2"/>
    </row>
    <row r="26100" spans="1:8" x14ac:dyDescent="0.25">
      <c r="A26100" s="1"/>
      <c r="B26100" s="1" t="s">
        <v>7328</v>
      </c>
      <c r="C26100" s="1" t="s">
        <v>7329</v>
      </c>
      <c r="D26100" s="22" t="str">
        <f>HYPERLINK("https://rhld.insurance.arkansas.gov/NPILookup?Npi=1568878668","1568878668")</f>
        <v>1568878668</v>
      </c>
      <c r="E26100" s="1" t="s">
        <v>2904</v>
      </c>
      <c r="F26100" s="2"/>
      <c r="G26100" s="2"/>
      <c r="H26100" s="2"/>
    </row>
    <row r="26101" spans="1:8" x14ac:dyDescent="0.25">
      <c r="A26101" s="1"/>
      <c r="B26101" s="1" t="s">
        <v>7328</v>
      </c>
      <c r="C26101" s="1" t="s">
        <v>7329</v>
      </c>
      <c r="D26101" s="22" t="str">
        <f>HYPERLINK("https://rhld.insurance.arkansas.gov/NPILookup?Npi=1568898542","1568898542")</f>
        <v>1568898542</v>
      </c>
      <c r="E26101" s="1" t="s">
        <v>32287</v>
      </c>
      <c r="F26101" s="2"/>
      <c r="G26101" s="2"/>
      <c r="H26101" s="2"/>
    </row>
    <row r="26102" spans="1:8" x14ac:dyDescent="0.25">
      <c r="A26102" s="1"/>
      <c r="B26102" s="1" t="s">
        <v>7328</v>
      </c>
      <c r="C26102" s="1" t="s">
        <v>7329</v>
      </c>
      <c r="D26102" s="22" t="str">
        <f>HYPERLINK("https://rhld.insurance.arkansas.gov/NPILookup?Npi=1568907376","1568907376")</f>
        <v>1568907376</v>
      </c>
      <c r="E26102" s="1" t="s">
        <v>7898</v>
      </c>
      <c r="F26102" s="2"/>
      <c r="G26102" s="2"/>
      <c r="H26102" s="2"/>
    </row>
    <row r="26103" spans="1:8" x14ac:dyDescent="0.25">
      <c r="A26103" s="1"/>
      <c r="B26103" s="1" t="s">
        <v>7328</v>
      </c>
      <c r="C26103" s="1" t="s">
        <v>7329</v>
      </c>
      <c r="D26103" s="22" t="str">
        <f>HYPERLINK("https://rhld.insurance.arkansas.gov/NPILookup?Npi=1568925246","1568925246")</f>
        <v>1568925246</v>
      </c>
      <c r="E26103" s="1" t="s">
        <v>7050</v>
      </c>
      <c r="F26103" s="2"/>
      <c r="G26103" s="2"/>
      <c r="H26103" s="2"/>
    </row>
    <row r="26104" spans="1:8" x14ac:dyDescent="0.25">
      <c r="A26104" s="1"/>
      <c r="B26104" s="1" t="s">
        <v>7328</v>
      </c>
      <c r="C26104" s="1" t="s">
        <v>7329</v>
      </c>
      <c r="D26104" s="22" t="str">
        <f>HYPERLINK("https://rhld.insurance.arkansas.gov/NPILookup?Npi=1568932119","1568932119")</f>
        <v>1568932119</v>
      </c>
      <c r="E26104" s="1" t="s">
        <v>1834</v>
      </c>
      <c r="F26104" s="2"/>
      <c r="G26104" s="2"/>
      <c r="H26104" s="2"/>
    </row>
    <row r="26105" spans="1:8" x14ac:dyDescent="0.25">
      <c r="A26105" s="1"/>
      <c r="B26105" s="1" t="s">
        <v>7328</v>
      </c>
      <c r="C26105" s="1" t="s">
        <v>7329</v>
      </c>
      <c r="D26105" s="22" t="str">
        <f>HYPERLINK("https://rhld.insurance.arkansas.gov/NPILookup?Npi=1568938504","1568938504")</f>
        <v>1568938504</v>
      </c>
      <c r="E26105" s="1" t="s">
        <v>7899</v>
      </c>
      <c r="F26105" s="2"/>
      <c r="G26105" s="2"/>
      <c r="H26105" s="2"/>
    </row>
    <row r="26106" spans="1:8" x14ac:dyDescent="0.25">
      <c r="A26106" s="1"/>
      <c r="B26106" s="1" t="s">
        <v>7328</v>
      </c>
      <c r="C26106" s="1" t="s">
        <v>7329</v>
      </c>
      <c r="D26106" s="22" t="str">
        <f>HYPERLINK("https://rhld.insurance.arkansas.gov/NPILookup?Npi=1568947752","1568947752")</f>
        <v>1568947752</v>
      </c>
      <c r="E26106" s="1" t="s">
        <v>27654</v>
      </c>
      <c r="F26106" s="2"/>
      <c r="G26106" s="2"/>
      <c r="H26106" s="2"/>
    </row>
    <row r="26107" spans="1:8" x14ac:dyDescent="0.25">
      <c r="A26107" s="1"/>
      <c r="B26107" s="1" t="s">
        <v>7328</v>
      </c>
      <c r="C26107" s="1" t="s">
        <v>7329</v>
      </c>
      <c r="D26107" s="22" t="str">
        <f>HYPERLINK("https://rhld.insurance.arkansas.gov/NPILookup?Npi=1568948875","1568948875")</f>
        <v>1568948875</v>
      </c>
      <c r="E26107" s="1" t="s">
        <v>1224</v>
      </c>
      <c r="F26107" s="2"/>
      <c r="G26107" s="2"/>
      <c r="H26107" s="2"/>
    </row>
    <row r="26108" spans="1:8" x14ac:dyDescent="0.25">
      <c r="A26108" s="1"/>
      <c r="B26108" s="1" t="s">
        <v>7328</v>
      </c>
      <c r="C26108" s="1" t="s">
        <v>7329</v>
      </c>
      <c r="D26108" s="22" t="str">
        <f>HYPERLINK("https://rhld.insurance.arkansas.gov/NPILookup?Npi=1568956456","1568956456")</f>
        <v>1568956456</v>
      </c>
      <c r="E26108" s="1" t="s">
        <v>1300</v>
      </c>
      <c r="F26108" s="2"/>
      <c r="G26108" s="2"/>
      <c r="H26108" s="2"/>
    </row>
    <row r="26109" spans="1:8" x14ac:dyDescent="0.25">
      <c r="A26109" s="1"/>
      <c r="B26109" s="1" t="s">
        <v>7328</v>
      </c>
      <c r="C26109" s="1" t="s">
        <v>7329</v>
      </c>
      <c r="D26109" s="22" t="str">
        <f>HYPERLINK("https://rhld.insurance.arkansas.gov/NPILookup?Npi=1568958833","1568958833")</f>
        <v>1568958833</v>
      </c>
      <c r="E26109" s="1" t="s">
        <v>27655</v>
      </c>
      <c r="F26109" s="2"/>
      <c r="G26109" s="2"/>
      <c r="H26109" s="2"/>
    </row>
    <row r="26110" spans="1:8" x14ac:dyDescent="0.25">
      <c r="A26110" s="1"/>
      <c r="B26110" s="1" t="s">
        <v>7328</v>
      </c>
      <c r="C26110" s="1" t="s">
        <v>7329</v>
      </c>
      <c r="D26110" s="22" t="str">
        <f>HYPERLINK("https://rhld.insurance.arkansas.gov/NPILookup?Npi=1568958916","1568958916")</f>
        <v>1568958916</v>
      </c>
      <c r="E26110" s="1" t="s">
        <v>2905</v>
      </c>
      <c r="F26110" s="2"/>
      <c r="G26110" s="2"/>
      <c r="H26110" s="2"/>
    </row>
    <row r="26111" spans="1:8" x14ac:dyDescent="0.25">
      <c r="A26111" s="1"/>
      <c r="B26111" s="1" t="s">
        <v>7328</v>
      </c>
      <c r="C26111" s="1" t="s">
        <v>7329</v>
      </c>
      <c r="D26111" s="22" t="str">
        <f>HYPERLINK("https://rhld.insurance.arkansas.gov/NPILookup?Npi=1568959674","1568959674")</f>
        <v>1568959674</v>
      </c>
      <c r="E26111" s="1" t="s">
        <v>4415</v>
      </c>
      <c r="F26111" s="2"/>
      <c r="G26111" s="2"/>
      <c r="H26111" s="2"/>
    </row>
    <row r="26112" spans="1:8" x14ac:dyDescent="0.25">
      <c r="A26112" s="1"/>
      <c r="B26112" s="1" t="s">
        <v>7328</v>
      </c>
      <c r="C26112" s="1" t="s">
        <v>7329</v>
      </c>
      <c r="D26112" s="22" t="str">
        <f>HYPERLINK("https://rhld.insurance.arkansas.gov/NPILookup?Npi=1568979052","1568979052")</f>
        <v>1568979052</v>
      </c>
      <c r="E26112" s="1" t="s">
        <v>27656</v>
      </c>
      <c r="F26112" s="2"/>
      <c r="G26112" s="2"/>
      <c r="H26112" s="2"/>
    </row>
    <row r="26113" spans="1:8" x14ac:dyDescent="0.25">
      <c r="A26113" s="1"/>
      <c r="B26113" s="1" t="s">
        <v>7328</v>
      </c>
      <c r="C26113" s="1" t="s">
        <v>7329</v>
      </c>
      <c r="D26113" s="22" t="str">
        <f>HYPERLINK("https://rhld.insurance.arkansas.gov/NPILookup?Npi=1568983583","1568983583")</f>
        <v>1568983583</v>
      </c>
      <c r="E26113" s="1" t="s">
        <v>7900</v>
      </c>
      <c r="F26113" s="2"/>
      <c r="G26113" s="2"/>
      <c r="H26113" s="2"/>
    </row>
    <row r="26114" spans="1:8" x14ac:dyDescent="0.25">
      <c r="A26114" s="1"/>
      <c r="B26114" s="1" t="s">
        <v>7328</v>
      </c>
      <c r="C26114" s="1" t="s">
        <v>7329</v>
      </c>
      <c r="D26114" s="22" t="str">
        <f>HYPERLINK("https://rhld.insurance.arkansas.gov/NPILookup?Npi=1568998235","1568998235")</f>
        <v>1568998235</v>
      </c>
      <c r="E26114" s="1" t="s">
        <v>27657</v>
      </c>
      <c r="F26114" s="2"/>
      <c r="G26114" s="2"/>
      <c r="H26114" s="2"/>
    </row>
    <row r="26115" spans="1:8" x14ac:dyDescent="0.25">
      <c r="A26115" s="1"/>
      <c r="B26115" s="1" t="s">
        <v>7328</v>
      </c>
      <c r="C26115" s="1" t="s">
        <v>7329</v>
      </c>
      <c r="D26115" s="22" t="str">
        <f>HYPERLINK("https://rhld.insurance.arkansas.gov/NPILookup?Npi=1578000287","1578000287")</f>
        <v>1578000287</v>
      </c>
      <c r="E26115" s="1" t="s">
        <v>27658</v>
      </c>
      <c r="F26115" s="2"/>
      <c r="G26115" s="2"/>
      <c r="H26115" s="2"/>
    </row>
    <row r="26116" spans="1:8" x14ac:dyDescent="0.25">
      <c r="A26116" s="1"/>
      <c r="B26116" s="1" t="s">
        <v>7328</v>
      </c>
      <c r="C26116" s="1" t="s">
        <v>7329</v>
      </c>
      <c r="D26116" s="22" t="str">
        <f>HYPERLINK("https://rhld.insurance.arkansas.gov/NPILookup?Npi=1578004685","1578004685")</f>
        <v>1578004685</v>
      </c>
      <c r="E26116" s="1" t="s">
        <v>2038</v>
      </c>
      <c r="F26116" s="2"/>
      <c r="G26116" s="2"/>
      <c r="H26116" s="2"/>
    </row>
    <row r="26117" spans="1:8" x14ac:dyDescent="0.25">
      <c r="A26117" s="1"/>
      <c r="B26117" s="1" t="s">
        <v>7328</v>
      </c>
      <c r="C26117" s="1" t="s">
        <v>7329</v>
      </c>
      <c r="D26117" s="22" t="str">
        <f>HYPERLINK("https://rhld.insurance.arkansas.gov/NPILookup?Npi=1578006565","1578006565")</f>
        <v>1578006565</v>
      </c>
      <c r="E26117" s="1" t="s">
        <v>27659</v>
      </c>
      <c r="F26117" s="2"/>
      <c r="G26117" s="2"/>
      <c r="H26117" s="2"/>
    </row>
    <row r="26118" spans="1:8" x14ac:dyDescent="0.25">
      <c r="A26118" s="1"/>
      <c r="B26118" s="1" t="s">
        <v>7328</v>
      </c>
      <c r="C26118" s="1" t="s">
        <v>7329</v>
      </c>
      <c r="D26118" s="22" t="str">
        <f>HYPERLINK("https://rhld.insurance.arkansas.gov/NPILookup?Npi=1578014262","1578014262")</f>
        <v>1578014262</v>
      </c>
      <c r="E26118" s="1" t="s">
        <v>13292</v>
      </c>
      <c r="F26118" s="2"/>
      <c r="G26118" s="2"/>
      <c r="H26118" s="2"/>
    </row>
    <row r="26119" spans="1:8" x14ac:dyDescent="0.25">
      <c r="A26119" s="1"/>
      <c r="B26119" s="1" t="s">
        <v>7328</v>
      </c>
      <c r="C26119" s="1" t="s">
        <v>7329</v>
      </c>
      <c r="D26119" s="22" t="str">
        <f>HYPERLINK("https://rhld.insurance.arkansas.gov/NPILookup?Npi=1578016580","1578016580")</f>
        <v>1578016580</v>
      </c>
      <c r="E26119" s="1" t="s">
        <v>27660</v>
      </c>
      <c r="F26119" s="2"/>
      <c r="G26119" s="2"/>
      <c r="H26119" s="2"/>
    </row>
    <row r="26120" spans="1:8" x14ac:dyDescent="0.25">
      <c r="A26120" s="1"/>
      <c r="B26120" s="1" t="s">
        <v>7328</v>
      </c>
      <c r="C26120" s="1" t="s">
        <v>7329</v>
      </c>
      <c r="D26120" s="22" t="str">
        <f>HYPERLINK("https://rhld.insurance.arkansas.gov/NPILookup?Npi=1578016713","1578016713")</f>
        <v>1578016713</v>
      </c>
      <c r="E26120" s="1" t="s">
        <v>2906</v>
      </c>
      <c r="F26120" s="2"/>
      <c r="G26120" s="2"/>
      <c r="H26120" s="2"/>
    </row>
    <row r="26121" spans="1:8" x14ac:dyDescent="0.25">
      <c r="A26121" s="1"/>
      <c r="B26121" s="1" t="s">
        <v>7328</v>
      </c>
      <c r="C26121" s="1" t="s">
        <v>7329</v>
      </c>
      <c r="D26121" s="22" t="str">
        <f>HYPERLINK("https://rhld.insurance.arkansas.gov/NPILookup?Npi=1578020459","1578020459")</f>
        <v>1578020459</v>
      </c>
      <c r="E26121" s="1" t="s">
        <v>27661</v>
      </c>
      <c r="F26121" s="2"/>
      <c r="G26121" s="2"/>
      <c r="H26121" s="2"/>
    </row>
    <row r="26122" spans="1:8" x14ac:dyDescent="0.25">
      <c r="A26122" s="1"/>
      <c r="B26122" s="1" t="s">
        <v>7328</v>
      </c>
      <c r="C26122" s="1" t="s">
        <v>7329</v>
      </c>
      <c r="D26122" s="22" t="str">
        <f>HYPERLINK("https://rhld.insurance.arkansas.gov/NPILookup?Npi=1578026027","1578026027")</f>
        <v>1578026027</v>
      </c>
      <c r="E26122" s="1" t="s">
        <v>27662</v>
      </c>
      <c r="F26122" s="2"/>
      <c r="G26122" s="2"/>
      <c r="H26122" s="2"/>
    </row>
    <row r="26123" spans="1:8" x14ac:dyDescent="0.25">
      <c r="A26123" s="1"/>
      <c r="B26123" s="1" t="s">
        <v>7328</v>
      </c>
      <c r="C26123" s="1" t="s">
        <v>7329</v>
      </c>
      <c r="D26123" s="22" t="str">
        <f>HYPERLINK("https://rhld.insurance.arkansas.gov/NPILookup?Npi=1578041703","1578041703")</f>
        <v>1578041703</v>
      </c>
      <c r="E26123" s="1" t="s">
        <v>1301</v>
      </c>
      <c r="F26123" s="2"/>
      <c r="G26123" s="2"/>
      <c r="H26123" s="2"/>
    </row>
    <row r="26124" spans="1:8" x14ac:dyDescent="0.25">
      <c r="A26124" s="1"/>
      <c r="B26124" s="1" t="s">
        <v>7328</v>
      </c>
      <c r="C26124" s="1" t="s">
        <v>7329</v>
      </c>
      <c r="D26124" s="22" t="str">
        <f>HYPERLINK("https://rhld.insurance.arkansas.gov/NPILookup?Npi=1578050472","1578050472")</f>
        <v>1578050472</v>
      </c>
      <c r="E26124" s="1" t="s">
        <v>7901</v>
      </c>
      <c r="F26124" s="2"/>
      <c r="G26124" s="2"/>
      <c r="H26124" s="2"/>
    </row>
    <row r="26125" spans="1:8" x14ac:dyDescent="0.25">
      <c r="A26125" s="1"/>
      <c r="B26125" s="1" t="s">
        <v>7328</v>
      </c>
      <c r="C26125" s="1" t="s">
        <v>7329</v>
      </c>
      <c r="D26125" s="22" t="str">
        <f>HYPERLINK("https://rhld.insurance.arkansas.gov/NPILookup?Npi=1578096905","1578096905")</f>
        <v>1578096905</v>
      </c>
      <c r="E26125" s="1" t="s">
        <v>27663</v>
      </c>
      <c r="F26125" s="2"/>
      <c r="G26125" s="2"/>
      <c r="H26125" s="2"/>
    </row>
    <row r="26126" spans="1:8" x14ac:dyDescent="0.25">
      <c r="A26126" s="1"/>
      <c r="B26126" s="1" t="s">
        <v>7328</v>
      </c>
      <c r="C26126" s="1" t="s">
        <v>7329</v>
      </c>
      <c r="D26126" s="22" t="str">
        <f>HYPERLINK("https://rhld.insurance.arkansas.gov/NPILookup?Npi=1578101655","1578101655")</f>
        <v>1578101655</v>
      </c>
      <c r="E26126" s="1" t="s">
        <v>13293</v>
      </c>
      <c r="F26126" s="2"/>
      <c r="G26126" s="2"/>
      <c r="H26126" s="2"/>
    </row>
    <row r="26127" spans="1:8" x14ac:dyDescent="0.25">
      <c r="A26127" s="1"/>
      <c r="B26127" s="1" t="s">
        <v>7328</v>
      </c>
      <c r="C26127" s="1" t="s">
        <v>7329</v>
      </c>
      <c r="D26127" s="22" t="str">
        <f>HYPERLINK("https://rhld.insurance.arkansas.gov/NPILookup?Npi=1578103982","1578103982")</f>
        <v>1578103982</v>
      </c>
      <c r="E26127" s="1" t="s">
        <v>13294</v>
      </c>
      <c r="F26127" s="2"/>
      <c r="G26127" s="2"/>
      <c r="H26127" s="2"/>
    </row>
    <row r="26128" spans="1:8" x14ac:dyDescent="0.25">
      <c r="A26128" s="1"/>
      <c r="B26128" s="1" t="s">
        <v>7328</v>
      </c>
      <c r="C26128" s="1" t="s">
        <v>7329</v>
      </c>
      <c r="D26128" s="22" t="str">
        <f>HYPERLINK("https://rhld.insurance.arkansas.gov/NPILookup?Npi=1578116398","1578116398")</f>
        <v>1578116398</v>
      </c>
      <c r="E26128" s="1" t="s">
        <v>13295</v>
      </c>
      <c r="F26128" s="2"/>
      <c r="G26128" s="2"/>
      <c r="H26128" s="2"/>
    </row>
    <row r="26129" spans="1:8" x14ac:dyDescent="0.25">
      <c r="A26129" s="1"/>
      <c r="B26129" s="1" t="s">
        <v>7328</v>
      </c>
      <c r="C26129" s="1" t="s">
        <v>7329</v>
      </c>
      <c r="D26129" s="22" t="str">
        <f>HYPERLINK("https://rhld.insurance.arkansas.gov/NPILookup?Npi=1578118873","1578118873")</f>
        <v>1578118873</v>
      </c>
      <c r="E26129" s="1" t="s">
        <v>27664</v>
      </c>
      <c r="F26129" s="2"/>
      <c r="G26129" s="2"/>
      <c r="H26129" s="2"/>
    </row>
    <row r="26130" spans="1:8" x14ac:dyDescent="0.25">
      <c r="A26130" s="1"/>
      <c r="B26130" s="1" t="s">
        <v>7328</v>
      </c>
      <c r="C26130" s="1" t="s">
        <v>7329</v>
      </c>
      <c r="D26130" s="22" t="str">
        <f>HYPERLINK("https://rhld.insurance.arkansas.gov/NPILookup?Npi=1578123956","1578123956")</f>
        <v>1578123956</v>
      </c>
      <c r="E26130" s="1" t="s">
        <v>27665</v>
      </c>
      <c r="F26130" s="2"/>
      <c r="G26130" s="2"/>
      <c r="H26130" s="2"/>
    </row>
    <row r="26131" spans="1:8" x14ac:dyDescent="0.25">
      <c r="A26131" s="1"/>
      <c r="B26131" s="1" t="s">
        <v>7328</v>
      </c>
      <c r="C26131" s="1" t="s">
        <v>7329</v>
      </c>
      <c r="D26131" s="22" t="str">
        <f>HYPERLINK("https://rhld.insurance.arkansas.gov/NPILookup?Npi=1578134946","1578134946")</f>
        <v>1578134946</v>
      </c>
      <c r="E26131" s="1" t="s">
        <v>27666</v>
      </c>
      <c r="F26131" s="2"/>
      <c r="G26131" s="2"/>
      <c r="H26131" s="2"/>
    </row>
    <row r="26132" spans="1:8" x14ac:dyDescent="0.25">
      <c r="A26132" s="1"/>
      <c r="B26132" s="1" t="s">
        <v>7328</v>
      </c>
      <c r="C26132" s="1" t="s">
        <v>7329</v>
      </c>
      <c r="D26132" s="22" t="str">
        <f>HYPERLINK("https://rhld.insurance.arkansas.gov/NPILookup?Npi=1578138723","1578138723")</f>
        <v>1578138723</v>
      </c>
      <c r="E26132" s="1" t="s">
        <v>7902</v>
      </c>
      <c r="F26132" s="2"/>
      <c r="G26132" s="2"/>
      <c r="H26132" s="2"/>
    </row>
    <row r="26133" spans="1:8" x14ac:dyDescent="0.25">
      <c r="A26133" s="1"/>
      <c r="B26133" s="1" t="s">
        <v>7328</v>
      </c>
      <c r="C26133" s="1" t="s">
        <v>7329</v>
      </c>
      <c r="D26133" s="22" t="str">
        <f>HYPERLINK("https://rhld.insurance.arkansas.gov/NPILookup?Npi=1578141180","1578141180")</f>
        <v>1578141180</v>
      </c>
      <c r="E26133" s="1" t="s">
        <v>27667</v>
      </c>
      <c r="F26133" s="2"/>
      <c r="G26133" s="2"/>
      <c r="H26133" s="2"/>
    </row>
    <row r="26134" spans="1:8" x14ac:dyDescent="0.25">
      <c r="A26134" s="1"/>
      <c r="B26134" s="1" t="s">
        <v>7328</v>
      </c>
      <c r="C26134" s="1" t="s">
        <v>7329</v>
      </c>
      <c r="D26134" s="22" t="str">
        <f>HYPERLINK("https://rhld.insurance.arkansas.gov/NPILookup?Npi=1578142055","1578142055")</f>
        <v>1578142055</v>
      </c>
      <c r="E26134" s="1" t="s">
        <v>27668</v>
      </c>
      <c r="F26134" s="2"/>
      <c r="G26134" s="2"/>
      <c r="H26134" s="2"/>
    </row>
    <row r="26135" spans="1:8" x14ac:dyDescent="0.25">
      <c r="A26135" s="1"/>
      <c r="B26135" s="1" t="s">
        <v>7328</v>
      </c>
      <c r="C26135" s="1" t="s">
        <v>7329</v>
      </c>
      <c r="D26135" s="22" t="str">
        <f>HYPERLINK("https://rhld.insurance.arkansas.gov/NPILookup?Npi=1578158325","1578158325")</f>
        <v>1578158325</v>
      </c>
      <c r="E26135" s="1" t="s">
        <v>13296</v>
      </c>
      <c r="F26135" s="2"/>
      <c r="G26135" s="2"/>
      <c r="H26135" s="2"/>
    </row>
    <row r="26136" spans="1:8" x14ac:dyDescent="0.25">
      <c r="A26136" s="1"/>
      <c r="B26136" s="1" t="s">
        <v>7328</v>
      </c>
      <c r="C26136" s="1" t="s">
        <v>7329</v>
      </c>
      <c r="D26136" s="22" t="str">
        <f>HYPERLINK("https://rhld.insurance.arkansas.gov/NPILookup?Npi=1578165858","1578165858")</f>
        <v>1578165858</v>
      </c>
      <c r="E26136" s="1" t="s">
        <v>27669</v>
      </c>
      <c r="F26136" s="2"/>
      <c r="G26136" s="2"/>
      <c r="H26136" s="2"/>
    </row>
    <row r="26137" spans="1:8" x14ac:dyDescent="0.25">
      <c r="A26137" s="1"/>
      <c r="B26137" s="1" t="s">
        <v>7328</v>
      </c>
      <c r="C26137" s="1" t="s">
        <v>7329</v>
      </c>
      <c r="D26137" s="22" t="str">
        <f>HYPERLINK("https://rhld.insurance.arkansas.gov/NPILookup?Npi=1578169744","1578169744")</f>
        <v>1578169744</v>
      </c>
      <c r="E26137" s="1" t="s">
        <v>13297</v>
      </c>
      <c r="F26137" s="2"/>
      <c r="G26137" s="2"/>
      <c r="H26137" s="2"/>
    </row>
    <row r="26138" spans="1:8" x14ac:dyDescent="0.25">
      <c r="A26138" s="1"/>
      <c r="B26138" s="1" t="s">
        <v>7328</v>
      </c>
      <c r="C26138" s="1" t="s">
        <v>7329</v>
      </c>
      <c r="D26138" s="22" t="str">
        <f>HYPERLINK("https://rhld.insurance.arkansas.gov/NPILookup?Npi=1578174306","1578174306")</f>
        <v>1578174306</v>
      </c>
      <c r="E26138" s="1" t="s">
        <v>27670</v>
      </c>
      <c r="F26138" s="2"/>
      <c r="G26138" s="2"/>
      <c r="H26138" s="2"/>
    </row>
    <row r="26139" spans="1:8" x14ac:dyDescent="0.25">
      <c r="A26139" s="1"/>
      <c r="B26139" s="1" t="s">
        <v>7328</v>
      </c>
      <c r="C26139" s="1" t="s">
        <v>7329</v>
      </c>
      <c r="D26139" s="22" t="str">
        <f>HYPERLINK("https://rhld.insurance.arkansas.gov/NPILookup?Npi=1578183653","1578183653")</f>
        <v>1578183653</v>
      </c>
      <c r="E26139" s="1" t="s">
        <v>17667</v>
      </c>
      <c r="F26139" s="2"/>
      <c r="G26139" s="2"/>
      <c r="H26139" s="2"/>
    </row>
    <row r="26140" spans="1:8" x14ac:dyDescent="0.25">
      <c r="A26140" s="1"/>
      <c r="B26140" s="1" t="s">
        <v>7328</v>
      </c>
      <c r="C26140" s="1" t="s">
        <v>7329</v>
      </c>
      <c r="D26140" s="22" t="str">
        <f>HYPERLINK("https://rhld.insurance.arkansas.gov/NPILookup?Npi=1578184396","1578184396")</f>
        <v>1578184396</v>
      </c>
      <c r="E26140" s="1" t="s">
        <v>7903</v>
      </c>
      <c r="F26140" s="2"/>
      <c r="G26140" s="2"/>
      <c r="H26140" s="2"/>
    </row>
    <row r="26141" spans="1:8" x14ac:dyDescent="0.25">
      <c r="A26141" s="1"/>
      <c r="B26141" s="1" t="s">
        <v>7328</v>
      </c>
      <c r="C26141" s="1" t="s">
        <v>7329</v>
      </c>
      <c r="D26141" s="22" t="str">
        <f>HYPERLINK("https://rhld.insurance.arkansas.gov/NPILookup?Npi=1578190088","1578190088")</f>
        <v>1578190088</v>
      </c>
      <c r="E26141" s="1" t="s">
        <v>27671</v>
      </c>
      <c r="F26141" s="2"/>
      <c r="G26141" s="2"/>
      <c r="H26141" s="2"/>
    </row>
    <row r="26142" spans="1:8" x14ac:dyDescent="0.25">
      <c r="A26142" s="1"/>
      <c r="B26142" s="1" t="s">
        <v>7328</v>
      </c>
      <c r="C26142" s="1" t="s">
        <v>7329</v>
      </c>
      <c r="D26142" s="22" t="str">
        <f>HYPERLINK("https://rhld.insurance.arkansas.gov/NPILookup?Npi=1578234365","1578234365")</f>
        <v>1578234365</v>
      </c>
      <c r="E26142" s="1" t="s">
        <v>27672</v>
      </c>
      <c r="F26142" s="2"/>
      <c r="G26142" s="2"/>
      <c r="H26142" s="2"/>
    </row>
    <row r="26143" spans="1:8" x14ac:dyDescent="0.25">
      <c r="A26143" s="1"/>
      <c r="B26143" s="1" t="s">
        <v>7328</v>
      </c>
      <c r="C26143" s="1" t="s">
        <v>7329</v>
      </c>
      <c r="D26143" s="22" t="str">
        <f>HYPERLINK("https://rhld.insurance.arkansas.gov/NPILookup?Npi=1578236113","1578236113")</f>
        <v>1578236113</v>
      </c>
      <c r="E26143" s="1" t="s">
        <v>27673</v>
      </c>
      <c r="F26143" s="2"/>
      <c r="G26143" s="2"/>
      <c r="H26143" s="2"/>
    </row>
    <row r="26144" spans="1:8" x14ac:dyDescent="0.25">
      <c r="A26144" s="1"/>
      <c r="B26144" s="1" t="s">
        <v>7328</v>
      </c>
      <c r="C26144" s="1" t="s">
        <v>7329</v>
      </c>
      <c r="D26144" s="22" t="str">
        <f>HYPERLINK("https://rhld.insurance.arkansas.gov/NPILookup?Npi=1578242285","1578242285")</f>
        <v>1578242285</v>
      </c>
      <c r="E26144" s="1" t="s">
        <v>13298</v>
      </c>
      <c r="F26144" s="2"/>
      <c r="G26144" s="2"/>
      <c r="H26144" s="2"/>
    </row>
    <row r="26145" spans="1:8" x14ac:dyDescent="0.25">
      <c r="A26145" s="1"/>
      <c r="B26145" s="1" t="s">
        <v>7328</v>
      </c>
      <c r="C26145" s="1" t="s">
        <v>7329</v>
      </c>
      <c r="D26145" s="22" t="str">
        <f>HYPERLINK("https://rhld.insurance.arkansas.gov/NPILookup?Npi=1578243010","1578243010")</f>
        <v>1578243010</v>
      </c>
      <c r="E26145" s="1" t="s">
        <v>7904</v>
      </c>
      <c r="F26145" s="2"/>
      <c r="G26145" s="2"/>
      <c r="H26145" s="2"/>
    </row>
    <row r="26146" spans="1:8" x14ac:dyDescent="0.25">
      <c r="A26146" s="1"/>
      <c r="B26146" s="1" t="s">
        <v>7328</v>
      </c>
      <c r="C26146" s="1" t="s">
        <v>7329</v>
      </c>
      <c r="D26146" s="22" t="str">
        <f>HYPERLINK("https://rhld.insurance.arkansas.gov/NPILookup?Npi=1578251757","1578251757")</f>
        <v>1578251757</v>
      </c>
      <c r="E26146" s="1" t="s">
        <v>32288</v>
      </c>
      <c r="F26146" s="2"/>
      <c r="G26146" s="2"/>
      <c r="H26146" s="2"/>
    </row>
    <row r="26147" spans="1:8" x14ac:dyDescent="0.25">
      <c r="A26147" s="1"/>
      <c r="B26147" s="1" t="s">
        <v>7328</v>
      </c>
      <c r="C26147" s="1" t="s">
        <v>7329</v>
      </c>
      <c r="D26147" s="22" t="str">
        <f>HYPERLINK("https://rhld.insurance.arkansas.gov/NPILookup?Npi=1578252276","1578252276")</f>
        <v>1578252276</v>
      </c>
      <c r="E26147" s="1" t="s">
        <v>32289</v>
      </c>
      <c r="F26147" s="2"/>
      <c r="G26147" s="2"/>
      <c r="H26147" s="2"/>
    </row>
    <row r="26148" spans="1:8" x14ac:dyDescent="0.25">
      <c r="A26148" s="1"/>
      <c r="B26148" s="1" t="s">
        <v>7328</v>
      </c>
      <c r="C26148" s="1" t="s">
        <v>7329</v>
      </c>
      <c r="D26148" s="22" t="str">
        <f>HYPERLINK("https://rhld.insurance.arkansas.gov/NPILookup?Npi=1578262911","1578262911")</f>
        <v>1578262911</v>
      </c>
      <c r="E26148" s="1" t="s">
        <v>27674</v>
      </c>
      <c r="F26148" s="2"/>
      <c r="G26148" s="2"/>
      <c r="H26148" s="2"/>
    </row>
    <row r="26149" spans="1:8" x14ac:dyDescent="0.25">
      <c r="A26149" s="1"/>
      <c r="B26149" s="1" t="s">
        <v>7328</v>
      </c>
      <c r="C26149" s="1" t="s">
        <v>7329</v>
      </c>
      <c r="D26149" s="22" t="str">
        <f>HYPERLINK("https://rhld.insurance.arkansas.gov/NPILookup?Npi=1578285383","1578285383")</f>
        <v>1578285383</v>
      </c>
      <c r="E26149" s="1" t="s">
        <v>27675</v>
      </c>
      <c r="F26149" s="2"/>
      <c r="G26149" s="2"/>
      <c r="H26149" s="2"/>
    </row>
    <row r="26150" spans="1:8" x14ac:dyDescent="0.25">
      <c r="A26150" s="1"/>
      <c r="B26150" s="1" t="s">
        <v>7328</v>
      </c>
      <c r="C26150" s="1" t="s">
        <v>7329</v>
      </c>
      <c r="D26150" s="22" t="str">
        <f>HYPERLINK("https://rhld.insurance.arkansas.gov/NPILookup?Npi=1578296463","1578296463")</f>
        <v>1578296463</v>
      </c>
      <c r="E26150" s="1" t="s">
        <v>7905</v>
      </c>
      <c r="F26150" s="2"/>
      <c r="G26150" s="2"/>
      <c r="H26150" s="2"/>
    </row>
    <row r="26151" spans="1:8" x14ac:dyDescent="0.25">
      <c r="A26151" s="1"/>
      <c r="B26151" s="1" t="s">
        <v>7328</v>
      </c>
      <c r="C26151" s="1" t="s">
        <v>7329</v>
      </c>
      <c r="D26151" s="22" t="str">
        <f>HYPERLINK("https://rhld.insurance.arkansas.gov/NPILookup?Npi=1578326658","1578326658")</f>
        <v>1578326658</v>
      </c>
      <c r="E26151" s="1" t="s">
        <v>22635</v>
      </c>
      <c r="F26151" s="2"/>
      <c r="G26151" s="2"/>
      <c r="H26151" s="2"/>
    </row>
    <row r="26152" spans="1:8" x14ac:dyDescent="0.25">
      <c r="A26152" s="1"/>
      <c r="B26152" s="1" t="s">
        <v>7328</v>
      </c>
      <c r="C26152" s="1" t="s">
        <v>7329</v>
      </c>
      <c r="D26152" s="22" t="str">
        <f>HYPERLINK("https://rhld.insurance.arkansas.gov/NPILookup?Npi=1578330254","1578330254")</f>
        <v>1578330254</v>
      </c>
      <c r="E26152" s="1" t="s">
        <v>27676</v>
      </c>
      <c r="F26152" s="2"/>
      <c r="G26152" s="2"/>
      <c r="H26152" s="2"/>
    </row>
    <row r="26153" spans="1:8" x14ac:dyDescent="0.25">
      <c r="A26153" s="1"/>
      <c r="B26153" s="1" t="s">
        <v>7328</v>
      </c>
      <c r="C26153" s="1" t="s">
        <v>7329</v>
      </c>
      <c r="D26153" s="22" t="str">
        <f>HYPERLINK("https://rhld.insurance.arkansas.gov/NPILookup?Npi=1578338562","1578338562")</f>
        <v>1578338562</v>
      </c>
      <c r="E26153" s="1" t="s">
        <v>27677</v>
      </c>
      <c r="F26153" s="2"/>
      <c r="G26153" s="2"/>
      <c r="H26153" s="2"/>
    </row>
    <row r="26154" spans="1:8" x14ac:dyDescent="0.25">
      <c r="A26154" s="1"/>
      <c r="B26154" s="1" t="s">
        <v>7328</v>
      </c>
      <c r="C26154" s="1" t="s">
        <v>7329</v>
      </c>
      <c r="D26154" s="22" t="str">
        <f>HYPERLINK("https://rhld.insurance.arkansas.gov/NPILookup?Npi=1578357109","1578357109")</f>
        <v>1578357109</v>
      </c>
      <c r="E26154" s="1" t="s">
        <v>32290</v>
      </c>
      <c r="F26154" s="2"/>
      <c r="G26154" s="2"/>
      <c r="H26154" s="2"/>
    </row>
    <row r="26155" spans="1:8" x14ac:dyDescent="0.25">
      <c r="A26155" s="1"/>
      <c r="B26155" s="1" t="s">
        <v>7328</v>
      </c>
      <c r="C26155" s="1" t="s">
        <v>7329</v>
      </c>
      <c r="D26155" s="22" t="str">
        <f>HYPERLINK("https://rhld.insurance.arkansas.gov/NPILookup?Npi=1578372660","1578372660")</f>
        <v>1578372660</v>
      </c>
      <c r="E26155" s="1" t="s">
        <v>32291</v>
      </c>
      <c r="F26155" s="2"/>
      <c r="G26155" s="2"/>
      <c r="H26155" s="2"/>
    </row>
    <row r="26156" spans="1:8" x14ac:dyDescent="0.25">
      <c r="A26156" s="1"/>
      <c r="B26156" s="1" t="s">
        <v>7328</v>
      </c>
      <c r="C26156" s="1" t="s">
        <v>7329</v>
      </c>
      <c r="D26156" s="22" t="str">
        <f>HYPERLINK("https://rhld.insurance.arkansas.gov/NPILookup?Npi=1578387668","1578387668")</f>
        <v>1578387668</v>
      </c>
      <c r="E26156" s="1" t="s">
        <v>32292</v>
      </c>
      <c r="F26156" s="2"/>
      <c r="G26156" s="2"/>
      <c r="H26156" s="2"/>
    </row>
    <row r="26157" spans="1:8" x14ac:dyDescent="0.25">
      <c r="A26157" s="1"/>
      <c r="B26157" s="1" t="s">
        <v>7328</v>
      </c>
      <c r="C26157" s="1" t="s">
        <v>7329</v>
      </c>
      <c r="D26157" s="22" t="str">
        <f>HYPERLINK("https://rhld.insurance.arkansas.gov/NPILookup?Npi=1578501300","1578501300")</f>
        <v>1578501300</v>
      </c>
      <c r="E26157" s="1" t="s">
        <v>13299</v>
      </c>
      <c r="F26157" s="2"/>
      <c r="G26157" s="2"/>
      <c r="H26157" s="2"/>
    </row>
    <row r="26158" spans="1:8" x14ac:dyDescent="0.25">
      <c r="A26158" s="1"/>
      <c r="B26158" s="1" t="s">
        <v>7328</v>
      </c>
      <c r="C26158" s="1" t="s">
        <v>7329</v>
      </c>
      <c r="D26158" s="22" t="str">
        <f>HYPERLINK("https://rhld.insurance.arkansas.gov/NPILookup?Npi=1578507661","1578507661")</f>
        <v>1578507661</v>
      </c>
      <c r="E26158" s="1" t="s">
        <v>15857</v>
      </c>
      <c r="F26158" s="2"/>
      <c r="G26158" s="2"/>
      <c r="H26158" s="2"/>
    </row>
    <row r="26159" spans="1:8" x14ac:dyDescent="0.25">
      <c r="A26159" s="1"/>
      <c r="B26159" s="1" t="s">
        <v>7328</v>
      </c>
      <c r="C26159" s="1" t="s">
        <v>7329</v>
      </c>
      <c r="D26159" s="22" t="str">
        <f>HYPERLINK("https://rhld.insurance.arkansas.gov/NPILookup?Npi=1578507794","1578507794")</f>
        <v>1578507794</v>
      </c>
      <c r="E26159" s="1" t="s">
        <v>27678</v>
      </c>
      <c r="F26159" s="2"/>
      <c r="G26159" s="2"/>
      <c r="H26159" s="2"/>
    </row>
    <row r="26160" spans="1:8" x14ac:dyDescent="0.25">
      <c r="A26160" s="1"/>
      <c r="B26160" s="1" t="s">
        <v>7328</v>
      </c>
      <c r="C26160" s="1" t="s">
        <v>7329</v>
      </c>
      <c r="D26160" s="22" t="str">
        <f>HYPERLINK("https://rhld.insurance.arkansas.gov/NPILookup?Npi=1578510996","1578510996")</f>
        <v>1578510996</v>
      </c>
      <c r="E26160" s="1" t="s">
        <v>10369</v>
      </c>
      <c r="F26160" s="2"/>
      <c r="G26160" s="2"/>
      <c r="H26160" s="2"/>
    </row>
    <row r="26161" spans="1:8" x14ac:dyDescent="0.25">
      <c r="A26161" s="1"/>
      <c r="B26161" s="1" t="s">
        <v>7328</v>
      </c>
      <c r="C26161" s="1" t="s">
        <v>7329</v>
      </c>
      <c r="D26161" s="22" t="str">
        <f>HYPERLINK("https://rhld.insurance.arkansas.gov/NPILookup?Npi=1578512356","1578512356")</f>
        <v>1578512356</v>
      </c>
      <c r="E26161" s="1" t="s">
        <v>17669</v>
      </c>
      <c r="F26161" s="2"/>
      <c r="G26161" s="2"/>
      <c r="H26161" s="2"/>
    </row>
    <row r="26162" spans="1:8" x14ac:dyDescent="0.25">
      <c r="A26162" s="1"/>
      <c r="B26162" s="1" t="s">
        <v>7328</v>
      </c>
      <c r="C26162" s="1" t="s">
        <v>7329</v>
      </c>
      <c r="D26162" s="22" t="str">
        <f>HYPERLINK("https://rhld.insurance.arkansas.gov/NPILookup?Npi=1578517504","1578517504")</f>
        <v>1578517504</v>
      </c>
      <c r="E26162" s="1" t="s">
        <v>2907</v>
      </c>
      <c r="F26162" s="2"/>
      <c r="G26162" s="2"/>
      <c r="H26162" s="2"/>
    </row>
    <row r="26163" spans="1:8" x14ac:dyDescent="0.25">
      <c r="A26163" s="1"/>
      <c r="B26163" s="1" t="s">
        <v>7328</v>
      </c>
      <c r="C26163" s="1" t="s">
        <v>7329</v>
      </c>
      <c r="D26163" s="22" t="str">
        <f>HYPERLINK("https://rhld.insurance.arkansas.gov/NPILookup?Npi=1578523585","1578523585")</f>
        <v>1578523585</v>
      </c>
      <c r="E26163" s="1" t="s">
        <v>13300</v>
      </c>
      <c r="F26163" s="2"/>
      <c r="G26163" s="2"/>
      <c r="H26163" s="2"/>
    </row>
    <row r="26164" spans="1:8" x14ac:dyDescent="0.25">
      <c r="A26164" s="1"/>
      <c r="B26164" s="1" t="s">
        <v>7328</v>
      </c>
      <c r="C26164" s="1" t="s">
        <v>7329</v>
      </c>
      <c r="D26164" s="22" t="str">
        <f>HYPERLINK("https://rhld.insurance.arkansas.gov/NPILookup?Npi=1578524435","1578524435")</f>
        <v>1578524435</v>
      </c>
      <c r="E26164" s="1" t="s">
        <v>27679</v>
      </c>
      <c r="F26164" s="2"/>
      <c r="G26164" s="2"/>
      <c r="H26164" s="2"/>
    </row>
    <row r="26165" spans="1:8" x14ac:dyDescent="0.25">
      <c r="A26165" s="1"/>
      <c r="B26165" s="1" t="s">
        <v>7328</v>
      </c>
      <c r="C26165" s="1" t="s">
        <v>7329</v>
      </c>
      <c r="D26165" s="22" t="str">
        <f>HYPERLINK("https://rhld.insurance.arkansas.gov/NPILookup?Npi=1578526901","1578526901")</f>
        <v>1578526901</v>
      </c>
      <c r="E26165" s="1" t="s">
        <v>27680</v>
      </c>
      <c r="F26165" s="2"/>
      <c r="G26165" s="2"/>
      <c r="H26165" s="2"/>
    </row>
    <row r="26166" spans="1:8" x14ac:dyDescent="0.25">
      <c r="A26166" s="1"/>
      <c r="B26166" s="1" t="s">
        <v>7328</v>
      </c>
      <c r="C26166" s="1" t="s">
        <v>7329</v>
      </c>
      <c r="D26166" s="22" t="str">
        <f>HYPERLINK("https://rhld.insurance.arkansas.gov/NPILookup?Npi=1578527412","1578527412")</f>
        <v>1578527412</v>
      </c>
      <c r="E26166" s="1" t="s">
        <v>27681</v>
      </c>
      <c r="F26166" s="2"/>
      <c r="G26166" s="2"/>
      <c r="H26166" s="2"/>
    </row>
    <row r="26167" spans="1:8" x14ac:dyDescent="0.25">
      <c r="A26167" s="1"/>
      <c r="B26167" s="1" t="s">
        <v>7328</v>
      </c>
      <c r="C26167" s="1" t="s">
        <v>7329</v>
      </c>
      <c r="D26167" s="22" t="str">
        <f>HYPERLINK("https://rhld.insurance.arkansas.gov/NPILookup?Npi=1578530366","1578530366")</f>
        <v>1578530366</v>
      </c>
      <c r="E26167" s="1" t="s">
        <v>27682</v>
      </c>
      <c r="F26167" s="2"/>
      <c r="G26167" s="2"/>
      <c r="H26167" s="2"/>
    </row>
    <row r="26168" spans="1:8" x14ac:dyDescent="0.25">
      <c r="A26168" s="1"/>
      <c r="B26168" s="1" t="s">
        <v>7328</v>
      </c>
      <c r="C26168" s="1" t="s">
        <v>7329</v>
      </c>
      <c r="D26168" s="22" t="str">
        <f>HYPERLINK("https://rhld.insurance.arkansas.gov/NPILookup?Npi=1578533444","1578533444")</f>
        <v>1578533444</v>
      </c>
      <c r="E26168" s="1" t="s">
        <v>27683</v>
      </c>
      <c r="F26168" s="2"/>
      <c r="G26168" s="2"/>
      <c r="H26168" s="2"/>
    </row>
    <row r="26169" spans="1:8" x14ac:dyDescent="0.25">
      <c r="A26169" s="1"/>
      <c r="B26169" s="1" t="s">
        <v>7328</v>
      </c>
      <c r="C26169" s="1" t="s">
        <v>7329</v>
      </c>
      <c r="D26169" s="22" t="str">
        <f>HYPERLINK("https://rhld.insurance.arkansas.gov/NPILookup?Npi=1578534012","1578534012")</f>
        <v>1578534012</v>
      </c>
      <c r="E26169" s="1" t="s">
        <v>13301</v>
      </c>
      <c r="F26169" s="2"/>
      <c r="G26169" s="2"/>
      <c r="H26169" s="2"/>
    </row>
    <row r="26170" spans="1:8" x14ac:dyDescent="0.25">
      <c r="A26170" s="1"/>
      <c r="B26170" s="1" t="s">
        <v>7328</v>
      </c>
      <c r="C26170" s="1" t="s">
        <v>7329</v>
      </c>
      <c r="D26170" s="22" t="str">
        <f>HYPERLINK("https://rhld.insurance.arkansas.gov/NPILookup?Npi=1578536017","1578536017")</f>
        <v>1578536017</v>
      </c>
      <c r="E26170" s="1" t="s">
        <v>13302</v>
      </c>
      <c r="F26170" s="2"/>
      <c r="G26170" s="2"/>
      <c r="H26170" s="2"/>
    </row>
    <row r="26171" spans="1:8" x14ac:dyDescent="0.25">
      <c r="A26171" s="1"/>
      <c r="B26171" s="1" t="s">
        <v>7328</v>
      </c>
      <c r="C26171" s="1" t="s">
        <v>7329</v>
      </c>
      <c r="D26171" s="22" t="str">
        <f>HYPERLINK("https://rhld.insurance.arkansas.gov/NPILookup?Npi=1578543153","1578543153")</f>
        <v>1578543153</v>
      </c>
      <c r="E26171" s="1" t="s">
        <v>27684</v>
      </c>
      <c r="F26171" s="2"/>
      <c r="G26171" s="2"/>
      <c r="H26171" s="2"/>
    </row>
    <row r="26172" spans="1:8" x14ac:dyDescent="0.25">
      <c r="A26172" s="1"/>
      <c r="B26172" s="1" t="s">
        <v>7328</v>
      </c>
      <c r="C26172" s="1" t="s">
        <v>7329</v>
      </c>
      <c r="D26172" s="22" t="str">
        <f>HYPERLINK("https://rhld.insurance.arkansas.gov/NPILookup?Npi=1578548863","1578548863")</f>
        <v>1578548863</v>
      </c>
      <c r="E26172" s="1" t="s">
        <v>27685</v>
      </c>
      <c r="F26172" s="2"/>
      <c r="G26172" s="2"/>
      <c r="H26172" s="2"/>
    </row>
    <row r="26173" spans="1:8" x14ac:dyDescent="0.25">
      <c r="A26173" s="1"/>
      <c r="B26173" s="1" t="s">
        <v>7328</v>
      </c>
      <c r="C26173" s="1" t="s">
        <v>7329</v>
      </c>
      <c r="D26173" s="22" t="str">
        <f>HYPERLINK("https://rhld.insurance.arkansas.gov/NPILookup?Npi=1578559605","1578559605")</f>
        <v>1578559605</v>
      </c>
      <c r="E26173" s="1" t="s">
        <v>27686</v>
      </c>
      <c r="F26173" s="2"/>
      <c r="G26173" s="2"/>
      <c r="H26173" s="2"/>
    </row>
    <row r="26174" spans="1:8" x14ac:dyDescent="0.25">
      <c r="A26174" s="1"/>
      <c r="B26174" s="1" t="s">
        <v>7328</v>
      </c>
      <c r="C26174" s="1" t="s">
        <v>7329</v>
      </c>
      <c r="D26174" s="22" t="str">
        <f>HYPERLINK("https://rhld.insurance.arkansas.gov/NPILookup?Npi=1578565321","1578565321")</f>
        <v>1578565321</v>
      </c>
      <c r="E26174" s="1" t="s">
        <v>2908</v>
      </c>
      <c r="F26174" s="2"/>
      <c r="G26174" s="2"/>
      <c r="H26174" s="2"/>
    </row>
    <row r="26175" spans="1:8" x14ac:dyDescent="0.25">
      <c r="A26175" s="1"/>
      <c r="B26175" s="1" t="s">
        <v>7328</v>
      </c>
      <c r="C26175" s="1" t="s">
        <v>7329</v>
      </c>
      <c r="D26175" s="22" t="str">
        <f>HYPERLINK("https://rhld.insurance.arkansas.gov/NPILookup?Npi=1578583811","1578583811")</f>
        <v>1578583811</v>
      </c>
      <c r="E26175" s="1" t="s">
        <v>27687</v>
      </c>
      <c r="F26175" s="2"/>
      <c r="G26175" s="2"/>
      <c r="H26175" s="2"/>
    </row>
    <row r="26176" spans="1:8" x14ac:dyDescent="0.25">
      <c r="A26176" s="1"/>
      <c r="B26176" s="1" t="s">
        <v>7328</v>
      </c>
      <c r="C26176" s="1" t="s">
        <v>7329</v>
      </c>
      <c r="D26176" s="22" t="str">
        <f>HYPERLINK("https://rhld.insurance.arkansas.gov/NPILookup?Npi=1578599239","1578599239")</f>
        <v>1578599239</v>
      </c>
      <c r="E26176" s="1" t="s">
        <v>27688</v>
      </c>
      <c r="F26176" s="2"/>
      <c r="G26176" s="2"/>
      <c r="H26176" s="2"/>
    </row>
    <row r="26177" spans="1:8" x14ac:dyDescent="0.25">
      <c r="A26177" s="1"/>
      <c r="B26177" s="1" t="s">
        <v>7328</v>
      </c>
      <c r="C26177" s="1" t="s">
        <v>7329</v>
      </c>
      <c r="D26177" s="22" t="str">
        <f>HYPERLINK("https://rhld.insurance.arkansas.gov/NPILookup?Npi=1578632485","1578632485")</f>
        <v>1578632485</v>
      </c>
      <c r="E26177" s="1" t="s">
        <v>27689</v>
      </c>
      <c r="F26177" s="2"/>
      <c r="G26177" s="2"/>
      <c r="H26177" s="2"/>
    </row>
    <row r="26178" spans="1:8" x14ac:dyDescent="0.25">
      <c r="A26178" s="1"/>
      <c r="B26178" s="1" t="s">
        <v>7328</v>
      </c>
      <c r="C26178" s="1" t="s">
        <v>7329</v>
      </c>
      <c r="D26178" s="22" t="str">
        <f>HYPERLINK("https://rhld.insurance.arkansas.gov/NPILookup?Npi=1578654125","1578654125")</f>
        <v>1578654125</v>
      </c>
      <c r="E26178" s="1" t="s">
        <v>27690</v>
      </c>
      <c r="F26178" s="2"/>
      <c r="G26178" s="2"/>
      <c r="H26178" s="2"/>
    </row>
    <row r="26179" spans="1:8" x14ac:dyDescent="0.25">
      <c r="A26179" s="1"/>
      <c r="B26179" s="1" t="s">
        <v>7328</v>
      </c>
      <c r="C26179" s="1" t="s">
        <v>7329</v>
      </c>
      <c r="D26179" s="22" t="str">
        <f>HYPERLINK("https://rhld.insurance.arkansas.gov/NPILookup?Npi=1578656120","1578656120")</f>
        <v>1578656120</v>
      </c>
      <c r="E26179" s="1" t="s">
        <v>27691</v>
      </c>
      <c r="F26179" s="2"/>
      <c r="G26179" s="2"/>
      <c r="H26179" s="2"/>
    </row>
    <row r="26180" spans="1:8" x14ac:dyDescent="0.25">
      <c r="A26180" s="1"/>
      <c r="B26180" s="1" t="s">
        <v>7328</v>
      </c>
      <c r="C26180" s="1" t="s">
        <v>7329</v>
      </c>
      <c r="D26180" s="22" t="str">
        <f>HYPERLINK("https://rhld.insurance.arkansas.gov/NPILookup?Npi=1578663696","1578663696")</f>
        <v>1578663696</v>
      </c>
      <c r="E26180" s="1" t="s">
        <v>27692</v>
      </c>
      <c r="F26180" s="2"/>
      <c r="G26180" s="2"/>
      <c r="H26180" s="2"/>
    </row>
    <row r="26181" spans="1:8" x14ac:dyDescent="0.25">
      <c r="A26181" s="1"/>
      <c r="B26181" s="1" t="s">
        <v>7328</v>
      </c>
      <c r="C26181" s="1" t="s">
        <v>7329</v>
      </c>
      <c r="D26181" s="22" t="str">
        <f>HYPERLINK("https://rhld.insurance.arkansas.gov/NPILookup?Npi=1578667010","1578667010")</f>
        <v>1578667010</v>
      </c>
      <c r="E26181" s="1" t="s">
        <v>27693</v>
      </c>
      <c r="F26181" s="2"/>
      <c r="G26181" s="2"/>
      <c r="H26181" s="2"/>
    </row>
    <row r="26182" spans="1:8" x14ac:dyDescent="0.25">
      <c r="A26182" s="1"/>
      <c r="B26182" s="1" t="s">
        <v>7328</v>
      </c>
      <c r="C26182" s="1" t="s">
        <v>7329</v>
      </c>
      <c r="D26182" s="22" t="str">
        <f>HYPERLINK("https://rhld.insurance.arkansas.gov/NPILookup?Npi=1578690756","1578690756")</f>
        <v>1578690756</v>
      </c>
      <c r="E26182" s="1" t="s">
        <v>22753</v>
      </c>
      <c r="F26182" s="2"/>
      <c r="G26182" s="2"/>
      <c r="H26182" s="2"/>
    </row>
    <row r="26183" spans="1:8" x14ac:dyDescent="0.25">
      <c r="A26183" s="1"/>
      <c r="B26183" s="1" t="s">
        <v>7328</v>
      </c>
      <c r="C26183" s="1" t="s">
        <v>7329</v>
      </c>
      <c r="D26183" s="22" t="str">
        <f>HYPERLINK("https://rhld.insurance.arkansas.gov/NPILookup?Npi=1578691135","1578691135")</f>
        <v>1578691135</v>
      </c>
      <c r="E26183" s="1" t="s">
        <v>2387</v>
      </c>
      <c r="F26183" s="2"/>
      <c r="G26183" s="2"/>
      <c r="H26183" s="2"/>
    </row>
    <row r="26184" spans="1:8" x14ac:dyDescent="0.25">
      <c r="A26184" s="1"/>
      <c r="B26184" s="1" t="s">
        <v>7328</v>
      </c>
      <c r="C26184" s="1" t="s">
        <v>7329</v>
      </c>
      <c r="D26184" s="22" t="str">
        <f>HYPERLINK("https://rhld.insurance.arkansas.gov/NPILookup?Npi=1578693511","1578693511")</f>
        <v>1578693511</v>
      </c>
      <c r="E26184" s="1" t="s">
        <v>27694</v>
      </c>
      <c r="F26184" s="2"/>
      <c r="G26184" s="2"/>
      <c r="H26184" s="2"/>
    </row>
    <row r="26185" spans="1:8" x14ac:dyDescent="0.25">
      <c r="A26185" s="1"/>
      <c r="B26185" s="1" t="s">
        <v>7328</v>
      </c>
      <c r="C26185" s="1" t="s">
        <v>7329</v>
      </c>
      <c r="D26185" s="22" t="str">
        <f>HYPERLINK("https://rhld.insurance.arkansas.gov/NPILookup?Npi=1578697074","1578697074")</f>
        <v>1578697074</v>
      </c>
      <c r="E26185" s="1" t="s">
        <v>7906</v>
      </c>
      <c r="F26185" s="2"/>
      <c r="G26185" s="2"/>
      <c r="H26185" s="2"/>
    </row>
    <row r="26186" spans="1:8" x14ac:dyDescent="0.25">
      <c r="A26186" s="1"/>
      <c r="B26186" s="1" t="s">
        <v>7328</v>
      </c>
      <c r="C26186" s="1" t="s">
        <v>7329</v>
      </c>
      <c r="D26186" s="22" t="str">
        <f>HYPERLINK("https://rhld.insurance.arkansas.gov/NPILookup?Npi=1578745410","1578745410")</f>
        <v>1578745410</v>
      </c>
      <c r="E26186" s="1" t="s">
        <v>7907</v>
      </c>
      <c r="F26186" s="2"/>
      <c r="G26186" s="2"/>
      <c r="H26186" s="2"/>
    </row>
    <row r="26187" spans="1:8" x14ac:dyDescent="0.25">
      <c r="A26187" s="1"/>
      <c r="B26187" s="1" t="s">
        <v>7328</v>
      </c>
      <c r="C26187" s="1" t="s">
        <v>7329</v>
      </c>
      <c r="D26187" s="22" t="str">
        <f>HYPERLINK("https://rhld.insurance.arkansas.gov/NPILookup?Npi=1578753646","1578753646")</f>
        <v>1578753646</v>
      </c>
      <c r="E26187" s="1" t="s">
        <v>13303</v>
      </c>
      <c r="F26187" s="2"/>
      <c r="G26187" s="2"/>
      <c r="H26187" s="2"/>
    </row>
    <row r="26188" spans="1:8" x14ac:dyDescent="0.25">
      <c r="A26188" s="1"/>
      <c r="B26188" s="1" t="s">
        <v>7328</v>
      </c>
      <c r="C26188" s="1" t="s">
        <v>7329</v>
      </c>
      <c r="D26188" s="22" t="str">
        <f>HYPERLINK("https://rhld.insurance.arkansas.gov/NPILookup?Npi=1578777538","1578777538")</f>
        <v>1578777538</v>
      </c>
      <c r="E26188" s="1" t="s">
        <v>27695</v>
      </c>
      <c r="F26188" s="2"/>
      <c r="G26188" s="2"/>
      <c r="H26188" s="2"/>
    </row>
    <row r="26189" spans="1:8" x14ac:dyDescent="0.25">
      <c r="A26189" s="1"/>
      <c r="B26189" s="1" t="s">
        <v>7328</v>
      </c>
      <c r="C26189" s="1" t="s">
        <v>7329</v>
      </c>
      <c r="D26189" s="22" t="str">
        <f>HYPERLINK("https://rhld.insurance.arkansas.gov/NPILookup?Npi=1578784039","1578784039")</f>
        <v>1578784039</v>
      </c>
      <c r="E26189" s="1" t="s">
        <v>7908</v>
      </c>
      <c r="F26189" s="2"/>
      <c r="G26189" s="2"/>
      <c r="H26189" s="2"/>
    </row>
    <row r="26190" spans="1:8" x14ac:dyDescent="0.25">
      <c r="A26190" s="1"/>
      <c r="B26190" s="1" t="s">
        <v>7328</v>
      </c>
      <c r="C26190" s="1" t="s">
        <v>7329</v>
      </c>
      <c r="D26190" s="22" t="str">
        <f>HYPERLINK("https://rhld.insurance.arkansas.gov/NPILookup?Npi=1578784997","1578784997")</f>
        <v>1578784997</v>
      </c>
      <c r="E26190" s="1" t="s">
        <v>27696</v>
      </c>
      <c r="F26190" s="2"/>
      <c r="G26190" s="2"/>
      <c r="H26190" s="2"/>
    </row>
    <row r="26191" spans="1:8" x14ac:dyDescent="0.25">
      <c r="A26191" s="1"/>
      <c r="B26191" s="1" t="s">
        <v>7328</v>
      </c>
      <c r="C26191" s="1" t="s">
        <v>7329</v>
      </c>
      <c r="D26191" s="22" t="str">
        <f>HYPERLINK("https://rhld.insurance.arkansas.gov/NPILookup?Npi=1578792644","1578792644")</f>
        <v>1578792644</v>
      </c>
      <c r="E26191" s="1" t="s">
        <v>1102</v>
      </c>
      <c r="F26191" s="2"/>
      <c r="G26191" s="2"/>
      <c r="H26191" s="2"/>
    </row>
    <row r="26192" spans="1:8" x14ac:dyDescent="0.25">
      <c r="A26192" s="1"/>
      <c r="B26192" s="1" t="s">
        <v>7328</v>
      </c>
      <c r="C26192" s="1" t="s">
        <v>7329</v>
      </c>
      <c r="D26192" s="22" t="str">
        <f>HYPERLINK("https://rhld.insurance.arkansas.gov/NPILookup?Npi=1578793469","1578793469")</f>
        <v>1578793469</v>
      </c>
      <c r="E26192" s="1" t="s">
        <v>17673</v>
      </c>
      <c r="F26192" s="2"/>
      <c r="G26192" s="2"/>
      <c r="H26192" s="2"/>
    </row>
    <row r="26193" spans="1:8" x14ac:dyDescent="0.25">
      <c r="A26193" s="1"/>
      <c r="B26193" s="1" t="s">
        <v>7328</v>
      </c>
      <c r="C26193" s="1" t="s">
        <v>7329</v>
      </c>
      <c r="D26193" s="22" t="str">
        <f>HYPERLINK("https://rhld.insurance.arkansas.gov/NPILookup?Npi=1578810487","1578810487")</f>
        <v>1578810487</v>
      </c>
      <c r="E26193" s="1" t="s">
        <v>22643</v>
      </c>
      <c r="F26193" s="2"/>
      <c r="G26193" s="2"/>
      <c r="H26193" s="2"/>
    </row>
    <row r="26194" spans="1:8" x14ac:dyDescent="0.25">
      <c r="A26194" s="1"/>
      <c r="B26194" s="1" t="s">
        <v>7328</v>
      </c>
      <c r="C26194" s="1" t="s">
        <v>7329</v>
      </c>
      <c r="D26194" s="22" t="str">
        <f>HYPERLINK("https://rhld.insurance.arkansas.gov/NPILookup?Npi=1578818621","1578818621")</f>
        <v>1578818621</v>
      </c>
      <c r="E26194" s="1" t="s">
        <v>22645</v>
      </c>
      <c r="F26194" s="2"/>
      <c r="G26194" s="2"/>
      <c r="H26194" s="2"/>
    </row>
    <row r="26195" spans="1:8" x14ac:dyDescent="0.25">
      <c r="A26195" s="1"/>
      <c r="B26195" s="1" t="s">
        <v>7328</v>
      </c>
      <c r="C26195" s="1" t="s">
        <v>7329</v>
      </c>
      <c r="D26195" s="22" t="str">
        <f>HYPERLINK("https://rhld.insurance.arkansas.gov/NPILookup?Npi=1578819405","1578819405")</f>
        <v>1578819405</v>
      </c>
      <c r="E26195" s="1" t="s">
        <v>2909</v>
      </c>
      <c r="F26195" s="2"/>
      <c r="G26195" s="2"/>
      <c r="H26195" s="2"/>
    </row>
    <row r="26196" spans="1:8" x14ac:dyDescent="0.25">
      <c r="A26196" s="1"/>
      <c r="B26196" s="1" t="s">
        <v>7328</v>
      </c>
      <c r="C26196" s="1" t="s">
        <v>7329</v>
      </c>
      <c r="D26196" s="22" t="str">
        <f>HYPERLINK("https://rhld.insurance.arkansas.gov/NPILookup?Npi=1578826020","1578826020")</f>
        <v>1578826020</v>
      </c>
      <c r="E26196" s="1" t="s">
        <v>13304</v>
      </c>
      <c r="F26196" s="2"/>
      <c r="G26196" s="2"/>
      <c r="H26196" s="2"/>
    </row>
    <row r="26197" spans="1:8" x14ac:dyDescent="0.25">
      <c r="A26197" s="1"/>
      <c r="B26197" s="1" t="s">
        <v>7328</v>
      </c>
      <c r="C26197" s="1" t="s">
        <v>7329</v>
      </c>
      <c r="D26197" s="22" t="str">
        <f>HYPERLINK("https://rhld.insurance.arkansas.gov/NPILookup?Npi=1578831434","1578831434")</f>
        <v>1578831434</v>
      </c>
      <c r="E26197" s="1" t="s">
        <v>13305</v>
      </c>
      <c r="F26197" s="2"/>
      <c r="G26197" s="2"/>
      <c r="H26197" s="2"/>
    </row>
    <row r="26198" spans="1:8" x14ac:dyDescent="0.25">
      <c r="A26198" s="1"/>
      <c r="B26198" s="1" t="s">
        <v>7328</v>
      </c>
      <c r="C26198" s="1" t="s">
        <v>7329</v>
      </c>
      <c r="D26198" s="22" t="str">
        <f>HYPERLINK("https://rhld.insurance.arkansas.gov/NPILookup?Npi=1578835534","1578835534")</f>
        <v>1578835534</v>
      </c>
      <c r="E26198" s="1" t="s">
        <v>27697</v>
      </c>
      <c r="F26198" s="2"/>
      <c r="G26198" s="2"/>
      <c r="H26198" s="2"/>
    </row>
    <row r="26199" spans="1:8" x14ac:dyDescent="0.25">
      <c r="A26199" s="1"/>
      <c r="B26199" s="1" t="s">
        <v>7328</v>
      </c>
      <c r="C26199" s="1" t="s">
        <v>7329</v>
      </c>
      <c r="D26199" s="22" t="str">
        <f>HYPERLINK("https://rhld.insurance.arkansas.gov/NPILookup?Npi=1578841441","1578841441")</f>
        <v>1578841441</v>
      </c>
      <c r="E26199" s="1" t="s">
        <v>1700</v>
      </c>
      <c r="F26199" s="2"/>
      <c r="G26199" s="2"/>
      <c r="H26199" s="2"/>
    </row>
    <row r="26200" spans="1:8" x14ac:dyDescent="0.25">
      <c r="A26200" s="1"/>
      <c r="B26200" s="1" t="s">
        <v>7328</v>
      </c>
      <c r="C26200" s="1" t="s">
        <v>7329</v>
      </c>
      <c r="D26200" s="22" t="str">
        <f>HYPERLINK("https://rhld.insurance.arkansas.gov/NPILookup?Npi=1578862785","1578862785")</f>
        <v>1578862785</v>
      </c>
      <c r="E26200" s="1" t="s">
        <v>27698</v>
      </c>
      <c r="F26200" s="2"/>
      <c r="G26200" s="2"/>
      <c r="H26200" s="2"/>
    </row>
    <row r="26201" spans="1:8" x14ac:dyDescent="0.25">
      <c r="A26201" s="1"/>
      <c r="B26201" s="1" t="s">
        <v>7328</v>
      </c>
      <c r="C26201" s="1" t="s">
        <v>7329</v>
      </c>
      <c r="D26201" s="22" t="str">
        <f>HYPERLINK("https://rhld.insurance.arkansas.gov/NPILookup?Npi=1578875894","1578875894")</f>
        <v>1578875894</v>
      </c>
      <c r="E26201" s="1" t="s">
        <v>27699</v>
      </c>
      <c r="F26201" s="2"/>
      <c r="G26201" s="2"/>
      <c r="H26201" s="2"/>
    </row>
    <row r="26202" spans="1:8" x14ac:dyDescent="0.25">
      <c r="A26202" s="1"/>
      <c r="B26202" s="1" t="s">
        <v>7328</v>
      </c>
      <c r="C26202" s="1" t="s">
        <v>7329</v>
      </c>
      <c r="D26202" s="22" t="str">
        <f>HYPERLINK("https://rhld.insurance.arkansas.gov/NPILookup?Npi=1578876959","1578876959")</f>
        <v>1578876959</v>
      </c>
      <c r="E26202" s="1" t="s">
        <v>4276</v>
      </c>
      <c r="F26202" s="2"/>
      <c r="G26202" s="2"/>
      <c r="H26202" s="2"/>
    </row>
    <row r="26203" spans="1:8" x14ac:dyDescent="0.25">
      <c r="A26203" s="1"/>
      <c r="B26203" s="1" t="s">
        <v>7328</v>
      </c>
      <c r="C26203" s="1" t="s">
        <v>7329</v>
      </c>
      <c r="D26203" s="22" t="str">
        <f>HYPERLINK("https://rhld.insurance.arkansas.gov/NPILookup?Npi=1578881488","1578881488")</f>
        <v>1578881488</v>
      </c>
      <c r="E26203" s="1" t="s">
        <v>17675</v>
      </c>
      <c r="F26203" s="2"/>
      <c r="G26203" s="2"/>
      <c r="H26203" s="2"/>
    </row>
    <row r="26204" spans="1:8" x14ac:dyDescent="0.25">
      <c r="A26204" s="1"/>
      <c r="B26204" s="1" t="s">
        <v>7328</v>
      </c>
      <c r="C26204" s="1" t="s">
        <v>7329</v>
      </c>
      <c r="D26204" s="22" t="str">
        <f>HYPERLINK("https://rhld.insurance.arkansas.gov/NPILookup?Npi=1578884540","1578884540")</f>
        <v>1578884540</v>
      </c>
      <c r="E26204" s="1" t="s">
        <v>13306</v>
      </c>
      <c r="F26204" s="2"/>
      <c r="G26204" s="2"/>
      <c r="H26204" s="2"/>
    </row>
    <row r="26205" spans="1:8" x14ac:dyDescent="0.25">
      <c r="A26205" s="1"/>
      <c r="B26205" s="1" t="s">
        <v>7328</v>
      </c>
      <c r="C26205" s="1" t="s">
        <v>7329</v>
      </c>
      <c r="D26205" s="22" t="str">
        <f>HYPERLINK("https://rhld.insurance.arkansas.gov/NPILookup?Npi=1578889440","1578889440")</f>
        <v>1578889440</v>
      </c>
      <c r="E26205" s="1" t="s">
        <v>27700</v>
      </c>
      <c r="F26205" s="2"/>
      <c r="G26205" s="2"/>
      <c r="H26205" s="2"/>
    </row>
    <row r="26206" spans="1:8" x14ac:dyDescent="0.25">
      <c r="A26206" s="1"/>
      <c r="B26206" s="1" t="s">
        <v>7328</v>
      </c>
      <c r="C26206" s="1" t="s">
        <v>7329</v>
      </c>
      <c r="D26206" s="22" t="str">
        <f>HYPERLINK("https://rhld.insurance.arkansas.gov/NPILookup?Npi=1578911293","1578911293")</f>
        <v>1578911293</v>
      </c>
      <c r="E26206" s="1" t="s">
        <v>32293</v>
      </c>
      <c r="F26206" s="2"/>
      <c r="G26206" s="2"/>
      <c r="H26206" s="2"/>
    </row>
    <row r="26207" spans="1:8" x14ac:dyDescent="0.25">
      <c r="A26207" s="1"/>
      <c r="B26207" s="1" t="s">
        <v>7328</v>
      </c>
      <c r="C26207" s="1" t="s">
        <v>7329</v>
      </c>
      <c r="D26207" s="22" t="str">
        <f>HYPERLINK("https://rhld.insurance.arkansas.gov/NPILookup?Npi=1578923116","1578923116")</f>
        <v>1578923116</v>
      </c>
      <c r="E26207" s="1" t="s">
        <v>13307</v>
      </c>
      <c r="F26207" s="2"/>
      <c r="G26207" s="2"/>
      <c r="H26207" s="2"/>
    </row>
    <row r="26208" spans="1:8" x14ac:dyDescent="0.25">
      <c r="A26208" s="1"/>
      <c r="B26208" s="1" t="s">
        <v>7328</v>
      </c>
      <c r="C26208" s="1" t="s">
        <v>7329</v>
      </c>
      <c r="D26208" s="22" t="str">
        <f>HYPERLINK("https://rhld.insurance.arkansas.gov/NPILookup?Npi=1578923371","1578923371")</f>
        <v>1578923371</v>
      </c>
      <c r="E26208" s="1" t="s">
        <v>27701</v>
      </c>
      <c r="F26208" s="2"/>
      <c r="G26208" s="2"/>
      <c r="H26208" s="2"/>
    </row>
    <row r="26209" spans="1:8" x14ac:dyDescent="0.25">
      <c r="A26209" s="1"/>
      <c r="B26209" s="1" t="s">
        <v>7328</v>
      </c>
      <c r="C26209" s="1" t="s">
        <v>7329</v>
      </c>
      <c r="D26209" s="22" t="str">
        <f>HYPERLINK("https://rhld.insurance.arkansas.gov/NPILookup?Npi=1578930715","1578930715")</f>
        <v>1578930715</v>
      </c>
      <c r="E26209" s="1" t="s">
        <v>27702</v>
      </c>
      <c r="F26209" s="2"/>
      <c r="G26209" s="2"/>
      <c r="H26209" s="2"/>
    </row>
    <row r="26210" spans="1:8" x14ac:dyDescent="0.25">
      <c r="A26210" s="1"/>
      <c r="B26210" s="1" t="s">
        <v>7328</v>
      </c>
      <c r="C26210" s="1" t="s">
        <v>7329</v>
      </c>
      <c r="D26210" s="22" t="str">
        <f>HYPERLINK("https://rhld.insurance.arkansas.gov/NPILookup?Npi=1578932695","1578932695")</f>
        <v>1578932695</v>
      </c>
      <c r="E26210" s="1" t="s">
        <v>2911</v>
      </c>
      <c r="F26210" s="2"/>
      <c r="G26210" s="2"/>
      <c r="H26210" s="2"/>
    </row>
    <row r="26211" spans="1:8" x14ac:dyDescent="0.25">
      <c r="A26211" s="1"/>
      <c r="B26211" s="1" t="s">
        <v>7328</v>
      </c>
      <c r="C26211" s="1" t="s">
        <v>7329</v>
      </c>
      <c r="D26211" s="22" t="str">
        <f>HYPERLINK("https://rhld.insurance.arkansas.gov/NPILookup?Npi=1578936175","1578936175")</f>
        <v>1578936175</v>
      </c>
      <c r="E26211" s="1" t="s">
        <v>13308</v>
      </c>
      <c r="F26211" s="2"/>
      <c r="G26211" s="2"/>
      <c r="H26211" s="2"/>
    </row>
    <row r="26212" spans="1:8" x14ac:dyDescent="0.25">
      <c r="A26212" s="1"/>
      <c r="B26212" s="1" t="s">
        <v>7328</v>
      </c>
      <c r="C26212" s="1" t="s">
        <v>7329</v>
      </c>
      <c r="D26212" s="22" t="str">
        <f>HYPERLINK("https://rhld.insurance.arkansas.gov/NPILookup?Npi=1578936803","1578936803")</f>
        <v>1578936803</v>
      </c>
      <c r="E26212" s="1" t="s">
        <v>27703</v>
      </c>
      <c r="F26212" s="2"/>
      <c r="G26212" s="2"/>
      <c r="H26212" s="2"/>
    </row>
    <row r="26213" spans="1:8" x14ac:dyDescent="0.25">
      <c r="A26213" s="1"/>
      <c r="B26213" s="1" t="s">
        <v>7328</v>
      </c>
      <c r="C26213" s="1" t="s">
        <v>7329</v>
      </c>
      <c r="D26213" s="22" t="str">
        <f>HYPERLINK("https://rhld.insurance.arkansas.gov/NPILookup?Npi=1578942066","1578942066")</f>
        <v>1578942066</v>
      </c>
      <c r="E26213" s="1" t="s">
        <v>27704</v>
      </c>
      <c r="F26213" s="2"/>
      <c r="G26213" s="2"/>
      <c r="H26213" s="2"/>
    </row>
    <row r="26214" spans="1:8" x14ac:dyDescent="0.25">
      <c r="A26214" s="1"/>
      <c r="B26214" s="1" t="s">
        <v>7328</v>
      </c>
      <c r="C26214" s="1" t="s">
        <v>7329</v>
      </c>
      <c r="D26214" s="22" t="str">
        <f>HYPERLINK("https://rhld.insurance.arkansas.gov/NPILookup?Npi=1578945770","1578945770")</f>
        <v>1578945770</v>
      </c>
      <c r="E26214" s="1" t="s">
        <v>27705</v>
      </c>
      <c r="F26214" s="2"/>
      <c r="G26214" s="2"/>
      <c r="H26214" s="2"/>
    </row>
    <row r="26215" spans="1:8" x14ac:dyDescent="0.25">
      <c r="A26215" s="1"/>
      <c r="B26215" s="1" t="s">
        <v>7328</v>
      </c>
      <c r="C26215" s="1" t="s">
        <v>7329</v>
      </c>
      <c r="D26215" s="22" t="str">
        <f>HYPERLINK("https://rhld.insurance.arkansas.gov/NPILookup?Npi=1578951372","1578951372")</f>
        <v>1578951372</v>
      </c>
      <c r="E26215" s="1" t="s">
        <v>7909</v>
      </c>
      <c r="F26215" s="2"/>
      <c r="G26215" s="2"/>
      <c r="H26215" s="2"/>
    </row>
    <row r="26216" spans="1:8" x14ac:dyDescent="0.25">
      <c r="A26216" s="1"/>
      <c r="B26216" s="1" t="s">
        <v>7328</v>
      </c>
      <c r="C26216" s="1" t="s">
        <v>7329</v>
      </c>
      <c r="D26216" s="22" t="str">
        <f>HYPERLINK("https://rhld.insurance.arkansas.gov/NPILookup?Npi=1578954616","1578954616")</f>
        <v>1578954616</v>
      </c>
      <c r="E26216" s="1" t="s">
        <v>27706</v>
      </c>
      <c r="F26216" s="2"/>
      <c r="G26216" s="2"/>
      <c r="H26216" s="2"/>
    </row>
    <row r="26217" spans="1:8" x14ac:dyDescent="0.25">
      <c r="A26217" s="1"/>
      <c r="B26217" s="1" t="s">
        <v>7328</v>
      </c>
      <c r="C26217" s="1" t="s">
        <v>7329</v>
      </c>
      <c r="D26217" s="22" t="str">
        <f>HYPERLINK("https://rhld.insurance.arkansas.gov/NPILookup?Npi=1578956223","1578956223")</f>
        <v>1578956223</v>
      </c>
      <c r="E26217" s="1" t="s">
        <v>13309</v>
      </c>
      <c r="F26217" s="2"/>
      <c r="G26217" s="2"/>
      <c r="H26217" s="2"/>
    </row>
    <row r="26218" spans="1:8" x14ac:dyDescent="0.25">
      <c r="A26218" s="1"/>
      <c r="B26218" s="1" t="s">
        <v>7328</v>
      </c>
      <c r="C26218" s="1" t="s">
        <v>7329</v>
      </c>
      <c r="D26218" s="22" t="str">
        <f>HYPERLINK("https://rhld.insurance.arkansas.gov/NPILookup?Npi=1578958138","1578958138")</f>
        <v>1578958138</v>
      </c>
      <c r="E26218" s="1" t="s">
        <v>27707</v>
      </c>
      <c r="F26218" s="2"/>
      <c r="G26218" s="2"/>
      <c r="H26218" s="2"/>
    </row>
    <row r="26219" spans="1:8" x14ac:dyDescent="0.25">
      <c r="A26219" s="1"/>
      <c r="B26219" s="1" t="s">
        <v>7328</v>
      </c>
      <c r="C26219" s="1" t="s">
        <v>7329</v>
      </c>
      <c r="D26219" s="22" t="str">
        <f>HYPERLINK("https://rhld.insurance.arkansas.gov/NPILookup?Npi=1578958401","1578958401")</f>
        <v>1578958401</v>
      </c>
      <c r="E26219" s="1" t="s">
        <v>2233</v>
      </c>
      <c r="F26219" s="2"/>
      <c r="G26219" s="2"/>
      <c r="H26219" s="2"/>
    </row>
    <row r="26220" spans="1:8" x14ac:dyDescent="0.25">
      <c r="A26220" s="1"/>
      <c r="B26220" s="1" t="s">
        <v>7328</v>
      </c>
      <c r="C26220" s="1" t="s">
        <v>7329</v>
      </c>
      <c r="D26220" s="22" t="str">
        <f>HYPERLINK("https://rhld.insurance.arkansas.gov/NPILookup?Npi=1578960100","1578960100")</f>
        <v>1578960100</v>
      </c>
      <c r="E26220" s="1" t="s">
        <v>2912</v>
      </c>
      <c r="F26220" s="2"/>
      <c r="G26220" s="2"/>
      <c r="H26220" s="2"/>
    </row>
    <row r="26221" spans="1:8" x14ac:dyDescent="0.25">
      <c r="A26221" s="1"/>
      <c r="B26221" s="1" t="s">
        <v>7328</v>
      </c>
      <c r="C26221" s="1" t="s">
        <v>7329</v>
      </c>
      <c r="D26221" s="22" t="str">
        <f>HYPERLINK("https://rhld.insurance.arkansas.gov/NPILookup?Npi=1578970364","1578970364")</f>
        <v>1578970364</v>
      </c>
      <c r="E26221" s="1" t="s">
        <v>27708</v>
      </c>
      <c r="F26221" s="2"/>
      <c r="G26221" s="2"/>
      <c r="H26221" s="2"/>
    </row>
    <row r="26222" spans="1:8" x14ac:dyDescent="0.25">
      <c r="A26222" s="1"/>
      <c r="B26222" s="1" t="s">
        <v>7328</v>
      </c>
      <c r="C26222" s="1" t="s">
        <v>7329</v>
      </c>
      <c r="D26222" s="22" t="str">
        <f>HYPERLINK("https://rhld.insurance.arkansas.gov/NPILookup?Npi=1578976908","1578976908")</f>
        <v>1578976908</v>
      </c>
      <c r="E26222" s="1" t="s">
        <v>17676</v>
      </c>
      <c r="F26222" s="2"/>
      <c r="G26222" s="2"/>
      <c r="H26222" s="2"/>
    </row>
    <row r="26223" spans="1:8" x14ac:dyDescent="0.25">
      <c r="A26223" s="1"/>
      <c r="B26223" s="1" t="s">
        <v>7328</v>
      </c>
      <c r="C26223" s="1" t="s">
        <v>7329</v>
      </c>
      <c r="D26223" s="22" t="str">
        <f>HYPERLINK("https://rhld.insurance.arkansas.gov/NPILookup?Npi=1578980595","1578980595")</f>
        <v>1578980595</v>
      </c>
      <c r="E26223" s="1" t="s">
        <v>27709</v>
      </c>
      <c r="F26223" s="2"/>
      <c r="G26223" s="2"/>
      <c r="H26223" s="2"/>
    </row>
    <row r="26224" spans="1:8" x14ac:dyDescent="0.25">
      <c r="A26224" s="1"/>
      <c r="B26224" s="1" t="s">
        <v>7328</v>
      </c>
      <c r="C26224" s="1" t="s">
        <v>7329</v>
      </c>
      <c r="D26224" s="22" t="str">
        <f>HYPERLINK("https://rhld.insurance.arkansas.gov/NPILookup?Npi=1578982526","1578982526")</f>
        <v>1578982526</v>
      </c>
      <c r="E26224" s="1" t="s">
        <v>13310</v>
      </c>
      <c r="F26224" s="2"/>
      <c r="G26224" s="2"/>
      <c r="H26224" s="2"/>
    </row>
    <row r="26225" spans="1:8" x14ac:dyDescent="0.25">
      <c r="A26225" s="1"/>
      <c r="B26225" s="1" t="s">
        <v>7328</v>
      </c>
      <c r="C26225" s="1" t="s">
        <v>7329</v>
      </c>
      <c r="D26225" s="22" t="str">
        <f>HYPERLINK("https://rhld.insurance.arkansas.gov/NPILookup?Npi=1578995791","1578995791")</f>
        <v>1578995791</v>
      </c>
      <c r="E26225" s="1" t="s">
        <v>27710</v>
      </c>
      <c r="F26225" s="2"/>
      <c r="G26225" s="2"/>
      <c r="H26225" s="2"/>
    </row>
    <row r="26226" spans="1:8" x14ac:dyDescent="0.25">
      <c r="A26226" s="1"/>
      <c r="B26226" s="1" t="s">
        <v>7328</v>
      </c>
      <c r="C26226" s="1" t="s">
        <v>7329</v>
      </c>
      <c r="D26226" s="22" t="str">
        <f>HYPERLINK("https://rhld.insurance.arkansas.gov/NPILookup?Npi=1588007454","1588007454")</f>
        <v>1588007454</v>
      </c>
      <c r="E26226" s="1" t="s">
        <v>27711</v>
      </c>
      <c r="F26226" s="2"/>
      <c r="G26226" s="2"/>
      <c r="H26226" s="2"/>
    </row>
    <row r="26227" spans="1:8" x14ac:dyDescent="0.25">
      <c r="A26227" s="1"/>
      <c r="B26227" s="1" t="s">
        <v>7328</v>
      </c>
      <c r="C26227" s="1" t="s">
        <v>7329</v>
      </c>
      <c r="D26227" s="22" t="str">
        <f>HYPERLINK("https://rhld.insurance.arkansas.gov/NPILookup?Npi=1588008684","1588008684")</f>
        <v>1588008684</v>
      </c>
      <c r="E26227" s="1" t="s">
        <v>17677</v>
      </c>
      <c r="F26227" s="2"/>
      <c r="G26227" s="2"/>
      <c r="H26227" s="2"/>
    </row>
    <row r="26228" spans="1:8" x14ac:dyDescent="0.25">
      <c r="A26228" s="1"/>
      <c r="B26228" s="1" t="s">
        <v>7328</v>
      </c>
      <c r="C26228" s="1" t="s">
        <v>7329</v>
      </c>
      <c r="D26228" s="22" t="str">
        <f>HYPERLINK("https://rhld.insurance.arkansas.gov/NPILookup?Npi=1588014294","1588014294")</f>
        <v>1588014294</v>
      </c>
      <c r="E26228" s="1" t="s">
        <v>2913</v>
      </c>
      <c r="F26228" s="2"/>
      <c r="G26228" s="2"/>
      <c r="H26228" s="2"/>
    </row>
    <row r="26229" spans="1:8" x14ac:dyDescent="0.25">
      <c r="A26229" s="1"/>
      <c r="B26229" s="1" t="s">
        <v>7328</v>
      </c>
      <c r="C26229" s="1" t="s">
        <v>7329</v>
      </c>
      <c r="D26229" s="22" t="str">
        <f>HYPERLINK("https://rhld.insurance.arkansas.gov/NPILookup?Npi=1588016646","1588016646")</f>
        <v>1588016646</v>
      </c>
      <c r="E26229" s="1" t="s">
        <v>17678</v>
      </c>
      <c r="F26229" s="2"/>
      <c r="G26229" s="2"/>
      <c r="H26229" s="2"/>
    </row>
    <row r="26230" spans="1:8" x14ac:dyDescent="0.25">
      <c r="A26230" s="1"/>
      <c r="B26230" s="1" t="s">
        <v>7328</v>
      </c>
      <c r="C26230" s="1" t="s">
        <v>7329</v>
      </c>
      <c r="D26230" s="22" t="str">
        <f>HYPERLINK("https://rhld.insurance.arkansas.gov/NPILookup?Npi=1588025761","1588025761")</f>
        <v>1588025761</v>
      </c>
      <c r="E26230" s="1" t="s">
        <v>27712</v>
      </c>
      <c r="F26230" s="2"/>
      <c r="G26230" s="2"/>
      <c r="H26230" s="2"/>
    </row>
    <row r="26231" spans="1:8" x14ac:dyDescent="0.25">
      <c r="A26231" s="1"/>
      <c r="B26231" s="1" t="s">
        <v>7328</v>
      </c>
      <c r="C26231" s="1" t="s">
        <v>7329</v>
      </c>
      <c r="D26231" s="22" t="str">
        <f>HYPERLINK("https://rhld.insurance.arkansas.gov/NPILookup?Npi=1588026983","1588026983")</f>
        <v>1588026983</v>
      </c>
      <c r="E26231" s="1" t="s">
        <v>27713</v>
      </c>
      <c r="F26231" s="2"/>
      <c r="G26231" s="2"/>
      <c r="H26231" s="2"/>
    </row>
    <row r="26232" spans="1:8" x14ac:dyDescent="0.25">
      <c r="A26232" s="1"/>
      <c r="B26232" s="1" t="s">
        <v>7328</v>
      </c>
      <c r="C26232" s="1" t="s">
        <v>7329</v>
      </c>
      <c r="D26232" s="22" t="str">
        <f>HYPERLINK("https://rhld.insurance.arkansas.gov/NPILookup?Npi=1588027148","1588027148")</f>
        <v>1588027148</v>
      </c>
      <c r="E26232" s="1" t="s">
        <v>17679</v>
      </c>
      <c r="F26232" s="2"/>
      <c r="G26232" s="2"/>
      <c r="H26232" s="2"/>
    </row>
    <row r="26233" spans="1:8" x14ac:dyDescent="0.25">
      <c r="A26233" s="1"/>
      <c r="B26233" s="1" t="s">
        <v>7328</v>
      </c>
      <c r="C26233" s="1" t="s">
        <v>7329</v>
      </c>
      <c r="D26233" s="22" t="str">
        <f>HYPERLINK("https://rhld.insurance.arkansas.gov/NPILookup?Npi=1588036586","1588036586")</f>
        <v>1588036586</v>
      </c>
      <c r="E26233" s="1" t="s">
        <v>27714</v>
      </c>
      <c r="F26233" s="2"/>
      <c r="G26233" s="2"/>
      <c r="H26233" s="2"/>
    </row>
    <row r="26234" spans="1:8" x14ac:dyDescent="0.25">
      <c r="A26234" s="1"/>
      <c r="B26234" s="1" t="s">
        <v>7328</v>
      </c>
      <c r="C26234" s="1" t="s">
        <v>7329</v>
      </c>
      <c r="D26234" s="22" t="str">
        <f>HYPERLINK("https://rhld.insurance.arkansas.gov/NPILookup?Npi=1588042246","1588042246")</f>
        <v>1588042246</v>
      </c>
      <c r="E26234" s="1" t="s">
        <v>10373</v>
      </c>
      <c r="F26234" s="2"/>
      <c r="G26234" s="2"/>
      <c r="H26234" s="2"/>
    </row>
    <row r="26235" spans="1:8" x14ac:dyDescent="0.25">
      <c r="A26235" s="1"/>
      <c r="B26235" s="1" t="s">
        <v>7328</v>
      </c>
      <c r="C26235" s="1" t="s">
        <v>7329</v>
      </c>
      <c r="D26235" s="22" t="str">
        <f>HYPERLINK("https://rhld.insurance.arkansas.gov/NPILookup?Npi=1588047443","1588047443")</f>
        <v>1588047443</v>
      </c>
      <c r="E26235" s="1" t="s">
        <v>17681</v>
      </c>
      <c r="F26235" s="2"/>
      <c r="G26235" s="2"/>
      <c r="H26235" s="2"/>
    </row>
    <row r="26236" spans="1:8" x14ac:dyDescent="0.25">
      <c r="A26236" s="1"/>
      <c r="B26236" s="1" t="s">
        <v>7328</v>
      </c>
      <c r="C26236" s="1" t="s">
        <v>7329</v>
      </c>
      <c r="D26236" s="22" t="str">
        <f>HYPERLINK("https://rhld.insurance.arkansas.gov/NPILookup?Npi=1588053789","1588053789")</f>
        <v>1588053789</v>
      </c>
      <c r="E26236" s="1" t="s">
        <v>13311</v>
      </c>
      <c r="F26236" s="2"/>
      <c r="G26236" s="2"/>
      <c r="H26236" s="2"/>
    </row>
    <row r="26237" spans="1:8" x14ac:dyDescent="0.25">
      <c r="A26237" s="1"/>
      <c r="B26237" s="1" t="s">
        <v>7328</v>
      </c>
      <c r="C26237" s="1" t="s">
        <v>7329</v>
      </c>
      <c r="D26237" s="22" t="str">
        <f>HYPERLINK("https://rhld.insurance.arkansas.gov/NPILookup?Npi=1588054001","1588054001")</f>
        <v>1588054001</v>
      </c>
      <c r="E26237" s="1" t="s">
        <v>2914</v>
      </c>
      <c r="F26237" s="2"/>
      <c r="G26237" s="2"/>
      <c r="H26237" s="2"/>
    </row>
    <row r="26238" spans="1:8" x14ac:dyDescent="0.25">
      <c r="A26238" s="1"/>
      <c r="B26238" s="1" t="s">
        <v>7328</v>
      </c>
      <c r="C26238" s="1" t="s">
        <v>7329</v>
      </c>
      <c r="D26238" s="22" t="str">
        <f>HYPERLINK("https://rhld.insurance.arkansas.gov/NPILookup?Npi=1588056147","1588056147")</f>
        <v>1588056147</v>
      </c>
      <c r="E26238" s="1" t="s">
        <v>27715</v>
      </c>
      <c r="F26238" s="2"/>
      <c r="G26238" s="2"/>
      <c r="H26238" s="2"/>
    </row>
    <row r="26239" spans="1:8" x14ac:dyDescent="0.25">
      <c r="A26239" s="1"/>
      <c r="B26239" s="1" t="s">
        <v>7328</v>
      </c>
      <c r="C26239" s="1" t="s">
        <v>7329</v>
      </c>
      <c r="D26239" s="22" t="str">
        <f>HYPERLINK("https://rhld.insurance.arkansas.gov/NPILookup?Npi=1588058895","1588058895")</f>
        <v>1588058895</v>
      </c>
      <c r="E26239" s="1" t="s">
        <v>13312</v>
      </c>
      <c r="F26239" s="2"/>
      <c r="G26239" s="2"/>
      <c r="H26239" s="2"/>
    </row>
    <row r="26240" spans="1:8" x14ac:dyDescent="0.25">
      <c r="A26240" s="1"/>
      <c r="B26240" s="1" t="s">
        <v>7328</v>
      </c>
      <c r="C26240" s="1" t="s">
        <v>7329</v>
      </c>
      <c r="D26240" s="22" t="str">
        <f>HYPERLINK("https://rhld.insurance.arkansas.gov/NPILookup?Npi=1588059281","1588059281")</f>
        <v>1588059281</v>
      </c>
      <c r="E26240" s="1" t="s">
        <v>27716</v>
      </c>
      <c r="F26240" s="2"/>
      <c r="G26240" s="2"/>
      <c r="H26240" s="2"/>
    </row>
    <row r="26241" spans="1:8" x14ac:dyDescent="0.25">
      <c r="A26241" s="1"/>
      <c r="B26241" s="1" t="s">
        <v>7328</v>
      </c>
      <c r="C26241" s="1" t="s">
        <v>7329</v>
      </c>
      <c r="D26241" s="22" t="str">
        <f>HYPERLINK("https://rhld.insurance.arkansas.gov/NPILookup?Npi=1588073738","1588073738")</f>
        <v>1588073738</v>
      </c>
      <c r="E26241" s="1" t="s">
        <v>27717</v>
      </c>
      <c r="F26241" s="2"/>
      <c r="G26241" s="2"/>
      <c r="H26241" s="2"/>
    </row>
    <row r="26242" spans="1:8" x14ac:dyDescent="0.25">
      <c r="A26242" s="1"/>
      <c r="B26242" s="1" t="s">
        <v>7328</v>
      </c>
      <c r="C26242" s="1" t="s">
        <v>7329</v>
      </c>
      <c r="D26242" s="22" t="str">
        <f>HYPERLINK("https://rhld.insurance.arkansas.gov/NPILookup?Npi=1588081228","1588081228")</f>
        <v>1588081228</v>
      </c>
      <c r="E26242" s="1" t="s">
        <v>2915</v>
      </c>
      <c r="F26242" s="2"/>
      <c r="G26242" s="2"/>
      <c r="H26242" s="2"/>
    </row>
    <row r="26243" spans="1:8" x14ac:dyDescent="0.25">
      <c r="A26243" s="1"/>
      <c r="B26243" s="1" t="s">
        <v>7328</v>
      </c>
      <c r="C26243" s="1" t="s">
        <v>7329</v>
      </c>
      <c r="D26243" s="22" t="str">
        <f>HYPERLINK("https://rhld.insurance.arkansas.gov/NPILookup?Npi=1588088827","1588088827")</f>
        <v>1588088827</v>
      </c>
      <c r="E26243" s="1" t="s">
        <v>7910</v>
      </c>
      <c r="F26243" s="2"/>
      <c r="G26243" s="2"/>
      <c r="H26243" s="2"/>
    </row>
    <row r="26244" spans="1:8" x14ac:dyDescent="0.25">
      <c r="A26244" s="1"/>
      <c r="B26244" s="1" t="s">
        <v>7328</v>
      </c>
      <c r="C26244" s="1" t="s">
        <v>7329</v>
      </c>
      <c r="D26244" s="22" t="str">
        <f>HYPERLINK("https://rhld.insurance.arkansas.gov/NPILookup?Npi=1588097836","1588097836")</f>
        <v>1588097836</v>
      </c>
      <c r="E26244" s="1" t="s">
        <v>13313</v>
      </c>
      <c r="F26244" s="2"/>
      <c r="G26244" s="2"/>
      <c r="H26244" s="2"/>
    </row>
    <row r="26245" spans="1:8" x14ac:dyDescent="0.25">
      <c r="A26245" s="1"/>
      <c r="B26245" s="1" t="s">
        <v>7328</v>
      </c>
      <c r="C26245" s="1" t="s">
        <v>7329</v>
      </c>
      <c r="D26245" s="22" t="str">
        <f>HYPERLINK("https://rhld.insurance.arkansas.gov/NPILookup?Npi=1588104590","1588104590")</f>
        <v>1588104590</v>
      </c>
      <c r="E26245" s="1" t="s">
        <v>27718</v>
      </c>
      <c r="F26245" s="2"/>
      <c r="G26245" s="2"/>
      <c r="H26245" s="2"/>
    </row>
    <row r="26246" spans="1:8" x14ac:dyDescent="0.25">
      <c r="A26246" s="1"/>
      <c r="B26246" s="1" t="s">
        <v>7328</v>
      </c>
      <c r="C26246" s="1" t="s">
        <v>7329</v>
      </c>
      <c r="D26246" s="22" t="str">
        <f>HYPERLINK("https://rhld.insurance.arkansas.gov/NPILookup?Npi=1588106678","1588106678")</f>
        <v>1588106678</v>
      </c>
      <c r="E26246" s="1" t="s">
        <v>917</v>
      </c>
      <c r="F26246" s="2"/>
      <c r="G26246" s="2"/>
      <c r="H26246" s="2"/>
    </row>
    <row r="26247" spans="1:8" x14ac:dyDescent="0.25">
      <c r="A26247" s="1"/>
      <c r="B26247" s="1" t="s">
        <v>7328</v>
      </c>
      <c r="C26247" s="1" t="s">
        <v>7329</v>
      </c>
      <c r="D26247" s="22" t="str">
        <f>HYPERLINK("https://rhld.insurance.arkansas.gov/NPILookup?Npi=1588109094","1588109094")</f>
        <v>1588109094</v>
      </c>
      <c r="E26247" s="1" t="s">
        <v>27719</v>
      </c>
      <c r="F26247" s="2"/>
      <c r="G26247" s="2"/>
      <c r="H26247" s="2"/>
    </row>
    <row r="26248" spans="1:8" x14ac:dyDescent="0.25">
      <c r="A26248" s="1"/>
      <c r="B26248" s="1" t="s">
        <v>7328</v>
      </c>
      <c r="C26248" s="1" t="s">
        <v>7329</v>
      </c>
      <c r="D26248" s="22" t="str">
        <f>HYPERLINK("https://rhld.insurance.arkansas.gov/NPILookup?Npi=1588113435","1588113435")</f>
        <v>1588113435</v>
      </c>
      <c r="E26248" s="1" t="s">
        <v>13314</v>
      </c>
      <c r="F26248" s="2"/>
      <c r="G26248" s="2"/>
      <c r="H26248" s="2"/>
    </row>
    <row r="26249" spans="1:8" x14ac:dyDescent="0.25">
      <c r="A26249" s="1"/>
      <c r="B26249" s="1" t="s">
        <v>7328</v>
      </c>
      <c r="C26249" s="1" t="s">
        <v>7329</v>
      </c>
      <c r="D26249" s="22" t="str">
        <f>HYPERLINK("https://rhld.insurance.arkansas.gov/NPILookup?Npi=1588132948","1588132948")</f>
        <v>1588132948</v>
      </c>
      <c r="E26249" s="1" t="s">
        <v>27720</v>
      </c>
      <c r="F26249" s="2"/>
      <c r="G26249" s="2"/>
      <c r="H26249" s="2"/>
    </row>
    <row r="26250" spans="1:8" x14ac:dyDescent="0.25">
      <c r="A26250" s="1"/>
      <c r="B26250" s="1" t="s">
        <v>7328</v>
      </c>
      <c r="C26250" s="1" t="s">
        <v>7329</v>
      </c>
      <c r="D26250" s="22" t="str">
        <f>HYPERLINK("https://rhld.insurance.arkansas.gov/NPILookup?Npi=1588137541","1588137541")</f>
        <v>1588137541</v>
      </c>
      <c r="E26250" s="1" t="s">
        <v>7911</v>
      </c>
      <c r="F26250" s="2"/>
      <c r="G26250" s="2"/>
      <c r="H26250" s="2"/>
    </row>
    <row r="26251" spans="1:8" x14ac:dyDescent="0.25">
      <c r="A26251" s="1"/>
      <c r="B26251" s="1" t="s">
        <v>7328</v>
      </c>
      <c r="C26251" s="1" t="s">
        <v>7329</v>
      </c>
      <c r="D26251" s="22" t="str">
        <f>HYPERLINK("https://rhld.insurance.arkansas.gov/NPILookup?Npi=1588138267","1588138267")</f>
        <v>1588138267</v>
      </c>
      <c r="E26251" s="1" t="s">
        <v>27721</v>
      </c>
      <c r="F26251" s="2"/>
      <c r="G26251" s="2"/>
      <c r="H26251" s="2"/>
    </row>
    <row r="26252" spans="1:8" x14ac:dyDescent="0.25">
      <c r="A26252" s="1"/>
      <c r="B26252" s="1" t="s">
        <v>7328</v>
      </c>
      <c r="C26252" s="1" t="s">
        <v>7329</v>
      </c>
      <c r="D26252" s="22" t="str">
        <f>HYPERLINK("https://rhld.insurance.arkansas.gov/NPILookup?Npi=1588141725","1588141725")</f>
        <v>1588141725</v>
      </c>
      <c r="E26252" s="1" t="s">
        <v>27722</v>
      </c>
      <c r="F26252" s="2"/>
      <c r="G26252" s="2"/>
      <c r="H26252" s="2"/>
    </row>
    <row r="26253" spans="1:8" x14ac:dyDescent="0.25">
      <c r="A26253" s="1"/>
      <c r="B26253" s="1" t="s">
        <v>7328</v>
      </c>
      <c r="C26253" s="1" t="s">
        <v>7329</v>
      </c>
      <c r="D26253" s="22" t="str">
        <f>HYPERLINK("https://rhld.insurance.arkansas.gov/NPILookup?Npi=1588143580","1588143580")</f>
        <v>1588143580</v>
      </c>
      <c r="E26253" s="1" t="s">
        <v>13315</v>
      </c>
      <c r="F26253" s="2"/>
      <c r="G26253" s="2"/>
      <c r="H26253" s="2"/>
    </row>
    <row r="26254" spans="1:8" x14ac:dyDescent="0.25">
      <c r="A26254" s="1"/>
      <c r="B26254" s="1" t="s">
        <v>7328</v>
      </c>
      <c r="C26254" s="1" t="s">
        <v>7329</v>
      </c>
      <c r="D26254" s="22" t="str">
        <f>HYPERLINK("https://rhld.insurance.arkansas.gov/NPILookup?Npi=1588147078","1588147078")</f>
        <v>1588147078</v>
      </c>
      <c r="E26254" s="1" t="s">
        <v>32294</v>
      </c>
      <c r="F26254" s="2"/>
      <c r="G26254" s="2"/>
      <c r="H26254" s="2"/>
    </row>
    <row r="26255" spans="1:8" x14ac:dyDescent="0.25">
      <c r="A26255" s="1"/>
      <c r="B26255" s="1" t="s">
        <v>7328</v>
      </c>
      <c r="C26255" s="1" t="s">
        <v>7329</v>
      </c>
      <c r="D26255" s="22" t="str">
        <f>HYPERLINK("https://rhld.insurance.arkansas.gov/NPILookup?Npi=1588148431","1588148431")</f>
        <v>1588148431</v>
      </c>
      <c r="E26255" s="1" t="s">
        <v>390</v>
      </c>
      <c r="F26255" s="2"/>
      <c r="G26255" s="2"/>
      <c r="H26255" s="2"/>
    </row>
    <row r="26256" spans="1:8" x14ac:dyDescent="0.25">
      <c r="A26256" s="1"/>
      <c r="B26256" s="1" t="s">
        <v>7328</v>
      </c>
      <c r="C26256" s="1" t="s">
        <v>7329</v>
      </c>
      <c r="D26256" s="22" t="str">
        <f>HYPERLINK("https://rhld.insurance.arkansas.gov/NPILookup?Npi=1588160915","1588160915")</f>
        <v>1588160915</v>
      </c>
      <c r="E26256" s="1" t="s">
        <v>13316</v>
      </c>
      <c r="F26256" s="2"/>
      <c r="G26256" s="2"/>
      <c r="H26256" s="2"/>
    </row>
    <row r="26257" spans="1:8" x14ac:dyDescent="0.25">
      <c r="A26257" s="1"/>
      <c r="B26257" s="1" t="s">
        <v>7328</v>
      </c>
      <c r="C26257" s="1" t="s">
        <v>7329</v>
      </c>
      <c r="D26257" s="22" t="str">
        <f>HYPERLINK("https://rhld.insurance.arkansas.gov/NPILookup?Npi=1588161400","1588161400")</f>
        <v>1588161400</v>
      </c>
      <c r="E26257" s="1" t="s">
        <v>27723</v>
      </c>
      <c r="F26257" s="2"/>
      <c r="G26257" s="2"/>
      <c r="H26257" s="2"/>
    </row>
    <row r="26258" spans="1:8" x14ac:dyDescent="0.25">
      <c r="A26258" s="1"/>
      <c r="B26258" s="1" t="s">
        <v>7328</v>
      </c>
      <c r="C26258" s="1" t="s">
        <v>7329</v>
      </c>
      <c r="D26258" s="22" t="str">
        <f>HYPERLINK("https://rhld.insurance.arkansas.gov/NPILookup?Npi=1588169965","1588169965")</f>
        <v>1588169965</v>
      </c>
      <c r="E26258" s="1" t="s">
        <v>13317</v>
      </c>
      <c r="F26258" s="2"/>
      <c r="G26258" s="2"/>
      <c r="H26258" s="2"/>
    </row>
    <row r="26259" spans="1:8" x14ac:dyDescent="0.25">
      <c r="A26259" s="1"/>
      <c r="B26259" s="1" t="s">
        <v>7328</v>
      </c>
      <c r="C26259" s="1" t="s">
        <v>7329</v>
      </c>
      <c r="D26259" s="22" t="str">
        <f>HYPERLINK("https://rhld.insurance.arkansas.gov/NPILookup?Npi=1588175145","1588175145")</f>
        <v>1588175145</v>
      </c>
      <c r="E26259" s="1" t="s">
        <v>7912</v>
      </c>
      <c r="F26259" s="2"/>
      <c r="G26259" s="2"/>
      <c r="H26259" s="2"/>
    </row>
    <row r="26260" spans="1:8" x14ac:dyDescent="0.25">
      <c r="A26260" s="1"/>
      <c r="B26260" s="1" t="s">
        <v>7328</v>
      </c>
      <c r="C26260" s="1" t="s">
        <v>7329</v>
      </c>
      <c r="D26260" s="22" t="str">
        <f>HYPERLINK("https://rhld.insurance.arkansas.gov/NPILookup?Npi=1588197362","1588197362")</f>
        <v>1588197362</v>
      </c>
      <c r="E26260" s="1" t="s">
        <v>27724</v>
      </c>
      <c r="F26260" s="2"/>
      <c r="G26260" s="2"/>
      <c r="H26260" s="2"/>
    </row>
    <row r="26261" spans="1:8" x14ac:dyDescent="0.25">
      <c r="A26261" s="1"/>
      <c r="B26261" s="1" t="s">
        <v>7328</v>
      </c>
      <c r="C26261" s="1" t="s">
        <v>7329</v>
      </c>
      <c r="D26261" s="22" t="str">
        <f>HYPERLINK("https://rhld.insurance.arkansas.gov/NPILookup?Npi=1588198576","1588198576")</f>
        <v>1588198576</v>
      </c>
      <c r="E26261" s="1" t="s">
        <v>27725</v>
      </c>
      <c r="F26261" s="2"/>
      <c r="G26261" s="2"/>
      <c r="H26261" s="2"/>
    </row>
    <row r="26262" spans="1:8" x14ac:dyDescent="0.25">
      <c r="A26262" s="1"/>
      <c r="B26262" s="1" t="s">
        <v>7328</v>
      </c>
      <c r="C26262" s="1" t="s">
        <v>7329</v>
      </c>
      <c r="D26262" s="22" t="str">
        <f>HYPERLINK("https://rhld.insurance.arkansas.gov/NPILookup?Npi=1588212575","1588212575")</f>
        <v>1588212575</v>
      </c>
      <c r="E26262" s="1" t="s">
        <v>27726</v>
      </c>
      <c r="F26262" s="2"/>
      <c r="G26262" s="2"/>
      <c r="H26262" s="2"/>
    </row>
    <row r="26263" spans="1:8" x14ac:dyDescent="0.25">
      <c r="A26263" s="1"/>
      <c r="B26263" s="1" t="s">
        <v>7328</v>
      </c>
      <c r="C26263" s="1" t="s">
        <v>7329</v>
      </c>
      <c r="D26263" s="22" t="str">
        <f>HYPERLINK("https://rhld.insurance.arkansas.gov/NPILookup?Npi=1588213771","1588213771")</f>
        <v>1588213771</v>
      </c>
      <c r="E26263" s="1" t="s">
        <v>27727</v>
      </c>
      <c r="F26263" s="2"/>
      <c r="G26263" s="2"/>
      <c r="H26263" s="2"/>
    </row>
    <row r="26264" spans="1:8" x14ac:dyDescent="0.25">
      <c r="A26264" s="1"/>
      <c r="B26264" s="1" t="s">
        <v>7328</v>
      </c>
      <c r="C26264" s="1" t="s">
        <v>7329</v>
      </c>
      <c r="D26264" s="22" t="str">
        <f>HYPERLINK("https://rhld.insurance.arkansas.gov/NPILookup?Npi=1588222921","1588222921")</f>
        <v>1588222921</v>
      </c>
      <c r="E26264" s="1" t="s">
        <v>27728</v>
      </c>
      <c r="F26264" s="2"/>
      <c r="G26264" s="2"/>
      <c r="H26264" s="2"/>
    </row>
    <row r="26265" spans="1:8" x14ac:dyDescent="0.25">
      <c r="A26265" s="1"/>
      <c r="B26265" s="1" t="s">
        <v>7328</v>
      </c>
      <c r="C26265" s="1" t="s">
        <v>7329</v>
      </c>
      <c r="D26265" s="22" t="str">
        <f>HYPERLINK("https://rhld.insurance.arkansas.gov/NPILookup?Npi=1588225775","1588225775")</f>
        <v>1588225775</v>
      </c>
      <c r="E26265" s="1" t="s">
        <v>13318</v>
      </c>
      <c r="F26265" s="2"/>
      <c r="G26265" s="2"/>
      <c r="H26265" s="2"/>
    </row>
    <row r="26266" spans="1:8" x14ac:dyDescent="0.25">
      <c r="A26266" s="1"/>
      <c r="B26266" s="1" t="s">
        <v>7328</v>
      </c>
      <c r="C26266" s="1" t="s">
        <v>7329</v>
      </c>
      <c r="D26266" s="22" t="str">
        <f>HYPERLINK("https://rhld.insurance.arkansas.gov/NPILookup?Npi=1588241269","1588241269")</f>
        <v>1588241269</v>
      </c>
      <c r="E26266" s="1" t="s">
        <v>10374</v>
      </c>
      <c r="F26266" s="2"/>
      <c r="G26266" s="2"/>
      <c r="H26266" s="2"/>
    </row>
    <row r="26267" spans="1:8" x14ac:dyDescent="0.25">
      <c r="A26267" s="1"/>
      <c r="B26267" s="1" t="s">
        <v>7328</v>
      </c>
      <c r="C26267" s="1" t="s">
        <v>7329</v>
      </c>
      <c r="D26267" s="22" t="str">
        <f>HYPERLINK("https://rhld.insurance.arkansas.gov/NPILookup?Npi=1588265896","1588265896")</f>
        <v>1588265896</v>
      </c>
      <c r="E26267" s="1" t="s">
        <v>32295</v>
      </c>
      <c r="F26267" s="2"/>
      <c r="G26267" s="2"/>
      <c r="H26267" s="2"/>
    </row>
    <row r="26268" spans="1:8" x14ac:dyDescent="0.25">
      <c r="A26268" s="1"/>
      <c r="B26268" s="1" t="s">
        <v>7328</v>
      </c>
      <c r="C26268" s="1" t="s">
        <v>7329</v>
      </c>
      <c r="D26268" s="22" t="str">
        <f>HYPERLINK("https://rhld.insurance.arkansas.gov/NPILookup?Npi=1588267819","1588267819")</f>
        <v>1588267819</v>
      </c>
      <c r="E26268" s="1" t="s">
        <v>27729</v>
      </c>
      <c r="F26268" s="2"/>
      <c r="G26268" s="2"/>
      <c r="H26268" s="2"/>
    </row>
    <row r="26269" spans="1:8" x14ac:dyDescent="0.25">
      <c r="A26269" s="1"/>
      <c r="B26269" s="1" t="s">
        <v>7328</v>
      </c>
      <c r="C26269" s="1" t="s">
        <v>7329</v>
      </c>
      <c r="D26269" s="22" t="str">
        <f>HYPERLINK("https://rhld.insurance.arkansas.gov/NPILookup?Npi=1588277289","1588277289")</f>
        <v>1588277289</v>
      </c>
      <c r="E26269" s="1" t="s">
        <v>2388</v>
      </c>
      <c r="F26269" s="2"/>
      <c r="G26269" s="2"/>
      <c r="H26269" s="2"/>
    </row>
    <row r="26270" spans="1:8" x14ac:dyDescent="0.25">
      <c r="A26270" s="1"/>
      <c r="B26270" s="1" t="s">
        <v>7328</v>
      </c>
      <c r="C26270" s="1" t="s">
        <v>7329</v>
      </c>
      <c r="D26270" s="22" t="str">
        <f>HYPERLINK("https://rhld.insurance.arkansas.gov/NPILookup?Npi=1588279475","1588279475")</f>
        <v>1588279475</v>
      </c>
      <c r="E26270" s="1" t="s">
        <v>2916</v>
      </c>
      <c r="F26270" s="2"/>
      <c r="G26270" s="2"/>
      <c r="H26270" s="2"/>
    </row>
    <row r="26271" spans="1:8" x14ac:dyDescent="0.25">
      <c r="A26271" s="1"/>
      <c r="B26271" s="1" t="s">
        <v>7328</v>
      </c>
      <c r="C26271" s="1" t="s">
        <v>7329</v>
      </c>
      <c r="D26271" s="22" t="str">
        <f>HYPERLINK("https://rhld.insurance.arkansas.gov/NPILookup?Npi=1588293062","1588293062")</f>
        <v>1588293062</v>
      </c>
      <c r="E26271" s="1" t="s">
        <v>7913</v>
      </c>
      <c r="F26271" s="2"/>
      <c r="G26271" s="2"/>
      <c r="H26271" s="2"/>
    </row>
    <row r="26272" spans="1:8" x14ac:dyDescent="0.25">
      <c r="A26272" s="1"/>
      <c r="B26272" s="1" t="s">
        <v>7328</v>
      </c>
      <c r="C26272" s="1" t="s">
        <v>7329</v>
      </c>
      <c r="D26272" s="22" t="str">
        <f>HYPERLINK("https://rhld.insurance.arkansas.gov/NPILookup?Npi=1588293344","1588293344")</f>
        <v>1588293344</v>
      </c>
      <c r="E26272" s="1" t="s">
        <v>32296</v>
      </c>
      <c r="F26272" s="2"/>
      <c r="G26272" s="2"/>
      <c r="H26272" s="2"/>
    </row>
    <row r="26273" spans="1:8" x14ac:dyDescent="0.25">
      <c r="A26273" s="1"/>
      <c r="B26273" s="1" t="s">
        <v>7328</v>
      </c>
      <c r="C26273" s="1" t="s">
        <v>7329</v>
      </c>
      <c r="D26273" s="22" t="str">
        <f>HYPERLINK("https://rhld.insurance.arkansas.gov/NPILookup?Npi=1588296586","1588296586")</f>
        <v>1588296586</v>
      </c>
      <c r="E26273" s="1" t="s">
        <v>27730</v>
      </c>
      <c r="F26273" s="2"/>
      <c r="G26273" s="2"/>
      <c r="H26273" s="2"/>
    </row>
    <row r="26274" spans="1:8" x14ac:dyDescent="0.25">
      <c r="A26274" s="1"/>
      <c r="B26274" s="1" t="s">
        <v>7328</v>
      </c>
      <c r="C26274" s="1" t="s">
        <v>7329</v>
      </c>
      <c r="D26274" s="22" t="str">
        <f>HYPERLINK("https://rhld.insurance.arkansas.gov/NPILookup?Npi=1588297972","1588297972")</f>
        <v>1588297972</v>
      </c>
      <c r="E26274" s="1" t="s">
        <v>7914</v>
      </c>
      <c r="F26274" s="2"/>
      <c r="G26274" s="2"/>
      <c r="H26274" s="2"/>
    </row>
    <row r="26275" spans="1:8" x14ac:dyDescent="0.25">
      <c r="A26275" s="1"/>
      <c r="B26275" s="1" t="s">
        <v>7328</v>
      </c>
      <c r="C26275" s="1" t="s">
        <v>7329</v>
      </c>
      <c r="D26275" s="22" t="str">
        <f>HYPERLINK("https://rhld.insurance.arkansas.gov/NPILookup?Npi=1588300958","1588300958")</f>
        <v>1588300958</v>
      </c>
      <c r="E26275" s="1" t="s">
        <v>32297</v>
      </c>
      <c r="F26275" s="2"/>
      <c r="G26275" s="2"/>
      <c r="H26275" s="2"/>
    </row>
    <row r="26276" spans="1:8" x14ac:dyDescent="0.25">
      <c r="A26276" s="1"/>
      <c r="B26276" s="1" t="s">
        <v>7328</v>
      </c>
      <c r="C26276" s="1" t="s">
        <v>7329</v>
      </c>
      <c r="D26276" s="22" t="str">
        <f>HYPERLINK("https://rhld.insurance.arkansas.gov/NPILookup?Npi=1588313035","1588313035")</f>
        <v>1588313035</v>
      </c>
      <c r="E26276" s="1" t="s">
        <v>13320</v>
      </c>
      <c r="F26276" s="2"/>
      <c r="G26276" s="2"/>
      <c r="H26276" s="2"/>
    </row>
    <row r="26277" spans="1:8" x14ac:dyDescent="0.25">
      <c r="A26277" s="1"/>
      <c r="B26277" s="1" t="s">
        <v>7328</v>
      </c>
      <c r="C26277" s="1" t="s">
        <v>7329</v>
      </c>
      <c r="D26277" s="22" t="str">
        <f>HYPERLINK("https://rhld.insurance.arkansas.gov/NPILookup?Npi=1588327407","1588327407")</f>
        <v>1588327407</v>
      </c>
      <c r="E26277" s="1" t="s">
        <v>1208</v>
      </c>
      <c r="F26277" s="2"/>
      <c r="G26277" s="2"/>
      <c r="H26277" s="2"/>
    </row>
    <row r="26278" spans="1:8" x14ac:dyDescent="0.25">
      <c r="A26278" s="1"/>
      <c r="B26278" s="1" t="s">
        <v>7328</v>
      </c>
      <c r="C26278" s="1" t="s">
        <v>7329</v>
      </c>
      <c r="D26278" s="22" t="str">
        <f>HYPERLINK("https://rhld.insurance.arkansas.gov/NPILookup?Npi=1588343529","1588343529")</f>
        <v>1588343529</v>
      </c>
      <c r="E26278" s="1" t="s">
        <v>5891</v>
      </c>
      <c r="F26278" s="2"/>
      <c r="G26278" s="2"/>
      <c r="H26278" s="2"/>
    </row>
    <row r="26279" spans="1:8" x14ac:dyDescent="0.25">
      <c r="A26279" s="1"/>
      <c r="B26279" s="1" t="s">
        <v>7328</v>
      </c>
      <c r="C26279" s="1" t="s">
        <v>7329</v>
      </c>
      <c r="D26279" s="22" t="str">
        <f>HYPERLINK("https://rhld.insurance.arkansas.gov/NPILookup?Npi=1588357537","1588357537")</f>
        <v>1588357537</v>
      </c>
      <c r="E26279" s="1" t="s">
        <v>7915</v>
      </c>
      <c r="F26279" s="2"/>
      <c r="G26279" s="2"/>
      <c r="H26279" s="2"/>
    </row>
    <row r="26280" spans="1:8" x14ac:dyDescent="0.25">
      <c r="A26280" s="1"/>
      <c r="B26280" s="1" t="s">
        <v>7328</v>
      </c>
      <c r="C26280" s="1" t="s">
        <v>7329</v>
      </c>
      <c r="D26280" s="22" t="str">
        <f>HYPERLINK("https://rhld.insurance.arkansas.gov/NPILookup?Npi=1588370647","1588370647")</f>
        <v>1588370647</v>
      </c>
      <c r="E26280" s="1" t="s">
        <v>7916</v>
      </c>
      <c r="F26280" s="2"/>
      <c r="G26280" s="2"/>
      <c r="H26280" s="2"/>
    </row>
    <row r="26281" spans="1:8" x14ac:dyDescent="0.25">
      <c r="A26281" s="1"/>
      <c r="B26281" s="1" t="s">
        <v>7328</v>
      </c>
      <c r="C26281" s="1" t="s">
        <v>7329</v>
      </c>
      <c r="D26281" s="22" t="str">
        <f>HYPERLINK("https://rhld.insurance.arkansas.gov/NPILookup?Npi=1588389662","1588389662")</f>
        <v>1588389662</v>
      </c>
      <c r="E26281" s="1" t="s">
        <v>27731</v>
      </c>
      <c r="F26281" s="2"/>
      <c r="G26281" s="2"/>
      <c r="H26281" s="2"/>
    </row>
    <row r="26282" spans="1:8" x14ac:dyDescent="0.25">
      <c r="A26282" s="1"/>
      <c r="B26282" s="1" t="s">
        <v>7328</v>
      </c>
      <c r="C26282" s="1" t="s">
        <v>7329</v>
      </c>
      <c r="D26282" s="22" t="str">
        <f>HYPERLINK("https://rhld.insurance.arkansas.gov/NPILookup?Npi=1588391858","1588391858")</f>
        <v>1588391858</v>
      </c>
      <c r="E26282" s="1" t="s">
        <v>2389</v>
      </c>
      <c r="F26282" s="2"/>
      <c r="G26282" s="2"/>
      <c r="H26282" s="2"/>
    </row>
    <row r="26283" spans="1:8" x14ac:dyDescent="0.25">
      <c r="A26283" s="1"/>
      <c r="B26283" s="1" t="s">
        <v>7328</v>
      </c>
      <c r="C26283" s="1" t="s">
        <v>7329</v>
      </c>
      <c r="D26283" s="22" t="str">
        <f>HYPERLINK("https://rhld.insurance.arkansas.gov/NPILookup?Npi=1588395396","1588395396")</f>
        <v>1588395396</v>
      </c>
      <c r="E26283" s="1" t="s">
        <v>27732</v>
      </c>
      <c r="F26283" s="2"/>
      <c r="G26283" s="2"/>
      <c r="H26283" s="2"/>
    </row>
    <row r="26284" spans="1:8" x14ac:dyDescent="0.25">
      <c r="A26284" s="1"/>
      <c r="B26284" s="1" t="s">
        <v>7328</v>
      </c>
      <c r="C26284" s="1" t="s">
        <v>7329</v>
      </c>
      <c r="D26284" s="22" t="str">
        <f>HYPERLINK("https://rhld.insurance.arkansas.gov/NPILookup?Npi=1588396600","1588396600")</f>
        <v>1588396600</v>
      </c>
      <c r="E26284" s="1" t="s">
        <v>7917</v>
      </c>
      <c r="F26284" s="2"/>
      <c r="G26284" s="2"/>
      <c r="H26284" s="2"/>
    </row>
    <row r="26285" spans="1:8" x14ac:dyDescent="0.25">
      <c r="A26285" s="1"/>
      <c r="B26285" s="1" t="s">
        <v>7328</v>
      </c>
      <c r="C26285" s="1" t="s">
        <v>7329</v>
      </c>
      <c r="D26285" s="22" t="str">
        <f>HYPERLINK("https://rhld.insurance.arkansas.gov/NPILookup?Npi=1588396857","1588396857")</f>
        <v>1588396857</v>
      </c>
      <c r="E26285" s="1" t="s">
        <v>27733</v>
      </c>
      <c r="F26285" s="2"/>
      <c r="G26285" s="2"/>
      <c r="H26285" s="2"/>
    </row>
    <row r="26286" spans="1:8" x14ac:dyDescent="0.25">
      <c r="A26286" s="1"/>
      <c r="B26286" s="1" t="s">
        <v>7328</v>
      </c>
      <c r="C26286" s="1" t="s">
        <v>7329</v>
      </c>
      <c r="D26286" s="22" t="str">
        <f>HYPERLINK("https://rhld.insurance.arkansas.gov/NPILookup?Npi=1588407761","1588407761")</f>
        <v>1588407761</v>
      </c>
      <c r="E26286" s="1" t="s">
        <v>27734</v>
      </c>
      <c r="F26286" s="2"/>
      <c r="G26286" s="2"/>
      <c r="H26286" s="2"/>
    </row>
    <row r="26287" spans="1:8" x14ac:dyDescent="0.25">
      <c r="A26287" s="1"/>
      <c r="B26287" s="1" t="s">
        <v>7328</v>
      </c>
      <c r="C26287" s="1" t="s">
        <v>7329</v>
      </c>
      <c r="D26287" s="22" t="str">
        <f>HYPERLINK("https://rhld.insurance.arkansas.gov/NPILookup?Npi=1588434070","1588434070")</f>
        <v>1588434070</v>
      </c>
      <c r="E26287" s="1" t="s">
        <v>32298</v>
      </c>
      <c r="F26287" s="2"/>
      <c r="G26287" s="2"/>
      <c r="H26287" s="2"/>
    </row>
    <row r="26288" spans="1:8" x14ac:dyDescent="0.25">
      <c r="A26288" s="1"/>
      <c r="B26288" s="1" t="s">
        <v>7328</v>
      </c>
      <c r="C26288" s="1" t="s">
        <v>7329</v>
      </c>
      <c r="D26288" s="22" t="str">
        <f>HYPERLINK("https://rhld.insurance.arkansas.gov/NPILookup?Npi=1588613327","1588613327")</f>
        <v>1588613327</v>
      </c>
      <c r="E26288" s="1" t="s">
        <v>206</v>
      </c>
      <c r="F26288" s="2"/>
      <c r="G26288" s="2"/>
      <c r="H26288" s="2"/>
    </row>
    <row r="26289" spans="1:8" x14ac:dyDescent="0.25">
      <c r="A26289" s="1"/>
      <c r="B26289" s="1" t="s">
        <v>7328</v>
      </c>
      <c r="C26289" s="1" t="s">
        <v>7329</v>
      </c>
      <c r="D26289" s="22" t="str">
        <f>HYPERLINK("https://rhld.insurance.arkansas.gov/NPILookup?Npi=1588618599","1588618599")</f>
        <v>1588618599</v>
      </c>
      <c r="E26289" s="1" t="s">
        <v>27735</v>
      </c>
      <c r="F26289" s="2"/>
      <c r="G26289" s="2"/>
      <c r="H26289" s="2"/>
    </row>
    <row r="26290" spans="1:8" x14ac:dyDescent="0.25">
      <c r="A26290" s="1"/>
      <c r="B26290" s="1" t="s">
        <v>7328</v>
      </c>
      <c r="C26290" s="1" t="s">
        <v>7329</v>
      </c>
      <c r="D26290" s="22" t="str">
        <f>HYPERLINK("https://rhld.insurance.arkansas.gov/NPILookup?Npi=1588621742","1588621742")</f>
        <v>1588621742</v>
      </c>
      <c r="E26290" s="1" t="s">
        <v>27736</v>
      </c>
      <c r="F26290" s="2"/>
      <c r="G26290" s="2"/>
      <c r="H26290" s="2"/>
    </row>
    <row r="26291" spans="1:8" x14ac:dyDescent="0.25">
      <c r="A26291" s="1"/>
      <c r="B26291" s="1" t="s">
        <v>7328</v>
      </c>
      <c r="C26291" s="1" t="s">
        <v>7329</v>
      </c>
      <c r="D26291" s="22" t="str">
        <f>HYPERLINK("https://rhld.insurance.arkansas.gov/NPILookup?Npi=1588622039","1588622039")</f>
        <v>1588622039</v>
      </c>
      <c r="E26291" s="1" t="s">
        <v>27737</v>
      </c>
      <c r="F26291" s="2"/>
      <c r="G26291" s="2"/>
      <c r="H26291" s="2"/>
    </row>
    <row r="26292" spans="1:8" x14ac:dyDescent="0.25">
      <c r="A26292" s="1"/>
      <c r="B26292" s="1" t="s">
        <v>7328</v>
      </c>
      <c r="C26292" s="1" t="s">
        <v>7329</v>
      </c>
      <c r="D26292" s="22" t="str">
        <f>HYPERLINK("https://rhld.insurance.arkansas.gov/NPILookup?Npi=1588635320","1588635320")</f>
        <v>1588635320</v>
      </c>
      <c r="E26292" s="1" t="s">
        <v>115</v>
      </c>
      <c r="F26292" s="2"/>
      <c r="G26292" s="2"/>
      <c r="H26292" s="2"/>
    </row>
    <row r="26293" spans="1:8" x14ac:dyDescent="0.25">
      <c r="A26293" s="1"/>
      <c r="B26293" s="1" t="s">
        <v>7328</v>
      </c>
      <c r="C26293" s="1" t="s">
        <v>7329</v>
      </c>
      <c r="D26293" s="22" t="str">
        <f>HYPERLINK("https://rhld.insurance.arkansas.gov/NPILookup?Npi=1588637698","1588637698")</f>
        <v>1588637698</v>
      </c>
      <c r="E26293" s="1" t="s">
        <v>27738</v>
      </c>
      <c r="F26293" s="2"/>
      <c r="G26293" s="2"/>
      <c r="H26293" s="2"/>
    </row>
    <row r="26294" spans="1:8" x14ac:dyDescent="0.25">
      <c r="A26294" s="1"/>
      <c r="B26294" s="1" t="s">
        <v>7328</v>
      </c>
      <c r="C26294" s="1" t="s">
        <v>7329</v>
      </c>
      <c r="D26294" s="22" t="str">
        <f>HYPERLINK("https://rhld.insurance.arkansas.gov/NPILookup?Npi=1588648885","1588648885")</f>
        <v>1588648885</v>
      </c>
      <c r="E26294" s="1" t="s">
        <v>27739</v>
      </c>
      <c r="F26294" s="2"/>
      <c r="G26294" s="2"/>
      <c r="H26294" s="2"/>
    </row>
    <row r="26295" spans="1:8" x14ac:dyDescent="0.25">
      <c r="A26295" s="1"/>
      <c r="B26295" s="1" t="s">
        <v>7328</v>
      </c>
      <c r="C26295" s="1" t="s">
        <v>7329</v>
      </c>
      <c r="D26295" s="22" t="str">
        <f>HYPERLINK("https://rhld.insurance.arkansas.gov/NPILookup?Npi=1588656730","1588656730")</f>
        <v>1588656730</v>
      </c>
      <c r="E26295" s="1" t="s">
        <v>17685</v>
      </c>
      <c r="F26295" s="2"/>
      <c r="G26295" s="2"/>
      <c r="H26295" s="2"/>
    </row>
    <row r="26296" spans="1:8" x14ac:dyDescent="0.25">
      <c r="A26296" s="1"/>
      <c r="B26296" s="1" t="s">
        <v>7328</v>
      </c>
      <c r="C26296" s="1" t="s">
        <v>7329</v>
      </c>
      <c r="D26296" s="22" t="str">
        <f>HYPERLINK("https://rhld.insurance.arkansas.gov/NPILookup?Npi=1588668453","1588668453")</f>
        <v>1588668453</v>
      </c>
      <c r="E26296" s="1" t="s">
        <v>768</v>
      </c>
      <c r="F26296" s="2"/>
      <c r="G26296" s="2"/>
      <c r="H26296" s="2"/>
    </row>
    <row r="26297" spans="1:8" x14ac:dyDescent="0.25">
      <c r="A26297" s="1"/>
      <c r="B26297" s="1" t="s">
        <v>7328</v>
      </c>
      <c r="C26297" s="1" t="s">
        <v>7329</v>
      </c>
      <c r="D26297" s="22" t="str">
        <f>HYPERLINK("https://rhld.insurance.arkansas.gov/NPILookup?Npi=1588668461","1588668461")</f>
        <v>1588668461</v>
      </c>
      <c r="E26297" s="1" t="s">
        <v>27740</v>
      </c>
      <c r="F26297" s="2"/>
      <c r="G26297" s="2"/>
      <c r="H26297" s="2"/>
    </row>
    <row r="26298" spans="1:8" x14ac:dyDescent="0.25">
      <c r="A26298" s="1"/>
      <c r="B26298" s="1" t="s">
        <v>7328</v>
      </c>
      <c r="C26298" s="1" t="s">
        <v>7329</v>
      </c>
      <c r="D26298" s="22" t="str">
        <f>HYPERLINK("https://rhld.insurance.arkansas.gov/NPILookup?Npi=1588671747","1588671747")</f>
        <v>1588671747</v>
      </c>
      <c r="E26298" s="1" t="s">
        <v>1033</v>
      </c>
      <c r="F26298" s="2"/>
      <c r="G26298" s="2"/>
      <c r="H26298" s="2"/>
    </row>
    <row r="26299" spans="1:8" x14ac:dyDescent="0.25">
      <c r="A26299" s="1"/>
      <c r="B26299" s="1" t="s">
        <v>7328</v>
      </c>
      <c r="C26299" s="1" t="s">
        <v>7329</v>
      </c>
      <c r="D26299" s="22" t="str">
        <f>HYPERLINK("https://rhld.insurance.arkansas.gov/NPILookup?Npi=1588675037","1588675037")</f>
        <v>1588675037</v>
      </c>
      <c r="E26299" s="1" t="s">
        <v>27741</v>
      </c>
      <c r="F26299" s="2"/>
      <c r="G26299" s="2"/>
      <c r="H26299" s="2"/>
    </row>
    <row r="26300" spans="1:8" x14ac:dyDescent="0.25">
      <c r="A26300" s="1"/>
      <c r="B26300" s="1" t="s">
        <v>7328</v>
      </c>
      <c r="C26300" s="1" t="s">
        <v>7329</v>
      </c>
      <c r="D26300" s="22" t="str">
        <f>HYPERLINK("https://rhld.insurance.arkansas.gov/NPILookup?Npi=1588677991","1588677991")</f>
        <v>1588677991</v>
      </c>
      <c r="E26300" s="1" t="s">
        <v>13322</v>
      </c>
      <c r="F26300" s="2"/>
      <c r="G26300" s="2"/>
      <c r="H26300" s="2"/>
    </row>
    <row r="26301" spans="1:8" x14ac:dyDescent="0.25">
      <c r="A26301" s="1"/>
      <c r="B26301" s="1" t="s">
        <v>7328</v>
      </c>
      <c r="C26301" s="1" t="s">
        <v>7329</v>
      </c>
      <c r="D26301" s="22" t="str">
        <f>HYPERLINK("https://rhld.insurance.arkansas.gov/NPILookup?Npi=1588682785","1588682785")</f>
        <v>1588682785</v>
      </c>
      <c r="E26301" s="1" t="s">
        <v>10375</v>
      </c>
      <c r="F26301" s="2"/>
      <c r="G26301" s="2"/>
      <c r="H26301" s="2"/>
    </row>
    <row r="26302" spans="1:8" x14ac:dyDescent="0.25">
      <c r="A26302" s="1"/>
      <c r="B26302" s="1" t="s">
        <v>7328</v>
      </c>
      <c r="C26302" s="1" t="s">
        <v>7329</v>
      </c>
      <c r="D26302" s="22" t="str">
        <f>HYPERLINK("https://rhld.insurance.arkansas.gov/NPILookup?Npi=1588698906","1588698906")</f>
        <v>1588698906</v>
      </c>
      <c r="E26302" s="1" t="s">
        <v>13323</v>
      </c>
      <c r="F26302" s="2"/>
      <c r="G26302" s="2"/>
      <c r="H26302" s="2"/>
    </row>
    <row r="26303" spans="1:8" x14ac:dyDescent="0.25">
      <c r="A26303" s="1"/>
      <c r="B26303" s="1" t="s">
        <v>7328</v>
      </c>
      <c r="C26303" s="1" t="s">
        <v>7329</v>
      </c>
      <c r="D26303" s="22" t="str">
        <f>HYPERLINK("https://rhld.insurance.arkansas.gov/NPILookup?Npi=1588699904","1588699904")</f>
        <v>1588699904</v>
      </c>
      <c r="E26303" s="1" t="s">
        <v>17689</v>
      </c>
      <c r="F26303" s="2"/>
      <c r="G26303" s="2"/>
      <c r="H26303" s="2"/>
    </row>
    <row r="26304" spans="1:8" x14ac:dyDescent="0.25">
      <c r="A26304" s="1"/>
      <c r="B26304" s="1" t="s">
        <v>7328</v>
      </c>
      <c r="C26304" s="1" t="s">
        <v>7329</v>
      </c>
      <c r="D26304" s="22" t="str">
        <f>HYPERLINK("https://rhld.insurance.arkansas.gov/NPILookup?Npi=1588701288","1588701288")</f>
        <v>1588701288</v>
      </c>
      <c r="E26304" s="1" t="s">
        <v>338</v>
      </c>
      <c r="F26304" s="2"/>
      <c r="G26304" s="2"/>
      <c r="H26304" s="2"/>
    </row>
    <row r="26305" spans="1:8" x14ac:dyDescent="0.25">
      <c r="A26305" s="1"/>
      <c r="B26305" s="1" t="s">
        <v>7328</v>
      </c>
      <c r="C26305" s="1" t="s">
        <v>7329</v>
      </c>
      <c r="D26305" s="22" t="str">
        <f>HYPERLINK("https://rhld.insurance.arkansas.gov/NPILookup?Npi=1588733497","1588733497")</f>
        <v>1588733497</v>
      </c>
      <c r="E26305" s="1" t="s">
        <v>13324</v>
      </c>
      <c r="F26305" s="2"/>
      <c r="G26305" s="2"/>
      <c r="H26305" s="2"/>
    </row>
    <row r="26306" spans="1:8" x14ac:dyDescent="0.25">
      <c r="A26306" s="1"/>
      <c r="B26306" s="1" t="s">
        <v>7328</v>
      </c>
      <c r="C26306" s="1" t="s">
        <v>7329</v>
      </c>
      <c r="D26306" s="22" t="str">
        <f>HYPERLINK("https://rhld.insurance.arkansas.gov/NPILookup?Npi=1588743314","1588743314")</f>
        <v>1588743314</v>
      </c>
      <c r="E26306" s="1" t="s">
        <v>27742</v>
      </c>
      <c r="F26306" s="2"/>
      <c r="G26306" s="2"/>
      <c r="H26306" s="2"/>
    </row>
    <row r="26307" spans="1:8" x14ac:dyDescent="0.25">
      <c r="A26307" s="1"/>
      <c r="B26307" s="1" t="s">
        <v>7328</v>
      </c>
      <c r="C26307" s="1" t="s">
        <v>7329</v>
      </c>
      <c r="D26307" s="22" t="str">
        <f>HYPERLINK("https://rhld.insurance.arkansas.gov/NPILookup?Npi=1588759625","1588759625")</f>
        <v>1588759625</v>
      </c>
      <c r="E26307" s="1" t="s">
        <v>13325</v>
      </c>
      <c r="F26307" s="2"/>
      <c r="G26307" s="2"/>
      <c r="H26307" s="2"/>
    </row>
    <row r="26308" spans="1:8" x14ac:dyDescent="0.25">
      <c r="A26308" s="1"/>
      <c r="B26308" s="1" t="s">
        <v>7328</v>
      </c>
      <c r="C26308" s="1" t="s">
        <v>7329</v>
      </c>
      <c r="D26308" s="22" t="str">
        <f>HYPERLINK("https://rhld.insurance.arkansas.gov/NPILookup?Npi=1588783666","1588783666")</f>
        <v>1588783666</v>
      </c>
      <c r="E26308" s="1" t="s">
        <v>13326</v>
      </c>
      <c r="F26308" s="2"/>
      <c r="G26308" s="2"/>
      <c r="H26308" s="2"/>
    </row>
    <row r="26309" spans="1:8" x14ac:dyDescent="0.25">
      <c r="A26309" s="1"/>
      <c r="B26309" s="1" t="s">
        <v>7328</v>
      </c>
      <c r="C26309" s="1" t="s">
        <v>7329</v>
      </c>
      <c r="D26309" s="22" t="str">
        <f>HYPERLINK("https://rhld.insurance.arkansas.gov/NPILookup?Npi=1588785414","1588785414")</f>
        <v>1588785414</v>
      </c>
      <c r="E26309" s="1" t="s">
        <v>2917</v>
      </c>
      <c r="F26309" s="2"/>
      <c r="G26309" s="2"/>
      <c r="H26309" s="2"/>
    </row>
    <row r="26310" spans="1:8" x14ac:dyDescent="0.25">
      <c r="A26310" s="1"/>
      <c r="B26310" s="1" t="s">
        <v>7328</v>
      </c>
      <c r="C26310" s="1" t="s">
        <v>7329</v>
      </c>
      <c r="D26310" s="22" t="str">
        <f>HYPERLINK("https://rhld.insurance.arkansas.gov/NPILookup?Npi=1588806582","1588806582")</f>
        <v>1588806582</v>
      </c>
      <c r="E26310" s="1" t="s">
        <v>27743</v>
      </c>
      <c r="F26310" s="2"/>
      <c r="G26310" s="2"/>
      <c r="H26310" s="2"/>
    </row>
    <row r="26311" spans="1:8" x14ac:dyDescent="0.25">
      <c r="A26311" s="1"/>
      <c r="B26311" s="1" t="s">
        <v>7328</v>
      </c>
      <c r="C26311" s="1" t="s">
        <v>7329</v>
      </c>
      <c r="D26311" s="22" t="str">
        <f>HYPERLINK("https://rhld.insurance.arkansas.gov/NPILookup?Npi=1588807655","1588807655")</f>
        <v>1588807655</v>
      </c>
      <c r="E26311" s="1" t="s">
        <v>27744</v>
      </c>
      <c r="F26311" s="2"/>
      <c r="G26311" s="2"/>
      <c r="H26311" s="2"/>
    </row>
    <row r="26312" spans="1:8" x14ac:dyDescent="0.25">
      <c r="A26312" s="1"/>
      <c r="B26312" s="1" t="s">
        <v>7328</v>
      </c>
      <c r="C26312" s="1" t="s">
        <v>7329</v>
      </c>
      <c r="D26312" s="22" t="str">
        <f>HYPERLINK("https://rhld.insurance.arkansas.gov/NPILookup?Npi=1588807994","1588807994")</f>
        <v>1588807994</v>
      </c>
      <c r="E26312" s="1" t="s">
        <v>19054</v>
      </c>
      <c r="F26312" s="2"/>
      <c r="G26312" s="2"/>
      <c r="H26312" s="2"/>
    </row>
    <row r="26313" spans="1:8" x14ac:dyDescent="0.25">
      <c r="A26313" s="1"/>
      <c r="B26313" s="1" t="s">
        <v>7328</v>
      </c>
      <c r="C26313" s="1" t="s">
        <v>7329</v>
      </c>
      <c r="D26313" s="22" t="str">
        <f>HYPERLINK("https://rhld.insurance.arkansas.gov/NPILookup?Npi=1588826903","1588826903")</f>
        <v>1588826903</v>
      </c>
      <c r="E26313" s="1" t="s">
        <v>2918</v>
      </c>
      <c r="F26313" s="2"/>
      <c r="G26313" s="2"/>
      <c r="H26313" s="2"/>
    </row>
    <row r="26314" spans="1:8" x14ac:dyDescent="0.25">
      <c r="A26314" s="1"/>
      <c r="B26314" s="1" t="s">
        <v>7328</v>
      </c>
      <c r="C26314" s="1" t="s">
        <v>7329</v>
      </c>
      <c r="D26314" s="22" t="str">
        <f>HYPERLINK("https://rhld.insurance.arkansas.gov/NPILookup?Npi=1588853535","1588853535")</f>
        <v>1588853535</v>
      </c>
      <c r="E26314" s="1" t="s">
        <v>27745</v>
      </c>
      <c r="F26314" s="2"/>
      <c r="G26314" s="2"/>
      <c r="H26314" s="2"/>
    </row>
    <row r="26315" spans="1:8" x14ac:dyDescent="0.25">
      <c r="A26315" s="1"/>
      <c r="B26315" s="1" t="s">
        <v>7328</v>
      </c>
      <c r="C26315" s="1" t="s">
        <v>7329</v>
      </c>
      <c r="D26315" s="22" t="str">
        <f>HYPERLINK("https://rhld.insurance.arkansas.gov/NPILookup?Npi=1588866297","1588866297")</f>
        <v>1588866297</v>
      </c>
      <c r="E26315" s="1" t="s">
        <v>27746</v>
      </c>
      <c r="F26315" s="2"/>
      <c r="G26315" s="2"/>
      <c r="H26315" s="2"/>
    </row>
    <row r="26316" spans="1:8" x14ac:dyDescent="0.25">
      <c r="A26316" s="1"/>
      <c r="B26316" s="1" t="s">
        <v>7328</v>
      </c>
      <c r="C26316" s="1" t="s">
        <v>7329</v>
      </c>
      <c r="D26316" s="22" t="str">
        <f>HYPERLINK("https://rhld.insurance.arkansas.gov/NPILookup?Npi=1588903603","1588903603")</f>
        <v>1588903603</v>
      </c>
      <c r="E26316" s="1" t="s">
        <v>13327</v>
      </c>
      <c r="F26316" s="2"/>
      <c r="G26316" s="2"/>
      <c r="H26316" s="2"/>
    </row>
    <row r="26317" spans="1:8" x14ac:dyDescent="0.25">
      <c r="A26317" s="1"/>
      <c r="B26317" s="1" t="s">
        <v>7328</v>
      </c>
      <c r="C26317" s="1" t="s">
        <v>7329</v>
      </c>
      <c r="D26317" s="22" t="str">
        <f>HYPERLINK("https://rhld.insurance.arkansas.gov/NPILookup?Npi=1588909162","1588909162")</f>
        <v>1588909162</v>
      </c>
      <c r="E26317" s="1" t="s">
        <v>27747</v>
      </c>
      <c r="F26317" s="2"/>
      <c r="G26317" s="2"/>
      <c r="H26317" s="2"/>
    </row>
    <row r="26318" spans="1:8" x14ac:dyDescent="0.25">
      <c r="A26318" s="1"/>
      <c r="B26318" s="1" t="s">
        <v>7328</v>
      </c>
      <c r="C26318" s="1" t="s">
        <v>7329</v>
      </c>
      <c r="D26318" s="22" t="str">
        <f>HYPERLINK("https://rhld.insurance.arkansas.gov/NPILookup?Npi=1588911036","1588911036")</f>
        <v>1588911036</v>
      </c>
      <c r="E26318" s="1" t="s">
        <v>7918</v>
      </c>
      <c r="F26318" s="2"/>
      <c r="G26318" s="2"/>
      <c r="H26318" s="2"/>
    </row>
    <row r="26319" spans="1:8" x14ac:dyDescent="0.25">
      <c r="A26319" s="1"/>
      <c r="B26319" s="1" t="s">
        <v>7328</v>
      </c>
      <c r="C26319" s="1" t="s">
        <v>7329</v>
      </c>
      <c r="D26319" s="22" t="str">
        <f>HYPERLINK("https://rhld.insurance.arkansas.gov/NPILookup?Npi=1588928436","1588928436")</f>
        <v>1588928436</v>
      </c>
      <c r="E26319" s="1" t="s">
        <v>17693</v>
      </c>
      <c r="F26319" s="2"/>
      <c r="G26319" s="2"/>
      <c r="H26319" s="2"/>
    </row>
    <row r="26320" spans="1:8" x14ac:dyDescent="0.25">
      <c r="A26320" s="1"/>
      <c r="B26320" s="1" t="s">
        <v>7328</v>
      </c>
      <c r="C26320" s="1" t="s">
        <v>7329</v>
      </c>
      <c r="D26320" s="22" t="str">
        <f>HYPERLINK("https://rhld.insurance.arkansas.gov/NPILookup?Npi=1588968606","1588968606")</f>
        <v>1588968606</v>
      </c>
      <c r="E26320" s="1" t="s">
        <v>731</v>
      </c>
      <c r="F26320" s="2"/>
      <c r="G26320" s="2"/>
      <c r="H26320" s="2"/>
    </row>
    <row r="26321" spans="1:8" x14ac:dyDescent="0.25">
      <c r="A26321" s="1"/>
      <c r="B26321" s="1" t="s">
        <v>7328</v>
      </c>
      <c r="C26321" s="1" t="s">
        <v>7329</v>
      </c>
      <c r="D26321" s="22" t="str">
        <f>HYPERLINK("https://rhld.insurance.arkansas.gov/NPILookup?Npi=1588993810","1588993810")</f>
        <v>1588993810</v>
      </c>
      <c r="E26321" s="1" t="s">
        <v>27748</v>
      </c>
      <c r="F26321" s="2"/>
      <c r="G26321" s="2"/>
      <c r="H26321" s="2"/>
    </row>
    <row r="26322" spans="1:8" x14ac:dyDescent="0.25">
      <c r="A26322" s="1"/>
      <c r="B26322" s="1" t="s">
        <v>7328</v>
      </c>
      <c r="C26322" s="1" t="s">
        <v>7329</v>
      </c>
      <c r="D26322" s="22" t="str">
        <f>HYPERLINK("https://rhld.insurance.arkansas.gov/NPILookup?Npi=1598007106","1598007106")</f>
        <v>1598007106</v>
      </c>
      <c r="E26322" s="1" t="s">
        <v>27749</v>
      </c>
      <c r="F26322" s="2"/>
      <c r="G26322" s="2"/>
      <c r="H26322" s="2"/>
    </row>
    <row r="26323" spans="1:8" x14ac:dyDescent="0.25">
      <c r="A26323" s="1"/>
      <c r="B26323" s="1" t="s">
        <v>7328</v>
      </c>
      <c r="C26323" s="1" t="s">
        <v>7329</v>
      </c>
      <c r="D26323" s="22" t="str">
        <f>HYPERLINK("https://rhld.insurance.arkansas.gov/NPILookup?Npi=1598013815","1598013815")</f>
        <v>1598013815</v>
      </c>
      <c r="E26323" s="1" t="s">
        <v>27750</v>
      </c>
      <c r="F26323" s="2"/>
      <c r="G26323" s="2"/>
      <c r="H26323" s="2"/>
    </row>
    <row r="26324" spans="1:8" x14ac:dyDescent="0.25">
      <c r="A26324" s="1"/>
      <c r="B26324" s="1" t="s">
        <v>7328</v>
      </c>
      <c r="C26324" s="1" t="s">
        <v>7329</v>
      </c>
      <c r="D26324" s="22" t="str">
        <f>HYPERLINK("https://rhld.insurance.arkansas.gov/NPILookup?Npi=1598021453","1598021453")</f>
        <v>1598021453</v>
      </c>
      <c r="E26324" s="1" t="s">
        <v>27751</v>
      </c>
      <c r="F26324" s="2"/>
      <c r="G26324" s="2"/>
      <c r="H26324" s="2"/>
    </row>
    <row r="26325" spans="1:8" x14ac:dyDescent="0.25">
      <c r="A26325" s="1"/>
      <c r="B26325" s="1" t="s">
        <v>7328</v>
      </c>
      <c r="C26325" s="1" t="s">
        <v>7329</v>
      </c>
      <c r="D26325" s="22" t="str">
        <f>HYPERLINK("https://rhld.insurance.arkansas.gov/NPILookup?Npi=1598022535","1598022535")</f>
        <v>1598022535</v>
      </c>
      <c r="E26325" s="1" t="s">
        <v>27752</v>
      </c>
      <c r="F26325" s="2"/>
      <c r="G26325" s="2"/>
      <c r="H26325" s="2"/>
    </row>
    <row r="26326" spans="1:8" x14ac:dyDescent="0.25">
      <c r="A26326" s="1"/>
      <c r="B26326" s="1" t="s">
        <v>7328</v>
      </c>
      <c r="C26326" s="1" t="s">
        <v>7329</v>
      </c>
      <c r="D26326" s="22" t="str">
        <f>HYPERLINK("https://rhld.insurance.arkansas.gov/NPILookup?Npi=1598030603","1598030603")</f>
        <v>1598030603</v>
      </c>
      <c r="E26326" s="1" t="s">
        <v>27753</v>
      </c>
      <c r="F26326" s="2"/>
      <c r="G26326" s="2"/>
      <c r="H26326" s="2"/>
    </row>
    <row r="26327" spans="1:8" x14ac:dyDescent="0.25">
      <c r="A26327" s="1"/>
      <c r="B26327" s="1" t="s">
        <v>7328</v>
      </c>
      <c r="C26327" s="1" t="s">
        <v>7329</v>
      </c>
      <c r="D26327" s="22" t="str">
        <f>HYPERLINK("https://rhld.insurance.arkansas.gov/NPILookup?Npi=1598037814","1598037814")</f>
        <v>1598037814</v>
      </c>
      <c r="E26327" s="1" t="s">
        <v>27754</v>
      </c>
      <c r="F26327" s="2"/>
      <c r="G26327" s="2"/>
      <c r="H26327" s="2"/>
    </row>
    <row r="26328" spans="1:8" x14ac:dyDescent="0.25">
      <c r="A26328" s="1"/>
      <c r="B26328" s="1" t="s">
        <v>7328</v>
      </c>
      <c r="C26328" s="1" t="s">
        <v>7329</v>
      </c>
      <c r="D26328" s="22" t="str">
        <f>HYPERLINK("https://rhld.insurance.arkansas.gov/NPILookup?Npi=1598052250","1598052250")</f>
        <v>1598052250</v>
      </c>
      <c r="E26328" s="1" t="s">
        <v>27755</v>
      </c>
      <c r="F26328" s="2"/>
      <c r="G26328" s="2"/>
      <c r="H26328" s="2"/>
    </row>
    <row r="26329" spans="1:8" x14ac:dyDescent="0.25">
      <c r="A26329" s="1"/>
      <c r="B26329" s="1" t="s">
        <v>7328</v>
      </c>
      <c r="C26329" s="1" t="s">
        <v>7329</v>
      </c>
      <c r="D26329" s="22" t="str">
        <f>HYPERLINK("https://rhld.insurance.arkansas.gov/NPILookup?Npi=1598058356","1598058356")</f>
        <v>1598058356</v>
      </c>
      <c r="E26329" s="1" t="s">
        <v>22688</v>
      </c>
      <c r="F26329" s="2"/>
      <c r="G26329" s="2"/>
      <c r="H26329" s="2"/>
    </row>
    <row r="26330" spans="1:8" x14ac:dyDescent="0.25">
      <c r="A26330" s="1"/>
      <c r="B26330" s="1" t="s">
        <v>7328</v>
      </c>
      <c r="C26330" s="1" t="s">
        <v>7329</v>
      </c>
      <c r="D26330" s="22" t="str">
        <f>HYPERLINK("https://rhld.insurance.arkansas.gov/NPILookup?Npi=1598077679","1598077679")</f>
        <v>1598077679</v>
      </c>
      <c r="E26330" s="1" t="s">
        <v>27756</v>
      </c>
      <c r="F26330" s="2"/>
      <c r="G26330" s="2"/>
      <c r="H26330" s="2"/>
    </row>
    <row r="26331" spans="1:8" x14ac:dyDescent="0.25">
      <c r="A26331" s="1"/>
      <c r="B26331" s="1" t="s">
        <v>7328</v>
      </c>
      <c r="C26331" s="1" t="s">
        <v>7329</v>
      </c>
      <c r="D26331" s="22" t="str">
        <f>HYPERLINK("https://rhld.insurance.arkansas.gov/NPILookup?Npi=1598086050","1598086050")</f>
        <v>1598086050</v>
      </c>
      <c r="E26331" s="1" t="s">
        <v>19209</v>
      </c>
      <c r="F26331" s="2"/>
      <c r="G26331" s="2"/>
      <c r="H26331" s="2"/>
    </row>
    <row r="26332" spans="1:8" x14ac:dyDescent="0.25">
      <c r="A26332" s="1"/>
      <c r="B26332" s="1" t="s">
        <v>7328</v>
      </c>
      <c r="C26332" s="1" t="s">
        <v>7329</v>
      </c>
      <c r="D26332" s="22" t="str">
        <f>HYPERLINK("https://rhld.insurance.arkansas.gov/NPILookup?Npi=1598105033","1598105033")</f>
        <v>1598105033</v>
      </c>
      <c r="E26332" s="1" t="s">
        <v>32299</v>
      </c>
      <c r="F26332" s="2"/>
      <c r="G26332" s="2"/>
      <c r="H26332" s="2"/>
    </row>
    <row r="26333" spans="1:8" x14ac:dyDescent="0.25">
      <c r="A26333" s="1"/>
      <c r="B26333" s="1" t="s">
        <v>7328</v>
      </c>
      <c r="C26333" s="1" t="s">
        <v>7329</v>
      </c>
      <c r="D26333" s="22" t="str">
        <f>HYPERLINK("https://rhld.insurance.arkansas.gov/NPILookup?Npi=1598114332","1598114332")</f>
        <v>1598114332</v>
      </c>
      <c r="E26333" s="1" t="s">
        <v>27757</v>
      </c>
      <c r="F26333" s="2"/>
      <c r="G26333" s="2"/>
      <c r="H26333" s="2"/>
    </row>
    <row r="26334" spans="1:8" x14ac:dyDescent="0.25">
      <c r="A26334" s="1"/>
      <c r="B26334" s="1" t="s">
        <v>7328</v>
      </c>
      <c r="C26334" s="1" t="s">
        <v>7329</v>
      </c>
      <c r="D26334" s="22" t="str">
        <f>HYPERLINK("https://rhld.insurance.arkansas.gov/NPILookup?Npi=1598126427","1598126427")</f>
        <v>1598126427</v>
      </c>
      <c r="E26334" s="1" t="s">
        <v>13328</v>
      </c>
      <c r="F26334" s="2"/>
      <c r="G26334" s="2"/>
      <c r="H26334" s="2"/>
    </row>
    <row r="26335" spans="1:8" x14ac:dyDescent="0.25">
      <c r="A26335" s="1"/>
      <c r="B26335" s="1" t="s">
        <v>7328</v>
      </c>
      <c r="C26335" s="1" t="s">
        <v>7329</v>
      </c>
      <c r="D26335" s="22" t="str">
        <f>HYPERLINK("https://rhld.insurance.arkansas.gov/NPILookup?Npi=1598128712","1598128712")</f>
        <v>1598128712</v>
      </c>
      <c r="E26335" s="1" t="s">
        <v>27758</v>
      </c>
      <c r="F26335" s="2"/>
      <c r="G26335" s="2"/>
      <c r="H26335" s="2"/>
    </row>
    <row r="26336" spans="1:8" x14ac:dyDescent="0.25">
      <c r="A26336" s="1"/>
      <c r="B26336" s="1" t="s">
        <v>7328</v>
      </c>
      <c r="C26336" s="1" t="s">
        <v>7329</v>
      </c>
      <c r="D26336" s="22" t="str">
        <f>HYPERLINK("https://rhld.insurance.arkansas.gov/NPILookup?Npi=1598131542","1598131542")</f>
        <v>1598131542</v>
      </c>
      <c r="E26336" s="1" t="s">
        <v>13329</v>
      </c>
      <c r="F26336" s="2"/>
      <c r="G26336" s="2"/>
      <c r="H26336" s="2"/>
    </row>
    <row r="26337" spans="1:8" x14ac:dyDescent="0.25">
      <c r="A26337" s="1"/>
      <c r="B26337" s="1" t="s">
        <v>7328</v>
      </c>
      <c r="C26337" s="1" t="s">
        <v>7329</v>
      </c>
      <c r="D26337" s="22" t="str">
        <f>HYPERLINK("https://rhld.insurance.arkansas.gov/NPILookup?Npi=1598137606","1598137606")</f>
        <v>1598137606</v>
      </c>
      <c r="E26337" s="1" t="s">
        <v>27759</v>
      </c>
      <c r="F26337" s="2"/>
      <c r="G26337" s="2"/>
      <c r="H26337" s="2"/>
    </row>
    <row r="26338" spans="1:8" x14ac:dyDescent="0.25">
      <c r="A26338" s="1"/>
      <c r="B26338" s="1" t="s">
        <v>7328</v>
      </c>
      <c r="C26338" s="1" t="s">
        <v>7329</v>
      </c>
      <c r="D26338" s="22" t="str">
        <f>HYPERLINK("https://rhld.insurance.arkansas.gov/NPILookup?Npi=1598145138","1598145138")</f>
        <v>1598145138</v>
      </c>
      <c r="E26338" s="1" t="s">
        <v>27760</v>
      </c>
      <c r="F26338" s="2"/>
      <c r="G26338" s="2"/>
      <c r="H26338" s="2"/>
    </row>
    <row r="26339" spans="1:8" x14ac:dyDescent="0.25">
      <c r="A26339" s="1"/>
      <c r="B26339" s="1" t="s">
        <v>7328</v>
      </c>
      <c r="C26339" s="1" t="s">
        <v>7329</v>
      </c>
      <c r="D26339" s="22" t="str">
        <f>HYPERLINK("https://rhld.insurance.arkansas.gov/NPILookup?Npi=1598147597","1598147597")</f>
        <v>1598147597</v>
      </c>
      <c r="E26339" s="1" t="s">
        <v>2919</v>
      </c>
      <c r="F26339" s="2"/>
      <c r="G26339" s="2"/>
      <c r="H26339" s="2"/>
    </row>
    <row r="26340" spans="1:8" x14ac:dyDescent="0.25">
      <c r="A26340" s="1"/>
      <c r="B26340" s="1" t="s">
        <v>7328</v>
      </c>
      <c r="C26340" s="1" t="s">
        <v>7329</v>
      </c>
      <c r="D26340" s="22" t="str">
        <f>HYPERLINK("https://rhld.insurance.arkansas.gov/NPILookup?Npi=1598153157","1598153157")</f>
        <v>1598153157</v>
      </c>
      <c r="E26340" s="1" t="s">
        <v>2920</v>
      </c>
      <c r="F26340" s="2"/>
      <c r="G26340" s="2"/>
      <c r="H26340" s="2"/>
    </row>
    <row r="26341" spans="1:8" x14ac:dyDescent="0.25">
      <c r="A26341" s="1"/>
      <c r="B26341" s="1" t="s">
        <v>7328</v>
      </c>
      <c r="C26341" s="1" t="s">
        <v>7329</v>
      </c>
      <c r="D26341" s="22" t="str">
        <f>HYPERLINK("https://rhld.insurance.arkansas.gov/NPILookup?Npi=1598167868","1598167868")</f>
        <v>1598167868</v>
      </c>
      <c r="E26341" s="1" t="s">
        <v>27761</v>
      </c>
      <c r="F26341" s="2"/>
      <c r="G26341" s="2"/>
      <c r="H26341" s="2"/>
    </row>
    <row r="26342" spans="1:8" x14ac:dyDescent="0.25">
      <c r="A26342" s="1"/>
      <c r="B26342" s="1" t="s">
        <v>7328</v>
      </c>
      <c r="C26342" s="1" t="s">
        <v>7329</v>
      </c>
      <c r="D26342" s="22" t="str">
        <f>HYPERLINK("https://rhld.insurance.arkansas.gov/NPILookup?Npi=1598168544","1598168544")</f>
        <v>1598168544</v>
      </c>
      <c r="E26342" s="1" t="s">
        <v>13330</v>
      </c>
      <c r="F26342" s="2"/>
      <c r="G26342" s="2"/>
      <c r="H26342" s="2"/>
    </row>
    <row r="26343" spans="1:8" x14ac:dyDescent="0.25">
      <c r="A26343" s="1"/>
      <c r="B26343" s="1" t="s">
        <v>7328</v>
      </c>
      <c r="C26343" s="1" t="s">
        <v>7329</v>
      </c>
      <c r="D26343" s="22" t="str">
        <f>HYPERLINK("https://rhld.insurance.arkansas.gov/NPILookup?Npi=1598184574","1598184574")</f>
        <v>1598184574</v>
      </c>
      <c r="E26343" s="1" t="s">
        <v>27762</v>
      </c>
      <c r="F26343" s="2"/>
      <c r="G26343" s="2"/>
      <c r="H26343" s="2"/>
    </row>
    <row r="26344" spans="1:8" x14ac:dyDescent="0.25">
      <c r="A26344" s="1"/>
      <c r="B26344" s="1" t="s">
        <v>7328</v>
      </c>
      <c r="C26344" s="1" t="s">
        <v>7329</v>
      </c>
      <c r="D26344" s="22" t="str">
        <f>HYPERLINK("https://rhld.insurance.arkansas.gov/NPILookup?Npi=1598184970","1598184970")</f>
        <v>1598184970</v>
      </c>
      <c r="E26344" s="1" t="s">
        <v>27763</v>
      </c>
      <c r="F26344" s="2"/>
      <c r="G26344" s="2"/>
      <c r="H26344" s="2"/>
    </row>
    <row r="26345" spans="1:8" x14ac:dyDescent="0.25">
      <c r="A26345" s="1"/>
      <c r="B26345" s="1" t="s">
        <v>7328</v>
      </c>
      <c r="C26345" s="1" t="s">
        <v>7329</v>
      </c>
      <c r="D26345" s="22" t="str">
        <f>HYPERLINK("https://rhld.insurance.arkansas.gov/NPILookup?Npi=1598186926","1598186926")</f>
        <v>1598186926</v>
      </c>
      <c r="E26345" s="1" t="s">
        <v>27764</v>
      </c>
      <c r="F26345" s="2"/>
      <c r="G26345" s="2"/>
      <c r="H26345" s="2"/>
    </row>
    <row r="26346" spans="1:8" x14ac:dyDescent="0.25">
      <c r="A26346" s="1"/>
      <c r="B26346" s="1" t="s">
        <v>7328</v>
      </c>
      <c r="C26346" s="1" t="s">
        <v>7329</v>
      </c>
      <c r="D26346" s="22" t="str">
        <f>HYPERLINK("https://rhld.insurance.arkansas.gov/NPILookup?Npi=1598187452","1598187452")</f>
        <v>1598187452</v>
      </c>
      <c r="E26346" s="1" t="s">
        <v>7920</v>
      </c>
      <c r="F26346" s="2"/>
      <c r="G26346" s="2"/>
      <c r="H26346" s="2"/>
    </row>
    <row r="26347" spans="1:8" x14ac:dyDescent="0.25">
      <c r="A26347" s="1"/>
      <c r="B26347" s="1" t="s">
        <v>7328</v>
      </c>
      <c r="C26347" s="1" t="s">
        <v>7329</v>
      </c>
      <c r="D26347" s="22" t="str">
        <f>HYPERLINK("https://rhld.insurance.arkansas.gov/NPILookup?Npi=1598193468","1598193468")</f>
        <v>1598193468</v>
      </c>
      <c r="E26347" s="1" t="s">
        <v>873</v>
      </c>
      <c r="F26347" s="2"/>
      <c r="G26347" s="2"/>
      <c r="H26347" s="2"/>
    </row>
    <row r="26348" spans="1:8" x14ac:dyDescent="0.25">
      <c r="A26348" s="1"/>
      <c r="B26348" s="1" t="s">
        <v>7328</v>
      </c>
      <c r="C26348" s="1" t="s">
        <v>7329</v>
      </c>
      <c r="D26348" s="22" t="str">
        <f>HYPERLINK("https://rhld.insurance.arkansas.gov/NPILookup?Npi=1598205320","1598205320")</f>
        <v>1598205320</v>
      </c>
      <c r="E26348" s="1" t="s">
        <v>27765</v>
      </c>
      <c r="F26348" s="2"/>
      <c r="G26348" s="2"/>
      <c r="H26348" s="2"/>
    </row>
    <row r="26349" spans="1:8" x14ac:dyDescent="0.25">
      <c r="A26349" s="1"/>
      <c r="B26349" s="1" t="s">
        <v>7328</v>
      </c>
      <c r="C26349" s="1" t="s">
        <v>7329</v>
      </c>
      <c r="D26349" s="22" t="str">
        <f>HYPERLINK("https://rhld.insurance.arkansas.gov/NPILookup?Npi=1598219263","1598219263")</f>
        <v>1598219263</v>
      </c>
      <c r="E26349" s="1" t="s">
        <v>27766</v>
      </c>
      <c r="F26349" s="2"/>
      <c r="G26349" s="2"/>
      <c r="H26349" s="2"/>
    </row>
    <row r="26350" spans="1:8" x14ac:dyDescent="0.25">
      <c r="A26350" s="1"/>
      <c r="B26350" s="1" t="s">
        <v>7328</v>
      </c>
      <c r="C26350" s="1" t="s">
        <v>7329</v>
      </c>
      <c r="D26350" s="22" t="str">
        <f>HYPERLINK("https://rhld.insurance.arkansas.gov/NPILookup?Npi=1598227787","1598227787")</f>
        <v>1598227787</v>
      </c>
      <c r="E26350" s="1" t="s">
        <v>13331</v>
      </c>
      <c r="F26350" s="2"/>
      <c r="G26350" s="2"/>
      <c r="H26350" s="2"/>
    </row>
    <row r="26351" spans="1:8" x14ac:dyDescent="0.25">
      <c r="A26351" s="1"/>
      <c r="B26351" s="1" t="s">
        <v>7328</v>
      </c>
      <c r="C26351" s="1" t="s">
        <v>7329</v>
      </c>
      <c r="D26351" s="22" t="str">
        <f>HYPERLINK("https://rhld.insurance.arkansas.gov/NPILookup?Npi=1598230195","1598230195")</f>
        <v>1598230195</v>
      </c>
      <c r="E26351" s="1" t="s">
        <v>2921</v>
      </c>
      <c r="F26351" s="2"/>
      <c r="G26351" s="2"/>
      <c r="H26351" s="2"/>
    </row>
    <row r="26352" spans="1:8" x14ac:dyDescent="0.25">
      <c r="A26352" s="1"/>
      <c r="B26352" s="1" t="s">
        <v>7328</v>
      </c>
      <c r="C26352" s="1" t="s">
        <v>7329</v>
      </c>
      <c r="D26352" s="22" t="str">
        <f>HYPERLINK("https://rhld.insurance.arkansas.gov/NPILookup?Npi=1598250599","1598250599")</f>
        <v>1598250599</v>
      </c>
      <c r="E26352" s="1" t="s">
        <v>15871</v>
      </c>
      <c r="F26352" s="2"/>
      <c r="G26352" s="2"/>
      <c r="H26352" s="2"/>
    </row>
    <row r="26353" spans="1:8" x14ac:dyDescent="0.25">
      <c r="A26353" s="1"/>
      <c r="B26353" s="1" t="s">
        <v>7328</v>
      </c>
      <c r="C26353" s="1" t="s">
        <v>7329</v>
      </c>
      <c r="D26353" s="22" t="str">
        <f>HYPERLINK("https://rhld.insurance.arkansas.gov/NPILookup?Npi=1598272866","1598272866")</f>
        <v>1598272866</v>
      </c>
      <c r="E26353" s="1" t="s">
        <v>13332</v>
      </c>
      <c r="F26353" s="2"/>
      <c r="G26353" s="2"/>
      <c r="H26353" s="2"/>
    </row>
    <row r="26354" spans="1:8" x14ac:dyDescent="0.25">
      <c r="A26354" s="1"/>
      <c r="B26354" s="1" t="s">
        <v>7328</v>
      </c>
      <c r="C26354" s="1" t="s">
        <v>7329</v>
      </c>
      <c r="D26354" s="22" t="str">
        <f>HYPERLINK("https://rhld.insurance.arkansas.gov/NPILookup?Npi=1598282345","1598282345")</f>
        <v>1598282345</v>
      </c>
      <c r="E26354" s="1" t="s">
        <v>13333</v>
      </c>
      <c r="F26354" s="2"/>
      <c r="G26354" s="2"/>
      <c r="H26354" s="2"/>
    </row>
    <row r="26355" spans="1:8" x14ac:dyDescent="0.25">
      <c r="A26355" s="1"/>
      <c r="B26355" s="1" t="s">
        <v>7328</v>
      </c>
      <c r="C26355" s="1" t="s">
        <v>7329</v>
      </c>
      <c r="D26355" s="22" t="str">
        <f>HYPERLINK("https://rhld.insurance.arkansas.gov/NPILookup?Npi=1598285181","1598285181")</f>
        <v>1598285181</v>
      </c>
      <c r="E26355" s="1" t="s">
        <v>27767</v>
      </c>
      <c r="F26355" s="2"/>
      <c r="G26355" s="2"/>
      <c r="H26355" s="2"/>
    </row>
    <row r="26356" spans="1:8" x14ac:dyDescent="0.25">
      <c r="A26356" s="1"/>
      <c r="B26356" s="1" t="s">
        <v>7328</v>
      </c>
      <c r="C26356" s="1" t="s">
        <v>7329</v>
      </c>
      <c r="D26356" s="22" t="str">
        <f>HYPERLINK("https://rhld.insurance.arkansas.gov/NPILookup?Npi=1598286734","1598286734")</f>
        <v>1598286734</v>
      </c>
      <c r="E26356" s="1" t="s">
        <v>1391</v>
      </c>
      <c r="F26356" s="2"/>
      <c r="G26356" s="2"/>
      <c r="H26356" s="2"/>
    </row>
    <row r="26357" spans="1:8" x14ac:dyDescent="0.25">
      <c r="A26357" s="1"/>
      <c r="B26357" s="1" t="s">
        <v>7328</v>
      </c>
      <c r="C26357" s="1" t="s">
        <v>7329</v>
      </c>
      <c r="D26357" s="22" t="str">
        <f>HYPERLINK("https://rhld.insurance.arkansas.gov/NPILookup?Npi=1598289746","1598289746")</f>
        <v>1598289746</v>
      </c>
      <c r="E26357" s="1" t="s">
        <v>27768</v>
      </c>
      <c r="F26357" s="2"/>
      <c r="G26357" s="2"/>
      <c r="H26357" s="2"/>
    </row>
    <row r="26358" spans="1:8" x14ac:dyDescent="0.25">
      <c r="A26358" s="1"/>
      <c r="B26358" s="1" t="s">
        <v>7328</v>
      </c>
      <c r="C26358" s="1" t="s">
        <v>7329</v>
      </c>
      <c r="D26358" s="22" t="str">
        <f>HYPERLINK("https://rhld.insurance.arkansas.gov/NPILookup?Npi=1598308140","1598308140")</f>
        <v>1598308140</v>
      </c>
      <c r="E26358" s="1" t="s">
        <v>27769</v>
      </c>
      <c r="F26358" s="2"/>
      <c r="G26358" s="2"/>
      <c r="H26358" s="2"/>
    </row>
    <row r="26359" spans="1:8" x14ac:dyDescent="0.25">
      <c r="A26359" s="1"/>
      <c r="B26359" s="1" t="s">
        <v>7328</v>
      </c>
      <c r="C26359" s="1" t="s">
        <v>7329</v>
      </c>
      <c r="D26359" s="22" t="str">
        <f>HYPERLINK("https://rhld.insurance.arkansas.gov/NPILookup?Npi=1598313686","1598313686")</f>
        <v>1598313686</v>
      </c>
      <c r="E26359" s="1" t="s">
        <v>27770</v>
      </c>
      <c r="F26359" s="2"/>
      <c r="G26359" s="2"/>
      <c r="H26359" s="2"/>
    </row>
    <row r="26360" spans="1:8" x14ac:dyDescent="0.25">
      <c r="A26360" s="1"/>
      <c r="B26360" s="1" t="s">
        <v>7328</v>
      </c>
      <c r="C26360" s="1" t="s">
        <v>7329</v>
      </c>
      <c r="D26360" s="22" t="str">
        <f>HYPERLINK("https://rhld.insurance.arkansas.gov/NPILookup?Npi=1598315913","1598315913")</f>
        <v>1598315913</v>
      </c>
      <c r="E26360" s="1" t="s">
        <v>27771</v>
      </c>
      <c r="F26360" s="2"/>
      <c r="G26360" s="2"/>
      <c r="H26360" s="2"/>
    </row>
    <row r="26361" spans="1:8" x14ac:dyDescent="0.25">
      <c r="A26361" s="1"/>
      <c r="B26361" s="1" t="s">
        <v>7328</v>
      </c>
      <c r="C26361" s="1" t="s">
        <v>7329</v>
      </c>
      <c r="D26361" s="22" t="str">
        <f>HYPERLINK("https://rhld.insurance.arkansas.gov/NPILookup?Npi=1598318958","1598318958")</f>
        <v>1598318958</v>
      </c>
      <c r="E26361" s="1" t="s">
        <v>13334</v>
      </c>
      <c r="F26361" s="2"/>
      <c r="G26361" s="2"/>
      <c r="H26361" s="2"/>
    </row>
    <row r="26362" spans="1:8" x14ac:dyDescent="0.25">
      <c r="A26362" s="1"/>
      <c r="B26362" s="1" t="s">
        <v>7328</v>
      </c>
      <c r="C26362" s="1" t="s">
        <v>7329</v>
      </c>
      <c r="D26362" s="22" t="str">
        <f>HYPERLINK("https://rhld.insurance.arkansas.gov/NPILookup?Npi=1598328163","1598328163")</f>
        <v>1598328163</v>
      </c>
      <c r="E26362" s="1" t="s">
        <v>22699</v>
      </c>
      <c r="F26362" s="2"/>
      <c r="G26362" s="2"/>
      <c r="H26362" s="2"/>
    </row>
    <row r="26363" spans="1:8" x14ac:dyDescent="0.25">
      <c r="A26363" s="1"/>
      <c r="B26363" s="1" t="s">
        <v>7328</v>
      </c>
      <c r="C26363" s="1" t="s">
        <v>7329</v>
      </c>
      <c r="D26363" s="22" t="str">
        <f>HYPERLINK("https://rhld.insurance.arkansas.gov/NPILookup?Npi=1598334609","1598334609")</f>
        <v>1598334609</v>
      </c>
      <c r="E26363" s="1" t="s">
        <v>13335</v>
      </c>
      <c r="F26363" s="2"/>
      <c r="G26363" s="2"/>
      <c r="H26363" s="2"/>
    </row>
    <row r="26364" spans="1:8" x14ac:dyDescent="0.25">
      <c r="A26364" s="1"/>
      <c r="B26364" s="1" t="s">
        <v>7328</v>
      </c>
      <c r="C26364" s="1" t="s">
        <v>7329</v>
      </c>
      <c r="D26364" s="22" t="str">
        <f>HYPERLINK("https://rhld.insurance.arkansas.gov/NPILookup?Npi=1598335614","1598335614")</f>
        <v>1598335614</v>
      </c>
      <c r="E26364" s="1" t="s">
        <v>32300</v>
      </c>
      <c r="F26364" s="2"/>
      <c r="G26364" s="2"/>
      <c r="H26364" s="2"/>
    </row>
    <row r="26365" spans="1:8" x14ac:dyDescent="0.25">
      <c r="A26365" s="1"/>
      <c r="B26365" s="1" t="s">
        <v>7328</v>
      </c>
      <c r="C26365" s="1" t="s">
        <v>7329</v>
      </c>
      <c r="D26365" s="22" t="str">
        <f>HYPERLINK("https://rhld.insurance.arkansas.gov/NPILookup?Npi=1598350225","1598350225")</f>
        <v>1598350225</v>
      </c>
      <c r="E26365" s="1" t="s">
        <v>1794</v>
      </c>
      <c r="F26365" s="2"/>
      <c r="G26365" s="2"/>
      <c r="H26365" s="2"/>
    </row>
    <row r="26366" spans="1:8" x14ac:dyDescent="0.25">
      <c r="A26366" s="1"/>
      <c r="B26366" s="1" t="s">
        <v>7328</v>
      </c>
      <c r="C26366" s="1" t="s">
        <v>7329</v>
      </c>
      <c r="D26366" s="22" t="str">
        <f>HYPERLINK("https://rhld.insurance.arkansas.gov/NPILookup?Npi=1598350746","1598350746")</f>
        <v>1598350746</v>
      </c>
      <c r="E26366" s="1" t="s">
        <v>27772</v>
      </c>
      <c r="F26366" s="2"/>
      <c r="G26366" s="2"/>
      <c r="H26366" s="2"/>
    </row>
    <row r="26367" spans="1:8" x14ac:dyDescent="0.25">
      <c r="A26367" s="1"/>
      <c r="B26367" s="1" t="s">
        <v>7328</v>
      </c>
      <c r="C26367" s="1" t="s">
        <v>7329</v>
      </c>
      <c r="D26367" s="22" t="str">
        <f>HYPERLINK("https://rhld.insurance.arkansas.gov/NPILookup?Npi=1598358616","1598358616")</f>
        <v>1598358616</v>
      </c>
      <c r="E26367" s="1" t="s">
        <v>27773</v>
      </c>
      <c r="F26367" s="2"/>
      <c r="G26367" s="2"/>
      <c r="H26367" s="2"/>
    </row>
    <row r="26368" spans="1:8" x14ac:dyDescent="0.25">
      <c r="A26368" s="1"/>
      <c r="B26368" s="1" t="s">
        <v>7328</v>
      </c>
      <c r="C26368" s="1" t="s">
        <v>7329</v>
      </c>
      <c r="D26368" s="22" t="str">
        <f>HYPERLINK("https://rhld.insurance.arkansas.gov/NPILookup?Npi=1598382640","1598382640")</f>
        <v>1598382640</v>
      </c>
      <c r="E26368" s="1" t="s">
        <v>6171</v>
      </c>
      <c r="F26368" s="2"/>
      <c r="G26368" s="2"/>
      <c r="H26368" s="2"/>
    </row>
    <row r="26369" spans="1:8" x14ac:dyDescent="0.25">
      <c r="A26369" s="1"/>
      <c r="B26369" s="1" t="s">
        <v>7328</v>
      </c>
      <c r="C26369" s="1" t="s">
        <v>7329</v>
      </c>
      <c r="D26369" s="22" t="str">
        <f>HYPERLINK("https://rhld.insurance.arkansas.gov/NPILookup?Npi=1598387417","1598387417")</f>
        <v>1598387417</v>
      </c>
      <c r="E26369" s="1" t="s">
        <v>13336</v>
      </c>
      <c r="F26369" s="2"/>
      <c r="G26369" s="2"/>
      <c r="H26369" s="2"/>
    </row>
    <row r="26370" spans="1:8" x14ac:dyDescent="0.25">
      <c r="A26370" s="1"/>
      <c r="B26370" s="1" t="s">
        <v>7328</v>
      </c>
      <c r="C26370" s="1" t="s">
        <v>7329</v>
      </c>
      <c r="D26370" s="22" t="str">
        <f>HYPERLINK("https://rhld.insurance.arkansas.gov/NPILookup?Npi=1598420911","1598420911")</f>
        <v>1598420911</v>
      </c>
      <c r="E26370" s="1" t="s">
        <v>13337</v>
      </c>
      <c r="F26370" s="2"/>
      <c r="G26370" s="2"/>
      <c r="H26370" s="2"/>
    </row>
    <row r="26371" spans="1:8" x14ac:dyDescent="0.25">
      <c r="A26371" s="1"/>
      <c r="B26371" s="1" t="s">
        <v>7328</v>
      </c>
      <c r="C26371" s="1" t="s">
        <v>7329</v>
      </c>
      <c r="D26371" s="22" t="str">
        <f>HYPERLINK("https://rhld.insurance.arkansas.gov/NPILookup?Npi=1598422263","1598422263")</f>
        <v>1598422263</v>
      </c>
      <c r="E26371" s="1" t="s">
        <v>9935</v>
      </c>
      <c r="F26371" s="2"/>
      <c r="G26371" s="2"/>
      <c r="H26371" s="2"/>
    </row>
    <row r="26372" spans="1:8" x14ac:dyDescent="0.25">
      <c r="A26372" s="1"/>
      <c r="B26372" s="1" t="s">
        <v>7328</v>
      </c>
      <c r="C26372" s="1" t="s">
        <v>7329</v>
      </c>
      <c r="D26372" s="22" t="str">
        <f>HYPERLINK("https://rhld.insurance.arkansas.gov/NPILookup?Npi=1598422636","1598422636")</f>
        <v>1598422636</v>
      </c>
      <c r="E26372" s="1" t="s">
        <v>27774</v>
      </c>
      <c r="F26372" s="2"/>
      <c r="G26372" s="2"/>
      <c r="H26372" s="2"/>
    </row>
    <row r="26373" spans="1:8" x14ac:dyDescent="0.25">
      <c r="A26373" s="1"/>
      <c r="B26373" s="1" t="s">
        <v>7328</v>
      </c>
      <c r="C26373" s="1" t="s">
        <v>7329</v>
      </c>
      <c r="D26373" s="22" t="str">
        <f>HYPERLINK("https://rhld.insurance.arkansas.gov/NPILookup?Npi=1598430068","1598430068")</f>
        <v>1598430068</v>
      </c>
      <c r="E26373" s="1" t="s">
        <v>27775</v>
      </c>
      <c r="F26373" s="2"/>
      <c r="G26373" s="2"/>
      <c r="H26373" s="2"/>
    </row>
    <row r="26374" spans="1:8" x14ac:dyDescent="0.25">
      <c r="A26374" s="1"/>
      <c r="B26374" s="1" t="s">
        <v>7328</v>
      </c>
      <c r="C26374" s="1" t="s">
        <v>7329</v>
      </c>
      <c r="D26374" s="22" t="str">
        <f>HYPERLINK("https://rhld.insurance.arkansas.gov/NPILookup?Npi=1598436974","1598436974")</f>
        <v>1598436974</v>
      </c>
      <c r="E26374" s="1" t="s">
        <v>27776</v>
      </c>
      <c r="F26374" s="2"/>
      <c r="G26374" s="2"/>
      <c r="H26374" s="2"/>
    </row>
    <row r="26375" spans="1:8" x14ac:dyDescent="0.25">
      <c r="A26375" s="1"/>
      <c r="B26375" s="1" t="s">
        <v>7328</v>
      </c>
      <c r="C26375" s="1" t="s">
        <v>7329</v>
      </c>
      <c r="D26375" s="22" t="str">
        <f>HYPERLINK("https://rhld.insurance.arkansas.gov/NPILookup?Npi=1598438459","1598438459")</f>
        <v>1598438459</v>
      </c>
      <c r="E26375" s="1" t="s">
        <v>7921</v>
      </c>
      <c r="F26375" s="2"/>
      <c r="G26375" s="2"/>
      <c r="H26375" s="2"/>
    </row>
    <row r="26376" spans="1:8" x14ac:dyDescent="0.25">
      <c r="A26376" s="1"/>
      <c r="B26376" s="1" t="s">
        <v>7328</v>
      </c>
      <c r="C26376" s="1" t="s">
        <v>7329</v>
      </c>
      <c r="D26376" s="22" t="str">
        <f>HYPERLINK("https://rhld.insurance.arkansas.gov/NPILookup?Npi=1598440224","1598440224")</f>
        <v>1598440224</v>
      </c>
      <c r="E26376" s="1" t="s">
        <v>13338</v>
      </c>
      <c r="F26376" s="2"/>
      <c r="G26376" s="2"/>
      <c r="H26376" s="2"/>
    </row>
    <row r="26377" spans="1:8" x14ac:dyDescent="0.25">
      <c r="A26377" s="1"/>
      <c r="B26377" s="1" t="s">
        <v>7328</v>
      </c>
      <c r="C26377" s="1" t="s">
        <v>7329</v>
      </c>
      <c r="D26377" s="22" t="str">
        <f>HYPERLINK("https://rhld.insurance.arkansas.gov/NPILookup?Npi=1598456980","1598456980")</f>
        <v>1598456980</v>
      </c>
      <c r="E26377" s="1" t="s">
        <v>7922</v>
      </c>
      <c r="F26377" s="2"/>
      <c r="G26377" s="2"/>
      <c r="H26377" s="2"/>
    </row>
    <row r="26378" spans="1:8" x14ac:dyDescent="0.25">
      <c r="A26378" s="1"/>
      <c r="B26378" s="1" t="s">
        <v>7328</v>
      </c>
      <c r="C26378" s="1" t="s">
        <v>7329</v>
      </c>
      <c r="D26378" s="22" t="str">
        <f>HYPERLINK("https://rhld.insurance.arkansas.gov/NPILookup?Npi=1598501231","1598501231")</f>
        <v>1598501231</v>
      </c>
      <c r="E26378" s="1" t="s">
        <v>27777</v>
      </c>
      <c r="F26378" s="2"/>
      <c r="G26378" s="2"/>
      <c r="H26378" s="2"/>
    </row>
    <row r="26379" spans="1:8" x14ac:dyDescent="0.25">
      <c r="A26379" s="1"/>
      <c r="B26379" s="1" t="s">
        <v>7328</v>
      </c>
      <c r="C26379" s="1" t="s">
        <v>7329</v>
      </c>
      <c r="D26379" s="22" t="str">
        <f>HYPERLINK("https://rhld.insurance.arkansas.gov/NPILookup?Npi=1598510687","1598510687")</f>
        <v>1598510687</v>
      </c>
      <c r="E26379" s="1" t="s">
        <v>27778</v>
      </c>
      <c r="F26379" s="2"/>
      <c r="G26379" s="2"/>
      <c r="H26379" s="2"/>
    </row>
    <row r="26380" spans="1:8" x14ac:dyDescent="0.25">
      <c r="A26380" s="1"/>
      <c r="B26380" s="1" t="s">
        <v>7328</v>
      </c>
      <c r="C26380" s="1" t="s">
        <v>7329</v>
      </c>
      <c r="D26380" s="22" t="str">
        <f>HYPERLINK("https://rhld.insurance.arkansas.gov/NPILookup?Npi=1598531451","1598531451")</f>
        <v>1598531451</v>
      </c>
      <c r="E26380" s="1" t="s">
        <v>13339</v>
      </c>
      <c r="F26380" s="2"/>
      <c r="G26380" s="2"/>
      <c r="H26380" s="2"/>
    </row>
    <row r="26381" spans="1:8" x14ac:dyDescent="0.25">
      <c r="A26381" s="1"/>
      <c r="B26381" s="1" t="s">
        <v>7328</v>
      </c>
      <c r="C26381" s="1" t="s">
        <v>7329</v>
      </c>
      <c r="D26381" s="22" t="str">
        <f>HYPERLINK("https://rhld.insurance.arkansas.gov/NPILookup?Npi=1598547341","1598547341")</f>
        <v>1598547341</v>
      </c>
      <c r="E26381" s="1" t="s">
        <v>27779</v>
      </c>
      <c r="F26381" s="2"/>
      <c r="G26381" s="2"/>
      <c r="H26381" s="2"/>
    </row>
    <row r="26382" spans="1:8" x14ac:dyDescent="0.25">
      <c r="A26382" s="1"/>
      <c r="B26382" s="1" t="s">
        <v>7328</v>
      </c>
      <c r="C26382" s="1" t="s">
        <v>7329</v>
      </c>
      <c r="D26382" s="22" t="str">
        <f>HYPERLINK("https://rhld.insurance.arkansas.gov/NPILookup?Npi=1598705634","1598705634")</f>
        <v>1598705634</v>
      </c>
      <c r="E26382" s="1" t="s">
        <v>27780</v>
      </c>
      <c r="F26382" s="2"/>
      <c r="G26382" s="2"/>
      <c r="H26382" s="2"/>
    </row>
    <row r="26383" spans="1:8" x14ac:dyDescent="0.25">
      <c r="A26383" s="1"/>
      <c r="B26383" s="1" t="s">
        <v>7328</v>
      </c>
      <c r="C26383" s="1" t="s">
        <v>7329</v>
      </c>
      <c r="D26383" s="22" t="str">
        <f>HYPERLINK("https://rhld.insurance.arkansas.gov/NPILookup?Npi=1598705683","1598705683")</f>
        <v>1598705683</v>
      </c>
      <c r="E26383" s="1" t="s">
        <v>1492</v>
      </c>
      <c r="F26383" s="2"/>
      <c r="G26383" s="2"/>
      <c r="H26383" s="2"/>
    </row>
    <row r="26384" spans="1:8" x14ac:dyDescent="0.25">
      <c r="A26384" s="1"/>
      <c r="B26384" s="1" t="s">
        <v>7328</v>
      </c>
      <c r="C26384" s="1" t="s">
        <v>7329</v>
      </c>
      <c r="D26384" s="22" t="str">
        <f>HYPERLINK("https://rhld.insurance.arkansas.gov/NPILookup?Npi=1598725111","1598725111")</f>
        <v>1598725111</v>
      </c>
      <c r="E26384" s="1" t="s">
        <v>4419</v>
      </c>
      <c r="F26384" s="2"/>
      <c r="G26384" s="2"/>
      <c r="H26384" s="2"/>
    </row>
    <row r="26385" spans="1:8" x14ac:dyDescent="0.25">
      <c r="A26385" s="1"/>
      <c r="B26385" s="1" t="s">
        <v>7328</v>
      </c>
      <c r="C26385" s="1" t="s">
        <v>7329</v>
      </c>
      <c r="D26385" s="22" t="str">
        <f>HYPERLINK("https://rhld.insurance.arkansas.gov/NPILookup?Npi=1598731259","1598731259")</f>
        <v>1598731259</v>
      </c>
      <c r="E26385" s="1" t="s">
        <v>13340</v>
      </c>
      <c r="F26385" s="2"/>
      <c r="G26385" s="2"/>
      <c r="H26385" s="2"/>
    </row>
    <row r="26386" spans="1:8" x14ac:dyDescent="0.25">
      <c r="A26386" s="1"/>
      <c r="B26386" s="1" t="s">
        <v>7328</v>
      </c>
      <c r="C26386" s="1" t="s">
        <v>7329</v>
      </c>
      <c r="D26386" s="22" t="str">
        <f>HYPERLINK("https://rhld.insurance.arkansas.gov/NPILookup?Npi=1598733545","1598733545")</f>
        <v>1598733545</v>
      </c>
      <c r="E26386" s="1" t="s">
        <v>11158</v>
      </c>
      <c r="F26386" s="2"/>
      <c r="G26386" s="2"/>
      <c r="H26386" s="2"/>
    </row>
    <row r="26387" spans="1:8" x14ac:dyDescent="0.25">
      <c r="A26387" s="1"/>
      <c r="B26387" s="1" t="s">
        <v>7328</v>
      </c>
      <c r="C26387" s="1" t="s">
        <v>7329</v>
      </c>
      <c r="D26387" s="22" t="str">
        <f>HYPERLINK("https://rhld.insurance.arkansas.gov/NPILookup?Npi=1598733602","1598733602")</f>
        <v>1598733602</v>
      </c>
      <c r="E26387" s="1" t="s">
        <v>13341</v>
      </c>
      <c r="F26387" s="2"/>
      <c r="G26387" s="2"/>
      <c r="H26387" s="2"/>
    </row>
    <row r="26388" spans="1:8" x14ac:dyDescent="0.25">
      <c r="A26388" s="1"/>
      <c r="B26388" s="1" t="s">
        <v>7328</v>
      </c>
      <c r="C26388" s="1" t="s">
        <v>7329</v>
      </c>
      <c r="D26388" s="22" t="str">
        <f>HYPERLINK("https://rhld.insurance.arkansas.gov/NPILookup?Npi=1598753345","1598753345")</f>
        <v>1598753345</v>
      </c>
      <c r="E26388" s="1" t="s">
        <v>27781</v>
      </c>
      <c r="F26388" s="2"/>
      <c r="G26388" s="2"/>
      <c r="H26388" s="2"/>
    </row>
    <row r="26389" spans="1:8" x14ac:dyDescent="0.25">
      <c r="A26389" s="1"/>
      <c r="B26389" s="1" t="s">
        <v>7328</v>
      </c>
      <c r="C26389" s="1" t="s">
        <v>7329</v>
      </c>
      <c r="D26389" s="22" t="str">
        <f>HYPERLINK("https://rhld.insurance.arkansas.gov/NPILookup?Npi=1598758120","1598758120")</f>
        <v>1598758120</v>
      </c>
      <c r="E26389" s="1" t="s">
        <v>27782</v>
      </c>
      <c r="F26389" s="2"/>
      <c r="G26389" s="2"/>
      <c r="H26389" s="2"/>
    </row>
    <row r="26390" spans="1:8" x14ac:dyDescent="0.25">
      <c r="A26390" s="1"/>
      <c r="B26390" s="1" t="s">
        <v>7328</v>
      </c>
      <c r="C26390" s="1" t="s">
        <v>7329</v>
      </c>
      <c r="D26390" s="22" t="str">
        <f>HYPERLINK("https://rhld.insurance.arkansas.gov/NPILookup?Npi=1598764896","1598764896")</f>
        <v>1598764896</v>
      </c>
      <c r="E26390" s="1" t="s">
        <v>2040</v>
      </c>
      <c r="F26390" s="2"/>
      <c r="G26390" s="2"/>
      <c r="H26390" s="2"/>
    </row>
    <row r="26391" spans="1:8" x14ac:dyDescent="0.25">
      <c r="A26391" s="1"/>
      <c r="B26391" s="1" t="s">
        <v>7328</v>
      </c>
      <c r="C26391" s="1" t="s">
        <v>7329</v>
      </c>
      <c r="D26391" s="22" t="str">
        <f>HYPERLINK("https://rhld.insurance.arkansas.gov/NPILookup?Npi=1598765208","1598765208")</f>
        <v>1598765208</v>
      </c>
      <c r="E26391" s="1" t="s">
        <v>27783</v>
      </c>
      <c r="F26391" s="2"/>
      <c r="G26391" s="2"/>
      <c r="H26391" s="2"/>
    </row>
    <row r="26392" spans="1:8" x14ac:dyDescent="0.25">
      <c r="A26392" s="1"/>
      <c r="B26392" s="1" t="s">
        <v>7328</v>
      </c>
      <c r="C26392" s="1" t="s">
        <v>7329</v>
      </c>
      <c r="D26392" s="22" t="str">
        <f>HYPERLINK("https://rhld.insurance.arkansas.gov/NPILookup?Npi=1598788341","1598788341")</f>
        <v>1598788341</v>
      </c>
      <c r="E26392" s="1" t="s">
        <v>27785</v>
      </c>
      <c r="F26392" s="2"/>
      <c r="G26392" s="2"/>
      <c r="H26392" s="2"/>
    </row>
    <row r="26393" spans="1:8" x14ac:dyDescent="0.25">
      <c r="A26393" s="1"/>
      <c r="B26393" s="1" t="s">
        <v>7328</v>
      </c>
      <c r="C26393" s="1" t="s">
        <v>7329</v>
      </c>
      <c r="D26393" s="22" t="str">
        <f>HYPERLINK("https://rhld.insurance.arkansas.gov/NPILookup?Npi=1598797391","1598797391")</f>
        <v>1598797391</v>
      </c>
      <c r="E26393" s="1" t="s">
        <v>27787</v>
      </c>
      <c r="F26393" s="2"/>
      <c r="G26393" s="2"/>
      <c r="H26393" s="2"/>
    </row>
    <row r="26394" spans="1:8" x14ac:dyDescent="0.25">
      <c r="A26394" s="1"/>
      <c r="B26394" s="1" t="s">
        <v>7328</v>
      </c>
      <c r="C26394" s="1" t="s">
        <v>7329</v>
      </c>
      <c r="D26394" s="22" t="str">
        <f>HYPERLINK("https://rhld.insurance.arkansas.gov/NPILookup?Npi=1598806192","1598806192")</f>
        <v>1598806192</v>
      </c>
      <c r="E26394" s="1" t="s">
        <v>27788</v>
      </c>
      <c r="F26394" s="2"/>
      <c r="G26394" s="2"/>
      <c r="H26394" s="2"/>
    </row>
    <row r="26395" spans="1:8" x14ac:dyDescent="0.25">
      <c r="A26395" s="1"/>
      <c r="B26395" s="1" t="s">
        <v>7328</v>
      </c>
      <c r="C26395" s="1" t="s">
        <v>7329</v>
      </c>
      <c r="D26395" s="22" t="str">
        <f>HYPERLINK("https://rhld.insurance.arkansas.gov/NPILookup?Npi=1598841710","1598841710")</f>
        <v>1598841710</v>
      </c>
      <c r="E26395" s="1" t="s">
        <v>27789</v>
      </c>
      <c r="F26395" s="2"/>
      <c r="G26395" s="2"/>
      <c r="H26395" s="2"/>
    </row>
    <row r="26396" spans="1:8" x14ac:dyDescent="0.25">
      <c r="A26396" s="1"/>
      <c r="B26396" s="1" t="s">
        <v>7328</v>
      </c>
      <c r="C26396" s="1" t="s">
        <v>7329</v>
      </c>
      <c r="D26396" s="22" t="str">
        <f>HYPERLINK("https://rhld.insurance.arkansas.gov/NPILookup?Npi=1598845430","1598845430")</f>
        <v>1598845430</v>
      </c>
      <c r="E26396" s="1" t="s">
        <v>287</v>
      </c>
      <c r="F26396" s="2"/>
      <c r="G26396" s="2"/>
      <c r="H26396" s="2"/>
    </row>
    <row r="26397" spans="1:8" x14ac:dyDescent="0.25">
      <c r="A26397" s="1"/>
      <c r="B26397" s="1" t="s">
        <v>7328</v>
      </c>
      <c r="C26397" s="1" t="s">
        <v>7329</v>
      </c>
      <c r="D26397" s="22" t="str">
        <f>HYPERLINK("https://rhld.insurance.arkansas.gov/NPILookup?Npi=1598916942","1598916942")</f>
        <v>1598916942</v>
      </c>
      <c r="E26397" s="1" t="s">
        <v>27790</v>
      </c>
      <c r="F26397" s="2"/>
      <c r="G26397" s="2"/>
      <c r="H26397" s="2"/>
    </row>
    <row r="26398" spans="1:8" x14ac:dyDescent="0.25">
      <c r="A26398" s="1"/>
      <c r="B26398" s="1" t="s">
        <v>7328</v>
      </c>
      <c r="C26398" s="1" t="s">
        <v>7329</v>
      </c>
      <c r="D26398" s="22" t="str">
        <f>HYPERLINK("https://rhld.insurance.arkansas.gov/NPILookup?Npi=1598932915","1598932915")</f>
        <v>1598932915</v>
      </c>
      <c r="E26398" s="1" t="s">
        <v>27791</v>
      </c>
      <c r="F26398" s="2"/>
      <c r="G26398" s="2"/>
      <c r="H26398" s="2"/>
    </row>
    <row r="26399" spans="1:8" x14ac:dyDescent="0.25">
      <c r="A26399" s="1"/>
      <c r="B26399" s="1" t="s">
        <v>7328</v>
      </c>
      <c r="C26399" s="1" t="s">
        <v>7329</v>
      </c>
      <c r="D26399" s="22" t="str">
        <f>HYPERLINK("https://rhld.insurance.arkansas.gov/NPILookup?Npi=1598984056","1598984056")</f>
        <v>1598984056</v>
      </c>
      <c r="E26399" s="1" t="s">
        <v>27792</v>
      </c>
      <c r="F26399" s="2"/>
      <c r="G26399" s="2"/>
      <c r="H26399" s="2"/>
    </row>
    <row r="26400" spans="1:8" x14ac:dyDescent="0.25">
      <c r="A26400" s="1"/>
      <c r="B26400" s="1" t="s">
        <v>7328</v>
      </c>
      <c r="C26400" s="1" t="s">
        <v>7329</v>
      </c>
      <c r="D26400" s="22" t="str">
        <f>HYPERLINK("https://rhld.insurance.arkansas.gov/NPILookup?Npi=1598998353","1598998353")</f>
        <v>1598998353</v>
      </c>
      <c r="E26400" s="1" t="s">
        <v>2922</v>
      </c>
      <c r="F26400" s="2"/>
      <c r="G26400" s="2"/>
      <c r="H26400" s="2"/>
    </row>
    <row r="26401" spans="1:8" x14ac:dyDescent="0.25">
      <c r="A26401" s="1"/>
      <c r="B26401" s="1" t="s">
        <v>7328</v>
      </c>
      <c r="C26401" s="1" t="s">
        <v>7329</v>
      </c>
      <c r="D26401" s="22" t="str">
        <f>HYPERLINK("https://rhld.insurance.arkansas.gov/NPILookup?Npi=1609006410","1609006410")</f>
        <v>1609006410</v>
      </c>
      <c r="E26401" s="1" t="s">
        <v>27793</v>
      </c>
      <c r="F26401" s="2"/>
      <c r="G26401" s="2"/>
      <c r="H26401" s="2"/>
    </row>
    <row r="26402" spans="1:8" x14ac:dyDescent="0.25">
      <c r="A26402" s="1"/>
      <c r="B26402" s="1" t="s">
        <v>7328</v>
      </c>
      <c r="C26402" s="1" t="s">
        <v>7329</v>
      </c>
      <c r="D26402" s="22" t="str">
        <f>HYPERLINK("https://rhld.insurance.arkansas.gov/NPILookup?Npi=1609024835","1609024835")</f>
        <v>1609024835</v>
      </c>
      <c r="E26402" s="1" t="s">
        <v>13342</v>
      </c>
      <c r="F26402" s="2"/>
      <c r="G26402" s="2"/>
      <c r="H26402" s="2"/>
    </row>
    <row r="26403" spans="1:8" x14ac:dyDescent="0.25">
      <c r="A26403" s="1"/>
      <c r="B26403" s="1" t="s">
        <v>7328</v>
      </c>
      <c r="C26403" s="1" t="s">
        <v>7329</v>
      </c>
      <c r="D26403" s="22" t="str">
        <f>HYPERLINK("https://rhld.insurance.arkansas.gov/NPILookup?Npi=1609027465","1609027465")</f>
        <v>1609027465</v>
      </c>
      <c r="E26403" s="1" t="s">
        <v>27794</v>
      </c>
      <c r="F26403" s="2"/>
      <c r="G26403" s="2"/>
      <c r="H26403" s="2"/>
    </row>
    <row r="26404" spans="1:8" x14ac:dyDescent="0.25">
      <c r="A26404" s="1"/>
      <c r="B26404" s="1" t="s">
        <v>7328</v>
      </c>
      <c r="C26404" s="1" t="s">
        <v>7329</v>
      </c>
      <c r="D26404" s="22" t="str">
        <f>HYPERLINK("https://rhld.insurance.arkansas.gov/NPILookup?Npi=1609028828","1609028828")</f>
        <v>1609028828</v>
      </c>
      <c r="E26404" s="1" t="s">
        <v>27795</v>
      </c>
      <c r="F26404" s="2"/>
      <c r="G26404" s="2"/>
      <c r="H26404" s="2"/>
    </row>
    <row r="26405" spans="1:8" x14ac:dyDescent="0.25">
      <c r="A26405" s="1"/>
      <c r="B26405" s="1" t="s">
        <v>7328</v>
      </c>
      <c r="C26405" s="1" t="s">
        <v>7329</v>
      </c>
      <c r="D26405" s="22" t="str">
        <f>HYPERLINK("https://rhld.insurance.arkansas.gov/NPILookup?Npi=1609033265","1609033265")</f>
        <v>1609033265</v>
      </c>
      <c r="E26405" s="1" t="s">
        <v>27796</v>
      </c>
      <c r="F26405" s="2"/>
      <c r="G26405" s="2"/>
      <c r="H26405" s="2"/>
    </row>
    <row r="26406" spans="1:8" x14ac:dyDescent="0.25">
      <c r="A26406" s="1"/>
      <c r="B26406" s="1" t="s">
        <v>7328</v>
      </c>
      <c r="C26406" s="1" t="s">
        <v>7329</v>
      </c>
      <c r="D26406" s="22" t="str">
        <f>HYPERLINK("https://rhld.insurance.arkansas.gov/NPILookup?Npi=1609037993","1609037993")</f>
        <v>1609037993</v>
      </c>
      <c r="E26406" s="1" t="s">
        <v>629</v>
      </c>
      <c r="F26406" s="2"/>
      <c r="G26406" s="2"/>
      <c r="H26406" s="2"/>
    </row>
    <row r="26407" spans="1:8" x14ac:dyDescent="0.25">
      <c r="A26407" s="1"/>
      <c r="B26407" s="1" t="s">
        <v>7328</v>
      </c>
      <c r="C26407" s="1" t="s">
        <v>7329</v>
      </c>
      <c r="D26407" s="22" t="str">
        <f>HYPERLINK("https://rhld.insurance.arkansas.gov/NPILookup?Npi=1609040849","1609040849")</f>
        <v>1609040849</v>
      </c>
      <c r="E26407" s="1" t="s">
        <v>27797</v>
      </c>
      <c r="F26407" s="2"/>
      <c r="G26407" s="2"/>
      <c r="H26407" s="2"/>
    </row>
    <row r="26408" spans="1:8" x14ac:dyDescent="0.25">
      <c r="A26408" s="1"/>
      <c r="B26408" s="1" t="s">
        <v>7328</v>
      </c>
      <c r="C26408" s="1" t="s">
        <v>7329</v>
      </c>
      <c r="D26408" s="22" t="str">
        <f>HYPERLINK("https://rhld.insurance.arkansas.gov/NPILookup?Npi=1609046556","1609046556")</f>
        <v>1609046556</v>
      </c>
      <c r="E26408" s="1" t="s">
        <v>2923</v>
      </c>
      <c r="F26408" s="2"/>
      <c r="G26408" s="2"/>
      <c r="H26408" s="2"/>
    </row>
    <row r="26409" spans="1:8" x14ac:dyDescent="0.25">
      <c r="A26409" s="1"/>
      <c r="B26409" s="1" t="s">
        <v>7328</v>
      </c>
      <c r="C26409" s="1" t="s">
        <v>7329</v>
      </c>
      <c r="D26409" s="22" t="str">
        <f>HYPERLINK("https://rhld.insurance.arkansas.gov/NPILookup?Npi=1609050087","1609050087")</f>
        <v>1609050087</v>
      </c>
      <c r="E26409" s="1" t="s">
        <v>27798</v>
      </c>
      <c r="F26409" s="2"/>
      <c r="G26409" s="2"/>
      <c r="H26409" s="2"/>
    </row>
    <row r="26410" spans="1:8" x14ac:dyDescent="0.25">
      <c r="A26410" s="1"/>
      <c r="B26410" s="1" t="s">
        <v>7328</v>
      </c>
      <c r="C26410" s="1" t="s">
        <v>7329</v>
      </c>
      <c r="D26410" s="22" t="str">
        <f>HYPERLINK("https://rhld.insurance.arkansas.gov/NPILookup?Npi=1609062439","1609062439")</f>
        <v>1609062439</v>
      </c>
      <c r="E26410" s="1" t="s">
        <v>13343</v>
      </c>
      <c r="F26410" s="2"/>
      <c r="G26410" s="2"/>
      <c r="H26410" s="2"/>
    </row>
    <row r="26411" spans="1:8" x14ac:dyDescent="0.25">
      <c r="A26411" s="1"/>
      <c r="B26411" s="1" t="s">
        <v>7328</v>
      </c>
      <c r="C26411" s="1" t="s">
        <v>7329</v>
      </c>
      <c r="D26411" s="22" t="str">
        <f>HYPERLINK("https://rhld.insurance.arkansas.gov/NPILookup?Npi=1609066950","1609066950")</f>
        <v>1609066950</v>
      </c>
      <c r="E26411" s="1" t="s">
        <v>7924</v>
      </c>
      <c r="F26411" s="2"/>
      <c r="G26411" s="2"/>
      <c r="H26411" s="2"/>
    </row>
    <row r="26412" spans="1:8" x14ac:dyDescent="0.25">
      <c r="A26412" s="1"/>
      <c r="B26412" s="1" t="s">
        <v>7328</v>
      </c>
      <c r="C26412" s="1" t="s">
        <v>7329</v>
      </c>
      <c r="D26412" s="22" t="str">
        <f>HYPERLINK("https://rhld.insurance.arkansas.gov/NPILookup?Npi=1609069251","1609069251")</f>
        <v>1609069251</v>
      </c>
      <c r="E26412" s="1" t="s">
        <v>27799</v>
      </c>
      <c r="F26412" s="2"/>
      <c r="G26412" s="2"/>
      <c r="H26412" s="2"/>
    </row>
    <row r="26413" spans="1:8" x14ac:dyDescent="0.25">
      <c r="A26413" s="1"/>
      <c r="B26413" s="1" t="s">
        <v>7328</v>
      </c>
      <c r="C26413" s="1" t="s">
        <v>7329</v>
      </c>
      <c r="D26413" s="22" t="str">
        <f>HYPERLINK("https://rhld.insurance.arkansas.gov/NPILookup?Npi=1609073022","1609073022")</f>
        <v>1609073022</v>
      </c>
      <c r="E26413" s="1" t="s">
        <v>13344</v>
      </c>
      <c r="F26413" s="2"/>
      <c r="G26413" s="2"/>
      <c r="H26413" s="2"/>
    </row>
    <row r="26414" spans="1:8" x14ac:dyDescent="0.25">
      <c r="A26414" s="1"/>
      <c r="B26414" s="1" t="s">
        <v>7328</v>
      </c>
      <c r="C26414" s="1" t="s">
        <v>7329</v>
      </c>
      <c r="D26414" s="22" t="str">
        <f>HYPERLINK("https://rhld.insurance.arkansas.gov/NPILookup?Npi=1609079136","1609079136")</f>
        <v>1609079136</v>
      </c>
      <c r="E26414" s="1" t="s">
        <v>27800</v>
      </c>
      <c r="F26414" s="2"/>
      <c r="G26414" s="2"/>
      <c r="H26414" s="2"/>
    </row>
    <row r="26415" spans="1:8" x14ac:dyDescent="0.25">
      <c r="A26415" s="1"/>
      <c r="B26415" s="1" t="s">
        <v>7328</v>
      </c>
      <c r="C26415" s="1" t="s">
        <v>7329</v>
      </c>
      <c r="D26415" s="22" t="str">
        <f>HYPERLINK("https://rhld.insurance.arkansas.gov/NPILookup?Npi=1609087923","1609087923")</f>
        <v>1609087923</v>
      </c>
      <c r="E26415" s="1" t="s">
        <v>27801</v>
      </c>
      <c r="F26415" s="2"/>
      <c r="G26415" s="2"/>
      <c r="H26415" s="2"/>
    </row>
    <row r="26416" spans="1:8" x14ac:dyDescent="0.25">
      <c r="A26416" s="1"/>
      <c r="B26416" s="1" t="s">
        <v>7328</v>
      </c>
      <c r="C26416" s="1" t="s">
        <v>7329</v>
      </c>
      <c r="D26416" s="22" t="str">
        <f>HYPERLINK("https://rhld.insurance.arkansas.gov/NPILookup?Npi=1609100536","1609100536")</f>
        <v>1609100536</v>
      </c>
      <c r="E26416" s="1" t="s">
        <v>7925</v>
      </c>
      <c r="F26416" s="2"/>
      <c r="G26416" s="2"/>
      <c r="H26416" s="2"/>
    </row>
    <row r="26417" spans="1:8" x14ac:dyDescent="0.25">
      <c r="A26417" s="1"/>
      <c r="B26417" s="1" t="s">
        <v>7328</v>
      </c>
      <c r="C26417" s="1" t="s">
        <v>7329</v>
      </c>
      <c r="D26417" s="22" t="str">
        <f>HYPERLINK("https://rhld.insurance.arkansas.gov/NPILookup?Npi=1609134006","1609134006")</f>
        <v>1609134006</v>
      </c>
      <c r="E26417" s="1" t="s">
        <v>27804</v>
      </c>
      <c r="F26417" s="2"/>
      <c r="G26417" s="2"/>
      <c r="H26417" s="2"/>
    </row>
    <row r="26418" spans="1:8" x14ac:dyDescent="0.25">
      <c r="A26418" s="1"/>
      <c r="B26418" s="1" t="s">
        <v>7328</v>
      </c>
      <c r="C26418" s="1" t="s">
        <v>7329</v>
      </c>
      <c r="D26418" s="22" t="str">
        <f>HYPERLINK("https://rhld.insurance.arkansas.gov/NPILookup?Npi=1609165364","1609165364")</f>
        <v>1609165364</v>
      </c>
      <c r="E26418" s="1" t="s">
        <v>27805</v>
      </c>
      <c r="F26418" s="2"/>
      <c r="G26418" s="2"/>
      <c r="H26418" s="2"/>
    </row>
    <row r="26419" spans="1:8" x14ac:dyDescent="0.25">
      <c r="A26419" s="1"/>
      <c r="B26419" s="1" t="s">
        <v>7328</v>
      </c>
      <c r="C26419" s="1" t="s">
        <v>7329</v>
      </c>
      <c r="D26419" s="22" t="str">
        <f>HYPERLINK("https://rhld.insurance.arkansas.gov/NPILookup?Npi=1609165760","1609165760")</f>
        <v>1609165760</v>
      </c>
      <c r="E26419" s="1" t="s">
        <v>4421</v>
      </c>
      <c r="F26419" s="2"/>
      <c r="G26419" s="2"/>
      <c r="H26419" s="2"/>
    </row>
    <row r="26420" spans="1:8" x14ac:dyDescent="0.25">
      <c r="A26420" s="1"/>
      <c r="B26420" s="1" t="s">
        <v>7328</v>
      </c>
      <c r="C26420" s="1" t="s">
        <v>7329</v>
      </c>
      <c r="D26420" s="22" t="str">
        <f>HYPERLINK("https://rhld.insurance.arkansas.gov/NPILookup?Npi=1609167402","1609167402")</f>
        <v>1609167402</v>
      </c>
      <c r="E26420" s="1" t="s">
        <v>1103</v>
      </c>
      <c r="F26420" s="2"/>
      <c r="G26420" s="2"/>
      <c r="H26420" s="2"/>
    </row>
    <row r="26421" spans="1:8" x14ac:dyDescent="0.25">
      <c r="A26421" s="1"/>
      <c r="B26421" s="1" t="s">
        <v>7328</v>
      </c>
      <c r="C26421" s="1" t="s">
        <v>7329</v>
      </c>
      <c r="D26421" s="22" t="str">
        <f>HYPERLINK("https://rhld.insurance.arkansas.gov/NPILookup?Npi=1609185586","1609185586")</f>
        <v>1609185586</v>
      </c>
      <c r="E26421" s="1" t="s">
        <v>27806</v>
      </c>
      <c r="F26421" s="2"/>
      <c r="G26421" s="2"/>
      <c r="H26421" s="2"/>
    </row>
    <row r="26422" spans="1:8" x14ac:dyDescent="0.25">
      <c r="A26422" s="1"/>
      <c r="B26422" s="1" t="s">
        <v>7328</v>
      </c>
      <c r="C26422" s="1" t="s">
        <v>7329</v>
      </c>
      <c r="D26422" s="22" t="str">
        <f>HYPERLINK("https://rhld.insurance.arkansas.gov/NPILookup?Npi=1609188614","1609188614")</f>
        <v>1609188614</v>
      </c>
      <c r="E26422" s="1" t="s">
        <v>27807</v>
      </c>
      <c r="F26422" s="2"/>
      <c r="G26422" s="2"/>
      <c r="H26422" s="2"/>
    </row>
    <row r="26423" spans="1:8" x14ac:dyDescent="0.25">
      <c r="A26423" s="1"/>
      <c r="B26423" s="1" t="s">
        <v>7328</v>
      </c>
      <c r="C26423" s="1" t="s">
        <v>7329</v>
      </c>
      <c r="D26423" s="22" t="str">
        <f>HYPERLINK("https://rhld.insurance.arkansas.gov/NPILookup?Npi=1609189588","1609189588")</f>
        <v>1609189588</v>
      </c>
      <c r="E26423" s="1" t="s">
        <v>27808</v>
      </c>
      <c r="F26423" s="2"/>
      <c r="G26423" s="2"/>
      <c r="H26423" s="2"/>
    </row>
    <row r="26424" spans="1:8" x14ac:dyDescent="0.25">
      <c r="A26424" s="1"/>
      <c r="B26424" s="1" t="s">
        <v>7328</v>
      </c>
      <c r="C26424" s="1" t="s">
        <v>7329</v>
      </c>
      <c r="D26424" s="22" t="str">
        <f>HYPERLINK("https://rhld.insurance.arkansas.gov/NPILookup?Npi=1609215854","1609215854")</f>
        <v>1609215854</v>
      </c>
      <c r="E26424" s="1" t="s">
        <v>27809</v>
      </c>
      <c r="F26424" s="2"/>
      <c r="G26424" s="2"/>
      <c r="H26424" s="2"/>
    </row>
    <row r="26425" spans="1:8" x14ac:dyDescent="0.25">
      <c r="A26425" s="1"/>
      <c r="B26425" s="1" t="s">
        <v>7328</v>
      </c>
      <c r="C26425" s="1" t="s">
        <v>7329</v>
      </c>
      <c r="D26425" s="22" t="str">
        <f>HYPERLINK("https://rhld.insurance.arkansas.gov/NPILookup?Npi=1609220110","1609220110")</f>
        <v>1609220110</v>
      </c>
      <c r="E26425" s="1" t="s">
        <v>27810</v>
      </c>
      <c r="F26425" s="2"/>
      <c r="G26425" s="2"/>
      <c r="H26425" s="2"/>
    </row>
    <row r="26426" spans="1:8" x14ac:dyDescent="0.25">
      <c r="A26426" s="1"/>
      <c r="B26426" s="1" t="s">
        <v>7328</v>
      </c>
      <c r="C26426" s="1" t="s">
        <v>7329</v>
      </c>
      <c r="D26426" s="22" t="str">
        <f>HYPERLINK("https://rhld.insurance.arkansas.gov/NPILookup?Npi=1609225499","1609225499")</f>
        <v>1609225499</v>
      </c>
      <c r="E26426" s="1" t="s">
        <v>7926</v>
      </c>
      <c r="F26426" s="2"/>
      <c r="G26426" s="2"/>
      <c r="H26426" s="2"/>
    </row>
    <row r="26427" spans="1:8" x14ac:dyDescent="0.25">
      <c r="A26427" s="1"/>
      <c r="B26427" s="1" t="s">
        <v>7328</v>
      </c>
      <c r="C26427" s="1" t="s">
        <v>7329</v>
      </c>
      <c r="D26427" s="22" t="str">
        <f>HYPERLINK("https://rhld.insurance.arkansas.gov/NPILookup?Npi=1609226216","1609226216")</f>
        <v>1609226216</v>
      </c>
      <c r="E26427" s="1" t="s">
        <v>27811</v>
      </c>
      <c r="F26427" s="2"/>
      <c r="G26427" s="2"/>
      <c r="H26427" s="2"/>
    </row>
    <row r="26428" spans="1:8" x14ac:dyDescent="0.25">
      <c r="A26428" s="1"/>
      <c r="B26428" s="1" t="s">
        <v>7328</v>
      </c>
      <c r="C26428" s="1" t="s">
        <v>7329</v>
      </c>
      <c r="D26428" s="22" t="str">
        <f>HYPERLINK("https://rhld.insurance.arkansas.gov/NPILookup?Npi=1609228568","1609228568")</f>
        <v>1609228568</v>
      </c>
      <c r="E26428" s="1" t="s">
        <v>2924</v>
      </c>
      <c r="F26428" s="2"/>
      <c r="G26428" s="2"/>
      <c r="H26428" s="2"/>
    </row>
    <row r="26429" spans="1:8" x14ac:dyDescent="0.25">
      <c r="A26429" s="1"/>
      <c r="B26429" s="1" t="s">
        <v>7328</v>
      </c>
      <c r="C26429" s="1" t="s">
        <v>7329</v>
      </c>
      <c r="D26429" s="22" t="str">
        <f>HYPERLINK("https://rhld.insurance.arkansas.gov/NPILookup?Npi=1609233535","1609233535")</f>
        <v>1609233535</v>
      </c>
      <c r="E26429" s="1" t="s">
        <v>27812</v>
      </c>
      <c r="F26429" s="2"/>
      <c r="G26429" s="2"/>
      <c r="H26429" s="2"/>
    </row>
    <row r="26430" spans="1:8" x14ac:dyDescent="0.25">
      <c r="A26430" s="1"/>
      <c r="B26430" s="1" t="s">
        <v>7328</v>
      </c>
      <c r="C26430" s="1" t="s">
        <v>7329</v>
      </c>
      <c r="D26430" s="22" t="str">
        <f>HYPERLINK("https://rhld.insurance.arkansas.gov/NPILookup?Npi=1609233733","1609233733")</f>
        <v>1609233733</v>
      </c>
      <c r="E26430" s="1" t="s">
        <v>22720</v>
      </c>
      <c r="F26430" s="2"/>
      <c r="G26430" s="2"/>
      <c r="H26430" s="2"/>
    </row>
    <row r="26431" spans="1:8" x14ac:dyDescent="0.25">
      <c r="A26431" s="1"/>
      <c r="B26431" s="1" t="s">
        <v>7328</v>
      </c>
      <c r="C26431" s="1" t="s">
        <v>7329</v>
      </c>
      <c r="D26431" s="22" t="str">
        <f>HYPERLINK("https://rhld.insurance.arkansas.gov/NPILookup?Npi=1609235076","1609235076")</f>
        <v>1609235076</v>
      </c>
      <c r="E26431" s="1" t="s">
        <v>27813</v>
      </c>
      <c r="F26431" s="2"/>
      <c r="G26431" s="2"/>
      <c r="H26431" s="2"/>
    </row>
    <row r="26432" spans="1:8" x14ac:dyDescent="0.25">
      <c r="A26432" s="1"/>
      <c r="B26432" s="1" t="s">
        <v>7328</v>
      </c>
      <c r="C26432" s="1" t="s">
        <v>7329</v>
      </c>
      <c r="D26432" s="22" t="str">
        <f>HYPERLINK("https://rhld.insurance.arkansas.gov/NPILookup?Npi=1609235878","1609235878")</f>
        <v>1609235878</v>
      </c>
      <c r="E26432" s="1" t="s">
        <v>13346</v>
      </c>
      <c r="F26432" s="2"/>
      <c r="G26432" s="2"/>
      <c r="H26432" s="2"/>
    </row>
    <row r="26433" spans="1:8" x14ac:dyDescent="0.25">
      <c r="A26433" s="1"/>
      <c r="B26433" s="1" t="s">
        <v>7328</v>
      </c>
      <c r="C26433" s="1" t="s">
        <v>7329</v>
      </c>
      <c r="D26433" s="22" t="str">
        <f>HYPERLINK("https://rhld.insurance.arkansas.gov/NPILookup?Npi=1609244995","1609244995")</f>
        <v>1609244995</v>
      </c>
      <c r="E26433" s="1" t="s">
        <v>27814</v>
      </c>
      <c r="F26433" s="2"/>
      <c r="G26433" s="2"/>
      <c r="H26433" s="2"/>
    </row>
    <row r="26434" spans="1:8" x14ac:dyDescent="0.25">
      <c r="A26434" s="1"/>
      <c r="B26434" s="1" t="s">
        <v>7328</v>
      </c>
      <c r="C26434" s="1" t="s">
        <v>7329</v>
      </c>
      <c r="D26434" s="22" t="str">
        <f>HYPERLINK("https://rhld.insurance.arkansas.gov/NPILookup?Npi=1609247998","1609247998")</f>
        <v>1609247998</v>
      </c>
      <c r="E26434" s="1" t="s">
        <v>27815</v>
      </c>
      <c r="F26434" s="2"/>
      <c r="G26434" s="2"/>
      <c r="H26434" s="2"/>
    </row>
    <row r="26435" spans="1:8" x14ac:dyDescent="0.25">
      <c r="A26435" s="1"/>
      <c r="B26435" s="1" t="s">
        <v>7328</v>
      </c>
      <c r="C26435" s="1" t="s">
        <v>7329</v>
      </c>
      <c r="D26435" s="22" t="str">
        <f>HYPERLINK("https://rhld.insurance.arkansas.gov/NPILookup?Npi=1609258938","1609258938")</f>
        <v>1609258938</v>
      </c>
      <c r="E26435" s="1" t="s">
        <v>27816</v>
      </c>
      <c r="F26435" s="2"/>
      <c r="G26435" s="2"/>
      <c r="H26435" s="2"/>
    </row>
    <row r="26436" spans="1:8" x14ac:dyDescent="0.25">
      <c r="A26436" s="1"/>
      <c r="B26436" s="1" t="s">
        <v>7328</v>
      </c>
      <c r="C26436" s="1" t="s">
        <v>7329</v>
      </c>
      <c r="D26436" s="22" t="str">
        <f>HYPERLINK("https://rhld.insurance.arkansas.gov/NPILookup?Npi=1609265420","1609265420")</f>
        <v>1609265420</v>
      </c>
      <c r="E26436" s="1" t="s">
        <v>13347</v>
      </c>
      <c r="F26436" s="2"/>
      <c r="G26436" s="2"/>
      <c r="H26436" s="2"/>
    </row>
    <row r="26437" spans="1:8" x14ac:dyDescent="0.25">
      <c r="A26437" s="1"/>
      <c r="B26437" s="1" t="s">
        <v>7328</v>
      </c>
      <c r="C26437" s="1" t="s">
        <v>7329</v>
      </c>
      <c r="D26437" s="22" t="str">
        <f>HYPERLINK("https://rhld.insurance.arkansas.gov/NPILookup?Npi=1609271576","1609271576")</f>
        <v>1609271576</v>
      </c>
      <c r="E26437" s="1" t="s">
        <v>27817</v>
      </c>
      <c r="F26437" s="2"/>
      <c r="G26437" s="2"/>
      <c r="H26437" s="2"/>
    </row>
    <row r="26438" spans="1:8" x14ac:dyDescent="0.25">
      <c r="A26438" s="1"/>
      <c r="B26438" s="1" t="s">
        <v>7328</v>
      </c>
      <c r="C26438" s="1" t="s">
        <v>7329</v>
      </c>
      <c r="D26438" s="22" t="str">
        <f>HYPERLINK("https://rhld.insurance.arkansas.gov/NPILookup?Npi=1609281070","1609281070")</f>
        <v>1609281070</v>
      </c>
      <c r="E26438" s="1" t="s">
        <v>27818</v>
      </c>
      <c r="F26438" s="2"/>
      <c r="G26438" s="2"/>
      <c r="H26438" s="2"/>
    </row>
    <row r="26439" spans="1:8" x14ac:dyDescent="0.25">
      <c r="A26439" s="1"/>
      <c r="B26439" s="1" t="s">
        <v>7328</v>
      </c>
      <c r="C26439" s="1" t="s">
        <v>7329</v>
      </c>
      <c r="D26439" s="22" t="str">
        <f>HYPERLINK("https://rhld.insurance.arkansas.gov/NPILookup?Npi=1609282433","1609282433")</f>
        <v>1609282433</v>
      </c>
      <c r="E26439" s="1" t="s">
        <v>32301</v>
      </c>
      <c r="F26439" s="2"/>
      <c r="G26439" s="2"/>
      <c r="H26439" s="2"/>
    </row>
    <row r="26440" spans="1:8" x14ac:dyDescent="0.25">
      <c r="A26440" s="1"/>
      <c r="B26440" s="1" t="s">
        <v>7328</v>
      </c>
      <c r="C26440" s="1" t="s">
        <v>7329</v>
      </c>
      <c r="D26440" s="22" t="str">
        <f>HYPERLINK("https://rhld.insurance.arkansas.gov/NPILookup?Npi=1609285527","1609285527")</f>
        <v>1609285527</v>
      </c>
      <c r="E26440" s="1" t="s">
        <v>27819</v>
      </c>
      <c r="F26440" s="2"/>
      <c r="G26440" s="2"/>
      <c r="H26440" s="2"/>
    </row>
    <row r="26441" spans="1:8" x14ac:dyDescent="0.25">
      <c r="A26441" s="1"/>
      <c r="B26441" s="1" t="s">
        <v>7328</v>
      </c>
      <c r="C26441" s="1" t="s">
        <v>7329</v>
      </c>
      <c r="D26441" s="22" t="str">
        <f>HYPERLINK("https://rhld.insurance.arkansas.gov/NPILookup?Npi=1609286780","1609286780")</f>
        <v>1609286780</v>
      </c>
      <c r="E26441" s="1" t="s">
        <v>27820</v>
      </c>
      <c r="F26441" s="2"/>
      <c r="G26441" s="2"/>
      <c r="H26441" s="2"/>
    </row>
    <row r="26442" spans="1:8" x14ac:dyDescent="0.25">
      <c r="A26442" s="1"/>
      <c r="B26442" s="1" t="s">
        <v>7328</v>
      </c>
      <c r="C26442" s="1" t="s">
        <v>7329</v>
      </c>
      <c r="D26442" s="22" t="str">
        <f>HYPERLINK("https://rhld.insurance.arkansas.gov/NPILookup?Npi=1609290220","1609290220")</f>
        <v>1609290220</v>
      </c>
      <c r="E26442" s="1" t="s">
        <v>874</v>
      </c>
      <c r="F26442" s="2"/>
      <c r="G26442" s="2"/>
      <c r="H26442" s="2"/>
    </row>
    <row r="26443" spans="1:8" x14ac:dyDescent="0.25">
      <c r="A26443" s="1"/>
      <c r="B26443" s="1" t="s">
        <v>7328</v>
      </c>
      <c r="C26443" s="1" t="s">
        <v>7329</v>
      </c>
      <c r="D26443" s="22" t="str">
        <f>HYPERLINK("https://rhld.insurance.arkansas.gov/NPILookup?Npi=1609301068","1609301068")</f>
        <v>1609301068</v>
      </c>
      <c r="E26443" s="1" t="s">
        <v>27821</v>
      </c>
      <c r="F26443" s="2"/>
      <c r="G26443" s="2"/>
      <c r="H26443" s="2"/>
    </row>
    <row r="26444" spans="1:8" x14ac:dyDescent="0.25">
      <c r="A26444" s="1"/>
      <c r="B26444" s="1" t="s">
        <v>7328</v>
      </c>
      <c r="C26444" s="1" t="s">
        <v>7329</v>
      </c>
      <c r="D26444" s="22" t="str">
        <f>HYPERLINK("https://rhld.insurance.arkansas.gov/NPILookup?Npi=1609302546","1609302546")</f>
        <v>1609302546</v>
      </c>
      <c r="E26444" s="1" t="s">
        <v>7927</v>
      </c>
      <c r="F26444" s="2"/>
      <c r="G26444" s="2"/>
      <c r="H26444" s="2"/>
    </row>
    <row r="26445" spans="1:8" x14ac:dyDescent="0.25">
      <c r="A26445" s="1"/>
      <c r="B26445" s="1" t="s">
        <v>7328</v>
      </c>
      <c r="C26445" s="1" t="s">
        <v>7329</v>
      </c>
      <c r="D26445" s="22" t="str">
        <f>HYPERLINK("https://rhld.insurance.arkansas.gov/NPILookup?Npi=1609304286","1609304286")</f>
        <v>1609304286</v>
      </c>
      <c r="E26445" s="1" t="s">
        <v>2925</v>
      </c>
      <c r="F26445" s="2"/>
      <c r="G26445" s="2"/>
      <c r="H26445" s="2"/>
    </row>
    <row r="26446" spans="1:8" x14ac:dyDescent="0.25">
      <c r="A26446" s="1"/>
      <c r="B26446" s="1" t="s">
        <v>7328</v>
      </c>
      <c r="C26446" s="1" t="s">
        <v>7329</v>
      </c>
      <c r="D26446" s="22" t="str">
        <f>HYPERLINK("https://rhld.insurance.arkansas.gov/NPILookup?Npi=1609304526","1609304526")</f>
        <v>1609304526</v>
      </c>
      <c r="E26446" s="1" t="s">
        <v>27822</v>
      </c>
      <c r="F26446" s="2"/>
      <c r="G26446" s="2"/>
      <c r="H26446" s="2"/>
    </row>
    <row r="26447" spans="1:8" x14ac:dyDescent="0.25">
      <c r="A26447" s="1"/>
      <c r="B26447" s="1" t="s">
        <v>7328</v>
      </c>
      <c r="C26447" s="1" t="s">
        <v>7329</v>
      </c>
      <c r="D26447" s="22" t="str">
        <f>HYPERLINK("https://rhld.insurance.arkansas.gov/NPILookup?Npi=1609321827","1609321827")</f>
        <v>1609321827</v>
      </c>
      <c r="E26447" s="1" t="s">
        <v>13348</v>
      </c>
      <c r="F26447" s="2"/>
      <c r="G26447" s="2"/>
      <c r="H26447" s="2"/>
    </row>
    <row r="26448" spans="1:8" x14ac:dyDescent="0.25">
      <c r="A26448" s="1"/>
      <c r="B26448" s="1" t="s">
        <v>7328</v>
      </c>
      <c r="C26448" s="1" t="s">
        <v>7329</v>
      </c>
      <c r="D26448" s="22" t="str">
        <f>HYPERLINK("https://rhld.insurance.arkansas.gov/NPILookup?Npi=1609333806","1609333806")</f>
        <v>1609333806</v>
      </c>
      <c r="E26448" s="1" t="s">
        <v>13349</v>
      </c>
      <c r="F26448" s="2"/>
      <c r="G26448" s="2"/>
      <c r="H26448" s="2"/>
    </row>
    <row r="26449" spans="1:8" x14ac:dyDescent="0.25">
      <c r="A26449" s="1"/>
      <c r="B26449" s="1" t="s">
        <v>7328</v>
      </c>
      <c r="C26449" s="1" t="s">
        <v>7329</v>
      </c>
      <c r="D26449" s="22" t="str">
        <f>HYPERLINK("https://rhld.insurance.arkansas.gov/NPILookup?Npi=1609358928","1609358928")</f>
        <v>1609358928</v>
      </c>
      <c r="E26449" s="1" t="s">
        <v>27823</v>
      </c>
      <c r="F26449" s="2"/>
      <c r="G26449" s="2"/>
      <c r="H26449" s="2"/>
    </row>
    <row r="26450" spans="1:8" x14ac:dyDescent="0.25">
      <c r="A26450" s="1"/>
      <c r="B26450" s="1" t="s">
        <v>7328</v>
      </c>
      <c r="C26450" s="1" t="s">
        <v>7329</v>
      </c>
      <c r="D26450" s="22" t="str">
        <f>HYPERLINK("https://rhld.insurance.arkansas.gov/NPILookup?Npi=1609361138","1609361138")</f>
        <v>1609361138</v>
      </c>
      <c r="E26450" s="1" t="s">
        <v>1225</v>
      </c>
      <c r="F26450" s="2"/>
      <c r="G26450" s="2"/>
      <c r="H26450" s="2"/>
    </row>
    <row r="26451" spans="1:8" x14ac:dyDescent="0.25">
      <c r="A26451" s="1"/>
      <c r="B26451" s="1" t="s">
        <v>7328</v>
      </c>
      <c r="C26451" s="1" t="s">
        <v>7329</v>
      </c>
      <c r="D26451" s="22" t="str">
        <f>HYPERLINK("https://rhld.insurance.arkansas.gov/NPILookup?Npi=1609364934","1609364934")</f>
        <v>1609364934</v>
      </c>
      <c r="E26451" s="1" t="s">
        <v>27824</v>
      </c>
      <c r="F26451" s="2"/>
      <c r="G26451" s="2"/>
      <c r="H26451" s="2"/>
    </row>
    <row r="26452" spans="1:8" x14ac:dyDescent="0.25">
      <c r="A26452" s="1"/>
      <c r="B26452" s="1" t="s">
        <v>7328</v>
      </c>
      <c r="C26452" s="1" t="s">
        <v>7329</v>
      </c>
      <c r="D26452" s="22" t="str">
        <f>HYPERLINK("https://rhld.insurance.arkansas.gov/NPILookup?Npi=1609372242","1609372242")</f>
        <v>1609372242</v>
      </c>
      <c r="E26452" s="1" t="s">
        <v>7928</v>
      </c>
      <c r="F26452" s="2"/>
      <c r="G26452" s="2"/>
      <c r="H26452" s="2"/>
    </row>
    <row r="26453" spans="1:8" x14ac:dyDescent="0.25">
      <c r="A26453" s="1"/>
      <c r="B26453" s="1" t="s">
        <v>7328</v>
      </c>
      <c r="C26453" s="1" t="s">
        <v>7329</v>
      </c>
      <c r="D26453" s="22" t="str">
        <f>HYPERLINK("https://rhld.insurance.arkansas.gov/NPILookup?Npi=1609372309","1609372309")</f>
        <v>1609372309</v>
      </c>
      <c r="E26453" s="1" t="s">
        <v>27825</v>
      </c>
      <c r="F26453" s="2"/>
      <c r="G26453" s="2"/>
      <c r="H26453" s="2"/>
    </row>
    <row r="26454" spans="1:8" x14ac:dyDescent="0.25">
      <c r="A26454" s="1"/>
      <c r="B26454" s="1" t="s">
        <v>7328</v>
      </c>
      <c r="C26454" s="1" t="s">
        <v>7329</v>
      </c>
      <c r="D26454" s="22" t="str">
        <f>HYPERLINK("https://rhld.insurance.arkansas.gov/NPILookup?Npi=1609385715","1609385715")</f>
        <v>1609385715</v>
      </c>
      <c r="E26454" s="1" t="s">
        <v>27826</v>
      </c>
      <c r="F26454" s="2"/>
      <c r="G26454" s="2"/>
      <c r="H26454" s="2"/>
    </row>
    <row r="26455" spans="1:8" x14ac:dyDescent="0.25">
      <c r="A26455" s="1"/>
      <c r="B26455" s="1" t="s">
        <v>7328</v>
      </c>
      <c r="C26455" s="1" t="s">
        <v>7329</v>
      </c>
      <c r="D26455" s="22" t="str">
        <f>HYPERLINK("https://rhld.insurance.arkansas.gov/NPILookup?Npi=1609395938","1609395938")</f>
        <v>1609395938</v>
      </c>
      <c r="E26455" s="1" t="s">
        <v>13350</v>
      </c>
      <c r="F26455" s="2"/>
      <c r="G26455" s="2"/>
      <c r="H26455" s="2"/>
    </row>
    <row r="26456" spans="1:8" x14ac:dyDescent="0.25">
      <c r="A26456" s="1"/>
      <c r="B26456" s="1" t="s">
        <v>7328</v>
      </c>
      <c r="C26456" s="1" t="s">
        <v>7329</v>
      </c>
      <c r="D26456" s="22" t="str">
        <f>HYPERLINK("https://rhld.insurance.arkansas.gov/NPILookup?Npi=1609402304","1609402304")</f>
        <v>1609402304</v>
      </c>
      <c r="E26456" s="1" t="s">
        <v>7929</v>
      </c>
      <c r="F26456" s="2"/>
      <c r="G26456" s="2"/>
      <c r="H26456" s="2"/>
    </row>
    <row r="26457" spans="1:8" x14ac:dyDescent="0.25">
      <c r="A26457" s="1"/>
      <c r="B26457" s="1" t="s">
        <v>7328</v>
      </c>
      <c r="C26457" s="1" t="s">
        <v>7329</v>
      </c>
      <c r="D26457" s="22" t="str">
        <f>HYPERLINK("https://rhld.insurance.arkansas.gov/NPILookup?Npi=1609407469","1609407469")</f>
        <v>1609407469</v>
      </c>
      <c r="E26457" s="1" t="s">
        <v>27827</v>
      </c>
      <c r="F26457" s="2"/>
      <c r="G26457" s="2"/>
      <c r="H26457" s="2"/>
    </row>
    <row r="26458" spans="1:8" x14ac:dyDescent="0.25">
      <c r="A26458" s="1"/>
      <c r="B26458" s="1" t="s">
        <v>7328</v>
      </c>
      <c r="C26458" s="1" t="s">
        <v>7329</v>
      </c>
      <c r="D26458" s="22" t="str">
        <f>HYPERLINK("https://rhld.insurance.arkansas.gov/NPILookup?Npi=1609410232","1609410232")</f>
        <v>1609410232</v>
      </c>
      <c r="E26458" s="1" t="s">
        <v>13351</v>
      </c>
      <c r="F26458" s="2"/>
      <c r="G26458" s="2"/>
      <c r="H26458" s="2"/>
    </row>
    <row r="26459" spans="1:8" x14ac:dyDescent="0.25">
      <c r="A26459" s="1"/>
      <c r="B26459" s="1" t="s">
        <v>7328</v>
      </c>
      <c r="C26459" s="1" t="s">
        <v>7329</v>
      </c>
      <c r="D26459" s="22" t="str">
        <f>HYPERLINK("https://rhld.insurance.arkansas.gov/NPILookup?Npi=1609430842","1609430842")</f>
        <v>1609430842</v>
      </c>
      <c r="E26459" s="1" t="s">
        <v>13352</v>
      </c>
      <c r="F26459" s="2"/>
      <c r="G26459" s="2"/>
      <c r="H26459" s="2"/>
    </row>
    <row r="26460" spans="1:8" x14ac:dyDescent="0.25">
      <c r="A26460" s="1"/>
      <c r="B26460" s="1" t="s">
        <v>7328</v>
      </c>
      <c r="C26460" s="1" t="s">
        <v>7329</v>
      </c>
      <c r="D26460" s="22" t="str">
        <f>HYPERLINK("https://rhld.insurance.arkansas.gov/NPILookup?Npi=1609434620","1609434620")</f>
        <v>1609434620</v>
      </c>
      <c r="E26460" s="1" t="s">
        <v>1392</v>
      </c>
      <c r="F26460" s="2"/>
      <c r="G26460" s="2"/>
      <c r="H26460" s="2"/>
    </row>
    <row r="26461" spans="1:8" x14ac:dyDescent="0.25">
      <c r="A26461" s="1"/>
      <c r="B26461" s="1" t="s">
        <v>7328</v>
      </c>
      <c r="C26461" s="1" t="s">
        <v>7329</v>
      </c>
      <c r="D26461" s="22" t="str">
        <f>HYPERLINK("https://rhld.insurance.arkansas.gov/NPILookup?Npi=1609436096","1609436096")</f>
        <v>1609436096</v>
      </c>
      <c r="E26461" s="1" t="s">
        <v>27828</v>
      </c>
      <c r="F26461" s="2"/>
      <c r="G26461" s="2"/>
      <c r="H26461" s="2"/>
    </row>
    <row r="26462" spans="1:8" x14ac:dyDescent="0.25">
      <c r="A26462" s="1"/>
      <c r="B26462" s="1" t="s">
        <v>7328</v>
      </c>
      <c r="C26462" s="1" t="s">
        <v>7329</v>
      </c>
      <c r="D26462" s="22" t="str">
        <f>HYPERLINK("https://rhld.insurance.arkansas.gov/NPILookup?Npi=1609445923","1609445923")</f>
        <v>1609445923</v>
      </c>
      <c r="E26462" s="1" t="s">
        <v>27829</v>
      </c>
      <c r="F26462" s="2"/>
      <c r="G26462" s="2"/>
      <c r="H26462" s="2"/>
    </row>
    <row r="26463" spans="1:8" x14ac:dyDescent="0.25">
      <c r="A26463" s="1"/>
      <c r="B26463" s="1" t="s">
        <v>7328</v>
      </c>
      <c r="C26463" s="1" t="s">
        <v>7329</v>
      </c>
      <c r="D26463" s="22" t="str">
        <f>HYPERLINK("https://rhld.insurance.arkansas.gov/NPILookup?Npi=1609447515","1609447515")</f>
        <v>1609447515</v>
      </c>
      <c r="E26463" s="1" t="s">
        <v>6464</v>
      </c>
      <c r="F26463" s="2"/>
      <c r="G26463" s="2"/>
      <c r="H26463" s="2"/>
    </row>
    <row r="26464" spans="1:8" x14ac:dyDescent="0.25">
      <c r="A26464" s="1"/>
      <c r="B26464" s="1" t="s">
        <v>7328</v>
      </c>
      <c r="C26464" s="1" t="s">
        <v>7329</v>
      </c>
      <c r="D26464" s="22" t="str">
        <f>HYPERLINK("https://rhld.insurance.arkansas.gov/NPILookup?Npi=1609450782","1609450782")</f>
        <v>1609450782</v>
      </c>
      <c r="E26464" s="1" t="s">
        <v>27830</v>
      </c>
      <c r="F26464" s="2"/>
      <c r="G26464" s="2"/>
      <c r="H26464" s="2"/>
    </row>
    <row r="26465" spans="1:8" x14ac:dyDescent="0.25">
      <c r="A26465" s="1"/>
      <c r="B26465" s="1" t="s">
        <v>7328</v>
      </c>
      <c r="C26465" s="1" t="s">
        <v>7329</v>
      </c>
      <c r="D26465" s="22" t="str">
        <f>HYPERLINK("https://rhld.insurance.arkansas.gov/NPILookup?Npi=1609459932","1609459932")</f>
        <v>1609459932</v>
      </c>
      <c r="E26465" s="1" t="s">
        <v>27831</v>
      </c>
      <c r="F26465" s="2"/>
      <c r="G26465" s="2"/>
      <c r="H26465" s="2"/>
    </row>
    <row r="26466" spans="1:8" x14ac:dyDescent="0.25">
      <c r="A26466" s="1"/>
      <c r="B26466" s="1" t="s">
        <v>7328</v>
      </c>
      <c r="C26466" s="1" t="s">
        <v>7329</v>
      </c>
      <c r="D26466" s="22" t="str">
        <f>HYPERLINK("https://rhld.insurance.arkansas.gov/NPILookup?Npi=1609466473","1609466473")</f>
        <v>1609466473</v>
      </c>
      <c r="E26466" s="1" t="s">
        <v>27832</v>
      </c>
      <c r="F26466" s="2"/>
      <c r="G26466" s="2"/>
      <c r="H26466" s="2"/>
    </row>
    <row r="26467" spans="1:8" x14ac:dyDescent="0.25">
      <c r="A26467" s="1"/>
      <c r="B26467" s="1" t="s">
        <v>7328</v>
      </c>
      <c r="C26467" s="1" t="s">
        <v>7329</v>
      </c>
      <c r="D26467" s="22" t="str">
        <f>HYPERLINK("https://rhld.insurance.arkansas.gov/NPILookup?Npi=1609485663","1609485663")</f>
        <v>1609485663</v>
      </c>
      <c r="E26467" s="1" t="s">
        <v>2041</v>
      </c>
      <c r="F26467" s="2"/>
      <c r="G26467" s="2"/>
      <c r="H26467" s="2"/>
    </row>
    <row r="26468" spans="1:8" x14ac:dyDescent="0.25">
      <c r="A26468" s="1"/>
      <c r="B26468" s="1" t="s">
        <v>7328</v>
      </c>
      <c r="C26468" s="1" t="s">
        <v>7329</v>
      </c>
      <c r="D26468" s="22" t="str">
        <f>HYPERLINK("https://rhld.insurance.arkansas.gov/NPILookup?Npi=1609487933","1609487933")</f>
        <v>1609487933</v>
      </c>
      <c r="E26468" s="1" t="s">
        <v>27833</v>
      </c>
      <c r="F26468" s="2"/>
      <c r="G26468" s="2"/>
      <c r="H26468" s="2"/>
    </row>
    <row r="26469" spans="1:8" x14ac:dyDescent="0.25">
      <c r="A26469" s="1"/>
      <c r="B26469" s="1" t="s">
        <v>7328</v>
      </c>
      <c r="C26469" s="1" t="s">
        <v>7329</v>
      </c>
      <c r="D26469" s="22" t="str">
        <f>HYPERLINK("https://rhld.insurance.arkansas.gov/NPILookup?Npi=1609492420","1609492420")</f>
        <v>1609492420</v>
      </c>
      <c r="E26469" s="1" t="s">
        <v>27834</v>
      </c>
      <c r="F26469" s="2"/>
      <c r="G26469" s="2"/>
      <c r="H26469" s="2"/>
    </row>
    <row r="26470" spans="1:8" x14ac:dyDescent="0.25">
      <c r="A26470" s="1"/>
      <c r="B26470" s="1" t="s">
        <v>7328</v>
      </c>
      <c r="C26470" s="1" t="s">
        <v>7329</v>
      </c>
      <c r="D26470" s="22" t="str">
        <f>HYPERLINK("https://rhld.insurance.arkansas.gov/NPILookup?Npi=1609499904","1609499904")</f>
        <v>1609499904</v>
      </c>
      <c r="E26470" s="1" t="s">
        <v>6466</v>
      </c>
      <c r="F26470" s="2"/>
      <c r="G26470" s="2"/>
      <c r="H26470" s="2"/>
    </row>
    <row r="26471" spans="1:8" x14ac:dyDescent="0.25">
      <c r="A26471" s="1"/>
      <c r="B26471" s="1" t="s">
        <v>7328</v>
      </c>
      <c r="C26471" s="1" t="s">
        <v>7329</v>
      </c>
      <c r="D26471" s="22" t="str">
        <f>HYPERLINK("https://rhld.insurance.arkansas.gov/NPILookup?Npi=1609504430","1609504430")</f>
        <v>1609504430</v>
      </c>
      <c r="E26471" s="1" t="s">
        <v>2391</v>
      </c>
      <c r="F26471" s="2"/>
      <c r="G26471" s="2"/>
      <c r="H26471" s="2"/>
    </row>
    <row r="26472" spans="1:8" x14ac:dyDescent="0.25">
      <c r="A26472" s="1"/>
      <c r="B26472" s="1" t="s">
        <v>7328</v>
      </c>
      <c r="C26472" s="1" t="s">
        <v>7329</v>
      </c>
      <c r="D26472" s="22" t="str">
        <f>HYPERLINK("https://rhld.insurance.arkansas.gov/NPILookup?Npi=1609534247","1609534247")</f>
        <v>1609534247</v>
      </c>
      <c r="E26472" s="1" t="s">
        <v>7930</v>
      </c>
      <c r="F26472" s="2"/>
      <c r="G26472" s="2"/>
      <c r="H26472" s="2"/>
    </row>
    <row r="26473" spans="1:8" x14ac:dyDescent="0.25">
      <c r="A26473" s="1"/>
      <c r="B26473" s="1" t="s">
        <v>7328</v>
      </c>
      <c r="C26473" s="1" t="s">
        <v>7329</v>
      </c>
      <c r="D26473" s="22" t="str">
        <f>HYPERLINK("https://rhld.insurance.arkansas.gov/NPILookup?Npi=1609534981","1609534981")</f>
        <v>1609534981</v>
      </c>
      <c r="E26473" s="1" t="s">
        <v>13353</v>
      </c>
      <c r="F26473" s="2"/>
      <c r="G26473" s="2"/>
      <c r="H26473" s="2"/>
    </row>
    <row r="26474" spans="1:8" x14ac:dyDescent="0.25">
      <c r="A26474" s="1"/>
      <c r="B26474" s="1" t="s">
        <v>7328</v>
      </c>
      <c r="C26474" s="1" t="s">
        <v>7329</v>
      </c>
      <c r="D26474" s="22" t="str">
        <f>HYPERLINK("https://rhld.insurance.arkansas.gov/NPILookup?Npi=1609537430","1609537430")</f>
        <v>1609537430</v>
      </c>
      <c r="E26474" s="1" t="s">
        <v>13354</v>
      </c>
      <c r="F26474" s="2"/>
      <c r="G26474" s="2"/>
      <c r="H26474" s="2"/>
    </row>
    <row r="26475" spans="1:8" x14ac:dyDescent="0.25">
      <c r="A26475" s="1"/>
      <c r="B26475" s="1" t="s">
        <v>7328</v>
      </c>
      <c r="C26475" s="1" t="s">
        <v>7329</v>
      </c>
      <c r="D26475" s="22" t="str">
        <f>HYPERLINK("https://rhld.insurance.arkansas.gov/NPILookup?Npi=1609556901","1609556901")</f>
        <v>1609556901</v>
      </c>
      <c r="E26475" s="1" t="s">
        <v>7931</v>
      </c>
      <c r="F26475" s="2"/>
      <c r="G26475" s="2"/>
      <c r="H26475" s="2"/>
    </row>
    <row r="26476" spans="1:8" x14ac:dyDescent="0.25">
      <c r="A26476" s="1"/>
      <c r="B26476" s="1" t="s">
        <v>7328</v>
      </c>
      <c r="C26476" s="1" t="s">
        <v>7329</v>
      </c>
      <c r="D26476" s="22" t="str">
        <f>HYPERLINK("https://rhld.insurance.arkansas.gov/NPILookup?Npi=1609570431","1609570431")</f>
        <v>1609570431</v>
      </c>
      <c r="E26476" s="1" t="s">
        <v>27835</v>
      </c>
      <c r="F26476" s="2"/>
      <c r="G26476" s="2"/>
      <c r="H26476" s="2"/>
    </row>
    <row r="26477" spans="1:8" x14ac:dyDescent="0.25">
      <c r="A26477" s="1"/>
      <c r="B26477" s="1" t="s">
        <v>7328</v>
      </c>
      <c r="C26477" s="1" t="s">
        <v>7329</v>
      </c>
      <c r="D26477" s="22" t="str">
        <f>HYPERLINK("https://rhld.insurance.arkansas.gov/NPILookup?Npi=1609573203","1609573203")</f>
        <v>1609573203</v>
      </c>
      <c r="E26477" s="1" t="s">
        <v>13355</v>
      </c>
      <c r="F26477" s="2"/>
      <c r="G26477" s="2"/>
      <c r="H26477" s="2"/>
    </row>
    <row r="26478" spans="1:8" x14ac:dyDescent="0.25">
      <c r="A26478" s="1"/>
      <c r="B26478" s="1" t="s">
        <v>7328</v>
      </c>
      <c r="C26478" s="1" t="s">
        <v>7329</v>
      </c>
      <c r="D26478" s="22" t="str">
        <f>HYPERLINK("https://rhld.insurance.arkansas.gov/NPILookup?Npi=1609586585","1609586585")</f>
        <v>1609586585</v>
      </c>
      <c r="E26478" s="1" t="s">
        <v>5865</v>
      </c>
      <c r="F26478" s="2"/>
      <c r="G26478" s="2"/>
      <c r="H26478" s="2"/>
    </row>
    <row r="26479" spans="1:8" x14ac:dyDescent="0.25">
      <c r="A26479" s="1"/>
      <c r="B26479" s="1" t="s">
        <v>7328</v>
      </c>
      <c r="C26479" s="1" t="s">
        <v>7329</v>
      </c>
      <c r="D26479" s="22" t="str">
        <f>HYPERLINK("https://rhld.insurance.arkansas.gov/NPILookup?Npi=1609631670","1609631670")</f>
        <v>1609631670</v>
      </c>
      <c r="E26479" s="1" t="s">
        <v>27836</v>
      </c>
      <c r="F26479" s="2"/>
      <c r="G26479" s="2"/>
      <c r="H26479" s="2"/>
    </row>
    <row r="26480" spans="1:8" x14ac:dyDescent="0.25">
      <c r="A26480" s="1"/>
      <c r="B26480" s="1" t="s">
        <v>7328</v>
      </c>
      <c r="C26480" s="1" t="s">
        <v>7329</v>
      </c>
      <c r="D26480" s="22" t="str">
        <f>HYPERLINK("https://rhld.insurance.arkansas.gov/NPILookup?Npi=1609638378","1609638378")</f>
        <v>1609638378</v>
      </c>
      <c r="E26480" s="1" t="s">
        <v>27837</v>
      </c>
      <c r="F26480" s="2"/>
      <c r="G26480" s="2"/>
      <c r="H26480" s="2"/>
    </row>
    <row r="26481" spans="1:8" x14ac:dyDescent="0.25">
      <c r="A26481" s="1"/>
      <c r="B26481" s="1" t="s">
        <v>7328</v>
      </c>
      <c r="C26481" s="1" t="s">
        <v>7329</v>
      </c>
      <c r="D26481" s="22" t="str">
        <f>HYPERLINK("https://rhld.insurance.arkansas.gov/NPILookup?Npi=1609647015","1609647015")</f>
        <v>1609647015</v>
      </c>
      <c r="E26481" s="1" t="s">
        <v>32302</v>
      </c>
      <c r="F26481" s="2"/>
      <c r="G26481" s="2"/>
      <c r="H26481" s="2"/>
    </row>
    <row r="26482" spans="1:8" x14ac:dyDescent="0.25">
      <c r="A26482" s="1"/>
      <c r="B26482" s="1" t="s">
        <v>7328</v>
      </c>
      <c r="C26482" s="1" t="s">
        <v>7329</v>
      </c>
      <c r="D26482" s="22" t="str">
        <f>HYPERLINK("https://rhld.insurance.arkansas.gov/NPILookup?Npi=1609651561","1609651561")</f>
        <v>1609651561</v>
      </c>
      <c r="E26482" s="1" t="s">
        <v>7932</v>
      </c>
      <c r="F26482" s="2"/>
      <c r="G26482" s="2"/>
      <c r="H26482" s="2"/>
    </row>
    <row r="26483" spans="1:8" x14ac:dyDescent="0.25">
      <c r="A26483" s="1"/>
      <c r="B26483" s="1" t="s">
        <v>7328</v>
      </c>
      <c r="C26483" s="1" t="s">
        <v>7329</v>
      </c>
      <c r="D26483" s="22" t="str">
        <f>HYPERLINK("https://rhld.insurance.arkansas.gov/NPILookup?Npi=1609815877","1609815877")</f>
        <v>1609815877</v>
      </c>
      <c r="E26483" s="1" t="s">
        <v>27838</v>
      </c>
      <c r="F26483" s="2"/>
      <c r="G26483" s="2"/>
      <c r="H26483" s="2"/>
    </row>
    <row r="26484" spans="1:8" x14ac:dyDescent="0.25">
      <c r="A26484" s="1"/>
      <c r="B26484" s="1" t="s">
        <v>7328</v>
      </c>
      <c r="C26484" s="1" t="s">
        <v>7329</v>
      </c>
      <c r="D26484" s="22" t="str">
        <f>HYPERLINK("https://rhld.insurance.arkansas.gov/NPILookup?Npi=1609819077","1609819077")</f>
        <v>1609819077</v>
      </c>
      <c r="E26484" s="1" t="s">
        <v>27839</v>
      </c>
      <c r="F26484" s="2"/>
      <c r="G26484" s="2"/>
      <c r="H26484" s="2"/>
    </row>
    <row r="26485" spans="1:8" x14ac:dyDescent="0.25">
      <c r="A26485" s="1"/>
      <c r="B26485" s="1" t="s">
        <v>7328</v>
      </c>
      <c r="C26485" s="1" t="s">
        <v>7329</v>
      </c>
      <c r="D26485" s="22" t="str">
        <f>HYPERLINK("https://rhld.insurance.arkansas.gov/NPILookup?Npi=1609826486","1609826486")</f>
        <v>1609826486</v>
      </c>
      <c r="E26485" s="1" t="s">
        <v>10382</v>
      </c>
      <c r="F26485" s="2"/>
      <c r="G26485" s="2"/>
      <c r="H26485" s="2"/>
    </row>
    <row r="26486" spans="1:8" x14ac:dyDescent="0.25">
      <c r="A26486" s="1"/>
      <c r="B26486" s="1" t="s">
        <v>7328</v>
      </c>
      <c r="C26486" s="1" t="s">
        <v>7329</v>
      </c>
      <c r="D26486" s="22" t="str">
        <f>HYPERLINK("https://rhld.insurance.arkansas.gov/NPILookup?Npi=1609834597","1609834597")</f>
        <v>1609834597</v>
      </c>
      <c r="E26486" s="1" t="s">
        <v>27840</v>
      </c>
      <c r="F26486" s="2"/>
      <c r="G26486" s="2"/>
      <c r="H26486" s="2"/>
    </row>
    <row r="26487" spans="1:8" x14ac:dyDescent="0.25">
      <c r="A26487" s="1"/>
      <c r="B26487" s="1" t="s">
        <v>7328</v>
      </c>
      <c r="C26487" s="1" t="s">
        <v>7329</v>
      </c>
      <c r="D26487" s="22" t="str">
        <f>HYPERLINK("https://rhld.insurance.arkansas.gov/NPILookup?Npi=1609835909","1609835909")</f>
        <v>1609835909</v>
      </c>
      <c r="E26487" s="1" t="s">
        <v>13356</v>
      </c>
      <c r="F26487" s="2"/>
      <c r="G26487" s="2"/>
      <c r="H26487" s="2"/>
    </row>
    <row r="26488" spans="1:8" x14ac:dyDescent="0.25">
      <c r="A26488" s="1"/>
      <c r="B26488" s="1" t="s">
        <v>7328</v>
      </c>
      <c r="C26488" s="1" t="s">
        <v>7329</v>
      </c>
      <c r="D26488" s="22" t="str">
        <f>HYPERLINK("https://rhld.insurance.arkansas.gov/NPILookup?Npi=1609839653","1609839653")</f>
        <v>1609839653</v>
      </c>
      <c r="E26488" s="1" t="s">
        <v>2926</v>
      </c>
      <c r="F26488" s="2"/>
      <c r="G26488" s="2"/>
      <c r="H26488" s="2"/>
    </row>
    <row r="26489" spans="1:8" x14ac:dyDescent="0.25">
      <c r="A26489" s="1"/>
      <c r="B26489" s="1" t="s">
        <v>7328</v>
      </c>
      <c r="C26489" s="1" t="s">
        <v>7329</v>
      </c>
      <c r="D26489" s="22" t="str">
        <f>HYPERLINK("https://rhld.insurance.arkansas.gov/NPILookup?Npi=1609873132","1609873132")</f>
        <v>1609873132</v>
      </c>
      <c r="E26489" s="1" t="s">
        <v>207</v>
      </c>
      <c r="F26489" s="2"/>
      <c r="G26489" s="2"/>
      <c r="H26489" s="2"/>
    </row>
    <row r="26490" spans="1:8" x14ac:dyDescent="0.25">
      <c r="A26490" s="1"/>
      <c r="B26490" s="1" t="s">
        <v>7328</v>
      </c>
      <c r="C26490" s="1" t="s">
        <v>7329</v>
      </c>
      <c r="D26490" s="22" t="str">
        <f>HYPERLINK("https://rhld.insurance.arkansas.gov/NPILookup?Npi=1609873983","1609873983")</f>
        <v>1609873983</v>
      </c>
      <c r="E26490" s="1" t="s">
        <v>13357</v>
      </c>
      <c r="F26490" s="2"/>
      <c r="G26490" s="2"/>
      <c r="H26490" s="2"/>
    </row>
    <row r="26491" spans="1:8" x14ac:dyDescent="0.25">
      <c r="A26491" s="1"/>
      <c r="B26491" s="1" t="s">
        <v>7328</v>
      </c>
      <c r="C26491" s="1" t="s">
        <v>7329</v>
      </c>
      <c r="D26491" s="22" t="str">
        <f>HYPERLINK("https://rhld.insurance.arkansas.gov/NPILookup?Npi=1609882497","1609882497")</f>
        <v>1609882497</v>
      </c>
      <c r="E26491" s="1" t="s">
        <v>13358</v>
      </c>
      <c r="F26491" s="2"/>
      <c r="G26491" s="2"/>
      <c r="H26491" s="2"/>
    </row>
    <row r="26492" spans="1:8" x14ac:dyDescent="0.25">
      <c r="A26492" s="1"/>
      <c r="B26492" s="1" t="s">
        <v>7328</v>
      </c>
      <c r="C26492" s="1" t="s">
        <v>7329</v>
      </c>
      <c r="D26492" s="22" t="str">
        <f>HYPERLINK("https://rhld.insurance.arkansas.gov/NPILookup?Npi=1609895911","1609895911")</f>
        <v>1609895911</v>
      </c>
      <c r="E26492" s="1" t="s">
        <v>27841</v>
      </c>
      <c r="F26492" s="2"/>
      <c r="G26492" s="2"/>
      <c r="H26492" s="2"/>
    </row>
    <row r="26493" spans="1:8" x14ac:dyDescent="0.25">
      <c r="A26493" s="1"/>
      <c r="B26493" s="1" t="s">
        <v>7328</v>
      </c>
      <c r="C26493" s="1" t="s">
        <v>7329</v>
      </c>
      <c r="D26493" s="22" t="str">
        <f>HYPERLINK("https://rhld.insurance.arkansas.gov/NPILookup?Npi=1609904853","1609904853")</f>
        <v>1609904853</v>
      </c>
      <c r="E26493" s="1" t="s">
        <v>27842</v>
      </c>
      <c r="F26493" s="2"/>
      <c r="G26493" s="2"/>
      <c r="H26493" s="2"/>
    </row>
    <row r="26494" spans="1:8" x14ac:dyDescent="0.25">
      <c r="A26494" s="1"/>
      <c r="B26494" s="1" t="s">
        <v>7328</v>
      </c>
      <c r="C26494" s="1" t="s">
        <v>7329</v>
      </c>
      <c r="D26494" s="22" t="str">
        <f>HYPERLINK("https://rhld.insurance.arkansas.gov/NPILookup?Npi=1609927706","1609927706")</f>
        <v>1609927706</v>
      </c>
      <c r="E26494" s="1" t="s">
        <v>2927</v>
      </c>
      <c r="F26494" s="2"/>
      <c r="G26494" s="2"/>
      <c r="H26494" s="2"/>
    </row>
    <row r="26495" spans="1:8" x14ac:dyDescent="0.25">
      <c r="A26495" s="1"/>
      <c r="B26495" s="1" t="s">
        <v>7328</v>
      </c>
      <c r="C26495" s="1" t="s">
        <v>7329</v>
      </c>
      <c r="D26495" s="22" t="str">
        <f>HYPERLINK("https://rhld.insurance.arkansas.gov/NPILookup?Npi=1609949486","1609949486")</f>
        <v>1609949486</v>
      </c>
      <c r="E26495" s="1" t="s">
        <v>13359</v>
      </c>
      <c r="F26495" s="2"/>
      <c r="G26495" s="2"/>
      <c r="H26495" s="2"/>
    </row>
    <row r="26496" spans="1:8" x14ac:dyDescent="0.25">
      <c r="A26496" s="1"/>
      <c r="B26496" s="1" t="s">
        <v>7328</v>
      </c>
      <c r="C26496" s="1" t="s">
        <v>7329</v>
      </c>
      <c r="D26496" s="22" t="str">
        <f>HYPERLINK("https://rhld.insurance.arkansas.gov/NPILookup?Npi=1609952696","1609952696")</f>
        <v>1609952696</v>
      </c>
      <c r="E26496" s="1" t="s">
        <v>27843</v>
      </c>
      <c r="F26496" s="2"/>
      <c r="G26496" s="2"/>
      <c r="H26496" s="2"/>
    </row>
    <row r="26497" spans="1:8" x14ac:dyDescent="0.25">
      <c r="A26497" s="1"/>
      <c r="B26497" s="1" t="s">
        <v>7328</v>
      </c>
      <c r="C26497" s="1" t="s">
        <v>7329</v>
      </c>
      <c r="D26497" s="22" t="str">
        <f>HYPERLINK("https://rhld.insurance.arkansas.gov/NPILookup?Npi=1609954148","1609954148")</f>
        <v>1609954148</v>
      </c>
      <c r="E26497" s="1" t="s">
        <v>27844</v>
      </c>
      <c r="F26497" s="2"/>
      <c r="G26497" s="2"/>
      <c r="H26497" s="2"/>
    </row>
    <row r="26498" spans="1:8" x14ac:dyDescent="0.25">
      <c r="A26498" s="1"/>
      <c r="B26498" s="1" t="s">
        <v>7328</v>
      </c>
      <c r="C26498" s="1" t="s">
        <v>7329</v>
      </c>
      <c r="D26498" s="22" t="str">
        <f>HYPERLINK("https://rhld.insurance.arkansas.gov/NPILookup?Npi=1609979426","1609979426")</f>
        <v>1609979426</v>
      </c>
      <c r="E26498" s="1" t="s">
        <v>27845</v>
      </c>
      <c r="F26498" s="2"/>
      <c r="G26498" s="2"/>
      <c r="H26498" s="2"/>
    </row>
    <row r="26499" spans="1:8" x14ac:dyDescent="0.25">
      <c r="A26499" s="1"/>
      <c r="B26499" s="1" t="s">
        <v>7328</v>
      </c>
      <c r="C26499" s="1" t="s">
        <v>7329</v>
      </c>
      <c r="D26499" s="22" t="str">
        <f>HYPERLINK("https://rhld.insurance.arkansas.gov/NPILookup?Npi=1609988278","1609988278")</f>
        <v>1609988278</v>
      </c>
      <c r="E26499" s="1" t="s">
        <v>27846</v>
      </c>
      <c r="F26499" s="2"/>
      <c r="G26499" s="2"/>
      <c r="H26499" s="2"/>
    </row>
    <row r="26500" spans="1:8" x14ac:dyDescent="0.25">
      <c r="A26500" s="1"/>
      <c r="B26500" s="1" t="s">
        <v>7328</v>
      </c>
      <c r="C26500" s="1" t="s">
        <v>7329</v>
      </c>
      <c r="D26500" s="22" t="str">
        <f>HYPERLINK("https://rhld.insurance.arkansas.gov/NPILookup?Npi=1609989250","1609989250")</f>
        <v>1609989250</v>
      </c>
      <c r="E26500" s="1" t="s">
        <v>208</v>
      </c>
      <c r="F26500" s="2"/>
      <c r="G26500" s="2"/>
      <c r="H26500" s="2"/>
    </row>
    <row r="26501" spans="1:8" x14ac:dyDescent="0.25">
      <c r="A26501" s="1"/>
      <c r="B26501" s="1" t="s">
        <v>7328</v>
      </c>
      <c r="C26501" s="1" t="s">
        <v>7329</v>
      </c>
      <c r="D26501" s="22" t="str">
        <f>HYPERLINK("https://rhld.insurance.arkansas.gov/NPILookup?Npi=1619046679","1619046679")</f>
        <v>1619046679</v>
      </c>
      <c r="E26501" s="1" t="s">
        <v>27847</v>
      </c>
      <c r="F26501" s="2"/>
      <c r="G26501" s="2"/>
      <c r="H26501" s="2"/>
    </row>
    <row r="26502" spans="1:8" x14ac:dyDescent="0.25">
      <c r="A26502" s="1"/>
      <c r="B26502" s="1" t="s">
        <v>7328</v>
      </c>
      <c r="C26502" s="1" t="s">
        <v>7329</v>
      </c>
      <c r="D26502" s="22" t="str">
        <f>HYPERLINK("https://rhld.insurance.arkansas.gov/NPILookup?Npi=1619049384","1619049384")</f>
        <v>1619049384</v>
      </c>
      <c r="E26502" s="1" t="s">
        <v>275</v>
      </c>
      <c r="F26502" s="2"/>
      <c r="G26502" s="2"/>
      <c r="H26502" s="2"/>
    </row>
    <row r="26503" spans="1:8" x14ac:dyDescent="0.25">
      <c r="A26503" s="1"/>
      <c r="B26503" s="1" t="s">
        <v>7328</v>
      </c>
      <c r="C26503" s="1" t="s">
        <v>7329</v>
      </c>
      <c r="D26503" s="22" t="str">
        <f>HYPERLINK("https://rhld.insurance.arkansas.gov/NPILookup?Npi=1619064763","1619064763")</f>
        <v>1619064763</v>
      </c>
      <c r="E26503" s="1" t="s">
        <v>27848</v>
      </c>
      <c r="F26503" s="2"/>
      <c r="G26503" s="2"/>
      <c r="H26503" s="2"/>
    </row>
    <row r="26504" spans="1:8" x14ac:dyDescent="0.25">
      <c r="A26504" s="1"/>
      <c r="B26504" s="1" t="s">
        <v>7328</v>
      </c>
      <c r="C26504" s="1" t="s">
        <v>7329</v>
      </c>
      <c r="D26504" s="22" t="str">
        <f>HYPERLINK("https://rhld.insurance.arkansas.gov/NPILookup?Npi=1619082310","1619082310")</f>
        <v>1619082310</v>
      </c>
      <c r="E26504" s="1" t="s">
        <v>2928</v>
      </c>
      <c r="F26504" s="2"/>
      <c r="G26504" s="2"/>
      <c r="H26504" s="2"/>
    </row>
    <row r="26505" spans="1:8" x14ac:dyDescent="0.25">
      <c r="A26505" s="1"/>
      <c r="B26505" s="1" t="s">
        <v>7328</v>
      </c>
      <c r="C26505" s="1" t="s">
        <v>7329</v>
      </c>
      <c r="D26505" s="22" t="str">
        <f>HYPERLINK("https://rhld.insurance.arkansas.gov/NPILookup?Npi=1619088390","1619088390")</f>
        <v>1619088390</v>
      </c>
      <c r="E26505" s="1" t="s">
        <v>2929</v>
      </c>
      <c r="F26505" s="2"/>
      <c r="G26505" s="2"/>
      <c r="H26505" s="2"/>
    </row>
    <row r="26506" spans="1:8" x14ac:dyDescent="0.25">
      <c r="A26506" s="1"/>
      <c r="B26506" s="1" t="s">
        <v>7328</v>
      </c>
      <c r="C26506" s="1" t="s">
        <v>7329</v>
      </c>
      <c r="D26506" s="22" t="str">
        <f>HYPERLINK("https://rhld.insurance.arkansas.gov/NPILookup?Npi=1619103058","1619103058")</f>
        <v>1619103058</v>
      </c>
      <c r="E26506" s="1" t="s">
        <v>7933</v>
      </c>
      <c r="F26506" s="2"/>
      <c r="G26506" s="2"/>
      <c r="H26506" s="2"/>
    </row>
    <row r="26507" spans="1:8" x14ac:dyDescent="0.25">
      <c r="A26507" s="1"/>
      <c r="B26507" s="1" t="s">
        <v>7328</v>
      </c>
      <c r="C26507" s="1" t="s">
        <v>7329</v>
      </c>
      <c r="D26507" s="22" t="str">
        <f>HYPERLINK("https://rhld.insurance.arkansas.gov/NPILookup?Npi=1619105277","1619105277")</f>
        <v>1619105277</v>
      </c>
      <c r="E26507" s="1" t="s">
        <v>17709</v>
      </c>
      <c r="F26507" s="2"/>
      <c r="G26507" s="2"/>
      <c r="H26507" s="2"/>
    </row>
    <row r="26508" spans="1:8" x14ac:dyDescent="0.25">
      <c r="A26508" s="1"/>
      <c r="B26508" s="1" t="s">
        <v>7328</v>
      </c>
      <c r="C26508" s="1" t="s">
        <v>7329</v>
      </c>
      <c r="D26508" s="22" t="str">
        <f>HYPERLINK("https://rhld.insurance.arkansas.gov/NPILookup?Npi=1619128360","1619128360")</f>
        <v>1619128360</v>
      </c>
      <c r="E26508" s="1" t="s">
        <v>17711</v>
      </c>
      <c r="F26508" s="2"/>
      <c r="G26508" s="2"/>
      <c r="H26508" s="2"/>
    </row>
    <row r="26509" spans="1:8" x14ac:dyDescent="0.25">
      <c r="A26509" s="1"/>
      <c r="B26509" s="1" t="s">
        <v>7328</v>
      </c>
      <c r="C26509" s="1" t="s">
        <v>7329</v>
      </c>
      <c r="D26509" s="22" t="str">
        <f>HYPERLINK("https://rhld.insurance.arkansas.gov/NPILookup?Npi=1619129616","1619129616")</f>
        <v>1619129616</v>
      </c>
      <c r="E26509" s="1" t="s">
        <v>27849</v>
      </c>
      <c r="F26509" s="2"/>
      <c r="G26509" s="2"/>
      <c r="H26509" s="2"/>
    </row>
    <row r="26510" spans="1:8" x14ac:dyDescent="0.25">
      <c r="A26510" s="1"/>
      <c r="B26510" s="1" t="s">
        <v>7328</v>
      </c>
      <c r="C26510" s="1" t="s">
        <v>7329</v>
      </c>
      <c r="D26510" s="22" t="str">
        <f>HYPERLINK("https://rhld.insurance.arkansas.gov/NPILookup?Npi=1619136306","1619136306")</f>
        <v>1619136306</v>
      </c>
      <c r="E26510" s="1" t="s">
        <v>27850</v>
      </c>
      <c r="F26510" s="2"/>
      <c r="G26510" s="2"/>
      <c r="H26510" s="2"/>
    </row>
    <row r="26511" spans="1:8" x14ac:dyDescent="0.25">
      <c r="A26511" s="1"/>
      <c r="B26511" s="1" t="s">
        <v>7328</v>
      </c>
      <c r="C26511" s="1" t="s">
        <v>7329</v>
      </c>
      <c r="D26511" s="22" t="str">
        <f>HYPERLINK("https://rhld.insurance.arkansas.gov/NPILookup?Npi=1619162179","1619162179")</f>
        <v>1619162179</v>
      </c>
      <c r="E26511" s="1" t="s">
        <v>13360</v>
      </c>
      <c r="F26511" s="2"/>
      <c r="G26511" s="2"/>
      <c r="H26511" s="2"/>
    </row>
    <row r="26512" spans="1:8" x14ac:dyDescent="0.25">
      <c r="A26512" s="1"/>
      <c r="B26512" s="1" t="s">
        <v>7328</v>
      </c>
      <c r="C26512" s="1" t="s">
        <v>7329</v>
      </c>
      <c r="D26512" s="22" t="str">
        <f>HYPERLINK("https://rhld.insurance.arkansas.gov/NPILookup?Npi=1619173150","1619173150")</f>
        <v>1619173150</v>
      </c>
      <c r="E26512" s="1" t="s">
        <v>27851</v>
      </c>
      <c r="F26512" s="2"/>
      <c r="G26512" s="2"/>
      <c r="H26512" s="2"/>
    </row>
    <row r="26513" spans="1:8" x14ac:dyDescent="0.25">
      <c r="A26513" s="1"/>
      <c r="B26513" s="1" t="s">
        <v>7328</v>
      </c>
      <c r="C26513" s="1" t="s">
        <v>7329</v>
      </c>
      <c r="D26513" s="22" t="str">
        <f>HYPERLINK("https://rhld.insurance.arkansas.gov/NPILookup?Npi=1619184777","1619184777")</f>
        <v>1619184777</v>
      </c>
      <c r="E26513" s="1" t="s">
        <v>13361</v>
      </c>
      <c r="F26513" s="2"/>
      <c r="G26513" s="2"/>
      <c r="H26513" s="2"/>
    </row>
    <row r="26514" spans="1:8" x14ac:dyDescent="0.25">
      <c r="A26514" s="1"/>
      <c r="B26514" s="1" t="s">
        <v>7328</v>
      </c>
      <c r="C26514" s="1" t="s">
        <v>7329</v>
      </c>
      <c r="D26514" s="22" t="str">
        <f>HYPERLINK("https://rhld.insurance.arkansas.gov/NPILookup?Npi=1619210754","1619210754")</f>
        <v>1619210754</v>
      </c>
      <c r="E26514" s="1" t="s">
        <v>27852</v>
      </c>
      <c r="F26514" s="2"/>
      <c r="G26514" s="2"/>
      <c r="H26514" s="2"/>
    </row>
    <row r="26515" spans="1:8" x14ac:dyDescent="0.25">
      <c r="A26515" s="1"/>
      <c r="B26515" s="1" t="s">
        <v>7328</v>
      </c>
      <c r="C26515" s="1" t="s">
        <v>7329</v>
      </c>
      <c r="D26515" s="22" t="str">
        <f>HYPERLINK("https://rhld.insurance.arkansas.gov/NPILookup?Npi=1619216496","1619216496")</f>
        <v>1619216496</v>
      </c>
      <c r="E26515" s="1" t="s">
        <v>13362</v>
      </c>
      <c r="F26515" s="2"/>
      <c r="G26515" s="2"/>
      <c r="H26515" s="2"/>
    </row>
    <row r="26516" spans="1:8" x14ac:dyDescent="0.25">
      <c r="A26516" s="1"/>
      <c r="B26516" s="1" t="s">
        <v>7328</v>
      </c>
      <c r="C26516" s="1" t="s">
        <v>7329</v>
      </c>
      <c r="D26516" s="22" t="str">
        <f>HYPERLINK("https://rhld.insurance.arkansas.gov/NPILookup?Npi=1619226032","1619226032")</f>
        <v>1619226032</v>
      </c>
      <c r="E26516" s="1" t="s">
        <v>7934</v>
      </c>
      <c r="F26516" s="2"/>
      <c r="G26516" s="2"/>
      <c r="H26516" s="2"/>
    </row>
    <row r="26517" spans="1:8" x14ac:dyDescent="0.25">
      <c r="A26517" s="1"/>
      <c r="B26517" s="1" t="s">
        <v>7328</v>
      </c>
      <c r="C26517" s="1" t="s">
        <v>7329</v>
      </c>
      <c r="D26517" s="22" t="str">
        <f>HYPERLINK("https://rhld.insurance.arkansas.gov/NPILookup?Npi=1619226727","1619226727")</f>
        <v>1619226727</v>
      </c>
      <c r="E26517" s="1" t="s">
        <v>7935</v>
      </c>
      <c r="F26517" s="2"/>
      <c r="G26517" s="2"/>
      <c r="H26517" s="2"/>
    </row>
    <row r="26518" spans="1:8" x14ac:dyDescent="0.25">
      <c r="A26518" s="1"/>
      <c r="B26518" s="1" t="s">
        <v>7328</v>
      </c>
      <c r="C26518" s="1" t="s">
        <v>7329</v>
      </c>
      <c r="D26518" s="22" t="str">
        <f>HYPERLINK("https://rhld.insurance.arkansas.gov/NPILookup?Npi=1619236981","1619236981")</f>
        <v>1619236981</v>
      </c>
      <c r="E26518" s="1" t="s">
        <v>10385</v>
      </c>
      <c r="F26518" s="2"/>
      <c r="G26518" s="2"/>
      <c r="H26518" s="2"/>
    </row>
    <row r="26519" spans="1:8" x14ac:dyDescent="0.25">
      <c r="A26519" s="1"/>
      <c r="B26519" s="1" t="s">
        <v>7328</v>
      </c>
      <c r="C26519" s="1" t="s">
        <v>7329</v>
      </c>
      <c r="D26519" s="22" t="str">
        <f>HYPERLINK("https://rhld.insurance.arkansas.gov/NPILookup?Npi=1619268455","1619268455")</f>
        <v>1619268455</v>
      </c>
      <c r="E26519" s="1" t="s">
        <v>10386</v>
      </c>
      <c r="F26519" s="2"/>
      <c r="G26519" s="2"/>
      <c r="H26519" s="2"/>
    </row>
    <row r="26520" spans="1:8" x14ac:dyDescent="0.25">
      <c r="A26520" s="1"/>
      <c r="B26520" s="1" t="s">
        <v>7328</v>
      </c>
      <c r="C26520" s="1" t="s">
        <v>7329</v>
      </c>
      <c r="D26520" s="22" t="str">
        <f>HYPERLINK("https://rhld.insurance.arkansas.gov/NPILookup?Npi=1619282787","1619282787")</f>
        <v>1619282787</v>
      </c>
      <c r="E26520" s="1" t="s">
        <v>7936</v>
      </c>
      <c r="F26520" s="2"/>
      <c r="G26520" s="2"/>
      <c r="H26520" s="2"/>
    </row>
    <row r="26521" spans="1:8" x14ac:dyDescent="0.25">
      <c r="A26521" s="1"/>
      <c r="B26521" s="1" t="s">
        <v>7328</v>
      </c>
      <c r="C26521" s="1" t="s">
        <v>7329</v>
      </c>
      <c r="D26521" s="22" t="str">
        <f>HYPERLINK("https://rhld.insurance.arkansas.gov/NPILookup?Npi=1619286150","1619286150")</f>
        <v>1619286150</v>
      </c>
      <c r="E26521" s="1" t="s">
        <v>27853</v>
      </c>
      <c r="F26521" s="2"/>
      <c r="G26521" s="2"/>
      <c r="H26521" s="2"/>
    </row>
    <row r="26522" spans="1:8" x14ac:dyDescent="0.25">
      <c r="A26522" s="1"/>
      <c r="B26522" s="1" t="s">
        <v>7328</v>
      </c>
      <c r="C26522" s="1" t="s">
        <v>7329</v>
      </c>
      <c r="D26522" s="22" t="str">
        <f>HYPERLINK("https://rhld.insurance.arkansas.gov/NPILookup?Npi=1619296407","1619296407")</f>
        <v>1619296407</v>
      </c>
      <c r="E26522" s="1" t="s">
        <v>2359</v>
      </c>
      <c r="F26522" s="2"/>
      <c r="G26522" s="2"/>
      <c r="H26522" s="2"/>
    </row>
    <row r="26523" spans="1:8" x14ac:dyDescent="0.25">
      <c r="A26523" s="1"/>
      <c r="B26523" s="1" t="s">
        <v>7328</v>
      </c>
      <c r="C26523" s="1" t="s">
        <v>7329</v>
      </c>
      <c r="D26523" s="22" t="str">
        <f>HYPERLINK("https://rhld.insurance.arkansas.gov/NPILookup?Npi=1619297801","1619297801")</f>
        <v>1619297801</v>
      </c>
      <c r="E26523" s="1" t="s">
        <v>2930</v>
      </c>
      <c r="F26523" s="2"/>
      <c r="G26523" s="2"/>
      <c r="H26523" s="2"/>
    </row>
    <row r="26524" spans="1:8" x14ac:dyDescent="0.25">
      <c r="A26524" s="1"/>
      <c r="B26524" s="1" t="s">
        <v>7328</v>
      </c>
      <c r="C26524" s="1" t="s">
        <v>7329</v>
      </c>
      <c r="D26524" s="22" t="str">
        <f>HYPERLINK("https://rhld.insurance.arkansas.gov/NPILookup?Npi=1619306537","1619306537")</f>
        <v>1619306537</v>
      </c>
      <c r="E26524" s="1" t="s">
        <v>27854</v>
      </c>
      <c r="F26524" s="2"/>
      <c r="G26524" s="2"/>
      <c r="H26524" s="2"/>
    </row>
    <row r="26525" spans="1:8" x14ac:dyDescent="0.25">
      <c r="A26525" s="1"/>
      <c r="B26525" s="1" t="s">
        <v>7328</v>
      </c>
      <c r="C26525" s="1" t="s">
        <v>7329</v>
      </c>
      <c r="D26525" s="22" t="str">
        <f>HYPERLINK("https://rhld.insurance.arkansas.gov/NPILookup?Npi=1619330099","1619330099")</f>
        <v>1619330099</v>
      </c>
      <c r="E26525" s="1" t="s">
        <v>13363</v>
      </c>
      <c r="F26525" s="2"/>
      <c r="G26525" s="2"/>
      <c r="H26525" s="2"/>
    </row>
    <row r="26526" spans="1:8" x14ac:dyDescent="0.25">
      <c r="A26526" s="1"/>
      <c r="B26526" s="1" t="s">
        <v>7328</v>
      </c>
      <c r="C26526" s="1" t="s">
        <v>7329</v>
      </c>
      <c r="D26526" s="22" t="str">
        <f>HYPERLINK("https://rhld.insurance.arkansas.gov/NPILookup?Npi=1619331659","1619331659")</f>
        <v>1619331659</v>
      </c>
      <c r="E26526" s="1" t="s">
        <v>27855</v>
      </c>
      <c r="F26526" s="2"/>
      <c r="G26526" s="2"/>
      <c r="H26526" s="2"/>
    </row>
    <row r="26527" spans="1:8" x14ac:dyDescent="0.25">
      <c r="A26527" s="1"/>
      <c r="B26527" s="1" t="s">
        <v>7328</v>
      </c>
      <c r="C26527" s="1" t="s">
        <v>7329</v>
      </c>
      <c r="D26527" s="22" t="str">
        <f>HYPERLINK("https://rhld.insurance.arkansas.gov/NPILookup?Npi=1619354818","1619354818")</f>
        <v>1619354818</v>
      </c>
      <c r="E26527" s="1" t="s">
        <v>1580</v>
      </c>
      <c r="F26527" s="2"/>
      <c r="G26527" s="2"/>
      <c r="H26527" s="2"/>
    </row>
    <row r="26528" spans="1:8" x14ac:dyDescent="0.25">
      <c r="A26528" s="1"/>
      <c r="B26528" s="1" t="s">
        <v>7328</v>
      </c>
      <c r="C26528" s="1" t="s">
        <v>7329</v>
      </c>
      <c r="D26528" s="22" t="str">
        <f>HYPERLINK("https://rhld.insurance.arkansas.gov/NPILookup?Npi=1619358074","1619358074")</f>
        <v>1619358074</v>
      </c>
      <c r="E26528" s="1" t="s">
        <v>7937</v>
      </c>
      <c r="F26528" s="2"/>
      <c r="G26528" s="2"/>
      <c r="H26528" s="2"/>
    </row>
    <row r="26529" spans="1:8" x14ac:dyDescent="0.25">
      <c r="A26529" s="1"/>
      <c r="B26529" s="1" t="s">
        <v>7328</v>
      </c>
      <c r="C26529" s="1" t="s">
        <v>7329</v>
      </c>
      <c r="D26529" s="22" t="str">
        <f>HYPERLINK("https://rhld.insurance.arkansas.gov/NPILookup?Npi=1619358306","1619358306")</f>
        <v>1619358306</v>
      </c>
      <c r="E26529" s="1" t="s">
        <v>27856</v>
      </c>
      <c r="F26529" s="2"/>
      <c r="G26529" s="2"/>
      <c r="H26529" s="2"/>
    </row>
    <row r="26530" spans="1:8" x14ac:dyDescent="0.25">
      <c r="A26530" s="1"/>
      <c r="B26530" s="1" t="s">
        <v>7328</v>
      </c>
      <c r="C26530" s="1" t="s">
        <v>7329</v>
      </c>
      <c r="D26530" s="22" t="str">
        <f>HYPERLINK("https://rhld.insurance.arkansas.gov/NPILookup?Npi=1619359171","1619359171")</f>
        <v>1619359171</v>
      </c>
      <c r="E26530" s="1" t="s">
        <v>1166</v>
      </c>
      <c r="F26530" s="2"/>
      <c r="G26530" s="2"/>
      <c r="H26530" s="2"/>
    </row>
    <row r="26531" spans="1:8" x14ac:dyDescent="0.25">
      <c r="A26531" s="1"/>
      <c r="B26531" s="1" t="s">
        <v>7328</v>
      </c>
      <c r="C26531" s="1" t="s">
        <v>7329</v>
      </c>
      <c r="D26531" s="22" t="str">
        <f>HYPERLINK("https://rhld.insurance.arkansas.gov/NPILookup?Npi=1619366218","1619366218")</f>
        <v>1619366218</v>
      </c>
      <c r="E26531" s="1" t="s">
        <v>13364</v>
      </c>
      <c r="F26531" s="2"/>
      <c r="G26531" s="2"/>
      <c r="H26531" s="2"/>
    </row>
    <row r="26532" spans="1:8" x14ac:dyDescent="0.25">
      <c r="A26532" s="1"/>
      <c r="B26532" s="1" t="s">
        <v>7328</v>
      </c>
      <c r="C26532" s="1" t="s">
        <v>7329</v>
      </c>
      <c r="D26532" s="22" t="str">
        <f>HYPERLINK("https://rhld.insurance.arkansas.gov/NPILookup?Npi=1619381902","1619381902")</f>
        <v>1619381902</v>
      </c>
      <c r="E26532" s="1" t="s">
        <v>7938</v>
      </c>
      <c r="F26532" s="2"/>
      <c r="G26532" s="2"/>
      <c r="H26532" s="2"/>
    </row>
    <row r="26533" spans="1:8" x14ac:dyDescent="0.25">
      <c r="A26533" s="1"/>
      <c r="B26533" s="1" t="s">
        <v>7328</v>
      </c>
      <c r="C26533" s="1" t="s">
        <v>7329</v>
      </c>
      <c r="D26533" s="22" t="str">
        <f>HYPERLINK("https://rhld.insurance.arkansas.gov/NPILookup?Npi=1619395811","1619395811")</f>
        <v>1619395811</v>
      </c>
      <c r="E26533" s="1" t="s">
        <v>13365</v>
      </c>
      <c r="F26533" s="2"/>
      <c r="G26533" s="2"/>
      <c r="H26533" s="2"/>
    </row>
    <row r="26534" spans="1:8" x14ac:dyDescent="0.25">
      <c r="A26534" s="1"/>
      <c r="B26534" s="1" t="s">
        <v>7328</v>
      </c>
      <c r="C26534" s="1" t="s">
        <v>7329</v>
      </c>
      <c r="D26534" s="22" t="str">
        <f>HYPERLINK("https://rhld.insurance.arkansas.gov/NPILookup?Npi=1619396157","1619396157")</f>
        <v>1619396157</v>
      </c>
      <c r="E26534" s="1" t="s">
        <v>27857</v>
      </c>
      <c r="F26534" s="2"/>
      <c r="G26534" s="2"/>
      <c r="H26534" s="2"/>
    </row>
    <row r="26535" spans="1:8" x14ac:dyDescent="0.25">
      <c r="A26535" s="1"/>
      <c r="B26535" s="1" t="s">
        <v>7328</v>
      </c>
      <c r="C26535" s="1" t="s">
        <v>7329</v>
      </c>
      <c r="D26535" s="22" t="str">
        <f>HYPERLINK("https://rhld.insurance.arkansas.gov/NPILookup?Npi=1619400710","1619400710")</f>
        <v>1619400710</v>
      </c>
      <c r="E26535" s="1" t="s">
        <v>1716</v>
      </c>
      <c r="F26535" s="2"/>
      <c r="G26535" s="2"/>
      <c r="H26535" s="2"/>
    </row>
    <row r="26536" spans="1:8" x14ac:dyDescent="0.25">
      <c r="A26536" s="1"/>
      <c r="B26536" s="1" t="s">
        <v>7328</v>
      </c>
      <c r="C26536" s="1" t="s">
        <v>7329</v>
      </c>
      <c r="D26536" s="22" t="str">
        <f>HYPERLINK("https://rhld.insurance.arkansas.gov/NPILookup?Npi=1619404993","1619404993")</f>
        <v>1619404993</v>
      </c>
      <c r="E26536" s="1" t="s">
        <v>27858</v>
      </c>
      <c r="F26536" s="2"/>
      <c r="G26536" s="2"/>
      <c r="H26536" s="2"/>
    </row>
    <row r="26537" spans="1:8" x14ac:dyDescent="0.25">
      <c r="A26537" s="1"/>
      <c r="B26537" s="1" t="s">
        <v>7328</v>
      </c>
      <c r="C26537" s="1" t="s">
        <v>7329</v>
      </c>
      <c r="D26537" s="22" t="str">
        <f>HYPERLINK("https://rhld.insurance.arkansas.gov/NPILookup?Npi=1619406949","1619406949")</f>
        <v>1619406949</v>
      </c>
      <c r="E26537" s="1" t="s">
        <v>27859</v>
      </c>
      <c r="F26537" s="2"/>
      <c r="G26537" s="2"/>
      <c r="H26537" s="2"/>
    </row>
    <row r="26538" spans="1:8" x14ac:dyDescent="0.25">
      <c r="A26538" s="1"/>
      <c r="B26538" s="1" t="s">
        <v>7328</v>
      </c>
      <c r="C26538" s="1" t="s">
        <v>7329</v>
      </c>
      <c r="D26538" s="22" t="str">
        <f>HYPERLINK("https://rhld.insurance.arkansas.gov/NPILookup?Npi=1619413077","1619413077")</f>
        <v>1619413077</v>
      </c>
      <c r="E26538" s="1" t="s">
        <v>1393</v>
      </c>
      <c r="F26538" s="2"/>
      <c r="G26538" s="2"/>
      <c r="H26538" s="2"/>
    </row>
    <row r="26539" spans="1:8" x14ac:dyDescent="0.25">
      <c r="A26539" s="1"/>
      <c r="B26539" s="1" t="s">
        <v>7328</v>
      </c>
      <c r="C26539" s="1" t="s">
        <v>7329</v>
      </c>
      <c r="D26539" s="22" t="str">
        <f>HYPERLINK("https://rhld.insurance.arkansas.gov/NPILookup?Npi=1619439601","1619439601")</f>
        <v>1619439601</v>
      </c>
      <c r="E26539" s="1" t="s">
        <v>27860</v>
      </c>
      <c r="F26539" s="2"/>
      <c r="G26539" s="2"/>
      <c r="H26539" s="2"/>
    </row>
    <row r="26540" spans="1:8" x14ac:dyDescent="0.25">
      <c r="A26540" s="1"/>
      <c r="B26540" s="1" t="s">
        <v>7328</v>
      </c>
      <c r="C26540" s="1" t="s">
        <v>7329</v>
      </c>
      <c r="D26540" s="22" t="str">
        <f>HYPERLINK("https://rhld.insurance.arkansas.gov/NPILookup?Npi=1619441201","1619441201")</f>
        <v>1619441201</v>
      </c>
      <c r="E26540" s="1" t="s">
        <v>27861</v>
      </c>
      <c r="F26540" s="2"/>
      <c r="G26540" s="2"/>
      <c r="H26540" s="2"/>
    </row>
    <row r="26541" spans="1:8" x14ac:dyDescent="0.25">
      <c r="A26541" s="1"/>
      <c r="B26541" s="1" t="s">
        <v>7328</v>
      </c>
      <c r="C26541" s="1" t="s">
        <v>7329</v>
      </c>
      <c r="D26541" s="22" t="str">
        <f>HYPERLINK("https://rhld.insurance.arkansas.gov/NPILookup?Npi=1619444627","1619444627")</f>
        <v>1619444627</v>
      </c>
      <c r="E26541" s="1" t="s">
        <v>13367</v>
      </c>
      <c r="F26541" s="2"/>
      <c r="G26541" s="2"/>
      <c r="H26541" s="2"/>
    </row>
    <row r="26542" spans="1:8" x14ac:dyDescent="0.25">
      <c r="A26542" s="1"/>
      <c r="B26542" s="1" t="s">
        <v>7328</v>
      </c>
      <c r="C26542" s="1" t="s">
        <v>7329</v>
      </c>
      <c r="D26542" s="22" t="str">
        <f>HYPERLINK("https://rhld.insurance.arkansas.gov/NPILookup?Npi=1619445632","1619445632")</f>
        <v>1619445632</v>
      </c>
      <c r="E26542" s="1" t="s">
        <v>2931</v>
      </c>
      <c r="F26542" s="2"/>
      <c r="G26542" s="2"/>
      <c r="H26542" s="2"/>
    </row>
    <row r="26543" spans="1:8" x14ac:dyDescent="0.25">
      <c r="A26543" s="1"/>
      <c r="B26543" s="1" t="s">
        <v>7328</v>
      </c>
      <c r="C26543" s="1" t="s">
        <v>7329</v>
      </c>
      <c r="D26543" s="22" t="str">
        <f>HYPERLINK("https://rhld.insurance.arkansas.gov/NPILookup?Npi=1619450095","1619450095")</f>
        <v>1619450095</v>
      </c>
      <c r="E26543" s="1" t="s">
        <v>27862</v>
      </c>
      <c r="F26543" s="2"/>
      <c r="G26543" s="2"/>
      <c r="H26543" s="2"/>
    </row>
    <row r="26544" spans="1:8" x14ac:dyDescent="0.25">
      <c r="A26544" s="1"/>
      <c r="B26544" s="1" t="s">
        <v>7328</v>
      </c>
      <c r="C26544" s="1" t="s">
        <v>7329</v>
      </c>
      <c r="D26544" s="22" t="str">
        <f>HYPERLINK("https://rhld.insurance.arkansas.gov/NPILookup?Npi=1619452448","1619452448")</f>
        <v>1619452448</v>
      </c>
      <c r="E26544" s="1" t="s">
        <v>2042</v>
      </c>
      <c r="F26544" s="2"/>
      <c r="G26544" s="2"/>
      <c r="H26544" s="2"/>
    </row>
    <row r="26545" spans="1:8" x14ac:dyDescent="0.25">
      <c r="A26545" s="1"/>
      <c r="B26545" s="1" t="s">
        <v>7328</v>
      </c>
      <c r="C26545" s="1" t="s">
        <v>7329</v>
      </c>
      <c r="D26545" s="22" t="str">
        <f>HYPERLINK("https://rhld.insurance.arkansas.gov/NPILookup?Npi=1619459831","1619459831")</f>
        <v>1619459831</v>
      </c>
      <c r="E26545" s="1" t="s">
        <v>27863</v>
      </c>
      <c r="F26545" s="2"/>
      <c r="G26545" s="2"/>
      <c r="H26545" s="2"/>
    </row>
    <row r="26546" spans="1:8" x14ac:dyDescent="0.25">
      <c r="A26546" s="1"/>
      <c r="B26546" s="1" t="s">
        <v>7328</v>
      </c>
      <c r="C26546" s="1" t="s">
        <v>7329</v>
      </c>
      <c r="D26546" s="22" t="str">
        <f>HYPERLINK("https://rhld.insurance.arkansas.gov/NPILookup?Npi=1619460813","1619460813")</f>
        <v>1619460813</v>
      </c>
      <c r="E26546" s="1" t="s">
        <v>27864</v>
      </c>
      <c r="F26546" s="2"/>
      <c r="G26546" s="2"/>
      <c r="H26546" s="2"/>
    </row>
    <row r="26547" spans="1:8" x14ac:dyDescent="0.25">
      <c r="A26547" s="1"/>
      <c r="B26547" s="1" t="s">
        <v>7328</v>
      </c>
      <c r="C26547" s="1" t="s">
        <v>7329</v>
      </c>
      <c r="D26547" s="22" t="str">
        <f>HYPERLINK("https://rhld.insurance.arkansas.gov/NPILookup?Npi=1619470903","1619470903")</f>
        <v>1619470903</v>
      </c>
      <c r="E26547" s="1" t="s">
        <v>27865</v>
      </c>
      <c r="F26547" s="2"/>
      <c r="G26547" s="2"/>
      <c r="H26547" s="2"/>
    </row>
    <row r="26548" spans="1:8" x14ac:dyDescent="0.25">
      <c r="A26548" s="1"/>
      <c r="B26548" s="1" t="s">
        <v>7328</v>
      </c>
      <c r="C26548" s="1" t="s">
        <v>7329</v>
      </c>
      <c r="D26548" s="22" t="str">
        <f>HYPERLINK("https://rhld.insurance.arkansas.gov/NPILookup?Npi=1619471885","1619471885")</f>
        <v>1619471885</v>
      </c>
      <c r="E26548" s="1" t="s">
        <v>1119</v>
      </c>
      <c r="F26548" s="2"/>
      <c r="G26548" s="2"/>
      <c r="H26548" s="2"/>
    </row>
    <row r="26549" spans="1:8" x14ac:dyDescent="0.25">
      <c r="A26549" s="1"/>
      <c r="B26549" s="1" t="s">
        <v>7328</v>
      </c>
      <c r="C26549" s="1" t="s">
        <v>7329</v>
      </c>
      <c r="D26549" s="22" t="str">
        <f>HYPERLINK("https://rhld.insurance.arkansas.gov/NPILookup?Npi=1619479821","1619479821")</f>
        <v>1619479821</v>
      </c>
      <c r="E26549" s="1" t="s">
        <v>27866</v>
      </c>
      <c r="F26549" s="2"/>
      <c r="G26549" s="2"/>
      <c r="H26549" s="2"/>
    </row>
    <row r="26550" spans="1:8" x14ac:dyDescent="0.25">
      <c r="A26550" s="1"/>
      <c r="B26550" s="1" t="s">
        <v>7328</v>
      </c>
      <c r="C26550" s="1" t="s">
        <v>7329</v>
      </c>
      <c r="D26550" s="22" t="str">
        <f>HYPERLINK("https://rhld.insurance.arkansas.gov/NPILookup?Npi=1619496866","1619496866")</f>
        <v>1619496866</v>
      </c>
      <c r="E26550" s="1" t="s">
        <v>27867</v>
      </c>
      <c r="F26550" s="2"/>
      <c r="G26550" s="2"/>
      <c r="H26550" s="2"/>
    </row>
    <row r="26551" spans="1:8" x14ac:dyDescent="0.25">
      <c r="A26551" s="1"/>
      <c r="B26551" s="1" t="s">
        <v>7328</v>
      </c>
      <c r="C26551" s="1" t="s">
        <v>7329</v>
      </c>
      <c r="D26551" s="22" t="str">
        <f>HYPERLINK("https://rhld.insurance.arkansas.gov/NPILookup?Npi=1619497435","1619497435")</f>
        <v>1619497435</v>
      </c>
      <c r="E26551" s="1" t="s">
        <v>1642</v>
      </c>
      <c r="F26551" s="2"/>
      <c r="G26551" s="2"/>
      <c r="H26551" s="2"/>
    </row>
    <row r="26552" spans="1:8" x14ac:dyDescent="0.25">
      <c r="A26552" s="1"/>
      <c r="B26552" s="1" t="s">
        <v>7328</v>
      </c>
      <c r="C26552" s="1" t="s">
        <v>7329</v>
      </c>
      <c r="D26552" s="22" t="str">
        <f>HYPERLINK("https://rhld.insurance.arkansas.gov/NPILookup?Npi=1619497740","1619497740")</f>
        <v>1619497740</v>
      </c>
      <c r="E26552" s="1" t="s">
        <v>7939</v>
      </c>
      <c r="F26552" s="2"/>
      <c r="G26552" s="2"/>
      <c r="H26552" s="2"/>
    </row>
    <row r="26553" spans="1:8" x14ac:dyDescent="0.25">
      <c r="A26553" s="1"/>
      <c r="B26553" s="1" t="s">
        <v>7328</v>
      </c>
      <c r="C26553" s="1" t="s">
        <v>7329</v>
      </c>
      <c r="D26553" s="22" t="str">
        <f>HYPERLINK("https://rhld.insurance.arkansas.gov/NPILookup?Npi=1619498607","1619498607")</f>
        <v>1619498607</v>
      </c>
      <c r="E26553" s="1" t="s">
        <v>27868</v>
      </c>
      <c r="F26553" s="2"/>
      <c r="G26553" s="2"/>
      <c r="H26553" s="2"/>
    </row>
    <row r="26554" spans="1:8" x14ac:dyDescent="0.25">
      <c r="A26554" s="1"/>
      <c r="B26554" s="1" t="s">
        <v>7328</v>
      </c>
      <c r="C26554" s="1" t="s">
        <v>7329</v>
      </c>
      <c r="D26554" s="22" t="str">
        <f>HYPERLINK("https://rhld.insurance.arkansas.gov/NPILookup?Npi=1619504370","1619504370")</f>
        <v>1619504370</v>
      </c>
      <c r="E26554" s="1" t="s">
        <v>27869</v>
      </c>
      <c r="F26554" s="2"/>
      <c r="G26554" s="2"/>
      <c r="H26554" s="2"/>
    </row>
    <row r="26555" spans="1:8" x14ac:dyDescent="0.25">
      <c r="A26555" s="1"/>
      <c r="B26555" s="1" t="s">
        <v>7328</v>
      </c>
      <c r="C26555" s="1" t="s">
        <v>7329</v>
      </c>
      <c r="D26555" s="22" t="str">
        <f>HYPERLINK("https://rhld.insurance.arkansas.gov/NPILookup?Npi=1619522810","1619522810")</f>
        <v>1619522810</v>
      </c>
      <c r="E26555" s="1" t="s">
        <v>27870</v>
      </c>
      <c r="F26555" s="2"/>
      <c r="G26555" s="2"/>
      <c r="H26555" s="2"/>
    </row>
    <row r="26556" spans="1:8" x14ac:dyDescent="0.25">
      <c r="A26556" s="1"/>
      <c r="B26556" s="1" t="s">
        <v>7328</v>
      </c>
      <c r="C26556" s="1" t="s">
        <v>7329</v>
      </c>
      <c r="D26556" s="22" t="str">
        <f>HYPERLINK("https://rhld.insurance.arkansas.gov/NPILookup?Npi=1619545829","1619545829")</f>
        <v>1619545829</v>
      </c>
      <c r="E26556" s="1" t="s">
        <v>17716</v>
      </c>
      <c r="F26556" s="2"/>
      <c r="G26556" s="2"/>
      <c r="H26556" s="2"/>
    </row>
    <row r="26557" spans="1:8" x14ac:dyDescent="0.25">
      <c r="A26557" s="1"/>
      <c r="B26557" s="1" t="s">
        <v>7328</v>
      </c>
      <c r="C26557" s="1" t="s">
        <v>7329</v>
      </c>
      <c r="D26557" s="22" t="str">
        <f>HYPERLINK("https://rhld.insurance.arkansas.gov/NPILookup?Npi=1619547478","1619547478")</f>
        <v>1619547478</v>
      </c>
      <c r="E26557" s="1" t="s">
        <v>22769</v>
      </c>
      <c r="F26557" s="2"/>
      <c r="G26557" s="2"/>
      <c r="H26557" s="2"/>
    </row>
    <row r="26558" spans="1:8" x14ac:dyDescent="0.25">
      <c r="A26558" s="1"/>
      <c r="B26558" s="1" t="s">
        <v>7328</v>
      </c>
      <c r="C26558" s="1" t="s">
        <v>7329</v>
      </c>
      <c r="D26558" s="22" t="str">
        <f>HYPERLINK("https://rhld.insurance.arkansas.gov/NPILookup?Npi=1619550092","1619550092")</f>
        <v>1619550092</v>
      </c>
      <c r="E26558" s="1" t="s">
        <v>27871</v>
      </c>
      <c r="F26558" s="2"/>
      <c r="G26558" s="2"/>
      <c r="H26558" s="2"/>
    </row>
    <row r="26559" spans="1:8" x14ac:dyDescent="0.25">
      <c r="A26559" s="1"/>
      <c r="B26559" s="1" t="s">
        <v>7328</v>
      </c>
      <c r="C26559" s="1" t="s">
        <v>7329</v>
      </c>
      <c r="D26559" s="22" t="str">
        <f>HYPERLINK("https://rhld.insurance.arkansas.gov/NPILookup?Npi=1619553393","1619553393")</f>
        <v>1619553393</v>
      </c>
      <c r="E26559" s="1" t="s">
        <v>27872</v>
      </c>
      <c r="F26559" s="2"/>
      <c r="G26559" s="2"/>
      <c r="H26559" s="2"/>
    </row>
    <row r="26560" spans="1:8" x14ac:dyDescent="0.25">
      <c r="A26560" s="1"/>
      <c r="B26560" s="1" t="s">
        <v>7328</v>
      </c>
      <c r="C26560" s="1" t="s">
        <v>7329</v>
      </c>
      <c r="D26560" s="22" t="str">
        <f>HYPERLINK("https://rhld.insurance.arkansas.gov/NPILookup?Npi=1619556016","1619556016")</f>
        <v>1619556016</v>
      </c>
      <c r="E26560" s="1" t="s">
        <v>27873</v>
      </c>
      <c r="F26560" s="2"/>
      <c r="G26560" s="2"/>
      <c r="H26560" s="2"/>
    </row>
    <row r="26561" spans="1:8" x14ac:dyDescent="0.25">
      <c r="A26561" s="1"/>
      <c r="B26561" s="1" t="s">
        <v>7328</v>
      </c>
      <c r="C26561" s="1" t="s">
        <v>7329</v>
      </c>
      <c r="D26561" s="22" t="str">
        <f>HYPERLINK("https://rhld.insurance.arkansas.gov/NPILookup?Npi=1619556230","1619556230")</f>
        <v>1619556230</v>
      </c>
      <c r="E26561" s="1" t="s">
        <v>13368</v>
      </c>
      <c r="F26561" s="2"/>
      <c r="G26561" s="2"/>
      <c r="H26561" s="2"/>
    </row>
    <row r="26562" spans="1:8" x14ac:dyDescent="0.25">
      <c r="A26562" s="1"/>
      <c r="B26562" s="1" t="s">
        <v>7328</v>
      </c>
      <c r="C26562" s="1" t="s">
        <v>7329</v>
      </c>
      <c r="D26562" s="22" t="str">
        <f>HYPERLINK("https://rhld.insurance.arkansas.gov/NPILookup?Npi=1619574555","1619574555")</f>
        <v>1619574555</v>
      </c>
      <c r="E26562" s="1" t="s">
        <v>13369</v>
      </c>
      <c r="F26562" s="2"/>
      <c r="G26562" s="2"/>
      <c r="H26562" s="2"/>
    </row>
    <row r="26563" spans="1:8" x14ac:dyDescent="0.25">
      <c r="A26563" s="1"/>
      <c r="B26563" s="1" t="s">
        <v>7328</v>
      </c>
      <c r="C26563" s="1" t="s">
        <v>7329</v>
      </c>
      <c r="D26563" s="22" t="str">
        <f>HYPERLINK("https://rhld.insurance.arkansas.gov/NPILookup?Npi=1619581873","1619581873")</f>
        <v>1619581873</v>
      </c>
      <c r="E26563" s="1" t="s">
        <v>7940</v>
      </c>
      <c r="F26563" s="2"/>
      <c r="G26563" s="2"/>
      <c r="H26563" s="2"/>
    </row>
    <row r="26564" spans="1:8" x14ac:dyDescent="0.25">
      <c r="A26564" s="1"/>
      <c r="B26564" s="1" t="s">
        <v>7328</v>
      </c>
      <c r="C26564" s="1" t="s">
        <v>7329</v>
      </c>
      <c r="D26564" s="22" t="str">
        <f>HYPERLINK("https://rhld.insurance.arkansas.gov/NPILookup?Npi=1619581949","1619581949")</f>
        <v>1619581949</v>
      </c>
      <c r="E26564" s="1" t="s">
        <v>27874</v>
      </c>
      <c r="F26564" s="2"/>
      <c r="G26564" s="2"/>
      <c r="H26564" s="2"/>
    </row>
    <row r="26565" spans="1:8" x14ac:dyDescent="0.25">
      <c r="A26565" s="1"/>
      <c r="B26565" s="1" t="s">
        <v>7328</v>
      </c>
      <c r="C26565" s="1" t="s">
        <v>7329</v>
      </c>
      <c r="D26565" s="22" t="str">
        <f>HYPERLINK("https://rhld.insurance.arkansas.gov/NPILookup?Npi=1619598174","1619598174")</f>
        <v>1619598174</v>
      </c>
      <c r="E26565" s="1" t="s">
        <v>27875</v>
      </c>
      <c r="F26565" s="2"/>
      <c r="G26565" s="2"/>
      <c r="H26565" s="2"/>
    </row>
    <row r="26566" spans="1:8" x14ac:dyDescent="0.25">
      <c r="A26566" s="1"/>
      <c r="B26566" s="1" t="s">
        <v>7328</v>
      </c>
      <c r="C26566" s="1" t="s">
        <v>7329</v>
      </c>
      <c r="D26566" s="22" t="str">
        <f>HYPERLINK("https://rhld.insurance.arkansas.gov/NPILookup?Npi=1619609633","1619609633")</f>
        <v>1619609633</v>
      </c>
      <c r="E26566" s="1" t="s">
        <v>7941</v>
      </c>
      <c r="F26566" s="2"/>
      <c r="G26566" s="2"/>
      <c r="H26566" s="2"/>
    </row>
    <row r="26567" spans="1:8" x14ac:dyDescent="0.25">
      <c r="A26567" s="1"/>
      <c r="B26567" s="1" t="s">
        <v>7328</v>
      </c>
      <c r="C26567" s="1" t="s">
        <v>7329</v>
      </c>
      <c r="D26567" s="22" t="str">
        <f>HYPERLINK("https://rhld.insurance.arkansas.gov/NPILookup?Npi=1619618105","1619618105")</f>
        <v>1619618105</v>
      </c>
      <c r="E26567" s="1" t="s">
        <v>27876</v>
      </c>
      <c r="F26567" s="2"/>
      <c r="G26567" s="2"/>
      <c r="H26567" s="2"/>
    </row>
    <row r="26568" spans="1:8" x14ac:dyDescent="0.25">
      <c r="A26568" s="1"/>
      <c r="B26568" s="1" t="s">
        <v>7328</v>
      </c>
      <c r="C26568" s="1" t="s">
        <v>7329</v>
      </c>
      <c r="D26568" s="22" t="str">
        <f>HYPERLINK("https://rhld.insurance.arkansas.gov/NPILookup?Npi=1619628336","1619628336")</f>
        <v>1619628336</v>
      </c>
      <c r="E26568" s="1" t="s">
        <v>27877</v>
      </c>
      <c r="F26568" s="2"/>
      <c r="G26568" s="2"/>
      <c r="H26568" s="2"/>
    </row>
    <row r="26569" spans="1:8" x14ac:dyDescent="0.25">
      <c r="A26569" s="1"/>
      <c r="B26569" s="1" t="s">
        <v>7328</v>
      </c>
      <c r="C26569" s="1" t="s">
        <v>7329</v>
      </c>
      <c r="D26569" s="22" t="str">
        <f>HYPERLINK("https://rhld.insurance.arkansas.gov/NPILookup?Npi=1619633385","1619633385")</f>
        <v>1619633385</v>
      </c>
      <c r="E26569" s="1" t="s">
        <v>24757</v>
      </c>
      <c r="F26569" s="2"/>
      <c r="G26569" s="2"/>
      <c r="H26569" s="2"/>
    </row>
    <row r="26570" spans="1:8" x14ac:dyDescent="0.25">
      <c r="A26570" s="1"/>
      <c r="B26570" s="1" t="s">
        <v>7328</v>
      </c>
      <c r="C26570" s="1" t="s">
        <v>7329</v>
      </c>
      <c r="D26570" s="22" t="str">
        <f>HYPERLINK("https://rhld.insurance.arkansas.gov/NPILookup?Npi=1619636222","1619636222")</f>
        <v>1619636222</v>
      </c>
      <c r="E26570" s="1" t="s">
        <v>27878</v>
      </c>
      <c r="F26570" s="2"/>
      <c r="G26570" s="2"/>
      <c r="H26570" s="2"/>
    </row>
    <row r="26571" spans="1:8" x14ac:dyDescent="0.25">
      <c r="A26571" s="1"/>
      <c r="B26571" s="1" t="s">
        <v>7328</v>
      </c>
      <c r="C26571" s="1" t="s">
        <v>7329</v>
      </c>
      <c r="D26571" s="22" t="str">
        <f>HYPERLINK("https://rhld.insurance.arkansas.gov/NPILookup?Npi=1619648060","1619648060")</f>
        <v>1619648060</v>
      </c>
      <c r="E26571" s="1" t="s">
        <v>13370</v>
      </c>
      <c r="F26571" s="2"/>
      <c r="G26571" s="2"/>
      <c r="H26571" s="2"/>
    </row>
    <row r="26572" spans="1:8" x14ac:dyDescent="0.25">
      <c r="A26572" s="1"/>
      <c r="B26572" s="1" t="s">
        <v>7328</v>
      </c>
      <c r="C26572" s="1" t="s">
        <v>7329</v>
      </c>
      <c r="D26572" s="22" t="str">
        <f>HYPERLINK("https://rhld.insurance.arkansas.gov/NPILookup?Npi=1619657822","1619657822")</f>
        <v>1619657822</v>
      </c>
      <c r="E26572" s="1" t="s">
        <v>13371</v>
      </c>
      <c r="F26572" s="2"/>
      <c r="G26572" s="2"/>
      <c r="H26572" s="2"/>
    </row>
    <row r="26573" spans="1:8" x14ac:dyDescent="0.25">
      <c r="A26573" s="1"/>
      <c r="B26573" s="1" t="s">
        <v>7328</v>
      </c>
      <c r="C26573" s="1" t="s">
        <v>7329</v>
      </c>
      <c r="D26573" s="22" t="str">
        <f>HYPERLINK("https://rhld.insurance.arkansas.gov/NPILookup?Npi=1619666799","1619666799")</f>
        <v>1619666799</v>
      </c>
      <c r="E26573" s="1" t="s">
        <v>5396</v>
      </c>
      <c r="F26573" s="2"/>
      <c r="G26573" s="2"/>
      <c r="H26573" s="2"/>
    </row>
    <row r="26574" spans="1:8" x14ac:dyDescent="0.25">
      <c r="A26574" s="1"/>
      <c r="B26574" s="1" t="s">
        <v>7328</v>
      </c>
      <c r="C26574" s="1" t="s">
        <v>7329</v>
      </c>
      <c r="D26574" s="22" t="str">
        <f>HYPERLINK("https://rhld.insurance.arkansas.gov/NPILookup?Npi=1619676418","1619676418")</f>
        <v>1619676418</v>
      </c>
      <c r="E26574" s="1" t="s">
        <v>13372</v>
      </c>
      <c r="F26574" s="2"/>
      <c r="G26574" s="2"/>
      <c r="H26574" s="2"/>
    </row>
    <row r="26575" spans="1:8" x14ac:dyDescent="0.25">
      <c r="A26575" s="1"/>
      <c r="B26575" s="1" t="s">
        <v>7328</v>
      </c>
      <c r="C26575" s="1" t="s">
        <v>7329</v>
      </c>
      <c r="D26575" s="22" t="str">
        <f>HYPERLINK("https://rhld.insurance.arkansas.gov/NPILookup?Npi=1619681285","1619681285")</f>
        <v>1619681285</v>
      </c>
      <c r="E26575" s="1" t="s">
        <v>13373</v>
      </c>
      <c r="F26575" s="2"/>
      <c r="G26575" s="2"/>
      <c r="H26575" s="2"/>
    </row>
    <row r="26576" spans="1:8" x14ac:dyDescent="0.25">
      <c r="A26576" s="1"/>
      <c r="B26576" s="1" t="s">
        <v>7328</v>
      </c>
      <c r="C26576" s="1" t="s">
        <v>7329</v>
      </c>
      <c r="D26576" s="22" t="str">
        <f>HYPERLINK("https://rhld.insurance.arkansas.gov/NPILookup?Npi=1619740412","1619740412")</f>
        <v>1619740412</v>
      </c>
      <c r="E26576" s="1" t="s">
        <v>7942</v>
      </c>
      <c r="F26576" s="2"/>
      <c r="G26576" s="2"/>
      <c r="H26576" s="2"/>
    </row>
    <row r="26577" spans="1:8" x14ac:dyDescent="0.25">
      <c r="A26577" s="1"/>
      <c r="B26577" s="1" t="s">
        <v>7328</v>
      </c>
      <c r="C26577" s="1" t="s">
        <v>7329</v>
      </c>
      <c r="D26577" s="22" t="str">
        <f>HYPERLINK("https://rhld.insurance.arkansas.gov/NPILookup?Npi=1619743143","1619743143")</f>
        <v>1619743143</v>
      </c>
      <c r="E26577" s="1" t="s">
        <v>7943</v>
      </c>
      <c r="F26577" s="2"/>
      <c r="G26577" s="2"/>
      <c r="H26577" s="2"/>
    </row>
    <row r="26578" spans="1:8" x14ac:dyDescent="0.25">
      <c r="A26578" s="1"/>
      <c r="B26578" s="1" t="s">
        <v>7328</v>
      </c>
      <c r="C26578" s="1" t="s">
        <v>7329</v>
      </c>
      <c r="D26578" s="22" t="str">
        <f>HYPERLINK("https://rhld.insurance.arkansas.gov/NPILookup?Npi=1619745676","1619745676")</f>
        <v>1619745676</v>
      </c>
      <c r="E26578" s="1" t="s">
        <v>7944</v>
      </c>
      <c r="F26578" s="2"/>
      <c r="G26578" s="2"/>
      <c r="H26578" s="2"/>
    </row>
    <row r="26579" spans="1:8" x14ac:dyDescent="0.25">
      <c r="A26579" s="1"/>
      <c r="B26579" s="1" t="s">
        <v>7328</v>
      </c>
      <c r="C26579" s="1" t="s">
        <v>7329</v>
      </c>
      <c r="D26579" s="22" t="str">
        <f>HYPERLINK("https://rhld.insurance.arkansas.gov/NPILookup?Npi=1619749330","1619749330")</f>
        <v>1619749330</v>
      </c>
      <c r="E26579" s="1" t="s">
        <v>13374</v>
      </c>
      <c r="F26579" s="2"/>
      <c r="G26579" s="2"/>
      <c r="H26579" s="2"/>
    </row>
    <row r="26580" spans="1:8" x14ac:dyDescent="0.25">
      <c r="A26580" s="1"/>
      <c r="B26580" s="1" t="s">
        <v>7328</v>
      </c>
      <c r="C26580" s="1" t="s">
        <v>7329</v>
      </c>
      <c r="D26580" s="22" t="str">
        <f>HYPERLINK("https://rhld.insurance.arkansas.gov/NPILookup?Npi=1619751054","1619751054")</f>
        <v>1619751054</v>
      </c>
      <c r="E26580" s="1" t="s">
        <v>7945</v>
      </c>
      <c r="F26580" s="2"/>
      <c r="G26580" s="2"/>
      <c r="H26580" s="2"/>
    </row>
    <row r="26581" spans="1:8" x14ac:dyDescent="0.25">
      <c r="A26581" s="1"/>
      <c r="B26581" s="1" t="s">
        <v>7328</v>
      </c>
      <c r="C26581" s="1" t="s">
        <v>7329</v>
      </c>
      <c r="D26581" s="22" t="str">
        <f>HYPERLINK("https://rhld.insurance.arkansas.gov/NPILookup?Npi=1619752771","1619752771")</f>
        <v>1619752771</v>
      </c>
      <c r="E26581" s="1" t="s">
        <v>5168</v>
      </c>
      <c r="F26581" s="2"/>
      <c r="G26581" s="2"/>
      <c r="H26581" s="2"/>
    </row>
    <row r="26582" spans="1:8" x14ac:dyDescent="0.25">
      <c r="A26582" s="1"/>
      <c r="B26582" s="1" t="s">
        <v>7328</v>
      </c>
      <c r="C26582" s="1" t="s">
        <v>7329</v>
      </c>
      <c r="D26582" s="22" t="str">
        <f>HYPERLINK("https://rhld.insurance.arkansas.gov/NPILookup?Npi=1619775939","1619775939")</f>
        <v>1619775939</v>
      </c>
      <c r="E26582" s="1" t="s">
        <v>32303</v>
      </c>
      <c r="F26582" s="2"/>
      <c r="G26582" s="2"/>
      <c r="H26582" s="2"/>
    </row>
    <row r="26583" spans="1:8" x14ac:dyDescent="0.25">
      <c r="A26583" s="1"/>
      <c r="B26583" s="1" t="s">
        <v>7328</v>
      </c>
      <c r="C26583" s="1" t="s">
        <v>7329</v>
      </c>
      <c r="D26583" s="22" t="str">
        <f>HYPERLINK("https://rhld.insurance.arkansas.gov/NPILookup?Npi=1619917598","1619917598")</f>
        <v>1619917598</v>
      </c>
      <c r="E26583" s="1" t="s">
        <v>27879</v>
      </c>
      <c r="F26583" s="2"/>
      <c r="G26583" s="2"/>
      <c r="H26583" s="2"/>
    </row>
    <row r="26584" spans="1:8" x14ac:dyDescent="0.25">
      <c r="A26584" s="1"/>
      <c r="B26584" s="1" t="s">
        <v>7328</v>
      </c>
      <c r="C26584" s="1" t="s">
        <v>7329</v>
      </c>
      <c r="D26584" s="22" t="str">
        <f>HYPERLINK("https://rhld.insurance.arkansas.gov/NPILookup?Npi=1619918505","1619918505")</f>
        <v>1619918505</v>
      </c>
      <c r="E26584" s="1" t="s">
        <v>2932</v>
      </c>
      <c r="F26584" s="2"/>
      <c r="G26584" s="2"/>
      <c r="H26584" s="2"/>
    </row>
    <row r="26585" spans="1:8" x14ac:dyDescent="0.25">
      <c r="A26585" s="1"/>
      <c r="B26585" s="1" t="s">
        <v>7328</v>
      </c>
      <c r="C26585" s="1" t="s">
        <v>7329</v>
      </c>
      <c r="D26585" s="22" t="str">
        <f>HYPERLINK("https://rhld.insurance.arkansas.gov/NPILookup?Npi=1619930591","1619930591")</f>
        <v>1619930591</v>
      </c>
      <c r="E26585" s="1" t="s">
        <v>116</v>
      </c>
      <c r="F26585" s="2"/>
      <c r="G26585" s="2"/>
      <c r="H26585" s="2"/>
    </row>
    <row r="26586" spans="1:8" x14ac:dyDescent="0.25">
      <c r="A26586" s="1"/>
      <c r="B26586" s="1" t="s">
        <v>7328</v>
      </c>
      <c r="C26586" s="1" t="s">
        <v>7329</v>
      </c>
      <c r="D26586" s="22" t="str">
        <f>HYPERLINK("https://rhld.insurance.arkansas.gov/NPILookup?Npi=1619939204","1619939204")</f>
        <v>1619939204</v>
      </c>
      <c r="E26586" s="1" t="s">
        <v>27880</v>
      </c>
      <c r="F26586" s="2"/>
      <c r="G26586" s="2"/>
      <c r="H26586" s="2"/>
    </row>
    <row r="26587" spans="1:8" x14ac:dyDescent="0.25">
      <c r="A26587" s="1"/>
      <c r="B26587" s="1" t="s">
        <v>7328</v>
      </c>
      <c r="C26587" s="1" t="s">
        <v>7329</v>
      </c>
      <c r="D26587" s="22" t="str">
        <f>HYPERLINK("https://rhld.insurance.arkansas.gov/NPILookup?Npi=1619940509","1619940509")</f>
        <v>1619940509</v>
      </c>
      <c r="E26587" s="1" t="s">
        <v>148</v>
      </c>
      <c r="F26587" s="2"/>
      <c r="G26587" s="2"/>
      <c r="H26587" s="2"/>
    </row>
    <row r="26588" spans="1:8" x14ac:dyDescent="0.25">
      <c r="A26588" s="1"/>
      <c r="B26588" s="1" t="s">
        <v>7328</v>
      </c>
      <c r="C26588" s="1" t="s">
        <v>7329</v>
      </c>
      <c r="D26588" s="22" t="str">
        <f>HYPERLINK("https://rhld.insurance.arkansas.gov/NPILookup?Npi=1619943271","1619943271")</f>
        <v>1619943271</v>
      </c>
      <c r="E26588" s="1" t="s">
        <v>27881</v>
      </c>
      <c r="F26588" s="2"/>
      <c r="G26588" s="2"/>
      <c r="H26588" s="2"/>
    </row>
    <row r="26589" spans="1:8" x14ac:dyDescent="0.25">
      <c r="A26589" s="1"/>
      <c r="B26589" s="1" t="s">
        <v>7328</v>
      </c>
      <c r="C26589" s="1" t="s">
        <v>7329</v>
      </c>
      <c r="D26589" s="22" t="str">
        <f>HYPERLINK("https://rhld.insurance.arkansas.gov/NPILookup?Npi=1619947298","1619947298")</f>
        <v>1619947298</v>
      </c>
      <c r="E26589" s="1" t="s">
        <v>2044</v>
      </c>
      <c r="F26589" s="2"/>
      <c r="G26589" s="2"/>
      <c r="H26589" s="2"/>
    </row>
    <row r="26590" spans="1:8" x14ac:dyDescent="0.25">
      <c r="A26590" s="1"/>
      <c r="B26590" s="1" t="s">
        <v>7328</v>
      </c>
      <c r="C26590" s="1" t="s">
        <v>7329</v>
      </c>
      <c r="D26590" s="22" t="str">
        <f>HYPERLINK("https://rhld.insurance.arkansas.gov/NPILookup?Npi=1619957834","1619957834")</f>
        <v>1619957834</v>
      </c>
      <c r="E26590" s="1" t="s">
        <v>13375</v>
      </c>
      <c r="F26590" s="2"/>
      <c r="G26590" s="2"/>
      <c r="H26590" s="2"/>
    </row>
    <row r="26591" spans="1:8" x14ac:dyDescent="0.25">
      <c r="A26591" s="1"/>
      <c r="B26591" s="1" t="s">
        <v>7328</v>
      </c>
      <c r="C26591" s="1" t="s">
        <v>7329</v>
      </c>
      <c r="D26591" s="22" t="str">
        <f>HYPERLINK("https://rhld.insurance.arkansas.gov/NPILookup?Npi=1619986718","1619986718")</f>
        <v>1619986718</v>
      </c>
      <c r="E26591" s="1" t="s">
        <v>4217</v>
      </c>
      <c r="F26591" s="2"/>
      <c r="G26591" s="2"/>
      <c r="H26591" s="2"/>
    </row>
    <row r="26592" spans="1:8" x14ac:dyDescent="0.25">
      <c r="A26592" s="1"/>
      <c r="B26592" s="1" t="s">
        <v>7328</v>
      </c>
      <c r="C26592" s="1" t="s">
        <v>7329</v>
      </c>
      <c r="D26592" s="22" t="str">
        <f>HYPERLINK("https://rhld.insurance.arkansas.gov/NPILookup?Npi=1619992377","1619992377")</f>
        <v>1619992377</v>
      </c>
      <c r="E26592" s="1" t="s">
        <v>2933</v>
      </c>
      <c r="F26592" s="2"/>
      <c r="G26592" s="2"/>
      <c r="H26592" s="2"/>
    </row>
    <row r="26593" spans="1:8" x14ac:dyDescent="0.25">
      <c r="A26593" s="1"/>
      <c r="B26593" s="1" t="s">
        <v>7328</v>
      </c>
      <c r="C26593" s="1" t="s">
        <v>7329</v>
      </c>
      <c r="D26593" s="22" t="str">
        <f>HYPERLINK("https://rhld.insurance.arkansas.gov/NPILookup?Npi=1619994316","1619994316")</f>
        <v>1619994316</v>
      </c>
      <c r="E26593" s="1" t="s">
        <v>27882</v>
      </c>
      <c r="F26593" s="2"/>
      <c r="G26593" s="2"/>
      <c r="H26593" s="2"/>
    </row>
    <row r="26594" spans="1:8" x14ac:dyDescent="0.25">
      <c r="A26594" s="1"/>
      <c r="B26594" s="1" t="s">
        <v>7328</v>
      </c>
      <c r="C26594" s="1" t="s">
        <v>7329</v>
      </c>
      <c r="D26594" s="22" t="str">
        <f>HYPERLINK("https://rhld.insurance.arkansas.gov/NPILookup?Npi=1629018981","1629018981")</f>
        <v>1629018981</v>
      </c>
      <c r="E26594" s="1" t="s">
        <v>27883</v>
      </c>
      <c r="F26594" s="2"/>
      <c r="G26594" s="2"/>
      <c r="H26594" s="2"/>
    </row>
    <row r="26595" spans="1:8" x14ac:dyDescent="0.25">
      <c r="A26595" s="1"/>
      <c r="B26595" s="1" t="s">
        <v>7328</v>
      </c>
      <c r="C26595" s="1" t="s">
        <v>7329</v>
      </c>
      <c r="D26595" s="22" t="str">
        <f>HYPERLINK("https://rhld.insurance.arkansas.gov/NPILookup?Npi=1629027313","1629027313")</f>
        <v>1629027313</v>
      </c>
      <c r="E26595" s="1" t="s">
        <v>2934</v>
      </c>
      <c r="F26595" s="2"/>
      <c r="G26595" s="2"/>
      <c r="H26595" s="2"/>
    </row>
    <row r="26596" spans="1:8" x14ac:dyDescent="0.25">
      <c r="A26596" s="1"/>
      <c r="B26596" s="1" t="s">
        <v>7328</v>
      </c>
      <c r="C26596" s="1" t="s">
        <v>7329</v>
      </c>
      <c r="D26596" s="22" t="str">
        <f>HYPERLINK("https://rhld.insurance.arkansas.gov/NPILookup?Npi=1629028584","1629028584")</f>
        <v>1629028584</v>
      </c>
      <c r="E26596" s="1" t="s">
        <v>841</v>
      </c>
      <c r="F26596" s="2"/>
      <c r="G26596" s="2"/>
      <c r="H26596" s="2"/>
    </row>
    <row r="26597" spans="1:8" x14ac:dyDescent="0.25">
      <c r="A26597" s="1"/>
      <c r="B26597" s="1" t="s">
        <v>7328</v>
      </c>
      <c r="C26597" s="1" t="s">
        <v>7329</v>
      </c>
      <c r="D26597" s="22" t="str">
        <f>HYPERLINK("https://rhld.insurance.arkansas.gov/NPILookup?Npi=1629031950","1629031950")</f>
        <v>1629031950</v>
      </c>
      <c r="E26597" s="1" t="s">
        <v>27884</v>
      </c>
      <c r="F26597" s="2"/>
      <c r="G26597" s="2"/>
      <c r="H26597" s="2"/>
    </row>
    <row r="26598" spans="1:8" x14ac:dyDescent="0.25">
      <c r="A26598" s="1"/>
      <c r="B26598" s="1" t="s">
        <v>7328</v>
      </c>
      <c r="C26598" s="1" t="s">
        <v>7329</v>
      </c>
      <c r="D26598" s="22" t="str">
        <f>HYPERLINK("https://rhld.insurance.arkansas.gov/NPILookup?Npi=1629037585","1629037585")</f>
        <v>1629037585</v>
      </c>
      <c r="E26598" s="1" t="s">
        <v>27885</v>
      </c>
      <c r="F26598" s="2"/>
      <c r="G26598" s="2"/>
      <c r="H26598" s="2"/>
    </row>
    <row r="26599" spans="1:8" x14ac:dyDescent="0.25">
      <c r="A26599" s="1"/>
      <c r="B26599" s="1" t="s">
        <v>7328</v>
      </c>
      <c r="C26599" s="1" t="s">
        <v>7329</v>
      </c>
      <c r="D26599" s="22" t="str">
        <f>HYPERLINK("https://rhld.insurance.arkansas.gov/NPILookup?Npi=1629064019","1629064019")</f>
        <v>1629064019</v>
      </c>
      <c r="E26599" s="1" t="s">
        <v>7946</v>
      </c>
      <c r="F26599" s="2"/>
      <c r="G26599" s="2"/>
      <c r="H26599" s="2"/>
    </row>
    <row r="26600" spans="1:8" x14ac:dyDescent="0.25">
      <c r="A26600" s="1"/>
      <c r="B26600" s="1" t="s">
        <v>7328</v>
      </c>
      <c r="C26600" s="1" t="s">
        <v>7329</v>
      </c>
      <c r="D26600" s="22" t="str">
        <f>HYPERLINK("https://rhld.insurance.arkansas.gov/NPILookup?Npi=1629085758","1629085758")</f>
        <v>1629085758</v>
      </c>
      <c r="E26600" s="1" t="s">
        <v>27886</v>
      </c>
      <c r="F26600" s="2"/>
      <c r="G26600" s="2"/>
      <c r="H26600" s="2"/>
    </row>
    <row r="26601" spans="1:8" x14ac:dyDescent="0.25">
      <c r="A26601" s="1"/>
      <c r="B26601" s="1" t="s">
        <v>7328</v>
      </c>
      <c r="C26601" s="1" t="s">
        <v>7329</v>
      </c>
      <c r="D26601" s="22" t="str">
        <f>HYPERLINK("https://rhld.insurance.arkansas.gov/NPILookup?Npi=1629091640","1629091640")</f>
        <v>1629091640</v>
      </c>
      <c r="E26601" s="1" t="s">
        <v>27887</v>
      </c>
      <c r="F26601" s="2"/>
      <c r="G26601" s="2"/>
      <c r="H26601" s="2"/>
    </row>
    <row r="26602" spans="1:8" x14ac:dyDescent="0.25">
      <c r="A26602" s="1"/>
      <c r="B26602" s="1" t="s">
        <v>7328</v>
      </c>
      <c r="C26602" s="1" t="s">
        <v>7329</v>
      </c>
      <c r="D26602" s="22" t="str">
        <f>HYPERLINK("https://rhld.insurance.arkansas.gov/NPILookup?Npi=1629095328","1629095328")</f>
        <v>1629095328</v>
      </c>
      <c r="E26602" s="1" t="s">
        <v>627</v>
      </c>
      <c r="F26602" s="2"/>
      <c r="G26602" s="2"/>
      <c r="H26602" s="2"/>
    </row>
    <row r="26603" spans="1:8" x14ac:dyDescent="0.25">
      <c r="A26603" s="1"/>
      <c r="B26603" s="1" t="s">
        <v>7328</v>
      </c>
      <c r="C26603" s="1" t="s">
        <v>7329</v>
      </c>
      <c r="D26603" s="22" t="str">
        <f>HYPERLINK("https://rhld.insurance.arkansas.gov/NPILookup?Npi=1629117361","1629117361")</f>
        <v>1629117361</v>
      </c>
      <c r="E26603" s="1" t="s">
        <v>27888</v>
      </c>
      <c r="F26603" s="2"/>
      <c r="G26603" s="2"/>
      <c r="H26603" s="2"/>
    </row>
    <row r="26604" spans="1:8" x14ac:dyDescent="0.25">
      <c r="A26604" s="1"/>
      <c r="B26604" s="1" t="s">
        <v>7328</v>
      </c>
      <c r="C26604" s="1" t="s">
        <v>7329</v>
      </c>
      <c r="D26604" s="22" t="str">
        <f>HYPERLINK("https://rhld.insurance.arkansas.gov/NPILookup?Npi=1629122429","1629122429")</f>
        <v>1629122429</v>
      </c>
      <c r="E26604" s="1" t="s">
        <v>27889</v>
      </c>
      <c r="F26604" s="2"/>
      <c r="G26604" s="2"/>
      <c r="H26604" s="2"/>
    </row>
    <row r="26605" spans="1:8" x14ac:dyDescent="0.25">
      <c r="A26605" s="1"/>
      <c r="B26605" s="1" t="s">
        <v>7328</v>
      </c>
      <c r="C26605" s="1" t="s">
        <v>7329</v>
      </c>
      <c r="D26605" s="22" t="str">
        <f>HYPERLINK("https://rhld.insurance.arkansas.gov/NPILookup?Npi=1629157359","1629157359")</f>
        <v>1629157359</v>
      </c>
      <c r="E26605" s="1" t="s">
        <v>10389</v>
      </c>
      <c r="F26605" s="2"/>
      <c r="G26605" s="2"/>
      <c r="H26605" s="2"/>
    </row>
    <row r="26606" spans="1:8" x14ac:dyDescent="0.25">
      <c r="A26606" s="1"/>
      <c r="B26606" s="1" t="s">
        <v>7328</v>
      </c>
      <c r="C26606" s="1" t="s">
        <v>7329</v>
      </c>
      <c r="D26606" s="22" t="str">
        <f>HYPERLINK("https://rhld.insurance.arkansas.gov/NPILookup?Npi=1629181433","1629181433")</f>
        <v>1629181433</v>
      </c>
      <c r="E26606" s="1" t="s">
        <v>27890</v>
      </c>
      <c r="F26606" s="2"/>
      <c r="G26606" s="2"/>
      <c r="H26606" s="2"/>
    </row>
    <row r="26607" spans="1:8" x14ac:dyDescent="0.25">
      <c r="A26607" s="1"/>
      <c r="B26607" s="1" t="s">
        <v>7328</v>
      </c>
      <c r="C26607" s="1" t="s">
        <v>7329</v>
      </c>
      <c r="D26607" s="22" t="str">
        <f>HYPERLINK("https://rhld.insurance.arkansas.gov/NPILookup?Npi=1629189964","1629189964")</f>
        <v>1629189964</v>
      </c>
      <c r="E26607" s="1" t="s">
        <v>27891</v>
      </c>
      <c r="F26607" s="2"/>
      <c r="G26607" s="2"/>
      <c r="H26607" s="2"/>
    </row>
    <row r="26608" spans="1:8" x14ac:dyDescent="0.25">
      <c r="A26608" s="1"/>
      <c r="B26608" s="1" t="s">
        <v>7328</v>
      </c>
      <c r="C26608" s="1" t="s">
        <v>7329</v>
      </c>
      <c r="D26608" s="22" t="str">
        <f>HYPERLINK("https://rhld.insurance.arkansas.gov/NPILookup?Npi=1629201710","1629201710")</f>
        <v>1629201710</v>
      </c>
      <c r="E26608" s="1" t="s">
        <v>27892</v>
      </c>
      <c r="F26608" s="2"/>
      <c r="G26608" s="2"/>
      <c r="H26608" s="2"/>
    </row>
    <row r="26609" spans="1:8" x14ac:dyDescent="0.25">
      <c r="A26609" s="1"/>
      <c r="B26609" s="1" t="s">
        <v>7328</v>
      </c>
      <c r="C26609" s="1" t="s">
        <v>7329</v>
      </c>
      <c r="D26609" s="22" t="str">
        <f>HYPERLINK("https://rhld.insurance.arkansas.gov/NPILookup?Npi=1629203005","1629203005")</f>
        <v>1629203005</v>
      </c>
      <c r="E26609" s="1" t="s">
        <v>32304</v>
      </c>
      <c r="F26609" s="2"/>
      <c r="G26609" s="2"/>
      <c r="H26609" s="2"/>
    </row>
    <row r="26610" spans="1:8" x14ac:dyDescent="0.25">
      <c r="A26610" s="1"/>
      <c r="B26610" s="1" t="s">
        <v>7328</v>
      </c>
      <c r="C26610" s="1" t="s">
        <v>7329</v>
      </c>
      <c r="D26610" s="22" t="str">
        <f>HYPERLINK("https://rhld.insurance.arkansas.gov/NPILookup?Npi=1629207386","1629207386")</f>
        <v>1629207386</v>
      </c>
      <c r="E26610" s="1" t="s">
        <v>117</v>
      </c>
      <c r="F26610" s="2"/>
      <c r="G26610" s="2"/>
      <c r="H26610" s="2"/>
    </row>
    <row r="26611" spans="1:8" x14ac:dyDescent="0.25">
      <c r="A26611" s="1"/>
      <c r="B26611" s="1" t="s">
        <v>7328</v>
      </c>
      <c r="C26611" s="1" t="s">
        <v>7329</v>
      </c>
      <c r="D26611" s="22" t="str">
        <f>HYPERLINK("https://rhld.insurance.arkansas.gov/NPILookup?Npi=1629208434","1629208434")</f>
        <v>1629208434</v>
      </c>
      <c r="E26611" s="1" t="s">
        <v>2935</v>
      </c>
      <c r="F26611" s="2"/>
      <c r="G26611" s="2"/>
      <c r="H26611" s="2"/>
    </row>
    <row r="26612" spans="1:8" x14ac:dyDescent="0.25">
      <c r="A26612" s="1"/>
      <c r="B26612" s="1" t="s">
        <v>7328</v>
      </c>
      <c r="C26612" s="1" t="s">
        <v>7329</v>
      </c>
      <c r="D26612" s="22" t="str">
        <f>HYPERLINK("https://rhld.insurance.arkansas.gov/NPILookup?Npi=1629230396","1629230396")</f>
        <v>1629230396</v>
      </c>
      <c r="E26612" s="1" t="s">
        <v>105</v>
      </c>
      <c r="F26612" s="2"/>
      <c r="G26612" s="2"/>
      <c r="H26612" s="2"/>
    </row>
    <row r="26613" spans="1:8" x14ac:dyDescent="0.25">
      <c r="A26613" s="1"/>
      <c r="B26613" s="1" t="s">
        <v>7328</v>
      </c>
      <c r="C26613" s="1" t="s">
        <v>7329</v>
      </c>
      <c r="D26613" s="22" t="str">
        <f>HYPERLINK("https://rhld.insurance.arkansas.gov/NPILookup?Npi=1629237805","1629237805")</f>
        <v>1629237805</v>
      </c>
      <c r="E26613" s="1" t="s">
        <v>769</v>
      </c>
      <c r="F26613" s="2"/>
      <c r="G26613" s="2"/>
      <c r="H26613" s="2"/>
    </row>
    <row r="26614" spans="1:8" x14ac:dyDescent="0.25">
      <c r="A26614" s="1"/>
      <c r="B26614" s="1" t="s">
        <v>7328</v>
      </c>
      <c r="C26614" s="1" t="s">
        <v>7329</v>
      </c>
      <c r="D26614" s="22" t="str">
        <f>HYPERLINK("https://rhld.insurance.arkansas.gov/NPILookup?Npi=1629238795","1629238795")</f>
        <v>1629238795</v>
      </c>
      <c r="E26614" s="1" t="s">
        <v>27893</v>
      </c>
      <c r="F26614" s="2"/>
      <c r="G26614" s="2"/>
      <c r="H26614" s="2"/>
    </row>
    <row r="26615" spans="1:8" x14ac:dyDescent="0.25">
      <c r="A26615" s="1"/>
      <c r="B26615" s="1" t="s">
        <v>7328</v>
      </c>
      <c r="C26615" s="1" t="s">
        <v>7329</v>
      </c>
      <c r="D26615" s="22" t="str">
        <f>HYPERLINK("https://rhld.insurance.arkansas.gov/NPILookup?Npi=1629277231","1629277231")</f>
        <v>1629277231</v>
      </c>
      <c r="E26615" s="1" t="s">
        <v>27894</v>
      </c>
      <c r="F26615" s="2"/>
      <c r="G26615" s="2"/>
      <c r="H26615" s="2"/>
    </row>
    <row r="26616" spans="1:8" x14ac:dyDescent="0.25">
      <c r="A26616" s="1"/>
      <c r="B26616" s="1" t="s">
        <v>7328</v>
      </c>
      <c r="C26616" s="1" t="s">
        <v>7329</v>
      </c>
      <c r="D26616" s="22" t="str">
        <f>HYPERLINK("https://rhld.insurance.arkansas.gov/NPILookup?Npi=1629295761","1629295761")</f>
        <v>1629295761</v>
      </c>
      <c r="E26616" s="1" t="s">
        <v>27895</v>
      </c>
      <c r="F26616" s="2"/>
      <c r="G26616" s="2"/>
      <c r="H26616" s="2"/>
    </row>
    <row r="26617" spans="1:8" x14ac:dyDescent="0.25">
      <c r="A26617" s="1"/>
      <c r="B26617" s="1" t="s">
        <v>7328</v>
      </c>
      <c r="C26617" s="1" t="s">
        <v>7329</v>
      </c>
      <c r="D26617" s="22" t="str">
        <f>HYPERLINK("https://rhld.insurance.arkansas.gov/NPILookup?Npi=1629301106","1629301106")</f>
        <v>1629301106</v>
      </c>
      <c r="E26617" s="1" t="s">
        <v>7947</v>
      </c>
      <c r="F26617" s="2"/>
      <c r="G26617" s="2"/>
      <c r="H26617" s="2"/>
    </row>
    <row r="26618" spans="1:8" x14ac:dyDescent="0.25">
      <c r="A26618" s="1"/>
      <c r="B26618" s="1" t="s">
        <v>7328</v>
      </c>
      <c r="C26618" s="1" t="s">
        <v>7329</v>
      </c>
      <c r="D26618" s="22" t="str">
        <f>HYPERLINK("https://rhld.insurance.arkansas.gov/NPILookup?Npi=1629303953","1629303953")</f>
        <v>1629303953</v>
      </c>
      <c r="E26618" s="1" t="s">
        <v>27896</v>
      </c>
      <c r="F26618" s="2"/>
      <c r="G26618" s="2"/>
      <c r="H26618" s="2"/>
    </row>
    <row r="26619" spans="1:8" x14ac:dyDescent="0.25">
      <c r="A26619" s="1"/>
      <c r="B26619" s="1" t="s">
        <v>7328</v>
      </c>
      <c r="C26619" s="1" t="s">
        <v>7329</v>
      </c>
      <c r="D26619" s="22" t="str">
        <f>HYPERLINK("https://rhld.insurance.arkansas.gov/NPILookup?Npi=1629320858","1629320858")</f>
        <v>1629320858</v>
      </c>
      <c r="E26619" s="1" t="s">
        <v>13376</v>
      </c>
      <c r="F26619" s="2"/>
      <c r="G26619" s="2"/>
      <c r="H26619" s="2"/>
    </row>
    <row r="26620" spans="1:8" x14ac:dyDescent="0.25">
      <c r="A26620" s="1"/>
      <c r="B26620" s="1" t="s">
        <v>7328</v>
      </c>
      <c r="C26620" s="1" t="s">
        <v>7329</v>
      </c>
      <c r="D26620" s="22" t="str">
        <f>HYPERLINK("https://rhld.insurance.arkansas.gov/NPILookup?Npi=1629322607","1629322607")</f>
        <v>1629322607</v>
      </c>
      <c r="E26620" s="1" t="s">
        <v>13377</v>
      </c>
      <c r="F26620" s="2"/>
      <c r="G26620" s="2"/>
      <c r="H26620" s="2"/>
    </row>
    <row r="26621" spans="1:8" x14ac:dyDescent="0.25">
      <c r="A26621" s="1"/>
      <c r="B26621" s="1" t="s">
        <v>7328</v>
      </c>
      <c r="C26621" s="1" t="s">
        <v>7329</v>
      </c>
      <c r="D26621" s="22" t="str">
        <f>HYPERLINK("https://rhld.insurance.arkansas.gov/NPILookup?Npi=1629336078","1629336078")</f>
        <v>1629336078</v>
      </c>
      <c r="E26621" s="1" t="s">
        <v>27897</v>
      </c>
      <c r="F26621" s="2"/>
      <c r="G26621" s="2"/>
      <c r="H26621" s="2"/>
    </row>
    <row r="26622" spans="1:8" x14ac:dyDescent="0.25">
      <c r="A26622" s="1"/>
      <c r="B26622" s="1" t="s">
        <v>7328</v>
      </c>
      <c r="C26622" s="1" t="s">
        <v>7329</v>
      </c>
      <c r="D26622" s="22" t="str">
        <f>HYPERLINK("https://rhld.insurance.arkansas.gov/NPILookup?Npi=1629337738","1629337738")</f>
        <v>1629337738</v>
      </c>
      <c r="E26622" s="1" t="s">
        <v>27898</v>
      </c>
      <c r="F26622" s="2"/>
      <c r="G26622" s="2"/>
      <c r="H26622" s="2"/>
    </row>
    <row r="26623" spans="1:8" x14ac:dyDescent="0.25">
      <c r="A26623" s="1"/>
      <c r="B26623" s="1" t="s">
        <v>7328</v>
      </c>
      <c r="C26623" s="1" t="s">
        <v>7329</v>
      </c>
      <c r="D26623" s="22" t="str">
        <f>HYPERLINK("https://rhld.insurance.arkansas.gov/NPILookup?Npi=1629343868","1629343868")</f>
        <v>1629343868</v>
      </c>
      <c r="E26623" s="1" t="s">
        <v>27899</v>
      </c>
      <c r="F26623" s="2"/>
      <c r="G26623" s="2"/>
      <c r="H26623" s="2"/>
    </row>
    <row r="26624" spans="1:8" x14ac:dyDescent="0.25">
      <c r="A26624" s="1"/>
      <c r="B26624" s="1" t="s">
        <v>7328</v>
      </c>
      <c r="C26624" s="1" t="s">
        <v>7329</v>
      </c>
      <c r="D26624" s="22" t="str">
        <f>HYPERLINK("https://rhld.insurance.arkansas.gov/NPILookup?Npi=1629346481","1629346481")</f>
        <v>1629346481</v>
      </c>
      <c r="E26624" s="1" t="s">
        <v>3538</v>
      </c>
      <c r="F26624" s="2"/>
      <c r="G26624" s="2"/>
      <c r="H26624" s="2"/>
    </row>
    <row r="26625" spans="1:8" x14ac:dyDescent="0.25">
      <c r="A26625" s="1"/>
      <c r="B26625" s="1" t="s">
        <v>7328</v>
      </c>
      <c r="C26625" s="1" t="s">
        <v>7329</v>
      </c>
      <c r="D26625" s="22" t="str">
        <f>HYPERLINK("https://rhld.insurance.arkansas.gov/NPILookup?Npi=1629398268","1629398268")</f>
        <v>1629398268</v>
      </c>
      <c r="E26625" s="1" t="s">
        <v>118</v>
      </c>
      <c r="F26625" s="2"/>
      <c r="G26625" s="2"/>
      <c r="H26625" s="2"/>
    </row>
    <row r="26626" spans="1:8" x14ac:dyDescent="0.25">
      <c r="A26626" s="1"/>
      <c r="B26626" s="1" t="s">
        <v>7328</v>
      </c>
      <c r="C26626" s="1" t="s">
        <v>7329</v>
      </c>
      <c r="D26626" s="22" t="str">
        <f>HYPERLINK("https://rhld.insurance.arkansas.gov/NPILookup?Npi=1629398276","1629398276")</f>
        <v>1629398276</v>
      </c>
      <c r="E26626" s="1" t="s">
        <v>27900</v>
      </c>
      <c r="F26626" s="2"/>
      <c r="G26626" s="2"/>
      <c r="H26626" s="2"/>
    </row>
    <row r="26627" spans="1:8" x14ac:dyDescent="0.25">
      <c r="A26627" s="1"/>
      <c r="B26627" s="1" t="s">
        <v>7328</v>
      </c>
      <c r="C26627" s="1" t="s">
        <v>7329</v>
      </c>
      <c r="D26627" s="22" t="str">
        <f>HYPERLINK("https://rhld.insurance.arkansas.gov/NPILookup?Npi=1629408497","1629408497")</f>
        <v>1629408497</v>
      </c>
      <c r="E26627" s="1" t="s">
        <v>27901</v>
      </c>
      <c r="F26627" s="2"/>
      <c r="G26627" s="2"/>
      <c r="H26627" s="2"/>
    </row>
    <row r="26628" spans="1:8" x14ac:dyDescent="0.25">
      <c r="A26628" s="1"/>
      <c r="B26628" s="1" t="s">
        <v>7328</v>
      </c>
      <c r="C26628" s="1" t="s">
        <v>7329</v>
      </c>
      <c r="D26628" s="22" t="str">
        <f>HYPERLINK("https://rhld.insurance.arkansas.gov/NPILookup?Npi=1629413091","1629413091")</f>
        <v>1629413091</v>
      </c>
      <c r="E26628" s="1" t="s">
        <v>7948</v>
      </c>
      <c r="F26628" s="2"/>
      <c r="G26628" s="2"/>
      <c r="H26628" s="2"/>
    </row>
    <row r="26629" spans="1:8" x14ac:dyDescent="0.25">
      <c r="A26629" s="1"/>
      <c r="B26629" s="1" t="s">
        <v>7328</v>
      </c>
      <c r="C26629" s="1" t="s">
        <v>7329</v>
      </c>
      <c r="D26629" s="22" t="str">
        <f>HYPERLINK("https://rhld.insurance.arkansas.gov/NPILookup?Npi=1629414354","1629414354")</f>
        <v>1629414354</v>
      </c>
      <c r="E26629" s="1" t="s">
        <v>2936</v>
      </c>
      <c r="F26629" s="2"/>
      <c r="G26629" s="2"/>
      <c r="H26629" s="2"/>
    </row>
    <row r="26630" spans="1:8" x14ac:dyDescent="0.25">
      <c r="A26630" s="1"/>
      <c r="B26630" s="1" t="s">
        <v>7328</v>
      </c>
      <c r="C26630" s="1" t="s">
        <v>7329</v>
      </c>
      <c r="D26630" s="22" t="str">
        <f>HYPERLINK("https://rhld.insurance.arkansas.gov/NPILookup?Npi=1629418553","1629418553")</f>
        <v>1629418553</v>
      </c>
      <c r="E26630" s="1" t="s">
        <v>27902</v>
      </c>
      <c r="F26630" s="2"/>
      <c r="G26630" s="2"/>
      <c r="H26630" s="2"/>
    </row>
    <row r="26631" spans="1:8" x14ac:dyDescent="0.25">
      <c r="A26631" s="1"/>
      <c r="B26631" s="1" t="s">
        <v>7328</v>
      </c>
      <c r="C26631" s="1" t="s">
        <v>7329</v>
      </c>
      <c r="D26631" s="22" t="str">
        <f>HYPERLINK("https://rhld.insurance.arkansas.gov/NPILookup?Npi=1629420310","1629420310")</f>
        <v>1629420310</v>
      </c>
      <c r="E26631" s="1" t="s">
        <v>770</v>
      </c>
      <c r="F26631" s="2"/>
      <c r="G26631" s="2"/>
      <c r="H26631" s="2"/>
    </row>
    <row r="26632" spans="1:8" x14ac:dyDescent="0.25">
      <c r="A26632" s="1"/>
      <c r="B26632" s="1" t="s">
        <v>7328</v>
      </c>
      <c r="C26632" s="1" t="s">
        <v>7329</v>
      </c>
      <c r="D26632" s="22" t="str">
        <f>HYPERLINK("https://rhld.insurance.arkansas.gov/NPILookup?Npi=1629422266","1629422266")</f>
        <v>1629422266</v>
      </c>
      <c r="E26632" s="1" t="s">
        <v>27903</v>
      </c>
      <c r="F26632" s="2"/>
      <c r="G26632" s="2"/>
      <c r="H26632" s="2"/>
    </row>
    <row r="26633" spans="1:8" x14ac:dyDescent="0.25">
      <c r="A26633" s="1"/>
      <c r="B26633" s="1" t="s">
        <v>7328</v>
      </c>
      <c r="C26633" s="1" t="s">
        <v>7329</v>
      </c>
      <c r="D26633" s="22" t="str">
        <f>HYPERLINK("https://rhld.insurance.arkansas.gov/NPILookup?Npi=1629426721","1629426721")</f>
        <v>1629426721</v>
      </c>
      <c r="E26633" s="1" t="s">
        <v>27904</v>
      </c>
      <c r="F26633" s="2"/>
      <c r="G26633" s="2"/>
      <c r="H26633" s="2"/>
    </row>
    <row r="26634" spans="1:8" x14ac:dyDescent="0.25">
      <c r="A26634" s="1"/>
      <c r="B26634" s="1" t="s">
        <v>7328</v>
      </c>
      <c r="C26634" s="1" t="s">
        <v>7329</v>
      </c>
      <c r="D26634" s="22" t="str">
        <f>HYPERLINK("https://rhld.insurance.arkansas.gov/NPILookup?Npi=1629429329","1629429329")</f>
        <v>1629429329</v>
      </c>
      <c r="E26634" s="1" t="s">
        <v>7949</v>
      </c>
      <c r="F26634" s="2"/>
      <c r="G26634" s="2"/>
      <c r="H26634" s="2"/>
    </row>
    <row r="26635" spans="1:8" x14ac:dyDescent="0.25">
      <c r="A26635" s="1"/>
      <c r="B26635" s="1" t="s">
        <v>7328</v>
      </c>
      <c r="C26635" s="1" t="s">
        <v>7329</v>
      </c>
      <c r="D26635" s="22" t="str">
        <f>HYPERLINK("https://rhld.insurance.arkansas.gov/NPILookup?Npi=1629431192","1629431192")</f>
        <v>1629431192</v>
      </c>
      <c r="E26635" s="1" t="s">
        <v>7950</v>
      </c>
      <c r="F26635" s="2"/>
      <c r="G26635" s="2"/>
      <c r="H26635" s="2"/>
    </row>
    <row r="26636" spans="1:8" x14ac:dyDescent="0.25">
      <c r="A26636" s="1"/>
      <c r="B26636" s="1" t="s">
        <v>7328</v>
      </c>
      <c r="C26636" s="1" t="s">
        <v>7329</v>
      </c>
      <c r="D26636" s="22" t="str">
        <f>HYPERLINK("https://rhld.insurance.arkansas.gov/NPILookup?Npi=1629431226","1629431226")</f>
        <v>1629431226</v>
      </c>
      <c r="E26636" s="1" t="s">
        <v>27905</v>
      </c>
      <c r="F26636" s="2"/>
      <c r="G26636" s="2"/>
      <c r="H26636" s="2"/>
    </row>
    <row r="26637" spans="1:8" x14ac:dyDescent="0.25">
      <c r="A26637" s="1"/>
      <c r="B26637" s="1" t="s">
        <v>7328</v>
      </c>
      <c r="C26637" s="1" t="s">
        <v>7329</v>
      </c>
      <c r="D26637" s="22" t="str">
        <f>HYPERLINK("https://rhld.insurance.arkansas.gov/NPILookup?Npi=1629442132","1629442132")</f>
        <v>1629442132</v>
      </c>
      <c r="E26637" s="1" t="s">
        <v>2045</v>
      </c>
      <c r="F26637" s="2"/>
      <c r="G26637" s="2"/>
      <c r="H26637" s="2"/>
    </row>
    <row r="26638" spans="1:8" x14ac:dyDescent="0.25">
      <c r="A26638" s="1"/>
      <c r="B26638" s="1" t="s">
        <v>7328</v>
      </c>
      <c r="C26638" s="1" t="s">
        <v>7329</v>
      </c>
      <c r="D26638" s="22" t="str">
        <f>HYPERLINK("https://rhld.insurance.arkansas.gov/NPILookup?Npi=1629450127","1629450127")</f>
        <v>1629450127</v>
      </c>
      <c r="E26638" s="1" t="s">
        <v>27906</v>
      </c>
      <c r="F26638" s="2"/>
      <c r="G26638" s="2"/>
      <c r="H26638" s="2"/>
    </row>
    <row r="26639" spans="1:8" x14ac:dyDescent="0.25">
      <c r="A26639" s="1"/>
      <c r="B26639" s="1" t="s">
        <v>7328</v>
      </c>
      <c r="C26639" s="1" t="s">
        <v>7329</v>
      </c>
      <c r="D26639" s="22" t="str">
        <f>HYPERLINK("https://rhld.insurance.arkansas.gov/NPILookup?Npi=1629453030","1629453030")</f>
        <v>1629453030</v>
      </c>
      <c r="E26639" s="1" t="s">
        <v>2046</v>
      </c>
      <c r="F26639" s="2"/>
      <c r="G26639" s="2"/>
      <c r="H26639" s="2"/>
    </row>
    <row r="26640" spans="1:8" x14ac:dyDescent="0.25">
      <c r="A26640" s="1"/>
      <c r="B26640" s="1" t="s">
        <v>7328</v>
      </c>
      <c r="C26640" s="1" t="s">
        <v>7329</v>
      </c>
      <c r="D26640" s="22" t="str">
        <f>HYPERLINK("https://rhld.insurance.arkansas.gov/NPILookup?Npi=1629464680","1629464680")</f>
        <v>1629464680</v>
      </c>
      <c r="E26640" s="1" t="s">
        <v>13378</v>
      </c>
      <c r="F26640" s="2"/>
      <c r="G26640" s="2"/>
      <c r="H26640" s="2"/>
    </row>
    <row r="26641" spans="1:8" x14ac:dyDescent="0.25">
      <c r="A26641" s="1"/>
      <c r="B26641" s="1" t="s">
        <v>7328</v>
      </c>
      <c r="C26641" s="1" t="s">
        <v>7329</v>
      </c>
      <c r="D26641" s="22" t="str">
        <f>HYPERLINK("https://rhld.insurance.arkansas.gov/NPILookup?Npi=1629465919","1629465919")</f>
        <v>1629465919</v>
      </c>
      <c r="E26641" s="1" t="s">
        <v>27907</v>
      </c>
      <c r="F26641" s="2"/>
      <c r="G26641" s="2"/>
      <c r="H26641" s="2"/>
    </row>
    <row r="26642" spans="1:8" x14ac:dyDescent="0.25">
      <c r="A26642" s="1"/>
      <c r="B26642" s="1" t="s">
        <v>7328</v>
      </c>
      <c r="C26642" s="1" t="s">
        <v>7329</v>
      </c>
      <c r="D26642" s="22" t="str">
        <f>HYPERLINK("https://rhld.insurance.arkansas.gov/NPILookup?Npi=1629466610","1629466610")</f>
        <v>1629466610</v>
      </c>
      <c r="E26642" s="1" t="s">
        <v>27908</v>
      </c>
      <c r="F26642" s="2"/>
      <c r="G26642" s="2"/>
      <c r="H26642" s="2"/>
    </row>
    <row r="26643" spans="1:8" x14ac:dyDescent="0.25">
      <c r="A26643" s="1"/>
      <c r="B26643" s="1" t="s">
        <v>7328</v>
      </c>
      <c r="C26643" s="1" t="s">
        <v>7329</v>
      </c>
      <c r="D26643" s="22" t="str">
        <f>HYPERLINK("https://rhld.insurance.arkansas.gov/NPILookup?Npi=1629468533","1629468533")</f>
        <v>1629468533</v>
      </c>
      <c r="E26643" s="1" t="s">
        <v>27909</v>
      </c>
      <c r="F26643" s="2"/>
      <c r="G26643" s="2"/>
      <c r="H26643" s="2"/>
    </row>
    <row r="26644" spans="1:8" x14ac:dyDescent="0.25">
      <c r="A26644" s="1"/>
      <c r="B26644" s="1" t="s">
        <v>7328</v>
      </c>
      <c r="C26644" s="1" t="s">
        <v>7329</v>
      </c>
      <c r="D26644" s="22" t="str">
        <f>HYPERLINK("https://rhld.insurance.arkansas.gov/NPILookup?Npi=1629469564","1629469564")</f>
        <v>1629469564</v>
      </c>
      <c r="E26644" s="1" t="s">
        <v>1160</v>
      </c>
      <c r="F26644" s="2"/>
      <c r="G26644" s="2"/>
      <c r="H26644" s="2"/>
    </row>
    <row r="26645" spans="1:8" x14ac:dyDescent="0.25">
      <c r="A26645" s="1"/>
      <c r="B26645" s="1" t="s">
        <v>7328</v>
      </c>
      <c r="C26645" s="1" t="s">
        <v>7329</v>
      </c>
      <c r="D26645" s="22" t="str">
        <f>HYPERLINK("https://rhld.insurance.arkansas.gov/NPILookup?Npi=1629484647","1629484647")</f>
        <v>1629484647</v>
      </c>
      <c r="E26645" s="1" t="s">
        <v>13379</v>
      </c>
      <c r="F26645" s="2"/>
      <c r="G26645" s="2"/>
      <c r="H26645" s="2"/>
    </row>
    <row r="26646" spans="1:8" x14ac:dyDescent="0.25">
      <c r="A26646" s="1"/>
      <c r="B26646" s="1" t="s">
        <v>7328</v>
      </c>
      <c r="C26646" s="1" t="s">
        <v>7329</v>
      </c>
      <c r="D26646" s="22" t="str">
        <f>HYPERLINK("https://rhld.insurance.arkansas.gov/NPILookup?Npi=1629489133","1629489133")</f>
        <v>1629489133</v>
      </c>
      <c r="E26646" s="1" t="s">
        <v>12988</v>
      </c>
      <c r="F26646" s="2"/>
      <c r="G26646" s="2"/>
      <c r="H26646" s="2"/>
    </row>
    <row r="26647" spans="1:8" x14ac:dyDescent="0.25">
      <c r="A26647" s="1"/>
      <c r="B26647" s="1" t="s">
        <v>7328</v>
      </c>
      <c r="C26647" s="1" t="s">
        <v>7329</v>
      </c>
      <c r="D26647" s="22" t="str">
        <f>HYPERLINK("https://rhld.insurance.arkansas.gov/NPILookup?Npi=1629511993","1629511993")</f>
        <v>1629511993</v>
      </c>
      <c r="E26647" s="1" t="s">
        <v>2937</v>
      </c>
      <c r="F26647" s="2"/>
      <c r="G26647" s="2"/>
      <c r="H26647" s="2"/>
    </row>
    <row r="26648" spans="1:8" x14ac:dyDescent="0.25">
      <c r="A26648" s="1"/>
      <c r="B26648" s="1" t="s">
        <v>7328</v>
      </c>
      <c r="C26648" s="1" t="s">
        <v>7329</v>
      </c>
      <c r="D26648" s="22" t="str">
        <f>HYPERLINK("https://rhld.insurance.arkansas.gov/NPILookup?Npi=1629518758","1629518758")</f>
        <v>1629518758</v>
      </c>
      <c r="E26648" s="1" t="s">
        <v>875</v>
      </c>
      <c r="F26648" s="2"/>
      <c r="G26648" s="2"/>
      <c r="H26648" s="2"/>
    </row>
    <row r="26649" spans="1:8" x14ac:dyDescent="0.25">
      <c r="A26649" s="1"/>
      <c r="B26649" s="1" t="s">
        <v>7328</v>
      </c>
      <c r="C26649" s="1" t="s">
        <v>7329</v>
      </c>
      <c r="D26649" s="22" t="str">
        <f>HYPERLINK("https://rhld.insurance.arkansas.gov/NPILookup?Npi=1629522594","1629522594")</f>
        <v>1629522594</v>
      </c>
      <c r="E26649" s="1" t="s">
        <v>10950</v>
      </c>
      <c r="F26649" s="2"/>
      <c r="G26649" s="2"/>
      <c r="H26649" s="2"/>
    </row>
    <row r="26650" spans="1:8" x14ac:dyDescent="0.25">
      <c r="A26650" s="1"/>
      <c r="B26650" s="1" t="s">
        <v>7328</v>
      </c>
      <c r="C26650" s="1" t="s">
        <v>7329</v>
      </c>
      <c r="D26650" s="22" t="str">
        <f>HYPERLINK("https://rhld.insurance.arkansas.gov/NPILookup?Npi=1629527940","1629527940")</f>
        <v>1629527940</v>
      </c>
      <c r="E26650" s="1" t="s">
        <v>3539</v>
      </c>
      <c r="F26650" s="2"/>
      <c r="G26650" s="2"/>
      <c r="H26650" s="2"/>
    </row>
    <row r="26651" spans="1:8" x14ac:dyDescent="0.25">
      <c r="A26651" s="1"/>
      <c r="B26651" s="1" t="s">
        <v>7328</v>
      </c>
      <c r="C26651" s="1" t="s">
        <v>7329</v>
      </c>
      <c r="D26651" s="22" t="str">
        <f>HYPERLINK("https://rhld.insurance.arkansas.gov/NPILookup?Npi=1629527965","1629527965")</f>
        <v>1629527965</v>
      </c>
      <c r="E26651" s="1" t="s">
        <v>27910</v>
      </c>
      <c r="F26651" s="2"/>
      <c r="G26651" s="2"/>
      <c r="H26651" s="2"/>
    </row>
    <row r="26652" spans="1:8" x14ac:dyDescent="0.25">
      <c r="A26652" s="1"/>
      <c r="B26652" s="1" t="s">
        <v>7328</v>
      </c>
      <c r="C26652" s="1" t="s">
        <v>7329</v>
      </c>
      <c r="D26652" s="22" t="str">
        <f>HYPERLINK("https://rhld.insurance.arkansas.gov/NPILookup?Npi=1629531595","1629531595")</f>
        <v>1629531595</v>
      </c>
      <c r="E26652" s="1" t="s">
        <v>32305</v>
      </c>
      <c r="F26652" s="2"/>
      <c r="G26652" s="2"/>
      <c r="H26652" s="2"/>
    </row>
    <row r="26653" spans="1:8" x14ac:dyDescent="0.25">
      <c r="A26653" s="1"/>
      <c r="B26653" s="1" t="s">
        <v>7328</v>
      </c>
      <c r="C26653" s="1" t="s">
        <v>7329</v>
      </c>
      <c r="D26653" s="22" t="str">
        <f>HYPERLINK("https://rhld.insurance.arkansas.gov/NPILookup?Npi=1629532122","1629532122")</f>
        <v>1629532122</v>
      </c>
      <c r="E26653" s="1" t="s">
        <v>2938</v>
      </c>
      <c r="F26653" s="2"/>
      <c r="G26653" s="2"/>
      <c r="H26653" s="2"/>
    </row>
    <row r="26654" spans="1:8" x14ac:dyDescent="0.25">
      <c r="A26654" s="1"/>
      <c r="B26654" s="1" t="s">
        <v>7328</v>
      </c>
      <c r="C26654" s="1" t="s">
        <v>7329</v>
      </c>
      <c r="D26654" s="22" t="str">
        <f>HYPERLINK("https://rhld.insurance.arkansas.gov/NPILookup?Npi=1629532155","1629532155")</f>
        <v>1629532155</v>
      </c>
      <c r="E26654" s="1" t="s">
        <v>1795</v>
      </c>
      <c r="F26654" s="2"/>
      <c r="G26654" s="2"/>
      <c r="H26654" s="2"/>
    </row>
    <row r="26655" spans="1:8" x14ac:dyDescent="0.25">
      <c r="A26655" s="1"/>
      <c r="B26655" s="1" t="s">
        <v>7328</v>
      </c>
      <c r="C26655" s="1" t="s">
        <v>7329</v>
      </c>
      <c r="D26655" s="22" t="str">
        <f>HYPERLINK("https://rhld.insurance.arkansas.gov/NPILookup?Npi=1629536255","1629536255")</f>
        <v>1629536255</v>
      </c>
      <c r="E26655" s="1" t="s">
        <v>27911</v>
      </c>
      <c r="F26655" s="2"/>
      <c r="G26655" s="2"/>
      <c r="H26655" s="2"/>
    </row>
    <row r="26656" spans="1:8" x14ac:dyDescent="0.25">
      <c r="A26656" s="1"/>
      <c r="B26656" s="1" t="s">
        <v>7328</v>
      </c>
      <c r="C26656" s="1" t="s">
        <v>7329</v>
      </c>
      <c r="D26656" s="22" t="str">
        <f>HYPERLINK("https://rhld.insurance.arkansas.gov/NPILookup?Npi=1629555198","1629555198")</f>
        <v>1629555198</v>
      </c>
      <c r="E26656" s="1" t="s">
        <v>27912</v>
      </c>
      <c r="F26656" s="2"/>
      <c r="G26656" s="2"/>
      <c r="H26656" s="2"/>
    </row>
    <row r="26657" spans="1:8" x14ac:dyDescent="0.25">
      <c r="A26657" s="1"/>
      <c r="B26657" s="1" t="s">
        <v>7328</v>
      </c>
      <c r="C26657" s="1" t="s">
        <v>7329</v>
      </c>
      <c r="D26657" s="22" t="str">
        <f>HYPERLINK("https://rhld.insurance.arkansas.gov/NPILookup?Npi=1629557582","1629557582")</f>
        <v>1629557582</v>
      </c>
      <c r="E26657" s="1" t="s">
        <v>1648</v>
      </c>
      <c r="F26657" s="2"/>
      <c r="G26657" s="2"/>
      <c r="H26657" s="2"/>
    </row>
    <row r="26658" spans="1:8" x14ac:dyDescent="0.25">
      <c r="A26658" s="1"/>
      <c r="B26658" s="1" t="s">
        <v>7328</v>
      </c>
      <c r="C26658" s="1" t="s">
        <v>7329</v>
      </c>
      <c r="D26658" s="22" t="str">
        <f>HYPERLINK("https://rhld.insurance.arkansas.gov/NPILookup?Npi=1629561808","1629561808")</f>
        <v>1629561808</v>
      </c>
      <c r="E26658" s="1" t="s">
        <v>17724</v>
      </c>
      <c r="F26658" s="2"/>
      <c r="G26658" s="2"/>
      <c r="H26658" s="2"/>
    </row>
    <row r="26659" spans="1:8" x14ac:dyDescent="0.25">
      <c r="A26659" s="1"/>
      <c r="B26659" s="1" t="s">
        <v>7328</v>
      </c>
      <c r="C26659" s="1" t="s">
        <v>7329</v>
      </c>
      <c r="D26659" s="22" t="str">
        <f>HYPERLINK("https://rhld.insurance.arkansas.gov/NPILookup?Npi=1629565536","1629565536")</f>
        <v>1629565536</v>
      </c>
      <c r="E26659" s="1" t="s">
        <v>27913</v>
      </c>
      <c r="F26659" s="2"/>
      <c r="G26659" s="2"/>
      <c r="H26659" s="2"/>
    </row>
    <row r="26660" spans="1:8" x14ac:dyDescent="0.25">
      <c r="A26660" s="1"/>
      <c r="B26660" s="1" t="s">
        <v>7328</v>
      </c>
      <c r="C26660" s="1" t="s">
        <v>7329</v>
      </c>
      <c r="D26660" s="22" t="str">
        <f>HYPERLINK("https://rhld.insurance.arkansas.gov/NPILookup?Npi=1629576152","1629576152")</f>
        <v>1629576152</v>
      </c>
      <c r="E26660" s="1" t="s">
        <v>27914</v>
      </c>
      <c r="F26660" s="2"/>
      <c r="G26660" s="2"/>
      <c r="H26660" s="2"/>
    </row>
    <row r="26661" spans="1:8" x14ac:dyDescent="0.25">
      <c r="A26661" s="1"/>
      <c r="B26661" s="1" t="s">
        <v>7328</v>
      </c>
      <c r="C26661" s="1" t="s">
        <v>7329</v>
      </c>
      <c r="D26661" s="22" t="str">
        <f>HYPERLINK("https://rhld.insurance.arkansas.gov/NPILookup?Npi=1629578067","1629578067")</f>
        <v>1629578067</v>
      </c>
      <c r="E26661" s="1" t="s">
        <v>27915</v>
      </c>
      <c r="F26661" s="2"/>
      <c r="G26661" s="2"/>
      <c r="H26661" s="2"/>
    </row>
    <row r="26662" spans="1:8" x14ac:dyDescent="0.25">
      <c r="A26662" s="1"/>
      <c r="B26662" s="1" t="s">
        <v>7328</v>
      </c>
      <c r="C26662" s="1" t="s">
        <v>7329</v>
      </c>
      <c r="D26662" s="22" t="str">
        <f>HYPERLINK("https://rhld.insurance.arkansas.gov/NPILookup?Npi=1629586573","1629586573")</f>
        <v>1629586573</v>
      </c>
      <c r="E26662" s="1" t="s">
        <v>27916</v>
      </c>
      <c r="F26662" s="2"/>
      <c r="G26662" s="2"/>
      <c r="H26662" s="2"/>
    </row>
    <row r="26663" spans="1:8" x14ac:dyDescent="0.25">
      <c r="A26663" s="1"/>
      <c r="B26663" s="1" t="s">
        <v>7328</v>
      </c>
      <c r="C26663" s="1" t="s">
        <v>7329</v>
      </c>
      <c r="D26663" s="22" t="str">
        <f>HYPERLINK("https://rhld.insurance.arkansas.gov/NPILookup?Npi=1629596960","1629596960")</f>
        <v>1629596960</v>
      </c>
      <c r="E26663" s="1" t="s">
        <v>27917</v>
      </c>
      <c r="F26663" s="2"/>
      <c r="G26663" s="2"/>
      <c r="H26663" s="2"/>
    </row>
    <row r="26664" spans="1:8" x14ac:dyDescent="0.25">
      <c r="A26664" s="1"/>
      <c r="B26664" s="1" t="s">
        <v>7328</v>
      </c>
      <c r="C26664" s="1" t="s">
        <v>7329</v>
      </c>
      <c r="D26664" s="22" t="str">
        <f>HYPERLINK("https://rhld.insurance.arkansas.gov/NPILookup?Npi=1629597133","1629597133")</f>
        <v>1629597133</v>
      </c>
      <c r="E26664" s="1" t="s">
        <v>27918</v>
      </c>
      <c r="F26664" s="2"/>
      <c r="G26664" s="2"/>
      <c r="H26664" s="2"/>
    </row>
    <row r="26665" spans="1:8" x14ac:dyDescent="0.25">
      <c r="A26665" s="1"/>
      <c r="B26665" s="1" t="s">
        <v>7328</v>
      </c>
      <c r="C26665" s="1" t="s">
        <v>7329</v>
      </c>
      <c r="D26665" s="22" t="str">
        <f>HYPERLINK("https://rhld.insurance.arkansas.gov/NPILookup?Npi=1629617857","1629617857")</f>
        <v>1629617857</v>
      </c>
      <c r="E26665" s="1" t="s">
        <v>27919</v>
      </c>
      <c r="F26665" s="2"/>
      <c r="G26665" s="2"/>
      <c r="H26665" s="2"/>
    </row>
    <row r="26666" spans="1:8" x14ac:dyDescent="0.25">
      <c r="A26666" s="1"/>
      <c r="B26666" s="1" t="s">
        <v>7328</v>
      </c>
      <c r="C26666" s="1" t="s">
        <v>7329</v>
      </c>
      <c r="D26666" s="22" t="str">
        <f>HYPERLINK("https://rhld.insurance.arkansas.gov/NPILookup?Npi=1629620190","1629620190")</f>
        <v>1629620190</v>
      </c>
      <c r="E26666" s="1" t="s">
        <v>27920</v>
      </c>
      <c r="F26666" s="2"/>
      <c r="G26666" s="2"/>
      <c r="H26666" s="2"/>
    </row>
    <row r="26667" spans="1:8" x14ac:dyDescent="0.25">
      <c r="A26667" s="1"/>
      <c r="B26667" s="1" t="s">
        <v>7328</v>
      </c>
      <c r="C26667" s="1" t="s">
        <v>7329</v>
      </c>
      <c r="D26667" s="22" t="str">
        <f>HYPERLINK("https://rhld.insurance.arkansas.gov/NPILookup?Npi=1629627542","1629627542")</f>
        <v>1629627542</v>
      </c>
      <c r="E26667" s="1" t="s">
        <v>7951</v>
      </c>
      <c r="F26667" s="2"/>
      <c r="G26667" s="2"/>
      <c r="H26667" s="2"/>
    </row>
    <row r="26668" spans="1:8" x14ac:dyDescent="0.25">
      <c r="A26668" s="1"/>
      <c r="B26668" s="1" t="s">
        <v>7328</v>
      </c>
      <c r="C26668" s="1" t="s">
        <v>7329</v>
      </c>
      <c r="D26668" s="22" t="str">
        <f>HYPERLINK("https://rhld.insurance.arkansas.gov/NPILookup?Npi=1629634142","1629634142")</f>
        <v>1629634142</v>
      </c>
      <c r="E26668" s="1" t="s">
        <v>2392</v>
      </c>
      <c r="F26668" s="2"/>
      <c r="G26668" s="2"/>
      <c r="H26668" s="2"/>
    </row>
    <row r="26669" spans="1:8" x14ac:dyDescent="0.25">
      <c r="A26669" s="1"/>
      <c r="B26669" s="1" t="s">
        <v>7328</v>
      </c>
      <c r="C26669" s="1" t="s">
        <v>7329</v>
      </c>
      <c r="D26669" s="22" t="str">
        <f>HYPERLINK("https://rhld.insurance.arkansas.gov/NPILookup?Npi=1629661053","1629661053")</f>
        <v>1629661053</v>
      </c>
      <c r="E26669" s="1" t="s">
        <v>13380</v>
      </c>
      <c r="F26669" s="2"/>
      <c r="G26669" s="2"/>
      <c r="H26669" s="2"/>
    </row>
    <row r="26670" spans="1:8" x14ac:dyDescent="0.25">
      <c r="A26670" s="1"/>
      <c r="B26670" s="1" t="s">
        <v>7328</v>
      </c>
      <c r="C26670" s="1" t="s">
        <v>7329</v>
      </c>
      <c r="D26670" s="22" t="str">
        <f>HYPERLINK("https://rhld.insurance.arkansas.gov/NPILookup?Npi=1629678768","1629678768")</f>
        <v>1629678768</v>
      </c>
      <c r="E26670" s="1" t="s">
        <v>2393</v>
      </c>
      <c r="F26670" s="2"/>
      <c r="G26670" s="2"/>
      <c r="H26670" s="2"/>
    </row>
    <row r="26671" spans="1:8" x14ac:dyDescent="0.25">
      <c r="A26671" s="1"/>
      <c r="B26671" s="1" t="s">
        <v>7328</v>
      </c>
      <c r="C26671" s="1" t="s">
        <v>7329</v>
      </c>
      <c r="D26671" s="22" t="str">
        <f>HYPERLINK("https://rhld.insurance.arkansas.gov/NPILookup?Npi=1629679279","1629679279")</f>
        <v>1629679279</v>
      </c>
      <c r="E26671" s="1" t="s">
        <v>27921</v>
      </c>
      <c r="F26671" s="2"/>
      <c r="G26671" s="2"/>
      <c r="H26671" s="2"/>
    </row>
    <row r="26672" spans="1:8" x14ac:dyDescent="0.25">
      <c r="A26672" s="1"/>
      <c r="B26672" s="1" t="s">
        <v>7328</v>
      </c>
      <c r="C26672" s="1" t="s">
        <v>7329</v>
      </c>
      <c r="D26672" s="22" t="str">
        <f>HYPERLINK("https://rhld.insurance.arkansas.gov/NPILookup?Npi=1629688247","1629688247")</f>
        <v>1629688247</v>
      </c>
      <c r="E26672" s="1" t="s">
        <v>1643</v>
      </c>
      <c r="F26672" s="2"/>
      <c r="G26672" s="2"/>
      <c r="H26672" s="2"/>
    </row>
    <row r="26673" spans="1:8" x14ac:dyDescent="0.25">
      <c r="A26673" s="1"/>
      <c r="B26673" s="1" t="s">
        <v>7328</v>
      </c>
      <c r="C26673" s="1" t="s">
        <v>7329</v>
      </c>
      <c r="D26673" s="22" t="str">
        <f>HYPERLINK("https://rhld.insurance.arkansas.gov/NPILookup?Npi=1629689773","1629689773")</f>
        <v>1629689773</v>
      </c>
      <c r="E26673" s="1" t="s">
        <v>27922</v>
      </c>
      <c r="F26673" s="2"/>
      <c r="G26673" s="2"/>
      <c r="H26673" s="2"/>
    </row>
    <row r="26674" spans="1:8" x14ac:dyDescent="0.25">
      <c r="A26674" s="1"/>
      <c r="B26674" s="1" t="s">
        <v>7328</v>
      </c>
      <c r="C26674" s="1" t="s">
        <v>7329</v>
      </c>
      <c r="D26674" s="22" t="str">
        <f>HYPERLINK("https://rhld.insurance.arkansas.gov/NPILookup?Npi=1629694419","1629694419")</f>
        <v>1629694419</v>
      </c>
      <c r="E26674" s="1" t="s">
        <v>13381</v>
      </c>
      <c r="F26674" s="2"/>
      <c r="G26674" s="2"/>
      <c r="H26674" s="2"/>
    </row>
    <row r="26675" spans="1:8" x14ac:dyDescent="0.25">
      <c r="A26675" s="1"/>
      <c r="B26675" s="1" t="s">
        <v>7328</v>
      </c>
      <c r="C26675" s="1" t="s">
        <v>7329</v>
      </c>
      <c r="D26675" s="22" t="str">
        <f>HYPERLINK("https://rhld.insurance.arkansas.gov/NPILookup?Npi=1629719018","1629719018")</f>
        <v>1629719018</v>
      </c>
      <c r="E26675" s="1" t="s">
        <v>32306</v>
      </c>
      <c r="F26675" s="2"/>
      <c r="G26675" s="2"/>
      <c r="H26675" s="2"/>
    </row>
    <row r="26676" spans="1:8" x14ac:dyDescent="0.25">
      <c r="A26676" s="1"/>
      <c r="B26676" s="1" t="s">
        <v>7328</v>
      </c>
      <c r="C26676" s="1" t="s">
        <v>7329</v>
      </c>
      <c r="D26676" s="22" t="str">
        <f>HYPERLINK("https://rhld.insurance.arkansas.gov/NPILookup?Npi=1629727664","1629727664")</f>
        <v>1629727664</v>
      </c>
      <c r="E26676" s="1" t="s">
        <v>3452</v>
      </c>
      <c r="F26676" s="2"/>
      <c r="G26676" s="2"/>
      <c r="H26676" s="2"/>
    </row>
    <row r="26677" spans="1:8" x14ac:dyDescent="0.25">
      <c r="A26677" s="1"/>
      <c r="B26677" s="1" t="s">
        <v>7328</v>
      </c>
      <c r="C26677" s="1" t="s">
        <v>7329</v>
      </c>
      <c r="D26677" s="22" t="str">
        <f>HYPERLINK("https://rhld.insurance.arkansas.gov/NPILookup?Npi=1629736459","1629736459")</f>
        <v>1629736459</v>
      </c>
      <c r="E26677" s="1" t="s">
        <v>7952</v>
      </c>
      <c r="F26677" s="2"/>
      <c r="G26677" s="2"/>
      <c r="H26677" s="2"/>
    </row>
    <row r="26678" spans="1:8" x14ac:dyDescent="0.25">
      <c r="A26678" s="1"/>
      <c r="B26678" s="1" t="s">
        <v>7328</v>
      </c>
      <c r="C26678" s="1" t="s">
        <v>7329</v>
      </c>
      <c r="D26678" s="22" t="str">
        <f>HYPERLINK("https://rhld.insurance.arkansas.gov/NPILookup?Npi=1629763362","1629763362")</f>
        <v>1629763362</v>
      </c>
      <c r="E26678" s="1" t="s">
        <v>7953</v>
      </c>
      <c r="F26678" s="2"/>
      <c r="G26678" s="2"/>
      <c r="H26678" s="2"/>
    </row>
    <row r="26679" spans="1:8" x14ac:dyDescent="0.25">
      <c r="A26679" s="1"/>
      <c r="B26679" s="1" t="s">
        <v>7328</v>
      </c>
      <c r="C26679" s="1" t="s">
        <v>7329</v>
      </c>
      <c r="D26679" s="22" t="str">
        <f>HYPERLINK("https://rhld.insurance.arkansas.gov/NPILookup?Npi=1629791009","1629791009")</f>
        <v>1629791009</v>
      </c>
      <c r="E26679" s="1" t="s">
        <v>13382</v>
      </c>
      <c r="F26679" s="2"/>
      <c r="G26679" s="2"/>
      <c r="H26679" s="2"/>
    </row>
    <row r="26680" spans="1:8" x14ac:dyDescent="0.25">
      <c r="A26680" s="1"/>
      <c r="B26680" s="1" t="s">
        <v>7328</v>
      </c>
      <c r="C26680" s="1" t="s">
        <v>7329</v>
      </c>
      <c r="D26680" s="22" t="str">
        <f>HYPERLINK("https://rhld.insurance.arkansas.gov/NPILookup?Npi=1629796768","1629796768")</f>
        <v>1629796768</v>
      </c>
      <c r="E26680" s="1" t="s">
        <v>27923</v>
      </c>
      <c r="F26680" s="2"/>
      <c r="G26680" s="2"/>
      <c r="H26680" s="2"/>
    </row>
    <row r="26681" spans="1:8" x14ac:dyDescent="0.25">
      <c r="A26681" s="1"/>
      <c r="B26681" s="1" t="s">
        <v>7328</v>
      </c>
      <c r="C26681" s="1" t="s">
        <v>7329</v>
      </c>
      <c r="D26681" s="22" t="str">
        <f>HYPERLINK("https://rhld.insurance.arkansas.gov/NPILookup?Npi=1629802772","1629802772")</f>
        <v>1629802772</v>
      </c>
      <c r="E26681" s="1" t="s">
        <v>32307</v>
      </c>
      <c r="F26681" s="2"/>
      <c r="G26681" s="2"/>
      <c r="H26681" s="2"/>
    </row>
    <row r="26682" spans="1:8" x14ac:dyDescent="0.25">
      <c r="A26682" s="1"/>
      <c r="B26682" s="1" t="s">
        <v>7328</v>
      </c>
      <c r="C26682" s="1" t="s">
        <v>7329</v>
      </c>
      <c r="D26682" s="22" t="str">
        <f>HYPERLINK("https://rhld.insurance.arkansas.gov/NPILookup?Npi=1629817234","1629817234")</f>
        <v>1629817234</v>
      </c>
      <c r="E26682" s="1" t="s">
        <v>27924</v>
      </c>
      <c r="F26682" s="2"/>
      <c r="G26682" s="2"/>
      <c r="H26682" s="2"/>
    </row>
    <row r="26683" spans="1:8" x14ac:dyDescent="0.25">
      <c r="A26683" s="1"/>
      <c r="B26683" s="1" t="s">
        <v>7328</v>
      </c>
      <c r="C26683" s="1" t="s">
        <v>7329</v>
      </c>
      <c r="D26683" s="22" t="str">
        <f>HYPERLINK("https://rhld.insurance.arkansas.gov/NPILookup?Npi=1629846514","1629846514")</f>
        <v>1629846514</v>
      </c>
      <c r="E26683" s="1" t="s">
        <v>27925</v>
      </c>
      <c r="F26683" s="2"/>
      <c r="G26683" s="2"/>
      <c r="H26683" s="2"/>
    </row>
    <row r="26684" spans="1:8" x14ac:dyDescent="0.25">
      <c r="A26684" s="1"/>
      <c r="B26684" s="1" t="s">
        <v>7328</v>
      </c>
      <c r="C26684" s="1" t="s">
        <v>7329</v>
      </c>
      <c r="D26684" s="22" t="str">
        <f>HYPERLINK("https://rhld.insurance.arkansas.gov/NPILookup?Npi=1629847132","1629847132")</f>
        <v>1629847132</v>
      </c>
      <c r="E26684" s="1" t="s">
        <v>32308</v>
      </c>
      <c r="F26684" s="2"/>
      <c r="G26684" s="2"/>
      <c r="H26684" s="2"/>
    </row>
    <row r="26685" spans="1:8" x14ac:dyDescent="0.25">
      <c r="A26685" s="1"/>
      <c r="B26685" s="1" t="s">
        <v>7328</v>
      </c>
      <c r="C26685" s="1" t="s">
        <v>7329</v>
      </c>
      <c r="D26685" s="22" t="str">
        <f>HYPERLINK("https://rhld.insurance.arkansas.gov/NPILookup?Npi=1629852470","1629852470")</f>
        <v>1629852470</v>
      </c>
      <c r="E26685" s="1" t="s">
        <v>5510</v>
      </c>
      <c r="F26685" s="2"/>
      <c r="G26685" s="2"/>
      <c r="H26685" s="2"/>
    </row>
    <row r="26686" spans="1:8" x14ac:dyDescent="0.25">
      <c r="A26686" s="1"/>
      <c r="B26686" s="1" t="s">
        <v>7328</v>
      </c>
      <c r="C26686" s="1" t="s">
        <v>7329</v>
      </c>
      <c r="D26686" s="22" t="str">
        <f>HYPERLINK("https://rhld.insurance.arkansas.gov/NPILookup?Npi=1639105182","1639105182")</f>
        <v>1639105182</v>
      </c>
      <c r="E26686" s="1" t="s">
        <v>32309</v>
      </c>
      <c r="F26686" s="2"/>
      <c r="G26686" s="2"/>
      <c r="H26686" s="2"/>
    </row>
    <row r="26687" spans="1:8" x14ac:dyDescent="0.25">
      <c r="A26687" s="1"/>
      <c r="B26687" s="1" t="s">
        <v>7328</v>
      </c>
      <c r="C26687" s="1" t="s">
        <v>7329</v>
      </c>
      <c r="D26687" s="22" t="str">
        <f>HYPERLINK("https://rhld.insurance.arkansas.gov/NPILookup?Npi=1639118391","1639118391")</f>
        <v>1639118391</v>
      </c>
      <c r="E26687" s="1" t="s">
        <v>17726</v>
      </c>
      <c r="F26687" s="2"/>
      <c r="G26687" s="2"/>
      <c r="H26687" s="2"/>
    </row>
    <row r="26688" spans="1:8" x14ac:dyDescent="0.25">
      <c r="A26688" s="1"/>
      <c r="B26688" s="1" t="s">
        <v>7328</v>
      </c>
      <c r="C26688" s="1" t="s">
        <v>7329</v>
      </c>
      <c r="D26688" s="22" t="str">
        <f>HYPERLINK("https://rhld.insurance.arkansas.gov/NPILookup?Npi=1639120868","1639120868")</f>
        <v>1639120868</v>
      </c>
      <c r="E26688" s="1" t="s">
        <v>27926</v>
      </c>
      <c r="F26688" s="2"/>
      <c r="G26688" s="2"/>
      <c r="H26688" s="2"/>
    </row>
    <row r="26689" spans="1:8" x14ac:dyDescent="0.25">
      <c r="A26689" s="1"/>
      <c r="B26689" s="1" t="s">
        <v>7328</v>
      </c>
      <c r="C26689" s="1" t="s">
        <v>7329</v>
      </c>
      <c r="D26689" s="22" t="str">
        <f>HYPERLINK("https://rhld.insurance.arkansas.gov/NPILookup?Npi=1639136609","1639136609")</f>
        <v>1639136609</v>
      </c>
      <c r="E26689" s="1" t="s">
        <v>27927</v>
      </c>
      <c r="F26689" s="2"/>
      <c r="G26689" s="2"/>
      <c r="H26689" s="2"/>
    </row>
    <row r="26690" spans="1:8" x14ac:dyDescent="0.25">
      <c r="A26690" s="1"/>
      <c r="B26690" s="1" t="s">
        <v>7328</v>
      </c>
      <c r="C26690" s="1" t="s">
        <v>7329</v>
      </c>
      <c r="D26690" s="22" t="str">
        <f>HYPERLINK("https://rhld.insurance.arkansas.gov/NPILookup?Npi=1639142284","1639142284")</f>
        <v>1639142284</v>
      </c>
      <c r="E26690" s="1" t="s">
        <v>2940</v>
      </c>
      <c r="F26690" s="2"/>
      <c r="G26690" s="2"/>
      <c r="H26690" s="2"/>
    </row>
    <row r="26691" spans="1:8" x14ac:dyDescent="0.25">
      <c r="A26691" s="1"/>
      <c r="B26691" s="1" t="s">
        <v>7328</v>
      </c>
      <c r="C26691" s="1" t="s">
        <v>7329</v>
      </c>
      <c r="D26691" s="22" t="str">
        <f>HYPERLINK("https://rhld.insurance.arkansas.gov/NPILookup?Npi=1639142524","1639142524")</f>
        <v>1639142524</v>
      </c>
      <c r="E26691" s="1" t="s">
        <v>20699</v>
      </c>
      <c r="F26691" s="2"/>
      <c r="G26691" s="2"/>
      <c r="H26691" s="2"/>
    </row>
    <row r="26692" spans="1:8" x14ac:dyDescent="0.25">
      <c r="A26692" s="1"/>
      <c r="B26692" s="1" t="s">
        <v>7328</v>
      </c>
      <c r="C26692" s="1" t="s">
        <v>7329</v>
      </c>
      <c r="D26692" s="22" t="str">
        <f>HYPERLINK("https://rhld.insurance.arkansas.gov/NPILookup?Npi=1639159676","1639159676")</f>
        <v>1639159676</v>
      </c>
      <c r="E26692" s="1" t="s">
        <v>209</v>
      </c>
      <c r="F26692" s="2"/>
      <c r="G26692" s="2"/>
      <c r="H26692" s="2"/>
    </row>
    <row r="26693" spans="1:8" x14ac:dyDescent="0.25">
      <c r="A26693" s="1"/>
      <c r="B26693" s="1" t="s">
        <v>7328</v>
      </c>
      <c r="C26693" s="1" t="s">
        <v>7329</v>
      </c>
      <c r="D26693" s="22" t="str">
        <f>HYPERLINK("https://rhld.insurance.arkansas.gov/NPILookup?Npi=1639163736","1639163736")</f>
        <v>1639163736</v>
      </c>
      <c r="E26693" s="1" t="s">
        <v>2047</v>
      </c>
      <c r="F26693" s="2"/>
      <c r="G26693" s="2"/>
      <c r="H26693" s="2"/>
    </row>
    <row r="26694" spans="1:8" x14ac:dyDescent="0.25">
      <c r="A26694" s="1"/>
      <c r="B26694" s="1" t="s">
        <v>7328</v>
      </c>
      <c r="C26694" s="1" t="s">
        <v>7329</v>
      </c>
      <c r="D26694" s="22" t="str">
        <f>HYPERLINK("https://rhld.insurance.arkansas.gov/NPILookup?Npi=1639170194","1639170194")</f>
        <v>1639170194</v>
      </c>
      <c r="E26694" s="1" t="s">
        <v>2941</v>
      </c>
      <c r="F26694" s="2"/>
      <c r="G26694" s="2"/>
      <c r="H26694" s="2"/>
    </row>
    <row r="26695" spans="1:8" x14ac:dyDescent="0.25">
      <c r="A26695" s="1"/>
      <c r="B26695" s="1" t="s">
        <v>7328</v>
      </c>
      <c r="C26695" s="1" t="s">
        <v>7329</v>
      </c>
      <c r="D26695" s="22" t="str">
        <f>HYPERLINK("https://rhld.insurance.arkansas.gov/NPILookup?Npi=1639173396","1639173396")</f>
        <v>1639173396</v>
      </c>
      <c r="E26695" s="1" t="s">
        <v>27928</v>
      </c>
      <c r="F26695" s="2"/>
      <c r="G26695" s="2"/>
      <c r="H26695" s="2"/>
    </row>
    <row r="26696" spans="1:8" x14ac:dyDescent="0.25">
      <c r="A26696" s="1"/>
      <c r="B26696" s="1" t="s">
        <v>7328</v>
      </c>
      <c r="C26696" s="1" t="s">
        <v>7329</v>
      </c>
      <c r="D26696" s="22" t="str">
        <f>HYPERLINK("https://rhld.insurance.arkansas.gov/NPILookup?Npi=1639173420","1639173420")</f>
        <v>1639173420</v>
      </c>
      <c r="E26696" s="1" t="s">
        <v>2394</v>
      </c>
      <c r="F26696" s="2"/>
      <c r="G26696" s="2"/>
      <c r="H26696" s="2"/>
    </row>
    <row r="26697" spans="1:8" x14ac:dyDescent="0.25">
      <c r="A26697" s="1"/>
      <c r="B26697" s="1" t="s">
        <v>7328</v>
      </c>
      <c r="C26697" s="1" t="s">
        <v>7329</v>
      </c>
      <c r="D26697" s="22" t="str">
        <f>HYPERLINK("https://rhld.insurance.arkansas.gov/NPILookup?Npi=1639177413","1639177413")</f>
        <v>1639177413</v>
      </c>
      <c r="E26697" s="1" t="s">
        <v>27929</v>
      </c>
      <c r="F26697" s="2"/>
      <c r="G26697" s="2"/>
      <c r="H26697" s="2"/>
    </row>
    <row r="26698" spans="1:8" x14ac:dyDescent="0.25">
      <c r="A26698" s="1"/>
      <c r="B26698" s="1" t="s">
        <v>7328</v>
      </c>
      <c r="C26698" s="1" t="s">
        <v>7329</v>
      </c>
      <c r="D26698" s="22" t="str">
        <f>HYPERLINK("https://rhld.insurance.arkansas.gov/NPILookup?Npi=1639177959","1639177959")</f>
        <v>1639177959</v>
      </c>
      <c r="E26698" s="1" t="s">
        <v>10392</v>
      </c>
      <c r="F26698" s="2"/>
      <c r="G26698" s="2"/>
      <c r="H26698" s="2"/>
    </row>
    <row r="26699" spans="1:8" x14ac:dyDescent="0.25">
      <c r="A26699" s="1"/>
      <c r="B26699" s="1" t="s">
        <v>7328</v>
      </c>
      <c r="C26699" s="1" t="s">
        <v>7329</v>
      </c>
      <c r="D26699" s="22" t="str">
        <f>HYPERLINK("https://rhld.insurance.arkansas.gov/NPILookup?Npi=1639193311","1639193311")</f>
        <v>1639193311</v>
      </c>
      <c r="E26699" s="1" t="s">
        <v>13384</v>
      </c>
      <c r="F26699" s="2"/>
      <c r="G26699" s="2"/>
      <c r="H26699" s="2"/>
    </row>
    <row r="26700" spans="1:8" x14ac:dyDescent="0.25">
      <c r="A26700" s="1"/>
      <c r="B26700" s="1" t="s">
        <v>7328</v>
      </c>
      <c r="C26700" s="1" t="s">
        <v>7329</v>
      </c>
      <c r="D26700" s="22" t="str">
        <f>HYPERLINK("https://rhld.insurance.arkansas.gov/NPILookup?Npi=1639229339","1639229339")</f>
        <v>1639229339</v>
      </c>
      <c r="E26700" s="1" t="s">
        <v>4242</v>
      </c>
      <c r="F26700" s="2"/>
      <c r="G26700" s="2"/>
      <c r="H26700" s="2"/>
    </row>
    <row r="26701" spans="1:8" x14ac:dyDescent="0.25">
      <c r="A26701" s="1"/>
      <c r="B26701" s="1" t="s">
        <v>7328</v>
      </c>
      <c r="C26701" s="1" t="s">
        <v>7329</v>
      </c>
      <c r="D26701" s="22" t="str">
        <f>HYPERLINK("https://rhld.insurance.arkansas.gov/NPILookup?Npi=1639256803","1639256803")</f>
        <v>1639256803</v>
      </c>
      <c r="E26701" s="1" t="s">
        <v>27930</v>
      </c>
      <c r="F26701" s="2"/>
      <c r="G26701" s="2"/>
      <c r="H26701" s="2"/>
    </row>
    <row r="26702" spans="1:8" x14ac:dyDescent="0.25">
      <c r="A26702" s="1"/>
      <c r="B26702" s="1" t="s">
        <v>7328</v>
      </c>
      <c r="C26702" s="1" t="s">
        <v>7329</v>
      </c>
      <c r="D26702" s="22" t="str">
        <f>HYPERLINK("https://rhld.insurance.arkansas.gov/NPILookup?Npi=1639279540","1639279540")</f>
        <v>1639279540</v>
      </c>
      <c r="E26702" s="1" t="s">
        <v>27931</v>
      </c>
      <c r="F26702" s="2"/>
      <c r="G26702" s="2"/>
      <c r="H26702" s="2"/>
    </row>
    <row r="26703" spans="1:8" x14ac:dyDescent="0.25">
      <c r="A26703" s="1"/>
      <c r="B26703" s="1" t="s">
        <v>7328</v>
      </c>
      <c r="C26703" s="1" t="s">
        <v>7329</v>
      </c>
      <c r="D26703" s="22" t="str">
        <f>HYPERLINK("https://rhld.insurance.arkansas.gov/NPILookup?Npi=1639303340","1639303340")</f>
        <v>1639303340</v>
      </c>
      <c r="E26703" s="1" t="s">
        <v>11953</v>
      </c>
      <c r="F26703" s="2"/>
      <c r="G26703" s="2"/>
      <c r="H26703" s="2"/>
    </row>
    <row r="26704" spans="1:8" x14ac:dyDescent="0.25">
      <c r="A26704" s="1"/>
      <c r="B26704" s="1" t="s">
        <v>7328</v>
      </c>
      <c r="C26704" s="1" t="s">
        <v>7329</v>
      </c>
      <c r="D26704" s="22" t="str">
        <f>HYPERLINK("https://rhld.insurance.arkansas.gov/NPILookup?Npi=1639312671","1639312671")</f>
        <v>1639312671</v>
      </c>
      <c r="E26704" s="1" t="s">
        <v>27932</v>
      </c>
      <c r="F26704" s="2"/>
      <c r="G26704" s="2"/>
      <c r="H26704" s="2"/>
    </row>
    <row r="26705" spans="1:8" x14ac:dyDescent="0.25">
      <c r="A26705" s="1"/>
      <c r="B26705" s="1" t="s">
        <v>7328</v>
      </c>
      <c r="C26705" s="1" t="s">
        <v>7329</v>
      </c>
      <c r="D26705" s="22" t="str">
        <f>HYPERLINK("https://rhld.insurance.arkansas.gov/NPILookup?Npi=1639327679","1639327679")</f>
        <v>1639327679</v>
      </c>
      <c r="E26705" s="1" t="s">
        <v>13386</v>
      </c>
      <c r="F26705" s="2"/>
      <c r="G26705" s="2"/>
      <c r="H26705" s="2"/>
    </row>
    <row r="26706" spans="1:8" x14ac:dyDescent="0.25">
      <c r="A26706" s="1"/>
      <c r="B26706" s="1" t="s">
        <v>7328</v>
      </c>
      <c r="C26706" s="1" t="s">
        <v>7329</v>
      </c>
      <c r="D26706" s="22" t="str">
        <f>HYPERLINK("https://rhld.insurance.arkansas.gov/NPILookup?Npi=1639346620","1639346620")</f>
        <v>1639346620</v>
      </c>
      <c r="E26706" s="1" t="s">
        <v>876</v>
      </c>
      <c r="F26706" s="2"/>
      <c r="G26706" s="2"/>
      <c r="H26706" s="2"/>
    </row>
    <row r="26707" spans="1:8" x14ac:dyDescent="0.25">
      <c r="A26707" s="1"/>
      <c r="B26707" s="1" t="s">
        <v>7328</v>
      </c>
      <c r="C26707" s="1" t="s">
        <v>7329</v>
      </c>
      <c r="D26707" s="22" t="str">
        <f>HYPERLINK("https://rhld.insurance.arkansas.gov/NPILookup?Npi=1639368731","1639368731")</f>
        <v>1639368731</v>
      </c>
      <c r="E26707" s="1" t="s">
        <v>1796</v>
      </c>
      <c r="F26707" s="2"/>
      <c r="G26707" s="2"/>
      <c r="H26707" s="2"/>
    </row>
    <row r="26708" spans="1:8" x14ac:dyDescent="0.25">
      <c r="A26708" s="1"/>
      <c r="B26708" s="1" t="s">
        <v>7328</v>
      </c>
      <c r="C26708" s="1" t="s">
        <v>7329</v>
      </c>
      <c r="D26708" s="22" t="str">
        <f>HYPERLINK("https://rhld.insurance.arkansas.gov/NPILookup?Npi=1639393895","1639393895")</f>
        <v>1639393895</v>
      </c>
      <c r="E26708" s="1" t="s">
        <v>149</v>
      </c>
      <c r="F26708" s="2"/>
      <c r="G26708" s="2"/>
      <c r="H26708" s="2"/>
    </row>
    <row r="26709" spans="1:8" x14ac:dyDescent="0.25">
      <c r="A26709" s="1"/>
      <c r="B26709" s="1" t="s">
        <v>7328</v>
      </c>
      <c r="C26709" s="1" t="s">
        <v>7329</v>
      </c>
      <c r="D26709" s="22" t="str">
        <f>HYPERLINK("https://rhld.insurance.arkansas.gov/NPILookup?Npi=1639398571","1639398571")</f>
        <v>1639398571</v>
      </c>
      <c r="E26709" s="1" t="s">
        <v>20006</v>
      </c>
      <c r="F26709" s="2"/>
      <c r="G26709" s="2"/>
      <c r="H26709" s="2"/>
    </row>
    <row r="26710" spans="1:8" x14ac:dyDescent="0.25">
      <c r="A26710" s="1"/>
      <c r="B26710" s="1" t="s">
        <v>7328</v>
      </c>
      <c r="C26710" s="1" t="s">
        <v>7329</v>
      </c>
      <c r="D26710" s="22" t="str">
        <f>HYPERLINK("https://rhld.insurance.arkansas.gov/NPILookup?Npi=1639433469","1639433469")</f>
        <v>1639433469</v>
      </c>
      <c r="E26710" s="1" t="s">
        <v>32310</v>
      </c>
      <c r="F26710" s="2"/>
      <c r="G26710" s="2"/>
      <c r="H26710" s="2"/>
    </row>
    <row r="26711" spans="1:8" x14ac:dyDescent="0.25">
      <c r="A26711" s="1"/>
      <c r="B26711" s="1" t="s">
        <v>7328</v>
      </c>
      <c r="C26711" s="1" t="s">
        <v>7329</v>
      </c>
      <c r="D26711" s="22" t="str">
        <f>HYPERLINK("https://rhld.insurance.arkansas.gov/NPILookup?Npi=1639438682","1639438682")</f>
        <v>1639438682</v>
      </c>
      <c r="E26711" s="1" t="s">
        <v>13387</v>
      </c>
      <c r="F26711" s="2"/>
      <c r="G26711" s="2"/>
      <c r="H26711" s="2"/>
    </row>
    <row r="26712" spans="1:8" x14ac:dyDescent="0.25">
      <c r="A26712" s="1"/>
      <c r="B26712" s="1" t="s">
        <v>7328</v>
      </c>
      <c r="C26712" s="1" t="s">
        <v>7329</v>
      </c>
      <c r="D26712" s="22" t="str">
        <f>HYPERLINK("https://rhld.insurance.arkansas.gov/NPILookup?Npi=1639446271","1639446271")</f>
        <v>1639446271</v>
      </c>
      <c r="E26712" s="1" t="s">
        <v>2942</v>
      </c>
      <c r="F26712" s="2"/>
      <c r="G26712" s="2"/>
      <c r="H26712" s="2"/>
    </row>
    <row r="26713" spans="1:8" x14ac:dyDescent="0.25">
      <c r="A26713" s="1"/>
      <c r="B26713" s="1" t="s">
        <v>7328</v>
      </c>
      <c r="C26713" s="1" t="s">
        <v>7329</v>
      </c>
      <c r="D26713" s="22" t="str">
        <f>HYPERLINK("https://rhld.insurance.arkansas.gov/NPILookup?Npi=1639461189","1639461189")</f>
        <v>1639461189</v>
      </c>
      <c r="E26713" s="1" t="s">
        <v>2943</v>
      </c>
      <c r="F26713" s="2"/>
      <c r="G26713" s="2"/>
      <c r="H26713" s="2"/>
    </row>
    <row r="26714" spans="1:8" x14ac:dyDescent="0.25">
      <c r="A26714" s="1"/>
      <c r="B26714" s="1" t="s">
        <v>7328</v>
      </c>
      <c r="C26714" s="1" t="s">
        <v>7329</v>
      </c>
      <c r="D26714" s="22" t="str">
        <f>HYPERLINK("https://rhld.insurance.arkansas.gov/NPILookup?Npi=1639481450","1639481450")</f>
        <v>1639481450</v>
      </c>
      <c r="E26714" s="1" t="s">
        <v>27933</v>
      </c>
      <c r="F26714" s="2"/>
      <c r="G26714" s="2"/>
      <c r="H26714" s="2"/>
    </row>
    <row r="26715" spans="1:8" x14ac:dyDescent="0.25">
      <c r="A26715" s="1"/>
      <c r="B26715" s="1" t="s">
        <v>7328</v>
      </c>
      <c r="C26715" s="1" t="s">
        <v>7329</v>
      </c>
      <c r="D26715" s="22" t="str">
        <f>HYPERLINK("https://rhld.insurance.arkansas.gov/NPILookup?Npi=1639496425","1639496425")</f>
        <v>1639496425</v>
      </c>
      <c r="E26715" s="1" t="s">
        <v>13388</v>
      </c>
      <c r="F26715" s="2"/>
      <c r="G26715" s="2"/>
      <c r="H26715" s="2"/>
    </row>
    <row r="26716" spans="1:8" x14ac:dyDescent="0.25">
      <c r="A26716" s="1"/>
      <c r="B26716" s="1" t="s">
        <v>7328</v>
      </c>
      <c r="C26716" s="1" t="s">
        <v>7329</v>
      </c>
      <c r="D26716" s="22" t="str">
        <f>HYPERLINK("https://rhld.insurance.arkansas.gov/NPILookup?Npi=1639498462","1639498462")</f>
        <v>1639498462</v>
      </c>
      <c r="E26716" s="1" t="s">
        <v>27934</v>
      </c>
      <c r="F26716" s="2"/>
      <c r="G26716" s="2"/>
      <c r="H26716" s="2"/>
    </row>
    <row r="26717" spans="1:8" x14ac:dyDescent="0.25">
      <c r="A26717" s="1"/>
      <c r="B26717" s="1" t="s">
        <v>7328</v>
      </c>
      <c r="C26717" s="1" t="s">
        <v>7329</v>
      </c>
      <c r="D26717" s="22" t="str">
        <f>HYPERLINK("https://rhld.insurance.arkansas.gov/NPILookup?Npi=1639513609","1639513609")</f>
        <v>1639513609</v>
      </c>
      <c r="E26717" s="1" t="s">
        <v>27935</v>
      </c>
      <c r="F26717" s="2"/>
      <c r="G26717" s="2"/>
      <c r="H26717" s="2"/>
    </row>
    <row r="26718" spans="1:8" x14ac:dyDescent="0.25">
      <c r="A26718" s="1"/>
      <c r="B26718" s="1" t="s">
        <v>7328</v>
      </c>
      <c r="C26718" s="1" t="s">
        <v>7329</v>
      </c>
      <c r="D26718" s="22" t="str">
        <f>HYPERLINK("https://rhld.insurance.arkansas.gov/NPILookup?Npi=1639525496","1639525496")</f>
        <v>1639525496</v>
      </c>
      <c r="E26718" s="1" t="s">
        <v>27936</v>
      </c>
      <c r="F26718" s="2"/>
      <c r="G26718" s="2"/>
      <c r="H26718" s="2"/>
    </row>
    <row r="26719" spans="1:8" x14ac:dyDescent="0.25">
      <c r="A26719" s="1"/>
      <c r="B26719" s="1" t="s">
        <v>7328</v>
      </c>
      <c r="C26719" s="1" t="s">
        <v>7329</v>
      </c>
      <c r="D26719" s="22" t="str">
        <f>HYPERLINK("https://rhld.insurance.arkansas.gov/NPILookup?Npi=1639530538","1639530538")</f>
        <v>1639530538</v>
      </c>
      <c r="E26719" s="1" t="s">
        <v>7956</v>
      </c>
      <c r="F26719" s="2"/>
      <c r="G26719" s="2"/>
      <c r="H26719" s="2"/>
    </row>
    <row r="26720" spans="1:8" x14ac:dyDescent="0.25">
      <c r="A26720" s="1"/>
      <c r="B26720" s="1" t="s">
        <v>7328</v>
      </c>
      <c r="C26720" s="1" t="s">
        <v>7329</v>
      </c>
      <c r="D26720" s="22" t="str">
        <f>HYPERLINK("https://rhld.insurance.arkansas.gov/NPILookup?Npi=1639532666","1639532666")</f>
        <v>1639532666</v>
      </c>
      <c r="E26720" s="1" t="s">
        <v>27937</v>
      </c>
      <c r="F26720" s="2"/>
      <c r="G26720" s="2"/>
      <c r="H26720" s="2"/>
    </row>
    <row r="26721" spans="1:8" x14ac:dyDescent="0.25">
      <c r="A26721" s="1"/>
      <c r="B26721" s="1" t="s">
        <v>7328</v>
      </c>
      <c r="C26721" s="1" t="s">
        <v>7329</v>
      </c>
      <c r="D26721" s="22" t="str">
        <f>HYPERLINK("https://rhld.insurance.arkansas.gov/NPILookup?Npi=1639536782","1639536782")</f>
        <v>1639536782</v>
      </c>
      <c r="E26721" s="1" t="s">
        <v>303</v>
      </c>
      <c r="F26721" s="2"/>
      <c r="G26721" s="2"/>
      <c r="H26721" s="2"/>
    </row>
    <row r="26722" spans="1:8" x14ac:dyDescent="0.25">
      <c r="A26722" s="1"/>
      <c r="B26722" s="1" t="s">
        <v>7328</v>
      </c>
      <c r="C26722" s="1" t="s">
        <v>7329</v>
      </c>
      <c r="D26722" s="22" t="str">
        <f>HYPERLINK("https://rhld.insurance.arkansas.gov/NPILookup?Npi=1639559230","1639559230")</f>
        <v>1639559230</v>
      </c>
      <c r="E26722" s="1" t="s">
        <v>27938</v>
      </c>
      <c r="F26722" s="2"/>
      <c r="G26722" s="2"/>
      <c r="H26722" s="2"/>
    </row>
    <row r="26723" spans="1:8" x14ac:dyDescent="0.25">
      <c r="A26723" s="1"/>
      <c r="B26723" s="1" t="s">
        <v>7328</v>
      </c>
      <c r="C26723" s="1" t="s">
        <v>7329</v>
      </c>
      <c r="D26723" s="22" t="str">
        <f>HYPERLINK("https://rhld.insurance.arkansas.gov/NPILookup?Npi=1639565823","1639565823")</f>
        <v>1639565823</v>
      </c>
      <c r="E26723" s="1" t="s">
        <v>27939</v>
      </c>
      <c r="F26723" s="2"/>
      <c r="G26723" s="2"/>
      <c r="H26723" s="2"/>
    </row>
    <row r="26724" spans="1:8" x14ac:dyDescent="0.25">
      <c r="A26724" s="1"/>
      <c r="B26724" s="1" t="s">
        <v>7328</v>
      </c>
      <c r="C26724" s="1" t="s">
        <v>7329</v>
      </c>
      <c r="D26724" s="22" t="str">
        <f>HYPERLINK("https://rhld.insurance.arkansas.gov/NPILookup?Npi=1639583834","1639583834")</f>
        <v>1639583834</v>
      </c>
      <c r="E26724" s="1" t="s">
        <v>2381</v>
      </c>
      <c r="F26724" s="2"/>
      <c r="G26724" s="2"/>
      <c r="H26724" s="2"/>
    </row>
    <row r="26725" spans="1:8" x14ac:dyDescent="0.25">
      <c r="A26725" s="1"/>
      <c r="B26725" s="1" t="s">
        <v>7328</v>
      </c>
      <c r="C26725" s="1" t="s">
        <v>7329</v>
      </c>
      <c r="D26725" s="22" t="str">
        <f>HYPERLINK("https://rhld.insurance.arkansas.gov/NPILookup?Npi=1639586399","1639586399")</f>
        <v>1639586399</v>
      </c>
      <c r="E26725" s="1" t="s">
        <v>7957</v>
      </c>
      <c r="F26725" s="2"/>
      <c r="G26725" s="2"/>
      <c r="H26725" s="2"/>
    </row>
    <row r="26726" spans="1:8" x14ac:dyDescent="0.25">
      <c r="A26726" s="1"/>
      <c r="B26726" s="1" t="s">
        <v>7328</v>
      </c>
      <c r="C26726" s="1" t="s">
        <v>7329</v>
      </c>
      <c r="D26726" s="22" t="str">
        <f>HYPERLINK("https://rhld.insurance.arkansas.gov/NPILookup?Npi=1639588601","1639588601")</f>
        <v>1639588601</v>
      </c>
      <c r="E26726" s="1" t="s">
        <v>2944</v>
      </c>
      <c r="F26726" s="2"/>
      <c r="G26726" s="2"/>
      <c r="H26726" s="2"/>
    </row>
    <row r="26727" spans="1:8" x14ac:dyDescent="0.25">
      <c r="A26727" s="1"/>
      <c r="B26727" s="1" t="s">
        <v>7328</v>
      </c>
      <c r="C26727" s="1" t="s">
        <v>7329</v>
      </c>
      <c r="D26727" s="22" t="str">
        <f>HYPERLINK("https://rhld.insurance.arkansas.gov/NPILookup?Npi=1639591506","1639591506")</f>
        <v>1639591506</v>
      </c>
      <c r="E26727" s="1" t="s">
        <v>7958</v>
      </c>
      <c r="F26727" s="2"/>
      <c r="G26727" s="2"/>
      <c r="H26727" s="2"/>
    </row>
    <row r="26728" spans="1:8" x14ac:dyDescent="0.25">
      <c r="A26728" s="1"/>
      <c r="B26728" s="1" t="s">
        <v>7328</v>
      </c>
      <c r="C26728" s="1" t="s">
        <v>7329</v>
      </c>
      <c r="D26728" s="22" t="str">
        <f>HYPERLINK("https://rhld.insurance.arkansas.gov/NPILookup?Npi=1639596877","1639596877")</f>
        <v>1639596877</v>
      </c>
      <c r="E26728" s="1" t="s">
        <v>27940</v>
      </c>
      <c r="F26728" s="2"/>
      <c r="G26728" s="2"/>
      <c r="H26728" s="2"/>
    </row>
    <row r="26729" spans="1:8" x14ac:dyDescent="0.25">
      <c r="A26729" s="1"/>
      <c r="B26729" s="1" t="s">
        <v>7328</v>
      </c>
      <c r="C26729" s="1" t="s">
        <v>7329</v>
      </c>
      <c r="D26729" s="22" t="str">
        <f>HYPERLINK("https://rhld.insurance.arkansas.gov/NPILookup?Npi=1639599194","1639599194")</f>
        <v>1639599194</v>
      </c>
      <c r="E26729" s="1" t="s">
        <v>27941</v>
      </c>
      <c r="F26729" s="2"/>
      <c r="G26729" s="2"/>
      <c r="H26729" s="2"/>
    </row>
    <row r="26730" spans="1:8" x14ac:dyDescent="0.25">
      <c r="A26730" s="1"/>
      <c r="B26730" s="1" t="s">
        <v>7328</v>
      </c>
      <c r="C26730" s="1" t="s">
        <v>7329</v>
      </c>
      <c r="D26730" s="22" t="str">
        <f>HYPERLINK("https://rhld.insurance.arkansas.gov/NPILookup?Npi=1639620271","1639620271")</f>
        <v>1639620271</v>
      </c>
      <c r="E26730" s="1" t="s">
        <v>27942</v>
      </c>
      <c r="F26730" s="2"/>
      <c r="G26730" s="2"/>
      <c r="H26730" s="2"/>
    </row>
    <row r="26731" spans="1:8" x14ac:dyDescent="0.25">
      <c r="A26731" s="1"/>
      <c r="B26731" s="1" t="s">
        <v>7328</v>
      </c>
      <c r="C26731" s="1" t="s">
        <v>7329</v>
      </c>
      <c r="D26731" s="22" t="str">
        <f>HYPERLINK("https://rhld.insurance.arkansas.gov/NPILookup?Npi=1639621121","1639621121")</f>
        <v>1639621121</v>
      </c>
      <c r="E26731" s="1" t="s">
        <v>27943</v>
      </c>
      <c r="F26731" s="2"/>
      <c r="G26731" s="2"/>
      <c r="H26731" s="2"/>
    </row>
    <row r="26732" spans="1:8" x14ac:dyDescent="0.25">
      <c r="A26732" s="1"/>
      <c r="B26732" s="1" t="s">
        <v>7328</v>
      </c>
      <c r="C26732" s="1" t="s">
        <v>7329</v>
      </c>
      <c r="D26732" s="22" t="str">
        <f>HYPERLINK("https://rhld.insurance.arkansas.gov/NPILookup?Npi=1639630866","1639630866")</f>
        <v>1639630866</v>
      </c>
      <c r="E26732" s="1" t="s">
        <v>13389</v>
      </c>
      <c r="F26732" s="2"/>
      <c r="G26732" s="2"/>
      <c r="H26732" s="2"/>
    </row>
    <row r="26733" spans="1:8" x14ac:dyDescent="0.25">
      <c r="A26733" s="1"/>
      <c r="B26733" s="1" t="s">
        <v>7328</v>
      </c>
      <c r="C26733" s="1" t="s">
        <v>7329</v>
      </c>
      <c r="D26733" s="22" t="str">
        <f>HYPERLINK("https://rhld.insurance.arkansas.gov/NPILookup?Npi=1639641947","1639641947")</f>
        <v>1639641947</v>
      </c>
      <c r="E26733" s="1" t="s">
        <v>27944</v>
      </c>
      <c r="F26733" s="2"/>
      <c r="G26733" s="2"/>
      <c r="H26733" s="2"/>
    </row>
    <row r="26734" spans="1:8" x14ac:dyDescent="0.25">
      <c r="A26734" s="1"/>
      <c r="B26734" s="1" t="s">
        <v>7328</v>
      </c>
      <c r="C26734" s="1" t="s">
        <v>7329</v>
      </c>
      <c r="D26734" s="22" t="str">
        <f>HYPERLINK("https://rhld.insurance.arkansas.gov/NPILookup?Npi=1639656333","1639656333")</f>
        <v>1639656333</v>
      </c>
      <c r="E26734" s="1" t="s">
        <v>1068</v>
      </c>
      <c r="F26734" s="2"/>
      <c r="G26734" s="2"/>
      <c r="H26734" s="2"/>
    </row>
    <row r="26735" spans="1:8" x14ac:dyDescent="0.25">
      <c r="A26735" s="1"/>
      <c r="B26735" s="1" t="s">
        <v>7328</v>
      </c>
      <c r="C26735" s="1" t="s">
        <v>7329</v>
      </c>
      <c r="D26735" s="22" t="str">
        <f>HYPERLINK("https://rhld.insurance.arkansas.gov/NPILookup?Npi=1639674526","1639674526")</f>
        <v>1639674526</v>
      </c>
      <c r="E26735" s="1" t="s">
        <v>17734</v>
      </c>
      <c r="F26735" s="2"/>
      <c r="G26735" s="2"/>
      <c r="H26735" s="2"/>
    </row>
    <row r="26736" spans="1:8" x14ac:dyDescent="0.25">
      <c r="A26736" s="1"/>
      <c r="B26736" s="1" t="s">
        <v>7328</v>
      </c>
      <c r="C26736" s="1" t="s">
        <v>7329</v>
      </c>
      <c r="D26736" s="22" t="str">
        <f>HYPERLINK("https://rhld.insurance.arkansas.gov/NPILookup?Npi=1639674690","1639674690")</f>
        <v>1639674690</v>
      </c>
      <c r="E26736" s="1" t="s">
        <v>7959</v>
      </c>
      <c r="F26736" s="2"/>
      <c r="G26736" s="2"/>
      <c r="H26736" s="2"/>
    </row>
    <row r="26737" spans="1:8" x14ac:dyDescent="0.25">
      <c r="A26737" s="1"/>
      <c r="B26737" s="1" t="s">
        <v>7328</v>
      </c>
      <c r="C26737" s="1" t="s">
        <v>7329</v>
      </c>
      <c r="D26737" s="22" t="str">
        <f>HYPERLINK("https://rhld.insurance.arkansas.gov/NPILookup?Npi=1639676745","1639676745")</f>
        <v>1639676745</v>
      </c>
      <c r="E26737" s="1" t="s">
        <v>27945</v>
      </c>
      <c r="F26737" s="2"/>
      <c r="G26737" s="2"/>
      <c r="H26737" s="2"/>
    </row>
    <row r="26738" spans="1:8" x14ac:dyDescent="0.25">
      <c r="A26738" s="1"/>
      <c r="B26738" s="1" t="s">
        <v>7328</v>
      </c>
      <c r="C26738" s="1" t="s">
        <v>7329</v>
      </c>
      <c r="D26738" s="22" t="str">
        <f>HYPERLINK("https://rhld.insurance.arkansas.gov/NPILookup?Npi=1639679970","1639679970")</f>
        <v>1639679970</v>
      </c>
      <c r="E26738" s="1" t="s">
        <v>32311</v>
      </c>
      <c r="F26738" s="2"/>
      <c r="G26738" s="2"/>
      <c r="H26738" s="2"/>
    </row>
    <row r="26739" spans="1:8" x14ac:dyDescent="0.25">
      <c r="A26739" s="1"/>
      <c r="B26739" s="1" t="s">
        <v>7328</v>
      </c>
      <c r="C26739" s="1" t="s">
        <v>7329</v>
      </c>
      <c r="D26739" s="22" t="str">
        <f>HYPERLINK("https://rhld.insurance.arkansas.gov/NPILookup?Npi=1639687437","1639687437")</f>
        <v>1639687437</v>
      </c>
      <c r="E26739" s="1" t="s">
        <v>13390</v>
      </c>
      <c r="F26739" s="2"/>
      <c r="G26739" s="2"/>
      <c r="H26739" s="2"/>
    </row>
    <row r="26740" spans="1:8" x14ac:dyDescent="0.25">
      <c r="A26740" s="1"/>
      <c r="B26740" s="1" t="s">
        <v>7328</v>
      </c>
      <c r="C26740" s="1" t="s">
        <v>7329</v>
      </c>
      <c r="D26740" s="22" t="str">
        <f>HYPERLINK("https://rhld.insurance.arkansas.gov/NPILookup?Npi=1639689763","1639689763")</f>
        <v>1639689763</v>
      </c>
      <c r="E26740" s="1" t="s">
        <v>2945</v>
      </c>
      <c r="F26740" s="2"/>
      <c r="G26740" s="2"/>
      <c r="H26740" s="2"/>
    </row>
    <row r="26741" spans="1:8" x14ac:dyDescent="0.25">
      <c r="A26741" s="1"/>
      <c r="B26741" s="1" t="s">
        <v>7328</v>
      </c>
      <c r="C26741" s="1" t="s">
        <v>7329</v>
      </c>
      <c r="D26741" s="22" t="str">
        <f>HYPERLINK("https://rhld.insurance.arkansas.gov/NPILookup?Npi=1639701022","1639701022")</f>
        <v>1639701022</v>
      </c>
      <c r="E26741" s="1" t="s">
        <v>22838</v>
      </c>
      <c r="F26741" s="2"/>
      <c r="G26741" s="2"/>
      <c r="H26741" s="2"/>
    </row>
    <row r="26742" spans="1:8" x14ac:dyDescent="0.25">
      <c r="A26742" s="1"/>
      <c r="B26742" s="1" t="s">
        <v>7328</v>
      </c>
      <c r="C26742" s="1" t="s">
        <v>7329</v>
      </c>
      <c r="D26742" s="22" t="str">
        <f>HYPERLINK("https://rhld.insurance.arkansas.gov/NPILookup?Npi=1639709314","1639709314")</f>
        <v>1639709314</v>
      </c>
      <c r="E26742" s="1" t="s">
        <v>13391</v>
      </c>
      <c r="F26742" s="2"/>
      <c r="G26742" s="2"/>
      <c r="H26742" s="2"/>
    </row>
    <row r="26743" spans="1:8" x14ac:dyDescent="0.25">
      <c r="A26743" s="1"/>
      <c r="B26743" s="1" t="s">
        <v>7328</v>
      </c>
      <c r="C26743" s="1" t="s">
        <v>7329</v>
      </c>
      <c r="D26743" s="22" t="str">
        <f>HYPERLINK("https://rhld.insurance.arkansas.gov/NPILookup?Npi=1639723273","1639723273")</f>
        <v>1639723273</v>
      </c>
      <c r="E26743" s="1" t="s">
        <v>2395</v>
      </c>
      <c r="F26743" s="2"/>
      <c r="G26743" s="2"/>
      <c r="H26743" s="2"/>
    </row>
    <row r="26744" spans="1:8" x14ac:dyDescent="0.25">
      <c r="A26744" s="1"/>
      <c r="B26744" s="1" t="s">
        <v>7328</v>
      </c>
      <c r="C26744" s="1" t="s">
        <v>7329</v>
      </c>
      <c r="D26744" s="22" t="str">
        <f>HYPERLINK("https://rhld.insurance.arkansas.gov/NPILookup?Npi=1639724834","1639724834")</f>
        <v>1639724834</v>
      </c>
      <c r="E26744" s="1" t="s">
        <v>27946</v>
      </c>
      <c r="F26744" s="2"/>
      <c r="G26744" s="2"/>
      <c r="H26744" s="2"/>
    </row>
    <row r="26745" spans="1:8" x14ac:dyDescent="0.25">
      <c r="A26745" s="1"/>
      <c r="B26745" s="1" t="s">
        <v>7328</v>
      </c>
      <c r="C26745" s="1" t="s">
        <v>7329</v>
      </c>
      <c r="D26745" s="22" t="str">
        <f>HYPERLINK("https://rhld.insurance.arkansas.gov/NPILookup?Npi=1639725823","1639725823")</f>
        <v>1639725823</v>
      </c>
      <c r="E26745" s="1" t="s">
        <v>27947</v>
      </c>
      <c r="F26745" s="2"/>
      <c r="G26745" s="2"/>
      <c r="H26745" s="2"/>
    </row>
    <row r="26746" spans="1:8" x14ac:dyDescent="0.25">
      <c r="A26746" s="1"/>
      <c r="B26746" s="1" t="s">
        <v>7328</v>
      </c>
      <c r="C26746" s="1" t="s">
        <v>7329</v>
      </c>
      <c r="D26746" s="22" t="str">
        <f>HYPERLINK("https://rhld.insurance.arkansas.gov/NPILookup?Npi=1639726813","1639726813")</f>
        <v>1639726813</v>
      </c>
      <c r="E26746" s="1" t="s">
        <v>27948</v>
      </c>
      <c r="F26746" s="2"/>
      <c r="G26746" s="2"/>
      <c r="H26746" s="2"/>
    </row>
    <row r="26747" spans="1:8" x14ac:dyDescent="0.25">
      <c r="A26747" s="1"/>
      <c r="B26747" s="1" t="s">
        <v>7328</v>
      </c>
      <c r="C26747" s="1" t="s">
        <v>7329</v>
      </c>
      <c r="D26747" s="22" t="str">
        <f>HYPERLINK("https://rhld.insurance.arkansas.gov/NPILookup?Npi=1639726862","1639726862")</f>
        <v>1639726862</v>
      </c>
      <c r="E26747" s="1" t="s">
        <v>13392</v>
      </c>
      <c r="F26747" s="2"/>
      <c r="G26747" s="2"/>
      <c r="H26747" s="2"/>
    </row>
    <row r="26748" spans="1:8" x14ac:dyDescent="0.25">
      <c r="A26748" s="1"/>
      <c r="B26748" s="1" t="s">
        <v>7328</v>
      </c>
      <c r="C26748" s="1" t="s">
        <v>7329</v>
      </c>
      <c r="D26748" s="22" t="str">
        <f>HYPERLINK("https://rhld.insurance.arkansas.gov/NPILookup?Npi=1639731789","1639731789")</f>
        <v>1639731789</v>
      </c>
      <c r="E26748" s="1" t="s">
        <v>2946</v>
      </c>
      <c r="F26748" s="2"/>
      <c r="G26748" s="2"/>
      <c r="H26748" s="2"/>
    </row>
    <row r="26749" spans="1:8" x14ac:dyDescent="0.25">
      <c r="A26749" s="1"/>
      <c r="B26749" s="1" t="s">
        <v>7328</v>
      </c>
      <c r="C26749" s="1" t="s">
        <v>7329</v>
      </c>
      <c r="D26749" s="22" t="str">
        <f>HYPERLINK("https://rhld.insurance.arkansas.gov/NPILookup?Npi=1639758303","1639758303")</f>
        <v>1639758303</v>
      </c>
      <c r="E26749" s="1" t="s">
        <v>4436</v>
      </c>
      <c r="F26749" s="2"/>
      <c r="G26749" s="2"/>
      <c r="H26749" s="2"/>
    </row>
    <row r="26750" spans="1:8" x14ac:dyDescent="0.25">
      <c r="A26750" s="1"/>
      <c r="B26750" s="1" t="s">
        <v>7328</v>
      </c>
      <c r="C26750" s="1" t="s">
        <v>7329</v>
      </c>
      <c r="D26750" s="22" t="str">
        <f>HYPERLINK("https://rhld.insurance.arkansas.gov/NPILookup?Npi=1639781396","1639781396")</f>
        <v>1639781396</v>
      </c>
      <c r="E26750" s="1" t="s">
        <v>27949</v>
      </c>
      <c r="F26750" s="2"/>
      <c r="G26750" s="2"/>
      <c r="H26750" s="2"/>
    </row>
    <row r="26751" spans="1:8" x14ac:dyDescent="0.25">
      <c r="A26751" s="1"/>
      <c r="B26751" s="1" t="s">
        <v>7328</v>
      </c>
      <c r="C26751" s="1" t="s">
        <v>7329</v>
      </c>
      <c r="D26751" s="22" t="str">
        <f>HYPERLINK("https://rhld.insurance.arkansas.gov/NPILookup?Npi=1639787880","1639787880")</f>
        <v>1639787880</v>
      </c>
      <c r="E26751" s="1" t="s">
        <v>27950</v>
      </c>
      <c r="F26751" s="2"/>
      <c r="G26751" s="2"/>
      <c r="H26751" s="2"/>
    </row>
    <row r="26752" spans="1:8" x14ac:dyDescent="0.25">
      <c r="A26752" s="1"/>
      <c r="B26752" s="1" t="s">
        <v>7328</v>
      </c>
      <c r="C26752" s="1" t="s">
        <v>7329</v>
      </c>
      <c r="D26752" s="22" t="str">
        <f>HYPERLINK("https://rhld.insurance.arkansas.gov/NPILookup?Npi=1639790983","1639790983")</f>
        <v>1639790983</v>
      </c>
      <c r="E26752" s="1" t="s">
        <v>17735</v>
      </c>
      <c r="F26752" s="2"/>
      <c r="G26752" s="2"/>
      <c r="H26752" s="2"/>
    </row>
    <row r="26753" spans="1:8" x14ac:dyDescent="0.25">
      <c r="A26753" s="1"/>
      <c r="B26753" s="1" t="s">
        <v>7328</v>
      </c>
      <c r="C26753" s="1" t="s">
        <v>7329</v>
      </c>
      <c r="D26753" s="22" t="str">
        <f>HYPERLINK("https://rhld.insurance.arkansas.gov/NPILookup?Npi=1639798572","1639798572")</f>
        <v>1639798572</v>
      </c>
      <c r="E26753" s="1" t="s">
        <v>27951</v>
      </c>
      <c r="F26753" s="2"/>
      <c r="G26753" s="2"/>
      <c r="H26753" s="2"/>
    </row>
    <row r="26754" spans="1:8" x14ac:dyDescent="0.25">
      <c r="A26754" s="1"/>
      <c r="B26754" s="1" t="s">
        <v>7328</v>
      </c>
      <c r="C26754" s="1" t="s">
        <v>7329</v>
      </c>
      <c r="D26754" s="22" t="str">
        <f>HYPERLINK("https://rhld.insurance.arkansas.gov/NPILookup?Npi=1639799240","1639799240")</f>
        <v>1639799240</v>
      </c>
      <c r="E26754" s="1" t="s">
        <v>1797</v>
      </c>
      <c r="F26754" s="2"/>
      <c r="G26754" s="2"/>
      <c r="H26754" s="2"/>
    </row>
    <row r="26755" spans="1:8" x14ac:dyDescent="0.25">
      <c r="A26755" s="1"/>
      <c r="B26755" s="1" t="s">
        <v>7328</v>
      </c>
      <c r="C26755" s="1" t="s">
        <v>7329</v>
      </c>
      <c r="D26755" s="22" t="str">
        <f>HYPERLINK("https://rhld.insurance.arkansas.gov/NPILookup?Npi=1639806607","1639806607")</f>
        <v>1639806607</v>
      </c>
      <c r="E26755" s="1" t="s">
        <v>27952</v>
      </c>
      <c r="F26755" s="2"/>
      <c r="G26755" s="2"/>
      <c r="H26755" s="2"/>
    </row>
    <row r="26756" spans="1:8" x14ac:dyDescent="0.25">
      <c r="A26756" s="1"/>
      <c r="B26756" s="1" t="s">
        <v>7328</v>
      </c>
      <c r="C26756" s="1" t="s">
        <v>7329</v>
      </c>
      <c r="D26756" s="22" t="str">
        <f>HYPERLINK("https://rhld.insurance.arkansas.gov/NPILookup?Npi=1639810807","1639810807")</f>
        <v>1639810807</v>
      </c>
      <c r="E26756" s="1" t="s">
        <v>27953</v>
      </c>
      <c r="F26756" s="2"/>
      <c r="G26756" s="2"/>
      <c r="H26756" s="2"/>
    </row>
    <row r="26757" spans="1:8" x14ac:dyDescent="0.25">
      <c r="A26757" s="1"/>
      <c r="B26757" s="1" t="s">
        <v>7328</v>
      </c>
      <c r="C26757" s="1" t="s">
        <v>7329</v>
      </c>
      <c r="D26757" s="22" t="str">
        <f>HYPERLINK("https://rhld.insurance.arkansas.gov/NPILookup?Npi=1639814742","1639814742")</f>
        <v>1639814742</v>
      </c>
      <c r="E26757" s="1" t="s">
        <v>27954</v>
      </c>
      <c r="F26757" s="2"/>
      <c r="G26757" s="2"/>
      <c r="H26757" s="2"/>
    </row>
    <row r="26758" spans="1:8" x14ac:dyDescent="0.25">
      <c r="A26758" s="1"/>
      <c r="B26758" s="1" t="s">
        <v>7328</v>
      </c>
      <c r="C26758" s="1" t="s">
        <v>7329</v>
      </c>
      <c r="D26758" s="22" t="str">
        <f>HYPERLINK("https://rhld.insurance.arkansas.gov/NPILookup?Npi=1639816648","1639816648")</f>
        <v>1639816648</v>
      </c>
      <c r="E26758" s="1" t="s">
        <v>7960</v>
      </c>
      <c r="F26758" s="2"/>
      <c r="G26758" s="2"/>
      <c r="H26758" s="2"/>
    </row>
    <row r="26759" spans="1:8" x14ac:dyDescent="0.25">
      <c r="A26759" s="1"/>
      <c r="B26759" s="1" t="s">
        <v>7328</v>
      </c>
      <c r="C26759" s="1" t="s">
        <v>7329</v>
      </c>
      <c r="D26759" s="22" t="str">
        <f>HYPERLINK("https://rhld.insurance.arkansas.gov/NPILookup?Npi=1639824956","1639824956")</f>
        <v>1639824956</v>
      </c>
      <c r="E26759" s="1" t="s">
        <v>27955</v>
      </c>
      <c r="F26759" s="2"/>
      <c r="G26759" s="2"/>
      <c r="H26759" s="2"/>
    </row>
    <row r="26760" spans="1:8" x14ac:dyDescent="0.25">
      <c r="A26760" s="1"/>
      <c r="B26760" s="1" t="s">
        <v>7328</v>
      </c>
      <c r="C26760" s="1" t="s">
        <v>7329</v>
      </c>
      <c r="D26760" s="22" t="str">
        <f>HYPERLINK("https://rhld.insurance.arkansas.gov/NPILookup?Npi=1639825508","1639825508")</f>
        <v>1639825508</v>
      </c>
      <c r="E26760" s="1" t="s">
        <v>1798</v>
      </c>
      <c r="F26760" s="2"/>
      <c r="G26760" s="2"/>
      <c r="H26760" s="2"/>
    </row>
    <row r="26761" spans="1:8" x14ac:dyDescent="0.25">
      <c r="A26761" s="1"/>
      <c r="B26761" s="1" t="s">
        <v>7328</v>
      </c>
      <c r="C26761" s="1" t="s">
        <v>7329</v>
      </c>
      <c r="D26761" s="22" t="str">
        <f>HYPERLINK("https://rhld.insurance.arkansas.gov/NPILookup?Npi=1639829559","1639829559")</f>
        <v>1639829559</v>
      </c>
      <c r="E26761" s="1" t="s">
        <v>31454</v>
      </c>
      <c r="F26761" s="2"/>
      <c r="G26761" s="2"/>
      <c r="H26761" s="2"/>
    </row>
    <row r="26762" spans="1:8" x14ac:dyDescent="0.25">
      <c r="A26762" s="1"/>
      <c r="B26762" s="1" t="s">
        <v>7328</v>
      </c>
      <c r="C26762" s="1" t="s">
        <v>7329</v>
      </c>
      <c r="D26762" s="22" t="str">
        <f>HYPERLINK("https://rhld.insurance.arkansas.gov/NPILookup?Npi=1639831274","1639831274")</f>
        <v>1639831274</v>
      </c>
      <c r="E26762" s="1" t="s">
        <v>27956</v>
      </c>
      <c r="F26762" s="2"/>
      <c r="G26762" s="2"/>
      <c r="H26762" s="2"/>
    </row>
    <row r="26763" spans="1:8" x14ac:dyDescent="0.25">
      <c r="A26763" s="1"/>
      <c r="B26763" s="1" t="s">
        <v>7328</v>
      </c>
      <c r="C26763" s="1" t="s">
        <v>7329</v>
      </c>
      <c r="D26763" s="22" t="str">
        <f>HYPERLINK("https://rhld.insurance.arkansas.gov/NPILookup?Npi=1639832611","1639832611")</f>
        <v>1639832611</v>
      </c>
      <c r="E26763" s="1" t="s">
        <v>1799</v>
      </c>
      <c r="F26763" s="2"/>
      <c r="G26763" s="2"/>
      <c r="H26763" s="2"/>
    </row>
    <row r="26764" spans="1:8" x14ac:dyDescent="0.25">
      <c r="A26764" s="1"/>
      <c r="B26764" s="1" t="s">
        <v>7328</v>
      </c>
      <c r="C26764" s="1" t="s">
        <v>7329</v>
      </c>
      <c r="D26764" s="22" t="str">
        <f>HYPERLINK("https://rhld.insurance.arkansas.gov/NPILookup?Npi=1639837099","1639837099")</f>
        <v>1639837099</v>
      </c>
      <c r="E26764" s="1" t="s">
        <v>27957</v>
      </c>
      <c r="F26764" s="2"/>
      <c r="G26764" s="2"/>
      <c r="H26764" s="2"/>
    </row>
    <row r="26765" spans="1:8" x14ac:dyDescent="0.25">
      <c r="A26765" s="1"/>
      <c r="B26765" s="1" t="s">
        <v>7328</v>
      </c>
      <c r="C26765" s="1" t="s">
        <v>7329</v>
      </c>
      <c r="D26765" s="22" t="str">
        <f>HYPERLINK("https://rhld.insurance.arkansas.gov/NPILookup?Npi=1639865769","1639865769")</f>
        <v>1639865769</v>
      </c>
      <c r="E26765" s="1" t="s">
        <v>27958</v>
      </c>
      <c r="F26765" s="2"/>
      <c r="G26765" s="2"/>
      <c r="H26765" s="2"/>
    </row>
    <row r="26766" spans="1:8" x14ac:dyDescent="0.25">
      <c r="A26766" s="1"/>
      <c r="B26766" s="1" t="s">
        <v>7328</v>
      </c>
      <c r="C26766" s="1" t="s">
        <v>7329</v>
      </c>
      <c r="D26766" s="22" t="str">
        <f>HYPERLINK("https://rhld.insurance.arkansas.gov/NPILookup?Npi=1639873623","1639873623")</f>
        <v>1639873623</v>
      </c>
      <c r="E26766" s="1" t="s">
        <v>21432</v>
      </c>
      <c r="F26766" s="2"/>
      <c r="G26766" s="2"/>
      <c r="H26766" s="2"/>
    </row>
    <row r="26767" spans="1:8" x14ac:dyDescent="0.25">
      <c r="A26767" s="1"/>
      <c r="B26767" s="1" t="s">
        <v>7328</v>
      </c>
      <c r="C26767" s="1" t="s">
        <v>7329</v>
      </c>
      <c r="D26767" s="22" t="str">
        <f>HYPERLINK("https://rhld.insurance.arkansas.gov/NPILookup?Npi=1639876949","1639876949")</f>
        <v>1639876949</v>
      </c>
      <c r="E26767" s="1" t="s">
        <v>7961</v>
      </c>
      <c r="F26767" s="2"/>
      <c r="G26767" s="2"/>
      <c r="H26767" s="2"/>
    </row>
    <row r="26768" spans="1:8" x14ac:dyDescent="0.25">
      <c r="A26768" s="1"/>
      <c r="B26768" s="1" t="s">
        <v>7328</v>
      </c>
      <c r="C26768" s="1" t="s">
        <v>7329</v>
      </c>
      <c r="D26768" s="22" t="str">
        <f>HYPERLINK("https://rhld.insurance.arkansas.gov/NPILookup?Npi=1639909955","1639909955")</f>
        <v>1639909955</v>
      </c>
      <c r="E26768" s="1" t="s">
        <v>32312</v>
      </c>
      <c r="F26768" s="2"/>
      <c r="G26768" s="2"/>
      <c r="H26768" s="2"/>
    </row>
    <row r="26769" spans="1:8" x14ac:dyDescent="0.25">
      <c r="A26769" s="1"/>
      <c r="B26769" s="1" t="s">
        <v>7328</v>
      </c>
      <c r="C26769" s="1" t="s">
        <v>7329</v>
      </c>
      <c r="D26769" s="22" t="str">
        <f>HYPERLINK("https://rhld.insurance.arkansas.gov/NPILookup?Npi=1639989304","1639989304")</f>
        <v>1639989304</v>
      </c>
      <c r="E26769" s="1" t="s">
        <v>32313</v>
      </c>
      <c r="F26769" s="2"/>
      <c r="G26769" s="2"/>
      <c r="H26769" s="2"/>
    </row>
    <row r="26770" spans="1:8" x14ac:dyDescent="0.25">
      <c r="A26770" s="1"/>
      <c r="B26770" s="1" t="s">
        <v>7328</v>
      </c>
      <c r="C26770" s="1" t="s">
        <v>7329</v>
      </c>
      <c r="D26770" s="22" t="str">
        <f>HYPERLINK("https://rhld.insurance.arkansas.gov/NPILookup?Npi=1649012360","1649012360")</f>
        <v>1649012360</v>
      </c>
      <c r="E26770" s="1" t="s">
        <v>27959</v>
      </c>
      <c r="F26770" s="2"/>
      <c r="G26770" s="2"/>
      <c r="H26770" s="2"/>
    </row>
    <row r="26771" spans="1:8" x14ac:dyDescent="0.25">
      <c r="A26771" s="1"/>
      <c r="B26771" s="1" t="s">
        <v>7328</v>
      </c>
      <c r="C26771" s="1" t="s">
        <v>7329</v>
      </c>
      <c r="D26771" s="22" t="str">
        <f>HYPERLINK("https://rhld.insurance.arkansas.gov/NPILookup?Npi=1649012766","1649012766")</f>
        <v>1649012766</v>
      </c>
      <c r="E26771" s="1" t="s">
        <v>32314</v>
      </c>
      <c r="F26771" s="2"/>
      <c r="G26771" s="2"/>
      <c r="H26771" s="2"/>
    </row>
    <row r="26772" spans="1:8" x14ac:dyDescent="0.25">
      <c r="A26772" s="1"/>
      <c r="B26772" s="1" t="s">
        <v>7328</v>
      </c>
      <c r="C26772" s="1" t="s">
        <v>7329</v>
      </c>
      <c r="D26772" s="22" t="str">
        <f>HYPERLINK("https://rhld.insurance.arkansas.gov/NPILookup?Npi=1649018375","1649018375")</f>
        <v>1649018375</v>
      </c>
      <c r="E26772" s="1" t="s">
        <v>32315</v>
      </c>
      <c r="F26772" s="2"/>
      <c r="G26772" s="2"/>
      <c r="H26772" s="2"/>
    </row>
    <row r="26773" spans="1:8" x14ac:dyDescent="0.25">
      <c r="A26773" s="1"/>
      <c r="B26773" s="1" t="s">
        <v>7328</v>
      </c>
      <c r="C26773" s="1" t="s">
        <v>7329</v>
      </c>
      <c r="D26773" s="22" t="str">
        <f>HYPERLINK("https://rhld.insurance.arkansas.gov/NPILookup?Npi=1649033952","1649033952")</f>
        <v>1649033952</v>
      </c>
      <c r="E26773" s="1" t="s">
        <v>7962</v>
      </c>
      <c r="F26773" s="2"/>
      <c r="G26773" s="2"/>
      <c r="H26773" s="2"/>
    </row>
    <row r="26774" spans="1:8" x14ac:dyDescent="0.25">
      <c r="A26774" s="1"/>
      <c r="B26774" s="1" t="s">
        <v>7328</v>
      </c>
      <c r="C26774" s="1" t="s">
        <v>7329</v>
      </c>
      <c r="D26774" s="22" t="str">
        <f>HYPERLINK("https://rhld.insurance.arkansas.gov/NPILookup?Npi=1649045915","1649045915")</f>
        <v>1649045915</v>
      </c>
      <c r="E26774" s="1" t="s">
        <v>5197</v>
      </c>
      <c r="F26774" s="2"/>
      <c r="G26774" s="2"/>
      <c r="H26774" s="2"/>
    </row>
    <row r="26775" spans="1:8" x14ac:dyDescent="0.25">
      <c r="A26775" s="1"/>
      <c r="B26775" s="1" t="s">
        <v>7328</v>
      </c>
      <c r="C26775" s="1" t="s">
        <v>7329</v>
      </c>
      <c r="D26775" s="22" t="str">
        <f>HYPERLINK("https://rhld.insurance.arkansas.gov/NPILookup?Npi=1649207242","1649207242")</f>
        <v>1649207242</v>
      </c>
      <c r="E26775" s="1" t="s">
        <v>18980</v>
      </c>
      <c r="F26775" s="2"/>
      <c r="G26775" s="2"/>
      <c r="H26775" s="2"/>
    </row>
    <row r="26776" spans="1:8" x14ac:dyDescent="0.25">
      <c r="A26776" s="1"/>
      <c r="B26776" s="1" t="s">
        <v>7328</v>
      </c>
      <c r="C26776" s="1" t="s">
        <v>7329</v>
      </c>
      <c r="D26776" s="22" t="str">
        <f>HYPERLINK("https://rhld.insurance.arkansas.gov/NPILookup?Npi=1649217191","1649217191")</f>
        <v>1649217191</v>
      </c>
      <c r="E26776" s="1" t="s">
        <v>27960</v>
      </c>
      <c r="F26776" s="2"/>
      <c r="G26776" s="2"/>
      <c r="H26776" s="2"/>
    </row>
    <row r="26777" spans="1:8" x14ac:dyDescent="0.25">
      <c r="A26777" s="1"/>
      <c r="B26777" s="1" t="s">
        <v>7328</v>
      </c>
      <c r="C26777" s="1" t="s">
        <v>7329</v>
      </c>
      <c r="D26777" s="22" t="str">
        <f>HYPERLINK("https://rhld.insurance.arkansas.gov/NPILookup?Npi=1649218892","1649218892")</f>
        <v>1649218892</v>
      </c>
      <c r="E26777" s="1" t="s">
        <v>27961</v>
      </c>
      <c r="F26777" s="2"/>
      <c r="G26777" s="2"/>
      <c r="H26777" s="2"/>
    </row>
    <row r="26778" spans="1:8" x14ac:dyDescent="0.25">
      <c r="A26778" s="1"/>
      <c r="B26778" s="1" t="s">
        <v>7328</v>
      </c>
      <c r="C26778" s="1" t="s">
        <v>7329</v>
      </c>
      <c r="D26778" s="22" t="str">
        <f>HYPERLINK("https://rhld.insurance.arkansas.gov/NPILookup?Npi=1649231895","1649231895")</f>
        <v>1649231895</v>
      </c>
      <c r="E26778" s="1" t="s">
        <v>27962</v>
      </c>
      <c r="F26778" s="2"/>
      <c r="G26778" s="2"/>
      <c r="H26778" s="2"/>
    </row>
    <row r="26779" spans="1:8" x14ac:dyDescent="0.25">
      <c r="A26779" s="1"/>
      <c r="B26779" s="1" t="s">
        <v>7328</v>
      </c>
      <c r="C26779" s="1" t="s">
        <v>7329</v>
      </c>
      <c r="D26779" s="22" t="str">
        <f>HYPERLINK("https://rhld.insurance.arkansas.gov/NPILookup?Npi=1649236290","1649236290")</f>
        <v>1649236290</v>
      </c>
      <c r="E26779" s="1" t="s">
        <v>27963</v>
      </c>
      <c r="F26779" s="2"/>
      <c r="G26779" s="2"/>
      <c r="H26779" s="2"/>
    </row>
    <row r="26780" spans="1:8" x14ac:dyDescent="0.25">
      <c r="A26780" s="1"/>
      <c r="B26780" s="1" t="s">
        <v>7328</v>
      </c>
      <c r="C26780" s="1" t="s">
        <v>7329</v>
      </c>
      <c r="D26780" s="22" t="str">
        <f>HYPERLINK("https://rhld.insurance.arkansas.gov/NPILookup?Npi=1649238262","1649238262")</f>
        <v>1649238262</v>
      </c>
      <c r="E26780" s="1" t="s">
        <v>27964</v>
      </c>
      <c r="F26780" s="2"/>
      <c r="G26780" s="2"/>
      <c r="H26780" s="2"/>
    </row>
    <row r="26781" spans="1:8" x14ac:dyDescent="0.25">
      <c r="A26781" s="1"/>
      <c r="B26781" s="1" t="s">
        <v>7328</v>
      </c>
      <c r="C26781" s="1" t="s">
        <v>7329</v>
      </c>
      <c r="D26781" s="22" t="str">
        <f>HYPERLINK("https://rhld.insurance.arkansas.gov/NPILookup?Npi=1649250689","1649250689")</f>
        <v>1649250689</v>
      </c>
      <c r="E26781" s="1" t="s">
        <v>27965</v>
      </c>
      <c r="F26781" s="2"/>
      <c r="G26781" s="2"/>
      <c r="H26781" s="2"/>
    </row>
    <row r="26782" spans="1:8" x14ac:dyDescent="0.25">
      <c r="A26782" s="1"/>
      <c r="B26782" s="1" t="s">
        <v>7328</v>
      </c>
      <c r="C26782" s="1" t="s">
        <v>7329</v>
      </c>
      <c r="D26782" s="22" t="str">
        <f>HYPERLINK("https://rhld.insurance.arkansas.gov/NPILookup?Npi=1649262726","1649262726")</f>
        <v>1649262726</v>
      </c>
      <c r="E26782" s="1" t="s">
        <v>1870</v>
      </c>
      <c r="F26782" s="2"/>
      <c r="G26782" s="2"/>
      <c r="H26782" s="2"/>
    </row>
    <row r="26783" spans="1:8" x14ac:dyDescent="0.25">
      <c r="A26783" s="1"/>
      <c r="B26783" s="1" t="s">
        <v>7328</v>
      </c>
      <c r="C26783" s="1" t="s">
        <v>7329</v>
      </c>
      <c r="D26783" s="22" t="str">
        <f>HYPERLINK("https://rhld.insurance.arkansas.gov/NPILookup?Npi=1649295833","1649295833")</f>
        <v>1649295833</v>
      </c>
      <c r="E26783" s="1" t="s">
        <v>27966</v>
      </c>
      <c r="F26783" s="2"/>
      <c r="G26783" s="2"/>
      <c r="H26783" s="2"/>
    </row>
    <row r="26784" spans="1:8" x14ac:dyDescent="0.25">
      <c r="A26784" s="1"/>
      <c r="B26784" s="1" t="s">
        <v>7328</v>
      </c>
      <c r="C26784" s="1" t="s">
        <v>7329</v>
      </c>
      <c r="D26784" s="22" t="str">
        <f>HYPERLINK("https://rhld.insurance.arkansas.gov/NPILookup?Npi=1649304114","1649304114")</f>
        <v>1649304114</v>
      </c>
      <c r="E26784" s="1" t="s">
        <v>150</v>
      </c>
      <c r="F26784" s="2"/>
      <c r="G26784" s="2"/>
      <c r="H26784" s="2"/>
    </row>
    <row r="26785" spans="1:8" x14ac:dyDescent="0.25">
      <c r="A26785" s="1"/>
      <c r="B26785" s="1" t="s">
        <v>7328</v>
      </c>
      <c r="C26785" s="1" t="s">
        <v>7329</v>
      </c>
      <c r="D26785" s="22" t="str">
        <f>HYPERLINK("https://rhld.insurance.arkansas.gov/NPILookup?Npi=1649358847","1649358847")</f>
        <v>1649358847</v>
      </c>
      <c r="E26785" s="1" t="s">
        <v>27967</v>
      </c>
      <c r="F26785" s="2"/>
      <c r="G26785" s="2"/>
      <c r="H26785" s="2"/>
    </row>
    <row r="26786" spans="1:8" x14ac:dyDescent="0.25">
      <c r="A26786" s="1"/>
      <c r="B26786" s="1" t="s">
        <v>7328</v>
      </c>
      <c r="C26786" s="1" t="s">
        <v>7329</v>
      </c>
      <c r="D26786" s="22" t="str">
        <f>HYPERLINK("https://rhld.insurance.arkansas.gov/NPILookup?Npi=1649359076","1649359076")</f>
        <v>1649359076</v>
      </c>
      <c r="E26786" s="1" t="s">
        <v>27968</v>
      </c>
      <c r="F26786" s="2"/>
      <c r="G26786" s="2"/>
      <c r="H26786" s="2"/>
    </row>
    <row r="26787" spans="1:8" x14ac:dyDescent="0.25">
      <c r="A26787" s="1"/>
      <c r="B26787" s="1" t="s">
        <v>7328</v>
      </c>
      <c r="C26787" s="1" t="s">
        <v>7329</v>
      </c>
      <c r="D26787" s="22" t="str">
        <f>HYPERLINK("https://rhld.insurance.arkansas.gov/NPILookup?Npi=1649363656","1649363656")</f>
        <v>1649363656</v>
      </c>
      <c r="E26787" s="1" t="s">
        <v>13393</v>
      </c>
      <c r="F26787" s="2"/>
      <c r="G26787" s="2"/>
      <c r="H26787" s="2"/>
    </row>
    <row r="26788" spans="1:8" x14ac:dyDescent="0.25">
      <c r="A26788" s="1"/>
      <c r="B26788" s="1" t="s">
        <v>7328</v>
      </c>
      <c r="C26788" s="1" t="s">
        <v>7329</v>
      </c>
      <c r="D26788" s="22" t="str">
        <f>HYPERLINK("https://rhld.insurance.arkansas.gov/NPILookup?Npi=1649365651","1649365651")</f>
        <v>1649365651</v>
      </c>
      <c r="E26788" s="1" t="s">
        <v>27969</v>
      </c>
      <c r="F26788" s="2"/>
      <c r="G26788" s="2"/>
      <c r="H26788" s="2"/>
    </row>
    <row r="26789" spans="1:8" x14ac:dyDescent="0.25">
      <c r="A26789" s="1"/>
      <c r="B26789" s="1" t="s">
        <v>7328</v>
      </c>
      <c r="C26789" s="1" t="s">
        <v>7329</v>
      </c>
      <c r="D26789" s="22" t="str">
        <f>HYPERLINK("https://rhld.insurance.arkansas.gov/NPILookup?Npi=1649384413","1649384413")</f>
        <v>1649384413</v>
      </c>
      <c r="E26789" s="1" t="s">
        <v>2947</v>
      </c>
      <c r="F26789" s="2"/>
      <c r="G26789" s="2"/>
      <c r="H26789" s="2"/>
    </row>
    <row r="26790" spans="1:8" x14ac:dyDescent="0.25">
      <c r="A26790" s="1"/>
      <c r="B26790" s="1" t="s">
        <v>7328</v>
      </c>
      <c r="C26790" s="1" t="s">
        <v>7329</v>
      </c>
      <c r="D26790" s="22" t="str">
        <f>HYPERLINK("https://rhld.insurance.arkansas.gov/NPILookup?Npi=1649440900","1649440900")</f>
        <v>1649440900</v>
      </c>
      <c r="E26790" s="1" t="s">
        <v>17738</v>
      </c>
      <c r="F26790" s="2"/>
      <c r="G26790" s="2"/>
      <c r="H26790" s="2"/>
    </row>
    <row r="26791" spans="1:8" x14ac:dyDescent="0.25">
      <c r="A26791" s="1"/>
      <c r="B26791" s="1" t="s">
        <v>7328</v>
      </c>
      <c r="C26791" s="1" t="s">
        <v>7329</v>
      </c>
      <c r="D26791" s="22" t="str">
        <f>HYPERLINK("https://rhld.insurance.arkansas.gov/NPILookup?Npi=1649442484","1649442484")</f>
        <v>1649442484</v>
      </c>
      <c r="E26791" s="1" t="s">
        <v>27971</v>
      </c>
      <c r="F26791" s="2"/>
      <c r="G26791" s="2"/>
      <c r="H26791" s="2"/>
    </row>
    <row r="26792" spans="1:8" x14ac:dyDescent="0.25">
      <c r="A26792" s="1"/>
      <c r="B26792" s="1" t="s">
        <v>7328</v>
      </c>
      <c r="C26792" s="1" t="s">
        <v>7329</v>
      </c>
      <c r="D26792" s="22" t="str">
        <f>HYPERLINK("https://rhld.insurance.arkansas.gov/NPILookup?Npi=1649447806","1649447806")</f>
        <v>1649447806</v>
      </c>
      <c r="E26792" s="1" t="s">
        <v>10660</v>
      </c>
      <c r="F26792" s="2"/>
      <c r="G26792" s="2"/>
      <c r="H26792" s="2"/>
    </row>
    <row r="26793" spans="1:8" x14ac:dyDescent="0.25">
      <c r="A26793" s="1"/>
      <c r="B26793" s="1" t="s">
        <v>7328</v>
      </c>
      <c r="C26793" s="1" t="s">
        <v>7329</v>
      </c>
      <c r="D26793" s="22" t="str">
        <f>HYPERLINK("https://rhld.insurance.arkansas.gov/NPILookup?Npi=1649492927","1649492927")</f>
        <v>1649492927</v>
      </c>
      <c r="E26793" s="1" t="s">
        <v>18981</v>
      </c>
      <c r="F26793" s="2"/>
      <c r="G26793" s="2"/>
      <c r="H26793" s="2"/>
    </row>
    <row r="26794" spans="1:8" x14ac:dyDescent="0.25">
      <c r="A26794" s="1"/>
      <c r="B26794" s="1" t="s">
        <v>7328</v>
      </c>
      <c r="C26794" s="1" t="s">
        <v>7329</v>
      </c>
      <c r="D26794" s="22" t="str">
        <f>HYPERLINK("https://rhld.insurance.arkansas.gov/NPILookup?Npi=1649494808","1649494808")</f>
        <v>1649494808</v>
      </c>
      <c r="E26794" s="1" t="s">
        <v>27973</v>
      </c>
      <c r="F26794" s="2"/>
      <c r="G26794" s="2"/>
      <c r="H26794" s="2"/>
    </row>
    <row r="26795" spans="1:8" x14ac:dyDescent="0.25">
      <c r="A26795" s="1"/>
      <c r="B26795" s="1" t="s">
        <v>7328</v>
      </c>
      <c r="C26795" s="1" t="s">
        <v>7329</v>
      </c>
      <c r="D26795" s="22" t="str">
        <f>HYPERLINK("https://rhld.insurance.arkansas.gov/NPILookup?Npi=1649508474","1649508474")</f>
        <v>1649508474</v>
      </c>
      <c r="E26795" s="1" t="s">
        <v>184</v>
      </c>
      <c r="F26795" s="2"/>
      <c r="G26795" s="2"/>
      <c r="H26795" s="2"/>
    </row>
    <row r="26796" spans="1:8" x14ac:dyDescent="0.25">
      <c r="A26796" s="1"/>
      <c r="B26796" s="1" t="s">
        <v>7328</v>
      </c>
      <c r="C26796" s="1" t="s">
        <v>7329</v>
      </c>
      <c r="D26796" s="22" t="str">
        <f>HYPERLINK("https://rhld.insurance.arkansas.gov/NPILookup?Npi=1649535519","1649535519")</f>
        <v>1649535519</v>
      </c>
      <c r="E26796" s="1" t="s">
        <v>27976</v>
      </c>
      <c r="F26796" s="2"/>
      <c r="G26796" s="2"/>
      <c r="H26796" s="2"/>
    </row>
    <row r="26797" spans="1:8" x14ac:dyDescent="0.25">
      <c r="A26797" s="1"/>
      <c r="B26797" s="1" t="s">
        <v>7328</v>
      </c>
      <c r="C26797" s="1" t="s">
        <v>7329</v>
      </c>
      <c r="D26797" s="22" t="str">
        <f>HYPERLINK("https://rhld.insurance.arkansas.gov/NPILookup?Npi=1649538679","1649538679")</f>
        <v>1649538679</v>
      </c>
      <c r="E26797" s="1" t="s">
        <v>27977</v>
      </c>
      <c r="F26797" s="2"/>
      <c r="G26797" s="2"/>
      <c r="H26797" s="2"/>
    </row>
    <row r="26798" spans="1:8" x14ac:dyDescent="0.25">
      <c r="A26798" s="1"/>
      <c r="B26798" s="1" t="s">
        <v>7328</v>
      </c>
      <c r="C26798" s="1" t="s">
        <v>7329</v>
      </c>
      <c r="D26798" s="22" t="str">
        <f>HYPERLINK("https://rhld.insurance.arkansas.gov/NPILookup?Npi=1649539768","1649539768")</f>
        <v>1649539768</v>
      </c>
      <c r="E26798" s="1" t="s">
        <v>2948</v>
      </c>
      <c r="F26798" s="2"/>
      <c r="G26798" s="2"/>
      <c r="H26798" s="2"/>
    </row>
    <row r="26799" spans="1:8" x14ac:dyDescent="0.25">
      <c r="A26799" s="1"/>
      <c r="B26799" s="1" t="s">
        <v>7328</v>
      </c>
      <c r="C26799" s="1" t="s">
        <v>7329</v>
      </c>
      <c r="D26799" s="22" t="str">
        <f>HYPERLINK("https://rhld.insurance.arkansas.gov/NPILookup?Npi=1649548926","1649548926")</f>
        <v>1649548926</v>
      </c>
      <c r="E26799" s="1" t="s">
        <v>27978</v>
      </c>
      <c r="F26799" s="2"/>
      <c r="G26799" s="2"/>
      <c r="H26799" s="2"/>
    </row>
    <row r="26800" spans="1:8" x14ac:dyDescent="0.25">
      <c r="A26800" s="1"/>
      <c r="B26800" s="1" t="s">
        <v>7328</v>
      </c>
      <c r="C26800" s="1" t="s">
        <v>7329</v>
      </c>
      <c r="D26800" s="22" t="str">
        <f>HYPERLINK("https://rhld.insurance.arkansas.gov/NPILookup?Npi=1649580473","1649580473")</f>
        <v>1649580473</v>
      </c>
      <c r="E26800" s="1" t="s">
        <v>27929</v>
      </c>
      <c r="F26800" s="2"/>
      <c r="G26800" s="2"/>
      <c r="H26800" s="2"/>
    </row>
    <row r="26801" spans="1:8" x14ac:dyDescent="0.25">
      <c r="A26801" s="1"/>
      <c r="B26801" s="1" t="s">
        <v>7328</v>
      </c>
      <c r="C26801" s="1" t="s">
        <v>7329</v>
      </c>
      <c r="D26801" s="22" t="str">
        <f>HYPERLINK("https://rhld.insurance.arkansas.gov/NPILookup?Npi=1649587031","1649587031")</f>
        <v>1649587031</v>
      </c>
      <c r="E26801" s="1" t="s">
        <v>7963</v>
      </c>
      <c r="F26801" s="2"/>
      <c r="G26801" s="2"/>
      <c r="H26801" s="2"/>
    </row>
    <row r="26802" spans="1:8" x14ac:dyDescent="0.25">
      <c r="A26802" s="1"/>
      <c r="B26802" s="1" t="s">
        <v>7328</v>
      </c>
      <c r="C26802" s="1" t="s">
        <v>7329</v>
      </c>
      <c r="D26802" s="22" t="str">
        <f>HYPERLINK("https://rhld.insurance.arkansas.gov/NPILookup?Npi=1649590886","1649590886")</f>
        <v>1649590886</v>
      </c>
      <c r="E26802" s="1" t="s">
        <v>27979</v>
      </c>
      <c r="F26802" s="2"/>
      <c r="G26802" s="2"/>
      <c r="H26802" s="2"/>
    </row>
    <row r="26803" spans="1:8" x14ac:dyDescent="0.25">
      <c r="A26803" s="1"/>
      <c r="B26803" s="1" t="s">
        <v>7328</v>
      </c>
      <c r="C26803" s="1" t="s">
        <v>7329</v>
      </c>
      <c r="D26803" s="22" t="str">
        <f>HYPERLINK("https://rhld.insurance.arkansas.gov/NPILookup?Npi=1649594219","1649594219")</f>
        <v>1649594219</v>
      </c>
      <c r="E26803" s="1" t="s">
        <v>27980</v>
      </c>
      <c r="F26803" s="2"/>
      <c r="G26803" s="2"/>
      <c r="H26803" s="2"/>
    </row>
    <row r="26804" spans="1:8" x14ac:dyDescent="0.25">
      <c r="A26804" s="1"/>
      <c r="B26804" s="1" t="s">
        <v>7328</v>
      </c>
      <c r="C26804" s="1" t="s">
        <v>7329</v>
      </c>
      <c r="D26804" s="22" t="str">
        <f>HYPERLINK("https://rhld.insurance.arkansas.gov/NPILookup?Npi=1649595117","1649595117")</f>
        <v>1649595117</v>
      </c>
      <c r="E26804" s="1" t="s">
        <v>7964</v>
      </c>
      <c r="F26804" s="2"/>
      <c r="G26804" s="2"/>
      <c r="H26804" s="2"/>
    </row>
    <row r="26805" spans="1:8" x14ac:dyDescent="0.25">
      <c r="A26805" s="1"/>
      <c r="B26805" s="1" t="s">
        <v>7328</v>
      </c>
      <c r="C26805" s="1" t="s">
        <v>7329</v>
      </c>
      <c r="D26805" s="22" t="str">
        <f>HYPERLINK("https://rhld.insurance.arkansas.gov/NPILookup?Npi=1649599978","1649599978")</f>
        <v>1649599978</v>
      </c>
      <c r="E26805" s="1" t="s">
        <v>7965</v>
      </c>
      <c r="F26805" s="2"/>
      <c r="G26805" s="2"/>
      <c r="H26805" s="2"/>
    </row>
    <row r="26806" spans="1:8" x14ac:dyDescent="0.25">
      <c r="A26806" s="1"/>
      <c r="B26806" s="1" t="s">
        <v>7328</v>
      </c>
      <c r="C26806" s="1" t="s">
        <v>7329</v>
      </c>
      <c r="D26806" s="22" t="str">
        <f>HYPERLINK("https://rhld.insurance.arkansas.gov/NPILookup?Npi=1649604141","1649604141")</f>
        <v>1649604141</v>
      </c>
      <c r="E26806" s="1" t="s">
        <v>27981</v>
      </c>
      <c r="F26806" s="2"/>
      <c r="G26806" s="2"/>
      <c r="H26806" s="2"/>
    </row>
    <row r="26807" spans="1:8" x14ac:dyDescent="0.25">
      <c r="A26807" s="1"/>
      <c r="B26807" s="1" t="s">
        <v>7328</v>
      </c>
      <c r="C26807" s="1" t="s">
        <v>7329</v>
      </c>
      <c r="D26807" s="22" t="str">
        <f>HYPERLINK("https://rhld.insurance.arkansas.gov/NPILookup?Npi=1649606260","1649606260")</f>
        <v>1649606260</v>
      </c>
      <c r="E26807" s="1" t="s">
        <v>27982</v>
      </c>
      <c r="F26807" s="2"/>
      <c r="G26807" s="2"/>
      <c r="H26807" s="2"/>
    </row>
    <row r="26808" spans="1:8" x14ac:dyDescent="0.25">
      <c r="A26808" s="1"/>
      <c r="B26808" s="1" t="s">
        <v>7328</v>
      </c>
      <c r="C26808" s="1" t="s">
        <v>7329</v>
      </c>
      <c r="D26808" s="22" t="str">
        <f>HYPERLINK("https://rhld.insurance.arkansas.gov/NPILookup?Npi=1649614462","1649614462")</f>
        <v>1649614462</v>
      </c>
      <c r="E26808" s="1" t="s">
        <v>27983</v>
      </c>
      <c r="F26808" s="2"/>
      <c r="G26808" s="2"/>
      <c r="H26808" s="2"/>
    </row>
    <row r="26809" spans="1:8" x14ac:dyDescent="0.25">
      <c r="A26809" s="1"/>
      <c r="B26809" s="1" t="s">
        <v>7328</v>
      </c>
      <c r="C26809" s="1" t="s">
        <v>7329</v>
      </c>
      <c r="D26809" s="22" t="str">
        <f>HYPERLINK("https://rhld.insurance.arkansas.gov/NPILookup?Npi=1649632886","1649632886")</f>
        <v>1649632886</v>
      </c>
      <c r="E26809" s="1" t="s">
        <v>17742</v>
      </c>
      <c r="F26809" s="2"/>
      <c r="G26809" s="2"/>
      <c r="H26809" s="2"/>
    </row>
    <row r="26810" spans="1:8" x14ac:dyDescent="0.25">
      <c r="A26810" s="1"/>
      <c r="B26810" s="1" t="s">
        <v>7328</v>
      </c>
      <c r="C26810" s="1" t="s">
        <v>7329</v>
      </c>
      <c r="D26810" s="22" t="str">
        <f>HYPERLINK("https://rhld.insurance.arkansas.gov/NPILookup?Npi=1649634585","1649634585")</f>
        <v>1649634585</v>
      </c>
      <c r="E26810" s="1" t="s">
        <v>7966</v>
      </c>
      <c r="F26810" s="2"/>
      <c r="G26810" s="2"/>
      <c r="H26810" s="2"/>
    </row>
    <row r="26811" spans="1:8" x14ac:dyDescent="0.25">
      <c r="A26811" s="1"/>
      <c r="B26811" s="1" t="s">
        <v>7328</v>
      </c>
      <c r="C26811" s="1" t="s">
        <v>7329</v>
      </c>
      <c r="D26811" s="22" t="str">
        <f>HYPERLINK("https://rhld.insurance.arkansas.gov/NPILookup?Npi=1649634601","1649634601")</f>
        <v>1649634601</v>
      </c>
      <c r="E26811" s="1" t="s">
        <v>17743</v>
      </c>
      <c r="F26811" s="2"/>
      <c r="G26811" s="2"/>
      <c r="H26811" s="2"/>
    </row>
    <row r="26812" spans="1:8" x14ac:dyDescent="0.25">
      <c r="A26812" s="1"/>
      <c r="B26812" s="1" t="s">
        <v>7328</v>
      </c>
      <c r="C26812" s="1" t="s">
        <v>7329</v>
      </c>
      <c r="D26812" s="22" t="str">
        <f>HYPERLINK("https://rhld.insurance.arkansas.gov/NPILookup?Npi=1649662578","1649662578")</f>
        <v>1649662578</v>
      </c>
      <c r="E26812" s="1" t="s">
        <v>449</v>
      </c>
      <c r="F26812" s="2"/>
      <c r="G26812" s="2"/>
      <c r="H26812" s="2"/>
    </row>
    <row r="26813" spans="1:8" x14ac:dyDescent="0.25">
      <c r="A26813" s="1"/>
      <c r="B26813" s="1" t="s">
        <v>7328</v>
      </c>
      <c r="C26813" s="1" t="s">
        <v>7329</v>
      </c>
      <c r="D26813" s="22" t="str">
        <f>HYPERLINK("https://rhld.insurance.arkansas.gov/NPILookup?Npi=1649672031","1649672031")</f>
        <v>1649672031</v>
      </c>
      <c r="E26813" s="1" t="s">
        <v>27984</v>
      </c>
      <c r="F26813" s="2"/>
      <c r="G26813" s="2"/>
      <c r="H26813" s="2"/>
    </row>
    <row r="26814" spans="1:8" x14ac:dyDescent="0.25">
      <c r="A26814" s="1"/>
      <c r="B26814" s="1" t="s">
        <v>7328</v>
      </c>
      <c r="C26814" s="1" t="s">
        <v>7329</v>
      </c>
      <c r="D26814" s="22" t="str">
        <f>HYPERLINK("https://rhld.insurance.arkansas.gov/NPILookup?Npi=1649681404","1649681404")</f>
        <v>1649681404</v>
      </c>
      <c r="E26814" s="1" t="s">
        <v>27985</v>
      </c>
      <c r="F26814" s="2"/>
      <c r="G26814" s="2"/>
      <c r="H26814" s="2"/>
    </row>
    <row r="26815" spans="1:8" x14ac:dyDescent="0.25">
      <c r="A26815" s="1"/>
      <c r="B26815" s="1" t="s">
        <v>7328</v>
      </c>
      <c r="C26815" s="1" t="s">
        <v>7329</v>
      </c>
      <c r="D26815" s="22" t="str">
        <f>HYPERLINK("https://rhld.insurance.arkansas.gov/NPILookup?Npi=1649686148","1649686148")</f>
        <v>1649686148</v>
      </c>
      <c r="E26815" s="1" t="s">
        <v>8811</v>
      </c>
      <c r="F26815" s="2"/>
      <c r="G26815" s="2"/>
      <c r="H26815" s="2"/>
    </row>
    <row r="26816" spans="1:8" x14ac:dyDescent="0.25">
      <c r="A26816" s="1"/>
      <c r="B26816" s="1" t="s">
        <v>7328</v>
      </c>
      <c r="C26816" s="1" t="s">
        <v>7329</v>
      </c>
      <c r="D26816" s="22" t="str">
        <f>HYPERLINK("https://rhld.insurance.arkansas.gov/NPILookup?Npi=1649688987","1649688987")</f>
        <v>1649688987</v>
      </c>
      <c r="E26816" s="1" t="s">
        <v>27986</v>
      </c>
      <c r="F26816" s="2"/>
      <c r="G26816" s="2"/>
      <c r="H26816" s="2"/>
    </row>
    <row r="26817" spans="1:8" x14ac:dyDescent="0.25">
      <c r="A26817" s="1"/>
      <c r="B26817" s="1" t="s">
        <v>7328</v>
      </c>
      <c r="C26817" s="1" t="s">
        <v>7329</v>
      </c>
      <c r="D26817" s="22" t="str">
        <f>HYPERLINK("https://rhld.insurance.arkansas.gov/NPILookup?Npi=1649694183","1649694183")</f>
        <v>1649694183</v>
      </c>
      <c r="E26817" s="1" t="s">
        <v>27987</v>
      </c>
      <c r="F26817" s="2"/>
      <c r="G26817" s="2"/>
      <c r="H26817" s="2"/>
    </row>
    <row r="26818" spans="1:8" x14ac:dyDescent="0.25">
      <c r="A26818" s="1"/>
      <c r="B26818" s="1" t="s">
        <v>7328</v>
      </c>
      <c r="C26818" s="1" t="s">
        <v>7329</v>
      </c>
      <c r="D26818" s="22" t="str">
        <f>HYPERLINK("https://rhld.insurance.arkansas.gov/NPILookup?Npi=1649695867","1649695867")</f>
        <v>1649695867</v>
      </c>
      <c r="E26818" s="1" t="s">
        <v>13394</v>
      </c>
      <c r="F26818" s="2"/>
      <c r="G26818" s="2"/>
      <c r="H26818" s="2"/>
    </row>
    <row r="26819" spans="1:8" x14ac:dyDescent="0.25">
      <c r="A26819" s="1"/>
      <c r="B26819" s="1" t="s">
        <v>7328</v>
      </c>
      <c r="C26819" s="1" t="s">
        <v>7329</v>
      </c>
      <c r="D26819" s="22" t="str">
        <f>HYPERLINK("https://rhld.insurance.arkansas.gov/NPILookup?Npi=1649697376","1649697376")</f>
        <v>1649697376</v>
      </c>
      <c r="E26819" s="1" t="s">
        <v>13395</v>
      </c>
      <c r="F26819" s="2"/>
      <c r="G26819" s="2"/>
      <c r="H26819" s="2"/>
    </row>
    <row r="26820" spans="1:8" x14ac:dyDescent="0.25">
      <c r="A26820" s="1"/>
      <c r="B26820" s="1" t="s">
        <v>7328</v>
      </c>
      <c r="C26820" s="1" t="s">
        <v>7329</v>
      </c>
      <c r="D26820" s="22" t="str">
        <f>HYPERLINK("https://rhld.insurance.arkansas.gov/NPILookup?Npi=1649700063","1649700063")</f>
        <v>1649700063</v>
      </c>
      <c r="E26820" s="1" t="s">
        <v>22862</v>
      </c>
      <c r="F26820" s="2"/>
      <c r="G26820" s="2"/>
      <c r="H26820" s="2"/>
    </row>
    <row r="26821" spans="1:8" x14ac:dyDescent="0.25">
      <c r="A26821" s="1"/>
      <c r="B26821" s="1" t="s">
        <v>7328</v>
      </c>
      <c r="C26821" s="1" t="s">
        <v>7329</v>
      </c>
      <c r="D26821" s="22" t="str">
        <f>HYPERLINK("https://rhld.insurance.arkansas.gov/NPILookup?Npi=1649700337","1649700337")</f>
        <v>1649700337</v>
      </c>
      <c r="E26821" s="1" t="s">
        <v>10397</v>
      </c>
      <c r="F26821" s="2"/>
      <c r="G26821" s="2"/>
      <c r="H26821" s="2"/>
    </row>
    <row r="26822" spans="1:8" x14ac:dyDescent="0.25">
      <c r="A26822" s="1"/>
      <c r="B26822" s="1" t="s">
        <v>7328</v>
      </c>
      <c r="C26822" s="1" t="s">
        <v>7329</v>
      </c>
      <c r="D26822" s="22" t="str">
        <f>HYPERLINK("https://rhld.insurance.arkansas.gov/NPILookup?Npi=1649702226","1649702226")</f>
        <v>1649702226</v>
      </c>
      <c r="E26822" s="1" t="s">
        <v>27988</v>
      </c>
      <c r="F26822" s="2"/>
      <c r="G26822" s="2"/>
      <c r="H26822" s="2"/>
    </row>
    <row r="26823" spans="1:8" x14ac:dyDescent="0.25">
      <c r="A26823" s="1"/>
      <c r="B26823" s="1" t="s">
        <v>7328</v>
      </c>
      <c r="C26823" s="1" t="s">
        <v>7329</v>
      </c>
      <c r="D26823" s="22" t="str">
        <f>HYPERLINK("https://rhld.insurance.arkansas.gov/NPILookup?Npi=1649711508","1649711508")</f>
        <v>1649711508</v>
      </c>
      <c r="E26823" s="1" t="s">
        <v>27989</v>
      </c>
      <c r="F26823" s="2"/>
      <c r="G26823" s="2"/>
      <c r="H26823" s="2"/>
    </row>
    <row r="26824" spans="1:8" x14ac:dyDescent="0.25">
      <c r="A26824" s="1"/>
      <c r="B26824" s="1" t="s">
        <v>7328</v>
      </c>
      <c r="C26824" s="1" t="s">
        <v>7329</v>
      </c>
      <c r="D26824" s="22" t="str">
        <f>HYPERLINK("https://rhld.insurance.arkansas.gov/NPILookup?Npi=1649719923","1649719923")</f>
        <v>1649719923</v>
      </c>
      <c r="E26824" s="1" t="s">
        <v>877</v>
      </c>
      <c r="F26824" s="2"/>
      <c r="G26824" s="2"/>
      <c r="H26824" s="2"/>
    </row>
    <row r="26825" spans="1:8" x14ac:dyDescent="0.25">
      <c r="A26825" s="1"/>
      <c r="B26825" s="1" t="s">
        <v>7328</v>
      </c>
      <c r="C26825" s="1" t="s">
        <v>7329</v>
      </c>
      <c r="D26825" s="22" t="str">
        <f>HYPERLINK("https://rhld.insurance.arkansas.gov/NPILookup?Npi=1649720095","1649720095")</f>
        <v>1649720095</v>
      </c>
      <c r="E26825" s="1" t="s">
        <v>878</v>
      </c>
      <c r="F26825" s="2"/>
      <c r="G26825" s="2"/>
      <c r="H26825" s="2"/>
    </row>
    <row r="26826" spans="1:8" x14ac:dyDescent="0.25">
      <c r="A26826" s="1"/>
      <c r="B26826" s="1" t="s">
        <v>7328</v>
      </c>
      <c r="C26826" s="1" t="s">
        <v>7329</v>
      </c>
      <c r="D26826" s="22" t="str">
        <f>HYPERLINK("https://rhld.insurance.arkansas.gov/NPILookup?Npi=1649726845","1649726845")</f>
        <v>1649726845</v>
      </c>
      <c r="E26826" s="1" t="s">
        <v>27990</v>
      </c>
      <c r="F26826" s="2"/>
      <c r="G26826" s="2"/>
      <c r="H26826" s="2"/>
    </row>
    <row r="26827" spans="1:8" x14ac:dyDescent="0.25">
      <c r="A26827" s="1"/>
      <c r="B26827" s="1" t="s">
        <v>7328</v>
      </c>
      <c r="C26827" s="1" t="s">
        <v>7329</v>
      </c>
      <c r="D26827" s="22" t="str">
        <f>HYPERLINK("https://rhld.insurance.arkansas.gov/NPILookup?Npi=1649733478","1649733478")</f>
        <v>1649733478</v>
      </c>
      <c r="E26827" s="1" t="s">
        <v>10398</v>
      </c>
      <c r="F26827" s="2"/>
      <c r="G26827" s="2"/>
      <c r="H26827" s="2"/>
    </row>
    <row r="26828" spans="1:8" x14ac:dyDescent="0.25">
      <c r="A26828" s="1"/>
      <c r="B26828" s="1" t="s">
        <v>7328</v>
      </c>
      <c r="C26828" s="1" t="s">
        <v>7329</v>
      </c>
      <c r="D26828" s="22" t="str">
        <f>HYPERLINK("https://rhld.insurance.arkansas.gov/NPILookup?Npi=1649733502","1649733502")</f>
        <v>1649733502</v>
      </c>
      <c r="E26828" s="1" t="s">
        <v>27991</v>
      </c>
      <c r="F26828" s="2"/>
      <c r="G26828" s="2"/>
      <c r="H26828" s="2"/>
    </row>
    <row r="26829" spans="1:8" x14ac:dyDescent="0.25">
      <c r="A26829" s="1"/>
      <c r="B26829" s="1" t="s">
        <v>7328</v>
      </c>
      <c r="C26829" s="1" t="s">
        <v>7329</v>
      </c>
      <c r="D26829" s="22" t="str">
        <f>HYPERLINK("https://rhld.insurance.arkansas.gov/NPILookup?Npi=1649733817","1649733817")</f>
        <v>1649733817</v>
      </c>
      <c r="E26829" s="1" t="s">
        <v>13396</v>
      </c>
      <c r="F26829" s="2"/>
      <c r="G26829" s="2"/>
      <c r="H26829" s="2"/>
    </row>
    <row r="26830" spans="1:8" x14ac:dyDescent="0.25">
      <c r="A26830" s="1"/>
      <c r="B26830" s="1" t="s">
        <v>7328</v>
      </c>
      <c r="C26830" s="1" t="s">
        <v>7329</v>
      </c>
      <c r="D26830" s="22" t="str">
        <f>HYPERLINK("https://rhld.insurance.arkansas.gov/NPILookup?Npi=1649737719","1649737719")</f>
        <v>1649737719</v>
      </c>
      <c r="E26830" s="1" t="s">
        <v>27992</v>
      </c>
      <c r="F26830" s="2"/>
      <c r="G26830" s="2"/>
      <c r="H26830" s="2"/>
    </row>
    <row r="26831" spans="1:8" x14ac:dyDescent="0.25">
      <c r="A26831" s="1"/>
      <c r="B26831" s="1" t="s">
        <v>7328</v>
      </c>
      <c r="C26831" s="1" t="s">
        <v>7329</v>
      </c>
      <c r="D26831" s="22" t="str">
        <f>HYPERLINK("https://rhld.insurance.arkansas.gov/NPILookup?Npi=1649744244","1649744244")</f>
        <v>1649744244</v>
      </c>
      <c r="E26831" s="1" t="s">
        <v>27993</v>
      </c>
      <c r="F26831" s="2"/>
      <c r="G26831" s="2"/>
      <c r="H26831" s="2"/>
    </row>
    <row r="26832" spans="1:8" x14ac:dyDescent="0.25">
      <c r="A26832" s="1"/>
      <c r="B26832" s="1" t="s">
        <v>7328</v>
      </c>
      <c r="C26832" s="1" t="s">
        <v>7329</v>
      </c>
      <c r="D26832" s="22" t="str">
        <f>HYPERLINK("https://rhld.insurance.arkansas.gov/NPILookup?Npi=1649755133","1649755133")</f>
        <v>1649755133</v>
      </c>
      <c r="E26832" s="1" t="s">
        <v>27994</v>
      </c>
      <c r="F26832" s="2"/>
      <c r="G26832" s="2"/>
      <c r="H26832" s="2"/>
    </row>
    <row r="26833" spans="1:8" x14ac:dyDescent="0.25">
      <c r="A26833" s="1"/>
      <c r="B26833" s="1" t="s">
        <v>7328</v>
      </c>
      <c r="C26833" s="1" t="s">
        <v>7329</v>
      </c>
      <c r="D26833" s="22" t="str">
        <f>HYPERLINK("https://rhld.insurance.arkansas.gov/NPILookup?Npi=1649756198","1649756198")</f>
        <v>1649756198</v>
      </c>
      <c r="E26833" s="1" t="s">
        <v>27995</v>
      </c>
      <c r="F26833" s="2"/>
      <c r="G26833" s="2"/>
      <c r="H26833" s="2"/>
    </row>
    <row r="26834" spans="1:8" x14ac:dyDescent="0.25">
      <c r="A26834" s="1"/>
      <c r="B26834" s="1" t="s">
        <v>7328</v>
      </c>
      <c r="C26834" s="1" t="s">
        <v>7329</v>
      </c>
      <c r="D26834" s="22" t="str">
        <f>HYPERLINK("https://rhld.insurance.arkansas.gov/NPILookup?Npi=1649756586","1649756586")</f>
        <v>1649756586</v>
      </c>
      <c r="E26834" s="1" t="s">
        <v>27996</v>
      </c>
      <c r="F26834" s="2"/>
      <c r="G26834" s="2"/>
      <c r="H26834" s="2"/>
    </row>
    <row r="26835" spans="1:8" x14ac:dyDescent="0.25">
      <c r="A26835" s="1"/>
      <c r="B26835" s="1" t="s">
        <v>7328</v>
      </c>
      <c r="C26835" s="1" t="s">
        <v>7329</v>
      </c>
      <c r="D26835" s="22" t="str">
        <f>HYPERLINK("https://rhld.insurance.arkansas.gov/NPILookup?Npi=1649761917","1649761917")</f>
        <v>1649761917</v>
      </c>
      <c r="E26835" s="1" t="s">
        <v>27997</v>
      </c>
      <c r="F26835" s="2"/>
      <c r="G26835" s="2"/>
      <c r="H26835" s="2"/>
    </row>
    <row r="26836" spans="1:8" x14ac:dyDescent="0.25">
      <c r="A26836" s="1"/>
      <c r="B26836" s="1" t="s">
        <v>7328</v>
      </c>
      <c r="C26836" s="1" t="s">
        <v>7329</v>
      </c>
      <c r="D26836" s="22" t="str">
        <f>HYPERLINK("https://rhld.insurance.arkansas.gov/NPILookup?Npi=1649776659","1649776659")</f>
        <v>1649776659</v>
      </c>
      <c r="E26836" s="1" t="s">
        <v>27998</v>
      </c>
      <c r="F26836" s="2"/>
      <c r="G26836" s="2"/>
      <c r="H26836" s="2"/>
    </row>
    <row r="26837" spans="1:8" x14ac:dyDescent="0.25">
      <c r="A26837" s="1"/>
      <c r="B26837" s="1" t="s">
        <v>7328</v>
      </c>
      <c r="C26837" s="1" t="s">
        <v>7329</v>
      </c>
      <c r="D26837" s="22" t="str">
        <f>HYPERLINK("https://rhld.insurance.arkansas.gov/NPILookup?Npi=1649780404","1649780404")</f>
        <v>1649780404</v>
      </c>
      <c r="E26837" s="1" t="s">
        <v>2949</v>
      </c>
      <c r="F26837" s="2"/>
      <c r="G26837" s="2"/>
      <c r="H26837" s="2"/>
    </row>
    <row r="26838" spans="1:8" x14ac:dyDescent="0.25">
      <c r="A26838" s="1"/>
      <c r="B26838" s="1" t="s">
        <v>7328</v>
      </c>
      <c r="C26838" s="1" t="s">
        <v>7329</v>
      </c>
      <c r="D26838" s="22" t="str">
        <f>HYPERLINK("https://rhld.insurance.arkansas.gov/NPILookup?Npi=1649799214","1649799214")</f>
        <v>1649799214</v>
      </c>
      <c r="E26838" s="1" t="s">
        <v>27999</v>
      </c>
      <c r="F26838" s="2"/>
      <c r="G26838" s="2"/>
      <c r="H26838" s="2"/>
    </row>
    <row r="26839" spans="1:8" x14ac:dyDescent="0.25">
      <c r="A26839" s="1"/>
      <c r="B26839" s="1" t="s">
        <v>7328</v>
      </c>
      <c r="C26839" s="1" t="s">
        <v>7329</v>
      </c>
      <c r="D26839" s="22" t="str">
        <f>HYPERLINK("https://rhld.insurance.arkansas.gov/NPILookup?Npi=1649803552","1649803552")</f>
        <v>1649803552</v>
      </c>
      <c r="E26839" s="1" t="s">
        <v>3153</v>
      </c>
      <c r="F26839" s="2"/>
      <c r="G26839" s="2"/>
      <c r="H26839" s="2"/>
    </row>
    <row r="26840" spans="1:8" x14ac:dyDescent="0.25">
      <c r="A26840" s="1"/>
      <c r="B26840" s="1" t="s">
        <v>7328</v>
      </c>
      <c r="C26840" s="1" t="s">
        <v>7329</v>
      </c>
      <c r="D26840" s="22" t="str">
        <f>HYPERLINK("https://rhld.insurance.arkansas.gov/NPILookup?Npi=1649806613","1649806613")</f>
        <v>1649806613</v>
      </c>
      <c r="E26840" s="1" t="s">
        <v>28000</v>
      </c>
      <c r="F26840" s="2"/>
      <c r="G26840" s="2"/>
      <c r="H26840" s="2"/>
    </row>
    <row r="26841" spans="1:8" x14ac:dyDescent="0.25">
      <c r="A26841" s="1"/>
      <c r="B26841" s="1" t="s">
        <v>7328</v>
      </c>
      <c r="C26841" s="1" t="s">
        <v>7329</v>
      </c>
      <c r="D26841" s="22" t="str">
        <f>HYPERLINK("https://rhld.insurance.arkansas.gov/NPILookup?Npi=1649811415","1649811415")</f>
        <v>1649811415</v>
      </c>
      <c r="E26841" s="1" t="s">
        <v>28001</v>
      </c>
      <c r="F26841" s="2"/>
      <c r="G26841" s="2"/>
      <c r="H26841" s="2"/>
    </row>
    <row r="26842" spans="1:8" x14ac:dyDescent="0.25">
      <c r="A26842" s="1"/>
      <c r="B26842" s="1" t="s">
        <v>7328</v>
      </c>
      <c r="C26842" s="1" t="s">
        <v>7329</v>
      </c>
      <c r="D26842" s="22" t="str">
        <f>HYPERLINK("https://rhld.insurance.arkansas.gov/NPILookup?Npi=1649816794","1649816794")</f>
        <v>1649816794</v>
      </c>
      <c r="E26842" s="1" t="s">
        <v>28002</v>
      </c>
      <c r="F26842" s="2"/>
      <c r="G26842" s="2"/>
      <c r="H26842" s="2"/>
    </row>
    <row r="26843" spans="1:8" x14ac:dyDescent="0.25">
      <c r="A26843" s="1"/>
      <c r="B26843" s="1" t="s">
        <v>7328</v>
      </c>
      <c r="C26843" s="1" t="s">
        <v>7329</v>
      </c>
      <c r="D26843" s="22" t="str">
        <f>HYPERLINK("https://rhld.insurance.arkansas.gov/NPILookup?Npi=1649821448","1649821448")</f>
        <v>1649821448</v>
      </c>
      <c r="E26843" s="1" t="s">
        <v>1800</v>
      </c>
      <c r="F26843" s="2"/>
      <c r="G26843" s="2"/>
      <c r="H26843" s="2"/>
    </row>
    <row r="26844" spans="1:8" x14ac:dyDescent="0.25">
      <c r="A26844" s="1"/>
      <c r="B26844" s="1" t="s">
        <v>7328</v>
      </c>
      <c r="C26844" s="1" t="s">
        <v>7329</v>
      </c>
      <c r="D26844" s="22" t="str">
        <f>HYPERLINK("https://rhld.insurance.arkansas.gov/NPILookup?Npi=1649831041","1649831041")</f>
        <v>1649831041</v>
      </c>
      <c r="E26844" s="1" t="s">
        <v>13397</v>
      </c>
      <c r="F26844" s="2"/>
      <c r="G26844" s="2"/>
      <c r="H26844" s="2"/>
    </row>
    <row r="26845" spans="1:8" x14ac:dyDescent="0.25">
      <c r="A26845" s="1"/>
      <c r="B26845" s="1" t="s">
        <v>7328</v>
      </c>
      <c r="C26845" s="1" t="s">
        <v>7329</v>
      </c>
      <c r="D26845" s="22" t="str">
        <f>HYPERLINK("https://rhld.insurance.arkansas.gov/NPILookup?Npi=1649840489","1649840489")</f>
        <v>1649840489</v>
      </c>
      <c r="E26845" s="1" t="s">
        <v>28003</v>
      </c>
      <c r="F26845" s="2"/>
      <c r="G26845" s="2"/>
      <c r="H26845" s="2"/>
    </row>
    <row r="26846" spans="1:8" x14ac:dyDescent="0.25">
      <c r="A26846" s="1"/>
      <c r="B26846" s="1" t="s">
        <v>7328</v>
      </c>
      <c r="C26846" s="1" t="s">
        <v>7329</v>
      </c>
      <c r="D26846" s="22" t="str">
        <f>HYPERLINK("https://rhld.insurance.arkansas.gov/NPILookup?Npi=1649841909","1649841909")</f>
        <v>1649841909</v>
      </c>
      <c r="E26846" s="1" t="s">
        <v>28004</v>
      </c>
      <c r="F26846" s="2"/>
      <c r="G26846" s="2"/>
      <c r="H26846" s="2"/>
    </row>
    <row r="26847" spans="1:8" x14ac:dyDescent="0.25">
      <c r="A26847" s="1"/>
      <c r="B26847" s="1" t="s">
        <v>7328</v>
      </c>
      <c r="C26847" s="1" t="s">
        <v>7329</v>
      </c>
      <c r="D26847" s="22" t="str">
        <f>HYPERLINK("https://rhld.insurance.arkansas.gov/NPILookup?Npi=1649844820","1649844820")</f>
        <v>1649844820</v>
      </c>
      <c r="E26847" s="1" t="s">
        <v>28005</v>
      </c>
      <c r="F26847" s="2"/>
      <c r="G26847" s="2"/>
      <c r="H26847" s="2"/>
    </row>
    <row r="26848" spans="1:8" x14ac:dyDescent="0.25">
      <c r="A26848" s="1"/>
      <c r="B26848" s="1" t="s">
        <v>7328</v>
      </c>
      <c r="C26848" s="1" t="s">
        <v>7329</v>
      </c>
      <c r="D26848" s="22" t="str">
        <f>HYPERLINK("https://rhld.insurance.arkansas.gov/NPILookup?Npi=1649851056","1649851056")</f>
        <v>1649851056</v>
      </c>
      <c r="E26848" s="1" t="s">
        <v>32316</v>
      </c>
      <c r="F26848" s="2"/>
      <c r="G26848" s="2"/>
      <c r="H26848" s="2"/>
    </row>
    <row r="26849" spans="1:8" x14ac:dyDescent="0.25">
      <c r="A26849" s="1"/>
      <c r="B26849" s="1" t="s">
        <v>7328</v>
      </c>
      <c r="C26849" s="1" t="s">
        <v>7329</v>
      </c>
      <c r="D26849" s="22" t="str">
        <f>HYPERLINK("https://rhld.insurance.arkansas.gov/NPILookup?Npi=1649856568","1649856568")</f>
        <v>1649856568</v>
      </c>
      <c r="E26849" s="1" t="s">
        <v>13398</v>
      </c>
      <c r="F26849" s="2"/>
      <c r="G26849" s="2"/>
      <c r="H26849" s="2"/>
    </row>
    <row r="26850" spans="1:8" x14ac:dyDescent="0.25">
      <c r="A26850" s="1"/>
      <c r="B26850" s="1" t="s">
        <v>7328</v>
      </c>
      <c r="C26850" s="1" t="s">
        <v>7329</v>
      </c>
      <c r="D26850" s="22" t="str">
        <f>HYPERLINK("https://rhld.insurance.arkansas.gov/NPILookup?Npi=1649874736","1649874736")</f>
        <v>1649874736</v>
      </c>
      <c r="E26850" s="1" t="s">
        <v>2950</v>
      </c>
      <c r="F26850" s="2"/>
      <c r="G26850" s="2"/>
      <c r="H26850" s="2"/>
    </row>
    <row r="26851" spans="1:8" x14ac:dyDescent="0.25">
      <c r="A26851" s="1"/>
      <c r="B26851" s="1" t="s">
        <v>7328</v>
      </c>
      <c r="C26851" s="1" t="s">
        <v>7329</v>
      </c>
      <c r="D26851" s="22" t="str">
        <f>HYPERLINK("https://rhld.insurance.arkansas.gov/NPILookup?Npi=1649885252","1649885252")</f>
        <v>1649885252</v>
      </c>
      <c r="E26851" s="1" t="s">
        <v>28006</v>
      </c>
      <c r="F26851" s="2"/>
      <c r="G26851" s="2"/>
      <c r="H26851" s="2"/>
    </row>
    <row r="26852" spans="1:8" x14ac:dyDescent="0.25">
      <c r="A26852" s="1"/>
      <c r="B26852" s="1" t="s">
        <v>7328</v>
      </c>
      <c r="C26852" s="1" t="s">
        <v>7329</v>
      </c>
      <c r="D26852" s="22" t="str">
        <f>HYPERLINK("https://rhld.insurance.arkansas.gov/NPILookup?Npi=1649885443","1649885443")</f>
        <v>1649885443</v>
      </c>
      <c r="E26852" s="1" t="s">
        <v>28007</v>
      </c>
      <c r="F26852" s="2"/>
      <c r="G26852" s="2"/>
      <c r="H26852" s="2"/>
    </row>
    <row r="26853" spans="1:8" x14ac:dyDescent="0.25">
      <c r="A26853" s="1"/>
      <c r="B26853" s="1" t="s">
        <v>7328</v>
      </c>
      <c r="C26853" s="1" t="s">
        <v>7329</v>
      </c>
      <c r="D26853" s="22" t="str">
        <f>HYPERLINK("https://rhld.insurance.arkansas.gov/NPILookup?Npi=1649888413","1649888413")</f>
        <v>1649888413</v>
      </c>
      <c r="E26853" s="1" t="s">
        <v>13399</v>
      </c>
      <c r="F26853" s="2"/>
      <c r="G26853" s="2"/>
      <c r="H26853" s="2"/>
    </row>
    <row r="26854" spans="1:8" x14ac:dyDescent="0.25">
      <c r="A26854" s="1"/>
      <c r="B26854" s="1" t="s">
        <v>7328</v>
      </c>
      <c r="C26854" s="1" t="s">
        <v>7329</v>
      </c>
      <c r="D26854" s="22" t="str">
        <f>HYPERLINK("https://rhld.insurance.arkansas.gov/NPILookup?Npi=1649896580","1649896580")</f>
        <v>1649896580</v>
      </c>
      <c r="E26854" s="1" t="s">
        <v>28008</v>
      </c>
      <c r="F26854" s="2"/>
      <c r="G26854" s="2"/>
      <c r="H26854" s="2"/>
    </row>
    <row r="26855" spans="1:8" x14ac:dyDescent="0.25">
      <c r="A26855" s="1"/>
      <c r="B26855" s="1" t="s">
        <v>7328</v>
      </c>
      <c r="C26855" s="1" t="s">
        <v>7329</v>
      </c>
      <c r="D26855" s="22" t="str">
        <f>HYPERLINK("https://rhld.insurance.arkansas.gov/NPILookup?Npi=1649912759","1649912759")</f>
        <v>1649912759</v>
      </c>
      <c r="E26855" s="1" t="s">
        <v>17746</v>
      </c>
      <c r="F26855" s="2"/>
      <c r="G26855" s="2"/>
      <c r="H26855" s="2"/>
    </row>
    <row r="26856" spans="1:8" x14ac:dyDescent="0.25">
      <c r="A26856" s="1"/>
      <c r="B26856" s="1" t="s">
        <v>7328</v>
      </c>
      <c r="C26856" s="1" t="s">
        <v>7329</v>
      </c>
      <c r="D26856" s="22" t="str">
        <f>HYPERLINK("https://rhld.insurance.arkansas.gov/NPILookup?Npi=1649918343","1649918343")</f>
        <v>1649918343</v>
      </c>
      <c r="E26856" s="1" t="s">
        <v>28009</v>
      </c>
      <c r="F26856" s="2"/>
      <c r="G26856" s="2"/>
      <c r="H26856" s="2"/>
    </row>
    <row r="26857" spans="1:8" x14ac:dyDescent="0.25">
      <c r="A26857" s="1"/>
      <c r="B26857" s="1" t="s">
        <v>7328</v>
      </c>
      <c r="C26857" s="1" t="s">
        <v>7329</v>
      </c>
      <c r="D26857" s="22" t="str">
        <f>HYPERLINK("https://rhld.insurance.arkansas.gov/NPILookup?Npi=1649919457","1649919457")</f>
        <v>1649919457</v>
      </c>
      <c r="E26857" s="1" t="s">
        <v>13400</v>
      </c>
      <c r="F26857" s="2"/>
      <c r="G26857" s="2"/>
      <c r="H26857" s="2"/>
    </row>
    <row r="26858" spans="1:8" x14ac:dyDescent="0.25">
      <c r="A26858" s="1"/>
      <c r="B26858" s="1" t="s">
        <v>7328</v>
      </c>
      <c r="C26858" s="1" t="s">
        <v>7329</v>
      </c>
      <c r="D26858" s="22" t="str">
        <f>HYPERLINK("https://rhld.insurance.arkansas.gov/NPILookup?Npi=1649933417","1649933417")</f>
        <v>1649933417</v>
      </c>
      <c r="E26858" s="1" t="s">
        <v>28010</v>
      </c>
      <c r="F26858" s="2"/>
      <c r="G26858" s="2"/>
      <c r="H26858" s="2"/>
    </row>
    <row r="26859" spans="1:8" x14ac:dyDescent="0.25">
      <c r="A26859" s="1"/>
      <c r="B26859" s="1" t="s">
        <v>7328</v>
      </c>
      <c r="C26859" s="1" t="s">
        <v>7329</v>
      </c>
      <c r="D26859" s="22" t="str">
        <f>HYPERLINK("https://rhld.insurance.arkansas.gov/NPILookup?Npi=1649946120","1649946120")</f>
        <v>1649946120</v>
      </c>
      <c r="E26859" s="1" t="s">
        <v>13401</v>
      </c>
      <c r="F26859" s="2"/>
      <c r="G26859" s="2"/>
      <c r="H26859" s="2"/>
    </row>
    <row r="26860" spans="1:8" x14ac:dyDescent="0.25">
      <c r="A26860" s="1"/>
      <c r="B26860" s="1" t="s">
        <v>7328</v>
      </c>
      <c r="C26860" s="1" t="s">
        <v>7329</v>
      </c>
      <c r="D26860" s="22" t="str">
        <f>HYPERLINK("https://rhld.insurance.arkansas.gov/NPILookup?Npi=1649947276","1649947276")</f>
        <v>1649947276</v>
      </c>
      <c r="E26860" s="1" t="s">
        <v>7967</v>
      </c>
      <c r="F26860" s="2"/>
      <c r="G26860" s="2"/>
      <c r="H26860" s="2"/>
    </row>
    <row r="26861" spans="1:8" x14ac:dyDescent="0.25">
      <c r="A26861" s="1"/>
      <c r="B26861" s="1" t="s">
        <v>7328</v>
      </c>
      <c r="C26861" s="1" t="s">
        <v>7329</v>
      </c>
      <c r="D26861" s="22" t="str">
        <f>HYPERLINK("https://rhld.insurance.arkansas.gov/NPILookup?Npi=1649947318","1649947318")</f>
        <v>1649947318</v>
      </c>
      <c r="E26861" s="1" t="s">
        <v>28011</v>
      </c>
      <c r="F26861" s="2"/>
      <c r="G26861" s="2"/>
      <c r="H26861" s="2"/>
    </row>
    <row r="26862" spans="1:8" x14ac:dyDescent="0.25">
      <c r="A26862" s="1"/>
      <c r="B26862" s="1" t="s">
        <v>7328</v>
      </c>
      <c r="C26862" s="1" t="s">
        <v>7329</v>
      </c>
      <c r="D26862" s="22" t="str">
        <f>HYPERLINK("https://rhld.insurance.arkansas.gov/NPILookup?Npi=1649970997","1649970997")</f>
        <v>1649970997</v>
      </c>
      <c r="E26862" s="1" t="s">
        <v>7968</v>
      </c>
      <c r="F26862" s="2"/>
      <c r="G26862" s="2"/>
      <c r="H26862" s="2"/>
    </row>
    <row r="26863" spans="1:8" x14ac:dyDescent="0.25">
      <c r="A26863" s="1"/>
      <c r="B26863" s="1" t="s">
        <v>7328</v>
      </c>
      <c r="C26863" s="1" t="s">
        <v>7329</v>
      </c>
      <c r="D26863" s="22" t="str">
        <f>HYPERLINK("https://rhld.insurance.arkansas.gov/NPILookup?Npi=1649981127","1649981127")</f>
        <v>1649981127</v>
      </c>
      <c r="E26863" s="1" t="s">
        <v>28012</v>
      </c>
      <c r="F26863" s="2"/>
      <c r="G26863" s="2"/>
      <c r="H26863" s="2"/>
    </row>
    <row r="26864" spans="1:8" x14ac:dyDescent="0.25">
      <c r="A26864" s="1"/>
      <c r="B26864" s="1" t="s">
        <v>7328</v>
      </c>
      <c r="C26864" s="1" t="s">
        <v>7329</v>
      </c>
      <c r="D26864" s="22" t="str">
        <f>HYPERLINK("https://rhld.insurance.arkansas.gov/NPILookup?Npi=1649995861","1649995861")</f>
        <v>1649995861</v>
      </c>
      <c r="E26864" s="1" t="s">
        <v>28013</v>
      </c>
      <c r="F26864" s="2"/>
      <c r="G26864" s="2"/>
      <c r="H26864" s="2"/>
    </row>
    <row r="26865" spans="1:8" x14ac:dyDescent="0.25">
      <c r="A26865" s="1"/>
      <c r="B26865" s="1" t="s">
        <v>7328</v>
      </c>
      <c r="C26865" s="1" t="s">
        <v>7329</v>
      </c>
      <c r="D26865" s="22" t="str">
        <f>HYPERLINK("https://rhld.insurance.arkansas.gov/NPILookup?Npi=1649995978","1649995978")</f>
        <v>1649995978</v>
      </c>
      <c r="E26865" s="1" t="s">
        <v>28014</v>
      </c>
      <c r="F26865" s="2"/>
      <c r="G26865" s="2"/>
      <c r="H26865" s="2"/>
    </row>
    <row r="26866" spans="1:8" x14ac:dyDescent="0.25">
      <c r="A26866" s="1"/>
      <c r="B26866" s="1" t="s">
        <v>7328</v>
      </c>
      <c r="C26866" s="1" t="s">
        <v>7329</v>
      </c>
      <c r="D26866" s="22" t="str">
        <f>HYPERLINK("https://rhld.insurance.arkansas.gov/NPILookup?Npi=1659012425","1659012425")</f>
        <v>1659012425</v>
      </c>
      <c r="E26866" s="1" t="s">
        <v>28015</v>
      </c>
      <c r="F26866" s="2"/>
      <c r="G26866" s="2"/>
      <c r="H26866" s="2"/>
    </row>
    <row r="26867" spans="1:8" x14ac:dyDescent="0.25">
      <c r="A26867" s="1"/>
      <c r="B26867" s="1" t="s">
        <v>7328</v>
      </c>
      <c r="C26867" s="1" t="s">
        <v>7329</v>
      </c>
      <c r="D26867" s="22" t="str">
        <f>HYPERLINK("https://rhld.insurance.arkansas.gov/NPILookup?Npi=1659019453","1659019453")</f>
        <v>1659019453</v>
      </c>
      <c r="E26867" s="1" t="s">
        <v>2396</v>
      </c>
      <c r="F26867" s="2"/>
      <c r="G26867" s="2"/>
      <c r="H26867" s="2"/>
    </row>
    <row r="26868" spans="1:8" x14ac:dyDescent="0.25">
      <c r="A26868" s="1"/>
      <c r="B26868" s="1" t="s">
        <v>7328</v>
      </c>
      <c r="C26868" s="1" t="s">
        <v>7329</v>
      </c>
      <c r="D26868" s="22" t="str">
        <f>HYPERLINK("https://rhld.insurance.arkansas.gov/NPILookup?Npi=1659022135","1659022135")</f>
        <v>1659022135</v>
      </c>
      <c r="E26868" s="1" t="s">
        <v>7969</v>
      </c>
      <c r="F26868" s="2"/>
      <c r="G26868" s="2"/>
      <c r="H26868" s="2"/>
    </row>
    <row r="26869" spans="1:8" x14ac:dyDescent="0.25">
      <c r="A26869" s="1"/>
      <c r="B26869" s="1" t="s">
        <v>7328</v>
      </c>
      <c r="C26869" s="1" t="s">
        <v>7329</v>
      </c>
      <c r="D26869" s="22" t="str">
        <f>HYPERLINK("https://rhld.insurance.arkansas.gov/NPILookup?Npi=1659038800","1659038800")</f>
        <v>1659038800</v>
      </c>
      <c r="E26869" s="1" t="s">
        <v>13402</v>
      </c>
      <c r="F26869" s="2"/>
      <c r="G26869" s="2"/>
      <c r="H26869" s="2"/>
    </row>
    <row r="26870" spans="1:8" x14ac:dyDescent="0.25">
      <c r="A26870" s="1"/>
      <c r="B26870" s="1" t="s">
        <v>7328</v>
      </c>
      <c r="C26870" s="1" t="s">
        <v>7329</v>
      </c>
      <c r="D26870" s="22" t="str">
        <f>HYPERLINK("https://rhld.insurance.arkansas.gov/NPILookup?Npi=1659046399","1659046399")</f>
        <v>1659046399</v>
      </c>
      <c r="E26870" s="1" t="s">
        <v>28016</v>
      </c>
      <c r="F26870" s="2"/>
      <c r="G26870" s="2"/>
      <c r="H26870" s="2"/>
    </row>
    <row r="26871" spans="1:8" x14ac:dyDescent="0.25">
      <c r="A26871" s="1"/>
      <c r="B26871" s="1" t="s">
        <v>7328</v>
      </c>
      <c r="C26871" s="1" t="s">
        <v>7329</v>
      </c>
      <c r="D26871" s="22" t="str">
        <f>HYPERLINK("https://rhld.insurance.arkansas.gov/NPILookup?Npi=1659059798","1659059798")</f>
        <v>1659059798</v>
      </c>
      <c r="E26871" s="1" t="s">
        <v>28017</v>
      </c>
      <c r="F26871" s="2"/>
      <c r="G26871" s="2"/>
      <c r="H26871" s="2"/>
    </row>
    <row r="26872" spans="1:8" x14ac:dyDescent="0.25">
      <c r="A26872" s="1"/>
      <c r="B26872" s="1" t="s">
        <v>7328</v>
      </c>
      <c r="C26872" s="1" t="s">
        <v>7329</v>
      </c>
      <c r="D26872" s="22" t="str">
        <f>HYPERLINK("https://rhld.insurance.arkansas.gov/NPILookup?Npi=1659086502","1659086502")</f>
        <v>1659086502</v>
      </c>
      <c r="E26872" s="1" t="s">
        <v>6063</v>
      </c>
      <c r="F26872" s="2"/>
      <c r="G26872" s="2"/>
      <c r="H26872" s="2"/>
    </row>
    <row r="26873" spans="1:8" x14ac:dyDescent="0.25">
      <c r="A26873" s="1"/>
      <c r="B26873" s="1" t="s">
        <v>7328</v>
      </c>
      <c r="C26873" s="1" t="s">
        <v>7329</v>
      </c>
      <c r="D26873" s="22" t="str">
        <f>HYPERLINK("https://rhld.insurance.arkansas.gov/NPILookup?Npi=1659092922","1659092922")</f>
        <v>1659092922</v>
      </c>
      <c r="E26873" s="1" t="s">
        <v>28018</v>
      </c>
      <c r="F26873" s="2"/>
      <c r="G26873" s="2"/>
      <c r="H26873" s="2"/>
    </row>
    <row r="26874" spans="1:8" x14ac:dyDescent="0.25">
      <c r="A26874" s="1"/>
      <c r="B26874" s="1" t="s">
        <v>7328</v>
      </c>
      <c r="C26874" s="1" t="s">
        <v>7329</v>
      </c>
      <c r="D26874" s="22" t="str">
        <f>HYPERLINK("https://rhld.insurance.arkansas.gov/NPILookup?Npi=1659097913","1659097913")</f>
        <v>1659097913</v>
      </c>
      <c r="E26874" s="1" t="s">
        <v>13403</v>
      </c>
      <c r="F26874" s="2"/>
      <c r="G26874" s="2"/>
      <c r="H26874" s="2"/>
    </row>
    <row r="26875" spans="1:8" x14ac:dyDescent="0.25">
      <c r="A26875" s="1"/>
      <c r="B26875" s="1" t="s">
        <v>7328</v>
      </c>
      <c r="C26875" s="1" t="s">
        <v>7329</v>
      </c>
      <c r="D26875" s="22" t="str">
        <f>HYPERLINK("https://rhld.insurance.arkansas.gov/NPILookup?Npi=1659101863","1659101863")</f>
        <v>1659101863</v>
      </c>
      <c r="E26875" s="1" t="s">
        <v>28019</v>
      </c>
      <c r="F26875" s="2"/>
      <c r="G26875" s="2"/>
      <c r="H26875" s="2"/>
    </row>
    <row r="26876" spans="1:8" x14ac:dyDescent="0.25">
      <c r="A26876" s="1"/>
      <c r="B26876" s="1" t="s">
        <v>7328</v>
      </c>
      <c r="C26876" s="1" t="s">
        <v>7329</v>
      </c>
      <c r="D26876" s="22" t="str">
        <f>HYPERLINK("https://rhld.insurance.arkansas.gov/NPILookup?Npi=1659131035","1659131035")</f>
        <v>1659131035</v>
      </c>
      <c r="E26876" s="1" t="s">
        <v>32317</v>
      </c>
      <c r="F26876" s="2"/>
      <c r="G26876" s="2"/>
      <c r="H26876" s="2"/>
    </row>
    <row r="26877" spans="1:8" x14ac:dyDescent="0.25">
      <c r="A26877" s="1"/>
      <c r="B26877" s="1" t="s">
        <v>7328</v>
      </c>
      <c r="C26877" s="1" t="s">
        <v>7329</v>
      </c>
      <c r="D26877" s="22" t="str">
        <f>HYPERLINK("https://rhld.insurance.arkansas.gov/NPILookup?Npi=1659140309","1659140309")</f>
        <v>1659140309</v>
      </c>
      <c r="E26877" s="1" t="s">
        <v>32318</v>
      </c>
      <c r="F26877" s="2"/>
      <c r="G26877" s="2"/>
      <c r="H26877" s="2"/>
    </row>
    <row r="26878" spans="1:8" x14ac:dyDescent="0.25">
      <c r="A26878" s="1"/>
      <c r="B26878" s="1" t="s">
        <v>7328</v>
      </c>
      <c r="C26878" s="1" t="s">
        <v>7329</v>
      </c>
      <c r="D26878" s="22" t="str">
        <f>HYPERLINK("https://rhld.insurance.arkansas.gov/NPILookup?Npi=1659199503","1659199503")</f>
        <v>1659199503</v>
      </c>
      <c r="E26878" s="1" t="s">
        <v>32319</v>
      </c>
      <c r="F26878" s="2"/>
      <c r="G26878" s="2"/>
      <c r="H26878" s="2"/>
    </row>
    <row r="26879" spans="1:8" x14ac:dyDescent="0.25">
      <c r="A26879" s="1"/>
      <c r="B26879" s="1" t="s">
        <v>7328</v>
      </c>
      <c r="C26879" s="1" t="s">
        <v>7329</v>
      </c>
      <c r="D26879" s="22" t="str">
        <f>HYPERLINK("https://rhld.insurance.arkansas.gov/NPILookup?Npi=1659302545","1659302545")</f>
        <v>1659302545</v>
      </c>
      <c r="E26879" s="1" t="s">
        <v>28020</v>
      </c>
      <c r="F26879" s="2"/>
      <c r="G26879" s="2"/>
      <c r="H26879" s="2"/>
    </row>
    <row r="26880" spans="1:8" x14ac:dyDescent="0.25">
      <c r="A26880" s="1"/>
      <c r="B26880" s="1" t="s">
        <v>7328</v>
      </c>
      <c r="C26880" s="1" t="s">
        <v>7329</v>
      </c>
      <c r="D26880" s="22" t="str">
        <f>HYPERLINK("https://rhld.insurance.arkansas.gov/NPILookup?Npi=1659319879","1659319879")</f>
        <v>1659319879</v>
      </c>
      <c r="E26880" s="1" t="s">
        <v>2951</v>
      </c>
      <c r="F26880" s="2"/>
      <c r="G26880" s="2"/>
      <c r="H26880" s="2"/>
    </row>
    <row r="26881" spans="1:8" x14ac:dyDescent="0.25">
      <c r="A26881" s="1"/>
      <c r="B26881" s="1" t="s">
        <v>7328</v>
      </c>
      <c r="C26881" s="1" t="s">
        <v>7329</v>
      </c>
      <c r="D26881" s="22" t="str">
        <f>HYPERLINK("https://rhld.insurance.arkansas.gov/NPILookup?Npi=1659324457","1659324457")</f>
        <v>1659324457</v>
      </c>
      <c r="E26881" s="1" t="s">
        <v>28021</v>
      </c>
      <c r="F26881" s="2"/>
      <c r="G26881" s="2"/>
      <c r="H26881" s="2"/>
    </row>
    <row r="26882" spans="1:8" x14ac:dyDescent="0.25">
      <c r="A26882" s="1"/>
      <c r="B26882" s="1" t="s">
        <v>7328</v>
      </c>
      <c r="C26882" s="1" t="s">
        <v>7329</v>
      </c>
      <c r="D26882" s="22" t="str">
        <f>HYPERLINK("https://rhld.insurance.arkansas.gov/NPILookup?Npi=1659326312","1659326312")</f>
        <v>1659326312</v>
      </c>
      <c r="E26882" s="1" t="s">
        <v>13404</v>
      </c>
      <c r="F26882" s="2"/>
      <c r="G26882" s="2"/>
      <c r="H26882" s="2"/>
    </row>
    <row r="26883" spans="1:8" x14ac:dyDescent="0.25">
      <c r="A26883" s="1"/>
      <c r="B26883" s="1" t="s">
        <v>7328</v>
      </c>
      <c r="C26883" s="1" t="s">
        <v>7329</v>
      </c>
      <c r="D26883" s="22" t="str">
        <f>HYPERLINK("https://rhld.insurance.arkansas.gov/NPILookup?Npi=1659327765","1659327765")</f>
        <v>1659327765</v>
      </c>
      <c r="E26883" s="1" t="s">
        <v>17748</v>
      </c>
      <c r="F26883" s="2"/>
      <c r="G26883" s="2"/>
      <c r="H26883" s="2"/>
    </row>
    <row r="26884" spans="1:8" x14ac:dyDescent="0.25">
      <c r="A26884" s="1"/>
      <c r="B26884" s="1" t="s">
        <v>7328</v>
      </c>
      <c r="C26884" s="1" t="s">
        <v>7329</v>
      </c>
      <c r="D26884" s="22" t="str">
        <f>HYPERLINK("https://rhld.insurance.arkansas.gov/NPILookup?Npi=1659331072","1659331072")</f>
        <v>1659331072</v>
      </c>
      <c r="E26884" s="1" t="s">
        <v>28022</v>
      </c>
      <c r="F26884" s="2"/>
      <c r="G26884" s="2"/>
      <c r="H26884" s="2"/>
    </row>
    <row r="26885" spans="1:8" x14ac:dyDescent="0.25">
      <c r="A26885" s="1"/>
      <c r="B26885" s="1" t="s">
        <v>7328</v>
      </c>
      <c r="C26885" s="1" t="s">
        <v>7329</v>
      </c>
      <c r="D26885" s="22" t="str">
        <f>HYPERLINK("https://rhld.insurance.arkansas.gov/NPILookup?Npi=1659336196","1659336196")</f>
        <v>1659336196</v>
      </c>
      <c r="E26885" s="1" t="s">
        <v>13405</v>
      </c>
      <c r="F26885" s="2"/>
      <c r="G26885" s="2"/>
      <c r="H26885" s="2"/>
    </row>
    <row r="26886" spans="1:8" x14ac:dyDescent="0.25">
      <c r="A26886" s="1"/>
      <c r="B26886" s="1" t="s">
        <v>7328</v>
      </c>
      <c r="C26886" s="1" t="s">
        <v>7329</v>
      </c>
      <c r="D26886" s="22" t="str">
        <f>HYPERLINK("https://rhld.insurance.arkansas.gov/NPILookup?Npi=1659338663","1659338663")</f>
        <v>1659338663</v>
      </c>
      <c r="E26886" s="1" t="s">
        <v>1104</v>
      </c>
      <c r="F26886" s="2"/>
      <c r="G26886" s="2"/>
      <c r="H26886" s="2"/>
    </row>
    <row r="26887" spans="1:8" x14ac:dyDescent="0.25">
      <c r="A26887" s="1"/>
      <c r="B26887" s="1" t="s">
        <v>7328</v>
      </c>
      <c r="C26887" s="1" t="s">
        <v>7329</v>
      </c>
      <c r="D26887" s="22" t="str">
        <f>HYPERLINK("https://rhld.insurance.arkansas.gov/NPILookup?Npi=1659340826","1659340826")</f>
        <v>1659340826</v>
      </c>
      <c r="E26887" s="1" t="s">
        <v>2397</v>
      </c>
      <c r="F26887" s="2"/>
      <c r="G26887" s="2"/>
      <c r="H26887" s="2"/>
    </row>
    <row r="26888" spans="1:8" x14ac:dyDescent="0.25">
      <c r="A26888" s="1"/>
      <c r="B26888" s="1" t="s">
        <v>7328</v>
      </c>
      <c r="C26888" s="1" t="s">
        <v>7329</v>
      </c>
      <c r="D26888" s="22" t="str">
        <f>HYPERLINK("https://rhld.insurance.arkansas.gov/NPILookup?Npi=1659345247","1659345247")</f>
        <v>1659345247</v>
      </c>
      <c r="E26888" s="1" t="s">
        <v>2398</v>
      </c>
      <c r="F26888" s="2"/>
      <c r="G26888" s="2"/>
      <c r="H26888" s="2"/>
    </row>
    <row r="26889" spans="1:8" x14ac:dyDescent="0.25">
      <c r="A26889" s="1"/>
      <c r="B26889" s="1" t="s">
        <v>7328</v>
      </c>
      <c r="C26889" s="1" t="s">
        <v>7329</v>
      </c>
      <c r="D26889" s="22" t="str">
        <f>HYPERLINK("https://rhld.insurance.arkansas.gov/NPILookup?Npi=1659345288","1659345288")</f>
        <v>1659345288</v>
      </c>
      <c r="E26889" s="1" t="s">
        <v>32320</v>
      </c>
      <c r="F26889" s="2"/>
      <c r="G26889" s="2"/>
      <c r="H26889" s="2"/>
    </row>
    <row r="26890" spans="1:8" x14ac:dyDescent="0.25">
      <c r="A26890" s="1"/>
      <c r="B26890" s="1" t="s">
        <v>7328</v>
      </c>
      <c r="C26890" s="1" t="s">
        <v>7329</v>
      </c>
      <c r="D26890" s="22" t="str">
        <f>HYPERLINK("https://rhld.insurance.arkansas.gov/NPILookup?Npi=1659349876","1659349876")</f>
        <v>1659349876</v>
      </c>
      <c r="E26890" s="1" t="s">
        <v>28023</v>
      </c>
      <c r="F26890" s="2"/>
      <c r="G26890" s="2"/>
      <c r="H26890" s="2"/>
    </row>
    <row r="26891" spans="1:8" x14ac:dyDescent="0.25">
      <c r="A26891" s="1"/>
      <c r="B26891" s="1" t="s">
        <v>7328</v>
      </c>
      <c r="C26891" s="1" t="s">
        <v>7329</v>
      </c>
      <c r="D26891" s="22" t="str">
        <f>HYPERLINK("https://rhld.insurance.arkansas.gov/NPILookup?Npi=1659351864","1659351864")</f>
        <v>1659351864</v>
      </c>
      <c r="E26891" s="1" t="s">
        <v>2952</v>
      </c>
      <c r="F26891" s="2"/>
      <c r="G26891" s="2"/>
      <c r="H26891" s="2"/>
    </row>
    <row r="26892" spans="1:8" x14ac:dyDescent="0.25">
      <c r="A26892" s="1"/>
      <c r="B26892" s="1" t="s">
        <v>7328</v>
      </c>
      <c r="C26892" s="1" t="s">
        <v>7329</v>
      </c>
      <c r="D26892" s="22" t="str">
        <f>HYPERLINK("https://rhld.insurance.arkansas.gov/NPILookup?Npi=1659364545","1659364545")</f>
        <v>1659364545</v>
      </c>
      <c r="E26892" s="1" t="s">
        <v>28024</v>
      </c>
      <c r="F26892" s="2"/>
      <c r="G26892" s="2"/>
      <c r="H26892" s="2"/>
    </row>
    <row r="26893" spans="1:8" x14ac:dyDescent="0.25">
      <c r="A26893" s="1"/>
      <c r="B26893" s="1" t="s">
        <v>7328</v>
      </c>
      <c r="C26893" s="1" t="s">
        <v>7329</v>
      </c>
      <c r="D26893" s="22" t="str">
        <f>HYPERLINK("https://rhld.insurance.arkansas.gov/NPILookup?Npi=1659365427","1659365427")</f>
        <v>1659365427</v>
      </c>
      <c r="E26893" s="1" t="s">
        <v>28025</v>
      </c>
      <c r="F26893" s="2"/>
      <c r="G26893" s="2"/>
      <c r="H26893" s="2"/>
    </row>
    <row r="26894" spans="1:8" x14ac:dyDescent="0.25">
      <c r="A26894" s="1"/>
      <c r="B26894" s="1" t="s">
        <v>7328</v>
      </c>
      <c r="C26894" s="1" t="s">
        <v>7329</v>
      </c>
      <c r="D26894" s="22" t="str">
        <f>HYPERLINK("https://rhld.insurance.arkansas.gov/NPILookup?Npi=1659371920","1659371920")</f>
        <v>1659371920</v>
      </c>
      <c r="E26894" s="1" t="s">
        <v>2599</v>
      </c>
      <c r="F26894" s="2"/>
      <c r="G26894" s="2"/>
      <c r="H26894" s="2"/>
    </row>
    <row r="26895" spans="1:8" x14ac:dyDescent="0.25">
      <c r="A26895" s="1"/>
      <c r="B26895" s="1" t="s">
        <v>7328</v>
      </c>
      <c r="C26895" s="1" t="s">
        <v>7329</v>
      </c>
      <c r="D26895" s="22" t="str">
        <f>HYPERLINK("https://rhld.insurance.arkansas.gov/NPILookup?Npi=1659373223","1659373223")</f>
        <v>1659373223</v>
      </c>
      <c r="E26895" s="1" t="s">
        <v>13406</v>
      </c>
      <c r="F26895" s="2"/>
      <c r="G26895" s="2"/>
      <c r="H26895" s="2"/>
    </row>
    <row r="26896" spans="1:8" x14ac:dyDescent="0.25">
      <c r="A26896" s="1"/>
      <c r="B26896" s="1" t="s">
        <v>7328</v>
      </c>
      <c r="C26896" s="1" t="s">
        <v>7329</v>
      </c>
      <c r="D26896" s="22" t="str">
        <f>HYPERLINK("https://rhld.insurance.arkansas.gov/NPILookup?Npi=1659395960","1659395960")</f>
        <v>1659395960</v>
      </c>
      <c r="E26896" s="1" t="s">
        <v>17750</v>
      </c>
      <c r="F26896" s="2"/>
      <c r="G26896" s="2"/>
      <c r="H26896" s="2"/>
    </row>
    <row r="26897" spans="1:8" x14ac:dyDescent="0.25">
      <c r="A26897" s="1"/>
      <c r="B26897" s="1" t="s">
        <v>7328</v>
      </c>
      <c r="C26897" s="1" t="s">
        <v>7329</v>
      </c>
      <c r="D26897" s="22" t="str">
        <f>HYPERLINK("https://rhld.insurance.arkansas.gov/NPILookup?Npi=1659443422","1659443422")</f>
        <v>1659443422</v>
      </c>
      <c r="E26897" s="1" t="s">
        <v>28026</v>
      </c>
      <c r="F26897" s="2"/>
      <c r="G26897" s="2"/>
      <c r="H26897" s="2"/>
    </row>
    <row r="26898" spans="1:8" x14ac:dyDescent="0.25">
      <c r="A26898" s="1"/>
      <c r="B26898" s="1" t="s">
        <v>7328</v>
      </c>
      <c r="C26898" s="1" t="s">
        <v>7329</v>
      </c>
      <c r="D26898" s="22" t="str">
        <f>HYPERLINK("https://rhld.insurance.arkansas.gov/NPILookup?Npi=1659447118","1659447118")</f>
        <v>1659447118</v>
      </c>
      <c r="E26898" s="1" t="s">
        <v>28027</v>
      </c>
      <c r="F26898" s="2"/>
      <c r="G26898" s="2"/>
      <c r="H26898" s="2"/>
    </row>
    <row r="26899" spans="1:8" x14ac:dyDescent="0.25">
      <c r="A26899" s="1"/>
      <c r="B26899" s="1" t="s">
        <v>7328</v>
      </c>
      <c r="C26899" s="1" t="s">
        <v>7329</v>
      </c>
      <c r="D26899" s="22" t="str">
        <f>HYPERLINK("https://rhld.insurance.arkansas.gov/NPILookup?Npi=1659448868","1659448868")</f>
        <v>1659448868</v>
      </c>
      <c r="E26899" s="1" t="s">
        <v>1035</v>
      </c>
      <c r="F26899" s="2"/>
      <c r="G26899" s="2"/>
      <c r="H26899" s="2"/>
    </row>
    <row r="26900" spans="1:8" x14ac:dyDescent="0.25">
      <c r="A26900" s="1"/>
      <c r="B26900" s="1" t="s">
        <v>7328</v>
      </c>
      <c r="C26900" s="1" t="s">
        <v>7329</v>
      </c>
      <c r="D26900" s="22" t="str">
        <f>HYPERLINK("https://rhld.insurance.arkansas.gov/NPILookup?Npi=1659474161","1659474161")</f>
        <v>1659474161</v>
      </c>
      <c r="E26900" s="1" t="s">
        <v>13407</v>
      </c>
      <c r="F26900" s="2"/>
      <c r="G26900" s="2"/>
      <c r="H26900" s="2"/>
    </row>
    <row r="26901" spans="1:8" x14ac:dyDescent="0.25">
      <c r="A26901" s="1"/>
      <c r="B26901" s="1" t="s">
        <v>7328</v>
      </c>
      <c r="C26901" s="1" t="s">
        <v>7329</v>
      </c>
      <c r="D26901" s="22" t="str">
        <f>HYPERLINK("https://rhld.insurance.arkansas.gov/NPILookup?Npi=1659483949","1659483949")</f>
        <v>1659483949</v>
      </c>
      <c r="E26901" s="1" t="s">
        <v>2953</v>
      </c>
      <c r="F26901" s="2"/>
      <c r="G26901" s="2"/>
      <c r="H26901" s="2"/>
    </row>
    <row r="26902" spans="1:8" x14ac:dyDescent="0.25">
      <c r="A26902" s="1"/>
      <c r="B26902" s="1" t="s">
        <v>7328</v>
      </c>
      <c r="C26902" s="1" t="s">
        <v>7329</v>
      </c>
      <c r="D26902" s="22" t="str">
        <f>HYPERLINK("https://rhld.insurance.arkansas.gov/NPILookup?Npi=1659497311","1659497311")</f>
        <v>1659497311</v>
      </c>
      <c r="E26902" s="1" t="s">
        <v>28028</v>
      </c>
      <c r="F26902" s="2"/>
      <c r="G26902" s="2"/>
      <c r="H26902" s="2"/>
    </row>
    <row r="26903" spans="1:8" x14ac:dyDescent="0.25">
      <c r="A26903" s="1"/>
      <c r="B26903" s="1" t="s">
        <v>7328</v>
      </c>
      <c r="C26903" s="1" t="s">
        <v>7329</v>
      </c>
      <c r="D26903" s="22" t="str">
        <f>HYPERLINK("https://rhld.insurance.arkansas.gov/NPILookup?Npi=1659523124","1659523124")</f>
        <v>1659523124</v>
      </c>
      <c r="E26903" s="1" t="s">
        <v>17753</v>
      </c>
      <c r="F26903" s="2"/>
      <c r="G26903" s="2"/>
      <c r="H26903" s="2"/>
    </row>
    <row r="26904" spans="1:8" x14ac:dyDescent="0.25">
      <c r="A26904" s="1"/>
      <c r="B26904" s="1" t="s">
        <v>7328</v>
      </c>
      <c r="C26904" s="1" t="s">
        <v>7329</v>
      </c>
      <c r="D26904" s="22" t="str">
        <f>HYPERLINK("https://rhld.insurance.arkansas.gov/NPILookup?Npi=1659525327","1659525327")</f>
        <v>1659525327</v>
      </c>
      <c r="E26904" s="1" t="s">
        <v>28029</v>
      </c>
      <c r="F26904" s="2"/>
      <c r="G26904" s="2"/>
      <c r="H26904" s="2"/>
    </row>
    <row r="26905" spans="1:8" x14ac:dyDescent="0.25">
      <c r="A26905" s="1"/>
      <c r="B26905" s="1" t="s">
        <v>7328</v>
      </c>
      <c r="C26905" s="1" t="s">
        <v>7329</v>
      </c>
      <c r="D26905" s="22" t="str">
        <f>HYPERLINK("https://rhld.insurance.arkansas.gov/NPILookup?Npi=1659536563","1659536563")</f>
        <v>1659536563</v>
      </c>
      <c r="E26905" s="1" t="s">
        <v>28030</v>
      </c>
      <c r="F26905" s="2"/>
      <c r="G26905" s="2"/>
      <c r="H26905" s="2"/>
    </row>
    <row r="26906" spans="1:8" x14ac:dyDescent="0.25">
      <c r="A26906" s="1"/>
      <c r="B26906" s="1" t="s">
        <v>7328</v>
      </c>
      <c r="C26906" s="1" t="s">
        <v>7329</v>
      </c>
      <c r="D26906" s="22" t="str">
        <f>HYPERLINK("https://rhld.insurance.arkansas.gov/NPILookup?Npi=1659537736","1659537736")</f>
        <v>1659537736</v>
      </c>
      <c r="E26906" s="1" t="s">
        <v>17754</v>
      </c>
      <c r="F26906" s="2"/>
      <c r="G26906" s="2"/>
      <c r="H26906" s="2"/>
    </row>
    <row r="26907" spans="1:8" x14ac:dyDescent="0.25">
      <c r="A26907" s="1"/>
      <c r="B26907" s="1" t="s">
        <v>7328</v>
      </c>
      <c r="C26907" s="1" t="s">
        <v>7329</v>
      </c>
      <c r="D26907" s="22" t="str">
        <f>HYPERLINK("https://rhld.insurance.arkansas.gov/NPILookup?Npi=1659539682","1659539682")</f>
        <v>1659539682</v>
      </c>
      <c r="E26907" s="1" t="s">
        <v>13408</v>
      </c>
      <c r="F26907" s="2"/>
      <c r="G26907" s="2"/>
      <c r="H26907" s="2"/>
    </row>
    <row r="26908" spans="1:8" x14ac:dyDescent="0.25">
      <c r="A26908" s="1"/>
      <c r="B26908" s="1" t="s">
        <v>7328</v>
      </c>
      <c r="C26908" s="1" t="s">
        <v>7329</v>
      </c>
      <c r="D26908" s="22" t="str">
        <f>HYPERLINK("https://rhld.insurance.arkansas.gov/NPILookup?Npi=1659548790","1659548790")</f>
        <v>1659548790</v>
      </c>
      <c r="E26908" s="1" t="s">
        <v>13991</v>
      </c>
      <c r="F26908" s="2"/>
      <c r="G26908" s="2"/>
      <c r="H26908" s="2"/>
    </row>
    <row r="26909" spans="1:8" x14ac:dyDescent="0.25">
      <c r="A26909" s="1"/>
      <c r="B26909" s="1" t="s">
        <v>7328</v>
      </c>
      <c r="C26909" s="1" t="s">
        <v>7329</v>
      </c>
      <c r="D26909" s="22" t="str">
        <f>HYPERLINK("https://rhld.insurance.arkansas.gov/NPILookup?Npi=1659578458","1659578458")</f>
        <v>1659578458</v>
      </c>
      <c r="E26909" s="1" t="s">
        <v>28031</v>
      </c>
      <c r="F26909" s="2"/>
      <c r="G26909" s="2"/>
      <c r="H26909" s="2"/>
    </row>
    <row r="26910" spans="1:8" x14ac:dyDescent="0.25">
      <c r="A26910" s="1"/>
      <c r="B26910" s="1" t="s">
        <v>7328</v>
      </c>
      <c r="C26910" s="1" t="s">
        <v>7329</v>
      </c>
      <c r="D26910" s="22" t="str">
        <f>HYPERLINK("https://rhld.insurance.arkansas.gov/NPILookup?Npi=1659594562","1659594562")</f>
        <v>1659594562</v>
      </c>
      <c r="E26910" s="1" t="s">
        <v>11978</v>
      </c>
      <c r="F26910" s="2"/>
      <c r="G26910" s="2"/>
      <c r="H26910" s="2"/>
    </row>
    <row r="26911" spans="1:8" x14ac:dyDescent="0.25">
      <c r="A26911" s="1"/>
      <c r="B26911" s="1" t="s">
        <v>7328</v>
      </c>
      <c r="C26911" s="1" t="s">
        <v>7329</v>
      </c>
      <c r="D26911" s="22" t="str">
        <f>HYPERLINK("https://rhld.insurance.arkansas.gov/NPILookup?Npi=1659611416","1659611416")</f>
        <v>1659611416</v>
      </c>
      <c r="E26911" s="1" t="s">
        <v>1971</v>
      </c>
      <c r="F26911" s="2"/>
      <c r="G26911" s="2"/>
      <c r="H26911" s="2"/>
    </row>
    <row r="26912" spans="1:8" x14ac:dyDescent="0.25">
      <c r="A26912" s="1"/>
      <c r="B26912" s="1" t="s">
        <v>7328</v>
      </c>
      <c r="C26912" s="1" t="s">
        <v>7329</v>
      </c>
      <c r="D26912" s="22" t="str">
        <f>HYPERLINK("https://rhld.insurance.arkansas.gov/NPILookup?Npi=1659633840","1659633840")</f>
        <v>1659633840</v>
      </c>
      <c r="E26912" s="1" t="s">
        <v>2954</v>
      </c>
      <c r="F26912" s="2"/>
      <c r="G26912" s="2"/>
      <c r="H26912" s="2"/>
    </row>
    <row r="26913" spans="1:8" x14ac:dyDescent="0.25">
      <c r="A26913" s="1"/>
      <c r="B26913" s="1" t="s">
        <v>7328</v>
      </c>
      <c r="C26913" s="1" t="s">
        <v>7329</v>
      </c>
      <c r="D26913" s="22" t="str">
        <f>HYPERLINK("https://rhld.insurance.arkansas.gov/NPILookup?Npi=1659634277","1659634277")</f>
        <v>1659634277</v>
      </c>
      <c r="E26913" s="1" t="s">
        <v>17756</v>
      </c>
      <c r="F26913" s="2"/>
      <c r="G26913" s="2"/>
      <c r="H26913" s="2"/>
    </row>
    <row r="26914" spans="1:8" x14ac:dyDescent="0.25">
      <c r="A26914" s="1"/>
      <c r="B26914" s="1" t="s">
        <v>7328</v>
      </c>
      <c r="C26914" s="1" t="s">
        <v>7329</v>
      </c>
      <c r="D26914" s="22" t="str">
        <f>HYPERLINK("https://rhld.insurance.arkansas.gov/NPILookup?Npi=1659637924","1659637924")</f>
        <v>1659637924</v>
      </c>
      <c r="E26914" s="1" t="s">
        <v>7970</v>
      </c>
      <c r="F26914" s="2"/>
      <c r="G26914" s="2"/>
      <c r="H26914" s="2"/>
    </row>
    <row r="26915" spans="1:8" x14ac:dyDescent="0.25">
      <c r="A26915" s="1"/>
      <c r="B26915" s="1" t="s">
        <v>7328</v>
      </c>
      <c r="C26915" s="1" t="s">
        <v>7329</v>
      </c>
      <c r="D26915" s="22" t="str">
        <f>HYPERLINK("https://rhld.insurance.arkansas.gov/NPILookup?Npi=1659638625","1659638625")</f>
        <v>1659638625</v>
      </c>
      <c r="E26915" s="1" t="s">
        <v>28032</v>
      </c>
      <c r="F26915" s="2"/>
      <c r="G26915" s="2"/>
      <c r="H26915" s="2"/>
    </row>
    <row r="26916" spans="1:8" x14ac:dyDescent="0.25">
      <c r="A26916" s="1"/>
      <c r="B26916" s="1" t="s">
        <v>7328</v>
      </c>
      <c r="C26916" s="1" t="s">
        <v>7329</v>
      </c>
      <c r="D26916" s="22" t="str">
        <f>HYPERLINK("https://rhld.insurance.arkansas.gov/NPILookup?Npi=1659639664","1659639664")</f>
        <v>1659639664</v>
      </c>
      <c r="E26916" s="1" t="s">
        <v>13409</v>
      </c>
      <c r="F26916" s="2"/>
      <c r="G26916" s="2"/>
      <c r="H26916" s="2"/>
    </row>
    <row r="26917" spans="1:8" x14ac:dyDescent="0.25">
      <c r="A26917" s="1"/>
      <c r="B26917" s="1" t="s">
        <v>7328</v>
      </c>
      <c r="C26917" s="1" t="s">
        <v>7329</v>
      </c>
      <c r="D26917" s="22" t="str">
        <f>HYPERLINK("https://rhld.insurance.arkansas.gov/NPILookup?Npi=1659641496","1659641496")</f>
        <v>1659641496</v>
      </c>
      <c r="E26917" s="1" t="s">
        <v>28033</v>
      </c>
      <c r="F26917" s="2"/>
      <c r="G26917" s="2"/>
      <c r="H26917" s="2"/>
    </row>
    <row r="26918" spans="1:8" x14ac:dyDescent="0.25">
      <c r="A26918" s="1"/>
      <c r="B26918" s="1" t="s">
        <v>7328</v>
      </c>
      <c r="C26918" s="1" t="s">
        <v>7329</v>
      </c>
      <c r="D26918" s="22" t="str">
        <f>HYPERLINK("https://rhld.insurance.arkansas.gov/NPILookup?Npi=1659653558","1659653558")</f>
        <v>1659653558</v>
      </c>
      <c r="E26918" s="1" t="s">
        <v>4750</v>
      </c>
      <c r="F26918" s="2"/>
      <c r="G26918" s="2"/>
      <c r="H26918" s="2"/>
    </row>
    <row r="26919" spans="1:8" x14ac:dyDescent="0.25">
      <c r="A26919" s="1"/>
      <c r="B26919" s="1" t="s">
        <v>7328</v>
      </c>
      <c r="C26919" s="1" t="s">
        <v>7329</v>
      </c>
      <c r="D26919" s="22" t="str">
        <f>HYPERLINK("https://rhld.insurance.arkansas.gov/NPILookup?Npi=1659660314","1659660314")</f>
        <v>1659660314</v>
      </c>
      <c r="E26919" s="1" t="s">
        <v>732</v>
      </c>
      <c r="F26919" s="2"/>
      <c r="G26919" s="2"/>
      <c r="H26919" s="2"/>
    </row>
    <row r="26920" spans="1:8" x14ac:dyDescent="0.25">
      <c r="A26920" s="1"/>
      <c r="B26920" s="1" t="s">
        <v>7328</v>
      </c>
      <c r="C26920" s="1" t="s">
        <v>7329</v>
      </c>
      <c r="D26920" s="22" t="str">
        <f>HYPERLINK("https://rhld.insurance.arkansas.gov/NPILookup?Npi=1659663250","1659663250")</f>
        <v>1659663250</v>
      </c>
      <c r="E26920" s="1" t="s">
        <v>22888</v>
      </c>
      <c r="F26920" s="2"/>
      <c r="G26920" s="2"/>
      <c r="H26920" s="2"/>
    </row>
    <row r="26921" spans="1:8" x14ac:dyDescent="0.25">
      <c r="A26921" s="1"/>
      <c r="B26921" s="1" t="s">
        <v>7328</v>
      </c>
      <c r="C26921" s="1" t="s">
        <v>7329</v>
      </c>
      <c r="D26921" s="22" t="str">
        <f>HYPERLINK("https://rhld.insurance.arkansas.gov/NPILookup?Npi=1659695898","1659695898")</f>
        <v>1659695898</v>
      </c>
      <c r="E26921" s="1" t="s">
        <v>13410</v>
      </c>
      <c r="F26921" s="2"/>
      <c r="G26921" s="2"/>
      <c r="H26921" s="2"/>
    </row>
    <row r="26922" spans="1:8" x14ac:dyDescent="0.25">
      <c r="A26922" s="1"/>
      <c r="B26922" s="1" t="s">
        <v>7328</v>
      </c>
      <c r="C26922" s="1" t="s">
        <v>7329</v>
      </c>
      <c r="D26922" s="22" t="str">
        <f>HYPERLINK("https://rhld.insurance.arkansas.gov/NPILookup?Npi=1659697555","1659697555")</f>
        <v>1659697555</v>
      </c>
      <c r="E26922" s="1" t="s">
        <v>17757</v>
      </c>
      <c r="F26922" s="2"/>
      <c r="G26922" s="2"/>
      <c r="H26922" s="2"/>
    </row>
    <row r="26923" spans="1:8" x14ac:dyDescent="0.25">
      <c r="A26923" s="1"/>
      <c r="B26923" s="1" t="s">
        <v>7328</v>
      </c>
      <c r="C26923" s="1" t="s">
        <v>7329</v>
      </c>
      <c r="D26923" s="22" t="str">
        <f>HYPERLINK("https://rhld.insurance.arkansas.gov/NPILookup?Npi=1659710531","1659710531")</f>
        <v>1659710531</v>
      </c>
      <c r="E26923" s="1" t="s">
        <v>17758</v>
      </c>
      <c r="F26923" s="2"/>
      <c r="G26923" s="2"/>
      <c r="H26923" s="2"/>
    </row>
    <row r="26924" spans="1:8" x14ac:dyDescent="0.25">
      <c r="A26924" s="1"/>
      <c r="B26924" s="1" t="s">
        <v>7328</v>
      </c>
      <c r="C26924" s="1" t="s">
        <v>7329</v>
      </c>
      <c r="D26924" s="22" t="str">
        <f>HYPERLINK("https://rhld.insurance.arkansas.gov/NPILookup?Npi=1659710879","1659710879")</f>
        <v>1659710879</v>
      </c>
      <c r="E26924" s="1" t="s">
        <v>258</v>
      </c>
      <c r="F26924" s="2"/>
      <c r="G26924" s="2"/>
      <c r="H26924" s="2"/>
    </row>
    <row r="26925" spans="1:8" x14ac:dyDescent="0.25">
      <c r="A26925" s="1"/>
      <c r="B26925" s="1" t="s">
        <v>7328</v>
      </c>
      <c r="C26925" s="1" t="s">
        <v>7329</v>
      </c>
      <c r="D26925" s="22" t="str">
        <f>HYPERLINK("https://rhld.insurance.arkansas.gov/NPILookup?Npi=1659732063","1659732063")</f>
        <v>1659732063</v>
      </c>
      <c r="E26925" s="1" t="s">
        <v>7971</v>
      </c>
      <c r="F26925" s="2"/>
      <c r="G26925" s="2"/>
      <c r="H26925" s="2"/>
    </row>
    <row r="26926" spans="1:8" x14ac:dyDescent="0.25">
      <c r="A26926" s="1"/>
      <c r="B26926" s="1" t="s">
        <v>7328</v>
      </c>
      <c r="C26926" s="1" t="s">
        <v>7329</v>
      </c>
      <c r="D26926" s="22" t="str">
        <f>HYPERLINK("https://rhld.insurance.arkansas.gov/NPILookup?Npi=1659734846","1659734846")</f>
        <v>1659734846</v>
      </c>
      <c r="E26926" s="1" t="s">
        <v>17759</v>
      </c>
      <c r="F26926" s="2"/>
      <c r="G26926" s="2"/>
      <c r="H26926" s="2"/>
    </row>
    <row r="26927" spans="1:8" x14ac:dyDescent="0.25">
      <c r="A26927" s="1"/>
      <c r="B26927" s="1" t="s">
        <v>7328</v>
      </c>
      <c r="C26927" s="1" t="s">
        <v>7329</v>
      </c>
      <c r="D26927" s="22" t="str">
        <f>HYPERLINK("https://rhld.insurance.arkansas.gov/NPILookup?Npi=1659735421","1659735421")</f>
        <v>1659735421</v>
      </c>
      <c r="E26927" s="1" t="s">
        <v>2955</v>
      </c>
      <c r="F26927" s="2"/>
      <c r="G26927" s="2"/>
      <c r="H26927" s="2"/>
    </row>
    <row r="26928" spans="1:8" x14ac:dyDescent="0.25">
      <c r="A26928" s="1"/>
      <c r="B26928" s="1" t="s">
        <v>7328</v>
      </c>
      <c r="C26928" s="1" t="s">
        <v>7329</v>
      </c>
      <c r="D26928" s="22" t="str">
        <f>HYPERLINK("https://rhld.insurance.arkansas.gov/NPILookup?Npi=1659760635","1659760635")</f>
        <v>1659760635</v>
      </c>
      <c r="E26928" s="1" t="s">
        <v>28034</v>
      </c>
      <c r="F26928" s="2"/>
      <c r="G26928" s="2"/>
      <c r="H26928" s="2"/>
    </row>
    <row r="26929" spans="1:8" x14ac:dyDescent="0.25">
      <c r="A26929" s="1"/>
      <c r="B26929" s="1" t="s">
        <v>7328</v>
      </c>
      <c r="C26929" s="1" t="s">
        <v>7329</v>
      </c>
      <c r="D26929" s="22" t="str">
        <f>HYPERLINK("https://rhld.insurance.arkansas.gov/NPILookup?Npi=1659761161","1659761161")</f>
        <v>1659761161</v>
      </c>
      <c r="E26929" s="1" t="s">
        <v>28035</v>
      </c>
      <c r="F26929" s="2"/>
      <c r="G26929" s="2"/>
      <c r="H26929" s="2"/>
    </row>
    <row r="26930" spans="1:8" x14ac:dyDescent="0.25">
      <c r="A26930" s="1"/>
      <c r="B26930" s="1" t="s">
        <v>7328</v>
      </c>
      <c r="C26930" s="1" t="s">
        <v>7329</v>
      </c>
      <c r="D26930" s="22" t="str">
        <f>HYPERLINK("https://rhld.insurance.arkansas.gov/NPILookup?Npi=1659762144","1659762144")</f>
        <v>1659762144</v>
      </c>
      <c r="E26930" s="1" t="s">
        <v>28036</v>
      </c>
      <c r="F26930" s="2"/>
      <c r="G26930" s="2"/>
      <c r="H26930" s="2"/>
    </row>
    <row r="26931" spans="1:8" x14ac:dyDescent="0.25">
      <c r="A26931" s="1"/>
      <c r="B26931" s="1" t="s">
        <v>7328</v>
      </c>
      <c r="C26931" s="1" t="s">
        <v>7329</v>
      </c>
      <c r="D26931" s="22" t="str">
        <f>HYPERLINK("https://rhld.insurance.arkansas.gov/NPILookup?Npi=1659766459","1659766459")</f>
        <v>1659766459</v>
      </c>
      <c r="E26931" s="1" t="s">
        <v>28037</v>
      </c>
      <c r="F26931" s="2"/>
      <c r="G26931" s="2"/>
      <c r="H26931" s="2"/>
    </row>
    <row r="26932" spans="1:8" x14ac:dyDescent="0.25">
      <c r="A26932" s="1"/>
      <c r="B26932" s="1" t="s">
        <v>7328</v>
      </c>
      <c r="C26932" s="1" t="s">
        <v>7329</v>
      </c>
      <c r="D26932" s="22" t="str">
        <f>HYPERLINK("https://rhld.insurance.arkansas.gov/NPILookup?Npi=1659766939","1659766939")</f>
        <v>1659766939</v>
      </c>
      <c r="E26932" s="1" t="s">
        <v>28038</v>
      </c>
      <c r="F26932" s="2"/>
      <c r="G26932" s="2"/>
      <c r="H26932" s="2"/>
    </row>
    <row r="26933" spans="1:8" x14ac:dyDescent="0.25">
      <c r="A26933" s="1"/>
      <c r="B26933" s="1" t="s">
        <v>7328</v>
      </c>
      <c r="C26933" s="1" t="s">
        <v>7329</v>
      </c>
      <c r="D26933" s="22" t="str">
        <f>HYPERLINK("https://rhld.insurance.arkansas.gov/NPILookup?Npi=1659778827","1659778827")</f>
        <v>1659778827</v>
      </c>
      <c r="E26933" s="1" t="s">
        <v>22893</v>
      </c>
      <c r="F26933" s="2"/>
      <c r="G26933" s="2"/>
      <c r="H26933" s="2"/>
    </row>
    <row r="26934" spans="1:8" x14ac:dyDescent="0.25">
      <c r="A26934" s="1"/>
      <c r="B26934" s="1" t="s">
        <v>7328</v>
      </c>
      <c r="C26934" s="1" t="s">
        <v>7329</v>
      </c>
      <c r="D26934" s="22" t="str">
        <f>HYPERLINK("https://rhld.insurance.arkansas.gov/NPILookup?Npi=1659790210","1659790210")</f>
        <v>1659790210</v>
      </c>
      <c r="E26934" s="1" t="s">
        <v>28039</v>
      </c>
      <c r="F26934" s="2"/>
      <c r="G26934" s="2"/>
      <c r="H26934" s="2"/>
    </row>
    <row r="26935" spans="1:8" x14ac:dyDescent="0.25">
      <c r="A26935" s="1"/>
      <c r="B26935" s="1" t="s">
        <v>7328</v>
      </c>
      <c r="C26935" s="1" t="s">
        <v>7329</v>
      </c>
      <c r="D26935" s="22" t="str">
        <f>HYPERLINK("https://rhld.insurance.arkansas.gov/NPILookup?Npi=1659806008","1659806008")</f>
        <v>1659806008</v>
      </c>
      <c r="E26935" s="1" t="s">
        <v>28040</v>
      </c>
      <c r="F26935" s="2"/>
      <c r="G26935" s="2"/>
      <c r="H26935" s="2"/>
    </row>
    <row r="26936" spans="1:8" x14ac:dyDescent="0.25">
      <c r="A26936" s="1"/>
      <c r="B26936" s="1" t="s">
        <v>7328</v>
      </c>
      <c r="C26936" s="1" t="s">
        <v>7329</v>
      </c>
      <c r="D26936" s="22" t="str">
        <f>HYPERLINK("https://rhld.insurance.arkansas.gov/NPILookup?Npi=1659811842","1659811842")</f>
        <v>1659811842</v>
      </c>
      <c r="E26936" s="1" t="s">
        <v>28041</v>
      </c>
      <c r="F26936" s="2"/>
      <c r="G26936" s="2"/>
      <c r="H26936" s="2"/>
    </row>
    <row r="26937" spans="1:8" x14ac:dyDescent="0.25">
      <c r="A26937" s="1"/>
      <c r="B26937" s="1" t="s">
        <v>7328</v>
      </c>
      <c r="C26937" s="1" t="s">
        <v>7329</v>
      </c>
      <c r="D26937" s="22" t="str">
        <f>HYPERLINK("https://rhld.insurance.arkansas.gov/NPILookup?Npi=1659812402","1659812402")</f>
        <v>1659812402</v>
      </c>
      <c r="E26937" s="1" t="s">
        <v>13411</v>
      </c>
      <c r="F26937" s="2"/>
      <c r="G26937" s="2"/>
      <c r="H26937" s="2"/>
    </row>
    <row r="26938" spans="1:8" x14ac:dyDescent="0.25">
      <c r="A26938" s="1"/>
      <c r="B26938" s="1" t="s">
        <v>7328</v>
      </c>
      <c r="C26938" s="1" t="s">
        <v>7329</v>
      </c>
      <c r="D26938" s="22" t="str">
        <f>HYPERLINK("https://rhld.insurance.arkansas.gov/NPILookup?Npi=1659814739","1659814739")</f>
        <v>1659814739</v>
      </c>
      <c r="E26938" s="1" t="s">
        <v>28042</v>
      </c>
      <c r="F26938" s="2"/>
      <c r="G26938" s="2"/>
      <c r="H26938" s="2"/>
    </row>
    <row r="26939" spans="1:8" x14ac:dyDescent="0.25">
      <c r="A26939" s="1"/>
      <c r="B26939" s="1" t="s">
        <v>7328</v>
      </c>
      <c r="C26939" s="1" t="s">
        <v>7329</v>
      </c>
      <c r="D26939" s="22" t="str">
        <f>HYPERLINK("https://rhld.insurance.arkansas.gov/NPILookup?Npi=1659822211","1659822211")</f>
        <v>1659822211</v>
      </c>
      <c r="E26939" s="1" t="s">
        <v>257</v>
      </c>
      <c r="F26939" s="2"/>
      <c r="G26939" s="2"/>
      <c r="H26939" s="2"/>
    </row>
    <row r="26940" spans="1:8" x14ac:dyDescent="0.25">
      <c r="A26940" s="1"/>
      <c r="B26940" s="1" t="s">
        <v>7328</v>
      </c>
      <c r="C26940" s="1" t="s">
        <v>7329</v>
      </c>
      <c r="D26940" s="22" t="str">
        <f>HYPERLINK("https://rhld.insurance.arkansas.gov/NPILookup?Npi=1659823094","1659823094")</f>
        <v>1659823094</v>
      </c>
      <c r="E26940" s="1" t="s">
        <v>28043</v>
      </c>
      <c r="F26940" s="2"/>
      <c r="G26940" s="2"/>
      <c r="H26940" s="2"/>
    </row>
    <row r="26941" spans="1:8" x14ac:dyDescent="0.25">
      <c r="A26941" s="1"/>
      <c r="B26941" s="1" t="s">
        <v>7328</v>
      </c>
      <c r="C26941" s="1" t="s">
        <v>7329</v>
      </c>
      <c r="D26941" s="22" t="str">
        <f>HYPERLINK("https://rhld.insurance.arkansas.gov/NPILookup?Npi=1659838092","1659838092")</f>
        <v>1659838092</v>
      </c>
      <c r="E26941" s="1" t="s">
        <v>28044</v>
      </c>
      <c r="F26941" s="2"/>
      <c r="G26941" s="2"/>
      <c r="H26941" s="2"/>
    </row>
    <row r="26942" spans="1:8" x14ac:dyDescent="0.25">
      <c r="A26942" s="1"/>
      <c r="B26942" s="1" t="s">
        <v>7328</v>
      </c>
      <c r="C26942" s="1" t="s">
        <v>7329</v>
      </c>
      <c r="D26942" s="22" t="str">
        <f>HYPERLINK("https://rhld.insurance.arkansas.gov/NPILookup?Npi=1659844702","1659844702")</f>
        <v>1659844702</v>
      </c>
      <c r="E26942" s="1" t="s">
        <v>28045</v>
      </c>
      <c r="F26942" s="2"/>
      <c r="G26942" s="2"/>
      <c r="H26942" s="2"/>
    </row>
    <row r="26943" spans="1:8" x14ac:dyDescent="0.25">
      <c r="A26943" s="1"/>
      <c r="B26943" s="1" t="s">
        <v>7328</v>
      </c>
      <c r="C26943" s="1" t="s">
        <v>7329</v>
      </c>
      <c r="D26943" s="22" t="str">
        <f>HYPERLINK("https://rhld.insurance.arkansas.gov/NPILookup?Npi=1659864064","1659864064")</f>
        <v>1659864064</v>
      </c>
      <c r="E26943" s="1" t="s">
        <v>7973</v>
      </c>
      <c r="F26943" s="2"/>
      <c r="G26943" s="2"/>
      <c r="H26943" s="2"/>
    </row>
    <row r="26944" spans="1:8" x14ac:dyDescent="0.25">
      <c r="A26944" s="1"/>
      <c r="B26944" s="1" t="s">
        <v>7328</v>
      </c>
      <c r="C26944" s="1" t="s">
        <v>7329</v>
      </c>
      <c r="D26944" s="22" t="str">
        <f>HYPERLINK("https://rhld.insurance.arkansas.gov/NPILookup?Npi=1659868933","1659868933")</f>
        <v>1659868933</v>
      </c>
      <c r="E26944" s="1" t="s">
        <v>28046</v>
      </c>
      <c r="F26944" s="2"/>
      <c r="G26944" s="2"/>
      <c r="H26944" s="2"/>
    </row>
    <row r="26945" spans="1:8" x14ac:dyDescent="0.25">
      <c r="A26945" s="1"/>
      <c r="B26945" s="1" t="s">
        <v>7328</v>
      </c>
      <c r="C26945" s="1" t="s">
        <v>7329</v>
      </c>
      <c r="D26945" s="22" t="str">
        <f>HYPERLINK("https://rhld.insurance.arkansas.gov/NPILookup?Npi=1659879583","1659879583")</f>
        <v>1659879583</v>
      </c>
      <c r="E26945" s="1" t="s">
        <v>28047</v>
      </c>
      <c r="F26945" s="2"/>
      <c r="G26945" s="2"/>
      <c r="H26945" s="2"/>
    </row>
    <row r="26946" spans="1:8" x14ac:dyDescent="0.25">
      <c r="A26946" s="1"/>
      <c r="B26946" s="1" t="s">
        <v>7328</v>
      </c>
      <c r="C26946" s="1" t="s">
        <v>7329</v>
      </c>
      <c r="D26946" s="22" t="str">
        <f>HYPERLINK("https://rhld.insurance.arkansas.gov/NPILookup?Npi=1659888188","1659888188")</f>
        <v>1659888188</v>
      </c>
      <c r="E26946" s="1" t="s">
        <v>13412</v>
      </c>
      <c r="F26946" s="2"/>
      <c r="G26946" s="2"/>
      <c r="H26946" s="2"/>
    </row>
    <row r="26947" spans="1:8" x14ac:dyDescent="0.25">
      <c r="A26947" s="1"/>
      <c r="B26947" s="1" t="s">
        <v>7328</v>
      </c>
      <c r="C26947" s="1" t="s">
        <v>7329</v>
      </c>
      <c r="D26947" s="22" t="str">
        <f>HYPERLINK("https://rhld.insurance.arkansas.gov/NPILookup?Npi=1659900520","1659900520")</f>
        <v>1659900520</v>
      </c>
      <c r="E26947" s="1" t="s">
        <v>28048</v>
      </c>
      <c r="F26947" s="2"/>
      <c r="G26947" s="2"/>
      <c r="H26947" s="2"/>
    </row>
    <row r="26948" spans="1:8" x14ac:dyDescent="0.25">
      <c r="A26948" s="1"/>
      <c r="B26948" s="1" t="s">
        <v>7328</v>
      </c>
      <c r="C26948" s="1" t="s">
        <v>7329</v>
      </c>
      <c r="D26948" s="22" t="str">
        <f>HYPERLINK("https://rhld.insurance.arkansas.gov/NPILookup?Npi=1659908614","1659908614")</f>
        <v>1659908614</v>
      </c>
      <c r="E26948" s="1" t="s">
        <v>7974</v>
      </c>
      <c r="F26948" s="2"/>
      <c r="G26948" s="2"/>
      <c r="H26948" s="2"/>
    </row>
    <row r="26949" spans="1:8" x14ac:dyDescent="0.25">
      <c r="A26949" s="1"/>
      <c r="B26949" s="1" t="s">
        <v>7328</v>
      </c>
      <c r="C26949" s="1" t="s">
        <v>7329</v>
      </c>
      <c r="D26949" s="22" t="str">
        <f>HYPERLINK("https://rhld.insurance.arkansas.gov/NPILookup?Npi=1659911253","1659911253")</f>
        <v>1659911253</v>
      </c>
      <c r="E26949" s="1" t="s">
        <v>16649</v>
      </c>
      <c r="F26949" s="2"/>
      <c r="G26949" s="2"/>
      <c r="H26949" s="2"/>
    </row>
    <row r="26950" spans="1:8" x14ac:dyDescent="0.25">
      <c r="A26950" s="1"/>
      <c r="B26950" s="1" t="s">
        <v>7328</v>
      </c>
      <c r="C26950" s="1" t="s">
        <v>7329</v>
      </c>
      <c r="D26950" s="22" t="str">
        <f>HYPERLINK("https://rhld.insurance.arkansas.gov/NPILookup?Npi=1659912855","1659912855")</f>
        <v>1659912855</v>
      </c>
      <c r="E26950" s="1" t="s">
        <v>7975</v>
      </c>
      <c r="F26950" s="2"/>
      <c r="G26950" s="2"/>
      <c r="H26950" s="2"/>
    </row>
    <row r="26951" spans="1:8" x14ac:dyDescent="0.25">
      <c r="A26951" s="1"/>
      <c r="B26951" s="1" t="s">
        <v>7328</v>
      </c>
      <c r="C26951" s="1" t="s">
        <v>7329</v>
      </c>
      <c r="D26951" s="22" t="str">
        <f>HYPERLINK("https://rhld.insurance.arkansas.gov/NPILookup?Npi=1659918936","1659918936")</f>
        <v>1659918936</v>
      </c>
      <c r="E26951" s="1" t="s">
        <v>13413</v>
      </c>
      <c r="F26951" s="2"/>
      <c r="G26951" s="2"/>
      <c r="H26951" s="2"/>
    </row>
    <row r="26952" spans="1:8" x14ac:dyDescent="0.25">
      <c r="A26952" s="1"/>
      <c r="B26952" s="1" t="s">
        <v>7328</v>
      </c>
      <c r="C26952" s="1" t="s">
        <v>7329</v>
      </c>
      <c r="D26952" s="22" t="str">
        <f>HYPERLINK("https://rhld.insurance.arkansas.gov/NPILookup?Npi=1659925295","1659925295")</f>
        <v>1659925295</v>
      </c>
      <c r="E26952" s="1" t="s">
        <v>13414</v>
      </c>
      <c r="F26952" s="2"/>
      <c r="G26952" s="2"/>
      <c r="H26952" s="2"/>
    </row>
    <row r="26953" spans="1:8" x14ac:dyDescent="0.25">
      <c r="A26953" s="1"/>
      <c r="B26953" s="1" t="s">
        <v>7328</v>
      </c>
      <c r="C26953" s="1" t="s">
        <v>7329</v>
      </c>
      <c r="D26953" s="22" t="str">
        <f>HYPERLINK("https://rhld.insurance.arkansas.gov/NPILookup?Npi=1659935476","1659935476")</f>
        <v>1659935476</v>
      </c>
      <c r="E26953" s="1" t="s">
        <v>1394</v>
      </c>
      <c r="F26953" s="2"/>
      <c r="G26953" s="2"/>
      <c r="H26953" s="2"/>
    </row>
    <row r="26954" spans="1:8" x14ac:dyDescent="0.25">
      <c r="A26954" s="1"/>
      <c r="B26954" s="1" t="s">
        <v>7328</v>
      </c>
      <c r="C26954" s="1" t="s">
        <v>7329</v>
      </c>
      <c r="D26954" s="22" t="str">
        <f>HYPERLINK("https://rhld.insurance.arkansas.gov/NPILookup?Npi=1659948651","1659948651")</f>
        <v>1659948651</v>
      </c>
      <c r="E26954" s="1" t="s">
        <v>32321</v>
      </c>
      <c r="F26954" s="2"/>
      <c r="G26954" s="2"/>
      <c r="H26954" s="2"/>
    </row>
    <row r="26955" spans="1:8" x14ac:dyDescent="0.25">
      <c r="A26955" s="1"/>
      <c r="B26955" s="1" t="s">
        <v>7328</v>
      </c>
      <c r="C26955" s="1" t="s">
        <v>7329</v>
      </c>
      <c r="D26955" s="22" t="str">
        <f>HYPERLINK("https://rhld.insurance.arkansas.gov/NPILookup?Npi=1659951465","1659951465")</f>
        <v>1659951465</v>
      </c>
      <c r="E26955" s="1" t="s">
        <v>28049</v>
      </c>
      <c r="F26955" s="2"/>
      <c r="G26955" s="2"/>
      <c r="H26955" s="2"/>
    </row>
    <row r="26956" spans="1:8" x14ac:dyDescent="0.25">
      <c r="A26956" s="1"/>
      <c r="B26956" s="1" t="s">
        <v>7328</v>
      </c>
      <c r="C26956" s="1" t="s">
        <v>7329</v>
      </c>
      <c r="D26956" s="22" t="str">
        <f>HYPERLINK("https://rhld.insurance.arkansas.gov/NPILookup?Npi=1659964153","1659964153")</f>
        <v>1659964153</v>
      </c>
      <c r="E26956" s="1" t="s">
        <v>28050</v>
      </c>
      <c r="F26956" s="2"/>
      <c r="G26956" s="2"/>
      <c r="H26956" s="2"/>
    </row>
    <row r="26957" spans="1:8" x14ac:dyDescent="0.25">
      <c r="A26957" s="1"/>
      <c r="B26957" s="1" t="s">
        <v>7328</v>
      </c>
      <c r="C26957" s="1" t="s">
        <v>7329</v>
      </c>
      <c r="D26957" s="22" t="str">
        <f>HYPERLINK("https://rhld.insurance.arkansas.gov/NPILookup?Npi=1659967834","1659967834")</f>
        <v>1659967834</v>
      </c>
      <c r="E26957" s="1" t="s">
        <v>28051</v>
      </c>
      <c r="F26957" s="2"/>
      <c r="G26957" s="2"/>
      <c r="H26957" s="2"/>
    </row>
    <row r="26958" spans="1:8" x14ac:dyDescent="0.25">
      <c r="A26958" s="1"/>
      <c r="B26958" s="1" t="s">
        <v>7328</v>
      </c>
      <c r="C26958" s="1" t="s">
        <v>7329</v>
      </c>
      <c r="D26958" s="22" t="str">
        <f>HYPERLINK("https://rhld.insurance.arkansas.gov/NPILookup?Npi=1659987527","1659987527")</f>
        <v>1659987527</v>
      </c>
      <c r="E26958" s="1" t="s">
        <v>13415</v>
      </c>
      <c r="F26958" s="2"/>
      <c r="G26958" s="2"/>
      <c r="H26958" s="2"/>
    </row>
    <row r="26959" spans="1:8" x14ac:dyDescent="0.25">
      <c r="A26959" s="1"/>
      <c r="B26959" s="1" t="s">
        <v>7328</v>
      </c>
      <c r="C26959" s="1" t="s">
        <v>7329</v>
      </c>
      <c r="D26959" s="22" t="str">
        <f>HYPERLINK("https://rhld.insurance.arkansas.gov/NPILookup?Npi=1659997120","1659997120")</f>
        <v>1659997120</v>
      </c>
      <c r="E26959" s="1" t="s">
        <v>7976</v>
      </c>
      <c r="F26959" s="2"/>
      <c r="G26959" s="2"/>
      <c r="H26959" s="2"/>
    </row>
    <row r="26960" spans="1:8" x14ac:dyDescent="0.25">
      <c r="A26960" s="1"/>
      <c r="B26960" s="1" t="s">
        <v>7328</v>
      </c>
      <c r="C26960" s="1" t="s">
        <v>7329</v>
      </c>
      <c r="D26960" s="22" t="str">
        <f>HYPERLINK("https://rhld.insurance.arkansas.gov/NPILookup?Npi=1659997351","1659997351")</f>
        <v>1659997351</v>
      </c>
      <c r="E26960" s="1" t="s">
        <v>13416</v>
      </c>
      <c r="F26960" s="2"/>
      <c r="G26960" s="2"/>
      <c r="H26960" s="2"/>
    </row>
    <row r="26961" spans="1:8" x14ac:dyDescent="0.25">
      <c r="A26961" s="1"/>
      <c r="B26961" s="1" t="s">
        <v>7328</v>
      </c>
      <c r="C26961" s="1" t="s">
        <v>7329</v>
      </c>
      <c r="D26961" s="22" t="str">
        <f>HYPERLINK("https://rhld.insurance.arkansas.gov/NPILookup?Npi=1669000840","1669000840")</f>
        <v>1669000840</v>
      </c>
      <c r="E26961" s="1" t="s">
        <v>7977</v>
      </c>
      <c r="F26961" s="2"/>
      <c r="G26961" s="2"/>
      <c r="H26961" s="2"/>
    </row>
    <row r="26962" spans="1:8" x14ac:dyDescent="0.25">
      <c r="A26962" s="1"/>
      <c r="B26962" s="1" t="s">
        <v>7328</v>
      </c>
      <c r="C26962" s="1" t="s">
        <v>7329</v>
      </c>
      <c r="D26962" s="22" t="str">
        <f>HYPERLINK("https://rhld.insurance.arkansas.gov/NPILookup?Npi=1669006359","1669006359")</f>
        <v>1669006359</v>
      </c>
      <c r="E26962" s="1" t="s">
        <v>22907</v>
      </c>
      <c r="F26962" s="2"/>
      <c r="G26962" s="2"/>
      <c r="H26962" s="2"/>
    </row>
    <row r="26963" spans="1:8" x14ac:dyDescent="0.25">
      <c r="A26963" s="1"/>
      <c r="B26963" s="1" t="s">
        <v>7328</v>
      </c>
      <c r="C26963" s="1" t="s">
        <v>7329</v>
      </c>
      <c r="D26963" s="22" t="str">
        <f>HYPERLINK("https://rhld.insurance.arkansas.gov/NPILookup?Npi=1669012878","1669012878")</f>
        <v>1669012878</v>
      </c>
      <c r="E26963" s="1" t="s">
        <v>28052</v>
      </c>
      <c r="F26963" s="2"/>
      <c r="G26963" s="2"/>
      <c r="H26963" s="2"/>
    </row>
    <row r="26964" spans="1:8" x14ac:dyDescent="0.25">
      <c r="A26964" s="1"/>
      <c r="B26964" s="1" t="s">
        <v>7328</v>
      </c>
      <c r="C26964" s="1" t="s">
        <v>7329</v>
      </c>
      <c r="D26964" s="22" t="str">
        <f>HYPERLINK("https://rhld.insurance.arkansas.gov/NPILookup?Npi=1669013942","1669013942")</f>
        <v>1669013942</v>
      </c>
      <c r="E26964" s="1" t="s">
        <v>2956</v>
      </c>
      <c r="F26964" s="2"/>
      <c r="G26964" s="2"/>
      <c r="H26964" s="2"/>
    </row>
    <row r="26965" spans="1:8" x14ac:dyDescent="0.25">
      <c r="A26965" s="1"/>
      <c r="B26965" s="1" t="s">
        <v>7328</v>
      </c>
      <c r="C26965" s="1" t="s">
        <v>7329</v>
      </c>
      <c r="D26965" s="22" t="str">
        <f>HYPERLINK("https://rhld.insurance.arkansas.gov/NPILookup?Npi=1669014619","1669014619")</f>
        <v>1669014619</v>
      </c>
      <c r="E26965" s="1" t="s">
        <v>28053</v>
      </c>
      <c r="F26965" s="2"/>
      <c r="G26965" s="2"/>
      <c r="H26965" s="2"/>
    </row>
    <row r="26966" spans="1:8" x14ac:dyDescent="0.25">
      <c r="A26966" s="1"/>
      <c r="B26966" s="1" t="s">
        <v>7328</v>
      </c>
      <c r="C26966" s="1" t="s">
        <v>7329</v>
      </c>
      <c r="D26966" s="22" t="str">
        <f>HYPERLINK("https://rhld.insurance.arkansas.gov/NPILookup?Npi=1669017315","1669017315")</f>
        <v>1669017315</v>
      </c>
      <c r="E26966" s="1" t="s">
        <v>28054</v>
      </c>
      <c r="F26966" s="2"/>
      <c r="G26966" s="2"/>
      <c r="H26966" s="2"/>
    </row>
    <row r="26967" spans="1:8" x14ac:dyDescent="0.25">
      <c r="A26967" s="1"/>
      <c r="B26967" s="1" t="s">
        <v>7328</v>
      </c>
      <c r="C26967" s="1" t="s">
        <v>7329</v>
      </c>
      <c r="D26967" s="22" t="str">
        <f>HYPERLINK("https://rhld.insurance.arkansas.gov/NPILookup?Npi=1669020046","1669020046")</f>
        <v>1669020046</v>
      </c>
      <c r="E26967" s="1" t="s">
        <v>13417</v>
      </c>
      <c r="F26967" s="2"/>
      <c r="G26967" s="2"/>
      <c r="H26967" s="2"/>
    </row>
    <row r="26968" spans="1:8" x14ac:dyDescent="0.25">
      <c r="A26968" s="1"/>
      <c r="B26968" s="1" t="s">
        <v>7328</v>
      </c>
      <c r="C26968" s="1" t="s">
        <v>7329</v>
      </c>
      <c r="D26968" s="22" t="str">
        <f>HYPERLINK("https://rhld.insurance.arkansas.gov/NPILookup?Npi=1669024931","1669024931")</f>
        <v>1669024931</v>
      </c>
      <c r="E26968" s="1" t="s">
        <v>1395</v>
      </c>
      <c r="F26968" s="2"/>
      <c r="G26968" s="2"/>
      <c r="H26968" s="2"/>
    </row>
    <row r="26969" spans="1:8" x14ac:dyDescent="0.25">
      <c r="A26969" s="1"/>
      <c r="B26969" s="1" t="s">
        <v>7328</v>
      </c>
      <c r="C26969" s="1" t="s">
        <v>7329</v>
      </c>
      <c r="D26969" s="22" t="str">
        <f>HYPERLINK("https://rhld.insurance.arkansas.gov/NPILookup?Npi=1669048799","1669048799")</f>
        <v>1669048799</v>
      </c>
      <c r="E26969" s="1" t="s">
        <v>28055</v>
      </c>
      <c r="F26969" s="2"/>
      <c r="G26969" s="2"/>
      <c r="H26969" s="2"/>
    </row>
    <row r="26970" spans="1:8" x14ac:dyDescent="0.25">
      <c r="A26970" s="1"/>
      <c r="B26970" s="1" t="s">
        <v>7328</v>
      </c>
      <c r="C26970" s="1" t="s">
        <v>7329</v>
      </c>
      <c r="D26970" s="22" t="str">
        <f>HYPERLINK("https://rhld.insurance.arkansas.gov/NPILookup?Npi=1669051751","1669051751")</f>
        <v>1669051751</v>
      </c>
      <c r="E26970" s="1" t="s">
        <v>7978</v>
      </c>
      <c r="F26970" s="2"/>
      <c r="G26970" s="2"/>
      <c r="H26970" s="2"/>
    </row>
    <row r="26971" spans="1:8" x14ac:dyDescent="0.25">
      <c r="A26971" s="1"/>
      <c r="B26971" s="1" t="s">
        <v>7328</v>
      </c>
      <c r="C26971" s="1" t="s">
        <v>7329</v>
      </c>
      <c r="D26971" s="22" t="str">
        <f>HYPERLINK("https://rhld.insurance.arkansas.gov/NPILookup?Npi=1669058012","1669058012")</f>
        <v>1669058012</v>
      </c>
      <c r="E26971" s="1" t="s">
        <v>28056</v>
      </c>
      <c r="F26971" s="2"/>
      <c r="G26971" s="2"/>
      <c r="H26971" s="2"/>
    </row>
    <row r="26972" spans="1:8" x14ac:dyDescent="0.25">
      <c r="A26972" s="1"/>
      <c r="B26972" s="1" t="s">
        <v>7328</v>
      </c>
      <c r="C26972" s="1" t="s">
        <v>7329</v>
      </c>
      <c r="D26972" s="22" t="str">
        <f>HYPERLINK("https://rhld.insurance.arkansas.gov/NPILookup?Npi=1669073631","1669073631")</f>
        <v>1669073631</v>
      </c>
      <c r="E26972" s="1" t="s">
        <v>13418</v>
      </c>
      <c r="F26972" s="2"/>
      <c r="G26972" s="2"/>
      <c r="H26972" s="2"/>
    </row>
    <row r="26973" spans="1:8" x14ac:dyDescent="0.25">
      <c r="A26973" s="1"/>
      <c r="B26973" s="1" t="s">
        <v>7328</v>
      </c>
      <c r="C26973" s="1" t="s">
        <v>7329</v>
      </c>
      <c r="D26973" s="22" t="str">
        <f>HYPERLINK("https://rhld.insurance.arkansas.gov/NPILookup?Npi=1669079380","1669079380")</f>
        <v>1669079380</v>
      </c>
      <c r="E26973" s="1" t="s">
        <v>13419</v>
      </c>
      <c r="F26973" s="2"/>
      <c r="G26973" s="2"/>
      <c r="H26973" s="2"/>
    </row>
    <row r="26974" spans="1:8" x14ac:dyDescent="0.25">
      <c r="A26974" s="1"/>
      <c r="B26974" s="1" t="s">
        <v>7328</v>
      </c>
      <c r="C26974" s="1" t="s">
        <v>7329</v>
      </c>
      <c r="D26974" s="22" t="str">
        <f>HYPERLINK("https://rhld.insurance.arkansas.gov/NPILookup?Npi=1669086898","1669086898")</f>
        <v>1669086898</v>
      </c>
      <c r="E26974" s="1" t="s">
        <v>13420</v>
      </c>
      <c r="F26974" s="2"/>
      <c r="G26974" s="2"/>
      <c r="H26974" s="2"/>
    </row>
    <row r="26975" spans="1:8" x14ac:dyDescent="0.25">
      <c r="A26975" s="1"/>
      <c r="B26975" s="1" t="s">
        <v>7328</v>
      </c>
      <c r="C26975" s="1" t="s">
        <v>7329</v>
      </c>
      <c r="D26975" s="22" t="str">
        <f>HYPERLINK("https://rhld.insurance.arkansas.gov/NPILookup?Npi=1669091195","1669091195")</f>
        <v>1669091195</v>
      </c>
      <c r="E26975" s="1" t="s">
        <v>28057</v>
      </c>
      <c r="F26975" s="2"/>
      <c r="G26975" s="2"/>
      <c r="H26975" s="2"/>
    </row>
    <row r="26976" spans="1:8" x14ac:dyDescent="0.25">
      <c r="A26976" s="1"/>
      <c r="B26976" s="1" t="s">
        <v>7328</v>
      </c>
      <c r="C26976" s="1" t="s">
        <v>7329</v>
      </c>
      <c r="D26976" s="22" t="str">
        <f>HYPERLINK("https://rhld.insurance.arkansas.gov/NPILookup?Npi=1669097119","1669097119")</f>
        <v>1669097119</v>
      </c>
      <c r="E26976" s="1" t="s">
        <v>7979</v>
      </c>
      <c r="F26976" s="2"/>
      <c r="G26976" s="2"/>
      <c r="H26976" s="2"/>
    </row>
    <row r="26977" spans="1:8" x14ac:dyDescent="0.25">
      <c r="A26977" s="1"/>
      <c r="B26977" s="1" t="s">
        <v>7328</v>
      </c>
      <c r="C26977" s="1" t="s">
        <v>7329</v>
      </c>
      <c r="D26977" s="22" t="str">
        <f>HYPERLINK("https://rhld.insurance.arkansas.gov/NPILookup?Npi=1669122990","1669122990")</f>
        <v>1669122990</v>
      </c>
      <c r="E26977" s="1" t="s">
        <v>31455</v>
      </c>
      <c r="F26977" s="2"/>
      <c r="G26977" s="2"/>
      <c r="H26977" s="2"/>
    </row>
    <row r="26978" spans="1:8" x14ac:dyDescent="0.25">
      <c r="A26978" s="1"/>
      <c r="B26978" s="1" t="s">
        <v>7328</v>
      </c>
      <c r="C26978" s="1" t="s">
        <v>7329</v>
      </c>
      <c r="D26978" s="22" t="str">
        <f>HYPERLINK("https://rhld.insurance.arkansas.gov/NPILookup?Npi=1669129250","1669129250")</f>
        <v>1669129250</v>
      </c>
      <c r="E26978" s="1" t="s">
        <v>2399</v>
      </c>
      <c r="F26978" s="2"/>
      <c r="G26978" s="2"/>
      <c r="H26978" s="2"/>
    </row>
    <row r="26979" spans="1:8" x14ac:dyDescent="0.25">
      <c r="A26979" s="1"/>
      <c r="B26979" s="1" t="s">
        <v>7328</v>
      </c>
      <c r="C26979" s="1" t="s">
        <v>7329</v>
      </c>
      <c r="D26979" s="22" t="str">
        <f>HYPERLINK("https://rhld.insurance.arkansas.gov/NPILookup?Npi=1669129631","1669129631")</f>
        <v>1669129631</v>
      </c>
      <c r="E26979" s="1" t="s">
        <v>28058</v>
      </c>
      <c r="F26979" s="2"/>
      <c r="G26979" s="2"/>
      <c r="H26979" s="2"/>
    </row>
    <row r="26980" spans="1:8" x14ac:dyDescent="0.25">
      <c r="A26980" s="1"/>
      <c r="B26980" s="1" t="s">
        <v>7328</v>
      </c>
      <c r="C26980" s="1" t="s">
        <v>7329</v>
      </c>
      <c r="D26980" s="22" t="str">
        <f>HYPERLINK("https://rhld.insurance.arkansas.gov/NPILookup?Npi=1669144820","1669144820")</f>
        <v>1669144820</v>
      </c>
      <c r="E26980" s="1" t="s">
        <v>22915</v>
      </c>
      <c r="F26980" s="2"/>
      <c r="G26980" s="2"/>
      <c r="H26980" s="2"/>
    </row>
    <row r="26981" spans="1:8" x14ac:dyDescent="0.25">
      <c r="A26981" s="1"/>
      <c r="B26981" s="1" t="s">
        <v>7328</v>
      </c>
      <c r="C26981" s="1" t="s">
        <v>7329</v>
      </c>
      <c r="D26981" s="22" t="str">
        <f>HYPERLINK("https://rhld.insurance.arkansas.gov/NPILookup?Npi=1669154225","1669154225")</f>
        <v>1669154225</v>
      </c>
      <c r="E26981" s="1" t="s">
        <v>7980</v>
      </c>
      <c r="F26981" s="2"/>
      <c r="G26981" s="2"/>
      <c r="H26981" s="2"/>
    </row>
    <row r="26982" spans="1:8" x14ac:dyDescent="0.25">
      <c r="A26982" s="1"/>
      <c r="B26982" s="1" t="s">
        <v>7328</v>
      </c>
      <c r="C26982" s="1" t="s">
        <v>7329</v>
      </c>
      <c r="D26982" s="22" t="str">
        <f>HYPERLINK("https://rhld.insurance.arkansas.gov/NPILookup?Npi=1669176251","1669176251")</f>
        <v>1669176251</v>
      </c>
      <c r="E26982" s="1" t="s">
        <v>13421</v>
      </c>
      <c r="F26982" s="2"/>
      <c r="G26982" s="2"/>
      <c r="H26982" s="2"/>
    </row>
    <row r="26983" spans="1:8" x14ac:dyDescent="0.25">
      <c r="A26983" s="1"/>
      <c r="B26983" s="1" t="s">
        <v>7328</v>
      </c>
      <c r="C26983" s="1" t="s">
        <v>7329</v>
      </c>
      <c r="D26983" s="22" t="str">
        <f>HYPERLINK("https://rhld.insurance.arkansas.gov/NPILookup?Npi=1669181665","1669181665")</f>
        <v>1669181665</v>
      </c>
      <c r="E26983" s="1" t="s">
        <v>7981</v>
      </c>
      <c r="F26983" s="2"/>
      <c r="G26983" s="2"/>
      <c r="H26983" s="2"/>
    </row>
    <row r="26984" spans="1:8" x14ac:dyDescent="0.25">
      <c r="A26984" s="1"/>
      <c r="B26984" s="1" t="s">
        <v>7328</v>
      </c>
      <c r="C26984" s="1" t="s">
        <v>7329</v>
      </c>
      <c r="D26984" s="22" t="str">
        <f>HYPERLINK("https://rhld.insurance.arkansas.gov/NPILookup?Npi=1669197927","1669197927")</f>
        <v>1669197927</v>
      </c>
      <c r="E26984" s="1" t="s">
        <v>7982</v>
      </c>
      <c r="F26984" s="2"/>
      <c r="G26984" s="2"/>
      <c r="H26984" s="2"/>
    </row>
    <row r="26985" spans="1:8" x14ac:dyDescent="0.25">
      <c r="A26985" s="1"/>
      <c r="B26985" s="1" t="s">
        <v>7328</v>
      </c>
      <c r="C26985" s="1" t="s">
        <v>7329</v>
      </c>
      <c r="D26985" s="22" t="str">
        <f>HYPERLINK("https://rhld.insurance.arkansas.gov/NPILookup?Npi=1669198826","1669198826")</f>
        <v>1669198826</v>
      </c>
      <c r="E26985" s="1" t="s">
        <v>28059</v>
      </c>
      <c r="F26985" s="2"/>
      <c r="G26985" s="2"/>
      <c r="H26985" s="2"/>
    </row>
    <row r="26986" spans="1:8" x14ac:dyDescent="0.25">
      <c r="A26986" s="1"/>
      <c r="B26986" s="1" t="s">
        <v>7328</v>
      </c>
      <c r="C26986" s="1" t="s">
        <v>7329</v>
      </c>
      <c r="D26986" s="22" t="str">
        <f>HYPERLINK("https://rhld.insurance.arkansas.gov/NPILookup?Npi=1669205308","1669205308")</f>
        <v>1669205308</v>
      </c>
      <c r="E26986" s="1" t="s">
        <v>32322</v>
      </c>
      <c r="F26986" s="2"/>
      <c r="G26986" s="2"/>
      <c r="H26986" s="2"/>
    </row>
    <row r="26987" spans="1:8" x14ac:dyDescent="0.25">
      <c r="A26987" s="1"/>
      <c r="B26987" s="1" t="s">
        <v>7328</v>
      </c>
      <c r="C26987" s="1" t="s">
        <v>7329</v>
      </c>
      <c r="D26987" s="22" t="str">
        <f>HYPERLINK("https://rhld.insurance.arkansas.gov/NPILookup?Npi=1669217659","1669217659")</f>
        <v>1669217659</v>
      </c>
      <c r="E26987" s="1" t="s">
        <v>28060</v>
      </c>
      <c r="F26987" s="2"/>
      <c r="G26987" s="2"/>
      <c r="H26987" s="2"/>
    </row>
    <row r="26988" spans="1:8" x14ac:dyDescent="0.25">
      <c r="A26988" s="1"/>
      <c r="B26988" s="1" t="s">
        <v>7328</v>
      </c>
      <c r="C26988" s="1" t="s">
        <v>7329</v>
      </c>
      <c r="D26988" s="22" t="str">
        <f>HYPERLINK("https://rhld.insurance.arkansas.gov/NPILookup?Npi=1669277646","1669277646")</f>
        <v>1669277646</v>
      </c>
      <c r="E26988" s="1" t="s">
        <v>31918</v>
      </c>
      <c r="F26988" s="2"/>
      <c r="G26988" s="2"/>
      <c r="H26988" s="2"/>
    </row>
    <row r="26989" spans="1:8" x14ac:dyDescent="0.25">
      <c r="A26989" s="1"/>
      <c r="B26989" s="1" t="s">
        <v>7328</v>
      </c>
      <c r="C26989" s="1" t="s">
        <v>7329</v>
      </c>
      <c r="D26989" s="22" t="str">
        <f>HYPERLINK("https://rhld.insurance.arkansas.gov/NPILookup?Npi=1669423125","1669423125")</f>
        <v>1669423125</v>
      </c>
      <c r="E26989" s="1" t="s">
        <v>28062</v>
      </c>
      <c r="F26989" s="2"/>
      <c r="G26989" s="2"/>
      <c r="H26989" s="2"/>
    </row>
    <row r="26990" spans="1:8" x14ac:dyDescent="0.25">
      <c r="A26990" s="1"/>
      <c r="B26990" s="1" t="s">
        <v>7328</v>
      </c>
      <c r="C26990" s="1" t="s">
        <v>7329</v>
      </c>
      <c r="D26990" s="22" t="str">
        <f>HYPERLINK("https://rhld.insurance.arkansas.gov/NPILookup?Npi=1669430682","1669430682")</f>
        <v>1669430682</v>
      </c>
      <c r="E26990" s="1" t="s">
        <v>28063</v>
      </c>
      <c r="F26990" s="2"/>
      <c r="G26990" s="2"/>
      <c r="H26990" s="2"/>
    </row>
    <row r="26991" spans="1:8" x14ac:dyDescent="0.25">
      <c r="A26991" s="1"/>
      <c r="B26991" s="1" t="s">
        <v>7328</v>
      </c>
      <c r="C26991" s="1" t="s">
        <v>7329</v>
      </c>
      <c r="D26991" s="22" t="str">
        <f>HYPERLINK("https://rhld.insurance.arkansas.gov/NPILookup?Npi=1669433520","1669433520")</f>
        <v>1669433520</v>
      </c>
      <c r="E26991" s="1" t="s">
        <v>13422</v>
      </c>
      <c r="F26991" s="2"/>
      <c r="G26991" s="2"/>
      <c r="H26991" s="2"/>
    </row>
    <row r="26992" spans="1:8" x14ac:dyDescent="0.25">
      <c r="A26992" s="1"/>
      <c r="B26992" s="1" t="s">
        <v>7328</v>
      </c>
      <c r="C26992" s="1" t="s">
        <v>7329</v>
      </c>
      <c r="D26992" s="22" t="str">
        <f>HYPERLINK("https://rhld.insurance.arkansas.gov/NPILookup?Npi=1669434171","1669434171")</f>
        <v>1669434171</v>
      </c>
      <c r="E26992" s="1" t="s">
        <v>28064</v>
      </c>
      <c r="F26992" s="2"/>
      <c r="G26992" s="2"/>
      <c r="H26992" s="2"/>
    </row>
    <row r="26993" spans="1:8" x14ac:dyDescent="0.25">
      <c r="A26993" s="1"/>
      <c r="B26993" s="1" t="s">
        <v>7328</v>
      </c>
      <c r="C26993" s="1" t="s">
        <v>7329</v>
      </c>
      <c r="D26993" s="22" t="str">
        <f>HYPERLINK("https://rhld.insurance.arkansas.gov/NPILookup?Npi=1669440822","1669440822")</f>
        <v>1669440822</v>
      </c>
      <c r="E26993" s="1" t="s">
        <v>13423</v>
      </c>
      <c r="F26993" s="2"/>
      <c r="G26993" s="2"/>
      <c r="H26993" s="2"/>
    </row>
    <row r="26994" spans="1:8" x14ac:dyDescent="0.25">
      <c r="A26994" s="1"/>
      <c r="B26994" s="1" t="s">
        <v>7328</v>
      </c>
      <c r="C26994" s="1" t="s">
        <v>7329</v>
      </c>
      <c r="D26994" s="22" t="str">
        <f>HYPERLINK("https://rhld.insurance.arkansas.gov/NPILookup?Npi=1669441671","1669441671")</f>
        <v>1669441671</v>
      </c>
      <c r="E26994" s="1" t="s">
        <v>4443</v>
      </c>
      <c r="F26994" s="2"/>
      <c r="G26994" s="2"/>
      <c r="H26994" s="2"/>
    </row>
    <row r="26995" spans="1:8" x14ac:dyDescent="0.25">
      <c r="A26995" s="1"/>
      <c r="B26995" s="1" t="s">
        <v>7328</v>
      </c>
      <c r="C26995" s="1" t="s">
        <v>7329</v>
      </c>
      <c r="D26995" s="22" t="str">
        <f>HYPERLINK("https://rhld.insurance.arkansas.gov/NPILookup?Npi=1669444741","1669444741")</f>
        <v>1669444741</v>
      </c>
      <c r="E26995" s="1" t="s">
        <v>28065</v>
      </c>
      <c r="F26995" s="2"/>
      <c r="G26995" s="2"/>
      <c r="H26995" s="2"/>
    </row>
    <row r="26996" spans="1:8" x14ac:dyDescent="0.25">
      <c r="A26996" s="1"/>
      <c r="B26996" s="1" t="s">
        <v>7328</v>
      </c>
      <c r="C26996" s="1" t="s">
        <v>7329</v>
      </c>
      <c r="D26996" s="22" t="str">
        <f>HYPERLINK("https://rhld.insurance.arkansas.gov/NPILookup?Npi=1669451407","1669451407")</f>
        <v>1669451407</v>
      </c>
      <c r="E26996" s="1" t="s">
        <v>28066</v>
      </c>
      <c r="F26996" s="2"/>
      <c r="G26996" s="2"/>
      <c r="H26996" s="2"/>
    </row>
    <row r="26997" spans="1:8" x14ac:dyDescent="0.25">
      <c r="A26997" s="1"/>
      <c r="B26997" s="1" t="s">
        <v>7328</v>
      </c>
      <c r="C26997" s="1" t="s">
        <v>7329</v>
      </c>
      <c r="D26997" s="22" t="str">
        <f>HYPERLINK("https://rhld.insurance.arkansas.gov/NPILookup?Npi=1669459905","1669459905")</f>
        <v>1669459905</v>
      </c>
      <c r="E26997" s="1" t="s">
        <v>2049</v>
      </c>
      <c r="F26997" s="2"/>
      <c r="G26997" s="2"/>
      <c r="H26997" s="2"/>
    </row>
    <row r="26998" spans="1:8" x14ac:dyDescent="0.25">
      <c r="A26998" s="1"/>
      <c r="B26998" s="1" t="s">
        <v>7328</v>
      </c>
      <c r="C26998" s="1" t="s">
        <v>7329</v>
      </c>
      <c r="D26998" s="22" t="str">
        <f>HYPERLINK("https://rhld.insurance.arkansas.gov/NPILookup?Npi=1669465795","1669465795")</f>
        <v>1669465795</v>
      </c>
      <c r="E26998" s="1" t="s">
        <v>28067</v>
      </c>
      <c r="F26998" s="2"/>
      <c r="G26998" s="2"/>
      <c r="H26998" s="2"/>
    </row>
    <row r="26999" spans="1:8" x14ac:dyDescent="0.25">
      <c r="A26999" s="1"/>
      <c r="B26999" s="1" t="s">
        <v>7328</v>
      </c>
      <c r="C26999" s="1" t="s">
        <v>7329</v>
      </c>
      <c r="D26999" s="22" t="str">
        <f>HYPERLINK("https://rhld.insurance.arkansas.gov/NPILookup?Npi=1669467056","1669467056")</f>
        <v>1669467056</v>
      </c>
      <c r="E26999" s="1" t="s">
        <v>13424</v>
      </c>
      <c r="F26999" s="2"/>
      <c r="G26999" s="2"/>
      <c r="H26999" s="2"/>
    </row>
    <row r="27000" spans="1:8" x14ac:dyDescent="0.25">
      <c r="A27000" s="1"/>
      <c r="B27000" s="1" t="s">
        <v>7328</v>
      </c>
      <c r="C27000" s="1" t="s">
        <v>7329</v>
      </c>
      <c r="D27000" s="22" t="str">
        <f>HYPERLINK("https://rhld.insurance.arkansas.gov/NPILookup?Npi=1669477469","1669477469")</f>
        <v>1669477469</v>
      </c>
      <c r="E27000" s="1" t="s">
        <v>28068</v>
      </c>
      <c r="F27000" s="2"/>
      <c r="G27000" s="2"/>
      <c r="H27000" s="2"/>
    </row>
    <row r="27001" spans="1:8" x14ac:dyDescent="0.25">
      <c r="A27001" s="1"/>
      <c r="B27001" s="1" t="s">
        <v>7328</v>
      </c>
      <c r="C27001" s="1" t="s">
        <v>7329</v>
      </c>
      <c r="D27001" s="22" t="str">
        <f>HYPERLINK("https://rhld.insurance.arkansas.gov/NPILookup?Npi=1669486601","1669486601")</f>
        <v>1669486601</v>
      </c>
      <c r="E27001" s="1" t="s">
        <v>7983</v>
      </c>
      <c r="F27001" s="2"/>
      <c r="G27001" s="2"/>
      <c r="H27001" s="2"/>
    </row>
    <row r="27002" spans="1:8" x14ac:dyDescent="0.25">
      <c r="A27002" s="1"/>
      <c r="B27002" s="1" t="s">
        <v>7328</v>
      </c>
      <c r="C27002" s="1" t="s">
        <v>7329</v>
      </c>
      <c r="D27002" s="22" t="str">
        <f>HYPERLINK("https://rhld.insurance.arkansas.gov/NPILookup?Npi=1669494860","1669494860")</f>
        <v>1669494860</v>
      </c>
      <c r="E27002" s="1" t="s">
        <v>17763</v>
      </c>
      <c r="F27002" s="2"/>
      <c r="G27002" s="2"/>
      <c r="H27002" s="2"/>
    </row>
    <row r="27003" spans="1:8" x14ac:dyDescent="0.25">
      <c r="A27003" s="1"/>
      <c r="B27003" s="1" t="s">
        <v>7328</v>
      </c>
      <c r="C27003" s="1" t="s">
        <v>7329</v>
      </c>
      <c r="D27003" s="22" t="str">
        <f>HYPERLINK("https://rhld.insurance.arkansas.gov/NPILookup?Npi=1669525275","1669525275")</f>
        <v>1669525275</v>
      </c>
      <c r="E27003" s="1" t="s">
        <v>28069</v>
      </c>
      <c r="F27003" s="2"/>
      <c r="G27003" s="2"/>
      <c r="H27003" s="2"/>
    </row>
    <row r="27004" spans="1:8" x14ac:dyDescent="0.25">
      <c r="A27004" s="1"/>
      <c r="B27004" s="1" t="s">
        <v>7328</v>
      </c>
      <c r="C27004" s="1" t="s">
        <v>7329</v>
      </c>
      <c r="D27004" s="22" t="str">
        <f>HYPERLINK("https://rhld.insurance.arkansas.gov/NPILookup?Npi=1669545711","1669545711")</f>
        <v>1669545711</v>
      </c>
      <c r="E27004" s="1" t="s">
        <v>17764</v>
      </c>
      <c r="F27004" s="2"/>
      <c r="G27004" s="2"/>
      <c r="H27004" s="2"/>
    </row>
    <row r="27005" spans="1:8" x14ac:dyDescent="0.25">
      <c r="A27005" s="1"/>
      <c r="B27005" s="1" t="s">
        <v>7328</v>
      </c>
      <c r="C27005" s="1" t="s">
        <v>7329</v>
      </c>
      <c r="D27005" s="22" t="str">
        <f>HYPERLINK("https://rhld.insurance.arkansas.gov/NPILookup?Npi=1669562146","1669562146")</f>
        <v>1669562146</v>
      </c>
      <c r="E27005" s="1" t="s">
        <v>28070</v>
      </c>
      <c r="F27005" s="2"/>
      <c r="G27005" s="2"/>
      <c r="H27005" s="2"/>
    </row>
    <row r="27006" spans="1:8" x14ac:dyDescent="0.25">
      <c r="A27006" s="1"/>
      <c r="B27006" s="1" t="s">
        <v>7328</v>
      </c>
      <c r="C27006" s="1" t="s">
        <v>7329</v>
      </c>
      <c r="D27006" s="22" t="str">
        <f>HYPERLINK("https://rhld.insurance.arkansas.gov/NPILookup?Npi=1669571055","1669571055")</f>
        <v>1669571055</v>
      </c>
      <c r="E27006" s="1" t="s">
        <v>28071</v>
      </c>
      <c r="F27006" s="2"/>
      <c r="G27006" s="2"/>
      <c r="H27006" s="2"/>
    </row>
    <row r="27007" spans="1:8" x14ac:dyDescent="0.25">
      <c r="A27007" s="1"/>
      <c r="B27007" s="1" t="s">
        <v>7328</v>
      </c>
      <c r="C27007" s="1" t="s">
        <v>7329</v>
      </c>
      <c r="D27007" s="22" t="str">
        <f>HYPERLINK("https://rhld.insurance.arkansas.gov/NPILookup?Npi=1669575569","1669575569")</f>
        <v>1669575569</v>
      </c>
      <c r="E27007" s="1" t="s">
        <v>13425</v>
      </c>
      <c r="F27007" s="2"/>
      <c r="G27007" s="2"/>
      <c r="H27007" s="2"/>
    </row>
    <row r="27008" spans="1:8" x14ac:dyDescent="0.25">
      <c r="A27008" s="1"/>
      <c r="B27008" s="1" t="s">
        <v>7328</v>
      </c>
      <c r="C27008" s="1" t="s">
        <v>7329</v>
      </c>
      <c r="D27008" s="22" t="str">
        <f>HYPERLINK("https://rhld.insurance.arkansas.gov/NPILookup?Npi=1669585063","1669585063")</f>
        <v>1669585063</v>
      </c>
      <c r="E27008" s="1" t="s">
        <v>28072</v>
      </c>
      <c r="F27008" s="2"/>
      <c r="G27008" s="2"/>
      <c r="H27008" s="2"/>
    </row>
    <row r="27009" spans="1:8" x14ac:dyDescent="0.25">
      <c r="A27009" s="1"/>
      <c r="B27009" s="1" t="s">
        <v>7328</v>
      </c>
      <c r="C27009" s="1" t="s">
        <v>7329</v>
      </c>
      <c r="D27009" s="22" t="str">
        <f>HYPERLINK("https://rhld.insurance.arkansas.gov/NPILookup?Npi=1669598561","1669598561")</f>
        <v>1669598561</v>
      </c>
      <c r="E27009" s="1" t="s">
        <v>13426</v>
      </c>
      <c r="F27009" s="2"/>
      <c r="G27009" s="2"/>
      <c r="H27009" s="2"/>
    </row>
    <row r="27010" spans="1:8" x14ac:dyDescent="0.25">
      <c r="A27010" s="1"/>
      <c r="B27010" s="1" t="s">
        <v>7328</v>
      </c>
      <c r="C27010" s="1" t="s">
        <v>7329</v>
      </c>
      <c r="D27010" s="22" t="str">
        <f>HYPERLINK("https://rhld.insurance.arkansas.gov/NPILookup?Npi=1669614871","1669614871")</f>
        <v>1669614871</v>
      </c>
      <c r="E27010" s="1" t="s">
        <v>2957</v>
      </c>
      <c r="F27010" s="2"/>
      <c r="G27010" s="2"/>
      <c r="H27010" s="2"/>
    </row>
    <row r="27011" spans="1:8" x14ac:dyDescent="0.25">
      <c r="A27011" s="1"/>
      <c r="B27011" s="1" t="s">
        <v>7328</v>
      </c>
      <c r="C27011" s="1" t="s">
        <v>7329</v>
      </c>
      <c r="D27011" s="22" t="str">
        <f>HYPERLINK("https://rhld.insurance.arkansas.gov/NPILookup?Npi=1669614889","1669614889")</f>
        <v>1669614889</v>
      </c>
      <c r="E27011" s="1" t="s">
        <v>22925</v>
      </c>
      <c r="F27011" s="2"/>
      <c r="G27011" s="2"/>
      <c r="H27011" s="2"/>
    </row>
    <row r="27012" spans="1:8" x14ac:dyDescent="0.25">
      <c r="A27012" s="1"/>
      <c r="B27012" s="1" t="s">
        <v>7328</v>
      </c>
      <c r="C27012" s="1" t="s">
        <v>7329</v>
      </c>
      <c r="D27012" s="22" t="str">
        <f>HYPERLINK("https://rhld.insurance.arkansas.gov/NPILookup?Npi=1669621710","1669621710")</f>
        <v>1669621710</v>
      </c>
      <c r="E27012" s="1" t="s">
        <v>32323</v>
      </c>
      <c r="F27012" s="2"/>
      <c r="G27012" s="2"/>
      <c r="H27012" s="2"/>
    </row>
    <row r="27013" spans="1:8" x14ac:dyDescent="0.25">
      <c r="A27013" s="1"/>
      <c r="B27013" s="1" t="s">
        <v>7328</v>
      </c>
      <c r="C27013" s="1" t="s">
        <v>7329</v>
      </c>
      <c r="D27013" s="22" t="str">
        <f>HYPERLINK("https://rhld.insurance.arkansas.gov/NPILookup?Npi=1669637468","1669637468")</f>
        <v>1669637468</v>
      </c>
      <c r="E27013" s="1" t="s">
        <v>28073</v>
      </c>
      <c r="F27013" s="2"/>
      <c r="G27013" s="2"/>
      <c r="H27013" s="2"/>
    </row>
    <row r="27014" spans="1:8" x14ac:dyDescent="0.25">
      <c r="A27014" s="1"/>
      <c r="B27014" s="1" t="s">
        <v>7328</v>
      </c>
      <c r="C27014" s="1" t="s">
        <v>7329</v>
      </c>
      <c r="D27014" s="22" t="str">
        <f>HYPERLINK("https://rhld.insurance.arkansas.gov/NPILookup?Npi=1669642849","1669642849")</f>
        <v>1669642849</v>
      </c>
      <c r="E27014" s="1" t="s">
        <v>7984</v>
      </c>
      <c r="F27014" s="2"/>
      <c r="G27014" s="2"/>
      <c r="H27014" s="2"/>
    </row>
    <row r="27015" spans="1:8" x14ac:dyDescent="0.25">
      <c r="A27015" s="1"/>
      <c r="B27015" s="1" t="s">
        <v>7328</v>
      </c>
      <c r="C27015" s="1" t="s">
        <v>7329</v>
      </c>
      <c r="D27015" s="22" t="str">
        <f>HYPERLINK("https://rhld.insurance.arkansas.gov/NPILookup?Npi=1669645099","1669645099")</f>
        <v>1669645099</v>
      </c>
      <c r="E27015" s="1" t="s">
        <v>17765</v>
      </c>
      <c r="F27015" s="2"/>
      <c r="G27015" s="2"/>
      <c r="H27015" s="2"/>
    </row>
    <row r="27016" spans="1:8" x14ac:dyDescent="0.25">
      <c r="A27016" s="1"/>
      <c r="B27016" s="1" t="s">
        <v>7328</v>
      </c>
      <c r="C27016" s="1" t="s">
        <v>7329</v>
      </c>
      <c r="D27016" s="22" t="str">
        <f>HYPERLINK("https://rhld.insurance.arkansas.gov/NPILookup?Npi=1669658837","1669658837")</f>
        <v>1669658837</v>
      </c>
      <c r="E27016" s="1" t="s">
        <v>2958</v>
      </c>
      <c r="F27016" s="2"/>
      <c r="G27016" s="2"/>
      <c r="H27016" s="2"/>
    </row>
    <row r="27017" spans="1:8" x14ac:dyDescent="0.25">
      <c r="A27017" s="1"/>
      <c r="B27017" s="1" t="s">
        <v>7328</v>
      </c>
      <c r="C27017" s="1" t="s">
        <v>7329</v>
      </c>
      <c r="D27017" s="22" t="str">
        <f>HYPERLINK("https://rhld.insurance.arkansas.gov/NPILookup?Npi=1669665964","1669665964")</f>
        <v>1669665964</v>
      </c>
      <c r="E27017" s="1" t="s">
        <v>28074</v>
      </c>
      <c r="F27017" s="2"/>
      <c r="G27017" s="2"/>
      <c r="H27017" s="2"/>
    </row>
    <row r="27018" spans="1:8" x14ac:dyDescent="0.25">
      <c r="A27018" s="1"/>
      <c r="B27018" s="1" t="s">
        <v>7328</v>
      </c>
      <c r="C27018" s="1" t="s">
        <v>7329</v>
      </c>
      <c r="D27018" s="22" t="str">
        <f>HYPERLINK("https://rhld.insurance.arkansas.gov/NPILookup?Npi=1669669446","1669669446")</f>
        <v>1669669446</v>
      </c>
      <c r="E27018" s="1" t="s">
        <v>28075</v>
      </c>
      <c r="F27018" s="2"/>
      <c r="G27018" s="2"/>
      <c r="H27018" s="2"/>
    </row>
    <row r="27019" spans="1:8" x14ac:dyDescent="0.25">
      <c r="A27019" s="1"/>
      <c r="B27019" s="1" t="s">
        <v>7328</v>
      </c>
      <c r="C27019" s="1" t="s">
        <v>7329</v>
      </c>
      <c r="D27019" s="22" t="str">
        <f>HYPERLINK("https://rhld.insurance.arkansas.gov/NPILookup?Npi=1669714663","1669714663")</f>
        <v>1669714663</v>
      </c>
      <c r="E27019" s="1" t="s">
        <v>28076</v>
      </c>
      <c r="F27019" s="2"/>
      <c r="G27019" s="2"/>
      <c r="H27019" s="2"/>
    </row>
    <row r="27020" spans="1:8" x14ac:dyDescent="0.25">
      <c r="A27020" s="1"/>
      <c r="B27020" s="1" t="s">
        <v>7328</v>
      </c>
      <c r="C27020" s="1" t="s">
        <v>7329</v>
      </c>
      <c r="D27020" s="22" t="str">
        <f>HYPERLINK("https://rhld.insurance.arkansas.gov/NPILookup?Npi=1669717328","1669717328")</f>
        <v>1669717328</v>
      </c>
      <c r="E27020" s="1" t="s">
        <v>7985</v>
      </c>
      <c r="F27020" s="2"/>
      <c r="G27020" s="2"/>
      <c r="H27020" s="2"/>
    </row>
    <row r="27021" spans="1:8" x14ac:dyDescent="0.25">
      <c r="A27021" s="1"/>
      <c r="B27021" s="1" t="s">
        <v>7328</v>
      </c>
      <c r="C27021" s="1" t="s">
        <v>7329</v>
      </c>
      <c r="D27021" s="22" t="str">
        <f>HYPERLINK("https://rhld.insurance.arkansas.gov/NPILookup?Npi=1669731741","1669731741")</f>
        <v>1669731741</v>
      </c>
      <c r="E27021" s="1" t="s">
        <v>18835</v>
      </c>
      <c r="F27021" s="2"/>
      <c r="G27021" s="2"/>
      <c r="H27021" s="2"/>
    </row>
    <row r="27022" spans="1:8" x14ac:dyDescent="0.25">
      <c r="A27022" s="1"/>
      <c r="B27022" s="1" t="s">
        <v>7328</v>
      </c>
      <c r="C27022" s="1" t="s">
        <v>7329</v>
      </c>
      <c r="D27022" s="22" t="str">
        <f>HYPERLINK("https://rhld.insurance.arkansas.gov/NPILookup?Npi=1669747762","1669747762")</f>
        <v>1669747762</v>
      </c>
      <c r="E27022" s="1" t="s">
        <v>28077</v>
      </c>
      <c r="F27022" s="2"/>
      <c r="G27022" s="2"/>
      <c r="H27022" s="2"/>
    </row>
    <row r="27023" spans="1:8" x14ac:dyDescent="0.25">
      <c r="A27023" s="1"/>
      <c r="B27023" s="1" t="s">
        <v>7328</v>
      </c>
      <c r="C27023" s="1" t="s">
        <v>7329</v>
      </c>
      <c r="D27023" s="22" t="str">
        <f>HYPERLINK("https://rhld.insurance.arkansas.gov/NPILookup?Npi=1669758777","1669758777")</f>
        <v>1669758777</v>
      </c>
      <c r="E27023" s="1" t="s">
        <v>28078</v>
      </c>
      <c r="F27023" s="2"/>
      <c r="G27023" s="2"/>
      <c r="H27023" s="2"/>
    </row>
    <row r="27024" spans="1:8" x14ac:dyDescent="0.25">
      <c r="A27024" s="1"/>
      <c r="B27024" s="1" t="s">
        <v>7328</v>
      </c>
      <c r="C27024" s="1" t="s">
        <v>7329</v>
      </c>
      <c r="D27024" s="22" t="str">
        <f>HYPERLINK("https://rhld.insurance.arkansas.gov/NPILookup?Npi=1669798807","1669798807")</f>
        <v>1669798807</v>
      </c>
      <c r="E27024" s="1" t="s">
        <v>28079</v>
      </c>
      <c r="F27024" s="2"/>
      <c r="G27024" s="2"/>
      <c r="H27024" s="2"/>
    </row>
    <row r="27025" spans="1:8" x14ac:dyDescent="0.25">
      <c r="A27025" s="1"/>
      <c r="B27025" s="1" t="s">
        <v>7328</v>
      </c>
      <c r="C27025" s="1" t="s">
        <v>7329</v>
      </c>
      <c r="D27025" s="22" t="str">
        <f>HYPERLINK("https://rhld.insurance.arkansas.gov/NPILookup?Npi=1669807129","1669807129")</f>
        <v>1669807129</v>
      </c>
      <c r="E27025" s="1" t="s">
        <v>1716</v>
      </c>
      <c r="F27025" s="2"/>
      <c r="G27025" s="2"/>
      <c r="H27025" s="2"/>
    </row>
    <row r="27026" spans="1:8" x14ac:dyDescent="0.25">
      <c r="A27026" s="1"/>
      <c r="B27026" s="1" t="s">
        <v>7328</v>
      </c>
      <c r="C27026" s="1" t="s">
        <v>7329</v>
      </c>
      <c r="D27026" s="22" t="str">
        <f>HYPERLINK("https://rhld.insurance.arkansas.gov/NPILookup?Npi=1669807244","1669807244")</f>
        <v>1669807244</v>
      </c>
      <c r="E27026" s="1" t="s">
        <v>28080</v>
      </c>
      <c r="F27026" s="2"/>
      <c r="G27026" s="2"/>
      <c r="H27026" s="2"/>
    </row>
    <row r="27027" spans="1:8" x14ac:dyDescent="0.25">
      <c r="A27027" s="1"/>
      <c r="B27027" s="1" t="s">
        <v>7328</v>
      </c>
      <c r="C27027" s="1" t="s">
        <v>7329</v>
      </c>
      <c r="D27027" s="22" t="str">
        <f>HYPERLINK("https://rhld.insurance.arkansas.gov/NPILookup?Npi=1669808051","1669808051")</f>
        <v>1669808051</v>
      </c>
      <c r="E27027" s="1" t="s">
        <v>185</v>
      </c>
      <c r="F27027" s="2"/>
      <c r="G27027" s="2"/>
      <c r="H27027" s="2"/>
    </row>
    <row r="27028" spans="1:8" x14ac:dyDescent="0.25">
      <c r="A27028" s="1"/>
      <c r="B27028" s="1" t="s">
        <v>7328</v>
      </c>
      <c r="C27028" s="1" t="s">
        <v>7329</v>
      </c>
      <c r="D27028" s="22" t="str">
        <f>HYPERLINK("https://rhld.insurance.arkansas.gov/NPILookup?Npi=1669812178","1669812178")</f>
        <v>1669812178</v>
      </c>
      <c r="E27028" s="1" t="s">
        <v>28081</v>
      </c>
      <c r="F27028" s="2"/>
      <c r="G27028" s="2"/>
      <c r="H27028" s="2"/>
    </row>
    <row r="27029" spans="1:8" x14ac:dyDescent="0.25">
      <c r="A27029" s="1"/>
      <c r="B27029" s="1" t="s">
        <v>7328</v>
      </c>
      <c r="C27029" s="1" t="s">
        <v>7329</v>
      </c>
      <c r="D27029" s="22" t="str">
        <f>HYPERLINK("https://rhld.insurance.arkansas.gov/NPILookup?Npi=1669813234","1669813234")</f>
        <v>1669813234</v>
      </c>
      <c r="E27029" s="1" t="s">
        <v>13427</v>
      </c>
      <c r="F27029" s="2"/>
      <c r="G27029" s="2"/>
      <c r="H27029" s="2"/>
    </row>
    <row r="27030" spans="1:8" x14ac:dyDescent="0.25">
      <c r="A27030" s="1"/>
      <c r="B27030" s="1" t="s">
        <v>7328</v>
      </c>
      <c r="C27030" s="1" t="s">
        <v>7329</v>
      </c>
      <c r="D27030" s="22" t="str">
        <f>HYPERLINK("https://rhld.insurance.arkansas.gov/NPILookup?Npi=1669816831","1669816831")</f>
        <v>1669816831</v>
      </c>
      <c r="E27030" s="1" t="s">
        <v>28082</v>
      </c>
      <c r="F27030" s="2"/>
      <c r="G27030" s="2"/>
      <c r="H27030" s="2"/>
    </row>
    <row r="27031" spans="1:8" x14ac:dyDescent="0.25">
      <c r="A27031" s="1"/>
      <c r="B27031" s="1" t="s">
        <v>7328</v>
      </c>
      <c r="C27031" s="1" t="s">
        <v>7329</v>
      </c>
      <c r="D27031" s="22" t="str">
        <f>HYPERLINK("https://rhld.insurance.arkansas.gov/NPILookup?Npi=1669824199","1669824199")</f>
        <v>1669824199</v>
      </c>
      <c r="E27031" s="1" t="s">
        <v>28083</v>
      </c>
      <c r="F27031" s="2"/>
      <c r="G27031" s="2"/>
      <c r="H27031" s="2"/>
    </row>
    <row r="27032" spans="1:8" x14ac:dyDescent="0.25">
      <c r="A27032" s="1"/>
      <c r="B27032" s="1" t="s">
        <v>7328</v>
      </c>
      <c r="C27032" s="1" t="s">
        <v>7329</v>
      </c>
      <c r="D27032" s="22" t="str">
        <f>HYPERLINK("https://rhld.insurance.arkansas.gov/NPILookup?Npi=1669848156","1669848156")</f>
        <v>1669848156</v>
      </c>
      <c r="E27032" s="1" t="s">
        <v>28084</v>
      </c>
      <c r="F27032" s="2"/>
      <c r="G27032" s="2"/>
      <c r="H27032" s="2"/>
    </row>
    <row r="27033" spans="1:8" x14ac:dyDescent="0.25">
      <c r="A27033" s="1"/>
      <c r="B27033" s="1" t="s">
        <v>7328</v>
      </c>
      <c r="C27033" s="1" t="s">
        <v>7329</v>
      </c>
      <c r="D27033" s="22" t="str">
        <f>HYPERLINK("https://rhld.insurance.arkansas.gov/NPILookup?Npi=1669850384","1669850384")</f>
        <v>1669850384</v>
      </c>
      <c r="E27033" s="1" t="s">
        <v>28085</v>
      </c>
      <c r="F27033" s="2"/>
      <c r="G27033" s="2"/>
      <c r="H27033" s="2"/>
    </row>
    <row r="27034" spans="1:8" x14ac:dyDescent="0.25">
      <c r="A27034" s="1"/>
      <c r="B27034" s="1" t="s">
        <v>7328</v>
      </c>
      <c r="C27034" s="1" t="s">
        <v>7329</v>
      </c>
      <c r="D27034" s="22" t="str">
        <f>HYPERLINK("https://rhld.insurance.arkansas.gov/NPILookup?Npi=1669855912","1669855912")</f>
        <v>1669855912</v>
      </c>
      <c r="E27034" s="1" t="s">
        <v>633</v>
      </c>
      <c r="F27034" s="2"/>
      <c r="G27034" s="2"/>
      <c r="H27034" s="2"/>
    </row>
    <row r="27035" spans="1:8" x14ac:dyDescent="0.25">
      <c r="A27035" s="1"/>
      <c r="B27035" s="1" t="s">
        <v>7328</v>
      </c>
      <c r="C27035" s="1" t="s">
        <v>7329</v>
      </c>
      <c r="D27035" s="22" t="str">
        <f>HYPERLINK("https://rhld.insurance.arkansas.gov/NPILookup?Npi=1669866737","1669866737")</f>
        <v>1669866737</v>
      </c>
      <c r="E27035" s="1" t="s">
        <v>7986</v>
      </c>
      <c r="F27035" s="2"/>
      <c r="G27035" s="2"/>
      <c r="H27035" s="2"/>
    </row>
    <row r="27036" spans="1:8" x14ac:dyDescent="0.25">
      <c r="A27036" s="1"/>
      <c r="B27036" s="1" t="s">
        <v>7328</v>
      </c>
      <c r="C27036" s="1" t="s">
        <v>7329</v>
      </c>
      <c r="D27036" s="22" t="str">
        <f>HYPERLINK("https://rhld.insurance.arkansas.gov/NPILookup?Npi=1669867099","1669867099")</f>
        <v>1669867099</v>
      </c>
      <c r="E27036" s="1" t="s">
        <v>28086</v>
      </c>
      <c r="F27036" s="2"/>
      <c r="G27036" s="2"/>
      <c r="H27036" s="2"/>
    </row>
    <row r="27037" spans="1:8" x14ac:dyDescent="0.25">
      <c r="A27037" s="1"/>
      <c r="B27037" s="1" t="s">
        <v>7328</v>
      </c>
      <c r="C27037" s="1" t="s">
        <v>7329</v>
      </c>
      <c r="D27037" s="22" t="str">
        <f>HYPERLINK("https://rhld.insurance.arkansas.gov/NPILookup?Npi=1669867503","1669867503")</f>
        <v>1669867503</v>
      </c>
      <c r="E27037" s="1" t="s">
        <v>13428</v>
      </c>
      <c r="F27037" s="2"/>
      <c r="G27037" s="2"/>
      <c r="H27037" s="2"/>
    </row>
    <row r="27038" spans="1:8" x14ac:dyDescent="0.25">
      <c r="A27038" s="1"/>
      <c r="B27038" s="1" t="s">
        <v>7328</v>
      </c>
      <c r="C27038" s="1" t="s">
        <v>7329</v>
      </c>
      <c r="D27038" s="22" t="str">
        <f>HYPERLINK("https://rhld.insurance.arkansas.gov/NPILookup?Npi=1669868691","1669868691")</f>
        <v>1669868691</v>
      </c>
      <c r="E27038" s="1" t="s">
        <v>28087</v>
      </c>
      <c r="F27038" s="2"/>
      <c r="G27038" s="2"/>
      <c r="H27038" s="2"/>
    </row>
    <row r="27039" spans="1:8" x14ac:dyDescent="0.25">
      <c r="A27039" s="1"/>
      <c r="B27039" s="1" t="s">
        <v>7328</v>
      </c>
      <c r="C27039" s="1" t="s">
        <v>7329</v>
      </c>
      <c r="D27039" s="22" t="str">
        <f>HYPERLINK("https://rhld.insurance.arkansas.gov/NPILookup?Npi=1669884763","1669884763")</f>
        <v>1669884763</v>
      </c>
      <c r="E27039" s="1" t="s">
        <v>28088</v>
      </c>
      <c r="F27039" s="2"/>
      <c r="G27039" s="2"/>
      <c r="H27039" s="2"/>
    </row>
    <row r="27040" spans="1:8" x14ac:dyDescent="0.25">
      <c r="A27040" s="1"/>
      <c r="B27040" s="1" t="s">
        <v>7328</v>
      </c>
      <c r="C27040" s="1" t="s">
        <v>7329</v>
      </c>
      <c r="D27040" s="22" t="str">
        <f>HYPERLINK("https://rhld.insurance.arkansas.gov/NPILookup?Npi=1669886552","1669886552")</f>
        <v>1669886552</v>
      </c>
      <c r="E27040" s="1" t="s">
        <v>28089</v>
      </c>
      <c r="F27040" s="2"/>
      <c r="G27040" s="2"/>
      <c r="H27040" s="2"/>
    </row>
    <row r="27041" spans="1:8" x14ac:dyDescent="0.25">
      <c r="A27041" s="1"/>
      <c r="B27041" s="1" t="s">
        <v>7328</v>
      </c>
      <c r="C27041" s="1" t="s">
        <v>7329</v>
      </c>
      <c r="D27041" s="22" t="str">
        <f>HYPERLINK("https://rhld.insurance.arkansas.gov/NPILookup?Npi=1669886594","1669886594")</f>
        <v>1669886594</v>
      </c>
      <c r="E27041" s="1" t="s">
        <v>28090</v>
      </c>
      <c r="F27041" s="2"/>
      <c r="G27041" s="2"/>
      <c r="H27041" s="2"/>
    </row>
    <row r="27042" spans="1:8" x14ac:dyDescent="0.25">
      <c r="A27042" s="1"/>
      <c r="B27042" s="1" t="s">
        <v>7328</v>
      </c>
      <c r="C27042" s="1" t="s">
        <v>7329</v>
      </c>
      <c r="D27042" s="22" t="str">
        <f>HYPERLINK("https://rhld.insurance.arkansas.gov/NPILookup?Npi=1669904769","1669904769")</f>
        <v>1669904769</v>
      </c>
      <c r="E27042" s="1" t="s">
        <v>28091</v>
      </c>
      <c r="F27042" s="2"/>
      <c r="G27042" s="2"/>
      <c r="H27042" s="2"/>
    </row>
    <row r="27043" spans="1:8" x14ac:dyDescent="0.25">
      <c r="A27043" s="1"/>
      <c r="B27043" s="1" t="s">
        <v>7328</v>
      </c>
      <c r="C27043" s="1" t="s">
        <v>7329</v>
      </c>
      <c r="D27043" s="22" t="str">
        <f>HYPERLINK("https://rhld.insurance.arkansas.gov/NPILookup?Npi=1669911756","1669911756")</f>
        <v>1669911756</v>
      </c>
      <c r="E27043" s="1" t="s">
        <v>1238</v>
      </c>
      <c r="F27043" s="2"/>
      <c r="G27043" s="2"/>
      <c r="H27043" s="2"/>
    </row>
    <row r="27044" spans="1:8" x14ac:dyDescent="0.25">
      <c r="A27044" s="1"/>
      <c r="B27044" s="1" t="s">
        <v>7328</v>
      </c>
      <c r="C27044" s="1" t="s">
        <v>7329</v>
      </c>
      <c r="D27044" s="22" t="str">
        <f>HYPERLINK("https://rhld.insurance.arkansas.gov/NPILookup?Npi=1669921813","1669921813")</f>
        <v>1669921813</v>
      </c>
      <c r="E27044" s="1" t="s">
        <v>7987</v>
      </c>
      <c r="F27044" s="2"/>
      <c r="G27044" s="2"/>
      <c r="H27044" s="2"/>
    </row>
    <row r="27045" spans="1:8" x14ac:dyDescent="0.25">
      <c r="A27045" s="1"/>
      <c r="B27045" s="1" t="s">
        <v>7328</v>
      </c>
      <c r="C27045" s="1" t="s">
        <v>7329</v>
      </c>
      <c r="D27045" s="22" t="str">
        <f>HYPERLINK("https://rhld.insurance.arkansas.gov/NPILookup?Npi=1669922308","1669922308")</f>
        <v>1669922308</v>
      </c>
      <c r="E27045" s="1" t="s">
        <v>2960</v>
      </c>
      <c r="F27045" s="2"/>
      <c r="G27045" s="2"/>
      <c r="H27045" s="2"/>
    </row>
    <row r="27046" spans="1:8" x14ac:dyDescent="0.25">
      <c r="A27046" s="1"/>
      <c r="B27046" s="1" t="s">
        <v>7328</v>
      </c>
      <c r="C27046" s="1" t="s">
        <v>7329</v>
      </c>
      <c r="D27046" s="22" t="str">
        <f>HYPERLINK("https://rhld.insurance.arkansas.gov/NPILookup?Npi=1669924817","1669924817")</f>
        <v>1669924817</v>
      </c>
      <c r="E27046" s="1" t="s">
        <v>2961</v>
      </c>
      <c r="F27046" s="2"/>
      <c r="G27046" s="2"/>
      <c r="H27046" s="2"/>
    </row>
    <row r="27047" spans="1:8" x14ac:dyDescent="0.25">
      <c r="A27047" s="1"/>
      <c r="B27047" s="1" t="s">
        <v>7328</v>
      </c>
      <c r="C27047" s="1" t="s">
        <v>7329</v>
      </c>
      <c r="D27047" s="22" t="str">
        <f>HYPERLINK("https://rhld.insurance.arkansas.gov/NPILookup?Npi=1669933370","1669933370")</f>
        <v>1669933370</v>
      </c>
      <c r="E27047" s="1" t="s">
        <v>28092</v>
      </c>
      <c r="F27047" s="2"/>
      <c r="G27047" s="2"/>
      <c r="H27047" s="2"/>
    </row>
    <row r="27048" spans="1:8" x14ac:dyDescent="0.25">
      <c r="A27048" s="1"/>
      <c r="B27048" s="1" t="s">
        <v>7328</v>
      </c>
      <c r="C27048" s="1" t="s">
        <v>7329</v>
      </c>
      <c r="D27048" s="22" t="str">
        <f>HYPERLINK("https://rhld.insurance.arkansas.gov/NPILookup?Npi=1669937488","1669937488")</f>
        <v>1669937488</v>
      </c>
      <c r="E27048" s="1" t="s">
        <v>28093</v>
      </c>
      <c r="F27048" s="2"/>
      <c r="G27048" s="2"/>
      <c r="H27048" s="2"/>
    </row>
    <row r="27049" spans="1:8" x14ac:dyDescent="0.25">
      <c r="A27049" s="1"/>
      <c r="B27049" s="1" t="s">
        <v>7328</v>
      </c>
      <c r="C27049" s="1" t="s">
        <v>7329</v>
      </c>
      <c r="D27049" s="22" t="str">
        <f>HYPERLINK("https://rhld.insurance.arkansas.gov/NPILookup?Npi=1669938049","1669938049")</f>
        <v>1669938049</v>
      </c>
      <c r="E27049" s="1" t="s">
        <v>28094</v>
      </c>
      <c r="F27049" s="2"/>
      <c r="G27049" s="2"/>
      <c r="H27049" s="2"/>
    </row>
    <row r="27050" spans="1:8" x14ac:dyDescent="0.25">
      <c r="A27050" s="1"/>
      <c r="B27050" s="1" t="s">
        <v>7328</v>
      </c>
      <c r="C27050" s="1" t="s">
        <v>7329</v>
      </c>
      <c r="D27050" s="22" t="str">
        <f>HYPERLINK("https://rhld.insurance.arkansas.gov/NPILookup?Npi=1669953212","1669953212")</f>
        <v>1669953212</v>
      </c>
      <c r="E27050" s="1" t="s">
        <v>28095</v>
      </c>
      <c r="F27050" s="2"/>
      <c r="G27050" s="2"/>
      <c r="H27050" s="2"/>
    </row>
    <row r="27051" spans="1:8" x14ac:dyDescent="0.25">
      <c r="A27051" s="1"/>
      <c r="B27051" s="1" t="s">
        <v>7328</v>
      </c>
      <c r="C27051" s="1" t="s">
        <v>7329</v>
      </c>
      <c r="D27051" s="22" t="str">
        <f>HYPERLINK("https://rhld.insurance.arkansas.gov/NPILookup?Npi=1669960829","1669960829")</f>
        <v>1669960829</v>
      </c>
      <c r="E27051" s="1" t="s">
        <v>28096</v>
      </c>
      <c r="F27051" s="2"/>
      <c r="G27051" s="2"/>
      <c r="H27051" s="2"/>
    </row>
    <row r="27052" spans="1:8" x14ac:dyDescent="0.25">
      <c r="A27052" s="1"/>
      <c r="B27052" s="1" t="s">
        <v>7328</v>
      </c>
      <c r="C27052" s="1" t="s">
        <v>7329</v>
      </c>
      <c r="D27052" s="22" t="str">
        <f>HYPERLINK("https://rhld.insurance.arkansas.gov/NPILookup?Npi=1669972022","1669972022")</f>
        <v>1669972022</v>
      </c>
      <c r="E27052" s="1" t="s">
        <v>7988</v>
      </c>
      <c r="F27052" s="2"/>
      <c r="G27052" s="2"/>
      <c r="H27052" s="2"/>
    </row>
    <row r="27053" spans="1:8" x14ac:dyDescent="0.25">
      <c r="A27053" s="1"/>
      <c r="B27053" s="1" t="s">
        <v>7328</v>
      </c>
      <c r="C27053" s="1" t="s">
        <v>7329</v>
      </c>
      <c r="D27053" s="22" t="str">
        <f>HYPERLINK("https://rhld.insurance.arkansas.gov/NPILookup?Npi=1669974499","1669974499")</f>
        <v>1669974499</v>
      </c>
      <c r="E27053" s="1" t="s">
        <v>28097</v>
      </c>
      <c r="F27053" s="2"/>
      <c r="G27053" s="2"/>
      <c r="H27053" s="2"/>
    </row>
    <row r="27054" spans="1:8" x14ac:dyDescent="0.25">
      <c r="A27054" s="1"/>
      <c r="B27054" s="1" t="s">
        <v>7328</v>
      </c>
      <c r="C27054" s="1" t="s">
        <v>7329</v>
      </c>
      <c r="D27054" s="22" t="str">
        <f>HYPERLINK("https://rhld.insurance.arkansas.gov/NPILookup?Npi=1669978243","1669978243")</f>
        <v>1669978243</v>
      </c>
      <c r="E27054" s="1" t="s">
        <v>15686</v>
      </c>
      <c r="F27054" s="2"/>
      <c r="G27054" s="2"/>
      <c r="H27054" s="2"/>
    </row>
    <row r="27055" spans="1:8" x14ac:dyDescent="0.25">
      <c r="A27055" s="1"/>
      <c r="B27055" s="1" t="s">
        <v>7328</v>
      </c>
      <c r="C27055" s="1" t="s">
        <v>7329</v>
      </c>
      <c r="D27055" s="22" t="str">
        <f>HYPERLINK("https://rhld.insurance.arkansas.gov/NPILookup?Npi=1669978276","1669978276")</f>
        <v>1669978276</v>
      </c>
      <c r="E27055" s="1" t="s">
        <v>28098</v>
      </c>
      <c r="F27055" s="2"/>
      <c r="G27055" s="2"/>
      <c r="H27055" s="2"/>
    </row>
    <row r="27056" spans="1:8" x14ac:dyDescent="0.25">
      <c r="A27056" s="1"/>
      <c r="B27056" s="1" t="s">
        <v>7328</v>
      </c>
      <c r="C27056" s="1" t="s">
        <v>7329</v>
      </c>
      <c r="D27056" s="22" t="str">
        <f>HYPERLINK("https://rhld.insurance.arkansas.gov/NPILookup?Npi=1669979530","1669979530")</f>
        <v>1669979530</v>
      </c>
      <c r="E27056" s="1" t="s">
        <v>28099</v>
      </c>
      <c r="F27056" s="2"/>
      <c r="G27056" s="2"/>
      <c r="H27056" s="2"/>
    </row>
    <row r="27057" spans="1:8" x14ac:dyDescent="0.25">
      <c r="A27057" s="1"/>
      <c r="B27057" s="1" t="s">
        <v>7328</v>
      </c>
      <c r="C27057" s="1" t="s">
        <v>7329</v>
      </c>
      <c r="D27057" s="22" t="str">
        <f>HYPERLINK("https://rhld.insurance.arkansas.gov/NPILookup?Npi=1669987012","1669987012")</f>
        <v>1669987012</v>
      </c>
      <c r="E27057" s="1" t="s">
        <v>1036</v>
      </c>
      <c r="F27057" s="2"/>
      <c r="G27057" s="2"/>
      <c r="H27057" s="2"/>
    </row>
    <row r="27058" spans="1:8" x14ac:dyDescent="0.25">
      <c r="A27058" s="1"/>
      <c r="B27058" s="1" t="s">
        <v>7328</v>
      </c>
      <c r="C27058" s="1" t="s">
        <v>7329</v>
      </c>
      <c r="D27058" s="22" t="str">
        <f>HYPERLINK("https://rhld.insurance.arkansas.gov/NPILookup?Npi=1669991998","1669991998")</f>
        <v>1669991998</v>
      </c>
      <c r="E27058" s="1" t="s">
        <v>28100</v>
      </c>
      <c r="F27058" s="2"/>
      <c r="G27058" s="2"/>
      <c r="H27058" s="2"/>
    </row>
    <row r="27059" spans="1:8" x14ac:dyDescent="0.25">
      <c r="A27059" s="1"/>
      <c r="B27059" s="1" t="s">
        <v>7328</v>
      </c>
      <c r="C27059" s="1" t="s">
        <v>7329</v>
      </c>
      <c r="D27059" s="22" t="str">
        <f>HYPERLINK("https://rhld.insurance.arkansas.gov/NPILookup?Npi=1679006969","1679006969")</f>
        <v>1679006969</v>
      </c>
      <c r="E27059" s="1" t="s">
        <v>28101</v>
      </c>
      <c r="F27059" s="2"/>
      <c r="G27059" s="2"/>
      <c r="H27059" s="2"/>
    </row>
    <row r="27060" spans="1:8" x14ac:dyDescent="0.25">
      <c r="A27060" s="1"/>
      <c r="B27060" s="1" t="s">
        <v>7328</v>
      </c>
      <c r="C27060" s="1" t="s">
        <v>7329</v>
      </c>
      <c r="D27060" s="22" t="str">
        <f>HYPERLINK("https://rhld.insurance.arkansas.gov/NPILookup?Npi=1679013676","1679013676")</f>
        <v>1679013676</v>
      </c>
      <c r="E27060" s="1" t="s">
        <v>28102</v>
      </c>
      <c r="F27060" s="2"/>
      <c r="G27060" s="2"/>
      <c r="H27060" s="2"/>
    </row>
    <row r="27061" spans="1:8" x14ac:dyDescent="0.25">
      <c r="A27061" s="1"/>
      <c r="B27061" s="1" t="s">
        <v>7328</v>
      </c>
      <c r="C27061" s="1" t="s">
        <v>7329</v>
      </c>
      <c r="D27061" s="22" t="str">
        <f>HYPERLINK("https://rhld.insurance.arkansas.gov/NPILookup?Npi=1679018469","1679018469")</f>
        <v>1679018469</v>
      </c>
      <c r="E27061" s="1" t="s">
        <v>13430</v>
      </c>
      <c r="F27061" s="2"/>
      <c r="G27061" s="2"/>
      <c r="H27061" s="2"/>
    </row>
    <row r="27062" spans="1:8" x14ac:dyDescent="0.25">
      <c r="A27062" s="1"/>
      <c r="B27062" s="1" t="s">
        <v>7328</v>
      </c>
      <c r="C27062" s="1" t="s">
        <v>7329</v>
      </c>
      <c r="D27062" s="22" t="str">
        <f>HYPERLINK("https://rhld.insurance.arkansas.gov/NPILookup?Npi=1679023311","1679023311")</f>
        <v>1679023311</v>
      </c>
      <c r="E27062" s="1" t="s">
        <v>28103</v>
      </c>
      <c r="F27062" s="2"/>
      <c r="G27062" s="2"/>
      <c r="H27062" s="2"/>
    </row>
    <row r="27063" spans="1:8" x14ac:dyDescent="0.25">
      <c r="A27063" s="1"/>
      <c r="B27063" s="1" t="s">
        <v>7328</v>
      </c>
      <c r="C27063" s="1" t="s">
        <v>7329</v>
      </c>
      <c r="D27063" s="22" t="str">
        <f>HYPERLINK("https://rhld.insurance.arkansas.gov/NPILookup?Npi=1679023824","1679023824")</f>
        <v>1679023824</v>
      </c>
      <c r="E27063" s="1" t="s">
        <v>28104</v>
      </c>
      <c r="F27063" s="2"/>
      <c r="G27063" s="2"/>
      <c r="H27063" s="2"/>
    </row>
    <row r="27064" spans="1:8" x14ac:dyDescent="0.25">
      <c r="A27064" s="1"/>
      <c r="B27064" s="1" t="s">
        <v>7328</v>
      </c>
      <c r="C27064" s="1" t="s">
        <v>7329</v>
      </c>
      <c r="D27064" s="22" t="str">
        <f>HYPERLINK("https://rhld.insurance.arkansas.gov/NPILookup?Npi=1679027049","1679027049")</f>
        <v>1679027049</v>
      </c>
      <c r="E27064" s="1" t="s">
        <v>13431</v>
      </c>
      <c r="F27064" s="2"/>
      <c r="G27064" s="2"/>
      <c r="H27064" s="2"/>
    </row>
    <row r="27065" spans="1:8" x14ac:dyDescent="0.25">
      <c r="A27065" s="1"/>
      <c r="B27065" s="1" t="s">
        <v>7328</v>
      </c>
      <c r="C27065" s="1" t="s">
        <v>7329</v>
      </c>
      <c r="D27065" s="22" t="str">
        <f>HYPERLINK("https://rhld.insurance.arkansas.gov/NPILookup?Npi=1679029227","1679029227")</f>
        <v>1679029227</v>
      </c>
      <c r="E27065" s="1" t="s">
        <v>13432</v>
      </c>
      <c r="F27065" s="2"/>
      <c r="G27065" s="2"/>
      <c r="H27065" s="2"/>
    </row>
    <row r="27066" spans="1:8" x14ac:dyDescent="0.25">
      <c r="A27066" s="1"/>
      <c r="B27066" s="1" t="s">
        <v>7328</v>
      </c>
      <c r="C27066" s="1" t="s">
        <v>7329</v>
      </c>
      <c r="D27066" s="22" t="str">
        <f>HYPERLINK("https://rhld.insurance.arkansas.gov/NPILookup?Npi=1679029276","1679029276")</f>
        <v>1679029276</v>
      </c>
      <c r="E27066" s="1" t="s">
        <v>28105</v>
      </c>
      <c r="F27066" s="2"/>
      <c r="G27066" s="2"/>
      <c r="H27066" s="2"/>
    </row>
    <row r="27067" spans="1:8" x14ac:dyDescent="0.25">
      <c r="A27067" s="1"/>
      <c r="B27067" s="1" t="s">
        <v>7328</v>
      </c>
      <c r="C27067" s="1" t="s">
        <v>7329</v>
      </c>
      <c r="D27067" s="22" t="str">
        <f>HYPERLINK("https://rhld.insurance.arkansas.gov/NPILookup?Npi=1679047815","1679047815")</f>
        <v>1679047815</v>
      </c>
      <c r="E27067" s="1" t="s">
        <v>28106</v>
      </c>
      <c r="F27067" s="2"/>
      <c r="G27067" s="2"/>
      <c r="H27067" s="2"/>
    </row>
    <row r="27068" spans="1:8" x14ac:dyDescent="0.25">
      <c r="A27068" s="1"/>
      <c r="B27068" s="1" t="s">
        <v>7328</v>
      </c>
      <c r="C27068" s="1" t="s">
        <v>7329</v>
      </c>
      <c r="D27068" s="22" t="str">
        <f>HYPERLINK("https://rhld.insurance.arkansas.gov/NPILookup?Npi=1679051668","1679051668")</f>
        <v>1679051668</v>
      </c>
      <c r="E27068" s="1" t="s">
        <v>28107</v>
      </c>
      <c r="F27068" s="2"/>
      <c r="G27068" s="2"/>
      <c r="H27068" s="2"/>
    </row>
    <row r="27069" spans="1:8" x14ac:dyDescent="0.25">
      <c r="A27069" s="1"/>
      <c r="B27069" s="1" t="s">
        <v>7328</v>
      </c>
      <c r="C27069" s="1" t="s">
        <v>7329</v>
      </c>
      <c r="D27069" s="22" t="str">
        <f>HYPERLINK("https://rhld.insurance.arkansas.gov/NPILookup?Npi=1679069249","1679069249")</f>
        <v>1679069249</v>
      </c>
      <c r="E27069" s="1" t="s">
        <v>28108</v>
      </c>
      <c r="F27069" s="2"/>
      <c r="G27069" s="2"/>
      <c r="H27069" s="2"/>
    </row>
    <row r="27070" spans="1:8" x14ac:dyDescent="0.25">
      <c r="A27070" s="1"/>
      <c r="B27070" s="1" t="s">
        <v>7328</v>
      </c>
      <c r="C27070" s="1" t="s">
        <v>7329</v>
      </c>
      <c r="D27070" s="22" t="str">
        <f>HYPERLINK("https://rhld.insurance.arkansas.gov/NPILookup?Npi=1679072359","1679072359")</f>
        <v>1679072359</v>
      </c>
      <c r="E27070" s="1" t="s">
        <v>28109</v>
      </c>
      <c r="F27070" s="2"/>
      <c r="G27070" s="2"/>
      <c r="H27070" s="2"/>
    </row>
    <row r="27071" spans="1:8" x14ac:dyDescent="0.25">
      <c r="A27071" s="1"/>
      <c r="B27071" s="1" t="s">
        <v>7328</v>
      </c>
      <c r="C27071" s="1" t="s">
        <v>7329</v>
      </c>
      <c r="D27071" s="22" t="str">
        <f>HYPERLINK("https://rhld.insurance.arkansas.gov/NPILookup?Npi=1679073340","1679073340")</f>
        <v>1679073340</v>
      </c>
      <c r="E27071" s="1" t="s">
        <v>951</v>
      </c>
      <c r="F27071" s="2"/>
      <c r="G27071" s="2"/>
      <c r="H27071" s="2"/>
    </row>
    <row r="27072" spans="1:8" x14ac:dyDescent="0.25">
      <c r="A27072" s="1"/>
      <c r="B27072" s="1" t="s">
        <v>7328</v>
      </c>
      <c r="C27072" s="1" t="s">
        <v>7329</v>
      </c>
      <c r="D27072" s="22" t="str">
        <f>HYPERLINK("https://rhld.insurance.arkansas.gov/NPILookup?Npi=1679076764","1679076764")</f>
        <v>1679076764</v>
      </c>
      <c r="E27072" s="1" t="s">
        <v>1303</v>
      </c>
      <c r="F27072" s="2"/>
      <c r="G27072" s="2"/>
      <c r="H27072" s="2"/>
    </row>
    <row r="27073" spans="1:8" x14ac:dyDescent="0.25">
      <c r="A27073" s="1"/>
      <c r="B27073" s="1" t="s">
        <v>7328</v>
      </c>
      <c r="C27073" s="1" t="s">
        <v>7329</v>
      </c>
      <c r="D27073" s="22" t="str">
        <f>HYPERLINK("https://rhld.insurance.arkansas.gov/NPILookup?Npi=1679078489","1679078489")</f>
        <v>1679078489</v>
      </c>
      <c r="E27073" s="1" t="s">
        <v>28110</v>
      </c>
      <c r="F27073" s="2"/>
      <c r="G27073" s="2"/>
      <c r="H27073" s="2"/>
    </row>
    <row r="27074" spans="1:8" x14ac:dyDescent="0.25">
      <c r="A27074" s="1"/>
      <c r="B27074" s="1" t="s">
        <v>7328</v>
      </c>
      <c r="C27074" s="1" t="s">
        <v>7329</v>
      </c>
      <c r="D27074" s="22" t="str">
        <f>HYPERLINK("https://rhld.insurance.arkansas.gov/NPILookup?Npi=1679082002","1679082002")</f>
        <v>1679082002</v>
      </c>
      <c r="E27074" s="1" t="s">
        <v>1396</v>
      </c>
      <c r="F27074" s="2"/>
      <c r="G27074" s="2"/>
      <c r="H27074" s="2"/>
    </row>
    <row r="27075" spans="1:8" x14ac:dyDescent="0.25">
      <c r="A27075" s="1"/>
      <c r="B27075" s="1" t="s">
        <v>7328</v>
      </c>
      <c r="C27075" s="1" t="s">
        <v>7329</v>
      </c>
      <c r="D27075" s="22" t="str">
        <f>HYPERLINK("https://rhld.insurance.arkansas.gov/NPILookup?Npi=1679084826","1679084826")</f>
        <v>1679084826</v>
      </c>
      <c r="E27075" s="1" t="s">
        <v>28111</v>
      </c>
      <c r="F27075" s="2"/>
      <c r="G27075" s="2"/>
      <c r="H27075" s="2"/>
    </row>
    <row r="27076" spans="1:8" x14ac:dyDescent="0.25">
      <c r="A27076" s="1"/>
      <c r="B27076" s="1" t="s">
        <v>7328</v>
      </c>
      <c r="C27076" s="1" t="s">
        <v>7329</v>
      </c>
      <c r="D27076" s="22" t="str">
        <f>HYPERLINK("https://rhld.insurance.arkansas.gov/NPILookup?Npi=1679088488","1679088488")</f>
        <v>1679088488</v>
      </c>
      <c r="E27076" s="1" t="s">
        <v>7990</v>
      </c>
      <c r="F27076" s="2"/>
      <c r="G27076" s="2"/>
      <c r="H27076" s="2"/>
    </row>
    <row r="27077" spans="1:8" x14ac:dyDescent="0.25">
      <c r="A27077" s="1"/>
      <c r="B27077" s="1" t="s">
        <v>7328</v>
      </c>
      <c r="C27077" s="1" t="s">
        <v>7329</v>
      </c>
      <c r="D27077" s="22" t="str">
        <f>HYPERLINK("https://rhld.insurance.arkansas.gov/NPILookup?Npi=1679104228","1679104228")</f>
        <v>1679104228</v>
      </c>
      <c r="E27077" s="1" t="s">
        <v>28112</v>
      </c>
      <c r="F27077" s="2"/>
      <c r="G27077" s="2"/>
      <c r="H27077" s="2"/>
    </row>
    <row r="27078" spans="1:8" x14ac:dyDescent="0.25">
      <c r="A27078" s="1"/>
      <c r="B27078" s="1" t="s">
        <v>7328</v>
      </c>
      <c r="C27078" s="1" t="s">
        <v>7329</v>
      </c>
      <c r="D27078" s="22" t="str">
        <f>HYPERLINK("https://rhld.insurance.arkansas.gov/NPILookup?Npi=1679108104","1679108104")</f>
        <v>1679108104</v>
      </c>
      <c r="E27078" s="1" t="s">
        <v>28113</v>
      </c>
      <c r="F27078" s="2"/>
      <c r="G27078" s="2"/>
      <c r="H27078" s="2"/>
    </row>
    <row r="27079" spans="1:8" x14ac:dyDescent="0.25">
      <c r="A27079" s="1"/>
      <c r="B27079" s="1" t="s">
        <v>7328</v>
      </c>
      <c r="C27079" s="1" t="s">
        <v>7329</v>
      </c>
      <c r="D27079" s="22" t="str">
        <f>HYPERLINK("https://rhld.insurance.arkansas.gov/NPILookup?Npi=1679110704","1679110704")</f>
        <v>1679110704</v>
      </c>
      <c r="E27079" s="1" t="s">
        <v>28114</v>
      </c>
      <c r="F27079" s="2"/>
      <c r="G27079" s="2"/>
      <c r="H27079" s="2"/>
    </row>
    <row r="27080" spans="1:8" x14ac:dyDescent="0.25">
      <c r="A27080" s="1"/>
      <c r="B27080" s="1" t="s">
        <v>7328</v>
      </c>
      <c r="C27080" s="1" t="s">
        <v>7329</v>
      </c>
      <c r="D27080" s="22" t="str">
        <f>HYPERLINK("https://rhld.insurance.arkansas.gov/NPILookup?Npi=1679117659","1679117659")</f>
        <v>1679117659</v>
      </c>
      <c r="E27080" s="1" t="s">
        <v>28115</v>
      </c>
      <c r="F27080" s="2"/>
      <c r="G27080" s="2"/>
      <c r="H27080" s="2"/>
    </row>
    <row r="27081" spans="1:8" x14ac:dyDescent="0.25">
      <c r="A27081" s="1"/>
      <c r="B27081" s="1" t="s">
        <v>7328</v>
      </c>
      <c r="C27081" s="1" t="s">
        <v>7329</v>
      </c>
      <c r="D27081" s="22" t="str">
        <f>HYPERLINK("https://rhld.insurance.arkansas.gov/NPILookup?Npi=1679133888","1679133888")</f>
        <v>1679133888</v>
      </c>
      <c r="E27081" s="1" t="s">
        <v>32324</v>
      </c>
      <c r="F27081" s="2"/>
      <c r="G27081" s="2"/>
      <c r="H27081" s="2"/>
    </row>
    <row r="27082" spans="1:8" x14ac:dyDescent="0.25">
      <c r="A27082" s="1"/>
      <c r="B27082" s="1" t="s">
        <v>7328</v>
      </c>
      <c r="C27082" s="1" t="s">
        <v>7329</v>
      </c>
      <c r="D27082" s="22" t="str">
        <f>HYPERLINK("https://rhld.insurance.arkansas.gov/NPILookup?Npi=1679141204","1679141204")</f>
        <v>1679141204</v>
      </c>
      <c r="E27082" s="1" t="s">
        <v>28116</v>
      </c>
      <c r="F27082" s="2"/>
      <c r="G27082" s="2"/>
      <c r="H27082" s="2"/>
    </row>
    <row r="27083" spans="1:8" x14ac:dyDescent="0.25">
      <c r="A27083" s="1"/>
      <c r="B27083" s="1" t="s">
        <v>7328</v>
      </c>
      <c r="C27083" s="1" t="s">
        <v>7329</v>
      </c>
      <c r="D27083" s="22" t="str">
        <f>HYPERLINK("https://rhld.insurance.arkansas.gov/NPILookup?Npi=1679141626","1679141626")</f>
        <v>1679141626</v>
      </c>
      <c r="E27083" s="1" t="s">
        <v>28117</v>
      </c>
      <c r="F27083" s="2"/>
      <c r="G27083" s="2"/>
      <c r="H27083" s="2"/>
    </row>
    <row r="27084" spans="1:8" x14ac:dyDescent="0.25">
      <c r="A27084" s="1"/>
      <c r="B27084" s="1" t="s">
        <v>7328</v>
      </c>
      <c r="C27084" s="1" t="s">
        <v>7329</v>
      </c>
      <c r="D27084" s="22" t="str">
        <f>HYPERLINK("https://rhld.insurance.arkansas.gov/NPILookup?Npi=1679151609","1679151609")</f>
        <v>1679151609</v>
      </c>
      <c r="E27084" s="1" t="s">
        <v>2962</v>
      </c>
      <c r="F27084" s="2"/>
      <c r="G27084" s="2"/>
      <c r="H27084" s="2"/>
    </row>
    <row r="27085" spans="1:8" x14ac:dyDescent="0.25">
      <c r="A27085" s="1"/>
      <c r="B27085" s="1" t="s">
        <v>7328</v>
      </c>
      <c r="C27085" s="1" t="s">
        <v>7329</v>
      </c>
      <c r="D27085" s="22" t="str">
        <f>HYPERLINK("https://rhld.insurance.arkansas.gov/NPILookup?Npi=1679173645","1679173645")</f>
        <v>1679173645</v>
      </c>
      <c r="E27085" s="1" t="s">
        <v>28118</v>
      </c>
      <c r="F27085" s="2"/>
      <c r="G27085" s="2"/>
      <c r="H27085" s="2"/>
    </row>
    <row r="27086" spans="1:8" x14ac:dyDescent="0.25">
      <c r="A27086" s="1"/>
      <c r="B27086" s="1" t="s">
        <v>7328</v>
      </c>
      <c r="C27086" s="1" t="s">
        <v>7329</v>
      </c>
      <c r="D27086" s="22" t="str">
        <f>HYPERLINK("https://rhld.insurance.arkansas.gov/NPILookup?Npi=1679176002","1679176002")</f>
        <v>1679176002</v>
      </c>
      <c r="E27086" s="1" t="s">
        <v>13434</v>
      </c>
      <c r="F27086" s="2"/>
      <c r="G27086" s="2"/>
      <c r="H27086" s="2"/>
    </row>
    <row r="27087" spans="1:8" x14ac:dyDescent="0.25">
      <c r="A27087" s="1"/>
      <c r="B27087" s="1" t="s">
        <v>7328</v>
      </c>
      <c r="C27087" s="1" t="s">
        <v>7329</v>
      </c>
      <c r="D27087" s="22" t="str">
        <f>HYPERLINK("https://rhld.insurance.arkansas.gov/NPILookup?Npi=1679180343","1679180343")</f>
        <v>1679180343</v>
      </c>
      <c r="E27087" s="1" t="s">
        <v>28119</v>
      </c>
      <c r="F27087" s="2"/>
      <c r="G27087" s="2"/>
      <c r="H27087" s="2"/>
    </row>
    <row r="27088" spans="1:8" x14ac:dyDescent="0.25">
      <c r="A27088" s="1"/>
      <c r="B27088" s="1" t="s">
        <v>7328</v>
      </c>
      <c r="C27088" s="1" t="s">
        <v>7329</v>
      </c>
      <c r="D27088" s="22" t="str">
        <f>HYPERLINK("https://rhld.insurance.arkansas.gov/NPILookup?Npi=1679186431","1679186431")</f>
        <v>1679186431</v>
      </c>
      <c r="E27088" s="1" t="s">
        <v>28120</v>
      </c>
      <c r="F27088" s="2"/>
      <c r="G27088" s="2"/>
      <c r="H27088" s="2"/>
    </row>
    <row r="27089" spans="1:8" x14ac:dyDescent="0.25">
      <c r="A27089" s="1"/>
      <c r="B27089" s="1" t="s">
        <v>7328</v>
      </c>
      <c r="C27089" s="1" t="s">
        <v>7329</v>
      </c>
      <c r="D27089" s="22" t="str">
        <f>HYPERLINK("https://rhld.insurance.arkansas.gov/NPILookup?Npi=1679186662","1679186662")</f>
        <v>1679186662</v>
      </c>
      <c r="E27089" s="1" t="s">
        <v>13435</v>
      </c>
      <c r="F27089" s="2"/>
      <c r="G27089" s="2"/>
      <c r="H27089" s="2"/>
    </row>
    <row r="27090" spans="1:8" x14ac:dyDescent="0.25">
      <c r="A27090" s="1"/>
      <c r="B27090" s="1" t="s">
        <v>7328</v>
      </c>
      <c r="C27090" s="1" t="s">
        <v>7329</v>
      </c>
      <c r="D27090" s="22" t="str">
        <f>HYPERLINK("https://rhld.insurance.arkansas.gov/NPILookup?Npi=1679187207","1679187207")</f>
        <v>1679187207</v>
      </c>
      <c r="E27090" s="1" t="s">
        <v>13436</v>
      </c>
      <c r="F27090" s="2"/>
      <c r="G27090" s="2"/>
      <c r="H27090" s="2"/>
    </row>
    <row r="27091" spans="1:8" x14ac:dyDescent="0.25">
      <c r="A27091" s="1"/>
      <c r="B27091" s="1" t="s">
        <v>7328</v>
      </c>
      <c r="C27091" s="1" t="s">
        <v>7329</v>
      </c>
      <c r="D27091" s="22" t="str">
        <f>HYPERLINK("https://rhld.insurance.arkansas.gov/NPILookup?Npi=1679195010","1679195010")</f>
        <v>1679195010</v>
      </c>
      <c r="E27091" s="1" t="s">
        <v>7991</v>
      </c>
      <c r="F27091" s="2"/>
      <c r="G27091" s="2"/>
      <c r="H27091" s="2"/>
    </row>
    <row r="27092" spans="1:8" x14ac:dyDescent="0.25">
      <c r="A27092" s="1"/>
      <c r="B27092" s="1" t="s">
        <v>7328</v>
      </c>
      <c r="C27092" s="1" t="s">
        <v>7329</v>
      </c>
      <c r="D27092" s="22" t="str">
        <f>HYPERLINK("https://rhld.insurance.arkansas.gov/NPILookup?Npi=1679196042","1679196042")</f>
        <v>1679196042</v>
      </c>
      <c r="E27092" s="1" t="s">
        <v>22960</v>
      </c>
      <c r="F27092" s="2"/>
      <c r="G27092" s="2"/>
      <c r="H27092" s="2"/>
    </row>
    <row r="27093" spans="1:8" x14ac:dyDescent="0.25">
      <c r="A27093" s="1"/>
      <c r="B27093" s="1" t="s">
        <v>7328</v>
      </c>
      <c r="C27093" s="1" t="s">
        <v>7329</v>
      </c>
      <c r="D27093" s="22" t="str">
        <f>HYPERLINK("https://rhld.insurance.arkansas.gov/NPILookup?Npi=1679197875","1679197875")</f>
        <v>1679197875</v>
      </c>
      <c r="E27093" s="1" t="s">
        <v>28121</v>
      </c>
      <c r="F27093" s="2"/>
      <c r="G27093" s="2"/>
      <c r="H27093" s="2"/>
    </row>
    <row r="27094" spans="1:8" x14ac:dyDescent="0.25">
      <c r="A27094" s="1"/>
      <c r="B27094" s="1" t="s">
        <v>7328</v>
      </c>
      <c r="C27094" s="1" t="s">
        <v>7329</v>
      </c>
      <c r="D27094" s="22" t="str">
        <f>HYPERLINK("https://rhld.insurance.arkansas.gov/NPILookup?Npi=1679198287","1679198287")</f>
        <v>1679198287</v>
      </c>
      <c r="E27094" s="1" t="s">
        <v>7992</v>
      </c>
      <c r="F27094" s="2"/>
      <c r="G27094" s="2"/>
      <c r="H27094" s="2"/>
    </row>
    <row r="27095" spans="1:8" x14ac:dyDescent="0.25">
      <c r="A27095" s="1"/>
      <c r="B27095" s="1" t="s">
        <v>7328</v>
      </c>
      <c r="C27095" s="1" t="s">
        <v>7329</v>
      </c>
      <c r="D27095" s="22" t="str">
        <f>HYPERLINK("https://rhld.insurance.arkansas.gov/NPILookup?Npi=1679204945","1679204945")</f>
        <v>1679204945</v>
      </c>
      <c r="E27095" s="1" t="s">
        <v>28122</v>
      </c>
      <c r="F27095" s="2"/>
      <c r="G27095" s="2"/>
      <c r="H27095" s="2"/>
    </row>
    <row r="27096" spans="1:8" x14ac:dyDescent="0.25">
      <c r="A27096" s="1"/>
      <c r="B27096" s="1" t="s">
        <v>7328</v>
      </c>
      <c r="C27096" s="1" t="s">
        <v>7329</v>
      </c>
      <c r="D27096" s="22" t="str">
        <f>HYPERLINK("https://rhld.insurance.arkansas.gov/NPILookup?Npi=1679205173","1679205173")</f>
        <v>1679205173</v>
      </c>
      <c r="E27096" s="1" t="s">
        <v>28123</v>
      </c>
      <c r="F27096" s="2"/>
      <c r="G27096" s="2"/>
      <c r="H27096" s="2"/>
    </row>
    <row r="27097" spans="1:8" x14ac:dyDescent="0.25">
      <c r="A27097" s="1"/>
      <c r="B27097" s="1" t="s">
        <v>7328</v>
      </c>
      <c r="C27097" s="1" t="s">
        <v>7329</v>
      </c>
      <c r="D27097" s="22" t="str">
        <f>HYPERLINK("https://rhld.insurance.arkansas.gov/NPILookup?Npi=1679211734","1679211734")</f>
        <v>1679211734</v>
      </c>
      <c r="E27097" s="1" t="s">
        <v>28124</v>
      </c>
      <c r="F27097" s="2"/>
      <c r="G27097" s="2"/>
      <c r="H27097" s="2"/>
    </row>
    <row r="27098" spans="1:8" x14ac:dyDescent="0.25">
      <c r="A27098" s="1"/>
      <c r="B27098" s="1" t="s">
        <v>7328</v>
      </c>
      <c r="C27098" s="1" t="s">
        <v>7329</v>
      </c>
      <c r="D27098" s="22" t="str">
        <f>HYPERLINK("https://rhld.insurance.arkansas.gov/NPILookup?Npi=1679217137","1679217137")</f>
        <v>1679217137</v>
      </c>
      <c r="E27098" s="1" t="s">
        <v>7993</v>
      </c>
      <c r="F27098" s="2"/>
      <c r="G27098" s="2"/>
      <c r="H27098" s="2"/>
    </row>
    <row r="27099" spans="1:8" x14ac:dyDescent="0.25">
      <c r="A27099" s="1"/>
      <c r="B27099" s="1" t="s">
        <v>7328</v>
      </c>
      <c r="C27099" s="1" t="s">
        <v>7329</v>
      </c>
      <c r="D27099" s="22" t="str">
        <f>HYPERLINK("https://rhld.insurance.arkansas.gov/NPILookup?Npi=1679220677","1679220677")</f>
        <v>1679220677</v>
      </c>
      <c r="E27099" s="1" t="s">
        <v>28125</v>
      </c>
      <c r="F27099" s="2"/>
      <c r="G27099" s="2"/>
      <c r="H27099" s="2"/>
    </row>
    <row r="27100" spans="1:8" x14ac:dyDescent="0.25">
      <c r="A27100" s="1"/>
      <c r="B27100" s="1" t="s">
        <v>7328</v>
      </c>
      <c r="C27100" s="1" t="s">
        <v>7329</v>
      </c>
      <c r="D27100" s="22" t="str">
        <f>HYPERLINK("https://rhld.insurance.arkansas.gov/NPILookup?Npi=1679226708","1679226708")</f>
        <v>1679226708</v>
      </c>
      <c r="E27100" s="1" t="s">
        <v>7994</v>
      </c>
      <c r="F27100" s="2"/>
      <c r="G27100" s="2"/>
      <c r="H27100" s="2"/>
    </row>
    <row r="27101" spans="1:8" x14ac:dyDescent="0.25">
      <c r="A27101" s="1"/>
      <c r="B27101" s="1" t="s">
        <v>7328</v>
      </c>
      <c r="C27101" s="1" t="s">
        <v>7329</v>
      </c>
      <c r="D27101" s="22" t="str">
        <f>HYPERLINK("https://rhld.insurance.arkansas.gov/NPILookup?Npi=1679234694","1679234694")</f>
        <v>1679234694</v>
      </c>
      <c r="E27101" s="1" t="s">
        <v>5878</v>
      </c>
      <c r="F27101" s="2"/>
      <c r="G27101" s="2"/>
      <c r="H27101" s="2"/>
    </row>
    <row r="27102" spans="1:8" x14ac:dyDescent="0.25">
      <c r="A27102" s="1"/>
      <c r="B27102" s="1" t="s">
        <v>7328</v>
      </c>
      <c r="C27102" s="1" t="s">
        <v>7329</v>
      </c>
      <c r="D27102" s="22" t="str">
        <f>HYPERLINK("https://rhld.insurance.arkansas.gov/NPILookup?Npi=1679246219","1679246219")</f>
        <v>1679246219</v>
      </c>
      <c r="E27102" s="1" t="s">
        <v>28126</v>
      </c>
      <c r="F27102" s="2"/>
      <c r="G27102" s="2"/>
      <c r="H27102" s="2"/>
    </row>
    <row r="27103" spans="1:8" x14ac:dyDescent="0.25">
      <c r="A27103" s="1"/>
      <c r="B27103" s="1" t="s">
        <v>7328</v>
      </c>
      <c r="C27103" s="1" t="s">
        <v>7329</v>
      </c>
      <c r="D27103" s="22" t="str">
        <f>HYPERLINK("https://rhld.insurance.arkansas.gov/NPILookup?Npi=1679272181","1679272181")</f>
        <v>1679272181</v>
      </c>
      <c r="E27103" s="1" t="s">
        <v>7995</v>
      </c>
      <c r="F27103" s="2"/>
      <c r="G27103" s="2"/>
      <c r="H27103" s="2"/>
    </row>
    <row r="27104" spans="1:8" x14ac:dyDescent="0.25">
      <c r="A27104" s="1"/>
      <c r="B27104" s="1" t="s">
        <v>7328</v>
      </c>
      <c r="C27104" s="1" t="s">
        <v>7329</v>
      </c>
      <c r="D27104" s="22" t="str">
        <f>HYPERLINK("https://rhld.insurance.arkansas.gov/NPILookup?Npi=1679279210","1679279210")</f>
        <v>1679279210</v>
      </c>
      <c r="E27104" s="1" t="s">
        <v>7996</v>
      </c>
      <c r="F27104" s="2"/>
      <c r="G27104" s="2"/>
      <c r="H27104" s="2"/>
    </row>
    <row r="27105" spans="1:8" x14ac:dyDescent="0.25">
      <c r="A27105" s="1"/>
      <c r="B27105" s="1" t="s">
        <v>7328</v>
      </c>
      <c r="C27105" s="1" t="s">
        <v>7329</v>
      </c>
      <c r="D27105" s="22" t="str">
        <f>HYPERLINK("https://rhld.insurance.arkansas.gov/NPILookup?Npi=1679320014","1679320014")</f>
        <v>1679320014</v>
      </c>
      <c r="E27105" s="1" t="s">
        <v>28127</v>
      </c>
      <c r="F27105" s="2"/>
      <c r="G27105" s="2"/>
      <c r="H27105" s="2"/>
    </row>
    <row r="27106" spans="1:8" x14ac:dyDescent="0.25">
      <c r="A27106" s="1"/>
      <c r="B27106" s="1" t="s">
        <v>7328</v>
      </c>
      <c r="C27106" s="1" t="s">
        <v>7329</v>
      </c>
      <c r="D27106" s="22" t="str">
        <f>HYPERLINK("https://rhld.insurance.arkansas.gov/NPILookup?Npi=1679353759","1679353759")</f>
        <v>1679353759</v>
      </c>
      <c r="E27106" s="1" t="s">
        <v>28128</v>
      </c>
      <c r="F27106" s="2"/>
      <c r="G27106" s="2"/>
      <c r="H27106" s="2"/>
    </row>
    <row r="27107" spans="1:8" x14ac:dyDescent="0.25">
      <c r="A27107" s="1"/>
      <c r="B27107" s="1" t="s">
        <v>7328</v>
      </c>
      <c r="C27107" s="1" t="s">
        <v>7329</v>
      </c>
      <c r="D27107" s="22" t="str">
        <f>HYPERLINK("https://rhld.insurance.arkansas.gov/NPILookup?Npi=1679392393","1679392393")</f>
        <v>1679392393</v>
      </c>
      <c r="E27107" s="1" t="s">
        <v>28129</v>
      </c>
      <c r="F27107" s="2"/>
      <c r="G27107" s="2"/>
      <c r="H27107" s="2"/>
    </row>
    <row r="27108" spans="1:8" x14ac:dyDescent="0.25">
      <c r="A27108" s="1"/>
      <c r="B27108" s="1" t="s">
        <v>7328</v>
      </c>
      <c r="C27108" s="1" t="s">
        <v>7329</v>
      </c>
      <c r="D27108" s="22" t="str">
        <f>HYPERLINK("https://rhld.insurance.arkansas.gov/NPILookup?Npi=1679509707","1679509707")</f>
        <v>1679509707</v>
      </c>
      <c r="E27108" s="1" t="s">
        <v>13437</v>
      </c>
      <c r="F27108" s="2"/>
      <c r="G27108" s="2"/>
      <c r="H27108" s="2"/>
    </row>
    <row r="27109" spans="1:8" x14ac:dyDescent="0.25">
      <c r="A27109" s="1"/>
      <c r="B27109" s="1" t="s">
        <v>7328</v>
      </c>
      <c r="C27109" s="1" t="s">
        <v>7329</v>
      </c>
      <c r="D27109" s="22" t="str">
        <f>HYPERLINK("https://rhld.insurance.arkansas.gov/NPILookup?Npi=1679512248","1679512248")</f>
        <v>1679512248</v>
      </c>
      <c r="E27109" s="1" t="s">
        <v>28130</v>
      </c>
      <c r="F27109" s="2"/>
      <c r="G27109" s="2"/>
      <c r="H27109" s="2"/>
    </row>
    <row r="27110" spans="1:8" x14ac:dyDescent="0.25">
      <c r="A27110" s="1"/>
      <c r="B27110" s="1" t="s">
        <v>7328</v>
      </c>
      <c r="C27110" s="1" t="s">
        <v>7329</v>
      </c>
      <c r="D27110" s="22" t="str">
        <f>HYPERLINK("https://rhld.insurance.arkansas.gov/NPILookup?Npi=1679515522","1679515522")</f>
        <v>1679515522</v>
      </c>
      <c r="E27110" s="1" t="s">
        <v>17772</v>
      </c>
      <c r="F27110" s="2"/>
      <c r="G27110" s="2"/>
      <c r="H27110" s="2"/>
    </row>
    <row r="27111" spans="1:8" x14ac:dyDescent="0.25">
      <c r="A27111" s="1"/>
      <c r="B27111" s="1" t="s">
        <v>7328</v>
      </c>
      <c r="C27111" s="1" t="s">
        <v>7329</v>
      </c>
      <c r="D27111" s="22" t="str">
        <f>HYPERLINK("https://rhld.insurance.arkansas.gov/NPILookup?Npi=1679523807","1679523807")</f>
        <v>1679523807</v>
      </c>
      <c r="E27111" s="1" t="s">
        <v>10405</v>
      </c>
      <c r="F27111" s="2"/>
      <c r="G27111" s="2"/>
      <c r="H27111" s="2"/>
    </row>
    <row r="27112" spans="1:8" x14ac:dyDescent="0.25">
      <c r="A27112" s="1"/>
      <c r="B27112" s="1" t="s">
        <v>7328</v>
      </c>
      <c r="C27112" s="1" t="s">
        <v>7329</v>
      </c>
      <c r="D27112" s="22" t="str">
        <f>HYPERLINK("https://rhld.insurance.arkansas.gov/NPILookup?Npi=1679535108","1679535108")</f>
        <v>1679535108</v>
      </c>
      <c r="E27112" s="1" t="s">
        <v>13438</v>
      </c>
      <c r="F27112" s="2"/>
      <c r="G27112" s="2"/>
      <c r="H27112" s="2"/>
    </row>
    <row r="27113" spans="1:8" x14ac:dyDescent="0.25">
      <c r="A27113" s="1"/>
      <c r="B27113" s="1" t="s">
        <v>7328</v>
      </c>
      <c r="C27113" s="1" t="s">
        <v>7329</v>
      </c>
      <c r="D27113" s="22" t="str">
        <f>HYPERLINK("https://rhld.insurance.arkansas.gov/NPILookup?Npi=1679535181","1679535181")</f>
        <v>1679535181</v>
      </c>
      <c r="E27113" s="1" t="s">
        <v>17774</v>
      </c>
      <c r="F27113" s="2"/>
      <c r="G27113" s="2"/>
      <c r="H27113" s="2"/>
    </row>
    <row r="27114" spans="1:8" x14ac:dyDescent="0.25">
      <c r="A27114" s="1"/>
      <c r="B27114" s="1" t="s">
        <v>7328</v>
      </c>
      <c r="C27114" s="1" t="s">
        <v>7329</v>
      </c>
      <c r="D27114" s="22" t="str">
        <f>HYPERLINK("https://rhld.insurance.arkansas.gov/NPILookup?Npi=1679540298","1679540298")</f>
        <v>1679540298</v>
      </c>
      <c r="E27114" s="1" t="s">
        <v>13439</v>
      </c>
      <c r="F27114" s="2"/>
      <c r="G27114" s="2"/>
      <c r="H27114" s="2"/>
    </row>
    <row r="27115" spans="1:8" x14ac:dyDescent="0.25">
      <c r="A27115" s="1"/>
      <c r="B27115" s="1" t="s">
        <v>7328</v>
      </c>
      <c r="C27115" s="1" t="s">
        <v>7329</v>
      </c>
      <c r="D27115" s="22" t="str">
        <f>HYPERLINK("https://rhld.insurance.arkansas.gov/NPILookup?Npi=1679547301","1679547301")</f>
        <v>1679547301</v>
      </c>
      <c r="E27115" s="1" t="s">
        <v>28131</v>
      </c>
      <c r="F27115" s="2"/>
      <c r="G27115" s="2"/>
      <c r="H27115" s="2"/>
    </row>
    <row r="27116" spans="1:8" x14ac:dyDescent="0.25">
      <c r="A27116" s="1"/>
      <c r="B27116" s="1" t="s">
        <v>7328</v>
      </c>
      <c r="C27116" s="1" t="s">
        <v>7329</v>
      </c>
      <c r="D27116" s="22" t="str">
        <f>HYPERLINK("https://rhld.insurance.arkansas.gov/NPILookup?Npi=1679547533","1679547533")</f>
        <v>1679547533</v>
      </c>
      <c r="E27116" s="1" t="s">
        <v>28132</v>
      </c>
      <c r="F27116" s="2"/>
      <c r="G27116" s="2"/>
      <c r="H27116" s="2"/>
    </row>
    <row r="27117" spans="1:8" x14ac:dyDescent="0.25">
      <c r="A27117" s="1"/>
      <c r="B27117" s="1" t="s">
        <v>7328</v>
      </c>
      <c r="C27117" s="1" t="s">
        <v>7329</v>
      </c>
      <c r="D27117" s="22" t="str">
        <f>HYPERLINK("https://rhld.insurance.arkansas.gov/NPILookup?Npi=1679547608","1679547608")</f>
        <v>1679547608</v>
      </c>
      <c r="E27117" s="1" t="s">
        <v>28133</v>
      </c>
      <c r="F27117" s="2"/>
      <c r="G27117" s="2"/>
      <c r="H27117" s="2"/>
    </row>
    <row r="27118" spans="1:8" x14ac:dyDescent="0.25">
      <c r="A27118" s="1"/>
      <c r="B27118" s="1" t="s">
        <v>7328</v>
      </c>
      <c r="C27118" s="1" t="s">
        <v>7329</v>
      </c>
      <c r="D27118" s="22" t="str">
        <f>HYPERLINK("https://rhld.insurance.arkansas.gov/NPILookup?Npi=1679556336","1679556336")</f>
        <v>1679556336</v>
      </c>
      <c r="E27118" s="1" t="s">
        <v>28134</v>
      </c>
      <c r="F27118" s="2"/>
      <c r="G27118" s="2"/>
      <c r="H27118" s="2"/>
    </row>
    <row r="27119" spans="1:8" x14ac:dyDescent="0.25">
      <c r="A27119" s="1"/>
      <c r="B27119" s="1" t="s">
        <v>7328</v>
      </c>
      <c r="C27119" s="1" t="s">
        <v>7329</v>
      </c>
      <c r="D27119" s="22" t="str">
        <f>HYPERLINK("https://rhld.insurance.arkansas.gov/NPILookup?Npi=1679556880","1679556880")</f>
        <v>1679556880</v>
      </c>
      <c r="E27119" s="1" t="s">
        <v>2050</v>
      </c>
      <c r="F27119" s="2"/>
      <c r="G27119" s="2"/>
      <c r="H27119" s="2"/>
    </row>
    <row r="27120" spans="1:8" x14ac:dyDescent="0.25">
      <c r="A27120" s="1"/>
      <c r="B27120" s="1" t="s">
        <v>7328</v>
      </c>
      <c r="C27120" s="1" t="s">
        <v>7329</v>
      </c>
      <c r="D27120" s="22" t="str">
        <f>HYPERLINK("https://rhld.insurance.arkansas.gov/NPILookup?Npi=1679569156","1679569156")</f>
        <v>1679569156</v>
      </c>
      <c r="E27120" s="1" t="s">
        <v>28135</v>
      </c>
      <c r="F27120" s="2"/>
      <c r="G27120" s="2"/>
      <c r="H27120" s="2"/>
    </row>
    <row r="27121" spans="1:8" x14ac:dyDescent="0.25">
      <c r="A27121" s="1"/>
      <c r="B27121" s="1" t="s">
        <v>7328</v>
      </c>
      <c r="C27121" s="1" t="s">
        <v>7329</v>
      </c>
      <c r="D27121" s="22" t="str">
        <f>HYPERLINK("https://rhld.insurance.arkansas.gov/NPILookup?Npi=1679570642","1679570642")</f>
        <v>1679570642</v>
      </c>
      <c r="E27121" s="1" t="s">
        <v>2963</v>
      </c>
      <c r="F27121" s="2"/>
      <c r="G27121" s="2"/>
      <c r="H27121" s="2"/>
    </row>
    <row r="27122" spans="1:8" x14ac:dyDescent="0.25">
      <c r="A27122" s="1"/>
      <c r="B27122" s="1" t="s">
        <v>7328</v>
      </c>
      <c r="C27122" s="1" t="s">
        <v>7329</v>
      </c>
      <c r="D27122" s="22" t="str">
        <f>HYPERLINK("https://rhld.insurance.arkansas.gov/NPILookup?Npi=1679571723","1679571723")</f>
        <v>1679571723</v>
      </c>
      <c r="E27122" s="1" t="s">
        <v>13440</v>
      </c>
      <c r="F27122" s="2"/>
      <c r="G27122" s="2"/>
      <c r="H27122" s="2"/>
    </row>
    <row r="27123" spans="1:8" x14ac:dyDescent="0.25">
      <c r="A27123" s="1"/>
      <c r="B27123" s="1" t="s">
        <v>7328</v>
      </c>
      <c r="C27123" s="1" t="s">
        <v>7329</v>
      </c>
      <c r="D27123" s="22" t="str">
        <f>HYPERLINK("https://rhld.insurance.arkansas.gov/NPILookup?Npi=1679571863","1679571863")</f>
        <v>1679571863</v>
      </c>
      <c r="E27123" s="1" t="s">
        <v>17775</v>
      </c>
      <c r="F27123" s="2"/>
      <c r="G27123" s="2"/>
      <c r="H27123" s="2"/>
    </row>
    <row r="27124" spans="1:8" x14ac:dyDescent="0.25">
      <c r="A27124" s="1"/>
      <c r="B27124" s="1" t="s">
        <v>7328</v>
      </c>
      <c r="C27124" s="1" t="s">
        <v>7329</v>
      </c>
      <c r="D27124" s="22" t="str">
        <f>HYPERLINK("https://rhld.insurance.arkansas.gov/NPILookup?Npi=1679576631","1679576631")</f>
        <v>1679576631</v>
      </c>
      <c r="E27124" s="1" t="s">
        <v>17776</v>
      </c>
      <c r="F27124" s="2"/>
      <c r="G27124" s="2"/>
      <c r="H27124" s="2"/>
    </row>
    <row r="27125" spans="1:8" x14ac:dyDescent="0.25">
      <c r="A27125" s="1"/>
      <c r="B27125" s="1" t="s">
        <v>7328</v>
      </c>
      <c r="C27125" s="1" t="s">
        <v>7329</v>
      </c>
      <c r="D27125" s="22" t="str">
        <f>HYPERLINK("https://rhld.insurance.arkansas.gov/NPILookup?Npi=1679577381","1679577381")</f>
        <v>1679577381</v>
      </c>
      <c r="E27125" s="1" t="s">
        <v>28136</v>
      </c>
      <c r="F27125" s="2"/>
      <c r="G27125" s="2"/>
      <c r="H27125" s="2"/>
    </row>
    <row r="27126" spans="1:8" x14ac:dyDescent="0.25">
      <c r="A27126" s="1"/>
      <c r="B27126" s="1" t="s">
        <v>7328</v>
      </c>
      <c r="C27126" s="1" t="s">
        <v>7329</v>
      </c>
      <c r="D27126" s="22" t="str">
        <f>HYPERLINK("https://rhld.insurance.arkansas.gov/NPILookup?Npi=1679577555","1679577555")</f>
        <v>1679577555</v>
      </c>
      <c r="E27126" s="1" t="s">
        <v>7997</v>
      </c>
      <c r="F27126" s="2"/>
      <c r="G27126" s="2"/>
      <c r="H27126" s="2"/>
    </row>
    <row r="27127" spans="1:8" x14ac:dyDescent="0.25">
      <c r="A27127" s="1"/>
      <c r="B27127" s="1" t="s">
        <v>7328</v>
      </c>
      <c r="C27127" s="1" t="s">
        <v>7329</v>
      </c>
      <c r="D27127" s="22" t="str">
        <f>HYPERLINK("https://rhld.insurance.arkansas.gov/NPILookup?Npi=1679577662","1679577662")</f>
        <v>1679577662</v>
      </c>
      <c r="E27127" s="1" t="s">
        <v>28137</v>
      </c>
      <c r="F27127" s="2"/>
      <c r="G27127" s="2"/>
      <c r="H27127" s="2"/>
    </row>
    <row r="27128" spans="1:8" x14ac:dyDescent="0.25">
      <c r="A27128" s="1"/>
      <c r="B27128" s="1" t="s">
        <v>7328</v>
      </c>
      <c r="C27128" s="1" t="s">
        <v>7329</v>
      </c>
      <c r="D27128" s="22" t="str">
        <f>HYPERLINK("https://rhld.insurance.arkansas.gov/NPILookup?Npi=1679579536","1679579536")</f>
        <v>1679579536</v>
      </c>
      <c r="E27128" s="1" t="s">
        <v>17777</v>
      </c>
      <c r="F27128" s="2"/>
      <c r="G27128" s="2"/>
      <c r="H27128" s="2"/>
    </row>
    <row r="27129" spans="1:8" x14ac:dyDescent="0.25">
      <c r="A27129" s="1"/>
      <c r="B27129" s="1" t="s">
        <v>7328</v>
      </c>
      <c r="C27129" s="1" t="s">
        <v>7329</v>
      </c>
      <c r="D27129" s="22" t="str">
        <f>HYPERLINK("https://rhld.insurance.arkansas.gov/NPILookup?Npi=1679579650","1679579650")</f>
        <v>1679579650</v>
      </c>
      <c r="E27129" s="1" t="s">
        <v>28138</v>
      </c>
      <c r="F27129" s="2"/>
      <c r="G27129" s="2"/>
      <c r="H27129" s="2"/>
    </row>
    <row r="27130" spans="1:8" x14ac:dyDescent="0.25">
      <c r="A27130" s="1"/>
      <c r="B27130" s="1" t="s">
        <v>7328</v>
      </c>
      <c r="C27130" s="1" t="s">
        <v>7329</v>
      </c>
      <c r="D27130" s="22" t="str">
        <f>HYPERLINK("https://rhld.insurance.arkansas.gov/NPILookup?Npi=1679580104","1679580104")</f>
        <v>1679580104</v>
      </c>
      <c r="E27130" s="1" t="s">
        <v>28139</v>
      </c>
      <c r="F27130" s="2"/>
      <c r="G27130" s="2"/>
      <c r="H27130" s="2"/>
    </row>
    <row r="27131" spans="1:8" x14ac:dyDescent="0.25">
      <c r="A27131" s="1"/>
      <c r="B27131" s="1" t="s">
        <v>7328</v>
      </c>
      <c r="C27131" s="1" t="s">
        <v>7329</v>
      </c>
      <c r="D27131" s="22" t="str">
        <f>HYPERLINK("https://rhld.insurance.arkansas.gov/NPILookup?Npi=1679592604","1679592604")</f>
        <v>1679592604</v>
      </c>
      <c r="E27131" s="1" t="s">
        <v>28140</v>
      </c>
      <c r="F27131" s="2"/>
      <c r="G27131" s="2"/>
      <c r="H27131" s="2"/>
    </row>
    <row r="27132" spans="1:8" x14ac:dyDescent="0.25">
      <c r="A27132" s="1"/>
      <c r="B27132" s="1" t="s">
        <v>7328</v>
      </c>
      <c r="C27132" s="1" t="s">
        <v>7329</v>
      </c>
      <c r="D27132" s="22" t="str">
        <f>HYPERLINK("https://rhld.insurance.arkansas.gov/NPILookup?Npi=1679599922","1679599922")</f>
        <v>1679599922</v>
      </c>
      <c r="E27132" s="1" t="s">
        <v>28141</v>
      </c>
      <c r="F27132" s="2"/>
      <c r="G27132" s="2"/>
      <c r="H27132" s="2"/>
    </row>
    <row r="27133" spans="1:8" x14ac:dyDescent="0.25">
      <c r="A27133" s="1"/>
      <c r="B27133" s="1" t="s">
        <v>7328</v>
      </c>
      <c r="C27133" s="1" t="s">
        <v>7329</v>
      </c>
      <c r="D27133" s="22" t="str">
        <f>HYPERLINK("https://rhld.insurance.arkansas.gov/NPILookup?Npi=1679626097","1679626097")</f>
        <v>1679626097</v>
      </c>
      <c r="E27133" s="1" t="s">
        <v>5765</v>
      </c>
      <c r="F27133" s="2"/>
      <c r="G27133" s="2"/>
      <c r="H27133" s="2"/>
    </row>
    <row r="27134" spans="1:8" x14ac:dyDescent="0.25">
      <c r="A27134" s="1"/>
      <c r="B27134" s="1" t="s">
        <v>7328</v>
      </c>
      <c r="C27134" s="1" t="s">
        <v>7329</v>
      </c>
      <c r="D27134" s="22" t="str">
        <f>HYPERLINK("https://rhld.insurance.arkansas.gov/NPILookup?Npi=1679630891","1679630891")</f>
        <v>1679630891</v>
      </c>
      <c r="E27134" s="1" t="s">
        <v>13441</v>
      </c>
      <c r="F27134" s="2"/>
      <c r="G27134" s="2"/>
      <c r="H27134" s="2"/>
    </row>
    <row r="27135" spans="1:8" x14ac:dyDescent="0.25">
      <c r="A27135" s="1"/>
      <c r="B27135" s="1" t="s">
        <v>7328</v>
      </c>
      <c r="C27135" s="1" t="s">
        <v>7329</v>
      </c>
      <c r="D27135" s="22" t="str">
        <f>HYPERLINK("https://rhld.insurance.arkansas.gov/NPILookup?Npi=1679641997","1679641997")</f>
        <v>1679641997</v>
      </c>
      <c r="E27135" s="1" t="s">
        <v>13442</v>
      </c>
      <c r="F27135" s="2"/>
      <c r="G27135" s="2"/>
      <c r="H27135" s="2"/>
    </row>
    <row r="27136" spans="1:8" x14ac:dyDescent="0.25">
      <c r="A27136" s="1"/>
      <c r="B27136" s="1" t="s">
        <v>7328</v>
      </c>
      <c r="C27136" s="1" t="s">
        <v>7329</v>
      </c>
      <c r="D27136" s="22" t="str">
        <f>HYPERLINK("https://rhld.insurance.arkansas.gov/NPILookup?Npi=1679649271","1679649271")</f>
        <v>1679649271</v>
      </c>
      <c r="E27136" s="1" t="s">
        <v>28142</v>
      </c>
      <c r="F27136" s="2"/>
      <c r="G27136" s="2"/>
      <c r="H27136" s="2"/>
    </row>
    <row r="27137" spans="1:8" x14ac:dyDescent="0.25">
      <c r="A27137" s="1"/>
      <c r="B27137" s="1" t="s">
        <v>7328</v>
      </c>
      <c r="C27137" s="1" t="s">
        <v>7329</v>
      </c>
      <c r="D27137" s="22" t="str">
        <f>HYPERLINK("https://rhld.insurance.arkansas.gov/NPILookup?Npi=1679676282","1679676282")</f>
        <v>1679676282</v>
      </c>
      <c r="E27137" s="1" t="s">
        <v>28143</v>
      </c>
      <c r="F27137" s="2"/>
      <c r="G27137" s="2"/>
      <c r="H27137" s="2"/>
    </row>
    <row r="27138" spans="1:8" x14ac:dyDescent="0.25">
      <c r="A27138" s="1"/>
      <c r="B27138" s="1" t="s">
        <v>7328</v>
      </c>
      <c r="C27138" s="1" t="s">
        <v>7329</v>
      </c>
      <c r="D27138" s="22" t="str">
        <f>HYPERLINK("https://rhld.insurance.arkansas.gov/NPILookup?Npi=1679701957","1679701957")</f>
        <v>1679701957</v>
      </c>
      <c r="E27138" s="1" t="s">
        <v>28144</v>
      </c>
      <c r="F27138" s="2"/>
      <c r="G27138" s="2"/>
      <c r="H27138" s="2"/>
    </row>
    <row r="27139" spans="1:8" x14ac:dyDescent="0.25">
      <c r="A27139" s="1"/>
      <c r="B27139" s="1" t="s">
        <v>7328</v>
      </c>
      <c r="C27139" s="1" t="s">
        <v>7329</v>
      </c>
      <c r="D27139" s="22" t="str">
        <f>HYPERLINK("https://rhld.insurance.arkansas.gov/NPILookup?Npi=1679707194","1679707194")</f>
        <v>1679707194</v>
      </c>
      <c r="E27139" s="1" t="s">
        <v>28145</v>
      </c>
      <c r="F27139" s="2"/>
      <c r="G27139" s="2"/>
      <c r="H27139" s="2"/>
    </row>
    <row r="27140" spans="1:8" x14ac:dyDescent="0.25">
      <c r="A27140" s="1"/>
      <c r="B27140" s="1" t="s">
        <v>7328</v>
      </c>
      <c r="C27140" s="1" t="s">
        <v>7329</v>
      </c>
      <c r="D27140" s="22" t="str">
        <f>HYPERLINK("https://rhld.insurance.arkansas.gov/NPILookup?Npi=1679736094","1679736094")</f>
        <v>1679736094</v>
      </c>
      <c r="E27140" s="1" t="s">
        <v>210</v>
      </c>
      <c r="F27140" s="2"/>
      <c r="G27140" s="2"/>
      <c r="H27140" s="2"/>
    </row>
    <row r="27141" spans="1:8" x14ac:dyDescent="0.25">
      <c r="A27141" s="1"/>
      <c r="B27141" s="1" t="s">
        <v>7328</v>
      </c>
      <c r="C27141" s="1" t="s">
        <v>7329</v>
      </c>
      <c r="D27141" s="22" t="str">
        <f>HYPERLINK("https://rhld.insurance.arkansas.gov/NPILookup?Npi=1679745780","1679745780")</f>
        <v>1679745780</v>
      </c>
      <c r="E27141" s="1" t="s">
        <v>28146</v>
      </c>
      <c r="F27141" s="2"/>
      <c r="G27141" s="2"/>
      <c r="H27141" s="2"/>
    </row>
    <row r="27142" spans="1:8" x14ac:dyDescent="0.25">
      <c r="A27142" s="1"/>
      <c r="B27142" s="1" t="s">
        <v>7328</v>
      </c>
      <c r="C27142" s="1" t="s">
        <v>7329</v>
      </c>
      <c r="D27142" s="22" t="str">
        <f>HYPERLINK("https://rhld.insurance.arkansas.gov/NPILookup?Npi=1679751960","1679751960")</f>
        <v>1679751960</v>
      </c>
      <c r="E27142" s="1" t="s">
        <v>28147</v>
      </c>
      <c r="F27142" s="2"/>
      <c r="G27142" s="2"/>
      <c r="H27142" s="2"/>
    </row>
    <row r="27143" spans="1:8" x14ac:dyDescent="0.25">
      <c r="A27143" s="1"/>
      <c r="B27143" s="1" t="s">
        <v>7328</v>
      </c>
      <c r="C27143" s="1" t="s">
        <v>7329</v>
      </c>
      <c r="D27143" s="22" t="str">
        <f>HYPERLINK("https://rhld.insurance.arkansas.gov/NPILookup?Npi=1679756381","1679756381")</f>
        <v>1679756381</v>
      </c>
      <c r="E27143" s="1" t="s">
        <v>11995</v>
      </c>
      <c r="F27143" s="2"/>
      <c r="G27143" s="2"/>
      <c r="H27143" s="2"/>
    </row>
    <row r="27144" spans="1:8" x14ac:dyDescent="0.25">
      <c r="A27144" s="1"/>
      <c r="B27144" s="1" t="s">
        <v>7328</v>
      </c>
      <c r="C27144" s="1" t="s">
        <v>7329</v>
      </c>
      <c r="D27144" s="22" t="str">
        <f>HYPERLINK("https://rhld.insurance.arkansas.gov/NPILookup?Npi=1679780969","1679780969")</f>
        <v>1679780969</v>
      </c>
      <c r="E27144" s="1" t="s">
        <v>2964</v>
      </c>
      <c r="F27144" s="2"/>
      <c r="G27144" s="2"/>
      <c r="H27144" s="2"/>
    </row>
    <row r="27145" spans="1:8" x14ac:dyDescent="0.25">
      <c r="A27145" s="1"/>
      <c r="B27145" s="1" t="s">
        <v>7328</v>
      </c>
      <c r="C27145" s="1" t="s">
        <v>7329</v>
      </c>
      <c r="D27145" s="22" t="str">
        <f>HYPERLINK("https://rhld.insurance.arkansas.gov/NPILookup?Npi=1679785174","1679785174")</f>
        <v>1679785174</v>
      </c>
      <c r="E27145" s="1" t="s">
        <v>17794</v>
      </c>
      <c r="F27145" s="2"/>
      <c r="G27145" s="2"/>
      <c r="H27145" s="2"/>
    </row>
    <row r="27146" spans="1:8" x14ac:dyDescent="0.25">
      <c r="A27146" s="1"/>
      <c r="B27146" s="1" t="s">
        <v>7328</v>
      </c>
      <c r="C27146" s="1" t="s">
        <v>7329</v>
      </c>
      <c r="D27146" s="22" t="str">
        <f>HYPERLINK("https://rhld.insurance.arkansas.gov/NPILookup?Npi=1679794762","1679794762")</f>
        <v>1679794762</v>
      </c>
      <c r="E27146" s="1" t="s">
        <v>2965</v>
      </c>
      <c r="F27146" s="2"/>
      <c r="G27146" s="2"/>
      <c r="H27146" s="2"/>
    </row>
    <row r="27147" spans="1:8" x14ac:dyDescent="0.25">
      <c r="A27147" s="1"/>
      <c r="B27147" s="1" t="s">
        <v>7328</v>
      </c>
      <c r="C27147" s="1" t="s">
        <v>7329</v>
      </c>
      <c r="D27147" s="22" t="str">
        <f>HYPERLINK("https://rhld.insurance.arkansas.gov/NPILookup?Npi=1679798995","1679798995")</f>
        <v>1679798995</v>
      </c>
      <c r="E27147" s="1" t="s">
        <v>13443</v>
      </c>
      <c r="F27147" s="2"/>
      <c r="G27147" s="2"/>
      <c r="H27147" s="2"/>
    </row>
    <row r="27148" spans="1:8" x14ac:dyDescent="0.25">
      <c r="A27148" s="1"/>
      <c r="B27148" s="1" t="s">
        <v>7328</v>
      </c>
      <c r="C27148" s="1" t="s">
        <v>7329</v>
      </c>
      <c r="D27148" s="22" t="str">
        <f>HYPERLINK("https://rhld.insurance.arkansas.gov/NPILookup?Npi=1679824197","1679824197")</f>
        <v>1679824197</v>
      </c>
      <c r="E27148" s="1" t="s">
        <v>13444</v>
      </c>
      <c r="F27148" s="2"/>
      <c r="G27148" s="2"/>
      <c r="H27148" s="2"/>
    </row>
    <row r="27149" spans="1:8" x14ac:dyDescent="0.25">
      <c r="A27149" s="1"/>
      <c r="B27149" s="1" t="s">
        <v>7328</v>
      </c>
      <c r="C27149" s="1" t="s">
        <v>7329</v>
      </c>
      <c r="D27149" s="22" t="str">
        <f>HYPERLINK("https://rhld.insurance.arkansas.gov/NPILookup?Npi=1679834626","1679834626")</f>
        <v>1679834626</v>
      </c>
      <c r="E27149" s="1" t="s">
        <v>28148</v>
      </c>
      <c r="F27149" s="2"/>
      <c r="G27149" s="2"/>
      <c r="H27149" s="2"/>
    </row>
    <row r="27150" spans="1:8" x14ac:dyDescent="0.25">
      <c r="A27150" s="1"/>
      <c r="B27150" s="1" t="s">
        <v>7328</v>
      </c>
      <c r="C27150" s="1" t="s">
        <v>7329</v>
      </c>
      <c r="D27150" s="22" t="str">
        <f>HYPERLINK("https://rhld.insurance.arkansas.gov/NPILookup?Npi=1679847818","1679847818")</f>
        <v>1679847818</v>
      </c>
      <c r="E27150" s="1" t="s">
        <v>2051</v>
      </c>
      <c r="F27150" s="2"/>
      <c r="G27150" s="2"/>
      <c r="H27150" s="2"/>
    </row>
    <row r="27151" spans="1:8" x14ac:dyDescent="0.25">
      <c r="A27151" s="1"/>
      <c r="B27151" s="1" t="s">
        <v>7328</v>
      </c>
      <c r="C27151" s="1" t="s">
        <v>7329</v>
      </c>
      <c r="D27151" s="22" t="str">
        <f>HYPERLINK("https://rhld.insurance.arkansas.gov/NPILookup?Npi=1679850374","1679850374")</f>
        <v>1679850374</v>
      </c>
      <c r="E27151" s="1" t="s">
        <v>28149</v>
      </c>
      <c r="F27151" s="2"/>
      <c r="G27151" s="2"/>
      <c r="H27151" s="2"/>
    </row>
    <row r="27152" spans="1:8" x14ac:dyDescent="0.25">
      <c r="A27152" s="1"/>
      <c r="B27152" s="1" t="s">
        <v>7328</v>
      </c>
      <c r="C27152" s="1" t="s">
        <v>7329</v>
      </c>
      <c r="D27152" s="22" t="str">
        <f>HYPERLINK("https://rhld.insurance.arkansas.gov/NPILookup?Npi=1679862023","1679862023")</f>
        <v>1679862023</v>
      </c>
      <c r="E27152" s="1" t="s">
        <v>10408</v>
      </c>
      <c r="F27152" s="2"/>
      <c r="G27152" s="2"/>
      <c r="H27152" s="2"/>
    </row>
    <row r="27153" spans="1:8" x14ac:dyDescent="0.25">
      <c r="A27153" s="1"/>
      <c r="B27153" s="1" t="s">
        <v>7328</v>
      </c>
      <c r="C27153" s="1" t="s">
        <v>7329</v>
      </c>
      <c r="D27153" s="22" t="str">
        <f>HYPERLINK("https://rhld.insurance.arkansas.gov/NPILookup?Npi=1679884761","1679884761")</f>
        <v>1679884761</v>
      </c>
      <c r="E27153" s="1" t="s">
        <v>28150</v>
      </c>
      <c r="F27153" s="2"/>
      <c r="G27153" s="2"/>
      <c r="H27153" s="2"/>
    </row>
    <row r="27154" spans="1:8" x14ac:dyDescent="0.25">
      <c r="A27154" s="1"/>
      <c r="B27154" s="1" t="s">
        <v>7328</v>
      </c>
      <c r="C27154" s="1" t="s">
        <v>7329</v>
      </c>
      <c r="D27154" s="22" t="str">
        <f>HYPERLINK("https://rhld.insurance.arkansas.gov/NPILookup?Npi=1679885412","1679885412")</f>
        <v>1679885412</v>
      </c>
      <c r="E27154" s="1" t="s">
        <v>28151</v>
      </c>
      <c r="F27154" s="2"/>
      <c r="G27154" s="2"/>
      <c r="H27154" s="2"/>
    </row>
    <row r="27155" spans="1:8" x14ac:dyDescent="0.25">
      <c r="A27155" s="1"/>
      <c r="B27155" s="1" t="s">
        <v>7328</v>
      </c>
      <c r="C27155" s="1" t="s">
        <v>7329</v>
      </c>
      <c r="D27155" s="22" t="str">
        <f>HYPERLINK("https://rhld.insurance.arkansas.gov/NPILookup?Npi=1679886055","1679886055")</f>
        <v>1679886055</v>
      </c>
      <c r="E27155" s="1" t="s">
        <v>7998</v>
      </c>
      <c r="F27155" s="2"/>
      <c r="G27155" s="2"/>
      <c r="H27155" s="2"/>
    </row>
    <row r="27156" spans="1:8" x14ac:dyDescent="0.25">
      <c r="A27156" s="1"/>
      <c r="B27156" s="1" t="s">
        <v>7328</v>
      </c>
      <c r="C27156" s="1" t="s">
        <v>7329</v>
      </c>
      <c r="D27156" s="22" t="str">
        <f>HYPERLINK("https://rhld.insurance.arkansas.gov/NPILookup?Npi=1679898332","1679898332")</f>
        <v>1679898332</v>
      </c>
      <c r="E27156" s="1" t="s">
        <v>32325</v>
      </c>
      <c r="F27156" s="2"/>
      <c r="G27156" s="2"/>
      <c r="H27156" s="2"/>
    </row>
    <row r="27157" spans="1:8" x14ac:dyDescent="0.25">
      <c r="A27157" s="1"/>
      <c r="B27157" s="1" t="s">
        <v>7328</v>
      </c>
      <c r="C27157" s="1" t="s">
        <v>7329</v>
      </c>
      <c r="D27157" s="22" t="str">
        <f>HYPERLINK("https://rhld.insurance.arkansas.gov/NPILookup?Npi=1679908545","1679908545")</f>
        <v>1679908545</v>
      </c>
      <c r="E27157" s="1" t="s">
        <v>28152</v>
      </c>
      <c r="F27157" s="2"/>
      <c r="G27157" s="2"/>
      <c r="H27157" s="2"/>
    </row>
    <row r="27158" spans="1:8" x14ac:dyDescent="0.25">
      <c r="A27158" s="1"/>
      <c r="B27158" s="1" t="s">
        <v>7328</v>
      </c>
      <c r="C27158" s="1" t="s">
        <v>7329</v>
      </c>
      <c r="D27158" s="22" t="str">
        <f>HYPERLINK("https://rhld.insurance.arkansas.gov/NPILookup?Npi=1679912554","1679912554")</f>
        <v>1679912554</v>
      </c>
      <c r="E27158" s="1" t="s">
        <v>32326</v>
      </c>
      <c r="F27158" s="2"/>
      <c r="G27158" s="2"/>
      <c r="H27158" s="2"/>
    </row>
    <row r="27159" spans="1:8" x14ac:dyDescent="0.25">
      <c r="A27159" s="1"/>
      <c r="B27159" s="1" t="s">
        <v>7328</v>
      </c>
      <c r="C27159" s="1" t="s">
        <v>7329</v>
      </c>
      <c r="D27159" s="22" t="str">
        <f>HYPERLINK("https://rhld.insurance.arkansas.gov/NPILookup?Npi=1679914113","1679914113")</f>
        <v>1679914113</v>
      </c>
      <c r="E27159" s="1" t="s">
        <v>2052</v>
      </c>
      <c r="F27159" s="2"/>
      <c r="G27159" s="2"/>
      <c r="H27159" s="2"/>
    </row>
    <row r="27160" spans="1:8" x14ac:dyDescent="0.25">
      <c r="A27160" s="1"/>
      <c r="B27160" s="1" t="s">
        <v>7328</v>
      </c>
      <c r="C27160" s="1" t="s">
        <v>7329</v>
      </c>
      <c r="D27160" s="22" t="str">
        <f>HYPERLINK("https://rhld.insurance.arkansas.gov/NPILookup?Npi=1679914154","1679914154")</f>
        <v>1679914154</v>
      </c>
      <c r="E27160" s="1" t="s">
        <v>28153</v>
      </c>
      <c r="F27160" s="2"/>
      <c r="G27160" s="2"/>
      <c r="H27160" s="2"/>
    </row>
    <row r="27161" spans="1:8" x14ac:dyDescent="0.25">
      <c r="A27161" s="1"/>
      <c r="B27161" s="1" t="s">
        <v>7328</v>
      </c>
      <c r="C27161" s="1" t="s">
        <v>7329</v>
      </c>
      <c r="D27161" s="22" t="str">
        <f>HYPERLINK("https://rhld.insurance.arkansas.gov/NPILookup?Npi=1679926141","1679926141")</f>
        <v>1679926141</v>
      </c>
      <c r="E27161" s="1" t="s">
        <v>13445</v>
      </c>
      <c r="F27161" s="2"/>
      <c r="G27161" s="2"/>
      <c r="H27161" s="2"/>
    </row>
    <row r="27162" spans="1:8" x14ac:dyDescent="0.25">
      <c r="A27162" s="1"/>
      <c r="B27162" s="1" t="s">
        <v>7328</v>
      </c>
      <c r="C27162" s="1" t="s">
        <v>7329</v>
      </c>
      <c r="D27162" s="22" t="str">
        <f>HYPERLINK("https://rhld.insurance.arkansas.gov/NPILookup?Npi=1679931760","1679931760")</f>
        <v>1679931760</v>
      </c>
      <c r="E27162" s="1" t="s">
        <v>879</v>
      </c>
      <c r="F27162" s="2"/>
      <c r="G27162" s="2"/>
      <c r="H27162" s="2"/>
    </row>
    <row r="27163" spans="1:8" x14ac:dyDescent="0.25">
      <c r="A27163" s="1"/>
      <c r="B27163" s="1" t="s">
        <v>7328</v>
      </c>
      <c r="C27163" s="1" t="s">
        <v>7329</v>
      </c>
      <c r="D27163" s="22" t="str">
        <f>HYPERLINK("https://rhld.insurance.arkansas.gov/NPILookup?Npi=1679932321","1679932321")</f>
        <v>1679932321</v>
      </c>
      <c r="E27163" s="1" t="s">
        <v>17545</v>
      </c>
      <c r="F27163" s="2"/>
      <c r="G27163" s="2"/>
      <c r="H27163" s="2"/>
    </row>
    <row r="27164" spans="1:8" x14ac:dyDescent="0.25">
      <c r="A27164" s="1"/>
      <c r="B27164" s="1" t="s">
        <v>7328</v>
      </c>
      <c r="C27164" s="1" t="s">
        <v>7329</v>
      </c>
      <c r="D27164" s="22" t="str">
        <f>HYPERLINK("https://rhld.insurance.arkansas.gov/NPILookup?Npi=1679949457","1679949457")</f>
        <v>1679949457</v>
      </c>
      <c r="E27164" s="1" t="s">
        <v>13446</v>
      </c>
      <c r="F27164" s="2"/>
      <c r="G27164" s="2"/>
      <c r="H27164" s="2"/>
    </row>
    <row r="27165" spans="1:8" x14ac:dyDescent="0.25">
      <c r="A27165" s="1"/>
      <c r="B27165" s="1" t="s">
        <v>7328</v>
      </c>
      <c r="C27165" s="1" t="s">
        <v>7329</v>
      </c>
      <c r="D27165" s="22" t="str">
        <f>HYPERLINK("https://rhld.insurance.arkansas.gov/NPILookup?Npi=1679950679","1679950679")</f>
        <v>1679950679</v>
      </c>
      <c r="E27165" s="1" t="s">
        <v>7999</v>
      </c>
      <c r="F27165" s="2"/>
      <c r="G27165" s="2"/>
      <c r="H27165" s="2"/>
    </row>
    <row r="27166" spans="1:8" x14ac:dyDescent="0.25">
      <c r="A27166" s="1"/>
      <c r="B27166" s="1" t="s">
        <v>7328</v>
      </c>
      <c r="C27166" s="1" t="s">
        <v>7329</v>
      </c>
      <c r="D27166" s="22" t="str">
        <f>HYPERLINK("https://rhld.insurance.arkansas.gov/NPILookup?Npi=1679952535","1679952535")</f>
        <v>1679952535</v>
      </c>
      <c r="E27166" s="1" t="s">
        <v>4449</v>
      </c>
      <c r="F27166" s="2"/>
      <c r="G27166" s="2"/>
      <c r="H27166" s="2"/>
    </row>
    <row r="27167" spans="1:8" x14ac:dyDescent="0.25">
      <c r="A27167" s="1"/>
      <c r="B27167" s="1" t="s">
        <v>7328</v>
      </c>
      <c r="C27167" s="1" t="s">
        <v>7329</v>
      </c>
      <c r="D27167" s="22" t="str">
        <f>HYPERLINK("https://rhld.insurance.arkansas.gov/NPILookup?Npi=1679954655","1679954655")</f>
        <v>1679954655</v>
      </c>
      <c r="E27167" s="1" t="s">
        <v>8000</v>
      </c>
      <c r="F27167" s="2"/>
      <c r="G27167" s="2"/>
      <c r="H27167" s="2"/>
    </row>
    <row r="27168" spans="1:8" x14ac:dyDescent="0.25">
      <c r="A27168" s="1"/>
      <c r="B27168" s="1" t="s">
        <v>7328</v>
      </c>
      <c r="C27168" s="1" t="s">
        <v>7329</v>
      </c>
      <c r="D27168" s="22" t="str">
        <f>HYPERLINK("https://rhld.insurance.arkansas.gov/NPILookup?Npi=1679957369","1679957369")</f>
        <v>1679957369</v>
      </c>
      <c r="E27168" s="1" t="s">
        <v>8001</v>
      </c>
      <c r="F27168" s="2"/>
      <c r="G27168" s="2"/>
      <c r="H27168" s="2"/>
    </row>
    <row r="27169" spans="1:8" x14ac:dyDescent="0.25">
      <c r="A27169" s="1"/>
      <c r="B27169" s="1" t="s">
        <v>7328</v>
      </c>
      <c r="C27169" s="1" t="s">
        <v>7329</v>
      </c>
      <c r="D27169" s="22" t="str">
        <f>HYPERLINK("https://rhld.insurance.arkansas.gov/NPILookup?Npi=1679976179","1679976179")</f>
        <v>1679976179</v>
      </c>
      <c r="E27169" s="1" t="s">
        <v>1484</v>
      </c>
      <c r="F27169" s="2"/>
      <c r="G27169" s="2"/>
      <c r="H27169" s="2"/>
    </row>
    <row r="27170" spans="1:8" x14ac:dyDescent="0.25">
      <c r="A27170" s="1"/>
      <c r="B27170" s="1" t="s">
        <v>7328</v>
      </c>
      <c r="C27170" s="1" t="s">
        <v>7329</v>
      </c>
      <c r="D27170" s="22" t="str">
        <f>HYPERLINK("https://rhld.insurance.arkansas.gov/NPILookup?Npi=1689004814","1689004814")</f>
        <v>1689004814</v>
      </c>
      <c r="E27170" s="1" t="s">
        <v>28154</v>
      </c>
      <c r="F27170" s="2"/>
      <c r="G27170" s="2"/>
      <c r="H27170" s="2"/>
    </row>
    <row r="27171" spans="1:8" x14ac:dyDescent="0.25">
      <c r="A27171" s="1"/>
      <c r="B27171" s="1" t="s">
        <v>7328</v>
      </c>
      <c r="C27171" s="1" t="s">
        <v>7329</v>
      </c>
      <c r="D27171" s="22" t="str">
        <f>HYPERLINK("https://rhld.insurance.arkansas.gov/NPILookup?Npi=1689005993","1689005993")</f>
        <v>1689005993</v>
      </c>
      <c r="E27171" s="1" t="s">
        <v>28155</v>
      </c>
      <c r="F27171" s="2"/>
      <c r="G27171" s="2"/>
      <c r="H27171" s="2"/>
    </row>
    <row r="27172" spans="1:8" x14ac:dyDescent="0.25">
      <c r="A27172" s="1"/>
      <c r="B27172" s="1" t="s">
        <v>7328</v>
      </c>
      <c r="C27172" s="1" t="s">
        <v>7329</v>
      </c>
      <c r="D27172" s="22" t="str">
        <f>HYPERLINK("https://rhld.insurance.arkansas.gov/NPILookup?Npi=1689021693","1689021693")</f>
        <v>1689021693</v>
      </c>
      <c r="E27172" s="1" t="s">
        <v>28156</v>
      </c>
      <c r="F27172" s="2"/>
      <c r="G27172" s="2"/>
      <c r="H27172" s="2"/>
    </row>
    <row r="27173" spans="1:8" x14ac:dyDescent="0.25">
      <c r="A27173" s="1"/>
      <c r="B27173" s="1" t="s">
        <v>7328</v>
      </c>
      <c r="C27173" s="1" t="s">
        <v>7329</v>
      </c>
      <c r="D27173" s="22" t="str">
        <f>HYPERLINK("https://rhld.insurance.arkansas.gov/NPILookup?Npi=1689021834","1689021834")</f>
        <v>1689021834</v>
      </c>
      <c r="E27173" s="1" t="s">
        <v>28157</v>
      </c>
      <c r="F27173" s="2"/>
      <c r="G27173" s="2"/>
      <c r="H27173" s="2"/>
    </row>
    <row r="27174" spans="1:8" x14ac:dyDescent="0.25">
      <c r="A27174" s="1"/>
      <c r="B27174" s="1" t="s">
        <v>7328</v>
      </c>
      <c r="C27174" s="1" t="s">
        <v>7329</v>
      </c>
      <c r="D27174" s="22" t="str">
        <f>HYPERLINK("https://rhld.insurance.arkansas.gov/NPILookup?Npi=1689026726","1689026726")</f>
        <v>1689026726</v>
      </c>
      <c r="E27174" s="1" t="s">
        <v>16019</v>
      </c>
      <c r="F27174" s="2"/>
      <c r="G27174" s="2"/>
      <c r="H27174" s="2"/>
    </row>
    <row r="27175" spans="1:8" x14ac:dyDescent="0.25">
      <c r="A27175" s="1"/>
      <c r="B27175" s="1" t="s">
        <v>7328</v>
      </c>
      <c r="C27175" s="1" t="s">
        <v>7329</v>
      </c>
      <c r="D27175" s="22" t="str">
        <f>HYPERLINK("https://rhld.insurance.arkansas.gov/NPILookup?Npi=1689032237","1689032237")</f>
        <v>1689032237</v>
      </c>
      <c r="E27175" s="1" t="s">
        <v>32327</v>
      </c>
      <c r="F27175" s="2"/>
      <c r="G27175" s="2"/>
      <c r="H27175" s="2"/>
    </row>
    <row r="27176" spans="1:8" x14ac:dyDescent="0.25">
      <c r="A27176" s="1"/>
      <c r="B27176" s="1" t="s">
        <v>7328</v>
      </c>
      <c r="C27176" s="1" t="s">
        <v>7329</v>
      </c>
      <c r="D27176" s="22" t="str">
        <f>HYPERLINK("https://rhld.insurance.arkansas.gov/NPILookup?Npi=1689033730","1689033730")</f>
        <v>1689033730</v>
      </c>
      <c r="E27176" s="1" t="s">
        <v>1410</v>
      </c>
      <c r="F27176" s="2"/>
      <c r="G27176" s="2"/>
      <c r="H27176" s="2"/>
    </row>
    <row r="27177" spans="1:8" x14ac:dyDescent="0.25">
      <c r="A27177" s="1"/>
      <c r="B27177" s="1" t="s">
        <v>7328</v>
      </c>
      <c r="C27177" s="1" t="s">
        <v>7329</v>
      </c>
      <c r="D27177" s="22" t="str">
        <f>HYPERLINK("https://rhld.insurance.arkansas.gov/NPILookup?Npi=1689040271","1689040271")</f>
        <v>1689040271</v>
      </c>
      <c r="E27177" s="1" t="s">
        <v>8002</v>
      </c>
      <c r="F27177" s="2"/>
      <c r="G27177" s="2"/>
      <c r="H27177" s="2"/>
    </row>
    <row r="27178" spans="1:8" x14ac:dyDescent="0.25">
      <c r="A27178" s="1"/>
      <c r="B27178" s="1" t="s">
        <v>7328</v>
      </c>
      <c r="C27178" s="1" t="s">
        <v>7329</v>
      </c>
      <c r="D27178" s="22" t="str">
        <f>HYPERLINK("https://rhld.insurance.arkansas.gov/NPILookup?Npi=1689049702","1689049702")</f>
        <v>1689049702</v>
      </c>
      <c r="E27178" s="1" t="s">
        <v>1802</v>
      </c>
      <c r="F27178" s="2"/>
      <c r="G27178" s="2"/>
      <c r="H27178" s="2"/>
    </row>
    <row r="27179" spans="1:8" x14ac:dyDescent="0.25">
      <c r="A27179" s="1"/>
      <c r="B27179" s="1" t="s">
        <v>7328</v>
      </c>
      <c r="C27179" s="1" t="s">
        <v>7329</v>
      </c>
      <c r="D27179" s="22" t="str">
        <f>HYPERLINK("https://rhld.insurance.arkansas.gov/NPILookup?Npi=1689051773","1689051773")</f>
        <v>1689051773</v>
      </c>
      <c r="E27179" s="1" t="s">
        <v>28158</v>
      </c>
      <c r="F27179" s="2"/>
      <c r="G27179" s="2"/>
      <c r="H27179" s="2"/>
    </row>
    <row r="27180" spans="1:8" x14ac:dyDescent="0.25">
      <c r="A27180" s="1"/>
      <c r="B27180" s="1" t="s">
        <v>7328</v>
      </c>
      <c r="C27180" s="1" t="s">
        <v>7329</v>
      </c>
      <c r="D27180" s="22" t="str">
        <f>HYPERLINK("https://rhld.insurance.arkansas.gov/NPILookup?Npi=1689055881","1689055881")</f>
        <v>1689055881</v>
      </c>
      <c r="E27180" s="1" t="s">
        <v>13447</v>
      </c>
      <c r="F27180" s="2"/>
      <c r="G27180" s="2"/>
      <c r="H27180" s="2"/>
    </row>
    <row r="27181" spans="1:8" x14ac:dyDescent="0.25">
      <c r="A27181" s="1"/>
      <c r="B27181" s="1" t="s">
        <v>7328</v>
      </c>
      <c r="C27181" s="1" t="s">
        <v>7329</v>
      </c>
      <c r="D27181" s="22" t="str">
        <f>HYPERLINK("https://rhld.insurance.arkansas.gov/NPILookup?Npi=1689061129","1689061129")</f>
        <v>1689061129</v>
      </c>
      <c r="E27181" s="1" t="s">
        <v>13448</v>
      </c>
      <c r="F27181" s="2"/>
      <c r="G27181" s="2"/>
      <c r="H27181" s="2"/>
    </row>
    <row r="27182" spans="1:8" x14ac:dyDescent="0.25">
      <c r="A27182" s="1"/>
      <c r="B27182" s="1" t="s">
        <v>7328</v>
      </c>
      <c r="C27182" s="1" t="s">
        <v>7329</v>
      </c>
      <c r="D27182" s="22" t="str">
        <f>HYPERLINK("https://rhld.insurance.arkansas.gov/NPILookup?Npi=1689078156","1689078156")</f>
        <v>1689078156</v>
      </c>
      <c r="E27182" s="1" t="s">
        <v>13449</v>
      </c>
      <c r="F27182" s="2"/>
      <c r="G27182" s="2"/>
      <c r="H27182" s="2"/>
    </row>
    <row r="27183" spans="1:8" x14ac:dyDescent="0.25">
      <c r="A27183" s="1"/>
      <c r="B27183" s="1" t="s">
        <v>7328</v>
      </c>
      <c r="C27183" s="1" t="s">
        <v>7329</v>
      </c>
      <c r="D27183" s="22" t="str">
        <f>HYPERLINK("https://rhld.insurance.arkansas.gov/NPILookup?Npi=1689080384","1689080384")</f>
        <v>1689080384</v>
      </c>
      <c r="E27183" s="1" t="s">
        <v>1304</v>
      </c>
      <c r="F27183" s="2"/>
      <c r="G27183" s="2"/>
      <c r="H27183" s="2"/>
    </row>
    <row r="27184" spans="1:8" x14ac:dyDescent="0.25">
      <c r="A27184" s="1"/>
      <c r="B27184" s="1" t="s">
        <v>7328</v>
      </c>
      <c r="C27184" s="1" t="s">
        <v>7329</v>
      </c>
      <c r="D27184" s="22" t="str">
        <f>HYPERLINK("https://rhld.insurance.arkansas.gov/NPILookup?Npi=1689083537","1689083537")</f>
        <v>1689083537</v>
      </c>
      <c r="E27184" s="1" t="s">
        <v>1701</v>
      </c>
      <c r="F27184" s="2"/>
      <c r="G27184" s="2"/>
      <c r="H27184" s="2"/>
    </row>
    <row r="27185" spans="1:8" x14ac:dyDescent="0.25">
      <c r="A27185" s="1"/>
      <c r="B27185" s="1" t="s">
        <v>7328</v>
      </c>
      <c r="C27185" s="1" t="s">
        <v>7329</v>
      </c>
      <c r="D27185" s="22" t="str">
        <f>HYPERLINK("https://rhld.insurance.arkansas.gov/NPILookup?Npi=1689131567","1689131567")</f>
        <v>1689131567</v>
      </c>
      <c r="E27185" s="1" t="s">
        <v>1397</v>
      </c>
      <c r="F27185" s="2"/>
      <c r="G27185" s="2"/>
      <c r="H27185" s="2"/>
    </row>
    <row r="27186" spans="1:8" x14ac:dyDescent="0.25">
      <c r="A27186" s="1"/>
      <c r="B27186" s="1" t="s">
        <v>7328</v>
      </c>
      <c r="C27186" s="1" t="s">
        <v>7329</v>
      </c>
      <c r="D27186" s="22" t="str">
        <f>HYPERLINK("https://rhld.insurance.arkansas.gov/NPILookup?Npi=1689133134","1689133134")</f>
        <v>1689133134</v>
      </c>
      <c r="E27186" s="1" t="s">
        <v>28159</v>
      </c>
      <c r="F27186" s="2"/>
      <c r="G27186" s="2"/>
      <c r="H27186" s="2"/>
    </row>
    <row r="27187" spans="1:8" x14ac:dyDescent="0.25">
      <c r="A27187" s="1"/>
      <c r="B27187" s="1" t="s">
        <v>7328</v>
      </c>
      <c r="C27187" s="1" t="s">
        <v>7329</v>
      </c>
      <c r="D27187" s="22" t="str">
        <f>HYPERLINK("https://rhld.insurance.arkansas.gov/NPILookup?Npi=1689136475","1689136475")</f>
        <v>1689136475</v>
      </c>
      <c r="E27187" s="1" t="s">
        <v>17781</v>
      </c>
      <c r="F27187" s="2"/>
      <c r="G27187" s="2"/>
      <c r="H27187" s="2"/>
    </row>
    <row r="27188" spans="1:8" x14ac:dyDescent="0.25">
      <c r="A27188" s="1"/>
      <c r="B27188" s="1" t="s">
        <v>7328</v>
      </c>
      <c r="C27188" s="1" t="s">
        <v>7329</v>
      </c>
      <c r="D27188" s="22" t="str">
        <f>HYPERLINK("https://rhld.insurance.arkansas.gov/NPILookup?Npi=1689148587","1689148587")</f>
        <v>1689148587</v>
      </c>
      <c r="E27188" s="1" t="s">
        <v>1803</v>
      </c>
      <c r="F27188" s="2"/>
      <c r="G27188" s="2"/>
      <c r="H27188" s="2"/>
    </row>
    <row r="27189" spans="1:8" x14ac:dyDescent="0.25">
      <c r="A27189" s="1"/>
      <c r="B27189" s="1" t="s">
        <v>7328</v>
      </c>
      <c r="C27189" s="1" t="s">
        <v>7329</v>
      </c>
      <c r="D27189" s="22" t="str">
        <f>HYPERLINK("https://rhld.insurance.arkansas.gov/NPILookup?Npi=1689154460","1689154460")</f>
        <v>1689154460</v>
      </c>
      <c r="E27189" s="1" t="s">
        <v>28160</v>
      </c>
      <c r="F27189" s="2"/>
      <c r="G27189" s="2"/>
      <c r="H27189" s="2"/>
    </row>
    <row r="27190" spans="1:8" x14ac:dyDescent="0.25">
      <c r="A27190" s="1"/>
      <c r="B27190" s="1" t="s">
        <v>7328</v>
      </c>
      <c r="C27190" s="1" t="s">
        <v>7329</v>
      </c>
      <c r="D27190" s="22" t="str">
        <f>HYPERLINK("https://rhld.insurance.arkansas.gov/NPILookup?Npi=1689157489","1689157489")</f>
        <v>1689157489</v>
      </c>
      <c r="E27190" s="1" t="s">
        <v>28161</v>
      </c>
      <c r="F27190" s="2"/>
      <c r="G27190" s="2"/>
      <c r="H27190" s="2"/>
    </row>
    <row r="27191" spans="1:8" x14ac:dyDescent="0.25">
      <c r="A27191" s="1"/>
      <c r="B27191" s="1" t="s">
        <v>7328</v>
      </c>
      <c r="C27191" s="1" t="s">
        <v>7329</v>
      </c>
      <c r="D27191" s="22" t="str">
        <f>HYPERLINK("https://rhld.insurance.arkansas.gov/NPILookup?Npi=1689165375","1689165375")</f>
        <v>1689165375</v>
      </c>
      <c r="E27191" s="1" t="s">
        <v>13450</v>
      </c>
      <c r="F27191" s="2"/>
      <c r="G27191" s="2"/>
      <c r="H27191" s="2"/>
    </row>
    <row r="27192" spans="1:8" x14ac:dyDescent="0.25">
      <c r="A27192" s="1"/>
      <c r="B27192" s="1" t="s">
        <v>7328</v>
      </c>
      <c r="C27192" s="1" t="s">
        <v>7329</v>
      </c>
      <c r="D27192" s="22" t="str">
        <f>HYPERLINK("https://rhld.insurance.arkansas.gov/NPILookup?Npi=1689166886","1689166886")</f>
        <v>1689166886</v>
      </c>
      <c r="E27192" s="1" t="s">
        <v>28162</v>
      </c>
      <c r="F27192" s="2"/>
      <c r="G27192" s="2"/>
      <c r="H27192" s="2"/>
    </row>
    <row r="27193" spans="1:8" x14ac:dyDescent="0.25">
      <c r="A27193" s="1"/>
      <c r="B27193" s="1" t="s">
        <v>7328</v>
      </c>
      <c r="C27193" s="1" t="s">
        <v>7329</v>
      </c>
      <c r="D27193" s="22" t="str">
        <f>HYPERLINK("https://rhld.insurance.arkansas.gov/NPILookup?Npi=1689171019","1689171019")</f>
        <v>1689171019</v>
      </c>
      <c r="E27193" s="1" t="s">
        <v>17783</v>
      </c>
      <c r="F27193" s="2"/>
      <c r="G27193" s="2"/>
      <c r="H27193" s="2"/>
    </row>
    <row r="27194" spans="1:8" x14ac:dyDescent="0.25">
      <c r="A27194" s="1"/>
      <c r="B27194" s="1" t="s">
        <v>7328</v>
      </c>
      <c r="C27194" s="1" t="s">
        <v>7329</v>
      </c>
      <c r="D27194" s="22" t="str">
        <f>HYPERLINK("https://rhld.insurance.arkansas.gov/NPILookup?Npi=1689174955","1689174955")</f>
        <v>1689174955</v>
      </c>
      <c r="E27194" s="1" t="s">
        <v>28163</v>
      </c>
      <c r="F27194" s="2"/>
      <c r="G27194" s="2"/>
      <c r="H27194" s="2"/>
    </row>
    <row r="27195" spans="1:8" x14ac:dyDescent="0.25">
      <c r="A27195" s="1"/>
      <c r="B27195" s="1" t="s">
        <v>7328</v>
      </c>
      <c r="C27195" s="1" t="s">
        <v>7329</v>
      </c>
      <c r="D27195" s="22" t="str">
        <f>HYPERLINK("https://rhld.insurance.arkansas.gov/NPILookup?Npi=1689183246","1689183246")</f>
        <v>1689183246</v>
      </c>
      <c r="E27195" s="1" t="s">
        <v>8003</v>
      </c>
      <c r="F27195" s="2"/>
      <c r="G27195" s="2"/>
      <c r="H27195" s="2"/>
    </row>
    <row r="27196" spans="1:8" x14ac:dyDescent="0.25">
      <c r="A27196" s="1"/>
      <c r="B27196" s="1" t="s">
        <v>7328</v>
      </c>
      <c r="C27196" s="1" t="s">
        <v>7329</v>
      </c>
      <c r="D27196" s="22" t="str">
        <f>HYPERLINK("https://rhld.insurance.arkansas.gov/NPILookup?Npi=1689183410","1689183410")</f>
        <v>1689183410</v>
      </c>
      <c r="E27196" s="1" t="s">
        <v>28164</v>
      </c>
      <c r="F27196" s="2"/>
      <c r="G27196" s="2"/>
      <c r="H27196" s="2"/>
    </row>
    <row r="27197" spans="1:8" x14ac:dyDescent="0.25">
      <c r="A27197" s="1"/>
      <c r="B27197" s="1" t="s">
        <v>7328</v>
      </c>
      <c r="C27197" s="1" t="s">
        <v>7329</v>
      </c>
      <c r="D27197" s="22" t="str">
        <f>HYPERLINK("https://rhld.insurance.arkansas.gov/NPILookup?Npi=1689189698","1689189698")</f>
        <v>1689189698</v>
      </c>
      <c r="E27197" s="1" t="s">
        <v>28165</v>
      </c>
      <c r="F27197" s="2"/>
      <c r="G27197" s="2"/>
      <c r="H27197" s="2"/>
    </row>
    <row r="27198" spans="1:8" x14ac:dyDescent="0.25">
      <c r="A27198" s="1"/>
      <c r="B27198" s="1" t="s">
        <v>7328</v>
      </c>
      <c r="C27198" s="1" t="s">
        <v>7329</v>
      </c>
      <c r="D27198" s="22" t="str">
        <f>HYPERLINK("https://rhld.insurance.arkansas.gov/NPILookup?Npi=1689191108","1689191108")</f>
        <v>1689191108</v>
      </c>
      <c r="E27198" s="1" t="s">
        <v>2400</v>
      </c>
      <c r="F27198" s="2"/>
      <c r="G27198" s="2"/>
      <c r="H27198" s="2"/>
    </row>
    <row r="27199" spans="1:8" x14ac:dyDescent="0.25">
      <c r="A27199" s="1"/>
      <c r="B27199" s="1" t="s">
        <v>7328</v>
      </c>
      <c r="C27199" s="1" t="s">
        <v>7329</v>
      </c>
      <c r="D27199" s="22" t="str">
        <f>HYPERLINK("https://rhld.insurance.arkansas.gov/NPILookup?Npi=1689224297","1689224297")</f>
        <v>1689224297</v>
      </c>
      <c r="E27199" s="1" t="s">
        <v>13451</v>
      </c>
      <c r="F27199" s="2"/>
      <c r="G27199" s="2"/>
      <c r="H27199" s="2"/>
    </row>
    <row r="27200" spans="1:8" x14ac:dyDescent="0.25">
      <c r="A27200" s="1"/>
      <c r="B27200" s="1" t="s">
        <v>7328</v>
      </c>
      <c r="C27200" s="1" t="s">
        <v>7329</v>
      </c>
      <c r="D27200" s="22" t="str">
        <f>HYPERLINK("https://rhld.insurance.arkansas.gov/NPILookup?Npi=1689228975","1689228975")</f>
        <v>1689228975</v>
      </c>
      <c r="E27200" s="1" t="s">
        <v>1148</v>
      </c>
      <c r="F27200" s="2"/>
      <c r="G27200" s="2"/>
      <c r="H27200" s="2"/>
    </row>
    <row r="27201" spans="1:8" x14ac:dyDescent="0.25">
      <c r="A27201" s="1"/>
      <c r="B27201" s="1" t="s">
        <v>7328</v>
      </c>
      <c r="C27201" s="1" t="s">
        <v>7329</v>
      </c>
      <c r="D27201" s="22" t="str">
        <f>HYPERLINK("https://rhld.insurance.arkansas.gov/NPILookup?Npi=1689240913","1689240913")</f>
        <v>1689240913</v>
      </c>
      <c r="E27201" s="1" t="s">
        <v>28166</v>
      </c>
      <c r="F27201" s="2"/>
      <c r="G27201" s="2"/>
      <c r="H27201" s="2"/>
    </row>
    <row r="27202" spans="1:8" x14ac:dyDescent="0.25">
      <c r="A27202" s="1"/>
      <c r="B27202" s="1" t="s">
        <v>7328</v>
      </c>
      <c r="C27202" s="1" t="s">
        <v>7329</v>
      </c>
      <c r="D27202" s="22" t="str">
        <f>HYPERLINK("https://rhld.insurance.arkansas.gov/NPILookup?Npi=1689290249","1689290249")</f>
        <v>1689290249</v>
      </c>
      <c r="E27202" s="1" t="s">
        <v>2401</v>
      </c>
      <c r="F27202" s="2"/>
      <c r="G27202" s="2"/>
      <c r="H27202" s="2"/>
    </row>
    <row r="27203" spans="1:8" x14ac:dyDescent="0.25">
      <c r="A27203" s="1"/>
      <c r="B27203" s="1" t="s">
        <v>7328</v>
      </c>
      <c r="C27203" s="1" t="s">
        <v>7329</v>
      </c>
      <c r="D27203" s="22" t="str">
        <f>HYPERLINK("https://rhld.insurance.arkansas.gov/NPILookup?Npi=1689299588","1689299588")</f>
        <v>1689299588</v>
      </c>
      <c r="E27203" s="1" t="s">
        <v>8004</v>
      </c>
      <c r="F27203" s="2"/>
      <c r="G27203" s="2"/>
      <c r="H27203" s="2"/>
    </row>
    <row r="27204" spans="1:8" x14ac:dyDescent="0.25">
      <c r="A27204" s="1"/>
      <c r="B27204" s="1" t="s">
        <v>7328</v>
      </c>
      <c r="C27204" s="1" t="s">
        <v>7329</v>
      </c>
      <c r="D27204" s="22" t="str">
        <f>HYPERLINK("https://rhld.insurance.arkansas.gov/NPILookup?Npi=1689304214","1689304214")</f>
        <v>1689304214</v>
      </c>
      <c r="E27204" s="1" t="s">
        <v>28167</v>
      </c>
      <c r="F27204" s="2"/>
      <c r="G27204" s="2"/>
      <c r="H27204" s="2"/>
    </row>
    <row r="27205" spans="1:8" x14ac:dyDescent="0.25">
      <c r="A27205" s="1"/>
      <c r="B27205" s="1" t="s">
        <v>7328</v>
      </c>
      <c r="C27205" s="1" t="s">
        <v>7329</v>
      </c>
      <c r="D27205" s="22" t="str">
        <f>HYPERLINK("https://rhld.insurance.arkansas.gov/NPILookup?Npi=1689310625","1689310625")</f>
        <v>1689310625</v>
      </c>
      <c r="E27205" s="1" t="s">
        <v>28168</v>
      </c>
      <c r="F27205" s="2"/>
      <c r="G27205" s="2"/>
      <c r="H27205" s="2"/>
    </row>
    <row r="27206" spans="1:8" x14ac:dyDescent="0.25">
      <c r="A27206" s="1"/>
      <c r="B27206" s="1" t="s">
        <v>7328</v>
      </c>
      <c r="C27206" s="1" t="s">
        <v>7329</v>
      </c>
      <c r="D27206" s="22" t="str">
        <f>HYPERLINK("https://rhld.insurance.arkansas.gov/NPILookup?Npi=1689319675","1689319675")</f>
        <v>1689319675</v>
      </c>
      <c r="E27206" s="1" t="s">
        <v>28169</v>
      </c>
      <c r="F27206" s="2"/>
      <c r="G27206" s="2"/>
      <c r="H27206" s="2"/>
    </row>
    <row r="27207" spans="1:8" x14ac:dyDescent="0.25">
      <c r="A27207" s="1"/>
      <c r="B27207" s="1" t="s">
        <v>7328</v>
      </c>
      <c r="C27207" s="1" t="s">
        <v>7329</v>
      </c>
      <c r="D27207" s="22" t="str">
        <f>HYPERLINK("https://rhld.insurance.arkansas.gov/NPILookup?Npi=1689329773","1689329773")</f>
        <v>1689329773</v>
      </c>
      <c r="E27207" s="1" t="s">
        <v>8005</v>
      </c>
      <c r="F27207" s="2"/>
      <c r="G27207" s="2"/>
      <c r="H27207" s="2"/>
    </row>
    <row r="27208" spans="1:8" x14ac:dyDescent="0.25">
      <c r="A27208" s="1"/>
      <c r="B27208" s="1" t="s">
        <v>7328</v>
      </c>
      <c r="C27208" s="1" t="s">
        <v>7329</v>
      </c>
      <c r="D27208" s="22" t="str">
        <f>HYPERLINK("https://rhld.insurance.arkansas.gov/NPILookup?Npi=1689331258","1689331258")</f>
        <v>1689331258</v>
      </c>
      <c r="E27208" s="1" t="s">
        <v>1383</v>
      </c>
      <c r="F27208" s="2"/>
      <c r="G27208" s="2"/>
      <c r="H27208" s="2"/>
    </row>
    <row r="27209" spans="1:8" x14ac:dyDescent="0.25">
      <c r="A27209" s="1"/>
      <c r="B27209" s="1" t="s">
        <v>7328</v>
      </c>
      <c r="C27209" s="1" t="s">
        <v>7329</v>
      </c>
      <c r="D27209" s="22" t="str">
        <f>HYPERLINK("https://rhld.insurance.arkansas.gov/NPILookup?Npi=1689336109","1689336109")</f>
        <v>1689336109</v>
      </c>
      <c r="E27209" s="1" t="s">
        <v>28170</v>
      </c>
      <c r="F27209" s="2"/>
      <c r="G27209" s="2"/>
      <c r="H27209" s="2"/>
    </row>
    <row r="27210" spans="1:8" x14ac:dyDescent="0.25">
      <c r="A27210" s="1"/>
      <c r="B27210" s="1" t="s">
        <v>7328</v>
      </c>
      <c r="C27210" s="1" t="s">
        <v>7329</v>
      </c>
      <c r="D27210" s="22" t="str">
        <f>HYPERLINK("https://rhld.insurance.arkansas.gov/NPILookup?Npi=1689358798","1689358798")</f>
        <v>1689358798</v>
      </c>
      <c r="E27210" s="1" t="s">
        <v>32328</v>
      </c>
      <c r="F27210" s="2"/>
      <c r="G27210" s="2"/>
      <c r="H27210" s="2"/>
    </row>
    <row r="27211" spans="1:8" x14ac:dyDescent="0.25">
      <c r="A27211" s="1"/>
      <c r="B27211" s="1" t="s">
        <v>7328</v>
      </c>
      <c r="C27211" s="1" t="s">
        <v>7329</v>
      </c>
      <c r="D27211" s="22" t="str">
        <f>HYPERLINK("https://rhld.insurance.arkansas.gov/NPILookup?Npi=1689367120","1689367120")</f>
        <v>1689367120</v>
      </c>
      <c r="E27211" s="1" t="s">
        <v>6063</v>
      </c>
      <c r="F27211" s="2"/>
      <c r="G27211" s="2"/>
      <c r="H27211" s="2"/>
    </row>
    <row r="27212" spans="1:8" x14ac:dyDescent="0.25">
      <c r="A27212" s="1"/>
      <c r="B27212" s="1" t="s">
        <v>7328</v>
      </c>
      <c r="C27212" s="1" t="s">
        <v>7329</v>
      </c>
      <c r="D27212" s="22" t="str">
        <f>HYPERLINK("https://rhld.insurance.arkansas.gov/NPILookup?Npi=1689383366","1689383366")</f>
        <v>1689383366</v>
      </c>
      <c r="E27212" s="1" t="s">
        <v>13452</v>
      </c>
      <c r="F27212" s="2"/>
      <c r="G27212" s="2"/>
      <c r="H27212" s="2"/>
    </row>
    <row r="27213" spans="1:8" x14ac:dyDescent="0.25">
      <c r="A27213" s="1"/>
      <c r="B27213" s="1" t="s">
        <v>7328</v>
      </c>
      <c r="C27213" s="1" t="s">
        <v>7329</v>
      </c>
      <c r="D27213" s="22" t="str">
        <f>HYPERLINK("https://rhld.insurance.arkansas.gov/NPILookup?Npi=1689383705","1689383705")</f>
        <v>1689383705</v>
      </c>
      <c r="E27213" s="1" t="s">
        <v>28171</v>
      </c>
      <c r="F27213" s="2"/>
      <c r="G27213" s="2"/>
      <c r="H27213" s="2"/>
    </row>
    <row r="27214" spans="1:8" x14ac:dyDescent="0.25">
      <c r="A27214" s="1"/>
      <c r="B27214" s="1" t="s">
        <v>7328</v>
      </c>
      <c r="C27214" s="1" t="s">
        <v>7329</v>
      </c>
      <c r="D27214" s="22" t="str">
        <f>HYPERLINK("https://rhld.insurance.arkansas.gov/NPILookup?Npi=1689394520","1689394520")</f>
        <v>1689394520</v>
      </c>
      <c r="E27214" s="1" t="s">
        <v>28172</v>
      </c>
      <c r="F27214" s="2"/>
      <c r="G27214" s="2"/>
      <c r="H27214" s="2"/>
    </row>
    <row r="27215" spans="1:8" x14ac:dyDescent="0.25">
      <c r="A27215" s="1"/>
      <c r="B27215" s="1" t="s">
        <v>7328</v>
      </c>
      <c r="C27215" s="1" t="s">
        <v>7329</v>
      </c>
      <c r="D27215" s="22" t="str">
        <f>HYPERLINK("https://rhld.insurance.arkansas.gov/NPILookup?Npi=1689397952","1689397952")</f>
        <v>1689397952</v>
      </c>
      <c r="E27215" s="1" t="s">
        <v>2402</v>
      </c>
      <c r="F27215" s="2"/>
      <c r="G27215" s="2"/>
      <c r="H27215" s="2"/>
    </row>
    <row r="27216" spans="1:8" x14ac:dyDescent="0.25">
      <c r="A27216" s="1"/>
      <c r="B27216" s="1" t="s">
        <v>7328</v>
      </c>
      <c r="C27216" s="1" t="s">
        <v>7329</v>
      </c>
      <c r="D27216" s="22" t="str">
        <f>HYPERLINK("https://rhld.insurance.arkansas.gov/NPILookup?Npi=1689400228","1689400228")</f>
        <v>1689400228</v>
      </c>
      <c r="E27216" s="1" t="s">
        <v>32329</v>
      </c>
      <c r="F27216" s="2"/>
      <c r="G27216" s="2"/>
      <c r="H27216" s="2"/>
    </row>
    <row r="27217" spans="1:8" x14ac:dyDescent="0.25">
      <c r="A27217" s="1"/>
      <c r="B27217" s="1" t="s">
        <v>7328</v>
      </c>
      <c r="C27217" s="1" t="s">
        <v>7329</v>
      </c>
      <c r="D27217" s="22" t="str">
        <f>HYPERLINK("https://rhld.insurance.arkansas.gov/NPILookup?Npi=1689423089","1689423089")</f>
        <v>1689423089</v>
      </c>
      <c r="E27217" s="1" t="s">
        <v>28173</v>
      </c>
      <c r="F27217" s="2"/>
      <c r="G27217" s="2"/>
      <c r="H27217" s="2"/>
    </row>
    <row r="27218" spans="1:8" x14ac:dyDescent="0.25">
      <c r="A27218" s="1"/>
      <c r="B27218" s="1" t="s">
        <v>7328</v>
      </c>
      <c r="C27218" s="1" t="s">
        <v>7329</v>
      </c>
      <c r="D27218" s="22" t="str">
        <f>HYPERLINK("https://rhld.insurance.arkansas.gov/NPILookup?Npi=1689461071","1689461071")</f>
        <v>1689461071</v>
      </c>
      <c r="E27218" s="1" t="s">
        <v>32330</v>
      </c>
      <c r="F27218" s="2"/>
      <c r="G27218" s="2"/>
      <c r="H27218" s="2"/>
    </row>
    <row r="27219" spans="1:8" x14ac:dyDescent="0.25">
      <c r="A27219" s="1"/>
      <c r="B27219" s="1" t="s">
        <v>7328</v>
      </c>
      <c r="C27219" s="1" t="s">
        <v>7329</v>
      </c>
      <c r="D27219" s="22" t="str">
        <f>HYPERLINK("https://rhld.insurance.arkansas.gov/NPILookup?Npi=1689493181","1689493181")</f>
        <v>1689493181</v>
      </c>
      <c r="E27219" s="1" t="s">
        <v>32331</v>
      </c>
      <c r="F27219" s="2"/>
      <c r="G27219" s="2"/>
      <c r="H27219" s="2"/>
    </row>
    <row r="27220" spans="1:8" x14ac:dyDescent="0.25">
      <c r="A27220" s="1"/>
      <c r="B27220" s="1" t="s">
        <v>7328</v>
      </c>
      <c r="C27220" s="1" t="s">
        <v>7329</v>
      </c>
      <c r="D27220" s="22" t="str">
        <f>HYPERLINK("https://rhld.insurance.arkansas.gov/NPILookup?Npi=1689606261","1689606261")</f>
        <v>1689606261</v>
      </c>
      <c r="E27220" s="1" t="s">
        <v>28174</v>
      </c>
      <c r="F27220" s="2"/>
      <c r="G27220" s="2"/>
      <c r="H27220" s="2"/>
    </row>
    <row r="27221" spans="1:8" x14ac:dyDescent="0.25">
      <c r="A27221" s="1"/>
      <c r="B27221" s="1" t="s">
        <v>7328</v>
      </c>
      <c r="C27221" s="1" t="s">
        <v>7329</v>
      </c>
      <c r="D27221" s="22" t="str">
        <f>HYPERLINK("https://rhld.insurance.arkansas.gov/NPILookup?Npi=1689620767","1689620767")</f>
        <v>1689620767</v>
      </c>
      <c r="E27221" s="1" t="s">
        <v>17784</v>
      </c>
      <c r="F27221" s="2"/>
      <c r="G27221" s="2"/>
      <c r="H27221" s="2"/>
    </row>
    <row r="27222" spans="1:8" x14ac:dyDescent="0.25">
      <c r="A27222" s="1"/>
      <c r="B27222" s="1" t="s">
        <v>7328</v>
      </c>
      <c r="C27222" s="1" t="s">
        <v>7329</v>
      </c>
      <c r="D27222" s="22" t="str">
        <f>HYPERLINK("https://rhld.insurance.arkansas.gov/NPILookup?Npi=1689628323","1689628323")</f>
        <v>1689628323</v>
      </c>
      <c r="E27222" s="1" t="s">
        <v>17785</v>
      </c>
      <c r="F27222" s="2"/>
      <c r="G27222" s="2"/>
      <c r="H27222" s="2"/>
    </row>
    <row r="27223" spans="1:8" x14ac:dyDescent="0.25">
      <c r="A27223" s="1"/>
      <c r="B27223" s="1" t="s">
        <v>7328</v>
      </c>
      <c r="C27223" s="1" t="s">
        <v>7329</v>
      </c>
      <c r="D27223" s="22" t="str">
        <f>HYPERLINK("https://rhld.insurance.arkansas.gov/NPILookup?Npi=1689637860","1689637860")</f>
        <v>1689637860</v>
      </c>
      <c r="E27223" s="1" t="s">
        <v>13453</v>
      </c>
      <c r="F27223" s="2"/>
      <c r="G27223" s="2"/>
      <c r="H27223" s="2"/>
    </row>
    <row r="27224" spans="1:8" x14ac:dyDescent="0.25">
      <c r="A27224" s="1"/>
      <c r="B27224" s="1" t="s">
        <v>7328</v>
      </c>
      <c r="C27224" s="1" t="s">
        <v>7329</v>
      </c>
      <c r="D27224" s="22" t="str">
        <f>HYPERLINK("https://rhld.insurance.arkansas.gov/NPILookup?Npi=1689644478","1689644478")</f>
        <v>1689644478</v>
      </c>
      <c r="E27224" s="1" t="s">
        <v>28175</v>
      </c>
      <c r="F27224" s="2"/>
      <c r="G27224" s="2"/>
      <c r="H27224" s="2"/>
    </row>
    <row r="27225" spans="1:8" x14ac:dyDescent="0.25">
      <c r="A27225" s="1"/>
      <c r="B27225" s="1" t="s">
        <v>7328</v>
      </c>
      <c r="C27225" s="1" t="s">
        <v>7329</v>
      </c>
      <c r="D27225" s="22" t="str">
        <f>HYPERLINK("https://rhld.insurance.arkansas.gov/NPILookup?Npi=1689645350","1689645350")</f>
        <v>1689645350</v>
      </c>
      <c r="E27225" s="1" t="s">
        <v>1037</v>
      </c>
      <c r="F27225" s="2"/>
      <c r="G27225" s="2"/>
      <c r="H27225" s="2"/>
    </row>
    <row r="27226" spans="1:8" x14ac:dyDescent="0.25">
      <c r="A27226" s="1"/>
      <c r="B27226" s="1" t="s">
        <v>7328</v>
      </c>
      <c r="C27226" s="1" t="s">
        <v>7329</v>
      </c>
      <c r="D27226" s="22" t="str">
        <f>HYPERLINK("https://rhld.insurance.arkansas.gov/NPILookup?Npi=1689651911","1689651911")</f>
        <v>1689651911</v>
      </c>
      <c r="E27226" s="1" t="s">
        <v>28176</v>
      </c>
      <c r="F27226" s="2"/>
      <c r="G27226" s="2"/>
      <c r="H27226" s="2"/>
    </row>
    <row r="27227" spans="1:8" x14ac:dyDescent="0.25">
      <c r="A27227" s="1"/>
      <c r="B27227" s="1" t="s">
        <v>7328</v>
      </c>
      <c r="C27227" s="1" t="s">
        <v>7329</v>
      </c>
      <c r="D27227" s="22" t="str">
        <f>HYPERLINK("https://rhld.insurance.arkansas.gov/NPILookup?Npi=1689679573","1689679573")</f>
        <v>1689679573</v>
      </c>
      <c r="E27227" s="1" t="s">
        <v>28178</v>
      </c>
      <c r="F27227" s="2"/>
      <c r="G27227" s="2"/>
      <c r="H27227" s="2"/>
    </row>
    <row r="27228" spans="1:8" x14ac:dyDescent="0.25">
      <c r="A27228" s="1"/>
      <c r="B27228" s="1" t="s">
        <v>7328</v>
      </c>
      <c r="C27228" s="1" t="s">
        <v>7329</v>
      </c>
      <c r="D27228" s="22" t="str">
        <f>HYPERLINK("https://rhld.insurance.arkansas.gov/NPILookup?Npi=1689681355","1689681355")</f>
        <v>1689681355</v>
      </c>
      <c r="E27228" s="1" t="s">
        <v>28179</v>
      </c>
      <c r="F27228" s="2"/>
      <c r="G27228" s="2"/>
      <c r="H27228" s="2"/>
    </row>
    <row r="27229" spans="1:8" x14ac:dyDescent="0.25">
      <c r="A27229" s="1"/>
      <c r="B27229" s="1" t="s">
        <v>7328</v>
      </c>
      <c r="C27229" s="1" t="s">
        <v>7329</v>
      </c>
      <c r="D27229" s="22" t="str">
        <f>HYPERLINK("https://rhld.insurance.arkansas.gov/NPILookup?Npi=1689692360","1689692360")</f>
        <v>1689692360</v>
      </c>
      <c r="E27229" s="1" t="s">
        <v>28180</v>
      </c>
      <c r="F27229" s="2"/>
      <c r="G27229" s="2"/>
      <c r="H27229" s="2"/>
    </row>
    <row r="27230" spans="1:8" x14ac:dyDescent="0.25">
      <c r="A27230" s="1"/>
      <c r="B27230" s="1" t="s">
        <v>7328</v>
      </c>
      <c r="C27230" s="1" t="s">
        <v>7329</v>
      </c>
      <c r="D27230" s="22" t="str">
        <f>HYPERLINK("https://rhld.insurance.arkansas.gov/NPILookup?Npi=1689710402","1689710402")</f>
        <v>1689710402</v>
      </c>
      <c r="E27230" s="1" t="s">
        <v>13454</v>
      </c>
      <c r="F27230" s="2"/>
      <c r="G27230" s="2"/>
      <c r="H27230" s="2"/>
    </row>
    <row r="27231" spans="1:8" x14ac:dyDescent="0.25">
      <c r="A27231" s="1"/>
      <c r="B27231" s="1" t="s">
        <v>7328</v>
      </c>
      <c r="C27231" s="1" t="s">
        <v>7329</v>
      </c>
      <c r="D27231" s="22" t="str">
        <f>HYPERLINK("https://rhld.insurance.arkansas.gov/NPILookup?Npi=1689761280","1689761280")</f>
        <v>1689761280</v>
      </c>
      <c r="E27231" s="1" t="s">
        <v>2403</v>
      </c>
      <c r="F27231" s="2"/>
      <c r="G27231" s="2"/>
      <c r="H27231" s="2"/>
    </row>
    <row r="27232" spans="1:8" x14ac:dyDescent="0.25">
      <c r="A27232" s="1"/>
      <c r="B27232" s="1" t="s">
        <v>7328</v>
      </c>
      <c r="C27232" s="1" t="s">
        <v>7329</v>
      </c>
      <c r="D27232" s="22" t="str">
        <f>HYPERLINK("https://rhld.insurance.arkansas.gov/NPILookup?Npi=1689763427","1689763427")</f>
        <v>1689763427</v>
      </c>
      <c r="E27232" s="1" t="s">
        <v>1398</v>
      </c>
      <c r="F27232" s="2"/>
      <c r="G27232" s="2"/>
      <c r="H27232" s="2"/>
    </row>
    <row r="27233" spans="1:8" x14ac:dyDescent="0.25">
      <c r="A27233" s="1"/>
      <c r="B27233" s="1" t="s">
        <v>7328</v>
      </c>
      <c r="C27233" s="1" t="s">
        <v>7329</v>
      </c>
      <c r="D27233" s="22" t="str">
        <f>HYPERLINK("https://rhld.insurance.arkansas.gov/NPILookup?Npi=1689767105","1689767105")</f>
        <v>1689767105</v>
      </c>
      <c r="E27233" s="1" t="s">
        <v>2053</v>
      </c>
      <c r="F27233" s="2"/>
      <c r="G27233" s="2"/>
      <c r="H27233" s="2"/>
    </row>
    <row r="27234" spans="1:8" x14ac:dyDescent="0.25">
      <c r="A27234" s="1"/>
      <c r="B27234" s="1" t="s">
        <v>7328</v>
      </c>
      <c r="C27234" s="1" t="s">
        <v>7329</v>
      </c>
      <c r="D27234" s="22" t="str">
        <f>HYPERLINK("https://rhld.insurance.arkansas.gov/NPILookup?Npi=1689770315","1689770315")</f>
        <v>1689770315</v>
      </c>
      <c r="E27234" s="1" t="s">
        <v>2968</v>
      </c>
      <c r="F27234" s="2"/>
      <c r="G27234" s="2"/>
      <c r="H27234" s="2"/>
    </row>
    <row r="27235" spans="1:8" x14ac:dyDescent="0.25">
      <c r="A27235" s="1"/>
      <c r="B27235" s="1" t="s">
        <v>7328</v>
      </c>
      <c r="C27235" s="1" t="s">
        <v>7329</v>
      </c>
      <c r="D27235" s="22" t="str">
        <f>HYPERLINK("https://rhld.insurance.arkansas.gov/NPILookup?Npi=1689819682","1689819682")</f>
        <v>1689819682</v>
      </c>
      <c r="E27235" s="1" t="s">
        <v>22995</v>
      </c>
      <c r="F27235" s="2"/>
      <c r="G27235" s="2"/>
      <c r="H27235" s="2"/>
    </row>
    <row r="27236" spans="1:8" x14ac:dyDescent="0.25">
      <c r="A27236" s="1"/>
      <c r="B27236" s="1" t="s">
        <v>7328</v>
      </c>
      <c r="C27236" s="1" t="s">
        <v>7329</v>
      </c>
      <c r="D27236" s="22" t="str">
        <f>HYPERLINK("https://rhld.insurance.arkansas.gov/NPILookup?Npi=1689832768","1689832768")</f>
        <v>1689832768</v>
      </c>
      <c r="E27236" s="1" t="s">
        <v>28181</v>
      </c>
      <c r="F27236" s="2"/>
      <c r="G27236" s="2"/>
      <c r="H27236" s="2"/>
    </row>
    <row r="27237" spans="1:8" x14ac:dyDescent="0.25">
      <c r="A27237" s="1"/>
      <c r="B27237" s="1" t="s">
        <v>7328</v>
      </c>
      <c r="C27237" s="1" t="s">
        <v>7329</v>
      </c>
      <c r="D27237" s="22" t="str">
        <f>HYPERLINK("https://rhld.insurance.arkansas.gov/NPILookup?Npi=1689835225","1689835225")</f>
        <v>1689835225</v>
      </c>
      <c r="E27237" s="1" t="s">
        <v>17789</v>
      </c>
      <c r="F27237" s="2"/>
      <c r="G27237" s="2"/>
      <c r="H27237" s="2"/>
    </row>
    <row r="27238" spans="1:8" x14ac:dyDescent="0.25">
      <c r="A27238" s="1"/>
      <c r="B27238" s="1" t="s">
        <v>7328</v>
      </c>
      <c r="C27238" s="1" t="s">
        <v>7329</v>
      </c>
      <c r="D27238" s="22" t="str">
        <f>HYPERLINK("https://rhld.insurance.arkansas.gov/NPILookup?Npi=1689866725","1689866725")</f>
        <v>1689866725</v>
      </c>
      <c r="E27238" s="1" t="s">
        <v>28182</v>
      </c>
      <c r="F27238" s="2"/>
      <c r="G27238" s="2"/>
      <c r="H27238" s="2"/>
    </row>
    <row r="27239" spans="1:8" x14ac:dyDescent="0.25">
      <c r="A27239" s="1"/>
      <c r="B27239" s="1" t="s">
        <v>7328</v>
      </c>
      <c r="C27239" s="1" t="s">
        <v>7329</v>
      </c>
      <c r="D27239" s="22" t="str">
        <f>HYPERLINK("https://rhld.insurance.arkansas.gov/NPILookup?Npi=1689879777","1689879777")</f>
        <v>1689879777</v>
      </c>
      <c r="E27239" s="1" t="s">
        <v>28183</v>
      </c>
      <c r="F27239" s="2"/>
      <c r="G27239" s="2"/>
      <c r="H27239" s="2"/>
    </row>
    <row r="27240" spans="1:8" x14ac:dyDescent="0.25">
      <c r="A27240" s="1"/>
      <c r="B27240" s="1" t="s">
        <v>7328</v>
      </c>
      <c r="C27240" s="1" t="s">
        <v>7329</v>
      </c>
      <c r="D27240" s="22" t="str">
        <f>HYPERLINK("https://rhld.insurance.arkansas.gov/NPILookup?Npi=1689884439","1689884439")</f>
        <v>1689884439</v>
      </c>
      <c r="E27240" s="1" t="s">
        <v>17790</v>
      </c>
      <c r="F27240" s="2"/>
      <c r="G27240" s="2"/>
      <c r="H27240" s="2"/>
    </row>
    <row r="27241" spans="1:8" x14ac:dyDescent="0.25">
      <c r="A27241" s="1"/>
      <c r="B27241" s="1" t="s">
        <v>7328</v>
      </c>
      <c r="C27241" s="1" t="s">
        <v>7329</v>
      </c>
      <c r="D27241" s="22" t="str">
        <f>HYPERLINK("https://rhld.insurance.arkansas.gov/NPILookup?Npi=1689896763","1689896763")</f>
        <v>1689896763</v>
      </c>
      <c r="E27241" s="1" t="s">
        <v>28184</v>
      </c>
      <c r="F27241" s="2"/>
      <c r="G27241" s="2"/>
      <c r="H27241" s="2"/>
    </row>
    <row r="27242" spans="1:8" x14ac:dyDescent="0.25">
      <c r="A27242" s="1"/>
      <c r="B27242" s="1" t="s">
        <v>7328</v>
      </c>
      <c r="C27242" s="1" t="s">
        <v>7329</v>
      </c>
      <c r="D27242" s="22" t="str">
        <f>HYPERLINK("https://rhld.insurance.arkansas.gov/NPILookup?Npi=1689916090","1689916090")</f>
        <v>1689916090</v>
      </c>
      <c r="E27242" s="1" t="s">
        <v>28185</v>
      </c>
      <c r="F27242" s="2"/>
      <c r="G27242" s="2"/>
      <c r="H27242" s="2"/>
    </row>
    <row r="27243" spans="1:8" x14ac:dyDescent="0.25">
      <c r="A27243" s="1"/>
      <c r="B27243" s="1" t="s">
        <v>7328</v>
      </c>
      <c r="C27243" s="1" t="s">
        <v>7329</v>
      </c>
      <c r="D27243" s="22" t="str">
        <f>HYPERLINK("https://rhld.insurance.arkansas.gov/NPILookup?Npi=1689917163","1689917163")</f>
        <v>1689917163</v>
      </c>
      <c r="E27243" s="1" t="s">
        <v>2404</v>
      </c>
      <c r="F27243" s="2"/>
      <c r="G27243" s="2"/>
      <c r="H27243" s="2"/>
    </row>
    <row r="27244" spans="1:8" x14ac:dyDescent="0.25">
      <c r="A27244" s="1"/>
      <c r="B27244" s="1" t="s">
        <v>7328</v>
      </c>
      <c r="C27244" s="1" t="s">
        <v>7329</v>
      </c>
      <c r="D27244" s="22" t="str">
        <f>HYPERLINK("https://rhld.insurance.arkansas.gov/NPILookup?Npi=1689925455","1689925455")</f>
        <v>1689925455</v>
      </c>
      <c r="E27244" s="1" t="s">
        <v>32332</v>
      </c>
      <c r="F27244" s="2"/>
      <c r="G27244" s="2"/>
      <c r="H27244" s="2"/>
    </row>
    <row r="27245" spans="1:8" x14ac:dyDescent="0.25">
      <c r="A27245" s="1"/>
      <c r="B27245" s="1" t="s">
        <v>7328</v>
      </c>
      <c r="C27245" s="1" t="s">
        <v>7329</v>
      </c>
      <c r="D27245" s="22" t="str">
        <f>HYPERLINK("https://rhld.insurance.arkansas.gov/NPILookup?Npi=1689936213","1689936213")</f>
        <v>1689936213</v>
      </c>
      <c r="E27245" s="1" t="s">
        <v>2054</v>
      </c>
      <c r="F27245" s="2"/>
      <c r="G27245" s="2"/>
      <c r="H27245" s="2"/>
    </row>
    <row r="27246" spans="1:8" x14ac:dyDescent="0.25">
      <c r="A27246" s="1"/>
      <c r="B27246" s="1" t="s">
        <v>7328</v>
      </c>
      <c r="C27246" s="1" t="s">
        <v>7329</v>
      </c>
      <c r="D27246" s="22" t="str">
        <f>HYPERLINK("https://rhld.insurance.arkansas.gov/NPILookup?Npi=1689940132","1689940132")</f>
        <v>1689940132</v>
      </c>
      <c r="E27246" s="1" t="s">
        <v>2969</v>
      </c>
      <c r="F27246" s="2"/>
      <c r="G27246" s="2"/>
      <c r="H27246" s="2"/>
    </row>
    <row r="27247" spans="1:8" x14ac:dyDescent="0.25">
      <c r="A27247" s="1"/>
      <c r="B27247" s="1" t="s">
        <v>7328</v>
      </c>
      <c r="C27247" s="1" t="s">
        <v>7329</v>
      </c>
      <c r="D27247" s="22" t="str">
        <f>HYPERLINK("https://rhld.insurance.arkansas.gov/NPILookup?Npi=1689951774","1689951774")</f>
        <v>1689951774</v>
      </c>
      <c r="E27247" s="1" t="s">
        <v>28186</v>
      </c>
      <c r="F27247" s="2"/>
      <c r="G27247" s="2"/>
      <c r="H27247" s="2"/>
    </row>
    <row r="27248" spans="1:8" x14ac:dyDescent="0.25">
      <c r="A27248" s="1"/>
      <c r="B27248" s="1" t="s">
        <v>7328</v>
      </c>
      <c r="C27248" s="1" t="s">
        <v>7329</v>
      </c>
      <c r="D27248" s="22" t="str">
        <f>HYPERLINK("https://rhld.insurance.arkansas.gov/NPILookup?Npi=1689954273","1689954273")</f>
        <v>1689954273</v>
      </c>
      <c r="E27248" s="1" t="s">
        <v>13455</v>
      </c>
      <c r="F27248" s="2"/>
      <c r="G27248" s="2"/>
      <c r="H27248" s="2"/>
    </row>
    <row r="27249" spans="1:8" x14ac:dyDescent="0.25">
      <c r="A27249" s="1"/>
      <c r="B27249" s="1" t="s">
        <v>7328</v>
      </c>
      <c r="C27249" s="1" t="s">
        <v>7329</v>
      </c>
      <c r="D27249" s="22" t="str">
        <f>HYPERLINK("https://rhld.insurance.arkansas.gov/NPILookup?Npi=1689955189","1689955189")</f>
        <v>1689955189</v>
      </c>
      <c r="E27249" s="1" t="s">
        <v>28187</v>
      </c>
      <c r="F27249" s="2"/>
      <c r="G27249" s="2"/>
      <c r="H27249" s="2"/>
    </row>
    <row r="27250" spans="1:8" x14ac:dyDescent="0.25">
      <c r="A27250" s="1"/>
      <c r="B27250" s="1" t="s">
        <v>7328</v>
      </c>
      <c r="C27250" s="1" t="s">
        <v>7329</v>
      </c>
      <c r="D27250" s="22" t="str">
        <f>HYPERLINK("https://rhld.insurance.arkansas.gov/NPILookup?Npi=1689962409","1689962409")</f>
        <v>1689962409</v>
      </c>
      <c r="E27250" s="1" t="s">
        <v>17792</v>
      </c>
      <c r="F27250" s="2"/>
      <c r="G27250" s="2"/>
      <c r="H27250" s="2"/>
    </row>
    <row r="27251" spans="1:8" x14ac:dyDescent="0.25">
      <c r="A27251" s="1"/>
      <c r="B27251" s="1" t="s">
        <v>7328</v>
      </c>
      <c r="C27251" s="1" t="s">
        <v>7329</v>
      </c>
      <c r="D27251" s="22" t="str">
        <f>HYPERLINK("https://rhld.insurance.arkansas.gov/NPILookup?Npi=1689971749","1689971749")</f>
        <v>1689971749</v>
      </c>
      <c r="E27251" s="1" t="s">
        <v>880</v>
      </c>
      <c r="F27251" s="2"/>
      <c r="G27251" s="2"/>
      <c r="H27251" s="2"/>
    </row>
    <row r="27252" spans="1:8" x14ac:dyDescent="0.25">
      <c r="A27252" s="1"/>
      <c r="B27252" s="1" t="s">
        <v>7328</v>
      </c>
      <c r="C27252" s="1" t="s">
        <v>7329</v>
      </c>
      <c r="D27252" s="22" t="str">
        <f>HYPERLINK("https://rhld.insurance.arkansas.gov/NPILookup?Npi=1689987620","1689987620")</f>
        <v>1689987620</v>
      </c>
      <c r="E27252" s="1" t="s">
        <v>28188</v>
      </c>
      <c r="F27252" s="2"/>
      <c r="G27252" s="2"/>
      <c r="H27252" s="2"/>
    </row>
    <row r="27253" spans="1:8" x14ac:dyDescent="0.25">
      <c r="A27253" s="1"/>
      <c r="B27253" s="1" t="s">
        <v>7328</v>
      </c>
      <c r="C27253" s="1" t="s">
        <v>7329</v>
      </c>
      <c r="D27253" s="22" t="str">
        <f>HYPERLINK("https://rhld.insurance.arkansas.gov/NPILookup?Npi=1699017962","1699017962")</f>
        <v>1699017962</v>
      </c>
      <c r="E27253" s="1" t="s">
        <v>28189</v>
      </c>
      <c r="F27253" s="2"/>
      <c r="G27253" s="2"/>
      <c r="H27253" s="2"/>
    </row>
    <row r="27254" spans="1:8" x14ac:dyDescent="0.25">
      <c r="A27254" s="1"/>
      <c r="B27254" s="1" t="s">
        <v>7328</v>
      </c>
      <c r="C27254" s="1" t="s">
        <v>7329</v>
      </c>
      <c r="D27254" s="22" t="str">
        <f>HYPERLINK("https://rhld.insurance.arkansas.gov/NPILookup?Npi=1699021105","1699021105")</f>
        <v>1699021105</v>
      </c>
      <c r="E27254" s="1" t="s">
        <v>13456</v>
      </c>
      <c r="F27254" s="2"/>
      <c r="G27254" s="2"/>
      <c r="H27254" s="2"/>
    </row>
    <row r="27255" spans="1:8" x14ac:dyDescent="0.25">
      <c r="A27255" s="1"/>
      <c r="B27255" s="1" t="s">
        <v>7328</v>
      </c>
      <c r="C27255" s="1" t="s">
        <v>7329</v>
      </c>
      <c r="D27255" s="22" t="str">
        <f>HYPERLINK("https://rhld.insurance.arkansas.gov/NPILookup?Npi=1699039610","1699039610")</f>
        <v>1699039610</v>
      </c>
      <c r="E27255" s="1" t="s">
        <v>28190</v>
      </c>
      <c r="F27255" s="2"/>
      <c r="G27255" s="2"/>
      <c r="H27255" s="2"/>
    </row>
    <row r="27256" spans="1:8" x14ac:dyDescent="0.25">
      <c r="A27256" s="1"/>
      <c r="B27256" s="1" t="s">
        <v>7328</v>
      </c>
      <c r="C27256" s="1" t="s">
        <v>7329</v>
      </c>
      <c r="D27256" s="22" t="str">
        <f>HYPERLINK("https://rhld.insurance.arkansas.gov/NPILookup?Npi=1699040618","1699040618")</f>
        <v>1699040618</v>
      </c>
      <c r="E27256" s="1" t="s">
        <v>2970</v>
      </c>
      <c r="F27256" s="2"/>
      <c r="G27256" s="2"/>
      <c r="H27256" s="2"/>
    </row>
    <row r="27257" spans="1:8" x14ac:dyDescent="0.25">
      <c r="A27257" s="1"/>
      <c r="B27257" s="1" t="s">
        <v>7328</v>
      </c>
      <c r="C27257" s="1" t="s">
        <v>7329</v>
      </c>
      <c r="D27257" s="22" t="str">
        <f>HYPERLINK("https://rhld.insurance.arkansas.gov/NPILookup?Npi=1699059667","1699059667")</f>
        <v>1699059667</v>
      </c>
      <c r="E27257" s="1" t="s">
        <v>28191</v>
      </c>
      <c r="F27257" s="2"/>
      <c r="G27257" s="2"/>
      <c r="H27257" s="2"/>
    </row>
    <row r="27258" spans="1:8" x14ac:dyDescent="0.25">
      <c r="A27258" s="1"/>
      <c r="B27258" s="1" t="s">
        <v>7328</v>
      </c>
      <c r="C27258" s="1" t="s">
        <v>7329</v>
      </c>
      <c r="D27258" s="22" t="str">
        <f>HYPERLINK("https://rhld.insurance.arkansas.gov/NPILookup?Npi=1699066969","1699066969")</f>
        <v>1699066969</v>
      </c>
      <c r="E27258" s="1" t="s">
        <v>13457</v>
      </c>
      <c r="F27258" s="2"/>
      <c r="G27258" s="2"/>
      <c r="H27258" s="2"/>
    </row>
    <row r="27259" spans="1:8" x14ac:dyDescent="0.25">
      <c r="A27259" s="1"/>
      <c r="B27259" s="1" t="s">
        <v>7328</v>
      </c>
      <c r="C27259" s="1" t="s">
        <v>7329</v>
      </c>
      <c r="D27259" s="22" t="str">
        <f>HYPERLINK("https://rhld.insurance.arkansas.gov/NPILookup?Npi=1699067850","1699067850")</f>
        <v>1699067850</v>
      </c>
      <c r="E27259" s="1" t="s">
        <v>28193</v>
      </c>
      <c r="F27259" s="2"/>
      <c r="G27259" s="2"/>
      <c r="H27259" s="2"/>
    </row>
    <row r="27260" spans="1:8" x14ac:dyDescent="0.25">
      <c r="A27260" s="1"/>
      <c r="B27260" s="1" t="s">
        <v>7328</v>
      </c>
      <c r="C27260" s="1" t="s">
        <v>7329</v>
      </c>
      <c r="D27260" s="22" t="str">
        <f>HYPERLINK("https://rhld.insurance.arkansas.gov/NPILookup?Npi=1699086892","1699086892")</f>
        <v>1699086892</v>
      </c>
      <c r="E27260" s="1" t="s">
        <v>28194</v>
      </c>
      <c r="F27260" s="2"/>
      <c r="G27260" s="2"/>
      <c r="H27260" s="2"/>
    </row>
    <row r="27261" spans="1:8" x14ac:dyDescent="0.25">
      <c r="A27261" s="1"/>
      <c r="B27261" s="1" t="s">
        <v>7328</v>
      </c>
      <c r="C27261" s="1" t="s">
        <v>7329</v>
      </c>
      <c r="D27261" s="22" t="str">
        <f>HYPERLINK("https://rhld.insurance.arkansas.gov/NPILookup?Npi=1699091264","1699091264")</f>
        <v>1699091264</v>
      </c>
      <c r="E27261" s="1" t="s">
        <v>28195</v>
      </c>
      <c r="F27261" s="2"/>
      <c r="G27261" s="2"/>
      <c r="H27261" s="2"/>
    </row>
    <row r="27262" spans="1:8" x14ac:dyDescent="0.25">
      <c r="A27262" s="1"/>
      <c r="B27262" s="1" t="s">
        <v>7328</v>
      </c>
      <c r="C27262" s="1" t="s">
        <v>7329</v>
      </c>
      <c r="D27262" s="22" t="str">
        <f>HYPERLINK("https://rhld.insurance.arkansas.gov/NPILookup?Npi=1699118141","1699118141")</f>
        <v>1699118141</v>
      </c>
      <c r="E27262" s="1" t="s">
        <v>2055</v>
      </c>
      <c r="F27262" s="2"/>
      <c r="G27262" s="2"/>
      <c r="H27262" s="2"/>
    </row>
    <row r="27263" spans="1:8" x14ac:dyDescent="0.25">
      <c r="A27263" s="1"/>
      <c r="B27263" s="1" t="s">
        <v>7328</v>
      </c>
      <c r="C27263" s="1" t="s">
        <v>7329</v>
      </c>
      <c r="D27263" s="22" t="str">
        <f>HYPERLINK("https://rhld.insurance.arkansas.gov/NPILookup?Npi=1699123562","1699123562")</f>
        <v>1699123562</v>
      </c>
      <c r="E27263" s="1" t="s">
        <v>8006</v>
      </c>
      <c r="F27263" s="2"/>
      <c r="G27263" s="2"/>
      <c r="H27263" s="2"/>
    </row>
    <row r="27264" spans="1:8" x14ac:dyDescent="0.25">
      <c r="A27264" s="1"/>
      <c r="B27264" s="1" t="s">
        <v>7328</v>
      </c>
      <c r="C27264" s="1" t="s">
        <v>7329</v>
      </c>
      <c r="D27264" s="22" t="str">
        <f>HYPERLINK("https://rhld.insurance.arkansas.gov/NPILookup?Npi=1699135871","1699135871")</f>
        <v>1699135871</v>
      </c>
      <c r="E27264" s="1" t="s">
        <v>2971</v>
      </c>
      <c r="F27264" s="2"/>
      <c r="G27264" s="2"/>
      <c r="H27264" s="2"/>
    </row>
    <row r="27265" spans="1:8" x14ac:dyDescent="0.25">
      <c r="A27265" s="1"/>
      <c r="B27265" s="1" t="s">
        <v>7328</v>
      </c>
      <c r="C27265" s="1" t="s">
        <v>7329</v>
      </c>
      <c r="D27265" s="22" t="str">
        <f>HYPERLINK("https://rhld.insurance.arkansas.gov/NPILookup?Npi=1699153338","1699153338")</f>
        <v>1699153338</v>
      </c>
      <c r="E27265" s="1" t="s">
        <v>17795</v>
      </c>
      <c r="F27265" s="2"/>
      <c r="G27265" s="2"/>
      <c r="H27265" s="2"/>
    </row>
    <row r="27266" spans="1:8" x14ac:dyDescent="0.25">
      <c r="A27266" s="1"/>
      <c r="B27266" s="1" t="s">
        <v>7328</v>
      </c>
      <c r="C27266" s="1" t="s">
        <v>7329</v>
      </c>
      <c r="D27266" s="22" t="str">
        <f>HYPERLINK("https://rhld.insurance.arkansas.gov/NPILookup?Npi=1699154567","1699154567")</f>
        <v>1699154567</v>
      </c>
      <c r="E27266" s="1" t="s">
        <v>28196</v>
      </c>
      <c r="F27266" s="2"/>
      <c r="G27266" s="2"/>
      <c r="H27266" s="2"/>
    </row>
    <row r="27267" spans="1:8" x14ac:dyDescent="0.25">
      <c r="A27267" s="1"/>
      <c r="B27267" s="1" t="s">
        <v>7328</v>
      </c>
      <c r="C27267" s="1" t="s">
        <v>7329</v>
      </c>
      <c r="D27267" s="22" t="str">
        <f>HYPERLINK("https://rhld.insurance.arkansas.gov/NPILookup?Npi=1699162149","1699162149")</f>
        <v>1699162149</v>
      </c>
      <c r="E27267" s="1" t="s">
        <v>28197</v>
      </c>
      <c r="F27267" s="2"/>
      <c r="G27267" s="2"/>
      <c r="H27267" s="2"/>
    </row>
    <row r="27268" spans="1:8" x14ac:dyDescent="0.25">
      <c r="A27268" s="1"/>
      <c r="B27268" s="1" t="s">
        <v>7328</v>
      </c>
      <c r="C27268" s="1" t="s">
        <v>7329</v>
      </c>
      <c r="D27268" s="22" t="str">
        <f>HYPERLINK("https://rhld.insurance.arkansas.gov/NPILookup?Npi=1699163964","1699163964")</f>
        <v>1699163964</v>
      </c>
      <c r="E27268" s="1" t="s">
        <v>28198</v>
      </c>
      <c r="F27268" s="2"/>
      <c r="G27268" s="2"/>
      <c r="H27268" s="2"/>
    </row>
    <row r="27269" spans="1:8" x14ac:dyDescent="0.25">
      <c r="A27269" s="1"/>
      <c r="B27269" s="1" t="s">
        <v>7328</v>
      </c>
      <c r="C27269" s="1" t="s">
        <v>7329</v>
      </c>
      <c r="D27269" s="22" t="str">
        <f>HYPERLINK("https://rhld.insurance.arkansas.gov/NPILookup?Npi=1699170340","1699170340")</f>
        <v>1699170340</v>
      </c>
      <c r="E27269" s="1" t="s">
        <v>28199</v>
      </c>
      <c r="F27269" s="2"/>
      <c r="G27269" s="2"/>
      <c r="H27269" s="2"/>
    </row>
    <row r="27270" spans="1:8" x14ac:dyDescent="0.25">
      <c r="A27270" s="1"/>
      <c r="B27270" s="1" t="s">
        <v>7328</v>
      </c>
      <c r="C27270" s="1" t="s">
        <v>7329</v>
      </c>
      <c r="D27270" s="22" t="str">
        <f>HYPERLINK("https://rhld.insurance.arkansas.gov/NPILookup?Npi=1699187666","1699187666")</f>
        <v>1699187666</v>
      </c>
      <c r="E27270" s="1" t="s">
        <v>28200</v>
      </c>
      <c r="F27270" s="2"/>
      <c r="G27270" s="2"/>
      <c r="H27270" s="2"/>
    </row>
    <row r="27271" spans="1:8" x14ac:dyDescent="0.25">
      <c r="A27271" s="1"/>
      <c r="B27271" s="1" t="s">
        <v>7328</v>
      </c>
      <c r="C27271" s="1" t="s">
        <v>7329</v>
      </c>
      <c r="D27271" s="22" t="str">
        <f>HYPERLINK("https://rhld.insurance.arkansas.gov/NPILookup?Npi=1699189407","1699189407")</f>
        <v>1699189407</v>
      </c>
      <c r="E27271" s="1" t="s">
        <v>2972</v>
      </c>
      <c r="F27271" s="2"/>
      <c r="G27271" s="2"/>
      <c r="H27271" s="2"/>
    </row>
    <row r="27272" spans="1:8" x14ac:dyDescent="0.25">
      <c r="A27272" s="1"/>
      <c r="B27272" s="1" t="s">
        <v>7328</v>
      </c>
      <c r="C27272" s="1" t="s">
        <v>7329</v>
      </c>
      <c r="D27272" s="22" t="str">
        <f>HYPERLINK("https://rhld.insurance.arkansas.gov/NPILookup?Npi=1699199570","1699199570")</f>
        <v>1699199570</v>
      </c>
      <c r="E27272" s="1" t="s">
        <v>2973</v>
      </c>
      <c r="F27272" s="2"/>
      <c r="G27272" s="2"/>
      <c r="H27272" s="2"/>
    </row>
    <row r="27273" spans="1:8" x14ac:dyDescent="0.25">
      <c r="A27273" s="1"/>
      <c r="B27273" s="1" t="s">
        <v>7328</v>
      </c>
      <c r="C27273" s="1" t="s">
        <v>7329</v>
      </c>
      <c r="D27273" s="22" t="str">
        <f>HYPERLINK("https://rhld.insurance.arkansas.gov/NPILookup?Npi=1699200477","1699200477")</f>
        <v>1699200477</v>
      </c>
      <c r="E27273" s="1" t="s">
        <v>28201</v>
      </c>
      <c r="F27273" s="2"/>
      <c r="G27273" s="2"/>
      <c r="H27273" s="2"/>
    </row>
    <row r="27274" spans="1:8" x14ac:dyDescent="0.25">
      <c r="A27274" s="1"/>
      <c r="B27274" s="1" t="s">
        <v>7328</v>
      </c>
      <c r="C27274" s="1" t="s">
        <v>7329</v>
      </c>
      <c r="D27274" s="22" t="str">
        <f>HYPERLINK("https://rhld.insurance.arkansas.gov/NPILookup?Npi=1699209031","1699209031")</f>
        <v>1699209031</v>
      </c>
      <c r="E27274" s="1" t="s">
        <v>5396</v>
      </c>
      <c r="F27274" s="2"/>
      <c r="G27274" s="2"/>
      <c r="H27274" s="2"/>
    </row>
    <row r="27275" spans="1:8" x14ac:dyDescent="0.25">
      <c r="A27275" s="1"/>
      <c r="B27275" s="1" t="s">
        <v>7328</v>
      </c>
      <c r="C27275" s="1" t="s">
        <v>7329</v>
      </c>
      <c r="D27275" s="22" t="str">
        <f>HYPERLINK("https://rhld.insurance.arkansas.gov/NPILookup?Npi=1699215079","1699215079")</f>
        <v>1699215079</v>
      </c>
      <c r="E27275" s="1" t="s">
        <v>28202</v>
      </c>
      <c r="F27275" s="2"/>
      <c r="G27275" s="2"/>
      <c r="H27275" s="2"/>
    </row>
    <row r="27276" spans="1:8" x14ac:dyDescent="0.25">
      <c r="A27276" s="1"/>
      <c r="B27276" s="1" t="s">
        <v>7328</v>
      </c>
      <c r="C27276" s="1" t="s">
        <v>7329</v>
      </c>
      <c r="D27276" s="22" t="str">
        <f>HYPERLINK("https://rhld.insurance.arkansas.gov/NPILookup?Npi=1699215228","1699215228")</f>
        <v>1699215228</v>
      </c>
      <c r="E27276" s="1" t="s">
        <v>2974</v>
      </c>
      <c r="F27276" s="2"/>
      <c r="G27276" s="2"/>
      <c r="H27276" s="2"/>
    </row>
    <row r="27277" spans="1:8" x14ac:dyDescent="0.25">
      <c r="A27277" s="1"/>
      <c r="B27277" s="1" t="s">
        <v>7328</v>
      </c>
      <c r="C27277" s="1" t="s">
        <v>7329</v>
      </c>
      <c r="D27277" s="22" t="str">
        <f>HYPERLINK("https://rhld.insurance.arkansas.gov/NPILookup?Npi=1699220905","1699220905")</f>
        <v>1699220905</v>
      </c>
      <c r="E27277" s="1" t="s">
        <v>8007</v>
      </c>
      <c r="F27277" s="2"/>
      <c r="G27277" s="2"/>
      <c r="H27277" s="2"/>
    </row>
    <row r="27278" spans="1:8" x14ac:dyDescent="0.25">
      <c r="A27278" s="1"/>
      <c r="B27278" s="1" t="s">
        <v>7328</v>
      </c>
      <c r="C27278" s="1" t="s">
        <v>7329</v>
      </c>
      <c r="D27278" s="22" t="str">
        <f>HYPERLINK("https://rhld.insurance.arkansas.gov/NPILookup?Npi=1699221028","1699221028")</f>
        <v>1699221028</v>
      </c>
      <c r="E27278" s="1" t="s">
        <v>28203</v>
      </c>
      <c r="F27278" s="2"/>
      <c r="G27278" s="2"/>
      <c r="H27278" s="2"/>
    </row>
    <row r="27279" spans="1:8" x14ac:dyDescent="0.25">
      <c r="A27279" s="1"/>
      <c r="B27279" s="1" t="s">
        <v>7328</v>
      </c>
      <c r="C27279" s="1" t="s">
        <v>7329</v>
      </c>
      <c r="D27279" s="22" t="str">
        <f>HYPERLINK("https://rhld.insurance.arkansas.gov/NPILookup?Npi=1699221853","1699221853")</f>
        <v>1699221853</v>
      </c>
      <c r="E27279" s="1" t="s">
        <v>17797</v>
      </c>
      <c r="F27279" s="2"/>
      <c r="G27279" s="2"/>
      <c r="H27279" s="2"/>
    </row>
    <row r="27280" spans="1:8" x14ac:dyDescent="0.25">
      <c r="A27280" s="1"/>
      <c r="B27280" s="1" t="s">
        <v>7328</v>
      </c>
      <c r="C27280" s="1" t="s">
        <v>7329</v>
      </c>
      <c r="D27280" s="22" t="str">
        <f>HYPERLINK("https://rhld.insurance.arkansas.gov/NPILookup?Npi=1699224766","1699224766")</f>
        <v>1699224766</v>
      </c>
      <c r="E27280" s="1" t="s">
        <v>881</v>
      </c>
      <c r="F27280" s="2"/>
      <c r="G27280" s="2"/>
      <c r="H27280" s="2"/>
    </row>
    <row r="27281" spans="1:8" x14ac:dyDescent="0.25">
      <c r="A27281" s="1"/>
      <c r="B27281" s="1" t="s">
        <v>7328</v>
      </c>
      <c r="C27281" s="1" t="s">
        <v>7329</v>
      </c>
      <c r="D27281" s="22" t="str">
        <f>HYPERLINK("https://rhld.insurance.arkansas.gov/NPILookup?Npi=1699226860","1699226860")</f>
        <v>1699226860</v>
      </c>
      <c r="E27281" s="1" t="s">
        <v>28204</v>
      </c>
      <c r="F27281" s="2"/>
      <c r="G27281" s="2"/>
      <c r="H27281" s="2"/>
    </row>
    <row r="27282" spans="1:8" x14ac:dyDescent="0.25">
      <c r="A27282" s="1"/>
      <c r="B27282" s="1" t="s">
        <v>7328</v>
      </c>
      <c r="C27282" s="1" t="s">
        <v>7329</v>
      </c>
      <c r="D27282" s="22" t="str">
        <f>HYPERLINK("https://rhld.insurance.arkansas.gov/NPILookup?Npi=1699230037","1699230037")</f>
        <v>1699230037</v>
      </c>
      <c r="E27282" s="1" t="s">
        <v>28205</v>
      </c>
      <c r="F27282" s="2"/>
      <c r="G27282" s="2"/>
      <c r="H27282" s="2"/>
    </row>
    <row r="27283" spans="1:8" x14ac:dyDescent="0.25">
      <c r="A27283" s="1"/>
      <c r="B27283" s="1" t="s">
        <v>7328</v>
      </c>
      <c r="C27283" s="1" t="s">
        <v>7329</v>
      </c>
      <c r="D27283" s="22" t="str">
        <f>HYPERLINK("https://rhld.insurance.arkansas.gov/NPILookup?Npi=1699238147","1699238147")</f>
        <v>1699238147</v>
      </c>
      <c r="E27283" s="1" t="s">
        <v>17798</v>
      </c>
      <c r="F27283" s="2"/>
      <c r="G27283" s="2"/>
      <c r="H27283" s="2"/>
    </row>
    <row r="27284" spans="1:8" x14ac:dyDescent="0.25">
      <c r="A27284" s="1"/>
      <c r="B27284" s="1" t="s">
        <v>7328</v>
      </c>
      <c r="C27284" s="1" t="s">
        <v>7329</v>
      </c>
      <c r="D27284" s="22" t="str">
        <f>HYPERLINK("https://rhld.insurance.arkansas.gov/NPILookup?Npi=1699238964","1699238964")</f>
        <v>1699238964</v>
      </c>
      <c r="E27284" s="1" t="s">
        <v>28206</v>
      </c>
      <c r="F27284" s="2"/>
      <c r="G27284" s="2"/>
      <c r="H27284" s="2"/>
    </row>
    <row r="27285" spans="1:8" x14ac:dyDescent="0.25">
      <c r="A27285" s="1"/>
      <c r="B27285" s="1" t="s">
        <v>7328</v>
      </c>
      <c r="C27285" s="1" t="s">
        <v>7329</v>
      </c>
      <c r="D27285" s="22" t="str">
        <f>HYPERLINK("https://rhld.insurance.arkansas.gov/NPILookup?Npi=1699242347","1699242347")</f>
        <v>1699242347</v>
      </c>
      <c r="E27285" s="1" t="s">
        <v>2975</v>
      </c>
      <c r="F27285" s="2"/>
      <c r="G27285" s="2"/>
      <c r="H27285" s="2"/>
    </row>
    <row r="27286" spans="1:8" x14ac:dyDescent="0.25">
      <c r="A27286" s="1"/>
      <c r="B27286" s="1" t="s">
        <v>7328</v>
      </c>
      <c r="C27286" s="1" t="s">
        <v>7329</v>
      </c>
      <c r="D27286" s="22" t="str">
        <f>HYPERLINK("https://rhld.insurance.arkansas.gov/NPILookup?Npi=1699245985","1699245985")</f>
        <v>1699245985</v>
      </c>
      <c r="E27286" s="1" t="s">
        <v>8008</v>
      </c>
      <c r="F27286" s="2"/>
      <c r="G27286" s="2"/>
      <c r="H27286" s="2"/>
    </row>
    <row r="27287" spans="1:8" x14ac:dyDescent="0.25">
      <c r="A27287" s="1"/>
      <c r="B27287" s="1" t="s">
        <v>7328</v>
      </c>
      <c r="C27287" s="1" t="s">
        <v>7329</v>
      </c>
      <c r="D27287" s="22" t="str">
        <f>HYPERLINK("https://rhld.insurance.arkansas.gov/NPILookup?Npi=1699270140","1699270140")</f>
        <v>1699270140</v>
      </c>
      <c r="E27287" s="1" t="s">
        <v>28207</v>
      </c>
      <c r="F27287" s="2"/>
      <c r="G27287" s="2"/>
      <c r="H27287" s="2"/>
    </row>
    <row r="27288" spans="1:8" x14ac:dyDescent="0.25">
      <c r="A27288" s="1"/>
      <c r="B27288" s="1" t="s">
        <v>7328</v>
      </c>
      <c r="C27288" s="1" t="s">
        <v>7329</v>
      </c>
      <c r="D27288" s="22" t="str">
        <f>HYPERLINK("https://rhld.insurance.arkansas.gov/NPILookup?Npi=1699273839","1699273839")</f>
        <v>1699273839</v>
      </c>
      <c r="E27288" s="1" t="s">
        <v>13458</v>
      </c>
      <c r="F27288" s="2"/>
      <c r="G27288" s="2"/>
      <c r="H27288" s="2"/>
    </row>
    <row r="27289" spans="1:8" x14ac:dyDescent="0.25">
      <c r="A27289" s="1"/>
      <c r="B27289" s="1" t="s">
        <v>7328</v>
      </c>
      <c r="C27289" s="1" t="s">
        <v>7329</v>
      </c>
      <c r="D27289" s="22" t="str">
        <f>HYPERLINK("https://rhld.insurance.arkansas.gov/NPILookup?Npi=1699282020","1699282020")</f>
        <v>1699282020</v>
      </c>
      <c r="E27289" s="1" t="s">
        <v>32333</v>
      </c>
      <c r="F27289" s="2"/>
      <c r="G27289" s="2"/>
      <c r="H27289" s="2"/>
    </row>
    <row r="27290" spans="1:8" x14ac:dyDescent="0.25">
      <c r="A27290" s="1"/>
      <c r="B27290" s="1" t="s">
        <v>7328</v>
      </c>
      <c r="C27290" s="1" t="s">
        <v>7329</v>
      </c>
      <c r="D27290" s="22" t="str">
        <f>HYPERLINK("https://rhld.insurance.arkansas.gov/NPILookup?Npi=1699282087","1699282087")</f>
        <v>1699282087</v>
      </c>
      <c r="E27290" s="1" t="s">
        <v>2976</v>
      </c>
      <c r="F27290" s="2"/>
      <c r="G27290" s="2"/>
      <c r="H27290" s="2"/>
    </row>
    <row r="27291" spans="1:8" x14ac:dyDescent="0.25">
      <c r="A27291" s="1"/>
      <c r="B27291" s="1" t="s">
        <v>7328</v>
      </c>
      <c r="C27291" s="1" t="s">
        <v>7329</v>
      </c>
      <c r="D27291" s="22" t="str">
        <f>HYPERLINK("https://rhld.insurance.arkansas.gov/NPILookup?Npi=1699283838","1699283838")</f>
        <v>1699283838</v>
      </c>
      <c r="E27291" s="1" t="s">
        <v>28208</v>
      </c>
      <c r="F27291" s="2"/>
      <c r="G27291" s="2"/>
      <c r="H27291" s="2"/>
    </row>
    <row r="27292" spans="1:8" x14ac:dyDescent="0.25">
      <c r="A27292" s="1"/>
      <c r="B27292" s="1" t="s">
        <v>7328</v>
      </c>
      <c r="C27292" s="1" t="s">
        <v>7329</v>
      </c>
      <c r="D27292" s="22" t="str">
        <f>HYPERLINK("https://rhld.insurance.arkansas.gov/NPILookup?Npi=1699308544","1699308544")</f>
        <v>1699308544</v>
      </c>
      <c r="E27292" s="1" t="s">
        <v>28209</v>
      </c>
      <c r="F27292" s="2"/>
      <c r="G27292" s="2"/>
      <c r="H27292" s="2"/>
    </row>
    <row r="27293" spans="1:8" x14ac:dyDescent="0.25">
      <c r="A27293" s="1"/>
      <c r="B27293" s="1" t="s">
        <v>7328</v>
      </c>
      <c r="C27293" s="1" t="s">
        <v>7329</v>
      </c>
      <c r="D27293" s="22" t="str">
        <f>HYPERLINK("https://rhld.insurance.arkansas.gov/NPILookup?Npi=1699310508","1699310508")</f>
        <v>1699310508</v>
      </c>
      <c r="E27293" s="1" t="s">
        <v>8009</v>
      </c>
      <c r="F27293" s="2"/>
      <c r="G27293" s="2"/>
      <c r="H27293" s="2"/>
    </row>
    <row r="27294" spans="1:8" x14ac:dyDescent="0.25">
      <c r="A27294" s="1"/>
      <c r="B27294" s="1" t="s">
        <v>7328</v>
      </c>
      <c r="C27294" s="1" t="s">
        <v>7329</v>
      </c>
      <c r="D27294" s="22" t="str">
        <f>HYPERLINK("https://rhld.insurance.arkansas.gov/NPILookup?Npi=1699334649","1699334649")</f>
        <v>1699334649</v>
      </c>
      <c r="E27294" s="1" t="s">
        <v>2977</v>
      </c>
      <c r="F27294" s="2"/>
      <c r="G27294" s="2"/>
      <c r="H27294" s="2"/>
    </row>
    <row r="27295" spans="1:8" x14ac:dyDescent="0.25">
      <c r="A27295" s="1"/>
      <c r="B27295" s="1" t="s">
        <v>7328</v>
      </c>
      <c r="C27295" s="1" t="s">
        <v>7329</v>
      </c>
      <c r="D27295" s="22" t="str">
        <f>HYPERLINK("https://rhld.insurance.arkansas.gov/NPILookup?Npi=1699336586","1699336586")</f>
        <v>1699336586</v>
      </c>
      <c r="E27295" s="1" t="s">
        <v>28210</v>
      </c>
      <c r="F27295" s="2"/>
      <c r="G27295" s="2"/>
      <c r="H27295" s="2"/>
    </row>
    <row r="27296" spans="1:8" x14ac:dyDescent="0.25">
      <c r="A27296" s="1"/>
      <c r="B27296" s="1" t="s">
        <v>7328</v>
      </c>
      <c r="C27296" s="1" t="s">
        <v>7329</v>
      </c>
      <c r="D27296" s="22" t="str">
        <f>HYPERLINK("https://rhld.insurance.arkansas.gov/NPILookup?Npi=1699354605","1699354605")</f>
        <v>1699354605</v>
      </c>
      <c r="E27296" s="1" t="s">
        <v>28211</v>
      </c>
      <c r="F27296" s="2"/>
      <c r="G27296" s="2"/>
      <c r="H27296" s="2"/>
    </row>
    <row r="27297" spans="1:8" x14ac:dyDescent="0.25">
      <c r="A27297" s="1"/>
      <c r="B27297" s="1" t="s">
        <v>7328</v>
      </c>
      <c r="C27297" s="1" t="s">
        <v>7329</v>
      </c>
      <c r="D27297" s="22" t="str">
        <f>HYPERLINK("https://rhld.insurance.arkansas.gov/NPILookup?Npi=1699360297","1699360297")</f>
        <v>1699360297</v>
      </c>
      <c r="E27297" s="1" t="s">
        <v>23015</v>
      </c>
      <c r="F27297" s="2"/>
      <c r="G27297" s="2"/>
      <c r="H27297" s="2"/>
    </row>
    <row r="27298" spans="1:8" x14ac:dyDescent="0.25">
      <c r="A27298" s="1"/>
      <c r="B27298" s="1" t="s">
        <v>7328</v>
      </c>
      <c r="C27298" s="1" t="s">
        <v>7329</v>
      </c>
      <c r="D27298" s="22" t="str">
        <f>HYPERLINK("https://rhld.insurance.arkansas.gov/NPILookup?Npi=1699365106","1699365106")</f>
        <v>1699365106</v>
      </c>
      <c r="E27298" s="1" t="s">
        <v>28212</v>
      </c>
      <c r="F27298" s="2"/>
      <c r="G27298" s="2"/>
      <c r="H27298" s="2"/>
    </row>
    <row r="27299" spans="1:8" x14ac:dyDescent="0.25">
      <c r="A27299" s="1"/>
      <c r="B27299" s="1" t="s">
        <v>7328</v>
      </c>
      <c r="C27299" s="1" t="s">
        <v>7329</v>
      </c>
      <c r="D27299" s="22" t="str">
        <f>HYPERLINK("https://rhld.insurance.arkansas.gov/NPILookup?Npi=1699382440","1699382440")</f>
        <v>1699382440</v>
      </c>
      <c r="E27299" s="1" t="s">
        <v>28213</v>
      </c>
      <c r="F27299" s="2"/>
      <c r="G27299" s="2"/>
      <c r="H27299" s="2"/>
    </row>
    <row r="27300" spans="1:8" x14ac:dyDescent="0.25">
      <c r="A27300" s="1"/>
      <c r="B27300" s="1" t="s">
        <v>7328</v>
      </c>
      <c r="C27300" s="1" t="s">
        <v>7329</v>
      </c>
      <c r="D27300" s="22" t="str">
        <f>HYPERLINK("https://rhld.insurance.arkansas.gov/NPILookup?Npi=1699401547","1699401547")</f>
        <v>1699401547</v>
      </c>
      <c r="E27300" s="1" t="s">
        <v>13459</v>
      </c>
      <c r="F27300" s="2"/>
      <c r="G27300" s="2"/>
      <c r="H27300" s="2"/>
    </row>
    <row r="27301" spans="1:8" x14ac:dyDescent="0.25">
      <c r="A27301" s="1"/>
      <c r="B27301" s="1" t="s">
        <v>7328</v>
      </c>
      <c r="C27301" s="1" t="s">
        <v>7329</v>
      </c>
      <c r="D27301" s="22" t="str">
        <f>HYPERLINK("https://rhld.insurance.arkansas.gov/NPILookup?Npi=1699445510","1699445510")</f>
        <v>1699445510</v>
      </c>
      <c r="E27301" s="1" t="s">
        <v>28214</v>
      </c>
      <c r="F27301" s="2"/>
      <c r="G27301" s="2"/>
      <c r="H27301" s="2"/>
    </row>
    <row r="27302" spans="1:8" x14ac:dyDescent="0.25">
      <c r="A27302" s="1"/>
      <c r="B27302" s="1" t="s">
        <v>7328</v>
      </c>
      <c r="C27302" s="1" t="s">
        <v>7329</v>
      </c>
      <c r="D27302" s="22" t="str">
        <f>HYPERLINK("https://rhld.insurance.arkansas.gov/NPILookup?Npi=1699462895","1699462895")</f>
        <v>1699462895</v>
      </c>
      <c r="E27302" s="1" t="s">
        <v>8010</v>
      </c>
      <c r="F27302" s="2"/>
      <c r="G27302" s="2"/>
      <c r="H27302" s="2"/>
    </row>
    <row r="27303" spans="1:8" x14ac:dyDescent="0.25">
      <c r="A27303" s="1"/>
      <c r="B27303" s="1" t="s">
        <v>7328</v>
      </c>
      <c r="C27303" s="1" t="s">
        <v>7329</v>
      </c>
      <c r="D27303" s="22" t="str">
        <f>HYPERLINK("https://rhld.insurance.arkansas.gov/NPILookup?Npi=1699467654","1699467654")</f>
        <v>1699467654</v>
      </c>
      <c r="E27303" s="1" t="s">
        <v>8011</v>
      </c>
      <c r="F27303" s="2"/>
      <c r="G27303" s="2"/>
      <c r="H27303" s="2"/>
    </row>
    <row r="27304" spans="1:8" x14ac:dyDescent="0.25">
      <c r="A27304" s="1"/>
      <c r="B27304" s="1" t="s">
        <v>7328</v>
      </c>
      <c r="C27304" s="1" t="s">
        <v>7329</v>
      </c>
      <c r="D27304" s="22" t="str">
        <f>HYPERLINK("https://rhld.insurance.arkansas.gov/NPILookup?Npi=1699480095","1699480095")</f>
        <v>1699480095</v>
      </c>
      <c r="E27304" s="1" t="s">
        <v>28215</v>
      </c>
      <c r="F27304" s="2"/>
      <c r="G27304" s="2"/>
      <c r="H27304" s="2"/>
    </row>
    <row r="27305" spans="1:8" x14ac:dyDescent="0.25">
      <c r="A27305" s="1"/>
      <c r="B27305" s="1" t="s">
        <v>7328</v>
      </c>
      <c r="C27305" s="1" t="s">
        <v>7329</v>
      </c>
      <c r="D27305" s="22" t="str">
        <f>HYPERLINK("https://rhld.insurance.arkansas.gov/NPILookup?Npi=1699485912","1699485912")</f>
        <v>1699485912</v>
      </c>
      <c r="E27305" s="1" t="s">
        <v>28216</v>
      </c>
      <c r="F27305" s="2"/>
      <c r="G27305" s="2"/>
      <c r="H27305" s="2"/>
    </row>
    <row r="27306" spans="1:8" x14ac:dyDescent="0.25">
      <c r="A27306" s="1"/>
      <c r="B27306" s="1" t="s">
        <v>7328</v>
      </c>
      <c r="C27306" s="1" t="s">
        <v>7329</v>
      </c>
      <c r="D27306" s="22" t="str">
        <f>HYPERLINK("https://rhld.insurance.arkansas.gov/NPILookup?Npi=1699492637","1699492637")</f>
        <v>1699492637</v>
      </c>
      <c r="E27306" s="1" t="s">
        <v>8012</v>
      </c>
      <c r="F27306" s="2"/>
      <c r="G27306" s="2"/>
      <c r="H27306" s="2"/>
    </row>
    <row r="27307" spans="1:8" x14ac:dyDescent="0.25">
      <c r="A27307" s="1"/>
      <c r="B27307" s="1" t="s">
        <v>7328</v>
      </c>
      <c r="C27307" s="1" t="s">
        <v>7329</v>
      </c>
      <c r="D27307" s="22" t="str">
        <f>HYPERLINK("https://rhld.insurance.arkansas.gov/NPILookup?Npi=1699576314","1699576314")</f>
        <v>1699576314</v>
      </c>
      <c r="E27307" s="1" t="s">
        <v>32334</v>
      </c>
      <c r="F27307" s="2"/>
      <c r="G27307" s="2"/>
      <c r="H27307" s="2"/>
    </row>
    <row r="27308" spans="1:8" x14ac:dyDescent="0.25">
      <c r="A27308" s="1"/>
      <c r="B27308" s="1" t="s">
        <v>7328</v>
      </c>
      <c r="C27308" s="1" t="s">
        <v>7329</v>
      </c>
      <c r="D27308" s="22" t="str">
        <f>HYPERLINK("https://rhld.insurance.arkansas.gov/NPILookup?Npi=1699702969","1699702969")</f>
        <v>1699702969</v>
      </c>
      <c r="E27308" s="1" t="s">
        <v>13460</v>
      </c>
      <c r="F27308" s="2"/>
      <c r="G27308" s="2"/>
      <c r="H27308" s="2"/>
    </row>
    <row r="27309" spans="1:8" x14ac:dyDescent="0.25">
      <c r="A27309" s="1"/>
      <c r="B27309" s="1" t="s">
        <v>7328</v>
      </c>
      <c r="C27309" s="1" t="s">
        <v>7329</v>
      </c>
      <c r="D27309" s="22" t="str">
        <f>HYPERLINK("https://rhld.insurance.arkansas.gov/NPILookup?Npi=1699723601","1699723601")</f>
        <v>1699723601</v>
      </c>
      <c r="E27309" s="1" t="s">
        <v>13461</v>
      </c>
      <c r="F27309" s="2"/>
      <c r="G27309" s="2"/>
      <c r="H27309" s="2"/>
    </row>
    <row r="27310" spans="1:8" x14ac:dyDescent="0.25">
      <c r="A27310" s="1"/>
      <c r="B27310" s="1" t="s">
        <v>7328</v>
      </c>
      <c r="C27310" s="1" t="s">
        <v>7329</v>
      </c>
      <c r="D27310" s="22" t="str">
        <f>HYPERLINK("https://rhld.insurance.arkansas.gov/NPILookup?Npi=1699731091","1699731091")</f>
        <v>1699731091</v>
      </c>
      <c r="E27310" s="1" t="s">
        <v>28217</v>
      </c>
      <c r="F27310" s="2"/>
      <c r="G27310" s="2"/>
      <c r="H27310" s="2"/>
    </row>
    <row r="27311" spans="1:8" x14ac:dyDescent="0.25">
      <c r="A27311" s="1"/>
      <c r="B27311" s="1" t="s">
        <v>7328</v>
      </c>
      <c r="C27311" s="1" t="s">
        <v>7329</v>
      </c>
      <c r="D27311" s="22" t="str">
        <f>HYPERLINK("https://rhld.insurance.arkansas.gov/NPILookup?Npi=1699733741","1699733741")</f>
        <v>1699733741</v>
      </c>
      <c r="E27311" s="1" t="s">
        <v>10412</v>
      </c>
      <c r="F27311" s="2"/>
      <c r="G27311" s="2"/>
      <c r="H27311" s="2"/>
    </row>
    <row r="27312" spans="1:8" x14ac:dyDescent="0.25">
      <c r="A27312" s="1"/>
      <c r="B27312" s="1" t="s">
        <v>7328</v>
      </c>
      <c r="C27312" s="1" t="s">
        <v>7329</v>
      </c>
      <c r="D27312" s="22" t="str">
        <f>HYPERLINK("https://rhld.insurance.arkansas.gov/NPILookup?Npi=1699738195","1699738195")</f>
        <v>1699738195</v>
      </c>
      <c r="E27312" s="1" t="s">
        <v>10413</v>
      </c>
      <c r="F27312" s="2"/>
      <c r="G27312" s="2"/>
      <c r="H27312" s="2"/>
    </row>
    <row r="27313" spans="1:8" x14ac:dyDescent="0.25">
      <c r="A27313" s="1"/>
      <c r="B27313" s="1" t="s">
        <v>7328</v>
      </c>
      <c r="C27313" s="1" t="s">
        <v>7329</v>
      </c>
      <c r="D27313" s="22" t="str">
        <f>HYPERLINK("https://rhld.insurance.arkansas.gov/NPILookup?Npi=1699741082","1699741082")</f>
        <v>1699741082</v>
      </c>
      <c r="E27313" s="1" t="s">
        <v>2043</v>
      </c>
      <c r="F27313" s="2"/>
      <c r="G27313" s="2"/>
      <c r="H27313" s="2"/>
    </row>
    <row r="27314" spans="1:8" x14ac:dyDescent="0.25">
      <c r="A27314" s="1"/>
      <c r="B27314" s="1" t="s">
        <v>7328</v>
      </c>
      <c r="C27314" s="1" t="s">
        <v>7329</v>
      </c>
      <c r="D27314" s="22" t="str">
        <f>HYPERLINK("https://rhld.insurance.arkansas.gov/NPILookup?Npi=1699741298","1699741298")</f>
        <v>1699741298</v>
      </c>
      <c r="E27314" s="1" t="s">
        <v>10414</v>
      </c>
      <c r="F27314" s="2"/>
      <c r="G27314" s="2"/>
      <c r="H27314" s="2"/>
    </row>
    <row r="27315" spans="1:8" x14ac:dyDescent="0.25">
      <c r="A27315" s="1"/>
      <c r="B27315" s="1" t="s">
        <v>7328</v>
      </c>
      <c r="C27315" s="1" t="s">
        <v>7329</v>
      </c>
      <c r="D27315" s="22" t="str">
        <f>HYPERLINK("https://rhld.insurance.arkansas.gov/NPILookup?Npi=1699743922","1699743922")</f>
        <v>1699743922</v>
      </c>
      <c r="E27315" s="1" t="s">
        <v>28219</v>
      </c>
      <c r="F27315" s="2"/>
      <c r="G27315" s="2"/>
      <c r="H27315" s="2"/>
    </row>
    <row r="27316" spans="1:8" x14ac:dyDescent="0.25">
      <c r="A27316" s="1"/>
      <c r="B27316" s="1" t="s">
        <v>7328</v>
      </c>
      <c r="C27316" s="1" t="s">
        <v>7329</v>
      </c>
      <c r="D27316" s="22" t="str">
        <f>HYPERLINK("https://rhld.insurance.arkansas.gov/NPILookup?Npi=1699755942","1699755942")</f>
        <v>1699755942</v>
      </c>
      <c r="E27316" s="1" t="s">
        <v>23285</v>
      </c>
      <c r="F27316" s="2"/>
      <c r="G27316" s="2"/>
      <c r="H27316" s="2"/>
    </row>
    <row r="27317" spans="1:8" x14ac:dyDescent="0.25">
      <c r="A27317" s="1"/>
      <c r="B27317" s="1" t="s">
        <v>7328</v>
      </c>
      <c r="C27317" s="1" t="s">
        <v>7329</v>
      </c>
      <c r="D27317" s="22" t="str">
        <f>HYPERLINK("https://rhld.insurance.arkansas.gov/NPILookup?Npi=1699762948","1699762948")</f>
        <v>1699762948</v>
      </c>
      <c r="E27317" s="1" t="s">
        <v>1105</v>
      </c>
      <c r="F27317" s="2"/>
      <c r="G27317" s="2"/>
      <c r="H27317" s="2"/>
    </row>
    <row r="27318" spans="1:8" x14ac:dyDescent="0.25">
      <c r="A27318" s="1"/>
      <c r="B27318" s="1" t="s">
        <v>7328</v>
      </c>
      <c r="C27318" s="1" t="s">
        <v>7329</v>
      </c>
      <c r="D27318" s="22" t="str">
        <f>HYPERLINK("https://rhld.insurance.arkansas.gov/NPILookup?Npi=1699763441","1699763441")</f>
        <v>1699763441</v>
      </c>
      <c r="E27318" s="1" t="s">
        <v>8013</v>
      </c>
      <c r="F27318" s="2"/>
      <c r="G27318" s="2"/>
      <c r="H27318" s="2"/>
    </row>
    <row r="27319" spans="1:8" x14ac:dyDescent="0.25">
      <c r="A27319" s="1"/>
      <c r="B27319" s="1" t="s">
        <v>7328</v>
      </c>
      <c r="C27319" s="1" t="s">
        <v>7329</v>
      </c>
      <c r="D27319" s="22" t="str">
        <f>HYPERLINK("https://rhld.insurance.arkansas.gov/NPILookup?Npi=1699767772","1699767772")</f>
        <v>1699767772</v>
      </c>
      <c r="E27319" s="1" t="s">
        <v>28220</v>
      </c>
      <c r="F27319" s="2"/>
      <c r="G27319" s="2"/>
      <c r="H27319" s="2"/>
    </row>
    <row r="27320" spans="1:8" x14ac:dyDescent="0.25">
      <c r="A27320" s="1"/>
      <c r="B27320" s="1" t="s">
        <v>7328</v>
      </c>
      <c r="C27320" s="1" t="s">
        <v>7329</v>
      </c>
      <c r="D27320" s="22" t="str">
        <f>HYPERLINK("https://rhld.insurance.arkansas.gov/NPILookup?Npi=1699774539","1699774539")</f>
        <v>1699774539</v>
      </c>
      <c r="E27320" s="1" t="s">
        <v>8014</v>
      </c>
      <c r="F27320" s="2"/>
      <c r="G27320" s="2"/>
      <c r="H27320" s="2"/>
    </row>
    <row r="27321" spans="1:8" x14ac:dyDescent="0.25">
      <c r="A27321" s="1"/>
      <c r="B27321" s="1" t="s">
        <v>7328</v>
      </c>
      <c r="C27321" s="1" t="s">
        <v>7329</v>
      </c>
      <c r="D27321" s="22" t="str">
        <f>HYPERLINK("https://rhld.insurance.arkansas.gov/NPILookup?Npi=1699785899","1699785899")</f>
        <v>1699785899</v>
      </c>
      <c r="E27321" s="1" t="s">
        <v>13462</v>
      </c>
      <c r="F27321" s="2"/>
      <c r="G27321" s="2"/>
      <c r="H27321" s="2"/>
    </row>
    <row r="27322" spans="1:8" x14ac:dyDescent="0.25">
      <c r="A27322" s="1"/>
      <c r="B27322" s="1" t="s">
        <v>7328</v>
      </c>
      <c r="C27322" s="1" t="s">
        <v>7329</v>
      </c>
      <c r="D27322" s="22" t="str">
        <f>HYPERLINK("https://rhld.insurance.arkansas.gov/NPILookup?Npi=1699796284","1699796284")</f>
        <v>1699796284</v>
      </c>
      <c r="E27322" s="1" t="s">
        <v>28221</v>
      </c>
      <c r="F27322" s="2"/>
      <c r="G27322" s="2"/>
      <c r="H27322" s="2"/>
    </row>
    <row r="27323" spans="1:8" x14ac:dyDescent="0.25">
      <c r="A27323" s="1"/>
      <c r="B27323" s="1" t="s">
        <v>7328</v>
      </c>
      <c r="C27323" s="1" t="s">
        <v>7329</v>
      </c>
      <c r="D27323" s="22" t="str">
        <f>HYPERLINK("https://rhld.insurance.arkansas.gov/NPILookup?Npi=1699861740","1699861740")</f>
        <v>1699861740</v>
      </c>
      <c r="E27323" s="1" t="s">
        <v>13463</v>
      </c>
      <c r="F27323" s="2"/>
      <c r="G27323" s="2"/>
      <c r="H27323" s="2"/>
    </row>
    <row r="27324" spans="1:8" x14ac:dyDescent="0.25">
      <c r="A27324" s="1"/>
      <c r="B27324" s="1" t="s">
        <v>7328</v>
      </c>
      <c r="C27324" s="1" t="s">
        <v>7329</v>
      </c>
      <c r="D27324" s="22" t="str">
        <f>HYPERLINK("https://rhld.insurance.arkansas.gov/NPILookup?Npi=1699880534","1699880534")</f>
        <v>1699880534</v>
      </c>
      <c r="E27324" s="1" t="s">
        <v>28222</v>
      </c>
      <c r="F27324" s="2"/>
      <c r="G27324" s="2"/>
      <c r="H27324" s="2"/>
    </row>
    <row r="27325" spans="1:8" x14ac:dyDescent="0.25">
      <c r="A27325" s="1"/>
      <c r="B27325" s="1" t="s">
        <v>7328</v>
      </c>
      <c r="C27325" s="1" t="s">
        <v>7329</v>
      </c>
      <c r="D27325" s="22" t="str">
        <f>HYPERLINK("https://rhld.insurance.arkansas.gov/NPILookup?Npi=1699881698","1699881698")</f>
        <v>1699881698</v>
      </c>
      <c r="E27325" s="1" t="s">
        <v>13464</v>
      </c>
      <c r="F27325" s="2"/>
      <c r="G27325" s="2"/>
      <c r="H27325" s="2"/>
    </row>
    <row r="27326" spans="1:8" x14ac:dyDescent="0.25">
      <c r="A27326" s="1"/>
      <c r="B27326" s="1" t="s">
        <v>7328</v>
      </c>
      <c r="C27326" s="1" t="s">
        <v>7329</v>
      </c>
      <c r="D27326" s="22" t="str">
        <f>HYPERLINK("https://rhld.insurance.arkansas.gov/NPILookup?Npi=1699906156","1699906156")</f>
        <v>1699906156</v>
      </c>
      <c r="E27326" s="1" t="s">
        <v>13465</v>
      </c>
      <c r="F27326" s="2"/>
      <c r="G27326" s="2"/>
      <c r="H27326" s="2"/>
    </row>
    <row r="27327" spans="1:8" x14ac:dyDescent="0.25">
      <c r="A27327" s="1"/>
      <c r="B27327" s="1" t="s">
        <v>7328</v>
      </c>
      <c r="C27327" s="1" t="s">
        <v>7329</v>
      </c>
      <c r="D27327" s="22" t="str">
        <f>HYPERLINK("https://rhld.insurance.arkansas.gov/NPILookup?Npi=1699939223","1699939223")</f>
        <v>1699939223</v>
      </c>
      <c r="E27327" s="1" t="s">
        <v>1804</v>
      </c>
      <c r="F27327" s="2"/>
      <c r="G27327" s="2"/>
      <c r="H27327" s="2"/>
    </row>
    <row r="27328" spans="1:8" x14ac:dyDescent="0.25">
      <c r="A27328" s="1"/>
      <c r="B27328" s="1" t="s">
        <v>7328</v>
      </c>
      <c r="C27328" s="1" t="s">
        <v>7329</v>
      </c>
      <c r="D27328" s="22" t="str">
        <f>HYPERLINK("https://rhld.insurance.arkansas.gov/NPILookup?Npi=1699949826","1699949826")</f>
        <v>1699949826</v>
      </c>
      <c r="E27328" s="1" t="s">
        <v>28223</v>
      </c>
      <c r="F27328" s="2"/>
      <c r="G27328" s="2"/>
      <c r="H27328" s="2"/>
    </row>
    <row r="27329" spans="1:8" x14ac:dyDescent="0.25">
      <c r="A27329" s="1"/>
      <c r="B27329" s="1" t="s">
        <v>7328</v>
      </c>
      <c r="C27329" s="1" t="s">
        <v>7329</v>
      </c>
      <c r="D27329" s="22" t="str">
        <f>HYPERLINK("https://rhld.insurance.arkansas.gov/NPILookup?Npi=1699961458","1699961458")</f>
        <v>1699961458</v>
      </c>
      <c r="E27329" s="1" t="s">
        <v>13466</v>
      </c>
      <c r="F27329" s="2"/>
      <c r="G27329" s="2"/>
      <c r="H27329" s="2"/>
    </row>
    <row r="27330" spans="1:8" x14ac:dyDescent="0.25">
      <c r="A27330" s="1"/>
      <c r="B27330" s="1" t="s">
        <v>7328</v>
      </c>
      <c r="C27330" s="1" t="s">
        <v>7329</v>
      </c>
      <c r="D27330" s="22" t="str">
        <f>HYPERLINK("https://rhld.insurance.arkansas.gov/NPILookup?Npi=1699975425","1699975425")</f>
        <v>1699975425</v>
      </c>
      <c r="E27330" s="1" t="s">
        <v>2978</v>
      </c>
      <c r="F27330" s="2"/>
      <c r="G27330" s="2"/>
      <c r="H27330" s="2"/>
    </row>
    <row r="27331" spans="1:8" x14ac:dyDescent="0.25">
      <c r="A27331" s="1"/>
      <c r="B27331" s="1" t="s">
        <v>7328</v>
      </c>
      <c r="C27331" s="1" t="s">
        <v>7329</v>
      </c>
      <c r="D27331" s="22" t="str">
        <f>HYPERLINK("https://rhld.insurance.arkansas.gov/NPILookup?Npi=1699979526","1699979526")</f>
        <v>1699979526</v>
      </c>
      <c r="E27331" s="1" t="s">
        <v>10416</v>
      </c>
      <c r="F27331" s="2"/>
      <c r="G27331" s="2"/>
      <c r="H27331" s="2"/>
    </row>
    <row r="27332" spans="1:8" x14ac:dyDescent="0.25">
      <c r="A27332" s="1"/>
      <c r="B27332" s="1" t="s">
        <v>7328</v>
      </c>
      <c r="C27332" s="1" t="s">
        <v>7329</v>
      </c>
      <c r="D27332" s="22" t="str">
        <f>HYPERLINK("https://rhld.insurance.arkansas.gov/NPILookup?Npi=1699981894","1699981894")</f>
        <v>1699981894</v>
      </c>
      <c r="E27332" s="1" t="s">
        <v>28224</v>
      </c>
      <c r="F27332" s="2"/>
      <c r="G27332" s="2"/>
      <c r="H27332" s="2"/>
    </row>
    <row r="27333" spans="1:8" x14ac:dyDescent="0.25">
      <c r="A27333" s="1"/>
      <c r="B27333" s="1" t="s">
        <v>7328</v>
      </c>
      <c r="C27333" s="1" t="s">
        <v>7329</v>
      </c>
      <c r="D27333" s="22" t="str">
        <f>HYPERLINK("https://rhld.insurance.arkansas.gov/NPILookup?Npi=1700028966","1700028966")</f>
        <v>1700028966</v>
      </c>
      <c r="E27333" s="1" t="s">
        <v>28225</v>
      </c>
      <c r="F27333" s="2"/>
      <c r="G27333" s="2"/>
      <c r="H27333" s="2"/>
    </row>
    <row r="27334" spans="1:8" x14ac:dyDescent="0.25">
      <c r="A27334" s="1"/>
      <c r="B27334" s="1" t="s">
        <v>7328</v>
      </c>
      <c r="C27334" s="1" t="s">
        <v>7329</v>
      </c>
      <c r="D27334" s="22" t="str">
        <f>HYPERLINK("https://rhld.insurance.arkansas.gov/NPILookup?Npi=1700049277","1700049277")</f>
        <v>1700049277</v>
      </c>
      <c r="E27334" s="1" t="s">
        <v>13467</v>
      </c>
      <c r="F27334" s="2"/>
      <c r="G27334" s="2"/>
      <c r="H27334" s="2"/>
    </row>
    <row r="27335" spans="1:8" x14ac:dyDescent="0.25">
      <c r="A27335" s="1"/>
      <c r="B27335" s="1" t="s">
        <v>7328</v>
      </c>
      <c r="C27335" s="1" t="s">
        <v>7329</v>
      </c>
      <c r="D27335" s="22" t="str">
        <f>HYPERLINK("https://rhld.insurance.arkansas.gov/NPILookup?Npi=1700053444","1700053444")</f>
        <v>1700053444</v>
      </c>
      <c r="E27335" s="1" t="s">
        <v>13468</v>
      </c>
      <c r="F27335" s="2"/>
      <c r="G27335" s="2"/>
      <c r="H27335" s="2"/>
    </row>
    <row r="27336" spans="1:8" x14ac:dyDescent="0.25">
      <c r="A27336" s="1"/>
      <c r="B27336" s="1" t="s">
        <v>7328</v>
      </c>
      <c r="C27336" s="1" t="s">
        <v>7329</v>
      </c>
      <c r="D27336" s="22" t="str">
        <f>HYPERLINK("https://rhld.insurance.arkansas.gov/NPILookup?Npi=1700058245","1700058245")</f>
        <v>1700058245</v>
      </c>
      <c r="E27336" s="1" t="s">
        <v>28226</v>
      </c>
      <c r="F27336" s="2"/>
      <c r="G27336" s="2"/>
      <c r="H27336" s="2"/>
    </row>
    <row r="27337" spans="1:8" x14ac:dyDescent="0.25">
      <c r="A27337" s="1"/>
      <c r="B27337" s="1" t="s">
        <v>7328</v>
      </c>
      <c r="C27337" s="1" t="s">
        <v>7329</v>
      </c>
      <c r="D27337" s="22" t="str">
        <f>HYPERLINK("https://rhld.insurance.arkansas.gov/NPILookup?Npi=1700064789","1700064789")</f>
        <v>1700064789</v>
      </c>
      <c r="E27337" s="1" t="s">
        <v>13469</v>
      </c>
      <c r="F27337" s="2"/>
      <c r="G27337" s="2"/>
      <c r="H27337" s="2"/>
    </row>
    <row r="27338" spans="1:8" x14ac:dyDescent="0.25">
      <c r="A27338" s="1"/>
      <c r="B27338" s="1" t="s">
        <v>7328</v>
      </c>
      <c r="C27338" s="1" t="s">
        <v>7329</v>
      </c>
      <c r="D27338" s="22" t="str">
        <f>HYPERLINK("https://rhld.insurance.arkansas.gov/NPILookup?Npi=1700075157","1700075157")</f>
        <v>1700075157</v>
      </c>
      <c r="E27338" s="1" t="s">
        <v>13470</v>
      </c>
      <c r="F27338" s="2"/>
      <c r="G27338" s="2"/>
      <c r="H27338" s="2"/>
    </row>
    <row r="27339" spans="1:8" x14ac:dyDescent="0.25">
      <c r="A27339" s="1"/>
      <c r="B27339" s="1" t="s">
        <v>7328</v>
      </c>
      <c r="C27339" s="1" t="s">
        <v>7329</v>
      </c>
      <c r="D27339" s="22" t="str">
        <f>HYPERLINK("https://rhld.insurance.arkansas.gov/NPILookup?Npi=1700088655","1700088655")</f>
        <v>1700088655</v>
      </c>
      <c r="E27339" s="1" t="s">
        <v>28227</v>
      </c>
      <c r="F27339" s="2"/>
      <c r="G27339" s="2"/>
      <c r="H27339" s="2"/>
    </row>
    <row r="27340" spans="1:8" x14ac:dyDescent="0.25">
      <c r="A27340" s="1"/>
      <c r="B27340" s="1" t="s">
        <v>7328</v>
      </c>
      <c r="C27340" s="1" t="s">
        <v>7329</v>
      </c>
      <c r="D27340" s="22" t="str">
        <f>HYPERLINK("https://rhld.insurance.arkansas.gov/NPILookup?Npi=1700123502","1700123502")</f>
        <v>1700123502</v>
      </c>
      <c r="E27340" s="1" t="s">
        <v>28228</v>
      </c>
      <c r="F27340" s="2"/>
      <c r="G27340" s="2"/>
      <c r="H27340" s="2"/>
    </row>
    <row r="27341" spans="1:8" x14ac:dyDescent="0.25">
      <c r="A27341" s="1"/>
      <c r="B27341" s="1" t="s">
        <v>7328</v>
      </c>
      <c r="C27341" s="1" t="s">
        <v>7329</v>
      </c>
      <c r="D27341" s="22" t="str">
        <f>HYPERLINK("https://rhld.insurance.arkansas.gov/NPILookup?Npi=1700160231","1700160231")</f>
        <v>1700160231</v>
      </c>
      <c r="E27341" s="1" t="s">
        <v>12015</v>
      </c>
      <c r="F27341" s="2"/>
      <c r="G27341" s="2"/>
      <c r="H27341" s="2"/>
    </row>
    <row r="27342" spans="1:8" x14ac:dyDescent="0.25">
      <c r="A27342" s="1"/>
      <c r="B27342" s="1" t="s">
        <v>7328</v>
      </c>
      <c r="C27342" s="1" t="s">
        <v>7329</v>
      </c>
      <c r="D27342" s="22" t="str">
        <f>HYPERLINK("https://rhld.insurance.arkansas.gov/NPILookup?Npi=1700172145","1700172145")</f>
        <v>1700172145</v>
      </c>
      <c r="E27342" s="1" t="s">
        <v>17803</v>
      </c>
      <c r="F27342" s="2"/>
      <c r="G27342" s="2"/>
      <c r="H27342" s="2"/>
    </row>
    <row r="27343" spans="1:8" x14ac:dyDescent="0.25">
      <c r="A27343" s="1"/>
      <c r="B27343" s="1" t="s">
        <v>7328</v>
      </c>
      <c r="C27343" s="1" t="s">
        <v>7329</v>
      </c>
      <c r="D27343" s="22" t="str">
        <f>HYPERLINK("https://rhld.insurance.arkansas.gov/NPILookup?Npi=1700174828","1700174828")</f>
        <v>1700174828</v>
      </c>
      <c r="E27343" s="1" t="s">
        <v>28229</v>
      </c>
      <c r="F27343" s="2"/>
      <c r="G27343" s="2"/>
      <c r="H27343" s="2"/>
    </row>
    <row r="27344" spans="1:8" x14ac:dyDescent="0.25">
      <c r="A27344" s="1"/>
      <c r="B27344" s="1" t="s">
        <v>7328</v>
      </c>
      <c r="C27344" s="1" t="s">
        <v>7329</v>
      </c>
      <c r="D27344" s="22" t="str">
        <f>HYPERLINK("https://rhld.insurance.arkansas.gov/NPILookup?Npi=1700189404","1700189404")</f>
        <v>1700189404</v>
      </c>
      <c r="E27344" s="1" t="s">
        <v>13471</v>
      </c>
      <c r="F27344" s="2"/>
      <c r="G27344" s="2"/>
      <c r="H27344" s="2"/>
    </row>
    <row r="27345" spans="1:8" x14ac:dyDescent="0.25">
      <c r="A27345" s="1"/>
      <c r="B27345" s="1" t="s">
        <v>7328</v>
      </c>
      <c r="C27345" s="1" t="s">
        <v>7329</v>
      </c>
      <c r="D27345" s="22" t="str">
        <f>HYPERLINK("https://rhld.insurance.arkansas.gov/NPILookup?Npi=1700192275","1700192275")</f>
        <v>1700192275</v>
      </c>
      <c r="E27345" s="1" t="s">
        <v>28230</v>
      </c>
      <c r="F27345" s="2"/>
      <c r="G27345" s="2"/>
      <c r="H27345" s="2"/>
    </row>
    <row r="27346" spans="1:8" x14ac:dyDescent="0.25">
      <c r="A27346" s="1"/>
      <c r="B27346" s="1" t="s">
        <v>7328</v>
      </c>
      <c r="C27346" s="1" t="s">
        <v>7329</v>
      </c>
      <c r="D27346" s="22" t="str">
        <f>HYPERLINK("https://rhld.insurance.arkansas.gov/NPILookup?Npi=1700192416","1700192416")</f>
        <v>1700192416</v>
      </c>
      <c r="E27346" s="1" t="s">
        <v>28231</v>
      </c>
      <c r="F27346" s="2"/>
      <c r="G27346" s="2"/>
      <c r="H27346" s="2"/>
    </row>
    <row r="27347" spans="1:8" x14ac:dyDescent="0.25">
      <c r="A27347" s="1"/>
      <c r="B27347" s="1" t="s">
        <v>7328</v>
      </c>
      <c r="C27347" s="1" t="s">
        <v>7329</v>
      </c>
      <c r="D27347" s="22" t="str">
        <f>HYPERLINK("https://rhld.insurance.arkansas.gov/NPILookup?Npi=1700205572","1700205572")</f>
        <v>1700205572</v>
      </c>
      <c r="E27347" s="1" t="s">
        <v>13472</v>
      </c>
      <c r="F27347" s="2"/>
      <c r="G27347" s="2"/>
      <c r="H27347" s="2"/>
    </row>
    <row r="27348" spans="1:8" x14ac:dyDescent="0.25">
      <c r="A27348" s="1"/>
      <c r="B27348" s="1" t="s">
        <v>7328</v>
      </c>
      <c r="C27348" s="1" t="s">
        <v>7329</v>
      </c>
      <c r="D27348" s="22" t="str">
        <f>HYPERLINK("https://rhld.insurance.arkansas.gov/NPILookup?Npi=1700207339","1700207339")</f>
        <v>1700207339</v>
      </c>
      <c r="E27348" s="1" t="s">
        <v>13473</v>
      </c>
      <c r="F27348" s="2"/>
      <c r="G27348" s="2"/>
      <c r="H27348" s="2"/>
    </row>
    <row r="27349" spans="1:8" x14ac:dyDescent="0.25">
      <c r="A27349" s="1"/>
      <c r="B27349" s="1" t="s">
        <v>7328</v>
      </c>
      <c r="C27349" s="1" t="s">
        <v>7329</v>
      </c>
      <c r="D27349" s="22" t="str">
        <f>HYPERLINK("https://rhld.insurance.arkansas.gov/NPILookup?Npi=1700225794","1700225794")</f>
        <v>1700225794</v>
      </c>
      <c r="E27349" s="1" t="s">
        <v>8015</v>
      </c>
      <c r="F27349" s="2"/>
      <c r="G27349" s="2"/>
      <c r="H27349" s="2"/>
    </row>
    <row r="27350" spans="1:8" x14ac:dyDescent="0.25">
      <c r="A27350" s="1"/>
      <c r="B27350" s="1" t="s">
        <v>7328</v>
      </c>
      <c r="C27350" s="1" t="s">
        <v>7329</v>
      </c>
      <c r="D27350" s="22" t="str">
        <f>HYPERLINK("https://rhld.insurance.arkansas.gov/NPILookup?Npi=1700226123","1700226123")</f>
        <v>1700226123</v>
      </c>
      <c r="E27350" s="1" t="s">
        <v>28232</v>
      </c>
      <c r="F27350" s="2"/>
      <c r="G27350" s="2"/>
      <c r="H27350" s="2"/>
    </row>
    <row r="27351" spans="1:8" x14ac:dyDescent="0.25">
      <c r="A27351" s="1"/>
      <c r="B27351" s="1" t="s">
        <v>7328</v>
      </c>
      <c r="C27351" s="1" t="s">
        <v>7329</v>
      </c>
      <c r="D27351" s="22" t="str">
        <f>HYPERLINK("https://rhld.insurance.arkansas.gov/NPILookup?Npi=1700230802","1700230802")</f>
        <v>1700230802</v>
      </c>
      <c r="E27351" s="1" t="s">
        <v>13474</v>
      </c>
      <c r="F27351" s="2"/>
      <c r="G27351" s="2"/>
      <c r="H27351" s="2"/>
    </row>
    <row r="27352" spans="1:8" x14ac:dyDescent="0.25">
      <c r="A27352" s="1"/>
      <c r="B27352" s="1" t="s">
        <v>7328</v>
      </c>
      <c r="C27352" s="1" t="s">
        <v>7329</v>
      </c>
      <c r="D27352" s="22" t="str">
        <f>HYPERLINK("https://rhld.insurance.arkansas.gov/NPILookup?Npi=1700231289","1700231289")</f>
        <v>1700231289</v>
      </c>
      <c r="E27352" s="1" t="s">
        <v>8016</v>
      </c>
      <c r="F27352" s="2"/>
      <c r="G27352" s="2"/>
      <c r="H27352" s="2"/>
    </row>
    <row r="27353" spans="1:8" x14ac:dyDescent="0.25">
      <c r="A27353" s="1"/>
      <c r="B27353" s="1" t="s">
        <v>7328</v>
      </c>
      <c r="C27353" s="1" t="s">
        <v>7329</v>
      </c>
      <c r="D27353" s="22" t="str">
        <f>HYPERLINK("https://rhld.insurance.arkansas.gov/NPILookup?Npi=1700232527","1700232527")</f>
        <v>1700232527</v>
      </c>
      <c r="E27353" s="1" t="s">
        <v>13475</v>
      </c>
      <c r="F27353" s="2"/>
      <c r="G27353" s="2"/>
      <c r="H27353" s="2"/>
    </row>
    <row r="27354" spans="1:8" x14ac:dyDescent="0.25">
      <c r="A27354" s="1"/>
      <c r="B27354" s="1" t="s">
        <v>7328</v>
      </c>
      <c r="C27354" s="1" t="s">
        <v>7329</v>
      </c>
      <c r="D27354" s="22" t="str">
        <f>HYPERLINK("https://rhld.insurance.arkansas.gov/NPILookup?Npi=1700244985","1700244985")</f>
        <v>1700244985</v>
      </c>
      <c r="E27354" s="1" t="s">
        <v>13476</v>
      </c>
      <c r="F27354" s="2"/>
      <c r="G27354" s="2"/>
      <c r="H27354" s="2"/>
    </row>
    <row r="27355" spans="1:8" x14ac:dyDescent="0.25">
      <c r="A27355" s="1"/>
      <c r="B27355" s="1" t="s">
        <v>7328</v>
      </c>
      <c r="C27355" s="1" t="s">
        <v>7329</v>
      </c>
      <c r="D27355" s="22" t="str">
        <f>HYPERLINK("https://rhld.insurance.arkansas.gov/NPILookup?Npi=1700246972","1700246972")</f>
        <v>1700246972</v>
      </c>
      <c r="E27355" s="1" t="s">
        <v>8017</v>
      </c>
      <c r="F27355" s="2"/>
      <c r="G27355" s="2"/>
      <c r="H27355" s="2"/>
    </row>
    <row r="27356" spans="1:8" x14ac:dyDescent="0.25">
      <c r="A27356" s="1"/>
      <c r="B27356" s="1" t="s">
        <v>7328</v>
      </c>
      <c r="C27356" s="1" t="s">
        <v>7329</v>
      </c>
      <c r="D27356" s="22" t="str">
        <f>HYPERLINK("https://rhld.insurance.arkansas.gov/NPILookup?Npi=1700266558","1700266558")</f>
        <v>1700266558</v>
      </c>
      <c r="E27356" s="1" t="s">
        <v>8018</v>
      </c>
      <c r="F27356" s="2"/>
      <c r="G27356" s="2"/>
      <c r="H27356" s="2"/>
    </row>
    <row r="27357" spans="1:8" x14ac:dyDescent="0.25">
      <c r="A27357" s="1"/>
      <c r="B27357" s="1" t="s">
        <v>7328</v>
      </c>
      <c r="C27357" s="1" t="s">
        <v>7329</v>
      </c>
      <c r="D27357" s="22" t="str">
        <f>HYPERLINK("https://rhld.insurance.arkansas.gov/NPILookup?Npi=1700268042","1700268042")</f>
        <v>1700268042</v>
      </c>
      <c r="E27357" s="1" t="s">
        <v>28233</v>
      </c>
      <c r="F27357" s="2"/>
      <c r="G27357" s="2"/>
      <c r="H27357" s="2"/>
    </row>
    <row r="27358" spans="1:8" x14ac:dyDescent="0.25">
      <c r="A27358" s="1"/>
      <c r="B27358" s="1" t="s">
        <v>7328</v>
      </c>
      <c r="C27358" s="1" t="s">
        <v>7329</v>
      </c>
      <c r="D27358" s="22" t="str">
        <f>HYPERLINK("https://rhld.insurance.arkansas.gov/NPILookup?Npi=1700269875","1700269875")</f>
        <v>1700269875</v>
      </c>
      <c r="E27358" s="1" t="s">
        <v>28234</v>
      </c>
      <c r="F27358" s="2"/>
      <c r="G27358" s="2"/>
      <c r="H27358" s="2"/>
    </row>
    <row r="27359" spans="1:8" x14ac:dyDescent="0.25">
      <c r="A27359" s="1"/>
      <c r="B27359" s="1" t="s">
        <v>7328</v>
      </c>
      <c r="C27359" s="1" t="s">
        <v>7329</v>
      </c>
      <c r="D27359" s="22" t="str">
        <f>HYPERLINK("https://rhld.insurance.arkansas.gov/NPILookup?Npi=1700274909","1700274909")</f>
        <v>1700274909</v>
      </c>
      <c r="E27359" s="1" t="s">
        <v>13477</v>
      </c>
      <c r="F27359" s="2"/>
      <c r="G27359" s="2"/>
      <c r="H27359" s="2"/>
    </row>
    <row r="27360" spans="1:8" x14ac:dyDescent="0.25">
      <c r="A27360" s="1"/>
      <c r="B27360" s="1" t="s">
        <v>7328</v>
      </c>
      <c r="C27360" s="1" t="s">
        <v>7329</v>
      </c>
      <c r="D27360" s="22" t="str">
        <f>HYPERLINK("https://rhld.insurance.arkansas.gov/NPILookup?Npi=1700281938","1700281938")</f>
        <v>1700281938</v>
      </c>
      <c r="E27360" s="1" t="s">
        <v>28235</v>
      </c>
      <c r="F27360" s="2"/>
      <c r="G27360" s="2"/>
      <c r="H27360" s="2"/>
    </row>
    <row r="27361" spans="1:8" x14ac:dyDescent="0.25">
      <c r="A27361" s="1"/>
      <c r="B27361" s="1" t="s">
        <v>7328</v>
      </c>
      <c r="C27361" s="1" t="s">
        <v>7329</v>
      </c>
      <c r="D27361" s="22" t="str">
        <f>HYPERLINK("https://rhld.insurance.arkansas.gov/NPILookup?Npi=1700285491","1700285491")</f>
        <v>1700285491</v>
      </c>
      <c r="E27361" s="1" t="s">
        <v>28236</v>
      </c>
      <c r="F27361" s="2"/>
      <c r="G27361" s="2"/>
      <c r="H27361" s="2"/>
    </row>
    <row r="27362" spans="1:8" x14ac:dyDescent="0.25">
      <c r="A27362" s="1"/>
      <c r="B27362" s="1" t="s">
        <v>7328</v>
      </c>
      <c r="C27362" s="1" t="s">
        <v>7329</v>
      </c>
      <c r="D27362" s="22" t="str">
        <f>HYPERLINK("https://rhld.insurance.arkansas.gov/NPILookup?Npi=1700299138","1700299138")</f>
        <v>1700299138</v>
      </c>
      <c r="E27362" s="1" t="s">
        <v>17804</v>
      </c>
      <c r="F27362" s="2"/>
      <c r="G27362" s="2"/>
      <c r="H27362" s="2"/>
    </row>
    <row r="27363" spans="1:8" x14ac:dyDescent="0.25">
      <c r="A27363" s="1"/>
      <c r="B27363" s="1" t="s">
        <v>7328</v>
      </c>
      <c r="C27363" s="1" t="s">
        <v>7329</v>
      </c>
      <c r="D27363" s="22" t="str">
        <f>HYPERLINK("https://rhld.insurance.arkansas.gov/NPILookup?Npi=1700304813","1700304813")</f>
        <v>1700304813</v>
      </c>
      <c r="E27363" s="1" t="s">
        <v>2980</v>
      </c>
      <c r="F27363" s="2"/>
      <c r="G27363" s="2"/>
      <c r="H27363" s="2"/>
    </row>
    <row r="27364" spans="1:8" x14ac:dyDescent="0.25">
      <c r="A27364" s="1"/>
      <c r="B27364" s="1" t="s">
        <v>7328</v>
      </c>
      <c r="C27364" s="1" t="s">
        <v>7329</v>
      </c>
      <c r="D27364" s="22" t="str">
        <f>HYPERLINK("https://rhld.insurance.arkansas.gov/NPILookup?Npi=1700308087","1700308087")</f>
        <v>1700308087</v>
      </c>
      <c r="E27364" s="1" t="s">
        <v>28237</v>
      </c>
      <c r="F27364" s="2"/>
      <c r="G27364" s="2"/>
      <c r="H27364" s="2"/>
    </row>
    <row r="27365" spans="1:8" x14ac:dyDescent="0.25">
      <c r="A27365" s="1"/>
      <c r="B27365" s="1" t="s">
        <v>7328</v>
      </c>
      <c r="C27365" s="1" t="s">
        <v>7329</v>
      </c>
      <c r="D27365" s="22" t="str">
        <f>HYPERLINK("https://rhld.insurance.arkansas.gov/NPILookup?Npi=1700314010","1700314010")</f>
        <v>1700314010</v>
      </c>
      <c r="E27365" s="1" t="s">
        <v>13478</v>
      </c>
      <c r="F27365" s="2"/>
      <c r="G27365" s="2"/>
      <c r="H27365" s="2"/>
    </row>
    <row r="27366" spans="1:8" x14ac:dyDescent="0.25">
      <c r="A27366" s="1"/>
      <c r="B27366" s="1" t="s">
        <v>7328</v>
      </c>
      <c r="C27366" s="1" t="s">
        <v>7329</v>
      </c>
      <c r="D27366" s="22" t="str">
        <f>HYPERLINK("https://rhld.insurance.arkansas.gov/NPILookup?Npi=1700330065","1700330065")</f>
        <v>1700330065</v>
      </c>
      <c r="E27366" s="1" t="s">
        <v>28238</v>
      </c>
      <c r="F27366" s="2"/>
      <c r="G27366" s="2"/>
      <c r="H27366" s="2"/>
    </row>
    <row r="27367" spans="1:8" x14ac:dyDescent="0.25">
      <c r="A27367" s="1"/>
      <c r="B27367" s="1" t="s">
        <v>7328</v>
      </c>
      <c r="C27367" s="1" t="s">
        <v>7329</v>
      </c>
      <c r="D27367" s="22" t="str">
        <f>HYPERLINK("https://rhld.insurance.arkansas.gov/NPILookup?Npi=1700339256","1700339256")</f>
        <v>1700339256</v>
      </c>
      <c r="E27367" s="1" t="s">
        <v>28239</v>
      </c>
      <c r="F27367" s="2"/>
      <c r="G27367" s="2"/>
      <c r="H27367" s="2"/>
    </row>
    <row r="27368" spans="1:8" x14ac:dyDescent="0.25">
      <c r="A27368" s="1"/>
      <c r="B27368" s="1" t="s">
        <v>7328</v>
      </c>
      <c r="C27368" s="1" t="s">
        <v>7329</v>
      </c>
      <c r="D27368" s="22" t="str">
        <f>HYPERLINK("https://rhld.insurance.arkansas.gov/NPILookup?Npi=1700343209","1700343209")</f>
        <v>1700343209</v>
      </c>
      <c r="E27368" s="1" t="s">
        <v>28240</v>
      </c>
      <c r="F27368" s="2"/>
      <c r="G27368" s="2"/>
      <c r="H27368" s="2"/>
    </row>
    <row r="27369" spans="1:8" x14ac:dyDescent="0.25">
      <c r="A27369" s="1"/>
      <c r="B27369" s="1" t="s">
        <v>7328</v>
      </c>
      <c r="C27369" s="1" t="s">
        <v>7329</v>
      </c>
      <c r="D27369" s="22" t="str">
        <f>HYPERLINK("https://rhld.insurance.arkansas.gov/NPILookup?Npi=1700343969","1700343969")</f>
        <v>1700343969</v>
      </c>
      <c r="E27369" s="1" t="s">
        <v>1113</v>
      </c>
      <c r="F27369" s="2"/>
      <c r="G27369" s="2"/>
      <c r="H27369" s="2"/>
    </row>
    <row r="27370" spans="1:8" x14ac:dyDescent="0.25">
      <c r="A27370" s="1"/>
      <c r="B27370" s="1" t="s">
        <v>7328</v>
      </c>
      <c r="C27370" s="1" t="s">
        <v>7329</v>
      </c>
      <c r="D27370" s="22" t="str">
        <f>HYPERLINK("https://rhld.insurance.arkansas.gov/NPILookup?Npi=1700345378","1700345378")</f>
        <v>1700345378</v>
      </c>
      <c r="E27370" s="1" t="s">
        <v>28241</v>
      </c>
      <c r="F27370" s="2"/>
      <c r="G27370" s="2"/>
      <c r="H27370" s="2"/>
    </row>
    <row r="27371" spans="1:8" x14ac:dyDescent="0.25">
      <c r="A27371" s="1"/>
      <c r="B27371" s="1" t="s">
        <v>7328</v>
      </c>
      <c r="C27371" s="1" t="s">
        <v>7329</v>
      </c>
      <c r="D27371" s="22" t="str">
        <f>HYPERLINK("https://rhld.insurance.arkansas.gov/NPILookup?Npi=1700347044","1700347044")</f>
        <v>1700347044</v>
      </c>
      <c r="E27371" s="1" t="s">
        <v>13479</v>
      </c>
      <c r="F27371" s="2"/>
      <c r="G27371" s="2"/>
      <c r="H27371" s="2"/>
    </row>
    <row r="27372" spans="1:8" x14ac:dyDescent="0.25">
      <c r="A27372" s="1"/>
      <c r="B27372" s="1" t="s">
        <v>7328</v>
      </c>
      <c r="C27372" s="1" t="s">
        <v>7329</v>
      </c>
      <c r="D27372" s="22" t="str">
        <f>HYPERLINK("https://rhld.insurance.arkansas.gov/NPILookup?Npi=1700351376","1700351376")</f>
        <v>1700351376</v>
      </c>
      <c r="E27372" s="1" t="s">
        <v>2981</v>
      </c>
      <c r="F27372" s="2"/>
      <c r="G27372" s="2"/>
      <c r="H27372" s="2"/>
    </row>
    <row r="27373" spans="1:8" x14ac:dyDescent="0.25">
      <c r="A27373" s="1"/>
      <c r="B27373" s="1" t="s">
        <v>7328</v>
      </c>
      <c r="C27373" s="1" t="s">
        <v>7329</v>
      </c>
      <c r="D27373" s="22" t="str">
        <f>HYPERLINK("https://rhld.insurance.arkansas.gov/NPILookup?Npi=1700354933","1700354933")</f>
        <v>1700354933</v>
      </c>
      <c r="E27373" s="1" t="s">
        <v>28242</v>
      </c>
      <c r="F27373" s="2"/>
      <c r="G27373" s="2"/>
      <c r="H27373" s="2"/>
    </row>
    <row r="27374" spans="1:8" x14ac:dyDescent="0.25">
      <c r="A27374" s="1"/>
      <c r="B27374" s="1" t="s">
        <v>7328</v>
      </c>
      <c r="C27374" s="1" t="s">
        <v>7329</v>
      </c>
      <c r="D27374" s="22" t="str">
        <f>HYPERLINK("https://rhld.insurance.arkansas.gov/NPILookup?Npi=1700361490","1700361490")</f>
        <v>1700361490</v>
      </c>
      <c r="E27374" s="1" t="s">
        <v>28243</v>
      </c>
      <c r="F27374" s="2"/>
      <c r="G27374" s="2"/>
      <c r="H27374" s="2"/>
    </row>
    <row r="27375" spans="1:8" x14ac:dyDescent="0.25">
      <c r="A27375" s="1"/>
      <c r="B27375" s="1" t="s">
        <v>7328</v>
      </c>
      <c r="C27375" s="1" t="s">
        <v>7329</v>
      </c>
      <c r="D27375" s="22" t="str">
        <f>HYPERLINK("https://rhld.insurance.arkansas.gov/NPILookup?Npi=1700384716","1700384716")</f>
        <v>1700384716</v>
      </c>
      <c r="E27375" s="1" t="s">
        <v>22212</v>
      </c>
      <c r="F27375" s="2"/>
      <c r="G27375" s="2"/>
      <c r="H27375" s="2"/>
    </row>
    <row r="27376" spans="1:8" x14ac:dyDescent="0.25">
      <c r="A27376" s="1"/>
      <c r="B27376" s="1" t="s">
        <v>7328</v>
      </c>
      <c r="C27376" s="1" t="s">
        <v>7329</v>
      </c>
      <c r="D27376" s="22" t="str">
        <f>HYPERLINK("https://rhld.insurance.arkansas.gov/NPILookup?Npi=1700392537","1700392537")</f>
        <v>1700392537</v>
      </c>
      <c r="E27376" s="1" t="s">
        <v>7694</v>
      </c>
      <c r="F27376" s="2"/>
      <c r="G27376" s="2"/>
      <c r="H27376" s="2"/>
    </row>
    <row r="27377" spans="1:8" x14ac:dyDescent="0.25">
      <c r="A27377" s="1"/>
      <c r="B27377" s="1" t="s">
        <v>7328</v>
      </c>
      <c r="C27377" s="1" t="s">
        <v>7329</v>
      </c>
      <c r="D27377" s="22" t="str">
        <f>HYPERLINK("https://rhld.insurance.arkansas.gov/NPILookup?Npi=1700395225","1700395225")</f>
        <v>1700395225</v>
      </c>
      <c r="E27377" s="1" t="s">
        <v>882</v>
      </c>
      <c r="F27377" s="2"/>
      <c r="G27377" s="2"/>
      <c r="H27377" s="2"/>
    </row>
    <row r="27378" spans="1:8" x14ac:dyDescent="0.25">
      <c r="A27378" s="1"/>
      <c r="B27378" s="1" t="s">
        <v>7328</v>
      </c>
      <c r="C27378" s="1" t="s">
        <v>7329</v>
      </c>
      <c r="D27378" s="22" t="str">
        <f>HYPERLINK("https://rhld.insurance.arkansas.gov/NPILookup?Npi=1700396777","1700396777")</f>
        <v>1700396777</v>
      </c>
      <c r="E27378" s="1" t="s">
        <v>20174</v>
      </c>
      <c r="F27378" s="2"/>
      <c r="G27378" s="2"/>
      <c r="H27378" s="2"/>
    </row>
    <row r="27379" spans="1:8" x14ac:dyDescent="0.25">
      <c r="A27379" s="1"/>
      <c r="B27379" s="1" t="s">
        <v>7328</v>
      </c>
      <c r="C27379" s="1" t="s">
        <v>7329</v>
      </c>
      <c r="D27379" s="22" t="str">
        <f>HYPERLINK("https://rhld.insurance.arkansas.gov/NPILookup?Npi=1700398005","1700398005")</f>
        <v>1700398005</v>
      </c>
      <c r="E27379" s="1" t="s">
        <v>13480</v>
      </c>
      <c r="F27379" s="2"/>
      <c r="G27379" s="2"/>
      <c r="H27379" s="2"/>
    </row>
    <row r="27380" spans="1:8" x14ac:dyDescent="0.25">
      <c r="A27380" s="1"/>
      <c r="B27380" s="1" t="s">
        <v>7328</v>
      </c>
      <c r="C27380" s="1" t="s">
        <v>7329</v>
      </c>
      <c r="D27380" s="22" t="str">
        <f>HYPERLINK("https://rhld.insurance.arkansas.gov/NPILookup?Npi=1700402708","1700402708")</f>
        <v>1700402708</v>
      </c>
      <c r="E27380" s="1" t="s">
        <v>13481</v>
      </c>
      <c r="F27380" s="2"/>
      <c r="G27380" s="2"/>
      <c r="H27380" s="2"/>
    </row>
    <row r="27381" spans="1:8" x14ac:dyDescent="0.25">
      <c r="A27381" s="1"/>
      <c r="B27381" s="1" t="s">
        <v>7328</v>
      </c>
      <c r="C27381" s="1" t="s">
        <v>7329</v>
      </c>
      <c r="D27381" s="22" t="str">
        <f>HYPERLINK("https://rhld.insurance.arkansas.gov/NPILookup?Npi=1700403946","1700403946")</f>
        <v>1700403946</v>
      </c>
      <c r="E27381" s="1" t="s">
        <v>13482</v>
      </c>
      <c r="F27381" s="2"/>
      <c r="G27381" s="2"/>
      <c r="H27381" s="2"/>
    </row>
    <row r="27382" spans="1:8" x14ac:dyDescent="0.25">
      <c r="A27382" s="1"/>
      <c r="B27382" s="1" t="s">
        <v>7328</v>
      </c>
      <c r="C27382" s="1" t="s">
        <v>7329</v>
      </c>
      <c r="D27382" s="22" t="str">
        <f>HYPERLINK("https://rhld.insurance.arkansas.gov/NPILookup?Npi=1700409182","1700409182")</f>
        <v>1700409182</v>
      </c>
      <c r="E27382" s="1" t="s">
        <v>1644</v>
      </c>
      <c r="F27382" s="2"/>
      <c r="G27382" s="2"/>
      <c r="H27382" s="2"/>
    </row>
    <row r="27383" spans="1:8" x14ac:dyDescent="0.25">
      <c r="A27383" s="1"/>
      <c r="B27383" s="1" t="s">
        <v>7328</v>
      </c>
      <c r="C27383" s="1" t="s">
        <v>7329</v>
      </c>
      <c r="D27383" s="22" t="str">
        <f>HYPERLINK("https://rhld.insurance.arkansas.gov/NPILookup?Npi=1700411311","1700411311")</f>
        <v>1700411311</v>
      </c>
      <c r="E27383" s="1" t="s">
        <v>13483</v>
      </c>
      <c r="F27383" s="2"/>
      <c r="G27383" s="2"/>
      <c r="H27383" s="2"/>
    </row>
    <row r="27384" spans="1:8" x14ac:dyDescent="0.25">
      <c r="A27384" s="1"/>
      <c r="B27384" s="1" t="s">
        <v>7328</v>
      </c>
      <c r="C27384" s="1" t="s">
        <v>7329</v>
      </c>
      <c r="D27384" s="22" t="str">
        <f>HYPERLINK("https://rhld.insurance.arkansas.gov/NPILookup?Npi=1700414703","1700414703")</f>
        <v>1700414703</v>
      </c>
      <c r="E27384" s="1" t="s">
        <v>28244</v>
      </c>
      <c r="F27384" s="2"/>
      <c r="G27384" s="2"/>
      <c r="H27384" s="2"/>
    </row>
    <row r="27385" spans="1:8" x14ac:dyDescent="0.25">
      <c r="A27385" s="1"/>
      <c r="B27385" s="1" t="s">
        <v>7328</v>
      </c>
      <c r="C27385" s="1" t="s">
        <v>7329</v>
      </c>
      <c r="D27385" s="22" t="str">
        <f>HYPERLINK("https://rhld.insurance.arkansas.gov/NPILookup?Npi=1700417961","1700417961")</f>
        <v>1700417961</v>
      </c>
      <c r="E27385" s="1" t="s">
        <v>8019</v>
      </c>
      <c r="F27385" s="2"/>
      <c r="G27385" s="2"/>
      <c r="H27385" s="2"/>
    </row>
    <row r="27386" spans="1:8" x14ac:dyDescent="0.25">
      <c r="A27386" s="1"/>
      <c r="B27386" s="1" t="s">
        <v>7328</v>
      </c>
      <c r="C27386" s="1" t="s">
        <v>7329</v>
      </c>
      <c r="D27386" s="22" t="str">
        <f>HYPERLINK("https://rhld.insurance.arkansas.gov/NPILookup?Npi=1700420338","1700420338")</f>
        <v>1700420338</v>
      </c>
      <c r="E27386" s="1" t="s">
        <v>28245</v>
      </c>
      <c r="F27386" s="2"/>
      <c r="G27386" s="2"/>
      <c r="H27386" s="2"/>
    </row>
    <row r="27387" spans="1:8" x14ac:dyDescent="0.25">
      <c r="A27387" s="1"/>
      <c r="B27387" s="1" t="s">
        <v>7328</v>
      </c>
      <c r="C27387" s="1" t="s">
        <v>7329</v>
      </c>
      <c r="D27387" s="22" t="str">
        <f>HYPERLINK("https://rhld.insurance.arkansas.gov/NPILookup?Npi=1700431723","1700431723")</f>
        <v>1700431723</v>
      </c>
      <c r="E27387" s="1" t="s">
        <v>8020</v>
      </c>
      <c r="F27387" s="2"/>
      <c r="G27387" s="2"/>
      <c r="H27387" s="2"/>
    </row>
    <row r="27388" spans="1:8" x14ac:dyDescent="0.25">
      <c r="A27388" s="1"/>
      <c r="B27388" s="1" t="s">
        <v>7328</v>
      </c>
      <c r="C27388" s="1" t="s">
        <v>7329</v>
      </c>
      <c r="D27388" s="22" t="str">
        <f>HYPERLINK("https://rhld.insurance.arkansas.gov/NPILookup?Npi=1700431905","1700431905")</f>
        <v>1700431905</v>
      </c>
      <c r="E27388" s="1" t="s">
        <v>7776</v>
      </c>
      <c r="F27388" s="2"/>
      <c r="G27388" s="2"/>
      <c r="H27388" s="2"/>
    </row>
    <row r="27389" spans="1:8" x14ac:dyDescent="0.25">
      <c r="A27389" s="1"/>
      <c r="B27389" s="1" t="s">
        <v>7328</v>
      </c>
      <c r="C27389" s="1" t="s">
        <v>7329</v>
      </c>
      <c r="D27389" s="22" t="str">
        <f>HYPERLINK("https://rhld.insurance.arkansas.gov/NPILookup?Npi=1700459591","1700459591")</f>
        <v>1700459591</v>
      </c>
      <c r="E27389" s="1" t="s">
        <v>28246</v>
      </c>
      <c r="F27389" s="2"/>
      <c r="G27389" s="2"/>
      <c r="H27389" s="2"/>
    </row>
    <row r="27390" spans="1:8" x14ac:dyDescent="0.25">
      <c r="A27390" s="1"/>
      <c r="B27390" s="1" t="s">
        <v>7328</v>
      </c>
      <c r="C27390" s="1" t="s">
        <v>7329</v>
      </c>
      <c r="D27390" s="22" t="str">
        <f>HYPERLINK("https://rhld.insurance.arkansas.gov/NPILookup?Npi=1700465119","1700465119")</f>
        <v>1700465119</v>
      </c>
      <c r="E27390" s="1" t="s">
        <v>28247</v>
      </c>
      <c r="F27390" s="2"/>
      <c r="G27390" s="2"/>
      <c r="H27390" s="2"/>
    </row>
    <row r="27391" spans="1:8" x14ac:dyDescent="0.25">
      <c r="A27391" s="1"/>
      <c r="B27391" s="1" t="s">
        <v>7328</v>
      </c>
      <c r="C27391" s="1" t="s">
        <v>7329</v>
      </c>
      <c r="D27391" s="22" t="str">
        <f>HYPERLINK("https://rhld.insurance.arkansas.gov/NPILookup?Npi=1700469475","1700469475")</f>
        <v>1700469475</v>
      </c>
      <c r="E27391" s="1" t="s">
        <v>8021</v>
      </c>
      <c r="F27391" s="2"/>
      <c r="G27391" s="2"/>
      <c r="H27391" s="2"/>
    </row>
    <row r="27392" spans="1:8" x14ac:dyDescent="0.25">
      <c r="A27392" s="1"/>
      <c r="B27392" s="1" t="s">
        <v>7328</v>
      </c>
      <c r="C27392" s="1" t="s">
        <v>7329</v>
      </c>
      <c r="D27392" s="22" t="str">
        <f>HYPERLINK("https://rhld.insurance.arkansas.gov/NPILookup?Npi=1700471612","1700471612")</f>
        <v>1700471612</v>
      </c>
      <c r="E27392" s="1" t="s">
        <v>28248</v>
      </c>
      <c r="F27392" s="2"/>
      <c r="G27392" s="2"/>
      <c r="H27392" s="2"/>
    </row>
    <row r="27393" spans="1:8" x14ac:dyDescent="0.25">
      <c r="A27393" s="1"/>
      <c r="B27393" s="1" t="s">
        <v>7328</v>
      </c>
      <c r="C27393" s="1" t="s">
        <v>7329</v>
      </c>
      <c r="D27393" s="22" t="str">
        <f>HYPERLINK("https://rhld.insurance.arkansas.gov/NPILookup?Npi=1700482171","1700482171")</f>
        <v>1700482171</v>
      </c>
      <c r="E27393" s="1" t="s">
        <v>1436</v>
      </c>
      <c r="F27393" s="2"/>
      <c r="G27393" s="2"/>
      <c r="H27393" s="2"/>
    </row>
    <row r="27394" spans="1:8" x14ac:dyDescent="0.25">
      <c r="A27394" s="1"/>
      <c r="B27394" s="1" t="s">
        <v>7328</v>
      </c>
      <c r="C27394" s="1" t="s">
        <v>7329</v>
      </c>
      <c r="D27394" s="22" t="str">
        <f>HYPERLINK("https://rhld.insurance.arkansas.gov/NPILookup?Npi=1700487493","1700487493")</f>
        <v>1700487493</v>
      </c>
      <c r="E27394" s="1" t="s">
        <v>28249</v>
      </c>
      <c r="F27394" s="2"/>
      <c r="G27394" s="2"/>
      <c r="H27394" s="2"/>
    </row>
    <row r="27395" spans="1:8" x14ac:dyDescent="0.25">
      <c r="A27395" s="1"/>
      <c r="B27395" s="1" t="s">
        <v>7328</v>
      </c>
      <c r="C27395" s="1" t="s">
        <v>7329</v>
      </c>
      <c r="D27395" s="22" t="str">
        <f>HYPERLINK("https://rhld.insurance.arkansas.gov/NPILookup?Npi=1700491040","1700491040")</f>
        <v>1700491040</v>
      </c>
      <c r="E27395" s="1" t="s">
        <v>28250</v>
      </c>
      <c r="F27395" s="2"/>
      <c r="G27395" s="2"/>
      <c r="H27395" s="2"/>
    </row>
    <row r="27396" spans="1:8" x14ac:dyDescent="0.25">
      <c r="A27396" s="1"/>
      <c r="B27396" s="1" t="s">
        <v>7328</v>
      </c>
      <c r="C27396" s="1" t="s">
        <v>7329</v>
      </c>
      <c r="D27396" s="22" t="str">
        <f>HYPERLINK("https://rhld.insurance.arkansas.gov/NPILookup?Npi=1700498110","1700498110")</f>
        <v>1700498110</v>
      </c>
      <c r="E27396" s="1" t="s">
        <v>1581</v>
      </c>
      <c r="F27396" s="2"/>
      <c r="G27396" s="2"/>
      <c r="H27396" s="2"/>
    </row>
    <row r="27397" spans="1:8" x14ac:dyDescent="0.25">
      <c r="A27397" s="1"/>
      <c r="B27397" s="1" t="s">
        <v>7328</v>
      </c>
      <c r="C27397" s="1" t="s">
        <v>7329</v>
      </c>
      <c r="D27397" s="22" t="str">
        <f>HYPERLINK("https://rhld.insurance.arkansas.gov/NPILookup?Npi=1700499506","1700499506")</f>
        <v>1700499506</v>
      </c>
      <c r="E27397" s="1" t="s">
        <v>28251</v>
      </c>
      <c r="F27397" s="2"/>
      <c r="G27397" s="2"/>
      <c r="H27397" s="2"/>
    </row>
    <row r="27398" spans="1:8" x14ac:dyDescent="0.25">
      <c r="A27398" s="1"/>
      <c r="B27398" s="1" t="s">
        <v>7328</v>
      </c>
      <c r="C27398" s="1" t="s">
        <v>7329</v>
      </c>
      <c r="D27398" s="22" t="str">
        <f>HYPERLINK("https://rhld.insurance.arkansas.gov/NPILookup?Npi=1700534443","1700534443")</f>
        <v>1700534443</v>
      </c>
      <c r="E27398" s="1" t="s">
        <v>28252</v>
      </c>
      <c r="F27398" s="2"/>
      <c r="G27398" s="2"/>
      <c r="H27398" s="2"/>
    </row>
    <row r="27399" spans="1:8" x14ac:dyDescent="0.25">
      <c r="A27399" s="1"/>
      <c r="B27399" s="1" t="s">
        <v>7328</v>
      </c>
      <c r="C27399" s="1" t="s">
        <v>7329</v>
      </c>
      <c r="D27399" s="22" t="str">
        <f>HYPERLINK("https://rhld.insurance.arkansas.gov/NPILookup?Npi=1700540317","1700540317")</f>
        <v>1700540317</v>
      </c>
      <c r="E27399" s="1" t="s">
        <v>28253</v>
      </c>
      <c r="F27399" s="2"/>
      <c r="G27399" s="2"/>
      <c r="H27399" s="2"/>
    </row>
    <row r="27400" spans="1:8" x14ac:dyDescent="0.25">
      <c r="A27400" s="1"/>
      <c r="B27400" s="1" t="s">
        <v>7328</v>
      </c>
      <c r="C27400" s="1" t="s">
        <v>7329</v>
      </c>
      <c r="D27400" s="22" t="str">
        <f>HYPERLINK("https://rhld.insurance.arkansas.gov/NPILookup?Npi=1700545969","1700545969")</f>
        <v>1700545969</v>
      </c>
      <c r="E27400" s="1" t="s">
        <v>28254</v>
      </c>
      <c r="F27400" s="2"/>
      <c r="G27400" s="2"/>
      <c r="H27400" s="2"/>
    </row>
    <row r="27401" spans="1:8" x14ac:dyDescent="0.25">
      <c r="A27401" s="1"/>
      <c r="B27401" s="1" t="s">
        <v>7328</v>
      </c>
      <c r="C27401" s="1" t="s">
        <v>7329</v>
      </c>
      <c r="D27401" s="22" t="str">
        <f>HYPERLINK("https://rhld.insurance.arkansas.gov/NPILookup?Npi=1700549672","1700549672")</f>
        <v>1700549672</v>
      </c>
      <c r="E27401" s="1" t="s">
        <v>8022</v>
      </c>
      <c r="F27401" s="2"/>
      <c r="G27401" s="2"/>
      <c r="H27401" s="2"/>
    </row>
    <row r="27402" spans="1:8" x14ac:dyDescent="0.25">
      <c r="A27402" s="1"/>
      <c r="B27402" s="1" t="s">
        <v>7328</v>
      </c>
      <c r="C27402" s="1" t="s">
        <v>7329</v>
      </c>
      <c r="D27402" s="22" t="str">
        <f>HYPERLINK("https://rhld.insurance.arkansas.gov/NPILookup?Npi=1700563756","1700563756")</f>
        <v>1700563756</v>
      </c>
      <c r="E27402" s="1" t="s">
        <v>8023</v>
      </c>
      <c r="F27402" s="2"/>
      <c r="G27402" s="2"/>
      <c r="H27402" s="2"/>
    </row>
    <row r="27403" spans="1:8" x14ac:dyDescent="0.25">
      <c r="A27403" s="1"/>
      <c r="B27403" s="1" t="s">
        <v>7328</v>
      </c>
      <c r="C27403" s="1" t="s">
        <v>7329</v>
      </c>
      <c r="D27403" s="22" t="str">
        <f>HYPERLINK("https://rhld.insurance.arkansas.gov/NPILookup?Npi=1700640679","1700640679")</f>
        <v>1700640679</v>
      </c>
      <c r="E27403" s="1" t="s">
        <v>28255</v>
      </c>
      <c r="F27403" s="2"/>
      <c r="G27403" s="2"/>
      <c r="H27403" s="2"/>
    </row>
    <row r="27404" spans="1:8" x14ac:dyDescent="0.25">
      <c r="A27404" s="1"/>
      <c r="B27404" s="1" t="s">
        <v>7328</v>
      </c>
      <c r="C27404" s="1" t="s">
        <v>7329</v>
      </c>
      <c r="D27404" s="22" t="str">
        <f>HYPERLINK("https://rhld.insurance.arkansas.gov/NPILookup?Npi=1700648698","1700648698")</f>
        <v>1700648698</v>
      </c>
      <c r="E27404" s="1" t="s">
        <v>28256</v>
      </c>
      <c r="F27404" s="2"/>
      <c r="G27404" s="2"/>
      <c r="H27404" s="2"/>
    </row>
    <row r="27405" spans="1:8" x14ac:dyDescent="0.25">
      <c r="A27405" s="1"/>
      <c r="B27405" s="1" t="s">
        <v>7328</v>
      </c>
      <c r="C27405" s="1" t="s">
        <v>7329</v>
      </c>
      <c r="D27405" s="22" t="str">
        <f>HYPERLINK("https://rhld.insurance.arkansas.gov/NPILookup?Npi=1700651742","1700651742")</f>
        <v>1700651742</v>
      </c>
      <c r="E27405" s="1" t="s">
        <v>13484</v>
      </c>
      <c r="F27405" s="2"/>
      <c r="G27405" s="2"/>
      <c r="H27405" s="2"/>
    </row>
    <row r="27406" spans="1:8" x14ac:dyDescent="0.25">
      <c r="A27406" s="1"/>
      <c r="B27406" s="1" t="s">
        <v>7328</v>
      </c>
      <c r="C27406" s="1" t="s">
        <v>7329</v>
      </c>
      <c r="D27406" s="22" t="str">
        <f>HYPERLINK("https://rhld.insurance.arkansas.gov/NPILookup?Npi=1700655321","1700655321")</f>
        <v>1700655321</v>
      </c>
      <c r="E27406" s="1" t="s">
        <v>28257</v>
      </c>
      <c r="F27406" s="2"/>
      <c r="G27406" s="2"/>
      <c r="H27406" s="2"/>
    </row>
    <row r="27407" spans="1:8" x14ac:dyDescent="0.25">
      <c r="A27407" s="1"/>
      <c r="B27407" s="1" t="s">
        <v>7328</v>
      </c>
      <c r="C27407" s="1" t="s">
        <v>7329</v>
      </c>
      <c r="D27407" s="22" t="str">
        <f>HYPERLINK("https://rhld.insurance.arkansas.gov/NPILookup?Npi=1700692183","1700692183")</f>
        <v>1700692183</v>
      </c>
      <c r="E27407" s="1" t="s">
        <v>31928</v>
      </c>
      <c r="F27407" s="2"/>
      <c r="G27407" s="2"/>
      <c r="H27407" s="2"/>
    </row>
    <row r="27408" spans="1:8" x14ac:dyDescent="0.25">
      <c r="A27408" s="1"/>
      <c r="B27408" s="1" t="s">
        <v>7328</v>
      </c>
      <c r="C27408" s="1" t="s">
        <v>7329</v>
      </c>
      <c r="D27408" s="22" t="str">
        <f>HYPERLINK("https://rhld.insurance.arkansas.gov/NPILookup?Npi=1700805330","1700805330")</f>
        <v>1700805330</v>
      </c>
      <c r="E27408" s="1" t="s">
        <v>28258</v>
      </c>
      <c r="F27408" s="2"/>
      <c r="G27408" s="2"/>
      <c r="H27408" s="2"/>
    </row>
    <row r="27409" spans="1:8" x14ac:dyDescent="0.25">
      <c r="A27409" s="1"/>
      <c r="B27409" s="1" t="s">
        <v>7328</v>
      </c>
      <c r="C27409" s="1" t="s">
        <v>7329</v>
      </c>
      <c r="D27409" s="22" t="str">
        <f>HYPERLINK("https://rhld.insurance.arkansas.gov/NPILookup?Npi=1700811478","1700811478")</f>
        <v>1700811478</v>
      </c>
      <c r="E27409" s="1" t="s">
        <v>28259</v>
      </c>
      <c r="F27409" s="2"/>
      <c r="G27409" s="2"/>
      <c r="H27409" s="2"/>
    </row>
    <row r="27410" spans="1:8" x14ac:dyDescent="0.25">
      <c r="A27410" s="1"/>
      <c r="B27410" s="1" t="s">
        <v>7328</v>
      </c>
      <c r="C27410" s="1" t="s">
        <v>7329</v>
      </c>
      <c r="D27410" s="22" t="str">
        <f>HYPERLINK("https://rhld.insurance.arkansas.gov/NPILookup?Npi=1700822368","1700822368")</f>
        <v>1700822368</v>
      </c>
      <c r="E27410" s="1" t="s">
        <v>32335</v>
      </c>
      <c r="F27410" s="2"/>
      <c r="G27410" s="2"/>
      <c r="H27410" s="2"/>
    </row>
    <row r="27411" spans="1:8" x14ac:dyDescent="0.25">
      <c r="A27411" s="1"/>
      <c r="B27411" s="1" t="s">
        <v>7328</v>
      </c>
      <c r="C27411" s="1" t="s">
        <v>7329</v>
      </c>
      <c r="D27411" s="22" t="str">
        <f>HYPERLINK("https://rhld.insurance.arkansas.gov/NPILookup?Npi=1700823655","1700823655")</f>
        <v>1700823655</v>
      </c>
      <c r="E27411" s="1" t="s">
        <v>28260</v>
      </c>
      <c r="F27411" s="2"/>
      <c r="G27411" s="2"/>
      <c r="H27411" s="2"/>
    </row>
    <row r="27412" spans="1:8" x14ac:dyDescent="0.25">
      <c r="A27412" s="1"/>
      <c r="B27412" s="1" t="s">
        <v>7328</v>
      </c>
      <c r="C27412" s="1" t="s">
        <v>7329</v>
      </c>
      <c r="D27412" s="22" t="str">
        <f>HYPERLINK("https://rhld.insurance.arkansas.gov/NPILookup?Npi=1700824307","1700824307")</f>
        <v>1700824307</v>
      </c>
      <c r="E27412" s="1" t="s">
        <v>13485</v>
      </c>
      <c r="F27412" s="2"/>
      <c r="G27412" s="2"/>
      <c r="H27412" s="2"/>
    </row>
    <row r="27413" spans="1:8" x14ac:dyDescent="0.25">
      <c r="A27413" s="1"/>
      <c r="B27413" s="1" t="s">
        <v>7328</v>
      </c>
      <c r="C27413" s="1" t="s">
        <v>7329</v>
      </c>
      <c r="D27413" s="22" t="str">
        <f>HYPERLINK("https://rhld.insurance.arkansas.gov/NPILookup?Npi=1700835139","1700835139")</f>
        <v>1700835139</v>
      </c>
      <c r="E27413" s="1" t="s">
        <v>2982</v>
      </c>
      <c r="F27413" s="2"/>
      <c r="G27413" s="2"/>
      <c r="H27413" s="2"/>
    </row>
    <row r="27414" spans="1:8" x14ac:dyDescent="0.25">
      <c r="A27414" s="1"/>
      <c r="B27414" s="1" t="s">
        <v>7328</v>
      </c>
      <c r="C27414" s="1" t="s">
        <v>7329</v>
      </c>
      <c r="D27414" s="22" t="str">
        <f>HYPERLINK("https://rhld.insurance.arkansas.gov/NPILookup?Npi=1700842218","1700842218")</f>
        <v>1700842218</v>
      </c>
      <c r="E27414" s="1" t="s">
        <v>28261</v>
      </c>
      <c r="F27414" s="2"/>
      <c r="G27414" s="2"/>
      <c r="H27414" s="2"/>
    </row>
    <row r="27415" spans="1:8" x14ac:dyDescent="0.25">
      <c r="A27415" s="1"/>
      <c r="B27415" s="1" t="s">
        <v>7328</v>
      </c>
      <c r="C27415" s="1" t="s">
        <v>7329</v>
      </c>
      <c r="D27415" s="22" t="str">
        <f>HYPERLINK("https://rhld.insurance.arkansas.gov/NPILookup?Npi=1700843679","1700843679")</f>
        <v>1700843679</v>
      </c>
      <c r="E27415" s="1" t="s">
        <v>28262</v>
      </c>
      <c r="F27415" s="2"/>
      <c r="G27415" s="2"/>
      <c r="H27415" s="2"/>
    </row>
    <row r="27416" spans="1:8" x14ac:dyDescent="0.25">
      <c r="A27416" s="1"/>
      <c r="B27416" s="1" t="s">
        <v>7328</v>
      </c>
      <c r="C27416" s="1" t="s">
        <v>7329</v>
      </c>
      <c r="D27416" s="22" t="str">
        <f>HYPERLINK("https://rhld.insurance.arkansas.gov/NPILookup?Npi=1700845740","1700845740")</f>
        <v>1700845740</v>
      </c>
      <c r="E27416" s="1" t="s">
        <v>10417</v>
      </c>
      <c r="F27416" s="2"/>
      <c r="G27416" s="2"/>
      <c r="H27416" s="2"/>
    </row>
    <row r="27417" spans="1:8" x14ac:dyDescent="0.25">
      <c r="A27417" s="1"/>
      <c r="B27417" s="1" t="s">
        <v>7328</v>
      </c>
      <c r="C27417" s="1" t="s">
        <v>7329</v>
      </c>
      <c r="D27417" s="22" t="str">
        <f>HYPERLINK("https://rhld.insurance.arkansas.gov/NPILookup?Npi=1700846870","1700846870")</f>
        <v>1700846870</v>
      </c>
      <c r="E27417" s="1" t="s">
        <v>28263</v>
      </c>
      <c r="F27417" s="2"/>
      <c r="G27417" s="2"/>
      <c r="H27417" s="2"/>
    </row>
    <row r="27418" spans="1:8" x14ac:dyDescent="0.25">
      <c r="A27418" s="1"/>
      <c r="B27418" s="1" t="s">
        <v>7328</v>
      </c>
      <c r="C27418" s="1" t="s">
        <v>7329</v>
      </c>
      <c r="D27418" s="22" t="str">
        <f>HYPERLINK("https://rhld.insurance.arkansas.gov/NPILookup?Npi=1700849684","1700849684")</f>
        <v>1700849684</v>
      </c>
      <c r="E27418" s="1" t="s">
        <v>28264</v>
      </c>
      <c r="F27418" s="2"/>
      <c r="G27418" s="2"/>
      <c r="H27418" s="2"/>
    </row>
    <row r="27419" spans="1:8" x14ac:dyDescent="0.25">
      <c r="A27419" s="1"/>
      <c r="B27419" s="1" t="s">
        <v>7328</v>
      </c>
      <c r="C27419" s="1" t="s">
        <v>7329</v>
      </c>
      <c r="D27419" s="22" t="str">
        <f>HYPERLINK("https://rhld.insurance.arkansas.gov/NPILookup?Npi=1700869898","1700869898")</f>
        <v>1700869898</v>
      </c>
      <c r="E27419" s="1" t="s">
        <v>28265</v>
      </c>
      <c r="F27419" s="2"/>
      <c r="G27419" s="2"/>
      <c r="H27419" s="2"/>
    </row>
    <row r="27420" spans="1:8" x14ac:dyDescent="0.25">
      <c r="A27420" s="1"/>
      <c r="B27420" s="1" t="s">
        <v>7328</v>
      </c>
      <c r="C27420" s="1" t="s">
        <v>7329</v>
      </c>
      <c r="D27420" s="22" t="str">
        <f>HYPERLINK("https://rhld.insurance.arkansas.gov/NPILookup?Npi=1700870185","1700870185")</f>
        <v>1700870185</v>
      </c>
      <c r="E27420" s="1" t="s">
        <v>8024</v>
      </c>
      <c r="F27420" s="2"/>
      <c r="G27420" s="2"/>
      <c r="H27420" s="2"/>
    </row>
    <row r="27421" spans="1:8" x14ac:dyDescent="0.25">
      <c r="A27421" s="1"/>
      <c r="B27421" s="1" t="s">
        <v>7328</v>
      </c>
      <c r="C27421" s="1" t="s">
        <v>7329</v>
      </c>
      <c r="D27421" s="22" t="str">
        <f>HYPERLINK("https://rhld.insurance.arkansas.gov/NPILookup?Npi=1700879970","1700879970")</f>
        <v>1700879970</v>
      </c>
      <c r="E27421" s="1" t="s">
        <v>28266</v>
      </c>
      <c r="F27421" s="2"/>
      <c r="G27421" s="2"/>
      <c r="H27421" s="2"/>
    </row>
    <row r="27422" spans="1:8" x14ac:dyDescent="0.25">
      <c r="A27422" s="1"/>
      <c r="B27422" s="1" t="s">
        <v>7328</v>
      </c>
      <c r="C27422" s="1" t="s">
        <v>7329</v>
      </c>
      <c r="D27422" s="22" t="str">
        <f>HYPERLINK("https://rhld.insurance.arkansas.gov/NPILookup?Npi=1700889649","1700889649")</f>
        <v>1700889649</v>
      </c>
      <c r="E27422" s="1" t="s">
        <v>2056</v>
      </c>
      <c r="F27422" s="2"/>
      <c r="G27422" s="2"/>
      <c r="H27422" s="2"/>
    </row>
    <row r="27423" spans="1:8" x14ac:dyDescent="0.25">
      <c r="A27423" s="1"/>
      <c r="B27423" s="1" t="s">
        <v>7328</v>
      </c>
      <c r="C27423" s="1" t="s">
        <v>7329</v>
      </c>
      <c r="D27423" s="22" t="str">
        <f>HYPERLINK("https://rhld.insurance.arkansas.gov/NPILookup?Npi=1700892734","1700892734")</f>
        <v>1700892734</v>
      </c>
      <c r="E27423" s="1" t="s">
        <v>13486</v>
      </c>
      <c r="F27423" s="2"/>
      <c r="G27423" s="2"/>
      <c r="H27423" s="2"/>
    </row>
    <row r="27424" spans="1:8" x14ac:dyDescent="0.25">
      <c r="A27424" s="1"/>
      <c r="B27424" s="1" t="s">
        <v>7328</v>
      </c>
      <c r="C27424" s="1" t="s">
        <v>7329</v>
      </c>
      <c r="D27424" s="22" t="str">
        <f>HYPERLINK("https://rhld.insurance.arkansas.gov/NPILookup?Npi=1700893690","1700893690")</f>
        <v>1700893690</v>
      </c>
      <c r="E27424" s="1" t="s">
        <v>17807</v>
      </c>
      <c r="F27424" s="2"/>
      <c r="G27424" s="2"/>
      <c r="H27424" s="2"/>
    </row>
    <row r="27425" spans="1:8" x14ac:dyDescent="0.25">
      <c r="A27425" s="1"/>
      <c r="B27425" s="1" t="s">
        <v>7328</v>
      </c>
      <c r="C27425" s="1" t="s">
        <v>7329</v>
      </c>
      <c r="D27425" s="22" t="str">
        <f>HYPERLINK("https://rhld.insurance.arkansas.gov/NPILookup?Npi=1700897600","1700897600")</f>
        <v>1700897600</v>
      </c>
      <c r="E27425" s="1" t="s">
        <v>28267</v>
      </c>
      <c r="F27425" s="2"/>
      <c r="G27425" s="2"/>
      <c r="H27425" s="2"/>
    </row>
    <row r="27426" spans="1:8" x14ac:dyDescent="0.25">
      <c r="A27426" s="1"/>
      <c r="B27426" s="1" t="s">
        <v>7328</v>
      </c>
      <c r="C27426" s="1" t="s">
        <v>7329</v>
      </c>
      <c r="D27426" s="22" t="str">
        <f>HYPERLINK("https://rhld.insurance.arkansas.gov/NPILookup?Npi=1700897774","1700897774")</f>
        <v>1700897774</v>
      </c>
      <c r="E27426" s="1" t="s">
        <v>28268</v>
      </c>
      <c r="F27426" s="2"/>
      <c r="G27426" s="2"/>
      <c r="H27426" s="2"/>
    </row>
    <row r="27427" spans="1:8" x14ac:dyDescent="0.25">
      <c r="A27427" s="1"/>
      <c r="B27427" s="1" t="s">
        <v>7328</v>
      </c>
      <c r="C27427" s="1" t="s">
        <v>7329</v>
      </c>
      <c r="D27427" s="22" t="str">
        <f>HYPERLINK("https://rhld.insurance.arkansas.gov/NPILookup?Npi=1700906286","1700906286")</f>
        <v>1700906286</v>
      </c>
      <c r="E27427" s="1" t="s">
        <v>13487</v>
      </c>
      <c r="F27427" s="2"/>
      <c r="G27427" s="2"/>
      <c r="H27427" s="2"/>
    </row>
    <row r="27428" spans="1:8" x14ac:dyDescent="0.25">
      <c r="A27428" s="1"/>
      <c r="B27428" s="1" t="s">
        <v>7328</v>
      </c>
      <c r="C27428" s="1" t="s">
        <v>7329</v>
      </c>
      <c r="D27428" s="22" t="str">
        <f>HYPERLINK("https://rhld.insurance.arkansas.gov/NPILookup?Npi=1700966033","1700966033")</f>
        <v>1700966033</v>
      </c>
      <c r="E27428" s="1" t="s">
        <v>28269</v>
      </c>
      <c r="F27428" s="2"/>
      <c r="G27428" s="2"/>
      <c r="H27428" s="2"/>
    </row>
    <row r="27429" spans="1:8" x14ac:dyDescent="0.25">
      <c r="A27429" s="1"/>
      <c r="B27429" s="1" t="s">
        <v>7328</v>
      </c>
      <c r="C27429" s="1" t="s">
        <v>7329</v>
      </c>
      <c r="D27429" s="22" t="str">
        <f>HYPERLINK("https://rhld.insurance.arkansas.gov/NPILookup?Npi=1710026257","1710026257")</f>
        <v>1710026257</v>
      </c>
      <c r="E27429" s="1" t="s">
        <v>23073</v>
      </c>
      <c r="F27429" s="2"/>
      <c r="G27429" s="2"/>
      <c r="H27429" s="2"/>
    </row>
    <row r="27430" spans="1:8" x14ac:dyDescent="0.25">
      <c r="A27430" s="1"/>
      <c r="B27430" s="1" t="s">
        <v>7328</v>
      </c>
      <c r="C27430" s="1" t="s">
        <v>7329</v>
      </c>
      <c r="D27430" s="22" t="str">
        <f>HYPERLINK("https://rhld.insurance.arkansas.gov/NPILookup?Npi=1710076948","1710076948")</f>
        <v>1710076948</v>
      </c>
      <c r="E27430" s="1" t="s">
        <v>8025</v>
      </c>
      <c r="F27430" s="2"/>
      <c r="G27430" s="2"/>
      <c r="H27430" s="2"/>
    </row>
    <row r="27431" spans="1:8" x14ac:dyDescent="0.25">
      <c r="A27431" s="1"/>
      <c r="B27431" s="1" t="s">
        <v>7328</v>
      </c>
      <c r="C27431" s="1" t="s">
        <v>7329</v>
      </c>
      <c r="D27431" s="22" t="str">
        <f>HYPERLINK("https://rhld.insurance.arkansas.gov/NPILookup?Npi=1710080163","1710080163")</f>
        <v>1710080163</v>
      </c>
      <c r="E27431" s="1" t="s">
        <v>13488</v>
      </c>
      <c r="F27431" s="2"/>
      <c r="G27431" s="2"/>
      <c r="H27431" s="2"/>
    </row>
    <row r="27432" spans="1:8" x14ac:dyDescent="0.25">
      <c r="A27432" s="1"/>
      <c r="B27432" s="1" t="s">
        <v>7328</v>
      </c>
      <c r="C27432" s="1" t="s">
        <v>7329</v>
      </c>
      <c r="D27432" s="22" t="str">
        <f>HYPERLINK("https://rhld.insurance.arkansas.gov/NPILookup?Npi=1710088158","1710088158")</f>
        <v>1710088158</v>
      </c>
      <c r="E27432" s="1" t="s">
        <v>8026</v>
      </c>
      <c r="F27432" s="2"/>
      <c r="G27432" s="2"/>
      <c r="H27432" s="2"/>
    </row>
    <row r="27433" spans="1:8" x14ac:dyDescent="0.25">
      <c r="A27433" s="1"/>
      <c r="B27433" s="1" t="s">
        <v>7328</v>
      </c>
      <c r="C27433" s="1" t="s">
        <v>7329</v>
      </c>
      <c r="D27433" s="22" t="str">
        <f>HYPERLINK("https://rhld.insurance.arkansas.gov/NPILookup?Npi=1710091988","1710091988")</f>
        <v>1710091988</v>
      </c>
      <c r="E27433" s="1" t="s">
        <v>28270</v>
      </c>
      <c r="F27433" s="2"/>
      <c r="G27433" s="2"/>
      <c r="H27433" s="2"/>
    </row>
    <row r="27434" spans="1:8" x14ac:dyDescent="0.25">
      <c r="A27434" s="1"/>
      <c r="B27434" s="1" t="s">
        <v>7328</v>
      </c>
      <c r="C27434" s="1" t="s">
        <v>7329</v>
      </c>
      <c r="D27434" s="22" t="str">
        <f>HYPERLINK("https://rhld.insurance.arkansas.gov/NPILookup?Npi=1710110051","1710110051")</f>
        <v>1710110051</v>
      </c>
      <c r="E27434" s="1" t="s">
        <v>10767</v>
      </c>
      <c r="F27434" s="2"/>
      <c r="G27434" s="2"/>
      <c r="H27434" s="2"/>
    </row>
    <row r="27435" spans="1:8" x14ac:dyDescent="0.25">
      <c r="A27435" s="1"/>
      <c r="B27435" s="1" t="s">
        <v>7328</v>
      </c>
      <c r="C27435" s="1" t="s">
        <v>7329</v>
      </c>
      <c r="D27435" s="22" t="str">
        <f>HYPERLINK("https://rhld.insurance.arkansas.gov/NPILookup?Npi=1710116801","1710116801")</f>
        <v>1710116801</v>
      </c>
      <c r="E27435" s="1" t="s">
        <v>10419</v>
      </c>
      <c r="F27435" s="2"/>
      <c r="G27435" s="2"/>
      <c r="H27435" s="2"/>
    </row>
    <row r="27436" spans="1:8" x14ac:dyDescent="0.25">
      <c r="A27436" s="1"/>
      <c r="B27436" s="1" t="s">
        <v>7328</v>
      </c>
      <c r="C27436" s="1" t="s">
        <v>7329</v>
      </c>
      <c r="D27436" s="22" t="str">
        <f>HYPERLINK("https://rhld.insurance.arkansas.gov/NPILookup?Npi=1710129770","1710129770")</f>
        <v>1710129770</v>
      </c>
      <c r="E27436" s="1" t="s">
        <v>13489</v>
      </c>
      <c r="F27436" s="2"/>
      <c r="G27436" s="2"/>
      <c r="H27436" s="2"/>
    </row>
    <row r="27437" spans="1:8" x14ac:dyDescent="0.25">
      <c r="A27437" s="1"/>
      <c r="B27437" s="1" t="s">
        <v>7328</v>
      </c>
      <c r="C27437" s="1" t="s">
        <v>7329</v>
      </c>
      <c r="D27437" s="22" t="str">
        <f>HYPERLINK("https://rhld.insurance.arkansas.gov/NPILookup?Npi=1710142864","1710142864")</f>
        <v>1710142864</v>
      </c>
      <c r="E27437" s="1" t="s">
        <v>8027</v>
      </c>
      <c r="F27437" s="2"/>
      <c r="G27437" s="2"/>
      <c r="H27437" s="2"/>
    </row>
    <row r="27438" spans="1:8" x14ac:dyDescent="0.25">
      <c r="A27438" s="1"/>
      <c r="B27438" s="1" t="s">
        <v>7328</v>
      </c>
      <c r="C27438" s="1" t="s">
        <v>7329</v>
      </c>
      <c r="D27438" s="22" t="str">
        <f>HYPERLINK("https://rhld.insurance.arkansas.gov/NPILookup?Npi=1710143565","1710143565")</f>
        <v>1710143565</v>
      </c>
      <c r="E27438" s="1" t="s">
        <v>13490</v>
      </c>
      <c r="F27438" s="2"/>
      <c r="G27438" s="2"/>
      <c r="H27438" s="2"/>
    </row>
    <row r="27439" spans="1:8" x14ac:dyDescent="0.25">
      <c r="A27439" s="1"/>
      <c r="B27439" s="1" t="s">
        <v>7328</v>
      </c>
      <c r="C27439" s="1" t="s">
        <v>7329</v>
      </c>
      <c r="D27439" s="22" t="str">
        <f>HYPERLINK("https://rhld.insurance.arkansas.gov/NPILookup?Npi=1710152640","1710152640")</f>
        <v>1710152640</v>
      </c>
      <c r="E27439" s="1" t="s">
        <v>13491</v>
      </c>
      <c r="F27439" s="2"/>
      <c r="G27439" s="2"/>
      <c r="H27439" s="2"/>
    </row>
    <row r="27440" spans="1:8" x14ac:dyDescent="0.25">
      <c r="A27440" s="1"/>
      <c r="B27440" s="1" t="s">
        <v>7328</v>
      </c>
      <c r="C27440" s="1" t="s">
        <v>7329</v>
      </c>
      <c r="D27440" s="22" t="str">
        <f>HYPERLINK("https://rhld.insurance.arkansas.gov/NPILookup?Npi=1710163373","1710163373")</f>
        <v>1710163373</v>
      </c>
      <c r="E27440" s="1" t="s">
        <v>28271</v>
      </c>
      <c r="F27440" s="2"/>
      <c r="G27440" s="2"/>
      <c r="H27440" s="2"/>
    </row>
    <row r="27441" spans="1:8" x14ac:dyDescent="0.25">
      <c r="A27441" s="1"/>
      <c r="B27441" s="1" t="s">
        <v>7328</v>
      </c>
      <c r="C27441" s="1" t="s">
        <v>7329</v>
      </c>
      <c r="D27441" s="22" t="str">
        <f>HYPERLINK("https://rhld.insurance.arkansas.gov/NPILookup?Npi=1710204128","1710204128")</f>
        <v>1710204128</v>
      </c>
      <c r="E27441" s="1" t="s">
        <v>8028</v>
      </c>
      <c r="F27441" s="2"/>
      <c r="G27441" s="2"/>
      <c r="H27441" s="2"/>
    </row>
    <row r="27442" spans="1:8" x14ac:dyDescent="0.25">
      <c r="A27442" s="1"/>
      <c r="B27442" s="1" t="s">
        <v>7328</v>
      </c>
      <c r="C27442" s="1" t="s">
        <v>7329</v>
      </c>
      <c r="D27442" s="22" t="str">
        <f>HYPERLINK("https://rhld.insurance.arkansas.gov/NPILookup?Npi=1710206313","1710206313")</f>
        <v>1710206313</v>
      </c>
      <c r="E27442" s="1" t="s">
        <v>10420</v>
      </c>
      <c r="F27442" s="2"/>
      <c r="G27442" s="2"/>
      <c r="H27442" s="2"/>
    </row>
    <row r="27443" spans="1:8" x14ac:dyDescent="0.25">
      <c r="A27443" s="1"/>
      <c r="B27443" s="1" t="s">
        <v>7328</v>
      </c>
      <c r="C27443" s="1" t="s">
        <v>7329</v>
      </c>
      <c r="D27443" s="22" t="str">
        <f>HYPERLINK("https://rhld.insurance.arkansas.gov/NPILookup?Npi=1710220959","1710220959")</f>
        <v>1710220959</v>
      </c>
      <c r="E27443" s="1" t="s">
        <v>28272</v>
      </c>
      <c r="F27443" s="2"/>
      <c r="G27443" s="2"/>
      <c r="H27443" s="2"/>
    </row>
    <row r="27444" spans="1:8" x14ac:dyDescent="0.25">
      <c r="A27444" s="1"/>
      <c r="B27444" s="1" t="s">
        <v>7328</v>
      </c>
      <c r="C27444" s="1" t="s">
        <v>7329</v>
      </c>
      <c r="D27444" s="22" t="str">
        <f>HYPERLINK("https://rhld.insurance.arkansas.gov/NPILookup?Npi=1710229059","1710229059")</f>
        <v>1710229059</v>
      </c>
      <c r="E27444" s="1" t="s">
        <v>17812</v>
      </c>
      <c r="F27444" s="2"/>
      <c r="G27444" s="2"/>
      <c r="H27444" s="2"/>
    </row>
    <row r="27445" spans="1:8" x14ac:dyDescent="0.25">
      <c r="A27445" s="1"/>
      <c r="B27445" s="1" t="s">
        <v>7328</v>
      </c>
      <c r="C27445" s="1" t="s">
        <v>7329</v>
      </c>
      <c r="D27445" s="22" t="str">
        <f>HYPERLINK("https://rhld.insurance.arkansas.gov/NPILookup?Npi=1710234737","1710234737")</f>
        <v>1710234737</v>
      </c>
      <c r="E27445" s="1" t="s">
        <v>32336</v>
      </c>
      <c r="F27445" s="2"/>
      <c r="G27445" s="2"/>
      <c r="H27445" s="2"/>
    </row>
    <row r="27446" spans="1:8" x14ac:dyDescent="0.25">
      <c r="A27446" s="1"/>
      <c r="B27446" s="1" t="s">
        <v>7328</v>
      </c>
      <c r="C27446" s="1" t="s">
        <v>7329</v>
      </c>
      <c r="D27446" s="22" t="str">
        <f>HYPERLINK("https://rhld.insurance.arkansas.gov/NPILookup?Npi=1710253208","1710253208")</f>
        <v>1710253208</v>
      </c>
      <c r="E27446" s="1" t="s">
        <v>2405</v>
      </c>
      <c r="F27446" s="2"/>
      <c r="G27446" s="2"/>
      <c r="H27446" s="2"/>
    </row>
    <row r="27447" spans="1:8" x14ac:dyDescent="0.25">
      <c r="A27447" s="1"/>
      <c r="B27447" s="1" t="s">
        <v>7328</v>
      </c>
      <c r="C27447" s="1" t="s">
        <v>7329</v>
      </c>
      <c r="D27447" s="22" t="str">
        <f>HYPERLINK("https://rhld.insurance.arkansas.gov/NPILookup?Npi=1710253612","1710253612")</f>
        <v>1710253612</v>
      </c>
      <c r="E27447" s="1" t="s">
        <v>260</v>
      </c>
      <c r="F27447" s="2"/>
      <c r="G27447" s="2"/>
      <c r="H27447" s="2"/>
    </row>
    <row r="27448" spans="1:8" x14ac:dyDescent="0.25">
      <c r="A27448" s="1"/>
      <c r="B27448" s="1" t="s">
        <v>7328</v>
      </c>
      <c r="C27448" s="1" t="s">
        <v>7329</v>
      </c>
      <c r="D27448" s="22" t="str">
        <f>HYPERLINK("https://rhld.insurance.arkansas.gov/NPILookup?Npi=1710255815","1710255815")</f>
        <v>1710255815</v>
      </c>
      <c r="E27448" s="1" t="s">
        <v>13492</v>
      </c>
      <c r="F27448" s="2"/>
      <c r="G27448" s="2"/>
      <c r="H27448" s="2"/>
    </row>
    <row r="27449" spans="1:8" x14ac:dyDescent="0.25">
      <c r="A27449" s="1"/>
      <c r="B27449" s="1" t="s">
        <v>7328</v>
      </c>
      <c r="C27449" s="1" t="s">
        <v>7329</v>
      </c>
      <c r="D27449" s="22" t="str">
        <f>HYPERLINK("https://rhld.insurance.arkansas.gov/NPILookup?Npi=1710259049","1710259049")</f>
        <v>1710259049</v>
      </c>
      <c r="E27449" s="1" t="s">
        <v>28273</v>
      </c>
      <c r="F27449" s="2"/>
      <c r="G27449" s="2"/>
      <c r="H27449" s="2"/>
    </row>
    <row r="27450" spans="1:8" x14ac:dyDescent="0.25">
      <c r="A27450" s="1"/>
      <c r="B27450" s="1" t="s">
        <v>7328</v>
      </c>
      <c r="C27450" s="1" t="s">
        <v>7329</v>
      </c>
      <c r="D27450" s="22" t="str">
        <f>HYPERLINK("https://rhld.insurance.arkansas.gov/NPILookup?Npi=1710273891","1710273891")</f>
        <v>1710273891</v>
      </c>
      <c r="E27450" s="1" t="s">
        <v>4460</v>
      </c>
      <c r="F27450" s="2"/>
      <c r="G27450" s="2"/>
      <c r="H27450" s="2"/>
    </row>
    <row r="27451" spans="1:8" x14ac:dyDescent="0.25">
      <c r="A27451" s="1"/>
      <c r="B27451" s="1" t="s">
        <v>7328</v>
      </c>
      <c r="C27451" s="1" t="s">
        <v>7329</v>
      </c>
      <c r="D27451" s="22" t="str">
        <f>HYPERLINK("https://rhld.insurance.arkansas.gov/NPILookup?Npi=1710290416","1710290416")</f>
        <v>1710290416</v>
      </c>
      <c r="E27451" s="1" t="s">
        <v>8029</v>
      </c>
      <c r="F27451" s="2"/>
      <c r="G27451" s="2"/>
      <c r="H27451" s="2"/>
    </row>
    <row r="27452" spans="1:8" x14ac:dyDescent="0.25">
      <c r="A27452" s="1"/>
      <c r="B27452" s="1" t="s">
        <v>7328</v>
      </c>
      <c r="C27452" s="1" t="s">
        <v>7329</v>
      </c>
      <c r="D27452" s="22" t="str">
        <f>HYPERLINK("https://rhld.insurance.arkansas.gov/NPILookup?Npi=1710295464","1710295464")</f>
        <v>1710295464</v>
      </c>
      <c r="E27452" s="1" t="s">
        <v>32337</v>
      </c>
      <c r="F27452" s="2"/>
      <c r="G27452" s="2"/>
      <c r="H27452" s="2"/>
    </row>
    <row r="27453" spans="1:8" x14ac:dyDescent="0.25">
      <c r="A27453" s="1"/>
      <c r="B27453" s="1" t="s">
        <v>7328</v>
      </c>
      <c r="C27453" s="1" t="s">
        <v>7329</v>
      </c>
      <c r="D27453" s="22" t="str">
        <f>HYPERLINK("https://rhld.insurance.arkansas.gov/NPILookup?Npi=1710303250","1710303250")</f>
        <v>1710303250</v>
      </c>
      <c r="E27453" s="1" t="s">
        <v>2057</v>
      </c>
      <c r="F27453" s="2"/>
      <c r="G27453" s="2"/>
      <c r="H27453" s="2"/>
    </row>
    <row r="27454" spans="1:8" x14ac:dyDescent="0.25">
      <c r="A27454" s="1"/>
      <c r="B27454" s="1" t="s">
        <v>7328</v>
      </c>
      <c r="C27454" s="1" t="s">
        <v>7329</v>
      </c>
      <c r="D27454" s="22" t="str">
        <f>HYPERLINK("https://rhld.insurance.arkansas.gov/NPILookup?Npi=1710303631","1710303631")</f>
        <v>1710303631</v>
      </c>
      <c r="E27454" s="1" t="s">
        <v>28274</v>
      </c>
      <c r="F27454" s="2"/>
      <c r="G27454" s="2"/>
      <c r="H27454" s="2"/>
    </row>
    <row r="27455" spans="1:8" x14ac:dyDescent="0.25">
      <c r="A27455" s="1"/>
      <c r="B27455" s="1" t="s">
        <v>7328</v>
      </c>
      <c r="C27455" s="1" t="s">
        <v>7329</v>
      </c>
      <c r="D27455" s="22" t="str">
        <f>HYPERLINK("https://rhld.insurance.arkansas.gov/NPILookup?Npi=1710306089","1710306089")</f>
        <v>1710306089</v>
      </c>
      <c r="E27455" s="1" t="s">
        <v>883</v>
      </c>
      <c r="F27455" s="2"/>
      <c r="G27455" s="2"/>
      <c r="H27455" s="2"/>
    </row>
    <row r="27456" spans="1:8" x14ac:dyDescent="0.25">
      <c r="A27456" s="1"/>
      <c r="B27456" s="1" t="s">
        <v>7328</v>
      </c>
      <c r="C27456" s="1" t="s">
        <v>7329</v>
      </c>
      <c r="D27456" s="22" t="str">
        <f>HYPERLINK("https://rhld.insurance.arkansas.gov/NPILookup?Npi=1710307848","1710307848")</f>
        <v>1710307848</v>
      </c>
      <c r="E27456" s="1" t="s">
        <v>276</v>
      </c>
      <c r="F27456" s="2"/>
      <c r="G27456" s="2"/>
      <c r="H27456" s="2"/>
    </row>
    <row r="27457" spans="1:8" x14ac:dyDescent="0.25">
      <c r="A27457" s="1"/>
      <c r="B27457" s="1" t="s">
        <v>7328</v>
      </c>
      <c r="C27457" s="1" t="s">
        <v>7329</v>
      </c>
      <c r="D27457" s="22" t="str">
        <f>HYPERLINK("https://rhld.insurance.arkansas.gov/NPILookup?Npi=1710309877","1710309877")</f>
        <v>1710309877</v>
      </c>
      <c r="E27457" s="1" t="s">
        <v>13493</v>
      </c>
      <c r="F27457" s="2"/>
      <c r="G27457" s="2"/>
      <c r="H27457" s="2"/>
    </row>
    <row r="27458" spans="1:8" x14ac:dyDescent="0.25">
      <c r="A27458" s="1"/>
      <c r="B27458" s="1" t="s">
        <v>7328</v>
      </c>
      <c r="C27458" s="1" t="s">
        <v>7329</v>
      </c>
      <c r="D27458" s="22" t="str">
        <f>HYPERLINK("https://rhld.insurance.arkansas.gov/NPILookup?Npi=1710312285","1710312285")</f>
        <v>1710312285</v>
      </c>
      <c r="E27458" s="1" t="s">
        <v>23081</v>
      </c>
      <c r="F27458" s="2"/>
      <c r="G27458" s="2"/>
      <c r="H27458" s="2"/>
    </row>
    <row r="27459" spans="1:8" x14ac:dyDescent="0.25">
      <c r="A27459" s="1"/>
      <c r="B27459" s="1" t="s">
        <v>7328</v>
      </c>
      <c r="C27459" s="1" t="s">
        <v>7329</v>
      </c>
      <c r="D27459" s="22" t="str">
        <f>HYPERLINK("https://rhld.insurance.arkansas.gov/NPILookup?Npi=1710324116","1710324116")</f>
        <v>1710324116</v>
      </c>
      <c r="E27459" s="1" t="s">
        <v>28275</v>
      </c>
      <c r="F27459" s="2"/>
      <c r="G27459" s="2"/>
      <c r="H27459" s="2"/>
    </row>
    <row r="27460" spans="1:8" x14ac:dyDescent="0.25">
      <c r="A27460" s="1"/>
      <c r="B27460" s="1" t="s">
        <v>7328</v>
      </c>
      <c r="C27460" s="1" t="s">
        <v>7329</v>
      </c>
      <c r="D27460" s="22" t="str">
        <f>HYPERLINK("https://rhld.insurance.arkansas.gov/NPILookup?Npi=1710328844","1710328844")</f>
        <v>1710328844</v>
      </c>
      <c r="E27460" s="1" t="s">
        <v>277</v>
      </c>
      <c r="F27460" s="2"/>
      <c r="G27460" s="2"/>
      <c r="H27460" s="2"/>
    </row>
    <row r="27461" spans="1:8" x14ac:dyDescent="0.25">
      <c r="A27461" s="1"/>
      <c r="B27461" s="1" t="s">
        <v>7328</v>
      </c>
      <c r="C27461" s="1" t="s">
        <v>7329</v>
      </c>
      <c r="D27461" s="22" t="str">
        <f>HYPERLINK("https://rhld.insurance.arkansas.gov/NPILookup?Npi=1710340088","1710340088")</f>
        <v>1710340088</v>
      </c>
      <c r="E27461" s="1" t="s">
        <v>28276</v>
      </c>
      <c r="F27461" s="2"/>
      <c r="G27461" s="2"/>
      <c r="H27461" s="2"/>
    </row>
    <row r="27462" spans="1:8" x14ac:dyDescent="0.25">
      <c r="A27462" s="1"/>
      <c r="B27462" s="1" t="s">
        <v>7328</v>
      </c>
      <c r="C27462" s="1" t="s">
        <v>7329</v>
      </c>
      <c r="D27462" s="22" t="str">
        <f>HYPERLINK("https://rhld.insurance.arkansas.gov/NPILookup?Npi=1710344981","1710344981")</f>
        <v>1710344981</v>
      </c>
      <c r="E27462" s="1" t="s">
        <v>2983</v>
      </c>
      <c r="F27462" s="2"/>
      <c r="G27462" s="2"/>
      <c r="H27462" s="2"/>
    </row>
    <row r="27463" spans="1:8" x14ac:dyDescent="0.25">
      <c r="A27463" s="1"/>
      <c r="B27463" s="1" t="s">
        <v>7328</v>
      </c>
      <c r="C27463" s="1" t="s">
        <v>7329</v>
      </c>
      <c r="D27463" s="22" t="str">
        <f>HYPERLINK("https://rhld.insurance.arkansas.gov/NPILookup?Npi=1710345442","1710345442")</f>
        <v>1710345442</v>
      </c>
      <c r="E27463" s="1" t="s">
        <v>28277</v>
      </c>
      <c r="F27463" s="2"/>
      <c r="G27463" s="2"/>
      <c r="H27463" s="2"/>
    </row>
    <row r="27464" spans="1:8" x14ac:dyDescent="0.25">
      <c r="A27464" s="1"/>
      <c r="B27464" s="1" t="s">
        <v>7328</v>
      </c>
      <c r="C27464" s="1" t="s">
        <v>7329</v>
      </c>
      <c r="D27464" s="22" t="str">
        <f>HYPERLINK("https://rhld.insurance.arkansas.gov/NPILookup?Npi=1710347026","1710347026")</f>
        <v>1710347026</v>
      </c>
      <c r="E27464" s="1" t="s">
        <v>1305</v>
      </c>
      <c r="F27464" s="2"/>
      <c r="G27464" s="2"/>
      <c r="H27464" s="2"/>
    </row>
    <row r="27465" spans="1:8" x14ac:dyDescent="0.25">
      <c r="A27465" s="1"/>
      <c r="B27465" s="1" t="s">
        <v>7328</v>
      </c>
      <c r="C27465" s="1" t="s">
        <v>7329</v>
      </c>
      <c r="D27465" s="22" t="str">
        <f>HYPERLINK("https://rhld.insurance.arkansas.gov/NPILookup?Npi=1710355615","1710355615")</f>
        <v>1710355615</v>
      </c>
      <c r="E27465" s="1" t="s">
        <v>28278</v>
      </c>
      <c r="F27465" s="2"/>
      <c r="G27465" s="2"/>
      <c r="H27465" s="2"/>
    </row>
    <row r="27466" spans="1:8" x14ac:dyDescent="0.25">
      <c r="A27466" s="1"/>
      <c r="B27466" s="1" t="s">
        <v>7328</v>
      </c>
      <c r="C27466" s="1" t="s">
        <v>7329</v>
      </c>
      <c r="D27466" s="22" t="str">
        <f>HYPERLINK("https://rhld.insurance.arkansas.gov/NPILookup?Npi=1710363775","1710363775")</f>
        <v>1710363775</v>
      </c>
      <c r="E27466" s="1" t="s">
        <v>2984</v>
      </c>
      <c r="F27466" s="2"/>
      <c r="G27466" s="2"/>
      <c r="H27466" s="2"/>
    </row>
    <row r="27467" spans="1:8" x14ac:dyDescent="0.25">
      <c r="A27467" s="1"/>
      <c r="B27467" s="1" t="s">
        <v>7328</v>
      </c>
      <c r="C27467" s="1" t="s">
        <v>7329</v>
      </c>
      <c r="D27467" s="22" t="str">
        <f>HYPERLINK("https://rhld.insurance.arkansas.gov/NPILookup?Npi=1710376850","1710376850")</f>
        <v>1710376850</v>
      </c>
      <c r="E27467" s="1" t="s">
        <v>28279</v>
      </c>
      <c r="F27467" s="2"/>
      <c r="G27467" s="2"/>
      <c r="H27467" s="2"/>
    </row>
    <row r="27468" spans="1:8" x14ac:dyDescent="0.25">
      <c r="A27468" s="1"/>
      <c r="B27468" s="1" t="s">
        <v>7328</v>
      </c>
      <c r="C27468" s="1" t="s">
        <v>7329</v>
      </c>
      <c r="D27468" s="22" t="str">
        <f>HYPERLINK("https://rhld.insurance.arkansas.gov/NPILookup?Npi=1710381082","1710381082")</f>
        <v>1710381082</v>
      </c>
      <c r="E27468" s="1" t="s">
        <v>28280</v>
      </c>
      <c r="F27468" s="2"/>
      <c r="G27468" s="2"/>
      <c r="H27468" s="2"/>
    </row>
    <row r="27469" spans="1:8" x14ac:dyDescent="0.25">
      <c r="A27469" s="1"/>
      <c r="B27469" s="1" t="s">
        <v>7328</v>
      </c>
      <c r="C27469" s="1" t="s">
        <v>7329</v>
      </c>
      <c r="D27469" s="22" t="str">
        <f>HYPERLINK("https://rhld.insurance.arkansas.gov/NPILookup?Npi=1710388020","1710388020")</f>
        <v>1710388020</v>
      </c>
      <c r="E27469" s="1" t="s">
        <v>28281</v>
      </c>
      <c r="F27469" s="2"/>
      <c r="G27469" s="2"/>
      <c r="H27469" s="2"/>
    </row>
    <row r="27470" spans="1:8" x14ac:dyDescent="0.25">
      <c r="A27470" s="1"/>
      <c r="B27470" s="1" t="s">
        <v>7328</v>
      </c>
      <c r="C27470" s="1" t="s">
        <v>7329</v>
      </c>
      <c r="D27470" s="22" t="str">
        <f>HYPERLINK("https://rhld.insurance.arkansas.gov/NPILookup?Npi=1710390158","1710390158")</f>
        <v>1710390158</v>
      </c>
      <c r="E27470" s="1" t="s">
        <v>771</v>
      </c>
      <c r="F27470" s="2"/>
      <c r="G27470" s="2"/>
      <c r="H27470" s="2"/>
    </row>
    <row r="27471" spans="1:8" x14ac:dyDescent="0.25">
      <c r="A27471" s="1"/>
      <c r="B27471" s="1" t="s">
        <v>7328</v>
      </c>
      <c r="C27471" s="1" t="s">
        <v>7329</v>
      </c>
      <c r="D27471" s="22" t="str">
        <f>HYPERLINK("https://rhld.insurance.arkansas.gov/NPILookup?Npi=1710400940","1710400940")</f>
        <v>1710400940</v>
      </c>
      <c r="E27471" s="1" t="s">
        <v>884</v>
      </c>
      <c r="F27471" s="2"/>
      <c r="G27471" s="2"/>
      <c r="H27471" s="2"/>
    </row>
    <row r="27472" spans="1:8" x14ac:dyDescent="0.25">
      <c r="A27472" s="1"/>
      <c r="B27472" s="1" t="s">
        <v>7328</v>
      </c>
      <c r="C27472" s="1" t="s">
        <v>7329</v>
      </c>
      <c r="D27472" s="22" t="str">
        <f>HYPERLINK("https://rhld.insurance.arkansas.gov/NPILookup?Npi=1710402870","1710402870")</f>
        <v>1710402870</v>
      </c>
      <c r="E27472" s="1" t="s">
        <v>28282</v>
      </c>
      <c r="F27472" s="2"/>
      <c r="G27472" s="2"/>
      <c r="H27472" s="2"/>
    </row>
    <row r="27473" spans="1:8" x14ac:dyDescent="0.25">
      <c r="A27473" s="1"/>
      <c r="B27473" s="1" t="s">
        <v>7328</v>
      </c>
      <c r="C27473" s="1" t="s">
        <v>7329</v>
      </c>
      <c r="D27473" s="22" t="str">
        <f>HYPERLINK("https://rhld.insurance.arkansas.gov/NPILookup?Npi=1710409883","1710409883")</f>
        <v>1710409883</v>
      </c>
      <c r="E27473" s="1" t="s">
        <v>13494</v>
      </c>
      <c r="F27473" s="2"/>
      <c r="G27473" s="2"/>
      <c r="H27473" s="2"/>
    </row>
    <row r="27474" spans="1:8" x14ac:dyDescent="0.25">
      <c r="A27474" s="1"/>
      <c r="B27474" s="1" t="s">
        <v>7328</v>
      </c>
      <c r="C27474" s="1" t="s">
        <v>7329</v>
      </c>
      <c r="D27474" s="22" t="str">
        <f>HYPERLINK("https://rhld.insurance.arkansas.gov/NPILookup?Npi=1710424197","1710424197")</f>
        <v>1710424197</v>
      </c>
      <c r="E27474" s="1" t="s">
        <v>13495</v>
      </c>
      <c r="F27474" s="2"/>
      <c r="G27474" s="2"/>
      <c r="H27474" s="2"/>
    </row>
    <row r="27475" spans="1:8" x14ac:dyDescent="0.25">
      <c r="A27475" s="1"/>
      <c r="B27475" s="1" t="s">
        <v>7328</v>
      </c>
      <c r="C27475" s="1" t="s">
        <v>7329</v>
      </c>
      <c r="D27475" s="22" t="str">
        <f>HYPERLINK("https://rhld.insurance.arkansas.gov/NPILookup?Npi=1710428958","1710428958")</f>
        <v>1710428958</v>
      </c>
      <c r="E27475" s="1" t="s">
        <v>17814</v>
      </c>
      <c r="F27475" s="2"/>
      <c r="G27475" s="2"/>
      <c r="H27475" s="2"/>
    </row>
    <row r="27476" spans="1:8" x14ac:dyDescent="0.25">
      <c r="A27476" s="1"/>
      <c r="B27476" s="1" t="s">
        <v>7328</v>
      </c>
      <c r="C27476" s="1" t="s">
        <v>7329</v>
      </c>
      <c r="D27476" s="22" t="str">
        <f>HYPERLINK("https://rhld.insurance.arkansas.gov/NPILookup?Npi=1710430582","1710430582")</f>
        <v>1710430582</v>
      </c>
      <c r="E27476" s="1" t="s">
        <v>28283</v>
      </c>
      <c r="F27476" s="2"/>
      <c r="G27476" s="2"/>
      <c r="H27476" s="2"/>
    </row>
    <row r="27477" spans="1:8" x14ac:dyDescent="0.25">
      <c r="A27477" s="1"/>
      <c r="B27477" s="1" t="s">
        <v>7328</v>
      </c>
      <c r="C27477" s="1" t="s">
        <v>7329</v>
      </c>
      <c r="D27477" s="22" t="str">
        <f>HYPERLINK("https://rhld.insurance.arkansas.gov/NPILookup?Npi=1710443544","1710443544")</f>
        <v>1710443544</v>
      </c>
      <c r="E27477" s="1" t="s">
        <v>28284</v>
      </c>
      <c r="F27477" s="2"/>
      <c r="G27477" s="2"/>
      <c r="H27477" s="2"/>
    </row>
    <row r="27478" spans="1:8" x14ac:dyDescent="0.25">
      <c r="A27478" s="1"/>
      <c r="B27478" s="1" t="s">
        <v>7328</v>
      </c>
      <c r="C27478" s="1" t="s">
        <v>7329</v>
      </c>
      <c r="D27478" s="22" t="str">
        <f>HYPERLINK("https://rhld.insurance.arkansas.gov/NPILookup?Npi=1710448535","1710448535")</f>
        <v>1710448535</v>
      </c>
      <c r="E27478" s="1" t="s">
        <v>1399</v>
      </c>
      <c r="F27478" s="2"/>
      <c r="G27478" s="2"/>
      <c r="H27478" s="2"/>
    </row>
    <row r="27479" spans="1:8" x14ac:dyDescent="0.25">
      <c r="A27479" s="1"/>
      <c r="B27479" s="1" t="s">
        <v>7328</v>
      </c>
      <c r="C27479" s="1" t="s">
        <v>7329</v>
      </c>
      <c r="D27479" s="22" t="str">
        <f>HYPERLINK("https://rhld.insurance.arkansas.gov/NPILookup?Npi=1710454962","1710454962")</f>
        <v>1710454962</v>
      </c>
      <c r="E27479" s="1" t="s">
        <v>13496</v>
      </c>
      <c r="F27479" s="2"/>
      <c r="G27479" s="2"/>
      <c r="H27479" s="2"/>
    </row>
    <row r="27480" spans="1:8" x14ac:dyDescent="0.25">
      <c r="A27480" s="1"/>
      <c r="B27480" s="1" t="s">
        <v>7328</v>
      </c>
      <c r="C27480" s="1" t="s">
        <v>7329</v>
      </c>
      <c r="D27480" s="22" t="str">
        <f>HYPERLINK("https://rhld.insurance.arkansas.gov/NPILookup?Npi=1710455720","1710455720")</f>
        <v>1710455720</v>
      </c>
      <c r="E27480" s="1" t="s">
        <v>8030</v>
      </c>
      <c r="F27480" s="2"/>
      <c r="G27480" s="2"/>
      <c r="H27480" s="2"/>
    </row>
    <row r="27481" spans="1:8" x14ac:dyDescent="0.25">
      <c r="A27481" s="1"/>
      <c r="B27481" s="1" t="s">
        <v>7328</v>
      </c>
      <c r="C27481" s="1" t="s">
        <v>7329</v>
      </c>
      <c r="D27481" s="22" t="str">
        <f>HYPERLINK("https://rhld.insurance.arkansas.gov/NPILookup?Npi=1710462056","1710462056")</f>
        <v>1710462056</v>
      </c>
      <c r="E27481" s="1" t="s">
        <v>2058</v>
      </c>
      <c r="F27481" s="2"/>
      <c r="G27481" s="2"/>
      <c r="H27481" s="2"/>
    </row>
    <row r="27482" spans="1:8" x14ac:dyDescent="0.25">
      <c r="A27482" s="1"/>
      <c r="B27482" s="1" t="s">
        <v>7328</v>
      </c>
      <c r="C27482" s="1" t="s">
        <v>7329</v>
      </c>
      <c r="D27482" s="22" t="str">
        <f>HYPERLINK("https://rhld.insurance.arkansas.gov/NPILookup?Npi=1710463856","1710463856")</f>
        <v>1710463856</v>
      </c>
      <c r="E27482" s="1" t="s">
        <v>28285</v>
      </c>
      <c r="F27482" s="2"/>
      <c r="G27482" s="2"/>
      <c r="H27482" s="2"/>
    </row>
    <row r="27483" spans="1:8" x14ac:dyDescent="0.25">
      <c r="A27483" s="1"/>
      <c r="B27483" s="1" t="s">
        <v>7328</v>
      </c>
      <c r="C27483" s="1" t="s">
        <v>7329</v>
      </c>
      <c r="D27483" s="22" t="str">
        <f>HYPERLINK("https://rhld.insurance.arkansas.gov/NPILookup?Npi=1710469259","1710469259")</f>
        <v>1710469259</v>
      </c>
      <c r="E27483" s="1" t="s">
        <v>28286</v>
      </c>
      <c r="F27483" s="2"/>
      <c r="G27483" s="2"/>
      <c r="H27483" s="2"/>
    </row>
    <row r="27484" spans="1:8" x14ac:dyDescent="0.25">
      <c r="A27484" s="1"/>
      <c r="B27484" s="1" t="s">
        <v>7328</v>
      </c>
      <c r="C27484" s="1" t="s">
        <v>7329</v>
      </c>
      <c r="D27484" s="22" t="str">
        <f>HYPERLINK("https://rhld.insurance.arkansas.gov/NPILookup?Npi=1710472444","1710472444")</f>
        <v>1710472444</v>
      </c>
      <c r="E27484" s="1" t="s">
        <v>28287</v>
      </c>
      <c r="F27484" s="2"/>
      <c r="G27484" s="2"/>
      <c r="H27484" s="2"/>
    </row>
    <row r="27485" spans="1:8" x14ac:dyDescent="0.25">
      <c r="A27485" s="1"/>
      <c r="B27485" s="1" t="s">
        <v>7328</v>
      </c>
      <c r="C27485" s="1" t="s">
        <v>7329</v>
      </c>
      <c r="D27485" s="22" t="str">
        <f>HYPERLINK("https://rhld.insurance.arkansas.gov/NPILookup?Npi=1710472790","1710472790")</f>
        <v>1710472790</v>
      </c>
      <c r="E27485" s="1" t="s">
        <v>8031</v>
      </c>
      <c r="F27485" s="2"/>
      <c r="G27485" s="2"/>
      <c r="H27485" s="2"/>
    </row>
    <row r="27486" spans="1:8" x14ac:dyDescent="0.25">
      <c r="A27486" s="1"/>
      <c r="B27486" s="1" t="s">
        <v>7328</v>
      </c>
      <c r="C27486" s="1" t="s">
        <v>7329</v>
      </c>
      <c r="D27486" s="22" t="str">
        <f>HYPERLINK("https://rhld.insurance.arkansas.gov/NPILookup?Npi=1710473111","1710473111")</f>
        <v>1710473111</v>
      </c>
      <c r="E27486" s="1" t="s">
        <v>28288</v>
      </c>
      <c r="F27486" s="2"/>
      <c r="G27486" s="2"/>
      <c r="H27486" s="2"/>
    </row>
    <row r="27487" spans="1:8" x14ac:dyDescent="0.25">
      <c r="A27487" s="1"/>
      <c r="B27487" s="1" t="s">
        <v>7328</v>
      </c>
      <c r="C27487" s="1" t="s">
        <v>7329</v>
      </c>
      <c r="D27487" s="22" t="str">
        <f>HYPERLINK("https://rhld.insurance.arkansas.gov/NPILookup?Npi=1710474655","1710474655")</f>
        <v>1710474655</v>
      </c>
      <c r="E27487" s="1" t="s">
        <v>28289</v>
      </c>
      <c r="F27487" s="2"/>
      <c r="G27487" s="2"/>
      <c r="H27487" s="2"/>
    </row>
    <row r="27488" spans="1:8" x14ac:dyDescent="0.25">
      <c r="A27488" s="1"/>
      <c r="B27488" s="1" t="s">
        <v>7328</v>
      </c>
      <c r="C27488" s="1" t="s">
        <v>7329</v>
      </c>
      <c r="D27488" s="22" t="str">
        <f>HYPERLINK("https://rhld.insurance.arkansas.gov/NPILookup?Npi=1710482187","1710482187")</f>
        <v>1710482187</v>
      </c>
      <c r="E27488" s="1" t="s">
        <v>28290</v>
      </c>
      <c r="F27488" s="2"/>
      <c r="G27488" s="2"/>
      <c r="H27488" s="2"/>
    </row>
    <row r="27489" spans="1:8" x14ac:dyDescent="0.25">
      <c r="A27489" s="1"/>
      <c r="B27489" s="1" t="s">
        <v>7328</v>
      </c>
      <c r="C27489" s="1" t="s">
        <v>7329</v>
      </c>
      <c r="D27489" s="22" t="str">
        <f>HYPERLINK("https://rhld.insurance.arkansas.gov/NPILookup?Npi=1710491691","1710491691")</f>
        <v>1710491691</v>
      </c>
      <c r="E27489" s="1" t="s">
        <v>1038</v>
      </c>
      <c r="F27489" s="2"/>
      <c r="G27489" s="2"/>
      <c r="H27489" s="2"/>
    </row>
    <row r="27490" spans="1:8" x14ac:dyDescent="0.25">
      <c r="A27490" s="1"/>
      <c r="B27490" s="1" t="s">
        <v>7328</v>
      </c>
      <c r="C27490" s="1" t="s">
        <v>7329</v>
      </c>
      <c r="D27490" s="22" t="str">
        <f>HYPERLINK("https://rhld.insurance.arkansas.gov/NPILookup?Npi=1710496542","1710496542")</f>
        <v>1710496542</v>
      </c>
      <c r="E27490" s="1" t="s">
        <v>28291</v>
      </c>
      <c r="F27490" s="2"/>
      <c r="G27490" s="2"/>
      <c r="H27490" s="2"/>
    </row>
    <row r="27491" spans="1:8" x14ac:dyDescent="0.25">
      <c r="A27491" s="1"/>
      <c r="B27491" s="1" t="s">
        <v>7328</v>
      </c>
      <c r="C27491" s="1" t="s">
        <v>7329</v>
      </c>
      <c r="D27491" s="22" t="str">
        <f>HYPERLINK("https://rhld.insurance.arkansas.gov/NPILookup?Npi=1710497441","1710497441")</f>
        <v>1710497441</v>
      </c>
      <c r="E27491" s="1" t="s">
        <v>8032</v>
      </c>
      <c r="F27491" s="2"/>
      <c r="G27491" s="2"/>
      <c r="H27491" s="2"/>
    </row>
    <row r="27492" spans="1:8" x14ac:dyDescent="0.25">
      <c r="A27492" s="1"/>
      <c r="B27492" s="1" t="s">
        <v>7328</v>
      </c>
      <c r="C27492" s="1" t="s">
        <v>7329</v>
      </c>
      <c r="D27492" s="22" t="str">
        <f>HYPERLINK("https://rhld.insurance.arkansas.gov/NPILookup?Npi=1710498746","1710498746")</f>
        <v>1710498746</v>
      </c>
      <c r="E27492" s="1" t="s">
        <v>28292</v>
      </c>
      <c r="F27492" s="2"/>
      <c r="G27492" s="2"/>
      <c r="H27492" s="2"/>
    </row>
    <row r="27493" spans="1:8" x14ac:dyDescent="0.25">
      <c r="A27493" s="1"/>
      <c r="B27493" s="1" t="s">
        <v>7328</v>
      </c>
      <c r="C27493" s="1" t="s">
        <v>7329</v>
      </c>
      <c r="D27493" s="22" t="str">
        <f>HYPERLINK("https://rhld.insurance.arkansas.gov/NPILookup?Npi=1710498837","1710498837")</f>
        <v>1710498837</v>
      </c>
      <c r="E27493" s="1" t="s">
        <v>863</v>
      </c>
      <c r="F27493" s="2"/>
      <c r="G27493" s="2"/>
      <c r="H27493" s="2"/>
    </row>
    <row r="27494" spans="1:8" x14ac:dyDescent="0.25">
      <c r="A27494" s="1"/>
      <c r="B27494" s="1" t="s">
        <v>7328</v>
      </c>
      <c r="C27494" s="1" t="s">
        <v>7329</v>
      </c>
      <c r="D27494" s="22" t="str">
        <f>HYPERLINK("https://rhld.insurance.arkansas.gov/NPILookup?Npi=1710504931","1710504931")</f>
        <v>1710504931</v>
      </c>
      <c r="E27494" s="1" t="s">
        <v>8033</v>
      </c>
      <c r="F27494" s="2"/>
      <c r="G27494" s="2"/>
      <c r="H27494" s="2"/>
    </row>
    <row r="27495" spans="1:8" x14ac:dyDescent="0.25">
      <c r="A27495" s="1"/>
      <c r="B27495" s="1" t="s">
        <v>7328</v>
      </c>
      <c r="C27495" s="1" t="s">
        <v>7329</v>
      </c>
      <c r="D27495" s="22" t="str">
        <f>HYPERLINK("https://rhld.insurance.arkansas.gov/NPILookup?Npi=1710505391","1710505391")</f>
        <v>1710505391</v>
      </c>
      <c r="E27495" s="1" t="s">
        <v>13497</v>
      </c>
      <c r="F27495" s="2"/>
      <c r="G27495" s="2"/>
      <c r="H27495" s="2"/>
    </row>
    <row r="27496" spans="1:8" x14ac:dyDescent="0.25">
      <c r="A27496" s="1"/>
      <c r="B27496" s="1" t="s">
        <v>7328</v>
      </c>
      <c r="C27496" s="1" t="s">
        <v>7329</v>
      </c>
      <c r="D27496" s="22" t="str">
        <f>HYPERLINK("https://rhld.insurance.arkansas.gov/NPILookup?Npi=1710515366","1710515366")</f>
        <v>1710515366</v>
      </c>
      <c r="E27496" s="1" t="s">
        <v>8034</v>
      </c>
      <c r="F27496" s="2"/>
      <c r="G27496" s="2"/>
      <c r="H27496" s="2"/>
    </row>
    <row r="27497" spans="1:8" x14ac:dyDescent="0.25">
      <c r="A27497" s="1"/>
      <c r="B27497" s="1" t="s">
        <v>7328</v>
      </c>
      <c r="C27497" s="1" t="s">
        <v>7329</v>
      </c>
      <c r="D27497" s="22" t="str">
        <f>HYPERLINK("https://rhld.insurance.arkansas.gov/NPILookup?Npi=1710519673","1710519673")</f>
        <v>1710519673</v>
      </c>
      <c r="E27497" s="1" t="s">
        <v>1582</v>
      </c>
      <c r="F27497" s="2"/>
      <c r="G27497" s="2"/>
      <c r="H27497" s="2"/>
    </row>
    <row r="27498" spans="1:8" x14ac:dyDescent="0.25">
      <c r="A27498" s="1"/>
      <c r="B27498" s="1" t="s">
        <v>7328</v>
      </c>
      <c r="C27498" s="1" t="s">
        <v>7329</v>
      </c>
      <c r="D27498" s="22" t="str">
        <f>HYPERLINK("https://rhld.insurance.arkansas.gov/NPILookup?Npi=1710525720","1710525720")</f>
        <v>1710525720</v>
      </c>
      <c r="E27498" s="1" t="s">
        <v>28293</v>
      </c>
      <c r="F27498" s="2"/>
      <c r="G27498" s="2"/>
      <c r="H27498" s="2"/>
    </row>
    <row r="27499" spans="1:8" x14ac:dyDescent="0.25">
      <c r="A27499" s="1"/>
      <c r="B27499" s="1" t="s">
        <v>7328</v>
      </c>
      <c r="C27499" s="1" t="s">
        <v>7329</v>
      </c>
      <c r="D27499" s="22" t="str">
        <f>HYPERLINK("https://rhld.insurance.arkansas.gov/NPILookup?Npi=1710531389","1710531389")</f>
        <v>1710531389</v>
      </c>
      <c r="E27499" s="1" t="s">
        <v>13498</v>
      </c>
      <c r="F27499" s="2"/>
      <c r="G27499" s="2"/>
      <c r="H27499" s="2"/>
    </row>
    <row r="27500" spans="1:8" x14ac:dyDescent="0.25">
      <c r="A27500" s="1"/>
      <c r="B27500" s="1" t="s">
        <v>7328</v>
      </c>
      <c r="C27500" s="1" t="s">
        <v>7329</v>
      </c>
      <c r="D27500" s="22" t="str">
        <f>HYPERLINK("https://rhld.insurance.arkansas.gov/NPILookup?Npi=1710532916","1710532916")</f>
        <v>1710532916</v>
      </c>
      <c r="E27500" s="1" t="s">
        <v>8035</v>
      </c>
      <c r="F27500" s="2"/>
      <c r="G27500" s="2"/>
      <c r="H27500" s="2"/>
    </row>
    <row r="27501" spans="1:8" x14ac:dyDescent="0.25">
      <c r="A27501" s="1"/>
      <c r="B27501" s="1" t="s">
        <v>7328</v>
      </c>
      <c r="C27501" s="1" t="s">
        <v>7329</v>
      </c>
      <c r="D27501" s="22" t="str">
        <f>HYPERLINK("https://rhld.insurance.arkansas.gov/NPILookup?Npi=1710548391","1710548391")</f>
        <v>1710548391</v>
      </c>
      <c r="E27501" s="1" t="s">
        <v>28294</v>
      </c>
      <c r="F27501" s="2"/>
      <c r="G27501" s="2"/>
      <c r="H27501" s="2"/>
    </row>
    <row r="27502" spans="1:8" x14ac:dyDescent="0.25">
      <c r="A27502" s="1"/>
      <c r="B27502" s="1" t="s">
        <v>7328</v>
      </c>
      <c r="C27502" s="1" t="s">
        <v>7329</v>
      </c>
      <c r="D27502" s="22" t="str">
        <f>HYPERLINK("https://rhld.insurance.arkansas.gov/NPILookup?Npi=1710563259","1710563259")</f>
        <v>1710563259</v>
      </c>
      <c r="E27502" s="1" t="s">
        <v>13499</v>
      </c>
      <c r="F27502" s="2"/>
      <c r="G27502" s="2"/>
      <c r="H27502" s="2"/>
    </row>
    <row r="27503" spans="1:8" x14ac:dyDescent="0.25">
      <c r="A27503" s="1"/>
      <c r="B27503" s="1" t="s">
        <v>7328</v>
      </c>
      <c r="C27503" s="1" t="s">
        <v>7329</v>
      </c>
      <c r="D27503" s="22" t="str">
        <f>HYPERLINK("https://rhld.insurance.arkansas.gov/NPILookup?Npi=1710578703","1710578703")</f>
        <v>1710578703</v>
      </c>
      <c r="E27503" s="1" t="s">
        <v>28295</v>
      </c>
      <c r="F27503" s="2"/>
      <c r="G27503" s="2"/>
      <c r="H27503" s="2"/>
    </row>
    <row r="27504" spans="1:8" x14ac:dyDescent="0.25">
      <c r="A27504" s="1"/>
      <c r="B27504" s="1" t="s">
        <v>7328</v>
      </c>
      <c r="C27504" s="1" t="s">
        <v>7329</v>
      </c>
      <c r="D27504" s="22" t="str">
        <f>HYPERLINK("https://rhld.insurance.arkansas.gov/NPILookup?Npi=1710583596","1710583596")</f>
        <v>1710583596</v>
      </c>
      <c r="E27504" s="1" t="s">
        <v>28296</v>
      </c>
      <c r="F27504" s="2"/>
      <c r="G27504" s="2"/>
      <c r="H27504" s="2"/>
    </row>
    <row r="27505" spans="1:8" x14ac:dyDescent="0.25">
      <c r="A27505" s="1"/>
      <c r="B27505" s="1" t="s">
        <v>7328</v>
      </c>
      <c r="C27505" s="1" t="s">
        <v>7329</v>
      </c>
      <c r="D27505" s="22" t="str">
        <f>HYPERLINK("https://rhld.insurance.arkansas.gov/NPILookup?Npi=1710588462","1710588462")</f>
        <v>1710588462</v>
      </c>
      <c r="E27505" s="1" t="s">
        <v>28297</v>
      </c>
      <c r="F27505" s="2"/>
      <c r="G27505" s="2"/>
      <c r="H27505" s="2"/>
    </row>
    <row r="27506" spans="1:8" x14ac:dyDescent="0.25">
      <c r="A27506" s="1"/>
      <c r="B27506" s="1" t="s">
        <v>7328</v>
      </c>
      <c r="C27506" s="1" t="s">
        <v>7329</v>
      </c>
      <c r="D27506" s="22" t="str">
        <f>HYPERLINK("https://rhld.insurance.arkansas.gov/NPILookup?Npi=1710591201","1710591201")</f>
        <v>1710591201</v>
      </c>
      <c r="E27506" s="1" t="s">
        <v>28298</v>
      </c>
      <c r="F27506" s="2"/>
      <c r="G27506" s="2"/>
      <c r="H27506" s="2"/>
    </row>
    <row r="27507" spans="1:8" x14ac:dyDescent="0.25">
      <c r="A27507" s="1"/>
      <c r="B27507" s="1" t="s">
        <v>7328</v>
      </c>
      <c r="C27507" s="1" t="s">
        <v>7329</v>
      </c>
      <c r="D27507" s="22" t="str">
        <f>HYPERLINK("https://rhld.insurance.arkansas.gov/NPILookup?Npi=1710605241","1710605241")</f>
        <v>1710605241</v>
      </c>
      <c r="E27507" s="1" t="s">
        <v>8036</v>
      </c>
      <c r="F27507" s="2"/>
      <c r="G27507" s="2"/>
      <c r="H27507" s="2"/>
    </row>
    <row r="27508" spans="1:8" x14ac:dyDescent="0.25">
      <c r="A27508" s="1"/>
      <c r="B27508" s="1" t="s">
        <v>7328</v>
      </c>
      <c r="C27508" s="1" t="s">
        <v>7329</v>
      </c>
      <c r="D27508" s="22" t="str">
        <f>HYPERLINK("https://rhld.insurance.arkansas.gov/NPILookup?Npi=1710612718","1710612718")</f>
        <v>1710612718</v>
      </c>
      <c r="E27508" s="1" t="s">
        <v>28299</v>
      </c>
      <c r="F27508" s="2"/>
      <c r="G27508" s="2"/>
      <c r="H27508" s="2"/>
    </row>
    <row r="27509" spans="1:8" x14ac:dyDescent="0.25">
      <c r="A27509" s="1"/>
      <c r="B27509" s="1" t="s">
        <v>7328</v>
      </c>
      <c r="C27509" s="1" t="s">
        <v>7329</v>
      </c>
      <c r="D27509" s="22" t="str">
        <f>HYPERLINK("https://rhld.insurance.arkansas.gov/NPILookup?Npi=1710619085","1710619085")</f>
        <v>1710619085</v>
      </c>
      <c r="E27509" s="1" t="s">
        <v>31537</v>
      </c>
      <c r="F27509" s="2"/>
      <c r="G27509" s="2"/>
      <c r="H27509" s="2"/>
    </row>
    <row r="27510" spans="1:8" x14ac:dyDescent="0.25">
      <c r="A27510" s="1"/>
      <c r="B27510" s="1" t="s">
        <v>7328</v>
      </c>
      <c r="C27510" s="1" t="s">
        <v>7329</v>
      </c>
      <c r="D27510" s="22" t="str">
        <f>HYPERLINK("https://rhld.insurance.arkansas.gov/NPILookup?Npi=1710619622","1710619622")</f>
        <v>1710619622</v>
      </c>
      <c r="E27510" s="1" t="s">
        <v>28300</v>
      </c>
      <c r="F27510" s="2"/>
      <c r="G27510" s="2"/>
      <c r="H27510" s="2"/>
    </row>
    <row r="27511" spans="1:8" x14ac:dyDescent="0.25">
      <c r="A27511" s="1"/>
      <c r="B27511" s="1" t="s">
        <v>7328</v>
      </c>
      <c r="C27511" s="1" t="s">
        <v>7329</v>
      </c>
      <c r="D27511" s="22" t="str">
        <f>HYPERLINK("https://rhld.insurance.arkansas.gov/NPILookup?Npi=1710640800","1710640800")</f>
        <v>1710640800</v>
      </c>
      <c r="E27511" s="1" t="s">
        <v>8037</v>
      </c>
      <c r="F27511" s="2"/>
      <c r="G27511" s="2"/>
      <c r="H27511" s="2"/>
    </row>
    <row r="27512" spans="1:8" x14ac:dyDescent="0.25">
      <c r="A27512" s="1"/>
      <c r="B27512" s="1" t="s">
        <v>7328</v>
      </c>
      <c r="C27512" s="1" t="s">
        <v>7329</v>
      </c>
      <c r="D27512" s="22" t="str">
        <f>HYPERLINK("https://rhld.insurance.arkansas.gov/NPILookup?Npi=1710647979","1710647979")</f>
        <v>1710647979</v>
      </c>
      <c r="E27512" s="1" t="s">
        <v>28301</v>
      </c>
      <c r="F27512" s="2"/>
      <c r="G27512" s="2"/>
      <c r="H27512" s="2"/>
    </row>
    <row r="27513" spans="1:8" x14ac:dyDescent="0.25">
      <c r="A27513" s="1"/>
      <c r="B27513" s="1" t="s">
        <v>7328</v>
      </c>
      <c r="C27513" s="1" t="s">
        <v>7329</v>
      </c>
      <c r="D27513" s="22" t="str">
        <f>HYPERLINK("https://rhld.insurance.arkansas.gov/NPILookup?Npi=1710648050","1710648050")</f>
        <v>1710648050</v>
      </c>
      <c r="E27513" s="1" t="s">
        <v>8038</v>
      </c>
      <c r="F27513" s="2"/>
      <c r="G27513" s="2"/>
      <c r="H27513" s="2"/>
    </row>
    <row r="27514" spans="1:8" x14ac:dyDescent="0.25">
      <c r="A27514" s="1"/>
      <c r="B27514" s="1" t="s">
        <v>7328</v>
      </c>
      <c r="C27514" s="1" t="s">
        <v>7329</v>
      </c>
      <c r="D27514" s="22" t="str">
        <f>HYPERLINK("https://rhld.insurance.arkansas.gov/NPILookup?Npi=1710649652","1710649652")</f>
        <v>1710649652</v>
      </c>
      <c r="E27514" s="1" t="s">
        <v>32338</v>
      </c>
      <c r="F27514" s="2"/>
      <c r="G27514" s="2"/>
      <c r="H27514" s="2"/>
    </row>
    <row r="27515" spans="1:8" x14ac:dyDescent="0.25">
      <c r="A27515" s="1"/>
      <c r="B27515" s="1" t="s">
        <v>7328</v>
      </c>
      <c r="C27515" s="1" t="s">
        <v>7329</v>
      </c>
      <c r="D27515" s="22" t="str">
        <f>HYPERLINK("https://rhld.insurance.arkansas.gov/NPILookup?Npi=1710657952","1710657952")</f>
        <v>1710657952</v>
      </c>
      <c r="E27515" s="1" t="s">
        <v>8039</v>
      </c>
      <c r="F27515" s="2"/>
      <c r="G27515" s="2"/>
      <c r="H27515" s="2"/>
    </row>
    <row r="27516" spans="1:8" x14ac:dyDescent="0.25">
      <c r="A27516" s="1"/>
      <c r="B27516" s="1" t="s">
        <v>7328</v>
      </c>
      <c r="C27516" s="1" t="s">
        <v>7329</v>
      </c>
      <c r="D27516" s="22" t="str">
        <f>HYPERLINK("https://rhld.insurance.arkansas.gov/NPILookup?Npi=1710660949","1710660949")</f>
        <v>1710660949</v>
      </c>
      <c r="E27516" s="1" t="s">
        <v>13500</v>
      </c>
      <c r="F27516" s="2"/>
      <c r="G27516" s="2"/>
      <c r="H27516" s="2"/>
    </row>
    <row r="27517" spans="1:8" x14ac:dyDescent="0.25">
      <c r="A27517" s="1"/>
      <c r="B27517" s="1" t="s">
        <v>7328</v>
      </c>
      <c r="C27517" s="1" t="s">
        <v>7329</v>
      </c>
      <c r="D27517" s="22" t="str">
        <f>HYPERLINK("https://rhld.insurance.arkansas.gov/NPILookup?Npi=1710664230","1710664230")</f>
        <v>1710664230</v>
      </c>
      <c r="E27517" s="1" t="s">
        <v>28302</v>
      </c>
      <c r="F27517" s="2"/>
      <c r="G27517" s="2"/>
      <c r="H27517" s="2"/>
    </row>
    <row r="27518" spans="1:8" x14ac:dyDescent="0.25">
      <c r="A27518" s="1"/>
      <c r="B27518" s="1" t="s">
        <v>7328</v>
      </c>
      <c r="C27518" s="1" t="s">
        <v>7329</v>
      </c>
      <c r="D27518" s="22" t="str">
        <f>HYPERLINK("https://rhld.insurance.arkansas.gov/NPILookup?Npi=1710682935","1710682935")</f>
        <v>1710682935</v>
      </c>
      <c r="E27518" s="1" t="s">
        <v>28303</v>
      </c>
      <c r="F27518" s="2"/>
      <c r="G27518" s="2"/>
      <c r="H27518" s="2"/>
    </row>
    <row r="27519" spans="1:8" x14ac:dyDescent="0.25">
      <c r="A27519" s="1"/>
      <c r="B27519" s="1" t="s">
        <v>7328</v>
      </c>
      <c r="C27519" s="1" t="s">
        <v>7329</v>
      </c>
      <c r="D27519" s="22" t="str">
        <f>HYPERLINK("https://rhld.insurance.arkansas.gov/NPILookup?Npi=1710699657","1710699657")</f>
        <v>1710699657</v>
      </c>
      <c r="E27519" s="1" t="s">
        <v>24680</v>
      </c>
      <c r="F27519" s="2"/>
      <c r="G27519" s="2"/>
      <c r="H27519" s="2"/>
    </row>
    <row r="27520" spans="1:8" x14ac:dyDescent="0.25">
      <c r="A27520" s="1"/>
      <c r="B27520" s="1" t="s">
        <v>7328</v>
      </c>
      <c r="C27520" s="1" t="s">
        <v>7329</v>
      </c>
      <c r="D27520" s="22" t="str">
        <f>HYPERLINK("https://rhld.insurance.arkansas.gov/NPILookup?Npi=1710706692","1710706692")</f>
        <v>1710706692</v>
      </c>
      <c r="E27520" s="1" t="s">
        <v>32339</v>
      </c>
      <c r="F27520" s="2"/>
      <c r="G27520" s="2"/>
      <c r="H27520" s="2"/>
    </row>
    <row r="27521" spans="1:8" x14ac:dyDescent="0.25">
      <c r="A27521" s="1"/>
      <c r="B27521" s="1" t="s">
        <v>7328</v>
      </c>
      <c r="C27521" s="1" t="s">
        <v>7329</v>
      </c>
      <c r="D27521" s="22" t="str">
        <f>HYPERLINK("https://rhld.insurance.arkansas.gov/NPILookup?Npi=1710903174","1710903174")</f>
        <v>1710903174</v>
      </c>
      <c r="E27521" s="1" t="s">
        <v>28304</v>
      </c>
      <c r="F27521" s="2"/>
      <c r="G27521" s="2"/>
      <c r="H27521" s="2"/>
    </row>
    <row r="27522" spans="1:8" x14ac:dyDescent="0.25">
      <c r="A27522" s="1"/>
      <c r="B27522" s="1" t="s">
        <v>7328</v>
      </c>
      <c r="C27522" s="1" t="s">
        <v>7329</v>
      </c>
      <c r="D27522" s="22" t="str">
        <f>HYPERLINK("https://rhld.insurance.arkansas.gov/NPILookup?Npi=1710906276","1710906276")</f>
        <v>1710906276</v>
      </c>
      <c r="E27522" s="1" t="s">
        <v>5086</v>
      </c>
      <c r="F27522" s="2"/>
      <c r="G27522" s="2"/>
      <c r="H27522" s="2"/>
    </row>
    <row r="27523" spans="1:8" x14ac:dyDescent="0.25">
      <c r="A27523" s="1"/>
      <c r="B27523" s="1" t="s">
        <v>7328</v>
      </c>
      <c r="C27523" s="1" t="s">
        <v>7329</v>
      </c>
      <c r="D27523" s="22" t="str">
        <f>HYPERLINK("https://rhld.insurance.arkansas.gov/NPILookup?Npi=1710930128","1710930128")</f>
        <v>1710930128</v>
      </c>
      <c r="E27523" s="1" t="s">
        <v>28305</v>
      </c>
      <c r="F27523" s="2"/>
      <c r="G27523" s="2"/>
      <c r="H27523" s="2"/>
    </row>
    <row r="27524" spans="1:8" x14ac:dyDescent="0.25">
      <c r="A27524" s="1"/>
      <c r="B27524" s="1" t="s">
        <v>7328</v>
      </c>
      <c r="C27524" s="1" t="s">
        <v>7329</v>
      </c>
      <c r="D27524" s="22" t="str">
        <f>HYPERLINK("https://rhld.insurance.arkansas.gov/NPILookup?Npi=1710935762","1710935762")</f>
        <v>1710935762</v>
      </c>
      <c r="E27524" s="1" t="s">
        <v>28306</v>
      </c>
      <c r="F27524" s="2"/>
      <c r="G27524" s="2"/>
      <c r="H27524" s="2"/>
    </row>
    <row r="27525" spans="1:8" x14ac:dyDescent="0.25">
      <c r="A27525" s="1"/>
      <c r="B27525" s="1" t="s">
        <v>7328</v>
      </c>
      <c r="C27525" s="1" t="s">
        <v>7329</v>
      </c>
      <c r="D27525" s="22" t="str">
        <f>HYPERLINK("https://rhld.insurance.arkansas.gov/NPILookup?Npi=1710943659","1710943659")</f>
        <v>1710943659</v>
      </c>
      <c r="E27525" s="1" t="s">
        <v>2059</v>
      </c>
      <c r="F27525" s="2"/>
      <c r="G27525" s="2"/>
      <c r="H27525" s="2"/>
    </row>
    <row r="27526" spans="1:8" x14ac:dyDescent="0.25">
      <c r="A27526" s="1"/>
      <c r="B27526" s="1" t="s">
        <v>7328</v>
      </c>
      <c r="C27526" s="1" t="s">
        <v>7329</v>
      </c>
      <c r="D27526" s="22" t="str">
        <f>HYPERLINK("https://rhld.insurance.arkansas.gov/NPILookup?Npi=1710946736","1710946736")</f>
        <v>1710946736</v>
      </c>
      <c r="E27526" s="1" t="s">
        <v>13501</v>
      </c>
      <c r="F27526" s="2"/>
      <c r="G27526" s="2"/>
      <c r="H27526" s="2"/>
    </row>
    <row r="27527" spans="1:8" x14ac:dyDescent="0.25">
      <c r="A27527" s="1"/>
      <c r="B27527" s="1" t="s">
        <v>7328</v>
      </c>
      <c r="C27527" s="1" t="s">
        <v>7329</v>
      </c>
      <c r="D27527" s="22" t="str">
        <f>HYPERLINK("https://rhld.insurance.arkansas.gov/NPILookup?Npi=1710953559","1710953559")</f>
        <v>1710953559</v>
      </c>
      <c r="E27527" s="1" t="s">
        <v>28307</v>
      </c>
      <c r="F27527" s="2"/>
      <c r="G27527" s="2"/>
      <c r="H27527" s="2"/>
    </row>
    <row r="27528" spans="1:8" x14ac:dyDescent="0.25">
      <c r="A27528" s="1"/>
      <c r="B27528" s="1" t="s">
        <v>7328</v>
      </c>
      <c r="C27528" s="1" t="s">
        <v>7329</v>
      </c>
      <c r="D27528" s="22" t="str">
        <f>HYPERLINK("https://rhld.insurance.arkansas.gov/NPILookup?Npi=1710962485","1710962485")</f>
        <v>1710962485</v>
      </c>
      <c r="E27528" s="1" t="s">
        <v>4463</v>
      </c>
      <c r="F27528" s="2"/>
      <c r="G27528" s="2"/>
      <c r="H27528" s="2"/>
    </row>
    <row r="27529" spans="1:8" x14ac:dyDescent="0.25">
      <c r="A27529" s="1"/>
      <c r="B27529" s="1" t="s">
        <v>7328</v>
      </c>
      <c r="C27529" s="1" t="s">
        <v>7329</v>
      </c>
      <c r="D27529" s="22" t="str">
        <f>HYPERLINK("https://rhld.insurance.arkansas.gov/NPILookup?Npi=1710964226","1710964226")</f>
        <v>1710964226</v>
      </c>
      <c r="E27529" s="1" t="s">
        <v>23100</v>
      </c>
      <c r="F27529" s="2"/>
      <c r="G27529" s="2"/>
      <c r="H27529" s="2"/>
    </row>
    <row r="27530" spans="1:8" x14ac:dyDescent="0.25">
      <c r="A27530" s="1"/>
      <c r="B27530" s="1" t="s">
        <v>7328</v>
      </c>
      <c r="C27530" s="1" t="s">
        <v>7329</v>
      </c>
      <c r="D27530" s="22" t="str">
        <f>HYPERLINK("https://rhld.insurance.arkansas.gov/NPILookup?Npi=1710973649","1710973649")</f>
        <v>1710973649</v>
      </c>
      <c r="E27530" s="1" t="s">
        <v>28308</v>
      </c>
      <c r="F27530" s="2"/>
      <c r="G27530" s="2"/>
      <c r="H27530" s="2"/>
    </row>
    <row r="27531" spans="1:8" x14ac:dyDescent="0.25">
      <c r="A27531" s="1"/>
      <c r="B27531" s="1" t="s">
        <v>7328</v>
      </c>
      <c r="C27531" s="1" t="s">
        <v>7329</v>
      </c>
      <c r="D27531" s="22" t="str">
        <f>HYPERLINK("https://rhld.insurance.arkansas.gov/NPILookup?Npi=1710974811","1710974811")</f>
        <v>1710974811</v>
      </c>
      <c r="E27531" s="1" t="s">
        <v>13502</v>
      </c>
      <c r="F27531" s="2"/>
      <c r="G27531" s="2"/>
      <c r="H27531" s="2"/>
    </row>
    <row r="27532" spans="1:8" x14ac:dyDescent="0.25">
      <c r="A27532" s="1"/>
      <c r="B27532" s="1" t="s">
        <v>7328</v>
      </c>
      <c r="C27532" s="1" t="s">
        <v>7329</v>
      </c>
      <c r="D27532" s="22" t="str">
        <f>HYPERLINK("https://rhld.insurance.arkansas.gov/NPILookup?Npi=1710974944","1710974944")</f>
        <v>1710974944</v>
      </c>
      <c r="E27532" s="1" t="s">
        <v>28309</v>
      </c>
      <c r="F27532" s="2"/>
      <c r="G27532" s="2"/>
      <c r="H27532" s="2"/>
    </row>
    <row r="27533" spans="1:8" x14ac:dyDescent="0.25">
      <c r="A27533" s="1"/>
      <c r="B27533" s="1" t="s">
        <v>7328</v>
      </c>
      <c r="C27533" s="1" t="s">
        <v>7329</v>
      </c>
      <c r="D27533" s="22" t="str">
        <f>HYPERLINK("https://rhld.insurance.arkansas.gov/NPILookup?Npi=1710979596","1710979596")</f>
        <v>1710979596</v>
      </c>
      <c r="E27533" s="1" t="s">
        <v>28310</v>
      </c>
      <c r="F27533" s="2"/>
      <c r="G27533" s="2"/>
      <c r="H27533" s="2"/>
    </row>
    <row r="27534" spans="1:8" x14ac:dyDescent="0.25">
      <c r="A27534" s="1"/>
      <c r="B27534" s="1" t="s">
        <v>7328</v>
      </c>
      <c r="C27534" s="1" t="s">
        <v>7329</v>
      </c>
      <c r="D27534" s="22" t="str">
        <f>HYPERLINK("https://rhld.insurance.arkansas.gov/NPILookup?Npi=1710982285","1710982285")</f>
        <v>1710982285</v>
      </c>
      <c r="E27534" s="1" t="s">
        <v>28311</v>
      </c>
      <c r="F27534" s="2"/>
      <c r="G27534" s="2"/>
      <c r="H27534" s="2"/>
    </row>
    <row r="27535" spans="1:8" x14ac:dyDescent="0.25">
      <c r="A27535" s="1"/>
      <c r="B27535" s="1" t="s">
        <v>7328</v>
      </c>
      <c r="C27535" s="1" t="s">
        <v>7329</v>
      </c>
      <c r="D27535" s="22" t="str">
        <f>HYPERLINK("https://rhld.insurance.arkansas.gov/NPILookup?Npi=1710982871","1710982871")</f>
        <v>1710982871</v>
      </c>
      <c r="E27535" s="1" t="s">
        <v>4464</v>
      </c>
      <c r="F27535" s="2"/>
      <c r="G27535" s="2"/>
      <c r="H27535" s="2"/>
    </row>
    <row r="27536" spans="1:8" x14ac:dyDescent="0.25">
      <c r="A27536" s="1"/>
      <c r="B27536" s="1" t="s">
        <v>7328</v>
      </c>
      <c r="C27536" s="1" t="s">
        <v>7329</v>
      </c>
      <c r="D27536" s="22" t="str">
        <f>HYPERLINK("https://rhld.insurance.arkansas.gov/NPILookup?Npi=1710983465","1710983465")</f>
        <v>1710983465</v>
      </c>
      <c r="E27536" s="1" t="s">
        <v>13503</v>
      </c>
      <c r="F27536" s="2"/>
      <c r="G27536" s="2"/>
      <c r="H27536" s="2"/>
    </row>
    <row r="27537" spans="1:8" x14ac:dyDescent="0.25">
      <c r="A27537" s="1"/>
      <c r="B27537" s="1" t="s">
        <v>7328</v>
      </c>
      <c r="C27537" s="1" t="s">
        <v>7329</v>
      </c>
      <c r="D27537" s="22" t="str">
        <f>HYPERLINK("https://rhld.insurance.arkansas.gov/NPILookup?Npi=1710985858","1710985858")</f>
        <v>1710985858</v>
      </c>
      <c r="E27537" s="1" t="s">
        <v>2985</v>
      </c>
      <c r="F27537" s="2"/>
      <c r="G27537" s="2"/>
      <c r="H27537" s="2"/>
    </row>
    <row r="27538" spans="1:8" x14ac:dyDescent="0.25">
      <c r="A27538" s="1"/>
      <c r="B27538" s="1" t="s">
        <v>7328</v>
      </c>
      <c r="C27538" s="1" t="s">
        <v>7329</v>
      </c>
      <c r="D27538" s="22" t="str">
        <f>HYPERLINK("https://rhld.insurance.arkansas.gov/NPILookup?Npi=1710993654","1710993654")</f>
        <v>1710993654</v>
      </c>
      <c r="E27538" s="1" t="s">
        <v>13504</v>
      </c>
      <c r="F27538" s="2"/>
      <c r="G27538" s="2"/>
      <c r="H27538" s="2"/>
    </row>
    <row r="27539" spans="1:8" x14ac:dyDescent="0.25">
      <c r="A27539" s="1"/>
      <c r="B27539" s="1" t="s">
        <v>7328</v>
      </c>
      <c r="C27539" s="1" t="s">
        <v>7329</v>
      </c>
      <c r="D27539" s="22" t="str">
        <f>HYPERLINK("https://rhld.insurance.arkansas.gov/NPILookup?Npi=1710996517","1710996517")</f>
        <v>1710996517</v>
      </c>
      <c r="E27539" s="1" t="s">
        <v>28312</v>
      </c>
      <c r="F27539" s="2"/>
      <c r="G27539" s="2"/>
      <c r="H27539" s="2"/>
    </row>
    <row r="27540" spans="1:8" x14ac:dyDescent="0.25">
      <c r="A27540" s="1"/>
      <c r="B27540" s="1" t="s">
        <v>7328</v>
      </c>
      <c r="C27540" s="1" t="s">
        <v>7329</v>
      </c>
      <c r="D27540" s="22" t="str">
        <f>HYPERLINK("https://rhld.insurance.arkansas.gov/NPILookup?Npi=1720003247","1720003247")</f>
        <v>1720003247</v>
      </c>
      <c r="E27540" s="1" t="s">
        <v>119</v>
      </c>
      <c r="F27540" s="2"/>
      <c r="G27540" s="2"/>
      <c r="H27540" s="2"/>
    </row>
    <row r="27541" spans="1:8" x14ac:dyDescent="0.25">
      <c r="A27541" s="1"/>
      <c r="B27541" s="1" t="s">
        <v>7328</v>
      </c>
      <c r="C27541" s="1" t="s">
        <v>7329</v>
      </c>
      <c r="D27541" s="22" t="str">
        <f>HYPERLINK("https://rhld.insurance.arkansas.gov/NPILookup?Npi=1720020662","1720020662")</f>
        <v>1720020662</v>
      </c>
      <c r="E27541" s="1" t="s">
        <v>2987</v>
      </c>
      <c r="F27541" s="2"/>
      <c r="G27541" s="2"/>
      <c r="H27541" s="2"/>
    </row>
    <row r="27542" spans="1:8" x14ac:dyDescent="0.25">
      <c r="A27542" s="1"/>
      <c r="B27542" s="1" t="s">
        <v>7328</v>
      </c>
      <c r="C27542" s="1" t="s">
        <v>7329</v>
      </c>
      <c r="D27542" s="22" t="str">
        <f>HYPERLINK("https://rhld.insurance.arkansas.gov/NPILookup?Npi=1720020738","1720020738")</f>
        <v>1720020738</v>
      </c>
      <c r="E27542" s="1" t="s">
        <v>211</v>
      </c>
      <c r="F27542" s="2"/>
      <c r="G27542" s="2"/>
      <c r="H27542" s="2"/>
    </row>
    <row r="27543" spans="1:8" x14ac:dyDescent="0.25">
      <c r="A27543" s="1"/>
      <c r="B27543" s="1" t="s">
        <v>7328</v>
      </c>
      <c r="C27543" s="1" t="s">
        <v>7329</v>
      </c>
      <c r="D27543" s="22" t="str">
        <f>HYPERLINK("https://rhld.insurance.arkansas.gov/NPILookup?Npi=1720025513","1720025513")</f>
        <v>1720025513</v>
      </c>
      <c r="E27543" s="1" t="s">
        <v>28313</v>
      </c>
      <c r="F27543" s="2"/>
      <c r="G27543" s="2"/>
      <c r="H27543" s="2"/>
    </row>
    <row r="27544" spans="1:8" x14ac:dyDescent="0.25">
      <c r="A27544" s="1"/>
      <c r="B27544" s="1" t="s">
        <v>7328</v>
      </c>
      <c r="C27544" s="1" t="s">
        <v>7329</v>
      </c>
      <c r="D27544" s="22" t="str">
        <f>HYPERLINK("https://rhld.insurance.arkansas.gov/NPILookup?Npi=1720029275","1720029275")</f>
        <v>1720029275</v>
      </c>
      <c r="E27544" s="1" t="s">
        <v>17818</v>
      </c>
      <c r="F27544" s="2"/>
      <c r="G27544" s="2"/>
      <c r="H27544" s="2"/>
    </row>
    <row r="27545" spans="1:8" x14ac:dyDescent="0.25">
      <c r="A27545" s="1"/>
      <c r="B27545" s="1" t="s">
        <v>7328</v>
      </c>
      <c r="C27545" s="1" t="s">
        <v>7329</v>
      </c>
      <c r="D27545" s="22" t="str">
        <f>HYPERLINK("https://rhld.insurance.arkansas.gov/NPILookup?Npi=1720036890","1720036890")</f>
        <v>1720036890</v>
      </c>
      <c r="E27545" s="1" t="s">
        <v>22766</v>
      </c>
      <c r="F27545" s="2"/>
      <c r="G27545" s="2"/>
      <c r="H27545" s="2"/>
    </row>
    <row r="27546" spans="1:8" x14ac:dyDescent="0.25">
      <c r="A27546" s="1"/>
      <c r="B27546" s="1" t="s">
        <v>7328</v>
      </c>
      <c r="C27546" s="1" t="s">
        <v>7329</v>
      </c>
      <c r="D27546" s="22" t="str">
        <f>HYPERLINK("https://rhld.insurance.arkansas.gov/NPILookup?Npi=1720041072","1720041072")</f>
        <v>1720041072</v>
      </c>
      <c r="E27546" s="1" t="s">
        <v>32340</v>
      </c>
      <c r="F27546" s="2"/>
      <c r="G27546" s="2"/>
      <c r="H27546" s="2"/>
    </row>
    <row r="27547" spans="1:8" x14ac:dyDescent="0.25">
      <c r="A27547" s="1"/>
      <c r="B27547" s="1" t="s">
        <v>7328</v>
      </c>
      <c r="C27547" s="1" t="s">
        <v>7329</v>
      </c>
      <c r="D27547" s="22" t="str">
        <f>HYPERLINK("https://rhld.insurance.arkansas.gov/NPILookup?Npi=1720041577","1720041577")</f>
        <v>1720041577</v>
      </c>
      <c r="E27547" s="1" t="s">
        <v>28314</v>
      </c>
      <c r="F27547" s="2"/>
      <c r="G27547" s="2"/>
      <c r="H27547" s="2"/>
    </row>
    <row r="27548" spans="1:8" x14ac:dyDescent="0.25">
      <c r="A27548" s="1"/>
      <c r="B27548" s="1" t="s">
        <v>7328</v>
      </c>
      <c r="C27548" s="1" t="s">
        <v>7329</v>
      </c>
      <c r="D27548" s="22" t="str">
        <f>HYPERLINK("https://rhld.insurance.arkansas.gov/NPILookup?Npi=1720044142","1720044142")</f>
        <v>1720044142</v>
      </c>
      <c r="E27548" s="1" t="s">
        <v>28315</v>
      </c>
      <c r="F27548" s="2"/>
      <c r="G27548" s="2"/>
      <c r="H27548" s="2"/>
    </row>
    <row r="27549" spans="1:8" x14ac:dyDescent="0.25">
      <c r="A27549" s="1"/>
      <c r="B27549" s="1" t="s">
        <v>7328</v>
      </c>
      <c r="C27549" s="1" t="s">
        <v>7329</v>
      </c>
      <c r="D27549" s="22" t="str">
        <f>HYPERLINK("https://rhld.insurance.arkansas.gov/NPILookup?Npi=1720044548","1720044548")</f>
        <v>1720044548</v>
      </c>
      <c r="E27549" s="1" t="s">
        <v>28316</v>
      </c>
      <c r="F27549" s="2"/>
      <c r="G27549" s="2"/>
      <c r="H27549" s="2"/>
    </row>
    <row r="27550" spans="1:8" x14ac:dyDescent="0.25">
      <c r="A27550" s="1"/>
      <c r="B27550" s="1" t="s">
        <v>7328</v>
      </c>
      <c r="C27550" s="1" t="s">
        <v>7329</v>
      </c>
      <c r="D27550" s="22" t="str">
        <f>HYPERLINK("https://rhld.insurance.arkansas.gov/NPILookup?Npi=1720054125","1720054125")</f>
        <v>1720054125</v>
      </c>
      <c r="E27550" s="1" t="s">
        <v>17819</v>
      </c>
      <c r="F27550" s="2"/>
      <c r="G27550" s="2"/>
      <c r="H27550" s="2"/>
    </row>
    <row r="27551" spans="1:8" x14ac:dyDescent="0.25">
      <c r="A27551" s="1"/>
      <c r="B27551" s="1" t="s">
        <v>7328</v>
      </c>
      <c r="C27551" s="1" t="s">
        <v>7329</v>
      </c>
      <c r="D27551" s="22" t="str">
        <f>HYPERLINK("https://rhld.insurance.arkansas.gov/NPILookup?Npi=1720066350","1720066350")</f>
        <v>1720066350</v>
      </c>
      <c r="E27551" s="1" t="s">
        <v>152</v>
      </c>
      <c r="F27551" s="2"/>
      <c r="G27551" s="2"/>
      <c r="H27551" s="2"/>
    </row>
    <row r="27552" spans="1:8" x14ac:dyDescent="0.25">
      <c r="A27552" s="1"/>
      <c r="B27552" s="1" t="s">
        <v>7328</v>
      </c>
      <c r="C27552" s="1" t="s">
        <v>7329</v>
      </c>
      <c r="D27552" s="22" t="str">
        <f>HYPERLINK("https://rhld.insurance.arkansas.gov/NPILookup?Npi=1720072317","1720072317")</f>
        <v>1720072317</v>
      </c>
      <c r="E27552" s="1" t="s">
        <v>13505</v>
      </c>
      <c r="F27552" s="2"/>
      <c r="G27552" s="2"/>
      <c r="H27552" s="2"/>
    </row>
    <row r="27553" spans="1:8" x14ac:dyDescent="0.25">
      <c r="A27553" s="1"/>
      <c r="B27553" s="1" t="s">
        <v>7328</v>
      </c>
      <c r="C27553" s="1" t="s">
        <v>7329</v>
      </c>
      <c r="D27553" s="22" t="str">
        <f>HYPERLINK("https://rhld.insurance.arkansas.gov/NPILookup?Npi=1720072994","1720072994")</f>
        <v>1720072994</v>
      </c>
      <c r="E27553" s="1" t="s">
        <v>28317</v>
      </c>
      <c r="F27553" s="2"/>
      <c r="G27553" s="2"/>
      <c r="H27553" s="2"/>
    </row>
    <row r="27554" spans="1:8" x14ac:dyDescent="0.25">
      <c r="A27554" s="1"/>
      <c r="B27554" s="1" t="s">
        <v>7328</v>
      </c>
      <c r="C27554" s="1" t="s">
        <v>7329</v>
      </c>
      <c r="D27554" s="22" t="str">
        <f>HYPERLINK("https://rhld.insurance.arkansas.gov/NPILookup?Npi=1720082530","1720082530")</f>
        <v>1720082530</v>
      </c>
      <c r="E27554" s="1" t="s">
        <v>2988</v>
      </c>
      <c r="F27554" s="2"/>
      <c r="G27554" s="2"/>
      <c r="H27554" s="2"/>
    </row>
    <row r="27555" spans="1:8" x14ac:dyDescent="0.25">
      <c r="A27555" s="1"/>
      <c r="B27555" s="1" t="s">
        <v>7328</v>
      </c>
      <c r="C27555" s="1" t="s">
        <v>7329</v>
      </c>
      <c r="D27555" s="22" t="str">
        <f>HYPERLINK("https://rhld.insurance.arkansas.gov/NPILookup?Npi=1720086952","1720086952")</f>
        <v>1720086952</v>
      </c>
      <c r="E27555" s="1" t="s">
        <v>845</v>
      </c>
      <c r="F27555" s="2"/>
      <c r="G27555" s="2"/>
      <c r="H27555" s="2"/>
    </row>
    <row r="27556" spans="1:8" x14ac:dyDescent="0.25">
      <c r="A27556" s="1"/>
      <c r="B27556" s="1" t="s">
        <v>7328</v>
      </c>
      <c r="C27556" s="1" t="s">
        <v>7329</v>
      </c>
      <c r="D27556" s="22" t="str">
        <f>HYPERLINK("https://rhld.insurance.arkansas.gov/NPILookup?Npi=1720088347","1720088347")</f>
        <v>1720088347</v>
      </c>
      <c r="E27556" s="1" t="s">
        <v>1107</v>
      </c>
      <c r="F27556" s="2"/>
      <c r="G27556" s="2"/>
      <c r="H27556" s="2"/>
    </row>
    <row r="27557" spans="1:8" x14ac:dyDescent="0.25">
      <c r="A27557" s="1"/>
      <c r="B27557" s="1" t="s">
        <v>7328</v>
      </c>
      <c r="C27557" s="1" t="s">
        <v>7329</v>
      </c>
      <c r="D27557" s="22" t="str">
        <f>HYPERLINK("https://rhld.insurance.arkansas.gov/NPILookup?Npi=1720088636","1720088636")</f>
        <v>1720088636</v>
      </c>
      <c r="E27557" s="1" t="s">
        <v>28318</v>
      </c>
      <c r="F27557" s="2"/>
      <c r="G27557" s="2"/>
      <c r="H27557" s="2"/>
    </row>
    <row r="27558" spans="1:8" x14ac:dyDescent="0.25">
      <c r="A27558" s="1"/>
      <c r="B27558" s="1" t="s">
        <v>7328</v>
      </c>
      <c r="C27558" s="1" t="s">
        <v>7329</v>
      </c>
      <c r="D27558" s="22" t="str">
        <f>HYPERLINK("https://rhld.insurance.arkansas.gov/NPILookup?Npi=1720095599","1720095599")</f>
        <v>1720095599</v>
      </c>
      <c r="E27558" s="1" t="s">
        <v>17820</v>
      </c>
      <c r="F27558" s="2"/>
      <c r="G27558" s="2"/>
      <c r="H27558" s="2"/>
    </row>
    <row r="27559" spans="1:8" x14ac:dyDescent="0.25">
      <c r="A27559" s="1"/>
      <c r="B27559" s="1" t="s">
        <v>7328</v>
      </c>
      <c r="C27559" s="1" t="s">
        <v>7329</v>
      </c>
      <c r="D27559" s="22" t="str">
        <f>HYPERLINK("https://rhld.insurance.arkansas.gov/NPILookup?Npi=1720111990","1720111990")</f>
        <v>1720111990</v>
      </c>
      <c r="E27559" s="1" t="s">
        <v>8040</v>
      </c>
      <c r="F27559" s="2"/>
      <c r="G27559" s="2"/>
      <c r="H27559" s="2"/>
    </row>
    <row r="27560" spans="1:8" x14ac:dyDescent="0.25">
      <c r="A27560" s="1"/>
      <c r="B27560" s="1" t="s">
        <v>7328</v>
      </c>
      <c r="C27560" s="1" t="s">
        <v>7329</v>
      </c>
      <c r="D27560" s="22" t="str">
        <f>HYPERLINK("https://rhld.insurance.arkansas.gov/NPILookup?Npi=1720146509","1720146509")</f>
        <v>1720146509</v>
      </c>
      <c r="E27560" s="1" t="s">
        <v>28319</v>
      </c>
      <c r="F27560" s="2"/>
      <c r="G27560" s="2"/>
      <c r="H27560" s="2"/>
    </row>
    <row r="27561" spans="1:8" x14ac:dyDescent="0.25">
      <c r="A27561" s="1"/>
      <c r="B27561" s="1" t="s">
        <v>7328</v>
      </c>
      <c r="C27561" s="1" t="s">
        <v>7329</v>
      </c>
      <c r="D27561" s="22" t="str">
        <f>HYPERLINK("https://rhld.insurance.arkansas.gov/NPILookup?Npi=1720180755","1720180755")</f>
        <v>1720180755</v>
      </c>
      <c r="E27561" s="1" t="s">
        <v>13506</v>
      </c>
      <c r="F27561" s="2"/>
      <c r="G27561" s="2"/>
      <c r="H27561" s="2"/>
    </row>
    <row r="27562" spans="1:8" x14ac:dyDescent="0.25">
      <c r="A27562" s="1"/>
      <c r="B27562" s="1" t="s">
        <v>7328</v>
      </c>
      <c r="C27562" s="1" t="s">
        <v>7329</v>
      </c>
      <c r="D27562" s="22" t="str">
        <f>HYPERLINK("https://rhld.insurance.arkansas.gov/NPILookup?Npi=1720202989","1720202989")</f>
        <v>1720202989</v>
      </c>
      <c r="E27562" s="1" t="s">
        <v>28320</v>
      </c>
      <c r="F27562" s="2"/>
      <c r="G27562" s="2"/>
      <c r="H27562" s="2"/>
    </row>
    <row r="27563" spans="1:8" x14ac:dyDescent="0.25">
      <c r="A27563" s="1"/>
      <c r="B27563" s="1" t="s">
        <v>7328</v>
      </c>
      <c r="C27563" s="1" t="s">
        <v>7329</v>
      </c>
      <c r="D27563" s="22" t="str">
        <f>HYPERLINK("https://rhld.insurance.arkansas.gov/NPILookup?Npi=1720205586","1720205586")</f>
        <v>1720205586</v>
      </c>
      <c r="E27563" s="1" t="s">
        <v>8041</v>
      </c>
      <c r="F27563" s="2"/>
      <c r="G27563" s="2"/>
      <c r="H27563" s="2"/>
    </row>
    <row r="27564" spans="1:8" x14ac:dyDescent="0.25">
      <c r="A27564" s="1"/>
      <c r="B27564" s="1" t="s">
        <v>7328</v>
      </c>
      <c r="C27564" s="1" t="s">
        <v>7329</v>
      </c>
      <c r="D27564" s="22" t="str">
        <f>HYPERLINK("https://rhld.insurance.arkansas.gov/NPILookup?Npi=1720215205","1720215205")</f>
        <v>1720215205</v>
      </c>
      <c r="E27564" s="1" t="s">
        <v>13507</v>
      </c>
      <c r="F27564" s="2"/>
      <c r="G27564" s="2"/>
      <c r="H27564" s="2"/>
    </row>
    <row r="27565" spans="1:8" x14ac:dyDescent="0.25">
      <c r="A27565" s="1"/>
      <c r="B27565" s="1" t="s">
        <v>7328</v>
      </c>
      <c r="C27565" s="1" t="s">
        <v>7329</v>
      </c>
      <c r="D27565" s="22" t="str">
        <f>HYPERLINK("https://rhld.insurance.arkansas.gov/NPILookup?Npi=1720218894","1720218894")</f>
        <v>1720218894</v>
      </c>
      <c r="E27565" s="1" t="s">
        <v>28321</v>
      </c>
      <c r="F27565" s="2"/>
      <c r="G27565" s="2"/>
      <c r="H27565" s="2"/>
    </row>
    <row r="27566" spans="1:8" x14ac:dyDescent="0.25">
      <c r="A27566" s="1"/>
      <c r="B27566" s="1" t="s">
        <v>7328</v>
      </c>
      <c r="C27566" s="1" t="s">
        <v>7329</v>
      </c>
      <c r="D27566" s="22" t="str">
        <f>HYPERLINK("https://rhld.insurance.arkansas.gov/NPILookup?Npi=1720242274","1720242274")</f>
        <v>1720242274</v>
      </c>
      <c r="E27566" s="1" t="s">
        <v>2989</v>
      </c>
      <c r="F27566" s="2"/>
      <c r="G27566" s="2"/>
      <c r="H27566" s="2"/>
    </row>
    <row r="27567" spans="1:8" x14ac:dyDescent="0.25">
      <c r="A27567" s="1"/>
      <c r="B27567" s="1" t="s">
        <v>7328</v>
      </c>
      <c r="C27567" s="1" t="s">
        <v>7329</v>
      </c>
      <c r="D27567" s="22" t="str">
        <f>HYPERLINK("https://rhld.insurance.arkansas.gov/NPILookup?Npi=1720251754","1720251754")</f>
        <v>1720251754</v>
      </c>
      <c r="E27567" s="1" t="s">
        <v>2990</v>
      </c>
      <c r="F27567" s="2"/>
      <c r="G27567" s="2"/>
      <c r="H27567" s="2"/>
    </row>
    <row r="27568" spans="1:8" x14ac:dyDescent="0.25">
      <c r="A27568" s="1"/>
      <c r="B27568" s="1" t="s">
        <v>7328</v>
      </c>
      <c r="C27568" s="1" t="s">
        <v>7329</v>
      </c>
      <c r="D27568" s="22" t="str">
        <f>HYPERLINK("https://rhld.insurance.arkansas.gov/NPILookup?Npi=1720271711","1720271711")</f>
        <v>1720271711</v>
      </c>
      <c r="E27568" s="1" t="s">
        <v>28322</v>
      </c>
      <c r="F27568" s="2"/>
      <c r="G27568" s="2"/>
      <c r="H27568" s="2"/>
    </row>
    <row r="27569" spans="1:8" x14ac:dyDescent="0.25">
      <c r="A27569" s="1"/>
      <c r="B27569" s="1" t="s">
        <v>7328</v>
      </c>
      <c r="C27569" s="1" t="s">
        <v>7329</v>
      </c>
      <c r="D27569" s="22" t="str">
        <f>HYPERLINK("https://rhld.insurance.arkansas.gov/NPILookup?Npi=1720273345","1720273345")</f>
        <v>1720273345</v>
      </c>
      <c r="E27569" s="1" t="s">
        <v>13576</v>
      </c>
      <c r="F27569" s="2"/>
      <c r="G27569" s="2"/>
      <c r="H27569" s="2"/>
    </row>
    <row r="27570" spans="1:8" x14ac:dyDescent="0.25">
      <c r="A27570" s="1"/>
      <c r="B27570" s="1" t="s">
        <v>7328</v>
      </c>
      <c r="C27570" s="1" t="s">
        <v>7329</v>
      </c>
      <c r="D27570" s="22" t="str">
        <f>HYPERLINK("https://rhld.insurance.arkansas.gov/NPILookup?Npi=1720280753","1720280753")</f>
        <v>1720280753</v>
      </c>
      <c r="E27570" s="1" t="s">
        <v>1400</v>
      </c>
      <c r="F27570" s="2"/>
      <c r="G27570" s="2"/>
      <c r="H27570" s="2"/>
    </row>
    <row r="27571" spans="1:8" x14ac:dyDescent="0.25">
      <c r="A27571" s="1"/>
      <c r="B27571" s="1" t="s">
        <v>7328</v>
      </c>
      <c r="C27571" s="1" t="s">
        <v>7329</v>
      </c>
      <c r="D27571" s="22" t="str">
        <f>HYPERLINK("https://rhld.insurance.arkansas.gov/NPILookup?Npi=1720284318","1720284318")</f>
        <v>1720284318</v>
      </c>
      <c r="E27571" s="1" t="s">
        <v>28323</v>
      </c>
      <c r="F27571" s="2"/>
      <c r="G27571" s="2"/>
      <c r="H27571" s="2"/>
    </row>
    <row r="27572" spans="1:8" x14ac:dyDescent="0.25">
      <c r="A27572" s="1"/>
      <c r="B27572" s="1" t="s">
        <v>7328</v>
      </c>
      <c r="C27572" s="1" t="s">
        <v>7329</v>
      </c>
      <c r="D27572" s="22" t="str">
        <f>HYPERLINK("https://rhld.insurance.arkansas.gov/NPILookup?Npi=1720289143","1720289143")</f>
        <v>1720289143</v>
      </c>
      <c r="E27572" s="1" t="s">
        <v>28324</v>
      </c>
      <c r="F27572" s="2"/>
      <c r="G27572" s="2"/>
      <c r="H27572" s="2"/>
    </row>
    <row r="27573" spans="1:8" x14ac:dyDescent="0.25">
      <c r="A27573" s="1"/>
      <c r="B27573" s="1" t="s">
        <v>7328</v>
      </c>
      <c r="C27573" s="1" t="s">
        <v>7329</v>
      </c>
      <c r="D27573" s="22" t="str">
        <f>HYPERLINK("https://rhld.insurance.arkansas.gov/NPILookup?Npi=1720324874","1720324874")</f>
        <v>1720324874</v>
      </c>
      <c r="E27573" s="1" t="s">
        <v>28325</v>
      </c>
      <c r="F27573" s="2"/>
      <c r="G27573" s="2"/>
      <c r="H27573" s="2"/>
    </row>
    <row r="27574" spans="1:8" x14ac:dyDescent="0.25">
      <c r="A27574" s="1"/>
      <c r="B27574" s="1" t="s">
        <v>7328</v>
      </c>
      <c r="C27574" s="1" t="s">
        <v>7329</v>
      </c>
      <c r="D27574" s="22" t="str">
        <f>HYPERLINK("https://rhld.insurance.arkansas.gov/NPILookup?Npi=1720348964","1720348964")</f>
        <v>1720348964</v>
      </c>
      <c r="E27574" s="1" t="s">
        <v>13508</v>
      </c>
      <c r="F27574" s="2"/>
      <c r="G27574" s="2"/>
      <c r="H27574" s="2"/>
    </row>
    <row r="27575" spans="1:8" x14ac:dyDescent="0.25">
      <c r="A27575" s="1"/>
      <c r="B27575" s="1" t="s">
        <v>7328</v>
      </c>
      <c r="C27575" s="1" t="s">
        <v>7329</v>
      </c>
      <c r="D27575" s="22" t="str">
        <f>HYPERLINK("https://rhld.insurance.arkansas.gov/NPILookup?Npi=1720349061","1720349061")</f>
        <v>1720349061</v>
      </c>
      <c r="E27575" s="1" t="s">
        <v>28326</v>
      </c>
      <c r="F27575" s="2"/>
      <c r="G27575" s="2"/>
      <c r="H27575" s="2"/>
    </row>
    <row r="27576" spans="1:8" x14ac:dyDescent="0.25">
      <c r="A27576" s="1"/>
      <c r="B27576" s="1" t="s">
        <v>7328</v>
      </c>
      <c r="C27576" s="1" t="s">
        <v>7329</v>
      </c>
      <c r="D27576" s="22" t="str">
        <f>HYPERLINK("https://rhld.insurance.arkansas.gov/NPILookup?Npi=1720354228","1720354228")</f>
        <v>1720354228</v>
      </c>
      <c r="E27576" s="1" t="s">
        <v>28327</v>
      </c>
      <c r="F27576" s="2"/>
      <c r="G27576" s="2"/>
      <c r="H27576" s="2"/>
    </row>
    <row r="27577" spans="1:8" x14ac:dyDescent="0.25">
      <c r="A27577" s="1"/>
      <c r="B27577" s="1" t="s">
        <v>7328</v>
      </c>
      <c r="C27577" s="1" t="s">
        <v>7329</v>
      </c>
      <c r="D27577" s="22" t="str">
        <f>HYPERLINK("https://rhld.insurance.arkansas.gov/NPILookup?Npi=1720364334","1720364334")</f>
        <v>1720364334</v>
      </c>
      <c r="E27577" s="1" t="s">
        <v>2991</v>
      </c>
      <c r="F27577" s="2"/>
      <c r="G27577" s="2"/>
      <c r="H27577" s="2"/>
    </row>
    <row r="27578" spans="1:8" x14ac:dyDescent="0.25">
      <c r="A27578" s="1"/>
      <c r="B27578" s="1" t="s">
        <v>7328</v>
      </c>
      <c r="C27578" s="1" t="s">
        <v>7329</v>
      </c>
      <c r="D27578" s="22" t="str">
        <f>HYPERLINK("https://rhld.insurance.arkansas.gov/NPILookup?Npi=1720367642","1720367642")</f>
        <v>1720367642</v>
      </c>
      <c r="E27578" s="1" t="s">
        <v>28328</v>
      </c>
      <c r="F27578" s="2"/>
      <c r="G27578" s="2"/>
      <c r="H27578" s="2"/>
    </row>
    <row r="27579" spans="1:8" x14ac:dyDescent="0.25">
      <c r="A27579" s="1"/>
      <c r="B27579" s="1" t="s">
        <v>7328</v>
      </c>
      <c r="C27579" s="1" t="s">
        <v>7329</v>
      </c>
      <c r="D27579" s="22" t="str">
        <f>HYPERLINK("https://rhld.insurance.arkansas.gov/NPILookup?Npi=1720396674","1720396674")</f>
        <v>1720396674</v>
      </c>
      <c r="E27579" s="1" t="s">
        <v>13509</v>
      </c>
      <c r="F27579" s="2"/>
      <c r="G27579" s="2"/>
      <c r="H27579" s="2"/>
    </row>
    <row r="27580" spans="1:8" x14ac:dyDescent="0.25">
      <c r="A27580" s="1"/>
      <c r="B27580" s="1" t="s">
        <v>7328</v>
      </c>
      <c r="C27580" s="1" t="s">
        <v>7329</v>
      </c>
      <c r="D27580" s="22" t="str">
        <f>HYPERLINK("https://rhld.insurance.arkansas.gov/NPILookup?Npi=1720402464","1720402464")</f>
        <v>1720402464</v>
      </c>
      <c r="E27580" s="1" t="s">
        <v>13510</v>
      </c>
      <c r="F27580" s="2"/>
      <c r="G27580" s="2"/>
      <c r="H27580" s="2"/>
    </row>
    <row r="27581" spans="1:8" x14ac:dyDescent="0.25">
      <c r="A27581" s="1"/>
      <c r="B27581" s="1" t="s">
        <v>7328</v>
      </c>
      <c r="C27581" s="1" t="s">
        <v>7329</v>
      </c>
      <c r="D27581" s="22" t="str">
        <f>HYPERLINK("https://rhld.insurance.arkansas.gov/NPILookup?Npi=1720416308","1720416308")</f>
        <v>1720416308</v>
      </c>
      <c r="E27581" s="1" t="s">
        <v>28329</v>
      </c>
      <c r="F27581" s="2"/>
      <c r="G27581" s="2"/>
      <c r="H27581" s="2"/>
    </row>
    <row r="27582" spans="1:8" x14ac:dyDescent="0.25">
      <c r="A27582" s="1"/>
      <c r="B27582" s="1" t="s">
        <v>7328</v>
      </c>
      <c r="C27582" s="1" t="s">
        <v>7329</v>
      </c>
      <c r="D27582" s="22" t="str">
        <f>HYPERLINK("https://rhld.insurance.arkansas.gov/NPILookup?Npi=1720419203","1720419203")</f>
        <v>1720419203</v>
      </c>
      <c r="E27582" s="1" t="s">
        <v>13511</v>
      </c>
      <c r="F27582" s="2"/>
      <c r="G27582" s="2"/>
      <c r="H27582" s="2"/>
    </row>
    <row r="27583" spans="1:8" x14ac:dyDescent="0.25">
      <c r="A27583" s="1"/>
      <c r="B27583" s="1" t="s">
        <v>7328</v>
      </c>
      <c r="C27583" s="1" t="s">
        <v>7329</v>
      </c>
      <c r="D27583" s="22" t="str">
        <f>HYPERLINK("https://rhld.insurance.arkansas.gov/NPILookup?Npi=1720421514","1720421514")</f>
        <v>1720421514</v>
      </c>
      <c r="E27583" s="1" t="s">
        <v>13512</v>
      </c>
      <c r="F27583" s="2"/>
      <c r="G27583" s="2"/>
      <c r="H27583" s="2"/>
    </row>
    <row r="27584" spans="1:8" x14ac:dyDescent="0.25">
      <c r="A27584" s="1"/>
      <c r="B27584" s="1" t="s">
        <v>7328</v>
      </c>
      <c r="C27584" s="1" t="s">
        <v>7329</v>
      </c>
      <c r="D27584" s="22" t="str">
        <f>HYPERLINK("https://rhld.insurance.arkansas.gov/NPILookup?Npi=1720436710","1720436710")</f>
        <v>1720436710</v>
      </c>
      <c r="E27584" s="1" t="s">
        <v>28330</v>
      </c>
      <c r="F27584" s="2"/>
      <c r="G27584" s="2"/>
      <c r="H27584" s="2"/>
    </row>
    <row r="27585" spans="1:8" x14ac:dyDescent="0.25">
      <c r="A27585" s="1"/>
      <c r="B27585" s="1" t="s">
        <v>7328</v>
      </c>
      <c r="C27585" s="1" t="s">
        <v>7329</v>
      </c>
      <c r="D27585" s="22" t="str">
        <f>HYPERLINK("https://rhld.insurance.arkansas.gov/NPILookup?Npi=1720437841","1720437841")</f>
        <v>1720437841</v>
      </c>
      <c r="E27585" s="1" t="s">
        <v>2992</v>
      </c>
      <c r="F27585" s="2"/>
      <c r="G27585" s="2"/>
      <c r="H27585" s="2"/>
    </row>
    <row r="27586" spans="1:8" x14ac:dyDescent="0.25">
      <c r="A27586" s="1"/>
      <c r="B27586" s="1" t="s">
        <v>7328</v>
      </c>
      <c r="C27586" s="1" t="s">
        <v>7329</v>
      </c>
      <c r="D27586" s="22" t="str">
        <f>HYPERLINK("https://rhld.insurance.arkansas.gov/NPILookup?Npi=1720451545","1720451545")</f>
        <v>1720451545</v>
      </c>
      <c r="E27586" s="1" t="s">
        <v>8042</v>
      </c>
      <c r="F27586" s="2"/>
      <c r="G27586" s="2"/>
      <c r="H27586" s="2"/>
    </row>
    <row r="27587" spans="1:8" x14ac:dyDescent="0.25">
      <c r="A27587" s="1"/>
      <c r="B27587" s="1" t="s">
        <v>7328</v>
      </c>
      <c r="C27587" s="1" t="s">
        <v>7329</v>
      </c>
      <c r="D27587" s="22" t="str">
        <f>HYPERLINK("https://rhld.insurance.arkansas.gov/NPILookup?Npi=1720454382","1720454382")</f>
        <v>1720454382</v>
      </c>
      <c r="E27587" s="1" t="s">
        <v>2993</v>
      </c>
      <c r="F27587" s="2"/>
      <c r="G27587" s="2"/>
      <c r="H27587" s="2"/>
    </row>
    <row r="27588" spans="1:8" x14ac:dyDescent="0.25">
      <c r="A27588" s="1"/>
      <c r="B27588" s="1" t="s">
        <v>7328</v>
      </c>
      <c r="C27588" s="1" t="s">
        <v>7329</v>
      </c>
      <c r="D27588" s="22" t="str">
        <f>HYPERLINK("https://rhld.insurance.arkansas.gov/NPILookup?Npi=1720477086","1720477086")</f>
        <v>1720477086</v>
      </c>
      <c r="E27588" s="1" t="s">
        <v>28331</v>
      </c>
      <c r="F27588" s="2"/>
      <c r="G27588" s="2"/>
      <c r="H27588" s="2"/>
    </row>
    <row r="27589" spans="1:8" x14ac:dyDescent="0.25">
      <c r="A27589" s="1"/>
      <c r="B27589" s="1" t="s">
        <v>7328</v>
      </c>
      <c r="C27589" s="1" t="s">
        <v>7329</v>
      </c>
      <c r="D27589" s="22" t="str">
        <f>HYPERLINK("https://rhld.insurance.arkansas.gov/NPILookup?Npi=1720479223","1720479223")</f>
        <v>1720479223</v>
      </c>
      <c r="E27589" s="1" t="s">
        <v>28332</v>
      </c>
      <c r="F27589" s="2"/>
      <c r="G27589" s="2"/>
      <c r="H27589" s="2"/>
    </row>
    <row r="27590" spans="1:8" x14ac:dyDescent="0.25">
      <c r="A27590" s="1"/>
      <c r="B27590" s="1" t="s">
        <v>7328</v>
      </c>
      <c r="C27590" s="1" t="s">
        <v>7329</v>
      </c>
      <c r="D27590" s="22" t="str">
        <f>HYPERLINK("https://rhld.insurance.arkansas.gov/NPILookup?Npi=1720489032","1720489032")</f>
        <v>1720489032</v>
      </c>
      <c r="E27590" s="1" t="s">
        <v>28333</v>
      </c>
      <c r="F27590" s="2"/>
      <c r="G27590" s="2"/>
      <c r="H27590" s="2"/>
    </row>
    <row r="27591" spans="1:8" x14ac:dyDescent="0.25">
      <c r="A27591" s="1"/>
      <c r="B27591" s="1" t="s">
        <v>7328</v>
      </c>
      <c r="C27591" s="1" t="s">
        <v>7329</v>
      </c>
      <c r="D27591" s="22" t="str">
        <f>HYPERLINK("https://rhld.insurance.arkansas.gov/NPILookup?Npi=1720503360","1720503360")</f>
        <v>1720503360</v>
      </c>
      <c r="E27591" s="1" t="s">
        <v>28334</v>
      </c>
      <c r="F27591" s="2"/>
      <c r="G27591" s="2"/>
      <c r="H27591" s="2"/>
    </row>
    <row r="27592" spans="1:8" x14ac:dyDescent="0.25">
      <c r="A27592" s="1"/>
      <c r="B27592" s="1" t="s">
        <v>7328</v>
      </c>
      <c r="C27592" s="1" t="s">
        <v>7329</v>
      </c>
      <c r="D27592" s="22" t="str">
        <f>HYPERLINK("https://rhld.insurance.arkansas.gov/NPILookup?Npi=1720508195","1720508195")</f>
        <v>1720508195</v>
      </c>
      <c r="E27592" s="1" t="s">
        <v>13513</v>
      </c>
      <c r="F27592" s="2"/>
      <c r="G27592" s="2"/>
      <c r="H27592" s="2"/>
    </row>
    <row r="27593" spans="1:8" x14ac:dyDescent="0.25">
      <c r="A27593" s="1"/>
      <c r="B27593" s="1" t="s">
        <v>7328</v>
      </c>
      <c r="C27593" s="1" t="s">
        <v>7329</v>
      </c>
      <c r="D27593" s="22" t="str">
        <f>HYPERLINK("https://rhld.insurance.arkansas.gov/NPILookup?Npi=1720510738","1720510738")</f>
        <v>1720510738</v>
      </c>
      <c r="E27593" s="1" t="s">
        <v>2060</v>
      </c>
      <c r="F27593" s="2"/>
      <c r="G27593" s="2"/>
      <c r="H27593" s="2"/>
    </row>
    <row r="27594" spans="1:8" x14ac:dyDescent="0.25">
      <c r="A27594" s="1"/>
      <c r="B27594" s="1" t="s">
        <v>7328</v>
      </c>
      <c r="C27594" s="1" t="s">
        <v>7329</v>
      </c>
      <c r="D27594" s="22" t="str">
        <f>HYPERLINK("https://rhld.insurance.arkansas.gov/NPILookup?Npi=1720512668","1720512668")</f>
        <v>1720512668</v>
      </c>
      <c r="E27594" s="1" t="s">
        <v>28335</v>
      </c>
      <c r="F27594" s="2"/>
      <c r="G27594" s="2"/>
      <c r="H27594" s="2"/>
    </row>
    <row r="27595" spans="1:8" x14ac:dyDescent="0.25">
      <c r="A27595" s="1"/>
      <c r="B27595" s="1" t="s">
        <v>7328</v>
      </c>
      <c r="C27595" s="1" t="s">
        <v>7329</v>
      </c>
      <c r="D27595" s="22" t="str">
        <f>HYPERLINK("https://rhld.insurance.arkansas.gov/NPILookup?Npi=1720512858","1720512858")</f>
        <v>1720512858</v>
      </c>
      <c r="E27595" s="1" t="s">
        <v>10427</v>
      </c>
      <c r="F27595" s="2"/>
      <c r="G27595" s="2"/>
      <c r="H27595" s="2"/>
    </row>
    <row r="27596" spans="1:8" x14ac:dyDescent="0.25">
      <c r="A27596" s="1"/>
      <c r="B27596" s="1" t="s">
        <v>7328</v>
      </c>
      <c r="C27596" s="1" t="s">
        <v>7329</v>
      </c>
      <c r="D27596" s="22" t="str">
        <f>HYPERLINK("https://rhld.insurance.arkansas.gov/NPILookup?Npi=1720513401","1720513401")</f>
        <v>1720513401</v>
      </c>
      <c r="E27596" s="1" t="s">
        <v>28336</v>
      </c>
      <c r="F27596" s="2"/>
      <c r="G27596" s="2"/>
      <c r="H27596" s="2"/>
    </row>
    <row r="27597" spans="1:8" x14ac:dyDescent="0.25">
      <c r="A27597" s="1"/>
      <c r="B27597" s="1" t="s">
        <v>7328</v>
      </c>
      <c r="C27597" s="1" t="s">
        <v>7329</v>
      </c>
      <c r="D27597" s="22" t="str">
        <f>HYPERLINK("https://rhld.insurance.arkansas.gov/NPILookup?Npi=1720513658","1720513658")</f>
        <v>1720513658</v>
      </c>
      <c r="E27597" s="1" t="s">
        <v>28337</v>
      </c>
      <c r="F27597" s="2"/>
      <c r="G27597" s="2"/>
      <c r="H27597" s="2"/>
    </row>
    <row r="27598" spans="1:8" x14ac:dyDescent="0.25">
      <c r="A27598" s="1"/>
      <c r="B27598" s="1" t="s">
        <v>7328</v>
      </c>
      <c r="C27598" s="1" t="s">
        <v>7329</v>
      </c>
      <c r="D27598" s="22" t="str">
        <f>HYPERLINK("https://rhld.insurance.arkansas.gov/NPILookup?Npi=1720514672","1720514672")</f>
        <v>1720514672</v>
      </c>
      <c r="E27598" s="1" t="s">
        <v>13514</v>
      </c>
      <c r="F27598" s="2"/>
      <c r="G27598" s="2"/>
      <c r="H27598" s="2"/>
    </row>
    <row r="27599" spans="1:8" x14ac:dyDescent="0.25">
      <c r="A27599" s="1"/>
      <c r="B27599" s="1" t="s">
        <v>7328</v>
      </c>
      <c r="C27599" s="1" t="s">
        <v>7329</v>
      </c>
      <c r="D27599" s="22" t="str">
        <f>HYPERLINK("https://rhld.insurance.arkansas.gov/NPILookup?Npi=1720514847","1720514847")</f>
        <v>1720514847</v>
      </c>
      <c r="E27599" s="1" t="s">
        <v>28338</v>
      </c>
      <c r="F27599" s="2"/>
      <c r="G27599" s="2"/>
      <c r="H27599" s="2"/>
    </row>
    <row r="27600" spans="1:8" x14ac:dyDescent="0.25">
      <c r="A27600" s="1"/>
      <c r="B27600" s="1" t="s">
        <v>7328</v>
      </c>
      <c r="C27600" s="1" t="s">
        <v>7329</v>
      </c>
      <c r="D27600" s="22" t="str">
        <f>HYPERLINK("https://rhld.insurance.arkansas.gov/NPILookup?Npi=1720540347","1720540347")</f>
        <v>1720540347</v>
      </c>
      <c r="E27600" s="1" t="s">
        <v>28339</v>
      </c>
      <c r="F27600" s="2"/>
      <c r="G27600" s="2"/>
      <c r="H27600" s="2"/>
    </row>
    <row r="27601" spans="1:8" x14ac:dyDescent="0.25">
      <c r="A27601" s="1"/>
      <c r="B27601" s="1" t="s">
        <v>7328</v>
      </c>
      <c r="C27601" s="1" t="s">
        <v>7329</v>
      </c>
      <c r="D27601" s="22" t="str">
        <f>HYPERLINK("https://rhld.insurance.arkansas.gov/NPILookup?Npi=1720540644","1720540644")</f>
        <v>1720540644</v>
      </c>
      <c r="E27601" s="1" t="s">
        <v>28340</v>
      </c>
      <c r="F27601" s="2"/>
      <c r="G27601" s="2"/>
      <c r="H27601" s="2"/>
    </row>
    <row r="27602" spans="1:8" x14ac:dyDescent="0.25">
      <c r="A27602" s="1"/>
      <c r="B27602" s="1" t="s">
        <v>7328</v>
      </c>
      <c r="C27602" s="1" t="s">
        <v>7329</v>
      </c>
      <c r="D27602" s="22" t="str">
        <f>HYPERLINK("https://rhld.insurance.arkansas.gov/NPILookup?Npi=1720546864","1720546864")</f>
        <v>1720546864</v>
      </c>
      <c r="E27602" s="1" t="s">
        <v>28341</v>
      </c>
      <c r="F27602" s="2"/>
      <c r="G27602" s="2"/>
      <c r="H27602" s="2"/>
    </row>
    <row r="27603" spans="1:8" x14ac:dyDescent="0.25">
      <c r="A27603" s="1"/>
      <c r="B27603" s="1" t="s">
        <v>7328</v>
      </c>
      <c r="C27603" s="1" t="s">
        <v>7329</v>
      </c>
      <c r="D27603" s="22" t="str">
        <f>HYPERLINK("https://rhld.insurance.arkansas.gov/NPILookup?Npi=1720547011","1720547011")</f>
        <v>1720547011</v>
      </c>
      <c r="E27603" s="1" t="s">
        <v>2994</v>
      </c>
      <c r="F27603" s="2"/>
      <c r="G27603" s="2"/>
      <c r="H27603" s="2"/>
    </row>
    <row r="27604" spans="1:8" x14ac:dyDescent="0.25">
      <c r="A27604" s="1"/>
      <c r="B27604" s="1" t="s">
        <v>7328</v>
      </c>
      <c r="C27604" s="1" t="s">
        <v>7329</v>
      </c>
      <c r="D27604" s="22" t="str">
        <f>HYPERLINK("https://rhld.insurance.arkansas.gov/NPILookup?Npi=1720547359","1720547359")</f>
        <v>1720547359</v>
      </c>
      <c r="E27604" s="1" t="s">
        <v>28342</v>
      </c>
      <c r="F27604" s="2"/>
      <c r="G27604" s="2"/>
      <c r="H27604" s="2"/>
    </row>
    <row r="27605" spans="1:8" x14ac:dyDescent="0.25">
      <c r="A27605" s="1"/>
      <c r="B27605" s="1" t="s">
        <v>7328</v>
      </c>
      <c r="C27605" s="1" t="s">
        <v>7329</v>
      </c>
      <c r="D27605" s="22" t="str">
        <f>HYPERLINK("https://rhld.insurance.arkansas.gov/NPILookup?Npi=1720548282","1720548282")</f>
        <v>1720548282</v>
      </c>
      <c r="E27605" s="1" t="s">
        <v>8043</v>
      </c>
      <c r="F27605" s="2"/>
      <c r="G27605" s="2"/>
      <c r="H27605" s="2"/>
    </row>
    <row r="27606" spans="1:8" x14ac:dyDescent="0.25">
      <c r="A27606" s="1"/>
      <c r="B27606" s="1" t="s">
        <v>7328</v>
      </c>
      <c r="C27606" s="1" t="s">
        <v>7329</v>
      </c>
      <c r="D27606" s="22" t="str">
        <f>HYPERLINK("https://rhld.insurance.arkansas.gov/NPILookup?Npi=1720562945","1720562945")</f>
        <v>1720562945</v>
      </c>
      <c r="E27606" s="1" t="s">
        <v>28343</v>
      </c>
      <c r="F27606" s="2"/>
      <c r="G27606" s="2"/>
      <c r="H27606" s="2"/>
    </row>
    <row r="27607" spans="1:8" x14ac:dyDescent="0.25">
      <c r="A27607" s="1"/>
      <c r="B27607" s="1" t="s">
        <v>7328</v>
      </c>
      <c r="C27607" s="1" t="s">
        <v>7329</v>
      </c>
      <c r="D27607" s="22" t="str">
        <f>HYPERLINK("https://rhld.insurance.arkansas.gov/NPILookup?Npi=1720570609","1720570609")</f>
        <v>1720570609</v>
      </c>
      <c r="E27607" s="1" t="s">
        <v>8044</v>
      </c>
      <c r="F27607" s="2"/>
      <c r="G27607" s="2"/>
      <c r="H27607" s="2"/>
    </row>
    <row r="27608" spans="1:8" x14ac:dyDescent="0.25">
      <c r="A27608" s="1"/>
      <c r="B27608" s="1" t="s">
        <v>7328</v>
      </c>
      <c r="C27608" s="1" t="s">
        <v>7329</v>
      </c>
      <c r="D27608" s="22" t="str">
        <f>HYPERLINK("https://rhld.insurance.arkansas.gov/NPILookup?Npi=1720571102","1720571102")</f>
        <v>1720571102</v>
      </c>
      <c r="E27608" s="1" t="s">
        <v>17823</v>
      </c>
      <c r="F27608" s="2"/>
      <c r="G27608" s="2"/>
      <c r="H27608" s="2"/>
    </row>
    <row r="27609" spans="1:8" x14ac:dyDescent="0.25">
      <c r="A27609" s="1"/>
      <c r="B27609" s="1" t="s">
        <v>7328</v>
      </c>
      <c r="C27609" s="1" t="s">
        <v>7329</v>
      </c>
      <c r="D27609" s="22" t="str">
        <f>HYPERLINK("https://rhld.insurance.arkansas.gov/NPILookup?Npi=1720575467","1720575467")</f>
        <v>1720575467</v>
      </c>
      <c r="E27609" s="1" t="s">
        <v>13516</v>
      </c>
      <c r="F27609" s="2"/>
      <c r="G27609" s="2"/>
      <c r="H27609" s="2"/>
    </row>
    <row r="27610" spans="1:8" x14ac:dyDescent="0.25">
      <c r="A27610" s="1"/>
      <c r="B27610" s="1" t="s">
        <v>7328</v>
      </c>
      <c r="C27610" s="1" t="s">
        <v>7329</v>
      </c>
      <c r="D27610" s="22" t="str">
        <f>HYPERLINK("https://rhld.insurance.arkansas.gov/NPILookup?Npi=1720584568","1720584568")</f>
        <v>1720584568</v>
      </c>
      <c r="E27610" s="1" t="s">
        <v>13517</v>
      </c>
      <c r="F27610" s="2"/>
      <c r="G27610" s="2"/>
      <c r="H27610" s="2"/>
    </row>
    <row r="27611" spans="1:8" x14ac:dyDescent="0.25">
      <c r="A27611" s="1"/>
      <c r="B27611" s="1" t="s">
        <v>7328</v>
      </c>
      <c r="C27611" s="1" t="s">
        <v>7329</v>
      </c>
      <c r="D27611" s="22" t="str">
        <f>HYPERLINK("https://rhld.insurance.arkansas.gov/NPILookup?Npi=1720584816","1720584816")</f>
        <v>1720584816</v>
      </c>
      <c r="E27611" s="1" t="s">
        <v>28344</v>
      </c>
      <c r="F27611" s="2"/>
      <c r="G27611" s="2"/>
      <c r="H27611" s="2"/>
    </row>
    <row r="27612" spans="1:8" x14ac:dyDescent="0.25">
      <c r="A27612" s="1"/>
      <c r="B27612" s="1" t="s">
        <v>7328</v>
      </c>
      <c r="C27612" s="1" t="s">
        <v>7329</v>
      </c>
      <c r="D27612" s="22" t="str">
        <f>HYPERLINK("https://rhld.insurance.arkansas.gov/NPILookup?Npi=1720611361","1720611361")</f>
        <v>1720611361</v>
      </c>
      <c r="E27612" s="1" t="s">
        <v>32341</v>
      </c>
      <c r="F27612" s="2"/>
      <c r="G27612" s="2"/>
      <c r="H27612" s="2"/>
    </row>
    <row r="27613" spans="1:8" x14ac:dyDescent="0.25">
      <c r="A27613" s="1"/>
      <c r="B27613" s="1" t="s">
        <v>7328</v>
      </c>
      <c r="C27613" s="1" t="s">
        <v>7329</v>
      </c>
      <c r="D27613" s="22" t="str">
        <f>HYPERLINK("https://rhld.insurance.arkansas.gov/NPILookup?Npi=1720612641","1720612641")</f>
        <v>1720612641</v>
      </c>
      <c r="E27613" s="1" t="s">
        <v>28345</v>
      </c>
      <c r="F27613" s="2"/>
      <c r="G27613" s="2"/>
      <c r="H27613" s="2"/>
    </row>
    <row r="27614" spans="1:8" x14ac:dyDescent="0.25">
      <c r="A27614" s="1"/>
      <c r="B27614" s="1" t="s">
        <v>7328</v>
      </c>
      <c r="C27614" s="1" t="s">
        <v>7329</v>
      </c>
      <c r="D27614" s="22" t="str">
        <f>HYPERLINK("https://rhld.insurance.arkansas.gov/NPILookup?Npi=1720613482","1720613482")</f>
        <v>1720613482</v>
      </c>
      <c r="E27614" s="1" t="s">
        <v>23128</v>
      </c>
      <c r="F27614" s="2"/>
      <c r="G27614" s="2"/>
      <c r="H27614" s="2"/>
    </row>
    <row r="27615" spans="1:8" x14ac:dyDescent="0.25">
      <c r="A27615" s="1"/>
      <c r="B27615" s="1" t="s">
        <v>7328</v>
      </c>
      <c r="C27615" s="1" t="s">
        <v>7329</v>
      </c>
      <c r="D27615" s="22" t="str">
        <f>HYPERLINK("https://rhld.insurance.arkansas.gov/NPILookup?Npi=1720617616","1720617616")</f>
        <v>1720617616</v>
      </c>
      <c r="E27615" s="1" t="s">
        <v>28346</v>
      </c>
      <c r="F27615" s="2"/>
      <c r="G27615" s="2"/>
      <c r="H27615" s="2"/>
    </row>
    <row r="27616" spans="1:8" x14ac:dyDescent="0.25">
      <c r="A27616" s="1"/>
      <c r="B27616" s="1" t="s">
        <v>7328</v>
      </c>
      <c r="C27616" s="1" t="s">
        <v>7329</v>
      </c>
      <c r="D27616" s="22" t="str">
        <f>HYPERLINK("https://rhld.insurance.arkansas.gov/NPILookup?Npi=1720617954","1720617954")</f>
        <v>1720617954</v>
      </c>
      <c r="E27616" s="1" t="s">
        <v>28347</v>
      </c>
      <c r="F27616" s="2"/>
      <c r="G27616" s="2"/>
      <c r="H27616" s="2"/>
    </row>
    <row r="27617" spans="1:8" x14ac:dyDescent="0.25">
      <c r="A27617" s="1"/>
      <c r="B27617" s="1" t="s">
        <v>7328</v>
      </c>
      <c r="C27617" s="1" t="s">
        <v>7329</v>
      </c>
      <c r="D27617" s="22" t="str">
        <f>HYPERLINK("https://rhld.insurance.arkansas.gov/NPILookup?Npi=1720618390","1720618390")</f>
        <v>1720618390</v>
      </c>
      <c r="E27617" s="1" t="s">
        <v>942</v>
      </c>
      <c r="F27617" s="2"/>
      <c r="G27617" s="2"/>
      <c r="H27617" s="2"/>
    </row>
    <row r="27618" spans="1:8" x14ac:dyDescent="0.25">
      <c r="A27618" s="1"/>
      <c r="B27618" s="1" t="s">
        <v>7328</v>
      </c>
      <c r="C27618" s="1" t="s">
        <v>7329</v>
      </c>
      <c r="D27618" s="22" t="str">
        <f>HYPERLINK("https://rhld.insurance.arkansas.gov/NPILookup?Npi=1720620818","1720620818")</f>
        <v>1720620818</v>
      </c>
      <c r="E27618" s="1" t="s">
        <v>1805</v>
      </c>
      <c r="F27618" s="2"/>
      <c r="G27618" s="2"/>
      <c r="H27618" s="2"/>
    </row>
    <row r="27619" spans="1:8" x14ac:dyDescent="0.25">
      <c r="A27619" s="1"/>
      <c r="B27619" s="1" t="s">
        <v>7328</v>
      </c>
      <c r="C27619" s="1" t="s">
        <v>7329</v>
      </c>
      <c r="D27619" s="22" t="str">
        <f>HYPERLINK("https://rhld.insurance.arkansas.gov/NPILookup?Npi=1720627359","1720627359")</f>
        <v>1720627359</v>
      </c>
      <c r="E27619" s="1" t="s">
        <v>28348</v>
      </c>
      <c r="F27619" s="2"/>
      <c r="G27619" s="2"/>
      <c r="H27619" s="2"/>
    </row>
    <row r="27620" spans="1:8" x14ac:dyDescent="0.25">
      <c r="A27620" s="1"/>
      <c r="B27620" s="1" t="s">
        <v>7328</v>
      </c>
      <c r="C27620" s="1" t="s">
        <v>7329</v>
      </c>
      <c r="D27620" s="22" t="str">
        <f>HYPERLINK("https://rhld.insurance.arkansas.gov/NPILookup?Npi=1720629561","1720629561")</f>
        <v>1720629561</v>
      </c>
      <c r="E27620" s="1" t="s">
        <v>28349</v>
      </c>
      <c r="F27620" s="2"/>
      <c r="G27620" s="2"/>
      <c r="H27620" s="2"/>
    </row>
    <row r="27621" spans="1:8" x14ac:dyDescent="0.25">
      <c r="A27621" s="1"/>
      <c r="B27621" s="1" t="s">
        <v>7328</v>
      </c>
      <c r="C27621" s="1" t="s">
        <v>7329</v>
      </c>
      <c r="D27621" s="22" t="str">
        <f>HYPERLINK("https://rhld.insurance.arkansas.gov/NPILookup?Npi=1720637093","1720637093")</f>
        <v>1720637093</v>
      </c>
      <c r="E27621" s="1" t="s">
        <v>13518</v>
      </c>
      <c r="F27621" s="2"/>
      <c r="G27621" s="2"/>
      <c r="H27621" s="2"/>
    </row>
    <row r="27622" spans="1:8" x14ac:dyDescent="0.25">
      <c r="A27622" s="1"/>
      <c r="B27622" s="1" t="s">
        <v>7328</v>
      </c>
      <c r="C27622" s="1" t="s">
        <v>7329</v>
      </c>
      <c r="D27622" s="22" t="str">
        <f>HYPERLINK("https://rhld.insurance.arkansas.gov/NPILookup?Npi=1720642390","1720642390")</f>
        <v>1720642390</v>
      </c>
      <c r="E27622" s="1" t="s">
        <v>17825</v>
      </c>
      <c r="F27622" s="2"/>
      <c r="G27622" s="2"/>
      <c r="H27622" s="2"/>
    </row>
    <row r="27623" spans="1:8" x14ac:dyDescent="0.25">
      <c r="A27623" s="1"/>
      <c r="B27623" s="1" t="s">
        <v>7328</v>
      </c>
      <c r="C27623" s="1" t="s">
        <v>7329</v>
      </c>
      <c r="D27623" s="22" t="str">
        <f>HYPERLINK("https://rhld.insurance.arkansas.gov/NPILookup?Npi=1720645120","1720645120")</f>
        <v>1720645120</v>
      </c>
      <c r="E27623" s="1" t="s">
        <v>28350</v>
      </c>
      <c r="F27623" s="2"/>
      <c r="G27623" s="2"/>
      <c r="H27623" s="2"/>
    </row>
    <row r="27624" spans="1:8" x14ac:dyDescent="0.25">
      <c r="A27624" s="1"/>
      <c r="B27624" s="1" t="s">
        <v>7328</v>
      </c>
      <c r="C27624" s="1" t="s">
        <v>7329</v>
      </c>
      <c r="D27624" s="22" t="str">
        <f>HYPERLINK("https://rhld.insurance.arkansas.gov/NPILookup?Npi=1720646490","1720646490")</f>
        <v>1720646490</v>
      </c>
      <c r="E27624" s="1" t="s">
        <v>1806</v>
      </c>
      <c r="F27624" s="2"/>
      <c r="G27624" s="2"/>
      <c r="H27624" s="2"/>
    </row>
    <row r="27625" spans="1:8" x14ac:dyDescent="0.25">
      <c r="A27625" s="1"/>
      <c r="B27625" s="1" t="s">
        <v>7328</v>
      </c>
      <c r="C27625" s="1" t="s">
        <v>7329</v>
      </c>
      <c r="D27625" s="22" t="str">
        <f>HYPERLINK("https://rhld.insurance.arkansas.gov/NPILookup?Npi=1720648702","1720648702")</f>
        <v>1720648702</v>
      </c>
      <c r="E27625" s="1" t="s">
        <v>28351</v>
      </c>
      <c r="F27625" s="2"/>
      <c r="G27625" s="2"/>
      <c r="H27625" s="2"/>
    </row>
    <row r="27626" spans="1:8" x14ac:dyDescent="0.25">
      <c r="A27626" s="1"/>
      <c r="B27626" s="1" t="s">
        <v>7328</v>
      </c>
      <c r="C27626" s="1" t="s">
        <v>7329</v>
      </c>
      <c r="D27626" s="22" t="str">
        <f>HYPERLINK("https://rhld.insurance.arkansas.gov/NPILookup?Npi=1720670474","1720670474")</f>
        <v>1720670474</v>
      </c>
      <c r="E27626" s="1" t="s">
        <v>28352</v>
      </c>
      <c r="F27626" s="2"/>
      <c r="G27626" s="2"/>
      <c r="H27626" s="2"/>
    </row>
    <row r="27627" spans="1:8" x14ac:dyDescent="0.25">
      <c r="A27627" s="1"/>
      <c r="B27627" s="1" t="s">
        <v>7328</v>
      </c>
      <c r="C27627" s="1" t="s">
        <v>7329</v>
      </c>
      <c r="D27627" s="22" t="str">
        <f>HYPERLINK("https://rhld.insurance.arkansas.gov/NPILookup?Npi=1720673726","1720673726")</f>
        <v>1720673726</v>
      </c>
      <c r="E27627" s="1" t="s">
        <v>28353</v>
      </c>
      <c r="F27627" s="2"/>
      <c r="G27627" s="2"/>
      <c r="H27627" s="2"/>
    </row>
    <row r="27628" spans="1:8" x14ac:dyDescent="0.25">
      <c r="A27628" s="1"/>
      <c r="B27628" s="1" t="s">
        <v>7328</v>
      </c>
      <c r="C27628" s="1" t="s">
        <v>7329</v>
      </c>
      <c r="D27628" s="22" t="str">
        <f>HYPERLINK("https://rhld.insurance.arkansas.gov/NPILookup?Npi=1720685308","1720685308")</f>
        <v>1720685308</v>
      </c>
      <c r="E27628" s="1" t="s">
        <v>28354</v>
      </c>
      <c r="F27628" s="2"/>
      <c r="G27628" s="2"/>
      <c r="H27628" s="2"/>
    </row>
    <row r="27629" spans="1:8" x14ac:dyDescent="0.25">
      <c r="A27629" s="1"/>
      <c r="B27629" s="1" t="s">
        <v>7328</v>
      </c>
      <c r="C27629" s="1" t="s">
        <v>7329</v>
      </c>
      <c r="D27629" s="22" t="str">
        <f>HYPERLINK("https://rhld.insurance.arkansas.gov/NPILookup?Npi=1720695604","1720695604")</f>
        <v>1720695604</v>
      </c>
      <c r="E27629" s="1" t="s">
        <v>6135</v>
      </c>
      <c r="F27629" s="2"/>
      <c r="G27629" s="2"/>
      <c r="H27629" s="2"/>
    </row>
    <row r="27630" spans="1:8" x14ac:dyDescent="0.25">
      <c r="A27630" s="1"/>
      <c r="B27630" s="1" t="s">
        <v>7328</v>
      </c>
      <c r="C27630" s="1" t="s">
        <v>7329</v>
      </c>
      <c r="D27630" s="22" t="str">
        <f>HYPERLINK("https://rhld.insurance.arkansas.gov/NPILookup?Npi=1720701014","1720701014")</f>
        <v>1720701014</v>
      </c>
      <c r="E27630" s="1" t="s">
        <v>8045</v>
      </c>
      <c r="F27630" s="2"/>
      <c r="G27630" s="2"/>
      <c r="H27630" s="2"/>
    </row>
    <row r="27631" spans="1:8" x14ac:dyDescent="0.25">
      <c r="A27631" s="1"/>
      <c r="B27631" s="1" t="s">
        <v>7328</v>
      </c>
      <c r="C27631" s="1" t="s">
        <v>7329</v>
      </c>
      <c r="D27631" s="22" t="str">
        <f>HYPERLINK("https://rhld.insurance.arkansas.gov/NPILookup?Npi=1720714793","1720714793")</f>
        <v>1720714793</v>
      </c>
      <c r="E27631" s="1" t="s">
        <v>8046</v>
      </c>
      <c r="F27631" s="2"/>
      <c r="G27631" s="2"/>
      <c r="H27631" s="2"/>
    </row>
    <row r="27632" spans="1:8" x14ac:dyDescent="0.25">
      <c r="A27632" s="1"/>
      <c r="B27632" s="1" t="s">
        <v>7328</v>
      </c>
      <c r="C27632" s="1" t="s">
        <v>7329</v>
      </c>
      <c r="D27632" s="22" t="str">
        <f>HYPERLINK("https://rhld.insurance.arkansas.gov/NPILookup?Npi=1720734403","1720734403")</f>
        <v>1720734403</v>
      </c>
      <c r="E27632" s="1" t="s">
        <v>28355</v>
      </c>
      <c r="F27632" s="2"/>
      <c r="G27632" s="2"/>
      <c r="H27632" s="2"/>
    </row>
    <row r="27633" spans="1:8" x14ac:dyDescent="0.25">
      <c r="A27633" s="1"/>
      <c r="B27633" s="1" t="s">
        <v>7328</v>
      </c>
      <c r="C27633" s="1" t="s">
        <v>7329</v>
      </c>
      <c r="D27633" s="22" t="str">
        <f>HYPERLINK("https://rhld.insurance.arkansas.gov/NPILookup?Npi=1720747678","1720747678")</f>
        <v>1720747678</v>
      </c>
      <c r="E27633" s="1" t="s">
        <v>28356</v>
      </c>
      <c r="F27633" s="2"/>
      <c r="G27633" s="2"/>
      <c r="H27633" s="2"/>
    </row>
    <row r="27634" spans="1:8" x14ac:dyDescent="0.25">
      <c r="A27634" s="1"/>
      <c r="B27634" s="1" t="s">
        <v>7328</v>
      </c>
      <c r="C27634" s="1" t="s">
        <v>7329</v>
      </c>
      <c r="D27634" s="22" t="str">
        <f>HYPERLINK("https://rhld.insurance.arkansas.gov/NPILookup?Npi=1720752314","1720752314")</f>
        <v>1720752314</v>
      </c>
      <c r="E27634" s="1" t="s">
        <v>28357</v>
      </c>
      <c r="F27634" s="2"/>
      <c r="G27634" s="2"/>
      <c r="H27634" s="2"/>
    </row>
    <row r="27635" spans="1:8" x14ac:dyDescent="0.25">
      <c r="A27635" s="1"/>
      <c r="B27635" s="1" t="s">
        <v>7328</v>
      </c>
      <c r="C27635" s="1" t="s">
        <v>7329</v>
      </c>
      <c r="D27635" s="22" t="str">
        <f>HYPERLINK("https://rhld.insurance.arkansas.gov/NPILookup?Npi=1720760382","1720760382")</f>
        <v>1720760382</v>
      </c>
      <c r="E27635" s="1" t="s">
        <v>28358</v>
      </c>
      <c r="F27635" s="2"/>
      <c r="G27635" s="2"/>
      <c r="H27635" s="2"/>
    </row>
    <row r="27636" spans="1:8" x14ac:dyDescent="0.25">
      <c r="A27636" s="1"/>
      <c r="B27636" s="1" t="s">
        <v>7328</v>
      </c>
      <c r="C27636" s="1" t="s">
        <v>7329</v>
      </c>
      <c r="D27636" s="22" t="str">
        <f>HYPERLINK("https://rhld.insurance.arkansas.gov/NPILookup?Npi=1720790371","1720790371")</f>
        <v>1720790371</v>
      </c>
      <c r="E27636" s="1" t="s">
        <v>28359</v>
      </c>
      <c r="F27636" s="2"/>
      <c r="G27636" s="2"/>
      <c r="H27636" s="2"/>
    </row>
    <row r="27637" spans="1:8" x14ac:dyDescent="0.25">
      <c r="A27637" s="1"/>
      <c r="B27637" s="1" t="s">
        <v>7328</v>
      </c>
      <c r="C27637" s="1" t="s">
        <v>7329</v>
      </c>
      <c r="D27637" s="22" t="str">
        <f>HYPERLINK("https://rhld.insurance.arkansas.gov/NPILookup?Npi=1720823958","1720823958")</f>
        <v>1720823958</v>
      </c>
      <c r="E27637" s="1" t="s">
        <v>28360</v>
      </c>
      <c r="F27637" s="2"/>
      <c r="G27637" s="2"/>
      <c r="H27637" s="2"/>
    </row>
    <row r="27638" spans="1:8" x14ac:dyDescent="0.25">
      <c r="A27638" s="1"/>
      <c r="B27638" s="1" t="s">
        <v>7328</v>
      </c>
      <c r="C27638" s="1" t="s">
        <v>7329</v>
      </c>
      <c r="D27638" s="22" t="str">
        <f>HYPERLINK("https://rhld.insurance.arkansas.gov/NPILookup?Npi=1720849474","1720849474")</f>
        <v>1720849474</v>
      </c>
      <c r="E27638" s="1" t="s">
        <v>8047</v>
      </c>
      <c r="F27638" s="2"/>
      <c r="G27638" s="2"/>
      <c r="H27638" s="2"/>
    </row>
    <row r="27639" spans="1:8" x14ac:dyDescent="0.25">
      <c r="A27639" s="1"/>
      <c r="B27639" s="1" t="s">
        <v>7328</v>
      </c>
      <c r="C27639" s="1" t="s">
        <v>7329</v>
      </c>
      <c r="D27639" s="22" t="str">
        <f>HYPERLINK("https://rhld.insurance.arkansas.gov/NPILookup?Npi=1720849847","1720849847")</f>
        <v>1720849847</v>
      </c>
      <c r="E27639" s="1" t="s">
        <v>28361</v>
      </c>
      <c r="F27639" s="2"/>
      <c r="G27639" s="2"/>
      <c r="H27639" s="2"/>
    </row>
    <row r="27640" spans="1:8" x14ac:dyDescent="0.25">
      <c r="A27640" s="1"/>
      <c r="B27640" s="1" t="s">
        <v>7328</v>
      </c>
      <c r="C27640" s="1" t="s">
        <v>7329</v>
      </c>
      <c r="D27640" s="22" t="str">
        <f>HYPERLINK("https://rhld.insurance.arkansas.gov/NPILookup?Npi=1720867492","1720867492")</f>
        <v>1720867492</v>
      </c>
      <c r="E27640" s="1" t="s">
        <v>6928</v>
      </c>
      <c r="F27640" s="2"/>
      <c r="G27640" s="2"/>
      <c r="H27640" s="2"/>
    </row>
    <row r="27641" spans="1:8" x14ac:dyDescent="0.25">
      <c r="A27641" s="1"/>
      <c r="B27641" s="1" t="s">
        <v>7328</v>
      </c>
      <c r="C27641" s="1" t="s">
        <v>7329</v>
      </c>
      <c r="D27641" s="22" t="str">
        <f>HYPERLINK("https://rhld.insurance.arkansas.gov/NPILookup?Npi=1720897705","1720897705")</f>
        <v>1720897705</v>
      </c>
      <c r="E27641" s="1" t="s">
        <v>32342</v>
      </c>
      <c r="F27641" s="2"/>
      <c r="G27641" s="2"/>
      <c r="H27641" s="2"/>
    </row>
    <row r="27642" spans="1:8" x14ac:dyDescent="0.25">
      <c r="A27642" s="1"/>
      <c r="B27642" s="1" t="s">
        <v>7328</v>
      </c>
      <c r="C27642" s="1" t="s">
        <v>7329</v>
      </c>
      <c r="D27642" s="22" t="str">
        <f>HYPERLINK("https://rhld.insurance.arkansas.gov/NPILookup?Npi=1730104340","1730104340")</f>
        <v>1730104340</v>
      </c>
      <c r="E27642" s="1" t="s">
        <v>28362</v>
      </c>
      <c r="F27642" s="2"/>
      <c r="G27642" s="2"/>
      <c r="H27642" s="2"/>
    </row>
    <row r="27643" spans="1:8" x14ac:dyDescent="0.25">
      <c r="A27643" s="1"/>
      <c r="B27643" s="1" t="s">
        <v>7328</v>
      </c>
      <c r="C27643" s="1" t="s">
        <v>7329</v>
      </c>
      <c r="D27643" s="22" t="str">
        <f>HYPERLINK("https://rhld.insurance.arkansas.gov/NPILookup?Npi=1730109877","1730109877")</f>
        <v>1730109877</v>
      </c>
      <c r="E27643" s="1" t="s">
        <v>28363</v>
      </c>
      <c r="F27643" s="2"/>
      <c r="G27643" s="2"/>
      <c r="H27643" s="2"/>
    </row>
    <row r="27644" spans="1:8" x14ac:dyDescent="0.25">
      <c r="A27644" s="1"/>
      <c r="B27644" s="1" t="s">
        <v>7328</v>
      </c>
      <c r="C27644" s="1" t="s">
        <v>7329</v>
      </c>
      <c r="D27644" s="22" t="str">
        <f>HYPERLINK("https://rhld.insurance.arkansas.gov/NPILookup?Npi=1730112574","1730112574")</f>
        <v>1730112574</v>
      </c>
      <c r="E27644" s="1" t="s">
        <v>2995</v>
      </c>
      <c r="F27644" s="2"/>
      <c r="G27644" s="2"/>
      <c r="H27644" s="2"/>
    </row>
    <row r="27645" spans="1:8" x14ac:dyDescent="0.25">
      <c r="A27645" s="1"/>
      <c r="B27645" s="1" t="s">
        <v>7328</v>
      </c>
      <c r="C27645" s="1" t="s">
        <v>7329</v>
      </c>
      <c r="D27645" s="22" t="str">
        <f>HYPERLINK("https://rhld.insurance.arkansas.gov/NPILookup?Npi=1730135922","1730135922")</f>
        <v>1730135922</v>
      </c>
      <c r="E27645" s="1" t="s">
        <v>28364</v>
      </c>
      <c r="F27645" s="2"/>
      <c r="G27645" s="2"/>
      <c r="H27645" s="2"/>
    </row>
    <row r="27646" spans="1:8" x14ac:dyDescent="0.25">
      <c r="A27646" s="1"/>
      <c r="B27646" s="1" t="s">
        <v>7328</v>
      </c>
      <c r="C27646" s="1" t="s">
        <v>7329</v>
      </c>
      <c r="D27646" s="22" t="str">
        <f>HYPERLINK("https://rhld.insurance.arkansas.gov/NPILookup?Npi=1730137811","1730137811")</f>
        <v>1730137811</v>
      </c>
      <c r="E27646" s="1" t="s">
        <v>28365</v>
      </c>
      <c r="F27646" s="2"/>
      <c r="G27646" s="2"/>
      <c r="H27646" s="2"/>
    </row>
    <row r="27647" spans="1:8" x14ac:dyDescent="0.25">
      <c r="A27647" s="1"/>
      <c r="B27647" s="1" t="s">
        <v>7328</v>
      </c>
      <c r="C27647" s="1" t="s">
        <v>7329</v>
      </c>
      <c r="D27647" s="22" t="str">
        <f>HYPERLINK("https://rhld.insurance.arkansas.gov/NPILookup?Npi=1730145814","1730145814")</f>
        <v>1730145814</v>
      </c>
      <c r="E27647" s="1" t="s">
        <v>17827</v>
      </c>
      <c r="F27647" s="2"/>
      <c r="G27647" s="2"/>
      <c r="H27647" s="2"/>
    </row>
    <row r="27648" spans="1:8" x14ac:dyDescent="0.25">
      <c r="A27648" s="1"/>
      <c r="B27648" s="1" t="s">
        <v>7328</v>
      </c>
      <c r="C27648" s="1" t="s">
        <v>7329</v>
      </c>
      <c r="D27648" s="22" t="str">
        <f>HYPERLINK("https://rhld.insurance.arkansas.gov/NPILookup?Npi=1730146507","1730146507")</f>
        <v>1730146507</v>
      </c>
      <c r="E27648" s="1" t="s">
        <v>17828</v>
      </c>
      <c r="F27648" s="2"/>
      <c r="G27648" s="2"/>
      <c r="H27648" s="2"/>
    </row>
    <row r="27649" spans="1:8" x14ac:dyDescent="0.25">
      <c r="A27649" s="1"/>
      <c r="B27649" s="1" t="s">
        <v>7328</v>
      </c>
      <c r="C27649" s="1" t="s">
        <v>7329</v>
      </c>
      <c r="D27649" s="22" t="str">
        <f>HYPERLINK("https://rhld.insurance.arkansas.gov/NPILookup?Npi=1730151408","1730151408")</f>
        <v>1730151408</v>
      </c>
      <c r="E27649" s="1" t="s">
        <v>13519</v>
      </c>
      <c r="F27649" s="2"/>
      <c r="G27649" s="2"/>
      <c r="H27649" s="2"/>
    </row>
    <row r="27650" spans="1:8" x14ac:dyDescent="0.25">
      <c r="A27650" s="1"/>
      <c r="B27650" s="1" t="s">
        <v>7328</v>
      </c>
      <c r="C27650" s="1" t="s">
        <v>7329</v>
      </c>
      <c r="D27650" s="22" t="str">
        <f>HYPERLINK("https://rhld.insurance.arkansas.gov/NPILookup?Npi=1730152000","1730152000")</f>
        <v>1730152000</v>
      </c>
      <c r="E27650" s="1" t="s">
        <v>28366</v>
      </c>
      <c r="F27650" s="2"/>
      <c r="G27650" s="2"/>
      <c r="H27650" s="2"/>
    </row>
    <row r="27651" spans="1:8" x14ac:dyDescent="0.25">
      <c r="A27651" s="1"/>
      <c r="B27651" s="1" t="s">
        <v>7328</v>
      </c>
      <c r="C27651" s="1" t="s">
        <v>7329</v>
      </c>
      <c r="D27651" s="22" t="str">
        <f>HYPERLINK("https://rhld.insurance.arkansas.gov/NPILookup?Npi=1730155102","1730155102")</f>
        <v>1730155102</v>
      </c>
      <c r="E27651" s="1" t="s">
        <v>13520</v>
      </c>
      <c r="F27651" s="2"/>
      <c r="G27651" s="2"/>
      <c r="H27651" s="2"/>
    </row>
    <row r="27652" spans="1:8" x14ac:dyDescent="0.25">
      <c r="A27652" s="1"/>
      <c r="B27652" s="1" t="s">
        <v>7328</v>
      </c>
      <c r="C27652" s="1" t="s">
        <v>7329</v>
      </c>
      <c r="D27652" s="22" t="str">
        <f>HYPERLINK("https://rhld.insurance.arkansas.gov/NPILookup?Npi=1730166844","1730166844")</f>
        <v>1730166844</v>
      </c>
      <c r="E27652" s="1" t="s">
        <v>28367</v>
      </c>
      <c r="F27652" s="2"/>
      <c r="G27652" s="2"/>
      <c r="H27652" s="2"/>
    </row>
    <row r="27653" spans="1:8" x14ac:dyDescent="0.25">
      <c r="A27653" s="1"/>
      <c r="B27653" s="1" t="s">
        <v>7328</v>
      </c>
      <c r="C27653" s="1" t="s">
        <v>7329</v>
      </c>
      <c r="D27653" s="22" t="str">
        <f>HYPERLINK("https://rhld.insurance.arkansas.gov/NPILookup?Npi=1730172958","1730172958")</f>
        <v>1730172958</v>
      </c>
      <c r="E27653" s="1" t="s">
        <v>13804</v>
      </c>
      <c r="F27653" s="2"/>
      <c r="G27653" s="2"/>
      <c r="H27653" s="2"/>
    </row>
    <row r="27654" spans="1:8" x14ac:dyDescent="0.25">
      <c r="A27654" s="1"/>
      <c r="B27654" s="1" t="s">
        <v>7328</v>
      </c>
      <c r="C27654" s="1" t="s">
        <v>7329</v>
      </c>
      <c r="D27654" s="22" t="str">
        <f>HYPERLINK("https://rhld.insurance.arkansas.gov/NPILookup?Npi=1730182882","1730182882")</f>
        <v>1730182882</v>
      </c>
      <c r="E27654" s="1" t="s">
        <v>28368</v>
      </c>
      <c r="F27654" s="2"/>
      <c r="G27654" s="2"/>
      <c r="H27654" s="2"/>
    </row>
    <row r="27655" spans="1:8" x14ac:dyDescent="0.25">
      <c r="A27655" s="1"/>
      <c r="B27655" s="1" t="s">
        <v>7328</v>
      </c>
      <c r="C27655" s="1" t="s">
        <v>7329</v>
      </c>
      <c r="D27655" s="22" t="str">
        <f>HYPERLINK("https://rhld.insurance.arkansas.gov/NPILookup?Npi=1730185752","1730185752")</f>
        <v>1730185752</v>
      </c>
      <c r="E27655" s="1" t="s">
        <v>28369</v>
      </c>
      <c r="F27655" s="2"/>
      <c r="G27655" s="2"/>
      <c r="H27655" s="2"/>
    </row>
    <row r="27656" spans="1:8" x14ac:dyDescent="0.25">
      <c r="A27656" s="1"/>
      <c r="B27656" s="1" t="s">
        <v>7328</v>
      </c>
      <c r="C27656" s="1" t="s">
        <v>7329</v>
      </c>
      <c r="D27656" s="22" t="str">
        <f>HYPERLINK("https://rhld.insurance.arkansas.gov/NPILookup?Npi=1730187204","1730187204")</f>
        <v>1730187204</v>
      </c>
      <c r="E27656" s="1" t="s">
        <v>1560</v>
      </c>
      <c r="F27656" s="2"/>
      <c r="G27656" s="2"/>
      <c r="H27656" s="2"/>
    </row>
    <row r="27657" spans="1:8" x14ac:dyDescent="0.25">
      <c r="A27657" s="1"/>
      <c r="B27657" s="1" t="s">
        <v>7328</v>
      </c>
      <c r="C27657" s="1" t="s">
        <v>7329</v>
      </c>
      <c r="D27657" s="22" t="str">
        <f>HYPERLINK("https://rhld.insurance.arkansas.gov/NPILookup?Npi=1730188053","1730188053")</f>
        <v>1730188053</v>
      </c>
      <c r="E27657" s="1" t="s">
        <v>17830</v>
      </c>
      <c r="F27657" s="2"/>
      <c r="G27657" s="2"/>
      <c r="H27657" s="2"/>
    </row>
    <row r="27658" spans="1:8" x14ac:dyDescent="0.25">
      <c r="A27658" s="1"/>
      <c r="B27658" s="1" t="s">
        <v>7328</v>
      </c>
      <c r="C27658" s="1" t="s">
        <v>7329</v>
      </c>
      <c r="D27658" s="22" t="str">
        <f>HYPERLINK("https://rhld.insurance.arkansas.gov/NPILookup?Npi=1730196080","1730196080")</f>
        <v>1730196080</v>
      </c>
      <c r="E27658" s="1" t="s">
        <v>17831</v>
      </c>
      <c r="F27658" s="2"/>
      <c r="G27658" s="2"/>
      <c r="H27658" s="2"/>
    </row>
    <row r="27659" spans="1:8" x14ac:dyDescent="0.25">
      <c r="A27659" s="1"/>
      <c r="B27659" s="1" t="s">
        <v>7328</v>
      </c>
      <c r="C27659" s="1" t="s">
        <v>7329</v>
      </c>
      <c r="D27659" s="22" t="str">
        <f>HYPERLINK("https://rhld.insurance.arkansas.gov/NPILookup?Npi=1730198243","1730198243")</f>
        <v>1730198243</v>
      </c>
      <c r="E27659" s="1" t="s">
        <v>13521</v>
      </c>
      <c r="F27659" s="2"/>
      <c r="G27659" s="2"/>
      <c r="H27659" s="2"/>
    </row>
    <row r="27660" spans="1:8" x14ac:dyDescent="0.25">
      <c r="A27660" s="1"/>
      <c r="B27660" s="1" t="s">
        <v>7328</v>
      </c>
      <c r="C27660" s="1" t="s">
        <v>7329</v>
      </c>
      <c r="D27660" s="22" t="str">
        <f>HYPERLINK("https://rhld.insurance.arkansas.gov/NPILookup?Npi=1730226226","1730226226")</f>
        <v>1730226226</v>
      </c>
      <c r="E27660" s="1" t="s">
        <v>244</v>
      </c>
      <c r="F27660" s="2"/>
      <c r="G27660" s="2"/>
      <c r="H27660" s="2"/>
    </row>
    <row r="27661" spans="1:8" x14ac:dyDescent="0.25">
      <c r="A27661" s="1"/>
      <c r="B27661" s="1" t="s">
        <v>7328</v>
      </c>
      <c r="C27661" s="1" t="s">
        <v>7329</v>
      </c>
      <c r="D27661" s="22" t="str">
        <f>HYPERLINK("https://rhld.insurance.arkansas.gov/NPILookup?Npi=1730227299","1730227299")</f>
        <v>1730227299</v>
      </c>
      <c r="E27661" s="1" t="s">
        <v>28370</v>
      </c>
      <c r="F27661" s="2"/>
      <c r="G27661" s="2"/>
      <c r="H27661" s="2"/>
    </row>
    <row r="27662" spans="1:8" x14ac:dyDescent="0.25">
      <c r="A27662" s="1"/>
      <c r="B27662" s="1" t="s">
        <v>7328</v>
      </c>
      <c r="C27662" s="1" t="s">
        <v>7329</v>
      </c>
      <c r="D27662" s="22" t="str">
        <f>HYPERLINK("https://rhld.insurance.arkansas.gov/NPILookup?Npi=1730262114","1730262114")</f>
        <v>1730262114</v>
      </c>
      <c r="E27662" s="1" t="s">
        <v>28371</v>
      </c>
      <c r="F27662" s="2"/>
      <c r="G27662" s="2"/>
      <c r="H27662" s="2"/>
    </row>
    <row r="27663" spans="1:8" x14ac:dyDescent="0.25">
      <c r="A27663" s="1"/>
      <c r="B27663" s="1" t="s">
        <v>7328</v>
      </c>
      <c r="C27663" s="1" t="s">
        <v>7329</v>
      </c>
      <c r="D27663" s="22" t="str">
        <f>HYPERLINK("https://rhld.insurance.arkansas.gov/NPILookup?Npi=1730271321","1730271321")</f>
        <v>1730271321</v>
      </c>
      <c r="E27663" s="1" t="s">
        <v>8048</v>
      </c>
      <c r="F27663" s="2"/>
      <c r="G27663" s="2"/>
      <c r="H27663" s="2"/>
    </row>
    <row r="27664" spans="1:8" x14ac:dyDescent="0.25">
      <c r="A27664" s="1"/>
      <c r="B27664" s="1" t="s">
        <v>7328</v>
      </c>
      <c r="C27664" s="1" t="s">
        <v>7329</v>
      </c>
      <c r="D27664" s="22" t="str">
        <f>HYPERLINK("https://rhld.insurance.arkansas.gov/NPILookup?Npi=1730287004","1730287004")</f>
        <v>1730287004</v>
      </c>
      <c r="E27664" s="1" t="s">
        <v>28372</v>
      </c>
      <c r="F27664" s="2"/>
      <c r="G27664" s="2"/>
      <c r="H27664" s="2"/>
    </row>
    <row r="27665" spans="1:8" x14ac:dyDescent="0.25">
      <c r="A27665" s="1"/>
      <c r="B27665" s="1" t="s">
        <v>7328</v>
      </c>
      <c r="C27665" s="1" t="s">
        <v>7329</v>
      </c>
      <c r="D27665" s="22" t="str">
        <f>HYPERLINK("https://rhld.insurance.arkansas.gov/NPILookup?Npi=1730296591","1730296591")</f>
        <v>1730296591</v>
      </c>
      <c r="E27665" s="1" t="s">
        <v>23141</v>
      </c>
      <c r="F27665" s="2"/>
      <c r="G27665" s="2"/>
      <c r="H27665" s="2"/>
    </row>
    <row r="27666" spans="1:8" x14ac:dyDescent="0.25">
      <c r="A27666" s="1"/>
      <c r="B27666" s="1" t="s">
        <v>7328</v>
      </c>
      <c r="C27666" s="1" t="s">
        <v>7329</v>
      </c>
      <c r="D27666" s="22" t="str">
        <f>HYPERLINK("https://rhld.insurance.arkansas.gov/NPILookup?Npi=1730302191","1730302191")</f>
        <v>1730302191</v>
      </c>
      <c r="E27666" s="1" t="s">
        <v>28373</v>
      </c>
      <c r="F27666" s="2"/>
      <c r="G27666" s="2"/>
      <c r="H27666" s="2"/>
    </row>
    <row r="27667" spans="1:8" x14ac:dyDescent="0.25">
      <c r="A27667" s="1"/>
      <c r="B27667" s="1" t="s">
        <v>7328</v>
      </c>
      <c r="C27667" s="1" t="s">
        <v>7329</v>
      </c>
      <c r="D27667" s="22" t="str">
        <f>HYPERLINK("https://rhld.insurance.arkansas.gov/NPILookup?Npi=1730307729","1730307729")</f>
        <v>1730307729</v>
      </c>
      <c r="E27667" s="1" t="s">
        <v>17833</v>
      </c>
      <c r="F27667" s="2"/>
      <c r="G27667" s="2"/>
      <c r="H27667" s="2"/>
    </row>
    <row r="27668" spans="1:8" x14ac:dyDescent="0.25">
      <c r="A27668" s="1"/>
      <c r="B27668" s="1" t="s">
        <v>7328</v>
      </c>
      <c r="C27668" s="1" t="s">
        <v>7329</v>
      </c>
      <c r="D27668" s="22" t="str">
        <f>HYPERLINK("https://rhld.insurance.arkansas.gov/NPILookup?Npi=1730332511","1730332511")</f>
        <v>1730332511</v>
      </c>
      <c r="E27668" s="1" t="s">
        <v>17834</v>
      </c>
      <c r="F27668" s="2"/>
      <c r="G27668" s="2"/>
      <c r="H27668" s="2"/>
    </row>
    <row r="27669" spans="1:8" x14ac:dyDescent="0.25">
      <c r="A27669" s="1"/>
      <c r="B27669" s="1" t="s">
        <v>7328</v>
      </c>
      <c r="C27669" s="1" t="s">
        <v>7329</v>
      </c>
      <c r="D27669" s="22" t="str">
        <f>HYPERLINK("https://rhld.insurance.arkansas.gov/NPILookup?Npi=1730334376","1730334376")</f>
        <v>1730334376</v>
      </c>
      <c r="E27669" s="1" t="s">
        <v>28374</v>
      </c>
      <c r="F27669" s="2"/>
      <c r="G27669" s="2"/>
      <c r="H27669" s="2"/>
    </row>
    <row r="27670" spans="1:8" x14ac:dyDescent="0.25">
      <c r="A27670" s="1"/>
      <c r="B27670" s="1" t="s">
        <v>7328</v>
      </c>
      <c r="C27670" s="1" t="s">
        <v>7329</v>
      </c>
      <c r="D27670" s="22" t="str">
        <f>HYPERLINK("https://rhld.insurance.arkansas.gov/NPILookup?Npi=1730338187","1730338187")</f>
        <v>1730338187</v>
      </c>
      <c r="E27670" s="1" t="s">
        <v>28376</v>
      </c>
      <c r="F27670" s="2"/>
      <c r="G27670" s="2"/>
      <c r="H27670" s="2"/>
    </row>
    <row r="27671" spans="1:8" x14ac:dyDescent="0.25">
      <c r="A27671" s="1"/>
      <c r="B27671" s="1" t="s">
        <v>7328</v>
      </c>
      <c r="C27671" s="1" t="s">
        <v>7329</v>
      </c>
      <c r="D27671" s="22" t="str">
        <f>HYPERLINK("https://rhld.insurance.arkansas.gov/NPILookup?Npi=1730349382","1730349382")</f>
        <v>1730349382</v>
      </c>
      <c r="E27671" s="1" t="s">
        <v>2061</v>
      </c>
      <c r="F27671" s="2"/>
      <c r="G27671" s="2"/>
      <c r="H27671" s="2"/>
    </row>
    <row r="27672" spans="1:8" x14ac:dyDescent="0.25">
      <c r="A27672" s="1"/>
      <c r="B27672" s="1" t="s">
        <v>7328</v>
      </c>
      <c r="C27672" s="1" t="s">
        <v>7329</v>
      </c>
      <c r="D27672" s="22" t="str">
        <f>HYPERLINK("https://rhld.insurance.arkansas.gov/NPILookup?Npi=1730354333","1730354333")</f>
        <v>1730354333</v>
      </c>
      <c r="E27672" s="1" t="s">
        <v>16812</v>
      </c>
      <c r="F27672" s="2"/>
      <c r="G27672" s="2"/>
      <c r="H27672" s="2"/>
    </row>
    <row r="27673" spans="1:8" x14ac:dyDescent="0.25">
      <c r="A27673" s="1"/>
      <c r="B27673" s="1" t="s">
        <v>7328</v>
      </c>
      <c r="C27673" s="1" t="s">
        <v>7329</v>
      </c>
      <c r="D27673" s="22" t="str">
        <f>HYPERLINK("https://rhld.insurance.arkansas.gov/NPILookup?Npi=1730375007","1730375007")</f>
        <v>1730375007</v>
      </c>
      <c r="E27673" s="1" t="s">
        <v>28377</v>
      </c>
      <c r="F27673" s="2"/>
      <c r="G27673" s="2"/>
      <c r="H27673" s="2"/>
    </row>
    <row r="27674" spans="1:8" x14ac:dyDescent="0.25">
      <c r="A27674" s="1"/>
      <c r="B27674" s="1" t="s">
        <v>7328</v>
      </c>
      <c r="C27674" s="1" t="s">
        <v>7329</v>
      </c>
      <c r="D27674" s="22" t="str">
        <f>HYPERLINK("https://rhld.insurance.arkansas.gov/NPILookup?Npi=1730389743","1730389743")</f>
        <v>1730389743</v>
      </c>
      <c r="E27674" s="1" t="s">
        <v>28378</v>
      </c>
      <c r="F27674" s="2"/>
      <c r="G27674" s="2"/>
      <c r="H27674" s="2"/>
    </row>
    <row r="27675" spans="1:8" x14ac:dyDescent="0.25">
      <c r="A27675" s="1"/>
      <c r="B27675" s="1" t="s">
        <v>7328</v>
      </c>
      <c r="C27675" s="1" t="s">
        <v>7329</v>
      </c>
      <c r="D27675" s="22" t="str">
        <f>HYPERLINK("https://rhld.insurance.arkansas.gov/NPILookup?Npi=1730411059","1730411059")</f>
        <v>1730411059</v>
      </c>
      <c r="E27675" s="1" t="s">
        <v>28379</v>
      </c>
      <c r="F27675" s="2"/>
      <c r="G27675" s="2"/>
      <c r="H27675" s="2"/>
    </row>
    <row r="27676" spans="1:8" x14ac:dyDescent="0.25">
      <c r="A27676" s="1"/>
      <c r="B27676" s="1" t="s">
        <v>7328</v>
      </c>
      <c r="C27676" s="1" t="s">
        <v>7329</v>
      </c>
      <c r="D27676" s="22" t="str">
        <f>HYPERLINK("https://rhld.insurance.arkansas.gov/NPILookup?Npi=1730418385","1730418385")</f>
        <v>1730418385</v>
      </c>
      <c r="E27676" s="1" t="s">
        <v>8049</v>
      </c>
      <c r="F27676" s="2"/>
      <c r="G27676" s="2"/>
      <c r="H27676" s="2"/>
    </row>
    <row r="27677" spans="1:8" x14ac:dyDescent="0.25">
      <c r="A27677" s="1"/>
      <c r="B27677" s="1" t="s">
        <v>7328</v>
      </c>
      <c r="C27677" s="1" t="s">
        <v>7329</v>
      </c>
      <c r="D27677" s="22" t="str">
        <f>HYPERLINK("https://rhld.insurance.arkansas.gov/NPILookup?Npi=1730428483","1730428483")</f>
        <v>1730428483</v>
      </c>
      <c r="E27677" s="1" t="s">
        <v>28380</v>
      </c>
      <c r="F27677" s="2"/>
      <c r="G27677" s="2"/>
      <c r="H27677" s="2"/>
    </row>
    <row r="27678" spans="1:8" x14ac:dyDescent="0.25">
      <c r="A27678" s="1"/>
      <c r="B27678" s="1" t="s">
        <v>7328</v>
      </c>
      <c r="C27678" s="1" t="s">
        <v>7329</v>
      </c>
      <c r="D27678" s="22" t="str">
        <f>HYPERLINK("https://rhld.insurance.arkansas.gov/NPILookup?Npi=1730432741","1730432741")</f>
        <v>1730432741</v>
      </c>
      <c r="E27678" s="1" t="s">
        <v>691</v>
      </c>
      <c r="F27678" s="2"/>
      <c r="G27678" s="2"/>
      <c r="H27678" s="2"/>
    </row>
    <row r="27679" spans="1:8" x14ac:dyDescent="0.25">
      <c r="A27679" s="1"/>
      <c r="B27679" s="1" t="s">
        <v>7328</v>
      </c>
      <c r="C27679" s="1" t="s">
        <v>7329</v>
      </c>
      <c r="D27679" s="22" t="str">
        <f>HYPERLINK("https://rhld.insurance.arkansas.gov/NPILookup?Npi=1730435975","1730435975")</f>
        <v>1730435975</v>
      </c>
      <c r="E27679" s="1" t="s">
        <v>8050</v>
      </c>
      <c r="F27679" s="2"/>
      <c r="G27679" s="2"/>
      <c r="H27679" s="2"/>
    </row>
    <row r="27680" spans="1:8" x14ac:dyDescent="0.25">
      <c r="A27680" s="1"/>
      <c r="B27680" s="1" t="s">
        <v>7328</v>
      </c>
      <c r="C27680" s="1" t="s">
        <v>7329</v>
      </c>
      <c r="D27680" s="22" t="str">
        <f>HYPERLINK("https://rhld.insurance.arkansas.gov/NPILookup?Npi=1730443078","1730443078")</f>
        <v>1730443078</v>
      </c>
      <c r="E27680" s="1" t="s">
        <v>28381</v>
      </c>
      <c r="F27680" s="2"/>
      <c r="G27680" s="2"/>
      <c r="H27680" s="2"/>
    </row>
    <row r="27681" spans="1:8" x14ac:dyDescent="0.25">
      <c r="A27681" s="1"/>
      <c r="B27681" s="1" t="s">
        <v>7328</v>
      </c>
      <c r="C27681" s="1" t="s">
        <v>7329</v>
      </c>
      <c r="D27681" s="22" t="str">
        <f>HYPERLINK("https://rhld.insurance.arkansas.gov/NPILookup?Npi=1730453622","1730453622")</f>
        <v>1730453622</v>
      </c>
      <c r="E27681" s="1" t="s">
        <v>28382</v>
      </c>
      <c r="F27681" s="2"/>
      <c r="G27681" s="2"/>
      <c r="H27681" s="2"/>
    </row>
    <row r="27682" spans="1:8" x14ac:dyDescent="0.25">
      <c r="A27682" s="1"/>
      <c r="B27682" s="1" t="s">
        <v>7328</v>
      </c>
      <c r="C27682" s="1" t="s">
        <v>7329</v>
      </c>
      <c r="D27682" s="22" t="str">
        <f>HYPERLINK("https://rhld.insurance.arkansas.gov/NPILookup?Npi=1730484684","1730484684")</f>
        <v>1730484684</v>
      </c>
      <c r="E27682" s="1" t="s">
        <v>28383</v>
      </c>
      <c r="F27682" s="2"/>
      <c r="G27682" s="2"/>
      <c r="H27682" s="2"/>
    </row>
    <row r="27683" spans="1:8" x14ac:dyDescent="0.25">
      <c r="A27683" s="1"/>
      <c r="B27683" s="1" t="s">
        <v>7328</v>
      </c>
      <c r="C27683" s="1" t="s">
        <v>7329</v>
      </c>
      <c r="D27683" s="22" t="str">
        <f>HYPERLINK("https://rhld.insurance.arkansas.gov/NPILookup?Npi=1730538539","1730538539")</f>
        <v>1730538539</v>
      </c>
      <c r="E27683" s="1" t="s">
        <v>8051</v>
      </c>
      <c r="F27683" s="2"/>
      <c r="G27683" s="2"/>
      <c r="H27683" s="2"/>
    </row>
    <row r="27684" spans="1:8" x14ac:dyDescent="0.25">
      <c r="A27684" s="1"/>
      <c r="B27684" s="1" t="s">
        <v>7328</v>
      </c>
      <c r="C27684" s="1" t="s">
        <v>7329</v>
      </c>
      <c r="D27684" s="22" t="str">
        <f>HYPERLINK("https://rhld.insurance.arkansas.gov/NPILookup?Npi=1730541798","1730541798")</f>
        <v>1730541798</v>
      </c>
      <c r="E27684" s="1" t="s">
        <v>13522</v>
      </c>
      <c r="F27684" s="2"/>
      <c r="G27684" s="2"/>
      <c r="H27684" s="2"/>
    </row>
    <row r="27685" spans="1:8" x14ac:dyDescent="0.25">
      <c r="A27685" s="1"/>
      <c r="B27685" s="1" t="s">
        <v>7328</v>
      </c>
      <c r="C27685" s="1" t="s">
        <v>7329</v>
      </c>
      <c r="D27685" s="22" t="str">
        <f>HYPERLINK("https://rhld.insurance.arkansas.gov/NPILookup?Npi=1730546276","1730546276")</f>
        <v>1730546276</v>
      </c>
      <c r="E27685" s="1" t="s">
        <v>28384</v>
      </c>
      <c r="F27685" s="2"/>
      <c r="G27685" s="2"/>
      <c r="H27685" s="2"/>
    </row>
    <row r="27686" spans="1:8" x14ac:dyDescent="0.25">
      <c r="A27686" s="1"/>
      <c r="B27686" s="1" t="s">
        <v>7328</v>
      </c>
      <c r="C27686" s="1" t="s">
        <v>7329</v>
      </c>
      <c r="D27686" s="22" t="str">
        <f>HYPERLINK("https://rhld.insurance.arkansas.gov/NPILookup?Npi=1730552944","1730552944")</f>
        <v>1730552944</v>
      </c>
      <c r="E27686" s="1" t="s">
        <v>28385</v>
      </c>
      <c r="F27686" s="2"/>
      <c r="G27686" s="2"/>
      <c r="H27686" s="2"/>
    </row>
    <row r="27687" spans="1:8" x14ac:dyDescent="0.25">
      <c r="A27687" s="1"/>
      <c r="B27687" s="1" t="s">
        <v>7328</v>
      </c>
      <c r="C27687" s="1" t="s">
        <v>7329</v>
      </c>
      <c r="D27687" s="22" t="str">
        <f>HYPERLINK("https://rhld.insurance.arkansas.gov/NPILookup?Npi=1730569310","1730569310")</f>
        <v>1730569310</v>
      </c>
      <c r="E27687" s="1" t="s">
        <v>28386</v>
      </c>
      <c r="F27687" s="2"/>
      <c r="G27687" s="2"/>
      <c r="H27687" s="2"/>
    </row>
    <row r="27688" spans="1:8" x14ac:dyDescent="0.25">
      <c r="A27688" s="1"/>
      <c r="B27688" s="1" t="s">
        <v>7328</v>
      </c>
      <c r="C27688" s="1" t="s">
        <v>7329</v>
      </c>
      <c r="D27688" s="22" t="str">
        <f>HYPERLINK("https://rhld.insurance.arkansas.gov/NPILookup?Npi=1730579152","1730579152")</f>
        <v>1730579152</v>
      </c>
      <c r="E27688" s="1" t="s">
        <v>28387</v>
      </c>
      <c r="F27688" s="2"/>
      <c r="G27688" s="2"/>
      <c r="H27688" s="2"/>
    </row>
    <row r="27689" spans="1:8" x14ac:dyDescent="0.25">
      <c r="A27689" s="1"/>
      <c r="B27689" s="1" t="s">
        <v>7328</v>
      </c>
      <c r="C27689" s="1" t="s">
        <v>7329</v>
      </c>
      <c r="D27689" s="22" t="str">
        <f>HYPERLINK("https://rhld.insurance.arkansas.gov/NPILookup?Npi=1730579921","1730579921")</f>
        <v>1730579921</v>
      </c>
      <c r="E27689" s="1" t="s">
        <v>885</v>
      </c>
      <c r="F27689" s="2"/>
      <c r="G27689" s="2"/>
      <c r="H27689" s="2"/>
    </row>
    <row r="27690" spans="1:8" x14ac:dyDescent="0.25">
      <c r="A27690" s="1"/>
      <c r="B27690" s="1" t="s">
        <v>7328</v>
      </c>
      <c r="C27690" s="1" t="s">
        <v>7329</v>
      </c>
      <c r="D27690" s="22" t="str">
        <f>HYPERLINK("https://rhld.insurance.arkansas.gov/NPILookup?Npi=1730583840","1730583840")</f>
        <v>1730583840</v>
      </c>
      <c r="E27690" s="1" t="s">
        <v>28388</v>
      </c>
      <c r="F27690" s="2"/>
      <c r="G27690" s="2"/>
      <c r="H27690" s="2"/>
    </row>
    <row r="27691" spans="1:8" x14ac:dyDescent="0.25">
      <c r="A27691" s="1"/>
      <c r="B27691" s="1" t="s">
        <v>7328</v>
      </c>
      <c r="C27691" s="1" t="s">
        <v>7329</v>
      </c>
      <c r="D27691" s="22" t="str">
        <f>HYPERLINK("https://rhld.insurance.arkansas.gov/NPILookup?Npi=1730594342","1730594342")</f>
        <v>1730594342</v>
      </c>
      <c r="E27691" s="1" t="s">
        <v>2062</v>
      </c>
      <c r="F27691" s="2"/>
      <c r="G27691" s="2"/>
      <c r="H27691" s="2"/>
    </row>
    <row r="27692" spans="1:8" x14ac:dyDescent="0.25">
      <c r="A27692" s="1"/>
      <c r="B27692" s="1" t="s">
        <v>7328</v>
      </c>
      <c r="C27692" s="1" t="s">
        <v>7329</v>
      </c>
      <c r="D27692" s="22" t="str">
        <f>HYPERLINK("https://rhld.insurance.arkansas.gov/NPILookup?Npi=1730603192","1730603192")</f>
        <v>1730603192</v>
      </c>
      <c r="E27692" s="1" t="s">
        <v>13523</v>
      </c>
      <c r="F27692" s="2"/>
      <c r="G27692" s="2"/>
      <c r="H27692" s="2"/>
    </row>
    <row r="27693" spans="1:8" x14ac:dyDescent="0.25">
      <c r="A27693" s="1"/>
      <c r="B27693" s="1" t="s">
        <v>7328</v>
      </c>
      <c r="C27693" s="1" t="s">
        <v>7329</v>
      </c>
      <c r="D27693" s="22" t="str">
        <f>HYPERLINK("https://rhld.insurance.arkansas.gov/NPILookup?Npi=1730605213","1730605213")</f>
        <v>1730605213</v>
      </c>
      <c r="E27693" s="1" t="s">
        <v>28389</v>
      </c>
      <c r="F27693" s="2"/>
      <c r="G27693" s="2"/>
      <c r="H27693" s="2"/>
    </row>
    <row r="27694" spans="1:8" x14ac:dyDescent="0.25">
      <c r="A27694" s="1"/>
      <c r="B27694" s="1" t="s">
        <v>7328</v>
      </c>
      <c r="C27694" s="1" t="s">
        <v>7329</v>
      </c>
      <c r="D27694" s="22" t="str">
        <f>HYPERLINK("https://rhld.insurance.arkansas.gov/NPILookup?Npi=1730609439","1730609439")</f>
        <v>1730609439</v>
      </c>
      <c r="E27694" s="1" t="s">
        <v>13524</v>
      </c>
      <c r="F27694" s="2"/>
      <c r="G27694" s="2"/>
      <c r="H27694" s="2"/>
    </row>
    <row r="27695" spans="1:8" x14ac:dyDescent="0.25">
      <c r="A27695" s="1"/>
      <c r="B27695" s="1" t="s">
        <v>7328</v>
      </c>
      <c r="C27695" s="1" t="s">
        <v>7329</v>
      </c>
      <c r="D27695" s="22" t="str">
        <f>HYPERLINK("https://rhld.insurance.arkansas.gov/NPILookup?Npi=1730610171","1730610171")</f>
        <v>1730610171</v>
      </c>
      <c r="E27695" s="1" t="s">
        <v>28390</v>
      </c>
      <c r="F27695" s="2"/>
      <c r="G27695" s="2"/>
      <c r="H27695" s="2"/>
    </row>
    <row r="27696" spans="1:8" x14ac:dyDescent="0.25">
      <c r="A27696" s="1"/>
      <c r="B27696" s="1" t="s">
        <v>7328</v>
      </c>
      <c r="C27696" s="1" t="s">
        <v>7329</v>
      </c>
      <c r="D27696" s="22" t="str">
        <f>HYPERLINK("https://rhld.insurance.arkansas.gov/NPILookup?Npi=1730615709","1730615709")</f>
        <v>1730615709</v>
      </c>
      <c r="E27696" s="1" t="s">
        <v>4259</v>
      </c>
      <c r="F27696" s="2"/>
      <c r="G27696" s="2"/>
      <c r="H27696" s="2"/>
    </row>
    <row r="27697" spans="1:8" x14ac:dyDescent="0.25">
      <c r="A27697" s="1"/>
      <c r="B27697" s="1" t="s">
        <v>7328</v>
      </c>
      <c r="C27697" s="1" t="s">
        <v>7329</v>
      </c>
      <c r="D27697" s="22" t="str">
        <f>HYPERLINK("https://rhld.insurance.arkansas.gov/NPILookup?Npi=1730630492","1730630492")</f>
        <v>1730630492</v>
      </c>
      <c r="E27697" s="1" t="s">
        <v>28391</v>
      </c>
      <c r="F27697" s="2"/>
      <c r="G27697" s="2"/>
      <c r="H27697" s="2"/>
    </row>
    <row r="27698" spans="1:8" x14ac:dyDescent="0.25">
      <c r="A27698" s="1"/>
      <c r="B27698" s="1" t="s">
        <v>7328</v>
      </c>
      <c r="C27698" s="1" t="s">
        <v>7329</v>
      </c>
      <c r="D27698" s="22" t="str">
        <f>HYPERLINK("https://rhld.insurance.arkansas.gov/NPILookup?Npi=1730630849","1730630849")</f>
        <v>1730630849</v>
      </c>
      <c r="E27698" s="1" t="s">
        <v>28392</v>
      </c>
      <c r="F27698" s="2"/>
      <c r="G27698" s="2"/>
      <c r="H27698" s="2"/>
    </row>
    <row r="27699" spans="1:8" x14ac:dyDescent="0.25">
      <c r="A27699" s="1"/>
      <c r="B27699" s="1" t="s">
        <v>7328</v>
      </c>
      <c r="C27699" s="1" t="s">
        <v>7329</v>
      </c>
      <c r="D27699" s="22" t="str">
        <f>HYPERLINK("https://rhld.insurance.arkansas.gov/NPILookup?Npi=1730640913","1730640913")</f>
        <v>1730640913</v>
      </c>
      <c r="E27699" s="1" t="s">
        <v>28393</v>
      </c>
      <c r="F27699" s="2"/>
      <c r="G27699" s="2"/>
      <c r="H27699" s="2"/>
    </row>
    <row r="27700" spans="1:8" x14ac:dyDescent="0.25">
      <c r="A27700" s="1"/>
      <c r="B27700" s="1" t="s">
        <v>7328</v>
      </c>
      <c r="C27700" s="1" t="s">
        <v>7329</v>
      </c>
      <c r="D27700" s="22" t="str">
        <f>HYPERLINK("https://rhld.insurance.arkansas.gov/NPILookup?Npi=1730643115","1730643115")</f>
        <v>1730643115</v>
      </c>
      <c r="E27700" s="1" t="s">
        <v>28394</v>
      </c>
      <c r="F27700" s="2"/>
      <c r="G27700" s="2"/>
      <c r="H27700" s="2"/>
    </row>
    <row r="27701" spans="1:8" x14ac:dyDescent="0.25">
      <c r="A27701" s="1"/>
      <c r="B27701" s="1" t="s">
        <v>7328</v>
      </c>
      <c r="C27701" s="1" t="s">
        <v>7329</v>
      </c>
      <c r="D27701" s="22" t="str">
        <f>HYPERLINK("https://rhld.insurance.arkansas.gov/NPILookup?Npi=1730660010","1730660010")</f>
        <v>1730660010</v>
      </c>
      <c r="E27701" s="1" t="s">
        <v>28395</v>
      </c>
      <c r="F27701" s="2"/>
      <c r="G27701" s="2"/>
      <c r="H27701" s="2"/>
    </row>
    <row r="27702" spans="1:8" x14ac:dyDescent="0.25">
      <c r="A27702" s="1"/>
      <c r="B27702" s="1" t="s">
        <v>7328</v>
      </c>
      <c r="C27702" s="1" t="s">
        <v>7329</v>
      </c>
      <c r="D27702" s="22" t="str">
        <f>HYPERLINK("https://rhld.insurance.arkansas.gov/NPILookup?Npi=1730665449","1730665449")</f>
        <v>1730665449</v>
      </c>
      <c r="E27702" s="1" t="s">
        <v>28396</v>
      </c>
      <c r="F27702" s="2"/>
      <c r="G27702" s="2"/>
      <c r="H27702" s="2"/>
    </row>
    <row r="27703" spans="1:8" x14ac:dyDescent="0.25">
      <c r="A27703" s="1"/>
      <c r="B27703" s="1" t="s">
        <v>7328</v>
      </c>
      <c r="C27703" s="1" t="s">
        <v>7329</v>
      </c>
      <c r="D27703" s="22" t="str">
        <f>HYPERLINK("https://rhld.insurance.arkansas.gov/NPILookup?Npi=1730677675","1730677675")</f>
        <v>1730677675</v>
      </c>
      <c r="E27703" s="1" t="s">
        <v>28397</v>
      </c>
      <c r="F27703" s="2"/>
      <c r="G27703" s="2"/>
      <c r="H27703" s="2"/>
    </row>
    <row r="27704" spans="1:8" x14ac:dyDescent="0.25">
      <c r="A27704" s="1"/>
      <c r="B27704" s="1" t="s">
        <v>7328</v>
      </c>
      <c r="C27704" s="1" t="s">
        <v>7329</v>
      </c>
      <c r="D27704" s="22" t="str">
        <f>HYPERLINK("https://rhld.insurance.arkansas.gov/NPILookup?Npi=1730686601","1730686601")</f>
        <v>1730686601</v>
      </c>
      <c r="E27704" s="1" t="s">
        <v>3157</v>
      </c>
      <c r="F27704" s="2"/>
      <c r="G27704" s="2"/>
      <c r="H27704" s="2"/>
    </row>
    <row r="27705" spans="1:8" x14ac:dyDescent="0.25">
      <c r="A27705" s="1"/>
      <c r="B27705" s="1" t="s">
        <v>7328</v>
      </c>
      <c r="C27705" s="1" t="s">
        <v>7329</v>
      </c>
      <c r="D27705" s="22" t="str">
        <f>HYPERLINK("https://rhld.insurance.arkansas.gov/NPILookup?Npi=1730687450","1730687450")</f>
        <v>1730687450</v>
      </c>
      <c r="E27705" s="1" t="s">
        <v>28398</v>
      </c>
      <c r="F27705" s="2"/>
      <c r="G27705" s="2"/>
      <c r="H27705" s="2"/>
    </row>
    <row r="27706" spans="1:8" x14ac:dyDescent="0.25">
      <c r="A27706" s="1"/>
      <c r="B27706" s="1" t="s">
        <v>7328</v>
      </c>
      <c r="C27706" s="1" t="s">
        <v>7329</v>
      </c>
      <c r="D27706" s="22" t="str">
        <f>HYPERLINK("https://rhld.insurance.arkansas.gov/NPILookup?Npi=1730692914","1730692914")</f>
        <v>1730692914</v>
      </c>
      <c r="E27706" s="1" t="s">
        <v>28399</v>
      </c>
      <c r="F27706" s="2"/>
      <c r="G27706" s="2"/>
      <c r="H27706" s="2"/>
    </row>
    <row r="27707" spans="1:8" x14ac:dyDescent="0.25">
      <c r="A27707" s="1"/>
      <c r="B27707" s="1" t="s">
        <v>7328</v>
      </c>
      <c r="C27707" s="1" t="s">
        <v>7329</v>
      </c>
      <c r="D27707" s="22" t="str">
        <f>HYPERLINK("https://rhld.insurance.arkansas.gov/NPILookup?Npi=1730703810","1730703810")</f>
        <v>1730703810</v>
      </c>
      <c r="E27707" s="1" t="s">
        <v>13525</v>
      </c>
      <c r="F27707" s="2"/>
      <c r="G27707" s="2"/>
      <c r="H27707" s="2"/>
    </row>
    <row r="27708" spans="1:8" x14ac:dyDescent="0.25">
      <c r="A27708" s="1"/>
      <c r="B27708" s="1" t="s">
        <v>7328</v>
      </c>
      <c r="C27708" s="1" t="s">
        <v>7329</v>
      </c>
      <c r="D27708" s="22" t="str">
        <f>HYPERLINK("https://rhld.insurance.arkansas.gov/NPILookup?Npi=1730739715","1730739715")</f>
        <v>1730739715</v>
      </c>
      <c r="E27708" s="1" t="s">
        <v>28400</v>
      </c>
      <c r="F27708" s="2"/>
      <c r="G27708" s="2"/>
      <c r="H27708" s="2"/>
    </row>
    <row r="27709" spans="1:8" x14ac:dyDescent="0.25">
      <c r="A27709" s="1"/>
      <c r="B27709" s="1" t="s">
        <v>7328</v>
      </c>
      <c r="C27709" s="1" t="s">
        <v>7329</v>
      </c>
      <c r="D27709" s="22" t="str">
        <f>HYPERLINK("https://rhld.insurance.arkansas.gov/NPILookup?Npi=1730744897","1730744897")</f>
        <v>1730744897</v>
      </c>
      <c r="E27709" s="1" t="s">
        <v>28401</v>
      </c>
      <c r="F27709" s="2"/>
      <c r="G27709" s="2"/>
      <c r="H27709" s="2"/>
    </row>
    <row r="27710" spans="1:8" x14ac:dyDescent="0.25">
      <c r="A27710" s="1"/>
      <c r="B27710" s="1" t="s">
        <v>7328</v>
      </c>
      <c r="C27710" s="1" t="s">
        <v>7329</v>
      </c>
      <c r="D27710" s="22" t="str">
        <f>HYPERLINK("https://rhld.insurance.arkansas.gov/NPILookup?Npi=1730766627","1730766627")</f>
        <v>1730766627</v>
      </c>
      <c r="E27710" s="1" t="s">
        <v>10430</v>
      </c>
      <c r="F27710" s="2"/>
      <c r="G27710" s="2"/>
      <c r="H27710" s="2"/>
    </row>
    <row r="27711" spans="1:8" x14ac:dyDescent="0.25">
      <c r="A27711" s="1"/>
      <c r="B27711" s="1" t="s">
        <v>7328</v>
      </c>
      <c r="C27711" s="1" t="s">
        <v>7329</v>
      </c>
      <c r="D27711" s="22" t="str">
        <f>HYPERLINK("https://rhld.insurance.arkansas.gov/NPILookup?Npi=1730771254","1730771254")</f>
        <v>1730771254</v>
      </c>
      <c r="E27711" s="1" t="s">
        <v>28402</v>
      </c>
      <c r="F27711" s="2"/>
      <c r="G27711" s="2"/>
      <c r="H27711" s="2"/>
    </row>
    <row r="27712" spans="1:8" x14ac:dyDescent="0.25">
      <c r="A27712" s="1"/>
      <c r="B27712" s="1" t="s">
        <v>7328</v>
      </c>
      <c r="C27712" s="1" t="s">
        <v>7329</v>
      </c>
      <c r="D27712" s="22" t="str">
        <f>HYPERLINK("https://rhld.insurance.arkansas.gov/NPILookup?Npi=1730772450","1730772450")</f>
        <v>1730772450</v>
      </c>
      <c r="E27712" s="1" t="s">
        <v>8052</v>
      </c>
      <c r="F27712" s="2"/>
      <c r="G27712" s="2"/>
      <c r="H27712" s="2"/>
    </row>
    <row r="27713" spans="1:8" x14ac:dyDescent="0.25">
      <c r="A27713" s="1"/>
      <c r="B27713" s="1" t="s">
        <v>7328</v>
      </c>
      <c r="C27713" s="1" t="s">
        <v>7329</v>
      </c>
      <c r="D27713" s="22" t="str">
        <f>HYPERLINK("https://rhld.insurance.arkansas.gov/NPILookup?Npi=1730774308","1730774308")</f>
        <v>1730774308</v>
      </c>
      <c r="E27713" s="1" t="s">
        <v>28403</v>
      </c>
      <c r="F27713" s="2"/>
      <c r="G27713" s="2"/>
      <c r="H27713" s="2"/>
    </row>
    <row r="27714" spans="1:8" x14ac:dyDescent="0.25">
      <c r="A27714" s="1"/>
      <c r="B27714" s="1" t="s">
        <v>7328</v>
      </c>
      <c r="C27714" s="1" t="s">
        <v>7329</v>
      </c>
      <c r="D27714" s="22" t="str">
        <f>HYPERLINK("https://rhld.insurance.arkansas.gov/NPILookup?Npi=1730779190","1730779190")</f>
        <v>1730779190</v>
      </c>
      <c r="E27714" s="1" t="s">
        <v>13526</v>
      </c>
      <c r="F27714" s="2"/>
      <c r="G27714" s="2"/>
      <c r="H27714" s="2"/>
    </row>
    <row r="27715" spans="1:8" x14ac:dyDescent="0.25">
      <c r="A27715" s="1"/>
      <c r="B27715" s="1" t="s">
        <v>7328</v>
      </c>
      <c r="C27715" s="1" t="s">
        <v>7329</v>
      </c>
      <c r="D27715" s="22" t="str">
        <f>HYPERLINK("https://rhld.insurance.arkansas.gov/NPILookup?Npi=1730783606","1730783606")</f>
        <v>1730783606</v>
      </c>
      <c r="E27715" s="1" t="s">
        <v>28404</v>
      </c>
      <c r="F27715" s="2"/>
      <c r="G27715" s="2"/>
      <c r="H27715" s="2"/>
    </row>
    <row r="27716" spans="1:8" x14ac:dyDescent="0.25">
      <c r="A27716" s="1"/>
      <c r="B27716" s="1" t="s">
        <v>7328</v>
      </c>
      <c r="C27716" s="1" t="s">
        <v>7329</v>
      </c>
      <c r="D27716" s="22" t="str">
        <f>HYPERLINK("https://rhld.insurance.arkansas.gov/NPILookup?Npi=1730795246","1730795246")</f>
        <v>1730795246</v>
      </c>
      <c r="E27716" s="1" t="s">
        <v>8053</v>
      </c>
      <c r="F27716" s="2"/>
      <c r="G27716" s="2"/>
      <c r="H27716" s="2"/>
    </row>
    <row r="27717" spans="1:8" x14ac:dyDescent="0.25">
      <c r="A27717" s="1"/>
      <c r="B27717" s="1" t="s">
        <v>7328</v>
      </c>
      <c r="C27717" s="1" t="s">
        <v>7329</v>
      </c>
      <c r="D27717" s="22" t="str">
        <f>HYPERLINK("https://rhld.insurance.arkansas.gov/NPILookup?Npi=1730803164","1730803164")</f>
        <v>1730803164</v>
      </c>
      <c r="E27717" s="1" t="s">
        <v>2406</v>
      </c>
      <c r="F27717" s="2"/>
      <c r="G27717" s="2"/>
      <c r="H27717" s="2"/>
    </row>
    <row r="27718" spans="1:8" x14ac:dyDescent="0.25">
      <c r="A27718" s="1"/>
      <c r="B27718" s="1" t="s">
        <v>7328</v>
      </c>
      <c r="C27718" s="1" t="s">
        <v>7329</v>
      </c>
      <c r="D27718" s="22" t="str">
        <f>HYPERLINK("https://rhld.insurance.arkansas.gov/NPILookup?Npi=1730812330","1730812330")</f>
        <v>1730812330</v>
      </c>
      <c r="E27718" s="1" t="s">
        <v>28405</v>
      </c>
      <c r="F27718" s="2"/>
      <c r="G27718" s="2"/>
      <c r="H27718" s="2"/>
    </row>
    <row r="27719" spans="1:8" x14ac:dyDescent="0.25">
      <c r="A27719" s="1"/>
      <c r="B27719" s="1" t="s">
        <v>7328</v>
      </c>
      <c r="C27719" s="1" t="s">
        <v>7329</v>
      </c>
      <c r="D27719" s="22" t="str">
        <f>HYPERLINK("https://rhld.insurance.arkansas.gov/NPILookup?Npi=1730816000","1730816000")</f>
        <v>1730816000</v>
      </c>
      <c r="E27719" s="1" t="s">
        <v>28406</v>
      </c>
      <c r="F27719" s="2"/>
      <c r="G27719" s="2"/>
      <c r="H27719" s="2"/>
    </row>
    <row r="27720" spans="1:8" x14ac:dyDescent="0.25">
      <c r="A27720" s="1"/>
      <c r="B27720" s="1" t="s">
        <v>7328</v>
      </c>
      <c r="C27720" s="1" t="s">
        <v>7329</v>
      </c>
      <c r="D27720" s="22" t="str">
        <f>HYPERLINK("https://rhld.insurance.arkansas.gov/NPILookup?Npi=1730819707","1730819707")</f>
        <v>1730819707</v>
      </c>
      <c r="E27720" s="1" t="s">
        <v>13527</v>
      </c>
      <c r="F27720" s="2"/>
      <c r="G27720" s="2"/>
      <c r="H27720" s="2"/>
    </row>
    <row r="27721" spans="1:8" x14ac:dyDescent="0.25">
      <c r="A27721" s="1"/>
      <c r="B27721" s="1" t="s">
        <v>7328</v>
      </c>
      <c r="C27721" s="1" t="s">
        <v>7329</v>
      </c>
      <c r="D27721" s="22" t="str">
        <f>HYPERLINK("https://rhld.insurance.arkansas.gov/NPILookup?Npi=1730825829","1730825829")</f>
        <v>1730825829</v>
      </c>
      <c r="E27721" s="1" t="s">
        <v>28407</v>
      </c>
      <c r="F27721" s="2"/>
      <c r="G27721" s="2"/>
      <c r="H27721" s="2"/>
    </row>
    <row r="27722" spans="1:8" x14ac:dyDescent="0.25">
      <c r="A27722" s="1"/>
      <c r="B27722" s="1" t="s">
        <v>7328</v>
      </c>
      <c r="C27722" s="1" t="s">
        <v>7329</v>
      </c>
      <c r="D27722" s="22" t="str">
        <f>HYPERLINK("https://rhld.insurance.arkansas.gov/NPILookup?Npi=1730841883","1730841883")</f>
        <v>1730841883</v>
      </c>
      <c r="E27722" s="1" t="s">
        <v>28408</v>
      </c>
      <c r="F27722" s="2"/>
      <c r="G27722" s="2"/>
      <c r="H27722" s="2"/>
    </row>
    <row r="27723" spans="1:8" x14ac:dyDescent="0.25">
      <c r="A27723" s="1"/>
      <c r="B27723" s="1" t="s">
        <v>7328</v>
      </c>
      <c r="C27723" s="1" t="s">
        <v>7329</v>
      </c>
      <c r="D27723" s="22" t="str">
        <f>HYPERLINK("https://rhld.insurance.arkansas.gov/NPILookup?Npi=1730851775","1730851775")</f>
        <v>1730851775</v>
      </c>
      <c r="E27723" s="1" t="s">
        <v>28409</v>
      </c>
      <c r="F27723" s="2"/>
      <c r="G27723" s="2"/>
      <c r="H27723" s="2"/>
    </row>
    <row r="27724" spans="1:8" x14ac:dyDescent="0.25">
      <c r="A27724" s="1"/>
      <c r="B27724" s="1" t="s">
        <v>7328</v>
      </c>
      <c r="C27724" s="1" t="s">
        <v>7329</v>
      </c>
      <c r="D27724" s="22" t="str">
        <f>HYPERLINK("https://rhld.insurance.arkansas.gov/NPILookup?Npi=1730854241","1730854241")</f>
        <v>1730854241</v>
      </c>
      <c r="E27724" s="1" t="s">
        <v>8054</v>
      </c>
      <c r="F27724" s="2"/>
      <c r="G27724" s="2"/>
      <c r="H27724" s="2"/>
    </row>
    <row r="27725" spans="1:8" x14ac:dyDescent="0.25">
      <c r="A27725" s="1"/>
      <c r="B27725" s="1" t="s">
        <v>7328</v>
      </c>
      <c r="C27725" s="1" t="s">
        <v>7329</v>
      </c>
      <c r="D27725" s="22" t="str">
        <f>HYPERLINK("https://rhld.insurance.arkansas.gov/NPILookup?Npi=1730859414","1730859414")</f>
        <v>1730859414</v>
      </c>
      <c r="E27725" s="1" t="s">
        <v>18983</v>
      </c>
      <c r="F27725" s="2"/>
      <c r="G27725" s="2"/>
      <c r="H27725" s="2"/>
    </row>
    <row r="27726" spans="1:8" x14ac:dyDescent="0.25">
      <c r="A27726" s="1"/>
      <c r="B27726" s="1" t="s">
        <v>7328</v>
      </c>
      <c r="C27726" s="1" t="s">
        <v>7329</v>
      </c>
      <c r="D27726" s="22" t="str">
        <f>HYPERLINK("https://rhld.insurance.arkansas.gov/NPILookup?Npi=1730892811","1730892811")</f>
        <v>1730892811</v>
      </c>
      <c r="E27726" s="1" t="s">
        <v>8055</v>
      </c>
      <c r="F27726" s="2"/>
      <c r="G27726" s="2"/>
      <c r="H27726" s="2"/>
    </row>
    <row r="27727" spans="1:8" x14ac:dyDescent="0.25">
      <c r="A27727" s="1"/>
      <c r="B27727" s="1" t="s">
        <v>7328</v>
      </c>
      <c r="C27727" s="1" t="s">
        <v>7329</v>
      </c>
      <c r="D27727" s="22" t="str">
        <f>HYPERLINK("https://rhld.insurance.arkansas.gov/NPILookup?Npi=1730895434","1730895434")</f>
        <v>1730895434</v>
      </c>
      <c r="E27727" s="1" t="s">
        <v>28410</v>
      </c>
      <c r="F27727" s="2"/>
      <c r="G27727" s="2"/>
      <c r="H27727" s="2"/>
    </row>
    <row r="27728" spans="1:8" x14ac:dyDescent="0.25">
      <c r="A27728" s="1"/>
      <c r="B27728" s="1" t="s">
        <v>7328</v>
      </c>
      <c r="C27728" s="1" t="s">
        <v>7329</v>
      </c>
      <c r="D27728" s="22" t="str">
        <f>HYPERLINK("https://rhld.insurance.arkansas.gov/NPILookup?Npi=1730901588","1730901588")</f>
        <v>1730901588</v>
      </c>
      <c r="E27728" s="1" t="s">
        <v>31934</v>
      </c>
      <c r="F27728" s="2"/>
      <c r="G27728" s="2"/>
      <c r="H27728" s="2"/>
    </row>
    <row r="27729" spans="1:8" x14ac:dyDescent="0.25">
      <c r="A27729" s="1"/>
      <c r="B27729" s="1" t="s">
        <v>7328</v>
      </c>
      <c r="C27729" s="1" t="s">
        <v>7329</v>
      </c>
      <c r="D27729" s="22" t="str">
        <f>HYPERLINK("https://rhld.insurance.arkansas.gov/NPILookup?Npi=1730939794","1730939794")</f>
        <v>1730939794</v>
      </c>
      <c r="E27729" s="1" t="s">
        <v>28411</v>
      </c>
      <c r="F27729" s="2"/>
      <c r="G27729" s="2"/>
      <c r="H27729" s="2"/>
    </row>
    <row r="27730" spans="1:8" x14ac:dyDescent="0.25">
      <c r="A27730" s="1"/>
      <c r="B27730" s="1" t="s">
        <v>7328</v>
      </c>
      <c r="C27730" s="1" t="s">
        <v>7329</v>
      </c>
      <c r="D27730" s="22" t="str">
        <f>HYPERLINK("https://rhld.insurance.arkansas.gov/NPILookup?Npi=1730944679","1730944679")</f>
        <v>1730944679</v>
      </c>
      <c r="E27730" s="1" t="s">
        <v>28412</v>
      </c>
      <c r="F27730" s="2"/>
      <c r="G27730" s="2"/>
      <c r="H27730" s="2"/>
    </row>
    <row r="27731" spans="1:8" x14ac:dyDescent="0.25">
      <c r="A27731" s="1"/>
      <c r="B27731" s="1" t="s">
        <v>7328</v>
      </c>
      <c r="C27731" s="1" t="s">
        <v>7329</v>
      </c>
      <c r="D27731" s="22" t="str">
        <f>HYPERLINK("https://rhld.insurance.arkansas.gov/NPILookup?Npi=1730958968","1730958968")</f>
        <v>1730958968</v>
      </c>
      <c r="E27731" s="1" t="s">
        <v>32343</v>
      </c>
      <c r="F27731" s="2"/>
      <c r="G27731" s="2"/>
      <c r="H27731" s="2"/>
    </row>
    <row r="27732" spans="1:8" x14ac:dyDescent="0.25">
      <c r="A27732" s="1"/>
      <c r="B27732" s="1" t="s">
        <v>7328</v>
      </c>
      <c r="C27732" s="1" t="s">
        <v>7329</v>
      </c>
      <c r="D27732" s="22" t="str">
        <f>HYPERLINK("https://rhld.insurance.arkansas.gov/NPILookup?Npi=1730965864","1730965864")</f>
        <v>1730965864</v>
      </c>
      <c r="E27732" s="1" t="s">
        <v>28413</v>
      </c>
      <c r="F27732" s="2"/>
      <c r="G27732" s="2"/>
      <c r="H27732" s="2"/>
    </row>
    <row r="27733" spans="1:8" x14ac:dyDescent="0.25">
      <c r="A27733" s="1"/>
      <c r="B27733" s="1" t="s">
        <v>7328</v>
      </c>
      <c r="C27733" s="1" t="s">
        <v>7329</v>
      </c>
      <c r="D27733" s="22" t="str">
        <f>HYPERLINK("https://rhld.insurance.arkansas.gov/NPILookup?Npi=1740026517","1740026517")</f>
        <v>1740026517</v>
      </c>
      <c r="E27733" s="1" t="s">
        <v>32344</v>
      </c>
      <c r="F27733" s="2"/>
      <c r="G27733" s="2"/>
      <c r="H27733" s="2"/>
    </row>
    <row r="27734" spans="1:8" x14ac:dyDescent="0.25">
      <c r="A27734" s="1"/>
      <c r="B27734" s="1" t="s">
        <v>7328</v>
      </c>
      <c r="C27734" s="1" t="s">
        <v>7329</v>
      </c>
      <c r="D27734" s="22" t="str">
        <f>HYPERLINK("https://rhld.insurance.arkansas.gov/NPILookup?Npi=1740225796","1740225796")</f>
        <v>1740225796</v>
      </c>
      <c r="E27734" s="1" t="s">
        <v>2996</v>
      </c>
      <c r="F27734" s="2"/>
      <c r="G27734" s="2"/>
      <c r="H27734" s="2"/>
    </row>
    <row r="27735" spans="1:8" x14ac:dyDescent="0.25">
      <c r="A27735" s="1"/>
      <c r="B27735" s="1" t="s">
        <v>7328</v>
      </c>
      <c r="C27735" s="1" t="s">
        <v>7329</v>
      </c>
      <c r="D27735" s="22" t="str">
        <f>HYPERLINK("https://rhld.insurance.arkansas.gov/NPILookup?Npi=1740230077","1740230077")</f>
        <v>1740230077</v>
      </c>
      <c r="E27735" s="1" t="s">
        <v>28414</v>
      </c>
      <c r="F27735" s="2"/>
      <c r="G27735" s="2"/>
      <c r="H27735" s="2"/>
    </row>
    <row r="27736" spans="1:8" x14ac:dyDescent="0.25">
      <c r="A27736" s="1"/>
      <c r="B27736" s="1" t="s">
        <v>7328</v>
      </c>
      <c r="C27736" s="1" t="s">
        <v>7329</v>
      </c>
      <c r="D27736" s="22" t="str">
        <f>HYPERLINK("https://rhld.insurance.arkansas.gov/NPILookup?Npi=1740232693","1740232693")</f>
        <v>1740232693</v>
      </c>
      <c r="E27736" s="1" t="s">
        <v>28415</v>
      </c>
      <c r="F27736" s="2"/>
      <c r="G27736" s="2"/>
      <c r="H27736" s="2"/>
    </row>
    <row r="27737" spans="1:8" x14ac:dyDescent="0.25">
      <c r="A27737" s="1"/>
      <c r="B27737" s="1" t="s">
        <v>7328</v>
      </c>
      <c r="C27737" s="1" t="s">
        <v>7329</v>
      </c>
      <c r="D27737" s="22" t="str">
        <f>HYPERLINK("https://rhld.insurance.arkansas.gov/NPILookup?Npi=1740239169","1740239169")</f>
        <v>1740239169</v>
      </c>
      <c r="E27737" s="1" t="s">
        <v>232</v>
      </c>
      <c r="F27737" s="2"/>
      <c r="G27737" s="2"/>
      <c r="H27737" s="2"/>
    </row>
    <row r="27738" spans="1:8" x14ac:dyDescent="0.25">
      <c r="A27738" s="1"/>
      <c r="B27738" s="1" t="s">
        <v>7328</v>
      </c>
      <c r="C27738" s="1" t="s">
        <v>7329</v>
      </c>
      <c r="D27738" s="22" t="str">
        <f>HYPERLINK("https://rhld.insurance.arkansas.gov/NPILookup?Npi=1740249523","1740249523")</f>
        <v>1740249523</v>
      </c>
      <c r="E27738" s="1" t="s">
        <v>28416</v>
      </c>
      <c r="F27738" s="2"/>
      <c r="G27738" s="2"/>
      <c r="H27738" s="2"/>
    </row>
    <row r="27739" spans="1:8" x14ac:dyDescent="0.25">
      <c r="A27739" s="1"/>
      <c r="B27739" s="1" t="s">
        <v>7328</v>
      </c>
      <c r="C27739" s="1" t="s">
        <v>7329</v>
      </c>
      <c r="D27739" s="22" t="str">
        <f>HYPERLINK("https://rhld.insurance.arkansas.gov/NPILookup?Npi=1740258078","1740258078")</f>
        <v>1740258078</v>
      </c>
      <c r="E27739" s="1" t="s">
        <v>28417</v>
      </c>
      <c r="F27739" s="2"/>
      <c r="G27739" s="2"/>
      <c r="H27739" s="2"/>
    </row>
    <row r="27740" spans="1:8" x14ac:dyDescent="0.25">
      <c r="A27740" s="1"/>
      <c r="B27740" s="1" t="s">
        <v>7328</v>
      </c>
      <c r="C27740" s="1" t="s">
        <v>7329</v>
      </c>
      <c r="D27740" s="22" t="str">
        <f>HYPERLINK("https://rhld.insurance.arkansas.gov/NPILookup?Npi=1740266535","1740266535")</f>
        <v>1740266535</v>
      </c>
      <c r="E27740" s="1" t="s">
        <v>28418</v>
      </c>
      <c r="F27740" s="2"/>
      <c r="G27740" s="2"/>
      <c r="H27740" s="2"/>
    </row>
    <row r="27741" spans="1:8" x14ac:dyDescent="0.25">
      <c r="A27741" s="1"/>
      <c r="B27741" s="1" t="s">
        <v>7328</v>
      </c>
      <c r="C27741" s="1" t="s">
        <v>7329</v>
      </c>
      <c r="D27741" s="22" t="str">
        <f>HYPERLINK("https://rhld.insurance.arkansas.gov/NPILookup?Npi=1740271014","1740271014")</f>
        <v>1740271014</v>
      </c>
      <c r="E27741" s="1" t="s">
        <v>120</v>
      </c>
      <c r="F27741" s="2"/>
      <c r="G27741" s="2"/>
      <c r="H27741" s="2"/>
    </row>
    <row r="27742" spans="1:8" x14ac:dyDescent="0.25">
      <c r="A27742" s="1"/>
      <c r="B27742" s="1" t="s">
        <v>7328</v>
      </c>
      <c r="C27742" s="1" t="s">
        <v>7329</v>
      </c>
      <c r="D27742" s="22" t="str">
        <f>HYPERLINK("https://rhld.insurance.arkansas.gov/NPILookup?Npi=1740274448","1740274448")</f>
        <v>1740274448</v>
      </c>
      <c r="E27742" s="1" t="s">
        <v>28419</v>
      </c>
      <c r="F27742" s="2"/>
      <c r="G27742" s="2"/>
      <c r="H27742" s="2"/>
    </row>
    <row r="27743" spans="1:8" x14ac:dyDescent="0.25">
      <c r="A27743" s="1"/>
      <c r="B27743" s="1" t="s">
        <v>7328</v>
      </c>
      <c r="C27743" s="1" t="s">
        <v>7329</v>
      </c>
      <c r="D27743" s="22" t="str">
        <f>HYPERLINK("https://rhld.insurance.arkansas.gov/NPILookup?Npi=1740277375","1740277375")</f>
        <v>1740277375</v>
      </c>
      <c r="E27743" s="1" t="s">
        <v>13528</v>
      </c>
      <c r="F27743" s="2"/>
      <c r="G27743" s="2"/>
      <c r="H27743" s="2"/>
    </row>
    <row r="27744" spans="1:8" x14ac:dyDescent="0.25">
      <c r="A27744" s="1"/>
      <c r="B27744" s="1" t="s">
        <v>7328</v>
      </c>
      <c r="C27744" s="1" t="s">
        <v>7329</v>
      </c>
      <c r="D27744" s="22" t="str">
        <f>HYPERLINK("https://rhld.insurance.arkansas.gov/NPILookup?Npi=1740277557","1740277557")</f>
        <v>1740277557</v>
      </c>
      <c r="E27744" s="1" t="s">
        <v>3361</v>
      </c>
      <c r="F27744" s="2"/>
      <c r="G27744" s="2"/>
      <c r="H27744" s="2"/>
    </row>
    <row r="27745" spans="1:8" x14ac:dyDescent="0.25">
      <c r="A27745" s="1"/>
      <c r="B27745" s="1" t="s">
        <v>7328</v>
      </c>
      <c r="C27745" s="1" t="s">
        <v>7329</v>
      </c>
      <c r="D27745" s="22" t="str">
        <f>HYPERLINK("https://rhld.insurance.arkansas.gov/NPILookup?Npi=1740279553","1740279553")</f>
        <v>1740279553</v>
      </c>
      <c r="E27745" s="1" t="s">
        <v>212</v>
      </c>
      <c r="F27745" s="2"/>
      <c r="G27745" s="2"/>
      <c r="H27745" s="2"/>
    </row>
    <row r="27746" spans="1:8" x14ac:dyDescent="0.25">
      <c r="A27746" s="1"/>
      <c r="B27746" s="1" t="s">
        <v>7328</v>
      </c>
      <c r="C27746" s="1" t="s">
        <v>7329</v>
      </c>
      <c r="D27746" s="22" t="str">
        <f>HYPERLINK("https://rhld.insurance.arkansas.gov/NPILookup?Npi=1740289214","1740289214")</f>
        <v>1740289214</v>
      </c>
      <c r="E27746" s="1" t="s">
        <v>28420</v>
      </c>
      <c r="F27746" s="2"/>
      <c r="G27746" s="2"/>
      <c r="H27746" s="2"/>
    </row>
    <row r="27747" spans="1:8" x14ac:dyDescent="0.25">
      <c r="A27747" s="1"/>
      <c r="B27747" s="1" t="s">
        <v>7328</v>
      </c>
      <c r="C27747" s="1" t="s">
        <v>7329</v>
      </c>
      <c r="D27747" s="22" t="str">
        <f>HYPERLINK("https://rhld.insurance.arkansas.gov/NPILookup?Npi=1740294032","1740294032")</f>
        <v>1740294032</v>
      </c>
      <c r="E27747" s="1" t="s">
        <v>28421</v>
      </c>
      <c r="F27747" s="2"/>
      <c r="G27747" s="2"/>
      <c r="H27747" s="2"/>
    </row>
    <row r="27748" spans="1:8" x14ac:dyDescent="0.25">
      <c r="A27748" s="1"/>
      <c r="B27748" s="1" t="s">
        <v>7328</v>
      </c>
      <c r="C27748" s="1" t="s">
        <v>7329</v>
      </c>
      <c r="D27748" s="22" t="str">
        <f>HYPERLINK("https://rhld.insurance.arkansas.gov/NPILookup?Npi=1740310911","1740310911")</f>
        <v>1740310911</v>
      </c>
      <c r="E27748" s="1" t="s">
        <v>172</v>
      </c>
      <c r="F27748" s="2"/>
      <c r="G27748" s="2"/>
      <c r="H27748" s="2"/>
    </row>
    <row r="27749" spans="1:8" x14ac:dyDescent="0.25">
      <c r="A27749" s="1"/>
      <c r="B27749" s="1" t="s">
        <v>7328</v>
      </c>
      <c r="C27749" s="1" t="s">
        <v>7329</v>
      </c>
      <c r="D27749" s="22" t="str">
        <f>HYPERLINK("https://rhld.insurance.arkansas.gov/NPILookup?Npi=1740326610","1740326610")</f>
        <v>1740326610</v>
      </c>
      <c r="E27749" s="1" t="s">
        <v>17843</v>
      </c>
      <c r="F27749" s="2"/>
      <c r="G27749" s="2"/>
      <c r="H27749" s="2"/>
    </row>
    <row r="27750" spans="1:8" x14ac:dyDescent="0.25">
      <c r="A27750" s="1"/>
      <c r="B27750" s="1" t="s">
        <v>7328</v>
      </c>
      <c r="C27750" s="1" t="s">
        <v>7329</v>
      </c>
      <c r="D27750" s="22" t="str">
        <f>HYPERLINK("https://rhld.insurance.arkansas.gov/NPILookup?Npi=1740333756","1740333756")</f>
        <v>1740333756</v>
      </c>
      <c r="E27750" s="1" t="s">
        <v>278</v>
      </c>
      <c r="F27750" s="2"/>
      <c r="G27750" s="2"/>
      <c r="H27750" s="2"/>
    </row>
    <row r="27751" spans="1:8" x14ac:dyDescent="0.25">
      <c r="A27751" s="1"/>
      <c r="B27751" s="1" t="s">
        <v>7328</v>
      </c>
      <c r="C27751" s="1" t="s">
        <v>7329</v>
      </c>
      <c r="D27751" s="22" t="str">
        <f>HYPERLINK("https://rhld.insurance.arkansas.gov/NPILookup?Npi=1740340884","1740340884")</f>
        <v>1740340884</v>
      </c>
      <c r="E27751" s="1" t="s">
        <v>28422</v>
      </c>
      <c r="F27751" s="2"/>
      <c r="G27751" s="2"/>
      <c r="H27751" s="2"/>
    </row>
    <row r="27752" spans="1:8" x14ac:dyDescent="0.25">
      <c r="A27752" s="1"/>
      <c r="B27752" s="1" t="s">
        <v>7328</v>
      </c>
      <c r="C27752" s="1" t="s">
        <v>7329</v>
      </c>
      <c r="D27752" s="22" t="str">
        <f>HYPERLINK("https://rhld.insurance.arkansas.gov/NPILookup?Npi=1740353804","1740353804")</f>
        <v>1740353804</v>
      </c>
      <c r="E27752" s="1" t="s">
        <v>1615</v>
      </c>
      <c r="F27752" s="2"/>
      <c r="G27752" s="2"/>
      <c r="H27752" s="2"/>
    </row>
    <row r="27753" spans="1:8" x14ac:dyDescent="0.25">
      <c r="A27753" s="1"/>
      <c r="B27753" s="1" t="s">
        <v>7328</v>
      </c>
      <c r="C27753" s="1" t="s">
        <v>7329</v>
      </c>
      <c r="D27753" s="22" t="str">
        <f>HYPERLINK("https://rhld.insurance.arkansas.gov/NPILookup?Npi=1740365733","1740365733")</f>
        <v>1740365733</v>
      </c>
      <c r="E27753" s="1" t="s">
        <v>28423</v>
      </c>
      <c r="F27753" s="2"/>
      <c r="G27753" s="2"/>
      <c r="H27753" s="2"/>
    </row>
    <row r="27754" spans="1:8" x14ac:dyDescent="0.25">
      <c r="A27754" s="1"/>
      <c r="B27754" s="1" t="s">
        <v>7328</v>
      </c>
      <c r="C27754" s="1" t="s">
        <v>7329</v>
      </c>
      <c r="D27754" s="22" t="str">
        <f>HYPERLINK("https://rhld.insurance.arkansas.gov/NPILookup?Npi=1740394261","1740394261")</f>
        <v>1740394261</v>
      </c>
      <c r="E27754" s="1" t="s">
        <v>28424</v>
      </c>
      <c r="F27754" s="2"/>
      <c r="G27754" s="2"/>
      <c r="H27754" s="2"/>
    </row>
    <row r="27755" spans="1:8" x14ac:dyDescent="0.25">
      <c r="A27755" s="1"/>
      <c r="B27755" s="1" t="s">
        <v>7328</v>
      </c>
      <c r="C27755" s="1" t="s">
        <v>7329</v>
      </c>
      <c r="D27755" s="22" t="str">
        <f>HYPERLINK("https://rhld.insurance.arkansas.gov/NPILookup?Npi=1740411511","1740411511")</f>
        <v>1740411511</v>
      </c>
      <c r="E27755" s="1" t="s">
        <v>28425</v>
      </c>
      <c r="F27755" s="2"/>
      <c r="G27755" s="2"/>
      <c r="H27755" s="2"/>
    </row>
    <row r="27756" spans="1:8" x14ac:dyDescent="0.25">
      <c r="A27756" s="1"/>
      <c r="B27756" s="1" t="s">
        <v>7328</v>
      </c>
      <c r="C27756" s="1" t="s">
        <v>7329</v>
      </c>
      <c r="D27756" s="22" t="str">
        <f>HYPERLINK("https://rhld.insurance.arkansas.gov/NPILookup?Npi=1740415611","1740415611")</f>
        <v>1740415611</v>
      </c>
      <c r="E27756" s="1" t="s">
        <v>10434</v>
      </c>
      <c r="F27756" s="2"/>
      <c r="G27756" s="2"/>
      <c r="H27756" s="2"/>
    </row>
    <row r="27757" spans="1:8" x14ac:dyDescent="0.25">
      <c r="A27757" s="1"/>
      <c r="B27757" s="1" t="s">
        <v>7328</v>
      </c>
      <c r="C27757" s="1" t="s">
        <v>7329</v>
      </c>
      <c r="D27757" s="22" t="str">
        <f>HYPERLINK("https://rhld.insurance.arkansas.gov/NPILookup?Npi=1740430560","1740430560")</f>
        <v>1740430560</v>
      </c>
      <c r="E27757" s="1" t="s">
        <v>28426</v>
      </c>
      <c r="F27757" s="2"/>
      <c r="G27757" s="2"/>
      <c r="H27757" s="2"/>
    </row>
    <row r="27758" spans="1:8" x14ac:dyDescent="0.25">
      <c r="A27758" s="1"/>
      <c r="B27758" s="1" t="s">
        <v>7328</v>
      </c>
      <c r="C27758" s="1" t="s">
        <v>7329</v>
      </c>
      <c r="D27758" s="22" t="str">
        <f>HYPERLINK("https://rhld.insurance.arkansas.gov/NPILookup?Npi=1740439975","1740439975")</f>
        <v>1740439975</v>
      </c>
      <c r="E27758" s="1" t="s">
        <v>28427</v>
      </c>
      <c r="F27758" s="2"/>
      <c r="G27758" s="2"/>
      <c r="H27758" s="2"/>
    </row>
    <row r="27759" spans="1:8" x14ac:dyDescent="0.25">
      <c r="A27759" s="1"/>
      <c r="B27759" s="1" t="s">
        <v>7328</v>
      </c>
      <c r="C27759" s="1" t="s">
        <v>7329</v>
      </c>
      <c r="D27759" s="22" t="str">
        <f>HYPERLINK("https://rhld.insurance.arkansas.gov/NPILookup?Npi=1740442284","1740442284")</f>
        <v>1740442284</v>
      </c>
      <c r="E27759" s="1" t="s">
        <v>17846</v>
      </c>
      <c r="F27759" s="2"/>
      <c r="G27759" s="2"/>
      <c r="H27759" s="2"/>
    </row>
    <row r="27760" spans="1:8" x14ac:dyDescent="0.25">
      <c r="A27760" s="1"/>
      <c r="B27760" s="1" t="s">
        <v>7328</v>
      </c>
      <c r="C27760" s="1" t="s">
        <v>7329</v>
      </c>
      <c r="D27760" s="22" t="str">
        <f>HYPERLINK("https://rhld.insurance.arkansas.gov/NPILookup?Npi=1740445014","1740445014")</f>
        <v>1740445014</v>
      </c>
      <c r="E27760" s="1" t="s">
        <v>231</v>
      </c>
      <c r="F27760" s="2"/>
      <c r="G27760" s="2"/>
      <c r="H27760" s="2"/>
    </row>
    <row r="27761" spans="1:8" x14ac:dyDescent="0.25">
      <c r="A27761" s="1"/>
      <c r="B27761" s="1" t="s">
        <v>7328</v>
      </c>
      <c r="C27761" s="1" t="s">
        <v>7329</v>
      </c>
      <c r="D27761" s="22" t="str">
        <f>HYPERLINK("https://rhld.insurance.arkansas.gov/NPILookup?Npi=1740514728","1740514728")</f>
        <v>1740514728</v>
      </c>
      <c r="E27761" s="1" t="s">
        <v>13530</v>
      </c>
      <c r="F27761" s="2"/>
      <c r="G27761" s="2"/>
      <c r="H27761" s="2"/>
    </row>
    <row r="27762" spans="1:8" x14ac:dyDescent="0.25">
      <c r="A27762" s="1"/>
      <c r="B27762" s="1" t="s">
        <v>7328</v>
      </c>
      <c r="C27762" s="1" t="s">
        <v>7329</v>
      </c>
      <c r="D27762" s="22" t="str">
        <f>HYPERLINK("https://rhld.insurance.arkansas.gov/NPILookup?Npi=1740528546","1740528546")</f>
        <v>1740528546</v>
      </c>
      <c r="E27762" s="1" t="s">
        <v>2997</v>
      </c>
      <c r="F27762" s="2"/>
      <c r="G27762" s="2"/>
      <c r="H27762" s="2"/>
    </row>
    <row r="27763" spans="1:8" x14ac:dyDescent="0.25">
      <c r="A27763" s="1"/>
      <c r="B27763" s="1" t="s">
        <v>7328</v>
      </c>
      <c r="C27763" s="1" t="s">
        <v>7329</v>
      </c>
      <c r="D27763" s="22" t="str">
        <f>HYPERLINK("https://rhld.insurance.arkansas.gov/NPILookup?Npi=1740529155","1740529155")</f>
        <v>1740529155</v>
      </c>
      <c r="E27763" s="1" t="s">
        <v>28428</v>
      </c>
      <c r="F27763" s="2"/>
      <c r="G27763" s="2"/>
      <c r="H27763" s="2"/>
    </row>
    <row r="27764" spans="1:8" x14ac:dyDescent="0.25">
      <c r="A27764" s="1"/>
      <c r="B27764" s="1" t="s">
        <v>7328</v>
      </c>
      <c r="C27764" s="1" t="s">
        <v>7329</v>
      </c>
      <c r="D27764" s="22" t="str">
        <f>HYPERLINK("https://rhld.insurance.arkansas.gov/NPILookup?Npi=1740543347","1740543347")</f>
        <v>1740543347</v>
      </c>
      <c r="E27764" s="1" t="s">
        <v>2132</v>
      </c>
      <c r="F27764" s="2"/>
      <c r="G27764" s="2"/>
      <c r="H27764" s="2"/>
    </row>
    <row r="27765" spans="1:8" x14ac:dyDescent="0.25">
      <c r="A27765" s="1"/>
      <c r="B27765" s="1" t="s">
        <v>7328</v>
      </c>
      <c r="C27765" s="1" t="s">
        <v>7329</v>
      </c>
      <c r="D27765" s="22" t="str">
        <f>HYPERLINK("https://rhld.insurance.arkansas.gov/NPILookup?Npi=1740565324","1740565324")</f>
        <v>1740565324</v>
      </c>
      <c r="E27765" s="1" t="s">
        <v>28429</v>
      </c>
      <c r="F27765" s="2"/>
      <c r="G27765" s="2"/>
      <c r="H27765" s="2"/>
    </row>
    <row r="27766" spans="1:8" x14ac:dyDescent="0.25">
      <c r="A27766" s="1"/>
      <c r="B27766" s="1" t="s">
        <v>7328</v>
      </c>
      <c r="C27766" s="1" t="s">
        <v>7329</v>
      </c>
      <c r="D27766" s="22" t="str">
        <f>HYPERLINK("https://rhld.insurance.arkansas.gov/NPILookup?Npi=1740572387","1740572387")</f>
        <v>1740572387</v>
      </c>
      <c r="E27766" s="1" t="s">
        <v>13531</v>
      </c>
      <c r="F27766" s="2"/>
      <c r="G27766" s="2"/>
      <c r="H27766" s="2"/>
    </row>
    <row r="27767" spans="1:8" x14ac:dyDescent="0.25">
      <c r="A27767" s="1"/>
      <c r="B27767" s="1" t="s">
        <v>7328</v>
      </c>
      <c r="C27767" s="1" t="s">
        <v>7329</v>
      </c>
      <c r="D27767" s="22" t="str">
        <f>HYPERLINK("https://rhld.insurance.arkansas.gov/NPILookup?Npi=1740575075","1740575075")</f>
        <v>1740575075</v>
      </c>
      <c r="E27767" s="1" t="s">
        <v>23181</v>
      </c>
      <c r="F27767" s="2"/>
      <c r="G27767" s="2"/>
      <c r="H27767" s="2"/>
    </row>
    <row r="27768" spans="1:8" x14ac:dyDescent="0.25">
      <c r="A27768" s="1"/>
      <c r="B27768" s="1" t="s">
        <v>7328</v>
      </c>
      <c r="C27768" s="1" t="s">
        <v>7329</v>
      </c>
      <c r="D27768" s="22" t="str">
        <f>HYPERLINK("https://rhld.insurance.arkansas.gov/NPILookup?Npi=1740591437","1740591437")</f>
        <v>1740591437</v>
      </c>
      <c r="E27768" s="1" t="s">
        <v>28430</v>
      </c>
      <c r="F27768" s="2"/>
      <c r="G27768" s="2"/>
      <c r="H27768" s="2"/>
    </row>
    <row r="27769" spans="1:8" x14ac:dyDescent="0.25">
      <c r="A27769" s="1"/>
      <c r="B27769" s="1" t="s">
        <v>7328</v>
      </c>
      <c r="C27769" s="1" t="s">
        <v>7329</v>
      </c>
      <c r="D27769" s="22" t="str">
        <f>HYPERLINK("https://rhld.insurance.arkansas.gov/NPILookup?Npi=1740593797","1740593797")</f>
        <v>1740593797</v>
      </c>
      <c r="E27769" s="1" t="s">
        <v>28431</v>
      </c>
      <c r="F27769" s="2"/>
      <c r="G27769" s="2"/>
      <c r="H27769" s="2"/>
    </row>
    <row r="27770" spans="1:8" x14ac:dyDescent="0.25">
      <c r="A27770" s="1"/>
      <c r="B27770" s="1" t="s">
        <v>7328</v>
      </c>
      <c r="C27770" s="1" t="s">
        <v>7329</v>
      </c>
      <c r="D27770" s="22" t="str">
        <f>HYPERLINK("https://rhld.insurance.arkansas.gov/NPILookup?Npi=1740622497","1740622497")</f>
        <v>1740622497</v>
      </c>
      <c r="E27770" s="1" t="s">
        <v>28432</v>
      </c>
      <c r="F27770" s="2"/>
      <c r="G27770" s="2"/>
      <c r="H27770" s="2"/>
    </row>
    <row r="27771" spans="1:8" x14ac:dyDescent="0.25">
      <c r="A27771" s="1"/>
      <c r="B27771" s="1" t="s">
        <v>7328</v>
      </c>
      <c r="C27771" s="1" t="s">
        <v>7329</v>
      </c>
      <c r="D27771" s="22" t="str">
        <f>HYPERLINK("https://rhld.insurance.arkansas.gov/NPILookup?Npi=1740624345","1740624345")</f>
        <v>1740624345</v>
      </c>
      <c r="E27771" s="1" t="s">
        <v>13532</v>
      </c>
      <c r="F27771" s="2"/>
      <c r="G27771" s="2"/>
      <c r="H27771" s="2"/>
    </row>
    <row r="27772" spans="1:8" x14ac:dyDescent="0.25">
      <c r="A27772" s="1"/>
      <c r="B27772" s="1" t="s">
        <v>7328</v>
      </c>
      <c r="C27772" s="1" t="s">
        <v>7329</v>
      </c>
      <c r="D27772" s="22" t="str">
        <f>HYPERLINK("https://rhld.insurance.arkansas.gov/NPILookup?Npi=1740629625","1740629625")</f>
        <v>1740629625</v>
      </c>
      <c r="E27772" s="1" t="s">
        <v>28433</v>
      </c>
      <c r="F27772" s="2"/>
      <c r="G27772" s="2"/>
      <c r="H27772" s="2"/>
    </row>
    <row r="27773" spans="1:8" x14ac:dyDescent="0.25">
      <c r="A27773" s="1"/>
      <c r="B27773" s="1" t="s">
        <v>7328</v>
      </c>
      <c r="C27773" s="1" t="s">
        <v>7329</v>
      </c>
      <c r="D27773" s="22" t="str">
        <f>HYPERLINK("https://rhld.insurance.arkansas.gov/NPILookup?Npi=1740642164","1740642164")</f>
        <v>1740642164</v>
      </c>
      <c r="E27773" s="1" t="s">
        <v>8056</v>
      </c>
      <c r="F27773" s="2"/>
      <c r="G27773" s="2"/>
      <c r="H27773" s="2"/>
    </row>
    <row r="27774" spans="1:8" x14ac:dyDescent="0.25">
      <c r="A27774" s="1"/>
      <c r="B27774" s="1" t="s">
        <v>7328</v>
      </c>
      <c r="C27774" s="1" t="s">
        <v>7329</v>
      </c>
      <c r="D27774" s="22" t="str">
        <f>HYPERLINK("https://rhld.insurance.arkansas.gov/NPILookup?Npi=1740649920","1740649920")</f>
        <v>1740649920</v>
      </c>
      <c r="E27774" s="1" t="s">
        <v>15978</v>
      </c>
      <c r="F27774" s="2"/>
      <c r="G27774" s="2"/>
      <c r="H27774" s="2"/>
    </row>
    <row r="27775" spans="1:8" x14ac:dyDescent="0.25">
      <c r="A27775" s="1"/>
      <c r="B27775" s="1" t="s">
        <v>7328</v>
      </c>
      <c r="C27775" s="1" t="s">
        <v>7329</v>
      </c>
      <c r="D27775" s="22" t="str">
        <f>HYPERLINK("https://rhld.insurance.arkansas.gov/NPILookup?Npi=1740655091","1740655091")</f>
        <v>1740655091</v>
      </c>
      <c r="E27775" s="1" t="s">
        <v>28434</v>
      </c>
      <c r="F27775" s="2"/>
      <c r="G27775" s="2"/>
      <c r="H27775" s="2"/>
    </row>
    <row r="27776" spans="1:8" x14ac:dyDescent="0.25">
      <c r="A27776" s="1"/>
      <c r="B27776" s="1" t="s">
        <v>7328</v>
      </c>
      <c r="C27776" s="1" t="s">
        <v>7329</v>
      </c>
      <c r="D27776" s="22" t="str">
        <f>HYPERLINK("https://rhld.insurance.arkansas.gov/NPILookup?Npi=1740656818","1740656818")</f>
        <v>1740656818</v>
      </c>
      <c r="E27776" s="1" t="s">
        <v>2063</v>
      </c>
      <c r="F27776" s="2"/>
      <c r="G27776" s="2"/>
      <c r="H27776" s="2"/>
    </row>
    <row r="27777" spans="1:8" x14ac:dyDescent="0.25">
      <c r="A27777" s="1"/>
      <c r="B27777" s="1" t="s">
        <v>7328</v>
      </c>
      <c r="C27777" s="1" t="s">
        <v>7329</v>
      </c>
      <c r="D27777" s="22" t="str">
        <f>HYPERLINK("https://rhld.insurance.arkansas.gov/NPILookup?Npi=1740664226","1740664226")</f>
        <v>1740664226</v>
      </c>
      <c r="E27777" s="1" t="s">
        <v>13533</v>
      </c>
      <c r="F27777" s="2"/>
      <c r="G27777" s="2"/>
      <c r="H27777" s="2"/>
    </row>
    <row r="27778" spans="1:8" x14ac:dyDescent="0.25">
      <c r="A27778" s="1"/>
      <c r="B27778" s="1" t="s">
        <v>7328</v>
      </c>
      <c r="C27778" s="1" t="s">
        <v>7329</v>
      </c>
      <c r="D27778" s="22" t="str">
        <f>HYPERLINK("https://rhld.insurance.arkansas.gov/NPILookup?Npi=1740673714","1740673714")</f>
        <v>1740673714</v>
      </c>
      <c r="E27778" s="1" t="s">
        <v>13534</v>
      </c>
      <c r="F27778" s="2"/>
      <c r="G27778" s="2"/>
      <c r="H27778" s="2"/>
    </row>
    <row r="27779" spans="1:8" x14ac:dyDescent="0.25">
      <c r="A27779" s="1"/>
      <c r="B27779" s="1" t="s">
        <v>7328</v>
      </c>
      <c r="C27779" s="1" t="s">
        <v>7329</v>
      </c>
      <c r="D27779" s="22" t="str">
        <f>HYPERLINK("https://rhld.insurance.arkansas.gov/NPILookup?Npi=1740678226","1740678226")</f>
        <v>1740678226</v>
      </c>
      <c r="E27779" s="1" t="s">
        <v>2998</v>
      </c>
      <c r="F27779" s="2"/>
      <c r="G27779" s="2"/>
      <c r="H27779" s="2"/>
    </row>
    <row r="27780" spans="1:8" x14ac:dyDescent="0.25">
      <c r="A27780" s="1"/>
      <c r="B27780" s="1" t="s">
        <v>7328</v>
      </c>
      <c r="C27780" s="1" t="s">
        <v>7329</v>
      </c>
      <c r="D27780" s="22" t="str">
        <f>HYPERLINK("https://rhld.insurance.arkansas.gov/NPILookup?Npi=1740693183","1740693183")</f>
        <v>1740693183</v>
      </c>
      <c r="E27780" s="1" t="s">
        <v>17848</v>
      </c>
      <c r="F27780" s="2"/>
      <c r="G27780" s="2"/>
      <c r="H27780" s="2"/>
    </row>
    <row r="27781" spans="1:8" x14ac:dyDescent="0.25">
      <c r="A27781" s="1"/>
      <c r="B27781" s="1" t="s">
        <v>7328</v>
      </c>
      <c r="C27781" s="1" t="s">
        <v>7329</v>
      </c>
      <c r="D27781" s="22" t="str">
        <f>HYPERLINK("https://rhld.insurance.arkansas.gov/NPILookup?Npi=1740695410","1740695410")</f>
        <v>1740695410</v>
      </c>
      <c r="E27781" s="1" t="s">
        <v>10435</v>
      </c>
      <c r="F27781" s="2"/>
      <c r="G27781" s="2"/>
      <c r="H27781" s="2"/>
    </row>
    <row r="27782" spans="1:8" x14ac:dyDescent="0.25">
      <c r="A27782" s="1"/>
      <c r="B27782" s="1" t="s">
        <v>7328</v>
      </c>
      <c r="C27782" s="1" t="s">
        <v>7329</v>
      </c>
      <c r="D27782" s="22" t="str">
        <f>HYPERLINK("https://rhld.insurance.arkansas.gov/NPILookup?Npi=1740700368","1740700368")</f>
        <v>1740700368</v>
      </c>
      <c r="E27782" s="1" t="s">
        <v>32345</v>
      </c>
      <c r="F27782" s="2"/>
      <c r="G27782" s="2"/>
      <c r="H27782" s="2"/>
    </row>
    <row r="27783" spans="1:8" x14ac:dyDescent="0.25">
      <c r="A27783" s="1"/>
      <c r="B27783" s="1" t="s">
        <v>7328</v>
      </c>
      <c r="C27783" s="1" t="s">
        <v>7329</v>
      </c>
      <c r="D27783" s="22" t="str">
        <f>HYPERLINK("https://rhld.insurance.arkansas.gov/NPILookup?Npi=1740700574","1740700574")</f>
        <v>1740700574</v>
      </c>
      <c r="E27783" s="1" t="s">
        <v>28435</v>
      </c>
      <c r="F27783" s="2"/>
      <c r="G27783" s="2"/>
      <c r="H27783" s="2"/>
    </row>
    <row r="27784" spans="1:8" x14ac:dyDescent="0.25">
      <c r="A27784" s="1"/>
      <c r="B27784" s="1" t="s">
        <v>7328</v>
      </c>
      <c r="C27784" s="1" t="s">
        <v>7329</v>
      </c>
      <c r="D27784" s="22" t="str">
        <f>HYPERLINK("https://rhld.insurance.arkansas.gov/NPILookup?Npi=1740703180","1740703180")</f>
        <v>1740703180</v>
      </c>
      <c r="E27784" s="1" t="s">
        <v>32346</v>
      </c>
      <c r="F27784" s="2"/>
      <c r="G27784" s="2"/>
      <c r="H27784" s="2"/>
    </row>
    <row r="27785" spans="1:8" x14ac:dyDescent="0.25">
      <c r="A27785" s="1"/>
      <c r="B27785" s="1" t="s">
        <v>7328</v>
      </c>
      <c r="C27785" s="1" t="s">
        <v>7329</v>
      </c>
      <c r="D27785" s="22" t="str">
        <f>HYPERLINK("https://rhld.insurance.arkansas.gov/NPILookup?Npi=1740704774","1740704774")</f>
        <v>1740704774</v>
      </c>
      <c r="E27785" s="1" t="s">
        <v>2064</v>
      </c>
      <c r="F27785" s="2"/>
      <c r="G27785" s="2"/>
      <c r="H27785" s="2"/>
    </row>
    <row r="27786" spans="1:8" x14ac:dyDescent="0.25">
      <c r="A27786" s="1"/>
      <c r="B27786" s="1" t="s">
        <v>7328</v>
      </c>
      <c r="C27786" s="1" t="s">
        <v>7329</v>
      </c>
      <c r="D27786" s="22" t="str">
        <f>HYPERLINK("https://rhld.insurance.arkansas.gov/NPILookup?Npi=1740713650","1740713650")</f>
        <v>1740713650</v>
      </c>
      <c r="E27786" s="1" t="s">
        <v>28436</v>
      </c>
      <c r="F27786" s="2"/>
      <c r="G27786" s="2"/>
      <c r="H27786" s="2"/>
    </row>
    <row r="27787" spans="1:8" x14ac:dyDescent="0.25">
      <c r="A27787" s="1"/>
      <c r="B27787" s="1" t="s">
        <v>7328</v>
      </c>
      <c r="C27787" s="1" t="s">
        <v>7329</v>
      </c>
      <c r="D27787" s="22" t="str">
        <f>HYPERLINK("https://rhld.insurance.arkansas.gov/NPILookup?Npi=1740719590","1740719590")</f>
        <v>1740719590</v>
      </c>
      <c r="E27787" s="1" t="s">
        <v>13535</v>
      </c>
      <c r="F27787" s="2"/>
      <c r="G27787" s="2"/>
      <c r="H27787" s="2"/>
    </row>
    <row r="27788" spans="1:8" x14ac:dyDescent="0.25">
      <c r="A27788" s="1"/>
      <c r="B27788" s="1" t="s">
        <v>7328</v>
      </c>
      <c r="C27788" s="1" t="s">
        <v>7329</v>
      </c>
      <c r="D27788" s="22" t="str">
        <f>HYPERLINK("https://rhld.insurance.arkansas.gov/NPILookup?Npi=1740727478","1740727478")</f>
        <v>1740727478</v>
      </c>
      <c r="E27788" s="1" t="s">
        <v>28437</v>
      </c>
      <c r="F27788" s="2"/>
      <c r="G27788" s="2"/>
      <c r="H27788" s="2"/>
    </row>
    <row r="27789" spans="1:8" x14ac:dyDescent="0.25">
      <c r="A27789" s="1"/>
      <c r="B27789" s="1" t="s">
        <v>7328</v>
      </c>
      <c r="C27789" s="1" t="s">
        <v>7329</v>
      </c>
      <c r="D27789" s="22" t="str">
        <f>HYPERLINK("https://rhld.insurance.arkansas.gov/NPILookup?Npi=1740728104","1740728104")</f>
        <v>1740728104</v>
      </c>
      <c r="E27789" s="1" t="s">
        <v>2999</v>
      </c>
      <c r="F27789" s="2"/>
      <c r="G27789" s="2"/>
      <c r="H27789" s="2"/>
    </row>
    <row r="27790" spans="1:8" x14ac:dyDescent="0.25">
      <c r="A27790" s="1"/>
      <c r="B27790" s="1" t="s">
        <v>7328</v>
      </c>
      <c r="C27790" s="1" t="s">
        <v>7329</v>
      </c>
      <c r="D27790" s="22" t="str">
        <f>HYPERLINK("https://rhld.insurance.arkansas.gov/NPILookup?Npi=1740728187","1740728187")</f>
        <v>1740728187</v>
      </c>
      <c r="E27790" s="1" t="s">
        <v>28438</v>
      </c>
      <c r="F27790" s="2"/>
      <c r="G27790" s="2"/>
      <c r="H27790" s="2"/>
    </row>
    <row r="27791" spans="1:8" x14ac:dyDescent="0.25">
      <c r="A27791" s="1"/>
      <c r="B27791" s="1" t="s">
        <v>7328</v>
      </c>
      <c r="C27791" s="1" t="s">
        <v>7329</v>
      </c>
      <c r="D27791" s="22" t="str">
        <f>HYPERLINK("https://rhld.insurance.arkansas.gov/NPILookup?Npi=1740730290","1740730290")</f>
        <v>1740730290</v>
      </c>
      <c r="E27791" s="1" t="s">
        <v>28439</v>
      </c>
      <c r="F27791" s="2"/>
      <c r="G27791" s="2"/>
      <c r="H27791" s="2"/>
    </row>
    <row r="27792" spans="1:8" x14ac:dyDescent="0.25">
      <c r="A27792" s="1"/>
      <c r="B27792" s="1" t="s">
        <v>7328</v>
      </c>
      <c r="C27792" s="1" t="s">
        <v>7329</v>
      </c>
      <c r="D27792" s="22" t="str">
        <f>HYPERLINK("https://rhld.insurance.arkansas.gov/NPILookup?Npi=1740731306","1740731306")</f>
        <v>1740731306</v>
      </c>
      <c r="E27792" s="1" t="s">
        <v>3000</v>
      </c>
      <c r="F27792" s="2"/>
      <c r="G27792" s="2"/>
      <c r="H27792" s="2"/>
    </row>
    <row r="27793" spans="1:8" x14ac:dyDescent="0.25">
      <c r="A27793" s="1"/>
      <c r="B27793" s="1" t="s">
        <v>7328</v>
      </c>
      <c r="C27793" s="1" t="s">
        <v>7329</v>
      </c>
      <c r="D27793" s="22" t="str">
        <f>HYPERLINK("https://rhld.insurance.arkansas.gov/NPILookup?Npi=1740731660","1740731660")</f>
        <v>1740731660</v>
      </c>
      <c r="E27793" s="1" t="s">
        <v>28440</v>
      </c>
      <c r="F27793" s="2"/>
      <c r="G27793" s="2"/>
      <c r="H27793" s="2"/>
    </row>
    <row r="27794" spans="1:8" x14ac:dyDescent="0.25">
      <c r="A27794" s="1"/>
      <c r="B27794" s="1" t="s">
        <v>7328</v>
      </c>
      <c r="C27794" s="1" t="s">
        <v>7329</v>
      </c>
      <c r="D27794" s="22" t="str">
        <f>HYPERLINK("https://rhld.insurance.arkansas.gov/NPILookup?Npi=1740736180","1740736180")</f>
        <v>1740736180</v>
      </c>
      <c r="E27794" s="1" t="s">
        <v>28441</v>
      </c>
      <c r="F27794" s="2"/>
      <c r="G27794" s="2"/>
      <c r="H27794" s="2"/>
    </row>
    <row r="27795" spans="1:8" x14ac:dyDescent="0.25">
      <c r="A27795" s="1"/>
      <c r="B27795" s="1" t="s">
        <v>7328</v>
      </c>
      <c r="C27795" s="1" t="s">
        <v>7329</v>
      </c>
      <c r="D27795" s="22" t="str">
        <f>HYPERLINK("https://rhld.insurance.arkansas.gov/NPILookup?Npi=1740742998","1740742998")</f>
        <v>1740742998</v>
      </c>
      <c r="E27795" s="1" t="s">
        <v>8057</v>
      </c>
      <c r="F27795" s="2"/>
      <c r="G27795" s="2"/>
      <c r="H27795" s="2"/>
    </row>
    <row r="27796" spans="1:8" x14ac:dyDescent="0.25">
      <c r="A27796" s="1"/>
      <c r="B27796" s="1" t="s">
        <v>7328</v>
      </c>
      <c r="C27796" s="1" t="s">
        <v>7329</v>
      </c>
      <c r="D27796" s="22" t="str">
        <f>HYPERLINK("https://rhld.insurance.arkansas.gov/NPILookup?Npi=1740755503","1740755503")</f>
        <v>1740755503</v>
      </c>
      <c r="E27796" s="1" t="s">
        <v>8058</v>
      </c>
      <c r="F27796" s="2"/>
      <c r="G27796" s="2"/>
      <c r="H27796" s="2"/>
    </row>
    <row r="27797" spans="1:8" x14ac:dyDescent="0.25">
      <c r="A27797" s="1"/>
      <c r="B27797" s="1" t="s">
        <v>7328</v>
      </c>
      <c r="C27797" s="1" t="s">
        <v>7329</v>
      </c>
      <c r="D27797" s="22" t="str">
        <f>HYPERLINK("https://rhld.insurance.arkansas.gov/NPILookup?Npi=1740756659","1740756659")</f>
        <v>1740756659</v>
      </c>
      <c r="E27797" s="1" t="s">
        <v>13536</v>
      </c>
      <c r="F27797" s="2"/>
      <c r="G27797" s="2"/>
      <c r="H27797" s="2"/>
    </row>
    <row r="27798" spans="1:8" x14ac:dyDescent="0.25">
      <c r="A27798" s="1"/>
      <c r="B27798" s="1" t="s">
        <v>7328</v>
      </c>
      <c r="C27798" s="1" t="s">
        <v>7329</v>
      </c>
      <c r="D27798" s="22" t="str">
        <f>HYPERLINK("https://rhld.insurance.arkansas.gov/NPILookup?Npi=1740757343","1740757343")</f>
        <v>1740757343</v>
      </c>
      <c r="E27798" s="1" t="s">
        <v>13537</v>
      </c>
      <c r="F27798" s="2"/>
      <c r="G27798" s="2"/>
      <c r="H27798" s="2"/>
    </row>
    <row r="27799" spans="1:8" x14ac:dyDescent="0.25">
      <c r="A27799" s="1"/>
      <c r="B27799" s="1" t="s">
        <v>7328</v>
      </c>
      <c r="C27799" s="1" t="s">
        <v>7329</v>
      </c>
      <c r="D27799" s="22" t="str">
        <f>HYPERLINK("https://rhld.insurance.arkansas.gov/NPILookup?Npi=1740761956","1740761956")</f>
        <v>1740761956</v>
      </c>
      <c r="E27799" s="1" t="s">
        <v>28442</v>
      </c>
      <c r="F27799" s="2"/>
      <c r="G27799" s="2"/>
      <c r="H27799" s="2"/>
    </row>
    <row r="27800" spans="1:8" x14ac:dyDescent="0.25">
      <c r="A27800" s="1"/>
      <c r="B27800" s="1" t="s">
        <v>7328</v>
      </c>
      <c r="C27800" s="1" t="s">
        <v>7329</v>
      </c>
      <c r="D27800" s="22" t="str">
        <f>HYPERLINK("https://rhld.insurance.arkansas.gov/NPILookup?Npi=1740765023","1740765023")</f>
        <v>1740765023</v>
      </c>
      <c r="E27800" s="1" t="s">
        <v>28443</v>
      </c>
      <c r="F27800" s="2"/>
      <c r="G27800" s="2"/>
      <c r="H27800" s="2"/>
    </row>
    <row r="27801" spans="1:8" x14ac:dyDescent="0.25">
      <c r="A27801" s="1"/>
      <c r="B27801" s="1" t="s">
        <v>7328</v>
      </c>
      <c r="C27801" s="1" t="s">
        <v>7329</v>
      </c>
      <c r="D27801" s="22" t="str">
        <f>HYPERLINK("https://rhld.insurance.arkansas.gov/NPILookup?Npi=1740765205","1740765205")</f>
        <v>1740765205</v>
      </c>
      <c r="E27801" s="1" t="s">
        <v>28444</v>
      </c>
      <c r="F27801" s="2"/>
      <c r="G27801" s="2"/>
      <c r="H27801" s="2"/>
    </row>
    <row r="27802" spans="1:8" x14ac:dyDescent="0.25">
      <c r="A27802" s="1"/>
      <c r="B27802" s="1" t="s">
        <v>7328</v>
      </c>
      <c r="C27802" s="1" t="s">
        <v>7329</v>
      </c>
      <c r="D27802" s="22" t="str">
        <f>HYPERLINK("https://rhld.insurance.arkansas.gov/NPILookup?Npi=1740767375","1740767375")</f>
        <v>1740767375</v>
      </c>
      <c r="E27802" s="1" t="s">
        <v>28445</v>
      </c>
      <c r="F27802" s="2"/>
      <c r="G27802" s="2"/>
      <c r="H27802" s="2"/>
    </row>
    <row r="27803" spans="1:8" x14ac:dyDescent="0.25">
      <c r="A27803" s="1"/>
      <c r="B27803" s="1" t="s">
        <v>7328</v>
      </c>
      <c r="C27803" s="1" t="s">
        <v>7329</v>
      </c>
      <c r="D27803" s="22" t="str">
        <f>HYPERLINK("https://rhld.insurance.arkansas.gov/NPILookup?Npi=1740768944","1740768944")</f>
        <v>1740768944</v>
      </c>
      <c r="E27803" s="1" t="s">
        <v>8059</v>
      </c>
      <c r="F27803" s="2"/>
      <c r="G27803" s="2"/>
      <c r="H27803" s="2"/>
    </row>
    <row r="27804" spans="1:8" x14ac:dyDescent="0.25">
      <c r="A27804" s="1"/>
      <c r="B27804" s="1" t="s">
        <v>7328</v>
      </c>
      <c r="C27804" s="1" t="s">
        <v>7329</v>
      </c>
      <c r="D27804" s="22" t="str">
        <f>HYPERLINK("https://rhld.insurance.arkansas.gov/NPILookup?Npi=1740787902","1740787902")</f>
        <v>1740787902</v>
      </c>
      <c r="E27804" s="1" t="s">
        <v>28446</v>
      </c>
      <c r="F27804" s="2"/>
      <c r="G27804" s="2"/>
      <c r="H27804" s="2"/>
    </row>
    <row r="27805" spans="1:8" x14ac:dyDescent="0.25">
      <c r="A27805" s="1"/>
      <c r="B27805" s="1" t="s">
        <v>7328</v>
      </c>
      <c r="C27805" s="1" t="s">
        <v>7329</v>
      </c>
      <c r="D27805" s="22" t="str">
        <f>HYPERLINK("https://rhld.insurance.arkansas.gov/NPILookup?Npi=1740795533","1740795533")</f>
        <v>1740795533</v>
      </c>
      <c r="E27805" s="1" t="s">
        <v>28447</v>
      </c>
      <c r="F27805" s="2"/>
      <c r="G27805" s="2"/>
      <c r="H27805" s="2"/>
    </row>
    <row r="27806" spans="1:8" x14ac:dyDescent="0.25">
      <c r="A27806" s="1"/>
      <c r="B27806" s="1" t="s">
        <v>7328</v>
      </c>
      <c r="C27806" s="1" t="s">
        <v>7329</v>
      </c>
      <c r="D27806" s="22" t="str">
        <f>HYPERLINK("https://rhld.insurance.arkansas.gov/NPILookup?Npi=1740795731","1740795731")</f>
        <v>1740795731</v>
      </c>
      <c r="E27806" s="1" t="s">
        <v>8060</v>
      </c>
      <c r="F27806" s="2"/>
      <c r="G27806" s="2"/>
      <c r="H27806" s="2"/>
    </row>
    <row r="27807" spans="1:8" x14ac:dyDescent="0.25">
      <c r="A27807" s="1"/>
      <c r="B27807" s="1" t="s">
        <v>7328</v>
      </c>
      <c r="C27807" s="1" t="s">
        <v>7329</v>
      </c>
      <c r="D27807" s="22" t="str">
        <f>HYPERLINK("https://rhld.insurance.arkansas.gov/NPILookup?Npi=1740805977","1740805977")</f>
        <v>1740805977</v>
      </c>
      <c r="E27807" s="1" t="s">
        <v>13538</v>
      </c>
      <c r="F27807" s="2"/>
      <c r="G27807" s="2"/>
      <c r="H27807" s="2"/>
    </row>
    <row r="27808" spans="1:8" x14ac:dyDescent="0.25">
      <c r="A27808" s="1"/>
      <c r="B27808" s="1" t="s">
        <v>7328</v>
      </c>
      <c r="C27808" s="1" t="s">
        <v>7329</v>
      </c>
      <c r="D27808" s="22" t="str">
        <f>HYPERLINK("https://rhld.insurance.arkansas.gov/NPILookup?Npi=1740807759","1740807759")</f>
        <v>1740807759</v>
      </c>
      <c r="E27808" s="1" t="s">
        <v>13539</v>
      </c>
      <c r="F27808" s="2"/>
      <c r="G27808" s="2"/>
      <c r="H27808" s="2"/>
    </row>
    <row r="27809" spans="1:8" x14ac:dyDescent="0.25">
      <c r="A27809" s="1"/>
      <c r="B27809" s="1" t="s">
        <v>7328</v>
      </c>
      <c r="C27809" s="1" t="s">
        <v>7329</v>
      </c>
      <c r="D27809" s="22" t="str">
        <f>HYPERLINK("https://rhld.insurance.arkansas.gov/NPILookup?Npi=1740811793","1740811793")</f>
        <v>1740811793</v>
      </c>
      <c r="E27809" s="1" t="s">
        <v>28448</v>
      </c>
      <c r="F27809" s="2"/>
      <c r="G27809" s="2"/>
      <c r="H27809" s="2"/>
    </row>
    <row r="27810" spans="1:8" x14ac:dyDescent="0.25">
      <c r="A27810" s="1"/>
      <c r="B27810" s="1" t="s">
        <v>7328</v>
      </c>
      <c r="C27810" s="1" t="s">
        <v>7329</v>
      </c>
      <c r="D27810" s="22" t="str">
        <f>HYPERLINK("https://rhld.insurance.arkansas.gov/NPILookup?Npi=1740818137","1740818137")</f>
        <v>1740818137</v>
      </c>
      <c r="E27810" s="1" t="s">
        <v>28449</v>
      </c>
      <c r="F27810" s="2"/>
      <c r="G27810" s="2"/>
      <c r="H27810" s="2"/>
    </row>
    <row r="27811" spans="1:8" x14ac:dyDescent="0.25">
      <c r="A27811" s="1"/>
      <c r="B27811" s="1" t="s">
        <v>7328</v>
      </c>
      <c r="C27811" s="1" t="s">
        <v>7329</v>
      </c>
      <c r="D27811" s="22" t="str">
        <f>HYPERLINK("https://rhld.insurance.arkansas.gov/NPILookup?Npi=1740819135","1740819135")</f>
        <v>1740819135</v>
      </c>
      <c r="E27811" s="1" t="s">
        <v>28450</v>
      </c>
      <c r="F27811" s="2"/>
      <c r="G27811" s="2"/>
      <c r="H27811" s="2"/>
    </row>
    <row r="27812" spans="1:8" x14ac:dyDescent="0.25">
      <c r="A27812" s="1"/>
      <c r="B27812" s="1" t="s">
        <v>7328</v>
      </c>
      <c r="C27812" s="1" t="s">
        <v>7329</v>
      </c>
      <c r="D27812" s="22" t="str">
        <f>HYPERLINK("https://rhld.insurance.arkansas.gov/NPILookup?Npi=1740820950","1740820950")</f>
        <v>1740820950</v>
      </c>
      <c r="E27812" s="1" t="s">
        <v>28451</v>
      </c>
      <c r="F27812" s="2"/>
      <c r="G27812" s="2"/>
      <c r="H27812" s="2"/>
    </row>
    <row r="27813" spans="1:8" x14ac:dyDescent="0.25">
      <c r="A27813" s="1"/>
      <c r="B27813" s="1" t="s">
        <v>7328</v>
      </c>
      <c r="C27813" s="1" t="s">
        <v>7329</v>
      </c>
      <c r="D27813" s="22" t="str">
        <f>HYPERLINK("https://rhld.insurance.arkansas.gov/NPILookup?Npi=1740844927","1740844927")</f>
        <v>1740844927</v>
      </c>
      <c r="E27813" s="1" t="s">
        <v>28452</v>
      </c>
      <c r="F27813" s="2"/>
      <c r="G27813" s="2"/>
      <c r="H27813" s="2"/>
    </row>
    <row r="27814" spans="1:8" x14ac:dyDescent="0.25">
      <c r="A27814" s="1"/>
      <c r="B27814" s="1" t="s">
        <v>7328</v>
      </c>
      <c r="C27814" s="1" t="s">
        <v>7329</v>
      </c>
      <c r="D27814" s="22" t="str">
        <f>HYPERLINK("https://rhld.insurance.arkansas.gov/NPILookup?Npi=1740850387","1740850387")</f>
        <v>1740850387</v>
      </c>
      <c r="E27814" s="1" t="s">
        <v>8061</v>
      </c>
      <c r="F27814" s="2"/>
      <c r="G27814" s="2"/>
      <c r="H27814" s="2"/>
    </row>
    <row r="27815" spans="1:8" x14ac:dyDescent="0.25">
      <c r="A27815" s="1"/>
      <c r="B27815" s="1" t="s">
        <v>7328</v>
      </c>
      <c r="C27815" s="1" t="s">
        <v>7329</v>
      </c>
      <c r="D27815" s="22" t="str">
        <f>HYPERLINK("https://rhld.insurance.arkansas.gov/NPILookup?Npi=1740852110","1740852110")</f>
        <v>1740852110</v>
      </c>
      <c r="E27815" s="1" t="s">
        <v>4883</v>
      </c>
      <c r="F27815" s="2"/>
      <c r="G27815" s="2"/>
      <c r="H27815" s="2"/>
    </row>
    <row r="27816" spans="1:8" x14ac:dyDescent="0.25">
      <c r="A27816" s="1"/>
      <c r="B27816" s="1" t="s">
        <v>7328</v>
      </c>
      <c r="C27816" s="1" t="s">
        <v>7329</v>
      </c>
      <c r="D27816" s="22" t="str">
        <f>HYPERLINK("https://rhld.insurance.arkansas.gov/NPILookup?Npi=1740855980","1740855980")</f>
        <v>1740855980</v>
      </c>
      <c r="E27816" s="1" t="s">
        <v>8062</v>
      </c>
      <c r="F27816" s="2"/>
      <c r="G27816" s="2"/>
      <c r="H27816" s="2"/>
    </row>
    <row r="27817" spans="1:8" x14ac:dyDescent="0.25">
      <c r="A27817" s="1"/>
      <c r="B27817" s="1" t="s">
        <v>7328</v>
      </c>
      <c r="C27817" s="1" t="s">
        <v>7329</v>
      </c>
      <c r="D27817" s="22" t="str">
        <f>HYPERLINK("https://rhld.insurance.arkansas.gov/NPILookup?Npi=1740868132","1740868132")</f>
        <v>1740868132</v>
      </c>
      <c r="E27817" s="1" t="s">
        <v>28453</v>
      </c>
      <c r="F27817" s="2"/>
      <c r="G27817" s="2"/>
      <c r="H27817" s="2"/>
    </row>
    <row r="27818" spans="1:8" x14ac:dyDescent="0.25">
      <c r="A27818" s="1"/>
      <c r="B27818" s="1" t="s">
        <v>7328</v>
      </c>
      <c r="C27818" s="1" t="s">
        <v>7329</v>
      </c>
      <c r="D27818" s="22" t="str">
        <f>HYPERLINK("https://rhld.insurance.arkansas.gov/NPILookup?Npi=1740869007","1740869007")</f>
        <v>1740869007</v>
      </c>
      <c r="E27818" s="1" t="s">
        <v>28454</v>
      </c>
      <c r="F27818" s="2"/>
      <c r="G27818" s="2"/>
      <c r="H27818" s="2"/>
    </row>
    <row r="27819" spans="1:8" x14ac:dyDescent="0.25">
      <c r="A27819" s="1"/>
      <c r="B27819" s="1" t="s">
        <v>7328</v>
      </c>
      <c r="C27819" s="1" t="s">
        <v>7329</v>
      </c>
      <c r="D27819" s="22" t="str">
        <f>HYPERLINK("https://rhld.insurance.arkansas.gov/NPILookup?Npi=1740870583","1740870583")</f>
        <v>1740870583</v>
      </c>
      <c r="E27819" s="1" t="s">
        <v>8063</v>
      </c>
      <c r="F27819" s="2"/>
      <c r="G27819" s="2"/>
      <c r="H27819" s="2"/>
    </row>
    <row r="27820" spans="1:8" x14ac:dyDescent="0.25">
      <c r="A27820" s="1"/>
      <c r="B27820" s="1" t="s">
        <v>7328</v>
      </c>
      <c r="C27820" s="1" t="s">
        <v>7329</v>
      </c>
      <c r="D27820" s="22" t="str">
        <f>HYPERLINK("https://rhld.insurance.arkansas.gov/NPILookup?Npi=1740886704","1740886704")</f>
        <v>1740886704</v>
      </c>
      <c r="E27820" s="1" t="s">
        <v>13540</v>
      </c>
      <c r="F27820" s="2"/>
      <c r="G27820" s="2"/>
      <c r="H27820" s="2"/>
    </row>
    <row r="27821" spans="1:8" x14ac:dyDescent="0.25">
      <c r="A27821" s="1"/>
      <c r="B27821" s="1" t="s">
        <v>7328</v>
      </c>
      <c r="C27821" s="1" t="s">
        <v>7329</v>
      </c>
      <c r="D27821" s="22" t="str">
        <f>HYPERLINK("https://rhld.insurance.arkansas.gov/NPILookup?Npi=1740887215","1740887215")</f>
        <v>1740887215</v>
      </c>
      <c r="E27821" s="1" t="s">
        <v>28455</v>
      </c>
      <c r="F27821" s="2"/>
      <c r="G27821" s="2"/>
      <c r="H27821" s="2"/>
    </row>
    <row r="27822" spans="1:8" x14ac:dyDescent="0.25">
      <c r="A27822" s="1"/>
      <c r="B27822" s="1" t="s">
        <v>7328</v>
      </c>
      <c r="C27822" s="1" t="s">
        <v>7329</v>
      </c>
      <c r="D27822" s="22" t="str">
        <f>HYPERLINK("https://rhld.insurance.arkansas.gov/NPILookup?Npi=1740917129","1740917129")</f>
        <v>1740917129</v>
      </c>
      <c r="E27822" s="1" t="s">
        <v>32347</v>
      </c>
      <c r="F27822" s="2"/>
      <c r="G27822" s="2"/>
      <c r="H27822" s="2"/>
    </row>
    <row r="27823" spans="1:8" x14ac:dyDescent="0.25">
      <c r="A27823" s="1"/>
      <c r="B27823" s="1" t="s">
        <v>7328</v>
      </c>
      <c r="C27823" s="1" t="s">
        <v>7329</v>
      </c>
      <c r="D27823" s="22" t="str">
        <f>HYPERLINK("https://rhld.insurance.arkansas.gov/NPILookup?Npi=1740917640","1740917640")</f>
        <v>1740917640</v>
      </c>
      <c r="E27823" s="1" t="s">
        <v>4909</v>
      </c>
      <c r="F27823" s="2"/>
      <c r="G27823" s="2"/>
      <c r="H27823" s="2"/>
    </row>
    <row r="27824" spans="1:8" x14ac:dyDescent="0.25">
      <c r="A27824" s="1"/>
      <c r="B27824" s="1" t="s">
        <v>7328</v>
      </c>
      <c r="C27824" s="1" t="s">
        <v>7329</v>
      </c>
      <c r="D27824" s="22" t="str">
        <f>HYPERLINK("https://rhld.insurance.arkansas.gov/NPILookup?Npi=1740922962","1740922962")</f>
        <v>1740922962</v>
      </c>
      <c r="E27824" s="1" t="s">
        <v>28456</v>
      </c>
      <c r="F27824" s="2"/>
      <c r="G27824" s="2"/>
      <c r="H27824" s="2"/>
    </row>
    <row r="27825" spans="1:8" x14ac:dyDescent="0.25">
      <c r="A27825" s="1"/>
      <c r="B27825" s="1" t="s">
        <v>7328</v>
      </c>
      <c r="C27825" s="1" t="s">
        <v>7329</v>
      </c>
      <c r="D27825" s="22" t="str">
        <f>HYPERLINK("https://rhld.insurance.arkansas.gov/NPILookup?Npi=1740932722","1740932722")</f>
        <v>1740932722</v>
      </c>
      <c r="E27825" s="1" t="s">
        <v>28457</v>
      </c>
      <c r="F27825" s="2"/>
      <c r="G27825" s="2"/>
      <c r="H27825" s="2"/>
    </row>
    <row r="27826" spans="1:8" x14ac:dyDescent="0.25">
      <c r="A27826" s="1"/>
      <c r="B27826" s="1" t="s">
        <v>7328</v>
      </c>
      <c r="C27826" s="1" t="s">
        <v>7329</v>
      </c>
      <c r="D27826" s="22" t="str">
        <f>HYPERLINK("https://rhld.insurance.arkansas.gov/NPILookup?Npi=1740956416","1740956416")</f>
        <v>1740956416</v>
      </c>
      <c r="E27826" s="1" t="s">
        <v>28458</v>
      </c>
      <c r="F27826" s="2"/>
      <c r="G27826" s="2"/>
      <c r="H27826" s="2"/>
    </row>
    <row r="27827" spans="1:8" x14ac:dyDescent="0.25">
      <c r="A27827" s="1"/>
      <c r="B27827" s="1" t="s">
        <v>7328</v>
      </c>
      <c r="C27827" s="1" t="s">
        <v>7329</v>
      </c>
      <c r="D27827" s="22" t="str">
        <f>HYPERLINK("https://rhld.insurance.arkansas.gov/NPILookup?Npi=1740956721","1740956721")</f>
        <v>1740956721</v>
      </c>
      <c r="E27827" s="1" t="s">
        <v>28459</v>
      </c>
      <c r="F27827" s="2"/>
      <c r="G27827" s="2"/>
      <c r="H27827" s="2"/>
    </row>
    <row r="27828" spans="1:8" x14ac:dyDescent="0.25">
      <c r="A27828" s="1"/>
      <c r="B27828" s="1" t="s">
        <v>7328</v>
      </c>
      <c r="C27828" s="1" t="s">
        <v>7329</v>
      </c>
      <c r="D27828" s="22" t="str">
        <f>HYPERLINK("https://rhld.insurance.arkansas.gov/NPILookup?Npi=1740961762","1740961762")</f>
        <v>1740961762</v>
      </c>
      <c r="E27828" s="1" t="s">
        <v>32348</v>
      </c>
      <c r="F27828" s="2"/>
      <c r="G27828" s="2"/>
      <c r="H27828" s="2"/>
    </row>
    <row r="27829" spans="1:8" x14ac:dyDescent="0.25">
      <c r="A27829" s="1"/>
      <c r="B27829" s="1" t="s">
        <v>7328</v>
      </c>
      <c r="C27829" s="1" t="s">
        <v>7329</v>
      </c>
      <c r="D27829" s="22" t="str">
        <f>HYPERLINK("https://rhld.insurance.arkansas.gov/NPILookup?Npi=1750013439","1750013439")</f>
        <v>1750013439</v>
      </c>
      <c r="E27829" s="1" t="s">
        <v>28460</v>
      </c>
      <c r="F27829" s="2"/>
      <c r="G27829" s="2"/>
      <c r="H27829" s="2"/>
    </row>
    <row r="27830" spans="1:8" x14ac:dyDescent="0.25">
      <c r="A27830" s="1"/>
      <c r="B27830" s="1" t="s">
        <v>7328</v>
      </c>
      <c r="C27830" s="1" t="s">
        <v>7329</v>
      </c>
      <c r="D27830" s="22" t="str">
        <f>HYPERLINK("https://rhld.insurance.arkansas.gov/NPILookup?Npi=1750035598","1750035598")</f>
        <v>1750035598</v>
      </c>
      <c r="E27830" s="1" t="s">
        <v>28461</v>
      </c>
      <c r="F27830" s="2"/>
      <c r="G27830" s="2"/>
      <c r="H27830" s="2"/>
    </row>
    <row r="27831" spans="1:8" x14ac:dyDescent="0.25">
      <c r="A27831" s="1"/>
      <c r="B27831" s="1" t="s">
        <v>7328</v>
      </c>
      <c r="C27831" s="1" t="s">
        <v>7329</v>
      </c>
      <c r="D27831" s="22" t="str">
        <f>HYPERLINK("https://rhld.insurance.arkansas.gov/NPILookup?Npi=1750039152","1750039152")</f>
        <v>1750039152</v>
      </c>
      <c r="E27831" s="1" t="s">
        <v>13541</v>
      </c>
      <c r="F27831" s="2"/>
      <c r="G27831" s="2"/>
      <c r="H27831" s="2"/>
    </row>
    <row r="27832" spans="1:8" x14ac:dyDescent="0.25">
      <c r="A27832" s="1"/>
      <c r="B27832" s="1" t="s">
        <v>7328</v>
      </c>
      <c r="C27832" s="1" t="s">
        <v>7329</v>
      </c>
      <c r="D27832" s="22" t="str">
        <f>HYPERLINK("https://rhld.insurance.arkansas.gov/NPILookup?Npi=1750064937","1750064937")</f>
        <v>1750064937</v>
      </c>
      <c r="E27832" s="1" t="s">
        <v>28462</v>
      </c>
      <c r="F27832" s="2"/>
      <c r="G27832" s="2"/>
      <c r="H27832" s="2"/>
    </row>
    <row r="27833" spans="1:8" x14ac:dyDescent="0.25">
      <c r="A27833" s="1"/>
      <c r="B27833" s="1" t="s">
        <v>7328</v>
      </c>
      <c r="C27833" s="1" t="s">
        <v>7329</v>
      </c>
      <c r="D27833" s="22" t="str">
        <f>HYPERLINK("https://rhld.insurance.arkansas.gov/NPILookup?Npi=1750082012","1750082012")</f>
        <v>1750082012</v>
      </c>
      <c r="E27833" s="1" t="s">
        <v>8064</v>
      </c>
      <c r="F27833" s="2"/>
      <c r="G27833" s="2"/>
      <c r="H27833" s="2"/>
    </row>
    <row r="27834" spans="1:8" x14ac:dyDescent="0.25">
      <c r="A27834" s="1"/>
      <c r="B27834" s="1" t="s">
        <v>7328</v>
      </c>
      <c r="C27834" s="1" t="s">
        <v>7329</v>
      </c>
      <c r="D27834" s="22" t="str">
        <f>HYPERLINK("https://rhld.insurance.arkansas.gov/NPILookup?Npi=1750100681","1750100681")</f>
        <v>1750100681</v>
      </c>
      <c r="E27834" s="1" t="s">
        <v>32349</v>
      </c>
      <c r="F27834" s="2"/>
      <c r="G27834" s="2"/>
      <c r="H27834" s="2"/>
    </row>
    <row r="27835" spans="1:8" x14ac:dyDescent="0.25">
      <c r="A27835" s="1"/>
      <c r="B27835" s="1" t="s">
        <v>7328</v>
      </c>
      <c r="C27835" s="1" t="s">
        <v>7329</v>
      </c>
      <c r="D27835" s="22" t="str">
        <f>HYPERLINK("https://rhld.insurance.arkansas.gov/NPILookup?Npi=1750113528","1750113528")</f>
        <v>1750113528</v>
      </c>
      <c r="E27835" s="1" t="s">
        <v>28463</v>
      </c>
      <c r="F27835" s="2"/>
      <c r="G27835" s="2"/>
      <c r="H27835" s="2"/>
    </row>
    <row r="27836" spans="1:8" x14ac:dyDescent="0.25">
      <c r="A27836" s="1"/>
      <c r="B27836" s="1" t="s">
        <v>7328</v>
      </c>
      <c r="C27836" s="1" t="s">
        <v>7329</v>
      </c>
      <c r="D27836" s="22" t="str">
        <f>HYPERLINK("https://rhld.insurance.arkansas.gov/NPILookup?Npi=1750300273","1750300273")</f>
        <v>1750300273</v>
      </c>
      <c r="E27836" s="1" t="s">
        <v>28464</v>
      </c>
      <c r="F27836" s="2"/>
      <c r="G27836" s="2"/>
      <c r="H27836" s="2"/>
    </row>
    <row r="27837" spans="1:8" x14ac:dyDescent="0.25">
      <c r="A27837" s="1"/>
      <c r="B27837" s="1" t="s">
        <v>7328</v>
      </c>
      <c r="C27837" s="1" t="s">
        <v>7329</v>
      </c>
      <c r="D27837" s="22" t="str">
        <f>HYPERLINK("https://rhld.insurance.arkansas.gov/NPILookup?Npi=1750305702","1750305702")</f>
        <v>1750305702</v>
      </c>
      <c r="E27837" s="1" t="s">
        <v>28465</v>
      </c>
      <c r="F27837" s="2"/>
      <c r="G27837" s="2"/>
      <c r="H27837" s="2"/>
    </row>
    <row r="27838" spans="1:8" x14ac:dyDescent="0.25">
      <c r="A27838" s="1"/>
      <c r="B27838" s="1" t="s">
        <v>7328</v>
      </c>
      <c r="C27838" s="1" t="s">
        <v>7329</v>
      </c>
      <c r="D27838" s="22" t="str">
        <f>HYPERLINK("https://rhld.insurance.arkansas.gov/NPILookup?Npi=1750316634","1750316634")</f>
        <v>1750316634</v>
      </c>
      <c r="E27838" s="1" t="s">
        <v>3298</v>
      </c>
      <c r="F27838" s="2"/>
      <c r="G27838" s="2"/>
      <c r="H27838" s="2"/>
    </row>
    <row r="27839" spans="1:8" x14ac:dyDescent="0.25">
      <c r="A27839" s="1"/>
      <c r="B27839" s="1" t="s">
        <v>7328</v>
      </c>
      <c r="C27839" s="1" t="s">
        <v>7329</v>
      </c>
      <c r="D27839" s="22" t="str">
        <f>HYPERLINK("https://rhld.insurance.arkansas.gov/NPILookup?Npi=1750328233","1750328233")</f>
        <v>1750328233</v>
      </c>
      <c r="E27839" s="1" t="s">
        <v>3001</v>
      </c>
      <c r="F27839" s="2"/>
      <c r="G27839" s="2"/>
      <c r="H27839" s="2"/>
    </row>
    <row r="27840" spans="1:8" x14ac:dyDescent="0.25">
      <c r="A27840" s="1"/>
      <c r="B27840" s="1" t="s">
        <v>7328</v>
      </c>
      <c r="C27840" s="1" t="s">
        <v>7329</v>
      </c>
      <c r="D27840" s="22" t="str">
        <f>HYPERLINK("https://rhld.insurance.arkansas.gov/NPILookup?Npi=1750340063","1750340063")</f>
        <v>1750340063</v>
      </c>
      <c r="E27840" s="1" t="s">
        <v>28466</v>
      </c>
      <c r="F27840" s="2"/>
      <c r="G27840" s="2"/>
      <c r="H27840" s="2"/>
    </row>
    <row r="27841" spans="1:8" x14ac:dyDescent="0.25">
      <c r="A27841" s="1"/>
      <c r="B27841" s="1" t="s">
        <v>7328</v>
      </c>
      <c r="C27841" s="1" t="s">
        <v>7329</v>
      </c>
      <c r="D27841" s="22" t="str">
        <f>HYPERLINK("https://rhld.insurance.arkansas.gov/NPILookup?Npi=1750342531","1750342531")</f>
        <v>1750342531</v>
      </c>
      <c r="E27841" s="1" t="s">
        <v>28467</v>
      </c>
      <c r="F27841" s="2"/>
      <c r="G27841" s="2"/>
      <c r="H27841" s="2"/>
    </row>
    <row r="27842" spans="1:8" x14ac:dyDescent="0.25">
      <c r="A27842" s="1"/>
      <c r="B27842" s="1" t="s">
        <v>7328</v>
      </c>
      <c r="C27842" s="1" t="s">
        <v>7329</v>
      </c>
      <c r="D27842" s="22" t="str">
        <f>HYPERLINK("https://rhld.insurance.arkansas.gov/NPILookup?Npi=1750342804","1750342804")</f>
        <v>1750342804</v>
      </c>
      <c r="E27842" s="1" t="s">
        <v>3002</v>
      </c>
      <c r="F27842" s="2"/>
      <c r="G27842" s="2"/>
      <c r="H27842" s="2"/>
    </row>
    <row r="27843" spans="1:8" x14ac:dyDescent="0.25">
      <c r="A27843" s="1"/>
      <c r="B27843" s="1" t="s">
        <v>7328</v>
      </c>
      <c r="C27843" s="1" t="s">
        <v>7329</v>
      </c>
      <c r="D27843" s="22" t="str">
        <f>HYPERLINK("https://rhld.insurance.arkansas.gov/NPILookup?Npi=1750343190","1750343190")</f>
        <v>1750343190</v>
      </c>
      <c r="E27843" s="1" t="s">
        <v>8065</v>
      </c>
      <c r="F27843" s="2"/>
      <c r="G27843" s="2"/>
      <c r="H27843" s="2"/>
    </row>
    <row r="27844" spans="1:8" x14ac:dyDescent="0.25">
      <c r="A27844" s="1"/>
      <c r="B27844" s="1" t="s">
        <v>7328</v>
      </c>
      <c r="C27844" s="1" t="s">
        <v>7329</v>
      </c>
      <c r="D27844" s="22" t="str">
        <f>HYPERLINK("https://rhld.insurance.arkansas.gov/NPILookup?Npi=1750347258","1750347258")</f>
        <v>1750347258</v>
      </c>
      <c r="E27844" s="1" t="s">
        <v>256</v>
      </c>
      <c r="F27844" s="2"/>
      <c r="G27844" s="2"/>
      <c r="H27844" s="2"/>
    </row>
    <row r="27845" spans="1:8" x14ac:dyDescent="0.25">
      <c r="A27845" s="1"/>
      <c r="B27845" s="1" t="s">
        <v>7328</v>
      </c>
      <c r="C27845" s="1" t="s">
        <v>7329</v>
      </c>
      <c r="D27845" s="22" t="str">
        <f>HYPERLINK("https://rhld.insurance.arkansas.gov/NPILookup?Npi=1750349858","1750349858")</f>
        <v>1750349858</v>
      </c>
      <c r="E27845" s="1" t="s">
        <v>13542</v>
      </c>
      <c r="F27845" s="2"/>
      <c r="G27845" s="2"/>
      <c r="H27845" s="2"/>
    </row>
    <row r="27846" spans="1:8" x14ac:dyDescent="0.25">
      <c r="A27846" s="1"/>
      <c r="B27846" s="1" t="s">
        <v>7328</v>
      </c>
      <c r="C27846" s="1" t="s">
        <v>7329</v>
      </c>
      <c r="D27846" s="22" t="str">
        <f>HYPERLINK("https://rhld.insurance.arkansas.gov/NPILookup?Npi=1750352597","1750352597")</f>
        <v>1750352597</v>
      </c>
      <c r="E27846" s="1" t="s">
        <v>13543</v>
      </c>
      <c r="F27846" s="2"/>
      <c r="G27846" s="2"/>
      <c r="H27846" s="2"/>
    </row>
    <row r="27847" spans="1:8" x14ac:dyDescent="0.25">
      <c r="A27847" s="1"/>
      <c r="B27847" s="1" t="s">
        <v>7328</v>
      </c>
      <c r="C27847" s="1" t="s">
        <v>7329</v>
      </c>
      <c r="D27847" s="22" t="str">
        <f>HYPERLINK("https://rhld.insurance.arkansas.gov/NPILookup?Npi=1750354007","1750354007")</f>
        <v>1750354007</v>
      </c>
      <c r="E27847" s="1" t="s">
        <v>25609</v>
      </c>
      <c r="F27847" s="2"/>
      <c r="G27847" s="2"/>
      <c r="H27847" s="2"/>
    </row>
    <row r="27848" spans="1:8" x14ac:dyDescent="0.25">
      <c r="A27848" s="1"/>
      <c r="B27848" s="1" t="s">
        <v>7328</v>
      </c>
      <c r="C27848" s="1" t="s">
        <v>7329</v>
      </c>
      <c r="D27848" s="22" t="str">
        <f>HYPERLINK("https://rhld.insurance.arkansas.gov/NPILookup?Npi=1750367199","1750367199")</f>
        <v>1750367199</v>
      </c>
      <c r="E27848" s="1" t="s">
        <v>17849</v>
      </c>
      <c r="F27848" s="2"/>
      <c r="G27848" s="2"/>
      <c r="H27848" s="2"/>
    </row>
    <row r="27849" spans="1:8" x14ac:dyDescent="0.25">
      <c r="A27849" s="1"/>
      <c r="B27849" s="1" t="s">
        <v>7328</v>
      </c>
      <c r="C27849" s="1" t="s">
        <v>7329</v>
      </c>
      <c r="D27849" s="22" t="str">
        <f>HYPERLINK("https://rhld.insurance.arkansas.gov/NPILookup?Npi=1750386553","1750386553")</f>
        <v>1750386553</v>
      </c>
      <c r="E27849" s="1" t="s">
        <v>13544</v>
      </c>
      <c r="F27849" s="2"/>
      <c r="G27849" s="2"/>
      <c r="H27849" s="2"/>
    </row>
    <row r="27850" spans="1:8" x14ac:dyDescent="0.25">
      <c r="A27850" s="1"/>
      <c r="B27850" s="1" t="s">
        <v>7328</v>
      </c>
      <c r="C27850" s="1" t="s">
        <v>7329</v>
      </c>
      <c r="D27850" s="22" t="str">
        <f>HYPERLINK("https://rhld.insurance.arkansas.gov/NPILookup?Npi=1750386876","1750386876")</f>
        <v>1750386876</v>
      </c>
      <c r="E27850" s="1" t="s">
        <v>28468</v>
      </c>
      <c r="F27850" s="2"/>
      <c r="G27850" s="2"/>
      <c r="H27850" s="2"/>
    </row>
    <row r="27851" spans="1:8" x14ac:dyDescent="0.25">
      <c r="A27851" s="1"/>
      <c r="B27851" s="1" t="s">
        <v>7328</v>
      </c>
      <c r="C27851" s="1" t="s">
        <v>7329</v>
      </c>
      <c r="D27851" s="22" t="str">
        <f>HYPERLINK("https://rhld.insurance.arkansas.gov/NPILookup?Npi=1750391082","1750391082")</f>
        <v>1750391082</v>
      </c>
      <c r="E27851" s="1" t="s">
        <v>28469</v>
      </c>
      <c r="F27851" s="2"/>
      <c r="G27851" s="2"/>
      <c r="H27851" s="2"/>
    </row>
    <row r="27852" spans="1:8" x14ac:dyDescent="0.25">
      <c r="A27852" s="1"/>
      <c r="B27852" s="1" t="s">
        <v>7328</v>
      </c>
      <c r="C27852" s="1" t="s">
        <v>7329</v>
      </c>
      <c r="D27852" s="22" t="str">
        <f>HYPERLINK("https://rhld.insurance.arkansas.gov/NPILookup?Npi=1750397758","1750397758")</f>
        <v>1750397758</v>
      </c>
      <c r="E27852" s="1" t="s">
        <v>28470</v>
      </c>
      <c r="F27852" s="2"/>
      <c r="G27852" s="2"/>
      <c r="H27852" s="2"/>
    </row>
    <row r="27853" spans="1:8" x14ac:dyDescent="0.25">
      <c r="A27853" s="1"/>
      <c r="B27853" s="1" t="s">
        <v>7328</v>
      </c>
      <c r="C27853" s="1" t="s">
        <v>7329</v>
      </c>
      <c r="D27853" s="22" t="str">
        <f>HYPERLINK("https://rhld.insurance.arkansas.gov/NPILookup?Npi=1750406658","1750406658")</f>
        <v>1750406658</v>
      </c>
      <c r="E27853" s="1" t="s">
        <v>13545</v>
      </c>
      <c r="F27853" s="2"/>
      <c r="G27853" s="2"/>
      <c r="H27853" s="2"/>
    </row>
    <row r="27854" spans="1:8" x14ac:dyDescent="0.25">
      <c r="A27854" s="1"/>
      <c r="B27854" s="1" t="s">
        <v>7328</v>
      </c>
      <c r="C27854" s="1" t="s">
        <v>7329</v>
      </c>
      <c r="D27854" s="22" t="str">
        <f>HYPERLINK("https://rhld.insurance.arkansas.gov/NPILookup?Npi=1750415287","1750415287")</f>
        <v>1750415287</v>
      </c>
      <c r="E27854" s="1" t="s">
        <v>28471</v>
      </c>
      <c r="F27854" s="2"/>
      <c r="G27854" s="2"/>
      <c r="H27854" s="2"/>
    </row>
    <row r="27855" spans="1:8" x14ac:dyDescent="0.25">
      <c r="A27855" s="1"/>
      <c r="B27855" s="1" t="s">
        <v>7328</v>
      </c>
      <c r="C27855" s="1" t="s">
        <v>7329</v>
      </c>
      <c r="D27855" s="22" t="str">
        <f>HYPERLINK("https://rhld.insurance.arkansas.gov/NPILookup?Npi=1750442711","1750442711")</f>
        <v>1750442711</v>
      </c>
      <c r="E27855" s="1" t="s">
        <v>28472</v>
      </c>
      <c r="F27855" s="2"/>
      <c r="G27855" s="2"/>
      <c r="H27855" s="2"/>
    </row>
    <row r="27856" spans="1:8" x14ac:dyDescent="0.25">
      <c r="A27856" s="1"/>
      <c r="B27856" s="1" t="s">
        <v>7328</v>
      </c>
      <c r="C27856" s="1" t="s">
        <v>7329</v>
      </c>
      <c r="D27856" s="22" t="str">
        <f>HYPERLINK("https://rhld.insurance.arkansas.gov/NPILookup?Npi=1750469706","1750469706")</f>
        <v>1750469706</v>
      </c>
      <c r="E27856" s="1" t="s">
        <v>28473</v>
      </c>
      <c r="F27856" s="2"/>
      <c r="G27856" s="2"/>
      <c r="H27856" s="2"/>
    </row>
    <row r="27857" spans="1:8" x14ac:dyDescent="0.25">
      <c r="A27857" s="1"/>
      <c r="B27857" s="1" t="s">
        <v>7328</v>
      </c>
      <c r="C27857" s="1" t="s">
        <v>7329</v>
      </c>
      <c r="D27857" s="22" t="str">
        <f>HYPERLINK("https://rhld.insurance.arkansas.gov/NPILookup?Npi=1750471249","1750471249")</f>
        <v>1750471249</v>
      </c>
      <c r="E27857" s="1" t="s">
        <v>28474</v>
      </c>
      <c r="F27857" s="2"/>
      <c r="G27857" s="2"/>
      <c r="H27857" s="2"/>
    </row>
    <row r="27858" spans="1:8" x14ac:dyDescent="0.25">
      <c r="A27858" s="1"/>
      <c r="B27858" s="1" t="s">
        <v>7328</v>
      </c>
      <c r="C27858" s="1" t="s">
        <v>7329</v>
      </c>
      <c r="D27858" s="22" t="str">
        <f>HYPERLINK("https://rhld.insurance.arkansas.gov/NPILookup?Npi=1750472643","1750472643")</f>
        <v>1750472643</v>
      </c>
      <c r="E27858" s="1" t="s">
        <v>13546</v>
      </c>
      <c r="F27858" s="2"/>
      <c r="G27858" s="2"/>
      <c r="H27858" s="2"/>
    </row>
    <row r="27859" spans="1:8" x14ac:dyDescent="0.25">
      <c r="A27859" s="1"/>
      <c r="B27859" s="1" t="s">
        <v>7328</v>
      </c>
      <c r="C27859" s="1" t="s">
        <v>7329</v>
      </c>
      <c r="D27859" s="22" t="str">
        <f>HYPERLINK("https://rhld.insurance.arkansas.gov/NPILookup?Npi=1750477683","1750477683")</f>
        <v>1750477683</v>
      </c>
      <c r="E27859" s="1" t="s">
        <v>28475</v>
      </c>
      <c r="F27859" s="2"/>
      <c r="G27859" s="2"/>
      <c r="H27859" s="2"/>
    </row>
    <row r="27860" spans="1:8" x14ac:dyDescent="0.25">
      <c r="A27860" s="1"/>
      <c r="B27860" s="1" t="s">
        <v>7328</v>
      </c>
      <c r="C27860" s="1" t="s">
        <v>7329</v>
      </c>
      <c r="D27860" s="22" t="str">
        <f>HYPERLINK("https://rhld.insurance.arkansas.gov/NPILookup?Npi=1750496253","1750496253")</f>
        <v>1750496253</v>
      </c>
      <c r="E27860" s="1" t="s">
        <v>13547</v>
      </c>
      <c r="F27860" s="2"/>
      <c r="G27860" s="2"/>
      <c r="H27860" s="2"/>
    </row>
    <row r="27861" spans="1:8" x14ac:dyDescent="0.25">
      <c r="A27861" s="1"/>
      <c r="B27861" s="1" t="s">
        <v>7328</v>
      </c>
      <c r="C27861" s="1" t="s">
        <v>7329</v>
      </c>
      <c r="D27861" s="22" t="str">
        <f>HYPERLINK("https://rhld.insurance.arkansas.gov/NPILookup?Npi=1750496659","1750496659")</f>
        <v>1750496659</v>
      </c>
      <c r="E27861" s="1" t="s">
        <v>28476</v>
      </c>
      <c r="F27861" s="2"/>
      <c r="G27861" s="2"/>
      <c r="H27861" s="2"/>
    </row>
    <row r="27862" spans="1:8" x14ac:dyDescent="0.25">
      <c r="A27862" s="1"/>
      <c r="B27862" s="1" t="s">
        <v>7328</v>
      </c>
      <c r="C27862" s="1" t="s">
        <v>7329</v>
      </c>
      <c r="D27862" s="22" t="str">
        <f>HYPERLINK("https://rhld.insurance.arkansas.gov/NPILookup?Npi=1750531505","1750531505")</f>
        <v>1750531505</v>
      </c>
      <c r="E27862" s="1" t="s">
        <v>13548</v>
      </c>
      <c r="F27862" s="2"/>
      <c r="G27862" s="2"/>
      <c r="H27862" s="2"/>
    </row>
    <row r="27863" spans="1:8" x14ac:dyDescent="0.25">
      <c r="A27863" s="1"/>
      <c r="B27863" s="1" t="s">
        <v>7328</v>
      </c>
      <c r="C27863" s="1" t="s">
        <v>7329</v>
      </c>
      <c r="D27863" s="22" t="str">
        <f>HYPERLINK("https://rhld.insurance.arkansas.gov/NPILookup?Npi=1750536967","1750536967")</f>
        <v>1750536967</v>
      </c>
      <c r="E27863" s="1" t="s">
        <v>13549</v>
      </c>
      <c r="F27863" s="2"/>
      <c r="G27863" s="2"/>
      <c r="H27863" s="2"/>
    </row>
    <row r="27864" spans="1:8" x14ac:dyDescent="0.25">
      <c r="A27864" s="1"/>
      <c r="B27864" s="1" t="s">
        <v>7328</v>
      </c>
      <c r="C27864" s="1" t="s">
        <v>7329</v>
      </c>
      <c r="D27864" s="22" t="str">
        <f>HYPERLINK("https://rhld.insurance.arkansas.gov/NPILookup?Npi=1750572277","1750572277")</f>
        <v>1750572277</v>
      </c>
      <c r="E27864" s="1" t="s">
        <v>13550</v>
      </c>
      <c r="F27864" s="2"/>
      <c r="G27864" s="2"/>
      <c r="H27864" s="2"/>
    </row>
    <row r="27865" spans="1:8" x14ac:dyDescent="0.25">
      <c r="A27865" s="1"/>
      <c r="B27865" s="1" t="s">
        <v>7328</v>
      </c>
      <c r="C27865" s="1" t="s">
        <v>7329</v>
      </c>
      <c r="D27865" s="22" t="str">
        <f>HYPERLINK("https://rhld.insurance.arkansas.gov/NPILookup?Npi=1750577581","1750577581")</f>
        <v>1750577581</v>
      </c>
      <c r="E27865" s="1" t="s">
        <v>28477</v>
      </c>
      <c r="F27865" s="2"/>
      <c r="G27865" s="2"/>
      <c r="H27865" s="2"/>
    </row>
    <row r="27866" spans="1:8" x14ac:dyDescent="0.25">
      <c r="A27866" s="1"/>
      <c r="B27866" s="1" t="s">
        <v>7328</v>
      </c>
      <c r="C27866" s="1" t="s">
        <v>7329</v>
      </c>
      <c r="D27866" s="22" t="str">
        <f>HYPERLINK("https://rhld.insurance.arkansas.gov/NPILookup?Npi=1750577698","1750577698")</f>
        <v>1750577698</v>
      </c>
      <c r="E27866" s="1" t="s">
        <v>1047</v>
      </c>
      <c r="F27866" s="2"/>
      <c r="G27866" s="2"/>
      <c r="H27866" s="2"/>
    </row>
    <row r="27867" spans="1:8" x14ac:dyDescent="0.25">
      <c r="A27867" s="1"/>
      <c r="B27867" s="1" t="s">
        <v>7328</v>
      </c>
      <c r="C27867" s="1" t="s">
        <v>7329</v>
      </c>
      <c r="D27867" s="22" t="str">
        <f>HYPERLINK("https://rhld.insurance.arkansas.gov/NPILookup?Npi=1750585063","1750585063")</f>
        <v>1750585063</v>
      </c>
      <c r="E27867" s="1" t="s">
        <v>28478</v>
      </c>
      <c r="F27867" s="2"/>
      <c r="G27867" s="2"/>
      <c r="H27867" s="2"/>
    </row>
    <row r="27868" spans="1:8" x14ac:dyDescent="0.25">
      <c r="A27868" s="1"/>
      <c r="B27868" s="1" t="s">
        <v>7328</v>
      </c>
      <c r="C27868" s="1" t="s">
        <v>7329</v>
      </c>
      <c r="D27868" s="22" t="str">
        <f>HYPERLINK("https://rhld.insurance.arkansas.gov/NPILookup?Npi=1750586996","1750586996")</f>
        <v>1750586996</v>
      </c>
      <c r="E27868" s="1" t="s">
        <v>1808</v>
      </c>
      <c r="F27868" s="2"/>
      <c r="G27868" s="2"/>
      <c r="H27868" s="2"/>
    </row>
    <row r="27869" spans="1:8" x14ac:dyDescent="0.25">
      <c r="A27869" s="1"/>
      <c r="B27869" s="1" t="s">
        <v>7328</v>
      </c>
      <c r="C27869" s="1" t="s">
        <v>7329</v>
      </c>
      <c r="D27869" s="22" t="str">
        <f>HYPERLINK("https://rhld.insurance.arkansas.gov/NPILookup?Npi=1750592440","1750592440")</f>
        <v>1750592440</v>
      </c>
      <c r="E27869" s="1" t="s">
        <v>28479</v>
      </c>
      <c r="F27869" s="2"/>
      <c r="G27869" s="2"/>
      <c r="H27869" s="2"/>
    </row>
    <row r="27870" spans="1:8" x14ac:dyDescent="0.25">
      <c r="A27870" s="1"/>
      <c r="B27870" s="1" t="s">
        <v>7328</v>
      </c>
      <c r="C27870" s="1" t="s">
        <v>7329</v>
      </c>
      <c r="D27870" s="22" t="str">
        <f>HYPERLINK("https://rhld.insurance.arkansas.gov/NPILookup?Npi=1750600268","1750600268")</f>
        <v>1750600268</v>
      </c>
      <c r="E27870" s="1" t="s">
        <v>13551</v>
      </c>
      <c r="F27870" s="2"/>
      <c r="G27870" s="2"/>
      <c r="H27870" s="2"/>
    </row>
    <row r="27871" spans="1:8" x14ac:dyDescent="0.25">
      <c r="A27871" s="1"/>
      <c r="B27871" s="1" t="s">
        <v>7328</v>
      </c>
      <c r="C27871" s="1" t="s">
        <v>7329</v>
      </c>
      <c r="D27871" s="22" t="str">
        <f>HYPERLINK("https://rhld.insurance.arkansas.gov/NPILookup?Npi=1750635249","1750635249")</f>
        <v>1750635249</v>
      </c>
      <c r="E27871" s="1" t="s">
        <v>1809</v>
      </c>
      <c r="F27871" s="2"/>
      <c r="G27871" s="2"/>
      <c r="H27871" s="2"/>
    </row>
    <row r="27872" spans="1:8" x14ac:dyDescent="0.25">
      <c r="A27872" s="1"/>
      <c r="B27872" s="1" t="s">
        <v>7328</v>
      </c>
      <c r="C27872" s="1" t="s">
        <v>7329</v>
      </c>
      <c r="D27872" s="22" t="str">
        <f>HYPERLINK("https://rhld.insurance.arkansas.gov/NPILookup?Npi=1750678991","1750678991")</f>
        <v>1750678991</v>
      </c>
      <c r="E27872" s="1" t="s">
        <v>28480</v>
      </c>
      <c r="F27872" s="2"/>
      <c r="G27872" s="2"/>
      <c r="H27872" s="2"/>
    </row>
    <row r="27873" spans="1:8" x14ac:dyDescent="0.25">
      <c r="A27873" s="1"/>
      <c r="B27873" s="1" t="s">
        <v>7328</v>
      </c>
      <c r="C27873" s="1" t="s">
        <v>7329</v>
      </c>
      <c r="D27873" s="22" t="str">
        <f>HYPERLINK("https://rhld.insurance.arkansas.gov/NPILookup?Npi=1750698205","1750698205")</f>
        <v>1750698205</v>
      </c>
      <c r="E27873" s="1" t="s">
        <v>8066</v>
      </c>
      <c r="F27873" s="2"/>
      <c r="G27873" s="2"/>
      <c r="H27873" s="2"/>
    </row>
    <row r="27874" spans="1:8" x14ac:dyDescent="0.25">
      <c r="A27874" s="1"/>
      <c r="B27874" s="1" t="s">
        <v>7328</v>
      </c>
      <c r="C27874" s="1" t="s">
        <v>7329</v>
      </c>
      <c r="D27874" s="22" t="str">
        <f>HYPERLINK("https://rhld.insurance.arkansas.gov/NPILookup?Npi=1750713335","1750713335")</f>
        <v>1750713335</v>
      </c>
      <c r="E27874" s="1" t="s">
        <v>2407</v>
      </c>
      <c r="F27874" s="2"/>
      <c r="G27874" s="2"/>
      <c r="H27874" s="2"/>
    </row>
    <row r="27875" spans="1:8" x14ac:dyDescent="0.25">
      <c r="A27875" s="1"/>
      <c r="B27875" s="1" t="s">
        <v>7328</v>
      </c>
      <c r="C27875" s="1" t="s">
        <v>7329</v>
      </c>
      <c r="D27875" s="22" t="str">
        <f>HYPERLINK("https://rhld.insurance.arkansas.gov/NPILookup?Npi=1750727111","1750727111")</f>
        <v>1750727111</v>
      </c>
      <c r="E27875" s="1" t="s">
        <v>2065</v>
      </c>
      <c r="F27875" s="2"/>
      <c r="G27875" s="2"/>
      <c r="H27875" s="2"/>
    </row>
    <row r="27876" spans="1:8" x14ac:dyDescent="0.25">
      <c r="A27876" s="1"/>
      <c r="B27876" s="1" t="s">
        <v>7328</v>
      </c>
      <c r="C27876" s="1" t="s">
        <v>7329</v>
      </c>
      <c r="D27876" s="22" t="str">
        <f>HYPERLINK("https://rhld.insurance.arkansas.gov/NPILookup?Npi=1750732699","1750732699")</f>
        <v>1750732699</v>
      </c>
      <c r="E27876" s="1" t="s">
        <v>28481</v>
      </c>
      <c r="F27876" s="2"/>
      <c r="G27876" s="2"/>
      <c r="H27876" s="2"/>
    </row>
    <row r="27877" spans="1:8" x14ac:dyDescent="0.25">
      <c r="A27877" s="1"/>
      <c r="B27877" s="1" t="s">
        <v>7328</v>
      </c>
      <c r="C27877" s="1" t="s">
        <v>7329</v>
      </c>
      <c r="D27877" s="22" t="str">
        <f>HYPERLINK("https://rhld.insurance.arkansas.gov/NPILookup?Npi=1750742722","1750742722")</f>
        <v>1750742722</v>
      </c>
      <c r="E27877" s="1" t="s">
        <v>28482</v>
      </c>
      <c r="F27877" s="2"/>
      <c r="G27877" s="2"/>
      <c r="H27877" s="2"/>
    </row>
    <row r="27878" spans="1:8" x14ac:dyDescent="0.25">
      <c r="A27878" s="1"/>
      <c r="B27878" s="1" t="s">
        <v>7328</v>
      </c>
      <c r="C27878" s="1" t="s">
        <v>7329</v>
      </c>
      <c r="D27878" s="22" t="str">
        <f>HYPERLINK("https://rhld.insurance.arkansas.gov/NPILookup?Npi=1750753695","1750753695")</f>
        <v>1750753695</v>
      </c>
      <c r="E27878" s="1" t="s">
        <v>28483</v>
      </c>
      <c r="F27878" s="2"/>
      <c r="G27878" s="2"/>
      <c r="H27878" s="2"/>
    </row>
    <row r="27879" spans="1:8" x14ac:dyDescent="0.25">
      <c r="A27879" s="1"/>
      <c r="B27879" s="1" t="s">
        <v>7328</v>
      </c>
      <c r="C27879" s="1" t="s">
        <v>7329</v>
      </c>
      <c r="D27879" s="22" t="str">
        <f>HYPERLINK("https://rhld.insurance.arkansas.gov/NPILookup?Npi=1750758728","1750758728")</f>
        <v>1750758728</v>
      </c>
      <c r="E27879" s="1" t="s">
        <v>28484</v>
      </c>
      <c r="F27879" s="2"/>
      <c r="G27879" s="2"/>
      <c r="H27879" s="2"/>
    </row>
    <row r="27880" spans="1:8" x14ac:dyDescent="0.25">
      <c r="A27880" s="1"/>
      <c r="B27880" s="1" t="s">
        <v>7328</v>
      </c>
      <c r="C27880" s="1" t="s">
        <v>7329</v>
      </c>
      <c r="D27880" s="22" t="str">
        <f>HYPERLINK("https://rhld.insurance.arkansas.gov/NPILookup?Npi=1750772190","1750772190")</f>
        <v>1750772190</v>
      </c>
      <c r="E27880" s="1" t="s">
        <v>3003</v>
      </c>
      <c r="F27880" s="2"/>
      <c r="G27880" s="2"/>
      <c r="H27880" s="2"/>
    </row>
    <row r="27881" spans="1:8" x14ac:dyDescent="0.25">
      <c r="A27881" s="1"/>
      <c r="B27881" s="1" t="s">
        <v>7328</v>
      </c>
      <c r="C27881" s="1" t="s">
        <v>7329</v>
      </c>
      <c r="D27881" s="22" t="str">
        <f>HYPERLINK("https://rhld.insurance.arkansas.gov/NPILookup?Npi=1750786703","1750786703")</f>
        <v>1750786703</v>
      </c>
      <c r="E27881" s="1" t="s">
        <v>8067</v>
      </c>
      <c r="F27881" s="2"/>
      <c r="G27881" s="2"/>
      <c r="H27881" s="2"/>
    </row>
    <row r="27882" spans="1:8" x14ac:dyDescent="0.25">
      <c r="A27882" s="1"/>
      <c r="B27882" s="1" t="s">
        <v>7328</v>
      </c>
      <c r="C27882" s="1" t="s">
        <v>7329</v>
      </c>
      <c r="D27882" s="22" t="str">
        <f>HYPERLINK("https://rhld.insurance.arkansas.gov/NPILookup?Npi=1750793055","1750793055")</f>
        <v>1750793055</v>
      </c>
      <c r="E27882" s="1" t="s">
        <v>3004</v>
      </c>
      <c r="F27882" s="2"/>
      <c r="G27882" s="2"/>
      <c r="H27882" s="2"/>
    </row>
    <row r="27883" spans="1:8" x14ac:dyDescent="0.25">
      <c r="A27883" s="1"/>
      <c r="B27883" s="1" t="s">
        <v>7328</v>
      </c>
      <c r="C27883" s="1" t="s">
        <v>7329</v>
      </c>
      <c r="D27883" s="22" t="str">
        <f>HYPERLINK("https://rhld.insurance.arkansas.gov/NPILookup?Npi=1750802732","1750802732")</f>
        <v>1750802732</v>
      </c>
      <c r="E27883" s="1" t="s">
        <v>28485</v>
      </c>
      <c r="F27883" s="2"/>
      <c r="G27883" s="2"/>
      <c r="H27883" s="2"/>
    </row>
    <row r="27884" spans="1:8" x14ac:dyDescent="0.25">
      <c r="A27884" s="1"/>
      <c r="B27884" s="1" t="s">
        <v>7328</v>
      </c>
      <c r="C27884" s="1" t="s">
        <v>7329</v>
      </c>
      <c r="D27884" s="22" t="str">
        <f>HYPERLINK("https://rhld.insurance.arkansas.gov/NPILookup?Npi=1750804001","1750804001")</f>
        <v>1750804001</v>
      </c>
      <c r="E27884" s="1" t="s">
        <v>28486</v>
      </c>
      <c r="F27884" s="2"/>
      <c r="G27884" s="2"/>
      <c r="H27884" s="2"/>
    </row>
    <row r="27885" spans="1:8" x14ac:dyDescent="0.25">
      <c r="A27885" s="1"/>
      <c r="B27885" s="1" t="s">
        <v>7328</v>
      </c>
      <c r="C27885" s="1" t="s">
        <v>7329</v>
      </c>
      <c r="D27885" s="22" t="str">
        <f>HYPERLINK("https://rhld.insurance.arkansas.gov/NPILookup?Npi=1750804530","1750804530")</f>
        <v>1750804530</v>
      </c>
      <c r="E27885" s="1" t="s">
        <v>13552</v>
      </c>
      <c r="F27885" s="2"/>
      <c r="G27885" s="2"/>
      <c r="H27885" s="2"/>
    </row>
    <row r="27886" spans="1:8" x14ac:dyDescent="0.25">
      <c r="A27886" s="1"/>
      <c r="B27886" s="1" t="s">
        <v>7328</v>
      </c>
      <c r="C27886" s="1" t="s">
        <v>7329</v>
      </c>
      <c r="D27886" s="22" t="str">
        <f>HYPERLINK("https://rhld.insurance.arkansas.gov/NPILookup?Npi=1750808069","1750808069")</f>
        <v>1750808069</v>
      </c>
      <c r="E27886" s="1" t="s">
        <v>13553</v>
      </c>
      <c r="F27886" s="2"/>
      <c r="G27886" s="2"/>
      <c r="H27886" s="2"/>
    </row>
    <row r="27887" spans="1:8" x14ac:dyDescent="0.25">
      <c r="A27887" s="1"/>
      <c r="B27887" s="1" t="s">
        <v>7328</v>
      </c>
      <c r="C27887" s="1" t="s">
        <v>7329</v>
      </c>
      <c r="D27887" s="22" t="str">
        <f>HYPERLINK("https://rhld.insurance.arkansas.gov/NPILookup?Npi=1750811758","1750811758")</f>
        <v>1750811758</v>
      </c>
      <c r="E27887" s="1" t="s">
        <v>28487</v>
      </c>
      <c r="F27887" s="2"/>
      <c r="G27887" s="2"/>
      <c r="H27887" s="2"/>
    </row>
    <row r="27888" spans="1:8" x14ac:dyDescent="0.25">
      <c r="A27888" s="1"/>
      <c r="B27888" s="1" t="s">
        <v>7328</v>
      </c>
      <c r="C27888" s="1" t="s">
        <v>7329</v>
      </c>
      <c r="D27888" s="22" t="str">
        <f>HYPERLINK("https://rhld.insurance.arkansas.gov/NPILookup?Npi=1750813119","1750813119")</f>
        <v>1750813119</v>
      </c>
      <c r="E27888" s="1" t="s">
        <v>18985</v>
      </c>
      <c r="F27888" s="2"/>
      <c r="G27888" s="2"/>
      <c r="H27888" s="2"/>
    </row>
    <row r="27889" spans="1:8" x14ac:dyDescent="0.25">
      <c r="A27889" s="1"/>
      <c r="B27889" s="1" t="s">
        <v>7328</v>
      </c>
      <c r="C27889" s="1" t="s">
        <v>7329</v>
      </c>
      <c r="D27889" s="22" t="str">
        <f>HYPERLINK("https://rhld.insurance.arkansas.gov/NPILookup?Npi=1750818894","1750818894")</f>
        <v>1750818894</v>
      </c>
      <c r="E27889" s="1" t="s">
        <v>2067</v>
      </c>
      <c r="F27889" s="2"/>
      <c r="G27889" s="2"/>
      <c r="H27889" s="2"/>
    </row>
    <row r="27890" spans="1:8" x14ac:dyDescent="0.25">
      <c r="A27890" s="1"/>
      <c r="B27890" s="1" t="s">
        <v>7328</v>
      </c>
      <c r="C27890" s="1" t="s">
        <v>7329</v>
      </c>
      <c r="D27890" s="22" t="str">
        <f>HYPERLINK("https://rhld.insurance.arkansas.gov/NPILookup?Npi=1750821674","1750821674")</f>
        <v>1750821674</v>
      </c>
      <c r="E27890" s="1" t="s">
        <v>28488</v>
      </c>
      <c r="F27890" s="2"/>
      <c r="G27890" s="2"/>
      <c r="H27890" s="2"/>
    </row>
    <row r="27891" spans="1:8" x14ac:dyDescent="0.25">
      <c r="A27891" s="1"/>
      <c r="B27891" s="1" t="s">
        <v>7328</v>
      </c>
      <c r="C27891" s="1" t="s">
        <v>7329</v>
      </c>
      <c r="D27891" s="22" t="str">
        <f>HYPERLINK("https://rhld.insurance.arkansas.gov/NPILookup?Npi=1750821740","1750821740")</f>
        <v>1750821740</v>
      </c>
      <c r="E27891" s="1" t="s">
        <v>3005</v>
      </c>
      <c r="F27891" s="2"/>
      <c r="G27891" s="2"/>
      <c r="H27891" s="2"/>
    </row>
    <row r="27892" spans="1:8" x14ac:dyDescent="0.25">
      <c r="A27892" s="1"/>
      <c r="B27892" s="1" t="s">
        <v>7328</v>
      </c>
      <c r="C27892" s="1" t="s">
        <v>7329</v>
      </c>
      <c r="D27892" s="22" t="str">
        <f>HYPERLINK("https://rhld.insurance.arkansas.gov/NPILookup?Npi=1750825253","1750825253")</f>
        <v>1750825253</v>
      </c>
      <c r="E27892" s="1" t="s">
        <v>28489</v>
      </c>
      <c r="F27892" s="2"/>
      <c r="G27892" s="2"/>
      <c r="H27892" s="2"/>
    </row>
    <row r="27893" spans="1:8" x14ac:dyDescent="0.25">
      <c r="A27893" s="1"/>
      <c r="B27893" s="1" t="s">
        <v>7328</v>
      </c>
      <c r="C27893" s="1" t="s">
        <v>7329</v>
      </c>
      <c r="D27893" s="22" t="str">
        <f>HYPERLINK("https://rhld.insurance.arkansas.gov/NPILookup?Npi=1750826798","1750826798")</f>
        <v>1750826798</v>
      </c>
      <c r="E27893" s="1" t="s">
        <v>23223</v>
      </c>
      <c r="F27893" s="2"/>
      <c r="G27893" s="2"/>
      <c r="H27893" s="2"/>
    </row>
    <row r="27894" spans="1:8" x14ac:dyDescent="0.25">
      <c r="A27894" s="1"/>
      <c r="B27894" s="1" t="s">
        <v>7328</v>
      </c>
      <c r="C27894" s="1" t="s">
        <v>7329</v>
      </c>
      <c r="D27894" s="22" t="str">
        <f>HYPERLINK("https://rhld.insurance.arkansas.gov/NPILookup?Npi=1750827036","1750827036")</f>
        <v>1750827036</v>
      </c>
      <c r="E27894" s="1" t="s">
        <v>28490</v>
      </c>
      <c r="F27894" s="2"/>
      <c r="G27894" s="2"/>
      <c r="H27894" s="2"/>
    </row>
    <row r="27895" spans="1:8" x14ac:dyDescent="0.25">
      <c r="A27895" s="1"/>
      <c r="B27895" s="1" t="s">
        <v>7328</v>
      </c>
      <c r="C27895" s="1" t="s">
        <v>7329</v>
      </c>
      <c r="D27895" s="22" t="str">
        <f>HYPERLINK("https://rhld.insurance.arkansas.gov/NPILookup?Npi=1750829040","1750829040")</f>
        <v>1750829040</v>
      </c>
      <c r="E27895" s="1" t="s">
        <v>13554</v>
      </c>
      <c r="F27895" s="2"/>
      <c r="G27895" s="2"/>
      <c r="H27895" s="2"/>
    </row>
    <row r="27896" spans="1:8" x14ac:dyDescent="0.25">
      <c r="A27896" s="1"/>
      <c r="B27896" s="1" t="s">
        <v>7328</v>
      </c>
      <c r="C27896" s="1" t="s">
        <v>7329</v>
      </c>
      <c r="D27896" s="22" t="str">
        <f>HYPERLINK("https://rhld.insurance.arkansas.gov/NPILookup?Npi=1750839122","1750839122")</f>
        <v>1750839122</v>
      </c>
      <c r="E27896" s="1" t="s">
        <v>886</v>
      </c>
      <c r="F27896" s="2"/>
      <c r="G27896" s="2"/>
      <c r="H27896" s="2"/>
    </row>
    <row r="27897" spans="1:8" x14ac:dyDescent="0.25">
      <c r="A27897" s="1"/>
      <c r="B27897" s="1" t="s">
        <v>7328</v>
      </c>
      <c r="C27897" s="1" t="s">
        <v>7329</v>
      </c>
      <c r="D27897" s="22" t="str">
        <f>HYPERLINK("https://rhld.insurance.arkansas.gov/NPILookup?Npi=1750846739","1750846739")</f>
        <v>1750846739</v>
      </c>
      <c r="E27897" s="1" t="s">
        <v>13555</v>
      </c>
      <c r="F27897" s="2"/>
      <c r="G27897" s="2"/>
      <c r="H27897" s="2"/>
    </row>
    <row r="27898" spans="1:8" x14ac:dyDescent="0.25">
      <c r="A27898" s="1"/>
      <c r="B27898" s="1" t="s">
        <v>7328</v>
      </c>
      <c r="C27898" s="1" t="s">
        <v>7329</v>
      </c>
      <c r="D27898" s="22" t="str">
        <f>HYPERLINK("https://rhld.insurance.arkansas.gov/NPILookup?Npi=1750852067","1750852067")</f>
        <v>1750852067</v>
      </c>
      <c r="E27898" s="1" t="s">
        <v>13556</v>
      </c>
      <c r="F27898" s="2"/>
      <c r="G27898" s="2"/>
      <c r="H27898" s="2"/>
    </row>
    <row r="27899" spans="1:8" x14ac:dyDescent="0.25">
      <c r="A27899" s="1"/>
      <c r="B27899" s="1" t="s">
        <v>7328</v>
      </c>
      <c r="C27899" s="1" t="s">
        <v>7329</v>
      </c>
      <c r="D27899" s="22" t="str">
        <f>HYPERLINK("https://rhld.insurance.arkansas.gov/NPILookup?Npi=1750865929","1750865929")</f>
        <v>1750865929</v>
      </c>
      <c r="E27899" s="1" t="s">
        <v>1401</v>
      </c>
      <c r="F27899" s="2"/>
      <c r="G27899" s="2"/>
      <c r="H27899" s="2"/>
    </row>
    <row r="27900" spans="1:8" x14ac:dyDescent="0.25">
      <c r="A27900" s="1"/>
      <c r="B27900" s="1" t="s">
        <v>7328</v>
      </c>
      <c r="C27900" s="1" t="s">
        <v>7329</v>
      </c>
      <c r="D27900" s="22" t="str">
        <f>HYPERLINK("https://rhld.insurance.arkansas.gov/NPILookup?Npi=1750871570","1750871570")</f>
        <v>1750871570</v>
      </c>
      <c r="E27900" s="1" t="s">
        <v>3006</v>
      </c>
      <c r="F27900" s="2"/>
      <c r="G27900" s="2"/>
      <c r="H27900" s="2"/>
    </row>
    <row r="27901" spans="1:8" x14ac:dyDescent="0.25">
      <c r="A27901" s="1"/>
      <c r="B27901" s="1" t="s">
        <v>7328</v>
      </c>
      <c r="C27901" s="1" t="s">
        <v>7329</v>
      </c>
      <c r="D27901" s="22" t="str">
        <f>HYPERLINK("https://rhld.insurance.arkansas.gov/NPILookup?Npi=1750877528","1750877528")</f>
        <v>1750877528</v>
      </c>
      <c r="E27901" s="1" t="s">
        <v>28491</v>
      </c>
      <c r="F27901" s="2"/>
      <c r="G27901" s="2"/>
      <c r="H27901" s="2"/>
    </row>
    <row r="27902" spans="1:8" x14ac:dyDescent="0.25">
      <c r="A27902" s="1"/>
      <c r="B27902" s="1" t="s">
        <v>7328</v>
      </c>
      <c r="C27902" s="1" t="s">
        <v>7329</v>
      </c>
      <c r="D27902" s="22" t="str">
        <f>HYPERLINK("https://rhld.insurance.arkansas.gov/NPILookup?Npi=1750884821","1750884821")</f>
        <v>1750884821</v>
      </c>
      <c r="E27902" s="1" t="s">
        <v>28492</v>
      </c>
      <c r="F27902" s="2"/>
      <c r="G27902" s="2"/>
      <c r="H27902" s="2"/>
    </row>
    <row r="27903" spans="1:8" x14ac:dyDescent="0.25">
      <c r="A27903" s="1"/>
      <c r="B27903" s="1" t="s">
        <v>7328</v>
      </c>
      <c r="C27903" s="1" t="s">
        <v>7329</v>
      </c>
      <c r="D27903" s="22" t="str">
        <f>HYPERLINK("https://rhld.insurance.arkansas.gov/NPILookup?Npi=1750887352","1750887352")</f>
        <v>1750887352</v>
      </c>
      <c r="E27903" s="1" t="s">
        <v>8069</v>
      </c>
      <c r="F27903" s="2"/>
      <c r="G27903" s="2"/>
      <c r="H27903" s="2"/>
    </row>
    <row r="27904" spans="1:8" x14ac:dyDescent="0.25">
      <c r="A27904" s="1"/>
      <c r="B27904" s="1" t="s">
        <v>7328</v>
      </c>
      <c r="C27904" s="1" t="s">
        <v>7329</v>
      </c>
      <c r="D27904" s="22" t="str">
        <f>HYPERLINK("https://rhld.insurance.arkansas.gov/NPILookup?Npi=1750890034","1750890034")</f>
        <v>1750890034</v>
      </c>
      <c r="E27904" s="1" t="s">
        <v>32350</v>
      </c>
      <c r="F27904" s="2"/>
      <c r="G27904" s="2"/>
      <c r="H27904" s="2"/>
    </row>
    <row r="27905" spans="1:8" x14ac:dyDescent="0.25">
      <c r="A27905" s="1"/>
      <c r="B27905" s="1" t="s">
        <v>7328</v>
      </c>
      <c r="C27905" s="1" t="s">
        <v>7329</v>
      </c>
      <c r="D27905" s="22" t="str">
        <f>HYPERLINK("https://rhld.insurance.arkansas.gov/NPILookup?Npi=1750899266","1750899266")</f>
        <v>1750899266</v>
      </c>
      <c r="E27905" s="1" t="s">
        <v>28493</v>
      </c>
      <c r="F27905" s="2"/>
      <c r="G27905" s="2"/>
      <c r="H27905" s="2"/>
    </row>
    <row r="27906" spans="1:8" x14ac:dyDescent="0.25">
      <c r="A27906" s="1"/>
      <c r="B27906" s="1" t="s">
        <v>7328</v>
      </c>
      <c r="C27906" s="1" t="s">
        <v>7329</v>
      </c>
      <c r="D27906" s="22" t="str">
        <f>HYPERLINK("https://rhld.insurance.arkansas.gov/NPILookup?Npi=1750904199","1750904199")</f>
        <v>1750904199</v>
      </c>
      <c r="E27906" s="1" t="s">
        <v>8070</v>
      </c>
      <c r="F27906" s="2"/>
      <c r="G27906" s="2"/>
      <c r="H27906" s="2"/>
    </row>
    <row r="27907" spans="1:8" x14ac:dyDescent="0.25">
      <c r="A27907" s="1"/>
      <c r="B27907" s="1" t="s">
        <v>7328</v>
      </c>
      <c r="C27907" s="1" t="s">
        <v>7329</v>
      </c>
      <c r="D27907" s="22" t="str">
        <f>HYPERLINK("https://rhld.insurance.arkansas.gov/NPILookup?Npi=1750918660","1750918660")</f>
        <v>1750918660</v>
      </c>
      <c r="E27907" s="1" t="s">
        <v>28494</v>
      </c>
      <c r="F27907" s="2"/>
      <c r="G27907" s="2"/>
      <c r="H27907" s="2"/>
    </row>
    <row r="27908" spans="1:8" x14ac:dyDescent="0.25">
      <c r="A27908" s="1"/>
      <c r="B27908" s="1" t="s">
        <v>7328</v>
      </c>
      <c r="C27908" s="1" t="s">
        <v>7329</v>
      </c>
      <c r="D27908" s="22" t="str">
        <f>HYPERLINK("https://rhld.insurance.arkansas.gov/NPILookup?Npi=1750938643","1750938643")</f>
        <v>1750938643</v>
      </c>
      <c r="E27908" s="1" t="s">
        <v>28495</v>
      </c>
      <c r="F27908" s="2"/>
      <c r="G27908" s="2"/>
      <c r="H27908" s="2"/>
    </row>
    <row r="27909" spans="1:8" x14ac:dyDescent="0.25">
      <c r="A27909" s="1"/>
      <c r="B27909" s="1" t="s">
        <v>7328</v>
      </c>
      <c r="C27909" s="1" t="s">
        <v>7329</v>
      </c>
      <c r="D27909" s="22" t="str">
        <f>HYPERLINK("https://rhld.insurance.arkansas.gov/NPILookup?Npi=1750942215","1750942215")</f>
        <v>1750942215</v>
      </c>
      <c r="E27909" s="1" t="s">
        <v>23227</v>
      </c>
      <c r="F27909" s="2"/>
      <c r="G27909" s="2"/>
      <c r="H27909" s="2"/>
    </row>
    <row r="27910" spans="1:8" x14ac:dyDescent="0.25">
      <c r="A27910" s="1"/>
      <c r="B27910" s="1" t="s">
        <v>7328</v>
      </c>
      <c r="C27910" s="1" t="s">
        <v>7329</v>
      </c>
      <c r="D27910" s="22" t="str">
        <f>HYPERLINK("https://rhld.insurance.arkansas.gov/NPILookup?Npi=1750957650","1750957650")</f>
        <v>1750957650</v>
      </c>
      <c r="E27910" s="1" t="s">
        <v>8071</v>
      </c>
      <c r="F27910" s="2"/>
      <c r="G27910" s="2"/>
      <c r="H27910" s="2"/>
    </row>
    <row r="27911" spans="1:8" x14ac:dyDescent="0.25">
      <c r="A27911" s="1"/>
      <c r="B27911" s="1" t="s">
        <v>7328</v>
      </c>
      <c r="C27911" s="1" t="s">
        <v>7329</v>
      </c>
      <c r="D27911" s="22" t="str">
        <f>HYPERLINK("https://rhld.insurance.arkansas.gov/NPILookup?Npi=1750961363","1750961363")</f>
        <v>1750961363</v>
      </c>
      <c r="E27911" s="1" t="s">
        <v>28496</v>
      </c>
      <c r="F27911" s="2"/>
      <c r="G27911" s="2"/>
      <c r="H27911" s="2"/>
    </row>
    <row r="27912" spans="1:8" x14ac:dyDescent="0.25">
      <c r="A27912" s="1"/>
      <c r="B27912" s="1" t="s">
        <v>7328</v>
      </c>
      <c r="C27912" s="1" t="s">
        <v>7329</v>
      </c>
      <c r="D27912" s="22" t="str">
        <f>HYPERLINK("https://rhld.insurance.arkansas.gov/NPILookup?Npi=1750961413","1750961413")</f>
        <v>1750961413</v>
      </c>
      <c r="E27912" s="1" t="s">
        <v>28497</v>
      </c>
      <c r="F27912" s="2"/>
      <c r="G27912" s="2"/>
      <c r="H27912" s="2"/>
    </row>
    <row r="27913" spans="1:8" x14ac:dyDescent="0.25">
      <c r="A27913" s="1"/>
      <c r="B27913" s="1" t="s">
        <v>7328</v>
      </c>
      <c r="C27913" s="1" t="s">
        <v>7329</v>
      </c>
      <c r="D27913" s="22" t="str">
        <f>HYPERLINK("https://rhld.insurance.arkansas.gov/NPILookup?Npi=1750961785","1750961785")</f>
        <v>1750961785</v>
      </c>
      <c r="E27913" s="1" t="s">
        <v>1810</v>
      </c>
      <c r="F27913" s="2"/>
      <c r="G27913" s="2"/>
      <c r="H27913" s="2"/>
    </row>
    <row r="27914" spans="1:8" x14ac:dyDescent="0.25">
      <c r="A27914" s="1"/>
      <c r="B27914" s="1" t="s">
        <v>7328</v>
      </c>
      <c r="C27914" s="1" t="s">
        <v>7329</v>
      </c>
      <c r="D27914" s="22" t="str">
        <f>HYPERLINK("https://rhld.insurance.arkansas.gov/NPILookup?Npi=1750966644","1750966644")</f>
        <v>1750966644</v>
      </c>
      <c r="E27914" s="1" t="s">
        <v>28498</v>
      </c>
      <c r="F27914" s="2"/>
      <c r="G27914" s="2"/>
      <c r="H27914" s="2"/>
    </row>
    <row r="27915" spans="1:8" x14ac:dyDescent="0.25">
      <c r="A27915" s="1"/>
      <c r="B27915" s="1" t="s">
        <v>7328</v>
      </c>
      <c r="C27915" s="1" t="s">
        <v>7329</v>
      </c>
      <c r="D27915" s="22" t="str">
        <f>HYPERLINK("https://rhld.insurance.arkansas.gov/NPILookup?Npi=1750976619","1750976619")</f>
        <v>1750976619</v>
      </c>
      <c r="E27915" s="1" t="s">
        <v>28499</v>
      </c>
      <c r="F27915" s="2"/>
      <c r="G27915" s="2"/>
      <c r="H27915" s="2"/>
    </row>
    <row r="27916" spans="1:8" x14ac:dyDescent="0.25">
      <c r="A27916" s="1"/>
      <c r="B27916" s="1" t="s">
        <v>7328</v>
      </c>
      <c r="C27916" s="1" t="s">
        <v>7329</v>
      </c>
      <c r="D27916" s="22" t="str">
        <f>HYPERLINK("https://rhld.insurance.arkansas.gov/NPILookup?Npi=1750994802","1750994802")</f>
        <v>1750994802</v>
      </c>
      <c r="E27916" s="1" t="s">
        <v>28500</v>
      </c>
      <c r="F27916" s="2"/>
      <c r="G27916" s="2"/>
      <c r="H27916" s="2"/>
    </row>
    <row r="27917" spans="1:8" x14ac:dyDescent="0.25">
      <c r="A27917" s="1"/>
      <c r="B27917" s="1" t="s">
        <v>7328</v>
      </c>
      <c r="C27917" s="1" t="s">
        <v>7329</v>
      </c>
      <c r="D27917" s="22" t="str">
        <f>HYPERLINK("https://rhld.insurance.arkansas.gov/NPILookup?Npi=1760006001","1760006001")</f>
        <v>1760006001</v>
      </c>
      <c r="E27917" s="1" t="s">
        <v>8072</v>
      </c>
      <c r="F27917" s="2"/>
      <c r="G27917" s="2"/>
      <c r="H27917" s="2"/>
    </row>
    <row r="27918" spans="1:8" x14ac:dyDescent="0.25">
      <c r="A27918" s="1"/>
      <c r="B27918" s="1" t="s">
        <v>7328</v>
      </c>
      <c r="C27918" s="1" t="s">
        <v>7329</v>
      </c>
      <c r="D27918" s="22" t="str">
        <f>HYPERLINK("https://rhld.insurance.arkansas.gov/NPILookup?Npi=1760016703","1760016703")</f>
        <v>1760016703</v>
      </c>
      <c r="E27918" s="1" t="s">
        <v>28501</v>
      </c>
      <c r="F27918" s="2"/>
      <c r="G27918" s="2"/>
      <c r="H27918" s="2"/>
    </row>
    <row r="27919" spans="1:8" x14ac:dyDescent="0.25">
      <c r="A27919" s="1"/>
      <c r="B27919" s="1" t="s">
        <v>7328</v>
      </c>
      <c r="C27919" s="1" t="s">
        <v>7329</v>
      </c>
      <c r="D27919" s="22" t="str">
        <f>HYPERLINK("https://rhld.insurance.arkansas.gov/NPILookup?Npi=1760024269","1760024269")</f>
        <v>1760024269</v>
      </c>
      <c r="E27919" s="1" t="s">
        <v>28502</v>
      </c>
      <c r="F27919" s="2"/>
      <c r="G27919" s="2"/>
      <c r="H27919" s="2"/>
    </row>
    <row r="27920" spans="1:8" x14ac:dyDescent="0.25">
      <c r="A27920" s="1"/>
      <c r="B27920" s="1" t="s">
        <v>7328</v>
      </c>
      <c r="C27920" s="1" t="s">
        <v>7329</v>
      </c>
      <c r="D27920" s="22" t="str">
        <f>HYPERLINK("https://rhld.insurance.arkansas.gov/NPILookup?Npi=1760027130","1760027130")</f>
        <v>1760027130</v>
      </c>
      <c r="E27920" s="1" t="s">
        <v>28503</v>
      </c>
      <c r="F27920" s="2"/>
      <c r="G27920" s="2"/>
      <c r="H27920" s="2"/>
    </row>
    <row r="27921" spans="1:8" x14ac:dyDescent="0.25">
      <c r="A27921" s="1"/>
      <c r="B27921" s="1" t="s">
        <v>7328</v>
      </c>
      <c r="C27921" s="1" t="s">
        <v>7329</v>
      </c>
      <c r="D27921" s="22" t="str">
        <f>HYPERLINK("https://rhld.insurance.arkansas.gov/NPILookup?Npi=1760041180","1760041180")</f>
        <v>1760041180</v>
      </c>
      <c r="E27921" s="1" t="s">
        <v>2408</v>
      </c>
      <c r="F27921" s="2"/>
      <c r="G27921" s="2"/>
      <c r="H27921" s="2"/>
    </row>
    <row r="27922" spans="1:8" x14ac:dyDescent="0.25">
      <c r="A27922" s="1"/>
      <c r="B27922" s="1" t="s">
        <v>7328</v>
      </c>
      <c r="C27922" s="1" t="s">
        <v>7329</v>
      </c>
      <c r="D27922" s="22" t="str">
        <f>HYPERLINK("https://rhld.insurance.arkansas.gov/NPILookup?Npi=1760047906","1760047906")</f>
        <v>1760047906</v>
      </c>
      <c r="E27922" s="1" t="s">
        <v>28504</v>
      </c>
      <c r="F27922" s="2"/>
      <c r="G27922" s="2"/>
      <c r="H27922" s="2"/>
    </row>
    <row r="27923" spans="1:8" x14ac:dyDescent="0.25">
      <c r="A27923" s="1"/>
      <c r="B27923" s="1" t="s">
        <v>7328</v>
      </c>
      <c r="C27923" s="1" t="s">
        <v>7329</v>
      </c>
      <c r="D27923" s="22" t="str">
        <f>HYPERLINK("https://rhld.insurance.arkansas.gov/NPILookup?Npi=1760050132","1760050132")</f>
        <v>1760050132</v>
      </c>
      <c r="E27923" s="1" t="s">
        <v>28505</v>
      </c>
      <c r="F27923" s="2"/>
      <c r="G27923" s="2"/>
      <c r="H27923" s="2"/>
    </row>
    <row r="27924" spans="1:8" x14ac:dyDescent="0.25">
      <c r="A27924" s="1"/>
      <c r="B27924" s="1" t="s">
        <v>7328</v>
      </c>
      <c r="C27924" s="1" t="s">
        <v>7329</v>
      </c>
      <c r="D27924" s="22" t="str">
        <f>HYPERLINK("https://rhld.insurance.arkansas.gov/NPILookup?Npi=1760060370","1760060370")</f>
        <v>1760060370</v>
      </c>
      <c r="E27924" s="1" t="s">
        <v>13557</v>
      </c>
      <c r="F27924" s="2"/>
      <c r="G27924" s="2"/>
      <c r="H27924" s="2"/>
    </row>
    <row r="27925" spans="1:8" x14ac:dyDescent="0.25">
      <c r="A27925" s="1"/>
      <c r="B27925" s="1" t="s">
        <v>7328</v>
      </c>
      <c r="C27925" s="1" t="s">
        <v>7329</v>
      </c>
      <c r="D27925" s="22" t="str">
        <f>HYPERLINK("https://rhld.insurance.arkansas.gov/NPILookup?Npi=1760062616","1760062616")</f>
        <v>1760062616</v>
      </c>
      <c r="E27925" s="1" t="s">
        <v>28506</v>
      </c>
      <c r="F27925" s="2"/>
      <c r="G27925" s="2"/>
      <c r="H27925" s="2"/>
    </row>
    <row r="27926" spans="1:8" x14ac:dyDescent="0.25">
      <c r="A27926" s="1"/>
      <c r="B27926" s="1" t="s">
        <v>7328</v>
      </c>
      <c r="C27926" s="1" t="s">
        <v>7329</v>
      </c>
      <c r="D27926" s="22" t="str">
        <f>HYPERLINK("https://rhld.insurance.arkansas.gov/NPILookup?Npi=1760062947","1760062947")</f>
        <v>1760062947</v>
      </c>
      <c r="E27926" s="1" t="s">
        <v>13558</v>
      </c>
      <c r="F27926" s="2"/>
      <c r="G27926" s="2"/>
      <c r="H27926" s="2"/>
    </row>
    <row r="27927" spans="1:8" x14ac:dyDescent="0.25">
      <c r="A27927" s="1"/>
      <c r="B27927" s="1" t="s">
        <v>7328</v>
      </c>
      <c r="C27927" s="1" t="s">
        <v>7329</v>
      </c>
      <c r="D27927" s="22" t="str">
        <f>HYPERLINK("https://rhld.insurance.arkansas.gov/NPILookup?Npi=1760065361","1760065361")</f>
        <v>1760065361</v>
      </c>
      <c r="E27927" s="1" t="s">
        <v>28507</v>
      </c>
      <c r="F27927" s="2"/>
      <c r="G27927" s="2"/>
      <c r="H27927" s="2"/>
    </row>
    <row r="27928" spans="1:8" x14ac:dyDescent="0.25">
      <c r="A27928" s="1"/>
      <c r="B27928" s="1" t="s">
        <v>7328</v>
      </c>
      <c r="C27928" s="1" t="s">
        <v>7329</v>
      </c>
      <c r="D27928" s="22" t="str">
        <f>HYPERLINK("https://rhld.insurance.arkansas.gov/NPILookup?Npi=1760077069","1760077069")</f>
        <v>1760077069</v>
      </c>
      <c r="E27928" s="1" t="s">
        <v>8073</v>
      </c>
      <c r="F27928" s="2"/>
      <c r="G27928" s="2"/>
      <c r="H27928" s="2"/>
    </row>
    <row r="27929" spans="1:8" x14ac:dyDescent="0.25">
      <c r="A27929" s="1"/>
      <c r="B27929" s="1" t="s">
        <v>7328</v>
      </c>
      <c r="C27929" s="1" t="s">
        <v>7329</v>
      </c>
      <c r="D27929" s="22" t="str">
        <f>HYPERLINK("https://rhld.insurance.arkansas.gov/NPILookup?Npi=1760106868","1760106868")</f>
        <v>1760106868</v>
      </c>
      <c r="E27929" s="1" t="s">
        <v>28508</v>
      </c>
      <c r="F27929" s="2"/>
      <c r="G27929" s="2"/>
      <c r="H27929" s="2"/>
    </row>
    <row r="27930" spans="1:8" x14ac:dyDescent="0.25">
      <c r="A27930" s="1"/>
      <c r="B27930" s="1" t="s">
        <v>7328</v>
      </c>
      <c r="C27930" s="1" t="s">
        <v>7329</v>
      </c>
      <c r="D27930" s="22" t="str">
        <f>HYPERLINK("https://rhld.insurance.arkansas.gov/NPILookup?Npi=1760116305","1760116305")</f>
        <v>1760116305</v>
      </c>
      <c r="E27930" s="1" t="s">
        <v>11535</v>
      </c>
      <c r="F27930" s="2"/>
      <c r="G27930" s="2"/>
      <c r="H27930" s="2"/>
    </row>
    <row r="27931" spans="1:8" x14ac:dyDescent="0.25">
      <c r="A27931" s="1"/>
      <c r="B27931" s="1" t="s">
        <v>7328</v>
      </c>
      <c r="C27931" s="1" t="s">
        <v>7329</v>
      </c>
      <c r="D27931" s="22" t="str">
        <f>HYPERLINK("https://rhld.insurance.arkansas.gov/NPILookup?Npi=1760155121","1760155121")</f>
        <v>1760155121</v>
      </c>
      <c r="E27931" s="1" t="s">
        <v>28509</v>
      </c>
      <c r="F27931" s="2"/>
      <c r="G27931" s="2"/>
      <c r="H27931" s="2"/>
    </row>
    <row r="27932" spans="1:8" x14ac:dyDescent="0.25">
      <c r="A27932" s="1"/>
      <c r="B27932" s="1" t="s">
        <v>7328</v>
      </c>
      <c r="C27932" s="1" t="s">
        <v>7329</v>
      </c>
      <c r="D27932" s="22" t="str">
        <f>HYPERLINK("https://rhld.insurance.arkansas.gov/NPILookup?Npi=1760208441","1760208441")</f>
        <v>1760208441</v>
      </c>
      <c r="E27932" s="1" t="s">
        <v>32351</v>
      </c>
      <c r="F27932" s="2"/>
      <c r="G27932" s="2"/>
      <c r="H27932" s="2"/>
    </row>
    <row r="27933" spans="1:8" x14ac:dyDescent="0.25">
      <c r="A27933" s="1"/>
      <c r="B27933" s="1" t="s">
        <v>7328</v>
      </c>
      <c r="C27933" s="1" t="s">
        <v>7329</v>
      </c>
      <c r="D27933" s="22" t="str">
        <f>HYPERLINK("https://rhld.insurance.arkansas.gov/NPILookup?Npi=1760260186","1760260186")</f>
        <v>1760260186</v>
      </c>
      <c r="E27933" s="1" t="s">
        <v>8074</v>
      </c>
      <c r="F27933" s="2"/>
      <c r="G27933" s="2"/>
      <c r="H27933" s="2"/>
    </row>
    <row r="27934" spans="1:8" x14ac:dyDescent="0.25">
      <c r="A27934" s="1"/>
      <c r="B27934" s="1" t="s">
        <v>7328</v>
      </c>
      <c r="C27934" s="1" t="s">
        <v>7329</v>
      </c>
      <c r="D27934" s="22" t="str">
        <f>HYPERLINK("https://rhld.insurance.arkansas.gov/NPILookup?Npi=1760267330","1760267330")</f>
        <v>1760267330</v>
      </c>
      <c r="E27934" s="1" t="s">
        <v>28510</v>
      </c>
      <c r="F27934" s="2"/>
      <c r="G27934" s="2"/>
      <c r="H27934" s="2"/>
    </row>
    <row r="27935" spans="1:8" x14ac:dyDescent="0.25">
      <c r="A27935" s="1"/>
      <c r="B27935" s="1" t="s">
        <v>7328</v>
      </c>
      <c r="C27935" s="1" t="s">
        <v>7329</v>
      </c>
      <c r="D27935" s="22" t="str">
        <f>HYPERLINK("https://rhld.insurance.arkansas.gov/NPILookup?Npi=1760419550","1760419550")</f>
        <v>1760419550</v>
      </c>
      <c r="E27935" s="1" t="s">
        <v>13559</v>
      </c>
      <c r="F27935" s="2"/>
      <c r="G27935" s="2"/>
      <c r="H27935" s="2"/>
    </row>
    <row r="27936" spans="1:8" x14ac:dyDescent="0.25">
      <c r="A27936" s="1"/>
      <c r="B27936" s="1" t="s">
        <v>7328</v>
      </c>
      <c r="C27936" s="1" t="s">
        <v>7329</v>
      </c>
      <c r="D27936" s="22" t="str">
        <f>HYPERLINK("https://rhld.insurance.arkansas.gov/NPILookup?Npi=1760426043","1760426043")</f>
        <v>1760426043</v>
      </c>
      <c r="E27936" s="1" t="s">
        <v>28511</v>
      </c>
      <c r="F27936" s="2"/>
      <c r="G27936" s="2"/>
      <c r="H27936" s="2"/>
    </row>
    <row r="27937" spans="1:8" x14ac:dyDescent="0.25">
      <c r="A27937" s="1"/>
      <c r="B27937" s="1" t="s">
        <v>7328</v>
      </c>
      <c r="C27937" s="1" t="s">
        <v>7329</v>
      </c>
      <c r="D27937" s="22" t="str">
        <f>HYPERLINK("https://rhld.insurance.arkansas.gov/NPILookup?Npi=1760426746","1760426746")</f>
        <v>1760426746</v>
      </c>
      <c r="E27937" s="1" t="s">
        <v>28512</v>
      </c>
      <c r="F27937" s="2"/>
      <c r="G27937" s="2"/>
      <c r="H27937" s="2"/>
    </row>
    <row r="27938" spans="1:8" x14ac:dyDescent="0.25">
      <c r="A27938" s="1"/>
      <c r="B27938" s="1" t="s">
        <v>7328</v>
      </c>
      <c r="C27938" s="1" t="s">
        <v>7329</v>
      </c>
      <c r="D27938" s="22" t="str">
        <f>HYPERLINK("https://rhld.insurance.arkansas.gov/NPILookup?Npi=1760437404","1760437404")</f>
        <v>1760437404</v>
      </c>
      <c r="E27938" s="1" t="s">
        <v>28513</v>
      </c>
      <c r="F27938" s="2"/>
      <c r="G27938" s="2"/>
      <c r="H27938" s="2"/>
    </row>
    <row r="27939" spans="1:8" x14ac:dyDescent="0.25">
      <c r="A27939" s="1"/>
      <c r="B27939" s="1" t="s">
        <v>7328</v>
      </c>
      <c r="C27939" s="1" t="s">
        <v>7329</v>
      </c>
      <c r="D27939" s="22" t="str">
        <f>HYPERLINK("https://rhld.insurance.arkansas.gov/NPILookup?Npi=1760442370","1760442370")</f>
        <v>1760442370</v>
      </c>
      <c r="E27939" s="1" t="s">
        <v>10438</v>
      </c>
      <c r="F27939" s="2"/>
      <c r="G27939" s="2"/>
      <c r="H27939" s="2"/>
    </row>
    <row r="27940" spans="1:8" x14ac:dyDescent="0.25">
      <c r="A27940" s="1"/>
      <c r="B27940" s="1" t="s">
        <v>7328</v>
      </c>
      <c r="C27940" s="1" t="s">
        <v>7329</v>
      </c>
      <c r="D27940" s="22" t="str">
        <f>HYPERLINK("https://rhld.insurance.arkansas.gov/NPILookup?Npi=1760445894","1760445894")</f>
        <v>1760445894</v>
      </c>
      <c r="E27940" s="1" t="s">
        <v>17857</v>
      </c>
      <c r="F27940" s="2"/>
      <c r="G27940" s="2"/>
      <c r="H27940" s="2"/>
    </row>
    <row r="27941" spans="1:8" x14ac:dyDescent="0.25">
      <c r="A27941" s="1"/>
      <c r="B27941" s="1" t="s">
        <v>7328</v>
      </c>
      <c r="C27941" s="1" t="s">
        <v>7329</v>
      </c>
      <c r="D27941" s="22" t="str">
        <f>HYPERLINK("https://rhld.insurance.arkansas.gov/NPILookup?Npi=1760447171","1760447171")</f>
        <v>1760447171</v>
      </c>
      <c r="E27941" s="1" t="s">
        <v>28514</v>
      </c>
      <c r="F27941" s="2"/>
      <c r="G27941" s="2"/>
      <c r="H27941" s="2"/>
    </row>
    <row r="27942" spans="1:8" x14ac:dyDescent="0.25">
      <c r="A27942" s="1"/>
      <c r="B27942" s="1" t="s">
        <v>7328</v>
      </c>
      <c r="C27942" s="1" t="s">
        <v>7329</v>
      </c>
      <c r="D27942" s="22" t="str">
        <f>HYPERLINK("https://rhld.insurance.arkansas.gov/NPILookup?Npi=1760447353","1760447353")</f>
        <v>1760447353</v>
      </c>
      <c r="E27942" s="1" t="s">
        <v>3007</v>
      </c>
      <c r="F27942" s="2"/>
      <c r="G27942" s="2"/>
      <c r="H27942" s="2"/>
    </row>
    <row r="27943" spans="1:8" x14ac:dyDescent="0.25">
      <c r="A27943" s="1"/>
      <c r="B27943" s="1" t="s">
        <v>7328</v>
      </c>
      <c r="C27943" s="1" t="s">
        <v>7329</v>
      </c>
      <c r="D27943" s="22" t="str">
        <f>HYPERLINK("https://rhld.insurance.arkansas.gov/NPILookup?Npi=1760448534","1760448534")</f>
        <v>1760448534</v>
      </c>
      <c r="E27943" s="1" t="s">
        <v>13560</v>
      </c>
      <c r="F27943" s="2"/>
      <c r="G27943" s="2"/>
      <c r="H27943" s="2"/>
    </row>
    <row r="27944" spans="1:8" x14ac:dyDescent="0.25">
      <c r="A27944" s="1"/>
      <c r="B27944" s="1" t="s">
        <v>7328</v>
      </c>
      <c r="C27944" s="1" t="s">
        <v>7329</v>
      </c>
      <c r="D27944" s="22" t="str">
        <f>HYPERLINK("https://rhld.insurance.arkansas.gov/NPILookup?Npi=1760449342","1760449342")</f>
        <v>1760449342</v>
      </c>
      <c r="E27944" s="1" t="s">
        <v>20638</v>
      </c>
      <c r="F27944" s="2"/>
      <c r="G27944" s="2"/>
      <c r="H27944" s="2"/>
    </row>
    <row r="27945" spans="1:8" x14ac:dyDescent="0.25">
      <c r="A27945" s="1"/>
      <c r="B27945" s="1" t="s">
        <v>7328</v>
      </c>
      <c r="C27945" s="1" t="s">
        <v>7329</v>
      </c>
      <c r="D27945" s="22" t="str">
        <f>HYPERLINK("https://rhld.insurance.arkansas.gov/NPILookup?Npi=1760451876","1760451876")</f>
        <v>1760451876</v>
      </c>
      <c r="E27945" s="1" t="s">
        <v>17858</v>
      </c>
      <c r="F27945" s="2"/>
      <c r="G27945" s="2"/>
      <c r="H27945" s="2"/>
    </row>
    <row r="27946" spans="1:8" x14ac:dyDescent="0.25">
      <c r="A27946" s="1"/>
      <c r="B27946" s="1" t="s">
        <v>7328</v>
      </c>
      <c r="C27946" s="1" t="s">
        <v>7329</v>
      </c>
      <c r="D27946" s="22" t="str">
        <f>HYPERLINK("https://rhld.insurance.arkansas.gov/NPILookup?Npi=1760459648","1760459648")</f>
        <v>1760459648</v>
      </c>
      <c r="E27946" s="1" t="s">
        <v>3008</v>
      </c>
      <c r="F27946" s="2"/>
      <c r="G27946" s="2"/>
      <c r="H27946" s="2"/>
    </row>
    <row r="27947" spans="1:8" x14ac:dyDescent="0.25">
      <c r="A27947" s="1"/>
      <c r="B27947" s="1" t="s">
        <v>7328</v>
      </c>
      <c r="C27947" s="1" t="s">
        <v>7329</v>
      </c>
      <c r="D27947" s="22" t="str">
        <f>HYPERLINK("https://rhld.insurance.arkansas.gov/NPILookup?Npi=1760465090","1760465090")</f>
        <v>1760465090</v>
      </c>
      <c r="E27947" s="1" t="s">
        <v>3009</v>
      </c>
      <c r="F27947" s="2"/>
      <c r="G27947" s="2"/>
      <c r="H27947" s="2"/>
    </row>
    <row r="27948" spans="1:8" x14ac:dyDescent="0.25">
      <c r="A27948" s="1"/>
      <c r="B27948" s="1" t="s">
        <v>7328</v>
      </c>
      <c r="C27948" s="1" t="s">
        <v>7329</v>
      </c>
      <c r="D27948" s="22" t="str">
        <f>HYPERLINK("https://rhld.insurance.arkansas.gov/NPILookup?Npi=1760472021","1760472021")</f>
        <v>1760472021</v>
      </c>
      <c r="E27948" s="1" t="s">
        <v>17859</v>
      </c>
      <c r="F27948" s="2"/>
      <c r="G27948" s="2"/>
      <c r="H27948" s="2"/>
    </row>
    <row r="27949" spans="1:8" x14ac:dyDescent="0.25">
      <c r="A27949" s="1"/>
      <c r="B27949" s="1" t="s">
        <v>7328</v>
      </c>
      <c r="C27949" s="1" t="s">
        <v>7329</v>
      </c>
      <c r="D27949" s="22" t="str">
        <f>HYPERLINK("https://rhld.insurance.arkansas.gov/NPILookup?Npi=1760476824","1760476824")</f>
        <v>1760476824</v>
      </c>
      <c r="E27949" s="1" t="s">
        <v>3010</v>
      </c>
      <c r="F27949" s="2"/>
      <c r="G27949" s="2"/>
      <c r="H27949" s="2"/>
    </row>
    <row r="27950" spans="1:8" x14ac:dyDescent="0.25">
      <c r="A27950" s="1"/>
      <c r="B27950" s="1" t="s">
        <v>7328</v>
      </c>
      <c r="C27950" s="1" t="s">
        <v>7329</v>
      </c>
      <c r="D27950" s="22" t="str">
        <f>HYPERLINK("https://rhld.insurance.arkansas.gov/NPILookup?Npi=1760478903","1760478903")</f>
        <v>1760478903</v>
      </c>
      <c r="E27950" s="1" t="s">
        <v>2068</v>
      </c>
      <c r="F27950" s="2"/>
      <c r="G27950" s="2"/>
      <c r="H27950" s="2"/>
    </row>
    <row r="27951" spans="1:8" x14ac:dyDescent="0.25">
      <c r="A27951" s="1"/>
      <c r="B27951" s="1" t="s">
        <v>7328</v>
      </c>
      <c r="C27951" s="1" t="s">
        <v>7329</v>
      </c>
      <c r="D27951" s="22" t="str">
        <f>HYPERLINK("https://rhld.insurance.arkansas.gov/NPILookup?Npi=1760506604","1760506604")</f>
        <v>1760506604</v>
      </c>
      <c r="E27951" s="1" t="s">
        <v>28515</v>
      </c>
      <c r="F27951" s="2"/>
      <c r="G27951" s="2"/>
      <c r="H27951" s="2"/>
    </row>
    <row r="27952" spans="1:8" x14ac:dyDescent="0.25">
      <c r="A27952" s="1"/>
      <c r="B27952" s="1" t="s">
        <v>7328</v>
      </c>
      <c r="C27952" s="1" t="s">
        <v>7329</v>
      </c>
      <c r="D27952" s="22" t="str">
        <f>HYPERLINK("https://rhld.insurance.arkansas.gov/NPILookup?Npi=1760509657","1760509657")</f>
        <v>1760509657</v>
      </c>
      <c r="E27952" s="1" t="s">
        <v>17860</v>
      </c>
      <c r="F27952" s="2"/>
      <c r="G27952" s="2"/>
      <c r="H27952" s="2"/>
    </row>
    <row r="27953" spans="1:8" x14ac:dyDescent="0.25">
      <c r="A27953" s="1"/>
      <c r="B27953" s="1" t="s">
        <v>7328</v>
      </c>
      <c r="C27953" s="1" t="s">
        <v>7329</v>
      </c>
      <c r="D27953" s="22" t="str">
        <f>HYPERLINK("https://rhld.insurance.arkansas.gov/NPILookup?Npi=1760521199","1760521199")</f>
        <v>1760521199</v>
      </c>
      <c r="E27953" s="1" t="s">
        <v>17861</v>
      </c>
      <c r="F27953" s="2"/>
      <c r="G27953" s="2"/>
      <c r="H27953" s="2"/>
    </row>
    <row r="27954" spans="1:8" x14ac:dyDescent="0.25">
      <c r="A27954" s="1"/>
      <c r="B27954" s="1" t="s">
        <v>7328</v>
      </c>
      <c r="C27954" s="1" t="s">
        <v>7329</v>
      </c>
      <c r="D27954" s="22" t="str">
        <f>HYPERLINK("https://rhld.insurance.arkansas.gov/NPILookup?Npi=1760521777","1760521777")</f>
        <v>1760521777</v>
      </c>
      <c r="E27954" s="1" t="s">
        <v>3011</v>
      </c>
      <c r="F27954" s="2"/>
      <c r="G27954" s="2"/>
      <c r="H27954" s="2"/>
    </row>
    <row r="27955" spans="1:8" x14ac:dyDescent="0.25">
      <c r="A27955" s="1"/>
      <c r="B27955" s="1" t="s">
        <v>7328</v>
      </c>
      <c r="C27955" s="1" t="s">
        <v>7329</v>
      </c>
      <c r="D27955" s="22" t="str">
        <f>HYPERLINK("https://rhld.insurance.arkansas.gov/NPILookup?Npi=1760528392","1760528392")</f>
        <v>1760528392</v>
      </c>
      <c r="E27955" s="1" t="s">
        <v>28516</v>
      </c>
      <c r="F27955" s="2"/>
      <c r="G27955" s="2"/>
      <c r="H27955" s="2"/>
    </row>
    <row r="27956" spans="1:8" x14ac:dyDescent="0.25">
      <c r="A27956" s="1"/>
      <c r="B27956" s="1" t="s">
        <v>7328</v>
      </c>
      <c r="C27956" s="1" t="s">
        <v>7329</v>
      </c>
      <c r="D27956" s="22" t="str">
        <f>HYPERLINK("https://rhld.insurance.arkansas.gov/NPILookup?Npi=1760534580","1760534580")</f>
        <v>1760534580</v>
      </c>
      <c r="E27956" s="1" t="s">
        <v>28517</v>
      </c>
      <c r="F27956" s="2"/>
      <c r="G27956" s="2"/>
      <c r="H27956" s="2"/>
    </row>
    <row r="27957" spans="1:8" x14ac:dyDescent="0.25">
      <c r="A27957" s="1"/>
      <c r="B27957" s="1" t="s">
        <v>7328</v>
      </c>
      <c r="C27957" s="1" t="s">
        <v>7329</v>
      </c>
      <c r="D27957" s="22" t="str">
        <f>HYPERLINK("https://rhld.insurance.arkansas.gov/NPILookup?Npi=1760562078","1760562078")</f>
        <v>1760562078</v>
      </c>
      <c r="E27957" s="1" t="s">
        <v>28518</v>
      </c>
      <c r="F27957" s="2"/>
      <c r="G27957" s="2"/>
      <c r="H27957" s="2"/>
    </row>
    <row r="27958" spans="1:8" x14ac:dyDescent="0.25">
      <c r="A27958" s="1"/>
      <c r="B27958" s="1" t="s">
        <v>7328</v>
      </c>
      <c r="C27958" s="1" t="s">
        <v>7329</v>
      </c>
      <c r="D27958" s="22" t="str">
        <f>HYPERLINK("https://rhld.insurance.arkansas.gov/NPILookup?Npi=1760572259","1760572259")</f>
        <v>1760572259</v>
      </c>
      <c r="E27958" s="1" t="s">
        <v>717</v>
      </c>
      <c r="F27958" s="2"/>
      <c r="G27958" s="2"/>
      <c r="H27958" s="2"/>
    </row>
    <row r="27959" spans="1:8" x14ac:dyDescent="0.25">
      <c r="A27959" s="1"/>
      <c r="B27959" s="1" t="s">
        <v>7328</v>
      </c>
      <c r="C27959" s="1" t="s">
        <v>7329</v>
      </c>
      <c r="D27959" s="22" t="str">
        <f>HYPERLINK("https://rhld.insurance.arkansas.gov/NPILookup?Npi=1760591523","1760591523")</f>
        <v>1760591523</v>
      </c>
      <c r="E27959" s="1" t="s">
        <v>28519</v>
      </c>
      <c r="F27959" s="2"/>
      <c r="G27959" s="2"/>
      <c r="H27959" s="2"/>
    </row>
    <row r="27960" spans="1:8" x14ac:dyDescent="0.25">
      <c r="A27960" s="1"/>
      <c r="B27960" s="1" t="s">
        <v>7328</v>
      </c>
      <c r="C27960" s="1" t="s">
        <v>7329</v>
      </c>
      <c r="D27960" s="22" t="str">
        <f>HYPERLINK("https://rhld.insurance.arkansas.gov/NPILookup?Npi=1760595672","1760595672")</f>
        <v>1760595672</v>
      </c>
      <c r="E27960" s="1" t="s">
        <v>17862</v>
      </c>
      <c r="F27960" s="2"/>
      <c r="G27960" s="2"/>
      <c r="H27960" s="2"/>
    </row>
    <row r="27961" spans="1:8" x14ac:dyDescent="0.25">
      <c r="A27961" s="1"/>
      <c r="B27961" s="1" t="s">
        <v>7328</v>
      </c>
      <c r="C27961" s="1" t="s">
        <v>7329</v>
      </c>
      <c r="D27961" s="22" t="str">
        <f>HYPERLINK("https://rhld.insurance.arkansas.gov/NPILookup?Npi=1760603575","1760603575")</f>
        <v>1760603575</v>
      </c>
      <c r="E27961" s="1" t="s">
        <v>13561</v>
      </c>
      <c r="F27961" s="2"/>
      <c r="G27961" s="2"/>
      <c r="H27961" s="2"/>
    </row>
    <row r="27962" spans="1:8" x14ac:dyDescent="0.25">
      <c r="A27962" s="1"/>
      <c r="B27962" s="1" t="s">
        <v>7328</v>
      </c>
      <c r="C27962" s="1" t="s">
        <v>7329</v>
      </c>
      <c r="D27962" s="22" t="str">
        <f>HYPERLINK("https://rhld.insurance.arkansas.gov/NPILookup?Npi=1760625628","1760625628")</f>
        <v>1760625628</v>
      </c>
      <c r="E27962" s="1" t="s">
        <v>28520</v>
      </c>
      <c r="F27962" s="2"/>
      <c r="G27962" s="2"/>
      <c r="H27962" s="2"/>
    </row>
    <row r="27963" spans="1:8" x14ac:dyDescent="0.25">
      <c r="A27963" s="1"/>
      <c r="B27963" s="1" t="s">
        <v>7328</v>
      </c>
      <c r="C27963" s="1" t="s">
        <v>7329</v>
      </c>
      <c r="D27963" s="22" t="str">
        <f>HYPERLINK("https://rhld.insurance.arkansas.gov/NPILookup?Npi=1760639579","1760639579")</f>
        <v>1760639579</v>
      </c>
      <c r="E27963" s="1" t="s">
        <v>17863</v>
      </c>
      <c r="F27963" s="2"/>
      <c r="G27963" s="2"/>
      <c r="H27963" s="2"/>
    </row>
    <row r="27964" spans="1:8" x14ac:dyDescent="0.25">
      <c r="A27964" s="1"/>
      <c r="B27964" s="1" t="s">
        <v>7328</v>
      </c>
      <c r="C27964" s="1" t="s">
        <v>7329</v>
      </c>
      <c r="D27964" s="22" t="str">
        <f>HYPERLINK("https://rhld.insurance.arkansas.gov/NPILookup?Npi=1760658744","1760658744")</f>
        <v>1760658744</v>
      </c>
      <c r="E27964" s="1" t="s">
        <v>28521</v>
      </c>
      <c r="F27964" s="2"/>
      <c r="G27964" s="2"/>
      <c r="H27964" s="2"/>
    </row>
    <row r="27965" spans="1:8" x14ac:dyDescent="0.25">
      <c r="A27965" s="1"/>
      <c r="B27965" s="1" t="s">
        <v>7328</v>
      </c>
      <c r="C27965" s="1" t="s">
        <v>7329</v>
      </c>
      <c r="D27965" s="22" t="str">
        <f>HYPERLINK("https://rhld.insurance.arkansas.gov/NPILookup?Npi=1760663926","1760663926")</f>
        <v>1760663926</v>
      </c>
      <c r="E27965" s="1" t="s">
        <v>28522</v>
      </c>
      <c r="F27965" s="2"/>
      <c r="G27965" s="2"/>
      <c r="H27965" s="2"/>
    </row>
    <row r="27966" spans="1:8" x14ac:dyDescent="0.25">
      <c r="A27966" s="1"/>
      <c r="B27966" s="1" t="s">
        <v>7328</v>
      </c>
      <c r="C27966" s="1" t="s">
        <v>7329</v>
      </c>
      <c r="D27966" s="22" t="str">
        <f>HYPERLINK("https://rhld.insurance.arkansas.gov/NPILookup?Npi=1760664445","1760664445")</f>
        <v>1760664445</v>
      </c>
      <c r="E27966" s="1" t="s">
        <v>13562</v>
      </c>
      <c r="F27966" s="2"/>
      <c r="G27966" s="2"/>
      <c r="H27966" s="2"/>
    </row>
    <row r="27967" spans="1:8" x14ac:dyDescent="0.25">
      <c r="A27967" s="1"/>
      <c r="B27967" s="1" t="s">
        <v>7328</v>
      </c>
      <c r="C27967" s="1" t="s">
        <v>7329</v>
      </c>
      <c r="D27967" s="22" t="str">
        <f>HYPERLINK("https://rhld.insurance.arkansas.gov/NPILookup?Npi=1760670392","1760670392")</f>
        <v>1760670392</v>
      </c>
      <c r="E27967" s="1" t="s">
        <v>28523</v>
      </c>
      <c r="F27967" s="2"/>
      <c r="G27967" s="2"/>
      <c r="H27967" s="2"/>
    </row>
    <row r="27968" spans="1:8" x14ac:dyDescent="0.25">
      <c r="A27968" s="1"/>
      <c r="B27968" s="1" t="s">
        <v>7328</v>
      </c>
      <c r="C27968" s="1" t="s">
        <v>7329</v>
      </c>
      <c r="D27968" s="22" t="str">
        <f>HYPERLINK("https://rhld.insurance.arkansas.gov/NPILookup?Npi=1760673875","1760673875")</f>
        <v>1760673875</v>
      </c>
      <c r="E27968" s="1" t="s">
        <v>13563</v>
      </c>
      <c r="F27968" s="2"/>
      <c r="G27968" s="2"/>
      <c r="H27968" s="2"/>
    </row>
    <row r="27969" spans="1:8" x14ac:dyDescent="0.25">
      <c r="A27969" s="1"/>
      <c r="B27969" s="1" t="s">
        <v>7328</v>
      </c>
      <c r="C27969" s="1" t="s">
        <v>7329</v>
      </c>
      <c r="D27969" s="22" t="str">
        <f>HYPERLINK("https://rhld.insurance.arkansas.gov/NPILookup?Npi=1760679500","1760679500")</f>
        <v>1760679500</v>
      </c>
      <c r="E27969" s="1" t="s">
        <v>28524</v>
      </c>
      <c r="F27969" s="2"/>
      <c r="G27969" s="2"/>
      <c r="H27969" s="2"/>
    </row>
    <row r="27970" spans="1:8" x14ac:dyDescent="0.25">
      <c r="A27970" s="1"/>
      <c r="B27970" s="1" t="s">
        <v>7328</v>
      </c>
      <c r="C27970" s="1" t="s">
        <v>7329</v>
      </c>
      <c r="D27970" s="22" t="str">
        <f>HYPERLINK("https://rhld.insurance.arkansas.gov/NPILookup?Npi=1760687537","1760687537")</f>
        <v>1760687537</v>
      </c>
      <c r="E27970" s="1" t="s">
        <v>13564</v>
      </c>
      <c r="F27970" s="2"/>
      <c r="G27970" s="2"/>
      <c r="H27970" s="2"/>
    </row>
    <row r="27971" spans="1:8" x14ac:dyDescent="0.25">
      <c r="A27971" s="1"/>
      <c r="B27971" s="1" t="s">
        <v>7328</v>
      </c>
      <c r="C27971" s="1" t="s">
        <v>7329</v>
      </c>
      <c r="D27971" s="22" t="str">
        <f>HYPERLINK("https://rhld.insurance.arkansas.gov/NPILookup?Npi=1760699938","1760699938")</f>
        <v>1760699938</v>
      </c>
      <c r="E27971" s="1" t="s">
        <v>28525</v>
      </c>
      <c r="F27971" s="2"/>
      <c r="G27971" s="2"/>
      <c r="H27971" s="2"/>
    </row>
    <row r="27972" spans="1:8" x14ac:dyDescent="0.25">
      <c r="A27972" s="1"/>
      <c r="B27972" s="1" t="s">
        <v>7328</v>
      </c>
      <c r="C27972" s="1" t="s">
        <v>7329</v>
      </c>
      <c r="D27972" s="22" t="str">
        <f>HYPERLINK("https://rhld.insurance.arkansas.gov/NPILookup?Npi=1760707251","1760707251")</f>
        <v>1760707251</v>
      </c>
      <c r="E27972" s="1" t="s">
        <v>13565</v>
      </c>
      <c r="F27972" s="2"/>
      <c r="G27972" s="2"/>
      <c r="H27972" s="2"/>
    </row>
    <row r="27973" spans="1:8" x14ac:dyDescent="0.25">
      <c r="A27973" s="1"/>
      <c r="B27973" s="1" t="s">
        <v>7328</v>
      </c>
      <c r="C27973" s="1" t="s">
        <v>7329</v>
      </c>
      <c r="D27973" s="22" t="str">
        <f>HYPERLINK("https://rhld.insurance.arkansas.gov/NPILookup?Npi=1760720155","1760720155")</f>
        <v>1760720155</v>
      </c>
      <c r="E27973" s="1" t="s">
        <v>28526</v>
      </c>
      <c r="F27973" s="2"/>
      <c r="G27973" s="2"/>
      <c r="H27973" s="2"/>
    </row>
    <row r="27974" spans="1:8" x14ac:dyDescent="0.25">
      <c r="A27974" s="1"/>
      <c r="B27974" s="1" t="s">
        <v>7328</v>
      </c>
      <c r="C27974" s="1" t="s">
        <v>7329</v>
      </c>
      <c r="D27974" s="22" t="str">
        <f>HYPERLINK("https://rhld.insurance.arkansas.gov/NPILookup?Npi=1760731608","1760731608")</f>
        <v>1760731608</v>
      </c>
      <c r="E27974" s="1" t="s">
        <v>28527</v>
      </c>
      <c r="F27974" s="2"/>
      <c r="G27974" s="2"/>
      <c r="H27974" s="2"/>
    </row>
    <row r="27975" spans="1:8" x14ac:dyDescent="0.25">
      <c r="A27975" s="1"/>
      <c r="B27975" s="1" t="s">
        <v>7328</v>
      </c>
      <c r="C27975" s="1" t="s">
        <v>7329</v>
      </c>
      <c r="D27975" s="22" t="str">
        <f>HYPERLINK("https://rhld.insurance.arkansas.gov/NPILookup?Npi=1760736904","1760736904")</f>
        <v>1760736904</v>
      </c>
      <c r="E27975" s="1" t="s">
        <v>28528</v>
      </c>
      <c r="F27975" s="2"/>
      <c r="G27975" s="2"/>
      <c r="H27975" s="2"/>
    </row>
    <row r="27976" spans="1:8" x14ac:dyDescent="0.25">
      <c r="A27976" s="1"/>
      <c r="B27976" s="1" t="s">
        <v>7328</v>
      </c>
      <c r="C27976" s="1" t="s">
        <v>7329</v>
      </c>
      <c r="D27976" s="22" t="str">
        <f>HYPERLINK("https://rhld.insurance.arkansas.gov/NPILookup?Npi=1760742084","1760742084")</f>
        <v>1760742084</v>
      </c>
      <c r="E27976" s="1" t="s">
        <v>8075</v>
      </c>
      <c r="F27976" s="2"/>
      <c r="G27976" s="2"/>
      <c r="H27976" s="2"/>
    </row>
    <row r="27977" spans="1:8" x14ac:dyDescent="0.25">
      <c r="A27977" s="1"/>
      <c r="B27977" s="1" t="s">
        <v>7328</v>
      </c>
      <c r="C27977" s="1" t="s">
        <v>7329</v>
      </c>
      <c r="D27977" s="22" t="str">
        <f>HYPERLINK("https://rhld.insurance.arkansas.gov/NPILookup?Npi=1760744080","1760744080")</f>
        <v>1760744080</v>
      </c>
      <c r="E27977" s="1" t="s">
        <v>28529</v>
      </c>
      <c r="F27977" s="2"/>
      <c r="G27977" s="2"/>
      <c r="H27977" s="2"/>
    </row>
    <row r="27978" spans="1:8" x14ac:dyDescent="0.25">
      <c r="A27978" s="1"/>
      <c r="B27978" s="1" t="s">
        <v>7328</v>
      </c>
      <c r="C27978" s="1" t="s">
        <v>7329</v>
      </c>
      <c r="D27978" s="22" t="str">
        <f>HYPERLINK("https://rhld.insurance.arkansas.gov/NPILookup?Npi=1760746457","1760746457")</f>
        <v>1760746457</v>
      </c>
      <c r="E27978" s="1" t="s">
        <v>28530</v>
      </c>
      <c r="F27978" s="2"/>
      <c r="G27978" s="2"/>
      <c r="H27978" s="2"/>
    </row>
    <row r="27979" spans="1:8" x14ac:dyDescent="0.25">
      <c r="A27979" s="1"/>
      <c r="B27979" s="1" t="s">
        <v>7328</v>
      </c>
      <c r="C27979" s="1" t="s">
        <v>7329</v>
      </c>
      <c r="D27979" s="22" t="str">
        <f>HYPERLINK("https://rhld.insurance.arkansas.gov/NPILookup?Npi=1760755144","1760755144")</f>
        <v>1760755144</v>
      </c>
      <c r="E27979" s="1" t="s">
        <v>3012</v>
      </c>
      <c r="F27979" s="2"/>
      <c r="G27979" s="2"/>
      <c r="H27979" s="2"/>
    </row>
    <row r="27980" spans="1:8" x14ac:dyDescent="0.25">
      <c r="A27980" s="1"/>
      <c r="B27980" s="1" t="s">
        <v>7328</v>
      </c>
      <c r="C27980" s="1" t="s">
        <v>7329</v>
      </c>
      <c r="D27980" s="22" t="str">
        <f>HYPERLINK("https://rhld.insurance.arkansas.gov/NPILookup?Npi=1760767016","1760767016")</f>
        <v>1760767016</v>
      </c>
      <c r="E27980" s="1" t="s">
        <v>3013</v>
      </c>
      <c r="F27980" s="2"/>
      <c r="G27980" s="2"/>
      <c r="H27980" s="2"/>
    </row>
    <row r="27981" spans="1:8" x14ac:dyDescent="0.25">
      <c r="A27981" s="1"/>
      <c r="B27981" s="1" t="s">
        <v>7328</v>
      </c>
      <c r="C27981" s="1" t="s">
        <v>7329</v>
      </c>
      <c r="D27981" s="22" t="str">
        <f>HYPERLINK("https://rhld.insurance.arkansas.gov/NPILookup?Npi=1760780449","1760780449")</f>
        <v>1760780449</v>
      </c>
      <c r="E27981" s="1" t="s">
        <v>28531</v>
      </c>
      <c r="F27981" s="2"/>
      <c r="G27981" s="2"/>
      <c r="H27981" s="2"/>
    </row>
    <row r="27982" spans="1:8" x14ac:dyDescent="0.25">
      <c r="A27982" s="1"/>
      <c r="B27982" s="1" t="s">
        <v>7328</v>
      </c>
      <c r="C27982" s="1" t="s">
        <v>7329</v>
      </c>
      <c r="D27982" s="22" t="str">
        <f>HYPERLINK("https://rhld.insurance.arkansas.gov/NPILookup?Npi=1760784771","1760784771")</f>
        <v>1760784771</v>
      </c>
      <c r="E27982" s="1" t="s">
        <v>13566</v>
      </c>
      <c r="F27982" s="2"/>
      <c r="G27982" s="2"/>
      <c r="H27982" s="2"/>
    </row>
    <row r="27983" spans="1:8" x14ac:dyDescent="0.25">
      <c r="A27983" s="1"/>
      <c r="B27983" s="1" t="s">
        <v>7328</v>
      </c>
      <c r="C27983" s="1" t="s">
        <v>7329</v>
      </c>
      <c r="D27983" s="22" t="str">
        <f>HYPERLINK("https://rhld.insurance.arkansas.gov/NPILookup?Npi=1760790034","1760790034")</f>
        <v>1760790034</v>
      </c>
      <c r="E27983" s="1" t="s">
        <v>2069</v>
      </c>
      <c r="F27983" s="2"/>
      <c r="G27983" s="2"/>
      <c r="H27983" s="2"/>
    </row>
    <row r="27984" spans="1:8" x14ac:dyDescent="0.25">
      <c r="A27984" s="1"/>
      <c r="B27984" s="1" t="s">
        <v>7328</v>
      </c>
      <c r="C27984" s="1" t="s">
        <v>7329</v>
      </c>
      <c r="D27984" s="22" t="str">
        <f>HYPERLINK("https://rhld.insurance.arkansas.gov/NPILookup?Npi=1760822084","1760822084")</f>
        <v>1760822084</v>
      </c>
      <c r="E27984" s="1" t="s">
        <v>13567</v>
      </c>
      <c r="F27984" s="2"/>
      <c r="G27984" s="2"/>
      <c r="H27984" s="2"/>
    </row>
    <row r="27985" spans="1:8" x14ac:dyDescent="0.25">
      <c r="A27985" s="1"/>
      <c r="B27985" s="1" t="s">
        <v>7328</v>
      </c>
      <c r="C27985" s="1" t="s">
        <v>7329</v>
      </c>
      <c r="D27985" s="22" t="str">
        <f>HYPERLINK("https://rhld.insurance.arkansas.gov/NPILookup?Npi=1760827745","1760827745")</f>
        <v>1760827745</v>
      </c>
      <c r="E27985" s="1" t="s">
        <v>28532</v>
      </c>
      <c r="F27985" s="2"/>
      <c r="G27985" s="2"/>
      <c r="H27985" s="2"/>
    </row>
    <row r="27986" spans="1:8" x14ac:dyDescent="0.25">
      <c r="A27986" s="1"/>
      <c r="B27986" s="1" t="s">
        <v>7328</v>
      </c>
      <c r="C27986" s="1" t="s">
        <v>7329</v>
      </c>
      <c r="D27986" s="22" t="str">
        <f>HYPERLINK("https://rhld.insurance.arkansas.gov/NPILookup?Npi=1760834857","1760834857")</f>
        <v>1760834857</v>
      </c>
      <c r="E27986" s="1" t="s">
        <v>24882</v>
      </c>
      <c r="F27986" s="2"/>
      <c r="G27986" s="2"/>
      <c r="H27986" s="2"/>
    </row>
    <row r="27987" spans="1:8" x14ac:dyDescent="0.25">
      <c r="A27987" s="1"/>
      <c r="B27987" s="1" t="s">
        <v>7328</v>
      </c>
      <c r="C27987" s="1" t="s">
        <v>7329</v>
      </c>
      <c r="D27987" s="22" t="str">
        <f>HYPERLINK("https://rhld.insurance.arkansas.gov/NPILookup?Npi=1760838833","1760838833")</f>
        <v>1760838833</v>
      </c>
      <c r="E27987" s="1" t="s">
        <v>3014</v>
      </c>
      <c r="F27987" s="2"/>
      <c r="G27987" s="2"/>
      <c r="H27987" s="2"/>
    </row>
    <row r="27988" spans="1:8" x14ac:dyDescent="0.25">
      <c r="A27988" s="1"/>
      <c r="B27988" s="1" t="s">
        <v>7328</v>
      </c>
      <c r="C27988" s="1" t="s">
        <v>7329</v>
      </c>
      <c r="D27988" s="22" t="str">
        <f>HYPERLINK("https://rhld.insurance.arkansas.gov/NPILookup?Npi=1760839120","1760839120")</f>
        <v>1760839120</v>
      </c>
      <c r="E27988" s="1" t="s">
        <v>17865</v>
      </c>
      <c r="F27988" s="2"/>
      <c r="G27988" s="2"/>
      <c r="H27988" s="2"/>
    </row>
    <row r="27989" spans="1:8" x14ac:dyDescent="0.25">
      <c r="A27989" s="1"/>
      <c r="B27989" s="1" t="s">
        <v>7328</v>
      </c>
      <c r="C27989" s="1" t="s">
        <v>7329</v>
      </c>
      <c r="D27989" s="22" t="str">
        <f>HYPERLINK("https://rhld.insurance.arkansas.gov/NPILookup?Npi=1760842868","1760842868")</f>
        <v>1760842868</v>
      </c>
      <c r="E27989" s="1" t="s">
        <v>32352</v>
      </c>
      <c r="F27989" s="2"/>
      <c r="G27989" s="2"/>
      <c r="H27989" s="2"/>
    </row>
    <row r="27990" spans="1:8" x14ac:dyDescent="0.25">
      <c r="A27990" s="1"/>
      <c r="B27990" s="1" t="s">
        <v>7328</v>
      </c>
      <c r="C27990" s="1" t="s">
        <v>7329</v>
      </c>
      <c r="D27990" s="22" t="str">
        <f>HYPERLINK("https://rhld.insurance.arkansas.gov/NPILookup?Npi=1760848253","1760848253")</f>
        <v>1760848253</v>
      </c>
      <c r="E27990" s="1" t="s">
        <v>13568</v>
      </c>
      <c r="F27990" s="2"/>
      <c r="G27990" s="2"/>
      <c r="H27990" s="2"/>
    </row>
    <row r="27991" spans="1:8" x14ac:dyDescent="0.25">
      <c r="A27991" s="1"/>
      <c r="B27991" s="1" t="s">
        <v>7328</v>
      </c>
      <c r="C27991" s="1" t="s">
        <v>7329</v>
      </c>
      <c r="D27991" s="22" t="str">
        <f>HYPERLINK("https://rhld.insurance.arkansas.gov/NPILookup?Npi=1760855639","1760855639")</f>
        <v>1760855639</v>
      </c>
      <c r="E27991" s="1" t="s">
        <v>28533</v>
      </c>
      <c r="F27991" s="2"/>
      <c r="G27991" s="2"/>
      <c r="H27991" s="2"/>
    </row>
    <row r="27992" spans="1:8" x14ac:dyDescent="0.25">
      <c r="A27992" s="1"/>
      <c r="B27992" s="1" t="s">
        <v>7328</v>
      </c>
      <c r="C27992" s="1" t="s">
        <v>7329</v>
      </c>
      <c r="D27992" s="22" t="str">
        <f>HYPERLINK("https://rhld.insurance.arkansas.gov/NPILookup?Npi=1760868889","1760868889")</f>
        <v>1760868889</v>
      </c>
      <c r="E27992" s="1" t="s">
        <v>13569</v>
      </c>
      <c r="F27992" s="2"/>
      <c r="G27992" s="2"/>
      <c r="H27992" s="2"/>
    </row>
    <row r="27993" spans="1:8" x14ac:dyDescent="0.25">
      <c r="A27993" s="1"/>
      <c r="B27993" s="1" t="s">
        <v>7328</v>
      </c>
      <c r="C27993" s="1" t="s">
        <v>7329</v>
      </c>
      <c r="D27993" s="22" t="str">
        <f>HYPERLINK("https://rhld.insurance.arkansas.gov/NPILookup?Npi=1760878508","1760878508")</f>
        <v>1760878508</v>
      </c>
      <c r="E27993" s="1" t="s">
        <v>28534</v>
      </c>
      <c r="F27993" s="2"/>
      <c r="G27993" s="2"/>
      <c r="H27993" s="2"/>
    </row>
    <row r="27994" spans="1:8" x14ac:dyDescent="0.25">
      <c r="A27994" s="1"/>
      <c r="B27994" s="1" t="s">
        <v>7328</v>
      </c>
      <c r="C27994" s="1" t="s">
        <v>7329</v>
      </c>
      <c r="D27994" s="22" t="str">
        <f>HYPERLINK("https://rhld.insurance.arkansas.gov/NPILookup?Npi=1760881049","1760881049")</f>
        <v>1760881049</v>
      </c>
      <c r="E27994" s="1" t="s">
        <v>3015</v>
      </c>
      <c r="F27994" s="2"/>
      <c r="G27994" s="2"/>
      <c r="H27994" s="2"/>
    </row>
    <row r="27995" spans="1:8" x14ac:dyDescent="0.25">
      <c r="A27995" s="1"/>
      <c r="B27995" s="1" t="s">
        <v>7328</v>
      </c>
      <c r="C27995" s="1" t="s">
        <v>7329</v>
      </c>
      <c r="D27995" s="22" t="str">
        <f>HYPERLINK("https://rhld.insurance.arkansas.gov/NPILookup?Npi=1760892756","1760892756")</f>
        <v>1760892756</v>
      </c>
      <c r="E27995" s="1" t="s">
        <v>28535</v>
      </c>
      <c r="F27995" s="2"/>
      <c r="G27995" s="2"/>
      <c r="H27995" s="2"/>
    </row>
    <row r="27996" spans="1:8" x14ac:dyDescent="0.25">
      <c r="A27996" s="1"/>
      <c r="B27996" s="1" t="s">
        <v>7328</v>
      </c>
      <c r="C27996" s="1" t="s">
        <v>7329</v>
      </c>
      <c r="D27996" s="22" t="str">
        <f>HYPERLINK("https://rhld.insurance.arkansas.gov/NPILookup?Npi=1760894976","1760894976")</f>
        <v>1760894976</v>
      </c>
      <c r="E27996" s="1" t="s">
        <v>2070</v>
      </c>
      <c r="F27996" s="2"/>
      <c r="G27996" s="2"/>
      <c r="H27996" s="2"/>
    </row>
    <row r="27997" spans="1:8" x14ac:dyDescent="0.25">
      <c r="A27997" s="1"/>
      <c r="B27997" s="1" t="s">
        <v>7328</v>
      </c>
      <c r="C27997" s="1" t="s">
        <v>7329</v>
      </c>
      <c r="D27997" s="22" t="str">
        <f>HYPERLINK("https://rhld.insurance.arkansas.gov/NPILookup?Npi=1760897144","1760897144")</f>
        <v>1760897144</v>
      </c>
      <c r="E27997" s="1" t="s">
        <v>28536</v>
      </c>
      <c r="F27997" s="2"/>
      <c r="G27997" s="2"/>
      <c r="H27997" s="2"/>
    </row>
    <row r="27998" spans="1:8" x14ac:dyDescent="0.25">
      <c r="A27998" s="1"/>
      <c r="B27998" s="1" t="s">
        <v>7328</v>
      </c>
      <c r="C27998" s="1" t="s">
        <v>7329</v>
      </c>
      <c r="D27998" s="22" t="str">
        <f>HYPERLINK("https://rhld.insurance.arkansas.gov/NPILookup?Npi=1760908982","1760908982")</f>
        <v>1760908982</v>
      </c>
      <c r="E27998" s="1" t="s">
        <v>3016</v>
      </c>
      <c r="F27998" s="2"/>
      <c r="G27998" s="2"/>
      <c r="H27998" s="2"/>
    </row>
    <row r="27999" spans="1:8" x14ac:dyDescent="0.25">
      <c r="A27999" s="1"/>
      <c r="B27999" s="1" t="s">
        <v>7328</v>
      </c>
      <c r="C27999" s="1" t="s">
        <v>7329</v>
      </c>
      <c r="D27999" s="22" t="str">
        <f>HYPERLINK("https://rhld.insurance.arkansas.gov/NPILookup?Npi=1760915813","1760915813")</f>
        <v>1760915813</v>
      </c>
      <c r="E27999" s="1" t="s">
        <v>28537</v>
      </c>
      <c r="F27999" s="2"/>
      <c r="G27999" s="2"/>
      <c r="H27999" s="2"/>
    </row>
    <row r="28000" spans="1:8" x14ac:dyDescent="0.25">
      <c r="A28000" s="1"/>
      <c r="B28000" s="1" t="s">
        <v>7328</v>
      </c>
      <c r="C28000" s="1" t="s">
        <v>7329</v>
      </c>
      <c r="D28000" s="22" t="str">
        <f>HYPERLINK("https://rhld.insurance.arkansas.gov/NPILookup?Npi=1760916365","1760916365")</f>
        <v>1760916365</v>
      </c>
      <c r="E28000" s="1" t="s">
        <v>1306</v>
      </c>
      <c r="F28000" s="2"/>
      <c r="G28000" s="2"/>
      <c r="H28000" s="2"/>
    </row>
    <row r="28001" spans="1:8" x14ac:dyDescent="0.25">
      <c r="A28001" s="1"/>
      <c r="B28001" s="1" t="s">
        <v>7328</v>
      </c>
      <c r="C28001" s="1" t="s">
        <v>7329</v>
      </c>
      <c r="D28001" s="22" t="str">
        <f>HYPERLINK("https://rhld.insurance.arkansas.gov/NPILookup?Npi=1760919872","1760919872")</f>
        <v>1760919872</v>
      </c>
      <c r="E28001" s="1" t="s">
        <v>8076</v>
      </c>
      <c r="F28001" s="2"/>
      <c r="G28001" s="2"/>
      <c r="H28001" s="2"/>
    </row>
    <row r="28002" spans="1:8" x14ac:dyDescent="0.25">
      <c r="A28002" s="1"/>
      <c r="B28002" s="1" t="s">
        <v>7328</v>
      </c>
      <c r="C28002" s="1" t="s">
        <v>7329</v>
      </c>
      <c r="D28002" s="22" t="str">
        <f>HYPERLINK("https://rhld.insurance.arkansas.gov/NPILookup?Npi=1760922058","1760922058")</f>
        <v>1760922058</v>
      </c>
      <c r="E28002" s="1" t="s">
        <v>28538</v>
      </c>
      <c r="F28002" s="2"/>
      <c r="G28002" s="2"/>
      <c r="H28002" s="2"/>
    </row>
    <row r="28003" spans="1:8" x14ac:dyDescent="0.25">
      <c r="A28003" s="1"/>
      <c r="B28003" s="1" t="s">
        <v>7328</v>
      </c>
      <c r="C28003" s="1" t="s">
        <v>7329</v>
      </c>
      <c r="D28003" s="22" t="str">
        <f>HYPERLINK("https://rhld.insurance.arkansas.gov/NPILookup?Npi=1760924054","1760924054")</f>
        <v>1760924054</v>
      </c>
      <c r="E28003" s="1" t="s">
        <v>887</v>
      </c>
      <c r="F28003" s="2"/>
      <c r="G28003" s="2"/>
      <c r="H28003" s="2"/>
    </row>
    <row r="28004" spans="1:8" x14ac:dyDescent="0.25">
      <c r="A28004" s="1"/>
      <c r="B28004" s="1" t="s">
        <v>7328</v>
      </c>
      <c r="C28004" s="1" t="s">
        <v>7329</v>
      </c>
      <c r="D28004" s="22" t="str">
        <f>HYPERLINK("https://rhld.insurance.arkansas.gov/NPILookup?Npi=1760925598","1760925598")</f>
        <v>1760925598</v>
      </c>
      <c r="E28004" s="1" t="s">
        <v>28539</v>
      </c>
      <c r="F28004" s="2"/>
      <c r="G28004" s="2"/>
      <c r="H28004" s="2"/>
    </row>
    <row r="28005" spans="1:8" x14ac:dyDescent="0.25">
      <c r="A28005" s="1"/>
      <c r="B28005" s="1" t="s">
        <v>7328</v>
      </c>
      <c r="C28005" s="1" t="s">
        <v>7329</v>
      </c>
      <c r="D28005" s="22" t="str">
        <f>HYPERLINK("https://rhld.insurance.arkansas.gov/NPILookup?Npi=1760929939","1760929939")</f>
        <v>1760929939</v>
      </c>
      <c r="E28005" s="1" t="s">
        <v>3158</v>
      </c>
      <c r="F28005" s="2"/>
      <c r="G28005" s="2"/>
      <c r="H28005" s="2"/>
    </row>
    <row r="28006" spans="1:8" x14ac:dyDescent="0.25">
      <c r="A28006" s="1"/>
      <c r="B28006" s="1" t="s">
        <v>7328</v>
      </c>
      <c r="C28006" s="1" t="s">
        <v>7329</v>
      </c>
      <c r="D28006" s="22" t="str">
        <f>HYPERLINK("https://rhld.insurance.arkansas.gov/NPILookup?Npi=1760949713","1760949713")</f>
        <v>1760949713</v>
      </c>
      <c r="E28006" s="1" t="s">
        <v>13570</v>
      </c>
      <c r="F28006" s="2"/>
      <c r="G28006" s="2"/>
      <c r="H28006" s="2"/>
    </row>
    <row r="28007" spans="1:8" x14ac:dyDescent="0.25">
      <c r="A28007" s="1"/>
      <c r="B28007" s="1" t="s">
        <v>7328</v>
      </c>
      <c r="C28007" s="1" t="s">
        <v>7329</v>
      </c>
      <c r="D28007" s="22" t="str">
        <f>HYPERLINK("https://rhld.insurance.arkansas.gov/NPILookup?Npi=1760949887","1760949887")</f>
        <v>1760949887</v>
      </c>
      <c r="E28007" s="1" t="s">
        <v>28540</v>
      </c>
      <c r="F28007" s="2"/>
      <c r="G28007" s="2"/>
      <c r="H28007" s="2"/>
    </row>
    <row r="28008" spans="1:8" x14ac:dyDescent="0.25">
      <c r="A28008" s="1"/>
      <c r="B28008" s="1" t="s">
        <v>7328</v>
      </c>
      <c r="C28008" s="1" t="s">
        <v>7329</v>
      </c>
      <c r="D28008" s="22" t="str">
        <f>HYPERLINK("https://rhld.insurance.arkansas.gov/NPILookup?Npi=1760957351","1760957351")</f>
        <v>1760957351</v>
      </c>
      <c r="E28008" s="1" t="s">
        <v>13571</v>
      </c>
      <c r="F28008" s="2"/>
      <c r="G28008" s="2"/>
      <c r="H28008" s="2"/>
    </row>
    <row r="28009" spans="1:8" x14ac:dyDescent="0.25">
      <c r="A28009" s="1"/>
      <c r="B28009" s="1" t="s">
        <v>7328</v>
      </c>
      <c r="C28009" s="1" t="s">
        <v>7329</v>
      </c>
      <c r="D28009" s="22" t="str">
        <f>HYPERLINK("https://rhld.insurance.arkansas.gov/NPILookup?Npi=1760964829","1760964829")</f>
        <v>1760964829</v>
      </c>
      <c r="E28009" s="1" t="s">
        <v>32353</v>
      </c>
      <c r="F28009" s="2"/>
      <c r="G28009" s="2"/>
      <c r="H28009" s="2"/>
    </row>
    <row r="28010" spans="1:8" x14ac:dyDescent="0.25">
      <c r="A28010" s="1"/>
      <c r="B28010" s="1" t="s">
        <v>7328</v>
      </c>
      <c r="C28010" s="1" t="s">
        <v>7329</v>
      </c>
      <c r="D28010" s="22" t="str">
        <f>HYPERLINK("https://rhld.insurance.arkansas.gov/NPILookup?Npi=1760965008","1760965008")</f>
        <v>1760965008</v>
      </c>
      <c r="E28010" s="1" t="s">
        <v>313</v>
      </c>
      <c r="F28010" s="2"/>
      <c r="G28010" s="2"/>
      <c r="H28010" s="2"/>
    </row>
    <row r="28011" spans="1:8" x14ac:dyDescent="0.25">
      <c r="A28011" s="1"/>
      <c r="B28011" s="1" t="s">
        <v>7328</v>
      </c>
      <c r="C28011" s="1" t="s">
        <v>7329</v>
      </c>
      <c r="D28011" s="22" t="str">
        <f>HYPERLINK("https://rhld.insurance.arkansas.gov/NPILookup?Npi=1760969208","1760969208")</f>
        <v>1760969208</v>
      </c>
      <c r="E28011" s="1" t="s">
        <v>28541</v>
      </c>
      <c r="F28011" s="2"/>
      <c r="G28011" s="2"/>
      <c r="H28011" s="2"/>
    </row>
    <row r="28012" spans="1:8" x14ac:dyDescent="0.25">
      <c r="A28012" s="1"/>
      <c r="B28012" s="1" t="s">
        <v>7328</v>
      </c>
      <c r="C28012" s="1" t="s">
        <v>7329</v>
      </c>
      <c r="D28012" s="22" t="str">
        <f>HYPERLINK("https://rhld.insurance.arkansas.gov/NPILookup?Npi=1760978092","1760978092")</f>
        <v>1760978092</v>
      </c>
      <c r="E28012" s="1" t="s">
        <v>28542</v>
      </c>
      <c r="F28012" s="2"/>
      <c r="G28012" s="2"/>
      <c r="H28012" s="2"/>
    </row>
    <row r="28013" spans="1:8" x14ac:dyDescent="0.25">
      <c r="A28013" s="1"/>
      <c r="B28013" s="1" t="s">
        <v>7328</v>
      </c>
      <c r="C28013" s="1" t="s">
        <v>7329</v>
      </c>
      <c r="D28013" s="22" t="str">
        <f>HYPERLINK("https://rhld.insurance.arkansas.gov/NPILookup?Npi=1760991640","1760991640")</f>
        <v>1760991640</v>
      </c>
      <c r="E28013" s="1" t="s">
        <v>13572</v>
      </c>
      <c r="F28013" s="2"/>
      <c r="G28013" s="2"/>
      <c r="H28013" s="2"/>
    </row>
    <row r="28014" spans="1:8" x14ac:dyDescent="0.25">
      <c r="A28014" s="1"/>
      <c r="B28014" s="1" t="s">
        <v>7328</v>
      </c>
      <c r="C28014" s="1" t="s">
        <v>7329</v>
      </c>
      <c r="D28014" s="22" t="str">
        <f>HYPERLINK("https://rhld.insurance.arkansas.gov/NPILookup?Npi=1760996276","1760996276")</f>
        <v>1760996276</v>
      </c>
      <c r="E28014" s="1" t="s">
        <v>13573</v>
      </c>
      <c r="F28014" s="2"/>
      <c r="G28014" s="2"/>
      <c r="H28014" s="2"/>
    </row>
    <row r="28015" spans="1:8" x14ac:dyDescent="0.25">
      <c r="A28015" s="1"/>
      <c r="B28015" s="1" t="s">
        <v>7328</v>
      </c>
      <c r="C28015" s="1" t="s">
        <v>7329</v>
      </c>
      <c r="D28015" s="22" t="str">
        <f>HYPERLINK("https://rhld.insurance.arkansas.gov/NPILookup?Npi=1770003337","1770003337")</f>
        <v>1770003337</v>
      </c>
      <c r="E28015" s="1" t="s">
        <v>3017</v>
      </c>
      <c r="F28015" s="2"/>
      <c r="G28015" s="2"/>
      <c r="H28015" s="2"/>
    </row>
    <row r="28016" spans="1:8" x14ac:dyDescent="0.25">
      <c r="A28016" s="1"/>
      <c r="B28016" s="1" t="s">
        <v>7328</v>
      </c>
      <c r="C28016" s="1" t="s">
        <v>7329</v>
      </c>
      <c r="D28016" s="22" t="str">
        <f>HYPERLINK("https://rhld.insurance.arkansas.gov/NPILookup?Npi=1770007700","1770007700")</f>
        <v>1770007700</v>
      </c>
      <c r="E28016" s="1" t="s">
        <v>28543</v>
      </c>
      <c r="F28016" s="2"/>
      <c r="G28016" s="2"/>
      <c r="H28016" s="2"/>
    </row>
    <row r="28017" spans="1:8" x14ac:dyDescent="0.25">
      <c r="A28017" s="1"/>
      <c r="B28017" s="1" t="s">
        <v>7328</v>
      </c>
      <c r="C28017" s="1" t="s">
        <v>7329</v>
      </c>
      <c r="D28017" s="22" t="str">
        <f>HYPERLINK("https://rhld.insurance.arkansas.gov/NPILookup?Npi=1770014490","1770014490")</f>
        <v>1770014490</v>
      </c>
      <c r="E28017" s="1" t="s">
        <v>28544</v>
      </c>
      <c r="F28017" s="2"/>
      <c r="G28017" s="2"/>
      <c r="H28017" s="2"/>
    </row>
    <row r="28018" spans="1:8" x14ac:dyDescent="0.25">
      <c r="A28018" s="1"/>
      <c r="B28018" s="1" t="s">
        <v>7328</v>
      </c>
      <c r="C28018" s="1" t="s">
        <v>7329</v>
      </c>
      <c r="D28018" s="22" t="str">
        <f>HYPERLINK("https://rhld.insurance.arkansas.gov/NPILookup?Npi=1770018400","1770018400")</f>
        <v>1770018400</v>
      </c>
      <c r="E28018" s="1" t="s">
        <v>17867</v>
      </c>
      <c r="F28018" s="2"/>
      <c r="G28018" s="2"/>
      <c r="H28018" s="2"/>
    </row>
    <row r="28019" spans="1:8" x14ac:dyDescent="0.25">
      <c r="A28019" s="1"/>
      <c r="B28019" s="1" t="s">
        <v>7328</v>
      </c>
      <c r="C28019" s="1" t="s">
        <v>7329</v>
      </c>
      <c r="D28019" s="22" t="str">
        <f>HYPERLINK("https://rhld.insurance.arkansas.gov/NPILookup?Npi=1770020141","1770020141")</f>
        <v>1770020141</v>
      </c>
      <c r="E28019" s="1" t="s">
        <v>13574</v>
      </c>
      <c r="F28019" s="2"/>
      <c r="G28019" s="2"/>
      <c r="H28019" s="2"/>
    </row>
    <row r="28020" spans="1:8" x14ac:dyDescent="0.25">
      <c r="A28020" s="1"/>
      <c r="B28020" s="1" t="s">
        <v>7328</v>
      </c>
      <c r="C28020" s="1" t="s">
        <v>7329</v>
      </c>
      <c r="D28020" s="22" t="str">
        <f>HYPERLINK("https://rhld.insurance.arkansas.gov/NPILookup?Npi=1770020521","1770020521")</f>
        <v>1770020521</v>
      </c>
      <c r="E28020" s="1" t="s">
        <v>28545</v>
      </c>
      <c r="F28020" s="2"/>
      <c r="G28020" s="2"/>
      <c r="H28020" s="2"/>
    </row>
    <row r="28021" spans="1:8" x14ac:dyDescent="0.25">
      <c r="A28021" s="1"/>
      <c r="B28021" s="1" t="s">
        <v>7328</v>
      </c>
      <c r="C28021" s="1" t="s">
        <v>7329</v>
      </c>
      <c r="D28021" s="22" t="str">
        <f>HYPERLINK("https://rhld.insurance.arkansas.gov/NPILookup?Npi=1770020901","1770020901")</f>
        <v>1770020901</v>
      </c>
      <c r="E28021" s="1" t="s">
        <v>2071</v>
      </c>
      <c r="F28021" s="2"/>
      <c r="G28021" s="2"/>
      <c r="H28021" s="2"/>
    </row>
    <row r="28022" spans="1:8" x14ac:dyDescent="0.25">
      <c r="A28022" s="1"/>
      <c r="B28022" s="1" t="s">
        <v>7328</v>
      </c>
      <c r="C28022" s="1" t="s">
        <v>7329</v>
      </c>
      <c r="D28022" s="22" t="str">
        <f>HYPERLINK("https://rhld.insurance.arkansas.gov/NPILookup?Npi=1770021982","1770021982")</f>
        <v>1770021982</v>
      </c>
      <c r="E28022" s="1" t="s">
        <v>28546</v>
      </c>
      <c r="F28022" s="2"/>
      <c r="G28022" s="2"/>
      <c r="H28022" s="2"/>
    </row>
    <row r="28023" spans="1:8" x14ac:dyDescent="0.25">
      <c r="A28023" s="1"/>
      <c r="B28023" s="1" t="s">
        <v>7328</v>
      </c>
      <c r="C28023" s="1" t="s">
        <v>7329</v>
      </c>
      <c r="D28023" s="22" t="str">
        <f>HYPERLINK("https://rhld.insurance.arkansas.gov/NPILookup?Npi=1770039752","1770039752")</f>
        <v>1770039752</v>
      </c>
      <c r="E28023" s="1" t="s">
        <v>28547</v>
      </c>
      <c r="F28023" s="2"/>
      <c r="G28023" s="2"/>
      <c r="H28023" s="2"/>
    </row>
    <row r="28024" spans="1:8" x14ac:dyDescent="0.25">
      <c r="A28024" s="1"/>
      <c r="B28024" s="1" t="s">
        <v>7328</v>
      </c>
      <c r="C28024" s="1" t="s">
        <v>7329</v>
      </c>
      <c r="D28024" s="22" t="str">
        <f>HYPERLINK("https://rhld.insurance.arkansas.gov/NPILookup?Npi=1770040222","1770040222")</f>
        <v>1770040222</v>
      </c>
      <c r="E28024" s="1" t="s">
        <v>28548</v>
      </c>
      <c r="F28024" s="2"/>
      <c r="G28024" s="2"/>
      <c r="H28024" s="2"/>
    </row>
    <row r="28025" spans="1:8" x14ac:dyDescent="0.25">
      <c r="A28025" s="1"/>
      <c r="B28025" s="1" t="s">
        <v>7328</v>
      </c>
      <c r="C28025" s="1" t="s">
        <v>7329</v>
      </c>
      <c r="D28025" s="22" t="str">
        <f>HYPERLINK("https://rhld.insurance.arkansas.gov/NPILookup?Npi=1770041691","1770041691")</f>
        <v>1770041691</v>
      </c>
      <c r="E28025" s="1" t="s">
        <v>8077</v>
      </c>
      <c r="F28025" s="2"/>
      <c r="G28025" s="2"/>
      <c r="H28025" s="2"/>
    </row>
    <row r="28026" spans="1:8" x14ac:dyDescent="0.25">
      <c r="A28026" s="1"/>
      <c r="B28026" s="1" t="s">
        <v>7328</v>
      </c>
      <c r="C28026" s="1" t="s">
        <v>7329</v>
      </c>
      <c r="D28026" s="22" t="str">
        <f>HYPERLINK("https://rhld.insurance.arkansas.gov/NPILookup?Npi=1770046310","1770046310")</f>
        <v>1770046310</v>
      </c>
      <c r="E28026" s="1" t="s">
        <v>8078</v>
      </c>
      <c r="F28026" s="2"/>
      <c r="G28026" s="2"/>
      <c r="H28026" s="2"/>
    </row>
    <row r="28027" spans="1:8" x14ac:dyDescent="0.25">
      <c r="A28027" s="1"/>
      <c r="B28027" s="1" t="s">
        <v>7328</v>
      </c>
      <c r="C28027" s="1" t="s">
        <v>7329</v>
      </c>
      <c r="D28027" s="22" t="str">
        <f>HYPERLINK("https://rhld.insurance.arkansas.gov/NPILookup?Npi=1770048084","1770048084")</f>
        <v>1770048084</v>
      </c>
      <c r="E28027" s="1" t="s">
        <v>28549</v>
      </c>
      <c r="F28027" s="2"/>
      <c r="G28027" s="2"/>
      <c r="H28027" s="2"/>
    </row>
    <row r="28028" spans="1:8" x14ac:dyDescent="0.25">
      <c r="A28028" s="1"/>
      <c r="B28028" s="1" t="s">
        <v>7328</v>
      </c>
      <c r="C28028" s="1" t="s">
        <v>7329</v>
      </c>
      <c r="D28028" s="22" t="str">
        <f>HYPERLINK("https://rhld.insurance.arkansas.gov/NPILookup?Npi=1770051666","1770051666")</f>
        <v>1770051666</v>
      </c>
      <c r="E28028" s="1" t="s">
        <v>13575</v>
      </c>
      <c r="F28028" s="2"/>
      <c r="G28028" s="2"/>
      <c r="H28028" s="2"/>
    </row>
    <row r="28029" spans="1:8" x14ac:dyDescent="0.25">
      <c r="A28029" s="1"/>
      <c r="B28029" s="1" t="s">
        <v>7328</v>
      </c>
      <c r="C28029" s="1" t="s">
        <v>7329</v>
      </c>
      <c r="D28029" s="22" t="str">
        <f>HYPERLINK("https://rhld.insurance.arkansas.gov/NPILookup?Npi=1770065799","1770065799")</f>
        <v>1770065799</v>
      </c>
      <c r="E28029" s="1" t="s">
        <v>8079</v>
      </c>
      <c r="F28029" s="2"/>
      <c r="G28029" s="2"/>
      <c r="H28029" s="2"/>
    </row>
    <row r="28030" spans="1:8" x14ac:dyDescent="0.25">
      <c r="A28030" s="1"/>
      <c r="B28030" s="1" t="s">
        <v>7328</v>
      </c>
      <c r="C28030" s="1" t="s">
        <v>7329</v>
      </c>
      <c r="D28030" s="22" t="str">
        <f>HYPERLINK("https://rhld.insurance.arkansas.gov/NPILookup?Npi=1770068850","1770068850")</f>
        <v>1770068850</v>
      </c>
      <c r="E28030" s="1" t="s">
        <v>28550</v>
      </c>
      <c r="F28030" s="2"/>
      <c r="G28030" s="2"/>
      <c r="H28030" s="2"/>
    </row>
    <row r="28031" spans="1:8" x14ac:dyDescent="0.25">
      <c r="A28031" s="1"/>
      <c r="B28031" s="1" t="s">
        <v>7328</v>
      </c>
      <c r="C28031" s="1" t="s">
        <v>7329</v>
      </c>
      <c r="D28031" s="22" t="str">
        <f>HYPERLINK("https://rhld.insurance.arkansas.gov/NPILookup?Npi=1770072332","1770072332")</f>
        <v>1770072332</v>
      </c>
      <c r="E28031" s="1" t="s">
        <v>8080</v>
      </c>
      <c r="F28031" s="2"/>
      <c r="G28031" s="2"/>
      <c r="H28031" s="2"/>
    </row>
    <row r="28032" spans="1:8" x14ac:dyDescent="0.25">
      <c r="A28032" s="1"/>
      <c r="B28032" s="1" t="s">
        <v>7328</v>
      </c>
      <c r="C28032" s="1" t="s">
        <v>7329</v>
      </c>
      <c r="D28032" s="22" t="str">
        <f>HYPERLINK("https://rhld.insurance.arkansas.gov/NPILookup?Npi=1770075558","1770075558")</f>
        <v>1770075558</v>
      </c>
      <c r="E28032" s="1" t="s">
        <v>28551</v>
      </c>
      <c r="F28032" s="2"/>
      <c r="G28032" s="2"/>
      <c r="H28032" s="2"/>
    </row>
    <row r="28033" spans="1:8" x14ac:dyDescent="0.25">
      <c r="A28033" s="1"/>
      <c r="B28033" s="1" t="s">
        <v>7328</v>
      </c>
      <c r="C28033" s="1" t="s">
        <v>7329</v>
      </c>
      <c r="D28033" s="22" t="str">
        <f>HYPERLINK("https://rhld.insurance.arkansas.gov/NPILookup?Npi=1770075574","1770075574")</f>
        <v>1770075574</v>
      </c>
      <c r="E28033" s="1" t="s">
        <v>3018</v>
      </c>
      <c r="F28033" s="2"/>
      <c r="G28033" s="2"/>
      <c r="H28033" s="2"/>
    </row>
    <row r="28034" spans="1:8" x14ac:dyDescent="0.25">
      <c r="A28034" s="1"/>
      <c r="B28034" s="1" t="s">
        <v>7328</v>
      </c>
      <c r="C28034" s="1" t="s">
        <v>7329</v>
      </c>
      <c r="D28034" s="22" t="str">
        <f>HYPERLINK("https://rhld.insurance.arkansas.gov/NPILookup?Npi=1770075673","1770075673")</f>
        <v>1770075673</v>
      </c>
      <c r="E28034" s="1" t="s">
        <v>1402</v>
      </c>
      <c r="F28034" s="2"/>
      <c r="G28034" s="2"/>
      <c r="H28034" s="2"/>
    </row>
    <row r="28035" spans="1:8" x14ac:dyDescent="0.25">
      <c r="A28035" s="1"/>
      <c r="B28035" s="1" t="s">
        <v>7328</v>
      </c>
      <c r="C28035" s="1" t="s">
        <v>7329</v>
      </c>
      <c r="D28035" s="22" t="str">
        <f>HYPERLINK("https://rhld.insurance.arkansas.gov/NPILookup?Npi=1770078073","1770078073")</f>
        <v>1770078073</v>
      </c>
      <c r="E28035" s="1" t="s">
        <v>1811</v>
      </c>
      <c r="F28035" s="2"/>
      <c r="G28035" s="2"/>
      <c r="H28035" s="2"/>
    </row>
    <row r="28036" spans="1:8" x14ac:dyDescent="0.25">
      <c r="A28036" s="1"/>
      <c r="B28036" s="1" t="s">
        <v>7328</v>
      </c>
      <c r="C28036" s="1" t="s">
        <v>7329</v>
      </c>
      <c r="D28036" s="22" t="str">
        <f>HYPERLINK("https://rhld.insurance.arkansas.gov/NPILookup?Npi=1770081788","1770081788")</f>
        <v>1770081788</v>
      </c>
      <c r="E28036" s="1" t="s">
        <v>28552</v>
      </c>
      <c r="F28036" s="2"/>
      <c r="G28036" s="2"/>
      <c r="H28036" s="2"/>
    </row>
    <row r="28037" spans="1:8" x14ac:dyDescent="0.25">
      <c r="A28037" s="1"/>
      <c r="B28037" s="1" t="s">
        <v>7328</v>
      </c>
      <c r="C28037" s="1" t="s">
        <v>7329</v>
      </c>
      <c r="D28037" s="22" t="str">
        <f>HYPERLINK("https://rhld.insurance.arkansas.gov/NPILookup?Npi=1770088296","1770088296")</f>
        <v>1770088296</v>
      </c>
      <c r="E28037" s="1" t="s">
        <v>17868</v>
      </c>
      <c r="F28037" s="2"/>
      <c r="G28037" s="2"/>
      <c r="H28037" s="2"/>
    </row>
    <row r="28038" spans="1:8" x14ac:dyDescent="0.25">
      <c r="A28038" s="1"/>
      <c r="B28038" s="1" t="s">
        <v>7328</v>
      </c>
      <c r="C28038" s="1" t="s">
        <v>7329</v>
      </c>
      <c r="D28038" s="22" t="str">
        <f>HYPERLINK("https://rhld.insurance.arkansas.gov/NPILookup?Npi=1770088445","1770088445")</f>
        <v>1770088445</v>
      </c>
      <c r="E28038" s="1" t="s">
        <v>3019</v>
      </c>
      <c r="F28038" s="2"/>
      <c r="G28038" s="2"/>
      <c r="H28038" s="2"/>
    </row>
    <row r="28039" spans="1:8" x14ac:dyDescent="0.25">
      <c r="A28039" s="1"/>
      <c r="B28039" s="1" t="s">
        <v>7328</v>
      </c>
      <c r="C28039" s="1" t="s">
        <v>7329</v>
      </c>
      <c r="D28039" s="22" t="str">
        <f>HYPERLINK("https://rhld.insurance.arkansas.gov/NPILookup?Npi=1770105967","1770105967")</f>
        <v>1770105967</v>
      </c>
      <c r="E28039" s="1" t="s">
        <v>17870</v>
      </c>
      <c r="F28039" s="2"/>
      <c r="G28039" s="2"/>
      <c r="H28039" s="2"/>
    </row>
    <row r="28040" spans="1:8" x14ac:dyDescent="0.25">
      <c r="A28040" s="1"/>
      <c r="B28040" s="1" t="s">
        <v>7328</v>
      </c>
      <c r="C28040" s="1" t="s">
        <v>7329</v>
      </c>
      <c r="D28040" s="22" t="str">
        <f>HYPERLINK("https://rhld.insurance.arkansas.gov/NPILookup?Npi=1770112385","1770112385")</f>
        <v>1770112385</v>
      </c>
      <c r="E28040" s="1" t="s">
        <v>13577</v>
      </c>
      <c r="F28040" s="2"/>
      <c r="G28040" s="2"/>
      <c r="H28040" s="2"/>
    </row>
    <row r="28041" spans="1:8" x14ac:dyDescent="0.25">
      <c r="A28041" s="1"/>
      <c r="B28041" s="1" t="s">
        <v>7328</v>
      </c>
      <c r="C28041" s="1" t="s">
        <v>7329</v>
      </c>
      <c r="D28041" s="22" t="str">
        <f>HYPERLINK("https://rhld.insurance.arkansas.gov/NPILookup?Npi=1770136202","1770136202")</f>
        <v>1770136202</v>
      </c>
      <c r="E28041" s="1" t="s">
        <v>32354</v>
      </c>
      <c r="F28041" s="2"/>
      <c r="G28041" s="2"/>
      <c r="H28041" s="2"/>
    </row>
    <row r="28042" spans="1:8" x14ac:dyDescent="0.25">
      <c r="A28042" s="1"/>
      <c r="B28042" s="1" t="s">
        <v>7328</v>
      </c>
      <c r="C28042" s="1" t="s">
        <v>7329</v>
      </c>
      <c r="D28042" s="22" t="str">
        <f>HYPERLINK("https://rhld.insurance.arkansas.gov/NPILookup?Npi=1770143232","1770143232")</f>
        <v>1770143232</v>
      </c>
      <c r="E28042" s="1" t="s">
        <v>28553</v>
      </c>
      <c r="F28042" s="2"/>
      <c r="G28042" s="2"/>
      <c r="H28042" s="2"/>
    </row>
    <row r="28043" spans="1:8" x14ac:dyDescent="0.25">
      <c r="A28043" s="1"/>
      <c r="B28043" s="1" t="s">
        <v>7328</v>
      </c>
      <c r="C28043" s="1" t="s">
        <v>7329</v>
      </c>
      <c r="D28043" s="22" t="str">
        <f>HYPERLINK("https://rhld.insurance.arkansas.gov/NPILookup?Npi=1770143604","1770143604")</f>
        <v>1770143604</v>
      </c>
      <c r="E28043" s="1" t="s">
        <v>28554</v>
      </c>
      <c r="F28043" s="2"/>
      <c r="G28043" s="2"/>
      <c r="H28043" s="2"/>
    </row>
    <row r="28044" spans="1:8" x14ac:dyDescent="0.25">
      <c r="A28044" s="1"/>
      <c r="B28044" s="1" t="s">
        <v>7328</v>
      </c>
      <c r="C28044" s="1" t="s">
        <v>7329</v>
      </c>
      <c r="D28044" s="22" t="str">
        <f>HYPERLINK("https://rhld.insurance.arkansas.gov/NPILookup?Npi=1770153538","1770153538")</f>
        <v>1770153538</v>
      </c>
      <c r="E28044" s="1" t="s">
        <v>32355</v>
      </c>
      <c r="F28044" s="2"/>
      <c r="G28044" s="2"/>
      <c r="H28044" s="2"/>
    </row>
    <row r="28045" spans="1:8" x14ac:dyDescent="0.25">
      <c r="A28045" s="1"/>
      <c r="B28045" s="1" t="s">
        <v>7328</v>
      </c>
      <c r="C28045" s="1" t="s">
        <v>7329</v>
      </c>
      <c r="D28045" s="22" t="str">
        <f>HYPERLINK("https://rhld.insurance.arkansas.gov/NPILookup?Npi=1770156762","1770156762")</f>
        <v>1770156762</v>
      </c>
      <c r="E28045" s="1" t="s">
        <v>8081</v>
      </c>
      <c r="F28045" s="2"/>
      <c r="G28045" s="2"/>
      <c r="H28045" s="2"/>
    </row>
    <row r="28046" spans="1:8" x14ac:dyDescent="0.25">
      <c r="A28046" s="1"/>
      <c r="B28046" s="1" t="s">
        <v>7328</v>
      </c>
      <c r="C28046" s="1" t="s">
        <v>7329</v>
      </c>
      <c r="D28046" s="22" t="str">
        <f>HYPERLINK("https://rhld.insurance.arkansas.gov/NPILookup?Npi=1770165706","1770165706")</f>
        <v>1770165706</v>
      </c>
      <c r="E28046" s="1" t="s">
        <v>32356</v>
      </c>
      <c r="F28046" s="2"/>
      <c r="G28046" s="2"/>
      <c r="H28046" s="2"/>
    </row>
    <row r="28047" spans="1:8" x14ac:dyDescent="0.25">
      <c r="A28047" s="1"/>
      <c r="B28047" s="1" t="s">
        <v>7328</v>
      </c>
      <c r="C28047" s="1" t="s">
        <v>7329</v>
      </c>
      <c r="D28047" s="22" t="str">
        <f>HYPERLINK("https://rhld.insurance.arkansas.gov/NPILookup?Npi=1770173536","1770173536")</f>
        <v>1770173536</v>
      </c>
      <c r="E28047" s="1" t="s">
        <v>28555</v>
      </c>
      <c r="F28047" s="2"/>
      <c r="G28047" s="2"/>
      <c r="H28047" s="2"/>
    </row>
    <row r="28048" spans="1:8" x14ac:dyDescent="0.25">
      <c r="A28048" s="1"/>
      <c r="B28048" s="1" t="s">
        <v>7328</v>
      </c>
      <c r="C28048" s="1" t="s">
        <v>7329</v>
      </c>
      <c r="D28048" s="22" t="str">
        <f>HYPERLINK("https://rhld.insurance.arkansas.gov/NPILookup?Npi=1770185068","1770185068")</f>
        <v>1770185068</v>
      </c>
      <c r="E28048" s="1" t="s">
        <v>32357</v>
      </c>
      <c r="F28048" s="2"/>
      <c r="G28048" s="2"/>
      <c r="H28048" s="2"/>
    </row>
    <row r="28049" spans="1:8" x14ac:dyDescent="0.25">
      <c r="A28049" s="1"/>
      <c r="B28049" s="1" t="s">
        <v>7328</v>
      </c>
      <c r="C28049" s="1" t="s">
        <v>7329</v>
      </c>
      <c r="D28049" s="22" t="str">
        <f>HYPERLINK("https://rhld.insurance.arkansas.gov/NPILookup?Npi=1770186785","1770186785")</f>
        <v>1770186785</v>
      </c>
      <c r="E28049" s="1" t="s">
        <v>8082</v>
      </c>
      <c r="F28049" s="2"/>
      <c r="G28049" s="2"/>
      <c r="H28049" s="2"/>
    </row>
    <row r="28050" spans="1:8" x14ac:dyDescent="0.25">
      <c r="A28050" s="1"/>
      <c r="B28050" s="1" t="s">
        <v>7328</v>
      </c>
      <c r="C28050" s="1" t="s">
        <v>7329</v>
      </c>
      <c r="D28050" s="22" t="str">
        <f>HYPERLINK("https://rhld.insurance.arkansas.gov/NPILookup?Npi=1770192791","1770192791")</f>
        <v>1770192791</v>
      </c>
      <c r="E28050" s="1" t="s">
        <v>28556</v>
      </c>
      <c r="F28050" s="2"/>
      <c r="G28050" s="2"/>
      <c r="H28050" s="2"/>
    </row>
    <row r="28051" spans="1:8" x14ac:dyDescent="0.25">
      <c r="A28051" s="1"/>
      <c r="B28051" s="1" t="s">
        <v>7328</v>
      </c>
      <c r="C28051" s="1" t="s">
        <v>7329</v>
      </c>
      <c r="D28051" s="22" t="str">
        <f>HYPERLINK("https://rhld.insurance.arkansas.gov/NPILookup?Npi=1770193344","1770193344")</f>
        <v>1770193344</v>
      </c>
      <c r="E28051" s="1" t="s">
        <v>28557</v>
      </c>
      <c r="F28051" s="2"/>
      <c r="G28051" s="2"/>
      <c r="H28051" s="2"/>
    </row>
    <row r="28052" spans="1:8" x14ac:dyDescent="0.25">
      <c r="A28052" s="1"/>
      <c r="B28052" s="1" t="s">
        <v>7328</v>
      </c>
      <c r="C28052" s="1" t="s">
        <v>7329</v>
      </c>
      <c r="D28052" s="22" t="str">
        <f>HYPERLINK("https://rhld.insurance.arkansas.gov/NPILookup?Npi=1770198848","1770198848")</f>
        <v>1770198848</v>
      </c>
      <c r="E28052" s="1" t="s">
        <v>3020</v>
      </c>
      <c r="F28052" s="2"/>
      <c r="G28052" s="2"/>
      <c r="H28052" s="2"/>
    </row>
    <row r="28053" spans="1:8" x14ac:dyDescent="0.25">
      <c r="A28053" s="1"/>
      <c r="B28053" s="1" t="s">
        <v>7328</v>
      </c>
      <c r="C28053" s="1" t="s">
        <v>7329</v>
      </c>
      <c r="D28053" s="22" t="str">
        <f>HYPERLINK("https://rhld.insurance.arkansas.gov/NPILookup?Npi=1770210379","1770210379")</f>
        <v>1770210379</v>
      </c>
      <c r="E28053" s="1" t="s">
        <v>28558</v>
      </c>
      <c r="F28053" s="2"/>
      <c r="G28053" s="2"/>
      <c r="H28053" s="2"/>
    </row>
    <row r="28054" spans="1:8" x14ac:dyDescent="0.25">
      <c r="A28054" s="1"/>
      <c r="B28054" s="1" t="s">
        <v>7328</v>
      </c>
      <c r="C28054" s="1" t="s">
        <v>7329</v>
      </c>
      <c r="D28054" s="22" t="str">
        <f>HYPERLINK("https://rhld.insurance.arkansas.gov/NPILookup?Npi=1770217887","1770217887")</f>
        <v>1770217887</v>
      </c>
      <c r="E28054" s="1" t="s">
        <v>8083</v>
      </c>
      <c r="F28054" s="2"/>
      <c r="G28054" s="2"/>
      <c r="H28054" s="2"/>
    </row>
    <row r="28055" spans="1:8" x14ac:dyDescent="0.25">
      <c r="A28055" s="1"/>
      <c r="B28055" s="1" t="s">
        <v>7328</v>
      </c>
      <c r="C28055" s="1" t="s">
        <v>7329</v>
      </c>
      <c r="D28055" s="22" t="str">
        <f>HYPERLINK("https://rhld.insurance.arkansas.gov/NPILookup?Npi=1770227746","1770227746")</f>
        <v>1770227746</v>
      </c>
      <c r="E28055" s="1" t="s">
        <v>8084</v>
      </c>
      <c r="F28055" s="2"/>
      <c r="G28055" s="2"/>
      <c r="H28055" s="2"/>
    </row>
    <row r="28056" spans="1:8" x14ac:dyDescent="0.25">
      <c r="A28056" s="1"/>
      <c r="B28056" s="1" t="s">
        <v>7328</v>
      </c>
      <c r="C28056" s="1" t="s">
        <v>7329</v>
      </c>
      <c r="D28056" s="22" t="str">
        <f>HYPERLINK("https://rhld.insurance.arkansas.gov/NPILookup?Npi=1770228330","1770228330")</f>
        <v>1770228330</v>
      </c>
      <c r="E28056" s="1" t="s">
        <v>32358</v>
      </c>
      <c r="F28056" s="2"/>
      <c r="G28056" s="2"/>
      <c r="H28056" s="2"/>
    </row>
    <row r="28057" spans="1:8" x14ac:dyDescent="0.25">
      <c r="A28057" s="1"/>
      <c r="B28057" s="1" t="s">
        <v>7328</v>
      </c>
      <c r="C28057" s="1" t="s">
        <v>7329</v>
      </c>
      <c r="D28057" s="22" t="str">
        <f>HYPERLINK("https://rhld.insurance.arkansas.gov/NPILookup?Npi=1770242794","1770242794")</f>
        <v>1770242794</v>
      </c>
      <c r="E28057" s="1" t="s">
        <v>28559</v>
      </c>
      <c r="F28057" s="2"/>
      <c r="G28057" s="2"/>
      <c r="H28057" s="2"/>
    </row>
    <row r="28058" spans="1:8" x14ac:dyDescent="0.25">
      <c r="A28058" s="1"/>
      <c r="B28058" s="1" t="s">
        <v>7328</v>
      </c>
      <c r="C28058" s="1" t="s">
        <v>7329</v>
      </c>
      <c r="D28058" s="22" t="str">
        <f>HYPERLINK("https://rhld.insurance.arkansas.gov/NPILookup?Npi=1770269631","1770269631")</f>
        <v>1770269631</v>
      </c>
      <c r="E28058" s="1" t="s">
        <v>5729</v>
      </c>
      <c r="F28058" s="2"/>
      <c r="G28058" s="2"/>
      <c r="H28058" s="2"/>
    </row>
    <row r="28059" spans="1:8" x14ac:dyDescent="0.25">
      <c r="A28059" s="1"/>
      <c r="B28059" s="1" t="s">
        <v>7328</v>
      </c>
      <c r="C28059" s="1" t="s">
        <v>7329</v>
      </c>
      <c r="D28059" s="22" t="str">
        <f>HYPERLINK("https://rhld.insurance.arkansas.gov/NPILookup?Npi=1770278640","1770278640")</f>
        <v>1770278640</v>
      </c>
      <c r="E28059" s="1" t="s">
        <v>8085</v>
      </c>
      <c r="F28059" s="2"/>
      <c r="G28059" s="2"/>
      <c r="H28059" s="2"/>
    </row>
    <row r="28060" spans="1:8" x14ac:dyDescent="0.25">
      <c r="A28060" s="1"/>
      <c r="B28060" s="1" t="s">
        <v>7328</v>
      </c>
      <c r="C28060" s="1" t="s">
        <v>7329</v>
      </c>
      <c r="D28060" s="22" t="str">
        <f>HYPERLINK("https://rhld.insurance.arkansas.gov/NPILookup?Npi=1770341331","1770341331")</f>
        <v>1770341331</v>
      </c>
      <c r="E28060" s="1" t="s">
        <v>28560</v>
      </c>
      <c r="F28060" s="2"/>
      <c r="G28060" s="2"/>
      <c r="H28060" s="2"/>
    </row>
    <row r="28061" spans="1:8" x14ac:dyDescent="0.25">
      <c r="A28061" s="1"/>
      <c r="B28061" s="1" t="s">
        <v>7328</v>
      </c>
      <c r="C28061" s="1" t="s">
        <v>7329</v>
      </c>
      <c r="D28061" s="22" t="str">
        <f>HYPERLINK("https://rhld.insurance.arkansas.gov/NPILookup?Npi=1770350472","1770350472")</f>
        <v>1770350472</v>
      </c>
      <c r="E28061" s="1" t="s">
        <v>13578</v>
      </c>
      <c r="F28061" s="2"/>
      <c r="G28061" s="2"/>
      <c r="H28061" s="2"/>
    </row>
    <row r="28062" spans="1:8" x14ac:dyDescent="0.25">
      <c r="A28062" s="1"/>
      <c r="B28062" s="1" t="s">
        <v>7328</v>
      </c>
      <c r="C28062" s="1" t="s">
        <v>7329</v>
      </c>
      <c r="D28062" s="22" t="str">
        <f>HYPERLINK("https://rhld.insurance.arkansas.gov/NPILookup?Npi=1770358780","1770358780")</f>
        <v>1770358780</v>
      </c>
      <c r="E28062" s="1" t="s">
        <v>8086</v>
      </c>
      <c r="F28062" s="2"/>
      <c r="G28062" s="2"/>
      <c r="H28062" s="2"/>
    </row>
    <row r="28063" spans="1:8" x14ac:dyDescent="0.25">
      <c r="A28063" s="1"/>
      <c r="B28063" s="1" t="s">
        <v>7328</v>
      </c>
      <c r="C28063" s="1" t="s">
        <v>7329</v>
      </c>
      <c r="D28063" s="22" t="str">
        <f>HYPERLINK("https://rhld.insurance.arkansas.gov/NPILookup?Npi=1770364093","1770364093")</f>
        <v>1770364093</v>
      </c>
      <c r="E28063" s="1" t="s">
        <v>5729</v>
      </c>
      <c r="F28063" s="2"/>
      <c r="G28063" s="2"/>
      <c r="H28063" s="2"/>
    </row>
    <row r="28064" spans="1:8" x14ac:dyDescent="0.25">
      <c r="A28064" s="1"/>
      <c r="B28064" s="1" t="s">
        <v>7328</v>
      </c>
      <c r="C28064" s="1" t="s">
        <v>7329</v>
      </c>
      <c r="D28064" s="22" t="str">
        <f>HYPERLINK("https://rhld.insurance.arkansas.gov/NPILookup?Npi=1770510331","1770510331")</f>
        <v>1770510331</v>
      </c>
      <c r="E28064" s="1" t="s">
        <v>28561</v>
      </c>
      <c r="F28064" s="2"/>
      <c r="G28064" s="2"/>
      <c r="H28064" s="2"/>
    </row>
    <row r="28065" spans="1:8" x14ac:dyDescent="0.25">
      <c r="A28065" s="1"/>
      <c r="B28065" s="1" t="s">
        <v>7328</v>
      </c>
      <c r="C28065" s="1" t="s">
        <v>7329</v>
      </c>
      <c r="D28065" s="22" t="str">
        <f>HYPERLINK("https://rhld.insurance.arkansas.gov/NPILookup?Npi=1770520819","1770520819")</f>
        <v>1770520819</v>
      </c>
      <c r="E28065" s="1" t="s">
        <v>28562</v>
      </c>
      <c r="F28065" s="2"/>
      <c r="G28065" s="2"/>
      <c r="H28065" s="2"/>
    </row>
    <row r="28066" spans="1:8" x14ac:dyDescent="0.25">
      <c r="A28066" s="1"/>
      <c r="B28066" s="1" t="s">
        <v>7328</v>
      </c>
      <c r="C28066" s="1" t="s">
        <v>7329</v>
      </c>
      <c r="D28066" s="22" t="str">
        <f>HYPERLINK("https://rhld.insurance.arkansas.gov/NPILookup?Npi=1770526311","1770526311")</f>
        <v>1770526311</v>
      </c>
      <c r="E28066" s="1" t="s">
        <v>13579</v>
      </c>
      <c r="F28066" s="2"/>
      <c r="G28066" s="2"/>
      <c r="H28066" s="2"/>
    </row>
    <row r="28067" spans="1:8" x14ac:dyDescent="0.25">
      <c r="A28067" s="1"/>
      <c r="B28067" s="1" t="s">
        <v>7328</v>
      </c>
      <c r="C28067" s="1" t="s">
        <v>7329</v>
      </c>
      <c r="D28067" s="22" t="str">
        <f>HYPERLINK("https://rhld.insurance.arkansas.gov/NPILookup?Npi=1770530586","1770530586")</f>
        <v>1770530586</v>
      </c>
      <c r="E28067" s="1" t="s">
        <v>10441</v>
      </c>
      <c r="F28067" s="2"/>
      <c r="G28067" s="2"/>
      <c r="H28067" s="2"/>
    </row>
    <row r="28068" spans="1:8" x14ac:dyDescent="0.25">
      <c r="A28068" s="1"/>
      <c r="B28068" s="1" t="s">
        <v>7328</v>
      </c>
      <c r="C28068" s="1" t="s">
        <v>7329</v>
      </c>
      <c r="D28068" s="22" t="str">
        <f>HYPERLINK("https://rhld.insurance.arkansas.gov/NPILookup?Npi=1770531766","1770531766")</f>
        <v>1770531766</v>
      </c>
      <c r="E28068" s="1" t="s">
        <v>10442</v>
      </c>
      <c r="F28068" s="2"/>
      <c r="G28068" s="2"/>
      <c r="H28068" s="2"/>
    </row>
    <row r="28069" spans="1:8" x14ac:dyDescent="0.25">
      <c r="A28069" s="1"/>
      <c r="B28069" s="1" t="s">
        <v>7328</v>
      </c>
      <c r="C28069" s="1" t="s">
        <v>7329</v>
      </c>
      <c r="D28069" s="22" t="str">
        <f>HYPERLINK("https://rhld.insurance.arkansas.gov/NPILookup?Npi=1770538308","1770538308")</f>
        <v>1770538308</v>
      </c>
      <c r="E28069" s="1" t="s">
        <v>888</v>
      </c>
      <c r="F28069" s="2"/>
      <c r="G28069" s="2"/>
      <c r="H28069" s="2"/>
    </row>
    <row r="28070" spans="1:8" x14ac:dyDescent="0.25">
      <c r="A28070" s="1"/>
      <c r="B28070" s="1" t="s">
        <v>7328</v>
      </c>
      <c r="C28070" s="1" t="s">
        <v>7329</v>
      </c>
      <c r="D28070" s="22" t="str">
        <f>HYPERLINK("https://rhld.insurance.arkansas.gov/NPILookup?Npi=1770540023","1770540023")</f>
        <v>1770540023</v>
      </c>
      <c r="E28070" s="1" t="s">
        <v>28563</v>
      </c>
      <c r="F28070" s="2"/>
      <c r="G28070" s="2"/>
      <c r="H28070" s="2"/>
    </row>
    <row r="28071" spans="1:8" x14ac:dyDescent="0.25">
      <c r="A28071" s="1"/>
      <c r="B28071" s="1" t="s">
        <v>7328</v>
      </c>
      <c r="C28071" s="1" t="s">
        <v>7329</v>
      </c>
      <c r="D28071" s="22" t="str">
        <f>HYPERLINK("https://rhld.insurance.arkansas.gov/NPILookup?Npi=1770544124","1770544124")</f>
        <v>1770544124</v>
      </c>
      <c r="E28071" s="1" t="s">
        <v>13580</v>
      </c>
      <c r="F28071" s="2"/>
      <c r="G28071" s="2"/>
      <c r="H28071" s="2"/>
    </row>
    <row r="28072" spans="1:8" x14ac:dyDescent="0.25">
      <c r="A28072" s="1"/>
      <c r="B28072" s="1" t="s">
        <v>7328</v>
      </c>
      <c r="C28072" s="1" t="s">
        <v>7329</v>
      </c>
      <c r="D28072" s="22" t="str">
        <f>HYPERLINK("https://rhld.insurance.arkansas.gov/NPILookup?Npi=1770554446","1770554446")</f>
        <v>1770554446</v>
      </c>
      <c r="E28072" s="1" t="s">
        <v>17871</v>
      </c>
      <c r="F28072" s="2"/>
      <c r="G28072" s="2"/>
      <c r="H28072" s="2"/>
    </row>
    <row r="28073" spans="1:8" x14ac:dyDescent="0.25">
      <c r="A28073" s="1"/>
      <c r="B28073" s="1" t="s">
        <v>7328</v>
      </c>
      <c r="C28073" s="1" t="s">
        <v>7329</v>
      </c>
      <c r="D28073" s="22" t="str">
        <f>HYPERLINK("https://rhld.insurance.arkansas.gov/NPILookup?Npi=1770570236","1770570236")</f>
        <v>1770570236</v>
      </c>
      <c r="E28073" s="1" t="s">
        <v>28564</v>
      </c>
      <c r="F28073" s="2"/>
      <c r="G28073" s="2"/>
      <c r="H28073" s="2"/>
    </row>
    <row r="28074" spans="1:8" x14ac:dyDescent="0.25">
      <c r="A28074" s="1"/>
      <c r="B28074" s="1" t="s">
        <v>7328</v>
      </c>
      <c r="C28074" s="1" t="s">
        <v>7329</v>
      </c>
      <c r="D28074" s="22" t="str">
        <f>HYPERLINK("https://rhld.insurance.arkansas.gov/NPILookup?Npi=1770575557","1770575557")</f>
        <v>1770575557</v>
      </c>
      <c r="E28074" s="1" t="s">
        <v>3653</v>
      </c>
      <c r="F28074" s="2"/>
      <c r="G28074" s="2"/>
      <c r="H28074" s="2"/>
    </row>
    <row r="28075" spans="1:8" x14ac:dyDescent="0.25">
      <c r="A28075" s="1"/>
      <c r="B28075" s="1" t="s">
        <v>7328</v>
      </c>
      <c r="C28075" s="1" t="s">
        <v>7329</v>
      </c>
      <c r="D28075" s="22" t="str">
        <f>HYPERLINK("https://rhld.insurance.arkansas.gov/NPILookup?Npi=1770578072","1770578072")</f>
        <v>1770578072</v>
      </c>
      <c r="E28075" s="1" t="s">
        <v>28565</v>
      </c>
      <c r="F28075" s="2"/>
      <c r="G28075" s="2"/>
      <c r="H28075" s="2"/>
    </row>
    <row r="28076" spans="1:8" x14ac:dyDescent="0.25">
      <c r="A28076" s="1"/>
      <c r="B28076" s="1" t="s">
        <v>7328</v>
      </c>
      <c r="C28076" s="1" t="s">
        <v>7329</v>
      </c>
      <c r="D28076" s="22" t="str">
        <f>HYPERLINK("https://rhld.insurance.arkansas.gov/NPILookup?Npi=1770578718","1770578718")</f>
        <v>1770578718</v>
      </c>
      <c r="E28076" s="1" t="s">
        <v>13581</v>
      </c>
      <c r="F28076" s="2"/>
      <c r="G28076" s="2"/>
      <c r="H28076" s="2"/>
    </row>
    <row r="28077" spans="1:8" x14ac:dyDescent="0.25">
      <c r="A28077" s="1"/>
      <c r="B28077" s="1" t="s">
        <v>7328</v>
      </c>
      <c r="C28077" s="1" t="s">
        <v>7329</v>
      </c>
      <c r="D28077" s="22" t="str">
        <f>HYPERLINK("https://rhld.insurance.arkansas.gov/NPILookup?Npi=1770580169","1770580169")</f>
        <v>1770580169</v>
      </c>
      <c r="E28077" s="1" t="s">
        <v>28566</v>
      </c>
      <c r="F28077" s="2"/>
      <c r="G28077" s="2"/>
      <c r="H28077" s="2"/>
    </row>
    <row r="28078" spans="1:8" x14ac:dyDescent="0.25">
      <c r="A28078" s="1"/>
      <c r="B28078" s="1" t="s">
        <v>7328</v>
      </c>
      <c r="C28078" s="1" t="s">
        <v>7329</v>
      </c>
      <c r="D28078" s="22" t="str">
        <f>HYPERLINK("https://rhld.insurance.arkansas.gov/NPILookup?Npi=1770581845","1770581845")</f>
        <v>1770581845</v>
      </c>
      <c r="E28078" s="1" t="s">
        <v>2072</v>
      </c>
      <c r="F28078" s="2"/>
      <c r="G28078" s="2"/>
      <c r="H28078" s="2"/>
    </row>
    <row r="28079" spans="1:8" x14ac:dyDescent="0.25">
      <c r="A28079" s="1"/>
      <c r="B28079" s="1" t="s">
        <v>7328</v>
      </c>
      <c r="C28079" s="1" t="s">
        <v>7329</v>
      </c>
      <c r="D28079" s="22" t="str">
        <f>HYPERLINK("https://rhld.insurance.arkansas.gov/NPILookup?Npi=1770583189","1770583189")</f>
        <v>1770583189</v>
      </c>
      <c r="E28079" s="1" t="s">
        <v>28567</v>
      </c>
      <c r="F28079" s="2"/>
      <c r="G28079" s="2"/>
      <c r="H28079" s="2"/>
    </row>
    <row r="28080" spans="1:8" x14ac:dyDescent="0.25">
      <c r="A28080" s="1"/>
      <c r="B28080" s="1" t="s">
        <v>7328</v>
      </c>
      <c r="C28080" s="1" t="s">
        <v>7329</v>
      </c>
      <c r="D28080" s="22" t="str">
        <f>HYPERLINK("https://rhld.insurance.arkansas.gov/NPILookup?Npi=1770596314","1770596314")</f>
        <v>1770596314</v>
      </c>
      <c r="E28080" s="1" t="s">
        <v>13582</v>
      </c>
      <c r="F28080" s="2"/>
      <c r="G28080" s="2"/>
      <c r="H28080" s="2"/>
    </row>
    <row r="28081" spans="1:8" x14ac:dyDescent="0.25">
      <c r="A28081" s="1"/>
      <c r="B28081" s="1" t="s">
        <v>7328</v>
      </c>
      <c r="C28081" s="1" t="s">
        <v>7329</v>
      </c>
      <c r="D28081" s="22" t="str">
        <f>HYPERLINK("https://rhld.insurance.arkansas.gov/NPILookup?Npi=1770628471","1770628471")</f>
        <v>1770628471</v>
      </c>
      <c r="E28081" s="1" t="s">
        <v>23641</v>
      </c>
      <c r="F28081" s="2"/>
      <c r="G28081" s="2"/>
      <c r="H28081" s="2"/>
    </row>
    <row r="28082" spans="1:8" x14ac:dyDescent="0.25">
      <c r="A28082" s="1"/>
      <c r="B28082" s="1" t="s">
        <v>7328</v>
      </c>
      <c r="C28082" s="1" t="s">
        <v>7329</v>
      </c>
      <c r="D28082" s="22" t="str">
        <f>HYPERLINK("https://rhld.insurance.arkansas.gov/NPILookup?Npi=1770658262","1770658262")</f>
        <v>1770658262</v>
      </c>
      <c r="E28082" s="1" t="s">
        <v>9758</v>
      </c>
      <c r="F28082" s="2"/>
      <c r="G28082" s="2"/>
      <c r="H28082" s="2"/>
    </row>
    <row r="28083" spans="1:8" x14ac:dyDescent="0.25">
      <c r="A28083" s="1"/>
      <c r="B28083" s="1" t="s">
        <v>7328</v>
      </c>
      <c r="C28083" s="1" t="s">
        <v>7329</v>
      </c>
      <c r="D28083" s="22" t="str">
        <f>HYPERLINK("https://rhld.insurance.arkansas.gov/NPILookup?Npi=1770660045","1770660045")</f>
        <v>1770660045</v>
      </c>
      <c r="E28083" s="1" t="s">
        <v>13583</v>
      </c>
      <c r="F28083" s="2"/>
      <c r="G28083" s="2"/>
      <c r="H28083" s="2"/>
    </row>
    <row r="28084" spans="1:8" x14ac:dyDescent="0.25">
      <c r="A28084" s="1"/>
      <c r="B28084" s="1" t="s">
        <v>7328</v>
      </c>
      <c r="C28084" s="1" t="s">
        <v>7329</v>
      </c>
      <c r="D28084" s="22" t="str">
        <f>HYPERLINK("https://rhld.insurance.arkansas.gov/NPILookup?Npi=1770661704","1770661704")</f>
        <v>1770661704</v>
      </c>
      <c r="E28084" s="1" t="s">
        <v>13584</v>
      </c>
      <c r="F28084" s="2"/>
      <c r="G28084" s="2"/>
      <c r="H28084" s="2"/>
    </row>
    <row r="28085" spans="1:8" x14ac:dyDescent="0.25">
      <c r="A28085" s="1"/>
      <c r="B28085" s="1" t="s">
        <v>7328</v>
      </c>
      <c r="C28085" s="1" t="s">
        <v>7329</v>
      </c>
      <c r="D28085" s="22" t="str">
        <f>HYPERLINK("https://rhld.insurance.arkansas.gov/NPILookup?Npi=1770666869","1770666869")</f>
        <v>1770666869</v>
      </c>
      <c r="E28085" s="1" t="s">
        <v>3543</v>
      </c>
      <c r="F28085" s="2"/>
      <c r="G28085" s="2"/>
      <c r="H28085" s="2"/>
    </row>
    <row r="28086" spans="1:8" x14ac:dyDescent="0.25">
      <c r="A28086" s="1"/>
      <c r="B28086" s="1" t="s">
        <v>7328</v>
      </c>
      <c r="C28086" s="1" t="s">
        <v>7329</v>
      </c>
      <c r="D28086" s="22" t="str">
        <f>HYPERLINK("https://rhld.insurance.arkansas.gov/NPILookup?Npi=1770670879","1770670879")</f>
        <v>1770670879</v>
      </c>
      <c r="E28086" s="1" t="s">
        <v>28568</v>
      </c>
      <c r="F28086" s="2"/>
      <c r="G28086" s="2"/>
      <c r="H28086" s="2"/>
    </row>
    <row r="28087" spans="1:8" x14ac:dyDescent="0.25">
      <c r="A28087" s="1"/>
      <c r="B28087" s="1" t="s">
        <v>7328</v>
      </c>
      <c r="C28087" s="1" t="s">
        <v>7329</v>
      </c>
      <c r="D28087" s="22" t="str">
        <f>HYPERLINK("https://rhld.insurance.arkansas.gov/NPILookup?Npi=1770683641","1770683641")</f>
        <v>1770683641</v>
      </c>
      <c r="E28087" s="1" t="s">
        <v>13585</v>
      </c>
      <c r="F28087" s="2"/>
      <c r="G28087" s="2"/>
      <c r="H28087" s="2"/>
    </row>
    <row r="28088" spans="1:8" x14ac:dyDescent="0.25">
      <c r="A28088" s="1"/>
      <c r="B28088" s="1" t="s">
        <v>7328</v>
      </c>
      <c r="C28088" s="1" t="s">
        <v>7329</v>
      </c>
      <c r="D28088" s="22" t="str">
        <f>HYPERLINK("https://rhld.insurance.arkansas.gov/NPILookup?Npi=1770685869","1770685869")</f>
        <v>1770685869</v>
      </c>
      <c r="E28088" s="1" t="s">
        <v>13586</v>
      </c>
      <c r="F28088" s="2"/>
      <c r="G28088" s="2"/>
      <c r="H28088" s="2"/>
    </row>
    <row r="28089" spans="1:8" x14ac:dyDescent="0.25">
      <c r="A28089" s="1"/>
      <c r="B28089" s="1" t="s">
        <v>7328</v>
      </c>
      <c r="C28089" s="1" t="s">
        <v>7329</v>
      </c>
      <c r="D28089" s="22" t="str">
        <f>HYPERLINK("https://rhld.insurance.arkansas.gov/NPILookup?Npi=1770695223","1770695223")</f>
        <v>1770695223</v>
      </c>
      <c r="E28089" s="1" t="s">
        <v>4828</v>
      </c>
      <c r="F28089" s="2"/>
      <c r="G28089" s="2"/>
      <c r="H28089" s="2"/>
    </row>
    <row r="28090" spans="1:8" x14ac:dyDescent="0.25">
      <c r="A28090" s="1"/>
      <c r="B28090" s="1" t="s">
        <v>7328</v>
      </c>
      <c r="C28090" s="1" t="s">
        <v>7329</v>
      </c>
      <c r="D28090" s="22" t="str">
        <f>HYPERLINK("https://rhld.insurance.arkansas.gov/NPILookup?Npi=1770712275","1770712275")</f>
        <v>1770712275</v>
      </c>
      <c r="E28090" s="1" t="s">
        <v>28569</v>
      </c>
      <c r="F28090" s="2"/>
      <c r="G28090" s="2"/>
      <c r="H28090" s="2"/>
    </row>
    <row r="28091" spans="1:8" x14ac:dyDescent="0.25">
      <c r="A28091" s="1"/>
      <c r="B28091" s="1" t="s">
        <v>7328</v>
      </c>
      <c r="C28091" s="1" t="s">
        <v>7329</v>
      </c>
      <c r="D28091" s="22" t="str">
        <f>HYPERLINK("https://rhld.insurance.arkansas.gov/NPILookup?Npi=1770713737","1770713737")</f>
        <v>1770713737</v>
      </c>
      <c r="E28091" s="1" t="s">
        <v>13588</v>
      </c>
      <c r="F28091" s="2"/>
      <c r="G28091" s="2"/>
      <c r="H28091" s="2"/>
    </row>
    <row r="28092" spans="1:8" x14ac:dyDescent="0.25">
      <c r="A28092" s="1"/>
      <c r="B28092" s="1" t="s">
        <v>7328</v>
      </c>
      <c r="C28092" s="1" t="s">
        <v>7329</v>
      </c>
      <c r="D28092" s="22" t="str">
        <f>HYPERLINK("https://rhld.insurance.arkansas.gov/NPILookup?Npi=1770715591","1770715591")</f>
        <v>1770715591</v>
      </c>
      <c r="E28092" s="1" t="s">
        <v>28570</v>
      </c>
      <c r="F28092" s="2"/>
      <c r="G28092" s="2"/>
      <c r="H28092" s="2"/>
    </row>
    <row r="28093" spans="1:8" x14ac:dyDescent="0.25">
      <c r="A28093" s="1"/>
      <c r="B28093" s="1" t="s">
        <v>7328</v>
      </c>
      <c r="C28093" s="1" t="s">
        <v>7329</v>
      </c>
      <c r="D28093" s="22" t="str">
        <f>HYPERLINK("https://rhld.insurance.arkansas.gov/NPILookup?Npi=1770735532","1770735532")</f>
        <v>1770735532</v>
      </c>
      <c r="E28093" s="1" t="s">
        <v>28571</v>
      </c>
      <c r="F28093" s="2"/>
      <c r="G28093" s="2"/>
      <c r="H28093" s="2"/>
    </row>
    <row r="28094" spans="1:8" x14ac:dyDescent="0.25">
      <c r="A28094" s="1"/>
      <c r="B28094" s="1" t="s">
        <v>7328</v>
      </c>
      <c r="C28094" s="1" t="s">
        <v>7329</v>
      </c>
      <c r="D28094" s="22" t="str">
        <f>HYPERLINK("https://rhld.insurance.arkansas.gov/NPILookup?Npi=1770740516","1770740516")</f>
        <v>1770740516</v>
      </c>
      <c r="E28094" s="1" t="s">
        <v>5157</v>
      </c>
      <c r="F28094" s="2"/>
      <c r="G28094" s="2"/>
      <c r="H28094" s="2"/>
    </row>
    <row r="28095" spans="1:8" x14ac:dyDescent="0.25">
      <c r="A28095" s="1"/>
      <c r="B28095" s="1" t="s">
        <v>7328</v>
      </c>
      <c r="C28095" s="1" t="s">
        <v>7329</v>
      </c>
      <c r="D28095" s="22" t="str">
        <f>HYPERLINK("https://rhld.insurance.arkansas.gov/NPILookup?Npi=1770747149","1770747149")</f>
        <v>1770747149</v>
      </c>
      <c r="E28095" s="1" t="s">
        <v>28572</v>
      </c>
      <c r="F28095" s="2"/>
      <c r="G28095" s="2"/>
      <c r="H28095" s="2"/>
    </row>
    <row r="28096" spans="1:8" x14ac:dyDescent="0.25">
      <c r="A28096" s="1"/>
      <c r="B28096" s="1" t="s">
        <v>7328</v>
      </c>
      <c r="C28096" s="1" t="s">
        <v>7329</v>
      </c>
      <c r="D28096" s="22" t="str">
        <f>HYPERLINK("https://rhld.insurance.arkansas.gov/NPILookup?Npi=1770771297","1770771297")</f>
        <v>1770771297</v>
      </c>
      <c r="E28096" s="1" t="s">
        <v>28573</v>
      </c>
      <c r="F28096" s="2"/>
      <c r="G28096" s="2"/>
      <c r="H28096" s="2"/>
    </row>
    <row r="28097" spans="1:8" x14ac:dyDescent="0.25">
      <c r="A28097" s="1"/>
      <c r="B28097" s="1" t="s">
        <v>7328</v>
      </c>
      <c r="C28097" s="1" t="s">
        <v>7329</v>
      </c>
      <c r="D28097" s="22" t="str">
        <f>HYPERLINK("https://rhld.insurance.arkansas.gov/NPILookup?Npi=1770771636","1770771636")</f>
        <v>1770771636</v>
      </c>
      <c r="E28097" s="1" t="s">
        <v>28574</v>
      </c>
      <c r="F28097" s="2"/>
      <c r="G28097" s="2"/>
      <c r="H28097" s="2"/>
    </row>
    <row r="28098" spans="1:8" x14ac:dyDescent="0.25">
      <c r="A28098" s="1"/>
      <c r="B28098" s="1" t="s">
        <v>7328</v>
      </c>
      <c r="C28098" s="1" t="s">
        <v>7329</v>
      </c>
      <c r="D28098" s="22" t="str">
        <f>HYPERLINK("https://rhld.insurance.arkansas.gov/NPILookup?Npi=1770786204","1770786204")</f>
        <v>1770786204</v>
      </c>
      <c r="E28098" s="1" t="s">
        <v>28575</v>
      </c>
      <c r="F28098" s="2"/>
      <c r="G28098" s="2"/>
      <c r="H28098" s="2"/>
    </row>
    <row r="28099" spans="1:8" x14ac:dyDescent="0.25">
      <c r="A28099" s="1"/>
      <c r="B28099" s="1" t="s">
        <v>7328</v>
      </c>
      <c r="C28099" s="1" t="s">
        <v>7329</v>
      </c>
      <c r="D28099" s="22" t="str">
        <f>HYPERLINK("https://rhld.insurance.arkansas.gov/NPILookup?Npi=1770798878","1770798878")</f>
        <v>1770798878</v>
      </c>
      <c r="E28099" s="1" t="s">
        <v>28576</v>
      </c>
      <c r="F28099" s="2"/>
      <c r="G28099" s="2"/>
      <c r="H28099" s="2"/>
    </row>
    <row r="28100" spans="1:8" x14ac:dyDescent="0.25">
      <c r="A28100" s="1"/>
      <c r="B28100" s="1" t="s">
        <v>7328</v>
      </c>
      <c r="C28100" s="1" t="s">
        <v>7329</v>
      </c>
      <c r="D28100" s="22" t="str">
        <f>HYPERLINK("https://rhld.insurance.arkansas.gov/NPILookup?Npi=1770807737","1770807737")</f>
        <v>1770807737</v>
      </c>
      <c r="E28100" s="1" t="s">
        <v>13589</v>
      </c>
      <c r="F28100" s="2"/>
      <c r="G28100" s="2"/>
      <c r="H28100" s="2"/>
    </row>
    <row r="28101" spans="1:8" x14ac:dyDescent="0.25">
      <c r="A28101" s="1"/>
      <c r="B28101" s="1" t="s">
        <v>7328</v>
      </c>
      <c r="C28101" s="1" t="s">
        <v>7329</v>
      </c>
      <c r="D28101" s="22" t="str">
        <f>HYPERLINK("https://rhld.insurance.arkansas.gov/NPILookup?Npi=1770817421","1770817421")</f>
        <v>1770817421</v>
      </c>
      <c r="E28101" s="1" t="s">
        <v>28577</v>
      </c>
      <c r="F28101" s="2"/>
      <c r="G28101" s="2"/>
      <c r="H28101" s="2"/>
    </row>
    <row r="28102" spans="1:8" x14ac:dyDescent="0.25">
      <c r="A28102" s="1"/>
      <c r="B28102" s="1" t="s">
        <v>7328</v>
      </c>
      <c r="C28102" s="1" t="s">
        <v>7329</v>
      </c>
      <c r="D28102" s="22" t="str">
        <f>HYPERLINK("https://rhld.insurance.arkansas.gov/NPILookup?Npi=1770836694","1770836694")</f>
        <v>1770836694</v>
      </c>
      <c r="E28102" s="1" t="s">
        <v>23277</v>
      </c>
      <c r="F28102" s="2"/>
      <c r="G28102" s="2"/>
      <c r="H28102" s="2"/>
    </row>
    <row r="28103" spans="1:8" x14ac:dyDescent="0.25">
      <c r="A28103" s="1"/>
      <c r="B28103" s="1" t="s">
        <v>7328</v>
      </c>
      <c r="C28103" s="1" t="s">
        <v>7329</v>
      </c>
      <c r="D28103" s="22" t="str">
        <f>HYPERLINK("https://rhld.insurance.arkansas.gov/NPILookup?Npi=1770842148","1770842148")</f>
        <v>1770842148</v>
      </c>
      <c r="E28103" s="1" t="s">
        <v>3021</v>
      </c>
      <c r="F28103" s="2"/>
      <c r="G28103" s="2"/>
      <c r="H28103" s="2"/>
    </row>
    <row r="28104" spans="1:8" x14ac:dyDescent="0.25">
      <c r="A28104" s="1"/>
      <c r="B28104" s="1" t="s">
        <v>7328</v>
      </c>
      <c r="C28104" s="1" t="s">
        <v>7329</v>
      </c>
      <c r="D28104" s="22" t="str">
        <f>HYPERLINK("https://rhld.insurance.arkansas.gov/NPILookup?Npi=1770846966","1770846966")</f>
        <v>1770846966</v>
      </c>
      <c r="E28104" s="1" t="s">
        <v>1403</v>
      </c>
      <c r="F28104" s="2"/>
      <c r="G28104" s="2"/>
      <c r="H28104" s="2"/>
    </row>
    <row r="28105" spans="1:8" x14ac:dyDescent="0.25">
      <c r="A28105" s="1"/>
      <c r="B28105" s="1" t="s">
        <v>7328</v>
      </c>
      <c r="C28105" s="1" t="s">
        <v>7329</v>
      </c>
      <c r="D28105" s="22" t="str">
        <f>HYPERLINK("https://rhld.insurance.arkansas.gov/NPILookup?Npi=1770858144","1770858144")</f>
        <v>1770858144</v>
      </c>
      <c r="E28105" s="1" t="s">
        <v>28578</v>
      </c>
      <c r="F28105" s="2"/>
      <c r="G28105" s="2"/>
      <c r="H28105" s="2"/>
    </row>
    <row r="28106" spans="1:8" x14ac:dyDescent="0.25">
      <c r="A28106" s="1"/>
      <c r="B28106" s="1" t="s">
        <v>7328</v>
      </c>
      <c r="C28106" s="1" t="s">
        <v>7329</v>
      </c>
      <c r="D28106" s="22" t="str">
        <f>HYPERLINK("https://rhld.insurance.arkansas.gov/NPILookup?Npi=1770859209","1770859209")</f>
        <v>1770859209</v>
      </c>
      <c r="E28106" s="1" t="s">
        <v>2073</v>
      </c>
      <c r="F28106" s="2"/>
      <c r="G28106" s="2"/>
      <c r="H28106" s="2"/>
    </row>
    <row r="28107" spans="1:8" x14ac:dyDescent="0.25">
      <c r="A28107" s="1"/>
      <c r="B28107" s="1" t="s">
        <v>7328</v>
      </c>
      <c r="C28107" s="1" t="s">
        <v>7329</v>
      </c>
      <c r="D28107" s="22" t="str">
        <f>HYPERLINK("https://rhld.insurance.arkansas.gov/NPILookup?Npi=1770864613","1770864613")</f>
        <v>1770864613</v>
      </c>
      <c r="E28107" s="1" t="s">
        <v>8087</v>
      </c>
      <c r="F28107" s="2"/>
      <c r="G28107" s="2"/>
      <c r="H28107" s="2"/>
    </row>
    <row r="28108" spans="1:8" x14ac:dyDescent="0.25">
      <c r="A28108" s="1"/>
      <c r="B28108" s="1" t="s">
        <v>7328</v>
      </c>
      <c r="C28108" s="1" t="s">
        <v>7329</v>
      </c>
      <c r="D28108" s="22" t="str">
        <f>HYPERLINK("https://rhld.insurance.arkansas.gov/NPILookup?Npi=1770866360","1770866360")</f>
        <v>1770866360</v>
      </c>
      <c r="E28108" s="1" t="s">
        <v>28579</v>
      </c>
      <c r="F28108" s="2"/>
      <c r="G28108" s="2"/>
      <c r="H28108" s="2"/>
    </row>
    <row r="28109" spans="1:8" x14ac:dyDescent="0.25">
      <c r="A28109" s="1"/>
      <c r="B28109" s="1" t="s">
        <v>7328</v>
      </c>
      <c r="C28109" s="1" t="s">
        <v>7329</v>
      </c>
      <c r="D28109" s="22" t="str">
        <f>HYPERLINK("https://rhld.insurance.arkansas.gov/NPILookup?Npi=1770876328","1770876328")</f>
        <v>1770876328</v>
      </c>
      <c r="E28109" s="1" t="s">
        <v>13590</v>
      </c>
      <c r="F28109" s="2"/>
      <c r="G28109" s="2"/>
      <c r="H28109" s="2"/>
    </row>
    <row r="28110" spans="1:8" x14ac:dyDescent="0.25">
      <c r="A28110" s="1"/>
      <c r="B28110" s="1" t="s">
        <v>7328</v>
      </c>
      <c r="C28110" s="1" t="s">
        <v>7329</v>
      </c>
      <c r="D28110" s="22" t="str">
        <f>HYPERLINK("https://rhld.insurance.arkansas.gov/NPILookup?Npi=1770902793","1770902793")</f>
        <v>1770902793</v>
      </c>
      <c r="E28110" s="1" t="s">
        <v>10443</v>
      </c>
      <c r="F28110" s="2"/>
      <c r="G28110" s="2"/>
      <c r="H28110" s="2"/>
    </row>
    <row r="28111" spans="1:8" x14ac:dyDescent="0.25">
      <c r="A28111" s="1"/>
      <c r="B28111" s="1" t="s">
        <v>7328</v>
      </c>
      <c r="C28111" s="1" t="s">
        <v>7329</v>
      </c>
      <c r="D28111" s="22" t="str">
        <f>HYPERLINK("https://rhld.insurance.arkansas.gov/NPILookup?Npi=1770907339","1770907339")</f>
        <v>1770907339</v>
      </c>
      <c r="E28111" s="1" t="s">
        <v>13591</v>
      </c>
      <c r="F28111" s="2"/>
      <c r="G28111" s="2"/>
      <c r="H28111" s="2"/>
    </row>
    <row r="28112" spans="1:8" x14ac:dyDescent="0.25">
      <c r="A28112" s="1"/>
      <c r="B28112" s="1" t="s">
        <v>7328</v>
      </c>
      <c r="C28112" s="1" t="s">
        <v>7329</v>
      </c>
      <c r="D28112" s="22" t="str">
        <f>HYPERLINK("https://rhld.insurance.arkansas.gov/NPILookup?Npi=1770908998","1770908998")</f>
        <v>1770908998</v>
      </c>
      <c r="E28112" s="1" t="s">
        <v>28580</v>
      </c>
      <c r="F28112" s="2"/>
      <c r="G28112" s="2"/>
      <c r="H28112" s="2"/>
    </row>
    <row r="28113" spans="1:8" x14ac:dyDescent="0.25">
      <c r="A28113" s="1"/>
      <c r="B28113" s="1" t="s">
        <v>7328</v>
      </c>
      <c r="C28113" s="1" t="s">
        <v>7329</v>
      </c>
      <c r="D28113" s="22" t="str">
        <f>HYPERLINK("https://rhld.insurance.arkansas.gov/NPILookup?Npi=1770923724","1770923724")</f>
        <v>1770923724</v>
      </c>
      <c r="E28113" s="1" t="s">
        <v>28581</v>
      </c>
      <c r="F28113" s="2"/>
      <c r="G28113" s="2"/>
      <c r="H28113" s="2"/>
    </row>
    <row r="28114" spans="1:8" x14ac:dyDescent="0.25">
      <c r="A28114" s="1"/>
      <c r="B28114" s="1" t="s">
        <v>7328</v>
      </c>
      <c r="C28114" s="1" t="s">
        <v>7329</v>
      </c>
      <c r="D28114" s="22" t="str">
        <f>HYPERLINK("https://rhld.insurance.arkansas.gov/NPILookup?Npi=1770927121","1770927121")</f>
        <v>1770927121</v>
      </c>
      <c r="E28114" s="1" t="s">
        <v>28582</v>
      </c>
      <c r="F28114" s="2"/>
      <c r="G28114" s="2"/>
      <c r="H28114" s="2"/>
    </row>
    <row r="28115" spans="1:8" x14ac:dyDescent="0.25">
      <c r="A28115" s="1"/>
      <c r="B28115" s="1" t="s">
        <v>7328</v>
      </c>
      <c r="C28115" s="1" t="s">
        <v>7329</v>
      </c>
      <c r="D28115" s="22" t="str">
        <f>HYPERLINK("https://rhld.insurance.arkansas.gov/NPILookup?Npi=1770941171","1770941171")</f>
        <v>1770941171</v>
      </c>
      <c r="E28115" s="1" t="s">
        <v>32359</v>
      </c>
      <c r="F28115" s="2"/>
      <c r="G28115" s="2"/>
      <c r="H28115" s="2"/>
    </row>
    <row r="28116" spans="1:8" x14ac:dyDescent="0.25">
      <c r="A28116" s="1"/>
      <c r="B28116" s="1" t="s">
        <v>7328</v>
      </c>
      <c r="C28116" s="1" t="s">
        <v>7329</v>
      </c>
      <c r="D28116" s="22" t="str">
        <f>HYPERLINK("https://rhld.insurance.arkansas.gov/NPILookup?Npi=1770948218","1770948218")</f>
        <v>1770948218</v>
      </c>
      <c r="E28116" s="1" t="s">
        <v>28583</v>
      </c>
      <c r="F28116" s="2"/>
      <c r="G28116" s="2"/>
      <c r="H28116" s="2"/>
    </row>
    <row r="28117" spans="1:8" x14ac:dyDescent="0.25">
      <c r="A28117" s="1"/>
      <c r="B28117" s="1" t="s">
        <v>7328</v>
      </c>
      <c r="C28117" s="1" t="s">
        <v>7329</v>
      </c>
      <c r="D28117" s="22" t="str">
        <f>HYPERLINK("https://rhld.insurance.arkansas.gov/NPILookup?Npi=1770952178","1770952178")</f>
        <v>1770952178</v>
      </c>
      <c r="E28117" s="1" t="s">
        <v>28584</v>
      </c>
      <c r="F28117" s="2"/>
      <c r="G28117" s="2"/>
      <c r="H28117" s="2"/>
    </row>
    <row r="28118" spans="1:8" x14ac:dyDescent="0.25">
      <c r="A28118" s="1"/>
      <c r="B28118" s="1" t="s">
        <v>7328</v>
      </c>
      <c r="C28118" s="1" t="s">
        <v>7329</v>
      </c>
      <c r="D28118" s="22" t="str">
        <f>HYPERLINK("https://rhld.insurance.arkansas.gov/NPILookup?Npi=1770954927","1770954927")</f>
        <v>1770954927</v>
      </c>
      <c r="E28118" s="1" t="s">
        <v>28585</v>
      </c>
      <c r="F28118" s="2"/>
      <c r="G28118" s="2"/>
      <c r="H28118" s="2"/>
    </row>
    <row r="28119" spans="1:8" x14ac:dyDescent="0.25">
      <c r="A28119" s="1"/>
      <c r="B28119" s="1" t="s">
        <v>7328</v>
      </c>
      <c r="C28119" s="1" t="s">
        <v>7329</v>
      </c>
      <c r="D28119" s="22" t="str">
        <f>HYPERLINK("https://rhld.insurance.arkansas.gov/NPILookup?Npi=1770978199","1770978199")</f>
        <v>1770978199</v>
      </c>
      <c r="E28119" s="1" t="s">
        <v>10444</v>
      </c>
      <c r="F28119" s="2"/>
      <c r="G28119" s="2"/>
      <c r="H28119" s="2"/>
    </row>
    <row r="28120" spans="1:8" x14ac:dyDescent="0.25">
      <c r="A28120" s="1"/>
      <c r="B28120" s="1" t="s">
        <v>7328</v>
      </c>
      <c r="C28120" s="1" t="s">
        <v>7329</v>
      </c>
      <c r="D28120" s="22" t="str">
        <f>HYPERLINK("https://rhld.insurance.arkansas.gov/NPILookup?Npi=1770991754","1770991754")</f>
        <v>1770991754</v>
      </c>
      <c r="E28120" s="1" t="s">
        <v>889</v>
      </c>
      <c r="F28120" s="2"/>
      <c r="G28120" s="2"/>
      <c r="H28120" s="2"/>
    </row>
    <row r="28121" spans="1:8" x14ac:dyDescent="0.25">
      <c r="A28121" s="1"/>
      <c r="B28121" s="1" t="s">
        <v>7328</v>
      </c>
      <c r="C28121" s="1" t="s">
        <v>7329</v>
      </c>
      <c r="D28121" s="22" t="str">
        <f>HYPERLINK("https://rhld.insurance.arkansas.gov/NPILookup?Npi=1770993461","1770993461")</f>
        <v>1770993461</v>
      </c>
      <c r="E28121" s="1" t="s">
        <v>2074</v>
      </c>
      <c r="F28121" s="2"/>
      <c r="G28121" s="2"/>
      <c r="H28121" s="2"/>
    </row>
    <row r="28122" spans="1:8" x14ac:dyDescent="0.25">
      <c r="A28122" s="1"/>
      <c r="B28122" s="1" t="s">
        <v>7328</v>
      </c>
      <c r="C28122" s="1" t="s">
        <v>7329</v>
      </c>
      <c r="D28122" s="22" t="str">
        <f>HYPERLINK("https://rhld.insurance.arkansas.gov/NPILookup?Npi=1780010546","1780010546")</f>
        <v>1780010546</v>
      </c>
      <c r="E28122" s="1" t="s">
        <v>28586</v>
      </c>
      <c r="F28122" s="2"/>
      <c r="G28122" s="2"/>
      <c r="H28122" s="2"/>
    </row>
    <row r="28123" spans="1:8" x14ac:dyDescent="0.25">
      <c r="A28123" s="1"/>
      <c r="B28123" s="1" t="s">
        <v>7328</v>
      </c>
      <c r="C28123" s="1" t="s">
        <v>7329</v>
      </c>
      <c r="D28123" s="22" t="str">
        <f>HYPERLINK("https://rhld.insurance.arkansas.gov/NPILookup?Npi=1780012773","1780012773")</f>
        <v>1780012773</v>
      </c>
      <c r="E28123" s="1" t="s">
        <v>28587</v>
      </c>
      <c r="F28123" s="2"/>
      <c r="G28123" s="2"/>
      <c r="H28123" s="2"/>
    </row>
    <row r="28124" spans="1:8" x14ac:dyDescent="0.25">
      <c r="A28124" s="1"/>
      <c r="B28124" s="1" t="s">
        <v>7328</v>
      </c>
      <c r="C28124" s="1" t="s">
        <v>7329</v>
      </c>
      <c r="D28124" s="22" t="str">
        <f>HYPERLINK("https://rhld.insurance.arkansas.gov/NPILookup?Npi=1780018143","1780018143")</f>
        <v>1780018143</v>
      </c>
      <c r="E28124" s="1" t="s">
        <v>1702</v>
      </c>
      <c r="F28124" s="2"/>
      <c r="G28124" s="2"/>
      <c r="H28124" s="2"/>
    </row>
    <row r="28125" spans="1:8" x14ac:dyDescent="0.25">
      <c r="A28125" s="1"/>
      <c r="B28125" s="1" t="s">
        <v>7328</v>
      </c>
      <c r="C28125" s="1" t="s">
        <v>7329</v>
      </c>
      <c r="D28125" s="22" t="str">
        <f>HYPERLINK("https://rhld.insurance.arkansas.gov/NPILookup?Npi=1780024596","1780024596")</f>
        <v>1780024596</v>
      </c>
      <c r="E28125" s="1" t="s">
        <v>8088</v>
      </c>
      <c r="F28125" s="2"/>
      <c r="G28125" s="2"/>
      <c r="H28125" s="2"/>
    </row>
    <row r="28126" spans="1:8" x14ac:dyDescent="0.25">
      <c r="A28126" s="1"/>
      <c r="B28126" s="1" t="s">
        <v>7328</v>
      </c>
      <c r="C28126" s="1" t="s">
        <v>7329</v>
      </c>
      <c r="D28126" s="22" t="str">
        <f>HYPERLINK("https://rhld.insurance.arkansas.gov/NPILookup?Npi=1780027144","1780027144")</f>
        <v>1780027144</v>
      </c>
      <c r="E28126" s="1" t="s">
        <v>28588</v>
      </c>
      <c r="F28126" s="2"/>
      <c r="G28126" s="2"/>
      <c r="H28126" s="2"/>
    </row>
    <row r="28127" spans="1:8" x14ac:dyDescent="0.25">
      <c r="A28127" s="1"/>
      <c r="B28127" s="1" t="s">
        <v>7328</v>
      </c>
      <c r="C28127" s="1" t="s">
        <v>7329</v>
      </c>
      <c r="D28127" s="22" t="str">
        <f>HYPERLINK("https://rhld.insurance.arkansas.gov/NPILookup?Npi=1780035998","1780035998")</f>
        <v>1780035998</v>
      </c>
      <c r="E28127" s="1" t="s">
        <v>23287</v>
      </c>
      <c r="F28127" s="2"/>
      <c r="G28127" s="2"/>
      <c r="H28127" s="2"/>
    </row>
    <row r="28128" spans="1:8" x14ac:dyDescent="0.25">
      <c r="A28128" s="1"/>
      <c r="B28128" s="1" t="s">
        <v>7328</v>
      </c>
      <c r="C28128" s="1" t="s">
        <v>7329</v>
      </c>
      <c r="D28128" s="22" t="str">
        <f>HYPERLINK("https://rhld.insurance.arkansas.gov/NPILookup?Npi=1780039677","1780039677")</f>
        <v>1780039677</v>
      </c>
      <c r="E28128" s="1" t="s">
        <v>13592</v>
      </c>
      <c r="F28128" s="2"/>
      <c r="G28128" s="2"/>
      <c r="H28128" s="2"/>
    </row>
    <row r="28129" spans="1:8" x14ac:dyDescent="0.25">
      <c r="A28129" s="1"/>
      <c r="B28129" s="1" t="s">
        <v>7328</v>
      </c>
      <c r="C28129" s="1" t="s">
        <v>7329</v>
      </c>
      <c r="D28129" s="22" t="str">
        <f>HYPERLINK("https://rhld.insurance.arkansas.gov/NPILookup?Npi=1780041319","1780041319")</f>
        <v>1780041319</v>
      </c>
      <c r="E28129" s="1" t="s">
        <v>28589</v>
      </c>
      <c r="F28129" s="2"/>
      <c r="G28129" s="2"/>
      <c r="H28129" s="2"/>
    </row>
    <row r="28130" spans="1:8" x14ac:dyDescent="0.25">
      <c r="A28130" s="1"/>
      <c r="B28130" s="1" t="s">
        <v>7328</v>
      </c>
      <c r="C28130" s="1" t="s">
        <v>7329</v>
      </c>
      <c r="D28130" s="22" t="str">
        <f>HYPERLINK("https://rhld.insurance.arkansas.gov/NPILookup?Npi=1780041939","1780041939")</f>
        <v>1780041939</v>
      </c>
      <c r="E28130" s="1" t="s">
        <v>733</v>
      </c>
      <c r="F28130" s="2"/>
      <c r="G28130" s="2"/>
      <c r="H28130" s="2"/>
    </row>
    <row r="28131" spans="1:8" x14ac:dyDescent="0.25">
      <c r="A28131" s="1"/>
      <c r="B28131" s="1" t="s">
        <v>7328</v>
      </c>
      <c r="C28131" s="1" t="s">
        <v>7329</v>
      </c>
      <c r="D28131" s="22" t="str">
        <f>HYPERLINK("https://rhld.insurance.arkansas.gov/NPILookup?Npi=1780044594","1780044594")</f>
        <v>1780044594</v>
      </c>
      <c r="E28131" s="1" t="s">
        <v>28590</v>
      </c>
      <c r="F28131" s="2"/>
      <c r="G28131" s="2"/>
      <c r="H28131" s="2"/>
    </row>
    <row r="28132" spans="1:8" x14ac:dyDescent="0.25">
      <c r="A28132" s="1"/>
      <c r="B28132" s="1" t="s">
        <v>7328</v>
      </c>
      <c r="C28132" s="1" t="s">
        <v>7329</v>
      </c>
      <c r="D28132" s="22" t="str">
        <f>HYPERLINK("https://rhld.insurance.arkansas.gov/NPILookup?Npi=1780046664","1780046664")</f>
        <v>1780046664</v>
      </c>
      <c r="E28132" s="1" t="s">
        <v>13593</v>
      </c>
      <c r="F28132" s="2"/>
      <c r="G28132" s="2"/>
      <c r="H28132" s="2"/>
    </row>
    <row r="28133" spans="1:8" x14ac:dyDescent="0.25">
      <c r="A28133" s="1"/>
      <c r="B28133" s="1" t="s">
        <v>7328</v>
      </c>
      <c r="C28133" s="1" t="s">
        <v>7329</v>
      </c>
      <c r="D28133" s="22" t="str">
        <f>HYPERLINK("https://rhld.insurance.arkansas.gov/NPILookup?Npi=1780055178","1780055178")</f>
        <v>1780055178</v>
      </c>
      <c r="E28133" s="1" t="s">
        <v>28591</v>
      </c>
      <c r="F28133" s="2"/>
      <c r="G28133" s="2"/>
      <c r="H28133" s="2"/>
    </row>
    <row r="28134" spans="1:8" x14ac:dyDescent="0.25">
      <c r="A28134" s="1"/>
      <c r="B28134" s="1" t="s">
        <v>7328</v>
      </c>
      <c r="C28134" s="1" t="s">
        <v>7329</v>
      </c>
      <c r="D28134" s="22" t="str">
        <f>HYPERLINK("https://rhld.insurance.arkansas.gov/NPILookup?Npi=1780056895","1780056895")</f>
        <v>1780056895</v>
      </c>
      <c r="E28134" s="1" t="s">
        <v>28592</v>
      </c>
      <c r="F28134" s="2"/>
      <c r="G28134" s="2"/>
      <c r="H28134" s="2"/>
    </row>
    <row r="28135" spans="1:8" x14ac:dyDescent="0.25">
      <c r="A28135" s="1"/>
      <c r="B28135" s="1" t="s">
        <v>7328</v>
      </c>
      <c r="C28135" s="1" t="s">
        <v>7329</v>
      </c>
      <c r="D28135" s="22" t="str">
        <f>HYPERLINK("https://rhld.insurance.arkansas.gov/NPILookup?Npi=1780065599","1780065599")</f>
        <v>1780065599</v>
      </c>
      <c r="E28135" s="1" t="s">
        <v>17877</v>
      </c>
      <c r="F28135" s="2"/>
      <c r="G28135" s="2"/>
      <c r="H28135" s="2"/>
    </row>
    <row r="28136" spans="1:8" x14ac:dyDescent="0.25">
      <c r="A28136" s="1"/>
      <c r="B28136" s="1" t="s">
        <v>7328</v>
      </c>
      <c r="C28136" s="1" t="s">
        <v>7329</v>
      </c>
      <c r="D28136" s="22" t="str">
        <f>HYPERLINK("https://rhld.insurance.arkansas.gov/NPILookup?Npi=1780075473","1780075473")</f>
        <v>1780075473</v>
      </c>
      <c r="E28136" s="1" t="s">
        <v>28593</v>
      </c>
      <c r="F28136" s="2"/>
      <c r="G28136" s="2"/>
      <c r="H28136" s="2"/>
    </row>
    <row r="28137" spans="1:8" x14ac:dyDescent="0.25">
      <c r="A28137" s="1"/>
      <c r="B28137" s="1" t="s">
        <v>7328</v>
      </c>
      <c r="C28137" s="1" t="s">
        <v>7329</v>
      </c>
      <c r="D28137" s="22" t="str">
        <f>HYPERLINK("https://rhld.insurance.arkansas.gov/NPILookup?Npi=1780079475","1780079475")</f>
        <v>1780079475</v>
      </c>
      <c r="E28137" s="1" t="s">
        <v>28594</v>
      </c>
      <c r="F28137" s="2"/>
      <c r="G28137" s="2"/>
      <c r="H28137" s="2"/>
    </row>
    <row r="28138" spans="1:8" x14ac:dyDescent="0.25">
      <c r="A28138" s="1"/>
      <c r="B28138" s="1" t="s">
        <v>7328</v>
      </c>
      <c r="C28138" s="1" t="s">
        <v>7329</v>
      </c>
      <c r="D28138" s="22" t="str">
        <f>HYPERLINK("https://rhld.insurance.arkansas.gov/NPILookup?Npi=1780086132","1780086132")</f>
        <v>1780086132</v>
      </c>
      <c r="E28138" s="1" t="s">
        <v>23289</v>
      </c>
      <c r="F28138" s="2"/>
      <c r="G28138" s="2"/>
      <c r="H28138" s="2"/>
    </row>
    <row r="28139" spans="1:8" x14ac:dyDescent="0.25">
      <c r="A28139" s="1"/>
      <c r="B28139" s="1" t="s">
        <v>7328</v>
      </c>
      <c r="C28139" s="1" t="s">
        <v>7329</v>
      </c>
      <c r="D28139" s="22" t="str">
        <f>HYPERLINK("https://rhld.insurance.arkansas.gov/NPILookup?Npi=1780093740","1780093740")</f>
        <v>1780093740</v>
      </c>
      <c r="E28139" s="1" t="s">
        <v>28595</v>
      </c>
      <c r="F28139" s="2"/>
      <c r="G28139" s="2"/>
      <c r="H28139" s="2"/>
    </row>
    <row r="28140" spans="1:8" x14ac:dyDescent="0.25">
      <c r="A28140" s="1"/>
      <c r="B28140" s="1" t="s">
        <v>7328</v>
      </c>
      <c r="C28140" s="1" t="s">
        <v>7329</v>
      </c>
      <c r="D28140" s="22" t="str">
        <f>HYPERLINK("https://rhld.insurance.arkansas.gov/NPILookup?Npi=1780095323","1780095323")</f>
        <v>1780095323</v>
      </c>
      <c r="E28140" s="1" t="s">
        <v>13594</v>
      </c>
      <c r="F28140" s="2"/>
      <c r="G28140" s="2"/>
      <c r="H28140" s="2"/>
    </row>
    <row r="28141" spans="1:8" x14ac:dyDescent="0.25">
      <c r="A28141" s="1"/>
      <c r="B28141" s="1" t="s">
        <v>7328</v>
      </c>
      <c r="C28141" s="1" t="s">
        <v>7329</v>
      </c>
      <c r="D28141" s="22" t="str">
        <f>HYPERLINK("https://rhld.insurance.arkansas.gov/NPILookup?Npi=1780099598","1780099598")</f>
        <v>1780099598</v>
      </c>
      <c r="E28141" s="1" t="s">
        <v>32360</v>
      </c>
      <c r="F28141" s="2"/>
      <c r="G28141" s="2"/>
      <c r="H28141" s="2"/>
    </row>
    <row r="28142" spans="1:8" x14ac:dyDescent="0.25">
      <c r="A28142" s="1"/>
      <c r="B28142" s="1" t="s">
        <v>7328</v>
      </c>
      <c r="C28142" s="1" t="s">
        <v>7329</v>
      </c>
      <c r="D28142" s="22" t="str">
        <f>HYPERLINK("https://rhld.insurance.arkansas.gov/NPILookup?Npi=1780107219","1780107219")</f>
        <v>1780107219</v>
      </c>
      <c r="E28142" s="1" t="s">
        <v>32361</v>
      </c>
      <c r="F28142" s="2"/>
      <c r="G28142" s="2"/>
      <c r="H28142" s="2"/>
    </row>
    <row r="28143" spans="1:8" x14ac:dyDescent="0.25">
      <c r="A28143" s="1"/>
      <c r="B28143" s="1" t="s">
        <v>7328</v>
      </c>
      <c r="C28143" s="1" t="s">
        <v>7329</v>
      </c>
      <c r="D28143" s="22" t="str">
        <f>HYPERLINK("https://rhld.insurance.arkansas.gov/NPILookup?Npi=1780117143","1780117143")</f>
        <v>1780117143</v>
      </c>
      <c r="E28143" s="1" t="s">
        <v>13595</v>
      </c>
      <c r="F28143" s="2"/>
      <c r="G28143" s="2"/>
      <c r="H28143" s="2"/>
    </row>
    <row r="28144" spans="1:8" x14ac:dyDescent="0.25">
      <c r="A28144" s="1"/>
      <c r="B28144" s="1" t="s">
        <v>7328</v>
      </c>
      <c r="C28144" s="1" t="s">
        <v>7329</v>
      </c>
      <c r="D28144" s="22" t="str">
        <f>HYPERLINK("https://rhld.insurance.arkansas.gov/NPILookup?Npi=1780120097","1780120097")</f>
        <v>1780120097</v>
      </c>
      <c r="E28144" s="1" t="s">
        <v>28596</v>
      </c>
      <c r="F28144" s="2"/>
      <c r="G28144" s="2"/>
      <c r="H28144" s="2"/>
    </row>
    <row r="28145" spans="1:8" x14ac:dyDescent="0.25">
      <c r="A28145" s="1"/>
      <c r="B28145" s="1" t="s">
        <v>7328</v>
      </c>
      <c r="C28145" s="1" t="s">
        <v>7329</v>
      </c>
      <c r="D28145" s="22" t="str">
        <f>HYPERLINK("https://rhld.insurance.arkansas.gov/NPILookup?Npi=1780137349","1780137349")</f>
        <v>1780137349</v>
      </c>
      <c r="E28145" s="1" t="s">
        <v>28597</v>
      </c>
      <c r="F28145" s="2"/>
      <c r="G28145" s="2"/>
      <c r="H28145" s="2"/>
    </row>
    <row r="28146" spans="1:8" x14ac:dyDescent="0.25">
      <c r="A28146" s="1"/>
      <c r="B28146" s="1" t="s">
        <v>7328</v>
      </c>
      <c r="C28146" s="1" t="s">
        <v>7329</v>
      </c>
      <c r="D28146" s="22" t="str">
        <f>HYPERLINK("https://rhld.insurance.arkansas.gov/NPILookup?Npi=1780160085","1780160085")</f>
        <v>1780160085</v>
      </c>
      <c r="E28146" s="1" t="s">
        <v>13596</v>
      </c>
      <c r="F28146" s="2"/>
      <c r="G28146" s="2"/>
      <c r="H28146" s="2"/>
    </row>
    <row r="28147" spans="1:8" x14ac:dyDescent="0.25">
      <c r="A28147" s="1"/>
      <c r="B28147" s="1" t="s">
        <v>7328</v>
      </c>
      <c r="C28147" s="1" t="s">
        <v>7329</v>
      </c>
      <c r="D28147" s="22" t="str">
        <f>HYPERLINK("https://rhld.insurance.arkansas.gov/NPILookup?Npi=1780191015","1780191015")</f>
        <v>1780191015</v>
      </c>
      <c r="E28147" s="1" t="s">
        <v>28598</v>
      </c>
      <c r="F28147" s="2"/>
      <c r="G28147" s="2"/>
      <c r="H28147" s="2"/>
    </row>
    <row r="28148" spans="1:8" x14ac:dyDescent="0.25">
      <c r="A28148" s="1"/>
      <c r="B28148" s="1" t="s">
        <v>7328</v>
      </c>
      <c r="C28148" s="1" t="s">
        <v>7329</v>
      </c>
      <c r="D28148" s="22" t="str">
        <f>HYPERLINK("https://rhld.insurance.arkansas.gov/NPILookup?Npi=1780195347","1780195347")</f>
        <v>1780195347</v>
      </c>
      <c r="E28148" s="1" t="s">
        <v>28599</v>
      </c>
      <c r="F28148" s="2"/>
      <c r="G28148" s="2"/>
      <c r="H28148" s="2"/>
    </row>
    <row r="28149" spans="1:8" x14ac:dyDescent="0.25">
      <c r="A28149" s="1"/>
      <c r="B28149" s="1" t="s">
        <v>7328</v>
      </c>
      <c r="C28149" s="1" t="s">
        <v>7329</v>
      </c>
      <c r="D28149" s="22" t="str">
        <f>HYPERLINK("https://rhld.insurance.arkansas.gov/NPILookup?Npi=1780196550","1780196550")</f>
        <v>1780196550</v>
      </c>
      <c r="E28149" s="1" t="s">
        <v>28600</v>
      </c>
      <c r="F28149" s="2"/>
      <c r="G28149" s="2"/>
      <c r="H28149" s="2"/>
    </row>
    <row r="28150" spans="1:8" x14ac:dyDescent="0.25">
      <c r="A28150" s="1"/>
      <c r="B28150" s="1" t="s">
        <v>7328</v>
      </c>
      <c r="C28150" s="1" t="s">
        <v>7329</v>
      </c>
      <c r="D28150" s="22" t="str">
        <f>HYPERLINK("https://rhld.insurance.arkansas.gov/NPILookup?Npi=1780218206","1780218206")</f>
        <v>1780218206</v>
      </c>
      <c r="E28150" s="1" t="s">
        <v>13597</v>
      </c>
      <c r="F28150" s="2"/>
      <c r="G28150" s="2"/>
      <c r="H28150" s="2"/>
    </row>
    <row r="28151" spans="1:8" x14ac:dyDescent="0.25">
      <c r="A28151" s="1"/>
      <c r="B28151" s="1" t="s">
        <v>7328</v>
      </c>
      <c r="C28151" s="1" t="s">
        <v>7329</v>
      </c>
      <c r="D28151" s="22" t="str">
        <f>HYPERLINK("https://rhld.insurance.arkansas.gov/NPILookup?Npi=1780224923","1780224923")</f>
        <v>1780224923</v>
      </c>
      <c r="E28151" s="1" t="s">
        <v>20815</v>
      </c>
      <c r="F28151" s="2"/>
      <c r="G28151" s="2"/>
      <c r="H28151" s="2"/>
    </row>
    <row r="28152" spans="1:8" x14ac:dyDescent="0.25">
      <c r="A28152" s="1"/>
      <c r="B28152" s="1" t="s">
        <v>7328</v>
      </c>
      <c r="C28152" s="1" t="s">
        <v>7329</v>
      </c>
      <c r="D28152" s="22" t="str">
        <f>HYPERLINK("https://rhld.insurance.arkansas.gov/NPILookup?Npi=1780225227","1780225227")</f>
        <v>1780225227</v>
      </c>
      <c r="E28152" s="1" t="s">
        <v>8089</v>
      </c>
      <c r="F28152" s="2"/>
      <c r="G28152" s="2"/>
      <c r="H28152" s="2"/>
    </row>
    <row r="28153" spans="1:8" x14ac:dyDescent="0.25">
      <c r="A28153" s="1"/>
      <c r="B28153" s="1" t="s">
        <v>7328</v>
      </c>
      <c r="C28153" s="1" t="s">
        <v>7329</v>
      </c>
      <c r="D28153" s="22" t="str">
        <f>HYPERLINK("https://rhld.insurance.arkansas.gov/NPILookup?Npi=1780230375","1780230375")</f>
        <v>1780230375</v>
      </c>
      <c r="E28153" s="1" t="s">
        <v>28601</v>
      </c>
      <c r="F28153" s="2"/>
      <c r="G28153" s="2"/>
      <c r="H28153" s="2"/>
    </row>
    <row r="28154" spans="1:8" x14ac:dyDescent="0.25">
      <c r="A28154" s="1"/>
      <c r="B28154" s="1" t="s">
        <v>7328</v>
      </c>
      <c r="C28154" s="1" t="s">
        <v>7329</v>
      </c>
      <c r="D28154" s="22" t="str">
        <f>HYPERLINK("https://rhld.insurance.arkansas.gov/NPILookup?Npi=1780238782","1780238782")</f>
        <v>1780238782</v>
      </c>
      <c r="E28154" s="1" t="s">
        <v>28602</v>
      </c>
      <c r="F28154" s="2"/>
      <c r="G28154" s="2"/>
      <c r="H28154" s="2"/>
    </row>
    <row r="28155" spans="1:8" x14ac:dyDescent="0.25">
      <c r="A28155" s="1"/>
      <c r="B28155" s="1" t="s">
        <v>7328</v>
      </c>
      <c r="C28155" s="1" t="s">
        <v>7329</v>
      </c>
      <c r="D28155" s="22" t="str">
        <f>HYPERLINK("https://rhld.insurance.arkansas.gov/NPILookup?Npi=1780244517","1780244517")</f>
        <v>1780244517</v>
      </c>
      <c r="E28155" s="1" t="s">
        <v>28603</v>
      </c>
      <c r="F28155" s="2"/>
      <c r="G28155" s="2"/>
      <c r="H28155" s="2"/>
    </row>
    <row r="28156" spans="1:8" x14ac:dyDescent="0.25">
      <c r="A28156" s="1"/>
      <c r="B28156" s="1" t="s">
        <v>7328</v>
      </c>
      <c r="C28156" s="1" t="s">
        <v>7329</v>
      </c>
      <c r="D28156" s="22" t="str">
        <f>HYPERLINK("https://rhld.insurance.arkansas.gov/NPILookup?Npi=1780249896","1780249896")</f>
        <v>1780249896</v>
      </c>
      <c r="E28156" s="1" t="s">
        <v>13598</v>
      </c>
      <c r="F28156" s="2"/>
      <c r="G28156" s="2"/>
      <c r="H28156" s="2"/>
    </row>
    <row r="28157" spans="1:8" x14ac:dyDescent="0.25">
      <c r="A28157" s="1"/>
      <c r="B28157" s="1" t="s">
        <v>7328</v>
      </c>
      <c r="C28157" s="1" t="s">
        <v>7329</v>
      </c>
      <c r="D28157" s="22" t="str">
        <f>HYPERLINK("https://rhld.insurance.arkansas.gov/NPILookup?Npi=1780261867","1780261867")</f>
        <v>1780261867</v>
      </c>
      <c r="E28157" s="1" t="s">
        <v>8090</v>
      </c>
      <c r="F28157" s="2"/>
      <c r="G28157" s="2"/>
      <c r="H28157" s="2"/>
    </row>
    <row r="28158" spans="1:8" x14ac:dyDescent="0.25">
      <c r="A28158" s="1"/>
      <c r="B28158" s="1" t="s">
        <v>7328</v>
      </c>
      <c r="C28158" s="1" t="s">
        <v>7329</v>
      </c>
      <c r="D28158" s="22" t="str">
        <f>HYPERLINK("https://rhld.insurance.arkansas.gov/NPILookup?Npi=1780262014","1780262014")</f>
        <v>1780262014</v>
      </c>
      <c r="E28158" s="1" t="s">
        <v>28604</v>
      </c>
      <c r="F28158" s="2"/>
      <c r="G28158" s="2"/>
      <c r="H28158" s="2"/>
    </row>
    <row r="28159" spans="1:8" x14ac:dyDescent="0.25">
      <c r="A28159" s="1"/>
      <c r="B28159" s="1" t="s">
        <v>7328</v>
      </c>
      <c r="C28159" s="1" t="s">
        <v>7329</v>
      </c>
      <c r="D28159" s="22" t="str">
        <f>HYPERLINK("https://rhld.insurance.arkansas.gov/NPILookup?Npi=1780265363","1780265363")</f>
        <v>1780265363</v>
      </c>
      <c r="E28159" s="1" t="s">
        <v>28605</v>
      </c>
      <c r="F28159" s="2"/>
      <c r="G28159" s="2"/>
      <c r="H28159" s="2"/>
    </row>
    <row r="28160" spans="1:8" x14ac:dyDescent="0.25">
      <c r="A28160" s="1"/>
      <c r="B28160" s="1" t="s">
        <v>7328</v>
      </c>
      <c r="C28160" s="1" t="s">
        <v>7329</v>
      </c>
      <c r="D28160" s="22" t="str">
        <f>HYPERLINK("https://rhld.insurance.arkansas.gov/NPILookup?Npi=1780273250","1780273250")</f>
        <v>1780273250</v>
      </c>
      <c r="E28160" s="1" t="s">
        <v>28606</v>
      </c>
      <c r="F28160" s="2"/>
      <c r="G28160" s="2"/>
      <c r="H28160" s="2"/>
    </row>
    <row r="28161" spans="1:8" x14ac:dyDescent="0.25">
      <c r="A28161" s="1"/>
      <c r="B28161" s="1" t="s">
        <v>7328</v>
      </c>
      <c r="C28161" s="1" t="s">
        <v>7329</v>
      </c>
      <c r="D28161" s="22" t="str">
        <f>HYPERLINK("https://rhld.insurance.arkansas.gov/NPILookup?Npi=1780274043","1780274043")</f>
        <v>1780274043</v>
      </c>
      <c r="E28161" s="1" t="s">
        <v>8091</v>
      </c>
      <c r="F28161" s="2"/>
      <c r="G28161" s="2"/>
      <c r="H28161" s="2"/>
    </row>
    <row r="28162" spans="1:8" x14ac:dyDescent="0.25">
      <c r="A28162" s="1"/>
      <c r="B28162" s="1" t="s">
        <v>7328</v>
      </c>
      <c r="C28162" s="1" t="s">
        <v>7329</v>
      </c>
      <c r="D28162" s="22" t="str">
        <f>HYPERLINK("https://rhld.insurance.arkansas.gov/NPILookup?Npi=1780278499","1780278499")</f>
        <v>1780278499</v>
      </c>
      <c r="E28162" s="1" t="s">
        <v>13599</v>
      </c>
      <c r="F28162" s="2"/>
      <c r="G28162" s="2"/>
      <c r="H28162" s="2"/>
    </row>
    <row r="28163" spans="1:8" x14ac:dyDescent="0.25">
      <c r="A28163" s="1"/>
      <c r="B28163" s="1" t="s">
        <v>7328</v>
      </c>
      <c r="C28163" s="1" t="s">
        <v>7329</v>
      </c>
      <c r="D28163" s="22" t="str">
        <f>HYPERLINK("https://rhld.insurance.arkansas.gov/NPILookup?Npi=1780279133","1780279133")</f>
        <v>1780279133</v>
      </c>
      <c r="E28163" s="1" t="s">
        <v>28607</v>
      </c>
      <c r="F28163" s="2"/>
      <c r="G28163" s="2"/>
      <c r="H28163" s="2"/>
    </row>
    <row r="28164" spans="1:8" x14ac:dyDescent="0.25">
      <c r="A28164" s="1"/>
      <c r="B28164" s="1" t="s">
        <v>7328</v>
      </c>
      <c r="C28164" s="1" t="s">
        <v>7329</v>
      </c>
      <c r="D28164" s="22" t="str">
        <f>HYPERLINK("https://rhld.insurance.arkansas.gov/NPILookup?Npi=1780295048","1780295048")</f>
        <v>1780295048</v>
      </c>
      <c r="E28164" s="1" t="s">
        <v>28608</v>
      </c>
      <c r="F28164" s="2"/>
      <c r="G28164" s="2"/>
      <c r="H28164" s="2"/>
    </row>
    <row r="28165" spans="1:8" x14ac:dyDescent="0.25">
      <c r="A28165" s="1"/>
      <c r="B28165" s="1" t="s">
        <v>7328</v>
      </c>
      <c r="C28165" s="1" t="s">
        <v>7329</v>
      </c>
      <c r="D28165" s="22" t="str">
        <f>HYPERLINK("https://rhld.insurance.arkansas.gov/NPILookup?Npi=1780297739","1780297739")</f>
        <v>1780297739</v>
      </c>
      <c r="E28165" s="1" t="s">
        <v>28609</v>
      </c>
      <c r="F28165" s="2"/>
      <c r="G28165" s="2"/>
      <c r="H28165" s="2"/>
    </row>
    <row r="28166" spans="1:8" x14ac:dyDescent="0.25">
      <c r="A28166" s="1"/>
      <c r="B28166" s="1" t="s">
        <v>7328</v>
      </c>
      <c r="C28166" s="1" t="s">
        <v>7329</v>
      </c>
      <c r="D28166" s="22" t="str">
        <f>HYPERLINK("https://rhld.insurance.arkansas.gov/NPILookup?Npi=1780302935","1780302935")</f>
        <v>1780302935</v>
      </c>
      <c r="E28166" s="1" t="s">
        <v>8092</v>
      </c>
      <c r="F28166" s="2"/>
      <c r="G28166" s="2"/>
      <c r="H28166" s="2"/>
    </row>
    <row r="28167" spans="1:8" x14ac:dyDescent="0.25">
      <c r="A28167" s="1"/>
      <c r="B28167" s="1" t="s">
        <v>7328</v>
      </c>
      <c r="C28167" s="1" t="s">
        <v>7329</v>
      </c>
      <c r="D28167" s="22" t="str">
        <f>HYPERLINK("https://rhld.insurance.arkansas.gov/NPILookup?Npi=1780317594","1780317594")</f>
        <v>1780317594</v>
      </c>
      <c r="E28167" s="1" t="s">
        <v>8093</v>
      </c>
      <c r="F28167" s="2"/>
      <c r="G28167" s="2"/>
      <c r="H28167" s="2"/>
    </row>
    <row r="28168" spans="1:8" x14ac:dyDescent="0.25">
      <c r="A28168" s="1"/>
      <c r="B28168" s="1" t="s">
        <v>7328</v>
      </c>
      <c r="C28168" s="1" t="s">
        <v>7329</v>
      </c>
      <c r="D28168" s="22" t="str">
        <f>HYPERLINK("https://rhld.insurance.arkansas.gov/NPILookup?Npi=1780331710","1780331710")</f>
        <v>1780331710</v>
      </c>
      <c r="E28168" s="1" t="s">
        <v>28610</v>
      </c>
      <c r="F28168" s="2"/>
      <c r="G28168" s="2"/>
      <c r="H28168" s="2"/>
    </row>
    <row r="28169" spans="1:8" x14ac:dyDescent="0.25">
      <c r="A28169" s="1"/>
      <c r="B28169" s="1" t="s">
        <v>7328</v>
      </c>
      <c r="C28169" s="1" t="s">
        <v>7329</v>
      </c>
      <c r="D28169" s="22" t="str">
        <f>HYPERLINK("https://rhld.insurance.arkansas.gov/NPILookup?Npi=1780331975","1780331975")</f>
        <v>1780331975</v>
      </c>
      <c r="E28169" s="1" t="s">
        <v>28611</v>
      </c>
      <c r="F28169" s="2"/>
      <c r="G28169" s="2"/>
      <c r="H28169" s="2"/>
    </row>
    <row r="28170" spans="1:8" x14ac:dyDescent="0.25">
      <c r="A28170" s="1"/>
      <c r="B28170" s="1" t="s">
        <v>7328</v>
      </c>
      <c r="C28170" s="1" t="s">
        <v>7329</v>
      </c>
      <c r="D28170" s="22" t="str">
        <f>HYPERLINK("https://rhld.insurance.arkansas.gov/NPILookup?Npi=1780332890","1780332890")</f>
        <v>1780332890</v>
      </c>
      <c r="E28170" s="1" t="s">
        <v>1812</v>
      </c>
      <c r="F28170" s="2"/>
      <c r="G28170" s="2"/>
      <c r="H28170" s="2"/>
    </row>
    <row r="28171" spans="1:8" x14ac:dyDescent="0.25">
      <c r="A28171" s="1"/>
      <c r="B28171" s="1" t="s">
        <v>7328</v>
      </c>
      <c r="C28171" s="1" t="s">
        <v>7329</v>
      </c>
      <c r="D28171" s="22" t="str">
        <f>HYPERLINK("https://rhld.insurance.arkansas.gov/NPILookup?Npi=1780356642","1780356642")</f>
        <v>1780356642</v>
      </c>
      <c r="E28171" s="1" t="s">
        <v>28612</v>
      </c>
      <c r="F28171" s="2"/>
      <c r="G28171" s="2"/>
      <c r="H28171" s="2"/>
    </row>
    <row r="28172" spans="1:8" x14ac:dyDescent="0.25">
      <c r="A28172" s="1"/>
      <c r="B28172" s="1" t="s">
        <v>7328</v>
      </c>
      <c r="C28172" s="1" t="s">
        <v>7329</v>
      </c>
      <c r="D28172" s="22" t="str">
        <f>HYPERLINK("https://rhld.insurance.arkansas.gov/NPILookup?Npi=1780403048","1780403048")</f>
        <v>1780403048</v>
      </c>
      <c r="E28172" s="1" t="s">
        <v>28613</v>
      </c>
      <c r="F28172" s="2"/>
      <c r="G28172" s="2"/>
      <c r="H28172" s="2"/>
    </row>
    <row r="28173" spans="1:8" x14ac:dyDescent="0.25">
      <c r="A28173" s="1"/>
      <c r="B28173" s="1" t="s">
        <v>7328</v>
      </c>
      <c r="C28173" s="1" t="s">
        <v>7329</v>
      </c>
      <c r="D28173" s="22" t="str">
        <f>HYPERLINK("https://rhld.insurance.arkansas.gov/NPILookup?Npi=1780452698","1780452698")</f>
        <v>1780452698</v>
      </c>
      <c r="E28173" s="1" t="s">
        <v>28614</v>
      </c>
      <c r="F28173" s="2"/>
      <c r="G28173" s="2"/>
      <c r="H28173" s="2"/>
    </row>
    <row r="28174" spans="1:8" x14ac:dyDescent="0.25">
      <c r="A28174" s="1"/>
      <c r="B28174" s="1" t="s">
        <v>7328</v>
      </c>
      <c r="C28174" s="1" t="s">
        <v>7329</v>
      </c>
      <c r="D28174" s="22" t="str">
        <f>HYPERLINK("https://rhld.insurance.arkansas.gov/NPILookup?Npi=1780464560","1780464560")</f>
        <v>1780464560</v>
      </c>
      <c r="E28174" s="1" t="s">
        <v>8094</v>
      </c>
      <c r="F28174" s="2"/>
      <c r="G28174" s="2"/>
      <c r="H28174" s="2"/>
    </row>
    <row r="28175" spans="1:8" x14ac:dyDescent="0.25">
      <c r="A28175" s="1"/>
      <c r="B28175" s="1" t="s">
        <v>7328</v>
      </c>
      <c r="C28175" s="1" t="s">
        <v>7329</v>
      </c>
      <c r="D28175" s="22" t="str">
        <f>HYPERLINK("https://rhld.insurance.arkansas.gov/NPILookup?Npi=1780486530","1780486530")</f>
        <v>1780486530</v>
      </c>
      <c r="E28175" s="1" t="s">
        <v>32362</v>
      </c>
      <c r="F28175" s="2"/>
      <c r="G28175" s="2"/>
      <c r="H28175" s="2"/>
    </row>
    <row r="28176" spans="1:8" x14ac:dyDescent="0.25">
      <c r="A28176" s="1"/>
      <c r="B28176" s="1" t="s">
        <v>7328</v>
      </c>
      <c r="C28176" s="1" t="s">
        <v>7329</v>
      </c>
      <c r="D28176" s="22" t="str">
        <f>HYPERLINK("https://rhld.insurance.arkansas.gov/NPILookup?Npi=1780604066","1780604066")</f>
        <v>1780604066</v>
      </c>
      <c r="E28176" s="1" t="s">
        <v>13600</v>
      </c>
      <c r="F28176" s="2"/>
      <c r="G28176" s="2"/>
      <c r="H28176" s="2"/>
    </row>
    <row r="28177" spans="1:8" x14ac:dyDescent="0.25">
      <c r="A28177" s="1"/>
      <c r="B28177" s="1" t="s">
        <v>7328</v>
      </c>
      <c r="C28177" s="1" t="s">
        <v>7329</v>
      </c>
      <c r="D28177" s="22" t="str">
        <f>HYPERLINK("https://rhld.insurance.arkansas.gov/NPILookup?Npi=1780607952","1780607952")</f>
        <v>1780607952</v>
      </c>
      <c r="E28177" s="1" t="s">
        <v>28615</v>
      </c>
      <c r="F28177" s="2"/>
      <c r="G28177" s="2"/>
      <c r="H28177" s="2"/>
    </row>
    <row r="28178" spans="1:8" x14ac:dyDescent="0.25">
      <c r="A28178" s="1"/>
      <c r="B28178" s="1" t="s">
        <v>7328</v>
      </c>
      <c r="C28178" s="1" t="s">
        <v>7329</v>
      </c>
      <c r="D28178" s="22" t="str">
        <f>HYPERLINK("https://rhld.insurance.arkansas.gov/NPILookup?Npi=1780609032","1780609032")</f>
        <v>1780609032</v>
      </c>
      <c r="E28178" s="1" t="s">
        <v>13601</v>
      </c>
      <c r="F28178" s="2"/>
      <c r="G28178" s="2"/>
      <c r="H28178" s="2"/>
    </row>
    <row r="28179" spans="1:8" x14ac:dyDescent="0.25">
      <c r="A28179" s="1"/>
      <c r="B28179" s="1" t="s">
        <v>7328</v>
      </c>
      <c r="C28179" s="1" t="s">
        <v>7329</v>
      </c>
      <c r="D28179" s="22" t="str">
        <f>HYPERLINK("https://rhld.insurance.arkansas.gov/NPILookup?Npi=1780631168","1780631168")</f>
        <v>1780631168</v>
      </c>
      <c r="E28179" s="1" t="s">
        <v>28616</v>
      </c>
      <c r="F28179" s="2"/>
      <c r="G28179" s="2"/>
      <c r="H28179" s="2"/>
    </row>
    <row r="28180" spans="1:8" x14ac:dyDescent="0.25">
      <c r="A28180" s="1"/>
      <c r="B28180" s="1" t="s">
        <v>7328</v>
      </c>
      <c r="C28180" s="1" t="s">
        <v>7329</v>
      </c>
      <c r="D28180" s="22" t="str">
        <f>HYPERLINK("https://rhld.insurance.arkansas.gov/NPILookup?Npi=1780632364","1780632364")</f>
        <v>1780632364</v>
      </c>
      <c r="E28180" s="1" t="s">
        <v>13602</v>
      </c>
      <c r="F28180" s="2"/>
      <c r="G28180" s="2"/>
      <c r="H28180" s="2"/>
    </row>
    <row r="28181" spans="1:8" x14ac:dyDescent="0.25">
      <c r="A28181" s="1"/>
      <c r="B28181" s="1" t="s">
        <v>7328</v>
      </c>
      <c r="C28181" s="1" t="s">
        <v>7329</v>
      </c>
      <c r="D28181" s="22" t="str">
        <f>HYPERLINK("https://rhld.insurance.arkansas.gov/NPILookup?Npi=1780641621","1780641621")</f>
        <v>1780641621</v>
      </c>
      <c r="E28181" s="1" t="s">
        <v>28617</v>
      </c>
      <c r="F28181" s="2"/>
      <c r="G28181" s="2"/>
      <c r="H28181" s="2"/>
    </row>
    <row r="28182" spans="1:8" x14ac:dyDescent="0.25">
      <c r="A28182" s="1"/>
      <c r="B28182" s="1" t="s">
        <v>7328</v>
      </c>
      <c r="C28182" s="1" t="s">
        <v>7329</v>
      </c>
      <c r="D28182" s="22" t="str">
        <f>HYPERLINK("https://rhld.insurance.arkansas.gov/NPILookup?Npi=1780651505","1780651505")</f>
        <v>1780651505</v>
      </c>
      <c r="E28182" s="1" t="s">
        <v>13603</v>
      </c>
      <c r="F28182" s="2"/>
      <c r="G28182" s="2"/>
      <c r="H28182" s="2"/>
    </row>
    <row r="28183" spans="1:8" x14ac:dyDescent="0.25">
      <c r="A28183" s="1"/>
      <c r="B28183" s="1" t="s">
        <v>7328</v>
      </c>
      <c r="C28183" s="1" t="s">
        <v>7329</v>
      </c>
      <c r="D28183" s="22" t="str">
        <f>HYPERLINK("https://rhld.insurance.arkansas.gov/NPILookup?Npi=1780663575","1780663575")</f>
        <v>1780663575</v>
      </c>
      <c r="E28183" s="1" t="s">
        <v>28618</v>
      </c>
      <c r="F28183" s="2"/>
      <c r="G28183" s="2"/>
      <c r="H28183" s="2"/>
    </row>
    <row r="28184" spans="1:8" x14ac:dyDescent="0.25">
      <c r="A28184" s="1"/>
      <c r="B28184" s="1" t="s">
        <v>7328</v>
      </c>
      <c r="C28184" s="1" t="s">
        <v>7329</v>
      </c>
      <c r="D28184" s="22" t="str">
        <f>HYPERLINK("https://rhld.insurance.arkansas.gov/NPILookup?Npi=1780670257","1780670257")</f>
        <v>1780670257</v>
      </c>
      <c r="E28184" s="1" t="s">
        <v>13604</v>
      </c>
      <c r="F28184" s="2"/>
      <c r="G28184" s="2"/>
      <c r="H28184" s="2"/>
    </row>
    <row r="28185" spans="1:8" x14ac:dyDescent="0.25">
      <c r="A28185" s="1"/>
      <c r="B28185" s="1" t="s">
        <v>7328</v>
      </c>
      <c r="C28185" s="1" t="s">
        <v>7329</v>
      </c>
      <c r="D28185" s="22" t="str">
        <f>HYPERLINK("https://rhld.insurance.arkansas.gov/NPILookup?Npi=1780670604","1780670604")</f>
        <v>1780670604</v>
      </c>
      <c r="E28185" s="1" t="s">
        <v>13605</v>
      </c>
      <c r="F28185" s="2"/>
      <c r="G28185" s="2"/>
      <c r="H28185" s="2"/>
    </row>
    <row r="28186" spans="1:8" x14ac:dyDescent="0.25">
      <c r="A28186" s="1"/>
      <c r="B28186" s="1" t="s">
        <v>7328</v>
      </c>
      <c r="C28186" s="1" t="s">
        <v>7329</v>
      </c>
      <c r="D28186" s="22" t="str">
        <f>HYPERLINK("https://rhld.insurance.arkansas.gov/NPILookup?Npi=1780677666","1780677666")</f>
        <v>1780677666</v>
      </c>
      <c r="E28186" s="1" t="s">
        <v>28619</v>
      </c>
      <c r="F28186" s="2"/>
      <c r="G28186" s="2"/>
      <c r="H28186" s="2"/>
    </row>
    <row r="28187" spans="1:8" x14ac:dyDescent="0.25">
      <c r="A28187" s="1"/>
      <c r="B28187" s="1" t="s">
        <v>7328</v>
      </c>
      <c r="C28187" s="1" t="s">
        <v>7329</v>
      </c>
      <c r="D28187" s="22" t="str">
        <f>HYPERLINK("https://rhld.insurance.arkansas.gov/NPILookup?Npi=1780680538","1780680538")</f>
        <v>1780680538</v>
      </c>
      <c r="E28187" s="1" t="s">
        <v>3022</v>
      </c>
      <c r="F28187" s="2"/>
      <c r="G28187" s="2"/>
      <c r="H28187" s="2"/>
    </row>
    <row r="28188" spans="1:8" x14ac:dyDescent="0.25">
      <c r="A28188" s="1"/>
      <c r="B28188" s="1" t="s">
        <v>7328</v>
      </c>
      <c r="C28188" s="1" t="s">
        <v>7329</v>
      </c>
      <c r="D28188" s="22" t="str">
        <f>HYPERLINK("https://rhld.insurance.arkansas.gov/NPILookup?Npi=1780684696","1780684696")</f>
        <v>1780684696</v>
      </c>
      <c r="E28188" s="1" t="s">
        <v>28620</v>
      </c>
      <c r="F28188" s="2"/>
      <c r="G28188" s="2"/>
      <c r="H28188" s="2"/>
    </row>
    <row r="28189" spans="1:8" x14ac:dyDescent="0.25">
      <c r="A28189" s="1"/>
      <c r="B28189" s="1" t="s">
        <v>7328</v>
      </c>
      <c r="C28189" s="1" t="s">
        <v>7329</v>
      </c>
      <c r="D28189" s="22" t="str">
        <f>HYPERLINK("https://rhld.insurance.arkansas.gov/NPILookup?Npi=1780685123","1780685123")</f>
        <v>1780685123</v>
      </c>
      <c r="E28189" s="1" t="s">
        <v>28621</v>
      </c>
      <c r="F28189" s="2"/>
      <c r="G28189" s="2"/>
      <c r="H28189" s="2"/>
    </row>
    <row r="28190" spans="1:8" x14ac:dyDescent="0.25">
      <c r="A28190" s="1"/>
      <c r="B28190" s="1" t="s">
        <v>7328</v>
      </c>
      <c r="C28190" s="1" t="s">
        <v>7329</v>
      </c>
      <c r="D28190" s="22" t="str">
        <f>HYPERLINK("https://rhld.insurance.arkansas.gov/NPILookup?Npi=1780691816","1780691816")</f>
        <v>1780691816</v>
      </c>
      <c r="E28190" s="1" t="s">
        <v>32363</v>
      </c>
      <c r="F28190" s="2"/>
      <c r="G28190" s="2"/>
      <c r="H28190" s="2"/>
    </row>
    <row r="28191" spans="1:8" x14ac:dyDescent="0.25">
      <c r="A28191" s="1"/>
      <c r="B28191" s="1" t="s">
        <v>7328</v>
      </c>
      <c r="C28191" s="1" t="s">
        <v>7329</v>
      </c>
      <c r="D28191" s="22" t="str">
        <f>HYPERLINK("https://rhld.insurance.arkansas.gov/NPILookup?Npi=1780703900","1780703900")</f>
        <v>1780703900</v>
      </c>
      <c r="E28191" s="1" t="s">
        <v>13606</v>
      </c>
      <c r="F28191" s="2"/>
      <c r="G28191" s="2"/>
      <c r="H28191" s="2"/>
    </row>
    <row r="28192" spans="1:8" x14ac:dyDescent="0.25">
      <c r="A28192" s="1"/>
      <c r="B28192" s="1" t="s">
        <v>7328</v>
      </c>
      <c r="C28192" s="1" t="s">
        <v>7329</v>
      </c>
      <c r="D28192" s="22" t="str">
        <f>HYPERLINK("https://rhld.insurance.arkansas.gov/NPILookup?Npi=1780706663","1780706663")</f>
        <v>1780706663</v>
      </c>
      <c r="E28192" s="1" t="s">
        <v>3023</v>
      </c>
      <c r="F28192" s="2"/>
      <c r="G28192" s="2"/>
      <c r="H28192" s="2"/>
    </row>
    <row r="28193" spans="1:8" x14ac:dyDescent="0.25">
      <c r="A28193" s="1"/>
      <c r="B28193" s="1" t="s">
        <v>7328</v>
      </c>
      <c r="C28193" s="1" t="s">
        <v>7329</v>
      </c>
      <c r="D28193" s="22" t="str">
        <f>HYPERLINK("https://rhld.insurance.arkansas.gov/NPILookup?Npi=1780713214","1780713214")</f>
        <v>1780713214</v>
      </c>
      <c r="E28193" s="1" t="s">
        <v>28622</v>
      </c>
      <c r="F28193" s="2"/>
      <c r="G28193" s="2"/>
      <c r="H28193" s="2"/>
    </row>
    <row r="28194" spans="1:8" x14ac:dyDescent="0.25">
      <c r="A28194" s="1"/>
      <c r="B28194" s="1" t="s">
        <v>7328</v>
      </c>
      <c r="C28194" s="1" t="s">
        <v>7329</v>
      </c>
      <c r="D28194" s="22" t="str">
        <f>HYPERLINK("https://rhld.insurance.arkansas.gov/NPILookup?Npi=1780734830","1780734830")</f>
        <v>1780734830</v>
      </c>
      <c r="E28194" s="1" t="s">
        <v>3024</v>
      </c>
      <c r="F28194" s="2"/>
      <c r="G28194" s="2"/>
      <c r="H28194" s="2"/>
    </row>
    <row r="28195" spans="1:8" x14ac:dyDescent="0.25">
      <c r="A28195" s="1"/>
      <c r="B28195" s="1" t="s">
        <v>7328</v>
      </c>
      <c r="C28195" s="1" t="s">
        <v>7329</v>
      </c>
      <c r="D28195" s="22" t="str">
        <f>HYPERLINK("https://rhld.insurance.arkansas.gov/NPILookup?Npi=1780744870","1780744870")</f>
        <v>1780744870</v>
      </c>
      <c r="E28195" s="1" t="s">
        <v>28623</v>
      </c>
      <c r="F28195" s="2"/>
      <c r="G28195" s="2"/>
      <c r="H28195" s="2"/>
    </row>
    <row r="28196" spans="1:8" x14ac:dyDescent="0.25">
      <c r="A28196" s="1"/>
      <c r="B28196" s="1" t="s">
        <v>7328</v>
      </c>
      <c r="C28196" s="1" t="s">
        <v>7329</v>
      </c>
      <c r="D28196" s="22" t="str">
        <f>HYPERLINK("https://rhld.insurance.arkansas.gov/NPILookup?Npi=1780756924","1780756924")</f>
        <v>1780756924</v>
      </c>
      <c r="E28196" s="1" t="s">
        <v>8095</v>
      </c>
      <c r="F28196" s="2"/>
      <c r="G28196" s="2"/>
      <c r="H28196" s="2"/>
    </row>
    <row r="28197" spans="1:8" x14ac:dyDescent="0.25">
      <c r="A28197" s="1"/>
      <c r="B28197" s="1" t="s">
        <v>7328</v>
      </c>
      <c r="C28197" s="1" t="s">
        <v>7329</v>
      </c>
      <c r="D28197" s="22" t="str">
        <f>HYPERLINK("https://rhld.insurance.arkansas.gov/NPILookup?Npi=1780774257","1780774257")</f>
        <v>1780774257</v>
      </c>
      <c r="E28197" s="1" t="s">
        <v>157</v>
      </c>
      <c r="F28197" s="2"/>
      <c r="G28197" s="2"/>
      <c r="H28197" s="2"/>
    </row>
    <row r="28198" spans="1:8" x14ac:dyDescent="0.25">
      <c r="A28198" s="1"/>
      <c r="B28198" s="1" t="s">
        <v>7328</v>
      </c>
      <c r="C28198" s="1" t="s">
        <v>7329</v>
      </c>
      <c r="D28198" s="22" t="str">
        <f>HYPERLINK("https://rhld.insurance.arkansas.gov/NPILookup?Npi=1780776435","1780776435")</f>
        <v>1780776435</v>
      </c>
      <c r="E28198" s="1" t="s">
        <v>28624</v>
      </c>
      <c r="F28198" s="2"/>
      <c r="G28198" s="2"/>
      <c r="H28198" s="2"/>
    </row>
    <row r="28199" spans="1:8" x14ac:dyDescent="0.25">
      <c r="A28199" s="1"/>
      <c r="B28199" s="1" t="s">
        <v>7328</v>
      </c>
      <c r="C28199" s="1" t="s">
        <v>7329</v>
      </c>
      <c r="D28199" s="22" t="str">
        <f>HYPERLINK("https://rhld.insurance.arkansas.gov/NPILookup?Npi=1780798819","1780798819")</f>
        <v>1780798819</v>
      </c>
      <c r="E28199" s="1" t="s">
        <v>28625</v>
      </c>
      <c r="F28199" s="2"/>
      <c r="G28199" s="2"/>
      <c r="H28199" s="2"/>
    </row>
    <row r="28200" spans="1:8" x14ac:dyDescent="0.25">
      <c r="A28200" s="1"/>
      <c r="B28200" s="1" t="s">
        <v>7328</v>
      </c>
      <c r="C28200" s="1" t="s">
        <v>7329</v>
      </c>
      <c r="D28200" s="22" t="str">
        <f>HYPERLINK("https://rhld.insurance.arkansas.gov/NPILookup?Npi=1780801381","1780801381")</f>
        <v>1780801381</v>
      </c>
      <c r="E28200" s="1" t="s">
        <v>28626</v>
      </c>
      <c r="F28200" s="2"/>
      <c r="G28200" s="2"/>
      <c r="H28200" s="2"/>
    </row>
    <row r="28201" spans="1:8" x14ac:dyDescent="0.25">
      <c r="A28201" s="1"/>
      <c r="B28201" s="1" t="s">
        <v>7328</v>
      </c>
      <c r="C28201" s="1" t="s">
        <v>7329</v>
      </c>
      <c r="D28201" s="22" t="str">
        <f>HYPERLINK("https://rhld.insurance.arkansas.gov/NPILookup?Npi=1780815985","1780815985")</f>
        <v>1780815985</v>
      </c>
      <c r="E28201" s="1" t="s">
        <v>13607</v>
      </c>
      <c r="F28201" s="2"/>
      <c r="G28201" s="2"/>
      <c r="H28201" s="2"/>
    </row>
    <row r="28202" spans="1:8" x14ac:dyDescent="0.25">
      <c r="A28202" s="1"/>
      <c r="B28202" s="1" t="s">
        <v>7328</v>
      </c>
      <c r="C28202" s="1" t="s">
        <v>7329</v>
      </c>
      <c r="D28202" s="22" t="str">
        <f>HYPERLINK("https://rhld.insurance.arkansas.gov/NPILookup?Npi=1780833707","1780833707")</f>
        <v>1780833707</v>
      </c>
      <c r="E28202" s="1" t="s">
        <v>13608</v>
      </c>
      <c r="F28202" s="2"/>
      <c r="G28202" s="2"/>
      <c r="H28202" s="2"/>
    </row>
    <row r="28203" spans="1:8" x14ac:dyDescent="0.25">
      <c r="A28203" s="1"/>
      <c r="B28203" s="1" t="s">
        <v>7328</v>
      </c>
      <c r="C28203" s="1" t="s">
        <v>7329</v>
      </c>
      <c r="D28203" s="22" t="str">
        <f>HYPERLINK("https://rhld.insurance.arkansas.gov/NPILookup?Npi=1780877969","1780877969")</f>
        <v>1780877969</v>
      </c>
      <c r="E28203" s="1" t="s">
        <v>122</v>
      </c>
      <c r="F28203" s="2"/>
      <c r="G28203" s="2"/>
      <c r="H28203" s="2"/>
    </row>
    <row r="28204" spans="1:8" x14ac:dyDescent="0.25">
      <c r="A28204" s="1"/>
      <c r="B28204" s="1" t="s">
        <v>7328</v>
      </c>
      <c r="C28204" s="1" t="s">
        <v>7329</v>
      </c>
      <c r="D28204" s="22" t="str">
        <f>HYPERLINK("https://rhld.insurance.arkansas.gov/NPILookup?Npi=1780908319","1780908319")</f>
        <v>1780908319</v>
      </c>
      <c r="E28204" s="1" t="s">
        <v>3025</v>
      </c>
      <c r="F28204" s="2"/>
      <c r="G28204" s="2"/>
      <c r="H28204" s="2"/>
    </row>
    <row r="28205" spans="1:8" x14ac:dyDescent="0.25">
      <c r="A28205" s="1"/>
      <c r="B28205" s="1" t="s">
        <v>7328</v>
      </c>
      <c r="C28205" s="1" t="s">
        <v>7329</v>
      </c>
      <c r="D28205" s="22" t="str">
        <f>HYPERLINK("https://rhld.insurance.arkansas.gov/NPILookup?Npi=1780910653","1780910653")</f>
        <v>1780910653</v>
      </c>
      <c r="E28205" s="1" t="s">
        <v>13609</v>
      </c>
      <c r="F28205" s="2"/>
      <c r="G28205" s="2"/>
      <c r="H28205" s="2"/>
    </row>
    <row r="28206" spans="1:8" x14ac:dyDescent="0.25">
      <c r="A28206" s="1"/>
      <c r="B28206" s="1" t="s">
        <v>7328</v>
      </c>
      <c r="C28206" s="1" t="s">
        <v>7329</v>
      </c>
      <c r="D28206" s="22" t="str">
        <f>HYPERLINK("https://rhld.insurance.arkansas.gov/NPILookup?Npi=1780917443","1780917443")</f>
        <v>1780917443</v>
      </c>
      <c r="E28206" s="1" t="s">
        <v>13610</v>
      </c>
      <c r="F28206" s="2"/>
      <c r="G28206" s="2"/>
      <c r="H28206" s="2"/>
    </row>
    <row r="28207" spans="1:8" x14ac:dyDescent="0.25">
      <c r="A28207" s="1"/>
      <c r="B28207" s="1" t="s">
        <v>7328</v>
      </c>
      <c r="C28207" s="1" t="s">
        <v>7329</v>
      </c>
      <c r="D28207" s="22" t="str">
        <f>HYPERLINK("https://rhld.insurance.arkansas.gov/NPILookup?Npi=1780925248","1780925248")</f>
        <v>1780925248</v>
      </c>
      <c r="E28207" s="1" t="s">
        <v>1048</v>
      </c>
      <c r="F28207" s="2"/>
      <c r="G28207" s="2"/>
      <c r="H28207" s="2"/>
    </row>
    <row r="28208" spans="1:8" x14ac:dyDescent="0.25">
      <c r="A28208" s="1"/>
      <c r="B28208" s="1" t="s">
        <v>7328</v>
      </c>
      <c r="C28208" s="1" t="s">
        <v>7329</v>
      </c>
      <c r="D28208" s="22" t="str">
        <f>HYPERLINK("https://rhld.insurance.arkansas.gov/NPILookup?Npi=1780938951","1780938951")</f>
        <v>1780938951</v>
      </c>
      <c r="E28208" s="1" t="s">
        <v>17881</v>
      </c>
      <c r="F28208" s="2"/>
      <c r="G28208" s="2"/>
      <c r="H28208" s="2"/>
    </row>
    <row r="28209" spans="1:8" x14ac:dyDescent="0.25">
      <c r="A28209" s="1"/>
      <c r="B28209" s="1" t="s">
        <v>7328</v>
      </c>
      <c r="C28209" s="1" t="s">
        <v>7329</v>
      </c>
      <c r="D28209" s="22" t="str">
        <f>HYPERLINK("https://rhld.insurance.arkansas.gov/NPILookup?Npi=1780961227","1780961227")</f>
        <v>1780961227</v>
      </c>
      <c r="E28209" s="1" t="s">
        <v>28627</v>
      </c>
      <c r="F28209" s="2"/>
      <c r="G28209" s="2"/>
      <c r="H28209" s="2"/>
    </row>
    <row r="28210" spans="1:8" x14ac:dyDescent="0.25">
      <c r="A28210" s="1"/>
      <c r="B28210" s="1" t="s">
        <v>7328</v>
      </c>
      <c r="C28210" s="1" t="s">
        <v>7329</v>
      </c>
      <c r="D28210" s="22" t="str">
        <f>HYPERLINK("https://rhld.insurance.arkansas.gov/NPILookup?Npi=1780966127","1780966127")</f>
        <v>1780966127</v>
      </c>
      <c r="E28210" s="1" t="s">
        <v>6643</v>
      </c>
      <c r="F28210" s="2"/>
      <c r="G28210" s="2"/>
      <c r="H28210" s="2"/>
    </row>
    <row r="28211" spans="1:8" x14ac:dyDescent="0.25">
      <c r="A28211" s="1"/>
      <c r="B28211" s="1" t="s">
        <v>7328</v>
      </c>
      <c r="C28211" s="1" t="s">
        <v>7329</v>
      </c>
      <c r="D28211" s="22" t="str">
        <f>HYPERLINK("https://rhld.insurance.arkansas.gov/NPILookup?Npi=1780980847","1780980847")</f>
        <v>1780980847</v>
      </c>
      <c r="E28211" s="1" t="s">
        <v>13611</v>
      </c>
      <c r="F28211" s="2"/>
      <c r="G28211" s="2"/>
      <c r="H28211" s="2"/>
    </row>
    <row r="28212" spans="1:8" x14ac:dyDescent="0.25">
      <c r="A28212" s="1"/>
      <c r="B28212" s="1" t="s">
        <v>7328</v>
      </c>
      <c r="C28212" s="1" t="s">
        <v>7329</v>
      </c>
      <c r="D28212" s="22" t="str">
        <f>HYPERLINK("https://rhld.insurance.arkansas.gov/NPILookup?Npi=1780986000","1780986000")</f>
        <v>1780986000</v>
      </c>
      <c r="E28212" s="1" t="s">
        <v>13612</v>
      </c>
      <c r="F28212" s="2"/>
      <c r="G28212" s="2"/>
      <c r="H28212" s="2"/>
    </row>
    <row r="28213" spans="1:8" x14ac:dyDescent="0.25">
      <c r="A28213" s="1"/>
      <c r="B28213" s="1" t="s">
        <v>7328</v>
      </c>
      <c r="C28213" s="1" t="s">
        <v>7329</v>
      </c>
      <c r="D28213" s="22" t="str">
        <f>HYPERLINK("https://rhld.insurance.arkansas.gov/NPILookup?Npi=1780986372","1780986372")</f>
        <v>1780986372</v>
      </c>
      <c r="E28213" s="1" t="s">
        <v>28629</v>
      </c>
      <c r="F28213" s="2"/>
      <c r="G28213" s="2"/>
      <c r="H28213" s="2"/>
    </row>
    <row r="28214" spans="1:8" x14ac:dyDescent="0.25">
      <c r="A28214" s="1"/>
      <c r="B28214" s="1" t="s">
        <v>7328</v>
      </c>
      <c r="C28214" s="1" t="s">
        <v>7329</v>
      </c>
      <c r="D28214" s="22" t="str">
        <f>HYPERLINK("https://rhld.insurance.arkansas.gov/NPILookup?Npi=1780990408","1780990408")</f>
        <v>1780990408</v>
      </c>
      <c r="E28214" s="1" t="s">
        <v>13613</v>
      </c>
      <c r="F28214" s="2"/>
      <c r="G28214" s="2"/>
      <c r="H28214" s="2"/>
    </row>
    <row r="28215" spans="1:8" x14ac:dyDescent="0.25">
      <c r="A28215" s="1"/>
      <c r="B28215" s="1" t="s">
        <v>7328</v>
      </c>
      <c r="C28215" s="1" t="s">
        <v>7329</v>
      </c>
      <c r="D28215" s="22" t="str">
        <f>HYPERLINK("https://rhld.insurance.arkansas.gov/NPILookup?Npi=1780996793","1780996793")</f>
        <v>1780996793</v>
      </c>
      <c r="E28215" s="1" t="s">
        <v>17882</v>
      </c>
      <c r="F28215" s="2"/>
      <c r="G28215" s="2"/>
      <c r="H28215" s="2"/>
    </row>
    <row r="28216" spans="1:8" x14ac:dyDescent="0.25">
      <c r="A28216" s="1"/>
      <c r="B28216" s="1" t="s">
        <v>7328</v>
      </c>
      <c r="C28216" s="1" t="s">
        <v>7329</v>
      </c>
      <c r="D28216" s="22" t="str">
        <f>HYPERLINK("https://rhld.insurance.arkansas.gov/NPILookup?Npi=1790014447","1790014447")</f>
        <v>1790014447</v>
      </c>
      <c r="E28216" s="1" t="s">
        <v>1307</v>
      </c>
      <c r="F28216" s="2"/>
      <c r="G28216" s="2"/>
      <c r="H28216" s="2"/>
    </row>
    <row r="28217" spans="1:8" x14ac:dyDescent="0.25">
      <c r="A28217" s="1"/>
      <c r="B28217" s="1" t="s">
        <v>7328</v>
      </c>
      <c r="C28217" s="1" t="s">
        <v>7329</v>
      </c>
      <c r="D28217" s="22" t="str">
        <f>HYPERLINK("https://rhld.insurance.arkansas.gov/NPILookup?Npi=1790024602","1790024602")</f>
        <v>1790024602</v>
      </c>
      <c r="E28217" s="1" t="s">
        <v>28630</v>
      </c>
      <c r="F28217" s="2"/>
      <c r="G28217" s="2"/>
      <c r="H28217" s="2"/>
    </row>
    <row r="28218" spans="1:8" x14ac:dyDescent="0.25">
      <c r="A28218" s="1"/>
      <c r="B28218" s="1" t="s">
        <v>7328</v>
      </c>
      <c r="C28218" s="1" t="s">
        <v>7329</v>
      </c>
      <c r="D28218" s="22" t="str">
        <f>HYPERLINK("https://rhld.insurance.arkansas.gov/NPILookup?Npi=1790043131","1790043131")</f>
        <v>1790043131</v>
      </c>
      <c r="E28218" s="1" t="s">
        <v>10445</v>
      </c>
      <c r="F28218" s="2"/>
      <c r="G28218" s="2"/>
      <c r="H28218" s="2"/>
    </row>
    <row r="28219" spans="1:8" x14ac:dyDescent="0.25">
      <c r="A28219" s="1"/>
      <c r="B28219" s="1" t="s">
        <v>7328</v>
      </c>
      <c r="C28219" s="1" t="s">
        <v>7329</v>
      </c>
      <c r="D28219" s="22" t="str">
        <f>HYPERLINK("https://rhld.insurance.arkansas.gov/NPILookup?Npi=1790058709","1790058709")</f>
        <v>1790058709</v>
      </c>
      <c r="E28219" s="1" t="s">
        <v>1813</v>
      </c>
      <c r="F28219" s="2"/>
      <c r="G28219" s="2"/>
      <c r="H28219" s="2"/>
    </row>
    <row r="28220" spans="1:8" x14ac:dyDescent="0.25">
      <c r="A28220" s="1"/>
      <c r="B28220" s="1" t="s">
        <v>7328</v>
      </c>
      <c r="C28220" s="1" t="s">
        <v>7329</v>
      </c>
      <c r="D28220" s="22" t="str">
        <f>HYPERLINK("https://rhld.insurance.arkansas.gov/NPILookup?Npi=1790077600","1790077600")</f>
        <v>1790077600</v>
      </c>
      <c r="E28220" s="1" t="s">
        <v>28631</v>
      </c>
      <c r="F28220" s="2"/>
      <c r="G28220" s="2"/>
      <c r="H28220" s="2"/>
    </row>
    <row r="28221" spans="1:8" x14ac:dyDescent="0.25">
      <c r="A28221" s="1"/>
      <c r="B28221" s="1" t="s">
        <v>7328</v>
      </c>
      <c r="C28221" s="1" t="s">
        <v>7329</v>
      </c>
      <c r="D28221" s="22" t="str">
        <f>HYPERLINK("https://rhld.insurance.arkansas.gov/NPILookup?Npi=1790100329","1790100329")</f>
        <v>1790100329</v>
      </c>
      <c r="E28221" s="1" t="s">
        <v>13614</v>
      </c>
      <c r="F28221" s="2"/>
      <c r="G28221" s="2"/>
      <c r="H28221" s="2"/>
    </row>
    <row r="28222" spans="1:8" x14ac:dyDescent="0.25">
      <c r="A28222" s="1"/>
      <c r="B28222" s="1" t="s">
        <v>7328</v>
      </c>
      <c r="C28222" s="1" t="s">
        <v>7329</v>
      </c>
      <c r="D28222" s="22" t="str">
        <f>HYPERLINK("https://rhld.insurance.arkansas.gov/NPILookup?Npi=1790103190","1790103190")</f>
        <v>1790103190</v>
      </c>
      <c r="E28222" s="1" t="s">
        <v>28632</v>
      </c>
      <c r="F28222" s="2"/>
      <c r="G28222" s="2"/>
      <c r="H28222" s="2"/>
    </row>
    <row r="28223" spans="1:8" x14ac:dyDescent="0.25">
      <c r="A28223" s="1"/>
      <c r="B28223" s="1" t="s">
        <v>7328</v>
      </c>
      <c r="C28223" s="1" t="s">
        <v>7329</v>
      </c>
      <c r="D28223" s="22" t="str">
        <f>HYPERLINK("https://rhld.insurance.arkansas.gov/NPILookup?Npi=1790104958","1790104958")</f>
        <v>1790104958</v>
      </c>
      <c r="E28223" s="1" t="s">
        <v>13615</v>
      </c>
      <c r="F28223" s="2"/>
      <c r="G28223" s="2"/>
      <c r="H28223" s="2"/>
    </row>
    <row r="28224" spans="1:8" x14ac:dyDescent="0.25">
      <c r="A28224" s="1"/>
      <c r="B28224" s="1" t="s">
        <v>7328</v>
      </c>
      <c r="C28224" s="1" t="s">
        <v>7329</v>
      </c>
      <c r="D28224" s="22" t="str">
        <f>HYPERLINK("https://rhld.insurance.arkansas.gov/NPILookup?Npi=1790111433","1790111433")</f>
        <v>1790111433</v>
      </c>
      <c r="E28224" s="1" t="s">
        <v>28633</v>
      </c>
      <c r="F28224" s="2"/>
      <c r="G28224" s="2"/>
      <c r="H28224" s="2"/>
    </row>
    <row r="28225" spans="1:8" x14ac:dyDescent="0.25">
      <c r="A28225" s="1"/>
      <c r="B28225" s="1" t="s">
        <v>7328</v>
      </c>
      <c r="C28225" s="1" t="s">
        <v>7329</v>
      </c>
      <c r="D28225" s="22" t="str">
        <f>HYPERLINK("https://rhld.insurance.arkansas.gov/NPILookup?Npi=1790136190","1790136190")</f>
        <v>1790136190</v>
      </c>
      <c r="E28225" s="1" t="s">
        <v>3026</v>
      </c>
      <c r="F28225" s="2"/>
      <c r="G28225" s="2"/>
      <c r="H28225" s="2"/>
    </row>
    <row r="28226" spans="1:8" x14ac:dyDescent="0.25">
      <c r="A28226" s="1"/>
      <c r="B28226" s="1" t="s">
        <v>7328</v>
      </c>
      <c r="C28226" s="1" t="s">
        <v>7329</v>
      </c>
      <c r="D28226" s="22" t="str">
        <f>HYPERLINK("https://rhld.insurance.arkansas.gov/NPILookup?Npi=1790136547","1790136547")</f>
        <v>1790136547</v>
      </c>
      <c r="E28226" s="1" t="s">
        <v>2075</v>
      </c>
      <c r="F28226" s="2"/>
      <c r="G28226" s="2"/>
      <c r="H28226" s="2"/>
    </row>
    <row r="28227" spans="1:8" x14ac:dyDescent="0.25">
      <c r="A28227" s="1"/>
      <c r="B28227" s="1" t="s">
        <v>7328</v>
      </c>
      <c r="C28227" s="1" t="s">
        <v>7329</v>
      </c>
      <c r="D28227" s="22" t="str">
        <f>HYPERLINK("https://rhld.insurance.arkansas.gov/NPILookup?Npi=1790137867","1790137867")</f>
        <v>1790137867</v>
      </c>
      <c r="E28227" s="1" t="s">
        <v>1308</v>
      </c>
      <c r="F28227" s="2"/>
      <c r="G28227" s="2"/>
      <c r="H28227" s="2"/>
    </row>
    <row r="28228" spans="1:8" x14ac:dyDescent="0.25">
      <c r="A28228" s="1"/>
      <c r="B28228" s="1" t="s">
        <v>7328</v>
      </c>
      <c r="C28228" s="1" t="s">
        <v>7329</v>
      </c>
      <c r="D28228" s="22" t="str">
        <f>HYPERLINK("https://rhld.insurance.arkansas.gov/NPILookup?Npi=1790146280","1790146280")</f>
        <v>1790146280</v>
      </c>
      <c r="E28228" s="1" t="s">
        <v>28634</v>
      </c>
      <c r="F28228" s="2"/>
      <c r="G28228" s="2"/>
      <c r="H28228" s="2"/>
    </row>
    <row r="28229" spans="1:8" x14ac:dyDescent="0.25">
      <c r="A28229" s="1"/>
      <c r="B28229" s="1" t="s">
        <v>7328</v>
      </c>
      <c r="C28229" s="1" t="s">
        <v>7329</v>
      </c>
      <c r="D28229" s="22" t="str">
        <f>HYPERLINK("https://rhld.insurance.arkansas.gov/NPILookup?Npi=1790146454","1790146454")</f>
        <v>1790146454</v>
      </c>
      <c r="E28229" s="1" t="s">
        <v>21391</v>
      </c>
      <c r="F28229" s="2"/>
      <c r="G28229" s="2"/>
      <c r="H28229" s="2"/>
    </row>
    <row r="28230" spans="1:8" x14ac:dyDescent="0.25">
      <c r="A28230" s="1"/>
      <c r="B28230" s="1" t="s">
        <v>7328</v>
      </c>
      <c r="C28230" s="1" t="s">
        <v>7329</v>
      </c>
      <c r="D28230" s="22" t="str">
        <f>HYPERLINK("https://rhld.insurance.arkansas.gov/NPILookup?Npi=1790150498","1790150498")</f>
        <v>1790150498</v>
      </c>
      <c r="E28230" s="1" t="s">
        <v>28635</v>
      </c>
      <c r="F28230" s="2"/>
      <c r="G28230" s="2"/>
      <c r="H28230" s="2"/>
    </row>
    <row r="28231" spans="1:8" x14ac:dyDescent="0.25">
      <c r="A28231" s="1"/>
      <c r="B28231" s="1" t="s">
        <v>7328</v>
      </c>
      <c r="C28231" s="1" t="s">
        <v>7329</v>
      </c>
      <c r="D28231" s="22" t="str">
        <f>HYPERLINK("https://rhld.insurance.arkansas.gov/NPILookup?Npi=1790150688","1790150688")</f>
        <v>1790150688</v>
      </c>
      <c r="E28231" s="1" t="s">
        <v>28636</v>
      </c>
      <c r="F28231" s="2"/>
      <c r="G28231" s="2"/>
      <c r="H28231" s="2"/>
    </row>
    <row r="28232" spans="1:8" x14ac:dyDescent="0.25">
      <c r="A28232" s="1"/>
      <c r="B28232" s="1" t="s">
        <v>7328</v>
      </c>
      <c r="C28232" s="1" t="s">
        <v>7329</v>
      </c>
      <c r="D28232" s="22" t="str">
        <f>HYPERLINK("https://rhld.insurance.arkansas.gov/NPILookup?Npi=1790159135","1790159135")</f>
        <v>1790159135</v>
      </c>
      <c r="E28232" s="1" t="s">
        <v>28637</v>
      </c>
      <c r="F28232" s="2"/>
      <c r="G28232" s="2"/>
      <c r="H28232" s="2"/>
    </row>
    <row r="28233" spans="1:8" x14ac:dyDescent="0.25">
      <c r="A28233" s="1"/>
      <c r="B28233" s="1" t="s">
        <v>7328</v>
      </c>
      <c r="C28233" s="1" t="s">
        <v>7329</v>
      </c>
      <c r="D28233" s="22" t="str">
        <f>HYPERLINK("https://rhld.insurance.arkansas.gov/NPILookup?Npi=1790161719","1790161719")</f>
        <v>1790161719</v>
      </c>
      <c r="E28233" s="1" t="s">
        <v>3027</v>
      </c>
      <c r="F28233" s="2"/>
      <c r="G28233" s="2"/>
      <c r="H28233" s="2"/>
    </row>
    <row r="28234" spans="1:8" x14ac:dyDescent="0.25">
      <c r="A28234" s="1"/>
      <c r="B28234" s="1" t="s">
        <v>7328</v>
      </c>
      <c r="C28234" s="1" t="s">
        <v>7329</v>
      </c>
      <c r="D28234" s="22" t="str">
        <f>HYPERLINK("https://rhld.insurance.arkansas.gov/NPILookup?Npi=1790166445","1790166445")</f>
        <v>1790166445</v>
      </c>
      <c r="E28234" s="1" t="s">
        <v>28638</v>
      </c>
      <c r="F28234" s="2"/>
      <c r="G28234" s="2"/>
      <c r="H28234" s="2"/>
    </row>
    <row r="28235" spans="1:8" x14ac:dyDescent="0.25">
      <c r="A28235" s="1"/>
      <c r="B28235" s="1" t="s">
        <v>7328</v>
      </c>
      <c r="C28235" s="1" t="s">
        <v>7329</v>
      </c>
      <c r="D28235" s="22" t="str">
        <f>HYPERLINK("https://rhld.insurance.arkansas.gov/NPILookup?Npi=1790179711","1790179711")</f>
        <v>1790179711</v>
      </c>
      <c r="E28235" s="1" t="s">
        <v>17884</v>
      </c>
      <c r="F28235" s="2"/>
      <c r="G28235" s="2"/>
      <c r="H28235" s="2"/>
    </row>
    <row r="28236" spans="1:8" x14ac:dyDescent="0.25">
      <c r="A28236" s="1"/>
      <c r="B28236" s="1" t="s">
        <v>7328</v>
      </c>
      <c r="C28236" s="1" t="s">
        <v>7329</v>
      </c>
      <c r="D28236" s="22" t="str">
        <f>HYPERLINK("https://rhld.insurance.arkansas.gov/NPILookup?Npi=1790180248","1790180248")</f>
        <v>1790180248</v>
      </c>
      <c r="E28236" s="1" t="s">
        <v>13616</v>
      </c>
      <c r="F28236" s="2"/>
      <c r="G28236" s="2"/>
      <c r="H28236" s="2"/>
    </row>
    <row r="28237" spans="1:8" x14ac:dyDescent="0.25">
      <c r="A28237" s="1"/>
      <c r="B28237" s="1" t="s">
        <v>7328</v>
      </c>
      <c r="C28237" s="1" t="s">
        <v>7329</v>
      </c>
      <c r="D28237" s="22" t="str">
        <f>HYPERLINK("https://rhld.insurance.arkansas.gov/NPILookup?Npi=1790191914","1790191914")</f>
        <v>1790191914</v>
      </c>
      <c r="E28237" s="1" t="s">
        <v>2412</v>
      </c>
      <c r="F28237" s="2"/>
      <c r="G28237" s="2"/>
      <c r="H28237" s="2"/>
    </row>
    <row r="28238" spans="1:8" x14ac:dyDescent="0.25">
      <c r="A28238" s="1"/>
      <c r="B28238" s="1" t="s">
        <v>7328</v>
      </c>
      <c r="C28238" s="1" t="s">
        <v>7329</v>
      </c>
      <c r="D28238" s="22" t="str">
        <f>HYPERLINK("https://rhld.insurance.arkansas.gov/NPILookup?Npi=1790197416","1790197416")</f>
        <v>1790197416</v>
      </c>
      <c r="E28238" s="1" t="s">
        <v>28639</v>
      </c>
      <c r="F28238" s="2"/>
      <c r="G28238" s="2"/>
      <c r="H28238" s="2"/>
    </row>
    <row r="28239" spans="1:8" x14ac:dyDescent="0.25">
      <c r="A28239" s="1"/>
      <c r="B28239" s="1" t="s">
        <v>7328</v>
      </c>
      <c r="C28239" s="1" t="s">
        <v>7329</v>
      </c>
      <c r="D28239" s="22" t="str">
        <f>HYPERLINK("https://rhld.insurance.arkansas.gov/NPILookup?Npi=1790198133","1790198133")</f>
        <v>1790198133</v>
      </c>
      <c r="E28239" s="1" t="s">
        <v>17885</v>
      </c>
      <c r="F28239" s="2"/>
      <c r="G28239" s="2"/>
      <c r="H28239" s="2"/>
    </row>
    <row r="28240" spans="1:8" x14ac:dyDescent="0.25">
      <c r="A28240" s="1"/>
      <c r="B28240" s="1" t="s">
        <v>7328</v>
      </c>
      <c r="C28240" s="1" t="s">
        <v>7329</v>
      </c>
      <c r="D28240" s="22" t="str">
        <f>HYPERLINK("https://rhld.insurance.arkansas.gov/NPILookup?Npi=1790201820","1790201820")</f>
        <v>1790201820</v>
      </c>
      <c r="E28240" s="1" t="s">
        <v>890</v>
      </c>
      <c r="F28240" s="2"/>
      <c r="G28240" s="2"/>
      <c r="H28240" s="2"/>
    </row>
    <row r="28241" spans="1:8" x14ac:dyDescent="0.25">
      <c r="A28241" s="1"/>
      <c r="B28241" s="1" t="s">
        <v>7328</v>
      </c>
      <c r="C28241" s="1" t="s">
        <v>7329</v>
      </c>
      <c r="D28241" s="22" t="str">
        <f>HYPERLINK("https://rhld.insurance.arkansas.gov/NPILookup?Npi=1790208411","1790208411")</f>
        <v>1790208411</v>
      </c>
      <c r="E28241" s="1" t="s">
        <v>28640</v>
      </c>
      <c r="F28241" s="2"/>
      <c r="G28241" s="2"/>
      <c r="H28241" s="2"/>
    </row>
    <row r="28242" spans="1:8" x14ac:dyDescent="0.25">
      <c r="A28242" s="1"/>
      <c r="B28242" s="1" t="s">
        <v>7328</v>
      </c>
      <c r="C28242" s="1" t="s">
        <v>7329</v>
      </c>
      <c r="D28242" s="22" t="str">
        <f>HYPERLINK("https://rhld.insurance.arkansas.gov/NPILookup?Npi=1790220143","1790220143")</f>
        <v>1790220143</v>
      </c>
      <c r="E28242" s="1" t="s">
        <v>28641</v>
      </c>
      <c r="F28242" s="2"/>
      <c r="G28242" s="2"/>
      <c r="H28242" s="2"/>
    </row>
    <row r="28243" spans="1:8" x14ac:dyDescent="0.25">
      <c r="A28243" s="1"/>
      <c r="B28243" s="1" t="s">
        <v>7328</v>
      </c>
      <c r="C28243" s="1" t="s">
        <v>7329</v>
      </c>
      <c r="D28243" s="22" t="str">
        <f>HYPERLINK("https://rhld.insurance.arkansas.gov/NPILookup?Npi=1790223709","1790223709")</f>
        <v>1790223709</v>
      </c>
      <c r="E28243" s="1" t="s">
        <v>8096</v>
      </c>
      <c r="F28243" s="2"/>
      <c r="G28243" s="2"/>
      <c r="H28243" s="2"/>
    </row>
    <row r="28244" spans="1:8" x14ac:dyDescent="0.25">
      <c r="A28244" s="1"/>
      <c r="B28244" s="1" t="s">
        <v>7328</v>
      </c>
      <c r="C28244" s="1" t="s">
        <v>7329</v>
      </c>
      <c r="D28244" s="22" t="str">
        <f>HYPERLINK("https://rhld.insurance.arkansas.gov/NPILookup?Npi=1790233187","1790233187")</f>
        <v>1790233187</v>
      </c>
      <c r="E28244" s="1" t="s">
        <v>28642</v>
      </c>
      <c r="F28244" s="2"/>
      <c r="G28244" s="2"/>
      <c r="H28244" s="2"/>
    </row>
    <row r="28245" spans="1:8" x14ac:dyDescent="0.25">
      <c r="A28245" s="1"/>
      <c r="B28245" s="1" t="s">
        <v>7328</v>
      </c>
      <c r="C28245" s="1" t="s">
        <v>7329</v>
      </c>
      <c r="D28245" s="22" t="str">
        <f>HYPERLINK("https://rhld.insurance.arkansas.gov/NPILookup?Npi=1790239101","1790239101")</f>
        <v>1790239101</v>
      </c>
      <c r="E28245" s="1" t="s">
        <v>13618</v>
      </c>
      <c r="F28245" s="2"/>
      <c r="G28245" s="2"/>
      <c r="H28245" s="2"/>
    </row>
    <row r="28246" spans="1:8" x14ac:dyDescent="0.25">
      <c r="A28246" s="1"/>
      <c r="B28246" s="1" t="s">
        <v>7328</v>
      </c>
      <c r="C28246" s="1" t="s">
        <v>7329</v>
      </c>
      <c r="D28246" s="22" t="str">
        <f>HYPERLINK("https://rhld.insurance.arkansas.gov/NPILookup?Npi=1790244093","1790244093")</f>
        <v>1790244093</v>
      </c>
      <c r="E28246" s="1" t="s">
        <v>28643</v>
      </c>
      <c r="F28246" s="2"/>
      <c r="G28246" s="2"/>
      <c r="H28246" s="2"/>
    </row>
    <row r="28247" spans="1:8" x14ac:dyDescent="0.25">
      <c r="A28247" s="1"/>
      <c r="B28247" s="1" t="s">
        <v>7328</v>
      </c>
      <c r="C28247" s="1" t="s">
        <v>7329</v>
      </c>
      <c r="D28247" s="22" t="str">
        <f>HYPERLINK("https://rhld.insurance.arkansas.gov/NPILookup?Npi=1790251577","1790251577")</f>
        <v>1790251577</v>
      </c>
      <c r="E28247" s="1" t="s">
        <v>13619</v>
      </c>
      <c r="F28247" s="2"/>
      <c r="G28247" s="2"/>
      <c r="H28247" s="2"/>
    </row>
    <row r="28248" spans="1:8" x14ac:dyDescent="0.25">
      <c r="A28248" s="1"/>
      <c r="B28248" s="1" t="s">
        <v>7328</v>
      </c>
      <c r="C28248" s="1" t="s">
        <v>7329</v>
      </c>
      <c r="D28248" s="22" t="str">
        <f>HYPERLINK("https://rhld.insurance.arkansas.gov/NPILookup?Npi=1790252286","1790252286")</f>
        <v>1790252286</v>
      </c>
      <c r="E28248" s="1" t="s">
        <v>28644</v>
      </c>
      <c r="F28248" s="2"/>
      <c r="G28248" s="2"/>
      <c r="H28248" s="2"/>
    </row>
    <row r="28249" spans="1:8" x14ac:dyDescent="0.25">
      <c r="A28249" s="1"/>
      <c r="B28249" s="1" t="s">
        <v>7328</v>
      </c>
      <c r="C28249" s="1" t="s">
        <v>7329</v>
      </c>
      <c r="D28249" s="22" t="str">
        <f>HYPERLINK("https://rhld.insurance.arkansas.gov/NPILookup?Npi=1790253326","1790253326")</f>
        <v>1790253326</v>
      </c>
      <c r="E28249" s="1" t="s">
        <v>28645</v>
      </c>
      <c r="F28249" s="2"/>
      <c r="G28249" s="2"/>
      <c r="H28249" s="2"/>
    </row>
    <row r="28250" spans="1:8" x14ac:dyDescent="0.25">
      <c r="A28250" s="1"/>
      <c r="B28250" s="1" t="s">
        <v>7328</v>
      </c>
      <c r="C28250" s="1" t="s">
        <v>7329</v>
      </c>
      <c r="D28250" s="22" t="str">
        <f>HYPERLINK("https://rhld.insurance.arkansas.gov/NPILookup?Npi=1790260081","1790260081")</f>
        <v>1790260081</v>
      </c>
      <c r="E28250" s="1" t="s">
        <v>28646</v>
      </c>
      <c r="F28250" s="2"/>
      <c r="G28250" s="2"/>
      <c r="H28250" s="2"/>
    </row>
    <row r="28251" spans="1:8" x14ac:dyDescent="0.25">
      <c r="A28251" s="1"/>
      <c r="B28251" s="1" t="s">
        <v>7328</v>
      </c>
      <c r="C28251" s="1" t="s">
        <v>7329</v>
      </c>
      <c r="D28251" s="22" t="str">
        <f>HYPERLINK("https://rhld.insurance.arkansas.gov/NPILookup?Npi=1790262228","1790262228")</f>
        <v>1790262228</v>
      </c>
      <c r="E28251" s="1" t="s">
        <v>28647</v>
      </c>
      <c r="F28251" s="2"/>
      <c r="G28251" s="2"/>
      <c r="H28251" s="2"/>
    </row>
    <row r="28252" spans="1:8" x14ac:dyDescent="0.25">
      <c r="A28252" s="1"/>
      <c r="B28252" s="1" t="s">
        <v>7328</v>
      </c>
      <c r="C28252" s="1" t="s">
        <v>7329</v>
      </c>
      <c r="D28252" s="22" t="str">
        <f>HYPERLINK("https://rhld.insurance.arkansas.gov/NPILookup?Npi=1790274355","1790274355")</f>
        <v>1790274355</v>
      </c>
      <c r="E28252" s="1" t="s">
        <v>28648</v>
      </c>
      <c r="F28252" s="2"/>
      <c r="G28252" s="2"/>
      <c r="H28252" s="2"/>
    </row>
    <row r="28253" spans="1:8" x14ac:dyDescent="0.25">
      <c r="A28253" s="1"/>
      <c r="B28253" s="1" t="s">
        <v>7328</v>
      </c>
      <c r="C28253" s="1" t="s">
        <v>7329</v>
      </c>
      <c r="D28253" s="22" t="str">
        <f>HYPERLINK("https://rhld.insurance.arkansas.gov/NPILookup?Npi=1790281087","1790281087")</f>
        <v>1790281087</v>
      </c>
      <c r="E28253" s="1" t="s">
        <v>23320</v>
      </c>
      <c r="F28253" s="2"/>
      <c r="G28253" s="2"/>
      <c r="H28253" s="2"/>
    </row>
    <row r="28254" spans="1:8" x14ac:dyDescent="0.25">
      <c r="A28254" s="1"/>
      <c r="B28254" s="1" t="s">
        <v>7328</v>
      </c>
      <c r="C28254" s="1" t="s">
        <v>7329</v>
      </c>
      <c r="D28254" s="22" t="str">
        <f>HYPERLINK("https://rhld.insurance.arkansas.gov/NPILookup?Npi=1790284180","1790284180")</f>
        <v>1790284180</v>
      </c>
      <c r="E28254" s="1" t="s">
        <v>28649</v>
      </c>
      <c r="F28254" s="2"/>
      <c r="G28254" s="2"/>
      <c r="H28254" s="2"/>
    </row>
    <row r="28255" spans="1:8" x14ac:dyDescent="0.25">
      <c r="A28255" s="1"/>
      <c r="B28255" s="1" t="s">
        <v>7328</v>
      </c>
      <c r="C28255" s="1" t="s">
        <v>7329</v>
      </c>
      <c r="D28255" s="22" t="str">
        <f>HYPERLINK("https://rhld.insurance.arkansas.gov/NPILookup?Npi=1790286904","1790286904")</f>
        <v>1790286904</v>
      </c>
      <c r="E28255" s="1" t="s">
        <v>28650</v>
      </c>
      <c r="F28255" s="2"/>
      <c r="G28255" s="2"/>
      <c r="H28255" s="2"/>
    </row>
    <row r="28256" spans="1:8" x14ac:dyDescent="0.25">
      <c r="A28256" s="1"/>
      <c r="B28256" s="1" t="s">
        <v>7328</v>
      </c>
      <c r="C28256" s="1" t="s">
        <v>7329</v>
      </c>
      <c r="D28256" s="22" t="str">
        <f>HYPERLINK("https://rhld.insurance.arkansas.gov/NPILookup?Npi=1790297729","1790297729")</f>
        <v>1790297729</v>
      </c>
      <c r="E28256" s="1" t="s">
        <v>28651</v>
      </c>
      <c r="F28256" s="2"/>
      <c r="G28256" s="2"/>
      <c r="H28256" s="2"/>
    </row>
    <row r="28257" spans="1:8" x14ac:dyDescent="0.25">
      <c r="A28257" s="1"/>
      <c r="B28257" s="1" t="s">
        <v>7328</v>
      </c>
      <c r="C28257" s="1" t="s">
        <v>7329</v>
      </c>
      <c r="D28257" s="22" t="str">
        <f>HYPERLINK("https://rhld.insurance.arkansas.gov/NPILookup?Npi=1790316115","1790316115")</f>
        <v>1790316115</v>
      </c>
      <c r="E28257" s="1" t="s">
        <v>28652</v>
      </c>
      <c r="F28257" s="2"/>
      <c r="G28257" s="2"/>
      <c r="H28257" s="2"/>
    </row>
    <row r="28258" spans="1:8" x14ac:dyDescent="0.25">
      <c r="A28258" s="1"/>
      <c r="B28258" s="1" t="s">
        <v>7328</v>
      </c>
      <c r="C28258" s="1" t="s">
        <v>7329</v>
      </c>
      <c r="D28258" s="22" t="str">
        <f>HYPERLINK("https://rhld.insurance.arkansas.gov/NPILookup?Npi=1790317220","1790317220")</f>
        <v>1790317220</v>
      </c>
      <c r="E28258" s="1" t="s">
        <v>2413</v>
      </c>
      <c r="F28258" s="2"/>
      <c r="G28258" s="2"/>
      <c r="H28258" s="2"/>
    </row>
    <row r="28259" spans="1:8" x14ac:dyDescent="0.25">
      <c r="A28259" s="1"/>
      <c r="B28259" s="1" t="s">
        <v>7328</v>
      </c>
      <c r="C28259" s="1" t="s">
        <v>7329</v>
      </c>
      <c r="D28259" s="22" t="str">
        <f>HYPERLINK("https://rhld.insurance.arkansas.gov/NPILookup?Npi=1790327526","1790327526")</f>
        <v>1790327526</v>
      </c>
      <c r="E28259" s="1" t="s">
        <v>28653</v>
      </c>
      <c r="F28259" s="2"/>
      <c r="G28259" s="2"/>
      <c r="H28259" s="2"/>
    </row>
    <row r="28260" spans="1:8" x14ac:dyDescent="0.25">
      <c r="A28260" s="1"/>
      <c r="B28260" s="1" t="s">
        <v>7328</v>
      </c>
      <c r="C28260" s="1" t="s">
        <v>7329</v>
      </c>
      <c r="D28260" s="22" t="str">
        <f>HYPERLINK("https://rhld.insurance.arkansas.gov/NPILookup?Npi=1790340529","1790340529")</f>
        <v>1790340529</v>
      </c>
      <c r="E28260" s="1" t="s">
        <v>1309</v>
      </c>
      <c r="F28260" s="2"/>
      <c r="G28260" s="2"/>
      <c r="H28260" s="2"/>
    </row>
    <row r="28261" spans="1:8" x14ac:dyDescent="0.25">
      <c r="A28261" s="1"/>
      <c r="B28261" s="1" t="s">
        <v>7328</v>
      </c>
      <c r="C28261" s="1" t="s">
        <v>7329</v>
      </c>
      <c r="D28261" s="22" t="str">
        <f>HYPERLINK("https://rhld.insurance.arkansas.gov/NPILookup?Npi=1790341311","1790341311")</f>
        <v>1790341311</v>
      </c>
      <c r="E28261" s="1" t="s">
        <v>28654</v>
      </c>
      <c r="F28261" s="2"/>
      <c r="G28261" s="2"/>
      <c r="H28261" s="2"/>
    </row>
    <row r="28262" spans="1:8" x14ac:dyDescent="0.25">
      <c r="A28262" s="1"/>
      <c r="B28262" s="1" t="s">
        <v>7328</v>
      </c>
      <c r="C28262" s="1" t="s">
        <v>7329</v>
      </c>
      <c r="D28262" s="22" t="str">
        <f>HYPERLINK("https://rhld.insurance.arkansas.gov/NPILookup?Npi=1790344166","1790344166")</f>
        <v>1790344166</v>
      </c>
      <c r="E28262" s="1" t="s">
        <v>28655</v>
      </c>
      <c r="F28262" s="2"/>
      <c r="G28262" s="2"/>
      <c r="H28262" s="2"/>
    </row>
    <row r="28263" spans="1:8" x14ac:dyDescent="0.25">
      <c r="A28263" s="1"/>
      <c r="B28263" s="1" t="s">
        <v>7328</v>
      </c>
      <c r="C28263" s="1" t="s">
        <v>7329</v>
      </c>
      <c r="D28263" s="22" t="str">
        <f>HYPERLINK("https://rhld.insurance.arkansas.gov/NPILookup?Npi=1790344562","1790344562")</f>
        <v>1790344562</v>
      </c>
      <c r="E28263" s="1" t="s">
        <v>28656</v>
      </c>
      <c r="F28263" s="2"/>
      <c r="G28263" s="2"/>
      <c r="H28263" s="2"/>
    </row>
    <row r="28264" spans="1:8" x14ac:dyDescent="0.25">
      <c r="A28264" s="1"/>
      <c r="B28264" s="1" t="s">
        <v>7328</v>
      </c>
      <c r="C28264" s="1" t="s">
        <v>7329</v>
      </c>
      <c r="D28264" s="22" t="str">
        <f>HYPERLINK("https://rhld.insurance.arkansas.gov/NPILookup?Npi=1790349462","1790349462")</f>
        <v>1790349462</v>
      </c>
      <c r="E28264" s="1" t="s">
        <v>13620</v>
      </c>
      <c r="F28264" s="2"/>
      <c r="G28264" s="2"/>
      <c r="H28264" s="2"/>
    </row>
    <row r="28265" spans="1:8" x14ac:dyDescent="0.25">
      <c r="A28265" s="1"/>
      <c r="B28265" s="1" t="s">
        <v>7328</v>
      </c>
      <c r="C28265" s="1" t="s">
        <v>7329</v>
      </c>
      <c r="D28265" s="22" t="str">
        <f>HYPERLINK("https://rhld.insurance.arkansas.gov/NPILookup?Npi=1790368330","1790368330")</f>
        <v>1790368330</v>
      </c>
      <c r="E28265" s="1" t="s">
        <v>28657</v>
      </c>
      <c r="F28265" s="2"/>
      <c r="G28265" s="2"/>
      <c r="H28265" s="2"/>
    </row>
    <row r="28266" spans="1:8" x14ac:dyDescent="0.25">
      <c r="A28266" s="1"/>
      <c r="B28266" s="1" t="s">
        <v>7328</v>
      </c>
      <c r="C28266" s="1" t="s">
        <v>7329</v>
      </c>
      <c r="D28266" s="22" t="str">
        <f>HYPERLINK("https://rhld.insurance.arkansas.gov/NPILookup?Npi=1790380574","1790380574")</f>
        <v>1790380574</v>
      </c>
      <c r="E28266" s="1" t="s">
        <v>6652</v>
      </c>
      <c r="F28266" s="2"/>
      <c r="G28266" s="2"/>
      <c r="H28266" s="2"/>
    </row>
    <row r="28267" spans="1:8" x14ac:dyDescent="0.25">
      <c r="A28267" s="1"/>
      <c r="B28267" s="1" t="s">
        <v>7328</v>
      </c>
      <c r="C28267" s="1" t="s">
        <v>7329</v>
      </c>
      <c r="D28267" s="22" t="str">
        <f>HYPERLINK("https://rhld.insurance.arkansas.gov/NPILookup?Npi=1790404499","1790404499")</f>
        <v>1790404499</v>
      </c>
      <c r="E28267" s="1" t="s">
        <v>28658</v>
      </c>
      <c r="F28267" s="2"/>
      <c r="G28267" s="2"/>
      <c r="H28267" s="2"/>
    </row>
    <row r="28268" spans="1:8" x14ac:dyDescent="0.25">
      <c r="A28268" s="1"/>
      <c r="B28268" s="1" t="s">
        <v>7328</v>
      </c>
      <c r="C28268" s="1" t="s">
        <v>7329</v>
      </c>
      <c r="D28268" s="22" t="str">
        <f>HYPERLINK("https://rhld.insurance.arkansas.gov/NPILookup?Npi=1790437895","1790437895")</f>
        <v>1790437895</v>
      </c>
      <c r="E28268" s="1" t="s">
        <v>28659</v>
      </c>
      <c r="F28268" s="2"/>
      <c r="G28268" s="2"/>
      <c r="H28268" s="2"/>
    </row>
    <row r="28269" spans="1:8" x14ac:dyDescent="0.25">
      <c r="A28269" s="1"/>
      <c r="B28269" s="1" t="s">
        <v>7328</v>
      </c>
      <c r="C28269" s="1" t="s">
        <v>7329</v>
      </c>
      <c r="D28269" s="22" t="str">
        <f>HYPERLINK("https://rhld.insurance.arkansas.gov/NPILookup?Npi=1790451979","1790451979")</f>
        <v>1790451979</v>
      </c>
      <c r="E28269" s="1" t="s">
        <v>28660</v>
      </c>
      <c r="F28269" s="2"/>
      <c r="G28269" s="2"/>
      <c r="H28269" s="2"/>
    </row>
    <row r="28270" spans="1:8" x14ac:dyDescent="0.25">
      <c r="A28270" s="1"/>
      <c r="B28270" s="1" t="s">
        <v>7328</v>
      </c>
      <c r="C28270" s="1" t="s">
        <v>7329</v>
      </c>
      <c r="D28270" s="22" t="str">
        <f>HYPERLINK("https://rhld.insurance.arkansas.gov/NPILookup?Npi=1790453249","1790453249")</f>
        <v>1790453249</v>
      </c>
      <c r="E28270" s="1" t="s">
        <v>8097</v>
      </c>
      <c r="F28270" s="2"/>
      <c r="G28270" s="2"/>
      <c r="H28270" s="2"/>
    </row>
    <row r="28271" spans="1:8" x14ac:dyDescent="0.25">
      <c r="A28271" s="1"/>
      <c r="B28271" s="1" t="s">
        <v>7328</v>
      </c>
      <c r="C28271" s="1" t="s">
        <v>7329</v>
      </c>
      <c r="D28271" s="22" t="str">
        <f>HYPERLINK("https://rhld.insurance.arkansas.gov/NPILookup?Npi=1790459923","1790459923")</f>
        <v>1790459923</v>
      </c>
      <c r="E28271" s="1" t="s">
        <v>8098</v>
      </c>
      <c r="F28271" s="2"/>
      <c r="G28271" s="2"/>
      <c r="H28271" s="2"/>
    </row>
    <row r="28272" spans="1:8" x14ac:dyDescent="0.25">
      <c r="A28272" s="1"/>
      <c r="B28272" s="1" t="s">
        <v>7328</v>
      </c>
      <c r="C28272" s="1" t="s">
        <v>7329</v>
      </c>
      <c r="D28272" s="22" t="str">
        <f>HYPERLINK("https://rhld.insurance.arkansas.gov/NPILookup?Npi=1790468833","1790468833")</f>
        <v>1790468833</v>
      </c>
      <c r="E28272" s="1" t="s">
        <v>8099</v>
      </c>
      <c r="F28272" s="2"/>
      <c r="G28272" s="2"/>
      <c r="H28272" s="2"/>
    </row>
    <row r="28273" spans="1:8" x14ac:dyDescent="0.25">
      <c r="A28273" s="1"/>
      <c r="B28273" s="1" t="s">
        <v>7328</v>
      </c>
      <c r="C28273" s="1" t="s">
        <v>7329</v>
      </c>
      <c r="D28273" s="22" t="str">
        <f>HYPERLINK("https://rhld.insurance.arkansas.gov/NPILookup?Npi=1790506780","1790506780")</f>
        <v>1790506780</v>
      </c>
      <c r="E28273" s="1" t="s">
        <v>32364</v>
      </c>
      <c r="F28273" s="2"/>
      <c r="G28273" s="2"/>
      <c r="H28273" s="2"/>
    </row>
    <row r="28274" spans="1:8" x14ac:dyDescent="0.25">
      <c r="A28274" s="1"/>
      <c r="B28274" s="1" t="s">
        <v>7328</v>
      </c>
      <c r="C28274" s="1" t="s">
        <v>7329</v>
      </c>
      <c r="D28274" s="22" t="str">
        <f>HYPERLINK("https://rhld.insurance.arkansas.gov/NPILookup?Npi=1790512895","1790512895")</f>
        <v>1790512895</v>
      </c>
      <c r="E28274" s="1" t="s">
        <v>18311</v>
      </c>
      <c r="F28274" s="2"/>
      <c r="G28274" s="2"/>
      <c r="H28274" s="2"/>
    </row>
    <row r="28275" spans="1:8" x14ac:dyDescent="0.25">
      <c r="A28275" s="1"/>
      <c r="B28275" s="1" t="s">
        <v>7328</v>
      </c>
      <c r="C28275" s="1" t="s">
        <v>7329</v>
      </c>
      <c r="D28275" s="22" t="str">
        <f>HYPERLINK("https://rhld.insurance.arkansas.gov/NPILookup?Npi=1790513281","1790513281")</f>
        <v>1790513281</v>
      </c>
      <c r="E28275" s="1" t="s">
        <v>28661</v>
      </c>
      <c r="F28275" s="2"/>
      <c r="G28275" s="2"/>
      <c r="H28275" s="2"/>
    </row>
    <row r="28276" spans="1:8" x14ac:dyDescent="0.25">
      <c r="A28276" s="1"/>
      <c r="B28276" s="1" t="s">
        <v>7328</v>
      </c>
      <c r="C28276" s="1" t="s">
        <v>7329</v>
      </c>
      <c r="D28276" s="22" t="str">
        <f>HYPERLINK("https://rhld.insurance.arkansas.gov/NPILookup?Npi=1790523447","1790523447")</f>
        <v>1790523447</v>
      </c>
      <c r="E28276" s="1" t="s">
        <v>28662</v>
      </c>
      <c r="F28276" s="2"/>
      <c r="G28276" s="2"/>
      <c r="H28276" s="2"/>
    </row>
    <row r="28277" spans="1:8" x14ac:dyDescent="0.25">
      <c r="A28277" s="1"/>
      <c r="B28277" s="1" t="s">
        <v>7328</v>
      </c>
      <c r="C28277" s="1" t="s">
        <v>7329</v>
      </c>
      <c r="D28277" s="22" t="str">
        <f>HYPERLINK("https://rhld.insurance.arkansas.gov/NPILookup?Npi=1790540540","1790540540")</f>
        <v>1790540540</v>
      </c>
      <c r="E28277" s="1" t="s">
        <v>28663</v>
      </c>
      <c r="F28277" s="2"/>
      <c r="G28277" s="2"/>
      <c r="H28277" s="2"/>
    </row>
    <row r="28278" spans="1:8" x14ac:dyDescent="0.25">
      <c r="A28278" s="1"/>
      <c r="B28278" s="1" t="s">
        <v>7328</v>
      </c>
      <c r="C28278" s="1" t="s">
        <v>7329</v>
      </c>
      <c r="D28278" s="22" t="str">
        <f>HYPERLINK("https://rhld.insurance.arkansas.gov/NPILookup?Npi=1790545069","1790545069")</f>
        <v>1790545069</v>
      </c>
      <c r="E28278" s="1" t="s">
        <v>28664</v>
      </c>
      <c r="F28278" s="2"/>
      <c r="G28278" s="2"/>
      <c r="H28278" s="2"/>
    </row>
    <row r="28279" spans="1:8" x14ac:dyDescent="0.25">
      <c r="A28279" s="1"/>
      <c r="B28279" s="1" t="s">
        <v>7328</v>
      </c>
      <c r="C28279" s="1" t="s">
        <v>7329</v>
      </c>
      <c r="D28279" s="22" t="str">
        <f>HYPERLINK("https://rhld.insurance.arkansas.gov/NPILookup?Npi=1790560589","1790560589")</f>
        <v>1790560589</v>
      </c>
      <c r="E28279" s="1" t="s">
        <v>28665</v>
      </c>
      <c r="F28279" s="2"/>
      <c r="G28279" s="2"/>
      <c r="H28279" s="2"/>
    </row>
    <row r="28280" spans="1:8" x14ac:dyDescent="0.25">
      <c r="A28280" s="1"/>
      <c r="B28280" s="1" t="s">
        <v>7328</v>
      </c>
      <c r="C28280" s="1" t="s">
        <v>7329</v>
      </c>
      <c r="D28280" s="22" t="str">
        <f>HYPERLINK("https://rhld.insurance.arkansas.gov/NPILookup?Npi=1790709038","1790709038")</f>
        <v>1790709038</v>
      </c>
      <c r="E28280" s="1" t="s">
        <v>825</v>
      </c>
      <c r="F28280" s="2"/>
      <c r="G28280" s="2"/>
      <c r="H28280" s="2"/>
    </row>
    <row r="28281" spans="1:8" x14ac:dyDescent="0.25">
      <c r="A28281" s="1"/>
      <c r="B28281" s="1" t="s">
        <v>7328</v>
      </c>
      <c r="C28281" s="1" t="s">
        <v>7329</v>
      </c>
      <c r="D28281" s="22" t="str">
        <f>HYPERLINK("https://rhld.insurance.arkansas.gov/NPILookup?Npi=1790714269","1790714269")</f>
        <v>1790714269</v>
      </c>
      <c r="E28281" s="1" t="s">
        <v>9860</v>
      </c>
      <c r="F28281" s="2"/>
      <c r="G28281" s="2"/>
      <c r="H28281" s="2"/>
    </row>
    <row r="28282" spans="1:8" x14ac:dyDescent="0.25">
      <c r="A28282" s="1"/>
      <c r="B28282" s="1" t="s">
        <v>7328</v>
      </c>
      <c r="C28282" s="1" t="s">
        <v>7329</v>
      </c>
      <c r="D28282" s="22" t="str">
        <f>HYPERLINK("https://rhld.insurance.arkansas.gov/NPILookup?Npi=1790716314","1790716314")</f>
        <v>1790716314</v>
      </c>
      <c r="E28282" s="1" t="s">
        <v>3028</v>
      </c>
      <c r="F28282" s="2"/>
      <c r="G28282" s="2"/>
      <c r="H28282" s="2"/>
    </row>
    <row r="28283" spans="1:8" x14ac:dyDescent="0.25">
      <c r="A28283" s="1"/>
      <c r="B28283" s="1" t="s">
        <v>7328</v>
      </c>
      <c r="C28283" s="1" t="s">
        <v>7329</v>
      </c>
      <c r="D28283" s="22" t="str">
        <f>HYPERLINK("https://rhld.insurance.arkansas.gov/NPILookup?Npi=1790732493","1790732493")</f>
        <v>1790732493</v>
      </c>
      <c r="E28283" s="1" t="s">
        <v>28666</v>
      </c>
      <c r="F28283" s="2"/>
      <c r="G28283" s="2"/>
      <c r="H28283" s="2"/>
    </row>
    <row r="28284" spans="1:8" x14ac:dyDescent="0.25">
      <c r="A28284" s="1"/>
      <c r="B28284" s="1" t="s">
        <v>7328</v>
      </c>
      <c r="C28284" s="1" t="s">
        <v>7329</v>
      </c>
      <c r="D28284" s="22" t="str">
        <f>HYPERLINK("https://rhld.insurance.arkansas.gov/NPILookup?Npi=1790747525","1790747525")</f>
        <v>1790747525</v>
      </c>
      <c r="E28284" s="1" t="s">
        <v>8100</v>
      </c>
      <c r="F28284" s="2"/>
      <c r="G28284" s="2"/>
      <c r="H28284" s="2"/>
    </row>
    <row r="28285" spans="1:8" x14ac:dyDescent="0.25">
      <c r="A28285" s="1"/>
      <c r="B28285" s="1" t="s">
        <v>7328</v>
      </c>
      <c r="C28285" s="1" t="s">
        <v>7329</v>
      </c>
      <c r="D28285" s="22" t="str">
        <f>HYPERLINK("https://rhld.insurance.arkansas.gov/NPILookup?Npi=1790749943","1790749943")</f>
        <v>1790749943</v>
      </c>
      <c r="E28285" s="1" t="s">
        <v>28667</v>
      </c>
      <c r="F28285" s="2"/>
      <c r="G28285" s="2"/>
      <c r="H28285" s="2"/>
    </row>
    <row r="28286" spans="1:8" x14ac:dyDescent="0.25">
      <c r="A28286" s="1"/>
      <c r="B28286" s="1" t="s">
        <v>7328</v>
      </c>
      <c r="C28286" s="1" t="s">
        <v>7329</v>
      </c>
      <c r="D28286" s="22" t="str">
        <f>HYPERLINK("https://rhld.insurance.arkansas.gov/NPILookup?Npi=1790751329","1790751329")</f>
        <v>1790751329</v>
      </c>
      <c r="E28286" s="1" t="s">
        <v>17889</v>
      </c>
      <c r="F28286" s="2"/>
      <c r="G28286" s="2"/>
      <c r="H28286" s="2"/>
    </row>
    <row r="28287" spans="1:8" x14ac:dyDescent="0.25">
      <c r="A28287" s="1"/>
      <c r="B28287" s="1" t="s">
        <v>7328</v>
      </c>
      <c r="C28287" s="1" t="s">
        <v>7329</v>
      </c>
      <c r="D28287" s="22" t="str">
        <f>HYPERLINK("https://rhld.insurance.arkansas.gov/NPILookup?Npi=1790753929","1790753929")</f>
        <v>1790753929</v>
      </c>
      <c r="E28287" s="1" t="s">
        <v>28668</v>
      </c>
      <c r="F28287" s="2"/>
      <c r="G28287" s="2"/>
      <c r="H28287" s="2"/>
    </row>
    <row r="28288" spans="1:8" x14ac:dyDescent="0.25">
      <c r="A28288" s="1"/>
      <c r="B28288" s="1" t="s">
        <v>7328</v>
      </c>
      <c r="C28288" s="1" t="s">
        <v>7329</v>
      </c>
      <c r="D28288" s="22" t="str">
        <f>HYPERLINK("https://rhld.insurance.arkansas.gov/NPILookup?Npi=1790773521","1790773521")</f>
        <v>1790773521</v>
      </c>
      <c r="E28288" s="1" t="s">
        <v>13621</v>
      </c>
      <c r="F28288" s="2"/>
      <c r="G28288" s="2"/>
      <c r="H28288" s="2"/>
    </row>
    <row r="28289" spans="1:8" x14ac:dyDescent="0.25">
      <c r="A28289" s="1"/>
      <c r="B28289" s="1" t="s">
        <v>7328</v>
      </c>
      <c r="C28289" s="1" t="s">
        <v>7329</v>
      </c>
      <c r="D28289" s="22" t="str">
        <f>HYPERLINK("https://rhld.insurance.arkansas.gov/NPILookup?Npi=1790775518","1790775518")</f>
        <v>1790775518</v>
      </c>
      <c r="E28289" s="1" t="s">
        <v>3029</v>
      </c>
      <c r="F28289" s="2"/>
      <c r="G28289" s="2"/>
      <c r="H28289" s="2"/>
    </row>
    <row r="28290" spans="1:8" x14ac:dyDescent="0.25">
      <c r="A28290" s="1"/>
      <c r="B28290" s="1" t="s">
        <v>7328</v>
      </c>
      <c r="C28290" s="1" t="s">
        <v>7329</v>
      </c>
      <c r="D28290" s="22" t="str">
        <f>HYPERLINK("https://rhld.insurance.arkansas.gov/NPILookup?Npi=1790802809","1790802809")</f>
        <v>1790802809</v>
      </c>
      <c r="E28290" s="1" t="s">
        <v>28669</v>
      </c>
      <c r="F28290" s="2"/>
      <c r="G28290" s="2"/>
      <c r="H28290" s="2"/>
    </row>
    <row r="28291" spans="1:8" x14ac:dyDescent="0.25">
      <c r="A28291" s="1"/>
      <c r="B28291" s="1" t="s">
        <v>7328</v>
      </c>
      <c r="C28291" s="1" t="s">
        <v>7329</v>
      </c>
      <c r="D28291" s="22" t="str">
        <f>HYPERLINK("https://rhld.insurance.arkansas.gov/NPILookup?Npi=1790814481","1790814481")</f>
        <v>1790814481</v>
      </c>
      <c r="E28291" s="1" t="s">
        <v>28670</v>
      </c>
      <c r="F28291" s="2"/>
      <c r="G28291" s="2"/>
      <c r="H28291" s="2"/>
    </row>
    <row r="28292" spans="1:8" x14ac:dyDescent="0.25">
      <c r="A28292" s="1"/>
      <c r="B28292" s="1" t="s">
        <v>7328</v>
      </c>
      <c r="C28292" s="1" t="s">
        <v>7329</v>
      </c>
      <c r="D28292" s="22" t="str">
        <f>HYPERLINK("https://rhld.insurance.arkansas.gov/NPILookup?Npi=1790817427","1790817427")</f>
        <v>1790817427</v>
      </c>
      <c r="E28292" s="1" t="s">
        <v>20817</v>
      </c>
      <c r="F28292" s="2"/>
      <c r="G28292" s="2"/>
      <c r="H28292" s="2"/>
    </row>
    <row r="28293" spans="1:8" x14ac:dyDescent="0.25">
      <c r="A28293" s="1"/>
      <c r="B28293" s="1" t="s">
        <v>7328</v>
      </c>
      <c r="C28293" s="1" t="s">
        <v>7329</v>
      </c>
      <c r="D28293" s="22" t="str">
        <f>HYPERLINK("https://rhld.insurance.arkansas.gov/NPILookup?Npi=1790841054","1790841054")</f>
        <v>1790841054</v>
      </c>
      <c r="E28293" s="1" t="s">
        <v>11938</v>
      </c>
      <c r="F28293" s="2"/>
      <c r="G28293" s="2"/>
      <c r="H28293" s="2"/>
    </row>
    <row r="28294" spans="1:8" x14ac:dyDescent="0.25">
      <c r="A28294" s="1"/>
      <c r="B28294" s="1" t="s">
        <v>7328</v>
      </c>
      <c r="C28294" s="1" t="s">
        <v>7329</v>
      </c>
      <c r="D28294" s="22" t="str">
        <f>HYPERLINK("https://rhld.insurance.arkansas.gov/NPILookup?Npi=1790853638","1790853638")</f>
        <v>1790853638</v>
      </c>
      <c r="E28294" s="1" t="s">
        <v>1226</v>
      </c>
      <c r="F28294" s="2"/>
      <c r="G28294" s="2"/>
      <c r="H28294" s="2"/>
    </row>
    <row r="28295" spans="1:8" x14ac:dyDescent="0.25">
      <c r="A28295" s="1"/>
      <c r="B28295" s="1" t="s">
        <v>7328</v>
      </c>
      <c r="C28295" s="1" t="s">
        <v>7329</v>
      </c>
      <c r="D28295" s="22" t="str">
        <f>HYPERLINK("https://rhld.insurance.arkansas.gov/NPILookup?Npi=1790891448","1790891448")</f>
        <v>1790891448</v>
      </c>
      <c r="E28295" s="1" t="s">
        <v>28671</v>
      </c>
      <c r="F28295" s="2"/>
      <c r="G28295" s="2"/>
      <c r="H28295" s="2"/>
    </row>
    <row r="28296" spans="1:8" x14ac:dyDescent="0.25">
      <c r="A28296" s="1"/>
      <c r="B28296" s="1" t="s">
        <v>7328</v>
      </c>
      <c r="C28296" s="1" t="s">
        <v>7329</v>
      </c>
      <c r="D28296" s="22" t="str">
        <f>HYPERLINK("https://rhld.insurance.arkansas.gov/NPILookup?Npi=1790897395","1790897395")</f>
        <v>1790897395</v>
      </c>
      <c r="E28296" s="1" t="s">
        <v>28672</v>
      </c>
      <c r="F28296" s="2"/>
      <c r="G28296" s="2"/>
      <c r="H28296" s="2"/>
    </row>
    <row r="28297" spans="1:8" x14ac:dyDescent="0.25">
      <c r="A28297" s="1"/>
      <c r="B28297" s="1" t="s">
        <v>7328</v>
      </c>
      <c r="C28297" s="1" t="s">
        <v>7329</v>
      </c>
      <c r="D28297" s="22" t="str">
        <f>HYPERLINK("https://rhld.insurance.arkansas.gov/NPILookup?Npi=1790914927","1790914927")</f>
        <v>1790914927</v>
      </c>
      <c r="E28297" s="1" t="s">
        <v>28673</v>
      </c>
      <c r="F28297" s="2"/>
      <c r="G28297" s="2"/>
      <c r="H28297" s="2"/>
    </row>
    <row r="28298" spans="1:8" x14ac:dyDescent="0.25">
      <c r="A28298" s="1"/>
      <c r="B28298" s="1" t="s">
        <v>7328</v>
      </c>
      <c r="C28298" s="1" t="s">
        <v>7329</v>
      </c>
      <c r="D28298" s="22" t="str">
        <f>HYPERLINK("https://rhld.insurance.arkansas.gov/NPILookup?Npi=1790915544","1790915544")</f>
        <v>1790915544</v>
      </c>
      <c r="E28298" s="1" t="s">
        <v>13622</v>
      </c>
      <c r="F28298" s="2"/>
      <c r="G28298" s="2"/>
      <c r="H28298" s="2"/>
    </row>
    <row r="28299" spans="1:8" x14ac:dyDescent="0.25">
      <c r="A28299" s="1"/>
      <c r="B28299" s="1" t="s">
        <v>7328</v>
      </c>
      <c r="C28299" s="1" t="s">
        <v>7329</v>
      </c>
      <c r="D28299" s="22" t="str">
        <f>HYPERLINK("https://rhld.insurance.arkansas.gov/NPILookup?Npi=1790926475","1790926475")</f>
        <v>1790926475</v>
      </c>
      <c r="E28299" s="1" t="s">
        <v>28674</v>
      </c>
      <c r="F28299" s="2"/>
      <c r="G28299" s="2"/>
      <c r="H28299" s="2"/>
    </row>
    <row r="28300" spans="1:8" x14ac:dyDescent="0.25">
      <c r="A28300" s="1"/>
      <c r="B28300" s="1" t="s">
        <v>7328</v>
      </c>
      <c r="C28300" s="1" t="s">
        <v>7329</v>
      </c>
      <c r="D28300" s="22" t="str">
        <f>HYPERLINK("https://rhld.insurance.arkansas.gov/NPILookup?Npi=1790926798","1790926798")</f>
        <v>1790926798</v>
      </c>
      <c r="E28300" s="1" t="s">
        <v>28675</v>
      </c>
      <c r="F28300" s="2"/>
      <c r="G28300" s="2"/>
      <c r="H28300" s="2"/>
    </row>
    <row r="28301" spans="1:8" x14ac:dyDescent="0.25">
      <c r="A28301" s="1"/>
      <c r="B28301" s="1" t="s">
        <v>7328</v>
      </c>
      <c r="C28301" s="1" t="s">
        <v>7329</v>
      </c>
      <c r="D28301" s="22" t="str">
        <f>HYPERLINK("https://rhld.insurance.arkansas.gov/NPILookup?Npi=1790939460","1790939460")</f>
        <v>1790939460</v>
      </c>
      <c r="E28301" s="1" t="s">
        <v>28676</v>
      </c>
      <c r="F28301" s="2"/>
      <c r="G28301" s="2"/>
      <c r="H28301" s="2"/>
    </row>
    <row r="28302" spans="1:8" x14ac:dyDescent="0.25">
      <c r="A28302" s="1"/>
      <c r="B28302" s="1" t="s">
        <v>7328</v>
      </c>
      <c r="C28302" s="1" t="s">
        <v>7329</v>
      </c>
      <c r="D28302" s="22" t="str">
        <f>HYPERLINK("https://rhld.insurance.arkansas.gov/NPILookup?Npi=1790952067","1790952067")</f>
        <v>1790952067</v>
      </c>
      <c r="E28302" s="1" t="s">
        <v>28677</v>
      </c>
      <c r="F28302" s="2"/>
      <c r="G28302" s="2"/>
      <c r="H28302" s="2"/>
    </row>
    <row r="28303" spans="1:8" x14ac:dyDescent="0.25">
      <c r="A28303" s="1"/>
      <c r="B28303" s="1" t="s">
        <v>7328</v>
      </c>
      <c r="C28303" s="1" t="s">
        <v>7329</v>
      </c>
      <c r="D28303" s="22" t="str">
        <f>HYPERLINK("https://rhld.insurance.arkansas.gov/NPILookup?Npi=1790980126","1790980126")</f>
        <v>1790980126</v>
      </c>
      <c r="E28303" s="1" t="s">
        <v>3160</v>
      </c>
      <c r="F28303" s="2"/>
      <c r="G28303" s="2"/>
      <c r="H28303" s="2"/>
    </row>
    <row r="28304" spans="1:8" x14ac:dyDescent="0.25">
      <c r="A28304" s="1"/>
      <c r="B28304" s="1" t="s">
        <v>7328</v>
      </c>
      <c r="C28304" s="1" t="s">
        <v>7329</v>
      </c>
      <c r="D28304" s="22" t="str">
        <f>HYPERLINK("https://rhld.insurance.arkansas.gov/NPILookup?Npi=1790988319","1790988319")</f>
        <v>1790988319</v>
      </c>
      <c r="E28304" s="1" t="s">
        <v>13623</v>
      </c>
      <c r="F28304" s="2"/>
      <c r="G28304" s="2"/>
      <c r="H28304" s="2"/>
    </row>
    <row r="28305" spans="1:8" x14ac:dyDescent="0.25">
      <c r="A28305" s="1"/>
      <c r="B28305" s="1" t="s">
        <v>7328</v>
      </c>
      <c r="C28305" s="1" t="s">
        <v>7329</v>
      </c>
      <c r="D28305" s="22" t="str">
        <f>HYPERLINK("https://rhld.insurance.arkansas.gov/NPILookup?Npi=1790989531","1790989531")</f>
        <v>1790989531</v>
      </c>
      <c r="E28305" s="1" t="s">
        <v>13624</v>
      </c>
      <c r="F28305" s="2"/>
      <c r="G28305" s="2"/>
      <c r="H28305" s="2"/>
    </row>
    <row r="28306" spans="1:8" x14ac:dyDescent="0.25">
      <c r="A28306" s="1"/>
      <c r="B28306" s="1" t="s">
        <v>7328</v>
      </c>
      <c r="C28306" s="1" t="s">
        <v>7329</v>
      </c>
      <c r="D28306" s="22" t="str">
        <f>HYPERLINK("https://rhld.insurance.arkansas.gov/NPILookup?Npi=1801021696","1801021696")</f>
        <v>1801021696</v>
      </c>
      <c r="E28306" s="1" t="s">
        <v>23345</v>
      </c>
      <c r="F28306" s="2"/>
      <c r="G28306" s="2"/>
      <c r="H28306" s="2"/>
    </row>
    <row r="28307" spans="1:8" x14ac:dyDescent="0.25">
      <c r="A28307" s="1"/>
      <c r="B28307" s="1" t="s">
        <v>7328</v>
      </c>
      <c r="C28307" s="1" t="s">
        <v>7329</v>
      </c>
      <c r="D28307" s="22" t="str">
        <f>HYPERLINK("https://rhld.insurance.arkansas.gov/NPILookup?Npi=1801026620","1801026620")</f>
        <v>1801026620</v>
      </c>
      <c r="E28307" s="1" t="s">
        <v>2282</v>
      </c>
      <c r="F28307" s="2"/>
      <c r="G28307" s="2"/>
      <c r="H28307" s="2"/>
    </row>
    <row r="28308" spans="1:8" x14ac:dyDescent="0.25">
      <c r="A28308" s="1"/>
      <c r="B28308" s="1" t="s">
        <v>7328</v>
      </c>
      <c r="C28308" s="1" t="s">
        <v>7329</v>
      </c>
      <c r="D28308" s="22" t="str">
        <f>HYPERLINK("https://rhld.insurance.arkansas.gov/NPILookup?Npi=1801035662","1801035662")</f>
        <v>1801035662</v>
      </c>
      <c r="E28308" s="1" t="s">
        <v>1227</v>
      </c>
      <c r="F28308" s="2"/>
      <c r="G28308" s="2"/>
      <c r="H28308" s="2"/>
    </row>
    <row r="28309" spans="1:8" x14ac:dyDescent="0.25">
      <c r="A28309" s="1"/>
      <c r="B28309" s="1" t="s">
        <v>7328</v>
      </c>
      <c r="C28309" s="1" t="s">
        <v>7329</v>
      </c>
      <c r="D28309" s="22" t="str">
        <f>HYPERLINK("https://rhld.insurance.arkansas.gov/NPILookup?Npi=1801035969","1801035969")</f>
        <v>1801035969</v>
      </c>
      <c r="E28309" s="1" t="s">
        <v>28678</v>
      </c>
      <c r="F28309" s="2"/>
      <c r="G28309" s="2"/>
      <c r="H28309" s="2"/>
    </row>
    <row r="28310" spans="1:8" x14ac:dyDescent="0.25">
      <c r="A28310" s="1"/>
      <c r="B28310" s="1" t="s">
        <v>7328</v>
      </c>
      <c r="C28310" s="1" t="s">
        <v>7329</v>
      </c>
      <c r="D28310" s="22" t="str">
        <f>HYPERLINK("https://rhld.insurance.arkansas.gov/NPILookup?Npi=1801044300","1801044300")</f>
        <v>1801044300</v>
      </c>
      <c r="E28310" s="1" t="s">
        <v>28679</v>
      </c>
      <c r="F28310" s="2"/>
      <c r="G28310" s="2"/>
      <c r="H28310" s="2"/>
    </row>
    <row r="28311" spans="1:8" x14ac:dyDescent="0.25">
      <c r="A28311" s="1"/>
      <c r="B28311" s="1" t="s">
        <v>7328</v>
      </c>
      <c r="C28311" s="1" t="s">
        <v>7329</v>
      </c>
      <c r="D28311" s="22" t="str">
        <f>HYPERLINK("https://rhld.insurance.arkansas.gov/NPILookup?Npi=1801048558","1801048558")</f>
        <v>1801048558</v>
      </c>
      <c r="E28311" s="1" t="s">
        <v>3030</v>
      </c>
      <c r="F28311" s="2"/>
      <c r="G28311" s="2"/>
      <c r="H28311" s="2"/>
    </row>
    <row r="28312" spans="1:8" x14ac:dyDescent="0.25">
      <c r="A28312" s="1"/>
      <c r="B28312" s="1" t="s">
        <v>7328</v>
      </c>
      <c r="C28312" s="1" t="s">
        <v>7329</v>
      </c>
      <c r="D28312" s="22" t="str">
        <f>HYPERLINK("https://rhld.insurance.arkansas.gov/NPILookup?Npi=1801057583","1801057583")</f>
        <v>1801057583</v>
      </c>
      <c r="E28312" s="1" t="s">
        <v>10447</v>
      </c>
      <c r="F28312" s="2"/>
      <c r="G28312" s="2"/>
      <c r="H28312" s="2"/>
    </row>
    <row r="28313" spans="1:8" x14ac:dyDescent="0.25">
      <c r="A28313" s="1"/>
      <c r="B28313" s="1" t="s">
        <v>7328</v>
      </c>
      <c r="C28313" s="1" t="s">
        <v>7329</v>
      </c>
      <c r="D28313" s="22" t="str">
        <f>HYPERLINK("https://rhld.insurance.arkansas.gov/NPILookup?Npi=1801063771","1801063771")</f>
        <v>1801063771</v>
      </c>
      <c r="E28313" s="1" t="s">
        <v>28680</v>
      </c>
      <c r="F28313" s="2"/>
      <c r="G28313" s="2"/>
      <c r="H28313" s="2"/>
    </row>
    <row r="28314" spans="1:8" x14ac:dyDescent="0.25">
      <c r="A28314" s="1"/>
      <c r="B28314" s="1" t="s">
        <v>7328</v>
      </c>
      <c r="C28314" s="1" t="s">
        <v>7329</v>
      </c>
      <c r="D28314" s="22" t="str">
        <f>HYPERLINK("https://rhld.insurance.arkansas.gov/NPILookup?Npi=1801073531","1801073531")</f>
        <v>1801073531</v>
      </c>
      <c r="E28314" s="1" t="s">
        <v>891</v>
      </c>
      <c r="F28314" s="2"/>
      <c r="G28314" s="2"/>
      <c r="H28314" s="2"/>
    </row>
    <row r="28315" spans="1:8" x14ac:dyDescent="0.25">
      <c r="A28315" s="1"/>
      <c r="B28315" s="1" t="s">
        <v>7328</v>
      </c>
      <c r="C28315" s="1" t="s">
        <v>7329</v>
      </c>
      <c r="D28315" s="22" t="str">
        <f>HYPERLINK("https://rhld.insurance.arkansas.gov/NPILookup?Npi=1801084439","1801084439")</f>
        <v>1801084439</v>
      </c>
      <c r="E28315" s="1" t="s">
        <v>28681</v>
      </c>
      <c r="F28315" s="2"/>
      <c r="G28315" s="2"/>
      <c r="H28315" s="2"/>
    </row>
    <row r="28316" spans="1:8" x14ac:dyDescent="0.25">
      <c r="A28316" s="1"/>
      <c r="B28316" s="1" t="s">
        <v>7328</v>
      </c>
      <c r="C28316" s="1" t="s">
        <v>7329</v>
      </c>
      <c r="D28316" s="22" t="str">
        <f>HYPERLINK("https://rhld.insurance.arkansas.gov/NPILookup?Npi=1801086194","1801086194")</f>
        <v>1801086194</v>
      </c>
      <c r="E28316" s="1" t="s">
        <v>28682</v>
      </c>
      <c r="F28316" s="2"/>
      <c r="G28316" s="2"/>
      <c r="H28316" s="2"/>
    </row>
    <row r="28317" spans="1:8" x14ac:dyDescent="0.25">
      <c r="A28317" s="1"/>
      <c r="B28317" s="1" t="s">
        <v>7328</v>
      </c>
      <c r="C28317" s="1" t="s">
        <v>7329</v>
      </c>
      <c r="D28317" s="22" t="str">
        <f>HYPERLINK("https://rhld.insurance.arkansas.gov/NPILookup?Npi=1801099130","1801099130")</f>
        <v>1801099130</v>
      </c>
      <c r="E28317" s="1" t="s">
        <v>28683</v>
      </c>
      <c r="F28317" s="2"/>
      <c r="G28317" s="2"/>
      <c r="H28317" s="2"/>
    </row>
    <row r="28318" spans="1:8" x14ac:dyDescent="0.25">
      <c r="A28318" s="1"/>
      <c r="B28318" s="1" t="s">
        <v>7328</v>
      </c>
      <c r="C28318" s="1" t="s">
        <v>7329</v>
      </c>
      <c r="D28318" s="22" t="str">
        <f>HYPERLINK("https://rhld.insurance.arkansas.gov/NPILookup?Npi=1801101431","1801101431")</f>
        <v>1801101431</v>
      </c>
      <c r="E28318" s="1" t="s">
        <v>9864</v>
      </c>
      <c r="F28318" s="2"/>
      <c r="G28318" s="2"/>
      <c r="H28318" s="2"/>
    </row>
    <row r="28319" spans="1:8" x14ac:dyDescent="0.25">
      <c r="A28319" s="1"/>
      <c r="B28319" s="1" t="s">
        <v>7328</v>
      </c>
      <c r="C28319" s="1" t="s">
        <v>7329</v>
      </c>
      <c r="D28319" s="22" t="str">
        <f>HYPERLINK("https://rhld.insurance.arkansas.gov/NPILookup?Npi=1801104682","1801104682")</f>
        <v>1801104682</v>
      </c>
      <c r="E28319" s="1" t="s">
        <v>3031</v>
      </c>
      <c r="F28319" s="2"/>
      <c r="G28319" s="2"/>
      <c r="H28319" s="2"/>
    </row>
    <row r="28320" spans="1:8" x14ac:dyDescent="0.25">
      <c r="A28320" s="1"/>
      <c r="B28320" s="1" t="s">
        <v>7328</v>
      </c>
      <c r="C28320" s="1" t="s">
        <v>7329</v>
      </c>
      <c r="D28320" s="22" t="str">
        <f>HYPERLINK("https://rhld.insurance.arkansas.gov/NPILookup?Npi=1801125216","1801125216")</f>
        <v>1801125216</v>
      </c>
      <c r="E28320" s="1" t="s">
        <v>28684</v>
      </c>
      <c r="F28320" s="2"/>
      <c r="G28320" s="2"/>
      <c r="H28320" s="2"/>
    </row>
    <row r="28321" spans="1:8" x14ac:dyDescent="0.25">
      <c r="A28321" s="1"/>
      <c r="B28321" s="1" t="s">
        <v>7328</v>
      </c>
      <c r="C28321" s="1" t="s">
        <v>7329</v>
      </c>
      <c r="D28321" s="22" t="str">
        <f>HYPERLINK("https://rhld.insurance.arkansas.gov/NPILookup?Npi=1801140652","1801140652")</f>
        <v>1801140652</v>
      </c>
      <c r="E28321" s="1" t="s">
        <v>28685</v>
      </c>
      <c r="F28321" s="2"/>
      <c r="G28321" s="2"/>
      <c r="H28321" s="2"/>
    </row>
    <row r="28322" spans="1:8" x14ac:dyDescent="0.25">
      <c r="A28322" s="1"/>
      <c r="B28322" s="1" t="s">
        <v>7328</v>
      </c>
      <c r="C28322" s="1" t="s">
        <v>7329</v>
      </c>
      <c r="D28322" s="22" t="str">
        <f>HYPERLINK("https://rhld.insurance.arkansas.gov/NPILookup?Npi=1801153705","1801153705")</f>
        <v>1801153705</v>
      </c>
      <c r="E28322" s="1" t="s">
        <v>28686</v>
      </c>
      <c r="F28322" s="2"/>
      <c r="G28322" s="2"/>
      <c r="H28322" s="2"/>
    </row>
    <row r="28323" spans="1:8" x14ac:dyDescent="0.25">
      <c r="A28323" s="1"/>
      <c r="B28323" s="1" t="s">
        <v>7328</v>
      </c>
      <c r="C28323" s="1" t="s">
        <v>7329</v>
      </c>
      <c r="D28323" s="22" t="str">
        <f>HYPERLINK("https://rhld.insurance.arkansas.gov/NPILookup?Npi=1801163563","1801163563")</f>
        <v>1801163563</v>
      </c>
      <c r="E28323" s="1" t="s">
        <v>28687</v>
      </c>
      <c r="F28323" s="2"/>
      <c r="G28323" s="2"/>
      <c r="H28323" s="2"/>
    </row>
    <row r="28324" spans="1:8" x14ac:dyDescent="0.25">
      <c r="A28324" s="1"/>
      <c r="B28324" s="1" t="s">
        <v>7328</v>
      </c>
      <c r="C28324" s="1" t="s">
        <v>7329</v>
      </c>
      <c r="D28324" s="22" t="str">
        <f>HYPERLINK("https://rhld.insurance.arkansas.gov/NPILookup?Npi=1801177720","1801177720")</f>
        <v>1801177720</v>
      </c>
      <c r="E28324" s="1" t="s">
        <v>28688</v>
      </c>
      <c r="F28324" s="2"/>
      <c r="G28324" s="2"/>
      <c r="H28324" s="2"/>
    </row>
    <row r="28325" spans="1:8" x14ac:dyDescent="0.25">
      <c r="A28325" s="1"/>
      <c r="B28325" s="1" t="s">
        <v>7328</v>
      </c>
      <c r="C28325" s="1" t="s">
        <v>7329</v>
      </c>
      <c r="D28325" s="22" t="str">
        <f>HYPERLINK("https://rhld.insurance.arkansas.gov/NPILookup?Npi=1801195557","1801195557")</f>
        <v>1801195557</v>
      </c>
      <c r="E28325" s="1" t="s">
        <v>13625</v>
      </c>
      <c r="F28325" s="2"/>
      <c r="G28325" s="2"/>
      <c r="H28325" s="2"/>
    </row>
    <row r="28326" spans="1:8" x14ac:dyDescent="0.25">
      <c r="A28326" s="1"/>
      <c r="B28326" s="1" t="s">
        <v>7328</v>
      </c>
      <c r="C28326" s="1" t="s">
        <v>7329</v>
      </c>
      <c r="D28326" s="22" t="str">
        <f>HYPERLINK("https://rhld.insurance.arkansas.gov/NPILookup?Npi=1801211966","1801211966")</f>
        <v>1801211966</v>
      </c>
      <c r="E28326" s="1" t="s">
        <v>13626</v>
      </c>
      <c r="F28326" s="2"/>
      <c r="G28326" s="2"/>
      <c r="H28326" s="2"/>
    </row>
    <row r="28327" spans="1:8" x14ac:dyDescent="0.25">
      <c r="A28327" s="1"/>
      <c r="B28327" s="1" t="s">
        <v>7328</v>
      </c>
      <c r="C28327" s="1" t="s">
        <v>7329</v>
      </c>
      <c r="D28327" s="22" t="str">
        <f>HYPERLINK("https://rhld.insurance.arkansas.gov/NPILookup?Npi=1801213152","1801213152")</f>
        <v>1801213152</v>
      </c>
      <c r="E28327" s="1" t="s">
        <v>13627</v>
      </c>
      <c r="F28327" s="2"/>
      <c r="G28327" s="2"/>
      <c r="H28327" s="2"/>
    </row>
    <row r="28328" spans="1:8" x14ac:dyDescent="0.25">
      <c r="A28328" s="1"/>
      <c r="B28328" s="1" t="s">
        <v>7328</v>
      </c>
      <c r="C28328" s="1" t="s">
        <v>7329</v>
      </c>
      <c r="D28328" s="22" t="str">
        <f>HYPERLINK("https://rhld.insurance.arkansas.gov/NPILookup?Npi=1801224407","1801224407")</f>
        <v>1801224407</v>
      </c>
      <c r="E28328" s="1" t="s">
        <v>8101</v>
      </c>
      <c r="F28328" s="2"/>
      <c r="G28328" s="2"/>
      <c r="H28328" s="2"/>
    </row>
    <row r="28329" spans="1:8" x14ac:dyDescent="0.25">
      <c r="A28329" s="1"/>
      <c r="B28329" s="1" t="s">
        <v>7328</v>
      </c>
      <c r="C28329" s="1" t="s">
        <v>7329</v>
      </c>
      <c r="D28329" s="22" t="str">
        <f>HYPERLINK("https://rhld.insurance.arkansas.gov/NPILookup?Npi=1801228564","1801228564")</f>
        <v>1801228564</v>
      </c>
      <c r="E28329" s="1" t="s">
        <v>255</v>
      </c>
      <c r="F28329" s="2"/>
      <c r="G28329" s="2"/>
      <c r="H28329" s="2"/>
    </row>
    <row r="28330" spans="1:8" x14ac:dyDescent="0.25">
      <c r="A28330" s="1"/>
      <c r="B28330" s="1" t="s">
        <v>7328</v>
      </c>
      <c r="C28330" s="1" t="s">
        <v>7329</v>
      </c>
      <c r="D28330" s="22" t="str">
        <f>HYPERLINK("https://rhld.insurance.arkansas.gov/NPILookup?Npi=1801228663","1801228663")</f>
        <v>1801228663</v>
      </c>
      <c r="E28330" s="1" t="s">
        <v>13628</v>
      </c>
      <c r="F28330" s="2"/>
      <c r="G28330" s="2"/>
      <c r="H28330" s="2"/>
    </row>
    <row r="28331" spans="1:8" x14ac:dyDescent="0.25">
      <c r="A28331" s="1"/>
      <c r="B28331" s="1" t="s">
        <v>7328</v>
      </c>
      <c r="C28331" s="1" t="s">
        <v>7329</v>
      </c>
      <c r="D28331" s="22" t="str">
        <f>HYPERLINK("https://rhld.insurance.arkansas.gov/NPILookup?Npi=1801232400","1801232400")</f>
        <v>1801232400</v>
      </c>
      <c r="E28331" s="1" t="s">
        <v>8102</v>
      </c>
      <c r="F28331" s="2"/>
      <c r="G28331" s="2"/>
      <c r="H28331" s="2"/>
    </row>
    <row r="28332" spans="1:8" x14ac:dyDescent="0.25">
      <c r="A28332" s="1"/>
      <c r="B28332" s="1" t="s">
        <v>7328</v>
      </c>
      <c r="C28332" s="1" t="s">
        <v>7329</v>
      </c>
      <c r="D28332" s="22" t="str">
        <f>HYPERLINK("https://rhld.insurance.arkansas.gov/NPILookup?Npi=1801235783","1801235783")</f>
        <v>1801235783</v>
      </c>
      <c r="E28332" s="1" t="s">
        <v>17896</v>
      </c>
      <c r="F28332" s="2"/>
      <c r="G28332" s="2"/>
      <c r="H28332" s="2"/>
    </row>
    <row r="28333" spans="1:8" x14ac:dyDescent="0.25">
      <c r="A28333" s="1"/>
      <c r="B28333" s="1" t="s">
        <v>7328</v>
      </c>
      <c r="C28333" s="1" t="s">
        <v>7329</v>
      </c>
      <c r="D28333" s="22" t="str">
        <f>HYPERLINK("https://rhld.insurance.arkansas.gov/NPILookup?Npi=1801236195","1801236195")</f>
        <v>1801236195</v>
      </c>
      <c r="E28333" s="1" t="s">
        <v>3032</v>
      </c>
      <c r="F28333" s="2"/>
      <c r="G28333" s="2"/>
      <c r="H28333" s="2"/>
    </row>
    <row r="28334" spans="1:8" x14ac:dyDescent="0.25">
      <c r="A28334" s="1"/>
      <c r="B28334" s="1" t="s">
        <v>7328</v>
      </c>
      <c r="C28334" s="1" t="s">
        <v>7329</v>
      </c>
      <c r="D28334" s="22" t="str">
        <f>HYPERLINK("https://rhld.insurance.arkansas.gov/NPILookup?Npi=1801236377","1801236377")</f>
        <v>1801236377</v>
      </c>
      <c r="E28334" s="1" t="s">
        <v>28689</v>
      </c>
      <c r="F28334" s="2"/>
      <c r="G28334" s="2"/>
      <c r="H28334" s="2"/>
    </row>
    <row r="28335" spans="1:8" x14ac:dyDescent="0.25">
      <c r="A28335" s="1"/>
      <c r="B28335" s="1" t="s">
        <v>7328</v>
      </c>
      <c r="C28335" s="1" t="s">
        <v>7329</v>
      </c>
      <c r="D28335" s="22" t="str">
        <f>HYPERLINK("https://rhld.insurance.arkansas.gov/NPILookup?Npi=1801240395","1801240395")</f>
        <v>1801240395</v>
      </c>
      <c r="E28335" s="1" t="s">
        <v>1645</v>
      </c>
      <c r="F28335" s="2"/>
      <c r="G28335" s="2"/>
      <c r="H28335" s="2"/>
    </row>
    <row r="28336" spans="1:8" x14ac:dyDescent="0.25">
      <c r="A28336" s="1"/>
      <c r="B28336" s="1" t="s">
        <v>7328</v>
      </c>
      <c r="C28336" s="1" t="s">
        <v>7329</v>
      </c>
      <c r="D28336" s="22" t="str">
        <f>HYPERLINK("https://rhld.insurance.arkansas.gov/NPILookup?Npi=1801246129","1801246129")</f>
        <v>1801246129</v>
      </c>
      <c r="E28336" s="1" t="s">
        <v>28690</v>
      </c>
      <c r="F28336" s="2"/>
      <c r="G28336" s="2"/>
      <c r="H28336" s="2"/>
    </row>
    <row r="28337" spans="1:8" x14ac:dyDescent="0.25">
      <c r="A28337" s="1"/>
      <c r="B28337" s="1" t="s">
        <v>7328</v>
      </c>
      <c r="C28337" s="1" t="s">
        <v>7329</v>
      </c>
      <c r="D28337" s="22" t="str">
        <f>HYPERLINK("https://rhld.insurance.arkansas.gov/NPILookup?Npi=1801247010","1801247010")</f>
        <v>1801247010</v>
      </c>
      <c r="E28337" s="1" t="s">
        <v>28691</v>
      </c>
      <c r="F28337" s="2"/>
      <c r="G28337" s="2"/>
      <c r="H28337" s="2"/>
    </row>
    <row r="28338" spans="1:8" x14ac:dyDescent="0.25">
      <c r="A28338" s="1"/>
      <c r="B28338" s="1" t="s">
        <v>7328</v>
      </c>
      <c r="C28338" s="1" t="s">
        <v>7329</v>
      </c>
      <c r="D28338" s="22" t="str">
        <f>HYPERLINK("https://rhld.insurance.arkansas.gov/NPILookup?Npi=1801268479","1801268479")</f>
        <v>1801268479</v>
      </c>
      <c r="E28338" s="1" t="s">
        <v>28692</v>
      </c>
      <c r="F28338" s="2"/>
      <c r="G28338" s="2"/>
      <c r="H28338" s="2"/>
    </row>
    <row r="28339" spans="1:8" x14ac:dyDescent="0.25">
      <c r="A28339" s="1"/>
      <c r="B28339" s="1" t="s">
        <v>7328</v>
      </c>
      <c r="C28339" s="1" t="s">
        <v>7329</v>
      </c>
      <c r="D28339" s="22" t="str">
        <f>HYPERLINK("https://rhld.insurance.arkansas.gov/NPILookup?Npi=1801274766","1801274766")</f>
        <v>1801274766</v>
      </c>
      <c r="E28339" s="1" t="s">
        <v>13629</v>
      </c>
      <c r="F28339" s="2"/>
      <c r="G28339" s="2"/>
      <c r="H28339" s="2"/>
    </row>
    <row r="28340" spans="1:8" x14ac:dyDescent="0.25">
      <c r="A28340" s="1"/>
      <c r="B28340" s="1" t="s">
        <v>7328</v>
      </c>
      <c r="C28340" s="1" t="s">
        <v>7329</v>
      </c>
      <c r="D28340" s="22" t="str">
        <f>HYPERLINK("https://rhld.insurance.arkansas.gov/NPILookup?Npi=1801277363","1801277363")</f>
        <v>1801277363</v>
      </c>
      <c r="E28340" s="1" t="s">
        <v>28693</v>
      </c>
      <c r="F28340" s="2"/>
      <c r="G28340" s="2"/>
      <c r="H28340" s="2"/>
    </row>
    <row r="28341" spans="1:8" x14ac:dyDescent="0.25">
      <c r="A28341" s="1"/>
      <c r="B28341" s="1" t="s">
        <v>7328</v>
      </c>
      <c r="C28341" s="1" t="s">
        <v>7329</v>
      </c>
      <c r="D28341" s="22" t="str">
        <f>HYPERLINK("https://rhld.insurance.arkansas.gov/NPILookup?Npi=1801277959","1801277959")</f>
        <v>1801277959</v>
      </c>
      <c r="E28341" s="1" t="s">
        <v>28694</v>
      </c>
      <c r="F28341" s="2"/>
      <c r="G28341" s="2"/>
      <c r="H28341" s="2"/>
    </row>
    <row r="28342" spans="1:8" x14ac:dyDescent="0.25">
      <c r="A28342" s="1"/>
      <c r="B28342" s="1" t="s">
        <v>7328</v>
      </c>
      <c r="C28342" s="1" t="s">
        <v>7329</v>
      </c>
      <c r="D28342" s="22" t="str">
        <f>HYPERLINK("https://rhld.insurance.arkansas.gov/NPILookup?Npi=1801279575","1801279575")</f>
        <v>1801279575</v>
      </c>
      <c r="E28342" s="1" t="s">
        <v>28695</v>
      </c>
      <c r="F28342" s="2"/>
      <c r="G28342" s="2"/>
      <c r="H28342" s="2"/>
    </row>
    <row r="28343" spans="1:8" x14ac:dyDescent="0.25">
      <c r="A28343" s="1"/>
      <c r="B28343" s="1" t="s">
        <v>7328</v>
      </c>
      <c r="C28343" s="1" t="s">
        <v>7329</v>
      </c>
      <c r="D28343" s="22" t="str">
        <f>HYPERLINK("https://rhld.insurance.arkansas.gov/NPILookup?Npi=1801291901","1801291901")</f>
        <v>1801291901</v>
      </c>
      <c r="E28343" s="1" t="s">
        <v>28696</v>
      </c>
      <c r="F28343" s="2"/>
      <c r="G28343" s="2"/>
      <c r="H28343" s="2"/>
    </row>
    <row r="28344" spans="1:8" x14ac:dyDescent="0.25">
      <c r="A28344" s="1"/>
      <c r="B28344" s="1" t="s">
        <v>7328</v>
      </c>
      <c r="C28344" s="1" t="s">
        <v>7329</v>
      </c>
      <c r="D28344" s="22" t="str">
        <f>HYPERLINK("https://rhld.insurance.arkansas.gov/NPILookup?Npi=1801323399","1801323399")</f>
        <v>1801323399</v>
      </c>
      <c r="E28344" s="1" t="s">
        <v>28697</v>
      </c>
      <c r="F28344" s="2"/>
      <c r="G28344" s="2"/>
      <c r="H28344" s="2"/>
    </row>
    <row r="28345" spans="1:8" x14ac:dyDescent="0.25">
      <c r="A28345" s="1"/>
      <c r="B28345" s="1" t="s">
        <v>7328</v>
      </c>
      <c r="C28345" s="1" t="s">
        <v>7329</v>
      </c>
      <c r="D28345" s="22" t="str">
        <f>HYPERLINK("https://rhld.insurance.arkansas.gov/NPILookup?Npi=1801332002","1801332002")</f>
        <v>1801332002</v>
      </c>
      <c r="E28345" s="1" t="s">
        <v>892</v>
      </c>
      <c r="F28345" s="2"/>
      <c r="G28345" s="2"/>
      <c r="H28345" s="2"/>
    </row>
    <row r="28346" spans="1:8" x14ac:dyDescent="0.25">
      <c r="A28346" s="1"/>
      <c r="B28346" s="1" t="s">
        <v>7328</v>
      </c>
      <c r="C28346" s="1" t="s">
        <v>7329</v>
      </c>
      <c r="D28346" s="22" t="str">
        <f>HYPERLINK("https://rhld.insurance.arkansas.gov/NPILookup?Npi=1801333174","1801333174")</f>
        <v>1801333174</v>
      </c>
      <c r="E28346" s="1" t="s">
        <v>692</v>
      </c>
      <c r="F28346" s="2"/>
      <c r="G28346" s="2"/>
      <c r="H28346" s="2"/>
    </row>
    <row r="28347" spans="1:8" x14ac:dyDescent="0.25">
      <c r="A28347" s="1"/>
      <c r="B28347" s="1" t="s">
        <v>7328</v>
      </c>
      <c r="C28347" s="1" t="s">
        <v>7329</v>
      </c>
      <c r="D28347" s="22" t="str">
        <f>HYPERLINK("https://rhld.insurance.arkansas.gov/NPILookup?Npi=1801335187","1801335187")</f>
        <v>1801335187</v>
      </c>
      <c r="E28347" s="1" t="s">
        <v>2414</v>
      </c>
      <c r="F28347" s="2"/>
      <c r="G28347" s="2"/>
      <c r="H28347" s="2"/>
    </row>
    <row r="28348" spans="1:8" x14ac:dyDescent="0.25">
      <c r="A28348" s="1"/>
      <c r="B28348" s="1" t="s">
        <v>7328</v>
      </c>
      <c r="C28348" s="1" t="s">
        <v>7329</v>
      </c>
      <c r="D28348" s="22" t="str">
        <f>HYPERLINK("https://rhld.insurance.arkansas.gov/NPILookup?Npi=1801340344","1801340344")</f>
        <v>1801340344</v>
      </c>
      <c r="E28348" s="1" t="s">
        <v>28698</v>
      </c>
      <c r="F28348" s="2"/>
      <c r="G28348" s="2"/>
      <c r="H28348" s="2"/>
    </row>
    <row r="28349" spans="1:8" x14ac:dyDescent="0.25">
      <c r="A28349" s="1"/>
      <c r="B28349" s="1" t="s">
        <v>7328</v>
      </c>
      <c r="C28349" s="1" t="s">
        <v>7329</v>
      </c>
      <c r="D28349" s="22" t="str">
        <f>HYPERLINK("https://rhld.insurance.arkansas.gov/NPILookup?Npi=1801346192","1801346192")</f>
        <v>1801346192</v>
      </c>
      <c r="E28349" s="1" t="s">
        <v>28699</v>
      </c>
      <c r="F28349" s="2"/>
      <c r="G28349" s="2"/>
      <c r="H28349" s="2"/>
    </row>
    <row r="28350" spans="1:8" x14ac:dyDescent="0.25">
      <c r="A28350" s="1"/>
      <c r="B28350" s="1" t="s">
        <v>7328</v>
      </c>
      <c r="C28350" s="1" t="s">
        <v>7329</v>
      </c>
      <c r="D28350" s="22" t="str">
        <f>HYPERLINK("https://rhld.insurance.arkansas.gov/NPILookup?Npi=1801346515","1801346515")</f>
        <v>1801346515</v>
      </c>
      <c r="E28350" s="1" t="s">
        <v>8103</v>
      </c>
      <c r="F28350" s="2"/>
      <c r="G28350" s="2"/>
      <c r="H28350" s="2"/>
    </row>
    <row r="28351" spans="1:8" x14ac:dyDescent="0.25">
      <c r="A28351" s="1"/>
      <c r="B28351" s="1" t="s">
        <v>7328</v>
      </c>
      <c r="C28351" s="1" t="s">
        <v>7329</v>
      </c>
      <c r="D28351" s="22" t="str">
        <f>HYPERLINK("https://rhld.insurance.arkansas.gov/NPILookup?Npi=1801347679","1801347679")</f>
        <v>1801347679</v>
      </c>
      <c r="E28351" s="1" t="s">
        <v>13630</v>
      </c>
      <c r="F28351" s="2"/>
      <c r="G28351" s="2"/>
      <c r="H28351" s="2"/>
    </row>
    <row r="28352" spans="1:8" x14ac:dyDescent="0.25">
      <c r="A28352" s="1"/>
      <c r="B28352" s="1" t="s">
        <v>7328</v>
      </c>
      <c r="C28352" s="1" t="s">
        <v>7329</v>
      </c>
      <c r="D28352" s="22" t="str">
        <f>HYPERLINK("https://rhld.insurance.arkansas.gov/NPILookup?Npi=1801350137","1801350137")</f>
        <v>1801350137</v>
      </c>
      <c r="E28352" s="1" t="s">
        <v>28700</v>
      </c>
      <c r="F28352" s="2"/>
      <c r="G28352" s="2"/>
      <c r="H28352" s="2"/>
    </row>
    <row r="28353" spans="1:8" x14ac:dyDescent="0.25">
      <c r="A28353" s="1"/>
      <c r="B28353" s="1" t="s">
        <v>7328</v>
      </c>
      <c r="C28353" s="1" t="s">
        <v>7329</v>
      </c>
      <c r="D28353" s="22" t="str">
        <f>HYPERLINK("https://rhld.insurance.arkansas.gov/NPILookup?Npi=1801360516","1801360516")</f>
        <v>1801360516</v>
      </c>
      <c r="E28353" s="1" t="s">
        <v>28701</v>
      </c>
      <c r="F28353" s="2"/>
      <c r="G28353" s="2"/>
      <c r="H28353" s="2"/>
    </row>
    <row r="28354" spans="1:8" x14ac:dyDescent="0.25">
      <c r="A28354" s="1"/>
      <c r="B28354" s="1" t="s">
        <v>7328</v>
      </c>
      <c r="C28354" s="1" t="s">
        <v>7329</v>
      </c>
      <c r="D28354" s="22" t="str">
        <f>HYPERLINK("https://rhld.insurance.arkansas.gov/NPILookup?Npi=1801371810","1801371810")</f>
        <v>1801371810</v>
      </c>
      <c r="E28354" s="1" t="s">
        <v>8104</v>
      </c>
      <c r="F28354" s="2"/>
      <c r="G28354" s="2"/>
      <c r="H28354" s="2"/>
    </row>
    <row r="28355" spans="1:8" x14ac:dyDescent="0.25">
      <c r="A28355" s="1"/>
      <c r="B28355" s="1" t="s">
        <v>7328</v>
      </c>
      <c r="C28355" s="1" t="s">
        <v>7329</v>
      </c>
      <c r="D28355" s="22" t="str">
        <f>HYPERLINK("https://rhld.insurance.arkansas.gov/NPILookup?Npi=1801373824","1801373824")</f>
        <v>1801373824</v>
      </c>
      <c r="E28355" s="1" t="s">
        <v>3033</v>
      </c>
      <c r="F28355" s="2"/>
      <c r="G28355" s="2"/>
      <c r="H28355" s="2"/>
    </row>
    <row r="28356" spans="1:8" x14ac:dyDescent="0.25">
      <c r="A28356" s="1"/>
      <c r="B28356" s="1" t="s">
        <v>7328</v>
      </c>
      <c r="C28356" s="1" t="s">
        <v>7329</v>
      </c>
      <c r="D28356" s="22" t="str">
        <f>HYPERLINK("https://rhld.insurance.arkansas.gov/NPILookup?Npi=1801380548","1801380548")</f>
        <v>1801380548</v>
      </c>
      <c r="E28356" s="1" t="s">
        <v>28702</v>
      </c>
      <c r="F28356" s="2"/>
      <c r="G28356" s="2"/>
      <c r="H28356" s="2"/>
    </row>
    <row r="28357" spans="1:8" x14ac:dyDescent="0.25">
      <c r="A28357" s="1"/>
      <c r="B28357" s="1" t="s">
        <v>7328</v>
      </c>
      <c r="C28357" s="1" t="s">
        <v>7329</v>
      </c>
      <c r="D28357" s="22" t="str">
        <f>HYPERLINK("https://rhld.insurance.arkansas.gov/NPILookup?Npi=1801381579","1801381579")</f>
        <v>1801381579</v>
      </c>
      <c r="E28357" s="1" t="s">
        <v>11982</v>
      </c>
      <c r="F28357" s="2"/>
      <c r="G28357" s="2"/>
      <c r="H28357" s="2"/>
    </row>
    <row r="28358" spans="1:8" x14ac:dyDescent="0.25">
      <c r="A28358" s="1"/>
      <c r="B28358" s="1" t="s">
        <v>7328</v>
      </c>
      <c r="C28358" s="1" t="s">
        <v>7329</v>
      </c>
      <c r="D28358" s="22" t="str">
        <f>HYPERLINK("https://rhld.insurance.arkansas.gov/NPILookup?Npi=1801388160","1801388160")</f>
        <v>1801388160</v>
      </c>
      <c r="E28358" s="1" t="s">
        <v>28703</v>
      </c>
      <c r="F28358" s="2"/>
      <c r="G28358" s="2"/>
      <c r="H28358" s="2"/>
    </row>
    <row r="28359" spans="1:8" x14ac:dyDescent="0.25">
      <c r="A28359" s="1"/>
      <c r="B28359" s="1" t="s">
        <v>7328</v>
      </c>
      <c r="C28359" s="1" t="s">
        <v>7329</v>
      </c>
      <c r="D28359" s="22" t="str">
        <f>HYPERLINK("https://rhld.insurance.arkansas.gov/NPILookup?Npi=1801391362","1801391362")</f>
        <v>1801391362</v>
      </c>
      <c r="E28359" s="1" t="s">
        <v>28704</v>
      </c>
      <c r="F28359" s="2"/>
      <c r="G28359" s="2"/>
      <c r="H28359" s="2"/>
    </row>
    <row r="28360" spans="1:8" x14ac:dyDescent="0.25">
      <c r="A28360" s="1"/>
      <c r="B28360" s="1" t="s">
        <v>7328</v>
      </c>
      <c r="C28360" s="1" t="s">
        <v>7329</v>
      </c>
      <c r="D28360" s="22" t="str">
        <f>HYPERLINK("https://rhld.insurance.arkansas.gov/NPILookup?Npi=1801407440","1801407440")</f>
        <v>1801407440</v>
      </c>
      <c r="E28360" s="1" t="s">
        <v>28705</v>
      </c>
      <c r="F28360" s="2"/>
      <c r="G28360" s="2"/>
      <c r="H28360" s="2"/>
    </row>
    <row r="28361" spans="1:8" x14ac:dyDescent="0.25">
      <c r="A28361" s="1"/>
      <c r="B28361" s="1" t="s">
        <v>7328</v>
      </c>
      <c r="C28361" s="1" t="s">
        <v>7329</v>
      </c>
      <c r="D28361" s="22" t="str">
        <f>HYPERLINK("https://rhld.insurance.arkansas.gov/NPILookup?Npi=1801407747","1801407747")</f>
        <v>1801407747</v>
      </c>
      <c r="E28361" s="1" t="s">
        <v>1510</v>
      </c>
      <c r="F28361" s="2"/>
      <c r="G28361" s="2"/>
      <c r="H28361" s="2"/>
    </row>
    <row r="28362" spans="1:8" x14ac:dyDescent="0.25">
      <c r="A28362" s="1"/>
      <c r="B28362" s="1" t="s">
        <v>7328</v>
      </c>
      <c r="C28362" s="1" t="s">
        <v>7329</v>
      </c>
      <c r="D28362" s="22" t="str">
        <f>HYPERLINK("https://rhld.insurance.arkansas.gov/NPILookup?Npi=1801410527","1801410527")</f>
        <v>1801410527</v>
      </c>
      <c r="E28362" s="1" t="s">
        <v>10448</v>
      </c>
      <c r="F28362" s="2"/>
      <c r="G28362" s="2"/>
      <c r="H28362" s="2"/>
    </row>
    <row r="28363" spans="1:8" x14ac:dyDescent="0.25">
      <c r="A28363" s="1"/>
      <c r="B28363" s="1" t="s">
        <v>7328</v>
      </c>
      <c r="C28363" s="1" t="s">
        <v>7329</v>
      </c>
      <c r="D28363" s="22" t="str">
        <f>HYPERLINK("https://rhld.insurance.arkansas.gov/NPILookup?Npi=1801415229","1801415229")</f>
        <v>1801415229</v>
      </c>
      <c r="E28363" s="1" t="s">
        <v>2442</v>
      </c>
      <c r="F28363" s="2"/>
      <c r="G28363" s="2"/>
      <c r="H28363" s="2"/>
    </row>
    <row r="28364" spans="1:8" x14ac:dyDescent="0.25">
      <c r="A28364" s="1"/>
      <c r="B28364" s="1" t="s">
        <v>7328</v>
      </c>
      <c r="C28364" s="1" t="s">
        <v>7329</v>
      </c>
      <c r="D28364" s="22" t="str">
        <f>HYPERLINK("https://rhld.insurance.arkansas.gov/NPILookup?Npi=1801431721","1801431721")</f>
        <v>1801431721</v>
      </c>
      <c r="E28364" s="1" t="s">
        <v>23372</v>
      </c>
      <c r="F28364" s="2"/>
      <c r="G28364" s="2"/>
      <c r="H28364" s="2"/>
    </row>
    <row r="28365" spans="1:8" x14ac:dyDescent="0.25">
      <c r="A28365" s="1"/>
      <c r="B28365" s="1" t="s">
        <v>7328</v>
      </c>
      <c r="C28365" s="1" t="s">
        <v>7329</v>
      </c>
      <c r="D28365" s="22" t="str">
        <f>HYPERLINK("https://rhld.insurance.arkansas.gov/NPILookup?Npi=1801436886","1801436886")</f>
        <v>1801436886</v>
      </c>
      <c r="E28365" s="1" t="s">
        <v>28706</v>
      </c>
      <c r="F28365" s="2"/>
      <c r="G28365" s="2"/>
      <c r="H28365" s="2"/>
    </row>
    <row r="28366" spans="1:8" x14ac:dyDescent="0.25">
      <c r="A28366" s="1"/>
      <c r="B28366" s="1" t="s">
        <v>7328</v>
      </c>
      <c r="C28366" s="1" t="s">
        <v>7329</v>
      </c>
      <c r="D28366" s="22" t="str">
        <f>HYPERLINK("https://rhld.insurance.arkansas.gov/NPILookup?Npi=1801445671","1801445671")</f>
        <v>1801445671</v>
      </c>
      <c r="E28366" s="1" t="s">
        <v>28707</v>
      </c>
      <c r="F28366" s="2"/>
      <c r="G28366" s="2"/>
      <c r="H28366" s="2"/>
    </row>
    <row r="28367" spans="1:8" x14ac:dyDescent="0.25">
      <c r="A28367" s="1"/>
      <c r="B28367" s="1" t="s">
        <v>7328</v>
      </c>
      <c r="C28367" s="1" t="s">
        <v>7329</v>
      </c>
      <c r="D28367" s="22" t="str">
        <f>HYPERLINK("https://rhld.insurance.arkansas.gov/NPILookup?Npi=1801447834","1801447834")</f>
        <v>1801447834</v>
      </c>
      <c r="E28367" s="1" t="s">
        <v>28708</v>
      </c>
      <c r="F28367" s="2"/>
      <c r="G28367" s="2"/>
      <c r="H28367" s="2"/>
    </row>
    <row r="28368" spans="1:8" x14ac:dyDescent="0.25">
      <c r="A28368" s="1"/>
      <c r="B28368" s="1" t="s">
        <v>7328</v>
      </c>
      <c r="C28368" s="1" t="s">
        <v>7329</v>
      </c>
      <c r="D28368" s="22" t="str">
        <f>HYPERLINK("https://rhld.insurance.arkansas.gov/NPILookup?Npi=1801448592","1801448592")</f>
        <v>1801448592</v>
      </c>
      <c r="E28368" s="1" t="s">
        <v>28709</v>
      </c>
      <c r="F28368" s="2"/>
      <c r="G28368" s="2"/>
      <c r="H28368" s="2"/>
    </row>
    <row r="28369" spans="1:8" x14ac:dyDescent="0.25">
      <c r="A28369" s="1"/>
      <c r="B28369" s="1" t="s">
        <v>7328</v>
      </c>
      <c r="C28369" s="1" t="s">
        <v>7329</v>
      </c>
      <c r="D28369" s="22" t="str">
        <f>HYPERLINK("https://rhld.insurance.arkansas.gov/NPILookup?Npi=1801449384","1801449384")</f>
        <v>1801449384</v>
      </c>
      <c r="E28369" s="1" t="s">
        <v>3034</v>
      </c>
      <c r="F28369" s="2"/>
      <c r="G28369" s="2"/>
      <c r="H28369" s="2"/>
    </row>
    <row r="28370" spans="1:8" x14ac:dyDescent="0.25">
      <c r="A28370" s="1"/>
      <c r="B28370" s="1" t="s">
        <v>7328</v>
      </c>
      <c r="C28370" s="1" t="s">
        <v>7329</v>
      </c>
      <c r="D28370" s="22" t="str">
        <f>HYPERLINK("https://rhld.insurance.arkansas.gov/NPILookup?Npi=1801451430","1801451430")</f>
        <v>1801451430</v>
      </c>
      <c r="E28370" s="1" t="s">
        <v>28710</v>
      </c>
      <c r="F28370" s="2"/>
      <c r="G28370" s="2"/>
      <c r="H28370" s="2"/>
    </row>
    <row r="28371" spans="1:8" x14ac:dyDescent="0.25">
      <c r="A28371" s="1"/>
      <c r="B28371" s="1" t="s">
        <v>7328</v>
      </c>
      <c r="C28371" s="1" t="s">
        <v>7329</v>
      </c>
      <c r="D28371" s="22" t="str">
        <f>HYPERLINK("https://rhld.insurance.arkansas.gov/NPILookup?Npi=1801473905","1801473905")</f>
        <v>1801473905</v>
      </c>
      <c r="E28371" s="1" t="s">
        <v>32365</v>
      </c>
      <c r="F28371" s="2"/>
      <c r="G28371" s="2"/>
      <c r="H28371" s="2"/>
    </row>
    <row r="28372" spans="1:8" x14ac:dyDescent="0.25">
      <c r="A28372" s="1"/>
      <c r="B28372" s="1" t="s">
        <v>7328</v>
      </c>
      <c r="C28372" s="1" t="s">
        <v>7329</v>
      </c>
      <c r="D28372" s="22" t="str">
        <f>HYPERLINK("https://rhld.insurance.arkansas.gov/NPILookup?Npi=1801475793","1801475793")</f>
        <v>1801475793</v>
      </c>
      <c r="E28372" s="1" t="s">
        <v>28711</v>
      </c>
      <c r="F28372" s="2"/>
      <c r="G28372" s="2"/>
      <c r="H28372" s="2"/>
    </row>
    <row r="28373" spans="1:8" x14ac:dyDescent="0.25">
      <c r="A28373" s="1"/>
      <c r="B28373" s="1" t="s">
        <v>7328</v>
      </c>
      <c r="C28373" s="1" t="s">
        <v>7329</v>
      </c>
      <c r="D28373" s="22" t="str">
        <f>HYPERLINK("https://rhld.insurance.arkansas.gov/NPILookup?Npi=1801476270","1801476270")</f>
        <v>1801476270</v>
      </c>
      <c r="E28373" s="1" t="s">
        <v>13631</v>
      </c>
      <c r="F28373" s="2"/>
      <c r="G28373" s="2"/>
      <c r="H28373" s="2"/>
    </row>
    <row r="28374" spans="1:8" x14ac:dyDescent="0.25">
      <c r="A28374" s="1"/>
      <c r="B28374" s="1" t="s">
        <v>7328</v>
      </c>
      <c r="C28374" s="1" t="s">
        <v>7329</v>
      </c>
      <c r="D28374" s="22" t="str">
        <f>HYPERLINK("https://rhld.insurance.arkansas.gov/NPILookup?Npi=1801478508","1801478508")</f>
        <v>1801478508</v>
      </c>
      <c r="E28374" s="1" t="s">
        <v>28712</v>
      </c>
      <c r="F28374" s="2"/>
      <c r="G28374" s="2"/>
      <c r="H28374" s="2"/>
    </row>
    <row r="28375" spans="1:8" x14ac:dyDescent="0.25">
      <c r="A28375" s="1"/>
      <c r="B28375" s="1" t="s">
        <v>7328</v>
      </c>
      <c r="C28375" s="1" t="s">
        <v>7329</v>
      </c>
      <c r="D28375" s="22" t="str">
        <f>HYPERLINK("https://rhld.insurance.arkansas.gov/NPILookup?Npi=1801483946","1801483946")</f>
        <v>1801483946</v>
      </c>
      <c r="E28375" s="1" t="s">
        <v>28713</v>
      </c>
      <c r="F28375" s="2"/>
      <c r="G28375" s="2"/>
      <c r="H28375" s="2"/>
    </row>
    <row r="28376" spans="1:8" x14ac:dyDescent="0.25">
      <c r="A28376" s="1"/>
      <c r="B28376" s="1" t="s">
        <v>7328</v>
      </c>
      <c r="C28376" s="1" t="s">
        <v>7329</v>
      </c>
      <c r="D28376" s="22" t="str">
        <f>HYPERLINK("https://rhld.insurance.arkansas.gov/NPILookup?Npi=1801508775","1801508775")</f>
        <v>1801508775</v>
      </c>
      <c r="E28376" s="1" t="s">
        <v>28714</v>
      </c>
      <c r="F28376" s="2"/>
      <c r="G28376" s="2"/>
      <c r="H28376" s="2"/>
    </row>
    <row r="28377" spans="1:8" x14ac:dyDescent="0.25">
      <c r="A28377" s="1"/>
      <c r="B28377" s="1" t="s">
        <v>7328</v>
      </c>
      <c r="C28377" s="1" t="s">
        <v>7329</v>
      </c>
      <c r="D28377" s="22" t="str">
        <f>HYPERLINK("https://rhld.insurance.arkansas.gov/NPILookup?Npi=1801511894","1801511894")</f>
        <v>1801511894</v>
      </c>
      <c r="E28377" s="1" t="s">
        <v>8105</v>
      </c>
      <c r="F28377" s="2"/>
      <c r="G28377" s="2"/>
      <c r="H28377" s="2"/>
    </row>
    <row r="28378" spans="1:8" x14ac:dyDescent="0.25">
      <c r="A28378" s="1"/>
      <c r="B28378" s="1" t="s">
        <v>7328</v>
      </c>
      <c r="C28378" s="1" t="s">
        <v>7329</v>
      </c>
      <c r="D28378" s="22" t="str">
        <f>HYPERLINK("https://rhld.insurance.arkansas.gov/NPILookup?Npi=1801526751","1801526751")</f>
        <v>1801526751</v>
      </c>
      <c r="E28378" s="1" t="s">
        <v>8106</v>
      </c>
      <c r="F28378" s="2"/>
      <c r="G28378" s="2"/>
      <c r="H28378" s="2"/>
    </row>
    <row r="28379" spans="1:8" x14ac:dyDescent="0.25">
      <c r="A28379" s="1"/>
      <c r="B28379" s="1" t="s">
        <v>7328</v>
      </c>
      <c r="C28379" s="1" t="s">
        <v>7329</v>
      </c>
      <c r="D28379" s="22" t="str">
        <f>HYPERLINK("https://rhld.insurance.arkansas.gov/NPILookup?Npi=1801535836","1801535836")</f>
        <v>1801535836</v>
      </c>
      <c r="E28379" s="1" t="s">
        <v>13632</v>
      </c>
      <c r="F28379" s="2"/>
      <c r="G28379" s="2"/>
      <c r="H28379" s="2"/>
    </row>
    <row r="28380" spans="1:8" x14ac:dyDescent="0.25">
      <c r="A28380" s="1"/>
      <c r="B28380" s="1" t="s">
        <v>7328</v>
      </c>
      <c r="C28380" s="1" t="s">
        <v>7329</v>
      </c>
      <c r="D28380" s="22" t="str">
        <f>HYPERLINK("https://rhld.insurance.arkansas.gov/NPILookup?Npi=1801540646","1801540646")</f>
        <v>1801540646</v>
      </c>
      <c r="E28380" s="1" t="s">
        <v>28715</v>
      </c>
      <c r="F28380" s="2"/>
      <c r="G28380" s="2"/>
      <c r="H28380" s="2"/>
    </row>
    <row r="28381" spans="1:8" x14ac:dyDescent="0.25">
      <c r="A28381" s="1"/>
      <c r="B28381" s="1" t="s">
        <v>7328</v>
      </c>
      <c r="C28381" s="1" t="s">
        <v>7329</v>
      </c>
      <c r="D28381" s="22" t="str">
        <f>HYPERLINK("https://rhld.insurance.arkansas.gov/NPILookup?Npi=1801570320","1801570320")</f>
        <v>1801570320</v>
      </c>
      <c r="E28381" s="1" t="s">
        <v>8107</v>
      </c>
      <c r="F28381" s="2"/>
      <c r="G28381" s="2"/>
      <c r="H28381" s="2"/>
    </row>
    <row r="28382" spans="1:8" x14ac:dyDescent="0.25">
      <c r="A28382" s="1"/>
      <c r="B28382" s="1" t="s">
        <v>7328</v>
      </c>
      <c r="C28382" s="1" t="s">
        <v>7329</v>
      </c>
      <c r="D28382" s="22" t="str">
        <f>HYPERLINK("https://rhld.insurance.arkansas.gov/NPILookup?Npi=1801570403","1801570403")</f>
        <v>1801570403</v>
      </c>
      <c r="E28382" s="1" t="s">
        <v>8108</v>
      </c>
      <c r="F28382" s="2"/>
      <c r="G28382" s="2"/>
      <c r="H28382" s="2"/>
    </row>
    <row r="28383" spans="1:8" x14ac:dyDescent="0.25">
      <c r="A28383" s="1"/>
      <c r="B28383" s="1" t="s">
        <v>7328</v>
      </c>
      <c r="C28383" s="1" t="s">
        <v>7329</v>
      </c>
      <c r="D28383" s="22" t="str">
        <f>HYPERLINK("https://rhld.insurance.arkansas.gov/NPILookup?Npi=1801573282","1801573282")</f>
        <v>1801573282</v>
      </c>
      <c r="E28383" s="1" t="s">
        <v>28716</v>
      </c>
      <c r="F28383" s="2"/>
      <c r="G28383" s="2"/>
      <c r="H28383" s="2"/>
    </row>
    <row r="28384" spans="1:8" x14ac:dyDescent="0.25">
      <c r="A28384" s="1"/>
      <c r="B28384" s="1" t="s">
        <v>7328</v>
      </c>
      <c r="C28384" s="1" t="s">
        <v>7329</v>
      </c>
      <c r="D28384" s="22" t="str">
        <f>HYPERLINK("https://rhld.insurance.arkansas.gov/NPILookup?Npi=1801578372","1801578372")</f>
        <v>1801578372</v>
      </c>
      <c r="E28384" s="1" t="s">
        <v>8109</v>
      </c>
      <c r="F28384" s="2"/>
      <c r="G28384" s="2"/>
      <c r="H28384" s="2"/>
    </row>
    <row r="28385" spans="1:8" x14ac:dyDescent="0.25">
      <c r="A28385" s="1"/>
      <c r="B28385" s="1" t="s">
        <v>7328</v>
      </c>
      <c r="C28385" s="1" t="s">
        <v>7329</v>
      </c>
      <c r="D28385" s="22" t="str">
        <f>HYPERLINK("https://rhld.insurance.arkansas.gov/NPILookup?Npi=1801582457","1801582457")</f>
        <v>1801582457</v>
      </c>
      <c r="E28385" s="1" t="s">
        <v>8110</v>
      </c>
      <c r="F28385" s="2"/>
      <c r="G28385" s="2"/>
      <c r="H28385" s="2"/>
    </row>
    <row r="28386" spans="1:8" x14ac:dyDescent="0.25">
      <c r="A28386" s="1"/>
      <c r="B28386" s="1" t="s">
        <v>7328</v>
      </c>
      <c r="C28386" s="1" t="s">
        <v>7329</v>
      </c>
      <c r="D28386" s="22" t="str">
        <f>HYPERLINK("https://rhld.insurance.arkansas.gov/NPILookup?Npi=1801589395","1801589395")</f>
        <v>1801589395</v>
      </c>
      <c r="E28386" s="1" t="s">
        <v>5758</v>
      </c>
      <c r="F28386" s="2"/>
      <c r="G28386" s="2"/>
      <c r="H28386" s="2"/>
    </row>
    <row r="28387" spans="1:8" x14ac:dyDescent="0.25">
      <c r="A28387" s="1"/>
      <c r="B28387" s="1" t="s">
        <v>7328</v>
      </c>
      <c r="C28387" s="1" t="s">
        <v>7329</v>
      </c>
      <c r="D28387" s="22" t="str">
        <f>HYPERLINK("https://rhld.insurance.arkansas.gov/NPILookup?Npi=1801615786","1801615786")</f>
        <v>1801615786</v>
      </c>
      <c r="E28387" s="1" t="s">
        <v>32366</v>
      </c>
      <c r="F28387" s="2"/>
      <c r="G28387" s="2"/>
      <c r="H28387" s="2"/>
    </row>
    <row r="28388" spans="1:8" x14ac:dyDescent="0.25">
      <c r="A28388" s="1"/>
      <c r="B28388" s="1" t="s">
        <v>7328</v>
      </c>
      <c r="C28388" s="1" t="s">
        <v>7329</v>
      </c>
      <c r="D28388" s="22" t="str">
        <f>HYPERLINK("https://rhld.insurance.arkansas.gov/NPILookup?Npi=1801647532","1801647532")</f>
        <v>1801647532</v>
      </c>
      <c r="E28388" s="1" t="s">
        <v>28717</v>
      </c>
      <c r="F28388" s="2"/>
      <c r="G28388" s="2"/>
      <c r="H28388" s="2"/>
    </row>
    <row r="28389" spans="1:8" x14ac:dyDescent="0.25">
      <c r="A28389" s="1"/>
      <c r="B28389" s="1" t="s">
        <v>7328</v>
      </c>
      <c r="C28389" s="1" t="s">
        <v>7329</v>
      </c>
      <c r="D28389" s="22" t="str">
        <f>HYPERLINK("https://rhld.insurance.arkansas.gov/NPILookup?Npi=1801649421","1801649421")</f>
        <v>1801649421</v>
      </c>
      <c r="E28389" s="1" t="s">
        <v>23374</v>
      </c>
      <c r="F28389" s="2"/>
      <c r="G28389" s="2"/>
      <c r="H28389" s="2"/>
    </row>
    <row r="28390" spans="1:8" x14ac:dyDescent="0.25">
      <c r="A28390" s="1"/>
      <c r="B28390" s="1" t="s">
        <v>7328</v>
      </c>
      <c r="C28390" s="1" t="s">
        <v>7329</v>
      </c>
      <c r="D28390" s="22" t="str">
        <f>HYPERLINK("https://rhld.insurance.arkansas.gov/NPILookup?Npi=1801653688","1801653688")</f>
        <v>1801653688</v>
      </c>
      <c r="E28390" s="1" t="s">
        <v>28718</v>
      </c>
      <c r="F28390" s="2"/>
      <c r="G28390" s="2"/>
      <c r="H28390" s="2"/>
    </row>
    <row r="28391" spans="1:8" x14ac:dyDescent="0.25">
      <c r="A28391" s="1"/>
      <c r="B28391" s="1" t="s">
        <v>7328</v>
      </c>
      <c r="C28391" s="1" t="s">
        <v>7329</v>
      </c>
      <c r="D28391" s="22" t="str">
        <f>HYPERLINK("https://rhld.insurance.arkansas.gov/NPILookup?Npi=1801657853","1801657853")</f>
        <v>1801657853</v>
      </c>
      <c r="E28391" s="1" t="s">
        <v>28719</v>
      </c>
      <c r="F28391" s="2"/>
      <c r="G28391" s="2"/>
      <c r="H28391" s="2"/>
    </row>
    <row r="28392" spans="1:8" x14ac:dyDescent="0.25">
      <c r="A28392" s="1"/>
      <c r="B28392" s="1" t="s">
        <v>7328</v>
      </c>
      <c r="C28392" s="1" t="s">
        <v>7329</v>
      </c>
      <c r="D28392" s="22" t="str">
        <f>HYPERLINK("https://rhld.insurance.arkansas.gov/NPILookup?Npi=1801663273","1801663273")</f>
        <v>1801663273</v>
      </c>
      <c r="E28392" s="1" t="s">
        <v>13633</v>
      </c>
      <c r="F28392" s="2"/>
      <c r="G28392" s="2"/>
      <c r="H28392" s="2"/>
    </row>
    <row r="28393" spans="1:8" x14ac:dyDescent="0.25">
      <c r="A28393" s="1"/>
      <c r="B28393" s="1" t="s">
        <v>7328</v>
      </c>
      <c r="C28393" s="1" t="s">
        <v>7329</v>
      </c>
      <c r="D28393" s="22" t="str">
        <f>HYPERLINK("https://rhld.insurance.arkansas.gov/NPILookup?Npi=1801679048","1801679048")</f>
        <v>1801679048</v>
      </c>
      <c r="E28393" s="1" t="s">
        <v>13634</v>
      </c>
      <c r="F28393" s="2"/>
      <c r="G28393" s="2"/>
      <c r="H28393" s="2"/>
    </row>
    <row r="28394" spans="1:8" x14ac:dyDescent="0.25">
      <c r="A28394" s="1"/>
      <c r="B28394" s="1" t="s">
        <v>7328</v>
      </c>
      <c r="C28394" s="1" t="s">
        <v>7329</v>
      </c>
      <c r="D28394" s="22" t="str">
        <f>HYPERLINK("https://rhld.insurance.arkansas.gov/NPILookup?Npi=1801826375","1801826375")</f>
        <v>1801826375</v>
      </c>
      <c r="E28394" s="1" t="s">
        <v>171</v>
      </c>
      <c r="F28394" s="2"/>
      <c r="G28394" s="2"/>
      <c r="H28394" s="2"/>
    </row>
    <row r="28395" spans="1:8" x14ac:dyDescent="0.25">
      <c r="A28395" s="1"/>
      <c r="B28395" s="1" t="s">
        <v>7328</v>
      </c>
      <c r="C28395" s="1" t="s">
        <v>7329</v>
      </c>
      <c r="D28395" s="22" t="str">
        <f>HYPERLINK("https://rhld.insurance.arkansas.gov/NPILookup?Npi=1801826961","1801826961")</f>
        <v>1801826961</v>
      </c>
      <c r="E28395" s="1" t="s">
        <v>3035</v>
      </c>
      <c r="F28395" s="2"/>
      <c r="G28395" s="2"/>
      <c r="H28395" s="2"/>
    </row>
    <row r="28396" spans="1:8" x14ac:dyDescent="0.25">
      <c r="A28396" s="1"/>
      <c r="B28396" s="1" t="s">
        <v>7328</v>
      </c>
      <c r="C28396" s="1" t="s">
        <v>7329</v>
      </c>
      <c r="D28396" s="22" t="str">
        <f>HYPERLINK("https://rhld.insurance.arkansas.gov/NPILookup?Npi=1801835038","1801835038")</f>
        <v>1801835038</v>
      </c>
      <c r="E28396" s="1" t="s">
        <v>13635</v>
      </c>
      <c r="F28396" s="2"/>
      <c r="G28396" s="2"/>
      <c r="H28396" s="2"/>
    </row>
    <row r="28397" spans="1:8" x14ac:dyDescent="0.25">
      <c r="A28397" s="1"/>
      <c r="B28397" s="1" t="s">
        <v>7328</v>
      </c>
      <c r="C28397" s="1" t="s">
        <v>7329</v>
      </c>
      <c r="D28397" s="22" t="str">
        <f>HYPERLINK("https://rhld.insurance.arkansas.gov/NPILookup?Npi=1801840202","1801840202")</f>
        <v>1801840202</v>
      </c>
      <c r="E28397" s="1" t="s">
        <v>28720</v>
      </c>
      <c r="F28397" s="2"/>
      <c r="G28397" s="2"/>
      <c r="H28397" s="2"/>
    </row>
    <row r="28398" spans="1:8" x14ac:dyDescent="0.25">
      <c r="A28398" s="1"/>
      <c r="B28398" s="1" t="s">
        <v>7328</v>
      </c>
      <c r="C28398" s="1" t="s">
        <v>7329</v>
      </c>
      <c r="D28398" s="22" t="str">
        <f>HYPERLINK("https://rhld.insurance.arkansas.gov/NPILookup?Npi=1801854732","1801854732")</f>
        <v>1801854732</v>
      </c>
      <c r="E28398" s="1" t="s">
        <v>13636</v>
      </c>
      <c r="F28398" s="2"/>
      <c r="G28398" s="2"/>
      <c r="H28398" s="2"/>
    </row>
    <row r="28399" spans="1:8" x14ac:dyDescent="0.25">
      <c r="A28399" s="1"/>
      <c r="B28399" s="1" t="s">
        <v>7328</v>
      </c>
      <c r="C28399" s="1" t="s">
        <v>7329</v>
      </c>
      <c r="D28399" s="22" t="str">
        <f>HYPERLINK("https://rhld.insurance.arkansas.gov/NPILookup?Npi=1801858188","1801858188")</f>
        <v>1801858188</v>
      </c>
      <c r="E28399" s="1" t="s">
        <v>28721</v>
      </c>
      <c r="F28399" s="2"/>
      <c r="G28399" s="2"/>
      <c r="H28399" s="2"/>
    </row>
    <row r="28400" spans="1:8" x14ac:dyDescent="0.25">
      <c r="A28400" s="1"/>
      <c r="B28400" s="1" t="s">
        <v>7328</v>
      </c>
      <c r="C28400" s="1" t="s">
        <v>7329</v>
      </c>
      <c r="D28400" s="22" t="str">
        <f>HYPERLINK("https://rhld.insurance.arkansas.gov/NPILookup?Npi=1801868666","1801868666")</f>
        <v>1801868666</v>
      </c>
      <c r="E28400" s="1" t="s">
        <v>483</v>
      </c>
      <c r="F28400" s="2"/>
      <c r="G28400" s="2"/>
      <c r="H28400" s="2"/>
    </row>
    <row r="28401" spans="1:8" x14ac:dyDescent="0.25">
      <c r="A28401" s="1"/>
      <c r="B28401" s="1" t="s">
        <v>7328</v>
      </c>
      <c r="C28401" s="1" t="s">
        <v>7329</v>
      </c>
      <c r="D28401" s="22" t="str">
        <f>HYPERLINK("https://rhld.insurance.arkansas.gov/NPILookup?Npi=1801869185","1801869185")</f>
        <v>1801869185</v>
      </c>
      <c r="E28401" s="1" t="s">
        <v>28722</v>
      </c>
      <c r="F28401" s="2"/>
      <c r="G28401" s="2"/>
      <c r="H28401" s="2"/>
    </row>
    <row r="28402" spans="1:8" x14ac:dyDescent="0.25">
      <c r="A28402" s="1"/>
      <c r="B28402" s="1" t="s">
        <v>7328</v>
      </c>
      <c r="C28402" s="1" t="s">
        <v>7329</v>
      </c>
      <c r="D28402" s="22" t="str">
        <f>HYPERLINK("https://rhld.insurance.arkansas.gov/NPILookup?Npi=1801880059","1801880059")</f>
        <v>1801880059</v>
      </c>
      <c r="E28402" s="1" t="s">
        <v>13637</v>
      </c>
      <c r="F28402" s="2"/>
      <c r="G28402" s="2"/>
      <c r="H28402" s="2"/>
    </row>
    <row r="28403" spans="1:8" x14ac:dyDescent="0.25">
      <c r="A28403" s="1"/>
      <c r="B28403" s="1" t="s">
        <v>7328</v>
      </c>
      <c r="C28403" s="1" t="s">
        <v>7329</v>
      </c>
      <c r="D28403" s="22" t="str">
        <f>HYPERLINK("https://rhld.insurance.arkansas.gov/NPILookup?Npi=1801891387","1801891387")</f>
        <v>1801891387</v>
      </c>
      <c r="E28403" s="1" t="s">
        <v>10451</v>
      </c>
      <c r="F28403" s="2"/>
      <c r="G28403" s="2"/>
      <c r="H28403" s="2"/>
    </row>
    <row r="28404" spans="1:8" x14ac:dyDescent="0.25">
      <c r="A28404" s="1"/>
      <c r="B28404" s="1" t="s">
        <v>7328</v>
      </c>
      <c r="C28404" s="1" t="s">
        <v>7329</v>
      </c>
      <c r="D28404" s="22" t="str">
        <f>HYPERLINK("https://rhld.insurance.arkansas.gov/NPILookup?Npi=1801897053","1801897053")</f>
        <v>1801897053</v>
      </c>
      <c r="E28404" s="1" t="s">
        <v>28723</v>
      </c>
      <c r="F28404" s="2"/>
      <c r="G28404" s="2"/>
      <c r="H28404" s="2"/>
    </row>
    <row r="28405" spans="1:8" x14ac:dyDescent="0.25">
      <c r="A28405" s="1"/>
      <c r="B28405" s="1" t="s">
        <v>7328</v>
      </c>
      <c r="C28405" s="1" t="s">
        <v>7329</v>
      </c>
      <c r="D28405" s="22" t="str">
        <f>HYPERLINK("https://rhld.insurance.arkansas.gov/NPILookup?Npi=1801908108","1801908108")</f>
        <v>1801908108</v>
      </c>
      <c r="E28405" s="1" t="s">
        <v>10452</v>
      </c>
      <c r="F28405" s="2"/>
      <c r="G28405" s="2"/>
      <c r="H28405" s="2"/>
    </row>
    <row r="28406" spans="1:8" x14ac:dyDescent="0.25">
      <c r="A28406" s="1"/>
      <c r="B28406" s="1" t="s">
        <v>7328</v>
      </c>
      <c r="C28406" s="1" t="s">
        <v>7329</v>
      </c>
      <c r="D28406" s="22" t="str">
        <f>HYPERLINK("https://rhld.insurance.arkansas.gov/NPILookup?Npi=1801939558","1801939558")</f>
        <v>1801939558</v>
      </c>
      <c r="E28406" s="1" t="s">
        <v>28724</v>
      </c>
      <c r="F28406" s="2"/>
      <c r="G28406" s="2"/>
      <c r="H28406" s="2"/>
    </row>
    <row r="28407" spans="1:8" x14ac:dyDescent="0.25">
      <c r="A28407" s="1"/>
      <c r="B28407" s="1" t="s">
        <v>7328</v>
      </c>
      <c r="C28407" s="1" t="s">
        <v>7329</v>
      </c>
      <c r="D28407" s="22" t="str">
        <f>HYPERLINK("https://rhld.insurance.arkansas.gov/NPILookup?Npi=1801958145","1801958145")</f>
        <v>1801958145</v>
      </c>
      <c r="E28407" s="1" t="s">
        <v>17901</v>
      </c>
      <c r="F28407" s="2"/>
      <c r="G28407" s="2"/>
      <c r="H28407" s="2"/>
    </row>
    <row r="28408" spans="1:8" x14ac:dyDescent="0.25">
      <c r="A28408" s="1"/>
      <c r="B28408" s="1" t="s">
        <v>7328</v>
      </c>
      <c r="C28408" s="1" t="s">
        <v>7329</v>
      </c>
      <c r="D28408" s="22" t="str">
        <f>HYPERLINK("https://rhld.insurance.arkansas.gov/NPILookup?Npi=1801996392","1801996392")</f>
        <v>1801996392</v>
      </c>
      <c r="E28408" s="1" t="s">
        <v>1815</v>
      </c>
      <c r="F28408" s="2"/>
      <c r="G28408" s="2"/>
      <c r="H28408" s="2"/>
    </row>
    <row r="28409" spans="1:8" x14ac:dyDescent="0.25">
      <c r="A28409" s="1"/>
      <c r="B28409" s="1" t="s">
        <v>7328</v>
      </c>
      <c r="C28409" s="1" t="s">
        <v>7329</v>
      </c>
      <c r="D28409" s="22" t="str">
        <f>HYPERLINK("https://rhld.insurance.arkansas.gov/NPILookup?Npi=1811001282","1811001282")</f>
        <v>1811001282</v>
      </c>
      <c r="E28409" s="1" t="s">
        <v>16979</v>
      </c>
      <c r="F28409" s="2"/>
      <c r="G28409" s="2"/>
      <c r="H28409" s="2"/>
    </row>
    <row r="28410" spans="1:8" x14ac:dyDescent="0.25">
      <c r="A28410" s="1"/>
      <c r="B28410" s="1" t="s">
        <v>7328</v>
      </c>
      <c r="C28410" s="1" t="s">
        <v>7329</v>
      </c>
      <c r="D28410" s="22" t="str">
        <f>HYPERLINK("https://rhld.insurance.arkansas.gov/NPILookup?Npi=1811019854","1811019854")</f>
        <v>1811019854</v>
      </c>
      <c r="E28410" s="1" t="s">
        <v>28725</v>
      </c>
      <c r="F28410" s="2"/>
      <c r="G28410" s="2"/>
      <c r="H28410" s="2"/>
    </row>
    <row r="28411" spans="1:8" x14ac:dyDescent="0.25">
      <c r="A28411" s="1"/>
      <c r="B28411" s="1" t="s">
        <v>7328</v>
      </c>
      <c r="C28411" s="1" t="s">
        <v>7329</v>
      </c>
      <c r="D28411" s="22" t="str">
        <f>HYPERLINK("https://rhld.insurance.arkansas.gov/NPILookup?Npi=1811059363","1811059363")</f>
        <v>1811059363</v>
      </c>
      <c r="E28411" s="1" t="s">
        <v>13638</v>
      </c>
      <c r="F28411" s="2"/>
      <c r="G28411" s="2"/>
      <c r="H28411" s="2"/>
    </row>
    <row r="28412" spans="1:8" x14ac:dyDescent="0.25">
      <c r="A28412" s="1"/>
      <c r="B28412" s="1" t="s">
        <v>7328</v>
      </c>
      <c r="C28412" s="1" t="s">
        <v>7329</v>
      </c>
      <c r="D28412" s="22" t="str">
        <f>HYPERLINK("https://rhld.insurance.arkansas.gov/NPILookup?Npi=1811061450","1811061450")</f>
        <v>1811061450</v>
      </c>
      <c r="E28412" s="1" t="s">
        <v>17903</v>
      </c>
      <c r="F28412" s="2"/>
      <c r="G28412" s="2"/>
      <c r="H28412" s="2"/>
    </row>
    <row r="28413" spans="1:8" x14ac:dyDescent="0.25">
      <c r="A28413" s="1"/>
      <c r="B28413" s="1" t="s">
        <v>7328</v>
      </c>
      <c r="C28413" s="1" t="s">
        <v>7329</v>
      </c>
      <c r="D28413" s="22" t="str">
        <f>HYPERLINK("https://rhld.insurance.arkansas.gov/NPILookup?Npi=1811079544","1811079544")</f>
        <v>1811079544</v>
      </c>
      <c r="E28413" s="1" t="s">
        <v>28726</v>
      </c>
      <c r="F28413" s="2"/>
      <c r="G28413" s="2"/>
      <c r="H28413" s="2"/>
    </row>
    <row r="28414" spans="1:8" x14ac:dyDescent="0.25">
      <c r="A28414" s="1"/>
      <c r="B28414" s="1" t="s">
        <v>7328</v>
      </c>
      <c r="C28414" s="1" t="s">
        <v>7329</v>
      </c>
      <c r="D28414" s="22" t="str">
        <f>HYPERLINK("https://rhld.insurance.arkansas.gov/NPILookup?Npi=1811098403","1811098403")</f>
        <v>1811098403</v>
      </c>
      <c r="E28414" s="1" t="s">
        <v>1583</v>
      </c>
      <c r="F28414" s="2"/>
      <c r="G28414" s="2"/>
      <c r="H28414" s="2"/>
    </row>
    <row r="28415" spans="1:8" x14ac:dyDescent="0.25">
      <c r="A28415" s="1"/>
      <c r="B28415" s="1" t="s">
        <v>7328</v>
      </c>
      <c r="C28415" s="1" t="s">
        <v>7329</v>
      </c>
      <c r="D28415" s="22" t="str">
        <f>HYPERLINK("https://rhld.insurance.arkansas.gov/NPILookup?Npi=1811128028","1811128028")</f>
        <v>1811128028</v>
      </c>
      <c r="E28415" s="1" t="s">
        <v>8111</v>
      </c>
      <c r="F28415" s="2"/>
      <c r="G28415" s="2"/>
      <c r="H28415" s="2"/>
    </row>
    <row r="28416" spans="1:8" x14ac:dyDescent="0.25">
      <c r="A28416" s="1"/>
      <c r="B28416" s="1" t="s">
        <v>7328</v>
      </c>
      <c r="C28416" s="1" t="s">
        <v>7329</v>
      </c>
      <c r="D28416" s="22" t="str">
        <f>HYPERLINK("https://rhld.insurance.arkansas.gov/NPILookup?Npi=1811130867","1811130867")</f>
        <v>1811130867</v>
      </c>
      <c r="E28416" s="1" t="s">
        <v>13639</v>
      </c>
      <c r="F28416" s="2"/>
      <c r="G28416" s="2"/>
      <c r="H28416" s="2"/>
    </row>
    <row r="28417" spans="1:8" x14ac:dyDescent="0.25">
      <c r="A28417" s="1"/>
      <c r="B28417" s="1" t="s">
        <v>7328</v>
      </c>
      <c r="C28417" s="1" t="s">
        <v>7329</v>
      </c>
      <c r="D28417" s="22" t="str">
        <f>HYPERLINK("https://rhld.insurance.arkansas.gov/NPILookup?Npi=1811168537","1811168537")</f>
        <v>1811168537</v>
      </c>
      <c r="E28417" s="1" t="s">
        <v>13640</v>
      </c>
      <c r="F28417" s="2"/>
      <c r="G28417" s="2"/>
      <c r="H28417" s="2"/>
    </row>
    <row r="28418" spans="1:8" x14ac:dyDescent="0.25">
      <c r="A28418" s="1"/>
      <c r="B28418" s="1" t="s">
        <v>7328</v>
      </c>
      <c r="C28418" s="1" t="s">
        <v>7329</v>
      </c>
      <c r="D28418" s="22" t="str">
        <f>HYPERLINK("https://rhld.insurance.arkansas.gov/NPILookup?Npi=1811200959","1811200959")</f>
        <v>1811200959</v>
      </c>
      <c r="E28418" s="1" t="s">
        <v>2077</v>
      </c>
      <c r="F28418" s="2"/>
      <c r="G28418" s="2"/>
      <c r="H28418" s="2"/>
    </row>
    <row r="28419" spans="1:8" x14ac:dyDescent="0.25">
      <c r="A28419" s="1"/>
      <c r="B28419" s="1" t="s">
        <v>7328</v>
      </c>
      <c r="C28419" s="1" t="s">
        <v>7329</v>
      </c>
      <c r="D28419" s="22" t="str">
        <f>HYPERLINK("https://rhld.insurance.arkansas.gov/NPILookup?Npi=1811210552","1811210552")</f>
        <v>1811210552</v>
      </c>
      <c r="E28419" s="1" t="s">
        <v>28727</v>
      </c>
      <c r="F28419" s="2"/>
      <c r="G28419" s="2"/>
      <c r="H28419" s="2"/>
    </row>
    <row r="28420" spans="1:8" x14ac:dyDescent="0.25">
      <c r="A28420" s="1"/>
      <c r="B28420" s="1" t="s">
        <v>7328</v>
      </c>
      <c r="C28420" s="1" t="s">
        <v>7329</v>
      </c>
      <c r="D28420" s="22" t="str">
        <f>HYPERLINK("https://rhld.insurance.arkansas.gov/NPILookup?Npi=1811212202","1811212202")</f>
        <v>1811212202</v>
      </c>
      <c r="E28420" s="1" t="s">
        <v>28728</v>
      </c>
      <c r="F28420" s="2"/>
      <c r="G28420" s="2"/>
      <c r="H28420" s="2"/>
    </row>
    <row r="28421" spans="1:8" x14ac:dyDescent="0.25">
      <c r="A28421" s="1"/>
      <c r="B28421" s="1" t="s">
        <v>7328</v>
      </c>
      <c r="C28421" s="1" t="s">
        <v>7329</v>
      </c>
      <c r="D28421" s="22" t="str">
        <f>HYPERLINK("https://rhld.insurance.arkansas.gov/NPILookup?Npi=1811230691","1811230691")</f>
        <v>1811230691</v>
      </c>
      <c r="E28421" s="1" t="s">
        <v>13641</v>
      </c>
      <c r="F28421" s="2"/>
      <c r="G28421" s="2"/>
      <c r="H28421" s="2"/>
    </row>
    <row r="28422" spans="1:8" x14ac:dyDescent="0.25">
      <c r="A28422" s="1"/>
      <c r="B28422" s="1" t="s">
        <v>7328</v>
      </c>
      <c r="C28422" s="1" t="s">
        <v>7329</v>
      </c>
      <c r="D28422" s="22" t="str">
        <f>HYPERLINK("https://rhld.insurance.arkansas.gov/NPILookup?Npi=1811234594","1811234594")</f>
        <v>1811234594</v>
      </c>
      <c r="E28422" s="1" t="s">
        <v>28729</v>
      </c>
      <c r="F28422" s="2"/>
      <c r="G28422" s="2"/>
      <c r="H28422" s="2"/>
    </row>
    <row r="28423" spans="1:8" x14ac:dyDescent="0.25">
      <c r="A28423" s="1"/>
      <c r="B28423" s="1" t="s">
        <v>7328</v>
      </c>
      <c r="C28423" s="1" t="s">
        <v>7329</v>
      </c>
      <c r="D28423" s="22" t="str">
        <f>HYPERLINK("https://rhld.insurance.arkansas.gov/NPILookup?Npi=1811236334","1811236334")</f>
        <v>1811236334</v>
      </c>
      <c r="E28423" s="1" t="s">
        <v>28730</v>
      </c>
      <c r="F28423" s="2"/>
      <c r="G28423" s="2"/>
      <c r="H28423" s="2"/>
    </row>
    <row r="28424" spans="1:8" x14ac:dyDescent="0.25">
      <c r="A28424" s="1"/>
      <c r="B28424" s="1" t="s">
        <v>7328</v>
      </c>
      <c r="C28424" s="1" t="s">
        <v>7329</v>
      </c>
      <c r="D28424" s="22" t="str">
        <f>HYPERLINK("https://rhld.insurance.arkansas.gov/NPILookup?Npi=1811236789","1811236789")</f>
        <v>1811236789</v>
      </c>
      <c r="E28424" s="1" t="s">
        <v>13642</v>
      </c>
      <c r="F28424" s="2"/>
      <c r="G28424" s="2"/>
      <c r="H28424" s="2"/>
    </row>
    <row r="28425" spans="1:8" x14ac:dyDescent="0.25">
      <c r="A28425" s="1"/>
      <c r="B28425" s="1" t="s">
        <v>7328</v>
      </c>
      <c r="C28425" s="1" t="s">
        <v>7329</v>
      </c>
      <c r="D28425" s="22" t="str">
        <f>HYPERLINK("https://rhld.insurance.arkansas.gov/NPILookup?Npi=1811246127","1811246127")</f>
        <v>1811246127</v>
      </c>
      <c r="E28425" s="1" t="s">
        <v>3036</v>
      </c>
      <c r="F28425" s="2"/>
      <c r="G28425" s="2"/>
      <c r="H28425" s="2"/>
    </row>
    <row r="28426" spans="1:8" x14ac:dyDescent="0.25">
      <c r="A28426" s="1"/>
      <c r="B28426" s="1" t="s">
        <v>7328</v>
      </c>
      <c r="C28426" s="1" t="s">
        <v>7329</v>
      </c>
      <c r="D28426" s="22" t="str">
        <f>HYPERLINK("https://rhld.insurance.arkansas.gov/NPILookup?Npi=1811259989","1811259989")</f>
        <v>1811259989</v>
      </c>
      <c r="E28426" s="1" t="s">
        <v>28731</v>
      </c>
      <c r="F28426" s="2"/>
      <c r="G28426" s="2"/>
      <c r="H28426" s="2"/>
    </row>
    <row r="28427" spans="1:8" x14ac:dyDescent="0.25">
      <c r="A28427" s="1"/>
      <c r="B28427" s="1" t="s">
        <v>7328</v>
      </c>
      <c r="C28427" s="1" t="s">
        <v>7329</v>
      </c>
      <c r="D28427" s="22" t="str">
        <f>HYPERLINK("https://rhld.insurance.arkansas.gov/NPILookup?Npi=1811283906","1811283906")</f>
        <v>1811283906</v>
      </c>
      <c r="E28427" s="1" t="s">
        <v>13643</v>
      </c>
      <c r="F28427" s="2"/>
      <c r="G28427" s="2"/>
      <c r="H28427" s="2"/>
    </row>
    <row r="28428" spans="1:8" x14ac:dyDescent="0.25">
      <c r="A28428" s="1"/>
      <c r="B28428" s="1" t="s">
        <v>7328</v>
      </c>
      <c r="C28428" s="1" t="s">
        <v>7329</v>
      </c>
      <c r="D28428" s="22" t="str">
        <f>HYPERLINK("https://rhld.insurance.arkansas.gov/NPILookup?Npi=1811286750","1811286750")</f>
        <v>1811286750</v>
      </c>
      <c r="E28428" s="1" t="s">
        <v>28732</v>
      </c>
      <c r="F28428" s="2"/>
      <c r="G28428" s="2"/>
      <c r="H28428" s="2"/>
    </row>
    <row r="28429" spans="1:8" x14ac:dyDescent="0.25">
      <c r="A28429" s="1"/>
      <c r="B28429" s="1" t="s">
        <v>7328</v>
      </c>
      <c r="C28429" s="1" t="s">
        <v>7329</v>
      </c>
      <c r="D28429" s="22" t="str">
        <f>HYPERLINK("https://rhld.insurance.arkansas.gov/NPILookup?Npi=1811293756","1811293756")</f>
        <v>1811293756</v>
      </c>
      <c r="E28429" s="1" t="s">
        <v>28733</v>
      </c>
      <c r="F28429" s="2"/>
      <c r="G28429" s="2"/>
      <c r="H28429" s="2"/>
    </row>
    <row r="28430" spans="1:8" x14ac:dyDescent="0.25">
      <c r="A28430" s="1"/>
      <c r="B28430" s="1" t="s">
        <v>7328</v>
      </c>
      <c r="C28430" s="1" t="s">
        <v>7329</v>
      </c>
      <c r="D28430" s="22" t="str">
        <f>HYPERLINK("https://rhld.insurance.arkansas.gov/NPILookup?Npi=1811313554","1811313554")</f>
        <v>1811313554</v>
      </c>
      <c r="E28430" s="1" t="s">
        <v>28734</v>
      </c>
      <c r="F28430" s="2"/>
      <c r="G28430" s="2"/>
      <c r="H28430" s="2"/>
    </row>
    <row r="28431" spans="1:8" x14ac:dyDescent="0.25">
      <c r="A28431" s="1"/>
      <c r="B28431" s="1" t="s">
        <v>7328</v>
      </c>
      <c r="C28431" s="1" t="s">
        <v>7329</v>
      </c>
      <c r="D28431" s="22" t="str">
        <f>HYPERLINK("https://rhld.insurance.arkansas.gov/NPILookup?Npi=1811314842","1811314842")</f>
        <v>1811314842</v>
      </c>
      <c r="E28431" s="1" t="s">
        <v>13644</v>
      </c>
      <c r="F28431" s="2"/>
      <c r="G28431" s="2"/>
      <c r="H28431" s="2"/>
    </row>
    <row r="28432" spans="1:8" x14ac:dyDescent="0.25">
      <c r="A28432" s="1"/>
      <c r="B28432" s="1" t="s">
        <v>7328</v>
      </c>
      <c r="C28432" s="1" t="s">
        <v>7329</v>
      </c>
      <c r="D28432" s="22" t="str">
        <f>HYPERLINK("https://rhld.insurance.arkansas.gov/NPILookup?Npi=1811326861","1811326861")</f>
        <v>1811326861</v>
      </c>
      <c r="E28432" s="1" t="s">
        <v>28735</v>
      </c>
      <c r="F28432" s="2"/>
      <c r="G28432" s="2"/>
      <c r="H28432" s="2"/>
    </row>
    <row r="28433" spans="1:8" x14ac:dyDescent="0.25">
      <c r="A28433" s="1"/>
      <c r="B28433" s="1" t="s">
        <v>7328</v>
      </c>
      <c r="C28433" s="1" t="s">
        <v>7329</v>
      </c>
      <c r="D28433" s="22" t="str">
        <f>HYPERLINK("https://rhld.insurance.arkansas.gov/NPILookup?Npi=1811327521","1811327521")</f>
        <v>1811327521</v>
      </c>
      <c r="E28433" s="1" t="s">
        <v>13645</v>
      </c>
      <c r="F28433" s="2"/>
      <c r="G28433" s="2"/>
      <c r="H28433" s="2"/>
    </row>
    <row r="28434" spans="1:8" x14ac:dyDescent="0.25">
      <c r="A28434" s="1"/>
      <c r="B28434" s="1" t="s">
        <v>7328</v>
      </c>
      <c r="C28434" s="1" t="s">
        <v>7329</v>
      </c>
      <c r="D28434" s="22" t="str">
        <f>HYPERLINK("https://rhld.insurance.arkansas.gov/NPILookup?Npi=1811331754","1811331754")</f>
        <v>1811331754</v>
      </c>
      <c r="E28434" s="1" t="s">
        <v>28736</v>
      </c>
      <c r="F28434" s="2"/>
      <c r="G28434" s="2"/>
      <c r="H28434" s="2"/>
    </row>
    <row r="28435" spans="1:8" x14ac:dyDescent="0.25">
      <c r="A28435" s="1"/>
      <c r="B28435" s="1" t="s">
        <v>7328</v>
      </c>
      <c r="C28435" s="1" t="s">
        <v>7329</v>
      </c>
      <c r="D28435" s="22" t="str">
        <f>HYPERLINK("https://rhld.insurance.arkansas.gov/NPILookup?Npi=1811339054","1811339054")</f>
        <v>1811339054</v>
      </c>
      <c r="E28435" s="1" t="s">
        <v>810</v>
      </c>
      <c r="F28435" s="2"/>
      <c r="G28435" s="2"/>
      <c r="H28435" s="2"/>
    </row>
    <row r="28436" spans="1:8" x14ac:dyDescent="0.25">
      <c r="A28436" s="1"/>
      <c r="B28436" s="1" t="s">
        <v>7328</v>
      </c>
      <c r="C28436" s="1" t="s">
        <v>7329</v>
      </c>
      <c r="D28436" s="22" t="str">
        <f>HYPERLINK("https://rhld.insurance.arkansas.gov/NPILookup?Npi=1811356751","1811356751")</f>
        <v>1811356751</v>
      </c>
      <c r="E28436" s="1" t="s">
        <v>28737</v>
      </c>
      <c r="F28436" s="2"/>
      <c r="G28436" s="2"/>
      <c r="H28436" s="2"/>
    </row>
    <row r="28437" spans="1:8" x14ac:dyDescent="0.25">
      <c r="A28437" s="1"/>
      <c r="B28437" s="1" t="s">
        <v>7328</v>
      </c>
      <c r="C28437" s="1" t="s">
        <v>7329</v>
      </c>
      <c r="D28437" s="22" t="str">
        <f>HYPERLINK("https://rhld.insurance.arkansas.gov/NPILookup?Npi=1811362510","1811362510")</f>
        <v>1811362510</v>
      </c>
      <c r="E28437" s="1" t="s">
        <v>1239</v>
      </c>
      <c r="F28437" s="2"/>
      <c r="G28437" s="2"/>
      <c r="H28437" s="2"/>
    </row>
    <row r="28438" spans="1:8" x14ac:dyDescent="0.25">
      <c r="A28438" s="1"/>
      <c r="B28438" s="1" t="s">
        <v>7328</v>
      </c>
      <c r="C28438" s="1" t="s">
        <v>7329</v>
      </c>
      <c r="D28438" s="22" t="str">
        <f>HYPERLINK("https://rhld.insurance.arkansas.gov/NPILookup?Npi=1811363070","1811363070")</f>
        <v>1811363070</v>
      </c>
      <c r="E28438" s="1" t="s">
        <v>28738</v>
      </c>
      <c r="F28438" s="2"/>
      <c r="G28438" s="2"/>
      <c r="H28438" s="2"/>
    </row>
    <row r="28439" spans="1:8" x14ac:dyDescent="0.25">
      <c r="A28439" s="1"/>
      <c r="B28439" s="1" t="s">
        <v>7328</v>
      </c>
      <c r="C28439" s="1" t="s">
        <v>7329</v>
      </c>
      <c r="D28439" s="22" t="str">
        <f>HYPERLINK("https://rhld.insurance.arkansas.gov/NPILookup?Npi=1811364995","1811364995")</f>
        <v>1811364995</v>
      </c>
      <c r="E28439" s="1" t="s">
        <v>1690</v>
      </c>
      <c r="F28439" s="2"/>
      <c r="G28439" s="2"/>
      <c r="H28439" s="2"/>
    </row>
    <row r="28440" spans="1:8" x14ac:dyDescent="0.25">
      <c r="A28440" s="1"/>
      <c r="B28440" s="1" t="s">
        <v>7328</v>
      </c>
      <c r="C28440" s="1" t="s">
        <v>7329</v>
      </c>
      <c r="D28440" s="22" t="str">
        <f>HYPERLINK("https://rhld.insurance.arkansas.gov/NPILookup?Npi=1811372204","1811372204")</f>
        <v>1811372204</v>
      </c>
      <c r="E28440" s="1" t="s">
        <v>28739</v>
      </c>
      <c r="F28440" s="2"/>
      <c r="G28440" s="2"/>
      <c r="H28440" s="2"/>
    </row>
    <row r="28441" spans="1:8" x14ac:dyDescent="0.25">
      <c r="A28441" s="1"/>
      <c r="B28441" s="1" t="s">
        <v>7328</v>
      </c>
      <c r="C28441" s="1" t="s">
        <v>7329</v>
      </c>
      <c r="D28441" s="22" t="str">
        <f>HYPERLINK("https://rhld.insurance.arkansas.gov/NPILookup?Npi=1811385206","1811385206")</f>
        <v>1811385206</v>
      </c>
      <c r="E28441" s="1" t="s">
        <v>28740</v>
      </c>
      <c r="F28441" s="2"/>
      <c r="G28441" s="2"/>
      <c r="H28441" s="2"/>
    </row>
    <row r="28442" spans="1:8" x14ac:dyDescent="0.25">
      <c r="A28442" s="1"/>
      <c r="B28442" s="1" t="s">
        <v>7328</v>
      </c>
      <c r="C28442" s="1" t="s">
        <v>7329</v>
      </c>
      <c r="D28442" s="22" t="str">
        <f>HYPERLINK("https://rhld.insurance.arkansas.gov/NPILookup?Npi=1811388739","1811388739")</f>
        <v>1811388739</v>
      </c>
      <c r="E28442" s="1" t="s">
        <v>28741</v>
      </c>
      <c r="F28442" s="2"/>
      <c r="G28442" s="2"/>
      <c r="H28442" s="2"/>
    </row>
    <row r="28443" spans="1:8" x14ac:dyDescent="0.25">
      <c r="A28443" s="1"/>
      <c r="B28443" s="1" t="s">
        <v>7328</v>
      </c>
      <c r="C28443" s="1" t="s">
        <v>7329</v>
      </c>
      <c r="D28443" s="22" t="str">
        <f>HYPERLINK("https://rhld.insurance.arkansas.gov/NPILookup?Npi=1811388945","1811388945")</f>
        <v>1811388945</v>
      </c>
      <c r="E28443" s="1" t="s">
        <v>13646</v>
      </c>
      <c r="F28443" s="2"/>
      <c r="G28443" s="2"/>
      <c r="H28443" s="2"/>
    </row>
    <row r="28444" spans="1:8" x14ac:dyDescent="0.25">
      <c r="A28444" s="1"/>
      <c r="B28444" s="1" t="s">
        <v>7328</v>
      </c>
      <c r="C28444" s="1" t="s">
        <v>7329</v>
      </c>
      <c r="D28444" s="22" t="str">
        <f>HYPERLINK("https://rhld.insurance.arkansas.gov/NPILookup?Npi=1811401193","1811401193")</f>
        <v>1811401193</v>
      </c>
      <c r="E28444" s="1" t="s">
        <v>28742</v>
      </c>
      <c r="F28444" s="2"/>
      <c r="G28444" s="2"/>
      <c r="H28444" s="2"/>
    </row>
    <row r="28445" spans="1:8" x14ac:dyDescent="0.25">
      <c r="A28445" s="1"/>
      <c r="B28445" s="1" t="s">
        <v>7328</v>
      </c>
      <c r="C28445" s="1" t="s">
        <v>7329</v>
      </c>
      <c r="D28445" s="22" t="str">
        <f>HYPERLINK("https://rhld.insurance.arkansas.gov/NPILookup?Npi=1811401318","1811401318")</f>
        <v>1811401318</v>
      </c>
      <c r="E28445" s="1" t="s">
        <v>1108</v>
      </c>
      <c r="F28445" s="2"/>
      <c r="G28445" s="2"/>
      <c r="H28445" s="2"/>
    </row>
    <row r="28446" spans="1:8" x14ac:dyDescent="0.25">
      <c r="A28446" s="1"/>
      <c r="B28446" s="1" t="s">
        <v>7328</v>
      </c>
      <c r="C28446" s="1" t="s">
        <v>7329</v>
      </c>
      <c r="D28446" s="22" t="str">
        <f>HYPERLINK("https://rhld.insurance.arkansas.gov/NPILookup?Npi=1811415540","1811415540")</f>
        <v>1811415540</v>
      </c>
      <c r="E28446" s="1" t="s">
        <v>13647</v>
      </c>
      <c r="F28446" s="2"/>
      <c r="G28446" s="2"/>
      <c r="H28446" s="2"/>
    </row>
    <row r="28447" spans="1:8" x14ac:dyDescent="0.25">
      <c r="A28447" s="1"/>
      <c r="B28447" s="1" t="s">
        <v>7328</v>
      </c>
      <c r="C28447" s="1" t="s">
        <v>7329</v>
      </c>
      <c r="D28447" s="22" t="str">
        <f>HYPERLINK("https://rhld.insurance.arkansas.gov/NPILookup?Npi=1811415888","1811415888")</f>
        <v>1811415888</v>
      </c>
      <c r="E28447" s="1" t="s">
        <v>8112</v>
      </c>
      <c r="F28447" s="2"/>
      <c r="G28447" s="2"/>
      <c r="H28447" s="2"/>
    </row>
    <row r="28448" spans="1:8" x14ac:dyDescent="0.25">
      <c r="A28448" s="1"/>
      <c r="B28448" s="1" t="s">
        <v>7328</v>
      </c>
      <c r="C28448" s="1" t="s">
        <v>7329</v>
      </c>
      <c r="D28448" s="22" t="str">
        <f>HYPERLINK("https://rhld.insurance.arkansas.gov/NPILookup?Npi=1811420730","1811420730")</f>
        <v>1811420730</v>
      </c>
      <c r="E28448" s="1" t="s">
        <v>27349</v>
      </c>
      <c r="F28448" s="2"/>
      <c r="G28448" s="2"/>
      <c r="H28448" s="2"/>
    </row>
    <row r="28449" spans="1:8" x14ac:dyDescent="0.25">
      <c r="A28449" s="1"/>
      <c r="B28449" s="1" t="s">
        <v>7328</v>
      </c>
      <c r="C28449" s="1" t="s">
        <v>7329</v>
      </c>
      <c r="D28449" s="22" t="str">
        <f>HYPERLINK("https://rhld.insurance.arkansas.gov/NPILookup?Npi=1811421431","1811421431")</f>
        <v>1811421431</v>
      </c>
      <c r="E28449" s="1" t="s">
        <v>1584</v>
      </c>
      <c r="F28449" s="2"/>
      <c r="G28449" s="2"/>
      <c r="H28449" s="2"/>
    </row>
    <row r="28450" spans="1:8" x14ac:dyDescent="0.25">
      <c r="A28450" s="1"/>
      <c r="B28450" s="1" t="s">
        <v>7328</v>
      </c>
      <c r="C28450" s="1" t="s">
        <v>7329</v>
      </c>
      <c r="D28450" s="22" t="str">
        <f>HYPERLINK("https://rhld.insurance.arkansas.gov/NPILookup?Npi=1811436744","1811436744")</f>
        <v>1811436744</v>
      </c>
      <c r="E28450" s="1" t="s">
        <v>28743</v>
      </c>
      <c r="F28450" s="2"/>
      <c r="G28450" s="2"/>
      <c r="H28450" s="2"/>
    </row>
    <row r="28451" spans="1:8" x14ac:dyDescent="0.25">
      <c r="A28451" s="1"/>
      <c r="B28451" s="1" t="s">
        <v>7328</v>
      </c>
      <c r="C28451" s="1" t="s">
        <v>7329</v>
      </c>
      <c r="D28451" s="22" t="str">
        <f>HYPERLINK("https://rhld.insurance.arkansas.gov/NPILookup?Npi=1811442247","1811442247")</f>
        <v>1811442247</v>
      </c>
      <c r="E28451" s="1" t="s">
        <v>28744</v>
      </c>
      <c r="F28451" s="2"/>
      <c r="G28451" s="2"/>
      <c r="H28451" s="2"/>
    </row>
    <row r="28452" spans="1:8" x14ac:dyDescent="0.25">
      <c r="A28452" s="1"/>
      <c r="B28452" s="1" t="s">
        <v>7328</v>
      </c>
      <c r="C28452" s="1" t="s">
        <v>7329</v>
      </c>
      <c r="D28452" s="22" t="str">
        <f>HYPERLINK("https://rhld.insurance.arkansas.gov/NPILookup?Npi=1811443526","1811443526")</f>
        <v>1811443526</v>
      </c>
      <c r="E28452" s="1" t="s">
        <v>28745</v>
      </c>
      <c r="F28452" s="2"/>
      <c r="G28452" s="2"/>
      <c r="H28452" s="2"/>
    </row>
    <row r="28453" spans="1:8" x14ac:dyDescent="0.25">
      <c r="A28453" s="1"/>
      <c r="B28453" s="1" t="s">
        <v>7328</v>
      </c>
      <c r="C28453" s="1" t="s">
        <v>7329</v>
      </c>
      <c r="D28453" s="22" t="str">
        <f>HYPERLINK("https://rhld.insurance.arkansas.gov/NPILookup?Npi=1811454291","1811454291")</f>
        <v>1811454291</v>
      </c>
      <c r="E28453" s="1" t="s">
        <v>28746</v>
      </c>
      <c r="F28453" s="2"/>
      <c r="G28453" s="2"/>
      <c r="H28453" s="2"/>
    </row>
    <row r="28454" spans="1:8" x14ac:dyDescent="0.25">
      <c r="A28454" s="1"/>
      <c r="B28454" s="1" t="s">
        <v>7328</v>
      </c>
      <c r="C28454" s="1" t="s">
        <v>7329</v>
      </c>
      <c r="D28454" s="22" t="str">
        <f>HYPERLINK("https://rhld.insurance.arkansas.gov/NPILookup?Npi=1811462138","1811462138")</f>
        <v>1811462138</v>
      </c>
      <c r="E28454" s="1" t="s">
        <v>28747</v>
      </c>
      <c r="F28454" s="2"/>
      <c r="G28454" s="2"/>
      <c r="H28454" s="2"/>
    </row>
    <row r="28455" spans="1:8" x14ac:dyDescent="0.25">
      <c r="A28455" s="1"/>
      <c r="B28455" s="1" t="s">
        <v>7328</v>
      </c>
      <c r="C28455" s="1" t="s">
        <v>7329</v>
      </c>
      <c r="D28455" s="22" t="str">
        <f>HYPERLINK("https://rhld.insurance.arkansas.gov/NPILookup?Npi=1811484322","1811484322")</f>
        <v>1811484322</v>
      </c>
      <c r="E28455" s="1" t="s">
        <v>28748</v>
      </c>
      <c r="F28455" s="2"/>
      <c r="G28455" s="2"/>
      <c r="H28455" s="2"/>
    </row>
    <row r="28456" spans="1:8" x14ac:dyDescent="0.25">
      <c r="A28456" s="1"/>
      <c r="B28456" s="1" t="s">
        <v>7328</v>
      </c>
      <c r="C28456" s="1" t="s">
        <v>7329</v>
      </c>
      <c r="D28456" s="22" t="str">
        <f>HYPERLINK("https://rhld.insurance.arkansas.gov/NPILookup?Npi=1811487945","1811487945")</f>
        <v>1811487945</v>
      </c>
      <c r="E28456" s="1" t="s">
        <v>28749</v>
      </c>
      <c r="F28456" s="2"/>
      <c r="G28456" s="2"/>
      <c r="H28456" s="2"/>
    </row>
    <row r="28457" spans="1:8" x14ac:dyDescent="0.25">
      <c r="A28457" s="1"/>
      <c r="B28457" s="1" t="s">
        <v>7328</v>
      </c>
      <c r="C28457" s="1" t="s">
        <v>7329</v>
      </c>
      <c r="D28457" s="22" t="str">
        <f>HYPERLINK("https://rhld.insurance.arkansas.gov/NPILookup?Npi=1811494974","1811494974")</f>
        <v>1811494974</v>
      </c>
      <c r="E28457" s="1" t="s">
        <v>17906</v>
      </c>
      <c r="F28457" s="2"/>
      <c r="G28457" s="2"/>
      <c r="H28457" s="2"/>
    </row>
    <row r="28458" spans="1:8" x14ac:dyDescent="0.25">
      <c r="A28458" s="1"/>
      <c r="B28458" s="1" t="s">
        <v>7328</v>
      </c>
      <c r="C28458" s="1" t="s">
        <v>7329</v>
      </c>
      <c r="D28458" s="22" t="str">
        <f>HYPERLINK("https://rhld.insurance.arkansas.gov/NPILookup?Npi=1811496052","1811496052")</f>
        <v>1811496052</v>
      </c>
      <c r="E28458" s="1" t="s">
        <v>28750</v>
      </c>
      <c r="F28458" s="2"/>
      <c r="G28458" s="2"/>
      <c r="H28458" s="2"/>
    </row>
    <row r="28459" spans="1:8" x14ac:dyDescent="0.25">
      <c r="A28459" s="1"/>
      <c r="B28459" s="1" t="s">
        <v>7328</v>
      </c>
      <c r="C28459" s="1" t="s">
        <v>7329</v>
      </c>
      <c r="D28459" s="22" t="str">
        <f>HYPERLINK("https://rhld.insurance.arkansas.gov/NPILookup?Npi=1811498280","1811498280")</f>
        <v>1811498280</v>
      </c>
      <c r="E28459" s="1" t="s">
        <v>32367</v>
      </c>
      <c r="F28459" s="2"/>
      <c r="G28459" s="2"/>
      <c r="H28459" s="2"/>
    </row>
    <row r="28460" spans="1:8" x14ac:dyDescent="0.25">
      <c r="A28460" s="1"/>
      <c r="B28460" s="1" t="s">
        <v>7328</v>
      </c>
      <c r="C28460" s="1" t="s">
        <v>7329</v>
      </c>
      <c r="D28460" s="22" t="str">
        <f>HYPERLINK("https://rhld.insurance.arkansas.gov/NPILookup?Npi=1811503196","1811503196")</f>
        <v>1811503196</v>
      </c>
      <c r="E28460" s="1" t="s">
        <v>8113</v>
      </c>
      <c r="F28460" s="2"/>
      <c r="G28460" s="2"/>
      <c r="H28460" s="2"/>
    </row>
    <row r="28461" spans="1:8" x14ac:dyDescent="0.25">
      <c r="A28461" s="1"/>
      <c r="B28461" s="1" t="s">
        <v>7328</v>
      </c>
      <c r="C28461" s="1" t="s">
        <v>7329</v>
      </c>
      <c r="D28461" s="22" t="str">
        <f>HYPERLINK("https://rhld.insurance.arkansas.gov/NPILookup?Npi=1811517972","1811517972")</f>
        <v>1811517972</v>
      </c>
      <c r="E28461" s="1" t="s">
        <v>28751</v>
      </c>
      <c r="F28461" s="2"/>
      <c r="G28461" s="2"/>
      <c r="H28461" s="2"/>
    </row>
    <row r="28462" spans="1:8" x14ac:dyDescent="0.25">
      <c r="A28462" s="1"/>
      <c r="B28462" s="1" t="s">
        <v>7328</v>
      </c>
      <c r="C28462" s="1" t="s">
        <v>7329</v>
      </c>
      <c r="D28462" s="22" t="str">
        <f>HYPERLINK("https://rhld.insurance.arkansas.gov/NPILookup?Npi=1811523285","1811523285")</f>
        <v>1811523285</v>
      </c>
      <c r="E28462" s="1" t="s">
        <v>8114</v>
      </c>
      <c r="F28462" s="2"/>
      <c r="G28462" s="2"/>
      <c r="H28462" s="2"/>
    </row>
    <row r="28463" spans="1:8" x14ac:dyDescent="0.25">
      <c r="A28463" s="1"/>
      <c r="B28463" s="1" t="s">
        <v>7328</v>
      </c>
      <c r="C28463" s="1" t="s">
        <v>7329</v>
      </c>
      <c r="D28463" s="22" t="str">
        <f>HYPERLINK("https://rhld.insurance.arkansas.gov/NPILookup?Npi=1811525017","1811525017")</f>
        <v>1811525017</v>
      </c>
      <c r="E28463" s="1" t="s">
        <v>17907</v>
      </c>
      <c r="F28463" s="2"/>
      <c r="G28463" s="2"/>
      <c r="H28463" s="2"/>
    </row>
    <row r="28464" spans="1:8" x14ac:dyDescent="0.25">
      <c r="A28464" s="1"/>
      <c r="B28464" s="1" t="s">
        <v>7328</v>
      </c>
      <c r="C28464" s="1" t="s">
        <v>7329</v>
      </c>
      <c r="D28464" s="22" t="str">
        <f>HYPERLINK("https://rhld.insurance.arkansas.gov/NPILookup?Npi=1811527492","1811527492")</f>
        <v>1811527492</v>
      </c>
      <c r="E28464" s="1" t="s">
        <v>13648</v>
      </c>
      <c r="F28464" s="2"/>
      <c r="G28464" s="2"/>
      <c r="H28464" s="2"/>
    </row>
    <row r="28465" spans="1:8" x14ac:dyDescent="0.25">
      <c r="A28465" s="1"/>
      <c r="B28465" s="1" t="s">
        <v>7328</v>
      </c>
      <c r="C28465" s="1" t="s">
        <v>7329</v>
      </c>
      <c r="D28465" s="22" t="str">
        <f>HYPERLINK("https://rhld.insurance.arkansas.gov/NPILookup?Npi=1811534837","1811534837")</f>
        <v>1811534837</v>
      </c>
      <c r="E28465" s="1" t="s">
        <v>17536</v>
      </c>
      <c r="F28465" s="2"/>
      <c r="G28465" s="2"/>
      <c r="H28465" s="2"/>
    </row>
    <row r="28466" spans="1:8" x14ac:dyDescent="0.25">
      <c r="A28466" s="1"/>
      <c r="B28466" s="1" t="s">
        <v>7328</v>
      </c>
      <c r="C28466" s="1" t="s">
        <v>7329</v>
      </c>
      <c r="D28466" s="22" t="str">
        <f>HYPERLINK("https://rhld.insurance.arkansas.gov/NPILookup?Npi=1811538424","1811538424")</f>
        <v>1811538424</v>
      </c>
      <c r="E28466" s="1" t="s">
        <v>1485</v>
      </c>
      <c r="F28466" s="2"/>
      <c r="G28466" s="2"/>
      <c r="H28466" s="2"/>
    </row>
    <row r="28467" spans="1:8" x14ac:dyDescent="0.25">
      <c r="A28467" s="1"/>
      <c r="B28467" s="1" t="s">
        <v>7328</v>
      </c>
      <c r="C28467" s="1" t="s">
        <v>7329</v>
      </c>
      <c r="D28467" s="22" t="str">
        <f>HYPERLINK("https://rhld.insurance.arkansas.gov/NPILookup?Npi=1811541964","1811541964")</f>
        <v>1811541964</v>
      </c>
      <c r="E28467" s="1" t="s">
        <v>28752</v>
      </c>
      <c r="F28467" s="2"/>
      <c r="G28467" s="2"/>
      <c r="H28467" s="2"/>
    </row>
    <row r="28468" spans="1:8" x14ac:dyDescent="0.25">
      <c r="A28468" s="1"/>
      <c r="B28468" s="1" t="s">
        <v>7328</v>
      </c>
      <c r="C28468" s="1" t="s">
        <v>7329</v>
      </c>
      <c r="D28468" s="22" t="str">
        <f>HYPERLINK("https://rhld.insurance.arkansas.gov/NPILookup?Npi=1811544968","1811544968")</f>
        <v>1811544968</v>
      </c>
      <c r="E28468" s="1" t="s">
        <v>13649</v>
      </c>
      <c r="F28468" s="2"/>
      <c r="G28468" s="2"/>
      <c r="H28468" s="2"/>
    </row>
    <row r="28469" spans="1:8" x14ac:dyDescent="0.25">
      <c r="A28469" s="1"/>
      <c r="B28469" s="1" t="s">
        <v>7328</v>
      </c>
      <c r="C28469" s="1" t="s">
        <v>7329</v>
      </c>
      <c r="D28469" s="22" t="str">
        <f>HYPERLINK("https://rhld.insurance.arkansas.gov/NPILookup?Npi=1811550031","1811550031")</f>
        <v>1811550031</v>
      </c>
      <c r="E28469" s="1" t="s">
        <v>28753</v>
      </c>
      <c r="F28469" s="2"/>
      <c r="G28469" s="2"/>
      <c r="H28469" s="2"/>
    </row>
    <row r="28470" spans="1:8" x14ac:dyDescent="0.25">
      <c r="A28470" s="1"/>
      <c r="B28470" s="1" t="s">
        <v>7328</v>
      </c>
      <c r="C28470" s="1" t="s">
        <v>7329</v>
      </c>
      <c r="D28470" s="22" t="str">
        <f>HYPERLINK("https://rhld.insurance.arkansas.gov/NPILookup?Npi=1811551039","1811551039")</f>
        <v>1811551039</v>
      </c>
      <c r="E28470" s="1" t="s">
        <v>13650</v>
      </c>
      <c r="F28470" s="2"/>
      <c r="G28470" s="2"/>
      <c r="H28470" s="2"/>
    </row>
    <row r="28471" spans="1:8" x14ac:dyDescent="0.25">
      <c r="A28471" s="1"/>
      <c r="B28471" s="1" t="s">
        <v>7328</v>
      </c>
      <c r="C28471" s="1" t="s">
        <v>7329</v>
      </c>
      <c r="D28471" s="22" t="str">
        <f>HYPERLINK("https://rhld.insurance.arkansas.gov/NPILookup?Npi=1811551989","1811551989")</f>
        <v>1811551989</v>
      </c>
      <c r="E28471" s="1" t="s">
        <v>13651</v>
      </c>
      <c r="F28471" s="2"/>
      <c r="G28471" s="2"/>
      <c r="H28471" s="2"/>
    </row>
    <row r="28472" spans="1:8" x14ac:dyDescent="0.25">
      <c r="A28472" s="1"/>
      <c r="B28472" s="1" t="s">
        <v>7328</v>
      </c>
      <c r="C28472" s="1" t="s">
        <v>7329</v>
      </c>
      <c r="D28472" s="22" t="str">
        <f>HYPERLINK("https://rhld.insurance.arkansas.gov/NPILookup?Npi=1811556715","1811556715")</f>
        <v>1811556715</v>
      </c>
      <c r="E28472" s="1" t="s">
        <v>23406</v>
      </c>
      <c r="F28472" s="2"/>
      <c r="G28472" s="2"/>
      <c r="H28472" s="2"/>
    </row>
    <row r="28473" spans="1:8" x14ac:dyDescent="0.25">
      <c r="A28473" s="1"/>
      <c r="B28473" s="1" t="s">
        <v>7328</v>
      </c>
      <c r="C28473" s="1" t="s">
        <v>7329</v>
      </c>
      <c r="D28473" s="22" t="str">
        <f>HYPERLINK("https://rhld.insurance.arkansas.gov/NPILookup?Npi=1811558927","1811558927")</f>
        <v>1811558927</v>
      </c>
      <c r="E28473" s="1" t="s">
        <v>8115</v>
      </c>
      <c r="F28473" s="2"/>
      <c r="G28473" s="2"/>
      <c r="H28473" s="2"/>
    </row>
    <row r="28474" spans="1:8" x14ac:dyDescent="0.25">
      <c r="A28474" s="1"/>
      <c r="B28474" s="1" t="s">
        <v>7328</v>
      </c>
      <c r="C28474" s="1" t="s">
        <v>7329</v>
      </c>
      <c r="D28474" s="22" t="str">
        <f>HYPERLINK("https://rhld.insurance.arkansas.gov/NPILookup?Npi=1811565948","1811565948")</f>
        <v>1811565948</v>
      </c>
      <c r="E28474" s="1" t="s">
        <v>32368</v>
      </c>
      <c r="F28474" s="2"/>
      <c r="G28474" s="2"/>
      <c r="H28474" s="2"/>
    </row>
    <row r="28475" spans="1:8" x14ac:dyDescent="0.25">
      <c r="A28475" s="1"/>
      <c r="B28475" s="1" t="s">
        <v>7328</v>
      </c>
      <c r="C28475" s="1" t="s">
        <v>7329</v>
      </c>
      <c r="D28475" s="22" t="str">
        <f>HYPERLINK("https://rhld.insurance.arkansas.gov/NPILookup?Npi=1811575012","1811575012")</f>
        <v>1811575012</v>
      </c>
      <c r="E28475" s="1" t="s">
        <v>32369</v>
      </c>
      <c r="F28475" s="2"/>
      <c r="G28475" s="2"/>
      <c r="H28475" s="2"/>
    </row>
    <row r="28476" spans="1:8" x14ac:dyDescent="0.25">
      <c r="A28476" s="1"/>
      <c r="B28476" s="1" t="s">
        <v>7328</v>
      </c>
      <c r="C28476" s="1" t="s">
        <v>7329</v>
      </c>
      <c r="D28476" s="22" t="str">
        <f>HYPERLINK("https://rhld.insurance.arkansas.gov/NPILookup?Npi=1811579386","1811579386")</f>
        <v>1811579386</v>
      </c>
      <c r="E28476" s="1" t="s">
        <v>28754</v>
      </c>
      <c r="F28476" s="2"/>
      <c r="G28476" s="2"/>
      <c r="H28476" s="2"/>
    </row>
    <row r="28477" spans="1:8" x14ac:dyDescent="0.25">
      <c r="A28477" s="1"/>
      <c r="B28477" s="1" t="s">
        <v>7328</v>
      </c>
      <c r="C28477" s="1" t="s">
        <v>7329</v>
      </c>
      <c r="D28477" s="22" t="str">
        <f>HYPERLINK("https://rhld.insurance.arkansas.gov/NPILookup?Npi=1811608029","1811608029")</f>
        <v>1811608029</v>
      </c>
      <c r="E28477" s="1" t="s">
        <v>28755</v>
      </c>
      <c r="F28477" s="2"/>
      <c r="G28477" s="2"/>
      <c r="H28477" s="2"/>
    </row>
    <row r="28478" spans="1:8" x14ac:dyDescent="0.25">
      <c r="A28478" s="1"/>
      <c r="B28478" s="1" t="s">
        <v>7328</v>
      </c>
      <c r="C28478" s="1" t="s">
        <v>7329</v>
      </c>
      <c r="D28478" s="22" t="str">
        <f>HYPERLINK("https://rhld.insurance.arkansas.gov/NPILookup?Npi=1811620370","1811620370")</f>
        <v>1811620370</v>
      </c>
      <c r="E28478" s="1" t="s">
        <v>28756</v>
      </c>
      <c r="F28478" s="2"/>
      <c r="G28478" s="2"/>
      <c r="H28478" s="2"/>
    </row>
    <row r="28479" spans="1:8" x14ac:dyDescent="0.25">
      <c r="A28479" s="1"/>
      <c r="B28479" s="1" t="s">
        <v>7328</v>
      </c>
      <c r="C28479" s="1" t="s">
        <v>7329</v>
      </c>
      <c r="D28479" s="22" t="str">
        <f>HYPERLINK("https://rhld.insurance.arkansas.gov/NPILookup?Npi=1811620420","1811620420")</f>
        <v>1811620420</v>
      </c>
      <c r="E28479" s="1" t="s">
        <v>28757</v>
      </c>
      <c r="F28479" s="2"/>
      <c r="G28479" s="2"/>
      <c r="H28479" s="2"/>
    </row>
    <row r="28480" spans="1:8" x14ac:dyDescent="0.25">
      <c r="A28480" s="1"/>
      <c r="B28480" s="1" t="s">
        <v>7328</v>
      </c>
      <c r="C28480" s="1" t="s">
        <v>7329</v>
      </c>
      <c r="D28480" s="22" t="str">
        <f>HYPERLINK("https://rhld.insurance.arkansas.gov/NPILookup?Npi=1811623440","1811623440")</f>
        <v>1811623440</v>
      </c>
      <c r="E28480" s="1" t="s">
        <v>28758</v>
      </c>
      <c r="F28480" s="2"/>
      <c r="G28480" s="2"/>
      <c r="H28480" s="2"/>
    </row>
    <row r="28481" spans="1:8" x14ac:dyDescent="0.25">
      <c r="A28481" s="1"/>
      <c r="B28481" s="1" t="s">
        <v>7328</v>
      </c>
      <c r="C28481" s="1" t="s">
        <v>7329</v>
      </c>
      <c r="D28481" s="22" t="str">
        <f>HYPERLINK("https://rhld.insurance.arkansas.gov/NPILookup?Npi=1811630304","1811630304")</f>
        <v>1811630304</v>
      </c>
      <c r="E28481" s="1" t="s">
        <v>12130</v>
      </c>
      <c r="F28481" s="2"/>
      <c r="G28481" s="2"/>
      <c r="H28481" s="2"/>
    </row>
    <row r="28482" spans="1:8" x14ac:dyDescent="0.25">
      <c r="A28482" s="1"/>
      <c r="B28482" s="1" t="s">
        <v>7328</v>
      </c>
      <c r="C28482" s="1" t="s">
        <v>7329</v>
      </c>
      <c r="D28482" s="22" t="str">
        <f>HYPERLINK("https://rhld.insurance.arkansas.gov/NPILookup?Npi=1811635634","1811635634")</f>
        <v>1811635634</v>
      </c>
      <c r="E28482" s="1" t="s">
        <v>28759</v>
      </c>
      <c r="F28482" s="2"/>
      <c r="G28482" s="2"/>
      <c r="H28482" s="2"/>
    </row>
    <row r="28483" spans="1:8" x14ac:dyDescent="0.25">
      <c r="A28483" s="1"/>
      <c r="B28483" s="1" t="s">
        <v>7328</v>
      </c>
      <c r="C28483" s="1" t="s">
        <v>7329</v>
      </c>
      <c r="D28483" s="22" t="str">
        <f>HYPERLINK("https://rhld.insurance.arkansas.gov/NPILookup?Npi=1811638919","1811638919")</f>
        <v>1811638919</v>
      </c>
      <c r="E28483" s="1" t="s">
        <v>28760</v>
      </c>
      <c r="F28483" s="2"/>
      <c r="G28483" s="2"/>
      <c r="H28483" s="2"/>
    </row>
    <row r="28484" spans="1:8" x14ac:dyDescent="0.25">
      <c r="A28484" s="1"/>
      <c r="B28484" s="1" t="s">
        <v>7328</v>
      </c>
      <c r="C28484" s="1" t="s">
        <v>7329</v>
      </c>
      <c r="D28484" s="22" t="str">
        <f>HYPERLINK("https://rhld.insurance.arkansas.gov/NPILookup?Npi=1811639008","1811639008")</f>
        <v>1811639008</v>
      </c>
      <c r="E28484" s="1" t="s">
        <v>13652</v>
      </c>
      <c r="F28484" s="2"/>
      <c r="G28484" s="2"/>
      <c r="H28484" s="2"/>
    </row>
    <row r="28485" spans="1:8" x14ac:dyDescent="0.25">
      <c r="A28485" s="1"/>
      <c r="B28485" s="1" t="s">
        <v>7328</v>
      </c>
      <c r="C28485" s="1" t="s">
        <v>7329</v>
      </c>
      <c r="D28485" s="22" t="str">
        <f>HYPERLINK("https://rhld.insurance.arkansas.gov/NPILookup?Npi=1811659394","1811659394")</f>
        <v>1811659394</v>
      </c>
      <c r="E28485" s="1" t="s">
        <v>28761</v>
      </c>
      <c r="F28485" s="2"/>
      <c r="G28485" s="2"/>
      <c r="H28485" s="2"/>
    </row>
    <row r="28486" spans="1:8" x14ac:dyDescent="0.25">
      <c r="A28486" s="1"/>
      <c r="B28486" s="1" t="s">
        <v>7328</v>
      </c>
      <c r="C28486" s="1" t="s">
        <v>7329</v>
      </c>
      <c r="D28486" s="22" t="str">
        <f>HYPERLINK("https://rhld.insurance.arkansas.gov/NPILookup?Npi=1811661861","1811661861")</f>
        <v>1811661861</v>
      </c>
      <c r="E28486" s="1" t="s">
        <v>13653</v>
      </c>
      <c r="F28486" s="2"/>
      <c r="G28486" s="2"/>
      <c r="H28486" s="2"/>
    </row>
    <row r="28487" spans="1:8" x14ac:dyDescent="0.25">
      <c r="A28487" s="1"/>
      <c r="B28487" s="1" t="s">
        <v>7328</v>
      </c>
      <c r="C28487" s="1" t="s">
        <v>7329</v>
      </c>
      <c r="D28487" s="22" t="str">
        <f>HYPERLINK("https://rhld.insurance.arkansas.gov/NPILookup?Npi=1811666712","1811666712")</f>
        <v>1811666712</v>
      </c>
      <c r="E28487" s="1" t="s">
        <v>8116</v>
      </c>
      <c r="F28487" s="2"/>
      <c r="G28487" s="2"/>
      <c r="H28487" s="2"/>
    </row>
    <row r="28488" spans="1:8" x14ac:dyDescent="0.25">
      <c r="A28488" s="1"/>
      <c r="B28488" s="1" t="s">
        <v>7328</v>
      </c>
      <c r="C28488" s="1" t="s">
        <v>7329</v>
      </c>
      <c r="D28488" s="22" t="str">
        <f>HYPERLINK("https://rhld.insurance.arkansas.gov/NPILookup?Npi=1811668460","1811668460")</f>
        <v>1811668460</v>
      </c>
      <c r="E28488" s="1" t="s">
        <v>28762</v>
      </c>
      <c r="F28488" s="2"/>
      <c r="G28488" s="2"/>
      <c r="H28488" s="2"/>
    </row>
    <row r="28489" spans="1:8" x14ac:dyDescent="0.25">
      <c r="A28489" s="1"/>
      <c r="B28489" s="1" t="s">
        <v>7328</v>
      </c>
      <c r="C28489" s="1" t="s">
        <v>7329</v>
      </c>
      <c r="D28489" s="22" t="str">
        <f>HYPERLINK("https://rhld.insurance.arkansas.gov/NPILookup?Npi=1811691371","1811691371")</f>
        <v>1811691371</v>
      </c>
      <c r="E28489" s="1" t="s">
        <v>28763</v>
      </c>
      <c r="F28489" s="2"/>
      <c r="G28489" s="2"/>
      <c r="H28489" s="2"/>
    </row>
    <row r="28490" spans="1:8" x14ac:dyDescent="0.25">
      <c r="A28490" s="1"/>
      <c r="B28490" s="1" t="s">
        <v>7328</v>
      </c>
      <c r="C28490" s="1" t="s">
        <v>7329</v>
      </c>
      <c r="D28490" s="22" t="str">
        <f>HYPERLINK("https://rhld.insurance.arkansas.gov/NPILookup?Npi=1811740327","1811740327")</f>
        <v>1811740327</v>
      </c>
      <c r="E28490" s="1" t="s">
        <v>28764</v>
      </c>
      <c r="F28490" s="2"/>
      <c r="G28490" s="2"/>
      <c r="H28490" s="2"/>
    </row>
    <row r="28491" spans="1:8" x14ac:dyDescent="0.25">
      <c r="A28491" s="1"/>
      <c r="B28491" s="1" t="s">
        <v>7328</v>
      </c>
      <c r="C28491" s="1" t="s">
        <v>7329</v>
      </c>
      <c r="D28491" s="22" t="str">
        <f>HYPERLINK("https://rhld.insurance.arkansas.gov/NPILookup?Npi=1811758550","1811758550")</f>
        <v>1811758550</v>
      </c>
      <c r="E28491" s="1" t="s">
        <v>6667</v>
      </c>
      <c r="F28491" s="2"/>
      <c r="G28491" s="2"/>
      <c r="H28491" s="2"/>
    </row>
    <row r="28492" spans="1:8" x14ac:dyDescent="0.25">
      <c r="A28492" s="1"/>
      <c r="B28492" s="1" t="s">
        <v>7328</v>
      </c>
      <c r="C28492" s="1" t="s">
        <v>7329</v>
      </c>
      <c r="D28492" s="22" t="str">
        <f>HYPERLINK("https://rhld.insurance.arkansas.gov/NPILookup?Npi=1811766207","1811766207")</f>
        <v>1811766207</v>
      </c>
      <c r="E28492" s="1" t="s">
        <v>28765</v>
      </c>
      <c r="F28492" s="2"/>
      <c r="G28492" s="2"/>
      <c r="H28492" s="2"/>
    </row>
    <row r="28493" spans="1:8" x14ac:dyDescent="0.25">
      <c r="A28493" s="1"/>
      <c r="B28493" s="1" t="s">
        <v>7328</v>
      </c>
      <c r="C28493" s="1" t="s">
        <v>7329</v>
      </c>
      <c r="D28493" s="22" t="str">
        <f>HYPERLINK("https://rhld.insurance.arkansas.gov/NPILookup?Npi=1811767866","1811767866")</f>
        <v>1811767866</v>
      </c>
      <c r="E28493" s="1" t="s">
        <v>28766</v>
      </c>
      <c r="F28493" s="2"/>
      <c r="G28493" s="2"/>
      <c r="H28493" s="2"/>
    </row>
    <row r="28494" spans="1:8" x14ac:dyDescent="0.25">
      <c r="A28494" s="1"/>
      <c r="B28494" s="1" t="s">
        <v>7328</v>
      </c>
      <c r="C28494" s="1" t="s">
        <v>7329</v>
      </c>
      <c r="D28494" s="22" t="str">
        <f>HYPERLINK("https://rhld.insurance.arkansas.gov/NPILookup?Npi=1811778152","1811778152")</f>
        <v>1811778152</v>
      </c>
      <c r="E28494" s="1" t="s">
        <v>28767</v>
      </c>
      <c r="F28494" s="2"/>
      <c r="G28494" s="2"/>
      <c r="H28494" s="2"/>
    </row>
    <row r="28495" spans="1:8" x14ac:dyDescent="0.25">
      <c r="A28495" s="1"/>
      <c r="B28495" s="1" t="s">
        <v>7328</v>
      </c>
      <c r="C28495" s="1" t="s">
        <v>7329</v>
      </c>
      <c r="D28495" s="22" t="str">
        <f>HYPERLINK("https://rhld.insurance.arkansas.gov/NPILookup?Npi=1811916448","1811916448")</f>
        <v>1811916448</v>
      </c>
      <c r="E28495" s="1" t="s">
        <v>28768</v>
      </c>
      <c r="F28495" s="2"/>
      <c r="G28495" s="2"/>
      <c r="H28495" s="2"/>
    </row>
    <row r="28496" spans="1:8" x14ac:dyDescent="0.25">
      <c r="A28496" s="1"/>
      <c r="B28496" s="1" t="s">
        <v>7328</v>
      </c>
      <c r="C28496" s="1" t="s">
        <v>7329</v>
      </c>
      <c r="D28496" s="22" t="str">
        <f>HYPERLINK("https://rhld.insurance.arkansas.gov/NPILookup?Npi=1811916612","1811916612")</f>
        <v>1811916612</v>
      </c>
      <c r="E28496" s="1" t="s">
        <v>13654</v>
      </c>
      <c r="F28496" s="2"/>
      <c r="G28496" s="2"/>
      <c r="H28496" s="2"/>
    </row>
    <row r="28497" spans="1:8" x14ac:dyDescent="0.25">
      <c r="A28497" s="1"/>
      <c r="B28497" s="1" t="s">
        <v>7328</v>
      </c>
      <c r="C28497" s="1" t="s">
        <v>7329</v>
      </c>
      <c r="D28497" s="22" t="str">
        <f>HYPERLINK("https://rhld.insurance.arkansas.gov/NPILookup?Npi=1811921455","1811921455")</f>
        <v>1811921455</v>
      </c>
      <c r="E28497" s="1" t="s">
        <v>28769</v>
      </c>
      <c r="F28497" s="2"/>
      <c r="G28497" s="2"/>
      <c r="H28497" s="2"/>
    </row>
    <row r="28498" spans="1:8" x14ac:dyDescent="0.25">
      <c r="A28498" s="1"/>
      <c r="B28498" s="1" t="s">
        <v>7328</v>
      </c>
      <c r="C28498" s="1" t="s">
        <v>7329</v>
      </c>
      <c r="D28498" s="22" t="str">
        <f>HYPERLINK("https://rhld.insurance.arkansas.gov/NPILookup?Npi=1811925910","1811925910")</f>
        <v>1811925910</v>
      </c>
      <c r="E28498" s="1" t="s">
        <v>245</v>
      </c>
      <c r="F28498" s="2"/>
      <c r="G28498" s="2"/>
      <c r="H28498" s="2"/>
    </row>
    <row r="28499" spans="1:8" x14ac:dyDescent="0.25">
      <c r="A28499" s="1"/>
      <c r="B28499" s="1" t="s">
        <v>7328</v>
      </c>
      <c r="C28499" s="1" t="s">
        <v>7329</v>
      </c>
      <c r="D28499" s="22" t="str">
        <f>HYPERLINK("https://rhld.insurance.arkansas.gov/NPILookup?Npi=1811931397","1811931397")</f>
        <v>1811931397</v>
      </c>
      <c r="E28499" s="1" t="s">
        <v>17908</v>
      </c>
      <c r="F28499" s="2"/>
      <c r="G28499" s="2"/>
      <c r="H28499" s="2"/>
    </row>
    <row r="28500" spans="1:8" x14ac:dyDescent="0.25">
      <c r="A28500" s="1"/>
      <c r="B28500" s="1" t="s">
        <v>7328</v>
      </c>
      <c r="C28500" s="1" t="s">
        <v>7329</v>
      </c>
      <c r="D28500" s="22" t="str">
        <f>HYPERLINK("https://rhld.insurance.arkansas.gov/NPILookup?Npi=1811953177","1811953177")</f>
        <v>1811953177</v>
      </c>
      <c r="E28500" s="1" t="s">
        <v>28770</v>
      </c>
      <c r="F28500" s="2"/>
      <c r="G28500" s="2"/>
      <c r="H28500" s="2"/>
    </row>
    <row r="28501" spans="1:8" x14ac:dyDescent="0.25">
      <c r="A28501" s="1"/>
      <c r="B28501" s="1" t="s">
        <v>7328</v>
      </c>
      <c r="C28501" s="1" t="s">
        <v>7329</v>
      </c>
      <c r="D28501" s="22" t="str">
        <f>HYPERLINK("https://rhld.insurance.arkansas.gov/NPILookup?Npi=1811960255","1811960255")</f>
        <v>1811960255</v>
      </c>
      <c r="E28501" s="1" t="s">
        <v>17910</v>
      </c>
      <c r="F28501" s="2"/>
      <c r="G28501" s="2"/>
      <c r="H28501" s="2"/>
    </row>
    <row r="28502" spans="1:8" x14ac:dyDescent="0.25">
      <c r="A28502" s="1"/>
      <c r="B28502" s="1" t="s">
        <v>7328</v>
      </c>
      <c r="C28502" s="1" t="s">
        <v>7329</v>
      </c>
      <c r="D28502" s="22" t="str">
        <f>HYPERLINK("https://rhld.insurance.arkansas.gov/NPILookup?Npi=1811963325","1811963325")</f>
        <v>1811963325</v>
      </c>
      <c r="E28502" s="1" t="s">
        <v>28771</v>
      </c>
      <c r="F28502" s="2"/>
      <c r="G28502" s="2"/>
      <c r="H28502" s="2"/>
    </row>
    <row r="28503" spans="1:8" x14ac:dyDescent="0.25">
      <c r="A28503" s="1"/>
      <c r="B28503" s="1" t="s">
        <v>7328</v>
      </c>
      <c r="C28503" s="1" t="s">
        <v>7329</v>
      </c>
      <c r="D28503" s="22" t="str">
        <f>HYPERLINK("https://rhld.insurance.arkansas.gov/NPILookup?Npi=1811968092","1811968092")</f>
        <v>1811968092</v>
      </c>
      <c r="E28503" s="1" t="s">
        <v>3037</v>
      </c>
      <c r="F28503" s="2"/>
      <c r="G28503" s="2"/>
      <c r="H28503" s="2"/>
    </row>
    <row r="28504" spans="1:8" x14ac:dyDescent="0.25">
      <c r="A28504" s="1"/>
      <c r="B28504" s="1" t="s">
        <v>7328</v>
      </c>
      <c r="C28504" s="1" t="s">
        <v>7329</v>
      </c>
      <c r="D28504" s="22" t="str">
        <f>HYPERLINK("https://rhld.insurance.arkansas.gov/NPILookup?Npi=1811983398","1811983398")</f>
        <v>1811983398</v>
      </c>
      <c r="E28504" s="1" t="s">
        <v>28772</v>
      </c>
      <c r="F28504" s="2"/>
      <c r="G28504" s="2"/>
      <c r="H28504" s="2"/>
    </row>
    <row r="28505" spans="1:8" x14ac:dyDescent="0.25">
      <c r="A28505" s="1"/>
      <c r="B28505" s="1" t="s">
        <v>7328</v>
      </c>
      <c r="C28505" s="1" t="s">
        <v>7329</v>
      </c>
      <c r="D28505" s="22" t="str">
        <f>HYPERLINK("https://rhld.insurance.arkansas.gov/NPILookup?Npi=1811985187","1811985187")</f>
        <v>1811985187</v>
      </c>
      <c r="E28505" s="1" t="s">
        <v>13656</v>
      </c>
      <c r="F28505" s="2"/>
      <c r="G28505" s="2"/>
      <c r="H28505" s="2"/>
    </row>
    <row r="28506" spans="1:8" x14ac:dyDescent="0.25">
      <c r="A28506" s="1"/>
      <c r="B28506" s="1" t="s">
        <v>7328</v>
      </c>
      <c r="C28506" s="1" t="s">
        <v>7329</v>
      </c>
      <c r="D28506" s="22" t="str">
        <f>HYPERLINK("https://rhld.insurance.arkansas.gov/NPILookup?Npi=1811985831","1811985831")</f>
        <v>1811985831</v>
      </c>
      <c r="E28506" s="1" t="s">
        <v>17911</v>
      </c>
      <c r="F28506" s="2"/>
      <c r="G28506" s="2"/>
      <c r="H28506" s="2"/>
    </row>
    <row r="28507" spans="1:8" x14ac:dyDescent="0.25">
      <c r="A28507" s="1"/>
      <c r="B28507" s="1" t="s">
        <v>7328</v>
      </c>
      <c r="C28507" s="1" t="s">
        <v>7329</v>
      </c>
      <c r="D28507" s="22" t="str">
        <f>HYPERLINK("https://rhld.insurance.arkansas.gov/NPILookup?Npi=1811995566","1811995566")</f>
        <v>1811995566</v>
      </c>
      <c r="E28507" s="1" t="s">
        <v>8117</v>
      </c>
      <c r="F28507" s="2"/>
      <c r="G28507" s="2"/>
      <c r="H28507" s="2"/>
    </row>
    <row r="28508" spans="1:8" x14ac:dyDescent="0.25">
      <c r="A28508" s="1"/>
      <c r="B28508" s="1" t="s">
        <v>7328</v>
      </c>
      <c r="C28508" s="1" t="s">
        <v>7329</v>
      </c>
      <c r="D28508" s="22" t="str">
        <f>HYPERLINK("https://rhld.insurance.arkansas.gov/NPILookup?Npi=1821016361","1821016361")</f>
        <v>1821016361</v>
      </c>
      <c r="E28508" s="1" t="s">
        <v>31464</v>
      </c>
      <c r="F28508" s="2"/>
      <c r="G28508" s="2"/>
      <c r="H28508" s="2"/>
    </row>
    <row r="28509" spans="1:8" x14ac:dyDescent="0.25">
      <c r="A28509" s="1"/>
      <c r="B28509" s="1" t="s">
        <v>7328</v>
      </c>
      <c r="C28509" s="1" t="s">
        <v>7329</v>
      </c>
      <c r="D28509" s="22" t="str">
        <f>HYPERLINK("https://rhld.insurance.arkansas.gov/NPILookup?Npi=1821027160","1821027160")</f>
        <v>1821027160</v>
      </c>
      <c r="E28509" s="1" t="s">
        <v>28773</v>
      </c>
      <c r="F28509" s="2"/>
      <c r="G28509" s="2"/>
      <c r="H28509" s="2"/>
    </row>
    <row r="28510" spans="1:8" x14ac:dyDescent="0.25">
      <c r="A28510" s="1"/>
      <c r="B28510" s="1" t="s">
        <v>7328</v>
      </c>
      <c r="C28510" s="1" t="s">
        <v>7329</v>
      </c>
      <c r="D28510" s="22" t="str">
        <f>HYPERLINK("https://rhld.insurance.arkansas.gov/NPILookup?Npi=1821037060","1821037060")</f>
        <v>1821037060</v>
      </c>
      <c r="E28510" s="1" t="s">
        <v>13657</v>
      </c>
      <c r="F28510" s="2"/>
      <c r="G28510" s="2"/>
      <c r="H28510" s="2"/>
    </row>
    <row r="28511" spans="1:8" x14ac:dyDescent="0.25">
      <c r="A28511" s="1"/>
      <c r="B28511" s="1" t="s">
        <v>7328</v>
      </c>
      <c r="C28511" s="1" t="s">
        <v>7329</v>
      </c>
      <c r="D28511" s="22" t="str">
        <f>HYPERLINK("https://rhld.insurance.arkansas.gov/NPILookup?Npi=1821044470","1821044470")</f>
        <v>1821044470</v>
      </c>
      <c r="E28511" s="1" t="s">
        <v>3038</v>
      </c>
      <c r="F28511" s="2"/>
      <c r="G28511" s="2"/>
      <c r="H28511" s="2"/>
    </row>
    <row r="28512" spans="1:8" x14ac:dyDescent="0.25">
      <c r="A28512" s="1"/>
      <c r="B28512" s="1" t="s">
        <v>7328</v>
      </c>
      <c r="C28512" s="1" t="s">
        <v>7329</v>
      </c>
      <c r="D28512" s="22" t="str">
        <f>HYPERLINK("https://rhld.insurance.arkansas.gov/NPILookup?Npi=1821049453","1821049453")</f>
        <v>1821049453</v>
      </c>
      <c r="E28512" s="1" t="s">
        <v>28774</v>
      </c>
      <c r="F28512" s="2"/>
      <c r="G28512" s="2"/>
      <c r="H28512" s="2"/>
    </row>
    <row r="28513" spans="1:8" x14ac:dyDescent="0.25">
      <c r="A28513" s="1"/>
      <c r="B28513" s="1" t="s">
        <v>7328</v>
      </c>
      <c r="C28513" s="1" t="s">
        <v>7329</v>
      </c>
      <c r="D28513" s="22" t="str">
        <f>HYPERLINK("https://rhld.insurance.arkansas.gov/NPILookup?Npi=1821050022","1821050022")</f>
        <v>1821050022</v>
      </c>
      <c r="E28513" s="1" t="s">
        <v>13658</v>
      </c>
      <c r="F28513" s="2"/>
      <c r="G28513" s="2"/>
      <c r="H28513" s="2"/>
    </row>
    <row r="28514" spans="1:8" x14ac:dyDescent="0.25">
      <c r="A28514" s="1"/>
      <c r="B28514" s="1" t="s">
        <v>7328</v>
      </c>
      <c r="C28514" s="1" t="s">
        <v>7329</v>
      </c>
      <c r="D28514" s="22" t="str">
        <f>HYPERLINK("https://rhld.insurance.arkansas.gov/NPILookup?Npi=1821056441","1821056441")</f>
        <v>1821056441</v>
      </c>
      <c r="E28514" s="1" t="s">
        <v>28775</v>
      </c>
      <c r="F28514" s="2"/>
      <c r="G28514" s="2"/>
      <c r="H28514" s="2"/>
    </row>
    <row r="28515" spans="1:8" x14ac:dyDescent="0.25">
      <c r="A28515" s="1"/>
      <c r="B28515" s="1" t="s">
        <v>7328</v>
      </c>
      <c r="C28515" s="1" t="s">
        <v>7329</v>
      </c>
      <c r="D28515" s="22" t="str">
        <f>HYPERLINK("https://rhld.insurance.arkansas.gov/NPILookup?Npi=1821065715","1821065715")</f>
        <v>1821065715</v>
      </c>
      <c r="E28515" s="1" t="s">
        <v>28776</v>
      </c>
      <c r="F28515" s="2"/>
      <c r="G28515" s="2"/>
      <c r="H28515" s="2"/>
    </row>
    <row r="28516" spans="1:8" x14ac:dyDescent="0.25">
      <c r="A28516" s="1"/>
      <c r="B28516" s="1" t="s">
        <v>7328</v>
      </c>
      <c r="C28516" s="1" t="s">
        <v>7329</v>
      </c>
      <c r="D28516" s="22" t="str">
        <f>HYPERLINK("https://rhld.insurance.arkansas.gov/NPILookup?Npi=1821077975","1821077975")</f>
        <v>1821077975</v>
      </c>
      <c r="E28516" s="1" t="s">
        <v>3039</v>
      </c>
      <c r="F28516" s="2"/>
      <c r="G28516" s="2"/>
      <c r="H28516" s="2"/>
    </row>
    <row r="28517" spans="1:8" x14ac:dyDescent="0.25">
      <c r="A28517" s="1"/>
      <c r="B28517" s="1" t="s">
        <v>7328</v>
      </c>
      <c r="C28517" s="1" t="s">
        <v>7329</v>
      </c>
      <c r="D28517" s="22" t="str">
        <f>HYPERLINK("https://rhld.insurance.arkansas.gov/NPILookup?Npi=1821082835","1821082835")</f>
        <v>1821082835</v>
      </c>
      <c r="E28517" s="1" t="s">
        <v>28777</v>
      </c>
      <c r="F28517" s="2"/>
      <c r="G28517" s="2"/>
      <c r="H28517" s="2"/>
    </row>
    <row r="28518" spans="1:8" x14ac:dyDescent="0.25">
      <c r="A28518" s="1"/>
      <c r="B28518" s="1" t="s">
        <v>7328</v>
      </c>
      <c r="C28518" s="1" t="s">
        <v>7329</v>
      </c>
      <c r="D28518" s="22" t="str">
        <f>HYPERLINK("https://rhld.insurance.arkansas.gov/NPILookup?Npi=1821084377","1821084377")</f>
        <v>1821084377</v>
      </c>
      <c r="E28518" s="1" t="s">
        <v>13659</v>
      </c>
      <c r="F28518" s="2"/>
      <c r="G28518" s="2"/>
      <c r="H28518" s="2"/>
    </row>
    <row r="28519" spans="1:8" x14ac:dyDescent="0.25">
      <c r="A28519" s="1"/>
      <c r="B28519" s="1" t="s">
        <v>7328</v>
      </c>
      <c r="C28519" s="1" t="s">
        <v>7329</v>
      </c>
      <c r="D28519" s="22" t="str">
        <f>HYPERLINK("https://rhld.insurance.arkansas.gov/NPILookup?Npi=1821085226","1821085226")</f>
        <v>1821085226</v>
      </c>
      <c r="E28519" s="1" t="s">
        <v>28778</v>
      </c>
      <c r="F28519" s="2"/>
      <c r="G28519" s="2"/>
      <c r="H28519" s="2"/>
    </row>
    <row r="28520" spans="1:8" x14ac:dyDescent="0.25">
      <c r="A28520" s="1"/>
      <c r="B28520" s="1" t="s">
        <v>7328</v>
      </c>
      <c r="C28520" s="1" t="s">
        <v>7329</v>
      </c>
      <c r="D28520" s="22" t="str">
        <f>HYPERLINK("https://rhld.insurance.arkansas.gov/NPILookup?Npi=1821086703","1821086703")</f>
        <v>1821086703</v>
      </c>
      <c r="E28520" s="1" t="s">
        <v>773</v>
      </c>
      <c r="F28520" s="2"/>
      <c r="G28520" s="2"/>
      <c r="H28520" s="2"/>
    </row>
    <row r="28521" spans="1:8" x14ac:dyDescent="0.25">
      <c r="A28521" s="1"/>
      <c r="B28521" s="1" t="s">
        <v>7328</v>
      </c>
      <c r="C28521" s="1" t="s">
        <v>7329</v>
      </c>
      <c r="D28521" s="22" t="str">
        <f>HYPERLINK("https://rhld.insurance.arkansas.gov/NPILookup?Npi=1821093063","1821093063")</f>
        <v>1821093063</v>
      </c>
      <c r="E28521" s="1" t="s">
        <v>28779</v>
      </c>
      <c r="F28521" s="2"/>
      <c r="G28521" s="2"/>
      <c r="H28521" s="2"/>
    </row>
    <row r="28522" spans="1:8" x14ac:dyDescent="0.25">
      <c r="A28522" s="1"/>
      <c r="B28522" s="1" t="s">
        <v>7328</v>
      </c>
      <c r="C28522" s="1" t="s">
        <v>7329</v>
      </c>
      <c r="D28522" s="22" t="str">
        <f>HYPERLINK("https://rhld.insurance.arkansas.gov/NPILookup?Npi=1821098369","1821098369")</f>
        <v>1821098369</v>
      </c>
      <c r="E28522" s="1" t="s">
        <v>28780</v>
      </c>
      <c r="F28522" s="2"/>
      <c r="G28522" s="2"/>
      <c r="H28522" s="2"/>
    </row>
    <row r="28523" spans="1:8" x14ac:dyDescent="0.25">
      <c r="A28523" s="1"/>
      <c r="B28523" s="1" t="s">
        <v>7328</v>
      </c>
      <c r="C28523" s="1" t="s">
        <v>7329</v>
      </c>
      <c r="D28523" s="22" t="str">
        <f>HYPERLINK("https://rhld.insurance.arkansas.gov/NPILookup?Npi=1821108333","1821108333")</f>
        <v>1821108333</v>
      </c>
      <c r="E28523" s="1" t="s">
        <v>19076</v>
      </c>
      <c r="F28523" s="2"/>
      <c r="G28523" s="2"/>
      <c r="H28523" s="2"/>
    </row>
    <row r="28524" spans="1:8" x14ac:dyDescent="0.25">
      <c r="A28524" s="1"/>
      <c r="B28524" s="1" t="s">
        <v>7328</v>
      </c>
      <c r="C28524" s="1" t="s">
        <v>7329</v>
      </c>
      <c r="D28524" s="22" t="str">
        <f>HYPERLINK("https://rhld.insurance.arkansas.gov/NPILookup?Npi=1821135690","1821135690")</f>
        <v>1821135690</v>
      </c>
      <c r="E28524" s="1" t="s">
        <v>3041</v>
      </c>
      <c r="F28524" s="2"/>
      <c r="G28524" s="2"/>
      <c r="H28524" s="2"/>
    </row>
    <row r="28525" spans="1:8" x14ac:dyDescent="0.25">
      <c r="A28525" s="1"/>
      <c r="B28525" s="1" t="s">
        <v>7328</v>
      </c>
      <c r="C28525" s="1" t="s">
        <v>7329</v>
      </c>
      <c r="D28525" s="22" t="str">
        <f>HYPERLINK("https://rhld.insurance.arkansas.gov/NPILookup?Npi=1821189879","1821189879")</f>
        <v>1821189879</v>
      </c>
      <c r="E28525" s="1" t="s">
        <v>186</v>
      </c>
      <c r="F28525" s="2"/>
      <c r="G28525" s="2"/>
      <c r="H28525" s="2"/>
    </row>
    <row r="28526" spans="1:8" x14ac:dyDescent="0.25">
      <c r="A28526" s="1"/>
      <c r="B28526" s="1" t="s">
        <v>7328</v>
      </c>
      <c r="C28526" s="1" t="s">
        <v>7329</v>
      </c>
      <c r="D28526" s="22" t="str">
        <f>HYPERLINK("https://rhld.insurance.arkansas.gov/NPILookup?Npi=1821190802","1821190802")</f>
        <v>1821190802</v>
      </c>
      <c r="E28526" s="1" t="s">
        <v>13660</v>
      </c>
      <c r="F28526" s="2"/>
      <c r="G28526" s="2"/>
      <c r="H28526" s="2"/>
    </row>
    <row r="28527" spans="1:8" x14ac:dyDescent="0.25">
      <c r="A28527" s="1"/>
      <c r="B28527" s="1" t="s">
        <v>7328</v>
      </c>
      <c r="C28527" s="1" t="s">
        <v>7329</v>
      </c>
      <c r="D28527" s="22" t="str">
        <f>HYPERLINK("https://rhld.insurance.arkansas.gov/NPILookup?Npi=1821196445","1821196445")</f>
        <v>1821196445</v>
      </c>
      <c r="E28527" s="1" t="s">
        <v>279</v>
      </c>
      <c r="F28527" s="2"/>
      <c r="G28527" s="2"/>
      <c r="H28527" s="2"/>
    </row>
    <row r="28528" spans="1:8" x14ac:dyDescent="0.25">
      <c r="A28528" s="1"/>
      <c r="B28528" s="1" t="s">
        <v>7328</v>
      </c>
      <c r="C28528" s="1" t="s">
        <v>7329</v>
      </c>
      <c r="D28528" s="22" t="str">
        <f>HYPERLINK("https://rhld.insurance.arkansas.gov/NPILookup?Npi=1821230707","1821230707")</f>
        <v>1821230707</v>
      </c>
      <c r="E28528" s="1" t="s">
        <v>28781</v>
      </c>
      <c r="F28528" s="2"/>
      <c r="G28528" s="2"/>
      <c r="H28528" s="2"/>
    </row>
    <row r="28529" spans="1:8" x14ac:dyDescent="0.25">
      <c r="A28529" s="1"/>
      <c r="B28529" s="1" t="s">
        <v>7328</v>
      </c>
      <c r="C28529" s="1" t="s">
        <v>7329</v>
      </c>
      <c r="D28529" s="22" t="str">
        <f>HYPERLINK("https://rhld.insurance.arkansas.gov/NPILookup?Npi=1821265356","1821265356")</f>
        <v>1821265356</v>
      </c>
      <c r="E28529" s="1" t="s">
        <v>13662</v>
      </c>
      <c r="F28529" s="2"/>
      <c r="G28529" s="2"/>
      <c r="H28529" s="2"/>
    </row>
    <row r="28530" spans="1:8" x14ac:dyDescent="0.25">
      <c r="A28530" s="1"/>
      <c r="B28530" s="1" t="s">
        <v>7328</v>
      </c>
      <c r="C28530" s="1" t="s">
        <v>7329</v>
      </c>
      <c r="D28530" s="22" t="str">
        <f>HYPERLINK("https://rhld.insurance.arkansas.gov/NPILookup?Npi=1821292319","1821292319")</f>
        <v>1821292319</v>
      </c>
      <c r="E28530" s="1" t="s">
        <v>28782</v>
      </c>
      <c r="F28530" s="2"/>
      <c r="G28530" s="2"/>
      <c r="H28530" s="2"/>
    </row>
    <row r="28531" spans="1:8" x14ac:dyDescent="0.25">
      <c r="A28531" s="1"/>
      <c r="B28531" s="1" t="s">
        <v>7328</v>
      </c>
      <c r="C28531" s="1" t="s">
        <v>7329</v>
      </c>
      <c r="D28531" s="22" t="str">
        <f>HYPERLINK("https://rhld.insurance.arkansas.gov/NPILookup?Npi=1821295148","1821295148")</f>
        <v>1821295148</v>
      </c>
      <c r="E28531" s="1" t="s">
        <v>28783</v>
      </c>
      <c r="F28531" s="2"/>
      <c r="G28531" s="2"/>
      <c r="H28531" s="2"/>
    </row>
    <row r="28532" spans="1:8" x14ac:dyDescent="0.25">
      <c r="A28532" s="1"/>
      <c r="B28532" s="1" t="s">
        <v>7328</v>
      </c>
      <c r="C28532" s="1" t="s">
        <v>7329</v>
      </c>
      <c r="D28532" s="22" t="str">
        <f>HYPERLINK("https://rhld.insurance.arkansas.gov/NPILookup?Npi=1821301466","1821301466")</f>
        <v>1821301466</v>
      </c>
      <c r="E28532" s="1" t="s">
        <v>13663</v>
      </c>
      <c r="F28532" s="2"/>
      <c r="G28532" s="2"/>
      <c r="H28532" s="2"/>
    </row>
    <row r="28533" spans="1:8" x14ac:dyDescent="0.25">
      <c r="A28533" s="1"/>
      <c r="B28533" s="1" t="s">
        <v>7328</v>
      </c>
      <c r="C28533" s="1" t="s">
        <v>7329</v>
      </c>
      <c r="D28533" s="22" t="str">
        <f>HYPERLINK("https://rhld.insurance.arkansas.gov/NPILookup?Npi=1821301912","1821301912")</f>
        <v>1821301912</v>
      </c>
      <c r="E28533" s="1" t="s">
        <v>8118</v>
      </c>
      <c r="F28533" s="2"/>
      <c r="G28533" s="2"/>
      <c r="H28533" s="2"/>
    </row>
    <row r="28534" spans="1:8" x14ac:dyDescent="0.25">
      <c r="A28534" s="1"/>
      <c r="B28534" s="1" t="s">
        <v>7328</v>
      </c>
      <c r="C28534" s="1" t="s">
        <v>7329</v>
      </c>
      <c r="D28534" s="22" t="str">
        <f>HYPERLINK("https://rhld.insurance.arkansas.gov/NPILookup?Npi=1821307349","1821307349")</f>
        <v>1821307349</v>
      </c>
      <c r="E28534" s="1" t="s">
        <v>8119</v>
      </c>
      <c r="F28534" s="2"/>
      <c r="G28534" s="2"/>
      <c r="H28534" s="2"/>
    </row>
    <row r="28535" spans="1:8" x14ac:dyDescent="0.25">
      <c r="A28535" s="1"/>
      <c r="B28535" s="1" t="s">
        <v>7328</v>
      </c>
      <c r="C28535" s="1" t="s">
        <v>7329</v>
      </c>
      <c r="D28535" s="22" t="str">
        <f>HYPERLINK("https://rhld.insurance.arkansas.gov/NPILookup?Npi=1821352766","1821352766")</f>
        <v>1821352766</v>
      </c>
      <c r="E28535" s="1" t="s">
        <v>4892</v>
      </c>
      <c r="F28535" s="2"/>
      <c r="G28535" s="2"/>
      <c r="H28535" s="2"/>
    </row>
    <row r="28536" spans="1:8" x14ac:dyDescent="0.25">
      <c r="A28536" s="1"/>
      <c r="B28536" s="1" t="s">
        <v>7328</v>
      </c>
      <c r="C28536" s="1" t="s">
        <v>7329</v>
      </c>
      <c r="D28536" s="22" t="str">
        <f>HYPERLINK("https://rhld.insurance.arkansas.gov/NPILookup?Npi=1821356684","1821356684")</f>
        <v>1821356684</v>
      </c>
      <c r="E28536" s="1" t="s">
        <v>8120</v>
      </c>
      <c r="F28536" s="2"/>
      <c r="G28536" s="2"/>
      <c r="H28536" s="2"/>
    </row>
    <row r="28537" spans="1:8" x14ac:dyDescent="0.25">
      <c r="A28537" s="1"/>
      <c r="B28537" s="1" t="s">
        <v>7328</v>
      </c>
      <c r="C28537" s="1" t="s">
        <v>7329</v>
      </c>
      <c r="D28537" s="22" t="str">
        <f>HYPERLINK("https://rhld.insurance.arkansas.gov/NPILookup?Npi=1821363508","1821363508")</f>
        <v>1821363508</v>
      </c>
      <c r="E28537" s="1" t="s">
        <v>32370</v>
      </c>
      <c r="F28537" s="2"/>
      <c r="G28537" s="2"/>
      <c r="H28537" s="2"/>
    </row>
    <row r="28538" spans="1:8" x14ac:dyDescent="0.25">
      <c r="A28538" s="1"/>
      <c r="B28538" s="1" t="s">
        <v>7328</v>
      </c>
      <c r="C28538" s="1" t="s">
        <v>7329</v>
      </c>
      <c r="D28538" s="22" t="str">
        <f>HYPERLINK("https://rhld.insurance.arkansas.gov/NPILookup?Npi=1821368721","1821368721")</f>
        <v>1821368721</v>
      </c>
      <c r="E28538" s="1" t="s">
        <v>2079</v>
      </c>
      <c r="F28538" s="2"/>
      <c r="G28538" s="2"/>
      <c r="H28538" s="2"/>
    </row>
    <row r="28539" spans="1:8" x14ac:dyDescent="0.25">
      <c r="A28539" s="1"/>
      <c r="B28539" s="1" t="s">
        <v>7328</v>
      </c>
      <c r="C28539" s="1" t="s">
        <v>7329</v>
      </c>
      <c r="D28539" s="22" t="str">
        <f>HYPERLINK("https://rhld.insurance.arkansas.gov/NPILookup?Npi=1821401985","1821401985")</f>
        <v>1821401985</v>
      </c>
      <c r="E28539" s="1" t="s">
        <v>21901</v>
      </c>
      <c r="F28539" s="2"/>
      <c r="G28539" s="2"/>
      <c r="H28539" s="2"/>
    </row>
    <row r="28540" spans="1:8" x14ac:dyDescent="0.25">
      <c r="A28540" s="1"/>
      <c r="B28540" s="1" t="s">
        <v>7328</v>
      </c>
      <c r="C28540" s="1" t="s">
        <v>7329</v>
      </c>
      <c r="D28540" s="22" t="str">
        <f>HYPERLINK("https://rhld.insurance.arkansas.gov/NPILookup?Npi=1821408410","1821408410")</f>
        <v>1821408410</v>
      </c>
      <c r="E28540" s="1" t="s">
        <v>28784</v>
      </c>
      <c r="F28540" s="2"/>
      <c r="G28540" s="2"/>
      <c r="H28540" s="2"/>
    </row>
    <row r="28541" spans="1:8" x14ac:dyDescent="0.25">
      <c r="A28541" s="1"/>
      <c r="B28541" s="1" t="s">
        <v>7328</v>
      </c>
      <c r="C28541" s="1" t="s">
        <v>7329</v>
      </c>
      <c r="D28541" s="22" t="str">
        <f>HYPERLINK("https://rhld.insurance.arkansas.gov/NPILookup?Npi=1821418104","1821418104")</f>
        <v>1821418104</v>
      </c>
      <c r="E28541" s="1" t="s">
        <v>28785</v>
      </c>
      <c r="F28541" s="2"/>
      <c r="G28541" s="2"/>
      <c r="H28541" s="2"/>
    </row>
    <row r="28542" spans="1:8" x14ac:dyDescent="0.25">
      <c r="A28542" s="1"/>
      <c r="B28542" s="1" t="s">
        <v>7328</v>
      </c>
      <c r="C28542" s="1" t="s">
        <v>7329</v>
      </c>
      <c r="D28542" s="22" t="str">
        <f>HYPERLINK("https://rhld.insurance.arkansas.gov/NPILookup?Npi=1821431057","1821431057")</f>
        <v>1821431057</v>
      </c>
      <c r="E28542" s="1" t="s">
        <v>7629</v>
      </c>
      <c r="F28542" s="2"/>
      <c r="G28542" s="2"/>
      <c r="H28542" s="2"/>
    </row>
    <row r="28543" spans="1:8" x14ac:dyDescent="0.25">
      <c r="A28543" s="1"/>
      <c r="B28543" s="1" t="s">
        <v>7328</v>
      </c>
      <c r="C28543" s="1" t="s">
        <v>7329</v>
      </c>
      <c r="D28543" s="22" t="str">
        <f>HYPERLINK("https://rhld.insurance.arkansas.gov/NPILookup?Npi=1821435439","1821435439")</f>
        <v>1821435439</v>
      </c>
      <c r="E28543" s="1" t="s">
        <v>17917</v>
      </c>
      <c r="F28543" s="2"/>
      <c r="G28543" s="2"/>
      <c r="H28543" s="2"/>
    </row>
    <row r="28544" spans="1:8" x14ac:dyDescent="0.25">
      <c r="A28544" s="1"/>
      <c r="B28544" s="1" t="s">
        <v>7328</v>
      </c>
      <c r="C28544" s="1" t="s">
        <v>7329</v>
      </c>
      <c r="D28544" s="22" t="str">
        <f>HYPERLINK("https://rhld.insurance.arkansas.gov/NPILookup?Npi=1821437302","1821437302")</f>
        <v>1821437302</v>
      </c>
      <c r="E28544" s="1" t="s">
        <v>28786</v>
      </c>
      <c r="F28544" s="2"/>
      <c r="G28544" s="2"/>
      <c r="H28544" s="2"/>
    </row>
    <row r="28545" spans="1:8" x14ac:dyDescent="0.25">
      <c r="A28545" s="1"/>
      <c r="B28545" s="1" t="s">
        <v>7328</v>
      </c>
      <c r="C28545" s="1" t="s">
        <v>7329</v>
      </c>
      <c r="D28545" s="22" t="str">
        <f>HYPERLINK("https://rhld.insurance.arkansas.gov/NPILookup?Npi=1821440116","1821440116")</f>
        <v>1821440116</v>
      </c>
      <c r="E28545" s="1" t="s">
        <v>13664</v>
      </c>
      <c r="F28545" s="2"/>
      <c r="G28545" s="2"/>
      <c r="H28545" s="2"/>
    </row>
    <row r="28546" spans="1:8" x14ac:dyDescent="0.25">
      <c r="A28546" s="1"/>
      <c r="B28546" s="1" t="s">
        <v>7328</v>
      </c>
      <c r="C28546" s="1" t="s">
        <v>7329</v>
      </c>
      <c r="D28546" s="22" t="str">
        <f>HYPERLINK("https://rhld.insurance.arkansas.gov/NPILookup?Npi=1821449372","1821449372")</f>
        <v>1821449372</v>
      </c>
      <c r="E28546" s="1" t="s">
        <v>28787</v>
      </c>
      <c r="F28546" s="2"/>
      <c r="G28546" s="2"/>
      <c r="H28546" s="2"/>
    </row>
    <row r="28547" spans="1:8" x14ac:dyDescent="0.25">
      <c r="A28547" s="1"/>
      <c r="B28547" s="1" t="s">
        <v>7328</v>
      </c>
      <c r="C28547" s="1" t="s">
        <v>7329</v>
      </c>
      <c r="D28547" s="22" t="str">
        <f>HYPERLINK("https://rhld.insurance.arkansas.gov/NPILookup?Npi=1821450479","1821450479")</f>
        <v>1821450479</v>
      </c>
      <c r="E28547" s="1" t="s">
        <v>1816</v>
      </c>
      <c r="F28547" s="2"/>
      <c r="G28547" s="2"/>
      <c r="H28547" s="2"/>
    </row>
    <row r="28548" spans="1:8" x14ac:dyDescent="0.25">
      <c r="A28548" s="1"/>
      <c r="B28548" s="1" t="s">
        <v>7328</v>
      </c>
      <c r="C28548" s="1" t="s">
        <v>7329</v>
      </c>
      <c r="D28548" s="22" t="str">
        <f>HYPERLINK("https://rhld.insurance.arkansas.gov/NPILookup?Npi=1821455411","1821455411")</f>
        <v>1821455411</v>
      </c>
      <c r="E28548" s="1" t="s">
        <v>28788</v>
      </c>
      <c r="F28548" s="2"/>
      <c r="G28548" s="2"/>
      <c r="H28548" s="2"/>
    </row>
    <row r="28549" spans="1:8" x14ac:dyDescent="0.25">
      <c r="A28549" s="1"/>
      <c r="B28549" s="1" t="s">
        <v>7328</v>
      </c>
      <c r="C28549" s="1" t="s">
        <v>7329</v>
      </c>
      <c r="D28549" s="22" t="str">
        <f>HYPERLINK("https://rhld.insurance.arkansas.gov/NPILookup?Npi=1821458605","1821458605")</f>
        <v>1821458605</v>
      </c>
      <c r="E28549" s="1" t="s">
        <v>17918</v>
      </c>
      <c r="F28549" s="2"/>
      <c r="G28549" s="2"/>
      <c r="H28549" s="2"/>
    </row>
    <row r="28550" spans="1:8" x14ac:dyDescent="0.25">
      <c r="A28550" s="1"/>
      <c r="B28550" s="1" t="s">
        <v>7328</v>
      </c>
      <c r="C28550" s="1" t="s">
        <v>7329</v>
      </c>
      <c r="D28550" s="22" t="str">
        <f>HYPERLINK("https://rhld.insurance.arkansas.gov/NPILookup?Npi=1821470733","1821470733")</f>
        <v>1821470733</v>
      </c>
      <c r="E28550" s="1" t="s">
        <v>28789</v>
      </c>
      <c r="F28550" s="2"/>
      <c r="G28550" s="2"/>
      <c r="H28550" s="2"/>
    </row>
    <row r="28551" spans="1:8" x14ac:dyDescent="0.25">
      <c r="A28551" s="1"/>
      <c r="B28551" s="1" t="s">
        <v>7328</v>
      </c>
      <c r="C28551" s="1" t="s">
        <v>7329</v>
      </c>
      <c r="D28551" s="22" t="str">
        <f>HYPERLINK("https://rhld.insurance.arkansas.gov/NPILookup?Npi=1821471855","1821471855")</f>
        <v>1821471855</v>
      </c>
      <c r="E28551" s="1" t="s">
        <v>13665</v>
      </c>
      <c r="F28551" s="2"/>
      <c r="G28551" s="2"/>
      <c r="H28551" s="2"/>
    </row>
    <row r="28552" spans="1:8" x14ac:dyDescent="0.25">
      <c r="A28552" s="1"/>
      <c r="B28552" s="1" t="s">
        <v>7328</v>
      </c>
      <c r="C28552" s="1" t="s">
        <v>7329</v>
      </c>
      <c r="D28552" s="22" t="str">
        <f>HYPERLINK("https://rhld.insurance.arkansas.gov/NPILookup?Npi=1821472119","1821472119")</f>
        <v>1821472119</v>
      </c>
      <c r="E28552" s="1" t="s">
        <v>23430</v>
      </c>
      <c r="F28552" s="2"/>
      <c r="G28552" s="2"/>
      <c r="H28552" s="2"/>
    </row>
    <row r="28553" spans="1:8" x14ac:dyDescent="0.25">
      <c r="A28553" s="1"/>
      <c r="B28553" s="1" t="s">
        <v>7328</v>
      </c>
      <c r="C28553" s="1" t="s">
        <v>7329</v>
      </c>
      <c r="D28553" s="22" t="str">
        <f>HYPERLINK("https://rhld.insurance.arkansas.gov/NPILookup?Npi=1821476334","1821476334")</f>
        <v>1821476334</v>
      </c>
      <c r="E28553" s="1" t="s">
        <v>28790</v>
      </c>
      <c r="F28553" s="2"/>
      <c r="G28553" s="2"/>
      <c r="H28553" s="2"/>
    </row>
    <row r="28554" spans="1:8" x14ac:dyDescent="0.25">
      <c r="A28554" s="1"/>
      <c r="B28554" s="1" t="s">
        <v>7328</v>
      </c>
      <c r="C28554" s="1" t="s">
        <v>7329</v>
      </c>
      <c r="D28554" s="22" t="str">
        <f>HYPERLINK("https://rhld.insurance.arkansas.gov/NPILookup?Npi=1821479767","1821479767")</f>
        <v>1821479767</v>
      </c>
      <c r="E28554" s="1" t="s">
        <v>28791</v>
      </c>
      <c r="F28554" s="2"/>
      <c r="G28554" s="2"/>
      <c r="H28554" s="2"/>
    </row>
    <row r="28555" spans="1:8" x14ac:dyDescent="0.25">
      <c r="A28555" s="1"/>
      <c r="B28555" s="1" t="s">
        <v>7328</v>
      </c>
      <c r="C28555" s="1" t="s">
        <v>7329</v>
      </c>
      <c r="D28555" s="22" t="str">
        <f>HYPERLINK("https://rhld.insurance.arkansas.gov/NPILookup?Npi=1821487844","1821487844")</f>
        <v>1821487844</v>
      </c>
      <c r="E28555" s="1" t="s">
        <v>28792</v>
      </c>
      <c r="F28555" s="2"/>
      <c r="G28555" s="2"/>
      <c r="H28555" s="2"/>
    </row>
    <row r="28556" spans="1:8" x14ac:dyDescent="0.25">
      <c r="A28556" s="1"/>
      <c r="B28556" s="1" t="s">
        <v>7328</v>
      </c>
      <c r="C28556" s="1" t="s">
        <v>7329</v>
      </c>
      <c r="D28556" s="22" t="str">
        <f>HYPERLINK("https://rhld.insurance.arkansas.gov/NPILookup?Npi=1821493446","1821493446")</f>
        <v>1821493446</v>
      </c>
      <c r="E28556" s="1" t="s">
        <v>28793</v>
      </c>
      <c r="F28556" s="2"/>
      <c r="G28556" s="2"/>
      <c r="H28556" s="2"/>
    </row>
    <row r="28557" spans="1:8" x14ac:dyDescent="0.25">
      <c r="A28557" s="1"/>
      <c r="B28557" s="1" t="s">
        <v>7328</v>
      </c>
      <c r="C28557" s="1" t="s">
        <v>7329</v>
      </c>
      <c r="D28557" s="22" t="str">
        <f>HYPERLINK("https://rhld.insurance.arkansas.gov/NPILookup?Npi=1821494857","1821494857")</f>
        <v>1821494857</v>
      </c>
      <c r="E28557" s="1" t="s">
        <v>28794</v>
      </c>
      <c r="F28557" s="2"/>
      <c r="G28557" s="2"/>
      <c r="H28557" s="2"/>
    </row>
    <row r="28558" spans="1:8" x14ac:dyDescent="0.25">
      <c r="A28558" s="1"/>
      <c r="B28558" s="1" t="s">
        <v>7328</v>
      </c>
      <c r="C28558" s="1" t="s">
        <v>7329</v>
      </c>
      <c r="D28558" s="22" t="str">
        <f>HYPERLINK("https://rhld.insurance.arkansas.gov/NPILookup?Npi=1821504226","1821504226")</f>
        <v>1821504226</v>
      </c>
      <c r="E28558" s="1" t="s">
        <v>3042</v>
      </c>
      <c r="F28558" s="2"/>
      <c r="G28558" s="2"/>
      <c r="H28558" s="2"/>
    </row>
    <row r="28559" spans="1:8" x14ac:dyDescent="0.25">
      <c r="A28559" s="1"/>
      <c r="B28559" s="1" t="s">
        <v>7328</v>
      </c>
      <c r="C28559" s="1" t="s">
        <v>7329</v>
      </c>
      <c r="D28559" s="22" t="str">
        <f>HYPERLINK("https://rhld.insurance.arkansas.gov/NPILookup?Npi=1821506817","1821506817")</f>
        <v>1821506817</v>
      </c>
      <c r="E28559" s="1" t="s">
        <v>28795</v>
      </c>
      <c r="F28559" s="2"/>
      <c r="G28559" s="2"/>
      <c r="H28559" s="2"/>
    </row>
    <row r="28560" spans="1:8" x14ac:dyDescent="0.25">
      <c r="A28560" s="1"/>
      <c r="B28560" s="1" t="s">
        <v>7328</v>
      </c>
      <c r="C28560" s="1" t="s">
        <v>7329</v>
      </c>
      <c r="D28560" s="22" t="str">
        <f>HYPERLINK("https://rhld.insurance.arkansas.gov/NPILookup?Npi=1821507419","1821507419")</f>
        <v>1821507419</v>
      </c>
      <c r="E28560" s="1" t="s">
        <v>13666</v>
      </c>
      <c r="F28560" s="2"/>
      <c r="G28560" s="2"/>
      <c r="H28560" s="2"/>
    </row>
    <row r="28561" spans="1:8" x14ac:dyDescent="0.25">
      <c r="A28561" s="1"/>
      <c r="B28561" s="1" t="s">
        <v>7328</v>
      </c>
      <c r="C28561" s="1" t="s">
        <v>7329</v>
      </c>
      <c r="D28561" s="22" t="str">
        <f>HYPERLINK("https://rhld.insurance.arkansas.gov/NPILookup?Npi=1821515792","1821515792")</f>
        <v>1821515792</v>
      </c>
      <c r="E28561" s="1" t="s">
        <v>3043</v>
      </c>
      <c r="F28561" s="2"/>
      <c r="G28561" s="2"/>
      <c r="H28561" s="2"/>
    </row>
    <row r="28562" spans="1:8" x14ac:dyDescent="0.25">
      <c r="A28562" s="1"/>
      <c r="B28562" s="1" t="s">
        <v>7328</v>
      </c>
      <c r="C28562" s="1" t="s">
        <v>7329</v>
      </c>
      <c r="D28562" s="22" t="str">
        <f>HYPERLINK("https://rhld.insurance.arkansas.gov/NPILookup?Npi=1821523994","1821523994")</f>
        <v>1821523994</v>
      </c>
      <c r="E28562" s="1" t="s">
        <v>8121</v>
      </c>
      <c r="F28562" s="2"/>
      <c r="G28562" s="2"/>
      <c r="H28562" s="2"/>
    </row>
    <row r="28563" spans="1:8" x14ac:dyDescent="0.25">
      <c r="A28563" s="1"/>
      <c r="B28563" s="1" t="s">
        <v>7328</v>
      </c>
      <c r="C28563" s="1" t="s">
        <v>7329</v>
      </c>
      <c r="D28563" s="22" t="str">
        <f>HYPERLINK("https://rhld.insurance.arkansas.gov/NPILookup?Npi=1821525916","1821525916")</f>
        <v>1821525916</v>
      </c>
      <c r="E28563" s="1" t="s">
        <v>28796</v>
      </c>
      <c r="F28563" s="2"/>
      <c r="G28563" s="2"/>
      <c r="H28563" s="2"/>
    </row>
    <row r="28564" spans="1:8" x14ac:dyDescent="0.25">
      <c r="A28564" s="1"/>
      <c r="B28564" s="1" t="s">
        <v>7328</v>
      </c>
      <c r="C28564" s="1" t="s">
        <v>7329</v>
      </c>
      <c r="D28564" s="22" t="str">
        <f>HYPERLINK("https://rhld.insurance.arkansas.gov/NPILookup?Npi=1821534835","1821534835")</f>
        <v>1821534835</v>
      </c>
      <c r="E28564" s="1" t="s">
        <v>13667</v>
      </c>
      <c r="F28564" s="2"/>
      <c r="G28564" s="2"/>
      <c r="H28564" s="2"/>
    </row>
    <row r="28565" spans="1:8" x14ac:dyDescent="0.25">
      <c r="A28565" s="1"/>
      <c r="B28565" s="1" t="s">
        <v>7328</v>
      </c>
      <c r="C28565" s="1" t="s">
        <v>7329</v>
      </c>
      <c r="D28565" s="22" t="str">
        <f>HYPERLINK("https://rhld.insurance.arkansas.gov/NPILookup?Npi=1821537168","1821537168")</f>
        <v>1821537168</v>
      </c>
      <c r="E28565" s="1" t="s">
        <v>28797</v>
      </c>
      <c r="F28565" s="2"/>
      <c r="G28565" s="2"/>
      <c r="H28565" s="2"/>
    </row>
    <row r="28566" spans="1:8" x14ac:dyDescent="0.25">
      <c r="A28566" s="1"/>
      <c r="B28566" s="1" t="s">
        <v>7328</v>
      </c>
      <c r="C28566" s="1" t="s">
        <v>7329</v>
      </c>
      <c r="D28566" s="22" t="str">
        <f>HYPERLINK("https://rhld.insurance.arkansas.gov/NPILookup?Npi=1821538125","1821538125")</f>
        <v>1821538125</v>
      </c>
      <c r="E28566" s="1" t="s">
        <v>28798</v>
      </c>
      <c r="F28566" s="2"/>
      <c r="G28566" s="2"/>
      <c r="H28566" s="2"/>
    </row>
    <row r="28567" spans="1:8" x14ac:dyDescent="0.25">
      <c r="A28567" s="1"/>
      <c r="B28567" s="1" t="s">
        <v>7328</v>
      </c>
      <c r="C28567" s="1" t="s">
        <v>7329</v>
      </c>
      <c r="D28567" s="22" t="str">
        <f>HYPERLINK("https://rhld.insurance.arkansas.gov/NPILookup?Npi=1821539248","1821539248")</f>
        <v>1821539248</v>
      </c>
      <c r="E28567" s="1" t="s">
        <v>28799</v>
      </c>
      <c r="F28567" s="2"/>
      <c r="G28567" s="2"/>
      <c r="H28567" s="2"/>
    </row>
    <row r="28568" spans="1:8" x14ac:dyDescent="0.25">
      <c r="A28568" s="1"/>
      <c r="B28568" s="1" t="s">
        <v>7328</v>
      </c>
      <c r="C28568" s="1" t="s">
        <v>7329</v>
      </c>
      <c r="D28568" s="22" t="str">
        <f>HYPERLINK("https://rhld.insurance.arkansas.gov/NPILookup?Npi=1821541673","1821541673")</f>
        <v>1821541673</v>
      </c>
      <c r="E28568" s="1" t="s">
        <v>13668</v>
      </c>
      <c r="F28568" s="2"/>
      <c r="G28568" s="2"/>
      <c r="H28568" s="2"/>
    </row>
    <row r="28569" spans="1:8" x14ac:dyDescent="0.25">
      <c r="A28569" s="1"/>
      <c r="B28569" s="1" t="s">
        <v>7328</v>
      </c>
      <c r="C28569" s="1" t="s">
        <v>7329</v>
      </c>
      <c r="D28569" s="22" t="str">
        <f>HYPERLINK("https://rhld.insurance.arkansas.gov/NPILookup?Npi=1821554296","1821554296")</f>
        <v>1821554296</v>
      </c>
      <c r="E28569" s="1" t="s">
        <v>1486</v>
      </c>
      <c r="F28569" s="2"/>
      <c r="G28569" s="2"/>
      <c r="H28569" s="2"/>
    </row>
    <row r="28570" spans="1:8" x14ac:dyDescent="0.25">
      <c r="A28570" s="1"/>
      <c r="B28570" s="1" t="s">
        <v>7328</v>
      </c>
      <c r="C28570" s="1" t="s">
        <v>7329</v>
      </c>
      <c r="D28570" s="22" t="str">
        <f>HYPERLINK("https://rhld.insurance.arkansas.gov/NPILookup?Npi=1821559626","1821559626")</f>
        <v>1821559626</v>
      </c>
      <c r="E28570" s="1" t="s">
        <v>28800</v>
      </c>
      <c r="F28570" s="2"/>
      <c r="G28570" s="2"/>
      <c r="H28570" s="2"/>
    </row>
    <row r="28571" spans="1:8" x14ac:dyDescent="0.25">
      <c r="A28571" s="1"/>
      <c r="B28571" s="1" t="s">
        <v>7328</v>
      </c>
      <c r="C28571" s="1" t="s">
        <v>7329</v>
      </c>
      <c r="D28571" s="22" t="str">
        <f>HYPERLINK("https://rhld.insurance.arkansas.gov/NPILookup?Npi=1821565235","1821565235")</f>
        <v>1821565235</v>
      </c>
      <c r="E28571" s="1" t="s">
        <v>8122</v>
      </c>
      <c r="F28571" s="2"/>
      <c r="G28571" s="2"/>
      <c r="H28571" s="2"/>
    </row>
    <row r="28572" spans="1:8" x14ac:dyDescent="0.25">
      <c r="A28572" s="1"/>
      <c r="B28572" s="1" t="s">
        <v>7328</v>
      </c>
      <c r="C28572" s="1" t="s">
        <v>7329</v>
      </c>
      <c r="D28572" s="22" t="str">
        <f>HYPERLINK("https://rhld.insurance.arkansas.gov/NPILookup?Npi=1821574013","1821574013")</f>
        <v>1821574013</v>
      </c>
      <c r="E28572" s="1" t="s">
        <v>28801</v>
      </c>
      <c r="F28572" s="2"/>
      <c r="G28572" s="2"/>
      <c r="H28572" s="2"/>
    </row>
    <row r="28573" spans="1:8" x14ac:dyDescent="0.25">
      <c r="A28573" s="1"/>
      <c r="B28573" s="1" t="s">
        <v>7328</v>
      </c>
      <c r="C28573" s="1" t="s">
        <v>7329</v>
      </c>
      <c r="D28573" s="22" t="str">
        <f>HYPERLINK("https://rhld.insurance.arkansas.gov/NPILookup?Npi=1821574641","1821574641")</f>
        <v>1821574641</v>
      </c>
      <c r="E28573" s="1" t="s">
        <v>13669</v>
      </c>
      <c r="F28573" s="2"/>
      <c r="G28573" s="2"/>
      <c r="H28573" s="2"/>
    </row>
    <row r="28574" spans="1:8" x14ac:dyDescent="0.25">
      <c r="A28574" s="1"/>
      <c r="B28574" s="1" t="s">
        <v>7328</v>
      </c>
      <c r="C28574" s="1" t="s">
        <v>7329</v>
      </c>
      <c r="D28574" s="22" t="str">
        <f>HYPERLINK("https://rhld.insurance.arkansas.gov/NPILookup?Npi=1821574815","1821574815")</f>
        <v>1821574815</v>
      </c>
      <c r="E28574" s="1" t="s">
        <v>28802</v>
      </c>
      <c r="F28574" s="2"/>
      <c r="G28574" s="2"/>
      <c r="H28574" s="2"/>
    </row>
    <row r="28575" spans="1:8" x14ac:dyDescent="0.25">
      <c r="A28575" s="1"/>
      <c r="B28575" s="1" t="s">
        <v>7328</v>
      </c>
      <c r="C28575" s="1" t="s">
        <v>7329</v>
      </c>
      <c r="D28575" s="22" t="str">
        <f>HYPERLINK("https://rhld.insurance.arkansas.gov/NPILookup?Npi=1821589250","1821589250")</f>
        <v>1821589250</v>
      </c>
      <c r="E28575" s="1" t="s">
        <v>8123</v>
      </c>
      <c r="F28575" s="2"/>
      <c r="G28575" s="2"/>
      <c r="H28575" s="2"/>
    </row>
    <row r="28576" spans="1:8" x14ac:dyDescent="0.25">
      <c r="A28576" s="1"/>
      <c r="B28576" s="1" t="s">
        <v>7328</v>
      </c>
      <c r="C28576" s="1" t="s">
        <v>7329</v>
      </c>
      <c r="D28576" s="22" t="str">
        <f>HYPERLINK("https://rhld.insurance.arkansas.gov/NPILookup?Npi=1821589870","1821589870")</f>
        <v>1821589870</v>
      </c>
      <c r="E28576" s="1" t="s">
        <v>28803</v>
      </c>
      <c r="F28576" s="2"/>
      <c r="G28576" s="2"/>
      <c r="H28576" s="2"/>
    </row>
    <row r="28577" spans="1:8" x14ac:dyDescent="0.25">
      <c r="A28577" s="1"/>
      <c r="B28577" s="1" t="s">
        <v>7328</v>
      </c>
      <c r="C28577" s="1" t="s">
        <v>7329</v>
      </c>
      <c r="D28577" s="22" t="str">
        <f>HYPERLINK("https://rhld.insurance.arkansas.gov/NPILookup?Npi=1821605916","1821605916")</f>
        <v>1821605916</v>
      </c>
      <c r="E28577" s="1" t="s">
        <v>8124</v>
      </c>
      <c r="F28577" s="2"/>
      <c r="G28577" s="2"/>
      <c r="H28577" s="2"/>
    </row>
    <row r="28578" spans="1:8" x14ac:dyDescent="0.25">
      <c r="A28578" s="1"/>
      <c r="B28578" s="1" t="s">
        <v>7328</v>
      </c>
      <c r="C28578" s="1" t="s">
        <v>7329</v>
      </c>
      <c r="D28578" s="22" t="str">
        <f>HYPERLINK("https://rhld.insurance.arkansas.gov/NPILookup?Npi=1821606658","1821606658")</f>
        <v>1821606658</v>
      </c>
      <c r="E28578" s="1" t="s">
        <v>8125</v>
      </c>
      <c r="F28578" s="2"/>
      <c r="G28578" s="2"/>
      <c r="H28578" s="2"/>
    </row>
    <row r="28579" spans="1:8" x14ac:dyDescent="0.25">
      <c r="A28579" s="1"/>
      <c r="B28579" s="1" t="s">
        <v>7328</v>
      </c>
      <c r="C28579" s="1" t="s">
        <v>7329</v>
      </c>
      <c r="D28579" s="22" t="str">
        <f>HYPERLINK("https://rhld.insurance.arkansas.gov/NPILookup?Npi=1821637216","1821637216")</f>
        <v>1821637216</v>
      </c>
      <c r="E28579" s="1" t="s">
        <v>28804</v>
      </c>
      <c r="F28579" s="2"/>
      <c r="G28579" s="2"/>
      <c r="H28579" s="2"/>
    </row>
    <row r="28580" spans="1:8" x14ac:dyDescent="0.25">
      <c r="A28580" s="1"/>
      <c r="B28580" s="1" t="s">
        <v>7328</v>
      </c>
      <c r="C28580" s="1" t="s">
        <v>7329</v>
      </c>
      <c r="D28580" s="22" t="str">
        <f>HYPERLINK("https://rhld.insurance.arkansas.gov/NPILookup?Npi=1821641051","1821641051")</f>
        <v>1821641051</v>
      </c>
      <c r="E28580" s="1" t="s">
        <v>13670</v>
      </c>
      <c r="F28580" s="2"/>
      <c r="G28580" s="2"/>
      <c r="H28580" s="2"/>
    </row>
    <row r="28581" spans="1:8" x14ac:dyDescent="0.25">
      <c r="A28581" s="1"/>
      <c r="B28581" s="1" t="s">
        <v>7328</v>
      </c>
      <c r="C28581" s="1" t="s">
        <v>7329</v>
      </c>
      <c r="D28581" s="22" t="str">
        <f>HYPERLINK("https://rhld.insurance.arkansas.gov/NPILookup?Npi=1821643024","1821643024")</f>
        <v>1821643024</v>
      </c>
      <c r="E28581" s="1" t="s">
        <v>28805</v>
      </c>
      <c r="F28581" s="2"/>
      <c r="G28581" s="2"/>
      <c r="H28581" s="2"/>
    </row>
    <row r="28582" spans="1:8" x14ac:dyDescent="0.25">
      <c r="A28582" s="1"/>
      <c r="B28582" s="1" t="s">
        <v>7328</v>
      </c>
      <c r="C28582" s="1" t="s">
        <v>7329</v>
      </c>
      <c r="D28582" s="22" t="str">
        <f>HYPERLINK("https://rhld.insurance.arkansas.gov/NPILookup?Npi=1821654880","1821654880")</f>
        <v>1821654880</v>
      </c>
      <c r="E28582" s="1" t="s">
        <v>13671</v>
      </c>
      <c r="F28582" s="2"/>
      <c r="G28582" s="2"/>
      <c r="H28582" s="2"/>
    </row>
    <row r="28583" spans="1:8" x14ac:dyDescent="0.25">
      <c r="A28583" s="1"/>
      <c r="B28583" s="1" t="s">
        <v>7328</v>
      </c>
      <c r="C28583" s="1" t="s">
        <v>7329</v>
      </c>
      <c r="D28583" s="22" t="str">
        <f>HYPERLINK("https://rhld.insurance.arkansas.gov/NPILookup?Npi=1821660044","1821660044")</f>
        <v>1821660044</v>
      </c>
      <c r="E28583" s="1" t="s">
        <v>32371</v>
      </c>
      <c r="F28583" s="2"/>
      <c r="G28583" s="2"/>
      <c r="H28583" s="2"/>
    </row>
    <row r="28584" spans="1:8" x14ac:dyDescent="0.25">
      <c r="A28584" s="1"/>
      <c r="B28584" s="1" t="s">
        <v>7328</v>
      </c>
      <c r="C28584" s="1" t="s">
        <v>7329</v>
      </c>
      <c r="D28584" s="22" t="str">
        <f>HYPERLINK("https://rhld.insurance.arkansas.gov/NPILookup?Npi=1821674193","1821674193")</f>
        <v>1821674193</v>
      </c>
      <c r="E28584" s="1" t="s">
        <v>8126</v>
      </c>
      <c r="F28584" s="2"/>
      <c r="G28584" s="2"/>
      <c r="H28584" s="2"/>
    </row>
    <row r="28585" spans="1:8" x14ac:dyDescent="0.25">
      <c r="A28585" s="1"/>
      <c r="B28585" s="1" t="s">
        <v>7328</v>
      </c>
      <c r="C28585" s="1" t="s">
        <v>7329</v>
      </c>
      <c r="D28585" s="22" t="str">
        <f>HYPERLINK("https://rhld.insurance.arkansas.gov/NPILookup?Npi=1821678269","1821678269")</f>
        <v>1821678269</v>
      </c>
      <c r="E28585" s="1" t="s">
        <v>13672</v>
      </c>
      <c r="F28585" s="2"/>
      <c r="G28585" s="2"/>
      <c r="H28585" s="2"/>
    </row>
    <row r="28586" spans="1:8" x14ac:dyDescent="0.25">
      <c r="A28586" s="1"/>
      <c r="B28586" s="1" t="s">
        <v>7328</v>
      </c>
      <c r="C28586" s="1" t="s">
        <v>7329</v>
      </c>
      <c r="D28586" s="22" t="str">
        <f>HYPERLINK("https://rhld.insurance.arkansas.gov/NPILookup?Npi=1821682238","1821682238")</f>
        <v>1821682238</v>
      </c>
      <c r="E28586" s="1" t="s">
        <v>28806</v>
      </c>
      <c r="F28586" s="2"/>
      <c r="G28586" s="2"/>
      <c r="H28586" s="2"/>
    </row>
    <row r="28587" spans="1:8" x14ac:dyDescent="0.25">
      <c r="A28587" s="1"/>
      <c r="B28587" s="1" t="s">
        <v>7328</v>
      </c>
      <c r="C28587" s="1" t="s">
        <v>7329</v>
      </c>
      <c r="D28587" s="22" t="str">
        <f>HYPERLINK("https://rhld.insurance.arkansas.gov/NPILookup?Npi=1821685710","1821685710")</f>
        <v>1821685710</v>
      </c>
      <c r="E28587" s="1" t="s">
        <v>28807</v>
      </c>
      <c r="F28587" s="2"/>
      <c r="G28587" s="2"/>
      <c r="H28587" s="2"/>
    </row>
    <row r="28588" spans="1:8" x14ac:dyDescent="0.25">
      <c r="A28588" s="1"/>
      <c r="B28588" s="1" t="s">
        <v>7328</v>
      </c>
      <c r="C28588" s="1" t="s">
        <v>7329</v>
      </c>
      <c r="D28588" s="22" t="str">
        <f>HYPERLINK("https://rhld.insurance.arkansas.gov/NPILookup?Npi=1821690884","1821690884")</f>
        <v>1821690884</v>
      </c>
      <c r="E28588" s="1" t="s">
        <v>28808</v>
      </c>
      <c r="F28588" s="2"/>
      <c r="G28588" s="2"/>
      <c r="H28588" s="2"/>
    </row>
    <row r="28589" spans="1:8" x14ac:dyDescent="0.25">
      <c r="A28589" s="1"/>
      <c r="B28589" s="1" t="s">
        <v>7328</v>
      </c>
      <c r="C28589" s="1" t="s">
        <v>7329</v>
      </c>
      <c r="D28589" s="22" t="str">
        <f>HYPERLINK("https://rhld.insurance.arkansas.gov/NPILookup?Npi=1821720160","1821720160")</f>
        <v>1821720160</v>
      </c>
      <c r="E28589" s="1" t="s">
        <v>28809</v>
      </c>
      <c r="F28589" s="2"/>
      <c r="G28589" s="2"/>
      <c r="H28589" s="2"/>
    </row>
    <row r="28590" spans="1:8" x14ac:dyDescent="0.25">
      <c r="A28590" s="1"/>
      <c r="B28590" s="1" t="s">
        <v>7328</v>
      </c>
      <c r="C28590" s="1" t="s">
        <v>7329</v>
      </c>
      <c r="D28590" s="22" t="str">
        <f>HYPERLINK("https://rhld.insurance.arkansas.gov/NPILookup?Npi=1821721176","1821721176")</f>
        <v>1821721176</v>
      </c>
      <c r="E28590" s="1" t="s">
        <v>28810</v>
      </c>
      <c r="F28590" s="2"/>
      <c r="G28590" s="2"/>
      <c r="H28590" s="2"/>
    </row>
    <row r="28591" spans="1:8" x14ac:dyDescent="0.25">
      <c r="A28591" s="1"/>
      <c r="B28591" s="1" t="s">
        <v>7328</v>
      </c>
      <c r="C28591" s="1" t="s">
        <v>7329</v>
      </c>
      <c r="D28591" s="22" t="str">
        <f>HYPERLINK("https://rhld.insurance.arkansas.gov/NPILookup?Npi=1821721523","1821721523")</f>
        <v>1821721523</v>
      </c>
      <c r="E28591" s="1" t="s">
        <v>8127</v>
      </c>
      <c r="F28591" s="2"/>
      <c r="G28591" s="2"/>
      <c r="H28591" s="2"/>
    </row>
    <row r="28592" spans="1:8" x14ac:dyDescent="0.25">
      <c r="A28592" s="1"/>
      <c r="B28592" s="1" t="s">
        <v>7328</v>
      </c>
      <c r="C28592" s="1" t="s">
        <v>7329</v>
      </c>
      <c r="D28592" s="22" t="str">
        <f>HYPERLINK("https://rhld.insurance.arkansas.gov/NPILookup?Npi=1821730946","1821730946")</f>
        <v>1821730946</v>
      </c>
      <c r="E28592" s="1" t="s">
        <v>28811</v>
      </c>
      <c r="F28592" s="2"/>
      <c r="G28592" s="2"/>
      <c r="H28592" s="2"/>
    </row>
    <row r="28593" spans="1:8" x14ac:dyDescent="0.25">
      <c r="A28593" s="1"/>
      <c r="B28593" s="1" t="s">
        <v>7328</v>
      </c>
      <c r="C28593" s="1" t="s">
        <v>7329</v>
      </c>
      <c r="D28593" s="22" t="str">
        <f>HYPERLINK("https://rhld.insurance.arkansas.gov/NPILookup?Npi=1821731019","1821731019")</f>
        <v>1821731019</v>
      </c>
      <c r="E28593" s="1" t="s">
        <v>8128</v>
      </c>
      <c r="F28593" s="2"/>
      <c r="G28593" s="2"/>
      <c r="H28593" s="2"/>
    </row>
    <row r="28594" spans="1:8" x14ac:dyDescent="0.25">
      <c r="A28594" s="1"/>
      <c r="B28594" s="1" t="s">
        <v>7328</v>
      </c>
      <c r="C28594" s="1" t="s">
        <v>7329</v>
      </c>
      <c r="D28594" s="22" t="str">
        <f>HYPERLINK("https://rhld.insurance.arkansas.gov/NPILookup?Npi=1821731498","1821731498")</f>
        <v>1821731498</v>
      </c>
      <c r="E28594" s="1" t="s">
        <v>28812</v>
      </c>
      <c r="F28594" s="2"/>
      <c r="G28594" s="2"/>
      <c r="H28594" s="2"/>
    </row>
    <row r="28595" spans="1:8" x14ac:dyDescent="0.25">
      <c r="A28595" s="1"/>
      <c r="B28595" s="1" t="s">
        <v>7328</v>
      </c>
      <c r="C28595" s="1" t="s">
        <v>7329</v>
      </c>
      <c r="D28595" s="22" t="str">
        <f>HYPERLINK("https://rhld.insurance.arkansas.gov/NPILookup?Npi=1821738972","1821738972")</f>
        <v>1821738972</v>
      </c>
      <c r="E28595" s="1" t="s">
        <v>28813</v>
      </c>
      <c r="F28595" s="2"/>
      <c r="G28595" s="2"/>
      <c r="H28595" s="2"/>
    </row>
    <row r="28596" spans="1:8" x14ac:dyDescent="0.25">
      <c r="A28596" s="1"/>
      <c r="B28596" s="1" t="s">
        <v>7328</v>
      </c>
      <c r="C28596" s="1" t="s">
        <v>7329</v>
      </c>
      <c r="D28596" s="22" t="str">
        <f>HYPERLINK("https://rhld.insurance.arkansas.gov/NPILookup?Npi=1821753468","1821753468")</f>
        <v>1821753468</v>
      </c>
      <c r="E28596" s="1" t="s">
        <v>13673</v>
      </c>
      <c r="F28596" s="2"/>
      <c r="G28596" s="2"/>
      <c r="H28596" s="2"/>
    </row>
    <row r="28597" spans="1:8" x14ac:dyDescent="0.25">
      <c r="A28597" s="1"/>
      <c r="B28597" s="1" t="s">
        <v>7328</v>
      </c>
      <c r="C28597" s="1" t="s">
        <v>7329</v>
      </c>
      <c r="D28597" s="22" t="str">
        <f>HYPERLINK("https://rhld.insurance.arkansas.gov/NPILookup?Npi=1821767260","1821767260")</f>
        <v>1821767260</v>
      </c>
      <c r="E28597" s="1" t="s">
        <v>28814</v>
      </c>
      <c r="F28597" s="2"/>
      <c r="G28597" s="2"/>
      <c r="H28597" s="2"/>
    </row>
    <row r="28598" spans="1:8" x14ac:dyDescent="0.25">
      <c r="A28598" s="1"/>
      <c r="B28598" s="1" t="s">
        <v>7328</v>
      </c>
      <c r="C28598" s="1" t="s">
        <v>7329</v>
      </c>
      <c r="D28598" s="22" t="str">
        <f>HYPERLINK("https://rhld.insurance.arkansas.gov/NPILookup?Npi=1821781766","1821781766")</f>
        <v>1821781766</v>
      </c>
      <c r="E28598" s="1" t="s">
        <v>5284</v>
      </c>
      <c r="F28598" s="2"/>
      <c r="G28598" s="2"/>
      <c r="H28598" s="2"/>
    </row>
    <row r="28599" spans="1:8" x14ac:dyDescent="0.25">
      <c r="A28599" s="1"/>
      <c r="B28599" s="1" t="s">
        <v>7328</v>
      </c>
      <c r="C28599" s="1" t="s">
        <v>7329</v>
      </c>
      <c r="D28599" s="22" t="str">
        <f>HYPERLINK("https://rhld.insurance.arkansas.gov/NPILookup?Npi=1821785593","1821785593")</f>
        <v>1821785593</v>
      </c>
      <c r="E28599" s="1" t="s">
        <v>28815</v>
      </c>
      <c r="F28599" s="2"/>
      <c r="G28599" s="2"/>
      <c r="H28599" s="2"/>
    </row>
    <row r="28600" spans="1:8" x14ac:dyDescent="0.25">
      <c r="A28600" s="1"/>
      <c r="B28600" s="1" t="s">
        <v>7328</v>
      </c>
      <c r="C28600" s="1" t="s">
        <v>7329</v>
      </c>
      <c r="D28600" s="22" t="str">
        <f>HYPERLINK("https://rhld.insurance.arkansas.gov/NPILookup?Npi=1821859810","1821859810")</f>
        <v>1821859810</v>
      </c>
      <c r="E28600" s="1" t="s">
        <v>28816</v>
      </c>
      <c r="F28600" s="2"/>
      <c r="G28600" s="2"/>
      <c r="H28600" s="2"/>
    </row>
    <row r="28601" spans="1:8" x14ac:dyDescent="0.25">
      <c r="A28601" s="1"/>
      <c r="B28601" s="1" t="s">
        <v>7328</v>
      </c>
      <c r="C28601" s="1" t="s">
        <v>7329</v>
      </c>
      <c r="D28601" s="22" t="str">
        <f>HYPERLINK("https://rhld.insurance.arkansas.gov/NPILookup?Npi=1821873852","1821873852")</f>
        <v>1821873852</v>
      </c>
      <c r="E28601" s="1" t="s">
        <v>28817</v>
      </c>
      <c r="F28601" s="2"/>
      <c r="G28601" s="2"/>
      <c r="H28601" s="2"/>
    </row>
    <row r="28602" spans="1:8" x14ac:dyDescent="0.25">
      <c r="A28602" s="1"/>
      <c r="B28602" s="1" t="s">
        <v>7328</v>
      </c>
      <c r="C28602" s="1" t="s">
        <v>7329</v>
      </c>
      <c r="D28602" s="22" t="str">
        <f>HYPERLINK("https://rhld.insurance.arkansas.gov/NPILookup?Npi=1821875568","1821875568")</f>
        <v>1821875568</v>
      </c>
      <c r="E28602" s="1" t="s">
        <v>6100</v>
      </c>
      <c r="F28602" s="2"/>
      <c r="G28602" s="2"/>
      <c r="H28602" s="2"/>
    </row>
    <row r="28603" spans="1:8" x14ac:dyDescent="0.25">
      <c r="A28603" s="1"/>
      <c r="B28603" s="1" t="s">
        <v>7328</v>
      </c>
      <c r="C28603" s="1" t="s">
        <v>7329</v>
      </c>
      <c r="D28603" s="22" t="str">
        <f>HYPERLINK("https://rhld.insurance.arkansas.gov/NPILookup?Npi=1821876228","1821876228")</f>
        <v>1821876228</v>
      </c>
      <c r="E28603" s="1" t="s">
        <v>28818</v>
      </c>
      <c r="F28603" s="2"/>
      <c r="G28603" s="2"/>
      <c r="H28603" s="2"/>
    </row>
    <row r="28604" spans="1:8" x14ac:dyDescent="0.25">
      <c r="A28604" s="1"/>
      <c r="B28604" s="1" t="s">
        <v>7328</v>
      </c>
      <c r="C28604" s="1" t="s">
        <v>7329</v>
      </c>
      <c r="D28604" s="22" t="str">
        <f>HYPERLINK("https://rhld.insurance.arkansas.gov/NPILookup?Npi=1821876921","1821876921")</f>
        <v>1821876921</v>
      </c>
      <c r="E28604" s="1" t="s">
        <v>28819</v>
      </c>
      <c r="F28604" s="2"/>
      <c r="G28604" s="2"/>
      <c r="H28604" s="2"/>
    </row>
    <row r="28605" spans="1:8" x14ac:dyDescent="0.25">
      <c r="A28605" s="1"/>
      <c r="B28605" s="1" t="s">
        <v>7328</v>
      </c>
      <c r="C28605" s="1" t="s">
        <v>7329</v>
      </c>
      <c r="D28605" s="22" t="str">
        <f>HYPERLINK("https://rhld.insurance.arkansas.gov/NPILookup?Npi=1821879644","1821879644")</f>
        <v>1821879644</v>
      </c>
      <c r="E28605" s="1" t="s">
        <v>32372</v>
      </c>
      <c r="F28605" s="2"/>
      <c r="G28605" s="2"/>
      <c r="H28605" s="2"/>
    </row>
    <row r="28606" spans="1:8" x14ac:dyDescent="0.25">
      <c r="A28606" s="1"/>
      <c r="B28606" s="1" t="s">
        <v>7328</v>
      </c>
      <c r="C28606" s="1" t="s">
        <v>7329</v>
      </c>
      <c r="D28606" s="22" t="str">
        <f>HYPERLINK("https://rhld.insurance.arkansas.gov/NPILookup?Npi=1821895566","1821895566")</f>
        <v>1821895566</v>
      </c>
      <c r="E28606" s="1" t="s">
        <v>32373</v>
      </c>
      <c r="F28606" s="2"/>
      <c r="G28606" s="2"/>
      <c r="H28606" s="2"/>
    </row>
    <row r="28607" spans="1:8" x14ac:dyDescent="0.25">
      <c r="A28607" s="1"/>
      <c r="B28607" s="1" t="s">
        <v>7328</v>
      </c>
      <c r="C28607" s="1" t="s">
        <v>7329</v>
      </c>
      <c r="D28607" s="22" t="str">
        <f>HYPERLINK("https://rhld.insurance.arkansas.gov/NPILookup?Npi=1831103050","1831103050")</f>
        <v>1831103050</v>
      </c>
      <c r="E28607" s="1" t="s">
        <v>28820</v>
      </c>
      <c r="F28607" s="2"/>
      <c r="G28607" s="2"/>
      <c r="H28607" s="2"/>
    </row>
    <row r="28608" spans="1:8" x14ac:dyDescent="0.25">
      <c r="A28608" s="1"/>
      <c r="B28608" s="1" t="s">
        <v>7328</v>
      </c>
      <c r="C28608" s="1" t="s">
        <v>7329</v>
      </c>
      <c r="D28608" s="22" t="str">
        <f>HYPERLINK("https://rhld.insurance.arkansas.gov/NPILookup?Npi=1831105683","1831105683")</f>
        <v>1831105683</v>
      </c>
      <c r="E28608" s="1" t="s">
        <v>213</v>
      </c>
      <c r="F28608" s="2"/>
      <c r="G28608" s="2"/>
      <c r="H28608" s="2"/>
    </row>
    <row r="28609" spans="1:8" x14ac:dyDescent="0.25">
      <c r="A28609" s="1"/>
      <c r="B28609" s="1" t="s">
        <v>7328</v>
      </c>
      <c r="C28609" s="1" t="s">
        <v>7329</v>
      </c>
      <c r="D28609" s="22" t="str">
        <f>HYPERLINK("https://rhld.insurance.arkansas.gov/NPILookup?Npi=1831108430","1831108430")</f>
        <v>1831108430</v>
      </c>
      <c r="E28609" s="1" t="s">
        <v>28821</v>
      </c>
      <c r="F28609" s="2"/>
      <c r="G28609" s="2"/>
      <c r="H28609" s="2"/>
    </row>
    <row r="28610" spans="1:8" x14ac:dyDescent="0.25">
      <c r="A28610" s="1"/>
      <c r="B28610" s="1" t="s">
        <v>7328</v>
      </c>
      <c r="C28610" s="1" t="s">
        <v>7329</v>
      </c>
      <c r="D28610" s="22" t="str">
        <f>HYPERLINK("https://rhld.insurance.arkansas.gov/NPILookup?Npi=1831110758","1831110758")</f>
        <v>1831110758</v>
      </c>
      <c r="E28610" s="1" t="s">
        <v>2080</v>
      </c>
      <c r="F28610" s="2"/>
      <c r="G28610" s="2"/>
      <c r="H28610" s="2"/>
    </row>
    <row r="28611" spans="1:8" x14ac:dyDescent="0.25">
      <c r="A28611" s="1"/>
      <c r="B28611" s="1" t="s">
        <v>7328</v>
      </c>
      <c r="C28611" s="1" t="s">
        <v>7329</v>
      </c>
      <c r="D28611" s="22" t="str">
        <f>HYPERLINK("https://rhld.insurance.arkansas.gov/NPILookup?Npi=1831137579","1831137579")</f>
        <v>1831137579</v>
      </c>
      <c r="E28611" s="1" t="s">
        <v>32374</v>
      </c>
      <c r="F28611" s="2"/>
      <c r="G28611" s="2"/>
      <c r="H28611" s="2"/>
    </row>
    <row r="28612" spans="1:8" x14ac:dyDescent="0.25">
      <c r="A28612" s="1"/>
      <c r="B28612" s="1" t="s">
        <v>7328</v>
      </c>
      <c r="C28612" s="1" t="s">
        <v>7329</v>
      </c>
      <c r="D28612" s="22" t="str">
        <f>HYPERLINK("https://rhld.insurance.arkansas.gov/NPILookup?Npi=1831140383","1831140383")</f>
        <v>1831140383</v>
      </c>
      <c r="E28612" s="1" t="s">
        <v>8129</v>
      </c>
      <c r="F28612" s="2"/>
      <c r="G28612" s="2"/>
      <c r="H28612" s="2"/>
    </row>
    <row r="28613" spans="1:8" x14ac:dyDescent="0.25">
      <c r="A28613" s="1"/>
      <c r="B28613" s="1" t="s">
        <v>7328</v>
      </c>
      <c r="C28613" s="1" t="s">
        <v>7329</v>
      </c>
      <c r="D28613" s="22" t="str">
        <f>HYPERLINK("https://rhld.insurance.arkansas.gov/NPILookup?Npi=1831145911","1831145911")</f>
        <v>1831145911</v>
      </c>
      <c r="E28613" s="1" t="s">
        <v>3044</v>
      </c>
      <c r="F28613" s="2"/>
      <c r="G28613" s="2"/>
      <c r="H28613" s="2"/>
    </row>
    <row r="28614" spans="1:8" x14ac:dyDescent="0.25">
      <c r="A28614" s="1"/>
      <c r="B28614" s="1" t="s">
        <v>7328</v>
      </c>
      <c r="C28614" s="1" t="s">
        <v>7329</v>
      </c>
      <c r="D28614" s="22" t="str">
        <f>HYPERLINK("https://rhld.insurance.arkansas.gov/NPILookup?Npi=1831149764","1831149764")</f>
        <v>1831149764</v>
      </c>
      <c r="E28614" s="1" t="s">
        <v>17921</v>
      </c>
      <c r="F28614" s="2"/>
      <c r="G28614" s="2"/>
      <c r="H28614" s="2"/>
    </row>
    <row r="28615" spans="1:8" x14ac:dyDescent="0.25">
      <c r="A28615" s="1"/>
      <c r="B28615" s="1" t="s">
        <v>7328</v>
      </c>
      <c r="C28615" s="1" t="s">
        <v>7329</v>
      </c>
      <c r="D28615" s="22" t="str">
        <f>HYPERLINK("https://rhld.insurance.arkansas.gov/NPILookup?Npi=1831154343","1831154343")</f>
        <v>1831154343</v>
      </c>
      <c r="E28615" s="1" t="s">
        <v>2081</v>
      </c>
      <c r="F28615" s="2"/>
      <c r="G28615" s="2"/>
      <c r="H28615" s="2"/>
    </row>
    <row r="28616" spans="1:8" x14ac:dyDescent="0.25">
      <c r="A28616" s="1"/>
      <c r="B28616" s="1" t="s">
        <v>7328</v>
      </c>
      <c r="C28616" s="1" t="s">
        <v>7329</v>
      </c>
      <c r="D28616" s="22" t="str">
        <f>HYPERLINK("https://rhld.insurance.arkansas.gov/NPILookup?Npi=1831157858","1831157858")</f>
        <v>1831157858</v>
      </c>
      <c r="E28616" s="1" t="s">
        <v>28822</v>
      </c>
      <c r="F28616" s="2"/>
      <c r="G28616" s="2"/>
      <c r="H28616" s="2"/>
    </row>
    <row r="28617" spans="1:8" x14ac:dyDescent="0.25">
      <c r="A28617" s="1"/>
      <c r="B28617" s="1" t="s">
        <v>7328</v>
      </c>
      <c r="C28617" s="1" t="s">
        <v>7329</v>
      </c>
      <c r="D28617" s="22" t="str">
        <f>HYPERLINK("https://rhld.insurance.arkansas.gov/NPILookup?Npi=1831158302","1831158302")</f>
        <v>1831158302</v>
      </c>
      <c r="E28617" s="1" t="s">
        <v>8130</v>
      </c>
      <c r="F28617" s="2"/>
      <c r="G28617" s="2"/>
      <c r="H28617" s="2"/>
    </row>
    <row r="28618" spans="1:8" x14ac:dyDescent="0.25">
      <c r="A28618" s="1"/>
      <c r="B28618" s="1" t="s">
        <v>7328</v>
      </c>
      <c r="C28618" s="1" t="s">
        <v>7329</v>
      </c>
      <c r="D28618" s="22" t="str">
        <f>HYPERLINK("https://rhld.insurance.arkansas.gov/NPILookup?Npi=1831159185","1831159185")</f>
        <v>1831159185</v>
      </c>
      <c r="E28618" s="1" t="s">
        <v>28823</v>
      </c>
      <c r="F28618" s="2"/>
      <c r="G28618" s="2"/>
      <c r="H28618" s="2"/>
    </row>
    <row r="28619" spans="1:8" x14ac:dyDescent="0.25">
      <c r="A28619" s="1"/>
      <c r="B28619" s="1" t="s">
        <v>7328</v>
      </c>
      <c r="C28619" s="1" t="s">
        <v>7329</v>
      </c>
      <c r="D28619" s="22" t="str">
        <f>HYPERLINK("https://rhld.insurance.arkansas.gov/NPILookup?Npi=1831161058","1831161058")</f>
        <v>1831161058</v>
      </c>
      <c r="E28619" s="1" t="s">
        <v>13674</v>
      </c>
      <c r="F28619" s="2"/>
      <c r="G28619" s="2"/>
      <c r="H28619" s="2"/>
    </row>
    <row r="28620" spans="1:8" x14ac:dyDescent="0.25">
      <c r="A28620" s="1"/>
      <c r="B28620" s="1" t="s">
        <v>7328</v>
      </c>
      <c r="C28620" s="1" t="s">
        <v>7329</v>
      </c>
      <c r="D28620" s="22" t="str">
        <f>HYPERLINK("https://rhld.insurance.arkansas.gov/NPILookup?Npi=1831166677","1831166677")</f>
        <v>1831166677</v>
      </c>
      <c r="E28620" s="1" t="s">
        <v>894</v>
      </c>
      <c r="F28620" s="2"/>
      <c r="G28620" s="2"/>
      <c r="H28620" s="2"/>
    </row>
    <row r="28621" spans="1:8" x14ac:dyDescent="0.25">
      <c r="A28621" s="1"/>
      <c r="B28621" s="1" t="s">
        <v>7328</v>
      </c>
      <c r="C28621" s="1" t="s">
        <v>7329</v>
      </c>
      <c r="D28621" s="22" t="str">
        <f>HYPERLINK("https://rhld.insurance.arkansas.gov/NPILookup?Npi=1831178524","1831178524")</f>
        <v>1831178524</v>
      </c>
      <c r="E28621" s="1" t="s">
        <v>782</v>
      </c>
      <c r="F28621" s="2"/>
      <c r="G28621" s="2"/>
      <c r="H28621" s="2"/>
    </row>
    <row r="28622" spans="1:8" x14ac:dyDescent="0.25">
      <c r="A28622" s="1"/>
      <c r="B28622" s="1" t="s">
        <v>7328</v>
      </c>
      <c r="C28622" s="1" t="s">
        <v>7329</v>
      </c>
      <c r="D28622" s="22" t="str">
        <f>HYPERLINK("https://rhld.insurance.arkansas.gov/NPILookup?Npi=1831179779","1831179779")</f>
        <v>1831179779</v>
      </c>
      <c r="E28622" s="1" t="s">
        <v>2417</v>
      </c>
      <c r="F28622" s="2"/>
      <c r="G28622" s="2"/>
      <c r="H28622" s="2"/>
    </row>
    <row r="28623" spans="1:8" x14ac:dyDescent="0.25">
      <c r="A28623" s="1"/>
      <c r="B28623" s="1" t="s">
        <v>7328</v>
      </c>
      <c r="C28623" s="1" t="s">
        <v>7329</v>
      </c>
      <c r="D28623" s="22" t="str">
        <f>HYPERLINK("https://rhld.insurance.arkansas.gov/NPILookup?Npi=1831182526","1831182526")</f>
        <v>1831182526</v>
      </c>
      <c r="E28623" s="1" t="s">
        <v>3045</v>
      </c>
      <c r="F28623" s="2"/>
      <c r="G28623" s="2"/>
      <c r="H28623" s="2"/>
    </row>
    <row r="28624" spans="1:8" x14ac:dyDescent="0.25">
      <c r="A28624" s="1"/>
      <c r="B28624" s="1" t="s">
        <v>7328</v>
      </c>
      <c r="C28624" s="1" t="s">
        <v>7329</v>
      </c>
      <c r="D28624" s="22" t="str">
        <f>HYPERLINK("https://rhld.insurance.arkansas.gov/NPILookup?Npi=1831184068","1831184068")</f>
        <v>1831184068</v>
      </c>
      <c r="E28624" s="1" t="s">
        <v>17923</v>
      </c>
      <c r="F28624" s="2"/>
      <c r="G28624" s="2"/>
      <c r="H28624" s="2"/>
    </row>
    <row r="28625" spans="1:8" x14ac:dyDescent="0.25">
      <c r="A28625" s="1"/>
      <c r="B28625" s="1" t="s">
        <v>7328</v>
      </c>
      <c r="C28625" s="1" t="s">
        <v>7329</v>
      </c>
      <c r="D28625" s="22" t="str">
        <f>HYPERLINK("https://rhld.insurance.arkansas.gov/NPILookup?Npi=1831184837","1831184837")</f>
        <v>1831184837</v>
      </c>
      <c r="E28625" s="1" t="s">
        <v>2082</v>
      </c>
      <c r="F28625" s="2"/>
      <c r="G28625" s="2"/>
      <c r="H28625" s="2"/>
    </row>
    <row r="28626" spans="1:8" x14ac:dyDescent="0.25">
      <c r="A28626" s="1"/>
      <c r="B28626" s="1" t="s">
        <v>7328</v>
      </c>
      <c r="C28626" s="1" t="s">
        <v>7329</v>
      </c>
      <c r="D28626" s="22" t="str">
        <f>HYPERLINK("https://rhld.insurance.arkansas.gov/NPILookup?Npi=1831187699","1831187699")</f>
        <v>1831187699</v>
      </c>
      <c r="E28626" s="1" t="s">
        <v>28824</v>
      </c>
      <c r="F28626" s="2"/>
      <c r="G28626" s="2"/>
      <c r="H28626" s="2"/>
    </row>
    <row r="28627" spans="1:8" x14ac:dyDescent="0.25">
      <c r="A28627" s="1"/>
      <c r="B28627" s="1" t="s">
        <v>7328</v>
      </c>
      <c r="C28627" s="1" t="s">
        <v>7329</v>
      </c>
      <c r="D28627" s="22" t="str">
        <f>HYPERLINK("https://rhld.insurance.arkansas.gov/NPILookup?Npi=1831190339","1831190339")</f>
        <v>1831190339</v>
      </c>
      <c r="E28627" s="1" t="s">
        <v>28825</v>
      </c>
      <c r="F28627" s="2"/>
      <c r="G28627" s="2"/>
      <c r="H28627" s="2"/>
    </row>
    <row r="28628" spans="1:8" x14ac:dyDescent="0.25">
      <c r="A28628" s="1"/>
      <c r="B28628" s="1" t="s">
        <v>7328</v>
      </c>
      <c r="C28628" s="1" t="s">
        <v>7329</v>
      </c>
      <c r="D28628" s="22" t="str">
        <f>HYPERLINK("https://rhld.insurance.arkansas.gov/NPILookup?Npi=1831263490","1831263490")</f>
        <v>1831263490</v>
      </c>
      <c r="E28628" s="1" t="s">
        <v>28826</v>
      </c>
      <c r="F28628" s="2"/>
      <c r="G28628" s="2"/>
      <c r="H28628" s="2"/>
    </row>
    <row r="28629" spans="1:8" x14ac:dyDescent="0.25">
      <c r="A28629" s="1"/>
      <c r="B28629" s="1" t="s">
        <v>7328</v>
      </c>
      <c r="C28629" s="1" t="s">
        <v>7329</v>
      </c>
      <c r="D28629" s="22" t="str">
        <f>HYPERLINK("https://rhld.insurance.arkansas.gov/NPILookup?Npi=1831271493","1831271493")</f>
        <v>1831271493</v>
      </c>
      <c r="E28629" s="1" t="s">
        <v>169</v>
      </c>
      <c r="F28629" s="2"/>
      <c r="G28629" s="2"/>
      <c r="H28629" s="2"/>
    </row>
    <row r="28630" spans="1:8" x14ac:dyDescent="0.25">
      <c r="A28630" s="1"/>
      <c r="B28630" s="1" t="s">
        <v>7328</v>
      </c>
      <c r="C28630" s="1" t="s">
        <v>7329</v>
      </c>
      <c r="D28630" s="22" t="str">
        <f>HYPERLINK("https://rhld.insurance.arkansas.gov/NPILookup?Npi=1831272319","1831272319")</f>
        <v>1831272319</v>
      </c>
      <c r="E28630" s="1" t="s">
        <v>28827</v>
      </c>
      <c r="F28630" s="2"/>
      <c r="G28630" s="2"/>
      <c r="H28630" s="2"/>
    </row>
    <row r="28631" spans="1:8" x14ac:dyDescent="0.25">
      <c r="A28631" s="1"/>
      <c r="B28631" s="1" t="s">
        <v>7328</v>
      </c>
      <c r="C28631" s="1" t="s">
        <v>7329</v>
      </c>
      <c r="D28631" s="22" t="str">
        <f>HYPERLINK("https://rhld.insurance.arkansas.gov/NPILookup?Npi=1831280197","1831280197")</f>
        <v>1831280197</v>
      </c>
      <c r="E28631" s="1" t="s">
        <v>238</v>
      </c>
      <c r="F28631" s="2"/>
      <c r="G28631" s="2"/>
      <c r="H28631" s="2"/>
    </row>
    <row r="28632" spans="1:8" x14ac:dyDescent="0.25">
      <c r="A28632" s="1"/>
      <c r="B28632" s="1" t="s">
        <v>7328</v>
      </c>
      <c r="C28632" s="1" t="s">
        <v>7329</v>
      </c>
      <c r="D28632" s="22" t="str">
        <f>HYPERLINK("https://rhld.insurance.arkansas.gov/NPILookup?Npi=1831291533","1831291533")</f>
        <v>1831291533</v>
      </c>
      <c r="E28632" s="1" t="s">
        <v>28828</v>
      </c>
      <c r="F28632" s="2"/>
      <c r="G28632" s="2"/>
      <c r="H28632" s="2"/>
    </row>
    <row r="28633" spans="1:8" x14ac:dyDescent="0.25">
      <c r="A28633" s="1"/>
      <c r="B28633" s="1" t="s">
        <v>7328</v>
      </c>
      <c r="C28633" s="1" t="s">
        <v>7329</v>
      </c>
      <c r="D28633" s="22" t="str">
        <f>HYPERLINK("https://rhld.insurance.arkansas.gov/NPILookup?Npi=1831318286","1831318286")</f>
        <v>1831318286</v>
      </c>
      <c r="E28633" s="1" t="s">
        <v>13675</v>
      </c>
      <c r="F28633" s="2"/>
      <c r="G28633" s="2"/>
      <c r="H28633" s="2"/>
    </row>
    <row r="28634" spans="1:8" x14ac:dyDescent="0.25">
      <c r="A28634" s="1"/>
      <c r="B28634" s="1" t="s">
        <v>7328</v>
      </c>
      <c r="C28634" s="1" t="s">
        <v>7329</v>
      </c>
      <c r="D28634" s="22" t="str">
        <f>HYPERLINK("https://rhld.insurance.arkansas.gov/NPILookup?Npi=1831346980","1831346980")</f>
        <v>1831346980</v>
      </c>
      <c r="E28634" s="1" t="s">
        <v>8131</v>
      </c>
      <c r="F28634" s="2"/>
      <c r="G28634" s="2"/>
      <c r="H28634" s="2"/>
    </row>
    <row r="28635" spans="1:8" x14ac:dyDescent="0.25">
      <c r="A28635" s="1"/>
      <c r="B28635" s="1" t="s">
        <v>7328</v>
      </c>
      <c r="C28635" s="1" t="s">
        <v>7329</v>
      </c>
      <c r="D28635" s="22" t="str">
        <f>HYPERLINK("https://rhld.insurance.arkansas.gov/NPILookup?Npi=1831349018","1831349018")</f>
        <v>1831349018</v>
      </c>
      <c r="E28635" s="1" t="s">
        <v>13676</v>
      </c>
      <c r="F28635" s="2"/>
      <c r="G28635" s="2"/>
      <c r="H28635" s="2"/>
    </row>
    <row r="28636" spans="1:8" x14ac:dyDescent="0.25">
      <c r="A28636" s="1"/>
      <c r="B28636" s="1" t="s">
        <v>7328</v>
      </c>
      <c r="C28636" s="1" t="s">
        <v>7329</v>
      </c>
      <c r="D28636" s="22" t="str">
        <f>HYPERLINK("https://rhld.insurance.arkansas.gov/NPILookup?Npi=1831354935","1831354935")</f>
        <v>1831354935</v>
      </c>
      <c r="E28636" s="1" t="s">
        <v>28829</v>
      </c>
      <c r="F28636" s="2"/>
      <c r="G28636" s="2"/>
      <c r="H28636" s="2"/>
    </row>
    <row r="28637" spans="1:8" x14ac:dyDescent="0.25">
      <c r="A28637" s="1"/>
      <c r="B28637" s="1" t="s">
        <v>7328</v>
      </c>
      <c r="C28637" s="1" t="s">
        <v>7329</v>
      </c>
      <c r="D28637" s="22" t="str">
        <f>HYPERLINK("https://rhld.insurance.arkansas.gov/NPILookup?Npi=1831355064","1831355064")</f>
        <v>1831355064</v>
      </c>
      <c r="E28637" s="1" t="s">
        <v>28830</v>
      </c>
      <c r="F28637" s="2"/>
      <c r="G28637" s="2"/>
      <c r="H28637" s="2"/>
    </row>
    <row r="28638" spans="1:8" x14ac:dyDescent="0.25">
      <c r="A28638" s="1"/>
      <c r="B28638" s="1" t="s">
        <v>7328</v>
      </c>
      <c r="C28638" s="1" t="s">
        <v>7329</v>
      </c>
      <c r="D28638" s="22" t="str">
        <f>HYPERLINK("https://rhld.insurance.arkansas.gov/NPILookup?Npi=1831359082","1831359082")</f>
        <v>1831359082</v>
      </c>
      <c r="E28638" s="1" t="s">
        <v>17924</v>
      </c>
      <c r="F28638" s="2"/>
      <c r="G28638" s="2"/>
      <c r="H28638" s="2"/>
    </row>
    <row r="28639" spans="1:8" x14ac:dyDescent="0.25">
      <c r="A28639" s="1"/>
      <c r="B28639" s="1" t="s">
        <v>7328</v>
      </c>
      <c r="C28639" s="1" t="s">
        <v>7329</v>
      </c>
      <c r="D28639" s="22" t="str">
        <f>HYPERLINK("https://rhld.insurance.arkansas.gov/NPILookup?Npi=1831385772","1831385772")</f>
        <v>1831385772</v>
      </c>
      <c r="E28639" s="1" t="s">
        <v>3163</v>
      </c>
      <c r="F28639" s="2"/>
      <c r="G28639" s="2"/>
      <c r="H28639" s="2"/>
    </row>
    <row r="28640" spans="1:8" x14ac:dyDescent="0.25">
      <c r="A28640" s="1"/>
      <c r="B28640" s="1" t="s">
        <v>7328</v>
      </c>
      <c r="C28640" s="1" t="s">
        <v>7329</v>
      </c>
      <c r="D28640" s="22" t="str">
        <f>HYPERLINK("https://rhld.insurance.arkansas.gov/NPILookup?Npi=1831394071","1831394071")</f>
        <v>1831394071</v>
      </c>
      <c r="E28640" s="1" t="s">
        <v>13677</v>
      </c>
      <c r="F28640" s="2"/>
      <c r="G28640" s="2"/>
      <c r="H28640" s="2"/>
    </row>
    <row r="28641" spans="1:8" x14ac:dyDescent="0.25">
      <c r="A28641" s="1"/>
      <c r="B28641" s="1" t="s">
        <v>7328</v>
      </c>
      <c r="C28641" s="1" t="s">
        <v>7329</v>
      </c>
      <c r="D28641" s="22" t="str">
        <f>HYPERLINK("https://rhld.insurance.arkansas.gov/NPILookup?Npi=1831400852","1831400852")</f>
        <v>1831400852</v>
      </c>
      <c r="E28641" s="1" t="s">
        <v>17925</v>
      </c>
      <c r="F28641" s="2"/>
      <c r="G28641" s="2"/>
      <c r="H28641" s="2"/>
    </row>
    <row r="28642" spans="1:8" x14ac:dyDescent="0.25">
      <c r="A28642" s="1"/>
      <c r="B28642" s="1" t="s">
        <v>7328</v>
      </c>
      <c r="C28642" s="1" t="s">
        <v>7329</v>
      </c>
      <c r="D28642" s="22" t="str">
        <f>HYPERLINK("https://rhld.insurance.arkansas.gov/NPILookup?Npi=1831409135","1831409135")</f>
        <v>1831409135</v>
      </c>
      <c r="E28642" s="1" t="s">
        <v>28831</v>
      </c>
      <c r="F28642" s="2"/>
      <c r="G28642" s="2"/>
      <c r="H28642" s="2"/>
    </row>
    <row r="28643" spans="1:8" x14ac:dyDescent="0.25">
      <c r="A28643" s="1"/>
      <c r="B28643" s="1" t="s">
        <v>7328</v>
      </c>
      <c r="C28643" s="1" t="s">
        <v>7329</v>
      </c>
      <c r="D28643" s="22" t="str">
        <f>HYPERLINK("https://rhld.insurance.arkansas.gov/NPILookup?Npi=1831424266","1831424266")</f>
        <v>1831424266</v>
      </c>
      <c r="E28643" s="1" t="s">
        <v>1109</v>
      </c>
      <c r="F28643" s="2"/>
      <c r="G28643" s="2"/>
      <c r="H28643" s="2"/>
    </row>
    <row r="28644" spans="1:8" x14ac:dyDescent="0.25">
      <c r="A28644" s="1"/>
      <c r="B28644" s="1" t="s">
        <v>7328</v>
      </c>
      <c r="C28644" s="1" t="s">
        <v>7329</v>
      </c>
      <c r="D28644" s="22" t="str">
        <f>HYPERLINK("https://rhld.insurance.arkansas.gov/NPILookup?Npi=1831436765","1831436765")</f>
        <v>1831436765</v>
      </c>
      <c r="E28644" s="1" t="s">
        <v>28832</v>
      </c>
      <c r="F28644" s="2"/>
      <c r="G28644" s="2"/>
      <c r="H28644" s="2"/>
    </row>
    <row r="28645" spans="1:8" x14ac:dyDescent="0.25">
      <c r="A28645" s="1"/>
      <c r="B28645" s="1" t="s">
        <v>7328</v>
      </c>
      <c r="C28645" s="1" t="s">
        <v>7329</v>
      </c>
      <c r="D28645" s="22" t="str">
        <f>HYPERLINK("https://rhld.insurance.arkansas.gov/NPILookup?Npi=1831439116","1831439116")</f>
        <v>1831439116</v>
      </c>
      <c r="E28645" s="1" t="s">
        <v>13678</v>
      </c>
      <c r="F28645" s="2"/>
      <c r="G28645" s="2"/>
      <c r="H28645" s="2"/>
    </row>
    <row r="28646" spans="1:8" x14ac:dyDescent="0.25">
      <c r="A28646" s="1"/>
      <c r="B28646" s="1" t="s">
        <v>7328</v>
      </c>
      <c r="C28646" s="1" t="s">
        <v>7329</v>
      </c>
      <c r="D28646" s="22" t="str">
        <f>HYPERLINK("https://rhld.insurance.arkansas.gov/NPILookup?Npi=1831439595","1831439595")</f>
        <v>1831439595</v>
      </c>
      <c r="E28646" s="1" t="s">
        <v>28833</v>
      </c>
      <c r="F28646" s="2"/>
      <c r="G28646" s="2"/>
      <c r="H28646" s="2"/>
    </row>
    <row r="28647" spans="1:8" x14ac:dyDescent="0.25">
      <c r="A28647" s="1"/>
      <c r="B28647" s="1" t="s">
        <v>7328</v>
      </c>
      <c r="C28647" s="1" t="s">
        <v>7329</v>
      </c>
      <c r="D28647" s="22" t="str">
        <f>HYPERLINK("https://rhld.insurance.arkansas.gov/NPILookup?Npi=1831453935","1831453935")</f>
        <v>1831453935</v>
      </c>
      <c r="E28647" s="1" t="s">
        <v>28835</v>
      </c>
      <c r="F28647" s="2"/>
      <c r="G28647" s="2"/>
      <c r="H28647" s="2"/>
    </row>
    <row r="28648" spans="1:8" x14ac:dyDescent="0.25">
      <c r="A28648" s="1"/>
      <c r="B28648" s="1" t="s">
        <v>7328</v>
      </c>
      <c r="C28648" s="1" t="s">
        <v>7329</v>
      </c>
      <c r="D28648" s="22" t="str">
        <f>HYPERLINK("https://rhld.insurance.arkansas.gov/NPILookup?Npi=1831474485","1831474485")</f>
        <v>1831474485</v>
      </c>
      <c r="E28648" s="1" t="s">
        <v>28836</v>
      </c>
      <c r="F28648" s="2"/>
      <c r="G28648" s="2"/>
      <c r="H28648" s="2"/>
    </row>
    <row r="28649" spans="1:8" x14ac:dyDescent="0.25">
      <c r="A28649" s="1"/>
      <c r="B28649" s="1" t="s">
        <v>7328</v>
      </c>
      <c r="C28649" s="1" t="s">
        <v>7329</v>
      </c>
      <c r="D28649" s="22" t="str">
        <f>HYPERLINK("https://rhld.insurance.arkansas.gov/NPILookup?Npi=1831486661","1831486661")</f>
        <v>1831486661</v>
      </c>
      <c r="E28649" s="1" t="s">
        <v>8132</v>
      </c>
      <c r="F28649" s="2"/>
      <c r="G28649" s="2"/>
      <c r="H28649" s="2"/>
    </row>
    <row r="28650" spans="1:8" x14ac:dyDescent="0.25">
      <c r="A28650" s="1"/>
      <c r="B28650" s="1" t="s">
        <v>7328</v>
      </c>
      <c r="C28650" s="1" t="s">
        <v>7329</v>
      </c>
      <c r="D28650" s="22" t="str">
        <f>HYPERLINK("https://rhld.insurance.arkansas.gov/NPILookup?Npi=1831504638","1831504638")</f>
        <v>1831504638</v>
      </c>
      <c r="E28650" s="1" t="s">
        <v>28837</v>
      </c>
      <c r="F28650" s="2"/>
      <c r="G28650" s="2"/>
      <c r="H28650" s="2"/>
    </row>
    <row r="28651" spans="1:8" x14ac:dyDescent="0.25">
      <c r="A28651" s="1"/>
      <c r="B28651" s="1" t="s">
        <v>7328</v>
      </c>
      <c r="C28651" s="1" t="s">
        <v>7329</v>
      </c>
      <c r="D28651" s="22" t="str">
        <f>HYPERLINK("https://rhld.insurance.arkansas.gov/NPILookup?Npi=1831505742","1831505742")</f>
        <v>1831505742</v>
      </c>
      <c r="E28651" s="1" t="s">
        <v>28838</v>
      </c>
      <c r="F28651" s="2"/>
      <c r="G28651" s="2"/>
      <c r="H28651" s="2"/>
    </row>
    <row r="28652" spans="1:8" x14ac:dyDescent="0.25">
      <c r="A28652" s="1"/>
      <c r="B28652" s="1" t="s">
        <v>7328</v>
      </c>
      <c r="C28652" s="1" t="s">
        <v>7329</v>
      </c>
      <c r="D28652" s="22" t="str">
        <f>HYPERLINK("https://rhld.insurance.arkansas.gov/NPILookup?Npi=1831514306","1831514306")</f>
        <v>1831514306</v>
      </c>
      <c r="E28652" s="1" t="s">
        <v>13679</v>
      </c>
      <c r="F28652" s="2"/>
      <c r="G28652" s="2"/>
      <c r="H28652" s="2"/>
    </row>
    <row r="28653" spans="1:8" x14ac:dyDescent="0.25">
      <c r="A28653" s="1"/>
      <c r="B28653" s="1" t="s">
        <v>7328</v>
      </c>
      <c r="C28653" s="1" t="s">
        <v>7329</v>
      </c>
      <c r="D28653" s="22" t="str">
        <f>HYPERLINK("https://rhld.insurance.arkansas.gov/NPILookup?Npi=1831517184","1831517184")</f>
        <v>1831517184</v>
      </c>
      <c r="E28653" s="1" t="s">
        <v>2084</v>
      </c>
      <c r="F28653" s="2"/>
      <c r="G28653" s="2"/>
      <c r="H28653" s="2"/>
    </row>
    <row r="28654" spans="1:8" x14ac:dyDescent="0.25">
      <c r="A28654" s="1"/>
      <c r="B28654" s="1" t="s">
        <v>7328</v>
      </c>
      <c r="C28654" s="1" t="s">
        <v>7329</v>
      </c>
      <c r="D28654" s="22" t="str">
        <f>HYPERLINK("https://rhld.insurance.arkansas.gov/NPILookup?Npi=1831523620","1831523620")</f>
        <v>1831523620</v>
      </c>
      <c r="E28654" s="1" t="s">
        <v>28839</v>
      </c>
      <c r="F28654" s="2"/>
      <c r="G28654" s="2"/>
      <c r="H28654" s="2"/>
    </row>
    <row r="28655" spans="1:8" x14ac:dyDescent="0.25">
      <c r="A28655" s="1"/>
      <c r="B28655" s="1" t="s">
        <v>7328</v>
      </c>
      <c r="C28655" s="1" t="s">
        <v>7329</v>
      </c>
      <c r="D28655" s="22" t="str">
        <f>HYPERLINK("https://rhld.insurance.arkansas.gov/NPILookup?Npi=1831526615","1831526615")</f>
        <v>1831526615</v>
      </c>
      <c r="E28655" s="1" t="s">
        <v>28840</v>
      </c>
      <c r="F28655" s="2"/>
      <c r="G28655" s="2"/>
      <c r="H28655" s="2"/>
    </row>
    <row r="28656" spans="1:8" x14ac:dyDescent="0.25">
      <c r="A28656" s="1"/>
      <c r="B28656" s="1" t="s">
        <v>7328</v>
      </c>
      <c r="C28656" s="1" t="s">
        <v>7329</v>
      </c>
      <c r="D28656" s="22" t="str">
        <f>HYPERLINK("https://rhld.insurance.arkansas.gov/NPILookup?Npi=1831541051","1831541051")</f>
        <v>1831541051</v>
      </c>
      <c r="E28656" s="1" t="s">
        <v>28841</v>
      </c>
      <c r="F28656" s="2"/>
      <c r="G28656" s="2"/>
      <c r="H28656" s="2"/>
    </row>
    <row r="28657" spans="1:8" x14ac:dyDescent="0.25">
      <c r="A28657" s="1"/>
      <c r="B28657" s="1" t="s">
        <v>7328</v>
      </c>
      <c r="C28657" s="1" t="s">
        <v>7329</v>
      </c>
      <c r="D28657" s="22" t="str">
        <f>HYPERLINK("https://rhld.insurance.arkansas.gov/NPILookup?Npi=1831547421","1831547421")</f>
        <v>1831547421</v>
      </c>
      <c r="E28657" s="1" t="s">
        <v>28842</v>
      </c>
      <c r="F28657" s="2"/>
      <c r="G28657" s="2"/>
      <c r="H28657" s="2"/>
    </row>
    <row r="28658" spans="1:8" x14ac:dyDescent="0.25">
      <c r="A28658" s="1"/>
      <c r="B28658" s="1" t="s">
        <v>7328</v>
      </c>
      <c r="C28658" s="1" t="s">
        <v>7329</v>
      </c>
      <c r="D28658" s="22" t="str">
        <f>HYPERLINK("https://rhld.insurance.arkansas.gov/NPILookup?Npi=1831548270","1831548270")</f>
        <v>1831548270</v>
      </c>
      <c r="E28658" s="1" t="s">
        <v>28843</v>
      </c>
      <c r="F28658" s="2"/>
      <c r="G28658" s="2"/>
      <c r="H28658" s="2"/>
    </row>
    <row r="28659" spans="1:8" x14ac:dyDescent="0.25">
      <c r="A28659" s="1"/>
      <c r="B28659" s="1" t="s">
        <v>7328</v>
      </c>
      <c r="C28659" s="1" t="s">
        <v>7329</v>
      </c>
      <c r="D28659" s="22" t="str">
        <f>HYPERLINK("https://rhld.insurance.arkansas.gov/NPILookup?Npi=1831561828","1831561828")</f>
        <v>1831561828</v>
      </c>
      <c r="E28659" s="1" t="s">
        <v>28844</v>
      </c>
      <c r="F28659" s="2"/>
      <c r="G28659" s="2"/>
      <c r="H28659" s="2"/>
    </row>
    <row r="28660" spans="1:8" x14ac:dyDescent="0.25">
      <c r="A28660" s="1"/>
      <c r="B28660" s="1" t="s">
        <v>7328</v>
      </c>
      <c r="C28660" s="1" t="s">
        <v>7329</v>
      </c>
      <c r="D28660" s="22" t="str">
        <f>HYPERLINK("https://rhld.insurance.arkansas.gov/NPILookup?Npi=1831573468","1831573468")</f>
        <v>1831573468</v>
      </c>
      <c r="E28660" s="1" t="s">
        <v>28845</v>
      </c>
      <c r="F28660" s="2"/>
      <c r="G28660" s="2"/>
      <c r="H28660" s="2"/>
    </row>
    <row r="28661" spans="1:8" x14ac:dyDescent="0.25">
      <c r="A28661" s="1"/>
      <c r="B28661" s="1" t="s">
        <v>7328</v>
      </c>
      <c r="C28661" s="1" t="s">
        <v>7329</v>
      </c>
      <c r="D28661" s="22" t="str">
        <f>HYPERLINK("https://rhld.insurance.arkansas.gov/NPILookup?Npi=1831580018","1831580018")</f>
        <v>1831580018</v>
      </c>
      <c r="E28661" s="1" t="s">
        <v>8133</v>
      </c>
      <c r="F28661" s="2"/>
      <c r="G28661" s="2"/>
      <c r="H28661" s="2"/>
    </row>
    <row r="28662" spans="1:8" x14ac:dyDescent="0.25">
      <c r="A28662" s="1"/>
      <c r="B28662" s="1" t="s">
        <v>7328</v>
      </c>
      <c r="C28662" s="1" t="s">
        <v>7329</v>
      </c>
      <c r="D28662" s="22" t="str">
        <f>HYPERLINK("https://rhld.insurance.arkansas.gov/NPILookup?Npi=1831589720","1831589720")</f>
        <v>1831589720</v>
      </c>
      <c r="E28662" s="1" t="s">
        <v>774</v>
      </c>
      <c r="F28662" s="2"/>
      <c r="G28662" s="2"/>
      <c r="H28662" s="2"/>
    </row>
    <row r="28663" spans="1:8" x14ac:dyDescent="0.25">
      <c r="A28663" s="1"/>
      <c r="B28663" s="1" t="s">
        <v>7328</v>
      </c>
      <c r="C28663" s="1" t="s">
        <v>7329</v>
      </c>
      <c r="D28663" s="22" t="str">
        <f>HYPERLINK("https://rhld.insurance.arkansas.gov/NPILookup?Npi=1831602135","1831602135")</f>
        <v>1831602135</v>
      </c>
      <c r="E28663" s="1" t="s">
        <v>13680</v>
      </c>
      <c r="F28663" s="2"/>
      <c r="G28663" s="2"/>
      <c r="H28663" s="2"/>
    </row>
    <row r="28664" spans="1:8" x14ac:dyDescent="0.25">
      <c r="A28664" s="1"/>
      <c r="B28664" s="1" t="s">
        <v>7328</v>
      </c>
      <c r="C28664" s="1" t="s">
        <v>7329</v>
      </c>
      <c r="D28664" s="22" t="str">
        <f>HYPERLINK("https://rhld.insurance.arkansas.gov/NPILookup?Npi=1831610765","1831610765")</f>
        <v>1831610765</v>
      </c>
      <c r="E28664" s="1" t="s">
        <v>28846</v>
      </c>
      <c r="F28664" s="2"/>
      <c r="G28664" s="2"/>
      <c r="H28664" s="2"/>
    </row>
    <row r="28665" spans="1:8" x14ac:dyDescent="0.25">
      <c r="A28665" s="1"/>
      <c r="B28665" s="1" t="s">
        <v>7328</v>
      </c>
      <c r="C28665" s="1" t="s">
        <v>7329</v>
      </c>
      <c r="D28665" s="22" t="str">
        <f>HYPERLINK("https://rhld.insurance.arkansas.gov/NPILookup?Npi=1831620434","1831620434")</f>
        <v>1831620434</v>
      </c>
      <c r="E28665" s="1" t="s">
        <v>2085</v>
      </c>
      <c r="F28665" s="2"/>
      <c r="G28665" s="2"/>
      <c r="H28665" s="2"/>
    </row>
    <row r="28666" spans="1:8" x14ac:dyDescent="0.25">
      <c r="A28666" s="1"/>
      <c r="B28666" s="1" t="s">
        <v>7328</v>
      </c>
      <c r="C28666" s="1" t="s">
        <v>7329</v>
      </c>
      <c r="D28666" s="22" t="str">
        <f>HYPERLINK("https://rhld.insurance.arkansas.gov/NPILookup?Npi=1831620509","1831620509")</f>
        <v>1831620509</v>
      </c>
      <c r="E28666" s="1" t="s">
        <v>3046</v>
      </c>
      <c r="F28666" s="2"/>
      <c r="G28666" s="2"/>
      <c r="H28666" s="2"/>
    </row>
    <row r="28667" spans="1:8" x14ac:dyDescent="0.25">
      <c r="A28667" s="1"/>
      <c r="B28667" s="1" t="s">
        <v>7328</v>
      </c>
      <c r="C28667" s="1" t="s">
        <v>7329</v>
      </c>
      <c r="D28667" s="22" t="str">
        <f>HYPERLINK("https://rhld.insurance.arkansas.gov/NPILookup?Npi=1831621952","1831621952")</f>
        <v>1831621952</v>
      </c>
      <c r="E28667" s="1" t="s">
        <v>2086</v>
      </c>
      <c r="F28667" s="2"/>
      <c r="G28667" s="2"/>
      <c r="H28667" s="2"/>
    </row>
    <row r="28668" spans="1:8" x14ac:dyDescent="0.25">
      <c r="A28668" s="1"/>
      <c r="B28668" s="1" t="s">
        <v>7328</v>
      </c>
      <c r="C28668" s="1" t="s">
        <v>7329</v>
      </c>
      <c r="D28668" s="22" t="str">
        <f>HYPERLINK("https://rhld.insurance.arkansas.gov/NPILookup?Npi=1831635093","1831635093")</f>
        <v>1831635093</v>
      </c>
      <c r="E28668" s="1" t="s">
        <v>13681</v>
      </c>
      <c r="F28668" s="2"/>
      <c r="G28668" s="2"/>
      <c r="H28668" s="2"/>
    </row>
    <row r="28669" spans="1:8" x14ac:dyDescent="0.25">
      <c r="A28669" s="1"/>
      <c r="B28669" s="1" t="s">
        <v>7328</v>
      </c>
      <c r="C28669" s="1" t="s">
        <v>7329</v>
      </c>
      <c r="D28669" s="22" t="str">
        <f>HYPERLINK("https://rhld.insurance.arkansas.gov/NPILookup?Npi=1831637412","1831637412")</f>
        <v>1831637412</v>
      </c>
      <c r="E28669" s="1" t="s">
        <v>3164</v>
      </c>
      <c r="F28669" s="2"/>
      <c r="G28669" s="2"/>
      <c r="H28669" s="2"/>
    </row>
    <row r="28670" spans="1:8" x14ac:dyDescent="0.25">
      <c r="A28670" s="1"/>
      <c r="B28670" s="1" t="s">
        <v>7328</v>
      </c>
      <c r="C28670" s="1" t="s">
        <v>7329</v>
      </c>
      <c r="D28670" s="22" t="str">
        <f>HYPERLINK("https://rhld.insurance.arkansas.gov/NPILookup?Npi=1831662246","1831662246")</f>
        <v>1831662246</v>
      </c>
      <c r="E28670" s="1" t="s">
        <v>13682</v>
      </c>
      <c r="F28670" s="2"/>
      <c r="G28670" s="2"/>
      <c r="H28670" s="2"/>
    </row>
    <row r="28671" spans="1:8" x14ac:dyDescent="0.25">
      <c r="A28671" s="1"/>
      <c r="B28671" s="1" t="s">
        <v>7328</v>
      </c>
      <c r="C28671" s="1" t="s">
        <v>7329</v>
      </c>
      <c r="D28671" s="22" t="str">
        <f>HYPERLINK("https://rhld.insurance.arkansas.gov/NPILookup?Npi=1831665744","1831665744")</f>
        <v>1831665744</v>
      </c>
      <c r="E28671" s="1" t="s">
        <v>28847</v>
      </c>
      <c r="F28671" s="2"/>
      <c r="G28671" s="2"/>
      <c r="H28671" s="2"/>
    </row>
    <row r="28672" spans="1:8" x14ac:dyDescent="0.25">
      <c r="A28672" s="1"/>
      <c r="B28672" s="1" t="s">
        <v>7328</v>
      </c>
      <c r="C28672" s="1" t="s">
        <v>7329</v>
      </c>
      <c r="D28672" s="22" t="str">
        <f>HYPERLINK("https://rhld.insurance.arkansas.gov/NPILookup?Npi=1831700657","1831700657")</f>
        <v>1831700657</v>
      </c>
      <c r="E28672" s="1" t="s">
        <v>23469</v>
      </c>
      <c r="F28672" s="2"/>
      <c r="G28672" s="2"/>
      <c r="H28672" s="2"/>
    </row>
    <row r="28673" spans="1:8" x14ac:dyDescent="0.25">
      <c r="A28673" s="1"/>
      <c r="B28673" s="1" t="s">
        <v>7328</v>
      </c>
      <c r="C28673" s="1" t="s">
        <v>7329</v>
      </c>
      <c r="D28673" s="22" t="str">
        <f>HYPERLINK("https://rhld.insurance.arkansas.gov/NPILookup?Npi=1831714591","1831714591")</f>
        <v>1831714591</v>
      </c>
      <c r="E28673" s="1" t="s">
        <v>28848</v>
      </c>
      <c r="F28673" s="2"/>
      <c r="G28673" s="2"/>
      <c r="H28673" s="2"/>
    </row>
    <row r="28674" spans="1:8" x14ac:dyDescent="0.25">
      <c r="A28674" s="1"/>
      <c r="B28674" s="1" t="s">
        <v>7328</v>
      </c>
      <c r="C28674" s="1" t="s">
        <v>7329</v>
      </c>
      <c r="D28674" s="22" t="str">
        <f>HYPERLINK("https://rhld.insurance.arkansas.gov/NPILookup?Npi=1831720374","1831720374")</f>
        <v>1831720374</v>
      </c>
      <c r="E28674" s="1" t="s">
        <v>28849</v>
      </c>
      <c r="F28674" s="2"/>
      <c r="G28674" s="2"/>
      <c r="H28674" s="2"/>
    </row>
    <row r="28675" spans="1:8" x14ac:dyDescent="0.25">
      <c r="A28675" s="1"/>
      <c r="B28675" s="1" t="s">
        <v>7328</v>
      </c>
      <c r="C28675" s="1" t="s">
        <v>7329</v>
      </c>
      <c r="D28675" s="22" t="str">
        <f>HYPERLINK("https://rhld.insurance.arkansas.gov/NPILookup?Npi=1831721059","1831721059")</f>
        <v>1831721059</v>
      </c>
      <c r="E28675" s="1" t="s">
        <v>28850</v>
      </c>
      <c r="F28675" s="2"/>
      <c r="G28675" s="2"/>
      <c r="H28675" s="2"/>
    </row>
    <row r="28676" spans="1:8" x14ac:dyDescent="0.25">
      <c r="A28676" s="1"/>
      <c r="B28676" s="1" t="s">
        <v>7328</v>
      </c>
      <c r="C28676" s="1" t="s">
        <v>7329</v>
      </c>
      <c r="D28676" s="22" t="str">
        <f>HYPERLINK("https://rhld.insurance.arkansas.gov/NPILookup?Npi=1831722271","1831722271")</f>
        <v>1831722271</v>
      </c>
      <c r="E28676" s="1" t="s">
        <v>8134</v>
      </c>
      <c r="F28676" s="2"/>
      <c r="G28676" s="2"/>
      <c r="H28676" s="2"/>
    </row>
    <row r="28677" spans="1:8" x14ac:dyDescent="0.25">
      <c r="A28677" s="1"/>
      <c r="B28677" s="1" t="s">
        <v>7328</v>
      </c>
      <c r="C28677" s="1" t="s">
        <v>7329</v>
      </c>
      <c r="D28677" s="22" t="str">
        <f>HYPERLINK("https://rhld.insurance.arkansas.gov/NPILookup?Npi=1831727148","1831727148")</f>
        <v>1831727148</v>
      </c>
      <c r="E28677" s="1" t="s">
        <v>8135</v>
      </c>
      <c r="F28677" s="2"/>
      <c r="G28677" s="2"/>
      <c r="H28677" s="2"/>
    </row>
    <row r="28678" spans="1:8" x14ac:dyDescent="0.25">
      <c r="A28678" s="1"/>
      <c r="B28678" s="1" t="s">
        <v>7328</v>
      </c>
      <c r="C28678" s="1" t="s">
        <v>7329</v>
      </c>
      <c r="D28678" s="22" t="str">
        <f>HYPERLINK("https://rhld.insurance.arkansas.gov/NPILookup?Npi=1831740125","1831740125")</f>
        <v>1831740125</v>
      </c>
      <c r="E28678" s="1" t="s">
        <v>28851</v>
      </c>
      <c r="F28678" s="2"/>
      <c r="G28678" s="2"/>
      <c r="H28678" s="2"/>
    </row>
    <row r="28679" spans="1:8" x14ac:dyDescent="0.25">
      <c r="A28679" s="1"/>
      <c r="B28679" s="1" t="s">
        <v>7328</v>
      </c>
      <c r="C28679" s="1" t="s">
        <v>7329</v>
      </c>
      <c r="D28679" s="22" t="str">
        <f>HYPERLINK("https://rhld.insurance.arkansas.gov/NPILookup?Npi=1831757053","1831757053")</f>
        <v>1831757053</v>
      </c>
      <c r="E28679" s="1" t="s">
        <v>32375</v>
      </c>
      <c r="F28679" s="2"/>
      <c r="G28679" s="2"/>
      <c r="H28679" s="2"/>
    </row>
    <row r="28680" spans="1:8" x14ac:dyDescent="0.25">
      <c r="A28680" s="1"/>
      <c r="B28680" s="1" t="s">
        <v>7328</v>
      </c>
      <c r="C28680" s="1" t="s">
        <v>7329</v>
      </c>
      <c r="D28680" s="22" t="str">
        <f>HYPERLINK("https://rhld.insurance.arkansas.gov/NPILookup?Npi=1831772532","1831772532")</f>
        <v>1831772532</v>
      </c>
      <c r="E28680" s="1" t="s">
        <v>13683</v>
      </c>
      <c r="F28680" s="2"/>
      <c r="G28680" s="2"/>
      <c r="H28680" s="2"/>
    </row>
    <row r="28681" spans="1:8" x14ac:dyDescent="0.25">
      <c r="A28681" s="1"/>
      <c r="B28681" s="1" t="s">
        <v>7328</v>
      </c>
      <c r="C28681" s="1" t="s">
        <v>7329</v>
      </c>
      <c r="D28681" s="22" t="str">
        <f>HYPERLINK("https://rhld.insurance.arkansas.gov/NPILookup?Npi=1831778174","1831778174")</f>
        <v>1831778174</v>
      </c>
      <c r="E28681" s="1" t="s">
        <v>28852</v>
      </c>
      <c r="F28681" s="2"/>
      <c r="G28681" s="2"/>
      <c r="H28681" s="2"/>
    </row>
    <row r="28682" spans="1:8" x14ac:dyDescent="0.25">
      <c r="A28682" s="1"/>
      <c r="B28682" s="1" t="s">
        <v>7328</v>
      </c>
      <c r="C28682" s="1" t="s">
        <v>7329</v>
      </c>
      <c r="D28682" s="22" t="str">
        <f>HYPERLINK("https://rhld.insurance.arkansas.gov/NPILookup?Npi=1831780097","1831780097")</f>
        <v>1831780097</v>
      </c>
      <c r="E28682" s="1" t="s">
        <v>1703</v>
      </c>
      <c r="F28682" s="2"/>
      <c r="G28682" s="2"/>
      <c r="H28682" s="2"/>
    </row>
    <row r="28683" spans="1:8" x14ac:dyDescent="0.25">
      <c r="A28683" s="1"/>
      <c r="B28683" s="1" t="s">
        <v>7328</v>
      </c>
      <c r="C28683" s="1" t="s">
        <v>7329</v>
      </c>
      <c r="D28683" s="22" t="str">
        <f>HYPERLINK("https://rhld.insurance.arkansas.gov/NPILookup?Npi=1831780337","1831780337")</f>
        <v>1831780337</v>
      </c>
      <c r="E28683" s="1" t="s">
        <v>28853</v>
      </c>
      <c r="F28683" s="2"/>
      <c r="G28683" s="2"/>
      <c r="H28683" s="2"/>
    </row>
    <row r="28684" spans="1:8" x14ac:dyDescent="0.25">
      <c r="A28684" s="1"/>
      <c r="B28684" s="1" t="s">
        <v>7328</v>
      </c>
      <c r="C28684" s="1" t="s">
        <v>7329</v>
      </c>
      <c r="D28684" s="22" t="str">
        <f>HYPERLINK("https://rhld.insurance.arkansas.gov/NPILookup?Npi=1831807650","1831807650")</f>
        <v>1831807650</v>
      </c>
      <c r="E28684" s="1" t="s">
        <v>28854</v>
      </c>
      <c r="F28684" s="2"/>
      <c r="G28684" s="2"/>
      <c r="H28684" s="2"/>
    </row>
    <row r="28685" spans="1:8" x14ac:dyDescent="0.25">
      <c r="A28685" s="1"/>
      <c r="B28685" s="1" t="s">
        <v>7328</v>
      </c>
      <c r="C28685" s="1" t="s">
        <v>7329</v>
      </c>
      <c r="D28685" s="22" t="str">
        <f>HYPERLINK("https://rhld.insurance.arkansas.gov/NPILookup?Npi=1831833383","1831833383")</f>
        <v>1831833383</v>
      </c>
      <c r="E28685" s="1" t="s">
        <v>13684</v>
      </c>
      <c r="F28685" s="2"/>
      <c r="G28685" s="2"/>
      <c r="H28685" s="2"/>
    </row>
    <row r="28686" spans="1:8" x14ac:dyDescent="0.25">
      <c r="A28686" s="1"/>
      <c r="B28686" s="1" t="s">
        <v>7328</v>
      </c>
      <c r="C28686" s="1" t="s">
        <v>7329</v>
      </c>
      <c r="D28686" s="22" t="str">
        <f>HYPERLINK("https://rhld.insurance.arkansas.gov/NPILookup?Npi=1831834829","1831834829")</f>
        <v>1831834829</v>
      </c>
      <c r="E28686" s="1" t="s">
        <v>28855</v>
      </c>
      <c r="F28686" s="2"/>
      <c r="G28686" s="2"/>
      <c r="H28686" s="2"/>
    </row>
    <row r="28687" spans="1:8" x14ac:dyDescent="0.25">
      <c r="A28687" s="1"/>
      <c r="B28687" s="1" t="s">
        <v>7328</v>
      </c>
      <c r="C28687" s="1" t="s">
        <v>7329</v>
      </c>
      <c r="D28687" s="22" t="str">
        <f>HYPERLINK("https://rhld.insurance.arkansas.gov/NPILookup?Npi=1831837327","1831837327")</f>
        <v>1831837327</v>
      </c>
      <c r="E28687" s="1" t="s">
        <v>32376</v>
      </c>
      <c r="F28687" s="2"/>
      <c r="G28687" s="2"/>
      <c r="H28687" s="2"/>
    </row>
    <row r="28688" spans="1:8" x14ac:dyDescent="0.25">
      <c r="A28688" s="1"/>
      <c r="B28688" s="1" t="s">
        <v>7328</v>
      </c>
      <c r="C28688" s="1" t="s">
        <v>7329</v>
      </c>
      <c r="D28688" s="22" t="str">
        <f>HYPERLINK("https://rhld.insurance.arkansas.gov/NPILookup?Npi=1831850130","1831850130")</f>
        <v>1831850130</v>
      </c>
      <c r="E28688" s="1" t="s">
        <v>13685</v>
      </c>
      <c r="F28688" s="2"/>
      <c r="G28688" s="2"/>
      <c r="H28688" s="2"/>
    </row>
    <row r="28689" spans="1:8" x14ac:dyDescent="0.25">
      <c r="A28689" s="1"/>
      <c r="B28689" s="1" t="s">
        <v>7328</v>
      </c>
      <c r="C28689" s="1" t="s">
        <v>7329</v>
      </c>
      <c r="D28689" s="22" t="str">
        <f>HYPERLINK("https://rhld.insurance.arkansas.gov/NPILookup?Npi=1831865039","1831865039")</f>
        <v>1831865039</v>
      </c>
      <c r="E28689" s="1" t="s">
        <v>8136</v>
      </c>
      <c r="F28689" s="2"/>
      <c r="G28689" s="2"/>
      <c r="H28689" s="2"/>
    </row>
    <row r="28690" spans="1:8" x14ac:dyDescent="0.25">
      <c r="A28690" s="1"/>
      <c r="B28690" s="1" t="s">
        <v>7328</v>
      </c>
      <c r="C28690" s="1" t="s">
        <v>7329</v>
      </c>
      <c r="D28690" s="22" t="str">
        <f>HYPERLINK("https://rhld.insurance.arkansas.gov/NPILookup?Npi=1831868728","1831868728")</f>
        <v>1831868728</v>
      </c>
      <c r="E28690" s="1" t="s">
        <v>13686</v>
      </c>
      <c r="F28690" s="2"/>
      <c r="G28690" s="2"/>
      <c r="H28690" s="2"/>
    </row>
    <row r="28691" spans="1:8" x14ac:dyDescent="0.25">
      <c r="A28691" s="1"/>
      <c r="B28691" s="1" t="s">
        <v>7328</v>
      </c>
      <c r="C28691" s="1" t="s">
        <v>7329</v>
      </c>
      <c r="D28691" s="22" t="str">
        <f>HYPERLINK("https://rhld.insurance.arkansas.gov/NPILookup?Npi=1831874809","1831874809")</f>
        <v>1831874809</v>
      </c>
      <c r="E28691" s="1" t="s">
        <v>13687</v>
      </c>
      <c r="F28691" s="2"/>
      <c r="G28691" s="2"/>
      <c r="H28691" s="2"/>
    </row>
    <row r="28692" spans="1:8" x14ac:dyDescent="0.25">
      <c r="A28692" s="1"/>
      <c r="B28692" s="1" t="s">
        <v>7328</v>
      </c>
      <c r="C28692" s="1" t="s">
        <v>7329</v>
      </c>
      <c r="D28692" s="22" t="str">
        <f>HYPERLINK("https://rhld.insurance.arkansas.gov/NPILookup?Npi=1831884139","1831884139")</f>
        <v>1831884139</v>
      </c>
      <c r="E28692" s="1" t="s">
        <v>13688</v>
      </c>
      <c r="F28692" s="2"/>
      <c r="G28692" s="2"/>
      <c r="H28692" s="2"/>
    </row>
    <row r="28693" spans="1:8" x14ac:dyDescent="0.25">
      <c r="A28693" s="1"/>
      <c r="B28693" s="1" t="s">
        <v>7328</v>
      </c>
      <c r="C28693" s="1" t="s">
        <v>7329</v>
      </c>
      <c r="D28693" s="22" t="str">
        <f>HYPERLINK("https://rhld.insurance.arkansas.gov/NPILookup?Npi=1831929678","1831929678")</f>
        <v>1831929678</v>
      </c>
      <c r="E28693" s="1" t="s">
        <v>32377</v>
      </c>
      <c r="F28693" s="2"/>
      <c r="G28693" s="2"/>
      <c r="H28693" s="2"/>
    </row>
    <row r="28694" spans="1:8" x14ac:dyDescent="0.25">
      <c r="A28694" s="1"/>
      <c r="B28694" s="1" t="s">
        <v>7328</v>
      </c>
      <c r="C28694" s="1" t="s">
        <v>7329</v>
      </c>
      <c r="D28694" s="22" t="str">
        <f>HYPERLINK("https://rhld.insurance.arkansas.gov/NPILookup?Npi=1831962117","1831962117")</f>
        <v>1831962117</v>
      </c>
      <c r="E28694" s="1" t="s">
        <v>23478</v>
      </c>
      <c r="F28694" s="2"/>
      <c r="G28694" s="2"/>
      <c r="H28694" s="2"/>
    </row>
    <row r="28695" spans="1:8" x14ac:dyDescent="0.25">
      <c r="A28695" s="1"/>
      <c r="B28695" s="1" t="s">
        <v>7328</v>
      </c>
      <c r="C28695" s="1" t="s">
        <v>7329</v>
      </c>
      <c r="D28695" s="22" t="str">
        <f>HYPERLINK("https://rhld.insurance.arkansas.gov/NPILookup?Npi=1841027935","1841027935")</f>
        <v>1841027935</v>
      </c>
      <c r="E28695" s="1" t="s">
        <v>32378</v>
      </c>
      <c r="F28695" s="2"/>
      <c r="G28695" s="2"/>
      <c r="H28695" s="2"/>
    </row>
    <row r="28696" spans="1:8" x14ac:dyDescent="0.25">
      <c r="A28696" s="1"/>
      <c r="B28696" s="1" t="s">
        <v>7328</v>
      </c>
      <c r="C28696" s="1" t="s">
        <v>7329</v>
      </c>
      <c r="D28696" s="22" t="str">
        <f>HYPERLINK("https://rhld.insurance.arkansas.gov/NPILookup?Npi=1841029253","1841029253")</f>
        <v>1841029253</v>
      </c>
      <c r="E28696" s="1" t="s">
        <v>28856</v>
      </c>
      <c r="F28696" s="2"/>
      <c r="G28696" s="2"/>
      <c r="H28696" s="2"/>
    </row>
    <row r="28697" spans="1:8" x14ac:dyDescent="0.25">
      <c r="A28697" s="1"/>
      <c r="B28697" s="1" t="s">
        <v>7328</v>
      </c>
      <c r="C28697" s="1" t="s">
        <v>7329</v>
      </c>
      <c r="D28697" s="22" t="str">
        <f>HYPERLINK("https://rhld.insurance.arkansas.gov/NPILookup?Npi=1841046091","1841046091")</f>
        <v>1841046091</v>
      </c>
      <c r="E28697" s="1" t="s">
        <v>32379</v>
      </c>
      <c r="F28697" s="2"/>
      <c r="G28697" s="2"/>
      <c r="H28697" s="2"/>
    </row>
    <row r="28698" spans="1:8" x14ac:dyDescent="0.25">
      <c r="A28698" s="1"/>
      <c r="B28698" s="1" t="s">
        <v>7328</v>
      </c>
      <c r="C28698" s="1" t="s">
        <v>7329</v>
      </c>
      <c r="D28698" s="22" t="str">
        <f>HYPERLINK("https://rhld.insurance.arkansas.gov/NPILookup?Npi=1841066420","1841066420")</f>
        <v>1841066420</v>
      </c>
      <c r="E28698" s="1" t="s">
        <v>8137</v>
      </c>
      <c r="F28698" s="2"/>
      <c r="G28698" s="2"/>
      <c r="H28698" s="2"/>
    </row>
    <row r="28699" spans="1:8" x14ac:dyDescent="0.25">
      <c r="A28699" s="1"/>
      <c r="B28699" s="1" t="s">
        <v>7328</v>
      </c>
      <c r="C28699" s="1" t="s">
        <v>7329</v>
      </c>
      <c r="D28699" s="22" t="str">
        <f>HYPERLINK("https://rhld.insurance.arkansas.gov/NPILookup?Npi=1841071131","1841071131")</f>
        <v>1841071131</v>
      </c>
      <c r="E28699" s="1" t="s">
        <v>28857</v>
      </c>
      <c r="F28699" s="2"/>
      <c r="G28699" s="2"/>
      <c r="H28699" s="2"/>
    </row>
    <row r="28700" spans="1:8" x14ac:dyDescent="0.25">
      <c r="A28700" s="1"/>
      <c r="B28700" s="1" t="s">
        <v>7328</v>
      </c>
      <c r="C28700" s="1" t="s">
        <v>7329</v>
      </c>
      <c r="D28700" s="22" t="str">
        <f>HYPERLINK("https://rhld.insurance.arkansas.gov/NPILookup?Npi=1841078490","1841078490")</f>
        <v>1841078490</v>
      </c>
      <c r="E28700" s="1" t="s">
        <v>13689</v>
      </c>
      <c r="F28700" s="2"/>
      <c r="G28700" s="2"/>
      <c r="H28700" s="2"/>
    </row>
    <row r="28701" spans="1:8" x14ac:dyDescent="0.25">
      <c r="A28701" s="1"/>
      <c r="B28701" s="1" t="s">
        <v>7328</v>
      </c>
      <c r="C28701" s="1" t="s">
        <v>7329</v>
      </c>
      <c r="D28701" s="22" t="str">
        <f>HYPERLINK("https://rhld.insurance.arkansas.gov/NPILookup?Npi=1841209277","1841209277")</f>
        <v>1841209277</v>
      </c>
      <c r="E28701" s="1" t="s">
        <v>28858</v>
      </c>
      <c r="F28701" s="2"/>
      <c r="G28701" s="2"/>
      <c r="H28701" s="2"/>
    </row>
    <row r="28702" spans="1:8" x14ac:dyDescent="0.25">
      <c r="A28702" s="1"/>
      <c r="B28702" s="1" t="s">
        <v>7328</v>
      </c>
      <c r="C28702" s="1" t="s">
        <v>7329</v>
      </c>
      <c r="D28702" s="22" t="str">
        <f>HYPERLINK("https://rhld.insurance.arkansas.gov/NPILookup?Npi=1841213238","1841213238")</f>
        <v>1841213238</v>
      </c>
      <c r="E28702" s="1" t="s">
        <v>28859</v>
      </c>
      <c r="F28702" s="2"/>
      <c r="G28702" s="2"/>
      <c r="H28702" s="2"/>
    </row>
    <row r="28703" spans="1:8" x14ac:dyDescent="0.25">
      <c r="A28703" s="1"/>
      <c r="B28703" s="1" t="s">
        <v>7328</v>
      </c>
      <c r="C28703" s="1" t="s">
        <v>7329</v>
      </c>
      <c r="D28703" s="22" t="str">
        <f>HYPERLINK("https://rhld.insurance.arkansas.gov/NPILookup?Npi=1841227071","1841227071")</f>
        <v>1841227071</v>
      </c>
      <c r="E28703" s="1" t="s">
        <v>17931</v>
      </c>
      <c r="F28703" s="2"/>
      <c r="G28703" s="2"/>
      <c r="H28703" s="2"/>
    </row>
    <row r="28704" spans="1:8" x14ac:dyDescent="0.25">
      <c r="A28704" s="1"/>
      <c r="B28704" s="1" t="s">
        <v>7328</v>
      </c>
      <c r="C28704" s="1" t="s">
        <v>7329</v>
      </c>
      <c r="D28704" s="22" t="str">
        <f>HYPERLINK("https://rhld.insurance.arkansas.gov/NPILookup?Npi=1841236437","1841236437")</f>
        <v>1841236437</v>
      </c>
      <c r="E28704" s="1" t="s">
        <v>13690</v>
      </c>
      <c r="F28704" s="2"/>
      <c r="G28704" s="2"/>
      <c r="H28704" s="2"/>
    </row>
    <row r="28705" spans="1:8" x14ac:dyDescent="0.25">
      <c r="A28705" s="1"/>
      <c r="B28705" s="1" t="s">
        <v>7328</v>
      </c>
      <c r="C28705" s="1" t="s">
        <v>7329</v>
      </c>
      <c r="D28705" s="22" t="str">
        <f>HYPERLINK("https://rhld.insurance.arkansas.gov/NPILookup?Npi=1841247848","1841247848")</f>
        <v>1841247848</v>
      </c>
      <c r="E28705" s="1" t="s">
        <v>8138</v>
      </c>
      <c r="F28705" s="2"/>
      <c r="G28705" s="2"/>
      <c r="H28705" s="2"/>
    </row>
    <row r="28706" spans="1:8" x14ac:dyDescent="0.25">
      <c r="A28706" s="1"/>
      <c r="B28706" s="1" t="s">
        <v>7328</v>
      </c>
      <c r="C28706" s="1" t="s">
        <v>7329</v>
      </c>
      <c r="D28706" s="22" t="str">
        <f>HYPERLINK("https://rhld.insurance.arkansas.gov/NPILookup?Npi=1841257730","1841257730")</f>
        <v>1841257730</v>
      </c>
      <c r="E28706" s="1" t="s">
        <v>28860</v>
      </c>
      <c r="F28706" s="2"/>
      <c r="G28706" s="2"/>
      <c r="H28706" s="2"/>
    </row>
    <row r="28707" spans="1:8" x14ac:dyDescent="0.25">
      <c r="A28707" s="1"/>
      <c r="B28707" s="1" t="s">
        <v>7328</v>
      </c>
      <c r="C28707" s="1" t="s">
        <v>7329</v>
      </c>
      <c r="D28707" s="22" t="str">
        <f>HYPERLINK("https://rhld.insurance.arkansas.gov/NPILookup?Npi=1841257813","1841257813")</f>
        <v>1841257813</v>
      </c>
      <c r="E28707" s="1" t="s">
        <v>28861</v>
      </c>
      <c r="F28707" s="2"/>
      <c r="G28707" s="2"/>
      <c r="H28707" s="2"/>
    </row>
    <row r="28708" spans="1:8" x14ac:dyDescent="0.25">
      <c r="A28708" s="1"/>
      <c r="B28708" s="1" t="s">
        <v>7328</v>
      </c>
      <c r="C28708" s="1" t="s">
        <v>7329</v>
      </c>
      <c r="D28708" s="22" t="str">
        <f>HYPERLINK("https://rhld.insurance.arkansas.gov/NPILookup?Npi=1841260122","1841260122")</f>
        <v>1841260122</v>
      </c>
      <c r="E28708" s="1" t="s">
        <v>28862</v>
      </c>
      <c r="F28708" s="2"/>
      <c r="G28708" s="2"/>
      <c r="H28708" s="2"/>
    </row>
    <row r="28709" spans="1:8" x14ac:dyDescent="0.25">
      <c r="A28709" s="1"/>
      <c r="B28709" s="1" t="s">
        <v>7328</v>
      </c>
      <c r="C28709" s="1" t="s">
        <v>7329</v>
      </c>
      <c r="D28709" s="22" t="str">
        <f>HYPERLINK("https://rhld.insurance.arkansas.gov/NPILookup?Npi=1841272580","1841272580")</f>
        <v>1841272580</v>
      </c>
      <c r="E28709" s="1" t="s">
        <v>28863</v>
      </c>
      <c r="F28709" s="2"/>
      <c r="G28709" s="2"/>
      <c r="H28709" s="2"/>
    </row>
    <row r="28710" spans="1:8" x14ac:dyDescent="0.25">
      <c r="A28710" s="1"/>
      <c r="B28710" s="1" t="s">
        <v>7328</v>
      </c>
      <c r="C28710" s="1" t="s">
        <v>7329</v>
      </c>
      <c r="D28710" s="22" t="str">
        <f>HYPERLINK("https://rhld.insurance.arkansas.gov/NPILookup?Npi=1841276003","1841276003")</f>
        <v>1841276003</v>
      </c>
      <c r="E28710" s="1" t="s">
        <v>13691</v>
      </c>
      <c r="F28710" s="2"/>
      <c r="G28710" s="2"/>
      <c r="H28710" s="2"/>
    </row>
    <row r="28711" spans="1:8" x14ac:dyDescent="0.25">
      <c r="A28711" s="1"/>
      <c r="B28711" s="1" t="s">
        <v>7328</v>
      </c>
      <c r="C28711" s="1" t="s">
        <v>7329</v>
      </c>
      <c r="D28711" s="22" t="str">
        <f>HYPERLINK("https://rhld.insurance.arkansas.gov/NPILookup?Npi=1841278611","1841278611")</f>
        <v>1841278611</v>
      </c>
      <c r="E28711" s="1" t="s">
        <v>13692</v>
      </c>
      <c r="F28711" s="2"/>
      <c r="G28711" s="2"/>
      <c r="H28711" s="2"/>
    </row>
    <row r="28712" spans="1:8" x14ac:dyDescent="0.25">
      <c r="A28712" s="1"/>
      <c r="B28712" s="1" t="s">
        <v>7328</v>
      </c>
      <c r="C28712" s="1" t="s">
        <v>7329</v>
      </c>
      <c r="D28712" s="22" t="str">
        <f>HYPERLINK("https://rhld.insurance.arkansas.gov/NPILookup?Npi=1841279254","1841279254")</f>
        <v>1841279254</v>
      </c>
      <c r="E28712" s="1" t="s">
        <v>13693</v>
      </c>
      <c r="F28712" s="2"/>
      <c r="G28712" s="2"/>
      <c r="H28712" s="2"/>
    </row>
    <row r="28713" spans="1:8" x14ac:dyDescent="0.25">
      <c r="A28713" s="1"/>
      <c r="B28713" s="1" t="s">
        <v>7328</v>
      </c>
      <c r="C28713" s="1" t="s">
        <v>7329</v>
      </c>
      <c r="D28713" s="22" t="str">
        <f>HYPERLINK("https://rhld.insurance.arkansas.gov/NPILookup?Npi=1841285681","1841285681")</f>
        <v>1841285681</v>
      </c>
      <c r="E28713" s="1" t="s">
        <v>13694</v>
      </c>
      <c r="F28713" s="2"/>
      <c r="G28713" s="2"/>
      <c r="H28713" s="2"/>
    </row>
    <row r="28714" spans="1:8" x14ac:dyDescent="0.25">
      <c r="A28714" s="1"/>
      <c r="B28714" s="1" t="s">
        <v>7328</v>
      </c>
      <c r="C28714" s="1" t="s">
        <v>7329</v>
      </c>
      <c r="D28714" s="22" t="str">
        <f>HYPERLINK("https://rhld.insurance.arkansas.gov/NPILookup?Npi=1841285764","1841285764")</f>
        <v>1841285764</v>
      </c>
      <c r="E28714" s="1" t="s">
        <v>28864</v>
      </c>
      <c r="F28714" s="2"/>
      <c r="G28714" s="2"/>
      <c r="H28714" s="2"/>
    </row>
    <row r="28715" spans="1:8" x14ac:dyDescent="0.25">
      <c r="A28715" s="1"/>
      <c r="B28715" s="1" t="s">
        <v>7328</v>
      </c>
      <c r="C28715" s="1" t="s">
        <v>7329</v>
      </c>
      <c r="D28715" s="22" t="str">
        <f>HYPERLINK("https://rhld.insurance.arkansas.gov/NPILookup?Npi=1841293537","1841293537")</f>
        <v>1841293537</v>
      </c>
      <c r="E28715" s="1" t="s">
        <v>28865</v>
      </c>
      <c r="F28715" s="2"/>
      <c r="G28715" s="2"/>
      <c r="H28715" s="2"/>
    </row>
    <row r="28716" spans="1:8" x14ac:dyDescent="0.25">
      <c r="A28716" s="1"/>
      <c r="B28716" s="1" t="s">
        <v>7328</v>
      </c>
      <c r="C28716" s="1" t="s">
        <v>7329</v>
      </c>
      <c r="D28716" s="22" t="str">
        <f>HYPERLINK("https://rhld.insurance.arkansas.gov/NPILookup?Npi=1841295854","1841295854")</f>
        <v>1841295854</v>
      </c>
      <c r="E28716" s="1" t="s">
        <v>28866</v>
      </c>
      <c r="F28716" s="2"/>
      <c r="G28716" s="2"/>
      <c r="H28716" s="2"/>
    </row>
    <row r="28717" spans="1:8" x14ac:dyDescent="0.25">
      <c r="A28717" s="1"/>
      <c r="B28717" s="1" t="s">
        <v>7328</v>
      </c>
      <c r="C28717" s="1" t="s">
        <v>7329</v>
      </c>
      <c r="D28717" s="22" t="str">
        <f>HYPERLINK("https://rhld.insurance.arkansas.gov/NPILookup?Npi=1841297181","1841297181")</f>
        <v>1841297181</v>
      </c>
      <c r="E28717" s="1" t="s">
        <v>200</v>
      </c>
      <c r="F28717" s="2"/>
      <c r="G28717" s="2"/>
      <c r="H28717" s="2"/>
    </row>
    <row r="28718" spans="1:8" x14ac:dyDescent="0.25">
      <c r="A28718" s="1"/>
      <c r="B28718" s="1" t="s">
        <v>7328</v>
      </c>
      <c r="C28718" s="1" t="s">
        <v>7329</v>
      </c>
      <c r="D28718" s="22" t="str">
        <f>HYPERLINK("https://rhld.insurance.arkansas.gov/NPILookup?Npi=1841373206","1841373206")</f>
        <v>1841373206</v>
      </c>
      <c r="E28718" s="1" t="s">
        <v>13695</v>
      </c>
      <c r="F28718" s="2"/>
      <c r="G28718" s="2"/>
      <c r="H28718" s="2"/>
    </row>
    <row r="28719" spans="1:8" x14ac:dyDescent="0.25">
      <c r="A28719" s="1"/>
      <c r="B28719" s="1" t="s">
        <v>7328</v>
      </c>
      <c r="C28719" s="1" t="s">
        <v>7329</v>
      </c>
      <c r="D28719" s="22" t="str">
        <f>HYPERLINK("https://rhld.insurance.arkansas.gov/NPILookup?Npi=1841380326","1841380326")</f>
        <v>1841380326</v>
      </c>
      <c r="E28719" s="1" t="s">
        <v>3047</v>
      </c>
      <c r="F28719" s="2"/>
      <c r="G28719" s="2"/>
      <c r="H28719" s="2"/>
    </row>
    <row r="28720" spans="1:8" x14ac:dyDescent="0.25">
      <c r="A28720" s="1"/>
      <c r="B28720" s="1" t="s">
        <v>7328</v>
      </c>
      <c r="C28720" s="1" t="s">
        <v>7329</v>
      </c>
      <c r="D28720" s="22" t="str">
        <f>HYPERLINK("https://rhld.insurance.arkansas.gov/NPILookup?Npi=1841380334","1841380334")</f>
        <v>1841380334</v>
      </c>
      <c r="E28720" s="1" t="s">
        <v>981</v>
      </c>
      <c r="F28720" s="2"/>
      <c r="G28720" s="2"/>
      <c r="H28720" s="2"/>
    </row>
    <row r="28721" spans="1:8" x14ac:dyDescent="0.25">
      <c r="A28721" s="1"/>
      <c r="B28721" s="1" t="s">
        <v>7328</v>
      </c>
      <c r="C28721" s="1" t="s">
        <v>7329</v>
      </c>
      <c r="D28721" s="22" t="str">
        <f>HYPERLINK("https://rhld.insurance.arkansas.gov/NPILookup?Npi=1841385200","1841385200")</f>
        <v>1841385200</v>
      </c>
      <c r="E28721" s="1" t="s">
        <v>13696</v>
      </c>
      <c r="F28721" s="2"/>
      <c r="G28721" s="2"/>
      <c r="H28721" s="2"/>
    </row>
    <row r="28722" spans="1:8" x14ac:dyDescent="0.25">
      <c r="A28722" s="1"/>
      <c r="B28722" s="1" t="s">
        <v>7328</v>
      </c>
      <c r="C28722" s="1" t="s">
        <v>7329</v>
      </c>
      <c r="D28722" s="22" t="str">
        <f>HYPERLINK("https://rhld.insurance.arkansas.gov/NPILookup?Npi=1841391315","1841391315")</f>
        <v>1841391315</v>
      </c>
      <c r="E28722" s="1" t="s">
        <v>32380</v>
      </c>
      <c r="F28722" s="2"/>
      <c r="G28722" s="2"/>
      <c r="H28722" s="2"/>
    </row>
    <row r="28723" spans="1:8" x14ac:dyDescent="0.25">
      <c r="A28723" s="1"/>
      <c r="B28723" s="1" t="s">
        <v>7328</v>
      </c>
      <c r="C28723" s="1" t="s">
        <v>7329</v>
      </c>
      <c r="D28723" s="22" t="str">
        <f>HYPERLINK("https://rhld.insurance.arkansas.gov/NPILookup?Npi=1841398153","1841398153")</f>
        <v>1841398153</v>
      </c>
      <c r="E28723" s="1" t="s">
        <v>13697</v>
      </c>
      <c r="F28723" s="2"/>
      <c r="G28723" s="2"/>
      <c r="H28723" s="2"/>
    </row>
    <row r="28724" spans="1:8" x14ac:dyDescent="0.25">
      <c r="A28724" s="1"/>
      <c r="B28724" s="1" t="s">
        <v>7328</v>
      </c>
      <c r="C28724" s="1" t="s">
        <v>7329</v>
      </c>
      <c r="D28724" s="22" t="str">
        <f>HYPERLINK("https://rhld.insurance.arkansas.gov/NPILookup?Npi=1841425253","1841425253")</f>
        <v>1841425253</v>
      </c>
      <c r="E28724" s="1" t="s">
        <v>28867</v>
      </c>
      <c r="F28724" s="2"/>
      <c r="G28724" s="2"/>
      <c r="H28724" s="2"/>
    </row>
    <row r="28725" spans="1:8" x14ac:dyDescent="0.25">
      <c r="A28725" s="1"/>
      <c r="B28725" s="1" t="s">
        <v>7328</v>
      </c>
      <c r="C28725" s="1" t="s">
        <v>7329</v>
      </c>
      <c r="D28725" s="22" t="str">
        <f>HYPERLINK("https://rhld.insurance.arkansas.gov/NPILookup?Npi=1841450343","1841450343")</f>
        <v>1841450343</v>
      </c>
      <c r="E28725" s="1" t="s">
        <v>13698</v>
      </c>
      <c r="F28725" s="2"/>
      <c r="G28725" s="2"/>
      <c r="H28725" s="2"/>
    </row>
    <row r="28726" spans="1:8" x14ac:dyDescent="0.25">
      <c r="A28726" s="1"/>
      <c r="B28726" s="1" t="s">
        <v>7328</v>
      </c>
      <c r="C28726" s="1" t="s">
        <v>7329</v>
      </c>
      <c r="D28726" s="22" t="str">
        <f>HYPERLINK("https://rhld.insurance.arkansas.gov/NPILookup?Npi=1841490141","1841490141")</f>
        <v>1841490141</v>
      </c>
      <c r="E28726" s="1" t="s">
        <v>28868</v>
      </c>
      <c r="F28726" s="2"/>
      <c r="G28726" s="2"/>
      <c r="H28726" s="2"/>
    </row>
    <row r="28727" spans="1:8" x14ac:dyDescent="0.25">
      <c r="A28727" s="1"/>
      <c r="B28727" s="1" t="s">
        <v>7328</v>
      </c>
      <c r="C28727" s="1" t="s">
        <v>7329</v>
      </c>
      <c r="D28727" s="22" t="str">
        <f>HYPERLINK("https://rhld.insurance.arkansas.gov/NPILookup?Npi=1841504206","1841504206")</f>
        <v>1841504206</v>
      </c>
      <c r="E28727" s="1" t="s">
        <v>28869</v>
      </c>
      <c r="F28727" s="2"/>
      <c r="G28727" s="2"/>
      <c r="H28727" s="2"/>
    </row>
    <row r="28728" spans="1:8" x14ac:dyDescent="0.25">
      <c r="A28728" s="1"/>
      <c r="B28728" s="1" t="s">
        <v>7328</v>
      </c>
      <c r="C28728" s="1" t="s">
        <v>7329</v>
      </c>
      <c r="D28728" s="22" t="str">
        <f>HYPERLINK("https://rhld.insurance.arkansas.gov/NPILookup?Npi=1841526001","1841526001")</f>
        <v>1841526001</v>
      </c>
      <c r="E28728" s="1" t="s">
        <v>28870</v>
      </c>
      <c r="F28728" s="2"/>
      <c r="G28728" s="2"/>
      <c r="H28728" s="2"/>
    </row>
    <row r="28729" spans="1:8" x14ac:dyDescent="0.25">
      <c r="A28729" s="1"/>
      <c r="B28729" s="1" t="s">
        <v>7328</v>
      </c>
      <c r="C28729" s="1" t="s">
        <v>7329</v>
      </c>
      <c r="D28729" s="22" t="str">
        <f>HYPERLINK("https://rhld.insurance.arkansas.gov/NPILookup?Npi=1841538287","1841538287")</f>
        <v>1841538287</v>
      </c>
      <c r="E28729" s="1" t="s">
        <v>28871</v>
      </c>
      <c r="F28729" s="2"/>
      <c r="G28729" s="2"/>
      <c r="H28729" s="2"/>
    </row>
    <row r="28730" spans="1:8" x14ac:dyDescent="0.25">
      <c r="A28730" s="1"/>
      <c r="B28730" s="1" t="s">
        <v>7328</v>
      </c>
      <c r="C28730" s="1" t="s">
        <v>7329</v>
      </c>
      <c r="D28730" s="22" t="str">
        <f>HYPERLINK("https://rhld.insurance.arkansas.gov/NPILookup?Npi=1841554870","1841554870")</f>
        <v>1841554870</v>
      </c>
      <c r="E28730" s="1" t="s">
        <v>28872</v>
      </c>
      <c r="F28730" s="2"/>
      <c r="G28730" s="2"/>
      <c r="H28730" s="2"/>
    </row>
    <row r="28731" spans="1:8" x14ac:dyDescent="0.25">
      <c r="A28731" s="1"/>
      <c r="B28731" s="1" t="s">
        <v>7328</v>
      </c>
      <c r="C28731" s="1" t="s">
        <v>7329</v>
      </c>
      <c r="D28731" s="22" t="str">
        <f>HYPERLINK("https://rhld.insurance.arkansas.gov/NPILookup?Npi=1841564895","1841564895")</f>
        <v>1841564895</v>
      </c>
      <c r="E28731" s="1" t="s">
        <v>28873</v>
      </c>
      <c r="F28731" s="2"/>
      <c r="G28731" s="2"/>
      <c r="H28731" s="2"/>
    </row>
    <row r="28732" spans="1:8" x14ac:dyDescent="0.25">
      <c r="A28732" s="1"/>
      <c r="B28732" s="1" t="s">
        <v>7328</v>
      </c>
      <c r="C28732" s="1" t="s">
        <v>7329</v>
      </c>
      <c r="D28732" s="22" t="str">
        <f>HYPERLINK("https://rhld.insurance.arkansas.gov/NPILookup?Npi=1841589017","1841589017")</f>
        <v>1841589017</v>
      </c>
      <c r="E28732" s="1" t="s">
        <v>3064</v>
      </c>
      <c r="F28732" s="2"/>
      <c r="G28732" s="2"/>
      <c r="H28732" s="2"/>
    </row>
    <row r="28733" spans="1:8" x14ac:dyDescent="0.25">
      <c r="A28733" s="1"/>
      <c r="B28733" s="1" t="s">
        <v>7328</v>
      </c>
      <c r="C28733" s="1" t="s">
        <v>7329</v>
      </c>
      <c r="D28733" s="22" t="str">
        <f>HYPERLINK("https://rhld.insurance.arkansas.gov/NPILookup?Npi=1841589900","1841589900")</f>
        <v>1841589900</v>
      </c>
      <c r="E28733" s="1" t="s">
        <v>28874</v>
      </c>
      <c r="F28733" s="2"/>
      <c r="G28733" s="2"/>
      <c r="H28733" s="2"/>
    </row>
    <row r="28734" spans="1:8" x14ac:dyDescent="0.25">
      <c r="A28734" s="1"/>
      <c r="B28734" s="1" t="s">
        <v>7328</v>
      </c>
      <c r="C28734" s="1" t="s">
        <v>7329</v>
      </c>
      <c r="D28734" s="22" t="str">
        <f>HYPERLINK("https://rhld.insurance.arkansas.gov/NPILookup?Npi=1841616604","1841616604")</f>
        <v>1841616604</v>
      </c>
      <c r="E28734" s="1" t="s">
        <v>13699</v>
      </c>
      <c r="F28734" s="2"/>
      <c r="G28734" s="2"/>
      <c r="H28734" s="2"/>
    </row>
    <row r="28735" spans="1:8" x14ac:dyDescent="0.25">
      <c r="A28735" s="1"/>
      <c r="B28735" s="1" t="s">
        <v>7328</v>
      </c>
      <c r="C28735" s="1" t="s">
        <v>7329</v>
      </c>
      <c r="D28735" s="22" t="str">
        <f>HYPERLINK("https://rhld.insurance.arkansas.gov/NPILookup?Npi=1841628161","1841628161")</f>
        <v>1841628161</v>
      </c>
      <c r="E28735" s="1" t="s">
        <v>28875</v>
      </c>
      <c r="F28735" s="2"/>
      <c r="G28735" s="2"/>
      <c r="H28735" s="2"/>
    </row>
    <row r="28736" spans="1:8" x14ac:dyDescent="0.25">
      <c r="A28736" s="1"/>
      <c r="B28736" s="1" t="s">
        <v>7328</v>
      </c>
      <c r="C28736" s="1" t="s">
        <v>7329</v>
      </c>
      <c r="D28736" s="22" t="str">
        <f>HYPERLINK("https://rhld.insurance.arkansas.gov/NPILookup?Npi=1841635596","1841635596")</f>
        <v>1841635596</v>
      </c>
      <c r="E28736" s="1" t="s">
        <v>28876</v>
      </c>
      <c r="F28736" s="2"/>
      <c r="G28736" s="2"/>
      <c r="H28736" s="2"/>
    </row>
    <row r="28737" spans="1:8" x14ac:dyDescent="0.25">
      <c r="A28737" s="1"/>
      <c r="B28737" s="1" t="s">
        <v>7328</v>
      </c>
      <c r="C28737" s="1" t="s">
        <v>7329</v>
      </c>
      <c r="D28737" s="22" t="str">
        <f>HYPERLINK("https://rhld.insurance.arkansas.gov/NPILookup?Npi=1841649076","1841649076")</f>
        <v>1841649076</v>
      </c>
      <c r="E28737" s="1" t="s">
        <v>28877</v>
      </c>
      <c r="F28737" s="2"/>
      <c r="G28737" s="2"/>
      <c r="H28737" s="2"/>
    </row>
    <row r="28738" spans="1:8" x14ac:dyDescent="0.25">
      <c r="A28738" s="1"/>
      <c r="B28738" s="1" t="s">
        <v>7328</v>
      </c>
      <c r="C28738" s="1" t="s">
        <v>7329</v>
      </c>
      <c r="D28738" s="22" t="str">
        <f>HYPERLINK("https://rhld.insurance.arkansas.gov/NPILookup?Npi=1841677242","1841677242")</f>
        <v>1841677242</v>
      </c>
      <c r="E28738" s="1" t="s">
        <v>28878</v>
      </c>
      <c r="F28738" s="2"/>
      <c r="G28738" s="2"/>
      <c r="H28738" s="2"/>
    </row>
    <row r="28739" spans="1:8" x14ac:dyDescent="0.25">
      <c r="A28739" s="1"/>
      <c r="B28739" s="1" t="s">
        <v>7328</v>
      </c>
      <c r="C28739" s="1" t="s">
        <v>7329</v>
      </c>
      <c r="D28739" s="22" t="str">
        <f>HYPERLINK("https://rhld.insurance.arkansas.gov/NPILookup?Npi=1841677622","1841677622")</f>
        <v>1841677622</v>
      </c>
      <c r="E28739" s="1" t="s">
        <v>22212</v>
      </c>
      <c r="F28739" s="2"/>
      <c r="G28739" s="2"/>
      <c r="H28739" s="2"/>
    </row>
    <row r="28740" spans="1:8" x14ac:dyDescent="0.25">
      <c r="A28740" s="1"/>
      <c r="B28740" s="1" t="s">
        <v>7328</v>
      </c>
      <c r="C28740" s="1" t="s">
        <v>7329</v>
      </c>
      <c r="D28740" s="22" t="str">
        <f>HYPERLINK("https://rhld.insurance.arkansas.gov/NPILookup?Npi=1841684073","1841684073")</f>
        <v>1841684073</v>
      </c>
      <c r="E28740" s="1" t="s">
        <v>17936</v>
      </c>
      <c r="F28740" s="2"/>
      <c r="G28740" s="2"/>
      <c r="H28740" s="2"/>
    </row>
    <row r="28741" spans="1:8" x14ac:dyDescent="0.25">
      <c r="A28741" s="1"/>
      <c r="B28741" s="1" t="s">
        <v>7328</v>
      </c>
      <c r="C28741" s="1" t="s">
        <v>7329</v>
      </c>
      <c r="D28741" s="22" t="str">
        <f>HYPERLINK("https://rhld.insurance.arkansas.gov/NPILookup?Npi=1841712106","1841712106")</f>
        <v>1841712106</v>
      </c>
      <c r="E28741" s="1" t="s">
        <v>28879</v>
      </c>
      <c r="F28741" s="2"/>
      <c r="G28741" s="2"/>
      <c r="H28741" s="2"/>
    </row>
    <row r="28742" spans="1:8" x14ac:dyDescent="0.25">
      <c r="A28742" s="1"/>
      <c r="B28742" s="1" t="s">
        <v>7328</v>
      </c>
      <c r="C28742" s="1" t="s">
        <v>7329</v>
      </c>
      <c r="D28742" s="22" t="str">
        <f>HYPERLINK("https://rhld.insurance.arkansas.gov/NPILookup?Npi=1841715547","1841715547")</f>
        <v>1841715547</v>
      </c>
      <c r="E28742" s="1" t="s">
        <v>28880</v>
      </c>
      <c r="F28742" s="2"/>
      <c r="G28742" s="2"/>
      <c r="H28742" s="2"/>
    </row>
    <row r="28743" spans="1:8" x14ac:dyDescent="0.25">
      <c r="A28743" s="1"/>
      <c r="B28743" s="1" t="s">
        <v>7328</v>
      </c>
      <c r="C28743" s="1" t="s">
        <v>7329</v>
      </c>
      <c r="D28743" s="22" t="str">
        <f>HYPERLINK("https://rhld.insurance.arkansas.gov/NPILookup?Npi=1841719390","1841719390")</f>
        <v>1841719390</v>
      </c>
      <c r="E28743" s="1" t="s">
        <v>28881</v>
      </c>
      <c r="F28743" s="2"/>
      <c r="G28743" s="2"/>
      <c r="H28743" s="2"/>
    </row>
    <row r="28744" spans="1:8" x14ac:dyDescent="0.25">
      <c r="A28744" s="1"/>
      <c r="B28744" s="1" t="s">
        <v>7328</v>
      </c>
      <c r="C28744" s="1" t="s">
        <v>7329</v>
      </c>
      <c r="D28744" s="22" t="str">
        <f>HYPERLINK("https://rhld.insurance.arkansas.gov/NPILookup?Npi=1841723996","1841723996")</f>
        <v>1841723996</v>
      </c>
      <c r="E28744" s="1" t="s">
        <v>28882</v>
      </c>
      <c r="F28744" s="2"/>
      <c r="G28744" s="2"/>
      <c r="H28744" s="2"/>
    </row>
    <row r="28745" spans="1:8" x14ac:dyDescent="0.25">
      <c r="A28745" s="1"/>
      <c r="B28745" s="1" t="s">
        <v>7328</v>
      </c>
      <c r="C28745" s="1" t="s">
        <v>7329</v>
      </c>
      <c r="D28745" s="22" t="str">
        <f>HYPERLINK("https://rhld.insurance.arkansas.gov/NPILookup?Npi=1841731155","1841731155")</f>
        <v>1841731155</v>
      </c>
      <c r="E28745" s="1" t="s">
        <v>3048</v>
      </c>
      <c r="F28745" s="2"/>
      <c r="G28745" s="2"/>
      <c r="H28745" s="2"/>
    </row>
    <row r="28746" spans="1:8" x14ac:dyDescent="0.25">
      <c r="A28746" s="1"/>
      <c r="B28746" s="1" t="s">
        <v>7328</v>
      </c>
      <c r="C28746" s="1" t="s">
        <v>7329</v>
      </c>
      <c r="D28746" s="22" t="str">
        <f>HYPERLINK("https://rhld.insurance.arkansas.gov/NPILookup?Npi=1841731361","1841731361")</f>
        <v>1841731361</v>
      </c>
      <c r="E28746" s="1" t="s">
        <v>28883</v>
      </c>
      <c r="F28746" s="2"/>
      <c r="G28746" s="2"/>
      <c r="H28746" s="2"/>
    </row>
    <row r="28747" spans="1:8" x14ac:dyDescent="0.25">
      <c r="A28747" s="1"/>
      <c r="B28747" s="1" t="s">
        <v>7328</v>
      </c>
      <c r="C28747" s="1" t="s">
        <v>7329</v>
      </c>
      <c r="D28747" s="22" t="str">
        <f>HYPERLINK("https://rhld.insurance.arkansas.gov/NPILookup?Npi=1841733300","1841733300")</f>
        <v>1841733300</v>
      </c>
      <c r="E28747" s="1" t="s">
        <v>28884</v>
      </c>
      <c r="F28747" s="2"/>
      <c r="G28747" s="2"/>
      <c r="H28747" s="2"/>
    </row>
    <row r="28748" spans="1:8" x14ac:dyDescent="0.25">
      <c r="A28748" s="1"/>
      <c r="B28748" s="1" t="s">
        <v>7328</v>
      </c>
      <c r="C28748" s="1" t="s">
        <v>7329</v>
      </c>
      <c r="D28748" s="22" t="str">
        <f>HYPERLINK("https://rhld.insurance.arkansas.gov/NPILookup?Npi=1841736170","1841736170")</f>
        <v>1841736170</v>
      </c>
      <c r="E28748" s="1" t="s">
        <v>28885</v>
      </c>
      <c r="F28748" s="2"/>
      <c r="G28748" s="2"/>
      <c r="H28748" s="2"/>
    </row>
    <row r="28749" spans="1:8" x14ac:dyDescent="0.25">
      <c r="A28749" s="1"/>
      <c r="B28749" s="1" t="s">
        <v>7328</v>
      </c>
      <c r="C28749" s="1" t="s">
        <v>7329</v>
      </c>
      <c r="D28749" s="22" t="str">
        <f>HYPERLINK("https://rhld.insurance.arkansas.gov/NPILookup?Npi=1841740115","1841740115")</f>
        <v>1841740115</v>
      </c>
      <c r="E28749" s="1" t="s">
        <v>12158</v>
      </c>
      <c r="F28749" s="2"/>
      <c r="G28749" s="2"/>
      <c r="H28749" s="2"/>
    </row>
    <row r="28750" spans="1:8" x14ac:dyDescent="0.25">
      <c r="A28750" s="1"/>
      <c r="B28750" s="1" t="s">
        <v>7328</v>
      </c>
      <c r="C28750" s="1" t="s">
        <v>7329</v>
      </c>
      <c r="D28750" s="22" t="str">
        <f>HYPERLINK("https://rhld.insurance.arkansas.gov/NPILookup?Npi=1841745775","1841745775")</f>
        <v>1841745775</v>
      </c>
      <c r="E28750" s="1" t="s">
        <v>28886</v>
      </c>
      <c r="F28750" s="2"/>
      <c r="G28750" s="2"/>
      <c r="H28750" s="2"/>
    </row>
    <row r="28751" spans="1:8" x14ac:dyDescent="0.25">
      <c r="A28751" s="1"/>
      <c r="B28751" s="1" t="s">
        <v>7328</v>
      </c>
      <c r="C28751" s="1" t="s">
        <v>7329</v>
      </c>
      <c r="D28751" s="22" t="str">
        <f>HYPERLINK("https://rhld.insurance.arkansas.gov/NPILookup?Npi=1841758059","1841758059")</f>
        <v>1841758059</v>
      </c>
      <c r="E28751" s="1" t="s">
        <v>13701</v>
      </c>
      <c r="F28751" s="2"/>
      <c r="G28751" s="2"/>
      <c r="H28751" s="2"/>
    </row>
    <row r="28752" spans="1:8" x14ac:dyDescent="0.25">
      <c r="A28752" s="1"/>
      <c r="B28752" s="1" t="s">
        <v>7328</v>
      </c>
      <c r="C28752" s="1" t="s">
        <v>7329</v>
      </c>
      <c r="D28752" s="22" t="str">
        <f>HYPERLINK("https://rhld.insurance.arkansas.gov/NPILookup?Npi=1841767118","1841767118")</f>
        <v>1841767118</v>
      </c>
      <c r="E28752" s="1" t="s">
        <v>28887</v>
      </c>
      <c r="F28752" s="2"/>
      <c r="G28752" s="2"/>
      <c r="H28752" s="2"/>
    </row>
    <row r="28753" spans="1:8" x14ac:dyDescent="0.25">
      <c r="A28753" s="1"/>
      <c r="B28753" s="1" t="s">
        <v>7328</v>
      </c>
      <c r="C28753" s="1" t="s">
        <v>7329</v>
      </c>
      <c r="D28753" s="22" t="str">
        <f>HYPERLINK("https://rhld.insurance.arkansas.gov/NPILookup?Npi=1841772290","1841772290")</f>
        <v>1841772290</v>
      </c>
      <c r="E28753" s="1" t="s">
        <v>28888</v>
      </c>
      <c r="F28753" s="2"/>
      <c r="G28753" s="2"/>
      <c r="H28753" s="2"/>
    </row>
    <row r="28754" spans="1:8" x14ac:dyDescent="0.25">
      <c r="A28754" s="1"/>
      <c r="B28754" s="1" t="s">
        <v>7328</v>
      </c>
      <c r="C28754" s="1" t="s">
        <v>7329</v>
      </c>
      <c r="D28754" s="22" t="str">
        <f>HYPERLINK("https://rhld.insurance.arkansas.gov/NPILookup?Npi=1841776846","1841776846")</f>
        <v>1841776846</v>
      </c>
      <c r="E28754" s="1" t="s">
        <v>28889</v>
      </c>
      <c r="F28754" s="2"/>
      <c r="G28754" s="2"/>
      <c r="H28754" s="2"/>
    </row>
    <row r="28755" spans="1:8" x14ac:dyDescent="0.25">
      <c r="A28755" s="1"/>
      <c r="B28755" s="1" t="s">
        <v>7328</v>
      </c>
      <c r="C28755" s="1" t="s">
        <v>7329</v>
      </c>
      <c r="D28755" s="22" t="str">
        <f>HYPERLINK("https://rhld.insurance.arkansas.gov/NPILookup?Npi=1841798105","1841798105")</f>
        <v>1841798105</v>
      </c>
      <c r="E28755" s="1" t="s">
        <v>13702</v>
      </c>
      <c r="F28755" s="2"/>
      <c r="G28755" s="2"/>
      <c r="H28755" s="2"/>
    </row>
    <row r="28756" spans="1:8" x14ac:dyDescent="0.25">
      <c r="A28756" s="1"/>
      <c r="B28756" s="1" t="s">
        <v>7328</v>
      </c>
      <c r="C28756" s="1" t="s">
        <v>7329</v>
      </c>
      <c r="D28756" s="22" t="str">
        <f>HYPERLINK("https://rhld.insurance.arkansas.gov/NPILookup?Npi=1841804945","1841804945")</f>
        <v>1841804945</v>
      </c>
      <c r="E28756" s="1" t="s">
        <v>28890</v>
      </c>
      <c r="F28756" s="2"/>
      <c r="G28756" s="2"/>
      <c r="H28756" s="2"/>
    </row>
    <row r="28757" spans="1:8" x14ac:dyDescent="0.25">
      <c r="A28757" s="1"/>
      <c r="B28757" s="1" t="s">
        <v>7328</v>
      </c>
      <c r="C28757" s="1" t="s">
        <v>7329</v>
      </c>
      <c r="D28757" s="22" t="str">
        <f>HYPERLINK("https://rhld.insurance.arkansas.gov/NPILookup?Npi=1841823770","1841823770")</f>
        <v>1841823770</v>
      </c>
      <c r="E28757" s="1" t="s">
        <v>2418</v>
      </c>
      <c r="F28757" s="2"/>
      <c r="G28757" s="2"/>
      <c r="H28757" s="2"/>
    </row>
    <row r="28758" spans="1:8" x14ac:dyDescent="0.25">
      <c r="A28758" s="1"/>
      <c r="B28758" s="1" t="s">
        <v>7328</v>
      </c>
      <c r="C28758" s="1" t="s">
        <v>7329</v>
      </c>
      <c r="D28758" s="22" t="str">
        <f>HYPERLINK("https://rhld.insurance.arkansas.gov/NPILookup?Npi=1841837358","1841837358")</f>
        <v>1841837358</v>
      </c>
      <c r="E28758" s="1" t="s">
        <v>28891</v>
      </c>
      <c r="F28758" s="2"/>
      <c r="G28758" s="2"/>
      <c r="H28758" s="2"/>
    </row>
    <row r="28759" spans="1:8" x14ac:dyDescent="0.25">
      <c r="A28759" s="1"/>
      <c r="B28759" s="1" t="s">
        <v>7328</v>
      </c>
      <c r="C28759" s="1" t="s">
        <v>7329</v>
      </c>
      <c r="D28759" s="22" t="str">
        <f>HYPERLINK("https://rhld.insurance.arkansas.gov/NPILookup?Npi=1841856176","1841856176")</f>
        <v>1841856176</v>
      </c>
      <c r="E28759" s="1" t="s">
        <v>13703</v>
      </c>
      <c r="F28759" s="2"/>
      <c r="G28759" s="2"/>
      <c r="H28759" s="2"/>
    </row>
    <row r="28760" spans="1:8" x14ac:dyDescent="0.25">
      <c r="A28760" s="1"/>
      <c r="B28760" s="1" t="s">
        <v>7328</v>
      </c>
      <c r="C28760" s="1" t="s">
        <v>7329</v>
      </c>
      <c r="D28760" s="22" t="str">
        <f>HYPERLINK("https://rhld.insurance.arkansas.gov/NPILookup?Npi=1841861317","1841861317")</f>
        <v>1841861317</v>
      </c>
      <c r="E28760" s="1" t="s">
        <v>28892</v>
      </c>
      <c r="F28760" s="2"/>
      <c r="G28760" s="2"/>
      <c r="H28760" s="2"/>
    </row>
    <row r="28761" spans="1:8" x14ac:dyDescent="0.25">
      <c r="A28761" s="1"/>
      <c r="B28761" s="1" t="s">
        <v>7328</v>
      </c>
      <c r="C28761" s="1" t="s">
        <v>7329</v>
      </c>
      <c r="D28761" s="22" t="str">
        <f>HYPERLINK("https://rhld.insurance.arkansas.gov/NPILookup?Npi=1841865698","1841865698")</f>
        <v>1841865698</v>
      </c>
      <c r="E28761" s="1" t="s">
        <v>8140</v>
      </c>
      <c r="F28761" s="2"/>
      <c r="G28761" s="2"/>
      <c r="H28761" s="2"/>
    </row>
    <row r="28762" spans="1:8" x14ac:dyDescent="0.25">
      <c r="A28762" s="1"/>
      <c r="B28762" s="1" t="s">
        <v>7328</v>
      </c>
      <c r="C28762" s="1" t="s">
        <v>7329</v>
      </c>
      <c r="D28762" s="22" t="str">
        <f>HYPERLINK("https://rhld.insurance.arkansas.gov/NPILookup?Npi=1841875911","1841875911")</f>
        <v>1841875911</v>
      </c>
      <c r="E28762" s="1" t="s">
        <v>28893</v>
      </c>
      <c r="F28762" s="2"/>
      <c r="G28762" s="2"/>
      <c r="H28762" s="2"/>
    </row>
    <row r="28763" spans="1:8" x14ac:dyDescent="0.25">
      <c r="A28763" s="1"/>
      <c r="B28763" s="1" t="s">
        <v>7328</v>
      </c>
      <c r="C28763" s="1" t="s">
        <v>7329</v>
      </c>
      <c r="D28763" s="22" t="str">
        <f>HYPERLINK("https://rhld.insurance.arkansas.gov/NPILookup?Npi=1841878824","1841878824")</f>
        <v>1841878824</v>
      </c>
      <c r="E28763" s="1" t="s">
        <v>28894</v>
      </c>
      <c r="F28763" s="2"/>
      <c r="G28763" s="2"/>
      <c r="H28763" s="2"/>
    </row>
    <row r="28764" spans="1:8" x14ac:dyDescent="0.25">
      <c r="A28764" s="1"/>
      <c r="B28764" s="1" t="s">
        <v>7328</v>
      </c>
      <c r="C28764" s="1" t="s">
        <v>7329</v>
      </c>
      <c r="D28764" s="22" t="str">
        <f>HYPERLINK("https://rhld.insurance.arkansas.gov/NPILookup?Npi=1841889854","1841889854")</f>
        <v>1841889854</v>
      </c>
      <c r="E28764" s="1" t="s">
        <v>28895</v>
      </c>
      <c r="F28764" s="2"/>
      <c r="G28764" s="2"/>
      <c r="H28764" s="2"/>
    </row>
    <row r="28765" spans="1:8" x14ac:dyDescent="0.25">
      <c r="A28765" s="1"/>
      <c r="B28765" s="1" t="s">
        <v>7328</v>
      </c>
      <c r="C28765" s="1" t="s">
        <v>7329</v>
      </c>
      <c r="D28765" s="22" t="str">
        <f>HYPERLINK("https://rhld.insurance.arkansas.gov/NPILookup?Npi=1841899614","1841899614")</f>
        <v>1841899614</v>
      </c>
      <c r="E28765" s="1" t="s">
        <v>28896</v>
      </c>
      <c r="F28765" s="2"/>
      <c r="G28765" s="2"/>
      <c r="H28765" s="2"/>
    </row>
    <row r="28766" spans="1:8" x14ac:dyDescent="0.25">
      <c r="A28766" s="1"/>
      <c r="B28766" s="1" t="s">
        <v>7328</v>
      </c>
      <c r="C28766" s="1" t="s">
        <v>7329</v>
      </c>
      <c r="D28766" s="22" t="str">
        <f>HYPERLINK("https://rhld.insurance.arkansas.gov/NPILookup?Npi=1841922937","1841922937")</f>
        <v>1841922937</v>
      </c>
      <c r="E28766" s="1" t="s">
        <v>32381</v>
      </c>
      <c r="F28766" s="2"/>
      <c r="G28766" s="2"/>
      <c r="H28766" s="2"/>
    </row>
    <row r="28767" spans="1:8" x14ac:dyDescent="0.25">
      <c r="A28767" s="1"/>
      <c r="B28767" s="1" t="s">
        <v>7328</v>
      </c>
      <c r="C28767" s="1" t="s">
        <v>7329</v>
      </c>
      <c r="D28767" s="22" t="str">
        <f>HYPERLINK("https://rhld.insurance.arkansas.gov/NPILookup?Npi=1841923885","1841923885")</f>
        <v>1841923885</v>
      </c>
      <c r="E28767" s="1" t="s">
        <v>13704</v>
      </c>
      <c r="F28767" s="2"/>
      <c r="G28767" s="2"/>
      <c r="H28767" s="2"/>
    </row>
    <row r="28768" spans="1:8" x14ac:dyDescent="0.25">
      <c r="A28768" s="1"/>
      <c r="B28768" s="1" t="s">
        <v>7328</v>
      </c>
      <c r="C28768" s="1" t="s">
        <v>7329</v>
      </c>
      <c r="D28768" s="22" t="str">
        <f>HYPERLINK("https://rhld.insurance.arkansas.gov/NPILookup?Npi=1841923943","1841923943")</f>
        <v>1841923943</v>
      </c>
      <c r="E28768" s="1" t="s">
        <v>28897</v>
      </c>
      <c r="F28768" s="2"/>
      <c r="G28768" s="2"/>
      <c r="H28768" s="2"/>
    </row>
    <row r="28769" spans="1:8" x14ac:dyDescent="0.25">
      <c r="A28769" s="1"/>
      <c r="B28769" s="1" t="s">
        <v>7328</v>
      </c>
      <c r="C28769" s="1" t="s">
        <v>7329</v>
      </c>
      <c r="D28769" s="22" t="str">
        <f>HYPERLINK("https://rhld.insurance.arkansas.gov/NPILookup?Npi=1841929312","1841929312")</f>
        <v>1841929312</v>
      </c>
      <c r="E28769" s="1" t="s">
        <v>8141</v>
      </c>
      <c r="F28769" s="2"/>
      <c r="G28769" s="2"/>
      <c r="H28769" s="2"/>
    </row>
    <row r="28770" spans="1:8" x14ac:dyDescent="0.25">
      <c r="A28770" s="1"/>
      <c r="B28770" s="1" t="s">
        <v>7328</v>
      </c>
      <c r="C28770" s="1" t="s">
        <v>7329</v>
      </c>
      <c r="D28770" s="22" t="str">
        <f>HYPERLINK("https://rhld.insurance.arkansas.gov/NPILookup?Npi=1841945482","1841945482")</f>
        <v>1841945482</v>
      </c>
      <c r="E28770" s="1" t="s">
        <v>28898</v>
      </c>
      <c r="F28770" s="2"/>
      <c r="G28770" s="2"/>
      <c r="H28770" s="2"/>
    </row>
    <row r="28771" spans="1:8" x14ac:dyDescent="0.25">
      <c r="A28771" s="1"/>
      <c r="B28771" s="1" t="s">
        <v>7328</v>
      </c>
      <c r="C28771" s="1" t="s">
        <v>7329</v>
      </c>
      <c r="D28771" s="22" t="str">
        <f>HYPERLINK("https://rhld.insurance.arkansas.gov/NPILookup?Npi=1851004469","1851004469")</f>
        <v>1851004469</v>
      </c>
      <c r="E28771" s="1" t="s">
        <v>28899</v>
      </c>
      <c r="F28771" s="2"/>
      <c r="G28771" s="2"/>
      <c r="H28771" s="2"/>
    </row>
    <row r="28772" spans="1:8" x14ac:dyDescent="0.25">
      <c r="A28772" s="1"/>
      <c r="B28772" s="1" t="s">
        <v>7328</v>
      </c>
      <c r="C28772" s="1" t="s">
        <v>7329</v>
      </c>
      <c r="D28772" s="22" t="str">
        <f>HYPERLINK("https://rhld.insurance.arkansas.gov/NPILookup?Npi=1851024996","1851024996")</f>
        <v>1851024996</v>
      </c>
      <c r="E28772" s="1" t="s">
        <v>28900</v>
      </c>
      <c r="F28772" s="2"/>
      <c r="G28772" s="2"/>
      <c r="H28772" s="2"/>
    </row>
    <row r="28773" spans="1:8" x14ac:dyDescent="0.25">
      <c r="A28773" s="1"/>
      <c r="B28773" s="1" t="s">
        <v>7328</v>
      </c>
      <c r="C28773" s="1" t="s">
        <v>7329</v>
      </c>
      <c r="D28773" s="22" t="str">
        <f>HYPERLINK("https://rhld.insurance.arkansas.gov/NPILookup?Npi=1851027114","1851027114")</f>
        <v>1851027114</v>
      </c>
      <c r="E28773" s="1" t="s">
        <v>28901</v>
      </c>
      <c r="F28773" s="2"/>
      <c r="G28773" s="2"/>
      <c r="H28773" s="2"/>
    </row>
    <row r="28774" spans="1:8" x14ac:dyDescent="0.25">
      <c r="A28774" s="1"/>
      <c r="B28774" s="1" t="s">
        <v>7328</v>
      </c>
      <c r="C28774" s="1" t="s">
        <v>7329</v>
      </c>
      <c r="D28774" s="22" t="str">
        <f>HYPERLINK("https://rhld.insurance.arkansas.gov/NPILookup?Npi=1851036859","1851036859")</f>
        <v>1851036859</v>
      </c>
      <c r="E28774" s="1" t="s">
        <v>28902</v>
      </c>
      <c r="F28774" s="2"/>
      <c r="G28774" s="2"/>
      <c r="H28774" s="2"/>
    </row>
    <row r="28775" spans="1:8" x14ac:dyDescent="0.25">
      <c r="A28775" s="1"/>
      <c r="B28775" s="1" t="s">
        <v>7328</v>
      </c>
      <c r="C28775" s="1" t="s">
        <v>7329</v>
      </c>
      <c r="D28775" s="22" t="str">
        <f>HYPERLINK("https://rhld.insurance.arkansas.gov/NPILookup?Npi=1851038871","1851038871")</f>
        <v>1851038871</v>
      </c>
      <c r="E28775" s="1" t="s">
        <v>28903</v>
      </c>
      <c r="F28775" s="2"/>
      <c r="G28775" s="2"/>
      <c r="H28775" s="2"/>
    </row>
    <row r="28776" spans="1:8" x14ac:dyDescent="0.25">
      <c r="A28776" s="1"/>
      <c r="B28776" s="1" t="s">
        <v>7328</v>
      </c>
      <c r="C28776" s="1" t="s">
        <v>7329</v>
      </c>
      <c r="D28776" s="22" t="str">
        <f>HYPERLINK("https://rhld.insurance.arkansas.gov/NPILookup?Npi=1851045223","1851045223")</f>
        <v>1851045223</v>
      </c>
      <c r="E28776" s="1" t="s">
        <v>2419</v>
      </c>
      <c r="F28776" s="2"/>
      <c r="G28776" s="2"/>
      <c r="H28776" s="2"/>
    </row>
    <row r="28777" spans="1:8" x14ac:dyDescent="0.25">
      <c r="A28777" s="1"/>
      <c r="B28777" s="1" t="s">
        <v>7328</v>
      </c>
      <c r="C28777" s="1" t="s">
        <v>7329</v>
      </c>
      <c r="D28777" s="22" t="str">
        <f>HYPERLINK("https://rhld.insurance.arkansas.gov/NPILookup?Npi=1851053656","1851053656")</f>
        <v>1851053656</v>
      </c>
      <c r="E28777" s="1" t="s">
        <v>28904</v>
      </c>
      <c r="F28777" s="2"/>
      <c r="G28777" s="2"/>
      <c r="H28777" s="2"/>
    </row>
    <row r="28778" spans="1:8" x14ac:dyDescent="0.25">
      <c r="A28778" s="1"/>
      <c r="B28778" s="1" t="s">
        <v>7328</v>
      </c>
      <c r="C28778" s="1" t="s">
        <v>7329</v>
      </c>
      <c r="D28778" s="22" t="str">
        <f>HYPERLINK("https://rhld.insurance.arkansas.gov/NPILookup?Npi=1851058804","1851058804")</f>
        <v>1851058804</v>
      </c>
      <c r="E28778" s="1" t="s">
        <v>28905</v>
      </c>
      <c r="F28778" s="2"/>
      <c r="G28778" s="2"/>
      <c r="H28778" s="2"/>
    </row>
    <row r="28779" spans="1:8" x14ac:dyDescent="0.25">
      <c r="A28779" s="1"/>
      <c r="B28779" s="1" t="s">
        <v>7328</v>
      </c>
      <c r="C28779" s="1" t="s">
        <v>7329</v>
      </c>
      <c r="D28779" s="22" t="str">
        <f>HYPERLINK("https://rhld.insurance.arkansas.gov/NPILookup?Npi=1851068068","1851068068")</f>
        <v>1851068068</v>
      </c>
      <c r="E28779" s="1" t="s">
        <v>28906</v>
      </c>
      <c r="F28779" s="2"/>
      <c r="G28779" s="2"/>
      <c r="H28779" s="2"/>
    </row>
    <row r="28780" spans="1:8" x14ac:dyDescent="0.25">
      <c r="A28780" s="1"/>
      <c r="B28780" s="1" t="s">
        <v>7328</v>
      </c>
      <c r="C28780" s="1" t="s">
        <v>7329</v>
      </c>
      <c r="D28780" s="22" t="str">
        <f>HYPERLINK("https://rhld.insurance.arkansas.gov/NPILookup?Npi=1851070320","1851070320")</f>
        <v>1851070320</v>
      </c>
      <c r="E28780" s="1" t="s">
        <v>28907</v>
      </c>
      <c r="F28780" s="2"/>
      <c r="G28780" s="2"/>
      <c r="H28780" s="2"/>
    </row>
    <row r="28781" spans="1:8" x14ac:dyDescent="0.25">
      <c r="A28781" s="1"/>
      <c r="B28781" s="1" t="s">
        <v>7328</v>
      </c>
      <c r="C28781" s="1" t="s">
        <v>7329</v>
      </c>
      <c r="D28781" s="22" t="str">
        <f>HYPERLINK("https://rhld.insurance.arkansas.gov/NPILookup?Npi=1851085773","1851085773")</f>
        <v>1851085773</v>
      </c>
      <c r="E28781" s="1" t="s">
        <v>28908</v>
      </c>
      <c r="F28781" s="2"/>
      <c r="G28781" s="2"/>
      <c r="H28781" s="2"/>
    </row>
    <row r="28782" spans="1:8" x14ac:dyDescent="0.25">
      <c r="A28782" s="1"/>
      <c r="B28782" s="1" t="s">
        <v>7328</v>
      </c>
      <c r="C28782" s="1" t="s">
        <v>7329</v>
      </c>
      <c r="D28782" s="22" t="str">
        <f>HYPERLINK("https://rhld.insurance.arkansas.gov/NPILookup?Npi=1851088561","1851088561")</f>
        <v>1851088561</v>
      </c>
      <c r="E28782" s="1" t="s">
        <v>13705</v>
      </c>
      <c r="F28782" s="2"/>
      <c r="G28782" s="2"/>
      <c r="H28782" s="2"/>
    </row>
    <row r="28783" spans="1:8" x14ac:dyDescent="0.25">
      <c r="A28783" s="1"/>
      <c r="B28783" s="1" t="s">
        <v>7328</v>
      </c>
      <c r="C28783" s="1" t="s">
        <v>7329</v>
      </c>
      <c r="D28783" s="22" t="str">
        <f>HYPERLINK("https://rhld.insurance.arkansas.gov/NPILookup?Npi=1851098164","1851098164")</f>
        <v>1851098164</v>
      </c>
      <c r="E28783" s="1" t="s">
        <v>28909</v>
      </c>
      <c r="F28783" s="2"/>
      <c r="G28783" s="2"/>
      <c r="H28783" s="2"/>
    </row>
    <row r="28784" spans="1:8" x14ac:dyDescent="0.25">
      <c r="A28784" s="1"/>
      <c r="B28784" s="1" t="s">
        <v>7328</v>
      </c>
      <c r="C28784" s="1" t="s">
        <v>7329</v>
      </c>
      <c r="D28784" s="22" t="str">
        <f>HYPERLINK("https://rhld.insurance.arkansas.gov/NPILookup?Npi=1851102727","1851102727")</f>
        <v>1851102727</v>
      </c>
      <c r="E28784" s="1" t="s">
        <v>32382</v>
      </c>
      <c r="F28784" s="2"/>
      <c r="G28784" s="2"/>
      <c r="H28784" s="2"/>
    </row>
    <row r="28785" spans="1:8" x14ac:dyDescent="0.25">
      <c r="A28785" s="1"/>
      <c r="B28785" s="1" t="s">
        <v>7328</v>
      </c>
      <c r="C28785" s="1" t="s">
        <v>7329</v>
      </c>
      <c r="D28785" s="22" t="str">
        <f>HYPERLINK("https://rhld.insurance.arkansas.gov/NPILookup?Npi=1851138531","1851138531")</f>
        <v>1851138531</v>
      </c>
      <c r="E28785" s="1" t="s">
        <v>28910</v>
      </c>
      <c r="F28785" s="2"/>
      <c r="G28785" s="2"/>
      <c r="H28785" s="2"/>
    </row>
    <row r="28786" spans="1:8" x14ac:dyDescent="0.25">
      <c r="A28786" s="1"/>
      <c r="B28786" s="1" t="s">
        <v>7328</v>
      </c>
      <c r="C28786" s="1" t="s">
        <v>7329</v>
      </c>
      <c r="D28786" s="22" t="str">
        <f>HYPERLINK("https://rhld.insurance.arkansas.gov/NPILookup?Npi=1851139018","1851139018")</f>
        <v>1851139018</v>
      </c>
      <c r="E28786" s="1" t="s">
        <v>28911</v>
      </c>
      <c r="F28786" s="2"/>
      <c r="G28786" s="2"/>
      <c r="H28786" s="2"/>
    </row>
    <row r="28787" spans="1:8" x14ac:dyDescent="0.25">
      <c r="A28787" s="1"/>
      <c r="B28787" s="1" t="s">
        <v>7328</v>
      </c>
      <c r="C28787" s="1" t="s">
        <v>7329</v>
      </c>
      <c r="D28787" s="22" t="str">
        <f>HYPERLINK("https://rhld.insurance.arkansas.gov/NPILookup?Npi=1851161079","1851161079")</f>
        <v>1851161079</v>
      </c>
      <c r="E28787" s="1" t="s">
        <v>28912</v>
      </c>
      <c r="F28787" s="2"/>
      <c r="G28787" s="2"/>
      <c r="H28787" s="2"/>
    </row>
    <row r="28788" spans="1:8" x14ac:dyDescent="0.25">
      <c r="A28788" s="1"/>
      <c r="B28788" s="1" t="s">
        <v>7328</v>
      </c>
      <c r="C28788" s="1" t="s">
        <v>7329</v>
      </c>
      <c r="D28788" s="22" t="str">
        <f>HYPERLINK("https://rhld.insurance.arkansas.gov/NPILookup?Npi=1851164057","1851164057")</f>
        <v>1851164057</v>
      </c>
      <c r="E28788" s="1" t="s">
        <v>5208</v>
      </c>
      <c r="F28788" s="2"/>
      <c r="G28788" s="2"/>
      <c r="H28788" s="2"/>
    </row>
    <row r="28789" spans="1:8" x14ac:dyDescent="0.25">
      <c r="A28789" s="1"/>
      <c r="B28789" s="1" t="s">
        <v>7328</v>
      </c>
      <c r="C28789" s="1" t="s">
        <v>7329</v>
      </c>
      <c r="D28789" s="22" t="str">
        <f>HYPERLINK("https://rhld.insurance.arkansas.gov/NPILookup?Npi=1851308480","1851308480")</f>
        <v>1851308480</v>
      </c>
      <c r="E28789" s="1" t="s">
        <v>28913</v>
      </c>
      <c r="F28789" s="2"/>
      <c r="G28789" s="2"/>
      <c r="H28789" s="2"/>
    </row>
    <row r="28790" spans="1:8" x14ac:dyDescent="0.25">
      <c r="A28790" s="1"/>
      <c r="B28790" s="1" t="s">
        <v>7328</v>
      </c>
      <c r="C28790" s="1" t="s">
        <v>7329</v>
      </c>
      <c r="D28790" s="22" t="str">
        <f>HYPERLINK("https://rhld.insurance.arkansas.gov/NPILookup?Npi=1851313399","1851313399")</f>
        <v>1851313399</v>
      </c>
      <c r="E28790" s="1" t="s">
        <v>8142</v>
      </c>
      <c r="F28790" s="2"/>
      <c r="G28790" s="2"/>
      <c r="H28790" s="2"/>
    </row>
    <row r="28791" spans="1:8" x14ac:dyDescent="0.25">
      <c r="A28791" s="1"/>
      <c r="B28791" s="1" t="s">
        <v>7328</v>
      </c>
      <c r="C28791" s="1" t="s">
        <v>7329</v>
      </c>
      <c r="D28791" s="22" t="str">
        <f>HYPERLINK("https://rhld.insurance.arkansas.gov/NPILookup?Npi=1851315352","1851315352")</f>
        <v>1851315352</v>
      </c>
      <c r="E28791" s="1" t="s">
        <v>13706</v>
      </c>
      <c r="F28791" s="2"/>
      <c r="G28791" s="2"/>
      <c r="H28791" s="2"/>
    </row>
    <row r="28792" spans="1:8" x14ac:dyDescent="0.25">
      <c r="A28792" s="1"/>
      <c r="B28792" s="1" t="s">
        <v>7328</v>
      </c>
      <c r="C28792" s="1" t="s">
        <v>7329</v>
      </c>
      <c r="D28792" s="22" t="str">
        <f>HYPERLINK("https://rhld.insurance.arkansas.gov/NPILookup?Npi=1851317051","1851317051")</f>
        <v>1851317051</v>
      </c>
      <c r="E28792" s="1" t="s">
        <v>8143</v>
      </c>
      <c r="F28792" s="2"/>
      <c r="G28792" s="2"/>
      <c r="H28792" s="2"/>
    </row>
    <row r="28793" spans="1:8" x14ac:dyDescent="0.25">
      <c r="A28793" s="1"/>
      <c r="B28793" s="1" t="s">
        <v>7328</v>
      </c>
      <c r="C28793" s="1" t="s">
        <v>7329</v>
      </c>
      <c r="D28793" s="22" t="str">
        <f>HYPERLINK("https://rhld.insurance.arkansas.gov/NPILookup?Npi=1851336697","1851336697")</f>
        <v>1851336697</v>
      </c>
      <c r="E28793" s="1" t="s">
        <v>28914</v>
      </c>
      <c r="F28793" s="2"/>
      <c r="G28793" s="2"/>
      <c r="H28793" s="2"/>
    </row>
    <row r="28794" spans="1:8" x14ac:dyDescent="0.25">
      <c r="A28794" s="1"/>
      <c r="B28794" s="1" t="s">
        <v>7328</v>
      </c>
      <c r="C28794" s="1" t="s">
        <v>7329</v>
      </c>
      <c r="D28794" s="22" t="str">
        <f>HYPERLINK("https://rhld.insurance.arkansas.gov/NPILookup?Npi=1851341218","1851341218")</f>
        <v>1851341218</v>
      </c>
      <c r="E28794" s="1" t="s">
        <v>28915</v>
      </c>
      <c r="F28794" s="2"/>
      <c r="G28794" s="2"/>
      <c r="H28794" s="2"/>
    </row>
    <row r="28795" spans="1:8" x14ac:dyDescent="0.25">
      <c r="A28795" s="1"/>
      <c r="B28795" s="1" t="s">
        <v>7328</v>
      </c>
      <c r="C28795" s="1" t="s">
        <v>7329</v>
      </c>
      <c r="D28795" s="22" t="str">
        <f>HYPERLINK("https://rhld.insurance.arkansas.gov/NPILookup?Npi=1851359350","1851359350")</f>
        <v>1851359350</v>
      </c>
      <c r="E28795" s="1" t="s">
        <v>10463</v>
      </c>
      <c r="F28795" s="2"/>
      <c r="G28795" s="2"/>
      <c r="H28795" s="2"/>
    </row>
    <row r="28796" spans="1:8" x14ac:dyDescent="0.25">
      <c r="A28796" s="1"/>
      <c r="B28796" s="1" t="s">
        <v>7328</v>
      </c>
      <c r="C28796" s="1" t="s">
        <v>7329</v>
      </c>
      <c r="D28796" s="22" t="str">
        <f>HYPERLINK("https://rhld.insurance.arkansas.gov/NPILookup?Npi=1851359665","1851359665")</f>
        <v>1851359665</v>
      </c>
      <c r="E28796" s="1" t="s">
        <v>28916</v>
      </c>
      <c r="F28796" s="2"/>
      <c r="G28796" s="2"/>
      <c r="H28796" s="2"/>
    </row>
    <row r="28797" spans="1:8" x14ac:dyDescent="0.25">
      <c r="A28797" s="1"/>
      <c r="B28797" s="1" t="s">
        <v>7328</v>
      </c>
      <c r="C28797" s="1" t="s">
        <v>7329</v>
      </c>
      <c r="D28797" s="22" t="str">
        <f>HYPERLINK("https://rhld.insurance.arkansas.gov/NPILookup?Npi=1851368740","1851368740")</f>
        <v>1851368740</v>
      </c>
      <c r="E28797" s="1" t="s">
        <v>28917</v>
      </c>
      <c r="F28797" s="2"/>
      <c r="G28797" s="2"/>
      <c r="H28797" s="2"/>
    </row>
    <row r="28798" spans="1:8" x14ac:dyDescent="0.25">
      <c r="A28798" s="1"/>
      <c r="B28798" s="1" t="s">
        <v>7328</v>
      </c>
      <c r="C28798" s="1" t="s">
        <v>7329</v>
      </c>
      <c r="D28798" s="22" t="str">
        <f>HYPERLINK("https://rhld.insurance.arkansas.gov/NPILookup?Npi=1851371314","1851371314")</f>
        <v>1851371314</v>
      </c>
      <c r="E28798" s="1" t="s">
        <v>13707</v>
      </c>
      <c r="F28798" s="2"/>
      <c r="G28798" s="2"/>
      <c r="H28798" s="2"/>
    </row>
    <row r="28799" spans="1:8" x14ac:dyDescent="0.25">
      <c r="A28799" s="1"/>
      <c r="B28799" s="1" t="s">
        <v>7328</v>
      </c>
      <c r="C28799" s="1" t="s">
        <v>7329</v>
      </c>
      <c r="D28799" s="22" t="str">
        <f>HYPERLINK("https://rhld.insurance.arkansas.gov/NPILookup?Npi=1851385462","1851385462")</f>
        <v>1851385462</v>
      </c>
      <c r="E28799" s="1" t="s">
        <v>28918</v>
      </c>
      <c r="F28799" s="2"/>
      <c r="G28799" s="2"/>
      <c r="H28799" s="2"/>
    </row>
    <row r="28800" spans="1:8" x14ac:dyDescent="0.25">
      <c r="A28800" s="1"/>
      <c r="B28800" s="1" t="s">
        <v>7328</v>
      </c>
      <c r="C28800" s="1" t="s">
        <v>7329</v>
      </c>
      <c r="D28800" s="22" t="str">
        <f>HYPERLINK("https://rhld.insurance.arkansas.gov/NPILookup?Npi=1851385793","1851385793")</f>
        <v>1851385793</v>
      </c>
      <c r="E28800" s="1" t="s">
        <v>895</v>
      </c>
      <c r="F28800" s="2"/>
      <c r="G28800" s="2"/>
      <c r="H28800" s="2"/>
    </row>
    <row r="28801" spans="1:8" x14ac:dyDescent="0.25">
      <c r="A28801" s="1"/>
      <c r="B28801" s="1" t="s">
        <v>7328</v>
      </c>
      <c r="C28801" s="1" t="s">
        <v>7329</v>
      </c>
      <c r="D28801" s="22" t="str">
        <f>HYPERLINK("https://rhld.insurance.arkansas.gov/NPILookup?Npi=1851397822","1851397822")</f>
        <v>1851397822</v>
      </c>
      <c r="E28801" s="1" t="s">
        <v>11841</v>
      </c>
      <c r="F28801" s="2"/>
      <c r="G28801" s="2"/>
      <c r="H28801" s="2"/>
    </row>
    <row r="28802" spans="1:8" x14ac:dyDescent="0.25">
      <c r="A28802" s="1"/>
      <c r="B28802" s="1" t="s">
        <v>7328</v>
      </c>
      <c r="C28802" s="1" t="s">
        <v>7329</v>
      </c>
      <c r="D28802" s="22" t="str">
        <f>HYPERLINK("https://rhld.insurance.arkansas.gov/NPILookup?Npi=1851403422","1851403422")</f>
        <v>1851403422</v>
      </c>
      <c r="E28802" s="1" t="s">
        <v>17938</v>
      </c>
      <c r="F28802" s="2"/>
      <c r="G28802" s="2"/>
      <c r="H28802" s="2"/>
    </row>
    <row r="28803" spans="1:8" x14ac:dyDescent="0.25">
      <c r="A28803" s="1"/>
      <c r="B28803" s="1" t="s">
        <v>7328</v>
      </c>
      <c r="C28803" s="1" t="s">
        <v>7329</v>
      </c>
      <c r="D28803" s="22" t="str">
        <f>HYPERLINK("https://rhld.insurance.arkansas.gov/NPILookup?Npi=1851470140","1851470140")</f>
        <v>1851470140</v>
      </c>
      <c r="E28803" s="1" t="s">
        <v>3050</v>
      </c>
      <c r="F28803" s="2"/>
      <c r="G28803" s="2"/>
      <c r="H28803" s="2"/>
    </row>
    <row r="28804" spans="1:8" x14ac:dyDescent="0.25">
      <c r="A28804" s="1"/>
      <c r="B28804" s="1" t="s">
        <v>7328</v>
      </c>
      <c r="C28804" s="1" t="s">
        <v>7329</v>
      </c>
      <c r="D28804" s="22" t="str">
        <f>HYPERLINK("https://rhld.insurance.arkansas.gov/NPILookup?Npi=1851470231","1851470231")</f>
        <v>1851470231</v>
      </c>
      <c r="E28804" s="1" t="s">
        <v>28919</v>
      </c>
      <c r="F28804" s="2"/>
      <c r="G28804" s="2"/>
      <c r="H28804" s="2"/>
    </row>
    <row r="28805" spans="1:8" x14ac:dyDescent="0.25">
      <c r="A28805" s="1"/>
      <c r="B28805" s="1" t="s">
        <v>7328</v>
      </c>
      <c r="C28805" s="1" t="s">
        <v>7329</v>
      </c>
      <c r="D28805" s="22" t="str">
        <f>HYPERLINK("https://rhld.insurance.arkansas.gov/NPILookup?Npi=1851481337","1851481337")</f>
        <v>1851481337</v>
      </c>
      <c r="E28805" s="1" t="s">
        <v>28920</v>
      </c>
      <c r="F28805" s="2"/>
      <c r="G28805" s="2"/>
      <c r="H28805" s="2"/>
    </row>
    <row r="28806" spans="1:8" x14ac:dyDescent="0.25">
      <c r="A28806" s="1"/>
      <c r="B28806" s="1" t="s">
        <v>7328</v>
      </c>
      <c r="C28806" s="1" t="s">
        <v>7329</v>
      </c>
      <c r="D28806" s="22" t="str">
        <f>HYPERLINK("https://rhld.insurance.arkansas.gov/NPILookup?Npi=1851482921","1851482921")</f>
        <v>1851482921</v>
      </c>
      <c r="E28806" s="1" t="s">
        <v>23536</v>
      </c>
      <c r="F28806" s="2"/>
      <c r="G28806" s="2"/>
      <c r="H28806" s="2"/>
    </row>
    <row r="28807" spans="1:8" x14ac:dyDescent="0.25">
      <c r="A28807" s="1"/>
      <c r="B28807" s="1" t="s">
        <v>7328</v>
      </c>
      <c r="C28807" s="1" t="s">
        <v>7329</v>
      </c>
      <c r="D28807" s="22" t="str">
        <f>HYPERLINK("https://rhld.insurance.arkansas.gov/NPILookup?Npi=1851494462","1851494462")</f>
        <v>1851494462</v>
      </c>
      <c r="E28807" s="1" t="s">
        <v>28921</v>
      </c>
      <c r="F28807" s="2"/>
      <c r="G28807" s="2"/>
      <c r="H28807" s="2"/>
    </row>
    <row r="28808" spans="1:8" x14ac:dyDescent="0.25">
      <c r="A28808" s="1"/>
      <c r="B28808" s="1" t="s">
        <v>7328</v>
      </c>
      <c r="C28808" s="1" t="s">
        <v>7329</v>
      </c>
      <c r="D28808" s="22" t="str">
        <f>HYPERLINK("https://rhld.insurance.arkansas.gov/NPILookup?Npi=1851505358","1851505358")</f>
        <v>1851505358</v>
      </c>
      <c r="E28808" s="1" t="s">
        <v>220</v>
      </c>
      <c r="F28808" s="2"/>
      <c r="G28808" s="2"/>
      <c r="H28808" s="2"/>
    </row>
    <row r="28809" spans="1:8" x14ac:dyDescent="0.25">
      <c r="A28809" s="1"/>
      <c r="B28809" s="1" t="s">
        <v>7328</v>
      </c>
      <c r="C28809" s="1" t="s">
        <v>7329</v>
      </c>
      <c r="D28809" s="22" t="str">
        <f>HYPERLINK("https://rhld.insurance.arkansas.gov/NPILookup?Npi=1851555411","1851555411")</f>
        <v>1851555411</v>
      </c>
      <c r="E28809" s="1" t="s">
        <v>1110</v>
      </c>
      <c r="F28809" s="2"/>
      <c r="G28809" s="2"/>
      <c r="H28809" s="2"/>
    </row>
    <row r="28810" spans="1:8" x14ac:dyDescent="0.25">
      <c r="A28810" s="1"/>
      <c r="B28810" s="1" t="s">
        <v>7328</v>
      </c>
      <c r="C28810" s="1" t="s">
        <v>7329</v>
      </c>
      <c r="D28810" s="22" t="str">
        <f>HYPERLINK("https://rhld.insurance.arkansas.gov/NPILookup?Npi=1851575880","1851575880")</f>
        <v>1851575880</v>
      </c>
      <c r="E28810" s="1" t="s">
        <v>8144</v>
      </c>
      <c r="F28810" s="2"/>
      <c r="G28810" s="2"/>
      <c r="H28810" s="2"/>
    </row>
    <row r="28811" spans="1:8" x14ac:dyDescent="0.25">
      <c r="A28811" s="1"/>
      <c r="B28811" s="1" t="s">
        <v>7328</v>
      </c>
      <c r="C28811" s="1" t="s">
        <v>7329</v>
      </c>
      <c r="D28811" s="22" t="str">
        <f>HYPERLINK("https://rhld.insurance.arkansas.gov/NPILookup?Npi=1851581383","1851581383")</f>
        <v>1851581383</v>
      </c>
      <c r="E28811" s="1" t="s">
        <v>3051</v>
      </c>
      <c r="F28811" s="2"/>
      <c r="G28811" s="2"/>
      <c r="H28811" s="2"/>
    </row>
    <row r="28812" spans="1:8" x14ac:dyDescent="0.25">
      <c r="A28812" s="1"/>
      <c r="B28812" s="1" t="s">
        <v>7328</v>
      </c>
      <c r="C28812" s="1" t="s">
        <v>7329</v>
      </c>
      <c r="D28812" s="22" t="str">
        <f>HYPERLINK("https://rhld.insurance.arkansas.gov/NPILookup?Npi=1851586713","1851586713")</f>
        <v>1851586713</v>
      </c>
      <c r="E28812" s="1" t="s">
        <v>28922</v>
      </c>
      <c r="F28812" s="2"/>
      <c r="G28812" s="2"/>
      <c r="H28812" s="2"/>
    </row>
    <row r="28813" spans="1:8" x14ac:dyDescent="0.25">
      <c r="A28813" s="1"/>
      <c r="B28813" s="1" t="s">
        <v>7328</v>
      </c>
      <c r="C28813" s="1" t="s">
        <v>7329</v>
      </c>
      <c r="D28813" s="22" t="str">
        <f>HYPERLINK("https://rhld.insurance.arkansas.gov/NPILookup?Npi=1851591358","1851591358")</f>
        <v>1851591358</v>
      </c>
      <c r="E28813" s="1" t="s">
        <v>10464</v>
      </c>
      <c r="F28813" s="2"/>
      <c r="G28813" s="2"/>
      <c r="H28813" s="2"/>
    </row>
    <row r="28814" spans="1:8" x14ac:dyDescent="0.25">
      <c r="A28814" s="1"/>
      <c r="B28814" s="1" t="s">
        <v>7328</v>
      </c>
      <c r="C28814" s="1" t="s">
        <v>7329</v>
      </c>
      <c r="D28814" s="22" t="str">
        <f>HYPERLINK("https://rhld.insurance.arkansas.gov/NPILookup?Npi=1851592604","1851592604")</f>
        <v>1851592604</v>
      </c>
      <c r="E28814" s="1" t="s">
        <v>28923</v>
      </c>
      <c r="F28814" s="2"/>
      <c r="G28814" s="2"/>
      <c r="H28814" s="2"/>
    </row>
    <row r="28815" spans="1:8" x14ac:dyDescent="0.25">
      <c r="A28815" s="1"/>
      <c r="B28815" s="1" t="s">
        <v>7328</v>
      </c>
      <c r="C28815" s="1" t="s">
        <v>7329</v>
      </c>
      <c r="D28815" s="22" t="str">
        <f>HYPERLINK("https://rhld.insurance.arkansas.gov/NPILookup?Npi=1851614648","1851614648")</f>
        <v>1851614648</v>
      </c>
      <c r="E28815" s="1" t="s">
        <v>13708</v>
      </c>
      <c r="F28815" s="2"/>
      <c r="G28815" s="2"/>
      <c r="H28815" s="2"/>
    </row>
    <row r="28816" spans="1:8" x14ac:dyDescent="0.25">
      <c r="A28816" s="1"/>
      <c r="B28816" s="1" t="s">
        <v>7328</v>
      </c>
      <c r="C28816" s="1" t="s">
        <v>7329</v>
      </c>
      <c r="D28816" s="22" t="str">
        <f>HYPERLINK("https://rhld.insurance.arkansas.gov/NPILookup?Npi=1851653117","1851653117")</f>
        <v>1851653117</v>
      </c>
      <c r="E28816" s="1" t="s">
        <v>2134</v>
      </c>
      <c r="F28816" s="2"/>
      <c r="G28816" s="2"/>
      <c r="H28816" s="2"/>
    </row>
    <row r="28817" spans="1:8" x14ac:dyDescent="0.25">
      <c r="A28817" s="1"/>
      <c r="B28817" s="1" t="s">
        <v>7328</v>
      </c>
      <c r="C28817" s="1" t="s">
        <v>7329</v>
      </c>
      <c r="D28817" s="22" t="str">
        <f>HYPERLINK("https://rhld.insurance.arkansas.gov/NPILookup?Npi=1851682694","1851682694")</f>
        <v>1851682694</v>
      </c>
      <c r="E28817" s="1" t="s">
        <v>3052</v>
      </c>
      <c r="F28817" s="2"/>
      <c r="G28817" s="2"/>
      <c r="H28817" s="2"/>
    </row>
    <row r="28818" spans="1:8" x14ac:dyDescent="0.25">
      <c r="A28818" s="1"/>
      <c r="B28818" s="1" t="s">
        <v>7328</v>
      </c>
      <c r="C28818" s="1" t="s">
        <v>7329</v>
      </c>
      <c r="D28818" s="22" t="str">
        <f>HYPERLINK("https://rhld.insurance.arkansas.gov/NPILookup?Npi=1851694848","1851694848")</f>
        <v>1851694848</v>
      </c>
      <c r="E28818" s="1" t="s">
        <v>3053</v>
      </c>
      <c r="F28818" s="2"/>
      <c r="G28818" s="2"/>
      <c r="H28818" s="2"/>
    </row>
    <row r="28819" spans="1:8" x14ac:dyDescent="0.25">
      <c r="A28819" s="1"/>
      <c r="B28819" s="1" t="s">
        <v>7328</v>
      </c>
      <c r="C28819" s="1" t="s">
        <v>7329</v>
      </c>
      <c r="D28819" s="22" t="str">
        <f>HYPERLINK("https://rhld.insurance.arkansas.gov/NPILookup?Npi=1851697197","1851697197")</f>
        <v>1851697197</v>
      </c>
      <c r="E28819" s="1" t="s">
        <v>28924</v>
      </c>
      <c r="F28819" s="2"/>
      <c r="G28819" s="2"/>
      <c r="H28819" s="2"/>
    </row>
    <row r="28820" spans="1:8" x14ac:dyDescent="0.25">
      <c r="A28820" s="1"/>
      <c r="B28820" s="1" t="s">
        <v>7328</v>
      </c>
      <c r="C28820" s="1" t="s">
        <v>7329</v>
      </c>
      <c r="D28820" s="22" t="str">
        <f>HYPERLINK("https://rhld.insurance.arkansas.gov/NPILookup?Npi=1851714562","1851714562")</f>
        <v>1851714562</v>
      </c>
      <c r="E28820" s="1" t="s">
        <v>13709</v>
      </c>
      <c r="F28820" s="2"/>
      <c r="G28820" s="2"/>
      <c r="H28820" s="2"/>
    </row>
    <row r="28821" spans="1:8" x14ac:dyDescent="0.25">
      <c r="A28821" s="1"/>
      <c r="B28821" s="1" t="s">
        <v>7328</v>
      </c>
      <c r="C28821" s="1" t="s">
        <v>7329</v>
      </c>
      <c r="D28821" s="22" t="str">
        <f>HYPERLINK("https://rhld.insurance.arkansas.gov/NPILookup?Npi=1851718381","1851718381")</f>
        <v>1851718381</v>
      </c>
      <c r="E28821" s="1" t="s">
        <v>28925</v>
      </c>
      <c r="F28821" s="2"/>
      <c r="G28821" s="2"/>
      <c r="H28821" s="2"/>
    </row>
    <row r="28822" spans="1:8" x14ac:dyDescent="0.25">
      <c r="A28822" s="1"/>
      <c r="B28822" s="1" t="s">
        <v>7328</v>
      </c>
      <c r="C28822" s="1" t="s">
        <v>7329</v>
      </c>
      <c r="D28822" s="22" t="str">
        <f>HYPERLINK("https://rhld.insurance.arkansas.gov/NPILookup?Npi=1851723019","1851723019")</f>
        <v>1851723019</v>
      </c>
      <c r="E28822" s="1" t="s">
        <v>28926</v>
      </c>
      <c r="F28822" s="2"/>
      <c r="G28822" s="2"/>
      <c r="H28822" s="2"/>
    </row>
    <row r="28823" spans="1:8" x14ac:dyDescent="0.25">
      <c r="A28823" s="1"/>
      <c r="B28823" s="1" t="s">
        <v>7328</v>
      </c>
      <c r="C28823" s="1" t="s">
        <v>7329</v>
      </c>
      <c r="D28823" s="22" t="str">
        <f>HYPERLINK("https://rhld.insurance.arkansas.gov/NPILookup?Npi=1851734347","1851734347")</f>
        <v>1851734347</v>
      </c>
      <c r="E28823" s="1" t="s">
        <v>28927</v>
      </c>
      <c r="F28823" s="2"/>
      <c r="G28823" s="2"/>
      <c r="H28823" s="2"/>
    </row>
    <row r="28824" spans="1:8" x14ac:dyDescent="0.25">
      <c r="A28824" s="1"/>
      <c r="B28824" s="1" t="s">
        <v>7328</v>
      </c>
      <c r="C28824" s="1" t="s">
        <v>7329</v>
      </c>
      <c r="D28824" s="22" t="str">
        <f>HYPERLINK("https://rhld.insurance.arkansas.gov/NPILookup?Npi=1851734453","1851734453")</f>
        <v>1851734453</v>
      </c>
      <c r="E28824" s="1" t="s">
        <v>2087</v>
      </c>
      <c r="F28824" s="2"/>
      <c r="G28824" s="2"/>
      <c r="H28824" s="2"/>
    </row>
    <row r="28825" spans="1:8" x14ac:dyDescent="0.25">
      <c r="A28825" s="1"/>
      <c r="B28825" s="1" t="s">
        <v>7328</v>
      </c>
      <c r="C28825" s="1" t="s">
        <v>7329</v>
      </c>
      <c r="D28825" s="22" t="str">
        <f>HYPERLINK("https://rhld.insurance.arkansas.gov/NPILookup?Npi=1851737787","1851737787")</f>
        <v>1851737787</v>
      </c>
      <c r="E28825" s="1" t="s">
        <v>28928</v>
      </c>
      <c r="F28825" s="2"/>
      <c r="G28825" s="2"/>
      <c r="H28825" s="2"/>
    </row>
    <row r="28826" spans="1:8" x14ac:dyDescent="0.25">
      <c r="A28826" s="1"/>
      <c r="B28826" s="1" t="s">
        <v>7328</v>
      </c>
      <c r="C28826" s="1" t="s">
        <v>7329</v>
      </c>
      <c r="D28826" s="22" t="str">
        <f>HYPERLINK("https://rhld.insurance.arkansas.gov/NPILookup?Npi=1851739007","1851739007")</f>
        <v>1851739007</v>
      </c>
      <c r="E28826" s="1" t="s">
        <v>12172</v>
      </c>
      <c r="F28826" s="2"/>
      <c r="G28826" s="2"/>
      <c r="H28826" s="2"/>
    </row>
    <row r="28827" spans="1:8" x14ac:dyDescent="0.25">
      <c r="A28827" s="1"/>
      <c r="B28827" s="1" t="s">
        <v>7328</v>
      </c>
      <c r="C28827" s="1" t="s">
        <v>7329</v>
      </c>
      <c r="D28827" s="22" t="str">
        <f>HYPERLINK("https://rhld.insurance.arkansas.gov/NPILookup?Npi=1851742712","1851742712")</f>
        <v>1851742712</v>
      </c>
      <c r="E28827" s="1" t="s">
        <v>3054</v>
      </c>
      <c r="F28827" s="2"/>
      <c r="G28827" s="2"/>
      <c r="H28827" s="2"/>
    </row>
    <row r="28828" spans="1:8" x14ac:dyDescent="0.25">
      <c r="A28828" s="1"/>
      <c r="B28828" s="1" t="s">
        <v>7328</v>
      </c>
      <c r="C28828" s="1" t="s">
        <v>7329</v>
      </c>
      <c r="D28828" s="22" t="str">
        <f>HYPERLINK("https://rhld.insurance.arkansas.gov/NPILookup?Npi=1851743645","1851743645")</f>
        <v>1851743645</v>
      </c>
      <c r="E28828" s="1" t="s">
        <v>28929</v>
      </c>
      <c r="F28828" s="2"/>
      <c r="G28828" s="2"/>
      <c r="H28828" s="2"/>
    </row>
    <row r="28829" spans="1:8" x14ac:dyDescent="0.25">
      <c r="A28829" s="1"/>
      <c r="B28829" s="1" t="s">
        <v>7328</v>
      </c>
      <c r="C28829" s="1" t="s">
        <v>7329</v>
      </c>
      <c r="D28829" s="22" t="str">
        <f>HYPERLINK("https://rhld.insurance.arkansas.gov/NPILookup?Npi=1851753776","1851753776")</f>
        <v>1851753776</v>
      </c>
      <c r="E28829" s="1" t="s">
        <v>28930</v>
      </c>
      <c r="F28829" s="2"/>
      <c r="G28829" s="2"/>
      <c r="H28829" s="2"/>
    </row>
    <row r="28830" spans="1:8" x14ac:dyDescent="0.25">
      <c r="A28830" s="1"/>
      <c r="B28830" s="1" t="s">
        <v>7328</v>
      </c>
      <c r="C28830" s="1" t="s">
        <v>7329</v>
      </c>
      <c r="D28830" s="22" t="str">
        <f>HYPERLINK("https://rhld.insurance.arkansas.gov/NPILookup?Npi=1851753826","1851753826")</f>
        <v>1851753826</v>
      </c>
      <c r="E28830" s="1" t="s">
        <v>28931</v>
      </c>
      <c r="F28830" s="2"/>
      <c r="G28830" s="2"/>
      <c r="H28830" s="2"/>
    </row>
    <row r="28831" spans="1:8" x14ac:dyDescent="0.25">
      <c r="A28831" s="1"/>
      <c r="B28831" s="1" t="s">
        <v>7328</v>
      </c>
      <c r="C28831" s="1" t="s">
        <v>7329</v>
      </c>
      <c r="D28831" s="22" t="str">
        <f>HYPERLINK("https://rhld.insurance.arkansas.gov/NPILookup?Npi=1851758973","1851758973")</f>
        <v>1851758973</v>
      </c>
      <c r="E28831" s="1" t="s">
        <v>13710</v>
      </c>
      <c r="F28831" s="2"/>
      <c r="G28831" s="2"/>
      <c r="H28831" s="2"/>
    </row>
    <row r="28832" spans="1:8" x14ac:dyDescent="0.25">
      <c r="A28832" s="1"/>
      <c r="B28832" s="1" t="s">
        <v>7328</v>
      </c>
      <c r="C28832" s="1" t="s">
        <v>7329</v>
      </c>
      <c r="D28832" s="22" t="str">
        <f>HYPERLINK("https://rhld.insurance.arkansas.gov/NPILookup?Npi=1851769350","1851769350")</f>
        <v>1851769350</v>
      </c>
      <c r="E28832" s="1" t="s">
        <v>6701</v>
      </c>
      <c r="F28832" s="2"/>
      <c r="G28832" s="2"/>
      <c r="H28832" s="2"/>
    </row>
    <row r="28833" spans="1:8" x14ac:dyDescent="0.25">
      <c r="A28833" s="1"/>
      <c r="B28833" s="1" t="s">
        <v>7328</v>
      </c>
      <c r="C28833" s="1" t="s">
        <v>7329</v>
      </c>
      <c r="D28833" s="22" t="str">
        <f>HYPERLINK("https://rhld.insurance.arkansas.gov/NPILookup?Npi=1851785976","1851785976")</f>
        <v>1851785976</v>
      </c>
      <c r="E28833" s="1" t="s">
        <v>13711</v>
      </c>
      <c r="F28833" s="2"/>
      <c r="G28833" s="2"/>
      <c r="H28833" s="2"/>
    </row>
    <row r="28834" spans="1:8" x14ac:dyDescent="0.25">
      <c r="A28834" s="1"/>
      <c r="B28834" s="1" t="s">
        <v>7328</v>
      </c>
      <c r="C28834" s="1" t="s">
        <v>7329</v>
      </c>
      <c r="D28834" s="22" t="str">
        <f>HYPERLINK("https://rhld.insurance.arkansas.gov/NPILookup?Npi=1851787089","1851787089")</f>
        <v>1851787089</v>
      </c>
      <c r="E28834" s="1" t="s">
        <v>28932</v>
      </c>
      <c r="F28834" s="2"/>
      <c r="G28834" s="2"/>
      <c r="H28834" s="2"/>
    </row>
    <row r="28835" spans="1:8" x14ac:dyDescent="0.25">
      <c r="A28835" s="1"/>
      <c r="B28835" s="1" t="s">
        <v>7328</v>
      </c>
      <c r="C28835" s="1" t="s">
        <v>7329</v>
      </c>
      <c r="D28835" s="22" t="str">
        <f>HYPERLINK("https://rhld.insurance.arkansas.gov/NPILookup?Npi=1851787659","1851787659")</f>
        <v>1851787659</v>
      </c>
      <c r="E28835" s="1" t="s">
        <v>1228</v>
      </c>
      <c r="F28835" s="2"/>
      <c r="G28835" s="2"/>
      <c r="H28835" s="2"/>
    </row>
    <row r="28836" spans="1:8" x14ac:dyDescent="0.25">
      <c r="A28836" s="1"/>
      <c r="B28836" s="1" t="s">
        <v>7328</v>
      </c>
      <c r="C28836" s="1" t="s">
        <v>7329</v>
      </c>
      <c r="D28836" s="22" t="str">
        <f>HYPERLINK("https://rhld.insurance.arkansas.gov/NPILookup?Npi=1851794291","1851794291")</f>
        <v>1851794291</v>
      </c>
      <c r="E28836" s="1" t="s">
        <v>28933</v>
      </c>
      <c r="F28836" s="2"/>
      <c r="G28836" s="2"/>
      <c r="H28836" s="2"/>
    </row>
    <row r="28837" spans="1:8" x14ac:dyDescent="0.25">
      <c r="A28837" s="1"/>
      <c r="B28837" s="1" t="s">
        <v>7328</v>
      </c>
      <c r="C28837" s="1" t="s">
        <v>7329</v>
      </c>
      <c r="D28837" s="22" t="str">
        <f>HYPERLINK("https://rhld.insurance.arkansas.gov/NPILookup?Npi=1851795595","1851795595")</f>
        <v>1851795595</v>
      </c>
      <c r="E28837" s="1" t="s">
        <v>28934</v>
      </c>
      <c r="F28837" s="2"/>
      <c r="G28837" s="2"/>
      <c r="H28837" s="2"/>
    </row>
    <row r="28838" spans="1:8" x14ac:dyDescent="0.25">
      <c r="A28838" s="1"/>
      <c r="B28838" s="1" t="s">
        <v>7328</v>
      </c>
      <c r="C28838" s="1" t="s">
        <v>7329</v>
      </c>
      <c r="D28838" s="22" t="str">
        <f>HYPERLINK("https://rhld.insurance.arkansas.gov/NPILookup?Npi=1851813141","1851813141")</f>
        <v>1851813141</v>
      </c>
      <c r="E28838" s="1" t="s">
        <v>3055</v>
      </c>
      <c r="F28838" s="2"/>
      <c r="G28838" s="2"/>
      <c r="H28838" s="2"/>
    </row>
    <row r="28839" spans="1:8" x14ac:dyDescent="0.25">
      <c r="A28839" s="1"/>
      <c r="B28839" s="1" t="s">
        <v>7328</v>
      </c>
      <c r="C28839" s="1" t="s">
        <v>7329</v>
      </c>
      <c r="D28839" s="22" t="str">
        <f>HYPERLINK("https://rhld.insurance.arkansas.gov/NPILookup?Npi=1851815542","1851815542")</f>
        <v>1851815542</v>
      </c>
      <c r="E28839" s="1" t="s">
        <v>28935</v>
      </c>
      <c r="F28839" s="2"/>
      <c r="G28839" s="2"/>
      <c r="H28839" s="2"/>
    </row>
    <row r="28840" spans="1:8" x14ac:dyDescent="0.25">
      <c r="A28840" s="1"/>
      <c r="B28840" s="1" t="s">
        <v>7328</v>
      </c>
      <c r="C28840" s="1" t="s">
        <v>7329</v>
      </c>
      <c r="D28840" s="22" t="str">
        <f>HYPERLINK("https://rhld.insurance.arkansas.gov/NPILookup?Npi=1851817001","1851817001")</f>
        <v>1851817001</v>
      </c>
      <c r="E28840" s="1" t="s">
        <v>8145</v>
      </c>
      <c r="F28840" s="2"/>
      <c r="G28840" s="2"/>
      <c r="H28840" s="2"/>
    </row>
    <row r="28841" spans="1:8" x14ac:dyDescent="0.25">
      <c r="A28841" s="1"/>
      <c r="B28841" s="1" t="s">
        <v>7328</v>
      </c>
      <c r="C28841" s="1" t="s">
        <v>7329</v>
      </c>
      <c r="D28841" s="22" t="str">
        <f>HYPERLINK("https://rhld.insurance.arkansas.gov/NPILookup?Npi=1851827166","1851827166")</f>
        <v>1851827166</v>
      </c>
      <c r="E28841" s="1" t="s">
        <v>8146</v>
      </c>
      <c r="F28841" s="2"/>
      <c r="G28841" s="2"/>
      <c r="H28841" s="2"/>
    </row>
    <row r="28842" spans="1:8" x14ac:dyDescent="0.25">
      <c r="A28842" s="1"/>
      <c r="B28842" s="1" t="s">
        <v>7328</v>
      </c>
      <c r="C28842" s="1" t="s">
        <v>7329</v>
      </c>
      <c r="D28842" s="22" t="str">
        <f>HYPERLINK("https://rhld.insurance.arkansas.gov/NPILookup?Npi=1851827679","1851827679")</f>
        <v>1851827679</v>
      </c>
      <c r="E28842" s="1" t="s">
        <v>1817</v>
      </c>
      <c r="F28842" s="2"/>
      <c r="G28842" s="2"/>
      <c r="H28842" s="2"/>
    </row>
    <row r="28843" spans="1:8" x14ac:dyDescent="0.25">
      <c r="A28843" s="1"/>
      <c r="B28843" s="1" t="s">
        <v>7328</v>
      </c>
      <c r="C28843" s="1" t="s">
        <v>7329</v>
      </c>
      <c r="D28843" s="22" t="str">
        <f>HYPERLINK("https://rhld.insurance.arkansas.gov/NPILookup?Npi=1851831234","1851831234")</f>
        <v>1851831234</v>
      </c>
      <c r="E28843" s="1" t="s">
        <v>28936</v>
      </c>
      <c r="F28843" s="2"/>
      <c r="G28843" s="2"/>
      <c r="H28843" s="2"/>
    </row>
    <row r="28844" spans="1:8" x14ac:dyDescent="0.25">
      <c r="A28844" s="1"/>
      <c r="B28844" s="1" t="s">
        <v>7328</v>
      </c>
      <c r="C28844" s="1" t="s">
        <v>7329</v>
      </c>
      <c r="D28844" s="22" t="str">
        <f>HYPERLINK("https://rhld.insurance.arkansas.gov/NPILookup?Npi=1851832653","1851832653")</f>
        <v>1851832653</v>
      </c>
      <c r="E28844" s="1" t="s">
        <v>896</v>
      </c>
      <c r="F28844" s="2"/>
      <c r="G28844" s="2"/>
      <c r="H28844" s="2"/>
    </row>
    <row r="28845" spans="1:8" x14ac:dyDescent="0.25">
      <c r="A28845" s="1"/>
      <c r="B28845" s="1" t="s">
        <v>7328</v>
      </c>
      <c r="C28845" s="1" t="s">
        <v>7329</v>
      </c>
      <c r="D28845" s="22" t="str">
        <f>HYPERLINK("https://rhld.insurance.arkansas.gov/NPILookup?Npi=1851834972","1851834972")</f>
        <v>1851834972</v>
      </c>
      <c r="E28845" s="1" t="s">
        <v>8147</v>
      </c>
      <c r="F28845" s="2"/>
      <c r="G28845" s="2"/>
      <c r="H28845" s="2"/>
    </row>
    <row r="28846" spans="1:8" x14ac:dyDescent="0.25">
      <c r="A28846" s="1"/>
      <c r="B28846" s="1" t="s">
        <v>7328</v>
      </c>
      <c r="C28846" s="1" t="s">
        <v>7329</v>
      </c>
      <c r="D28846" s="22" t="str">
        <f>HYPERLINK("https://rhld.insurance.arkansas.gov/NPILookup?Npi=1851839427","1851839427")</f>
        <v>1851839427</v>
      </c>
      <c r="E28846" s="1" t="s">
        <v>28937</v>
      </c>
      <c r="F28846" s="2"/>
      <c r="G28846" s="2"/>
      <c r="H28846" s="2"/>
    </row>
    <row r="28847" spans="1:8" x14ac:dyDescent="0.25">
      <c r="A28847" s="1"/>
      <c r="B28847" s="1" t="s">
        <v>7328</v>
      </c>
      <c r="C28847" s="1" t="s">
        <v>7329</v>
      </c>
      <c r="D28847" s="22" t="str">
        <f>HYPERLINK("https://rhld.insurance.arkansas.gov/NPILookup?Npi=1851845200","1851845200")</f>
        <v>1851845200</v>
      </c>
      <c r="E28847" s="1" t="s">
        <v>28938</v>
      </c>
      <c r="F28847" s="2"/>
      <c r="G28847" s="2"/>
      <c r="H28847" s="2"/>
    </row>
    <row r="28848" spans="1:8" x14ac:dyDescent="0.25">
      <c r="A28848" s="1"/>
      <c r="B28848" s="1" t="s">
        <v>7328</v>
      </c>
      <c r="C28848" s="1" t="s">
        <v>7329</v>
      </c>
      <c r="D28848" s="22" t="str">
        <f>HYPERLINK("https://rhld.insurance.arkansas.gov/NPILookup?Npi=1851851992","1851851992")</f>
        <v>1851851992</v>
      </c>
      <c r="E28848" s="1" t="s">
        <v>28939</v>
      </c>
      <c r="F28848" s="2"/>
      <c r="G28848" s="2"/>
      <c r="H28848" s="2"/>
    </row>
    <row r="28849" spans="1:8" x14ac:dyDescent="0.25">
      <c r="A28849" s="1"/>
      <c r="B28849" s="1" t="s">
        <v>7328</v>
      </c>
      <c r="C28849" s="1" t="s">
        <v>7329</v>
      </c>
      <c r="D28849" s="22" t="str">
        <f>HYPERLINK("https://rhld.insurance.arkansas.gov/NPILookup?Npi=1851858757","1851858757")</f>
        <v>1851858757</v>
      </c>
      <c r="E28849" s="1" t="s">
        <v>28940</v>
      </c>
      <c r="F28849" s="2"/>
      <c r="G28849" s="2"/>
      <c r="H28849" s="2"/>
    </row>
    <row r="28850" spans="1:8" x14ac:dyDescent="0.25">
      <c r="A28850" s="1"/>
      <c r="B28850" s="1" t="s">
        <v>7328</v>
      </c>
      <c r="C28850" s="1" t="s">
        <v>7329</v>
      </c>
      <c r="D28850" s="22" t="str">
        <f>HYPERLINK("https://rhld.insurance.arkansas.gov/NPILookup?Npi=1851858773","1851858773")</f>
        <v>1851858773</v>
      </c>
      <c r="E28850" s="1" t="s">
        <v>2088</v>
      </c>
      <c r="F28850" s="2"/>
      <c r="G28850" s="2"/>
      <c r="H28850" s="2"/>
    </row>
    <row r="28851" spans="1:8" x14ac:dyDescent="0.25">
      <c r="A28851" s="1"/>
      <c r="B28851" s="1" t="s">
        <v>7328</v>
      </c>
      <c r="C28851" s="1" t="s">
        <v>7329</v>
      </c>
      <c r="D28851" s="22" t="str">
        <f>HYPERLINK("https://rhld.insurance.arkansas.gov/NPILookup?Npi=1851879506","1851879506")</f>
        <v>1851879506</v>
      </c>
      <c r="E28851" s="1" t="s">
        <v>2849</v>
      </c>
      <c r="F28851" s="2"/>
      <c r="G28851" s="2"/>
      <c r="H28851" s="2"/>
    </row>
    <row r="28852" spans="1:8" x14ac:dyDescent="0.25">
      <c r="A28852" s="1"/>
      <c r="B28852" s="1" t="s">
        <v>7328</v>
      </c>
      <c r="C28852" s="1" t="s">
        <v>7329</v>
      </c>
      <c r="D28852" s="22" t="str">
        <f>HYPERLINK("https://rhld.insurance.arkansas.gov/NPILookup?Npi=1851893036","1851893036")</f>
        <v>1851893036</v>
      </c>
      <c r="E28852" s="1" t="s">
        <v>28941</v>
      </c>
      <c r="F28852" s="2"/>
      <c r="G28852" s="2"/>
      <c r="H28852" s="2"/>
    </row>
    <row r="28853" spans="1:8" x14ac:dyDescent="0.25">
      <c r="A28853" s="1"/>
      <c r="B28853" s="1" t="s">
        <v>7328</v>
      </c>
      <c r="C28853" s="1" t="s">
        <v>7329</v>
      </c>
      <c r="D28853" s="22" t="str">
        <f>HYPERLINK("https://rhld.insurance.arkansas.gov/NPILookup?Npi=1851894075","1851894075")</f>
        <v>1851894075</v>
      </c>
      <c r="E28853" s="1" t="s">
        <v>28942</v>
      </c>
      <c r="F28853" s="2"/>
      <c r="G28853" s="2"/>
      <c r="H28853" s="2"/>
    </row>
    <row r="28854" spans="1:8" x14ac:dyDescent="0.25">
      <c r="A28854" s="1"/>
      <c r="B28854" s="1" t="s">
        <v>7328</v>
      </c>
      <c r="C28854" s="1" t="s">
        <v>7329</v>
      </c>
      <c r="D28854" s="22" t="str">
        <f>HYPERLINK("https://rhld.insurance.arkansas.gov/NPILookup?Npi=1851894463","1851894463")</f>
        <v>1851894463</v>
      </c>
      <c r="E28854" s="1" t="s">
        <v>3590</v>
      </c>
      <c r="F28854" s="2"/>
      <c r="G28854" s="2"/>
      <c r="H28854" s="2"/>
    </row>
    <row r="28855" spans="1:8" x14ac:dyDescent="0.25">
      <c r="A28855" s="1"/>
      <c r="B28855" s="1" t="s">
        <v>7328</v>
      </c>
      <c r="C28855" s="1" t="s">
        <v>7329</v>
      </c>
      <c r="D28855" s="22" t="str">
        <f>HYPERLINK("https://rhld.insurance.arkansas.gov/NPILookup?Npi=1851902118","1851902118")</f>
        <v>1851902118</v>
      </c>
      <c r="E28855" s="1" t="s">
        <v>3056</v>
      </c>
      <c r="F28855" s="2"/>
      <c r="G28855" s="2"/>
      <c r="H28855" s="2"/>
    </row>
    <row r="28856" spans="1:8" x14ac:dyDescent="0.25">
      <c r="A28856" s="1"/>
      <c r="B28856" s="1" t="s">
        <v>7328</v>
      </c>
      <c r="C28856" s="1" t="s">
        <v>7329</v>
      </c>
      <c r="D28856" s="22" t="str">
        <f>HYPERLINK("https://rhld.insurance.arkansas.gov/NPILookup?Npi=1851902860","1851902860")</f>
        <v>1851902860</v>
      </c>
      <c r="E28856" s="1" t="s">
        <v>28943</v>
      </c>
      <c r="F28856" s="2"/>
      <c r="G28856" s="2"/>
      <c r="H28856" s="2"/>
    </row>
    <row r="28857" spans="1:8" x14ac:dyDescent="0.25">
      <c r="A28857" s="1"/>
      <c r="B28857" s="1" t="s">
        <v>7328</v>
      </c>
      <c r="C28857" s="1" t="s">
        <v>7329</v>
      </c>
      <c r="D28857" s="22" t="str">
        <f>HYPERLINK("https://rhld.insurance.arkansas.gov/NPILookup?Npi=1851906101","1851906101")</f>
        <v>1851906101</v>
      </c>
      <c r="E28857" s="1" t="s">
        <v>28944</v>
      </c>
      <c r="F28857" s="2"/>
      <c r="G28857" s="2"/>
      <c r="H28857" s="2"/>
    </row>
    <row r="28858" spans="1:8" x14ac:dyDescent="0.25">
      <c r="A28858" s="1"/>
      <c r="B28858" s="1" t="s">
        <v>7328</v>
      </c>
      <c r="C28858" s="1" t="s">
        <v>7329</v>
      </c>
      <c r="D28858" s="22" t="str">
        <f>HYPERLINK("https://rhld.insurance.arkansas.gov/NPILookup?Npi=1851929673","1851929673")</f>
        <v>1851929673</v>
      </c>
      <c r="E28858" s="1" t="s">
        <v>13713</v>
      </c>
      <c r="F28858" s="2"/>
      <c r="G28858" s="2"/>
      <c r="H28858" s="2"/>
    </row>
    <row r="28859" spans="1:8" x14ac:dyDescent="0.25">
      <c r="A28859" s="1"/>
      <c r="B28859" s="1" t="s">
        <v>7328</v>
      </c>
      <c r="C28859" s="1" t="s">
        <v>7329</v>
      </c>
      <c r="D28859" s="22" t="str">
        <f>HYPERLINK("https://rhld.insurance.arkansas.gov/NPILookup?Npi=1851946776","1851946776")</f>
        <v>1851946776</v>
      </c>
      <c r="E28859" s="1" t="s">
        <v>1704</v>
      </c>
      <c r="F28859" s="2"/>
      <c r="G28859" s="2"/>
      <c r="H28859" s="2"/>
    </row>
    <row r="28860" spans="1:8" x14ac:dyDescent="0.25">
      <c r="A28860" s="1"/>
      <c r="B28860" s="1" t="s">
        <v>7328</v>
      </c>
      <c r="C28860" s="1" t="s">
        <v>7329</v>
      </c>
      <c r="D28860" s="22" t="str">
        <f>HYPERLINK("https://rhld.insurance.arkansas.gov/NPILookup?Npi=1851947832","1851947832")</f>
        <v>1851947832</v>
      </c>
      <c r="E28860" s="1" t="s">
        <v>13714</v>
      </c>
      <c r="F28860" s="2"/>
      <c r="G28860" s="2"/>
      <c r="H28860" s="2"/>
    </row>
    <row r="28861" spans="1:8" x14ac:dyDescent="0.25">
      <c r="A28861" s="1"/>
      <c r="B28861" s="1" t="s">
        <v>7328</v>
      </c>
      <c r="C28861" s="1" t="s">
        <v>7329</v>
      </c>
      <c r="D28861" s="22" t="str">
        <f>HYPERLINK("https://rhld.insurance.arkansas.gov/NPILookup?Npi=1851960025","1851960025")</f>
        <v>1851960025</v>
      </c>
      <c r="E28861" s="1" t="s">
        <v>2420</v>
      </c>
      <c r="F28861" s="2"/>
      <c r="G28861" s="2"/>
      <c r="H28861" s="2"/>
    </row>
    <row r="28862" spans="1:8" x14ac:dyDescent="0.25">
      <c r="A28862" s="1"/>
      <c r="B28862" s="1" t="s">
        <v>7328</v>
      </c>
      <c r="C28862" s="1" t="s">
        <v>7329</v>
      </c>
      <c r="D28862" s="22" t="str">
        <f>HYPERLINK("https://rhld.insurance.arkansas.gov/NPILookup?Npi=1851962823","1851962823")</f>
        <v>1851962823</v>
      </c>
      <c r="E28862" s="1" t="s">
        <v>28945</v>
      </c>
      <c r="F28862" s="2"/>
      <c r="G28862" s="2"/>
      <c r="H28862" s="2"/>
    </row>
    <row r="28863" spans="1:8" x14ac:dyDescent="0.25">
      <c r="A28863" s="1"/>
      <c r="B28863" s="1" t="s">
        <v>7328</v>
      </c>
      <c r="C28863" s="1" t="s">
        <v>7329</v>
      </c>
      <c r="D28863" s="22" t="str">
        <f>HYPERLINK("https://rhld.insurance.arkansas.gov/NPILookup?Npi=1851977227","1851977227")</f>
        <v>1851977227</v>
      </c>
      <c r="E28863" s="1" t="s">
        <v>32383</v>
      </c>
      <c r="F28863" s="2"/>
      <c r="G28863" s="2"/>
      <c r="H28863" s="2"/>
    </row>
    <row r="28864" spans="1:8" x14ac:dyDescent="0.25">
      <c r="A28864" s="1"/>
      <c r="B28864" s="1" t="s">
        <v>7328</v>
      </c>
      <c r="C28864" s="1" t="s">
        <v>7329</v>
      </c>
      <c r="D28864" s="22" t="str">
        <f>HYPERLINK("https://rhld.insurance.arkansas.gov/NPILookup?Npi=1861001794","1861001794")</f>
        <v>1861001794</v>
      </c>
      <c r="E28864" s="1" t="s">
        <v>28946</v>
      </c>
      <c r="F28864" s="2"/>
      <c r="G28864" s="2"/>
      <c r="H28864" s="2"/>
    </row>
    <row r="28865" spans="1:8" x14ac:dyDescent="0.25">
      <c r="A28865" s="1"/>
      <c r="B28865" s="1" t="s">
        <v>7328</v>
      </c>
      <c r="C28865" s="1" t="s">
        <v>7329</v>
      </c>
      <c r="D28865" s="22" t="str">
        <f>HYPERLINK("https://rhld.insurance.arkansas.gov/NPILookup?Npi=1861003196","1861003196")</f>
        <v>1861003196</v>
      </c>
      <c r="E28865" s="1" t="s">
        <v>2421</v>
      </c>
      <c r="F28865" s="2"/>
      <c r="G28865" s="2"/>
      <c r="H28865" s="2"/>
    </row>
    <row r="28866" spans="1:8" x14ac:dyDescent="0.25">
      <c r="A28866" s="1"/>
      <c r="B28866" s="1" t="s">
        <v>7328</v>
      </c>
      <c r="C28866" s="1" t="s">
        <v>7329</v>
      </c>
      <c r="D28866" s="22" t="str">
        <f>HYPERLINK("https://rhld.insurance.arkansas.gov/NPILookup?Npi=1861003345","1861003345")</f>
        <v>1861003345</v>
      </c>
      <c r="E28866" s="1" t="s">
        <v>28947</v>
      </c>
      <c r="F28866" s="2"/>
      <c r="G28866" s="2"/>
      <c r="H28866" s="2"/>
    </row>
    <row r="28867" spans="1:8" x14ac:dyDescent="0.25">
      <c r="A28867" s="1"/>
      <c r="B28867" s="1" t="s">
        <v>7328</v>
      </c>
      <c r="C28867" s="1" t="s">
        <v>7329</v>
      </c>
      <c r="D28867" s="22" t="str">
        <f>HYPERLINK("https://rhld.insurance.arkansas.gov/NPILookup?Npi=1861018350","1861018350")</f>
        <v>1861018350</v>
      </c>
      <c r="E28867" s="1" t="s">
        <v>28948</v>
      </c>
      <c r="F28867" s="2"/>
      <c r="G28867" s="2"/>
      <c r="H28867" s="2"/>
    </row>
    <row r="28868" spans="1:8" x14ac:dyDescent="0.25">
      <c r="A28868" s="1"/>
      <c r="B28868" s="1" t="s">
        <v>7328</v>
      </c>
      <c r="C28868" s="1" t="s">
        <v>7329</v>
      </c>
      <c r="D28868" s="22" t="str">
        <f>HYPERLINK("https://rhld.insurance.arkansas.gov/NPILookup?Npi=1861018947","1861018947")</f>
        <v>1861018947</v>
      </c>
      <c r="E28868" s="1" t="s">
        <v>28949</v>
      </c>
      <c r="F28868" s="2"/>
      <c r="G28868" s="2"/>
      <c r="H28868" s="2"/>
    </row>
    <row r="28869" spans="1:8" x14ac:dyDescent="0.25">
      <c r="A28869" s="1"/>
      <c r="B28869" s="1" t="s">
        <v>7328</v>
      </c>
      <c r="C28869" s="1" t="s">
        <v>7329</v>
      </c>
      <c r="D28869" s="22" t="str">
        <f>HYPERLINK("https://rhld.insurance.arkansas.gov/NPILookup?Npi=1861019721","1861019721")</f>
        <v>1861019721</v>
      </c>
      <c r="E28869" s="1" t="s">
        <v>28950</v>
      </c>
      <c r="F28869" s="2"/>
      <c r="G28869" s="2"/>
      <c r="H28869" s="2"/>
    </row>
    <row r="28870" spans="1:8" x14ac:dyDescent="0.25">
      <c r="A28870" s="1"/>
      <c r="B28870" s="1" t="s">
        <v>7328</v>
      </c>
      <c r="C28870" s="1" t="s">
        <v>7329</v>
      </c>
      <c r="D28870" s="22" t="str">
        <f>HYPERLINK("https://rhld.insurance.arkansas.gov/NPILookup?Npi=1861020216","1861020216")</f>
        <v>1861020216</v>
      </c>
      <c r="E28870" s="1" t="s">
        <v>28951</v>
      </c>
      <c r="F28870" s="2"/>
      <c r="G28870" s="2"/>
      <c r="H28870" s="2"/>
    </row>
    <row r="28871" spans="1:8" x14ac:dyDescent="0.25">
      <c r="A28871" s="1"/>
      <c r="B28871" s="1" t="s">
        <v>7328</v>
      </c>
      <c r="C28871" s="1" t="s">
        <v>7329</v>
      </c>
      <c r="D28871" s="22" t="str">
        <f>HYPERLINK("https://rhld.insurance.arkansas.gov/NPILookup?Npi=1861020240","1861020240")</f>
        <v>1861020240</v>
      </c>
      <c r="E28871" s="1" t="s">
        <v>4111</v>
      </c>
      <c r="F28871" s="2"/>
      <c r="G28871" s="2"/>
      <c r="H28871" s="2"/>
    </row>
    <row r="28872" spans="1:8" x14ac:dyDescent="0.25">
      <c r="A28872" s="1"/>
      <c r="B28872" s="1" t="s">
        <v>7328</v>
      </c>
      <c r="C28872" s="1" t="s">
        <v>7329</v>
      </c>
      <c r="D28872" s="22" t="str">
        <f>HYPERLINK("https://rhld.insurance.arkansas.gov/NPILookup?Npi=1861021040","1861021040")</f>
        <v>1861021040</v>
      </c>
      <c r="E28872" s="1" t="s">
        <v>4211</v>
      </c>
      <c r="F28872" s="2"/>
      <c r="G28872" s="2"/>
      <c r="H28872" s="2"/>
    </row>
    <row r="28873" spans="1:8" x14ac:dyDescent="0.25">
      <c r="A28873" s="1"/>
      <c r="B28873" s="1" t="s">
        <v>7328</v>
      </c>
      <c r="C28873" s="1" t="s">
        <v>7329</v>
      </c>
      <c r="D28873" s="22" t="str">
        <f>HYPERLINK("https://rhld.insurance.arkansas.gov/NPILookup?Npi=1861025173","1861025173")</f>
        <v>1861025173</v>
      </c>
      <c r="E28873" s="1" t="s">
        <v>3057</v>
      </c>
      <c r="F28873" s="2"/>
      <c r="G28873" s="2"/>
      <c r="H28873" s="2"/>
    </row>
    <row r="28874" spans="1:8" x14ac:dyDescent="0.25">
      <c r="A28874" s="1"/>
      <c r="B28874" s="1" t="s">
        <v>7328</v>
      </c>
      <c r="C28874" s="1" t="s">
        <v>7329</v>
      </c>
      <c r="D28874" s="22" t="str">
        <f>HYPERLINK("https://rhld.insurance.arkansas.gov/NPILookup?Npi=1861026528","1861026528")</f>
        <v>1861026528</v>
      </c>
      <c r="E28874" s="1" t="s">
        <v>28952</v>
      </c>
      <c r="F28874" s="2"/>
      <c r="G28874" s="2"/>
      <c r="H28874" s="2"/>
    </row>
    <row r="28875" spans="1:8" x14ac:dyDescent="0.25">
      <c r="A28875" s="1"/>
      <c r="B28875" s="1" t="s">
        <v>7328</v>
      </c>
      <c r="C28875" s="1" t="s">
        <v>7329</v>
      </c>
      <c r="D28875" s="22" t="str">
        <f>HYPERLINK("https://rhld.insurance.arkansas.gov/NPILookup?Npi=1861050437","1861050437")</f>
        <v>1861050437</v>
      </c>
      <c r="E28875" s="1" t="s">
        <v>28953</v>
      </c>
      <c r="F28875" s="2"/>
      <c r="G28875" s="2"/>
      <c r="H28875" s="2"/>
    </row>
    <row r="28876" spans="1:8" x14ac:dyDescent="0.25">
      <c r="A28876" s="1"/>
      <c r="B28876" s="1" t="s">
        <v>7328</v>
      </c>
      <c r="C28876" s="1" t="s">
        <v>7329</v>
      </c>
      <c r="D28876" s="22" t="str">
        <f>HYPERLINK("https://rhld.insurance.arkansas.gov/NPILookup?Npi=1861064560","1861064560")</f>
        <v>1861064560</v>
      </c>
      <c r="E28876" s="1" t="s">
        <v>8148</v>
      </c>
      <c r="F28876" s="2"/>
      <c r="G28876" s="2"/>
      <c r="H28876" s="2"/>
    </row>
    <row r="28877" spans="1:8" x14ac:dyDescent="0.25">
      <c r="A28877" s="1"/>
      <c r="B28877" s="1" t="s">
        <v>7328</v>
      </c>
      <c r="C28877" s="1" t="s">
        <v>7329</v>
      </c>
      <c r="D28877" s="22" t="str">
        <f>HYPERLINK("https://rhld.insurance.arkansas.gov/NPILookup?Npi=1861068785","1861068785")</f>
        <v>1861068785</v>
      </c>
      <c r="E28877" s="1" t="s">
        <v>28954</v>
      </c>
      <c r="F28877" s="2"/>
      <c r="G28877" s="2"/>
      <c r="H28877" s="2"/>
    </row>
    <row r="28878" spans="1:8" x14ac:dyDescent="0.25">
      <c r="A28878" s="1"/>
      <c r="B28878" s="1" t="s">
        <v>7328</v>
      </c>
      <c r="C28878" s="1" t="s">
        <v>7329</v>
      </c>
      <c r="D28878" s="22" t="str">
        <f>HYPERLINK("https://rhld.insurance.arkansas.gov/NPILookup?Npi=1861073728","1861073728")</f>
        <v>1861073728</v>
      </c>
      <c r="E28878" s="1" t="s">
        <v>17943</v>
      </c>
      <c r="F28878" s="2"/>
      <c r="G28878" s="2"/>
      <c r="H28878" s="2"/>
    </row>
    <row r="28879" spans="1:8" x14ac:dyDescent="0.25">
      <c r="A28879" s="1"/>
      <c r="B28879" s="1" t="s">
        <v>7328</v>
      </c>
      <c r="C28879" s="1" t="s">
        <v>7329</v>
      </c>
      <c r="D28879" s="22" t="str">
        <f>HYPERLINK("https://rhld.insurance.arkansas.gov/NPILookup?Npi=1861075939","1861075939")</f>
        <v>1861075939</v>
      </c>
      <c r="E28879" s="1" t="s">
        <v>28955</v>
      </c>
      <c r="F28879" s="2"/>
      <c r="G28879" s="2"/>
      <c r="H28879" s="2"/>
    </row>
    <row r="28880" spans="1:8" x14ac:dyDescent="0.25">
      <c r="A28880" s="1"/>
      <c r="B28880" s="1" t="s">
        <v>7328</v>
      </c>
      <c r="C28880" s="1" t="s">
        <v>7329</v>
      </c>
      <c r="D28880" s="22" t="str">
        <f>HYPERLINK("https://rhld.insurance.arkansas.gov/NPILookup?Npi=1861077109","1861077109")</f>
        <v>1861077109</v>
      </c>
      <c r="E28880" s="1" t="s">
        <v>1818</v>
      </c>
      <c r="F28880" s="2"/>
      <c r="G28880" s="2"/>
      <c r="H28880" s="2"/>
    </row>
    <row r="28881" spans="1:8" x14ac:dyDescent="0.25">
      <c r="A28881" s="1"/>
      <c r="B28881" s="1" t="s">
        <v>7328</v>
      </c>
      <c r="C28881" s="1" t="s">
        <v>7329</v>
      </c>
      <c r="D28881" s="22" t="str">
        <f>HYPERLINK("https://rhld.insurance.arkansas.gov/NPILookup?Npi=1861077802","1861077802")</f>
        <v>1861077802</v>
      </c>
      <c r="E28881" s="1" t="s">
        <v>28956</v>
      </c>
      <c r="F28881" s="2"/>
      <c r="G28881" s="2"/>
      <c r="H28881" s="2"/>
    </row>
    <row r="28882" spans="1:8" x14ac:dyDescent="0.25">
      <c r="A28882" s="1"/>
      <c r="B28882" s="1" t="s">
        <v>7328</v>
      </c>
      <c r="C28882" s="1" t="s">
        <v>7329</v>
      </c>
      <c r="D28882" s="22" t="str">
        <f>HYPERLINK("https://rhld.insurance.arkansas.gov/NPILookup?Npi=1861101586","1861101586")</f>
        <v>1861101586</v>
      </c>
      <c r="E28882" s="1" t="s">
        <v>28957</v>
      </c>
      <c r="F28882" s="2"/>
      <c r="G28882" s="2"/>
      <c r="H28882" s="2"/>
    </row>
    <row r="28883" spans="1:8" x14ac:dyDescent="0.25">
      <c r="A28883" s="1"/>
      <c r="B28883" s="1" t="s">
        <v>7328</v>
      </c>
      <c r="C28883" s="1" t="s">
        <v>7329</v>
      </c>
      <c r="D28883" s="22" t="str">
        <f>HYPERLINK("https://rhld.insurance.arkansas.gov/NPILookup?Npi=1861138901","1861138901")</f>
        <v>1861138901</v>
      </c>
      <c r="E28883" s="1" t="s">
        <v>28958</v>
      </c>
      <c r="F28883" s="2"/>
      <c r="G28883" s="2"/>
      <c r="H28883" s="2"/>
    </row>
    <row r="28884" spans="1:8" x14ac:dyDescent="0.25">
      <c r="A28884" s="1"/>
      <c r="B28884" s="1" t="s">
        <v>7328</v>
      </c>
      <c r="C28884" s="1" t="s">
        <v>7329</v>
      </c>
      <c r="D28884" s="22" t="str">
        <f>HYPERLINK("https://rhld.insurance.arkansas.gov/NPILookup?Npi=1861160145","1861160145")</f>
        <v>1861160145</v>
      </c>
      <c r="E28884" s="1" t="s">
        <v>28959</v>
      </c>
      <c r="F28884" s="2"/>
      <c r="G28884" s="2"/>
      <c r="H28884" s="2"/>
    </row>
    <row r="28885" spans="1:8" x14ac:dyDescent="0.25">
      <c r="A28885" s="1"/>
      <c r="B28885" s="1" t="s">
        <v>7328</v>
      </c>
      <c r="C28885" s="1" t="s">
        <v>7329</v>
      </c>
      <c r="D28885" s="22" t="str">
        <f>HYPERLINK("https://rhld.insurance.arkansas.gov/NPILookup?Npi=1861164386","1861164386")</f>
        <v>1861164386</v>
      </c>
      <c r="E28885" s="1" t="s">
        <v>28960</v>
      </c>
      <c r="F28885" s="2"/>
      <c r="G28885" s="2"/>
      <c r="H28885" s="2"/>
    </row>
    <row r="28886" spans="1:8" x14ac:dyDescent="0.25">
      <c r="A28886" s="1"/>
      <c r="B28886" s="1" t="s">
        <v>7328</v>
      </c>
      <c r="C28886" s="1" t="s">
        <v>7329</v>
      </c>
      <c r="D28886" s="22" t="str">
        <f>HYPERLINK("https://rhld.insurance.arkansas.gov/NPILookup?Npi=1861176968","1861176968")</f>
        <v>1861176968</v>
      </c>
      <c r="E28886" s="1" t="s">
        <v>8149</v>
      </c>
      <c r="F28886" s="2"/>
      <c r="G28886" s="2"/>
      <c r="H28886" s="2"/>
    </row>
    <row r="28887" spans="1:8" x14ac:dyDescent="0.25">
      <c r="A28887" s="1"/>
      <c r="B28887" s="1" t="s">
        <v>7328</v>
      </c>
      <c r="C28887" s="1" t="s">
        <v>7329</v>
      </c>
      <c r="D28887" s="22" t="str">
        <f>HYPERLINK("https://rhld.insurance.arkansas.gov/NPILookup?Npi=1861185399","1861185399")</f>
        <v>1861185399</v>
      </c>
      <c r="E28887" s="1" t="s">
        <v>7703</v>
      </c>
      <c r="F28887" s="2"/>
      <c r="G28887" s="2"/>
      <c r="H28887" s="2"/>
    </row>
    <row r="28888" spans="1:8" x14ac:dyDescent="0.25">
      <c r="A28888" s="1"/>
      <c r="B28888" s="1" t="s">
        <v>7328</v>
      </c>
      <c r="C28888" s="1" t="s">
        <v>7329</v>
      </c>
      <c r="D28888" s="22" t="str">
        <f>HYPERLINK("https://rhld.insurance.arkansas.gov/NPILookup?Npi=1861190910","1861190910")</f>
        <v>1861190910</v>
      </c>
      <c r="E28888" s="1" t="s">
        <v>8150</v>
      </c>
      <c r="F28888" s="2"/>
      <c r="G28888" s="2"/>
      <c r="H28888" s="2"/>
    </row>
    <row r="28889" spans="1:8" x14ac:dyDescent="0.25">
      <c r="A28889" s="1"/>
      <c r="B28889" s="1" t="s">
        <v>7328</v>
      </c>
      <c r="C28889" s="1" t="s">
        <v>7329</v>
      </c>
      <c r="D28889" s="22" t="str">
        <f>HYPERLINK("https://rhld.insurance.arkansas.gov/NPILookup?Npi=1861192858","1861192858")</f>
        <v>1861192858</v>
      </c>
      <c r="E28889" s="1" t="s">
        <v>8151</v>
      </c>
      <c r="F28889" s="2"/>
      <c r="G28889" s="2"/>
      <c r="H28889" s="2"/>
    </row>
    <row r="28890" spans="1:8" x14ac:dyDescent="0.25">
      <c r="A28890" s="1"/>
      <c r="B28890" s="1" t="s">
        <v>7328</v>
      </c>
      <c r="C28890" s="1" t="s">
        <v>7329</v>
      </c>
      <c r="D28890" s="22" t="str">
        <f>HYPERLINK("https://rhld.insurance.arkansas.gov/NPILookup?Npi=1861193963","1861193963")</f>
        <v>1861193963</v>
      </c>
      <c r="E28890" s="1" t="s">
        <v>28961</v>
      </c>
      <c r="F28890" s="2"/>
      <c r="G28890" s="2"/>
      <c r="H28890" s="2"/>
    </row>
    <row r="28891" spans="1:8" x14ac:dyDescent="0.25">
      <c r="A28891" s="1"/>
      <c r="B28891" s="1" t="s">
        <v>7328</v>
      </c>
      <c r="C28891" s="1" t="s">
        <v>7329</v>
      </c>
      <c r="D28891" s="22" t="str">
        <f>HYPERLINK("https://rhld.insurance.arkansas.gov/NPILookup?Npi=1861239279","1861239279")</f>
        <v>1861239279</v>
      </c>
      <c r="E28891" s="1" t="s">
        <v>32384</v>
      </c>
      <c r="F28891" s="2"/>
      <c r="G28891" s="2"/>
      <c r="H28891" s="2"/>
    </row>
    <row r="28892" spans="1:8" x14ac:dyDescent="0.25">
      <c r="A28892" s="1"/>
      <c r="B28892" s="1" t="s">
        <v>7328</v>
      </c>
      <c r="C28892" s="1" t="s">
        <v>7329</v>
      </c>
      <c r="D28892" s="22" t="str">
        <f>HYPERLINK("https://rhld.insurance.arkansas.gov/NPILookup?Npi=1861242455","1861242455")</f>
        <v>1861242455</v>
      </c>
      <c r="E28892" s="1" t="s">
        <v>28962</v>
      </c>
      <c r="F28892" s="2"/>
      <c r="G28892" s="2"/>
      <c r="H28892" s="2"/>
    </row>
    <row r="28893" spans="1:8" x14ac:dyDescent="0.25">
      <c r="A28893" s="1"/>
      <c r="B28893" s="1" t="s">
        <v>7328</v>
      </c>
      <c r="C28893" s="1" t="s">
        <v>7329</v>
      </c>
      <c r="D28893" s="22" t="str">
        <f>HYPERLINK("https://rhld.insurance.arkansas.gov/NPILookup?Npi=1861248510","1861248510")</f>
        <v>1861248510</v>
      </c>
      <c r="E28893" s="1" t="s">
        <v>28963</v>
      </c>
      <c r="F28893" s="2"/>
      <c r="G28893" s="2"/>
      <c r="H28893" s="2"/>
    </row>
    <row r="28894" spans="1:8" x14ac:dyDescent="0.25">
      <c r="A28894" s="1"/>
      <c r="B28894" s="1" t="s">
        <v>7328</v>
      </c>
      <c r="C28894" s="1" t="s">
        <v>7329</v>
      </c>
      <c r="D28894" s="22" t="str">
        <f>HYPERLINK("https://rhld.insurance.arkansas.gov/NPILookup?Npi=1861255127","1861255127")</f>
        <v>1861255127</v>
      </c>
      <c r="E28894" s="1" t="s">
        <v>28964</v>
      </c>
      <c r="F28894" s="2"/>
      <c r="G28894" s="2"/>
      <c r="H28894" s="2"/>
    </row>
    <row r="28895" spans="1:8" x14ac:dyDescent="0.25">
      <c r="A28895" s="1"/>
      <c r="B28895" s="1" t="s">
        <v>7328</v>
      </c>
      <c r="C28895" s="1" t="s">
        <v>7329</v>
      </c>
      <c r="D28895" s="22" t="str">
        <f>HYPERLINK("https://rhld.insurance.arkansas.gov/NPILookup?Npi=1861263311","1861263311")</f>
        <v>1861263311</v>
      </c>
      <c r="E28895" s="1" t="s">
        <v>5856</v>
      </c>
      <c r="F28895" s="2"/>
      <c r="G28895" s="2"/>
      <c r="H28895" s="2"/>
    </row>
    <row r="28896" spans="1:8" x14ac:dyDescent="0.25">
      <c r="A28896" s="1"/>
      <c r="B28896" s="1" t="s">
        <v>7328</v>
      </c>
      <c r="C28896" s="1" t="s">
        <v>7329</v>
      </c>
      <c r="D28896" s="22" t="str">
        <f>HYPERLINK("https://rhld.insurance.arkansas.gov/NPILookup?Npi=1861402778","1861402778")</f>
        <v>1861402778</v>
      </c>
      <c r="E28896" s="1" t="s">
        <v>469</v>
      </c>
      <c r="F28896" s="2"/>
      <c r="G28896" s="2"/>
      <c r="H28896" s="2"/>
    </row>
    <row r="28897" spans="1:8" x14ac:dyDescent="0.25">
      <c r="A28897" s="1"/>
      <c r="B28897" s="1" t="s">
        <v>7328</v>
      </c>
      <c r="C28897" s="1" t="s">
        <v>7329</v>
      </c>
      <c r="D28897" s="22" t="str">
        <f>HYPERLINK("https://rhld.insurance.arkansas.gov/NPILookup?Npi=1861412512","1861412512")</f>
        <v>1861412512</v>
      </c>
      <c r="E28897" s="1" t="s">
        <v>28965</v>
      </c>
      <c r="F28897" s="2"/>
      <c r="G28897" s="2"/>
      <c r="H28897" s="2"/>
    </row>
    <row r="28898" spans="1:8" x14ac:dyDescent="0.25">
      <c r="A28898" s="1"/>
      <c r="B28898" s="1" t="s">
        <v>7328</v>
      </c>
      <c r="C28898" s="1" t="s">
        <v>7329</v>
      </c>
      <c r="D28898" s="22" t="str">
        <f>HYPERLINK("https://rhld.insurance.arkansas.gov/NPILookup?Npi=1861414708","1861414708")</f>
        <v>1861414708</v>
      </c>
      <c r="E28898" s="1" t="s">
        <v>28966</v>
      </c>
      <c r="F28898" s="2"/>
      <c r="G28898" s="2"/>
      <c r="H28898" s="2"/>
    </row>
    <row r="28899" spans="1:8" x14ac:dyDescent="0.25">
      <c r="A28899" s="1"/>
      <c r="B28899" s="1" t="s">
        <v>7328</v>
      </c>
      <c r="C28899" s="1" t="s">
        <v>7329</v>
      </c>
      <c r="D28899" s="22" t="str">
        <f>HYPERLINK("https://rhld.insurance.arkansas.gov/NPILookup?Npi=1861438665","1861438665")</f>
        <v>1861438665</v>
      </c>
      <c r="E28899" s="1" t="s">
        <v>13715</v>
      </c>
      <c r="F28899" s="2"/>
      <c r="G28899" s="2"/>
      <c r="H28899" s="2"/>
    </row>
    <row r="28900" spans="1:8" x14ac:dyDescent="0.25">
      <c r="A28900" s="1"/>
      <c r="B28900" s="1" t="s">
        <v>7328</v>
      </c>
      <c r="C28900" s="1" t="s">
        <v>7329</v>
      </c>
      <c r="D28900" s="22" t="str">
        <f>HYPERLINK("https://rhld.insurance.arkansas.gov/NPILookup?Npi=1861440877","1861440877")</f>
        <v>1861440877</v>
      </c>
      <c r="E28900" s="1" t="s">
        <v>3058</v>
      </c>
      <c r="F28900" s="2"/>
      <c r="G28900" s="2"/>
      <c r="H28900" s="2"/>
    </row>
    <row r="28901" spans="1:8" x14ac:dyDescent="0.25">
      <c r="A28901" s="1"/>
      <c r="B28901" s="1" t="s">
        <v>7328</v>
      </c>
      <c r="C28901" s="1" t="s">
        <v>7329</v>
      </c>
      <c r="D28901" s="22" t="str">
        <f>HYPERLINK("https://rhld.insurance.arkansas.gov/NPILookup?Npi=1861450215","1861450215")</f>
        <v>1861450215</v>
      </c>
      <c r="E28901" s="1" t="s">
        <v>28967</v>
      </c>
      <c r="F28901" s="2"/>
      <c r="G28901" s="2"/>
      <c r="H28901" s="2"/>
    </row>
    <row r="28902" spans="1:8" x14ac:dyDescent="0.25">
      <c r="A28902" s="1"/>
      <c r="B28902" s="1" t="s">
        <v>7328</v>
      </c>
      <c r="C28902" s="1" t="s">
        <v>7329</v>
      </c>
      <c r="D28902" s="22" t="str">
        <f>HYPERLINK("https://rhld.insurance.arkansas.gov/NPILookup?Npi=1861450942","1861450942")</f>
        <v>1861450942</v>
      </c>
      <c r="E28902" s="1" t="s">
        <v>28968</v>
      </c>
      <c r="F28902" s="2"/>
      <c r="G28902" s="2"/>
      <c r="H28902" s="2"/>
    </row>
    <row r="28903" spans="1:8" x14ac:dyDescent="0.25">
      <c r="A28903" s="1"/>
      <c r="B28903" s="1" t="s">
        <v>7328</v>
      </c>
      <c r="C28903" s="1" t="s">
        <v>7329</v>
      </c>
      <c r="D28903" s="22" t="str">
        <f>HYPERLINK("https://rhld.insurance.arkansas.gov/NPILookup?Npi=1861455354","1861455354")</f>
        <v>1861455354</v>
      </c>
      <c r="E28903" s="1" t="s">
        <v>13716</v>
      </c>
      <c r="F28903" s="2"/>
      <c r="G28903" s="2"/>
      <c r="H28903" s="2"/>
    </row>
    <row r="28904" spans="1:8" x14ac:dyDescent="0.25">
      <c r="A28904" s="1"/>
      <c r="B28904" s="1" t="s">
        <v>7328</v>
      </c>
      <c r="C28904" s="1" t="s">
        <v>7329</v>
      </c>
      <c r="D28904" s="22" t="str">
        <f>HYPERLINK("https://rhld.insurance.arkansas.gov/NPILookup?Npi=1861479966","1861479966")</f>
        <v>1861479966</v>
      </c>
      <c r="E28904" s="1" t="s">
        <v>28969</v>
      </c>
      <c r="F28904" s="2"/>
      <c r="G28904" s="2"/>
      <c r="H28904" s="2"/>
    </row>
    <row r="28905" spans="1:8" x14ac:dyDescent="0.25">
      <c r="A28905" s="1"/>
      <c r="B28905" s="1" t="s">
        <v>7328</v>
      </c>
      <c r="C28905" s="1" t="s">
        <v>7329</v>
      </c>
      <c r="D28905" s="22" t="str">
        <f>HYPERLINK("https://rhld.insurance.arkansas.gov/NPILookup?Npi=1861482739","1861482739")</f>
        <v>1861482739</v>
      </c>
      <c r="E28905" s="1" t="s">
        <v>28970</v>
      </c>
      <c r="F28905" s="2"/>
      <c r="G28905" s="2"/>
      <c r="H28905" s="2"/>
    </row>
    <row r="28906" spans="1:8" x14ac:dyDescent="0.25">
      <c r="A28906" s="1"/>
      <c r="B28906" s="1" t="s">
        <v>7328</v>
      </c>
      <c r="C28906" s="1" t="s">
        <v>7329</v>
      </c>
      <c r="D28906" s="22" t="str">
        <f>HYPERLINK("https://rhld.insurance.arkansas.gov/NPILookup?Npi=1861486920","1861486920")</f>
        <v>1861486920</v>
      </c>
      <c r="E28906" s="1" t="s">
        <v>28971</v>
      </c>
      <c r="F28906" s="2"/>
      <c r="G28906" s="2"/>
      <c r="H28906" s="2"/>
    </row>
    <row r="28907" spans="1:8" x14ac:dyDescent="0.25">
      <c r="A28907" s="1"/>
      <c r="B28907" s="1" t="s">
        <v>7328</v>
      </c>
      <c r="C28907" s="1" t="s">
        <v>7329</v>
      </c>
      <c r="D28907" s="22" t="str">
        <f>HYPERLINK("https://rhld.insurance.arkansas.gov/NPILookup?Npi=1861487282","1861487282")</f>
        <v>1861487282</v>
      </c>
      <c r="E28907" s="1" t="s">
        <v>1111</v>
      </c>
      <c r="F28907" s="2"/>
      <c r="G28907" s="2"/>
      <c r="H28907" s="2"/>
    </row>
    <row r="28908" spans="1:8" x14ac:dyDescent="0.25">
      <c r="A28908" s="1"/>
      <c r="B28908" s="1" t="s">
        <v>7328</v>
      </c>
      <c r="C28908" s="1" t="s">
        <v>7329</v>
      </c>
      <c r="D28908" s="22" t="str">
        <f>HYPERLINK("https://rhld.insurance.arkansas.gov/NPILookup?Npi=1861488017","1861488017")</f>
        <v>1861488017</v>
      </c>
      <c r="E28908" s="1" t="s">
        <v>8152</v>
      </c>
      <c r="F28908" s="2"/>
      <c r="G28908" s="2"/>
      <c r="H28908" s="2"/>
    </row>
    <row r="28909" spans="1:8" x14ac:dyDescent="0.25">
      <c r="A28909" s="1"/>
      <c r="B28909" s="1" t="s">
        <v>7328</v>
      </c>
      <c r="C28909" s="1" t="s">
        <v>7329</v>
      </c>
      <c r="D28909" s="22" t="str">
        <f>HYPERLINK("https://rhld.insurance.arkansas.gov/NPILookup?Npi=1861488348","1861488348")</f>
        <v>1861488348</v>
      </c>
      <c r="E28909" s="1" t="s">
        <v>3059</v>
      </c>
      <c r="F28909" s="2"/>
      <c r="G28909" s="2"/>
      <c r="H28909" s="2"/>
    </row>
    <row r="28910" spans="1:8" x14ac:dyDescent="0.25">
      <c r="A28910" s="1"/>
      <c r="B28910" s="1" t="s">
        <v>7328</v>
      </c>
      <c r="C28910" s="1" t="s">
        <v>7329</v>
      </c>
      <c r="D28910" s="22" t="str">
        <f>HYPERLINK("https://rhld.insurance.arkansas.gov/NPILookup?Npi=1861493983","1861493983")</f>
        <v>1861493983</v>
      </c>
      <c r="E28910" s="1" t="s">
        <v>28972</v>
      </c>
      <c r="F28910" s="2"/>
      <c r="G28910" s="2"/>
      <c r="H28910" s="2"/>
    </row>
    <row r="28911" spans="1:8" x14ac:dyDescent="0.25">
      <c r="A28911" s="1"/>
      <c r="B28911" s="1" t="s">
        <v>7328</v>
      </c>
      <c r="C28911" s="1" t="s">
        <v>7329</v>
      </c>
      <c r="D28911" s="22" t="str">
        <f>HYPERLINK("https://rhld.insurance.arkansas.gov/NPILookup?Npi=1861498776","1861498776")</f>
        <v>1861498776</v>
      </c>
      <c r="E28911" s="1" t="s">
        <v>13717</v>
      </c>
      <c r="F28911" s="2"/>
      <c r="G28911" s="2"/>
      <c r="H28911" s="2"/>
    </row>
    <row r="28912" spans="1:8" x14ac:dyDescent="0.25">
      <c r="A28912" s="1"/>
      <c r="B28912" s="1" t="s">
        <v>7328</v>
      </c>
      <c r="C28912" s="1" t="s">
        <v>7329</v>
      </c>
      <c r="D28912" s="22" t="str">
        <f>HYPERLINK("https://rhld.insurance.arkansas.gov/NPILookup?Npi=1861506453","1861506453")</f>
        <v>1861506453</v>
      </c>
      <c r="E28912" s="1" t="s">
        <v>2089</v>
      </c>
      <c r="F28912" s="2"/>
      <c r="G28912" s="2"/>
      <c r="H28912" s="2"/>
    </row>
    <row r="28913" spans="1:8" x14ac:dyDescent="0.25">
      <c r="A28913" s="1"/>
      <c r="B28913" s="1" t="s">
        <v>7328</v>
      </c>
      <c r="C28913" s="1" t="s">
        <v>7329</v>
      </c>
      <c r="D28913" s="22" t="str">
        <f>HYPERLINK("https://rhld.insurance.arkansas.gov/NPILookup?Npi=1861512105","1861512105")</f>
        <v>1861512105</v>
      </c>
      <c r="E28913" s="1" t="s">
        <v>3060</v>
      </c>
      <c r="F28913" s="2"/>
      <c r="G28913" s="2"/>
      <c r="H28913" s="2"/>
    </row>
    <row r="28914" spans="1:8" x14ac:dyDescent="0.25">
      <c r="A28914" s="1"/>
      <c r="B28914" s="1" t="s">
        <v>7328</v>
      </c>
      <c r="C28914" s="1" t="s">
        <v>7329</v>
      </c>
      <c r="D28914" s="22" t="str">
        <f>HYPERLINK("https://rhld.insurance.arkansas.gov/NPILookup?Npi=1861520777","1861520777")</f>
        <v>1861520777</v>
      </c>
      <c r="E28914" s="1" t="s">
        <v>28973</v>
      </c>
      <c r="F28914" s="2"/>
      <c r="G28914" s="2"/>
      <c r="H28914" s="2"/>
    </row>
    <row r="28915" spans="1:8" x14ac:dyDescent="0.25">
      <c r="A28915" s="1"/>
      <c r="B28915" s="1" t="s">
        <v>7328</v>
      </c>
      <c r="C28915" s="1" t="s">
        <v>7329</v>
      </c>
      <c r="D28915" s="22" t="str">
        <f>HYPERLINK("https://rhld.insurance.arkansas.gov/NPILookup?Npi=1861526121","1861526121")</f>
        <v>1861526121</v>
      </c>
      <c r="E28915" s="1" t="s">
        <v>13047</v>
      </c>
      <c r="F28915" s="2"/>
      <c r="G28915" s="2"/>
      <c r="H28915" s="2"/>
    </row>
    <row r="28916" spans="1:8" x14ac:dyDescent="0.25">
      <c r="A28916" s="1"/>
      <c r="B28916" s="1" t="s">
        <v>7328</v>
      </c>
      <c r="C28916" s="1" t="s">
        <v>7329</v>
      </c>
      <c r="D28916" s="22" t="str">
        <f>HYPERLINK("https://rhld.insurance.arkansas.gov/NPILookup?Npi=1861528432","1861528432")</f>
        <v>1861528432</v>
      </c>
      <c r="E28916" s="1" t="s">
        <v>28974</v>
      </c>
      <c r="F28916" s="2"/>
      <c r="G28916" s="2"/>
      <c r="H28916" s="2"/>
    </row>
    <row r="28917" spans="1:8" x14ac:dyDescent="0.25">
      <c r="A28917" s="1"/>
      <c r="B28917" s="1" t="s">
        <v>7328</v>
      </c>
      <c r="C28917" s="1" t="s">
        <v>7329</v>
      </c>
      <c r="D28917" s="22" t="str">
        <f>HYPERLINK("https://rhld.insurance.arkansas.gov/NPILookup?Npi=1861556904","1861556904")</f>
        <v>1861556904</v>
      </c>
      <c r="E28917" s="1" t="s">
        <v>28975</v>
      </c>
      <c r="F28917" s="2"/>
      <c r="G28917" s="2"/>
      <c r="H28917" s="2"/>
    </row>
    <row r="28918" spans="1:8" x14ac:dyDescent="0.25">
      <c r="A28918" s="1"/>
      <c r="B28918" s="1" t="s">
        <v>7328</v>
      </c>
      <c r="C28918" s="1" t="s">
        <v>7329</v>
      </c>
      <c r="D28918" s="22" t="str">
        <f>HYPERLINK("https://rhld.insurance.arkansas.gov/NPILookup?Npi=1861674921","1861674921")</f>
        <v>1861674921</v>
      </c>
      <c r="E28918" s="1" t="s">
        <v>28976</v>
      </c>
      <c r="F28918" s="2"/>
      <c r="G28918" s="2"/>
      <c r="H28918" s="2"/>
    </row>
    <row r="28919" spans="1:8" x14ac:dyDescent="0.25">
      <c r="A28919" s="1"/>
      <c r="B28919" s="1" t="s">
        <v>7328</v>
      </c>
      <c r="C28919" s="1" t="s">
        <v>7329</v>
      </c>
      <c r="D28919" s="22" t="str">
        <f>HYPERLINK("https://rhld.insurance.arkansas.gov/NPILookup?Npi=1861683435","1861683435")</f>
        <v>1861683435</v>
      </c>
      <c r="E28919" s="1" t="s">
        <v>17944</v>
      </c>
      <c r="F28919" s="2"/>
      <c r="G28919" s="2"/>
      <c r="H28919" s="2"/>
    </row>
    <row r="28920" spans="1:8" x14ac:dyDescent="0.25">
      <c r="A28920" s="1"/>
      <c r="B28920" s="1" t="s">
        <v>7328</v>
      </c>
      <c r="C28920" s="1" t="s">
        <v>7329</v>
      </c>
      <c r="D28920" s="22" t="str">
        <f>HYPERLINK("https://rhld.insurance.arkansas.gov/NPILookup?Npi=1861685570","1861685570")</f>
        <v>1861685570</v>
      </c>
      <c r="E28920" s="1" t="s">
        <v>28977</v>
      </c>
      <c r="F28920" s="2"/>
      <c r="G28920" s="2"/>
      <c r="H28920" s="2"/>
    </row>
    <row r="28921" spans="1:8" x14ac:dyDescent="0.25">
      <c r="A28921" s="1"/>
      <c r="B28921" s="1" t="s">
        <v>7328</v>
      </c>
      <c r="C28921" s="1" t="s">
        <v>7329</v>
      </c>
      <c r="D28921" s="22" t="str">
        <f>HYPERLINK("https://rhld.insurance.arkansas.gov/NPILookup?Npi=1861695132","1861695132")</f>
        <v>1861695132</v>
      </c>
      <c r="E28921" s="1" t="s">
        <v>3061</v>
      </c>
      <c r="F28921" s="2"/>
      <c r="G28921" s="2"/>
      <c r="H28921" s="2"/>
    </row>
    <row r="28922" spans="1:8" x14ac:dyDescent="0.25">
      <c r="A28922" s="1"/>
      <c r="B28922" s="1" t="s">
        <v>7328</v>
      </c>
      <c r="C28922" s="1" t="s">
        <v>7329</v>
      </c>
      <c r="D28922" s="22" t="str">
        <f>HYPERLINK("https://rhld.insurance.arkansas.gov/NPILookup?Npi=1861744773","1861744773")</f>
        <v>1861744773</v>
      </c>
      <c r="E28922" s="1" t="s">
        <v>28978</v>
      </c>
      <c r="F28922" s="2"/>
      <c r="G28922" s="2"/>
      <c r="H28922" s="2"/>
    </row>
    <row r="28923" spans="1:8" x14ac:dyDescent="0.25">
      <c r="A28923" s="1"/>
      <c r="B28923" s="1" t="s">
        <v>7328</v>
      </c>
      <c r="C28923" s="1" t="s">
        <v>7329</v>
      </c>
      <c r="D28923" s="22" t="str">
        <f>HYPERLINK("https://rhld.insurance.arkansas.gov/NPILookup?Npi=1861755118","1861755118")</f>
        <v>1861755118</v>
      </c>
      <c r="E28923" s="1" t="s">
        <v>13718</v>
      </c>
      <c r="F28923" s="2"/>
      <c r="G28923" s="2"/>
      <c r="H28923" s="2"/>
    </row>
    <row r="28924" spans="1:8" x14ac:dyDescent="0.25">
      <c r="A28924" s="1"/>
      <c r="B28924" s="1" t="s">
        <v>7328</v>
      </c>
      <c r="C28924" s="1" t="s">
        <v>7329</v>
      </c>
      <c r="D28924" s="22" t="str">
        <f>HYPERLINK("https://rhld.insurance.arkansas.gov/NPILookup?Npi=1861788028","1861788028")</f>
        <v>1861788028</v>
      </c>
      <c r="E28924" s="1" t="s">
        <v>28979</v>
      </c>
      <c r="F28924" s="2"/>
      <c r="G28924" s="2"/>
      <c r="H28924" s="2"/>
    </row>
    <row r="28925" spans="1:8" x14ac:dyDescent="0.25">
      <c r="A28925" s="1"/>
      <c r="B28925" s="1" t="s">
        <v>7328</v>
      </c>
      <c r="C28925" s="1" t="s">
        <v>7329</v>
      </c>
      <c r="D28925" s="22" t="str">
        <f>HYPERLINK("https://rhld.insurance.arkansas.gov/NPILookup?Npi=1861788903","1861788903")</f>
        <v>1861788903</v>
      </c>
      <c r="E28925" s="1" t="s">
        <v>8153</v>
      </c>
      <c r="F28925" s="2"/>
      <c r="G28925" s="2"/>
      <c r="H28925" s="2"/>
    </row>
    <row r="28926" spans="1:8" x14ac:dyDescent="0.25">
      <c r="A28926" s="1"/>
      <c r="B28926" s="1" t="s">
        <v>7328</v>
      </c>
      <c r="C28926" s="1" t="s">
        <v>7329</v>
      </c>
      <c r="D28926" s="22" t="str">
        <f>HYPERLINK("https://rhld.insurance.arkansas.gov/NPILookup?Npi=1861804627","1861804627")</f>
        <v>1861804627</v>
      </c>
      <c r="E28926" s="1" t="s">
        <v>23668</v>
      </c>
      <c r="F28926" s="2"/>
      <c r="G28926" s="2"/>
      <c r="H28926" s="2"/>
    </row>
    <row r="28927" spans="1:8" x14ac:dyDescent="0.25">
      <c r="A28927" s="1"/>
      <c r="B28927" s="1" t="s">
        <v>7328</v>
      </c>
      <c r="C28927" s="1" t="s">
        <v>7329</v>
      </c>
      <c r="D28927" s="22" t="str">
        <f>HYPERLINK("https://rhld.insurance.arkansas.gov/NPILookup?Npi=1861825911","1861825911")</f>
        <v>1861825911</v>
      </c>
      <c r="E28927" s="1" t="s">
        <v>28980</v>
      </c>
      <c r="F28927" s="2"/>
      <c r="G28927" s="2"/>
      <c r="H28927" s="2"/>
    </row>
    <row r="28928" spans="1:8" x14ac:dyDescent="0.25">
      <c r="A28928" s="1"/>
      <c r="B28928" s="1" t="s">
        <v>7328</v>
      </c>
      <c r="C28928" s="1" t="s">
        <v>7329</v>
      </c>
      <c r="D28928" s="22" t="str">
        <f>HYPERLINK("https://rhld.insurance.arkansas.gov/NPILookup?Npi=1861843690","1861843690")</f>
        <v>1861843690</v>
      </c>
      <c r="E28928" s="1" t="s">
        <v>28981</v>
      </c>
      <c r="F28928" s="2"/>
      <c r="G28928" s="2"/>
      <c r="H28928" s="2"/>
    </row>
    <row r="28929" spans="1:8" x14ac:dyDescent="0.25">
      <c r="A28929" s="1"/>
      <c r="B28929" s="1" t="s">
        <v>7328</v>
      </c>
      <c r="C28929" s="1" t="s">
        <v>7329</v>
      </c>
      <c r="D28929" s="22" t="str">
        <f>HYPERLINK("https://rhld.insurance.arkansas.gov/NPILookup?Npi=1861843831","1861843831")</f>
        <v>1861843831</v>
      </c>
      <c r="E28929" s="1" t="s">
        <v>793</v>
      </c>
      <c r="F28929" s="2"/>
      <c r="G28929" s="2"/>
      <c r="H28929" s="2"/>
    </row>
    <row r="28930" spans="1:8" x14ac:dyDescent="0.25">
      <c r="A28930" s="1"/>
      <c r="B28930" s="1" t="s">
        <v>7328</v>
      </c>
      <c r="C28930" s="1" t="s">
        <v>7329</v>
      </c>
      <c r="D28930" s="22" t="str">
        <f>HYPERLINK("https://rhld.insurance.arkansas.gov/NPILookup?Npi=1861864209","1861864209")</f>
        <v>1861864209</v>
      </c>
      <c r="E28930" s="1" t="s">
        <v>32385</v>
      </c>
      <c r="F28930" s="2"/>
      <c r="G28930" s="2"/>
      <c r="H28930" s="2"/>
    </row>
    <row r="28931" spans="1:8" x14ac:dyDescent="0.25">
      <c r="A28931" s="1"/>
      <c r="B28931" s="1" t="s">
        <v>7328</v>
      </c>
      <c r="C28931" s="1" t="s">
        <v>7329</v>
      </c>
      <c r="D28931" s="22" t="str">
        <f>HYPERLINK("https://rhld.insurance.arkansas.gov/NPILookup?Npi=1861868648","1861868648")</f>
        <v>1861868648</v>
      </c>
      <c r="E28931" s="1" t="s">
        <v>13719</v>
      </c>
      <c r="F28931" s="2"/>
      <c r="G28931" s="2"/>
      <c r="H28931" s="2"/>
    </row>
    <row r="28932" spans="1:8" x14ac:dyDescent="0.25">
      <c r="A28932" s="1"/>
      <c r="B28932" s="1" t="s">
        <v>7328</v>
      </c>
      <c r="C28932" s="1" t="s">
        <v>7329</v>
      </c>
      <c r="D28932" s="22" t="str">
        <f>HYPERLINK("https://rhld.insurance.arkansas.gov/NPILookup?Npi=1861872699","1861872699")</f>
        <v>1861872699</v>
      </c>
      <c r="E28932" s="1" t="s">
        <v>28982</v>
      </c>
      <c r="F28932" s="2"/>
      <c r="G28932" s="2"/>
      <c r="H28932" s="2"/>
    </row>
    <row r="28933" spans="1:8" x14ac:dyDescent="0.25">
      <c r="A28933" s="1"/>
      <c r="B28933" s="1" t="s">
        <v>7328</v>
      </c>
      <c r="C28933" s="1" t="s">
        <v>7329</v>
      </c>
      <c r="D28933" s="22" t="str">
        <f>HYPERLINK("https://rhld.insurance.arkansas.gov/NPILookup?Npi=1861885832","1861885832")</f>
        <v>1861885832</v>
      </c>
      <c r="E28933" s="1" t="s">
        <v>13720</v>
      </c>
      <c r="F28933" s="2"/>
      <c r="G28933" s="2"/>
      <c r="H28933" s="2"/>
    </row>
    <row r="28934" spans="1:8" x14ac:dyDescent="0.25">
      <c r="A28934" s="1"/>
      <c r="B28934" s="1" t="s">
        <v>7328</v>
      </c>
      <c r="C28934" s="1" t="s">
        <v>7329</v>
      </c>
      <c r="D28934" s="22" t="str">
        <f>HYPERLINK("https://rhld.insurance.arkansas.gov/NPILookup?Npi=1861904377","1861904377")</f>
        <v>1861904377</v>
      </c>
      <c r="E28934" s="1" t="s">
        <v>28983</v>
      </c>
      <c r="F28934" s="2"/>
      <c r="G28934" s="2"/>
      <c r="H28934" s="2"/>
    </row>
    <row r="28935" spans="1:8" x14ac:dyDescent="0.25">
      <c r="A28935" s="1"/>
      <c r="B28935" s="1" t="s">
        <v>7328</v>
      </c>
      <c r="C28935" s="1" t="s">
        <v>7329</v>
      </c>
      <c r="D28935" s="22" t="str">
        <f>HYPERLINK("https://rhld.insurance.arkansas.gov/NPILookup?Npi=1861915233","1861915233")</f>
        <v>1861915233</v>
      </c>
      <c r="E28935" s="1" t="s">
        <v>897</v>
      </c>
      <c r="F28935" s="2"/>
      <c r="G28935" s="2"/>
      <c r="H28935" s="2"/>
    </row>
    <row r="28936" spans="1:8" x14ac:dyDescent="0.25">
      <c r="A28936" s="1"/>
      <c r="B28936" s="1" t="s">
        <v>7328</v>
      </c>
      <c r="C28936" s="1" t="s">
        <v>7329</v>
      </c>
      <c r="D28936" s="22" t="str">
        <f>HYPERLINK("https://rhld.insurance.arkansas.gov/NPILookup?Npi=1861924383","1861924383")</f>
        <v>1861924383</v>
      </c>
      <c r="E28936" s="1" t="s">
        <v>28984</v>
      </c>
      <c r="F28936" s="2"/>
      <c r="G28936" s="2"/>
      <c r="H28936" s="2"/>
    </row>
    <row r="28937" spans="1:8" x14ac:dyDescent="0.25">
      <c r="A28937" s="1"/>
      <c r="B28937" s="1" t="s">
        <v>7328</v>
      </c>
      <c r="C28937" s="1" t="s">
        <v>7329</v>
      </c>
      <c r="D28937" s="22" t="str">
        <f>HYPERLINK("https://rhld.insurance.arkansas.gov/NPILookup?Npi=1861925331","1861925331")</f>
        <v>1861925331</v>
      </c>
      <c r="E28937" s="1" t="s">
        <v>1819</v>
      </c>
      <c r="F28937" s="2"/>
      <c r="G28937" s="2"/>
      <c r="H28937" s="2"/>
    </row>
    <row r="28938" spans="1:8" x14ac:dyDescent="0.25">
      <c r="A28938" s="1"/>
      <c r="B28938" s="1" t="s">
        <v>7328</v>
      </c>
      <c r="C28938" s="1" t="s">
        <v>7329</v>
      </c>
      <c r="D28938" s="22" t="str">
        <f>HYPERLINK("https://rhld.insurance.arkansas.gov/NPILookup?Npi=1861927337","1861927337")</f>
        <v>1861927337</v>
      </c>
      <c r="E28938" s="1" t="s">
        <v>28985</v>
      </c>
      <c r="F28938" s="2"/>
      <c r="G28938" s="2"/>
      <c r="H28938" s="2"/>
    </row>
    <row r="28939" spans="1:8" x14ac:dyDescent="0.25">
      <c r="A28939" s="1"/>
      <c r="B28939" s="1" t="s">
        <v>7328</v>
      </c>
      <c r="C28939" s="1" t="s">
        <v>7329</v>
      </c>
      <c r="D28939" s="22" t="str">
        <f>HYPERLINK("https://rhld.insurance.arkansas.gov/NPILookup?Npi=1861935504","1861935504")</f>
        <v>1861935504</v>
      </c>
      <c r="E28939" s="1" t="s">
        <v>13721</v>
      </c>
      <c r="F28939" s="2"/>
      <c r="G28939" s="2"/>
      <c r="H28939" s="2"/>
    </row>
    <row r="28940" spans="1:8" x14ac:dyDescent="0.25">
      <c r="A28940" s="1"/>
      <c r="B28940" s="1" t="s">
        <v>7328</v>
      </c>
      <c r="C28940" s="1" t="s">
        <v>7329</v>
      </c>
      <c r="D28940" s="22" t="str">
        <f>HYPERLINK("https://rhld.insurance.arkansas.gov/NPILookup?Npi=1861935967","1861935967")</f>
        <v>1861935967</v>
      </c>
      <c r="E28940" s="1" t="s">
        <v>13722</v>
      </c>
      <c r="F28940" s="2"/>
      <c r="G28940" s="2"/>
      <c r="H28940" s="2"/>
    </row>
    <row r="28941" spans="1:8" x14ac:dyDescent="0.25">
      <c r="A28941" s="1"/>
      <c r="B28941" s="1" t="s">
        <v>7328</v>
      </c>
      <c r="C28941" s="1" t="s">
        <v>7329</v>
      </c>
      <c r="D28941" s="22" t="str">
        <f>HYPERLINK("https://rhld.insurance.arkansas.gov/NPILookup?Npi=1861942682","1861942682")</f>
        <v>1861942682</v>
      </c>
      <c r="E28941" s="1" t="s">
        <v>13723</v>
      </c>
      <c r="F28941" s="2"/>
      <c r="G28941" s="2"/>
      <c r="H28941" s="2"/>
    </row>
    <row r="28942" spans="1:8" x14ac:dyDescent="0.25">
      <c r="A28942" s="1"/>
      <c r="B28942" s="1" t="s">
        <v>7328</v>
      </c>
      <c r="C28942" s="1" t="s">
        <v>7329</v>
      </c>
      <c r="D28942" s="22" t="str">
        <f>HYPERLINK("https://rhld.insurance.arkansas.gov/NPILookup?Npi=1861944415","1861944415")</f>
        <v>1861944415</v>
      </c>
      <c r="E28942" s="1" t="s">
        <v>28986</v>
      </c>
      <c r="F28942" s="2"/>
      <c r="G28942" s="2"/>
      <c r="H28942" s="2"/>
    </row>
    <row r="28943" spans="1:8" x14ac:dyDescent="0.25">
      <c r="A28943" s="1"/>
      <c r="B28943" s="1" t="s">
        <v>7328</v>
      </c>
      <c r="C28943" s="1" t="s">
        <v>7329</v>
      </c>
      <c r="D28943" s="22" t="str">
        <f>HYPERLINK("https://rhld.insurance.arkansas.gov/NPILookup?Npi=1861945040","1861945040")</f>
        <v>1861945040</v>
      </c>
      <c r="E28943" s="1" t="s">
        <v>13724</v>
      </c>
      <c r="F28943" s="2"/>
      <c r="G28943" s="2"/>
      <c r="H28943" s="2"/>
    </row>
    <row r="28944" spans="1:8" x14ac:dyDescent="0.25">
      <c r="A28944" s="1"/>
      <c r="B28944" s="1" t="s">
        <v>7328</v>
      </c>
      <c r="C28944" s="1" t="s">
        <v>7329</v>
      </c>
      <c r="D28944" s="22" t="str">
        <f>HYPERLINK("https://rhld.insurance.arkansas.gov/NPILookup?Npi=1861954513","1861954513")</f>
        <v>1861954513</v>
      </c>
      <c r="E28944" s="1" t="s">
        <v>13725</v>
      </c>
      <c r="F28944" s="2"/>
      <c r="G28944" s="2"/>
      <c r="H28944" s="2"/>
    </row>
    <row r="28945" spans="1:8" x14ac:dyDescent="0.25">
      <c r="A28945" s="1"/>
      <c r="B28945" s="1" t="s">
        <v>7328</v>
      </c>
      <c r="C28945" s="1" t="s">
        <v>7329</v>
      </c>
      <c r="D28945" s="22" t="str">
        <f>HYPERLINK("https://rhld.insurance.arkansas.gov/NPILookup?Npi=1861956922","1861956922")</f>
        <v>1861956922</v>
      </c>
      <c r="E28945" s="1" t="s">
        <v>13726</v>
      </c>
      <c r="F28945" s="2"/>
      <c r="G28945" s="2"/>
      <c r="H28945" s="2"/>
    </row>
    <row r="28946" spans="1:8" x14ac:dyDescent="0.25">
      <c r="A28946" s="1"/>
      <c r="B28946" s="1" t="s">
        <v>7328</v>
      </c>
      <c r="C28946" s="1" t="s">
        <v>7329</v>
      </c>
      <c r="D28946" s="22" t="str">
        <f>HYPERLINK("https://rhld.insurance.arkansas.gov/NPILookup?Npi=1861958951","1861958951")</f>
        <v>1861958951</v>
      </c>
      <c r="E28946" s="1" t="s">
        <v>28987</v>
      </c>
      <c r="F28946" s="2"/>
      <c r="G28946" s="2"/>
      <c r="H28946" s="2"/>
    </row>
    <row r="28947" spans="1:8" x14ac:dyDescent="0.25">
      <c r="A28947" s="1"/>
      <c r="B28947" s="1" t="s">
        <v>7328</v>
      </c>
      <c r="C28947" s="1" t="s">
        <v>7329</v>
      </c>
      <c r="D28947" s="22" t="str">
        <f>HYPERLINK("https://rhld.insurance.arkansas.gov/NPILookup?Npi=1861962219","1861962219")</f>
        <v>1861962219</v>
      </c>
      <c r="E28947" s="1" t="s">
        <v>28988</v>
      </c>
      <c r="F28947" s="2"/>
      <c r="G28947" s="2"/>
      <c r="H28947" s="2"/>
    </row>
    <row r="28948" spans="1:8" x14ac:dyDescent="0.25">
      <c r="A28948" s="1"/>
      <c r="B28948" s="1" t="s">
        <v>7328</v>
      </c>
      <c r="C28948" s="1" t="s">
        <v>7329</v>
      </c>
      <c r="D28948" s="22" t="str">
        <f>HYPERLINK("https://rhld.insurance.arkansas.gov/NPILookup?Npi=1861964447","1861964447")</f>
        <v>1861964447</v>
      </c>
      <c r="E28948" s="1" t="s">
        <v>11348</v>
      </c>
      <c r="F28948" s="2"/>
      <c r="G28948" s="2"/>
      <c r="H28948" s="2"/>
    </row>
    <row r="28949" spans="1:8" x14ac:dyDescent="0.25">
      <c r="A28949" s="1"/>
      <c r="B28949" s="1" t="s">
        <v>7328</v>
      </c>
      <c r="C28949" s="1" t="s">
        <v>7329</v>
      </c>
      <c r="D28949" s="22" t="str">
        <f>HYPERLINK("https://rhld.insurance.arkansas.gov/NPILookup?Npi=1861965667","1861965667")</f>
        <v>1861965667</v>
      </c>
      <c r="E28949" s="1" t="s">
        <v>28989</v>
      </c>
      <c r="F28949" s="2"/>
      <c r="G28949" s="2"/>
      <c r="H28949" s="2"/>
    </row>
    <row r="28950" spans="1:8" x14ac:dyDescent="0.25">
      <c r="A28950" s="1"/>
      <c r="B28950" s="1" t="s">
        <v>7328</v>
      </c>
      <c r="C28950" s="1" t="s">
        <v>7329</v>
      </c>
      <c r="D28950" s="22" t="str">
        <f>HYPERLINK("https://rhld.insurance.arkansas.gov/NPILookup?Npi=1861989030","1861989030")</f>
        <v>1861989030</v>
      </c>
      <c r="E28950" s="1" t="s">
        <v>28990</v>
      </c>
      <c r="F28950" s="2"/>
      <c r="G28950" s="2"/>
      <c r="H28950" s="2"/>
    </row>
    <row r="28951" spans="1:8" x14ac:dyDescent="0.25">
      <c r="A28951" s="1"/>
      <c r="B28951" s="1" t="s">
        <v>7328</v>
      </c>
      <c r="C28951" s="1" t="s">
        <v>7329</v>
      </c>
      <c r="D28951" s="22" t="str">
        <f>HYPERLINK("https://rhld.insurance.arkansas.gov/NPILookup?Npi=1871001859","1871001859")</f>
        <v>1871001859</v>
      </c>
      <c r="E28951" s="1" t="s">
        <v>28991</v>
      </c>
      <c r="F28951" s="2"/>
      <c r="G28951" s="2"/>
      <c r="H28951" s="2"/>
    </row>
    <row r="28952" spans="1:8" x14ac:dyDescent="0.25">
      <c r="A28952" s="1"/>
      <c r="B28952" s="1" t="s">
        <v>7328</v>
      </c>
      <c r="C28952" s="1" t="s">
        <v>7329</v>
      </c>
      <c r="D28952" s="22" t="str">
        <f>HYPERLINK("https://rhld.insurance.arkansas.gov/NPILookup?Npi=1871013359","1871013359")</f>
        <v>1871013359</v>
      </c>
      <c r="E28952" s="1" t="s">
        <v>28992</v>
      </c>
      <c r="F28952" s="2"/>
      <c r="G28952" s="2"/>
      <c r="H28952" s="2"/>
    </row>
    <row r="28953" spans="1:8" x14ac:dyDescent="0.25">
      <c r="A28953" s="1"/>
      <c r="B28953" s="1" t="s">
        <v>7328</v>
      </c>
      <c r="C28953" s="1" t="s">
        <v>7329</v>
      </c>
      <c r="D28953" s="22" t="str">
        <f>HYPERLINK("https://rhld.insurance.arkansas.gov/NPILookup?Npi=1871032003","1871032003")</f>
        <v>1871032003</v>
      </c>
      <c r="E28953" s="1" t="s">
        <v>3062</v>
      </c>
      <c r="F28953" s="2"/>
      <c r="G28953" s="2"/>
      <c r="H28953" s="2"/>
    </row>
    <row r="28954" spans="1:8" x14ac:dyDescent="0.25">
      <c r="A28954" s="1"/>
      <c r="B28954" s="1" t="s">
        <v>7328</v>
      </c>
      <c r="C28954" s="1" t="s">
        <v>7329</v>
      </c>
      <c r="D28954" s="22" t="str">
        <f>HYPERLINK("https://rhld.insurance.arkansas.gov/NPILookup?Npi=1871033472","1871033472")</f>
        <v>1871033472</v>
      </c>
      <c r="E28954" s="1" t="s">
        <v>28993</v>
      </c>
      <c r="F28954" s="2"/>
      <c r="G28954" s="2"/>
      <c r="H28954" s="2"/>
    </row>
    <row r="28955" spans="1:8" x14ac:dyDescent="0.25">
      <c r="A28955" s="1"/>
      <c r="B28955" s="1" t="s">
        <v>7328</v>
      </c>
      <c r="C28955" s="1" t="s">
        <v>7329</v>
      </c>
      <c r="D28955" s="22" t="str">
        <f>HYPERLINK("https://rhld.insurance.arkansas.gov/NPILookup?Npi=1871034165","1871034165")</f>
        <v>1871034165</v>
      </c>
      <c r="E28955" s="1" t="s">
        <v>28994</v>
      </c>
      <c r="F28955" s="2"/>
      <c r="G28955" s="2"/>
      <c r="H28955" s="2"/>
    </row>
    <row r="28956" spans="1:8" x14ac:dyDescent="0.25">
      <c r="A28956" s="1"/>
      <c r="B28956" s="1" t="s">
        <v>7328</v>
      </c>
      <c r="C28956" s="1" t="s">
        <v>7329</v>
      </c>
      <c r="D28956" s="22" t="str">
        <f>HYPERLINK("https://rhld.insurance.arkansas.gov/NPILookup?Npi=1871038281","1871038281")</f>
        <v>1871038281</v>
      </c>
      <c r="E28956" s="1" t="s">
        <v>28995</v>
      </c>
      <c r="F28956" s="2"/>
      <c r="G28956" s="2"/>
      <c r="H28956" s="2"/>
    </row>
    <row r="28957" spans="1:8" x14ac:dyDescent="0.25">
      <c r="A28957" s="1"/>
      <c r="B28957" s="1" t="s">
        <v>7328</v>
      </c>
      <c r="C28957" s="1" t="s">
        <v>7329</v>
      </c>
      <c r="D28957" s="22" t="str">
        <f>HYPERLINK("https://rhld.insurance.arkansas.gov/NPILookup?Npi=1871039610","1871039610")</f>
        <v>1871039610</v>
      </c>
      <c r="E28957" s="1" t="s">
        <v>898</v>
      </c>
      <c r="F28957" s="2"/>
      <c r="G28957" s="2"/>
      <c r="H28957" s="2"/>
    </row>
    <row r="28958" spans="1:8" x14ac:dyDescent="0.25">
      <c r="A28958" s="1"/>
      <c r="B28958" s="1" t="s">
        <v>7328</v>
      </c>
      <c r="C28958" s="1" t="s">
        <v>7329</v>
      </c>
      <c r="D28958" s="22" t="str">
        <f>HYPERLINK("https://rhld.insurance.arkansas.gov/NPILookup?Npi=1871041715","1871041715")</f>
        <v>1871041715</v>
      </c>
      <c r="E28958" s="1" t="s">
        <v>899</v>
      </c>
      <c r="F28958" s="2"/>
      <c r="G28958" s="2"/>
      <c r="H28958" s="2"/>
    </row>
    <row r="28959" spans="1:8" x14ac:dyDescent="0.25">
      <c r="A28959" s="1"/>
      <c r="B28959" s="1" t="s">
        <v>7328</v>
      </c>
      <c r="C28959" s="1" t="s">
        <v>7329</v>
      </c>
      <c r="D28959" s="22" t="str">
        <f>HYPERLINK("https://rhld.insurance.arkansas.gov/NPILookup?Npi=1871052050","1871052050")</f>
        <v>1871052050</v>
      </c>
      <c r="E28959" s="1" t="s">
        <v>28996</v>
      </c>
      <c r="F28959" s="2"/>
      <c r="G28959" s="2"/>
      <c r="H28959" s="2"/>
    </row>
    <row r="28960" spans="1:8" x14ac:dyDescent="0.25">
      <c r="A28960" s="1"/>
      <c r="B28960" s="1" t="s">
        <v>7328</v>
      </c>
      <c r="C28960" s="1" t="s">
        <v>7329</v>
      </c>
      <c r="D28960" s="22" t="str">
        <f>HYPERLINK("https://rhld.insurance.arkansas.gov/NPILookup?Npi=1871059709","1871059709")</f>
        <v>1871059709</v>
      </c>
      <c r="E28960" s="1" t="s">
        <v>32386</v>
      </c>
      <c r="F28960" s="2"/>
      <c r="G28960" s="2"/>
      <c r="H28960" s="2"/>
    </row>
    <row r="28961" spans="1:8" x14ac:dyDescent="0.25">
      <c r="A28961" s="1"/>
      <c r="B28961" s="1" t="s">
        <v>7328</v>
      </c>
      <c r="C28961" s="1" t="s">
        <v>7329</v>
      </c>
      <c r="D28961" s="22" t="str">
        <f>HYPERLINK("https://rhld.insurance.arkansas.gov/NPILookup?Npi=1871064972","1871064972")</f>
        <v>1871064972</v>
      </c>
      <c r="E28961" s="1" t="s">
        <v>3063</v>
      </c>
      <c r="F28961" s="2"/>
      <c r="G28961" s="2"/>
      <c r="H28961" s="2"/>
    </row>
    <row r="28962" spans="1:8" x14ac:dyDescent="0.25">
      <c r="A28962" s="1"/>
      <c r="B28962" s="1" t="s">
        <v>7328</v>
      </c>
      <c r="C28962" s="1" t="s">
        <v>7329</v>
      </c>
      <c r="D28962" s="22" t="str">
        <f>HYPERLINK("https://rhld.insurance.arkansas.gov/NPILookup?Npi=1871078436","1871078436")</f>
        <v>1871078436</v>
      </c>
      <c r="E28962" s="1" t="s">
        <v>28997</v>
      </c>
      <c r="F28962" s="2"/>
      <c r="G28962" s="2"/>
      <c r="H28962" s="2"/>
    </row>
    <row r="28963" spans="1:8" x14ac:dyDescent="0.25">
      <c r="A28963" s="1"/>
      <c r="B28963" s="1" t="s">
        <v>7328</v>
      </c>
      <c r="C28963" s="1" t="s">
        <v>7329</v>
      </c>
      <c r="D28963" s="22" t="str">
        <f>HYPERLINK("https://rhld.insurance.arkansas.gov/NPILookup?Npi=1871082123","1871082123")</f>
        <v>1871082123</v>
      </c>
      <c r="E28963" s="1" t="s">
        <v>13129</v>
      </c>
      <c r="F28963" s="2"/>
      <c r="G28963" s="2"/>
      <c r="H28963" s="2"/>
    </row>
    <row r="28964" spans="1:8" x14ac:dyDescent="0.25">
      <c r="A28964" s="1"/>
      <c r="B28964" s="1" t="s">
        <v>7328</v>
      </c>
      <c r="C28964" s="1" t="s">
        <v>7329</v>
      </c>
      <c r="D28964" s="22" t="str">
        <f>HYPERLINK("https://rhld.insurance.arkansas.gov/NPILookup?Npi=1871084087","1871084087")</f>
        <v>1871084087</v>
      </c>
      <c r="E28964" s="1" t="s">
        <v>28998</v>
      </c>
      <c r="F28964" s="2"/>
      <c r="G28964" s="2"/>
      <c r="H28964" s="2"/>
    </row>
    <row r="28965" spans="1:8" x14ac:dyDescent="0.25">
      <c r="A28965" s="1"/>
      <c r="B28965" s="1" t="s">
        <v>7328</v>
      </c>
      <c r="C28965" s="1" t="s">
        <v>7329</v>
      </c>
      <c r="D28965" s="22" t="str">
        <f>HYPERLINK("https://rhld.insurance.arkansas.gov/NPILookup?Npi=1871084301","1871084301")</f>
        <v>1871084301</v>
      </c>
      <c r="E28965" s="1" t="s">
        <v>28999</v>
      </c>
      <c r="F28965" s="2"/>
      <c r="G28965" s="2"/>
      <c r="H28965" s="2"/>
    </row>
    <row r="28966" spans="1:8" x14ac:dyDescent="0.25">
      <c r="A28966" s="1"/>
      <c r="B28966" s="1" t="s">
        <v>7328</v>
      </c>
      <c r="C28966" s="1" t="s">
        <v>7329</v>
      </c>
      <c r="D28966" s="22" t="str">
        <f>HYPERLINK("https://rhld.insurance.arkansas.gov/NPILookup?Npi=1871085860","1871085860")</f>
        <v>1871085860</v>
      </c>
      <c r="E28966" s="1" t="s">
        <v>29000</v>
      </c>
      <c r="F28966" s="2"/>
      <c r="G28966" s="2"/>
      <c r="H28966" s="2"/>
    </row>
    <row r="28967" spans="1:8" x14ac:dyDescent="0.25">
      <c r="A28967" s="1"/>
      <c r="B28967" s="1" t="s">
        <v>7328</v>
      </c>
      <c r="C28967" s="1" t="s">
        <v>7329</v>
      </c>
      <c r="D28967" s="22" t="str">
        <f>HYPERLINK("https://rhld.insurance.arkansas.gov/NPILookup?Npi=1871090456","1871090456")</f>
        <v>1871090456</v>
      </c>
      <c r="E28967" s="1" t="s">
        <v>29001</v>
      </c>
      <c r="F28967" s="2"/>
      <c r="G28967" s="2"/>
      <c r="H28967" s="2"/>
    </row>
    <row r="28968" spans="1:8" x14ac:dyDescent="0.25">
      <c r="A28968" s="1"/>
      <c r="B28968" s="1" t="s">
        <v>7328</v>
      </c>
      <c r="C28968" s="1" t="s">
        <v>7329</v>
      </c>
      <c r="D28968" s="22" t="str">
        <f>HYPERLINK("https://rhld.insurance.arkansas.gov/NPILookup?Npi=1871103028","1871103028")</f>
        <v>1871103028</v>
      </c>
      <c r="E28968" s="1" t="s">
        <v>29002</v>
      </c>
      <c r="F28968" s="2"/>
      <c r="G28968" s="2"/>
      <c r="H28968" s="2"/>
    </row>
    <row r="28969" spans="1:8" x14ac:dyDescent="0.25">
      <c r="A28969" s="1"/>
      <c r="B28969" s="1" t="s">
        <v>7328</v>
      </c>
      <c r="C28969" s="1" t="s">
        <v>7329</v>
      </c>
      <c r="D28969" s="22" t="str">
        <f>HYPERLINK("https://rhld.insurance.arkansas.gov/NPILookup?Npi=1871103093","1871103093")</f>
        <v>1871103093</v>
      </c>
      <c r="E28969" s="1" t="s">
        <v>29003</v>
      </c>
      <c r="F28969" s="2"/>
      <c r="G28969" s="2"/>
      <c r="H28969" s="2"/>
    </row>
    <row r="28970" spans="1:8" x14ac:dyDescent="0.25">
      <c r="A28970" s="1"/>
      <c r="B28970" s="1" t="s">
        <v>7328</v>
      </c>
      <c r="C28970" s="1" t="s">
        <v>7329</v>
      </c>
      <c r="D28970" s="22" t="str">
        <f>HYPERLINK("https://rhld.insurance.arkansas.gov/NPILookup?Npi=1871117697","1871117697")</f>
        <v>1871117697</v>
      </c>
      <c r="E28970" s="1" t="s">
        <v>29004</v>
      </c>
      <c r="F28970" s="2"/>
      <c r="G28970" s="2"/>
      <c r="H28970" s="2"/>
    </row>
    <row r="28971" spans="1:8" x14ac:dyDescent="0.25">
      <c r="A28971" s="1"/>
      <c r="B28971" s="1" t="s">
        <v>7328</v>
      </c>
      <c r="C28971" s="1" t="s">
        <v>7329</v>
      </c>
      <c r="D28971" s="22" t="str">
        <f>HYPERLINK("https://rhld.insurance.arkansas.gov/NPILookup?Npi=1871117770","1871117770")</f>
        <v>1871117770</v>
      </c>
      <c r="E28971" s="1" t="s">
        <v>29005</v>
      </c>
      <c r="F28971" s="2"/>
      <c r="G28971" s="2"/>
      <c r="H28971" s="2"/>
    </row>
    <row r="28972" spans="1:8" x14ac:dyDescent="0.25">
      <c r="A28972" s="1"/>
      <c r="B28972" s="1" t="s">
        <v>7328</v>
      </c>
      <c r="C28972" s="1" t="s">
        <v>7329</v>
      </c>
      <c r="D28972" s="22" t="str">
        <f>HYPERLINK("https://rhld.insurance.arkansas.gov/NPILookup?Npi=1871123968","1871123968")</f>
        <v>1871123968</v>
      </c>
      <c r="E28972" s="1" t="s">
        <v>32387</v>
      </c>
      <c r="F28972" s="2"/>
      <c r="G28972" s="2"/>
      <c r="H28972" s="2"/>
    </row>
    <row r="28973" spans="1:8" x14ac:dyDescent="0.25">
      <c r="A28973" s="1"/>
      <c r="B28973" s="1" t="s">
        <v>7328</v>
      </c>
      <c r="C28973" s="1" t="s">
        <v>7329</v>
      </c>
      <c r="D28973" s="22" t="str">
        <f>HYPERLINK("https://rhld.insurance.arkansas.gov/NPILookup?Npi=1871125484","1871125484")</f>
        <v>1871125484</v>
      </c>
      <c r="E28973" s="1" t="s">
        <v>29006</v>
      </c>
      <c r="F28973" s="2"/>
      <c r="G28973" s="2"/>
      <c r="H28973" s="2"/>
    </row>
    <row r="28974" spans="1:8" x14ac:dyDescent="0.25">
      <c r="A28974" s="1"/>
      <c r="B28974" s="1" t="s">
        <v>7328</v>
      </c>
      <c r="C28974" s="1" t="s">
        <v>7329</v>
      </c>
      <c r="D28974" s="22" t="str">
        <f>HYPERLINK("https://rhld.insurance.arkansas.gov/NPILookup?Npi=1871139394","1871139394")</f>
        <v>1871139394</v>
      </c>
      <c r="E28974" s="1" t="s">
        <v>29007</v>
      </c>
      <c r="F28974" s="2"/>
      <c r="G28974" s="2"/>
      <c r="H28974" s="2"/>
    </row>
    <row r="28975" spans="1:8" x14ac:dyDescent="0.25">
      <c r="A28975" s="1"/>
      <c r="B28975" s="1" t="s">
        <v>7328</v>
      </c>
      <c r="C28975" s="1" t="s">
        <v>7329</v>
      </c>
      <c r="D28975" s="22" t="str">
        <f>HYPERLINK("https://rhld.insurance.arkansas.gov/NPILookup?Npi=1871164798","1871164798")</f>
        <v>1871164798</v>
      </c>
      <c r="E28975" s="1" t="s">
        <v>13727</v>
      </c>
      <c r="F28975" s="2"/>
      <c r="G28975" s="2"/>
      <c r="H28975" s="2"/>
    </row>
    <row r="28976" spans="1:8" x14ac:dyDescent="0.25">
      <c r="A28976" s="1"/>
      <c r="B28976" s="1" t="s">
        <v>7328</v>
      </c>
      <c r="C28976" s="1" t="s">
        <v>7329</v>
      </c>
      <c r="D28976" s="22" t="str">
        <f>HYPERLINK("https://rhld.insurance.arkansas.gov/NPILookup?Npi=1871170761","1871170761")</f>
        <v>1871170761</v>
      </c>
      <c r="E28976" s="1" t="s">
        <v>17948</v>
      </c>
      <c r="F28976" s="2"/>
      <c r="G28976" s="2"/>
      <c r="H28976" s="2"/>
    </row>
    <row r="28977" spans="1:8" x14ac:dyDescent="0.25">
      <c r="A28977" s="1"/>
      <c r="B28977" s="1" t="s">
        <v>7328</v>
      </c>
      <c r="C28977" s="1" t="s">
        <v>7329</v>
      </c>
      <c r="D28977" s="22" t="str">
        <f>HYPERLINK("https://rhld.insurance.arkansas.gov/NPILookup?Npi=1871185546","1871185546")</f>
        <v>1871185546</v>
      </c>
      <c r="E28977" s="1" t="s">
        <v>1705</v>
      </c>
      <c r="F28977" s="2"/>
      <c r="G28977" s="2"/>
      <c r="H28977" s="2"/>
    </row>
    <row r="28978" spans="1:8" x14ac:dyDescent="0.25">
      <c r="A28978" s="1"/>
      <c r="B28978" s="1" t="s">
        <v>7328</v>
      </c>
      <c r="C28978" s="1" t="s">
        <v>7329</v>
      </c>
      <c r="D28978" s="22" t="str">
        <f>HYPERLINK("https://rhld.insurance.arkansas.gov/NPILookup?Npi=1871207654","1871207654")</f>
        <v>1871207654</v>
      </c>
      <c r="E28978" s="1" t="s">
        <v>23615</v>
      </c>
      <c r="F28978" s="2"/>
      <c r="G28978" s="2"/>
      <c r="H28978" s="2"/>
    </row>
    <row r="28979" spans="1:8" x14ac:dyDescent="0.25">
      <c r="A28979" s="1"/>
      <c r="B28979" s="1" t="s">
        <v>7328</v>
      </c>
      <c r="C28979" s="1" t="s">
        <v>7329</v>
      </c>
      <c r="D28979" s="22" t="str">
        <f>HYPERLINK("https://rhld.insurance.arkansas.gov/NPILookup?Npi=1871218271","1871218271")</f>
        <v>1871218271</v>
      </c>
      <c r="E28979" s="1" t="s">
        <v>23616</v>
      </c>
      <c r="F28979" s="2"/>
      <c r="G28979" s="2"/>
      <c r="H28979" s="2"/>
    </row>
    <row r="28980" spans="1:8" x14ac:dyDescent="0.25">
      <c r="A28980" s="1"/>
      <c r="B28980" s="1" t="s">
        <v>7328</v>
      </c>
      <c r="C28980" s="1" t="s">
        <v>7329</v>
      </c>
      <c r="D28980" s="22" t="str">
        <f>HYPERLINK("https://rhld.insurance.arkansas.gov/NPILookup?Npi=1871219808","1871219808")</f>
        <v>1871219808</v>
      </c>
      <c r="E28980" s="1" t="s">
        <v>8154</v>
      </c>
      <c r="F28980" s="2"/>
      <c r="G28980" s="2"/>
      <c r="H28980" s="2"/>
    </row>
    <row r="28981" spans="1:8" x14ac:dyDescent="0.25">
      <c r="A28981" s="1"/>
      <c r="B28981" s="1" t="s">
        <v>7328</v>
      </c>
      <c r="C28981" s="1" t="s">
        <v>7329</v>
      </c>
      <c r="D28981" s="22" t="str">
        <f>HYPERLINK("https://rhld.insurance.arkansas.gov/NPILookup?Npi=1871244301","1871244301")</f>
        <v>1871244301</v>
      </c>
      <c r="E28981" s="1" t="s">
        <v>8155</v>
      </c>
      <c r="F28981" s="2"/>
      <c r="G28981" s="2"/>
      <c r="H28981" s="2"/>
    </row>
    <row r="28982" spans="1:8" x14ac:dyDescent="0.25">
      <c r="A28982" s="1"/>
      <c r="B28982" s="1" t="s">
        <v>7328</v>
      </c>
      <c r="C28982" s="1" t="s">
        <v>7329</v>
      </c>
      <c r="D28982" s="22" t="str">
        <f>HYPERLINK("https://rhld.insurance.arkansas.gov/NPILookup?Npi=1871244749","1871244749")</f>
        <v>1871244749</v>
      </c>
      <c r="E28982" s="1" t="s">
        <v>29008</v>
      </c>
      <c r="F28982" s="2"/>
      <c r="G28982" s="2"/>
      <c r="H28982" s="2"/>
    </row>
    <row r="28983" spans="1:8" x14ac:dyDescent="0.25">
      <c r="A28983" s="1"/>
      <c r="B28983" s="1" t="s">
        <v>7328</v>
      </c>
      <c r="C28983" s="1" t="s">
        <v>7329</v>
      </c>
      <c r="D28983" s="22" t="str">
        <f>HYPERLINK("https://rhld.insurance.arkansas.gov/NPILookup?Npi=1871244780","1871244780")</f>
        <v>1871244780</v>
      </c>
      <c r="E28983" s="1" t="s">
        <v>29009</v>
      </c>
      <c r="F28983" s="2"/>
      <c r="G28983" s="2"/>
      <c r="H28983" s="2"/>
    </row>
    <row r="28984" spans="1:8" x14ac:dyDescent="0.25">
      <c r="A28984" s="1"/>
      <c r="B28984" s="1" t="s">
        <v>7328</v>
      </c>
      <c r="C28984" s="1" t="s">
        <v>7329</v>
      </c>
      <c r="D28984" s="22" t="str">
        <f>HYPERLINK("https://rhld.insurance.arkansas.gov/NPILookup?Npi=1871245852","1871245852")</f>
        <v>1871245852</v>
      </c>
      <c r="E28984" s="1" t="s">
        <v>29010</v>
      </c>
      <c r="F28984" s="2"/>
      <c r="G28984" s="2"/>
      <c r="H28984" s="2"/>
    </row>
    <row r="28985" spans="1:8" x14ac:dyDescent="0.25">
      <c r="A28985" s="1"/>
      <c r="B28985" s="1" t="s">
        <v>7328</v>
      </c>
      <c r="C28985" s="1" t="s">
        <v>7329</v>
      </c>
      <c r="D28985" s="22" t="str">
        <f>HYPERLINK("https://rhld.insurance.arkansas.gov/NPILookup?Npi=1871245985","1871245985")</f>
        <v>1871245985</v>
      </c>
      <c r="E28985" s="1" t="s">
        <v>8156</v>
      </c>
      <c r="F28985" s="2"/>
      <c r="G28985" s="2"/>
      <c r="H28985" s="2"/>
    </row>
    <row r="28986" spans="1:8" x14ac:dyDescent="0.25">
      <c r="A28986" s="1"/>
      <c r="B28986" s="1" t="s">
        <v>7328</v>
      </c>
      <c r="C28986" s="1" t="s">
        <v>7329</v>
      </c>
      <c r="D28986" s="22" t="str">
        <f>HYPERLINK("https://rhld.insurance.arkansas.gov/NPILookup?Npi=1871248963","1871248963")</f>
        <v>1871248963</v>
      </c>
      <c r="E28986" s="1" t="s">
        <v>8157</v>
      </c>
      <c r="F28986" s="2"/>
      <c r="G28986" s="2"/>
      <c r="H28986" s="2"/>
    </row>
    <row r="28987" spans="1:8" x14ac:dyDescent="0.25">
      <c r="A28987" s="1"/>
      <c r="B28987" s="1" t="s">
        <v>7328</v>
      </c>
      <c r="C28987" s="1" t="s">
        <v>7329</v>
      </c>
      <c r="D28987" s="22" t="str">
        <f>HYPERLINK("https://rhld.insurance.arkansas.gov/NPILookup?Npi=1871255679","1871255679")</f>
        <v>1871255679</v>
      </c>
      <c r="E28987" s="1" t="s">
        <v>32388</v>
      </c>
      <c r="F28987" s="2"/>
      <c r="G28987" s="2"/>
      <c r="H28987" s="2"/>
    </row>
    <row r="28988" spans="1:8" x14ac:dyDescent="0.25">
      <c r="A28988" s="1"/>
      <c r="B28988" s="1" t="s">
        <v>7328</v>
      </c>
      <c r="C28988" s="1" t="s">
        <v>7329</v>
      </c>
      <c r="D28988" s="22" t="str">
        <f>HYPERLINK("https://rhld.insurance.arkansas.gov/NPILookup?Npi=1871276667","1871276667")</f>
        <v>1871276667</v>
      </c>
      <c r="E28988" s="1" t="s">
        <v>29011</v>
      </c>
      <c r="F28988" s="2"/>
      <c r="G28988" s="2"/>
      <c r="H28988" s="2"/>
    </row>
    <row r="28989" spans="1:8" x14ac:dyDescent="0.25">
      <c r="A28989" s="1"/>
      <c r="B28989" s="1" t="s">
        <v>7328</v>
      </c>
      <c r="C28989" s="1" t="s">
        <v>7329</v>
      </c>
      <c r="D28989" s="22" t="str">
        <f>HYPERLINK("https://rhld.insurance.arkansas.gov/NPILookup?Npi=1871294553","1871294553")</f>
        <v>1871294553</v>
      </c>
      <c r="E28989" s="1" t="s">
        <v>29012</v>
      </c>
      <c r="F28989" s="2"/>
      <c r="G28989" s="2"/>
      <c r="H28989" s="2"/>
    </row>
    <row r="28990" spans="1:8" x14ac:dyDescent="0.25">
      <c r="A28990" s="1"/>
      <c r="B28990" s="1" t="s">
        <v>7328</v>
      </c>
      <c r="C28990" s="1" t="s">
        <v>7329</v>
      </c>
      <c r="D28990" s="22" t="str">
        <f>HYPERLINK("https://rhld.insurance.arkansas.gov/NPILookup?Npi=1871306787","1871306787")</f>
        <v>1871306787</v>
      </c>
      <c r="E28990" s="1" t="s">
        <v>32389</v>
      </c>
      <c r="F28990" s="2"/>
      <c r="G28990" s="2"/>
      <c r="H28990" s="2"/>
    </row>
    <row r="28991" spans="1:8" x14ac:dyDescent="0.25">
      <c r="A28991" s="1"/>
      <c r="B28991" s="1" t="s">
        <v>7328</v>
      </c>
      <c r="C28991" s="1" t="s">
        <v>7329</v>
      </c>
      <c r="D28991" s="22" t="str">
        <f>HYPERLINK("https://rhld.insurance.arkansas.gov/NPILookup?Npi=1871340901","1871340901")</f>
        <v>1871340901</v>
      </c>
      <c r="E28991" s="1" t="s">
        <v>29013</v>
      </c>
      <c r="F28991" s="2"/>
      <c r="G28991" s="2"/>
      <c r="H28991" s="2"/>
    </row>
    <row r="28992" spans="1:8" x14ac:dyDescent="0.25">
      <c r="A28992" s="1"/>
      <c r="B28992" s="1" t="s">
        <v>7328</v>
      </c>
      <c r="C28992" s="1" t="s">
        <v>7329</v>
      </c>
      <c r="D28992" s="22" t="str">
        <f>HYPERLINK("https://rhld.insurance.arkansas.gov/NPILookup?Npi=1871349043","1871349043")</f>
        <v>1871349043</v>
      </c>
      <c r="E28992" s="1" t="s">
        <v>29014</v>
      </c>
      <c r="F28992" s="2"/>
      <c r="G28992" s="2"/>
      <c r="H28992" s="2"/>
    </row>
    <row r="28993" spans="1:8" x14ac:dyDescent="0.25">
      <c r="A28993" s="1"/>
      <c r="B28993" s="1" t="s">
        <v>7328</v>
      </c>
      <c r="C28993" s="1" t="s">
        <v>7329</v>
      </c>
      <c r="D28993" s="22" t="str">
        <f>HYPERLINK("https://rhld.insurance.arkansas.gov/NPILookup?Npi=1871352138","1871352138")</f>
        <v>1871352138</v>
      </c>
      <c r="E28993" s="1" t="s">
        <v>29015</v>
      </c>
      <c r="F28993" s="2"/>
      <c r="G28993" s="2"/>
      <c r="H28993" s="2"/>
    </row>
    <row r="28994" spans="1:8" x14ac:dyDescent="0.25">
      <c r="A28994" s="1"/>
      <c r="B28994" s="1" t="s">
        <v>7328</v>
      </c>
      <c r="C28994" s="1" t="s">
        <v>7329</v>
      </c>
      <c r="D28994" s="22" t="str">
        <f>HYPERLINK("https://rhld.insurance.arkansas.gov/NPILookup?Npi=1871359620","1871359620")</f>
        <v>1871359620</v>
      </c>
      <c r="E28994" s="1" t="s">
        <v>29016</v>
      </c>
      <c r="F28994" s="2"/>
      <c r="G28994" s="2"/>
      <c r="H28994" s="2"/>
    </row>
    <row r="28995" spans="1:8" x14ac:dyDescent="0.25">
      <c r="A28995" s="1"/>
      <c r="B28995" s="1" t="s">
        <v>7328</v>
      </c>
      <c r="C28995" s="1" t="s">
        <v>7329</v>
      </c>
      <c r="D28995" s="22" t="str">
        <f>HYPERLINK("https://rhld.insurance.arkansas.gov/NPILookup?Npi=1871502658","1871502658")</f>
        <v>1871502658</v>
      </c>
      <c r="E28995" s="1" t="s">
        <v>12672</v>
      </c>
      <c r="F28995" s="2"/>
      <c r="G28995" s="2"/>
      <c r="H28995" s="2"/>
    </row>
    <row r="28996" spans="1:8" x14ac:dyDescent="0.25">
      <c r="A28996" s="1"/>
      <c r="B28996" s="1" t="s">
        <v>7328</v>
      </c>
      <c r="C28996" s="1" t="s">
        <v>7329</v>
      </c>
      <c r="D28996" s="22" t="str">
        <f>HYPERLINK("https://rhld.insurance.arkansas.gov/NPILookup?Npi=1871503508","1871503508")</f>
        <v>1871503508</v>
      </c>
      <c r="E28996" s="1" t="s">
        <v>18320</v>
      </c>
      <c r="F28996" s="2"/>
      <c r="G28996" s="2"/>
      <c r="H28996" s="2"/>
    </row>
    <row r="28997" spans="1:8" x14ac:dyDescent="0.25">
      <c r="A28997" s="1"/>
      <c r="B28997" s="1" t="s">
        <v>7328</v>
      </c>
      <c r="C28997" s="1" t="s">
        <v>7329</v>
      </c>
      <c r="D28997" s="22" t="str">
        <f>HYPERLINK("https://rhld.insurance.arkansas.gov/NPILookup?Npi=1871503672","1871503672")</f>
        <v>1871503672</v>
      </c>
      <c r="E28997" s="1" t="s">
        <v>29017</v>
      </c>
      <c r="F28997" s="2"/>
      <c r="G28997" s="2"/>
      <c r="H28997" s="2"/>
    </row>
    <row r="28998" spans="1:8" x14ac:dyDescent="0.25">
      <c r="A28998" s="1"/>
      <c r="B28998" s="1" t="s">
        <v>7328</v>
      </c>
      <c r="C28998" s="1" t="s">
        <v>7329</v>
      </c>
      <c r="D28998" s="22" t="str">
        <f>HYPERLINK("https://rhld.insurance.arkansas.gov/NPILookup?Npi=1871513739","1871513739")</f>
        <v>1871513739</v>
      </c>
      <c r="E28998" s="1" t="s">
        <v>29018</v>
      </c>
      <c r="F28998" s="2"/>
      <c r="G28998" s="2"/>
      <c r="H28998" s="2"/>
    </row>
    <row r="28999" spans="1:8" x14ac:dyDescent="0.25">
      <c r="A28999" s="1"/>
      <c r="B28999" s="1" t="s">
        <v>7328</v>
      </c>
      <c r="C28999" s="1" t="s">
        <v>7329</v>
      </c>
      <c r="D28999" s="22" t="str">
        <f>HYPERLINK("https://rhld.insurance.arkansas.gov/NPILookup?Npi=1871516336","1871516336")</f>
        <v>1871516336</v>
      </c>
      <c r="E28999" s="1" t="s">
        <v>29019</v>
      </c>
      <c r="F28999" s="2"/>
      <c r="G28999" s="2"/>
      <c r="H28999" s="2"/>
    </row>
    <row r="29000" spans="1:8" x14ac:dyDescent="0.25">
      <c r="A29000" s="1"/>
      <c r="B29000" s="1" t="s">
        <v>7328</v>
      </c>
      <c r="C29000" s="1" t="s">
        <v>7329</v>
      </c>
      <c r="D29000" s="22" t="str">
        <f>HYPERLINK("https://rhld.insurance.arkansas.gov/NPILookup?Npi=1871532564","1871532564")</f>
        <v>1871532564</v>
      </c>
      <c r="E29000" s="1" t="s">
        <v>29020</v>
      </c>
      <c r="F29000" s="2"/>
      <c r="G29000" s="2"/>
      <c r="H29000" s="2"/>
    </row>
    <row r="29001" spans="1:8" x14ac:dyDescent="0.25">
      <c r="A29001" s="1"/>
      <c r="B29001" s="1" t="s">
        <v>7328</v>
      </c>
      <c r="C29001" s="1" t="s">
        <v>7329</v>
      </c>
      <c r="D29001" s="22" t="str">
        <f>HYPERLINK("https://rhld.insurance.arkansas.gov/NPILookup?Npi=1871534206","1871534206")</f>
        <v>1871534206</v>
      </c>
      <c r="E29001" s="1" t="s">
        <v>29021</v>
      </c>
      <c r="F29001" s="2"/>
      <c r="G29001" s="2"/>
      <c r="H29001" s="2"/>
    </row>
    <row r="29002" spans="1:8" x14ac:dyDescent="0.25">
      <c r="A29002" s="1"/>
      <c r="B29002" s="1" t="s">
        <v>7328</v>
      </c>
      <c r="C29002" s="1" t="s">
        <v>7329</v>
      </c>
      <c r="D29002" s="22" t="str">
        <f>HYPERLINK("https://rhld.insurance.arkansas.gov/NPILookup?Npi=1871540435","1871540435")</f>
        <v>1871540435</v>
      </c>
      <c r="E29002" s="1" t="s">
        <v>10468</v>
      </c>
      <c r="F29002" s="2"/>
      <c r="G29002" s="2"/>
      <c r="H29002" s="2"/>
    </row>
    <row r="29003" spans="1:8" x14ac:dyDescent="0.25">
      <c r="A29003" s="1"/>
      <c r="B29003" s="1" t="s">
        <v>7328</v>
      </c>
      <c r="C29003" s="1" t="s">
        <v>7329</v>
      </c>
      <c r="D29003" s="22" t="str">
        <f>HYPERLINK("https://rhld.insurance.arkansas.gov/NPILookup?Npi=1871541409","1871541409")</f>
        <v>1871541409</v>
      </c>
      <c r="E29003" s="1" t="s">
        <v>13728</v>
      </c>
      <c r="F29003" s="2"/>
      <c r="G29003" s="2"/>
      <c r="H29003" s="2"/>
    </row>
    <row r="29004" spans="1:8" x14ac:dyDescent="0.25">
      <c r="A29004" s="1"/>
      <c r="B29004" s="1" t="s">
        <v>7328</v>
      </c>
      <c r="C29004" s="1" t="s">
        <v>7329</v>
      </c>
      <c r="D29004" s="22" t="str">
        <f>HYPERLINK("https://rhld.insurance.arkansas.gov/NPILookup?Npi=1871544965","1871544965")</f>
        <v>1871544965</v>
      </c>
      <c r="E29004" s="1" t="s">
        <v>246</v>
      </c>
      <c r="F29004" s="2"/>
      <c r="G29004" s="2"/>
      <c r="H29004" s="2"/>
    </row>
    <row r="29005" spans="1:8" x14ac:dyDescent="0.25">
      <c r="A29005" s="1"/>
      <c r="B29005" s="1" t="s">
        <v>7328</v>
      </c>
      <c r="C29005" s="1" t="s">
        <v>7329</v>
      </c>
      <c r="D29005" s="22" t="str">
        <f>HYPERLINK("https://rhld.insurance.arkansas.gov/NPILookup?Npi=1871554410","1871554410")</f>
        <v>1871554410</v>
      </c>
      <c r="E29005" s="1" t="s">
        <v>280</v>
      </c>
      <c r="F29005" s="2"/>
      <c r="G29005" s="2"/>
      <c r="H29005" s="2"/>
    </row>
    <row r="29006" spans="1:8" x14ac:dyDescent="0.25">
      <c r="A29006" s="1"/>
      <c r="B29006" s="1" t="s">
        <v>7328</v>
      </c>
      <c r="C29006" s="1" t="s">
        <v>7329</v>
      </c>
      <c r="D29006" s="22" t="str">
        <f>HYPERLINK("https://rhld.insurance.arkansas.gov/NPILookup?Npi=1871555649","1871555649")</f>
        <v>1871555649</v>
      </c>
      <c r="E29006" s="1" t="s">
        <v>13729</v>
      </c>
      <c r="F29006" s="2"/>
      <c r="G29006" s="2"/>
      <c r="H29006" s="2"/>
    </row>
    <row r="29007" spans="1:8" x14ac:dyDescent="0.25">
      <c r="A29007" s="1"/>
      <c r="B29007" s="1" t="s">
        <v>7328</v>
      </c>
      <c r="C29007" s="1" t="s">
        <v>7329</v>
      </c>
      <c r="D29007" s="22" t="str">
        <f>HYPERLINK("https://rhld.insurance.arkansas.gov/NPILookup?Npi=1871556589","1871556589")</f>
        <v>1871556589</v>
      </c>
      <c r="E29007" s="1" t="s">
        <v>13730</v>
      </c>
      <c r="F29007" s="2"/>
      <c r="G29007" s="2"/>
      <c r="H29007" s="2"/>
    </row>
    <row r="29008" spans="1:8" x14ac:dyDescent="0.25">
      <c r="A29008" s="1"/>
      <c r="B29008" s="1" t="s">
        <v>7328</v>
      </c>
      <c r="C29008" s="1" t="s">
        <v>7329</v>
      </c>
      <c r="D29008" s="22" t="str">
        <f>HYPERLINK("https://rhld.insurance.arkansas.gov/NPILookup?Npi=1871556639","1871556639")</f>
        <v>1871556639</v>
      </c>
      <c r="E29008" s="1" t="s">
        <v>3064</v>
      </c>
      <c r="F29008" s="2"/>
      <c r="G29008" s="2"/>
      <c r="H29008" s="2"/>
    </row>
    <row r="29009" spans="1:8" x14ac:dyDescent="0.25">
      <c r="A29009" s="1"/>
      <c r="B29009" s="1" t="s">
        <v>7328</v>
      </c>
      <c r="C29009" s="1" t="s">
        <v>7329</v>
      </c>
      <c r="D29009" s="22" t="str">
        <f>HYPERLINK("https://rhld.insurance.arkansas.gov/NPILookup?Npi=1871556829","1871556829")</f>
        <v>1871556829</v>
      </c>
      <c r="E29009" s="1" t="s">
        <v>29022</v>
      </c>
      <c r="F29009" s="2"/>
      <c r="G29009" s="2"/>
      <c r="H29009" s="2"/>
    </row>
    <row r="29010" spans="1:8" x14ac:dyDescent="0.25">
      <c r="A29010" s="1"/>
      <c r="B29010" s="1" t="s">
        <v>7328</v>
      </c>
      <c r="C29010" s="1" t="s">
        <v>7329</v>
      </c>
      <c r="D29010" s="22" t="str">
        <f>HYPERLINK("https://rhld.insurance.arkansas.gov/NPILookup?Npi=1871575886","1871575886")</f>
        <v>1871575886</v>
      </c>
      <c r="E29010" s="1" t="s">
        <v>3065</v>
      </c>
      <c r="F29010" s="2"/>
      <c r="G29010" s="2"/>
      <c r="H29010" s="2"/>
    </row>
    <row r="29011" spans="1:8" x14ac:dyDescent="0.25">
      <c r="A29011" s="1"/>
      <c r="B29011" s="1" t="s">
        <v>7328</v>
      </c>
      <c r="C29011" s="1" t="s">
        <v>7329</v>
      </c>
      <c r="D29011" s="22" t="str">
        <f>HYPERLINK("https://rhld.insurance.arkansas.gov/NPILookup?Npi=1871578500","1871578500")</f>
        <v>1871578500</v>
      </c>
      <c r="E29011" s="1" t="s">
        <v>17950</v>
      </c>
      <c r="F29011" s="2"/>
      <c r="G29011" s="2"/>
      <c r="H29011" s="2"/>
    </row>
    <row r="29012" spans="1:8" x14ac:dyDescent="0.25">
      <c r="A29012" s="1"/>
      <c r="B29012" s="1" t="s">
        <v>7328</v>
      </c>
      <c r="C29012" s="1" t="s">
        <v>7329</v>
      </c>
      <c r="D29012" s="22" t="str">
        <f>HYPERLINK("https://rhld.insurance.arkansas.gov/NPILookup?Npi=1871582379","1871582379")</f>
        <v>1871582379</v>
      </c>
      <c r="E29012" s="1" t="s">
        <v>29023</v>
      </c>
      <c r="F29012" s="2"/>
      <c r="G29012" s="2"/>
      <c r="H29012" s="2"/>
    </row>
    <row r="29013" spans="1:8" x14ac:dyDescent="0.25">
      <c r="A29013" s="1"/>
      <c r="B29013" s="1" t="s">
        <v>7328</v>
      </c>
      <c r="C29013" s="1" t="s">
        <v>7329</v>
      </c>
      <c r="D29013" s="22" t="str">
        <f>HYPERLINK("https://rhld.insurance.arkansas.gov/NPILookup?Npi=1871583229","1871583229")</f>
        <v>1871583229</v>
      </c>
      <c r="E29013" s="1" t="s">
        <v>10470</v>
      </c>
      <c r="F29013" s="2"/>
      <c r="G29013" s="2"/>
      <c r="H29013" s="2"/>
    </row>
    <row r="29014" spans="1:8" x14ac:dyDescent="0.25">
      <c r="A29014" s="1"/>
      <c r="B29014" s="1" t="s">
        <v>7328</v>
      </c>
      <c r="C29014" s="1" t="s">
        <v>7329</v>
      </c>
      <c r="D29014" s="22" t="str">
        <f>HYPERLINK("https://rhld.insurance.arkansas.gov/NPILookup?Npi=1871586495","1871586495")</f>
        <v>1871586495</v>
      </c>
      <c r="E29014" s="1" t="s">
        <v>29024</v>
      </c>
      <c r="F29014" s="2"/>
      <c r="G29014" s="2"/>
      <c r="H29014" s="2"/>
    </row>
    <row r="29015" spans="1:8" x14ac:dyDescent="0.25">
      <c r="A29015" s="1"/>
      <c r="B29015" s="1" t="s">
        <v>7328</v>
      </c>
      <c r="C29015" s="1" t="s">
        <v>7329</v>
      </c>
      <c r="D29015" s="22" t="str">
        <f>HYPERLINK("https://rhld.insurance.arkansas.gov/NPILookup?Npi=1871589309","1871589309")</f>
        <v>1871589309</v>
      </c>
      <c r="E29015" s="1" t="s">
        <v>29025</v>
      </c>
      <c r="F29015" s="2"/>
      <c r="G29015" s="2"/>
      <c r="H29015" s="2"/>
    </row>
    <row r="29016" spans="1:8" x14ac:dyDescent="0.25">
      <c r="A29016" s="1"/>
      <c r="B29016" s="1" t="s">
        <v>7328</v>
      </c>
      <c r="C29016" s="1" t="s">
        <v>7329</v>
      </c>
      <c r="D29016" s="22" t="str">
        <f>HYPERLINK("https://rhld.insurance.arkansas.gov/NPILookup?Npi=1871594457","1871594457")</f>
        <v>1871594457</v>
      </c>
      <c r="E29016" s="1" t="s">
        <v>29026</v>
      </c>
      <c r="F29016" s="2"/>
      <c r="G29016" s="2"/>
      <c r="H29016" s="2"/>
    </row>
    <row r="29017" spans="1:8" x14ac:dyDescent="0.25">
      <c r="A29017" s="1"/>
      <c r="B29017" s="1" t="s">
        <v>7328</v>
      </c>
      <c r="C29017" s="1" t="s">
        <v>7329</v>
      </c>
      <c r="D29017" s="22" t="str">
        <f>HYPERLINK("https://rhld.insurance.arkansas.gov/NPILookup?Npi=1871598037","1871598037")</f>
        <v>1871598037</v>
      </c>
      <c r="E29017" s="1" t="s">
        <v>29027</v>
      </c>
      <c r="F29017" s="2"/>
      <c r="G29017" s="2"/>
      <c r="H29017" s="2"/>
    </row>
    <row r="29018" spans="1:8" x14ac:dyDescent="0.25">
      <c r="A29018" s="1"/>
      <c r="B29018" s="1" t="s">
        <v>7328</v>
      </c>
      <c r="C29018" s="1" t="s">
        <v>7329</v>
      </c>
      <c r="D29018" s="22" t="str">
        <f>HYPERLINK("https://rhld.insurance.arkansas.gov/NPILookup?Npi=1871622969","1871622969")</f>
        <v>1871622969</v>
      </c>
      <c r="E29018" s="1" t="s">
        <v>10471</v>
      </c>
      <c r="F29018" s="2"/>
      <c r="G29018" s="2"/>
      <c r="H29018" s="2"/>
    </row>
    <row r="29019" spans="1:8" x14ac:dyDescent="0.25">
      <c r="A29019" s="1"/>
      <c r="B29019" s="1" t="s">
        <v>7328</v>
      </c>
      <c r="C29019" s="1" t="s">
        <v>7329</v>
      </c>
      <c r="D29019" s="22" t="str">
        <f>HYPERLINK("https://rhld.insurance.arkansas.gov/NPILookup?Npi=1871642306","1871642306")</f>
        <v>1871642306</v>
      </c>
      <c r="E29019" s="1" t="s">
        <v>29028</v>
      </c>
      <c r="F29019" s="2"/>
      <c r="G29019" s="2"/>
      <c r="H29019" s="2"/>
    </row>
    <row r="29020" spans="1:8" x14ac:dyDescent="0.25">
      <c r="A29020" s="1"/>
      <c r="B29020" s="1" t="s">
        <v>7328</v>
      </c>
      <c r="C29020" s="1" t="s">
        <v>7329</v>
      </c>
      <c r="D29020" s="22" t="str">
        <f>HYPERLINK("https://rhld.insurance.arkansas.gov/NPILookup?Npi=1871667618","1871667618")</f>
        <v>1871667618</v>
      </c>
      <c r="E29020" s="1" t="s">
        <v>775</v>
      </c>
      <c r="F29020" s="2"/>
      <c r="G29020" s="2"/>
      <c r="H29020" s="2"/>
    </row>
    <row r="29021" spans="1:8" x14ac:dyDescent="0.25">
      <c r="A29021" s="1"/>
      <c r="B29021" s="1" t="s">
        <v>7328</v>
      </c>
      <c r="C29021" s="1" t="s">
        <v>7329</v>
      </c>
      <c r="D29021" s="22" t="str">
        <f>HYPERLINK("https://rhld.insurance.arkansas.gov/NPILookup?Npi=1871676403","1871676403")</f>
        <v>1871676403</v>
      </c>
      <c r="E29021" s="1" t="s">
        <v>13731</v>
      </c>
      <c r="F29021" s="2"/>
      <c r="G29021" s="2"/>
      <c r="H29021" s="2"/>
    </row>
    <row r="29022" spans="1:8" x14ac:dyDescent="0.25">
      <c r="A29022" s="1"/>
      <c r="B29022" s="1" t="s">
        <v>7328</v>
      </c>
      <c r="C29022" s="1" t="s">
        <v>7329</v>
      </c>
      <c r="D29022" s="22" t="str">
        <f>HYPERLINK("https://rhld.insurance.arkansas.gov/NPILookup?Npi=1871690172","1871690172")</f>
        <v>1871690172</v>
      </c>
      <c r="E29022" s="1" t="s">
        <v>8158</v>
      </c>
      <c r="F29022" s="2"/>
      <c r="G29022" s="2"/>
      <c r="H29022" s="2"/>
    </row>
    <row r="29023" spans="1:8" x14ac:dyDescent="0.25">
      <c r="A29023" s="1"/>
      <c r="B29023" s="1" t="s">
        <v>7328</v>
      </c>
      <c r="C29023" s="1" t="s">
        <v>7329</v>
      </c>
      <c r="D29023" s="22" t="str">
        <f>HYPERLINK("https://rhld.insurance.arkansas.gov/NPILookup?Npi=1871696963","1871696963")</f>
        <v>1871696963</v>
      </c>
      <c r="E29023" s="1" t="s">
        <v>8159</v>
      </c>
      <c r="F29023" s="2"/>
      <c r="G29023" s="2"/>
      <c r="H29023" s="2"/>
    </row>
    <row r="29024" spans="1:8" x14ac:dyDescent="0.25">
      <c r="A29024" s="1"/>
      <c r="B29024" s="1" t="s">
        <v>7328</v>
      </c>
      <c r="C29024" s="1" t="s">
        <v>7329</v>
      </c>
      <c r="D29024" s="22" t="str">
        <f>HYPERLINK("https://rhld.insurance.arkansas.gov/NPILookup?Npi=1871703496","1871703496")</f>
        <v>1871703496</v>
      </c>
      <c r="E29024" s="1" t="s">
        <v>2090</v>
      </c>
      <c r="F29024" s="2"/>
      <c r="G29024" s="2"/>
      <c r="H29024" s="2"/>
    </row>
    <row r="29025" spans="1:8" x14ac:dyDescent="0.25">
      <c r="A29025" s="1"/>
      <c r="B29025" s="1" t="s">
        <v>7328</v>
      </c>
      <c r="C29025" s="1" t="s">
        <v>7329</v>
      </c>
      <c r="D29025" s="22" t="str">
        <f>HYPERLINK("https://rhld.insurance.arkansas.gov/NPILookup?Npi=1871708180","1871708180")</f>
        <v>1871708180</v>
      </c>
      <c r="E29025" s="1" t="s">
        <v>29029</v>
      </c>
      <c r="F29025" s="2"/>
      <c r="G29025" s="2"/>
      <c r="H29025" s="2"/>
    </row>
    <row r="29026" spans="1:8" x14ac:dyDescent="0.25">
      <c r="A29026" s="1"/>
      <c r="B29026" s="1" t="s">
        <v>7328</v>
      </c>
      <c r="C29026" s="1" t="s">
        <v>7329</v>
      </c>
      <c r="D29026" s="22" t="str">
        <f>HYPERLINK("https://rhld.insurance.arkansas.gov/NPILookup?Npi=1871715904","1871715904")</f>
        <v>1871715904</v>
      </c>
      <c r="E29026" s="1" t="s">
        <v>214</v>
      </c>
      <c r="F29026" s="2"/>
      <c r="G29026" s="2"/>
      <c r="H29026" s="2"/>
    </row>
    <row r="29027" spans="1:8" x14ac:dyDescent="0.25">
      <c r="A29027" s="1"/>
      <c r="B29027" s="1" t="s">
        <v>7328</v>
      </c>
      <c r="C29027" s="1" t="s">
        <v>7329</v>
      </c>
      <c r="D29027" s="22" t="str">
        <f>HYPERLINK("https://rhld.insurance.arkansas.gov/NPILookup?Npi=1871722066","1871722066")</f>
        <v>1871722066</v>
      </c>
      <c r="E29027" s="1" t="s">
        <v>3066</v>
      </c>
      <c r="F29027" s="2"/>
      <c r="G29027" s="2"/>
      <c r="H29027" s="2"/>
    </row>
    <row r="29028" spans="1:8" x14ac:dyDescent="0.25">
      <c r="A29028" s="1"/>
      <c r="B29028" s="1" t="s">
        <v>7328</v>
      </c>
      <c r="C29028" s="1" t="s">
        <v>7329</v>
      </c>
      <c r="D29028" s="22" t="str">
        <f>HYPERLINK("https://rhld.insurance.arkansas.gov/NPILookup?Npi=1871746800","1871746800")</f>
        <v>1871746800</v>
      </c>
      <c r="E29028" s="1" t="s">
        <v>29030</v>
      </c>
      <c r="F29028" s="2"/>
      <c r="G29028" s="2"/>
      <c r="H29028" s="2"/>
    </row>
    <row r="29029" spans="1:8" x14ac:dyDescent="0.25">
      <c r="A29029" s="1"/>
      <c r="B29029" s="1" t="s">
        <v>7328</v>
      </c>
      <c r="C29029" s="1" t="s">
        <v>7329</v>
      </c>
      <c r="D29029" s="22" t="str">
        <f>HYPERLINK("https://rhld.insurance.arkansas.gov/NPILookup?Npi=1871755777","1871755777")</f>
        <v>1871755777</v>
      </c>
      <c r="E29029" s="1" t="s">
        <v>13732</v>
      </c>
      <c r="F29029" s="2"/>
      <c r="G29029" s="2"/>
      <c r="H29029" s="2"/>
    </row>
    <row r="29030" spans="1:8" x14ac:dyDescent="0.25">
      <c r="A29030" s="1"/>
      <c r="B29030" s="1" t="s">
        <v>7328</v>
      </c>
      <c r="C29030" s="1" t="s">
        <v>7329</v>
      </c>
      <c r="D29030" s="22" t="str">
        <f>HYPERLINK("https://rhld.insurance.arkansas.gov/NPILookup?Npi=1871756395","1871756395")</f>
        <v>1871756395</v>
      </c>
      <c r="E29030" s="1" t="s">
        <v>29031</v>
      </c>
      <c r="F29030" s="2"/>
      <c r="G29030" s="2"/>
      <c r="H29030" s="2"/>
    </row>
    <row r="29031" spans="1:8" x14ac:dyDescent="0.25">
      <c r="A29031" s="1"/>
      <c r="B29031" s="1" t="s">
        <v>7328</v>
      </c>
      <c r="C29031" s="1" t="s">
        <v>7329</v>
      </c>
      <c r="D29031" s="22" t="str">
        <f>HYPERLINK("https://rhld.insurance.arkansas.gov/NPILookup?Npi=1871803403","1871803403")</f>
        <v>1871803403</v>
      </c>
      <c r="E29031" s="1" t="s">
        <v>23629</v>
      </c>
      <c r="F29031" s="2"/>
      <c r="G29031" s="2"/>
      <c r="H29031" s="2"/>
    </row>
    <row r="29032" spans="1:8" x14ac:dyDescent="0.25">
      <c r="A29032" s="1"/>
      <c r="B29032" s="1" t="s">
        <v>7328</v>
      </c>
      <c r="C29032" s="1" t="s">
        <v>7329</v>
      </c>
      <c r="D29032" s="22" t="str">
        <f>HYPERLINK("https://rhld.insurance.arkansas.gov/NPILookup?Npi=1871808048","1871808048")</f>
        <v>1871808048</v>
      </c>
      <c r="E29032" s="1" t="s">
        <v>29032</v>
      </c>
      <c r="F29032" s="2"/>
      <c r="G29032" s="2"/>
      <c r="H29032" s="2"/>
    </row>
    <row r="29033" spans="1:8" x14ac:dyDescent="0.25">
      <c r="A29033" s="1"/>
      <c r="B29033" s="1" t="s">
        <v>7328</v>
      </c>
      <c r="C29033" s="1" t="s">
        <v>7329</v>
      </c>
      <c r="D29033" s="22" t="str">
        <f>HYPERLINK("https://rhld.insurance.arkansas.gov/NPILookup?Npi=1871826958","1871826958")</f>
        <v>1871826958</v>
      </c>
      <c r="E29033" s="1" t="s">
        <v>32390</v>
      </c>
      <c r="F29033" s="2"/>
      <c r="G29033" s="2"/>
      <c r="H29033" s="2"/>
    </row>
    <row r="29034" spans="1:8" x14ac:dyDescent="0.25">
      <c r="A29034" s="1"/>
      <c r="B29034" s="1" t="s">
        <v>7328</v>
      </c>
      <c r="C29034" s="1" t="s">
        <v>7329</v>
      </c>
      <c r="D29034" s="22" t="str">
        <f>HYPERLINK("https://rhld.insurance.arkansas.gov/NPILookup?Npi=1871850420","1871850420")</f>
        <v>1871850420</v>
      </c>
      <c r="E29034" s="1" t="s">
        <v>29033</v>
      </c>
      <c r="F29034" s="2"/>
      <c r="G29034" s="2"/>
      <c r="H29034" s="2"/>
    </row>
    <row r="29035" spans="1:8" x14ac:dyDescent="0.25">
      <c r="A29035" s="1"/>
      <c r="B29035" s="1" t="s">
        <v>7328</v>
      </c>
      <c r="C29035" s="1" t="s">
        <v>7329</v>
      </c>
      <c r="D29035" s="22" t="str">
        <f>HYPERLINK("https://rhld.insurance.arkansas.gov/NPILookup?Npi=1871865717","1871865717")</f>
        <v>1871865717</v>
      </c>
      <c r="E29035" s="1" t="s">
        <v>2091</v>
      </c>
      <c r="F29035" s="2"/>
      <c r="G29035" s="2"/>
      <c r="H29035" s="2"/>
    </row>
    <row r="29036" spans="1:8" x14ac:dyDescent="0.25">
      <c r="A29036" s="1"/>
      <c r="B29036" s="1" t="s">
        <v>7328</v>
      </c>
      <c r="C29036" s="1" t="s">
        <v>7329</v>
      </c>
      <c r="D29036" s="22" t="str">
        <f>HYPERLINK("https://rhld.insurance.arkansas.gov/NPILookup?Npi=1871908483","1871908483")</f>
        <v>1871908483</v>
      </c>
      <c r="E29036" s="1" t="s">
        <v>13734</v>
      </c>
      <c r="F29036" s="2"/>
      <c r="G29036" s="2"/>
      <c r="H29036" s="2"/>
    </row>
    <row r="29037" spans="1:8" x14ac:dyDescent="0.25">
      <c r="A29037" s="1"/>
      <c r="B29037" s="1" t="s">
        <v>7328</v>
      </c>
      <c r="C29037" s="1" t="s">
        <v>7329</v>
      </c>
      <c r="D29037" s="22" t="str">
        <f>HYPERLINK("https://rhld.insurance.arkansas.gov/NPILookup?Npi=1871908616","1871908616")</f>
        <v>1871908616</v>
      </c>
      <c r="E29037" s="1" t="s">
        <v>15961</v>
      </c>
      <c r="F29037" s="2"/>
      <c r="G29037" s="2"/>
      <c r="H29037" s="2"/>
    </row>
    <row r="29038" spans="1:8" x14ac:dyDescent="0.25">
      <c r="A29038" s="1"/>
      <c r="B29038" s="1" t="s">
        <v>7328</v>
      </c>
      <c r="C29038" s="1" t="s">
        <v>7329</v>
      </c>
      <c r="D29038" s="22" t="str">
        <f>HYPERLINK("https://rhld.insurance.arkansas.gov/NPILookup?Npi=1871908905","1871908905")</f>
        <v>1871908905</v>
      </c>
      <c r="E29038" s="1" t="s">
        <v>2422</v>
      </c>
      <c r="F29038" s="2"/>
      <c r="G29038" s="2"/>
      <c r="H29038" s="2"/>
    </row>
    <row r="29039" spans="1:8" x14ac:dyDescent="0.25">
      <c r="A29039" s="1"/>
      <c r="B29039" s="1" t="s">
        <v>7328</v>
      </c>
      <c r="C29039" s="1" t="s">
        <v>7329</v>
      </c>
      <c r="D29039" s="22" t="str">
        <f>HYPERLINK("https://rhld.insurance.arkansas.gov/NPILookup?Npi=1871913970","1871913970")</f>
        <v>1871913970</v>
      </c>
      <c r="E29039" s="1" t="s">
        <v>29034</v>
      </c>
      <c r="F29039" s="2"/>
      <c r="G29039" s="2"/>
      <c r="H29039" s="2"/>
    </row>
    <row r="29040" spans="1:8" x14ac:dyDescent="0.25">
      <c r="A29040" s="1"/>
      <c r="B29040" s="1" t="s">
        <v>7328</v>
      </c>
      <c r="C29040" s="1" t="s">
        <v>7329</v>
      </c>
      <c r="D29040" s="22" t="str">
        <f>HYPERLINK("https://rhld.insurance.arkansas.gov/NPILookup?Npi=1871914317","1871914317")</f>
        <v>1871914317</v>
      </c>
      <c r="E29040" s="1" t="s">
        <v>29035</v>
      </c>
      <c r="F29040" s="2"/>
      <c r="G29040" s="2"/>
      <c r="H29040" s="2"/>
    </row>
    <row r="29041" spans="1:8" x14ac:dyDescent="0.25">
      <c r="A29041" s="1"/>
      <c r="B29041" s="1" t="s">
        <v>7328</v>
      </c>
      <c r="C29041" s="1" t="s">
        <v>7329</v>
      </c>
      <c r="D29041" s="22" t="str">
        <f>HYPERLINK("https://rhld.insurance.arkansas.gov/NPILookup?Npi=1871916395","1871916395")</f>
        <v>1871916395</v>
      </c>
      <c r="E29041" s="1" t="s">
        <v>281</v>
      </c>
      <c r="F29041" s="2"/>
      <c r="G29041" s="2"/>
      <c r="H29041" s="2"/>
    </row>
    <row r="29042" spans="1:8" x14ac:dyDescent="0.25">
      <c r="A29042" s="1"/>
      <c r="B29042" s="1" t="s">
        <v>7328</v>
      </c>
      <c r="C29042" s="1" t="s">
        <v>7329</v>
      </c>
      <c r="D29042" s="22" t="str">
        <f>HYPERLINK("https://rhld.insurance.arkansas.gov/NPILookup?Npi=1871923771","1871923771")</f>
        <v>1871923771</v>
      </c>
      <c r="E29042" s="1" t="s">
        <v>8160</v>
      </c>
      <c r="F29042" s="2"/>
      <c r="G29042" s="2"/>
      <c r="H29042" s="2"/>
    </row>
    <row r="29043" spans="1:8" x14ac:dyDescent="0.25">
      <c r="A29043" s="1"/>
      <c r="B29043" s="1" t="s">
        <v>7328</v>
      </c>
      <c r="C29043" s="1" t="s">
        <v>7329</v>
      </c>
      <c r="D29043" s="22" t="str">
        <f>HYPERLINK("https://rhld.insurance.arkansas.gov/NPILookup?Npi=1871929398","1871929398")</f>
        <v>1871929398</v>
      </c>
      <c r="E29043" s="1" t="s">
        <v>29036</v>
      </c>
      <c r="F29043" s="2"/>
      <c r="G29043" s="2"/>
      <c r="H29043" s="2"/>
    </row>
    <row r="29044" spans="1:8" x14ac:dyDescent="0.25">
      <c r="A29044" s="1"/>
      <c r="B29044" s="1" t="s">
        <v>7328</v>
      </c>
      <c r="C29044" s="1" t="s">
        <v>7329</v>
      </c>
      <c r="D29044" s="22" t="str">
        <f>HYPERLINK("https://rhld.insurance.arkansas.gov/NPILookup?Npi=1871935049","1871935049")</f>
        <v>1871935049</v>
      </c>
      <c r="E29044" s="1" t="s">
        <v>2302</v>
      </c>
      <c r="F29044" s="2"/>
      <c r="G29044" s="2"/>
      <c r="H29044" s="2"/>
    </row>
    <row r="29045" spans="1:8" x14ac:dyDescent="0.25">
      <c r="A29045" s="1"/>
      <c r="B29045" s="1" t="s">
        <v>7328</v>
      </c>
      <c r="C29045" s="1" t="s">
        <v>7329</v>
      </c>
      <c r="D29045" s="22" t="str">
        <f>HYPERLINK("https://rhld.insurance.arkansas.gov/NPILookup?Npi=1871935155","1871935155")</f>
        <v>1871935155</v>
      </c>
      <c r="E29045" s="1" t="s">
        <v>29037</v>
      </c>
      <c r="F29045" s="2"/>
      <c r="G29045" s="2"/>
      <c r="H29045" s="2"/>
    </row>
    <row r="29046" spans="1:8" x14ac:dyDescent="0.25">
      <c r="A29046" s="1"/>
      <c r="B29046" s="1" t="s">
        <v>7328</v>
      </c>
      <c r="C29046" s="1" t="s">
        <v>7329</v>
      </c>
      <c r="D29046" s="22" t="str">
        <f>HYPERLINK("https://rhld.insurance.arkansas.gov/NPILookup?Npi=1871948596","1871948596")</f>
        <v>1871948596</v>
      </c>
      <c r="E29046" s="1" t="s">
        <v>29038</v>
      </c>
      <c r="F29046" s="2"/>
      <c r="G29046" s="2"/>
      <c r="H29046" s="2"/>
    </row>
    <row r="29047" spans="1:8" x14ac:dyDescent="0.25">
      <c r="A29047" s="1"/>
      <c r="B29047" s="1" t="s">
        <v>7328</v>
      </c>
      <c r="C29047" s="1" t="s">
        <v>7329</v>
      </c>
      <c r="D29047" s="22" t="str">
        <f>HYPERLINK("https://rhld.insurance.arkansas.gov/NPILookup?Npi=1871955526","1871955526")</f>
        <v>1871955526</v>
      </c>
      <c r="E29047" s="1" t="s">
        <v>29039</v>
      </c>
      <c r="F29047" s="2"/>
      <c r="G29047" s="2"/>
      <c r="H29047" s="2"/>
    </row>
    <row r="29048" spans="1:8" x14ac:dyDescent="0.25">
      <c r="A29048" s="1"/>
      <c r="B29048" s="1" t="s">
        <v>7328</v>
      </c>
      <c r="C29048" s="1" t="s">
        <v>7329</v>
      </c>
      <c r="D29048" s="22" t="str">
        <f>HYPERLINK("https://rhld.insurance.arkansas.gov/NPILookup?Npi=1871971614","1871971614")</f>
        <v>1871971614</v>
      </c>
      <c r="E29048" s="1" t="s">
        <v>13735</v>
      </c>
      <c r="F29048" s="2"/>
      <c r="G29048" s="2"/>
      <c r="H29048" s="2"/>
    </row>
    <row r="29049" spans="1:8" x14ac:dyDescent="0.25">
      <c r="A29049" s="1"/>
      <c r="B29049" s="1" t="s">
        <v>7328</v>
      </c>
      <c r="C29049" s="1" t="s">
        <v>7329</v>
      </c>
      <c r="D29049" s="22" t="str">
        <f>HYPERLINK("https://rhld.insurance.arkansas.gov/NPILookup?Npi=1871976738","1871976738")</f>
        <v>1871976738</v>
      </c>
      <c r="E29049" s="1" t="s">
        <v>20936</v>
      </c>
      <c r="F29049" s="2"/>
      <c r="G29049" s="2"/>
      <c r="H29049" s="2"/>
    </row>
    <row r="29050" spans="1:8" x14ac:dyDescent="0.25">
      <c r="A29050" s="1"/>
      <c r="B29050" s="1" t="s">
        <v>7328</v>
      </c>
      <c r="C29050" s="1" t="s">
        <v>7329</v>
      </c>
      <c r="D29050" s="22" t="str">
        <f>HYPERLINK("https://rhld.insurance.arkansas.gov/NPILookup?Npi=1871976852","1871976852")</f>
        <v>1871976852</v>
      </c>
      <c r="E29050" s="1" t="s">
        <v>29040</v>
      </c>
      <c r="F29050" s="2"/>
      <c r="G29050" s="2"/>
      <c r="H29050" s="2"/>
    </row>
    <row r="29051" spans="1:8" x14ac:dyDescent="0.25">
      <c r="A29051" s="1"/>
      <c r="B29051" s="1" t="s">
        <v>7328</v>
      </c>
      <c r="C29051" s="1" t="s">
        <v>7329</v>
      </c>
      <c r="D29051" s="22" t="str">
        <f>HYPERLINK("https://rhld.insurance.arkansas.gov/NPILookup?Npi=1871986315","1871986315")</f>
        <v>1871986315</v>
      </c>
      <c r="E29051" s="1" t="s">
        <v>32391</v>
      </c>
      <c r="F29051" s="2"/>
      <c r="G29051" s="2"/>
      <c r="H29051" s="2"/>
    </row>
    <row r="29052" spans="1:8" x14ac:dyDescent="0.25">
      <c r="A29052" s="1"/>
      <c r="B29052" s="1" t="s">
        <v>7328</v>
      </c>
      <c r="C29052" s="1" t="s">
        <v>7329</v>
      </c>
      <c r="D29052" s="22" t="str">
        <f>HYPERLINK("https://rhld.insurance.arkansas.gov/NPILookup?Npi=1881000321","1881000321")</f>
        <v>1881000321</v>
      </c>
      <c r="E29052" s="1" t="s">
        <v>13736</v>
      </c>
      <c r="F29052" s="2"/>
      <c r="G29052" s="2"/>
      <c r="H29052" s="2"/>
    </row>
    <row r="29053" spans="1:8" x14ac:dyDescent="0.25">
      <c r="A29053" s="1"/>
      <c r="B29053" s="1" t="s">
        <v>7328</v>
      </c>
      <c r="C29053" s="1" t="s">
        <v>7329</v>
      </c>
      <c r="D29053" s="22" t="str">
        <f>HYPERLINK("https://rhld.insurance.arkansas.gov/NPILookup?Npi=1881001568","1881001568")</f>
        <v>1881001568</v>
      </c>
      <c r="E29053" s="1" t="s">
        <v>29041</v>
      </c>
      <c r="F29053" s="2"/>
      <c r="G29053" s="2"/>
      <c r="H29053" s="2"/>
    </row>
    <row r="29054" spans="1:8" x14ac:dyDescent="0.25">
      <c r="A29054" s="1"/>
      <c r="B29054" s="1" t="s">
        <v>7328</v>
      </c>
      <c r="C29054" s="1" t="s">
        <v>7329</v>
      </c>
      <c r="D29054" s="22" t="str">
        <f>HYPERLINK("https://rhld.insurance.arkansas.gov/NPILookup?Npi=1881002756","1881002756")</f>
        <v>1881002756</v>
      </c>
      <c r="E29054" s="1" t="s">
        <v>3067</v>
      </c>
      <c r="F29054" s="2"/>
      <c r="G29054" s="2"/>
      <c r="H29054" s="2"/>
    </row>
    <row r="29055" spans="1:8" x14ac:dyDescent="0.25">
      <c r="A29055" s="1"/>
      <c r="B29055" s="1" t="s">
        <v>7328</v>
      </c>
      <c r="C29055" s="1" t="s">
        <v>7329</v>
      </c>
      <c r="D29055" s="22" t="str">
        <f>HYPERLINK("https://rhld.insurance.arkansas.gov/NPILookup?Npi=1881022291","1881022291")</f>
        <v>1881022291</v>
      </c>
      <c r="E29055" s="1" t="s">
        <v>29042</v>
      </c>
      <c r="F29055" s="2"/>
      <c r="G29055" s="2"/>
      <c r="H29055" s="2"/>
    </row>
    <row r="29056" spans="1:8" x14ac:dyDescent="0.25">
      <c r="A29056" s="1"/>
      <c r="B29056" s="1" t="s">
        <v>7328</v>
      </c>
      <c r="C29056" s="1" t="s">
        <v>7329</v>
      </c>
      <c r="D29056" s="22" t="str">
        <f>HYPERLINK("https://rhld.insurance.arkansas.gov/NPILookup?Npi=1881023828","1881023828")</f>
        <v>1881023828</v>
      </c>
      <c r="E29056" s="1" t="s">
        <v>3403</v>
      </c>
      <c r="F29056" s="2"/>
      <c r="G29056" s="2"/>
      <c r="H29056" s="2"/>
    </row>
    <row r="29057" spans="1:8" x14ac:dyDescent="0.25">
      <c r="A29057" s="1"/>
      <c r="B29057" s="1" t="s">
        <v>7328</v>
      </c>
      <c r="C29057" s="1" t="s">
        <v>7329</v>
      </c>
      <c r="D29057" s="22" t="str">
        <f>HYPERLINK("https://rhld.insurance.arkansas.gov/NPILookup?Npi=1881032795","1881032795")</f>
        <v>1881032795</v>
      </c>
      <c r="E29057" s="1" t="s">
        <v>29043</v>
      </c>
      <c r="F29057" s="2"/>
      <c r="G29057" s="2"/>
      <c r="H29057" s="2"/>
    </row>
    <row r="29058" spans="1:8" x14ac:dyDescent="0.25">
      <c r="A29058" s="1"/>
      <c r="B29058" s="1" t="s">
        <v>7328</v>
      </c>
      <c r="C29058" s="1" t="s">
        <v>7329</v>
      </c>
      <c r="D29058" s="22" t="str">
        <f>HYPERLINK("https://rhld.insurance.arkansas.gov/NPILookup?Npi=1881034460","1881034460")</f>
        <v>1881034460</v>
      </c>
      <c r="E29058" s="1" t="s">
        <v>13737</v>
      </c>
      <c r="F29058" s="2"/>
      <c r="G29058" s="2"/>
      <c r="H29058" s="2"/>
    </row>
    <row r="29059" spans="1:8" x14ac:dyDescent="0.25">
      <c r="A29059" s="1"/>
      <c r="B29059" s="1" t="s">
        <v>7328</v>
      </c>
      <c r="C29059" s="1" t="s">
        <v>7329</v>
      </c>
      <c r="D29059" s="22" t="str">
        <f>HYPERLINK("https://rhld.insurance.arkansas.gov/NPILookup?Npi=1881035244","1881035244")</f>
        <v>1881035244</v>
      </c>
      <c r="E29059" s="1" t="s">
        <v>3300</v>
      </c>
      <c r="F29059" s="2"/>
      <c r="G29059" s="2"/>
      <c r="H29059" s="2"/>
    </row>
    <row r="29060" spans="1:8" x14ac:dyDescent="0.25">
      <c r="A29060" s="1"/>
      <c r="B29060" s="1" t="s">
        <v>7328</v>
      </c>
      <c r="C29060" s="1" t="s">
        <v>7329</v>
      </c>
      <c r="D29060" s="22" t="str">
        <f>HYPERLINK("https://rhld.insurance.arkansas.gov/NPILookup?Npi=1881057172","1881057172")</f>
        <v>1881057172</v>
      </c>
      <c r="E29060" s="1" t="s">
        <v>29044</v>
      </c>
      <c r="F29060" s="2"/>
      <c r="G29060" s="2"/>
      <c r="H29060" s="2"/>
    </row>
    <row r="29061" spans="1:8" x14ac:dyDescent="0.25">
      <c r="A29061" s="1"/>
      <c r="B29061" s="1" t="s">
        <v>7328</v>
      </c>
      <c r="C29061" s="1" t="s">
        <v>7329</v>
      </c>
      <c r="D29061" s="22" t="str">
        <f>HYPERLINK("https://rhld.insurance.arkansas.gov/NPILookup?Npi=1881070803","1881070803")</f>
        <v>1881070803</v>
      </c>
      <c r="E29061" s="1" t="s">
        <v>13738</v>
      </c>
      <c r="F29061" s="2"/>
      <c r="G29061" s="2"/>
      <c r="H29061" s="2"/>
    </row>
    <row r="29062" spans="1:8" x14ac:dyDescent="0.25">
      <c r="A29062" s="1"/>
      <c r="B29062" s="1" t="s">
        <v>7328</v>
      </c>
      <c r="C29062" s="1" t="s">
        <v>7329</v>
      </c>
      <c r="D29062" s="22" t="str">
        <f>HYPERLINK("https://rhld.insurance.arkansas.gov/NPILookup?Npi=1881071348","1881071348")</f>
        <v>1881071348</v>
      </c>
      <c r="E29062" s="1" t="s">
        <v>29045</v>
      </c>
      <c r="F29062" s="2"/>
      <c r="G29062" s="2"/>
      <c r="H29062" s="2"/>
    </row>
    <row r="29063" spans="1:8" x14ac:dyDescent="0.25">
      <c r="A29063" s="1"/>
      <c r="B29063" s="1" t="s">
        <v>7328</v>
      </c>
      <c r="C29063" s="1" t="s">
        <v>7329</v>
      </c>
      <c r="D29063" s="22" t="str">
        <f>HYPERLINK("https://rhld.insurance.arkansas.gov/NPILookup?Npi=1881072544","1881072544")</f>
        <v>1881072544</v>
      </c>
      <c r="E29063" s="1" t="s">
        <v>1230</v>
      </c>
      <c r="F29063" s="2"/>
      <c r="G29063" s="2"/>
      <c r="H29063" s="2"/>
    </row>
    <row r="29064" spans="1:8" x14ac:dyDescent="0.25">
      <c r="A29064" s="1"/>
      <c r="B29064" s="1" t="s">
        <v>7328</v>
      </c>
      <c r="C29064" s="1" t="s">
        <v>7329</v>
      </c>
      <c r="D29064" s="22" t="str">
        <f>HYPERLINK("https://rhld.insurance.arkansas.gov/NPILookup?Npi=1881072791","1881072791")</f>
        <v>1881072791</v>
      </c>
      <c r="E29064" s="1" t="s">
        <v>29046</v>
      </c>
      <c r="F29064" s="2"/>
      <c r="G29064" s="2"/>
      <c r="H29064" s="2"/>
    </row>
    <row r="29065" spans="1:8" x14ac:dyDescent="0.25">
      <c r="A29065" s="1"/>
      <c r="B29065" s="1" t="s">
        <v>7328</v>
      </c>
      <c r="C29065" s="1" t="s">
        <v>7329</v>
      </c>
      <c r="D29065" s="22" t="str">
        <f>HYPERLINK("https://rhld.insurance.arkansas.gov/NPILookup?Npi=1881074151","1881074151")</f>
        <v>1881074151</v>
      </c>
      <c r="E29065" s="1" t="s">
        <v>13739</v>
      </c>
      <c r="F29065" s="2"/>
      <c r="G29065" s="2"/>
      <c r="H29065" s="2"/>
    </row>
    <row r="29066" spans="1:8" x14ac:dyDescent="0.25">
      <c r="A29066" s="1"/>
      <c r="B29066" s="1" t="s">
        <v>7328</v>
      </c>
      <c r="C29066" s="1" t="s">
        <v>7329</v>
      </c>
      <c r="D29066" s="22" t="str">
        <f>HYPERLINK("https://rhld.insurance.arkansas.gov/NPILookup?Npi=1881086148","1881086148")</f>
        <v>1881086148</v>
      </c>
      <c r="E29066" s="1" t="s">
        <v>29047</v>
      </c>
      <c r="F29066" s="2"/>
      <c r="G29066" s="2"/>
      <c r="H29066" s="2"/>
    </row>
    <row r="29067" spans="1:8" x14ac:dyDescent="0.25">
      <c r="A29067" s="1"/>
      <c r="B29067" s="1" t="s">
        <v>7328</v>
      </c>
      <c r="C29067" s="1" t="s">
        <v>7329</v>
      </c>
      <c r="D29067" s="22" t="str">
        <f>HYPERLINK("https://rhld.insurance.arkansas.gov/NPILookup?Npi=1881092385","1881092385")</f>
        <v>1881092385</v>
      </c>
      <c r="E29067" s="1" t="s">
        <v>29048</v>
      </c>
      <c r="F29067" s="2"/>
      <c r="G29067" s="2"/>
      <c r="H29067" s="2"/>
    </row>
    <row r="29068" spans="1:8" x14ac:dyDescent="0.25">
      <c r="A29068" s="1"/>
      <c r="B29068" s="1" t="s">
        <v>7328</v>
      </c>
      <c r="C29068" s="1" t="s">
        <v>7329</v>
      </c>
      <c r="D29068" s="22" t="str">
        <f>HYPERLINK("https://rhld.insurance.arkansas.gov/NPILookup?Npi=1881112308","1881112308")</f>
        <v>1881112308</v>
      </c>
      <c r="E29068" s="1" t="s">
        <v>29049</v>
      </c>
      <c r="F29068" s="2"/>
      <c r="G29068" s="2"/>
      <c r="H29068" s="2"/>
    </row>
    <row r="29069" spans="1:8" x14ac:dyDescent="0.25">
      <c r="A29069" s="1"/>
      <c r="B29069" s="1" t="s">
        <v>7328</v>
      </c>
      <c r="C29069" s="1" t="s">
        <v>7329</v>
      </c>
      <c r="D29069" s="22" t="str">
        <f>HYPERLINK("https://rhld.insurance.arkansas.gov/NPILookup?Npi=1881120715","1881120715")</f>
        <v>1881120715</v>
      </c>
      <c r="E29069" s="1" t="s">
        <v>23652</v>
      </c>
      <c r="F29069" s="2"/>
      <c r="G29069" s="2"/>
      <c r="H29069" s="2"/>
    </row>
    <row r="29070" spans="1:8" x14ac:dyDescent="0.25">
      <c r="A29070" s="1"/>
      <c r="B29070" s="1" t="s">
        <v>7328</v>
      </c>
      <c r="C29070" s="1" t="s">
        <v>7329</v>
      </c>
      <c r="D29070" s="22" t="str">
        <f>HYPERLINK("https://rhld.insurance.arkansas.gov/NPILookup?Npi=1881143360","1881143360")</f>
        <v>1881143360</v>
      </c>
      <c r="E29070" s="1" t="s">
        <v>2092</v>
      </c>
      <c r="F29070" s="2"/>
      <c r="G29070" s="2"/>
      <c r="H29070" s="2"/>
    </row>
    <row r="29071" spans="1:8" x14ac:dyDescent="0.25">
      <c r="A29071" s="1"/>
      <c r="B29071" s="1" t="s">
        <v>7328</v>
      </c>
      <c r="C29071" s="1" t="s">
        <v>7329</v>
      </c>
      <c r="D29071" s="22" t="str">
        <f>HYPERLINK("https://rhld.insurance.arkansas.gov/NPILookup?Npi=1881150563","1881150563")</f>
        <v>1881150563</v>
      </c>
      <c r="E29071" s="1" t="s">
        <v>905</v>
      </c>
      <c r="F29071" s="2"/>
      <c r="G29071" s="2"/>
      <c r="H29071" s="2"/>
    </row>
    <row r="29072" spans="1:8" x14ac:dyDescent="0.25">
      <c r="A29072" s="1"/>
      <c r="B29072" s="1" t="s">
        <v>7328</v>
      </c>
      <c r="C29072" s="1" t="s">
        <v>7329</v>
      </c>
      <c r="D29072" s="22" t="str">
        <f>HYPERLINK("https://rhld.insurance.arkansas.gov/NPILookup?Npi=1881158517","1881158517")</f>
        <v>1881158517</v>
      </c>
      <c r="E29072" s="1" t="s">
        <v>29050</v>
      </c>
      <c r="F29072" s="2"/>
      <c r="G29072" s="2"/>
      <c r="H29072" s="2"/>
    </row>
    <row r="29073" spans="1:8" x14ac:dyDescent="0.25">
      <c r="A29073" s="1"/>
      <c r="B29073" s="1" t="s">
        <v>7328</v>
      </c>
      <c r="C29073" s="1" t="s">
        <v>7329</v>
      </c>
      <c r="D29073" s="22" t="str">
        <f>HYPERLINK("https://rhld.insurance.arkansas.gov/NPILookup?Npi=1881159903","1881159903")</f>
        <v>1881159903</v>
      </c>
      <c r="E29073" s="1" t="s">
        <v>8161</v>
      </c>
      <c r="F29073" s="2"/>
      <c r="G29073" s="2"/>
      <c r="H29073" s="2"/>
    </row>
    <row r="29074" spans="1:8" x14ac:dyDescent="0.25">
      <c r="A29074" s="1"/>
      <c r="B29074" s="1" t="s">
        <v>7328</v>
      </c>
      <c r="C29074" s="1" t="s">
        <v>7329</v>
      </c>
      <c r="D29074" s="22" t="str">
        <f>HYPERLINK("https://rhld.insurance.arkansas.gov/NPILookup?Npi=1881160240","1881160240")</f>
        <v>1881160240</v>
      </c>
      <c r="E29074" s="1" t="s">
        <v>29051</v>
      </c>
      <c r="F29074" s="2"/>
      <c r="G29074" s="2"/>
      <c r="H29074" s="2"/>
    </row>
    <row r="29075" spans="1:8" x14ac:dyDescent="0.25">
      <c r="A29075" s="1"/>
      <c r="B29075" s="1" t="s">
        <v>7328</v>
      </c>
      <c r="C29075" s="1" t="s">
        <v>7329</v>
      </c>
      <c r="D29075" s="22" t="str">
        <f>HYPERLINK("https://rhld.insurance.arkansas.gov/NPILookup?Npi=1881167666","1881167666")</f>
        <v>1881167666</v>
      </c>
      <c r="E29075" s="1" t="s">
        <v>6728</v>
      </c>
      <c r="F29075" s="2"/>
      <c r="G29075" s="2"/>
      <c r="H29075" s="2"/>
    </row>
    <row r="29076" spans="1:8" x14ac:dyDescent="0.25">
      <c r="A29076" s="1"/>
      <c r="B29076" s="1" t="s">
        <v>7328</v>
      </c>
      <c r="C29076" s="1" t="s">
        <v>7329</v>
      </c>
      <c r="D29076" s="22" t="str">
        <f>HYPERLINK("https://rhld.insurance.arkansas.gov/NPILookup?Npi=1881170538","1881170538")</f>
        <v>1881170538</v>
      </c>
      <c r="E29076" s="1" t="s">
        <v>29052</v>
      </c>
      <c r="F29076" s="2"/>
      <c r="G29076" s="2"/>
      <c r="H29076" s="2"/>
    </row>
    <row r="29077" spans="1:8" x14ac:dyDescent="0.25">
      <c r="A29077" s="1"/>
      <c r="B29077" s="1" t="s">
        <v>7328</v>
      </c>
      <c r="C29077" s="1" t="s">
        <v>7329</v>
      </c>
      <c r="D29077" s="22" t="str">
        <f>HYPERLINK("https://rhld.insurance.arkansas.gov/NPILookup?Npi=1881181634","1881181634")</f>
        <v>1881181634</v>
      </c>
      <c r="E29077" s="1" t="s">
        <v>29053</v>
      </c>
      <c r="F29077" s="2"/>
      <c r="G29077" s="2"/>
      <c r="H29077" s="2"/>
    </row>
    <row r="29078" spans="1:8" x14ac:dyDescent="0.25">
      <c r="A29078" s="1"/>
      <c r="B29078" s="1" t="s">
        <v>7328</v>
      </c>
      <c r="C29078" s="1" t="s">
        <v>7329</v>
      </c>
      <c r="D29078" s="22" t="str">
        <f>HYPERLINK("https://rhld.insurance.arkansas.gov/NPILookup?Npi=1881187904","1881187904")</f>
        <v>1881187904</v>
      </c>
      <c r="E29078" s="1" t="s">
        <v>29054</v>
      </c>
      <c r="F29078" s="2"/>
      <c r="G29078" s="2"/>
      <c r="H29078" s="2"/>
    </row>
    <row r="29079" spans="1:8" x14ac:dyDescent="0.25">
      <c r="A29079" s="1"/>
      <c r="B29079" s="1" t="s">
        <v>7328</v>
      </c>
      <c r="C29079" s="1" t="s">
        <v>7329</v>
      </c>
      <c r="D29079" s="22" t="str">
        <f>HYPERLINK("https://rhld.insurance.arkansas.gov/NPILookup?Npi=1881222073","1881222073")</f>
        <v>1881222073</v>
      </c>
      <c r="E29079" s="1" t="s">
        <v>5396</v>
      </c>
      <c r="F29079" s="2"/>
      <c r="G29079" s="2"/>
      <c r="H29079" s="2"/>
    </row>
    <row r="29080" spans="1:8" x14ac:dyDescent="0.25">
      <c r="A29080" s="1"/>
      <c r="B29080" s="1" t="s">
        <v>7328</v>
      </c>
      <c r="C29080" s="1" t="s">
        <v>7329</v>
      </c>
      <c r="D29080" s="22" t="str">
        <f>HYPERLINK("https://rhld.insurance.arkansas.gov/NPILookup?Npi=1881223832","1881223832")</f>
        <v>1881223832</v>
      </c>
      <c r="E29080" s="1" t="s">
        <v>17954</v>
      </c>
      <c r="F29080" s="2"/>
      <c r="G29080" s="2"/>
      <c r="H29080" s="2"/>
    </row>
    <row r="29081" spans="1:8" x14ac:dyDescent="0.25">
      <c r="A29081" s="1"/>
      <c r="B29081" s="1" t="s">
        <v>7328</v>
      </c>
      <c r="C29081" s="1" t="s">
        <v>7329</v>
      </c>
      <c r="D29081" s="22" t="str">
        <f>HYPERLINK("https://rhld.insurance.arkansas.gov/NPILookup?Npi=1881233278","1881233278")</f>
        <v>1881233278</v>
      </c>
      <c r="E29081" s="1" t="s">
        <v>29055</v>
      </c>
      <c r="F29081" s="2"/>
      <c r="G29081" s="2"/>
      <c r="H29081" s="2"/>
    </row>
    <row r="29082" spans="1:8" x14ac:dyDescent="0.25">
      <c r="A29082" s="1"/>
      <c r="B29082" s="1" t="s">
        <v>7328</v>
      </c>
      <c r="C29082" s="1" t="s">
        <v>7329</v>
      </c>
      <c r="D29082" s="22" t="str">
        <f>HYPERLINK("https://rhld.insurance.arkansas.gov/NPILookup?Npi=1881233914","1881233914")</f>
        <v>1881233914</v>
      </c>
      <c r="E29082" s="1" t="s">
        <v>29056</v>
      </c>
      <c r="F29082" s="2"/>
      <c r="G29082" s="2"/>
      <c r="H29082" s="2"/>
    </row>
    <row r="29083" spans="1:8" x14ac:dyDescent="0.25">
      <c r="A29083" s="1"/>
      <c r="B29083" s="1" t="s">
        <v>7328</v>
      </c>
      <c r="C29083" s="1" t="s">
        <v>7329</v>
      </c>
      <c r="D29083" s="22" t="str">
        <f>HYPERLINK("https://rhld.insurance.arkansas.gov/NPILookup?Npi=1881256220","1881256220")</f>
        <v>1881256220</v>
      </c>
      <c r="E29083" s="1" t="s">
        <v>1749</v>
      </c>
      <c r="F29083" s="2"/>
      <c r="G29083" s="2"/>
      <c r="H29083" s="2"/>
    </row>
    <row r="29084" spans="1:8" x14ac:dyDescent="0.25">
      <c r="A29084" s="1"/>
      <c r="B29084" s="1" t="s">
        <v>7328</v>
      </c>
      <c r="C29084" s="1" t="s">
        <v>7329</v>
      </c>
      <c r="D29084" s="22" t="str">
        <f>HYPERLINK("https://rhld.insurance.arkansas.gov/NPILookup?Npi=1881260826","1881260826")</f>
        <v>1881260826</v>
      </c>
      <c r="E29084" s="1" t="s">
        <v>29057</v>
      </c>
      <c r="F29084" s="2"/>
      <c r="G29084" s="2"/>
      <c r="H29084" s="2"/>
    </row>
    <row r="29085" spans="1:8" x14ac:dyDescent="0.25">
      <c r="A29085" s="1"/>
      <c r="B29085" s="1" t="s">
        <v>7328</v>
      </c>
      <c r="C29085" s="1" t="s">
        <v>7329</v>
      </c>
      <c r="D29085" s="22" t="str">
        <f>HYPERLINK("https://rhld.insurance.arkansas.gov/NPILookup?Npi=1881269660","1881269660")</f>
        <v>1881269660</v>
      </c>
      <c r="E29085" s="1" t="s">
        <v>29058</v>
      </c>
      <c r="F29085" s="2"/>
      <c r="G29085" s="2"/>
      <c r="H29085" s="2"/>
    </row>
    <row r="29086" spans="1:8" x14ac:dyDescent="0.25">
      <c r="A29086" s="1"/>
      <c r="B29086" s="1" t="s">
        <v>7328</v>
      </c>
      <c r="C29086" s="1" t="s">
        <v>7329</v>
      </c>
      <c r="D29086" s="22" t="str">
        <f>HYPERLINK("https://rhld.insurance.arkansas.gov/NPILookup?Npi=1881270122","1881270122")</f>
        <v>1881270122</v>
      </c>
      <c r="E29086" s="1" t="s">
        <v>8162</v>
      </c>
      <c r="F29086" s="2"/>
      <c r="G29086" s="2"/>
      <c r="H29086" s="2"/>
    </row>
    <row r="29087" spans="1:8" x14ac:dyDescent="0.25">
      <c r="A29087" s="1"/>
      <c r="B29087" s="1" t="s">
        <v>7328</v>
      </c>
      <c r="C29087" s="1" t="s">
        <v>7329</v>
      </c>
      <c r="D29087" s="22" t="str">
        <f>HYPERLINK("https://rhld.insurance.arkansas.gov/NPILookup?Npi=1881273654","1881273654")</f>
        <v>1881273654</v>
      </c>
      <c r="E29087" s="1" t="s">
        <v>29059</v>
      </c>
      <c r="F29087" s="2"/>
      <c r="G29087" s="2"/>
      <c r="H29087" s="2"/>
    </row>
    <row r="29088" spans="1:8" x14ac:dyDescent="0.25">
      <c r="A29088" s="1"/>
      <c r="B29088" s="1" t="s">
        <v>7328</v>
      </c>
      <c r="C29088" s="1" t="s">
        <v>7329</v>
      </c>
      <c r="D29088" s="22" t="str">
        <f>HYPERLINK("https://rhld.insurance.arkansas.gov/NPILookup?Npi=1881279222","1881279222")</f>
        <v>1881279222</v>
      </c>
      <c r="E29088" s="1" t="s">
        <v>1820</v>
      </c>
      <c r="F29088" s="2"/>
      <c r="G29088" s="2"/>
      <c r="H29088" s="2"/>
    </row>
    <row r="29089" spans="1:8" x14ac:dyDescent="0.25">
      <c r="A29089" s="1"/>
      <c r="B29089" s="1" t="s">
        <v>7328</v>
      </c>
      <c r="C29089" s="1" t="s">
        <v>7329</v>
      </c>
      <c r="D29089" s="22" t="str">
        <f>HYPERLINK("https://rhld.insurance.arkansas.gov/NPILookup?Npi=1881279693","1881279693")</f>
        <v>1881279693</v>
      </c>
      <c r="E29089" s="1" t="s">
        <v>8163</v>
      </c>
      <c r="F29089" s="2"/>
      <c r="G29089" s="2"/>
      <c r="H29089" s="2"/>
    </row>
    <row r="29090" spans="1:8" x14ac:dyDescent="0.25">
      <c r="A29090" s="1"/>
      <c r="B29090" s="1" t="s">
        <v>7328</v>
      </c>
      <c r="C29090" s="1" t="s">
        <v>7329</v>
      </c>
      <c r="D29090" s="22" t="str">
        <f>HYPERLINK("https://rhld.insurance.arkansas.gov/NPILookup?Npi=1881285336","1881285336")</f>
        <v>1881285336</v>
      </c>
      <c r="E29090" s="1" t="s">
        <v>29060</v>
      </c>
      <c r="F29090" s="2"/>
      <c r="G29090" s="2"/>
      <c r="H29090" s="2"/>
    </row>
    <row r="29091" spans="1:8" x14ac:dyDescent="0.25">
      <c r="A29091" s="1"/>
      <c r="B29091" s="1" t="s">
        <v>7328</v>
      </c>
      <c r="C29091" s="1" t="s">
        <v>7329</v>
      </c>
      <c r="D29091" s="22" t="str">
        <f>HYPERLINK("https://rhld.insurance.arkansas.gov/NPILookup?Npi=1881291896","1881291896")</f>
        <v>1881291896</v>
      </c>
      <c r="E29091" s="1" t="s">
        <v>8164</v>
      </c>
      <c r="F29091" s="2"/>
      <c r="G29091" s="2"/>
      <c r="H29091" s="2"/>
    </row>
    <row r="29092" spans="1:8" x14ac:dyDescent="0.25">
      <c r="A29092" s="1"/>
      <c r="B29092" s="1" t="s">
        <v>7328</v>
      </c>
      <c r="C29092" s="1" t="s">
        <v>7329</v>
      </c>
      <c r="D29092" s="22" t="str">
        <f>HYPERLINK("https://rhld.insurance.arkansas.gov/NPILookup?Npi=1881301265","1881301265")</f>
        <v>1881301265</v>
      </c>
      <c r="E29092" s="1" t="s">
        <v>29061</v>
      </c>
      <c r="F29092" s="2"/>
      <c r="G29092" s="2"/>
      <c r="H29092" s="2"/>
    </row>
    <row r="29093" spans="1:8" x14ac:dyDescent="0.25">
      <c r="A29093" s="1"/>
      <c r="B29093" s="1" t="s">
        <v>7328</v>
      </c>
      <c r="C29093" s="1" t="s">
        <v>7329</v>
      </c>
      <c r="D29093" s="22" t="str">
        <f>HYPERLINK("https://rhld.insurance.arkansas.gov/NPILookup?Npi=1881301968","1881301968")</f>
        <v>1881301968</v>
      </c>
      <c r="E29093" s="1" t="s">
        <v>32392</v>
      </c>
      <c r="F29093" s="2"/>
      <c r="G29093" s="2"/>
      <c r="H29093" s="2"/>
    </row>
    <row r="29094" spans="1:8" x14ac:dyDescent="0.25">
      <c r="A29094" s="1"/>
      <c r="B29094" s="1" t="s">
        <v>7328</v>
      </c>
      <c r="C29094" s="1" t="s">
        <v>7329</v>
      </c>
      <c r="D29094" s="22" t="str">
        <f>HYPERLINK("https://rhld.insurance.arkansas.gov/NPILookup?Npi=1881318475","1881318475")</f>
        <v>1881318475</v>
      </c>
      <c r="E29094" s="1" t="s">
        <v>29062</v>
      </c>
      <c r="F29094" s="2"/>
      <c r="G29094" s="2"/>
      <c r="H29094" s="2"/>
    </row>
    <row r="29095" spans="1:8" x14ac:dyDescent="0.25">
      <c r="A29095" s="1"/>
      <c r="B29095" s="1" t="s">
        <v>7328</v>
      </c>
      <c r="C29095" s="1" t="s">
        <v>7329</v>
      </c>
      <c r="D29095" s="22" t="str">
        <f>HYPERLINK("https://rhld.insurance.arkansas.gov/NPILookup?Npi=1881319366","1881319366")</f>
        <v>1881319366</v>
      </c>
      <c r="E29095" s="1" t="s">
        <v>13740</v>
      </c>
      <c r="F29095" s="2"/>
      <c r="G29095" s="2"/>
      <c r="H29095" s="2"/>
    </row>
    <row r="29096" spans="1:8" x14ac:dyDescent="0.25">
      <c r="A29096" s="1"/>
      <c r="B29096" s="1" t="s">
        <v>7328</v>
      </c>
      <c r="C29096" s="1" t="s">
        <v>7329</v>
      </c>
      <c r="D29096" s="22" t="str">
        <f>HYPERLINK("https://rhld.insurance.arkansas.gov/NPILookup?Npi=1881329928","1881329928")</f>
        <v>1881329928</v>
      </c>
      <c r="E29096" s="1" t="s">
        <v>8165</v>
      </c>
      <c r="F29096" s="2"/>
      <c r="G29096" s="2"/>
      <c r="H29096" s="2"/>
    </row>
    <row r="29097" spans="1:8" x14ac:dyDescent="0.25">
      <c r="A29097" s="1"/>
      <c r="B29097" s="1" t="s">
        <v>7328</v>
      </c>
      <c r="C29097" s="1" t="s">
        <v>7329</v>
      </c>
      <c r="D29097" s="22" t="str">
        <f>HYPERLINK("https://rhld.insurance.arkansas.gov/NPILookup?Npi=1881337137","1881337137")</f>
        <v>1881337137</v>
      </c>
      <c r="E29097" s="1" t="s">
        <v>32393</v>
      </c>
      <c r="F29097" s="2"/>
      <c r="G29097" s="2"/>
      <c r="H29097" s="2"/>
    </row>
    <row r="29098" spans="1:8" x14ac:dyDescent="0.25">
      <c r="A29098" s="1"/>
      <c r="B29098" s="1" t="s">
        <v>7328</v>
      </c>
      <c r="C29098" s="1" t="s">
        <v>7329</v>
      </c>
      <c r="D29098" s="22" t="str">
        <f>HYPERLINK("https://rhld.insurance.arkansas.gov/NPILookup?Npi=1881348779","1881348779")</f>
        <v>1881348779</v>
      </c>
      <c r="E29098" s="1" t="s">
        <v>29063</v>
      </c>
      <c r="F29098" s="2"/>
      <c r="G29098" s="2"/>
      <c r="H29098" s="2"/>
    </row>
    <row r="29099" spans="1:8" x14ac:dyDescent="0.25">
      <c r="A29099" s="1"/>
      <c r="B29099" s="1" t="s">
        <v>7328</v>
      </c>
      <c r="C29099" s="1" t="s">
        <v>7329</v>
      </c>
      <c r="D29099" s="22" t="str">
        <f>HYPERLINK("https://rhld.insurance.arkansas.gov/NPILookup?Npi=1881364875","1881364875")</f>
        <v>1881364875</v>
      </c>
      <c r="E29099" s="1" t="s">
        <v>29064</v>
      </c>
      <c r="F29099" s="2"/>
      <c r="G29099" s="2"/>
      <c r="H29099" s="2"/>
    </row>
    <row r="29100" spans="1:8" x14ac:dyDescent="0.25">
      <c r="A29100" s="1"/>
      <c r="B29100" s="1" t="s">
        <v>7328</v>
      </c>
      <c r="C29100" s="1" t="s">
        <v>7329</v>
      </c>
      <c r="D29100" s="22" t="str">
        <f>HYPERLINK("https://rhld.insurance.arkansas.gov/NPILookup?Npi=1881378420","1881378420")</f>
        <v>1881378420</v>
      </c>
      <c r="E29100" s="1" t="s">
        <v>6759</v>
      </c>
      <c r="F29100" s="2"/>
      <c r="G29100" s="2"/>
      <c r="H29100" s="2"/>
    </row>
    <row r="29101" spans="1:8" x14ac:dyDescent="0.25">
      <c r="A29101" s="1"/>
      <c r="B29101" s="1" t="s">
        <v>7328</v>
      </c>
      <c r="C29101" s="1" t="s">
        <v>7329</v>
      </c>
      <c r="D29101" s="22" t="str">
        <f>HYPERLINK("https://rhld.insurance.arkansas.gov/NPILookup?Npi=1881386910","1881386910")</f>
        <v>1881386910</v>
      </c>
      <c r="E29101" s="1" t="s">
        <v>29065</v>
      </c>
      <c r="F29101" s="2"/>
      <c r="G29101" s="2"/>
      <c r="H29101" s="2"/>
    </row>
    <row r="29102" spans="1:8" x14ac:dyDescent="0.25">
      <c r="A29102" s="1"/>
      <c r="B29102" s="1" t="s">
        <v>7328</v>
      </c>
      <c r="C29102" s="1" t="s">
        <v>7329</v>
      </c>
      <c r="D29102" s="22" t="str">
        <f>HYPERLINK("https://rhld.insurance.arkansas.gov/NPILookup?Npi=1881394526","1881394526")</f>
        <v>1881394526</v>
      </c>
      <c r="E29102" s="1" t="s">
        <v>29066</v>
      </c>
      <c r="F29102" s="2"/>
      <c r="G29102" s="2"/>
      <c r="H29102" s="2"/>
    </row>
    <row r="29103" spans="1:8" x14ac:dyDescent="0.25">
      <c r="A29103" s="1"/>
      <c r="B29103" s="1" t="s">
        <v>7328</v>
      </c>
      <c r="C29103" s="1" t="s">
        <v>7329</v>
      </c>
      <c r="D29103" s="22" t="str">
        <f>HYPERLINK("https://rhld.insurance.arkansas.gov/NPILookup?Npi=1881454601","1881454601")</f>
        <v>1881454601</v>
      </c>
      <c r="E29103" s="1" t="s">
        <v>29067</v>
      </c>
      <c r="F29103" s="2"/>
      <c r="G29103" s="2"/>
      <c r="H29103" s="2"/>
    </row>
    <row r="29104" spans="1:8" x14ac:dyDescent="0.25">
      <c r="A29104" s="1"/>
      <c r="B29104" s="1" t="s">
        <v>7328</v>
      </c>
      <c r="C29104" s="1" t="s">
        <v>7329</v>
      </c>
      <c r="D29104" s="22" t="str">
        <f>HYPERLINK("https://rhld.insurance.arkansas.gov/NPILookup?Npi=1881467686","1881467686")</f>
        <v>1881467686</v>
      </c>
      <c r="E29104" s="1" t="s">
        <v>8166</v>
      </c>
      <c r="F29104" s="2"/>
      <c r="G29104" s="2"/>
      <c r="H29104" s="2"/>
    </row>
    <row r="29105" spans="1:8" x14ac:dyDescent="0.25">
      <c r="A29105" s="1"/>
      <c r="B29105" s="1" t="s">
        <v>7328</v>
      </c>
      <c r="C29105" s="1" t="s">
        <v>7329</v>
      </c>
      <c r="D29105" s="22" t="str">
        <f>HYPERLINK("https://rhld.insurance.arkansas.gov/NPILookup?Npi=1881469914","1881469914")</f>
        <v>1881469914</v>
      </c>
      <c r="E29105" s="1" t="s">
        <v>32394</v>
      </c>
      <c r="F29105" s="2"/>
      <c r="G29105" s="2"/>
      <c r="H29105" s="2"/>
    </row>
    <row r="29106" spans="1:8" x14ac:dyDescent="0.25">
      <c r="A29106" s="1"/>
      <c r="B29106" s="1" t="s">
        <v>7328</v>
      </c>
      <c r="C29106" s="1" t="s">
        <v>7329</v>
      </c>
      <c r="D29106" s="22" t="str">
        <f>HYPERLINK("https://rhld.insurance.arkansas.gov/NPILookup?Npi=1881470805","1881470805")</f>
        <v>1881470805</v>
      </c>
      <c r="E29106" s="1" t="s">
        <v>29068</v>
      </c>
      <c r="F29106" s="2"/>
      <c r="G29106" s="2"/>
      <c r="H29106" s="2"/>
    </row>
    <row r="29107" spans="1:8" x14ac:dyDescent="0.25">
      <c r="A29107" s="1"/>
      <c r="B29107" s="1" t="s">
        <v>7328</v>
      </c>
      <c r="C29107" s="1" t="s">
        <v>7329</v>
      </c>
      <c r="D29107" s="22" t="str">
        <f>HYPERLINK("https://rhld.insurance.arkansas.gov/NPILookup?Npi=1881620003","1881620003")</f>
        <v>1881620003</v>
      </c>
      <c r="E29107" s="1" t="s">
        <v>29069</v>
      </c>
      <c r="F29107" s="2"/>
      <c r="G29107" s="2"/>
      <c r="H29107" s="2"/>
    </row>
    <row r="29108" spans="1:8" x14ac:dyDescent="0.25">
      <c r="A29108" s="1"/>
      <c r="B29108" s="1" t="s">
        <v>7328</v>
      </c>
      <c r="C29108" s="1" t="s">
        <v>7329</v>
      </c>
      <c r="D29108" s="22" t="str">
        <f>HYPERLINK("https://rhld.insurance.arkansas.gov/NPILookup?Npi=1881626331","1881626331")</f>
        <v>1881626331</v>
      </c>
      <c r="E29108" s="1" t="s">
        <v>29071</v>
      </c>
      <c r="F29108" s="2"/>
      <c r="G29108" s="2"/>
      <c r="H29108" s="2"/>
    </row>
    <row r="29109" spans="1:8" x14ac:dyDescent="0.25">
      <c r="A29109" s="1"/>
      <c r="B29109" s="1" t="s">
        <v>7328</v>
      </c>
      <c r="C29109" s="1" t="s">
        <v>7329</v>
      </c>
      <c r="D29109" s="22" t="str">
        <f>HYPERLINK("https://rhld.insurance.arkansas.gov/NPILookup?Npi=1881630259","1881630259")</f>
        <v>1881630259</v>
      </c>
      <c r="E29109" s="1" t="s">
        <v>13741</v>
      </c>
      <c r="F29109" s="2"/>
      <c r="G29109" s="2"/>
      <c r="H29109" s="2"/>
    </row>
    <row r="29110" spans="1:8" x14ac:dyDescent="0.25">
      <c r="A29110" s="1"/>
      <c r="B29110" s="1" t="s">
        <v>7328</v>
      </c>
      <c r="C29110" s="1" t="s">
        <v>7329</v>
      </c>
      <c r="D29110" s="22" t="str">
        <f>HYPERLINK("https://rhld.insurance.arkansas.gov/NPILookup?Npi=1881633436","1881633436")</f>
        <v>1881633436</v>
      </c>
      <c r="E29110" s="1" t="s">
        <v>8167</v>
      </c>
      <c r="F29110" s="2"/>
      <c r="G29110" s="2"/>
      <c r="H29110" s="2"/>
    </row>
    <row r="29111" spans="1:8" x14ac:dyDescent="0.25">
      <c r="A29111" s="1"/>
      <c r="B29111" s="1" t="s">
        <v>7328</v>
      </c>
      <c r="C29111" s="1" t="s">
        <v>7329</v>
      </c>
      <c r="D29111" s="22" t="str">
        <f>HYPERLINK("https://rhld.insurance.arkansas.gov/NPILookup?Npi=1881646099","1881646099")</f>
        <v>1881646099</v>
      </c>
      <c r="E29111" s="1" t="s">
        <v>29072</v>
      </c>
      <c r="F29111" s="2"/>
      <c r="G29111" s="2"/>
      <c r="H29111" s="2"/>
    </row>
    <row r="29112" spans="1:8" x14ac:dyDescent="0.25">
      <c r="A29112" s="1"/>
      <c r="B29112" s="1" t="s">
        <v>7328</v>
      </c>
      <c r="C29112" s="1" t="s">
        <v>7329</v>
      </c>
      <c r="D29112" s="22" t="str">
        <f>HYPERLINK("https://rhld.insurance.arkansas.gov/NPILookup?Npi=1881652592","1881652592")</f>
        <v>1881652592</v>
      </c>
      <c r="E29112" s="1" t="s">
        <v>29073</v>
      </c>
      <c r="F29112" s="2"/>
      <c r="G29112" s="2"/>
      <c r="H29112" s="2"/>
    </row>
    <row r="29113" spans="1:8" x14ac:dyDescent="0.25">
      <c r="A29113" s="1"/>
      <c r="B29113" s="1" t="s">
        <v>7328</v>
      </c>
      <c r="C29113" s="1" t="s">
        <v>7329</v>
      </c>
      <c r="D29113" s="22" t="str">
        <f>HYPERLINK("https://rhld.insurance.arkansas.gov/NPILookup?Npi=1881654218","1881654218")</f>
        <v>1881654218</v>
      </c>
      <c r="E29113" s="1" t="s">
        <v>29074</v>
      </c>
      <c r="F29113" s="2"/>
      <c r="G29113" s="2"/>
      <c r="H29113" s="2"/>
    </row>
    <row r="29114" spans="1:8" x14ac:dyDescent="0.25">
      <c r="A29114" s="1"/>
      <c r="B29114" s="1" t="s">
        <v>7328</v>
      </c>
      <c r="C29114" s="1" t="s">
        <v>7329</v>
      </c>
      <c r="D29114" s="22" t="str">
        <f>HYPERLINK("https://rhld.insurance.arkansas.gov/NPILookup?Npi=1881658623","1881658623")</f>
        <v>1881658623</v>
      </c>
      <c r="E29114" s="1" t="s">
        <v>29075</v>
      </c>
      <c r="F29114" s="2"/>
      <c r="G29114" s="2"/>
      <c r="H29114" s="2"/>
    </row>
    <row r="29115" spans="1:8" x14ac:dyDescent="0.25">
      <c r="A29115" s="1"/>
      <c r="B29115" s="1" t="s">
        <v>7328</v>
      </c>
      <c r="C29115" s="1" t="s">
        <v>7329</v>
      </c>
      <c r="D29115" s="22" t="str">
        <f>HYPERLINK("https://rhld.insurance.arkansas.gov/NPILookup?Npi=1881660777","1881660777")</f>
        <v>1881660777</v>
      </c>
      <c r="E29115" s="1" t="s">
        <v>29076</v>
      </c>
      <c r="F29115" s="2"/>
      <c r="G29115" s="2"/>
      <c r="H29115" s="2"/>
    </row>
    <row r="29116" spans="1:8" x14ac:dyDescent="0.25">
      <c r="A29116" s="1"/>
      <c r="B29116" s="1" t="s">
        <v>7328</v>
      </c>
      <c r="C29116" s="1" t="s">
        <v>7329</v>
      </c>
      <c r="D29116" s="22" t="str">
        <f>HYPERLINK("https://rhld.insurance.arkansas.gov/NPILookup?Npi=1881672152","1881672152")</f>
        <v>1881672152</v>
      </c>
      <c r="E29116" s="1" t="s">
        <v>29077</v>
      </c>
      <c r="F29116" s="2"/>
      <c r="G29116" s="2"/>
      <c r="H29116" s="2"/>
    </row>
    <row r="29117" spans="1:8" x14ac:dyDescent="0.25">
      <c r="A29117" s="1"/>
      <c r="B29117" s="1" t="s">
        <v>7328</v>
      </c>
      <c r="C29117" s="1" t="s">
        <v>7329</v>
      </c>
      <c r="D29117" s="22" t="str">
        <f>HYPERLINK("https://rhld.insurance.arkansas.gov/NPILookup?Npi=1881676526","1881676526")</f>
        <v>1881676526</v>
      </c>
      <c r="E29117" s="1" t="s">
        <v>17956</v>
      </c>
      <c r="F29117" s="2"/>
      <c r="G29117" s="2"/>
      <c r="H29117" s="2"/>
    </row>
    <row r="29118" spans="1:8" x14ac:dyDescent="0.25">
      <c r="A29118" s="1"/>
      <c r="B29118" s="1" t="s">
        <v>7328</v>
      </c>
      <c r="C29118" s="1" t="s">
        <v>7329</v>
      </c>
      <c r="D29118" s="22" t="str">
        <f>HYPERLINK("https://rhld.insurance.arkansas.gov/NPILookup?Npi=1881681864","1881681864")</f>
        <v>1881681864</v>
      </c>
      <c r="E29118" s="1" t="s">
        <v>1329</v>
      </c>
      <c r="F29118" s="2"/>
      <c r="G29118" s="2"/>
      <c r="H29118" s="2"/>
    </row>
    <row r="29119" spans="1:8" x14ac:dyDescent="0.25">
      <c r="A29119" s="1"/>
      <c r="B29119" s="1" t="s">
        <v>7328</v>
      </c>
      <c r="C29119" s="1" t="s">
        <v>7329</v>
      </c>
      <c r="D29119" s="22" t="str">
        <f>HYPERLINK("https://rhld.insurance.arkansas.gov/NPILookup?Npi=1881684991","1881684991")</f>
        <v>1881684991</v>
      </c>
      <c r="E29119" s="1" t="s">
        <v>1231</v>
      </c>
      <c r="F29119" s="2"/>
      <c r="G29119" s="2"/>
      <c r="H29119" s="2"/>
    </row>
    <row r="29120" spans="1:8" x14ac:dyDescent="0.25">
      <c r="A29120" s="1"/>
      <c r="B29120" s="1" t="s">
        <v>7328</v>
      </c>
      <c r="C29120" s="1" t="s">
        <v>7329</v>
      </c>
      <c r="D29120" s="22" t="str">
        <f>HYPERLINK("https://rhld.insurance.arkansas.gov/NPILookup?Npi=1881686962","1881686962")</f>
        <v>1881686962</v>
      </c>
      <c r="E29120" s="1" t="s">
        <v>29078</v>
      </c>
      <c r="F29120" s="2"/>
      <c r="G29120" s="2"/>
      <c r="H29120" s="2"/>
    </row>
    <row r="29121" spans="1:8" x14ac:dyDescent="0.25">
      <c r="A29121" s="1"/>
      <c r="B29121" s="1" t="s">
        <v>7328</v>
      </c>
      <c r="C29121" s="1" t="s">
        <v>7329</v>
      </c>
      <c r="D29121" s="22" t="str">
        <f>HYPERLINK("https://rhld.insurance.arkansas.gov/NPILookup?Npi=1881690477","1881690477")</f>
        <v>1881690477</v>
      </c>
      <c r="E29121" s="1" t="s">
        <v>29079</v>
      </c>
      <c r="F29121" s="2"/>
      <c r="G29121" s="2"/>
      <c r="H29121" s="2"/>
    </row>
    <row r="29122" spans="1:8" x14ac:dyDescent="0.25">
      <c r="A29122" s="1"/>
      <c r="B29122" s="1" t="s">
        <v>7328</v>
      </c>
      <c r="C29122" s="1" t="s">
        <v>7329</v>
      </c>
      <c r="D29122" s="22" t="str">
        <f>HYPERLINK("https://rhld.insurance.arkansas.gov/NPILookup?Npi=1881719938","1881719938")</f>
        <v>1881719938</v>
      </c>
      <c r="E29122" s="1" t="s">
        <v>29080</v>
      </c>
      <c r="F29122" s="2"/>
      <c r="G29122" s="2"/>
      <c r="H29122" s="2"/>
    </row>
    <row r="29123" spans="1:8" x14ac:dyDescent="0.25">
      <c r="A29123" s="1"/>
      <c r="B29123" s="1" t="s">
        <v>7328</v>
      </c>
      <c r="C29123" s="1" t="s">
        <v>7329</v>
      </c>
      <c r="D29123" s="22" t="str">
        <f>HYPERLINK("https://rhld.insurance.arkansas.gov/NPILookup?Npi=1881720407","1881720407")</f>
        <v>1881720407</v>
      </c>
      <c r="E29123" s="1" t="s">
        <v>29081</v>
      </c>
      <c r="F29123" s="2"/>
      <c r="G29123" s="2"/>
      <c r="H29123" s="2"/>
    </row>
    <row r="29124" spans="1:8" x14ac:dyDescent="0.25">
      <c r="A29124" s="1"/>
      <c r="B29124" s="1" t="s">
        <v>7328</v>
      </c>
      <c r="C29124" s="1" t="s">
        <v>7329</v>
      </c>
      <c r="D29124" s="22" t="str">
        <f>HYPERLINK("https://rhld.insurance.arkansas.gov/NPILookup?Npi=1881725125","1881725125")</f>
        <v>1881725125</v>
      </c>
      <c r="E29124" s="1" t="s">
        <v>13742</v>
      </c>
      <c r="F29124" s="2"/>
      <c r="G29124" s="2"/>
      <c r="H29124" s="2"/>
    </row>
    <row r="29125" spans="1:8" x14ac:dyDescent="0.25">
      <c r="A29125" s="1"/>
      <c r="B29125" s="1" t="s">
        <v>7328</v>
      </c>
      <c r="C29125" s="1" t="s">
        <v>7329</v>
      </c>
      <c r="D29125" s="22" t="str">
        <f>HYPERLINK("https://rhld.insurance.arkansas.gov/NPILookup?Npi=1881730190","1881730190")</f>
        <v>1881730190</v>
      </c>
      <c r="E29125" s="1" t="s">
        <v>29082</v>
      </c>
      <c r="F29125" s="2"/>
      <c r="G29125" s="2"/>
      <c r="H29125" s="2"/>
    </row>
    <row r="29126" spans="1:8" x14ac:dyDescent="0.25">
      <c r="A29126" s="1"/>
      <c r="B29126" s="1" t="s">
        <v>7328</v>
      </c>
      <c r="C29126" s="1" t="s">
        <v>7329</v>
      </c>
      <c r="D29126" s="22" t="str">
        <f>HYPERLINK("https://rhld.insurance.arkansas.gov/NPILookup?Npi=1881747046","1881747046")</f>
        <v>1881747046</v>
      </c>
      <c r="E29126" s="1" t="s">
        <v>32395</v>
      </c>
      <c r="F29126" s="2"/>
      <c r="G29126" s="2"/>
      <c r="H29126" s="2"/>
    </row>
    <row r="29127" spans="1:8" x14ac:dyDescent="0.25">
      <c r="A29127" s="1"/>
      <c r="B29127" s="1" t="s">
        <v>7328</v>
      </c>
      <c r="C29127" s="1" t="s">
        <v>7329</v>
      </c>
      <c r="D29127" s="22" t="str">
        <f>HYPERLINK("https://rhld.insurance.arkansas.gov/NPILookup?Npi=1881762441","1881762441")</f>
        <v>1881762441</v>
      </c>
      <c r="E29127" s="1" t="s">
        <v>8168</v>
      </c>
      <c r="F29127" s="2"/>
      <c r="G29127" s="2"/>
      <c r="H29127" s="2"/>
    </row>
    <row r="29128" spans="1:8" x14ac:dyDescent="0.25">
      <c r="A29128" s="1"/>
      <c r="B29128" s="1" t="s">
        <v>7328</v>
      </c>
      <c r="C29128" s="1" t="s">
        <v>7329</v>
      </c>
      <c r="D29128" s="22" t="str">
        <f>HYPERLINK("https://rhld.insurance.arkansas.gov/NPILookup?Npi=1881773216","1881773216")</f>
        <v>1881773216</v>
      </c>
      <c r="E29128" s="1" t="s">
        <v>3068</v>
      </c>
      <c r="F29128" s="2"/>
      <c r="G29128" s="2"/>
      <c r="H29128" s="2"/>
    </row>
    <row r="29129" spans="1:8" x14ac:dyDescent="0.25">
      <c r="A29129" s="1"/>
      <c r="B29129" s="1" t="s">
        <v>7328</v>
      </c>
      <c r="C29129" s="1" t="s">
        <v>7329</v>
      </c>
      <c r="D29129" s="22" t="str">
        <f>HYPERLINK("https://rhld.insurance.arkansas.gov/NPILookup?Npi=1881782654","1881782654")</f>
        <v>1881782654</v>
      </c>
      <c r="E29129" s="1" t="s">
        <v>17960</v>
      </c>
      <c r="F29129" s="2"/>
      <c r="G29129" s="2"/>
      <c r="H29129" s="2"/>
    </row>
    <row r="29130" spans="1:8" x14ac:dyDescent="0.25">
      <c r="A29130" s="1"/>
      <c r="B29130" s="1" t="s">
        <v>7328</v>
      </c>
      <c r="C29130" s="1" t="s">
        <v>7329</v>
      </c>
      <c r="D29130" s="22" t="str">
        <f>HYPERLINK("https://rhld.insurance.arkansas.gov/NPILookup?Npi=1881815017","1881815017")</f>
        <v>1881815017</v>
      </c>
      <c r="E29130" s="1" t="s">
        <v>2093</v>
      </c>
      <c r="F29130" s="2"/>
      <c r="G29130" s="2"/>
      <c r="H29130" s="2"/>
    </row>
    <row r="29131" spans="1:8" x14ac:dyDescent="0.25">
      <c r="A29131" s="1"/>
      <c r="B29131" s="1" t="s">
        <v>7328</v>
      </c>
      <c r="C29131" s="1" t="s">
        <v>7329</v>
      </c>
      <c r="D29131" s="22" t="str">
        <f>HYPERLINK("https://rhld.insurance.arkansas.gov/NPILookup?Npi=1881845758","1881845758")</f>
        <v>1881845758</v>
      </c>
      <c r="E29131" s="1" t="s">
        <v>3069</v>
      </c>
      <c r="F29131" s="2"/>
      <c r="G29131" s="2"/>
      <c r="H29131" s="2"/>
    </row>
    <row r="29132" spans="1:8" x14ac:dyDescent="0.25">
      <c r="A29132" s="1"/>
      <c r="B29132" s="1" t="s">
        <v>7328</v>
      </c>
      <c r="C29132" s="1" t="s">
        <v>7329</v>
      </c>
      <c r="D29132" s="22" t="str">
        <f>HYPERLINK("https://rhld.insurance.arkansas.gov/NPILookup?Npi=1881859353","1881859353")</f>
        <v>1881859353</v>
      </c>
      <c r="E29132" s="1" t="s">
        <v>13743</v>
      </c>
      <c r="F29132" s="2"/>
      <c r="G29132" s="2"/>
      <c r="H29132" s="2"/>
    </row>
    <row r="29133" spans="1:8" x14ac:dyDescent="0.25">
      <c r="A29133" s="1"/>
      <c r="B29133" s="1" t="s">
        <v>7328</v>
      </c>
      <c r="C29133" s="1" t="s">
        <v>7329</v>
      </c>
      <c r="D29133" s="22" t="str">
        <f>HYPERLINK("https://rhld.insurance.arkansas.gov/NPILookup?Npi=1881870236","1881870236")</f>
        <v>1881870236</v>
      </c>
      <c r="E29133" s="1" t="s">
        <v>29083</v>
      </c>
      <c r="F29133" s="2"/>
      <c r="G29133" s="2"/>
      <c r="H29133" s="2"/>
    </row>
    <row r="29134" spans="1:8" x14ac:dyDescent="0.25">
      <c r="A29134" s="1"/>
      <c r="B29134" s="1" t="s">
        <v>7328</v>
      </c>
      <c r="C29134" s="1" t="s">
        <v>7329</v>
      </c>
      <c r="D29134" s="22" t="str">
        <f>HYPERLINK("https://rhld.insurance.arkansas.gov/NPILookup?Npi=1881874394","1881874394")</f>
        <v>1881874394</v>
      </c>
      <c r="E29134" s="1" t="s">
        <v>29084</v>
      </c>
      <c r="F29134" s="2"/>
      <c r="G29134" s="2"/>
      <c r="H29134" s="2"/>
    </row>
    <row r="29135" spans="1:8" x14ac:dyDescent="0.25">
      <c r="A29135" s="1"/>
      <c r="B29135" s="1" t="s">
        <v>7328</v>
      </c>
      <c r="C29135" s="1" t="s">
        <v>7329</v>
      </c>
      <c r="D29135" s="22" t="str">
        <f>HYPERLINK("https://rhld.insurance.arkansas.gov/NPILookup?Npi=1881875771","1881875771")</f>
        <v>1881875771</v>
      </c>
      <c r="E29135" s="1" t="s">
        <v>4521</v>
      </c>
      <c r="F29135" s="2"/>
      <c r="G29135" s="2"/>
      <c r="H29135" s="2"/>
    </row>
    <row r="29136" spans="1:8" x14ac:dyDescent="0.25">
      <c r="A29136" s="1"/>
      <c r="B29136" s="1" t="s">
        <v>7328</v>
      </c>
      <c r="C29136" s="1" t="s">
        <v>7329</v>
      </c>
      <c r="D29136" s="22" t="str">
        <f>HYPERLINK("https://rhld.insurance.arkansas.gov/NPILookup?Npi=1881878064","1881878064")</f>
        <v>1881878064</v>
      </c>
      <c r="E29136" s="1" t="s">
        <v>29085</v>
      </c>
      <c r="F29136" s="2"/>
      <c r="G29136" s="2"/>
      <c r="H29136" s="2"/>
    </row>
    <row r="29137" spans="1:8" x14ac:dyDescent="0.25">
      <c r="A29137" s="1"/>
      <c r="B29137" s="1" t="s">
        <v>7328</v>
      </c>
      <c r="C29137" s="1" t="s">
        <v>7329</v>
      </c>
      <c r="D29137" s="22" t="str">
        <f>HYPERLINK("https://rhld.insurance.arkansas.gov/NPILookup?Npi=1881886638","1881886638")</f>
        <v>1881886638</v>
      </c>
      <c r="E29137" s="1" t="s">
        <v>29086</v>
      </c>
      <c r="F29137" s="2"/>
      <c r="G29137" s="2"/>
      <c r="H29137" s="2"/>
    </row>
    <row r="29138" spans="1:8" x14ac:dyDescent="0.25">
      <c r="A29138" s="1"/>
      <c r="B29138" s="1" t="s">
        <v>7328</v>
      </c>
      <c r="C29138" s="1" t="s">
        <v>7329</v>
      </c>
      <c r="D29138" s="22" t="str">
        <f>HYPERLINK("https://rhld.insurance.arkansas.gov/NPILookup?Npi=1881888980","1881888980")</f>
        <v>1881888980</v>
      </c>
      <c r="E29138" s="1" t="s">
        <v>29087</v>
      </c>
      <c r="F29138" s="2"/>
      <c r="G29138" s="2"/>
      <c r="H29138" s="2"/>
    </row>
    <row r="29139" spans="1:8" x14ac:dyDescent="0.25">
      <c r="A29139" s="1"/>
      <c r="B29139" s="1" t="s">
        <v>7328</v>
      </c>
      <c r="C29139" s="1" t="s">
        <v>7329</v>
      </c>
      <c r="D29139" s="22" t="str">
        <f>HYPERLINK("https://rhld.insurance.arkansas.gov/NPILookup?Npi=1881936797","1881936797")</f>
        <v>1881936797</v>
      </c>
      <c r="E29139" s="1" t="s">
        <v>17963</v>
      </c>
      <c r="F29139" s="2"/>
      <c r="G29139" s="2"/>
      <c r="H29139" s="2"/>
    </row>
    <row r="29140" spans="1:8" x14ac:dyDescent="0.25">
      <c r="A29140" s="1"/>
      <c r="B29140" s="1" t="s">
        <v>7328</v>
      </c>
      <c r="C29140" s="1" t="s">
        <v>7329</v>
      </c>
      <c r="D29140" s="22" t="str">
        <f>HYPERLINK("https://rhld.insurance.arkansas.gov/NPILookup?Npi=1881948529","1881948529")</f>
        <v>1881948529</v>
      </c>
      <c r="E29140" s="1" t="s">
        <v>2094</v>
      </c>
      <c r="F29140" s="2"/>
      <c r="G29140" s="2"/>
      <c r="H29140" s="2"/>
    </row>
    <row r="29141" spans="1:8" x14ac:dyDescent="0.25">
      <c r="A29141" s="1"/>
      <c r="B29141" s="1" t="s">
        <v>7328</v>
      </c>
      <c r="C29141" s="1" t="s">
        <v>7329</v>
      </c>
      <c r="D29141" s="22" t="str">
        <f>HYPERLINK("https://rhld.insurance.arkansas.gov/NPILookup?Npi=1881954501","1881954501")</f>
        <v>1881954501</v>
      </c>
      <c r="E29141" s="1" t="s">
        <v>13744</v>
      </c>
      <c r="F29141" s="2"/>
      <c r="G29141" s="2"/>
      <c r="H29141" s="2"/>
    </row>
    <row r="29142" spans="1:8" x14ac:dyDescent="0.25">
      <c r="A29142" s="1"/>
      <c r="B29142" s="1" t="s">
        <v>7328</v>
      </c>
      <c r="C29142" s="1" t="s">
        <v>7329</v>
      </c>
      <c r="D29142" s="22" t="str">
        <f>HYPERLINK("https://rhld.insurance.arkansas.gov/NPILookup?Npi=1881958288","1881958288")</f>
        <v>1881958288</v>
      </c>
      <c r="E29142" s="1" t="s">
        <v>1404</v>
      </c>
      <c r="F29142" s="2"/>
      <c r="G29142" s="2"/>
      <c r="H29142" s="2"/>
    </row>
    <row r="29143" spans="1:8" x14ac:dyDescent="0.25">
      <c r="A29143" s="1"/>
      <c r="B29143" s="1" t="s">
        <v>7328</v>
      </c>
      <c r="C29143" s="1" t="s">
        <v>7329</v>
      </c>
      <c r="D29143" s="22" t="str">
        <f>HYPERLINK("https://rhld.insurance.arkansas.gov/NPILookup?Npi=1881962686","1881962686")</f>
        <v>1881962686</v>
      </c>
      <c r="E29143" s="1" t="s">
        <v>2424</v>
      </c>
      <c r="F29143" s="2"/>
      <c r="G29143" s="2"/>
      <c r="H29143" s="2"/>
    </row>
    <row r="29144" spans="1:8" x14ac:dyDescent="0.25">
      <c r="A29144" s="1"/>
      <c r="B29144" s="1" t="s">
        <v>7328</v>
      </c>
      <c r="C29144" s="1" t="s">
        <v>7329</v>
      </c>
      <c r="D29144" s="22" t="str">
        <f>HYPERLINK("https://rhld.insurance.arkansas.gov/NPILookup?Npi=1881983112","1881983112")</f>
        <v>1881983112</v>
      </c>
      <c r="E29144" s="1" t="s">
        <v>29088</v>
      </c>
      <c r="F29144" s="2"/>
      <c r="G29144" s="2"/>
      <c r="H29144" s="2"/>
    </row>
    <row r="29145" spans="1:8" x14ac:dyDescent="0.25">
      <c r="A29145" s="1"/>
      <c r="B29145" s="1" t="s">
        <v>7328</v>
      </c>
      <c r="C29145" s="1" t="s">
        <v>7329</v>
      </c>
      <c r="D29145" s="22" t="str">
        <f>HYPERLINK("https://rhld.insurance.arkansas.gov/NPILookup?Npi=1881994440","1881994440")</f>
        <v>1881994440</v>
      </c>
      <c r="E29145" s="1" t="s">
        <v>23676</v>
      </c>
      <c r="F29145" s="2"/>
      <c r="G29145" s="2"/>
      <c r="H29145" s="2"/>
    </row>
    <row r="29146" spans="1:8" x14ac:dyDescent="0.25">
      <c r="A29146" s="1"/>
      <c r="B29146" s="1" t="s">
        <v>7328</v>
      </c>
      <c r="C29146" s="1" t="s">
        <v>7329</v>
      </c>
      <c r="D29146" s="22" t="str">
        <f>HYPERLINK("https://rhld.insurance.arkansas.gov/NPILookup?Npi=1891015442","1891015442")</f>
        <v>1891015442</v>
      </c>
      <c r="E29146" s="1" t="s">
        <v>13745</v>
      </c>
      <c r="F29146" s="2"/>
      <c r="G29146" s="2"/>
      <c r="H29146" s="2"/>
    </row>
    <row r="29147" spans="1:8" x14ac:dyDescent="0.25">
      <c r="A29147" s="1"/>
      <c r="B29147" s="1" t="s">
        <v>7328</v>
      </c>
      <c r="C29147" s="1" t="s">
        <v>7329</v>
      </c>
      <c r="D29147" s="22" t="str">
        <f>HYPERLINK("https://rhld.insurance.arkansas.gov/NPILookup?Npi=1891015467","1891015467")</f>
        <v>1891015467</v>
      </c>
      <c r="E29147" s="1" t="s">
        <v>29089</v>
      </c>
      <c r="F29147" s="2"/>
      <c r="G29147" s="2"/>
      <c r="H29147" s="2"/>
    </row>
    <row r="29148" spans="1:8" x14ac:dyDescent="0.25">
      <c r="A29148" s="1"/>
      <c r="B29148" s="1" t="s">
        <v>7328</v>
      </c>
      <c r="C29148" s="1" t="s">
        <v>7329</v>
      </c>
      <c r="D29148" s="22" t="str">
        <f>HYPERLINK("https://rhld.insurance.arkansas.gov/NPILookup?Npi=1891016291","1891016291")</f>
        <v>1891016291</v>
      </c>
      <c r="E29148" s="1" t="s">
        <v>2425</v>
      </c>
      <c r="F29148" s="2"/>
      <c r="G29148" s="2"/>
      <c r="H29148" s="2"/>
    </row>
    <row r="29149" spans="1:8" x14ac:dyDescent="0.25">
      <c r="A29149" s="1"/>
      <c r="B29149" s="1" t="s">
        <v>7328</v>
      </c>
      <c r="C29149" s="1" t="s">
        <v>7329</v>
      </c>
      <c r="D29149" s="22" t="str">
        <f>HYPERLINK("https://rhld.insurance.arkansas.gov/NPILookup?Npi=1891018370","1891018370")</f>
        <v>1891018370</v>
      </c>
      <c r="E29149" s="1" t="s">
        <v>29090</v>
      </c>
      <c r="F29149" s="2"/>
      <c r="G29149" s="2"/>
      <c r="H29149" s="2"/>
    </row>
    <row r="29150" spans="1:8" x14ac:dyDescent="0.25">
      <c r="A29150" s="1"/>
      <c r="B29150" s="1" t="s">
        <v>7328</v>
      </c>
      <c r="C29150" s="1" t="s">
        <v>7329</v>
      </c>
      <c r="D29150" s="22" t="str">
        <f>HYPERLINK("https://rhld.insurance.arkansas.gov/NPILookup?Npi=1891019774","1891019774")</f>
        <v>1891019774</v>
      </c>
      <c r="E29150" s="1" t="s">
        <v>8169</v>
      </c>
      <c r="F29150" s="2"/>
      <c r="G29150" s="2"/>
      <c r="H29150" s="2"/>
    </row>
    <row r="29151" spans="1:8" x14ac:dyDescent="0.25">
      <c r="A29151" s="1"/>
      <c r="B29151" s="1" t="s">
        <v>7328</v>
      </c>
      <c r="C29151" s="1" t="s">
        <v>7329</v>
      </c>
      <c r="D29151" s="22" t="str">
        <f>HYPERLINK("https://rhld.insurance.arkansas.gov/NPILookup?Npi=1891061040","1891061040")</f>
        <v>1891061040</v>
      </c>
      <c r="E29151" s="1" t="s">
        <v>29091</v>
      </c>
      <c r="F29151" s="2"/>
      <c r="G29151" s="2"/>
      <c r="H29151" s="2"/>
    </row>
    <row r="29152" spans="1:8" x14ac:dyDescent="0.25">
      <c r="A29152" s="1"/>
      <c r="B29152" s="1" t="s">
        <v>7328</v>
      </c>
      <c r="C29152" s="1" t="s">
        <v>7329</v>
      </c>
      <c r="D29152" s="22" t="str">
        <f>HYPERLINK("https://rhld.insurance.arkansas.gov/NPILookup?Npi=1891068631","1891068631")</f>
        <v>1891068631</v>
      </c>
      <c r="E29152" s="1" t="s">
        <v>29092</v>
      </c>
      <c r="F29152" s="2"/>
      <c r="G29152" s="2"/>
      <c r="H29152" s="2"/>
    </row>
    <row r="29153" spans="1:8" x14ac:dyDescent="0.25">
      <c r="A29153" s="1"/>
      <c r="B29153" s="1" t="s">
        <v>7328</v>
      </c>
      <c r="C29153" s="1" t="s">
        <v>7329</v>
      </c>
      <c r="D29153" s="22" t="str">
        <f>HYPERLINK("https://rhld.insurance.arkansas.gov/NPILookup?Npi=1891074308","1891074308")</f>
        <v>1891074308</v>
      </c>
      <c r="E29153" s="1" t="s">
        <v>13746</v>
      </c>
      <c r="F29153" s="2"/>
      <c r="G29153" s="2"/>
      <c r="H29153" s="2"/>
    </row>
    <row r="29154" spans="1:8" x14ac:dyDescent="0.25">
      <c r="A29154" s="1"/>
      <c r="B29154" s="1" t="s">
        <v>7328</v>
      </c>
      <c r="C29154" s="1" t="s">
        <v>7329</v>
      </c>
      <c r="D29154" s="22" t="str">
        <f>HYPERLINK("https://rhld.insurance.arkansas.gov/NPILookup?Npi=1891090262","1891090262")</f>
        <v>1891090262</v>
      </c>
      <c r="E29154" s="1" t="s">
        <v>13747</v>
      </c>
      <c r="F29154" s="2"/>
      <c r="G29154" s="2"/>
      <c r="H29154" s="2"/>
    </row>
    <row r="29155" spans="1:8" x14ac:dyDescent="0.25">
      <c r="A29155" s="1"/>
      <c r="B29155" s="1" t="s">
        <v>7328</v>
      </c>
      <c r="C29155" s="1" t="s">
        <v>7329</v>
      </c>
      <c r="D29155" s="22" t="str">
        <f>HYPERLINK("https://rhld.insurance.arkansas.gov/NPILookup?Npi=1891103073","1891103073")</f>
        <v>1891103073</v>
      </c>
      <c r="E29155" s="1" t="s">
        <v>8170</v>
      </c>
      <c r="F29155" s="2"/>
      <c r="G29155" s="2"/>
      <c r="H29155" s="2"/>
    </row>
    <row r="29156" spans="1:8" x14ac:dyDescent="0.25">
      <c r="A29156" s="1"/>
      <c r="B29156" s="1" t="s">
        <v>7328</v>
      </c>
      <c r="C29156" s="1" t="s">
        <v>7329</v>
      </c>
      <c r="D29156" s="22" t="str">
        <f>HYPERLINK("https://rhld.insurance.arkansas.gov/NPILookup?Npi=1891103313","1891103313")</f>
        <v>1891103313</v>
      </c>
      <c r="E29156" s="1" t="s">
        <v>29093</v>
      </c>
      <c r="F29156" s="2"/>
      <c r="G29156" s="2"/>
      <c r="H29156" s="2"/>
    </row>
    <row r="29157" spans="1:8" x14ac:dyDescent="0.25">
      <c r="A29157" s="1"/>
      <c r="B29157" s="1" t="s">
        <v>7328</v>
      </c>
      <c r="C29157" s="1" t="s">
        <v>7329</v>
      </c>
      <c r="D29157" s="22" t="str">
        <f>HYPERLINK("https://rhld.insurance.arkansas.gov/NPILookup?Npi=1891105136","1891105136")</f>
        <v>1891105136</v>
      </c>
      <c r="E29157" s="1" t="s">
        <v>1112</v>
      </c>
      <c r="F29157" s="2"/>
      <c r="G29157" s="2"/>
      <c r="H29157" s="2"/>
    </row>
    <row r="29158" spans="1:8" x14ac:dyDescent="0.25">
      <c r="A29158" s="1"/>
      <c r="B29158" s="1" t="s">
        <v>7328</v>
      </c>
      <c r="C29158" s="1" t="s">
        <v>7329</v>
      </c>
      <c r="D29158" s="22" t="str">
        <f>HYPERLINK("https://rhld.insurance.arkansas.gov/NPILookup?Npi=1891115663","1891115663")</f>
        <v>1891115663</v>
      </c>
      <c r="E29158" s="1" t="s">
        <v>29094</v>
      </c>
      <c r="F29158" s="2"/>
      <c r="G29158" s="2"/>
      <c r="H29158" s="2"/>
    </row>
    <row r="29159" spans="1:8" x14ac:dyDescent="0.25">
      <c r="A29159" s="1"/>
      <c r="B29159" s="1" t="s">
        <v>7328</v>
      </c>
      <c r="C29159" s="1" t="s">
        <v>7329</v>
      </c>
      <c r="D29159" s="22" t="str">
        <f>HYPERLINK("https://rhld.insurance.arkansas.gov/NPILookup?Npi=1891120135","1891120135")</f>
        <v>1891120135</v>
      </c>
      <c r="E29159" s="1" t="s">
        <v>29095</v>
      </c>
      <c r="F29159" s="2"/>
      <c r="G29159" s="2"/>
      <c r="H29159" s="2"/>
    </row>
    <row r="29160" spans="1:8" x14ac:dyDescent="0.25">
      <c r="A29160" s="1"/>
      <c r="B29160" s="1" t="s">
        <v>7328</v>
      </c>
      <c r="C29160" s="1" t="s">
        <v>7329</v>
      </c>
      <c r="D29160" s="22" t="str">
        <f>HYPERLINK("https://rhld.insurance.arkansas.gov/NPILookup?Npi=1891131157","1891131157")</f>
        <v>1891131157</v>
      </c>
      <c r="E29160" s="1" t="s">
        <v>215</v>
      </c>
      <c r="F29160" s="2"/>
      <c r="G29160" s="2"/>
      <c r="H29160" s="2"/>
    </row>
    <row r="29161" spans="1:8" x14ac:dyDescent="0.25">
      <c r="A29161" s="1"/>
      <c r="B29161" s="1" t="s">
        <v>7328</v>
      </c>
      <c r="C29161" s="1" t="s">
        <v>7329</v>
      </c>
      <c r="D29161" s="22" t="str">
        <f>HYPERLINK("https://rhld.insurance.arkansas.gov/NPILookup?Npi=1891144028","1891144028")</f>
        <v>1891144028</v>
      </c>
      <c r="E29161" s="1" t="s">
        <v>32396</v>
      </c>
      <c r="F29161" s="2"/>
      <c r="G29161" s="2"/>
      <c r="H29161" s="2"/>
    </row>
    <row r="29162" spans="1:8" x14ac:dyDescent="0.25">
      <c r="A29162" s="1"/>
      <c r="B29162" s="1" t="s">
        <v>7328</v>
      </c>
      <c r="C29162" s="1" t="s">
        <v>7329</v>
      </c>
      <c r="D29162" s="22" t="str">
        <f>HYPERLINK("https://rhld.insurance.arkansas.gov/NPILookup?Npi=1891155222","1891155222")</f>
        <v>1891155222</v>
      </c>
      <c r="E29162" s="1" t="s">
        <v>29096</v>
      </c>
      <c r="F29162" s="2"/>
      <c r="G29162" s="2"/>
      <c r="H29162" s="2"/>
    </row>
    <row r="29163" spans="1:8" x14ac:dyDescent="0.25">
      <c r="A29163" s="1"/>
      <c r="B29163" s="1" t="s">
        <v>7328</v>
      </c>
      <c r="C29163" s="1" t="s">
        <v>7329</v>
      </c>
      <c r="D29163" s="22" t="str">
        <f>HYPERLINK("https://rhld.insurance.arkansas.gov/NPILookup?Npi=1891159364","1891159364")</f>
        <v>1891159364</v>
      </c>
      <c r="E29163" s="1" t="s">
        <v>29097</v>
      </c>
      <c r="F29163" s="2"/>
      <c r="G29163" s="2"/>
      <c r="H29163" s="2"/>
    </row>
    <row r="29164" spans="1:8" x14ac:dyDescent="0.25">
      <c r="A29164" s="1"/>
      <c r="B29164" s="1" t="s">
        <v>7328</v>
      </c>
      <c r="C29164" s="1" t="s">
        <v>7329</v>
      </c>
      <c r="D29164" s="22" t="str">
        <f>HYPERLINK("https://rhld.insurance.arkansas.gov/NPILookup?Npi=1891165817","1891165817")</f>
        <v>1891165817</v>
      </c>
      <c r="E29164" s="1" t="s">
        <v>250</v>
      </c>
      <c r="F29164" s="2"/>
      <c r="G29164" s="2"/>
      <c r="H29164" s="2"/>
    </row>
    <row r="29165" spans="1:8" x14ac:dyDescent="0.25">
      <c r="A29165" s="1"/>
      <c r="B29165" s="1" t="s">
        <v>7328</v>
      </c>
      <c r="C29165" s="1" t="s">
        <v>7329</v>
      </c>
      <c r="D29165" s="22" t="str">
        <f>HYPERLINK("https://rhld.insurance.arkansas.gov/NPILookup?Npi=1891170676","1891170676")</f>
        <v>1891170676</v>
      </c>
      <c r="E29165" s="1" t="s">
        <v>17966</v>
      </c>
      <c r="F29165" s="2"/>
      <c r="G29165" s="2"/>
      <c r="H29165" s="2"/>
    </row>
    <row r="29166" spans="1:8" x14ac:dyDescent="0.25">
      <c r="A29166" s="1"/>
      <c r="B29166" s="1" t="s">
        <v>7328</v>
      </c>
      <c r="C29166" s="1" t="s">
        <v>7329</v>
      </c>
      <c r="D29166" s="22" t="str">
        <f>HYPERLINK("https://rhld.insurance.arkansas.gov/NPILookup?Npi=1891186912","1891186912")</f>
        <v>1891186912</v>
      </c>
      <c r="E29166" s="1" t="s">
        <v>29098</v>
      </c>
      <c r="F29166" s="2"/>
      <c r="G29166" s="2"/>
      <c r="H29166" s="2"/>
    </row>
    <row r="29167" spans="1:8" x14ac:dyDescent="0.25">
      <c r="A29167" s="1"/>
      <c r="B29167" s="1" t="s">
        <v>7328</v>
      </c>
      <c r="C29167" s="1" t="s">
        <v>7329</v>
      </c>
      <c r="D29167" s="22" t="str">
        <f>HYPERLINK("https://rhld.insurance.arkansas.gov/NPILookup?Npi=1891201588","1891201588")</f>
        <v>1891201588</v>
      </c>
      <c r="E29167" s="1" t="s">
        <v>2095</v>
      </c>
      <c r="F29167" s="2"/>
      <c r="G29167" s="2"/>
      <c r="H29167" s="2"/>
    </row>
    <row r="29168" spans="1:8" x14ac:dyDescent="0.25">
      <c r="A29168" s="1"/>
      <c r="B29168" s="1" t="s">
        <v>7328</v>
      </c>
      <c r="C29168" s="1" t="s">
        <v>7329</v>
      </c>
      <c r="D29168" s="22" t="str">
        <f>HYPERLINK("https://rhld.insurance.arkansas.gov/NPILookup?Npi=1891209086","1891209086")</f>
        <v>1891209086</v>
      </c>
      <c r="E29168" s="1" t="s">
        <v>29099</v>
      </c>
      <c r="F29168" s="2"/>
      <c r="G29168" s="2"/>
      <c r="H29168" s="2"/>
    </row>
    <row r="29169" spans="1:8" x14ac:dyDescent="0.25">
      <c r="A29169" s="1"/>
      <c r="B29169" s="1" t="s">
        <v>7328</v>
      </c>
      <c r="C29169" s="1" t="s">
        <v>7329</v>
      </c>
      <c r="D29169" s="22" t="str">
        <f>HYPERLINK("https://rhld.insurance.arkansas.gov/NPILookup?Npi=1891211553","1891211553")</f>
        <v>1891211553</v>
      </c>
      <c r="E29169" s="1" t="s">
        <v>29100</v>
      </c>
      <c r="F29169" s="2"/>
      <c r="G29169" s="2"/>
      <c r="H29169" s="2"/>
    </row>
    <row r="29170" spans="1:8" x14ac:dyDescent="0.25">
      <c r="A29170" s="1"/>
      <c r="B29170" s="1" t="s">
        <v>7328</v>
      </c>
      <c r="C29170" s="1" t="s">
        <v>7329</v>
      </c>
      <c r="D29170" s="22" t="str">
        <f>HYPERLINK("https://rhld.insurance.arkansas.gov/NPILookup?Npi=1891223798","1891223798")</f>
        <v>1891223798</v>
      </c>
      <c r="E29170" s="1" t="s">
        <v>8171</v>
      </c>
      <c r="F29170" s="2"/>
      <c r="G29170" s="2"/>
      <c r="H29170" s="2"/>
    </row>
    <row r="29171" spans="1:8" x14ac:dyDescent="0.25">
      <c r="A29171" s="1"/>
      <c r="B29171" s="1" t="s">
        <v>7328</v>
      </c>
      <c r="C29171" s="1" t="s">
        <v>7329</v>
      </c>
      <c r="D29171" s="22" t="str">
        <f>HYPERLINK("https://rhld.insurance.arkansas.gov/NPILookup?Npi=1891259651","1891259651")</f>
        <v>1891259651</v>
      </c>
      <c r="E29171" s="1" t="s">
        <v>29101</v>
      </c>
      <c r="F29171" s="2"/>
      <c r="G29171" s="2"/>
      <c r="H29171" s="2"/>
    </row>
    <row r="29172" spans="1:8" x14ac:dyDescent="0.25">
      <c r="A29172" s="1"/>
      <c r="B29172" s="1" t="s">
        <v>7328</v>
      </c>
      <c r="C29172" s="1" t="s">
        <v>7329</v>
      </c>
      <c r="D29172" s="22" t="str">
        <f>HYPERLINK("https://rhld.insurance.arkansas.gov/NPILookup?Npi=1891281622","1891281622")</f>
        <v>1891281622</v>
      </c>
      <c r="E29172" s="1" t="s">
        <v>29102</v>
      </c>
      <c r="F29172" s="2"/>
      <c r="G29172" s="2"/>
      <c r="H29172" s="2"/>
    </row>
    <row r="29173" spans="1:8" x14ac:dyDescent="0.25">
      <c r="A29173" s="1"/>
      <c r="B29173" s="1" t="s">
        <v>7328</v>
      </c>
      <c r="C29173" s="1" t="s">
        <v>7329</v>
      </c>
      <c r="D29173" s="22" t="str">
        <f>HYPERLINK("https://rhld.insurance.arkansas.gov/NPILookup?Npi=1891294443","1891294443")</f>
        <v>1891294443</v>
      </c>
      <c r="E29173" s="1" t="s">
        <v>1113</v>
      </c>
      <c r="F29173" s="2"/>
      <c r="G29173" s="2"/>
      <c r="H29173" s="2"/>
    </row>
    <row r="29174" spans="1:8" x14ac:dyDescent="0.25">
      <c r="A29174" s="1"/>
      <c r="B29174" s="1" t="s">
        <v>7328</v>
      </c>
      <c r="C29174" s="1" t="s">
        <v>7329</v>
      </c>
      <c r="D29174" s="22" t="str">
        <f>HYPERLINK("https://rhld.insurance.arkansas.gov/NPILookup?Npi=1891301818","1891301818")</f>
        <v>1891301818</v>
      </c>
      <c r="E29174" s="1" t="s">
        <v>1646</v>
      </c>
      <c r="F29174" s="2"/>
      <c r="G29174" s="2"/>
      <c r="H29174" s="2"/>
    </row>
    <row r="29175" spans="1:8" x14ac:dyDescent="0.25">
      <c r="A29175" s="1"/>
      <c r="B29175" s="1" t="s">
        <v>7328</v>
      </c>
      <c r="C29175" s="1" t="s">
        <v>7329</v>
      </c>
      <c r="D29175" s="22" t="str">
        <f>HYPERLINK("https://rhld.insurance.arkansas.gov/NPILookup?Npi=1891307054","1891307054")</f>
        <v>1891307054</v>
      </c>
      <c r="E29175" s="1" t="s">
        <v>1821</v>
      </c>
      <c r="F29175" s="2"/>
      <c r="G29175" s="2"/>
      <c r="H29175" s="2"/>
    </row>
    <row r="29176" spans="1:8" x14ac:dyDescent="0.25">
      <c r="A29176" s="1"/>
      <c r="B29176" s="1" t="s">
        <v>7328</v>
      </c>
      <c r="C29176" s="1" t="s">
        <v>7329</v>
      </c>
      <c r="D29176" s="22" t="str">
        <f>HYPERLINK("https://rhld.insurance.arkansas.gov/NPILookup?Npi=1891308839","1891308839")</f>
        <v>1891308839</v>
      </c>
      <c r="E29176" s="1" t="s">
        <v>29103</v>
      </c>
      <c r="F29176" s="2"/>
      <c r="G29176" s="2"/>
      <c r="H29176" s="2"/>
    </row>
    <row r="29177" spans="1:8" x14ac:dyDescent="0.25">
      <c r="A29177" s="1"/>
      <c r="B29177" s="1" t="s">
        <v>7328</v>
      </c>
      <c r="C29177" s="1" t="s">
        <v>7329</v>
      </c>
      <c r="D29177" s="22" t="str">
        <f>HYPERLINK("https://rhld.insurance.arkansas.gov/NPILookup?Npi=1891311254","1891311254")</f>
        <v>1891311254</v>
      </c>
      <c r="E29177" s="1" t="s">
        <v>8172</v>
      </c>
      <c r="F29177" s="2"/>
      <c r="G29177" s="2"/>
      <c r="H29177" s="2"/>
    </row>
    <row r="29178" spans="1:8" x14ac:dyDescent="0.25">
      <c r="A29178" s="1"/>
      <c r="B29178" s="1" t="s">
        <v>7328</v>
      </c>
      <c r="C29178" s="1" t="s">
        <v>7329</v>
      </c>
      <c r="D29178" s="22" t="str">
        <f>HYPERLINK("https://rhld.insurance.arkansas.gov/NPILookup?Npi=1891315008","1891315008")</f>
        <v>1891315008</v>
      </c>
      <c r="E29178" s="1" t="s">
        <v>17967</v>
      </c>
      <c r="F29178" s="2"/>
      <c r="G29178" s="2"/>
      <c r="H29178" s="2"/>
    </row>
    <row r="29179" spans="1:8" x14ac:dyDescent="0.25">
      <c r="A29179" s="1"/>
      <c r="B29179" s="1" t="s">
        <v>7328</v>
      </c>
      <c r="C29179" s="1" t="s">
        <v>7329</v>
      </c>
      <c r="D29179" s="22" t="str">
        <f>HYPERLINK("https://rhld.insurance.arkansas.gov/NPILookup?Npi=1891324216","1891324216")</f>
        <v>1891324216</v>
      </c>
      <c r="E29179" s="1" t="s">
        <v>29104</v>
      </c>
      <c r="F29179" s="2"/>
      <c r="G29179" s="2"/>
      <c r="H29179" s="2"/>
    </row>
    <row r="29180" spans="1:8" x14ac:dyDescent="0.25">
      <c r="A29180" s="1"/>
      <c r="B29180" s="1" t="s">
        <v>7328</v>
      </c>
      <c r="C29180" s="1" t="s">
        <v>7329</v>
      </c>
      <c r="D29180" s="22" t="str">
        <f>HYPERLINK("https://rhld.insurance.arkansas.gov/NPILookup?Npi=1891337275","1891337275")</f>
        <v>1891337275</v>
      </c>
      <c r="E29180" s="1" t="s">
        <v>29105</v>
      </c>
      <c r="F29180" s="2"/>
      <c r="G29180" s="2"/>
      <c r="H29180" s="2"/>
    </row>
    <row r="29181" spans="1:8" x14ac:dyDescent="0.25">
      <c r="A29181" s="1"/>
      <c r="B29181" s="1" t="s">
        <v>7328</v>
      </c>
      <c r="C29181" s="1" t="s">
        <v>7329</v>
      </c>
      <c r="D29181" s="22" t="str">
        <f>HYPERLINK("https://rhld.insurance.arkansas.gov/NPILookup?Npi=1891340840","1891340840")</f>
        <v>1891340840</v>
      </c>
      <c r="E29181" s="1" t="s">
        <v>29106</v>
      </c>
      <c r="F29181" s="2"/>
      <c r="G29181" s="2"/>
      <c r="H29181" s="2"/>
    </row>
    <row r="29182" spans="1:8" x14ac:dyDescent="0.25">
      <c r="A29182" s="1"/>
      <c r="B29182" s="1" t="s">
        <v>7328</v>
      </c>
      <c r="C29182" s="1" t="s">
        <v>7329</v>
      </c>
      <c r="D29182" s="22" t="str">
        <f>HYPERLINK("https://rhld.insurance.arkansas.gov/NPILookup?Npi=1891342887","1891342887")</f>
        <v>1891342887</v>
      </c>
      <c r="E29182" s="1" t="s">
        <v>29107</v>
      </c>
      <c r="F29182" s="2"/>
      <c r="G29182" s="2"/>
      <c r="H29182" s="2"/>
    </row>
    <row r="29183" spans="1:8" x14ac:dyDescent="0.25">
      <c r="A29183" s="1"/>
      <c r="B29183" s="1" t="s">
        <v>7328</v>
      </c>
      <c r="C29183" s="1" t="s">
        <v>7329</v>
      </c>
      <c r="D29183" s="22" t="str">
        <f>HYPERLINK("https://rhld.insurance.arkansas.gov/NPILookup?Npi=1891346862","1891346862")</f>
        <v>1891346862</v>
      </c>
      <c r="E29183" s="1" t="s">
        <v>29108</v>
      </c>
      <c r="F29183" s="2"/>
      <c r="G29183" s="2"/>
      <c r="H29183" s="2"/>
    </row>
    <row r="29184" spans="1:8" x14ac:dyDescent="0.25">
      <c r="A29184" s="1"/>
      <c r="B29184" s="1" t="s">
        <v>7328</v>
      </c>
      <c r="C29184" s="1" t="s">
        <v>7329</v>
      </c>
      <c r="D29184" s="22" t="str">
        <f>HYPERLINK("https://rhld.insurance.arkansas.gov/NPILookup?Npi=1891363081","1891363081")</f>
        <v>1891363081</v>
      </c>
      <c r="E29184" s="1" t="s">
        <v>29109</v>
      </c>
      <c r="F29184" s="2"/>
      <c r="G29184" s="2"/>
      <c r="H29184" s="2"/>
    </row>
    <row r="29185" spans="1:8" x14ac:dyDescent="0.25">
      <c r="A29185" s="1"/>
      <c r="B29185" s="1" t="s">
        <v>7328</v>
      </c>
      <c r="C29185" s="1" t="s">
        <v>7329</v>
      </c>
      <c r="D29185" s="22" t="str">
        <f>HYPERLINK("https://rhld.insurance.arkansas.gov/NPILookup?Npi=1891363925","1891363925")</f>
        <v>1891363925</v>
      </c>
      <c r="E29185" s="1" t="s">
        <v>1822</v>
      </c>
      <c r="F29185" s="2"/>
      <c r="G29185" s="2"/>
      <c r="H29185" s="2"/>
    </row>
    <row r="29186" spans="1:8" x14ac:dyDescent="0.25">
      <c r="A29186" s="1"/>
      <c r="B29186" s="1" t="s">
        <v>7328</v>
      </c>
      <c r="C29186" s="1" t="s">
        <v>7329</v>
      </c>
      <c r="D29186" s="22" t="str">
        <f>HYPERLINK("https://rhld.insurance.arkansas.gov/NPILookup?Npi=1891367314","1891367314")</f>
        <v>1891367314</v>
      </c>
      <c r="E29186" s="1" t="s">
        <v>8173</v>
      </c>
      <c r="F29186" s="2"/>
      <c r="G29186" s="2"/>
      <c r="H29186" s="2"/>
    </row>
    <row r="29187" spans="1:8" x14ac:dyDescent="0.25">
      <c r="A29187" s="1"/>
      <c r="B29187" s="1" t="s">
        <v>7328</v>
      </c>
      <c r="C29187" s="1" t="s">
        <v>7329</v>
      </c>
      <c r="D29187" s="22" t="str">
        <f>HYPERLINK("https://rhld.insurance.arkansas.gov/NPILookup?Npi=1891373379","1891373379")</f>
        <v>1891373379</v>
      </c>
      <c r="E29187" s="1" t="s">
        <v>17968</v>
      </c>
      <c r="F29187" s="2"/>
      <c r="G29187" s="2"/>
      <c r="H29187" s="2"/>
    </row>
    <row r="29188" spans="1:8" x14ac:dyDescent="0.25">
      <c r="A29188" s="1"/>
      <c r="B29188" s="1" t="s">
        <v>7328</v>
      </c>
      <c r="C29188" s="1" t="s">
        <v>7329</v>
      </c>
      <c r="D29188" s="22" t="str">
        <f>HYPERLINK("https://rhld.insurance.arkansas.gov/NPILookup?Npi=1891375838","1891375838")</f>
        <v>1891375838</v>
      </c>
      <c r="E29188" s="1" t="s">
        <v>29110</v>
      </c>
      <c r="F29188" s="2"/>
      <c r="G29188" s="2"/>
      <c r="H29188" s="2"/>
    </row>
    <row r="29189" spans="1:8" x14ac:dyDescent="0.25">
      <c r="A29189" s="1"/>
      <c r="B29189" s="1" t="s">
        <v>7328</v>
      </c>
      <c r="C29189" s="1" t="s">
        <v>7329</v>
      </c>
      <c r="D29189" s="22" t="str">
        <f>HYPERLINK("https://rhld.insurance.arkansas.gov/NPILookup?Npi=1891379228","1891379228")</f>
        <v>1891379228</v>
      </c>
      <c r="E29189" s="1" t="s">
        <v>29111</v>
      </c>
      <c r="F29189" s="2"/>
      <c r="G29189" s="2"/>
      <c r="H29189" s="2"/>
    </row>
    <row r="29190" spans="1:8" x14ac:dyDescent="0.25">
      <c r="A29190" s="1"/>
      <c r="B29190" s="1" t="s">
        <v>7328</v>
      </c>
      <c r="C29190" s="1" t="s">
        <v>7329</v>
      </c>
      <c r="D29190" s="22" t="str">
        <f>HYPERLINK("https://rhld.insurance.arkansas.gov/NPILookup?Npi=1891388666","1891388666")</f>
        <v>1891388666</v>
      </c>
      <c r="E29190" s="1" t="s">
        <v>29112</v>
      </c>
      <c r="F29190" s="2"/>
      <c r="G29190" s="2"/>
      <c r="H29190" s="2"/>
    </row>
    <row r="29191" spans="1:8" x14ac:dyDescent="0.25">
      <c r="A29191" s="1"/>
      <c r="B29191" s="1" t="s">
        <v>7328</v>
      </c>
      <c r="C29191" s="1" t="s">
        <v>7329</v>
      </c>
      <c r="D29191" s="22" t="str">
        <f>HYPERLINK("https://rhld.insurance.arkansas.gov/NPILookup?Npi=1891390951","1891390951")</f>
        <v>1891390951</v>
      </c>
      <c r="E29191" s="1" t="s">
        <v>29113</v>
      </c>
      <c r="F29191" s="2"/>
      <c r="G29191" s="2"/>
      <c r="H29191" s="2"/>
    </row>
    <row r="29192" spans="1:8" x14ac:dyDescent="0.25">
      <c r="A29192" s="1"/>
      <c r="B29192" s="1" t="s">
        <v>7328</v>
      </c>
      <c r="C29192" s="1" t="s">
        <v>7329</v>
      </c>
      <c r="D29192" s="22" t="str">
        <f>HYPERLINK("https://rhld.insurance.arkansas.gov/NPILookup?Npi=1891409470","1891409470")</f>
        <v>1891409470</v>
      </c>
      <c r="E29192" s="1" t="s">
        <v>2426</v>
      </c>
      <c r="F29192" s="2"/>
      <c r="G29192" s="2"/>
      <c r="H29192" s="2"/>
    </row>
    <row r="29193" spans="1:8" x14ac:dyDescent="0.25">
      <c r="A29193" s="1"/>
      <c r="B29193" s="1" t="s">
        <v>7328</v>
      </c>
      <c r="C29193" s="1" t="s">
        <v>7329</v>
      </c>
      <c r="D29193" s="22" t="str">
        <f>HYPERLINK("https://rhld.insurance.arkansas.gov/NPILookup?Npi=1891432571","1891432571")</f>
        <v>1891432571</v>
      </c>
      <c r="E29193" s="1" t="s">
        <v>29114</v>
      </c>
      <c r="F29193" s="2"/>
      <c r="G29193" s="2"/>
      <c r="H29193" s="2"/>
    </row>
    <row r="29194" spans="1:8" x14ac:dyDescent="0.25">
      <c r="A29194" s="1"/>
      <c r="B29194" s="1" t="s">
        <v>7328</v>
      </c>
      <c r="C29194" s="1" t="s">
        <v>7329</v>
      </c>
      <c r="D29194" s="22" t="str">
        <f>HYPERLINK("https://rhld.insurance.arkansas.gov/NPILookup?Npi=1891433124","1891433124")</f>
        <v>1891433124</v>
      </c>
      <c r="E29194" s="1" t="s">
        <v>8174</v>
      </c>
      <c r="F29194" s="2"/>
      <c r="G29194" s="2"/>
      <c r="H29194" s="2"/>
    </row>
    <row r="29195" spans="1:8" x14ac:dyDescent="0.25">
      <c r="A29195" s="1"/>
      <c r="B29195" s="1" t="s">
        <v>7328</v>
      </c>
      <c r="C29195" s="1" t="s">
        <v>7329</v>
      </c>
      <c r="D29195" s="22" t="str">
        <f>HYPERLINK("https://rhld.insurance.arkansas.gov/NPILookup?Npi=1891454062","1891454062")</f>
        <v>1891454062</v>
      </c>
      <c r="E29195" s="1" t="s">
        <v>29115</v>
      </c>
      <c r="F29195" s="2"/>
      <c r="G29195" s="2"/>
      <c r="H29195" s="2"/>
    </row>
    <row r="29196" spans="1:8" x14ac:dyDescent="0.25">
      <c r="A29196" s="1"/>
      <c r="B29196" s="1" t="s">
        <v>7328</v>
      </c>
      <c r="C29196" s="1" t="s">
        <v>7329</v>
      </c>
      <c r="D29196" s="22" t="str">
        <f>HYPERLINK("https://rhld.insurance.arkansas.gov/NPILookup?Npi=1891467726","1891467726")</f>
        <v>1891467726</v>
      </c>
      <c r="E29196" s="1" t="s">
        <v>23696</v>
      </c>
      <c r="F29196" s="2"/>
      <c r="G29196" s="2"/>
      <c r="H29196" s="2"/>
    </row>
    <row r="29197" spans="1:8" x14ac:dyDescent="0.25">
      <c r="A29197" s="1"/>
      <c r="B29197" s="1" t="s">
        <v>7328</v>
      </c>
      <c r="C29197" s="1" t="s">
        <v>7329</v>
      </c>
      <c r="D29197" s="22" t="str">
        <f>HYPERLINK("https://rhld.insurance.arkansas.gov/NPILookup?Npi=1891479788","1891479788")</f>
        <v>1891479788</v>
      </c>
      <c r="E29197" s="1" t="s">
        <v>8175</v>
      </c>
      <c r="F29197" s="2"/>
      <c r="G29197" s="2"/>
      <c r="H29197" s="2"/>
    </row>
    <row r="29198" spans="1:8" x14ac:dyDescent="0.25">
      <c r="A29198" s="1"/>
      <c r="B29198" s="1" t="s">
        <v>7328</v>
      </c>
      <c r="C29198" s="1" t="s">
        <v>7329</v>
      </c>
      <c r="D29198" s="22" t="str">
        <f>HYPERLINK("https://rhld.insurance.arkansas.gov/NPILookup?Npi=1891500922","1891500922")</f>
        <v>1891500922</v>
      </c>
      <c r="E29198" s="1" t="s">
        <v>32397</v>
      </c>
      <c r="F29198" s="2"/>
      <c r="G29198" s="2"/>
      <c r="H29198" s="2"/>
    </row>
    <row r="29199" spans="1:8" x14ac:dyDescent="0.25">
      <c r="A29199" s="1"/>
      <c r="B29199" s="1" t="s">
        <v>7328</v>
      </c>
      <c r="C29199" s="1" t="s">
        <v>7329</v>
      </c>
      <c r="D29199" s="22" t="str">
        <f>HYPERLINK("https://rhld.insurance.arkansas.gov/NPILookup?Npi=1891532099","1891532099")</f>
        <v>1891532099</v>
      </c>
      <c r="E29199" s="1" t="s">
        <v>32398</v>
      </c>
      <c r="F29199" s="2"/>
      <c r="G29199" s="2"/>
      <c r="H29199" s="2"/>
    </row>
    <row r="29200" spans="1:8" x14ac:dyDescent="0.25">
      <c r="A29200" s="1"/>
      <c r="B29200" s="1" t="s">
        <v>7328</v>
      </c>
      <c r="C29200" s="1" t="s">
        <v>7329</v>
      </c>
      <c r="D29200" s="22" t="str">
        <f>HYPERLINK("https://rhld.insurance.arkansas.gov/NPILookup?Npi=1891532685","1891532685")</f>
        <v>1891532685</v>
      </c>
      <c r="E29200" s="1" t="s">
        <v>29116</v>
      </c>
      <c r="F29200" s="2"/>
      <c r="G29200" s="2"/>
      <c r="H29200" s="2"/>
    </row>
    <row r="29201" spans="1:8" x14ac:dyDescent="0.25">
      <c r="A29201" s="1"/>
      <c r="B29201" s="1" t="s">
        <v>7328</v>
      </c>
      <c r="C29201" s="1" t="s">
        <v>7329</v>
      </c>
      <c r="D29201" s="22" t="str">
        <f>HYPERLINK("https://rhld.insurance.arkansas.gov/NPILookup?Npi=1891537221","1891537221")</f>
        <v>1891537221</v>
      </c>
      <c r="E29201" s="1" t="s">
        <v>32399</v>
      </c>
      <c r="F29201" s="2"/>
      <c r="G29201" s="2"/>
      <c r="H29201" s="2"/>
    </row>
    <row r="29202" spans="1:8" x14ac:dyDescent="0.25">
      <c r="A29202" s="1"/>
      <c r="B29202" s="1" t="s">
        <v>7328</v>
      </c>
      <c r="C29202" s="1" t="s">
        <v>7329</v>
      </c>
      <c r="D29202" s="22" t="str">
        <f>HYPERLINK("https://rhld.insurance.arkansas.gov/NPILookup?Npi=1891544888","1891544888")</f>
        <v>1891544888</v>
      </c>
      <c r="E29202" s="1" t="s">
        <v>29117</v>
      </c>
      <c r="F29202" s="2"/>
      <c r="G29202" s="2"/>
      <c r="H29202" s="2"/>
    </row>
    <row r="29203" spans="1:8" x14ac:dyDescent="0.25">
      <c r="A29203" s="1"/>
      <c r="B29203" s="1" t="s">
        <v>7328</v>
      </c>
      <c r="C29203" s="1" t="s">
        <v>7329</v>
      </c>
      <c r="D29203" s="22" t="str">
        <f>HYPERLINK("https://rhld.insurance.arkansas.gov/NPILookup?Npi=1891553434","1891553434")</f>
        <v>1891553434</v>
      </c>
      <c r="E29203" s="1" t="s">
        <v>32400</v>
      </c>
      <c r="F29203" s="2"/>
      <c r="G29203" s="2"/>
      <c r="H29203" s="2"/>
    </row>
    <row r="29204" spans="1:8" x14ac:dyDescent="0.25">
      <c r="A29204" s="1"/>
      <c r="B29204" s="1" t="s">
        <v>7328</v>
      </c>
      <c r="C29204" s="1" t="s">
        <v>7329</v>
      </c>
      <c r="D29204" s="22" t="str">
        <f>HYPERLINK("https://rhld.insurance.arkansas.gov/NPILookup?Npi=1891553491","1891553491")</f>
        <v>1891553491</v>
      </c>
      <c r="E29204" s="1" t="s">
        <v>29118</v>
      </c>
      <c r="F29204" s="2"/>
      <c r="G29204" s="2"/>
      <c r="H29204" s="2"/>
    </row>
    <row r="29205" spans="1:8" x14ac:dyDescent="0.25">
      <c r="A29205" s="1"/>
      <c r="B29205" s="1" t="s">
        <v>7328</v>
      </c>
      <c r="C29205" s="1" t="s">
        <v>7329</v>
      </c>
      <c r="D29205" s="22" t="str">
        <f>HYPERLINK("https://rhld.insurance.arkansas.gov/NPILookup?Npi=1891561247","1891561247")</f>
        <v>1891561247</v>
      </c>
      <c r="E29205" s="1" t="s">
        <v>12210</v>
      </c>
      <c r="F29205" s="2"/>
      <c r="G29205" s="2"/>
      <c r="H29205" s="2"/>
    </row>
    <row r="29206" spans="1:8" x14ac:dyDescent="0.25">
      <c r="A29206" s="1"/>
      <c r="B29206" s="1" t="s">
        <v>7328</v>
      </c>
      <c r="C29206" s="1" t="s">
        <v>7329</v>
      </c>
      <c r="D29206" s="22" t="str">
        <f>HYPERLINK("https://rhld.insurance.arkansas.gov/NPILookup?Npi=1891592259","1891592259")</f>
        <v>1891592259</v>
      </c>
      <c r="E29206" s="1" t="s">
        <v>32401</v>
      </c>
      <c r="F29206" s="2"/>
      <c r="G29206" s="2"/>
      <c r="H29206" s="2"/>
    </row>
    <row r="29207" spans="1:8" x14ac:dyDescent="0.25">
      <c r="A29207" s="1"/>
      <c r="B29207" s="1" t="s">
        <v>7328</v>
      </c>
      <c r="C29207" s="1" t="s">
        <v>7329</v>
      </c>
      <c r="D29207" s="22" t="str">
        <f>HYPERLINK("https://rhld.insurance.arkansas.gov/NPILookup?Npi=1891702205","1891702205")</f>
        <v>1891702205</v>
      </c>
      <c r="E29207" s="1" t="s">
        <v>32402</v>
      </c>
      <c r="F29207" s="2"/>
      <c r="G29207" s="2"/>
      <c r="H29207" s="2"/>
    </row>
    <row r="29208" spans="1:8" x14ac:dyDescent="0.25">
      <c r="A29208" s="1"/>
      <c r="B29208" s="1" t="s">
        <v>7328</v>
      </c>
      <c r="C29208" s="1" t="s">
        <v>7329</v>
      </c>
      <c r="D29208" s="22" t="str">
        <f>HYPERLINK("https://rhld.insurance.arkansas.gov/NPILookup?Npi=1891744876","1891744876")</f>
        <v>1891744876</v>
      </c>
      <c r="E29208" s="1" t="s">
        <v>29120</v>
      </c>
      <c r="F29208" s="2"/>
      <c r="G29208" s="2"/>
      <c r="H29208" s="2"/>
    </row>
    <row r="29209" spans="1:8" x14ac:dyDescent="0.25">
      <c r="A29209" s="1"/>
      <c r="B29209" s="1" t="s">
        <v>7328</v>
      </c>
      <c r="C29209" s="1" t="s">
        <v>7329</v>
      </c>
      <c r="D29209" s="22" t="str">
        <f>HYPERLINK("https://rhld.insurance.arkansas.gov/NPILookup?Npi=1891747531","1891747531")</f>
        <v>1891747531</v>
      </c>
      <c r="E29209" s="1" t="s">
        <v>13749</v>
      </c>
      <c r="F29209" s="2"/>
      <c r="G29209" s="2"/>
      <c r="H29209" s="2"/>
    </row>
    <row r="29210" spans="1:8" x14ac:dyDescent="0.25">
      <c r="A29210" s="1"/>
      <c r="B29210" s="1" t="s">
        <v>7328</v>
      </c>
      <c r="C29210" s="1" t="s">
        <v>7329</v>
      </c>
      <c r="D29210" s="22" t="str">
        <f>HYPERLINK("https://rhld.insurance.arkansas.gov/NPILookup?Npi=1891754784","1891754784")</f>
        <v>1891754784</v>
      </c>
      <c r="E29210" s="1" t="s">
        <v>29121</v>
      </c>
      <c r="F29210" s="2"/>
      <c r="G29210" s="2"/>
      <c r="H29210" s="2"/>
    </row>
    <row r="29211" spans="1:8" x14ac:dyDescent="0.25">
      <c r="A29211" s="1"/>
      <c r="B29211" s="1" t="s">
        <v>7328</v>
      </c>
      <c r="C29211" s="1" t="s">
        <v>7329</v>
      </c>
      <c r="D29211" s="22" t="str">
        <f>HYPERLINK("https://rhld.insurance.arkansas.gov/NPILookup?Npi=1891757761","1891757761")</f>
        <v>1891757761</v>
      </c>
      <c r="E29211" s="1" t="s">
        <v>29122</v>
      </c>
      <c r="F29211" s="2"/>
      <c r="G29211" s="2"/>
      <c r="H29211" s="2"/>
    </row>
    <row r="29212" spans="1:8" x14ac:dyDescent="0.25">
      <c r="A29212" s="1"/>
      <c r="B29212" s="1" t="s">
        <v>7328</v>
      </c>
      <c r="C29212" s="1" t="s">
        <v>7329</v>
      </c>
      <c r="D29212" s="22" t="str">
        <f>HYPERLINK("https://rhld.insurance.arkansas.gov/NPILookup?Npi=1891763165","1891763165")</f>
        <v>1891763165</v>
      </c>
      <c r="E29212" s="1" t="s">
        <v>29123</v>
      </c>
      <c r="F29212" s="2"/>
      <c r="G29212" s="2"/>
      <c r="H29212" s="2"/>
    </row>
    <row r="29213" spans="1:8" x14ac:dyDescent="0.25">
      <c r="A29213" s="1"/>
      <c r="B29213" s="1" t="s">
        <v>7328</v>
      </c>
      <c r="C29213" s="1" t="s">
        <v>7329</v>
      </c>
      <c r="D29213" s="22" t="str">
        <f>HYPERLINK("https://rhld.insurance.arkansas.gov/NPILookup?Npi=1891768040","1891768040")</f>
        <v>1891768040</v>
      </c>
      <c r="E29213" s="1" t="s">
        <v>29124</v>
      </c>
      <c r="F29213" s="2"/>
      <c r="G29213" s="2"/>
      <c r="H29213" s="2"/>
    </row>
    <row r="29214" spans="1:8" x14ac:dyDescent="0.25">
      <c r="A29214" s="1"/>
      <c r="B29214" s="1" t="s">
        <v>7328</v>
      </c>
      <c r="C29214" s="1" t="s">
        <v>7329</v>
      </c>
      <c r="D29214" s="22" t="str">
        <f>HYPERLINK("https://rhld.insurance.arkansas.gov/NPILookup?Npi=1891792883","1891792883")</f>
        <v>1891792883</v>
      </c>
      <c r="E29214" s="1" t="s">
        <v>13750</v>
      </c>
      <c r="F29214" s="2"/>
      <c r="G29214" s="2"/>
      <c r="H29214" s="2"/>
    </row>
    <row r="29215" spans="1:8" x14ac:dyDescent="0.25">
      <c r="A29215" s="1"/>
      <c r="B29215" s="1" t="s">
        <v>7328</v>
      </c>
      <c r="C29215" s="1" t="s">
        <v>7329</v>
      </c>
      <c r="D29215" s="22" t="str">
        <f>HYPERLINK("https://rhld.insurance.arkansas.gov/NPILookup?Npi=1891816153","1891816153")</f>
        <v>1891816153</v>
      </c>
      <c r="E29215" s="1" t="s">
        <v>13751</v>
      </c>
      <c r="F29215" s="2"/>
      <c r="G29215" s="2"/>
      <c r="H29215" s="2"/>
    </row>
    <row r="29216" spans="1:8" x14ac:dyDescent="0.25">
      <c r="A29216" s="1"/>
      <c r="B29216" s="1" t="s">
        <v>7328</v>
      </c>
      <c r="C29216" s="1" t="s">
        <v>7329</v>
      </c>
      <c r="D29216" s="22" t="str">
        <f>HYPERLINK("https://rhld.insurance.arkansas.gov/NPILookup?Npi=1891821153","1891821153")</f>
        <v>1891821153</v>
      </c>
      <c r="E29216" s="1" t="s">
        <v>32403</v>
      </c>
      <c r="F29216" s="2"/>
      <c r="G29216" s="2"/>
      <c r="H29216" s="2"/>
    </row>
    <row r="29217" spans="1:8" x14ac:dyDescent="0.25">
      <c r="A29217" s="1"/>
      <c r="B29217" s="1" t="s">
        <v>7328</v>
      </c>
      <c r="C29217" s="1" t="s">
        <v>7329</v>
      </c>
      <c r="D29217" s="22" t="str">
        <f>HYPERLINK("https://rhld.insurance.arkansas.gov/NPILookup?Npi=1891826269","1891826269")</f>
        <v>1891826269</v>
      </c>
      <c r="E29217" s="1" t="s">
        <v>17969</v>
      </c>
      <c r="F29217" s="2"/>
      <c r="G29217" s="2"/>
      <c r="H29217" s="2"/>
    </row>
    <row r="29218" spans="1:8" x14ac:dyDescent="0.25">
      <c r="A29218" s="1"/>
      <c r="B29218" s="1" t="s">
        <v>7328</v>
      </c>
      <c r="C29218" s="1" t="s">
        <v>7329</v>
      </c>
      <c r="D29218" s="22" t="str">
        <f>HYPERLINK("https://rhld.insurance.arkansas.gov/NPILookup?Npi=1891848560","1891848560")</f>
        <v>1891848560</v>
      </c>
      <c r="E29218" s="1" t="s">
        <v>29125</v>
      </c>
      <c r="F29218" s="2"/>
      <c r="G29218" s="2"/>
      <c r="H29218" s="2"/>
    </row>
    <row r="29219" spans="1:8" x14ac:dyDescent="0.25">
      <c r="A29219" s="1"/>
      <c r="B29219" s="1" t="s">
        <v>7328</v>
      </c>
      <c r="C29219" s="1" t="s">
        <v>7329</v>
      </c>
      <c r="D29219" s="22" t="str">
        <f>HYPERLINK("https://rhld.insurance.arkansas.gov/NPILookup?Npi=1891880555","1891880555")</f>
        <v>1891880555</v>
      </c>
      <c r="E29219" s="1" t="s">
        <v>17970</v>
      </c>
      <c r="F29219" s="2"/>
      <c r="G29219" s="2"/>
      <c r="H29219" s="2"/>
    </row>
    <row r="29220" spans="1:8" x14ac:dyDescent="0.25">
      <c r="A29220" s="1"/>
      <c r="B29220" s="1" t="s">
        <v>7328</v>
      </c>
      <c r="C29220" s="1" t="s">
        <v>7329</v>
      </c>
      <c r="D29220" s="22" t="str">
        <f>HYPERLINK("https://rhld.insurance.arkansas.gov/NPILookup?Npi=1891882940","1891882940")</f>
        <v>1891882940</v>
      </c>
      <c r="E29220" s="1" t="s">
        <v>29126</v>
      </c>
      <c r="F29220" s="2"/>
      <c r="G29220" s="2"/>
      <c r="H29220" s="2"/>
    </row>
    <row r="29221" spans="1:8" x14ac:dyDescent="0.25">
      <c r="A29221" s="1"/>
      <c r="B29221" s="1" t="s">
        <v>7328</v>
      </c>
      <c r="C29221" s="1" t="s">
        <v>7329</v>
      </c>
      <c r="D29221" s="22" t="str">
        <f>HYPERLINK("https://rhld.insurance.arkansas.gov/NPILookup?Npi=1891890406","1891890406")</f>
        <v>1891890406</v>
      </c>
      <c r="E29221" s="1" t="s">
        <v>2096</v>
      </c>
      <c r="F29221" s="2"/>
      <c r="G29221" s="2"/>
      <c r="H29221" s="2"/>
    </row>
    <row r="29222" spans="1:8" x14ac:dyDescent="0.25">
      <c r="A29222" s="1"/>
      <c r="B29222" s="1" t="s">
        <v>7328</v>
      </c>
      <c r="C29222" s="1" t="s">
        <v>7329</v>
      </c>
      <c r="D29222" s="22" t="str">
        <f>HYPERLINK("https://rhld.insurance.arkansas.gov/NPILookup?Npi=1891894630","1891894630")</f>
        <v>1891894630</v>
      </c>
      <c r="E29222" s="1" t="s">
        <v>163</v>
      </c>
      <c r="F29222" s="2"/>
      <c r="G29222" s="2"/>
      <c r="H29222" s="2"/>
    </row>
    <row r="29223" spans="1:8" x14ac:dyDescent="0.25">
      <c r="A29223" s="1"/>
      <c r="B29223" s="1" t="s">
        <v>7328</v>
      </c>
      <c r="C29223" s="1" t="s">
        <v>7329</v>
      </c>
      <c r="D29223" s="22" t="str">
        <f>HYPERLINK("https://rhld.insurance.arkansas.gov/NPILookup?Npi=1891919049","1891919049")</f>
        <v>1891919049</v>
      </c>
      <c r="E29223" s="1" t="s">
        <v>900</v>
      </c>
      <c r="F29223" s="2"/>
      <c r="G29223" s="2"/>
      <c r="H29223" s="2"/>
    </row>
    <row r="29224" spans="1:8" x14ac:dyDescent="0.25">
      <c r="A29224" s="1"/>
      <c r="B29224" s="1" t="s">
        <v>7328</v>
      </c>
      <c r="C29224" s="1" t="s">
        <v>7329</v>
      </c>
      <c r="D29224" s="22" t="str">
        <f>HYPERLINK("https://rhld.insurance.arkansas.gov/NPILookup?Npi=1891928313","1891928313")</f>
        <v>1891928313</v>
      </c>
      <c r="E29224" s="1" t="s">
        <v>162</v>
      </c>
      <c r="F29224" s="2"/>
      <c r="G29224" s="2"/>
      <c r="H29224" s="2"/>
    </row>
    <row r="29225" spans="1:8" x14ac:dyDescent="0.25">
      <c r="A29225" s="1"/>
      <c r="B29225" s="1" t="s">
        <v>7328</v>
      </c>
      <c r="C29225" s="1" t="s">
        <v>7329</v>
      </c>
      <c r="D29225" s="22" t="str">
        <f>HYPERLINK("https://rhld.insurance.arkansas.gov/NPILookup?Npi=1891936720","1891936720")</f>
        <v>1891936720</v>
      </c>
      <c r="E29225" s="1" t="s">
        <v>8176</v>
      </c>
      <c r="F29225" s="2"/>
      <c r="G29225" s="2"/>
      <c r="H29225" s="2"/>
    </row>
    <row r="29226" spans="1:8" x14ac:dyDescent="0.25">
      <c r="A29226" s="1"/>
      <c r="B29226" s="1" t="s">
        <v>7328</v>
      </c>
      <c r="C29226" s="1" t="s">
        <v>7329</v>
      </c>
      <c r="D29226" s="22" t="str">
        <f>HYPERLINK("https://rhld.insurance.arkansas.gov/NPILookup?Npi=1891944708","1891944708")</f>
        <v>1891944708</v>
      </c>
      <c r="E29226" s="1" t="s">
        <v>29127</v>
      </c>
      <c r="F29226" s="2"/>
      <c r="G29226" s="2"/>
      <c r="H29226" s="2"/>
    </row>
    <row r="29227" spans="1:8" x14ac:dyDescent="0.25">
      <c r="A29227" s="1"/>
      <c r="B29227" s="1" t="s">
        <v>7328</v>
      </c>
      <c r="C29227" s="1" t="s">
        <v>7329</v>
      </c>
      <c r="D29227" s="22" t="str">
        <f>HYPERLINK("https://rhld.insurance.arkansas.gov/NPILookup?Npi=1891955043","1891955043")</f>
        <v>1891955043</v>
      </c>
      <c r="E29227" s="1" t="s">
        <v>29128</v>
      </c>
      <c r="F29227" s="2"/>
      <c r="G29227" s="2"/>
      <c r="H29227" s="2"/>
    </row>
    <row r="29228" spans="1:8" x14ac:dyDescent="0.25">
      <c r="A29228" s="1"/>
      <c r="B29228" s="1" t="s">
        <v>7328</v>
      </c>
      <c r="C29228" s="1" t="s">
        <v>7329</v>
      </c>
      <c r="D29228" s="22" t="str">
        <f>HYPERLINK("https://rhld.insurance.arkansas.gov/NPILookup?Npi=1891960431","1891960431")</f>
        <v>1891960431</v>
      </c>
      <c r="E29228" s="1" t="s">
        <v>13752</v>
      </c>
      <c r="F29228" s="2"/>
      <c r="G29228" s="2"/>
      <c r="H29228" s="2"/>
    </row>
    <row r="29229" spans="1:8" x14ac:dyDescent="0.25">
      <c r="A29229" s="1"/>
      <c r="B29229" s="1" t="s">
        <v>7328</v>
      </c>
      <c r="C29229" s="1" t="s">
        <v>7329</v>
      </c>
      <c r="D29229" s="22" t="str">
        <f>HYPERLINK("https://rhld.insurance.arkansas.gov/NPILookup?Npi=1891967360","1891967360")</f>
        <v>1891967360</v>
      </c>
      <c r="E29229" s="1" t="s">
        <v>13753</v>
      </c>
      <c r="F29229" s="2"/>
      <c r="G29229" s="2"/>
      <c r="H29229" s="2"/>
    </row>
    <row r="29230" spans="1:8" x14ac:dyDescent="0.25">
      <c r="A29230" s="1"/>
      <c r="B29230" s="1" t="s">
        <v>7328</v>
      </c>
      <c r="C29230" s="1" t="s">
        <v>7329</v>
      </c>
      <c r="D29230" s="22" t="str">
        <f>HYPERLINK("https://rhld.insurance.arkansas.gov/NPILookup?Npi=1891968293","1891968293")</f>
        <v>1891968293</v>
      </c>
      <c r="E29230" s="1" t="s">
        <v>17972</v>
      </c>
      <c r="F29230" s="2"/>
      <c r="G29230" s="2"/>
      <c r="H29230" s="2"/>
    </row>
    <row r="29231" spans="1:8" x14ac:dyDescent="0.25">
      <c r="A29231" s="1"/>
      <c r="B29231" s="1" t="s">
        <v>7328</v>
      </c>
      <c r="C29231" s="1" t="s">
        <v>7329</v>
      </c>
      <c r="D29231" s="22" t="str">
        <f>HYPERLINK("https://rhld.insurance.arkansas.gov/NPILookup?Npi=1902016298","1902016298")</f>
        <v>1902016298</v>
      </c>
      <c r="E29231" s="1" t="s">
        <v>29129</v>
      </c>
      <c r="F29231" s="2"/>
      <c r="G29231" s="2"/>
      <c r="H29231" s="2"/>
    </row>
    <row r="29232" spans="1:8" x14ac:dyDescent="0.25">
      <c r="A29232" s="1"/>
      <c r="B29232" s="1" t="s">
        <v>7328</v>
      </c>
      <c r="C29232" s="1" t="s">
        <v>7329</v>
      </c>
      <c r="D29232" s="22" t="str">
        <f>HYPERLINK("https://rhld.insurance.arkansas.gov/NPILookup?Npi=1902037252","1902037252")</f>
        <v>1902037252</v>
      </c>
      <c r="E29232" s="1" t="s">
        <v>29130</v>
      </c>
      <c r="F29232" s="2"/>
      <c r="G29232" s="2"/>
      <c r="H29232" s="2"/>
    </row>
    <row r="29233" spans="1:8" x14ac:dyDescent="0.25">
      <c r="A29233" s="1"/>
      <c r="B29233" s="1" t="s">
        <v>7328</v>
      </c>
      <c r="C29233" s="1" t="s">
        <v>7329</v>
      </c>
      <c r="D29233" s="22" t="str">
        <f>HYPERLINK("https://rhld.insurance.arkansas.gov/NPILookup?Npi=1902038375","1902038375")</f>
        <v>1902038375</v>
      </c>
      <c r="E29233" s="1" t="s">
        <v>17974</v>
      </c>
      <c r="F29233" s="2"/>
      <c r="G29233" s="2"/>
      <c r="H29233" s="2"/>
    </row>
    <row r="29234" spans="1:8" x14ac:dyDescent="0.25">
      <c r="A29234" s="1"/>
      <c r="B29234" s="1" t="s">
        <v>7328</v>
      </c>
      <c r="C29234" s="1" t="s">
        <v>7329</v>
      </c>
      <c r="D29234" s="22" t="str">
        <f>HYPERLINK("https://rhld.insurance.arkansas.gov/NPILookup?Npi=1902038961","1902038961")</f>
        <v>1902038961</v>
      </c>
      <c r="E29234" s="1" t="s">
        <v>3080</v>
      </c>
      <c r="F29234" s="2"/>
      <c r="G29234" s="2"/>
      <c r="H29234" s="2"/>
    </row>
    <row r="29235" spans="1:8" x14ac:dyDescent="0.25">
      <c r="A29235" s="1"/>
      <c r="B29235" s="1" t="s">
        <v>7328</v>
      </c>
      <c r="C29235" s="1" t="s">
        <v>7329</v>
      </c>
      <c r="D29235" s="22" t="str">
        <f>HYPERLINK("https://rhld.insurance.arkansas.gov/NPILookup?Npi=1902053556","1902053556")</f>
        <v>1902053556</v>
      </c>
      <c r="E29235" s="1" t="s">
        <v>29131</v>
      </c>
      <c r="F29235" s="2"/>
      <c r="G29235" s="2"/>
      <c r="H29235" s="2"/>
    </row>
    <row r="29236" spans="1:8" x14ac:dyDescent="0.25">
      <c r="A29236" s="1"/>
      <c r="B29236" s="1" t="s">
        <v>7328</v>
      </c>
      <c r="C29236" s="1" t="s">
        <v>7329</v>
      </c>
      <c r="D29236" s="22" t="str">
        <f>HYPERLINK("https://rhld.insurance.arkansas.gov/NPILookup?Npi=1902062219","1902062219")</f>
        <v>1902062219</v>
      </c>
      <c r="E29236" s="1" t="s">
        <v>29132</v>
      </c>
      <c r="F29236" s="2"/>
      <c r="G29236" s="2"/>
      <c r="H29236" s="2"/>
    </row>
    <row r="29237" spans="1:8" x14ac:dyDescent="0.25">
      <c r="A29237" s="1"/>
      <c r="B29237" s="1" t="s">
        <v>7328</v>
      </c>
      <c r="C29237" s="1" t="s">
        <v>7329</v>
      </c>
      <c r="D29237" s="22" t="str">
        <f>HYPERLINK("https://rhld.insurance.arkansas.gov/NPILookup?Npi=1902064272","1902064272")</f>
        <v>1902064272</v>
      </c>
      <c r="E29237" s="1" t="s">
        <v>8177</v>
      </c>
      <c r="F29237" s="2"/>
      <c r="G29237" s="2"/>
      <c r="H29237" s="2"/>
    </row>
    <row r="29238" spans="1:8" x14ac:dyDescent="0.25">
      <c r="A29238" s="1"/>
      <c r="B29238" s="1" t="s">
        <v>7328</v>
      </c>
      <c r="C29238" s="1" t="s">
        <v>7329</v>
      </c>
      <c r="D29238" s="22" t="str">
        <f>HYPERLINK("https://rhld.insurance.arkansas.gov/NPILookup?Npi=1902072077","1902072077")</f>
        <v>1902072077</v>
      </c>
      <c r="E29238" s="1" t="s">
        <v>17976</v>
      </c>
      <c r="F29238" s="2"/>
      <c r="G29238" s="2"/>
      <c r="H29238" s="2"/>
    </row>
    <row r="29239" spans="1:8" x14ac:dyDescent="0.25">
      <c r="A29239" s="1"/>
      <c r="B29239" s="1" t="s">
        <v>7328</v>
      </c>
      <c r="C29239" s="1" t="s">
        <v>7329</v>
      </c>
      <c r="D29239" s="22" t="str">
        <f>HYPERLINK("https://rhld.insurance.arkansas.gov/NPILookup?Npi=1902096613","1902096613")</f>
        <v>1902096613</v>
      </c>
      <c r="E29239" s="1" t="s">
        <v>13754</v>
      </c>
      <c r="F29239" s="2"/>
      <c r="G29239" s="2"/>
      <c r="H29239" s="2"/>
    </row>
    <row r="29240" spans="1:8" x14ac:dyDescent="0.25">
      <c r="A29240" s="1"/>
      <c r="B29240" s="1" t="s">
        <v>7328</v>
      </c>
      <c r="C29240" s="1" t="s">
        <v>7329</v>
      </c>
      <c r="D29240" s="22" t="str">
        <f>HYPERLINK("https://rhld.insurance.arkansas.gov/NPILookup?Npi=1902144991","1902144991")</f>
        <v>1902144991</v>
      </c>
      <c r="E29240" s="1" t="s">
        <v>3070</v>
      </c>
      <c r="F29240" s="2"/>
      <c r="G29240" s="2"/>
      <c r="H29240" s="2"/>
    </row>
    <row r="29241" spans="1:8" x14ac:dyDescent="0.25">
      <c r="A29241" s="1"/>
      <c r="B29241" s="1" t="s">
        <v>7328</v>
      </c>
      <c r="C29241" s="1" t="s">
        <v>7329</v>
      </c>
      <c r="D29241" s="22" t="str">
        <f>HYPERLINK("https://rhld.insurance.arkansas.gov/NPILookup?Npi=1902157571","1902157571")</f>
        <v>1902157571</v>
      </c>
      <c r="E29241" s="1" t="s">
        <v>29133</v>
      </c>
      <c r="F29241" s="2"/>
      <c r="G29241" s="2"/>
      <c r="H29241" s="2"/>
    </row>
    <row r="29242" spans="1:8" x14ac:dyDescent="0.25">
      <c r="A29242" s="1"/>
      <c r="B29242" s="1" t="s">
        <v>7328</v>
      </c>
      <c r="C29242" s="1" t="s">
        <v>7329</v>
      </c>
      <c r="D29242" s="22" t="str">
        <f>HYPERLINK("https://rhld.insurance.arkansas.gov/NPILookup?Npi=1902186976","1902186976")</f>
        <v>1902186976</v>
      </c>
      <c r="E29242" s="1" t="s">
        <v>13755</v>
      </c>
      <c r="F29242" s="2"/>
      <c r="G29242" s="2"/>
      <c r="H29242" s="2"/>
    </row>
    <row r="29243" spans="1:8" x14ac:dyDescent="0.25">
      <c r="A29243" s="1"/>
      <c r="B29243" s="1" t="s">
        <v>7328</v>
      </c>
      <c r="C29243" s="1" t="s">
        <v>7329</v>
      </c>
      <c r="D29243" s="22" t="str">
        <f>HYPERLINK("https://rhld.insurance.arkansas.gov/NPILookup?Npi=1902193675","1902193675")</f>
        <v>1902193675</v>
      </c>
      <c r="E29243" s="1" t="s">
        <v>29134</v>
      </c>
      <c r="F29243" s="2"/>
      <c r="G29243" s="2"/>
      <c r="H29243" s="2"/>
    </row>
    <row r="29244" spans="1:8" x14ac:dyDescent="0.25">
      <c r="A29244" s="1"/>
      <c r="B29244" s="1" t="s">
        <v>7328</v>
      </c>
      <c r="C29244" s="1" t="s">
        <v>7329</v>
      </c>
      <c r="D29244" s="22" t="str">
        <f>HYPERLINK("https://rhld.insurance.arkansas.gov/NPILookup?Npi=1902196686","1902196686")</f>
        <v>1902196686</v>
      </c>
      <c r="E29244" s="1" t="s">
        <v>3071</v>
      </c>
      <c r="F29244" s="2"/>
      <c r="G29244" s="2"/>
      <c r="H29244" s="2"/>
    </row>
    <row r="29245" spans="1:8" x14ac:dyDescent="0.25">
      <c r="A29245" s="1"/>
      <c r="B29245" s="1" t="s">
        <v>7328</v>
      </c>
      <c r="C29245" s="1" t="s">
        <v>7329</v>
      </c>
      <c r="D29245" s="22" t="str">
        <f>HYPERLINK("https://rhld.insurance.arkansas.gov/NPILookup?Npi=1902205248","1902205248")</f>
        <v>1902205248</v>
      </c>
      <c r="E29245" s="1" t="s">
        <v>3072</v>
      </c>
      <c r="F29245" s="2"/>
      <c r="G29245" s="2"/>
      <c r="H29245" s="2"/>
    </row>
    <row r="29246" spans="1:8" x14ac:dyDescent="0.25">
      <c r="A29246" s="1"/>
      <c r="B29246" s="1" t="s">
        <v>7328</v>
      </c>
      <c r="C29246" s="1" t="s">
        <v>7329</v>
      </c>
      <c r="D29246" s="22" t="str">
        <f>HYPERLINK("https://rhld.insurance.arkansas.gov/NPILookup?Npi=1902210875","1902210875")</f>
        <v>1902210875</v>
      </c>
      <c r="E29246" s="1" t="s">
        <v>10587</v>
      </c>
      <c r="F29246" s="2"/>
      <c r="G29246" s="2"/>
      <c r="H29246" s="2"/>
    </row>
    <row r="29247" spans="1:8" x14ac:dyDescent="0.25">
      <c r="A29247" s="1"/>
      <c r="B29247" s="1" t="s">
        <v>7328</v>
      </c>
      <c r="C29247" s="1" t="s">
        <v>7329</v>
      </c>
      <c r="D29247" s="22" t="str">
        <f>HYPERLINK("https://rhld.insurance.arkansas.gov/NPILookup?Npi=1902220494","1902220494")</f>
        <v>1902220494</v>
      </c>
      <c r="E29247" s="1" t="s">
        <v>3073</v>
      </c>
      <c r="F29247" s="2"/>
      <c r="G29247" s="2"/>
      <c r="H29247" s="2"/>
    </row>
    <row r="29248" spans="1:8" x14ac:dyDescent="0.25">
      <c r="A29248" s="1"/>
      <c r="B29248" s="1" t="s">
        <v>7328</v>
      </c>
      <c r="C29248" s="1" t="s">
        <v>7329</v>
      </c>
      <c r="D29248" s="22" t="str">
        <f>HYPERLINK("https://rhld.insurance.arkansas.gov/NPILookup?Npi=1902245889","1902245889")</f>
        <v>1902245889</v>
      </c>
      <c r="E29248" s="1" t="s">
        <v>17979</v>
      </c>
      <c r="F29248" s="2"/>
      <c r="G29248" s="2"/>
      <c r="H29248" s="2"/>
    </row>
    <row r="29249" spans="1:8" x14ac:dyDescent="0.25">
      <c r="A29249" s="1"/>
      <c r="B29249" s="1" t="s">
        <v>7328</v>
      </c>
      <c r="C29249" s="1" t="s">
        <v>7329</v>
      </c>
      <c r="D29249" s="22" t="str">
        <f>HYPERLINK("https://rhld.insurance.arkansas.gov/NPILookup?Npi=1902246796","1902246796")</f>
        <v>1902246796</v>
      </c>
      <c r="E29249" s="1" t="s">
        <v>29135</v>
      </c>
      <c r="F29249" s="2"/>
      <c r="G29249" s="2"/>
      <c r="H29249" s="2"/>
    </row>
    <row r="29250" spans="1:8" x14ac:dyDescent="0.25">
      <c r="A29250" s="1"/>
      <c r="B29250" s="1" t="s">
        <v>7328</v>
      </c>
      <c r="C29250" s="1" t="s">
        <v>7329</v>
      </c>
      <c r="D29250" s="22" t="str">
        <f>HYPERLINK("https://rhld.insurance.arkansas.gov/NPILookup?Npi=1902249279","1902249279")</f>
        <v>1902249279</v>
      </c>
      <c r="E29250" s="1" t="s">
        <v>29136</v>
      </c>
      <c r="F29250" s="2"/>
      <c r="G29250" s="2"/>
      <c r="H29250" s="2"/>
    </row>
    <row r="29251" spans="1:8" x14ac:dyDescent="0.25">
      <c r="A29251" s="1"/>
      <c r="B29251" s="1" t="s">
        <v>7328</v>
      </c>
      <c r="C29251" s="1" t="s">
        <v>7329</v>
      </c>
      <c r="D29251" s="22" t="str">
        <f>HYPERLINK("https://rhld.insurance.arkansas.gov/NPILookup?Npi=1902249394","1902249394")</f>
        <v>1902249394</v>
      </c>
      <c r="E29251" s="1" t="s">
        <v>29137</v>
      </c>
      <c r="F29251" s="2"/>
      <c r="G29251" s="2"/>
      <c r="H29251" s="2"/>
    </row>
    <row r="29252" spans="1:8" x14ac:dyDescent="0.25">
      <c r="A29252" s="1"/>
      <c r="B29252" s="1" t="s">
        <v>7328</v>
      </c>
      <c r="C29252" s="1" t="s">
        <v>7329</v>
      </c>
      <c r="D29252" s="22" t="str">
        <f>HYPERLINK("https://rhld.insurance.arkansas.gov/NPILookup?Npi=1902257132","1902257132")</f>
        <v>1902257132</v>
      </c>
      <c r="E29252" s="1" t="s">
        <v>29138</v>
      </c>
      <c r="F29252" s="2"/>
      <c r="G29252" s="2"/>
      <c r="H29252" s="2"/>
    </row>
    <row r="29253" spans="1:8" x14ac:dyDescent="0.25">
      <c r="A29253" s="1"/>
      <c r="B29253" s="1" t="s">
        <v>7328</v>
      </c>
      <c r="C29253" s="1" t="s">
        <v>7329</v>
      </c>
      <c r="D29253" s="22" t="str">
        <f>HYPERLINK("https://rhld.insurance.arkansas.gov/NPILookup?Npi=1902263148","1902263148")</f>
        <v>1902263148</v>
      </c>
      <c r="E29253" s="1" t="s">
        <v>13756</v>
      </c>
      <c r="F29253" s="2"/>
      <c r="G29253" s="2"/>
      <c r="H29253" s="2"/>
    </row>
    <row r="29254" spans="1:8" x14ac:dyDescent="0.25">
      <c r="A29254" s="1"/>
      <c r="B29254" s="1" t="s">
        <v>7328</v>
      </c>
      <c r="C29254" s="1" t="s">
        <v>7329</v>
      </c>
      <c r="D29254" s="22" t="str">
        <f>HYPERLINK("https://rhld.insurance.arkansas.gov/NPILookup?Npi=1902292246","1902292246")</f>
        <v>1902292246</v>
      </c>
      <c r="E29254" s="1" t="s">
        <v>1121</v>
      </c>
      <c r="F29254" s="2"/>
      <c r="G29254" s="2"/>
      <c r="H29254" s="2"/>
    </row>
    <row r="29255" spans="1:8" x14ac:dyDescent="0.25">
      <c r="A29255" s="1"/>
      <c r="B29255" s="1" t="s">
        <v>7328</v>
      </c>
      <c r="C29255" s="1" t="s">
        <v>7329</v>
      </c>
      <c r="D29255" s="22" t="str">
        <f>HYPERLINK("https://rhld.insurance.arkansas.gov/NPILookup?Npi=1902295603","1902295603")</f>
        <v>1902295603</v>
      </c>
      <c r="E29255" s="1" t="s">
        <v>13757</v>
      </c>
      <c r="F29255" s="2"/>
      <c r="G29255" s="2"/>
      <c r="H29255" s="2"/>
    </row>
    <row r="29256" spans="1:8" x14ac:dyDescent="0.25">
      <c r="A29256" s="1"/>
      <c r="B29256" s="1" t="s">
        <v>7328</v>
      </c>
      <c r="C29256" s="1" t="s">
        <v>7329</v>
      </c>
      <c r="D29256" s="22" t="str">
        <f>HYPERLINK("https://rhld.insurance.arkansas.gov/NPILookup?Npi=1902297559","1902297559")</f>
        <v>1902297559</v>
      </c>
      <c r="E29256" s="1" t="s">
        <v>13758</v>
      </c>
      <c r="F29256" s="2"/>
      <c r="G29256" s="2"/>
      <c r="H29256" s="2"/>
    </row>
    <row r="29257" spans="1:8" x14ac:dyDescent="0.25">
      <c r="A29257" s="1"/>
      <c r="B29257" s="1" t="s">
        <v>7328</v>
      </c>
      <c r="C29257" s="1" t="s">
        <v>7329</v>
      </c>
      <c r="D29257" s="22" t="str">
        <f>HYPERLINK("https://rhld.insurance.arkansas.gov/NPILookup?Npi=1902300668","1902300668")</f>
        <v>1902300668</v>
      </c>
      <c r="E29257" s="1" t="s">
        <v>13759</v>
      </c>
      <c r="F29257" s="2"/>
      <c r="G29257" s="2"/>
      <c r="H29257" s="2"/>
    </row>
    <row r="29258" spans="1:8" x14ac:dyDescent="0.25">
      <c r="A29258" s="1"/>
      <c r="B29258" s="1" t="s">
        <v>7328</v>
      </c>
      <c r="C29258" s="1" t="s">
        <v>7329</v>
      </c>
      <c r="D29258" s="22" t="str">
        <f>HYPERLINK("https://rhld.insurance.arkansas.gov/NPILookup?Npi=1902301963","1902301963")</f>
        <v>1902301963</v>
      </c>
      <c r="E29258" s="1" t="s">
        <v>8178</v>
      </c>
      <c r="F29258" s="2"/>
      <c r="G29258" s="2"/>
      <c r="H29258" s="2"/>
    </row>
    <row r="29259" spans="1:8" x14ac:dyDescent="0.25">
      <c r="A29259" s="1"/>
      <c r="B29259" s="1" t="s">
        <v>7328</v>
      </c>
      <c r="C29259" s="1" t="s">
        <v>7329</v>
      </c>
      <c r="D29259" s="22" t="str">
        <f>HYPERLINK("https://rhld.insurance.arkansas.gov/NPILookup?Npi=1902311384","1902311384")</f>
        <v>1902311384</v>
      </c>
      <c r="E29259" s="1" t="s">
        <v>3165</v>
      </c>
      <c r="F29259" s="2"/>
      <c r="G29259" s="2"/>
      <c r="H29259" s="2"/>
    </row>
    <row r="29260" spans="1:8" x14ac:dyDescent="0.25">
      <c r="A29260" s="1"/>
      <c r="B29260" s="1" t="s">
        <v>7328</v>
      </c>
      <c r="C29260" s="1" t="s">
        <v>7329</v>
      </c>
      <c r="D29260" s="22" t="str">
        <f>HYPERLINK("https://rhld.insurance.arkansas.gov/NPILookup?Npi=1902323611","1902323611")</f>
        <v>1902323611</v>
      </c>
      <c r="E29260" s="1" t="s">
        <v>29139</v>
      </c>
      <c r="F29260" s="2"/>
      <c r="G29260" s="2"/>
      <c r="H29260" s="2"/>
    </row>
    <row r="29261" spans="1:8" x14ac:dyDescent="0.25">
      <c r="A29261" s="1"/>
      <c r="B29261" s="1" t="s">
        <v>7328</v>
      </c>
      <c r="C29261" s="1" t="s">
        <v>7329</v>
      </c>
      <c r="D29261" s="22" t="str">
        <f>HYPERLINK("https://rhld.insurance.arkansas.gov/NPILookup?Npi=1902328552","1902328552")</f>
        <v>1902328552</v>
      </c>
      <c r="E29261" s="1" t="s">
        <v>13760</v>
      </c>
      <c r="F29261" s="2"/>
      <c r="G29261" s="2"/>
      <c r="H29261" s="2"/>
    </row>
    <row r="29262" spans="1:8" x14ac:dyDescent="0.25">
      <c r="A29262" s="1"/>
      <c r="B29262" s="1" t="s">
        <v>7328</v>
      </c>
      <c r="C29262" s="1" t="s">
        <v>7329</v>
      </c>
      <c r="D29262" s="22" t="str">
        <f>HYPERLINK("https://rhld.insurance.arkansas.gov/NPILookup?Npi=1902337280","1902337280")</f>
        <v>1902337280</v>
      </c>
      <c r="E29262" s="1" t="s">
        <v>29140</v>
      </c>
      <c r="F29262" s="2"/>
      <c r="G29262" s="2"/>
      <c r="H29262" s="2"/>
    </row>
    <row r="29263" spans="1:8" x14ac:dyDescent="0.25">
      <c r="A29263" s="1"/>
      <c r="B29263" s="1" t="s">
        <v>7328</v>
      </c>
      <c r="C29263" s="1" t="s">
        <v>7329</v>
      </c>
      <c r="D29263" s="22" t="str">
        <f>HYPERLINK("https://rhld.insurance.arkansas.gov/NPILookup?Npi=1902339088","1902339088")</f>
        <v>1902339088</v>
      </c>
      <c r="E29263" s="1" t="s">
        <v>29141</v>
      </c>
      <c r="F29263" s="2"/>
      <c r="G29263" s="2"/>
      <c r="H29263" s="2"/>
    </row>
    <row r="29264" spans="1:8" x14ac:dyDescent="0.25">
      <c r="A29264" s="1"/>
      <c r="B29264" s="1" t="s">
        <v>7328</v>
      </c>
      <c r="C29264" s="1" t="s">
        <v>7329</v>
      </c>
      <c r="D29264" s="22" t="str">
        <f>HYPERLINK("https://rhld.insurance.arkansas.gov/NPILookup?Npi=1902343932","1902343932")</f>
        <v>1902343932</v>
      </c>
      <c r="E29264" s="1" t="s">
        <v>902</v>
      </c>
      <c r="F29264" s="2"/>
      <c r="G29264" s="2"/>
      <c r="H29264" s="2"/>
    </row>
    <row r="29265" spans="1:8" x14ac:dyDescent="0.25">
      <c r="A29265" s="1"/>
      <c r="B29265" s="1" t="s">
        <v>7328</v>
      </c>
      <c r="C29265" s="1" t="s">
        <v>7329</v>
      </c>
      <c r="D29265" s="22" t="str">
        <f>HYPERLINK("https://rhld.insurance.arkansas.gov/NPILookup?Npi=1902353006","1902353006")</f>
        <v>1902353006</v>
      </c>
      <c r="E29265" s="1" t="s">
        <v>29142</v>
      </c>
      <c r="F29265" s="2"/>
      <c r="G29265" s="2"/>
      <c r="H29265" s="2"/>
    </row>
    <row r="29266" spans="1:8" x14ac:dyDescent="0.25">
      <c r="A29266" s="1"/>
      <c r="B29266" s="1" t="s">
        <v>7328</v>
      </c>
      <c r="C29266" s="1" t="s">
        <v>7329</v>
      </c>
      <c r="D29266" s="22" t="str">
        <f>HYPERLINK("https://rhld.insurance.arkansas.gov/NPILookup?Npi=1902364011","1902364011")</f>
        <v>1902364011</v>
      </c>
      <c r="E29266" s="1" t="s">
        <v>1823</v>
      </c>
      <c r="F29266" s="2"/>
      <c r="G29266" s="2"/>
      <c r="H29266" s="2"/>
    </row>
    <row r="29267" spans="1:8" x14ac:dyDescent="0.25">
      <c r="A29267" s="1"/>
      <c r="B29267" s="1" t="s">
        <v>7328</v>
      </c>
      <c r="C29267" s="1" t="s">
        <v>7329</v>
      </c>
      <c r="D29267" s="22" t="str">
        <f>HYPERLINK("https://rhld.insurance.arkansas.gov/NPILookup?Npi=1902378334","1902378334")</f>
        <v>1902378334</v>
      </c>
      <c r="E29267" s="1" t="s">
        <v>13761</v>
      </c>
      <c r="F29267" s="2"/>
      <c r="G29267" s="2"/>
      <c r="H29267" s="2"/>
    </row>
    <row r="29268" spans="1:8" x14ac:dyDescent="0.25">
      <c r="A29268" s="1"/>
      <c r="B29268" s="1" t="s">
        <v>7328</v>
      </c>
      <c r="C29268" s="1" t="s">
        <v>7329</v>
      </c>
      <c r="D29268" s="22" t="str">
        <f>HYPERLINK("https://rhld.insurance.arkansas.gov/NPILookup?Npi=1902382799","1902382799")</f>
        <v>1902382799</v>
      </c>
      <c r="E29268" s="1" t="s">
        <v>13762</v>
      </c>
      <c r="F29268" s="2"/>
      <c r="G29268" s="2"/>
      <c r="H29268" s="2"/>
    </row>
    <row r="29269" spans="1:8" x14ac:dyDescent="0.25">
      <c r="A29269" s="1"/>
      <c r="B29269" s="1" t="s">
        <v>7328</v>
      </c>
      <c r="C29269" s="1" t="s">
        <v>7329</v>
      </c>
      <c r="D29269" s="22" t="str">
        <f>HYPERLINK("https://rhld.insurance.arkansas.gov/NPILookup?Npi=1902421175","1902421175")</f>
        <v>1902421175</v>
      </c>
      <c r="E29269" s="1" t="s">
        <v>29143</v>
      </c>
      <c r="F29269" s="2"/>
      <c r="G29269" s="2"/>
      <c r="H29269" s="2"/>
    </row>
    <row r="29270" spans="1:8" x14ac:dyDescent="0.25">
      <c r="A29270" s="1"/>
      <c r="B29270" s="1" t="s">
        <v>7328</v>
      </c>
      <c r="C29270" s="1" t="s">
        <v>7329</v>
      </c>
      <c r="D29270" s="22" t="str">
        <f>HYPERLINK("https://rhld.insurance.arkansas.gov/NPILookup?Npi=1902427925","1902427925")</f>
        <v>1902427925</v>
      </c>
      <c r="E29270" s="1" t="s">
        <v>29144</v>
      </c>
      <c r="F29270" s="2"/>
      <c r="G29270" s="2"/>
      <c r="H29270" s="2"/>
    </row>
    <row r="29271" spans="1:8" x14ac:dyDescent="0.25">
      <c r="A29271" s="1"/>
      <c r="B29271" s="1" t="s">
        <v>7328</v>
      </c>
      <c r="C29271" s="1" t="s">
        <v>7329</v>
      </c>
      <c r="D29271" s="22" t="str">
        <f>HYPERLINK("https://rhld.insurance.arkansas.gov/NPILookup?Npi=1902433006","1902433006")</f>
        <v>1902433006</v>
      </c>
      <c r="E29271" s="1" t="s">
        <v>5117</v>
      </c>
      <c r="F29271" s="2"/>
      <c r="G29271" s="2"/>
      <c r="H29271" s="2"/>
    </row>
    <row r="29272" spans="1:8" x14ac:dyDescent="0.25">
      <c r="A29272" s="1"/>
      <c r="B29272" s="1" t="s">
        <v>7328</v>
      </c>
      <c r="C29272" s="1" t="s">
        <v>7329</v>
      </c>
      <c r="D29272" s="22" t="str">
        <f>HYPERLINK("https://rhld.insurance.arkansas.gov/NPILookup?Npi=1902434095","1902434095")</f>
        <v>1902434095</v>
      </c>
      <c r="E29272" s="1" t="s">
        <v>29145</v>
      </c>
      <c r="F29272" s="2"/>
      <c r="G29272" s="2"/>
      <c r="H29272" s="2"/>
    </row>
    <row r="29273" spans="1:8" x14ac:dyDescent="0.25">
      <c r="A29273" s="1"/>
      <c r="B29273" s="1" t="s">
        <v>7328</v>
      </c>
      <c r="C29273" s="1" t="s">
        <v>7329</v>
      </c>
      <c r="D29273" s="22" t="str">
        <f>HYPERLINK("https://rhld.insurance.arkansas.gov/NPILookup?Npi=1902458698","1902458698")</f>
        <v>1902458698</v>
      </c>
      <c r="E29273" s="1" t="s">
        <v>13763</v>
      </c>
      <c r="F29273" s="2"/>
      <c r="G29273" s="2"/>
      <c r="H29273" s="2"/>
    </row>
    <row r="29274" spans="1:8" x14ac:dyDescent="0.25">
      <c r="A29274" s="1"/>
      <c r="B29274" s="1" t="s">
        <v>7328</v>
      </c>
      <c r="C29274" s="1" t="s">
        <v>7329</v>
      </c>
      <c r="D29274" s="22" t="str">
        <f>HYPERLINK("https://rhld.insurance.arkansas.gov/NPILookup?Npi=1902459555","1902459555")</f>
        <v>1902459555</v>
      </c>
      <c r="E29274" s="1" t="s">
        <v>29146</v>
      </c>
      <c r="F29274" s="2"/>
      <c r="G29274" s="2"/>
      <c r="H29274" s="2"/>
    </row>
    <row r="29275" spans="1:8" x14ac:dyDescent="0.25">
      <c r="A29275" s="1"/>
      <c r="B29275" s="1" t="s">
        <v>7328</v>
      </c>
      <c r="C29275" s="1" t="s">
        <v>7329</v>
      </c>
      <c r="D29275" s="22" t="str">
        <f>HYPERLINK("https://rhld.insurance.arkansas.gov/NPILookup?Npi=1902464639","1902464639")</f>
        <v>1902464639</v>
      </c>
      <c r="E29275" s="1" t="s">
        <v>29147</v>
      </c>
      <c r="F29275" s="2"/>
      <c r="G29275" s="2"/>
      <c r="H29275" s="2"/>
    </row>
    <row r="29276" spans="1:8" x14ac:dyDescent="0.25">
      <c r="A29276" s="1"/>
      <c r="B29276" s="1" t="s">
        <v>7328</v>
      </c>
      <c r="C29276" s="1" t="s">
        <v>7329</v>
      </c>
      <c r="D29276" s="22" t="str">
        <f>HYPERLINK("https://rhld.insurance.arkansas.gov/NPILookup?Npi=1902475635","1902475635")</f>
        <v>1902475635</v>
      </c>
      <c r="E29276" s="1" t="s">
        <v>3074</v>
      </c>
      <c r="F29276" s="2"/>
      <c r="G29276" s="2"/>
      <c r="H29276" s="2"/>
    </row>
    <row r="29277" spans="1:8" x14ac:dyDescent="0.25">
      <c r="A29277" s="1"/>
      <c r="B29277" s="1" t="s">
        <v>7328</v>
      </c>
      <c r="C29277" s="1" t="s">
        <v>7329</v>
      </c>
      <c r="D29277" s="22" t="str">
        <f>HYPERLINK("https://rhld.insurance.arkansas.gov/NPILookup?Npi=1902483969","1902483969")</f>
        <v>1902483969</v>
      </c>
      <c r="E29277" s="1" t="s">
        <v>29148</v>
      </c>
      <c r="F29277" s="2"/>
      <c r="G29277" s="2"/>
      <c r="H29277" s="2"/>
    </row>
    <row r="29278" spans="1:8" x14ac:dyDescent="0.25">
      <c r="A29278" s="1"/>
      <c r="B29278" s="1" t="s">
        <v>7328</v>
      </c>
      <c r="C29278" s="1" t="s">
        <v>7329</v>
      </c>
      <c r="D29278" s="22" t="str">
        <f>HYPERLINK("https://rhld.insurance.arkansas.gov/NPILookup?Npi=1902487192","1902487192")</f>
        <v>1902487192</v>
      </c>
      <c r="E29278" s="1" t="s">
        <v>29149</v>
      </c>
      <c r="F29278" s="2"/>
      <c r="G29278" s="2"/>
      <c r="H29278" s="2"/>
    </row>
    <row r="29279" spans="1:8" x14ac:dyDescent="0.25">
      <c r="A29279" s="1"/>
      <c r="B29279" s="1" t="s">
        <v>7328</v>
      </c>
      <c r="C29279" s="1" t="s">
        <v>7329</v>
      </c>
      <c r="D29279" s="22" t="str">
        <f>HYPERLINK("https://rhld.insurance.arkansas.gov/NPILookup?Npi=1902488380","1902488380")</f>
        <v>1902488380</v>
      </c>
      <c r="E29279" s="1" t="s">
        <v>29150</v>
      </c>
      <c r="F29279" s="2"/>
      <c r="G29279" s="2"/>
      <c r="H29279" s="2"/>
    </row>
    <row r="29280" spans="1:8" x14ac:dyDescent="0.25">
      <c r="A29280" s="1"/>
      <c r="B29280" s="1" t="s">
        <v>7328</v>
      </c>
      <c r="C29280" s="1" t="s">
        <v>7329</v>
      </c>
      <c r="D29280" s="22" t="str">
        <f>HYPERLINK("https://rhld.insurance.arkansas.gov/NPILookup?Npi=1902507494","1902507494")</f>
        <v>1902507494</v>
      </c>
      <c r="E29280" s="1" t="s">
        <v>29151</v>
      </c>
      <c r="F29280" s="2"/>
      <c r="G29280" s="2"/>
      <c r="H29280" s="2"/>
    </row>
    <row r="29281" spans="1:8" x14ac:dyDescent="0.25">
      <c r="A29281" s="1"/>
      <c r="B29281" s="1" t="s">
        <v>7328</v>
      </c>
      <c r="C29281" s="1" t="s">
        <v>7329</v>
      </c>
      <c r="D29281" s="22" t="str">
        <f>HYPERLINK("https://rhld.insurance.arkansas.gov/NPILookup?Npi=1902537764","1902537764")</f>
        <v>1902537764</v>
      </c>
      <c r="E29281" s="1" t="s">
        <v>13764</v>
      </c>
      <c r="F29281" s="2"/>
      <c r="G29281" s="2"/>
      <c r="H29281" s="2"/>
    </row>
    <row r="29282" spans="1:8" x14ac:dyDescent="0.25">
      <c r="A29282" s="1"/>
      <c r="B29282" s="1" t="s">
        <v>7328</v>
      </c>
      <c r="C29282" s="1" t="s">
        <v>7329</v>
      </c>
      <c r="D29282" s="22" t="str">
        <f>HYPERLINK("https://rhld.insurance.arkansas.gov/NPILookup?Npi=1902542848","1902542848")</f>
        <v>1902542848</v>
      </c>
      <c r="E29282" s="1" t="s">
        <v>29152</v>
      </c>
      <c r="F29282" s="2"/>
      <c r="G29282" s="2"/>
      <c r="H29282" s="2"/>
    </row>
    <row r="29283" spans="1:8" x14ac:dyDescent="0.25">
      <c r="A29283" s="1"/>
      <c r="B29283" s="1" t="s">
        <v>7328</v>
      </c>
      <c r="C29283" s="1" t="s">
        <v>7329</v>
      </c>
      <c r="D29283" s="22" t="str">
        <f>HYPERLINK("https://rhld.insurance.arkansas.gov/NPILookup?Npi=1902552953","1902552953")</f>
        <v>1902552953</v>
      </c>
      <c r="E29283" s="1" t="s">
        <v>29153</v>
      </c>
      <c r="F29283" s="2"/>
      <c r="G29283" s="2"/>
      <c r="H29283" s="2"/>
    </row>
    <row r="29284" spans="1:8" x14ac:dyDescent="0.25">
      <c r="A29284" s="1"/>
      <c r="B29284" s="1" t="s">
        <v>7328</v>
      </c>
      <c r="C29284" s="1" t="s">
        <v>7329</v>
      </c>
      <c r="D29284" s="22" t="str">
        <f>HYPERLINK("https://rhld.insurance.arkansas.gov/NPILookup?Npi=1902560139","1902560139")</f>
        <v>1902560139</v>
      </c>
      <c r="E29284" s="1" t="s">
        <v>13765</v>
      </c>
      <c r="F29284" s="2"/>
      <c r="G29284" s="2"/>
      <c r="H29284" s="2"/>
    </row>
    <row r="29285" spans="1:8" x14ac:dyDescent="0.25">
      <c r="A29285" s="1"/>
      <c r="B29285" s="1" t="s">
        <v>7328</v>
      </c>
      <c r="C29285" s="1" t="s">
        <v>7329</v>
      </c>
      <c r="D29285" s="22" t="str">
        <f>HYPERLINK("https://rhld.insurance.arkansas.gov/NPILookup?Npi=1902572951","1902572951")</f>
        <v>1902572951</v>
      </c>
      <c r="E29285" s="1" t="s">
        <v>8179</v>
      </c>
      <c r="F29285" s="2"/>
      <c r="G29285" s="2"/>
      <c r="H29285" s="2"/>
    </row>
    <row r="29286" spans="1:8" x14ac:dyDescent="0.25">
      <c r="A29286" s="1"/>
      <c r="B29286" s="1" t="s">
        <v>7328</v>
      </c>
      <c r="C29286" s="1" t="s">
        <v>7329</v>
      </c>
      <c r="D29286" s="22" t="str">
        <f>HYPERLINK("https://rhld.insurance.arkansas.gov/NPILookup?Npi=1902578669","1902578669")</f>
        <v>1902578669</v>
      </c>
      <c r="E29286" s="1" t="s">
        <v>29154</v>
      </c>
      <c r="F29286" s="2"/>
      <c r="G29286" s="2"/>
      <c r="H29286" s="2"/>
    </row>
    <row r="29287" spans="1:8" x14ac:dyDescent="0.25">
      <c r="A29287" s="1"/>
      <c r="B29287" s="1" t="s">
        <v>7328</v>
      </c>
      <c r="C29287" s="1" t="s">
        <v>7329</v>
      </c>
      <c r="D29287" s="22" t="str">
        <f>HYPERLINK("https://rhld.insurance.arkansas.gov/NPILookup?Npi=1902611718","1902611718")</f>
        <v>1902611718</v>
      </c>
      <c r="E29287" s="1" t="s">
        <v>32404</v>
      </c>
      <c r="F29287" s="2"/>
      <c r="G29287" s="2"/>
      <c r="H29287" s="2"/>
    </row>
    <row r="29288" spans="1:8" x14ac:dyDescent="0.25">
      <c r="A29288" s="1"/>
      <c r="B29288" s="1" t="s">
        <v>7328</v>
      </c>
      <c r="C29288" s="1" t="s">
        <v>7329</v>
      </c>
      <c r="D29288" s="22" t="str">
        <f>HYPERLINK("https://rhld.insurance.arkansas.gov/NPILookup?Npi=1902624299","1902624299")</f>
        <v>1902624299</v>
      </c>
      <c r="E29288" s="1" t="s">
        <v>32405</v>
      </c>
      <c r="F29288" s="2"/>
      <c r="G29288" s="2"/>
      <c r="H29288" s="2"/>
    </row>
    <row r="29289" spans="1:8" x14ac:dyDescent="0.25">
      <c r="A29289" s="1"/>
      <c r="B29289" s="1" t="s">
        <v>7328</v>
      </c>
      <c r="C29289" s="1" t="s">
        <v>7329</v>
      </c>
      <c r="D29289" s="22" t="str">
        <f>HYPERLINK("https://rhld.insurance.arkansas.gov/NPILookup?Npi=1902660756","1902660756")</f>
        <v>1902660756</v>
      </c>
      <c r="E29289" s="1" t="s">
        <v>23738</v>
      </c>
      <c r="F29289" s="2"/>
      <c r="G29289" s="2"/>
      <c r="H29289" s="2"/>
    </row>
    <row r="29290" spans="1:8" x14ac:dyDescent="0.25">
      <c r="A29290" s="1"/>
      <c r="B29290" s="1" t="s">
        <v>7328</v>
      </c>
      <c r="C29290" s="1" t="s">
        <v>7329</v>
      </c>
      <c r="D29290" s="22" t="str">
        <f>HYPERLINK("https://rhld.insurance.arkansas.gov/NPILookup?Npi=1902661598","1902661598")</f>
        <v>1902661598</v>
      </c>
      <c r="E29290" s="1" t="s">
        <v>29155</v>
      </c>
      <c r="F29290" s="2"/>
      <c r="G29290" s="2"/>
      <c r="H29290" s="2"/>
    </row>
    <row r="29291" spans="1:8" x14ac:dyDescent="0.25">
      <c r="A29291" s="1"/>
      <c r="B29291" s="1" t="s">
        <v>7328</v>
      </c>
      <c r="C29291" s="1" t="s">
        <v>7329</v>
      </c>
      <c r="D29291" s="22" t="str">
        <f>HYPERLINK("https://rhld.insurance.arkansas.gov/NPILookup?Npi=1902671381","1902671381")</f>
        <v>1902671381</v>
      </c>
      <c r="E29291" s="1" t="s">
        <v>23740</v>
      </c>
      <c r="F29291" s="2"/>
      <c r="G29291" s="2"/>
      <c r="H29291" s="2"/>
    </row>
    <row r="29292" spans="1:8" x14ac:dyDescent="0.25">
      <c r="A29292" s="1"/>
      <c r="B29292" s="1" t="s">
        <v>7328</v>
      </c>
      <c r="C29292" s="1" t="s">
        <v>7329</v>
      </c>
      <c r="D29292" s="22" t="str">
        <f>HYPERLINK("https://rhld.insurance.arkansas.gov/NPILookup?Npi=1902682552","1902682552")</f>
        <v>1902682552</v>
      </c>
      <c r="E29292" s="1" t="s">
        <v>4055</v>
      </c>
      <c r="F29292" s="2"/>
      <c r="G29292" s="2"/>
      <c r="H29292" s="2"/>
    </row>
    <row r="29293" spans="1:8" x14ac:dyDescent="0.25">
      <c r="A29293" s="1"/>
      <c r="B29293" s="1" t="s">
        <v>7328</v>
      </c>
      <c r="C29293" s="1" t="s">
        <v>7329</v>
      </c>
      <c r="D29293" s="22" t="str">
        <f>HYPERLINK("https://rhld.insurance.arkansas.gov/NPILookup?Npi=1902815558","1902815558")</f>
        <v>1902815558</v>
      </c>
      <c r="E29293" s="1" t="s">
        <v>3075</v>
      </c>
      <c r="F29293" s="2"/>
      <c r="G29293" s="2"/>
      <c r="H29293" s="2"/>
    </row>
    <row r="29294" spans="1:8" x14ac:dyDescent="0.25">
      <c r="A29294" s="1"/>
      <c r="B29294" s="1" t="s">
        <v>7328</v>
      </c>
      <c r="C29294" s="1" t="s">
        <v>7329</v>
      </c>
      <c r="D29294" s="22" t="str">
        <f>HYPERLINK("https://rhld.insurance.arkansas.gov/NPILookup?Npi=1902824162","1902824162")</f>
        <v>1902824162</v>
      </c>
      <c r="E29294" s="1" t="s">
        <v>29156</v>
      </c>
      <c r="F29294" s="2"/>
      <c r="G29294" s="2"/>
      <c r="H29294" s="2"/>
    </row>
    <row r="29295" spans="1:8" x14ac:dyDescent="0.25">
      <c r="A29295" s="1"/>
      <c r="B29295" s="1" t="s">
        <v>7328</v>
      </c>
      <c r="C29295" s="1" t="s">
        <v>7329</v>
      </c>
      <c r="D29295" s="22" t="str">
        <f>HYPERLINK("https://rhld.insurance.arkansas.gov/NPILookup?Npi=1902824170","1902824170")</f>
        <v>1902824170</v>
      </c>
      <c r="E29295" s="1" t="s">
        <v>13766</v>
      </c>
      <c r="F29295" s="2"/>
      <c r="G29295" s="2"/>
      <c r="H29295" s="2"/>
    </row>
    <row r="29296" spans="1:8" x14ac:dyDescent="0.25">
      <c r="A29296" s="1"/>
      <c r="B29296" s="1" t="s">
        <v>7328</v>
      </c>
      <c r="C29296" s="1" t="s">
        <v>7329</v>
      </c>
      <c r="D29296" s="22" t="str">
        <f>HYPERLINK("https://rhld.insurance.arkansas.gov/NPILookup?Npi=1902867070","1902867070")</f>
        <v>1902867070</v>
      </c>
      <c r="E29296" s="1" t="s">
        <v>29157</v>
      </c>
      <c r="F29296" s="2"/>
      <c r="G29296" s="2"/>
      <c r="H29296" s="2"/>
    </row>
    <row r="29297" spans="1:8" x14ac:dyDescent="0.25">
      <c r="A29297" s="1"/>
      <c r="B29297" s="1" t="s">
        <v>7328</v>
      </c>
      <c r="C29297" s="1" t="s">
        <v>7329</v>
      </c>
      <c r="D29297" s="22" t="str">
        <f>HYPERLINK("https://rhld.insurance.arkansas.gov/NPILookup?Npi=1902873045","1902873045")</f>
        <v>1902873045</v>
      </c>
      <c r="E29297" s="1" t="s">
        <v>13767</v>
      </c>
      <c r="F29297" s="2"/>
      <c r="G29297" s="2"/>
      <c r="H29297" s="2"/>
    </row>
    <row r="29298" spans="1:8" x14ac:dyDescent="0.25">
      <c r="A29298" s="1"/>
      <c r="B29298" s="1" t="s">
        <v>7328</v>
      </c>
      <c r="C29298" s="1" t="s">
        <v>7329</v>
      </c>
      <c r="D29298" s="22" t="str">
        <f>HYPERLINK("https://rhld.insurance.arkansas.gov/NPILookup?Npi=1902884372","1902884372")</f>
        <v>1902884372</v>
      </c>
      <c r="E29298" s="1" t="s">
        <v>216</v>
      </c>
      <c r="F29298" s="2"/>
      <c r="G29298" s="2"/>
      <c r="H29298" s="2"/>
    </row>
    <row r="29299" spans="1:8" x14ac:dyDescent="0.25">
      <c r="A29299" s="1"/>
      <c r="B29299" s="1" t="s">
        <v>7328</v>
      </c>
      <c r="C29299" s="1" t="s">
        <v>7329</v>
      </c>
      <c r="D29299" s="22" t="str">
        <f>HYPERLINK("https://rhld.insurance.arkansas.gov/NPILookup?Npi=1902885015","1902885015")</f>
        <v>1902885015</v>
      </c>
      <c r="E29299" s="1" t="s">
        <v>29158</v>
      </c>
      <c r="F29299" s="2"/>
      <c r="G29299" s="2"/>
      <c r="H29299" s="2"/>
    </row>
    <row r="29300" spans="1:8" x14ac:dyDescent="0.25">
      <c r="A29300" s="1"/>
      <c r="B29300" s="1" t="s">
        <v>7328</v>
      </c>
      <c r="C29300" s="1" t="s">
        <v>7329</v>
      </c>
      <c r="D29300" s="22" t="str">
        <f>HYPERLINK("https://rhld.insurance.arkansas.gov/NPILookup?Npi=1902888720","1902888720")</f>
        <v>1902888720</v>
      </c>
      <c r="E29300" s="1" t="s">
        <v>29159</v>
      </c>
      <c r="F29300" s="2"/>
      <c r="G29300" s="2"/>
      <c r="H29300" s="2"/>
    </row>
    <row r="29301" spans="1:8" x14ac:dyDescent="0.25">
      <c r="A29301" s="1"/>
      <c r="B29301" s="1" t="s">
        <v>7328</v>
      </c>
      <c r="C29301" s="1" t="s">
        <v>7329</v>
      </c>
      <c r="D29301" s="22" t="str">
        <f>HYPERLINK("https://rhld.insurance.arkansas.gov/NPILookup?Npi=1902903636","1902903636")</f>
        <v>1902903636</v>
      </c>
      <c r="E29301" s="1" t="s">
        <v>29160</v>
      </c>
      <c r="F29301" s="2"/>
      <c r="G29301" s="2"/>
      <c r="H29301" s="2"/>
    </row>
    <row r="29302" spans="1:8" x14ac:dyDescent="0.25">
      <c r="A29302" s="1"/>
      <c r="B29302" s="1" t="s">
        <v>7328</v>
      </c>
      <c r="C29302" s="1" t="s">
        <v>7329</v>
      </c>
      <c r="D29302" s="22" t="str">
        <f>HYPERLINK("https://rhld.insurance.arkansas.gov/NPILookup?Npi=1902910516","1902910516")</f>
        <v>1902910516</v>
      </c>
      <c r="E29302" s="1" t="s">
        <v>17982</v>
      </c>
      <c r="F29302" s="2"/>
      <c r="G29302" s="2"/>
      <c r="H29302" s="2"/>
    </row>
    <row r="29303" spans="1:8" x14ac:dyDescent="0.25">
      <c r="A29303" s="1"/>
      <c r="B29303" s="1" t="s">
        <v>7328</v>
      </c>
      <c r="C29303" s="1" t="s">
        <v>7329</v>
      </c>
      <c r="D29303" s="22" t="str">
        <f>HYPERLINK("https://rhld.insurance.arkansas.gov/NPILookup?Npi=1912007469","1912007469")</f>
        <v>1912007469</v>
      </c>
      <c r="E29303" s="1" t="s">
        <v>13768</v>
      </c>
      <c r="F29303" s="2"/>
      <c r="G29303" s="2"/>
      <c r="H29303" s="2"/>
    </row>
    <row r="29304" spans="1:8" x14ac:dyDescent="0.25">
      <c r="A29304" s="1"/>
      <c r="B29304" s="1" t="s">
        <v>7328</v>
      </c>
      <c r="C29304" s="1" t="s">
        <v>7329</v>
      </c>
      <c r="D29304" s="22" t="str">
        <f>HYPERLINK("https://rhld.insurance.arkansas.gov/NPILookup?Npi=1912025362","1912025362")</f>
        <v>1912025362</v>
      </c>
      <c r="E29304" s="1" t="s">
        <v>29161</v>
      </c>
      <c r="F29304" s="2"/>
      <c r="G29304" s="2"/>
      <c r="H29304" s="2"/>
    </row>
    <row r="29305" spans="1:8" x14ac:dyDescent="0.25">
      <c r="A29305" s="1"/>
      <c r="B29305" s="1" t="s">
        <v>7328</v>
      </c>
      <c r="C29305" s="1" t="s">
        <v>7329</v>
      </c>
      <c r="D29305" s="22" t="str">
        <f>HYPERLINK("https://rhld.insurance.arkansas.gov/NPILookup?Npi=1912043043","1912043043")</f>
        <v>1912043043</v>
      </c>
      <c r="E29305" s="1" t="s">
        <v>29162</v>
      </c>
      <c r="F29305" s="2"/>
      <c r="G29305" s="2"/>
      <c r="H29305" s="2"/>
    </row>
    <row r="29306" spans="1:8" x14ac:dyDescent="0.25">
      <c r="A29306" s="1"/>
      <c r="B29306" s="1" t="s">
        <v>7328</v>
      </c>
      <c r="C29306" s="1" t="s">
        <v>7329</v>
      </c>
      <c r="D29306" s="22" t="str">
        <f>HYPERLINK("https://rhld.insurance.arkansas.gov/NPILookup?Npi=1912111055","1912111055")</f>
        <v>1912111055</v>
      </c>
      <c r="E29306" s="1" t="s">
        <v>29163</v>
      </c>
      <c r="F29306" s="2"/>
      <c r="G29306" s="2"/>
      <c r="H29306" s="2"/>
    </row>
    <row r="29307" spans="1:8" x14ac:dyDescent="0.25">
      <c r="A29307" s="1"/>
      <c r="B29307" s="1" t="s">
        <v>7328</v>
      </c>
      <c r="C29307" s="1" t="s">
        <v>7329</v>
      </c>
      <c r="D29307" s="22" t="str">
        <f>HYPERLINK("https://rhld.insurance.arkansas.gov/NPILookup?Npi=1912136227","1912136227")</f>
        <v>1912136227</v>
      </c>
      <c r="E29307" s="1" t="s">
        <v>3076</v>
      </c>
      <c r="F29307" s="2"/>
      <c r="G29307" s="2"/>
      <c r="H29307" s="2"/>
    </row>
    <row r="29308" spans="1:8" x14ac:dyDescent="0.25">
      <c r="A29308" s="1"/>
      <c r="B29308" s="1" t="s">
        <v>7328</v>
      </c>
      <c r="C29308" s="1" t="s">
        <v>7329</v>
      </c>
      <c r="D29308" s="22" t="str">
        <f>HYPERLINK("https://rhld.insurance.arkansas.gov/NPILookup?Npi=1912172271","1912172271")</f>
        <v>1912172271</v>
      </c>
      <c r="E29308" s="1" t="s">
        <v>17244</v>
      </c>
      <c r="F29308" s="2"/>
      <c r="G29308" s="2"/>
      <c r="H29308" s="2"/>
    </row>
    <row r="29309" spans="1:8" x14ac:dyDescent="0.25">
      <c r="A29309" s="1"/>
      <c r="B29309" s="1" t="s">
        <v>7328</v>
      </c>
      <c r="C29309" s="1" t="s">
        <v>7329</v>
      </c>
      <c r="D29309" s="22" t="str">
        <f>HYPERLINK("https://rhld.insurance.arkansas.gov/NPILookup?Npi=1912173766","1912173766")</f>
        <v>1912173766</v>
      </c>
      <c r="E29309" s="1" t="s">
        <v>4195</v>
      </c>
      <c r="F29309" s="2"/>
      <c r="G29309" s="2"/>
      <c r="H29309" s="2"/>
    </row>
    <row r="29310" spans="1:8" x14ac:dyDescent="0.25">
      <c r="A29310" s="1"/>
      <c r="B29310" s="1" t="s">
        <v>7328</v>
      </c>
      <c r="C29310" s="1" t="s">
        <v>7329</v>
      </c>
      <c r="D29310" s="22" t="str">
        <f>HYPERLINK("https://rhld.insurance.arkansas.gov/NPILookup?Npi=1912191438","1912191438")</f>
        <v>1912191438</v>
      </c>
      <c r="E29310" s="1" t="s">
        <v>29164</v>
      </c>
      <c r="F29310" s="2"/>
      <c r="G29310" s="2"/>
      <c r="H29310" s="2"/>
    </row>
    <row r="29311" spans="1:8" x14ac:dyDescent="0.25">
      <c r="A29311" s="1"/>
      <c r="B29311" s="1" t="s">
        <v>7328</v>
      </c>
      <c r="C29311" s="1" t="s">
        <v>7329</v>
      </c>
      <c r="D29311" s="22" t="str">
        <f>HYPERLINK("https://rhld.insurance.arkansas.gov/NPILookup?Npi=1912198375","1912198375")</f>
        <v>1912198375</v>
      </c>
      <c r="E29311" s="1" t="s">
        <v>4810</v>
      </c>
      <c r="F29311" s="2"/>
      <c r="G29311" s="2"/>
      <c r="H29311" s="2"/>
    </row>
    <row r="29312" spans="1:8" x14ac:dyDescent="0.25">
      <c r="A29312" s="1"/>
      <c r="B29312" s="1" t="s">
        <v>7328</v>
      </c>
      <c r="C29312" s="1" t="s">
        <v>7329</v>
      </c>
      <c r="D29312" s="22" t="str">
        <f>HYPERLINK("https://rhld.insurance.arkansas.gov/NPILookup?Npi=1912208067","1912208067")</f>
        <v>1912208067</v>
      </c>
      <c r="E29312" s="1" t="s">
        <v>17985</v>
      </c>
      <c r="F29312" s="2"/>
      <c r="G29312" s="2"/>
      <c r="H29312" s="2"/>
    </row>
    <row r="29313" spans="1:8" x14ac:dyDescent="0.25">
      <c r="A29313" s="1"/>
      <c r="B29313" s="1" t="s">
        <v>7328</v>
      </c>
      <c r="C29313" s="1" t="s">
        <v>7329</v>
      </c>
      <c r="D29313" s="22" t="str">
        <f>HYPERLINK("https://rhld.insurance.arkansas.gov/NPILookup?Npi=1912210378","1912210378")</f>
        <v>1912210378</v>
      </c>
      <c r="E29313" s="1" t="s">
        <v>1040</v>
      </c>
      <c r="F29313" s="2"/>
      <c r="G29313" s="2"/>
      <c r="H29313" s="2"/>
    </row>
    <row r="29314" spans="1:8" x14ac:dyDescent="0.25">
      <c r="A29314" s="1"/>
      <c r="B29314" s="1" t="s">
        <v>7328</v>
      </c>
      <c r="C29314" s="1" t="s">
        <v>7329</v>
      </c>
      <c r="D29314" s="22" t="str">
        <f>HYPERLINK("https://rhld.insurance.arkansas.gov/NPILookup?Npi=1912214453","1912214453")</f>
        <v>1912214453</v>
      </c>
      <c r="E29314" s="1" t="s">
        <v>29165</v>
      </c>
      <c r="F29314" s="2"/>
      <c r="G29314" s="2"/>
      <c r="H29314" s="2"/>
    </row>
    <row r="29315" spans="1:8" x14ac:dyDescent="0.25">
      <c r="A29315" s="1"/>
      <c r="B29315" s="1" t="s">
        <v>7328</v>
      </c>
      <c r="C29315" s="1" t="s">
        <v>7329</v>
      </c>
      <c r="D29315" s="22" t="str">
        <f>HYPERLINK("https://rhld.insurance.arkansas.gov/NPILookup?Npi=1912214958","1912214958")</f>
        <v>1912214958</v>
      </c>
      <c r="E29315" s="1" t="s">
        <v>13769</v>
      </c>
      <c r="F29315" s="2"/>
      <c r="G29315" s="2"/>
      <c r="H29315" s="2"/>
    </row>
    <row r="29316" spans="1:8" x14ac:dyDescent="0.25">
      <c r="A29316" s="1"/>
      <c r="B29316" s="1" t="s">
        <v>7328</v>
      </c>
      <c r="C29316" s="1" t="s">
        <v>7329</v>
      </c>
      <c r="D29316" s="22" t="str">
        <f>HYPERLINK("https://rhld.insurance.arkansas.gov/NPILookup?Npi=1912219478","1912219478")</f>
        <v>1912219478</v>
      </c>
      <c r="E29316" s="1" t="s">
        <v>29166</v>
      </c>
      <c r="F29316" s="2"/>
      <c r="G29316" s="2"/>
      <c r="H29316" s="2"/>
    </row>
    <row r="29317" spans="1:8" x14ac:dyDescent="0.25">
      <c r="A29317" s="1"/>
      <c r="B29317" s="1" t="s">
        <v>7328</v>
      </c>
      <c r="C29317" s="1" t="s">
        <v>7329</v>
      </c>
      <c r="D29317" s="22" t="str">
        <f>HYPERLINK("https://rhld.insurance.arkansas.gov/NPILookup?Npi=1912224544","1912224544")</f>
        <v>1912224544</v>
      </c>
      <c r="E29317" s="1" t="s">
        <v>13770</v>
      </c>
      <c r="F29317" s="2"/>
      <c r="G29317" s="2"/>
      <c r="H29317" s="2"/>
    </row>
    <row r="29318" spans="1:8" x14ac:dyDescent="0.25">
      <c r="A29318" s="1"/>
      <c r="B29318" s="1" t="s">
        <v>7328</v>
      </c>
      <c r="C29318" s="1" t="s">
        <v>7329</v>
      </c>
      <c r="D29318" s="22" t="str">
        <f>HYPERLINK("https://rhld.insurance.arkansas.gov/NPILookup?Npi=1912226234","1912226234")</f>
        <v>1912226234</v>
      </c>
      <c r="E29318" s="1" t="s">
        <v>29167</v>
      </c>
      <c r="F29318" s="2"/>
      <c r="G29318" s="2"/>
      <c r="H29318" s="2"/>
    </row>
    <row r="29319" spans="1:8" x14ac:dyDescent="0.25">
      <c r="A29319" s="1"/>
      <c r="B29319" s="1" t="s">
        <v>7328</v>
      </c>
      <c r="C29319" s="1" t="s">
        <v>7329</v>
      </c>
      <c r="D29319" s="22" t="str">
        <f>HYPERLINK("https://rhld.insurance.arkansas.gov/NPILookup?Npi=1912247156","1912247156")</f>
        <v>1912247156</v>
      </c>
      <c r="E29319" s="1" t="s">
        <v>1409</v>
      </c>
      <c r="F29319" s="2"/>
      <c r="G29319" s="2"/>
      <c r="H29319" s="2"/>
    </row>
    <row r="29320" spans="1:8" x14ac:dyDescent="0.25">
      <c r="A29320" s="1"/>
      <c r="B29320" s="1" t="s">
        <v>7328</v>
      </c>
      <c r="C29320" s="1" t="s">
        <v>7329</v>
      </c>
      <c r="D29320" s="22" t="str">
        <f>HYPERLINK("https://rhld.insurance.arkansas.gov/NPILookup?Npi=1912252354","1912252354")</f>
        <v>1912252354</v>
      </c>
      <c r="E29320" s="1" t="s">
        <v>13772</v>
      </c>
      <c r="F29320" s="2"/>
      <c r="G29320" s="2"/>
      <c r="H29320" s="2"/>
    </row>
    <row r="29321" spans="1:8" x14ac:dyDescent="0.25">
      <c r="A29321" s="1"/>
      <c r="B29321" s="1" t="s">
        <v>7328</v>
      </c>
      <c r="C29321" s="1" t="s">
        <v>7329</v>
      </c>
      <c r="D29321" s="22" t="str">
        <f>HYPERLINK("https://rhld.insurance.arkansas.gov/NPILookup?Npi=1912258393","1912258393")</f>
        <v>1912258393</v>
      </c>
      <c r="E29321" s="1" t="s">
        <v>13773</v>
      </c>
      <c r="F29321" s="2"/>
      <c r="G29321" s="2"/>
      <c r="H29321" s="2"/>
    </row>
    <row r="29322" spans="1:8" x14ac:dyDescent="0.25">
      <c r="A29322" s="1"/>
      <c r="B29322" s="1" t="s">
        <v>7328</v>
      </c>
      <c r="C29322" s="1" t="s">
        <v>7329</v>
      </c>
      <c r="D29322" s="22" t="str">
        <f>HYPERLINK("https://rhld.insurance.arkansas.gov/NPILookup?Npi=1912277351","1912277351")</f>
        <v>1912277351</v>
      </c>
      <c r="E29322" s="1" t="s">
        <v>29168</v>
      </c>
      <c r="F29322" s="2"/>
      <c r="G29322" s="2"/>
      <c r="H29322" s="2"/>
    </row>
    <row r="29323" spans="1:8" x14ac:dyDescent="0.25">
      <c r="A29323" s="1"/>
      <c r="B29323" s="1" t="s">
        <v>7328</v>
      </c>
      <c r="C29323" s="1" t="s">
        <v>7329</v>
      </c>
      <c r="D29323" s="22" t="str">
        <f>HYPERLINK("https://rhld.insurance.arkansas.gov/NPILookup?Npi=1912279290","1912279290")</f>
        <v>1912279290</v>
      </c>
      <c r="E29323" s="1" t="s">
        <v>13774</v>
      </c>
      <c r="F29323" s="2"/>
      <c r="G29323" s="2"/>
      <c r="H29323" s="2"/>
    </row>
    <row r="29324" spans="1:8" x14ac:dyDescent="0.25">
      <c r="A29324" s="1"/>
      <c r="B29324" s="1" t="s">
        <v>7328</v>
      </c>
      <c r="C29324" s="1" t="s">
        <v>7329</v>
      </c>
      <c r="D29324" s="22" t="str">
        <f>HYPERLINK("https://rhld.insurance.arkansas.gov/NPILookup?Npi=1912295411","1912295411")</f>
        <v>1912295411</v>
      </c>
      <c r="E29324" s="1" t="s">
        <v>17986</v>
      </c>
      <c r="F29324" s="2"/>
      <c r="G29324" s="2"/>
      <c r="H29324" s="2"/>
    </row>
    <row r="29325" spans="1:8" x14ac:dyDescent="0.25">
      <c r="A29325" s="1"/>
      <c r="B29325" s="1" t="s">
        <v>7328</v>
      </c>
      <c r="C29325" s="1" t="s">
        <v>7329</v>
      </c>
      <c r="D29325" s="22" t="str">
        <f>HYPERLINK("https://rhld.insurance.arkansas.gov/NPILookup?Npi=1912318049","1912318049")</f>
        <v>1912318049</v>
      </c>
      <c r="E29325" s="1" t="s">
        <v>13775</v>
      </c>
      <c r="F29325" s="2"/>
      <c r="G29325" s="2"/>
      <c r="H29325" s="2"/>
    </row>
    <row r="29326" spans="1:8" x14ac:dyDescent="0.25">
      <c r="A29326" s="1"/>
      <c r="B29326" s="1" t="s">
        <v>7328</v>
      </c>
      <c r="C29326" s="1" t="s">
        <v>7329</v>
      </c>
      <c r="D29326" s="22" t="str">
        <f>HYPERLINK("https://rhld.insurance.arkansas.gov/NPILookup?Npi=1912320946","1912320946")</f>
        <v>1912320946</v>
      </c>
      <c r="E29326" s="1" t="s">
        <v>24578</v>
      </c>
      <c r="F29326" s="2"/>
      <c r="G29326" s="2"/>
      <c r="H29326" s="2"/>
    </row>
    <row r="29327" spans="1:8" x14ac:dyDescent="0.25">
      <c r="A29327" s="1"/>
      <c r="B29327" s="1" t="s">
        <v>7328</v>
      </c>
      <c r="C29327" s="1" t="s">
        <v>7329</v>
      </c>
      <c r="D29327" s="22" t="str">
        <f>HYPERLINK("https://rhld.insurance.arkansas.gov/NPILookup?Npi=1912327552","1912327552")</f>
        <v>1912327552</v>
      </c>
      <c r="E29327" s="1" t="s">
        <v>29169</v>
      </c>
      <c r="F29327" s="2"/>
      <c r="G29327" s="2"/>
      <c r="H29327" s="2"/>
    </row>
    <row r="29328" spans="1:8" x14ac:dyDescent="0.25">
      <c r="A29328" s="1"/>
      <c r="B29328" s="1" t="s">
        <v>7328</v>
      </c>
      <c r="C29328" s="1" t="s">
        <v>7329</v>
      </c>
      <c r="D29328" s="22" t="str">
        <f>HYPERLINK("https://rhld.insurance.arkansas.gov/NPILookup?Npi=1912352055","1912352055")</f>
        <v>1912352055</v>
      </c>
      <c r="E29328" s="1" t="s">
        <v>2097</v>
      </c>
      <c r="F29328" s="2"/>
      <c r="G29328" s="2"/>
      <c r="H29328" s="2"/>
    </row>
    <row r="29329" spans="1:8" x14ac:dyDescent="0.25">
      <c r="A29329" s="1"/>
      <c r="B29329" s="1" t="s">
        <v>7328</v>
      </c>
      <c r="C29329" s="1" t="s">
        <v>7329</v>
      </c>
      <c r="D29329" s="22" t="str">
        <f>HYPERLINK("https://rhld.insurance.arkansas.gov/NPILookup?Npi=1912352733","1912352733")</f>
        <v>1912352733</v>
      </c>
      <c r="E29329" s="1" t="s">
        <v>29170</v>
      </c>
      <c r="F29329" s="2"/>
      <c r="G29329" s="2"/>
      <c r="H29329" s="2"/>
    </row>
    <row r="29330" spans="1:8" x14ac:dyDescent="0.25">
      <c r="A29330" s="1"/>
      <c r="B29330" s="1" t="s">
        <v>7328</v>
      </c>
      <c r="C29330" s="1" t="s">
        <v>7329</v>
      </c>
      <c r="D29330" s="22" t="str">
        <f>HYPERLINK("https://rhld.insurance.arkansas.gov/NPILookup?Npi=1912380361","1912380361")</f>
        <v>1912380361</v>
      </c>
      <c r="E29330" s="1" t="s">
        <v>2098</v>
      </c>
      <c r="F29330" s="2"/>
      <c r="G29330" s="2"/>
      <c r="H29330" s="2"/>
    </row>
    <row r="29331" spans="1:8" x14ac:dyDescent="0.25">
      <c r="A29331" s="1"/>
      <c r="B29331" s="1" t="s">
        <v>7328</v>
      </c>
      <c r="C29331" s="1" t="s">
        <v>7329</v>
      </c>
      <c r="D29331" s="22" t="str">
        <f>HYPERLINK("https://rhld.insurance.arkansas.gov/NPILookup?Npi=1912393539","1912393539")</f>
        <v>1912393539</v>
      </c>
      <c r="E29331" s="1" t="s">
        <v>8180</v>
      </c>
      <c r="F29331" s="2"/>
      <c r="G29331" s="2"/>
      <c r="H29331" s="2"/>
    </row>
    <row r="29332" spans="1:8" x14ac:dyDescent="0.25">
      <c r="A29332" s="1"/>
      <c r="B29332" s="1" t="s">
        <v>7328</v>
      </c>
      <c r="C29332" s="1" t="s">
        <v>7329</v>
      </c>
      <c r="D29332" s="22" t="str">
        <f>HYPERLINK("https://rhld.insurance.arkansas.gov/NPILookup?Npi=1912399452","1912399452")</f>
        <v>1912399452</v>
      </c>
      <c r="E29332" s="1" t="s">
        <v>29171</v>
      </c>
      <c r="F29332" s="2"/>
      <c r="G29332" s="2"/>
      <c r="H29332" s="2"/>
    </row>
    <row r="29333" spans="1:8" x14ac:dyDescent="0.25">
      <c r="A29333" s="1"/>
      <c r="B29333" s="1" t="s">
        <v>7328</v>
      </c>
      <c r="C29333" s="1" t="s">
        <v>7329</v>
      </c>
      <c r="D29333" s="22" t="str">
        <f>HYPERLINK("https://rhld.insurance.arkansas.gov/NPILookup?Npi=1912418302","1912418302")</f>
        <v>1912418302</v>
      </c>
      <c r="E29333" s="1" t="s">
        <v>13776</v>
      </c>
      <c r="F29333" s="2"/>
      <c r="G29333" s="2"/>
      <c r="H29333" s="2"/>
    </row>
    <row r="29334" spans="1:8" x14ac:dyDescent="0.25">
      <c r="A29334" s="1"/>
      <c r="B29334" s="1" t="s">
        <v>7328</v>
      </c>
      <c r="C29334" s="1" t="s">
        <v>7329</v>
      </c>
      <c r="D29334" s="22" t="str">
        <f>HYPERLINK("https://rhld.insurance.arkansas.gov/NPILookup?Npi=1912431834","1912431834")</f>
        <v>1912431834</v>
      </c>
      <c r="E29334" s="1" t="s">
        <v>8181</v>
      </c>
      <c r="F29334" s="2"/>
      <c r="G29334" s="2"/>
      <c r="H29334" s="2"/>
    </row>
    <row r="29335" spans="1:8" x14ac:dyDescent="0.25">
      <c r="A29335" s="1"/>
      <c r="B29335" s="1" t="s">
        <v>7328</v>
      </c>
      <c r="C29335" s="1" t="s">
        <v>7329</v>
      </c>
      <c r="D29335" s="22" t="str">
        <f>HYPERLINK("https://rhld.insurance.arkansas.gov/NPILookup?Npi=1912445628","1912445628")</f>
        <v>1912445628</v>
      </c>
      <c r="E29335" s="1" t="s">
        <v>29173</v>
      </c>
      <c r="F29335" s="2"/>
      <c r="G29335" s="2"/>
      <c r="H29335" s="2"/>
    </row>
    <row r="29336" spans="1:8" x14ac:dyDescent="0.25">
      <c r="A29336" s="1"/>
      <c r="B29336" s="1" t="s">
        <v>7328</v>
      </c>
      <c r="C29336" s="1" t="s">
        <v>7329</v>
      </c>
      <c r="D29336" s="22" t="str">
        <f>HYPERLINK("https://rhld.insurance.arkansas.gov/NPILookup?Npi=1912463902","1912463902")</f>
        <v>1912463902</v>
      </c>
      <c r="E29336" s="1" t="s">
        <v>12227</v>
      </c>
      <c r="F29336" s="2"/>
      <c r="G29336" s="2"/>
      <c r="H29336" s="2"/>
    </row>
    <row r="29337" spans="1:8" x14ac:dyDescent="0.25">
      <c r="A29337" s="1"/>
      <c r="B29337" s="1" t="s">
        <v>7328</v>
      </c>
      <c r="C29337" s="1" t="s">
        <v>7329</v>
      </c>
      <c r="D29337" s="22" t="str">
        <f>HYPERLINK("https://rhld.insurance.arkansas.gov/NPILookup?Npi=1912469362","1912469362")</f>
        <v>1912469362</v>
      </c>
      <c r="E29337" s="1" t="s">
        <v>29174</v>
      </c>
      <c r="F29337" s="2"/>
      <c r="G29337" s="2"/>
      <c r="H29337" s="2"/>
    </row>
    <row r="29338" spans="1:8" x14ac:dyDescent="0.25">
      <c r="A29338" s="1"/>
      <c r="B29338" s="1" t="s">
        <v>7328</v>
      </c>
      <c r="C29338" s="1" t="s">
        <v>7329</v>
      </c>
      <c r="D29338" s="22" t="str">
        <f>HYPERLINK("https://rhld.insurance.arkansas.gov/NPILookup?Npi=1912480328","1912480328")</f>
        <v>1912480328</v>
      </c>
      <c r="E29338" s="1" t="s">
        <v>8182</v>
      </c>
      <c r="F29338" s="2"/>
      <c r="G29338" s="2"/>
      <c r="H29338" s="2"/>
    </row>
    <row r="29339" spans="1:8" x14ac:dyDescent="0.25">
      <c r="A29339" s="1"/>
      <c r="B29339" s="1" t="s">
        <v>7328</v>
      </c>
      <c r="C29339" s="1" t="s">
        <v>7329</v>
      </c>
      <c r="D29339" s="22" t="str">
        <f>HYPERLINK("https://rhld.insurance.arkansas.gov/NPILookup?Npi=1912483132","1912483132")</f>
        <v>1912483132</v>
      </c>
      <c r="E29339" s="1" t="s">
        <v>29175</v>
      </c>
      <c r="F29339" s="2"/>
      <c r="G29339" s="2"/>
      <c r="H29339" s="2"/>
    </row>
    <row r="29340" spans="1:8" x14ac:dyDescent="0.25">
      <c r="A29340" s="1"/>
      <c r="B29340" s="1" t="s">
        <v>7328</v>
      </c>
      <c r="C29340" s="1" t="s">
        <v>7329</v>
      </c>
      <c r="D29340" s="22" t="str">
        <f>HYPERLINK("https://rhld.insurance.arkansas.gov/NPILookup?Npi=1912486648","1912486648")</f>
        <v>1912486648</v>
      </c>
      <c r="E29340" s="1" t="s">
        <v>29176</v>
      </c>
      <c r="F29340" s="2"/>
      <c r="G29340" s="2"/>
      <c r="H29340" s="2"/>
    </row>
    <row r="29341" spans="1:8" x14ac:dyDescent="0.25">
      <c r="A29341" s="1"/>
      <c r="B29341" s="1" t="s">
        <v>7328</v>
      </c>
      <c r="C29341" s="1" t="s">
        <v>7329</v>
      </c>
      <c r="D29341" s="22" t="str">
        <f>HYPERLINK("https://rhld.insurance.arkansas.gov/NPILookup?Npi=1912488115","1912488115")</f>
        <v>1912488115</v>
      </c>
      <c r="E29341" s="1" t="s">
        <v>29177</v>
      </c>
      <c r="F29341" s="2"/>
      <c r="G29341" s="2"/>
      <c r="H29341" s="2"/>
    </row>
    <row r="29342" spans="1:8" x14ac:dyDescent="0.25">
      <c r="A29342" s="1"/>
      <c r="B29342" s="1" t="s">
        <v>7328</v>
      </c>
      <c r="C29342" s="1" t="s">
        <v>7329</v>
      </c>
      <c r="D29342" s="22" t="str">
        <f>HYPERLINK("https://rhld.insurance.arkansas.gov/NPILookup?Npi=1912489774","1912489774")</f>
        <v>1912489774</v>
      </c>
      <c r="E29342" s="1" t="s">
        <v>8183</v>
      </c>
      <c r="F29342" s="2"/>
      <c r="G29342" s="2"/>
      <c r="H29342" s="2"/>
    </row>
    <row r="29343" spans="1:8" x14ac:dyDescent="0.25">
      <c r="A29343" s="1"/>
      <c r="B29343" s="1" t="s">
        <v>7328</v>
      </c>
      <c r="C29343" s="1" t="s">
        <v>7329</v>
      </c>
      <c r="D29343" s="22" t="str">
        <f>HYPERLINK("https://rhld.insurance.arkansas.gov/NPILookup?Npi=1912498585","1912498585")</f>
        <v>1912498585</v>
      </c>
      <c r="E29343" s="1" t="s">
        <v>13777</v>
      </c>
      <c r="F29343" s="2"/>
      <c r="G29343" s="2"/>
      <c r="H29343" s="2"/>
    </row>
    <row r="29344" spans="1:8" x14ac:dyDescent="0.25">
      <c r="A29344" s="1"/>
      <c r="B29344" s="1" t="s">
        <v>7328</v>
      </c>
      <c r="C29344" s="1" t="s">
        <v>7329</v>
      </c>
      <c r="D29344" s="22" t="str">
        <f>HYPERLINK("https://rhld.insurance.arkansas.gov/NPILookup?Npi=1912507419","1912507419")</f>
        <v>1912507419</v>
      </c>
      <c r="E29344" s="1" t="s">
        <v>13778</v>
      </c>
      <c r="F29344" s="2"/>
      <c r="G29344" s="2"/>
      <c r="H29344" s="2"/>
    </row>
    <row r="29345" spans="1:8" x14ac:dyDescent="0.25">
      <c r="A29345" s="1"/>
      <c r="B29345" s="1" t="s">
        <v>7328</v>
      </c>
      <c r="C29345" s="1" t="s">
        <v>7329</v>
      </c>
      <c r="D29345" s="22" t="str">
        <f>HYPERLINK("https://rhld.insurance.arkansas.gov/NPILookup?Npi=1912518390","1912518390")</f>
        <v>1912518390</v>
      </c>
      <c r="E29345" s="1" t="s">
        <v>13779</v>
      </c>
      <c r="F29345" s="2"/>
      <c r="G29345" s="2"/>
      <c r="H29345" s="2"/>
    </row>
    <row r="29346" spans="1:8" x14ac:dyDescent="0.25">
      <c r="A29346" s="1"/>
      <c r="B29346" s="1" t="s">
        <v>7328</v>
      </c>
      <c r="C29346" s="1" t="s">
        <v>7329</v>
      </c>
      <c r="D29346" s="22" t="str">
        <f>HYPERLINK("https://rhld.insurance.arkansas.gov/NPILookup?Npi=1912523861","1912523861")</f>
        <v>1912523861</v>
      </c>
      <c r="E29346" s="1" t="s">
        <v>13780</v>
      </c>
      <c r="F29346" s="2"/>
      <c r="G29346" s="2"/>
      <c r="H29346" s="2"/>
    </row>
    <row r="29347" spans="1:8" x14ac:dyDescent="0.25">
      <c r="A29347" s="1"/>
      <c r="B29347" s="1" t="s">
        <v>7328</v>
      </c>
      <c r="C29347" s="1" t="s">
        <v>7329</v>
      </c>
      <c r="D29347" s="22" t="str">
        <f>HYPERLINK("https://rhld.insurance.arkansas.gov/NPILookup?Npi=1912527078","1912527078")</f>
        <v>1912527078</v>
      </c>
      <c r="E29347" s="1" t="s">
        <v>8184</v>
      </c>
      <c r="F29347" s="2"/>
      <c r="G29347" s="2"/>
      <c r="H29347" s="2"/>
    </row>
    <row r="29348" spans="1:8" x14ac:dyDescent="0.25">
      <c r="A29348" s="1"/>
      <c r="B29348" s="1" t="s">
        <v>7328</v>
      </c>
      <c r="C29348" s="1" t="s">
        <v>7329</v>
      </c>
      <c r="D29348" s="22" t="str">
        <f>HYPERLINK("https://rhld.insurance.arkansas.gov/NPILookup?Npi=1912529090","1912529090")</f>
        <v>1912529090</v>
      </c>
      <c r="E29348" s="1" t="s">
        <v>17991</v>
      </c>
      <c r="F29348" s="2"/>
      <c r="G29348" s="2"/>
      <c r="H29348" s="2"/>
    </row>
    <row r="29349" spans="1:8" x14ac:dyDescent="0.25">
      <c r="A29349" s="1"/>
      <c r="B29349" s="1" t="s">
        <v>7328</v>
      </c>
      <c r="C29349" s="1" t="s">
        <v>7329</v>
      </c>
      <c r="D29349" s="22" t="str">
        <f>HYPERLINK("https://rhld.insurance.arkansas.gov/NPILookup?Npi=1912533589","1912533589")</f>
        <v>1912533589</v>
      </c>
      <c r="E29349" s="1" t="s">
        <v>13471</v>
      </c>
      <c r="F29349" s="2"/>
      <c r="G29349" s="2"/>
      <c r="H29349" s="2"/>
    </row>
    <row r="29350" spans="1:8" x14ac:dyDescent="0.25">
      <c r="A29350" s="1"/>
      <c r="B29350" s="1" t="s">
        <v>7328</v>
      </c>
      <c r="C29350" s="1" t="s">
        <v>7329</v>
      </c>
      <c r="D29350" s="22" t="str">
        <f>HYPERLINK("https://rhld.insurance.arkansas.gov/NPILookup?Npi=1912538463","1912538463")</f>
        <v>1912538463</v>
      </c>
      <c r="E29350" s="1" t="s">
        <v>29178</v>
      </c>
      <c r="F29350" s="2"/>
      <c r="G29350" s="2"/>
      <c r="H29350" s="2"/>
    </row>
    <row r="29351" spans="1:8" x14ac:dyDescent="0.25">
      <c r="A29351" s="1"/>
      <c r="B29351" s="1" t="s">
        <v>7328</v>
      </c>
      <c r="C29351" s="1" t="s">
        <v>7329</v>
      </c>
      <c r="D29351" s="22" t="str">
        <f>HYPERLINK("https://rhld.insurance.arkansas.gov/NPILookup?Npi=1912548058","1912548058")</f>
        <v>1912548058</v>
      </c>
      <c r="E29351" s="1" t="s">
        <v>17545</v>
      </c>
      <c r="F29351" s="2"/>
      <c r="G29351" s="2"/>
      <c r="H29351" s="2"/>
    </row>
    <row r="29352" spans="1:8" x14ac:dyDescent="0.25">
      <c r="A29352" s="1"/>
      <c r="B29352" s="1" t="s">
        <v>7328</v>
      </c>
      <c r="C29352" s="1" t="s">
        <v>7329</v>
      </c>
      <c r="D29352" s="22" t="str">
        <f>HYPERLINK("https://rhld.insurance.arkansas.gov/NPILookup?Npi=1912562489","1912562489")</f>
        <v>1912562489</v>
      </c>
      <c r="E29352" s="1" t="s">
        <v>29179</v>
      </c>
      <c r="F29352" s="2"/>
      <c r="G29352" s="2"/>
      <c r="H29352" s="2"/>
    </row>
    <row r="29353" spans="1:8" x14ac:dyDescent="0.25">
      <c r="A29353" s="1"/>
      <c r="B29353" s="1" t="s">
        <v>7328</v>
      </c>
      <c r="C29353" s="1" t="s">
        <v>7329</v>
      </c>
      <c r="D29353" s="22" t="str">
        <f>HYPERLINK("https://rhld.insurance.arkansas.gov/NPILookup?Npi=1912586926","1912586926")</f>
        <v>1912586926</v>
      </c>
      <c r="E29353" s="1" t="s">
        <v>29180</v>
      </c>
      <c r="F29353" s="2"/>
      <c r="G29353" s="2"/>
      <c r="H29353" s="2"/>
    </row>
    <row r="29354" spans="1:8" x14ac:dyDescent="0.25">
      <c r="A29354" s="1"/>
      <c r="B29354" s="1" t="s">
        <v>7328</v>
      </c>
      <c r="C29354" s="1" t="s">
        <v>7329</v>
      </c>
      <c r="D29354" s="22" t="str">
        <f>HYPERLINK("https://rhld.insurance.arkansas.gov/NPILookup?Npi=1912595547","1912595547")</f>
        <v>1912595547</v>
      </c>
      <c r="E29354" s="1" t="s">
        <v>13781</v>
      </c>
      <c r="F29354" s="2"/>
      <c r="G29354" s="2"/>
      <c r="H29354" s="2"/>
    </row>
    <row r="29355" spans="1:8" x14ac:dyDescent="0.25">
      <c r="A29355" s="1"/>
      <c r="B29355" s="1" t="s">
        <v>7328</v>
      </c>
      <c r="C29355" s="1" t="s">
        <v>7329</v>
      </c>
      <c r="D29355" s="22" t="str">
        <f>HYPERLINK("https://rhld.insurance.arkansas.gov/NPILookup?Npi=1912599960","1912599960")</f>
        <v>1912599960</v>
      </c>
      <c r="E29355" s="1" t="s">
        <v>8185</v>
      </c>
      <c r="F29355" s="2"/>
      <c r="G29355" s="2"/>
      <c r="H29355" s="2"/>
    </row>
    <row r="29356" spans="1:8" x14ac:dyDescent="0.25">
      <c r="A29356" s="1"/>
      <c r="B29356" s="1" t="s">
        <v>7328</v>
      </c>
      <c r="C29356" s="1" t="s">
        <v>7329</v>
      </c>
      <c r="D29356" s="22" t="str">
        <f>HYPERLINK("https://rhld.insurance.arkansas.gov/NPILookup?Npi=1912612441","1912612441")</f>
        <v>1912612441</v>
      </c>
      <c r="E29356" s="1" t="s">
        <v>29181</v>
      </c>
      <c r="F29356" s="2"/>
      <c r="G29356" s="2"/>
      <c r="H29356" s="2"/>
    </row>
    <row r="29357" spans="1:8" x14ac:dyDescent="0.25">
      <c r="A29357" s="1"/>
      <c r="B29357" s="1" t="s">
        <v>7328</v>
      </c>
      <c r="C29357" s="1" t="s">
        <v>7329</v>
      </c>
      <c r="D29357" s="22" t="str">
        <f>HYPERLINK("https://rhld.insurance.arkansas.gov/NPILookup?Npi=1912612466","1912612466")</f>
        <v>1912612466</v>
      </c>
      <c r="E29357" s="1" t="s">
        <v>29182</v>
      </c>
      <c r="F29357" s="2"/>
      <c r="G29357" s="2"/>
      <c r="H29357" s="2"/>
    </row>
    <row r="29358" spans="1:8" x14ac:dyDescent="0.25">
      <c r="A29358" s="1"/>
      <c r="B29358" s="1" t="s">
        <v>7328</v>
      </c>
      <c r="C29358" s="1" t="s">
        <v>7329</v>
      </c>
      <c r="D29358" s="22" t="str">
        <f>HYPERLINK("https://rhld.insurance.arkansas.gov/NPILookup?Npi=1912626102","1912626102")</f>
        <v>1912626102</v>
      </c>
      <c r="E29358" s="1" t="s">
        <v>7393</v>
      </c>
      <c r="F29358" s="2"/>
      <c r="G29358" s="2"/>
      <c r="H29358" s="2"/>
    </row>
    <row r="29359" spans="1:8" x14ac:dyDescent="0.25">
      <c r="A29359" s="1"/>
      <c r="B29359" s="1" t="s">
        <v>7328</v>
      </c>
      <c r="C29359" s="1" t="s">
        <v>7329</v>
      </c>
      <c r="D29359" s="22" t="str">
        <f>HYPERLINK("https://rhld.insurance.arkansas.gov/NPILookup?Npi=1912682048","1912682048")</f>
        <v>1912682048</v>
      </c>
      <c r="E29359" s="1" t="s">
        <v>29183</v>
      </c>
      <c r="F29359" s="2"/>
      <c r="G29359" s="2"/>
      <c r="H29359" s="2"/>
    </row>
    <row r="29360" spans="1:8" x14ac:dyDescent="0.25">
      <c r="A29360" s="1"/>
      <c r="B29360" s="1" t="s">
        <v>7328</v>
      </c>
      <c r="C29360" s="1" t="s">
        <v>7329</v>
      </c>
      <c r="D29360" s="22" t="str">
        <f>HYPERLINK("https://rhld.insurance.arkansas.gov/NPILookup?Npi=1912691544","1912691544")</f>
        <v>1912691544</v>
      </c>
      <c r="E29360" s="1" t="s">
        <v>29184</v>
      </c>
      <c r="F29360" s="2"/>
      <c r="G29360" s="2"/>
      <c r="H29360" s="2"/>
    </row>
    <row r="29361" spans="1:8" x14ac:dyDescent="0.25">
      <c r="A29361" s="1"/>
      <c r="B29361" s="1" t="s">
        <v>7328</v>
      </c>
      <c r="C29361" s="1" t="s">
        <v>7329</v>
      </c>
      <c r="D29361" s="22" t="str">
        <f>HYPERLINK("https://rhld.insurance.arkansas.gov/NPILookup?Npi=1912698556","1912698556")</f>
        <v>1912698556</v>
      </c>
      <c r="E29361" s="1" t="s">
        <v>29185</v>
      </c>
      <c r="F29361" s="2"/>
      <c r="G29361" s="2"/>
      <c r="H29361" s="2"/>
    </row>
    <row r="29362" spans="1:8" x14ac:dyDescent="0.25">
      <c r="A29362" s="1"/>
      <c r="B29362" s="1" t="s">
        <v>7328</v>
      </c>
      <c r="C29362" s="1" t="s">
        <v>7329</v>
      </c>
      <c r="D29362" s="22" t="str">
        <f>HYPERLINK("https://rhld.insurance.arkansas.gov/NPILookup?Npi=1912699646","1912699646")</f>
        <v>1912699646</v>
      </c>
      <c r="E29362" s="1" t="s">
        <v>8186</v>
      </c>
      <c r="F29362" s="2"/>
      <c r="G29362" s="2"/>
      <c r="H29362" s="2"/>
    </row>
    <row r="29363" spans="1:8" x14ac:dyDescent="0.25">
      <c r="A29363" s="1"/>
      <c r="B29363" s="1" t="s">
        <v>7328</v>
      </c>
      <c r="C29363" s="1" t="s">
        <v>7329</v>
      </c>
      <c r="D29363" s="22" t="str">
        <f>HYPERLINK("https://rhld.insurance.arkansas.gov/NPILookup?Npi=1912714304","1912714304")</f>
        <v>1912714304</v>
      </c>
      <c r="E29363" s="1" t="s">
        <v>32406</v>
      </c>
      <c r="F29363" s="2"/>
      <c r="G29363" s="2"/>
      <c r="H29363" s="2"/>
    </row>
    <row r="29364" spans="1:8" x14ac:dyDescent="0.25">
      <c r="A29364" s="1"/>
      <c r="B29364" s="1" t="s">
        <v>7328</v>
      </c>
      <c r="C29364" s="1" t="s">
        <v>7329</v>
      </c>
      <c r="D29364" s="22" t="str">
        <f>HYPERLINK("https://rhld.insurance.arkansas.gov/NPILookup?Npi=1912752445","1912752445")</f>
        <v>1912752445</v>
      </c>
      <c r="E29364" s="1" t="s">
        <v>32407</v>
      </c>
      <c r="F29364" s="2"/>
      <c r="G29364" s="2"/>
      <c r="H29364" s="2"/>
    </row>
    <row r="29365" spans="1:8" x14ac:dyDescent="0.25">
      <c r="A29365" s="1"/>
      <c r="B29365" s="1" t="s">
        <v>7328</v>
      </c>
      <c r="C29365" s="1" t="s">
        <v>7329</v>
      </c>
      <c r="D29365" s="22" t="str">
        <f>HYPERLINK("https://rhld.insurance.arkansas.gov/NPILookup?Npi=1912759549","1912759549")</f>
        <v>1912759549</v>
      </c>
      <c r="E29365" s="1" t="s">
        <v>29186</v>
      </c>
      <c r="F29365" s="2"/>
      <c r="G29365" s="2"/>
      <c r="H29365" s="2"/>
    </row>
    <row r="29366" spans="1:8" x14ac:dyDescent="0.25">
      <c r="A29366" s="1"/>
      <c r="B29366" s="1" t="s">
        <v>7328</v>
      </c>
      <c r="C29366" s="1" t="s">
        <v>7329</v>
      </c>
      <c r="D29366" s="22" t="str">
        <f>HYPERLINK("https://rhld.insurance.arkansas.gov/NPILookup?Npi=1912763830","1912763830")</f>
        <v>1912763830</v>
      </c>
      <c r="E29366" s="1" t="s">
        <v>29187</v>
      </c>
      <c r="F29366" s="2"/>
      <c r="G29366" s="2"/>
      <c r="H29366" s="2"/>
    </row>
    <row r="29367" spans="1:8" x14ac:dyDescent="0.25">
      <c r="A29367" s="1"/>
      <c r="B29367" s="1" t="s">
        <v>7328</v>
      </c>
      <c r="C29367" s="1" t="s">
        <v>7329</v>
      </c>
      <c r="D29367" s="22" t="str">
        <f>HYPERLINK("https://rhld.insurance.arkansas.gov/NPILookup?Npi=1912788274","1912788274")</f>
        <v>1912788274</v>
      </c>
      <c r="E29367" s="1" t="s">
        <v>29188</v>
      </c>
      <c r="F29367" s="2"/>
      <c r="G29367" s="2"/>
      <c r="H29367" s="2"/>
    </row>
    <row r="29368" spans="1:8" x14ac:dyDescent="0.25">
      <c r="A29368" s="1"/>
      <c r="B29368" s="1" t="s">
        <v>7328</v>
      </c>
      <c r="C29368" s="1" t="s">
        <v>7329</v>
      </c>
      <c r="D29368" s="22" t="str">
        <f>HYPERLINK("https://rhld.insurance.arkansas.gov/NPILookup?Npi=1912903980","1912903980")</f>
        <v>1912903980</v>
      </c>
      <c r="E29368" s="1" t="s">
        <v>3077</v>
      </c>
      <c r="F29368" s="2"/>
      <c r="G29368" s="2"/>
      <c r="H29368" s="2"/>
    </row>
    <row r="29369" spans="1:8" x14ac:dyDescent="0.25">
      <c r="A29369" s="1"/>
      <c r="B29369" s="1" t="s">
        <v>7328</v>
      </c>
      <c r="C29369" s="1" t="s">
        <v>7329</v>
      </c>
      <c r="D29369" s="22" t="str">
        <f>HYPERLINK("https://rhld.insurance.arkansas.gov/NPILookup?Npi=1912904251","1912904251")</f>
        <v>1912904251</v>
      </c>
      <c r="E29369" s="1" t="s">
        <v>18601</v>
      </c>
      <c r="F29369" s="2"/>
      <c r="G29369" s="2"/>
      <c r="H29369" s="2"/>
    </row>
    <row r="29370" spans="1:8" x14ac:dyDescent="0.25">
      <c r="A29370" s="1"/>
      <c r="B29370" s="1" t="s">
        <v>7328</v>
      </c>
      <c r="C29370" s="1" t="s">
        <v>7329</v>
      </c>
      <c r="D29370" s="22" t="str">
        <f>HYPERLINK("https://rhld.insurance.arkansas.gov/NPILookup?Npi=1912906421","1912906421")</f>
        <v>1912906421</v>
      </c>
      <c r="E29370" s="1" t="s">
        <v>29189</v>
      </c>
      <c r="F29370" s="2"/>
      <c r="G29370" s="2"/>
      <c r="H29370" s="2"/>
    </row>
    <row r="29371" spans="1:8" x14ac:dyDescent="0.25">
      <c r="A29371" s="1"/>
      <c r="B29371" s="1" t="s">
        <v>7328</v>
      </c>
      <c r="C29371" s="1" t="s">
        <v>7329</v>
      </c>
      <c r="D29371" s="22" t="str">
        <f>HYPERLINK("https://rhld.insurance.arkansas.gov/NPILookup?Npi=1912908443","1912908443")</f>
        <v>1912908443</v>
      </c>
      <c r="E29371" s="1" t="s">
        <v>29190</v>
      </c>
      <c r="F29371" s="2"/>
      <c r="G29371" s="2"/>
      <c r="H29371" s="2"/>
    </row>
    <row r="29372" spans="1:8" x14ac:dyDescent="0.25">
      <c r="A29372" s="1"/>
      <c r="B29372" s="1" t="s">
        <v>7328</v>
      </c>
      <c r="C29372" s="1" t="s">
        <v>7329</v>
      </c>
      <c r="D29372" s="22" t="str">
        <f>HYPERLINK("https://rhld.insurance.arkansas.gov/NPILookup?Npi=1912909508","1912909508")</f>
        <v>1912909508</v>
      </c>
      <c r="E29372" s="1" t="s">
        <v>1487</v>
      </c>
      <c r="F29372" s="2"/>
      <c r="G29372" s="2"/>
      <c r="H29372" s="2"/>
    </row>
    <row r="29373" spans="1:8" x14ac:dyDescent="0.25">
      <c r="A29373" s="1"/>
      <c r="B29373" s="1" t="s">
        <v>7328</v>
      </c>
      <c r="C29373" s="1" t="s">
        <v>7329</v>
      </c>
      <c r="D29373" s="22" t="str">
        <f>HYPERLINK("https://rhld.insurance.arkansas.gov/NPILookup?Npi=1912916230","1912916230")</f>
        <v>1912916230</v>
      </c>
      <c r="E29373" s="1" t="s">
        <v>29191</v>
      </c>
      <c r="F29373" s="2"/>
      <c r="G29373" s="2"/>
      <c r="H29373" s="2"/>
    </row>
    <row r="29374" spans="1:8" x14ac:dyDescent="0.25">
      <c r="A29374" s="1"/>
      <c r="B29374" s="1" t="s">
        <v>7328</v>
      </c>
      <c r="C29374" s="1" t="s">
        <v>7329</v>
      </c>
      <c r="D29374" s="22" t="str">
        <f>HYPERLINK("https://rhld.insurance.arkansas.gov/NPILookup?Npi=1912919234","1912919234")</f>
        <v>1912919234</v>
      </c>
      <c r="E29374" s="1" t="s">
        <v>29192</v>
      </c>
      <c r="F29374" s="2"/>
      <c r="G29374" s="2"/>
      <c r="H29374" s="2"/>
    </row>
    <row r="29375" spans="1:8" x14ac:dyDescent="0.25">
      <c r="A29375" s="1"/>
      <c r="B29375" s="1" t="s">
        <v>7328</v>
      </c>
      <c r="C29375" s="1" t="s">
        <v>7329</v>
      </c>
      <c r="D29375" s="22" t="str">
        <f>HYPERLINK("https://rhld.insurance.arkansas.gov/NPILookup?Npi=1912930967","1912930967")</f>
        <v>1912930967</v>
      </c>
      <c r="E29375" s="1" t="s">
        <v>29193</v>
      </c>
      <c r="F29375" s="2"/>
      <c r="G29375" s="2"/>
      <c r="H29375" s="2"/>
    </row>
    <row r="29376" spans="1:8" x14ac:dyDescent="0.25">
      <c r="A29376" s="1"/>
      <c r="B29376" s="1" t="s">
        <v>7328</v>
      </c>
      <c r="C29376" s="1" t="s">
        <v>7329</v>
      </c>
      <c r="D29376" s="22" t="str">
        <f>HYPERLINK("https://rhld.insurance.arkansas.gov/NPILookup?Npi=1912932930","1912932930")</f>
        <v>1912932930</v>
      </c>
      <c r="E29376" s="1" t="s">
        <v>29194</v>
      </c>
      <c r="F29376" s="2"/>
      <c r="G29376" s="2"/>
      <c r="H29376" s="2"/>
    </row>
    <row r="29377" spans="1:8" x14ac:dyDescent="0.25">
      <c r="A29377" s="1"/>
      <c r="B29377" s="1" t="s">
        <v>7328</v>
      </c>
      <c r="C29377" s="1" t="s">
        <v>7329</v>
      </c>
      <c r="D29377" s="22" t="str">
        <f>HYPERLINK("https://rhld.insurance.arkansas.gov/NPILookup?Npi=1912933854","1912933854")</f>
        <v>1912933854</v>
      </c>
      <c r="E29377" s="1" t="s">
        <v>17992</v>
      </c>
      <c r="F29377" s="2"/>
      <c r="G29377" s="2"/>
      <c r="H29377" s="2"/>
    </row>
    <row r="29378" spans="1:8" x14ac:dyDescent="0.25">
      <c r="A29378" s="1"/>
      <c r="B29378" s="1" t="s">
        <v>7328</v>
      </c>
      <c r="C29378" s="1" t="s">
        <v>7329</v>
      </c>
      <c r="D29378" s="22" t="str">
        <f>HYPERLINK("https://rhld.insurance.arkansas.gov/NPILookup?Npi=1912957820","1912957820")</f>
        <v>1912957820</v>
      </c>
      <c r="E29378" s="1" t="s">
        <v>29195</v>
      </c>
      <c r="F29378" s="2"/>
      <c r="G29378" s="2"/>
      <c r="H29378" s="2"/>
    </row>
    <row r="29379" spans="1:8" x14ac:dyDescent="0.25">
      <c r="A29379" s="1"/>
      <c r="B29379" s="1" t="s">
        <v>7328</v>
      </c>
      <c r="C29379" s="1" t="s">
        <v>7329</v>
      </c>
      <c r="D29379" s="22" t="str">
        <f>HYPERLINK("https://rhld.insurance.arkansas.gov/NPILookup?Npi=1912960238","1912960238")</f>
        <v>1912960238</v>
      </c>
      <c r="E29379" s="1" t="s">
        <v>29196</v>
      </c>
      <c r="F29379" s="2"/>
      <c r="G29379" s="2"/>
      <c r="H29379" s="2"/>
    </row>
    <row r="29380" spans="1:8" x14ac:dyDescent="0.25">
      <c r="A29380" s="1"/>
      <c r="B29380" s="1" t="s">
        <v>7328</v>
      </c>
      <c r="C29380" s="1" t="s">
        <v>7329</v>
      </c>
      <c r="D29380" s="22" t="str">
        <f>HYPERLINK("https://rhld.insurance.arkansas.gov/NPILookup?Npi=1912960519","1912960519")</f>
        <v>1912960519</v>
      </c>
      <c r="E29380" s="1" t="s">
        <v>1041</v>
      </c>
      <c r="F29380" s="2"/>
      <c r="G29380" s="2"/>
      <c r="H29380" s="2"/>
    </row>
    <row r="29381" spans="1:8" x14ac:dyDescent="0.25">
      <c r="A29381" s="1"/>
      <c r="B29381" s="1" t="s">
        <v>7328</v>
      </c>
      <c r="C29381" s="1" t="s">
        <v>7329</v>
      </c>
      <c r="D29381" s="22" t="str">
        <f>HYPERLINK("https://rhld.insurance.arkansas.gov/NPILookup?Npi=1912962143","1912962143")</f>
        <v>1912962143</v>
      </c>
      <c r="E29381" s="1" t="s">
        <v>17993</v>
      </c>
      <c r="F29381" s="2"/>
      <c r="G29381" s="2"/>
      <c r="H29381" s="2"/>
    </row>
    <row r="29382" spans="1:8" x14ac:dyDescent="0.25">
      <c r="A29382" s="1"/>
      <c r="B29382" s="1" t="s">
        <v>7328</v>
      </c>
      <c r="C29382" s="1" t="s">
        <v>7329</v>
      </c>
      <c r="D29382" s="22" t="str">
        <f>HYPERLINK("https://rhld.insurance.arkansas.gov/NPILookup?Npi=1912962291","1912962291")</f>
        <v>1912962291</v>
      </c>
      <c r="E29382" s="1" t="s">
        <v>8187</v>
      </c>
      <c r="F29382" s="2"/>
      <c r="G29382" s="2"/>
      <c r="H29382" s="2"/>
    </row>
    <row r="29383" spans="1:8" x14ac:dyDescent="0.25">
      <c r="A29383" s="1"/>
      <c r="B29383" s="1" t="s">
        <v>7328</v>
      </c>
      <c r="C29383" s="1" t="s">
        <v>7329</v>
      </c>
      <c r="D29383" s="22" t="str">
        <f>HYPERLINK("https://rhld.insurance.arkansas.gov/NPILookup?Npi=1912975111","1912975111")</f>
        <v>1912975111</v>
      </c>
      <c r="E29383" s="1" t="s">
        <v>13782</v>
      </c>
      <c r="F29383" s="2"/>
      <c r="G29383" s="2"/>
      <c r="H29383" s="2"/>
    </row>
    <row r="29384" spans="1:8" x14ac:dyDescent="0.25">
      <c r="A29384" s="1"/>
      <c r="B29384" s="1" t="s">
        <v>7328</v>
      </c>
      <c r="C29384" s="1" t="s">
        <v>7329</v>
      </c>
      <c r="D29384" s="22" t="str">
        <f>HYPERLINK("https://rhld.insurance.arkansas.gov/NPILookup?Npi=1922003169","1922003169")</f>
        <v>1922003169</v>
      </c>
      <c r="E29384" s="1" t="s">
        <v>9736</v>
      </c>
      <c r="F29384" s="2"/>
      <c r="G29384" s="2"/>
      <c r="H29384" s="2"/>
    </row>
    <row r="29385" spans="1:8" x14ac:dyDescent="0.25">
      <c r="A29385" s="1"/>
      <c r="B29385" s="1" t="s">
        <v>7328</v>
      </c>
      <c r="C29385" s="1" t="s">
        <v>7329</v>
      </c>
      <c r="D29385" s="22" t="str">
        <f>HYPERLINK("https://rhld.insurance.arkansas.gov/NPILookup?Npi=1922005974","1922005974")</f>
        <v>1922005974</v>
      </c>
      <c r="E29385" s="1" t="s">
        <v>13783</v>
      </c>
      <c r="F29385" s="2"/>
      <c r="G29385" s="2"/>
      <c r="H29385" s="2"/>
    </row>
    <row r="29386" spans="1:8" x14ac:dyDescent="0.25">
      <c r="A29386" s="1"/>
      <c r="B29386" s="1" t="s">
        <v>7328</v>
      </c>
      <c r="C29386" s="1" t="s">
        <v>7329</v>
      </c>
      <c r="D29386" s="22" t="str">
        <f>HYPERLINK("https://rhld.insurance.arkansas.gov/NPILookup?Npi=1922007905","1922007905")</f>
        <v>1922007905</v>
      </c>
      <c r="E29386" s="1" t="s">
        <v>13784</v>
      </c>
      <c r="F29386" s="2"/>
      <c r="G29386" s="2"/>
      <c r="H29386" s="2"/>
    </row>
    <row r="29387" spans="1:8" x14ac:dyDescent="0.25">
      <c r="A29387" s="1"/>
      <c r="B29387" s="1" t="s">
        <v>7328</v>
      </c>
      <c r="C29387" s="1" t="s">
        <v>7329</v>
      </c>
      <c r="D29387" s="22" t="str">
        <f>HYPERLINK("https://rhld.insurance.arkansas.gov/NPILookup?Npi=1922016674","1922016674")</f>
        <v>1922016674</v>
      </c>
      <c r="E29387" s="1" t="s">
        <v>29197</v>
      </c>
      <c r="F29387" s="2"/>
      <c r="G29387" s="2"/>
      <c r="H29387" s="2"/>
    </row>
    <row r="29388" spans="1:8" x14ac:dyDescent="0.25">
      <c r="A29388" s="1"/>
      <c r="B29388" s="1" t="s">
        <v>7328</v>
      </c>
      <c r="C29388" s="1" t="s">
        <v>7329</v>
      </c>
      <c r="D29388" s="22" t="str">
        <f>HYPERLINK("https://rhld.insurance.arkansas.gov/NPILookup?Npi=1922041326","1922041326")</f>
        <v>1922041326</v>
      </c>
      <c r="E29388" s="1" t="s">
        <v>121</v>
      </c>
      <c r="F29388" s="2"/>
      <c r="G29388" s="2"/>
      <c r="H29388" s="2"/>
    </row>
    <row r="29389" spans="1:8" x14ac:dyDescent="0.25">
      <c r="A29389" s="1"/>
      <c r="B29389" s="1" t="s">
        <v>7328</v>
      </c>
      <c r="C29389" s="1" t="s">
        <v>7329</v>
      </c>
      <c r="D29389" s="22" t="str">
        <f>HYPERLINK("https://rhld.insurance.arkansas.gov/NPILookup?Npi=1922054428","1922054428")</f>
        <v>1922054428</v>
      </c>
      <c r="E29389" s="1" t="s">
        <v>29198</v>
      </c>
      <c r="F29389" s="2"/>
      <c r="G29389" s="2"/>
      <c r="H29389" s="2"/>
    </row>
    <row r="29390" spans="1:8" x14ac:dyDescent="0.25">
      <c r="A29390" s="1"/>
      <c r="B29390" s="1" t="s">
        <v>7328</v>
      </c>
      <c r="C29390" s="1" t="s">
        <v>7329</v>
      </c>
      <c r="D29390" s="22" t="str">
        <f>HYPERLINK("https://rhld.insurance.arkansas.gov/NPILookup?Npi=1922057900","1922057900")</f>
        <v>1922057900</v>
      </c>
      <c r="E29390" s="1" t="s">
        <v>718</v>
      </c>
      <c r="F29390" s="2"/>
      <c r="G29390" s="2"/>
      <c r="H29390" s="2"/>
    </row>
    <row r="29391" spans="1:8" x14ac:dyDescent="0.25">
      <c r="A29391" s="1"/>
      <c r="B29391" s="1" t="s">
        <v>7328</v>
      </c>
      <c r="C29391" s="1" t="s">
        <v>7329</v>
      </c>
      <c r="D29391" s="22" t="str">
        <f>HYPERLINK("https://rhld.insurance.arkansas.gov/NPILookup?Npi=1922060268","1922060268")</f>
        <v>1922060268</v>
      </c>
      <c r="E29391" s="1" t="s">
        <v>29199</v>
      </c>
      <c r="F29391" s="2"/>
      <c r="G29391" s="2"/>
      <c r="H29391" s="2"/>
    </row>
    <row r="29392" spans="1:8" x14ac:dyDescent="0.25">
      <c r="A29392" s="1"/>
      <c r="B29392" s="1" t="s">
        <v>7328</v>
      </c>
      <c r="C29392" s="1" t="s">
        <v>7329</v>
      </c>
      <c r="D29392" s="22" t="str">
        <f>HYPERLINK("https://rhld.insurance.arkansas.gov/NPILookup?Npi=1922071695","1922071695")</f>
        <v>1922071695</v>
      </c>
      <c r="E29392" s="1" t="s">
        <v>29200</v>
      </c>
      <c r="F29392" s="2"/>
      <c r="G29392" s="2"/>
      <c r="H29392" s="2"/>
    </row>
    <row r="29393" spans="1:8" x14ac:dyDescent="0.25">
      <c r="A29393" s="1"/>
      <c r="B29393" s="1" t="s">
        <v>7328</v>
      </c>
      <c r="C29393" s="1" t="s">
        <v>7329</v>
      </c>
      <c r="D29393" s="22" t="str">
        <f>HYPERLINK("https://rhld.insurance.arkansas.gov/NPILookup?Npi=1922088269","1922088269")</f>
        <v>1922088269</v>
      </c>
      <c r="E29393" s="1" t="s">
        <v>3078</v>
      </c>
      <c r="F29393" s="2"/>
      <c r="G29393" s="2"/>
      <c r="H29393" s="2"/>
    </row>
    <row r="29394" spans="1:8" x14ac:dyDescent="0.25">
      <c r="A29394" s="1"/>
      <c r="B29394" s="1" t="s">
        <v>7328</v>
      </c>
      <c r="C29394" s="1" t="s">
        <v>7329</v>
      </c>
      <c r="D29394" s="22" t="str">
        <f>HYPERLINK("https://rhld.insurance.arkansas.gov/NPILookup?Npi=1922090836","1922090836")</f>
        <v>1922090836</v>
      </c>
      <c r="E29394" s="1" t="s">
        <v>17994</v>
      </c>
      <c r="F29394" s="2"/>
      <c r="G29394" s="2"/>
      <c r="H29394" s="2"/>
    </row>
    <row r="29395" spans="1:8" x14ac:dyDescent="0.25">
      <c r="A29395" s="1"/>
      <c r="B29395" s="1" t="s">
        <v>7328</v>
      </c>
      <c r="C29395" s="1" t="s">
        <v>7329</v>
      </c>
      <c r="D29395" s="22" t="str">
        <f>HYPERLINK("https://rhld.insurance.arkansas.gov/NPILookup?Npi=1922096379","1922096379")</f>
        <v>1922096379</v>
      </c>
      <c r="E29395" s="1" t="s">
        <v>29201</v>
      </c>
      <c r="F29395" s="2"/>
      <c r="G29395" s="2"/>
      <c r="H29395" s="2"/>
    </row>
    <row r="29396" spans="1:8" x14ac:dyDescent="0.25">
      <c r="A29396" s="1"/>
      <c r="B29396" s="1" t="s">
        <v>7328</v>
      </c>
      <c r="C29396" s="1" t="s">
        <v>7329</v>
      </c>
      <c r="D29396" s="22" t="str">
        <f>HYPERLINK("https://rhld.insurance.arkansas.gov/NPILookup?Npi=1922101716","1922101716")</f>
        <v>1922101716</v>
      </c>
      <c r="E29396" s="1" t="s">
        <v>13785</v>
      </c>
      <c r="F29396" s="2"/>
      <c r="G29396" s="2"/>
      <c r="H29396" s="2"/>
    </row>
    <row r="29397" spans="1:8" x14ac:dyDescent="0.25">
      <c r="A29397" s="1"/>
      <c r="B29397" s="1" t="s">
        <v>7328</v>
      </c>
      <c r="C29397" s="1" t="s">
        <v>7329</v>
      </c>
      <c r="D29397" s="22" t="str">
        <f>HYPERLINK("https://rhld.insurance.arkansas.gov/NPILookup?Npi=1922102235","1922102235")</f>
        <v>1922102235</v>
      </c>
      <c r="E29397" s="1" t="s">
        <v>218</v>
      </c>
      <c r="F29397" s="2"/>
      <c r="G29397" s="2"/>
      <c r="H29397" s="2"/>
    </row>
    <row r="29398" spans="1:8" x14ac:dyDescent="0.25">
      <c r="A29398" s="1"/>
      <c r="B29398" s="1" t="s">
        <v>7328</v>
      </c>
      <c r="C29398" s="1" t="s">
        <v>7329</v>
      </c>
      <c r="D29398" s="22" t="str">
        <f>HYPERLINK("https://rhld.insurance.arkansas.gov/NPILookup?Npi=1922122530","1922122530")</f>
        <v>1922122530</v>
      </c>
      <c r="E29398" s="1" t="s">
        <v>13786</v>
      </c>
      <c r="F29398" s="2"/>
      <c r="G29398" s="2"/>
      <c r="H29398" s="2"/>
    </row>
    <row r="29399" spans="1:8" x14ac:dyDescent="0.25">
      <c r="A29399" s="1"/>
      <c r="B29399" s="1" t="s">
        <v>7328</v>
      </c>
      <c r="C29399" s="1" t="s">
        <v>7329</v>
      </c>
      <c r="D29399" s="22" t="str">
        <f>HYPERLINK("https://rhld.insurance.arkansas.gov/NPILookup?Npi=1922126150","1922126150")</f>
        <v>1922126150</v>
      </c>
      <c r="E29399" s="1" t="s">
        <v>29202</v>
      </c>
      <c r="F29399" s="2"/>
      <c r="G29399" s="2"/>
      <c r="H29399" s="2"/>
    </row>
    <row r="29400" spans="1:8" x14ac:dyDescent="0.25">
      <c r="A29400" s="1"/>
      <c r="B29400" s="1" t="s">
        <v>7328</v>
      </c>
      <c r="C29400" s="1" t="s">
        <v>7329</v>
      </c>
      <c r="D29400" s="22" t="str">
        <f>HYPERLINK("https://rhld.insurance.arkansas.gov/NPILookup?Npi=1922133206","1922133206")</f>
        <v>1922133206</v>
      </c>
      <c r="E29400" s="1" t="s">
        <v>29203</v>
      </c>
      <c r="F29400" s="2"/>
      <c r="G29400" s="2"/>
      <c r="H29400" s="2"/>
    </row>
    <row r="29401" spans="1:8" x14ac:dyDescent="0.25">
      <c r="A29401" s="1"/>
      <c r="B29401" s="1" t="s">
        <v>7328</v>
      </c>
      <c r="C29401" s="1" t="s">
        <v>7329</v>
      </c>
      <c r="D29401" s="22" t="str">
        <f>HYPERLINK("https://rhld.insurance.arkansas.gov/NPILookup?Npi=1922172790","1922172790")</f>
        <v>1922172790</v>
      </c>
      <c r="E29401" s="1" t="s">
        <v>29204</v>
      </c>
      <c r="F29401" s="2"/>
      <c r="G29401" s="2"/>
      <c r="H29401" s="2"/>
    </row>
    <row r="29402" spans="1:8" x14ac:dyDescent="0.25">
      <c r="A29402" s="1"/>
      <c r="B29402" s="1" t="s">
        <v>7328</v>
      </c>
      <c r="C29402" s="1" t="s">
        <v>7329</v>
      </c>
      <c r="D29402" s="22" t="str">
        <f>HYPERLINK("https://rhld.insurance.arkansas.gov/NPILookup?Npi=1922176569","1922176569")</f>
        <v>1922176569</v>
      </c>
      <c r="E29402" s="1" t="s">
        <v>2099</v>
      </c>
      <c r="F29402" s="2"/>
      <c r="G29402" s="2"/>
      <c r="H29402" s="2"/>
    </row>
    <row r="29403" spans="1:8" x14ac:dyDescent="0.25">
      <c r="A29403" s="1"/>
      <c r="B29403" s="1" t="s">
        <v>7328</v>
      </c>
      <c r="C29403" s="1" t="s">
        <v>7329</v>
      </c>
      <c r="D29403" s="22" t="str">
        <f>HYPERLINK("https://rhld.insurance.arkansas.gov/NPILookup?Npi=1922201839","1922201839")</f>
        <v>1922201839</v>
      </c>
      <c r="E29403" s="1" t="s">
        <v>29205</v>
      </c>
      <c r="F29403" s="2"/>
      <c r="G29403" s="2"/>
      <c r="H29403" s="2"/>
    </row>
    <row r="29404" spans="1:8" x14ac:dyDescent="0.25">
      <c r="A29404" s="1"/>
      <c r="B29404" s="1" t="s">
        <v>7328</v>
      </c>
      <c r="C29404" s="1" t="s">
        <v>7329</v>
      </c>
      <c r="D29404" s="22" t="str">
        <f>HYPERLINK("https://rhld.insurance.arkansas.gov/NPILookup?Npi=1922209303","1922209303")</f>
        <v>1922209303</v>
      </c>
      <c r="E29404" s="1" t="s">
        <v>8188</v>
      </c>
      <c r="F29404" s="2"/>
      <c r="G29404" s="2"/>
      <c r="H29404" s="2"/>
    </row>
    <row r="29405" spans="1:8" x14ac:dyDescent="0.25">
      <c r="A29405" s="1"/>
      <c r="B29405" s="1" t="s">
        <v>7328</v>
      </c>
      <c r="C29405" s="1" t="s">
        <v>7329</v>
      </c>
      <c r="D29405" s="22" t="str">
        <f>HYPERLINK("https://rhld.insurance.arkansas.gov/NPILookup?Npi=1922231307","1922231307")</f>
        <v>1922231307</v>
      </c>
      <c r="E29405" s="1" t="s">
        <v>2100</v>
      </c>
      <c r="F29405" s="2"/>
      <c r="G29405" s="2"/>
      <c r="H29405" s="2"/>
    </row>
    <row r="29406" spans="1:8" x14ac:dyDescent="0.25">
      <c r="A29406" s="1"/>
      <c r="B29406" s="1" t="s">
        <v>7328</v>
      </c>
      <c r="C29406" s="1" t="s">
        <v>7329</v>
      </c>
      <c r="D29406" s="22" t="str">
        <f>HYPERLINK("https://rhld.insurance.arkansas.gov/NPILookup?Npi=1922233618","1922233618")</f>
        <v>1922233618</v>
      </c>
      <c r="E29406" s="1" t="s">
        <v>29206</v>
      </c>
      <c r="F29406" s="2"/>
      <c r="G29406" s="2"/>
      <c r="H29406" s="2"/>
    </row>
    <row r="29407" spans="1:8" x14ac:dyDescent="0.25">
      <c r="A29407" s="1"/>
      <c r="B29407" s="1" t="s">
        <v>7328</v>
      </c>
      <c r="C29407" s="1" t="s">
        <v>7329</v>
      </c>
      <c r="D29407" s="22" t="str">
        <f>HYPERLINK("https://rhld.insurance.arkansas.gov/NPILookup?Npi=1922260033","1922260033")</f>
        <v>1922260033</v>
      </c>
      <c r="E29407" s="1" t="s">
        <v>13787</v>
      </c>
      <c r="F29407" s="2"/>
      <c r="G29407" s="2"/>
      <c r="H29407" s="2"/>
    </row>
    <row r="29408" spans="1:8" x14ac:dyDescent="0.25">
      <c r="A29408" s="1"/>
      <c r="B29408" s="1" t="s">
        <v>7328</v>
      </c>
      <c r="C29408" s="1" t="s">
        <v>7329</v>
      </c>
      <c r="D29408" s="22" t="str">
        <f>HYPERLINK("https://rhld.insurance.arkansas.gov/NPILookup?Npi=1922265560","1922265560")</f>
        <v>1922265560</v>
      </c>
      <c r="E29408" s="1" t="s">
        <v>29207</v>
      </c>
      <c r="F29408" s="2"/>
      <c r="G29408" s="2"/>
      <c r="H29408" s="2"/>
    </row>
    <row r="29409" spans="1:8" x14ac:dyDescent="0.25">
      <c r="A29409" s="1"/>
      <c r="B29409" s="1" t="s">
        <v>7328</v>
      </c>
      <c r="C29409" s="1" t="s">
        <v>7329</v>
      </c>
      <c r="D29409" s="22" t="str">
        <f>HYPERLINK("https://rhld.insurance.arkansas.gov/NPILookup?Npi=1922268911","1922268911")</f>
        <v>1922268911</v>
      </c>
      <c r="E29409" s="1" t="s">
        <v>904</v>
      </c>
      <c r="F29409" s="2"/>
      <c r="G29409" s="2"/>
      <c r="H29409" s="2"/>
    </row>
    <row r="29410" spans="1:8" x14ac:dyDescent="0.25">
      <c r="A29410" s="1"/>
      <c r="B29410" s="1" t="s">
        <v>7328</v>
      </c>
      <c r="C29410" s="1" t="s">
        <v>7329</v>
      </c>
      <c r="D29410" s="22" t="str">
        <f>HYPERLINK("https://rhld.insurance.arkansas.gov/NPILookup?Npi=1922278878","1922278878")</f>
        <v>1922278878</v>
      </c>
      <c r="E29410" s="1" t="s">
        <v>3079</v>
      </c>
      <c r="F29410" s="2"/>
      <c r="G29410" s="2"/>
      <c r="H29410" s="2"/>
    </row>
    <row r="29411" spans="1:8" x14ac:dyDescent="0.25">
      <c r="A29411" s="1"/>
      <c r="B29411" s="1" t="s">
        <v>7328</v>
      </c>
      <c r="C29411" s="1" t="s">
        <v>7329</v>
      </c>
      <c r="D29411" s="22" t="str">
        <f>HYPERLINK("https://rhld.insurance.arkansas.gov/NPILookup?Npi=1922299072","1922299072")</f>
        <v>1922299072</v>
      </c>
      <c r="E29411" s="1" t="s">
        <v>13788</v>
      </c>
      <c r="F29411" s="2"/>
      <c r="G29411" s="2"/>
      <c r="H29411" s="2"/>
    </row>
    <row r="29412" spans="1:8" x14ac:dyDescent="0.25">
      <c r="A29412" s="1"/>
      <c r="B29412" s="1" t="s">
        <v>7328</v>
      </c>
      <c r="C29412" s="1" t="s">
        <v>7329</v>
      </c>
      <c r="D29412" s="22" t="str">
        <f>HYPERLINK("https://rhld.insurance.arkansas.gov/NPILookup?Npi=1922304369","1922304369")</f>
        <v>1922304369</v>
      </c>
      <c r="E29412" s="1" t="s">
        <v>29208</v>
      </c>
      <c r="F29412" s="2"/>
      <c r="G29412" s="2"/>
      <c r="H29412" s="2"/>
    </row>
    <row r="29413" spans="1:8" x14ac:dyDescent="0.25">
      <c r="A29413" s="1"/>
      <c r="B29413" s="1" t="s">
        <v>7328</v>
      </c>
      <c r="C29413" s="1" t="s">
        <v>7329</v>
      </c>
      <c r="D29413" s="22" t="str">
        <f>HYPERLINK("https://rhld.insurance.arkansas.gov/NPILookup?Npi=1922305051","1922305051")</f>
        <v>1922305051</v>
      </c>
      <c r="E29413" s="1" t="s">
        <v>29209</v>
      </c>
      <c r="F29413" s="2"/>
      <c r="G29413" s="2"/>
      <c r="H29413" s="2"/>
    </row>
    <row r="29414" spans="1:8" x14ac:dyDescent="0.25">
      <c r="A29414" s="1"/>
      <c r="B29414" s="1" t="s">
        <v>7328</v>
      </c>
      <c r="C29414" s="1" t="s">
        <v>7329</v>
      </c>
      <c r="D29414" s="22" t="str">
        <f>HYPERLINK("https://rhld.insurance.arkansas.gov/NPILookup?Npi=1922307784","1922307784")</f>
        <v>1922307784</v>
      </c>
      <c r="E29414" s="1" t="s">
        <v>3081</v>
      </c>
      <c r="F29414" s="2"/>
      <c r="G29414" s="2"/>
      <c r="H29414" s="2"/>
    </row>
    <row r="29415" spans="1:8" x14ac:dyDescent="0.25">
      <c r="A29415" s="1"/>
      <c r="B29415" s="1" t="s">
        <v>7328</v>
      </c>
      <c r="C29415" s="1" t="s">
        <v>7329</v>
      </c>
      <c r="D29415" s="22" t="str">
        <f>HYPERLINK("https://rhld.insurance.arkansas.gov/NPILookup?Npi=1922310531","1922310531")</f>
        <v>1922310531</v>
      </c>
      <c r="E29415" s="1" t="s">
        <v>29210</v>
      </c>
      <c r="F29415" s="2"/>
      <c r="G29415" s="2"/>
      <c r="H29415" s="2"/>
    </row>
    <row r="29416" spans="1:8" x14ac:dyDescent="0.25">
      <c r="A29416" s="1"/>
      <c r="B29416" s="1" t="s">
        <v>7328</v>
      </c>
      <c r="C29416" s="1" t="s">
        <v>7329</v>
      </c>
      <c r="D29416" s="22" t="str">
        <f>HYPERLINK("https://rhld.insurance.arkansas.gov/NPILookup?Npi=1922314863","1922314863")</f>
        <v>1922314863</v>
      </c>
      <c r="E29416" s="1" t="s">
        <v>29211</v>
      </c>
      <c r="F29416" s="2"/>
      <c r="G29416" s="2"/>
      <c r="H29416" s="2"/>
    </row>
    <row r="29417" spans="1:8" x14ac:dyDescent="0.25">
      <c r="A29417" s="1"/>
      <c r="B29417" s="1" t="s">
        <v>7328</v>
      </c>
      <c r="C29417" s="1" t="s">
        <v>7329</v>
      </c>
      <c r="D29417" s="22" t="str">
        <f>HYPERLINK("https://rhld.insurance.arkansas.gov/NPILookup?Npi=1922348689","1922348689")</f>
        <v>1922348689</v>
      </c>
      <c r="E29417" s="1" t="s">
        <v>29212</v>
      </c>
      <c r="F29417" s="2"/>
      <c r="G29417" s="2"/>
      <c r="H29417" s="2"/>
    </row>
    <row r="29418" spans="1:8" x14ac:dyDescent="0.25">
      <c r="A29418" s="1"/>
      <c r="B29418" s="1" t="s">
        <v>7328</v>
      </c>
      <c r="C29418" s="1" t="s">
        <v>7329</v>
      </c>
      <c r="D29418" s="22" t="str">
        <f>HYPERLINK("https://rhld.insurance.arkansas.gov/NPILookup?Npi=1922361740","1922361740")</f>
        <v>1922361740</v>
      </c>
      <c r="E29418" s="1" t="s">
        <v>29213</v>
      </c>
      <c r="F29418" s="2"/>
      <c r="G29418" s="2"/>
      <c r="H29418" s="2"/>
    </row>
    <row r="29419" spans="1:8" x14ac:dyDescent="0.25">
      <c r="A29419" s="1"/>
      <c r="B29419" s="1" t="s">
        <v>7328</v>
      </c>
      <c r="C29419" s="1" t="s">
        <v>7329</v>
      </c>
      <c r="D29419" s="22" t="str">
        <f>HYPERLINK("https://rhld.insurance.arkansas.gov/NPILookup?Npi=1922363175","1922363175")</f>
        <v>1922363175</v>
      </c>
      <c r="E29419" s="1" t="s">
        <v>29214</v>
      </c>
      <c r="F29419" s="2"/>
      <c r="G29419" s="2"/>
      <c r="H29419" s="2"/>
    </row>
    <row r="29420" spans="1:8" x14ac:dyDescent="0.25">
      <c r="A29420" s="1"/>
      <c r="B29420" s="1" t="s">
        <v>7328</v>
      </c>
      <c r="C29420" s="1" t="s">
        <v>7329</v>
      </c>
      <c r="D29420" s="22" t="str">
        <f>HYPERLINK("https://rhld.insurance.arkansas.gov/NPILookup?Npi=1922372952","1922372952")</f>
        <v>1922372952</v>
      </c>
      <c r="E29420" s="1" t="s">
        <v>29215</v>
      </c>
      <c r="F29420" s="2"/>
      <c r="G29420" s="2"/>
      <c r="H29420" s="2"/>
    </row>
    <row r="29421" spans="1:8" x14ac:dyDescent="0.25">
      <c r="A29421" s="1"/>
      <c r="B29421" s="1" t="s">
        <v>7328</v>
      </c>
      <c r="C29421" s="1" t="s">
        <v>7329</v>
      </c>
      <c r="D29421" s="22" t="str">
        <f>HYPERLINK("https://rhld.insurance.arkansas.gov/NPILookup?Npi=1922390418","1922390418")</f>
        <v>1922390418</v>
      </c>
      <c r="E29421" s="1" t="s">
        <v>13789</v>
      </c>
      <c r="F29421" s="2"/>
      <c r="G29421" s="2"/>
      <c r="H29421" s="2"/>
    </row>
    <row r="29422" spans="1:8" x14ac:dyDescent="0.25">
      <c r="A29422" s="1"/>
      <c r="B29422" s="1" t="s">
        <v>7328</v>
      </c>
      <c r="C29422" s="1" t="s">
        <v>7329</v>
      </c>
      <c r="D29422" s="22" t="str">
        <f>HYPERLINK("https://rhld.insurance.arkansas.gov/NPILookup?Npi=1922422013","1922422013")</f>
        <v>1922422013</v>
      </c>
      <c r="E29422" s="1" t="s">
        <v>1186</v>
      </c>
      <c r="F29422" s="2"/>
      <c r="G29422" s="2"/>
      <c r="H29422" s="2"/>
    </row>
    <row r="29423" spans="1:8" x14ac:dyDescent="0.25">
      <c r="A29423" s="1"/>
      <c r="B29423" s="1" t="s">
        <v>7328</v>
      </c>
      <c r="C29423" s="1" t="s">
        <v>7329</v>
      </c>
      <c r="D29423" s="22" t="str">
        <f>HYPERLINK("https://rhld.insurance.arkansas.gov/NPILookup?Npi=1922428820","1922428820")</f>
        <v>1922428820</v>
      </c>
      <c r="E29423" s="1" t="s">
        <v>29216</v>
      </c>
      <c r="F29423" s="2"/>
      <c r="G29423" s="2"/>
      <c r="H29423" s="2"/>
    </row>
    <row r="29424" spans="1:8" x14ac:dyDescent="0.25">
      <c r="A29424" s="1"/>
      <c r="B29424" s="1" t="s">
        <v>7328</v>
      </c>
      <c r="C29424" s="1" t="s">
        <v>7329</v>
      </c>
      <c r="D29424" s="22" t="str">
        <f>HYPERLINK("https://rhld.insurance.arkansas.gov/NPILookup?Npi=1922434885","1922434885")</f>
        <v>1922434885</v>
      </c>
      <c r="E29424" s="1" t="s">
        <v>13790</v>
      </c>
      <c r="F29424" s="2"/>
      <c r="G29424" s="2"/>
      <c r="H29424" s="2"/>
    </row>
    <row r="29425" spans="1:8" x14ac:dyDescent="0.25">
      <c r="A29425" s="1"/>
      <c r="B29425" s="1" t="s">
        <v>7328</v>
      </c>
      <c r="C29425" s="1" t="s">
        <v>7329</v>
      </c>
      <c r="D29425" s="22" t="str">
        <f>HYPERLINK("https://rhld.insurance.arkansas.gov/NPILookup?Npi=1922442656","1922442656")</f>
        <v>1922442656</v>
      </c>
      <c r="E29425" s="1" t="s">
        <v>1824</v>
      </c>
      <c r="F29425" s="2"/>
      <c r="G29425" s="2"/>
      <c r="H29425" s="2"/>
    </row>
    <row r="29426" spans="1:8" x14ac:dyDescent="0.25">
      <c r="A29426" s="1"/>
      <c r="B29426" s="1" t="s">
        <v>7328</v>
      </c>
      <c r="C29426" s="1" t="s">
        <v>7329</v>
      </c>
      <c r="D29426" s="22" t="str">
        <f>HYPERLINK("https://rhld.insurance.arkansas.gov/NPILookup?Npi=1922452689","1922452689")</f>
        <v>1922452689</v>
      </c>
      <c r="E29426" s="1" t="s">
        <v>13791</v>
      </c>
      <c r="F29426" s="2"/>
      <c r="G29426" s="2"/>
      <c r="H29426" s="2"/>
    </row>
    <row r="29427" spans="1:8" x14ac:dyDescent="0.25">
      <c r="A29427" s="1"/>
      <c r="B29427" s="1" t="s">
        <v>7328</v>
      </c>
      <c r="C29427" s="1" t="s">
        <v>7329</v>
      </c>
      <c r="D29427" s="22" t="str">
        <f>HYPERLINK("https://rhld.insurance.arkansas.gov/NPILookup?Npi=1922453935","1922453935")</f>
        <v>1922453935</v>
      </c>
      <c r="E29427" s="1" t="s">
        <v>13792</v>
      </c>
      <c r="F29427" s="2"/>
      <c r="G29427" s="2"/>
      <c r="H29427" s="2"/>
    </row>
    <row r="29428" spans="1:8" x14ac:dyDescent="0.25">
      <c r="A29428" s="1"/>
      <c r="B29428" s="1" t="s">
        <v>7328</v>
      </c>
      <c r="C29428" s="1" t="s">
        <v>7329</v>
      </c>
      <c r="D29428" s="22" t="str">
        <f>HYPERLINK("https://rhld.insurance.arkansas.gov/NPILookup?Npi=1922457753","1922457753")</f>
        <v>1922457753</v>
      </c>
      <c r="E29428" s="1" t="s">
        <v>2101</v>
      </c>
      <c r="F29428" s="2"/>
      <c r="G29428" s="2"/>
      <c r="H29428" s="2"/>
    </row>
    <row r="29429" spans="1:8" x14ac:dyDescent="0.25">
      <c r="A29429" s="1"/>
      <c r="B29429" s="1" t="s">
        <v>7328</v>
      </c>
      <c r="C29429" s="1" t="s">
        <v>7329</v>
      </c>
      <c r="D29429" s="22" t="str">
        <f>HYPERLINK("https://rhld.insurance.arkansas.gov/NPILookup?Npi=1922458702","1922458702")</f>
        <v>1922458702</v>
      </c>
      <c r="E29429" s="1" t="s">
        <v>29217</v>
      </c>
      <c r="F29429" s="2"/>
      <c r="G29429" s="2"/>
      <c r="H29429" s="2"/>
    </row>
    <row r="29430" spans="1:8" x14ac:dyDescent="0.25">
      <c r="A29430" s="1"/>
      <c r="B29430" s="1" t="s">
        <v>7328</v>
      </c>
      <c r="C29430" s="1" t="s">
        <v>7329</v>
      </c>
      <c r="D29430" s="22" t="str">
        <f>HYPERLINK("https://rhld.insurance.arkansas.gov/NPILookup?Npi=1922459775","1922459775")</f>
        <v>1922459775</v>
      </c>
      <c r="E29430" s="1" t="s">
        <v>29218</v>
      </c>
      <c r="F29430" s="2"/>
      <c r="G29430" s="2"/>
      <c r="H29430" s="2"/>
    </row>
    <row r="29431" spans="1:8" x14ac:dyDescent="0.25">
      <c r="A29431" s="1"/>
      <c r="B29431" s="1" t="s">
        <v>7328</v>
      </c>
      <c r="C29431" s="1" t="s">
        <v>7329</v>
      </c>
      <c r="D29431" s="22" t="str">
        <f>HYPERLINK("https://rhld.insurance.arkansas.gov/NPILookup?Npi=1922460658","1922460658")</f>
        <v>1922460658</v>
      </c>
      <c r="E29431" s="1" t="s">
        <v>8189</v>
      </c>
      <c r="F29431" s="2"/>
      <c r="G29431" s="2"/>
      <c r="H29431" s="2"/>
    </row>
    <row r="29432" spans="1:8" x14ac:dyDescent="0.25">
      <c r="A29432" s="1"/>
      <c r="B29432" s="1" t="s">
        <v>7328</v>
      </c>
      <c r="C29432" s="1" t="s">
        <v>7329</v>
      </c>
      <c r="D29432" s="22" t="str">
        <f>HYPERLINK("https://rhld.insurance.arkansas.gov/NPILookup?Npi=1922461698","1922461698")</f>
        <v>1922461698</v>
      </c>
      <c r="E29432" s="1" t="s">
        <v>8190</v>
      </c>
      <c r="F29432" s="2"/>
      <c r="G29432" s="2"/>
      <c r="H29432" s="2"/>
    </row>
    <row r="29433" spans="1:8" x14ac:dyDescent="0.25">
      <c r="A29433" s="1"/>
      <c r="B29433" s="1" t="s">
        <v>7328</v>
      </c>
      <c r="C29433" s="1" t="s">
        <v>7329</v>
      </c>
      <c r="D29433" s="22" t="str">
        <f>HYPERLINK("https://rhld.insurance.arkansas.gov/NPILookup?Npi=1922463256","1922463256")</f>
        <v>1922463256</v>
      </c>
      <c r="E29433" s="1" t="s">
        <v>29219</v>
      </c>
      <c r="F29433" s="2"/>
      <c r="G29433" s="2"/>
      <c r="H29433" s="2"/>
    </row>
    <row r="29434" spans="1:8" x14ac:dyDescent="0.25">
      <c r="A29434" s="1"/>
      <c r="B29434" s="1" t="s">
        <v>7328</v>
      </c>
      <c r="C29434" s="1" t="s">
        <v>7329</v>
      </c>
      <c r="D29434" s="22" t="str">
        <f>HYPERLINK("https://rhld.insurance.arkansas.gov/NPILookup?Npi=1922474014","1922474014")</f>
        <v>1922474014</v>
      </c>
      <c r="E29434" s="1" t="s">
        <v>29220</v>
      </c>
      <c r="F29434" s="2"/>
      <c r="G29434" s="2"/>
      <c r="H29434" s="2"/>
    </row>
    <row r="29435" spans="1:8" x14ac:dyDescent="0.25">
      <c r="A29435" s="1"/>
      <c r="B29435" s="1" t="s">
        <v>7328</v>
      </c>
      <c r="C29435" s="1" t="s">
        <v>7329</v>
      </c>
      <c r="D29435" s="22" t="str">
        <f>HYPERLINK("https://rhld.insurance.arkansas.gov/NPILookup?Npi=1922489137","1922489137")</f>
        <v>1922489137</v>
      </c>
      <c r="E29435" s="1" t="s">
        <v>863</v>
      </c>
      <c r="F29435" s="2"/>
      <c r="G29435" s="2"/>
      <c r="H29435" s="2"/>
    </row>
    <row r="29436" spans="1:8" x14ac:dyDescent="0.25">
      <c r="A29436" s="1"/>
      <c r="B29436" s="1" t="s">
        <v>7328</v>
      </c>
      <c r="C29436" s="1" t="s">
        <v>7329</v>
      </c>
      <c r="D29436" s="22" t="str">
        <f>HYPERLINK("https://rhld.insurance.arkansas.gov/NPILookup?Npi=1922491307","1922491307")</f>
        <v>1922491307</v>
      </c>
      <c r="E29436" s="1" t="s">
        <v>29221</v>
      </c>
      <c r="F29436" s="2"/>
      <c r="G29436" s="2"/>
      <c r="H29436" s="2"/>
    </row>
    <row r="29437" spans="1:8" x14ac:dyDescent="0.25">
      <c r="A29437" s="1"/>
      <c r="B29437" s="1" t="s">
        <v>7328</v>
      </c>
      <c r="C29437" s="1" t="s">
        <v>7329</v>
      </c>
      <c r="D29437" s="22" t="str">
        <f>HYPERLINK("https://rhld.insurance.arkansas.gov/NPILookup?Npi=1922492859","1922492859")</f>
        <v>1922492859</v>
      </c>
      <c r="E29437" s="1" t="s">
        <v>29222</v>
      </c>
      <c r="F29437" s="2"/>
      <c r="G29437" s="2"/>
      <c r="H29437" s="2"/>
    </row>
    <row r="29438" spans="1:8" x14ac:dyDescent="0.25">
      <c r="A29438" s="1"/>
      <c r="B29438" s="1" t="s">
        <v>7328</v>
      </c>
      <c r="C29438" s="1" t="s">
        <v>7329</v>
      </c>
      <c r="D29438" s="22" t="str">
        <f>HYPERLINK("https://rhld.insurance.arkansas.gov/NPILookup?Npi=1922497049","1922497049")</f>
        <v>1922497049</v>
      </c>
      <c r="E29438" s="1" t="s">
        <v>734</v>
      </c>
      <c r="F29438" s="2"/>
      <c r="G29438" s="2"/>
      <c r="H29438" s="2"/>
    </row>
    <row r="29439" spans="1:8" x14ac:dyDescent="0.25">
      <c r="A29439" s="1"/>
      <c r="B29439" s="1" t="s">
        <v>7328</v>
      </c>
      <c r="C29439" s="1" t="s">
        <v>7329</v>
      </c>
      <c r="D29439" s="22" t="str">
        <f>HYPERLINK("https://rhld.insurance.arkansas.gov/NPILookup?Npi=1922505080","1922505080")</f>
        <v>1922505080</v>
      </c>
      <c r="E29439" s="1" t="s">
        <v>29223</v>
      </c>
      <c r="F29439" s="2"/>
      <c r="G29439" s="2"/>
      <c r="H29439" s="2"/>
    </row>
    <row r="29440" spans="1:8" x14ac:dyDescent="0.25">
      <c r="A29440" s="1"/>
      <c r="B29440" s="1" t="s">
        <v>7328</v>
      </c>
      <c r="C29440" s="1" t="s">
        <v>7329</v>
      </c>
      <c r="D29440" s="22" t="str">
        <f>HYPERLINK("https://rhld.insurance.arkansas.gov/NPILookup?Npi=1922508845","1922508845")</f>
        <v>1922508845</v>
      </c>
      <c r="E29440" s="1" t="s">
        <v>2228</v>
      </c>
      <c r="F29440" s="2"/>
      <c r="G29440" s="2"/>
      <c r="H29440" s="2"/>
    </row>
    <row r="29441" spans="1:8" x14ac:dyDescent="0.25">
      <c r="A29441" s="1"/>
      <c r="B29441" s="1" t="s">
        <v>7328</v>
      </c>
      <c r="C29441" s="1" t="s">
        <v>7329</v>
      </c>
      <c r="D29441" s="22" t="str">
        <f>HYPERLINK("https://rhld.insurance.arkansas.gov/NPILookup?Npi=1922554146","1922554146")</f>
        <v>1922554146</v>
      </c>
      <c r="E29441" s="1" t="s">
        <v>8191</v>
      </c>
      <c r="F29441" s="2"/>
      <c r="G29441" s="2"/>
      <c r="H29441" s="2"/>
    </row>
    <row r="29442" spans="1:8" x14ac:dyDescent="0.25">
      <c r="A29442" s="1"/>
      <c r="B29442" s="1" t="s">
        <v>7328</v>
      </c>
      <c r="C29442" s="1" t="s">
        <v>7329</v>
      </c>
      <c r="D29442" s="22" t="str">
        <f>HYPERLINK("https://rhld.insurance.arkansas.gov/NPILookup?Npi=1922563832","1922563832")</f>
        <v>1922563832</v>
      </c>
      <c r="E29442" s="1" t="s">
        <v>928</v>
      </c>
      <c r="F29442" s="2"/>
      <c r="G29442" s="2"/>
      <c r="H29442" s="2"/>
    </row>
    <row r="29443" spans="1:8" x14ac:dyDescent="0.25">
      <c r="A29443" s="1"/>
      <c r="B29443" s="1" t="s">
        <v>7328</v>
      </c>
      <c r="C29443" s="1" t="s">
        <v>7329</v>
      </c>
      <c r="D29443" s="22" t="str">
        <f>HYPERLINK("https://rhld.insurance.arkansas.gov/NPILookup?Npi=1922565233","1922565233")</f>
        <v>1922565233</v>
      </c>
      <c r="E29443" s="1" t="s">
        <v>2102</v>
      </c>
      <c r="F29443" s="2"/>
      <c r="G29443" s="2"/>
      <c r="H29443" s="2"/>
    </row>
    <row r="29444" spans="1:8" x14ac:dyDescent="0.25">
      <c r="A29444" s="1"/>
      <c r="B29444" s="1" t="s">
        <v>7328</v>
      </c>
      <c r="C29444" s="1" t="s">
        <v>7329</v>
      </c>
      <c r="D29444" s="22" t="str">
        <f>HYPERLINK("https://rhld.insurance.arkansas.gov/NPILookup?Npi=1922566785","1922566785")</f>
        <v>1922566785</v>
      </c>
      <c r="E29444" s="1" t="s">
        <v>13793</v>
      </c>
      <c r="F29444" s="2"/>
      <c r="G29444" s="2"/>
      <c r="H29444" s="2"/>
    </row>
    <row r="29445" spans="1:8" x14ac:dyDescent="0.25">
      <c r="A29445" s="1"/>
      <c r="B29445" s="1" t="s">
        <v>7328</v>
      </c>
      <c r="C29445" s="1" t="s">
        <v>7329</v>
      </c>
      <c r="D29445" s="22" t="str">
        <f>HYPERLINK("https://rhld.insurance.arkansas.gov/NPILookup?Npi=1922568724","1922568724")</f>
        <v>1922568724</v>
      </c>
      <c r="E29445" s="1" t="s">
        <v>29224</v>
      </c>
      <c r="F29445" s="2"/>
      <c r="G29445" s="2"/>
      <c r="H29445" s="2"/>
    </row>
    <row r="29446" spans="1:8" x14ac:dyDescent="0.25">
      <c r="A29446" s="1"/>
      <c r="B29446" s="1" t="s">
        <v>7328</v>
      </c>
      <c r="C29446" s="1" t="s">
        <v>7329</v>
      </c>
      <c r="D29446" s="22" t="str">
        <f>HYPERLINK("https://rhld.insurance.arkansas.gov/NPILookup?Npi=1922573963","1922573963")</f>
        <v>1922573963</v>
      </c>
      <c r="E29446" s="1" t="s">
        <v>3082</v>
      </c>
      <c r="F29446" s="2"/>
      <c r="G29446" s="2"/>
      <c r="H29446" s="2"/>
    </row>
    <row r="29447" spans="1:8" x14ac:dyDescent="0.25">
      <c r="A29447" s="1"/>
      <c r="B29447" s="1" t="s">
        <v>7328</v>
      </c>
      <c r="C29447" s="1" t="s">
        <v>7329</v>
      </c>
      <c r="D29447" s="22" t="str">
        <f>HYPERLINK("https://rhld.insurance.arkansas.gov/NPILookup?Npi=1922580638","1922580638")</f>
        <v>1922580638</v>
      </c>
      <c r="E29447" s="1" t="s">
        <v>1707</v>
      </c>
      <c r="F29447" s="2"/>
      <c r="G29447" s="2"/>
      <c r="H29447" s="2"/>
    </row>
    <row r="29448" spans="1:8" x14ac:dyDescent="0.25">
      <c r="A29448" s="1"/>
      <c r="B29448" s="1" t="s">
        <v>7328</v>
      </c>
      <c r="C29448" s="1" t="s">
        <v>7329</v>
      </c>
      <c r="D29448" s="22" t="str">
        <f>HYPERLINK("https://rhld.insurance.arkansas.gov/NPILookup?Npi=1922587286","1922587286")</f>
        <v>1922587286</v>
      </c>
      <c r="E29448" s="1" t="s">
        <v>8192</v>
      </c>
      <c r="F29448" s="2"/>
      <c r="G29448" s="2"/>
      <c r="H29448" s="2"/>
    </row>
    <row r="29449" spans="1:8" x14ac:dyDescent="0.25">
      <c r="A29449" s="1"/>
      <c r="B29449" s="1" t="s">
        <v>7328</v>
      </c>
      <c r="C29449" s="1" t="s">
        <v>7329</v>
      </c>
      <c r="D29449" s="22" t="str">
        <f>HYPERLINK("https://rhld.insurance.arkansas.gov/NPILookup?Npi=1922605435","1922605435")</f>
        <v>1922605435</v>
      </c>
      <c r="E29449" s="1" t="s">
        <v>29225</v>
      </c>
      <c r="F29449" s="2"/>
      <c r="G29449" s="2"/>
      <c r="H29449" s="2"/>
    </row>
    <row r="29450" spans="1:8" x14ac:dyDescent="0.25">
      <c r="A29450" s="1"/>
      <c r="B29450" s="1" t="s">
        <v>7328</v>
      </c>
      <c r="C29450" s="1" t="s">
        <v>7329</v>
      </c>
      <c r="D29450" s="22" t="str">
        <f>HYPERLINK("https://rhld.insurance.arkansas.gov/NPILookup?Npi=1922611854","1922611854")</f>
        <v>1922611854</v>
      </c>
      <c r="E29450" s="1" t="s">
        <v>8193</v>
      </c>
      <c r="F29450" s="2"/>
      <c r="G29450" s="2"/>
      <c r="H29450" s="2"/>
    </row>
    <row r="29451" spans="1:8" x14ac:dyDescent="0.25">
      <c r="A29451" s="1"/>
      <c r="B29451" s="1" t="s">
        <v>7328</v>
      </c>
      <c r="C29451" s="1" t="s">
        <v>7329</v>
      </c>
      <c r="D29451" s="22" t="str">
        <f>HYPERLINK("https://rhld.insurance.arkansas.gov/NPILookup?Npi=1922619444","1922619444")</f>
        <v>1922619444</v>
      </c>
      <c r="E29451" s="1" t="s">
        <v>13794</v>
      </c>
      <c r="F29451" s="2"/>
      <c r="G29451" s="2"/>
      <c r="H29451" s="2"/>
    </row>
    <row r="29452" spans="1:8" x14ac:dyDescent="0.25">
      <c r="A29452" s="1"/>
      <c r="B29452" s="1" t="s">
        <v>7328</v>
      </c>
      <c r="C29452" s="1" t="s">
        <v>7329</v>
      </c>
      <c r="D29452" s="22" t="str">
        <f>HYPERLINK("https://rhld.insurance.arkansas.gov/NPILookup?Npi=1922620095","1922620095")</f>
        <v>1922620095</v>
      </c>
      <c r="E29452" s="1" t="s">
        <v>13795</v>
      </c>
      <c r="F29452" s="2"/>
      <c r="G29452" s="2"/>
      <c r="H29452" s="2"/>
    </row>
    <row r="29453" spans="1:8" x14ac:dyDescent="0.25">
      <c r="A29453" s="1"/>
      <c r="B29453" s="1" t="s">
        <v>7328</v>
      </c>
      <c r="C29453" s="1" t="s">
        <v>7329</v>
      </c>
      <c r="D29453" s="22" t="str">
        <f>HYPERLINK("https://rhld.insurance.arkansas.gov/NPILookup?Npi=1922622505","1922622505")</f>
        <v>1922622505</v>
      </c>
      <c r="E29453" s="1" t="s">
        <v>29226</v>
      </c>
      <c r="F29453" s="2"/>
      <c r="G29453" s="2"/>
      <c r="H29453" s="2"/>
    </row>
    <row r="29454" spans="1:8" x14ac:dyDescent="0.25">
      <c r="A29454" s="1"/>
      <c r="B29454" s="1" t="s">
        <v>7328</v>
      </c>
      <c r="C29454" s="1" t="s">
        <v>7329</v>
      </c>
      <c r="D29454" s="22" t="str">
        <f>HYPERLINK("https://rhld.insurance.arkansas.gov/NPILookup?Npi=1922627249","1922627249")</f>
        <v>1922627249</v>
      </c>
      <c r="E29454" s="1" t="s">
        <v>10482</v>
      </c>
      <c r="F29454" s="2"/>
      <c r="G29454" s="2"/>
      <c r="H29454" s="2"/>
    </row>
    <row r="29455" spans="1:8" x14ac:dyDescent="0.25">
      <c r="A29455" s="1"/>
      <c r="B29455" s="1" t="s">
        <v>7328</v>
      </c>
      <c r="C29455" s="1" t="s">
        <v>7329</v>
      </c>
      <c r="D29455" s="22" t="str">
        <f>HYPERLINK("https://rhld.insurance.arkansas.gov/NPILookup?Npi=1922629666","1922629666")</f>
        <v>1922629666</v>
      </c>
      <c r="E29455" s="1" t="s">
        <v>29227</v>
      </c>
      <c r="F29455" s="2"/>
      <c r="G29455" s="2"/>
      <c r="H29455" s="2"/>
    </row>
    <row r="29456" spans="1:8" x14ac:dyDescent="0.25">
      <c r="A29456" s="1"/>
      <c r="B29456" s="1" t="s">
        <v>7328</v>
      </c>
      <c r="C29456" s="1" t="s">
        <v>7329</v>
      </c>
      <c r="D29456" s="22" t="str">
        <f>HYPERLINK("https://rhld.insurance.arkansas.gov/NPILookup?Npi=1922630367","1922630367")</f>
        <v>1922630367</v>
      </c>
      <c r="E29456" s="1" t="s">
        <v>29228</v>
      </c>
      <c r="F29456" s="2"/>
      <c r="G29456" s="2"/>
      <c r="H29456" s="2"/>
    </row>
    <row r="29457" spans="1:8" x14ac:dyDescent="0.25">
      <c r="A29457" s="1"/>
      <c r="B29457" s="1" t="s">
        <v>7328</v>
      </c>
      <c r="C29457" s="1" t="s">
        <v>7329</v>
      </c>
      <c r="D29457" s="22" t="str">
        <f>HYPERLINK("https://rhld.insurance.arkansas.gov/NPILookup?Npi=1922631753","1922631753")</f>
        <v>1922631753</v>
      </c>
      <c r="E29457" s="1" t="s">
        <v>7099</v>
      </c>
      <c r="F29457" s="2"/>
      <c r="G29457" s="2"/>
      <c r="H29457" s="2"/>
    </row>
    <row r="29458" spans="1:8" x14ac:dyDescent="0.25">
      <c r="A29458" s="1"/>
      <c r="B29458" s="1" t="s">
        <v>7328</v>
      </c>
      <c r="C29458" s="1" t="s">
        <v>7329</v>
      </c>
      <c r="D29458" s="22" t="str">
        <f>HYPERLINK("https://rhld.insurance.arkansas.gov/NPILookup?Npi=1922632033","1922632033")</f>
        <v>1922632033</v>
      </c>
      <c r="E29458" s="1" t="s">
        <v>29229</v>
      </c>
      <c r="F29458" s="2"/>
      <c r="G29458" s="2"/>
      <c r="H29458" s="2"/>
    </row>
    <row r="29459" spans="1:8" x14ac:dyDescent="0.25">
      <c r="A29459" s="1"/>
      <c r="B29459" s="1" t="s">
        <v>7328</v>
      </c>
      <c r="C29459" s="1" t="s">
        <v>7329</v>
      </c>
      <c r="D29459" s="22" t="str">
        <f>HYPERLINK("https://rhld.insurance.arkansas.gov/NPILookup?Npi=1922637800","1922637800")</f>
        <v>1922637800</v>
      </c>
      <c r="E29459" s="1" t="s">
        <v>13796</v>
      </c>
      <c r="F29459" s="2"/>
      <c r="G29459" s="2"/>
      <c r="H29459" s="2"/>
    </row>
    <row r="29460" spans="1:8" x14ac:dyDescent="0.25">
      <c r="A29460" s="1"/>
      <c r="B29460" s="1" t="s">
        <v>7328</v>
      </c>
      <c r="C29460" s="1" t="s">
        <v>7329</v>
      </c>
      <c r="D29460" s="22" t="str">
        <f>HYPERLINK("https://rhld.insurance.arkansas.gov/NPILookup?Npi=1922648237","1922648237")</f>
        <v>1922648237</v>
      </c>
      <c r="E29460" s="1" t="s">
        <v>32408</v>
      </c>
      <c r="F29460" s="2"/>
      <c r="G29460" s="2"/>
      <c r="H29460" s="2"/>
    </row>
    <row r="29461" spans="1:8" x14ac:dyDescent="0.25">
      <c r="A29461" s="1"/>
      <c r="B29461" s="1" t="s">
        <v>7328</v>
      </c>
      <c r="C29461" s="1" t="s">
        <v>7329</v>
      </c>
      <c r="D29461" s="22" t="str">
        <f>HYPERLINK("https://rhld.insurance.arkansas.gov/NPILookup?Npi=1922661065","1922661065")</f>
        <v>1922661065</v>
      </c>
      <c r="E29461" s="1" t="s">
        <v>13797</v>
      </c>
      <c r="F29461" s="2"/>
      <c r="G29461" s="2"/>
      <c r="H29461" s="2"/>
    </row>
    <row r="29462" spans="1:8" x14ac:dyDescent="0.25">
      <c r="A29462" s="1"/>
      <c r="B29462" s="1" t="s">
        <v>7328</v>
      </c>
      <c r="C29462" s="1" t="s">
        <v>7329</v>
      </c>
      <c r="D29462" s="22" t="str">
        <f>HYPERLINK("https://rhld.insurance.arkansas.gov/NPILookup?Npi=1922673292","1922673292")</f>
        <v>1922673292</v>
      </c>
      <c r="E29462" s="1" t="s">
        <v>29230</v>
      </c>
      <c r="F29462" s="2"/>
      <c r="G29462" s="2"/>
      <c r="H29462" s="2"/>
    </row>
    <row r="29463" spans="1:8" x14ac:dyDescent="0.25">
      <c r="A29463" s="1"/>
      <c r="B29463" s="1" t="s">
        <v>7328</v>
      </c>
      <c r="C29463" s="1" t="s">
        <v>7329</v>
      </c>
      <c r="D29463" s="22" t="str">
        <f>HYPERLINK("https://rhld.insurance.arkansas.gov/NPILookup?Npi=1922674050","1922674050")</f>
        <v>1922674050</v>
      </c>
      <c r="E29463" s="1" t="s">
        <v>29231</v>
      </c>
      <c r="F29463" s="2"/>
      <c r="G29463" s="2"/>
      <c r="H29463" s="2"/>
    </row>
    <row r="29464" spans="1:8" x14ac:dyDescent="0.25">
      <c r="A29464" s="1"/>
      <c r="B29464" s="1" t="s">
        <v>7328</v>
      </c>
      <c r="C29464" s="1" t="s">
        <v>7329</v>
      </c>
      <c r="D29464" s="22" t="str">
        <f>HYPERLINK("https://rhld.insurance.arkansas.gov/NPILookup?Npi=1922677822","1922677822")</f>
        <v>1922677822</v>
      </c>
      <c r="E29464" s="1" t="s">
        <v>29232</v>
      </c>
      <c r="F29464" s="2"/>
      <c r="G29464" s="2"/>
      <c r="H29464" s="2"/>
    </row>
    <row r="29465" spans="1:8" x14ac:dyDescent="0.25">
      <c r="A29465" s="1"/>
      <c r="B29465" s="1" t="s">
        <v>7328</v>
      </c>
      <c r="C29465" s="1" t="s">
        <v>7329</v>
      </c>
      <c r="D29465" s="22" t="str">
        <f>HYPERLINK("https://rhld.insurance.arkansas.gov/NPILookup?Npi=1922684182","1922684182")</f>
        <v>1922684182</v>
      </c>
      <c r="E29465" s="1" t="s">
        <v>29233</v>
      </c>
      <c r="F29465" s="2"/>
      <c r="G29465" s="2"/>
      <c r="H29465" s="2"/>
    </row>
    <row r="29466" spans="1:8" x14ac:dyDescent="0.25">
      <c r="A29466" s="1"/>
      <c r="B29466" s="1" t="s">
        <v>7328</v>
      </c>
      <c r="C29466" s="1" t="s">
        <v>7329</v>
      </c>
      <c r="D29466" s="22" t="str">
        <f>HYPERLINK("https://rhld.insurance.arkansas.gov/NPILookup?Npi=1922687649","1922687649")</f>
        <v>1922687649</v>
      </c>
      <c r="E29466" s="1" t="s">
        <v>29234</v>
      </c>
      <c r="F29466" s="2"/>
      <c r="G29466" s="2"/>
      <c r="H29466" s="2"/>
    </row>
    <row r="29467" spans="1:8" x14ac:dyDescent="0.25">
      <c r="A29467" s="1"/>
      <c r="B29467" s="1" t="s">
        <v>7328</v>
      </c>
      <c r="C29467" s="1" t="s">
        <v>7329</v>
      </c>
      <c r="D29467" s="22" t="str">
        <f>HYPERLINK("https://rhld.insurance.arkansas.gov/NPILookup?Npi=1922704055","1922704055")</f>
        <v>1922704055</v>
      </c>
      <c r="E29467" s="1" t="s">
        <v>8194</v>
      </c>
      <c r="F29467" s="2"/>
      <c r="G29467" s="2"/>
      <c r="H29467" s="2"/>
    </row>
    <row r="29468" spans="1:8" x14ac:dyDescent="0.25">
      <c r="A29468" s="1"/>
      <c r="B29468" s="1" t="s">
        <v>7328</v>
      </c>
      <c r="C29468" s="1" t="s">
        <v>7329</v>
      </c>
      <c r="D29468" s="22" t="str">
        <f>HYPERLINK("https://rhld.insurance.arkansas.gov/NPILookup?Npi=1922715275","1922715275")</f>
        <v>1922715275</v>
      </c>
      <c r="E29468" s="1" t="s">
        <v>29235</v>
      </c>
      <c r="F29468" s="2"/>
      <c r="G29468" s="2"/>
      <c r="H29468" s="2"/>
    </row>
    <row r="29469" spans="1:8" x14ac:dyDescent="0.25">
      <c r="A29469" s="1"/>
      <c r="B29469" s="1" t="s">
        <v>7328</v>
      </c>
      <c r="C29469" s="1" t="s">
        <v>7329</v>
      </c>
      <c r="D29469" s="22" t="str">
        <f>HYPERLINK("https://rhld.insurance.arkansas.gov/NPILookup?Npi=1922718394","1922718394")</f>
        <v>1922718394</v>
      </c>
      <c r="E29469" s="1" t="s">
        <v>29236</v>
      </c>
      <c r="F29469" s="2"/>
      <c r="G29469" s="2"/>
      <c r="H29469" s="2"/>
    </row>
    <row r="29470" spans="1:8" x14ac:dyDescent="0.25">
      <c r="A29470" s="1"/>
      <c r="B29470" s="1" t="s">
        <v>7328</v>
      </c>
      <c r="C29470" s="1" t="s">
        <v>7329</v>
      </c>
      <c r="D29470" s="22" t="str">
        <f>HYPERLINK("https://rhld.insurance.arkansas.gov/NPILookup?Npi=1922719806","1922719806")</f>
        <v>1922719806</v>
      </c>
      <c r="E29470" s="1" t="s">
        <v>29237</v>
      </c>
      <c r="F29470" s="2"/>
      <c r="G29470" s="2"/>
      <c r="H29470" s="2"/>
    </row>
    <row r="29471" spans="1:8" x14ac:dyDescent="0.25">
      <c r="A29471" s="1"/>
      <c r="B29471" s="1" t="s">
        <v>7328</v>
      </c>
      <c r="C29471" s="1" t="s">
        <v>7329</v>
      </c>
      <c r="D29471" s="22" t="str">
        <f>HYPERLINK("https://rhld.insurance.arkansas.gov/NPILookup?Npi=1922749571","1922749571")</f>
        <v>1922749571</v>
      </c>
      <c r="E29471" s="1" t="s">
        <v>29238</v>
      </c>
      <c r="F29471" s="2"/>
      <c r="G29471" s="2"/>
      <c r="H29471" s="2"/>
    </row>
    <row r="29472" spans="1:8" x14ac:dyDescent="0.25">
      <c r="A29472" s="1"/>
      <c r="B29472" s="1" t="s">
        <v>7328</v>
      </c>
      <c r="C29472" s="1" t="s">
        <v>7329</v>
      </c>
      <c r="D29472" s="22" t="str">
        <f>HYPERLINK("https://rhld.insurance.arkansas.gov/NPILookup?Npi=1922755180","1922755180")</f>
        <v>1922755180</v>
      </c>
      <c r="E29472" s="1" t="s">
        <v>29239</v>
      </c>
      <c r="F29472" s="2"/>
      <c r="G29472" s="2"/>
      <c r="H29472" s="2"/>
    </row>
    <row r="29473" spans="1:8" x14ac:dyDescent="0.25">
      <c r="A29473" s="1"/>
      <c r="B29473" s="1" t="s">
        <v>7328</v>
      </c>
      <c r="C29473" s="1" t="s">
        <v>7329</v>
      </c>
      <c r="D29473" s="22" t="str">
        <f>HYPERLINK("https://rhld.insurance.arkansas.gov/NPILookup?Npi=1922777051","1922777051")</f>
        <v>1922777051</v>
      </c>
      <c r="E29473" s="1" t="s">
        <v>29240</v>
      </c>
      <c r="F29473" s="2"/>
      <c r="G29473" s="2"/>
      <c r="H29473" s="2"/>
    </row>
    <row r="29474" spans="1:8" x14ac:dyDescent="0.25">
      <c r="A29474" s="1"/>
      <c r="B29474" s="1" t="s">
        <v>7328</v>
      </c>
      <c r="C29474" s="1" t="s">
        <v>7329</v>
      </c>
      <c r="D29474" s="22" t="str">
        <f>HYPERLINK("https://rhld.insurance.arkansas.gov/NPILookup?Npi=1922784941","1922784941")</f>
        <v>1922784941</v>
      </c>
      <c r="E29474" s="1" t="s">
        <v>8195</v>
      </c>
      <c r="F29474" s="2"/>
      <c r="G29474" s="2"/>
      <c r="H29474" s="2"/>
    </row>
    <row r="29475" spans="1:8" x14ac:dyDescent="0.25">
      <c r="A29475" s="1"/>
      <c r="B29475" s="1" t="s">
        <v>7328</v>
      </c>
      <c r="C29475" s="1" t="s">
        <v>7329</v>
      </c>
      <c r="D29475" s="22" t="str">
        <f>HYPERLINK("https://rhld.insurance.arkansas.gov/NPILookup?Npi=1922796473","1922796473")</f>
        <v>1922796473</v>
      </c>
      <c r="E29475" s="1" t="s">
        <v>8196</v>
      </c>
      <c r="F29475" s="2"/>
      <c r="G29475" s="2"/>
      <c r="H29475" s="2"/>
    </row>
    <row r="29476" spans="1:8" x14ac:dyDescent="0.25">
      <c r="A29476" s="1"/>
      <c r="B29476" s="1" t="s">
        <v>7328</v>
      </c>
      <c r="C29476" s="1" t="s">
        <v>7329</v>
      </c>
      <c r="D29476" s="22" t="str">
        <f>HYPERLINK("https://rhld.insurance.arkansas.gov/NPILookup?Npi=1922840495","1922840495")</f>
        <v>1922840495</v>
      </c>
      <c r="E29476" s="1" t="s">
        <v>32409</v>
      </c>
      <c r="F29476" s="2"/>
      <c r="G29476" s="2"/>
      <c r="H29476" s="2"/>
    </row>
    <row r="29477" spans="1:8" x14ac:dyDescent="0.25">
      <c r="A29477" s="1"/>
      <c r="B29477" s="1" t="s">
        <v>7328</v>
      </c>
      <c r="C29477" s="1" t="s">
        <v>7329</v>
      </c>
      <c r="D29477" s="22" t="str">
        <f>HYPERLINK("https://rhld.insurance.arkansas.gov/NPILookup?Npi=1922844257","1922844257")</f>
        <v>1922844257</v>
      </c>
      <c r="E29477" s="1" t="s">
        <v>29241</v>
      </c>
      <c r="F29477" s="2"/>
      <c r="G29477" s="2"/>
      <c r="H29477" s="2"/>
    </row>
    <row r="29478" spans="1:8" x14ac:dyDescent="0.25">
      <c r="A29478" s="1"/>
      <c r="B29478" s="1" t="s">
        <v>7328</v>
      </c>
      <c r="C29478" s="1" t="s">
        <v>7329</v>
      </c>
      <c r="D29478" s="22" t="str">
        <f>HYPERLINK("https://rhld.insurance.arkansas.gov/NPILookup?Npi=1922852789","1922852789")</f>
        <v>1922852789</v>
      </c>
      <c r="E29478" s="1" t="s">
        <v>29242</v>
      </c>
      <c r="F29478" s="2"/>
      <c r="G29478" s="2"/>
      <c r="H29478" s="2"/>
    </row>
    <row r="29479" spans="1:8" x14ac:dyDescent="0.25">
      <c r="A29479" s="1"/>
      <c r="B29479" s="1" t="s">
        <v>7328</v>
      </c>
      <c r="C29479" s="1" t="s">
        <v>7329</v>
      </c>
      <c r="D29479" s="22" t="str">
        <f>HYPERLINK("https://rhld.insurance.arkansas.gov/NPILookup?Npi=1922854165","1922854165")</f>
        <v>1922854165</v>
      </c>
      <c r="E29479" s="1" t="s">
        <v>29243</v>
      </c>
      <c r="F29479" s="2"/>
      <c r="G29479" s="2"/>
      <c r="H29479" s="2"/>
    </row>
    <row r="29480" spans="1:8" x14ac:dyDescent="0.25">
      <c r="A29480" s="1"/>
      <c r="B29480" s="1" t="s">
        <v>7328</v>
      </c>
      <c r="C29480" s="1" t="s">
        <v>7329</v>
      </c>
      <c r="D29480" s="22" t="str">
        <f>HYPERLINK("https://rhld.insurance.arkansas.gov/NPILookup?Npi=1922875228","1922875228")</f>
        <v>1922875228</v>
      </c>
      <c r="E29480" s="1" t="s">
        <v>8197</v>
      </c>
      <c r="F29480" s="2"/>
      <c r="G29480" s="2"/>
      <c r="H29480" s="2"/>
    </row>
    <row r="29481" spans="1:8" x14ac:dyDescent="0.25">
      <c r="A29481" s="1"/>
      <c r="B29481" s="1" t="s">
        <v>7328</v>
      </c>
      <c r="C29481" s="1" t="s">
        <v>7329</v>
      </c>
      <c r="D29481" s="22" t="str">
        <f>HYPERLINK("https://rhld.insurance.arkansas.gov/NPILookup?Npi=1922880681","1922880681")</f>
        <v>1922880681</v>
      </c>
      <c r="E29481" s="1" t="s">
        <v>8198</v>
      </c>
      <c r="F29481" s="2"/>
      <c r="G29481" s="2"/>
      <c r="H29481" s="2"/>
    </row>
    <row r="29482" spans="1:8" x14ac:dyDescent="0.25">
      <c r="A29482" s="1"/>
      <c r="B29482" s="1" t="s">
        <v>7328</v>
      </c>
      <c r="C29482" s="1" t="s">
        <v>7329</v>
      </c>
      <c r="D29482" s="22" t="str">
        <f>HYPERLINK("https://rhld.insurance.arkansas.gov/NPILookup?Npi=1922888619","1922888619")</f>
        <v>1922888619</v>
      </c>
      <c r="E29482" s="1" t="s">
        <v>8199</v>
      </c>
      <c r="F29482" s="2"/>
      <c r="G29482" s="2"/>
      <c r="H29482" s="2"/>
    </row>
    <row r="29483" spans="1:8" x14ac:dyDescent="0.25">
      <c r="A29483" s="1"/>
      <c r="B29483" s="1" t="s">
        <v>7328</v>
      </c>
      <c r="C29483" s="1" t="s">
        <v>7329</v>
      </c>
      <c r="D29483" s="22" t="str">
        <f>HYPERLINK("https://rhld.insurance.arkansas.gov/NPILookup?Npi=1932100534","1932100534")</f>
        <v>1932100534</v>
      </c>
      <c r="E29483" s="1" t="s">
        <v>29244</v>
      </c>
      <c r="F29483" s="2"/>
      <c r="G29483" s="2"/>
      <c r="H29483" s="2"/>
    </row>
    <row r="29484" spans="1:8" x14ac:dyDescent="0.25">
      <c r="A29484" s="1"/>
      <c r="B29484" s="1" t="s">
        <v>7328</v>
      </c>
      <c r="C29484" s="1" t="s">
        <v>7329</v>
      </c>
      <c r="D29484" s="22" t="str">
        <f>HYPERLINK("https://rhld.insurance.arkansas.gov/NPILookup?Npi=1932101953","1932101953")</f>
        <v>1932101953</v>
      </c>
      <c r="E29484" s="1" t="s">
        <v>3083</v>
      </c>
      <c r="F29484" s="2"/>
      <c r="G29484" s="2"/>
      <c r="H29484" s="2"/>
    </row>
    <row r="29485" spans="1:8" x14ac:dyDescent="0.25">
      <c r="A29485" s="1"/>
      <c r="B29485" s="1" t="s">
        <v>7328</v>
      </c>
      <c r="C29485" s="1" t="s">
        <v>7329</v>
      </c>
      <c r="D29485" s="22" t="str">
        <f>HYPERLINK("https://rhld.insurance.arkansas.gov/NPILookup?Npi=1932103546","1932103546")</f>
        <v>1932103546</v>
      </c>
      <c r="E29485" s="1" t="s">
        <v>6542</v>
      </c>
      <c r="F29485" s="2"/>
      <c r="G29485" s="2"/>
      <c r="H29485" s="2"/>
    </row>
    <row r="29486" spans="1:8" x14ac:dyDescent="0.25">
      <c r="A29486" s="1"/>
      <c r="B29486" s="1" t="s">
        <v>7328</v>
      </c>
      <c r="C29486" s="1" t="s">
        <v>7329</v>
      </c>
      <c r="D29486" s="22" t="str">
        <f>HYPERLINK("https://rhld.insurance.arkansas.gov/NPILookup?Npi=1932115094","1932115094")</f>
        <v>1932115094</v>
      </c>
      <c r="E29486" s="1" t="s">
        <v>29245</v>
      </c>
      <c r="F29486" s="2"/>
      <c r="G29486" s="2"/>
      <c r="H29486" s="2"/>
    </row>
    <row r="29487" spans="1:8" x14ac:dyDescent="0.25">
      <c r="A29487" s="1"/>
      <c r="B29487" s="1" t="s">
        <v>7328</v>
      </c>
      <c r="C29487" s="1" t="s">
        <v>7329</v>
      </c>
      <c r="D29487" s="22" t="str">
        <f>HYPERLINK("https://rhld.insurance.arkansas.gov/NPILookup?Npi=1932115136","1932115136")</f>
        <v>1932115136</v>
      </c>
      <c r="E29487" s="1" t="s">
        <v>3084</v>
      </c>
      <c r="F29487" s="2"/>
      <c r="G29487" s="2"/>
      <c r="H29487" s="2"/>
    </row>
    <row r="29488" spans="1:8" x14ac:dyDescent="0.25">
      <c r="A29488" s="1"/>
      <c r="B29488" s="1" t="s">
        <v>7328</v>
      </c>
      <c r="C29488" s="1" t="s">
        <v>7329</v>
      </c>
      <c r="D29488" s="22" t="str">
        <f>HYPERLINK("https://rhld.insurance.arkansas.gov/NPILookup?Npi=1932137148","1932137148")</f>
        <v>1932137148</v>
      </c>
      <c r="E29488" s="1" t="s">
        <v>29246</v>
      </c>
      <c r="F29488" s="2"/>
      <c r="G29488" s="2"/>
      <c r="H29488" s="2"/>
    </row>
    <row r="29489" spans="1:8" x14ac:dyDescent="0.25">
      <c r="A29489" s="1"/>
      <c r="B29489" s="1" t="s">
        <v>7328</v>
      </c>
      <c r="C29489" s="1" t="s">
        <v>7329</v>
      </c>
      <c r="D29489" s="22" t="str">
        <f>HYPERLINK("https://rhld.insurance.arkansas.gov/NPILookup?Npi=1932162518","1932162518")</f>
        <v>1932162518</v>
      </c>
      <c r="E29489" s="1" t="s">
        <v>29247</v>
      </c>
      <c r="F29489" s="2"/>
      <c r="G29489" s="2"/>
      <c r="H29489" s="2"/>
    </row>
    <row r="29490" spans="1:8" x14ac:dyDescent="0.25">
      <c r="A29490" s="1"/>
      <c r="B29490" s="1" t="s">
        <v>7328</v>
      </c>
      <c r="C29490" s="1" t="s">
        <v>7329</v>
      </c>
      <c r="D29490" s="22" t="str">
        <f>HYPERLINK("https://rhld.insurance.arkansas.gov/NPILookup?Npi=1932164035","1932164035")</f>
        <v>1932164035</v>
      </c>
      <c r="E29490" s="1" t="s">
        <v>18006</v>
      </c>
      <c r="F29490" s="2"/>
      <c r="G29490" s="2"/>
      <c r="H29490" s="2"/>
    </row>
    <row r="29491" spans="1:8" x14ac:dyDescent="0.25">
      <c r="A29491" s="1"/>
      <c r="B29491" s="1" t="s">
        <v>7328</v>
      </c>
      <c r="C29491" s="1" t="s">
        <v>7329</v>
      </c>
      <c r="D29491" s="22" t="str">
        <f>HYPERLINK("https://rhld.insurance.arkansas.gov/NPILookup?Npi=1932164084","1932164084")</f>
        <v>1932164084</v>
      </c>
      <c r="E29491" s="1" t="s">
        <v>29248</v>
      </c>
      <c r="F29491" s="2"/>
      <c r="G29491" s="2"/>
      <c r="H29491" s="2"/>
    </row>
    <row r="29492" spans="1:8" x14ac:dyDescent="0.25">
      <c r="A29492" s="1"/>
      <c r="B29492" s="1" t="s">
        <v>7328</v>
      </c>
      <c r="C29492" s="1" t="s">
        <v>7329</v>
      </c>
      <c r="D29492" s="22" t="str">
        <f>HYPERLINK("https://rhld.insurance.arkansas.gov/NPILookup?Npi=1932165024","1932165024")</f>
        <v>1932165024</v>
      </c>
      <c r="E29492" s="1" t="s">
        <v>29249</v>
      </c>
      <c r="F29492" s="2"/>
      <c r="G29492" s="2"/>
      <c r="H29492" s="2"/>
    </row>
    <row r="29493" spans="1:8" x14ac:dyDescent="0.25">
      <c r="A29493" s="1"/>
      <c r="B29493" s="1" t="s">
        <v>7328</v>
      </c>
      <c r="C29493" s="1" t="s">
        <v>7329</v>
      </c>
      <c r="D29493" s="22" t="str">
        <f>HYPERLINK("https://rhld.insurance.arkansas.gov/NPILookup?Npi=1932170404","1932170404")</f>
        <v>1932170404</v>
      </c>
      <c r="E29493" s="1" t="s">
        <v>29250</v>
      </c>
      <c r="F29493" s="2"/>
      <c r="G29493" s="2"/>
      <c r="H29493" s="2"/>
    </row>
    <row r="29494" spans="1:8" x14ac:dyDescent="0.25">
      <c r="A29494" s="1"/>
      <c r="B29494" s="1" t="s">
        <v>7328</v>
      </c>
      <c r="C29494" s="1" t="s">
        <v>7329</v>
      </c>
      <c r="D29494" s="22" t="str">
        <f>HYPERLINK("https://rhld.insurance.arkansas.gov/NPILookup?Npi=1932173259","1932173259")</f>
        <v>1932173259</v>
      </c>
      <c r="E29494" s="1" t="s">
        <v>3085</v>
      </c>
      <c r="F29494" s="2"/>
      <c r="G29494" s="2"/>
      <c r="H29494" s="2"/>
    </row>
    <row r="29495" spans="1:8" x14ac:dyDescent="0.25">
      <c r="A29495" s="1"/>
      <c r="B29495" s="1" t="s">
        <v>7328</v>
      </c>
      <c r="C29495" s="1" t="s">
        <v>7329</v>
      </c>
      <c r="D29495" s="22" t="str">
        <f>HYPERLINK("https://rhld.insurance.arkansas.gov/NPILookup?Npi=1932178332","1932178332")</f>
        <v>1932178332</v>
      </c>
      <c r="E29495" s="1" t="s">
        <v>29251</v>
      </c>
      <c r="F29495" s="2"/>
      <c r="G29495" s="2"/>
      <c r="H29495" s="2"/>
    </row>
    <row r="29496" spans="1:8" x14ac:dyDescent="0.25">
      <c r="A29496" s="1"/>
      <c r="B29496" s="1" t="s">
        <v>7328</v>
      </c>
      <c r="C29496" s="1" t="s">
        <v>7329</v>
      </c>
      <c r="D29496" s="22" t="str">
        <f>HYPERLINK("https://rhld.insurance.arkansas.gov/NPILookup?Npi=1932188216","1932188216")</f>
        <v>1932188216</v>
      </c>
      <c r="E29496" s="1" t="s">
        <v>154</v>
      </c>
      <c r="F29496" s="2"/>
      <c r="G29496" s="2"/>
      <c r="H29496" s="2"/>
    </row>
    <row r="29497" spans="1:8" x14ac:dyDescent="0.25">
      <c r="A29497" s="1"/>
      <c r="B29497" s="1" t="s">
        <v>7328</v>
      </c>
      <c r="C29497" s="1" t="s">
        <v>7329</v>
      </c>
      <c r="D29497" s="22" t="str">
        <f>HYPERLINK("https://rhld.insurance.arkansas.gov/NPILookup?Npi=1932192556","1932192556")</f>
        <v>1932192556</v>
      </c>
      <c r="E29497" s="1" t="s">
        <v>3086</v>
      </c>
      <c r="F29497" s="2"/>
      <c r="G29497" s="2"/>
      <c r="H29497" s="2"/>
    </row>
    <row r="29498" spans="1:8" x14ac:dyDescent="0.25">
      <c r="A29498" s="1"/>
      <c r="B29498" s="1" t="s">
        <v>7328</v>
      </c>
      <c r="C29498" s="1" t="s">
        <v>7329</v>
      </c>
      <c r="D29498" s="22" t="str">
        <f>HYPERLINK("https://rhld.insurance.arkansas.gov/NPILookup?Npi=1932193687","1932193687")</f>
        <v>1932193687</v>
      </c>
      <c r="E29498" s="1" t="s">
        <v>18007</v>
      </c>
      <c r="F29498" s="2"/>
      <c r="G29498" s="2"/>
      <c r="H29498" s="2"/>
    </row>
    <row r="29499" spans="1:8" x14ac:dyDescent="0.25">
      <c r="A29499" s="1"/>
      <c r="B29499" s="1" t="s">
        <v>7328</v>
      </c>
      <c r="C29499" s="1" t="s">
        <v>7329</v>
      </c>
      <c r="D29499" s="22" t="str">
        <f>HYPERLINK("https://rhld.insurance.arkansas.gov/NPILookup?Npi=1932194974","1932194974")</f>
        <v>1932194974</v>
      </c>
      <c r="E29499" s="1" t="s">
        <v>29252</v>
      </c>
      <c r="F29499" s="2"/>
      <c r="G29499" s="2"/>
      <c r="H29499" s="2"/>
    </row>
    <row r="29500" spans="1:8" x14ac:dyDescent="0.25">
      <c r="A29500" s="1"/>
      <c r="B29500" s="1" t="s">
        <v>7328</v>
      </c>
      <c r="C29500" s="1" t="s">
        <v>7329</v>
      </c>
      <c r="D29500" s="22" t="str">
        <f>HYPERLINK("https://rhld.insurance.arkansas.gov/NPILookup?Npi=1932196748","1932196748")</f>
        <v>1932196748</v>
      </c>
      <c r="E29500" s="1" t="s">
        <v>29253</v>
      </c>
      <c r="F29500" s="2"/>
      <c r="G29500" s="2"/>
      <c r="H29500" s="2"/>
    </row>
    <row r="29501" spans="1:8" x14ac:dyDescent="0.25">
      <c r="A29501" s="1"/>
      <c r="B29501" s="1" t="s">
        <v>7328</v>
      </c>
      <c r="C29501" s="1" t="s">
        <v>7329</v>
      </c>
      <c r="D29501" s="22" t="str">
        <f>HYPERLINK("https://rhld.insurance.arkansas.gov/NPILookup?Npi=1932197241","1932197241")</f>
        <v>1932197241</v>
      </c>
      <c r="E29501" s="1" t="s">
        <v>18008</v>
      </c>
      <c r="F29501" s="2"/>
      <c r="G29501" s="2"/>
      <c r="H29501" s="2"/>
    </row>
    <row r="29502" spans="1:8" x14ac:dyDescent="0.25">
      <c r="A29502" s="1"/>
      <c r="B29502" s="1" t="s">
        <v>7328</v>
      </c>
      <c r="C29502" s="1" t="s">
        <v>7329</v>
      </c>
      <c r="D29502" s="22" t="str">
        <f>HYPERLINK("https://rhld.insurance.arkansas.gov/NPILookup?Npi=1932233749","1932233749")</f>
        <v>1932233749</v>
      </c>
      <c r="E29502" s="1" t="s">
        <v>3087</v>
      </c>
      <c r="F29502" s="2"/>
      <c r="G29502" s="2"/>
      <c r="H29502" s="2"/>
    </row>
    <row r="29503" spans="1:8" x14ac:dyDescent="0.25">
      <c r="A29503" s="1"/>
      <c r="B29503" s="1" t="s">
        <v>7328</v>
      </c>
      <c r="C29503" s="1" t="s">
        <v>7329</v>
      </c>
      <c r="D29503" s="22" t="str">
        <f>HYPERLINK("https://rhld.insurance.arkansas.gov/NPILookup?Npi=1932235785","1932235785")</f>
        <v>1932235785</v>
      </c>
      <c r="E29503" s="1" t="s">
        <v>29254</v>
      </c>
      <c r="F29503" s="2"/>
      <c r="G29503" s="2"/>
      <c r="H29503" s="2"/>
    </row>
    <row r="29504" spans="1:8" x14ac:dyDescent="0.25">
      <c r="A29504" s="1"/>
      <c r="B29504" s="1" t="s">
        <v>7328</v>
      </c>
      <c r="C29504" s="1" t="s">
        <v>7329</v>
      </c>
      <c r="D29504" s="22" t="str">
        <f>HYPERLINK("https://rhld.insurance.arkansas.gov/NPILookup?Npi=1932251006","1932251006")</f>
        <v>1932251006</v>
      </c>
      <c r="E29504" s="1" t="s">
        <v>13798</v>
      </c>
      <c r="F29504" s="2"/>
      <c r="G29504" s="2"/>
      <c r="H29504" s="2"/>
    </row>
    <row r="29505" spans="1:8" x14ac:dyDescent="0.25">
      <c r="A29505" s="1"/>
      <c r="B29505" s="1" t="s">
        <v>7328</v>
      </c>
      <c r="C29505" s="1" t="s">
        <v>7329</v>
      </c>
      <c r="D29505" s="22" t="str">
        <f>HYPERLINK("https://rhld.insurance.arkansas.gov/NPILookup?Npi=1932251097","1932251097")</f>
        <v>1932251097</v>
      </c>
      <c r="E29505" s="1" t="s">
        <v>18010</v>
      </c>
      <c r="F29505" s="2"/>
      <c r="G29505" s="2"/>
      <c r="H29505" s="2"/>
    </row>
    <row r="29506" spans="1:8" x14ac:dyDescent="0.25">
      <c r="A29506" s="1"/>
      <c r="B29506" s="1" t="s">
        <v>7328</v>
      </c>
      <c r="C29506" s="1" t="s">
        <v>7329</v>
      </c>
      <c r="D29506" s="22" t="str">
        <f>HYPERLINK("https://rhld.insurance.arkansas.gov/NPILookup?Npi=1932262995","1932262995")</f>
        <v>1932262995</v>
      </c>
      <c r="E29506" s="1" t="s">
        <v>18930</v>
      </c>
      <c r="F29506" s="2"/>
      <c r="G29506" s="2"/>
      <c r="H29506" s="2"/>
    </row>
    <row r="29507" spans="1:8" x14ac:dyDescent="0.25">
      <c r="A29507" s="1"/>
      <c r="B29507" s="1" t="s">
        <v>7328</v>
      </c>
      <c r="C29507" s="1" t="s">
        <v>7329</v>
      </c>
      <c r="D29507" s="22" t="str">
        <f>HYPERLINK("https://rhld.insurance.arkansas.gov/NPILookup?Npi=1932277720","1932277720")</f>
        <v>1932277720</v>
      </c>
      <c r="E29507" s="1" t="s">
        <v>29255</v>
      </c>
      <c r="F29507" s="2"/>
      <c r="G29507" s="2"/>
      <c r="H29507" s="2"/>
    </row>
    <row r="29508" spans="1:8" x14ac:dyDescent="0.25">
      <c r="A29508" s="1"/>
      <c r="B29508" s="1" t="s">
        <v>7328</v>
      </c>
      <c r="C29508" s="1" t="s">
        <v>7329</v>
      </c>
      <c r="D29508" s="22" t="str">
        <f>HYPERLINK("https://rhld.insurance.arkansas.gov/NPILookup?Npi=1932299419","1932299419")</f>
        <v>1932299419</v>
      </c>
      <c r="E29508" s="1" t="s">
        <v>29256</v>
      </c>
      <c r="F29508" s="2"/>
      <c r="G29508" s="2"/>
      <c r="H29508" s="2"/>
    </row>
    <row r="29509" spans="1:8" x14ac:dyDescent="0.25">
      <c r="A29509" s="1"/>
      <c r="B29509" s="1" t="s">
        <v>7328</v>
      </c>
      <c r="C29509" s="1" t="s">
        <v>7329</v>
      </c>
      <c r="D29509" s="22" t="str">
        <f>HYPERLINK("https://rhld.insurance.arkansas.gov/NPILookup?Npi=1932307618","1932307618")</f>
        <v>1932307618</v>
      </c>
      <c r="E29509" s="1" t="s">
        <v>13799</v>
      </c>
      <c r="F29509" s="2"/>
      <c r="G29509" s="2"/>
      <c r="H29509" s="2"/>
    </row>
    <row r="29510" spans="1:8" x14ac:dyDescent="0.25">
      <c r="A29510" s="1"/>
      <c r="B29510" s="1" t="s">
        <v>7328</v>
      </c>
      <c r="C29510" s="1" t="s">
        <v>7329</v>
      </c>
      <c r="D29510" s="22" t="str">
        <f>HYPERLINK("https://rhld.insurance.arkansas.gov/NPILookup?Npi=1932319449","1932319449")</f>
        <v>1932319449</v>
      </c>
      <c r="E29510" s="1" t="s">
        <v>29257</v>
      </c>
      <c r="F29510" s="2"/>
      <c r="G29510" s="2"/>
      <c r="H29510" s="2"/>
    </row>
    <row r="29511" spans="1:8" x14ac:dyDescent="0.25">
      <c r="A29511" s="1"/>
      <c r="B29511" s="1" t="s">
        <v>7328</v>
      </c>
      <c r="C29511" s="1" t="s">
        <v>7329</v>
      </c>
      <c r="D29511" s="22" t="str">
        <f>HYPERLINK("https://rhld.insurance.arkansas.gov/NPILookup?Npi=1932339603","1932339603")</f>
        <v>1932339603</v>
      </c>
      <c r="E29511" s="1" t="s">
        <v>12238</v>
      </c>
      <c r="F29511" s="2"/>
      <c r="G29511" s="2"/>
      <c r="H29511" s="2"/>
    </row>
    <row r="29512" spans="1:8" x14ac:dyDescent="0.25">
      <c r="A29512" s="1"/>
      <c r="B29512" s="1" t="s">
        <v>7328</v>
      </c>
      <c r="C29512" s="1" t="s">
        <v>7329</v>
      </c>
      <c r="D29512" s="22" t="str">
        <f>HYPERLINK("https://rhld.insurance.arkansas.gov/NPILookup?Npi=1932342714","1932342714")</f>
        <v>1932342714</v>
      </c>
      <c r="E29512" s="1" t="s">
        <v>29258</v>
      </c>
      <c r="F29512" s="2"/>
      <c r="G29512" s="2"/>
      <c r="H29512" s="2"/>
    </row>
    <row r="29513" spans="1:8" x14ac:dyDescent="0.25">
      <c r="A29513" s="1"/>
      <c r="B29513" s="1" t="s">
        <v>7328</v>
      </c>
      <c r="C29513" s="1" t="s">
        <v>7329</v>
      </c>
      <c r="D29513" s="22" t="str">
        <f>HYPERLINK("https://rhld.insurance.arkansas.gov/NPILookup?Npi=1932351582","1932351582")</f>
        <v>1932351582</v>
      </c>
      <c r="E29513" s="1" t="s">
        <v>29259</v>
      </c>
      <c r="F29513" s="2"/>
      <c r="G29513" s="2"/>
      <c r="H29513" s="2"/>
    </row>
    <row r="29514" spans="1:8" x14ac:dyDescent="0.25">
      <c r="A29514" s="1"/>
      <c r="B29514" s="1" t="s">
        <v>7328</v>
      </c>
      <c r="C29514" s="1" t="s">
        <v>7329</v>
      </c>
      <c r="D29514" s="22" t="str">
        <f>HYPERLINK("https://rhld.insurance.arkansas.gov/NPILookup?Npi=1932377256","1932377256")</f>
        <v>1932377256</v>
      </c>
      <c r="E29514" s="1" t="s">
        <v>29260</v>
      </c>
      <c r="F29514" s="2"/>
      <c r="G29514" s="2"/>
      <c r="H29514" s="2"/>
    </row>
    <row r="29515" spans="1:8" x14ac:dyDescent="0.25">
      <c r="A29515" s="1"/>
      <c r="B29515" s="1" t="s">
        <v>7328</v>
      </c>
      <c r="C29515" s="1" t="s">
        <v>7329</v>
      </c>
      <c r="D29515" s="22" t="str">
        <f>HYPERLINK("https://rhld.insurance.arkansas.gov/NPILookup?Npi=1932401080","1932401080")</f>
        <v>1932401080</v>
      </c>
      <c r="E29515" s="1" t="s">
        <v>29261</v>
      </c>
      <c r="F29515" s="2"/>
      <c r="G29515" s="2"/>
      <c r="H29515" s="2"/>
    </row>
    <row r="29516" spans="1:8" x14ac:dyDescent="0.25">
      <c r="A29516" s="1"/>
      <c r="B29516" s="1" t="s">
        <v>7328</v>
      </c>
      <c r="C29516" s="1" t="s">
        <v>7329</v>
      </c>
      <c r="D29516" s="22" t="str">
        <f>HYPERLINK("https://rhld.insurance.arkansas.gov/NPILookup?Npi=1932417003","1932417003")</f>
        <v>1932417003</v>
      </c>
      <c r="E29516" s="1" t="s">
        <v>13800</v>
      </c>
      <c r="F29516" s="2"/>
      <c r="G29516" s="2"/>
      <c r="H29516" s="2"/>
    </row>
    <row r="29517" spans="1:8" x14ac:dyDescent="0.25">
      <c r="A29517" s="1"/>
      <c r="B29517" s="1" t="s">
        <v>7328</v>
      </c>
      <c r="C29517" s="1" t="s">
        <v>7329</v>
      </c>
      <c r="D29517" s="22" t="str">
        <f>HYPERLINK("https://rhld.insurance.arkansas.gov/NPILookup?Npi=1932492816","1932492816")</f>
        <v>1932492816</v>
      </c>
      <c r="E29517" s="1" t="s">
        <v>1124</v>
      </c>
      <c r="F29517" s="2"/>
      <c r="G29517" s="2"/>
      <c r="H29517" s="2"/>
    </row>
    <row r="29518" spans="1:8" x14ac:dyDescent="0.25">
      <c r="A29518" s="1"/>
      <c r="B29518" s="1" t="s">
        <v>7328</v>
      </c>
      <c r="C29518" s="1" t="s">
        <v>7329</v>
      </c>
      <c r="D29518" s="22" t="str">
        <f>HYPERLINK("https://rhld.insurance.arkansas.gov/NPILookup?Npi=1932532116","1932532116")</f>
        <v>1932532116</v>
      </c>
      <c r="E29518" s="1" t="s">
        <v>29262</v>
      </c>
      <c r="F29518" s="2"/>
      <c r="G29518" s="2"/>
      <c r="H29518" s="2"/>
    </row>
    <row r="29519" spans="1:8" x14ac:dyDescent="0.25">
      <c r="A29519" s="1"/>
      <c r="B29519" s="1" t="s">
        <v>7328</v>
      </c>
      <c r="C29519" s="1" t="s">
        <v>7329</v>
      </c>
      <c r="D29519" s="22" t="str">
        <f>HYPERLINK("https://rhld.insurance.arkansas.gov/NPILookup?Npi=1932539418","1932539418")</f>
        <v>1932539418</v>
      </c>
      <c r="E29519" s="1" t="s">
        <v>1825</v>
      </c>
      <c r="F29519" s="2"/>
      <c r="G29519" s="2"/>
      <c r="H29519" s="2"/>
    </row>
    <row r="29520" spans="1:8" x14ac:dyDescent="0.25">
      <c r="A29520" s="1"/>
      <c r="B29520" s="1" t="s">
        <v>7328</v>
      </c>
      <c r="C29520" s="1" t="s">
        <v>7329</v>
      </c>
      <c r="D29520" s="22" t="str">
        <f>HYPERLINK("https://rhld.insurance.arkansas.gov/NPILookup?Npi=1932553153","1932553153")</f>
        <v>1932553153</v>
      </c>
      <c r="E29520" s="1" t="s">
        <v>13801</v>
      </c>
      <c r="F29520" s="2"/>
      <c r="G29520" s="2"/>
      <c r="H29520" s="2"/>
    </row>
    <row r="29521" spans="1:8" x14ac:dyDescent="0.25">
      <c r="A29521" s="1"/>
      <c r="B29521" s="1" t="s">
        <v>7328</v>
      </c>
      <c r="C29521" s="1" t="s">
        <v>7329</v>
      </c>
      <c r="D29521" s="22" t="str">
        <f>HYPERLINK("https://rhld.insurance.arkansas.gov/NPILookup?Npi=1932561636","1932561636")</f>
        <v>1932561636</v>
      </c>
      <c r="E29521" s="1" t="s">
        <v>18017</v>
      </c>
      <c r="F29521" s="2"/>
      <c r="G29521" s="2"/>
      <c r="H29521" s="2"/>
    </row>
    <row r="29522" spans="1:8" x14ac:dyDescent="0.25">
      <c r="A29522" s="1"/>
      <c r="B29522" s="1" t="s">
        <v>7328</v>
      </c>
      <c r="C29522" s="1" t="s">
        <v>7329</v>
      </c>
      <c r="D29522" s="22" t="str">
        <f>HYPERLINK("https://rhld.insurance.arkansas.gov/NPILookup?Npi=1932565967","1932565967")</f>
        <v>1932565967</v>
      </c>
      <c r="E29522" s="1" t="s">
        <v>29263</v>
      </c>
      <c r="F29522" s="2"/>
      <c r="G29522" s="2"/>
      <c r="H29522" s="2"/>
    </row>
    <row r="29523" spans="1:8" x14ac:dyDescent="0.25">
      <c r="A29523" s="1"/>
      <c r="B29523" s="1" t="s">
        <v>7328</v>
      </c>
      <c r="C29523" s="1" t="s">
        <v>7329</v>
      </c>
      <c r="D29523" s="22" t="str">
        <f>HYPERLINK("https://rhld.insurance.arkansas.gov/NPILookup?Npi=1932571577","1932571577")</f>
        <v>1932571577</v>
      </c>
      <c r="E29523" s="1" t="s">
        <v>29264</v>
      </c>
      <c r="F29523" s="2"/>
      <c r="G29523" s="2"/>
      <c r="H29523" s="2"/>
    </row>
    <row r="29524" spans="1:8" x14ac:dyDescent="0.25">
      <c r="A29524" s="1"/>
      <c r="B29524" s="1" t="s">
        <v>7328</v>
      </c>
      <c r="C29524" s="1" t="s">
        <v>7329</v>
      </c>
      <c r="D29524" s="22" t="str">
        <f>HYPERLINK("https://rhld.insurance.arkansas.gov/NPILookup?Npi=1932591179","1932591179")</f>
        <v>1932591179</v>
      </c>
      <c r="E29524" s="1" t="s">
        <v>29265</v>
      </c>
      <c r="F29524" s="2"/>
      <c r="G29524" s="2"/>
      <c r="H29524" s="2"/>
    </row>
    <row r="29525" spans="1:8" x14ac:dyDescent="0.25">
      <c r="A29525" s="1"/>
      <c r="B29525" s="1" t="s">
        <v>7328</v>
      </c>
      <c r="C29525" s="1" t="s">
        <v>7329</v>
      </c>
      <c r="D29525" s="22" t="str">
        <f>HYPERLINK("https://rhld.insurance.arkansas.gov/NPILookup?Npi=1932591617","1932591617")</f>
        <v>1932591617</v>
      </c>
      <c r="E29525" s="1" t="s">
        <v>13587</v>
      </c>
      <c r="F29525" s="2"/>
      <c r="G29525" s="2"/>
      <c r="H29525" s="2"/>
    </row>
    <row r="29526" spans="1:8" x14ac:dyDescent="0.25">
      <c r="A29526" s="1"/>
      <c r="B29526" s="1" t="s">
        <v>7328</v>
      </c>
      <c r="C29526" s="1" t="s">
        <v>7329</v>
      </c>
      <c r="D29526" s="22" t="str">
        <f>HYPERLINK("https://rhld.insurance.arkansas.gov/NPILookup?Npi=1932605938","1932605938")</f>
        <v>1932605938</v>
      </c>
      <c r="E29526" s="1" t="s">
        <v>29266</v>
      </c>
      <c r="F29526" s="2"/>
      <c r="G29526" s="2"/>
      <c r="H29526" s="2"/>
    </row>
    <row r="29527" spans="1:8" x14ac:dyDescent="0.25">
      <c r="A29527" s="1"/>
      <c r="B29527" s="1" t="s">
        <v>7328</v>
      </c>
      <c r="C29527" s="1" t="s">
        <v>7329</v>
      </c>
      <c r="D29527" s="22" t="str">
        <f>HYPERLINK("https://rhld.insurance.arkansas.gov/NPILookup?Npi=1932612413","1932612413")</f>
        <v>1932612413</v>
      </c>
      <c r="E29527" s="1" t="s">
        <v>29267</v>
      </c>
      <c r="F29527" s="2"/>
      <c r="G29527" s="2"/>
      <c r="H29527" s="2"/>
    </row>
    <row r="29528" spans="1:8" x14ac:dyDescent="0.25">
      <c r="A29528" s="1"/>
      <c r="B29528" s="1" t="s">
        <v>7328</v>
      </c>
      <c r="C29528" s="1" t="s">
        <v>7329</v>
      </c>
      <c r="D29528" s="22" t="str">
        <f>HYPERLINK("https://rhld.insurance.arkansas.gov/NPILookup?Npi=1932623360","1932623360")</f>
        <v>1932623360</v>
      </c>
      <c r="E29528" s="1" t="s">
        <v>29268</v>
      </c>
      <c r="F29528" s="2"/>
      <c r="G29528" s="2"/>
      <c r="H29528" s="2"/>
    </row>
    <row r="29529" spans="1:8" x14ac:dyDescent="0.25">
      <c r="A29529" s="1"/>
      <c r="B29529" s="1" t="s">
        <v>7328</v>
      </c>
      <c r="C29529" s="1" t="s">
        <v>7329</v>
      </c>
      <c r="D29529" s="22" t="str">
        <f>HYPERLINK("https://rhld.insurance.arkansas.gov/NPILookup?Npi=1932625266","1932625266")</f>
        <v>1932625266</v>
      </c>
      <c r="E29529" s="1" t="s">
        <v>29269</v>
      </c>
      <c r="F29529" s="2"/>
      <c r="G29529" s="2"/>
      <c r="H29529" s="2"/>
    </row>
    <row r="29530" spans="1:8" x14ac:dyDescent="0.25">
      <c r="A29530" s="1"/>
      <c r="B29530" s="1" t="s">
        <v>7328</v>
      </c>
      <c r="C29530" s="1" t="s">
        <v>7329</v>
      </c>
      <c r="D29530" s="22" t="str">
        <f>HYPERLINK("https://rhld.insurance.arkansas.gov/NPILookup?Npi=1932631439","1932631439")</f>
        <v>1932631439</v>
      </c>
      <c r="E29530" s="1" t="s">
        <v>4537</v>
      </c>
      <c r="F29530" s="2"/>
      <c r="G29530" s="2"/>
      <c r="H29530" s="2"/>
    </row>
    <row r="29531" spans="1:8" x14ac:dyDescent="0.25">
      <c r="A29531" s="1"/>
      <c r="B29531" s="1" t="s">
        <v>7328</v>
      </c>
      <c r="C29531" s="1" t="s">
        <v>7329</v>
      </c>
      <c r="D29531" s="22" t="str">
        <f>HYPERLINK("https://rhld.insurance.arkansas.gov/NPILookup?Npi=1932642907","1932642907")</f>
        <v>1932642907</v>
      </c>
      <c r="E29531" s="1" t="s">
        <v>29270</v>
      </c>
      <c r="F29531" s="2"/>
      <c r="G29531" s="2"/>
      <c r="H29531" s="2"/>
    </row>
    <row r="29532" spans="1:8" x14ac:dyDescent="0.25">
      <c r="A29532" s="1"/>
      <c r="B29532" s="1" t="s">
        <v>7328</v>
      </c>
      <c r="C29532" s="1" t="s">
        <v>7329</v>
      </c>
      <c r="D29532" s="22" t="str">
        <f>HYPERLINK("https://rhld.insurance.arkansas.gov/NPILookup?Npi=1932664067","1932664067")</f>
        <v>1932664067</v>
      </c>
      <c r="E29532" s="1" t="s">
        <v>29271</v>
      </c>
      <c r="F29532" s="2"/>
      <c r="G29532" s="2"/>
      <c r="H29532" s="2"/>
    </row>
    <row r="29533" spans="1:8" x14ac:dyDescent="0.25">
      <c r="A29533" s="1"/>
      <c r="B29533" s="1" t="s">
        <v>7328</v>
      </c>
      <c r="C29533" s="1" t="s">
        <v>7329</v>
      </c>
      <c r="D29533" s="22" t="str">
        <f>HYPERLINK("https://rhld.insurance.arkansas.gov/NPILookup?Npi=1932666252","1932666252")</f>
        <v>1932666252</v>
      </c>
      <c r="E29533" s="1" t="s">
        <v>29272</v>
      </c>
      <c r="F29533" s="2"/>
      <c r="G29533" s="2"/>
      <c r="H29533" s="2"/>
    </row>
    <row r="29534" spans="1:8" x14ac:dyDescent="0.25">
      <c r="A29534" s="1"/>
      <c r="B29534" s="1" t="s">
        <v>7328</v>
      </c>
      <c r="C29534" s="1" t="s">
        <v>7329</v>
      </c>
      <c r="D29534" s="22" t="str">
        <f>HYPERLINK("https://rhld.insurance.arkansas.gov/NPILookup?Npi=1932681178","1932681178")</f>
        <v>1932681178</v>
      </c>
      <c r="E29534" s="1" t="s">
        <v>29273</v>
      </c>
      <c r="F29534" s="2"/>
      <c r="G29534" s="2"/>
      <c r="H29534" s="2"/>
    </row>
    <row r="29535" spans="1:8" x14ac:dyDescent="0.25">
      <c r="A29535" s="1"/>
      <c r="B29535" s="1" t="s">
        <v>7328</v>
      </c>
      <c r="C29535" s="1" t="s">
        <v>7329</v>
      </c>
      <c r="D29535" s="22" t="str">
        <f>HYPERLINK("https://rhld.insurance.arkansas.gov/NPILookup?Npi=1932681574","1932681574")</f>
        <v>1932681574</v>
      </c>
      <c r="E29535" s="1" t="s">
        <v>29274</v>
      </c>
      <c r="F29535" s="2"/>
      <c r="G29535" s="2"/>
      <c r="H29535" s="2"/>
    </row>
    <row r="29536" spans="1:8" x14ac:dyDescent="0.25">
      <c r="A29536" s="1"/>
      <c r="B29536" s="1" t="s">
        <v>7328</v>
      </c>
      <c r="C29536" s="1" t="s">
        <v>7329</v>
      </c>
      <c r="D29536" s="22" t="str">
        <f>HYPERLINK("https://rhld.insurance.arkansas.gov/NPILookup?Npi=1932702354","1932702354")</f>
        <v>1932702354</v>
      </c>
      <c r="E29536" s="1" t="s">
        <v>12245</v>
      </c>
      <c r="F29536" s="2"/>
      <c r="G29536" s="2"/>
      <c r="H29536" s="2"/>
    </row>
    <row r="29537" spans="1:8" x14ac:dyDescent="0.25">
      <c r="A29537" s="1"/>
      <c r="B29537" s="1" t="s">
        <v>7328</v>
      </c>
      <c r="C29537" s="1" t="s">
        <v>7329</v>
      </c>
      <c r="D29537" s="22" t="str">
        <f>HYPERLINK("https://rhld.insurance.arkansas.gov/NPILookup?Npi=1932707346","1932707346")</f>
        <v>1932707346</v>
      </c>
      <c r="E29537" s="1" t="s">
        <v>8201</v>
      </c>
      <c r="F29537" s="2"/>
      <c r="G29537" s="2"/>
      <c r="H29537" s="2"/>
    </row>
    <row r="29538" spans="1:8" x14ac:dyDescent="0.25">
      <c r="A29538" s="1"/>
      <c r="B29538" s="1" t="s">
        <v>7328</v>
      </c>
      <c r="C29538" s="1" t="s">
        <v>7329</v>
      </c>
      <c r="D29538" s="22" t="str">
        <f>HYPERLINK("https://rhld.insurance.arkansas.gov/NPILookup?Npi=1932731957","1932731957")</f>
        <v>1932731957</v>
      </c>
      <c r="E29538" s="1" t="s">
        <v>29275</v>
      </c>
      <c r="F29538" s="2"/>
      <c r="G29538" s="2"/>
      <c r="H29538" s="2"/>
    </row>
    <row r="29539" spans="1:8" x14ac:dyDescent="0.25">
      <c r="A29539" s="1"/>
      <c r="B29539" s="1" t="s">
        <v>7328</v>
      </c>
      <c r="C29539" s="1" t="s">
        <v>7329</v>
      </c>
      <c r="D29539" s="22" t="str">
        <f>HYPERLINK("https://rhld.insurance.arkansas.gov/NPILookup?Npi=1932737228","1932737228")</f>
        <v>1932737228</v>
      </c>
      <c r="E29539" s="1" t="s">
        <v>29276</v>
      </c>
      <c r="F29539" s="2"/>
      <c r="G29539" s="2"/>
      <c r="H29539" s="2"/>
    </row>
    <row r="29540" spans="1:8" x14ac:dyDescent="0.25">
      <c r="A29540" s="1"/>
      <c r="B29540" s="1" t="s">
        <v>7328</v>
      </c>
      <c r="C29540" s="1" t="s">
        <v>7329</v>
      </c>
      <c r="D29540" s="22" t="str">
        <f>HYPERLINK("https://rhld.insurance.arkansas.gov/NPILookup?Npi=1932737244","1932737244")</f>
        <v>1932737244</v>
      </c>
      <c r="E29540" s="1" t="s">
        <v>6288</v>
      </c>
      <c r="F29540" s="2"/>
      <c r="G29540" s="2"/>
      <c r="H29540" s="2"/>
    </row>
    <row r="29541" spans="1:8" x14ac:dyDescent="0.25">
      <c r="A29541" s="1"/>
      <c r="B29541" s="1" t="s">
        <v>7328</v>
      </c>
      <c r="C29541" s="1" t="s">
        <v>7329</v>
      </c>
      <c r="D29541" s="22" t="str">
        <f>HYPERLINK("https://rhld.insurance.arkansas.gov/NPILookup?Npi=1932740339","1932740339")</f>
        <v>1932740339</v>
      </c>
      <c r="E29541" s="1" t="s">
        <v>29277</v>
      </c>
      <c r="F29541" s="2"/>
      <c r="G29541" s="2"/>
      <c r="H29541" s="2"/>
    </row>
    <row r="29542" spans="1:8" x14ac:dyDescent="0.25">
      <c r="A29542" s="1"/>
      <c r="B29542" s="1" t="s">
        <v>7328</v>
      </c>
      <c r="C29542" s="1" t="s">
        <v>7329</v>
      </c>
      <c r="D29542" s="22" t="str">
        <f>HYPERLINK("https://rhld.insurance.arkansas.gov/NPILookup?Npi=1932741212","1932741212")</f>
        <v>1932741212</v>
      </c>
      <c r="E29542" s="1" t="s">
        <v>32410</v>
      </c>
      <c r="F29542" s="2"/>
      <c r="G29542" s="2"/>
      <c r="H29542" s="2"/>
    </row>
    <row r="29543" spans="1:8" x14ac:dyDescent="0.25">
      <c r="A29543" s="1"/>
      <c r="B29543" s="1" t="s">
        <v>7328</v>
      </c>
      <c r="C29543" s="1" t="s">
        <v>7329</v>
      </c>
      <c r="D29543" s="22" t="str">
        <f>HYPERLINK("https://rhld.insurance.arkansas.gov/NPILookup?Npi=1932743887","1932743887")</f>
        <v>1932743887</v>
      </c>
      <c r="E29543" s="1" t="s">
        <v>29278</v>
      </c>
      <c r="F29543" s="2"/>
      <c r="G29543" s="2"/>
      <c r="H29543" s="2"/>
    </row>
    <row r="29544" spans="1:8" x14ac:dyDescent="0.25">
      <c r="A29544" s="1"/>
      <c r="B29544" s="1" t="s">
        <v>7328</v>
      </c>
      <c r="C29544" s="1" t="s">
        <v>7329</v>
      </c>
      <c r="D29544" s="22" t="str">
        <f>HYPERLINK("https://rhld.insurance.arkansas.gov/NPILookup?Npi=1932754942","1932754942")</f>
        <v>1932754942</v>
      </c>
      <c r="E29544" s="1" t="s">
        <v>13802</v>
      </c>
      <c r="F29544" s="2"/>
      <c r="G29544" s="2"/>
      <c r="H29544" s="2"/>
    </row>
    <row r="29545" spans="1:8" x14ac:dyDescent="0.25">
      <c r="A29545" s="1"/>
      <c r="B29545" s="1" t="s">
        <v>7328</v>
      </c>
      <c r="C29545" s="1" t="s">
        <v>7329</v>
      </c>
      <c r="D29545" s="22" t="str">
        <f>HYPERLINK("https://rhld.insurance.arkansas.gov/NPILookup?Npi=1932764461","1932764461")</f>
        <v>1932764461</v>
      </c>
      <c r="E29545" s="1" t="s">
        <v>29279</v>
      </c>
      <c r="F29545" s="2"/>
      <c r="G29545" s="2"/>
      <c r="H29545" s="2"/>
    </row>
    <row r="29546" spans="1:8" x14ac:dyDescent="0.25">
      <c r="A29546" s="1"/>
      <c r="B29546" s="1" t="s">
        <v>7328</v>
      </c>
      <c r="C29546" s="1" t="s">
        <v>7329</v>
      </c>
      <c r="D29546" s="22" t="str">
        <f>HYPERLINK("https://rhld.insurance.arkansas.gov/NPILookup?Npi=1932788718","1932788718")</f>
        <v>1932788718</v>
      </c>
      <c r="E29546" s="1" t="s">
        <v>4539</v>
      </c>
      <c r="F29546" s="2"/>
      <c r="G29546" s="2"/>
      <c r="H29546" s="2"/>
    </row>
    <row r="29547" spans="1:8" x14ac:dyDescent="0.25">
      <c r="A29547" s="1"/>
      <c r="B29547" s="1" t="s">
        <v>7328</v>
      </c>
      <c r="C29547" s="1" t="s">
        <v>7329</v>
      </c>
      <c r="D29547" s="22" t="str">
        <f>HYPERLINK("https://rhld.insurance.arkansas.gov/NPILookup?Npi=1932793445","1932793445")</f>
        <v>1932793445</v>
      </c>
      <c r="E29547" s="1" t="s">
        <v>29280</v>
      </c>
      <c r="F29547" s="2"/>
      <c r="G29547" s="2"/>
      <c r="H29547" s="2"/>
    </row>
    <row r="29548" spans="1:8" x14ac:dyDescent="0.25">
      <c r="A29548" s="1"/>
      <c r="B29548" s="1" t="s">
        <v>7328</v>
      </c>
      <c r="C29548" s="1" t="s">
        <v>7329</v>
      </c>
      <c r="D29548" s="22" t="str">
        <f>HYPERLINK("https://rhld.insurance.arkansas.gov/NPILookup?Npi=1932799244","1932799244")</f>
        <v>1932799244</v>
      </c>
      <c r="E29548" s="1" t="s">
        <v>29281</v>
      </c>
      <c r="F29548" s="2"/>
      <c r="G29548" s="2"/>
      <c r="H29548" s="2"/>
    </row>
    <row r="29549" spans="1:8" x14ac:dyDescent="0.25">
      <c r="A29549" s="1"/>
      <c r="B29549" s="1" t="s">
        <v>7328</v>
      </c>
      <c r="C29549" s="1" t="s">
        <v>7329</v>
      </c>
      <c r="D29549" s="22" t="str">
        <f>HYPERLINK("https://rhld.insurance.arkansas.gov/NPILookup?Npi=1932806494","1932806494")</f>
        <v>1932806494</v>
      </c>
      <c r="E29549" s="1" t="s">
        <v>29282</v>
      </c>
      <c r="F29549" s="2"/>
      <c r="G29549" s="2"/>
      <c r="H29549" s="2"/>
    </row>
    <row r="29550" spans="1:8" x14ac:dyDescent="0.25">
      <c r="A29550" s="1"/>
      <c r="B29550" s="1" t="s">
        <v>7328</v>
      </c>
      <c r="C29550" s="1" t="s">
        <v>7329</v>
      </c>
      <c r="D29550" s="22" t="str">
        <f>HYPERLINK("https://rhld.insurance.arkansas.gov/NPILookup?Npi=1932808987","1932808987")</f>
        <v>1932808987</v>
      </c>
      <c r="E29550" s="1" t="s">
        <v>29283</v>
      </c>
      <c r="F29550" s="2"/>
      <c r="G29550" s="2"/>
      <c r="H29550" s="2"/>
    </row>
    <row r="29551" spans="1:8" x14ac:dyDescent="0.25">
      <c r="A29551" s="1"/>
      <c r="B29551" s="1" t="s">
        <v>7328</v>
      </c>
      <c r="C29551" s="1" t="s">
        <v>7329</v>
      </c>
      <c r="D29551" s="22" t="str">
        <f>HYPERLINK("https://rhld.insurance.arkansas.gov/NPILookup?Npi=1932824950","1932824950")</f>
        <v>1932824950</v>
      </c>
      <c r="E29551" s="1" t="s">
        <v>29284</v>
      </c>
      <c r="F29551" s="2"/>
      <c r="G29551" s="2"/>
      <c r="H29551" s="2"/>
    </row>
    <row r="29552" spans="1:8" x14ac:dyDescent="0.25">
      <c r="A29552" s="1"/>
      <c r="B29552" s="1" t="s">
        <v>7328</v>
      </c>
      <c r="C29552" s="1" t="s">
        <v>7329</v>
      </c>
      <c r="D29552" s="22" t="str">
        <f>HYPERLINK("https://rhld.insurance.arkansas.gov/NPILookup?Npi=1932827201","1932827201")</f>
        <v>1932827201</v>
      </c>
      <c r="E29552" s="1" t="s">
        <v>8202</v>
      </c>
      <c r="F29552" s="2"/>
      <c r="G29552" s="2"/>
      <c r="H29552" s="2"/>
    </row>
    <row r="29553" spans="1:8" x14ac:dyDescent="0.25">
      <c r="A29553" s="1"/>
      <c r="B29553" s="1" t="s">
        <v>7328</v>
      </c>
      <c r="C29553" s="1" t="s">
        <v>7329</v>
      </c>
      <c r="D29553" s="22" t="str">
        <f>HYPERLINK("https://rhld.insurance.arkansas.gov/NPILookup?Npi=1932830619","1932830619")</f>
        <v>1932830619</v>
      </c>
      <c r="E29553" s="1" t="s">
        <v>29285</v>
      </c>
      <c r="F29553" s="2"/>
      <c r="G29553" s="2"/>
      <c r="H29553" s="2"/>
    </row>
    <row r="29554" spans="1:8" x14ac:dyDescent="0.25">
      <c r="A29554" s="1"/>
      <c r="B29554" s="1" t="s">
        <v>7328</v>
      </c>
      <c r="C29554" s="1" t="s">
        <v>7329</v>
      </c>
      <c r="D29554" s="22" t="str">
        <f>HYPERLINK("https://rhld.insurance.arkansas.gov/NPILookup?Npi=1932831880","1932831880")</f>
        <v>1932831880</v>
      </c>
      <c r="E29554" s="1" t="s">
        <v>8203</v>
      </c>
      <c r="F29554" s="2"/>
      <c r="G29554" s="2"/>
      <c r="H29554" s="2"/>
    </row>
    <row r="29555" spans="1:8" x14ac:dyDescent="0.25">
      <c r="A29555" s="1"/>
      <c r="B29555" s="1" t="s">
        <v>7328</v>
      </c>
      <c r="C29555" s="1" t="s">
        <v>7329</v>
      </c>
      <c r="D29555" s="22" t="str">
        <f>HYPERLINK("https://rhld.insurance.arkansas.gov/NPILookup?Npi=1932851557","1932851557")</f>
        <v>1932851557</v>
      </c>
      <c r="E29555" s="1" t="s">
        <v>23839</v>
      </c>
      <c r="F29555" s="2"/>
      <c r="G29555" s="2"/>
      <c r="H29555" s="2"/>
    </row>
    <row r="29556" spans="1:8" x14ac:dyDescent="0.25">
      <c r="A29556" s="1"/>
      <c r="B29556" s="1" t="s">
        <v>7328</v>
      </c>
      <c r="C29556" s="1" t="s">
        <v>7329</v>
      </c>
      <c r="D29556" s="22" t="str">
        <f>HYPERLINK("https://rhld.insurance.arkansas.gov/NPILookup?Npi=1932879350","1932879350")</f>
        <v>1932879350</v>
      </c>
      <c r="E29556" s="1" t="s">
        <v>8204</v>
      </c>
      <c r="F29556" s="2"/>
      <c r="G29556" s="2"/>
      <c r="H29556" s="2"/>
    </row>
    <row r="29557" spans="1:8" x14ac:dyDescent="0.25">
      <c r="A29557" s="1"/>
      <c r="B29557" s="1" t="s">
        <v>7328</v>
      </c>
      <c r="C29557" s="1" t="s">
        <v>7329</v>
      </c>
      <c r="D29557" s="22" t="str">
        <f>HYPERLINK("https://rhld.insurance.arkansas.gov/NPILookup?Npi=1932910064","1932910064")</f>
        <v>1932910064</v>
      </c>
      <c r="E29557" s="1" t="s">
        <v>32411</v>
      </c>
      <c r="F29557" s="2"/>
      <c r="G29557" s="2"/>
      <c r="H29557" s="2"/>
    </row>
    <row r="29558" spans="1:8" x14ac:dyDescent="0.25">
      <c r="A29558" s="1"/>
      <c r="B29558" s="1" t="s">
        <v>7328</v>
      </c>
      <c r="C29558" s="1" t="s">
        <v>7329</v>
      </c>
      <c r="D29558" s="22" t="str">
        <f>HYPERLINK("https://rhld.insurance.arkansas.gov/NPILookup?Npi=1932963386","1932963386")</f>
        <v>1932963386</v>
      </c>
      <c r="E29558" s="1" t="s">
        <v>29286</v>
      </c>
      <c r="F29558" s="2"/>
      <c r="G29558" s="2"/>
      <c r="H29558" s="2"/>
    </row>
    <row r="29559" spans="1:8" x14ac:dyDescent="0.25">
      <c r="A29559" s="1"/>
      <c r="B29559" s="1" t="s">
        <v>7328</v>
      </c>
      <c r="C29559" s="1" t="s">
        <v>7329</v>
      </c>
      <c r="D29559" s="22" t="str">
        <f>HYPERLINK("https://rhld.insurance.arkansas.gov/NPILookup?Npi=1932987385","1932987385")</f>
        <v>1932987385</v>
      </c>
      <c r="E29559" s="1" t="s">
        <v>29287</v>
      </c>
      <c r="F29559" s="2"/>
      <c r="G29559" s="2"/>
      <c r="H29559" s="2"/>
    </row>
    <row r="29560" spans="1:8" x14ac:dyDescent="0.25">
      <c r="A29560" s="1"/>
      <c r="B29560" s="1" t="s">
        <v>7328</v>
      </c>
      <c r="C29560" s="1" t="s">
        <v>7329</v>
      </c>
      <c r="D29560" s="22" t="str">
        <f>HYPERLINK("https://rhld.insurance.arkansas.gov/NPILookup?Npi=1942061650","1942061650")</f>
        <v>1942061650</v>
      </c>
      <c r="E29560" s="1" t="s">
        <v>29288</v>
      </c>
      <c r="F29560" s="2"/>
      <c r="G29560" s="2"/>
      <c r="H29560" s="2"/>
    </row>
    <row r="29561" spans="1:8" x14ac:dyDescent="0.25">
      <c r="A29561" s="1"/>
      <c r="B29561" s="1" t="s">
        <v>7328</v>
      </c>
      <c r="C29561" s="1" t="s">
        <v>7329</v>
      </c>
      <c r="D29561" s="22" t="str">
        <f>HYPERLINK("https://rhld.insurance.arkansas.gov/NPILookup?Npi=1942083548","1942083548")</f>
        <v>1942083548</v>
      </c>
      <c r="E29561" s="1" t="s">
        <v>8205</v>
      </c>
      <c r="F29561" s="2"/>
      <c r="G29561" s="2"/>
      <c r="H29561" s="2"/>
    </row>
    <row r="29562" spans="1:8" x14ac:dyDescent="0.25">
      <c r="A29562" s="1"/>
      <c r="B29562" s="1" t="s">
        <v>7328</v>
      </c>
      <c r="C29562" s="1" t="s">
        <v>7329</v>
      </c>
      <c r="D29562" s="22" t="str">
        <f>HYPERLINK("https://rhld.insurance.arkansas.gov/NPILookup?Npi=1942201710","1942201710")</f>
        <v>1942201710</v>
      </c>
      <c r="E29562" s="1" t="s">
        <v>29289</v>
      </c>
      <c r="F29562" s="2"/>
      <c r="G29562" s="2"/>
      <c r="H29562" s="2"/>
    </row>
    <row r="29563" spans="1:8" x14ac:dyDescent="0.25">
      <c r="A29563" s="1"/>
      <c r="B29563" s="1" t="s">
        <v>7328</v>
      </c>
      <c r="C29563" s="1" t="s">
        <v>7329</v>
      </c>
      <c r="D29563" s="22" t="str">
        <f>HYPERLINK("https://rhld.insurance.arkansas.gov/NPILookup?Npi=1942208277","1942208277")</f>
        <v>1942208277</v>
      </c>
      <c r="E29563" s="1" t="s">
        <v>13803</v>
      </c>
      <c r="F29563" s="2"/>
      <c r="G29563" s="2"/>
      <c r="H29563" s="2"/>
    </row>
    <row r="29564" spans="1:8" x14ac:dyDescent="0.25">
      <c r="A29564" s="1"/>
      <c r="B29564" s="1" t="s">
        <v>7328</v>
      </c>
      <c r="C29564" s="1" t="s">
        <v>7329</v>
      </c>
      <c r="D29564" s="22" t="str">
        <f>HYPERLINK("https://rhld.insurance.arkansas.gov/NPILookup?Npi=1942225131","1942225131")</f>
        <v>1942225131</v>
      </c>
      <c r="E29564" s="1" t="s">
        <v>2103</v>
      </c>
      <c r="F29564" s="2"/>
      <c r="G29564" s="2"/>
      <c r="H29564" s="2"/>
    </row>
    <row r="29565" spans="1:8" x14ac:dyDescent="0.25">
      <c r="A29565" s="1"/>
      <c r="B29565" s="1" t="s">
        <v>7328</v>
      </c>
      <c r="C29565" s="1" t="s">
        <v>7329</v>
      </c>
      <c r="D29565" s="22" t="str">
        <f>HYPERLINK("https://rhld.insurance.arkansas.gov/NPILookup?Npi=1942230065","1942230065")</f>
        <v>1942230065</v>
      </c>
      <c r="E29565" s="1" t="s">
        <v>8206</v>
      </c>
      <c r="F29565" s="2"/>
      <c r="G29565" s="2"/>
      <c r="H29565" s="2"/>
    </row>
    <row r="29566" spans="1:8" x14ac:dyDescent="0.25">
      <c r="A29566" s="1"/>
      <c r="B29566" s="1" t="s">
        <v>7328</v>
      </c>
      <c r="C29566" s="1" t="s">
        <v>7329</v>
      </c>
      <c r="D29566" s="22" t="str">
        <f>HYPERLINK("https://rhld.insurance.arkansas.gov/NPILookup?Npi=1942237771","1942237771")</f>
        <v>1942237771</v>
      </c>
      <c r="E29566" s="1" t="s">
        <v>29290</v>
      </c>
      <c r="F29566" s="2"/>
      <c r="G29566" s="2"/>
      <c r="H29566" s="2"/>
    </row>
    <row r="29567" spans="1:8" x14ac:dyDescent="0.25">
      <c r="A29567" s="1"/>
      <c r="B29567" s="1" t="s">
        <v>7328</v>
      </c>
      <c r="C29567" s="1" t="s">
        <v>7329</v>
      </c>
      <c r="D29567" s="22" t="str">
        <f>HYPERLINK("https://rhld.insurance.arkansas.gov/NPILookup?Npi=1942247317","1942247317")</f>
        <v>1942247317</v>
      </c>
      <c r="E29567" s="1" t="s">
        <v>29291</v>
      </c>
      <c r="F29567" s="2"/>
      <c r="G29567" s="2"/>
      <c r="H29567" s="2"/>
    </row>
    <row r="29568" spans="1:8" x14ac:dyDescent="0.25">
      <c r="A29568" s="1"/>
      <c r="B29568" s="1" t="s">
        <v>7328</v>
      </c>
      <c r="C29568" s="1" t="s">
        <v>7329</v>
      </c>
      <c r="D29568" s="22" t="str">
        <f>HYPERLINK("https://rhld.insurance.arkansas.gov/NPILookup?Npi=1942253992","1942253992")</f>
        <v>1942253992</v>
      </c>
      <c r="E29568" s="1" t="s">
        <v>13805</v>
      </c>
      <c r="F29568" s="2"/>
      <c r="G29568" s="2"/>
      <c r="H29568" s="2"/>
    </row>
    <row r="29569" spans="1:8" x14ac:dyDescent="0.25">
      <c r="A29569" s="1"/>
      <c r="B29569" s="1" t="s">
        <v>7328</v>
      </c>
      <c r="C29569" s="1" t="s">
        <v>7329</v>
      </c>
      <c r="D29569" s="22" t="str">
        <f>HYPERLINK("https://rhld.insurance.arkansas.gov/NPILookup?Npi=1942261052","1942261052")</f>
        <v>1942261052</v>
      </c>
      <c r="E29569" s="1" t="s">
        <v>18021</v>
      </c>
      <c r="F29569" s="2"/>
      <c r="G29569" s="2"/>
      <c r="H29569" s="2"/>
    </row>
    <row r="29570" spans="1:8" x14ac:dyDescent="0.25">
      <c r="A29570" s="1"/>
      <c r="B29570" s="1" t="s">
        <v>7328</v>
      </c>
      <c r="C29570" s="1" t="s">
        <v>7329</v>
      </c>
      <c r="D29570" s="22" t="str">
        <f>HYPERLINK("https://rhld.insurance.arkansas.gov/NPILookup?Npi=1942262829","1942262829")</f>
        <v>1942262829</v>
      </c>
      <c r="E29570" s="1" t="s">
        <v>29292</v>
      </c>
      <c r="F29570" s="2"/>
      <c r="G29570" s="2"/>
      <c r="H29570" s="2"/>
    </row>
    <row r="29571" spans="1:8" x14ac:dyDescent="0.25">
      <c r="A29571" s="1"/>
      <c r="B29571" s="1" t="s">
        <v>7328</v>
      </c>
      <c r="C29571" s="1" t="s">
        <v>7329</v>
      </c>
      <c r="D29571" s="22" t="str">
        <f>HYPERLINK("https://rhld.insurance.arkansas.gov/NPILookup?Npi=1942267513","1942267513")</f>
        <v>1942267513</v>
      </c>
      <c r="E29571" s="1" t="s">
        <v>29293</v>
      </c>
      <c r="F29571" s="2"/>
      <c r="G29571" s="2"/>
      <c r="H29571" s="2"/>
    </row>
    <row r="29572" spans="1:8" x14ac:dyDescent="0.25">
      <c r="A29572" s="1"/>
      <c r="B29572" s="1" t="s">
        <v>7328</v>
      </c>
      <c r="C29572" s="1" t="s">
        <v>7329</v>
      </c>
      <c r="D29572" s="22" t="str">
        <f>HYPERLINK("https://rhld.insurance.arkansas.gov/NPILookup?Npi=1942269188","1942269188")</f>
        <v>1942269188</v>
      </c>
      <c r="E29572" s="1" t="s">
        <v>29294</v>
      </c>
      <c r="F29572" s="2"/>
      <c r="G29572" s="2"/>
      <c r="H29572" s="2"/>
    </row>
    <row r="29573" spans="1:8" x14ac:dyDescent="0.25">
      <c r="A29573" s="1"/>
      <c r="B29573" s="1" t="s">
        <v>7328</v>
      </c>
      <c r="C29573" s="1" t="s">
        <v>7329</v>
      </c>
      <c r="D29573" s="22" t="str">
        <f>HYPERLINK("https://rhld.insurance.arkansas.gov/NPILookup?Npi=1942273776","1942273776")</f>
        <v>1942273776</v>
      </c>
      <c r="E29573" s="1" t="s">
        <v>3089</v>
      </c>
      <c r="F29573" s="2"/>
      <c r="G29573" s="2"/>
      <c r="H29573" s="2"/>
    </row>
    <row r="29574" spans="1:8" x14ac:dyDescent="0.25">
      <c r="A29574" s="1"/>
      <c r="B29574" s="1" t="s">
        <v>7328</v>
      </c>
      <c r="C29574" s="1" t="s">
        <v>7329</v>
      </c>
      <c r="D29574" s="22" t="str">
        <f>HYPERLINK("https://rhld.insurance.arkansas.gov/NPILookup?Npi=1942275334","1942275334")</f>
        <v>1942275334</v>
      </c>
      <c r="E29574" s="1" t="s">
        <v>8207</v>
      </c>
      <c r="F29574" s="2"/>
      <c r="G29574" s="2"/>
      <c r="H29574" s="2"/>
    </row>
    <row r="29575" spans="1:8" x14ac:dyDescent="0.25">
      <c r="A29575" s="1"/>
      <c r="B29575" s="1" t="s">
        <v>7328</v>
      </c>
      <c r="C29575" s="1" t="s">
        <v>7329</v>
      </c>
      <c r="D29575" s="22" t="str">
        <f>HYPERLINK("https://rhld.insurance.arkansas.gov/NPILookup?Npi=1942279377","1942279377")</f>
        <v>1942279377</v>
      </c>
      <c r="E29575" s="1" t="s">
        <v>29295</v>
      </c>
      <c r="F29575" s="2"/>
      <c r="G29575" s="2"/>
      <c r="H29575" s="2"/>
    </row>
    <row r="29576" spans="1:8" x14ac:dyDescent="0.25">
      <c r="A29576" s="1"/>
      <c r="B29576" s="1" t="s">
        <v>7328</v>
      </c>
      <c r="C29576" s="1" t="s">
        <v>7329</v>
      </c>
      <c r="D29576" s="22" t="str">
        <f>HYPERLINK("https://rhld.insurance.arkansas.gov/NPILookup?Npi=1942285465","1942285465")</f>
        <v>1942285465</v>
      </c>
      <c r="E29576" s="1" t="s">
        <v>8208</v>
      </c>
      <c r="F29576" s="2"/>
      <c r="G29576" s="2"/>
      <c r="H29576" s="2"/>
    </row>
    <row r="29577" spans="1:8" x14ac:dyDescent="0.25">
      <c r="A29577" s="1"/>
      <c r="B29577" s="1" t="s">
        <v>7328</v>
      </c>
      <c r="C29577" s="1" t="s">
        <v>7329</v>
      </c>
      <c r="D29577" s="22" t="str">
        <f>HYPERLINK("https://rhld.insurance.arkansas.gov/NPILookup?Npi=1942286125","1942286125")</f>
        <v>1942286125</v>
      </c>
      <c r="E29577" s="1" t="s">
        <v>8209</v>
      </c>
      <c r="F29577" s="2"/>
      <c r="G29577" s="2"/>
      <c r="H29577" s="2"/>
    </row>
    <row r="29578" spans="1:8" x14ac:dyDescent="0.25">
      <c r="A29578" s="1"/>
      <c r="B29578" s="1" t="s">
        <v>7328</v>
      </c>
      <c r="C29578" s="1" t="s">
        <v>7329</v>
      </c>
      <c r="D29578" s="22" t="str">
        <f>HYPERLINK("https://rhld.insurance.arkansas.gov/NPILookup?Npi=1942299482","1942299482")</f>
        <v>1942299482</v>
      </c>
      <c r="E29578" s="1" t="s">
        <v>29296</v>
      </c>
      <c r="F29578" s="2"/>
      <c r="G29578" s="2"/>
      <c r="H29578" s="2"/>
    </row>
    <row r="29579" spans="1:8" x14ac:dyDescent="0.25">
      <c r="A29579" s="1"/>
      <c r="B29579" s="1" t="s">
        <v>7328</v>
      </c>
      <c r="C29579" s="1" t="s">
        <v>7329</v>
      </c>
      <c r="D29579" s="22" t="str">
        <f>HYPERLINK("https://rhld.insurance.arkansas.gov/NPILookup?Npi=1942308424","1942308424")</f>
        <v>1942308424</v>
      </c>
      <c r="E29579" s="1" t="s">
        <v>4363</v>
      </c>
      <c r="F29579" s="2"/>
      <c r="G29579" s="2"/>
      <c r="H29579" s="2"/>
    </row>
    <row r="29580" spans="1:8" x14ac:dyDescent="0.25">
      <c r="A29580" s="1"/>
      <c r="B29580" s="1" t="s">
        <v>7328</v>
      </c>
      <c r="C29580" s="1" t="s">
        <v>7329</v>
      </c>
      <c r="D29580" s="22" t="str">
        <f>HYPERLINK("https://rhld.insurance.arkansas.gov/NPILookup?Npi=1942320593","1942320593")</f>
        <v>1942320593</v>
      </c>
      <c r="E29580" s="1" t="s">
        <v>2104</v>
      </c>
      <c r="F29580" s="2"/>
      <c r="G29580" s="2"/>
      <c r="H29580" s="2"/>
    </row>
    <row r="29581" spans="1:8" x14ac:dyDescent="0.25">
      <c r="A29581" s="1"/>
      <c r="B29581" s="1" t="s">
        <v>7328</v>
      </c>
      <c r="C29581" s="1" t="s">
        <v>7329</v>
      </c>
      <c r="D29581" s="22" t="str">
        <f>HYPERLINK("https://rhld.insurance.arkansas.gov/NPILookup?Npi=1942329636","1942329636")</f>
        <v>1942329636</v>
      </c>
      <c r="E29581" s="1" t="s">
        <v>29297</v>
      </c>
      <c r="F29581" s="2"/>
      <c r="G29581" s="2"/>
      <c r="H29581" s="2"/>
    </row>
    <row r="29582" spans="1:8" x14ac:dyDescent="0.25">
      <c r="A29582" s="1"/>
      <c r="B29582" s="1" t="s">
        <v>7328</v>
      </c>
      <c r="C29582" s="1" t="s">
        <v>7329</v>
      </c>
      <c r="D29582" s="22" t="str">
        <f>HYPERLINK("https://rhld.insurance.arkansas.gov/NPILookup?Npi=1942357298","1942357298")</f>
        <v>1942357298</v>
      </c>
      <c r="E29582" s="1" t="s">
        <v>29298</v>
      </c>
      <c r="F29582" s="2"/>
      <c r="G29582" s="2"/>
      <c r="H29582" s="2"/>
    </row>
    <row r="29583" spans="1:8" x14ac:dyDescent="0.25">
      <c r="A29583" s="1"/>
      <c r="B29583" s="1" t="s">
        <v>7328</v>
      </c>
      <c r="C29583" s="1" t="s">
        <v>7329</v>
      </c>
      <c r="D29583" s="22" t="str">
        <f>HYPERLINK("https://rhld.insurance.arkansas.gov/NPILookup?Npi=1942384615","1942384615")</f>
        <v>1942384615</v>
      </c>
      <c r="E29583" s="1" t="s">
        <v>29299</v>
      </c>
      <c r="F29583" s="2"/>
      <c r="G29583" s="2"/>
      <c r="H29583" s="2"/>
    </row>
    <row r="29584" spans="1:8" x14ac:dyDescent="0.25">
      <c r="A29584" s="1"/>
      <c r="B29584" s="1" t="s">
        <v>7328</v>
      </c>
      <c r="C29584" s="1" t="s">
        <v>7329</v>
      </c>
      <c r="D29584" s="22" t="str">
        <f>HYPERLINK("https://rhld.insurance.arkansas.gov/NPILookup?Npi=1942432661","1942432661")</f>
        <v>1942432661</v>
      </c>
      <c r="E29584" s="1" t="s">
        <v>12600</v>
      </c>
      <c r="F29584" s="2"/>
      <c r="G29584" s="2"/>
      <c r="H29584" s="2"/>
    </row>
    <row r="29585" spans="1:8" x14ac:dyDescent="0.25">
      <c r="A29585" s="1"/>
      <c r="B29585" s="1" t="s">
        <v>7328</v>
      </c>
      <c r="C29585" s="1" t="s">
        <v>7329</v>
      </c>
      <c r="D29585" s="22" t="str">
        <f>HYPERLINK("https://rhld.insurance.arkansas.gov/NPILookup?Npi=1942433305","1942433305")</f>
        <v>1942433305</v>
      </c>
      <c r="E29585" s="1" t="s">
        <v>3090</v>
      </c>
      <c r="F29585" s="2"/>
      <c r="G29585" s="2"/>
      <c r="H29585" s="2"/>
    </row>
    <row r="29586" spans="1:8" x14ac:dyDescent="0.25">
      <c r="A29586" s="1"/>
      <c r="B29586" s="1" t="s">
        <v>7328</v>
      </c>
      <c r="C29586" s="1" t="s">
        <v>7329</v>
      </c>
      <c r="D29586" s="22" t="str">
        <f>HYPERLINK("https://rhld.insurance.arkansas.gov/NPILookup?Npi=1942452883","1942452883")</f>
        <v>1942452883</v>
      </c>
      <c r="E29586" s="1" t="s">
        <v>18025</v>
      </c>
      <c r="F29586" s="2"/>
      <c r="G29586" s="2"/>
      <c r="H29586" s="2"/>
    </row>
    <row r="29587" spans="1:8" x14ac:dyDescent="0.25">
      <c r="A29587" s="1"/>
      <c r="B29587" s="1" t="s">
        <v>7328</v>
      </c>
      <c r="C29587" s="1" t="s">
        <v>7329</v>
      </c>
      <c r="D29587" s="22" t="str">
        <f>HYPERLINK("https://rhld.insurance.arkansas.gov/NPILookup?Npi=1942465919","1942465919")</f>
        <v>1942465919</v>
      </c>
      <c r="E29587" s="1" t="s">
        <v>1826</v>
      </c>
      <c r="F29587" s="2"/>
      <c r="G29587" s="2"/>
      <c r="H29587" s="2"/>
    </row>
    <row r="29588" spans="1:8" x14ac:dyDescent="0.25">
      <c r="A29588" s="1"/>
      <c r="B29588" s="1" t="s">
        <v>7328</v>
      </c>
      <c r="C29588" s="1" t="s">
        <v>7329</v>
      </c>
      <c r="D29588" s="22" t="str">
        <f>HYPERLINK("https://rhld.insurance.arkansas.gov/NPILookup?Npi=1942467337","1942467337")</f>
        <v>1942467337</v>
      </c>
      <c r="E29588" s="1" t="s">
        <v>29300</v>
      </c>
      <c r="F29588" s="2"/>
      <c r="G29588" s="2"/>
      <c r="H29588" s="2"/>
    </row>
    <row r="29589" spans="1:8" x14ac:dyDescent="0.25">
      <c r="A29589" s="1"/>
      <c r="B29589" s="1" t="s">
        <v>7328</v>
      </c>
      <c r="C29589" s="1" t="s">
        <v>7329</v>
      </c>
      <c r="D29589" s="22" t="str">
        <f>HYPERLINK("https://rhld.insurance.arkansas.gov/NPILookup?Npi=1942489364","1942489364")</f>
        <v>1942489364</v>
      </c>
      <c r="E29589" s="1" t="s">
        <v>29301</v>
      </c>
      <c r="F29589" s="2"/>
      <c r="G29589" s="2"/>
      <c r="H29589" s="2"/>
    </row>
    <row r="29590" spans="1:8" x14ac:dyDescent="0.25">
      <c r="A29590" s="1"/>
      <c r="B29590" s="1" t="s">
        <v>7328</v>
      </c>
      <c r="C29590" s="1" t="s">
        <v>7329</v>
      </c>
      <c r="D29590" s="22" t="str">
        <f>HYPERLINK("https://rhld.insurance.arkansas.gov/NPILookup?Npi=1942508999","1942508999")</f>
        <v>1942508999</v>
      </c>
      <c r="E29590" s="1" t="s">
        <v>6794</v>
      </c>
      <c r="F29590" s="2"/>
      <c r="G29590" s="2"/>
      <c r="H29590" s="2"/>
    </row>
    <row r="29591" spans="1:8" x14ac:dyDescent="0.25">
      <c r="A29591" s="1"/>
      <c r="B29591" s="1" t="s">
        <v>7328</v>
      </c>
      <c r="C29591" s="1" t="s">
        <v>7329</v>
      </c>
      <c r="D29591" s="22" t="str">
        <f>HYPERLINK("https://rhld.insurance.arkansas.gov/NPILookup?Npi=1942511696","1942511696")</f>
        <v>1942511696</v>
      </c>
      <c r="E29591" s="1" t="s">
        <v>29302</v>
      </c>
      <c r="F29591" s="2"/>
      <c r="G29591" s="2"/>
      <c r="H29591" s="2"/>
    </row>
    <row r="29592" spans="1:8" x14ac:dyDescent="0.25">
      <c r="A29592" s="1"/>
      <c r="B29592" s="1" t="s">
        <v>7328</v>
      </c>
      <c r="C29592" s="1" t="s">
        <v>7329</v>
      </c>
      <c r="D29592" s="22" t="str">
        <f>HYPERLINK("https://rhld.insurance.arkansas.gov/NPILookup?Npi=1942512199","1942512199")</f>
        <v>1942512199</v>
      </c>
      <c r="E29592" s="1" t="s">
        <v>18026</v>
      </c>
      <c r="F29592" s="2"/>
      <c r="G29592" s="2"/>
      <c r="H29592" s="2"/>
    </row>
    <row r="29593" spans="1:8" x14ac:dyDescent="0.25">
      <c r="A29593" s="1"/>
      <c r="B29593" s="1" t="s">
        <v>7328</v>
      </c>
      <c r="C29593" s="1" t="s">
        <v>7329</v>
      </c>
      <c r="D29593" s="22" t="str">
        <f>HYPERLINK("https://rhld.insurance.arkansas.gov/NPILookup?Npi=1942528518","1942528518")</f>
        <v>1942528518</v>
      </c>
      <c r="E29593" s="1" t="s">
        <v>29303</v>
      </c>
      <c r="F29593" s="2"/>
      <c r="G29593" s="2"/>
      <c r="H29593" s="2"/>
    </row>
    <row r="29594" spans="1:8" x14ac:dyDescent="0.25">
      <c r="A29594" s="1"/>
      <c r="B29594" s="1" t="s">
        <v>7328</v>
      </c>
      <c r="C29594" s="1" t="s">
        <v>7329</v>
      </c>
      <c r="D29594" s="22" t="str">
        <f>HYPERLINK("https://rhld.insurance.arkansas.gov/NPILookup?Npi=1942534995","1942534995")</f>
        <v>1942534995</v>
      </c>
      <c r="E29594" s="1" t="s">
        <v>29304</v>
      </c>
      <c r="F29594" s="2"/>
      <c r="G29594" s="2"/>
      <c r="H29594" s="2"/>
    </row>
    <row r="29595" spans="1:8" x14ac:dyDescent="0.25">
      <c r="A29595" s="1"/>
      <c r="B29595" s="1" t="s">
        <v>7328</v>
      </c>
      <c r="C29595" s="1" t="s">
        <v>7329</v>
      </c>
      <c r="D29595" s="22" t="str">
        <f>HYPERLINK("https://rhld.insurance.arkansas.gov/NPILookup?Npi=1942541115","1942541115")</f>
        <v>1942541115</v>
      </c>
      <c r="E29595" s="1" t="s">
        <v>32412</v>
      </c>
      <c r="F29595" s="2"/>
      <c r="G29595" s="2"/>
      <c r="H29595" s="2"/>
    </row>
    <row r="29596" spans="1:8" x14ac:dyDescent="0.25">
      <c r="A29596" s="1"/>
      <c r="B29596" s="1" t="s">
        <v>7328</v>
      </c>
      <c r="C29596" s="1" t="s">
        <v>7329</v>
      </c>
      <c r="D29596" s="22" t="str">
        <f>HYPERLINK("https://rhld.insurance.arkansas.gov/NPILookup?Npi=1942574645","1942574645")</f>
        <v>1942574645</v>
      </c>
      <c r="E29596" s="1" t="s">
        <v>11577</v>
      </c>
      <c r="F29596" s="2"/>
      <c r="G29596" s="2"/>
      <c r="H29596" s="2"/>
    </row>
    <row r="29597" spans="1:8" x14ac:dyDescent="0.25">
      <c r="A29597" s="1"/>
      <c r="B29597" s="1" t="s">
        <v>7328</v>
      </c>
      <c r="C29597" s="1" t="s">
        <v>7329</v>
      </c>
      <c r="D29597" s="22" t="str">
        <f>HYPERLINK("https://rhld.insurance.arkansas.gov/NPILookup?Npi=1942587936","1942587936")</f>
        <v>1942587936</v>
      </c>
      <c r="E29597" s="1" t="s">
        <v>29305</v>
      </c>
      <c r="F29597" s="2"/>
      <c r="G29597" s="2"/>
      <c r="H29597" s="2"/>
    </row>
    <row r="29598" spans="1:8" x14ac:dyDescent="0.25">
      <c r="A29598" s="1"/>
      <c r="B29598" s="1" t="s">
        <v>7328</v>
      </c>
      <c r="C29598" s="1" t="s">
        <v>7329</v>
      </c>
      <c r="D29598" s="22" t="str">
        <f>HYPERLINK("https://rhld.insurance.arkansas.gov/NPILookup?Npi=1942591896","1942591896")</f>
        <v>1942591896</v>
      </c>
      <c r="E29598" s="1" t="s">
        <v>29306</v>
      </c>
      <c r="F29598" s="2"/>
      <c r="G29598" s="2"/>
      <c r="H29598" s="2"/>
    </row>
    <row r="29599" spans="1:8" x14ac:dyDescent="0.25">
      <c r="A29599" s="1"/>
      <c r="B29599" s="1" t="s">
        <v>7328</v>
      </c>
      <c r="C29599" s="1" t="s">
        <v>7329</v>
      </c>
      <c r="D29599" s="22" t="str">
        <f>HYPERLINK("https://rhld.insurance.arkansas.gov/NPILookup?Npi=1942603170","1942603170")</f>
        <v>1942603170</v>
      </c>
      <c r="E29599" s="1" t="s">
        <v>13807</v>
      </c>
      <c r="F29599" s="2"/>
      <c r="G29599" s="2"/>
      <c r="H29599" s="2"/>
    </row>
    <row r="29600" spans="1:8" x14ac:dyDescent="0.25">
      <c r="A29600" s="1"/>
      <c r="B29600" s="1" t="s">
        <v>7328</v>
      </c>
      <c r="C29600" s="1" t="s">
        <v>7329</v>
      </c>
      <c r="D29600" s="22" t="str">
        <f>HYPERLINK("https://rhld.insurance.arkansas.gov/NPILookup?Npi=1942608336","1942608336")</f>
        <v>1942608336</v>
      </c>
      <c r="E29600" s="1" t="s">
        <v>906</v>
      </c>
      <c r="F29600" s="2"/>
      <c r="G29600" s="2"/>
      <c r="H29600" s="2"/>
    </row>
    <row r="29601" spans="1:8" x14ac:dyDescent="0.25">
      <c r="A29601" s="1"/>
      <c r="B29601" s="1" t="s">
        <v>7328</v>
      </c>
      <c r="C29601" s="1" t="s">
        <v>7329</v>
      </c>
      <c r="D29601" s="22" t="str">
        <f>HYPERLINK("https://rhld.insurance.arkansas.gov/NPILookup?Npi=1942615422","1942615422")</f>
        <v>1942615422</v>
      </c>
      <c r="E29601" s="1" t="s">
        <v>3091</v>
      </c>
      <c r="F29601" s="2"/>
      <c r="G29601" s="2"/>
      <c r="H29601" s="2"/>
    </row>
    <row r="29602" spans="1:8" x14ac:dyDescent="0.25">
      <c r="A29602" s="1"/>
      <c r="B29602" s="1" t="s">
        <v>7328</v>
      </c>
      <c r="C29602" s="1" t="s">
        <v>7329</v>
      </c>
      <c r="D29602" s="22" t="str">
        <f>HYPERLINK("https://rhld.insurance.arkansas.gov/NPILookup?Npi=1942619598","1942619598")</f>
        <v>1942619598</v>
      </c>
      <c r="E29602" s="1" t="s">
        <v>29307</v>
      </c>
      <c r="F29602" s="2"/>
      <c r="G29602" s="2"/>
      <c r="H29602" s="2"/>
    </row>
    <row r="29603" spans="1:8" x14ac:dyDescent="0.25">
      <c r="A29603" s="1"/>
      <c r="B29603" s="1" t="s">
        <v>7328</v>
      </c>
      <c r="C29603" s="1" t="s">
        <v>7329</v>
      </c>
      <c r="D29603" s="22" t="str">
        <f>HYPERLINK("https://rhld.insurance.arkansas.gov/NPILookup?Npi=1942628805","1942628805")</f>
        <v>1942628805</v>
      </c>
      <c r="E29603" s="1" t="s">
        <v>13808</v>
      </c>
      <c r="F29603" s="2"/>
      <c r="G29603" s="2"/>
      <c r="H29603" s="2"/>
    </row>
    <row r="29604" spans="1:8" x14ac:dyDescent="0.25">
      <c r="A29604" s="1"/>
      <c r="B29604" s="1" t="s">
        <v>7328</v>
      </c>
      <c r="C29604" s="1" t="s">
        <v>7329</v>
      </c>
      <c r="D29604" s="22" t="str">
        <f>HYPERLINK("https://rhld.insurance.arkansas.gov/NPILookup?Npi=1942638622","1942638622")</f>
        <v>1942638622</v>
      </c>
      <c r="E29604" s="1" t="s">
        <v>13809</v>
      </c>
      <c r="F29604" s="2"/>
      <c r="G29604" s="2"/>
      <c r="H29604" s="2"/>
    </row>
    <row r="29605" spans="1:8" x14ac:dyDescent="0.25">
      <c r="A29605" s="1"/>
      <c r="B29605" s="1" t="s">
        <v>7328</v>
      </c>
      <c r="C29605" s="1" t="s">
        <v>7329</v>
      </c>
      <c r="D29605" s="22" t="str">
        <f>HYPERLINK("https://rhld.insurance.arkansas.gov/NPILookup?Npi=1942640305","1942640305")</f>
        <v>1942640305</v>
      </c>
      <c r="E29605" s="1" t="s">
        <v>29308</v>
      </c>
      <c r="F29605" s="2"/>
      <c r="G29605" s="2"/>
      <c r="H29605" s="2"/>
    </row>
    <row r="29606" spans="1:8" x14ac:dyDescent="0.25">
      <c r="A29606" s="1"/>
      <c r="B29606" s="1" t="s">
        <v>7328</v>
      </c>
      <c r="C29606" s="1" t="s">
        <v>7329</v>
      </c>
      <c r="D29606" s="22" t="str">
        <f>HYPERLINK("https://rhld.insurance.arkansas.gov/NPILookup?Npi=1942648951","1942648951")</f>
        <v>1942648951</v>
      </c>
      <c r="E29606" s="1" t="s">
        <v>8210</v>
      </c>
      <c r="F29606" s="2"/>
      <c r="G29606" s="2"/>
      <c r="H29606" s="2"/>
    </row>
    <row r="29607" spans="1:8" x14ac:dyDescent="0.25">
      <c r="A29607" s="1"/>
      <c r="B29607" s="1" t="s">
        <v>7328</v>
      </c>
      <c r="C29607" s="1" t="s">
        <v>7329</v>
      </c>
      <c r="D29607" s="22" t="str">
        <f>HYPERLINK("https://rhld.insurance.arkansas.gov/NPILookup?Npi=1942653795","1942653795")</f>
        <v>1942653795</v>
      </c>
      <c r="E29607" s="1" t="s">
        <v>29309</v>
      </c>
      <c r="F29607" s="2"/>
      <c r="G29607" s="2"/>
      <c r="H29607" s="2"/>
    </row>
    <row r="29608" spans="1:8" x14ac:dyDescent="0.25">
      <c r="A29608" s="1"/>
      <c r="B29608" s="1" t="s">
        <v>7328</v>
      </c>
      <c r="C29608" s="1" t="s">
        <v>7329</v>
      </c>
      <c r="D29608" s="22" t="str">
        <f>HYPERLINK("https://rhld.insurance.arkansas.gov/NPILookup?Npi=1942660709","1942660709")</f>
        <v>1942660709</v>
      </c>
      <c r="E29608" s="1" t="s">
        <v>29310</v>
      </c>
      <c r="F29608" s="2"/>
      <c r="G29608" s="2"/>
      <c r="H29608" s="2"/>
    </row>
    <row r="29609" spans="1:8" x14ac:dyDescent="0.25">
      <c r="A29609" s="1"/>
      <c r="B29609" s="1" t="s">
        <v>7328</v>
      </c>
      <c r="C29609" s="1" t="s">
        <v>7329</v>
      </c>
      <c r="D29609" s="22" t="str">
        <f>HYPERLINK("https://rhld.insurance.arkansas.gov/NPILookup?Npi=1942660980","1942660980")</f>
        <v>1942660980</v>
      </c>
      <c r="E29609" s="1" t="s">
        <v>29311</v>
      </c>
      <c r="F29609" s="2"/>
      <c r="G29609" s="2"/>
      <c r="H29609" s="2"/>
    </row>
    <row r="29610" spans="1:8" x14ac:dyDescent="0.25">
      <c r="A29610" s="1"/>
      <c r="B29610" s="1" t="s">
        <v>7328</v>
      </c>
      <c r="C29610" s="1" t="s">
        <v>7329</v>
      </c>
      <c r="D29610" s="22" t="str">
        <f>HYPERLINK("https://rhld.insurance.arkansas.gov/NPILookup?Npi=1942661434","1942661434")</f>
        <v>1942661434</v>
      </c>
      <c r="E29610" s="1" t="s">
        <v>29312</v>
      </c>
      <c r="F29610" s="2"/>
      <c r="G29610" s="2"/>
      <c r="H29610" s="2"/>
    </row>
    <row r="29611" spans="1:8" x14ac:dyDescent="0.25">
      <c r="A29611" s="1"/>
      <c r="B29611" s="1" t="s">
        <v>7328</v>
      </c>
      <c r="C29611" s="1" t="s">
        <v>7329</v>
      </c>
      <c r="D29611" s="22" t="str">
        <f>HYPERLINK("https://rhld.insurance.arkansas.gov/NPILookup?Npi=1942662820","1942662820")</f>
        <v>1942662820</v>
      </c>
      <c r="E29611" s="1" t="s">
        <v>4541</v>
      </c>
      <c r="F29611" s="2"/>
      <c r="G29611" s="2"/>
      <c r="H29611" s="2"/>
    </row>
    <row r="29612" spans="1:8" x14ac:dyDescent="0.25">
      <c r="A29612" s="1"/>
      <c r="B29612" s="1" t="s">
        <v>7328</v>
      </c>
      <c r="C29612" s="1" t="s">
        <v>7329</v>
      </c>
      <c r="D29612" s="22" t="str">
        <f>HYPERLINK("https://rhld.insurance.arkansas.gov/NPILookup?Npi=1942671730","1942671730")</f>
        <v>1942671730</v>
      </c>
      <c r="E29612" s="1" t="s">
        <v>3167</v>
      </c>
      <c r="F29612" s="2"/>
      <c r="G29612" s="2"/>
      <c r="H29612" s="2"/>
    </row>
    <row r="29613" spans="1:8" x14ac:dyDescent="0.25">
      <c r="A29613" s="1"/>
      <c r="B29613" s="1" t="s">
        <v>7328</v>
      </c>
      <c r="C29613" s="1" t="s">
        <v>7329</v>
      </c>
      <c r="D29613" s="22" t="str">
        <f>HYPERLINK("https://rhld.insurance.arkansas.gov/NPILookup?Npi=1942678875","1942678875")</f>
        <v>1942678875</v>
      </c>
      <c r="E29613" s="1" t="s">
        <v>29313</v>
      </c>
      <c r="F29613" s="2"/>
      <c r="G29613" s="2"/>
      <c r="H29613" s="2"/>
    </row>
    <row r="29614" spans="1:8" x14ac:dyDescent="0.25">
      <c r="A29614" s="1"/>
      <c r="B29614" s="1" t="s">
        <v>7328</v>
      </c>
      <c r="C29614" s="1" t="s">
        <v>7329</v>
      </c>
      <c r="D29614" s="22" t="str">
        <f>HYPERLINK("https://rhld.insurance.arkansas.gov/NPILookup?Npi=1942689724","1942689724")</f>
        <v>1942689724</v>
      </c>
      <c r="E29614" s="1" t="s">
        <v>1232</v>
      </c>
      <c r="F29614" s="2"/>
      <c r="G29614" s="2"/>
      <c r="H29614" s="2"/>
    </row>
    <row r="29615" spans="1:8" x14ac:dyDescent="0.25">
      <c r="A29615" s="1"/>
      <c r="B29615" s="1" t="s">
        <v>7328</v>
      </c>
      <c r="C29615" s="1" t="s">
        <v>7329</v>
      </c>
      <c r="D29615" s="22" t="str">
        <f>HYPERLINK("https://rhld.insurance.arkansas.gov/NPILookup?Npi=1942695929","1942695929")</f>
        <v>1942695929</v>
      </c>
      <c r="E29615" s="1" t="s">
        <v>29314</v>
      </c>
      <c r="F29615" s="2"/>
      <c r="G29615" s="2"/>
      <c r="H29615" s="2"/>
    </row>
    <row r="29616" spans="1:8" x14ac:dyDescent="0.25">
      <c r="A29616" s="1"/>
      <c r="B29616" s="1" t="s">
        <v>7328</v>
      </c>
      <c r="C29616" s="1" t="s">
        <v>7329</v>
      </c>
      <c r="D29616" s="22" t="str">
        <f>HYPERLINK("https://rhld.insurance.arkansas.gov/NPILookup?Npi=1942702048","1942702048")</f>
        <v>1942702048</v>
      </c>
      <c r="E29616" s="1" t="s">
        <v>29315</v>
      </c>
      <c r="F29616" s="2"/>
      <c r="G29616" s="2"/>
      <c r="H29616" s="2"/>
    </row>
    <row r="29617" spans="1:8" x14ac:dyDescent="0.25">
      <c r="A29617" s="1"/>
      <c r="B29617" s="1" t="s">
        <v>7328</v>
      </c>
      <c r="C29617" s="1" t="s">
        <v>7329</v>
      </c>
      <c r="D29617" s="22" t="str">
        <f>HYPERLINK("https://rhld.insurance.arkansas.gov/NPILookup?Npi=1942706544","1942706544")</f>
        <v>1942706544</v>
      </c>
      <c r="E29617" s="1" t="s">
        <v>29316</v>
      </c>
      <c r="F29617" s="2"/>
      <c r="G29617" s="2"/>
      <c r="H29617" s="2"/>
    </row>
    <row r="29618" spans="1:8" x14ac:dyDescent="0.25">
      <c r="A29618" s="1"/>
      <c r="B29618" s="1" t="s">
        <v>7328</v>
      </c>
      <c r="C29618" s="1" t="s">
        <v>7329</v>
      </c>
      <c r="D29618" s="22" t="str">
        <f>HYPERLINK("https://rhld.insurance.arkansas.gov/NPILookup?Npi=1942711544","1942711544")</f>
        <v>1942711544</v>
      </c>
      <c r="E29618" s="1" t="s">
        <v>29317</v>
      </c>
      <c r="F29618" s="2"/>
      <c r="G29618" s="2"/>
      <c r="H29618" s="2"/>
    </row>
    <row r="29619" spans="1:8" x14ac:dyDescent="0.25">
      <c r="A29619" s="1"/>
      <c r="B29619" s="1" t="s">
        <v>7328</v>
      </c>
      <c r="C29619" s="1" t="s">
        <v>7329</v>
      </c>
      <c r="D29619" s="22" t="str">
        <f>HYPERLINK("https://rhld.insurance.arkansas.gov/NPILookup?Npi=1942711783","1942711783")</f>
        <v>1942711783</v>
      </c>
      <c r="E29619" s="1" t="s">
        <v>13810</v>
      </c>
      <c r="F29619" s="2"/>
      <c r="G29619" s="2"/>
      <c r="H29619" s="2"/>
    </row>
    <row r="29620" spans="1:8" x14ac:dyDescent="0.25">
      <c r="A29620" s="1"/>
      <c r="B29620" s="1" t="s">
        <v>7328</v>
      </c>
      <c r="C29620" s="1" t="s">
        <v>7329</v>
      </c>
      <c r="D29620" s="22" t="str">
        <f>HYPERLINK("https://rhld.insurance.arkansas.gov/NPILookup?Npi=1942718093","1942718093")</f>
        <v>1942718093</v>
      </c>
      <c r="E29620" s="1" t="s">
        <v>29318</v>
      </c>
      <c r="F29620" s="2"/>
      <c r="G29620" s="2"/>
      <c r="H29620" s="2"/>
    </row>
    <row r="29621" spans="1:8" x14ac:dyDescent="0.25">
      <c r="A29621" s="1"/>
      <c r="B29621" s="1" t="s">
        <v>7328</v>
      </c>
      <c r="C29621" s="1" t="s">
        <v>7329</v>
      </c>
      <c r="D29621" s="22" t="str">
        <f>HYPERLINK("https://rhld.insurance.arkansas.gov/NPILookup?Npi=1942718978","1942718978")</f>
        <v>1942718978</v>
      </c>
      <c r="E29621" s="1" t="s">
        <v>2427</v>
      </c>
      <c r="F29621" s="2"/>
      <c r="G29621" s="2"/>
      <c r="H29621" s="2"/>
    </row>
    <row r="29622" spans="1:8" x14ac:dyDescent="0.25">
      <c r="A29622" s="1"/>
      <c r="B29622" s="1" t="s">
        <v>7328</v>
      </c>
      <c r="C29622" s="1" t="s">
        <v>7329</v>
      </c>
      <c r="D29622" s="22" t="str">
        <f>HYPERLINK("https://rhld.insurance.arkansas.gov/NPILookup?Npi=1942720529","1942720529")</f>
        <v>1942720529</v>
      </c>
      <c r="E29622" s="1" t="s">
        <v>8211</v>
      </c>
      <c r="F29622" s="2"/>
      <c r="G29622" s="2"/>
      <c r="H29622" s="2"/>
    </row>
    <row r="29623" spans="1:8" x14ac:dyDescent="0.25">
      <c r="A29623" s="1"/>
      <c r="B29623" s="1" t="s">
        <v>7328</v>
      </c>
      <c r="C29623" s="1" t="s">
        <v>7329</v>
      </c>
      <c r="D29623" s="22" t="str">
        <f>HYPERLINK("https://rhld.insurance.arkansas.gov/NPILookup?Npi=1942740014","1942740014")</f>
        <v>1942740014</v>
      </c>
      <c r="E29623" s="1" t="s">
        <v>29319</v>
      </c>
      <c r="F29623" s="2"/>
      <c r="G29623" s="2"/>
      <c r="H29623" s="2"/>
    </row>
    <row r="29624" spans="1:8" x14ac:dyDescent="0.25">
      <c r="A29624" s="1"/>
      <c r="B29624" s="1" t="s">
        <v>7328</v>
      </c>
      <c r="C29624" s="1" t="s">
        <v>7329</v>
      </c>
      <c r="D29624" s="22" t="str">
        <f>HYPERLINK("https://rhld.insurance.arkansas.gov/NPILookup?Npi=1942741376","1942741376")</f>
        <v>1942741376</v>
      </c>
      <c r="E29624" s="1" t="s">
        <v>32413</v>
      </c>
      <c r="F29624" s="2"/>
      <c r="G29624" s="2"/>
      <c r="H29624" s="2"/>
    </row>
    <row r="29625" spans="1:8" x14ac:dyDescent="0.25">
      <c r="A29625" s="1"/>
      <c r="B29625" s="1" t="s">
        <v>7328</v>
      </c>
      <c r="C29625" s="1" t="s">
        <v>7329</v>
      </c>
      <c r="D29625" s="22" t="str">
        <f>HYPERLINK("https://rhld.insurance.arkansas.gov/NPILookup?Npi=1942744636","1942744636")</f>
        <v>1942744636</v>
      </c>
      <c r="E29625" s="1" t="s">
        <v>29320</v>
      </c>
      <c r="F29625" s="2"/>
      <c r="G29625" s="2"/>
      <c r="H29625" s="2"/>
    </row>
    <row r="29626" spans="1:8" x14ac:dyDescent="0.25">
      <c r="A29626" s="1"/>
      <c r="B29626" s="1" t="s">
        <v>7328</v>
      </c>
      <c r="C29626" s="1" t="s">
        <v>7329</v>
      </c>
      <c r="D29626" s="22" t="str">
        <f>HYPERLINK("https://rhld.insurance.arkansas.gov/NPILookup?Npi=1942747381","1942747381")</f>
        <v>1942747381</v>
      </c>
      <c r="E29626" s="1" t="s">
        <v>29321</v>
      </c>
      <c r="F29626" s="2"/>
      <c r="G29626" s="2"/>
      <c r="H29626" s="2"/>
    </row>
    <row r="29627" spans="1:8" x14ac:dyDescent="0.25">
      <c r="A29627" s="1"/>
      <c r="B29627" s="1" t="s">
        <v>7328</v>
      </c>
      <c r="C29627" s="1" t="s">
        <v>7329</v>
      </c>
      <c r="D29627" s="22" t="str">
        <f>HYPERLINK("https://rhld.insurance.arkansas.gov/NPILookup?Npi=1942754635","1942754635")</f>
        <v>1942754635</v>
      </c>
      <c r="E29627" s="1" t="s">
        <v>25047</v>
      </c>
      <c r="F29627" s="2"/>
      <c r="G29627" s="2"/>
      <c r="H29627" s="2"/>
    </row>
    <row r="29628" spans="1:8" x14ac:dyDescent="0.25">
      <c r="A29628" s="1"/>
      <c r="B29628" s="1" t="s">
        <v>7328</v>
      </c>
      <c r="C29628" s="1" t="s">
        <v>7329</v>
      </c>
      <c r="D29628" s="22" t="str">
        <f>HYPERLINK("https://rhld.insurance.arkansas.gov/NPILookup?Npi=1942755467","1942755467")</f>
        <v>1942755467</v>
      </c>
      <c r="E29628" s="1" t="s">
        <v>29322</v>
      </c>
      <c r="F29628" s="2"/>
      <c r="G29628" s="2"/>
      <c r="H29628" s="2"/>
    </row>
    <row r="29629" spans="1:8" x14ac:dyDescent="0.25">
      <c r="A29629" s="1"/>
      <c r="B29629" s="1" t="s">
        <v>7328</v>
      </c>
      <c r="C29629" s="1" t="s">
        <v>7329</v>
      </c>
      <c r="D29629" s="22" t="str">
        <f>HYPERLINK("https://rhld.insurance.arkansas.gov/NPILookup?Npi=1942757158","1942757158")</f>
        <v>1942757158</v>
      </c>
      <c r="E29629" s="1" t="s">
        <v>2428</v>
      </c>
      <c r="F29629" s="2"/>
      <c r="G29629" s="2"/>
      <c r="H29629" s="2"/>
    </row>
    <row r="29630" spans="1:8" x14ac:dyDescent="0.25">
      <c r="A29630" s="1"/>
      <c r="B29630" s="1" t="s">
        <v>7328</v>
      </c>
      <c r="C29630" s="1" t="s">
        <v>7329</v>
      </c>
      <c r="D29630" s="22" t="str">
        <f>HYPERLINK("https://rhld.insurance.arkansas.gov/NPILookup?Npi=1942769427","1942769427")</f>
        <v>1942769427</v>
      </c>
      <c r="E29630" s="1" t="s">
        <v>29323</v>
      </c>
      <c r="F29630" s="2"/>
      <c r="G29630" s="2"/>
      <c r="H29630" s="2"/>
    </row>
    <row r="29631" spans="1:8" x14ac:dyDescent="0.25">
      <c r="A29631" s="1"/>
      <c r="B29631" s="1" t="s">
        <v>7328</v>
      </c>
      <c r="C29631" s="1" t="s">
        <v>7329</v>
      </c>
      <c r="D29631" s="22" t="str">
        <f>HYPERLINK("https://rhld.insurance.arkansas.gov/NPILookup?Npi=1942774088","1942774088")</f>
        <v>1942774088</v>
      </c>
      <c r="E29631" s="1" t="s">
        <v>29324</v>
      </c>
      <c r="F29631" s="2"/>
      <c r="G29631" s="2"/>
      <c r="H29631" s="2"/>
    </row>
    <row r="29632" spans="1:8" x14ac:dyDescent="0.25">
      <c r="A29632" s="1"/>
      <c r="B29632" s="1" t="s">
        <v>7328</v>
      </c>
      <c r="C29632" s="1" t="s">
        <v>7329</v>
      </c>
      <c r="D29632" s="22" t="str">
        <f>HYPERLINK("https://rhld.insurance.arkansas.gov/NPILookup?Npi=1942785100","1942785100")</f>
        <v>1942785100</v>
      </c>
      <c r="E29632" s="1" t="s">
        <v>29325</v>
      </c>
      <c r="F29632" s="2"/>
      <c r="G29632" s="2"/>
      <c r="H29632" s="2"/>
    </row>
    <row r="29633" spans="1:8" x14ac:dyDescent="0.25">
      <c r="A29633" s="1"/>
      <c r="B29633" s="1" t="s">
        <v>7328</v>
      </c>
      <c r="C29633" s="1" t="s">
        <v>7329</v>
      </c>
      <c r="D29633" s="22" t="str">
        <f>HYPERLINK("https://rhld.insurance.arkansas.gov/NPILookup?Npi=1942785118","1942785118")</f>
        <v>1942785118</v>
      </c>
      <c r="E29633" s="1" t="s">
        <v>8212</v>
      </c>
      <c r="F29633" s="2"/>
      <c r="G29633" s="2"/>
      <c r="H29633" s="2"/>
    </row>
    <row r="29634" spans="1:8" x14ac:dyDescent="0.25">
      <c r="A29634" s="1"/>
      <c r="B29634" s="1" t="s">
        <v>7328</v>
      </c>
      <c r="C29634" s="1" t="s">
        <v>7329</v>
      </c>
      <c r="D29634" s="22" t="str">
        <f>HYPERLINK("https://rhld.insurance.arkansas.gov/NPILookup?Npi=1942785381","1942785381")</f>
        <v>1942785381</v>
      </c>
      <c r="E29634" s="1" t="s">
        <v>29326</v>
      </c>
      <c r="F29634" s="2"/>
      <c r="G29634" s="2"/>
      <c r="H29634" s="2"/>
    </row>
    <row r="29635" spans="1:8" x14ac:dyDescent="0.25">
      <c r="A29635" s="1"/>
      <c r="B29635" s="1" t="s">
        <v>7328</v>
      </c>
      <c r="C29635" s="1" t="s">
        <v>7329</v>
      </c>
      <c r="D29635" s="22" t="str">
        <f>HYPERLINK("https://rhld.insurance.arkansas.gov/NPILookup?Npi=1942825823","1942825823")</f>
        <v>1942825823</v>
      </c>
      <c r="E29635" s="1" t="s">
        <v>8213</v>
      </c>
      <c r="F29635" s="2"/>
      <c r="G29635" s="2"/>
      <c r="H29635" s="2"/>
    </row>
    <row r="29636" spans="1:8" x14ac:dyDescent="0.25">
      <c r="A29636" s="1"/>
      <c r="B29636" s="1" t="s">
        <v>7328</v>
      </c>
      <c r="C29636" s="1" t="s">
        <v>7329</v>
      </c>
      <c r="D29636" s="22" t="str">
        <f>HYPERLINK("https://rhld.insurance.arkansas.gov/NPILookup?Npi=1942849617","1942849617")</f>
        <v>1942849617</v>
      </c>
      <c r="E29636" s="1" t="s">
        <v>8214</v>
      </c>
      <c r="F29636" s="2"/>
      <c r="G29636" s="2"/>
      <c r="H29636" s="2"/>
    </row>
    <row r="29637" spans="1:8" x14ac:dyDescent="0.25">
      <c r="A29637" s="1"/>
      <c r="B29637" s="1" t="s">
        <v>7328</v>
      </c>
      <c r="C29637" s="1" t="s">
        <v>7329</v>
      </c>
      <c r="D29637" s="22" t="str">
        <f>HYPERLINK("https://rhld.insurance.arkansas.gov/NPILookup?Npi=1942857065","1942857065")</f>
        <v>1942857065</v>
      </c>
      <c r="E29637" s="1" t="s">
        <v>3092</v>
      </c>
      <c r="F29637" s="2"/>
      <c r="G29637" s="2"/>
      <c r="H29637" s="2"/>
    </row>
    <row r="29638" spans="1:8" x14ac:dyDescent="0.25">
      <c r="A29638" s="1"/>
      <c r="B29638" s="1" t="s">
        <v>7328</v>
      </c>
      <c r="C29638" s="1" t="s">
        <v>7329</v>
      </c>
      <c r="D29638" s="22" t="str">
        <f>HYPERLINK("https://rhld.insurance.arkansas.gov/NPILookup?Npi=1942861794","1942861794")</f>
        <v>1942861794</v>
      </c>
      <c r="E29638" s="1" t="s">
        <v>471</v>
      </c>
      <c r="F29638" s="2"/>
      <c r="G29638" s="2"/>
      <c r="H29638" s="2"/>
    </row>
    <row r="29639" spans="1:8" x14ac:dyDescent="0.25">
      <c r="A29639" s="1"/>
      <c r="B29639" s="1" t="s">
        <v>7328</v>
      </c>
      <c r="C29639" s="1" t="s">
        <v>7329</v>
      </c>
      <c r="D29639" s="22" t="str">
        <f>HYPERLINK("https://rhld.insurance.arkansas.gov/NPILookup?Npi=1942870316","1942870316")</f>
        <v>1942870316</v>
      </c>
      <c r="E29639" s="1" t="s">
        <v>29327</v>
      </c>
      <c r="F29639" s="2"/>
      <c r="G29639" s="2"/>
      <c r="H29639" s="2"/>
    </row>
    <row r="29640" spans="1:8" x14ac:dyDescent="0.25">
      <c r="A29640" s="1"/>
      <c r="B29640" s="1" t="s">
        <v>7328</v>
      </c>
      <c r="C29640" s="1" t="s">
        <v>7329</v>
      </c>
      <c r="D29640" s="22" t="str">
        <f>HYPERLINK("https://rhld.insurance.arkansas.gov/NPILookup?Npi=1942913066","1942913066")</f>
        <v>1942913066</v>
      </c>
      <c r="E29640" s="1" t="s">
        <v>8215</v>
      </c>
      <c r="F29640" s="2"/>
      <c r="G29640" s="2"/>
      <c r="H29640" s="2"/>
    </row>
    <row r="29641" spans="1:8" x14ac:dyDescent="0.25">
      <c r="A29641" s="1"/>
      <c r="B29641" s="1" t="s">
        <v>7328</v>
      </c>
      <c r="C29641" s="1" t="s">
        <v>7329</v>
      </c>
      <c r="D29641" s="22" t="str">
        <f>HYPERLINK("https://rhld.insurance.arkansas.gov/NPILookup?Npi=1942922547","1942922547")</f>
        <v>1942922547</v>
      </c>
      <c r="E29641" s="1" t="s">
        <v>29328</v>
      </c>
      <c r="F29641" s="2"/>
      <c r="G29641" s="2"/>
      <c r="H29641" s="2"/>
    </row>
    <row r="29642" spans="1:8" x14ac:dyDescent="0.25">
      <c r="A29642" s="1"/>
      <c r="B29642" s="1" t="s">
        <v>7328</v>
      </c>
      <c r="C29642" s="1" t="s">
        <v>7329</v>
      </c>
      <c r="D29642" s="22" t="str">
        <f>HYPERLINK("https://rhld.insurance.arkansas.gov/NPILookup?Npi=1942923859","1942923859")</f>
        <v>1942923859</v>
      </c>
      <c r="E29642" s="1" t="s">
        <v>8216</v>
      </c>
      <c r="F29642" s="2"/>
      <c r="G29642" s="2"/>
      <c r="H29642" s="2"/>
    </row>
    <row r="29643" spans="1:8" x14ac:dyDescent="0.25">
      <c r="A29643" s="1"/>
      <c r="B29643" s="1" t="s">
        <v>7328</v>
      </c>
      <c r="C29643" s="1" t="s">
        <v>7329</v>
      </c>
      <c r="D29643" s="22" t="str">
        <f>HYPERLINK("https://rhld.insurance.arkansas.gov/NPILookup?Npi=1942937206","1942937206")</f>
        <v>1942937206</v>
      </c>
      <c r="E29643" s="1" t="s">
        <v>29329</v>
      </c>
      <c r="F29643" s="2"/>
      <c r="G29643" s="2"/>
      <c r="H29643" s="2"/>
    </row>
    <row r="29644" spans="1:8" x14ac:dyDescent="0.25">
      <c r="A29644" s="1"/>
      <c r="B29644" s="1" t="s">
        <v>7328</v>
      </c>
      <c r="C29644" s="1" t="s">
        <v>7329</v>
      </c>
      <c r="D29644" s="22" t="str">
        <f>HYPERLINK("https://rhld.insurance.arkansas.gov/NPILookup?Npi=1942940358","1942940358")</f>
        <v>1942940358</v>
      </c>
      <c r="E29644" s="1" t="s">
        <v>29330</v>
      </c>
      <c r="F29644" s="2"/>
      <c r="G29644" s="2"/>
      <c r="H29644" s="2"/>
    </row>
    <row r="29645" spans="1:8" x14ac:dyDescent="0.25">
      <c r="A29645" s="1"/>
      <c r="B29645" s="1" t="s">
        <v>7328</v>
      </c>
      <c r="C29645" s="1" t="s">
        <v>7329</v>
      </c>
      <c r="D29645" s="22" t="str">
        <f>HYPERLINK("https://rhld.insurance.arkansas.gov/NPILookup?Npi=1942944368","1942944368")</f>
        <v>1942944368</v>
      </c>
      <c r="E29645" s="1" t="s">
        <v>29331</v>
      </c>
      <c r="F29645" s="2"/>
      <c r="G29645" s="2"/>
      <c r="H29645" s="2"/>
    </row>
    <row r="29646" spans="1:8" x14ac:dyDescent="0.25">
      <c r="A29646" s="1"/>
      <c r="B29646" s="1" t="s">
        <v>7328</v>
      </c>
      <c r="C29646" s="1" t="s">
        <v>7329</v>
      </c>
      <c r="D29646" s="22" t="str">
        <f>HYPERLINK("https://rhld.insurance.arkansas.gov/NPILookup?Npi=1942963327","1942963327")</f>
        <v>1942963327</v>
      </c>
      <c r="E29646" s="1" t="s">
        <v>29332</v>
      </c>
      <c r="F29646" s="2"/>
      <c r="G29646" s="2"/>
      <c r="H29646" s="2"/>
    </row>
    <row r="29647" spans="1:8" x14ac:dyDescent="0.25">
      <c r="A29647" s="1"/>
      <c r="B29647" s="1" t="s">
        <v>7328</v>
      </c>
      <c r="C29647" s="1" t="s">
        <v>7329</v>
      </c>
      <c r="D29647" s="22" t="str">
        <f>HYPERLINK("https://rhld.insurance.arkansas.gov/NPILookup?Npi=1942967591","1942967591")</f>
        <v>1942967591</v>
      </c>
      <c r="E29647" s="1" t="s">
        <v>8217</v>
      </c>
      <c r="F29647" s="2"/>
      <c r="G29647" s="2"/>
      <c r="H29647" s="2"/>
    </row>
    <row r="29648" spans="1:8" x14ac:dyDescent="0.25">
      <c r="A29648" s="1"/>
      <c r="B29648" s="1" t="s">
        <v>7328</v>
      </c>
      <c r="C29648" s="1" t="s">
        <v>7329</v>
      </c>
      <c r="D29648" s="22" t="str">
        <f>HYPERLINK("https://rhld.insurance.arkansas.gov/NPILookup?Npi=1942974829","1942974829")</f>
        <v>1942974829</v>
      </c>
      <c r="E29648" s="1" t="s">
        <v>29333</v>
      </c>
      <c r="F29648" s="2"/>
      <c r="G29648" s="2"/>
      <c r="H29648" s="2"/>
    </row>
    <row r="29649" spans="1:8" x14ac:dyDescent="0.25">
      <c r="A29649" s="1"/>
      <c r="B29649" s="1" t="s">
        <v>7328</v>
      </c>
      <c r="C29649" s="1" t="s">
        <v>7329</v>
      </c>
      <c r="D29649" s="22" t="str">
        <f>HYPERLINK("https://rhld.insurance.arkansas.gov/NPILookup?Npi=1942977301","1942977301")</f>
        <v>1942977301</v>
      </c>
      <c r="E29649" s="1" t="s">
        <v>29334</v>
      </c>
      <c r="F29649" s="2"/>
      <c r="G29649" s="2"/>
      <c r="H29649" s="2"/>
    </row>
    <row r="29650" spans="1:8" x14ac:dyDescent="0.25">
      <c r="A29650" s="1"/>
      <c r="B29650" s="1" t="s">
        <v>7328</v>
      </c>
      <c r="C29650" s="1" t="s">
        <v>7329</v>
      </c>
      <c r="D29650" s="22" t="str">
        <f>HYPERLINK("https://rhld.insurance.arkansas.gov/NPILookup?Npi=1942977756","1942977756")</f>
        <v>1942977756</v>
      </c>
      <c r="E29650" s="1" t="s">
        <v>8218</v>
      </c>
      <c r="F29650" s="2"/>
      <c r="G29650" s="2"/>
      <c r="H29650" s="2"/>
    </row>
    <row r="29651" spans="1:8" x14ac:dyDescent="0.25">
      <c r="A29651" s="1"/>
      <c r="B29651" s="1" t="s">
        <v>7328</v>
      </c>
      <c r="C29651" s="1" t="s">
        <v>7329</v>
      </c>
      <c r="D29651" s="22" t="str">
        <f>HYPERLINK("https://rhld.insurance.arkansas.gov/NPILookup?Npi=1942997978","1942997978")</f>
        <v>1942997978</v>
      </c>
      <c r="E29651" s="1" t="s">
        <v>8219</v>
      </c>
      <c r="F29651" s="2"/>
      <c r="G29651" s="2"/>
      <c r="H29651" s="2"/>
    </row>
    <row r="29652" spans="1:8" x14ac:dyDescent="0.25">
      <c r="A29652" s="1"/>
      <c r="B29652" s="1" t="s">
        <v>7328</v>
      </c>
      <c r="C29652" s="1" t="s">
        <v>7329</v>
      </c>
      <c r="D29652" s="22" t="str">
        <f>HYPERLINK("https://rhld.insurance.arkansas.gov/NPILookup?Npi=1952009052","1952009052")</f>
        <v>1952009052</v>
      </c>
      <c r="E29652" s="1" t="s">
        <v>29335</v>
      </c>
      <c r="F29652" s="2"/>
      <c r="G29652" s="2"/>
      <c r="H29652" s="2"/>
    </row>
    <row r="29653" spans="1:8" x14ac:dyDescent="0.25">
      <c r="A29653" s="1"/>
      <c r="B29653" s="1" t="s">
        <v>7328</v>
      </c>
      <c r="C29653" s="1" t="s">
        <v>7329</v>
      </c>
      <c r="D29653" s="22" t="str">
        <f>HYPERLINK("https://rhld.insurance.arkansas.gov/NPILookup?Npi=1952014243","1952014243")</f>
        <v>1952014243</v>
      </c>
      <c r="E29653" s="1" t="s">
        <v>29336</v>
      </c>
      <c r="F29653" s="2"/>
      <c r="G29653" s="2"/>
      <c r="H29653" s="2"/>
    </row>
    <row r="29654" spans="1:8" x14ac:dyDescent="0.25">
      <c r="A29654" s="1"/>
      <c r="B29654" s="1" t="s">
        <v>7328</v>
      </c>
      <c r="C29654" s="1" t="s">
        <v>7329</v>
      </c>
      <c r="D29654" s="22" t="str">
        <f>HYPERLINK("https://rhld.insurance.arkansas.gov/NPILookup?Npi=1952032393","1952032393")</f>
        <v>1952032393</v>
      </c>
      <c r="E29654" s="1" t="s">
        <v>8220</v>
      </c>
      <c r="F29654" s="2"/>
      <c r="G29654" s="2"/>
      <c r="H29654" s="2"/>
    </row>
    <row r="29655" spans="1:8" x14ac:dyDescent="0.25">
      <c r="A29655" s="1"/>
      <c r="B29655" s="1" t="s">
        <v>7328</v>
      </c>
      <c r="C29655" s="1" t="s">
        <v>7329</v>
      </c>
      <c r="D29655" s="22" t="str">
        <f>HYPERLINK("https://rhld.insurance.arkansas.gov/NPILookup?Npi=1952033649","1952033649")</f>
        <v>1952033649</v>
      </c>
      <c r="E29655" s="1" t="s">
        <v>29337</v>
      </c>
      <c r="F29655" s="2"/>
      <c r="G29655" s="2"/>
      <c r="H29655" s="2"/>
    </row>
    <row r="29656" spans="1:8" x14ac:dyDescent="0.25">
      <c r="A29656" s="1"/>
      <c r="B29656" s="1" t="s">
        <v>7328</v>
      </c>
      <c r="C29656" s="1" t="s">
        <v>7329</v>
      </c>
      <c r="D29656" s="22" t="str">
        <f>HYPERLINK("https://rhld.insurance.arkansas.gov/NPILookup?Npi=1952034191","1952034191")</f>
        <v>1952034191</v>
      </c>
      <c r="E29656" s="1" t="s">
        <v>29338</v>
      </c>
      <c r="F29656" s="2"/>
      <c r="G29656" s="2"/>
      <c r="H29656" s="2"/>
    </row>
    <row r="29657" spans="1:8" x14ac:dyDescent="0.25">
      <c r="A29657" s="1"/>
      <c r="B29657" s="1" t="s">
        <v>7328</v>
      </c>
      <c r="C29657" s="1" t="s">
        <v>7329</v>
      </c>
      <c r="D29657" s="22" t="str">
        <f>HYPERLINK("https://rhld.insurance.arkansas.gov/NPILookup?Npi=1952035693","1952035693")</f>
        <v>1952035693</v>
      </c>
      <c r="E29657" s="1" t="s">
        <v>12259</v>
      </c>
      <c r="F29657" s="2"/>
      <c r="G29657" s="2"/>
      <c r="H29657" s="2"/>
    </row>
    <row r="29658" spans="1:8" x14ac:dyDescent="0.25">
      <c r="A29658" s="1"/>
      <c r="B29658" s="1" t="s">
        <v>7328</v>
      </c>
      <c r="C29658" s="1" t="s">
        <v>7329</v>
      </c>
      <c r="D29658" s="22" t="str">
        <f>HYPERLINK("https://rhld.insurance.arkansas.gov/NPILookup?Npi=1952052243","1952052243")</f>
        <v>1952052243</v>
      </c>
      <c r="E29658" s="1" t="s">
        <v>29339</v>
      </c>
      <c r="F29658" s="2"/>
      <c r="G29658" s="2"/>
      <c r="H29658" s="2"/>
    </row>
    <row r="29659" spans="1:8" x14ac:dyDescent="0.25">
      <c r="A29659" s="1"/>
      <c r="B29659" s="1" t="s">
        <v>7328</v>
      </c>
      <c r="C29659" s="1" t="s">
        <v>7329</v>
      </c>
      <c r="D29659" s="22" t="str">
        <f>HYPERLINK("https://rhld.insurance.arkansas.gov/NPILookup?Npi=1952052375","1952052375")</f>
        <v>1952052375</v>
      </c>
      <c r="E29659" s="1" t="s">
        <v>13811</v>
      </c>
      <c r="F29659" s="2"/>
      <c r="G29659" s="2"/>
      <c r="H29659" s="2"/>
    </row>
    <row r="29660" spans="1:8" x14ac:dyDescent="0.25">
      <c r="A29660" s="1"/>
      <c r="B29660" s="1" t="s">
        <v>7328</v>
      </c>
      <c r="C29660" s="1" t="s">
        <v>7329</v>
      </c>
      <c r="D29660" s="22" t="str">
        <f>HYPERLINK("https://rhld.insurance.arkansas.gov/NPILookup?Npi=1952066953","1952066953")</f>
        <v>1952066953</v>
      </c>
      <c r="E29660" s="1" t="s">
        <v>6272</v>
      </c>
      <c r="F29660" s="2"/>
      <c r="G29660" s="2"/>
      <c r="H29660" s="2"/>
    </row>
    <row r="29661" spans="1:8" x14ac:dyDescent="0.25">
      <c r="A29661" s="1"/>
      <c r="B29661" s="1" t="s">
        <v>7328</v>
      </c>
      <c r="C29661" s="1" t="s">
        <v>7329</v>
      </c>
      <c r="D29661" s="22" t="str">
        <f>HYPERLINK("https://rhld.insurance.arkansas.gov/NPILookup?Npi=1952081556","1952081556")</f>
        <v>1952081556</v>
      </c>
      <c r="E29661" s="1" t="s">
        <v>5235</v>
      </c>
      <c r="F29661" s="2"/>
      <c r="G29661" s="2"/>
      <c r="H29661" s="2"/>
    </row>
    <row r="29662" spans="1:8" x14ac:dyDescent="0.25">
      <c r="A29662" s="1"/>
      <c r="B29662" s="1" t="s">
        <v>7328</v>
      </c>
      <c r="C29662" s="1" t="s">
        <v>7329</v>
      </c>
      <c r="D29662" s="22" t="str">
        <f>HYPERLINK("https://rhld.insurance.arkansas.gov/NPILookup?Npi=1952086464","1952086464")</f>
        <v>1952086464</v>
      </c>
      <c r="E29662" s="1" t="s">
        <v>29340</v>
      </c>
      <c r="F29662" s="2"/>
      <c r="G29662" s="2"/>
      <c r="H29662" s="2"/>
    </row>
    <row r="29663" spans="1:8" x14ac:dyDescent="0.25">
      <c r="A29663" s="1"/>
      <c r="B29663" s="1" t="s">
        <v>7328</v>
      </c>
      <c r="C29663" s="1" t="s">
        <v>7329</v>
      </c>
      <c r="D29663" s="22" t="str">
        <f>HYPERLINK("https://rhld.insurance.arkansas.gov/NPILookup?Npi=1952088452","1952088452")</f>
        <v>1952088452</v>
      </c>
      <c r="E29663" s="1" t="s">
        <v>29341</v>
      </c>
      <c r="F29663" s="2"/>
      <c r="G29663" s="2"/>
      <c r="H29663" s="2"/>
    </row>
    <row r="29664" spans="1:8" x14ac:dyDescent="0.25">
      <c r="A29664" s="1"/>
      <c r="B29664" s="1" t="s">
        <v>7328</v>
      </c>
      <c r="C29664" s="1" t="s">
        <v>7329</v>
      </c>
      <c r="D29664" s="22" t="str">
        <f>HYPERLINK("https://rhld.insurance.arkansas.gov/NPILookup?Npi=1952164980","1952164980")</f>
        <v>1952164980</v>
      </c>
      <c r="E29664" s="1" t="s">
        <v>13812</v>
      </c>
      <c r="F29664" s="2"/>
      <c r="G29664" s="2"/>
      <c r="H29664" s="2"/>
    </row>
    <row r="29665" spans="1:8" x14ac:dyDescent="0.25">
      <c r="A29665" s="1"/>
      <c r="B29665" s="1" t="s">
        <v>7328</v>
      </c>
      <c r="C29665" s="1" t="s">
        <v>7329</v>
      </c>
      <c r="D29665" s="22" t="str">
        <f>HYPERLINK("https://rhld.insurance.arkansas.gov/NPILookup?Npi=1952171977","1952171977")</f>
        <v>1952171977</v>
      </c>
      <c r="E29665" s="1" t="s">
        <v>32414</v>
      </c>
      <c r="F29665" s="2"/>
      <c r="G29665" s="2"/>
      <c r="H29665" s="2"/>
    </row>
    <row r="29666" spans="1:8" x14ac:dyDescent="0.25">
      <c r="A29666" s="1"/>
      <c r="B29666" s="1" t="s">
        <v>7328</v>
      </c>
      <c r="C29666" s="1" t="s">
        <v>7329</v>
      </c>
      <c r="D29666" s="22" t="str">
        <f>HYPERLINK("https://rhld.insurance.arkansas.gov/NPILookup?Npi=1952188757","1952188757")</f>
        <v>1952188757</v>
      </c>
      <c r="E29666" s="1" t="s">
        <v>32415</v>
      </c>
      <c r="F29666" s="2"/>
      <c r="G29666" s="2"/>
      <c r="H29666" s="2"/>
    </row>
    <row r="29667" spans="1:8" x14ac:dyDescent="0.25">
      <c r="A29667" s="1"/>
      <c r="B29667" s="1" t="s">
        <v>7328</v>
      </c>
      <c r="C29667" s="1" t="s">
        <v>7329</v>
      </c>
      <c r="D29667" s="22" t="str">
        <f>HYPERLINK("https://rhld.insurance.arkansas.gov/NPILookup?Npi=1952301343","1952301343")</f>
        <v>1952301343</v>
      </c>
      <c r="E29667" s="1" t="s">
        <v>29342</v>
      </c>
      <c r="F29667" s="2"/>
      <c r="G29667" s="2"/>
      <c r="H29667" s="2"/>
    </row>
    <row r="29668" spans="1:8" x14ac:dyDescent="0.25">
      <c r="A29668" s="1"/>
      <c r="B29668" s="1" t="s">
        <v>7328</v>
      </c>
      <c r="C29668" s="1" t="s">
        <v>7329</v>
      </c>
      <c r="D29668" s="22" t="str">
        <f>HYPERLINK("https://rhld.insurance.arkansas.gov/NPILookup?Npi=1952307860","1952307860")</f>
        <v>1952307860</v>
      </c>
      <c r="E29668" s="1" t="s">
        <v>29343</v>
      </c>
      <c r="F29668" s="2"/>
      <c r="G29668" s="2"/>
      <c r="H29668" s="2"/>
    </row>
    <row r="29669" spans="1:8" x14ac:dyDescent="0.25">
      <c r="A29669" s="1"/>
      <c r="B29669" s="1" t="s">
        <v>7328</v>
      </c>
      <c r="C29669" s="1" t="s">
        <v>7329</v>
      </c>
      <c r="D29669" s="22" t="str">
        <f>HYPERLINK("https://rhld.insurance.arkansas.gov/NPILookup?Npi=1952314833","1952314833")</f>
        <v>1952314833</v>
      </c>
      <c r="E29669" s="1" t="s">
        <v>8221</v>
      </c>
      <c r="F29669" s="2"/>
      <c r="G29669" s="2"/>
      <c r="H29669" s="2"/>
    </row>
    <row r="29670" spans="1:8" x14ac:dyDescent="0.25">
      <c r="A29670" s="1"/>
      <c r="B29670" s="1" t="s">
        <v>7328</v>
      </c>
      <c r="C29670" s="1" t="s">
        <v>7329</v>
      </c>
      <c r="D29670" s="22" t="str">
        <f>HYPERLINK("https://rhld.insurance.arkansas.gov/NPILookup?Npi=1952315152","1952315152")</f>
        <v>1952315152</v>
      </c>
      <c r="E29670" s="1" t="s">
        <v>1827</v>
      </c>
      <c r="F29670" s="2"/>
      <c r="G29670" s="2"/>
      <c r="H29670" s="2"/>
    </row>
    <row r="29671" spans="1:8" x14ac:dyDescent="0.25">
      <c r="A29671" s="1"/>
      <c r="B29671" s="1" t="s">
        <v>7328</v>
      </c>
      <c r="C29671" s="1" t="s">
        <v>7329</v>
      </c>
      <c r="D29671" s="22" t="str">
        <f>HYPERLINK("https://rhld.insurance.arkansas.gov/NPILookup?Npi=1952316366","1952316366")</f>
        <v>1952316366</v>
      </c>
      <c r="E29671" s="1" t="s">
        <v>18933</v>
      </c>
      <c r="F29671" s="2"/>
      <c r="G29671" s="2"/>
      <c r="H29671" s="2"/>
    </row>
    <row r="29672" spans="1:8" x14ac:dyDescent="0.25">
      <c r="A29672" s="1"/>
      <c r="B29672" s="1" t="s">
        <v>7328</v>
      </c>
      <c r="C29672" s="1" t="s">
        <v>7329</v>
      </c>
      <c r="D29672" s="22" t="str">
        <f>HYPERLINK("https://rhld.insurance.arkansas.gov/NPILookup?Npi=1952319477","1952319477")</f>
        <v>1952319477</v>
      </c>
      <c r="E29672" s="1" t="s">
        <v>219</v>
      </c>
      <c r="F29672" s="2"/>
      <c r="G29672" s="2"/>
      <c r="H29672" s="2"/>
    </row>
    <row r="29673" spans="1:8" x14ac:dyDescent="0.25">
      <c r="A29673" s="1"/>
      <c r="B29673" s="1" t="s">
        <v>7328</v>
      </c>
      <c r="C29673" s="1" t="s">
        <v>7329</v>
      </c>
      <c r="D29673" s="22" t="str">
        <f>HYPERLINK("https://rhld.insurance.arkansas.gov/NPILookup?Npi=1952339335","1952339335")</f>
        <v>1952339335</v>
      </c>
      <c r="E29673" s="1" t="s">
        <v>29344</v>
      </c>
      <c r="F29673" s="2"/>
      <c r="G29673" s="2"/>
      <c r="H29673" s="2"/>
    </row>
    <row r="29674" spans="1:8" x14ac:dyDescent="0.25">
      <c r="A29674" s="1"/>
      <c r="B29674" s="1" t="s">
        <v>7328</v>
      </c>
      <c r="C29674" s="1" t="s">
        <v>7329</v>
      </c>
      <c r="D29674" s="22" t="str">
        <f>HYPERLINK("https://rhld.insurance.arkansas.gov/NPILookup?Npi=1952341562","1952341562")</f>
        <v>1952341562</v>
      </c>
      <c r="E29674" s="1" t="s">
        <v>907</v>
      </c>
      <c r="F29674" s="2"/>
      <c r="G29674" s="2"/>
      <c r="H29674" s="2"/>
    </row>
    <row r="29675" spans="1:8" x14ac:dyDescent="0.25">
      <c r="A29675" s="1"/>
      <c r="B29675" s="1" t="s">
        <v>7328</v>
      </c>
      <c r="C29675" s="1" t="s">
        <v>7329</v>
      </c>
      <c r="D29675" s="22" t="str">
        <f>HYPERLINK("https://rhld.insurance.arkansas.gov/NPILookup?Npi=1952342537","1952342537")</f>
        <v>1952342537</v>
      </c>
      <c r="E29675" s="1" t="s">
        <v>29345</v>
      </c>
      <c r="F29675" s="2"/>
      <c r="G29675" s="2"/>
      <c r="H29675" s="2"/>
    </row>
    <row r="29676" spans="1:8" x14ac:dyDescent="0.25">
      <c r="A29676" s="1"/>
      <c r="B29676" s="1" t="s">
        <v>7328</v>
      </c>
      <c r="C29676" s="1" t="s">
        <v>7329</v>
      </c>
      <c r="D29676" s="22" t="str">
        <f>HYPERLINK("https://rhld.insurance.arkansas.gov/NPILookup?Npi=1952343907","1952343907")</f>
        <v>1952343907</v>
      </c>
      <c r="E29676" s="1" t="s">
        <v>29346</v>
      </c>
      <c r="F29676" s="2"/>
      <c r="G29676" s="2"/>
      <c r="H29676" s="2"/>
    </row>
    <row r="29677" spans="1:8" x14ac:dyDescent="0.25">
      <c r="A29677" s="1"/>
      <c r="B29677" s="1" t="s">
        <v>7328</v>
      </c>
      <c r="C29677" s="1" t="s">
        <v>7329</v>
      </c>
      <c r="D29677" s="22" t="str">
        <f>HYPERLINK("https://rhld.insurance.arkansas.gov/NPILookup?Npi=1952352213","1952352213")</f>
        <v>1952352213</v>
      </c>
      <c r="E29677" s="1" t="s">
        <v>18029</v>
      </c>
      <c r="F29677" s="2"/>
      <c r="G29677" s="2"/>
      <c r="H29677" s="2"/>
    </row>
    <row r="29678" spans="1:8" x14ac:dyDescent="0.25">
      <c r="A29678" s="1"/>
      <c r="B29678" s="1" t="s">
        <v>7328</v>
      </c>
      <c r="C29678" s="1" t="s">
        <v>7329</v>
      </c>
      <c r="D29678" s="22" t="str">
        <f>HYPERLINK("https://rhld.insurance.arkansas.gov/NPILookup?Npi=1952352510","1952352510")</f>
        <v>1952352510</v>
      </c>
      <c r="E29678" s="1" t="s">
        <v>3093</v>
      </c>
      <c r="F29678" s="2"/>
      <c r="G29678" s="2"/>
      <c r="H29678" s="2"/>
    </row>
    <row r="29679" spans="1:8" x14ac:dyDescent="0.25">
      <c r="A29679" s="1"/>
      <c r="B29679" s="1" t="s">
        <v>7328</v>
      </c>
      <c r="C29679" s="1" t="s">
        <v>7329</v>
      </c>
      <c r="D29679" s="22" t="str">
        <f>HYPERLINK("https://rhld.insurance.arkansas.gov/NPILookup?Npi=1952359507","1952359507")</f>
        <v>1952359507</v>
      </c>
      <c r="E29679" s="1" t="s">
        <v>13813</v>
      </c>
      <c r="F29679" s="2"/>
      <c r="G29679" s="2"/>
      <c r="H29679" s="2"/>
    </row>
    <row r="29680" spans="1:8" x14ac:dyDescent="0.25">
      <c r="A29680" s="1"/>
      <c r="B29680" s="1" t="s">
        <v>7328</v>
      </c>
      <c r="C29680" s="1" t="s">
        <v>7329</v>
      </c>
      <c r="D29680" s="22" t="str">
        <f>HYPERLINK("https://rhld.insurance.arkansas.gov/NPILookup?Npi=1952361479","1952361479")</f>
        <v>1952361479</v>
      </c>
      <c r="E29680" s="1" t="s">
        <v>29347</v>
      </c>
      <c r="F29680" s="2"/>
      <c r="G29680" s="2"/>
      <c r="H29680" s="2"/>
    </row>
    <row r="29681" spans="1:8" x14ac:dyDescent="0.25">
      <c r="A29681" s="1"/>
      <c r="B29681" s="1" t="s">
        <v>7328</v>
      </c>
      <c r="C29681" s="1" t="s">
        <v>7329</v>
      </c>
      <c r="D29681" s="22" t="str">
        <f>HYPERLINK("https://rhld.insurance.arkansas.gov/NPILookup?Npi=1952377442","1952377442")</f>
        <v>1952377442</v>
      </c>
      <c r="E29681" s="1" t="s">
        <v>3094</v>
      </c>
      <c r="F29681" s="2"/>
      <c r="G29681" s="2"/>
      <c r="H29681" s="2"/>
    </row>
    <row r="29682" spans="1:8" x14ac:dyDescent="0.25">
      <c r="A29682" s="1"/>
      <c r="B29682" s="1" t="s">
        <v>7328</v>
      </c>
      <c r="C29682" s="1" t="s">
        <v>7329</v>
      </c>
      <c r="D29682" s="22" t="str">
        <f>HYPERLINK("https://rhld.insurance.arkansas.gov/NPILookup?Npi=1952380651","1952380651")</f>
        <v>1952380651</v>
      </c>
      <c r="E29682" s="1" t="s">
        <v>908</v>
      </c>
      <c r="F29682" s="2"/>
      <c r="G29682" s="2"/>
      <c r="H29682" s="2"/>
    </row>
    <row r="29683" spans="1:8" x14ac:dyDescent="0.25">
      <c r="A29683" s="1"/>
      <c r="B29683" s="1" t="s">
        <v>7328</v>
      </c>
      <c r="C29683" s="1" t="s">
        <v>7329</v>
      </c>
      <c r="D29683" s="22" t="str">
        <f>HYPERLINK("https://rhld.insurance.arkansas.gov/NPILookup?Npi=1952385064","1952385064")</f>
        <v>1952385064</v>
      </c>
      <c r="E29683" s="1" t="s">
        <v>29348</v>
      </c>
      <c r="F29683" s="2"/>
      <c r="G29683" s="2"/>
      <c r="H29683" s="2"/>
    </row>
    <row r="29684" spans="1:8" x14ac:dyDescent="0.25">
      <c r="A29684" s="1"/>
      <c r="B29684" s="1" t="s">
        <v>7328</v>
      </c>
      <c r="C29684" s="1" t="s">
        <v>7329</v>
      </c>
      <c r="D29684" s="22" t="str">
        <f>HYPERLINK("https://rhld.insurance.arkansas.gov/NPILookup?Npi=1952391401","1952391401")</f>
        <v>1952391401</v>
      </c>
      <c r="E29684" s="1" t="s">
        <v>13814</v>
      </c>
      <c r="F29684" s="2"/>
      <c r="G29684" s="2"/>
      <c r="H29684" s="2"/>
    </row>
    <row r="29685" spans="1:8" x14ac:dyDescent="0.25">
      <c r="A29685" s="1"/>
      <c r="B29685" s="1" t="s">
        <v>7328</v>
      </c>
      <c r="C29685" s="1" t="s">
        <v>7329</v>
      </c>
      <c r="D29685" s="22" t="str">
        <f>HYPERLINK("https://rhld.insurance.arkansas.gov/NPILookup?Npi=1952411860","1952411860")</f>
        <v>1952411860</v>
      </c>
      <c r="E29685" s="1" t="s">
        <v>8222</v>
      </c>
      <c r="F29685" s="2"/>
      <c r="G29685" s="2"/>
      <c r="H29685" s="2"/>
    </row>
    <row r="29686" spans="1:8" x14ac:dyDescent="0.25">
      <c r="A29686" s="1"/>
      <c r="B29686" s="1" t="s">
        <v>7328</v>
      </c>
      <c r="C29686" s="1" t="s">
        <v>7329</v>
      </c>
      <c r="D29686" s="22" t="str">
        <f>HYPERLINK("https://rhld.insurance.arkansas.gov/NPILookup?Npi=1952416653","1952416653")</f>
        <v>1952416653</v>
      </c>
      <c r="E29686" s="1" t="s">
        <v>3095</v>
      </c>
      <c r="F29686" s="2"/>
      <c r="G29686" s="2"/>
      <c r="H29686" s="2"/>
    </row>
    <row r="29687" spans="1:8" x14ac:dyDescent="0.25">
      <c r="A29687" s="1"/>
      <c r="B29687" s="1" t="s">
        <v>7328</v>
      </c>
      <c r="C29687" s="1" t="s">
        <v>7329</v>
      </c>
      <c r="D29687" s="22" t="str">
        <f>HYPERLINK("https://rhld.insurance.arkansas.gov/NPILookup?Npi=1952429680","1952429680")</f>
        <v>1952429680</v>
      </c>
      <c r="E29687" s="1" t="s">
        <v>29349</v>
      </c>
      <c r="F29687" s="2"/>
      <c r="G29687" s="2"/>
      <c r="H29687" s="2"/>
    </row>
    <row r="29688" spans="1:8" x14ac:dyDescent="0.25">
      <c r="A29688" s="1"/>
      <c r="B29688" s="1" t="s">
        <v>7328</v>
      </c>
      <c r="C29688" s="1" t="s">
        <v>7329</v>
      </c>
      <c r="D29688" s="22" t="str">
        <f>HYPERLINK("https://rhld.insurance.arkansas.gov/NPILookup?Npi=1952465619","1952465619")</f>
        <v>1952465619</v>
      </c>
      <c r="E29688" s="1" t="s">
        <v>4543</v>
      </c>
      <c r="F29688" s="2"/>
      <c r="G29688" s="2"/>
      <c r="H29688" s="2"/>
    </row>
    <row r="29689" spans="1:8" x14ac:dyDescent="0.25">
      <c r="A29689" s="1"/>
      <c r="B29689" s="1" t="s">
        <v>7328</v>
      </c>
      <c r="C29689" s="1" t="s">
        <v>7329</v>
      </c>
      <c r="D29689" s="22" t="str">
        <f>HYPERLINK("https://rhld.insurance.arkansas.gov/NPILookup?Npi=1952488660","1952488660")</f>
        <v>1952488660</v>
      </c>
      <c r="E29689" s="1" t="s">
        <v>29350</v>
      </c>
      <c r="F29689" s="2"/>
      <c r="G29689" s="2"/>
      <c r="H29689" s="2"/>
    </row>
    <row r="29690" spans="1:8" x14ac:dyDescent="0.25">
      <c r="A29690" s="1"/>
      <c r="B29690" s="1" t="s">
        <v>7328</v>
      </c>
      <c r="C29690" s="1" t="s">
        <v>7329</v>
      </c>
      <c r="D29690" s="22" t="str">
        <f>HYPERLINK("https://rhld.insurance.arkansas.gov/NPILookup?Npi=1952493546","1952493546")</f>
        <v>1952493546</v>
      </c>
      <c r="E29690" s="1" t="s">
        <v>29351</v>
      </c>
      <c r="F29690" s="2"/>
      <c r="G29690" s="2"/>
      <c r="H29690" s="2"/>
    </row>
    <row r="29691" spans="1:8" x14ac:dyDescent="0.25">
      <c r="A29691" s="1"/>
      <c r="B29691" s="1" t="s">
        <v>7328</v>
      </c>
      <c r="C29691" s="1" t="s">
        <v>7329</v>
      </c>
      <c r="D29691" s="22" t="str">
        <f>HYPERLINK("https://rhld.insurance.arkansas.gov/NPILookup?Npi=1952497240","1952497240")</f>
        <v>1952497240</v>
      </c>
      <c r="E29691" s="1" t="s">
        <v>1828</v>
      </c>
      <c r="F29691" s="2"/>
      <c r="G29691" s="2"/>
      <c r="H29691" s="2"/>
    </row>
    <row r="29692" spans="1:8" x14ac:dyDescent="0.25">
      <c r="A29692" s="1"/>
      <c r="B29692" s="1" t="s">
        <v>7328</v>
      </c>
      <c r="C29692" s="1" t="s">
        <v>7329</v>
      </c>
      <c r="D29692" s="22" t="str">
        <f>HYPERLINK("https://rhld.insurance.arkansas.gov/NPILookup?Npi=1952504193","1952504193")</f>
        <v>1952504193</v>
      </c>
      <c r="E29692" s="1" t="s">
        <v>3096</v>
      </c>
      <c r="F29692" s="2"/>
      <c r="G29692" s="2"/>
      <c r="H29692" s="2"/>
    </row>
    <row r="29693" spans="1:8" x14ac:dyDescent="0.25">
      <c r="A29693" s="1"/>
      <c r="B29693" s="1" t="s">
        <v>7328</v>
      </c>
      <c r="C29693" s="1" t="s">
        <v>7329</v>
      </c>
      <c r="D29693" s="22" t="str">
        <f>HYPERLINK("https://rhld.insurance.arkansas.gov/NPILookup?Npi=1952515777","1952515777")</f>
        <v>1952515777</v>
      </c>
      <c r="E29693" s="1" t="s">
        <v>29352</v>
      </c>
      <c r="F29693" s="2"/>
      <c r="G29693" s="2"/>
      <c r="H29693" s="2"/>
    </row>
    <row r="29694" spans="1:8" x14ac:dyDescent="0.25">
      <c r="A29694" s="1"/>
      <c r="B29694" s="1" t="s">
        <v>7328</v>
      </c>
      <c r="C29694" s="1" t="s">
        <v>7329</v>
      </c>
      <c r="D29694" s="22" t="str">
        <f>HYPERLINK("https://rhld.insurance.arkansas.gov/NPILookup?Npi=1952552499","1952552499")</f>
        <v>1952552499</v>
      </c>
      <c r="E29694" s="1" t="s">
        <v>8223</v>
      </c>
      <c r="F29694" s="2"/>
      <c r="G29694" s="2"/>
      <c r="H29694" s="2"/>
    </row>
    <row r="29695" spans="1:8" x14ac:dyDescent="0.25">
      <c r="A29695" s="1"/>
      <c r="B29695" s="1" t="s">
        <v>7328</v>
      </c>
      <c r="C29695" s="1" t="s">
        <v>7329</v>
      </c>
      <c r="D29695" s="22" t="str">
        <f>HYPERLINK("https://rhld.insurance.arkansas.gov/NPILookup?Npi=1952566440","1952566440")</f>
        <v>1952566440</v>
      </c>
      <c r="E29695" s="1" t="s">
        <v>8224</v>
      </c>
      <c r="F29695" s="2"/>
      <c r="G29695" s="2"/>
      <c r="H29695" s="2"/>
    </row>
    <row r="29696" spans="1:8" x14ac:dyDescent="0.25">
      <c r="A29696" s="1"/>
      <c r="B29696" s="1" t="s">
        <v>7328</v>
      </c>
      <c r="C29696" s="1" t="s">
        <v>7329</v>
      </c>
      <c r="D29696" s="22" t="str">
        <f>HYPERLINK("https://rhld.insurance.arkansas.gov/NPILookup?Npi=1952574048","1952574048")</f>
        <v>1952574048</v>
      </c>
      <c r="E29696" s="1" t="s">
        <v>2105</v>
      </c>
      <c r="F29696" s="2"/>
      <c r="G29696" s="2"/>
      <c r="H29696" s="2"/>
    </row>
    <row r="29697" spans="1:8" x14ac:dyDescent="0.25">
      <c r="A29697" s="1"/>
      <c r="B29697" s="1" t="s">
        <v>7328</v>
      </c>
      <c r="C29697" s="1" t="s">
        <v>7329</v>
      </c>
      <c r="D29697" s="22" t="str">
        <f>HYPERLINK("https://rhld.insurance.arkansas.gov/NPILookup?Npi=1952598211","1952598211")</f>
        <v>1952598211</v>
      </c>
      <c r="E29697" s="1" t="s">
        <v>23883</v>
      </c>
      <c r="F29697" s="2"/>
      <c r="G29697" s="2"/>
      <c r="H29697" s="2"/>
    </row>
    <row r="29698" spans="1:8" x14ac:dyDescent="0.25">
      <c r="A29698" s="1"/>
      <c r="B29698" s="1" t="s">
        <v>7328</v>
      </c>
      <c r="C29698" s="1" t="s">
        <v>7329</v>
      </c>
      <c r="D29698" s="22" t="str">
        <f>HYPERLINK("https://rhld.insurance.arkansas.gov/NPILookup?Npi=1952599615","1952599615")</f>
        <v>1952599615</v>
      </c>
      <c r="E29698" s="1" t="s">
        <v>29353</v>
      </c>
      <c r="F29698" s="2"/>
      <c r="G29698" s="2"/>
      <c r="H29698" s="2"/>
    </row>
    <row r="29699" spans="1:8" x14ac:dyDescent="0.25">
      <c r="A29699" s="1"/>
      <c r="B29699" s="1" t="s">
        <v>7328</v>
      </c>
      <c r="C29699" s="1" t="s">
        <v>7329</v>
      </c>
      <c r="D29699" s="22" t="str">
        <f>HYPERLINK("https://rhld.insurance.arkansas.gov/NPILookup?Npi=1952600132","1952600132")</f>
        <v>1952600132</v>
      </c>
      <c r="E29699" s="1" t="s">
        <v>29354</v>
      </c>
      <c r="F29699" s="2"/>
      <c r="G29699" s="2"/>
      <c r="H29699" s="2"/>
    </row>
    <row r="29700" spans="1:8" x14ac:dyDescent="0.25">
      <c r="A29700" s="1"/>
      <c r="B29700" s="1" t="s">
        <v>7328</v>
      </c>
      <c r="C29700" s="1" t="s">
        <v>7329</v>
      </c>
      <c r="D29700" s="22" t="str">
        <f>HYPERLINK("https://rhld.insurance.arkansas.gov/NPILookup?Npi=1952604167","1952604167")</f>
        <v>1952604167</v>
      </c>
      <c r="E29700" s="1" t="s">
        <v>29355</v>
      </c>
      <c r="F29700" s="2"/>
      <c r="G29700" s="2"/>
      <c r="H29700" s="2"/>
    </row>
    <row r="29701" spans="1:8" x14ac:dyDescent="0.25">
      <c r="A29701" s="1"/>
      <c r="B29701" s="1" t="s">
        <v>7328</v>
      </c>
      <c r="C29701" s="1" t="s">
        <v>7329</v>
      </c>
      <c r="D29701" s="22" t="str">
        <f>HYPERLINK("https://rhld.insurance.arkansas.gov/NPILookup?Npi=1952606055","1952606055")</f>
        <v>1952606055</v>
      </c>
      <c r="E29701" s="1" t="s">
        <v>170</v>
      </c>
      <c r="F29701" s="2"/>
      <c r="G29701" s="2"/>
      <c r="H29701" s="2"/>
    </row>
    <row r="29702" spans="1:8" x14ac:dyDescent="0.25">
      <c r="A29702" s="1"/>
      <c r="B29702" s="1" t="s">
        <v>7328</v>
      </c>
      <c r="C29702" s="1" t="s">
        <v>7329</v>
      </c>
      <c r="D29702" s="22" t="str">
        <f>HYPERLINK("https://rhld.insurance.arkansas.gov/NPILookup?Npi=1952609224","1952609224")</f>
        <v>1952609224</v>
      </c>
      <c r="E29702" s="1" t="s">
        <v>29356</v>
      </c>
      <c r="F29702" s="2"/>
      <c r="G29702" s="2"/>
      <c r="H29702" s="2"/>
    </row>
    <row r="29703" spans="1:8" x14ac:dyDescent="0.25">
      <c r="A29703" s="1"/>
      <c r="B29703" s="1" t="s">
        <v>7328</v>
      </c>
      <c r="C29703" s="1" t="s">
        <v>7329</v>
      </c>
      <c r="D29703" s="22" t="str">
        <f>HYPERLINK("https://rhld.insurance.arkansas.gov/NPILookup?Npi=1952616328","1952616328")</f>
        <v>1952616328</v>
      </c>
      <c r="E29703" s="1" t="s">
        <v>29357</v>
      </c>
      <c r="F29703" s="2"/>
      <c r="G29703" s="2"/>
      <c r="H29703" s="2"/>
    </row>
    <row r="29704" spans="1:8" x14ac:dyDescent="0.25">
      <c r="A29704" s="1"/>
      <c r="B29704" s="1" t="s">
        <v>7328</v>
      </c>
      <c r="C29704" s="1" t="s">
        <v>7329</v>
      </c>
      <c r="D29704" s="22" t="str">
        <f>HYPERLINK("https://rhld.insurance.arkansas.gov/NPILookup?Npi=1952629180","1952629180")</f>
        <v>1952629180</v>
      </c>
      <c r="E29704" s="1" t="s">
        <v>8225</v>
      </c>
      <c r="F29704" s="2"/>
      <c r="G29704" s="2"/>
      <c r="H29704" s="2"/>
    </row>
    <row r="29705" spans="1:8" x14ac:dyDescent="0.25">
      <c r="A29705" s="1"/>
      <c r="B29705" s="1" t="s">
        <v>7328</v>
      </c>
      <c r="C29705" s="1" t="s">
        <v>7329</v>
      </c>
      <c r="D29705" s="22" t="str">
        <f>HYPERLINK("https://rhld.insurance.arkansas.gov/NPILookup?Npi=1952639312","1952639312")</f>
        <v>1952639312</v>
      </c>
      <c r="E29705" s="1" t="s">
        <v>29359</v>
      </c>
      <c r="F29705" s="2"/>
      <c r="G29705" s="2"/>
      <c r="H29705" s="2"/>
    </row>
    <row r="29706" spans="1:8" x14ac:dyDescent="0.25">
      <c r="A29706" s="1"/>
      <c r="B29706" s="1" t="s">
        <v>7328</v>
      </c>
      <c r="C29706" s="1" t="s">
        <v>7329</v>
      </c>
      <c r="D29706" s="22" t="str">
        <f>HYPERLINK("https://rhld.insurance.arkansas.gov/NPILookup?Npi=1952657868","1952657868")</f>
        <v>1952657868</v>
      </c>
      <c r="E29706" s="1" t="s">
        <v>29360</v>
      </c>
      <c r="F29706" s="2"/>
      <c r="G29706" s="2"/>
      <c r="H29706" s="2"/>
    </row>
    <row r="29707" spans="1:8" x14ac:dyDescent="0.25">
      <c r="A29707" s="1"/>
      <c r="B29707" s="1" t="s">
        <v>7328</v>
      </c>
      <c r="C29707" s="1" t="s">
        <v>7329</v>
      </c>
      <c r="D29707" s="22" t="str">
        <f>HYPERLINK("https://rhld.insurance.arkansas.gov/NPILookup?Npi=1952665655","1952665655")</f>
        <v>1952665655</v>
      </c>
      <c r="E29707" s="1" t="s">
        <v>3097</v>
      </c>
      <c r="F29707" s="2"/>
      <c r="G29707" s="2"/>
      <c r="H29707" s="2"/>
    </row>
    <row r="29708" spans="1:8" x14ac:dyDescent="0.25">
      <c r="A29708" s="1"/>
      <c r="B29708" s="1" t="s">
        <v>7328</v>
      </c>
      <c r="C29708" s="1" t="s">
        <v>7329</v>
      </c>
      <c r="D29708" s="22" t="str">
        <f>HYPERLINK("https://rhld.insurance.arkansas.gov/NPILookup?Npi=1952669152","1952669152")</f>
        <v>1952669152</v>
      </c>
      <c r="E29708" s="1" t="s">
        <v>13815</v>
      </c>
      <c r="F29708" s="2"/>
      <c r="G29708" s="2"/>
      <c r="H29708" s="2"/>
    </row>
    <row r="29709" spans="1:8" x14ac:dyDescent="0.25">
      <c r="A29709" s="1"/>
      <c r="B29709" s="1" t="s">
        <v>7328</v>
      </c>
      <c r="C29709" s="1" t="s">
        <v>7329</v>
      </c>
      <c r="D29709" s="22" t="str">
        <f>HYPERLINK("https://rhld.insurance.arkansas.gov/NPILookup?Npi=1952716581","1952716581")</f>
        <v>1952716581</v>
      </c>
      <c r="E29709" s="1" t="s">
        <v>29361</v>
      </c>
      <c r="F29709" s="2"/>
      <c r="G29709" s="2"/>
      <c r="H29709" s="2"/>
    </row>
    <row r="29710" spans="1:8" x14ac:dyDescent="0.25">
      <c r="A29710" s="1"/>
      <c r="B29710" s="1" t="s">
        <v>7328</v>
      </c>
      <c r="C29710" s="1" t="s">
        <v>7329</v>
      </c>
      <c r="D29710" s="22" t="str">
        <f>HYPERLINK("https://rhld.insurance.arkansas.gov/NPILookup?Npi=1952721615","1952721615")</f>
        <v>1952721615</v>
      </c>
      <c r="E29710" s="1" t="s">
        <v>29362</v>
      </c>
      <c r="F29710" s="2"/>
      <c r="G29710" s="2"/>
      <c r="H29710" s="2"/>
    </row>
    <row r="29711" spans="1:8" x14ac:dyDescent="0.25">
      <c r="A29711" s="1"/>
      <c r="B29711" s="1" t="s">
        <v>7328</v>
      </c>
      <c r="C29711" s="1" t="s">
        <v>7329</v>
      </c>
      <c r="D29711" s="22" t="str">
        <f>HYPERLINK("https://rhld.insurance.arkansas.gov/NPILookup?Npi=1952732141","1952732141")</f>
        <v>1952732141</v>
      </c>
      <c r="E29711" s="1" t="s">
        <v>29363</v>
      </c>
      <c r="F29711" s="2"/>
      <c r="G29711" s="2"/>
      <c r="H29711" s="2"/>
    </row>
    <row r="29712" spans="1:8" x14ac:dyDescent="0.25">
      <c r="A29712" s="1"/>
      <c r="B29712" s="1" t="s">
        <v>7328</v>
      </c>
      <c r="C29712" s="1" t="s">
        <v>7329</v>
      </c>
      <c r="D29712" s="22" t="str">
        <f>HYPERLINK("https://rhld.insurance.arkansas.gov/NPILookup?Npi=1952752412","1952752412")</f>
        <v>1952752412</v>
      </c>
      <c r="E29712" s="1" t="s">
        <v>29364</v>
      </c>
      <c r="F29712" s="2"/>
      <c r="G29712" s="2"/>
      <c r="H29712" s="2"/>
    </row>
    <row r="29713" spans="1:8" x14ac:dyDescent="0.25">
      <c r="A29713" s="1"/>
      <c r="B29713" s="1" t="s">
        <v>7328</v>
      </c>
      <c r="C29713" s="1" t="s">
        <v>7329</v>
      </c>
      <c r="D29713" s="22" t="str">
        <f>HYPERLINK("https://rhld.insurance.arkansas.gov/NPILookup?Npi=1952757254","1952757254")</f>
        <v>1952757254</v>
      </c>
      <c r="E29713" s="1" t="s">
        <v>29365</v>
      </c>
      <c r="F29713" s="2"/>
      <c r="G29713" s="2"/>
      <c r="H29713" s="2"/>
    </row>
    <row r="29714" spans="1:8" x14ac:dyDescent="0.25">
      <c r="A29714" s="1"/>
      <c r="B29714" s="1" t="s">
        <v>7328</v>
      </c>
      <c r="C29714" s="1" t="s">
        <v>7329</v>
      </c>
      <c r="D29714" s="22" t="str">
        <f>HYPERLINK("https://rhld.insurance.arkansas.gov/NPILookup?Npi=1952762411","1952762411")</f>
        <v>1952762411</v>
      </c>
      <c r="E29714" s="1" t="s">
        <v>29366</v>
      </c>
      <c r="F29714" s="2"/>
      <c r="G29714" s="2"/>
      <c r="H29714" s="2"/>
    </row>
    <row r="29715" spans="1:8" x14ac:dyDescent="0.25">
      <c r="A29715" s="1"/>
      <c r="B29715" s="1" t="s">
        <v>7328</v>
      </c>
      <c r="C29715" s="1" t="s">
        <v>7329</v>
      </c>
      <c r="D29715" s="22" t="str">
        <f>HYPERLINK("https://rhld.insurance.arkansas.gov/NPILookup?Npi=1952768780","1952768780")</f>
        <v>1952768780</v>
      </c>
      <c r="E29715" s="1" t="s">
        <v>29367</v>
      </c>
      <c r="F29715" s="2"/>
      <c r="G29715" s="2"/>
      <c r="H29715" s="2"/>
    </row>
    <row r="29716" spans="1:8" x14ac:dyDescent="0.25">
      <c r="A29716" s="1"/>
      <c r="B29716" s="1" t="s">
        <v>7328</v>
      </c>
      <c r="C29716" s="1" t="s">
        <v>7329</v>
      </c>
      <c r="D29716" s="22" t="str">
        <f>HYPERLINK("https://rhld.insurance.arkansas.gov/NPILookup?Npi=1952769614","1952769614")</f>
        <v>1952769614</v>
      </c>
      <c r="E29716" s="1" t="s">
        <v>29368</v>
      </c>
      <c r="F29716" s="2"/>
      <c r="G29716" s="2"/>
      <c r="H29716" s="2"/>
    </row>
    <row r="29717" spans="1:8" x14ac:dyDescent="0.25">
      <c r="A29717" s="1"/>
      <c r="B29717" s="1" t="s">
        <v>7328</v>
      </c>
      <c r="C29717" s="1" t="s">
        <v>7329</v>
      </c>
      <c r="D29717" s="22" t="str">
        <f>HYPERLINK("https://rhld.insurance.arkansas.gov/NPILookup?Npi=1952774275","1952774275")</f>
        <v>1952774275</v>
      </c>
      <c r="E29717" s="1" t="s">
        <v>12262</v>
      </c>
      <c r="F29717" s="2"/>
      <c r="G29717" s="2"/>
      <c r="H29717" s="2"/>
    </row>
    <row r="29718" spans="1:8" x14ac:dyDescent="0.25">
      <c r="A29718" s="1"/>
      <c r="B29718" s="1" t="s">
        <v>7328</v>
      </c>
      <c r="C29718" s="1" t="s">
        <v>7329</v>
      </c>
      <c r="D29718" s="22" t="str">
        <f>HYPERLINK("https://rhld.insurance.arkansas.gov/NPILookup?Npi=1952778276","1952778276")</f>
        <v>1952778276</v>
      </c>
      <c r="E29718" s="1" t="s">
        <v>29369</v>
      </c>
      <c r="F29718" s="2"/>
      <c r="G29718" s="2"/>
      <c r="H29718" s="2"/>
    </row>
    <row r="29719" spans="1:8" x14ac:dyDescent="0.25">
      <c r="A29719" s="1"/>
      <c r="B29719" s="1" t="s">
        <v>7328</v>
      </c>
      <c r="C29719" s="1" t="s">
        <v>7329</v>
      </c>
      <c r="D29719" s="22" t="str">
        <f>HYPERLINK("https://rhld.insurance.arkansas.gov/NPILookup?Npi=1952784209","1952784209")</f>
        <v>1952784209</v>
      </c>
      <c r="E29719" s="1" t="s">
        <v>8226</v>
      </c>
      <c r="F29719" s="2"/>
      <c r="G29719" s="2"/>
      <c r="H29719" s="2"/>
    </row>
    <row r="29720" spans="1:8" x14ac:dyDescent="0.25">
      <c r="A29720" s="1"/>
      <c r="B29720" s="1" t="s">
        <v>7328</v>
      </c>
      <c r="C29720" s="1" t="s">
        <v>7329</v>
      </c>
      <c r="D29720" s="22" t="str">
        <f>HYPERLINK("https://rhld.insurance.arkansas.gov/NPILookup?Npi=1952784829","1952784829")</f>
        <v>1952784829</v>
      </c>
      <c r="E29720" s="1" t="s">
        <v>29370</v>
      </c>
      <c r="F29720" s="2"/>
      <c r="G29720" s="2"/>
      <c r="H29720" s="2"/>
    </row>
    <row r="29721" spans="1:8" x14ac:dyDescent="0.25">
      <c r="A29721" s="1"/>
      <c r="B29721" s="1" t="s">
        <v>7328</v>
      </c>
      <c r="C29721" s="1" t="s">
        <v>7329</v>
      </c>
      <c r="D29721" s="22" t="str">
        <f>HYPERLINK("https://rhld.insurance.arkansas.gov/NPILookup?Npi=1952807174","1952807174")</f>
        <v>1952807174</v>
      </c>
      <c r="E29721" s="1" t="s">
        <v>29371</v>
      </c>
      <c r="F29721" s="2"/>
      <c r="G29721" s="2"/>
      <c r="H29721" s="2"/>
    </row>
    <row r="29722" spans="1:8" x14ac:dyDescent="0.25">
      <c r="A29722" s="1"/>
      <c r="B29722" s="1" t="s">
        <v>7328</v>
      </c>
      <c r="C29722" s="1" t="s">
        <v>7329</v>
      </c>
      <c r="D29722" s="22" t="str">
        <f>HYPERLINK("https://rhld.insurance.arkansas.gov/NPILookup?Npi=1952808651","1952808651")</f>
        <v>1952808651</v>
      </c>
      <c r="E29722" s="1" t="s">
        <v>1488</v>
      </c>
      <c r="F29722" s="2"/>
      <c r="G29722" s="2"/>
      <c r="H29722" s="2"/>
    </row>
    <row r="29723" spans="1:8" x14ac:dyDescent="0.25">
      <c r="A29723" s="1"/>
      <c r="B29723" s="1" t="s">
        <v>7328</v>
      </c>
      <c r="C29723" s="1" t="s">
        <v>7329</v>
      </c>
      <c r="D29723" s="22" t="str">
        <f>HYPERLINK("https://rhld.insurance.arkansas.gov/NPILookup?Npi=1952817587","1952817587")</f>
        <v>1952817587</v>
      </c>
      <c r="E29723" s="1" t="s">
        <v>20865</v>
      </c>
      <c r="F29723" s="2"/>
      <c r="G29723" s="2"/>
      <c r="H29723" s="2"/>
    </row>
    <row r="29724" spans="1:8" x14ac:dyDescent="0.25">
      <c r="A29724" s="1"/>
      <c r="B29724" s="1" t="s">
        <v>7328</v>
      </c>
      <c r="C29724" s="1" t="s">
        <v>7329</v>
      </c>
      <c r="D29724" s="22" t="str">
        <f>HYPERLINK("https://rhld.insurance.arkansas.gov/NPILookup?Npi=1952829475","1952829475")</f>
        <v>1952829475</v>
      </c>
      <c r="E29724" s="1" t="s">
        <v>29372</v>
      </c>
      <c r="F29724" s="2"/>
      <c r="G29724" s="2"/>
      <c r="H29724" s="2"/>
    </row>
    <row r="29725" spans="1:8" x14ac:dyDescent="0.25">
      <c r="A29725" s="1"/>
      <c r="B29725" s="1" t="s">
        <v>7328</v>
      </c>
      <c r="C29725" s="1" t="s">
        <v>7329</v>
      </c>
      <c r="D29725" s="22" t="str">
        <f>HYPERLINK("https://rhld.insurance.arkansas.gov/NPILookup?Npi=1952830150","1952830150")</f>
        <v>1952830150</v>
      </c>
      <c r="E29725" s="1" t="s">
        <v>13816</v>
      </c>
      <c r="F29725" s="2"/>
      <c r="G29725" s="2"/>
      <c r="H29725" s="2"/>
    </row>
    <row r="29726" spans="1:8" x14ac:dyDescent="0.25">
      <c r="A29726" s="1"/>
      <c r="B29726" s="1" t="s">
        <v>7328</v>
      </c>
      <c r="C29726" s="1" t="s">
        <v>7329</v>
      </c>
      <c r="D29726" s="22" t="str">
        <f>HYPERLINK("https://rhld.insurance.arkansas.gov/NPILookup?Npi=1952838864","1952838864")</f>
        <v>1952838864</v>
      </c>
      <c r="E29726" s="1" t="s">
        <v>29373</v>
      </c>
      <c r="F29726" s="2"/>
      <c r="G29726" s="2"/>
      <c r="H29726" s="2"/>
    </row>
    <row r="29727" spans="1:8" x14ac:dyDescent="0.25">
      <c r="A29727" s="1"/>
      <c r="B29727" s="1" t="s">
        <v>7328</v>
      </c>
      <c r="C29727" s="1" t="s">
        <v>7329</v>
      </c>
      <c r="D29727" s="22" t="str">
        <f>HYPERLINK("https://rhld.insurance.arkansas.gov/NPILookup?Npi=1952866626","1952866626")</f>
        <v>1952866626</v>
      </c>
      <c r="E29727" s="1" t="s">
        <v>13817</v>
      </c>
      <c r="F29727" s="2"/>
      <c r="G29727" s="2"/>
      <c r="H29727" s="2"/>
    </row>
    <row r="29728" spans="1:8" x14ac:dyDescent="0.25">
      <c r="A29728" s="1"/>
      <c r="B29728" s="1" t="s">
        <v>7328</v>
      </c>
      <c r="C29728" s="1" t="s">
        <v>7329</v>
      </c>
      <c r="D29728" s="22" t="str">
        <f>HYPERLINK("https://rhld.insurance.arkansas.gov/NPILookup?Npi=1952867574","1952867574")</f>
        <v>1952867574</v>
      </c>
      <c r="E29728" s="1" t="s">
        <v>8227</v>
      </c>
      <c r="F29728" s="2"/>
      <c r="G29728" s="2"/>
      <c r="H29728" s="2"/>
    </row>
    <row r="29729" spans="1:8" x14ac:dyDescent="0.25">
      <c r="A29729" s="1"/>
      <c r="B29729" s="1" t="s">
        <v>7328</v>
      </c>
      <c r="C29729" s="1" t="s">
        <v>7329</v>
      </c>
      <c r="D29729" s="22" t="str">
        <f>HYPERLINK("https://rhld.insurance.arkansas.gov/NPILookup?Npi=1952882227","1952882227")</f>
        <v>1952882227</v>
      </c>
      <c r="E29729" s="1" t="s">
        <v>3098</v>
      </c>
      <c r="F29729" s="2"/>
      <c r="G29729" s="2"/>
      <c r="H29729" s="2"/>
    </row>
    <row r="29730" spans="1:8" x14ac:dyDescent="0.25">
      <c r="A29730" s="1"/>
      <c r="B29730" s="1" t="s">
        <v>7328</v>
      </c>
      <c r="C29730" s="1" t="s">
        <v>7329</v>
      </c>
      <c r="D29730" s="22" t="str">
        <f>HYPERLINK("https://rhld.insurance.arkansas.gov/NPILookup?Npi=1952901340","1952901340")</f>
        <v>1952901340</v>
      </c>
      <c r="E29730" s="1" t="s">
        <v>13818</v>
      </c>
      <c r="F29730" s="2"/>
      <c r="G29730" s="2"/>
      <c r="H29730" s="2"/>
    </row>
    <row r="29731" spans="1:8" x14ac:dyDescent="0.25">
      <c r="A29731" s="1"/>
      <c r="B29731" s="1" t="s">
        <v>7328</v>
      </c>
      <c r="C29731" s="1" t="s">
        <v>7329</v>
      </c>
      <c r="D29731" s="22" t="str">
        <f>HYPERLINK("https://rhld.insurance.arkansas.gov/NPILookup?Npi=1952915092","1952915092")</f>
        <v>1952915092</v>
      </c>
      <c r="E29731" s="1" t="s">
        <v>29374</v>
      </c>
      <c r="F29731" s="2"/>
      <c r="G29731" s="2"/>
      <c r="H29731" s="2"/>
    </row>
    <row r="29732" spans="1:8" x14ac:dyDescent="0.25">
      <c r="A29732" s="1"/>
      <c r="B29732" s="1" t="s">
        <v>7328</v>
      </c>
      <c r="C29732" s="1" t="s">
        <v>7329</v>
      </c>
      <c r="D29732" s="22" t="str">
        <f>HYPERLINK("https://rhld.insurance.arkansas.gov/NPILookup?Npi=1952923518","1952923518")</f>
        <v>1952923518</v>
      </c>
      <c r="E29732" s="1" t="s">
        <v>18035</v>
      </c>
      <c r="F29732" s="2"/>
      <c r="G29732" s="2"/>
      <c r="H29732" s="2"/>
    </row>
    <row r="29733" spans="1:8" x14ac:dyDescent="0.25">
      <c r="A29733" s="1"/>
      <c r="B29733" s="1" t="s">
        <v>7328</v>
      </c>
      <c r="C29733" s="1" t="s">
        <v>7329</v>
      </c>
      <c r="D29733" s="22" t="str">
        <f>HYPERLINK("https://rhld.insurance.arkansas.gov/NPILookup?Npi=1952929135","1952929135")</f>
        <v>1952929135</v>
      </c>
      <c r="E29733" s="1" t="s">
        <v>8477</v>
      </c>
      <c r="F29733" s="2"/>
      <c r="G29733" s="2"/>
      <c r="H29733" s="2"/>
    </row>
    <row r="29734" spans="1:8" x14ac:dyDescent="0.25">
      <c r="A29734" s="1"/>
      <c r="B29734" s="1" t="s">
        <v>7328</v>
      </c>
      <c r="C29734" s="1" t="s">
        <v>7329</v>
      </c>
      <c r="D29734" s="22" t="str">
        <f>HYPERLINK("https://rhld.insurance.arkansas.gov/NPILookup?Npi=1952945883","1952945883")</f>
        <v>1952945883</v>
      </c>
      <c r="E29734" s="1" t="s">
        <v>29375</v>
      </c>
      <c r="F29734" s="2"/>
      <c r="G29734" s="2"/>
      <c r="H29734" s="2"/>
    </row>
    <row r="29735" spans="1:8" x14ac:dyDescent="0.25">
      <c r="A29735" s="1"/>
      <c r="B29735" s="1" t="s">
        <v>7328</v>
      </c>
      <c r="C29735" s="1" t="s">
        <v>7329</v>
      </c>
      <c r="D29735" s="22" t="str">
        <f>HYPERLINK("https://rhld.insurance.arkansas.gov/NPILookup?Npi=1952955668","1952955668")</f>
        <v>1952955668</v>
      </c>
      <c r="E29735" s="1" t="s">
        <v>29376</v>
      </c>
      <c r="F29735" s="2"/>
      <c r="G29735" s="2"/>
      <c r="H29735" s="2"/>
    </row>
    <row r="29736" spans="1:8" x14ac:dyDescent="0.25">
      <c r="A29736" s="1"/>
      <c r="B29736" s="1" t="s">
        <v>7328</v>
      </c>
      <c r="C29736" s="1" t="s">
        <v>7329</v>
      </c>
      <c r="D29736" s="22" t="str">
        <f>HYPERLINK("https://rhld.insurance.arkansas.gov/NPILookup?Npi=1952970501","1952970501")</f>
        <v>1952970501</v>
      </c>
      <c r="E29736" s="1" t="s">
        <v>29377</v>
      </c>
      <c r="F29736" s="2"/>
      <c r="G29736" s="2"/>
      <c r="H29736" s="2"/>
    </row>
    <row r="29737" spans="1:8" x14ac:dyDescent="0.25">
      <c r="A29737" s="1"/>
      <c r="B29737" s="1" t="s">
        <v>7328</v>
      </c>
      <c r="C29737" s="1" t="s">
        <v>7329</v>
      </c>
      <c r="D29737" s="22" t="str">
        <f>HYPERLINK("https://rhld.insurance.arkansas.gov/NPILookup?Npi=1952974750","1952974750")</f>
        <v>1952974750</v>
      </c>
      <c r="E29737" s="1" t="s">
        <v>1829</v>
      </c>
      <c r="F29737" s="2"/>
      <c r="G29737" s="2"/>
      <c r="H29737" s="2"/>
    </row>
    <row r="29738" spans="1:8" x14ac:dyDescent="0.25">
      <c r="A29738" s="1"/>
      <c r="B29738" s="1" t="s">
        <v>7328</v>
      </c>
      <c r="C29738" s="1" t="s">
        <v>7329</v>
      </c>
      <c r="D29738" s="22" t="str">
        <f>HYPERLINK("https://rhld.insurance.arkansas.gov/NPILookup?Npi=1952993925","1952993925")</f>
        <v>1952993925</v>
      </c>
      <c r="E29738" s="1" t="s">
        <v>29378</v>
      </c>
      <c r="F29738" s="2"/>
      <c r="G29738" s="2"/>
      <c r="H29738" s="2"/>
    </row>
    <row r="29739" spans="1:8" x14ac:dyDescent="0.25">
      <c r="A29739" s="1"/>
      <c r="B29739" s="1" t="s">
        <v>7328</v>
      </c>
      <c r="C29739" s="1" t="s">
        <v>7329</v>
      </c>
      <c r="D29739" s="22" t="str">
        <f>HYPERLINK("https://rhld.insurance.arkansas.gov/NPILookup?Npi=1962000471","1962000471")</f>
        <v>1962000471</v>
      </c>
      <c r="E29739" s="1" t="s">
        <v>29379</v>
      </c>
      <c r="F29739" s="2"/>
      <c r="G29739" s="2"/>
      <c r="H29739" s="2"/>
    </row>
    <row r="29740" spans="1:8" x14ac:dyDescent="0.25">
      <c r="A29740" s="1"/>
      <c r="B29740" s="1" t="s">
        <v>7328</v>
      </c>
      <c r="C29740" s="1" t="s">
        <v>7329</v>
      </c>
      <c r="D29740" s="22" t="str">
        <f>HYPERLINK("https://rhld.insurance.arkansas.gov/NPILookup?Npi=1962013359","1962013359")</f>
        <v>1962013359</v>
      </c>
      <c r="E29740" s="1" t="s">
        <v>29380</v>
      </c>
      <c r="F29740" s="2"/>
      <c r="G29740" s="2"/>
      <c r="H29740" s="2"/>
    </row>
    <row r="29741" spans="1:8" x14ac:dyDescent="0.25">
      <c r="A29741" s="1"/>
      <c r="B29741" s="1" t="s">
        <v>7328</v>
      </c>
      <c r="C29741" s="1" t="s">
        <v>7329</v>
      </c>
      <c r="D29741" s="22" t="str">
        <f>HYPERLINK("https://rhld.insurance.arkansas.gov/NPILookup?Npi=1962019182","1962019182")</f>
        <v>1962019182</v>
      </c>
      <c r="E29741" s="1" t="s">
        <v>13819</v>
      </c>
      <c r="F29741" s="2"/>
      <c r="G29741" s="2"/>
      <c r="H29741" s="2"/>
    </row>
    <row r="29742" spans="1:8" x14ac:dyDescent="0.25">
      <c r="A29742" s="1"/>
      <c r="B29742" s="1" t="s">
        <v>7328</v>
      </c>
      <c r="C29742" s="1" t="s">
        <v>7329</v>
      </c>
      <c r="D29742" s="22" t="str">
        <f>HYPERLINK("https://rhld.insurance.arkansas.gov/NPILookup?Npi=1962044800","1962044800")</f>
        <v>1962044800</v>
      </c>
      <c r="E29742" s="1" t="s">
        <v>29381</v>
      </c>
      <c r="F29742" s="2"/>
      <c r="G29742" s="2"/>
      <c r="H29742" s="2"/>
    </row>
    <row r="29743" spans="1:8" x14ac:dyDescent="0.25">
      <c r="A29743" s="1"/>
      <c r="B29743" s="1" t="s">
        <v>7328</v>
      </c>
      <c r="C29743" s="1" t="s">
        <v>7329</v>
      </c>
      <c r="D29743" s="22" t="str">
        <f>HYPERLINK("https://rhld.insurance.arkansas.gov/NPILookup?Npi=1962045955","1962045955")</f>
        <v>1962045955</v>
      </c>
      <c r="E29743" s="1" t="s">
        <v>13661</v>
      </c>
      <c r="F29743" s="2"/>
      <c r="G29743" s="2"/>
      <c r="H29743" s="2"/>
    </row>
    <row r="29744" spans="1:8" x14ac:dyDescent="0.25">
      <c r="A29744" s="1"/>
      <c r="B29744" s="1" t="s">
        <v>7328</v>
      </c>
      <c r="C29744" s="1" t="s">
        <v>7329</v>
      </c>
      <c r="D29744" s="22" t="str">
        <f>HYPERLINK("https://rhld.insurance.arkansas.gov/NPILookup?Npi=1962101113","1962101113")</f>
        <v>1962101113</v>
      </c>
      <c r="E29744" s="1" t="s">
        <v>29382</v>
      </c>
      <c r="F29744" s="2"/>
      <c r="G29744" s="2"/>
      <c r="H29744" s="2"/>
    </row>
    <row r="29745" spans="1:8" x14ac:dyDescent="0.25">
      <c r="A29745" s="1"/>
      <c r="B29745" s="1" t="s">
        <v>7328</v>
      </c>
      <c r="C29745" s="1" t="s">
        <v>7329</v>
      </c>
      <c r="D29745" s="22" t="str">
        <f>HYPERLINK("https://rhld.insurance.arkansas.gov/NPILookup?Npi=1962102087","1962102087")</f>
        <v>1962102087</v>
      </c>
      <c r="E29745" s="1" t="s">
        <v>29383</v>
      </c>
      <c r="F29745" s="2"/>
      <c r="G29745" s="2"/>
      <c r="H29745" s="2"/>
    </row>
    <row r="29746" spans="1:8" x14ac:dyDescent="0.25">
      <c r="A29746" s="1"/>
      <c r="B29746" s="1" t="s">
        <v>7328</v>
      </c>
      <c r="C29746" s="1" t="s">
        <v>7329</v>
      </c>
      <c r="D29746" s="22" t="str">
        <f>HYPERLINK("https://rhld.insurance.arkansas.gov/NPILookup?Npi=1962119586","1962119586")</f>
        <v>1962119586</v>
      </c>
      <c r="E29746" s="1" t="s">
        <v>8228</v>
      </c>
      <c r="F29746" s="2"/>
      <c r="G29746" s="2"/>
      <c r="H29746" s="2"/>
    </row>
    <row r="29747" spans="1:8" x14ac:dyDescent="0.25">
      <c r="A29747" s="1"/>
      <c r="B29747" s="1" t="s">
        <v>7328</v>
      </c>
      <c r="C29747" s="1" t="s">
        <v>7329</v>
      </c>
      <c r="D29747" s="22" t="str">
        <f>HYPERLINK("https://rhld.insurance.arkansas.gov/NPILookup?Npi=1962139261","1962139261")</f>
        <v>1962139261</v>
      </c>
      <c r="E29747" s="1" t="s">
        <v>29384</v>
      </c>
      <c r="F29747" s="2"/>
      <c r="G29747" s="2"/>
      <c r="H29747" s="2"/>
    </row>
    <row r="29748" spans="1:8" x14ac:dyDescent="0.25">
      <c r="A29748" s="1"/>
      <c r="B29748" s="1" t="s">
        <v>7328</v>
      </c>
      <c r="C29748" s="1" t="s">
        <v>7329</v>
      </c>
      <c r="D29748" s="22" t="str">
        <f>HYPERLINK("https://rhld.insurance.arkansas.gov/NPILookup?Npi=1962153452","1962153452")</f>
        <v>1962153452</v>
      </c>
      <c r="E29748" s="1" t="s">
        <v>29385</v>
      </c>
      <c r="F29748" s="2"/>
      <c r="G29748" s="2"/>
      <c r="H29748" s="2"/>
    </row>
    <row r="29749" spans="1:8" x14ac:dyDescent="0.25">
      <c r="A29749" s="1"/>
      <c r="B29749" s="1" t="s">
        <v>7328</v>
      </c>
      <c r="C29749" s="1" t="s">
        <v>7329</v>
      </c>
      <c r="D29749" s="22" t="str">
        <f>HYPERLINK("https://rhld.insurance.arkansas.gov/NPILookup?Npi=1962166785","1962166785")</f>
        <v>1962166785</v>
      </c>
      <c r="E29749" s="1" t="s">
        <v>29386</v>
      </c>
      <c r="F29749" s="2"/>
      <c r="G29749" s="2"/>
      <c r="H29749" s="2"/>
    </row>
    <row r="29750" spans="1:8" x14ac:dyDescent="0.25">
      <c r="A29750" s="1"/>
      <c r="B29750" s="1" t="s">
        <v>7328</v>
      </c>
      <c r="C29750" s="1" t="s">
        <v>7329</v>
      </c>
      <c r="D29750" s="22" t="str">
        <f>HYPERLINK("https://rhld.insurance.arkansas.gov/NPILookup?Npi=1962167874","1962167874")</f>
        <v>1962167874</v>
      </c>
      <c r="E29750" s="1" t="s">
        <v>13820</v>
      </c>
      <c r="F29750" s="2"/>
      <c r="G29750" s="2"/>
      <c r="H29750" s="2"/>
    </row>
    <row r="29751" spans="1:8" x14ac:dyDescent="0.25">
      <c r="A29751" s="1"/>
      <c r="B29751" s="1" t="s">
        <v>7328</v>
      </c>
      <c r="C29751" s="1" t="s">
        <v>7329</v>
      </c>
      <c r="D29751" s="22" t="str">
        <f>HYPERLINK("https://rhld.insurance.arkansas.gov/NPILookup?Npi=1962183103","1962183103")</f>
        <v>1962183103</v>
      </c>
      <c r="E29751" s="1" t="s">
        <v>32416</v>
      </c>
      <c r="F29751" s="2"/>
      <c r="G29751" s="2"/>
      <c r="H29751" s="2"/>
    </row>
    <row r="29752" spans="1:8" x14ac:dyDescent="0.25">
      <c r="A29752" s="1"/>
      <c r="B29752" s="1" t="s">
        <v>7328</v>
      </c>
      <c r="C29752" s="1" t="s">
        <v>7329</v>
      </c>
      <c r="D29752" s="22" t="str">
        <f>HYPERLINK("https://rhld.insurance.arkansas.gov/NPILookup?Npi=1962186825","1962186825")</f>
        <v>1962186825</v>
      </c>
      <c r="E29752" s="1" t="s">
        <v>29387</v>
      </c>
      <c r="F29752" s="2"/>
      <c r="G29752" s="2"/>
      <c r="H29752" s="2"/>
    </row>
    <row r="29753" spans="1:8" x14ac:dyDescent="0.25">
      <c r="A29753" s="1"/>
      <c r="B29753" s="1" t="s">
        <v>7328</v>
      </c>
      <c r="C29753" s="1" t="s">
        <v>7329</v>
      </c>
      <c r="D29753" s="22" t="str">
        <f>HYPERLINK("https://rhld.insurance.arkansas.gov/NPILookup?Npi=1962207589","1962207589")</f>
        <v>1962207589</v>
      </c>
      <c r="E29753" s="1" t="s">
        <v>32417</v>
      </c>
      <c r="F29753" s="2"/>
      <c r="G29753" s="2"/>
      <c r="H29753" s="2"/>
    </row>
    <row r="29754" spans="1:8" x14ac:dyDescent="0.25">
      <c r="A29754" s="1"/>
      <c r="B29754" s="1" t="s">
        <v>7328</v>
      </c>
      <c r="C29754" s="1" t="s">
        <v>7329</v>
      </c>
      <c r="D29754" s="22" t="str">
        <f>HYPERLINK("https://rhld.insurance.arkansas.gov/NPILookup?Npi=1962227942","1962227942")</f>
        <v>1962227942</v>
      </c>
      <c r="E29754" s="1" t="s">
        <v>32418</v>
      </c>
      <c r="F29754" s="2"/>
      <c r="G29754" s="2"/>
      <c r="H29754" s="2"/>
    </row>
    <row r="29755" spans="1:8" x14ac:dyDescent="0.25">
      <c r="A29755" s="1"/>
      <c r="B29755" s="1" t="s">
        <v>7328</v>
      </c>
      <c r="C29755" s="1" t="s">
        <v>7329</v>
      </c>
      <c r="D29755" s="22" t="str">
        <f>HYPERLINK("https://rhld.insurance.arkansas.gov/NPILookup?Npi=1962247130","1962247130")</f>
        <v>1962247130</v>
      </c>
      <c r="E29755" s="1" t="s">
        <v>29388</v>
      </c>
      <c r="F29755" s="2"/>
      <c r="G29755" s="2"/>
      <c r="H29755" s="2"/>
    </row>
    <row r="29756" spans="1:8" x14ac:dyDescent="0.25">
      <c r="A29756" s="1"/>
      <c r="B29756" s="1" t="s">
        <v>7328</v>
      </c>
      <c r="C29756" s="1" t="s">
        <v>7329</v>
      </c>
      <c r="D29756" s="22" t="str">
        <f>HYPERLINK("https://rhld.insurance.arkansas.gov/NPILookup?Npi=1962247684","1962247684")</f>
        <v>1962247684</v>
      </c>
      <c r="E29756" s="1" t="s">
        <v>29389</v>
      </c>
      <c r="F29756" s="2"/>
      <c r="G29756" s="2"/>
      <c r="H29756" s="2"/>
    </row>
    <row r="29757" spans="1:8" x14ac:dyDescent="0.25">
      <c r="A29757" s="1"/>
      <c r="B29757" s="1" t="s">
        <v>7328</v>
      </c>
      <c r="C29757" s="1" t="s">
        <v>7329</v>
      </c>
      <c r="D29757" s="22" t="str">
        <f>HYPERLINK("https://rhld.insurance.arkansas.gov/NPILookup?Npi=1962253088","1962253088")</f>
        <v>1962253088</v>
      </c>
      <c r="E29757" s="1" t="s">
        <v>32419</v>
      </c>
      <c r="F29757" s="2"/>
      <c r="G29757" s="2"/>
      <c r="H29757" s="2"/>
    </row>
    <row r="29758" spans="1:8" x14ac:dyDescent="0.25">
      <c r="A29758" s="1"/>
      <c r="B29758" s="1" t="s">
        <v>7328</v>
      </c>
      <c r="C29758" s="1" t="s">
        <v>7329</v>
      </c>
      <c r="D29758" s="22" t="str">
        <f>HYPERLINK("https://rhld.insurance.arkansas.gov/NPILookup?Npi=1962266619","1962266619")</f>
        <v>1962266619</v>
      </c>
      <c r="E29758" s="1" t="s">
        <v>29390</v>
      </c>
      <c r="F29758" s="2"/>
      <c r="G29758" s="2"/>
      <c r="H29758" s="2"/>
    </row>
    <row r="29759" spans="1:8" x14ac:dyDescent="0.25">
      <c r="A29759" s="1"/>
      <c r="B29759" s="1" t="s">
        <v>7328</v>
      </c>
      <c r="C29759" s="1" t="s">
        <v>7329</v>
      </c>
      <c r="D29759" s="22" t="str">
        <f>HYPERLINK("https://rhld.insurance.arkansas.gov/NPILookup?Npi=1962402867","1962402867")</f>
        <v>1962402867</v>
      </c>
      <c r="E29759" s="1" t="s">
        <v>29391</v>
      </c>
      <c r="F29759" s="2"/>
      <c r="G29759" s="2"/>
      <c r="H29759" s="2"/>
    </row>
    <row r="29760" spans="1:8" x14ac:dyDescent="0.25">
      <c r="A29760" s="1"/>
      <c r="B29760" s="1" t="s">
        <v>7328</v>
      </c>
      <c r="C29760" s="1" t="s">
        <v>7329</v>
      </c>
      <c r="D29760" s="22" t="str">
        <f>HYPERLINK("https://rhld.insurance.arkansas.gov/NPILookup?Npi=1962408435","1962408435")</f>
        <v>1962408435</v>
      </c>
      <c r="E29760" s="1" t="s">
        <v>2315</v>
      </c>
      <c r="F29760" s="2"/>
      <c r="G29760" s="2"/>
      <c r="H29760" s="2"/>
    </row>
    <row r="29761" spans="1:8" x14ac:dyDescent="0.25">
      <c r="A29761" s="1"/>
      <c r="B29761" s="1" t="s">
        <v>7328</v>
      </c>
      <c r="C29761" s="1" t="s">
        <v>7329</v>
      </c>
      <c r="D29761" s="22" t="str">
        <f>HYPERLINK("https://rhld.insurance.arkansas.gov/NPILookup?Npi=1962409334","1962409334")</f>
        <v>1962409334</v>
      </c>
      <c r="E29761" s="1" t="s">
        <v>29392</v>
      </c>
      <c r="F29761" s="2"/>
      <c r="G29761" s="2"/>
      <c r="H29761" s="2"/>
    </row>
    <row r="29762" spans="1:8" x14ac:dyDescent="0.25">
      <c r="A29762" s="1"/>
      <c r="B29762" s="1" t="s">
        <v>7328</v>
      </c>
      <c r="C29762" s="1" t="s">
        <v>7329</v>
      </c>
      <c r="D29762" s="22" t="str">
        <f>HYPERLINK("https://rhld.insurance.arkansas.gov/NPILookup?Npi=1962418160","1962418160")</f>
        <v>1962418160</v>
      </c>
      <c r="E29762" s="1" t="s">
        <v>2107</v>
      </c>
      <c r="F29762" s="2"/>
      <c r="G29762" s="2"/>
      <c r="H29762" s="2"/>
    </row>
    <row r="29763" spans="1:8" x14ac:dyDescent="0.25">
      <c r="A29763" s="1"/>
      <c r="B29763" s="1" t="s">
        <v>7328</v>
      </c>
      <c r="C29763" s="1" t="s">
        <v>7329</v>
      </c>
      <c r="D29763" s="22" t="str">
        <f>HYPERLINK("https://rhld.insurance.arkansas.gov/NPILookup?Npi=1962418285","1962418285")</f>
        <v>1962418285</v>
      </c>
      <c r="E29763" s="1" t="s">
        <v>29393</v>
      </c>
      <c r="F29763" s="2"/>
      <c r="G29763" s="2"/>
      <c r="H29763" s="2"/>
    </row>
    <row r="29764" spans="1:8" x14ac:dyDescent="0.25">
      <c r="A29764" s="1"/>
      <c r="B29764" s="1" t="s">
        <v>7328</v>
      </c>
      <c r="C29764" s="1" t="s">
        <v>7329</v>
      </c>
      <c r="D29764" s="22" t="str">
        <f>HYPERLINK("https://rhld.insurance.arkansas.gov/NPILookup?Npi=1962419143","1962419143")</f>
        <v>1962419143</v>
      </c>
      <c r="E29764" s="1" t="s">
        <v>2108</v>
      </c>
      <c r="F29764" s="2"/>
      <c r="G29764" s="2"/>
      <c r="H29764" s="2"/>
    </row>
    <row r="29765" spans="1:8" x14ac:dyDescent="0.25">
      <c r="A29765" s="1"/>
      <c r="B29765" s="1" t="s">
        <v>7328</v>
      </c>
      <c r="C29765" s="1" t="s">
        <v>7329</v>
      </c>
      <c r="D29765" s="22" t="str">
        <f>HYPERLINK("https://rhld.insurance.arkansas.gov/NPILookup?Npi=1962420547","1962420547")</f>
        <v>1962420547</v>
      </c>
      <c r="E29765" s="1" t="s">
        <v>29394</v>
      </c>
      <c r="F29765" s="2"/>
      <c r="G29765" s="2"/>
      <c r="H29765" s="2"/>
    </row>
    <row r="29766" spans="1:8" x14ac:dyDescent="0.25">
      <c r="A29766" s="1"/>
      <c r="B29766" s="1" t="s">
        <v>7328</v>
      </c>
      <c r="C29766" s="1" t="s">
        <v>7329</v>
      </c>
      <c r="D29766" s="22" t="str">
        <f>HYPERLINK("https://rhld.insurance.arkansas.gov/NPILookup?Npi=1962433243","1962433243")</f>
        <v>1962433243</v>
      </c>
      <c r="E29766" s="1" t="s">
        <v>29395</v>
      </c>
      <c r="F29766" s="2"/>
      <c r="G29766" s="2"/>
      <c r="H29766" s="2"/>
    </row>
    <row r="29767" spans="1:8" x14ac:dyDescent="0.25">
      <c r="A29767" s="1"/>
      <c r="B29767" s="1" t="s">
        <v>7328</v>
      </c>
      <c r="C29767" s="1" t="s">
        <v>7329</v>
      </c>
      <c r="D29767" s="22" t="str">
        <f>HYPERLINK("https://rhld.insurance.arkansas.gov/NPILookup?Npi=1962435768","1962435768")</f>
        <v>1962435768</v>
      </c>
      <c r="E29767" s="1" t="s">
        <v>13821</v>
      </c>
      <c r="F29767" s="2"/>
      <c r="G29767" s="2"/>
      <c r="H29767" s="2"/>
    </row>
    <row r="29768" spans="1:8" x14ac:dyDescent="0.25">
      <c r="A29768" s="1"/>
      <c r="B29768" s="1" t="s">
        <v>7328</v>
      </c>
      <c r="C29768" s="1" t="s">
        <v>7329</v>
      </c>
      <c r="D29768" s="22" t="str">
        <f>HYPERLINK("https://rhld.insurance.arkansas.gov/NPILookup?Npi=1962441436","1962441436")</f>
        <v>1962441436</v>
      </c>
      <c r="E29768" s="1" t="s">
        <v>29396</v>
      </c>
      <c r="F29768" s="2"/>
      <c r="G29768" s="2"/>
      <c r="H29768" s="2"/>
    </row>
    <row r="29769" spans="1:8" x14ac:dyDescent="0.25">
      <c r="A29769" s="1"/>
      <c r="B29769" s="1" t="s">
        <v>7328</v>
      </c>
      <c r="C29769" s="1" t="s">
        <v>7329</v>
      </c>
      <c r="D29769" s="22" t="str">
        <f>HYPERLINK("https://rhld.insurance.arkansas.gov/NPILookup?Npi=1962452938","1962452938")</f>
        <v>1962452938</v>
      </c>
      <c r="E29769" s="1" t="s">
        <v>29397</v>
      </c>
      <c r="F29769" s="2"/>
      <c r="G29769" s="2"/>
      <c r="H29769" s="2"/>
    </row>
    <row r="29770" spans="1:8" x14ac:dyDescent="0.25">
      <c r="A29770" s="1"/>
      <c r="B29770" s="1" t="s">
        <v>7328</v>
      </c>
      <c r="C29770" s="1" t="s">
        <v>7329</v>
      </c>
      <c r="D29770" s="22" t="str">
        <f>HYPERLINK("https://rhld.insurance.arkansas.gov/NPILookup?Npi=1962455212","1962455212")</f>
        <v>1962455212</v>
      </c>
      <c r="E29770" s="1" t="s">
        <v>18038</v>
      </c>
      <c r="F29770" s="2"/>
      <c r="G29770" s="2"/>
      <c r="H29770" s="2"/>
    </row>
    <row r="29771" spans="1:8" x14ac:dyDescent="0.25">
      <c r="A29771" s="1"/>
      <c r="B29771" s="1" t="s">
        <v>7328</v>
      </c>
      <c r="C29771" s="1" t="s">
        <v>7329</v>
      </c>
      <c r="D29771" s="22" t="str">
        <f>HYPERLINK("https://rhld.insurance.arkansas.gov/NPILookup?Npi=1962460212","1962460212")</f>
        <v>1962460212</v>
      </c>
      <c r="E29771" s="1" t="s">
        <v>29398</v>
      </c>
      <c r="F29771" s="2"/>
      <c r="G29771" s="2"/>
      <c r="H29771" s="2"/>
    </row>
    <row r="29772" spans="1:8" x14ac:dyDescent="0.25">
      <c r="A29772" s="1"/>
      <c r="B29772" s="1" t="s">
        <v>7328</v>
      </c>
      <c r="C29772" s="1" t="s">
        <v>7329</v>
      </c>
      <c r="D29772" s="22" t="str">
        <f>HYPERLINK("https://rhld.insurance.arkansas.gov/NPILookup?Npi=1962463091","1962463091")</f>
        <v>1962463091</v>
      </c>
      <c r="E29772" s="1" t="s">
        <v>29399</v>
      </c>
      <c r="F29772" s="2"/>
      <c r="G29772" s="2"/>
      <c r="H29772" s="2"/>
    </row>
    <row r="29773" spans="1:8" x14ac:dyDescent="0.25">
      <c r="A29773" s="1"/>
      <c r="B29773" s="1" t="s">
        <v>7328</v>
      </c>
      <c r="C29773" s="1" t="s">
        <v>7329</v>
      </c>
      <c r="D29773" s="22" t="str">
        <f>HYPERLINK("https://rhld.insurance.arkansas.gov/NPILookup?Npi=1962473462","1962473462")</f>
        <v>1962473462</v>
      </c>
      <c r="E29773" s="1" t="s">
        <v>29400</v>
      </c>
      <c r="F29773" s="2"/>
      <c r="G29773" s="2"/>
      <c r="H29773" s="2"/>
    </row>
    <row r="29774" spans="1:8" x14ac:dyDescent="0.25">
      <c r="A29774" s="1"/>
      <c r="B29774" s="1" t="s">
        <v>7328</v>
      </c>
      <c r="C29774" s="1" t="s">
        <v>7329</v>
      </c>
      <c r="D29774" s="22" t="str">
        <f>HYPERLINK("https://rhld.insurance.arkansas.gov/NPILookup?Npi=1962481309","1962481309")</f>
        <v>1962481309</v>
      </c>
      <c r="E29774" s="1" t="s">
        <v>8229</v>
      </c>
      <c r="F29774" s="2"/>
      <c r="G29774" s="2"/>
      <c r="H29774" s="2"/>
    </row>
    <row r="29775" spans="1:8" x14ac:dyDescent="0.25">
      <c r="A29775" s="1"/>
      <c r="B29775" s="1" t="s">
        <v>7328</v>
      </c>
      <c r="C29775" s="1" t="s">
        <v>7329</v>
      </c>
      <c r="D29775" s="22" t="str">
        <f>HYPERLINK("https://rhld.insurance.arkansas.gov/NPILookup?Npi=1962502526","1962502526")</f>
        <v>1962502526</v>
      </c>
      <c r="E29775" s="1" t="s">
        <v>29401</v>
      </c>
      <c r="F29775" s="2"/>
      <c r="G29775" s="2"/>
      <c r="H29775" s="2"/>
    </row>
    <row r="29776" spans="1:8" x14ac:dyDescent="0.25">
      <c r="A29776" s="1"/>
      <c r="B29776" s="1" t="s">
        <v>7328</v>
      </c>
      <c r="C29776" s="1" t="s">
        <v>7329</v>
      </c>
      <c r="D29776" s="22" t="str">
        <f>HYPERLINK("https://rhld.insurance.arkansas.gov/NPILookup?Npi=1962507061","1962507061")</f>
        <v>1962507061</v>
      </c>
      <c r="E29776" s="1" t="s">
        <v>1405</v>
      </c>
      <c r="F29776" s="2"/>
      <c r="G29776" s="2"/>
      <c r="H29776" s="2"/>
    </row>
    <row r="29777" spans="1:8" x14ac:dyDescent="0.25">
      <c r="A29777" s="1"/>
      <c r="B29777" s="1" t="s">
        <v>7328</v>
      </c>
      <c r="C29777" s="1" t="s">
        <v>7329</v>
      </c>
      <c r="D29777" s="22" t="str">
        <f>HYPERLINK("https://rhld.insurance.arkansas.gov/NPILookup?Npi=1962538405","1962538405")</f>
        <v>1962538405</v>
      </c>
      <c r="E29777" s="1" t="s">
        <v>8230</v>
      </c>
      <c r="F29777" s="2"/>
      <c r="G29777" s="2"/>
      <c r="H29777" s="2"/>
    </row>
    <row r="29778" spans="1:8" x14ac:dyDescent="0.25">
      <c r="A29778" s="1"/>
      <c r="B29778" s="1" t="s">
        <v>7328</v>
      </c>
      <c r="C29778" s="1" t="s">
        <v>7329</v>
      </c>
      <c r="D29778" s="22" t="str">
        <f>HYPERLINK("https://rhld.insurance.arkansas.gov/NPILookup?Npi=1962584896","1962584896")</f>
        <v>1962584896</v>
      </c>
      <c r="E29778" s="1" t="s">
        <v>2430</v>
      </c>
      <c r="F29778" s="2"/>
      <c r="G29778" s="2"/>
      <c r="H29778" s="2"/>
    </row>
    <row r="29779" spans="1:8" x14ac:dyDescent="0.25">
      <c r="A29779" s="1"/>
      <c r="B29779" s="1" t="s">
        <v>7328</v>
      </c>
      <c r="C29779" s="1" t="s">
        <v>7329</v>
      </c>
      <c r="D29779" s="22" t="str">
        <f>HYPERLINK("https://rhld.insurance.arkansas.gov/NPILookup?Npi=1962588210","1962588210")</f>
        <v>1962588210</v>
      </c>
      <c r="E29779" s="1" t="s">
        <v>8231</v>
      </c>
      <c r="F29779" s="2"/>
      <c r="G29779" s="2"/>
      <c r="H29779" s="2"/>
    </row>
    <row r="29780" spans="1:8" x14ac:dyDescent="0.25">
      <c r="A29780" s="1"/>
      <c r="B29780" s="1" t="s">
        <v>7328</v>
      </c>
      <c r="C29780" s="1" t="s">
        <v>7329</v>
      </c>
      <c r="D29780" s="22" t="str">
        <f>HYPERLINK("https://rhld.insurance.arkansas.gov/NPILookup?Npi=1962591362","1962591362")</f>
        <v>1962591362</v>
      </c>
      <c r="E29780" s="1" t="s">
        <v>8232</v>
      </c>
      <c r="F29780" s="2"/>
      <c r="G29780" s="2"/>
      <c r="H29780" s="2"/>
    </row>
    <row r="29781" spans="1:8" x14ac:dyDescent="0.25">
      <c r="A29781" s="1"/>
      <c r="B29781" s="1" t="s">
        <v>7328</v>
      </c>
      <c r="C29781" s="1" t="s">
        <v>7329</v>
      </c>
      <c r="D29781" s="22" t="str">
        <f>HYPERLINK("https://rhld.insurance.arkansas.gov/NPILookup?Npi=1962600312","1962600312")</f>
        <v>1962600312</v>
      </c>
      <c r="E29781" s="1" t="s">
        <v>29403</v>
      </c>
      <c r="F29781" s="2"/>
      <c r="G29781" s="2"/>
      <c r="H29781" s="2"/>
    </row>
    <row r="29782" spans="1:8" x14ac:dyDescent="0.25">
      <c r="A29782" s="1"/>
      <c r="B29782" s="1" t="s">
        <v>7328</v>
      </c>
      <c r="C29782" s="1" t="s">
        <v>7329</v>
      </c>
      <c r="D29782" s="22" t="str">
        <f>HYPERLINK("https://rhld.insurance.arkansas.gov/NPILookup?Npi=1962607457","1962607457")</f>
        <v>1962607457</v>
      </c>
      <c r="E29782" s="1" t="s">
        <v>29404</v>
      </c>
      <c r="F29782" s="2"/>
      <c r="G29782" s="2"/>
      <c r="H29782" s="2"/>
    </row>
    <row r="29783" spans="1:8" x14ac:dyDescent="0.25">
      <c r="A29783" s="1"/>
      <c r="B29783" s="1" t="s">
        <v>7328</v>
      </c>
      <c r="C29783" s="1" t="s">
        <v>7329</v>
      </c>
      <c r="D29783" s="22" t="str">
        <f>HYPERLINK("https://rhld.insurance.arkansas.gov/NPILookup?Npi=1962607986","1962607986")</f>
        <v>1962607986</v>
      </c>
      <c r="E29783" s="1" t="s">
        <v>8233</v>
      </c>
      <c r="F29783" s="2"/>
      <c r="G29783" s="2"/>
      <c r="H29783" s="2"/>
    </row>
    <row r="29784" spans="1:8" x14ac:dyDescent="0.25">
      <c r="A29784" s="1"/>
      <c r="B29784" s="1" t="s">
        <v>7328</v>
      </c>
      <c r="C29784" s="1" t="s">
        <v>7329</v>
      </c>
      <c r="D29784" s="22" t="str">
        <f>HYPERLINK("https://rhld.insurance.arkansas.gov/NPILookup?Npi=1962630079","1962630079")</f>
        <v>1962630079</v>
      </c>
      <c r="E29784" s="1" t="s">
        <v>29405</v>
      </c>
      <c r="F29784" s="2"/>
      <c r="G29784" s="2"/>
      <c r="H29784" s="2"/>
    </row>
    <row r="29785" spans="1:8" x14ac:dyDescent="0.25">
      <c r="A29785" s="1"/>
      <c r="B29785" s="1" t="s">
        <v>7328</v>
      </c>
      <c r="C29785" s="1" t="s">
        <v>7329</v>
      </c>
      <c r="D29785" s="22" t="str">
        <f>HYPERLINK("https://rhld.insurance.arkansas.gov/NPILookup?Npi=1962635359","1962635359")</f>
        <v>1962635359</v>
      </c>
      <c r="E29785" s="1" t="s">
        <v>13822</v>
      </c>
      <c r="F29785" s="2"/>
      <c r="G29785" s="2"/>
      <c r="H29785" s="2"/>
    </row>
    <row r="29786" spans="1:8" x14ac:dyDescent="0.25">
      <c r="A29786" s="1"/>
      <c r="B29786" s="1" t="s">
        <v>7328</v>
      </c>
      <c r="C29786" s="1" t="s">
        <v>7329</v>
      </c>
      <c r="D29786" s="22" t="str">
        <f>HYPERLINK("https://rhld.insurance.arkansas.gov/NPILookup?Npi=1962646638","1962646638")</f>
        <v>1962646638</v>
      </c>
      <c r="E29786" s="1" t="s">
        <v>29406</v>
      </c>
      <c r="F29786" s="2"/>
      <c r="G29786" s="2"/>
      <c r="H29786" s="2"/>
    </row>
    <row r="29787" spans="1:8" x14ac:dyDescent="0.25">
      <c r="A29787" s="1"/>
      <c r="B29787" s="1" t="s">
        <v>7328</v>
      </c>
      <c r="C29787" s="1" t="s">
        <v>7329</v>
      </c>
      <c r="D29787" s="22" t="str">
        <f>HYPERLINK("https://rhld.insurance.arkansas.gov/NPILookup?Npi=1962664557","1962664557")</f>
        <v>1962664557</v>
      </c>
      <c r="E29787" s="1" t="s">
        <v>29407</v>
      </c>
      <c r="F29787" s="2"/>
      <c r="G29787" s="2"/>
      <c r="H29787" s="2"/>
    </row>
    <row r="29788" spans="1:8" x14ac:dyDescent="0.25">
      <c r="A29788" s="1"/>
      <c r="B29788" s="1" t="s">
        <v>7328</v>
      </c>
      <c r="C29788" s="1" t="s">
        <v>7329</v>
      </c>
      <c r="D29788" s="22" t="str">
        <f>HYPERLINK("https://rhld.insurance.arkansas.gov/NPILookup?Npi=1962668970","1962668970")</f>
        <v>1962668970</v>
      </c>
      <c r="E29788" s="1" t="s">
        <v>18042</v>
      </c>
      <c r="F29788" s="2"/>
      <c r="G29788" s="2"/>
      <c r="H29788" s="2"/>
    </row>
    <row r="29789" spans="1:8" x14ac:dyDescent="0.25">
      <c r="A29789" s="1"/>
      <c r="B29789" s="1" t="s">
        <v>7328</v>
      </c>
      <c r="C29789" s="1" t="s">
        <v>7329</v>
      </c>
      <c r="D29789" s="22" t="str">
        <f>HYPERLINK("https://rhld.insurance.arkansas.gov/NPILookup?Npi=1962701466","1962701466")</f>
        <v>1962701466</v>
      </c>
      <c r="E29789" s="1" t="s">
        <v>3444</v>
      </c>
      <c r="F29789" s="2"/>
      <c r="G29789" s="2"/>
      <c r="H29789" s="2"/>
    </row>
    <row r="29790" spans="1:8" x14ac:dyDescent="0.25">
      <c r="A29790" s="1"/>
      <c r="B29790" s="1" t="s">
        <v>7328</v>
      </c>
      <c r="C29790" s="1" t="s">
        <v>7329</v>
      </c>
      <c r="D29790" s="22" t="str">
        <f>HYPERLINK("https://rhld.insurance.arkansas.gov/NPILookup?Npi=1962714097","1962714097")</f>
        <v>1962714097</v>
      </c>
      <c r="E29790" s="1" t="s">
        <v>13823</v>
      </c>
      <c r="F29790" s="2"/>
      <c r="G29790" s="2"/>
      <c r="H29790" s="2"/>
    </row>
    <row r="29791" spans="1:8" x14ac:dyDescent="0.25">
      <c r="A29791" s="1"/>
      <c r="B29791" s="1" t="s">
        <v>7328</v>
      </c>
      <c r="C29791" s="1" t="s">
        <v>7329</v>
      </c>
      <c r="D29791" s="22" t="str">
        <f>HYPERLINK("https://rhld.insurance.arkansas.gov/NPILookup?Npi=1962734988","1962734988")</f>
        <v>1962734988</v>
      </c>
      <c r="E29791" s="1" t="s">
        <v>8234</v>
      </c>
      <c r="F29791" s="2"/>
      <c r="G29791" s="2"/>
      <c r="H29791" s="2"/>
    </row>
    <row r="29792" spans="1:8" x14ac:dyDescent="0.25">
      <c r="A29792" s="1"/>
      <c r="B29792" s="1" t="s">
        <v>7328</v>
      </c>
      <c r="C29792" s="1" t="s">
        <v>7329</v>
      </c>
      <c r="D29792" s="22" t="str">
        <f>HYPERLINK("https://rhld.insurance.arkansas.gov/NPILookup?Npi=1962757740","1962757740")</f>
        <v>1962757740</v>
      </c>
      <c r="E29792" s="1" t="s">
        <v>13824</v>
      </c>
      <c r="F29792" s="2"/>
      <c r="G29792" s="2"/>
      <c r="H29792" s="2"/>
    </row>
    <row r="29793" spans="1:8" x14ac:dyDescent="0.25">
      <c r="A29793" s="1"/>
      <c r="B29793" s="1" t="s">
        <v>7328</v>
      </c>
      <c r="C29793" s="1" t="s">
        <v>7329</v>
      </c>
      <c r="D29793" s="22" t="str">
        <f>HYPERLINK("https://rhld.insurance.arkansas.gov/NPILookup?Npi=1962762005","1962762005")</f>
        <v>1962762005</v>
      </c>
      <c r="E29793" s="1" t="s">
        <v>29408</v>
      </c>
      <c r="F29793" s="2"/>
      <c r="G29793" s="2"/>
      <c r="H29793" s="2"/>
    </row>
    <row r="29794" spans="1:8" x14ac:dyDescent="0.25">
      <c r="A29794" s="1"/>
      <c r="B29794" s="1" t="s">
        <v>7328</v>
      </c>
      <c r="C29794" s="1" t="s">
        <v>7329</v>
      </c>
      <c r="D29794" s="22" t="str">
        <f>HYPERLINK("https://rhld.insurance.arkansas.gov/NPILookup?Npi=1962762682","1962762682")</f>
        <v>1962762682</v>
      </c>
      <c r="E29794" s="1" t="s">
        <v>29409</v>
      </c>
      <c r="F29794" s="2"/>
      <c r="G29794" s="2"/>
      <c r="H29794" s="2"/>
    </row>
    <row r="29795" spans="1:8" x14ac:dyDescent="0.25">
      <c r="A29795" s="1"/>
      <c r="B29795" s="1" t="s">
        <v>7328</v>
      </c>
      <c r="C29795" s="1" t="s">
        <v>7329</v>
      </c>
      <c r="D29795" s="22" t="str">
        <f>HYPERLINK("https://rhld.insurance.arkansas.gov/NPILookup?Npi=1962766840","1962766840")</f>
        <v>1962766840</v>
      </c>
      <c r="E29795" s="1" t="s">
        <v>13825</v>
      </c>
      <c r="F29795" s="2"/>
      <c r="G29795" s="2"/>
      <c r="H29795" s="2"/>
    </row>
    <row r="29796" spans="1:8" x14ac:dyDescent="0.25">
      <c r="A29796" s="1"/>
      <c r="B29796" s="1" t="s">
        <v>7328</v>
      </c>
      <c r="C29796" s="1" t="s">
        <v>7329</v>
      </c>
      <c r="D29796" s="22" t="str">
        <f>HYPERLINK("https://rhld.insurance.arkansas.gov/NPILookup?Npi=1962769828","1962769828")</f>
        <v>1962769828</v>
      </c>
      <c r="E29796" s="1" t="s">
        <v>3099</v>
      </c>
      <c r="F29796" s="2"/>
      <c r="G29796" s="2"/>
      <c r="H29796" s="2"/>
    </row>
    <row r="29797" spans="1:8" x14ac:dyDescent="0.25">
      <c r="A29797" s="1"/>
      <c r="B29797" s="1" t="s">
        <v>7328</v>
      </c>
      <c r="C29797" s="1" t="s">
        <v>7329</v>
      </c>
      <c r="D29797" s="22" t="str">
        <f>HYPERLINK("https://rhld.insurance.arkansas.gov/NPILookup?Npi=1962777680","1962777680")</f>
        <v>1962777680</v>
      </c>
      <c r="E29797" s="1" t="s">
        <v>29410</v>
      </c>
      <c r="F29797" s="2"/>
      <c r="G29797" s="2"/>
      <c r="H29797" s="2"/>
    </row>
    <row r="29798" spans="1:8" x14ac:dyDescent="0.25">
      <c r="A29798" s="1"/>
      <c r="B29798" s="1" t="s">
        <v>7328</v>
      </c>
      <c r="C29798" s="1" t="s">
        <v>7329</v>
      </c>
      <c r="D29798" s="22" t="str">
        <f>HYPERLINK("https://rhld.insurance.arkansas.gov/NPILookup?Npi=1962789826","1962789826")</f>
        <v>1962789826</v>
      </c>
      <c r="E29798" s="1" t="s">
        <v>29411</v>
      </c>
      <c r="F29798" s="2"/>
      <c r="G29798" s="2"/>
      <c r="H29798" s="2"/>
    </row>
    <row r="29799" spans="1:8" x14ac:dyDescent="0.25">
      <c r="A29799" s="1"/>
      <c r="B29799" s="1" t="s">
        <v>7328</v>
      </c>
      <c r="C29799" s="1" t="s">
        <v>7329</v>
      </c>
      <c r="D29799" s="22" t="str">
        <f>HYPERLINK("https://rhld.insurance.arkansas.gov/NPILookup?Npi=1962792309","1962792309")</f>
        <v>1962792309</v>
      </c>
      <c r="E29799" s="1" t="s">
        <v>29412</v>
      </c>
      <c r="F29799" s="2"/>
      <c r="G29799" s="2"/>
      <c r="H29799" s="2"/>
    </row>
    <row r="29800" spans="1:8" x14ac:dyDescent="0.25">
      <c r="A29800" s="1"/>
      <c r="B29800" s="1" t="s">
        <v>7328</v>
      </c>
      <c r="C29800" s="1" t="s">
        <v>7329</v>
      </c>
      <c r="D29800" s="22" t="str">
        <f>HYPERLINK("https://rhld.insurance.arkansas.gov/NPILookup?Npi=1962815951","1962815951")</f>
        <v>1962815951</v>
      </c>
      <c r="E29800" s="1" t="s">
        <v>29413</v>
      </c>
      <c r="F29800" s="2"/>
      <c r="G29800" s="2"/>
      <c r="H29800" s="2"/>
    </row>
    <row r="29801" spans="1:8" x14ac:dyDescent="0.25">
      <c r="A29801" s="1"/>
      <c r="B29801" s="1" t="s">
        <v>7328</v>
      </c>
      <c r="C29801" s="1" t="s">
        <v>7329</v>
      </c>
      <c r="D29801" s="22" t="str">
        <f>HYPERLINK("https://rhld.insurance.arkansas.gov/NPILookup?Npi=1962819664","1962819664")</f>
        <v>1962819664</v>
      </c>
      <c r="E29801" s="1" t="s">
        <v>29414</v>
      </c>
      <c r="F29801" s="2"/>
      <c r="G29801" s="2"/>
      <c r="H29801" s="2"/>
    </row>
    <row r="29802" spans="1:8" x14ac:dyDescent="0.25">
      <c r="A29802" s="1"/>
      <c r="B29802" s="1" t="s">
        <v>7328</v>
      </c>
      <c r="C29802" s="1" t="s">
        <v>7329</v>
      </c>
      <c r="D29802" s="22" t="str">
        <f>HYPERLINK("https://rhld.insurance.arkansas.gov/NPILookup?Npi=1962825562","1962825562")</f>
        <v>1962825562</v>
      </c>
      <c r="E29802" s="1" t="s">
        <v>29415</v>
      </c>
      <c r="F29802" s="2"/>
      <c r="G29802" s="2"/>
      <c r="H29802" s="2"/>
    </row>
    <row r="29803" spans="1:8" x14ac:dyDescent="0.25">
      <c r="A29803" s="1"/>
      <c r="B29803" s="1" t="s">
        <v>7328</v>
      </c>
      <c r="C29803" s="1" t="s">
        <v>7329</v>
      </c>
      <c r="D29803" s="22" t="str">
        <f>HYPERLINK("https://rhld.insurance.arkansas.gov/NPILookup?Npi=1962826503","1962826503")</f>
        <v>1962826503</v>
      </c>
      <c r="E29803" s="1" t="s">
        <v>32420</v>
      </c>
      <c r="F29803" s="2"/>
      <c r="G29803" s="2"/>
      <c r="H29803" s="2"/>
    </row>
    <row r="29804" spans="1:8" x14ac:dyDescent="0.25">
      <c r="A29804" s="1"/>
      <c r="B29804" s="1" t="s">
        <v>7328</v>
      </c>
      <c r="C29804" s="1" t="s">
        <v>7329</v>
      </c>
      <c r="D29804" s="22" t="str">
        <f>HYPERLINK("https://rhld.insurance.arkansas.gov/NPILookup?Npi=1962836213","1962836213")</f>
        <v>1962836213</v>
      </c>
      <c r="E29804" s="1" t="s">
        <v>23916</v>
      </c>
      <c r="F29804" s="2"/>
      <c r="G29804" s="2"/>
      <c r="H29804" s="2"/>
    </row>
    <row r="29805" spans="1:8" x14ac:dyDescent="0.25">
      <c r="A29805" s="1"/>
      <c r="B29805" s="1" t="s">
        <v>7328</v>
      </c>
      <c r="C29805" s="1" t="s">
        <v>7329</v>
      </c>
      <c r="D29805" s="22" t="str">
        <f>HYPERLINK("https://rhld.insurance.arkansas.gov/NPILookup?Npi=1962844522","1962844522")</f>
        <v>1962844522</v>
      </c>
      <c r="E29805" s="1" t="s">
        <v>13826</v>
      </c>
      <c r="F29805" s="2"/>
      <c r="G29805" s="2"/>
      <c r="H29805" s="2"/>
    </row>
    <row r="29806" spans="1:8" x14ac:dyDescent="0.25">
      <c r="A29806" s="1"/>
      <c r="B29806" s="1" t="s">
        <v>7328</v>
      </c>
      <c r="C29806" s="1" t="s">
        <v>7329</v>
      </c>
      <c r="D29806" s="22" t="str">
        <f>HYPERLINK("https://rhld.insurance.arkansas.gov/NPILookup?Npi=1962852749","1962852749")</f>
        <v>1962852749</v>
      </c>
      <c r="E29806" s="1" t="s">
        <v>29416</v>
      </c>
      <c r="F29806" s="2"/>
      <c r="G29806" s="2"/>
      <c r="H29806" s="2"/>
    </row>
    <row r="29807" spans="1:8" x14ac:dyDescent="0.25">
      <c r="A29807" s="1"/>
      <c r="B29807" s="1" t="s">
        <v>7328</v>
      </c>
      <c r="C29807" s="1" t="s">
        <v>7329</v>
      </c>
      <c r="D29807" s="22" t="str">
        <f>HYPERLINK("https://rhld.insurance.arkansas.gov/NPILookup?Npi=1962857391","1962857391")</f>
        <v>1962857391</v>
      </c>
      <c r="E29807" s="1" t="s">
        <v>22820</v>
      </c>
      <c r="F29807" s="2"/>
      <c r="G29807" s="2"/>
      <c r="H29807" s="2"/>
    </row>
    <row r="29808" spans="1:8" x14ac:dyDescent="0.25">
      <c r="A29808" s="1"/>
      <c r="B29808" s="1" t="s">
        <v>7328</v>
      </c>
      <c r="C29808" s="1" t="s">
        <v>7329</v>
      </c>
      <c r="D29808" s="22" t="str">
        <f>HYPERLINK("https://rhld.insurance.arkansas.gov/NPILookup?Npi=1962860551","1962860551")</f>
        <v>1962860551</v>
      </c>
      <c r="E29808" s="1" t="s">
        <v>29417</v>
      </c>
      <c r="F29808" s="2"/>
      <c r="G29808" s="2"/>
      <c r="H29808" s="2"/>
    </row>
    <row r="29809" spans="1:8" x14ac:dyDescent="0.25">
      <c r="A29809" s="1"/>
      <c r="B29809" s="1" t="s">
        <v>7328</v>
      </c>
      <c r="C29809" s="1" t="s">
        <v>7329</v>
      </c>
      <c r="D29809" s="22" t="str">
        <f>HYPERLINK("https://rhld.insurance.arkansas.gov/NPILookup?Npi=1962862557","1962862557")</f>
        <v>1962862557</v>
      </c>
      <c r="E29809" s="1" t="s">
        <v>17115</v>
      </c>
      <c r="F29809" s="2"/>
      <c r="G29809" s="2"/>
      <c r="H29809" s="2"/>
    </row>
    <row r="29810" spans="1:8" x14ac:dyDescent="0.25">
      <c r="A29810" s="1"/>
      <c r="B29810" s="1" t="s">
        <v>7328</v>
      </c>
      <c r="C29810" s="1" t="s">
        <v>7329</v>
      </c>
      <c r="D29810" s="22" t="str">
        <f>HYPERLINK("https://rhld.insurance.arkansas.gov/NPILookup?Npi=1962865659","1962865659")</f>
        <v>1962865659</v>
      </c>
      <c r="E29810" s="1" t="s">
        <v>29418</v>
      </c>
      <c r="F29810" s="2"/>
      <c r="G29810" s="2"/>
      <c r="H29810" s="2"/>
    </row>
    <row r="29811" spans="1:8" x14ac:dyDescent="0.25">
      <c r="A29811" s="1"/>
      <c r="B29811" s="1" t="s">
        <v>7328</v>
      </c>
      <c r="C29811" s="1" t="s">
        <v>7329</v>
      </c>
      <c r="D29811" s="22" t="str">
        <f>HYPERLINK("https://rhld.insurance.arkansas.gov/NPILookup?Npi=1962868752","1962868752")</f>
        <v>1962868752</v>
      </c>
      <c r="E29811" s="1" t="s">
        <v>3100</v>
      </c>
      <c r="F29811" s="2"/>
      <c r="G29811" s="2"/>
      <c r="H29811" s="2"/>
    </row>
    <row r="29812" spans="1:8" x14ac:dyDescent="0.25">
      <c r="A29812" s="1"/>
      <c r="B29812" s="1" t="s">
        <v>7328</v>
      </c>
      <c r="C29812" s="1" t="s">
        <v>7329</v>
      </c>
      <c r="D29812" s="22" t="str">
        <f>HYPERLINK("https://rhld.insurance.arkansas.gov/NPILookup?Npi=1962875054","1962875054")</f>
        <v>1962875054</v>
      </c>
      <c r="E29812" s="1" t="s">
        <v>29419</v>
      </c>
      <c r="F29812" s="2"/>
      <c r="G29812" s="2"/>
      <c r="H29812" s="2"/>
    </row>
    <row r="29813" spans="1:8" x14ac:dyDescent="0.25">
      <c r="A29813" s="1"/>
      <c r="B29813" s="1" t="s">
        <v>7328</v>
      </c>
      <c r="C29813" s="1" t="s">
        <v>7329</v>
      </c>
      <c r="D29813" s="22" t="str">
        <f>HYPERLINK("https://rhld.insurance.arkansas.gov/NPILookup?Npi=1962876037","1962876037")</f>
        <v>1962876037</v>
      </c>
      <c r="E29813" s="1" t="s">
        <v>29420</v>
      </c>
      <c r="F29813" s="2"/>
      <c r="G29813" s="2"/>
      <c r="H29813" s="2"/>
    </row>
    <row r="29814" spans="1:8" x14ac:dyDescent="0.25">
      <c r="A29814" s="1"/>
      <c r="B29814" s="1" t="s">
        <v>7328</v>
      </c>
      <c r="C29814" s="1" t="s">
        <v>7329</v>
      </c>
      <c r="D29814" s="22" t="str">
        <f>HYPERLINK("https://rhld.insurance.arkansas.gov/NPILookup?Npi=1962876524","1962876524")</f>
        <v>1962876524</v>
      </c>
      <c r="E29814" s="1" t="s">
        <v>13827</v>
      </c>
      <c r="F29814" s="2"/>
      <c r="G29814" s="2"/>
      <c r="H29814" s="2"/>
    </row>
    <row r="29815" spans="1:8" x14ac:dyDescent="0.25">
      <c r="A29815" s="1"/>
      <c r="B29815" s="1" t="s">
        <v>7328</v>
      </c>
      <c r="C29815" s="1" t="s">
        <v>7329</v>
      </c>
      <c r="D29815" s="22" t="str">
        <f>HYPERLINK("https://rhld.insurance.arkansas.gov/NPILookup?Npi=1962877852","1962877852")</f>
        <v>1962877852</v>
      </c>
      <c r="E29815" s="1" t="s">
        <v>8235</v>
      </c>
      <c r="F29815" s="2"/>
      <c r="G29815" s="2"/>
      <c r="H29815" s="2"/>
    </row>
    <row r="29816" spans="1:8" x14ac:dyDescent="0.25">
      <c r="A29816" s="1"/>
      <c r="B29816" s="1" t="s">
        <v>7328</v>
      </c>
      <c r="C29816" s="1" t="s">
        <v>7329</v>
      </c>
      <c r="D29816" s="22" t="str">
        <f>HYPERLINK("https://rhld.insurance.arkansas.gov/NPILookup?Npi=1962882902","1962882902")</f>
        <v>1962882902</v>
      </c>
      <c r="E29816" s="1" t="s">
        <v>13828</v>
      </c>
      <c r="F29816" s="2"/>
      <c r="G29816" s="2"/>
      <c r="H29816" s="2"/>
    </row>
    <row r="29817" spans="1:8" x14ac:dyDescent="0.25">
      <c r="A29817" s="1"/>
      <c r="B29817" s="1" t="s">
        <v>7328</v>
      </c>
      <c r="C29817" s="1" t="s">
        <v>7329</v>
      </c>
      <c r="D29817" s="22" t="str">
        <f>HYPERLINK("https://rhld.insurance.arkansas.gov/NPILookup?Npi=1962898460","1962898460")</f>
        <v>1962898460</v>
      </c>
      <c r="E29817" s="1" t="s">
        <v>29421</v>
      </c>
      <c r="F29817" s="2"/>
      <c r="G29817" s="2"/>
      <c r="H29817" s="2"/>
    </row>
    <row r="29818" spans="1:8" x14ac:dyDescent="0.25">
      <c r="A29818" s="1"/>
      <c r="B29818" s="1" t="s">
        <v>7328</v>
      </c>
      <c r="C29818" s="1" t="s">
        <v>7329</v>
      </c>
      <c r="D29818" s="22" t="str">
        <f>HYPERLINK("https://rhld.insurance.arkansas.gov/NPILookup?Npi=1962917922","1962917922")</f>
        <v>1962917922</v>
      </c>
      <c r="E29818" s="1" t="s">
        <v>1585</v>
      </c>
      <c r="F29818" s="2"/>
      <c r="G29818" s="2"/>
      <c r="H29818" s="2"/>
    </row>
    <row r="29819" spans="1:8" x14ac:dyDescent="0.25">
      <c r="A29819" s="1"/>
      <c r="B29819" s="1" t="s">
        <v>7328</v>
      </c>
      <c r="C29819" s="1" t="s">
        <v>7329</v>
      </c>
      <c r="D29819" s="22" t="str">
        <f>HYPERLINK("https://rhld.insurance.arkansas.gov/NPILookup?Npi=1962919282","1962919282")</f>
        <v>1962919282</v>
      </c>
      <c r="E29819" s="1" t="s">
        <v>29422</v>
      </c>
      <c r="F29819" s="2"/>
      <c r="G29819" s="2"/>
      <c r="H29819" s="2"/>
    </row>
    <row r="29820" spans="1:8" x14ac:dyDescent="0.25">
      <c r="A29820" s="1"/>
      <c r="B29820" s="1" t="s">
        <v>7328</v>
      </c>
      <c r="C29820" s="1" t="s">
        <v>7329</v>
      </c>
      <c r="D29820" s="22" t="str">
        <f>HYPERLINK("https://rhld.insurance.arkansas.gov/NPILookup?Npi=1962937102","1962937102")</f>
        <v>1962937102</v>
      </c>
      <c r="E29820" s="1" t="s">
        <v>29423</v>
      </c>
      <c r="F29820" s="2"/>
      <c r="G29820" s="2"/>
      <c r="H29820" s="2"/>
    </row>
    <row r="29821" spans="1:8" x14ac:dyDescent="0.25">
      <c r="A29821" s="1"/>
      <c r="B29821" s="1" t="s">
        <v>7328</v>
      </c>
      <c r="C29821" s="1" t="s">
        <v>7329</v>
      </c>
      <c r="D29821" s="22" t="str">
        <f>HYPERLINK("https://rhld.insurance.arkansas.gov/NPILookup?Npi=1962938431","1962938431")</f>
        <v>1962938431</v>
      </c>
      <c r="E29821" s="1" t="s">
        <v>8236</v>
      </c>
      <c r="F29821" s="2"/>
      <c r="G29821" s="2"/>
      <c r="H29821" s="2"/>
    </row>
    <row r="29822" spans="1:8" x14ac:dyDescent="0.25">
      <c r="A29822" s="1"/>
      <c r="B29822" s="1" t="s">
        <v>7328</v>
      </c>
      <c r="C29822" s="1" t="s">
        <v>7329</v>
      </c>
      <c r="D29822" s="22" t="str">
        <f>HYPERLINK("https://rhld.insurance.arkansas.gov/NPILookup?Npi=1962940866","1962940866")</f>
        <v>1962940866</v>
      </c>
      <c r="E29822" s="1" t="s">
        <v>29424</v>
      </c>
      <c r="F29822" s="2"/>
      <c r="G29822" s="2"/>
      <c r="H29822" s="2"/>
    </row>
    <row r="29823" spans="1:8" x14ac:dyDescent="0.25">
      <c r="A29823" s="1"/>
      <c r="B29823" s="1" t="s">
        <v>7328</v>
      </c>
      <c r="C29823" s="1" t="s">
        <v>7329</v>
      </c>
      <c r="D29823" s="22" t="str">
        <f>HYPERLINK("https://rhld.insurance.arkansas.gov/NPILookup?Npi=1962946160","1962946160")</f>
        <v>1962946160</v>
      </c>
      <c r="E29823" s="1" t="s">
        <v>29425</v>
      </c>
      <c r="F29823" s="2"/>
      <c r="G29823" s="2"/>
      <c r="H29823" s="2"/>
    </row>
    <row r="29824" spans="1:8" x14ac:dyDescent="0.25">
      <c r="A29824" s="1"/>
      <c r="B29824" s="1" t="s">
        <v>7328</v>
      </c>
      <c r="C29824" s="1" t="s">
        <v>7329</v>
      </c>
      <c r="D29824" s="22" t="str">
        <f>HYPERLINK("https://rhld.insurance.arkansas.gov/NPILookup?Npi=1962947200","1962947200")</f>
        <v>1962947200</v>
      </c>
      <c r="E29824" s="1" t="s">
        <v>29426</v>
      </c>
      <c r="F29824" s="2"/>
      <c r="G29824" s="2"/>
      <c r="H29824" s="2"/>
    </row>
    <row r="29825" spans="1:8" x14ac:dyDescent="0.25">
      <c r="A29825" s="1"/>
      <c r="B29825" s="1" t="s">
        <v>7328</v>
      </c>
      <c r="C29825" s="1" t="s">
        <v>7329</v>
      </c>
      <c r="D29825" s="22" t="str">
        <f>HYPERLINK("https://rhld.insurance.arkansas.gov/NPILookup?Npi=1962948075","1962948075")</f>
        <v>1962948075</v>
      </c>
      <c r="E29825" s="1" t="s">
        <v>13829</v>
      </c>
      <c r="F29825" s="2"/>
      <c r="G29825" s="2"/>
      <c r="H29825" s="2"/>
    </row>
    <row r="29826" spans="1:8" x14ac:dyDescent="0.25">
      <c r="A29826" s="1"/>
      <c r="B29826" s="1" t="s">
        <v>7328</v>
      </c>
      <c r="C29826" s="1" t="s">
        <v>7329</v>
      </c>
      <c r="D29826" s="22" t="str">
        <f>HYPERLINK("https://rhld.insurance.arkansas.gov/NPILookup?Npi=1962961995","1962961995")</f>
        <v>1962961995</v>
      </c>
      <c r="E29826" s="1" t="s">
        <v>18045</v>
      </c>
      <c r="F29826" s="2"/>
      <c r="G29826" s="2"/>
      <c r="H29826" s="2"/>
    </row>
    <row r="29827" spans="1:8" x14ac:dyDescent="0.25">
      <c r="A29827" s="1"/>
      <c r="B29827" s="1" t="s">
        <v>7328</v>
      </c>
      <c r="C29827" s="1" t="s">
        <v>7329</v>
      </c>
      <c r="D29827" s="22" t="str">
        <f>HYPERLINK("https://rhld.insurance.arkansas.gov/NPILookup?Npi=1962972844","1962972844")</f>
        <v>1962972844</v>
      </c>
      <c r="E29827" s="1" t="s">
        <v>29427</v>
      </c>
      <c r="F29827" s="2"/>
      <c r="G29827" s="2"/>
      <c r="H29827" s="2"/>
    </row>
    <row r="29828" spans="1:8" x14ac:dyDescent="0.25">
      <c r="A29828" s="1"/>
      <c r="B29828" s="1" t="s">
        <v>7328</v>
      </c>
      <c r="C29828" s="1" t="s">
        <v>7329</v>
      </c>
      <c r="D29828" s="22" t="str">
        <f>HYPERLINK("https://rhld.insurance.arkansas.gov/NPILookup?Npi=1962977389","1962977389")</f>
        <v>1962977389</v>
      </c>
      <c r="E29828" s="1" t="s">
        <v>13830</v>
      </c>
      <c r="F29828" s="2"/>
      <c r="G29828" s="2"/>
      <c r="H29828" s="2"/>
    </row>
    <row r="29829" spans="1:8" x14ac:dyDescent="0.25">
      <c r="A29829" s="1"/>
      <c r="B29829" s="1" t="s">
        <v>7328</v>
      </c>
      <c r="C29829" s="1" t="s">
        <v>7329</v>
      </c>
      <c r="D29829" s="22" t="str">
        <f>HYPERLINK("https://rhld.insurance.arkansas.gov/NPILookup?Npi=1962980268","1962980268")</f>
        <v>1962980268</v>
      </c>
      <c r="E29829" s="1" t="s">
        <v>13831</v>
      </c>
      <c r="F29829" s="2"/>
      <c r="G29829" s="2"/>
      <c r="H29829" s="2"/>
    </row>
    <row r="29830" spans="1:8" x14ac:dyDescent="0.25">
      <c r="A29830" s="1"/>
      <c r="B29830" s="1" t="s">
        <v>7328</v>
      </c>
      <c r="C29830" s="1" t="s">
        <v>7329</v>
      </c>
      <c r="D29830" s="22" t="str">
        <f>HYPERLINK("https://rhld.insurance.arkansas.gov/NPILookup?Npi=1962980797","1962980797")</f>
        <v>1962980797</v>
      </c>
      <c r="E29830" s="1" t="s">
        <v>29428</v>
      </c>
      <c r="F29830" s="2"/>
      <c r="G29830" s="2"/>
      <c r="H29830" s="2"/>
    </row>
    <row r="29831" spans="1:8" x14ac:dyDescent="0.25">
      <c r="A29831" s="1"/>
      <c r="B29831" s="1" t="s">
        <v>7328</v>
      </c>
      <c r="C29831" s="1" t="s">
        <v>7329</v>
      </c>
      <c r="D29831" s="22" t="str">
        <f>HYPERLINK("https://rhld.insurance.arkansas.gov/NPILookup?Npi=1962985879","1962985879")</f>
        <v>1962985879</v>
      </c>
      <c r="E29831" s="1" t="s">
        <v>29429</v>
      </c>
      <c r="F29831" s="2"/>
      <c r="G29831" s="2"/>
      <c r="H29831" s="2"/>
    </row>
    <row r="29832" spans="1:8" x14ac:dyDescent="0.25">
      <c r="A29832" s="1"/>
      <c r="B29832" s="1" t="s">
        <v>7328</v>
      </c>
      <c r="C29832" s="1" t="s">
        <v>7329</v>
      </c>
      <c r="D29832" s="22" t="str">
        <f>HYPERLINK("https://rhld.insurance.arkansas.gov/NPILookup?Npi=1962988253","1962988253")</f>
        <v>1962988253</v>
      </c>
      <c r="E29832" s="1" t="s">
        <v>23924</v>
      </c>
      <c r="F29832" s="2"/>
      <c r="G29832" s="2"/>
      <c r="H29832" s="2"/>
    </row>
    <row r="29833" spans="1:8" x14ac:dyDescent="0.25">
      <c r="A29833" s="1"/>
      <c r="B29833" s="1" t="s">
        <v>7328</v>
      </c>
      <c r="C29833" s="1" t="s">
        <v>7329</v>
      </c>
      <c r="D29833" s="22" t="str">
        <f>HYPERLINK("https://rhld.insurance.arkansas.gov/NPILookup?Npi=1962989871","1962989871")</f>
        <v>1962989871</v>
      </c>
      <c r="E29833" s="1" t="s">
        <v>29430</v>
      </c>
      <c r="F29833" s="2"/>
      <c r="G29833" s="2"/>
      <c r="H29833" s="2"/>
    </row>
    <row r="29834" spans="1:8" x14ac:dyDescent="0.25">
      <c r="A29834" s="1"/>
      <c r="B29834" s="1" t="s">
        <v>7328</v>
      </c>
      <c r="C29834" s="1" t="s">
        <v>7329</v>
      </c>
      <c r="D29834" s="22" t="str">
        <f>HYPERLINK("https://rhld.insurance.arkansas.gov/NPILookup?Npi=1962996538","1962996538")</f>
        <v>1962996538</v>
      </c>
      <c r="E29834" s="1" t="s">
        <v>29431</v>
      </c>
      <c r="F29834" s="2"/>
      <c r="G29834" s="2"/>
      <c r="H29834" s="2"/>
    </row>
    <row r="29835" spans="1:8" x14ac:dyDescent="0.25">
      <c r="A29835" s="1"/>
      <c r="B29835" s="1" t="s">
        <v>7328</v>
      </c>
      <c r="C29835" s="1" t="s">
        <v>7329</v>
      </c>
      <c r="D29835" s="22" t="str">
        <f>HYPERLINK("https://rhld.insurance.arkansas.gov/NPILookup?Npi=1972002020","1972002020")</f>
        <v>1972002020</v>
      </c>
      <c r="E29835" s="1" t="s">
        <v>29432</v>
      </c>
      <c r="F29835" s="2"/>
      <c r="G29835" s="2"/>
      <c r="H29835" s="2"/>
    </row>
    <row r="29836" spans="1:8" x14ac:dyDescent="0.25">
      <c r="A29836" s="1"/>
      <c r="B29836" s="1" t="s">
        <v>7328</v>
      </c>
      <c r="C29836" s="1" t="s">
        <v>7329</v>
      </c>
      <c r="D29836" s="22" t="str">
        <f>HYPERLINK("https://rhld.insurance.arkansas.gov/NPILookup?Npi=1972006542","1972006542")</f>
        <v>1972006542</v>
      </c>
      <c r="E29836" s="1" t="s">
        <v>29433</v>
      </c>
      <c r="F29836" s="2"/>
      <c r="G29836" s="2"/>
      <c r="H29836" s="2"/>
    </row>
    <row r="29837" spans="1:8" x14ac:dyDescent="0.25">
      <c r="A29837" s="1"/>
      <c r="B29837" s="1" t="s">
        <v>7328</v>
      </c>
      <c r="C29837" s="1" t="s">
        <v>7329</v>
      </c>
      <c r="D29837" s="22" t="str">
        <f>HYPERLINK("https://rhld.insurance.arkansas.gov/NPILookup?Npi=1972010296","1972010296")</f>
        <v>1972010296</v>
      </c>
      <c r="E29837" s="1" t="s">
        <v>13832</v>
      </c>
      <c r="F29837" s="2"/>
      <c r="G29837" s="2"/>
      <c r="H29837" s="2"/>
    </row>
    <row r="29838" spans="1:8" x14ac:dyDescent="0.25">
      <c r="A29838" s="1"/>
      <c r="B29838" s="1" t="s">
        <v>7328</v>
      </c>
      <c r="C29838" s="1" t="s">
        <v>7329</v>
      </c>
      <c r="D29838" s="22" t="str">
        <f>HYPERLINK("https://rhld.insurance.arkansas.gov/NPILookup?Npi=1972012854","1972012854")</f>
        <v>1972012854</v>
      </c>
      <c r="E29838" s="1" t="s">
        <v>29434</v>
      </c>
      <c r="F29838" s="2"/>
      <c r="G29838" s="2"/>
      <c r="H29838" s="2"/>
    </row>
    <row r="29839" spans="1:8" x14ac:dyDescent="0.25">
      <c r="A29839" s="1"/>
      <c r="B29839" s="1" t="s">
        <v>7328</v>
      </c>
      <c r="C29839" s="1" t="s">
        <v>7329</v>
      </c>
      <c r="D29839" s="22" t="str">
        <f>HYPERLINK("https://rhld.insurance.arkansas.gov/NPILookup?Npi=1972016558","1972016558")</f>
        <v>1972016558</v>
      </c>
      <c r="E29839" s="1" t="s">
        <v>29435</v>
      </c>
      <c r="F29839" s="2"/>
      <c r="G29839" s="2"/>
      <c r="H29839" s="2"/>
    </row>
    <row r="29840" spans="1:8" x14ac:dyDescent="0.25">
      <c r="A29840" s="1"/>
      <c r="B29840" s="1" t="s">
        <v>7328</v>
      </c>
      <c r="C29840" s="1" t="s">
        <v>7329</v>
      </c>
      <c r="D29840" s="1" t="str">
        <f>HYPERLINK("https://rhld.insurance.arkansas.gov/NPILookup?Npi=1972025179","1972025179")</f>
        <v>1972025179</v>
      </c>
      <c r="E29840" s="1" t="s">
        <v>8237</v>
      </c>
      <c r="F29840" s="2"/>
      <c r="G29840" s="2"/>
      <c r="H29840" s="2"/>
    </row>
    <row r="29841" spans="1:8" x14ac:dyDescent="0.25">
      <c r="A29841" s="1"/>
      <c r="B29841" s="1" t="s">
        <v>7328</v>
      </c>
      <c r="C29841" s="1" t="s">
        <v>7329</v>
      </c>
      <c r="D29841" s="1" t="str">
        <f>HYPERLINK("https://rhld.insurance.arkansas.gov/NPILookup?Npi=1972034775","1972034775")</f>
        <v>1972034775</v>
      </c>
      <c r="E29841" s="1" t="s">
        <v>18047</v>
      </c>
      <c r="F29841" s="2"/>
      <c r="G29841" s="2"/>
      <c r="H29841" s="2"/>
    </row>
    <row r="29842" spans="1:8" x14ac:dyDescent="0.25">
      <c r="A29842" s="1"/>
      <c r="B29842" s="1" t="s">
        <v>7328</v>
      </c>
      <c r="C29842" s="1" t="s">
        <v>7329</v>
      </c>
      <c r="D29842" s="1" t="str">
        <f>HYPERLINK("https://rhld.insurance.arkansas.gov/NPILookup?Npi=1972036457","1972036457")</f>
        <v>1972036457</v>
      </c>
      <c r="E29842" s="1" t="s">
        <v>29436</v>
      </c>
      <c r="F29842" s="2"/>
      <c r="G29842" s="2"/>
      <c r="H29842" s="2"/>
    </row>
    <row r="29843" spans="1:8" x14ac:dyDescent="0.25">
      <c r="A29843" s="1"/>
      <c r="B29843" s="1" t="s">
        <v>7328</v>
      </c>
      <c r="C29843" s="1" t="s">
        <v>7329</v>
      </c>
      <c r="D29843" s="1" t="str">
        <f>HYPERLINK("https://rhld.insurance.arkansas.gov/NPILookup?Npi=1972042653","1972042653")</f>
        <v>1972042653</v>
      </c>
      <c r="E29843" s="1" t="s">
        <v>8238</v>
      </c>
      <c r="F29843" s="2"/>
      <c r="G29843" s="2"/>
      <c r="H29843" s="2"/>
    </row>
    <row r="29844" spans="1:8" x14ac:dyDescent="0.25">
      <c r="A29844" s="1"/>
      <c r="B29844" s="1" t="s">
        <v>7328</v>
      </c>
      <c r="C29844" s="1" t="s">
        <v>7329</v>
      </c>
      <c r="D29844" s="1" t="str">
        <f>HYPERLINK("https://rhld.insurance.arkansas.gov/NPILookup?Npi=1972055184","1972055184")</f>
        <v>1972055184</v>
      </c>
      <c r="E29844" s="1" t="s">
        <v>29437</v>
      </c>
      <c r="F29844" s="2"/>
      <c r="G29844" s="2"/>
      <c r="H29844" s="2"/>
    </row>
    <row r="29845" spans="1:8" x14ac:dyDescent="0.25">
      <c r="A29845" s="1"/>
      <c r="B29845" s="1" t="s">
        <v>7328</v>
      </c>
      <c r="C29845" s="1" t="s">
        <v>7329</v>
      </c>
      <c r="D29845" s="1" t="str">
        <f>HYPERLINK("https://rhld.insurance.arkansas.gov/NPILookup?Npi=1972064277","1972064277")</f>
        <v>1972064277</v>
      </c>
      <c r="E29845" s="1" t="s">
        <v>2431</v>
      </c>
      <c r="F29845" s="2"/>
      <c r="G29845" s="2"/>
      <c r="H29845" s="2"/>
    </row>
    <row r="29846" spans="1:8" x14ac:dyDescent="0.25">
      <c r="A29846" s="1"/>
      <c r="B29846" s="1" t="s">
        <v>7328</v>
      </c>
      <c r="C29846" s="1" t="s">
        <v>7329</v>
      </c>
      <c r="D29846" s="1" t="str">
        <f>HYPERLINK("https://rhld.insurance.arkansas.gov/NPILookup?Npi=1972075141","1972075141")</f>
        <v>1972075141</v>
      </c>
      <c r="E29846" s="1" t="s">
        <v>29438</v>
      </c>
      <c r="F29846" s="2"/>
      <c r="G29846" s="2"/>
      <c r="H29846" s="2"/>
    </row>
    <row r="29847" spans="1:8" x14ac:dyDescent="0.25">
      <c r="A29847" s="1"/>
      <c r="B29847" s="1" t="s">
        <v>7328</v>
      </c>
      <c r="C29847" s="1" t="s">
        <v>7329</v>
      </c>
      <c r="D29847" s="1" t="str">
        <f>HYPERLINK("https://rhld.insurance.arkansas.gov/NPILookup?Npi=1972094225","1972094225")</f>
        <v>1972094225</v>
      </c>
      <c r="E29847" s="1" t="s">
        <v>1647</v>
      </c>
      <c r="F29847" s="2"/>
      <c r="G29847" s="2"/>
      <c r="H29847" s="2"/>
    </row>
    <row r="29848" spans="1:8" x14ac:dyDescent="0.25">
      <c r="A29848" s="1"/>
      <c r="B29848" s="1" t="s">
        <v>7328</v>
      </c>
      <c r="C29848" s="1" t="s">
        <v>7329</v>
      </c>
      <c r="D29848" s="1" t="str">
        <f>HYPERLINK("https://rhld.insurance.arkansas.gov/NPILookup?Npi=1972097491","1972097491")</f>
        <v>1972097491</v>
      </c>
      <c r="E29848" s="1" t="s">
        <v>29439</v>
      </c>
      <c r="F29848" s="2"/>
      <c r="G29848" s="2"/>
      <c r="H29848" s="2"/>
    </row>
    <row r="29849" spans="1:8" x14ac:dyDescent="0.25">
      <c r="A29849" s="1"/>
      <c r="B29849" s="1" t="s">
        <v>7328</v>
      </c>
      <c r="C29849" s="1" t="s">
        <v>7329</v>
      </c>
      <c r="D29849" s="1" t="str">
        <f>HYPERLINK("https://rhld.insurance.arkansas.gov/NPILookup?Npi=1972099059","1972099059")</f>
        <v>1972099059</v>
      </c>
      <c r="E29849" s="1" t="s">
        <v>29440</v>
      </c>
      <c r="F29849" s="2"/>
      <c r="G29849" s="2"/>
      <c r="H29849" s="2"/>
    </row>
    <row r="29850" spans="1:8" x14ac:dyDescent="0.25">
      <c r="A29850" s="1"/>
      <c r="B29850" s="1" t="s">
        <v>7328</v>
      </c>
      <c r="C29850" s="1" t="s">
        <v>7329</v>
      </c>
      <c r="D29850" s="1" t="str">
        <f>HYPERLINK("https://rhld.insurance.arkansas.gov/NPILookup?Npi=1972112720","1972112720")</f>
        <v>1972112720</v>
      </c>
      <c r="E29850" s="1" t="s">
        <v>2109</v>
      </c>
      <c r="F29850" s="2"/>
      <c r="G29850" s="2"/>
      <c r="H29850" s="2"/>
    </row>
    <row r="29851" spans="1:8" x14ac:dyDescent="0.25">
      <c r="A29851" s="1"/>
      <c r="B29851" s="1" t="s">
        <v>7328</v>
      </c>
      <c r="C29851" s="1" t="s">
        <v>7329</v>
      </c>
      <c r="D29851" s="1" t="str">
        <f>HYPERLINK("https://rhld.insurance.arkansas.gov/NPILookup?Npi=1972114981","1972114981")</f>
        <v>1972114981</v>
      </c>
      <c r="E29851" s="1" t="s">
        <v>29441</v>
      </c>
      <c r="F29851" s="2"/>
      <c r="G29851" s="2"/>
      <c r="H29851" s="2"/>
    </row>
    <row r="29852" spans="1:8" x14ac:dyDescent="0.25">
      <c r="A29852" s="1"/>
      <c r="B29852" s="1" t="s">
        <v>7328</v>
      </c>
      <c r="C29852" s="1" t="s">
        <v>7329</v>
      </c>
      <c r="D29852" s="1" t="str">
        <f>HYPERLINK("https://rhld.insurance.arkansas.gov/NPILookup?Npi=1972119527","1972119527")</f>
        <v>1972119527</v>
      </c>
      <c r="E29852" s="1" t="s">
        <v>29442</v>
      </c>
      <c r="F29852" s="2"/>
      <c r="G29852" s="2"/>
      <c r="H29852" s="2"/>
    </row>
    <row r="29853" spans="1:8" x14ac:dyDescent="0.25">
      <c r="A29853" s="1"/>
      <c r="B29853" s="1" t="s">
        <v>7328</v>
      </c>
      <c r="C29853" s="1" t="s">
        <v>7329</v>
      </c>
      <c r="D29853" s="1" t="str">
        <f>HYPERLINK("https://rhld.insurance.arkansas.gov/NPILookup?Npi=1972120665","1972120665")</f>
        <v>1972120665</v>
      </c>
      <c r="E29853" s="1" t="s">
        <v>29443</v>
      </c>
      <c r="F29853" s="2"/>
      <c r="G29853" s="2"/>
      <c r="H29853" s="2"/>
    </row>
    <row r="29854" spans="1:8" x14ac:dyDescent="0.25">
      <c r="A29854" s="1"/>
      <c r="B29854" s="1" t="s">
        <v>7328</v>
      </c>
      <c r="C29854" s="1" t="s">
        <v>7329</v>
      </c>
      <c r="D29854" s="1" t="str">
        <f>HYPERLINK("https://rhld.insurance.arkansas.gov/NPILookup?Npi=1972127793","1972127793")</f>
        <v>1972127793</v>
      </c>
      <c r="E29854" s="1" t="s">
        <v>29444</v>
      </c>
      <c r="F29854" s="2"/>
      <c r="G29854" s="2"/>
      <c r="H29854" s="2"/>
    </row>
    <row r="29855" spans="1:8" x14ac:dyDescent="0.25">
      <c r="A29855" s="1"/>
      <c r="B29855" s="1" t="s">
        <v>7328</v>
      </c>
      <c r="C29855" s="1" t="s">
        <v>7329</v>
      </c>
      <c r="D29855" s="1" t="str">
        <f>HYPERLINK("https://rhld.insurance.arkansas.gov/NPILookup?Npi=1972128940","1972128940")</f>
        <v>1972128940</v>
      </c>
      <c r="E29855" s="1" t="s">
        <v>2110</v>
      </c>
      <c r="F29855" s="2"/>
      <c r="G29855" s="2"/>
      <c r="H29855" s="2"/>
    </row>
    <row r="29856" spans="1:8" x14ac:dyDescent="0.25">
      <c r="A29856" s="1"/>
      <c r="B29856" s="1" t="s">
        <v>7328</v>
      </c>
      <c r="C29856" s="1" t="s">
        <v>7329</v>
      </c>
      <c r="D29856" s="1" t="str">
        <f>HYPERLINK("https://rhld.insurance.arkansas.gov/NPILookup?Npi=1972130078","1972130078")</f>
        <v>1972130078</v>
      </c>
      <c r="E29856" s="1" t="s">
        <v>29445</v>
      </c>
      <c r="F29856" s="2"/>
      <c r="G29856" s="2"/>
      <c r="H29856" s="2"/>
    </row>
    <row r="29857" spans="1:8" x14ac:dyDescent="0.25">
      <c r="A29857" s="1"/>
      <c r="B29857" s="1" t="s">
        <v>7328</v>
      </c>
      <c r="C29857" s="1" t="s">
        <v>7329</v>
      </c>
      <c r="D29857" s="1" t="str">
        <f>HYPERLINK("https://rhld.insurance.arkansas.gov/NPILookup?Npi=1972140630","1972140630")</f>
        <v>1972140630</v>
      </c>
      <c r="E29857" s="1" t="s">
        <v>29446</v>
      </c>
      <c r="F29857" s="2"/>
      <c r="G29857" s="2"/>
      <c r="H29857" s="2"/>
    </row>
    <row r="29858" spans="1:8" x14ac:dyDescent="0.25">
      <c r="A29858" s="1"/>
      <c r="B29858" s="1" t="s">
        <v>7328</v>
      </c>
      <c r="C29858" s="1" t="s">
        <v>7329</v>
      </c>
      <c r="D29858" s="1" t="str">
        <f>HYPERLINK("https://rhld.insurance.arkansas.gov/NPILookup?Npi=1972144475","1972144475")</f>
        <v>1972144475</v>
      </c>
      <c r="E29858" s="1" t="s">
        <v>8239</v>
      </c>
      <c r="F29858" s="2"/>
      <c r="G29858" s="2"/>
      <c r="H29858" s="2"/>
    </row>
    <row r="29859" spans="1:8" x14ac:dyDescent="0.25">
      <c r="A29859" s="1"/>
      <c r="B29859" s="1" t="s">
        <v>7328</v>
      </c>
      <c r="C29859" s="1" t="s">
        <v>7329</v>
      </c>
      <c r="D29859" s="1" t="str">
        <f>HYPERLINK("https://rhld.insurance.arkansas.gov/NPILookup?Npi=1972144608","1972144608")</f>
        <v>1972144608</v>
      </c>
      <c r="E29859" s="1" t="s">
        <v>32421</v>
      </c>
      <c r="F29859" s="2"/>
      <c r="G29859" s="2"/>
      <c r="H29859" s="2"/>
    </row>
    <row r="29860" spans="1:8" x14ac:dyDescent="0.25">
      <c r="A29860" s="1"/>
      <c r="B29860" s="1" t="s">
        <v>7328</v>
      </c>
      <c r="C29860" s="1" t="s">
        <v>7329</v>
      </c>
      <c r="D29860" s="1" t="str">
        <f>HYPERLINK("https://rhld.insurance.arkansas.gov/NPILookup?Npi=1972154185","1972154185")</f>
        <v>1972154185</v>
      </c>
      <c r="E29860" s="1" t="s">
        <v>29447</v>
      </c>
      <c r="F29860" s="2"/>
      <c r="G29860" s="2"/>
      <c r="H29860" s="2"/>
    </row>
    <row r="29861" spans="1:8" x14ac:dyDescent="0.25">
      <c r="A29861" s="1"/>
      <c r="B29861" s="1" t="s">
        <v>7328</v>
      </c>
      <c r="C29861" s="1" t="s">
        <v>7329</v>
      </c>
      <c r="D29861" s="1" t="str">
        <f>HYPERLINK("https://rhld.insurance.arkansas.gov/NPILookup?Npi=1972156545","1972156545")</f>
        <v>1972156545</v>
      </c>
      <c r="E29861" s="1" t="s">
        <v>13833</v>
      </c>
      <c r="F29861" s="2"/>
      <c r="G29861" s="2"/>
      <c r="H29861" s="2"/>
    </row>
    <row r="29862" spans="1:8" x14ac:dyDescent="0.25">
      <c r="A29862" s="1"/>
      <c r="B29862" s="1" t="s">
        <v>7328</v>
      </c>
      <c r="C29862" s="1" t="s">
        <v>7329</v>
      </c>
      <c r="D29862" s="1" t="str">
        <f>HYPERLINK("https://rhld.insurance.arkansas.gov/NPILookup?Npi=1972157410","1972157410")</f>
        <v>1972157410</v>
      </c>
      <c r="E29862" s="1" t="s">
        <v>13834</v>
      </c>
      <c r="F29862" s="2"/>
      <c r="G29862" s="2"/>
      <c r="H29862" s="2"/>
    </row>
    <row r="29863" spans="1:8" x14ac:dyDescent="0.25">
      <c r="A29863" s="1"/>
      <c r="B29863" s="1" t="s">
        <v>7328</v>
      </c>
      <c r="C29863" s="1" t="s">
        <v>7329</v>
      </c>
      <c r="D29863" s="1" t="str">
        <f>HYPERLINK("https://rhld.insurance.arkansas.gov/NPILookup?Npi=1972177251","1972177251")</f>
        <v>1972177251</v>
      </c>
      <c r="E29863" s="1" t="s">
        <v>29448</v>
      </c>
      <c r="F29863" s="2"/>
      <c r="G29863" s="2"/>
      <c r="H29863" s="2"/>
    </row>
    <row r="29864" spans="1:8" x14ac:dyDescent="0.25">
      <c r="A29864" s="1"/>
      <c r="B29864" s="1" t="s">
        <v>7328</v>
      </c>
      <c r="C29864" s="1" t="s">
        <v>7329</v>
      </c>
      <c r="D29864" s="1" t="str">
        <f>HYPERLINK("https://rhld.insurance.arkansas.gov/NPILookup?Npi=1972180370","1972180370")</f>
        <v>1972180370</v>
      </c>
      <c r="E29864" s="1" t="s">
        <v>32422</v>
      </c>
      <c r="F29864" s="2"/>
      <c r="G29864" s="2"/>
      <c r="H29864" s="2"/>
    </row>
    <row r="29865" spans="1:8" x14ac:dyDescent="0.25">
      <c r="A29865" s="1"/>
      <c r="B29865" s="1" t="s">
        <v>7328</v>
      </c>
      <c r="C29865" s="1" t="s">
        <v>7329</v>
      </c>
      <c r="D29865" s="1" t="str">
        <f>HYPERLINK("https://rhld.insurance.arkansas.gov/NPILookup?Npi=1972180438","1972180438")</f>
        <v>1972180438</v>
      </c>
      <c r="E29865" s="1" t="s">
        <v>4551</v>
      </c>
      <c r="F29865" s="2"/>
      <c r="G29865" s="2"/>
      <c r="H29865" s="2"/>
    </row>
    <row r="29866" spans="1:8" x14ac:dyDescent="0.25">
      <c r="A29866" s="1"/>
      <c r="B29866" s="1" t="s">
        <v>7328</v>
      </c>
      <c r="C29866" s="1" t="s">
        <v>7329</v>
      </c>
      <c r="D29866" s="1" t="str">
        <f>HYPERLINK("https://rhld.insurance.arkansas.gov/NPILookup?Npi=1972184562","1972184562")</f>
        <v>1972184562</v>
      </c>
      <c r="E29866" s="1" t="s">
        <v>29449</v>
      </c>
      <c r="F29866" s="2"/>
      <c r="G29866" s="2"/>
      <c r="H29866" s="2"/>
    </row>
    <row r="29867" spans="1:8" x14ac:dyDescent="0.25">
      <c r="A29867" s="1"/>
      <c r="B29867" s="1" t="s">
        <v>7328</v>
      </c>
      <c r="C29867" s="1" t="s">
        <v>7329</v>
      </c>
      <c r="D29867" s="1" t="str">
        <f>HYPERLINK("https://rhld.insurance.arkansas.gov/NPILookup?Npi=1972194678","1972194678")</f>
        <v>1972194678</v>
      </c>
      <c r="E29867" s="1" t="s">
        <v>8240</v>
      </c>
      <c r="F29867" s="2"/>
      <c r="G29867" s="2"/>
      <c r="H29867" s="2"/>
    </row>
    <row r="29868" spans="1:8" x14ac:dyDescent="0.25">
      <c r="A29868" s="1"/>
      <c r="B29868" s="1" t="s">
        <v>7328</v>
      </c>
      <c r="C29868" s="1" t="s">
        <v>7329</v>
      </c>
      <c r="D29868" s="1" t="str">
        <f>HYPERLINK("https://rhld.insurance.arkansas.gov/NPILookup?Npi=1972199644","1972199644")</f>
        <v>1972199644</v>
      </c>
      <c r="E29868" s="1" t="s">
        <v>29450</v>
      </c>
      <c r="F29868" s="2"/>
      <c r="G29868" s="2"/>
      <c r="H29868" s="2"/>
    </row>
    <row r="29869" spans="1:8" x14ac:dyDescent="0.25">
      <c r="A29869" s="1"/>
      <c r="B29869" s="1" t="s">
        <v>7328</v>
      </c>
      <c r="C29869" s="1" t="s">
        <v>7329</v>
      </c>
      <c r="D29869" s="1" t="str">
        <f>HYPERLINK("https://rhld.insurance.arkansas.gov/NPILookup?Npi=1972200038","1972200038")</f>
        <v>1972200038</v>
      </c>
      <c r="E29869" s="1" t="s">
        <v>8241</v>
      </c>
      <c r="F29869" s="2"/>
      <c r="G29869" s="2"/>
      <c r="H29869" s="2"/>
    </row>
    <row r="29870" spans="1:8" x14ac:dyDescent="0.25">
      <c r="A29870" s="1"/>
      <c r="B29870" s="1" t="s">
        <v>7328</v>
      </c>
      <c r="C29870" s="1" t="s">
        <v>7329</v>
      </c>
      <c r="D29870" s="1" t="str">
        <f>HYPERLINK("https://rhld.insurance.arkansas.gov/NPILookup?Npi=1972207264","1972207264")</f>
        <v>1972207264</v>
      </c>
      <c r="E29870" s="1" t="s">
        <v>8242</v>
      </c>
      <c r="F29870" s="2"/>
      <c r="G29870" s="2"/>
      <c r="H29870" s="2"/>
    </row>
    <row r="29871" spans="1:8" x14ac:dyDescent="0.25">
      <c r="A29871" s="1"/>
      <c r="B29871" s="1" t="s">
        <v>7328</v>
      </c>
      <c r="C29871" s="1" t="s">
        <v>7329</v>
      </c>
      <c r="D29871" s="1" t="str">
        <f>HYPERLINK("https://rhld.insurance.arkansas.gov/NPILookup?Npi=1972215622","1972215622")</f>
        <v>1972215622</v>
      </c>
      <c r="E29871" s="1" t="s">
        <v>29451</v>
      </c>
      <c r="F29871" s="2"/>
      <c r="G29871" s="2"/>
      <c r="H29871" s="2"/>
    </row>
    <row r="29872" spans="1:8" x14ac:dyDescent="0.25">
      <c r="A29872" s="1"/>
      <c r="B29872" s="1" t="s">
        <v>7328</v>
      </c>
      <c r="C29872" s="1" t="s">
        <v>7329</v>
      </c>
      <c r="D29872" s="1" t="str">
        <f>HYPERLINK("https://rhld.insurance.arkansas.gov/NPILookup?Npi=1972218964","1972218964")</f>
        <v>1972218964</v>
      </c>
      <c r="E29872" s="1" t="s">
        <v>2432</v>
      </c>
      <c r="F29872" s="2"/>
      <c r="G29872" s="2"/>
      <c r="H29872" s="2"/>
    </row>
    <row r="29873" spans="1:8" x14ac:dyDescent="0.25">
      <c r="A29873" s="1"/>
      <c r="B29873" s="1" t="s">
        <v>7328</v>
      </c>
      <c r="C29873" s="1" t="s">
        <v>7329</v>
      </c>
      <c r="D29873" s="1" t="str">
        <f>HYPERLINK("https://rhld.insurance.arkansas.gov/NPILookup?Npi=1972237154","1972237154")</f>
        <v>1972237154</v>
      </c>
      <c r="E29873" s="1" t="s">
        <v>8243</v>
      </c>
      <c r="F29873" s="2"/>
      <c r="G29873" s="2"/>
      <c r="H29873" s="2"/>
    </row>
    <row r="29874" spans="1:8" x14ac:dyDescent="0.25">
      <c r="A29874" s="1"/>
      <c r="B29874" s="1" t="s">
        <v>7328</v>
      </c>
      <c r="C29874" s="1" t="s">
        <v>7329</v>
      </c>
      <c r="D29874" s="1" t="str">
        <f>HYPERLINK("https://rhld.insurance.arkansas.gov/NPILookup?Npi=1972254183","1972254183")</f>
        <v>1972254183</v>
      </c>
      <c r="E29874" s="1" t="s">
        <v>8244</v>
      </c>
      <c r="F29874" s="2"/>
      <c r="G29874" s="2"/>
      <c r="H29874" s="2"/>
    </row>
    <row r="29875" spans="1:8" x14ac:dyDescent="0.25">
      <c r="A29875" s="1"/>
      <c r="B29875" s="1" t="s">
        <v>7328</v>
      </c>
      <c r="C29875" s="1" t="s">
        <v>7329</v>
      </c>
      <c r="D29875" s="1" t="str">
        <f>HYPERLINK("https://rhld.insurance.arkansas.gov/NPILookup?Npi=1972258721","1972258721")</f>
        <v>1972258721</v>
      </c>
      <c r="E29875" s="1" t="s">
        <v>630</v>
      </c>
      <c r="F29875" s="2"/>
      <c r="G29875" s="2"/>
      <c r="H29875" s="2"/>
    </row>
    <row r="29876" spans="1:8" x14ac:dyDescent="0.25">
      <c r="A29876" s="1"/>
      <c r="B29876" s="1" t="s">
        <v>7328</v>
      </c>
      <c r="C29876" s="1" t="s">
        <v>7329</v>
      </c>
      <c r="D29876" s="1" t="str">
        <f>HYPERLINK("https://rhld.insurance.arkansas.gov/NPILookup?Npi=1972260545","1972260545")</f>
        <v>1972260545</v>
      </c>
      <c r="E29876" s="1" t="s">
        <v>32423</v>
      </c>
      <c r="F29876" s="2"/>
      <c r="G29876" s="2"/>
      <c r="H29876" s="2"/>
    </row>
    <row r="29877" spans="1:8" x14ac:dyDescent="0.25">
      <c r="A29877" s="1"/>
      <c r="B29877" s="1" t="s">
        <v>7328</v>
      </c>
      <c r="C29877" s="1" t="s">
        <v>7329</v>
      </c>
      <c r="D29877" s="1" t="str">
        <f>HYPERLINK("https://rhld.insurance.arkansas.gov/NPILookup?Npi=1972269785","1972269785")</f>
        <v>1972269785</v>
      </c>
      <c r="E29877" s="1" t="s">
        <v>29452</v>
      </c>
      <c r="F29877" s="2"/>
      <c r="G29877" s="2"/>
      <c r="H29877" s="2"/>
    </row>
    <row r="29878" spans="1:8" x14ac:dyDescent="0.25">
      <c r="A29878" s="1"/>
      <c r="B29878" s="1" t="s">
        <v>7328</v>
      </c>
      <c r="C29878" s="1" t="s">
        <v>7329</v>
      </c>
      <c r="D29878" s="1" t="str">
        <f>HYPERLINK("https://rhld.insurance.arkansas.gov/NPILookup?Npi=1972270445","1972270445")</f>
        <v>1972270445</v>
      </c>
      <c r="E29878" s="1" t="s">
        <v>8245</v>
      </c>
      <c r="F29878" s="2"/>
      <c r="G29878" s="2"/>
      <c r="H29878" s="2"/>
    </row>
    <row r="29879" spans="1:8" x14ac:dyDescent="0.25">
      <c r="A29879" s="1"/>
      <c r="B29879" s="1" t="s">
        <v>7328</v>
      </c>
      <c r="C29879" s="1" t="s">
        <v>7329</v>
      </c>
      <c r="D29879" s="1" t="str">
        <f>HYPERLINK("https://rhld.insurance.arkansas.gov/NPILookup?Npi=1972271369","1972271369")</f>
        <v>1972271369</v>
      </c>
      <c r="E29879" s="1" t="s">
        <v>29453</v>
      </c>
      <c r="F29879" s="2"/>
      <c r="G29879" s="2"/>
      <c r="H29879" s="2"/>
    </row>
    <row r="29880" spans="1:8" x14ac:dyDescent="0.25">
      <c r="A29880" s="1"/>
      <c r="B29880" s="1" t="s">
        <v>7328</v>
      </c>
      <c r="C29880" s="1" t="s">
        <v>7329</v>
      </c>
      <c r="D29880" s="1" t="str">
        <f>HYPERLINK("https://rhld.insurance.arkansas.gov/NPILookup?Npi=1972284107","1972284107")</f>
        <v>1972284107</v>
      </c>
      <c r="E29880" s="1" t="s">
        <v>32424</v>
      </c>
      <c r="F29880" s="2"/>
      <c r="G29880" s="2"/>
      <c r="H29880" s="2"/>
    </row>
    <row r="29881" spans="1:8" x14ac:dyDescent="0.25">
      <c r="A29881" s="1"/>
      <c r="B29881" s="1" t="s">
        <v>7328</v>
      </c>
      <c r="C29881" s="1" t="s">
        <v>7329</v>
      </c>
      <c r="D29881" s="1" t="str">
        <f>HYPERLINK("https://rhld.insurance.arkansas.gov/NPILookup?Npi=1972287415","1972287415")</f>
        <v>1972287415</v>
      </c>
      <c r="E29881" s="1" t="s">
        <v>8246</v>
      </c>
      <c r="F29881" s="2"/>
      <c r="G29881" s="2"/>
      <c r="H29881" s="2"/>
    </row>
    <row r="29882" spans="1:8" x14ac:dyDescent="0.25">
      <c r="A29882" s="1"/>
      <c r="B29882" s="1" t="s">
        <v>7328</v>
      </c>
      <c r="C29882" s="1" t="s">
        <v>7329</v>
      </c>
      <c r="D29882" s="1" t="str">
        <f>HYPERLINK("https://rhld.insurance.arkansas.gov/NPILookup?Npi=1972288157","1972288157")</f>
        <v>1972288157</v>
      </c>
      <c r="E29882" s="1" t="s">
        <v>8247</v>
      </c>
      <c r="F29882" s="2"/>
      <c r="G29882" s="2"/>
      <c r="H29882" s="2"/>
    </row>
    <row r="29883" spans="1:8" x14ac:dyDescent="0.25">
      <c r="A29883" s="1"/>
      <c r="B29883" s="1" t="s">
        <v>7328</v>
      </c>
      <c r="C29883" s="1" t="s">
        <v>7329</v>
      </c>
      <c r="D29883" s="1" t="str">
        <f>HYPERLINK("https://rhld.insurance.arkansas.gov/NPILookup?Npi=1972289353","1972289353")</f>
        <v>1972289353</v>
      </c>
      <c r="E29883" s="1" t="s">
        <v>4294</v>
      </c>
      <c r="F29883" s="2"/>
      <c r="G29883" s="2"/>
      <c r="H29883" s="2"/>
    </row>
    <row r="29884" spans="1:8" x14ac:dyDescent="0.25">
      <c r="A29884" s="1"/>
      <c r="B29884" s="1" t="s">
        <v>7328</v>
      </c>
      <c r="C29884" s="1" t="s">
        <v>7329</v>
      </c>
      <c r="D29884" s="1" t="str">
        <f>HYPERLINK("https://rhld.insurance.arkansas.gov/NPILookup?Npi=1972322337","1972322337")</f>
        <v>1972322337</v>
      </c>
      <c r="E29884" s="1" t="s">
        <v>29454</v>
      </c>
      <c r="F29884" s="2"/>
      <c r="G29884" s="2"/>
      <c r="H29884" s="2"/>
    </row>
    <row r="29885" spans="1:8" x14ac:dyDescent="0.25">
      <c r="A29885" s="1"/>
      <c r="B29885" s="1" t="s">
        <v>7328</v>
      </c>
      <c r="C29885" s="1" t="s">
        <v>7329</v>
      </c>
      <c r="D29885" s="1" t="str">
        <f>HYPERLINK("https://rhld.insurance.arkansas.gov/NPILookup?Npi=1972373637","1972373637")</f>
        <v>1972373637</v>
      </c>
      <c r="E29885" s="1" t="s">
        <v>13835</v>
      </c>
      <c r="F29885" s="2"/>
      <c r="G29885" s="2"/>
      <c r="H29885" s="2"/>
    </row>
    <row r="29886" spans="1:8" x14ac:dyDescent="0.25">
      <c r="A29886" s="1"/>
      <c r="B29886" s="1" t="s">
        <v>7328</v>
      </c>
      <c r="C29886" s="1" t="s">
        <v>7329</v>
      </c>
      <c r="D29886" s="1" t="str">
        <f>HYPERLINK("https://rhld.insurance.arkansas.gov/NPILookup?Npi=1972501815","1972501815")</f>
        <v>1972501815</v>
      </c>
      <c r="E29886" s="1" t="s">
        <v>29455</v>
      </c>
      <c r="F29886" s="2"/>
      <c r="G29886" s="2"/>
      <c r="H29886" s="2"/>
    </row>
    <row r="29887" spans="1:8" x14ac:dyDescent="0.25">
      <c r="A29887" s="1"/>
      <c r="B29887" s="1" t="s">
        <v>7328</v>
      </c>
      <c r="C29887" s="1" t="s">
        <v>7329</v>
      </c>
      <c r="D29887" s="1" t="str">
        <f>HYPERLINK("https://rhld.insurance.arkansas.gov/NPILookup?Npi=1972503399","1972503399")</f>
        <v>1972503399</v>
      </c>
      <c r="E29887" s="1" t="s">
        <v>29456</v>
      </c>
      <c r="F29887" s="2"/>
      <c r="G29887" s="2"/>
      <c r="H29887" s="2"/>
    </row>
    <row r="29888" spans="1:8" x14ac:dyDescent="0.25">
      <c r="A29888" s="1"/>
      <c r="B29888" s="1" t="s">
        <v>7328</v>
      </c>
      <c r="C29888" s="1" t="s">
        <v>7329</v>
      </c>
      <c r="D29888" s="1" t="str">
        <f>HYPERLINK("https://rhld.insurance.arkansas.gov/NPILookup?Npi=1972508984","1972508984")</f>
        <v>1972508984</v>
      </c>
      <c r="E29888" s="1" t="s">
        <v>29457</v>
      </c>
      <c r="F29888" s="2"/>
      <c r="G29888" s="2"/>
      <c r="H29888" s="2"/>
    </row>
    <row r="29889" spans="1:8" x14ac:dyDescent="0.25">
      <c r="A29889" s="1"/>
      <c r="B29889" s="1" t="s">
        <v>7328</v>
      </c>
      <c r="C29889" s="1" t="s">
        <v>7329</v>
      </c>
      <c r="D29889" s="1" t="str">
        <f>HYPERLINK("https://rhld.insurance.arkansas.gov/NPILookup?Npi=1972532570","1972532570")</f>
        <v>1972532570</v>
      </c>
      <c r="E29889" s="1" t="s">
        <v>29458</v>
      </c>
      <c r="F29889" s="2"/>
      <c r="G29889" s="2"/>
      <c r="H29889" s="2"/>
    </row>
    <row r="29890" spans="1:8" x14ac:dyDescent="0.25">
      <c r="A29890" s="1"/>
      <c r="B29890" s="1" t="s">
        <v>7328</v>
      </c>
      <c r="C29890" s="1" t="s">
        <v>7329</v>
      </c>
      <c r="D29890" s="1" t="str">
        <f>HYPERLINK("https://rhld.insurance.arkansas.gov/NPILookup?Npi=1972545028","1972545028")</f>
        <v>1972545028</v>
      </c>
      <c r="E29890" s="1" t="s">
        <v>3102</v>
      </c>
      <c r="F29890" s="2"/>
      <c r="G29890" s="2"/>
      <c r="H29890" s="2"/>
    </row>
    <row r="29891" spans="1:8" x14ac:dyDescent="0.25">
      <c r="A29891" s="1"/>
      <c r="B29891" s="1" t="s">
        <v>7328</v>
      </c>
      <c r="C29891" s="1" t="s">
        <v>7329</v>
      </c>
      <c r="D29891" s="1" t="str">
        <f>HYPERLINK("https://rhld.insurance.arkansas.gov/NPILookup?Npi=1972551364","1972551364")</f>
        <v>1972551364</v>
      </c>
      <c r="E29891" s="1" t="s">
        <v>13836</v>
      </c>
      <c r="F29891" s="2"/>
      <c r="G29891" s="2"/>
      <c r="H29891" s="2"/>
    </row>
    <row r="29892" spans="1:8" x14ac:dyDescent="0.25">
      <c r="A29892" s="1"/>
      <c r="B29892" s="1" t="s">
        <v>7328</v>
      </c>
      <c r="C29892" s="1" t="s">
        <v>7329</v>
      </c>
      <c r="D29892" s="1" t="str">
        <f>HYPERLINK("https://rhld.insurance.arkansas.gov/NPILookup?Npi=1972557114","1972557114")</f>
        <v>1972557114</v>
      </c>
      <c r="E29892" s="1" t="s">
        <v>29460</v>
      </c>
      <c r="F29892" s="2"/>
      <c r="G29892" s="2"/>
      <c r="H29892" s="2"/>
    </row>
    <row r="29893" spans="1:8" x14ac:dyDescent="0.25">
      <c r="A29893" s="1"/>
      <c r="B29893" s="1" t="s">
        <v>7328</v>
      </c>
      <c r="C29893" s="1" t="s">
        <v>7329</v>
      </c>
      <c r="D29893" s="1" t="str">
        <f>HYPERLINK("https://rhld.insurance.arkansas.gov/NPILookup?Npi=1972562114","1972562114")</f>
        <v>1972562114</v>
      </c>
      <c r="E29893" s="1" t="s">
        <v>8248</v>
      </c>
      <c r="F29893" s="2"/>
      <c r="G29893" s="2"/>
      <c r="H29893" s="2"/>
    </row>
    <row r="29894" spans="1:8" x14ac:dyDescent="0.25">
      <c r="A29894" s="1"/>
      <c r="B29894" s="1" t="s">
        <v>7328</v>
      </c>
      <c r="C29894" s="1" t="s">
        <v>7329</v>
      </c>
      <c r="D29894" s="1" t="str">
        <f>HYPERLINK("https://rhld.insurance.arkansas.gov/NPILookup?Npi=1972563773","1972563773")</f>
        <v>1972563773</v>
      </c>
      <c r="E29894" s="1" t="s">
        <v>18048</v>
      </c>
      <c r="F29894" s="2"/>
      <c r="G29894" s="2"/>
      <c r="H29894" s="2"/>
    </row>
    <row r="29895" spans="1:8" x14ac:dyDescent="0.25">
      <c r="A29895" s="1"/>
      <c r="B29895" s="1" t="s">
        <v>7328</v>
      </c>
      <c r="C29895" s="1" t="s">
        <v>7329</v>
      </c>
      <c r="D29895" s="1" t="str">
        <f>HYPERLINK("https://rhld.insurance.arkansas.gov/NPILookup?Npi=1972564003","1972564003")</f>
        <v>1972564003</v>
      </c>
      <c r="E29895" s="1" t="s">
        <v>909</v>
      </c>
      <c r="F29895" s="2"/>
      <c r="G29895" s="2"/>
      <c r="H29895" s="2"/>
    </row>
    <row r="29896" spans="1:8" x14ac:dyDescent="0.25">
      <c r="A29896" s="1"/>
      <c r="B29896" s="1" t="s">
        <v>7328</v>
      </c>
      <c r="C29896" s="1" t="s">
        <v>7329</v>
      </c>
      <c r="D29896" s="1" t="str">
        <f>HYPERLINK("https://rhld.insurance.arkansas.gov/NPILookup?Npi=1972567758","1972567758")</f>
        <v>1972567758</v>
      </c>
      <c r="E29896" s="1" t="s">
        <v>29461</v>
      </c>
      <c r="F29896" s="2"/>
      <c r="G29896" s="2"/>
      <c r="H29896" s="2"/>
    </row>
    <row r="29897" spans="1:8" x14ac:dyDescent="0.25">
      <c r="A29897" s="1"/>
      <c r="B29897" s="1" t="s">
        <v>7328</v>
      </c>
      <c r="C29897" s="1" t="s">
        <v>7329</v>
      </c>
      <c r="D29897" s="1" t="str">
        <f>HYPERLINK("https://rhld.insurance.arkansas.gov/NPILookup?Npi=1972582120","1972582120")</f>
        <v>1972582120</v>
      </c>
      <c r="E29897" s="1" t="s">
        <v>10491</v>
      </c>
      <c r="F29897" s="2"/>
      <c r="G29897" s="2"/>
      <c r="H29897" s="2"/>
    </row>
    <row r="29898" spans="1:8" x14ac:dyDescent="0.25">
      <c r="A29898" s="1"/>
      <c r="B29898" s="1" t="s">
        <v>7328</v>
      </c>
      <c r="C29898" s="1" t="s">
        <v>7329</v>
      </c>
      <c r="D29898" s="1" t="str">
        <f>HYPERLINK("https://rhld.insurance.arkansas.gov/NPILookup?Npi=1972582260","1972582260")</f>
        <v>1972582260</v>
      </c>
      <c r="E29898" s="1" t="s">
        <v>8249</v>
      </c>
      <c r="F29898" s="2"/>
      <c r="G29898" s="2"/>
      <c r="H29898" s="2"/>
    </row>
    <row r="29899" spans="1:8" x14ac:dyDescent="0.25">
      <c r="A29899" s="1"/>
      <c r="B29899" s="1" t="s">
        <v>7328</v>
      </c>
      <c r="C29899" s="1" t="s">
        <v>7329</v>
      </c>
      <c r="D29899" s="1" t="str">
        <f>HYPERLINK("https://rhld.insurance.arkansas.gov/NPILookup?Npi=1972582534","1972582534")</f>
        <v>1972582534</v>
      </c>
      <c r="E29899" s="1" t="s">
        <v>29462</v>
      </c>
      <c r="F29899" s="2"/>
      <c r="G29899" s="2"/>
      <c r="H29899" s="2"/>
    </row>
    <row r="29900" spans="1:8" x14ac:dyDescent="0.25">
      <c r="A29900" s="1"/>
      <c r="B29900" s="1" t="s">
        <v>7328</v>
      </c>
      <c r="C29900" s="1" t="s">
        <v>7329</v>
      </c>
      <c r="D29900" s="1" t="str">
        <f>HYPERLINK("https://rhld.insurance.arkansas.gov/NPILookup?Npi=1972588457","1972588457")</f>
        <v>1972588457</v>
      </c>
      <c r="E29900" s="1" t="s">
        <v>3103</v>
      </c>
      <c r="F29900" s="2"/>
      <c r="G29900" s="2"/>
      <c r="H29900" s="2"/>
    </row>
    <row r="29901" spans="1:8" x14ac:dyDescent="0.25">
      <c r="A29901" s="1"/>
      <c r="B29901" s="1" t="s">
        <v>7328</v>
      </c>
      <c r="C29901" s="1" t="s">
        <v>7329</v>
      </c>
      <c r="D29901" s="1" t="str">
        <f>HYPERLINK("https://rhld.insurance.arkansas.gov/NPILookup?Npi=1972596542","1972596542")</f>
        <v>1972596542</v>
      </c>
      <c r="E29901" s="1" t="s">
        <v>29463</v>
      </c>
      <c r="F29901" s="2"/>
      <c r="G29901" s="2"/>
      <c r="H29901" s="2"/>
    </row>
    <row r="29902" spans="1:8" x14ac:dyDescent="0.25">
      <c r="A29902" s="1"/>
      <c r="B29902" s="1" t="s">
        <v>7328</v>
      </c>
      <c r="C29902" s="1" t="s">
        <v>7329</v>
      </c>
      <c r="D29902" s="1" t="str">
        <f>HYPERLINK("https://rhld.insurance.arkansas.gov/NPILookup?Npi=1972598837","1972598837")</f>
        <v>1972598837</v>
      </c>
      <c r="E29902" s="1" t="s">
        <v>29464</v>
      </c>
      <c r="F29902" s="2"/>
      <c r="G29902" s="2"/>
      <c r="H29902" s="2"/>
    </row>
    <row r="29903" spans="1:8" x14ac:dyDescent="0.25">
      <c r="A29903" s="1"/>
      <c r="B29903" s="1" t="s">
        <v>7328</v>
      </c>
      <c r="C29903" s="1" t="s">
        <v>7329</v>
      </c>
      <c r="D29903" s="1" t="str">
        <f>HYPERLINK("https://rhld.insurance.arkansas.gov/NPILookup?Npi=1972605699","1972605699")</f>
        <v>1972605699</v>
      </c>
      <c r="E29903" s="1" t="s">
        <v>29465</v>
      </c>
      <c r="F29903" s="2"/>
      <c r="G29903" s="2"/>
      <c r="H29903" s="2"/>
    </row>
    <row r="29904" spans="1:8" x14ac:dyDescent="0.25">
      <c r="A29904" s="1"/>
      <c r="B29904" s="1" t="s">
        <v>7328</v>
      </c>
      <c r="C29904" s="1" t="s">
        <v>7329</v>
      </c>
      <c r="D29904" s="1" t="str">
        <f>HYPERLINK("https://rhld.insurance.arkansas.gov/NPILookup?Npi=1972617280","1972617280")</f>
        <v>1972617280</v>
      </c>
      <c r="E29904" s="1" t="s">
        <v>12046</v>
      </c>
      <c r="F29904" s="2"/>
      <c r="G29904" s="2"/>
      <c r="H29904" s="2"/>
    </row>
    <row r="29905" spans="1:8" x14ac:dyDescent="0.25">
      <c r="A29905" s="1"/>
      <c r="B29905" s="1" t="s">
        <v>7328</v>
      </c>
      <c r="C29905" s="1" t="s">
        <v>7329</v>
      </c>
      <c r="D29905" s="1" t="str">
        <f>HYPERLINK("https://rhld.insurance.arkansas.gov/NPILookup?Npi=1972617397","1972617397")</f>
        <v>1972617397</v>
      </c>
      <c r="E29905" s="1" t="s">
        <v>13837</v>
      </c>
      <c r="F29905" s="2"/>
      <c r="G29905" s="2"/>
      <c r="H29905" s="2"/>
    </row>
    <row r="29906" spans="1:8" x14ac:dyDescent="0.25">
      <c r="A29906" s="1"/>
      <c r="B29906" s="1" t="s">
        <v>7328</v>
      </c>
      <c r="C29906" s="1" t="s">
        <v>7329</v>
      </c>
      <c r="D29906" s="1" t="str">
        <f>HYPERLINK("https://rhld.insurance.arkansas.gov/NPILookup?Npi=1972622652","1972622652")</f>
        <v>1972622652</v>
      </c>
      <c r="E29906" s="1" t="s">
        <v>29466</v>
      </c>
      <c r="F29906" s="2"/>
      <c r="G29906" s="2"/>
      <c r="H29906" s="2"/>
    </row>
    <row r="29907" spans="1:8" x14ac:dyDescent="0.25">
      <c r="A29907" s="1"/>
      <c r="B29907" s="1" t="s">
        <v>7328</v>
      </c>
      <c r="C29907" s="1" t="s">
        <v>7329</v>
      </c>
      <c r="D29907" s="1" t="str">
        <f>HYPERLINK("https://rhld.insurance.arkansas.gov/NPILookup?Npi=1972644391","1972644391")</f>
        <v>1972644391</v>
      </c>
      <c r="E29907" s="1" t="s">
        <v>13838</v>
      </c>
      <c r="F29907" s="2"/>
      <c r="G29907" s="2"/>
      <c r="H29907" s="2"/>
    </row>
    <row r="29908" spans="1:8" x14ac:dyDescent="0.25">
      <c r="A29908" s="1"/>
      <c r="B29908" s="1" t="s">
        <v>7328</v>
      </c>
      <c r="C29908" s="1" t="s">
        <v>7329</v>
      </c>
      <c r="D29908" s="1" t="str">
        <f>HYPERLINK("https://rhld.insurance.arkansas.gov/NPILookup?Npi=1972658771","1972658771")</f>
        <v>1972658771</v>
      </c>
      <c r="E29908" s="1" t="s">
        <v>910</v>
      </c>
      <c r="F29908" s="2"/>
      <c r="G29908" s="2"/>
      <c r="H29908" s="2"/>
    </row>
    <row r="29909" spans="1:8" x14ac:dyDescent="0.25">
      <c r="A29909" s="1"/>
      <c r="B29909" s="1" t="s">
        <v>7328</v>
      </c>
      <c r="C29909" s="1" t="s">
        <v>7329</v>
      </c>
      <c r="D29909" s="1" t="str">
        <f>HYPERLINK("https://rhld.insurance.arkansas.gov/NPILookup?Npi=1972659241","1972659241")</f>
        <v>1972659241</v>
      </c>
      <c r="E29909" s="1" t="s">
        <v>3105</v>
      </c>
      <c r="F29909" s="2"/>
      <c r="G29909" s="2"/>
      <c r="H29909" s="2"/>
    </row>
    <row r="29910" spans="1:8" x14ac:dyDescent="0.25">
      <c r="A29910" s="1"/>
      <c r="B29910" s="1" t="s">
        <v>7328</v>
      </c>
      <c r="C29910" s="1" t="s">
        <v>7329</v>
      </c>
      <c r="D29910" s="1" t="str">
        <f>HYPERLINK("https://rhld.insurance.arkansas.gov/NPILookup?Npi=1972666147","1972666147")</f>
        <v>1972666147</v>
      </c>
      <c r="E29910" s="1" t="s">
        <v>18050</v>
      </c>
      <c r="F29910" s="2"/>
      <c r="G29910" s="2"/>
      <c r="H29910" s="2"/>
    </row>
    <row r="29911" spans="1:8" x14ac:dyDescent="0.25">
      <c r="A29911" s="1"/>
      <c r="B29911" s="1" t="s">
        <v>7328</v>
      </c>
      <c r="C29911" s="1" t="s">
        <v>7329</v>
      </c>
      <c r="D29911" s="1" t="str">
        <f>HYPERLINK("https://rhld.insurance.arkansas.gov/NPILookup?Npi=1972672897","1972672897")</f>
        <v>1972672897</v>
      </c>
      <c r="E29911" s="1" t="s">
        <v>29467</v>
      </c>
      <c r="F29911" s="2"/>
      <c r="G29911" s="2"/>
      <c r="H29911" s="2"/>
    </row>
    <row r="29912" spans="1:8" x14ac:dyDescent="0.25">
      <c r="A29912" s="1"/>
      <c r="B29912" s="1" t="s">
        <v>7328</v>
      </c>
      <c r="C29912" s="1" t="s">
        <v>7329</v>
      </c>
      <c r="D29912" s="1" t="str">
        <f>HYPERLINK("https://rhld.insurance.arkansas.gov/NPILookup?Npi=1972685576","1972685576")</f>
        <v>1972685576</v>
      </c>
      <c r="E29912" s="1" t="s">
        <v>29468</v>
      </c>
      <c r="F29912" s="2"/>
      <c r="G29912" s="2"/>
      <c r="H29912" s="2"/>
    </row>
    <row r="29913" spans="1:8" x14ac:dyDescent="0.25">
      <c r="A29913" s="1"/>
      <c r="B29913" s="1" t="s">
        <v>7328</v>
      </c>
      <c r="C29913" s="1" t="s">
        <v>7329</v>
      </c>
      <c r="D29913" s="1" t="str">
        <f>HYPERLINK("https://rhld.insurance.arkansas.gov/NPILookup?Npi=1972690741","1972690741")</f>
        <v>1972690741</v>
      </c>
      <c r="E29913" s="1" t="s">
        <v>13839</v>
      </c>
      <c r="F29913" s="2"/>
      <c r="G29913" s="2"/>
      <c r="H29913" s="2"/>
    </row>
    <row r="29914" spans="1:8" x14ac:dyDescent="0.25">
      <c r="A29914" s="1"/>
      <c r="B29914" s="1" t="s">
        <v>7328</v>
      </c>
      <c r="C29914" s="1" t="s">
        <v>7329</v>
      </c>
      <c r="D29914" s="1" t="str">
        <f>HYPERLINK("https://rhld.insurance.arkansas.gov/NPILookup?Npi=1972702041","1972702041")</f>
        <v>1972702041</v>
      </c>
      <c r="E29914" s="1" t="s">
        <v>29469</v>
      </c>
      <c r="F29914" s="2"/>
      <c r="G29914" s="2"/>
      <c r="H29914" s="2"/>
    </row>
    <row r="29915" spans="1:8" x14ac:dyDescent="0.25">
      <c r="A29915" s="1"/>
      <c r="B29915" s="1" t="s">
        <v>7328</v>
      </c>
      <c r="C29915" s="1" t="s">
        <v>7329</v>
      </c>
      <c r="D29915" s="1" t="str">
        <f>HYPERLINK("https://rhld.insurance.arkansas.gov/NPILookup?Npi=1972709418","1972709418")</f>
        <v>1972709418</v>
      </c>
      <c r="E29915" s="1" t="s">
        <v>18051</v>
      </c>
      <c r="F29915" s="2"/>
      <c r="G29915" s="2"/>
      <c r="H29915" s="2"/>
    </row>
    <row r="29916" spans="1:8" x14ac:dyDescent="0.25">
      <c r="A29916" s="1"/>
      <c r="B29916" s="1" t="s">
        <v>7328</v>
      </c>
      <c r="C29916" s="1" t="s">
        <v>7329</v>
      </c>
      <c r="D29916" s="1" t="str">
        <f>HYPERLINK("https://rhld.insurance.arkansas.gov/NPILookup?Npi=1972714228","1972714228")</f>
        <v>1972714228</v>
      </c>
      <c r="E29916" s="1" t="s">
        <v>29470</v>
      </c>
      <c r="F29916" s="2"/>
      <c r="G29916" s="2"/>
      <c r="H29916" s="2"/>
    </row>
    <row r="29917" spans="1:8" x14ac:dyDescent="0.25">
      <c r="A29917" s="1"/>
      <c r="B29917" s="1" t="s">
        <v>7328</v>
      </c>
      <c r="C29917" s="1" t="s">
        <v>7329</v>
      </c>
      <c r="D29917" s="1" t="str">
        <f>HYPERLINK("https://rhld.insurance.arkansas.gov/NPILookup?Npi=1972730463","1972730463")</f>
        <v>1972730463</v>
      </c>
      <c r="E29917" s="1" t="s">
        <v>3106</v>
      </c>
      <c r="F29917" s="2"/>
      <c r="G29917" s="2"/>
      <c r="H29917" s="2"/>
    </row>
    <row r="29918" spans="1:8" x14ac:dyDescent="0.25">
      <c r="A29918" s="1"/>
      <c r="B29918" s="1" t="s">
        <v>7328</v>
      </c>
      <c r="C29918" s="1" t="s">
        <v>7329</v>
      </c>
      <c r="D29918" s="1" t="str">
        <f>HYPERLINK("https://rhld.insurance.arkansas.gov/NPILookup?Npi=1972769016","1972769016")</f>
        <v>1972769016</v>
      </c>
      <c r="E29918" s="1" t="s">
        <v>1114</v>
      </c>
      <c r="F29918" s="2"/>
      <c r="G29918" s="2"/>
      <c r="H29918" s="2"/>
    </row>
    <row r="29919" spans="1:8" x14ac:dyDescent="0.25">
      <c r="A29919" s="1"/>
      <c r="B29919" s="1" t="s">
        <v>7328</v>
      </c>
      <c r="C29919" s="1" t="s">
        <v>7329</v>
      </c>
      <c r="D29919" s="1" t="str">
        <f>HYPERLINK("https://rhld.insurance.arkansas.gov/NPILookup?Npi=1972825545","1972825545")</f>
        <v>1972825545</v>
      </c>
      <c r="E29919" s="1" t="s">
        <v>13840</v>
      </c>
      <c r="F29919" s="2"/>
      <c r="G29919" s="2"/>
      <c r="H29919" s="2"/>
    </row>
    <row r="29920" spans="1:8" x14ac:dyDescent="0.25">
      <c r="A29920" s="1"/>
      <c r="B29920" s="1" t="s">
        <v>7328</v>
      </c>
      <c r="C29920" s="1" t="s">
        <v>7329</v>
      </c>
      <c r="D29920" s="1" t="str">
        <f>HYPERLINK("https://rhld.insurance.arkansas.gov/NPILookup?Npi=1972827251","1972827251")</f>
        <v>1972827251</v>
      </c>
      <c r="E29920" s="1" t="s">
        <v>29471</v>
      </c>
      <c r="F29920" s="2"/>
      <c r="G29920" s="2"/>
      <c r="H29920" s="2"/>
    </row>
    <row r="29921" spans="1:8" x14ac:dyDescent="0.25">
      <c r="A29921" s="1"/>
      <c r="B29921" s="1" t="s">
        <v>7328</v>
      </c>
      <c r="C29921" s="1" t="s">
        <v>7329</v>
      </c>
      <c r="D29921" s="1" t="str">
        <f>HYPERLINK("https://rhld.insurance.arkansas.gov/NPILookup?Npi=1972828119","1972828119")</f>
        <v>1972828119</v>
      </c>
      <c r="E29921" s="1" t="s">
        <v>4553</v>
      </c>
      <c r="F29921" s="2"/>
      <c r="G29921" s="2"/>
      <c r="H29921" s="2"/>
    </row>
    <row r="29922" spans="1:8" x14ac:dyDescent="0.25">
      <c r="A29922" s="1"/>
      <c r="B29922" s="1" t="s">
        <v>7328</v>
      </c>
      <c r="C29922" s="1" t="s">
        <v>7329</v>
      </c>
      <c r="D29922" s="1" t="str">
        <f>HYPERLINK("https://rhld.insurance.arkansas.gov/NPILookup?Npi=1972837383","1972837383")</f>
        <v>1972837383</v>
      </c>
      <c r="E29922" s="1" t="s">
        <v>29472</v>
      </c>
      <c r="F29922" s="2"/>
      <c r="G29922" s="2"/>
      <c r="H29922" s="2"/>
    </row>
    <row r="29923" spans="1:8" x14ac:dyDescent="0.25">
      <c r="A29923" s="1"/>
      <c r="B29923" s="1" t="s">
        <v>7328</v>
      </c>
      <c r="C29923" s="1" t="s">
        <v>7329</v>
      </c>
      <c r="D29923" s="1" t="str">
        <f>HYPERLINK("https://rhld.insurance.arkansas.gov/NPILookup?Npi=1972838621","1972838621")</f>
        <v>1972838621</v>
      </c>
      <c r="E29923" s="1" t="s">
        <v>3107</v>
      </c>
      <c r="F29923" s="2"/>
      <c r="G29923" s="2"/>
      <c r="H29923" s="2"/>
    </row>
    <row r="29924" spans="1:8" x14ac:dyDescent="0.25">
      <c r="A29924" s="1"/>
      <c r="B29924" s="1" t="s">
        <v>7328</v>
      </c>
      <c r="C29924" s="1" t="s">
        <v>7329</v>
      </c>
      <c r="D29924" s="1" t="str">
        <f>HYPERLINK("https://rhld.insurance.arkansas.gov/NPILookup?Npi=1972855161","1972855161")</f>
        <v>1972855161</v>
      </c>
      <c r="E29924" s="1" t="s">
        <v>29473</v>
      </c>
      <c r="F29924" s="2"/>
      <c r="G29924" s="2"/>
      <c r="H29924" s="2"/>
    </row>
    <row r="29925" spans="1:8" x14ac:dyDescent="0.25">
      <c r="A29925" s="1"/>
      <c r="B29925" s="1" t="s">
        <v>7328</v>
      </c>
      <c r="C29925" s="1" t="s">
        <v>7329</v>
      </c>
      <c r="D29925" s="1" t="str">
        <f>HYPERLINK("https://rhld.insurance.arkansas.gov/NPILookup?Npi=1972855724","1972855724")</f>
        <v>1972855724</v>
      </c>
      <c r="E29925" s="1" t="s">
        <v>8250</v>
      </c>
      <c r="F29925" s="2"/>
      <c r="G29925" s="2"/>
      <c r="H29925" s="2"/>
    </row>
    <row r="29926" spans="1:8" x14ac:dyDescent="0.25">
      <c r="A29926" s="1"/>
      <c r="B29926" s="1" t="s">
        <v>7328</v>
      </c>
      <c r="C29926" s="1" t="s">
        <v>7329</v>
      </c>
      <c r="D29926" s="1" t="str">
        <f>HYPERLINK("https://rhld.insurance.arkansas.gov/NPILookup?Npi=1972869592","1972869592")</f>
        <v>1972869592</v>
      </c>
      <c r="E29926" s="1" t="s">
        <v>23945</v>
      </c>
      <c r="F29926" s="2"/>
      <c r="G29926" s="2"/>
      <c r="H29926" s="2"/>
    </row>
    <row r="29927" spans="1:8" x14ac:dyDescent="0.25">
      <c r="A29927" s="1"/>
      <c r="B29927" s="1" t="s">
        <v>7328</v>
      </c>
      <c r="C29927" s="1" t="s">
        <v>7329</v>
      </c>
      <c r="D29927" s="1" t="str">
        <f>HYPERLINK("https://rhld.insurance.arkansas.gov/NPILookup?Npi=1972888352","1972888352")</f>
        <v>1972888352</v>
      </c>
      <c r="E29927" s="1" t="s">
        <v>29474</v>
      </c>
      <c r="F29927" s="2"/>
      <c r="G29927" s="2"/>
      <c r="H29927" s="2"/>
    </row>
    <row r="29928" spans="1:8" x14ac:dyDescent="0.25">
      <c r="A29928" s="1"/>
      <c r="B29928" s="1" t="s">
        <v>7328</v>
      </c>
      <c r="C29928" s="1" t="s">
        <v>7329</v>
      </c>
      <c r="D29928" s="1" t="str">
        <f>HYPERLINK("https://rhld.insurance.arkansas.gov/NPILookup?Npi=1972903565","1972903565")</f>
        <v>1972903565</v>
      </c>
      <c r="E29928" s="1" t="s">
        <v>3108</v>
      </c>
      <c r="F29928" s="2"/>
      <c r="G29928" s="2"/>
      <c r="H29928" s="2"/>
    </row>
    <row r="29929" spans="1:8" x14ac:dyDescent="0.25">
      <c r="A29929" s="1"/>
      <c r="B29929" s="1" t="s">
        <v>7328</v>
      </c>
      <c r="C29929" s="1" t="s">
        <v>7329</v>
      </c>
      <c r="D29929" s="1" t="str">
        <f>HYPERLINK("https://rhld.insurance.arkansas.gov/NPILookup?Npi=1972917466","1972917466")</f>
        <v>1972917466</v>
      </c>
      <c r="E29929" s="1" t="s">
        <v>9760</v>
      </c>
      <c r="F29929" s="2"/>
      <c r="G29929" s="2"/>
      <c r="H29929" s="2"/>
    </row>
    <row r="29930" spans="1:8" x14ac:dyDescent="0.25">
      <c r="A29930" s="1"/>
      <c r="B29930" s="1" t="s">
        <v>7328</v>
      </c>
      <c r="C29930" s="1" t="s">
        <v>7329</v>
      </c>
      <c r="D29930" s="1" t="str">
        <f>HYPERLINK("https://rhld.insurance.arkansas.gov/NPILookup?Npi=1972921096","1972921096")</f>
        <v>1972921096</v>
      </c>
      <c r="E29930" s="1" t="s">
        <v>13841</v>
      </c>
      <c r="F29930" s="2"/>
      <c r="G29930" s="2"/>
      <c r="H29930" s="2"/>
    </row>
    <row r="29931" spans="1:8" x14ac:dyDescent="0.25">
      <c r="A29931" s="1"/>
      <c r="B29931" s="1" t="s">
        <v>7328</v>
      </c>
      <c r="C29931" s="1" t="s">
        <v>7329</v>
      </c>
      <c r="D29931" s="1" t="str">
        <f>HYPERLINK("https://rhld.insurance.arkansas.gov/NPILookup?Npi=1972921252","1972921252")</f>
        <v>1972921252</v>
      </c>
      <c r="E29931" s="1" t="s">
        <v>29475</v>
      </c>
      <c r="F29931" s="2"/>
      <c r="G29931" s="2"/>
      <c r="H29931" s="2"/>
    </row>
    <row r="29932" spans="1:8" x14ac:dyDescent="0.25">
      <c r="A29932" s="1"/>
      <c r="B29932" s="1" t="s">
        <v>7328</v>
      </c>
      <c r="C29932" s="1" t="s">
        <v>7329</v>
      </c>
      <c r="D29932" s="1" t="str">
        <f>HYPERLINK("https://rhld.insurance.arkansas.gov/NPILookup?Npi=1972932853","1972932853")</f>
        <v>1972932853</v>
      </c>
      <c r="E29932" s="1" t="s">
        <v>13842</v>
      </c>
      <c r="F29932" s="2"/>
      <c r="G29932" s="2"/>
      <c r="H29932" s="2"/>
    </row>
    <row r="29933" spans="1:8" x14ac:dyDescent="0.25">
      <c r="A29933" s="1"/>
      <c r="B29933" s="1" t="s">
        <v>7328</v>
      </c>
      <c r="C29933" s="1" t="s">
        <v>7329</v>
      </c>
      <c r="D29933" s="1" t="str">
        <f>HYPERLINK("https://rhld.insurance.arkansas.gov/NPILookup?Npi=1972937902","1972937902")</f>
        <v>1972937902</v>
      </c>
      <c r="E29933" s="1" t="s">
        <v>3169</v>
      </c>
      <c r="F29933" s="2"/>
      <c r="G29933" s="2"/>
      <c r="H29933" s="2"/>
    </row>
    <row r="29934" spans="1:8" x14ac:dyDescent="0.25">
      <c r="A29934" s="1"/>
      <c r="B29934" s="1" t="s">
        <v>7328</v>
      </c>
      <c r="C29934" s="1" t="s">
        <v>7329</v>
      </c>
      <c r="D29934" s="1" t="str">
        <f>HYPERLINK("https://rhld.insurance.arkansas.gov/NPILookup?Npi=1972939023","1972939023")</f>
        <v>1972939023</v>
      </c>
      <c r="E29934" s="1" t="s">
        <v>29476</v>
      </c>
      <c r="F29934" s="2"/>
      <c r="G29934" s="2"/>
      <c r="H29934" s="2"/>
    </row>
    <row r="29935" spans="1:8" x14ac:dyDescent="0.25">
      <c r="A29935" s="1"/>
      <c r="B29935" s="1" t="s">
        <v>7328</v>
      </c>
      <c r="C29935" s="1" t="s">
        <v>7329</v>
      </c>
      <c r="D29935" s="1" t="str">
        <f>HYPERLINK("https://rhld.insurance.arkansas.gov/NPILookup?Npi=1972954006","1972954006")</f>
        <v>1972954006</v>
      </c>
      <c r="E29935" s="1" t="s">
        <v>29477</v>
      </c>
      <c r="F29935" s="2"/>
      <c r="G29935" s="2"/>
      <c r="H29935" s="2"/>
    </row>
    <row r="29936" spans="1:8" x14ac:dyDescent="0.25">
      <c r="A29936" s="1"/>
      <c r="B29936" s="1" t="s">
        <v>7328</v>
      </c>
      <c r="C29936" s="1" t="s">
        <v>7329</v>
      </c>
      <c r="D29936" s="1" t="str">
        <f>HYPERLINK("https://rhld.insurance.arkansas.gov/NPILookup?Npi=1972954600","1972954600")</f>
        <v>1972954600</v>
      </c>
      <c r="E29936" s="1" t="s">
        <v>29478</v>
      </c>
      <c r="F29936" s="2"/>
      <c r="G29936" s="2"/>
      <c r="H29936" s="2"/>
    </row>
    <row r="29937" spans="1:8" x14ac:dyDescent="0.25">
      <c r="A29937" s="1"/>
      <c r="B29937" s="1" t="s">
        <v>7328</v>
      </c>
      <c r="C29937" s="1" t="s">
        <v>7329</v>
      </c>
      <c r="D29937" s="1" t="str">
        <f>HYPERLINK("https://rhld.insurance.arkansas.gov/NPILookup?Npi=1972955052","1972955052")</f>
        <v>1972955052</v>
      </c>
      <c r="E29937" s="1" t="s">
        <v>8251</v>
      </c>
      <c r="F29937" s="2"/>
      <c r="G29937" s="2"/>
      <c r="H29937" s="2"/>
    </row>
    <row r="29938" spans="1:8" x14ac:dyDescent="0.25">
      <c r="A29938" s="1"/>
      <c r="B29938" s="1" t="s">
        <v>7328</v>
      </c>
      <c r="C29938" s="1" t="s">
        <v>7329</v>
      </c>
      <c r="D29938" s="1" t="str">
        <f>HYPERLINK("https://rhld.insurance.arkansas.gov/NPILookup?Npi=1972959625","1972959625")</f>
        <v>1972959625</v>
      </c>
      <c r="E29938" s="1" t="s">
        <v>3482</v>
      </c>
      <c r="F29938" s="2"/>
      <c r="G29938" s="2"/>
      <c r="H29938" s="2"/>
    </row>
    <row r="29939" spans="1:8" x14ac:dyDescent="0.25">
      <c r="A29939" s="1"/>
      <c r="B29939" s="1" t="s">
        <v>7328</v>
      </c>
      <c r="C29939" s="1" t="s">
        <v>7329</v>
      </c>
      <c r="D29939" s="1" t="str">
        <f>HYPERLINK("https://rhld.insurance.arkansas.gov/NPILookup?Npi=1972976025","1972976025")</f>
        <v>1972976025</v>
      </c>
      <c r="E29939" s="1" t="s">
        <v>29479</v>
      </c>
      <c r="F29939" s="2"/>
      <c r="G29939" s="2"/>
      <c r="H29939" s="2"/>
    </row>
    <row r="29940" spans="1:8" x14ac:dyDescent="0.25">
      <c r="A29940" s="1"/>
      <c r="B29940" s="1" t="s">
        <v>7328</v>
      </c>
      <c r="C29940" s="1" t="s">
        <v>7329</v>
      </c>
      <c r="D29940" s="1" t="str">
        <f>HYPERLINK("https://rhld.insurance.arkansas.gov/NPILookup?Npi=1972978591","1972978591")</f>
        <v>1972978591</v>
      </c>
      <c r="E29940" s="1" t="s">
        <v>23948</v>
      </c>
      <c r="F29940" s="2"/>
      <c r="G29940" s="2"/>
      <c r="H29940" s="2"/>
    </row>
    <row r="29941" spans="1:8" x14ac:dyDescent="0.25">
      <c r="A29941" s="1"/>
      <c r="B29941" s="1" t="s">
        <v>7328</v>
      </c>
      <c r="C29941" s="1" t="s">
        <v>7329</v>
      </c>
      <c r="D29941" s="1" t="str">
        <f>HYPERLINK("https://rhld.insurance.arkansas.gov/NPILookup?Npi=1972987824","1972987824")</f>
        <v>1972987824</v>
      </c>
      <c r="E29941" s="1" t="s">
        <v>18056</v>
      </c>
      <c r="F29941" s="2"/>
      <c r="G29941" s="2"/>
      <c r="H29941" s="2"/>
    </row>
    <row r="29942" spans="1:8" x14ac:dyDescent="0.25">
      <c r="A29942" s="1"/>
      <c r="B29942" s="1" t="s">
        <v>7328</v>
      </c>
      <c r="C29942" s="1" t="s">
        <v>7329</v>
      </c>
      <c r="D29942" s="1" t="str">
        <f>HYPERLINK("https://rhld.insurance.arkansas.gov/NPILookup?Npi=1972988723","1972988723")</f>
        <v>1972988723</v>
      </c>
      <c r="E29942" s="1" t="s">
        <v>29480</v>
      </c>
      <c r="F29942" s="2"/>
      <c r="G29942" s="2"/>
      <c r="H29942" s="2"/>
    </row>
    <row r="29943" spans="1:8" x14ac:dyDescent="0.25">
      <c r="A29943" s="1"/>
      <c r="B29943" s="1" t="s">
        <v>7328</v>
      </c>
      <c r="C29943" s="1" t="s">
        <v>7329</v>
      </c>
      <c r="D29943" s="1" t="str">
        <f>HYPERLINK("https://rhld.insurance.arkansas.gov/NPILookup?Npi=1982009718","1982009718")</f>
        <v>1982009718</v>
      </c>
      <c r="E29943" s="1" t="s">
        <v>29481</v>
      </c>
      <c r="F29943" s="2"/>
      <c r="G29943" s="2"/>
      <c r="H29943" s="2"/>
    </row>
    <row r="29944" spans="1:8" x14ac:dyDescent="0.25">
      <c r="A29944" s="1"/>
      <c r="B29944" s="1" t="s">
        <v>7328</v>
      </c>
      <c r="C29944" s="1" t="s">
        <v>7329</v>
      </c>
      <c r="D29944" s="1" t="str">
        <f>HYPERLINK("https://rhld.insurance.arkansas.gov/NPILookup?Npi=1982010898","1982010898")</f>
        <v>1982010898</v>
      </c>
      <c r="E29944" s="1" t="s">
        <v>29482</v>
      </c>
      <c r="F29944" s="2"/>
      <c r="G29944" s="2"/>
      <c r="H29944" s="2"/>
    </row>
    <row r="29945" spans="1:8" x14ac:dyDescent="0.25">
      <c r="A29945" s="1"/>
      <c r="B29945" s="1" t="s">
        <v>7328</v>
      </c>
      <c r="C29945" s="1" t="s">
        <v>7329</v>
      </c>
      <c r="D29945" s="1" t="str">
        <f>HYPERLINK("https://rhld.insurance.arkansas.gov/NPILookup?Npi=1982018727","1982018727")</f>
        <v>1982018727</v>
      </c>
      <c r="E29945" s="1" t="s">
        <v>13843</v>
      </c>
      <c r="F29945" s="2"/>
      <c r="G29945" s="2"/>
      <c r="H29945" s="2"/>
    </row>
    <row r="29946" spans="1:8" x14ac:dyDescent="0.25">
      <c r="A29946" s="1"/>
      <c r="B29946" s="1" t="s">
        <v>7328</v>
      </c>
      <c r="C29946" s="1" t="s">
        <v>7329</v>
      </c>
      <c r="D29946" s="1" t="str">
        <f>HYPERLINK("https://rhld.insurance.arkansas.gov/NPILookup?Npi=1982026514","1982026514")</f>
        <v>1982026514</v>
      </c>
      <c r="E29946" s="1" t="s">
        <v>911</v>
      </c>
      <c r="F29946" s="2"/>
      <c r="G29946" s="2"/>
      <c r="H29946" s="2"/>
    </row>
    <row r="29947" spans="1:8" x14ac:dyDescent="0.25">
      <c r="A29947" s="1"/>
      <c r="B29947" s="1" t="s">
        <v>7328</v>
      </c>
      <c r="C29947" s="1" t="s">
        <v>7329</v>
      </c>
      <c r="D29947" s="1" t="str">
        <f>HYPERLINK("https://rhld.insurance.arkansas.gov/NPILookup?Npi=1982047379","1982047379")</f>
        <v>1982047379</v>
      </c>
      <c r="E29947" s="1" t="s">
        <v>2111</v>
      </c>
      <c r="F29947" s="2"/>
      <c r="G29947" s="2"/>
      <c r="H29947" s="2"/>
    </row>
    <row r="29948" spans="1:8" x14ac:dyDescent="0.25">
      <c r="A29948" s="1"/>
      <c r="B29948" s="1" t="s">
        <v>7328</v>
      </c>
      <c r="C29948" s="1" t="s">
        <v>7329</v>
      </c>
      <c r="D29948" s="1" t="str">
        <f>HYPERLINK("https://rhld.insurance.arkansas.gov/NPILookup?Npi=1982048047","1982048047")</f>
        <v>1982048047</v>
      </c>
      <c r="E29948" s="1" t="s">
        <v>29483</v>
      </c>
      <c r="F29948" s="2"/>
      <c r="G29948" s="2"/>
      <c r="H29948" s="2"/>
    </row>
    <row r="29949" spans="1:8" x14ac:dyDescent="0.25">
      <c r="A29949" s="1"/>
      <c r="B29949" s="1" t="s">
        <v>7328</v>
      </c>
      <c r="C29949" s="1" t="s">
        <v>7329</v>
      </c>
      <c r="D29949" s="1" t="str">
        <f>HYPERLINK("https://rhld.insurance.arkansas.gov/NPILookup?Npi=1982053286","1982053286")</f>
        <v>1982053286</v>
      </c>
      <c r="E29949" s="1" t="s">
        <v>29484</v>
      </c>
      <c r="F29949" s="2"/>
      <c r="G29949" s="2"/>
      <c r="H29949" s="2"/>
    </row>
    <row r="29950" spans="1:8" x14ac:dyDescent="0.25">
      <c r="A29950" s="1"/>
      <c r="B29950" s="1" t="s">
        <v>7328</v>
      </c>
      <c r="C29950" s="1" t="s">
        <v>7329</v>
      </c>
      <c r="D29950" s="1" t="str">
        <f>HYPERLINK("https://rhld.insurance.arkansas.gov/NPILookup?Npi=1982056925","1982056925")</f>
        <v>1982056925</v>
      </c>
      <c r="E29950" s="1" t="s">
        <v>29485</v>
      </c>
      <c r="F29950" s="2"/>
      <c r="G29950" s="2"/>
      <c r="H29950" s="2"/>
    </row>
    <row r="29951" spans="1:8" x14ac:dyDescent="0.25">
      <c r="A29951" s="1"/>
      <c r="B29951" s="1" t="s">
        <v>7328</v>
      </c>
      <c r="C29951" s="1" t="s">
        <v>7329</v>
      </c>
      <c r="D29951" s="1" t="str">
        <f>HYPERLINK("https://rhld.insurance.arkansas.gov/NPILookup?Npi=1982059929","1982059929")</f>
        <v>1982059929</v>
      </c>
      <c r="E29951" s="1" t="s">
        <v>8252</v>
      </c>
      <c r="F29951" s="2"/>
      <c r="G29951" s="2"/>
      <c r="H29951" s="2"/>
    </row>
    <row r="29952" spans="1:8" x14ac:dyDescent="0.25">
      <c r="A29952" s="1"/>
      <c r="B29952" s="1" t="s">
        <v>7328</v>
      </c>
      <c r="C29952" s="1" t="s">
        <v>7329</v>
      </c>
      <c r="D29952" s="1" t="str">
        <f>HYPERLINK("https://rhld.insurance.arkansas.gov/NPILookup?Npi=1982068938","1982068938")</f>
        <v>1982068938</v>
      </c>
      <c r="E29952" s="1" t="s">
        <v>29486</v>
      </c>
      <c r="F29952" s="2"/>
      <c r="G29952" s="2"/>
      <c r="H29952" s="2"/>
    </row>
    <row r="29953" spans="1:8" x14ac:dyDescent="0.25">
      <c r="A29953" s="1"/>
      <c r="B29953" s="1" t="s">
        <v>7328</v>
      </c>
      <c r="C29953" s="1" t="s">
        <v>7329</v>
      </c>
      <c r="D29953" s="1" t="str">
        <f>HYPERLINK("https://rhld.insurance.arkansas.gov/NPILookup?Npi=1982069316","1982069316")</f>
        <v>1982069316</v>
      </c>
      <c r="E29953" s="1" t="s">
        <v>13844</v>
      </c>
      <c r="F29953" s="2"/>
      <c r="G29953" s="2"/>
      <c r="H29953" s="2"/>
    </row>
    <row r="29954" spans="1:8" x14ac:dyDescent="0.25">
      <c r="A29954" s="1"/>
      <c r="B29954" s="1" t="s">
        <v>7328</v>
      </c>
      <c r="C29954" s="1" t="s">
        <v>7329</v>
      </c>
      <c r="D29954" s="1" t="str">
        <f>HYPERLINK("https://rhld.insurance.arkansas.gov/NPILookup?Npi=1982083226","1982083226")</f>
        <v>1982083226</v>
      </c>
      <c r="E29954" s="1" t="s">
        <v>1835</v>
      </c>
      <c r="F29954" s="2"/>
      <c r="G29954" s="2"/>
      <c r="H29954" s="2"/>
    </row>
    <row r="29955" spans="1:8" x14ac:dyDescent="0.25">
      <c r="A29955" s="1"/>
      <c r="B29955" s="1" t="s">
        <v>7328</v>
      </c>
      <c r="C29955" s="1" t="s">
        <v>7329</v>
      </c>
      <c r="D29955" s="1" t="str">
        <f>HYPERLINK("https://rhld.insurance.arkansas.gov/NPILookup?Npi=1982101119","1982101119")</f>
        <v>1982101119</v>
      </c>
      <c r="E29955" s="1" t="s">
        <v>13845</v>
      </c>
      <c r="F29955" s="2"/>
      <c r="G29955" s="2"/>
      <c r="H29955" s="2"/>
    </row>
    <row r="29956" spans="1:8" x14ac:dyDescent="0.25">
      <c r="A29956" s="1"/>
      <c r="B29956" s="1" t="s">
        <v>7328</v>
      </c>
      <c r="C29956" s="1" t="s">
        <v>7329</v>
      </c>
      <c r="D29956" s="1" t="str">
        <f>HYPERLINK("https://rhld.insurance.arkansas.gov/NPILookup?Npi=1982107421","1982107421")</f>
        <v>1982107421</v>
      </c>
      <c r="E29956" s="1" t="s">
        <v>29487</v>
      </c>
      <c r="F29956" s="2"/>
      <c r="G29956" s="2"/>
      <c r="H29956" s="2"/>
    </row>
    <row r="29957" spans="1:8" x14ac:dyDescent="0.25">
      <c r="A29957" s="1"/>
      <c r="B29957" s="1" t="s">
        <v>7328</v>
      </c>
      <c r="C29957" s="1" t="s">
        <v>7329</v>
      </c>
      <c r="D29957" s="1" t="str">
        <f>HYPERLINK("https://rhld.insurance.arkansas.gov/NPILookup?Npi=1982114252","1982114252")</f>
        <v>1982114252</v>
      </c>
      <c r="E29957" s="1" t="s">
        <v>29488</v>
      </c>
      <c r="F29957" s="2"/>
      <c r="G29957" s="2"/>
      <c r="H29957" s="2"/>
    </row>
    <row r="29958" spans="1:8" x14ac:dyDescent="0.25">
      <c r="A29958" s="1"/>
      <c r="B29958" s="1" t="s">
        <v>7328</v>
      </c>
      <c r="C29958" s="1" t="s">
        <v>7329</v>
      </c>
      <c r="D29958" s="1" t="str">
        <f>HYPERLINK("https://rhld.insurance.arkansas.gov/NPILookup?Npi=1982115218","1982115218")</f>
        <v>1982115218</v>
      </c>
      <c r="E29958" s="1" t="s">
        <v>29489</v>
      </c>
      <c r="F29958" s="2"/>
      <c r="G29958" s="2"/>
      <c r="H29958" s="2"/>
    </row>
    <row r="29959" spans="1:8" x14ac:dyDescent="0.25">
      <c r="A29959" s="1"/>
      <c r="B29959" s="1" t="s">
        <v>7328</v>
      </c>
      <c r="C29959" s="1" t="s">
        <v>7329</v>
      </c>
      <c r="D29959" s="1" t="str">
        <f>HYPERLINK("https://rhld.insurance.arkansas.gov/NPILookup?Npi=1982117941","1982117941")</f>
        <v>1982117941</v>
      </c>
      <c r="E29959" s="1" t="s">
        <v>8253</v>
      </c>
      <c r="F29959" s="2"/>
      <c r="G29959" s="2"/>
      <c r="H29959" s="2"/>
    </row>
    <row r="29960" spans="1:8" x14ac:dyDescent="0.25">
      <c r="A29960" s="1"/>
      <c r="B29960" s="1" t="s">
        <v>7328</v>
      </c>
      <c r="C29960" s="1" t="s">
        <v>7329</v>
      </c>
      <c r="D29960" s="1" t="str">
        <f>HYPERLINK("https://rhld.insurance.arkansas.gov/NPILookup?Npi=1982128096","1982128096")</f>
        <v>1982128096</v>
      </c>
      <c r="E29960" s="1" t="s">
        <v>29490</v>
      </c>
      <c r="F29960" s="2"/>
      <c r="G29960" s="2"/>
      <c r="H29960" s="2"/>
    </row>
    <row r="29961" spans="1:8" x14ac:dyDescent="0.25">
      <c r="A29961" s="1"/>
      <c r="B29961" s="1" t="s">
        <v>7328</v>
      </c>
      <c r="C29961" s="1" t="s">
        <v>7329</v>
      </c>
      <c r="D29961" s="1" t="str">
        <f>HYPERLINK("https://rhld.insurance.arkansas.gov/NPILookup?Npi=1982133161","1982133161")</f>
        <v>1982133161</v>
      </c>
      <c r="E29961" s="1" t="s">
        <v>13846</v>
      </c>
      <c r="F29961" s="2"/>
      <c r="G29961" s="2"/>
      <c r="H29961" s="2"/>
    </row>
    <row r="29962" spans="1:8" x14ac:dyDescent="0.25">
      <c r="A29962" s="1"/>
      <c r="B29962" s="1" t="s">
        <v>7328</v>
      </c>
      <c r="C29962" s="1" t="s">
        <v>7329</v>
      </c>
      <c r="D29962" s="1" t="str">
        <f>HYPERLINK("https://rhld.insurance.arkansas.gov/NPILookup?Npi=1982135000","1982135000")</f>
        <v>1982135000</v>
      </c>
      <c r="E29962" s="1" t="s">
        <v>10493</v>
      </c>
      <c r="F29962" s="2"/>
      <c r="G29962" s="2"/>
      <c r="H29962" s="2"/>
    </row>
    <row r="29963" spans="1:8" x14ac:dyDescent="0.25">
      <c r="A29963" s="1"/>
      <c r="B29963" s="1" t="s">
        <v>7328</v>
      </c>
      <c r="C29963" s="1" t="s">
        <v>7329</v>
      </c>
      <c r="D29963" s="1" t="str">
        <f>HYPERLINK("https://rhld.insurance.arkansas.gov/NPILookup?Npi=1982138764","1982138764")</f>
        <v>1982138764</v>
      </c>
      <c r="E29963" s="1" t="s">
        <v>29491</v>
      </c>
      <c r="F29963" s="2"/>
      <c r="G29963" s="2"/>
      <c r="H29963" s="2"/>
    </row>
    <row r="29964" spans="1:8" x14ac:dyDescent="0.25">
      <c r="A29964" s="1"/>
      <c r="B29964" s="1" t="s">
        <v>7328</v>
      </c>
      <c r="C29964" s="1" t="s">
        <v>7329</v>
      </c>
      <c r="D29964" s="1" t="str">
        <f>HYPERLINK("https://rhld.insurance.arkansas.gov/NPILookup?Npi=1982139333","1982139333")</f>
        <v>1982139333</v>
      </c>
      <c r="E29964" s="1" t="s">
        <v>29492</v>
      </c>
      <c r="F29964" s="2"/>
      <c r="G29964" s="2"/>
      <c r="H29964" s="2"/>
    </row>
    <row r="29965" spans="1:8" x14ac:dyDescent="0.25">
      <c r="A29965" s="1"/>
      <c r="B29965" s="1" t="s">
        <v>7328</v>
      </c>
      <c r="C29965" s="1" t="s">
        <v>7329</v>
      </c>
      <c r="D29965" s="1" t="str">
        <f>HYPERLINK("https://rhld.insurance.arkansas.gov/NPILookup?Npi=1982147765","1982147765")</f>
        <v>1982147765</v>
      </c>
      <c r="E29965" s="1" t="s">
        <v>29493</v>
      </c>
      <c r="F29965" s="2"/>
      <c r="G29965" s="2"/>
      <c r="H29965" s="2"/>
    </row>
    <row r="29966" spans="1:8" x14ac:dyDescent="0.25">
      <c r="A29966" s="1"/>
      <c r="B29966" s="1" t="s">
        <v>7328</v>
      </c>
      <c r="C29966" s="1" t="s">
        <v>7329</v>
      </c>
      <c r="D29966" s="1" t="str">
        <f>HYPERLINK("https://rhld.insurance.arkansas.gov/NPILookup?Npi=1982152153","1982152153")</f>
        <v>1982152153</v>
      </c>
      <c r="E29966" s="1" t="s">
        <v>3109</v>
      </c>
      <c r="F29966" s="2"/>
      <c r="G29966" s="2"/>
      <c r="H29966" s="2"/>
    </row>
    <row r="29967" spans="1:8" x14ac:dyDescent="0.25">
      <c r="A29967" s="1"/>
      <c r="B29967" s="1" t="s">
        <v>7328</v>
      </c>
      <c r="C29967" s="1" t="s">
        <v>7329</v>
      </c>
      <c r="D29967" s="1" t="str">
        <f>HYPERLINK("https://rhld.insurance.arkansas.gov/NPILookup?Npi=1982152401","1982152401")</f>
        <v>1982152401</v>
      </c>
      <c r="E29967" s="1" t="s">
        <v>1310</v>
      </c>
      <c r="F29967" s="2"/>
      <c r="G29967" s="2"/>
      <c r="H29967" s="2"/>
    </row>
    <row r="29968" spans="1:8" x14ac:dyDescent="0.25">
      <c r="A29968" s="1"/>
      <c r="B29968" s="1" t="s">
        <v>7328</v>
      </c>
      <c r="C29968" s="1" t="s">
        <v>7329</v>
      </c>
      <c r="D29968" s="1" t="str">
        <f>HYPERLINK("https://rhld.insurance.arkansas.gov/NPILookup?Npi=1982165692","1982165692")</f>
        <v>1982165692</v>
      </c>
      <c r="E29968" s="1" t="s">
        <v>4495</v>
      </c>
      <c r="F29968" s="2"/>
      <c r="G29968" s="2"/>
      <c r="H29968" s="2"/>
    </row>
    <row r="29969" spans="1:8" x14ac:dyDescent="0.25">
      <c r="A29969" s="1"/>
      <c r="B29969" s="1" t="s">
        <v>7328</v>
      </c>
      <c r="C29969" s="1" t="s">
        <v>7329</v>
      </c>
      <c r="D29969" s="1" t="str">
        <f>HYPERLINK("https://rhld.insurance.arkansas.gov/NPILookup?Npi=1982171203","1982171203")</f>
        <v>1982171203</v>
      </c>
      <c r="E29969" s="1" t="s">
        <v>29494</v>
      </c>
      <c r="F29969" s="2"/>
      <c r="G29969" s="2"/>
      <c r="H29969" s="2"/>
    </row>
    <row r="29970" spans="1:8" x14ac:dyDescent="0.25">
      <c r="A29970" s="1"/>
      <c r="B29970" s="1" t="s">
        <v>7328</v>
      </c>
      <c r="C29970" s="1" t="s">
        <v>7329</v>
      </c>
      <c r="D29970" s="1" t="str">
        <f>HYPERLINK("https://rhld.insurance.arkansas.gov/NPILookup?Npi=1982172029","1982172029")</f>
        <v>1982172029</v>
      </c>
      <c r="E29970" s="1" t="s">
        <v>29495</v>
      </c>
      <c r="F29970" s="2"/>
      <c r="G29970" s="2"/>
      <c r="H29970" s="2"/>
    </row>
    <row r="29971" spans="1:8" x14ac:dyDescent="0.25">
      <c r="A29971" s="1"/>
      <c r="B29971" s="1" t="s">
        <v>7328</v>
      </c>
      <c r="C29971" s="1" t="s">
        <v>7329</v>
      </c>
      <c r="D29971" s="1" t="str">
        <f>HYPERLINK("https://rhld.insurance.arkansas.gov/NPILookup?Npi=1982181301","1982181301")</f>
        <v>1982181301</v>
      </c>
      <c r="E29971" s="1" t="s">
        <v>8254</v>
      </c>
      <c r="F29971" s="2"/>
      <c r="G29971" s="2"/>
      <c r="H29971" s="2"/>
    </row>
    <row r="29972" spans="1:8" x14ac:dyDescent="0.25">
      <c r="A29972" s="1"/>
      <c r="B29972" s="1" t="s">
        <v>7328</v>
      </c>
      <c r="C29972" s="1" t="s">
        <v>7329</v>
      </c>
      <c r="D29972" s="1" t="str">
        <f>HYPERLINK("https://rhld.insurance.arkansas.gov/NPILookup?Npi=1982183885","1982183885")</f>
        <v>1982183885</v>
      </c>
      <c r="E29972" s="1" t="s">
        <v>1234</v>
      </c>
      <c r="F29972" s="2"/>
      <c r="G29972" s="2"/>
      <c r="H29972" s="2"/>
    </row>
    <row r="29973" spans="1:8" x14ac:dyDescent="0.25">
      <c r="A29973" s="1"/>
      <c r="B29973" s="1" t="s">
        <v>7328</v>
      </c>
      <c r="C29973" s="1" t="s">
        <v>7329</v>
      </c>
      <c r="D29973" s="1" t="str">
        <f>HYPERLINK("https://rhld.insurance.arkansas.gov/NPILookup?Npi=1982188389","1982188389")</f>
        <v>1982188389</v>
      </c>
      <c r="E29973" s="1" t="s">
        <v>29496</v>
      </c>
      <c r="F29973" s="2"/>
      <c r="G29973" s="2"/>
      <c r="H29973" s="2"/>
    </row>
    <row r="29974" spans="1:8" x14ac:dyDescent="0.25">
      <c r="A29974" s="1"/>
      <c r="B29974" s="1" t="s">
        <v>7328</v>
      </c>
      <c r="C29974" s="1" t="s">
        <v>7329</v>
      </c>
      <c r="D29974" s="1" t="str">
        <f>HYPERLINK("https://rhld.insurance.arkansas.gov/NPILookup?Npi=1982203444","1982203444")</f>
        <v>1982203444</v>
      </c>
      <c r="E29974" s="1" t="s">
        <v>29497</v>
      </c>
      <c r="F29974" s="2"/>
      <c r="G29974" s="2"/>
      <c r="H29974" s="2"/>
    </row>
    <row r="29975" spans="1:8" x14ac:dyDescent="0.25">
      <c r="A29975" s="1"/>
      <c r="B29975" s="1" t="s">
        <v>7328</v>
      </c>
      <c r="C29975" s="1" t="s">
        <v>7329</v>
      </c>
      <c r="D29975" s="1" t="str">
        <f>HYPERLINK("https://rhld.insurance.arkansas.gov/NPILookup?Npi=1982215968","1982215968")</f>
        <v>1982215968</v>
      </c>
      <c r="E29975" s="1" t="s">
        <v>29498</v>
      </c>
      <c r="F29975" s="2"/>
      <c r="G29975" s="2"/>
      <c r="H29975" s="2"/>
    </row>
    <row r="29976" spans="1:8" x14ac:dyDescent="0.25">
      <c r="A29976" s="1"/>
      <c r="B29976" s="1" t="s">
        <v>7328</v>
      </c>
      <c r="C29976" s="1" t="s">
        <v>7329</v>
      </c>
      <c r="D29976" s="1" t="str">
        <f>HYPERLINK("https://rhld.insurance.arkansas.gov/NPILookup?Npi=1982219663","1982219663")</f>
        <v>1982219663</v>
      </c>
      <c r="E29976" s="1" t="s">
        <v>29499</v>
      </c>
      <c r="F29976" s="2"/>
      <c r="G29976" s="2"/>
      <c r="H29976" s="2"/>
    </row>
    <row r="29977" spans="1:8" x14ac:dyDescent="0.25">
      <c r="A29977" s="1"/>
      <c r="B29977" s="1" t="s">
        <v>7328</v>
      </c>
      <c r="C29977" s="1" t="s">
        <v>7329</v>
      </c>
      <c r="D29977" s="1" t="str">
        <f>HYPERLINK("https://rhld.insurance.arkansas.gov/NPILookup?Npi=1982226395","1982226395")</f>
        <v>1982226395</v>
      </c>
      <c r="E29977" s="1" t="s">
        <v>8255</v>
      </c>
      <c r="F29977" s="2"/>
      <c r="G29977" s="2"/>
      <c r="H29977" s="2"/>
    </row>
    <row r="29978" spans="1:8" x14ac:dyDescent="0.25">
      <c r="A29978" s="1"/>
      <c r="B29978" s="1" t="s">
        <v>7328</v>
      </c>
      <c r="C29978" s="1" t="s">
        <v>7329</v>
      </c>
      <c r="D29978" s="1" t="str">
        <f>HYPERLINK("https://rhld.insurance.arkansas.gov/NPILookup?Npi=1982228995","1982228995")</f>
        <v>1982228995</v>
      </c>
      <c r="E29978" s="1" t="s">
        <v>29500</v>
      </c>
      <c r="F29978" s="2"/>
      <c r="G29978" s="2"/>
      <c r="H29978" s="2"/>
    </row>
    <row r="29979" spans="1:8" x14ac:dyDescent="0.25">
      <c r="A29979" s="1"/>
      <c r="B29979" s="1" t="s">
        <v>7328</v>
      </c>
      <c r="C29979" s="1" t="s">
        <v>7329</v>
      </c>
      <c r="D29979" s="1" t="str">
        <f>HYPERLINK("https://rhld.insurance.arkansas.gov/NPILookup?Npi=1982229381","1982229381")</f>
        <v>1982229381</v>
      </c>
      <c r="E29979" s="1" t="s">
        <v>8256</v>
      </c>
      <c r="F29979" s="2"/>
      <c r="G29979" s="2"/>
      <c r="H29979" s="2"/>
    </row>
    <row r="29980" spans="1:8" x14ac:dyDescent="0.25">
      <c r="A29980" s="1"/>
      <c r="B29980" s="1" t="s">
        <v>7328</v>
      </c>
      <c r="C29980" s="1" t="s">
        <v>7329</v>
      </c>
      <c r="D29980" s="1" t="str">
        <f>HYPERLINK("https://rhld.insurance.arkansas.gov/NPILookup?Npi=1982230421","1982230421")</f>
        <v>1982230421</v>
      </c>
      <c r="E29980" s="1" t="s">
        <v>29501</v>
      </c>
      <c r="F29980" s="2"/>
      <c r="G29980" s="2"/>
      <c r="H29980" s="2"/>
    </row>
    <row r="29981" spans="1:8" x14ac:dyDescent="0.25">
      <c r="A29981" s="1"/>
      <c r="B29981" s="1" t="s">
        <v>7328</v>
      </c>
      <c r="C29981" s="1" t="s">
        <v>7329</v>
      </c>
      <c r="D29981" s="1" t="str">
        <f>HYPERLINK("https://rhld.insurance.arkansas.gov/NPILookup?Npi=1982235735","1982235735")</f>
        <v>1982235735</v>
      </c>
      <c r="E29981" s="1" t="s">
        <v>8257</v>
      </c>
      <c r="F29981" s="2"/>
      <c r="G29981" s="2"/>
      <c r="H29981" s="2"/>
    </row>
    <row r="29982" spans="1:8" x14ac:dyDescent="0.25">
      <c r="A29982" s="1"/>
      <c r="B29982" s="1" t="s">
        <v>7328</v>
      </c>
      <c r="C29982" s="1" t="s">
        <v>7329</v>
      </c>
      <c r="D29982" s="1" t="str">
        <f>HYPERLINK("https://rhld.insurance.arkansas.gov/NPILookup?Npi=1982253266","1982253266")</f>
        <v>1982253266</v>
      </c>
      <c r="E29982" s="1" t="s">
        <v>3110</v>
      </c>
      <c r="F29982" s="2"/>
      <c r="G29982" s="2"/>
      <c r="H29982" s="2"/>
    </row>
    <row r="29983" spans="1:8" x14ac:dyDescent="0.25">
      <c r="A29983" s="1"/>
      <c r="B29983" s="1" t="s">
        <v>7328</v>
      </c>
      <c r="C29983" s="1" t="s">
        <v>7329</v>
      </c>
      <c r="D29983" s="1" t="str">
        <f>HYPERLINK("https://rhld.insurance.arkansas.gov/NPILookup?Npi=1982258661","1982258661")</f>
        <v>1982258661</v>
      </c>
      <c r="E29983" s="1" t="s">
        <v>8258</v>
      </c>
      <c r="F29983" s="2"/>
      <c r="G29983" s="2"/>
      <c r="H29983" s="2"/>
    </row>
    <row r="29984" spans="1:8" x14ac:dyDescent="0.25">
      <c r="A29984" s="1"/>
      <c r="B29984" s="1" t="s">
        <v>7328</v>
      </c>
      <c r="C29984" s="1" t="s">
        <v>7329</v>
      </c>
      <c r="D29984" s="1" t="str">
        <f>HYPERLINK("https://rhld.insurance.arkansas.gov/NPILookup?Npi=1982276150","1982276150")</f>
        <v>1982276150</v>
      </c>
      <c r="E29984" s="1" t="s">
        <v>8259</v>
      </c>
      <c r="F29984" s="2"/>
      <c r="G29984" s="2"/>
      <c r="H29984" s="2"/>
    </row>
    <row r="29985" spans="1:8" x14ac:dyDescent="0.25">
      <c r="A29985" s="1"/>
      <c r="B29985" s="1" t="s">
        <v>7328</v>
      </c>
      <c r="C29985" s="1" t="s">
        <v>7329</v>
      </c>
      <c r="D29985" s="1" t="str">
        <f>HYPERLINK("https://rhld.insurance.arkansas.gov/NPILookup?Npi=1982277505","1982277505")</f>
        <v>1982277505</v>
      </c>
      <c r="E29985" s="1" t="s">
        <v>29502</v>
      </c>
      <c r="F29985" s="2"/>
      <c r="G29985" s="2"/>
      <c r="H29985" s="2"/>
    </row>
    <row r="29986" spans="1:8" x14ac:dyDescent="0.25">
      <c r="A29986" s="1"/>
      <c r="B29986" s="1" t="s">
        <v>7328</v>
      </c>
      <c r="C29986" s="1" t="s">
        <v>7329</v>
      </c>
      <c r="D29986" s="1" t="str">
        <f>HYPERLINK("https://rhld.insurance.arkansas.gov/NPILookup?Npi=1982288973","1982288973")</f>
        <v>1982288973</v>
      </c>
      <c r="E29986" s="1" t="s">
        <v>8260</v>
      </c>
      <c r="F29986" s="2"/>
      <c r="G29986" s="2"/>
      <c r="H29986" s="2"/>
    </row>
    <row r="29987" spans="1:8" x14ac:dyDescent="0.25">
      <c r="A29987" s="1"/>
      <c r="B29987" s="1" t="s">
        <v>7328</v>
      </c>
      <c r="C29987" s="1" t="s">
        <v>7329</v>
      </c>
      <c r="D29987" s="1" t="str">
        <f>HYPERLINK("https://rhld.insurance.arkansas.gov/NPILookup?Npi=1982299871","1982299871")</f>
        <v>1982299871</v>
      </c>
      <c r="E29987" s="1" t="s">
        <v>8261</v>
      </c>
      <c r="F29987" s="2"/>
      <c r="G29987" s="2"/>
      <c r="H29987" s="2"/>
    </row>
    <row r="29988" spans="1:8" x14ac:dyDescent="0.25">
      <c r="A29988" s="1"/>
      <c r="B29988" s="1" t="s">
        <v>7328</v>
      </c>
      <c r="C29988" s="1" t="s">
        <v>7329</v>
      </c>
      <c r="D29988" s="1" t="str">
        <f>HYPERLINK("https://rhld.insurance.arkansas.gov/NPILookup?Npi=1982319067","1982319067")</f>
        <v>1982319067</v>
      </c>
      <c r="E29988" s="1" t="s">
        <v>5199</v>
      </c>
      <c r="F29988" s="2"/>
      <c r="G29988" s="2"/>
      <c r="H29988" s="2"/>
    </row>
    <row r="29989" spans="1:8" x14ac:dyDescent="0.25">
      <c r="A29989" s="1"/>
      <c r="B29989" s="1" t="s">
        <v>7328</v>
      </c>
      <c r="C29989" s="1" t="s">
        <v>7329</v>
      </c>
      <c r="D29989" s="1" t="str">
        <f>HYPERLINK("https://rhld.insurance.arkansas.gov/NPILookup?Npi=1982320222","1982320222")</f>
        <v>1982320222</v>
      </c>
      <c r="E29989" s="1" t="s">
        <v>8262</v>
      </c>
      <c r="F29989" s="2"/>
      <c r="G29989" s="2"/>
      <c r="H29989" s="2"/>
    </row>
    <row r="29990" spans="1:8" x14ac:dyDescent="0.25">
      <c r="A29990" s="1"/>
      <c r="B29990" s="1" t="s">
        <v>7328</v>
      </c>
      <c r="C29990" s="1" t="s">
        <v>7329</v>
      </c>
      <c r="D29990" s="1" t="str">
        <f>HYPERLINK("https://rhld.insurance.arkansas.gov/NPILookup?Npi=1982365268","1982365268")</f>
        <v>1982365268</v>
      </c>
      <c r="E29990" s="1" t="s">
        <v>8263</v>
      </c>
      <c r="F29990" s="2"/>
      <c r="G29990" s="2"/>
      <c r="H29990" s="2"/>
    </row>
    <row r="29991" spans="1:8" x14ac:dyDescent="0.25">
      <c r="A29991" s="1"/>
      <c r="B29991" s="1" t="s">
        <v>7328</v>
      </c>
      <c r="C29991" s="1" t="s">
        <v>7329</v>
      </c>
      <c r="D29991" s="1" t="str">
        <f>HYPERLINK("https://rhld.insurance.arkansas.gov/NPILookup?Npi=1982368627","1982368627")</f>
        <v>1982368627</v>
      </c>
      <c r="E29991" s="1" t="s">
        <v>29503</v>
      </c>
      <c r="F29991" s="2"/>
      <c r="G29991" s="2"/>
      <c r="H29991" s="2"/>
    </row>
    <row r="29992" spans="1:8" x14ac:dyDescent="0.25">
      <c r="A29992" s="1"/>
      <c r="B29992" s="1" t="s">
        <v>7328</v>
      </c>
      <c r="C29992" s="1" t="s">
        <v>7329</v>
      </c>
      <c r="D29992" s="1" t="str">
        <f>HYPERLINK("https://rhld.insurance.arkansas.gov/NPILookup?Npi=1982378683","1982378683")</f>
        <v>1982378683</v>
      </c>
      <c r="E29992" s="1" t="s">
        <v>29504</v>
      </c>
      <c r="F29992" s="2"/>
      <c r="G29992" s="2"/>
      <c r="H29992" s="2"/>
    </row>
    <row r="29993" spans="1:8" x14ac:dyDescent="0.25">
      <c r="A29993" s="1"/>
      <c r="B29993" s="1" t="s">
        <v>7328</v>
      </c>
      <c r="C29993" s="1" t="s">
        <v>7329</v>
      </c>
      <c r="D29993" s="1" t="str">
        <f>HYPERLINK("https://rhld.insurance.arkansas.gov/NPILookup?Npi=1982380275","1982380275")</f>
        <v>1982380275</v>
      </c>
      <c r="E29993" s="1" t="s">
        <v>8264</v>
      </c>
      <c r="F29993" s="2"/>
      <c r="G29993" s="2"/>
      <c r="H29993" s="2"/>
    </row>
    <row r="29994" spans="1:8" x14ac:dyDescent="0.25">
      <c r="A29994" s="1"/>
      <c r="B29994" s="1" t="s">
        <v>7328</v>
      </c>
      <c r="C29994" s="1" t="s">
        <v>7329</v>
      </c>
      <c r="D29994" s="1" t="str">
        <f>HYPERLINK("https://rhld.insurance.arkansas.gov/NPILookup?Npi=1982382735","1982382735")</f>
        <v>1982382735</v>
      </c>
      <c r="E29994" s="1" t="s">
        <v>29505</v>
      </c>
      <c r="F29994" s="2"/>
      <c r="G29994" s="2"/>
      <c r="H29994" s="2"/>
    </row>
    <row r="29995" spans="1:8" x14ac:dyDescent="0.25">
      <c r="A29995" s="1"/>
      <c r="B29995" s="1" t="s">
        <v>7328</v>
      </c>
      <c r="C29995" s="1" t="s">
        <v>7329</v>
      </c>
      <c r="D29995" s="1" t="str">
        <f>HYPERLINK("https://rhld.insurance.arkansas.gov/NPILookup?Npi=1982385118","1982385118")</f>
        <v>1982385118</v>
      </c>
      <c r="E29995" s="1" t="s">
        <v>32425</v>
      </c>
      <c r="F29995" s="2"/>
      <c r="G29995" s="2"/>
      <c r="H29995" s="2"/>
    </row>
    <row r="29996" spans="1:8" x14ac:dyDescent="0.25">
      <c r="A29996" s="1"/>
      <c r="B29996" s="1" t="s">
        <v>7328</v>
      </c>
      <c r="C29996" s="1" t="s">
        <v>7329</v>
      </c>
      <c r="D29996" s="1" t="str">
        <f>HYPERLINK("https://rhld.insurance.arkansas.gov/NPILookup?Npi=1982398186","1982398186")</f>
        <v>1982398186</v>
      </c>
      <c r="E29996" s="1" t="s">
        <v>8265</v>
      </c>
      <c r="F29996" s="2"/>
      <c r="G29996" s="2"/>
      <c r="H29996" s="2"/>
    </row>
    <row r="29997" spans="1:8" x14ac:dyDescent="0.25">
      <c r="A29997" s="1"/>
      <c r="B29997" s="1" t="s">
        <v>7328</v>
      </c>
      <c r="C29997" s="1" t="s">
        <v>7329</v>
      </c>
      <c r="D29997" s="1" t="str">
        <f>HYPERLINK("https://rhld.insurance.arkansas.gov/NPILookup?Npi=1982417234","1982417234")</f>
        <v>1982417234</v>
      </c>
      <c r="E29997" s="1" t="s">
        <v>32426</v>
      </c>
      <c r="F29997" s="2"/>
      <c r="G29997" s="2"/>
      <c r="H29997" s="2"/>
    </row>
    <row r="29998" spans="1:8" x14ac:dyDescent="0.25">
      <c r="A29998" s="1"/>
      <c r="B29998" s="1" t="s">
        <v>7328</v>
      </c>
      <c r="C29998" s="1" t="s">
        <v>7329</v>
      </c>
      <c r="D29998" s="1" t="str">
        <f>HYPERLINK("https://rhld.insurance.arkansas.gov/NPILookup?Npi=1982418984","1982418984")</f>
        <v>1982418984</v>
      </c>
      <c r="E29998" s="1" t="s">
        <v>31990</v>
      </c>
      <c r="F29998" s="2"/>
      <c r="G29998" s="2"/>
      <c r="H29998" s="2"/>
    </row>
    <row r="29999" spans="1:8" x14ac:dyDescent="0.25">
      <c r="A29999" s="1"/>
      <c r="B29999" s="1" t="s">
        <v>7328</v>
      </c>
      <c r="C29999" s="1" t="s">
        <v>7329</v>
      </c>
      <c r="D29999" s="1" t="str">
        <f>HYPERLINK("https://rhld.insurance.arkansas.gov/NPILookup?Npi=1982424420","1982424420")</f>
        <v>1982424420</v>
      </c>
      <c r="E29999" s="1" t="s">
        <v>32427</v>
      </c>
      <c r="F29999" s="2"/>
      <c r="G29999" s="2"/>
      <c r="H29999" s="2"/>
    </row>
    <row r="30000" spans="1:8" x14ac:dyDescent="0.25">
      <c r="A30000" s="1"/>
      <c r="B30000" s="1" t="s">
        <v>7328</v>
      </c>
      <c r="C30000" s="1" t="s">
        <v>7329</v>
      </c>
      <c r="D30000" s="1" t="str">
        <f>HYPERLINK("https://rhld.insurance.arkansas.gov/NPILookup?Npi=1982428140","1982428140")</f>
        <v>1982428140</v>
      </c>
      <c r="E30000" s="1" t="s">
        <v>29506</v>
      </c>
      <c r="F30000" s="2"/>
      <c r="G30000" s="2"/>
      <c r="H30000" s="2"/>
    </row>
    <row r="30001" spans="1:8" x14ac:dyDescent="0.25">
      <c r="A30001" s="1"/>
      <c r="B30001" s="1" t="s">
        <v>7328</v>
      </c>
      <c r="C30001" s="1" t="s">
        <v>7329</v>
      </c>
      <c r="D30001" s="1" t="str">
        <f>HYPERLINK("https://rhld.insurance.arkansas.gov/NPILookup?Npi=1982473591","1982473591")</f>
        <v>1982473591</v>
      </c>
      <c r="E30001" s="1" t="s">
        <v>29507</v>
      </c>
      <c r="F30001" s="2"/>
      <c r="G30001" s="2"/>
      <c r="H30001" s="2"/>
    </row>
    <row r="30002" spans="1:8" x14ac:dyDescent="0.25">
      <c r="A30002" s="1"/>
      <c r="B30002" s="1" t="s">
        <v>7328</v>
      </c>
      <c r="C30002" s="1" t="s">
        <v>7329</v>
      </c>
      <c r="D30002" s="1" t="str">
        <f>HYPERLINK("https://rhld.insurance.arkansas.gov/NPILookup?Npi=1982482808","1982482808")</f>
        <v>1982482808</v>
      </c>
      <c r="E30002" s="1" t="s">
        <v>8266</v>
      </c>
      <c r="F30002" s="2"/>
      <c r="G30002" s="2"/>
      <c r="H30002" s="2"/>
    </row>
    <row r="30003" spans="1:8" x14ac:dyDescent="0.25">
      <c r="A30003" s="1"/>
      <c r="B30003" s="1" t="s">
        <v>7328</v>
      </c>
      <c r="C30003" s="1" t="s">
        <v>7329</v>
      </c>
      <c r="D30003" s="1" t="str">
        <f>HYPERLINK("https://rhld.insurance.arkansas.gov/NPILookup?Npi=1982604385","1982604385")</f>
        <v>1982604385</v>
      </c>
      <c r="E30003" s="1" t="s">
        <v>29508</v>
      </c>
      <c r="F30003" s="2"/>
      <c r="G30003" s="2"/>
      <c r="H30003" s="2"/>
    </row>
    <row r="30004" spans="1:8" x14ac:dyDescent="0.25">
      <c r="A30004" s="1"/>
      <c r="B30004" s="1" t="s">
        <v>7328</v>
      </c>
      <c r="C30004" s="1" t="s">
        <v>7329</v>
      </c>
      <c r="D30004" s="1" t="str">
        <f>HYPERLINK("https://rhld.insurance.arkansas.gov/NPILookup?Npi=1982616231","1982616231")</f>
        <v>1982616231</v>
      </c>
      <c r="E30004" s="1" t="s">
        <v>29509</v>
      </c>
      <c r="F30004" s="2"/>
      <c r="G30004" s="2"/>
      <c r="H30004" s="2"/>
    </row>
    <row r="30005" spans="1:8" x14ac:dyDescent="0.25">
      <c r="A30005" s="1"/>
      <c r="B30005" s="1" t="s">
        <v>7328</v>
      </c>
      <c r="C30005" s="1" t="s">
        <v>7329</v>
      </c>
      <c r="D30005" s="1" t="str">
        <f>HYPERLINK("https://rhld.insurance.arkansas.gov/NPILookup?Npi=1982617221","1982617221")</f>
        <v>1982617221</v>
      </c>
      <c r="E30005" s="1" t="s">
        <v>13847</v>
      </c>
      <c r="F30005" s="2"/>
      <c r="G30005" s="2"/>
      <c r="H30005" s="2"/>
    </row>
    <row r="30006" spans="1:8" x14ac:dyDescent="0.25">
      <c r="A30006" s="1"/>
      <c r="B30006" s="1" t="s">
        <v>7328</v>
      </c>
      <c r="C30006" s="1" t="s">
        <v>7329</v>
      </c>
      <c r="D30006" s="1" t="str">
        <f>HYPERLINK("https://rhld.insurance.arkansas.gov/NPILookup?Npi=1982624748","1982624748")</f>
        <v>1982624748</v>
      </c>
      <c r="E30006" s="1" t="s">
        <v>3111</v>
      </c>
      <c r="F30006" s="2"/>
      <c r="G30006" s="2"/>
      <c r="H30006" s="2"/>
    </row>
    <row r="30007" spans="1:8" x14ac:dyDescent="0.25">
      <c r="A30007" s="1"/>
      <c r="B30007" s="1" t="s">
        <v>7328</v>
      </c>
      <c r="C30007" s="1" t="s">
        <v>7329</v>
      </c>
      <c r="D30007" s="1" t="str">
        <f>HYPERLINK("https://rhld.insurance.arkansas.gov/NPILookup?Npi=1982631313","1982631313")</f>
        <v>1982631313</v>
      </c>
      <c r="E30007" s="1" t="s">
        <v>29510</v>
      </c>
      <c r="F30007" s="2"/>
      <c r="G30007" s="2"/>
      <c r="H30007" s="2"/>
    </row>
    <row r="30008" spans="1:8" x14ac:dyDescent="0.25">
      <c r="A30008" s="1"/>
      <c r="B30008" s="1" t="s">
        <v>7328</v>
      </c>
      <c r="C30008" s="1" t="s">
        <v>7329</v>
      </c>
      <c r="D30008" s="1" t="str">
        <f>HYPERLINK("https://rhld.insurance.arkansas.gov/NPILookup?Npi=1982650925","1982650925")</f>
        <v>1982650925</v>
      </c>
      <c r="E30008" s="1" t="s">
        <v>124</v>
      </c>
      <c r="F30008" s="2"/>
      <c r="G30008" s="2"/>
      <c r="H30008" s="2"/>
    </row>
    <row r="30009" spans="1:8" x14ac:dyDescent="0.25">
      <c r="A30009" s="1"/>
      <c r="B30009" s="1" t="s">
        <v>7328</v>
      </c>
      <c r="C30009" s="1" t="s">
        <v>7329</v>
      </c>
      <c r="D30009" s="1" t="str">
        <f>HYPERLINK("https://rhld.insurance.arkansas.gov/NPILookup?Npi=1982652624","1982652624")</f>
        <v>1982652624</v>
      </c>
      <c r="E30009" s="1" t="s">
        <v>29511</v>
      </c>
      <c r="F30009" s="2"/>
      <c r="G30009" s="2"/>
      <c r="H30009" s="2"/>
    </row>
    <row r="30010" spans="1:8" x14ac:dyDescent="0.25">
      <c r="A30010" s="1"/>
      <c r="B30010" s="1" t="s">
        <v>7328</v>
      </c>
      <c r="C30010" s="1" t="s">
        <v>7329</v>
      </c>
      <c r="D30010" s="1" t="str">
        <f>HYPERLINK("https://rhld.insurance.arkansas.gov/NPILookup?Npi=1982653614","1982653614")</f>
        <v>1982653614</v>
      </c>
      <c r="E30010" s="1" t="s">
        <v>1406</v>
      </c>
      <c r="F30010" s="2"/>
      <c r="G30010" s="2"/>
      <c r="H30010" s="2"/>
    </row>
    <row r="30011" spans="1:8" x14ac:dyDescent="0.25">
      <c r="A30011" s="1"/>
      <c r="B30011" s="1" t="s">
        <v>7328</v>
      </c>
      <c r="C30011" s="1" t="s">
        <v>7329</v>
      </c>
      <c r="D30011" s="1" t="str">
        <f>HYPERLINK("https://rhld.insurance.arkansas.gov/NPILookup?Npi=1982654380","1982654380")</f>
        <v>1982654380</v>
      </c>
      <c r="E30011" s="1" t="s">
        <v>29512</v>
      </c>
      <c r="F30011" s="2"/>
      <c r="G30011" s="2"/>
      <c r="H30011" s="2"/>
    </row>
    <row r="30012" spans="1:8" x14ac:dyDescent="0.25">
      <c r="A30012" s="1"/>
      <c r="B30012" s="1" t="s">
        <v>7328</v>
      </c>
      <c r="C30012" s="1" t="s">
        <v>7329</v>
      </c>
      <c r="D30012" s="1" t="str">
        <f>HYPERLINK("https://rhld.insurance.arkansas.gov/NPILookup?Npi=1982658506","1982658506")</f>
        <v>1982658506</v>
      </c>
      <c r="E30012" s="1" t="s">
        <v>13848</v>
      </c>
      <c r="F30012" s="2"/>
      <c r="G30012" s="2"/>
      <c r="H30012" s="2"/>
    </row>
    <row r="30013" spans="1:8" x14ac:dyDescent="0.25">
      <c r="A30013" s="1"/>
      <c r="B30013" s="1" t="s">
        <v>7328</v>
      </c>
      <c r="C30013" s="1" t="s">
        <v>7329</v>
      </c>
      <c r="D30013" s="1" t="str">
        <f>HYPERLINK("https://rhld.insurance.arkansas.gov/NPILookup?Npi=1982660742","1982660742")</f>
        <v>1982660742</v>
      </c>
      <c r="E30013" s="1" t="s">
        <v>29513</v>
      </c>
      <c r="F30013" s="2"/>
      <c r="G30013" s="2"/>
      <c r="H30013" s="2"/>
    </row>
    <row r="30014" spans="1:8" x14ac:dyDescent="0.25">
      <c r="A30014" s="1"/>
      <c r="B30014" s="1" t="s">
        <v>7328</v>
      </c>
      <c r="C30014" s="1" t="s">
        <v>7329</v>
      </c>
      <c r="D30014" s="1" t="str">
        <f>HYPERLINK("https://rhld.insurance.arkansas.gov/NPILookup?Npi=1982661757","1982661757")</f>
        <v>1982661757</v>
      </c>
      <c r="E30014" s="1" t="s">
        <v>18060</v>
      </c>
      <c r="F30014" s="2"/>
      <c r="G30014" s="2"/>
      <c r="H30014" s="2"/>
    </row>
    <row r="30015" spans="1:8" x14ac:dyDescent="0.25">
      <c r="A30015" s="1"/>
      <c r="B30015" s="1" t="s">
        <v>7328</v>
      </c>
      <c r="C30015" s="1" t="s">
        <v>7329</v>
      </c>
      <c r="D30015" s="1" t="str">
        <f>HYPERLINK("https://rhld.insurance.arkansas.gov/NPILookup?Npi=1982662185","1982662185")</f>
        <v>1982662185</v>
      </c>
      <c r="E30015" s="1" t="s">
        <v>155</v>
      </c>
      <c r="F30015" s="2"/>
      <c r="G30015" s="2"/>
      <c r="H30015" s="2"/>
    </row>
    <row r="30016" spans="1:8" x14ac:dyDescent="0.25">
      <c r="A30016" s="1"/>
      <c r="B30016" s="1" t="s">
        <v>7328</v>
      </c>
      <c r="C30016" s="1" t="s">
        <v>7329</v>
      </c>
      <c r="D30016" s="1" t="str">
        <f>HYPERLINK("https://rhld.insurance.arkansas.gov/NPILookup?Npi=1982662961","1982662961")</f>
        <v>1982662961</v>
      </c>
      <c r="E30016" s="1" t="s">
        <v>29514</v>
      </c>
      <c r="F30016" s="2"/>
      <c r="G30016" s="2"/>
      <c r="H30016" s="2"/>
    </row>
    <row r="30017" spans="1:8" x14ac:dyDescent="0.25">
      <c r="A30017" s="1"/>
      <c r="B30017" s="1" t="s">
        <v>7328</v>
      </c>
      <c r="C30017" s="1" t="s">
        <v>7329</v>
      </c>
      <c r="D30017" s="1" t="str">
        <f>HYPERLINK("https://rhld.insurance.arkansas.gov/NPILookup?Npi=1982671699","1982671699")</f>
        <v>1982671699</v>
      </c>
      <c r="E30017" s="1" t="s">
        <v>19688</v>
      </c>
      <c r="F30017" s="2"/>
      <c r="G30017" s="2"/>
      <c r="H30017" s="2"/>
    </row>
    <row r="30018" spans="1:8" x14ac:dyDescent="0.25">
      <c r="A30018" s="1"/>
      <c r="B30018" s="1" t="s">
        <v>7328</v>
      </c>
      <c r="C30018" s="1" t="s">
        <v>7329</v>
      </c>
      <c r="D30018" s="1" t="str">
        <f>HYPERLINK("https://rhld.insurance.arkansas.gov/NPILookup?Npi=1982677803","1982677803")</f>
        <v>1982677803</v>
      </c>
      <c r="E30018" s="1" t="s">
        <v>29516</v>
      </c>
      <c r="F30018" s="2"/>
      <c r="G30018" s="2"/>
      <c r="H30018" s="2"/>
    </row>
    <row r="30019" spans="1:8" x14ac:dyDescent="0.25">
      <c r="A30019" s="1"/>
      <c r="B30019" s="1" t="s">
        <v>7328</v>
      </c>
      <c r="C30019" s="1" t="s">
        <v>7329</v>
      </c>
      <c r="D30019" s="1" t="str">
        <f>HYPERLINK("https://rhld.insurance.arkansas.gov/NPILookup?Npi=1982684080","1982684080")</f>
        <v>1982684080</v>
      </c>
      <c r="E30019" s="1" t="s">
        <v>13849</v>
      </c>
      <c r="F30019" s="2"/>
      <c r="G30019" s="2"/>
      <c r="H30019" s="2"/>
    </row>
    <row r="30020" spans="1:8" x14ac:dyDescent="0.25">
      <c r="A30020" s="1"/>
      <c r="B30020" s="1" t="s">
        <v>7328</v>
      </c>
      <c r="C30020" s="1" t="s">
        <v>7329</v>
      </c>
      <c r="D30020" s="1" t="str">
        <f>HYPERLINK("https://rhld.insurance.arkansas.gov/NPILookup?Npi=1982687471","1982687471")</f>
        <v>1982687471</v>
      </c>
      <c r="E30020" s="1" t="s">
        <v>29517</v>
      </c>
      <c r="F30020" s="2"/>
      <c r="G30020" s="2"/>
      <c r="H30020" s="2"/>
    </row>
    <row r="30021" spans="1:8" x14ac:dyDescent="0.25">
      <c r="A30021" s="1"/>
      <c r="B30021" s="1" t="s">
        <v>7328</v>
      </c>
      <c r="C30021" s="1" t="s">
        <v>7329</v>
      </c>
      <c r="D30021" s="1" t="str">
        <f>HYPERLINK("https://rhld.insurance.arkansas.gov/NPILookup?Npi=1982694337","1982694337")</f>
        <v>1982694337</v>
      </c>
      <c r="E30021" s="1" t="s">
        <v>10494</v>
      </c>
      <c r="F30021" s="2"/>
      <c r="G30021" s="2"/>
      <c r="H30021" s="2"/>
    </row>
    <row r="30022" spans="1:8" x14ac:dyDescent="0.25">
      <c r="A30022" s="1"/>
      <c r="B30022" s="1" t="s">
        <v>7328</v>
      </c>
      <c r="C30022" s="1" t="s">
        <v>7329</v>
      </c>
      <c r="D30022" s="1" t="str">
        <f>HYPERLINK("https://rhld.insurance.arkansas.gov/NPILookup?Npi=1982698965","1982698965")</f>
        <v>1982698965</v>
      </c>
      <c r="E30022" s="1" t="s">
        <v>2112</v>
      </c>
      <c r="F30022" s="2"/>
      <c r="G30022" s="2"/>
      <c r="H30022" s="2"/>
    </row>
    <row r="30023" spans="1:8" x14ac:dyDescent="0.25">
      <c r="A30023" s="1"/>
      <c r="B30023" s="1" t="s">
        <v>7328</v>
      </c>
      <c r="C30023" s="1" t="s">
        <v>7329</v>
      </c>
      <c r="D30023" s="1" t="str">
        <f>HYPERLINK("https://rhld.insurance.arkansas.gov/NPILookup?Npi=1982726444","1982726444")</f>
        <v>1982726444</v>
      </c>
      <c r="E30023" s="1" t="s">
        <v>3112</v>
      </c>
      <c r="F30023" s="2"/>
      <c r="G30023" s="2"/>
      <c r="H30023" s="2"/>
    </row>
    <row r="30024" spans="1:8" x14ac:dyDescent="0.25">
      <c r="A30024" s="1"/>
      <c r="B30024" s="1" t="s">
        <v>7328</v>
      </c>
      <c r="C30024" s="1" t="s">
        <v>7329</v>
      </c>
      <c r="D30024" s="1" t="str">
        <f>HYPERLINK("https://rhld.insurance.arkansas.gov/NPILookup?Npi=1982830915","1982830915")</f>
        <v>1982830915</v>
      </c>
      <c r="E30024" s="1" t="s">
        <v>1115</v>
      </c>
      <c r="F30024" s="2"/>
      <c r="G30024" s="2"/>
      <c r="H30024" s="2"/>
    </row>
    <row r="30025" spans="1:8" x14ac:dyDescent="0.25">
      <c r="A30025" s="1"/>
      <c r="B30025" s="1" t="s">
        <v>7328</v>
      </c>
      <c r="C30025" s="1" t="s">
        <v>7329</v>
      </c>
      <c r="D30025" s="1" t="str">
        <f>HYPERLINK("https://rhld.insurance.arkansas.gov/NPILookup?Npi=1982833489","1982833489")</f>
        <v>1982833489</v>
      </c>
      <c r="E30025" s="1" t="s">
        <v>29518</v>
      </c>
      <c r="F30025" s="2"/>
      <c r="G30025" s="2"/>
      <c r="H30025" s="2"/>
    </row>
    <row r="30026" spans="1:8" x14ac:dyDescent="0.25">
      <c r="A30026" s="1"/>
      <c r="B30026" s="1" t="s">
        <v>7328</v>
      </c>
      <c r="C30026" s="1" t="s">
        <v>7329</v>
      </c>
      <c r="D30026" s="1" t="str">
        <f>HYPERLINK("https://rhld.insurance.arkansas.gov/NPILookup?Npi=1982845939","1982845939")</f>
        <v>1982845939</v>
      </c>
      <c r="E30026" s="1" t="s">
        <v>2113</v>
      </c>
      <c r="F30026" s="2"/>
      <c r="G30026" s="2"/>
      <c r="H30026" s="2"/>
    </row>
    <row r="30027" spans="1:8" x14ac:dyDescent="0.25">
      <c r="A30027" s="1"/>
      <c r="B30027" s="1" t="s">
        <v>7328</v>
      </c>
      <c r="C30027" s="1" t="s">
        <v>7329</v>
      </c>
      <c r="D30027" s="1" t="str">
        <f>HYPERLINK("https://rhld.insurance.arkansas.gov/NPILookup?Npi=1982847224","1982847224")</f>
        <v>1982847224</v>
      </c>
      <c r="E30027" s="1" t="s">
        <v>29519</v>
      </c>
      <c r="F30027" s="2"/>
      <c r="G30027" s="2"/>
      <c r="H30027" s="2"/>
    </row>
    <row r="30028" spans="1:8" x14ac:dyDescent="0.25">
      <c r="A30028" s="1"/>
      <c r="B30028" s="1" t="s">
        <v>7328</v>
      </c>
      <c r="C30028" s="1" t="s">
        <v>7329</v>
      </c>
      <c r="D30028" s="1" t="str">
        <f>HYPERLINK("https://rhld.insurance.arkansas.gov/NPILookup?Npi=1982856837","1982856837")</f>
        <v>1982856837</v>
      </c>
      <c r="E30028" s="1" t="s">
        <v>29520</v>
      </c>
      <c r="F30028" s="2"/>
      <c r="G30028" s="2"/>
      <c r="H30028" s="2"/>
    </row>
    <row r="30029" spans="1:8" x14ac:dyDescent="0.25">
      <c r="A30029" s="1"/>
      <c r="B30029" s="1" t="s">
        <v>7328</v>
      </c>
      <c r="C30029" s="1" t="s">
        <v>7329</v>
      </c>
      <c r="D30029" s="1" t="str">
        <f>HYPERLINK("https://rhld.insurance.arkansas.gov/NPILookup?Npi=1982859351","1982859351")</f>
        <v>1982859351</v>
      </c>
      <c r="E30029" s="1" t="s">
        <v>29521</v>
      </c>
      <c r="F30029" s="2"/>
      <c r="G30029" s="2"/>
      <c r="H30029" s="2"/>
    </row>
    <row r="30030" spans="1:8" x14ac:dyDescent="0.25">
      <c r="A30030" s="1"/>
      <c r="B30030" s="1" t="s">
        <v>7328</v>
      </c>
      <c r="C30030" s="1" t="s">
        <v>7329</v>
      </c>
      <c r="D30030" s="1" t="str">
        <f>HYPERLINK("https://rhld.insurance.arkansas.gov/NPILookup?Npi=1982861621","1982861621")</f>
        <v>1982861621</v>
      </c>
      <c r="E30030" s="1" t="s">
        <v>29522</v>
      </c>
      <c r="F30030" s="2"/>
      <c r="G30030" s="2"/>
      <c r="H30030" s="2"/>
    </row>
    <row r="30031" spans="1:8" x14ac:dyDescent="0.25">
      <c r="A30031" s="1"/>
      <c r="B30031" s="1" t="s">
        <v>7328</v>
      </c>
      <c r="C30031" s="1" t="s">
        <v>7329</v>
      </c>
      <c r="D30031" s="1" t="str">
        <f>HYPERLINK("https://rhld.insurance.arkansas.gov/NPILookup?Npi=1982902383","1982902383")</f>
        <v>1982902383</v>
      </c>
      <c r="E30031" s="1" t="s">
        <v>29523</v>
      </c>
      <c r="F30031" s="2"/>
      <c r="G30031" s="2"/>
      <c r="H30031" s="2"/>
    </row>
    <row r="30032" spans="1:8" x14ac:dyDescent="0.25">
      <c r="A30032" s="1"/>
      <c r="B30032" s="1" t="s">
        <v>7328</v>
      </c>
      <c r="C30032" s="1" t="s">
        <v>7329</v>
      </c>
      <c r="D30032" s="1" t="str">
        <f>HYPERLINK("https://rhld.insurance.arkansas.gov/NPILookup?Npi=1982905444","1982905444")</f>
        <v>1982905444</v>
      </c>
      <c r="E30032" s="1" t="s">
        <v>13850</v>
      </c>
      <c r="F30032" s="2"/>
      <c r="G30032" s="2"/>
      <c r="H30032" s="2"/>
    </row>
    <row r="30033" spans="1:8" x14ac:dyDescent="0.25">
      <c r="A30033" s="1"/>
      <c r="B30033" s="1" t="s">
        <v>7328</v>
      </c>
      <c r="C30033" s="1" t="s">
        <v>7329</v>
      </c>
      <c r="D30033" s="1" t="str">
        <f>HYPERLINK("https://rhld.insurance.arkansas.gov/NPILookup?Npi=1982916995","1982916995")</f>
        <v>1982916995</v>
      </c>
      <c r="E30033" s="1" t="s">
        <v>29524</v>
      </c>
      <c r="F30033" s="2"/>
      <c r="G30033" s="2"/>
      <c r="H30033" s="2"/>
    </row>
    <row r="30034" spans="1:8" x14ac:dyDescent="0.25">
      <c r="A30034" s="1"/>
      <c r="B30034" s="1" t="s">
        <v>7328</v>
      </c>
      <c r="C30034" s="1" t="s">
        <v>7329</v>
      </c>
      <c r="D30034" s="1" t="str">
        <f>HYPERLINK("https://rhld.insurance.arkansas.gov/NPILookup?Npi=1982920799","1982920799")</f>
        <v>1982920799</v>
      </c>
      <c r="E30034" s="1" t="s">
        <v>13851</v>
      </c>
      <c r="F30034" s="2"/>
      <c r="G30034" s="2"/>
      <c r="H30034" s="2"/>
    </row>
    <row r="30035" spans="1:8" x14ac:dyDescent="0.25">
      <c r="A30035" s="1"/>
      <c r="B30035" s="1" t="s">
        <v>7328</v>
      </c>
      <c r="C30035" s="1" t="s">
        <v>7329</v>
      </c>
      <c r="D30035" s="1" t="str">
        <f>HYPERLINK("https://rhld.insurance.arkansas.gov/NPILookup?Npi=1982940516","1982940516")</f>
        <v>1982940516</v>
      </c>
      <c r="E30035" s="1" t="s">
        <v>10496</v>
      </c>
      <c r="F30035" s="2"/>
      <c r="G30035" s="2"/>
      <c r="H30035" s="2"/>
    </row>
    <row r="30036" spans="1:8" x14ac:dyDescent="0.25">
      <c r="A30036" s="1"/>
      <c r="B30036" s="1" t="s">
        <v>7328</v>
      </c>
      <c r="C30036" s="1" t="s">
        <v>7329</v>
      </c>
      <c r="D30036" s="1" t="str">
        <f>HYPERLINK("https://rhld.insurance.arkansas.gov/NPILookup?Npi=1982948287","1982948287")</f>
        <v>1982948287</v>
      </c>
      <c r="E30036" s="1" t="s">
        <v>13852</v>
      </c>
      <c r="F30036" s="2"/>
      <c r="G30036" s="2"/>
      <c r="H30036" s="2"/>
    </row>
    <row r="30037" spans="1:8" x14ac:dyDescent="0.25">
      <c r="A30037" s="1"/>
      <c r="B30037" s="1" t="s">
        <v>7328</v>
      </c>
      <c r="C30037" s="1" t="s">
        <v>7329</v>
      </c>
      <c r="D30037" s="1" t="str">
        <f>HYPERLINK("https://rhld.insurance.arkansas.gov/NPILookup?Npi=1982953097","1982953097")</f>
        <v>1982953097</v>
      </c>
      <c r="E30037" s="1" t="s">
        <v>2114</v>
      </c>
      <c r="F30037" s="2"/>
      <c r="G30037" s="2"/>
      <c r="H30037" s="2"/>
    </row>
    <row r="30038" spans="1:8" x14ac:dyDescent="0.25">
      <c r="A30038" s="1"/>
      <c r="B30038" s="1" t="s">
        <v>7328</v>
      </c>
      <c r="C30038" s="1" t="s">
        <v>7329</v>
      </c>
      <c r="D30038" s="1" t="str">
        <f>HYPERLINK("https://rhld.insurance.arkansas.gov/NPILookup?Npi=1982961124","1982961124")</f>
        <v>1982961124</v>
      </c>
      <c r="E30038" s="1" t="s">
        <v>29525</v>
      </c>
      <c r="F30038" s="2"/>
      <c r="G30038" s="2"/>
      <c r="H30038" s="2"/>
    </row>
    <row r="30039" spans="1:8" x14ac:dyDescent="0.25">
      <c r="A30039" s="1"/>
      <c r="B30039" s="1" t="s">
        <v>7328</v>
      </c>
      <c r="C30039" s="1" t="s">
        <v>7329</v>
      </c>
      <c r="D30039" s="1" t="str">
        <f>HYPERLINK("https://rhld.insurance.arkansas.gov/NPILookup?Npi=1982978532","1982978532")</f>
        <v>1982978532</v>
      </c>
      <c r="E30039" s="1" t="s">
        <v>29526</v>
      </c>
      <c r="F30039" s="2"/>
      <c r="G30039" s="2"/>
      <c r="H30039" s="2"/>
    </row>
    <row r="30040" spans="1:8" x14ac:dyDescent="0.25">
      <c r="A30040" s="1"/>
      <c r="B30040" s="1" t="s">
        <v>7328</v>
      </c>
      <c r="C30040" s="1" t="s">
        <v>7329</v>
      </c>
      <c r="D30040" s="1" t="str">
        <f>HYPERLINK("https://rhld.insurance.arkansas.gov/NPILookup?Npi=1982982542","1982982542")</f>
        <v>1982982542</v>
      </c>
      <c r="E30040" s="1" t="s">
        <v>29527</v>
      </c>
      <c r="F30040" s="2"/>
      <c r="G30040" s="2"/>
      <c r="H30040" s="2"/>
    </row>
    <row r="30041" spans="1:8" x14ac:dyDescent="0.25">
      <c r="A30041" s="1"/>
      <c r="B30041" s="1" t="s">
        <v>7328</v>
      </c>
      <c r="C30041" s="1" t="s">
        <v>7329</v>
      </c>
      <c r="D30041" s="1" t="str">
        <f>HYPERLINK("https://rhld.insurance.arkansas.gov/NPILookup?Npi=1982990214","1982990214")</f>
        <v>1982990214</v>
      </c>
      <c r="E30041" s="1" t="s">
        <v>32428</v>
      </c>
      <c r="F30041" s="2"/>
      <c r="G30041" s="2"/>
      <c r="H30041" s="2"/>
    </row>
    <row r="30042" spans="1:8" x14ac:dyDescent="0.25">
      <c r="A30042" s="1"/>
      <c r="B30042" s="1" t="s">
        <v>7328</v>
      </c>
      <c r="C30042" s="1" t="s">
        <v>7329</v>
      </c>
      <c r="D30042" s="1" t="str">
        <f>HYPERLINK("https://rhld.insurance.arkansas.gov/NPILookup?Npi=1982992830","1982992830")</f>
        <v>1982992830</v>
      </c>
      <c r="E30042" s="1" t="s">
        <v>3113</v>
      </c>
      <c r="F30042" s="2"/>
      <c r="G30042" s="2"/>
      <c r="H30042" s="2"/>
    </row>
    <row r="30043" spans="1:8" x14ac:dyDescent="0.25">
      <c r="A30043" s="1"/>
      <c r="B30043" s="1" t="s">
        <v>7328</v>
      </c>
      <c r="C30043" s="1" t="s">
        <v>7329</v>
      </c>
      <c r="D30043" s="1" t="str">
        <f>HYPERLINK("https://rhld.insurance.arkansas.gov/NPILookup?Npi=1992004089","1992004089")</f>
        <v>1992004089</v>
      </c>
      <c r="E30043" s="1" t="s">
        <v>29528</v>
      </c>
      <c r="F30043" s="2"/>
      <c r="G30043" s="2"/>
      <c r="H30043" s="2"/>
    </row>
    <row r="30044" spans="1:8" x14ac:dyDescent="0.25">
      <c r="A30044" s="1"/>
      <c r="B30044" s="1" t="s">
        <v>7328</v>
      </c>
      <c r="C30044" s="1" t="s">
        <v>7329</v>
      </c>
      <c r="D30044" s="1" t="str">
        <f>HYPERLINK("https://rhld.insurance.arkansas.gov/NPILookup?Npi=1992016638","1992016638")</f>
        <v>1992016638</v>
      </c>
      <c r="E30044" s="1" t="s">
        <v>18062</v>
      </c>
      <c r="F30044" s="2"/>
      <c r="G30044" s="2"/>
      <c r="H30044" s="2"/>
    </row>
    <row r="30045" spans="1:8" x14ac:dyDescent="0.25">
      <c r="A30045" s="1"/>
      <c r="B30045" s="1" t="s">
        <v>7328</v>
      </c>
      <c r="C30045" s="1" t="s">
        <v>7329</v>
      </c>
      <c r="D30045" s="1" t="str">
        <f>HYPERLINK("https://rhld.insurance.arkansas.gov/NPILookup?Npi=1992024491","1992024491")</f>
        <v>1992024491</v>
      </c>
      <c r="E30045" s="1" t="s">
        <v>2433</v>
      </c>
      <c r="F30045" s="2"/>
      <c r="G30045" s="2"/>
      <c r="H30045" s="2"/>
    </row>
    <row r="30046" spans="1:8" x14ac:dyDescent="0.25">
      <c r="A30046" s="1"/>
      <c r="B30046" s="1" t="s">
        <v>7328</v>
      </c>
      <c r="C30046" s="1" t="s">
        <v>7329</v>
      </c>
      <c r="D30046" s="1" t="str">
        <f>HYPERLINK("https://rhld.insurance.arkansas.gov/NPILookup?Npi=1992026751","1992026751")</f>
        <v>1992026751</v>
      </c>
      <c r="E30046" s="1" t="s">
        <v>32429</v>
      </c>
      <c r="F30046" s="2"/>
      <c r="G30046" s="2"/>
      <c r="H30046" s="2"/>
    </row>
    <row r="30047" spans="1:8" x14ac:dyDescent="0.25">
      <c r="A30047" s="1"/>
      <c r="B30047" s="1" t="s">
        <v>7328</v>
      </c>
      <c r="C30047" s="1" t="s">
        <v>7329</v>
      </c>
      <c r="D30047" s="1" t="str">
        <f>HYPERLINK("https://rhld.insurance.arkansas.gov/NPILookup?Npi=1992051213","1992051213")</f>
        <v>1992051213</v>
      </c>
      <c r="E30047" s="1" t="s">
        <v>29529</v>
      </c>
      <c r="F30047" s="2"/>
      <c r="G30047" s="2"/>
      <c r="H30047" s="2"/>
    </row>
    <row r="30048" spans="1:8" x14ac:dyDescent="0.25">
      <c r="A30048" s="1"/>
      <c r="B30048" s="1" t="s">
        <v>7328</v>
      </c>
      <c r="C30048" s="1" t="s">
        <v>7329</v>
      </c>
      <c r="D30048" s="1" t="str">
        <f>HYPERLINK("https://rhld.insurance.arkansas.gov/NPILookup?Npi=1992068563","1992068563")</f>
        <v>1992068563</v>
      </c>
      <c r="E30048" s="1" t="s">
        <v>3114</v>
      </c>
      <c r="F30048" s="2"/>
      <c r="G30048" s="2"/>
      <c r="H30048" s="2"/>
    </row>
    <row r="30049" spans="1:8" x14ac:dyDescent="0.25">
      <c r="A30049" s="1"/>
      <c r="B30049" s="1" t="s">
        <v>7328</v>
      </c>
      <c r="C30049" s="1" t="s">
        <v>7329</v>
      </c>
      <c r="D30049" s="1" t="str">
        <f>HYPERLINK("https://rhld.insurance.arkansas.gov/NPILookup?Npi=1992081491","1992081491")</f>
        <v>1992081491</v>
      </c>
      <c r="E30049" s="1" t="s">
        <v>12287</v>
      </c>
      <c r="F30049" s="2"/>
      <c r="G30049" s="2"/>
      <c r="H30049" s="2"/>
    </row>
    <row r="30050" spans="1:8" x14ac:dyDescent="0.25">
      <c r="A30050" s="1"/>
      <c r="B30050" s="1" t="s">
        <v>7328</v>
      </c>
      <c r="C30050" s="1" t="s">
        <v>7329</v>
      </c>
      <c r="D30050" s="1" t="str">
        <f>HYPERLINK("https://rhld.insurance.arkansas.gov/NPILookup?Npi=1992110860","1992110860")</f>
        <v>1992110860</v>
      </c>
      <c r="E30050" s="1" t="s">
        <v>8267</v>
      </c>
      <c r="F30050" s="2"/>
      <c r="G30050" s="2"/>
      <c r="H30050" s="2"/>
    </row>
    <row r="30051" spans="1:8" x14ac:dyDescent="0.25">
      <c r="A30051" s="1"/>
      <c r="B30051" s="1" t="s">
        <v>7328</v>
      </c>
      <c r="C30051" s="1" t="s">
        <v>7329</v>
      </c>
      <c r="D30051" s="1" t="str">
        <f>HYPERLINK("https://rhld.insurance.arkansas.gov/NPILookup?Npi=1992111546","1992111546")</f>
        <v>1992111546</v>
      </c>
      <c r="E30051" s="1" t="s">
        <v>29530</v>
      </c>
      <c r="F30051" s="2"/>
      <c r="G30051" s="2"/>
      <c r="H30051" s="2"/>
    </row>
    <row r="30052" spans="1:8" x14ac:dyDescent="0.25">
      <c r="A30052" s="1"/>
      <c r="B30052" s="1" t="s">
        <v>7328</v>
      </c>
      <c r="C30052" s="1" t="s">
        <v>7329</v>
      </c>
      <c r="D30052" s="1" t="str">
        <f>HYPERLINK("https://rhld.insurance.arkansas.gov/NPILookup?Npi=1992113294","1992113294")</f>
        <v>1992113294</v>
      </c>
      <c r="E30052" s="1" t="s">
        <v>13853</v>
      </c>
      <c r="F30052" s="2"/>
      <c r="G30052" s="2"/>
      <c r="H30052" s="2"/>
    </row>
    <row r="30053" spans="1:8" x14ac:dyDescent="0.25">
      <c r="A30053" s="1"/>
      <c r="B30053" s="1" t="s">
        <v>7328</v>
      </c>
      <c r="C30053" s="1" t="s">
        <v>7329</v>
      </c>
      <c r="D30053" s="1" t="str">
        <f>HYPERLINK("https://rhld.insurance.arkansas.gov/NPILookup?Npi=1992115646","1992115646")</f>
        <v>1992115646</v>
      </c>
      <c r="E30053" s="1" t="s">
        <v>13854</v>
      </c>
      <c r="F30053" s="2"/>
      <c r="G30053" s="2"/>
      <c r="H30053" s="2"/>
    </row>
    <row r="30054" spans="1:8" x14ac:dyDescent="0.25">
      <c r="A30054" s="1"/>
      <c r="B30054" s="1" t="s">
        <v>7328</v>
      </c>
      <c r="C30054" s="1" t="s">
        <v>7329</v>
      </c>
      <c r="D30054" s="1" t="str">
        <f>HYPERLINK("https://rhld.insurance.arkansas.gov/NPILookup?Npi=1992116396","1992116396")</f>
        <v>1992116396</v>
      </c>
      <c r="E30054" s="1" t="s">
        <v>18063</v>
      </c>
      <c r="F30054" s="2"/>
      <c r="G30054" s="2"/>
      <c r="H30054" s="2"/>
    </row>
    <row r="30055" spans="1:8" x14ac:dyDescent="0.25">
      <c r="A30055" s="1"/>
      <c r="B30055" s="1" t="s">
        <v>7328</v>
      </c>
      <c r="C30055" s="1" t="s">
        <v>7329</v>
      </c>
      <c r="D30055" s="1" t="str">
        <f>HYPERLINK("https://rhld.insurance.arkansas.gov/NPILookup?Npi=1992121834","1992121834")</f>
        <v>1992121834</v>
      </c>
      <c r="E30055" s="1" t="s">
        <v>32430</v>
      </c>
      <c r="F30055" s="2"/>
      <c r="G30055" s="2"/>
      <c r="H30055" s="2"/>
    </row>
    <row r="30056" spans="1:8" x14ac:dyDescent="0.25">
      <c r="A30056" s="1"/>
      <c r="B30056" s="1" t="s">
        <v>7328</v>
      </c>
      <c r="C30056" s="1" t="s">
        <v>7329</v>
      </c>
      <c r="D30056" s="1" t="str">
        <f>HYPERLINK("https://rhld.insurance.arkansas.gov/NPILookup?Npi=1992125595","1992125595")</f>
        <v>1992125595</v>
      </c>
      <c r="E30056" s="1" t="s">
        <v>1830</v>
      </c>
      <c r="F30056" s="2"/>
      <c r="G30056" s="2"/>
      <c r="H30056" s="2"/>
    </row>
    <row r="30057" spans="1:8" x14ac:dyDescent="0.25">
      <c r="A30057" s="1"/>
      <c r="B30057" s="1" t="s">
        <v>7328</v>
      </c>
      <c r="C30057" s="1" t="s">
        <v>7329</v>
      </c>
      <c r="D30057" s="1" t="str">
        <f>HYPERLINK("https://rhld.insurance.arkansas.gov/NPILookup?Npi=1992146088","1992146088")</f>
        <v>1992146088</v>
      </c>
      <c r="E30057" s="1" t="s">
        <v>8268</v>
      </c>
      <c r="F30057" s="2"/>
      <c r="G30057" s="2"/>
      <c r="H30057" s="2"/>
    </row>
    <row r="30058" spans="1:8" x14ac:dyDescent="0.25">
      <c r="A30058" s="1"/>
      <c r="B30058" s="1" t="s">
        <v>7328</v>
      </c>
      <c r="C30058" s="1" t="s">
        <v>7329</v>
      </c>
      <c r="D30058" s="1" t="str">
        <f>HYPERLINK("https://rhld.insurance.arkansas.gov/NPILookup?Npi=1992150858","1992150858")</f>
        <v>1992150858</v>
      </c>
      <c r="E30058" s="1" t="s">
        <v>13855</v>
      </c>
      <c r="F30058" s="2"/>
      <c r="G30058" s="2"/>
      <c r="H30058" s="2"/>
    </row>
    <row r="30059" spans="1:8" x14ac:dyDescent="0.25">
      <c r="A30059" s="1"/>
      <c r="B30059" s="1" t="s">
        <v>7328</v>
      </c>
      <c r="C30059" s="1" t="s">
        <v>7329</v>
      </c>
      <c r="D30059" s="1" t="str">
        <f>HYPERLINK("https://rhld.insurance.arkansas.gov/NPILookup?Npi=1992153845","1992153845")</f>
        <v>1992153845</v>
      </c>
      <c r="E30059" s="1" t="s">
        <v>8269</v>
      </c>
      <c r="F30059" s="2"/>
      <c r="G30059" s="2"/>
      <c r="H30059" s="2"/>
    </row>
    <row r="30060" spans="1:8" x14ac:dyDescent="0.25">
      <c r="A30060" s="1"/>
      <c r="B30060" s="1" t="s">
        <v>7328</v>
      </c>
      <c r="C30060" s="1" t="s">
        <v>7329</v>
      </c>
      <c r="D30060" s="1" t="str">
        <f>HYPERLINK("https://rhld.insurance.arkansas.gov/NPILookup?Npi=1992156863","1992156863")</f>
        <v>1992156863</v>
      </c>
      <c r="E30060" s="1" t="s">
        <v>7085</v>
      </c>
      <c r="F30060" s="2"/>
      <c r="G30060" s="2"/>
      <c r="H30060" s="2"/>
    </row>
    <row r="30061" spans="1:8" x14ac:dyDescent="0.25">
      <c r="A30061" s="1"/>
      <c r="B30061" s="1" t="s">
        <v>7328</v>
      </c>
      <c r="C30061" s="1" t="s">
        <v>7329</v>
      </c>
      <c r="D30061" s="1" t="str">
        <f>HYPERLINK("https://rhld.insurance.arkansas.gov/NPILookup?Npi=1992162523","1992162523")</f>
        <v>1992162523</v>
      </c>
      <c r="E30061" s="1" t="s">
        <v>912</v>
      </c>
      <c r="F30061" s="2"/>
      <c r="G30061" s="2"/>
      <c r="H30061" s="2"/>
    </row>
    <row r="30062" spans="1:8" x14ac:dyDescent="0.25">
      <c r="A30062" s="1"/>
      <c r="B30062" s="1" t="s">
        <v>7328</v>
      </c>
      <c r="C30062" s="1" t="s">
        <v>7329</v>
      </c>
      <c r="D30062" s="1" t="str">
        <f>HYPERLINK("https://rhld.insurance.arkansas.gov/NPILookup?Npi=1992181051","1992181051")</f>
        <v>1992181051</v>
      </c>
      <c r="E30062" s="1" t="s">
        <v>29531</v>
      </c>
      <c r="F30062" s="2"/>
      <c r="G30062" s="2"/>
      <c r="H30062" s="2"/>
    </row>
    <row r="30063" spans="1:8" x14ac:dyDescent="0.25">
      <c r="A30063" s="1"/>
      <c r="B30063" s="1" t="s">
        <v>7328</v>
      </c>
      <c r="C30063" s="1" t="s">
        <v>7329</v>
      </c>
      <c r="D30063" s="1" t="str">
        <f>HYPERLINK("https://rhld.insurance.arkansas.gov/NPILookup?Npi=1992192769","1992192769")</f>
        <v>1992192769</v>
      </c>
      <c r="E30063" s="1" t="s">
        <v>29532</v>
      </c>
      <c r="F30063" s="2"/>
      <c r="G30063" s="2"/>
      <c r="H30063" s="2"/>
    </row>
    <row r="30064" spans="1:8" x14ac:dyDescent="0.25">
      <c r="A30064" s="1"/>
      <c r="B30064" s="1" t="s">
        <v>7328</v>
      </c>
      <c r="C30064" s="1" t="s">
        <v>7329</v>
      </c>
      <c r="D30064" s="1" t="str">
        <f>HYPERLINK("https://rhld.insurance.arkansas.gov/NPILookup?Npi=1992211510","1992211510")</f>
        <v>1992211510</v>
      </c>
      <c r="E30064" s="1" t="s">
        <v>1019</v>
      </c>
      <c r="F30064" s="2"/>
      <c r="G30064" s="2"/>
      <c r="H30064" s="2"/>
    </row>
    <row r="30065" spans="1:8" x14ac:dyDescent="0.25">
      <c r="A30065" s="1"/>
      <c r="B30065" s="1" t="s">
        <v>7328</v>
      </c>
      <c r="C30065" s="1" t="s">
        <v>7329</v>
      </c>
      <c r="D30065" s="1" t="str">
        <f>HYPERLINK("https://rhld.insurance.arkansas.gov/NPILookup?Npi=1992214407","1992214407")</f>
        <v>1992214407</v>
      </c>
      <c r="E30065" s="1" t="s">
        <v>29533</v>
      </c>
      <c r="F30065" s="2"/>
      <c r="G30065" s="2"/>
      <c r="H30065" s="2"/>
    </row>
    <row r="30066" spans="1:8" x14ac:dyDescent="0.25">
      <c r="A30066" s="1"/>
      <c r="B30066" s="1" t="s">
        <v>7328</v>
      </c>
      <c r="C30066" s="1" t="s">
        <v>7329</v>
      </c>
      <c r="D30066" s="1" t="str">
        <f>HYPERLINK("https://rhld.insurance.arkansas.gov/NPILookup?Npi=1992215354","1992215354")</f>
        <v>1992215354</v>
      </c>
      <c r="E30066" s="1" t="s">
        <v>3115</v>
      </c>
      <c r="F30066" s="2"/>
      <c r="G30066" s="2"/>
      <c r="H30066" s="2"/>
    </row>
    <row r="30067" spans="1:8" x14ac:dyDescent="0.25">
      <c r="A30067" s="1"/>
      <c r="B30067" s="1" t="s">
        <v>7328</v>
      </c>
      <c r="C30067" s="1" t="s">
        <v>7329</v>
      </c>
      <c r="D30067" s="1" t="str">
        <f>HYPERLINK("https://rhld.insurance.arkansas.gov/NPILookup?Npi=1992224950","1992224950")</f>
        <v>1992224950</v>
      </c>
      <c r="E30067" s="1" t="s">
        <v>29534</v>
      </c>
      <c r="F30067" s="2"/>
      <c r="G30067" s="2"/>
      <c r="H30067" s="2"/>
    </row>
    <row r="30068" spans="1:8" x14ac:dyDescent="0.25">
      <c r="A30068" s="1"/>
      <c r="B30068" s="1" t="s">
        <v>7328</v>
      </c>
      <c r="C30068" s="1" t="s">
        <v>7329</v>
      </c>
      <c r="D30068" s="1" t="str">
        <f>HYPERLINK("https://rhld.insurance.arkansas.gov/NPILookup?Npi=1992227029","1992227029")</f>
        <v>1992227029</v>
      </c>
      <c r="E30068" s="1" t="s">
        <v>29535</v>
      </c>
      <c r="F30068" s="2"/>
      <c r="G30068" s="2"/>
      <c r="H30068" s="2"/>
    </row>
    <row r="30069" spans="1:8" x14ac:dyDescent="0.25">
      <c r="A30069" s="1"/>
      <c r="B30069" s="1" t="s">
        <v>7328</v>
      </c>
      <c r="C30069" s="1" t="s">
        <v>7329</v>
      </c>
      <c r="D30069" s="1" t="str">
        <f>HYPERLINK("https://rhld.insurance.arkansas.gov/NPILookup?Npi=1992243166","1992243166")</f>
        <v>1992243166</v>
      </c>
      <c r="E30069" s="1" t="s">
        <v>29536</v>
      </c>
      <c r="F30069" s="2"/>
      <c r="G30069" s="2"/>
      <c r="H30069" s="2"/>
    </row>
    <row r="30070" spans="1:8" x14ac:dyDescent="0.25">
      <c r="A30070" s="1"/>
      <c r="B30070" s="1" t="s">
        <v>7328</v>
      </c>
      <c r="C30070" s="1" t="s">
        <v>7329</v>
      </c>
      <c r="D30070" s="1" t="str">
        <f>HYPERLINK("https://rhld.insurance.arkansas.gov/NPILookup?Npi=1992244800","1992244800")</f>
        <v>1992244800</v>
      </c>
      <c r="E30070" s="1" t="s">
        <v>2115</v>
      </c>
      <c r="F30070" s="2"/>
      <c r="G30070" s="2"/>
      <c r="H30070" s="2"/>
    </row>
    <row r="30071" spans="1:8" x14ac:dyDescent="0.25">
      <c r="A30071" s="1"/>
      <c r="B30071" s="1" t="s">
        <v>7328</v>
      </c>
      <c r="C30071" s="1" t="s">
        <v>7329</v>
      </c>
      <c r="D30071" s="1" t="str">
        <f>HYPERLINK("https://rhld.insurance.arkansas.gov/NPILookup?Npi=1992250450","1992250450")</f>
        <v>1992250450</v>
      </c>
      <c r="E30071" s="1" t="s">
        <v>13856</v>
      </c>
      <c r="F30071" s="2"/>
      <c r="G30071" s="2"/>
      <c r="H30071" s="2"/>
    </row>
    <row r="30072" spans="1:8" x14ac:dyDescent="0.25">
      <c r="A30072" s="1"/>
      <c r="B30072" s="1" t="s">
        <v>7328</v>
      </c>
      <c r="C30072" s="1" t="s">
        <v>7329</v>
      </c>
      <c r="D30072" s="1" t="str">
        <f>HYPERLINK("https://rhld.insurance.arkansas.gov/NPILookup?Npi=1992254486","1992254486")</f>
        <v>1992254486</v>
      </c>
      <c r="E30072" s="1" t="s">
        <v>23993</v>
      </c>
      <c r="F30072" s="2"/>
      <c r="G30072" s="2"/>
      <c r="H30072" s="2"/>
    </row>
    <row r="30073" spans="1:8" x14ac:dyDescent="0.25">
      <c r="A30073" s="1"/>
      <c r="B30073" s="1" t="s">
        <v>7328</v>
      </c>
      <c r="C30073" s="1" t="s">
        <v>7329</v>
      </c>
      <c r="D30073" s="1" t="str">
        <f>HYPERLINK("https://rhld.insurance.arkansas.gov/NPILookup?Npi=1992283972","1992283972")</f>
        <v>1992283972</v>
      </c>
      <c r="E30073" s="1" t="s">
        <v>12150</v>
      </c>
      <c r="F30073" s="2"/>
      <c r="G30073" s="2"/>
      <c r="H30073" s="2"/>
    </row>
    <row r="30074" spans="1:8" x14ac:dyDescent="0.25">
      <c r="A30074" s="1"/>
      <c r="B30074" s="1" t="s">
        <v>7328</v>
      </c>
      <c r="C30074" s="1" t="s">
        <v>7329</v>
      </c>
      <c r="D30074" s="1" t="str">
        <f>HYPERLINK("https://rhld.insurance.arkansas.gov/NPILookup?Npi=1992291520","1992291520")</f>
        <v>1992291520</v>
      </c>
      <c r="E30074" s="1" t="s">
        <v>13857</v>
      </c>
      <c r="F30074" s="2"/>
      <c r="G30074" s="2"/>
      <c r="H30074" s="2"/>
    </row>
    <row r="30075" spans="1:8" x14ac:dyDescent="0.25">
      <c r="A30075" s="1"/>
      <c r="B30075" s="1" t="s">
        <v>7328</v>
      </c>
      <c r="C30075" s="1" t="s">
        <v>7329</v>
      </c>
      <c r="D30075" s="1" t="str">
        <f>HYPERLINK("https://rhld.insurance.arkansas.gov/NPILookup?Npi=1992313159","1992313159")</f>
        <v>1992313159</v>
      </c>
      <c r="E30075" s="1" t="s">
        <v>32431</v>
      </c>
      <c r="F30075" s="2"/>
      <c r="G30075" s="2"/>
      <c r="H30075" s="2"/>
    </row>
    <row r="30076" spans="1:8" x14ac:dyDescent="0.25">
      <c r="A30076" s="1"/>
      <c r="B30076" s="1" t="s">
        <v>7328</v>
      </c>
      <c r="C30076" s="1" t="s">
        <v>7329</v>
      </c>
      <c r="D30076" s="1" t="str">
        <f>HYPERLINK("https://rhld.insurance.arkansas.gov/NPILookup?Npi=1992313225","1992313225")</f>
        <v>1992313225</v>
      </c>
      <c r="E30076" s="1" t="s">
        <v>29537</v>
      </c>
      <c r="F30076" s="2"/>
      <c r="G30076" s="2"/>
      <c r="H30076" s="2"/>
    </row>
    <row r="30077" spans="1:8" x14ac:dyDescent="0.25">
      <c r="A30077" s="1"/>
      <c r="B30077" s="1" t="s">
        <v>7328</v>
      </c>
      <c r="C30077" s="1" t="s">
        <v>7329</v>
      </c>
      <c r="D30077" s="1" t="str">
        <f>HYPERLINK("https://rhld.insurance.arkansas.gov/NPILookup?Npi=1992323083","1992323083")</f>
        <v>1992323083</v>
      </c>
      <c r="E30077" s="1" t="s">
        <v>29538</v>
      </c>
      <c r="F30077" s="2"/>
      <c r="G30077" s="2"/>
      <c r="H30077" s="2"/>
    </row>
    <row r="30078" spans="1:8" x14ac:dyDescent="0.25">
      <c r="A30078" s="1"/>
      <c r="B30078" s="1" t="s">
        <v>7328</v>
      </c>
      <c r="C30078" s="1" t="s">
        <v>7329</v>
      </c>
      <c r="D30078" s="1" t="str">
        <f>HYPERLINK("https://rhld.insurance.arkansas.gov/NPILookup?Npi=1992331714","1992331714")</f>
        <v>1992331714</v>
      </c>
      <c r="E30078" s="1" t="s">
        <v>378</v>
      </c>
      <c r="F30078" s="2"/>
      <c r="G30078" s="2"/>
      <c r="H30078" s="2"/>
    </row>
    <row r="30079" spans="1:8" x14ac:dyDescent="0.25">
      <c r="A30079" s="1"/>
      <c r="B30079" s="1" t="s">
        <v>7328</v>
      </c>
      <c r="C30079" s="1" t="s">
        <v>7329</v>
      </c>
      <c r="D30079" s="1" t="str">
        <f>HYPERLINK("https://rhld.insurance.arkansas.gov/NPILookup?Npi=1992334700","1992334700")</f>
        <v>1992334700</v>
      </c>
      <c r="E30079" s="1" t="s">
        <v>29539</v>
      </c>
      <c r="F30079" s="2"/>
      <c r="G30079" s="2"/>
      <c r="H30079" s="2"/>
    </row>
    <row r="30080" spans="1:8" x14ac:dyDescent="0.25">
      <c r="A30080" s="1"/>
      <c r="B30080" s="1" t="s">
        <v>7328</v>
      </c>
      <c r="C30080" s="1" t="s">
        <v>7329</v>
      </c>
      <c r="D30080" s="1" t="str">
        <f>HYPERLINK("https://rhld.insurance.arkansas.gov/NPILookup?Npi=1992343909","1992343909")</f>
        <v>1992343909</v>
      </c>
      <c r="E30080" s="1" t="s">
        <v>29540</v>
      </c>
      <c r="F30080" s="2"/>
      <c r="G30080" s="2"/>
      <c r="H30080" s="2"/>
    </row>
    <row r="30081" spans="1:8" x14ac:dyDescent="0.25">
      <c r="A30081" s="1"/>
      <c r="B30081" s="1" t="s">
        <v>7328</v>
      </c>
      <c r="C30081" s="1" t="s">
        <v>7329</v>
      </c>
      <c r="D30081" s="1" t="str">
        <f>HYPERLINK("https://rhld.insurance.arkansas.gov/NPILookup?Npi=1992349567","1992349567")</f>
        <v>1992349567</v>
      </c>
      <c r="E30081" s="1" t="s">
        <v>29541</v>
      </c>
      <c r="F30081" s="2"/>
      <c r="G30081" s="2"/>
      <c r="H30081" s="2"/>
    </row>
    <row r="30082" spans="1:8" x14ac:dyDescent="0.25">
      <c r="A30082" s="1"/>
      <c r="B30082" s="1" t="s">
        <v>7328</v>
      </c>
      <c r="C30082" s="1" t="s">
        <v>7329</v>
      </c>
      <c r="D30082" s="1" t="str">
        <f>HYPERLINK("https://rhld.insurance.arkansas.gov/NPILookup?Npi=1992350193","1992350193")</f>
        <v>1992350193</v>
      </c>
      <c r="E30082" s="1" t="s">
        <v>29542</v>
      </c>
      <c r="F30082" s="2"/>
      <c r="G30082" s="2"/>
      <c r="H30082" s="2"/>
    </row>
    <row r="30083" spans="1:8" x14ac:dyDescent="0.25">
      <c r="A30083" s="1"/>
      <c r="B30083" s="1" t="s">
        <v>7328</v>
      </c>
      <c r="C30083" s="1" t="s">
        <v>7329</v>
      </c>
      <c r="D30083" s="1" t="str">
        <f>HYPERLINK("https://rhld.insurance.arkansas.gov/NPILookup?Npi=1992350730","1992350730")</f>
        <v>1992350730</v>
      </c>
      <c r="E30083" s="1" t="s">
        <v>29543</v>
      </c>
      <c r="F30083" s="2"/>
      <c r="G30083" s="2"/>
      <c r="H30083" s="2"/>
    </row>
    <row r="30084" spans="1:8" x14ac:dyDescent="0.25">
      <c r="A30084" s="1"/>
      <c r="B30084" s="1" t="s">
        <v>7328</v>
      </c>
      <c r="C30084" s="1" t="s">
        <v>7329</v>
      </c>
      <c r="D30084" s="1" t="str">
        <f>HYPERLINK("https://rhld.insurance.arkansas.gov/NPILookup?Npi=1992364913","1992364913")</f>
        <v>1992364913</v>
      </c>
      <c r="E30084" s="1" t="s">
        <v>13858</v>
      </c>
      <c r="F30084" s="2"/>
      <c r="G30084" s="2"/>
      <c r="H30084" s="2"/>
    </row>
    <row r="30085" spans="1:8" x14ac:dyDescent="0.25">
      <c r="A30085" s="1"/>
      <c r="B30085" s="1" t="s">
        <v>7328</v>
      </c>
      <c r="C30085" s="1" t="s">
        <v>7329</v>
      </c>
      <c r="D30085" s="1" t="str">
        <f>HYPERLINK("https://rhld.insurance.arkansas.gov/NPILookup?Npi=1992365019","1992365019")</f>
        <v>1992365019</v>
      </c>
      <c r="E30085" s="1" t="s">
        <v>29544</v>
      </c>
      <c r="F30085" s="2"/>
      <c r="G30085" s="2"/>
      <c r="H30085" s="2"/>
    </row>
    <row r="30086" spans="1:8" x14ac:dyDescent="0.25">
      <c r="A30086" s="1"/>
      <c r="B30086" s="1" t="s">
        <v>7328</v>
      </c>
      <c r="C30086" s="1" t="s">
        <v>7329</v>
      </c>
      <c r="D30086" s="1" t="str">
        <f>HYPERLINK("https://rhld.insurance.arkansas.gov/NPILookup?Npi=1992395966","1992395966")</f>
        <v>1992395966</v>
      </c>
      <c r="E30086" s="1" t="s">
        <v>8270</v>
      </c>
      <c r="F30086" s="2"/>
      <c r="G30086" s="2"/>
      <c r="H30086" s="2"/>
    </row>
    <row r="30087" spans="1:8" x14ac:dyDescent="0.25">
      <c r="A30087" s="1"/>
      <c r="B30087" s="1" t="s">
        <v>7328</v>
      </c>
      <c r="C30087" s="1" t="s">
        <v>7329</v>
      </c>
      <c r="D30087" s="1" t="str">
        <f>HYPERLINK("https://rhld.insurance.arkansas.gov/NPILookup?Npi=1992396915","1992396915")</f>
        <v>1992396915</v>
      </c>
      <c r="E30087" s="1" t="s">
        <v>29545</v>
      </c>
      <c r="F30087" s="2"/>
      <c r="G30087" s="2"/>
      <c r="H30087" s="2"/>
    </row>
    <row r="30088" spans="1:8" x14ac:dyDescent="0.25">
      <c r="A30088" s="1"/>
      <c r="B30088" s="1" t="s">
        <v>7328</v>
      </c>
      <c r="C30088" s="1" t="s">
        <v>7329</v>
      </c>
      <c r="D30088" s="1" t="str">
        <f>HYPERLINK("https://rhld.insurance.arkansas.gov/NPILookup?Npi=1992422851","1992422851")</f>
        <v>1992422851</v>
      </c>
      <c r="E30088" s="1" t="s">
        <v>29546</v>
      </c>
      <c r="F30088" s="2"/>
      <c r="G30088" s="2"/>
      <c r="H30088" s="2"/>
    </row>
    <row r="30089" spans="1:8" x14ac:dyDescent="0.25">
      <c r="A30089" s="1"/>
      <c r="B30089" s="1" t="s">
        <v>7328</v>
      </c>
      <c r="C30089" s="1" t="s">
        <v>7329</v>
      </c>
      <c r="D30089" s="1" t="str">
        <f>HYPERLINK("https://rhld.insurance.arkansas.gov/NPILookup?Npi=1992423602","1992423602")</f>
        <v>1992423602</v>
      </c>
      <c r="E30089" s="1" t="s">
        <v>8271</v>
      </c>
      <c r="F30089" s="2"/>
      <c r="G30089" s="2"/>
      <c r="H30089" s="2"/>
    </row>
    <row r="30090" spans="1:8" x14ac:dyDescent="0.25">
      <c r="A30090" s="1"/>
      <c r="B30090" s="1" t="s">
        <v>7328</v>
      </c>
      <c r="C30090" s="1" t="s">
        <v>7329</v>
      </c>
      <c r="D30090" s="1" t="str">
        <f>HYPERLINK("https://rhld.insurance.arkansas.gov/NPILookup?Npi=1992445480","1992445480")</f>
        <v>1992445480</v>
      </c>
      <c r="E30090" s="1" t="s">
        <v>29547</v>
      </c>
      <c r="F30090" s="2"/>
      <c r="G30090" s="2"/>
      <c r="H30090" s="2"/>
    </row>
    <row r="30091" spans="1:8" x14ac:dyDescent="0.25">
      <c r="A30091" s="1"/>
      <c r="B30091" s="1" t="s">
        <v>7328</v>
      </c>
      <c r="C30091" s="1" t="s">
        <v>7329</v>
      </c>
      <c r="D30091" s="1" t="str">
        <f>HYPERLINK("https://rhld.insurance.arkansas.gov/NPILookup?Npi=1992453542","1992453542")</f>
        <v>1992453542</v>
      </c>
      <c r="E30091" s="1" t="s">
        <v>8272</v>
      </c>
      <c r="F30091" s="2"/>
      <c r="G30091" s="2"/>
      <c r="H30091" s="2"/>
    </row>
    <row r="30092" spans="1:8" x14ac:dyDescent="0.25">
      <c r="A30092" s="1"/>
      <c r="B30092" s="1" t="s">
        <v>7328</v>
      </c>
      <c r="C30092" s="1" t="s">
        <v>7329</v>
      </c>
      <c r="D30092" s="1" t="str">
        <f>HYPERLINK("https://rhld.insurance.arkansas.gov/NPILookup?Npi=1992468201","1992468201")</f>
        <v>1992468201</v>
      </c>
      <c r="E30092" s="1" t="s">
        <v>29548</v>
      </c>
      <c r="F30092" s="2"/>
      <c r="G30092" s="2"/>
      <c r="H30092" s="2"/>
    </row>
    <row r="30093" spans="1:8" x14ac:dyDescent="0.25">
      <c r="A30093" s="1"/>
      <c r="B30093" s="1" t="s">
        <v>7328</v>
      </c>
      <c r="C30093" s="1" t="s">
        <v>7329</v>
      </c>
      <c r="D30093" s="1" t="str">
        <f>HYPERLINK("https://rhld.insurance.arkansas.gov/NPILookup?Npi=1992486161","1992486161")</f>
        <v>1992486161</v>
      </c>
      <c r="E30093" s="1" t="s">
        <v>32432</v>
      </c>
      <c r="F30093" s="2"/>
      <c r="G30093" s="2"/>
      <c r="H30093" s="2"/>
    </row>
    <row r="30094" spans="1:8" x14ac:dyDescent="0.25">
      <c r="A30094" s="1"/>
      <c r="B30094" s="1" t="s">
        <v>7328</v>
      </c>
      <c r="C30094" s="1" t="s">
        <v>7329</v>
      </c>
      <c r="D30094" s="1" t="str">
        <f>HYPERLINK("https://rhld.insurance.arkansas.gov/NPILookup?Npi=1992518245","1992518245")</f>
        <v>1992518245</v>
      </c>
      <c r="E30094" s="1" t="s">
        <v>32433</v>
      </c>
      <c r="F30094" s="2"/>
      <c r="G30094" s="2"/>
      <c r="H30094" s="2"/>
    </row>
    <row r="30095" spans="1:8" x14ac:dyDescent="0.25">
      <c r="A30095" s="1"/>
      <c r="B30095" s="1" t="s">
        <v>7328</v>
      </c>
      <c r="C30095" s="1" t="s">
        <v>7329</v>
      </c>
      <c r="D30095" s="1" t="str">
        <f>HYPERLINK("https://rhld.insurance.arkansas.gov/NPILookup?Npi=1992523864","1992523864")</f>
        <v>1992523864</v>
      </c>
      <c r="E30095" s="1" t="s">
        <v>31993</v>
      </c>
      <c r="F30095" s="2"/>
      <c r="G30095" s="2"/>
      <c r="H30095" s="2"/>
    </row>
    <row r="30096" spans="1:8" x14ac:dyDescent="0.25">
      <c r="A30096" s="1"/>
      <c r="B30096" s="1" t="s">
        <v>7328</v>
      </c>
      <c r="C30096" s="1" t="s">
        <v>7329</v>
      </c>
      <c r="D30096" s="1" t="str">
        <f>HYPERLINK("https://rhld.insurance.arkansas.gov/NPILookup?Npi=1992533285","1992533285")</f>
        <v>1992533285</v>
      </c>
      <c r="E30096" s="1" t="s">
        <v>29549</v>
      </c>
      <c r="F30096" s="2"/>
      <c r="G30096" s="2"/>
      <c r="H30096" s="2"/>
    </row>
    <row r="30097" spans="1:8" x14ac:dyDescent="0.25">
      <c r="A30097" s="1"/>
      <c r="B30097" s="1" t="s">
        <v>7328</v>
      </c>
      <c r="C30097" s="1" t="s">
        <v>7329</v>
      </c>
      <c r="D30097" s="1" t="str">
        <f>HYPERLINK("https://rhld.insurance.arkansas.gov/NPILookup?Npi=1992542450","1992542450")</f>
        <v>1992542450</v>
      </c>
      <c r="E30097" s="1" t="s">
        <v>32434</v>
      </c>
      <c r="F30097" s="2"/>
      <c r="G30097" s="2"/>
      <c r="H30097" s="2"/>
    </row>
    <row r="30098" spans="1:8" x14ac:dyDescent="0.25">
      <c r="A30098" s="1"/>
      <c r="B30098" s="1" t="s">
        <v>7328</v>
      </c>
      <c r="C30098" s="1" t="s">
        <v>7329</v>
      </c>
      <c r="D30098" s="1" t="str">
        <f>HYPERLINK("https://rhld.insurance.arkansas.gov/NPILookup?Npi=1992558191","1992558191")</f>
        <v>1992558191</v>
      </c>
      <c r="E30098" s="1" t="s">
        <v>29550</v>
      </c>
      <c r="F30098" s="2"/>
      <c r="G30098" s="2"/>
      <c r="H30098" s="2"/>
    </row>
    <row r="30099" spans="1:8" x14ac:dyDescent="0.25">
      <c r="A30099" s="1"/>
      <c r="B30099" s="1" t="s">
        <v>7328</v>
      </c>
      <c r="C30099" s="1" t="s">
        <v>7329</v>
      </c>
      <c r="D30099" s="1" t="str">
        <f>HYPERLINK("https://rhld.insurance.arkansas.gov/NPILookup?Npi=1992570444","1992570444")</f>
        <v>1992570444</v>
      </c>
      <c r="E30099" s="1" t="s">
        <v>29551</v>
      </c>
      <c r="F30099" s="2"/>
      <c r="G30099" s="2"/>
      <c r="H30099" s="2"/>
    </row>
    <row r="30100" spans="1:8" x14ac:dyDescent="0.25">
      <c r="A30100" s="1"/>
      <c r="B30100" s="1" t="s">
        <v>7328</v>
      </c>
      <c r="C30100" s="1" t="s">
        <v>7329</v>
      </c>
      <c r="D30100" s="1" t="str">
        <f>HYPERLINK("https://rhld.insurance.arkansas.gov/NPILookup?Npi=1992585459","1992585459")</f>
        <v>1992585459</v>
      </c>
      <c r="E30100" s="1" t="s">
        <v>6135</v>
      </c>
      <c r="F30100" s="2"/>
      <c r="G30100" s="2"/>
      <c r="H30100" s="2"/>
    </row>
    <row r="30101" spans="1:8" x14ac:dyDescent="0.25">
      <c r="A30101" s="1"/>
      <c r="B30101" s="1" t="s">
        <v>7328</v>
      </c>
      <c r="C30101" s="1" t="s">
        <v>7329</v>
      </c>
      <c r="D30101" s="1" t="str">
        <f>HYPERLINK("https://rhld.insurance.arkansas.gov/NPILookup?Npi=1992700587","1992700587")</f>
        <v>1992700587</v>
      </c>
      <c r="E30101" s="1" t="s">
        <v>3116</v>
      </c>
      <c r="F30101" s="2"/>
      <c r="G30101" s="2"/>
      <c r="H30101" s="2"/>
    </row>
    <row r="30102" spans="1:8" x14ac:dyDescent="0.25">
      <c r="A30102" s="1"/>
      <c r="B30102" s="1" t="s">
        <v>7328</v>
      </c>
      <c r="C30102" s="1" t="s">
        <v>7329</v>
      </c>
      <c r="D30102" s="1" t="str">
        <f>HYPERLINK("https://rhld.insurance.arkansas.gov/NPILookup?Npi=1992706188","1992706188")</f>
        <v>1992706188</v>
      </c>
      <c r="E30102" s="1" t="s">
        <v>29552</v>
      </c>
      <c r="F30102" s="2"/>
      <c r="G30102" s="2"/>
      <c r="H30102" s="2"/>
    </row>
    <row r="30103" spans="1:8" x14ac:dyDescent="0.25">
      <c r="A30103" s="1"/>
      <c r="B30103" s="1" t="s">
        <v>7328</v>
      </c>
      <c r="C30103" s="1" t="s">
        <v>7329</v>
      </c>
      <c r="D30103" s="1" t="str">
        <f>HYPERLINK("https://rhld.insurance.arkansas.gov/NPILookup?Npi=1992714505","1992714505")</f>
        <v>1992714505</v>
      </c>
      <c r="E30103" s="1" t="s">
        <v>156</v>
      </c>
      <c r="F30103" s="2"/>
      <c r="G30103" s="2"/>
      <c r="H30103" s="2"/>
    </row>
    <row r="30104" spans="1:8" x14ac:dyDescent="0.25">
      <c r="A30104" s="1"/>
      <c r="B30104" s="1" t="s">
        <v>7328</v>
      </c>
      <c r="C30104" s="1" t="s">
        <v>7329</v>
      </c>
      <c r="D30104" s="1" t="str">
        <f>HYPERLINK("https://rhld.insurance.arkansas.gov/NPILookup?Npi=1992720361","1992720361")</f>
        <v>1992720361</v>
      </c>
      <c r="E30104" s="1" t="s">
        <v>13859</v>
      </c>
      <c r="F30104" s="2"/>
      <c r="G30104" s="2"/>
      <c r="H30104" s="2"/>
    </row>
    <row r="30105" spans="1:8" x14ac:dyDescent="0.25">
      <c r="A30105" s="1"/>
      <c r="B30105" s="1" t="s">
        <v>7328</v>
      </c>
      <c r="C30105" s="1" t="s">
        <v>7329</v>
      </c>
      <c r="D30105" s="1" t="str">
        <f>HYPERLINK("https://rhld.insurance.arkansas.gov/NPILookup?Npi=1992727473","1992727473")</f>
        <v>1992727473</v>
      </c>
      <c r="E30105" s="1" t="s">
        <v>13860</v>
      </c>
      <c r="F30105" s="2"/>
      <c r="G30105" s="2"/>
      <c r="H30105" s="2"/>
    </row>
    <row r="30106" spans="1:8" x14ac:dyDescent="0.25">
      <c r="A30106" s="1"/>
      <c r="B30106" s="1" t="s">
        <v>7328</v>
      </c>
      <c r="C30106" s="1" t="s">
        <v>7329</v>
      </c>
      <c r="D30106" s="1" t="str">
        <f>HYPERLINK("https://rhld.insurance.arkansas.gov/NPILookup?Npi=1992730873","1992730873")</f>
        <v>1992730873</v>
      </c>
      <c r="E30106" s="1" t="s">
        <v>18067</v>
      </c>
      <c r="F30106" s="2"/>
      <c r="G30106" s="2"/>
      <c r="H30106" s="2"/>
    </row>
    <row r="30107" spans="1:8" x14ac:dyDescent="0.25">
      <c r="A30107" s="1"/>
      <c r="B30107" s="1" t="s">
        <v>7328</v>
      </c>
      <c r="C30107" s="1" t="s">
        <v>7329</v>
      </c>
      <c r="D30107" s="1" t="str">
        <f>HYPERLINK("https://rhld.insurance.arkansas.gov/NPILookup?Npi=1992733422","1992733422")</f>
        <v>1992733422</v>
      </c>
      <c r="E30107" s="1" t="s">
        <v>18068</v>
      </c>
      <c r="F30107" s="2"/>
      <c r="G30107" s="2"/>
      <c r="H30107" s="2"/>
    </row>
    <row r="30108" spans="1:8" x14ac:dyDescent="0.25">
      <c r="A30108" s="1"/>
      <c r="B30108" s="1" t="s">
        <v>7328</v>
      </c>
      <c r="C30108" s="1" t="s">
        <v>7329</v>
      </c>
      <c r="D30108" s="1" t="str">
        <f>HYPERLINK("https://rhld.insurance.arkansas.gov/NPILookup?Npi=1992740260","1992740260")</f>
        <v>1992740260</v>
      </c>
      <c r="E30108" s="1" t="s">
        <v>29553</v>
      </c>
      <c r="F30108" s="2"/>
      <c r="G30108" s="2"/>
      <c r="H30108" s="2"/>
    </row>
    <row r="30109" spans="1:8" x14ac:dyDescent="0.25">
      <c r="A30109" s="1"/>
      <c r="B30109" s="1" t="s">
        <v>7328</v>
      </c>
      <c r="C30109" s="1" t="s">
        <v>7329</v>
      </c>
      <c r="D30109" s="1" t="str">
        <f>HYPERLINK("https://rhld.insurance.arkansas.gov/NPILookup?Npi=1992742522","1992742522")</f>
        <v>1992742522</v>
      </c>
      <c r="E30109" s="1" t="s">
        <v>3117</v>
      </c>
      <c r="F30109" s="2"/>
      <c r="G30109" s="2"/>
      <c r="H30109" s="2"/>
    </row>
    <row r="30110" spans="1:8" x14ac:dyDescent="0.25">
      <c r="A30110" s="1"/>
      <c r="B30110" s="1" t="s">
        <v>7328</v>
      </c>
      <c r="C30110" s="1" t="s">
        <v>7329</v>
      </c>
      <c r="D30110" s="1" t="str">
        <f>HYPERLINK("https://rhld.insurance.arkansas.gov/NPILookup?Npi=1992745012","1992745012")</f>
        <v>1992745012</v>
      </c>
      <c r="E30110" s="1" t="s">
        <v>29554</v>
      </c>
      <c r="F30110" s="2"/>
      <c r="G30110" s="2"/>
      <c r="H30110" s="2"/>
    </row>
    <row r="30111" spans="1:8" x14ac:dyDescent="0.25">
      <c r="A30111" s="1"/>
      <c r="B30111" s="1" t="s">
        <v>7328</v>
      </c>
      <c r="C30111" s="1" t="s">
        <v>7329</v>
      </c>
      <c r="D30111" s="1" t="str">
        <f>HYPERLINK("https://rhld.insurance.arkansas.gov/NPILookup?Npi=1992758387","1992758387")</f>
        <v>1992758387</v>
      </c>
      <c r="E30111" s="1" t="s">
        <v>13861</v>
      </c>
      <c r="F30111" s="2"/>
      <c r="G30111" s="2"/>
      <c r="H30111" s="2"/>
    </row>
    <row r="30112" spans="1:8" x14ac:dyDescent="0.25">
      <c r="A30112" s="1"/>
      <c r="B30112" s="1" t="s">
        <v>7328</v>
      </c>
      <c r="C30112" s="1" t="s">
        <v>7329</v>
      </c>
      <c r="D30112" s="1" t="str">
        <f>HYPERLINK("https://rhld.insurance.arkansas.gov/NPILookup?Npi=1992761555","1992761555")</f>
        <v>1992761555</v>
      </c>
      <c r="E30112" s="1" t="s">
        <v>29555</v>
      </c>
      <c r="F30112" s="2"/>
      <c r="G30112" s="2"/>
      <c r="H30112" s="2"/>
    </row>
    <row r="30113" spans="1:8" x14ac:dyDescent="0.25">
      <c r="A30113" s="1"/>
      <c r="B30113" s="1" t="s">
        <v>7328</v>
      </c>
      <c r="C30113" s="1" t="s">
        <v>7329</v>
      </c>
      <c r="D30113" s="1" t="str">
        <f>HYPERLINK("https://rhld.insurance.arkansas.gov/NPILookup?Npi=1992761860","1992761860")</f>
        <v>1992761860</v>
      </c>
      <c r="E30113" s="1" t="s">
        <v>29556</v>
      </c>
      <c r="F30113" s="2"/>
      <c r="G30113" s="2"/>
      <c r="H30113" s="2"/>
    </row>
    <row r="30114" spans="1:8" x14ac:dyDescent="0.25">
      <c r="A30114" s="1"/>
      <c r="B30114" s="1" t="s">
        <v>7328</v>
      </c>
      <c r="C30114" s="1" t="s">
        <v>7329</v>
      </c>
      <c r="D30114" s="1" t="str">
        <f>HYPERLINK("https://rhld.insurance.arkansas.gov/NPILookup?Npi=1992762504","1992762504")</f>
        <v>1992762504</v>
      </c>
      <c r="E30114" s="1" t="s">
        <v>29557</v>
      </c>
      <c r="F30114" s="2"/>
      <c r="G30114" s="2"/>
      <c r="H30114" s="2"/>
    </row>
    <row r="30115" spans="1:8" x14ac:dyDescent="0.25">
      <c r="A30115" s="1"/>
      <c r="B30115" s="1" t="s">
        <v>7328</v>
      </c>
      <c r="C30115" s="1" t="s">
        <v>7329</v>
      </c>
      <c r="D30115" s="1" t="str">
        <f>HYPERLINK("https://rhld.insurance.arkansas.gov/NPILookup?Npi=1992764252","1992764252")</f>
        <v>1992764252</v>
      </c>
      <c r="E30115" s="1" t="s">
        <v>29558</v>
      </c>
      <c r="F30115" s="2"/>
      <c r="G30115" s="2"/>
      <c r="H30115" s="2"/>
    </row>
    <row r="30116" spans="1:8" x14ac:dyDescent="0.25">
      <c r="A30116" s="1"/>
      <c r="B30116" s="1" t="s">
        <v>7328</v>
      </c>
      <c r="C30116" s="1" t="s">
        <v>7329</v>
      </c>
      <c r="D30116" s="1" t="str">
        <f>HYPERLINK("https://rhld.insurance.arkansas.gov/NPILookup?Npi=1992764518","1992764518")</f>
        <v>1992764518</v>
      </c>
      <c r="E30116" s="1" t="s">
        <v>2434</v>
      </c>
      <c r="F30116" s="2"/>
      <c r="G30116" s="2"/>
      <c r="H30116" s="2"/>
    </row>
    <row r="30117" spans="1:8" x14ac:dyDescent="0.25">
      <c r="A30117" s="1"/>
      <c r="B30117" s="1" t="s">
        <v>7328</v>
      </c>
      <c r="C30117" s="1" t="s">
        <v>7329</v>
      </c>
      <c r="D30117" s="1" t="str">
        <f>HYPERLINK("https://rhld.insurance.arkansas.gov/NPILookup?Npi=1992765010","1992765010")</f>
        <v>1992765010</v>
      </c>
      <c r="E30117" s="1" t="s">
        <v>13862</v>
      </c>
      <c r="F30117" s="2"/>
      <c r="G30117" s="2"/>
      <c r="H30117" s="2"/>
    </row>
    <row r="30118" spans="1:8" x14ac:dyDescent="0.25">
      <c r="A30118" s="1"/>
      <c r="B30118" s="1" t="s">
        <v>7328</v>
      </c>
      <c r="C30118" s="1" t="s">
        <v>7329</v>
      </c>
      <c r="D30118" s="1" t="str">
        <f>HYPERLINK("https://rhld.insurance.arkansas.gov/NPILookup?Npi=1992767792","1992767792")</f>
        <v>1992767792</v>
      </c>
      <c r="E30118" s="1" t="s">
        <v>13863</v>
      </c>
      <c r="F30118" s="2"/>
      <c r="G30118" s="2"/>
      <c r="H30118" s="2"/>
    </row>
    <row r="30119" spans="1:8" x14ac:dyDescent="0.25">
      <c r="A30119" s="1"/>
      <c r="B30119" s="1" t="s">
        <v>7328</v>
      </c>
      <c r="C30119" s="1" t="s">
        <v>7329</v>
      </c>
      <c r="D30119" s="1" t="str">
        <f>HYPERLINK("https://rhld.insurance.arkansas.gov/NPILookup?Npi=1992768105","1992768105")</f>
        <v>1992768105</v>
      </c>
      <c r="E30119" s="1" t="s">
        <v>13111</v>
      </c>
      <c r="F30119" s="2"/>
      <c r="G30119" s="2"/>
      <c r="H30119" s="2"/>
    </row>
    <row r="30120" spans="1:8" x14ac:dyDescent="0.25">
      <c r="A30120" s="1"/>
      <c r="B30120" s="1" t="s">
        <v>7328</v>
      </c>
      <c r="C30120" s="1" t="s">
        <v>7329</v>
      </c>
      <c r="D30120" s="1" t="str">
        <f>HYPERLINK("https://rhld.insurance.arkansas.gov/NPILookup?Npi=1992768212","1992768212")</f>
        <v>1992768212</v>
      </c>
      <c r="E30120" s="1" t="s">
        <v>10497</v>
      </c>
      <c r="F30120" s="2"/>
      <c r="G30120" s="2"/>
      <c r="H30120" s="2"/>
    </row>
    <row r="30121" spans="1:8" x14ac:dyDescent="0.25">
      <c r="A30121" s="1"/>
      <c r="B30121" s="1" t="s">
        <v>7328</v>
      </c>
      <c r="C30121" s="1" t="s">
        <v>7329</v>
      </c>
      <c r="D30121" s="1" t="str">
        <f>HYPERLINK("https://rhld.insurance.arkansas.gov/NPILookup?Npi=1992769426","1992769426")</f>
        <v>1992769426</v>
      </c>
      <c r="E30121" s="1" t="s">
        <v>2116</v>
      </c>
      <c r="F30121" s="2"/>
      <c r="G30121" s="2"/>
      <c r="H30121" s="2"/>
    </row>
    <row r="30122" spans="1:8" x14ac:dyDescent="0.25">
      <c r="A30122" s="1"/>
      <c r="B30122" s="1" t="s">
        <v>7328</v>
      </c>
      <c r="C30122" s="1" t="s">
        <v>7329</v>
      </c>
      <c r="D30122" s="1" t="str">
        <f>HYPERLINK("https://rhld.insurance.arkansas.gov/NPILookup?Npi=1992775100","1992775100")</f>
        <v>1992775100</v>
      </c>
      <c r="E30122" s="1" t="s">
        <v>29559</v>
      </c>
      <c r="F30122" s="2"/>
      <c r="G30122" s="2"/>
      <c r="H30122" s="2"/>
    </row>
    <row r="30123" spans="1:8" x14ac:dyDescent="0.25">
      <c r="A30123" s="1"/>
      <c r="B30123" s="1" t="s">
        <v>7328</v>
      </c>
      <c r="C30123" s="1" t="s">
        <v>7329</v>
      </c>
      <c r="D30123" s="1" t="str">
        <f>HYPERLINK("https://rhld.insurance.arkansas.gov/NPILookup?Npi=1992775878","1992775878")</f>
        <v>1992775878</v>
      </c>
      <c r="E30123" s="1" t="s">
        <v>29560</v>
      </c>
      <c r="F30123" s="2"/>
      <c r="G30123" s="2"/>
      <c r="H30123" s="2"/>
    </row>
    <row r="30124" spans="1:8" x14ac:dyDescent="0.25">
      <c r="A30124" s="1"/>
      <c r="B30124" s="1" t="s">
        <v>7328</v>
      </c>
      <c r="C30124" s="1" t="s">
        <v>7329</v>
      </c>
      <c r="D30124" s="1" t="str">
        <f>HYPERLINK("https://rhld.insurance.arkansas.gov/NPILookup?Npi=1992781264","1992781264")</f>
        <v>1992781264</v>
      </c>
      <c r="E30124" s="1" t="s">
        <v>29561</v>
      </c>
      <c r="F30124" s="2"/>
      <c r="G30124" s="2"/>
      <c r="H30124" s="2"/>
    </row>
    <row r="30125" spans="1:8" x14ac:dyDescent="0.25">
      <c r="A30125" s="1"/>
      <c r="B30125" s="1" t="s">
        <v>7328</v>
      </c>
      <c r="C30125" s="1" t="s">
        <v>7329</v>
      </c>
      <c r="D30125" s="1" t="str">
        <f>HYPERLINK("https://rhld.insurance.arkansas.gov/NPILookup?Npi=1992784086","1992784086")</f>
        <v>1992784086</v>
      </c>
      <c r="E30125" s="1" t="s">
        <v>8273</v>
      </c>
      <c r="F30125" s="2"/>
      <c r="G30125" s="2"/>
      <c r="H30125" s="2"/>
    </row>
    <row r="30126" spans="1:8" x14ac:dyDescent="0.25">
      <c r="A30126" s="1"/>
      <c r="B30126" s="1" t="s">
        <v>7328</v>
      </c>
      <c r="C30126" s="1" t="s">
        <v>7329</v>
      </c>
      <c r="D30126" s="1" t="str">
        <f>HYPERLINK("https://rhld.insurance.arkansas.gov/NPILookup?Npi=1992785802","1992785802")</f>
        <v>1992785802</v>
      </c>
      <c r="E30126" s="1" t="s">
        <v>29562</v>
      </c>
      <c r="F30126" s="2"/>
      <c r="G30126" s="2"/>
      <c r="H30126" s="2"/>
    </row>
    <row r="30127" spans="1:8" x14ac:dyDescent="0.25">
      <c r="A30127" s="1"/>
      <c r="B30127" s="1" t="s">
        <v>7328</v>
      </c>
      <c r="C30127" s="1" t="s">
        <v>7329</v>
      </c>
      <c r="D30127" s="1" t="str">
        <f>HYPERLINK("https://rhld.insurance.arkansas.gov/NPILookup?Npi=1992793293","1992793293")</f>
        <v>1992793293</v>
      </c>
      <c r="E30127" s="1" t="s">
        <v>26589</v>
      </c>
      <c r="F30127" s="2"/>
      <c r="G30127" s="2"/>
      <c r="H30127" s="2"/>
    </row>
    <row r="30128" spans="1:8" x14ac:dyDescent="0.25">
      <c r="A30128" s="1"/>
      <c r="B30128" s="1" t="s">
        <v>7328</v>
      </c>
      <c r="C30128" s="1" t="s">
        <v>7329</v>
      </c>
      <c r="D30128" s="1" t="str">
        <f>HYPERLINK("https://rhld.insurance.arkansas.gov/NPILookup?Npi=1992808851","1992808851")</f>
        <v>1992808851</v>
      </c>
      <c r="E30128" s="1" t="s">
        <v>18070</v>
      </c>
      <c r="F30128" s="2"/>
      <c r="G30128" s="2"/>
      <c r="H30128" s="2"/>
    </row>
    <row r="30129" spans="1:8" x14ac:dyDescent="0.25">
      <c r="A30129" s="1"/>
      <c r="B30129" s="1" t="s">
        <v>7328</v>
      </c>
      <c r="C30129" s="1" t="s">
        <v>7329</v>
      </c>
      <c r="D30129" s="1" t="str">
        <f>HYPERLINK("https://rhld.insurance.arkansas.gov/NPILookup?Npi=1992810485","1992810485")</f>
        <v>1992810485</v>
      </c>
      <c r="E30129" s="1" t="s">
        <v>3118</v>
      </c>
      <c r="F30129" s="2"/>
      <c r="G30129" s="2"/>
      <c r="H30129" s="2"/>
    </row>
    <row r="30130" spans="1:8" x14ac:dyDescent="0.25">
      <c r="A30130" s="1"/>
      <c r="B30130" s="1" t="s">
        <v>7328</v>
      </c>
      <c r="C30130" s="1" t="s">
        <v>7329</v>
      </c>
      <c r="D30130" s="1" t="str">
        <f>HYPERLINK("https://rhld.insurance.arkansas.gov/NPILookup?Npi=1992842595","1992842595")</f>
        <v>1992842595</v>
      </c>
      <c r="E30130" s="1" t="s">
        <v>29563</v>
      </c>
      <c r="F30130" s="2"/>
      <c r="G30130" s="2"/>
      <c r="H30130" s="2"/>
    </row>
    <row r="30131" spans="1:8" x14ac:dyDescent="0.25">
      <c r="A30131" s="1"/>
      <c r="B30131" s="1" t="s">
        <v>7328</v>
      </c>
      <c r="C30131" s="1" t="s">
        <v>7329</v>
      </c>
      <c r="D30131" s="1" t="str">
        <f>HYPERLINK("https://rhld.insurance.arkansas.gov/NPILookup?Npi=1992842785","1992842785")</f>
        <v>1992842785</v>
      </c>
      <c r="E30131" s="1" t="s">
        <v>29564</v>
      </c>
      <c r="F30131" s="2"/>
      <c r="G30131" s="2"/>
      <c r="H30131" s="2"/>
    </row>
    <row r="30132" spans="1:8" x14ac:dyDescent="0.25">
      <c r="A30132" s="1"/>
      <c r="B30132" s="1" t="s">
        <v>7328</v>
      </c>
      <c r="C30132" s="1" t="s">
        <v>7329</v>
      </c>
      <c r="D30132" s="1" t="str">
        <f>HYPERLINK("https://rhld.insurance.arkansas.gov/NPILookup?Npi=1992843809","1992843809")</f>
        <v>1992843809</v>
      </c>
      <c r="E30132" s="1" t="s">
        <v>2435</v>
      </c>
      <c r="F30132" s="2"/>
      <c r="G30132" s="2"/>
      <c r="H30132" s="2"/>
    </row>
    <row r="30133" spans="1:8" x14ac:dyDescent="0.25">
      <c r="A30133" s="1"/>
      <c r="B30133" s="1" t="s">
        <v>7328</v>
      </c>
      <c r="C30133" s="1" t="s">
        <v>7329</v>
      </c>
      <c r="D30133" s="1" t="str">
        <f>HYPERLINK("https://rhld.insurance.arkansas.gov/NPILookup?Npi=1992858575","1992858575")</f>
        <v>1992858575</v>
      </c>
      <c r="E30133" s="1" t="s">
        <v>13865</v>
      </c>
      <c r="F30133" s="2"/>
      <c r="G30133" s="2"/>
      <c r="H30133" s="2"/>
    </row>
    <row r="30134" spans="1:8" x14ac:dyDescent="0.25">
      <c r="A30134" s="1"/>
      <c r="B30134" s="1" t="s">
        <v>7328</v>
      </c>
      <c r="C30134" s="1" t="s">
        <v>7329</v>
      </c>
      <c r="D30134" s="1" t="str">
        <f>HYPERLINK("https://rhld.insurance.arkansas.gov/NPILookup?Npi=1992874168","1992874168")</f>
        <v>1992874168</v>
      </c>
      <c r="E30134" s="1" t="s">
        <v>13866</v>
      </c>
      <c r="F30134" s="2"/>
      <c r="G30134" s="2"/>
      <c r="H30134" s="2"/>
    </row>
    <row r="30135" spans="1:8" x14ac:dyDescent="0.25">
      <c r="A30135" s="1"/>
      <c r="B30135" s="1" t="s">
        <v>7328</v>
      </c>
      <c r="C30135" s="1" t="s">
        <v>7329</v>
      </c>
      <c r="D30135" s="1" t="str">
        <f>HYPERLINK("https://rhld.insurance.arkansas.gov/NPILookup?Npi=1992882328","1992882328")</f>
        <v>1992882328</v>
      </c>
      <c r="E30135" s="1" t="s">
        <v>18072</v>
      </c>
      <c r="F30135" s="2"/>
      <c r="G30135" s="2"/>
      <c r="H30135" s="2"/>
    </row>
    <row r="30136" spans="1:8" x14ac:dyDescent="0.25">
      <c r="A30136" s="1"/>
      <c r="B30136" s="1" t="s">
        <v>7328</v>
      </c>
      <c r="C30136" s="1" t="s">
        <v>7329</v>
      </c>
      <c r="D30136" s="1" t="str">
        <f>HYPERLINK("https://rhld.insurance.arkansas.gov/NPILookup?Npi=1992906143","1992906143")</f>
        <v>1992906143</v>
      </c>
      <c r="E30136" s="1" t="s">
        <v>18074</v>
      </c>
      <c r="F30136" s="2"/>
      <c r="G30136" s="2"/>
      <c r="H30136" s="2"/>
    </row>
    <row r="30137" spans="1:8" x14ac:dyDescent="0.25">
      <c r="A30137" s="1"/>
      <c r="B30137" s="1" t="s">
        <v>7328</v>
      </c>
      <c r="C30137" s="1" t="s">
        <v>7329</v>
      </c>
      <c r="D30137" s="1" t="str">
        <f>HYPERLINK("https://rhld.insurance.arkansas.gov/NPILookup?Npi=1992919054","1992919054")</f>
        <v>1992919054</v>
      </c>
      <c r="E30137" s="1" t="s">
        <v>13867</v>
      </c>
      <c r="F30137" s="2"/>
      <c r="G30137" s="2"/>
      <c r="H30137" s="2"/>
    </row>
    <row r="30138" spans="1:8" x14ac:dyDescent="0.25">
      <c r="A30138" s="1"/>
      <c r="B30138" s="1" t="s">
        <v>7328</v>
      </c>
      <c r="C30138" s="1" t="s">
        <v>7329</v>
      </c>
      <c r="D30138" s="1" t="str">
        <f>HYPERLINK("https://rhld.insurance.arkansas.gov/NPILookup?Npi=1992922082","1992922082")</f>
        <v>1992922082</v>
      </c>
      <c r="E30138" s="1" t="s">
        <v>13868</v>
      </c>
      <c r="F30138" s="2"/>
      <c r="G30138" s="2"/>
      <c r="H30138" s="2"/>
    </row>
    <row r="30139" spans="1:8" x14ac:dyDescent="0.25">
      <c r="A30139" s="1"/>
      <c r="B30139" s="1" t="s">
        <v>7328</v>
      </c>
      <c r="C30139" s="1" t="s">
        <v>7329</v>
      </c>
      <c r="D30139" s="1" t="str">
        <f>HYPERLINK("https://rhld.insurance.arkansas.gov/NPILookup?Npi=1992964399","1992964399")</f>
        <v>1992964399</v>
      </c>
      <c r="E30139" s="1" t="s">
        <v>13869</v>
      </c>
      <c r="F30139" s="2"/>
      <c r="G30139" s="2"/>
      <c r="H30139" s="2"/>
    </row>
    <row r="30140" spans="1:8" x14ac:dyDescent="0.25">
      <c r="A30140" s="1"/>
      <c r="B30140" s="1" t="s">
        <v>7328</v>
      </c>
      <c r="C30140" s="1" t="s">
        <v>7329</v>
      </c>
      <c r="D30140" s="1" t="str">
        <f>HYPERLINK("https://rhld.insurance.arkansas.gov/NPILookup?Npi=1992972517","1992972517")</f>
        <v>1992972517</v>
      </c>
      <c r="E30140" s="1" t="s">
        <v>29565</v>
      </c>
      <c r="F30140" s="2"/>
      <c r="G30140" s="2"/>
      <c r="H30140" s="2"/>
    </row>
    <row r="30141" spans="1:8" x14ac:dyDescent="0.25">
      <c r="A30141" s="1"/>
      <c r="B30141" s="1" t="s">
        <v>7328</v>
      </c>
      <c r="C30141" s="1" t="s">
        <v>7329</v>
      </c>
      <c r="D30141" s="1" t="str">
        <f>HYPERLINK("https://rhld.insurance.arkansas.gov/NPILookup?Npi=1992999791","1992999791")</f>
        <v>1992999791</v>
      </c>
      <c r="E30141" s="1" t="s">
        <v>3554</v>
      </c>
      <c r="F30141" s="2"/>
      <c r="G30141" s="2"/>
      <c r="H30141" s="2"/>
    </row>
    <row r="30142" spans="1:8" x14ac:dyDescent="0.25">
      <c r="A30142" s="1"/>
      <c r="B30142" s="1" t="s">
        <v>8275</v>
      </c>
      <c r="C30142" s="1" t="s">
        <v>8276</v>
      </c>
      <c r="D30142" s="1" t="str">
        <f>HYPERLINK("https://rhld.insurance.arkansas.gov/NPILookup?Npi=1003016700","1003016700")</f>
        <v>1003016700</v>
      </c>
      <c r="E30142" s="1" t="s">
        <v>1407</v>
      </c>
      <c r="F30142" s="2"/>
      <c r="G30142" s="2"/>
      <c r="H30142" s="2"/>
    </row>
    <row r="30143" spans="1:8" x14ac:dyDescent="0.25">
      <c r="A30143" s="1"/>
      <c r="B30143" s="1" t="s">
        <v>8275</v>
      </c>
      <c r="C30143" s="1" t="s">
        <v>8276</v>
      </c>
      <c r="D30143" s="1" t="str">
        <f>HYPERLINK("https://rhld.insurance.arkansas.gov/NPILookup?Npi=1003052010","1003052010")</f>
        <v>1003052010</v>
      </c>
      <c r="E30143" s="1" t="s">
        <v>32435</v>
      </c>
      <c r="F30143" s="2"/>
      <c r="G30143" s="2"/>
      <c r="H30143" s="2"/>
    </row>
    <row r="30144" spans="1:8" x14ac:dyDescent="0.25">
      <c r="A30144" s="1"/>
      <c r="B30144" s="1" t="s">
        <v>8275</v>
      </c>
      <c r="C30144" s="1" t="s">
        <v>8276</v>
      </c>
      <c r="D30144" s="1" t="str">
        <f>HYPERLINK("https://rhld.insurance.arkansas.gov/NPILookup?Npi=1003080615","1003080615")</f>
        <v>1003080615</v>
      </c>
      <c r="E30144" s="1" t="s">
        <v>29566</v>
      </c>
      <c r="F30144" s="2"/>
      <c r="G30144" s="2"/>
      <c r="H30144" s="2"/>
    </row>
    <row r="30145" spans="1:8" x14ac:dyDescent="0.25">
      <c r="A30145" s="1"/>
      <c r="B30145" s="1" t="s">
        <v>8275</v>
      </c>
      <c r="C30145" s="1" t="s">
        <v>8276</v>
      </c>
      <c r="D30145" s="1" t="str">
        <f>HYPERLINK("https://rhld.insurance.arkansas.gov/NPILookup?Npi=1003083205","1003083205")</f>
        <v>1003083205</v>
      </c>
      <c r="E30145" s="1" t="s">
        <v>1077</v>
      </c>
      <c r="F30145" s="2"/>
      <c r="G30145" s="2"/>
      <c r="H30145" s="2"/>
    </row>
    <row r="30146" spans="1:8" x14ac:dyDescent="0.25">
      <c r="A30146" s="1"/>
      <c r="B30146" s="1" t="s">
        <v>8275</v>
      </c>
      <c r="C30146" s="1" t="s">
        <v>8276</v>
      </c>
      <c r="D30146" s="1" t="str">
        <f>HYPERLINK("https://rhld.insurance.arkansas.gov/NPILookup?Npi=1003103490","1003103490")</f>
        <v>1003103490</v>
      </c>
      <c r="E30146" s="1" t="s">
        <v>12579</v>
      </c>
      <c r="F30146" s="2"/>
      <c r="G30146" s="2"/>
      <c r="H30146" s="2"/>
    </row>
    <row r="30147" spans="1:8" x14ac:dyDescent="0.25">
      <c r="A30147" s="1"/>
      <c r="B30147" s="1" t="s">
        <v>8275</v>
      </c>
      <c r="C30147" s="1" t="s">
        <v>8276</v>
      </c>
      <c r="D30147" s="1" t="str">
        <f>HYPERLINK("https://rhld.insurance.arkansas.gov/NPILookup?Npi=1003128844","1003128844")</f>
        <v>1003128844</v>
      </c>
      <c r="E30147" s="1" t="s">
        <v>32072</v>
      </c>
      <c r="F30147" s="2"/>
      <c r="G30147" s="2"/>
      <c r="H30147" s="2"/>
    </row>
    <row r="30148" spans="1:8" x14ac:dyDescent="0.25">
      <c r="A30148" s="1"/>
      <c r="B30148" s="1" t="s">
        <v>8275</v>
      </c>
      <c r="C30148" s="1" t="s">
        <v>8276</v>
      </c>
      <c r="D30148" s="1" t="str">
        <f>HYPERLINK("https://rhld.insurance.arkansas.gov/NPILookup?Npi=1003140963","1003140963")</f>
        <v>1003140963</v>
      </c>
      <c r="E30148" s="1" t="s">
        <v>1078</v>
      </c>
      <c r="F30148" s="2"/>
      <c r="G30148" s="2"/>
      <c r="H30148" s="2"/>
    </row>
    <row r="30149" spans="1:8" x14ac:dyDescent="0.25">
      <c r="A30149" s="1"/>
      <c r="B30149" s="1" t="s">
        <v>8275</v>
      </c>
      <c r="C30149" s="1" t="s">
        <v>8276</v>
      </c>
      <c r="D30149" s="1" t="str">
        <f>HYPERLINK("https://rhld.insurance.arkansas.gov/NPILookup?Npi=1003159930","1003159930")</f>
        <v>1003159930</v>
      </c>
      <c r="E30149" s="1" t="s">
        <v>29567</v>
      </c>
      <c r="F30149" s="2"/>
      <c r="G30149" s="2"/>
      <c r="H30149" s="2"/>
    </row>
    <row r="30150" spans="1:8" x14ac:dyDescent="0.25">
      <c r="A30150" s="1"/>
      <c r="B30150" s="1" t="s">
        <v>8275</v>
      </c>
      <c r="C30150" s="1" t="s">
        <v>8276</v>
      </c>
      <c r="D30150" s="1" t="str">
        <f>HYPERLINK("https://rhld.insurance.arkansas.gov/NPILookup?Npi=1003250945","1003250945")</f>
        <v>1003250945</v>
      </c>
      <c r="E30150" s="1" t="s">
        <v>25131</v>
      </c>
      <c r="F30150" s="2"/>
      <c r="G30150" s="2"/>
      <c r="H30150" s="2"/>
    </row>
    <row r="30151" spans="1:8" x14ac:dyDescent="0.25">
      <c r="A30151" s="1"/>
      <c r="B30151" s="1" t="s">
        <v>8275</v>
      </c>
      <c r="C30151" s="1" t="s">
        <v>8276</v>
      </c>
      <c r="D30151" s="1" t="str">
        <f>HYPERLINK("https://rhld.insurance.arkansas.gov/NPILookup?Npi=1003260308","1003260308")</f>
        <v>1003260308</v>
      </c>
      <c r="E30151" s="1" t="s">
        <v>13870</v>
      </c>
      <c r="F30151" s="2"/>
      <c r="G30151" s="2"/>
      <c r="H30151" s="2"/>
    </row>
    <row r="30152" spans="1:8" x14ac:dyDescent="0.25">
      <c r="A30152" s="1"/>
      <c r="B30152" s="1" t="s">
        <v>8275</v>
      </c>
      <c r="C30152" s="1" t="s">
        <v>8276</v>
      </c>
      <c r="D30152" s="1" t="str">
        <f>HYPERLINK("https://rhld.insurance.arkansas.gov/NPILookup?Npi=1003278532","1003278532")</f>
        <v>1003278532</v>
      </c>
      <c r="E30152" s="1" t="s">
        <v>8277</v>
      </c>
      <c r="F30152" s="2"/>
      <c r="G30152" s="2"/>
      <c r="H30152" s="2"/>
    </row>
    <row r="30153" spans="1:8" x14ac:dyDescent="0.25">
      <c r="A30153" s="1"/>
      <c r="B30153" s="1" t="s">
        <v>8275</v>
      </c>
      <c r="C30153" s="1" t="s">
        <v>8276</v>
      </c>
      <c r="D30153" s="1" t="str">
        <f>HYPERLINK("https://rhld.insurance.arkansas.gov/NPILookup?Npi=1003290826","1003290826")</f>
        <v>1003290826</v>
      </c>
      <c r="E30153" s="1" t="s">
        <v>12582</v>
      </c>
      <c r="F30153" s="2"/>
      <c r="G30153" s="2"/>
      <c r="H30153" s="2"/>
    </row>
    <row r="30154" spans="1:8" x14ac:dyDescent="0.25">
      <c r="A30154" s="1"/>
      <c r="B30154" s="1" t="s">
        <v>8275</v>
      </c>
      <c r="C30154" s="1" t="s">
        <v>8276</v>
      </c>
      <c r="D30154" s="1" t="str">
        <f>HYPERLINK("https://rhld.insurance.arkansas.gov/NPILookup?Npi=1003304213","1003304213")</f>
        <v>1003304213</v>
      </c>
      <c r="E30154" s="1" t="s">
        <v>12583</v>
      </c>
      <c r="F30154" s="2"/>
      <c r="G30154" s="2"/>
      <c r="H30154" s="2"/>
    </row>
    <row r="30155" spans="1:8" x14ac:dyDescent="0.25">
      <c r="A30155" s="1"/>
      <c r="B30155" s="1" t="s">
        <v>8275</v>
      </c>
      <c r="C30155" s="1" t="s">
        <v>8276</v>
      </c>
      <c r="D30155" s="1" t="str">
        <f>HYPERLINK("https://rhld.insurance.arkansas.gov/NPILookup?Npi=1003426396","1003426396")</f>
        <v>1003426396</v>
      </c>
      <c r="E30155" s="1" t="s">
        <v>7332</v>
      </c>
      <c r="F30155" s="2"/>
      <c r="G30155" s="2"/>
      <c r="H30155" s="2"/>
    </row>
    <row r="30156" spans="1:8" x14ac:dyDescent="0.25">
      <c r="A30156" s="1"/>
      <c r="B30156" s="1" t="s">
        <v>8275</v>
      </c>
      <c r="C30156" s="1" t="s">
        <v>8276</v>
      </c>
      <c r="D30156" s="1" t="str">
        <f>HYPERLINK("https://rhld.insurance.arkansas.gov/NPILookup?Npi=1003426412","1003426412")</f>
        <v>1003426412</v>
      </c>
      <c r="E30156" s="1" t="s">
        <v>32436</v>
      </c>
      <c r="F30156" s="2"/>
      <c r="G30156" s="2"/>
      <c r="H30156" s="2"/>
    </row>
    <row r="30157" spans="1:8" x14ac:dyDescent="0.25">
      <c r="A30157" s="1"/>
      <c r="B30157" s="1" t="s">
        <v>8275</v>
      </c>
      <c r="C30157" s="1" t="s">
        <v>8276</v>
      </c>
      <c r="D30157" s="1" t="str">
        <f>HYPERLINK("https://rhld.insurance.arkansas.gov/NPILookup?Npi=1003527011","1003527011")</f>
        <v>1003527011</v>
      </c>
      <c r="E30157" s="1" t="s">
        <v>32073</v>
      </c>
      <c r="F30157" s="2"/>
      <c r="G30157" s="2"/>
      <c r="H30157" s="2"/>
    </row>
    <row r="30158" spans="1:8" x14ac:dyDescent="0.25">
      <c r="A30158" s="1"/>
      <c r="B30158" s="1" t="s">
        <v>8275</v>
      </c>
      <c r="C30158" s="1" t="s">
        <v>8276</v>
      </c>
      <c r="D30158" s="1" t="str">
        <f>HYPERLINK("https://rhld.insurance.arkansas.gov/NPILookup?Npi=1003541327","1003541327")</f>
        <v>1003541327</v>
      </c>
      <c r="E30158" s="1" t="s">
        <v>25149</v>
      </c>
      <c r="F30158" s="2"/>
      <c r="G30158" s="2"/>
      <c r="H30158" s="2"/>
    </row>
    <row r="30159" spans="1:8" x14ac:dyDescent="0.25">
      <c r="A30159" s="1"/>
      <c r="B30159" s="1" t="s">
        <v>8275</v>
      </c>
      <c r="C30159" s="1" t="s">
        <v>8276</v>
      </c>
      <c r="D30159" s="1" t="str">
        <f>HYPERLINK("https://rhld.insurance.arkansas.gov/NPILookup?Npi=1003654526","1003654526")</f>
        <v>1003654526</v>
      </c>
      <c r="E30159" s="1" t="s">
        <v>32074</v>
      </c>
      <c r="F30159" s="2"/>
      <c r="G30159" s="2"/>
      <c r="H30159" s="2"/>
    </row>
    <row r="30160" spans="1:8" x14ac:dyDescent="0.25">
      <c r="A30160" s="1"/>
      <c r="B30160" s="1" t="s">
        <v>8275</v>
      </c>
      <c r="C30160" s="1" t="s">
        <v>8276</v>
      </c>
      <c r="D30160" s="1" t="str">
        <f>HYPERLINK("https://rhld.insurance.arkansas.gov/NPILookup?Npi=1003676479","1003676479")</f>
        <v>1003676479</v>
      </c>
      <c r="E30160" s="1" t="s">
        <v>32075</v>
      </c>
      <c r="F30160" s="2"/>
      <c r="G30160" s="2"/>
      <c r="H30160" s="2"/>
    </row>
    <row r="30161" spans="1:8" x14ac:dyDescent="0.25">
      <c r="A30161" s="1"/>
      <c r="B30161" s="1" t="s">
        <v>8275</v>
      </c>
      <c r="C30161" s="1" t="s">
        <v>8276</v>
      </c>
      <c r="D30161" s="1" t="str">
        <f>HYPERLINK("https://rhld.insurance.arkansas.gov/NPILookup?Npi=1003680125","1003680125")</f>
        <v>1003680125</v>
      </c>
      <c r="E30161" s="1" t="s">
        <v>32077</v>
      </c>
      <c r="F30161" s="2"/>
      <c r="G30161" s="2"/>
      <c r="H30161" s="2"/>
    </row>
    <row r="30162" spans="1:8" x14ac:dyDescent="0.25">
      <c r="A30162" s="1"/>
      <c r="B30162" s="1" t="s">
        <v>8275</v>
      </c>
      <c r="C30162" s="1" t="s">
        <v>8276</v>
      </c>
      <c r="D30162" s="1" t="str">
        <f>HYPERLINK("https://rhld.insurance.arkansas.gov/NPILookup?Npi=1003688474","1003688474")</f>
        <v>1003688474</v>
      </c>
      <c r="E30162" s="1" t="s">
        <v>25153</v>
      </c>
      <c r="F30162" s="2"/>
      <c r="G30162" s="2"/>
      <c r="H30162" s="2"/>
    </row>
    <row r="30163" spans="1:8" x14ac:dyDescent="0.25">
      <c r="A30163" s="1"/>
      <c r="B30163" s="1" t="s">
        <v>8275</v>
      </c>
      <c r="C30163" s="1" t="s">
        <v>8276</v>
      </c>
      <c r="D30163" s="1" t="str">
        <f>HYPERLINK("https://rhld.insurance.arkansas.gov/NPILookup?Npi=1003895541","1003895541")</f>
        <v>1003895541</v>
      </c>
      <c r="E30163" s="1" t="s">
        <v>25160</v>
      </c>
      <c r="F30163" s="2"/>
      <c r="G30163" s="2"/>
      <c r="H30163" s="2"/>
    </row>
    <row r="30164" spans="1:8" x14ac:dyDescent="0.25">
      <c r="A30164" s="1"/>
      <c r="B30164" s="1" t="s">
        <v>8275</v>
      </c>
      <c r="C30164" s="1" t="s">
        <v>8276</v>
      </c>
      <c r="D30164" s="1" t="str">
        <f>HYPERLINK("https://rhld.insurance.arkansas.gov/NPILookup?Npi=1003946401","1003946401")</f>
        <v>1003946401</v>
      </c>
      <c r="E30164" s="1" t="s">
        <v>3119</v>
      </c>
      <c r="F30164" s="2"/>
      <c r="G30164" s="2"/>
      <c r="H30164" s="2"/>
    </row>
    <row r="30165" spans="1:8" x14ac:dyDescent="0.25">
      <c r="A30165" s="1"/>
      <c r="B30165" s="1" t="s">
        <v>8275</v>
      </c>
      <c r="C30165" s="1" t="s">
        <v>8276</v>
      </c>
      <c r="D30165" s="1" t="str">
        <f>HYPERLINK("https://rhld.insurance.arkansas.gov/NPILookup?Npi=1013083781","1013083781")</f>
        <v>1013083781</v>
      </c>
      <c r="E30165" s="1" t="s">
        <v>25166</v>
      </c>
      <c r="F30165" s="2"/>
      <c r="G30165" s="2"/>
      <c r="H30165" s="2"/>
    </row>
    <row r="30166" spans="1:8" x14ac:dyDescent="0.25">
      <c r="A30166" s="1"/>
      <c r="B30166" s="1" t="s">
        <v>8275</v>
      </c>
      <c r="C30166" s="1" t="s">
        <v>8276</v>
      </c>
      <c r="D30166" s="1" t="str">
        <f>HYPERLINK("https://rhld.insurance.arkansas.gov/NPILookup?Npi=1013139666","1013139666")</f>
        <v>1013139666</v>
      </c>
      <c r="E30166" s="1" t="s">
        <v>29568</v>
      </c>
      <c r="F30166" s="2"/>
      <c r="G30166" s="2"/>
      <c r="H30166" s="2"/>
    </row>
    <row r="30167" spans="1:8" x14ac:dyDescent="0.25">
      <c r="A30167" s="1"/>
      <c r="B30167" s="1" t="s">
        <v>8275</v>
      </c>
      <c r="C30167" s="1" t="s">
        <v>8276</v>
      </c>
      <c r="D30167" s="1" t="str">
        <f>HYPERLINK("https://rhld.insurance.arkansas.gov/NPILookup?Npi=1013141621","1013141621")</f>
        <v>1013141621</v>
      </c>
      <c r="E30167" s="1" t="s">
        <v>2586</v>
      </c>
      <c r="F30167" s="2"/>
      <c r="G30167" s="2"/>
      <c r="H30167" s="2"/>
    </row>
    <row r="30168" spans="1:8" x14ac:dyDescent="0.25">
      <c r="A30168" s="1"/>
      <c r="B30168" s="1" t="s">
        <v>8275</v>
      </c>
      <c r="C30168" s="1" t="s">
        <v>8276</v>
      </c>
      <c r="D30168" s="1" t="str">
        <f>HYPERLINK("https://rhld.insurance.arkansas.gov/NPILookup?Npi=1013149798","1013149798")</f>
        <v>1013149798</v>
      </c>
      <c r="E30168" s="1" t="s">
        <v>25167</v>
      </c>
      <c r="F30168" s="2"/>
      <c r="G30168" s="2"/>
      <c r="H30168" s="2"/>
    </row>
    <row r="30169" spans="1:8" x14ac:dyDescent="0.25">
      <c r="A30169" s="1"/>
      <c r="B30169" s="1" t="s">
        <v>8275</v>
      </c>
      <c r="C30169" s="1" t="s">
        <v>8276</v>
      </c>
      <c r="D30169" s="1" t="str">
        <f>HYPERLINK("https://rhld.insurance.arkansas.gov/NPILookup?Npi=1013159383","1013159383")</f>
        <v>1013159383</v>
      </c>
      <c r="E30169" s="1" t="s">
        <v>25168</v>
      </c>
      <c r="F30169" s="2"/>
      <c r="G30169" s="2"/>
      <c r="H30169" s="2"/>
    </row>
    <row r="30170" spans="1:8" x14ac:dyDescent="0.25">
      <c r="A30170" s="1"/>
      <c r="B30170" s="1" t="s">
        <v>8275</v>
      </c>
      <c r="C30170" s="1" t="s">
        <v>8276</v>
      </c>
      <c r="D30170" s="1" t="str">
        <f>HYPERLINK("https://rhld.insurance.arkansas.gov/NPILookup?Npi=1013206747","1013206747")</f>
        <v>1013206747</v>
      </c>
      <c r="E30170" s="1" t="s">
        <v>32078</v>
      </c>
      <c r="F30170" s="2"/>
      <c r="G30170" s="2"/>
      <c r="H30170" s="2"/>
    </row>
    <row r="30171" spans="1:8" x14ac:dyDescent="0.25">
      <c r="A30171" s="1"/>
      <c r="B30171" s="1" t="s">
        <v>8275</v>
      </c>
      <c r="C30171" s="1" t="s">
        <v>8276</v>
      </c>
      <c r="D30171" s="1" t="str">
        <f>HYPERLINK("https://rhld.insurance.arkansas.gov/NPILookup?Npi=1013209808","1013209808")</f>
        <v>1013209808</v>
      </c>
      <c r="E30171" s="1" t="s">
        <v>29569</v>
      </c>
      <c r="F30171" s="2"/>
      <c r="G30171" s="2"/>
      <c r="H30171" s="2"/>
    </row>
    <row r="30172" spans="1:8" x14ac:dyDescent="0.25">
      <c r="A30172" s="1"/>
      <c r="B30172" s="1" t="s">
        <v>8275</v>
      </c>
      <c r="C30172" s="1" t="s">
        <v>8276</v>
      </c>
      <c r="D30172" s="1" t="str">
        <f>HYPERLINK("https://rhld.insurance.arkansas.gov/NPILookup?Npi=1013279918","1013279918")</f>
        <v>1013279918</v>
      </c>
      <c r="E30172" s="1" t="s">
        <v>12591</v>
      </c>
      <c r="F30172" s="2"/>
      <c r="G30172" s="2"/>
      <c r="H30172" s="2"/>
    </row>
    <row r="30173" spans="1:8" x14ac:dyDescent="0.25">
      <c r="A30173" s="1"/>
      <c r="B30173" s="1" t="s">
        <v>8275</v>
      </c>
      <c r="C30173" s="1" t="s">
        <v>8276</v>
      </c>
      <c r="D30173" s="1" t="str">
        <f>HYPERLINK("https://rhld.insurance.arkansas.gov/NPILookup?Npi=1013301936","1013301936")</f>
        <v>1013301936</v>
      </c>
      <c r="E30173" s="1" t="s">
        <v>25172</v>
      </c>
      <c r="F30173" s="2"/>
      <c r="G30173" s="2"/>
      <c r="H30173" s="2"/>
    </row>
    <row r="30174" spans="1:8" x14ac:dyDescent="0.25">
      <c r="A30174" s="1"/>
      <c r="B30174" s="1" t="s">
        <v>8275</v>
      </c>
      <c r="C30174" s="1" t="s">
        <v>8276</v>
      </c>
      <c r="D30174" s="1" t="str">
        <f>HYPERLINK("https://rhld.insurance.arkansas.gov/NPILookup?Npi=1013336296","1013336296")</f>
        <v>1013336296</v>
      </c>
      <c r="E30174" s="1" t="s">
        <v>2587</v>
      </c>
      <c r="F30174" s="2"/>
      <c r="G30174" s="2"/>
      <c r="H30174" s="2"/>
    </row>
    <row r="30175" spans="1:8" x14ac:dyDescent="0.25">
      <c r="A30175" s="1"/>
      <c r="B30175" s="1" t="s">
        <v>8275</v>
      </c>
      <c r="C30175" s="1" t="s">
        <v>8276</v>
      </c>
      <c r="D30175" s="1" t="str">
        <f>HYPERLINK("https://rhld.insurance.arkansas.gov/NPILookup?Npi=1013435718","1013435718")</f>
        <v>1013435718</v>
      </c>
      <c r="E30175" s="1" t="s">
        <v>32080</v>
      </c>
      <c r="F30175" s="2"/>
      <c r="G30175" s="2"/>
      <c r="H30175" s="2"/>
    </row>
    <row r="30176" spans="1:8" x14ac:dyDescent="0.25">
      <c r="A30176" s="1"/>
      <c r="B30176" s="1" t="s">
        <v>8275</v>
      </c>
      <c r="C30176" s="1" t="s">
        <v>8276</v>
      </c>
      <c r="D30176" s="1" t="str">
        <f>HYPERLINK("https://rhld.insurance.arkansas.gov/NPILookup?Npi=1013493865","1013493865")</f>
        <v>1013493865</v>
      </c>
      <c r="E30176" s="1" t="s">
        <v>25189</v>
      </c>
      <c r="F30176" s="2"/>
      <c r="G30176" s="2"/>
      <c r="H30176" s="2"/>
    </row>
    <row r="30177" spans="1:8" x14ac:dyDescent="0.25">
      <c r="A30177" s="1"/>
      <c r="B30177" s="1" t="s">
        <v>8275</v>
      </c>
      <c r="C30177" s="1" t="s">
        <v>8276</v>
      </c>
      <c r="D30177" s="1" t="str">
        <f>HYPERLINK("https://rhld.insurance.arkansas.gov/NPILookup?Npi=1013563493","1013563493")</f>
        <v>1013563493</v>
      </c>
      <c r="E30177" s="1" t="s">
        <v>1740</v>
      </c>
      <c r="F30177" s="2"/>
      <c r="G30177" s="2"/>
      <c r="H30177" s="2"/>
    </row>
    <row r="30178" spans="1:8" x14ac:dyDescent="0.25">
      <c r="A30178" s="1"/>
      <c r="B30178" s="1" t="s">
        <v>8275</v>
      </c>
      <c r="C30178" s="1" t="s">
        <v>8276</v>
      </c>
      <c r="D30178" s="1" t="str">
        <f>HYPERLINK("https://rhld.insurance.arkansas.gov/NPILookup?Npi=1013568013","1013568013")</f>
        <v>1013568013</v>
      </c>
      <c r="E30178" s="1" t="s">
        <v>32081</v>
      </c>
      <c r="F30178" s="2"/>
      <c r="G30178" s="2"/>
      <c r="H30178" s="2"/>
    </row>
    <row r="30179" spans="1:8" x14ac:dyDescent="0.25">
      <c r="A30179" s="1"/>
      <c r="B30179" s="1" t="s">
        <v>8275</v>
      </c>
      <c r="C30179" s="1" t="s">
        <v>8276</v>
      </c>
      <c r="D30179" s="1" t="str">
        <f>HYPERLINK("https://rhld.insurance.arkansas.gov/NPILookup?Npi=1013684760","1013684760")</f>
        <v>1013684760</v>
      </c>
      <c r="E30179" s="1" t="s">
        <v>32082</v>
      </c>
      <c r="F30179" s="2"/>
      <c r="G30179" s="2"/>
      <c r="H30179" s="2"/>
    </row>
    <row r="30180" spans="1:8" x14ac:dyDescent="0.25">
      <c r="A30180" s="1"/>
      <c r="B30180" s="1" t="s">
        <v>8275</v>
      </c>
      <c r="C30180" s="1" t="s">
        <v>8276</v>
      </c>
      <c r="D30180" s="1" t="str">
        <f>HYPERLINK("https://rhld.insurance.arkansas.gov/NPILookup?Npi=1013904895","1013904895")</f>
        <v>1013904895</v>
      </c>
      <c r="E30180" s="1" t="s">
        <v>2117</v>
      </c>
      <c r="F30180" s="2"/>
      <c r="G30180" s="2"/>
      <c r="H30180" s="2"/>
    </row>
    <row r="30181" spans="1:8" x14ac:dyDescent="0.25">
      <c r="A30181" s="1"/>
      <c r="B30181" s="1" t="s">
        <v>8275</v>
      </c>
      <c r="C30181" s="1" t="s">
        <v>8276</v>
      </c>
      <c r="D30181" s="1" t="str">
        <f>HYPERLINK("https://rhld.insurance.arkansas.gov/NPILookup?Npi=1013917905","1013917905")</f>
        <v>1013917905</v>
      </c>
      <c r="E30181" s="1" t="s">
        <v>13871</v>
      </c>
      <c r="F30181" s="2"/>
      <c r="G30181" s="2"/>
      <c r="H30181" s="2"/>
    </row>
    <row r="30182" spans="1:8" x14ac:dyDescent="0.25">
      <c r="A30182" s="1"/>
      <c r="B30182" s="1" t="s">
        <v>8275</v>
      </c>
      <c r="C30182" s="1" t="s">
        <v>8276</v>
      </c>
      <c r="D30182" s="1" t="str">
        <f>HYPERLINK("https://rhld.insurance.arkansas.gov/NPILookup?Npi=1013937549","1013937549")</f>
        <v>1013937549</v>
      </c>
      <c r="E30182" s="1" t="s">
        <v>29570</v>
      </c>
      <c r="F30182" s="2"/>
      <c r="G30182" s="2"/>
      <c r="H30182" s="2"/>
    </row>
    <row r="30183" spans="1:8" x14ac:dyDescent="0.25">
      <c r="A30183" s="1"/>
      <c r="B30183" s="1" t="s">
        <v>8275</v>
      </c>
      <c r="C30183" s="1" t="s">
        <v>8276</v>
      </c>
      <c r="D30183" s="1" t="str">
        <f>HYPERLINK("https://rhld.insurance.arkansas.gov/NPILookup?Npi=1013953157","1013953157")</f>
        <v>1013953157</v>
      </c>
      <c r="E30183" s="1" t="s">
        <v>25205</v>
      </c>
      <c r="F30183" s="2"/>
      <c r="G30183" s="2"/>
      <c r="H30183" s="2"/>
    </row>
    <row r="30184" spans="1:8" x14ac:dyDescent="0.25">
      <c r="A30184" s="1"/>
      <c r="B30184" s="1" t="s">
        <v>8275</v>
      </c>
      <c r="C30184" s="1" t="s">
        <v>8276</v>
      </c>
      <c r="D30184" s="1" t="str">
        <f>HYPERLINK("https://rhld.insurance.arkansas.gov/NPILookup?Npi=1013973817","1013973817")</f>
        <v>1013973817</v>
      </c>
      <c r="E30184" s="1" t="s">
        <v>29571</v>
      </c>
      <c r="F30184" s="2"/>
      <c r="G30184" s="2"/>
      <c r="H30184" s="2"/>
    </row>
    <row r="30185" spans="1:8" x14ac:dyDescent="0.25">
      <c r="A30185" s="1"/>
      <c r="B30185" s="1" t="s">
        <v>8275</v>
      </c>
      <c r="C30185" s="1" t="s">
        <v>8276</v>
      </c>
      <c r="D30185" s="1" t="str">
        <f>HYPERLINK("https://rhld.insurance.arkansas.gov/NPILookup?Npi=1023005360","1023005360")</f>
        <v>1023005360</v>
      </c>
      <c r="E30185" s="1" t="s">
        <v>29572</v>
      </c>
      <c r="F30185" s="2"/>
      <c r="G30185" s="2"/>
      <c r="H30185" s="2"/>
    </row>
    <row r="30186" spans="1:8" x14ac:dyDescent="0.25">
      <c r="A30186" s="1"/>
      <c r="B30186" s="1" t="s">
        <v>8275</v>
      </c>
      <c r="C30186" s="1" t="s">
        <v>8276</v>
      </c>
      <c r="D30186" s="1" t="str">
        <f>HYPERLINK("https://rhld.insurance.arkansas.gov/NPILookup?Npi=1023018439","1023018439")</f>
        <v>1023018439</v>
      </c>
      <c r="E30186" s="1" t="s">
        <v>25207</v>
      </c>
      <c r="F30186" s="2"/>
      <c r="G30186" s="2"/>
      <c r="H30186" s="2"/>
    </row>
    <row r="30187" spans="1:8" x14ac:dyDescent="0.25">
      <c r="A30187" s="1"/>
      <c r="B30187" s="1" t="s">
        <v>8275</v>
      </c>
      <c r="C30187" s="1" t="s">
        <v>8276</v>
      </c>
      <c r="D30187" s="1" t="str">
        <f>HYPERLINK("https://rhld.insurance.arkansas.gov/NPILookup?Npi=1023040581","1023040581")</f>
        <v>1023040581</v>
      </c>
      <c r="E30187" s="1" t="s">
        <v>17137</v>
      </c>
      <c r="F30187" s="2"/>
      <c r="G30187" s="2"/>
      <c r="H30187" s="2"/>
    </row>
    <row r="30188" spans="1:8" x14ac:dyDescent="0.25">
      <c r="A30188" s="1"/>
      <c r="B30188" s="1" t="s">
        <v>8275</v>
      </c>
      <c r="C30188" s="1" t="s">
        <v>8276</v>
      </c>
      <c r="D30188" s="1" t="str">
        <f>HYPERLINK("https://rhld.insurance.arkansas.gov/NPILookup?Npi=1023053733","1023053733")</f>
        <v>1023053733</v>
      </c>
      <c r="E30188" s="1" t="s">
        <v>29573</v>
      </c>
      <c r="F30188" s="2"/>
      <c r="G30188" s="2"/>
      <c r="H30188" s="2"/>
    </row>
    <row r="30189" spans="1:8" x14ac:dyDescent="0.25">
      <c r="A30189" s="1"/>
      <c r="B30189" s="1" t="s">
        <v>8275</v>
      </c>
      <c r="C30189" s="1" t="s">
        <v>8276</v>
      </c>
      <c r="D30189" s="1" t="str">
        <f>HYPERLINK("https://rhld.insurance.arkansas.gov/NPILookup?Npi=1023073624","1023073624")</f>
        <v>1023073624</v>
      </c>
      <c r="E30189" s="1" t="s">
        <v>3120</v>
      </c>
      <c r="F30189" s="2"/>
      <c r="G30189" s="2"/>
      <c r="H30189" s="2"/>
    </row>
    <row r="30190" spans="1:8" x14ac:dyDescent="0.25">
      <c r="A30190" s="1"/>
      <c r="B30190" s="1" t="s">
        <v>8275</v>
      </c>
      <c r="C30190" s="1" t="s">
        <v>8276</v>
      </c>
      <c r="D30190" s="1" t="str">
        <f>HYPERLINK("https://rhld.insurance.arkansas.gov/NPILookup?Npi=1023079985","1023079985")</f>
        <v>1023079985</v>
      </c>
      <c r="E30190" s="1" t="s">
        <v>93</v>
      </c>
      <c r="F30190" s="2"/>
      <c r="G30190" s="2"/>
      <c r="H30190" s="2"/>
    </row>
    <row r="30191" spans="1:8" x14ac:dyDescent="0.25">
      <c r="A30191" s="1"/>
      <c r="B30191" s="1" t="s">
        <v>8275</v>
      </c>
      <c r="C30191" s="1" t="s">
        <v>8276</v>
      </c>
      <c r="D30191" s="1" t="str">
        <f>HYPERLINK("https://rhld.insurance.arkansas.gov/NPILookup?Npi=1023082575","1023082575")</f>
        <v>1023082575</v>
      </c>
      <c r="E30191" s="1" t="s">
        <v>25210</v>
      </c>
      <c r="F30191" s="2"/>
      <c r="G30191" s="2"/>
      <c r="H30191" s="2"/>
    </row>
    <row r="30192" spans="1:8" x14ac:dyDescent="0.25">
      <c r="A30192" s="1"/>
      <c r="B30192" s="1" t="s">
        <v>8275</v>
      </c>
      <c r="C30192" s="1" t="s">
        <v>8276</v>
      </c>
      <c r="D30192" s="1" t="str">
        <f>HYPERLINK("https://rhld.insurance.arkansas.gov/NPILookup?Npi=1023113784","1023113784")</f>
        <v>1023113784</v>
      </c>
      <c r="E30192" s="1" t="s">
        <v>32083</v>
      </c>
      <c r="F30192" s="2"/>
      <c r="G30192" s="2"/>
      <c r="H30192" s="2"/>
    </row>
    <row r="30193" spans="1:8" x14ac:dyDescent="0.25">
      <c r="A30193" s="1"/>
      <c r="B30193" s="1" t="s">
        <v>8275</v>
      </c>
      <c r="C30193" s="1" t="s">
        <v>8276</v>
      </c>
      <c r="D30193" s="1" t="str">
        <f>HYPERLINK("https://rhld.insurance.arkansas.gov/NPILookup?Npi=1023181161","1023181161")</f>
        <v>1023181161</v>
      </c>
      <c r="E30193" s="1" t="s">
        <v>2118</v>
      </c>
      <c r="F30193" s="2"/>
      <c r="G30193" s="2"/>
      <c r="H30193" s="2"/>
    </row>
    <row r="30194" spans="1:8" x14ac:dyDescent="0.25">
      <c r="A30194" s="1"/>
      <c r="B30194" s="1" t="s">
        <v>8275</v>
      </c>
      <c r="C30194" s="1" t="s">
        <v>8276</v>
      </c>
      <c r="D30194" s="1" t="str">
        <f>HYPERLINK("https://rhld.insurance.arkansas.gov/NPILookup?Npi=1023181864","1023181864")</f>
        <v>1023181864</v>
      </c>
      <c r="E30194" s="1" t="s">
        <v>2595</v>
      </c>
      <c r="F30194" s="2"/>
      <c r="G30194" s="2"/>
      <c r="H30194" s="2"/>
    </row>
    <row r="30195" spans="1:8" x14ac:dyDescent="0.25">
      <c r="A30195" s="1"/>
      <c r="B30195" s="1" t="s">
        <v>8275</v>
      </c>
      <c r="C30195" s="1" t="s">
        <v>8276</v>
      </c>
      <c r="D30195" s="1" t="str">
        <f>HYPERLINK("https://rhld.insurance.arkansas.gov/NPILookup?Npi=1023251634","1023251634")</f>
        <v>1023251634</v>
      </c>
      <c r="E30195" s="1" t="s">
        <v>2119</v>
      </c>
      <c r="F30195" s="2"/>
      <c r="G30195" s="2"/>
      <c r="H30195" s="2"/>
    </row>
    <row r="30196" spans="1:8" x14ac:dyDescent="0.25">
      <c r="A30196" s="1"/>
      <c r="B30196" s="1" t="s">
        <v>8275</v>
      </c>
      <c r="C30196" s="1" t="s">
        <v>8276</v>
      </c>
      <c r="D30196" s="1" t="str">
        <f>HYPERLINK("https://rhld.insurance.arkansas.gov/NPILookup?Npi=1023306578","1023306578")</f>
        <v>1023306578</v>
      </c>
      <c r="E30196" s="1" t="s">
        <v>17142</v>
      </c>
      <c r="F30196" s="2"/>
      <c r="G30196" s="2"/>
      <c r="H30196" s="2"/>
    </row>
    <row r="30197" spans="1:8" x14ac:dyDescent="0.25">
      <c r="A30197" s="1"/>
      <c r="B30197" s="1" t="s">
        <v>8275</v>
      </c>
      <c r="C30197" s="1" t="s">
        <v>8276</v>
      </c>
      <c r="D30197" s="1" t="str">
        <f>HYPERLINK("https://rhld.insurance.arkansas.gov/NPILookup?Npi=1023374741","1023374741")</f>
        <v>1023374741</v>
      </c>
      <c r="E30197" s="1" t="s">
        <v>13872</v>
      </c>
      <c r="F30197" s="2"/>
      <c r="G30197" s="2"/>
      <c r="H30197" s="2"/>
    </row>
    <row r="30198" spans="1:8" x14ac:dyDescent="0.25">
      <c r="A30198" s="1"/>
      <c r="B30198" s="1" t="s">
        <v>8275</v>
      </c>
      <c r="C30198" s="1" t="s">
        <v>8276</v>
      </c>
      <c r="D30198" s="1" t="str">
        <f>HYPERLINK("https://rhld.insurance.arkansas.gov/NPILookup?Npi=1023404100","1023404100")</f>
        <v>1023404100</v>
      </c>
      <c r="E30198" s="1" t="s">
        <v>25217</v>
      </c>
      <c r="F30198" s="2"/>
      <c r="G30198" s="2"/>
      <c r="H30198" s="2"/>
    </row>
    <row r="30199" spans="1:8" x14ac:dyDescent="0.25">
      <c r="A30199" s="1"/>
      <c r="B30199" s="1" t="s">
        <v>8275</v>
      </c>
      <c r="C30199" s="1" t="s">
        <v>8276</v>
      </c>
      <c r="D30199" s="1" t="str">
        <f>HYPERLINK("https://rhld.insurance.arkansas.gov/NPILookup?Npi=1023425469","1023425469")</f>
        <v>1023425469</v>
      </c>
      <c r="E30199" s="1" t="s">
        <v>7344</v>
      </c>
      <c r="F30199" s="2"/>
      <c r="G30199" s="2"/>
      <c r="H30199" s="2"/>
    </row>
    <row r="30200" spans="1:8" x14ac:dyDescent="0.25">
      <c r="A30200" s="1"/>
      <c r="B30200" s="1" t="s">
        <v>8275</v>
      </c>
      <c r="C30200" s="1" t="s">
        <v>8276</v>
      </c>
      <c r="D30200" s="1" t="str">
        <f>HYPERLINK("https://rhld.insurance.arkansas.gov/NPILookup?Npi=1023427952","1023427952")</f>
        <v>1023427952</v>
      </c>
      <c r="E30200" s="1" t="s">
        <v>25220</v>
      </c>
      <c r="F30200" s="2"/>
      <c r="G30200" s="2"/>
      <c r="H30200" s="2"/>
    </row>
    <row r="30201" spans="1:8" x14ac:dyDescent="0.25">
      <c r="A30201" s="1"/>
      <c r="B30201" s="1" t="s">
        <v>8275</v>
      </c>
      <c r="C30201" s="1" t="s">
        <v>8276</v>
      </c>
      <c r="D30201" s="1" t="str">
        <f>HYPERLINK("https://rhld.insurance.arkansas.gov/NPILookup?Npi=1023493160","1023493160")</f>
        <v>1023493160</v>
      </c>
      <c r="E30201" s="1" t="s">
        <v>12605</v>
      </c>
      <c r="F30201" s="2"/>
      <c r="G30201" s="2"/>
      <c r="H30201" s="2"/>
    </row>
    <row r="30202" spans="1:8" x14ac:dyDescent="0.25">
      <c r="A30202" s="1"/>
      <c r="B30202" s="1" t="s">
        <v>8275</v>
      </c>
      <c r="C30202" s="1" t="s">
        <v>8276</v>
      </c>
      <c r="D30202" s="1" t="str">
        <f>HYPERLINK("https://rhld.insurance.arkansas.gov/NPILookup?Npi=1023540275","1023540275")</f>
        <v>1023540275</v>
      </c>
      <c r="E30202" s="1" t="s">
        <v>29574</v>
      </c>
      <c r="F30202" s="2"/>
      <c r="G30202" s="2"/>
      <c r="H30202" s="2"/>
    </row>
    <row r="30203" spans="1:8" x14ac:dyDescent="0.25">
      <c r="A30203" s="1"/>
      <c r="B30203" s="1" t="s">
        <v>8275</v>
      </c>
      <c r="C30203" s="1" t="s">
        <v>8276</v>
      </c>
      <c r="D30203" s="1" t="str">
        <f>HYPERLINK("https://rhld.insurance.arkansas.gov/NPILookup?Npi=1023732716","1023732716")</f>
        <v>1023732716</v>
      </c>
      <c r="E30203" s="1" t="s">
        <v>7349</v>
      </c>
      <c r="F30203" s="2"/>
      <c r="G30203" s="2"/>
      <c r="H30203" s="2"/>
    </row>
    <row r="30204" spans="1:8" x14ac:dyDescent="0.25">
      <c r="A30204" s="1"/>
      <c r="B30204" s="1" t="s">
        <v>8275</v>
      </c>
      <c r="C30204" s="1" t="s">
        <v>8276</v>
      </c>
      <c r="D30204" s="1" t="str">
        <f>HYPERLINK("https://rhld.insurance.arkansas.gov/NPILookup?Npi=1023764289","1023764289")</f>
        <v>1023764289</v>
      </c>
      <c r="E30204" s="1" t="s">
        <v>32084</v>
      </c>
      <c r="F30204" s="2"/>
      <c r="G30204" s="2"/>
      <c r="H30204" s="2"/>
    </row>
    <row r="30205" spans="1:8" x14ac:dyDescent="0.25">
      <c r="A30205" s="1"/>
      <c r="B30205" s="1" t="s">
        <v>8275</v>
      </c>
      <c r="C30205" s="1" t="s">
        <v>8276</v>
      </c>
      <c r="D30205" s="1" t="str">
        <f>HYPERLINK("https://rhld.insurance.arkansas.gov/NPILookup?Npi=1033102066","1033102066")</f>
        <v>1033102066</v>
      </c>
      <c r="E30205" s="1" t="s">
        <v>2120</v>
      </c>
      <c r="F30205" s="2"/>
      <c r="G30205" s="2"/>
      <c r="H30205" s="2"/>
    </row>
    <row r="30206" spans="1:8" x14ac:dyDescent="0.25">
      <c r="A30206" s="1"/>
      <c r="B30206" s="1" t="s">
        <v>8275</v>
      </c>
      <c r="C30206" s="1" t="s">
        <v>8276</v>
      </c>
      <c r="D30206" s="1" t="str">
        <f>HYPERLINK("https://rhld.insurance.arkansas.gov/NPILookup?Npi=1033105747","1033105747")</f>
        <v>1033105747</v>
      </c>
      <c r="E30206" s="1" t="s">
        <v>12610</v>
      </c>
      <c r="F30206" s="2"/>
      <c r="G30206" s="2"/>
      <c r="H30206" s="2"/>
    </row>
    <row r="30207" spans="1:8" x14ac:dyDescent="0.25">
      <c r="A30207" s="1"/>
      <c r="B30207" s="1" t="s">
        <v>8275</v>
      </c>
      <c r="C30207" s="1" t="s">
        <v>8276</v>
      </c>
      <c r="D30207" s="1" t="str">
        <f>HYPERLINK("https://rhld.insurance.arkansas.gov/NPILookup?Npi=1033115639","1033115639")</f>
        <v>1033115639</v>
      </c>
      <c r="E30207" s="1" t="s">
        <v>25251</v>
      </c>
      <c r="F30207" s="2"/>
      <c r="G30207" s="2"/>
      <c r="H30207" s="2"/>
    </row>
    <row r="30208" spans="1:8" x14ac:dyDescent="0.25">
      <c r="A30208" s="1"/>
      <c r="B30208" s="1" t="s">
        <v>8275</v>
      </c>
      <c r="C30208" s="1" t="s">
        <v>8276</v>
      </c>
      <c r="D30208" s="1" t="str">
        <f>HYPERLINK("https://rhld.insurance.arkansas.gov/NPILookup?Npi=1033171806","1033171806")</f>
        <v>1033171806</v>
      </c>
      <c r="E30208" s="1" t="s">
        <v>29575</v>
      </c>
      <c r="F30208" s="2"/>
      <c r="G30208" s="2"/>
      <c r="H30208" s="2"/>
    </row>
    <row r="30209" spans="1:8" x14ac:dyDescent="0.25">
      <c r="A30209" s="1"/>
      <c r="B30209" s="1" t="s">
        <v>8275</v>
      </c>
      <c r="C30209" s="1" t="s">
        <v>8276</v>
      </c>
      <c r="D30209" s="1" t="str">
        <f>HYPERLINK("https://rhld.insurance.arkansas.gov/NPILookup?Npi=1033180963","1033180963")</f>
        <v>1033180963</v>
      </c>
      <c r="E30209" s="1" t="s">
        <v>25254</v>
      </c>
      <c r="F30209" s="2"/>
      <c r="G30209" s="2"/>
      <c r="H30209" s="2"/>
    </row>
    <row r="30210" spans="1:8" x14ac:dyDescent="0.25">
      <c r="A30210" s="1"/>
      <c r="B30210" s="1" t="s">
        <v>8275</v>
      </c>
      <c r="C30210" s="1" t="s">
        <v>8276</v>
      </c>
      <c r="D30210" s="1" t="str">
        <f>HYPERLINK("https://rhld.insurance.arkansas.gov/NPILookup?Npi=1033195953","1033195953")</f>
        <v>1033195953</v>
      </c>
      <c r="E30210" s="1" t="s">
        <v>25256</v>
      </c>
      <c r="F30210" s="2"/>
      <c r="G30210" s="2"/>
      <c r="H30210" s="2"/>
    </row>
    <row r="30211" spans="1:8" x14ac:dyDescent="0.25">
      <c r="A30211" s="1"/>
      <c r="B30211" s="1" t="s">
        <v>8275</v>
      </c>
      <c r="C30211" s="1" t="s">
        <v>8276</v>
      </c>
      <c r="D30211" s="1" t="str">
        <f>HYPERLINK("https://rhld.insurance.arkansas.gov/NPILookup?Npi=1033209697","1033209697")</f>
        <v>1033209697</v>
      </c>
      <c r="E30211" s="1" t="s">
        <v>29576</v>
      </c>
      <c r="F30211" s="2"/>
      <c r="G30211" s="2"/>
      <c r="H30211" s="2"/>
    </row>
    <row r="30212" spans="1:8" x14ac:dyDescent="0.25">
      <c r="A30212" s="1"/>
      <c r="B30212" s="1" t="s">
        <v>8275</v>
      </c>
      <c r="C30212" s="1" t="s">
        <v>8276</v>
      </c>
      <c r="D30212" s="1" t="str">
        <f>HYPERLINK("https://rhld.insurance.arkansas.gov/NPILookup?Npi=1033301320","1033301320")</f>
        <v>1033301320</v>
      </c>
      <c r="E30212" s="1" t="s">
        <v>17151</v>
      </c>
      <c r="F30212" s="2"/>
      <c r="G30212" s="2"/>
      <c r="H30212" s="2"/>
    </row>
    <row r="30213" spans="1:8" x14ac:dyDescent="0.25">
      <c r="A30213" s="1"/>
      <c r="B30213" s="1" t="s">
        <v>8275</v>
      </c>
      <c r="C30213" s="1" t="s">
        <v>8276</v>
      </c>
      <c r="D30213" s="1" t="str">
        <f>HYPERLINK("https://rhld.insurance.arkansas.gov/NPILookup?Npi=1033326434","1033326434")</f>
        <v>1033326434</v>
      </c>
      <c r="E30213" s="1" t="s">
        <v>29577</v>
      </c>
      <c r="F30213" s="2"/>
      <c r="G30213" s="2"/>
      <c r="H30213" s="2"/>
    </row>
    <row r="30214" spans="1:8" x14ac:dyDescent="0.25">
      <c r="A30214" s="1"/>
      <c r="B30214" s="1" t="s">
        <v>8275</v>
      </c>
      <c r="C30214" s="1" t="s">
        <v>8276</v>
      </c>
      <c r="D30214" s="1" t="str">
        <f>HYPERLINK("https://rhld.insurance.arkansas.gov/NPILookup?Npi=1033351507","1033351507")</f>
        <v>1033351507</v>
      </c>
      <c r="E30214" s="1" t="s">
        <v>29578</v>
      </c>
      <c r="F30214" s="2"/>
      <c r="G30214" s="2"/>
      <c r="H30214" s="2"/>
    </row>
    <row r="30215" spans="1:8" x14ac:dyDescent="0.25">
      <c r="A30215" s="1"/>
      <c r="B30215" s="1" t="s">
        <v>8275</v>
      </c>
      <c r="C30215" s="1" t="s">
        <v>8276</v>
      </c>
      <c r="D30215" s="1" t="str">
        <f>HYPERLINK("https://rhld.insurance.arkansas.gov/NPILookup?Npi=1033368246","1033368246")</f>
        <v>1033368246</v>
      </c>
      <c r="E30215" s="1" t="s">
        <v>2599</v>
      </c>
      <c r="F30215" s="2"/>
      <c r="G30215" s="2"/>
      <c r="H30215" s="2"/>
    </row>
    <row r="30216" spans="1:8" x14ac:dyDescent="0.25">
      <c r="A30216" s="1"/>
      <c r="B30216" s="1" t="s">
        <v>8275</v>
      </c>
      <c r="C30216" s="1" t="s">
        <v>8276</v>
      </c>
      <c r="D30216" s="1" t="str">
        <f>HYPERLINK("https://rhld.insurance.arkansas.gov/NPILookup?Npi=1033435011","1033435011")</f>
        <v>1033435011</v>
      </c>
      <c r="E30216" s="1" t="s">
        <v>8278</v>
      </c>
      <c r="F30216" s="2"/>
      <c r="G30216" s="2"/>
      <c r="H30216" s="2"/>
    </row>
    <row r="30217" spans="1:8" x14ac:dyDescent="0.25">
      <c r="A30217" s="1"/>
      <c r="B30217" s="1" t="s">
        <v>8275</v>
      </c>
      <c r="C30217" s="1" t="s">
        <v>8276</v>
      </c>
      <c r="D30217" s="1" t="str">
        <f>HYPERLINK("https://rhld.insurance.arkansas.gov/NPILookup?Npi=1033452990","1033452990")</f>
        <v>1033452990</v>
      </c>
      <c r="E30217" s="1" t="s">
        <v>17155</v>
      </c>
      <c r="F30217" s="2"/>
      <c r="G30217" s="2"/>
      <c r="H30217" s="2"/>
    </row>
    <row r="30218" spans="1:8" x14ac:dyDescent="0.25">
      <c r="A30218" s="1"/>
      <c r="B30218" s="1" t="s">
        <v>8275</v>
      </c>
      <c r="C30218" s="1" t="s">
        <v>8276</v>
      </c>
      <c r="D30218" s="1" t="str">
        <f>HYPERLINK("https://rhld.insurance.arkansas.gov/NPILookup?Npi=1033571021","1033571021")</f>
        <v>1033571021</v>
      </c>
      <c r="E30218" s="1" t="s">
        <v>2121</v>
      </c>
      <c r="F30218" s="2"/>
      <c r="G30218" s="2"/>
      <c r="H30218" s="2"/>
    </row>
    <row r="30219" spans="1:8" x14ac:dyDescent="0.25">
      <c r="A30219" s="1"/>
      <c r="B30219" s="1" t="s">
        <v>8275</v>
      </c>
      <c r="C30219" s="1" t="s">
        <v>8276</v>
      </c>
      <c r="D30219" s="1" t="str">
        <f>HYPERLINK("https://rhld.insurance.arkansas.gov/NPILookup?Npi=1033638499","1033638499")</f>
        <v>1033638499</v>
      </c>
      <c r="E30219" s="1" t="s">
        <v>7354</v>
      </c>
      <c r="F30219" s="2"/>
      <c r="G30219" s="2"/>
      <c r="H30219" s="2"/>
    </row>
    <row r="30220" spans="1:8" x14ac:dyDescent="0.25">
      <c r="A30220" s="1"/>
      <c r="B30220" s="1" t="s">
        <v>8275</v>
      </c>
      <c r="C30220" s="1" t="s">
        <v>8276</v>
      </c>
      <c r="D30220" s="1" t="str">
        <f>HYPERLINK("https://rhld.insurance.arkansas.gov/NPILookup?Npi=1033670377","1033670377")</f>
        <v>1033670377</v>
      </c>
      <c r="E30220" s="1" t="s">
        <v>29579</v>
      </c>
      <c r="F30220" s="2"/>
      <c r="G30220" s="2"/>
      <c r="H30220" s="2"/>
    </row>
    <row r="30221" spans="1:8" x14ac:dyDescent="0.25">
      <c r="A30221" s="1"/>
      <c r="B30221" s="1" t="s">
        <v>8275</v>
      </c>
      <c r="C30221" s="1" t="s">
        <v>8276</v>
      </c>
      <c r="D30221" s="1" t="str">
        <f>HYPERLINK("https://rhld.insurance.arkansas.gov/NPILookup?Npi=1033672555","1033672555")</f>
        <v>1033672555</v>
      </c>
      <c r="E30221" s="1" t="s">
        <v>2436</v>
      </c>
      <c r="F30221" s="2"/>
      <c r="G30221" s="2"/>
      <c r="H30221" s="2"/>
    </row>
    <row r="30222" spans="1:8" x14ac:dyDescent="0.25">
      <c r="A30222" s="1"/>
      <c r="B30222" s="1" t="s">
        <v>8275</v>
      </c>
      <c r="C30222" s="1" t="s">
        <v>8276</v>
      </c>
      <c r="D30222" s="1" t="str">
        <f>HYPERLINK("https://rhld.insurance.arkansas.gov/NPILookup?Npi=1033699855","1033699855")</f>
        <v>1033699855</v>
      </c>
      <c r="E30222" s="1" t="s">
        <v>32085</v>
      </c>
      <c r="F30222" s="2"/>
      <c r="G30222" s="2"/>
      <c r="H30222" s="2"/>
    </row>
    <row r="30223" spans="1:8" x14ac:dyDescent="0.25">
      <c r="A30223" s="1"/>
      <c r="B30223" s="1" t="s">
        <v>8275</v>
      </c>
      <c r="C30223" s="1" t="s">
        <v>8276</v>
      </c>
      <c r="D30223" s="1" t="str">
        <f>HYPERLINK("https://rhld.insurance.arkansas.gov/NPILookup?Npi=1033752803","1033752803")</f>
        <v>1033752803</v>
      </c>
      <c r="E30223" s="1" t="s">
        <v>2605</v>
      </c>
      <c r="F30223" s="2"/>
      <c r="G30223" s="2"/>
      <c r="H30223" s="2"/>
    </row>
    <row r="30224" spans="1:8" x14ac:dyDescent="0.25">
      <c r="A30224" s="1"/>
      <c r="B30224" s="1" t="s">
        <v>8275</v>
      </c>
      <c r="C30224" s="1" t="s">
        <v>8276</v>
      </c>
      <c r="D30224" s="1" t="str">
        <f>HYPERLINK("https://rhld.insurance.arkansas.gov/NPILookup?Npi=1033771969","1033771969")</f>
        <v>1033771969</v>
      </c>
      <c r="E30224" s="1" t="s">
        <v>1369</v>
      </c>
      <c r="F30224" s="2"/>
      <c r="G30224" s="2"/>
      <c r="H30224" s="2"/>
    </row>
    <row r="30225" spans="1:8" x14ac:dyDescent="0.25">
      <c r="A30225" s="1"/>
      <c r="B30225" s="1" t="s">
        <v>8275</v>
      </c>
      <c r="C30225" s="1" t="s">
        <v>8276</v>
      </c>
      <c r="D30225" s="1" t="str">
        <f>HYPERLINK("https://rhld.insurance.arkansas.gov/NPILookup?Npi=1033816087","1033816087")</f>
        <v>1033816087</v>
      </c>
      <c r="E30225" s="1" t="s">
        <v>7358</v>
      </c>
      <c r="F30225" s="2"/>
      <c r="G30225" s="2"/>
      <c r="H30225" s="2"/>
    </row>
    <row r="30226" spans="1:8" x14ac:dyDescent="0.25">
      <c r="A30226" s="1"/>
      <c r="B30226" s="1" t="s">
        <v>8275</v>
      </c>
      <c r="C30226" s="1" t="s">
        <v>8276</v>
      </c>
      <c r="D30226" s="1" t="str">
        <f>HYPERLINK("https://rhld.insurance.arkansas.gov/NPILookup?Npi=1033834692","1033834692")</f>
        <v>1033834692</v>
      </c>
      <c r="E30226" s="1" t="s">
        <v>7360</v>
      </c>
      <c r="F30226" s="2"/>
      <c r="G30226" s="2"/>
      <c r="H30226" s="2"/>
    </row>
    <row r="30227" spans="1:8" x14ac:dyDescent="0.25">
      <c r="A30227" s="1"/>
      <c r="B30227" s="1" t="s">
        <v>8275</v>
      </c>
      <c r="C30227" s="1" t="s">
        <v>8276</v>
      </c>
      <c r="D30227" s="1" t="str">
        <f>HYPERLINK("https://rhld.insurance.arkansas.gov/NPILookup?Npi=1033847975","1033847975")</f>
        <v>1033847975</v>
      </c>
      <c r="E30227" s="1" t="s">
        <v>32086</v>
      </c>
      <c r="F30227" s="2"/>
      <c r="G30227" s="2"/>
      <c r="H30227" s="2"/>
    </row>
    <row r="30228" spans="1:8" x14ac:dyDescent="0.25">
      <c r="A30228" s="1"/>
      <c r="B30228" s="1" t="s">
        <v>8275</v>
      </c>
      <c r="C30228" s="1" t="s">
        <v>8276</v>
      </c>
      <c r="D30228" s="1" t="str">
        <f>HYPERLINK("https://rhld.insurance.arkansas.gov/NPILookup?Npi=1033926001","1033926001")</f>
        <v>1033926001</v>
      </c>
      <c r="E30228" s="1" t="s">
        <v>32087</v>
      </c>
      <c r="F30228" s="2"/>
      <c r="G30228" s="2"/>
      <c r="H30228" s="2"/>
    </row>
    <row r="30229" spans="1:8" x14ac:dyDescent="0.25">
      <c r="A30229" s="1"/>
      <c r="B30229" s="1" t="s">
        <v>8275</v>
      </c>
      <c r="C30229" s="1" t="s">
        <v>8276</v>
      </c>
      <c r="D30229" s="1" t="str">
        <f>HYPERLINK("https://rhld.insurance.arkansas.gov/NPILookup?Npi=1033930656","1033930656")</f>
        <v>1033930656</v>
      </c>
      <c r="E30229" s="1" t="s">
        <v>32088</v>
      </c>
      <c r="F30229" s="2"/>
      <c r="G30229" s="2"/>
      <c r="H30229" s="2"/>
    </row>
    <row r="30230" spans="1:8" x14ac:dyDescent="0.25">
      <c r="A30230" s="1"/>
      <c r="B30230" s="1" t="s">
        <v>8275</v>
      </c>
      <c r="C30230" s="1" t="s">
        <v>8276</v>
      </c>
      <c r="D30230" s="1" t="str">
        <f>HYPERLINK("https://rhld.insurance.arkansas.gov/NPILookup?Npi=1033949409","1033949409")</f>
        <v>1033949409</v>
      </c>
      <c r="E30230" s="1" t="s">
        <v>32089</v>
      </c>
      <c r="F30230" s="2"/>
      <c r="G30230" s="2"/>
      <c r="H30230" s="2"/>
    </row>
    <row r="30231" spans="1:8" x14ac:dyDescent="0.25">
      <c r="A30231" s="1"/>
      <c r="B30231" s="1" t="s">
        <v>8275</v>
      </c>
      <c r="C30231" s="1" t="s">
        <v>8276</v>
      </c>
      <c r="D30231" s="1" t="str">
        <f>HYPERLINK("https://rhld.insurance.arkansas.gov/NPILookup?Npi=1033960265","1033960265")</f>
        <v>1033960265</v>
      </c>
      <c r="E30231" s="1" t="s">
        <v>32090</v>
      </c>
      <c r="F30231" s="2"/>
      <c r="G30231" s="2"/>
      <c r="H30231" s="2"/>
    </row>
    <row r="30232" spans="1:8" x14ac:dyDescent="0.25">
      <c r="A30232" s="1"/>
      <c r="B30232" s="1" t="s">
        <v>8275</v>
      </c>
      <c r="C30232" s="1" t="s">
        <v>8276</v>
      </c>
      <c r="D30232" s="1" t="str">
        <f>HYPERLINK("https://rhld.insurance.arkansas.gov/NPILookup?Npi=1043028939","1043028939")</f>
        <v>1043028939</v>
      </c>
      <c r="E30232" s="1" t="s">
        <v>32091</v>
      </c>
      <c r="F30232" s="2"/>
      <c r="G30232" s="2"/>
      <c r="H30232" s="2"/>
    </row>
    <row r="30233" spans="1:8" x14ac:dyDescent="0.25">
      <c r="A30233" s="1"/>
      <c r="B30233" s="1" t="s">
        <v>8275</v>
      </c>
      <c r="C30233" s="1" t="s">
        <v>8276</v>
      </c>
      <c r="D30233" s="1" t="str">
        <f>HYPERLINK("https://rhld.insurance.arkansas.gov/NPILookup?Npi=1043048200","1043048200")</f>
        <v>1043048200</v>
      </c>
      <c r="E30233" s="1" t="s">
        <v>32092</v>
      </c>
      <c r="F30233" s="2"/>
      <c r="G30233" s="2"/>
      <c r="H30233" s="2"/>
    </row>
    <row r="30234" spans="1:8" x14ac:dyDescent="0.25">
      <c r="A30234" s="1"/>
      <c r="B30234" s="1" t="s">
        <v>8275</v>
      </c>
      <c r="C30234" s="1" t="s">
        <v>8276</v>
      </c>
      <c r="D30234" s="1" t="str">
        <f>HYPERLINK("https://rhld.insurance.arkansas.gov/NPILookup?Npi=1043208879","1043208879")</f>
        <v>1043208879</v>
      </c>
      <c r="E30234" s="1" t="s">
        <v>25295</v>
      </c>
      <c r="F30234" s="2"/>
      <c r="G30234" s="2"/>
      <c r="H30234" s="2"/>
    </row>
    <row r="30235" spans="1:8" x14ac:dyDescent="0.25">
      <c r="A30235" s="1"/>
      <c r="B30235" s="1" t="s">
        <v>8275</v>
      </c>
      <c r="C30235" s="1" t="s">
        <v>8276</v>
      </c>
      <c r="D30235" s="1" t="str">
        <f>HYPERLINK("https://rhld.insurance.arkansas.gov/NPILookup?Npi=1043249550","1043249550")</f>
        <v>1043249550</v>
      </c>
      <c r="E30235" s="1" t="s">
        <v>3121</v>
      </c>
      <c r="F30235" s="2"/>
      <c r="G30235" s="2"/>
      <c r="H30235" s="2"/>
    </row>
    <row r="30236" spans="1:8" x14ac:dyDescent="0.25">
      <c r="A30236" s="1"/>
      <c r="B30236" s="1" t="s">
        <v>8275</v>
      </c>
      <c r="C30236" s="1" t="s">
        <v>8276</v>
      </c>
      <c r="D30236" s="1" t="str">
        <f>HYPERLINK("https://rhld.insurance.arkansas.gov/NPILookup?Npi=1043278914","1043278914")</f>
        <v>1043278914</v>
      </c>
      <c r="E30236" s="1" t="s">
        <v>25301</v>
      </c>
      <c r="F30236" s="2"/>
      <c r="G30236" s="2"/>
      <c r="H30236" s="2"/>
    </row>
    <row r="30237" spans="1:8" x14ac:dyDescent="0.25">
      <c r="A30237" s="1"/>
      <c r="B30237" s="1" t="s">
        <v>8275</v>
      </c>
      <c r="C30237" s="1" t="s">
        <v>8276</v>
      </c>
      <c r="D30237" s="1" t="str">
        <f>HYPERLINK("https://rhld.insurance.arkansas.gov/NPILookup?Npi=1043289879","1043289879")</f>
        <v>1043289879</v>
      </c>
      <c r="E30237" s="1" t="s">
        <v>29580</v>
      </c>
      <c r="F30237" s="2"/>
      <c r="G30237" s="2"/>
      <c r="H30237" s="2"/>
    </row>
    <row r="30238" spans="1:8" x14ac:dyDescent="0.25">
      <c r="A30238" s="1"/>
      <c r="B30238" s="1" t="s">
        <v>8275</v>
      </c>
      <c r="C30238" s="1" t="s">
        <v>8276</v>
      </c>
      <c r="D30238" s="1" t="str">
        <f>HYPERLINK("https://rhld.insurance.arkansas.gov/NPILookup?Npi=1043340011","1043340011")</f>
        <v>1043340011</v>
      </c>
      <c r="E30238" s="1" t="s">
        <v>25304</v>
      </c>
      <c r="F30238" s="2"/>
      <c r="G30238" s="2"/>
      <c r="H30238" s="2"/>
    </row>
    <row r="30239" spans="1:8" x14ac:dyDescent="0.25">
      <c r="A30239" s="1"/>
      <c r="B30239" s="1" t="s">
        <v>8275</v>
      </c>
      <c r="C30239" s="1" t="s">
        <v>8276</v>
      </c>
      <c r="D30239" s="1" t="str">
        <f>HYPERLINK("https://rhld.insurance.arkansas.gov/NPILookup?Npi=1043413909","1043413909")</f>
        <v>1043413909</v>
      </c>
      <c r="E30239" s="1" t="s">
        <v>13873</v>
      </c>
      <c r="F30239" s="2"/>
      <c r="G30239" s="2"/>
      <c r="H30239" s="2"/>
    </row>
    <row r="30240" spans="1:8" x14ac:dyDescent="0.25">
      <c r="A30240" s="1"/>
      <c r="B30240" s="1" t="s">
        <v>8275</v>
      </c>
      <c r="C30240" s="1" t="s">
        <v>8276</v>
      </c>
      <c r="D30240" s="1" t="str">
        <f>HYPERLINK("https://rhld.insurance.arkansas.gov/NPILookup?Npi=1043424880","1043424880")</f>
        <v>1043424880</v>
      </c>
      <c r="E30240" s="1" t="s">
        <v>12622</v>
      </c>
      <c r="F30240" s="2"/>
      <c r="G30240" s="2"/>
      <c r="H30240" s="2"/>
    </row>
    <row r="30241" spans="1:8" x14ac:dyDescent="0.25">
      <c r="A30241" s="1"/>
      <c r="B30241" s="1" t="s">
        <v>8275</v>
      </c>
      <c r="C30241" s="1" t="s">
        <v>8276</v>
      </c>
      <c r="D30241" s="1" t="str">
        <f>HYPERLINK("https://rhld.insurance.arkansas.gov/NPILookup?Npi=1043506777","1043506777")</f>
        <v>1043506777</v>
      </c>
      <c r="E30241" s="1" t="s">
        <v>25307</v>
      </c>
      <c r="F30241" s="2"/>
      <c r="G30241" s="2"/>
      <c r="H30241" s="2"/>
    </row>
    <row r="30242" spans="1:8" x14ac:dyDescent="0.25">
      <c r="A30242" s="1"/>
      <c r="B30242" s="1" t="s">
        <v>8275</v>
      </c>
      <c r="C30242" s="1" t="s">
        <v>8276</v>
      </c>
      <c r="D30242" s="1" t="str">
        <f>HYPERLINK("https://rhld.insurance.arkansas.gov/NPILookup?Npi=1043604804","1043604804")</f>
        <v>1043604804</v>
      </c>
      <c r="E30242" s="1" t="s">
        <v>32093</v>
      </c>
      <c r="F30242" s="2"/>
      <c r="G30242" s="2"/>
      <c r="H30242" s="2"/>
    </row>
    <row r="30243" spans="1:8" x14ac:dyDescent="0.25">
      <c r="A30243" s="1"/>
      <c r="B30243" s="1" t="s">
        <v>8275</v>
      </c>
      <c r="C30243" s="1" t="s">
        <v>8276</v>
      </c>
      <c r="D30243" s="1" t="str">
        <f>HYPERLINK("https://rhld.insurance.arkansas.gov/NPILookup?Npi=1043653454","1043653454")</f>
        <v>1043653454</v>
      </c>
      <c r="E30243" s="1" t="s">
        <v>29581</v>
      </c>
      <c r="F30243" s="2"/>
      <c r="G30243" s="2"/>
      <c r="H30243" s="2"/>
    </row>
    <row r="30244" spans="1:8" x14ac:dyDescent="0.25">
      <c r="A30244" s="1"/>
      <c r="B30244" s="1" t="s">
        <v>8275</v>
      </c>
      <c r="C30244" s="1" t="s">
        <v>8276</v>
      </c>
      <c r="D30244" s="1" t="str">
        <f>HYPERLINK("https://rhld.insurance.arkansas.gov/NPILookup?Npi=1043730328","1043730328")</f>
        <v>1043730328</v>
      </c>
      <c r="E30244" s="1" t="s">
        <v>1954</v>
      </c>
      <c r="F30244" s="2"/>
      <c r="G30244" s="2"/>
      <c r="H30244" s="2"/>
    </row>
    <row r="30245" spans="1:8" x14ac:dyDescent="0.25">
      <c r="A30245" s="1"/>
      <c r="B30245" s="1" t="s">
        <v>8275</v>
      </c>
      <c r="C30245" s="1" t="s">
        <v>8276</v>
      </c>
      <c r="D30245" s="1" t="str">
        <f>HYPERLINK("https://rhld.insurance.arkansas.gov/NPILookup?Npi=1043752009","1043752009")</f>
        <v>1043752009</v>
      </c>
      <c r="E30245" s="1" t="s">
        <v>1203</v>
      </c>
      <c r="F30245" s="2"/>
      <c r="G30245" s="2"/>
      <c r="H30245" s="2"/>
    </row>
    <row r="30246" spans="1:8" x14ac:dyDescent="0.25">
      <c r="A30246" s="1"/>
      <c r="B30246" s="1" t="s">
        <v>8275</v>
      </c>
      <c r="C30246" s="1" t="s">
        <v>8276</v>
      </c>
      <c r="D30246" s="1" t="str">
        <f>HYPERLINK("https://rhld.insurance.arkansas.gov/NPILookup?Npi=1043801855","1043801855")</f>
        <v>1043801855</v>
      </c>
      <c r="E30246" s="1" t="s">
        <v>12628</v>
      </c>
      <c r="F30246" s="2"/>
      <c r="G30246" s="2"/>
      <c r="H30246" s="2"/>
    </row>
    <row r="30247" spans="1:8" x14ac:dyDescent="0.25">
      <c r="A30247" s="1"/>
      <c r="B30247" s="1" t="s">
        <v>8275</v>
      </c>
      <c r="C30247" s="1" t="s">
        <v>8276</v>
      </c>
      <c r="D30247" s="1" t="str">
        <f>HYPERLINK("https://rhld.insurance.arkansas.gov/NPILookup?Npi=1043839962","1043839962")</f>
        <v>1043839962</v>
      </c>
      <c r="E30247" s="1" t="s">
        <v>8279</v>
      </c>
      <c r="F30247" s="2"/>
      <c r="G30247" s="2"/>
      <c r="H30247" s="2"/>
    </row>
    <row r="30248" spans="1:8" x14ac:dyDescent="0.25">
      <c r="A30248" s="1"/>
      <c r="B30248" s="1" t="s">
        <v>8275</v>
      </c>
      <c r="C30248" s="1" t="s">
        <v>8276</v>
      </c>
      <c r="D30248" s="1" t="str">
        <f>HYPERLINK("https://rhld.insurance.arkansas.gov/NPILookup?Npi=1043885098","1043885098")</f>
        <v>1043885098</v>
      </c>
      <c r="E30248" s="1" t="s">
        <v>32094</v>
      </c>
      <c r="F30248" s="2"/>
      <c r="G30248" s="2"/>
      <c r="H30248" s="2"/>
    </row>
    <row r="30249" spans="1:8" x14ac:dyDescent="0.25">
      <c r="A30249" s="1"/>
      <c r="B30249" s="1" t="s">
        <v>8275</v>
      </c>
      <c r="C30249" s="1" t="s">
        <v>8276</v>
      </c>
      <c r="D30249" s="1" t="str">
        <f>HYPERLINK("https://rhld.insurance.arkansas.gov/NPILookup?Npi=1043899503","1043899503")</f>
        <v>1043899503</v>
      </c>
      <c r="E30249" s="1" t="s">
        <v>32437</v>
      </c>
      <c r="F30249" s="2"/>
      <c r="G30249" s="2"/>
      <c r="H30249" s="2"/>
    </row>
    <row r="30250" spans="1:8" x14ac:dyDescent="0.25">
      <c r="A30250" s="1"/>
      <c r="B30250" s="1" t="s">
        <v>8275</v>
      </c>
      <c r="C30250" s="1" t="s">
        <v>8276</v>
      </c>
      <c r="D30250" s="1" t="str">
        <f>HYPERLINK("https://rhld.insurance.arkansas.gov/NPILookup?Npi=1053094532","1053094532")</f>
        <v>1053094532</v>
      </c>
      <c r="E30250" s="1" t="s">
        <v>32095</v>
      </c>
      <c r="F30250" s="2"/>
      <c r="G30250" s="2"/>
      <c r="H30250" s="2"/>
    </row>
    <row r="30251" spans="1:8" x14ac:dyDescent="0.25">
      <c r="A30251" s="1"/>
      <c r="B30251" s="1" t="s">
        <v>8275</v>
      </c>
      <c r="C30251" s="1" t="s">
        <v>8276</v>
      </c>
      <c r="D30251" s="1" t="str">
        <f>HYPERLINK("https://rhld.insurance.arkansas.gov/NPILookup?Npi=1053120329","1053120329")</f>
        <v>1053120329</v>
      </c>
      <c r="E30251" s="1" t="s">
        <v>32096</v>
      </c>
      <c r="F30251" s="2"/>
      <c r="G30251" s="2"/>
      <c r="H30251" s="2"/>
    </row>
    <row r="30252" spans="1:8" x14ac:dyDescent="0.25">
      <c r="A30252" s="1"/>
      <c r="B30252" s="1" t="s">
        <v>8275</v>
      </c>
      <c r="C30252" s="1" t="s">
        <v>8276</v>
      </c>
      <c r="D30252" s="1" t="str">
        <f>HYPERLINK("https://rhld.insurance.arkansas.gov/NPILookup?Npi=1053308650","1053308650")</f>
        <v>1053308650</v>
      </c>
      <c r="E30252" s="1" t="s">
        <v>288</v>
      </c>
      <c r="F30252" s="2"/>
      <c r="G30252" s="2"/>
      <c r="H30252" s="2"/>
    </row>
    <row r="30253" spans="1:8" x14ac:dyDescent="0.25">
      <c r="A30253" s="1"/>
      <c r="B30253" s="1" t="s">
        <v>8275</v>
      </c>
      <c r="C30253" s="1" t="s">
        <v>8276</v>
      </c>
      <c r="D30253" s="1" t="str">
        <f>HYPERLINK("https://rhld.insurance.arkansas.gov/NPILookup?Npi=1053339069","1053339069")</f>
        <v>1053339069</v>
      </c>
      <c r="E30253" s="1" t="s">
        <v>32438</v>
      </c>
      <c r="F30253" s="2"/>
      <c r="G30253" s="2"/>
      <c r="H30253" s="2"/>
    </row>
    <row r="30254" spans="1:8" x14ac:dyDescent="0.25">
      <c r="A30254" s="1"/>
      <c r="B30254" s="1" t="s">
        <v>8275</v>
      </c>
      <c r="C30254" s="1" t="s">
        <v>8276</v>
      </c>
      <c r="D30254" s="1" t="str">
        <f>HYPERLINK("https://rhld.insurance.arkansas.gov/NPILookup?Npi=1053355875","1053355875")</f>
        <v>1053355875</v>
      </c>
      <c r="E30254" s="1" t="s">
        <v>913</v>
      </c>
      <c r="F30254" s="2"/>
      <c r="G30254" s="2"/>
      <c r="H30254" s="2"/>
    </row>
    <row r="30255" spans="1:8" x14ac:dyDescent="0.25">
      <c r="A30255" s="1"/>
      <c r="B30255" s="1" t="s">
        <v>8275</v>
      </c>
      <c r="C30255" s="1" t="s">
        <v>8276</v>
      </c>
      <c r="D30255" s="1" t="str">
        <f>HYPERLINK("https://rhld.insurance.arkansas.gov/NPILookup?Npi=1053390781","1053390781")</f>
        <v>1053390781</v>
      </c>
      <c r="E30255" s="1" t="s">
        <v>25344</v>
      </c>
      <c r="F30255" s="2"/>
      <c r="G30255" s="2"/>
      <c r="H30255" s="2"/>
    </row>
    <row r="30256" spans="1:8" x14ac:dyDescent="0.25">
      <c r="A30256" s="1"/>
      <c r="B30256" s="1" t="s">
        <v>8275</v>
      </c>
      <c r="C30256" s="1" t="s">
        <v>8276</v>
      </c>
      <c r="D30256" s="1" t="str">
        <f>HYPERLINK("https://rhld.insurance.arkansas.gov/NPILookup?Npi=1053393785","1053393785")</f>
        <v>1053393785</v>
      </c>
      <c r="E30256" s="1" t="s">
        <v>1668</v>
      </c>
      <c r="F30256" s="2"/>
      <c r="G30256" s="2"/>
      <c r="H30256" s="2"/>
    </row>
    <row r="30257" spans="1:8" x14ac:dyDescent="0.25">
      <c r="A30257" s="1"/>
      <c r="B30257" s="1" t="s">
        <v>8275</v>
      </c>
      <c r="C30257" s="1" t="s">
        <v>8276</v>
      </c>
      <c r="D30257" s="1" t="str">
        <f>HYPERLINK("https://rhld.insurance.arkansas.gov/NPILookup?Npi=1053449694","1053449694")</f>
        <v>1053449694</v>
      </c>
      <c r="E30257" s="1" t="s">
        <v>25348</v>
      </c>
      <c r="F30257" s="2"/>
      <c r="G30257" s="2"/>
      <c r="H30257" s="2"/>
    </row>
    <row r="30258" spans="1:8" x14ac:dyDescent="0.25">
      <c r="A30258" s="1"/>
      <c r="B30258" s="1" t="s">
        <v>8275</v>
      </c>
      <c r="C30258" s="1" t="s">
        <v>8276</v>
      </c>
      <c r="D30258" s="1" t="str">
        <f>HYPERLINK("https://rhld.insurance.arkansas.gov/NPILookup?Npi=1053459784","1053459784")</f>
        <v>1053459784</v>
      </c>
      <c r="E30258" s="1" t="s">
        <v>8280</v>
      </c>
      <c r="F30258" s="2"/>
      <c r="G30258" s="2"/>
      <c r="H30258" s="2"/>
    </row>
    <row r="30259" spans="1:8" x14ac:dyDescent="0.25">
      <c r="A30259" s="1"/>
      <c r="B30259" s="1" t="s">
        <v>8275</v>
      </c>
      <c r="C30259" s="1" t="s">
        <v>8276</v>
      </c>
      <c r="D30259" s="1" t="str">
        <f>HYPERLINK("https://rhld.insurance.arkansas.gov/NPILookup?Npi=1053553495","1053553495")</f>
        <v>1053553495</v>
      </c>
      <c r="E30259" s="1" t="s">
        <v>25351</v>
      </c>
      <c r="F30259" s="2"/>
      <c r="G30259" s="2"/>
      <c r="H30259" s="2"/>
    </row>
    <row r="30260" spans="1:8" x14ac:dyDescent="0.25">
      <c r="A30260" s="1"/>
      <c r="B30260" s="1" t="s">
        <v>8275</v>
      </c>
      <c r="C30260" s="1" t="s">
        <v>8276</v>
      </c>
      <c r="D30260" s="1" t="str">
        <f>HYPERLINK("https://rhld.insurance.arkansas.gov/NPILookup?Npi=1053560979","1053560979")</f>
        <v>1053560979</v>
      </c>
      <c r="E30260" s="1" t="s">
        <v>25353</v>
      </c>
      <c r="F30260" s="2"/>
      <c r="G30260" s="2"/>
      <c r="H30260" s="2"/>
    </row>
    <row r="30261" spans="1:8" x14ac:dyDescent="0.25">
      <c r="A30261" s="1"/>
      <c r="B30261" s="1" t="s">
        <v>8275</v>
      </c>
      <c r="C30261" s="1" t="s">
        <v>8276</v>
      </c>
      <c r="D30261" s="1" t="str">
        <f>HYPERLINK("https://rhld.insurance.arkansas.gov/NPILookup?Npi=1053632273","1053632273")</f>
        <v>1053632273</v>
      </c>
      <c r="E30261" s="1" t="s">
        <v>29582</v>
      </c>
      <c r="F30261" s="2"/>
      <c r="G30261" s="2"/>
      <c r="H30261" s="2"/>
    </row>
    <row r="30262" spans="1:8" x14ac:dyDescent="0.25">
      <c r="A30262" s="1"/>
      <c r="B30262" s="1" t="s">
        <v>8275</v>
      </c>
      <c r="C30262" s="1" t="s">
        <v>8276</v>
      </c>
      <c r="D30262" s="1" t="str">
        <f>HYPERLINK("https://rhld.insurance.arkansas.gov/NPILookup?Npi=1053634485","1053634485")</f>
        <v>1053634485</v>
      </c>
      <c r="E30262" s="1" t="s">
        <v>12637</v>
      </c>
      <c r="F30262" s="2"/>
      <c r="G30262" s="2"/>
      <c r="H30262" s="2"/>
    </row>
    <row r="30263" spans="1:8" x14ac:dyDescent="0.25">
      <c r="A30263" s="1"/>
      <c r="B30263" s="1" t="s">
        <v>8275</v>
      </c>
      <c r="C30263" s="1" t="s">
        <v>8276</v>
      </c>
      <c r="D30263" s="1" t="str">
        <f>HYPERLINK("https://rhld.insurance.arkansas.gov/NPILookup?Npi=1053670273","1053670273")</f>
        <v>1053670273</v>
      </c>
      <c r="E30263" s="1" t="s">
        <v>29583</v>
      </c>
      <c r="F30263" s="2"/>
      <c r="G30263" s="2"/>
      <c r="H30263" s="2"/>
    </row>
    <row r="30264" spans="1:8" x14ac:dyDescent="0.25">
      <c r="A30264" s="1"/>
      <c r="B30264" s="1" t="s">
        <v>8275</v>
      </c>
      <c r="C30264" s="1" t="s">
        <v>8276</v>
      </c>
      <c r="D30264" s="1" t="str">
        <f>HYPERLINK("https://rhld.insurance.arkansas.gov/NPILookup?Npi=1053792259","1053792259")</f>
        <v>1053792259</v>
      </c>
      <c r="E30264" s="1" t="s">
        <v>25364</v>
      </c>
      <c r="F30264" s="2"/>
      <c r="G30264" s="2"/>
      <c r="H30264" s="2"/>
    </row>
    <row r="30265" spans="1:8" x14ac:dyDescent="0.25">
      <c r="A30265" s="1"/>
      <c r="B30265" s="1" t="s">
        <v>8275</v>
      </c>
      <c r="C30265" s="1" t="s">
        <v>8276</v>
      </c>
      <c r="D30265" s="1" t="str">
        <f>HYPERLINK("https://rhld.insurance.arkansas.gov/NPILookup?Npi=1053797399","1053797399")</f>
        <v>1053797399</v>
      </c>
      <c r="E30265" s="1" t="s">
        <v>25365</v>
      </c>
      <c r="F30265" s="2"/>
      <c r="G30265" s="2"/>
      <c r="H30265" s="2"/>
    </row>
    <row r="30266" spans="1:8" x14ac:dyDescent="0.25">
      <c r="A30266" s="1"/>
      <c r="B30266" s="1" t="s">
        <v>8275</v>
      </c>
      <c r="C30266" s="1" t="s">
        <v>8276</v>
      </c>
      <c r="D30266" s="1" t="str">
        <f>HYPERLINK("https://rhld.insurance.arkansas.gov/NPILookup?Npi=1053810101","1053810101")</f>
        <v>1053810101</v>
      </c>
      <c r="E30266" s="1" t="s">
        <v>1956</v>
      </c>
      <c r="F30266" s="2"/>
      <c r="G30266" s="2"/>
      <c r="H30266" s="2"/>
    </row>
    <row r="30267" spans="1:8" x14ac:dyDescent="0.25">
      <c r="A30267" s="1"/>
      <c r="B30267" s="1" t="s">
        <v>8275</v>
      </c>
      <c r="C30267" s="1" t="s">
        <v>8276</v>
      </c>
      <c r="D30267" s="1" t="str">
        <f>HYPERLINK("https://rhld.insurance.arkansas.gov/NPILookup?Npi=1053817999","1053817999")</f>
        <v>1053817999</v>
      </c>
      <c r="E30267" s="1" t="s">
        <v>29584</v>
      </c>
      <c r="F30267" s="2"/>
      <c r="G30267" s="2"/>
      <c r="H30267" s="2"/>
    </row>
    <row r="30268" spans="1:8" x14ac:dyDescent="0.25">
      <c r="A30268" s="1"/>
      <c r="B30268" s="1" t="s">
        <v>8275</v>
      </c>
      <c r="C30268" s="1" t="s">
        <v>8276</v>
      </c>
      <c r="D30268" s="1" t="str">
        <f>HYPERLINK("https://rhld.insurance.arkansas.gov/NPILookup?Npi=1053845651","1053845651")</f>
        <v>1053845651</v>
      </c>
      <c r="E30268" s="1" t="s">
        <v>25368</v>
      </c>
      <c r="F30268" s="2"/>
      <c r="G30268" s="2"/>
      <c r="H30268" s="2"/>
    </row>
    <row r="30269" spans="1:8" x14ac:dyDescent="0.25">
      <c r="A30269" s="1"/>
      <c r="B30269" s="1" t="s">
        <v>8275</v>
      </c>
      <c r="C30269" s="1" t="s">
        <v>8276</v>
      </c>
      <c r="D30269" s="1" t="str">
        <f>HYPERLINK("https://rhld.insurance.arkansas.gov/NPILookup?Npi=1053897884","1053897884")</f>
        <v>1053897884</v>
      </c>
      <c r="E30269" s="1" t="s">
        <v>1470</v>
      </c>
      <c r="F30269" s="2"/>
      <c r="G30269" s="2"/>
      <c r="H30269" s="2"/>
    </row>
    <row r="30270" spans="1:8" x14ac:dyDescent="0.25">
      <c r="A30270" s="1"/>
      <c r="B30270" s="1" t="s">
        <v>8275</v>
      </c>
      <c r="C30270" s="1" t="s">
        <v>8276</v>
      </c>
      <c r="D30270" s="1" t="str">
        <f>HYPERLINK("https://rhld.insurance.arkansas.gov/NPILookup?Npi=1063090959","1063090959")</f>
        <v>1063090959</v>
      </c>
      <c r="E30270" s="1" t="s">
        <v>32097</v>
      </c>
      <c r="F30270" s="2"/>
      <c r="G30270" s="2"/>
      <c r="H30270" s="2"/>
    </row>
    <row r="30271" spans="1:8" x14ac:dyDescent="0.25">
      <c r="A30271" s="1"/>
      <c r="B30271" s="1" t="s">
        <v>8275</v>
      </c>
      <c r="C30271" s="1" t="s">
        <v>8276</v>
      </c>
      <c r="D30271" s="1" t="str">
        <f>HYPERLINK("https://rhld.insurance.arkansas.gov/NPILookup?Npi=1063108280","1063108280")</f>
        <v>1063108280</v>
      </c>
      <c r="E30271" s="1" t="s">
        <v>32098</v>
      </c>
      <c r="F30271" s="2"/>
      <c r="G30271" s="2"/>
      <c r="H30271" s="2"/>
    </row>
    <row r="30272" spans="1:8" x14ac:dyDescent="0.25">
      <c r="A30272" s="1"/>
      <c r="B30272" s="1" t="s">
        <v>8275</v>
      </c>
      <c r="C30272" s="1" t="s">
        <v>8276</v>
      </c>
      <c r="D30272" s="1" t="str">
        <f>HYPERLINK("https://rhld.insurance.arkansas.gov/NPILookup?Npi=1063119113","1063119113")</f>
        <v>1063119113</v>
      </c>
      <c r="E30272" s="1" t="s">
        <v>32099</v>
      </c>
      <c r="F30272" s="2"/>
      <c r="G30272" s="2"/>
      <c r="H30272" s="2"/>
    </row>
    <row r="30273" spans="1:8" x14ac:dyDescent="0.25">
      <c r="A30273" s="1"/>
      <c r="B30273" s="1" t="s">
        <v>8275</v>
      </c>
      <c r="C30273" s="1" t="s">
        <v>8276</v>
      </c>
      <c r="D30273" s="1" t="str">
        <f>HYPERLINK("https://rhld.insurance.arkansas.gov/NPILookup?Npi=1063207538","1063207538")</f>
        <v>1063207538</v>
      </c>
      <c r="E30273" s="1" t="s">
        <v>32100</v>
      </c>
      <c r="F30273" s="2"/>
      <c r="G30273" s="2"/>
      <c r="H30273" s="2"/>
    </row>
    <row r="30274" spans="1:8" x14ac:dyDescent="0.25">
      <c r="A30274" s="1"/>
      <c r="B30274" s="1" t="s">
        <v>8275</v>
      </c>
      <c r="C30274" s="1" t="s">
        <v>8276</v>
      </c>
      <c r="D30274" s="1" t="str">
        <f>HYPERLINK("https://rhld.insurance.arkansas.gov/NPILookup?Npi=1063227171","1063227171")</f>
        <v>1063227171</v>
      </c>
      <c r="E30274" s="1" t="s">
        <v>32101</v>
      </c>
      <c r="F30274" s="2"/>
      <c r="G30274" s="2"/>
      <c r="H30274" s="2"/>
    </row>
    <row r="30275" spans="1:8" x14ac:dyDescent="0.25">
      <c r="A30275" s="1"/>
      <c r="B30275" s="1" t="s">
        <v>8275</v>
      </c>
      <c r="C30275" s="1" t="s">
        <v>8276</v>
      </c>
      <c r="D30275" s="1" t="str">
        <f>HYPERLINK("https://rhld.insurance.arkansas.gov/NPILookup?Npi=1063406114","1063406114")</f>
        <v>1063406114</v>
      </c>
      <c r="E30275" s="1" t="s">
        <v>25392</v>
      </c>
      <c r="F30275" s="2"/>
      <c r="G30275" s="2"/>
      <c r="H30275" s="2"/>
    </row>
    <row r="30276" spans="1:8" x14ac:dyDescent="0.25">
      <c r="A30276" s="1"/>
      <c r="B30276" s="1" t="s">
        <v>8275</v>
      </c>
      <c r="C30276" s="1" t="s">
        <v>8276</v>
      </c>
      <c r="D30276" s="1" t="str">
        <f>HYPERLINK("https://rhld.insurance.arkansas.gov/NPILookup?Npi=1063440899","1063440899")</f>
        <v>1063440899</v>
      </c>
      <c r="E30276" s="1" t="s">
        <v>25394</v>
      </c>
      <c r="F30276" s="2"/>
      <c r="G30276" s="2"/>
      <c r="H30276" s="2"/>
    </row>
    <row r="30277" spans="1:8" x14ac:dyDescent="0.25">
      <c r="A30277" s="1"/>
      <c r="B30277" s="1" t="s">
        <v>8275</v>
      </c>
      <c r="C30277" s="1" t="s">
        <v>8276</v>
      </c>
      <c r="D30277" s="1" t="str">
        <f>HYPERLINK("https://rhld.insurance.arkansas.gov/NPILookup?Npi=1063449049","1063449049")</f>
        <v>1063449049</v>
      </c>
      <c r="E30277" s="1" t="s">
        <v>10210</v>
      </c>
      <c r="F30277" s="2"/>
      <c r="G30277" s="2"/>
      <c r="H30277" s="2"/>
    </row>
    <row r="30278" spans="1:8" x14ac:dyDescent="0.25">
      <c r="A30278" s="1"/>
      <c r="B30278" s="1" t="s">
        <v>8275</v>
      </c>
      <c r="C30278" s="1" t="s">
        <v>8276</v>
      </c>
      <c r="D30278" s="1" t="str">
        <f>HYPERLINK("https://rhld.insurance.arkansas.gov/NPILookup?Npi=1063475630","1063475630")</f>
        <v>1063475630</v>
      </c>
      <c r="E30278" s="1" t="s">
        <v>3122</v>
      </c>
      <c r="F30278" s="2"/>
      <c r="G30278" s="2"/>
      <c r="H30278" s="2"/>
    </row>
    <row r="30279" spans="1:8" x14ac:dyDescent="0.25">
      <c r="A30279" s="1"/>
      <c r="B30279" s="1" t="s">
        <v>8275</v>
      </c>
      <c r="C30279" s="1" t="s">
        <v>8276</v>
      </c>
      <c r="D30279" s="1" t="str">
        <f>HYPERLINK("https://rhld.insurance.arkansas.gov/NPILookup?Npi=1063499150","1063499150")</f>
        <v>1063499150</v>
      </c>
      <c r="E30279" s="1" t="s">
        <v>12648</v>
      </c>
      <c r="F30279" s="2"/>
      <c r="G30279" s="2"/>
      <c r="H30279" s="2"/>
    </row>
    <row r="30280" spans="1:8" x14ac:dyDescent="0.25">
      <c r="A30280" s="1"/>
      <c r="B30280" s="1" t="s">
        <v>8275</v>
      </c>
      <c r="C30280" s="1" t="s">
        <v>8276</v>
      </c>
      <c r="D30280" s="1" t="str">
        <f>HYPERLINK("https://rhld.insurance.arkansas.gov/NPILookup?Npi=1063526606","1063526606")</f>
        <v>1063526606</v>
      </c>
      <c r="E30280" s="1" t="s">
        <v>3123</v>
      </c>
      <c r="F30280" s="2"/>
      <c r="G30280" s="2"/>
      <c r="H30280" s="2"/>
    </row>
    <row r="30281" spans="1:8" x14ac:dyDescent="0.25">
      <c r="A30281" s="1"/>
      <c r="B30281" s="1" t="s">
        <v>8275</v>
      </c>
      <c r="C30281" s="1" t="s">
        <v>8276</v>
      </c>
      <c r="D30281" s="1" t="str">
        <f>HYPERLINK("https://rhld.insurance.arkansas.gov/NPILookup?Npi=1063534949","1063534949")</f>
        <v>1063534949</v>
      </c>
      <c r="E30281" s="1" t="s">
        <v>3124</v>
      </c>
      <c r="F30281" s="2"/>
      <c r="G30281" s="2"/>
      <c r="H30281" s="2"/>
    </row>
    <row r="30282" spans="1:8" x14ac:dyDescent="0.25">
      <c r="A30282" s="1"/>
      <c r="B30282" s="1" t="s">
        <v>8275</v>
      </c>
      <c r="C30282" s="1" t="s">
        <v>8276</v>
      </c>
      <c r="D30282" s="1" t="str">
        <f>HYPERLINK("https://rhld.insurance.arkansas.gov/NPILookup?Npi=1063562924","1063562924")</f>
        <v>1063562924</v>
      </c>
      <c r="E30282" s="1" t="s">
        <v>8281</v>
      </c>
      <c r="F30282" s="2"/>
      <c r="G30282" s="2"/>
      <c r="H30282" s="2"/>
    </row>
    <row r="30283" spans="1:8" x14ac:dyDescent="0.25">
      <c r="A30283" s="1"/>
      <c r="B30283" s="1" t="s">
        <v>8275</v>
      </c>
      <c r="C30283" s="1" t="s">
        <v>8276</v>
      </c>
      <c r="D30283" s="1" t="str">
        <f>HYPERLINK("https://rhld.insurance.arkansas.gov/NPILookup?Npi=1063597979","1063597979")</f>
        <v>1063597979</v>
      </c>
      <c r="E30283" s="1" t="s">
        <v>32439</v>
      </c>
      <c r="F30283" s="2"/>
      <c r="G30283" s="2"/>
      <c r="H30283" s="2"/>
    </row>
    <row r="30284" spans="1:8" x14ac:dyDescent="0.25">
      <c r="A30284" s="1"/>
      <c r="B30284" s="1" t="s">
        <v>8275</v>
      </c>
      <c r="C30284" s="1" t="s">
        <v>8276</v>
      </c>
      <c r="D30284" s="1" t="str">
        <f>HYPERLINK("https://rhld.insurance.arkansas.gov/NPILookup?Npi=1063614907","1063614907")</f>
        <v>1063614907</v>
      </c>
      <c r="E30284" s="1" t="s">
        <v>32440</v>
      </c>
      <c r="F30284" s="2"/>
      <c r="G30284" s="2"/>
      <c r="H30284" s="2"/>
    </row>
    <row r="30285" spans="1:8" x14ac:dyDescent="0.25">
      <c r="A30285" s="1"/>
      <c r="B30285" s="1" t="s">
        <v>8275</v>
      </c>
      <c r="C30285" s="1" t="s">
        <v>8276</v>
      </c>
      <c r="D30285" s="1" t="str">
        <f>HYPERLINK("https://rhld.insurance.arkansas.gov/NPILookup?Npi=1063622652","1063622652")</f>
        <v>1063622652</v>
      </c>
      <c r="E30285" s="1" t="s">
        <v>25403</v>
      </c>
      <c r="F30285" s="2"/>
      <c r="G30285" s="2"/>
      <c r="H30285" s="2"/>
    </row>
    <row r="30286" spans="1:8" x14ac:dyDescent="0.25">
      <c r="A30286" s="1"/>
      <c r="B30286" s="1" t="s">
        <v>8275</v>
      </c>
      <c r="C30286" s="1" t="s">
        <v>8276</v>
      </c>
      <c r="D30286" s="1" t="str">
        <f>HYPERLINK("https://rhld.insurance.arkansas.gov/NPILookup?Npi=1063629962","1063629962")</f>
        <v>1063629962</v>
      </c>
      <c r="E30286" s="1" t="s">
        <v>32441</v>
      </c>
      <c r="F30286" s="2"/>
      <c r="G30286" s="2"/>
      <c r="H30286" s="2"/>
    </row>
    <row r="30287" spans="1:8" x14ac:dyDescent="0.25">
      <c r="A30287" s="1"/>
      <c r="B30287" s="1" t="s">
        <v>8275</v>
      </c>
      <c r="C30287" s="1" t="s">
        <v>8276</v>
      </c>
      <c r="D30287" s="1" t="str">
        <f>HYPERLINK("https://rhld.insurance.arkansas.gov/NPILookup?Npi=1063665990","1063665990")</f>
        <v>1063665990</v>
      </c>
      <c r="E30287" s="1" t="s">
        <v>25404</v>
      </c>
      <c r="F30287" s="2"/>
      <c r="G30287" s="2"/>
      <c r="H30287" s="2"/>
    </row>
    <row r="30288" spans="1:8" x14ac:dyDescent="0.25">
      <c r="A30288" s="1"/>
      <c r="B30288" s="1" t="s">
        <v>8275</v>
      </c>
      <c r="C30288" s="1" t="s">
        <v>8276</v>
      </c>
      <c r="D30288" s="1" t="str">
        <f>HYPERLINK("https://rhld.insurance.arkansas.gov/NPILookup?Npi=1063918340","1063918340")</f>
        <v>1063918340</v>
      </c>
      <c r="E30288" s="1" t="s">
        <v>29585</v>
      </c>
      <c r="F30288" s="2"/>
      <c r="G30288" s="2"/>
      <c r="H30288" s="2"/>
    </row>
    <row r="30289" spans="1:8" x14ac:dyDescent="0.25">
      <c r="A30289" s="1"/>
      <c r="B30289" s="1" t="s">
        <v>8275</v>
      </c>
      <c r="C30289" s="1" t="s">
        <v>8276</v>
      </c>
      <c r="D30289" s="1" t="str">
        <f>HYPERLINK("https://rhld.insurance.arkansas.gov/NPILookup?Npi=1063957546","1063957546")</f>
        <v>1063957546</v>
      </c>
      <c r="E30289" s="1" t="s">
        <v>25424</v>
      </c>
      <c r="F30289" s="2"/>
      <c r="G30289" s="2"/>
      <c r="H30289" s="2"/>
    </row>
    <row r="30290" spans="1:8" x14ac:dyDescent="0.25">
      <c r="A30290" s="1"/>
      <c r="B30290" s="1" t="s">
        <v>8275</v>
      </c>
      <c r="C30290" s="1" t="s">
        <v>8276</v>
      </c>
      <c r="D30290" s="1" t="str">
        <f>HYPERLINK("https://rhld.insurance.arkansas.gov/NPILookup?Npi=1063977965","1063977965")</f>
        <v>1063977965</v>
      </c>
      <c r="E30290" s="1" t="s">
        <v>2620</v>
      </c>
      <c r="F30290" s="2"/>
      <c r="G30290" s="2"/>
      <c r="H30290" s="2"/>
    </row>
    <row r="30291" spans="1:8" x14ac:dyDescent="0.25">
      <c r="A30291" s="1"/>
      <c r="B30291" s="1" t="s">
        <v>8275</v>
      </c>
      <c r="C30291" s="1" t="s">
        <v>8276</v>
      </c>
      <c r="D30291" s="1" t="str">
        <f>HYPERLINK("https://rhld.insurance.arkansas.gov/NPILookup?Npi=1063979128","1063979128")</f>
        <v>1063979128</v>
      </c>
      <c r="E30291" s="1" t="s">
        <v>32102</v>
      </c>
      <c r="F30291" s="2"/>
      <c r="G30291" s="2"/>
      <c r="H30291" s="2"/>
    </row>
    <row r="30292" spans="1:8" x14ac:dyDescent="0.25">
      <c r="A30292" s="1"/>
      <c r="B30292" s="1" t="s">
        <v>8275</v>
      </c>
      <c r="C30292" s="1" t="s">
        <v>8276</v>
      </c>
      <c r="D30292" s="1" t="str">
        <f>HYPERLINK("https://rhld.insurance.arkansas.gov/NPILookup?Npi=1063999464","1063999464")</f>
        <v>1063999464</v>
      </c>
      <c r="E30292" s="1" t="s">
        <v>7394</v>
      </c>
      <c r="F30292" s="2"/>
      <c r="G30292" s="2"/>
      <c r="H30292" s="2"/>
    </row>
    <row r="30293" spans="1:8" x14ac:dyDescent="0.25">
      <c r="A30293" s="1"/>
      <c r="B30293" s="1" t="s">
        <v>8275</v>
      </c>
      <c r="C30293" s="1" t="s">
        <v>8276</v>
      </c>
      <c r="D30293" s="1" t="str">
        <f>HYPERLINK("https://rhld.insurance.arkansas.gov/NPILookup?Npi=1073075735","1073075735")</f>
        <v>1073075735</v>
      </c>
      <c r="E30293" s="1" t="s">
        <v>12658</v>
      </c>
      <c r="F30293" s="2"/>
      <c r="G30293" s="2"/>
      <c r="H30293" s="2"/>
    </row>
    <row r="30294" spans="1:8" x14ac:dyDescent="0.25">
      <c r="A30294" s="1"/>
      <c r="B30294" s="1" t="s">
        <v>8275</v>
      </c>
      <c r="C30294" s="1" t="s">
        <v>8276</v>
      </c>
      <c r="D30294" s="1" t="str">
        <f>HYPERLINK("https://rhld.insurance.arkansas.gov/NPILookup?Npi=1073142113","1073142113")</f>
        <v>1073142113</v>
      </c>
      <c r="E30294" s="1" t="s">
        <v>29586</v>
      </c>
      <c r="F30294" s="2"/>
      <c r="G30294" s="2"/>
      <c r="H30294" s="2"/>
    </row>
    <row r="30295" spans="1:8" x14ac:dyDescent="0.25">
      <c r="A30295" s="1"/>
      <c r="B30295" s="1" t="s">
        <v>8275</v>
      </c>
      <c r="C30295" s="1" t="s">
        <v>8276</v>
      </c>
      <c r="D30295" s="1" t="str">
        <f>HYPERLINK("https://rhld.insurance.arkansas.gov/NPILookup?Npi=1073194023","1073194023")</f>
        <v>1073194023</v>
      </c>
      <c r="E30295" s="1" t="s">
        <v>32103</v>
      </c>
      <c r="F30295" s="2"/>
      <c r="G30295" s="2"/>
      <c r="H30295" s="2"/>
    </row>
    <row r="30296" spans="1:8" x14ac:dyDescent="0.25">
      <c r="A30296" s="1"/>
      <c r="B30296" s="1" t="s">
        <v>8275</v>
      </c>
      <c r="C30296" s="1" t="s">
        <v>8276</v>
      </c>
      <c r="D30296" s="1" t="str">
        <f>HYPERLINK("https://rhld.insurance.arkansas.gov/NPILookup?Npi=1073269106","1073269106")</f>
        <v>1073269106</v>
      </c>
      <c r="E30296" s="1" t="s">
        <v>7400</v>
      </c>
      <c r="F30296" s="2"/>
      <c r="G30296" s="2"/>
      <c r="H30296" s="2"/>
    </row>
    <row r="30297" spans="1:8" x14ac:dyDescent="0.25">
      <c r="A30297" s="1"/>
      <c r="B30297" s="1" t="s">
        <v>8275</v>
      </c>
      <c r="C30297" s="1" t="s">
        <v>8276</v>
      </c>
      <c r="D30297" s="1" t="str">
        <f>HYPERLINK("https://rhld.insurance.arkansas.gov/NPILookup?Npi=1073296471","1073296471")</f>
        <v>1073296471</v>
      </c>
      <c r="E30297" s="1" t="s">
        <v>32104</v>
      </c>
      <c r="F30297" s="2"/>
      <c r="G30297" s="2"/>
      <c r="H30297" s="2"/>
    </row>
    <row r="30298" spans="1:8" x14ac:dyDescent="0.25">
      <c r="A30298" s="1"/>
      <c r="B30298" s="1" t="s">
        <v>8275</v>
      </c>
      <c r="C30298" s="1" t="s">
        <v>8276</v>
      </c>
      <c r="D30298" s="1" t="str">
        <f>HYPERLINK("https://rhld.insurance.arkansas.gov/NPILookup?Npi=1073326765","1073326765")</f>
        <v>1073326765</v>
      </c>
      <c r="E30298" s="1" t="s">
        <v>32105</v>
      </c>
      <c r="F30298" s="2"/>
      <c r="G30298" s="2"/>
      <c r="H30298" s="2"/>
    </row>
    <row r="30299" spans="1:8" x14ac:dyDescent="0.25">
      <c r="A30299" s="1"/>
      <c r="B30299" s="1" t="s">
        <v>8275</v>
      </c>
      <c r="C30299" s="1" t="s">
        <v>8276</v>
      </c>
      <c r="D30299" s="1" t="str">
        <f>HYPERLINK("https://rhld.insurance.arkansas.gov/NPILookup?Npi=1073512828","1073512828")</f>
        <v>1073512828</v>
      </c>
      <c r="E30299" s="1" t="s">
        <v>2622</v>
      </c>
      <c r="F30299" s="2"/>
      <c r="G30299" s="2"/>
      <c r="H30299" s="2"/>
    </row>
    <row r="30300" spans="1:8" x14ac:dyDescent="0.25">
      <c r="A30300" s="1"/>
      <c r="B30300" s="1" t="s">
        <v>8275</v>
      </c>
      <c r="C30300" s="1" t="s">
        <v>8276</v>
      </c>
      <c r="D30300" s="1" t="str">
        <f>HYPERLINK("https://rhld.insurance.arkansas.gov/NPILookup?Npi=1073536132","1073536132")</f>
        <v>1073536132</v>
      </c>
      <c r="E30300" s="1" t="s">
        <v>12662</v>
      </c>
      <c r="F30300" s="2"/>
      <c r="G30300" s="2"/>
      <c r="H30300" s="2"/>
    </row>
    <row r="30301" spans="1:8" x14ac:dyDescent="0.25">
      <c r="A30301" s="1"/>
      <c r="B30301" s="1" t="s">
        <v>8275</v>
      </c>
      <c r="C30301" s="1" t="s">
        <v>8276</v>
      </c>
      <c r="D30301" s="1" t="str">
        <f>HYPERLINK("https://rhld.insurance.arkansas.gov/NPILookup?Npi=1073558052","1073558052")</f>
        <v>1073558052</v>
      </c>
      <c r="E30301" s="1" t="s">
        <v>211</v>
      </c>
      <c r="F30301" s="2"/>
      <c r="G30301" s="2"/>
      <c r="H30301" s="2"/>
    </row>
    <row r="30302" spans="1:8" x14ac:dyDescent="0.25">
      <c r="A30302" s="1"/>
      <c r="B30302" s="1" t="s">
        <v>8275</v>
      </c>
      <c r="C30302" s="1" t="s">
        <v>8276</v>
      </c>
      <c r="D30302" s="1" t="str">
        <f>HYPERLINK("https://rhld.insurance.arkansas.gov/NPILookup?Npi=1073569828","1073569828")</f>
        <v>1073569828</v>
      </c>
      <c r="E30302" s="1" t="s">
        <v>12663</v>
      </c>
      <c r="F30302" s="2"/>
      <c r="G30302" s="2"/>
      <c r="H30302" s="2"/>
    </row>
    <row r="30303" spans="1:8" x14ac:dyDescent="0.25">
      <c r="A30303" s="1"/>
      <c r="B30303" s="1" t="s">
        <v>8275</v>
      </c>
      <c r="C30303" s="1" t="s">
        <v>8276</v>
      </c>
      <c r="D30303" s="1" t="str">
        <f>HYPERLINK("https://rhld.insurance.arkansas.gov/NPILookup?Npi=1073592523","1073592523")</f>
        <v>1073592523</v>
      </c>
      <c r="E30303" s="1" t="s">
        <v>1957</v>
      </c>
      <c r="F30303" s="2"/>
      <c r="G30303" s="2"/>
      <c r="H30303" s="2"/>
    </row>
    <row r="30304" spans="1:8" x14ac:dyDescent="0.25">
      <c r="A30304" s="1"/>
      <c r="B30304" s="1" t="s">
        <v>8275</v>
      </c>
      <c r="C30304" s="1" t="s">
        <v>8276</v>
      </c>
      <c r="D30304" s="1" t="str">
        <f>HYPERLINK("https://rhld.insurance.arkansas.gov/NPILookup?Npi=1073603403","1073603403")</f>
        <v>1073603403</v>
      </c>
      <c r="E30304" s="1" t="s">
        <v>25455</v>
      </c>
      <c r="F30304" s="2"/>
      <c r="G30304" s="2"/>
      <c r="H30304" s="2"/>
    </row>
    <row r="30305" spans="1:8" x14ac:dyDescent="0.25">
      <c r="A30305" s="1"/>
      <c r="B30305" s="1" t="s">
        <v>8275</v>
      </c>
      <c r="C30305" s="1" t="s">
        <v>8276</v>
      </c>
      <c r="D30305" s="1" t="str">
        <f>HYPERLINK("https://rhld.insurance.arkansas.gov/NPILookup?Npi=1073719944","1073719944")</f>
        <v>1073719944</v>
      </c>
      <c r="E30305" s="1" t="s">
        <v>13874</v>
      </c>
      <c r="F30305" s="2"/>
      <c r="G30305" s="2"/>
      <c r="H30305" s="2"/>
    </row>
    <row r="30306" spans="1:8" x14ac:dyDescent="0.25">
      <c r="A30306" s="1"/>
      <c r="B30306" s="1" t="s">
        <v>8275</v>
      </c>
      <c r="C30306" s="1" t="s">
        <v>8276</v>
      </c>
      <c r="D30306" s="1" t="str">
        <f>HYPERLINK("https://rhld.insurance.arkansas.gov/NPILookup?Npi=1073806501","1073806501")</f>
        <v>1073806501</v>
      </c>
      <c r="E30306" s="1" t="s">
        <v>29587</v>
      </c>
      <c r="F30306" s="2"/>
      <c r="G30306" s="2"/>
      <c r="H30306" s="2"/>
    </row>
    <row r="30307" spans="1:8" x14ac:dyDescent="0.25">
      <c r="A30307" s="1"/>
      <c r="B30307" s="1" t="s">
        <v>8275</v>
      </c>
      <c r="C30307" s="1" t="s">
        <v>8276</v>
      </c>
      <c r="D30307" s="1" t="str">
        <f>HYPERLINK("https://rhld.insurance.arkansas.gov/NPILookup?Npi=1073925228","1073925228")</f>
        <v>1073925228</v>
      </c>
      <c r="E30307" s="1" t="s">
        <v>29588</v>
      </c>
      <c r="F30307" s="2"/>
      <c r="G30307" s="2"/>
      <c r="H30307" s="2"/>
    </row>
    <row r="30308" spans="1:8" x14ac:dyDescent="0.25">
      <c r="A30308" s="1"/>
      <c r="B30308" s="1" t="s">
        <v>8275</v>
      </c>
      <c r="C30308" s="1" t="s">
        <v>8276</v>
      </c>
      <c r="D30308" s="1" t="str">
        <f>HYPERLINK("https://rhld.insurance.arkansas.gov/NPILookup?Npi=1073932224","1073932224")</f>
        <v>1073932224</v>
      </c>
      <c r="E30308" s="1" t="s">
        <v>13875</v>
      </c>
      <c r="F30308" s="2"/>
      <c r="G30308" s="2"/>
      <c r="H30308" s="2"/>
    </row>
    <row r="30309" spans="1:8" x14ac:dyDescent="0.25">
      <c r="A30309" s="1"/>
      <c r="B30309" s="1" t="s">
        <v>8275</v>
      </c>
      <c r="C30309" s="1" t="s">
        <v>8276</v>
      </c>
      <c r="D30309" s="1" t="str">
        <f>HYPERLINK("https://rhld.insurance.arkansas.gov/NPILookup?Npi=1073953626","1073953626")</f>
        <v>1073953626</v>
      </c>
      <c r="E30309" s="1" t="s">
        <v>7405</v>
      </c>
      <c r="F30309" s="2"/>
      <c r="G30309" s="2"/>
      <c r="H30309" s="2"/>
    </row>
    <row r="30310" spans="1:8" x14ac:dyDescent="0.25">
      <c r="A30310" s="1"/>
      <c r="B30310" s="1" t="s">
        <v>8275</v>
      </c>
      <c r="C30310" s="1" t="s">
        <v>8276</v>
      </c>
      <c r="D30310" s="1" t="str">
        <f>HYPERLINK("https://rhld.insurance.arkansas.gov/NPILookup?Npi=1073970166","1073970166")</f>
        <v>1073970166</v>
      </c>
      <c r="E30310" s="1" t="s">
        <v>684</v>
      </c>
      <c r="F30310" s="2"/>
      <c r="G30310" s="2"/>
      <c r="H30310" s="2"/>
    </row>
    <row r="30311" spans="1:8" x14ac:dyDescent="0.25">
      <c r="A30311" s="1"/>
      <c r="B30311" s="1" t="s">
        <v>8275</v>
      </c>
      <c r="C30311" s="1" t="s">
        <v>8276</v>
      </c>
      <c r="D30311" s="1" t="str">
        <f>HYPERLINK("https://rhld.insurance.arkansas.gov/NPILookup?Npi=1083001382","1083001382")</f>
        <v>1083001382</v>
      </c>
      <c r="E30311" s="1" t="s">
        <v>15717</v>
      </c>
      <c r="F30311" s="2"/>
      <c r="G30311" s="2"/>
      <c r="H30311" s="2"/>
    </row>
    <row r="30312" spans="1:8" x14ac:dyDescent="0.25">
      <c r="A30312" s="1"/>
      <c r="B30312" s="1" t="s">
        <v>8275</v>
      </c>
      <c r="C30312" s="1" t="s">
        <v>8276</v>
      </c>
      <c r="D30312" s="1" t="str">
        <f>HYPERLINK("https://rhld.insurance.arkansas.gov/NPILookup?Npi=1083289144","1083289144")</f>
        <v>1083289144</v>
      </c>
      <c r="E30312" s="1" t="s">
        <v>32107</v>
      </c>
      <c r="F30312" s="2"/>
      <c r="G30312" s="2"/>
      <c r="H30312" s="2"/>
    </row>
    <row r="30313" spans="1:8" x14ac:dyDescent="0.25">
      <c r="A30313" s="1"/>
      <c r="B30313" s="1" t="s">
        <v>8275</v>
      </c>
      <c r="C30313" s="1" t="s">
        <v>8276</v>
      </c>
      <c r="D30313" s="1" t="str">
        <f>HYPERLINK("https://rhld.insurance.arkansas.gov/NPILookup?Npi=1083297741","1083297741")</f>
        <v>1083297741</v>
      </c>
      <c r="E30313" s="1" t="s">
        <v>25492</v>
      </c>
      <c r="F30313" s="2"/>
      <c r="G30313" s="2"/>
      <c r="H30313" s="2"/>
    </row>
    <row r="30314" spans="1:8" x14ac:dyDescent="0.25">
      <c r="A30314" s="1"/>
      <c r="B30314" s="1" t="s">
        <v>8275</v>
      </c>
      <c r="C30314" s="1" t="s">
        <v>8276</v>
      </c>
      <c r="D30314" s="1" t="str">
        <f>HYPERLINK("https://rhld.insurance.arkansas.gov/NPILookup?Npi=1083315170","1083315170")</f>
        <v>1083315170</v>
      </c>
      <c r="E30314" s="1" t="s">
        <v>32108</v>
      </c>
      <c r="F30314" s="2"/>
      <c r="G30314" s="2"/>
      <c r="H30314" s="2"/>
    </row>
    <row r="30315" spans="1:8" x14ac:dyDescent="0.25">
      <c r="A30315" s="1"/>
      <c r="B30315" s="1" t="s">
        <v>8275</v>
      </c>
      <c r="C30315" s="1" t="s">
        <v>8276</v>
      </c>
      <c r="D30315" s="1" t="str">
        <f>HYPERLINK("https://rhld.insurance.arkansas.gov/NPILookup?Npi=1083371686","1083371686")</f>
        <v>1083371686</v>
      </c>
      <c r="E30315" s="1" t="s">
        <v>25496</v>
      </c>
      <c r="F30315" s="2"/>
      <c r="G30315" s="2"/>
      <c r="H30315" s="2"/>
    </row>
    <row r="30316" spans="1:8" x14ac:dyDescent="0.25">
      <c r="A30316" s="1"/>
      <c r="B30316" s="1" t="s">
        <v>8275</v>
      </c>
      <c r="C30316" s="1" t="s">
        <v>8276</v>
      </c>
      <c r="D30316" s="1" t="str">
        <f>HYPERLINK("https://rhld.insurance.arkansas.gov/NPILookup?Npi=1083388359","1083388359")</f>
        <v>1083388359</v>
      </c>
      <c r="E30316" s="1" t="s">
        <v>12678</v>
      </c>
      <c r="F30316" s="2"/>
      <c r="G30316" s="2"/>
      <c r="H30316" s="2"/>
    </row>
    <row r="30317" spans="1:8" x14ac:dyDescent="0.25">
      <c r="A30317" s="1"/>
      <c r="B30317" s="1" t="s">
        <v>8275</v>
      </c>
      <c r="C30317" s="1" t="s">
        <v>8276</v>
      </c>
      <c r="D30317" s="1" t="str">
        <f>HYPERLINK("https://rhld.insurance.arkansas.gov/NPILookup?Npi=1083433403","1083433403")</f>
        <v>1083433403</v>
      </c>
      <c r="E30317" s="1" t="s">
        <v>32109</v>
      </c>
      <c r="F30317" s="2"/>
      <c r="G30317" s="2"/>
      <c r="H30317" s="2"/>
    </row>
    <row r="30318" spans="1:8" x14ac:dyDescent="0.25">
      <c r="A30318" s="1"/>
      <c r="B30318" s="1" t="s">
        <v>8275</v>
      </c>
      <c r="C30318" s="1" t="s">
        <v>8276</v>
      </c>
      <c r="D30318" s="1" t="str">
        <f>HYPERLINK("https://rhld.insurance.arkansas.gov/NPILookup?Npi=1083433981","1083433981")</f>
        <v>1083433981</v>
      </c>
      <c r="E30318" s="1" t="s">
        <v>32110</v>
      </c>
      <c r="F30318" s="2"/>
      <c r="G30318" s="2"/>
      <c r="H30318" s="2"/>
    </row>
    <row r="30319" spans="1:8" x14ac:dyDescent="0.25">
      <c r="A30319" s="1"/>
      <c r="B30319" s="1" t="s">
        <v>8275</v>
      </c>
      <c r="C30319" s="1" t="s">
        <v>8276</v>
      </c>
      <c r="D30319" s="1" t="str">
        <f>HYPERLINK("https://rhld.insurance.arkansas.gov/NPILookup?Npi=1083481139","1083481139")</f>
        <v>1083481139</v>
      </c>
      <c r="E30319" s="1" t="s">
        <v>25499</v>
      </c>
      <c r="F30319" s="2"/>
      <c r="G30319" s="2"/>
      <c r="H30319" s="2"/>
    </row>
    <row r="30320" spans="1:8" x14ac:dyDescent="0.25">
      <c r="A30320" s="1"/>
      <c r="B30320" s="1" t="s">
        <v>8275</v>
      </c>
      <c r="C30320" s="1" t="s">
        <v>8276</v>
      </c>
      <c r="D30320" s="1" t="str">
        <f>HYPERLINK("https://rhld.insurance.arkansas.gov/NPILookup?Npi=1083616080","1083616080")</f>
        <v>1083616080</v>
      </c>
      <c r="E30320" s="1" t="s">
        <v>25503</v>
      </c>
      <c r="F30320" s="2"/>
      <c r="G30320" s="2"/>
      <c r="H30320" s="2"/>
    </row>
    <row r="30321" spans="1:8" x14ac:dyDescent="0.25">
      <c r="A30321" s="1"/>
      <c r="B30321" s="1" t="s">
        <v>8275</v>
      </c>
      <c r="C30321" s="1" t="s">
        <v>8276</v>
      </c>
      <c r="D30321" s="1" t="str">
        <f>HYPERLINK("https://rhld.insurance.arkansas.gov/NPILookup?Npi=1083669329","1083669329")</f>
        <v>1083669329</v>
      </c>
      <c r="E30321" s="1" t="s">
        <v>3126</v>
      </c>
      <c r="F30321" s="2"/>
      <c r="G30321" s="2"/>
      <c r="H30321" s="2"/>
    </row>
    <row r="30322" spans="1:8" x14ac:dyDescent="0.25">
      <c r="A30322" s="1"/>
      <c r="B30322" s="1" t="s">
        <v>8275</v>
      </c>
      <c r="C30322" s="1" t="s">
        <v>8276</v>
      </c>
      <c r="D30322" s="1" t="str">
        <f>HYPERLINK("https://rhld.insurance.arkansas.gov/NPILookup?Npi=1083671580","1083671580")</f>
        <v>1083671580</v>
      </c>
      <c r="E30322" s="1" t="s">
        <v>29589</v>
      </c>
      <c r="F30322" s="2"/>
      <c r="G30322" s="2"/>
      <c r="H30322" s="2"/>
    </row>
    <row r="30323" spans="1:8" x14ac:dyDescent="0.25">
      <c r="A30323" s="1"/>
      <c r="B30323" s="1" t="s">
        <v>8275</v>
      </c>
      <c r="C30323" s="1" t="s">
        <v>8276</v>
      </c>
      <c r="D30323" s="1" t="str">
        <f>HYPERLINK("https://rhld.insurance.arkansas.gov/NPILookup?Npi=1083680862","1083680862")</f>
        <v>1083680862</v>
      </c>
      <c r="E30323" s="1" t="s">
        <v>25508</v>
      </c>
      <c r="F30323" s="2"/>
      <c r="G30323" s="2"/>
      <c r="H30323" s="2"/>
    </row>
    <row r="30324" spans="1:8" x14ac:dyDescent="0.25">
      <c r="A30324" s="1"/>
      <c r="B30324" s="1" t="s">
        <v>8275</v>
      </c>
      <c r="C30324" s="1" t="s">
        <v>8276</v>
      </c>
      <c r="D30324" s="1" t="str">
        <f>HYPERLINK("https://rhld.insurance.arkansas.gov/NPILookup?Npi=1083689855","1083689855")</f>
        <v>1083689855</v>
      </c>
      <c r="E30324" s="1" t="s">
        <v>17192</v>
      </c>
      <c r="F30324" s="2"/>
      <c r="G30324" s="2"/>
      <c r="H30324" s="2"/>
    </row>
    <row r="30325" spans="1:8" x14ac:dyDescent="0.25">
      <c r="A30325" s="1"/>
      <c r="B30325" s="1" t="s">
        <v>8275</v>
      </c>
      <c r="C30325" s="1" t="s">
        <v>8276</v>
      </c>
      <c r="D30325" s="1" t="str">
        <f>HYPERLINK("https://rhld.insurance.arkansas.gov/NPILookup?Npi=1083714117","1083714117")</f>
        <v>1083714117</v>
      </c>
      <c r="E30325" s="1" t="s">
        <v>1962</v>
      </c>
      <c r="F30325" s="2"/>
      <c r="G30325" s="2"/>
      <c r="H30325" s="2"/>
    </row>
    <row r="30326" spans="1:8" x14ac:dyDescent="0.25">
      <c r="A30326" s="1"/>
      <c r="B30326" s="1" t="s">
        <v>8275</v>
      </c>
      <c r="C30326" s="1" t="s">
        <v>8276</v>
      </c>
      <c r="D30326" s="1" t="str">
        <f>HYPERLINK("https://rhld.insurance.arkansas.gov/NPILookup?Npi=1083757033","1083757033")</f>
        <v>1083757033</v>
      </c>
      <c r="E30326" s="1" t="s">
        <v>13876</v>
      </c>
      <c r="F30326" s="2"/>
      <c r="G30326" s="2"/>
      <c r="H30326" s="2"/>
    </row>
    <row r="30327" spans="1:8" x14ac:dyDescent="0.25">
      <c r="A30327" s="1"/>
      <c r="B30327" s="1" t="s">
        <v>8275</v>
      </c>
      <c r="C30327" s="1" t="s">
        <v>8276</v>
      </c>
      <c r="D30327" s="1" t="str">
        <f>HYPERLINK("https://rhld.insurance.arkansas.gov/NPILookup?Npi=1083867444","1083867444")</f>
        <v>1083867444</v>
      </c>
      <c r="E30327" s="1" t="s">
        <v>25514</v>
      </c>
      <c r="F30327" s="2"/>
      <c r="G30327" s="2"/>
      <c r="H30327" s="2"/>
    </row>
    <row r="30328" spans="1:8" x14ac:dyDescent="0.25">
      <c r="A30328" s="1"/>
      <c r="B30328" s="1" t="s">
        <v>8275</v>
      </c>
      <c r="C30328" s="1" t="s">
        <v>8276</v>
      </c>
      <c r="D30328" s="1" t="str">
        <f>HYPERLINK("https://rhld.insurance.arkansas.gov/NPILookup?Npi=1083902894","1083902894")</f>
        <v>1083902894</v>
      </c>
      <c r="E30328" s="1" t="s">
        <v>13877</v>
      </c>
      <c r="F30328" s="2"/>
      <c r="G30328" s="2"/>
      <c r="H30328" s="2"/>
    </row>
    <row r="30329" spans="1:8" x14ac:dyDescent="0.25">
      <c r="A30329" s="1"/>
      <c r="B30329" s="1" t="s">
        <v>8275</v>
      </c>
      <c r="C30329" s="1" t="s">
        <v>8276</v>
      </c>
      <c r="D30329" s="1" t="str">
        <f>HYPERLINK("https://rhld.insurance.arkansas.gov/NPILookup?Npi=1093002768","1093002768")</f>
        <v>1093002768</v>
      </c>
      <c r="E30329" s="1" t="s">
        <v>32111</v>
      </c>
      <c r="F30329" s="2"/>
      <c r="G30329" s="2"/>
      <c r="H30329" s="2"/>
    </row>
    <row r="30330" spans="1:8" x14ac:dyDescent="0.25">
      <c r="A30330" s="1"/>
      <c r="B30330" s="1" t="s">
        <v>8275</v>
      </c>
      <c r="C30330" s="1" t="s">
        <v>8276</v>
      </c>
      <c r="D30330" s="1" t="str">
        <f>HYPERLINK("https://rhld.insurance.arkansas.gov/NPILookup?Npi=1093021826","1093021826")</f>
        <v>1093021826</v>
      </c>
      <c r="E30330" s="1" t="s">
        <v>25519</v>
      </c>
      <c r="F30330" s="2"/>
      <c r="G30330" s="2"/>
      <c r="H30330" s="2"/>
    </row>
    <row r="30331" spans="1:8" x14ac:dyDescent="0.25">
      <c r="A30331" s="1"/>
      <c r="B30331" s="1" t="s">
        <v>8275</v>
      </c>
      <c r="C30331" s="1" t="s">
        <v>8276</v>
      </c>
      <c r="D30331" s="1" t="str">
        <f>HYPERLINK("https://rhld.insurance.arkansas.gov/NPILookup?Npi=1093072597","1093072597")</f>
        <v>1093072597</v>
      </c>
      <c r="E30331" s="1" t="s">
        <v>25521</v>
      </c>
      <c r="F30331" s="2"/>
      <c r="G30331" s="2"/>
      <c r="H30331" s="2"/>
    </row>
    <row r="30332" spans="1:8" x14ac:dyDescent="0.25">
      <c r="A30332" s="1"/>
      <c r="B30332" s="1" t="s">
        <v>8275</v>
      </c>
      <c r="C30332" s="1" t="s">
        <v>8276</v>
      </c>
      <c r="D30332" s="1" t="str">
        <f>HYPERLINK("https://rhld.insurance.arkansas.gov/NPILookup?Npi=1093073173","1093073173")</f>
        <v>1093073173</v>
      </c>
      <c r="E30332" s="1" t="s">
        <v>29590</v>
      </c>
      <c r="F30332" s="2"/>
      <c r="G30332" s="2"/>
      <c r="H30332" s="2"/>
    </row>
    <row r="30333" spans="1:8" x14ac:dyDescent="0.25">
      <c r="A30333" s="1"/>
      <c r="B30333" s="1" t="s">
        <v>8275</v>
      </c>
      <c r="C30333" s="1" t="s">
        <v>8276</v>
      </c>
      <c r="D30333" s="1" t="str">
        <f>HYPERLINK("https://rhld.insurance.arkansas.gov/NPILookup?Npi=1093156309","1093156309")</f>
        <v>1093156309</v>
      </c>
      <c r="E30333" s="1" t="s">
        <v>32113</v>
      </c>
      <c r="F30333" s="2"/>
      <c r="G30333" s="2"/>
      <c r="H30333" s="2"/>
    </row>
    <row r="30334" spans="1:8" x14ac:dyDescent="0.25">
      <c r="A30334" s="1"/>
      <c r="B30334" s="1" t="s">
        <v>8275</v>
      </c>
      <c r="C30334" s="1" t="s">
        <v>8276</v>
      </c>
      <c r="D30334" s="1" t="str">
        <f>HYPERLINK("https://rhld.insurance.arkansas.gov/NPILookup?Npi=1093178915","1093178915")</f>
        <v>1093178915</v>
      </c>
      <c r="E30334" s="1" t="s">
        <v>13878</v>
      </c>
      <c r="F30334" s="2"/>
      <c r="G30334" s="2"/>
      <c r="H30334" s="2"/>
    </row>
    <row r="30335" spans="1:8" x14ac:dyDescent="0.25">
      <c r="A30335" s="1"/>
      <c r="B30335" s="1" t="s">
        <v>8275</v>
      </c>
      <c r="C30335" s="1" t="s">
        <v>8276</v>
      </c>
      <c r="D30335" s="1" t="str">
        <f>HYPERLINK("https://rhld.insurance.arkansas.gov/NPILookup?Npi=1093211773","1093211773")</f>
        <v>1093211773</v>
      </c>
      <c r="E30335" s="1" t="s">
        <v>2362</v>
      </c>
      <c r="F30335" s="2"/>
      <c r="G30335" s="2"/>
      <c r="H30335" s="2"/>
    </row>
    <row r="30336" spans="1:8" x14ac:dyDescent="0.25">
      <c r="A30336" s="1"/>
      <c r="B30336" s="1" t="s">
        <v>8275</v>
      </c>
      <c r="C30336" s="1" t="s">
        <v>8276</v>
      </c>
      <c r="D30336" s="1" t="str">
        <f>HYPERLINK("https://rhld.insurance.arkansas.gov/NPILookup?Npi=1093274177","1093274177")</f>
        <v>1093274177</v>
      </c>
      <c r="E30336" s="1" t="s">
        <v>32114</v>
      </c>
      <c r="F30336" s="2"/>
      <c r="G30336" s="2"/>
      <c r="H30336" s="2"/>
    </row>
    <row r="30337" spans="1:8" x14ac:dyDescent="0.25">
      <c r="A30337" s="1"/>
      <c r="B30337" s="1" t="s">
        <v>8275</v>
      </c>
      <c r="C30337" s="1" t="s">
        <v>8276</v>
      </c>
      <c r="D30337" s="1" t="str">
        <f>HYPERLINK("https://rhld.insurance.arkansas.gov/NPILookup?Npi=1093334302","1093334302")</f>
        <v>1093334302</v>
      </c>
      <c r="E30337" s="1" t="s">
        <v>32442</v>
      </c>
      <c r="F30337" s="2"/>
      <c r="G30337" s="2"/>
      <c r="H30337" s="2"/>
    </row>
    <row r="30338" spans="1:8" x14ac:dyDescent="0.25">
      <c r="A30338" s="1"/>
      <c r="B30338" s="1" t="s">
        <v>8275</v>
      </c>
      <c r="C30338" s="1" t="s">
        <v>8276</v>
      </c>
      <c r="D30338" s="1" t="str">
        <f>HYPERLINK("https://rhld.insurance.arkansas.gov/NPILookup?Npi=1093344657","1093344657")</f>
        <v>1093344657</v>
      </c>
      <c r="E30338" s="1" t="s">
        <v>29591</v>
      </c>
      <c r="F30338" s="2"/>
      <c r="G30338" s="2"/>
      <c r="H30338" s="2"/>
    </row>
    <row r="30339" spans="1:8" x14ac:dyDescent="0.25">
      <c r="A30339" s="1"/>
      <c r="B30339" s="1" t="s">
        <v>8275</v>
      </c>
      <c r="C30339" s="1" t="s">
        <v>8276</v>
      </c>
      <c r="D30339" s="1" t="str">
        <f>HYPERLINK("https://rhld.insurance.arkansas.gov/NPILookup?Npi=1093430225","1093430225")</f>
        <v>1093430225</v>
      </c>
      <c r="E30339" s="1" t="s">
        <v>25540</v>
      </c>
      <c r="F30339" s="2"/>
      <c r="G30339" s="2"/>
      <c r="H30339" s="2"/>
    </row>
    <row r="30340" spans="1:8" x14ac:dyDescent="0.25">
      <c r="A30340" s="1"/>
      <c r="B30340" s="1" t="s">
        <v>8275</v>
      </c>
      <c r="C30340" s="1" t="s">
        <v>8276</v>
      </c>
      <c r="D30340" s="1" t="str">
        <f>HYPERLINK("https://rhld.insurance.arkansas.gov/NPILookup?Npi=1093435869","1093435869")</f>
        <v>1093435869</v>
      </c>
      <c r="E30340" s="1" t="s">
        <v>32115</v>
      </c>
      <c r="F30340" s="2"/>
      <c r="G30340" s="2"/>
      <c r="H30340" s="2"/>
    </row>
    <row r="30341" spans="1:8" x14ac:dyDescent="0.25">
      <c r="A30341" s="1"/>
      <c r="B30341" s="1" t="s">
        <v>8275</v>
      </c>
      <c r="C30341" s="1" t="s">
        <v>8276</v>
      </c>
      <c r="D30341" s="1" t="str">
        <f>HYPERLINK("https://rhld.insurance.arkansas.gov/NPILookup?Npi=1093526022","1093526022")</f>
        <v>1093526022</v>
      </c>
      <c r="E30341" s="1" t="s">
        <v>32116</v>
      </c>
      <c r="F30341" s="2"/>
      <c r="G30341" s="2"/>
      <c r="H30341" s="2"/>
    </row>
    <row r="30342" spans="1:8" x14ac:dyDescent="0.25">
      <c r="A30342" s="1"/>
      <c r="B30342" s="1" t="s">
        <v>8275</v>
      </c>
      <c r="C30342" s="1" t="s">
        <v>8276</v>
      </c>
      <c r="D30342" s="1" t="str">
        <f>HYPERLINK("https://rhld.insurance.arkansas.gov/NPILookup?Npi=1093548711","1093548711")</f>
        <v>1093548711</v>
      </c>
      <c r="E30342" s="1" t="s">
        <v>32117</v>
      </c>
      <c r="F30342" s="2"/>
      <c r="G30342" s="2"/>
      <c r="H30342" s="2"/>
    </row>
    <row r="30343" spans="1:8" x14ac:dyDescent="0.25">
      <c r="A30343" s="1"/>
      <c r="B30343" s="1" t="s">
        <v>8275</v>
      </c>
      <c r="C30343" s="1" t="s">
        <v>8276</v>
      </c>
      <c r="D30343" s="1" t="str">
        <f>HYPERLINK("https://rhld.insurance.arkansas.gov/NPILookup?Npi=1093550741","1093550741")</f>
        <v>1093550741</v>
      </c>
      <c r="E30343" s="1" t="s">
        <v>31797</v>
      </c>
      <c r="F30343" s="2"/>
      <c r="G30343" s="2"/>
      <c r="H30343" s="2"/>
    </row>
    <row r="30344" spans="1:8" x14ac:dyDescent="0.25">
      <c r="A30344" s="1"/>
      <c r="B30344" s="1" t="s">
        <v>8275</v>
      </c>
      <c r="C30344" s="1" t="s">
        <v>8276</v>
      </c>
      <c r="D30344" s="1" t="str">
        <f>HYPERLINK("https://rhld.insurance.arkansas.gov/NPILookup?Npi=1093578114","1093578114")</f>
        <v>1093578114</v>
      </c>
      <c r="E30344" s="1" t="s">
        <v>25543</v>
      </c>
      <c r="F30344" s="2"/>
      <c r="G30344" s="2"/>
      <c r="H30344" s="2"/>
    </row>
    <row r="30345" spans="1:8" x14ac:dyDescent="0.25">
      <c r="A30345" s="1"/>
      <c r="B30345" s="1" t="s">
        <v>8275</v>
      </c>
      <c r="C30345" s="1" t="s">
        <v>8276</v>
      </c>
      <c r="D30345" s="1" t="str">
        <f>HYPERLINK("https://rhld.insurance.arkansas.gov/NPILookup?Npi=1093579096","1093579096")</f>
        <v>1093579096</v>
      </c>
      <c r="E30345" s="1" t="s">
        <v>32118</v>
      </c>
      <c r="F30345" s="2"/>
      <c r="G30345" s="2"/>
      <c r="H30345" s="2"/>
    </row>
    <row r="30346" spans="1:8" x14ac:dyDescent="0.25">
      <c r="A30346" s="1"/>
      <c r="B30346" s="1" t="s">
        <v>8275</v>
      </c>
      <c r="C30346" s="1" t="s">
        <v>8276</v>
      </c>
      <c r="D30346" s="1" t="str">
        <f>HYPERLINK("https://rhld.insurance.arkansas.gov/NPILookup?Npi=1093715641","1093715641")</f>
        <v>1093715641</v>
      </c>
      <c r="E30346" s="1" t="s">
        <v>2638</v>
      </c>
      <c r="F30346" s="2"/>
      <c r="G30346" s="2"/>
      <c r="H30346" s="2"/>
    </row>
    <row r="30347" spans="1:8" x14ac:dyDescent="0.25">
      <c r="A30347" s="1"/>
      <c r="B30347" s="1" t="s">
        <v>8275</v>
      </c>
      <c r="C30347" s="1" t="s">
        <v>8276</v>
      </c>
      <c r="D30347" s="1" t="str">
        <f>HYPERLINK("https://rhld.insurance.arkansas.gov/NPILookup?Npi=1093717696","1093717696")</f>
        <v>1093717696</v>
      </c>
      <c r="E30347" s="1" t="s">
        <v>25546</v>
      </c>
      <c r="F30347" s="2"/>
      <c r="G30347" s="2"/>
      <c r="H30347" s="2"/>
    </row>
    <row r="30348" spans="1:8" x14ac:dyDescent="0.25">
      <c r="A30348" s="1"/>
      <c r="B30348" s="1" t="s">
        <v>8275</v>
      </c>
      <c r="C30348" s="1" t="s">
        <v>8276</v>
      </c>
      <c r="D30348" s="1" t="str">
        <f>HYPERLINK("https://rhld.insurance.arkansas.gov/NPILookup?Npi=1093726887","1093726887")</f>
        <v>1093726887</v>
      </c>
      <c r="E30348" s="1" t="s">
        <v>289</v>
      </c>
      <c r="F30348" s="2"/>
      <c r="G30348" s="2"/>
      <c r="H30348" s="2"/>
    </row>
    <row r="30349" spans="1:8" x14ac:dyDescent="0.25">
      <c r="A30349" s="1"/>
      <c r="B30349" s="1" t="s">
        <v>8275</v>
      </c>
      <c r="C30349" s="1" t="s">
        <v>8276</v>
      </c>
      <c r="D30349" s="1" t="str">
        <f>HYPERLINK("https://rhld.insurance.arkansas.gov/NPILookup?Npi=1093732950","1093732950")</f>
        <v>1093732950</v>
      </c>
      <c r="E30349" s="1" t="s">
        <v>1116</v>
      </c>
      <c r="F30349" s="2"/>
      <c r="G30349" s="2"/>
      <c r="H30349" s="2"/>
    </row>
    <row r="30350" spans="1:8" x14ac:dyDescent="0.25">
      <c r="A30350" s="1"/>
      <c r="B30350" s="1" t="s">
        <v>8275</v>
      </c>
      <c r="C30350" s="1" t="s">
        <v>8276</v>
      </c>
      <c r="D30350" s="1" t="str">
        <f>HYPERLINK("https://rhld.insurance.arkansas.gov/NPILookup?Npi=1093751232","1093751232")</f>
        <v>1093751232</v>
      </c>
      <c r="E30350" s="1" t="s">
        <v>25549</v>
      </c>
      <c r="F30350" s="2"/>
      <c r="G30350" s="2"/>
      <c r="H30350" s="2"/>
    </row>
    <row r="30351" spans="1:8" x14ac:dyDescent="0.25">
      <c r="A30351" s="1"/>
      <c r="B30351" s="1" t="s">
        <v>8275</v>
      </c>
      <c r="C30351" s="1" t="s">
        <v>8276</v>
      </c>
      <c r="D30351" s="1" t="str">
        <f>HYPERLINK("https://rhld.insurance.arkansas.gov/NPILookup?Npi=1093752198","1093752198")</f>
        <v>1093752198</v>
      </c>
      <c r="E30351" s="1" t="s">
        <v>25550</v>
      </c>
      <c r="F30351" s="2"/>
      <c r="G30351" s="2"/>
      <c r="H30351" s="2"/>
    </row>
    <row r="30352" spans="1:8" x14ac:dyDescent="0.25">
      <c r="A30352" s="1"/>
      <c r="B30352" s="1" t="s">
        <v>8275</v>
      </c>
      <c r="C30352" s="1" t="s">
        <v>8276</v>
      </c>
      <c r="D30352" s="1" t="str">
        <f>HYPERLINK("https://rhld.insurance.arkansas.gov/NPILookup?Npi=1093766925","1093766925")</f>
        <v>1093766925</v>
      </c>
      <c r="E30352" s="1" t="s">
        <v>12693</v>
      </c>
      <c r="F30352" s="2"/>
      <c r="G30352" s="2"/>
      <c r="H30352" s="2"/>
    </row>
    <row r="30353" spans="1:8" x14ac:dyDescent="0.25">
      <c r="A30353" s="1"/>
      <c r="B30353" s="1" t="s">
        <v>8275</v>
      </c>
      <c r="C30353" s="1" t="s">
        <v>8276</v>
      </c>
      <c r="D30353" s="1" t="str">
        <f>HYPERLINK("https://rhld.insurance.arkansas.gov/NPILookup?Npi=1093779415","1093779415")</f>
        <v>1093779415</v>
      </c>
      <c r="E30353" s="1" t="s">
        <v>17199</v>
      </c>
      <c r="F30353" s="2"/>
      <c r="G30353" s="2"/>
      <c r="H30353" s="2"/>
    </row>
    <row r="30354" spans="1:8" x14ac:dyDescent="0.25">
      <c r="A30354" s="1"/>
      <c r="B30354" s="1" t="s">
        <v>8275</v>
      </c>
      <c r="C30354" s="1" t="s">
        <v>8276</v>
      </c>
      <c r="D30354" s="1" t="str">
        <f>HYPERLINK("https://rhld.insurance.arkansas.gov/NPILookup?Npi=1093806671","1093806671")</f>
        <v>1093806671</v>
      </c>
      <c r="E30354" s="1" t="s">
        <v>7425</v>
      </c>
      <c r="F30354" s="2"/>
      <c r="G30354" s="2"/>
      <c r="H30354" s="2"/>
    </row>
    <row r="30355" spans="1:8" x14ac:dyDescent="0.25">
      <c r="A30355" s="1"/>
      <c r="B30355" s="1" t="s">
        <v>8275</v>
      </c>
      <c r="C30355" s="1" t="s">
        <v>8276</v>
      </c>
      <c r="D30355" s="1" t="str">
        <f>HYPERLINK("https://rhld.insurance.arkansas.gov/NPILookup?Npi=1093912479","1093912479")</f>
        <v>1093912479</v>
      </c>
      <c r="E30355" s="1" t="s">
        <v>1618</v>
      </c>
      <c r="F30355" s="2"/>
      <c r="G30355" s="2"/>
      <c r="H30355" s="2"/>
    </row>
    <row r="30356" spans="1:8" x14ac:dyDescent="0.25">
      <c r="A30356" s="1"/>
      <c r="B30356" s="1" t="s">
        <v>8275</v>
      </c>
      <c r="C30356" s="1" t="s">
        <v>8276</v>
      </c>
      <c r="D30356" s="1" t="str">
        <f>HYPERLINK("https://rhld.insurance.arkansas.gov/NPILookup?Npi=1093916256","1093916256")</f>
        <v>1093916256</v>
      </c>
      <c r="E30356" s="1" t="s">
        <v>190</v>
      </c>
      <c r="F30356" s="2"/>
      <c r="G30356" s="2"/>
      <c r="H30356" s="2"/>
    </row>
    <row r="30357" spans="1:8" x14ac:dyDescent="0.25">
      <c r="A30357" s="1"/>
      <c r="B30357" s="1" t="s">
        <v>8275</v>
      </c>
      <c r="C30357" s="1" t="s">
        <v>8276</v>
      </c>
      <c r="D30357" s="1" t="str">
        <f>HYPERLINK("https://rhld.insurance.arkansas.gov/NPILookup?Npi=1093946394","1093946394")</f>
        <v>1093946394</v>
      </c>
      <c r="E30357" s="1" t="s">
        <v>13879</v>
      </c>
      <c r="F30357" s="2"/>
      <c r="G30357" s="2"/>
      <c r="H30357" s="2"/>
    </row>
    <row r="30358" spans="1:8" x14ac:dyDescent="0.25">
      <c r="A30358" s="1"/>
      <c r="B30358" s="1" t="s">
        <v>8275</v>
      </c>
      <c r="C30358" s="1" t="s">
        <v>8276</v>
      </c>
      <c r="D30358" s="1" t="str">
        <f>HYPERLINK("https://rhld.insurance.arkansas.gov/NPILookup?Npi=1093948796","1093948796")</f>
        <v>1093948796</v>
      </c>
      <c r="E30358" s="1" t="s">
        <v>7427</v>
      </c>
      <c r="F30358" s="2"/>
      <c r="G30358" s="2"/>
      <c r="H30358" s="2"/>
    </row>
    <row r="30359" spans="1:8" x14ac:dyDescent="0.25">
      <c r="A30359" s="1"/>
      <c r="B30359" s="1" t="s">
        <v>8275</v>
      </c>
      <c r="C30359" s="1" t="s">
        <v>8276</v>
      </c>
      <c r="D30359" s="1" t="str">
        <f>HYPERLINK("https://rhld.insurance.arkansas.gov/NPILookup?Npi=1104050541","1104050541")</f>
        <v>1104050541</v>
      </c>
      <c r="E30359" s="1" t="s">
        <v>29592</v>
      </c>
      <c r="F30359" s="2"/>
      <c r="G30359" s="2"/>
      <c r="H30359" s="2"/>
    </row>
    <row r="30360" spans="1:8" x14ac:dyDescent="0.25">
      <c r="A30360" s="1"/>
      <c r="B30360" s="1" t="s">
        <v>8275</v>
      </c>
      <c r="C30360" s="1" t="s">
        <v>8276</v>
      </c>
      <c r="D30360" s="1" t="str">
        <f>HYPERLINK("https://rhld.insurance.arkansas.gov/NPILookup?Npi=1104099258","1104099258")</f>
        <v>1104099258</v>
      </c>
      <c r="E30360" s="1" t="s">
        <v>29593</v>
      </c>
      <c r="F30360" s="2"/>
      <c r="G30360" s="2"/>
      <c r="H30360" s="2"/>
    </row>
    <row r="30361" spans="1:8" x14ac:dyDescent="0.25">
      <c r="A30361" s="1"/>
      <c r="B30361" s="1" t="s">
        <v>8275</v>
      </c>
      <c r="C30361" s="1" t="s">
        <v>8276</v>
      </c>
      <c r="D30361" s="1" t="str">
        <f>HYPERLINK("https://rhld.insurance.arkansas.gov/NPILookup?Npi=1104142611","1104142611")</f>
        <v>1104142611</v>
      </c>
      <c r="E30361" s="1" t="s">
        <v>29594</v>
      </c>
      <c r="F30361" s="2"/>
      <c r="G30361" s="2"/>
      <c r="H30361" s="2"/>
    </row>
    <row r="30362" spans="1:8" x14ac:dyDescent="0.25">
      <c r="A30362" s="1"/>
      <c r="B30362" s="1" t="s">
        <v>8275</v>
      </c>
      <c r="C30362" s="1" t="s">
        <v>8276</v>
      </c>
      <c r="D30362" s="1" t="str">
        <f>HYPERLINK("https://rhld.insurance.arkansas.gov/NPILookup?Npi=1104306588","1104306588")</f>
        <v>1104306588</v>
      </c>
      <c r="E30362" s="1" t="s">
        <v>32119</v>
      </c>
      <c r="F30362" s="2"/>
      <c r="G30362" s="2"/>
      <c r="H30362" s="2"/>
    </row>
    <row r="30363" spans="1:8" x14ac:dyDescent="0.25">
      <c r="A30363" s="1"/>
      <c r="B30363" s="1" t="s">
        <v>8275</v>
      </c>
      <c r="C30363" s="1" t="s">
        <v>8276</v>
      </c>
      <c r="D30363" s="1" t="str">
        <f>HYPERLINK("https://rhld.insurance.arkansas.gov/NPILookup?Npi=1104320225","1104320225")</f>
        <v>1104320225</v>
      </c>
      <c r="E30363" s="1" t="s">
        <v>17207</v>
      </c>
      <c r="F30363" s="2"/>
      <c r="G30363" s="2"/>
      <c r="H30363" s="2"/>
    </row>
    <row r="30364" spans="1:8" x14ac:dyDescent="0.25">
      <c r="A30364" s="1"/>
      <c r="B30364" s="1" t="s">
        <v>8275</v>
      </c>
      <c r="C30364" s="1" t="s">
        <v>8276</v>
      </c>
      <c r="D30364" s="1" t="str">
        <f>HYPERLINK("https://rhld.insurance.arkansas.gov/NPILookup?Npi=1104320993","1104320993")</f>
        <v>1104320993</v>
      </c>
      <c r="E30364" s="1" t="s">
        <v>8282</v>
      </c>
      <c r="F30364" s="2"/>
      <c r="G30364" s="2"/>
      <c r="H30364" s="2"/>
    </row>
    <row r="30365" spans="1:8" x14ac:dyDescent="0.25">
      <c r="A30365" s="1"/>
      <c r="B30365" s="1" t="s">
        <v>8275</v>
      </c>
      <c r="C30365" s="1" t="s">
        <v>8276</v>
      </c>
      <c r="D30365" s="1" t="str">
        <f>HYPERLINK("https://rhld.insurance.arkansas.gov/NPILookup?Npi=1104342799","1104342799")</f>
        <v>1104342799</v>
      </c>
      <c r="E30365" s="1" t="s">
        <v>25579</v>
      </c>
      <c r="F30365" s="2"/>
      <c r="G30365" s="2"/>
      <c r="H30365" s="2"/>
    </row>
    <row r="30366" spans="1:8" x14ac:dyDescent="0.25">
      <c r="A30366" s="1"/>
      <c r="B30366" s="1" t="s">
        <v>8275</v>
      </c>
      <c r="C30366" s="1" t="s">
        <v>8276</v>
      </c>
      <c r="D30366" s="1" t="str">
        <f>HYPERLINK("https://rhld.insurance.arkansas.gov/NPILookup?Npi=1104385632","1104385632")</f>
        <v>1104385632</v>
      </c>
      <c r="E30366" s="1" t="s">
        <v>32121</v>
      </c>
      <c r="F30366" s="2"/>
      <c r="G30366" s="2"/>
      <c r="H30366" s="2"/>
    </row>
    <row r="30367" spans="1:8" x14ac:dyDescent="0.25">
      <c r="A30367" s="1"/>
      <c r="B30367" s="1" t="s">
        <v>8275</v>
      </c>
      <c r="C30367" s="1" t="s">
        <v>8276</v>
      </c>
      <c r="D30367" s="1" t="str">
        <f>HYPERLINK("https://rhld.insurance.arkansas.gov/NPILookup?Npi=1104405422","1104405422")</f>
        <v>1104405422</v>
      </c>
      <c r="E30367" s="1" t="s">
        <v>25583</v>
      </c>
      <c r="F30367" s="2"/>
      <c r="G30367" s="2"/>
      <c r="H30367" s="2"/>
    </row>
    <row r="30368" spans="1:8" x14ac:dyDescent="0.25">
      <c r="A30368" s="1"/>
      <c r="B30368" s="1" t="s">
        <v>8275</v>
      </c>
      <c r="C30368" s="1" t="s">
        <v>8276</v>
      </c>
      <c r="D30368" s="1" t="str">
        <f>HYPERLINK("https://rhld.insurance.arkansas.gov/NPILookup?Npi=1104433341","1104433341")</f>
        <v>1104433341</v>
      </c>
      <c r="E30368" s="1" t="s">
        <v>32122</v>
      </c>
      <c r="F30368" s="2"/>
      <c r="G30368" s="2"/>
      <c r="H30368" s="2"/>
    </row>
    <row r="30369" spans="1:8" x14ac:dyDescent="0.25">
      <c r="A30369" s="1"/>
      <c r="B30369" s="1" t="s">
        <v>8275</v>
      </c>
      <c r="C30369" s="1" t="s">
        <v>8276</v>
      </c>
      <c r="D30369" s="1" t="str">
        <f>HYPERLINK("https://rhld.insurance.arkansas.gov/NPILookup?Npi=1104454248","1104454248")</f>
        <v>1104454248</v>
      </c>
      <c r="E30369" s="1" t="s">
        <v>29595</v>
      </c>
      <c r="F30369" s="2"/>
      <c r="G30369" s="2"/>
      <c r="H30369" s="2"/>
    </row>
    <row r="30370" spans="1:8" x14ac:dyDescent="0.25">
      <c r="A30370" s="1"/>
      <c r="B30370" s="1" t="s">
        <v>8275</v>
      </c>
      <c r="C30370" s="1" t="s">
        <v>8276</v>
      </c>
      <c r="D30370" s="1" t="str">
        <f>HYPERLINK("https://rhld.insurance.arkansas.gov/NPILookup?Npi=1104468610","1104468610")</f>
        <v>1104468610</v>
      </c>
      <c r="E30370" s="1" t="s">
        <v>7431</v>
      </c>
      <c r="F30370" s="2"/>
      <c r="G30370" s="2"/>
      <c r="H30370" s="2"/>
    </row>
    <row r="30371" spans="1:8" x14ac:dyDescent="0.25">
      <c r="A30371" s="1"/>
      <c r="B30371" s="1" t="s">
        <v>8275</v>
      </c>
      <c r="C30371" s="1" t="s">
        <v>8276</v>
      </c>
      <c r="D30371" s="1" t="str">
        <f>HYPERLINK("https://rhld.insurance.arkansas.gov/NPILookup?Npi=1104478387","1104478387")</f>
        <v>1104478387</v>
      </c>
      <c r="E30371" s="1" t="s">
        <v>8283</v>
      </c>
      <c r="F30371" s="2"/>
      <c r="G30371" s="2"/>
      <c r="H30371" s="2"/>
    </row>
    <row r="30372" spans="1:8" x14ac:dyDescent="0.25">
      <c r="A30372" s="1"/>
      <c r="B30372" s="1" t="s">
        <v>8275</v>
      </c>
      <c r="C30372" s="1" t="s">
        <v>8276</v>
      </c>
      <c r="D30372" s="1" t="str">
        <f>HYPERLINK("https://rhld.insurance.arkansas.gov/NPILookup?Npi=1104507300","1104507300")</f>
        <v>1104507300</v>
      </c>
      <c r="E30372" s="1" t="s">
        <v>32123</v>
      </c>
      <c r="F30372" s="2"/>
      <c r="G30372" s="2"/>
      <c r="H30372" s="2"/>
    </row>
    <row r="30373" spans="1:8" x14ac:dyDescent="0.25">
      <c r="A30373" s="1"/>
      <c r="B30373" s="1" t="s">
        <v>8275</v>
      </c>
      <c r="C30373" s="1" t="s">
        <v>8276</v>
      </c>
      <c r="D30373" s="1" t="str">
        <f>HYPERLINK("https://rhld.insurance.arkansas.gov/NPILookup?Npi=1104531110","1104531110")</f>
        <v>1104531110</v>
      </c>
      <c r="E30373" s="1" t="s">
        <v>7433</v>
      </c>
      <c r="F30373" s="2"/>
      <c r="G30373" s="2"/>
      <c r="H30373" s="2"/>
    </row>
    <row r="30374" spans="1:8" x14ac:dyDescent="0.25">
      <c r="A30374" s="1"/>
      <c r="B30374" s="1" t="s">
        <v>8275</v>
      </c>
      <c r="C30374" s="1" t="s">
        <v>8276</v>
      </c>
      <c r="D30374" s="1" t="str">
        <f>HYPERLINK("https://rhld.insurance.arkansas.gov/NPILookup?Npi=1104539162","1104539162")</f>
        <v>1104539162</v>
      </c>
      <c r="E30374" s="1" t="s">
        <v>12706</v>
      </c>
      <c r="F30374" s="2"/>
      <c r="G30374" s="2"/>
      <c r="H30374" s="2"/>
    </row>
    <row r="30375" spans="1:8" x14ac:dyDescent="0.25">
      <c r="A30375" s="1"/>
      <c r="B30375" s="1" t="s">
        <v>8275</v>
      </c>
      <c r="C30375" s="1" t="s">
        <v>8276</v>
      </c>
      <c r="D30375" s="1" t="str">
        <f>HYPERLINK("https://rhld.insurance.arkansas.gov/NPILookup?Npi=1104574334","1104574334")</f>
        <v>1104574334</v>
      </c>
      <c r="E30375" s="1" t="s">
        <v>7434</v>
      </c>
      <c r="F30375" s="2"/>
      <c r="G30375" s="2"/>
      <c r="H30375" s="2"/>
    </row>
    <row r="30376" spans="1:8" x14ac:dyDescent="0.25">
      <c r="A30376" s="1"/>
      <c r="B30376" s="1" t="s">
        <v>8275</v>
      </c>
      <c r="C30376" s="1" t="s">
        <v>8276</v>
      </c>
      <c r="D30376" s="1" t="str">
        <f>HYPERLINK("https://rhld.insurance.arkansas.gov/NPILookup?Npi=1104627066","1104627066")</f>
        <v>1104627066</v>
      </c>
      <c r="E30376" s="1" t="s">
        <v>32124</v>
      </c>
      <c r="F30376" s="2"/>
      <c r="G30376" s="2"/>
      <c r="H30376" s="2"/>
    </row>
    <row r="30377" spans="1:8" x14ac:dyDescent="0.25">
      <c r="A30377" s="1"/>
      <c r="B30377" s="1" t="s">
        <v>8275</v>
      </c>
      <c r="C30377" s="1" t="s">
        <v>8276</v>
      </c>
      <c r="D30377" s="1" t="str">
        <f>HYPERLINK("https://rhld.insurance.arkansas.gov/NPILookup?Npi=1104696186","1104696186")</f>
        <v>1104696186</v>
      </c>
      <c r="E30377" s="1" t="s">
        <v>32125</v>
      </c>
      <c r="F30377" s="2"/>
      <c r="G30377" s="2"/>
      <c r="H30377" s="2"/>
    </row>
    <row r="30378" spans="1:8" x14ac:dyDescent="0.25">
      <c r="A30378" s="1"/>
      <c r="B30378" s="1" t="s">
        <v>8275</v>
      </c>
      <c r="C30378" s="1" t="s">
        <v>8276</v>
      </c>
      <c r="D30378" s="1" t="str">
        <f>HYPERLINK("https://rhld.insurance.arkansas.gov/NPILookup?Npi=1104823020","1104823020")</f>
        <v>1104823020</v>
      </c>
      <c r="E30378" s="1" t="s">
        <v>12709</v>
      </c>
      <c r="F30378" s="2"/>
      <c r="G30378" s="2"/>
      <c r="H30378" s="2"/>
    </row>
    <row r="30379" spans="1:8" x14ac:dyDescent="0.25">
      <c r="A30379" s="1"/>
      <c r="B30379" s="1" t="s">
        <v>8275</v>
      </c>
      <c r="C30379" s="1" t="s">
        <v>8276</v>
      </c>
      <c r="D30379" s="1" t="str">
        <f>HYPERLINK("https://rhld.insurance.arkansas.gov/NPILookup?Npi=1104826320","1104826320")</f>
        <v>1104826320</v>
      </c>
      <c r="E30379" s="1" t="s">
        <v>12710</v>
      </c>
      <c r="F30379" s="2"/>
      <c r="G30379" s="2"/>
      <c r="H30379" s="2"/>
    </row>
    <row r="30380" spans="1:8" x14ac:dyDescent="0.25">
      <c r="A30380" s="1"/>
      <c r="B30380" s="1" t="s">
        <v>8275</v>
      </c>
      <c r="C30380" s="1" t="s">
        <v>8276</v>
      </c>
      <c r="D30380" s="1" t="str">
        <f>HYPERLINK("https://rhld.insurance.arkansas.gov/NPILookup?Npi=1104851641","1104851641")</f>
        <v>1104851641</v>
      </c>
      <c r="E30380" s="1" t="s">
        <v>25596</v>
      </c>
      <c r="F30380" s="2"/>
      <c r="G30380" s="2"/>
      <c r="H30380" s="2"/>
    </row>
    <row r="30381" spans="1:8" x14ac:dyDescent="0.25">
      <c r="A30381" s="1"/>
      <c r="B30381" s="1" t="s">
        <v>8275</v>
      </c>
      <c r="C30381" s="1" t="s">
        <v>8276</v>
      </c>
      <c r="D30381" s="1" t="str">
        <f>HYPERLINK("https://rhld.insurance.arkansas.gov/NPILookup?Npi=1104861616","1104861616")</f>
        <v>1104861616</v>
      </c>
      <c r="E30381" s="1" t="s">
        <v>7436</v>
      </c>
      <c r="F30381" s="2"/>
      <c r="G30381" s="2"/>
      <c r="H30381" s="2"/>
    </row>
    <row r="30382" spans="1:8" x14ac:dyDescent="0.25">
      <c r="A30382" s="1"/>
      <c r="B30382" s="1" t="s">
        <v>8275</v>
      </c>
      <c r="C30382" s="1" t="s">
        <v>8276</v>
      </c>
      <c r="D30382" s="1" t="str">
        <f>HYPERLINK("https://rhld.insurance.arkansas.gov/NPILookup?Npi=1104872969","1104872969")</f>
        <v>1104872969</v>
      </c>
      <c r="E30382" s="1" t="s">
        <v>25598</v>
      </c>
      <c r="F30382" s="2"/>
      <c r="G30382" s="2"/>
      <c r="H30382" s="2"/>
    </row>
    <row r="30383" spans="1:8" x14ac:dyDescent="0.25">
      <c r="A30383" s="1"/>
      <c r="B30383" s="1" t="s">
        <v>8275</v>
      </c>
      <c r="C30383" s="1" t="s">
        <v>8276</v>
      </c>
      <c r="D30383" s="1" t="str">
        <f>HYPERLINK("https://rhld.insurance.arkansas.gov/NPILookup?Npi=1104875509","1104875509")</f>
        <v>1104875509</v>
      </c>
      <c r="E30383" s="1" t="s">
        <v>3127</v>
      </c>
      <c r="F30383" s="2"/>
      <c r="G30383" s="2"/>
      <c r="H30383" s="2"/>
    </row>
    <row r="30384" spans="1:8" x14ac:dyDescent="0.25">
      <c r="A30384" s="1"/>
      <c r="B30384" s="1" t="s">
        <v>8275</v>
      </c>
      <c r="C30384" s="1" t="s">
        <v>8276</v>
      </c>
      <c r="D30384" s="1" t="str">
        <f>HYPERLINK("https://rhld.insurance.arkansas.gov/NPILookup?Npi=1114131083","1114131083")</f>
        <v>1114131083</v>
      </c>
      <c r="E30384" s="1" t="s">
        <v>1235</v>
      </c>
      <c r="F30384" s="2"/>
      <c r="G30384" s="2"/>
      <c r="H30384" s="2"/>
    </row>
    <row r="30385" spans="1:8" x14ac:dyDescent="0.25">
      <c r="A30385" s="1"/>
      <c r="B30385" s="1" t="s">
        <v>8275</v>
      </c>
      <c r="C30385" s="1" t="s">
        <v>8276</v>
      </c>
      <c r="D30385" s="1" t="str">
        <f>HYPERLINK("https://rhld.insurance.arkansas.gov/NPILookup?Npi=1114158649","1114158649")</f>
        <v>1114158649</v>
      </c>
      <c r="E30385" s="1" t="s">
        <v>8284</v>
      </c>
      <c r="F30385" s="2"/>
      <c r="G30385" s="2"/>
      <c r="H30385" s="2"/>
    </row>
    <row r="30386" spans="1:8" x14ac:dyDescent="0.25">
      <c r="A30386" s="1"/>
      <c r="B30386" s="1" t="s">
        <v>8275</v>
      </c>
      <c r="C30386" s="1" t="s">
        <v>8276</v>
      </c>
      <c r="D30386" s="1" t="str">
        <f>HYPERLINK("https://rhld.insurance.arkansas.gov/NPILookup?Npi=1114161098","1114161098")</f>
        <v>1114161098</v>
      </c>
      <c r="E30386" s="1" t="s">
        <v>8285</v>
      </c>
      <c r="F30386" s="2"/>
      <c r="G30386" s="2"/>
      <c r="H30386" s="2"/>
    </row>
    <row r="30387" spans="1:8" x14ac:dyDescent="0.25">
      <c r="A30387" s="1"/>
      <c r="B30387" s="1" t="s">
        <v>8275</v>
      </c>
      <c r="C30387" s="1" t="s">
        <v>8276</v>
      </c>
      <c r="D30387" s="1" t="str">
        <f>HYPERLINK("https://rhld.insurance.arkansas.gov/NPILookup?Npi=1114199130","1114199130")</f>
        <v>1114199130</v>
      </c>
      <c r="E30387" s="1" t="s">
        <v>25608</v>
      </c>
      <c r="F30387" s="2"/>
      <c r="G30387" s="2"/>
      <c r="H30387" s="2"/>
    </row>
    <row r="30388" spans="1:8" x14ac:dyDescent="0.25">
      <c r="A30388" s="1"/>
      <c r="B30388" s="1" t="s">
        <v>8275</v>
      </c>
      <c r="C30388" s="1" t="s">
        <v>8276</v>
      </c>
      <c r="D30388" s="1" t="str">
        <f>HYPERLINK("https://rhld.insurance.arkansas.gov/NPILookup?Npi=1114227469","1114227469")</f>
        <v>1114227469</v>
      </c>
      <c r="E30388" s="1" t="s">
        <v>3747</v>
      </c>
      <c r="F30388" s="2"/>
      <c r="G30388" s="2"/>
      <c r="H30388" s="2"/>
    </row>
    <row r="30389" spans="1:8" x14ac:dyDescent="0.25">
      <c r="A30389" s="1"/>
      <c r="B30389" s="1" t="s">
        <v>8275</v>
      </c>
      <c r="C30389" s="1" t="s">
        <v>8276</v>
      </c>
      <c r="D30389" s="1" t="str">
        <f>HYPERLINK("https://rhld.insurance.arkansas.gov/NPILookup?Npi=1114300092","1114300092")</f>
        <v>1114300092</v>
      </c>
      <c r="E30389" s="1" t="s">
        <v>25611</v>
      </c>
      <c r="F30389" s="2"/>
      <c r="G30389" s="2"/>
      <c r="H30389" s="2"/>
    </row>
    <row r="30390" spans="1:8" x14ac:dyDescent="0.25">
      <c r="A30390" s="1"/>
      <c r="B30390" s="1" t="s">
        <v>8275</v>
      </c>
      <c r="C30390" s="1" t="s">
        <v>8276</v>
      </c>
      <c r="D30390" s="1" t="str">
        <f>HYPERLINK("https://rhld.insurance.arkansas.gov/NPILookup?Npi=1114310711","1114310711")</f>
        <v>1114310711</v>
      </c>
      <c r="E30390" s="1" t="s">
        <v>32126</v>
      </c>
      <c r="F30390" s="2"/>
      <c r="G30390" s="2"/>
      <c r="H30390" s="2"/>
    </row>
    <row r="30391" spans="1:8" x14ac:dyDescent="0.25">
      <c r="A30391" s="1"/>
      <c r="B30391" s="1" t="s">
        <v>8275</v>
      </c>
      <c r="C30391" s="1" t="s">
        <v>8276</v>
      </c>
      <c r="D30391" s="1" t="str">
        <f>HYPERLINK("https://rhld.insurance.arkansas.gov/NPILookup?Npi=1114656881","1114656881")</f>
        <v>1114656881</v>
      </c>
      <c r="E30391" s="1" t="s">
        <v>7444</v>
      </c>
      <c r="F30391" s="2"/>
      <c r="G30391" s="2"/>
      <c r="H30391" s="2"/>
    </row>
    <row r="30392" spans="1:8" x14ac:dyDescent="0.25">
      <c r="A30392" s="1"/>
      <c r="B30392" s="1" t="s">
        <v>8275</v>
      </c>
      <c r="C30392" s="1" t="s">
        <v>8276</v>
      </c>
      <c r="D30392" s="1" t="str">
        <f>HYPERLINK("https://rhld.insurance.arkansas.gov/NPILookup?Npi=1114697612","1114697612")</f>
        <v>1114697612</v>
      </c>
      <c r="E30392" s="1" t="s">
        <v>12724</v>
      </c>
      <c r="F30392" s="2"/>
      <c r="G30392" s="2"/>
      <c r="H30392" s="2"/>
    </row>
    <row r="30393" spans="1:8" x14ac:dyDescent="0.25">
      <c r="A30393" s="1"/>
      <c r="B30393" s="1" t="s">
        <v>8275</v>
      </c>
      <c r="C30393" s="1" t="s">
        <v>8276</v>
      </c>
      <c r="D30393" s="1" t="str">
        <f>HYPERLINK("https://rhld.insurance.arkansas.gov/NPILookup?Npi=1114747680","1114747680")</f>
        <v>1114747680</v>
      </c>
      <c r="E30393" s="1" t="s">
        <v>32127</v>
      </c>
      <c r="F30393" s="2"/>
      <c r="G30393" s="2"/>
      <c r="H30393" s="2"/>
    </row>
    <row r="30394" spans="1:8" x14ac:dyDescent="0.25">
      <c r="A30394" s="1"/>
      <c r="B30394" s="1" t="s">
        <v>8275</v>
      </c>
      <c r="C30394" s="1" t="s">
        <v>8276</v>
      </c>
      <c r="D30394" s="1" t="str">
        <f>HYPERLINK("https://rhld.insurance.arkansas.gov/NPILookup?Npi=1114909124","1114909124")</f>
        <v>1114909124</v>
      </c>
      <c r="E30394" s="1" t="s">
        <v>25645</v>
      </c>
      <c r="F30394" s="2"/>
      <c r="G30394" s="2"/>
      <c r="H30394" s="2"/>
    </row>
    <row r="30395" spans="1:8" x14ac:dyDescent="0.25">
      <c r="A30395" s="1"/>
      <c r="B30395" s="1" t="s">
        <v>8275</v>
      </c>
      <c r="C30395" s="1" t="s">
        <v>8276</v>
      </c>
      <c r="D30395" s="1" t="str">
        <f>HYPERLINK("https://rhld.insurance.arkansas.gov/NPILookup?Npi=1114920972","1114920972")</f>
        <v>1114920972</v>
      </c>
      <c r="E30395" s="1" t="s">
        <v>25646</v>
      </c>
      <c r="F30395" s="2"/>
      <c r="G30395" s="2"/>
      <c r="H30395" s="2"/>
    </row>
    <row r="30396" spans="1:8" x14ac:dyDescent="0.25">
      <c r="A30396" s="1"/>
      <c r="B30396" s="1" t="s">
        <v>8275</v>
      </c>
      <c r="C30396" s="1" t="s">
        <v>8276</v>
      </c>
      <c r="D30396" s="1" t="str">
        <f>HYPERLINK("https://rhld.insurance.arkansas.gov/NPILookup?Npi=1114960218","1114960218")</f>
        <v>1114960218</v>
      </c>
      <c r="E30396" s="1" t="s">
        <v>8286</v>
      </c>
      <c r="F30396" s="2"/>
      <c r="G30396" s="2"/>
      <c r="H30396" s="2"/>
    </row>
    <row r="30397" spans="1:8" x14ac:dyDescent="0.25">
      <c r="A30397" s="1"/>
      <c r="B30397" s="1" t="s">
        <v>8275</v>
      </c>
      <c r="C30397" s="1" t="s">
        <v>8276</v>
      </c>
      <c r="D30397" s="1" t="str">
        <f>HYPERLINK("https://rhld.insurance.arkansas.gov/NPILookup?Npi=1114975117","1114975117")</f>
        <v>1114975117</v>
      </c>
      <c r="E30397" s="1" t="s">
        <v>13880</v>
      </c>
      <c r="F30397" s="2"/>
      <c r="G30397" s="2"/>
      <c r="H30397" s="2"/>
    </row>
    <row r="30398" spans="1:8" x14ac:dyDescent="0.25">
      <c r="A30398" s="1"/>
      <c r="B30398" s="1" t="s">
        <v>8275</v>
      </c>
      <c r="C30398" s="1" t="s">
        <v>8276</v>
      </c>
      <c r="D30398" s="1" t="str">
        <f>HYPERLINK("https://rhld.insurance.arkansas.gov/NPILookup?Npi=1114985801","1114985801")</f>
        <v>1114985801</v>
      </c>
      <c r="E30398" s="1" t="s">
        <v>13881</v>
      </c>
      <c r="F30398" s="2"/>
      <c r="G30398" s="2"/>
      <c r="H30398" s="2"/>
    </row>
    <row r="30399" spans="1:8" x14ac:dyDescent="0.25">
      <c r="A30399" s="1"/>
      <c r="B30399" s="1" t="s">
        <v>8275</v>
      </c>
      <c r="C30399" s="1" t="s">
        <v>8276</v>
      </c>
      <c r="D30399" s="1" t="str">
        <f>HYPERLINK("https://rhld.insurance.arkansas.gov/NPILookup?Npi=1124026166","1124026166")</f>
        <v>1124026166</v>
      </c>
      <c r="E30399" s="1" t="s">
        <v>25655</v>
      </c>
      <c r="F30399" s="2"/>
      <c r="G30399" s="2"/>
      <c r="H30399" s="2"/>
    </row>
    <row r="30400" spans="1:8" x14ac:dyDescent="0.25">
      <c r="A30400" s="1"/>
      <c r="B30400" s="1" t="s">
        <v>8275</v>
      </c>
      <c r="C30400" s="1" t="s">
        <v>8276</v>
      </c>
      <c r="D30400" s="1" t="str">
        <f>HYPERLINK("https://rhld.insurance.arkansas.gov/NPILookup?Npi=1124029624","1124029624")</f>
        <v>1124029624</v>
      </c>
      <c r="E30400" s="1" t="s">
        <v>25656</v>
      </c>
      <c r="F30400" s="2"/>
      <c r="G30400" s="2"/>
      <c r="H30400" s="2"/>
    </row>
    <row r="30401" spans="1:8" x14ac:dyDescent="0.25">
      <c r="A30401" s="1"/>
      <c r="B30401" s="1" t="s">
        <v>8275</v>
      </c>
      <c r="C30401" s="1" t="s">
        <v>8276</v>
      </c>
      <c r="D30401" s="1" t="str">
        <f>HYPERLINK("https://rhld.insurance.arkansas.gov/NPILookup?Npi=1124076922","1124076922")</f>
        <v>1124076922</v>
      </c>
      <c r="E30401" s="1" t="s">
        <v>12729</v>
      </c>
      <c r="F30401" s="2"/>
      <c r="G30401" s="2"/>
      <c r="H30401" s="2"/>
    </row>
    <row r="30402" spans="1:8" x14ac:dyDescent="0.25">
      <c r="A30402" s="1"/>
      <c r="B30402" s="1" t="s">
        <v>8275</v>
      </c>
      <c r="C30402" s="1" t="s">
        <v>8276</v>
      </c>
      <c r="D30402" s="1" t="str">
        <f>HYPERLINK("https://rhld.insurance.arkansas.gov/NPILookup?Npi=1124098603","1124098603")</f>
        <v>1124098603</v>
      </c>
      <c r="E30402" s="1" t="s">
        <v>2648</v>
      </c>
      <c r="F30402" s="2"/>
      <c r="G30402" s="2"/>
      <c r="H30402" s="2"/>
    </row>
    <row r="30403" spans="1:8" x14ac:dyDescent="0.25">
      <c r="A30403" s="1"/>
      <c r="B30403" s="1" t="s">
        <v>8275</v>
      </c>
      <c r="C30403" s="1" t="s">
        <v>8276</v>
      </c>
      <c r="D30403" s="1" t="str">
        <f>HYPERLINK("https://rhld.insurance.arkansas.gov/NPILookup?Npi=1124127634","1124127634")</f>
        <v>1124127634</v>
      </c>
      <c r="E30403" s="1" t="s">
        <v>25659</v>
      </c>
      <c r="F30403" s="2"/>
      <c r="G30403" s="2"/>
      <c r="H30403" s="2"/>
    </row>
    <row r="30404" spans="1:8" x14ac:dyDescent="0.25">
      <c r="A30404" s="1"/>
      <c r="B30404" s="1" t="s">
        <v>8275</v>
      </c>
      <c r="C30404" s="1" t="s">
        <v>8276</v>
      </c>
      <c r="D30404" s="1" t="str">
        <f>HYPERLINK("https://rhld.insurance.arkansas.gov/NPILookup?Npi=1124192695","1124192695")</f>
        <v>1124192695</v>
      </c>
      <c r="E30404" s="1" t="s">
        <v>836</v>
      </c>
      <c r="F30404" s="2"/>
      <c r="G30404" s="2"/>
      <c r="H30404" s="2"/>
    </row>
    <row r="30405" spans="1:8" x14ac:dyDescent="0.25">
      <c r="A30405" s="1"/>
      <c r="B30405" s="1" t="s">
        <v>8275</v>
      </c>
      <c r="C30405" s="1" t="s">
        <v>8276</v>
      </c>
      <c r="D30405" s="1" t="str">
        <f>HYPERLINK("https://rhld.insurance.arkansas.gov/NPILookup?Npi=1124329016","1124329016")</f>
        <v>1124329016</v>
      </c>
      <c r="E30405" s="1" t="s">
        <v>29596</v>
      </c>
      <c r="F30405" s="2"/>
      <c r="G30405" s="2"/>
      <c r="H30405" s="2"/>
    </row>
    <row r="30406" spans="1:8" x14ac:dyDescent="0.25">
      <c r="A30406" s="1"/>
      <c r="B30406" s="1" t="s">
        <v>8275</v>
      </c>
      <c r="C30406" s="1" t="s">
        <v>8276</v>
      </c>
      <c r="D30406" s="1" t="str">
        <f>HYPERLINK("https://rhld.insurance.arkansas.gov/NPILookup?Npi=1124342530","1124342530")</f>
        <v>1124342530</v>
      </c>
      <c r="E30406" s="1" t="s">
        <v>32128</v>
      </c>
      <c r="F30406" s="2"/>
      <c r="G30406" s="2"/>
      <c r="H30406" s="2"/>
    </row>
    <row r="30407" spans="1:8" x14ac:dyDescent="0.25">
      <c r="A30407" s="1"/>
      <c r="B30407" s="1" t="s">
        <v>8275</v>
      </c>
      <c r="C30407" s="1" t="s">
        <v>8276</v>
      </c>
      <c r="D30407" s="1" t="str">
        <f>HYPERLINK("https://rhld.insurance.arkansas.gov/NPILookup?Npi=1124410873","1124410873")</f>
        <v>1124410873</v>
      </c>
      <c r="E30407" s="1" t="s">
        <v>29597</v>
      </c>
      <c r="F30407" s="2"/>
      <c r="G30407" s="2"/>
      <c r="H30407" s="2"/>
    </row>
    <row r="30408" spans="1:8" x14ac:dyDescent="0.25">
      <c r="A30408" s="1"/>
      <c r="B30408" s="1" t="s">
        <v>8275</v>
      </c>
      <c r="C30408" s="1" t="s">
        <v>8276</v>
      </c>
      <c r="D30408" s="1" t="str">
        <f>HYPERLINK("https://rhld.insurance.arkansas.gov/NPILookup?Npi=1124418769","1124418769")</f>
        <v>1124418769</v>
      </c>
      <c r="E30408" s="1" t="s">
        <v>265</v>
      </c>
      <c r="F30408" s="2"/>
      <c r="G30408" s="2"/>
      <c r="H30408" s="2"/>
    </row>
    <row r="30409" spans="1:8" x14ac:dyDescent="0.25">
      <c r="A30409" s="1"/>
      <c r="B30409" s="1" t="s">
        <v>8275</v>
      </c>
      <c r="C30409" s="1" t="s">
        <v>8276</v>
      </c>
      <c r="D30409" s="1" t="str">
        <f>HYPERLINK("https://rhld.insurance.arkansas.gov/NPILookup?Npi=1124437330","1124437330")</f>
        <v>1124437330</v>
      </c>
      <c r="E30409" s="1" t="s">
        <v>12736</v>
      </c>
      <c r="F30409" s="2"/>
      <c r="G30409" s="2"/>
      <c r="H30409" s="2"/>
    </row>
    <row r="30410" spans="1:8" x14ac:dyDescent="0.25">
      <c r="A30410" s="1"/>
      <c r="B30410" s="1" t="s">
        <v>8275</v>
      </c>
      <c r="C30410" s="1" t="s">
        <v>8276</v>
      </c>
      <c r="D30410" s="1" t="str">
        <f>HYPERLINK("https://rhld.insurance.arkansas.gov/NPILookup?Npi=1124461140","1124461140")</f>
        <v>1124461140</v>
      </c>
      <c r="E30410" s="1" t="s">
        <v>25673</v>
      </c>
      <c r="F30410" s="2"/>
      <c r="G30410" s="2"/>
      <c r="H30410" s="2"/>
    </row>
    <row r="30411" spans="1:8" x14ac:dyDescent="0.25">
      <c r="A30411" s="1"/>
      <c r="B30411" s="1" t="s">
        <v>8275</v>
      </c>
      <c r="C30411" s="1" t="s">
        <v>8276</v>
      </c>
      <c r="D30411" s="1" t="str">
        <f>HYPERLINK("https://rhld.insurance.arkansas.gov/NPILookup?Npi=1124567607","1124567607")</f>
        <v>1124567607</v>
      </c>
      <c r="E30411" s="1" t="s">
        <v>32129</v>
      </c>
      <c r="F30411" s="2"/>
      <c r="G30411" s="2"/>
      <c r="H30411" s="2"/>
    </row>
    <row r="30412" spans="1:8" x14ac:dyDescent="0.25">
      <c r="A30412" s="1"/>
      <c r="B30412" s="1" t="s">
        <v>8275</v>
      </c>
      <c r="C30412" s="1" t="s">
        <v>8276</v>
      </c>
      <c r="D30412" s="1" t="str">
        <f>HYPERLINK("https://rhld.insurance.arkansas.gov/NPILookup?Npi=1124569306","1124569306")</f>
        <v>1124569306</v>
      </c>
      <c r="E30412" s="1" t="s">
        <v>4571</v>
      </c>
      <c r="F30412" s="2"/>
      <c r="G30412" s="2"/>
      <c r="H30412" s="2"/>
    </row>
    <row r="30413" spans="1:8" x14ac:dyDescent="0.25">
      <c r="A30413" s="1"/>
      <c r="B30413" s="1" t="s">
        <v>8275</v>
      </c>
      <c r="C30413" s="1" t="s">
        <v>8276</v>
      </c>
      <c r="D30413" s="1" t="str">
        <f>HYPERLINK("https://rhld.insurance.arkansas.gov/NPILookup?Npi=1124611439","1124611439")</f>
        <v>1124611439</v>
      </c>
      <c r="E30413" s="1" t="s">
        <v>21262</v>
      </c>
      <c r="F30413" s="2"/>
      <c r="G30413" s="2"/>
      <c r="H30413" s="2"/>
    </row>
    <row r="30414" spans="1:8" x14ac:dyDescent="0.25">
      <c r="A30414" s="1"/>
      <c r="B30414" s="1" t="s">
        <v>8275</v>
      </c>
      <c r="C30414" s="1" t="s">
        <v>8276</v>
      </c>
      <c r="D30414" s="1" t="str">
        <f>HYPERLINK("https://rhld.insurance.arkansas.gov/NPILookup?Npi=1124632310","1124632310")</f>
        <v>1124632310</v>
      </c>
      <c r="E30414" s="1" t="s">
        <v>32130</v>
      </c>
      <c r="F30414" s="2"/>
      <c r="G30414" s="2"/>
      <c r="H30414" s="2"/>
    </row>
    <row r="30415" spans="1:8" x14ac:dyDescent="0.25">
      <c r="A30415" s="1"/>
      <c r="B30415" s="1" t="s">
        <v>8275</v>
      </c>
      <c r="C30415" s="1" t="s">
        <v>8276</v>
      </c>
      <c r="D30415" s="1" t="str">
        <f>HYPERLINK("https://rhld.insurance.arkansas.gov/NPILookup?Npi=1124741715","1124741715")</f>
        <v>1124741715</v>
      </c>
      <c r="E30415" s="1" t="s">
        <v>7456</v>
      </c>
      <c r="F30415" s="2"/>
      <c r="G30415" s="2"/>
      <c r="H30415" s="2"/>
    </row>
    <row r="30416" spans="1:8" x14ac:dyDescent="0.25">
      <c r="A30416" s="1"/>
      <c r="B30416" s="1" t="s">
        <v>8275</v>
      </c>
      <c r="C30416" s="1" t="s">
        <v>8276</v>
      </c>
      <c r="D30416" s="1" t="str">
        <f>HYPERLINK("https://rhld.insurance.arkansas.gov/NPILookup?Npi=1124746102","1124746102")</f>
        <v>1124746102</v>
      </c>
      <c r="E30416" s="1" t="s">
        <v>32131</v>
      </c>
      <c r="F30416" s="2"/>
      <c r="G30416" s="2"/>
      <c r="H30416" s="2"/>
    </row>
    <row r="30417" spans="1:8" x14ac:dyDescent="0.25">
      <c r="A30417" s="1"/>
      <c r="B30417" s="1" t="s">
        <v>8275</v>
      </c>
      <c r="C30417" s="1" t="s">
        <v>8276</v>
      </c>
      <c r="D30417" s="1" t="str">
        <f>HYPERLINK("https://rhld.insurance.arkansas.gov/NPILookup?Npi=1134121783","1134121783")</f>
        <v>1134121783</v>
      </c>
      <c r="E30417" s="1" t="s">
        <v>29598</v>
      </c>
      <c r="F30417" s="2"/>
      <c r="G30417" s="2"/>
      <c r="H30417" s="2"/>
    </row>
    <row r="30418" spans="1:8" x14ac:dyDescent="0.25">
      <c r="A30418" s="1"/>
      <c r="B30418" s="1" t="s">
        <v>8275</v>
      </c>
      <c r="C30418" s="1" t="s">
        <v>8276</v>
      </c>
      <c r="D30418" s="1" t="str">
        <f>HYPERLINK("https://rhld.insurance.arkansas.gov/NPILookup?Npi=1134126600","1134126600")</f>
        <v>1134126600</v>
      </c>
      <c r="E30418" s="1" t="s">
        <v>25697</v>
      </c>
      <c r="F30418" s="2"/>
      <c r="G30418" s="2"/>
      <c r="H30418" s="2"/>
    </row>
    <row r="30419" spans="1:8" x14ac:dyDescent="0.25">
      <c r="A30419" s="1"/>
      <c r="B30419" s="1" t="s">
        <v>8275</v>
      </c>
      <c r="C30419" s="1" t="s">
        <v>8276</v>
      </c>
      <c r="D30419" s="1" t="str">
        <f>HYPERLINK("https://rhld.insurance.arkansas.gov/NPILookup?Npi=1134145931","1134145931")</f>
        <v>1134145931</v>
      </c>
      <c r="E30419" s="1" t="s">
        <v>29599</v>
      </c>
      <c r="F30419" s="2"/>
      <c r="G30419" s="2"/>
      <c r="H30419" s="2"/>
    </row>
    <row r="30420" spans="1:8" x14ac:dyDescent="0.25">
      <c r="A30420" s="1"/>
      <c r="B30420" s="1" t="s">
        <v>8275</v>
      </c>
      <c r="C30420" s="1" t="s">
        <v>8276</v>
      </c>
      <c r="D30420" s="1" t="str">
        <f>HYPERLINK("https://rhld.insurance.arkansas.gov/NPILookup?Npi=1134152895","1134152895")</f>
        <v>1134152895</v>
      </c>
      <c r="E30420" s="1" t="s">
        <v>290</v>
      </c>
      <c r="F30420" s="2"/>
      <c r="G30420" s="2"/>
      <c r="H30420" s="2"/>
    </row>
    <row r="30421" spans="1:8" x14ac:dyDescent="0.25">
      <c r="A30421" s="1"/>
      <c r="B30421" s="1" t="s">
        <v>8275</v>
      </c>
      <c r="C30421" s="1" t="s">
        <v>8276</v>
      </c>
      <c r="D30421" s="1" t="str">
        <f>HYPERLINK("https://rhld.insurance.arkansas.gov/NPILookup?Npi=1134185317","1134185317")</f>
        <v>1134185317</v>
      </c>
      <c r="E30421" s="1" t="s">
        <v>29600</v>
      </c>
      <c r="F30421" s="2"/>
      <c r="G30421" s="2"/>
      <c r="H30421" s="2"/>
    </row>
    <row r="30422" spans="1:8" x14ac:dyDescent="0.25">
      <c r="A30422" s="1"/>
      <c r="B30422" s="1" t="s">
        <v>8275</v>
      </c>
      <c r="C30422" s="1" t="s">
        <v>8276</v>
      </c>
      <c r="D30422" s="1" t="str">
        <f>HYPERLINK("https://rhld.insurance.arkansas.gov/NPILookup?Npi=1134187156","1134187156")</f>
        <v>1134187156</v>
      </c>
      <c r="E30422" s="1" t="s">
        <v>13882</v>
      </c>
      <c r="F30422" s="2"/>
      <c r="G30422" s="2"/>
      <c r="H30422" s="2"/>
    </row>
    <row r="30423" spans="1:8" x14ac:dyDescent="0.25">
      <c r="A30423" s="1"/>
      <c r="B30423" s="1" t="s">
        <v>8275</v>
      </c>
      <c r="C30423" s="1" t="s">
        <v>8276</v>
      </c>
      <c r="D30423" s="1" t="str">
        <f>HYPERLINK("https://rhld.insurance.arkansas.gov/NPILookup?Npi=1134188063","1134188063")</f>
        <v>1134188063</v>
      </c>
      <c r="E30423" s="1" t="s">
        <v>1016</v>
      </c>
      <c r="F30423" s="2"/>
      <c r="G30423" s="2"/>
      <c r="H30423" s="2"/>
    </row>
    <row r="30424" spans="1:8" x14ac:dyDescent="0.25">
      <c r="A30424" s="1"/>
      <c r="B30424" s="1" t="s">
        <v>8275</v>
      </c>
      <c r="C30424" s="1" t="s">
        <v>8276</v>
      </c>
      <c r="D30424" s="1" t="str">
        <f>HYPERLINK("https://rhld.insurance.arkansas.gov/NPILookup?Npi=1134219280","1134219280")</f>
        <v>1134219280</v>
      </c>
      <c r="E30424" s="1" t="s">
        <v>283</v>
      </c>
      <c r="F30424" s="2"/>
      <c r="G30424" s="2"/>
      <c r="H30424" s="2"/>
    </row>
    <row r="30425" spans="1:8" x14ac:dyDescent="0.25">
      <c r="A30425" s="1"/>
      <c r="B30425" s="1" t="s">
        <v>8275</v>
      </c>
      <c r="C30425" s="1" t="s">
        <v>8276</v>
      </c>
      <c r="D30425" s="1" t="str">
        <f>HYPERLINK("https://rhld.insurance.arkansas.gov/NPILookup?Npi=1134316250","1134316250")</f>
        <v>1134316250</v>
      </c>
      <c r="E30425" s="1" t="s">
        <v>25709</v>
      </c>
      <c r="F30425" s="2"/>
      <c r="G30425" s="2"/>
      <c r="H30425" s="2"/>
    </row>
    <row r="30426" spans="1:8" x14ac:dyDescent="0.25">
      <c r="A30426" s="1"/>
      <c r="B30426" s="1" t="s">
        <v>8275</v>
      </c>
      <c r="C30426" s="1" t="s">
        <v>8276</v>
      </c>
      <c r="D30426" s="1" t="str">
        <f>HYPERLINK("https://rhld.insurance.arkansas.gov/NPILookup?Npi=1134321961","1134321961")</f>
        <v>1134321961</v>
      </c>
      <c r="E30426" s="1" t="s">
        <v>29601</v>
      </c>
      <c r="F30426" s="2"/>
      <c r="G30426" s="2"/>
      <c r="H30426" s="2"/>
    </row>
    <row r="30427" spans="1:8" x14ac:dyDescent="0.25">
      <c r="A30427" s="1"/>
      <c r="B30427" s="1" t="s">
        <v>8275</v>
      </c>
      <c r="C30427" s="1" t="s">
        <v>8276</v>
      </c>
      <c r="D30427" s="1" t="str">
        <f>HYPERLINK("https://rhld.insurance.arkansas.gov/NPILookup?Npi=1134516578","1134516578")</f>
        <v>1134516578</v>
      </c>
      <c r="E30427" s="1" t="s">
        <v>7461</v>
      </c>
      <c r="F30427" s="2"/>
      <c r="G30427" s="2"/>
      <c r="H30427" s="2"/>
    </row>
    <row r="30428" spans="1:8" x14ac:dyDescent="0.25">
      <c r="A30428" s="1"/>
      <c r="B30428" s="1" t="s">
        <v>8275</v>
      </c>
      <c r="C30428" s="1" t="s">
        <v>8276</v>
      </c>
      <c r="D30428" s="1" t="str">
        <f>HYPERLINK("https://rhld.insurance.arkansas.gov/NPILookup?Npi=1134643190","1134643190")</f>
        <v>1134643190</v>
      </c>
      <c r="E30428" s="1" t="s">
        <v>25728</v>
      </c>
      <c r="F30428" s="2"/>
      <c r="G30428" s="2"/>
      <c r="H30428" s="2"/>
    </row>
    <row r="30429" spans="1:8" x14ac:dyDescent="0.25">
      <c r="A30429" s="1"/>
      <c r="B30429" s="1" t="s">
        <v>8275</v>
      </c>
      <c r="C30429" s="1" t="s">
        <v>8276</v>
      </c>
      <c r="D30429" s="1" t="str">
        <f>HYPERLINK("https://rhld.insurance.arkansas.gov/NPILookup?Npi=1134651284","1134651284")</f>
        <v>1134651284</v>
      </c>
      <c r="E30429" s="1" t="s">
        <v>11133</v>
      </c>
      <c r="F30429" s="2"/>
      <c r="G30429" s="2"/>
      <c r="H30429" s="2"/>
    </row>
    <row r="30430" spans="1:8" x14ac:dyDescent="0.25">
      <c r="A30430" s="1"/>
      <c r="B30430" s="1" t="s">
        <v>8275</v>
      </c>
      <c r="C30430" s="1" t="s">
        <v>8276</v>
      </c>
      <c r="D30430" s="1" t="str">
        <f>HYPERLINK("https://rhld.insurance.arkansas.gov/NPILookup?Npi=1134730005","1134730005")</f>
        <v>1134730005</v>
      </c>
      <c r="E30430" s="1" t="s">
        <v>25734</v>
      </c>
      <c r="F30430" s="2"/>
      <c r="G30430" s="2"/>
      <c r="H30430" s="2"/>
    </row>
    <row r="30431" spans="1:8" x14ac:dyDescent="0.25">
      <c r="A30431" s="1"/>
      <c r="B30431" s="1" t="s">
        <v>8275</v>
      </c>
      <c r="C30431" s="1" t="s">
        <v>8276</v>
      </c>
      <c r="D30431" s="1" t="str">
        <f>HYPERLINK("https://rhld.insurance.arkansas.gov/NPILookup?Npi=1134730450","1134730450")</f>
        <v>1134730450</v>
      </c>
      <c r="E30431" s="1" t="s">
        <v>25735</v>
      </c>
      <c r="F30431" s="2"/>
      <c r="G30431" s="2"/>
      <c r="H30431" s="2"/>
    </row>
    <row r="30432" spans="1:8" x14ac:dyDescent="0.25">
      <c r="A30432" s="1"/>
      <c r="B30432" s="1" t="s">
        <v>8275</v>
      </c>
      <c r="C30432" s="1" t="s">
        <v>8276</v>
      </c>
      <c r="D30432" s="1" t="str">
        <f>HYPERLINK("https://rhld.insurance.arkansas.gov/NPILookup?Npi=1134785769","1134785769")</f>
        <v>1134785769</v>
      </c>
      <c r="E30432" s="1" t="s">
        <v>25739</v>
      </c>
      <c r="F30432" s="2"/>
      <c r="G30432" s="2"/>
      <c r="H30432" s="2"/>
    </row>
    <row r="30433" spans="1:8" x14ac:dyDescent="0.25">
      <c r="A30433" s="1"/>
      <c r="B30433" s="1" t="s">
        <v>8275</v>
      </c>
      <c r="C30433" s="1" t="s">
        <v>8276</v>
      </c>
      <c r="D30433" s="1" t="str">
        <f>HYPERLINK("https://rhld.insurance.arkansas.gov/NPILookup?Npi=1134907637","1134907637")</f>
        <v>1134907637</v>
      </c>
      <c r="E30433" s="1" t="s">
        <v>32132</v>
      </c>
      <c r="F30433" s="2"/>
      <c r="G30433" s="2"/>
      <c r="H30433" s="2"/>
    </row>
    <row r="30434" spans="1:8" x14ac:dyDescent="0.25">
      <c r="A30434" s="1"/>
      <c r="B30434" s="1" t="s">
        <v>8275</v>
      </c>
      <c r="C30434" s="1" t="s">
        <v>8276</v>
      </c>
      <c r="D30434" s="1" t="str">
        <f>HYPERLINK("https://rhld.insurance.arkansas.gov/NPILookup?Npi=1134994155","1134994155")</f>
        <v>1134994155</v>
      </c>
      <c r="E30434" s="1" t="s">
        <v>7467</v>
      </c>
      <c r="F30434" s="2"/>
      <c r="G30434" s="2"/>
      <c r="H30434" s="2"/>
    </row>
    <row r="30435" spans="1:8" x14ac:dyDescent="0.25">
      <c r="A30435" s="1"/>
      <c r="B30435" s="1" t="s">
        <v>8275</v>
      </c>
      <c r="C30435" s="1" t="s">
        <v>8276</v>
      </c>
      <c r="D30435" s="1" t="str">
        <f>HYPERLINK("https://rhld.insurance.arkansas.gov/NPILookup?Npi=1144056110","1144056110")</f>
        <v>1144056110</v>
      </c>
      <c r="E30435" s="1" t="s">
        <v>25746</v>
      </c>
      <c r="F30435" s="2"/>
      <c r="G30435" s="2"/>
      <c r="H30435" s="2"/>
    </row>
    <row r="30436" spans="1:8" x14ac:dyDescent="0.25">
      <c r="A30436" s="1"/>
      <c r="B30436" s="1" t="s">
        <v>8275</v>
      </c>
      <c r="C30436" s="1" t="s">
        <v>8276</v>
      </c>
      <c r="D30436" s="1" t="str">
        <f>HYPERLINK("https://rhld.insurance.arkansas.gov/NPILookup?Npi=1144263781","1144263781")</f>
        <v>1144263781</v>
      </c>
      <c r="E30436" s="1" t="s">
        <v>32443</v>
      </c>
      <c r="F30436" s="2"/>
      <c r="G30436" s="2"/>
      <c r="H30436" s="2"/>
    </row>
    <row r="30437" spans="1:8" x14ac:dyDescent="0.25">
      <c r="A30437" s="1"/>
      <c r="B30437" s="1" t="s">
        <v>8275</v>
      </c>
      <c r="C30437" s="1" t="s">
        <v>8276</v>
      </c>
      <c r="D30437" s="1" t="str">
        <f>HYPERLINK("https://rhld.insurance.arkansas.gov/NPILookup?Npi=1144294299","1144294299")</f>
        <v>1144294299</v>
      </c>
      <c r="E30437" s="1" t="s">
        <v>12758</v>
      </c>
      <c r="F30437" s="2"/>
      <c r="G30437" s="2"/>
      <c r="H30437" s="2"/>
    </row>
    <row r="30438" spans="1:8" x14ac:dyDescent="0.25">
      <c r="A30438" s="1"/>
      <c r="B30438" s="1" t="s">
        <v>8275</v>
      </c>
      <c r="C30438" s="1" t="s">
        <v>8276</v>
      </c>
      <c r="D30438" s="1" t="str">
        <f>HYPERLINK("https://rhld.insurance.arkansas.gov/NPILookup?Npi=1144294646","1144294646")</f>
        <v>1144294646</v>
      </c>
      <c r="E30438" s="1" t="s">
        <v>25756</v>
      </c>
      <c r="F30438" s="2"/>
      <c r="G30438" s="2"/>
      <c r="H30438" s="2"/>
    </row>
    <row r="30439" spans="1:8" x14ac:dyDescent="0.25">
      <c r="A30439" s="1"/>
      <c r="B30439" s="1" t="s">
        <v>8275</v>
      </c>
      <c r="C30439" s="1" t="s">
        <v>8276</v>
      </c>
      <c r="D30439" s="1" t="str">
        <f>HYPERLINK("https://rhld.insurance.arkansas.gov/NPILookup?Npi=1144294992","1144294992")</f>
        <v>1144294992</v>
      </c>
      <c r="E30439" s="1" t="s">
        <v>25757</v>
      </c>
      <c r="F30439" s="2"/>
      <c r="G30439" s="2"/>
      <c r="H30439" s="2"/>
    </row>
    <row r="30440" spans="1:8" x14ac:dyDescent="0.25">
      <c r="A30440" s="1"/>
      <c r="B30440" s="1" t="s">
        <v>8275</v>
      </c>
      <c r="C30440" s="1" t="s">
        <v>8276</v>
      </c>
      <c r="D30440" s="1" t="str">
        <f>HYPERLINK("https://rhld.insurance.arkansas.gov/NPILookup?Npi=1144310707","1144310707")</f>
        <v>1144310707</v>
      </c>
      <c r="E30440" s="1" t="s">
        <v>13883</v>
      </c>
      <c r="F30440" s="2"/>
      <c r="G30440" s="2"/>
      <c r="H30440" s="2"/>
    </row>
    <row r="30441" spans="1:8" x14ac:dyDescent="0.25">
      <c r="A30441" s="1"/>
      <c r="B30441" s="1" t="s">
        <v>8275</v>
      </c>
      <c r="C30441" s="1" t="s">
        <v>8276</v>
      </c>
      <c r="D30441" s="1" t="str">
        <f>HYPERLINK("https://rhld.insurance.arkansas.gov/NPILookup?Npi=1144332842","1144332842")</f>
        <v>1144332842</v>
      </c>
      <c r="E30441" s="1" t="s">
        <v>1490</v>
      </c>
      <c r="F30441" s="2"/>
      <c r="G30441" s="2"/>
      <c r="H30441" s="2"/>
    </row>
    <row r="30442" spans="1:8" x14ac:dyDescent="0.25">
      <c r="A30442" s="1"/>
      <c r="B30442" s="1" t="s">
        <v>8275</v>
      </c>
      <c r="C30442" s="1" t="s">
        <v>8276</v>
      </c>
      <c r="D30442" s="1" t="str">
        <f>HYPERLINK("https://rhld.insurance.arkansas.gov/NPILookup?Npi=1144337155","1144337155")</f>
        <v>1144337155</v>
      </c>
      <c r="E30442" s="1" t="s">
        <v>1831</v>
      </c>
      <c r="F30442" s="2"/>
      <c r="G30442" s="2"/>
      <c r="H30442" s="2"/>
    </row>
    <row r="30443" spans="1:8" x14ac:dyDescent="0.25">
      <c r="A30443" s="1"/>
      <c r="B30443" s="1" t="s">
        <v>8275</v>
      </c>
      <c r="C30443" s="1" t="s">
        <v>8276</v>
      </c>
      <c r="D30443" s="1" t="str">
        <f>HYPERLINK("https://rhld.insurance.arkansas.gov/NPILookup?Npi=1144459231","1144459231")</f>
        <v>1144459231</v>
      </c>
      <c r="E30443" s="1" t="s">
        <v>29602</v>
      </c>
      <c r="F30443" s="2"/>
      <c r="G30443" s="2"/>
      <c r="H30443" s="2"/>
    </row>
    <row r="30444" spans="1:8" x14ac:dyDescent="0.25">
      <c r="A30444" s="1"/>
      <c r="B30444" s="1" t="s">
        <v>8275</v>
      </c>
      <c r="C30444" s="1" t="s">
        <v>8276</v>
      </c>
      <c r="D30444" s="1" t="str">
        <f>HYPERLINK("https://rhld.insurance.arkansas.gov/NPILookup?Npi=1144462383","1144462383")</f>
        <v>1144462383</v>
      </c>
      <c r="E30444" s="1" t="s">
        <v>13884</v>
      </c>
      <c r="F30444" s="2"/>
      <c r="G30444" s="2"/>
      <c r="H30444" s="2"/>
    </row>
    <row r="30445" spans="1:8" x14ac:dyDescent="0.25">
      <c r="A30445" s="1"/>
      <c r="B30445" s="1" t="s">
        <v>8275</v>
      </c>
      <c r="C30445" s="1" t="s">
        <v>8276</v>
      </c>
      <c r="D30445" s="1" t="str">
        <f>HYPERLINK("https://rhld.insurance.arkansas.gov/NPILookup?Npi=1144516964","1144516964")</f>
        <v>1144516964</v>
      </c>
      <c r="E30445" s="1" t="s">
        <v>12763</v>
      </c>
      <c r="F30445" s="2"/>
      <c r="G30445" s="2"/>
      <c r="H30445" s="2"/>
    </row>
    <row r="30446" spans="1:8" x14ac:dyDescent="0.25">
      <c r="A30446" s="1"/>
      <c r="B30446" s="1" t="s">
        <v>8275</v>
      </c>
      <c r="C30446" s="1" t="s">
        <v>8276</v>
      </c>
      <c r="D30446" s="1" t="str">
        <f>HYPERLINK("https://rhld.insurance.arkansas.gov/NPILookup?Npi=1144517129","1144517129")</f>
        <v>1144517129</v>
      </c>
      <c r="E30446" s="1" t="s">
        <v>2654</v>
      </c>
      <c r="F30446" s="2"/>
      <c r="G30446" s="2"/>
      <c r="H30446" s="2"/>
    </row>
    <row r="30447" spans="1:8" x14ac:dyDescent="0.25">
      <c r="A30447" s="1"/>
      <c r="B30447" s="1" t="s">
        <v>8275</v>
      </c>
      <c r="C30447" s="1" t="s">
        <v>8276</v>
      </c>
      <c r="D30447" s="1" t="str">
        <f>HYPERLINK("https://rhld.insurance.arkansas.gov/NPILookup?Npi=1144558834","1144558834")</f>
        <v>1144558834</v>
      </c>
      <c r="E30447" s="1" t="s">
        <v>13885</v>
      </c>
      <c r="F30447" s="2"/>
      <c r="G30447" s="2"/>
      <c r="H30447" s="2"/>
    </row>
    <row r="30448" spans="1:8" x14ac:dyDescent="0.25">
      <c r="A30448" s="1"/>
      <c r="B30448" s="1" t="s">
        <v>8275</v>
      </c>
      <c r="C30448" s="1" t="s">
        <v>8276</v>
      </c>
      <c r="D30448" s="1" t="str">
        <f>HYPERLINK("https://rhld.insurance.arkansas.gov/NPILookup?Npi=1144614033","1144614033")</f>
        <v>1144614033</v>
      </c>
      <c r="E30448" s="1" t="s">
        <v>3128</v>
      </c>
      <c r="F30448" s="2"/>
      <c r="G30448" s="2"/>
      <c r="H30448" s="2"/>
    </row>
    <row r="30449" spans="1:8" x14ac:dyDescent="0.25">
      <c r="A30449" s="1"/>
      <c r="B30449" s="1" t="s">
        <v>8275</v>
      </c>
      <c r="C30449" s="1" t="s">
        <v>8276</v>
      </c>
      <c r="D30449" s="1" t="str">
        <f>HYPERLINK("https://rhld.insurance.arkansas.gov/NPILookup?Npi=1144649021","1144649021")</f>
        <v>1144649021</v>
      </c>
      <c r="E30449" s="1" t="s">
        <v>29603</v>
      </c>
      <c r="F30449" s="2"/>
      <c r="G30449" s="2"/>
      <c r="H30449" s="2"/>
    </row>
    <row r="30450" spans="1:8" x14ac:dyDescent="0.25">
      <c r="A30450" s="1"/>
      <c r="B30450" s="1" t="s">
        <v>8275</v>
      </c>
      <c r="C30450" s="1" t="s">
        <v>8276</v>
      </c>
      <c r="D30450" s="1" t="str">
        <f>HYPERLINK("https://rhld.insurance.arkansas.gov/NPILookup?Npi=1144682113","1144682113")</f>
        <v>1144682113</v>
      </c>
      <c r="E30450" s="1" t="s">
        <v>29604</v>
      </c>
      <c r="F30450" s="2"/>
      <c r="G30450" s="2"/>
      <c r="H30450" s="2"/>
    </row>
    <row r="30451" spans="1:8" x14ac:dyDescent="0.25">
      <c r="A30451" s="1"/>
      <c r="B30451" s="1" t="s">
        <v>8275</v>
      </c>
      <c r="C30451" s="1" t="s">
        <v>8276</v>
      </c>
      <c r="D30451" s="1" t="str">
        <f>HYPERLINK("https://rhld.insurance.arkansas.gov/NPILookup?Npi=1144735424","1144735424")</f>
        <v>1144735424</v>
      </c>
      <c r="E30451" s="1" t="s">
        <v>1208</v>
      </c>
      <c r="F30451" s="2"/>
      <c r="G30451" s="2"/>
      <c r="H30451" s="2"/>
    </row>
    <row r="30452" spans="1:8" x14ac:dyDescent="0.25">
      <c r="A30452" s="1"/>
      <c r="B30452" s="1" t="s">
        <v>8275</v>
      </c>
      <c r="C30452" s="1" t="s">
        <v>8276</v>
      </c>
      <c r="D30452" s="1" t="str">
        <f>HYPERLINK("https://rhld.insurance.arkansas.gov/NPILookup?Npi=1144738725","1144738725")</f>
        <v>1144738725</v>
      </c>
      <c r="E30452" s="1" t="s">
        <v>25773</v>
      </c>
      <c r="F30452" s="2"/>
      <c r="G30452" s="2"/>
      <c r="H30452" s="2"/>
    </row>
    <row r="30453" spans="1:8" x14ac:dyDescent="0.25">
      <c r="A30453" s="1"/>
      <c r="B30453" s="1" t="s">
        <v>8275</v>
      </c>
      <c r="C30453" s="1" t="s">
        <v>8276</v>
      </c>
      <c r="D30453" s="1" t="str">
        <f>HYPERLINK("https://rhld.insurance.arkansas.gov/NPILookup?Npi=1144783374","1144783374")</f>
        <v>1144783374</v>
      </c>
      <c r="E30453" s="1" t="s">
        <v>8287</v>
      </c>
      <c r="F30453" s="2"/>
      <c r="G30453" s="2"/>
      <c r="H30453" s="2"/>
    </row>
    <row r="30454" spans="1:8" x14ac:dyDescent="0.25">
      <c r="A30454" s="1"/>
      <c r="B30454" s="1" t="s">
        <v>8275</v>
      </c>
      <c r="C30454" s="1" t="s">
        <v>8276</v>
      </c>
      <c r="D30454" s="1" t="str">
        <f>HYPERLINK("https://rhld.insurance.arkansas.gov/NPILookup?Npi=1144901125","1144901125")</f>
        <v>1144901125</v>
      </c>
      <c r="E30454" s="1" t="s">
        <v>32134</v>
      </c>
      <c r="F30454" s="2"/>
      <c r="G30454" s="2"/>
      <c r="H30454" s="2"/>
    </row>
    <row r="30455" spans="1:8" x14ac:dyDescent="0.25">
      <c r="A30455" s="1"/>
      <c r="B30455" s="1" t="s">
        <v>8275</v>
      </c>
      <c r="C30455" s="1" t="s">
        <v>8276</v>
      </c>
      <c r="D30455" s="1" t="str">
        <f>HYPERLINK("https://rhld.insurance.arkansas.gov/NPILookup?Npi=1154158699","1154158699")</f>
        <v>1154158699</v>
      </c>
      <c r="E30455" s="1" t="s">
        <v>31809</v>
      </c>
      <c r="F30455" s="2"/>
      <c r="G30455" s="2"/>
      <c r="H30455" s="2"/>
    </row>
    <row r="30456" spans="1:8" x14ac:dyDescent="0.25">
      <c r="A30456" s="1"/>
      <c r="B30456" s="1" t="s">
        <v>8275</v>
      </c>
      <c r="C30456" s="1" t="s">
        <v>8276</v>
      </c>
      <c r="D30456" s="1" t="str">
        <f>HYPERLINK("https://rhld.insurance.arkansas.gov/NPILookup?Npi=1154177160","1154177160")</f>
        <v>1154177160</v>
      </c>
      <c r="E30456" s="1" t="s">
        <v>25802</v>
      </c>
      <c r="F30456" s="2"/>
      <c r="G30456" s="2"/>
      <c r="H30456" s="2"/>
    </row>
    <row r="30457" spans="1:8" x14ac:dyDescent="0.25">
      <c r="A30457" s="1"/>
      <c r="B30457" s="1" t="s">
        <v>8275</v>
      </c>
      <c r="C30457" s="1" t="s">
        <v>8276</v>
      </c>
      <c r="D30457" s="1" t="str">
        <f>HYPERLINK("https://rhld.insurance.arkansas.gov/NPILookup?Npi=1154321255","1154321255")</f>
        <v>1154321255</v>
      </c>
      <c r="E30457" s="1" t="s">
        <v>29605</v>
      </c>
      <c r="F30457" s="2"/>
      <c r="G30457" s="2"/>
      <c r="H30457" s="2"/>
    </row>
    <row r="30458" spans="1:8" x14ac:dyDescent="0.25">
      <c r="A30458" s="1"/>
      <c r="B30458" s="1" t="s">
        <v>8275</v>
      </c>
      <c r="C30458" s="1" t="s">
        <v>8276</v>
      </c>
      <c r="D30458" s="1" t="str">
        <f>HYPERLINK("https://rhld.insurance.arkansas.gov/NPILookup?Npi=1154324366","1154324366")</f>
        <v>1154324366</v>
      </c>
      <c r="E30458" s="1" t="s">
        <v>9764</v>
      </c>
      <c r="F30458" s="2"/>
      <c r="G30458" s="2"/>
      <c r="H30458" s="2"/>
    </row>
    <row r="30459" spans="1:8" x14ac:dyDescent="0.25">
      <c r="A30459" s="1"/>
      <c r="B30459" s="1" t="s">
        <v>8275</v>
      </c>
      <c r="C30459" s="1" t="s">
        <v>8276</v>
      </c>
      <c r="D30459" s="1" t="str">
        <f>HYPERLINK("https://rhld.insurance.arkansas.gov/NPILookup?Npi=1154327237","1154327237")</f>
        <v>1154327237</v>
      </c>
      <c r="E30459" s="1" t="s">
        <v>96</v>
      </c>
      <c r="F30459" s="2"/>
      <c r="G30459" s="2"/>
      <c r="H30459" s="2"/>
    </row>
    <row r="30460" spans="1:8" x14ac:dyDescent="0.25">
      <c r="A30460" s="1"/>
      <c r="B30460" s="1" t="s">
        <v>8275</v>
      </c>
      <c r="C30460" s="1" t="s">
        <v>8276</v>
      </c>
      <c r="D30460" s="1" t="str">
        <f>HYPERLINK("https://rhld.insurance.arkansas.gov/NPILookup?Npi=1154344810","1154344810")</f>
        <v>1154344810</v>
      </c>
      <c r="E30460" s="1" t="s">
        <v>25805</v>
      </c>
      <c r="F30460" s="2"/>
      <c r="G30460" s="2"/>
      <c r="H30460" s="2"/>
    </row>
    <row r="30461" spans="1:8" x14ac:dyDescent="0.25">
      <c r="A30461" s="1"/>
      <c r="B30461" s="1" t="s">
        <v>8275</v>
      </c>
      <c r="C30461" s="1" t="s">
        <v>8276</v>
      </c>
      <c r="D30461" s="1" t="str">
        <f>HYPERLINK("https://rhld.insurance.arkansas.gov/NPILookup?Npi=1154411718","1154411718")</f>
        <v>1154411718</v>
      </c>
      <c r="E30461" s="1" t="s">
        <v>13886</v>
      </c>
      <c r="F30461" s="2"/>
      <c r="G30461" s="2"/>
      <c r="H30461" s="2"/>
    </row>
    <row r="30462" spans="1:8" x14ac:dyDescent="0.25">
      <c r="A30462" s="1"/>
      <c r="B30462" s="1" t="s">
        <v>8275</v>
      </c>
      <c r="C30462" s="1" t="s">
        <v>8276</v>
      </c>
      <c r="D30462" s="1" t="str">
        <f>HYPERLINK("https://rhld.insurance.arkansas.gov/NPILookup?Npi=1154471670","1154471670")</f>
        <v>1154471670</v>
      </c>
      <c r="E30462" s="1" t="s">
        <v>25810</v>
      </c>
      <c r="F30462" s="2"/>
      <c r="G30462" s="2"/>
      <c r="H30462" s="2"/>
    </row>
    <row r="30463" spans="1:8" x14ac:dyDescent="0.25">
      <c r="A30463" s="1"/>
      <c r="B30463" s="1" t="s">
        <v>8275</v>
      </c>
      <c r="C30463" s="1" t="s">
        <v>8276</v>
      </c>
      <c r="D30463" s="1" t="str">
        <f>HYPERLINK("https://rhld.insurance.arkansas.gov/NPILookup?Npi=1154647238","1154647238")</f>
        <v>1154647238</v>
      </c>
      <c r="E30463" s="1" t="s">
        <v>29606</v>
      </c>
      <c r="F30463" s="2"/>
      <c r="G30463" s="2"/>
      <c r="H30463" s="2"/>
    </row>
    <row r="30464" spans="1:8" x14ac:dyDescent="0.25">
      <c r="A30464" s="1"/>
      <c r="B30464" s="1" t="s">
        <v>8275</v>
      </c>
      <c r="C30464" s="1" t="s">
        <v>8276</v>
      </c>
      <c r="D30464" s="1" t="str">
        <f>HYPERLINK("https://rhld.insurance.arkansas.gov/NPILookup?Npi=1154659100","1154659100")</f>
        <v>1154659100</v>
      </c>
      <c r="E30464" s="1" t="s">
        <v>1977</v>
      </c>
      <c r="F30464" s="2"/>
      <c r="G30464" s="2"/>
      <c r="H30464" s="2"/>
    </row>
    <row r="30465" spans="1:8" x14ac:dyDescent="0.25">
      <c r="A30465" s="1"/>
      <c r="B30465" s="1" t="s">
        <v>8275</v>
      </c>
      <c r="C30465" s="1" t="s">
        <v>8276</v>
      </c>
      <c r="D30465" s="1" t="str">
        <f>HYPERLINK("https://rhld.insurance.arkansas.gov/NPILookup?Npi=1154687432","1154687432")</f>
        <v>1154687432</v>
      </c>
      <c r="E30465" s="1" t="s">
        <v>32444</v>
      </c>
      <c r="F30465" s="2"/>
      <c r="G30465" s="2"/>
      <c r="H30465" s="2"/>
    </row>
    <row r="30466" spans="1:8" x14ac:dyDescent="0.25">
      <c r="A30466" s="1"/>
      <c r="B30466" s="1" t="s">
        <v>8275</v>
      </c>
      <c r="C30466" s="1" t="s">
        <v>8276</v>
      </c>
      <c r="D30466" s="1" t="str">
        <f>HYPERLINK("https://rhld.insurance.arkansas.gov/NPILookup?Npi=1154696607","1154696607")</f>
        <v>1154696607</v>
      </c>
      <c r="E30466" s="1" t="s">
        <v>1750</v>
      </c>
      <c r="F30466" s="2"/>
      <c r="G30466" s="2"/>
      <c r="H30466" s="2"/>
    </row>
    <row r="30467" spans="1:8" x14ac:dyDescent="0.25">
      <c r="A30467" s="1"/>
      <c r="B30467" s="1" t="s">
        <v>8275</v>
      </c>
      <c r="C30467" s="1" t="s">
        <v>8276</v>
      </c>
      <c r="D30467" s="1" t="str">
        <f>HYPERLINK("https://rhld.insurance.arkansas.gov/NPILookup?Npi=1154716793","1154716793")</f>
        <v>1154716793</v>
      </c>
      <c r="E30467" s="1" t="s">
        <v>1491</v>
      </c>
      <c r="F30467" s="2"/>
      <c r="G30467" s="2"/>
      <c r="H30467" s="2"/>
    </row>
    <row r="30468" spans="1:8" x14ac:dyDescent="0.25">
      <c r="A30468" s="1"/>
      <c r="B30468" s="1" t="s">
        <v>8275</v>
      </c>
      <c r="C30468" s="1" t="s">
        <v>8276</v>
      </c>
      <c r="D30468" s="1" t="str">
        <f>HYPERLINK("https://rhld.insurance.arkansas.gov/NPILookup?Npi=1154764397","1154764397")</f>
        <v>1154764397</v>
      </c>
      <c r="E30468" s="1" t="s">
        <v>29607</v>
      </c>
      <c r="F30468" s="2"/>
      <c r="G30468" s="2"/>
      <c r="H30468" s="2"/>
    </row>
    <row r="30469" spans="1:8" x14ac:dyDescent="0.25">
      <c r="A30469" s="1"/>
      <c r="B30469" s="1" t="s">
        <v>8275</v>
      </c>
      <c r="C30469" s="1" t="s">
        <v>8276</v>
      </c>
      <c r="D30469" s="1" t="str">
        <f>HYPERLINK("https://rhld.insurance.arkansas.gov/NPILookup?Npi=1154784320","1154784320")</f>
        <v>1154784320</v>
      </c>
      <c r="E30469" s="1" t="s">
        <v>29608</v>
      </c>
      <c r="F30469" s="2"/>
      <c r="G30469" s="2"/>
      <c r="H30469" s="2"/>
    </row>
    <row r="30470" spans="1:8" x14ac:dyDescent="0.25">
      <c r="A30470" s="1"/>
      <c r="B30470" s="1" t="s">
        <v>8275</v>
      </c>
      <c r="C30470" s="1" t="s">
        <v>8276</v>
      </c>
      <c r="D30470" s="1" t="str">
        <f>HYPERLINK("https://rhld.insurance.arkansas.gov/NPILookup?Npi=1154852515","1154852515")</f>
        <v>1154852515</v>
      </c>
      <c r="E30470" s="1" t="s">
        <v>13887</v>
      </c>
      <c r="F30470" s="2"/>
      <c r="G30470" s="2"/>
      <c r="H30470" s="2"/>
    </row>
    <row r="30471" spans="1:8" x14ac:dyDescent="0.25">
      <c r="A30471" s="1"/>
      <c r="B30471" s="1" t="s">
        <v>8275</v>
      </c>
      <c r="C30471" s="1" t="s">
        <v>8276</v>
      </c>
      <c r="D30471" s="1" t="str">
        <f>HYPERLINK("https://rhld.insurance.arkansas.gov/NPILookup?Npi=1154873545","1154873545")</f>
        <v>1154873545</v>
      </c>
      <c r="E30471" s="1" t="s">
        <v>1649</v>
      </c>
      <c r="F30471" s="2"/>
      <c r="G30471" s="2"/>
      <c r="H30471" s="2"/>
    </row>
    <row r="30472" spans="1:8" x14ac:dyDescent="0.25">
      <c r="A30472" s="1"/>
      <c r="B30472" s="1" t="s">
        <v>8275</v>
      </c>
      <c r="C30472" s="1" t="s">
        <v>8276</v>
      </c>
      <c r="D30472" s="1" t="str">
        <f>HYPERLINK("https://rhld.insurance.arkansas.gov/NPILookup?Npi=1164114096","1164114096")</f>
        <v>1164114096</v>
      </c>
      <c r="E30472" s="1" t="s">
        <v>7488</v>
      </c>
      <c r="F30472" s="2"/>
      <c r="G30472" s="2"/>
      <c r="H30472" s="2"/>
    </row>
    <row r="30473" spans="1:8" x14ac:dyDescent="0.25">
      <c r="A30473" s="1"/>
      <c r="B30473" s="1" t="s">
        <v>8275</v>
      </c>
      <c r="C30473" s="1" t="s">
        <v>8276</v>
      </c>
      <c r="D30473" s="1" t="str">
        <f>HYPERLINK("https://rhld.insurance.arkansas.gov/NPILookup?Npi=1164294963","1164294963")</f>
        <v>1164294963</v>
      </c>
      <c r="E30473" s="1" t="s">
        <v>32138</v>
      </c>
      <c r="F30473" s="2"/>
      <c r="G30473" s="2"/>
      <c r="H30473" s="2"/>
    </row>
    <row r="30474" spans="1:8" x14ac:dyDescent="0.25">
      <c r="A30474" s="1"/>
      <c r="B30474" s="1" t="s">
        <v>8275</v>
      </c>
      <c r="C30474" s="1" t="s">
        <v>8276</v>
      </c>
      <c r="D30474" s="1" t="str">
        <f>HYPERLINK("https://rhld.insurance.arkansas.gov/NPILookup?Npi=1164296281","1164296281")</f>
        <v>1164296281</v>
      </c>
      <c r="E30474" s="1" t="s">
        <v>7491</v>
      </c>
      <c r="F30474" s="2"/>
      <c r="G30474" s="2"/>
      <c r="H30474" s="2"/>
    </row>
    <row r="30475" spans="1:8" x14ac:dyDescent="0.25">
      <c r="A30475" s="1"/>
      <c r="B30475" s="1" t="s">
        <v>8275</v>
      </c>
      <c r="C30475" s="1" t="s">
        <v>8276</v>
      </c>
      <c r="D30475" s="1" t="str">
        <f>HYPERLINK("https://rhld.insurance.arkansas.gov/NPILookup?Npi=1164418679","1164418679")</f>
        <v>1164418679</v>
      </c>
      <c r="E30475" s="1" t="s">
        <v>25847</v>
      </c>
      <c r="F30475" s="2"/>
      <c r="G30475" s="2"/>
      <c r="H30475" s="2"/>
    </row>
    <row r="30476" spans="1:8" x14ac:dyDescent="0.25">
      <c r="A30476" s="1"/>
      <c r="B30476" s="1" t="s">
        <v>8275</v>
      </c>
      <c r="C30476" s="1" t="s">
        <v>8276</v>
      </c>
      <c r="D30476" s="1" t="str">
        <f>HYPERLINK("https://rhld.insurance.arkansas.gov/NPILookup?Npi=1164462602","1164462602")</f>
        <v>1164462602</v>
      </c>
      <c r="E30476" s="1" t="s">
        <v>1978</v>
      </c>
      <c r="F30476" s="2"/>
      <c r="G30476" s="2"/>
      <c r="H30476" s="2"/>
    </row>
    <row r="30477" spans="1:8" x14ac:dyDescent="0.25">
      <c r="A30477" s="1"/>
      <c r="B30477" s="1" t="s">
        <v>8275</v>
      </c>
      <c r="C30477" s="1" t="s">
        <v>8276</v>
      </c>
      <c r="D30477" s="1" t="str">
        <f>HYPERLINK("https://rhld.insurance.arkansas.gov/NPILookup?Npi=1164466603","1164466603")</f>
        <v>1164466603</v>
      </c>
      <c r="E30477" s="1" t="s">
        <v>12788</v>
      </c>
      <c r="F30477" s="2"/>
      <c r="G30477" s="2"/>
      <c r="H30477" s="2"/>
    </row>
    <row r="30478" spans="1:8" x14ac:dyDescent="0.25">
      <c r="A30478" s="1"/>
      <c r="B30478" s="1" t="s">
        <v>8275</v>
      </c>
      <c r="C30478" s="1" t="s">
        <v>8276</v>
      </c>
      <c r="D30478" s="1" t="str">
        <f>HYPERLINK("https://rhld.insurance.arkansas.gov/NPILookup?Npi=1164482592","1164482592")</f>
        <v>1164482592</v>
      </c>
      <c r="E30478" s="1" t="s">
        <v>12789</v>
      </c>
      <c r="F30478" s="2"/>
      <c r="G30478" s="2"/>
      <c r="H30478" s="2"/>
    </row>
    <row r="30479" spans="1:8" x14ac:dyDescent="0.25">
      <c r="A30479" s="1"/>
      <c r="B30479" s="1" t="s">
        <v>8275</v>
      </c>
      <c r="C30479" s="1" t="s">
        <v>8276</v>
      </c>
      <c r="D30479" s="1" t="str">
        <f>HYPERLINK("https://rhld.insurance.arkansas.gov/NPILookup?Npi=1164496105","1164496105")</f>
        <v>1164496105</v>
      </c>
      <c r="E30479" s="1" t="s">
        <v>25852</v>
      </c>
      <c r="F30479" s="2"/>
      <c r="G30479" s="2"/>
      <c r="H30479" s="2"/>
    </row>
    <row r="30480" spans="1:8" x14ac:dyDescent="0.25">
      <c r="A30480" s="1"/>
      <c r="B30480" s="1" t="s">
        <v>8275</v>
      </c>
      <c r="C30480" s="1" t="s">
        <v>8276</v>
      </c>
      <c r="D30480" s="1" t="str">
        <f>HYPERLINK("https://rhld.insurance.arkansas.gov/NPILookup?Npi=1164497327","1164497327")</f>
        <v>1164497327</v>
      </c>
      <c r="E30480" s="1" t="s">
        <v>25853</v>
      </c>
      <c r="F30480" s="2"/>
      <c r="G30480" s="2"/>
      <c r="H30480" s="2"/>
    </row>
    <row r="30481" spans="1:8" x14ac:dyDescent="0.25">
      <c r="A30481" s="1"/>
      <c r="B30481" s="1" t="s">
        <v>8275</v>
      </c>
      <c r="C30481" s="1" t="s">
        <v>8276</v>
      </c>
      <c r="D30481" s="1" t="str">
        <f>HYPERLINK("https://rhld.insurance.arkansas.gov/NPILookup?Npi=1164511085","1164511085")</f>
        <v>1164511085</v>
      </c>
      <c r="E30481" s="1" t="s">
        <v>29609</v>
      </c>
      <c r="F30481" s="2"/>
      <c r="G30481" s="2"/>
      <c r="H30481" s="2"/>
    </row>
    <row r="30482" spans="1:8" x14ac:dyDescent="0.25">
      <c r="A30482" s="1"/>
      <c r="B30482" s="1" t="s">
        <v>8275</v>
      </c>
      <c r="C30482" s="1" t="s">
        <v>8276</v>
      </c>
      <c r="D30482" s="1" t="str">
        <f>HYPERLINK("https://rhld.insurance.arkansas.gov/NPILookup?Npi=1164595922","1164595922")</f>
        <v>1164595922</v>
      </c>
      <c r="E30482" s="1" t="s">
        <v>29610</v>
      </c>
      <c r="F30482" s="2"/>
      <c r="G30482" s="2"/>
      <c r="H30482" s="2"/>
    </row>
    <row r="30483" spans="1:8" x14ac:dyDescent="0.25">
      <c r="A30483" s="1"/>
      <c r="B30483" s="1" t="s">
        <v>8275</v>
      </c>
      <c r="C30483" s="1" t="s">
        <v>8276</v>
      </c>
      <c r="D30483" s="1" t="str">
        <f>HYPERLINK("https://rhld.insurance.arkansas.gov/NPILookup?Npi=1164893756","1164893756")</f>
        <v>1164893756</v>
      </c>
      <c r="E30483" s="1" t="s">
        <v>32139</v>
      </c>
      <c r="F30483" s="2"/>
      <c r="G30483" s="2"/>
      <c r="H30483" s="2"/>
    </row>
    <row r="30484" spans="1:8" x14ac:dyDescent="0.25">
      <c r="A30484" s="1"/>
      <c r="B30484" s="1" t="s">
        <v>8275</v>
      </c>
      <c r="C30484" s="1" t="s">
        <v>8276</v>
      </c>
      <c r="D30484" s="1" t="str">
        <f>HYPERLINK("https://rhld.insurance.arkansas.gov/NPILookup?Npi=1164980728","1164980728")</f>
        <v>1164980728</v>
      </c>
      <c r="E30484" s="1" t="s">
        <v>7495</v>
      </c>
      <c r="F30484" s="2"/>
      <c r="G30484" s="2"/>
      <c r="H30484" s="2"/>
    </row>
    <row r="30485" spans="1:8" x14ac:dyDescent="0.25">
      <c r="A30485" s="1"/>
      <c r="B30485" s="1" t="s">
        <v>8275</v>
      </c>
      <c r="C30485" s="1" t="s">
        <v>8276</v>
      </c>
      <c r="D30485" s="1" t="str">
        <f>HYPERLINK("https://rhld.insurance.arkansas.gov/NPILookup?Npi=1164991048","1164991048")</f>
        <v>1164991048</v>
      </c>
      <c r="E30485" s="1" t="s">
        <v>32140</v>
      </c>
      <c r="F30485" s="2"/>
      <c r="G30485" s="2"/>
      <c r="H30485" s="2"/>
    </row>
    <row r="30486" spans="1:8" x14ac:dyDescent="0.25">
      <c r="A30486" s="1"/>
      <c r="B30486" s="1" t="s">
        <v>8275</v>
      </c>
      <c r="C30486" s="1" t="s">
        <v>8276</v>
      </c>
      <c r="D30486" s="1" t="str">
        <f>HYPERLINK("https://rhld.insurance.arkansas.gov/NPILookup?Npi=1174085047","1174085047")</f>
        <v>1174085047</v>
      </c>
      <c r="E30486" s="1" t="s">
        <v>29611</v>
      </c>
      <c r="F30486" s="2"/>
      <c r="G30486" s="2"/>
      <c r="H30486" s="2"/>
    </row>
    <row r="30487" spans="1:8" x14ac:dyDescent="0.25">
      <c r="A30487" s="1"/>
      <c r="B30487" s="1" t="s">
        <v>8275</v>
      </c>
      <c r="C30487" s="1" t="s">
        <v>8276</v>
      </c>
      <c r="D30487" s="1" t="str">
        <f>HYPERLINK("https://rhld.insurance.arkansas.gov/NPILookup?Npi=1174137111","1174137111")</f>
        <v>1174137111</v>
      </c>
      <c r="E30487" s="1" t="s">
        <v>25881</v>
      </c>
      <c r="F30487" s="2"/>
      <c r="G30487" s="2"/>
      <c r="H30487" s="2"/>
    </row>
    <row r="30488" spans="1:8" x14ac:dyDescent="0.25">
      <c r="A30488" s="1"/>
      <c r="B30488" s="1" t="s">
        <v>8275</v>
      </c>
      <c r="C30488" s="1" t="s">
        <v>8276</v>
      </c>
      <c r="D30488" s="1" t="str">
        <f>HYPERLINK("https://rhld.insurance.arkansas.gov/NPILookup?Npi=1174139455","1174139455")</f>
        <v>1174139455</v>
      </c>
      <c r="E30488" s="1" t="s">
        <v>7502</v>
      </c>
      <c r="F30488" s="2"/>
      <c r="G30488" s="2"/>
      <c r="H30488" s="2"/>
    </row>
    <row r="30489" spans="1:8" x14ac:dyDescent="0.25">
      <c r="A30489" s="1"/>
      <c r="B30489" s="1" t="s">
        <v>8275</v>
      </c>
      <c r="C30489" s="1" t="s">
        <v>8276</v>
      </c>
      <c r="D30489" s="1" t="str">
        <f>HYPERLINK("https://rhld.insurance.arkansas.gov/NPILookup?Npi=1174160089","1174160089")</f>
        <v>1174160089</v>
      </c>
      <c r="E30489" s="1" t="s">
        <v>25887</v>
      </c>
      <c r="F30489" s="2"/>
      <c r="G30489" s="2"/>
      <c r="H30489" s="2"/>
    </row>
    <row r="30490" spans="1:8" x14ac:dyDescent="0.25">
      <c r="A30490" s="1"/>
      <c r="B30490" s="1" t="s">
        <v>8275</v>
      </c>
      <c r="C30490" s="1" t="s">
        <v>8276</v>
      </c>
      <c r="D30490" s="1" t="str">
        <f>HYPERLINK("https://rhld.insurance.arkansas.gov/NPILookup?Npi=1174510085","1174510085")</f>
        <v>1174510085</v>
      </c>
      <c r="E30490" s="1" t="s">
        <v>29612</v>
      </c>
      <c r="F30490" s="2"/>
      <c r="G30490" s="2"/>
      <c r="H30490" s="2"/>
    </row>
    <row r="30491" spans="1:8" x14ac:dyDescent="0.25">
      <c r="A30491" s="1"/>
      <c r="B30491" s="1" t="s">
        <v>8275</v>
      </c>
      <c r="C30491" s="1" t="s">
        <v>8276</v>
      </c>
      <c r="D30491" s="1" t="str">
        <f>HYPERLINK("https://rhld.insurance.arkansas.gov/NPILookup?Npi=1174520688","1174520688")</f>
        <v>1174520688</v>
      </c>
      <c r="E30491" s="1" t="s">
        <v>25897</v>
      </c>
      <c r="F30491" s="2"/>
      <c r="G30491" s="2"/>
      <c r="H30491" s="2"/>
    </row>
    <row r="30492" spans="1:8" x14ac:dyDescent="0.25">
      <c r="A30492" s="1"/>
      <c r="B30492" s="1" t="s">
        <v>8275</v>
      </c>
      <c r="C30492" s="1" t="s">
        <v>8276</v>
      </c>
      <c r="D30492" s="1" t="str">
        <f>HYPERLINK("https://rhld.insurance.arkansas.gov/NPILookup?Npi=1174524086","1174524086")</f>
        <v>1174524086</v>
      </c>
      <c r="E30492" s="1" t="s">
        <v>25898</v>
      </c>
      <c r="F30492" s="2"/>
      <c r="G30492" s="2"/>
      <c r="H30492" s="2"/>
    </row>
    <row r="30493" spans="1:8" x14ac:dyDescent="0.25">
      <c r="A30493" s="1"/>
      <c r="B30493" s="1" t="s">
        <v>8275</v>
      </c>
      <c r="C30493" s="1" t="s">
        <v>8276</v>
      </c>
      <c r="D30493" s="1" t="str">
        <f>HYPERLINK("https://rhld.insurance.arkansas.gov/NPILookup?Npi=1174593446","1174593446")</f>
        <v>1174593446</v>
      </c>
      <c r="E30493" s="1" t="s">
        <v>12808</v>
      </c>
      <c r="F30493" s="2"/>
      <c r="G30493" s="2"/>
      <c r="H30493" s="2"/>
    </row>
    <row r="30494" spans="1:8" x14ac:dyDescent="0.25">
      <c r="A30494" s="1"/>
      <c r="B30494" s="1" t="s">
        <v>8275</v>
      </c>
      <c r="C30494" s="1" t="s">
        <v>8276</v>
      </c>
      <c r="D30494" s="1" t="str">
        <f>HYPERLINK("https://rhld.insurance.arkansas.gov/NPILookup?Npi=1174613731","1174613731")</f>
        <v>1174613731</v>
      </c>
      <c r="E30494" s="1" t="s">
        <v>17274</v>
      </c>
      <c r="F30494" s="2"/>
      <c r="G30494" s="2"/>
      <c r="H30494" s="2"/>
    </row>
    <row r="30495" spans="1:8" x14ac:dyDescent="0.25">
      <c r="A30495" s="1"/>
      <c r="B30495" s="1" t="s">
        <v>8275</v>
      </c>
      <c r="C30495" s="1" t="s">
        <v>8276</v>
      </c>
      <c r="D30495" s="1" t="str">
        <f>HYPERLINK("https://rhld.insurance.arkansas.gov/NPILookup?Npi=1174971550","1174971550")</f>
        <v>1174971550</v>
      </c>
      <c r="E30495" s="1" t="s">
        <v>5926</v>
      </c>
      <c r="F30495" s="2"/>
      <c r="G30495" s="2"/>
      <c r="H30495" s="2"/>
    </row>
    <row r="30496" spans="1:8" x14ac:dyDescent="0.25">
      <c r="A30496" s="1"/>
      <c r="B30496" s="1" t="s">
        <v>8275</v>
      </c>
      <c r="C30496" s="1" t="s">
        <v>8276</v>
      </c>
      <c r="D30496" s="1" t="str">
        <f>HYPERLINK("https://rhld.insurance.arkansas.gov/NPILookup?Npi=1184005159","1184005159")</f>
        <v>1184005159</v>
      </c>
      <c r="E30496" s="1" t="s">
        <v>2124</v>
      </c>
      <c r="F30496" s="2"/>
      <c r="G30496" s="2"/>
      <c r="H30496" s="2"/>
    </row>
    <row r="30497" spans="1:8" x14ac:dyDescent="0.25">
      <c r="A30497" s="1"/>
      <c r="B30497" s="1" t="s">
        <v>8275</v>
      </c>
      <c r="C30497" s="1" t="s">
        <v>8276</v>
      </c>
      <c r="D30497" s="1" t="str">
        <f>HYPERLINK("https://rhld.insurance.arkansas.gov/NPILookup?Npi=1184010340","1184010340")</f>
        <v>1184010340</v>
      </c>
      <c r="E30497" s="1" t="s">
        <v>25913</v>
      </c>
      <c r="F30497" s="2"/>
      <c r="G30497" s="2"/>
      <c r="H30497" s="2"/>
    </row>
    <row r="30498" spans="1:8" x14ac:dyDescent="0.25">
      <c r="A30498" s="1"/>
      <c r="B30498" s="1" t="s">
        <v>8275</v>
      </c>
      <c r="C30498" s="1" t="s">
        <v>8276</v>
      </c>
      <c r="D30498" s="1" t="str">
        <f>HYPERLINK("https://rhld.insurance.arkansas.gov/NPILookup?Npi=1184030496","1184030496")</f>
        <v>1184030496</v>
      </c>
      <c r="E30498" s="1" t="s">
        <v>17278</v>
      </c>
      <c r="F30498" s="2"/>
      <c r="G30498" s="2"/>
      <c r="H30498" s="2"/>
    </row>
    <row r="30499" spans="1:8" x14ac:dyDescent="0.25">
      <c r="A30499" s="1"/>
      <c r="B30499" s="1" t="s">
        <v>8275</v>
      </c>
      <c r="C30499" s="1" t="s">
        <v>8276</v>
      </c>
      <c r="D30499" s="1" t="str">
        <f>HYPERLINK("https://rhld.insurance.arkansas.gov/NPILookup?Npi=1184090250","1184090250")</f>
        <v>1184090250</v>
      </c>
      <c r="E30499" s="1" t="s">
        <v>8288</v>
      </c>
      <c r="F30499" s="2"/>
      <c r="G30499" s="2"/>
      <c r="H30499" s="2"/>
    </row>
    <row r="30500" spans="1:8" x14ac:dyDescent="0.25">
      <c r="A30500" s="1"/>
      <c r="B30500" s="1" t="s">
        <v>8275</v>
      </c>
      <c r="C30500" s="1" t="s">
        <v>8276</v>
      </c>
      <c r="D30500" s="1" t="str">
        <f>HYPERLINK("https://rhld.insurance.arkansas.gov/NPILookup?Npi=1184091407","1184091407")</f>
        <v>1184091407</v>
      </c>
      <c r="E30500" s="1" t="s">
        <v>25921</v>
      </c>
      <c r="F30500" s="2"/>
      <c r="G30500" s="2"/>
      <c r="H30500" s="2"/>
    </row>
    <row r="30501" spans="1:8" x14ac:dyDescent="0.25">
      <c r="A30501" s="1"/>
      <c r="B30501" s="1" t="s">
        <v>8275</v>
      </c>
      <c r="C30501" s="1" t="s">
        <v>8276</v>
      </c>
      <c r="D30501" s="1" t="str">
        <f>HYPERLINK("https://rhld.insurance.arkansas.gov/NPILookup?Npi=1184123002","1184123002")</f>
        <v>1184123002</v>
      </c>
      <c r="E30501" s="1" t="s">
        <v>21432</v>
      </c>
      <c r="F30501" s="2"/>
      <c r="G30501" s="2"/>
      <c r="H30501" s="2"/>
    </row>
    <row r="30502" spans="1:8" x14ac:dyDescent="0.25">
      <c r="A30502" s="1"/>
      <c r="B30502" s="1" t="s">
        <v>8275</v>
      </c>
      <c r="C30502" s="1" t="s">
        <v>8276</v>
      </c>
      <c r="D30502" s="1" t="str">
        <f>HYPERLINK("https://rhld.insurance.arkansas.gov/NPILookup?Npi=1184203630","1184203630")</f>
        <v>1184203630</v>
      </c>
      <c r="E30502" s="1" t="s">
        <v>29613</v>
      </c>
      <c r="F30502" s="2"/>
      <c r="G30502" s="2"/>
      <c r="H30502" s="2"/>
    </row>
    <row r="30503" spans="1:8" x14ac:dyDescent="0.25">
      <c r="A30503" s="1"/>
      <c r="B30503" s="1" t="s">
        <v>8275</v>
      </c>
      <c r="C30503" s="1" t="s">
        <v>8276</v>
      </c>
      <c r="D30503" s="1" t="str">
        <f>HYPERLINK("https://rhld.insurance.arkansas.gov/NPILookup?Npi=1184254765","1184254765")</f>
        <v>1184254765</v>
      </c>
      <c r="E30503" s="1" t="s">
        <v>32144</v>
      </c>
      <c r="F30503" s="2"/>
      <c r="G30503" s="2"/>
      <c r="H30503" s="2"/>
    </row>
    <row r="30504" spans="1:8" x14ac:dyDescent="0.25">
      <c r="A30504" s="1"/>
      <c r="B30504" s="1" t="s">
        <v>8275</v>
      </c>
      <c r="C30504" s="1" t="s">
        <v>8276</v>
      </c>
      <c r="D30504" s="1" t="str">
        <f>HYPERLINK("https://rhld.insurance.arkansas.gov/NPILookup?Npi=1184275133","1184275133")</f>
        <v>1184275133</v>
      </c>
      <c r="E30504" s="1" t="s">
        <v>7515</v>
      </c>
      <c r="F30504" s="2"/>
      <c r="G30504" s="2"/>
      <c r="H30504" s="2"/>
    </row>
    <row r="30505" spans="1:8" x14ac:dyDescent="0.25">
      <c r="A30505" s="1"/>
      <c r="B30505" s="1" t="s">
        <v>8275</v>
      </c>
      <c r="C30505" s="1" t="s">
        <v>8276</v>
      </c>
      <c r="D30505" s="1" t="str">
        <f>HYPERLINK("https://rhld.insurance.arkansas.gov/NPILookup?Npi=1184279739","1184279739")</f>
        <v>1184279739</v>
      </c>
      <c r="E30505" s="1" t="s">
        <v>32145</v>
      </c>
      <c r="F30505" s="2"/>
      <c r="G30505" s="2"/>
      <c r="H30505" s="2"/>
    </row>
    <row r="30506" spans="1:8" x14ac:dyDescent="0.25">
      <c r="A30506" s="1"/>
      <c r="B30506" s="1" t="s">
        <v>8275</v>
      </c>
      <c r="C30506" s="1" t="s">
        <v>8276</v>
      </c>
      <c r="D30506" s="1" t="str">
        <f>HYPERLINK("https://rhld.insurance.arkansas.gov/NPILookup?Npi=1184324113","1184324113")</f>
        <v>1184324113</v>
      </c>
      <c r="E30506" s="1" t="s">
        <v>25939</v>
      </c>
      <c r="F30506" s="2"/>
      <c r="G30506" s="2"/>
      <c r="H30506" s="2"/>
    </row>
    <row r="30507" spans="1:8" x14ac:dyDescent="0.25">
      <c r="A30507" s="1"/>
      <c r="B30507" s="1" t="s">
        <v>8275</v>
      </c>
      <c r="C30507" s="1" t="s">
        <v>8276</v>
      </c>
      <c r="D30507" s="1" t="str">
        <f>HYPERLINK("https://rhld.insurance.arkansas.gov/NPILookup?Npi=1184610792","1184610792")</f>
        <v>1184610792</v>
      </c>
      <c r="E30507" s="1" t="s">
        <v>2673</v>
      </c>
      <c r="F30507" s="2"/>
      <c r="G30507" s="2"/>
      <c r="H30507" s="2"/>
    </row>
    <row r="30508" spans="1:8" x14ac:dyDescent="0.25">
      <c r="A30508" s="1"/>
      <c r="B30508" s="1" t="s">
        <v>8275</v>
      </c>
      <c r="C30508" s="1" t="s">
        <v>8276</v>
      </c>
      <c r="D30508" s="1" t="str">
        <f>HYPERLINK("https://rhld.insurance.arkansas.gov/NPILookup?Npi=1184629206","1184629206")</f>
        <v>1184629206</v>
      </c>
      <c r="E30508" s="1" t="s">
        <v>7519</v>
      </c>
      <c r="F30508" s="2"/>
      <c r="G30508" s="2"/>
      <c r="H30508" s="2"/>
    </row>
    <row r="30509" spans="1:8" x14ac:dyDescent="0.25">
      <c r="A30509" s="1"/>
      <c r="B30509" s="1" t="s">
        <v>8275</v>
      </c>
      <c r="C30509" s="1" t="s">
        <v>8276</v>
      </c>
      <c r="D30509" s="1" t="str">
        <f>HYPERLINK("https://rhld.insurance.arkansas.gov/NPILookup?Npi=1184682866","1184682866")</f>
        <v>1184682866</v>
      </c>
      <c r="E30509" s="1" t="s">
        <v>3919</v>
      </c>
      <c r="F30509" s="2"/>
      <c r="G30509" s="2"/>
      <c r="H30509" s="2"/>
    </row>
    <row r="30510" spans="1:8" x14ac:dyDescent="0.25">
      <c r="A30510" s="1"/>
      <c r="B30510" s="1" t="s">
        <v>8275</v>
      </c>
      <c r="C30510" s="1" t="s">
        <v>8276</v>
      </c>
      <c r="D30510" s="1" t="str">
        <f>HYPERLINK("https://rhld.insurance.arkansas.gov/NPILookup?Npi=1184692683","1184692683")</f>
        <v>1184692683</v>
      </c>
      <c r="E30510" s="1" t="s">
        <v>29614</v>
      </c>
      <c r="F30510" s="2"/>
      <c r="G30510" s="2"/>
      <c r="H30510" s="2"/>
    </row>
    <row r="30511" spans="1:8" x14ac:dyDescent="0.25">
      <c r="A30511" s="1"/>
      <c r="B30511" s="1" t="s">
        <v>8275</v>
      </c>
      <c r="C30511" s="1" t="s">
        <v>8276</v>
      </c>
      <c r="D30511" s="1" t="str">
        <f>HYPERLINK("https://rhld.insurance.arkansas.gov/NPILookup?Npi=1184724312","1184724312")</f>
        <v>1184724312</v>
      </c>
      <c r="E30511" s="1" t="s">
        <v>12820</v>
      </c>
      <c r="F30511" s="2"/>
      <c r="G30511" s="2"/>
      <c r="H30511" s="2"/>
    </row>
    <row r="30512" spans="1:8" x14ac:dyDescent="0.25">
      <c r="A30512" s="1"/>
      <c r="B30512" s="1" t="s">
        <v>8275</v>
      </c>
      <c r="C30512" s="1" t="s">
        <v>8276</v>
      </c>
      <c r="D30512" s="1" t="str">
        <f>HYPERLINK("https://rhld.insurance.arkansas.gov/NPILookup?Npi=1184734998","1184734998")</f>
        <v>1184734998</v>
      </c>
      <c r="E30512" s="1" t="s">
        <v>13888</v>
      </c>
      <c r="F30512" s="2"/>
      <c r="G30512" s="2"/>
      <c r="H30512" s="2"/>
    </row>
    <row r="30513" spans="1:8" x14ac:dyDescent="0.25">
      <c r="A30513" s="1"/>
      <c r="B30513" s="1" t="s">
        <v>8275</v>
      </c>
      <c r="C30513" s="1" t="s">
        <v>8276</v>
      </c>
      <c r="D30513" s="1" t="str">
        <f>HYPERLINK("https://rhld.insurance.arkansas.gov/NPILookup?Npi=1184735151","1184735151")</f>
        <v>1184735151</v>
      </c>
      <c r="E30513" s="1" t="s">
        <v>1084</v>
      </c>
      <c r="F30513" s="2"/>
      <c r="G30513" s="2"/>
      <c r="H30513" s="2"/>
    </row>
    <row r="30514" spans="1:8" x14ac:dyDescent="0.25">
      <c r="A30514" s="1"/>
      <c r="B30514" s="1" t="s">
        <v>8275</v>
      </c>
      <c r="C30514" s="1" t="s">
        <v>8276</v>
      </c>
      <c r="D30514" s="1" t="str">
        <f>HYPERLINK("https://rhld.insurance.arkansas.gov/NPILookup?Npi=1184843419","1184843419")</f>
        <v>1184843419</v>
      </c>
      <c r="E30514" s="1" t="s">
        <v>4280</v>
      </c>
      <c r="F30514" s="2"/>
      <c r="G30514" s="2"/>
      <c r="H30514" s="2"/>
    </row>
    <row r="30515" spans="1:8" x14ac:dyDescent="0.25">
      <c r="A30515" s="1"/>
      <c r="B30515" s="1" t="s">
        <v>8275</v>
      </c>
      <c r="C30515" s="1" t="s">
        <v>8276</v>
      </c>
      <c r="D30515" s="1" t="str">
        <f>HYPERLINK("https://rhld.insurance.arkansas.gov/NPILookup?Npi=1184867012","1184867012")</f>
        <v>1184867012</v>
      </c>
      <c r="E30515" s="1" t="s">
        <v>29615</v>
      </c>
      <c r="F30515" s="2"/>
      <c r="G30515" s="2"/>
      <c r="H30515" s="2"/>
    </row>
    <row r="30516" spans="1:8" x14ac:dyDescent="0.25">
      <c r="A30516" s="1"/>
      <c r="B30516" s="1" t="s">
        <v>8275</v>
      </c>
      <c r="C30516" s="1" t="s">
        <v>8276</v>
      </c>
      <c r="D30516" s="1" t="str">
        <f>HYPERLINK("https://rhld.insurance.arkansas.gov/NPILookup?Npi=1184868945","1184868945")</f>
        <v>1184868945</v>
      </c>
      <c r="E30516" s="1" t="s">
        <v>13889</v>
      </c>
      <c r="F30516" s="2"/>
      <c r="G30516" s="2"/>
      <c r="H30516" s="2"/>
    </row>
    <row r="30517" spans="1:8" x14ac:dyDescent="0.25">
      <c r="A30517" s="1"/>
      <c r="B30517" s="1" t="s">
        <v>8275</v>
      </c>
      <c r="C30517" s="1" t="s">
        <v>8276</v>
      </c>
      <c r="D30517" s="1" t="str">
        <f>HYPERLINK("https://rhld.insurance.arkansas.gov/NPILookup?Npi=1184903023","1184903023")</f>
        <v>1184903023</v>
      </c>
      <c r="E30517" s="1" t="s">
        <v>1211</v>
      </c>
      <c r="F30517" s="2"/>
      <c r="G30517" s="2"/>
      <c r="H30517" s="2"/>
    </row>
    <row r="30518" spans="1:8" x14ac:dyDescent="0.25">
      <c r="A30518" s="1"/>
      <c r="B30518" s="1" t="s">
        <v>8275</v>
      </c>
      <c r="C30518" s="1" t="s">
        <v>8276</v>
      </c>
      <c r="D30518" s="1" t="str">
        <f>HYPERLINK("https://rhld.insurance.arkansas.gov/NPILookup?Npi=1184939308","1184939308")</f>
        <v>1184939308</v>
      </c>
      <c r="E30518" s="1" t="s">
        <v>29616</v>
      </c>
      <c r="F30518" s="2"/>
      <c r="G30518" s="2"/>
      <c r="H30518" s="2"/>
    </row>
    <row r="30519" spans="1:8" x14ac:dyDescent="0.25">
      <c r="A30519" s="1"/>
      <c r="B30519" s="1" t="s">
        <v>8275</v>
      </c>
      <c r="C30519" s="1" t="s">
        <v>8276</v>
      </c>
      <c r="D30519" s="1" t="str">
        <f>HYPERLINK("https://rhld.insurance.arkansas.gov/NPILookup?Npi=1194043661","1194043661")</f>
        <v>1194043661</v>
      </c>
      <c r="E30519" s="1" t="s">
        <v>29617</v>
      </c>
      <c r="F30519" s="2"/>
      <c r="G30519" s="2"/>
      <c r="H30519" s="2"/>
    </row>
    <row r="30520" spans="1:8" x14ac:dyDescent="0.25">
      <c r="A30520" s="1"/>
      <c r="B30520" s="1" t="s">
        <v>8275</v>
      </c>
      <c r="C30520" s="1" t="s">
        <v>8276</v>
      </c>
      <c r="D30520" s="1" t="str">
        <f>HYPERLINK("https://rhld.insurance.arkansas.gov/NPILookup?Npi=1194072553","1194072553")</f>
        <v>1194072553</v>
      </c>
      <c r="E30520" s="1" t="s">
        <v>32445</v>
      </c>
      <c r="F30520" s="2"/>
      <c r="G30520" s="2"/>
      <c r="H30520" s="2"/>
    </row>
    <row r="30521" spans="1:8" x14ac:dyDescent="0.25">
      <c r="A30521" s="1"/>
      <c r="B30521" s="1" t="s">
        <v>8275</v>
      </c>
      <c r="C30521" s="1" t="s">
        <v>8276</v>
      </c>
      <c r="D30521" s="1" t="str">
        <f>HYPERLINK("https://rhld.insurance.arkansas.gov/NPILookup?Npi=1194088054","1194088054")</f>
        <v>1194088054</v>
      </c>
      <c r="E30521" s="1" t="s">
        <v>2678</v>
      </c>
      <c r="F30521" s="2"/>
      <c r="G30521" s="2"/>
      <c r="H30521" s="2"/>
    </row>
    <row r="30522" spans="1:8" x14ac:dyDescent="0.25">
      <c r="A30522" s="1"/>
      <c r="B30522" s="1" t="s">
        <v>8275</v>
      </c>
      <c r="C30522" s="1" t="s">
        <v>8276</v>
      </c>
      <c r="D30522" s="1" t="str">
        <f>HYPERLINK("https://rhld.insurance.arkansas.gov/NPILookup?Npi=1194115691","1194115691")</f>
        <v>1194115691</v>
      </c>
      <c r="E30522" s="1" t="s">
        <v>25958</v>
      </c>
      <c r="F30522" s="2"/>
      <c r="G30522" s="2"/>
      <c r="H30522" s="2"/>
    </row>
    <row r="30523" spans="1:8" x14ac:dyDescent="0.25">
      <c r="A30523" s="1"/>
      <c r="B30523" s="1" t="s">
        <v>8275</v>
      </c>
      <c r="C30523" s="1" t="s">
        <v>8276</v>
      </c>
      <c r="D30523" s="1" t="str">
        <f>HYPERLINK("https://rhld.insurance.arkansas.gov/NPILookup?Npi=1194121624","1194121624")</f>
        <v>1194121624</v>
      </c>
      <c r="E30523" s="1" t="s">
        <v>2679</v>
      </c>
      <c r="F30523" s="2"/>
      <c r="G30523" s="2"/>
      <c r="H30523" s="2"/>
    </row>
    <row r="30524" spans="1:8" x14ac:dyDescent="0.25">
      <c r="A30524" s="1"/>
      <c r="B30524" s="1" t="s">
        <v>8275</v>
      </c>
      <c r="C30524" s="1" t="s">
        <v>8276</v>
      </c>
      <c r="D30524" s="1" t="str">
        <f>HYPERLINK("https://rhld.insurance.arkansas.gov/NPILookup?Npi=1194145599","1194145599")</f>
        <v>1194145599</v>
      </c>
      <c r="E30524" s="1" t="s">
        <v>17293</v>
      </c>
      <c r="F30524" s="2"/>
      <c r="G30524" s="2"/>
      <c r="H30524" s="2"/>
    </row>
    <row r="30525" spans="1:8" x14ac:dyDescent="0.25">
      <c r="A30525" s="1"/>
      <c r="B30525" s="1" t="s">
        <v>8275</v>
      </c>
      <c r="C30525" s="1" t="s">
        <v>8276</v>
      </c>
      <c r="D30525" s="1" t="str">
        <f>HYPERLINK("https://rhld.insurance.arkansas.gov/NPILookup?Npi=1194160879","1194160879")</f>
        <v>1194160879</v>
      </c>
      <c r="E30525" s="1" t="s">
        <v>29618</v>
      </c>
      <c r="F30525" s="2"/>
      <c r="G30525" s="2"/>
      <c r="H30525" s="2"/>
    </row>
    <row r="30526" spans="1:8" x14ac:dyDescent="0.25">
      <c r="A30526" s="1"/>
      <c r="B30526" s="1" t="s">
        <v>8275</v>
      </c>
      <c r="C30526" s="1" t="s">
        <v>8276</v>
      </c>
      <c r="D30526" s="1" t="str">
        <f>HYPERLINK("https://rhld.insurance.arkansas.gov/NPILookup?Npi=1194161869","1194161869")</f>
        <v>1194161869</v>
      </c>
      <c r="E30526" s="1" t="s">
        <v>13890</v>
      </c>
      <c r="F30526" s="2"/>
      <c r="G30526" s="2"/>
      <c r="H30526" s="2"/>
    </row>
    <row r="30527" spans="1:8" x14ac:dyDescent="0.25">
      <c r="A30527" s="1"/>
      <c r="B30527" s="1" t="s">
        <v>8275</v>
      </c>
      <c r="C30527" s="1" t="s">
        <v>8276</v>
      </c>
      <c r="D30527" s="1" t="str">
        <f>HYPERLINK("https://rhld.insurance.arkansas.gov/NPILookup?Npi=1194257378","1194257378")</f>
        <v>1194257378</v>
      </c>
      <c r="E30527" s="1" t="s">
        <v>1292</v>
      </c>
      <c r="F30527" s="2"/>
      <c r="G30527" s="2"/>
      <c r="H30527" s="2"/>
    </row>
    <row r="30528" spans="1:8" x14ac:dyDescent="0.25">
      <c r="A30528" s="1"/>
      <c r="B30528" s="1" t="s">
        <v>8275</v>
      </c>
      <c r="C30528" s="1" t="s">
        <v>8276</v>
      </c>
      <c r="D30528" s="1" t="str">
        <f>HYPERLINK("https://rhld.insurance.arkansas.gov/NPILookup?Npi=1194301242","1194301242")</f>
        <v>1194301242</v>
      </c>
      <c r="E30528" s="1" t="s">
        <v>7525</v>
      </c>
      <c r="F30528" s="2"/>
      <c r="G30528" s="2"/>
      <c r="H30528" s="2"/>
    </row>
    <row r="30529" spans="1:8" x14ac:dyDescent="0.25">
      <c r="A30529" s="1"/>
      <c r="B30529" s="1" t="s">
        <v>8275</v>
      </c>
      <c r="C30529" s="1" t="s">
        <v>8276</v>
      </c>
      <c r="D30529" s="1" t="str">
        <f>HYPERLINK("https://rhld.insurance.arkansas.gov/NPILookup?Npi=1194311498","1194311498")</f>
        <v>1194311498</v>
      </c>
      <c r="E30529" s="1" t="s">
        <v>25971</v>
      </c>
      <c r="F30529" s="2"/>
      <c r="G30529" s="2"/>
      <c r="H30529" s="2"/>
    </row>
    <row r="30530" spans="1:8" x14ac:dyDescent="0.25">
      <c r="A30530" s="1"/>
      <c r="B30530" s="1" t="s">
        <v>8275</v>
      </c>
      <c r="C30530" s="1" t="s">
        <v>8276</v>
      </c>
      <c r="D30530" s="1" t="str">
        <f>HYPERLINK("https://rhld.insurance.arkansas.gov/NPILookup?Npi=1194344838","1194344838")</f>
        <v>1194344838</v>
      </c>
      <c r="E30530" s="1" t="s">
        <v>7989</v>
      </c>
      <c r="F30530" s="2"/>
      <c r="G30530" s="2"/>
      <c r="H30530" s="2"/>
    </row>
    <row r="30531" spans="1:8" x14ac:dyDescent="0.25">
      <c r="A30531" s="1"/>
      <c r="B30531" s="1" t="s">
        <v>8275</v>
      </c>
      <c r="C30531" s="1" t="s">
        <v>8276</v>
      </c>
      <c r="D30531" s="1" t="str">
        <f>HYPERLINK("https://rhld.insurance.arkansas.gov/NPILookup?Npi=1194356535","1194356535")</f>
        <v>1194356535</v>
      </c>
      <c r="E30531" s="1" t="s">
        <v>12830</v>
      </c>
      <c r="F30531" s="2"/>
      <c r="G30531" s="2"/>
      <c r="H30531" s="2"/>
    </row>
    <row r="30532" spans="1:8" x14ac:dyDescent="0.25">
      <c r="A30532" s="1"/>
      <c r="B30532" s="1" t="s">
        <v>8275</v>
      </c>
      <c r="C30532" s="1" t="s">
        <v>8276</v>
      </c>
      <c r="D30532" s="1" t="str">
        <f>HYPERLINK("https://rhld.insurance.arkansas.gov/NPILookup?Npi=1194367136","1194367136")</f>
        <v>1194367136</v>
      </c>
      <c r="E30532" s="1" t="s">
        <v>32146</v>
      </c>
      <c r="F30532" s="2"/>
      <c r="G30532" s="2"/>
      <c r="H30532" s="2"/>
    </row>
    <row r="30533" spans="1:8" x14ac:dyDescent="0.25">
      <c r="A30533" s="1"/>
      <c r="B30533" s="1" t="s">
        <v>8275</v>
      </c>
      <c r="C30533" s="1" t="s">
        <v>8276</v>
      </c>
      <c r="D30533" s="1" t="str">
        <f>HYPERLINK("https://rhld.insurance.arkansas.gov/NPILookup?Npi=1194385989","1194385989")</f>
        <v>1194385989</v>
      </c>
      <c r="E30533" s="1" t="s">
        <v>25977</v>
      </c>
      <c r="F30533" s="2"/>
      <c r="G30533" s="2"/>
      <c r="H30533" s="2"/>
    </row>
    <row r="30534" spans="1:8" x14ac:dyDescent="0.25">
      <c r="A30534" s="1"/>
      <c r="B30534" s="1" t="s">
        <v>8275</v>
      </c>
      <c r="C30534" s="1" t="s">
        <v>8276</v>
      </c>
      <c r="D30534" s="1" t="str">
        <f>HYPERLINK("https://rhld.insurance.arkansas.gov/NPILookup?Npi=1194407379","1194407379")</f>
        <v>1194407379</v>
      </c>
      <c r="E30534" s="1" t="s">
        <v>7527</v>
      </c>
      <c r="F30534" s="2"/>
      <c r="G30534" s="2"/>
      <c r="H30534" s="2"/>
    </row>
    <row r="30535" spans="1:8" x14ac:dyDescent="0.25">
      <c r="A30535" s="1"/>
      <c r="B30535" s="1" t="s">
        <v>8275</v>
      </c>
      <c r="C30535" s="1" t="s">
        <v>8276</v>
      </c>
      <c r="D30535" s="1" t="str">
        <f>HYPERLINK("https://rhld.insurance.arkansas.gov/NPILookup?Npi=1194442731","1194442731")</f>
        <v>1194442731</v>
      </c>
      <c r="E30535" s="1" t="s">
        <v>32147</v>
      </c>
      <c r="F30535" s="2"/>
      <c r="G30535" s="2"/>
      <c r="H30535" s="2"/>
    </row>
    <row r="30536" spans="1:8" x14ac:dyDescent="0.25">
      <c r="A30536" s="1"/>
      <c r="B30536" s="1" t="s">
        <v>8275</v>
      </c>
      <c r="C30536" s="1" t="s">
        <v>8276</v>
      </c>
      <c r="D30536" s="1" t="str">
        <f>HYPERLINK("https://rhld.insurance.arkansas.gov/NPILookup?Npi=1194560771","1194560771")</f>
        <v>1194560771</v>
      </c>
      <c r="E30536" s="1" t="s">
        <v>32148</v>
      </c>
      <c r="F30536" s="2"/>
      <c r="G30536" s="2"/>
      <c r="H30536" s="2"/>
    </row>
    <row r="30537" spans="1:8" x14ac:dyDescent="0.25">
      <c r="A30537" s="1"/>
      <c r="B30537" s="1" t="s">
        <v>8275</v>
      </c>
      <c r="C30537" s="1" t="s">
        <v>8276</v>
      </c>
      <c r="D30537" s="1" t="str">
        <f>HYPERLINK("https://rhld.insurance.arkansas.gov/NPILookup?Npi=1194767657","1194767657")</f>
        <v>1194767657</v>
      </c>
      <c r="E30537" s="1" t="s">
        <v>25989</v>
      </c>
      <c r="F30537" s="2"/>
      <c r="G30537" s="2"/>
      <c r="H30537" s="2"/>
    </row>
    <row r="30538" spans="1:8" x14ac:dyDescent="0.25">
      <c r="A30538" s="1"/>
      <c r="B30538" s="1" t="s">
        <v>8275</v>
      </c>
      <c r="C30538" s="1" t="s">
        <v>8276</v>
      </c>
      <c r="D30538" s="1" t="str">
        <f>HYPERLINK("https://rhld.insurance.arkansas.gov/NPILookup?Npi=1194773861","1194773861")</f>
        <v>1194773861</v>
      </c>
      <c r="E30538" s="1" t="s">
        <v>13891</v>
      </c>
      <c r="F30538" s="2"/>
      <c r="G30538" s="2"/>
      <c r="H30538" s="2"/>
    </row>
    <row r="30539" spans="1:8" x14ac:dyDescent="0.25">
      <c r="A30539" s="1"/>
      <c r="B30539" s="1" t="s">
        <v>8275</v>
      </c>
      <c r="C30539" s="1" t="s">
        <v>8276</v>
      </c>
      <c r="D30539" s="1" t="str">
        <f>HYPERLINK("https://rhld.insurance.arkansas.gov/NPILookup?Npi=1194789685","1194789685")</f>
        <v>1194789685</v>
      </c>
      <c r="E30539" s="1" t="s">
        <v>10246</v>
      </c>
      <c r="F30539" s="2"/>
      <c r="G30539" s="2"/>
      <c r="H30539" s="2"/>
    </row>
    <row r="30540" spans="1:8" x14ac:dyDescent="0.25">
      <c r="A30540" s="1"/>
      <c r="B30540" s="1" t="s">
        <v>8275</v>
      </c>
      <c r="C30540" s="1" t="s">
        <v>8276</v>
      </c>
      <c r="D30540" s="1" t="str">
        <f>HYPERLINK("https://rhld.insurance.arkansas.gov/NPILookup?Npi=1194933143","1194933143")</f>
        <v>1194933143</v>
      </c>
      <c r="E30540" s="1" t="s">
        <v>29619</v>
      </c>
      <c r="F30540" s="2"/>
      <c r="G30540" s="2"/>
      <c r="H30540" s="2"/>
    </row>
    <row r="30541" spans="1:8" x14ac:dyDescent="0.25">
      <c r="A30541" s="1"/>
      <c r="B30541" s="1" t="s">
        <v>8275</v>
      </c>
      <c r="C30541" s="1" t="s">
        <v>8276</v>
      </c>
      <c r="D30541" s="1" t="str">
        <f>HYPERLINK("https://rhld.insurance.arkansas.gov/NPILookup?Npi=1194944421","1194944421")</f>
        <v>1194944421</v>
      </c>
      <c r="E30541" s="1" t="s">
        <v>17300</v>
      </c>
      <c r="F30541" s="2"/>
      <c r="G30541" s="2"/>
      <c r="H30541" s="2"/>
    </row>
    <row r="30542" spans="1:8" x14ac:dyDescent="0.25">
      <c r="A30542" s="1"/>
      <c r="B30542" s="1" t="s">
        <v>8275</v>
      </c>
      <c r="C30542" s="1" t="s">
        <v>8276</v>
      </c>
      <c r="D30542" s="1" t="str">
        <f>HYPERLINK("https://rhld.insurance.arkansas.gov/NPILookup?Npi=1205096351","1205096351")</f>
        <v>1205096351</v>
      </c>
      <c r="E30542" s="1" t="s">
        <v>25998</v>
      </c>
      <c r="F30542" s="2"/>
      <c r="G30542" s="2"/>
      <c r="H30542" s="2"/>
    </row>
    <row r="30543" spans="1:8" x14ac:dyDescent="0.25">
      <c r="A30543" s="1"/>
      <c r="B30543" s="1" t="s">
        <v>8275</v>
      </c>
      <c r="C30543" s="1" t="s">
        <v>8276</v>
      </c>
      <c r="D30543" s="1" t="str">
        <f>HYPERLINK("https://rhld.insurance.arkansas.gov/NPILookup?Npi=1205118858","1205118858")</f>
        <v>1205118858</v>
      </c>
      <c r="E30543" s="1" t="s">
        <v>32149</v>
      </c>
      <c r="F30543" s="2"/>
      <c r="G30543" s="2"/>
      <c r="H30543" s="2"/>
    </row>
    <row r="30544" spans="1:8" x14ac:dyDescent="0.25">
      <c r="A30544" s="1"/>
      <c r="B30544" s="1" t="s">
        <v>8275</v>
      </c>
      <c r="C30544" s="1" t="s">
        <v>8276</v>
      </c>
      <c r="D30544" s="1" t="str">
        <f>HYPERLINK("https://rhld.insurance.arkansas.gov/NPILookup?Npi=1205152980","1205152980")</f>
        <v>1205152980</v>
      </c>
      <c r="E30544" s="1" t="s">
        <v>13892</v>
      </c>
      <c r="F30544" s="2"/>
      <c r="G30544" s="2"/>
      <c r="H30544" s="2"/>
    </row>
    <row r="30545" spans="1:8" x14ac:dyDescent="0.25">
      <c r="A30545" s="1"/>
      <c r="B30545" s="1" t="s">
        <v>8275</v>
      </c>
      <c r="C30545" s="1" t="s">
        <v>8276</v>
      </c>
      <c r="D30545" s="1" t="str">
        <f>HYPERLINK("https://rhld.insurance.arkansas.gov/NPILookup?Npi=1205179934","1205179934")</f>
        <v>1205179934</v>
      </c>
      <c r="E30545" s="1" t="s">
        <v>8289</v>
      </c>
      <c r="F30545" s="2"/>
      <c r="G30545" s="2"/>
      <c r="H30545" s="2"/>
    </row>
    <row r="30546" spans="1:8" x14ac:dyDescent="0.25">
      <c r="A30546" s="1"/>
      <c r="B30546" s="1" t="s">
        <v>8275</v>
      </c>
      <c r="C30546" s="1" t="s">
        <v>8276</v>
      </c>
      <c r="D30546" s="1" t="str">
        <f>HYPERLINK("https://rhld.insurance.arkansas.gov/NPILookup?Npi=1205194107","1205194107")</f>
        <v>1205194107</v>
      </c>
      <c r="E30546" s="1" t="s">
        <v>29620</v>
      </c>
      <c r="F30546" s="2"/>
      <c r="G30546" s="2"/>
      <c r="H30546" s="2"/>
    </row>
    <row r="30547" spans="1:8" x14ac:dyDescent="0.25">
      <c r="A30547" s="1"/>
      <c r="B30547" s="1" t="s">
        <v>8275</v>
      </c>
      <c r="C30547" s="1" t="s">
        <v>8276</v>
      </c>
      <c r="D30547" s="1" t="str">
        <f>HYPERLINK("https://rhld.insurance.arkansas.gov/NPILookup?Npi=1205305307","1205305307")</f>
        <v>1205305307</v>
      </c>
      <c r="E30547" s="1" t="s">
        <v>32150</v>
      </c>
      <c r="F30547" s="2"/>
      <c r="G30547" s="2"/>
      <c r="H30547" s="2"/>
    </row>
    <row r="30548" spans="1:8" x14ac:dyDescent="0.25">
      <c r="A30548" s="1"/>
      <c r="B30548" s="1" t="s">
        <v>8275</v>
      </c>
      <c r="C30548" s="1" t="s">
        <v>8276</v>
      </c>
      <c r="D30548" s="1" t="str">
        <f>HYPERLINK("https://rhld.insurance.arkansas.gov/NPILookup?Npi=1205315900","1205315900")</f>
        <v>1205315900</v>
      </c>
      <c r="E30548" s="1" t="s">
        <v>26005</v>
      </c>
      <c r="F30548" s="2"/>
      <c r="G30548" s="2"/>
      <c r="H30548" s="2"/>
    </row>
    <row r="30549" spans="1:8" x14ac:dyDescent="0.25">
      <c r="A30549" s="1"/>
      <c r="B30549" s="1" t="s">
        <v>8275</v>
      </c>
      <c r="C30549" s="1" t="s">
        <v>8276</v>
      </c>
      <c r="D30549" s="1" t="str">
        <f>HYPERLINK("https://rhld.insurance.arkansas.gov/NPILookup?Npi=1205332061","1205332061")</f>
        <v>1205332061</v>
      </c>
      <c r="E30549" s="1" t="s">
        <v>29621</v>
      </c>
      <c r="F30549" s="2"/>
      <c r="G30549" s="2"/>
      <c r="H30549" s="2"/>
    </row>
    <row r="30550" spans="1:8" x14ac:dyDescent="0.25">
      <c r="A30550" s="1"/>
      <c r="B30550" s="1" t="s">
        <v>8275</v>
      </c>
      <c r="C30550" s="1" t="s">
        <v>8276</v>
      </c>
      <c r="D30550" s="1" t="str">
        <f>HYPERLINK("https://rhld.insurance.arkansas.gov/NPILookup?Npi=1205408176","1205408176")</f>
        <v>1205408176</v>
      </c>
      <c r="E30550" s="1" t="s">
        <v>32446</v>
      </c>
      <c r="F30550" s="2"/>
      <c r="G30550" s="2"/>
      <c r="H30550" s="2"/>
    </row>
    <row r="30551" spans="1:8" x14ac:dyDescent="0.25">
      <c r="A30551" s="1"/>
      <c r="B30551" s="1" t="s">
        <v>8275</v>
      </c>
      <c r="C30551" s="1" t="s">
        <v>8276</v>
      </c>
      <c r="D30551" s="1" t="str">
        <f>HYPERLINK("https://rhld.insurance.arkansas.gov/NPILookup?Npi=1205415791","1205415791")</f>
        <v>1205415791</v>
      </c>
      <c r="E30551" s="1" t="s">
        <v>26017</v>
      </c>
      <c r="F30551" s="2"/>
      <c r="G30551" s="2"/>
      <c r="H30551" s="2"/>
    </row>
    <row r="30552" spans="1:8" x14ac:dyDescent="0.25">
      <c r="A30552" s="1"/>
      <c r="B30552" s="1" t="s">
        <v>8275</v>
      </c>
      <c r="C30552" s="1" t="s">
        <v>8276</v>
      </c>
      <c r="D30552" s="1" t="str">
        <f>HYPERLINK("https://rhld.insurance.arkansas.gov/NPILookup?Npi=1205428604","1205428604")</f>
        <v>1205428604</v>
      </c>
      <c r="E30552" s="1" t="s">
        <v>12837</v>
      </c>
      <c r="F30552" s="2"/>
      <c r="G30552" s="2"/>
      <c r="H30552" s="2"/>
    </row>
    <row r="30553" spans="1:8" x14ac:dyDescent="0.25">
      <c r="A30553" s="1"/>
      <c r="B30553" s="1" t="s">
        <v>8275</v>
      </c>
      <c r="C30553" s="1" t="s">
        <v>8276</v>
      </c>
      <c r="D30553" s="1" t="str">
        <f>HYPERLINK("https://rhld.insurance.arkansas.gov/NPILookup?Npi=1205464286","1205464286")</f>
        <v>1205464286</v>
      </c>
      <c r="E30553" s="1" t="s">
        <v>13893</v>
      </c>
      <c r="F30553" s="2"/>
      <c r="G30553" s="2"/>
      <c r="H30553" s="2"/>
    </row>
    <row r="30554" spans="1:8" x14ac:dyDescent="0.25">
      <c r="A30554" s="1"/>
      <c r="B30554" s="1" t="s">
        <v>8275</v>
      </c>
      <c r="C30554" s="1" t="s">
        <v>8276</v>
      </c>
      <c r="D30554" s="1" t="str">
        <f>HYPERLINK("https://rhld.insurance.arkansas.gov/NPILookup?Npi=1205646296","1205646296")</f>
        <v>1205646296</v>
      </c>
      <c r="E30554" s="1" t="s">
        <v>32151</v>
      </c>
      <c r="F30554" s="2"/>
      <c r="G30554" s="2"/>
      <c r="H30554" s="2"/>
    </row>
    <row r="30555" spans="1:8" x14ac:dyDescent="0.25">
      <c r="A30555" s="1"/>
      <c r="B30555" s="1" t="s">
        <v>8275</v>
      </c>
      <c r="C30555" s="1" t="s">
        <v>8276</v>
      </c>
      <c r="D30555" s="1" t="str">
        <f>HYPERLINK("https://rhld.insurance.arkansas.gov/NPILookup?Npi=1205814654","1205814654")</f>
        <v>1205814654</v>
      </c>
      <c r="E30555" s="1" t="s">
        <v>26030</v>
      </c>
      <c r="F30555" s="2"/>
      <c r="G30555" s="2"/>
      <c r="H30555" s="2"/>
    </row>
    <row r="30556" spans="1:8" x14ac:dyDescent="0.25">
      <c r="A30556" s="1"/>
      <c r="B30556" s="1" t="s">
        <v>8275</v>
      </c>
      <c r="C30556" s="1" t="s">
        <v>8276</v>
      </c>
      <c r="D30556" s="1" t="str">
        <f>HYPERLINK("https://rhld.insurance.arkansas.gov/NPILookup?Npi=1205829710","1205829710")</f>
        <v>1205829710</v>
      </c>
      <c r="E30556" s="1" t="s">
        <v>2695</v>
      </c>
      <c r="F30556" s="2"/>
      <c r="G30556" s="2"/>
      <c r="H30556" s="2"/>
    </row>
    <row r="30557" spans="1:8" x14ac:dyDescent="0.25">
      <c r="A30557" s="1"/>
      <c r="B30557" s="1" t="s">
        <v>8275</v>
      </c>
      <c r="C30557" s="1" t="s">
        <v>8276</v>
      </c>
      <c r="D30557" s="1" t="str">
        <f>HYPERLINK("https://rhld.insurance.arkansas.gov/NPILookup?Npi=1205832920","1205832920")</f>
        <v>1205832920</v>
      </c>
      <c r="E30557" s="1" t="s">
        <v>26032</v>
      </c>
      <c r="F30557" s="2"/>
      <c r="G30557" s="2"/>
      <c r="H30557" s="2"/>
    </row>
    <row r="30558" spans="1:8" x14ac:dyDescent="0.25">
      <c r="A30558" s="1"/>
      <c r="B30558" s="1" t="s">
        <v>8275</v>
      </c>
      <c r="C30558" s="1" t="s">
        <v>8276</v>
      </c>
      <c r="D30558" s="1" t="str">
        <f>HYPERLINK("https://rhld.insurance.arkansas.gov/NPILookup?Npi=1205875846","1205875846")</f>
        <v>1205875846</v>
      </c>
      <c r="E30558" s="1" t="s">
        <v>26036</v>
      </c>
      <c r="F30558" s="2"/>
      <c r="G30558" s="2"/>
      <c r="H30558" s="2"/>
    </row>
    <row r="30559" spans="1:8" x14ac:dyDescent="0.25">
      <c r="A30559" s="1"/>
      <c r="B30559" s="1" t="s">
        <v>8275</v>
      </c>
      <c r="C30559" s="1" t="s">
        <v>8276</v>
      </c>
      <c r="D30559" s="1" t="str">
        <f>HYPERLINK("https://rhld.insurance.arkansas.gov/NPILookup?Npi=1205878105","1205878105")</f>
        <v>1205878105</v>
      </c>
      <c r="E30559" s="1" t="s">
        <v>26037</v>
      </c>
      <c r="F30559" s="2"/>
      <c r="G30559" s="2"/>
      <c r="H30559" s="2"/>
    </row>
    <row r="30560" spans="1:8" x14ac:dyDescent="0.25">
      <c r="A30560" s="1"/>
      <c r="B30560" s="1" t="s">
        <v>8275</v>
      </c>
      <c r="C30560" s="1" t="s">
        <v>8276</v>
      </c>
      <c r="D30560" s="1" t="str">
        <f>HYPERLINK("https://rhld.insurance.arkansas.gov/NPILookup?Npi=1205891751","1205891751")</f>
        <v>1205891751</v>
      </c>
      <c r="E30560" s="1" t="s">
        <v>13894</v>
      </c>
      <c r="F30560" s="2"/>
      <c r="G30560" s="2"/>
      <c r="H30560" s="2"/>
    </row>
    <row r="30561" spans="1:8" x14ac:dyDescent="0.25">
      <c r="A30561" s="1"/>
      <c r="B30561" s="1" t="s">
        <v>8275</v>
      </c>
      <c r="C30561" s="1" t="s">
        <v>8276</v>
      </c>
      <c r="D30561" s="1" t="str">
        <f>HYPERLINK("https://rhld.insurance.arkansas.gov/NPILookup?Npi=1205911849","1205911849")</f>
        <v>1205911849</v>
      </c>
      <c r="E30561" s="1" t="s">
        <v>12842</v>
      </c>
      <c r="F30561" s="2"/>
      <c r="G30561" s="2"/>
      <c r="H30561" s="2"/>
    </row>
    <row r="30562" spans="1:8" x14ac:dyDescent="0.25">
      <c r="A30562" s="1"/>
      <c r="B30562" s="1" t="s">
        <v>8275</v>
      </c>
      <c r="C30562" s="1" t="s">
        <v>8276</v>
      </c>
      <c r="D30562" s="1" t="str">
        <f>HYPERLINK("https://rhld.insurance.arkansas.gov/NPILookup?Npi=1205926862","1205926862")</f>
        <v>1205926862</v>
      </c>
      <c r="E30562" s="1" t="s">
        <v>3129</v>
      </c>
      <c r="F30562" s="2"/>
      <c r="G30562" s="2"/>
      <c r="H30562" s="2"/>
    </row>
    <row r="30563" spans="1:8" x14ac:dyDescent="0.25">
      <c r="A30563" s="1"/>
      <c r="B30563" s="1" t="s">
        <v>8275</v>
      </c>
      <c r="C30563" s="1" t="s">
        <v>8276</v>
      </c>
      <c r="D30563" s="1" t="str">
        <f>HYPERLINK("https://rhld.insurance.arkansas.gov/NPILookup?Npi=1205948247","1205948247")</f>
        <v>1205948247</v>
      </c>
      <c r="E30563" s="1" t="s">
        <v>17310</v>
      </c>
      <c r="F30563" s="2"/>
      <c r="G30563" s="2"/>
      <c r="H30563" s="2"/>
    </row>
    <row r="30564" spans="1:8" x14ac:dyDescent="0.25">
      <c r="A30564" s="1"/>
      <c r="B30564" s="1" t="s">
        <v>8275</v>
      </c>
      <c r="C30564" s="1" t="s">
        <v>8276</v>
      </c>
      <c r="D30564" s="1" t="str">
        <f>HYPERLINK("https://rhld.insurance.arkansas.gov/NPILookup?Npi=1215167150","1215167150")</f>
        <v>1215167150</v>
      </c>
      <c r="E30564" s="1" t="s">
        <v>1085</v>
      </c>
      <c r="F30564" s="2"/>
      <c r="G30564" s="2"/>
      <c r="H30564" s="2"/>
    </row>
    <row r="30565" spans="1:8" x14ac:dyDescent="0.25">
      <c r="A30565" s="1"/>
      <c r="B30565" s="1" t="s">
        <v>8275</v>
      </c>
      <c r="C30565" s="1" t="s">
        <v>8276</v>
      </c>
      <c r="D30565" s="1" t="str">
        <f>HYPERLINK("https://rhld.insurance.arkansas.gov/NPILookup?Npi=1215276977","1215276977")</f>
        <v>1215276977</v>
      </c>
      <c r="E30565" s="1" t="s">
        <v>32153</v>
      </c>
      <c r="F30565" s="2"/>
      <c r="G30565" s="2"/>
      <c r="H30565" s="2"/>
    </row>
    <row r="30566" spans="1:8" x14ac:dyDescent="0.25">
      <c r="A30566" s="1"/>
      <c r="B30566" s="1" t="s">
        <v>8275</v>
      </c>
      <c r="C30566" s="1" t="s">
        <v>8276</v>
      </c>
      <c r="D30566" s="1" t="str">
        <f>HYPERLINK("https://rhld.insurance.arkansas.gov/NPILookup?Npi=1215315320","1215315320")</f>
        <v>1215315320</v>
      </c>
      <c r="E30566" s="1" t="s">
        <v>29622</v>
      </c>
      <c r="F30566" s="2"/>
      <c r="G30566" s="2"/>
      <c r="H30566" s="2"/>
    </row>
    <row r="30567" spans="1:8" x14ac:dyDescent="0.25">
      <c r="A30567" s="1"/>
      <c r="B30567" s="1" t="s">
        <v>8275</v>
      </c>
      <c r="C30567" s="1" t="s">
        <v>8276</v>
      </c>
      <c r="D30567" s="1" t="str">
        <f>HYPERLINK("https://rhld.insurance.arkansas.gov/NPILookup?Npi=1215336474","1215336474")</f>
        <v>1215336474</v>
      </c>
      <c r="E30567" s="1" t="s">
        <v>1754</v>
      </c>
      <c r="F30567" s="2"/>
      <c r="G30567" s="2"/>
      <c r="H30567" s="2"/>
    </row>
    <row r="30568" spans="1:8" x14ac:dyDescent="0.25">
      <c r="A30568" s="1"/>
      <c r="B30568" s="1" t="s">
        <v>8275</v>
      </c>
      <c r="C30568" s="1" t="s">
        <v>8276</v>
      </c>
      <c r="D30568" s="1" t="str">
        <f>HYPERLINK("https://rhld.insurance.arkansas.gov/NPILookup?Npi=1215447560","1215447560")</f>
        <v>1215447560</v>
      </c>
      <c r="E30568" s="1" t="s">
        <v>7544</v>
      </c>
      <c r="F30568" s="2"/>
      <c r="G30568" s="2"/>
      <c r="H30568" s="2"/>
    </row>
    <row r="30569" spans="1:8" x14ac:dyDescent="0.25">
      <c r="A30569" s="1"/>
      <c r="B30569" s="1" t="s">
        <v>8275</v>
      </c>
      <c r="C30569" s="1" t="s">
        <v>8276</v>
      </c>
      <c r="D30569" s="1" t="str">
        <f>HYPERLINK("https://rhld.insurance.arkansas.gov/NPILookup?Npi=1215498316","1215498316")</f>
        <v>1215498316</v>
      </c>
      <c r="E30569" s="1" t="s">
        <v>26068</v>
      </c>
      <c r="F30569" s="2"/>
      <c r="G30569" s="2"/>
      <c r="H30569" s="2"/>
    </row>
    <row r="30570" spans="1:8" x14ac:dyDescent="0.25">
      <c r="A30570" s="1"/>
      <c r="B30570" s="1" t="s">
        <v>8275</v>
      </c>
      <c r="C30570" s="1" t="s">
        <v>8276</v>
      </c>
      <c r="D30570" s="1" t="str">
        <f>HYPERLINK("https://rhld.insurance.arkansas.gov/NPILookup?Npi=1215505615","1215505615")</f>
        <v>1215505615</v>
      </c>
      <c r="E30570" s="1" t="s">
        <v>12854</v>
      </c>
      <c r="F30570" s="2"/>
      <c r="G30570" s="2"/>
      <c r="H30570" s="2"/>
    </row>
    <row r="30571" spans="1:8" x14ac:dyDescent="0.25">
      <c r="A30571" s="1"/>
      <c r="B30571" s="1" t="s">
        <v>8275</v>
      </c>
      <c r="C30571" s="1" t="s">
        <v>8276</v>
      </c>
      <c r="D30571" s="1" t="str">
        <f>HYPERLINK("https://rhld.insurance.arkansas.gov/NPILookup?Npi=1215507363","1215507363")</f>
        <v>1215507363</v>
      </c>
      <c r="E30571" s="1" t="s">
        <v>32154</v>
      </c>
      <c r="F30571" s="2"/>
      <c r="G30571" s="2"/>
      <c r="H30571" s="2"/>
    </row>
    <row r="30572" spans="1:8" x14ac:dyDescent="0.25">
      <c r="A30572" s="1"/>
      <c r="B30572" s="1" t="s">
        <v>8275</v>
      </c>
      <c r="C30572" s="1" t="s">
        <v>8276</v>
      </c>
      <c r="D30572" s="1" t="str">
        <f>HYPERLINK("https://rhld.insurance.arkansas.gov/NPILookup?Npi=1215590534","1215590534")</f>
        <v>1215590534</v>
      </c>
      <c r="E30572" s="1" t="s">
        <v>32447</v>
      </c>
      <c r="F30572" s="2"/>
      <c r="G30572" s="2"/>
      <c r="H30572" s="2"/>
    </row>
    <row r="30573" spans="1:8" x14ac:dyDescent="0.25">
      <c r="A30573" s="1"/>
      <c r="B30573" s="1" t="s">
        <v>8275</v>
      </c>
      <c r="C30573" s="1" t="s">
        <v>8276</v>
      </c>
      <c r="D30573" s="1" t="str">
        <f>HYPERLINK("https://rhld.insurance.arkansas.gov/NPILookup?Npi=1215665708","1215665708")</f>
        <v>1215665708</v>
      </c>
      <c r="E30573" s="1" t="s">
        <v>26079</v>
      </c>
      <c r="F30573" s="2"/>
      <c r="G30573" s="2"/>
      <c r="H30573" s="2"/>
    </row>
    <row r="30574" spans="1:8" x14ac:dyDescent="0.25">
      <c r="A30574" s="1"/>
      <c r="B30574" s="1" t="s">
        <v>8275</v>
      </c>
      <c r="C30574" s="1" t="s">
        <v>8276</v>
      </c>
      <c r="D30574" s="1" t="str">
        <f>HYPERLINK("https://rhld.insurance.arkansas.gov/NPILookup?Npi=1215754627","1215754627")</f>
        <v>1215754627</v>
      </c>
      <c r="E30574" s="1" t="s">
        <v>26082</v>
      </c>
      <c r="F30574" s="2"/>
      <c r="G30574" s="2"/>
      <c r="H30574" s="2"/>
    </row>
    <row r="30575" spans="1:8" x14ac:dyDescent="0.25">
      <c r="A30575" s="1"/>
      <c r="B30575" s="1" t="s">
        <v>8275</v>
      </c>
      <c r="C30575" s="1" t="s">
        <v>8276</v>
      </c>
      <c r="D30575" s="1" t="str">
        <f>HYPERLINK("https://rhld.insurance.arkansas.gov/NPILookup?Npi=1215915608","1215915608")</f>
        <v>1215915608</v>
      </c>
      <c r="E30575" s="1" t="s">
        <v>29623</v>
      </c>
      <c r="F30575" s="2"/>
      <c r="G30575" s="2"/>
      <c r="H30575" s="2"/>
    </row>
    <row r="30576" spans="1:8" x14ac:dyDescent="0.25">
      <c r="A30576" s="1"/>
      <c r="B30576" s="1" t="s">
        <v>8275</v>
      </c>
      <c r="C30576" s="1" t="s">
        <v>8276</v>
      </c>
      <c r="D30576" s="1" t="str">
        <f>HYPERLINK("https://rhld.insurance.arkansas.gov/NPILookup?Npi=1215921226","1215921226")</f>
        <v>1215921226</v>
      </c>
      <c r="E30576" s="1" t="s">
        <v>29624</v>
      </c>
      <c r="F30576" s="2"/>
      <c r="G30576" s="2"/>
      <c r="H30576" s="2"/>
    </row>
    <row r="30577" spans="1:8" x14ac:dyDescent="0.25">
      <c r="A30577" s="1"/>
      <c r="B30577" s="1" t="s">
        <v>8275</v>
      </c>
      <c r="C30577" s="1" t="s">
        <v>8276</v>
      </c>
      <c r="D30577" s="1" t="str">
        <f>HYPERLINK("https://rhld.insurance.arkansas.gov/NPILookup?Npi=1215944772","1215944772")</f>
        <v>1215944772</v>
      </c>
      <c r="E30577" s="1" t="s">
        <v>13895</v>
      </c>
      <c r="F30577" s="2"/>
      <c r="G30577" s="2"/>
      <c r="H30577" s="2"/>
    </row>
    <row r="30578" spans="1:8" x14ac:dyDescent="0.25">
      <c r="A30578" s="1"/>
      <c r="B30578" s="1" t="s">
        <v>8275</v>
      </c>
      <c r="C30578" s="1" t="s">
        <v>8276</v>
      </c>
      <c r="D30578" s="1" t="str">
        <f>HYPERLINK("https://rhld.insurance.arkansas.gov/NPILookup?Npi=1215956073","1215956073")</f>
        <v>1215956073</v>
      </c>
      <c r="E30578" s="1" t="s">
        <v>29625</v>
      </c>
      <c r="F30578" s="2"/>
      <c r="G30578" s="2"/>
      <c r="H30578" s="2"/>
    </row>
    <row r="30579" spans="1:8" x14ac:dyDescent="0.25">
      <c r="A30579" s="1"/>
      <c r="B30579" s="1" t="s">
        <v>8275</v>
      </c>
      <c r="C30579" s="1" t="s">
        <v>8276</v>
      </c>
      <c r="D30579" s="1" t="str">
        <f>HYPERLINK("https://rhld.insurance.arkansas.gov/NPILookup?Npi=1225006737","1225006737")</f>
        <v>1225006737</v>
      </c>
      <c r="E30579" s="1" t="s">
        <v>1236</v>
      </c>
      <c r="F30579" s="2"/>
      <c r="G30579" s="2"/>
      <c r="H30579" s="2"/>
    </row>
    <row r="30580" spans="1:8" x14ac:dyDescent="0.25">
      <c r="A30580" s="1"/>
      <c r="B30580" s="1" t="s">
        <v>8275</v>
      </c>
      <c r="C30580" s="1" t="s">
        <v>8276</v>
      </c>
      <c r="D30580" s="1" t="str">
        <f>HYPERLINK("https://rhld.insurance.arkansas.gov/NPILookup?Npi=1225007966","1225007966")</f>
        <v>1225007966</v>
      </c>
      <c r="E30580" s="1" t="s">
        <v>17319</v>
      </c>
      <c r="F30580" s="2"/>
      <c r="G30580" s="2"/>
      <c r="H30580" s="2"/>
    </row>
    <row r="30581" spans="1:8" x14ac:dyDescent="0.25">
      <c r="A30581" s="1"/>
      <c r="B30581" s="1" t="s">
        <v>8275</v>
      </c>
      <c r="C30581" s="1" t="s">
        <v>8276</v>
      </c>
      <c r="D30581" s="1" t="str">
        <f>HYPERLINK("https://rhld.insurance.arkansas.gov/NPILookup?Npi=1225024482","1225024482")</f>
        <v>1225024482</v>
      </c>
      <c r="E30581" s="1" t="s">
        <v>26092</v>
      </c>
      <c r="F30581" s="2"/>
      <c r="G30581" s="2"/>
      <c r="H30581" s="2"/>
    </row>
    <row r="30582" spans="1:8" x14ac:dyDescent="0.25">
      <c r="A30582" s="1"/>
      <c r="B30582" s="1" t="s">
        <v>8275</v>
      </c>
      <c r="C30582" s="1" t="s">
        <v>8276</v>
      </c>
      <c r="D30582" s="1" t="str">
        <f>HYPERLINK("https://rhld.insurance.arkansas.gov/NPILookup?Npi=1225039308","1225039308")</f>
        <v>1225039308</v>
      </c>
      <c r="E30582" s="1" t="s">
        <v>3130</v>
      </c>
      <c r="F30582" s="2"/>
      <c r="G30582" s="2"/>
      <c r="H30582" s="2"/>
    </row>
    <row r="30583" spans="1:8" x14ac:dyDescent="0.25">
      <c r="A30583" s="1"/>
      <c r="B30583" s="1" t="s">
        <v>8275</v>
      </c>
      <c r="C30583" s="1" t="s">
        <v>8276</v>
      </c>
      <c r="D30583" s="1" t="str">
        <f>HYPERLINK("https://rhld.insurance.arkansas.gov/NPILookup?Npi=1225072044","1225072044")</f>
        <v>1225072044</v>
      </c>
      <c r="E30583" s="1" t="s">
        <v>98</v>
      </c>
      <c r="F30583" s="2"/>
      <c r="G30583" s="2"/>
      <c r="H30583" s="2"/>
    </row>
    <row r="30584" spans="1:8" x14ac:dyDescent="0.25">
      <c r="A30584" s="1"/>
      <c r="B30584" s="1" t="s">
        <v>8275</v>
      </c>
      <c r="C30584" s="1" t="s">
        <v>8276</v>
      </c>
      <c r="D30584" s="1" t="str">
        <f>HYPERLINK("https://rhld.insurance.arkansas.gov/NPILookup?Npi=1225096332","1225096332")</f>
        <v>1225096332</v>
      </c>
      <c r="E30584" s="1" t="s">
        <v>29626</v>
      </c>
      <c r="F30584" s="2"/>
      <c r="G30584" s="2"/>
      <c r="H30584" s="2"/>
    </row>
    <row r="30585" spans="1:8" x14ac:dyDescent="0.25">
      <c r="A30585" s="1"/>
      <c r="B30585" s="1" t="s">
        <v>8275</v>
      </c>
      <c r="C30585" s="1" t="s">
        <v>8276</v>
      </c>
      <c r="D30585" s="1" t="str">
        <f>HYPERLINK("https://rhld.insurance.arkansas.gov/NPILookup?Npi=1225230915","1225230915")</f>
        <v>1225230915</v>
      </c>
      <c r="E30585" s="1" t="s">
        <v>17051</v>
      </c>
      <c r="F30585" s="2"/>
      <c r="G30585" s="2"/>
      <c r="H30585" s="2"/>
    </row>
    <row r="30586" spans="1:8" x14ac:dyDescent="0.25">
      <c r="A30586" s="1"/>
      <c r="B30586" s="1" t="s">
        <v>8275</v>
      </c>
      <c r="C30586" s="1" t="s">
        <v>8276</v>
      </c>
      <c r="D30586" s="1" t="str">
        <f>HYPERLINK("https://rhld.insurance.arkansas.gov/NPILookup?Npi=1225373749","1225373749")</f>
        <v>1225373749</v>
      </c>
      <c r="E30586" s="1" t="s">
        <v>26105</v>
      </c>
      <c r="F30586" s="2"/>
      <c r="G30586" s="2"/>
      <c r="H30586" s="2"/>
    </row>
    <row r="30587" spans="1:8" x14ac:dyDescent="0.25">
      <c r="A30587" s="1"/>
      <c r="B30587" s="1" t="s">
        <v>8275</v>
      </c>
      <c r="C30587" s="1" t="s">
        <v>8276</v>
      </c>
      <c r="D30587" s="1" t="str">
        <f>HYPERLINK("https://rhld.insurance.arkansas.gov/NPILookup?Npi=1225490600","1225490600")</f>
        <v>1225490600</v>
      </c>
      <c r="E30587" s="1" t="s">
        <v>26109</v>
      </c>
      <c r="F30587" s="2"/>
      <c r="G30587" s="2"/>
      <c r="H30587" s="2"/>
    </row>
    <row r="30588" spans="1:8" x14ac:dyDescent="0.25">
      <c r="A30588" s="1"/>
      <c r="B30588" s="1" t="s">
        <v>8275</v>
      </c>
      <c r="C30588" s="1" t="s">
        <v>8276</v>
      </c>
      <c r="D30588" s="1" t="str">
        <f>HYPERLINK("https://rhld.insurance.arkansas.gov/NPILookup?Npi=1225491186","1225491186")</f>
        <v>1225491186</v>
      </c>
      <c r="E30588" s="1" t="s">
        <v>8290</v>
      </c>
      <c r="F30588" s="2"/>
      <c r="G30588" s="2"/>
      <c r="H30588" s="2"/>
    </row>
    <row r="30589" spans="1:8" x14ac:dyDescent="0.25">
      <c r="A30589" s="1"/>
      <c r="B30589" s="1" t="s">
        <v>8275</v>
      </c>
      <c r="C30589" s="1" t="s">
        <v>8276</v>
      </c>
      <c r="D30589" s="1" t="str">
        <f>HYPERLINK("https://rhld.insurance.arkansas.gov/NPILookup?Npi=1225529241","1225529241")</f>
        <v>1225529241</v>
      </c>
      <c r="E30589" s="1" t="s">
        <v>8291</v>
      </c>
      <c r="F30589" s="2"/>
      <c r="G30589" s="2"/>
      <c r="H30589" s="2"/>
    </row>
    <row r="30590" spans="1:8" x14ac:dyDescent="0.25">
      <c r="A30590" s="1"/>
      <c r="B30590" s="1" t="s">
        <v>8275</v>
      </c>
      <c r="C30590" s="1" t="s">
        <v>8276</v>
      </c>
      <c r="D30590" s="1" t="str">
        <f>HYPERLINK("https://rhld.insurance.arkansas.gov/NPILookup?Npi=1225659998","1225659998")</f>
        <v>1225659998</v>
      </c>
      <c r="E30590" s="1" t="s">
        <v>26120</v>
      </c>
      <c r="F30590" s="2"/>
      <c r="G30590" s="2"/>
      <c r="H30590" s="2"/>
    </row>
    <row r="30591" spans="1:8" x14ac:dyDescent="0.25">
      <c r="A30591" s="1"/>
      <c r="B30591" s="1" t="s">
        <v>8275</v>
      </c>
      <c r="C30591" s="1" t="s">
        <v>8276</v>
      </c>
      <c r="D30591" s="1" t="str">
        <f>HYPERLINK("https://rhld.insurance.arkansas.gov/NPILookup?Npi=1225699325","1225699325")</f>
        <v>1225699325</v>
      </c>
      <c r="E30591" s="1" t="s">
        <v>32159</v>
      </c>
      <c r="F30591" s="2"/>
      <c r="G30591" s="2"/>
      <c r="H30591" s="2"/>
    </row>
    <row r="30592" spans="1:8" x14ac:dyDescent="0.25">
      <c r="A30592" s="1"/>
      <c r="B30592" s="1" t="s">
        <v>8275</v>
      </c>
      <c r="C30592" s="1" t="s">
        <v>8276</v>
      </c>
      <c r="D30592" s="1" t="str">
        <f>HYPERLINK("https://rhld.insurance.arkansas.gov/NPILookup?Npi=1235108150","1235108150")</f>
        <v>1235108150</v>
      </c>
      <c r="E30592" s="1" t="s">
        <v>29627</v>
      </c>
      <c r="F30592" s="2"/>
      <c r="G30592" s="2"/>
      <c r="H30592" s="2"/>
    </row>
    <row r="30593" spans="1:8" x14ac:dyDescent="0.25">
      <c r="A30593" s="1"/>
      <c r="B30593" s="1" t="s">
        <v>8275</v>
      </c>
      <c r="C30593" s="1" t="s">
        <v>8276</v>
      </c>
      <c r="D30593" s="1" t="str">
        <f>HYPERLINK("https://rhld.insurance.arkansas.gov/NPILookup?Npi=1235122383","1235122383")</f>
        <v>1235122383</v>
      </c>
      <c r="E30593" s="1" t="s">
        <v>26129</v>
      </c>
      <c r="F30593" s="2"/>
      <c r="G30593" s="2"/>
      <c r="H30593" s="2"/>
    </row>
    <row r="30594" spans="1:8" x14ac:dyDescent="0.25">
      <c r="A30594" s="1"/>
      <c r="B30594" s="1" t="s">
        <v>8275</v>
      </c>
      <c r="C30594" s="1" t="s">
        <v>8276</v>
      </c>
      <c r="D30594" s="1" t="str">
        <f>HYPERLINK("https://rhld.insurance.arkansas.gov/NPILookup?Npi=1235130444","1235130444")</f>
        <v>1235130444</v>
      </c>
      <c r="E30594" s="1" t="s">
        <v>12870</v>
      </c>
      <c r="F30594" s="2"/>
      <c r="G30594" s="2"/>
      <c r="H30594" s="2"/>
    </row>
    <row r="30595" spans="1:8" x14ac:dyDescent="0.25">
      <c r="A30595" s="1"/>
      <c r="B30595" s="1" t="s">
        <v>8275</v>
      </c>
      <c r="C30595" s="1" t="s">
        <v>8276</v>
      </c>
      <c r="D30595" s="1" t="str">
        <f>HYPERLINK("https://rhld.insurance.arkansas.gov/NPILookup?Npi=1235196528","1235196528")</f>
        <v>1235196528</v>
      </c>
      <c r="E30595" s="1" t="s">
        <v>29628</v>
      </c>
      <c r="F30595" s="2"/>
      <c r="G30595" s="2"/>
      <c r="H30595" s="2"/>
    </row>
    <row r="30596" spans="1:8" x14ac:dyDescent="0.25">
      <c r="A30596" s="1"/>
      <c r="B30596" s="1" t="s">
        <v>8275</v>
      </c>
      <c r="C30596" s="1" t="s">
        <v>8276</v>
      </c>
      <c r="D30596" s="1" t="str">
        <f>HYPERLINK("https://rhld.insurance.arkansas.gov/NPILookup?Npi=1235197435","1235197435")</f>
        <v>1235197435</v>
      </c>
      <c r="E30596" s="1" t="s">
        <v>2127</v>
      </c>
      <c r="F30596" s="2"/>
      <c r="G30596" s="2"/>
      <c r="H30596" s="2"/>
    </row>
    <row r="30597" spans="1:8" x14ac:dyDescent="0.25">
      <c r="A30597" s="1"/>
      <c r="B30597" s="1" t="s">
        <v>8275</v>
      </c>
      <c r="C30597" s="1" t="s">
        <v>8276</v>
      </c>
      <c r="D30597" s="1" t="str">
        <f>HYPERLINK("https://rhld.insurance.arkansas.gov/NPILookup?Npi=1235204140","1235204140")</f>
        <v>1235204140</v>
      </c>
      <c r="E30597" s="1" t="s">
        <v>26135</v>
      </c>
      <c r="F30597" s="2"/>
      <c r="G30597" s="2"/>
      <c r="H30597" s="2"/>
    </row>
    <row r="30598" spans="1:8" x14ac:dyDescent="0.25">
      <c r="A30598" s="1"/>
      <c r="B30598" s="1" t="s">
        <v>8275</v>
      </c>
      <c r="C30598" s="1" t="s">
        <v>8276</v>
      </c>
      <c r="D30598" s="1" t="str">
        <f>HYPERLINK("https://rhld.insurance.arkansas.gov/NPILookup?Npi=1235295866","1235295866")</f>
        <v>1235295866</v>
      </c>
      <c r="E30598" s="1" t="s">
        <v>29629</v>
      </c>
      <c r="F30598" s="2"/>
      <c r="G30598" s="2"/>
      <c r="H30598" s="2"/>
    </row>
    <row r="30599" spans="1:8" x14ac:dyDescent="0.25">
      <c r="A30599" s="1"/>
      <c r="B30599" s="1" t="s">
        <v>8275</v>
      </c>
      <c r="C30599" s="1" t="s">
        <v>8276</v>
      </c>
      <c r="D30599" s="1" t="str">
        <f>HYPERLINK("https://rhld.insurance.arkansas.gov/NPILookup?Npi=1235438698","1235438698")</f>
        <v>1235438698</v>
      </c>
      <c r="E30599" s="1" t="s">
        <v>8292</v>
      </c>
      <c r="F30599" s="2"/>
      <c r="G30599" s="2"/>
      <c r="H30599" s="2"/>
    </row>
    <row r="30600" spans="1:8" x14ac:dyDescent="0.25">
      <c r="A30600" s="1"/>
      <c r="B30600" s="1" t="s">
        <v>8275</v>
      </c>
      <c r="C30600" s="1" t="s">
        <v>8276</v>
      </c>
      <c r="D30600" s="1" t="str">
        <f>HYPERLINK("https://rhld.insurance.arkansas.gov/NPILookup?Npi=1235457789","1235457789")</f>
        <v>1235457789</v>
      </c>
      <c r="E30600" s="1" t="s">
        <v>17336</v>
      </c>
      <c r="F30600" s="2"/>
      <c r="G30600" s="2"/>
      <c r="H30600" s="2"/>
    </row>
    <row r="30601" spans="1:8" x14ac:dyDescent="0.25">
      <c r="A30601" s="1"/>
      <c r="B30601" s="1" t="s">
        <v>8275</v>
      </c>
      <c r="C30601" s="1" t="s">
        <v>8276</v>
      </c>
      <c r="D30601" s="1" t="str">
        <f>HYPERLINK("https://rhld.insurance.arkansas.gov/NPILookup?Npi=1235517848","1235517848")</f>
        <v>1235517848</v>
      </c>
      <c r="E30601" s="1" t="s">
        <v>13896</v>
      </c>
      <c r="F30601" s="2"/>
      <c r="G30601" s="2"/>
      <c r="H30601" s="2"/>
    </row>
    <row r="30602" spans="1:8" x14ac:dyDescent="0.25">
      <c r="A30602" s="1"/>
      <c r="B30602" s="1" t="s">
        <v>8275</v>
      </c>
      <c r="C30602" s="1" t="s">
        <v>8276</v>
      </c>
      <c r="D30602" s="1" t="str">
        <f>HYPERLINK("https://rhld.insurance.arkansas.gov/NPILookup?Npi=1235530478","1235530478")</f>
        <v>1235530478</v>
      </c>
      <c r="E30602" s="1" t="s">
        <v>26146</v>
      </c>
      <c r="F30602" s="2"/>
      <c r="G30602" s="2"/>
      <c r="H30602" s="2"/>
    </row>
    <row r="30603" spans="1:8" x14ac:dyDescent="0.25">
      <c r="A30603" s="1"/>
      <c r="B30603" s="1" t="s">
        <v>8275</v>
      </c>
      <c r="C30603" s="1" t="s">
        <v>8276</v>
      </c>
      <c r="D30603" s="1" t="str">
        <f>HYPERLINK("https://rhld.insurance.arkansas.gov/NPILookup?Npi=1235544842","1235544842")</f>
        <v>1235544842</v>
      </c>
      <c r="E30603" s="1" t="s">
        <v>32448</v>
      </c>
      <c r="F30603" s="2"/>
      <c r="G30603" s="2"/>
      <c r="H30603" s="2"/>
    </row>
    <row r="30604" spans="1:8" x14ac:dyDescent="0.25">
      <c r="A30604" s="1"/>
      <c r="B30604" s="1" t="s">
        <v>8275</v>
      </c>
      <c r="C30604" s="1" t="s">
        <v>8276</v>
      </c>
      <c r="D30604" s="1" t="str">
        <f>HYPERLINK("https://rhld.insurance.arkansas.gov/NPILookup?Npi=1235687773","1235687773")</f>
        <v>1235687773</v>
      </c>
      <c r="E30604" s="1" t="s">
        <v>26156</v>
      </c>
      <c r="F30604" s="2"/>
      <c r="G30604" s="2"/>
      <c r="H30604" s="2"/>
    </row>
    <row r="30605" spans="1:8" x14ac:dyDescent="0.25">
      <c r="A30605" s="1"/>
      <c r="B30605" s="1" t="s">
        <v>8275</v>
      </c>
      <c r="C30605" s="1" t="s">
        <v>8276</v>
      </c>
      <c r="D30605" s="1" t="str">
        <f>HYPERLINK("https://rhld.insurance.arkansas.gov/NPILookup?Npi=1235695768","1235695768")</f>
        <v>1235695768</v>
      </c>
      <c r="E30605" s="1" t="s">
        <v>26157</v>
      </c>
      <c r="F30605" s="2"/>
      <c r="G30605" s="2"/>
      <c r="H30605" s="2"/>
    </row>
    <row r="30606" spans="1:8" x14ac:dyDescent="0.25">
      <c r="A30606" s="1"/>
      <c r="B30606" s="1" t="s">
        <v>8275</v>
      </c>
      <c r="C30606" s="1" t="s">
        <v>8276</v>
      </c>
      <c r="D30606" s="1" t="str">
        <f>HYPERLINK("https://rhld.insurance.arkansas.gov/NPILookup?Npi=1235767765","1235767765")</f>
        <v>1235767765</v>
      </c>
      <c r="E30606" s="1" t="s">
        <v>8293</v>
      </c>
      <c r="F30606" s="2"/>
      <c r="G30606" s="2"/>
      <c r="H30606" s="2"/>
    </row>
    <row r="30607" spans="1:8" x14ac:dyDescent="0.25">
      <c r="A30607" s="1"/>
      <c r="B30607" s="1" t="s">
        <v>8275</v>
      </c>
      <c r="C30607" s="1" t="s">
        <v>8276</v>
      </c>
      <c r="D30607" s="1" t="str">
        <f>HYPERLINK("https://rhld.insurance.arkansas.gov/NPILookup?Npi=1235867177","1235867177")</f>
        <v>1235867177</v>
      </c>
      <c r="E30607" s="1" t="s">
        <v>26168</v>
      </c>
      <c r="F30607" s="2"/>
      <c r="G30607" s="2"/>
      <c r="H30607" s="2"/>
    </row>
    <row r="30608" spans="1:8" x14ac:dyDescent="0.25">
      <c r="A30608" s="1"/>
      <c r="B30608" s="1" t="s">
        <v>8275</v>
      </c>
      <c r="C30608" s="1" t="s">
        <v>8276</v>
      </c>
      <c r="D30608" s="1" t="str">
        <f>HYPERLINK("https://rhld.insurance.arkansas.gov/NPILookup?Npi=1235891417","1235891417")</f>
        <v>1235891417</v>
      </c>
      <c r="E30608" s="1" t="s">
        <v>12881</v>
      </c>
      <c r="F30608" s="2"/>
      <c r="G30608" s="2"/>
      <c r="H30608" s="2"/>
    </row>
    <row r="30609" spans="1:8" x14ac:dyDescent="0.25">
      <c r="A30609" s="1"/>
      <c r="B30609" s="1" t="s">
        <v>8275</v>
      </c>
      <c r="C30609" s="1" t="s">
        <v>8276</v>
      </c>
      <c r="D30609" s="1" t="str">
        <f>HYPERLINK("https://rhld.insurance.arkansas.gov/NPILookup?Npi=1235972969","1235972969")</f>
        <v>1235972969</v>
      </c>
      <c r="E30609" s="1" t="s">
        <v>32160</v>
      </c>
      <c r="F30609" s="2"/>
      <c r="G30609" s="2"/>
      <c r="H30609" s="2"/>
    </row>
    <row r="30610" spans="1:8" x14ac:dyDescent="0.25">
      <c r="A30610" s="1"/>
      <c r="B30610" s="1" t="s">
        <v>8275</v>
      </c>
      <c r="C30610" s="1" t="s">
        <v>8276</v>
      </c>
      <c r="D30610" s="1" t="str">
        <f>HYPERLINK("https://rhld.insurance.arkansas.gov/NPILookup?Npi=1245053826","1245053826")</f>
        <v>1245053826</v>
      </c>
      <c r="E30610" s="1" t="s">
        <v>32161</v>
      </c>
      <c r="F30610" s="2"/>
      <c r="G30610" s="2"/>
      <c r="H30610" s="2"/>
    </row>
    <row r="30611" spans="1:8" x14ac:dyDescent="0.25">
      <c r="A30611" s="1"/>
      <c r="B30611" s="1" t="s">
        <v>8275</v>
      </c>
      <c r="C30611" s="1" t="s">
        <v>8276</v>
      </c>
      <c r="D30611" s="1" t="str">
        <f>HYPERLINK("https://rhld.insurance.arkansas.gov/NPILookup?Npi=1245087923","1245087923")</f>
        <v>1245087923</v>
      </c>
      <c r="E30611" s="1" t="s">
        <v>26171</v>
      </c>
      <c r="F30611" s="2"/>
      <c r="G30611" s="2"/>
      <c r="H30611" s="2"/>
    </row>
    <row r="30612" spans="1:8" x14ac:dyDescent="0.25">
      <c r="A30612" s="1"/>
      <c r="B30612" s="1" t="s">
        <v>8275</v>
      </c>
      <c r="C30612" s="1" t="s">
        <v>8276</v>
      </c>
      <c r="D30612" s="1" t="str">
        <f>HYPERLINK("https://rhld.insurance.arkansas.gov/NPILookup?Npi=1245093608","1245093608")</f>
        <v>1245093608</v>
      </c>
      <c r="E30612" s="1" t="s">
        <v>32162</v>
      </c>
      <c r="F30612" s="2"/>
      <c r="G30612" s="2"/>
      <c r="H30612" s="2"/>
    </row>
    <row r="30613" spans="1:8" x14ac:dyDescent="0.25">
      <c r="A30613" s="1"/>
      <c r="B30613" s="1" t="s">
        <v>8275</v>
      </c>
      <c r="C30613" s="1" t="s">
        <v>8276</v>
      </c>
      <c r="D30613" s="1" t="str">
        <f>HYPERLINK("https://rhld.insurance.arkansas.gov/NPILookup?Npi=1245202654","1245202654")</f>
        <v>1245202654</v>
      </c>
      <c r="E30613" s="1" t="s">
        <v>757</v>
      </c>
      <c r="F30613" s="2"/>
      <c r="G30613" s="2"/>
      <c r="H30613" s="2"/>
    </row>
    <row r="30614" spans="1:8" x14ac:dyDescent="0.25">
      <c r="A30614" s="1"/>
      <c r="B30614" s="1" t="s">
        <v>8275</v>
      </c>
      <c r="C30614" s="1" t="s">
        <v>8276</v>
      </c>
      <c r="D30614" s="1" t="str">
        <f>HYPERLINK("https://rhld.insurance.arkansas.gov/NPILookup?Npi=1245216548","1245216548")</f>
        <v>1245216548</v>
      </c>
      <c r="E30614" s="1" t="s">
        <v>13897</v>
      </c>
      <c r="F30614" s="2"/>
      <c r="G30614" s="2"/>
      <c r="H30614" s="2"/>
    </row>
    <row r="30615" spans="1:8" x14ac:dyDescent="0.25">
      <c r="A30615" s="1"/>
      <c r="B30615" s="1" t="s">
        <v>8275</v>
      </c>
      <c r="C30615" s="1" t="s">
        <v>8276</v>
      </c>
      <c r="D30615" s="1" t="str">
        <f>HYPERLINK("https://rhld.insurance.arkansas.gov/NPILookup?Npi=1245219609","1245219609")</f>
        <v>1245219609</v>
      </c>
      <c r="E30615" s="1" t="s">
        <v>29630</v>
      </c>
      <c r="F30615" s="2"/>
      <c r="G30615" s="2"/>
      <c r="H30615" s="2"/>
    </row>
    <row r="30616" spans="1:8" x14ac:dyDescent="0.25">
      <c r="A30616" s="1"/>
      <c r="B30616" s="1" t="s">
        <v>8275</v>
      </c>
      <c r="C30616" s="1" t="s">
        <v>8276</v>
      </c>
      <c r="D30616" s="1" t="str">
        <f>HYPERLINK("https://rhld.insurance.arkansas.gov/NPILookup?Npi=1245223866","1245223866")</f>
        <v>1245223866</v>
      </c>
      <c r="E30616" s="1" t="s">
        <v>26175</v>
      </c>
      <c r="F30616" s="2"/>
      <c r="G30616" s="2"/>
      <c r="H30616" s="2"/>
    </row>
    <row r="30617" spans="1:8" x14ac:dyDescent="0.25">
      <c r="A30617" s="1"/>
      <c r="B30617" s="1" t="s">
        <v>8275</v>
      </c>
      <c r="C30617" s="1" t="s">
        <v>8276</v>
      </c>
      <c r="D30617" s="1" t="str">
        <f>HYPERLINK("https://rhld.insurance.arkansas.gov/NPILookup?Npi=1245224229","1245224229")</f>
        <v>1245224229</v>
      </c>
      <c r="E30617" s="1" t="s">
        <v>26176</v>
      </c>
      <c r="F30617" s="2"/>
      <c r="G30617" s="2"/>
      <c r="H30617" s="2"/>
    </row>
    <row r="30618" spans="1:8" x14ac:dyDescent="0.25">
      <c r="A30618" s="1"/>
      <c r="B30618" s="1" t="s">
        <v>8275</v>
      </c>
      <c r="C30618" s="1" t="s">
        <v>8276</v>
      </c>
      <c r="D30618" s="1" t="str">
        <f>HYPERLINK("https://rhld.insurance.arkansas.gov/NPILookup?Npi=1245231794","1245231794")</f>
        <v>1245231794</v>
      </c>
      <c r="E30618" s="1" t="s">
        <v>1832</v>
      </c>
      <c r="F30618" s="2"/>
      <c r="G30618" s="2"/>
      <c r="H30618" s="2"/>
    </row>
    <row r="30619" spans="1:8" x14ac:dyDescent="0.25">
      <c r="A30619" s="1"/>
      <c r="B30619" s="1" t="s">
        <v>8275</v>
      </c>
      <c r="C30619" s="1" t="s">
        <v>8276</v>
      </c>
      <c r="D30619" s="1" t="str">
        <f>HYPERLINK("https://rhld.insurance.arkansas.gov/NPILookup?Npi=1245234061","1245234061")</f>
        <v>1245234061</v>
      </c>
      <c r="E30619" s="1" t="s">
        <v>26177</v>
      </c>
      <c r="F30619" s="2"/>
      <c r="G30619" s="2"/>
      <c r="H30619" s="2"/>
    </row>
    <row r="30620" spans="1:8" x14ac:dyDescent="0.25">
      <c r="A30620" s="1"/>
      <c r="B30620" s="1" t="s">
        <v>8275</v>
      </c>
      <c r="C30620" s="1" t="s">
        <v>8276</v>
      </c>
      <c r="D30620" s="1" t="str">
        <f>HYPERLINK("https://rhld.insurance.arkansas.gov/NPILookup?Npi=1245237528","1245237528")</f>
        <v>1245237528</v>
      </c>
      <c r="E30620" s="1" t="s">
        <v>26178</v>
      </c>
      <c r="F30620" s="2"/>
      <c r="G30620" s="2"/>
      <c r="H30620" s="2"/>
    </row>
    <row r="30621" spans="1:8" x14ac:dyDescent="0.25">
      <c r="A30621" s="1"/>
      <c r="B30621" s="1" t="s">
        <v>8275</v>
      </c>
      <c r="C30621" s="1" t="s">
        <v>8276</v>
      </c>
      <c r="D30621" s="1" t="str">
        <f>HYPERLINK("https://rhld.insurance.arkansas.gov/NPILookup?Npi=1245292580","1245292580")</f>
        <v>1245292580</v>
      </c>
      <c r="E30621" s="1" t="s">
        <v>291</v>
      </c>
      <c r="F30621" s="2"/>
      <c r="G30621" s="2"/>
      <c r="H30621" s="2"/>
    </row>
    <row r="30622" spans="1:8" x14ac:dyDescent="0.25">
      <c r="A30622" s="1"/>
      <c r="B30622" s="1" t="s">
        <v>8275</v>
      </c>
      <c r="C30622" s="1" t="s">
        <v>8276</v>
      </c>
      <c r="D30622" s="1" t="str">
        <f>HYPERLINK("https://rhld.insurance.arkansas.gov/NPILookup?Npi=1245387091","1245387091")</f>
        <v>1245387091</v>
      </c>
      <c r="E30622" s="1" t="s">
        <v>1866</v>
      </c>
      <c r="F30622" s="2"/>
      <c r="G30622" s="2"/>
      <c r="H30622" s="2"/>
    </row>
    <row r="30623" spans="1:8" x14ac:dyDescent="0.25">
      <c r="A30623" s="1"/>
      <c r="B30623" s="1" t="s">
        <v>8275</v>
      </c>
      <c r="C30623" s="1" t="s">
        <v>8276</v>
      </c>
      <c r="D30623" s="1" t="str">
        <f>HYPERLINK("https://rhld.insurance.arkansas.gov/NPILookup?Npi=1245417013","1245417013")</f>
        <v>1245417013</v>
      </c>
      <c r="E30623" s="1" t="s">
        <v>32449</v>
      </c>
      <c r="F30623" s="2"/>
      <c r="G30623" s="2"/>
      <c r="H30623" s="2"/>
    </row>
    <row r="30624" spans="1:8" x14ac:dyDescent="0.25">
      <c r="A30624" s="1"/>
      <c r="B30624" s="1" t="s">
        <v>8275</v>
      </c>
      <c r="C30624" s="1" t="s">
        <v>8276</v>
      </c>
      <c r="D30624" s="1" t="str">
        <f>HYPERLINK("https://rhld.insurance.arkansas.gov/NPILookup?Npi=1245483619","1245483619")</f>
        <v>1245483619</v>
      </c>
      <c r="E30624" s="1" t="s">
        <v>29631</v>
      </c>
      <c r="F30624" s="2"/>
      <c r="G30624" s="2"/>
      <c r="H30624" s="2"/>
    </row>
    <row r="30625" spans="1:8" x14ac:dyDescent="0.25">
      <c r="A30625" s="1"/>
      <c r="B30625" s="1" t="s">
        <v>8275</v>
      </c>
      <c r="C30625" s="1" t="s">
        <v>8276</v>
      </c>
      <c r="D30625" s="1" t="str">
        <f>HYPERLINK("https://rhld.insurance.arkansas.gov/NPILookup?Npi=1245559681","1245559681")</f>
        <v>1245559681</v>
      </c>
      <c r="E30625" s="1" t="s">
        <v>26188</v>
      </c>
      <c r="F30625" s="2"/>
      <c r="G30625" s="2"/>
      <c r="H30625" s="2"/>
    </row>
    <row r="30626" spans="1:8" x14ac:dyDescent="0.25">
      <c r="A30626" s="1"/>
      <c r="B30626" s="1" t="s">
        <v>8275</v>
      </c>
      <c r="C30626" s="1" t="s">
        <v>8276</v>
      </c>
      <c r="D30626" s="1" t="str">
        <f>HYPERLINK("https://rhld.insurance.arkansas.gov/NPILookup?Npi=1245573666","1245573666")</f>
        <v>1245573666</v>
      </c>
      <c r="E30626" s="1" t="s">
        <v>29632</v>
      </c>
      <c r="F30626" s="2"/>
      <c r="G30626" s="2"/>
      <c r="H30626" s="2"/>
    </row>
    <row r="30627" spans="1:8" x14ac:dyDescent="0.25">
      <c r="A30627" s="1"/>
      <c r="B30627" s="1" t="s">
        <v>8275</v>
      </c>
      <c r="C30627" s="1" t="s">
        <v>8276</v>
      </c>
      <c r="D30627" s="1" t="str">
        <f>HYPERLINK("https://rhld.insurance.arkansas.gov/NPILookup?Npi=1245658376","1245658376")</f>
        <v>1245658376</v>
      </c>
      <c r="E30627" s="1" t="s">
        <v>17342</v>
      </c>
      <c r="F30627" s="2"/>
      <c r="G30627" s="2"/>
      <c r="H30627" s="2"/>
    </row>
    <row r="30628" spans="1:8" x14ac:dyDescent="0.25">
      <c r="A30628" s="1"/>
      <c r="B30628" s="1" t="s">
        <v>8275</v>
      </c>
      <c r="C30628" s="1" t="s">
        <v>8276</v>
      </c>
      <c r="D30628" s="1" t="str">
        <f>HYPERLINK("https://rhld.insurance.arkansas.gov/NPILookup?Npi=1245699024","1245699024")</f>
        <v>1245699024</v>
      </c>
      <c r="E30628" s="1" t="s">
        <v>26202</v>
      </c>
      <c r="F30628" s="2"/>
      <c r="G30628" s="2"/>
      <c r="H30628" s="2"/>
    </row>
    <row r="30629" spans="1:8" x14ac:dyDescent="0.25">
      <c r="A30629" s="1"/>
      <c r="B30629" s="1" t="s">
        <v>8275</v>
      </c>
      <c r="C30629" s="1" t="s">
        <v>8276</v>
      </c>
      <c r="D30629" s="1" t="str">
        <f>HYPERLINK("https://rhld.insurance.arkansas.gov/NPILookup?Npi=1245799287","1245799287")</f>
        <v>1245799287</v>
      </c>
      <c r="E30629" s="1" t="s">
        <v>32163</v>
      </c>
      <c r="F30629" s="2"/>
      <c r="G30629" s="2"/>
      <c r="H30629" s="2"/>
    </row>
    <row r="30630" spans="1:8" x14ac:dyDescent="0.25">
      <c r="A30630" s="1"/>
      <c r="B30630" s="1" t="s">
        <v>8275</v>
      </c>
      <c r="C30630" s="1" t="s">
        <v>8276</v>
      </c>
      <c r="D30630" s="1" t="str">
        <f>HYPERLINK("https://rhld.insurance.arkansas.gov/NPILookup?Npi=1245908292","1245908292")</f>
        <v>1245908292</v>
      </c>
      <c r="E30630" s="1" t="s">
        <v>26217</v>
      </c>
      <c r="F30630" s="2"/>
      <c r="G30630" s="2"/>
      <c r="H30630" s="2"/>
    </row>
    <row r="30631" spans="1:8" x14ac:dyDescent="0.25">
      <c r="A30631" s="1"/>
      <c r="B30631" s="1" t="s">
        <v>8275</v>
      </c>
      <c r="C30631" s="1" t="s">
        <v>8276</v>
      </c>
      <c r="D30631" s="1" t="str">
        <f>HYPERLINK("https://rhld.insurance.arkansas.gov/NPILookup?Npi=1255144978","1255144978")</f>
        <v>1255144978</v>
      </c>
      <c r="E30631" s="1" t="s">
        <v>32164</v>
      </c>
      <c r="F30631" s="2"/>
      <c r="G30631" s="2"/>
      <c r="H30631" s="2"/>
    </row>
    <row r="30632" spans="1:8" x14ac:dyDescent="0.25">
      <c r="A30632" s="1"/>
      <c r="B30632" s="1" t="s">
        <v>8275</v>
      </c>
      <c r="C30632" s="1" t="s">
        <v>8276</v>
      </c>
      <c r="D30632" s="1" t="str">
        <f>HYPERLINK("https://rhld.insurance.arkansas.gov/NPILookup?Npi=1255192084","1255192084")</f>
        <v>1255192084</v>
      </c>
      <c r="E30632" s="1" t="s">
        <v>32165</v>
      </c>
      <c r="F30632" s="2"/>
      <c r="G30632" s="2"/>
      <c r="H30632" s="2"/>
    </row>
    <row r="30633" spans="1:8" x14ac:dyDescent="0.25">
      <c r="A30633" s="1"/>
      <c r="B30633" s="1" t="s">
        <v>8275</v>
      </c>
      <c r="C30633" s="1" t="s">
        <v>8276</v>
      </c>
      <c r="D30633" s="1" t="str">
        <f>HYPERLINK("https://rhld.insurance.arkansas.gov/NPILookup?Npi=1255397006","1255397006")</f>
        <v>1255397006</v>
      </c>
      <c r="E30633" s="1" t="s">
        <v>2725</v>
      </c>
      <c r="F30633" s="2"/>
      <c r="G30633" s="2"/>
      <c r="H30633" s="2"/>
    </row>
    <row r="30634" spans="1:8" x14ac:dyDescent="0.25">
      <c r="A30634" s="1"/>
      <c r="B30634" s="1" t="s">
        <v>8275</v>
      </c>
      <c r="C30634" s="1" t="s">
        <v>8276</v>
      </c>
      <c r="D30634" s="1" t="str">
        <f>HYPERLINK("https://rhld.insurance.arkansas.gov/NPILookup?Npi=1255398400","1255398400")</f>
        <v>1255398400</v>
      </c>
      <c r="E30634" s="1" t="s">
        <v>26230</v>
      </c>
      <c r="F30634" s="2"/>
      <c r="G30634" s="2"/>
      <c r="H30634" s="2"/>
    </row>
    <row r="30635" spans="1:8" x14ac:dyDescent="0.25">
      <c r="A30635" s="1"/>
      <c r="B30635" s="1" t="s">
        <v>8275</v>
      </c>
      <c r="C30635" s="1" t="s">
        <v>8276</v>
      </c>
      <c r="D30635" s="1" t="str">
        <f>HYPERLINK("https://rhld.insurance.arkansas.gov/NPILookup?Npi=1255411989","1255411989")</f>
        <v>1255411989</v>
      </c>
      <c r="E30635" s="1" t="s">
        <v>26231</v>
      </c>
      <c r="F30635" s="2"/>
      <c r="G30635" s="2"/>
      <c r="H30635" s="2"/>
    </row>
    <row r="30636" spans="1:8" x14ac:dyDescent="0.25">
      <c r="A30636" s="1"/>
      <c r="B30636" s="1" t="s">
        <v>8275</v>
      </c>
      <c r="C30636" s="1" t="s">
        <v>8276</v>
      </c>
      <c r="D30636" s="1" t="str">
        <f>HYPERLINK("https://rhld.insurance.arkansas.gov/NPILookup?Npi=1255517066","1255517066")</f>
        <v>1255517066</v>
      </c>
      <c r="E30636" s="1" t="s">
        <v>26236</v>
      </c>
      <c r="F30636" s="2"/>
      <c r="G30636" s="2"/>
      <c r="H30636" s="2"/>
    </row>
    <row r="30637" spans="1:8" x14ac:dyDescent="0.25">
      <c r="A30637" s="1"/>
      <c r="B30637" s="1" t="s">
        <v>8275</v>
      </c>
      <c r="C30637" s="1" t="s">
        <v>8276</v>
      </c>
      <c r="D30637" s="1" t="str">
        <f>HYPERLINK("https://rhld.insurance.arkansas.gov/NPILookup?Npi=1255627212","1255627212")</f>
        <v>1255627212</v>
      </c>
      <c r="E30637" s="1" t="s">
        <v>26238</v>
      </c>
      <c r="F30637" s="2"/>
      <c r="G30637" s="2"/>
      <c r="H30637" s="2"/>
    </row>
    <row r="30638" spans="1:8" x14ac:dyDescent="0.25">
      <c r="A30638" s="1"/>
      <c r="B30638" s="1" t="s">
        <v>8275</v>
      </c>
      <c r="C30638" s="1" t="s">
        <v>8276</v>
      </c>
      <c r="D30638" s="1" t="str">
        <f>HYPERLINK("https://rhld.insurance.arkansas.gov/NPILookup?Npi=1255657060","1255657060")</f>
        <v>1255657060</v>
      </c>
      <c r="E30638" s="1" t="s">
        <v>26240</v>
      </c>
      <c r="F30638" s="2"/>
      <c r="G30638" s="2"/>
      <c r="H30638" s="2"/>
    </row>
    <row r="30639" spans="1:8" x14ac:dyDescent="0.25">
      <c r="A30639" s="1"/>
      <c r="B30639" s="1" t="s">
        <v>8275</v>
      </c>
      <c r="C30639" s="1" t="s">
        <v>8276</v>
      </c>
      <c r="D30639" s="1" t="str">
        <f>HYPERLINK("https://rhld.insurance.arkansas.gov/NPILookup?Npi=1255688016","1255688016")</f>
        <v>1255688016</v>
      </c>
      <c r="E30639" s="1" t="s">
        <v>1994</v>
      </c>
      <c r="F30639" s="2"/>
      <c r="G30639" s="2"/>
      <c r="H30639" s="2"/>
    </row>
    <row r="30640" spans="1:8" x14ac:dyDescent="0.25">
      <c r="A30640" s="1"/>
      <c r="B30640" s="1" t="s">
        <v>8275</v>
      </c>
      <c r="C30640" s="1" t="s">
        <v>8276</v>
      </c>
      <c r="D30640" s="1" t="str">
        <f>HYPERLINK("https://rhld.insurance.arkansas.gov/NPILookup?Npi=1255726097","1255726097")</f>
        <v>1255726097</v>
      </c>
      <c r="E30640" s="1" t="s">
        <v>13898</v>
      </c>
      <c r="F30640" s="2"/>
      <c r="G30640" s="2"/>
      <c r="H30640" s="2"/>
    </row>
    <row r="30641" spans="1:8" x14ac:dyDescent="0.25">
      <c r="A30641" s="1"/>
      <c r="B30641" s="1" t="s">
        <v>8275</v>
      </c>
      <c r="C30641" s="1" t="s">
        <v>8276</v>
      </c>
      <c r="D30641" s="1" t="str">
        <f>HYPERLINK("https://rhld.insurance.arkansas.gov/NPILookup?Npi=1255727756","1255727756")</f>
        <v>1255727756</v>
      </c>
      <c r="E30641" s="1" t="s">
        <v>29633</v>
      </c>
      <c r="F30641" s="2"/>
      <c r="G30641" s="2"/>
      <c r="H30641" s="2"/>
    </row>
    <row r="30642" spans="1:8" x14ac:dyDescent="0.25">
      <c r="A30642" s="1"/>
      <c r="B30642" s="1" t="s">
        <v>8275</v>
      </c>
      <c r="C30642" s="1" t="s">
        <v>8276</v>
      </c>
      <c r="D30642" s="1" t="str">
        <f>HYPERLINK("https://rhld.insurance.arkansas.gov/NPILookup?Npi=1255782843","1255782843")</f>
        <v>1255782843</v>
      </c>
      <c r="E30642" s="1" t="s">
        <v>26245</v>
      </c>
      <c r="F30642" s="2"/>
      <c r="G30642" s="2"/>
      <c r="H30642" s="2"/>
    </row>
    <row r="30643" spans="1:8" x14ac:dyDescent="0.25">
      <c r="A30643" s="1"/>
      <c r="B30643" s="1" t="s">
        <v>8275</v>
      </c>
      <c r="C30643" s="1" t="s">
        <v>8276</v>
      </c>
      <c r="D30643" s="1" t="str">
        <f>HYPERLINK("https://rhld.insurance.arkansas.gov/NPILookup?Npi=1255813879","1255813879")</f>
        <v>1255813879</v>
      </c>
      <c r="E30643" s="1" t="s">
        <v>1377</v>
      </c>
      <c r="F30643" s="2"/>
      <c r="G30643" s="2"/>
      <c r="H30643" s="2"/>
    </row>
    <row r="30644" spans="1:8" x14ac:dyDescent="0.25">
      <c r="A30644" s="1"/>
      <c r="B30644" s="1" t="s">
        <v>8275</v>
      </c>
      <c r="C30644" s="1" t="s">
        <v>8276</v>
      </c>
      <c r="D30644" s="1" t="str">
        <f>HYPERLINK("https://rhld.insurance.arkansas.gov/NPILookup?Npi=1255837241","1255837241")</f>
        <v>1255837241</v>
      </c>
      <c r="E30644" s="1" t="s">
        <v>29634</v>
      </c>
      <c r="F30644" s="2"/>
      <c r="G30644" s="2"/>
      <c r="H30644" s="2"/>
    </row>
    <row r="30645" spans="1:8" x14ac:dyDescent="0.25">
      <c r="A30645" s="1"/>
      <c r="B30645" s="1" t="s">
        <v>8275</v>
      </c>
      <c r="C30645" s="1" t="s">
        <v>8276</v>
      </c>
      <c r="D30645" s="1" t="str">
        <f>HYPERLINK("https://rhld.insurance.arkansas.gov/NPILookup?Npi=1255837894","1255837894")</f>
        <v>1255837894</v>
      </c>
      <c r="E30645" s="1" t="s">
        <v>26250</v>
      </c>
      <c r="F30645" s="2"/>
      <c r="G30645" s="2"/>
      <c r="H30645" s="2"/>
    </row>
    <row r="30646" spans="1:8" x14ac:dyDescent="0.25">
      <c r="A30646" s="1"/>
      <c r="B30646" s="1" t="s">
        <v>8275</v>
      </c>
      <c r="C30646" s="1" t="s">
        <v>8276</v>
      </c>
      <c r="D30646" s="1" t="str">
        <f>HYPERLINK("https://rhld.insurance.arkansas.gov/NPILookup?Npi=1255870820","1255870820")</f>
        <v>1255870820</v>
      </c>
      <c r="E30646" s="1" t="s">
        <v>8294</v>
      </c>
      <c r="F30646" s="2"/>
      <c r="G30646" s="2"/>
      <c r="H30646" s="2"/>
    </row>
    <row r="30647" spans="1:8" x14ac:dyDescent="0.25">
      <c r="A30647" s="1"/>
      <c r="B30647" s="1" t="s">
        <v>8275</v>
      </c>
      <c r="C30647" s="1" t="s">
        <v>8276</v>
      </c>
      <c r="D30647" s="1" t="str">
        <f>HYPERLINK("https://rhld.insurance.arkansas.gov/NPILookup?Npi=1255892618","1255892618")</f>
        <v>1255892618</v>
      </c>
      <c r="E30647" s="1" t="s">
        <v>8295</v>
      </c>
      <c r="F30647" s="2"/>
      <c r="G30647" s="2"/>
      <c r="H30647" s="2"/>
    </row>
    <row r="30648" spans="1:8" x14ac:dyDescent="0.25">
      <c r="A30648" s="1"/>
      <c r="B30648" s="1" t="s">
        <v>8275</v>
      </c>
      <c r="C30648" s="1" t="s">
        <v>8276</v>
      </c>
      <c r="D30648" s="1" t="str">
        <f>HYPERLINK("https://rhld.insurance.arkansas.gov/NPILookup?Npi=1255960035","1255960035")</f>
        <v>1255960035</v>
      </c>
      <c r="E30648" s="1" t="s">
        <v>29635</v>
      </c>
      <c r="F30648" s="2"/>
      <c r="G30648" s="2"/>
      <c r="H30648" s="2"/>
    </row>
    <row r="30649" spans="1:8" x14ac:dyDescent="0.25">
      <c r="A30649" s="1"/>
      <c r="B30649" s="1" t="s">
        <v>8275</v>
      </c>
      <c r="C30649" s="1" t="s">
        <v>8276</v>
      </c>
      <c r="D30649" s="1" t="str">
        <f>HYPERLINK("https://rhld.insurance.arkansas.gov/NPILookup?Npi=1255960910","1255960910")</f>
        <v>1255960910</v>
      </c>
      <c r="E30649" s="1" t="s">
        <v>29636</v>
      </c>
      <c r="F30649" s="2"/>
      <c r="G30649" s="2"/>
      <c r="H30649" s="2"/>
    </row>
    <row r="30650" spans="1:8" x14ac:dyDescent="0.25">
      <c r="A30650" s="1"/>
      <c r="B30650" s="1" t="s">
        <v>8275</v>
      </c>
      <c r="C30650" s="1" t="s">
        <v>8276</v>
      </c>
      <c r="D30650" s="1" t="str">
        <f>HYPERLINK("https://rhld.insurance.arkansas.gov/NPILookup?Npi=1255969960","1255969960")</f>
        <v>1255969960</v>
      </c>
      <c r="E30650" s="1" t="s">
        <v>32450</v>
      </c>
      <c r="F30650" s="2"/>
      <c r="G30650" s="2"/>
      <c r="H30650" s="2"/>
    </row>
    <row r="30651" spans="1:8" x14ac:dyDescent="0.25">
      <c r="A30651" s="1"/>
      <c r="B30651" s="1" t="s">
        <v>8275</v>
      </c>
      <c r="C30651" s="1" t="s">
        <v>8276</v>
      </c>
      <c r="D30651" s="1" t="str">
        <f>HYPERLINK("https://rhld.insurance.arkansas.gov/NPILookup?Npi=1265038848","1265038848")</f>
        <v>1265038848</v>
      </c>
      <c r="E30651" s="1" t="s">
        <v>12907</v>
      </c>
      <c r="F30651" s="2"/>
      <c r="G30651" s="2"/>
      <c r="H30651" s="2"/>
    </row>
    <row r="30652" spans="1:8" x14ac:dyDescent="0.25">
      <c r="A30652" s="1"/>
      <c r="B30652" s="1" t="s">
        <v>8275</v>
      </c>
      <c r="C30652" s="1" t="s">
        <v>8276</v>
      </c>
      <c r="D30652" s="1" t="str">
        <f>HYPERLINK("https://rhld.insurance.arkansas.gov/NPILookup?Npi=1265058804","1265058804")</f>
        <v>1265058804</v>
      </c>
      <c r="E30652" s="1" t="s">
        <v>32167</v>
      </c>
      <c r="F30652" s="2"/>
      <c r="G30652" s="2"/>
      <c r="H30652" s="2"/>
    </row>
    <row r="30653" spans="1:8" x14ac:dyDescent="0.25">
      <c r="A30653" s="1"/>
      <c r="B30653" s="1" t="s">
        <v>8275</v>
      </c>
      <c r="C30653" s="1" t="s">
        <v>8276</v>
      </c>
      <c r="D30653" s="1" t="str">
        <f>HYPERLINK("https://rhld.insurance.arkansas.gov/NPILookup?Npi=1265060115","1265060115")</f>
        <v>1265060115</v>
      </c>
      <c r="E30653" s="1" t="s">
        <v>13899</v>
      </c>
      <c r="F30653" s="2"/>
      <c r="G30653" s="2"/>
      <c r="H30653" s="2"/>
    </row>
    <row r="30654" spans="1:8" x14ac:dyDescent="0.25">
      <c r="A30654" s="1"/>
      <c r="B30654" s="1" t="s">
        <v>8275</v>
      </c>
      <c r="C30654" s="1" t="s">
        <v>8276</v>
      </c>
      <c r="D30654" s="1" t="str">
        <f>HYPERLINK("https://rhld.insurance.arkansas.gov/NPILookup?Npi=1265060479","1265060479")</f>
        <v>1265060479</v>
      </c>
      <c r="E30654" s="1" t="s">
        <v>26265</v>
      </c>
      <c r="F30654" s="2"/>
      <c r="G30654" s="2"/>
      <c r="H30654" s="2"/>
    </row>
    <row r="30655" spans="1:8" x14ac:dyDescent="0.25">
      <c r="A30655" s="1"/>
      <c r="B30655" s="1" t="s">
        <v>8275</v>
      </c>
      <c r="C30655" s="1" t="s">
        <v>8276</v>
      </c>
      <c r="D30655" s="1" t="str">
        <f>HYPERLINK("https://rhld.insurance.arkansas.gov/NPILookup?Npi=1265168702","1265168702")</f>
        <v>1265168702</v>
      </c>
      <c r="E30655" s="1" t="s">
        <v>32168</v>
      </c>
      <c r="F30655" s="2"/>
      <c r="G30655" s="2"/>
      <c r="H30655" s="2"/>
    </row>
    <row r="30656" spans="1:8" x14ac:dyDescent="0.25">
      <c r="A30656" s="1"/>
      <c r="B30656" s="1" t="s">
        <v>8275</v>
      </c>
      <c r="C30656" s="1" t="s">
        <v>8276</v>
      </c>
      <c r="D30656" s="1" t="str">
        <f>HYPERLINK("https://rhld.insurance.arkansas.gov/NPILookup?Npi=1265255202","1265255202")</f>
        <v>1265255202</v>
      </c>
      <c r="E30656" s="1" t="s">
        <v>32169</v>
      </c>
      <c r="F30656" s="2"/>
      <c r="G30656" s="2"/>
      <c r="H30656" s="2"/>
    </row>
    <row r="30657" spans="1:8" x14ac:dyDescent="0.25">
      <c r="A30657" s="1"/>
      <c r="B30657" s="1" t="s">
        <v>8275</v>
      </c>
      <c r="C30657" s="1" t="s">
        <v>8276</v>
      </c>
      <c r="D30657" s="1" t="str">
        <f>HYPERLINK("https://rhld.insurance.arkansas.gov/NPILookup?Npi=1265278923","1265278923")</f>
        <v>1265278923</v>
      </c>
      <c r="E30657" s="1" t="s">
        <v>32170</v>
      </c>
      <c r="F30657" s="2"/>
      <c r="G30657" s="2"/>
      <c r="H30657" s="2"/>
    </row>
    <row r="30658" spans="1:8" x14ac:dyDescent="0.25">
      <c r="A30658" s="1"/>
      <c r="B30658" s="1" t="s">
        <v>8275</v>
      </c>
      <c r="C30658" s="1" t="s">
        <v>8276</v>
      </c>
      <c r="D30658" s="1" t="str">
        <f>HYPERLINK("https://rhld.insurance.arkansas.gov/NPILookup?Npi=1265407936","1265407936")</f>
        <v>1265407936</v>
      </c>
      <c r="E30658" s="1" t="s">
        <v>26272</v>
      </c>
      <c r="F30658" s="2"/>
      <c r="G30658" s="2"/>
      <c r="H30658" s="2"/>
    </row>
    <row r="30659" spans="1:8" x14ac:dyDescent="0.25">
      <c r="A30659" s="1"/>
      <c r="B30659" s="1" t="s">
        <v>8275</v>
      </c>
      <c r="C30659" s="1" t="s">
        <v>8276</v>
      </c>
      <c r="D30659" s="1" t="str">
        <f>HYPERLINK("https://rhld.insurance.arkansas.gov/NPILookup?Npi=1265430201","1265430201")</f>
        <v>1265430201</v>
      </c>
      <c r="E30659" s="1" t="s">
        <v>10258</v>
      </c>
      <c r="F30659" s="2"/>
      <c r="G30659" s="2"/>
      <c r="H30659" s="2"/>
    </row>
    <row r="30660" spans="1:8" x14ac:dyDescent="0.25">
      <c r="A30660" s="1"/>
      <c r="B30660" s="1" t="s">
        <v>8275</v>
      </c>
      <c r="C30660" s="1" t="s">
        <v>8276</v>
      </c>
      <c r="D30660" s="1" t="str">
        <f>HYPERLINK("https://rhld.insurance.arkansas.gov/NPILookup?Npi=1265450654","1265450654")</f>
        <v>1265450654</v>
      </c>
      <c r="E30660" s="1" t="s">
        <v>26275</v>
      </c>
      <c r="F30660" s="2"/>
      <c r="G30660" s="2"/>
      <c r="H30660" s="2"/>
    </row>
    <row r="30661" spans="1:8" x14ac:dyDescent="0.25">
      <c r="A30661" s="1"/>
      <c r="B30661" s="1" t="s">
        <v>8275</v>
      </c>
      <c r="C30661" s="1" t="s">
        <v>8276</v>
      </c>
      <c r="D30661" s="1" t="str">
        <f>HYPERLINK("https://rhld.insurance.arkansas.gov/NPILookup?Npi=1265514368","1265514368")</f>
        <v>1265514368</v>
      </c>
      <c r="E30661" s="1" t="s">
        <v>7597</v>
      </c>
      <c r="F30661" s="2"/>
      <c r="G30661" s="2"/>
      <c r="H30661" s="2"/>
    </row>
    <row r="30662" spans="1:8" x14ac:dyDescent="0.25">
      <c r="A30662" s="1"/>
      <c r="B30662" s="1" t="s">
        <v>8275</v>
      </c>
      <c r="C30662" s="1" t="s">
        <v>8276</v>
      </c>
      <c r="D30662" s="1" t="str">
        <f>HYPERLINK("https://rhld.insurance.arkansas.gov/NPILookup?Npi=1265532097","1265532097")</f>
        <v>1265532097</v>
      </c>
      <c r="E30662" s="1" t="s">
        <v>3131</v>
      </c>
      <c r="F30662" s="2"/>
      <c r="G30662" s="2"/>
      <c r="H30662" s="2"/>
    </row>
    <row r="30663" spans="1:8" x14ac:dyDescent="0.25">
      <c r="A30663" s="1"/>
      <c r="B30663" s="1" t="s">
        <v>8275</v>
      </c>
      <c r="C30663" s="1" t="s">
        <v>8276</v>
      </c>
      <c r="D30663" s="1" t="str">
        <f>HYPERLINK("https://rhld.insurance.arkansas.gov/NPILookup?Npi=1265545875","1265545875")</f>
        <v>1265545875</v>
      </c>
      <c r="E30663" s="1" t="s">
        <v>26283</v>
      </c>
      <c r="F30663" s="2"/>
      <c r="G30663" s="2"/>
      <c r="H30663" s="2"/>
    </row>
    <row r="30664" spans="1:8" x14ac:dyDescent="0.25">
      <c r="A30664" s="1"/>
      <c r="B30664" s="1" t="s">
        <v>8275</v>
      </c>
      <c r="C30664" s="1" t="s">
        <v>8276</v>
      </c>
      <c r="D30664" s="1" t="str">
        <f>HYPERLINK("https://rhld.insurance.arkansas.gov/NPILookup?Npi=1265651590","1265651590")</f>
        <v>1265651590</v>
      </c>
      <c r="E30664" s="1" t="s">
        <v>13900</v>
      </c>
      <c r="F30664" s="2"/>
      <c r="G30664" s="2"/>
      <c r="H30664" s="2"/>
    </row>
    <row r="30665" spans="1:8" x14ac:dyDescent="0.25">
      <c r="A30665" s="1"/>
      <c r="B30665" s="1" t="s">
        <v>8275</v>
      </c>
      <c r="C30665" s="1" t="s">
        <v>8276</v>
      </c>
      <c r="D30665" s="1" t="str">
        <f>HYPERLINK("https://rhld.insurance.arkansas.gov/NPILookup?Npi=1265662092","1265662092")</f>
        <v>1265662092</v>
      </c>
      <c r="E30665" s="1" t="s">
        <v>2733</v>
      </c>
      <c r="F30665" s="2"/>
      <c r="G30665" s="2"/>
      <c r="H30665" s="2"/>
    </row>
    <row r="30666" spans="1:8" x14ac:dyDescent="0.25">
      <c r="A30666" s="1"/>
      <c r="B30666" s="1" t="s">
        <v>8275</v>
      </c>
      <c r="C30666" s="1" t="s">
        <v>8276</v>
      </c>
      <c r="D30666" s="1" t="str">
        <f>HYPERLINK("https://rhld.insurance.arkansas.gov/NPILookup?Npi=1265724900","1265724900")</f>
        <v>1265724900</v>
      </c>
      <c r="E30666" s="1" t="s">
        <v>4315</v>
      </c>
      <c r="F30666" s="2"/>
      <c r="G30666" s="2"/>
      <c r="H30666" s="2"/>
    </row>
    <row r="30667" spans="1:8" x14ac:dyDescent="0.25">
      <c r="A30667" s="1"/>
      <c r="B30667" s="1" t="s">
        <v>8275</v>
      </c>
      <c r="C30667" s="1" t="s">
        <v>8276</v>
      </c>
      <c r="D30667" s="1" t="str">
        <f>HYPERLINK("https://rhld.insurance.arkansas.gov/NPILookup?Npi=1265756712","1265756712")</f>
        <v>1265756712</v>
      </c>
      <c r="E30667" s="1" t="s">
        <v>29637</v>
      </c>
      <c r="F30667" s="2"/>
      <c r="G30667" s="2"/>
      <c r="H30667" s="2"/>
    </row>
    <row r="30668" spans="1:8" x14ac:dyDescent="0.25">
      <c r="A30668" s="1"/>
      <c r="B30668" s="1" t="s">
        <v>8275</v>
      </c>
      <c r="C30668" s="1" t="s">
        <v>8276</v>
      </c>
      <c r="D30668" s="1" t="str">
        <f>HYPERLINK("https://rhld.insurance.arkansas.gov/NPILookup?Npi=1265782601","1265782601")</f>
        <v>1265782601</v>
      </c>
      <c r="E30668" s="1" t="s">
        <v>31840</v>
      </c>
      <c r="F30668" s="2"/>
      <c r="G30668" s="2"/>
      <c r="H30668" s="2"/>
    </row>
    <row r="30669" spans="1:8" x14ac:dyDescent="0.25">
      <c r="A30669" s="1"/>
      <c r="B30669" s="1" t="s">
        <v>8275</v>
      </c>
      <c r="C30669" s="1" t="s">
        <v>8276</v>
      </c>
      <c r="D30669" s="1" t="str">
        <f>HYPERLINK("https://rhld.insurance.arkansas.gov/NPILookup?Npi=1265822035","1265822035")</f>
        <v>1265822035</v>
      </c>
      <c r="E30669" s="1" t="s">
        <v>32171</v>
      </c>
      <c r="F30669" s="2"/>
      <c r="G30669" s="2"/>
      <c r="H30669" s="2"/>
    </row>
    <row r="30670" spans="1:8" x14ac:dyDescent="0.25">
      <c r="A30670" s="1"/>
      <c r="B30670" s="1" t="s">
        <v>8275</v>
      </c>
      <c r="C30670" s="1" t="s">
        <v>8276</v>
      </c>
      <c r="D30670" s="1" t="str">
        <f>HYPERLINK("https://rhld.insurance.arkansas.gov/NPILookup?Npi=1265826093","1265826093")</f>
        <v>1265826093</v>
      </c>
      <c r="E30670" s="1" t="s">
        <v>32172</v>
      </c>
      <c r="F30670" s="2"/>
      <c r="G30670" s="2"/>
      <c r="H30670" s="2"/>
    </row>
    <row r="30671" spans="1:8" x14ac:dyDescent="0.25">
      <c r="A30671" s="1"/>
      <c r="B30671" s="1" t="s">
        <v>8275</v>
      </c>
      <c r="C30671" s="1" t="s">
        <v>8276</v>
      </c>
      <c r="D30671" s="1" t="str">
        <f>HYPERLINK("https://rhld.insurance.arkansas.gov/NPILookup?Npi=1265886188","1265886188")</f>
        <v>1265886188</v>
      </c>
      <c r="E30671" s="1" t="s">
        <v>8296</v>
      </c>
      <c r="F30671" s="2"/>
      <c r="G30671" s="2"/>
      <c r="H30671" s="2"/>
    </row>
    <row r="30672" spans="1:8" x14ac:dyDescent="0.25">
      <c r="A30672" s="1"/>
      <c r="B30672" s="1" t="s">
        <v>8275</v>
      </c>
      <c r="C30672" s="1" t="s">
        <v>8276</v>
      </c>
      <c r="D30672" s="1" t="str">
        <f>HYPERLINK("https://rhld.insurance.arkansas.gov/NPILookup?Npi=1265925358","1265925358")</f>
        <v>1265925358</v>
      </c>
      <c r="E30672" s="1" t="s">
        <v>32173</v>
      </c>
      <c r="F30672" s="2"/>
      <c r="G30672" s="2"/>
      <c r="H30672" s="2"/>
    </row>
    <row r="30673" spans="1:8" x14ac:dyDescent="0.25">
      <c r="A30673" s="1"/>
      <c r="B30673" s="1" t="s">
        <v>8275</v>
      </c>
      <c r="C30673" s="1" t="s">
        <v>8276</v>
      </c>
      <c r="D30673" s="1" t="str">
        <f>HYPERLINK("https://rhld.insurance.arkansas.gov/NPILookup?Npi=1275029241","1275029241")</f>
        <v>1275029241</v>
      </c>
      <c r="E30673" s="1" t="s">
        <v>29638</v>
      </c>
      <c r="F30673" s="2"/>
      <c r="G30673" s="2"/>
      <c r="H30673" s="2"/>
    </row>
    <row r="30674" spans="1:8" x14ac:dyDescent="0.25">
      <c r="A30674" s="1"/>
      <c r="B30674" s="1" t="s">
        <v>8275</v>
      </c>
      <c r="C30674" s="1" t="s">
        <v>8276</v>
      </c>
      <c r="D30674" s="1" t="str">
        <f>HYPERLINK("https://rhld.insurance.arkansas.gov/NPILookup?Npi=1275041923","1275041923")</f>
        <v>1275041923</v>
      </c>
      <c r="E30674" s="1" t="s">
        <v>26308</v>
      </c>
      <c r="F30674" s="2"/>
      <c r="G30674" s="2"/>
      <c r="H30674" s="2"/>
    </row>
    <row r="30675" spans="1:8" x14ac:dyDescent="0.25">
      <c r="A30675" s="1"/>
      <c r="B30675" s="1" t="s">
        <v>8275</v>
      </c>
      <c r="C30675" s="1" t="s">
        <v>8276</v>
      </c>
      <c r="D30675" s="1" t="str">
        <f>HYPERLINK("https://rhld.insurance.arkansas.gov/NPILookup?Npi=1275086902","1275086902")</f>
        <v>1275086902</v>
      </c>
      <c r="E30675" s="1" t="s">
        <v>26312</v>
      </c>
      <c r="F30675" s="2"/>
      <c r="G30675" s="2"/>
      <c r="H30675" s="2"/>
    </row>
    <row r="30676" spans="1:8" x14ac:dyDescent="0.25">
      <c r="A30676" s="1"/>
      <c r="B30676" s="1" t="s">
        <v>8275</v>
      </c>
      <c r="C30676" s="1" t="s">
        <v>8276</v>
      </c>
      <c r="D30676" s="1" t="str">
        <f>HYPERLINK("https://rhld.insurance.arkansas.gov/NPILookup?Npi=1275501470","1275501470")</f>
        <v>1275501470</v>
      </c>
      <c r="E30676" s="1" t="s">
        <v>29639</v>
      </c>
      <c r="F30676" s="2"/>
      <c r="G30676" s="2"/>
      <c r="H30676" s="2"/>
    </row>
    <row r="30677" spans="1:8" x14ac:dyDescent="0.25">
      <c r="A30677" s="1"/>
      <c r="B30677" s="1" t="s">
        <v>8275</v>
      </c>
      <c r="C30677" s="1" t="s">
        <v>8276</v>
      </c>
      <c r="D30677" s="1" t="str">
        <f>HYPERLINK("https://rhld.insurance.arkansas.gov/NPILookup?Npi=1275559924","1275559924")</f>
        <v>1275559924</v>
      </c>
      <c r="E30677" s="1" t="s">
        <v>20094</v>
      </c>
      <c r="F30677" s="2"/>
      <c r="G30677" s="2"/>
      <c r="H30677" s="2"/>
    </row>
    <row r="30678" spans="1:8" x14ac:dyDescent="0.25">
      <c r="A30678" s="1"/>
      <c r="B30678" s="1" t="s">
        <v>8275</v>
      </c>
      <c r="C30678" s="1" t="s">
        <v>8276</v>
      </c>
      <c r="D30678" s="1" t="str">
        <f>HYPERLINK("https://rhld.insurance.arkansas.gov/NPILookup?Npi=1275599987","1275599987")</f>
        <v>1275599987</v>
      </c>
      <c r="E30678" s="1" t="s">
        <v>136</v>
      </c>
      <c r="F30678" s="2"/>
      <c r="G30678" s="2"/>
      <c r="H30678" s="2"/>
    </row>
    <row r="30679" spans="1:8" x14ac:dyDescent="0.25">
      <c r="A30679" s="1"/>
      <c r="B30679" s="1" t="s">
        <v>8275</v>
      </c>
      <c r="C30679" s="1" t="s">
        <v>8276</v>
      </c>
      <c r="D30679" s="1" t="str">
        <f>HYPERLINK("https://rhld.insurance.arkansas.gov/NPILookup?Npi=1275624868","1275624868")</f>
        <v>1275624868</v>
      </c>
      <c r="E30679" s="1" t="s">
        <v>26335</v>
      </c>
      <c r="F30679" s="2"/>
      <c r="G30679" s="2"/>
      <c r="H30679" s="2"/>
    </row>
    <row r="30680" spans="1:8" x14ac:dyDescent="0.25">
      <c r="A30680" s="1"/>
      <c r="B30680" s="1" t="s">
        <v>8275</v>
      </c>
      <c r="C30680" s="1" t="s">
        <v>8276</v>
      </c>
      <c r="D30680" s="1" t="str">
        <f>HYPERLINK("https://rhld.insurance.arkansas.gov/NPILookup?Npi=1275628349","1275628349")</f>
        <v>1275628349</v>
      </c>
      <c r="E30680" s="1" t="s">
        <v>1087</v>
      </c>
      <c r="F30680" s="2"/>
      <c r="G30680" s="2"/>
      <c r="H30680" s="2"/>
    </row>
    <row r="30681" spans="1:8" x14ac:dyDescent="0.25">
      <c r="A30681" s="1"/>
      <c r="B30681" s="1" t="s">
        <v>8275</v>
      </c>
      <c r="C30681" s="1" t="s">
        <v>8276</v>
      </c>
      <c r="D30681" s="1" t="str">
        <f>HYPERLINK("https://rhld.insurance.arkansas.gov/NPILookup?Npi=1275714537","1275714537")</f>
        <v>1275714537</v>
      </c>
      <c r="E30681" s="1" t="s">
        <v>292</v>
      </c>
      <c r="F30681" s="2"/>
      <c r="G30681" s="2"/>
      <c r="H30681" s="2"/>
    </row>
    <row r="30682" spans="1:8" x14ac:dyDescent="0.25">
      <c r="A30682" s="1"/>
      <c r="B30682" s="1" t="s">
        <v>8275</v>
      </c>
      <c r="C30682" s="1" t="s">
        <v>8276</v>
      </c>
      <c r="D30682" s="1" t="str">
        <f>HYPERLINK("https://rhld.insurance.arkansas.gov/NPILookup?Npi=1275780736","1275780736")</f>
        <v>1275780736</v>
      </c>
      <c r="E30682" s="1" t="s">
        <v>26340</v>
      </c>
      <c r="F30682" s="2"/>
      <c r="G30682" s="2"/>
      <c r="H30682" s="2"/>
    </row>
    <row r="30683" spans="1:8" x14ac:dyDescent="0.25">
      <c r="A30683" s="1"/>
      <c r="B30683" s="1" t="s">
        <v>8275</v>
      </c>
      <c r="C30683" s="1" t="s">
        <v>8276</v>
      </c>
      <c r="D30683" s="1" t="str">
        <f>HYPERLINK("https://rhld.insurance.arkansas.gov/NPILookup?Npi=1275868598","1275868598")</f>
        <v>1275868598</v>
      </c>
      <c r="E30683" s="1" t="s">
        <v>32451</v>
      </c>
      <c r="F30683" s="2"/>
      <c r="G30683" s="2"/>
      <c r="H30683" s="2"/>
    </row>
    <row r="30684" spans="1:8" x14ac:dyDescent="0.25">
      <c r="A30684" s="1"/>
      <c r="B30684" s="1" t="s">
        <v>8275</v>
      </c>
      <c r="C30684" s="1" t="s">
        <v>8276</v>
      </c>
      <c r="D30684" s="1" t="str">
        <f>HYPERLINK("https://rhld.insurance.arkansas.gov/NPILookup?Npi=1275935363","1275935363")</f>
        <v>1275935363</v>
      </c>
      <c r="E30684" s="1" t="s">
        <v>26348</v>
      </c>
      <c r="F30684" s="2"/>
      <c r="G30684" s="2"/>
      <c r="H30684" s="2"/>
    </row>
    <row r="30685" spans="1:8" x14ac:dyDescent="0.25">
      <c r="A30685" s="1"/>
      <c r="B30685" s="1" t="s">
        <v>8275</v>
      </c>
      <c r="C30685" s="1" t="s">
        <v>8276</v>
      </c>
      <c r="D30685" s="1" t="str">
        <f>HYPERLINK("https://rhld.insurance.arkansas.gov/NPILookup?Npi=1275936163","1275936163")</f>
        <v>1275936163</v>
      </c>
      <c r="E30685" s="1" t="s">
        <v>1024</v>
      </c>
      <c r="F30685" s="2"/>
      <c r="G30685" s="2"/>
      <c r="H30685" s="2"/>
    </row>
    <row r="30686" spans="1:8" x14ac:dyDescent="0.25">
      <c r="A30686" s="1"/>
      <c r="B30686" s="1" t="s">
        <v>8275</v>
      </c>
      <c r="C30686" s="1" t="s">
        <v>8276</v>
      </c>
      <c r="D30686" s="1" t="str">
        <f>HYPERLINK("https://rhld.insurance.arkansas.gov/NPILookup?Npi=1275996944","1275996944")</f>
        <v>1275996944</v>
      </c>
      <c r="E30686" s="1" t="s">
        <v>26353</v>
      </c>
      <c r="F30686" s="2"/>
      <c r="G30686" s="2"/>
      <c r="H30686" s="2"/>
    </row>
    <row r="30687" spans="1:8" x14ac:dyDescent="0.25">
      <c r="A30687" s="1"/>
      <c r="B30687" s="1" t="s">
        <v>8275</v>
      </c>
      <c r="C30687" s="1" t="s">
        <v>8276</v>
      </c>
      <c r="D30687" s="1" t="str">
        <f>HYPERLINK("https://rhld.insurance.arkansas.gov/NPILookup?Npi=1285019380","1285019380")</f>
        <v>1285019380</v>
      </c>
      <c r="E30687" s="1" t="s">
        <v>26355</v>
      </c>
      <c r="F30687" s="2"/>
      <c r="G30687" s="2"/>
      <c r="H30687" s="2"/>
    </row>
    <row r="30688" spans="1:8" x14ac:dyDescent="0.25">
      <c r="A30688" s="1"/>
      <c r="B30688" s="1" t="s">
        <v>8275</v>
      </c>
      <c r="C30688" s="1" t="s">
        <v>8276</v>
      </c>
      <c r="D30688" s="1" t="str">
        <f>HYPERLINK("https://rhld.insurance.arkansas.gov/NPILookup?Npi=1285025262","1285025262")</f>
        <v>1285025262</v>
      </c>
      <c r="E30688" s="1" t="s">
        <v>12931</v>
      </c>
      <c r="F30688" s="2"/>
      <c r="G30688" s="2"/>
      <c r="H30688" s="2"/>
    </row>
    <row r="30689" spans="1:8" x14ac:dyDescent="0.25">
      <c r="A30689" s="1"/>
      <c r="B30689" s="1" t="s">
        <v>8275</v>
      </c>
      <c r="C30689" s="1" t="s">
        <v>8276</v>
      </c>
      <c r="D30689" s="1" t="str">
        <f>HYPERLINK("https://rhld.insurance.arkansas.gov/NPILookup?Npi=1285099440","1285099440")</f>
        <v>1285099440</v>
      </c>
      <c r="E30689" s="1" t="s">
        <v>32175</v>
      </c>
      <c r="F30689" s="2"/>
      <c r="G30689" s="2"/>
      <c r="H30689" s="2"/>
    </row>
    <row r="30690" spans="1:8" x14ac:dyDescent="0.25">
      <c r="A30690" s="1"/>
      <c r="B30690" s="1" t="s">
        <v>8275</v>
      </c>
      <c r="C30690" s="1" t="s">
        <v>8276</v>
      </c>
      <c r="D30690" s="1" t="str">
        <f>HYPERLINK("https://rhld.insurance.arkansas.gov/NPILookup?Npi=1285166447","1285166447")</f>
        <v>1285166447</v>
      </c>
      <c r="E30690" s="1" t="s">
        <v>8297</v>
      </c>
      <c r="F30690" s="2"/>
      <c r="G30690" s="2"/>
      <c r="H30690" s="2"/>
    </row>
    <row r="30691" spans="1:8" x14ac:dyDescent="0.25">
      <c r="A30691" s="1"/>
      <c r="B30691" s="1" t="s">
        <v>8275</v>
      </c>
      <c r="C30691" s="1" t="s">
        <v>8276</v>
      </c>
      <c r="D30691" s="1" t="str">
        <f>HYPERLINK("https://rhld.insurance.arkansas.gov/NPILookup?Npi=1285171876","1285171876")</f>
        <v>1285171876</v>
      </c>
      <c r="E30691" s="1" t="s">
        <v>21730</v>
      </c>
      <c r="F30691" s="2"/>
      <c r="G30691" s="2"/>
      <c r="H30691" s="2"/>
    </row>
    <row r="30692" spans="1:8" x14ac:dyDescent="0.25">
      <c r="A30692" s="1"/>
      <c r="B30692" s="1" t="s">
        <v>8275</v>
      </c>
      <c r="C30692" s="1" t="s">
        <v>8276</v>
      </c>
      <c r="D30692" s="1" t="str">
        <f>HYPERLINK("https://rhld.insurance.arkansas.gov/NPILookup?Npi=1285214346","1285214346")</f>
        <v>1285214346</v>
      </c>
      <c r="E30692" s="1" t="s">
        <v>31426</v>
      </c>
      <c r="F30692" s="2"/>
      <c r="G30692" s="2"/>
      <c r="H30692" s="2"/>
    </row>
    <row r="30693" spans="1:8" x14ac:dyDescent="0.25">
      <c r="A30693" s="1"/>
      <c r="B30693" s="1" t="s">
        <v>8275</v>
      </c>
      <c r="C30693" s="1" t="s">
        <v>8276</v>
      </c>
      <c r="D30693" s="1" t="str">
        <f>HYPERLINK("https://rhld.insurance.arkansas.gov/NPILookup?Npi=1285235937","1285235937")</f>
        <v>1285235937</v>
      </c>
      <c r="E30693" s="1" t="s">
        <v>7617</v>
      </c>
      <c r="F30693" s="2"/>
      <c r="G30693" s="2"/>
      <c r="H30693" s="2"/>
    </row>
    <row r="30694" spans="1:8" x14ac:dyDescent="0.25">
      <c r="A30694" s="1"/>
      <c r="B30694" s="1" t="s">
        <v>8275</v>
      </c>
      <c r="C30694" s="1" t="s">
        <v>8276</v>
      </c>
      <c r="D30694" s="1" t="str">
        <f>HYPERLINK("https://rhld.insurance.arkansas.gov/NPILookup?Npi=1285612671","1285612671")</f>
        <v>1285612671</v>
      </c>
      <c r="E30694" s="1" t="s">
        <v>29640</v>
      </c>
      <c r="F30694" s="2"/>
      <c r="G30694" s="2"/>
      <c r="H30694" s="2"/>
    </row>
    <row r="30695" spans="1:8" x14ac:dyDescent="0.25">
      <c r="A30695" s="1"/>
      <c r="B30695" s="1" t="s">
        <v>8275</v>
      </c>
      <c r="C30695" s="1" t="s">
        <v>8276</v>
      </c>
      <c r="D30695" s="1" t="str">
        <f>HYPERLINK("https://rhld.insurance.arkansas.gov/NPILookup?Npi=1285654285","1285654285")</f>
        <v>1285654285</v>
      </c>
      <c r="E30695" s="1" t="s">
        <v>29641</v>
      </c>
      <c r="F30695" s="2"/>
      <c r="G30695" s="2"/>
      <c r="H30695" s="2"/>
    </row>
    <row r="30696" spans="1:8" x14ac:dyDescent="0.25">
      <c r="A30696" s="1"/>
      <c r="B30696" s="1" t="s">
        <v>8275</v>
      </c>
      <c r="C30696" s="1" t="s">
        <v>8276</v>
      </c>
      <c r="D30696" s="1" t="str">
        <f>HYPERLINK("https://rhld.insurance.arkansas.gov/NPILookup?Npi=1285679068","1285679068")</f>
        <v>1285679068</v>
      </c>
      <c r="E30696" s="1" t="s">
        <v>29642</v>
      </c>
      <c r="F30696" s="2"/>
      <c r="G30696" s="2"/>
      <c r="H30696" s="2"/>
    </row>
    <row r="30697" spans="1:8" x14ac:dyDescent="0.25">
      <c r="A30697" s="1"/>
      <c r="B30697" s="1" t="s">
        <v>8275</v>
      </c>
      <c r="C30697" s="1" t="s">
        <v>8276</v>
      </c>
      <c r="D30697" s="1" t="str">
        <f>HYPERLINK("https://rhld.insurance.arkansas.gov/NPILookup?Npi=1285682849","1285682849")</f>
        <v>1285682849</v>
      </c>
      <c r="E30697" s="1" t="s">
        <v>17383</v>
      </c>
      <c r="F30697" s="2"/>
      <c r="G30697" s="2"/>
      <c r="H30697" s="2"/>
    </row>
    <row r="30698" spans="1:8" x14ac:dyDescent="0.25">
      <c r="A30698" s="1"/>
      <c r="B30698" s="1" t="s">
        <v>8275</v>
      </c>
      <c r="C30698" s="1" t="s">
        <v>8276</v>
      </c>
      <c r="D30698" s="1" t="str">
        <f>HYPERLINK("https://rhld.insurance.arkansas.gov/NPILookup?Npi=1285697839","1285697839")</f>
        <v>1285697839</v>
      </c>
      <c r="E30698" s="1" t="s">
        <v>12934</v>
      </c>
      <c r="F30698" s="2"/>
      <c r="G30698" s="2"/>
      <c r="H30698" s="2"/>
    </row>
    <row r="30699" spans="1:8" x14ac:dyDescent="0.25">
      <c r="A30699" s="1"/>
      <c r="B30699" s="1" t="s">
        <v>8275</v>
      </c>
      <c r="C30699" s="1" t="s">
        <v>8276</v>
      </c>
      <c r="D30699" s="1" t="str">
        <f>HYPERLINK("https://rhld.insurance.arkansas.gov/NPILookup?Npi=1285766709","1285766709")</f>
        <v>1285766709</v>
      </c>
      <c r="E30699" s="1" t="s">
        <v>29643</v>
      </c>
      <c r="F30699" s="2"/>
      <c r="G30699" s="2"/>
      <c r="H30699" s="2"/>
    </row>
    <row r="30700" spans="1:8" x14ac:dyDescent="0.25">
      <c r="A30700" s="1"/>
      <c r="B30700" s="1" t="s">
        <v>8275</v>
      </c>
      <c r="C30700" s="1" t="s">
        <v>8276</v>
      </c>
      <c r="D30700" s="1" t="str">
        <f>HYPERLINK("https://rhld.insurance.arkansas.gov/NPILookup?Npi=1285780809","1285780809")</f>
        <v>1285780809</v>
      </c>
      <c r="E30700" s="1" t="s">
        <v>26394</v>
      </c>
      <c r="F30700" s="2"/>
      <c r="G30700" s="2"/>
      <c r="H30700" s="2"/>
    </row>
    <row r="30701" spans="1:8" x14ac:dyDescent="0.25">
      <c r="A30701" s="1"/>
      <c r="B30701" s="1" t="s">
        <v>8275</v>
      </c>
      <c r="C30701" s="1" t="s">
        <v>8276</v>
      </c>
      <c r="D30701" s="1" t="str">
        <f>HYPERLINK("https://rhld.insurance.arkansas.gov/NPILookup?Npi=1285805358","1285805358")</f>
        <v>1285805358</v>
      </c>
      <c r="E30701" s="1" t="s">
        <v>2748</v>
      </c>
      <c r="F30701" s="2"/>
      <c r="G30701" s="2"/>
      <c r="H30701" s="2"/>
    </row>
    <row r="30702" spans="1:8" x14ac:dyDescent="0.25">
      <c r="A30702" s="1"/>
      <c r="B30702" s="1" t="s">
        <v>8275</v>
      </c>
      <c r="C30702" s="1" t="s">
        <v>8276</v>
      </c>
      <c r="D30702" s="1" t="str">
        <f>HYPERLINK("https://rhld.insurance.arkansas.gov/NPILookup?Npi=1285808121","1285808121")</f>
        <v>1285808121</v>
      </c>
      <c r="E30702" s="1" t="s">
        <v>29644</v>
      </c>
      <c r="F30702" s="2"/>
      <c r="G30702" s="2"/>
      <c r="H30702" s="2"/>
    </row>
    <row r="30703" spans="1:8" x14ac:dyDescent="0.25">
      <c r="A30703" s="1"/>
      <c r="B30703" s="1" t="s">
        <v>8275</v>
      </c>
      <c r="C30703" s="1" t="s">
        <v>8276</v>
      </c>
      <c r="D30703" s="1" t="str">
        <f>HYPERLINK("https://rhld.insurance.arkansas.gov/NPILookup?Npi=1285853515","1285853515")</f>
        <v>1285853515</v>
      </c>
      <c r="E30703" s="1" t="s">
        <v>29645</v>
      </c>
      <c r="F30703" s="2"/>
      <c r="G30703" s="2"/>
      <c r="H30703" s="2"/>
    </row>
    <row r="30704" spans="1:8" x14ac:dyDescent="0.25">
      <c r="A30704" s="1"/>
      <c r="B30704" s="1" t="s">
        <v>8275</v>
      </c>
      <c r="C30704" s="1" t="s">
        <v>8276</v>
      </c>
      <c r="D30704" s="1" t="str">
        <f>HYPERLINK("https://rhld.insurance.arkansas.gov/NPILookup?Npi=1285958835","1285958835")</f>
        <v>1285958835</v>
      </c>
      <c r="E30704" s="1" t="s">
        <v>8298</v>
      </c>
      <c r="F30704" s="2"/>
      <c r="G30704" s="2"/>
      <c r="H30704" s="2"/>
    </row>
    <row r="30705" spans="1:8" x14ac:dyDescent="0.25">
      <c r="A30705" s="1"/>
      <c r="B30705" s="1" t="s">
        <v>8275</v>
      </c>
      <c r="C30705" s="1" t="s">
        <v>8276</v>
      </c>
      <c r="D30705" s="1" t="str">
        <f>HYPERLINK("https://rhld.insurance.arkansas.gov/NPILookup?Npi=1285977025","1285977025")</f>
        <v>1285977025</v>
      </c>
      <c r="E30705" s="1" t="s">
        <v>29646</v>
      </c>
      <c r="F30705" s="2"/>
      <c r="G30705" s="2"/>
      <c r="H30705" s="2"/>
    </row>
    <row r="30706" spans="1:8" x14ac:dyDescent="0.25">
      <c r="A30706" s="1"/>
      <c r="B30706" s="1" t="s">
        <v>8275</v>
      </c>
      <c r="C30706" s="1" t="s">
        <v>8276</v>
      </c>
      <c r="D30706" s="1" t="str">
        <f>HYPERLINK("https://rhld.insurance.arkansas.gov/NPILookup?Npi=1285977843","1285977843")</f>
        <v>1285977843</v>
      </c>
      <c r="E30706" s="1" t="s">
        <v>29647</v>
      </c>
      <c r="F30706" s="2"/>
      <c r="G30706" s="2"/>
      <c r="H30706" s="2"/>
    </row>
    <row r="30707" spans="1:8" x14ac:dyDescent="0.25">
      <c r="A30707" s="1"/>
      <c r="B30707" s="1" t="s">
        <v>8275</v>
      </c>
      <c r="C30707" s="1" t="s">
        <v>8276</v>
      </c>
      <c r="D30707" s="1" t="str">
        <f>HYPERLINK("https://rhld.insurance.arkansas.gov/NPILookup?Npi=1295051167","1295051167")</f>
        <v>1295051167</v>
      </c>
      <c r="E30707" s="1" t="s">
        <v>29648</v>
      </c>
      <c r="F30707" s="2"/>
      <c r="G30707" s="2"/>
      <c r="H30707" s="2"/>
    </row>
    <row r="30708" spans="1:8" x14ac:dyDescent="0.25">
      <c r="A30708" s="1"/>
      <c r="B30708" s="1" t="s">
        <v>8275</v>
      </c>
      <c r="C30708" s="1" t="s">
        <v>8276</v>
      </c>
      <c r="D30708" s="1" t="str">
        <f>HYPERLINK("https://rhld.insurance.arkansas.gov/NPILookup?Npi=1295077741","1295077741")</f>
        <v>1295077741</v>
      </c>
      <c r="E30708" s="1" t="s">
        <v>3132</v>
      </c>
      <c r="F30708" s="2"/>
      <c r="G30708" s="2"/>
      <c r="H30708" s="2"/>
    </row>
    <row r="30709" spans="1:8" x14ac:dyDescent="0.25">
      <c r="A30709" s="1"/>
      <c r="B30709" s="1" t="s">
        <v>8275</v>
      </c>
      <c r="C30709" s="1" t="s">
        <v>8276</v>
      </c>
      <c r="D30709" s="1" t="str">
        <f>HYPERLINK("https://rhld.insurance.arkansas.gov/NPILookup?Npi=1295115236","1295115236")</f>
        <v>1295115236</v>
      </c>
      <c r="E30709" s="1" t="s">
        <v>26411</v>
      </c>
      <c r="F30709" s="2"/>
      <c r="G30709" s="2"/>
      <c r="H30709" s="2"/>
    </row>
    <row r="30710" spans="1:8" x14ac:dyDescent="0.25">
      <c r="A30710" s="1"/>
      <c r="B30710" s="1" t="s">
        <v>8275</v>
      </c>
      <c r="C30710" s="1" t="s">
        <v>8276</v>
      </c>
      <c r="D30710" s="1" t="str">
        <f>HYPERLINK("https://rhld.insurance.arkansas.gov/NPILookup?Npi=1295198836","1295198836")</f>
        <v>1295198836</v>
      </c>
      <c r="E30710" s="1" t="s">
        <v>3792</v>
      </c>
      <c r="F30710" s="2"/>
      <c r="G30710" s="2"/>
      <c r="H30710" s="2"/>
    </row>
    <row r="30711" spans="1:8" x14ac:dyDescent="0.25">
      <c r="A30711" s="1"/>
      <c r="B30711" s="1" t="s">
        <v>8275</v>
      </c>
      <c r="C30711" s="1" t="s">
        <v>8276</v>
      </c>
      <c r="D30711" s="1" t="str">
        <f>HYPERLINK("https://rhld.insurance.arkansas.gov/NPILookup?Npi=1295231256","1295231256")</f>
        <v>1295231256</v>
      </c>
      <c r="E30711" s="1" t="s">
        <v>29649</v>
      </c>
      <c r="F30711" s="2"/>
      <c r="G30711" s="2"/>
      <c r="H30711" s="2"/>
    </row>
    <row r="30712" spans="1:8" x14ac:dyDescent="0.25">
      <c r="A30712" s="1"/>
      <c r="B30712" s="1" t="s">
        <v>8275</v>
      </c>
      <c r="C30712" s="1" t="s">
        <v>8276</v>
      </c>
      <c r="D30712" s="1" t="str">
        <f>HYPERLINK("https://rhld.insurance.arkansas.gov/NPILookup?Npi=1295346260","1295346260")</f>
        <v>1295346260</v>
      </c>
      <c r="E30712" s="1" t="s">
        <v>7628</v>
      </c>
      <c r="F30712" s="2"/>
      <c r="G30712" s="2"/>
      <c r="H30712" s="2"/>
    </row>
    <row r="30713" spans="1:8" x14ac:dyDescent="0.25">
      <c r="A30713" s="1"/>
      <c r="B30713" s="1" t="s">
        <v>8275</v>
      </c>
      <c r="C30713" s="1" t="s">
        <v>8276</v>
      </c>
      <c r="D30713" s="1" t="str">
        <f>HYPERLINK("https://rhld.insurance.arkansas.gov/NPILookup?Npi=1295364263","1295364263")</f>
        <v>1295364263</v>
      </c>
      <c r="E30713" s="1" t="s">
        <v>7629</v>
      </c>
      <c r="F30713" s="2"/>
      <c r="G30713" s="2"/>
      <c r="H30713" s="2"/>
    </row>
    <row r="30714" spans="1:8" x14ac:dyDescent="0.25">
      <c r="A30714" s="1"/>
      <c r="B30714" s="1" t="s">
        <v>8275</v>
      </c>
      <c r="C30714" s="1" t="s">
        <v>8276</v>
      </c>
      <c r="D30714" s="1" t="str">
        <f>HYPERLINK("https://rhld.insurance.arkansas.gov/NPILookup?Npi=1295372233","1295372233")</f>
        <v>1295372233</v>
      </c>
      <c r="E30714" s="1" t="s">
        <v>7630</v>
      </c>
      <c r="F30714" s="2"/>
      <c r="G30714" s="2"/>
      <c r="H30714" s="2"/>
    </row>
    <row r="30715" spans="1:8" x14ac:dyDescent="0.25">
      <c r="A30715" s="1"/>
      <c r="B30715" s="1" t="s">
        <v>8275</v>
      </c>
      <c r="C30715" s="1" t="s">
        <v>8276</v>
      </c>
      <c r="D30715" s="1" t="str">
        <f>HYPERLINK("https://rhld.insurance.arkansas.gov/NPILookup?Npi=1295535623","1295535623")</f>
        <v>1295535623</v>
      </c>
      <c r="E30715" s="1" t="s">
        <v>32176</v>
      </c>
      <c r="F30715" s="2"/>
      <c r="G30715" s="2"/>
      <c r="H30715" s="2"/>
    </row>
    <row r="30716" spans="1:8" x14ac:dyDescent="0.25">
      <c r="A30716" s="1"/>
      <c r="B30716" s="1" t="s">
        <v>8275</v>
      </c>
      <c r="C30716" s="1" t="s">
        <v>8276</v>
      </c>
      <c r="D30716" s="1" t="str">
        <f>HYPERLINK("https://rhld.insurance.arkansas.gov/NPILookup?Npi=1295538247","1295538247")</f>
        <v>1295538247</v>
      </c>
      <c r="E30716" s="1" t="s">
        <v>32177</v>
      </c>
      <c r="F30716" s="2"/>
      <c r="G30716" s="2"/>
      <c r="H30716" s="2"/>
    </row>
    <row r="30717" spans="1:8" x14ac:dyDescent="0.25">
      <c r="A30717" s="1"/>
      <c r="B30717" s="1" t="s">
        <v>8275</v>
      </c>
      <c r="C30717" s="1" t="s">
        <v>8276</v>
      </c>
      <c r="D30717" s="1" t="str">
        <f>HYPERLINK("https://rhld.insurance.arkansas.gov/NPILookup?Npi=1295727477","1295727477")</f>
        <v>1295727477</v>
      </c>
      <c r="E30717" s="1" t="s">
        <v>26439</v>
      </c>
      <c r="F30717" s="2"/>
      <c r="G30717" s="2"/>
      <c r="H30717" s="2"/>
    </row>
    <row r="30718" spans="1:8" x14ac:dyDescent="0.25">
      <c r="A30718" s="1"/>
      <c r="B30718" s="1" t="s">
        <v>8275</v>
      </c>
      <c r="C30718" s="1" t="s">
        <v>8276</v>
      </c>
      <c r="D30718" s="1" t="str">
        <f>HYPERLINK("https://rhld.insurance.arkansas.gov/NPILookup?Npi=1295733731","1295733731")</f>
        <v>1295733731</v>
      </c>
      <c r="E30718" s="1" t="s">
        <v>29650</v>
      </c>
      <c r="F30718" s="2"/>
      <c r="G30718" s="2"/>
      <c r="H30718" s="2"/>
    </row>
    <row r="30719" spans="1:8" x14ac:dyDescent="0.25">
      <c r="A30719" s="1"/>
      <c r="B30719" s="1" t="s">
        <v>8275</v>
      </c>
      <c r="C30719" s="1" t="s">
        <v>8276</v>
      </c>
      <c r="D30719" s="1" t="str">
        <f>HYPERLINK("https://rhld.insurance.arkansas.gov/NPILookup?Npi=1295759629","1295759629")</f>
        <v>1295759629</v>
      </c>
      <c r="E30719" s="1" t="s">
        <v>166</v>
      </c>
      <c r="F30719" s="2"/>
      <c r="G30719" s="2"/>
      <c r="H30719" s="2"/>
    </row>
    <row r="30720" spans="1:8" x14ac:dyDescent="0.25">
      <c r="A30720" s="1"/>
      <c r="B30720" s="1" t="s">
        <v>8275</v>
      </c>
      <c r="C30720" s="1" t="s">
        <v>8276</v>
      </c>
      <c r="D30720" s="1" t="str">
        <f>HYPERLINK("https://rhld.insurance.arkansas.gov/NPILookup?Npi=1295938967","1295938967")</f>
        <v>1295938967</v>
      </c>
      <c r="E30720" s="1" t="s">
        <v>29651</v>
      </c>
      <c r="F30720" s="2"/>
      <c r="G30720" s="2"/>
      <c r="H30720" s="2"/>
    </row>
    <row r="30721" spans="1:8" x14ac:dyDescent="0.25">
      <c r="A30721" s="1"/>
      <c r="B30721" s="1" t="s">
        <v>8275</v>
      </c>
      <c r="C30721" s="1" t="s">
        <v>8276</v>
      </c>
      <c r="D30721" s="1" t="str">
        <f>HYPERLINK("https://rhld.insurance.arkansas.gov/NPILookup?Npi=1295969632","1295969632")</f>
        <v>1295969632</v>
      </c>
      <c r="E30721" s="1" t="s">
        <v>29652</v>
      </c>
      <c r="F30721" s="2"/>
      <c r="G30721" s="2"/>
      <c r="H30721" s="2"/>
    </row>
    <row r="30722" spans="1:8" x14ac:dyDescent="0.25">
      <c r="A30722" s="1"/>
      <c r="B30722" s="1" t="s">
        <v>8275</v>
      </c>
      <c r="C30722" s="1" t="s">
        <v>8276</v>
      </c>
      <c r="D30722" s="1" t="str">
        <f>HYPERLINK("https://rhld.insurance.arkansas.gov/NPILookup?Npi=1306018478","1306018478")</f>
        <v>1306018478</v>
      </c>
      <c r="E30722" s="1" t="s">
        <v>2754</v>
      </c>
      <c r="F30722" s="2"/>
      <c r="G30722" s="2"/>
      <c r="H30722" s="2"/>
    </row>
    <row r="30723" spans="1:8" x14ac:dyDescent="0.25">
      <c r="A30723" s="1"/>
      <c r="B30723" s="1" t="s">
        <v>8275</v>
      </c>
      <c r="C30723" s="1" t="s">
        <v>8276</v>
      </c>
      <c r="D30723" s="1" t="str">
        <f>HYPERLINK("https://rhld.insurance.arkansas.gov/NPILookup?Npi=1306080569","1306080569")</f>
        <v>1306080569</v>
      </c>
      <c r="E30723" s="1" t="s">
        <v>29653</v>
      </c>
      <c r="F30723" s="2"/>
      <c r="G30723" s="2"/>
      <c r="H30723" s="2"/>
    </row>
    <row r="30724" spans="1:8" x14ac:dyDescent="0.25">
      <c r="A30724" s="1"/>
      <c r="B30724" s="1" t="s">
        <v>8275</v>
      </c>
      <c r="C30724" s="1" t="s">
        <v>8276</v>
      </c>
      <c r="D30724" s="1" t="str">
        <f>HYPERLINK("https://rhld.insurance.arkansas.gov/NPILookup?Npi=1306109228","1306109228")</f>
        <v>1306109228</v>
      </c>
      <c r="E30724" s="1" t="s">
        <v>7636</v>
      </c>
      <c r="F30724" s="2"/>
      <c r="G30724" s="2"/>
      <c r="H30724" s="2"/>
    </row>
    <row r="30725" spans="1:8" x14ac:dyDescent="0.25">
      <c r="A30725" s="1"/>
      <c r="B30725" s="1" t="s">
        <v>8275</v>
      </c>
      <c r="C30725" s="1" t="s">
        <v>8276</v>
      </c>
      <c r="D30725" s="1" t="str">
        <f>HYPERLINK("https://rhld.insurance.arkansas.gov/NPILookup?Npi=1306112396","1306112396")</f>
        <v>1306112396</v>
      </c>
      <c r="E30725" s="1" t="s">
        <v>13901</v>
      </c>
      <c r="F30725" s="2"/>
      <c r="G30725" s="2"/>
      <c r="H30725" s="2"/>
    </row>
    <row r="30726" spans="1:8" x14ac:dyDescent="0.25">
      <c r="A30726" s="1"/>
      <c r="B30726" s="1" t="s">
        <v>8275</v>
      </c>
      <c r="C30726" s="1" t="s">
        <v>8276</v>
      </c>
      <c r="D30726" s="1" t="str">
        <f>HYPERLINK("https://rhld.insurance.arkansas.gov/NPILookup?Npi=1306249396","1306249396")</f>
        <v>1306249396</v>
      </c>
      <c r="E30726" s="1" t="s">
        <v>32452</v>
      </c>
      <c r="F30726" s="2"/>
      <c r="G30726" s="2"/>
      <c r="H30726" s="2"/>
    </row>
    <row r="30727" spans="1:8" x14ac:dyDescent="0.25">
      <c r="A30727" s="1"/>
      <c r="B30727" s="1" t="s">
        <v>8275</v>
      </c>
      <c r="C30727" s="1" t="s">
        <v>8276</v>
      </c>
      <c r="D30727" s="1" t="str">
        <f>HYPERLINK("https://rhld.insurance.arkansas.gov/NPILookup?Npi=1306377890","1306377890")</f>
        <v>1306377890</v>
      </c>
      <c r="E30727" s="1" t="s">
        <v>8299</v>
      </c>
      <c r="F30727" s="2"/>
      <c r="G30727" s="2"/>
      <c r="H30727" s="2"/>
    </row>
    <row r="30728" spans="1:8" x14ac:dyDescent="0.25">
      <c r="A30728" s="1"/>
      <c r="B30728" s="1" t="s">
        <v>8275</v>
      </c>
      <c r="C30728" s="1" t="s">
        <v>8276</v>
      </c>
      <c r="D30728" s="1" t="str">
        <f>HYPERLINK("https://rhld.insurance.arkansas.gov/NPILookup?Npi=1306388939","1306388939")</f>
        <v>1306388939</v>
      </c>
      <c r="E30728" s="1" t="s">
        <v>32179</v>
      </c>
      <c r="F30728" s="2"/>
      <c r="G30728" s="2"/>
      <c r="H30728" s="2"/>
    </row>
    <row r="30729" spans="1:8" x14ac:dyDescent="0.25">
      <c r="A30729" s="1"/>
      <c r="B30729" s="1" t="s">
        <v>8275</v>
      </c>
      <c r="C30729" s="1" t="s">
        <v>8276</v>
      </c>
      <c r="D30729" s="1" t="str">
        <f>HYPERLINK("https://rhld.insurance.arkansas.gov/NPILookup?Npi=1306469556","1306469556")</f>
        <v>1306469556</v>
      </c>
      <c r="E30729" s="1" t="s">
        <v>32180</v>
      </c>
      <c r="F30729" s="2"/>
      <c r="G30729" s="2"/>
      <c r="H30729" s="2"/>
    </row>
    <row r="30730" spans="1:8" x14ac:dyDescent="0.25">
      <c r="A30730" s="1"/>
      <c r="B30730" s="1" t="s">
        <v>8275</v>
      </c>
      <c r="C30730" s="1" t="s">
        <v>8276</v>
      </c>
      <c r="D30730" s="1" t="str">
        <f>HYPERLINK("https://rhld.insurance.arkansas.gov/NPILookup?Npi=1306476510","1306476510")</f>
        <v>1306476510</v>
      </c>
      <c r="E30730" s="1" t="s">
        <v>26483</v>
      </c>
      <c r="F30730" s="2"/>
      <c r="G30730" s="2"/>
      <c r="H30730" s="2"/>
    </row>
    <row r="30731" spans="1:8" x14ac:dyDescent="0.25">
      <c r="A30731" s="1"/>
      <c r="B30731" s="1" t="s">
        <v>8275</v>
      </c>
      <c r="C30731" s="1" t="s">
        <v>8276</v>
      </c>
      <c r="D30731" s="1" t="str">
        <f>HYPERLINK("https://rhld.insurance.arkansas.gov/NPILookup?Npi=1306815626","1306815626")</f>
        <v>1306815626</v>
      </c>
      <c r="E30731" s="1" t="s">
        <v>17404</v>
      </c>
      <c r="F30731" s="2"/>
      <c r="G30731" s="2"/>
      <c r="H30731" s="2"/>
    </row>
    <row r="30732" spans="1:8" x14ac:dyDescent="0.25">
      <c r="A30732" s="1"/>
      <c r="B30732" s="1" t="s">
        <v>8275</v>
      </c>
      <c r="C30732" s="1" t="s">
        <v>8276</v>
      </c>
      <c r="D30732" s="1" t="str">
        <f>HYPERLINK("https://rhld.insurance.arkansas.gov/NPILookup?Npi=1306830468","1306830468")</f>
        <v>1306830468</v>
      </c>
      <c r="E30732" s="1" t="s">
        <v>2001</v>
      </c>
      <c r="F30732" s="2"/>
      <c r="G30732" s="2"/>
      <c r="H30732" s="2"/>
    </row>
    <row r="30733" spans="1:8" x14ac:dyDescent="0.25">
      <c r="A30733" s="1"/>
      <c r="B30733" s="1" t="s">
        <v>8275</v>
      </c>
      <c r="C30733" s="1" t="s">
        <v>8276</v>
      </c>
      <c r="D30733" s="1" t="str">
        <f>HYPERLINK("https://rhld.insurance.arkansas.gov/NPILookup?Npi=1306876826","1306876826")</f>
        <v>1306876826</v>
      </c>
      <c r="E30733" s="1" t="s">
        <v>2760</v>
      </c>
      <c r="F30733" s="2"/>
      <c r="G30733" s="2"/>
      <c r="H30733" s="2"/>
    </row>
    <row r="30734" spans="1:8" x14ac:dyDescent="0.25">
      <c r="A30734" s="1"/>
      <c r="B30734" s="1" t="s">
        <v>8275</v>
      </c>
      <c r="C30734" s="1" t="s">
        <v>8276</v>
      </c>
      <c r="D30734" s="1" t="str">
        <f>HYPERLINK("https://rhld.insurance.arkansas.gov/NPILookup?Npi=1306885116","1306885116")</f>
        <v>1306885116</v>
      </c>
      <c r="E30734" s="1" t="s">
        <v>2761</v>
      </c>
      <c r="F30734" s="2"/>
      <c r="G30734" s="2"/>
      <c r="H30734" s="2"/>
    </row>
    <row r="30735" spans="1:8" x14ac:dyDescent="0.25">
      <c r="A30735" s="1"/>
      <c r="B30735" s="1" t="s">
        <v>8275</v>
      </c>
      <c r="C30735" s="1" t="s">
        <v>8276</v>
      </c>
      <c r="D30735" s="1" t="str">
        <f>HYPERLINK("https://rhld.insurance.arkansas.gov/NPILookup?Npi=1306922067","1306922067")</f>
        <v>1306922067</v>
      </c>
      <c r="E30735" s="1" t="s">
        <v>29654</v>
      </c>
      <c r="F30735" s="2"/>
      <c r="G30735" s="2"/>
      <c r="H30735" s="2"/>
    </row>
    <row r="30736" spans="1:8" x14ac:dyDescent="0.25">
      <c r="A30736" s="1"/>
      <c r="B30736" s="1" t="s">
        <v>8275</v>
      </c>
      <c r="C30736" s="1" t="s">
        <v>8276</v>
      </c>
      <c r="D30736" s="1" t="str">
        <f>HYPERLINK("https://rhld.insurance.arkansas.gov/NPILookup?Npi=1306957006","1306957006")</f>
        <v>1306957006</v>
      </c>
      <c r="E30736" s="1" t="s">
        <v>26501</v>
      </c>
      <c r="F30736" s="2"/>
      <c r="G30736" s="2"/>
      <c r="H30736" s="2"/>
    </row>
    <row r="30737" spans="1:8" x14ac:dyDescent="0.25">
      <c r="A30737" s="1"/>
      <c r="B30737" s="1" t="s">
        <v>8275</v>
      </c>
      <c r="C30737" s="1" t="s">
        <v>8276</v>
      </c>
      <c r="D30737" s="1" t="str">
        <f>HYPERLINK("https://rhld.insurance.arkansas.gov/NPILookup?Npi=1316046493","1316046493")</f>
        <v>1316046493</v>
      </c>
      <c r="E30737" s="1" t="s">
        <v>3134</v>
      </c>
      <c r="F30737" s="2"/>
      <c r="G30737" s="2"/>
      <c r="H30737" s="2"/>
    </row>
    <row r="30738" spans="1:8" x14ac:dyDescent="0.25">
      <c r="A30738" s="1"/>
      <c r="B30738" s="1" t="s">
        <v>8275</v>
      </c>
      <c r="C30738" s="1" t="s">
        <v>8276</v>
      </c>
      <c r="D30738" s="1" t="str">
        <f>HYPERLINK("https://rhld.insurance.arkansas.gov/NPILookup?Npi=1316107121","1316107121")</f>
        <v>1316107121</v>
      </c>
      <c r="E30738" s="1" t="s">
        <v>26503</v>
      </c>
      <c r="F30738" s="2"/>
      <c r="G30738" s="2"/>
      <c r="H30738" s="2"/>
    </row>
    <row r="30739" spans="1:8" x14ac:dyDescent="0.25">
      <c r="A30739" s="1"/>
      <c r="B30739" s="1" t="s">
        <v>8275</v>
      </c>
      <c r="C30739" s="1" t="s">
        <v>8276</v>
      </c>
      <c r="D30739" s="1" t="str">
        <f>HYPERLINK("https://rhld.insurance.arkansas.gov/NPILookup?Npi=1316155914","1316155914")</f>
        <v>1316155914</v>
      </c>
      <c r="E30739" s="1" t="s">
        <v>10278</v>
      </c>
      <c r="F30739" s="2"/>
      <c r="G30739" s="2"/>
      <c r="H30739" s="2"/>
    </row>
    <row r="30740" spans="1:8" x14ac:dyDescent="0.25">
      <c r="A30740" s="1"/>
      <c r="B30740" s="1" t="s">
        <v>8275</v>
      </c>
      <c r="C30740" s="1" t="s">
        <v>8276</v>
      </c>
      <c r="D30740" s="1" t="str">
        <f>HYPERLINK("https://rhld.insurance.arkansas.gov/NPILookup?Npi=1316209059","1316209059")</f>
        <v>1316209059</v>
      </c>
      <c r="E30740" s="1" t="s">
        <v>29655</v>
      </c>
      <c r="F30740" s="2"/>
      <c r="G30740" s="2"/>
      <c r="H30740" s="2"/>
    </row>
    <row r="30741" spans="1:8" x14ac:dyDescent="0.25">
      <c r="A30741" s="1"/>
      <c r="B30741" s="1" t="s">
        <v>8275</v>
      </c>
      <c r="C30741" s="1" t="s">
        <v>8276</v>
      </c>
      <c r="D30741" s="1" t="str">
        <f>HYPERLINK("https://rhld.insurance.arkansas.gov/NPILookup?Npi=1316265820","1316265820")</f>
        <v>1316265820</v>
      </c>
      <c r="E30741" s="1" t="s">
        <v>2764</v>
      </c>
      <c r="F30741" s="2"/>
      <c r="G30741" s="2"/>
      <c r="H30741" s="2"/>
    </row>
    <row r="30742" spans="1:8" x14ac:dyDescent="0.25">
      <c r="A30742" s="1"/>
      <c r="B30742" s="1" t="s">
        <v>8275</v>
      </c>
      <c r="C30742" s="1" t="s">
        <v>8276</v>
      </c>
      <c r="D30742" s="1" t="str">
        <f>HYPERLINK("https://rhld.insurance.arkansas.gov/NPILookup?Npi=1316365000","1316365000")</f>
        <v>1316365000</v>
      </c>
      <c r="E30742" s="1" t="s">
        <v>29656</v>
      </c>
      <c r="F30742" s="2"/>
      <c r="G30742" s="2"/>
      <c r="H30742" s="2"/>
    </row>
    <row r="30743" spans="1:8" x14ac:dyDescent="0.25">
      <c r="A30743" s="1"/>
      <c r="B30743" s="1" t="s">
        <v>8275</v>
      </c>
      <c r="C30743" s="1" t="s">
        <v>8276</v>
      </c>
      <c r="D30743" s="1" t="str">
        <f>HYPERLINK("https://rhld.insurance.arkansas.gov/NPILookup?Npi=1316366305","1316366305")</f>
        <v>1316366305</v>
      </c>
      <c r="E30743" s="1" t="s">
        <v>915</v>
      </c>
      <c r="F30743" s="2"/>
      <c r="G30743" s="2"/>
      <c r="H30743" s="2"/>
    </row>
    <row r="30744" spans="1:8" x14ac:dyDescent="0.25">
      <c r="A30744" s="1"/>
      <c r="B30744" s="1" t="s">
        <v>8275</v>
      </c>
      <c r="C30744" s="1" t="s">
        <v>8276</v>
      </c>
      <c r="D30744" s="1" t="str">
        <f>HYPERLINK("https://rhld.insurance.arkansas.gov/NPILookup?Npi=1316433998","1316433998")</f>
        <v>1316433998</v>
      </c>
      <c r="E30744" s="1" t="s">
        <v>26520</v>
      </c>
      <c r="F30744" s="2"/>
      <c r="G30744" s="2"/>
      <c r="H30744" s="2"/>
    </row>
    <row r="30745" spans="1:8" x14ac:dyDescent="0.25">
      <c r="A30745" s="1"/>
      <c r="B30745" s="1" t="s">
        <v>8275</v>
      </c>
      <c r="C30745" s="1" t="s">
        <v>8276</v>
      </c>
      <c r="D30745" s="1" t="str">
        <f>HYPERLINK("https://rhld.insurance.arkansas.gov/NPILookup?Npi=1316437619","1316437619")</f>
        <v>1316437619</v>
      </c>
      <c r="E30745" s="1" t="s">
        <v>29657</v>
      </c>
      <c r="F30745" s="2"/>
      <c r="G30745" s="2"/>
      <c r="H30745" s="2"/>
    </row>
    <row r="30746" spans="1:8" x14ac:dyDescent="0.25">
      <c r="A30746" s="1"/>
      <c r="B30746" s="1" t="s">
        <v>8275</v>
      </c>
      <c r="C30746" s="1" t="s">
        <v>8276</v>
      </c>
      <c r="D30746" s="1" t="str">
        <f>HYPERLINK("https://rhld.insurance.arkansas.gov/NPILookup?Npi=1316478845","1316478845")</f>
        <v>1316478845</v>
      </c>
      <c r="E30746" s="1" t="s">
        <v>1586</v>
      </c>
      <c r="F30746" s="2"/>
      <c r="G30746" s="2"/>
      <c r="H30746" s="2"/>
    </row>
    <row r="30747" spans="1:8" x14ac:dyDescent="0.25">
      <c r="A30747" s="1"/>
      <c r="B30747" s="1" t="s">
        <v>8275</v>
      </c>
      <c r="C30747" s="1" t="s">
        <v>8276</v>
      </c>
      <c r="D30747" s="1" t="str">
        <f>HYPERLINK("https://rhld.insurance.arkansas.gov/NPILookup?Npi=1316502693","1316502693")</f>
        <v>1316502693</v>
      </c>
      <c r="E30747" s="1" t="s">
        <v>32183</v>
      </c>
      <c r="F30747" s="2"/>
      <c r="G30747" s="2"/>
      <c r="H30747" s="2"/>
    </row>
    <row r="30748" spans="1:8" x14ac:dyDescent="0.25">
      <c r="A30748" s="1"/>
      <c r="B30748" s="1" t="s">
        <v>8275</v>
      </c>
      <c r="C30748" s="1" t="s">
        <v>8276</v>
      </c>
      <c r="D30748" s="1" t="str">
        <f>HYPERLINK("https://rhld.insurance.arkansas.gov/NPILookup?Npi=1316527500","1316527500")</f>
        <v>1316527500</v>
      </c>
      <c r="E30748" s="1" t="s">
        <v>32453</v>
      </c>
      <c r="F30748" s="2"/>
      <c r="G30748" s="2"/>
      <c r="H30748" s="2"/>
    </row>
    <row r="30749" spans="1:8" x14ac:dyDescent="0.25">
      <c r="A30749" s="1"/>
      <c r="B30749" s="1" t="s">
        <v>8275</v>
      </c>
      <c r="C30749" s="1" t="s">
        <v>8276</v>
      </c>
      <c r="D30749" s="1" t="str">
        <f>HYPERLINK("https://rhld.insurance.arkansas.gov/NPILookup?Npi=1316784085","1316784085")</f>
        <v>1316784085</v>
      </c>
      <c r="E30749" s="1" t="s">
        <v>26541</v>
      </c>
      <c r="F30749" s="2"/>
      <c r="G30749" s="2"/>
      <c r="H30749" s="2"/>
    </row>
    <row r="30750" spans="1:8" x14ac:dyDescent="0.25">
      <c r="A30750" s="1"/>
      <c r="B30750" s="1" t="s">
        <v>8275</v>
      </c>
      <c r="C30750" s="1" t="s">
        <v>8276</v>
      </c>
      <c r="D30750" s="1" t="str">
        <f>HYPERLINK("https://rhld.insurance.arkansas.gov/NPILookup?Npi=1316788060","1316788060")</f>
        <v>1316788060</v>
      </c>
      <c r="E30750" s="1" t="s">
        <v>32185</v>
      </c>
      <c r="F30750" s="2"/>
      <c r="G30750" s="2"/>
      <c r="H30750" s="2"/>
    </row>
    <row r="30751" spans="1:8" x14ac:dyDescent="0.25">
      <c r="A30751" s="1"/>
      <c r="B30751" s="1" t="s">
        <v>8275</v>
      </c>
      <c r="C30751" s="1" t="s">
        <v>8276</v>
      </c>
      <c r="D30751" s="1" t="str">
        <f>HYPERLINK("https://rhld.insurance.arkansas.gov/NPILookup?Npi=1316788276","1316788276")</f>
        <v>1316788276</v>
      </c>
      <c r="E30751" s="1" t="s">
        <v>32186</v>
      </c>
      <c r="F30751" s="2"/>
      <c r="G30751" s="2"/>
      <c r="H30751" s="2"/>
    </row>
    <row r="30752" spans="1:8" x14ac:dyDescent="0.25">
      <c r="A30752" s="1"/>
      <c r="B30752" s="1" t="s">
        <v>8275</v>
      </c>
      <c r="C30752" s="1" t="s">
        <v>8276</v>
      </c>
      <c r="D30752" s="1" t="str">
        <f>HYPERLINK("https://rhld.insurance.arkansas.gov/NPILookup?Npi=1316830334","1316830334")</f>
        <v>1316830334</v>
      </c>
      <c r="E30752" s="1" t="s">
        <v>32187</v>
      </c>
      <c r="F30752" s="2"/>
      <c r="G30752" s="2"/>
      <c r="H30752" s="2"/>
    </row>
    <row r="30753" spans="1:8" x14ac:dyDescent="0.25">
      <c r="A30753" s="1"/>
      <c r="B30753" s="1" t="s">
        <v>8275</v>
      </c>
      <c r="C30753" s="1" t="s">
        <v>8276</v>
      </c>
      <c r="D30753" s="1" t="str">
        <f>HYPERLINK("https://rhld.insurance.arkansas.gov/NPILookup?Npi=1316903669","1316903669")</f>
        <v>1316903669</v>
      </c>
      <c r="E30753" s="1" t="s">
        <v>29658</v>
      </c>
      <c r="F30753" s="2"/>
      <c r="G30753" s="2"/>
      <c r="H30753" s="2"/>
    </row>
    <row r="30754" spans="1:8" x14ac:dyDescent="0.25">
      <c r="A30754" s="1"/>
      <c r="B30754" s="1" t="s">
        <v>8275</v>
      </c>
      <c r="C30754" s="1" t="s">
        <v>8276</v>
      </c>
      <c r="D30754" s="1" t="str">
        <f>HYPERLINK("https://rhld.insurance.arkansas.gov/NPILookup?Npi=1316916844","1316916844")</f>
        <v>1316916844</v>
      </c>
      <c r="E30754" s="1" t="s">
        <v>2766</v>
      </c>
      <c r="F30754" s="2"/>
      <c r="G30754" s="2"/>
      <c r="H30754" s="2"/>
    </row>
    <row r="30755" spans="1:8" x14ac:dyDescent="0.25">
      <c r="A30755" s="1"/>
      <c r="B30755" s="1" t="s">
        <v>8275</v>
      </c>
      <c r="C30755" s="1" t="s">
        <v>8276</v>
      </c>
      <c r="D30755" s="1" t="str">
        <f>HYPERLINK("https://rhld.insurance.arkansas.gov/NPILookup?Npi=1316929037","1316929037")</f>
        <v>1316929037</v>
      </c>
      <c r="E30755" s="1" t="s">
        <v>29659</v>
      </c>
      <c r="F30755" s="2"/>
      <c r="G30755" s="2"/>
      <c r="H30755" s="2"/>
    </row>
    <row r="30756" spans="1:8" x14ac:dyDescent="0.25">
      <c r="A30756" s="1"/>
      <c r="B30756" s="1" t="s">
        <v>8275</v>
      </c>
      <c r="C30756" s="1" t="s">
        <v>8276</v>
      </c>
      <c r="D30756" s="1" t="str">
        <f>HYPERLINK("https://rhld.insurance.arkansas.gov/NPILookup?Npi=1316930944","1316930944")</f>
        <v>1316930944</v>
      </c>
      <c r="E30756" s="1" t="s">
        <v>198</v>
      </c>
      <c r="F30756" s="2"/>
      <c r="G30756" s="2"/>
      <c r="H30756" s="2"/>
    </row>
    <row r="30757" spans="1:8" x14ac:dyDescent="0.25">
      <c r="A30757" s="1"/>
      <c r="B30757" s="1" t="s">
        <v>8275</v>
      </c>
      <c r="C30757" s="1" t="s">
        <v>8276</v>
      </c>
      <c r="D30757" s="1" t="str">
        <f>HYPERLINK("https://rhld.insurance.arkansas.gov/NPILookup?Npi=1316933575","1316933575")</f>
        <v>1316933575</v>
      </c>
      <c r="E30757" s="1" t="s">
        <v>26548</v>
      </c>
      <c r="F30757" s="2"/>
      <c r="G30757" s="2"/>
      <c r="H30757" s="2"/>
    </row>
    <row r="30758" spans="1:8" x14ac:dyDescent="0.25">
      <c r="A30758" s="1"/>
      <c r="B30758" s="1" t="s">
        <v>8275</v>
      </c>
      <c r="C30758" s="1" t="s">
        <v>8276</v>
      </c>
      <c r="D30758" s="1" t="str">
        <f>HYPERLINK("https://rhld.insurance.arkansas.gov/NPILookup?Npi=1316949167","1316949167")</f>
        <v>1316949167</v>
      </c>
      <c r="E30758" s="1" t="s">
        <v>199</v>
      </c>
      <c r="F30758" s="2"/>
      <c r="G30758" s="2"/>
      <c r="H30758" s="2"/>
    </row>
    <row r="30759" spans="1:8" x14ac:dyDescent="0.25">
      <c r="A30759" s="1"/>
      <c r="B30759" s="1" t="s">
        <v>8275</v>
      </c>
      <c r="C30759" s="1" t="s">
        <v>8276</v>
      </c>
      <c r="D30759" s="1" t="str">
        <f>HYPERLINK("https://rhld.insurance.arkansas.gov/NPILookup?Npi=1316949308","1316949308")</f>
        <v>1316949308</v>
      </c>
      <c r="E30759" s="1" t="s">
        <v>26551</v>
      </c>
      <c r="F30759" s="2"/>
      <c r="G30759" s="2"/>
      <c r="H30759" s="2"/>
    </row>
    <row r="30760" spans="1:8" x14ac:dyDescent="0.25">
      <c r="A30760" s="1"/>
      <c r="B30760" s="1" t="s">
        <v>8275</v>
      </c>
      <c r="C30760" s="1" t="s">
        <v>8276</v>
      </c>
      <c r="D30760" s="1" t="str">
        <f>HYPERLINK("https://rhld.insurance.arkansas.gov/NPILookup?Npi=1316949811","1316949811")</f>
        <v>1316949811</v>
      </c>
      <c r="E30760" s="1" t="s">
        <v>293</v>
      </c>
      <c r="F30760" s="2"/>
      <c r="G30760" s="2"/>
      <c r="H30760" s="2"/>
    </row>
    <row r="30761" spans="1:8" x14ac:dyDescent="0.25">
      <c r="A30761" s="1"/>
      <c r="B30761" s="1" t="s">
        <v>8275</v>
      </c>
      <c r="C30761" s="1" t="s">
        <v>8276</v>
      </c>
      <c r="D30761" s="1" t="str">
        <f>HYPERLINK("https://rhld.insurance.arkansas.gov/NPILookup?Npi=1316963234","1316963234")</f>
        <v>1316963234</v>
      </c>
      <c r="E30761" s="1" t="s">
        <v>26552</v>
      </c>
      <c r="F30761" s="2"/>
      <c r="G30761" s="2"/>
      <c r="H30761" s="2"/>
    </row>
    <row r="30762" spans="1:8" x14ac:dyDescent="0.25">
      <c r="A30762" s="1"/>
      <c r="B30762" s="1" t="s">
        <v>8275</v>
      </c>
      <c r="C30762" s="1" t="s">
        <v>8276</v>
      </c>
      <c r="D30762" s="1" t="str">
        <f>HYPERLINK("https://rhld.insurance.arkansas.gov/NPILookup?Npi=1316966724","1316966724")</f>
        <v>1316966724</v>
      </c>
      <c r="E30762" s="1" t="s">
        <v>7653</v>
      </c>
      <c r="F30762" s="2"/>
      <c r="G30762" s="2"/>
      <c r="H30762" s="2"/>
    </row>
    <row r="30763" spans="1:8" x14ac:dyDescent="0.25">
      <c r="A30763" s="1"/>
      <c r="B30763" s="1" t="s">
        <v>8275</v>
      </c>
      <c r="C30763" s="1" t="s">
        <v>8276</v>
      </c>
      <c r="D30763" s="1" t="str">
        <f>HYPERLINK("https://rhld.insurance.arkansas.gov/NPILookup?Npi=1316977762","1316977762")</f>
        <v>1316977762</v>
      </c>
      <c r="E30763" s="1" t="s">
        <v>13902</v>
      </c>
      <c r="F30763" s="2"/>
      <c r="G30763" s="2"/>
      <c r="H30763" s="2"/>
    </row>
    <row r="30764" spans="1:8" x14ac:dyDescent="0.25">
      <c r="A30764" s="1"/>
      <c r="B30764" s="1" t="s">
        <v>8275</v>
      </c>
      <c r="C30764" s="1" t="s">
        <v>8276</v>
      </c>
      <c r="D30764" s="1" t="str">
        <f>HYPERLINK("https://rhld.insurance.arkansas.gov/NPILookup?Npi=1316977804","1316977804")</f>
        <v>1316977804</v>
      </c>
      <c r="E30764" s="1" t="s">
        <v>13903</v>
      </c>
      <c r="F30764" s="2"/>
      <c r="G30764" s="2"/>
      <c r="H30764" s="2"/>
    </row>
    <row r="30765" spans="1:8" x14ac:dyDescent="0.25">
      <c r="A30765" s="1"/>
      <c r="B30765" s="1" t="s">
        <v>8275</v>
      </c>
      <c r="C30765" s="1" t="s">
        <v>8276</v>
      </c>
      <c r="D30765" s="1" t="str">
        <f>HYPERLINK("https://rhld.insurance.arkansas.gov/NPILookup?Npi=1316998743","1316998743")</f>
        <v>1316998743</v>
      </c>
      <c r="E30765" s="1" t="s">
        <v>3136</v>
      </c>
      <c r="F30765" s="2"/>
      <c r="G30765" s="2"/>
      <c r="H30765" s="2"/>
    </row>
    <row r="30766" spans="1:8" x14ac:dyDescent="0.25">
      <c r="A30766" s="1"/>
      <c r="B30766" s="1" t="s">
        <v>8275</v>
      </c>
      <c r="C30766" s="1" t="s">
        <v>8276</v>
      </c>
      <c r="D30766" s="1" t="str">
        <f>HYPERLINK("https://rhld.insurance.arkansas.gov/NPILookup?Npi=1326016833","1326016833")</f>
        <v>1326016833</v>
      </c>
      <c r="E30766" s="1" t="s">
        <v>29660</v>
      </c>
      <c r="F30766" s="2"/>
      <c r="G30766" s="2"/>
      <c r="H30766" s="2"/>
    </row>
    <row r="30767" spans="1:8" x14ac:dyDescent="0.25">
      <c r="A30767" s="1"/>
      <c r="B30767" s="1" t="s">
        <v>8275</v>
      </c>
      <c r="C30767" s="1" t="s">
        <v>8276</v>
      </c>
      <c r="D30767" s="1" t="str">
        <f>HYPERLINK("https://rhld.insurance.arkansas.gov/NPILookup?Npi=1326017005","1326017005")</f>
        <v>1326017005</v>
      </c>
      <c r="E30767" s="1" t="s">
        <v>29661</v>
      </c>
      <c r="F30767" s="2"/>
      <c r="G30767" s="2"/>
      <c r="H30767" s="2"/>
    </row>
    <row r="30768" spans="1:8" x14ac:dyDescent="0.25">
      <c r="A30768" s="1"/>
      <c r="B30768" s="1" t="s">
        <v>8275</v>
      </c>
      <c r="C30768" s="1" t="s">
        <v>8276</v>
      </c>
      <c r="D30768" s="1" t="str">
        <f>HYPERLINK("https://rhld.insurance.arkansas.gov/NPILookup?Npi=1326076993","1326076993")</f>
        <v>1326076993</v>
      </c>
      <c r="E30768" s="1" t="s">
        <v>12973</v>
      </c>
      <c r="F30768" s="2"/>
      <c r="G30768" s="2"/>
      <c r="H30768" s="2"/>
    </row>
    <row r="30769" spans="1:8" x14ac:dyDescent="0.25">
      <c r="A30769" s="1"/>
      <c r="B30769" s="1" t="s">
        <v>8275</v>
      </c>
      <c r="C30769" s="1" t="s">
        <v>8276</v>
      </c>
      <c r="D30769" s="1" t="str">
        <f>HYPERLINK("https://rhld.insurance.arkansas.gov/NPILookup?Npi=1326138983","1326138983")</f>
        <v>1326138983</v>
      </c>
      <c r="E30769" s="1" t="s">
        <v>17417</v>
      </c>
      <c r="F30769" s="2"/>
      <c r="G30769" s="2"/>
      <c r="H30769" s="2"/>
    </row>
    <row r="30770" spans="1:8" x14ac:dyDescent="0.25">
      <c r="A30770" s="1"/>
      <c r="B30770" s="1" t="s">
        <v>8275</v>
      </c>
      <c r="C30770" s="1" t="s">
        <v>8276</v>
      </c>
      <c r="D30770" s="1" t="str">
        <f>HYPERLINK("https://rhld.insurance.arkansas.gov/NPILookup?Npi=1326307596","1326307596")</f>
        <v>1326307596</v>
      </c>
      <c r="E30770" s="1" t="s">
        <v>29662</v>
      </c>
      <c r="F30770" s="2"/>
      <c r="G30770" s="2"/>
      <c r="H30770" s="2"/>
    </row>
    <row r="30771" spans="1:8" x14ac:dyDescent="0.25">
      <c r="A30771" s="1"/>
      <c r="B30771" s="1" t="s">
        <v>8275</v>
      </c>
      <c r="C30771" s="1" t="s">
        <v>8276</v>
      </c>
      <c r="D30771" s="1" t="str">
        <f>HYPERLINK("https://rhld.insurance.arkansas.gov/NPILookup?Npi=1326326075","1326326075")</f>
        <v>1326326075</v>
      </c>
      <c r="E30771" s="1" t="s">
        <v>13904</v>
      </c>
      <c r="F30771" s="2"/>
      <c r="G30771" s="2"/>
      <c r="H30771" s="2"/>
    </row>
    <row r="30772" spans="1:8" x14ac:dyDescent="0.25">
      <c r="A30772" s="1"/>
      <c r="B30772" s="1" t="s">
        <v>8275</v>
      </c>
      <c r="C30772" s="1" t="s">
        <v>8276</v>
      </c>
      <c r="D30772" s="1" t="str">
        <f>HYPERLINK("https://rhld.insurance.arkansas.gov/NPILookup?Npi=1326339557","1326339557")</f>
        <v>1326339557</v>
      </c>
      <c r="E30772" s="1" t="s">
        <v>29663</v>
      </c>
      <c r="F30772" s="2"/>
      <c r="G30772" s="2"/>
      <c r="H30772" s="2"/>
    </row>
    <row r="30773" spans="1:8" x14ac:dyDescent="0.25">
      <c r="A30773" s="1"/>
      <c r="B30773" s="1" t="s">
        <v>8275</v>
      </c>
      <c r="C30773" s="1" t="s">
        <v>8276</v>
      </c>
      <c r="D30773" s="1" t="str">
        <f>HYPERLINK("https://rhld.insurance.arkansas.gov/NPILookup?Npi=1326428905","1326428905")</f>
        <v>1326428905</v>
      </c>
      <c r="E30773" s="1" t="s">
        <v>7654</v>
      </c>
      <c r="F30773" s="2"/>
      <c r="G30773" s="2"/>
      <c r="H30773" s="2"/>
    </row>
    <row r="30774" spans="1:8" x14ac:dyDescent="0.25">
      <c r="A30774" s="1"/>
      <c r="B30774" s="1" t="s">
        <v>8275</v>
      </c>
      <c r="C30774" s="1" t="s">
        <v>8276</v>
      </c>
      <c r="D30774" s="1" t="str">
        <f>HYPERLINK("https://rhld.insurance.arkansas.gov/NPILookup?Npi=1326436734","1326436734")</f>
        <v>1326436734</v>
      </c>
      <c r="E30774" s="1" t="s">
        <v>32454</v>
      </c>
      <c r="F30774" s="2"/>
      <c r="G30774" s="2"/>
      <c r="H30774" s="2"/>
    </row>
    <row r="30775" spans="1:8" x14ac:dyDescent="0.25">
      <c r="A30775" s="1"/>
      <c r="B30775" s="1" t="s">
        <v>8275</v>
      </c>
      <c r="C30775" s="1" t="s">
        <v>8276</v>
      </c>
      <c r="D30775" s="1" t="str">
        <f>HYPERLINK("https://rhld.insurance.arkansas.gov/NPILookup?Npi=1326445578","1326445578")</f>
        <v>1326445578</v>
      </c>
      <c r="E30775" s="1" t="s">
        <v>2773</v>
      </c>
      <c r="F30775" s="2"/>
      <c r="G30775" s="2"/>
      <c r="H30775" s="2"/>
    </row>
    <row r="30776" spans="1:8" x14ac:dyDescent="0.25">
      <c r="A30776" s="1"/>
      <c r="B30776" s="1" t="s">
        <v>8275</v>
      </c>
      <c r="C30776" s="1" t="s">
        <v>8276</v>
      </c>
      <c r="D30776" s="1" t="str">
        <f>HYPERLINK("https://rhld.insurance.arkansas.gov/NPILookup?Npi=1326469438","1326469438")</f>
        <v>1326469438</v>
      </c>
      <c r="E30776" s="1" t="s">
        <v>6038</v>
      </c>
      <c r="F30776" s="2"/>
      <c r="G30776" s="2"/>
      <c r="H30776" s="2"/>
    </row>
    <row r="30777" spans="1:8" x14ac:dyDescent="0.25">
      <c r="A30777" s="1"/>
      <c r="B30777" s="1" t="s">
        <v>8275</v>
      </c>
      <c r="C30777" s="1" t="s">
        <v>8276</v>
      </c>
      <c r="D30777" s="1" t="str">
        <f>HYPERLINK("https://rhld.insurance.arkansas.gov/NPILookup?Npi=1326591132","1326591132")</f>
        <v>1326591132</v>
      </c>
      <c r="E30777" s="1" t="s">
        <v>1408</v>
      </c>
      <c r="F30777" s="2"/>
      <c r="G30777" s="2"/>
      <c r="H30777" s="2"/>
    </row>
    <row r="30778" spans="1:8" x14ac:dyDescent="0.25">
      <c r="A30778" s="1"/>
      <c r="B30778" s="1" t="s">
        <v>8275</v>
      </c>
      <c r="C30778" s="1" t="s">
        <v>8276</v>
      </c>
      <c r="D30778" s="1" t="str">
        <f>HYPERLINK("https://rhld.insurance.arkansas.gov/NPILookup?Npi=1326682998","1326682998")</f>
        <v>1326682998</v>
      </c>
      <c r="E30778" s="1" t="s">
        <v>7657</v>
      </c>
      <c r="F30778" s="2"/>
      <c r="G30778" s="2"/>
      <c r="H30778" s="2"/>
    </row>
    <row r="30779" spans="1:8" x14ac:dyDescent="0.25">
      <c r="A30779" s="1"/>
      <c r="B30779" s="1" t="s">
        <v>8275</v>
      </c>
      <c r="C30779" s="1" t="s">
        <v>8276</v>
      </c>
      <c r="D30779" s="1" t="str">
        <f>HYPERLINK("https://rhld.insurance.arkansas.gov/NPILookup?Npi=1326857160","1326857160")</f>
        <v>1326857160</v>
      </c>
      <c r="E30779" s="1" t="s">
        <v>32190</v>
      </c>
      <c r="F30779" s="2"/>
      <c r="G30779" s="2"/>
      <c r="H30779" s="2"/>
    </row>
    <row r="30780" spans="1:8" x14ac:dyDescent="0.25">
      <c r="A30780" s="1"/>
      <c r="B30780" s="1" t="s">
        <v>8275</v>
      </c>
      <c r="C30780" s="1" t="s">
        <v>8276</v>
      </c>
      <c r="D30780" s="1" t="str">
        <f>HYPERLINK("https://rhld.insurance.arkansas.gov/NPILookup?Npi=1326857863","1326857863")</f>
        <v>1326857863</v>
      </c>
      <c r="E30780" s="1" t="s">
        <v>32191</v>
      </c>
      <c r="F30780" s="2"/>
      <c r="G30780" s="2"/>
      <c r="H30780" s="2"/>
    </row>
    <row r="30781" spans="1:8" x14ac:dyDescent="0.25">
      <c r="A30781" s="1"/>
      <c r="B30781" s="1" t="s">
        <v>8275</v>
      </c>
      <c r="C30781" s="1" t="s">
        <v>8276</v>
      </c>
      <c r="D30781" s="1" t="str">
        <f>HYPERLINK("https://rhld.insurance.arkansas.gov/NPILookup?Npi=1336115740","1336115740")</f>
        <v>1336115740</v>
      </c>
      <c r="E30781" s="1" t="s">
        <v>29664</v>
      </c>
      <c r="F30781" s="2"/>
      <c r="G30781" s="2"/>
      <c r="H30781" s="2"/>
    </row>
    <row r="30782" spans="1:8" x14ac:dyDescent="0.25">
      <c r="A30782" s="1"/>
      <c r="B30782" s="1" t="s">
        <v>8275</v>
      </c>
      <c r="C30782" s="1" t="s">
        <v>8276</v>
      </c>
      <c r="D30782" s="1" t="str">
        <f>HYPERLINK("https://rhld.insurance.arkansas.gov/NPILookup?Npi=1336140888","1336140888")</f>
        <v>1336140888</v>
      </c>
      <c r="E30782" s="1" t="s">
        <v>1708</v>
      </c>
      <c r="F30782" s="2"/>
      <c r="G30782" s="2"/>
      <c r="H30782" s="2"/>
    </row>
    <row r="30783" spans="1:8" x14ac:dyDescent="0.25">
      <c r="A30783" s="1"/>
      <c r="B30783" s="1" t="s">
        <v>8275</v>
      </c>
      <c r="C30783" s="1" t="s">
        <v>8276</v>
      </c>
      <c r="D30783" s="1" t="str">
        <f>HYPERLINK("https://rhld.insurance.arkansas.gov/NPILookup?Npi=1336143239","1336143239")</f>
        <v>1336143239</v>
      </c>
      <c r="E30783" s="1" t="s">
        <v>111</v>
      </c>
      <c r="F30783" s="2"/>
      <c r="G30783" s="2"/>
      <c r="H30783" s="2"/>
    </row>
    <row r="30784" spans="1:8" x14ac:dyDescent="0.25">
      <c r="A30784" s="1"/>
      <c r="B30784" s="1" t="s">
        <v>8275</v>
      </c>
      <c r="C30784" s="1" t="s">
        <v>8276</v>
      </c>
      <c r="D30784" s="1" t="str">
        <f>HYPERLINK("https://rhld.insurance.arkansas.gov/NPILookup?Npi=1336147701","1336147701")</f>
        <v>1336147701</v>
      </c>
      <c r="E30784" s="1" t="s">
        <v>2777</v>
      </c>
      <c r="F30784" s="2"/>
      <c r="G30784" s="2"/>
      <c r="H30784" s="2"/>
    </row>
    <row r="30785" spans="1:8" x14ac:dyDescent="0.25">
      <c r="A30785" s="1"/>
      <c r="B30785" s="1" t="s">
        <v>8275</v>
      </c>
      <c r="C30785" s="1" t="s">
        <v>8276</v>
      </c>
      <c r="D30785" s="1" t="str">
        <f>HYPERLINK("https://rhld.insurance.arkansas.gov/NPILookup?Npi=1336172238","1336172238")</f>
        <v>1336172238</v>
      </c>
      <c r="E30785" s="1" t="s">
        <v>26592</v>
      </c>
      <c r="F30785" s="2"/>
      <c r="G30785" s="2"/>
      <c r="H30785" s="2"/>
    </row>
    <row r="30786" spans="1:8" x14ac:dyDescent="0.25">
      <c r="A30786" s="1"/>
      <c r="B30786" s="1" t="s">
        <v>8275</v>
      </c>
      <c r="C30786" s="1" t="s">
        <v>8276</v>
      </c>
      <c r="D30786" s="1" t="str">
        <f>HYPERLINK("https://rhld.insurance.arkansas.gov/NPILookup?Npi=1336180074","1336180074")</f>
        <v>1336180074</v>
      </c>
      <c r="E30786" s="1" t="s">
        <v>26593</v>
      </c>
      <c r="F30786" s="2"/>
      <c r="G30786" s="2"/>
      <c r="H30786" s="2"/>
    </row>
    <row r="30787" spans="1:8" x14ac:dyDescent="0.25">
      <c r="A30787" s="1"/>
      <c r="B30787" s="1" t="s">
        <v>8275</v>
      </c>
      <c r="C30787" s="1" t="s">
        <v>8276</v>
      </c>
      <c r="D30787" s="1" t="str">
        <f>HYPERLINK("https://rhld.insurance.arkansas.gov/NPILookup?Npi=1336229095","1336229095")</f>
        <v>1336229095</v>
      </c>
      <c r="E30787" s="1" t="s">
        <v>13905</v>
      </c>
      <c r="F30787" s="2"/>
      <c r="G30787" s="2"/>
      <c r="H30787" s="2"/>
    </row>
    <row r="30788" spans="1:8" x14ac:dyDescent="0.25">
      <c r="A30788" s="1"/>
      <c r="B30788" s="1" t="s">
        <v>8275</v>
      </c>
      <c r="C30788" s="1" t="s">
        <v>8276</v>
      </c>
      <c r="D30788" s="1" t="str">
        <f>HYPERLINK("https://rhld.insurance.arkansas.gov/NPILookup?Npi=1336231471","1336231471")</f>
        <v>1336231471</v>
      </c>
      <c r="E30788" s="1" t="s">
        <v>26595</v>
      </c>
      <c r="F30788" s="2"/>
      <c r="G30788" s="2"/>
      <c r="H30788" s="2"/>
    </row>
    <row r="30789" spans="1:8" x14ac:dyDescent="0.25">
      <c r="A30789" s="1"/>
      <c r="B30789" s="1" t="s">
        <v>8275</v>
      </c>
      <c r="C30789" s="1" t="s">
        <v>8276</v>
      </c>
      <c r="D30789" s="1" t="str">
        <f>HYPERLINK("https://rhld.insurance.arkansas.gov/NPILookup?Npi=1336405836","1336405836")</f>
        <v>1336405836</v>
      </c>
      <c r="E30789" s="1" t="s">
        <v>284</v>
      </c>
      <c r="F30789" s="2"/>
      <c r="G30789" s="2"/>
      <c r="H30789" s="2"/>
    </row>
    <row r="30790" spans="1:8" x14ac:dyDescent="0.25">
      <c r="A30790" s="1"/>
      <c r="B30790" s="1" t="s">
        <v>8275</v>
      </c>
      <c r="C30790" s="1" t="s">
        <v>8276</v>
      </c>
      <c r="D30790" s="1" t="str">
        <f>HYPERLINK("https://rhld.insurance.arkansas.gov/NPILookup?Npi=1336533140","1336533140")</f>
        <v>1336533140</v>
      </c>
      <c r="E30790" s="1" t="s">
        <v>12987</v>
      </c>
      <c r="F30790" s="2"/>
      <c r="G30790" s="2"/>
      <c r="H30790" s="2"/>
    </row>
    <row r="30791" spans="1:8" x14ac:dyDescent="0.25">
      <c r="A30791" s="1"/>
      <c r="B30791" s="1" t="s">
        <v>8275</v>
      </c>
      <c r="C30791" s="1" t="s">
        <v>8276</v>
      </c>
      <c r="D30791" s="1" t="str">
        <f>HYPERLINK("https://rhld.insurance.arkansas.gov/NPILookup?Npi=1336534411","1336534411")</f>
        <v>1336534411</v>
      </c>
      <c r="E30791" s="1" t="s">
        <v>26608</v>
      </c>
      <c r="F30791" s="2"/>
      <c r="G30791" s="2"/>
      <c r="H30791" s="2"/>
    </row>
    <row r="30792" spans="1:8" x14ac:dyDescent="0.25">
      <c r="A30792" s="1"/>
      <c r="B30792" s="1" t="s">
        <v>8275</v>
      </c>
      <c r="C30792" s="1" t="s">
        <v>8276</v>
      </c>
      <c r="D30792" s="1" t="str">
        <f>HYPERLINK("https://rhld.insurance.arkansas.gov/NPILookup?Npi=1336554641","1336554641")</f>
        <v>1336554641</v>
      </c>
      <c r="E30792" s="1" t="s">
        <v>17439</v>
      </c>
      <c r="F30792" s="2"/>
      <c r="G30792" s="2"/>
      <c r="H30792" s="2"/>
    </row>
    <row r="30793" spans="1:8" x14ac:dyDescent="0.25">
      <c r="A30793" s="1"/>
      <c r="B30793" s="1" t="s">
        <v>8275</v>
      </c>
      <c r="C30793" s="1" t="s">
        <v>8276</v>
      </c>
      <c r="D30793" s="1" t="str">
        <f>HYPERLINK("https://rhld.insurance.arkansas.gov/NPILookup?Npi=1336581727","1336581727")</f>
        <v>1336581727</v>
      </c>
      <c r="E30793" s="1" t="s">
        <v>10284</v>
      </c>
      <c r="F30793" s="2"/>
      <c r="G30793" s="2"/>
      <c r="H30793" s="2"/>
    </row>
    <row r="30794" spans="1:8" x14ac:dyDescent="0.25">
      <c r="A30794" s="1"/>
      <c r="B30794" s="1" t="s">
        <v>8275</v>
      </c>
      <c r="C30794" s="1" t="s">
        <v>8276</v>
      </c>
      <c r="D30794" s="1" t="str">
        <f>HYPERLINK("https://rhld.insurance.arkansas.gov/NPILookup?Npi=1336646496","1336646496")</f>
        <v>1336646496</v>
      </c>
      <c r="E30794" s="1" t="s">
        <v>26613</v>
      </c>
      <c r="F30794" s="2"/>
      <c r="G30794" s="2"/>
      <c r="H30794" s="2"/>
    </row>
    <row r="30795" spans="1:8" x14ac:dyDescent="0.25">
      <c r="A30795" s="1"/>
      <c r="B30795" s="1" t="s">
        <v>8275</v>
      </c>
      <c r="C30795" s="1" t="s">
        <v>8276</v>
      </c>
      <c r="D30795" s="1" t="str">
        <f>HYPERLINK("https://rhld.insurance.arkansas.gov/NPILookup?Npi=1336720457","1336720457")</f>
        <v>1336720457</v>
      </c>
      <c r="E30795" s="1" t="s">
        <v>32192</v>
      </c>
      <c r="F30795" s="2"/>
      <c r="G30795" s="2"/>
      <c r="H30795" s="2"/>
    </row>
    <row r="30796" spans="1:8" x14ac:dyDescent="0.25">
      <c r="A30796" s="1"/>
      <c r="B30796" s="1" t="s">
        <v>8275</v>
      </c>
      <c r="C30796" s="1" t="s">
        <v>8276</v>
      </c>
      <c r="D30796" s="1" t="str">
        <f>HYPERLINK("https://rhld.insurance.arkansas.gov/NPILookup?Npi=1336725142","1336725142")</f>
        <v>1336725142</v>
      </c>
      <c r="E30796" s="1" t="s">
        <v>29665</v>
      </c>
      <c r="F30796" s="2"/>
      <c r="G30796" s="2"/>
      <c r="H30796" s="2"/>
    </row>
    <row r="30797" spans="1:8" x14ac:dyDescent="0.25">
      <c r="A30797" s="1"/>
      <c r="B30797" s="1" t="s">
        <v>8275</v>
      </c>
      <c r="C30797" s="1" t="s">
        <v>8276</v>
      </c>
      <c r="D30797" s="1" t="str">
        <f>HYPERLINK("https://rhld.insurance.arkansas.gov/NPILookup?Npi=1336762228","1336762228")</f>
        <v>1336762228</v>
      </c>
      <c r="E30797" s="1" t="s">
        <v>32193</v>
      </c>
      <c r="F30797" s="2"/>
      <c r="G30797" s="2"/>
      <c r="H30797" s="2"/>
    </row>
    <row r="30798" spans="1:8" x14ac:dyDescent="0.25">
      <c r="A30798" s="1"/>
      <c r="B30798" s="1" t="s">
        <v>8275</v>
      </c>
      <c r="C30798" s="1" t="s">
        <v>8276</v>
      </c>
      <c r="D30798" s="1" t="str">
        <f>HYPERLINK("https://rhld.insurance.arkansas.gov/NPILookup?Npi=1336764604","1336764604")</f>
        <v>1336764604</v>
      </c>
      <c r="E30798" s="1" t="s">
        <v>32194</v>
      </c>
      <c r="F30798" s="2"/>
      <c r="G30798" s="2"/>
      <c r="H30798" s="2"/>
    </row>
    <row r="30799" spans="1:8" x14ac:dyDescent="0.25">
      <c r="A30799" s="1"/>
      <c r="B30799" s="1" t="s">
        <v>8275</v>
      </c>
      <c r="C30799" s="1" t="s">
        <v>8276</v>
      </c>
      <c r="D30799" s="1" t="str">
        <f>HYPERLINK("https://rhld.insurance.arkansas.gov/NPILookup?Npi=1336764778","1336764778")</f>
        <v>1336764778</v>
      </c>
      <c r="E30799" s="1" t="s">
        <v>7666</v>
      </c>
      <c r="F30799" s="2"/>
      <c r="G30799" s="2"/>
      <c r="H30799" s="2"/>
    </row>
    <row r="30800" spans="1:8" x14ac:dyDescent="0.25">
      <c r="A30800" s="1"/>
      <c r="B30800" s="1" t="s">
        <v>8275</v>
      </c>
      <c r="C30800" s="1" t="s">
        <v>8276</v>
      </c>
      <c r="D30800" s="1" t="str">
        <f>HYPERLINK("https://rhld.insurance.arkansas.gov/NPILookup?Npi=1336792563","1336792563")</f>
        <v>1336792563</v>
      </c>
      <c r="E30800" s="1" t="s">
        <v>7667</v>
      </c>
      <c r="F30800" s="2"/>
      <c r="G30800" s="2"/>
      <c r="H30800" s="2"/>
    </row>
    <row r="30801" spans="1:8" x14ac:dyDescent="0.25">
      <c r="A30801" s="1"/>
      <c r="B30801" s="1" t="s">
        <v>8275</v>
      </c>
      <c r="C30801" s="1" t="s">
        <v>8276</v>
      </c>
      <c r="D30801" s="1" t="str">
        <f>HYPERLINK("https://rhld.insurance.arkansas.gov/NPILookup?Npi=1336870641","1336870641")</f>
        <v>1336870641</v>
      </c>
      <c r="E30801" s="1" t="s">
        <v>32195</v>
      </c>
      <c r="F30801" s="2"/>
      <c r="G30801" s="2"/>
      <c r="H30801" s="2"/>
    </row>
    <row r="30802" spans="1:8" x14ac:dyDescent="0.25">
      <c r="A30802" s="1"/>
      <c r="B30802" s="1" t="s">
        <v>8275</v>
      </c>
      <c r="C30802" s="1" t="s">
        <v>8276</v>
      </c>
      <c r="D30802" s="1" t="str">
        <f>HYPERLINK("https://rhld.insurance.arkansas.gov/NPILookup?Npi=1346205507","1346205507")</f>
        <v>1346205507</v>
      </c>
      <c r="E30802" s="1" t="s">
        <v>26628</v>
      </c>
      <c r="F30802" s="2"/>
      <c r="G30802" s="2"/>
      <c r="H30802" s="2"/>
    </row>
    <row r="30803" spans="1:8" x14ac:dyDescent="0.25">
      <c r="A30803" s="1"/>
      <c r="B30803" s="1" t="s">
        <v>8275</v>
      </c>
      <c r="C30803" s="1" t="s">
        <v>8276</v>
      </c>
      <c r="D30803" s="1" t="str">
        <f>HYPERLINK("https://rhld.insurance.arkansas.gov/NPILookup?Npi=1346208725","1346208725")</f>
        <v>1346208725</v>
      </c>
      <c r="E30803" s="1" t="s">
        <v>7674</v>
      </c>
      <c r="F30803" s="2"/>
      <c r="G30803" s="2"/>
      <c r="H30803" s="2"/>
    </row>
    <row r="30804" spans="1:8" x14ac:dyDescent="0.25">
      <c r="A30804" s="1"/>
      <c r="B30804" s="1" t="s">
        <v>8275</v>
      </c>
      <c r="C30804" s="1" t="s">
        <v>8276</v>
      </c>
      <c r="D30804" s="1" t="str">
        <f>HYPERLINK("https://rhld.insurance.arkansas.gov/NPILookup?Npi=1346216785","1346216785")</f>
        <v>1346216785</v>
      </c>
      <c r="E30804" s="1" t="s">
        <v>26632</v>
      </c>
      <c r="F30804" s="2"/>
      <c r="G30804" s="2"/>
      <c r="H30804" s="2"/>
    </row>
    <row r="30805" spans="1:8" x14ac:dyDescent="0.25">
      <c r="A30805" s="1"/>
      <c r="B30805" s="1" t="s">
        <v>8275</v>
      </c>
      <c r="C30805" s="1" t="s">
        <v>8276</v>
      </c>
      <c r="D30805" s="1" t="str">
        <f>HYPERLINK("https://rhld.insurance.arkansas.gov/NPILookup?Npi=1346232055","1346232055")</f>
        <v>1346232055</v>
      </c>
      <c r="E30805" s="1" t="s">
        <v>32455</v>
      </c>
      <c r="F30805" s="2"/>
      <c r="G30805" s="2"/>
      <c r="H30805" s="2"/>
    </row>
    <row r="30806" spans="1:8" x14ac:dyDescent="0.25">
      <c r="A30806" s="1"/>
      <c r="B30806" s="1" t="s">
        <v>8275</v>
      </c>
      <c r="C30806" s="1" t="s">
        <v>8276</v>
      </c>
      <c r="D30806" s="1" t="str">
        <f>HYPERLINK("https://rhld.insurance.arkansas.gov/NPILookup?Npi=1346235611","1346235611")</f>
        <v>1346235611</v>
      </c>
      <c r="E30806" s="1" t="s">
        <v>10797</v>
      </c>
      <c r="F30806" s="2"/>
      <c r="G30806" s="2"/>
      <c r="H30806" s="2"/>
    </row>
    <row r="30807" spans="1:8" x14ac:dyDescent="0.25">
      <c r="A30807" s="1"/>
      <c r="B30807" s="1" t="s">
        <v>8275</v>
      </c>
      <c r="C30807" s="1" t="s">
        <v>8276</v>
      </c>
      <c r="D30807" s="1" t="str">
        <f>HYPERLINK("https://rhld.insurance.arkansas.gov/NPILookup?Npi=1346300969","1346300969")</f>
        <v>1346300969</v>
      </c>
      <c r="E30807" s="1" t="s">
        <v>10287</v>
      </c>
      <c r="F30807" s="2"/>
      <c r="G30807" s="2"/>
      <c r="H30807" s="2"/>
    </row>
    <row r="30808" spans="1:8" x14ac:dyDescent="0.25">
      <c r="A30808" s="1"/>
      <c r="B30808" s="1" t="s">
        <v>8275</v>
      </c>
      <c r="C30808" s="1" t="s">
        <v>8276</v>
      </c>
      <c r="D30808" s="1" t="str">
        <f>HYPERLINK("https://rhld.insurance.arkansas.gov/NPILookup?Npi=1346307535","1346307535")</f>
        <v>1346307535</v>
      </c>
      <c r="E30808" s="1" t="s">
        <v>32456</v>
      </c>
      <c r="F30808" s="2"/>
      <c r="G30808" s="2"/>
      <c r="H30808" s="2"/>
    </row>
    <row r="30809" spans="1:8" x14ac:dyDescent="0.25">
      <c r="A30809" s="1"/>
      <c r="B30809" s="1" t="s">
        <v>8275</v>
      </c>
      <c r="C30809" s="1" t="s">
        <v>8276</v>
      </c>
      <c r="D30809" s="1" t="str">
        <f>HYPERLINK("https://rhld.insurance.arkansas.gov/NPILookup?Npi=1346404001","1346404001")</f>
        <v>1346404001</v>
      </c>
      <c r="E30809" s="1" t="s">
        <v>26643</v>
      </c>
      <c r="F30809" s="2"/>
      <c r="G30809" s="2"/>
      <c r="H30809" s="2"/>
    </row>
    <row r="30810" spans="1:8" x14ac:dyDescent="0.25">
      <c r="A30810" s="1"/>
      <c r="B30810" s="1" t="s">
        <v>8275</v>
      </c>
      <c r="C30810" s="1" t="s">
        <v>8276</v>
      </c>
      <c r="D30810" s="1" t="str">
        <f>HYPERLINK("https://rhld.insurance.arkansas.gov/NPILookup?Npi=1346536893","1346536893")</f>
        <v>1346536893</v>
      </c>
      <c r="E30810" s="1" t="s">
        <v>19025</v>
      </c>
      <c r="F30810" s="2"/>
      <c r="G30810" s="2"/>
      <c r="H30810" s="2"/>
    </row>
    <row r="30811" spans="1:8" x14ac:dyDescent="0.25">
      <c r="A30811" s="1"/>
      <c r="B30811" s="1" t="s">
        <v>8275</v>
      </c>
      <c r="C30811" s="1" t="s">
        <v>8276</v>
      </c>
      <c r="D30811" s="1" t="str">
        <f>HYPERLINK("https://rhld.insurance.arkansas.gov/NPILookup?Npi=1346542867","1346542867")</f>
        <v>1346542867</v>
      </c>
      <c r="E30811" s="1" t="s">
        <v>32196</v>
      </c>
      <c r="F30811" s="2"/>
      <c r="G30811" s="2"/>
      <c r="H30811" s="2"/>
    </row>
    <row r="30812" spans="1:8" x14ac:dyDescent="0.25">
      <c r="A30812" s="1"/>
      <c r="B30812" s="1" t="s">
        <v>8275</v>
      </c>
      <c r="C30812" s="1" t="s">
        <v>8276</v>
      </c>
      <c r="D30812" s="1" t="str">
        <f>HYPERLINK("https://rhld.insurance.arkansas.gov/NPILookup?Npi=1346561461","1346561461")</f>
        <v>1346561461</v>
      </c>
      <c r="E30812" s="1" t="s">
        <v>26652</v>
      </c>
      <c r="F30812" s="2"/>
      <c r="G30812" s="2"/>
      <c r="H30812" s="2"/>
    </row>
    <row r="30813" spans="1:8" x14ac:dyDescent="0.25">
      <c r="A30813" s="1"/>
      <c r="B30813" s="1" t="s">
        <v>8275</v>
      </c>
      <c r="C30813" s="1" t="s">
        <v>8276</v>
      </c>
      <c r="D30813" s="1" t="str">
        <f>HYPERLINK("https://rhld.insurance.arkansas.gov/NPILookup?Npi=1346568573","1346568573")</f>
        <v>1346568573</v>
      </c>
      <c r="E30813" s="1" t="s">
        <v>29666</v>
      </c>
      <c r="F30813" s="2"/>
      <c r="G30813" s="2"/>
      <c r="H30813" s="2"/>
    </row>
    <row r="30814" spans="1:8" x14ac:dyDescent="0.25">
      <c r="A30814" s="1"/>
      <c r="B30814" s="1" t="s">
        <v>8275</v>
      </c>
      <c r="C30814" s="1" t="s">
        <v>8276</v>
      </c>
      <c r="D30814" s="1" t="str">
        <f>HYPERLINK("https://rhld.insurance.arkansas.gov/NPILookup?Npi=1346593852","1346593852")</f>
        <v>1346593852</v>
      </c>
      <c r="E30814" s="1" t="s">
        <v>26655</v>
      </c>
      <c r="F30814" s="2"/>
      <c r="G30814" s="2"/>
      <c r="H30814" s="2"/>
    </row>
    <row r="30815" spans="1:8" x14ac:dyDescent="0.25">
      <c r="A30815" s="1"/>
      <c r="B30815" s="1" t="s">
        <v>8275</v>
      </c>
      <c r="C30815" s="1" t="s">
        <v>8276</v>
      </c>
      <c r="D30815" s="1" t="str">
        <f>HYPERLINK("https://rhld.insurance.arkansas.gov/NPILookup?Npi=1346656667","1346656667")</f>
        <v>1346656667</v>
      </c>
      <c r="E30815" s="1" t="s">
        <v>8300</v>
      </c>
      <c r="F30815" s="2"/>
      <c r="G30815" s="2"/>
      <c r="H30815" s="2"/>
    </row>
    <row r="30816" spans="1:8" x14ac:dyDescent="0.25">
      <c r="A30816" s="1"/>
      <c r="B30816" s="1" t="s">
        <v>8275</v>
      </c>
      <c r="C30816" s="1" t="s">
        <v>8276</v>
      </c>
      <c r="D30816" s="1" t="str">
        <f>HYPERLINK("https://rhld.insurance.arkansas.gov/NPILookup?Npi=1346712106","1346712106")</f>
        <v>1346712106</v>
      </c>
      <c r="E30816" s="1" t="s">
        <v>32457</v>
      </c>
      <c r="F30816" s="2"/>
      <c r="G30816" s="2"/>
      <c r="H30816" s="2"/>
    </row>
    <row r="30817" spans="1:8" x14ac:dyDescent="0.25">
      <c r="A30817" s="1"/>
      <c r="B30817" s="1" t="s">
        <v>8275</v>
      </c>
      <c r="C30817" s="1" t="s">
        <v>8276</v>
      </c>
      <c r="D30817" s="1" t="str">
        <f>HYPERLINK("https://rhld.insurance.arkansas.gov/NPILookup?Npi=1346771938","1346771938")</f>
        <v>1346771938</v>
      </c>
      <c r="E30817" s="1" t="s">
        <v>13906</v>
      </c>
      <c r="F30817" s="2"/>
      <c r="G30817" s="2"/>
      <c r="H30817" s="2"/>
    </row>
    <row r="30818" spans="1:8" x14ac:dyDescent="0.25">
      <c r="A30818" s="1"/>
      <c r="B30818" s="1" t="s">
        <v>8275</v>
      </c>
      <c r="C30818" s="1" t="s">
        <v>8276</v>
      </c>
      <c r="D30818" s="1" t="str">
        <f>HYPERLINK("https://rhld.insurance.arkansas.gov/NPILookup?Npi=1346822384","1346822384")</f>
        <v>1346822384</v>
      </c>
      <c r="E30818" s="1" t="s">
        <v>32198</v>
      </c>
      <c r="F30818" s="2"/>
      <c r="G30818" s="2"/>
      <c r="H30818" s="2"/>
    </row>
    <row r="30819" spans="1:8" x14ac:dyDescent="0.25">
      <c r="A30819" s="1"/>
      <c r="B30819" s="1" t="s">
        <v>8275</v>
      </c>
      <c r="C30819" s="1" t="s">
        <v>8276</v>
      </c>
      <c r="D30819" s="1" t="str">
        <f>HYPERLINK("https://rhld.insurance.arkansas.gov/NPILookup?Npi=1346874609","1346874609")</f>
        <v>1346874609</v>
      </c>
      <c r="E30819" s="1" t="s">
        <v>26677</v>
      </c>
      <c r="F30819" s="2"/>
      <c r="G30819" s="2"/>
      <c r="H30819" s="2"/>
    </row>
    <row r="30820" spans="1:8" x14ac:dyDescent="0.25">
      <c r="A30820" s="1"/>
      <c r="B30820" s="1" t="s">
        <v>8275</v>
      </c>
      <c r="C30820" s="1" t="s">
        <v>8276</v>
      </c>
      <c r="D30820" s="1" t="str">
        <f>HYPERLINK("https://rhld.insurance.arkansas.gov/NPILookup?Npi=1346879079","1346879079")</f>
        <v>1346879079</v>
      </c>
      <c r="E30820" s="1" t="s">
        <v>32199</v>
      </c>
      <c r="F30820" s="2"/>
      <c r="G30820" s="2"/>
      <c r="H30820" s="2"/>
    </row>
    <row r="30821" spans="1:8" x14ac:dyDescent="0.25">
      <c r="A30821" s="1"/>
      <c r="B30821" s="1" t="s">
        <v>8275</v>
      </c>
      <c r="C30821" s="1" t="s">
        <v>8276</v>
      </c>
      <c r="D30821" s="1" t="str">
        <f>HYPERLINK("https://rhld.insurance.arkansas.gov/NPILookup?Npi=1346928975","1346928975")</f>
        <v>1346928975</v>
      </c>
      <c r="E30821" s="1" t="s">
        <v>26679</v>
      </c>
      <c r="F30821" s="2"/>
      <c r="G30821" s="2"/>
      <c r="H30821" s="2"/>
    </row>
    <row r="30822" spans="1:8" x14ac:dyDescent="0.25">
      <c r="A30822" s="1"/>
      <c r="B30822" s="1" t="s">
        <v>8275</v>
      </c>
      <c r="C30822" s="1" t="s">
        <v>8276</v>
      </c>
      <c r="D30822" s="1" t="str">
        <f>HYPERLINK("https://rhld.insurance.arkansas.gov/NPILookup?Npi=1346963519","1346963519")</f>
        <v>1346963519</v>
      </c>
      <c r="E30822" s="1" t="s">
        <v>26680</v>
      </c>
      <c r="F30822" s="2"/>
      <c r="G30822" s="2"/>
      <c r="H30822" s="2"/>
    </row>
    <row r="30823" spans="1:8" x14ac:dyDescent="0.25">
      <c r="A30823" s="1"/>
      <c r="B30823" s="1" t="s">
        <v>8275</v>
      </c>
      <c r="C30823" s="1" t="s">
        <v>8276</v>
      </c>
      <c r="D30823" s="1" t="str">
        <f>HYPERLINK("https://rhld.insurance.arkansas.gov/NPILookup?Npi=1346972437","1346972437")</f>
        <v>1346972437</v>
      </c>
      <c r="E30823" s="1" t="s">
        <v>26681</v>
      </c>
      <c r="F30823" s="2"/>
      <c r="G30823" s="2"/>
      <c r="H30823" s="2"/>
    </row>
    <row r="30824" spans="1:8" x14ac:dyDescent="0.25">
      <c r="A30824" s="1"/>
      <c r="B30824" s="1" t="s">
        <v>8275</v>
      </c>
      <c r="C30824" s="1" t="s">
        <v>8276</v>
      </c>
      <c r="D30824" s="1" t="str">
        <f>HYPERLINK("https://rhld.insurance.arkansas.gov/NPILookup?Npi=1346993441","1346993441")</f>
        <v>1346993441</v>
      </c>
      <c r="E30824" s="1" t="s">
        <v>26682</v>
      </c>
      <c r="F30824" s="2"/>
      <c r="G30824" s="2"/>
      <c r="H30824" s="2"/>
    </row>
    <row r="30825" spans="1:8" x14ac:dyDescent="0.25">
      <c r="A30825" s="1"/>
      <c r="B30825" s="1" t="s">
        <v>8275</v>
      </c>
      <c r="C30825" s="1" t="s">
        <v>8276</v>
      </c>
      <c r="D30825" s="1" t="str">
        <f>HYPERLINK("https://rhld.insurance.arkansas.gov/NPILookup?Npi=1356015465","1356015465")</f>
        <v>1356015465</v>
      </c>
      <c r="E30825" s="1" t="s">
        <v>26683</v>
      </c>
      <c r="F30825" s="2"/>
      <c r="G30825" s="2"/>
      <c r="H30825" s="2"/>
    </row>
    <row r="30826" spans="1:8" x14ac:dyDescent="0.25">
      <c r="A30826" s="1"/>
      <c r="B30826" s="1" t="s">
        <v>8275</v>
      </c>
      <c r="C30826" s="1" t="s">
        <v>8276</v>
      </c>
      <c r="D30826" s="1" t="str">
        <f>HYPERLINK("https://rhld.insurance.arkansas.gov/NPILookup?Npi=1356042964","1356042964")</f>
        <v>1356042964</v>
      </c>
      <c r="E30826" s="1" t="s">
        <v>32200</v>
      </c>
      <c r="F30826" s="2"/>
      <c r="G30826" s="2"/>
      <c r="H30826" s="2"/>
    </row>
    <row r="30827" spans="1:8" x14ac:dyDescent="0.25">
      <c r="A30827" s="1"/>
      <c r="B30827" s="1" t="s">
        <v>8275</v>
      </c>
      <c r="C30827" s="1" t="s">
        <v>8276</v>
      </c>
      <c r="D30827" s="1" t="str">
        <f>HYPERLINK("https://rhld.insurance.arkansas.gov/NPILookup?Npi=1356157481","1356157481")</f>
        <v>1356157481</v>
      </c>
      <c r="E30827" s="1" t="s">
        <v>32201</v>
      </c>
      <c r="F30827" s="2"/>
      <c r="G30827" s="2"/>
      <c r="H30827" s="2"/>
    </row>
    <row r="30828" spans="1:8" x14ac:dyDescent="0.25">
      <c r="A30828" s="1"/>
      <c r="B30828" s="1" t="s">
        <v>8275</v>
      </c>
      <c r="C30828" s="1" t="s">
        <v>8276</v>
      </c>
      <c r="D30828" s="1" t="str">
        <f>HYPERLINK("https://rhld.insurance.arkansas.gov/NPILookup?Npi=1356168132","1356168132")</f>
        <v>1356168132</v>
      </c>
      <c r="E30828" s="1" t="s">
        <v>32202</v>
      </c>
      <c r="F30828" s="2"/>
      <c r="G30828" s="2"/>
      <c r="H30828" s="2"/>
    </row>
    <row r="30829" spans="1:8" x14ac:dyDescent="0.25">
      <c r="A30829" s="1"/>
      <c r="B30829" s="1" t="s">
        <v>8275</v>
      </c>
      <c r="C30829" s="1" t="s">
        <v>8276</v>
      </c>
      <c r="D30829" s="1" t="str">
        <f>HYPERLINK("https://rhld.insurance.arkansas.gov/NPILookup?Npi=1356301147","1356301147")</f>
        <v>1356301147</v>
      </c>
      <c r="E30829" s="1" t="s">
        <v>26689</v>
      </c>
      <c r="F30829" s="2"/>
      <c r="G30829" s="2"/>
      <c r="H30829" s="2"/>
    </row>
    <row r="30830" spans="1:8" x14ac:dyDescent="0.25">
      <c r="A30830" s="1"/>
      <c r="B30830" s="1" t="s">
        <v>8275</v>
      </c>
      <c r="C30830" s="1" t="s">
        <v>8276</v>
      </c>
      <c r="D30830" s="1" t="str">
        <f>HYPERLINK("https://rhld.insurance.arkansas.gov/NPILookup?Npi=1356304091","1356304091")</f>
        <v>1356304091</v>
      </c>
      <c r="E30830" s="1" t="s">
        <v>29667</v>
      </c>
      <c r="F30830" s="2"/>
      <c r="G30830" s="2"/>
      <c r="H30830" s="2"/>
    </row>
    <row r="30831" spans="1:8" x14ac:dyDescent="0.25">
      <c r="A30831" s="1"/>
      <c r="B30831" s="1" t="s">
        <v>8275</v>
      </c>
      <c r="C30831" s="1" t="s">
        <v>8276</v>
      </c>
      <c r="D30831" s="1" t="str">
        <f>HYPERLINK("https://rhld.insurance.arkansas.gov/NPILookup?Npi=1356328520","1356328520")</f>
        <v>1356328520</v>
      </c>
      <c r="E30831" s="1" t="s">
        <v>13005</v>
      </c>
      <c r="F30831" s="2"/>
      <c r="G30831" s="2"/>
      <c r="H30831" s="2"/>
    </row>
    <row r="30832" spans="1:8" x14ac:dyDescent="0.25">
      <c r="A30832" s="1"/>
      <c r="B30832" s="1" t="s">
        <v>8275</v>
      </c>
      <c r="C30832" s="1" t="s">
        <v>8276</v>
      </c>
      <c r="D30832" s="1" t="str">
        <f>HYPERLINK("https://rhld.insurance.arkansas.gov/NPILookup?Npi=1356373286","1356373286")</f>
        <v>1356373286</v>
      </c>
      <c r="E30832" s="1" t="s">
        <v>26693</v>
      </c>
      <c r="F30832" s="2"/>
      <c r="G30832" s="2"/>
      <c r="H30832" s="2"/>
    </row>
    <row r="30833" spans="1:8" x14ac:dyDescent="0.25">
      <c r="A30833" s="1"/>
      <c r="B30833" s="1" t="s">
        <v>8275</v>
      </c>
      <c r="C30833" s="1" t="s">
        <v>8276</v>
      </c>
      <c r="D30833" s="1" t="str">
        <f>HYPERLINK("https://rhld.insurance.arkansas.gov/NPILookup?Npi=1356397335","1356397335")</f>
        <v>1356397335</v>
      </c>
      <c r="E30833" s="1" t="s">
        <v>29668</v>
      </c>
      <c r="F30833" s="2"/>
      <c r="G30833" s="2"/>
      <c r="H30833" s="2"/>
    </row>
    <row r="30834" spans="1:8" x14ac:dyDescent="0.25">
      <c r="A30834" s="1"/>
      <c r="B30834" s="1" t="s">
        <v>8275</v>
      </c>
      <c r="C30834" s="1" t="s">
        <v>8276</v>
      </c>
      <c r="D30834" s="1" t="str">
        <f>HYPERLINK("https://rhld.insurance.arkansas.gov/NPILookup?Npi=1356431910","1356431910")</f>
        <v>1356431910</v>
      </c>
      <c r="E30834" s="1" t="s">
        <v>17456</v>
      </c>
      <c r="F30834" s="2"/>
      <c r="G30834" s="2"/>
      <c r="H30834" s="2"/>
    </row>
    <row r="30835" spans="1:8" x14ac:dyDescent="0.25">
      <c r="A30835" s="1"/>
      <c r="B30835" s="1" t="s">
        <v>8275</v>
      </c>
      <c r="C30835" s="1" t="s">
        <v>8276</v>
      </c>
      <c r="D30835" s="1" t="str">
        <f>HYPERLINK("https://rhld.insurance.arkansas.gov/NPILookup?Npi=1356431936","1356431936")</f>
        <v>1356431936</v>
      </c>
      <c r="E30835" s="1" t="s">
        <v>17457</v>
      </c>
      <c r="F30835" s="2"/>
      <c r="G30835" s="2"/>
      <c r="H30835" s="2"/>
    </row>
    <row r="30836" spans="1:8" x14ac:dyDescent="0.25">
      <c r="A30836" s="1"/>
      <c r="B30836" s="1" t="s">
        <v>8275</v>
      </c>
      <c r="C30836" s="1" t="s">
        <v>8276</v>
      </c>
      <c r="D30836" s="1" t="str">
        <f>HYPERLINK("https://rhld.insurance.arkansas.gov/NPILookup?Npi=1356489272","1356489272")</f>
        <v>1356489272</v>
      </c>
      <c r="E30836" s="1" t="s">
        <v>7685</v>
      </c>
      <c r="F30836" s="2"/>
      <c r="G30836" s="2"/>
      <c r="H30836" s="2"/>
    </row>
    <row r="30837" spans="1:8" x14ac:dyDescent="0.25">
      <c r="A30837" s="1"/>
      <c r="B30837" s="1" t="s">
        <v>8275</v>
      </c>
      <c r="C30837" s="1" t="s">
        <v>8276</v>
      </c>
      <c r="D30837" s="1" t="str">
        <f>HYPERLINK("https://rhld.insurance.arkansas.gov/NPILookup?Npi=1356502710","1356502710")</f>
        <v>1356502710</v>
      </c>
      <c r="E30837" s="1" t="s">
        <v>26696</v>
      </c>
      <c r="F30837" s="2"/>
      <c r="G30837" s="2"/>
      <c r="H30837" s="2"/>
    </row>
    <row r="30838" spans="1:8" x14ac:dyDescent="0.25">
      <c r="A30838" s="1"/>
      <c r="B30838" s="1" t="s">
        <v>8275</v>
      </c>
      <c r="C30838" s="1" t="s">
        <v>8276</v>
      </c>
      <c r="D30838" s="1" t="str">
        <f>HYPERLINK("https://rhld.insurance.arkansas.gov/NPILookup?Npi=1356513394","1356513394")</f>
        <v>1356513394</v>
      </c>
      <c r="E30838" s="1" t="s">
        <v>26697</v>
      </c>
      <c r="F30838" s="2"/>
      <c r="G30838" s="2"/>
      <c r="H30838" s="2"/>
    </row>
    <row r="30839" spans="1:8" x14ac:dyDescent="0.25">
      <c r="A30839" s="1"/>
      <c r="B30839" s="1" t="s">
        <v>8275</v>
      </c>
      <c r="C30839" s="1" t="s">
        <v>8276</v>
      </c>
      <c r="D30839" s="1" t="str">
        <f>HYPERLINK("https://rhld.insurance.arkansas.gov/NPILookup?Npi=1356563241","1356563241")</f>
        <v>1356563241</v>
      </c>
      <c r="E30839" s="1" t="s">
        <v>13009</v>
      </c>
      <c r="F30839" s="2"/>
      <c r="G30839" s="2"/>
      <c r="H30839" s="2"/>
    </row>
    <row r="30840" spans="1:8" x14ac:dyDescent="0.25">
      <c r="A30840" s="1"/>
      <c r="B30840" s="1" t="s">
        <v>8275</v>
      </c>
      <c r="C30840" s="1" t="s">
        <v>8276</v>
      </c>
      <c r="D30840" s="1" t="str">
        <f>HYPERLINK("https://rhld.insurance.arkansas.gov/NPILookup?Npi=1356581151","1356581151")</f>
        <v>1356581151</v>
      </c>
      <c r="E30840" s="1" t="s">
        <v>13011</v>
      </c>
      <c r="F30840" s="2"/>
      <c r="G30840" s="2"/>
      <c r="H30840" s="2"/>
    </row>
    <row r="30841" spans="1:8" x14ac:dyDescent="0.25">
      <c r="A30841" s="1"/>
      <c r="B30841" s="1" t="s">
        <v>8275</v>
      </c>
      <c r="C30841" s="1" t="s">
        <v>8276</v>
      </c>
      <c r="D30841" s="1" t="str">
        <f>HYPERLINK("https://rhld.insurance.arkansas.gov/NPILookup?Npi=1356600829","1356600829")</f>
        <v>1356600829</v>
      </c>
      <c r="E30841" s="1" t="s">
        <v>26698</v>
      </c>
      <c r="F30841" s="2"/>
      <c r="G30841" s="2"/>
      <c r="H30841" s="2"/>
    </row>
    <row r="30842" spans="1:8" x14ac:dyDescent="0.25">
      <c r="A30842" s="1"/>
      <c r="B30842" s="1" t="s">
        <v>8275</v>
      </c>
      <c r="C30842" s="1" t="s">
        <v>8276</v>
      </c>
      <c r="D30842" s="1" t="str">
        <f>HYPERLINK("https://rhld.insurance.arkansas.gov/NPILookup?Npi=1356632269","1356632269")</f>
        <v>1356632269</v>
      </c>
      <c r="E30842" s="1" t="s">
        <v>29669</v>
      </c>
      <c r="F30842" s="2"/>
      <c r="G30842" s="2"/>
      <c r="H30842" s="2"/>
    </row>
    <row r="30843" spans="1:8" x14ac:dyDescent="0.25">
      <c r="A30843" s="1"/>
      <c r="B30843" s="1" t="s">
        <v>8275</v>
      </c>
      <c r="C30843" s="1" t="s">
        <v>8276</v>
      </c>
      <c r="D30843" s="1" t="str">
        <f>HYPERLINK("https://rhld.insurance.arkansas.gov/NPILookup?Npi=1356640502","1356640502")</f>
        <v>1356640502</v>
      </c>
      <c r="E30843" s="1" t="s">
        <v>13907</v>
      </c>
      <c r="F30843" s="2"/>
      <c r="G30843" s="2"/>
      <c r="H30843" s="2"/>
    </row>
    <row r="30844" spans="1:8" x14ac:dyDescent="0.25">
      <c r="A30844" s="1"/>
      <c r="B30844" s="1" t="s">
        <v>8275</v>
      </c>
      <c r="C30844" s="1" t="s">
        <v>8276</v>
      </c>
      <c r="D30844" s="1" t="str">
        <f>HYPERLINK("https://rhld.insurance.arkansas.gov/NPILookup?Npi=1356652630","1356652630")</f>
        <v>1356652630</v>
      </c>
      <c r="E30844" s="1" t="s">
        <v>29670</v>
      </c>
      <c r="F30844" s="2"/>
      <c r="G30844" s="2"/>
      <c r="H30844" s="2"/>
    </row>
    <row r="30845" spans="1:8" x14ac:dyDescent="0.25">
      <c r="A30845" s="1"/>
      <c r="B30845" s="1" t="s">
        <v>8275</v>
      </c>
      <c r="C30845" s="1" t="s">
        <v>8276</v>
      </c>
      <c r="D30845" s="1" t="str">
        <f>HYPERLINK("https://rhld.insurance.arkansas.gov/NPILookup?Npi=1356664205","1356664205")</f>
        <v>1356664205</v>
      </c>
      <c r="E30845" s="1" t="s">
        <v>8301</v>
      </c>
      <c r="F30845" s="2"/>
      <c r="G30845" s="2"/>
      <c r="H30845" s="2"/>
    </row>
    <row r="30846" spans="1:8" x14ac:dyDescent="0.25">
      <c r="A30846" s="1"/>
      <c r="B30846" s="1" t="s">
        <v>8275</v>
      </c>
      <c r="C30846" s="1" t="s">
        <v>8276</v>
      </c>
      <c r="D30846" s="1" t="str">
        <f>HYPERLINK("https://rhld.insurance.arkansas.gov/NPILookup?Npi=1356684963","1356684963")</f>
        <v>1356684963</v>
      </c>
      <c r="E30846" s="1" t="s">
        <v>26702</v>
      </c>
      <c r="F30846" s="2"/>
      <c r="G30846" s="2"/>
      <c r="H30846" s="2"/>
    </row>
    <row r="30847" spans="1:8" x14ac:dyDescent="0.25">
      <c r="A30847" s="1"/>
      <c r="B30847" s="1" t="s">
        <v>8275</v>
      </c>
      <c r="C30847" s="1" t="s">
        <v>8276</v>
      </c>
      <c r="D30847" s="1" t="str">
        <f>HYPERLINK("https://rhld.insurance.arkansas.gov/NPILookup?Npi=1356803266","1356803266")</f>
        <v>1356803266</v>
      </c>
      <c r="E30847" s="1" t="s">
        <v>29671</v>
      </c>
      <c r="F30847" s="2"/>
      <c r="G30847" s="2"/>
      <c r="H30847" s="2"/>
    </row>
    <row r="30848" spans="1:8" x14ac:dyDescent="0.25">
      <c r="A30848" s="1"/>
      <c r="B30848" s="1" t="s">
        <v>8275</v>
      </c>
      <c r="C30848" s="1" t="s">
        <v>8276</v>
      </c>
      <c r="D30848" s="1" t="str">
        <f>HYPERLINK("https://rhld.insurance.arkansas.gov/NPILookup?Npi=1356810246","1356810246")</f>
        <v>1356810246</v>
      </c>
      <c r="E30848" s="1" t="s">
        <v>26712</v>
      </c>
      <c r="F30848" s="2"/>
      <c r="G30848" s="2"/>
      <c r="H30848" s="2"/>
    </row>
    <row r="30849" spans="1:8" x14ac:dyDescent="0.25">
      <c r="A30849" s="1"/>
      <c r="B30849" s="1" t="s">
        <v>8275</v>
      </c>
      <c r="C30849" s="1" t="s">
        <v>8276</v>
      </c>
      <c r="D30849" s="1" t="str">
        <f>HYPERLINK("https://rhld.insurance.arkansas.gov/NPILookup?Npi=1356978142","1356978142")</f>
        <v>1356978142</v>
      </c>
      <c r="E30849" s="1" t="s">
        <v>26721</v>
      </c>
      <c r="F30849" s="2"/>
      <c r="G30849" s="2"/>
      <c r="H30849" s="2"/>
    </row>
    <row r="30850" spans="1:8" x14ac:dyDescent="0.25">
      <c r="A30850" s="1"/>
      <c r="B30850" s="1" t="s">
        <v>8275</v>
      </c>
      <c r="C30850" s="1" t="s">
        <v>8276</v>
      </c>
      <c r="D30850" s="1" t="str">
        <f>HYPERLINK("https://rhld.insurance.arkansas.gov/NPILookup?Npi=1366070765","1366070765")</f>
        <v>1366070765</v>
      </c>
      <c r="E30850" s="1" t="s">
        <v>26725</v>
      </c>
      <c r="F30850" s="2"/>
      <c r="G30850" s="2"/>
      <c r="H30850" s="2"/>
    </row>
    <row r="30851" spans="1:8" x14ac:dyDescent="0.25">
      <c r="A30851" s="1"/>
      <c r="B30851" s="1" t="s">
        <v>8275</v>
      </c>
      <c r="C30851" s="1" t="s">
        <v>8276</v>
      </c>
      <c r="D30851" s="1" t="str">
        <f>HYPERLINK("https://rhld.insurance.arkansas.gov/NPILookup?Npi=1366258774","1366258774")</f>
        <v>1366258774</v>
      </c>
      <c r="E30851" s="1" t="s">
        <v>32204</v>
      </c>
      <c r="F30851" s="2"/>
      <c r="G30851" s="2"/>
      <c r="H30851" s="2"/>
    </row>
    <row r="30852" spans="1:8" x14ac:dyDescent="0.25">
      <c r="A30852" s="1"/>
      <c r="B30852" s="1" t="s">
        <v>8275</v>
      </c>
      <c r="C30852" s="1" t="s">
        <v>8276</v>
      </c>
      <c r="D30852" s="1" t="str">
        <f>HYPERLINK("https://rhld.insurance.arkansas.gov/NPILookup?Npi=1366268930","1366268930")</f>
        <v>1366268930</v>
      </c>
      <c r="E30852" s="1" t="s">
        <v>32205</v>
      </c>
      <c r="F30852" s="2"/>
      <c r="G30852" s="2"/>
      <c r="H30852" s="2"/>
    </row>
    <row r="30853" spans="1:8" x14ac:dyDescent="0.25">
      <c r="A30853" s="1"/>
      <c r="B30853" s="1" t="s">
        <v>8275</v>
      </c>
      <c r="C30853" s="1" t="s">
        <v>8276</v>
      </c>
      <c r="D30853" s="1" t="str">
        <f>HYPERLINK("https://rhld.insurance.arkansas.gov/NPILookup?Npi=1366285546","1366285546")</f>
        <v>1366285546</v>
      </c>
      <c r="E30853" s="1" t="s">
        <v>32206</v>
      </c>
      <c r="F30853" s="2"/>
      <c r="G30853" s="2"/>
      <c r="H30853" s="2"/>
    </row>
    <row r="30854" spans="1:8" x14ac:dyDescent="0.25">
      <c r="A30854" s="1"/>
      <c r="B30854" s="1" t="s">
        <v>8275</v>
      </c>
      <c r="C30854" s="1" t="s">
        <v>8276</v>
      </c>
      <c r="D30854" s="1" t="str">
        <f>HYPERLINK("https://rhld.insurance.arkansas.gov/NPILookup?Npi=1366403479","1366403479")</f>
        <v>1366403479</v>
      </c>
      <c r="E30854" s="1" t="s">
        <v>102</v>
      </c>
      <c r="F30854" s="2"/>
      <c r="G30854" s="2"/>
      <c r="H30854" s="2"/>
    </row>
    <row r="30855" spans="1:8" x14ac:dyDescent="0.25">
      <c r="A30855" s="1"/>
      <c r="B30855" s="1" t="s">
        <v>8275</v>
      </c>
      <c r="C30855" s="1" t="s">
        <v>8276</v>
      </c>
      <c r="D30855" s="1" t="str">
        <f>HYPERLINK("https://rhld.insurance.arkansas.gov/NPILookup?Npi=1366470205","1366470205")</f>
        <v>1366470205</v>
      </c>
      <c r="E30855" s="1" t="s">
        <v>1091</v>
      </c>
      <c r="F30855" s="2"/>
      <c r="G30855" s="2"/>
      <c r="H30855" s="2"/>
    </row>
    <row r="30856" spans="1:8" x14ac:dyDescent="0.25">
      <c r="A30856" s="1"/>
      <c r="B30856" s="1" t="s">
        <v>8275</v>
      </c>
      <c r="C30856" s="1" t="s">
        <v>8276</v>
      </c>
      <c r="D30856" s="1" t="str">
        <f>HYPERLINK("https://rhld.insurance.arkansas.gov/NPILookup?Npi=1366472144","1366472144")</f>
        <v>1366472144</v>
      </c>
      <c r="E30856" s="1" t="s">
        <v>26739</v>
      </c>
      <c r="F30856" s="2"/>
      <c r="G30856" s="2"/>
      <c r="H30856" s="2"/>
    </row>
    <row r="30857" spans="1:8" x14ac:dyDescent="0.25">
      <c r="A30857" s="1"/>
      <c r="B30857" s="1" t="s">
        <v>8275</v>
      </c>
      <c r="C30857" s="1" t="s">
        <v>8276</v>
      </c>
      <c r="D30857" s="1" t="str">
        <f>HYPERLINK("https://rhld.insurance.arkansas.gov/NPILookup?Npi=1366481392","1366481392")</f>
        <v>1366481392</v>
      </c>
      <c r="E30857" s="1" t="s">
        <v>13025</v>
      </c>
      <c r="F30857" s="2"/>
      <c r="G30857" s="2"/>
      <c r="H30857" s="2"/>
    </row>
    <row r="30858" spans="1:8" x14ac:dyDescent="0.25">
      <c r="A30858" s="1"/>
      <c r="B30858" s="1" t="s">
        <v>8275</v>
      </c>
      <c r="C30858" s="1" t="s">
        <v>8276</v>
      </c>
      <c r="D30858" s="1" t="str">
        <f>HYPERLINK("https://rhld.insurance.arkansas.gov/NPILookup?Npi=1366485393","1366485393")</f>
        <v>1366485393</v>
      </c>
      <c r="E30858" s="1" t="s">
        <v>17463</v>
      </c>
      <c r="F30858" s="2"/>
      <c r="G30858" s="2"/>
      <c r="H30858" s="2"/>
    </row>
    <row r="30859" spans="1:8" x14ac:dyDescent="0.25">
      <c r="A30859" s="1"/>
      <c r="B30859" s="1" t="s">
        <v>8275</v>
      </c>
      <c r="C30859" s="1" t="s">
        <v>8276</v>
      </c>
      <c r="D30859" s="1" t="str">
        <f>HYPERLINK("https://rhld.insurance.arkansas.gov/NPILookup?Npi=1366511289","1366511289")</f>
        <v>1366511289</v>
      </c>
      <c r="E30859" s="1" t="s">
        <v>7691</v>
      </c>
      <c r="F30859" s="2"/>
      <c r="G30859" s="2"/>
      <c r="H30859" s="2"/>
    </row>
    <row r="30860" spans="1:8" x14ac:dyDescent="0.25">
      <c r="A30860" s="1"/>
      <c r="B30860" s="1" t="s">
        <v>8275</v>
      </c>
      <c r="C30860" s="1" t="s">
        <v>8276</v>
      </c>
      <c r="D30860" s="1" t="str">
        <f>HYPERLINK("https://rhld.insurance.arkansas.gov/NPILookup?Npi=1366658346","1366658346")</f>
        <v>1366658346</v>
      </c>
      <c r="E30860" s="1" t="s">
        <v>26747</v>
      </c>
      <c r="F30860" s="2"/>
      <c r="G30860" s="2"/>
      <c r="H30860" s="2"/>
    </row>
    <row r="30861" spans="1:8" x14ac:dyDescent="0.25">
      <c r="A30861" s="1"/>
      <c r="B30861" s="1" t="s">
        <v>8275</v>
      </c>
      <c r="C30861" s="1" t="s">
        <v>8276</v>
      </c>
      <c r="D30861" s="1" t="str">
        <f>HYPERLINK("https://rhld.insurance.arkansas.gov/NPILookup?Npi=1366684391","1366684391")</f>
        <v>1366684391</v>
      </c>
      <c r="E30861" s="1" t="s">
        <v>29672</v>
      </c>
      <c r="F30861" s="2"/>
      <c r="G30861" s="2"/>
      <c r="H30861" s="2"/>
    </row>
    <row r="30862" spans="1:8" x14ac:dyDescent="0.25">
      <c r="A30862" s="1"/>
      <c r="B30862" s="1" t="s">
        <v>8275</v>
      </c>
      <c r="C30862" s="1" t="s">
        <v>8276</v>
      </c>
      <c r="D30862" s="1" t="str">
        <f>HYPERLINK("https://rhld.insurance.arkansas.gov/NPILookup?Npi=1366763435","1366763435")</f>
        <v>1366763435</v>
      </c>
      <c r="E30862" s="1" t="s">
        <v>2011</v>
      </c>
      <c r="F30862" s="2"/>
      <c r="G30862" s="2"/>
      <c r="H30862" s="2"/>
    </row>
    <row r="30863" spans="1:8" x14ac:dyDescent="0.25">
      <c r="A30863" s="1"/>
      <c r="B30863" s="1" t="s">
        <v>8275</v>
      </c>
      <c r="C30863" s="1" t="s">
        <v>8276</v>
      </c>
      <c r="D30863" s="1" t="str">
        <f>HYPERLINK("https://rhld.insurance.arkansas.gov/NPILookup?Npi=1366767972","1366767972")</f>
        <v>1366767972</v>
      </c>
      <c r="E30863" s="1" t="s">
        <v>20718</v>
      </c>
      <c r="F30863" s="2"/>
      <c r="G30863" s="2"/>
      <c r="H30863" s="2"/>
    </row>
    <row r="30864" spans="1:8" x14ac:dyDescent="0.25">
      <c r="A30864" s="1"/>
      <c r="B30864" s="1" t="s">
        <v>8275</v>
      </c>
      <c r="C30864" s="1" t="s">
        <v>8276</v>
      </c>
      <c r="D30864" s="1" t="str">
        <f>HYPERLINK("https://rhld.insurance.arkansas.gov/NPILookup?Npi=1366785222","1366785222")</f>
        <v>1366785222</v>
      </c>
      <c r="E30864" s="1" t="s">
        <v>13908</v>
      </c>
      <c r="F30864" s="2"/>
      <c r="G30864" s="2"/>
      <c r="H30864" s="2"/>
    </row>
    <row r="30865" spans="1:8" x14ac:dyDescent="0.25">
      <c r="A30865" s="1"/>
      <c r="B30865" s="1" t="s">
        <v>8275</v>
      </c>
      <c r="C30865" s="1" t="s">
        <v>8276</v>
      </c>
      <c r="D30865" s="1" t="str">
        <f>HYPERLINK("https://rhld.insurance.arkansas.gov/NPILookup?Npi=1366797409","1366797409")</f>
        <v>1366797409</v>
      </c>
      <c r="E30865" s="1" t="s">
        <v>32458</v>
      </c>
      <c r="F30865" s="2"/>
      <c r="G30865" s="2"/>
      <c r="H30865" s="2"/>
    </row>
    <row r="30866" spans="1:8" x14ac:dyDescent="0.25">
      <c r="A30866" s="1"/>
      <c r="B30866" s="1" t="s">
        <v>8275</v>
      </c>
      <c r="C30866" s="1" t="s">
        <v>8276</v>
      </c>
      <c r="D30866" s="1" t="str">
        <f>HYPERLINK("https://rhld.insurance.arkansas.gov/NPILookup?Npi=1366828378","1366828378")</f>
        <v>1366828378</v>
      </c>
      <c r="E30866" s="1" t="s">
        <v>26758</v>
      </c>
      <c r="F30866" s="2"/>
      <c r="G30866" s="2"/>
      <c r="H30866" s="2"/>
    </row>
    <row r="30867" spans="1:8" x14ac:dyDescent="0.25">
      <c r="A30867" s="1"/>
      <c r="B30867" s="1" t="s">
        <v>8275</v>
      </c>
      <c r="C30867" s="1" t="s">
        <v>8276</v>
      </c>
      <c r="D30867" s="1" t="str">
        <f>HYPERLINK("https://rhld.insurance.arkansas.gov/NPILookup?Npi=1366899338","1366899338")</f>
        <v>1366899338</v>
      </c>
      <c r="E30867" s="1" t="s">
        <v>32459</v>
      </c>
      <c r="F30867" s="2"/>
      <c r="G30867" s="2"/>
      <c r="H30867" s="2"/>
    </row>
    <row r="30868" spans="1:8" x14ac:dyDescent="0.25">
      <c r="A30868" s="1"/>
      <c r="B30868" s="1" t="s">
        <v>8275</v>
      </c>
      <c r="C30868" s="1" t="s">
        <v>8276</v>
      </c>
      <c r="D30868" s="1" t="str">
        <f>HYPERLINK("https://rhld.insurance.arkansas.gov/NPILookup?Npi=1366954232","1366954232")</f>
        <v>1366954232</v>
      </c>
      <c r="E30868" s="1" t="s">
        <v>13029</v>
      </c>
      <c r="F30868" s="2"/>
      <c r="G30868" s="2"/>
      <c r="H30868" s="2"/>
    </row>
    <row r="30869" spans="1:8" x14ac:dyDescent="0.25">
      <c r="A30869" s="1"/>
      <c r="B30869" s="1" t="s">
        <v>8275</v>
      </c>
      <c r="C30869" s="1" t="s">
        <v>8276</v>
      </c>
      <c r="D30869" s="1" t="str">
        <f>HYPERLINK("https://rhld.insurance.arkansas.gov/NPILookup?Npi=1366996886","1366996886")</f>
        <v>1366996886</v>
      </c>
      <c r="E30869" s="1" t="s">
        <v>7507</v>
      </c>
      <c r="F30869" s="2"/>
      <c r="G30869" s="2"/>
      <c r="H30869" s="2"/>
    </row>
    <row r="30870" spans="1:8" x14ac:dyDescent="0.25">
      <c r="A30870" s="1"/>
      <c r="B30870" s="1" t="s">
        <v>8275</v>
      </c>
      <c r="C30870" s="1" t="s">
        <v>8276</v>
      </c>
      <c r="D30870" s="1" t="str">
        <f>HYPERLINK("https://rhld.insurance.arkansas.gov/NPILookup?Npi=1376131409","1376131409")</f>
        <v>1376131409</v>
      </c>
      <c r="E30870" s="1" t="s">
        <v>26776</v>
      </c>
      <c r="F30870" s="2"/>
      <c r="G30870" s="2"/>
      <c r="H30870" s="2"/>
    </row>
    <row r="30871" spans="1:8" x14ac:dyDescent="0.25">
      <c r="A30871" s="1"/>
      <c r="B30871" s="1" t="s">
        <v>8275</v>
      </c>
      <c r="C30871" s="1" t="s">
        <v>8276</v>
      </c>
      <c r="D30871" s="1" t="str">
        <f>HYPERLINK("https://rhld.insurance.arkansas.gov/NPILookup?Npi=1376357525","1376357525")</f>
        <v>1376357525</v>
      </c>
      <c r="E30871" s="1" t="s">
        <v>32208</v>
      </c>
      <c r="F30871" s="2"/>
      <c r="G30871" s="2"/>
      <c r="H30871" s="2"/>
    </row>
    <row r="30872" spans="1:8" x14ac:dyDescent="0.25">
      <c r="A30872" s="1"/>
      <c r="B30872" s="1" t="s">
        <v>8275</v>
      </c>
      <c r="C30872" s="1" t="s">
        <v>8276</v>
      </c>
      <c r="D30872" s="1" t="str">
        <f>HYPERLINK("https://rhld.insurance.arkansas.gov/NPILookup?Npi=1376572800","1376572800")</f>
        <v>1376572800</v>
      </c>
      <c r="E30872" s="1" t="s">
        <v>103</v>
      </c>
      <c r="F30872" s="2"/>
      <c r="G30872" s="2"/>
      <c r="H30872" s="2"/>
    </row>
    <row r="30873" spans="1:8" x14ac:dyDescent="0.25">
      <c r="A30873" s="1"/>
      <c r="B30873" s="1" t="s">
        <v>8275</v>
      </c>
      <c r="C30873" s="1" t="s">
        <v>8276</v>
      </c>
      <c r="D30873" s="1" t="str">
        <f>HYPERLINK("https://rhld.insurance.arkansas.gov/NPILookup?Npi=1376589754","1376589754")</f>
        <v>1376589754</v>
      </c>
      <c r="E30873" s="1" t="s">
        <v>17472</v>
      </c>
      <c r="F30873" s="2"/>
      <c r="G30873" s="2"/>
      <c r="H30873" s="2"/>
    </row>
    <row r="30874" spans="1:8" x14ac:dyDescent="0.25">
      <c r="A30874" s="1"/>
      <c r="B30874" s="1" t="s">
        <v>8275</v>
      </c>
      <c r="C30874" s="1" t="s">
        <v>8276</v>
      </c>
      <c r="D30874" s="1" t="str">
        <f>HYPERLINK("https://rhld.insurance.arkansas.gov/NPILookup?Npi=1376596452","1376596452")</f>
        <v>1376596452</v>
      </c>
      <c r="E30874" s="1" t="s">
        <v>4926</v>
      </c>
      <c r="F30874" s="2"/>
      <c r="G30874" s="2"/>
      <c r="H30874" s="2"/>
    </row>
    <row r="30875" spans="1:8" x14ac:dyDescent="0.25">
      <c r="A30875" s="1"/>
      <c r="B30875" s="1" t="s">
        <v>8275</v>
      </c>
      <c r="C30875" s="1" t="s">
        <v>8276</v>
      </c>
      <c r="D30875" s="1" t="str">
        <f>HYPERLINK("https://rhld.insurance.arkansas.gov/NPILookup?Npi=1376601054","1376601054")</f>
        <v>1376601054</v>
      </c>
      <c r="E30875" s="1" t="s">
        <v>29673</v>
      </c>
      <c r="F30875" s="2"/>
      <c r="G30875" s="2"/>
      <c r="H30875" s="2"/>
    </row>
    <row r="30876" spans="1:8" x14ac:dyDescent="0.25">
      <c r="A30876" s="1"/>
      <c r="B30876" s="1" t="s">
        <v>8275</v>
      </c>
      <c r="C30876" s="1" t="s">
        <v>8276</v>
      </c>
      <c r="D30876" s="1" t="str">
        <f>HYPERLINK("https://rhld.insurance.arkansas.gov/NPILookup?Npi=1376617274","1376617274")</f>
        <v>1376617274</v>
      </c>
      <c r="E30876" s="1" t="s">
        <v>26795</v>
      </c>
      <c r="F30876" s="2"/>
      <c r="G30876" s="2"/>
      <c r="H30876" s="2"/>
    </row>
    <row r="30877" spans="1:8" x14ac:dyDescent="0.25">
      <c r="A30877" s="1"/>
      <c r="B30877" s="1" t="s">
        <v>8275</v>
      </c>
      <c r="C30877" s="1" t="s">
        <v>8276</v>
      </c>
      <c r="D30877" s="1" t="str">
        <f>HYPERLINK("https://rhld.insurance.arkansas.gov/NPILookup?Npi=1376659219","1376659219")</f>
        <v>1376659219</v>
      </c>
      <c r="E30877" s="1" t="s">
        <v>26799</v>
      </c>
      <c r="F30877" s="2"/>
      <c r="G30877" s="2"/>
      <c r="H30877" s="2"/>
    </row>
    <row r="30878" spans="1:8" x14ac:dyDescent="0.25">
      <c r="A30878" s="1"/>
      <c r="B30878" s="1" t="s">
        <v>8275</v>
      </c>
      <c r="C30878" s="1" t="s">
        <v>8276</v>
      </c>
      <c r="D30878" s="1" t="str">
        <f>HYPERLINK("https://rhld.insurance.arkansas.gov/NPILookup?Npi=1376746305","1376746305")</f>
        <v>1376746305</v>
      </c>
      <c r="E30878" s="1" t="s">
        <v>29674</v>
      </c>
      <c r="F30878" s="2"/>
      <c r="G30878" s="2"/>
      <c r="H30878" s="2"/>
    </row>
    <row r="30879" spans="1:8" x14ac:dyDescent="0.25">
      <c r="A30879" s="1"/>
      <c r="B30879" s="1" t="s">
        <v>8275</v>
      </c>
      <c r="C30879" s="1" t="s">
        <v>8276</v>
      </c>
      <c r="D30879" s="1" t="str">
        <f>HYPERLINK("https://rhld.insurance.arkansas.gov/NPILookup?Npi=1376758029","1376758029")</f>
        <v>1376758029</v>
      </c>
      <c r="E30879" s="1" t="s">
        <v>29675</v>
      </c>
      <c r="F30879" s="2"/>
      <c r="G30879" s="2"/>
      <c r="H30879" s="2"/>
    </row>
    <row r="30880" spans="1:8" x14ac:dyDescent="0.25">
      <c r="A30880" s="1"/>
      <c r="B30880" s="1" t="s">
        <v>8275</v>
      </c>
      <c r="C30880" s="1" t="s">
        <v>8276</v>
      </c>
      <c r="D30880" s="1" t="str">
        <f>HYPERLINK("https://rhld.insurance.arkansas.gov/NPILookup?Npi=1376759068","1376759068")</f>
        <v>1376759068</v>
      </c>
      <c r="E30880" s="1" t="s">
        <v>3138</v>
      </c>
      <c r="F30880" s="2"/>
      <c r="G30880" s="2"/>
      <c r="H30880" s="2"/>
    </row>
    <row r="30881" spans="1:8" x14ac:dyDescent="0.25">
      <c r="A30881" s="1"/>
      <c r="B30881" s="1" t="s">
        <v>8275</v>
      </c>
      <c r="C30881" s="1" t="s">
        <v>8276</v>
      </c>
      <c r="D30881" s="1" t="str">
        <f>HYPERLINK("https://rhld.insurance.arkansas.gov/NPILookup?Npi=1376762609","1376762609")</f>
        <v>1376762609</v>
      </c>
      <c r="E30881" s="1" t="s">
        <v>29676</v>
      </c>
      <c r="F30881" s="2"/>
      <c r="G30881" s="2"/>
      <c r="H30881" s="2"/>
    </row>
    <row r="30882" spans="1:8" x14ac:dyDescent="0.25">
      <c r="A30882" s="1"/>
      <c r="B30882" s="1" t="s">
        <v>8275</v>
      </c>
      <c r="C30882" s="1" t="s">
        <v>8276</v>
      </c>
      <c r="D30882" s="1" t="str">
        <f>HYPERLINK("https://rhld.insurance.arkansas.gov/NPILookup?Npi=1376772277","1376772277")</f>
        <v>1376772277</v>
      </c>
      <c r="E30882" s="1" t="s">
        <v>8302</v>
      </c>
      <c r="F30882" s="2"/>
      <c r="G30882" s="2"/>
      <c r="H30882" s="2"/>
    </row>
    <row r="30883" spans="1:8" x14ac:dyDescent="0.25">
      <c r="A30883" s="1"/>
      <c r="B30883" s="1" t="s">
        <v>8275</v>
      </c>
      <c r="C30883" s="1" t="s">
        <v>8276</v>
      </c>
      <c r="D30883" s="1" t="str">
        <f>HYPERLINK("https://rhld.insurance.arkansas.gov/NPILookup?Npi=1376806760","1376806760")</f>
        <v>1376806760</v>
      </c>
      <c r="E30883" s="1" t="s">
        <v>26802</v>
      </c>
      <c r="F30883" s="2"/>
      <c r="G30883" s="2"/>
      <c r="H30883" s="2"/>
    </row>
    <row r="30884" spans="1:8" x14ac:dyDescent="0.25">
      <c r="A30884" s="1"/>
      <c r="B30884" s="1" t="s">
        <v>8275</v>
      </c>
      <c r="C30884" s="1" t="s">
        <v>8276</v>
      </c>
      <c r="D30884" s="1" t="str">
        <f>HYPERLINK("https://rhld.insurance.arkansas.gov/NPILookup?Npi=1376818476","1376818476")</f>
        <v>1376818476</v>
      </c>
      <c r="E30884" s="1" t="s">
        <v>13909</v>
      </c>
      <c r="F30884" s="2"/>
      <c r="G30884" s="2"/>
      <c r="H30884" s="2"/>
    </row>
    <row r="30885" spans="1:8" x14ac:dyDescent="0.25">
      <c r="A30885" s="1"/>
      <c r="B30885" s="1" t="s">
        <v>8275</v>
      </c>
      <c r="C30885" s="1" t="s">
        <v>8276</v>
      </c>
      <c r="D30885" s="1" t="str">
        <f>HYPERLINK("https://rhld.insurance.arkansas.gov/NPILookup?Npi=1376828400","1376828400")</f>
        <v>1376828400</v>
      </c>
      <c r="E30885" s="1" t="s">
        <v>8303</v>
      </c>
      <c r="F30885" s="2"/>
      <c r="G30885" s="2"/>
      <c r="H30885" s="2"/>
    </row>
    <row r="30886" spans="1:8" x14ac:dyDescent="0.25">
      <c r="A30886" s="1"/>
      <c r="B30886" s="1" t="s">
        <v>8275</v>
      </c>
      <c r="C30886" s="1" t="s">
        <v>8276</v>
      </c>
      <c r="D30886" s="1" t="str">
        <f>HYPERLINK("https://rhld.insurance.arkansas.gov/NPILookup?Npi=1376834994","1376834994")</f>
        <v>1376834994</v>
      </c>
      <c r="E30886" s="1" t="s">
        <v>916</v>
      </c>
      <c r="F30886" s="2"/>
      <c r="G30886" s="2"/>
      <c r="H30886" s="2"/>
    </row>
    <row r="30887" spans="1:8" x14ac:dyDescent="0.25">
      <c r="A30887" s="1"/>
      <c r="B30887" s="1" t="s">
        <v>8275</v>
      </c>
      <c r="C30887" s="1" t="s">
        <v>8276</v>
      </c>
      <c r="D30887" s="1" t="str">
        <f>HYPERLINK("https://rhld.insurance.arkansas.gov/NPILookup?Npi=1376842799","1376842799")</f>
        <v>1376842799</v>
      </c>
      <c r="E30887" s="1" t="s">
        <v>13040</v>
      </c>
      <c r="F30887" s="2"/>
      <c r="G30887" s="2"/>
      <c r="H30887" s="2"/>
    </row>
    <row r="30888" spans="1:8" x14ac:dyDescent="0.25">
      <c r="A30888" s="1"/>
      <c r="B30888" s="1" t="s">
        <v>8275</v>
      </c>
      <c r="C30888" s="1" t="s">
        <v>8276</v>
      </c>
      <c r="D30888" s="1" t="str">
        <f>HYPERLINK("https://rhld.insurance.arkansas.gov/NPILookup?Npi=1376878926","1376878926")</f>
        <v>1376878926</v>
      </c>
      <c r="E30888" s="1" t="s">
        <v>26807</v>
      </c>
      <c r="F30888" s="2"/>
      <c r="G30888" s="2"/>
      <c r="H30888" s="2"/>
    </row>
    <row r="30889" spans="1:8" x14ac:dyDescent="0.25">
      <c r="A30889" s="1"/>
      <c r="B30889" s="1" t="s">
        <v>8275</v>
      </c>
      <c r="C30889" s="1" t="s">
        <v>8276</v>
      </c>
      <c r="D30889" s="1" t="str">
        <f>HYPERLINK("https://rhld.insurance.arkansas.gov/NPILookup?Npi=1376962902","1376962902")</f>
        <v>1376962902</v>
      </c>
      <c r="E30889" s="1" t="s">
        <v>9768</v>
      </c>
      <c r="F30889" s="2"/>
      <c r="G30889" s="2"/>
      <c r="H30889" s="2"/>
    </row>
    <row r="30890" spans="1:8" x14ac:dyDescent="0.25">
      <c r="A30890" s="1"/>
      <c r="B30890" s="1" t="s">
        <v>8275</v>
      </c>
      <c r="C30890" s="1" t="s">
        <v>8276</v>
      </c>
      <c r="D30890" s="1" t="str">
        <f>HYPERLINK("https://rhld.insurance.arkansas.gov/NPILookup?Npi=1376999813","1376999813")</f>
        <v>1376999813</v>
      </c>
      <c r="E30890" s="1" t="s">
        <v>26816</v>
      </c>
      <c r="F30890" s="2"/>
      <c r="G30890" s="2"/>
      <c r="H30890" s="2"/>
    </row>
    <row r="30891" spans="1:8" x14ac:dyDescent="0.25">
      <c r="A30891" s="1"/>
      <c r="B30891" s="1" t="s">
        <v>8275</v>
      </c>
      <c r="C30891" s="1" t="s">
        <v>8276</v>
      </c>
      <c r="D30891" s="1" t="str">
        <f>HYPERLINK("https://rhld.insurance.arkansas.gov/NPILookup?Npi=1386212603","1386212603")</f>
        <v>1386212603</v>
      </c>
      <c r="E30891" s="1" t="s">
        <v>26838</v>
      </c>
      <c r="F30891" s="2"/>
      <c r="G30891" s="2"/>
      <c r="H30891" s="2"/>
    </row>
    <row r="30892" spans="1:8" x14ac:dyDescent="0.25">
      <c r="A30892" s="1"/>
      <c r="B30892" s="1" t="s">
        <v>8275</v>
      </c>
      <c r="C30892" s="1" t="s">
        <v>8276</v>
      </c>
      <c r="D30892" s="1" t="str">
        <f>HYPERLINK("https://rhld.insurance.arkansas.gov/NPILookup?Npi=1386450393","1386450393")</f>
        <v>1386450393</v>
      </c>
      <c r="E30892" s="1" t="s">
        <v>32210</v>
      </c>
      <c r="F30892" s="2"/>
      <c r="G30892" s="2"/>
      <c r="H30892" s="2"/>
    </row>
    <row r="30893" spans="1:8" x14ac:dyDescent="0.25">
      <c r="A30893" s="1"/>
      <c r="B30893" s="1" t="s">
        <v>8275</v>
      </c>
      <c r="C30893" s="1" t="s">
        <v>8276</v>
      </c>
      <c r="D30893" s="1" t="str">
        <f>HYPERLINK("https://rhld.insurance.arkansas.gov/NPILookup?Npi=1386460905","1386460905")</f>
        <v>1386460905</v>
      </c>
      <c r="E30893" s="1" t="s">
        <v>32211</v>
      </c>
      <c r="F30893" s="2"/>
      <c r="G30893" s="2"/>
      <c r="H30893" s="2"/>
    </row>
    <row r="30894" spans="1:8" x14ac:dyDescent="0.25">
      <c r="A30894" s="1"/>
      <c r="B30894" s="1" t="s">
        <v>8275</v>
      </c>
      <c r="C30894" s="1" t="s">
        <v>8276</v>
      </c>
      <c r="D30894" s="1" t="str">
        <f>HYPERLINK("https://rhld.insurance.arkansas.gov/NPILookup?Npi=1386637221","1386637221")</f>
        <v>1386637221</v>
      </c>
      <c r="E30894" s="1" t="s">
        <v>104</v>
      </c>
      <c r="F30894" s="2"/>
      <c r="G30894" s="2"/>
      <c r="H30894" s="2"/>
    </row>
    <row r="30895" spans="1:8" x14ac:dyDescent="0.25">
      <c r="A30895" s="1"/>
      <c r="B30895" s="1" t="s">
        <v>8275</v>
      </c>
      <c r="C30895" s="1" t="s">
        <v>8276</v>
      </c>
      <c r="D30895" s="1" t="str">
        <f>HYPERLINK("https://rhld.insurance.arkansas.gov/NPILookup?Npi=1386652204","1386652204")</f>
        <v>1386652204</v>
      </c>
      <c r="E30895" s="1" t="s">
        <v>13910</v>
      </c>
      <c r="F30895" s="2"/>
      <c r="G30895" s="2"/>
      <c r="H30895" s="2"/>
    </row>
    <row r="30896" spans="1:8" x14ac:dyDescent="0.25">
      <c r="A30896" s="1"/>
      <c r="B30896" s="1" t="s">
        <v>8275</v>
      </c>
      <c r="C30896" s="1" t="s">
        <v>8276</v>
      </c>
      <c r="D30896" s="1" t="str">
        <f>HYPERLINK("https://rhld.insurance.arkansas.gov/NPILookup?Npi=1386681328","1386681328")</f>
        <v>1386681328</v>
      </c>
      <c r="E30896" s="1" t="s">
        <v>1092</v>
      </c>
      <c r="F30896" s="2"/>
      <c r="G30896" s="2"/>
      <c r="H30896" s="2"/>
    </row>
    <row r="30897" spans="1:8" x14ac:dyDescent="0.25">
      <c r="A30897" s="1"/>
      <c r="B30897" s="1" t="s">
        <v>8275</v>
      </c>
      <c r="C30897" s="1" t="s">
        <v>8276</v>
      </c>
      <c r="D30897" s="1" t="str">
        <f>HYPERLINK("https://rhld.insurance.arkansas.gov/NPILookup?Npi=1386695674","1386695674")</f>
        <v>1386695674</v>
      </c>
      <c r="E30897" s="1" t="s">
        <v>11147</v>
      </c>
      <c r="F30897" s="2"/>
      <c r="G30897" s="2"/>
      <c r="H30897" s="2"/>
    </row>
    <row r="30898" spans="1:8" x14ac:dyDescent="0.25">
      <c r="A30898" s="1"/>
      <c r="B30898" s="1" t="s">
        <v>8275</v>
      </c>
      <c r="C30898" s="1" t="s">
        <v>8276</v>
      </c>
      <c r="D30898" s="1" t="str">
        <f>HYPERLINK("https://rhld.insurance.arkansas.gov/NPILookup?Npi=1386733830","1386733830")</f>
        <v>1386733830</v>
      </c>
      <c r="E30898" s="1" t="s">
        <v>26859</v>
      </c>
      <c r="F30898" s="2"/>
      <c r="G30898" s="2"/>
      <c r="H30898" s="2"/>
    </row>
    <row r="30899" spans="1:8" x14ac:dyDescent="0.25">
      <c r="A30899" s="1"/>
      <c r="B30899" s="1" t="s">
        <v>8275</v>
      </c>
      <c r="C30899" s="1" t="s">
        <v>8276</v>
      </c>
      <c r="D30899" s="1" t="str">
        <f>HYPERLINK("https://rhld.insurance.arkansas.gov/NPILookup?Npi=1386747061","1386747061")</f>
        <v>1386747061</v>
      </c>
      <c r="E30899" s="1" t="s">
        <v>13911</v>
      </c>
      <c r="F30899" s="2"/>
      <c r="G30899" s="2"/>
      <c r="H30899" s="2"/>
    </row>
    <row r="30900" spans="1:8" x14ac:dyDescent="0.25">
      <c r="A30900" s="1"/>
      <c r="B30900" s="1" t="s">
        <v>8275</v>
      </c>
      <c r="C30900" s="1" t="s">
        <v>8276</v>
      </c>
      <c r="D30900" s="1" t="str">
        <f>HYPERLINK("https://rhld.insurance.arkansas.gov/NPILookup?Npi=1386765352","1386765352")</f>
        <v>1386765352</v>
      </c>
      <c r="E30900" s="1" t="s">
        <v>24037</v>
      </c>
      <c r="F30900" s="2"/>
      <c r="G30900" s="2"/>
      <c r="H30900" s="2"/>
    </row>
    <row r="30901" spans="1:8" x14ac:dyDescent="0.25">
      <c r="A30901" s="1"/>
      <c r="B30901" s="1" t="s">
        <v>8275</v>
      </c>
      <c r="C30901" s="1" t="s">
        <v>8276</v>
      </c>
      <c r="D30901" s="1" t="str">
        <f>HYPERLINK("https://rhld.insurance.arkansas.gov/NPILookup?Npi=1386900769","1386900769")</f>
        <v>1386900769</v>
      </c>
      <c r="E30901" s="1" t="s">
        <v>29677</v>
      </c>
      <c r="F30901" s="2"/>
      <c r="G30901" s="2"/>
      <c r="H30901" s="2"/>
    </row>
    <row r="30902" spans="1:8" x14ac:dyDescent="0.25">
      <c r="A30902" s="1"/>
      <c r="B30902" s="1" t="s">
        <v>8275</v>
      </c>
      <c r="C30902" s="1" t="s">
        <v>8276</v>
      </c>
      <c r="D30902" s="1" t="str">
        <f>HYPERLINK("https://rhld.insurance.arkansas.gov/NPILookup?Npi=1396020426","1396020426")</f>
        <v>1396020426</v>
      </c>
      <c r="E30902" s="1" t="s">
        <v>26865</v>
      </c>
      <c r="F30902" s="2"/>
      <c r="G30902" s="2"/>
      <c r="H30902" s="2"/>
    </row>
    <row r="30903" spans="1:8" x14ac:dyDescent="0.25">
      <c r="A30903" s="1"/>
      <c r="B30903" s="1" t="s">
        <v>8275</v>
      </c>
      <c r="C30903" s="1" t="s">
        <v>8276</v>
      </c>
      <c r="D30903" s="1" t="str">
        <f>HYPERLINK("https://rhld.insurance.arkansas.gov/NPILookup?Npi=1396110490","1396110490")</f>
        <v>1396110490</v>
      </c>
      <c r="E30903" s="1" t="s">
        <v>32212</v>
      </c>
      <c r="F30903" s="2"/>
      <c r="G30903" s="2"/>
      <c r="H30903" s="2"/>
    </row>
    <row r="30904" spans="1:8" x14ac:dyDescent="0.25">
      <c r="A30904" s="1"/>
      <c r="B30904" s="1" t="s">
        <v>8275</v>
      </c>
      <c r="C30904" s="1" t="s">
        <v>8276</v>
      </c>
      <c r="D30904" s="1" t="str">
        <f>HYPERLINK("https://rhld.insurance.arkansas.gov/NPILookup?Npi=1396130431","1396130431")</f>
        <v>1396130431</v>
      </c>
      <c r="E30904" s="1" t="s">
        <v>26873</v>
      </c>
      <c r="F30904" s="2"/>
      <c r="G30904" s="2"/>
      <c r="H30904" s="2"/>
    </row>
    <row r="30905" spans="1:8" x14ac:dyDescent="0.25">
      <c r="A30905" s="1"/>
      <c r="B30905" s="1" t="s">
        <v>8275</v>
      </c>
      <c r="C30905" s="1" t="s">
        <v>8276</v>
      </c>
      <c r="D30905" s="1" t="str">
        <f>HYPERLINK("https://rhld.insurance.arkansas.gov/NPILookup?Npi=1396141636","1396141636")</f>
        <v>1396141636</v>
      </c>
      <c r="E30905" s="1" t="s">
        <v>26874</v>
      </c>
      <c r="F30905" s="2"/>
      <c r="G30905" s="2"/>
      <c r="H30905" s="2"/>
    </row>
    <row r="30906" spans="1:8" x14ac:dyDescent="0.25">
      <c r="A30906" s="1"/>
      <c r="B30906" s="1" t="s">
        <v>8275</v>
      </c>
      <c r="C30906" s="1" t="s">
        <v>8276</v>
      </c>
      <c r="D30906" s="1" t="str">
        <f>HYPERLINK("https://rhld.insurance.arkansas.gov/NPILookup?Npi=1396199048","1396199048")</f>
        <v>1396199048</v>
      </c>
      <c r="E30906" s="1" t="s">
        <v>29678</v>
      </c>
      <c r="F30906" s="2"/>
      <c r="G30906" s="2"/>
      <c r="H30906" s="2"/>
    </row>
    <row r="30907" spans="1:8" x14ac:dyDescent="0.25">
      <c r="A30907" s="1"/>
      <c r="B30907" s="1" t="s">
        <v>8275</v>
      </c>
      <c r="C30907" s="1" t="s">
        <v>8276</v>
      </c>
      <c r="D30907" s="1" t="str">
        <f>HYPERLINK("https://rhld.insurance.arkansas.gov/NPILookup?Npi=1396210514","1396210514")</f>
        <v>1396210514</v>
      </c>
      <c r="E30907" s="1" t="s">
        <v>7716</v>
      </c>
      <c r="F30907" s="2"/>
      <c r="G30907" s="2"/>
      <c r="H30907" s="2"/>
    </row>
    <row r="30908" spans="1:8" x14ac:dyDescent="0.25">
      <c r="A30908" s="1"/>
      <c r="B30908" s="1" t="s">
        <v>8275</v>
      </c>
      <c r="C30908" s="1" t="s">
        <v>8276</v>
      </c>
      <c r="D30908" s="1" t="str">
        <f>HYPERLINK("https://rhld.insurance.arkansas.gov/NPILookup?Npi=1396224754","1396224754")</f>
        <v>1396224754</v>
      </c>
      <c r="E30908" s="1" t="s">
        <v>7717</v>
      </c>
      <c r="F30908" s="2"/>
      <c r="G30908" s="2"/>
      <c r="H30908" s="2"/>
    </row>
    <row r="30909" spans="1:8" x14ac:dyDescent="0.25">
      <c r="A30909" s="1"/>
      <c r="B30909" s="1" t="s">
        <v>8275</v>
      </c>
      <c r="C30909" s="1" t="s">
        <v>8276</v>
      </c>
      <c r="D30909" s="1" t="str">
        <f>HYPERLINK("https://rhld.insurance.arkansas.gov/NPILookup?Npi=1396242954","1396242954")</f>
        <v>1396242954</v>
      </c>
      <c r="E30909" s="1" t="s">
        <v>29679</v>
      </c>
      <c r="F30909" s="2"/>
      <c r="G30909" s="2"/>
      <c r="H30909" s="2"/>
    </row>
    <row r="30910" spans="1:8" x14ac:dyDescent="0.25">
      <c r="A30910" s="1"/>
      <c r="B30910" s="1" t="s">
        <v>8275</v>
      </c>
      <c r="C30910" s="1" t="s">
        <v>8276</v>
      </c>
      <c r="D30910" s="1" t="str">
        <f>HYPERLINK("https://rhld.insurance.arkansas.gov/NPILookup?Npi=1396323614","1396323614")</f>
        <v>1396323614</v>
      </c>
      <c r="E30910" s="1" t="s">
        <v>32213</v>
      </c>
      <c r="F30910" s="2"/>
      <c r="G30910" s="2"/>
      <c r="H30910" s="2"/>
    </row>
    <row r="30911" spans="1:8" x14ac:dyDescent="0.25">
      <c r="A30911" s="1"/>
      <c r="B30911" s="1" t="s">
        <v>8275</v>
      </c>
      <c r="C30911" s="1" t="s">
        <v>8276</v>
      </c>
      <c r="D30911" s="1" t="str">
        <f>HYPERLINK("https://rhld.insurance.arkansas.gov/NPILookup?Npi=1396362737","1396362737")</f>
        <v>1396362737</v>
      </c>
      <c r="E30911" s="1" t="s">
        <v>3770</v>
      </c>
      <c r="F30911" s="2"/>
      <c r="G30911" s="2"/>
      <c r="H30911" s="2"/>
    </row>
    <row r="30912" spans="1:8" x14ac:dyDescent="0.25">
      <c r="A30912" s="1"/>
      <c r="B30912" s="1" t="s">
        <v>8275</v>
      </c>
      <c r="C30912" s="1" t="s">
        <v>8276</v>
      </c>
      <c r="D30912" s="1" t="str">
        <f>HYPERLINK("https://rhld.insurance.arkansas.gov/NPILookup?Npi=1396551412","1396551412")</f>
        <v>1396551412</v>
      </c>
      <c r="E30912" s="1" t="s">
        <v>32214</v>
      </c>
      <c r="F30912" s="2"/>
      <c r="G30912" s="2"/>
      <c r="H30912" s="2"/>
    </row>
    <row r="30913" spans="1:8" x14ac:dyDescent="0.25">
      <c r="A30913" s="1"/>
      <c r="B30913" s="1" t="s">
        <v>8275</v>
      </c>
      <c r="C30913" s="1" t="s">
        <v>8276</v>
      </c>
      <c r="D30913" s="1" t="str">
        <f>HYPERLINK("https://rhld.insurance.arkansas.gov/NPILookup?Npi=1396565206","1396565206")</f>
        <v>1396565206</v>
      </c>
      <c r="E30913" s="1" t="s">
        <v>26894</v>
      </c>
      <c r="F30913" s="2"/>
      <c r="G30913" s="2"/>
      <c r="H30913" s="2"/>
    </row>
    <row r="30914" spans="1:8" x14ac:dyDescent="0.25">
      <c r="A30914" s="1"/>
      <c r="B30914" s="1" t="s">
        <v>8275</v>
      </c>
      <c r="C30914" s="1" t="s">
        <v>8276</v>
      </c>
      <c r="D30914" s="1" t="str">
        <f>HYPERLINK("https://rhld.insurance.arkansas.gov/NPILookup?Npi=1396573119","1396573119")</f>
        <v>1396573119</v>
      </c>
      <c r="E30914" s="1" t="s">
        <v>32215</v>
      </c>
      <c r="F30914" s="2"/>
      <c r="G30914" s="2"/>
      <c r="H30914" s="2"/>
    </row>
    <row r="30915" spans="1:8" x14ac:dyDescent="0.25">
      <c r="A30915" s="1"/>
      <c r="B30915" s="1" t="s">
        <v>8275</v>
      </c>
      <c r="C30915" s="1" t="s">
        <v>8276</v>
      </c>
      <c r="D30915" s="1" t="str">
        <f>HYPERLINK("https://rhld.insurance.arkansas.gov/NPILookup?Npi=1396732202","1396732202")</f>
        <v>1396732202</v>
      </c>
      <c r="E30915" s="1" t="s">
        <v>3140</v>
      </c>
      <c r="F30915" s="2"/>
      <c r="G30915" s="2"/>
      <c r="H30915" s="2"/>
    </row>
    <row r="30916" spans="1:8" x14ac:dyDescent="0.25">
      <c r="A30916" s="1"/>
      <c r="B30916" s="1" t="s">
        <v>8275</v>
      </c>
      <c r="C30916" s="1" t="s">
        <v>8276</v>
      </c>
      <c r="D30916" s="1" t="str">
        <f>HYPERLINK("https://rhld.insurance.arkansas.gov/NPILookup?Npi=1396793741","1396793741")</f>
        <v>1396793741</v>
      </c>
      <c r="E30916" s="1" t="s">
        <v>26899</v>
      </c>
      <c r="F30916" s="2"/>
      <c r="G30916" s="2"/>
      <c r="H30916" s="2"/>
    </row>
    <row r="30917" spans="1:8" x14ac:dyDescent="0.25">
      <c r="A30917" s="1"/>
      <c r="B30917" s="1" t="s">
        <v>8275</v>
      </c>
      <c r="C30917" s="1" t="s">
        <v>8276</v>
      </c>
      <c r="D30917" s="1" t="str">
        <f>HYPERLINK("https://rhld.insurance.arkansas.gov/NPILookup?Npi=1396854493","1396854493")</f>
        <v>1396854493</v>
      </c>
      <c r="E30917" s="1" t="s">
        <v>2815</v>
      </c>
      <c r="F30917" s="2"/>
      <c r="G30917" s="2"/>
      <c r="H30917" s="2"/>
    </row>
    <row r="30918" spans="1:8" x14ac:dyDescent="0.25">
      <c r="A30918" s="1"/>
      <c r="B30918" s="1" t="s">
        <v>8275</v>
      </c>
      <c r="C30918" s="1" t="s">
        <v>8276</v>
      </c>
      <c r="D30918" s="1" t="str">
        <f>HYPERLINK("https://rhld.insurance.arkansas.gov/NPILookup?Npi=1396881876","1396881876")</f>
        <v>1396881876</v>
      </c>
      <c r="E30918" s="1" t="s">
        <v>13065</v>
      </c>
      <c r="F30918" s="2"/>
      <c r="G30918" s="2"/>
      <c r="H30918" s="2"/>
    </row>
    <row r="30919" spans="1:8" x14ac:dyDescent="0.25">
      <c r="A30919" s="1"/>
      <c r="B30919" s="1" t="s">
        <v>8275</v>
      </c>
      <c r="C30919" s="1" t="s">
        <v>8276</v>
      </c>
      <c r="D30919" s="1" t="str">
        <f>HYPERLINK("https://rhld.insurance.arkansas.gov/NPILookup?Npi=1396941522","1396941522")</f>
        <v>1396941522</v>
      </c>
      <c r="E30919" s="1" t="s">
        <v>26903</v>
      </c>
      <c r="F30919" s="2"/>
      <c r="G30919" s="2"/>
      <c r="H30919" s="2"/>
    </row>
    <row r="30920" spans="1:8" x14ac:dyDescent="0.25">
      <c r="A30920" s="1"/>
      <c r="B30920" s="1" t="s">
        <v>8275</v>
      </c>
      <c r="C30920" s="1" t="s">
        <v>8276</v>
      </c>
      <c r="D30920" s="1" t="str">
        <f>HYPERLINK("https://rhld.insurance.arkansas.gov/NPILookup?Npi=1407000300","1407000300")</f>
        <v>1407000300</v>
      </c>
      <c r="E30920" s="1" t="s">
        <v>29680</v>
      </c>
      <c r="F30920" s="2"/>
      <c r="G30920" s="2"/>
      <c r="H30920" s="2"/>
    </row>
    <row r="30921" spans="1:8" x14ac:dyDescent="0.25">
      <c r="A30921" s="1"/>
      <c r="B30921" s="1" t="s">
        <v>8275</v>
      </c>
      <c r="C30921" s="1" t="s">
        <v>8276</v>
      </c>
      <c r="D30921" s="1" t="str">
        <f>HYPERLINK("https://rhld.insurance.arkansas.gov/NPILookup?Npi=1407060569","1407060569")</f>
        <v>1407060569</v>
      </c>
      <c r="E30921" s="1" t="s">
        <v>3141</v>
      </c>
      <c r="F30921" s="2"/>
      <c r="G30921" s="2"/>
      <c r="H30921" s="2"/>
    </row>
    <row r="30922" spans="1:8" x14ac:dyDescent="0.25">
      <c r="A30922" s="1"/>
      <c r="B30922" s="1" t="s">
        <v>8275</v>
      </c>
      <c r="C30922" s="1" t="s">
        <v>8276</v>
      </c>
      <c r="D30922" s="1" t="str">
        <f>HYPERLINK("https://rhld.insurance.arkansas.gov/NPILookup?Npi=1407081862","1407081862")</f>
        <v>1407081862</v>
      </c>
      <c r="E30922" s="1" t="s">
        <v>26907</v>
      </c>
      <c r="F30922" s="2"/>
      <c r="G30922" s="2"/>
      <c r="H30922" s="2"/>
    </row>
    <row r="30923" spans="1:8" x14ac:dyDescent="0.25">
      <c r="A30923" s="1"/>
      <c r="B30923" s="1" t="s">
        <v>8275</v>
      </c>
      <c r="C30923" s="1" t="s">
        <v>8276</v>
      </c>
      <c r="D30923" s="1" t="str">
        <f>HYPERLINK("https://rhld.insurance.arkansas.gov/NPILookup?Npi=1407084320","1407084320")</f>
        <v>1407084320</v>
      </c>
      <c r="E30923" s="1" t="s">
        <v>29681</v>
      </c>
      <c r="F30923" s="2"/>
      <c r="G30923" s="2"/>
      <c r="H30923" s="2"/>
    </row>
    <row r="30924" spans="1:8" x14ac:dyDescent="0.25">
      <c r="A30924" s="1"/>
      <c r="B30924" s="1" t="s">
        <v>8275</v>
      </c>
      <c r="C30924" s="1" t="s">
        <v>8276</v>
      </c>
      <c r="D30924" s="1" t="str">
        <f>HYPERLINK("https://rhld.insurance.arkansas.gov/NPILookup?Npi=1407099385","1407099385")</f>
        <v>1407099385</v>
      </c>
      <c r="E30924" s="1" t="s">
        <v>29682</v>
      </c>
      <c r="F30924" s="2"/>
      <c r="G30924" s="2"/>
      <c r="H30924" s="2"/>
    </row>
    <row r="30925" spans="1:8" x14ac:dyDescent="0.25">
      <c r="A30925" s="1"/>
      <c r="B30925" s="1" t="s">
        <v>8275</v>
      </c>
      <c r="C30925" s="1" t="s">
        <v>8276</v>
      </c>
      <c r="D30925" s="1" t="str">
        <f>HYPERLINK("https://rhld.insurance.arkansas.gov/NPILookup?Npi=1407121544","1407121544")</f>
        <v>1407121544</v>
      </c>
      <c r="E30925" s="1" t="s">
        <v>32216</v>
      </c>
      <c r="F30925" s="2"/>
      <c r="G30925" s="2"/>
      <c r="H30925" s="2"/>
    </row>
    <row r="30926" spans="1:8" x14ac:dyDescent="0.25">
      <c r="A30926" s="1"/>
      <c r="B30926" s="1" t="s">
        <v>8275</v>
      </c>
      <c r="C30926" s="1" t="s">
        <v>8276</v>
      </c>
      <c r="D30926" s="1" t="str">
        <f>HYPERLINK("https://rhld.insurance.arkansas.gov/NPILookup?Npi=1407174626","1407174626")</f>
        <v>1407174626</v>
      </c>
      <c r="E30926" s="1" t="s">
        <v>29683</v>
      </c>
      <c r="F30926" s="2"/>
      <c r="G30926" s="2"/>
      <c r="H30926" s="2"/>
    </row>
    <row r="30927" spans="1:8" x14ac:dyDescent="0.25">
      <c r="A30927" s="1"/>
      <c r="B30927" s="1" t="s">
        <v>8275</v>
      </c>
      <c r="C30927" s="1" t="s">
        <v>8276</v>
      </c>
      <c r="D30927" s="1" t="str">
        <f>HYPERLINK("https://rhld.insurance.arkansas.gov/NPILookup?Npi=1407195324","1407195324")</f>
        <v>1407195324</v>
      </c>
      <c r="E30927" s="1" t="s">
        <v>32217</v>
      </c>
      <c r="F30927" s="2"/>
      <c r="G30927" s="2"/>
      <c r="H30927" s="2"/>
    </row>
    <row r="30928" spans="1:8" x14ac:dyDescent="0.25">
      <c r="A30928" s="1"/>
      <c r="B30928" s="1" t="s">
        <v>8275</v>
      </c>
      <c r="C30928" s="1" t="s">
        <v>8276</v>
      </c>
      <c r="D30928" s="1" t="str">
        <f>HYPERLINK("https://rhld.insurance.arkansas.gov/NPILookup?Npi=1407242498","1407242498")</f>
        <v>1407242498</v>
      </c>
      <c r="E30928" s="1" t="s">
        <v>7727</v>
      </c>
      <c r="F30928" s="2"/>
      <c r="G30928" s="2"/>
      <c r="H30928" s="2"/>
    </row>
    <row r="30929" spans="1:8" x14ac:dyDescent="0.25">
      <c r="A30929" s="1"/>
      <c r="B30929" s="1" t="s">
        <v>8275</v>
      </c>
      <c r="C30929" s="1" t="s">
        <v>8276</v>
      </c>
      <c r="D30929" s="1" t="str">
        <f>HYPERLINK("https://rhld.insurance.arkansas.gov/NPILookup?Npi=1407388267","1407388267")</f>
        <v>1407388267</v>
      </c>
      <c r="E30929" s="1" t="s">
        <v>26931</v>
      </c>
      <c r="F30929" s="2"/>
      <c r="G30929" s="2"/>
      <c r="H30929" s="2"/>
    </row>
    <row r="30930" spans="1:8" x14ac:dyDescent="0.25">
      <c r="A30930" s="1"/>
      <c r="B30930" s="1" t="s">
        <v>8275</v>
      </c>
      <c r="C30930" s="1" t="s">
        <v>8276</v>
      </c>
      <c r="D30930" s="1" t="str">
        <f>HYPERLINK("https://rhld.insurance.arkansas.gov/NPILookup?Npi=1407397730","1407397730")</f>
        <v>1407397730</v>
      </c>
      <c r="E30930" s="1" t="s">
        <v>26933</v>
      </c>
      <c r="F30930" s="2"/>
      <c r="G30930" s="2"/>
      <c r="H30930" s="2"/>
    </row>
    <row r="30931" spans="1:8" x14ac:dyDescent="0.25">
      <c r="A30931" s="1"/>
      <c r="B30931" s="1" t="s">
        <v>8275</v>
      </c>
      <c r="C30931" s="1" t="s">
        <v>8276</v>
      </c>
      <c r="D30931" s="1" t="str">
        <f>HYPERLINK("https://rhld.insurance.arkansas.gov/NPILookup?Npi=1407421332","1407421332")</f>
        <v>1407421332</v>
      </c>
      <c r="E30931" s="1" t="s">
        <v>32219</v>
      </c>
      <c r="F30931" s="2"/>
      <c r="G30931" s="2"/>
      <c r="H30931" s="2"/>
    </row>
    <row r="30932" spans="1:8" x14ac:dyDescent="0.25">
      <c r="A30932" s="1"/>
      <c r="B30932" s="1" t="s">
        <v>8275</v>
      </c>
      <c r="C30932" s="1" t="s">
        <v>8276</v>
      </c>
      <c r="D30932" s="1" t="str">
        <f>HYPERLINK("https://rhld.insurance.arkansas.gov/NPILookup?Npi=1407611478","1407611478")</f>
        <v>1407611478</v>
      </c>
      <c r="E30932" s="1" t="s">
        <v>7734</v>
      </c>
      <c r="F30932" s="2"/>
      <c r="G30932" s="2"/>
      <c r="H30932" s="2"/>
    </row>
    <row r="30933" spans="1:8" x14ac:dyDescent="0.25">
      <c r="A30933" s="1"/>
      <c r="B30933" s="1" t="s">
        <v>8275</v>
      </c>
      <c r="C30933" s="1" t="s">
        <v>8276</v>
      </c>
      <c r="D30933" s="1" t="str">
        <f>HYPERLINK("https://rhld.insurance.arkansas.gov/NPILookup?Npi=1407683758","1407683758")</f>
        <v>1407683758</v>
      </c>
      <c r="E30933" s="1" t="s">
        <v>32220</v>
      </c>
      <c r="F30933" s="2"/>
      <c r="G30933" s="2"/>
      <c r="H30933" s="2"/>
    </row>
    <row r="30934" spans="1:8" x14ac:dyDescent="0.25">
      <c r="A30934" s="1"/>
      <c r="B30934" s="1" t="s">
        <v>8275</v>
      </c>
      <c r="C30934" s="1" t="s">
        <v>8276</v>
      </c>
      <c r="D30934" s="1" t="str">
        <f>HYPERLINK("https://rhld.insurance.arkansas.gov/NPILookup?Npi=1407694722","1407694722")</f>
        <v>1407694722</v>
      </c>
      <c r="E30934" s="1" t="s">
        <v>32221</v>
      </c>
      <c r="F30934" s="2"/>
      <c r="G30934" s="2"/>
      <c r="H30934" s="2"/>
    </row>
    <row r="30935" spans="1:8" x14ac:dyDescent="0.25">
      <c r="A30935" s="1"/>
      <c r="B30935" s="1" t="s">
        <v>8275</v>
      </c>
      <c r="C30935" s="1" t="s">
        <v>8276</v>
      </c>
      <c r="D30935" s="1" t="str">
        <f>HYPERLINK("https://rhld.insurance.arkansas.gov/NPILookup?Npi=1407696123","1407696123")</f>
        <v>1407696123</v>
      </c>
      <c r="E30935" s="1" t="s">
        <v>32222</v>
      </c>
      <c r="F30935" s="2"/>
      <c r="G30935" s="2"/>
      <c r="H30935" s="2"/>
    </row>
    <row r="30936" spans="1:8" x14ac:dyDescent="0.25">
      <c r="A30936" s="1"/>
      <c r="B30936" s="1" t="s">
        <v>8275</v>
      </c>
      <c r="C30936" s="1" t="s">
        <v>8276</v>
      </c>
      <c r="D30936" s="1" t="str">
        <f>HYPERLINK("https://rhld.insurance.arkansas.gov/NPILookup?Npi=1407810898","1407810898")</f>
        <v>1407810898</v>
      </c>
      <c r="E30936" s="1" t="s">
        <v>2818</v>
      </c>
      <c r="F30936" s="2"/>
      <c r="G30936" s="2"/>
      <c r="H30936" s="2"/>
    </row>
    <row r="30937" spans="1:8" x14ac:dyDescent="0.25">
      <c r="A30937" s="1"/>
      <c r="B30937" s="1" t="s">
        <v>8275</v>
      </c>
      <c r="C30937" s="1" t="s">
        <v>8276</v>
      </c>
      <c r="D30937" s="1" t="str">
        <f>HYPERLINK("https://rhld.insurance.arkansas.gov/NPILookup?Npi=1407814387","1407814387")</f>
        <v>1407814387</v>
      </c>
      <c r="E30937" s="1" t="s">
        <v>29684</v>
      </c>
      <c r="F30937" s="2"/>
      <c r="G30937" s="2"/>
      <c r="H30937" s="2"/>
    </row>
    <row r="30938" spans="1:8" x14ac:dyDescent="0.25">
      <c r="A30938" s="1"/>
      <c r="B30938" s="1" t="s">
        <v>8275</v>
      </c>
      <c r="C30938" s="1" t="s">
        <v>8276</v>
      </c>
      <c r="D30938" s="1" t="str">
        <f>HYPERLINK("https://rhld.insurance.arkansas.gov/NPILookup?Npi=1407818271","1407818271")</f>
        <v>1407818271</v>
      </c>
      <c r="E30938" s="1" t="s">
        <v>13912</v>
      </c>
      <c r="F30938" s="2"/>
      <c r="G30938" s="2"/>
      <c r="H30938" s="2"/>
    </row>
    <row r="30939" spans="1:8" x14ac:dyDescent="0.25">
      <c r="A30939" s="1"/>
      <c r="B30939" s="1" t="s">
        <v>8275</v>
      </c>
      <c r="C30939" s="1" t="s">
        <v>8276</v>
      </c>
      <c r="D30939" s="1" t="str">
        <f>HYPERLINK("https://rhld.insurance.arkansas.gov/NPILookup?Npi=1407831985","1407831985")</f>
        <v>1407831985</v>
      </c>
      <c r="E30939" s="1" t="s">
        <v>26949</v>
      </c>
      <c r="F30939" s="2"/>
      <c r="G30939" s="2"/>
      <c r="H30939" s="2"/>
    </row>
    <row r="30940" spans="1:8" x14ac:dyDescent="0.25">
      <c r="A30940" s="1"/>
      <c r="B30940" s="1" t="s">
        <v>8275</v>
      </c>
      <c r="C30940" s="1" t="s">
        <v>8276</v>
      </c>
      <c r="D30940" s="1" t="str">
        <f>HYPERLINK("https://rhld.insurance.arkansas.gov/NPILookup?Npi=1407849896","1407849896")</f>
        <v>1407849896</v>
      </c>
      <c r="E30940" s="1" t="s">
        <v>26952</v>
      </c>
      <c r="F30940" s="2"/>
      <c r="G30940" s="2"/>
      <c r="H30940" s="2"/>
    </row>
    <row r="30941" spans="1:8" x14ac:dyDescent="0.25">
      <c r="A30941" s="1"/>
      <c r="B30941" s="1" t="s">
        <v>8275</v>
      </c>
      <c r="C30941" s="1" t="s">
        <v>8276</v>
      </c>
      <c r="D30941" s="1" t="str">
        <f>HYPERLINK("https://rhld.insurance.arkansas.gov/NPILookup?Npi=1407858905","1407858905")</f>
        <v>1407858905</v>
      </c>
      <c r="E30941" s="1" t="s">
        <v>294</v>
      </c>
      <c r="F30941" s="2"/>
      <c r="G30941" s="2"/>
      <c r="H30941" s="2"/>
    </row>
    <row r="30942" spans="1:8" x14ac:dyDescent="0.25">
      <c r="A30942" s="1"/>
      <c r="B30942" s="1" t="s">
        <v>8275</v>
      </c>
      <c r="C30942" s="1" t="s">
        <v>8276</v>
      </c>
      <c r="D30942" s="1" t="str">
        <f>HYPERLINK("https://rhld.insurance.arkansas.gov/NPILookup?Npi=1407891724","1407891724")</f>
        <v>1407891724</v>
      </c>
      <c r="E30942" s="1" t="s">
        <v>29685</v>
      </c>
      <c r="F30942" s="2"/>
      <c r="G30942" s="2"/>
      <c r="H30942" s="2"/>
    </row>
    <row r="30943" spans="1:8" x14ac:dyDescent="0.25">
      <c r="A30943" s="1"/>
      <c r="B30943" s="1" t="s">
        <v>8275</v>
      </c>
      <c r="C30943" s="1" t="s">
        <v>8276</v>
      </c>
      <c r="D30943" s="1" t="str">
        <f>HYPERLINK("https://rhld.insurance.arkansas.gov/NPILookup?Npi=1407946908","1407946908")</f>
        <v>1407946908</v>
      </c>
      <c r="E30943" s="1" t="s">
        <v>2128</v>
      </c>
      <c r="F30943" s="2"/>
      <c r="G30943" s="2"/>
      <c r="H30943" s="2"/>
    </row>
    <row r="30944" spans="1:8" x14ac:dyDescent="0.25">
      <c r="A30944" s="1"/>
      <c r="B30944" s="1" t="s">
        <v>8275</v>
      </c>
      <c r="C30944" s="1" t="s">
        <v>8276</v>
      </c>
      <c r="D30944" s="1" t="str">
        <f>HYPERLINK("https://rhld.insurance.arkansas.gov/NPILookup?Npi=1417021007","1417021007")</f>
        <v>1417021007</v>
      </c>
      <c r="E30944" s="1" t="s">
        <v>704</v>
      </c>
      <c r="F30944" s="2"/>
      <c r="G30944" s="2"/>
      <c r="H30944" s="2"/>
    </row>
    <row r="30945" spans="1:8" x14ac:dyDescent="0.25">
      <c r="A30945" s="1"/>
      <c r="B30945" s="1" t="s">
        <v>8275</v>
      </c>
      <c r="C30945" s="1" t="s">
        <v>8276</v>
      </c>
      <c r="D30945" s="1" t="str">
        <f>HYPERLINK("https://rhld.insurance.arkansas.gov/NPILookup?Npi=1417056250","1417056250")</f>
        <v>1417056250</v>
      </c>
      <c r="E30945" s="1" t="s">
        <v>13080</v>
      </c>
      <c r="F30945" s="2"/>
      <c r="G30945" s="2"/>
      <c r="H30945" s="2"/>
    </row>
    <row r="30946" spans="1:8" x14ac:dyDescent="0.25">
      <c r="A30946" s="1"/>
      <c r="B30946" s="1" t="s">
        <v>8275</v>
      </c>
      <c r="C30946" s="1" t="s">
        <v>8276</v>
      </c>
      <c r="D30946" s="1" t="str">
        <f>HYPERLINK("https://rhld.insurance.arkansas.gov/NPILookup?Npi=1417060286","1417060286")</f>
        <v>1417060286</v>
      </c>
      <c r="E30946" s="1" t="s">
        <v>26963</v>
      </c>
      <c r="F30946" s="2"/>
      <c r="G30946" s="2"/>
      <c r="H30946" s="2"/>
    </row>
    <row r="30947" spans="1:8" x14ac:dyDescent="0.25">
      <c r="A30947" s="1"/>
      <c r="B30947" s="1" t="s">
        <v>8275</v>
      </c>
      <c r="C30947" s="1" t="s">
        <v>8276</v>
      </c>
      <c r="D30947" s="1" t="str">
        <f>HYPERLINK("https://rhld.insurance.arkansas.gov/NPILookup?Npi=1417107806","1417107806")</f>
        <v>1417107806</v>
      </c>
      <c r="E30947" s="1" t="s">
        <v>29686</v>
      </c>
      <c r="F30947" s="2"/>
      <c r="G30947" s="2"/>
      <c r="H30947" s="2"/>
    </row>
    <row r="30948" spans="1:8" x14ac:dyDescent="0.25">
      <c r="A30948" s="1"/>
      <c r="B30948" s="1" t="s">
        <v>8275</v>
      </c>
      <c r="C30948" s="1" t="s">
        <v>8276</v>
      </c>
      <c r="D30948" s="1" t="str">
        <f>HYPERLINK("https://rhld.insurance.arkansas.gov/NPILookup?Npi=1417122375","1417122375")</f>
        <v>1417122375</v>
      </c>
      <c r="E30948" s="1" t="s">
        <v>29687</v>
      </c>
      <c r="F30948" s="2"/>
      <c r="G30948" s="2"/>
      <c r="H30948" s="2"/>
    </row>
    <row r="30949" spans="1:8" x14ac:dyDescent="0.25">
      <c r="A30949" s="1"/>
      <c r="B30949" s="1" t="s">
        <v>8275</v>
      </c>
      <c r="C30949" s="1" t="s">
        <v>8276</v>
      </c>
      <c r="D30949" s="1" t="str">
        <f>HYPERLINK("https://rhld.insurance.arkansas.gov/NPILookup?Npi=1417240060","1417240060")</f>
        <v>1417240060</v>
      </c>
      <c r="E30949" s="1" t="s">
        <v>26971</v>
      </c>
      <c r="F30949" s="2"/>
      <c r="G30949" s="2"/>
      <c r="H30949" s="2"/>
    </row>
    <row r="30950" spans="1:8" x14ac:dyDescent="0.25">
      <c r="A30950" s="1"/>
      <c r="B30950" s="1" t="s">
        <v>8275</v>
      </c>
      <c r="C30950" s="1" t="s">
        <v>8276</v>
      </c>
      <c r="D30950" s="1" t="str">
        <f>HYPERLINK("https://rhld.insurance.arkansas.gov/NPILookup?Npi=1417290412","1417290412")</f>
        <v>1417290412</v>
      </c>
      <c r="E30950" s="1" t="s">
        <v>13083</v>
      </c>
      <c r="F30950" s="2"/>
      <c r="G30950" s="2"/>
      <c r="H30950" s="2"/>
    </row>
    <row r="30951" spans="1:8" x14ac:dyDescent="0.25">
      <c r="A30951" s="1"/>
      <c r="B30951" s="1" t="s">
        <v>8275</v>
      </c>
      <c r="C30951" s="1" t="s">
        <v>8276</v>
      </c>
      <c r="D30951" s="1" t="str">
        <f>HYPERLINK("https://rhld.insurance.arkansas.gov/NPILookup?Npi=1417299413","1417299413")</f>
        <v>1417299413</v>
      </c>
      <c r="E30951" s="1" t="s">
        <v>31439</v>
      </c>
      <c r="F30951" s="2"/>
      <c r="G30951" s="2"/>
      <c r="H30951" s="2"/>
    </row>
    <row r="30952" spans="1:8" x14ac:dyDescent="0.25">
      <c r="A30952" s="1"/>
      <c r="B30952" s="1" t="s">
        <v>8275</v>
      </c>
      <c r="C30952" s="1" t="s">
        <v>8276</v>
      </c>
      <c r="D30952" s="1" t="str">
        <f>HYPERLINK("https://rhld.insurance.arkansas.gov/NPILookup?Npi=1417301417","1417301417")</f>
        <v>1417301417</v>
      </c>
      <c r="E30952" s="1" t="s">
        <v>29688</v>
      </c>
      <c r="F30952" s="2"/>
      <c r="G30952" s="2"/>
      <c r="H30952" s="2"/>
    </row>
    <row r="30953" spans="1:8" x14ac:dyDescent="0.25">
      <c r="A30953" s="1"/>
      <c r="B30953" s="1" t="s">
        <v>8275</v>
      </c>
      <c r="C30953" s="1" t="s">
        <v>8276</v>
      </c>
      <c r="D30953" s="1" t="str">
        <f>HYPERLINK("https://rhld.insurance.arkansas.gov/NPILookup?Npi=1417362369","1417362369")</f>
        <v>1417362369</v>
      </c>
      <c r="E30953" s="1" t="s">
        <v>259</v>
      </c>
      <c r="F30953" s="2"/>
      <c r="G30953" s="2"/>
      <c r="H30953" s="2"/>
    </row>
    <row r="30954" spans="1:8" x14ac:dyDescent="0.25">
      <c r="A30954" s="1"/>
      <c r="B30954" s="1" t="s">
        <v>8275</v>
      </c>
      <c r="C30954" s="1" t="s">
        <v>8276</v>
      </c>
      <c r="D30954" s="1" t="str">
        <f>HYPERLINK("https://rhld.insurance.arkansas.gov/NPILookup?Npi=1417373283","1417373283")</f>
        <v>1417373283</v>
      </c>
      <c r="E30954" s="1" t="s">
        <v>6357</v>
      </c>
      <c r="F30954" s="2"/>
      <c r="G30954" s="2"/>
      <c r="H30954" s="2"/>
    </row>
    <row r="30955" spans="1:8" x14ac:dyDescent="0.25">
      <c r="A30955" s="1"/>
      <c r="B30955" s="1" t="s">
        <v>8275</v>
      </c>
      <c r="C30955" s="1" t="s">
        <v>8276</v>
      </c>
      <c r="D30955" s="1" t="str">
        <f>HYPERLINK("https://rhld.insurance.arkansas.gov/NPILookup?Npi=1417388893","1417388893")</f>
        <v>1417388893</v>
      </c>
      <c r="E30955" s="1" t="s">
        <v>26983</v>
      </c>
      <c r="F30955" s="2"/>
      <c r="G30955" s="2"/>
      <c r="H30955" s="2"/>
    </row>
    <row r="30956" spans="1:8" x14ac:dyDescent="0.25">
      <c r="A30956" s="1"/>
      <c r="B30956" s="1" t="s">
        <v>8275</v>
      </c>
      <c r="C30956" s="1" t="s">
        <v>8276</v>
      </c>
      <c r="D30956" s="1" t="str">
        <f>HYPERLINK("https://rhld.insurance.arkansas.gov/NPILookup?Npi=1417418484","1417418484")</f>
        <v>1417418484</v>
      </c>
      <c r="E30956" s="1" t="s">
        <v>13913</v>
      </c>
      <c r="F30956" s="2"/>
      <c r="G30956" s="2"/>
      <c r="H30956" s="2"/>
    </row>
    <row r="30957" spans="1:8" x14ac:dyDescent="0.25">
      <c r="A30957" s="1"/>
      <c r="B30957" s="1" t="s">
        <v>8275</v>
      </c>
      <c r="C30957" s="1" t="s">
        <v>8276</v>
      </c>
      <c r="D30957" s="1" t="str">
        <f>HYPERLINK("https://rhld.insurance.arkansas.gov/NPILookup?Npi=1417456443","1417456443")</f>
        <v>1417456443</v>
      </c>
      <c r="E30957" s="1" t="s">
        <v>13086</v>
      </c>
      <c r="F30957" s="2"/>
      <c r="G30957" s="2"/>
      <c r="H30957" s="2"/>
    </row>
    <row r="30958" spans="1:8" x14ac:dyDescent="0.25">
      <c r="A30958" s="1"/>
      <c r="B30958" s="1" t="s">
        <v>8275</v>
      </c>
      <c r="C30958" s="1" t="s">
        <v>8276</v>
      </c>
      <c r="D30958" s="1" t="str">
        <f>HYPERLINK("https://rhld.insurance.arkansas.gov/NPILookup?Npi=1417469693","1417469693")</f>
        <v>1417469693</v>
      </c>
      <c r="E30958" s="1" t="s">
        <v>13087</v>
      </c>
      <c r="F30958" s="2"/>
      <c r="G30958" s="2"/>
      <c r="H30958" s="2"/>
    </row>
    <row r="30959" spans="1:8" x14ac:dyDescent="0.25">
      <c r="A30959" s="1"/>
      <c r="B30959" s="1" t="s">
        <v>8275</v>
      </c>
      <c r="C30959" s="1" t="s">
        <v>8276</v>
      </c>
      <c r="D30959" s="1" t="str">
        <f>HYPERLINK("https://rhld.insurance.arkansas.gov/NPILookup?Npi=1417479965","1417479965")</f>
        <v>1417479965</v>
      </c>
      <c r="E30959" s="1" t="s">
        <v>26990</v>
      </c>
      <c r="F30959" s="2"/>
      <c r="G30959" s="2"/>
      <c r="H30959" s="2"/>
    </row>
    <row r="30960" spans="1:8" x14ac:dyDescent="0.25">
      <c r="A30960" s="1"/>
      <c r="B30960" s="1" t="s">
        <v>8275</v>
      </c>
      <c r="C30960" s="1" t="s">
        <v>8276</v>
      </c>
      <c r="D30960" s="1" t="str">
        <f>HYPERLINK("https://rhld.insurance.arkansas.gov/NPILookup?Npi=1417512070","1417512070")</f>
        <v>1417512070</v>
      </c>
      <c r="E30960" s="1" t="s">
        <v>7739</v>
      </c>
      <c r="F30960" s="2"/>
      <c r="G30960" s="2"/>
      <c r="H30960" s="2"/>
    </row>
    <row r="30961" spans="1:8" x14ac:dyDescent="0.25">
      <c r="A30961" s="1"/>
      <c r="B30961" s="1" t="s">
        <v>8275</v>
      </c>
      <c r="C30961" s="1" t="s">
        <v>8276</v>
      </c>
      <c r="D30961" s="1" t="str">
        <f>HYPERLINK("https://rhld.insurance.arkansas.gov/NPILookup?Npi=1417524372","1417524372")</f>
        <v>1417524372</v>
      </c>
      <c r="E30961" s="1" t="s">
        <v>26992</v>
      </c>
      <c r="F30961" s="2"/>
      <c r="G30961" s="2"/>
      <c r="H30961" s="2"/>
    </row>
    <row r="30962" spans="1:8" x14ac:dyDescent="0.25">
      <c r="A30962" s="1"/>
      <c r="B30962" s="1" t="s">
        <v>8275</v>
      </c>
      <c r="C30962" s="1" t="s">
        <v>8276</v>
      </c>
      <c r="D30962" s="1" t="str">
        <f>HYPERLINK("https://rhld.insurance.arkansas.gov/NPILookup?Npi=1417720723","1417720723")</f>
        <v>1417720723</v>
      </c>
      <c r="E30962" s="1" t="s">
        <v>32223</v>
      </c>
      <c r="F30962" s="2"/>
      <c r="G30962" s="2"/>
      <c r="H30962" s="2"/>
    </row>
    <row r="30963" spans="1:8" x14ac:dyDescent="0.25">
      <c r="A30963" s="1"/>
      <c r="B30963" s="1" t="s">
        <v>8275</v>
      </c>
      <c r="C30963" s="1" t="s">
        <v>8276</v>
      </c>
      <c r="D30963" s="1" t="str">
        <f>HYPERLINK("https://rhld.insurance.arkansas.gov/NPILookup?Npi=1417793860","1417793860")</f>
        <v>1417793860</v>
      </c>
      <c r="E30963" s="1" t="s">
        <v>32224</v>
      </c>
      <c r="F30963" s="2"/>
      <c r="G30963" s="2"/>
      <c r="H30963" s="2"/>
    </row>
    <row r="30964" spans="1:8" x14ac:dyDescent="0.25">
      <c r="A30964" s="1"/>
      <c r="B30964" s="1" t="s">
        <v>8275</v>
      </c>
      <c r="C30964" s="1" t="s">
        <v>8276</v>
      </c>
      <c r="D30964" s="1" t="str">
        <f>HYPERLINK("https://rhld.insurance.arkansas.gov/NPILookup?Npi=1417796749","1417796749")</f>
        <v>1417796749</v>
      </c>
      <c r="E30964" s="1" t="s">
        <v>32225</v>
      </c>
      <c r="F30964" s="2"/>
      <c r="G30964" s="2"/>
      <c r="H30964" s="2"/>
    </row>
    <row r="30965" spans="1:8" x14ac:dyDescent="0.25">
      <c r="A30965" s="1"/>
      <c r="B30965" s="1" t="s">
        <v>8275</v>
      </c>
      <c r="C30965" s="1" t="s">
        <v>8276</v>
      </c>
      <c r="D30965" s="1" t="str">
        <f>HYPERLINK("https://rhld.insurance.arkansas.gov/NPILookup?Npi=1417918426","1417918426")</f>
        <v>1417918426</v>
      </c>
      <c r="E30965" s="1" t="s">
        <v>141</v>
      </c>
      <c r="F30965" s="2"/>
      <c r="G30965" s="2"/>
      <c r="H30965" s="2"/>
    </row>
    <row r="30966" spans="1:8" x14ac:dyDescent="0.25">
      <c r="A30966" s="1"/>
      <c r="B30966" s="1" t="s">
        <v>8275</v>
      </c>
      <c r="C30966" s="1" t="s">
        <v>8276</v>
      </c>
      <c r="D30966" s="1" t="str">
        <f>HYPERLINK("https://rhld.insurance.arkansas.gov/NPILookup?Npi=1417922709","1417922709")</f>
        <v>1417922709</v>
      </c>
      <c r="E30966" s="1" t="s">
        <v>1095</v>
      </c>
      <c r="F30966" s="2"/>
      <c r="G30966" s="2"/>
      <c r="H30966" s="2"/>
    </row>
    <row r="30967" spans="1:8" x14ac:dyDescent="0.25">
      <c r="A30967" s="1"/>
      <c r="B30967" s="1" t="s">
        <v>8275</v>
      </c>
      <c r="C30967" s="1" t="s">
        <v>8276</v>
      </c>
      <c r="D30967" s="1" t="str">
        <f>HYPERLINK("https://rhld.insurance.arkansas.gov/NPILookup?Npi=1417933276","1417933276")</f>
        <v>1417933276</v>
      </c>
      <c r="E30967" s="1" t="s">
        <v>10306</v>
      </c>
      <c r="F30967" s="2"/>
      <c r="G30967" s="2"/>
      <c r="H30967" s="2"/>
    </row>
    <row r="30968" spans="1:8" x14ac:dyDescent="0.25">
      <c r="A30968" s="1"/>
      <c r="B30968" s="1" t="s">
        <v>8275</v>
      </c>
      <c r="C30968" s="1" t="s">
        <v>8276</v>
      </c>
      <c r="D30968" s="1" t="str">
        <f>HYPERLINK("https://rhld.insurance.arkansas.gov/NPILookup?Npi=1427011030","1427011030")</f>
        <v>1427011030</v>
      </c>
      <c r="E30968" s="1" t="s">
        <v>17512</v>
      </c>
      <c r="F30968" s="2"/>
      <c r="G30968" s="2"/>
      <c r="H30968" s="2"/>
    </row>
    <row r="30969" spans="1:8" x14ac:dyDescent="0.25">
      <c r="A30969" s="1"/>
      <c r="B30969" s="1" t="s">
        <v>8275</v>
      </c>
      <c r="C30969" s="1" t="s">
        <v>8276</v>
      </c>
      <c r="D30969" s="1" t="str">
        <f>HYPERLINK("https://rhld.insurance.arkansas.gov/NPILookup?Npi=1427021435","1427021435")</f>
        <v>1427021435</v>
      </c>
      <c r="E30969" s="1" t="s">
        <v>4188</v>
      </c>
      <c r="F30969" s="2"/>
      <c r="G30969" s="2"/>
      <c r="H30969" s="2"/>
    </row>
    <row r="30970" spans="1:8" x14ac:dyDescent="0.25">
      <c r="A30970" s="1"/>
      <c r="B30970" s="1" t="s">
        <v>8275</v>
      </c>
      <c r="C30970" s="1" t="s">
        <v>8276</v>
      </c>
      <c r="D30970" s="1" t="str">
        <f>HYPERLINK("https://rhld.insurance.arkansas.gov/NPILookup?Npi=1427030444","1427030444")</f>
        <v>1427030444</v>
      </c>
      <c r="E30970" s="1" t="s">
        <v>29689</v>
      </c>
      <c r="F30970" s="2"/>
      <c r="G30970" s="2"/>
      <c r="H30970" s="2"/>
    </row>
    <row r="30971" spans="1:8" x14ac:dyDescent="0.25">
      <c r="A30971" s="1"/>
      <c r="B30971" s="1" t="s">
        <v>8275</v>
      </c>
      <c r="C30971" s="1" t="s">
        <v>8276</v>
      </c>
      <c r="D30971" s="1" t="str">
        <f>HYPERLINK("https://rhld.insurance.arkansas.gov/NPILookup?Npi=1427039049","1427039049")</f>
        <v>1427039049</v>
      </c>
      <c r="E30971" s="1" t="s">
        <v>29690</v>
      </c>
      <c r="F30971" s="2"/>
      <c r="G30971" s="2"/>
      <c r="H30971" s="2"/>
    </row>
    <row r="30972" spans="1:8" x14ac:dyDescent="0.25">
      <c r="A30972" s="1"/>
      <c r="B30972" s="1" t="s">
        <v>8275</v>
      </c>
      <c r="C30972" s="1" t="s">
        <v>8276</v>
      </c>
      <c r="D30972" s="1" t="str">
        <f>HYPERLINK("https://rhld.insurance.arkansas.gov/NPILookup?Npi=1427045038","1427045038")</f>
        <v>1427045038</v>
      </c>
      <c r="E30972" s="1" t="s">
        <v>29691</v>
      </c>
      <c r="F30972" s="2"/>
      <c r="G30972" s="2"/>
      <c r="H30972" s="2"/>
    </row>
    <row r="30973" spans="1:8" x14ac:dyDescent="0.25">
      <c r="A30973" s="1"/>
      <c r="B30973" s="1" t="s">
        <v>8275</v>
      </c>
      <c r="C30973" s="1" t="s">
        <v>8276</v>
      </c>
      <c r="D30973" s="1" t="str">
        <f>HYPERLINK("https://rhld.insurance.arkansas.gov/NPILookup?Npi=1427088814","1427088814")</f>
        <v>1427088814</v>
      </c>
      <c r="E30973" s="1" t="s">
        <v>13097</v>
      </c>
      <c r="F30973" s="2"/>
      <c r="G30973" s="2"/>
      <c r="H30973" s="2"/>
    </row>
    <row r="30974" spans="1:8" x14ac:dyDescent="0.25">
      <c r="A30974" s="1"/>
      <c r="B30974" s="1" t="s">
        <v>8275</v>
      </c>
      <c r="C30974" s="1" t="s">
        <v>8276</v>
      </c>
      <c r="D30974" s="1" t="str">
        <f>HYPERLINK("https://rhld.insurance.arkansas.gov/NPILookup?Npi=1427109552","1427109552")</f>
        <v>1427109552</v>
      </c>
      <c r="E30974" s="1" t="s">
        <v>17070</v>
      </c>
      <c r="F30974" s="2"/>
      <c r="G30974" s="2"/>
      <c r="H30974" s="2"/>
    </row>
    <row r="30975" spans="1:8" x14ac:dyDescent="0.25">
      <c r="A30975" s="1"/>
      <c r="B30975" s="1" t="s">
        <v>8275</v>
      </c>
      <c r="C30975" s="1" t="s">
        <v>8276</v>
      </c>
      <c r="D30975" s="1" t="str">
        <f>HYPERLINK("https://rhld.insurance.arkansas.gov/NPILookup?Npi=1427210616","1427210616")</f>
        <v>1427210616</v>
      </c>
      <c r="E30975" s="1" t="s">
        <v>13914</v>
      </c>
      <c r="F30975" s="2"/>
      <c r="G30975" s="2"/>
      <c r="H30975" s="2"/>
    </row>
    <row r="30976" spans="1:8" x14ac:dyDescent="0.25">
      <c r="A30976" s="1"/>
      <c r="B30976" s="1" t="s">
        <v>8275</v>
      </c>
      <c r="C30976" s="1" t="s">
        <v>8276</v>
      </c>
      <c r="D30976" s="1" t="str">
        <f>HYPERLINK("https://rhld.insurance.arkansas.gov/NPILookup?Npi=1427270289","1427270289")</f>
        <v>1427270289</v>
      </c>
      <c r="E30976" s="1" t="s">
        <v>29692</v>
      </c>
      <c r="F30976" s="2"/>
      <c r="G30976" s="2"/>
      <c r="H30976" s="2"/>
    </row>
    <row r="30977" spans="1:8" x14ac:dyDescent="0.25">
      <c r="A30977" s="1"/>
      <c r="B30977" s="1" t="s">
        <v>8275</v>
      </c>
      <c r="C30977" s="1" t="s">
        <v>8276</v>
      </c>
      <c r="D30977" s="1" t="str">
        <f>HYPERLINK("https://rhld.insurance.arkansas.gov/NPILookup?Npi=1427277755","1427277755")</f>
        <v>1427277755</v>
      </c>
      <c r="E30977" s="1" t="s">
        <v>29693</v>
      </c>
      <c r="F30977" s="2"/>
      <c r="G30977" s="2"/>
      <c r="H30977" s="2"/>
    </row>
    <row r="30978" spans="1:8" x14ac:dyDescent="0.25">
      <c r="A30978" s="1"/>
      <c r="B30978" s="1" t="s">
        <v>8275</v>
      </c>
      <c r="C30978" s="1" t="s">
        <v>8276</v>
      </c>
      <c r="D30978" s="1" t="str">
        <f>HYPERLINK("https://rhld.insurance.arkansas.gov/NPILookup?Npi=1427314640","1427314640")</f>
        <v>1427314640</v>
      </c>
      <c r="E30978" s="1" t="s">
        <v>3143</v>
      </c>
      <c r="F30978" s="2"/>
      <c r="G30978" s="2"/>
      <c r="H30978" s="2"/>
    </row>
    <row r="30979" spans="1:8" x14ac:dyDescent="0.25">
      <c r="A30979" s="1"/>
      <c r="B30979" s="1" t="s">
        <v>8275</v>
      </c>
      <c r="C30979" s="1" t="s">
        <v>8276</v>
      </c>
      <c r="D30979" s="1" t="str">
        <f>HYPERLINK("https://rhld.insurance.arkansas.gov/NPILookup?Npi=1427437664","1427437664")</f>
        <v>1427437664</v>
      </c>
      <c r="E30979" s="1" t="s">
        <v>32460</v>
      </c>
      <c r="F30979" s="2"/>
      <c r="G30979" s="2"/>
      <c r="H30979" s="2"/>
    </row>
    <row r="30980" spans="1:8" x14ac:dyDescent="0.25">
      <c r="A30980" s="1"/>
      <c r="B30980" s="1" t="s">
        <v>8275</v>
      </c>
      <c r="C30980" s="1" t="s">
        <v>8276</v>
      </c>
      <c r="D30980" s="1" t="str">
        <f>HYPERLINK("https://rhld.insurance.arkansas.gov/NPILookup?Npi=1427443142","1427443142")</f>
        <v>1427443142</v>
      </c>
      <c r="E30980" s="1" t="s">
        <v>32461</v>
      </c>
      <c r="F30980" s="2"/>
      <c r="G30980" s="2"/>
      <c r="H30980" s="2"/>
    </row>
    <row r="30981" spans="1:8" x14ac:dyDescent="0.25">
      <c r="A30981" s="1"/>
      <c r="B30981" s="1" t="s">
        <v>8275</v>
      </c>
      <c r="C30981" s="1" t="s">
        <v>8276</v>
      </c>
      <c r="D30981" s="1" t="str">
        <f>HYPERLINK("https://rhld.insurance.arkansas.gov/NPILookup?Npi=1427480565","1427480565")</f>
        <v>1427480565</v>
      </c>
      <c r="E30981" s="1" t="s">
        <v>20763</v>
      </c>
      <c r="F30981" s="2"/>
      <c r="G30981" s="2"/>
      <c r="H30981" s="2"/>
    </row>
    <row r="30982" spans="1:8" x14ac:dyDescent="0.25">
      <c r="A30982" s="1"/>
      <c r="B30982" s="1" t="s">
        <v>8275</v>
      </c>
      <c r="C30982" s="1" t="s">
        <v>8276</v>
      </c>
      <c r="D30982" s="1" t="str">
        <f>HYPERLINK("https://rhld.insurance.arkansas.gov/NPILookup?Npi=1427491927","1427491927")</f>
        <v>1427491927</v>
      </c>
      <c r="E30982" s="1" t="s">
        <v>2129</v>
      </c>
      <c r="F30982" s="2"/>
      <c r="G30982" s="2"/>
      <c r="H30982" s="2"/>
    </row>
    <row r="30983" spans="1:8" x14ac:dyDescent="0.25">
      <c r="A30983" s="1"/>
      <c r="B30983" s="1" t="s">
        <v>8275</v>
      </c>
      <c r="C30983" s="1" t="s">
        <v>8276</v>
      </c>
      <c r="D30983" s="1" t="str">
        <f>HYPERLINK("https://rhld.insurance.arkansas.gov/NPILookup?Npi=1427493618","1427493618")</f>
        <v>1427493618</v>
      </c>
      <c r="E30983" s="1" t="s">
        <v>7743</v>
      </c>
      <c r="F30983" s="2"/>
      <c r="G30983" s="2"/>
      <c r="H30983" s="2"/>
    </row>
    <row r="30984" spans="1:8" x14ac:dyDescent="0.25">
      <c r="A30984" s="1"/>
      <c r="B30984" s="1" t="s">
        <v>8275</v>
      </c>
      <c r="C30984" s="1" t="s">
        <v>8276</v>
      </c>
      <c r="D30984" s="1" t="str">
        <f>HYPERLINK("https://rhld.insurance.arkansas.gov/NPILookup?Npi=1427589811","1427589811")</f>
        <v>1427589811</v>
      </c>
      <c r="E30984" s="1" t="s">
        <v>17521</v>
      </c>
      <c r="F30984" s="2"/>
      <c r="G30984" s="2"/>
      <c r="H30984" s="2"/>
    </row>
    <row r="30985" spans="1:8" x14ac:dyDescent="0.25">
      <c r="A30985" s="1"/>
      <c r="B30985" s="1" t="s">
        <v>8275</v>
      </c>
      <c r="C30985" s="1" t="s">
        <v>8276</v>
      </c>
      <c r="D30985" s="1" t="str">
        <f>HYPERLINK("https://rhld.insurance.arkansas.gov/NPILookup?Npi=1427613090","1427613090")</f>
        <v>1427613090</v>
      </c>
      <c r="E30985" s="1" t="s">
        <v>29694</v>
      </c>
      <c r="F30985" s="2"/>
      <c r="G30985" s="2"/>
      <c r="H30985" s="2"/>
    </row>
    <row r="30986" spans="1:8" x14ac:dyDescent="0.25">
      <c r="A30986" s="1"/>
      <c r="B30986" s="1" t="s">
        <v>8275</v>
      </c>
      <c r="C30986" s="1" t="s">
        <v>8276</v>
      </c>
      <c r="D30986" s="1" t="str">
        <f>HYPERLINK("https://rhld.insurance.arkansas.gov/NPILookup?Npi=1427674472","1427674472")</f>
        <v>1427674472</v>
      </c>
      <c r="E30986" s="1" t="s">
        <v>32226</v>
      </c>
      <c r="F30986" s="2"/>
      <c r="G30986" s="2"/>
      <c r="H30986" s="2"/>
    </row>
    <row r="30987" spans="1:8" x14ac:dyDescent="0.25">
      <c r="A30987" s="1"/>
      <c r="B30987" s="1" t="s">
        <v>8275</v>
      </c>
      <c r="C30987" s="1" t="s">
        <v>8276</v>
      </c>
      <c r="D30987" s="1" t="str">
        <f>HYPERLINK("https://rhld.insurance.arkansas.gov/NPILookup?Npi=1427679133","1427679133")</f>
        <v>1427679133</v>
      </c>
      <c r="E30987" s="1" t="s">
        <v>27049</v>
      </c>
      <c r="F30987" s="2"/>
      <c r="G30987" s="2"/>
      <c r="H30987" s="2"/>
    </row>
    <row r="30988" spans="1:8" x14ac:dyDescent="0.25">
      <c r="A30988" s="1"/>
      <c r="B30988" s="1" t="s">
        <v>8275</v>
      </c>
      <c r="C30988" s="1" t="s">
        <v>8276</v>
      </c>
      <c r="D30988" s="1" t="str">
        <f>HYPERLINK("https://rhld.insurance.arkansas.gov/NPILookup?Npi=1427734029","1427734029")</f>
        <v>1427734029</v>
      </c>
      <c r="E30988" s="1" t="s">
        <v>7748</v>
      </c>
      <c r="F30988" s="2"/>
      <c r="G30988" s="2"/>
      <c r="H30988" s="2"/>
    </row>
    <row r="30989" spans="1:8" x14ac:dyDescent="0.25">
      <c r="A30989" s="1"/>
      <c r="B30989" s="1" t="s">
        <v>8275</v>
      </c>
      <c r="C30989" s="1" t="s">
        <v>8276</v>
      </c>
      <c r="D30989" s="1" t="str">
        <f>HYPERLINK("https://rhld.insurance.arkansas.gov/NPILookup?Npi=1427737121","1427737121")</f>
        <v>1427737121</v>
      </c>
      <c r="E30989" s="1" t="s">
        <v>32227</v>
      </c>
      <c r="F30989" s="2"/>
      <c r="G30989" s="2"/>
      <c r="H30989" s="2"/>
    </row>
    <row r="30990" spans="1:8" x14ac:dyDescent="0.25">
      <c r="A30990" s="1"/>
      <c r="B30990" s="1" t="s">
        <v>8275</v>
      </c>
      <c r="C30990" s="1" t="s">
        <v>8276</v>
      </c>
      <c r="D30990" s="1" t="str">
        <f>HYPERLINK("https://rhld.insurance.arkansas.gov/NPILookup?Npi=1427738095","1427738095")</f>
        <v>1427738095</v>
      </c>
      <c r="E30990" s="1" t="s">
        <v>7749</v>
      </c>
      <c r="F30990" s="2"/>
      <c r="G30990" s="2"/>
      <c r="H30990" s="2"/>
    </row>
    <row r="30991" spans="1:8" x14ac:dyDescent="0.25">
      <c r="A30991" s="1"/>
      <c r="B30991" s="1" t="s">
        <v>8275</v>
      </c>
      <c r="C30991" s="1" t="s">
        <v>8276</v>
      </c>
      <c r="D30991" s="1" t="str">
        <f>HYPERLINK("https://rhld.insurance.arkansas.gov/NPILookup?Npi=1427804483","1427804483")</f>
        <v>1427804483</v>
      </c>
      <c r="E30991" s="1" t="s">
        <v>28273</v>
      </c>
      <c r="F30991" s="2"/>
      <c r="G30991" s="2"/>
      <c r="H30991" s="2"/>
    </row>
    <row r="30992" spans="1:8" x14ac:dyDescent="0.25">
      <c r="A30992" s="1"/>
      <c r="B30992" s="1" t="s">
        <v>8275</v>
      </c>
      <c r="C30992" s="1" t="s">
        <v>8276</v>
      </c>
      <c r="D30992" s="1" t="str">
        <f>HYPERLINK("https://rhld.insurance.arkansas.gov/NPILookup?Npi=1427805944","1427805944")</f>
        <v>1427805944</v>
      </c>
      <c r="E30992" s="1" t="s">
        <v>32228</v>
      </c>
      <c r="F30992" s="2"/>
      <c r="G30992" s="2"/>
      <c r="H30992" s="2"/>
    </row>
    <row r="30993" spans="1:8" x14ac:dyDescent="0.25">
      <c r="A30993" s="1"/>
      <c r="B30993" s="1" t="s">
        <v>8275</v>
      </c>
      <c r="C30993" s="1" t="s">
        <v>8276</v>
      </c>
      <c r="D30993" s="1" t="str">
        <f>HYPERLINK("https://rhld.insurance.arkansas.gov/NPILookup?Npi=1437128790","1437128790")</f>
        <v>1437128790</v>
      </c>
      <c r="E30993" s="1" t="s">
        <v>27062</v>
      </c>
      <c r="F30993" s="2"/>
      <c r="G30993" s="2"/>
      <c r="H30993" s="2"/>
    </row>
    <row r="30994" spans="1:8" x14ac:dyDescent="0.25">
      <c r="A30994" s="1"/>
      <c r="B30994" s="1" t="s">
        <v>8275</v>
      </c>
      <c r="C30994" s="1" t="s">
        <v>8276</v>
      </c>
      <c r="D30994" s="1" t="str">
        <f>HYPERLINK("https://rhld.insurance.arkansas.gov/NPILookup?Npi=1437188869","1437188869")</f>
        <v>1437188869</v>
      </c>
      <c r="E30994" s="1" t="s">
        <v>2018</v>
      </c>
      <c r="F30994" s="2"/>
      <c r="G30994" s="2"/>
      <c r="H30994" s="2"/>
    </row>
    <row r="30995" spans="1:8" x14ac:dyDescent="0.25">
      <c r="A30995" s="1"/>
      <c r="B30995" s="1" t="s">
        <v>8275</v>
      </c>
      <c r="C30995" s="1" t="s">
        <v>8276</v>
      </c>
      <c r="D30995" s="1" t="str">
        <f>HYPERLINK("https://rhld.insurance.arkansas.gov/NPILookup?Npi=1437189255","1437189255")</f>
        <v>1437189255</v>
      </c>
      <c r="E30995" s="1" t="s">
        <v>17525</v>
      </c>
      <c r="F30995" s="2"/>
      <c r="G30995" s="2"/>
      <c r="H30995" s="2"/>
    </row>
    <row r="30996" spans="1:8" x14ac:dyDescent="0.25">
      <c r="A30996" s="1"/>
      <c r="B30996" s="1" t="s">
        <v>8275</v>
      </c>
      <c r="C30996" s="1" t="s">
        <v>8276</v>
      </c>
      <c r="D30996" s="1" t="str">
        <f>HYPERLINK("https://rhld.insurance.arkansas.gov/NPILookup?Npi=1437192283","1437192283")</f>
        <v>1437192283</v>
      </c>
      <c r="E30996" s="1" t="s">
        <v>13107</v>
      </c>
      <c r="F30996" s="2"/>
      <c r="G30996" s="2"/>
      <c r="H30996" s="2"/>
    </row>
    <row r="30997" spans="1:8" x14ac:dyDescent="0.25">
      <c r="A30997" s="1"/>
      <c r="B30997" s="1" t="s">
        <v>8275</v>
      </c>
      <c r="C30997" s="1" t="s">
        <v>8276</v>
      </c>
      <c r="D30997" s="1" t="str">
        <f>HYPERLINK("https://rhld.insurance.arkansas.gov/NPILookup?Npi=1437217593","1437217593")</f>
        <v>1437217593</v>
      </c>
      <c r="E30997" s="1" t="s">
        <v>13108</v>
      </c>
      <c r="F30997" s="2"/>
      <c r="G30997" s="2"/>
      <c r="H30997" s="2"/>
    </row>
    <row r="30998" spans="1:8" x14ac:dyDescent="0.25">
      <c r="A30998" s="1"/>
      <c r="B30998" s="1" t="s">
        <v>8275</v>
      </c>
      <c r="C30998" s="1" t="s">
        <v>8276</v>
      </c>
      <c r="D30998" s="1" t="str">
        <f>HYPERLINK("https://rhld.insurance.arkansas.gov/NPILookup?Npi=1437246733","1437246733")</f>
        <v>1437246733</v>
      </c>
      <c r="E30998" s="1" t="s">
        <v>27066</v>
      </c>
      <c r="F30998" s="2"/>
      <c r="G30998" s="2"/>
      <c r="H30998" s="2"/>
    </row>
    <row r="30999" spans="1:8" x14ac:dyDescent="0.25">
      <c r="A30999" s="1"/>
      <c r="B30999" s="1" t="s">
        <v>8275</v>
      </c>
      <c r="C30999" s="1" t="s">
        <v>8276</v>
      </c>
      <c r="D30999" s="1" t="str">
        <f>HYPERLINK("https://rhld.insurance.arkansas.gov/NPILookup?Npi=1437278181","1437278181")</f>
        <v>1437278181</v>
      </c>
      <c r="E30999" s="1" t="s">
        <v>13109</v>
      </c>
      <c r="F30999" s="2"/>
      <c r="G30999" s="2"/>
      <c r="H30999" s="2"/>
    </row>
    <row r="31000" spans="1:8" x14ac:dyDescent="0.25">
      <c r="A31000" s="1"/>
      <c r="B31000" s="1" t="s">
        <v>8275</v>
      </c>
      <c r="C31000" s="1" t="s">
        <v>8276</v>
      </c>
      <c r="D31000" s="1" t="str">
        <f>HYPERLINK("https://rhld.insurance.arkansas.gov/NPILookup?Npi=1437285020","1437285020")</f>
        <v>1437285020</v>
      </c>
      <c r="E31000" s="1" t="s">
        <v>27067</v>
      </c>
      <c r="F31000" s="2"/>
      <c r="G31000" s="2"/>
      <c r="H31000" s="2"/>
    </row>
    <row r="31001" spans="1:8" x14ac:dyDescent="0.25">
      <c r="A31001" s="1"/>
      <c r="B31001" s="1" t="s">
        <v>8275</v>
      </c>
      <c r="C31001" s="1" t="s">
        <v>8276</v>
      </c>
      <c r="D31001" s="1" t="str">
        <f>HYPERLINK("https://rhld.insurance.arkansas.gov/NPILookup?Npi=1437311297","1437311297")</f>
        <v>1437311297</v>
      </c>
      <c r="E31001" s="1" t="s">
        <v>20123</v>
      </c>
      <c r="F31001" s="2"/>
      <c r="G31001" s="2"/>
      <c r="H31001" s="2"/>
    </row>
    <row r="31002" spans="1:8" x14ac:dyDescent="0.25">
      <c r="A31002" s="1"/>
      <c r="B31002" s="1" t="s">
        <v>8275</v>
      </c>
      <c r="C31002" s="1" t="s">
        <v>8276</v>
      </c>
      <c r="D31002" s="1" t="str">
        <f>HYPERLINK("https://rhld.insurance.arkansas.gov/NPILookup?Npi=1437334216","1437334216")</f>
        <v>1437334216</v>
      </c>
      <c r="E31002" s="1" t="s">
        <v>27069</v>
      </c>
      <c r="F31002" s="2"/>
      <c r="G31002" s="2"/>
      <c r="H31002" s="2"/>
    </row>
    <row r="31003" spans="1:8" x14ac:dyDescent="0.25">
      <c r="A31003" s="1"/>
      <c r="B31003" s="1" t="s">
        <v>8275</v>
      </c>
      <c r="C31003" s="1" t="s">
        <v>8276</v>
      </c>
      <c r="D31003" s="1" t="str">
        <f>HYPERLINK("https://rhld.insurance.arkansas.gov/NPILookup?Npi=1437383312","1437383312")</f>
        <v>1437383312</v>
      </c>
      <c r="E31003" s="1" t="s">
        <v>32229</v>
      </c>
      <c r="F31003" s="2"/>
      <c r="G31003" s="2"/>
      <c r="H31003" s="2"/>
    </row>
    <row r="31004" spans="1:8" x14ac:dyDescent="0.25">
      <c r="A31004" s="1"/>
      <c r="B31004" s="1" t="s">
        <v>8275</v>
      </c>
      <c r="C31004" s="1" t="s">
        <v>8276</v>
      </c>
      <c r="D31004" s="1" t="str">
        <f>HYPERLINK("https://rhld.insurance.arkansas.gov/NPILookup?Npi=1437416260","1437416260")</f>
        <v>1437416260</v>
      </c>
      <c r="E31004" s="1" t="s">
        <v>2130</v>
      </c>
      <c r="F31004" s="2"/>
      <c r="G31004" s="2"/>
      <c r="H31004" s="2"/>
    </row>
    <row r="31005" spans="1:8" x14ac:dyDescent="0.25">
      <c r="A31005" s="1"/>
      <c r="B31005" s="1" t="s">
        <v>8275</v>
      </c>
      <c r="C31005" s="1" t="s">
        <v>8276</v>
      </c>
      <c r="D31005" s="1" t="str">
        <f>HYPERLINK("https://rhld.insurance.arkansas.gov/NPILookup?Npi=1437448008","1437448008")</f>
        <v>1437448008</v>
      </c>
      <c r="E31005" s="1" t="s">
        <v>13112</v>
      </c>
      <c r="F31005" s="2"/>
      <c r="G31005" s="2"/>
      <c r="H31005" s="2"/>
    </row>
    <row r="31006" spans="1:8" x14ac:dyDescent="0.25">
      <c r="A31006" s="1"/>
      <c r="B31006" s="1" t="s">
        <v>8275</v>
      </c>
      <c r="C31006" s="1" t="s">
        <v>8276</v>
      </c>
      <c r="D31006" s="1" t="str">
        <f>HYPERLINK("https://rhld.insurance.arkansas.gov/NPILookup?Npi=1437807260","1437807260")</f>
        <v>1437807260</v>
      </c>
      <c r="E31006" s="1" t="s">
        <v>27096</v>
      </c>
      <c r="F31006" s="2"/>
      <c r="G31006" s="2"/>
      <c r="H31006" s="2"/>
    </row>
    <row r="31007" spans="1:8" x14ac:dyDescent="0.25">
      <c r="A31007" s="1"/>
      <c r="B31007" s="1" t="s">
        <v>8275</v>
      </c>
      <c r="C31007" s="1" t="s">
        <v>8276</v>
      </c>
      <c r="D31007" s="1" t="str">
        <f>HYPERLINK("https://rhld.insurance.arkansas.gov/NPILookup?Npi=1437844792","1437844792")</f>
        <v>1437844792</v>
      </c>
      <c r="E31007" s="1" t="s">
        <v>7756</v>
      </c>
      <c r="F31007" s="2"/>
      <c r="G31007" s="2"/>
      <c r="H31007" s="2"/>
    </row>
    <row r="31008" spans="1:8" x14ac:dyDescent="0.25">
      <c r="A31008" s="1"/>
      <c r="B31008" s="1" t="s">
        <v>8275</v>
      </c>
      <c r="C31008" s="1" t="s">
        <v>8276</v>
      </c>
      <c r="D31008" s="1" t="str">
        <f>HYPERLINK("https://rhld.insurance.arkansas.gov/NPILookup?Npi=1437857687","1437857687")</f>
        <v>1437857687</v>
      </c>
      <c r="E31008" s="1" t="s">
        <v>13117</v>
      </c>
      <c r="F31008" s="2"/>
      <c r="G31008" s="2"/>
      <c r="H31008" s="2"/>
    </row>
    <row r="31009" spans="1:8" x14ac:dyDescent="0.25">
      <c r="A31009" s="1"/>
      <c r="B31009" s="1" t="s">
        <v>8275</v>
      </c>
      <c r="C31009" s="1" t="s">
        <v>8276</v>
      </c>
      <c r="D31009" s="1" t="str">
        <f>HYPERLINK("https://rhld.insurance.arkansas.gov/NPILookup?Npi=1437871571","1437871571")</f>
        <v>1437871571</v>
      </c>
      <c r="E31009" s="1" t="s">
        <v>27099</v>
      </c>
      <c r="F31009" s="2"/>
      <c r="G31009" s="2"/>
      <c r="H31009" s="2"/>
    </row>
    <row r="31010" spans="1:8" x14ac:dyDescent="0.25">
      <c r="A31010" s="1"/>
      <c r="B31010" s="1" t="s">
        <v>8275</v>
      </c>
      <c r="C31010" s="1" t="s">
        <v>8276</v>
      </c>
      <c r="D31010" s="1" t="str">
        <f>HYPERLINK("https://rhld.insurance.arkansas.gov/NPILookup?Npi=1447012158","1447012158")</f>
        <v>1447012158</v>
      </c>
      <c r="E31010" s="1" t="s">
        <v>32230</v>
      </c>
      <c r="F31010" s="2"/>
      <c r="G31010" s="2"/>
      <c r="H31010" s="2"/>
    </row>
    <row r="31011" spans="1:8" x14ac:dyDescent="0.25">
      <c r="A31011" s="1"/>
      <c r="B31011" s="1" t="s">
        <v>8275</v>
      </c>
      <c r="C31011" s="1" t="s">
        <v>8276</v>
      </c>
      <c r="D31011" s="1" t="str">
        <f>HYPERLINK("https://rhld.insurance.arkansas.gov/NPILookup?Npi=1447058037","1447058037")</f>
        <v>1447058037</v>
      </c>
      <c r="E31011" s="1" t="s">
        <v>32231</v>
      </c>
      <c r="F31011" s="2"/>
      <c r="G31011" s="2"/>
      <c r="H31011" s="2"/>
    </row>
    <row r="31012" spans="1:8" x14ac:dyDescent="0.25">
      <c r="A31012" s="1"/>
      <c r="B31012" s="1" t="s">
        <v>8275</v>
      </c>
      <c r="C31012" s="1" t="s">
        <v>8276</v>
      </c>
      <c r="D31012" s="1" t="str">
        <f>HYPERLINK("https://rhld.insurance.arkansas.gov/NPILookup?Npi=1447074968","1447074968")</f>
        <v>1447074968</v>
      </c>
      <c r="E31012" s="1" t="s">
        <v>32232</v>
      </c>
      <c r="F31012" s="2"/>
      <c r="G31012" s="2"/>
      <c r="H31012" s="2"/>
    </row>
    <row r="31013" spans="1:8" x14ac:dyDescent="0.25">
      <c r="A31013" s="1"/>
      <c r="B31013" s="1" t="s">
        <v>8275</v>
      </c>
      <c r="C31013" s="1" t="s">
        <v>8276</v>
      </c>
      <c r="D31013" s="1" t="str">
        <f>HYPERLINK("https://rhld.insurance.arkansas.gov/NPILookup?Npi=1447075452","1447075452")</f>
        <v>1447075452</v>
      </c>
      <c r="E31013" s="1" t="s">
        <v>32233</v>
      </c>
      <c r="F31013" s="2"/>
      <c r="G31013" s="2"/>
      <c r="H31013" s="2"/>
    </row>
    <row r="31014" spans="1:8" x14ac:dyDescent="0.25">
      <c r="A31014" s="1"/>
      <c r="B31014" s="1" t="s">
        <v>8275</v>
      </c>
      <c r="C31014" s="1" t="s">
        <v>8276</v>
      </c>
      <c r="D31014" s="1" t="str">
        <f>HYPERLINK("https://rhld.insurance.arkansas.gov/NPILookup?Npi=1447200365","1447200365")</f>
        <v>1447200365</v>
      </c>
      <c r="E31014" s="1" t="s">
        <v>27101</v>
      </c>
      <c r="F31014" s="2"/>
      <c r="G31014" s="2"/>
      <c r="H31014" s="2"/>
    </row>
    <row r="31015" spans="1:8" x14ac:dyDescent="0.25">
      <c r="A31015" s="1"/>
      <c r="B31015" s="1" t="s">
        <v>8275</v>
      </c>
      <c r="C31015" s="1" t="s">
        <v>8276</v>
      </c>
      <c r="D31015" s="1" t="str">
        <f>HYPERLINK("https://rhld.insurance.arkansas.gov/NPILookup?Npi=1447281753","1447281753")</f>
        <v>1447281753</v>
      </c>
      <c r="E31015" s="1" t="s">
        <v>27107</v>
      </c>
      <c r="F31015" s="2"/>
      <c r="G31015" s="2"/>
      <c r="H31015" s="2"/>
    </row>
    <row r="31016" spans="1:8" x14ac:dyDescent="0.25">
      <c r="A31016" s="1"/>
      <c r="B31016" s="1" t="s">
        <v>8275</v>
      </c>
      <c r="C31016" s="1" t="s">
        <v>8276</v>
      </c>
      <c r="D31016" s="1" t="str">
        <f>HYPERLINK("https://rhld.insurance.arkansas.gov/NPILookup?Npi=1447407671","1447407671")</f>
        <v>1447407671</v>
      </c>
      <c r="E31016" s="1" t="s">
        <v>2833</v>
      </c>
      <c r="F31016" s="2"/>
      <c r="G31016" s="2"/>
      <c r="H31016" s="2"/>
    </row>
    <row r="31017" spans="1:8" x14ac:dyDescent="0.25">
      <c r="A31017" s="1"/>
      <c r="B31017" s="1" t="s">
        <v>8275</v>
      </c>
      <c r="C31017" s="1" t="s">
        <v>8276</v>
      </c>
      <c r="D31017" s="1" t="str">
        <f>HYPERLINK("https://rhld.insurance.arkansas.gov/NPILookup?Npi=1447460993","1447460993")</f>
        <v>1447460993</v>
      </c>
      <c r="E31017" s="1" t="s">
        <v>1218</v>
      </c>
      <c r="F31017" s="2"/>
      <c r="G31017" s="2"/>
      <c r="H31017" s="2"/>
    </row>
    <row r="31018" spans="1:8" x14ac:dyDescent="0.25">
      <c r="A31018" s="1"/>
      <c r="B31018" s="1" t="s">
        <v>8275</v>
      </c>
      <c r="C31018" s="1" t="s">
        <v>8276</v>
      </c>
      <c r="D31018" s="1" t="str">
        <f>HYPERLINK("https://rhld.insurance.arkansas.gov/NPILookup?Npi=1447484860","1447484860")</f>
        <v>1447484860</v>
      </c>
      <c r="E31018" s="1" t="s">
        <v>13124</v>
      </c>
      <c r="F31018" s="2"/>
      <c r="G31018" s="2"/>
      <c r="H31018" s="2"/>
    </row>
    <row r="31019" spans="1:8" x14ac:dyDescent="0.25">
      <c r="A31019" s="1"/>
      <c r="B31019" s="1" t="s">
        <v>8275</v>
      </c>
      <c r="C31019" s="1" t="s">
        <v>8276</v>
      </c>
      <c r="D31019" s="1" t="str">
        <f>HYPERLINK("https://rhld.insurance.arkansas.gov/NPILookup?Npi=1447538798","1447538798")</f>
        <v>1447538798</v>
      </c>
      <c r="E31019" s="1" t="s">
        <v>13125</v>
      </c>
      <c r="F31019" s="2"/>
      <c r="G31019" s="2"/>
      <c r="H31019" s="2"/>
    </row>
    <row r="31020" spans="1:8" x14ac:dyDescent="0.25">
      <c r="A31020" s="1"/>
      <c r="B31020" s="1" t="s">
        <v>8275</v>
      </c>
      <c r="C31020" s="1" t="s">
        <v>8276</v>
      </c>
      <c r="D31020" s="1" t="str">
        <f>HYPERLINK("https://rhld.insurance.arkansas.gov/NPILookup?Npi=1447546452","1447546452")</f>
        <v>1447546452</v>
      </c>
      <c r="E31020" s="1" t="s">
        <v>1640</v>
      </c>
      <c r="F31020" s="2"/>
      <c r="G31020" s="2"/>
      <c r="H31020" s="2"/>
    </row>
    <row r="31021" spans="1:8" x14ac:dyDescent="0.25">
      <c r="A31021" s="1"/>
      <c r="B31021" s="1" t="s">
        <v>8275</v>
      </c>
      <c r="C31021" s="1" t="s">
        <v>8276</v>
      </c>
      <c r="D31021" s="1" t="str">
        <f>HYPERLINK("https://rhld.insurance.arkansas.gov/NPILookup?Npi=1447602909","1447602909")</f>
        <v>1447602909</v>
      </c>
      <c r="E31021" s="1" t="s">
        <v>27120</v>
      </c>
      <c r="F31021" s="2"/>
      <c r="G31021" s="2"/>
      <c r="H31021" s="2"/>
    </row>
    <row r="31022" spans="1:8" x14ac:dyDescent="0.25">
      <c r="A31022" s="1"/>
      <c r="B31022" s="1" t="s">
        <v>8275</v>
      </c>
      <c r="C31022" s="1" t="s">
        <v>8276</v>
      </c>
      <c r="D31022" s="1" t="str">
        <f>HYPERLINK("https://rhld.insurance.arkansas.gov/NPILookup?Npi=1447603808","1447603808")</f>
        <v>1447603808</v>
      </c>
      <c r="E31022" s="1" t="s">
        <v>13127</v>
      </c>
      <c r="F31022" s="2"/>
      <c r="G31022" s="2"/>
      <c r="H31022" s="2"/>
    </row>
    <row r="31023" spans="1:8" x14ac:dyDescent="0.25">
      <c r="A31023" s="1"/>
      <c r="B31023" s="1" t="s">
        <v>8275</v>
      </c>
      <c r="C31023" s="1" t="s">
        <v>8276</v>
      </c>
      <c r="D31023" s="1" t="str">
        <f>HYPERLINK("https://rhld.insurance.arkansas.gov/NPILookup?Npi=1447662572","1447662572")</f>
        <v>1447662572</v>
      </c>
      <c r="E31023" s="1" t="s">
        <v>20125</v>
      </c>
      <c r="F31023" s="2"/>
      <c r="G31023" s="2"/>
      <c r="H31023" s="2"/>
    </row>
    <row r="31024" spans="1:8" x14ac:dyDescent="0.25">
      <c r="A31024" s="1"/>
      <c r="B31024" s="1" t="s">
        <v>8275</v>
      </c>
      <c r="C31024" s="1" t="s">
        <v>8276</v>
      </c>
      <c r="D31024" s="1" t="str">
        <f>HYPERLINK("https://rhld.insurance.arkansas.gov/NPILookup?Npi=1447738810","1447738810")</f>
        <v>1447738810</v>
      </c>
      <c r="E31024" s="1" t="s">
        <v>7761</v>
      </c>
      <c r="F31024" s="2"/>
      <c r="G31024" s="2"/>
      <c r="H31024" s="2"/>
    </row>
    <row r="31025" spans="1:8" x14ac:dyDescent="0.25">
      <c r="A31025" s="1"/>
      <c r="B31025" s="1" t="s">
        <v>8275</v>
      </c>
      <c r="C31025" s="1" t="s">
        <v>8276</v>
      </c>
      <c r="D31025" s="1" t="str">
        <f>HYPERLINK("https://rhld.insurance.arkansas.gov/NPILookup?Npi=1447788609","1447788609")</f>
        <v>1447788609</v>
      </c>
      <c r="E31025" s="1" t="s">
        <v>27128</v>
      </c>
      <c r="F31025" s="2"/>
      <c r="G31025" s="2"/>
      <c r="H31025" s="2"/>
    </row>
    <row r="31026" spans="1:8" x14ac:dyDescent="0.25">
      <c r="A31026" s="1"/>
      <c r="B31026" s="1" t="s">
        <v>8275</v>
      </c>
      <c r="C31026" s="1" t="s">
        <v>8276</v>
      </c>
      <c r="D31026" s="1" t="str">
        <f>HYPERLINK("https://rhld.insurance.arkansas.gov/NPILookup?Npi=1447806203","1447806203")</f>
        <v>1447806203</v>
      </c>
      <c r="E31026" s="1" t="s">
        <v>7763</v>
      </c>
      <c r="F31026" s="2"/>
      <c r="G31026" s="2"/>
      <c r="H31026" s="2"/>
    </row>
    <row r="31027" spans="1:8" x14ac:dyDescent="0.25">
      <c r="A31027" s="1"/>
      <c r="B31027" s="1" t="s">
        <v>8275</v>
      </c>
      <c r="C31027" s="1" t="s">
        <v>8276</v>
      </c>
      <c r="D31027" s="1" t="str">
        <f>HYPERLINK("https://rhld.insurance.arkansas.gov/NPILookup?Npi=1447928148","1447928148")</f>
        <v>1447928148</v>
      </c>
      <c r="E31027" s="1" t="s">
        <v>27146</v>
      </c>
      <c r="F31027" s="2"/>
      <c r="G31027" s="2"/>
      <c r="H31027" s="2"/>
    </row>
    <row r="31028" spans="1:8" x14ac:dyDescent="0.25">
      <c r="A31028" s="1"/>
      <c r="B31028" s="1" t="s">
        <v>8275</v>
      </c>
      <c r="C31028" s="1" t="s">
        <v>8276</v>
      </c>
      <c r="D31028" s="1" t="str">
        <f>HYPERLINK("https://rhld.insurance.arkansas.gov/NPILookup?Npi=1447977202","1447977202")</f>
        <v>1447977202</v>
      </c>
      <c r="E31028" s="1" t="s">
        <v>32234</v>
      </c>
      <c r="F31028" s="2"/>
      <c r="G31028" s="2"/>
      <c r="H31028" s="2"/>
    </row>
    <row r="31029" spans="1:8" x14ac:dyDescent="0.25">
      <c r="A31029" s="1"/>
      <c r="B31029" s="1" t="s">
        <v>8275</v>
      </c>
      <c r="C31029" s="1" t="s">
        <v>8276</v>
      </c>
      <c r="D31029" s="1" t="str">
        <f>HYPERLINK("https://rhld.insurance.arkansas.gov/NPILookup?Npi=1457099392","1457099392")</f>
        <v>1457099392</v>
      </c>
      <c r="E31029" s="1" t="s">
        <v>7771</v>
      </c>
      <c r="F31029" s="2"/>
      <c r="G31029" s="2"/>
      <c r="H31029" s="2"/>
    </row>
    <row r="31030" spans="1:8" x14ac:dyDescent="0.25">
      <c r="A31030" s="1"/>
      <c r="B31030" s="1" t="s">
        <v>8275</v>
      </c>
      <c r="C31030" s="1" t="s">
        <v>8276</v>
      </c>
      <c r="D31030" s="1" t="str">
        <f>HYPERLINK("https://rhld.insurance.arkansas.gov/NPILookup?Npi=1457186462","1457186462")</f>
        <v>1457186462</v>
      </c>
      <c r="E31030" s="1" t="s">
        <v>32236</v>
      </c>
      <c r="F31030" s="2"/>
      <c r="G31030" s="2"/>
      <c r="H31030" s="2"/>
    </row>
    <row r="31031" spans="1:8" x14ac:dyDescent="0.25">
      <c r="A31031" s="1"/>
      <c r="B31031" s="1" t="s">
        <v>8275</v>
      </c>
      <c r="C31031" s="1" t="s">
        <v>8276</v>
      </c>
      <c r="D31031" s="1" t="str">
        <f>HYPERLINK("https://rhld.insurance.arkansas.gov/NPILookup?Npi=1457310476","1457310476")</f>
        <v>1457310476</v>
      </c>
      <c r="E31031" s="1" t="s">
        <v>27157</v>
      </c>
      <c r="F31031" s="2"/>
      <c r="G31031" s="2"/>
      <c r="H31031" s="2"/>
    </row>
    <row r="31032" spans="1:8" x14ac:dyDescent="0.25">
      <c r="A31032" s="1"/>
      <c r="B31032" s="1" t="s">
        <v>8275</v>
      </c>
      <c r="C31032" s="1" t="s">
        <v>8276</v>
      </c>
      <c r="D31032" s="1" t="str">
        <f>HYPERLINK("https://rhld.insurance.arkansas.gov/NPILookup?Npi=1457329765","1457329765")</f>
        <v>1457329765</v>
      </c>
      <c r="E31032" s="1" t="s">
        <v>8304</v>
      </c>
      <c r="F31032" s="2"/>
      <c r="G31032" s="2"/>
      <c r="H31032" s="2"/>
    </row>
    <row r="31033" spans="1:8" x14ac:dyDescent="0.25">
      <c r="A31033" s="1"/>
      <c r="B31033" s="1" t="s">
        <v>8275</v>
      </c>
      <c r="C31033" s="1" t="s">
        <v>8276</v>
      </c>
      <c r="D31033" s="1" t="str">
        <f>HYPERLINK("https://rhld.insurance.arkansas.gov/NPILookup?Npi=1457352742","1457352742")</f>
        <v>1457352742</v>
      </c>
      <c r="E31033" s="1" t="s">
        <v>13138</v>
      </c>
      <c r="F31033" s="2"/>
      <c r="G31033" s="2"/>
      <c r="H31033" s="2"/>
    </row>
    <row r="31034" spans="1:8" x14ac:dyDescent="0.25">
      <c r="A31034" s="1"/>
      <c r="B31034" s="1" t="s">
        <v>8275</v>
      </c>
      <c r="C31034" s="1" t="s">
        <v>8276</v>
      </c>
      <c r="D31034" s="1" t="str">
        <f>HYPERLINK("https://rhld.insurance.arkansas.gov/NPILookup?Npi=1457396160","1457396160")</f>
        <v>1457396160</v>
      </c>
      <c r="E31034" s="1" t="s">
        <v>29695</v>
      </c>
      <c r="F31034" s="2"/>
      <c r="G31034" s="2"/>
      <c r="H31034" s="2"/>
    </row>
    <row r="31035" spans="1:8" x14ac:dyDescent="0.25">
      <c r="A31035" s="1"/>
      <c r="B31035" s="1" t="s">
        <v>8275</v>
      </c>
      <c r="C31035" s="1" t="s">
        <v>8276</v>
      </c>
      <c r="D31035" s="1" t="str">
        <f>HYPERLINK("https://rhld.insurance.arkansas.gov/NPILookup?Npi=1457399438","1457399438")</f>
        <v>1457399438</v>
      </c>
      <c r="E31035" s="1" t="s">
        <v>13141</v>
      </c>
      <c r="F31035" s="2"/>
      <c r="G31035" s="2"/>
      <c r="H31035" s="2"/>
    </row>
    <row r="31036" spans="1:8" x14ac:dyDescent="0.25">
      <c r="A31036" s="1"/>
      <c r="B31036" s="1" t="s">
        <v>8275</v>
      </c>
      <c r="C31036" s="1" t="s">
        <v>8276</v>
      </c>
      <c r="D31036" s="1" t="str">
        <f>HYPERLINK("https://rhld.insurance.arkansas.gov/NPILookup?Npi=1457425902","1457425902")</f>
        <v>1457425902</v>
      </c>
      <c r="E31036" s="1" t="s">
        <v>27164</v>
      </c>
      <c r="F31036" s="2"/>
      <c r="G31036" s="2"/>
      <c r="H31036" s="2"/>
    </row>
    <row r="31037" spans="1:8" x14ac:dyDescent="0.25">
      <c r="A31037" s="1"/>
      <c r="B31037" s="1" t="s">
        <v>8275</v>
      </c>
      <c r="C31037" s="1" t="s">
        <v>8276</v>
      </c>
      <c r="D31037" s="1" t="str">
        <f>HYPERLINK("https://rhld.insurance.arkansas.gov/NPILookup?Npi=1457440034","1457440034")</f>
        <v>1457440034</v>
      </c>
      <c r="E31037" s="1" t="s">
        <v>13142</v>
      </c>
      <c r="F31037" s="2"/>
      <c r="G31037" s="2"/>
      <c r="H31037" s="2"/>
    </row>
    <row r="31038" spans="1:8" x14ac:dyDescent="0.25">
      <c r="A31038" s="1"/>
      <c r="B31038" s="1" t="s">
        <v>8275</v>
      </c>
      <c r="C31038" s="1" t="s">
        <v>8276</v>
      </c>
      <c r="D31038" s="1" t="str">
        <f>HYPERLINK("https://rhld.insurance.arkansas.gov/NPILookup?Npi=1457459182","1457459182")</f>
        <v>1457459182</v>
      </c>
      <c r="E31038" s="1" t="s">
        <v>27167</v>
      </c>
      <c r="F31038" s="2"/>
      <c r="G31038" s="2"/>
      <c r="H31038" s="2"/>
    </row>
    <row r="31039" spans="1:8" x14ac:dyDescent="0.25">
      <c r="A31039" s="1"/>
      <c r="B31039" s="1" t="s">
        <v>8275</v>
      </c>
      <c r="C31039" s="1" t="s">
        <v>8276</v>
      </c>
      <c r="D31039" s="1" t="str">
        <f>HYPERLINK("https://rhld.insurance.arkansas.gov/NPILookup?Npi=1457463960","1457463960")</f>
        <v>1457463960</v>
      </c>
      <c r="E31039" s="1" t="s">
        <v>27168</v>
      </c>
      <c r="F31039" s="2"/>
      <c r="G31039" s="2"/>
      <c r="H31039" s="2"/>
    </row>
    <row r="31040" spans="1:8" x14ac:dyDescent="0.25">
      <c r="A31040" s="1"/>
      <c r="B31040" s="1" t="s">
        <v>8275</v>
      </c>
      <c r="C31040" s="1" t="s">
        <v>8276</v>
      </c>
      <c r="D31040" s="1" t="str">
        <f>HYPERLINK("https://rhld.insurance.arkansas.gov/NPILookup?Npi=1457494296","1457494296")</f>
        <v>1457494296</v>
      </c>
      <c r="E31040" s="1" t="s">
        <v>29696</v>
      </c>
      <c r="F31040" s="2"/>
      <c r="G31040" s="2"/>
      <c r="H31040" s="2"/>
    </row>
    <row r="31041" spans="1:8" x14ac:dyDescent="0.25">
      <c r="A31041" s="1"/>
      <c r="B31041" s="1" t="s">
        <v>8275</v>
      </c>
      <c r="C31041" s="1" t="s">
        <v>8276</v>
      </c>
      <c r="D31041" s="1" t="str">
        <f>HYPERLINK("https://rhld.insurance.arkansas.gov/NPILookup?Npi=1457555294","1457555294")</f>
        <v>1457555294</v>
      </c>
      <c r="E31041" s="1" t="s">
        <v>17541</v>
      </c>
      <c r="F31041" s="2"/>
      <c r="G31041" s="2"/>
      <c r="H31041" s="2"/>
    </row>
    <row r="31042" spans="1:8" x14ac:dyDescent="0.25">
      <c r="A31042" s="1"/>
      <c r="B31042" s="1" t="s">
        <v>8275</v>
      </c>
      <c r="C31042" s="1" t="s">
        <v>8276</v>
      </c>
      <c r="D31042" s="1" t="str">
        <f>HYPERLINK("https://rhld.insurance.arkansas.gov/NPILookup?Npi=1457570780","1457570780")</f>
        <v>1457570780</v>
      </c>
      <c r="E31042" s="1" t="s">
        <v>29697</v>
      </c>
      <c r="F31042" s="2"/>
      <c r="G31042" s="2"/>
      <c r="H31042" s="2"/>
    </row>
    <row r="31043" spans="1:8" x14ac:dyDescent="0.25">
      <c r="A31043" s="1"/>
      <c r="B31043" s="1" t="s">
        <v>8275</v>
      </c>
      <c r="C31043" s="1" t="s">
        <v>8276</v>
      </c>
      <c r="D31043" s="1" t="str">
        <f>HYPERLINK("https://rhld.insurance.arkansas.gov/NPILookup?Npi=1457631053","1457631053")</f>
        <v>1457631053</v>
      </c>
      <c r="E31043" s="1" t="s">
        <v>27174</v>
      </c>
      <c r="F31043" s="2"/>
      <c r="G31043" s="2"/>
      <c r="H31043" s="2"/>
    </row>
    <row r="31044" spans="1:8" x14ac:dyDescent="0.25">
      <c r="A31044" s="1"/>
      <c r="B31044" s="1" t="s">
        <v>8275</v>
      </c>
      <c r="C31044" s="1" t="s">
        <v>8276</v>
      </c>
      <c r="D31044" s="1" t="str">
        <f>HYPERLINK("https://rhld.insurance.arkansas.gov/NPILookup?Npi=1457642092","1457642092")</f>
        <v>1457642092</v>
      </c>
      <c r="E31044" s="1" t="s">
        <v>29698</v>
      </c>
      <c r="F31044" s="2"/>
      <c r="G31044" s="2"/>
      <c r="H31044" s="2"/>
    </row>
    <row r="31045" spans="1:8" x14ac:dyDescent="0.25">
      <c r="A31045" s="1"/>
      <c r="B31045" s="1" t="s">
        <v>8275</v>
      </c>
      <c r="C31045" s="1" t="s">
        <v>8276</v>
      </c>
      <c r="D31045" s="1" t="str">
        <f>HYPERLINK("https://rhld.insurance.arkansas.gov/NPILookup?Npi=1457714123","1457714123")</f>
        <v>1457714123</v>
      </c>
      <c r="E31045" s="1" t="s">
        <v>3145</v>
      </c>
      <c r="F31045" s="2"/>
      <c r="G31045" s="2"/>
      <c r="H31045" s="2"/>
    </row>
    <row r="31046" spans="1:8" x14ac:dyDescent="0.25">
      <c r="A31046" s="1"/>
      <c r="B31046" s="1" t="s">
        <v>8275</v>
      </c>
      <c r="C31046" s="1" t="s">
        <v>8276</v>
      </c>
      <c r="D31046" s="1" t="str">
        <f>HYPERLINK("https://rhld.insurance.arkansas.gov/NPILookup?Npi=1457721359","1457721359")</f>
        <v>1457721359</v>
      </c>
      <c r="E31046" s="1" t="s">
        <v>27179</v>
      </c>
      <c r="F31046" s="2"/>
      <c r="G31046" s="2"/>
      <c r="H31046" s="2"/>
    </row>
    <row r="31047" spans="1:8" x14ac:dyDescent="0.25">
      <c r="A31047" s="1"/>
      <c r="B31047" s="1" t="s">
        <v>8275</v>
      </c>
      <c r="C31047" s="1" t="s">
        <v>8276</v>
      </c>
      <c r="D31047" s="1" t="str">
        <f>HYPERLINK("https://rhld.insurance.arkansas.gov/NPILookup?Npi=1457811390","1457811390")</f>
        <v>1457811390</v>
      </c>
      <c r="E31047" s="1" t="s">
        <v>29699</v>
      </c>
      <c r="F31047" s="2"/>
      <c r="G31047" s="2"/>
      <c r="H31047" s="2"/>
    </row>
    <row r="31048" spans="1:8" x14ac:dyDescent="0.25">
      <c r="A31048" s="1"/>
      <c r="B31048" s="1" t="s">
        <v>8275</v>
      </c>
      <c r="C31048" s="1" t="s">
        <v>8276</v>
      </c>
      <c r="D31048" s="1" t="str">
        <f>HYPERLINK("https://rhld.insurance.arkansas.gov/NPILookup?Npi=1457813933","1457813933")</f>
        <v>1457813933</v>
      </c>
      <c r="E31048" s="1" t="s">
        <v>17548</v>
      </c>
      <c r="F31048" s="2"/>
      <c r="G31048" s="2"/>
      <c r="H31048" s="2"/>
    </row>
    <row r="31049" spans="1:8" x14ac:dyDescent="0.25">
      <c r="A31049" s="1"/>
      <c r="B31049" s="1" t="s">
        <v>8275</v>
      </c>
      <c r="C31049" s="1" t="s">
        <v>8276</v>
      </c>
      <c r="D31049" s="1" t="str">
        <f>HYPERLINK("https://rhld.insurance.arkansas.gov/NPILookup?Npi=1457818353","1457818353")</f>
        <v>1457818353</v>
      </c>
      <c r="E31049" s="1" t="s">
        <v>27189</v>
      </c>
      <c r="F31049" s="2"/>
      <c r="G31049" s="2"/>
      <c r="H31049" s="2"/>
    </row>
    <row r="31050" spans="1:8" x14ac:dyDescent="0.25">
      <c r="A31050" s="1"/>
      <c r="B31050" s="1" t="s">
        <v>8275</v>
      </c>
      <c r="C31050" s="1" t="s">
        <v>8276</v>
      </c>
      <c r="D31050" s="1" t="str">
        <f>HYPERLINK("https://rhld.insurance.arkansas.gov/NPILookup?Npi=1457930075","1457930075")</f>
        <v>1457930075</v>
      </c>
      <c r="E31050" s="1" t="s">
        <v>32462</v>
      </c>
      <c r="F31050" s="2"/>
      <c r="G31050" s="2"/>
      <c r="H31050" s="2"/>
    </row>
    <row r="31051" spans="1:8" x14ac:dyDescent="0.25">
      <c r="A31051" s="1"/>
      <c r="B31051" s="1" t="s">
        <v>8275</v>
      </c>
      <c r="C31051" s="1" t="s">
        <v>8276</v>
      </c>
      <c r="D31051" s="1" t="str">
        <f>HYPERLINK("https://rhld.insurance.arkansas.gov/NPILookup?Npi=1457970634","1457970634")</f>
        <v>1457970634</v>
      </c>
      <c r="E31051" s="1" t="s">
        <v>8305</v>
      </c>
      <c r="F31051" s="2"/>
      <c r="G31051" s="2"/>
      <c r="H31051" s="2"/>
    </row>
    <row r="31052" spans="1:8" x14ac:dyDescent="0.25">
      <c r="A31052" s="1"/>
      <c r="B31052" s="1" t="s">
        <v>8275</v>
      </c>
      <c r="C31052" s="1" t="s">
        <v>8276</v>
      </c>
      <c r="D31052" s="1" t="str">
        <f>HYPERLINK("https://rhld.insurance.arkansas.gov/NPILookup?Npi=1457980385","1457980385")</f>
        <v>1457980385</v>
      </c>
      <c r="E31052" s="1" t="s">
        <v>8306</v>
      </c>
      <c r="F31052" s="2"/>
      <c r="G31052" s="2"/>
      <c r="H31052" s="2"/>
    </row>
    <row r="31053" spans="1:8" x14ac:dyDescent="0.25">
      <c r="A31053" s="1"/>
      <c r="B31053" s="1" t="s">
        <v>8275</v>
      </c>
      <c r="C31053" s="1" t="s">
        <v>8276</v>
      </c>
      <c r="D31053" s="1" t="str">
        <f>HYPERLINK("https://rhld.insurance.arkansas.gov/NPILookup?Npi=1467002691","1467002691")</f>
        <v>1467002691</v>
      </c>
      <c r="E31053" s="1" t="s">
        <v>7775</v>
      </c>
      <c r="F31053" s="2"/>
      <c r="G31053" s="2"/>
      <c r="H31053" s="2"/>
    </row>
    <row r="31054" spans="1:8" x14ac:dyDescent="0.25">
      <c r="A31054" s="1"/>
      <c r="B31054" s="1" t="s">
        <v>8275</v>
      </c>
      <c r="C31054" s="1" t="s">
        <v>8276</v>
      </c>
      <c r="D31054" s="1" t="str">
        <f>HYPERLINK("https://rhld.insurance.arkansas.gov/NPILookup?Npi=1467133074","1467133074")</f>
        <v>1467133074</v>
      </c>
      <c r="E31054" s="1" t="s">
        <v>32238</v>
      </c>
      <c r="F31054" s="2"/>
      <c r="G31054" s="2"/>
      <c r="H31054" s="2"/>
    </row>
    <row r="31055" spans="1:8" x14ac:dyDescent="0.25">
      <c r="A31055" s="1"/>
      <c r="B31055" s="1" t="s">
        <v>8275</v>
      </c>
      <c r="C31055" s="1" t="s">
        <v>8276</v>
      </c>
      <c r="D31055" s="1" t="str">
        <f>HYPERLINK("https://rhld.insurance.arkansas.gov/NPILookup?Npi=1467164475","1467164475")</f>
        <v>1467164475</v>
      </c>
      <c r="E31055" s="1" t="s">
        <v>32239</v>
      </c>
      <c r="F31055" s="2"/>
      <c r="G31055" s="2"/>
      <c r="H31055" s="2"/>
    </row>
    <row r="31056" spans="1:8" x14ac:dyDescent="0.25">
      <c r="A31056" s="1"/>
      <c r="B31056" s="1" t="s">
        <v>8275</v>
      </c>
      <c r="C31056" s="1" t="s">
        <v>8276</v>
      </c>
      <c r="D31056" s="1" t="str">
        <f>HYPERLINK("https://rhld.insurance.arkansas.gov/NPILookup?Npi=1467218990","1467218990")</f>
        <v>1467218990</v>
      </c>
      <c r="E31056" s="1" t="s">
        <v>32240</v>
      </c>
      <c r="F31056" s="2"/>
      <c r="G31056" s="2"/>
      <c r="H31056" s="2"/>
    </row>
    <row r="31057" spans="1:8" x14ac:dyDescent="0.25">
      <c r="A31057" s="1"/>
      <c r="B31057" s="1" t="s">
        <v>8275</v>
      </c>
      <c r="C31057" s="1" t="s">
        <v>8276</v>
      </c>
      <c r="D31057" s="1" t="str">
        <f>HYPERLINK("https://rhld.insurance.arkansas.gov/NPILookup?Npi=1467230334","1467230334")</f>
        <v>1467230334</v>
      </c>
      <c r="E31057" s="1" t="s">
        <v>32241</v>
      </c>
      <c r="F31057" s="2"/>
      <c r="G31057" s="2"/>
      <c r="H31057" s="2"/>
    </row>
    <row r="31058" spans="1:8" x14ac:dyDescent="0.25">
      <c r="A31058" s="1"/>
      <c r="B31058" s="1" t="s">
        <v>8275</v>
      </c>
      <c r="C31058" s="1" t="s">
        <v>8276</v>
      </c>
      <c r="D31058" s="1" t="str">
        <f>HYPERLINK("https://rhld.insurance.arkansas.gov/NPILookup?Npi=1467251470","1467251470")</f>
        <v>1467251470</v>
      </c>
      <c r="E31058" s="1" t="s">
        <v>32242</v>
      </c>
      <c r="F31058" s="2"/>
      <c r="G31058" s="2"/>
      <c r="H31058" s="2"/>
    </row>
    <row r="31059" spans="1:8" x14ac:dyDescent="0.25">
      <c r="A31059" s="1"/>
      <c r="B31059" s="1" t="s">
        <v>8275</v>
      </c>
      <c r="C31059" s="1" t="s">
        <v>8276</v>
      </c>
      <c r="D31059" s="1" t="str">
        <f>HYPERLINK("https://rhld.insurance.arkansas.gov/NPILookup?Npi=1467409458","1467409458")</f>
        <v>1467409458</v>
      </c>
      <c r="E31059" s="1" t="s">
        <v>29700</v>
      </c>
      <c r="F31059" s="2"/>
      <c r="G31059" s="2"/>
      <c r="H31059" s="2"/>
    </row>
    <row r="31060" spans="1:8" x14ac:dyDescent="0.25">
      <c r="A31060" s="1"/>
      <c r="B31060" s="1" t="s">
        <v>8275</v>
      </c>
      <c r="C31060" s="1" t="s">
        <v>8276</v>
      </c>
      <c r="D31060" s="1" t="str">
        <f>HYPERLINK("https://rhld.insurance.arkansas.gov/NPILookup?Npi=1467410241","1467410241")</f>
        <v>1467410241</v>
      </c>
      <c r="E31060" s="1" t="s">
        <v>7780</v>
      </c>
      <c r="F31060" s="2"/>
      <c r="G31060" s="2"/>
      <c r="H31060" s="2"/>
    </row>
    <row r="31061" spans="1:8" x14ac:dyDescent="0.25">
      <c r="A31061" s="1"/>
      <c r="B31061" s="1" t="s">
        <v>8275</v>
      </c>
      <c r="C31061" s="1" t="s">
        <v>8276</v>
      </c>
      <c r="D31061" s="1" t="str">
        <f>HYPERLINK("https://rhld.insurance.arkansas.gov/NPILookup?Npi=1467428847","1467428847")</f>
        <v>1467428847</v>
      </c>
      <c r="E31061" s="1" t="s">
        <v>27217</v>
      </c>
      <c r="F31061" s="2"/>
      <c r="G31061" s="2"/>
      <c r="H31061" s="2"/>
    </row>
    <row r="31062" spans="1:8" x14ac:dyDescent="0.25">
      <c r="A31062" s="1"/>
      <c r="B31062" s="1" t="s">
        <v>8275</v>
      </c>
      <c r="C31062" s="1" t="s">
        <v>8276</v>
      </c>
      <c r="D31062" s="1" t="str">
        <f>HYPERLINK("https://rhld.insurance.arkansas.gov/NPILookup?Npi=1467436725","1467436725")</f>
        <v>1467436725</v>
      </c>
      <c r="E31062" s="1" t="s">
        <v>2844</v>
      </c>
      <c r="F31062" s="2"/>
      <c r="G31062" s="2"/>
      <c r="H31062" s="2"/>
    </row>
    <row r="31063" spans="1:8" x14ac:dyDescent="0.25">
      <c r="A31063" s="1"/>
      <c r="B31063" s="1" t="s">
        <v>8275</v>
      </c>
      <c r="C31063" s="1" t="s">
        <v>8276</v>
      </c>
      <c r="D31063" s="1" t="str">
        <f>HYPERLINK("https://rhld.insurance.arkansas.gov/NPILookup?Npi=1467461764","1467461764")</f>
        <v>1467461764</v>
      </c>
      <c r="E31063" s="1" t="s">
        <v>29701</v>
      </c>
      <c r="F31063" s="2"/>
      <c r="G31063" s="2"/>
      <c r="H31063" s="2"/>
    </row>
    <row r="31064" spans="1:8" x14ac:dyDescent="0.25">
      <c r="A31064" s="1"/>
      <c r="B31064" s="1" t="s">
        <v>8275</v>
      </c>
      <c r="C31064" s="1" t="s">
        <v>8276</v>
      </c>
      <c r="D31064" s="1" t="str">
        <f>HYPERLINK("https://rhld.insurance.arkansas.gov/NPILookup?Npi=1467487751","1467487751")</f>
        <v>1467487751</v>
      </c>
      <c r="E31064" s="1" t="s">
        <v>27222</v>
      </c>
      <c r="F31064" s="2"/>
      <c r="G31064" s="2"/>
      <c r="H31064" s="2"/>
    </row>
    <row r="31065" spans="1:8" x14ac:dyDescent="0.25">
      <c r="A31065" s="1"/>
      <c r="B31065" s="1" t="s">
        <v>8275</v>
      </c>
      <c r="C31065" s="1" t="s">
        <v>8276</v>
      </c>
      <c r="D31065" s="1" t="str">
        <f>HYPERLINK("https://rhld.insurance.arkansas.gov/NPILookup?Npi=1467573360","1467573360")</f>
        <v>1467573360</v>
      </c>
      <c r="E31065" s="1" t="s">
        <v>27226</v>
      </c>
      <c r="F31065" s="2"/>
      <c r="G31065" s="2"/>
      <c r="H31065" s="2"/>
    </row>
    <row r="31066" spans="1:8" x14ac:dyDescent="0.25">
      <c r="A31066" s="1"/>
      <c r="B31066" s="1" t="s">
        <v>8275</v>
      </c>
      <c r="C31066" s="1" t="s">
        <v>8276</v>
      </c>
      <c r="D31066" s="1" t="str">
        <f>HYPERLINK("https://rhld.insurance.arkansas.gov/NPILookup?Npi=1467594770","1467594770")</f>
        <v>1467594770</v>
      </c>
      <c r="E31066" s="1" t="s">
        <v>7782</v>
      </c>
      <c r="F31066" s="2"/>
      <c r="G31066" s="2"/>
      <c r="H31066" s="2"/>
    </row>
    <row r="31067" spans="1:8" x14ac:dyDescent="0.25">
      <c r="A31067" s="1"/>
      <c r="B31067" s="1" t="s">
        <v>8275</v>
      </c>
      <c r="C31067" s="1" t="s">
        <v>8276</v>
      </c>
      <c r="D31067" s="1" t="str">
        <f>HYPERLINK("https://rhld.insurance.arkansas.gov/NPILookup?Npi=1467613000","1467613000")</f>
        <v>1467613000</v>
      </c>
      <c r="E31067" s="1" t="s">
        <v>13154</v>
      </c>
      <c r="F31067" s="2"/>
      <c r="G31067" s="2"/>
      <c r="H31067" s="2"/>
    </row>
    <row r="31068" spans="1:8" x14ac:dyDescent="0.25">
      <c r="A31068" s="1"/>
      <c r="B31068" s="1" t="s">
        <v>8275</v>
      </c>
      <c r="C31068" s="1" t="s">
        <v>8276</v>
      </c>
      <c r="D31068" s="1" t="str">
        <f>HYPERLINK("https://rhld.insurance.arkansas.gov/NPILookup?Npi=1467654715","1467654715")</f>
        <v>1467654715</v>
      </c>
      <c r="E31068" s="1" t="s">
        <v>4171</v>
      </c>
      <c r="F31068" s="2"/>
      <c r="G31068" s="2"/>
      <c r="H31068" s="2"/>
    </row>
    <row r="31069" spans="1:8" x14ac:dyDescent="0.25">
      <c r="A31069" s="1"/>
      <c r="B31069" s="1" t="s">
        <v>8275</v>
      </c>
      <c r="C31069" s="1" t="s">
        <v>8276</v>
      </c>
      <c r="D31069" s="1" t="str">
        <f>HYPERLINK("https://rhld.insurance.arkansas.gov/NPILookup?Npi=1467740225","1467740225")</f>
        <v>1467740225</v>
      </c>
      <c r="E31069" s="1" t="s">
        <v>27230</v>
      </c>
      <c r="F31069" s="2"/>
      <c r="G31069" s="2"/>
      <c r="H31069" s="2"/>
    </row>
    <row r="31070" spans="1:8" x14ac:dyDescent="0.25">
      <c r="A31070" s="1"/>
      <c r="B31070" s="1" t="s">
        <v>8275</v>
      </c>
      <c r="C31070" s="1" t="s">
        <v>8276</v>
      </c>
      <c r="D31070" s="1" t="str">
        <f>HYPERLINK("https://rhld.insurance.arkansas.gov/NPILookup?Npi=1467746339","1467746339")</f>
        <v>1467746339</v>
      </c>
      <c r="E31070" s="1" t="s">
        <v>13915</v>
      </c>
      <c r="F31070" s="2"/>
      <c r="G31070" s="2"/>
      <c r="H31070" s="2"/>
    </row>
    <row r="31071" spans="1:8" x14ac:dyDescent="0.25">
      <c r="A31071" s="1"/>
      <c r="B31071" s="1" t="s">
        <v>8275</v>
      </c>
      <c r="C31071" s="1" t="s">
        <v>8276</v>
      </c>
      <c r="D31071" s="1" t="str">
        <f>HYPERLINK("https://rhld.insurance.arkansas.gov/NPILookup?Npi=1467774844","1467774844")</f>
        <v>1467774844</v>
      </c>
      <c r="E31071" s="1" t="s">
        <v>4931</v>
      </c>
      <c r="F31071" s="2"/>
      <c r="G31071" s="2"/>
      <c r="H31071" s="2"/>
    </row>
    <row r="31072" spans="1:8" x14ac:dyDescent="0.25">
      <c r="A31072" s="1"/>
      <c r="B31072" s="1" t="s">
        <v>8275</v>
      </c>
      <c r="C31072" s="1" t="s">
        <v>8276</v>
      </c>
      <c r="D31072" s="1" t="str">
        <f>HYPERLINK("https://rhld.insurance.arkansas.gov/NPILookup?Npi=1467779140","1467779140")</f>
        <v>1467779140</v>
      </c>
      <c r="E31072" s="1" t="s">
        <v>29702</v>
      </c>
      <c r="F31072" s="2"/>
      <c r="G31072" s="2"/>
      <c r="H31072" s="2"/>
    </row>
    <row r="31073" spans="1:8" x14ac:dyDescent="0.25">
      <c r="A31073" s="1"/>
      <c r="B31073" s="1" t="s">
        <v>8275</v>
      </c>
      <c r="C31073" s="1" t="s">
        <v>8276</v>
      </c>
      <c r="D31073" s="1" t="str">
        <f>HYPERLINK("https://rhld.insurance.arkansas.gov/NPILookup?Npi=1467793679","1467793679")</f>
        <v>1467793679</v>
      </c>
      <c r="E31073" s="1" t="s">
        <v>13156</v>
      </c>
      <c r="F31073" s="2"/>
      <c r="G31073" s="2"/>
      <c r="H31073" s="2"/>
    </row>
    <row r="31074" spans="1:8" x14ac:dyDescent="0.25">
      <c r="A31074" s="1"/>
      <c r="B31074" s="1" t="s">
        <v>8275</v>
      </c>
      <c r="C31074" s="1" t="s">
        <v>8276</v>
      </c>
      <c r="D31074" s="1" t="str">
        <f>HYPERLINK("https://rhld.insurance.arkansas.gov/NPILookup?Npi=1467814137","1467814137")</f>
        <v>1467814137</v>
      </c>
      <c r="E31074" s="1" t="s">
        <v>27233</v>
      </c>
      <c r="F31074" s="2"/>
      <c r="G31074" s="2"/>
      <c r="H31074" s="2"/>
    </row>
    <row r="31075" spans="1:8" x14ac:dyDescent="0.25">
      <c r="A31075" s="1"/>
      <c r="B31075" s="1" t="s">
        <v>8275</v>
      </c>
      <c r="C31075" s="1" t="s">
        <v>8276</v>
      </c>
      <c r="D31075" s="1" t="str">
        <f>HYPERLINK("https://rhld.insurance.arkansas.gov/NPILookup?Npi=1467908970","1467908970")</f>
        <v>1467908970</v>
      </c>
      <c r="E31075" s="1" t="s">
        <v>1220</v>
      </c>
      <c r="F31075" s="2"/>
      <c r="G31075" s="2"/>
      <c r="H31075" s="2"/>
    </row>
    <row r="31076" spans="1:8" x14ac:dyDescent="0.25">
      <c r="A31076" s="1"/>
      <c r="B31076" s="1" t="s">
        <v>8275</v>
      </c>
      <c r="C31076" s="1" t="s">
        <v>8276</v>
      </c>
      <c r="D31076" s="1" t="str">
        <f>HYPERLINK("https://rhld.insurance.arkansas.gov/NPILookup?Npi=1467909366","1467909366")</f>
        <v>1467909366</v>
      </c>
      <c r="E31076" s="1" t="s">
        <v>32244</v>
      </c>
      <c r="F31076" s="2"/>
      <c r="G31076" s="2"/>
      <c r="H31076" s="2"/>
    </row>
    <row r="31077" spans="1:8" x14ac:dyDescent="0.25">
      <c r="A31077" s="1"/>
      <c r="B31077" s="1" t="s">
        <v>8275</v>
      </c>
      <c r="C31077" s="1" t="s">
        <v>8276</v>
      </c>
      <c r="D31077" s="1" t="str">
        <f>HYPERLINK("https://rhld.insurance.arkansas.gov/NPILookup?Npi=1467984799","1467984799")</f>
        <v>1467984799</v>
      </c>
      <c r="E31077" s="1" t="s">
        <v>29703</v>
      </c>
      <c r="F31077" s="2"/>
      <c r="G31077" s="2"/>
      <c r="H31077" s="2"/>
    </row>
    <row r="31078" spans="1:8" x14ac:dyDescent="0.25">
      <c r="A31078" s="1"/>
      <c r="B31078" s="1" t="s">
        <v>8275</v>
      </c>
      <c r="C31078" s="1" t="s">
        <v>8276</v>
      </c>
      <c r="D31078" s="1" t="str">
        <f>HYPERLINK("https://rhld.insurance.arkansas.gov/NPILookup?Npi=1477065803","1477065803")</f>
        <v>1477065803</v>
      </c>
      <c r="E31078" s="1" t="s">
        <v>32245</v>
      </c>
      <c r="F31078" s="2"/>
      <c r="G31078" s="2"/>
      <c r="H31078" s="2"/>
    </row>
    <row r="31079" spans="1:8" x14ac:dyDescent="0.25">
      <c r="A31079" s="1"/>
      <c r="B31079" s="1" t="s">
        <v>8275</v>
      </c>
      <c r="C31079" s="1" t="s">
        <v>8276</v>
      </c>
      <c r="D31079" s="1" t="str">
        <f>HYPERLINK("https://rhld.insurance.arkansas.gov/NPILookup?Npi=1477085728","1477085728")</f>
        <v>1477085728</v>
      </c>
      <c r="E31079" s="1" t="s">
        <v>17561</v>
      </c>
      <c r="F31079" s="2"/>
      <c r="G31079" s="2"/>
      <c r="H31079" s="2"/>
    </row>
    <row r="31080" spans="1:8" x14ac:dyDescent="0.25">
      <c r="A31080" s="1"/>
      <c r="B31080" s="1" t="s">
        <v>8275</v>
      </c>
      <c r="C31080" s="1" t="s">
        <v>8276</v>
      </c>
      <c r="D31080" s="1" t="str">
        <f>HYPERLINK("https://rhld.insurance.arkansas.gov/NPILookup?Npi=1477127330","1477127330")</f>
        <v>1477127330</v>
      </c>
      <c r="E31080" s="1" t="s">
        <v>7787</v>
      </c>
      <c r="F31080" s="2"/>
      <c r="G31080" s="2"/>
      <c r="H31080" s="2"/>
    </row>
    <row r="31081" spans="1:8" x14ac:dyDescent="0.25">
      <c r="A31081" s="1"/>
      <c r="B31081" s="1" t="s">
        <v>8275</v>
      </c>
      <c r="C31081" s="1" t="s">
        <v>8276</v>
      </c>
      <c r="D31081" s="1" t="str">
        <f>HYPERLINK("https://rhld.insurance.arkansas.gov/NPILookup?Npi=1477172047","1477172047")</f>
        <v>1477172047</v>
      </c>
      <c r="E31081" s="1" t="s">
        <v>8307</v>
      </c>
      <c r="F31081" s="2"/>
      <c r="G31081" s="2"/>
      <c r="H31081" s="2"/>
    </row>
    <row r="31082" spans="1:8" x14ac:dyDescent="0.25">
      <c r="A31082" s="1"/>
      <c r="B31082" s="1" t="s">
        <v>8275</v>
      </c>
      <c r="C31082" s="1" t="s">
        <v>8276</v>
      </c>
      <c r="D31082" s="1" t="str">
        <f>HYPERLINK("https://rhld.insurance.arkansas.gov/NPILookup?Npi=1477234490","1477234490")</f>
        <v>1477234490</v>
      </c>
      <c r="E31082" s="1" t="s">
        <v>32246</v>
      </c>
      <c r="F31082" s="2"/>
      <c r="G31082" s="2"/>
      <c r="H31082" s="2"/>
    </row>
    <row r="31083" spans="1:8" x14ac:dyDescent="0.25">
      <c r="A31083" s="1"/>
      <c r="B31083" s="1" t="s">
        <v>8275</v>
      </c>
      <c r="C31083" s="1" t="s">
        <v>8276</v>
      </c>
      <c r="D31083" s="1" t="str">
        <f>HYPERLINK("https://rhld.insurance.arkansas.gov/NPILookup?Npi=1477374973","1477374973")</f>
        <v>1477374973</v>
      </c>
      <c r="E31083" s="1" t="s">
        <v>32247</v>
      </c>
      <c r="F31083" s="2"/>
      <c r="G31083" s="2"/>
      <c r="H31083" s="2"/>
    </row>
    <row r="31084" spans="1:8" x14ac:dyDescent="0.25">
      <c r="A31084" s="1"/>
      <c r="B31084" s="1" t="s">
        <v>8275</v>
      </c>
      <c r="C31084" s="1" t="s">
        <v>8276</v>
      </c>
      <c r="D31084" s="1" t="str">
        <f>HYPERLINK("https://rhld.insurance.arkansas.gov/NPILookup?Npi=1477522431","1477522431")</f>
        <v>1477522431</v>
      </c>
      <c r="E31084" s="1" t="s">
        <v>29704</v>
      </c>
      <c r="F31084" s="2"/>
      <c r="G31084" s="2"/>
      <c r="H31084" s="2"/>
    </row>
    <row r="31085" spans="1:8" x14ac:dyDescent="0.25">
      <c r="A31085" s="1"/>
      <c r="B31085" s="1" t="s">
        <v>8275</v>
      </c>
      <c r="C31085" s="1" t="s">
        <v>8276</v>
      </c>
      <c r="D31085" s="1" t="str">
        <f>HYPERLINK("https://rhld.insurance.arkansas.gov/NPILookup?Npi=1477540532","1477540532")</f>
        <v>1477540532</v>
      </c>
      <c r="E31085" s="1" t="s">
        <v>27274</v>
      </c>
      <c r="F31085" s="2"/>
      <c r="G31085" s="2"/>
      <c r="H31085" s="2"/>
    </row>
    <row r="31086" spans="1:8" x14ac:dyDescent="0.25">
      <c r="A31086" s="1"/>
      <c r="B31086" s="1" t="s">
        <v>8275</v>
      </c>
      <c r="C31086" s="1" t="s">
        <v>8276</v>
      </c>
      <c r="D31086" s="1" t="str">
        <f>HYPERLINK("https://rhld.insurance.arkansas.gov/NPILookup?Npi=1477632099","1477632099")</f>
        <v>1477632099</v>
      </c>
      <c r="E31086" s="1" t="s">
        <v>27275</v>
      </c>
      <c r="F31086" s="2"/>
      <c r="G31086" s="2"/>
      <c r="H31086" s="2"/>
    </row>
    <row r="31087" spans="1:8" x14ac:dyDescent="0.25">
      <c r="A31087" s="1"/>
      <c r="B31087" s="1" t="s">
        <v>8275</v>
      </c>
      <c r="C31087" s="1" t="s">
        <v>8276</v>
      </c>
      <c r="D31087" s="1" t="str">
        <f>HYPERLINK("https://rhld.insurance.arkansas.gov/NPILookup?Npi=1477675932","1477675932")</f>
        <v>1477675932</v>
      </c>
      <c r="E31087" s="1" t="s">
        <v>8308</v>
      </c>
      <c r="F31087" s="2"/>
      <c r="G31087" s="2"/>
      <c r="H31087" s="2"/>
    </row>
    <row r="31088" spans="1:8" x14ac:dyDescent="0.25">
      <c r="A31088" s="1"/>
      <c r="B31088" s="1" t="s">
        <v>8275</v>
      </c>
      <c r="C31088" s="1" t="s">
        <v>8276</v>
      </c>
      <c r="D31088" s="1" t="str">
        <f>HYPERLINK("https://rhld.insurance.arkansas.gov/NPILookup?Npi=1477706836","1477706836")</f>
        <v>1477706836</v>
      </c>
      <c r="E31088" s="1" t="s">
        <v>27280</v>
      </c>
      <c r="F31088" s="2"/>
      <c r="G31088" s="2"/>
      <c r="H31088" s="2"/>
    </row>
    <row r="31089" spans="1:8" x14ac:dyDescent="0.25">
      <c r="A31089" s="1"/>
      <c r="B31089" s="1" t="s">
        <v>8275</v>
      </c>
      <c r="C31089" s="1" t="s">
        <v>8276</v>
      </c>
      <c r="D31089" s="1" t="str">
        <f>HYPERLINK("https://rhld.insurance.arkansas.gov/NPILookup?Npi=1477742633","1477742633")</f>
        <v>1477742633</v>
      </c>
      <c r="E31089" s="1" t="s">
        <v>8309</v>
      </c>
      <c r="F31089" s="2"/>
      <c r="G31089" s="2"/>
      <c r="H31089" s="2"/>
    </row>
    <row r="31090" spans="1:8" x14ac:dyDescent="0.25">
      <c r="A31090" s="1"/>
      <c r="B31090" s="1" t="s">
        <v>8275</v>
      </c>
      <c r="C31090" s="1" t="s">
        <v>8276</v>
      </c>
      <c r="D31090" s="1" t="str">
        <f>HYPERLINK("https://rhld.insurance.arkansas.gov/NPILookup?Npi=1477782621","1477782621")</f>
        <v>1477782621</v>
      </c>
      <c r="E31090" s="1" t="s">
        <v>27282</v>
      </c>
      <c r="F31090" s="2"/>
      <c r="G31090" s="2"/>
      <c r="H31090" s="2"/>
    </row>
    <row r="31091" spans="1:8" x14ac:dyDescent="0.25">
      <c r="A31091" s="1"/>
      <c r="B31091" s="1" t="s">
        <v>8275</v>
      </c>
      <c r="C31091" s="1" t="s">
        <v>8276</v>
      </c>
      <c r="D31091" s="1" t="str">
        <f>HYPERLINK("https://rhld.insurance.arkansas.gov/NPILookup?Npi=1477903680","1477903680")</f>
        <v>1477903680</v>
      </c>
      <c r="E31091" s="1" t="s">
        <v>27287</v>
      </c>
      <c r="F31091" s="2"/>
      <c r="G31091" s="2"/>
      <c r="H31091" s="2"/>
    </row>
    <row r="31092" spans="1:8" x14ac:dyDescent="0.25">
      <c r="A31092" s="1"/>
      <c r="B31092" s="1" t="s">
        <v>8275</v>
      </c>
      <c r="C31092" s="1" t="s">
        <v>8276</v>
      </c>
      <c r="D31092" s="1" t="str">
        <f>HYPERLINK("https://rhld.insurance.arkansas.gov/NPILookup?Npi=1477932242","1477932242")</f>
        <v>1477932242</v>
      </c>
      <c r="E31092" s="1" t="s">
        <v>26094</v>
      </c>
      <c r="F31092" s="2"/>
      <c r="G31092" s="2"/>
      <c r="H31092" s="2"/>
    </row>
    <row r="31093" spans="1:8" x14ac:dyDescent="0.25">
      <c r="A31093" s="1"/>
      <c r="B31093" s="1" t="s">
        <v>8275</v>
      </c>
      <c r="C31093" s="1" t="s">
        <v>8276</v>
      </c>
      <c r="D31093" s="1" t="str">
        <f>HYPERLINK("https://rhld.insurance.arkansas.gov/NPILookup?Npi=1477933893","1477933893")</f>
        <v>1477933893</v>
      </c>
      <c r="E31093" s="1" t="s">
        <v>32249</v>
      </c>
      <c r="F31093" s="2"/>
      <c r="G31093" s="2"/>
      <c r="H31093" s="2"/>
    </row>
    <row r="31094" spans="1:8" x14ac:dyDescent="0.25">
      <c r="A31094" s="1"/>
      <c r="B31094" s="1" t="s">
        <v>8275</v>
      </c>
      <c r="C31094" s="1" t="s">
        <v>8276</v>
      </c>
      <c r="D31094" s="1" t="str">
        <f>HYPERLINK("https://rhld.insurance.arkansas.gov/NPILookup?Npi=1477996619","1477996619")</f>
        <v>1477996619</v>
      </c>
      <c r="E31094" s="1" t="s">
        <v>10324</v>
      </c>
      <c r="F31094" s="2"/>
      <c r="G31094" s="2"/>
      <c r="H31094" s="2"/>
    </row>
    <row r="31095" spans="1:8" x14ac:dyDescent="0.25">
      <c r="A31095" s="1"/>
      <c r="B31095" s="1" t="s">
        <v>8275</v>
      </c>
      <c r="C31095" s="1" t="s">
        <v>8276</v>
      </c>
      <c r="D31095" s="1" t="str">
        <f>HYPERLINK("https://rhld.insurance.arkansas.gov/NPILookup?Npi=1487020855","1487020855")</f>
        <v>1487020855</v>
      </c>
      <c r="E31095" s="1" t="s">
        <v>13175</v>
      </c>
      <c r="F31095" s="2"/>
      <c r="G31095" s="2"/>
      <c r="H31095" s="2"/>
    </row>
    <row r="31096" spans="1:8" x14ac:dyDescent="0.25">
      <c r="A31096" s="1"/>
      <c r="B31096" s="1" t="s">
        <v>8275</v>
      </c>
      <c r="C31096" s="1" t="s">
        <v>8276</v>
      </c>
      <c r="D31096" s="1" t="str">
        <f>HYPERLINK("https://rhld.insurance.arkansas.gov/NPILookup?Npi=1487049953","1487049953")</f>
        <v>1487049953</v>
      </c>
      <c r="E31096" s="1" t="s">
        <v>27298</v>
      </c>
      <c r="F31096" s="2"/>
      <c r="G31096" s="2"/>
      <c r="H31096" s="2"/>
    </row>
    <row r="31097" spans="1:8" x14ac:dyDescent="0.25">
      <c r="A31097" s="1"/>
      <c r="B31097" s="1" t="s">
        <v>8275</v>
      </c>
      <c r="C31097" s="1" t="s">
        <v>8276</v>
      </c>
      <c r="D31097" s="1" t="str">
        <f>HYPERLINK("https://rhld.insurance.arkansas.gov/NPILookup?Npi=1487074712","1487074712")</f>
        <v>1487074712</v>
      </c>
      <c r="E31097" s="1" t="s">
        <v>3146</v>
      </c>
      <c r="F31097" s="2"/>
      <c r="G31097" s="2"/>
      <c r="H31097" s="2"/>
    </row>
    <row r="31098" spans="1:8" x14ac:dyDescent="0.25">
      <c r="A31098" s="1"/>
      <c r="B31098" s="1" t="s">
        <v>8275</v>
      </c>
      <c r="C31098" s="1" t="s">
        <v>8276</v>
      </c>
      <c r="D31098" s="1" t="str">
        <f>HYPERLINK("https://rhld.insurance.arkansas.gov/NPILookup?Npi=1487130696","1487130696")</f>
        <v>1487130696</v>
      </c>
      <c r="E31098" s="1" t="s">
        <v>13916</v>
      </c>
      <c r="F31098" s="2"/>
      <c r="G31098" s="2"/>
      <c r="H31098" s="2"/>
    </row>
    <row r="31099" spans="1:8" x14ac:dyDescent="0.25">
      <c r="A31099" s="1"/>
      <c r="B31099" s="1" t="s">
        <v>8275</v>
      </c>
      <c r="C31099" s="1" t="s">
        <v>8276</v>
      </c>
      <c r="D31099" s="1" t="str">
        <f>HYPERLINK("https://rhld.insurance.arkansas.gov/NPILookup?Npi=1487223699","1487223699")</f>
        <v>1487223699</v>
      </c>
      <c r="E31099" s="1" t="s">
        <v>32250</v>
      </c>
      <c r="F31099" s="2"/>
      <c r="G31099" s="2"/>
      <c r="H31099" s="2"/>
    </row>
    <row r="31100" spans="1:8" x14ac:dyDescent="0.25">
      <c r="A31100" s="1"/>
      <c r="B31100" s="1" t="s">
        <v>8275</v>
      </c>
      <c r="C31100" s="1" t="s">
        <v>8276</v>
      </c>
      <c r="D31100" s="1" t="str">
        <f>HYPERLINK("https://rhld.insurance.arkansas.gov/NPILookup?Npi=1487269080","1487269080")</f>
        <v>1487269080</v>
      </c>
      <c r="E31100" s="1" t="s">
        <v>31772</v>
      </c>
      <c r="F31100" s="2"/>
      <c r="G31100" s="2"/>
      <c r="H31100" s="2"/>
    </row>
    <row r="31101" spans="1:8" x14ac:dyDescent="0.25">
      <c r="A31101" s="1"/>
      <c r="B31101" s="1" t="s">
        <v>8275</v>
      </c>
      <c r="C31101" s="1" t="s">
        <v>8276</v>
      </c>
      <c r="D31101" s="1" t="str">
        <f>HYPERLINK("https://rhld.insurance.arkansas.gov/NPILookup?Npi=1487271201","1487271201")</f>
        <v>1487271201</v>
      </c>
      <c r="E31101" s="1" t="s">
        <v>7803</v>
      </c>
      <c r="F31101" s="2"/>
      <c r="G31101" s="2"/>
      <c r="H31101" s="2"/>
    </row>
    <row r="31102" spans="1:8" x14ac:dyDescent="0.25">
      <c r="A31102" s="1"/>
      <c r="B31102" s="1" t="s">
        <v>8275</v>
      </c>
      <c r="C31102" s="1" t="s">
        <v>8276</v>
      </c>
      <c r="D31102" s="1" t="str">
        <f>HYPERLINK("https://rhld.insurance.arkansas.gov/NPILookup?Npi=1487282125","1487282125")</f>
        <v>1487282125</v>
      </c>
      <c r="E31102" s="1" t="s">
        <v>13177</v>
      </c>
      <c r="F31102" s="2"/>
      <c r="G31102" s="2"/>
      <c r="H31102" s="2"/>
    </row>
    <row r="31103" spans="1:8" x14ac:dyDescent="0.25">
      <c r="A31103" s="1"/>
      <c r="B31103" s="1" t="s">
        <v>8275</v>
      </c>
      <c r="C31103" s="1" t="s">
        <v>8276</v>
      </c>
      <c r="D31103" s="1" t="str">
        <f>HYPERLINK("https://rhld.insurance.arkansas.gov/NPILookup?Npi=1487367694","1487367694")</f>
        <v>1487367694</v>
      </c>
      <c r="E31103" s="1" t="s">
        <v>7806</v>
      </c>
      <c r="F31103" s="2"/>
      <c r="G31103" s="2"/>
      <c r="H31103" s="2"/>
    </row>
    <row r="31104" spans="1:8" x14ac:dyDescent="0.25">
      <c r="A31104" s="1"/>
      <c r="B31104" s="1" t="s">
        <v>8275</v>
      </c>
      <c r="C31104" s="1" t="s">
        <v>8276</v>
      </c>
      <c r="D31104" s="1" t="str">
        <f>HYPERLINK("https://rhld.insurance.arkansas.gov/NPILookup?Npi=1487391306","1487391306")</f>
        <v>1487391306</v>
      </c>
      <c r="E31104" s="1" t="s">
        <v>32251</v>
      </c>
      <c r="F31104" s="2"/>
      <c r="G31104" s="2"/>
      <c r="H31104" s="2"/>
    </row>
    <row r="31105" spans="1:8" x14ac:dyDescent="0.25">
      <c r="A31105" s="1"/>
      <c r="B31105" s="1" t="s">
        <v>8275</v>
      </c>
      <c r="C31105" s="1" t="s">
        <v>8276</v>
      </c>
      <c r="D31105" s="1" t="str">
        <f>HYPERLINK("https://rhld.insurance.arkansas.gov/NPILookup?Npi=1487602470","1487602470")</f>
        <v>1487602470</v>
      </c>
      <c r="E31105" s="1" t="s">
        <v>13179</v>
      </c>
      <c r="F31105" s="2"/>
      <c r="G31105" s="2"/>
      <c r="H31105" s="2"/>
    </row>
    <row r="31106" spans="1:8" x14ac:dyDescent="0.25">
      <c r="A31106" s="1"/>
      <c r="B31106" s="1" t="s">
        <v>8275</v>
      </c>
      <c r="C31106" s="1" t="s">
        <v>8276</v>
      </c>
      <c r="D31106" s="1" t="str">
        <f>HYPERLINK("https://rhld.insurance.arkansas.gov/NPILookup?Npi=1487617031","1487617031")</f>
        <v>1487617031</v>
      </c>
      <c r="E31106" s="1" t="s">
        <v>29706</v>
      </c>
      <c r="F31106" s="2"/>
      <c r="G31106" s="2"/>
      <c r="H31106" s="2"/>
    </row>
    <row r="31107" spans="1:8" x14ac:dyDescent="0.25">
      <c r="A31107" s="1"/>
      <c r="B31107" s="1" t="s">
        <v>8275</v>
      </c>
      <c r="C31107" s="1" t="s">
        <v>8276</v>
      </c>
      <c r="D31107" s="1" t="str">
        <f>HYPERLINK("https://rhld.insurance.arkansas.gov/NPILookup?Npi=1487622387","1487622387")</f>
        <v>1487622387</v>
      </c>
      <c r="E31107" s="1" t="s">
        <v>29707</v>
      </c>
      <c r="F31107" s="2"/>
      <c r="G31107" s="2"/>
      <c r="H31107" s="2"/>
    </row>
    <row r="31108" spans="1:8" x14ac:dyDescent="0.25">
      <c r="A31108" s="1"/>
      <c r="B31108" s="1" t="s">
        <v>8275</v>
      </c>
      <c r="C31108" s="1" t="s">
        <v>8276</v>
      </c>
      <c r="D31108" s="1" t="str">
        <f>HYPERLINK("https://rhld.insurance.arkansas.gov/NPILookup?Npi=1487624896","1487624896")</f>
        <v>1487624896</v>
      </c>
      <c r="E31108" s="1" t="s">
        <v>13180</v>
      </c>
      <c r="F31108" s="2"/>
      <c r="G31108" s="2"/>
      <c r="H31108" s="2"/>
    </row>
    <row r="31109" spans="1:8" x14ac:dyDescent="0.25">
      <c r="A31109" s="1"/>
      <c r="B31109" s="1" t="s">
        <v>8275</v>
      </c>
      <c r="C31109" s="1" t="s">
        <v>8276</v>
      </c>
      <c r="D31109" s="1" t="str">
        <f>HYPERLINK("https://rhld.insurance.arkansas.gov/NPILookup?Npi=1487629317","1487629317")</f>
        <v>1487629317</v>
      </c>
      <c r="E31109" s="1" t="s">
        <v>8310</v>
      </c>
      <c r="F31109" s="2"/>
      <c r="G31109" s="2"/>
      <c r="H31109" s="2"/>
    </row>
    <row r="31110" spans="1:8" x14ac:dyDescent="0.25">
      <c r="A31110" s="1"/>
      <c r="B31110" s="1" t="s">
        <v>8275</v>
      </c>
      <c r="C31110" s="1" t="s">
        <v>8276</v>
      </c>
      <c r="D31110" s="1" t="str">
        <f>HYPERLINK("https://rhld.insurance.arkansas.gov/NPILookup?Npi=1487635421","1487635421")</f>
        <v>1487635421</v>
      </c>
      <c r="E31110" s="1" t="s">
        <v>29708</v>
      </c>
      <c r="F31110" s="2"/>
      <c r="G31110" s="2"/>
      <c r="H31110" s="2"/>
    </row>
    <row r="31111" spans="1:8" x14ac:dyDescent="0.25">
      <c r="A31111" s="1"/>
      <c r="B31111" s="1" t="s">
        <v>8275</v>
      </c>
      <c r="C31111" s="1" t="s">
        <v>8276</v>
      </c>
      <c r="D31111" s="1" t="str">
        <f>HYPERLINK("https://rhld.insurance.arkansas.gov/NPILookup?Npi=1487651931","1487651931")</f>
        <v>1487651931</v>
      </c>
      <c r="E31111" s="1" t="s">
        <v>27324</v>
      </c>
      <c r="F31111" s="2"/>
      <c r="G31111" s="2"/>
      <c r="H31111" s="2"/>
    </row>
    <row r="31112" spans="1:8" x14ac:dyDescent="0.25">
      <c r="A31112" s="1"/>
      <c r="B31112" s="1" t="s">
        <v>8275</v>
      </c>
      <c r="C31112" s="1" t="s">
        <v>8276</v>
      </c>
      <c r="D31112" s="1" t="str">
        <f>HYPERLINK("https://rhld.insurance.arkansas.gov/NPILookup?Npi=1487744041","1487744041")</f>
        <v>1487744041</v>
      </c>
      <c r="E31112" s="1" t="s">
        <v>4387</v>
      </c>
      <c r="F31112" s="2"/>
      <c r="G31112" s="2"/>
      <c r="H31112" s="2"/>
    </row>
    <row r="31113" spans="1:8" x14ac:dyDescent="0.25">
      <c r="A31113" s="1"/>
      <c r="B31113" s="1" t="s">
        <v>8275</v>
      </c>
      <c r="C31113" s="1" t="s">
        <v>8276</v>
      </c>
      <c r="D31113" s="1" t="str">
        <f>HYPERLINK("https://rhld.insurance.arkansas.gov/NPILookup?Npi=1487865978","1487865978")</f>
        <v>1487865978</v>
      </c>
      <c r="E31113" s="1" t="s">
        <v>29709</v>
      </c>
      <c r="F31113" s="2"/>
      <c r="G31113" s="2"/>
      <c r="H31113" s="2"/>
    </row>
    <row r="31114" spans="1:8" x14ac:dyDescent="0.25">
      <c r="A31114" s="1"/>
      <c r="B31114" s="1" t="s">
        <v>8275</v>
      </c>
      <c r="C31114" s="1" t="s">
        <v>8276</v>
      </c>
      <c r="D31114" s="1" t="str">
        <f>HYPERLINK("https://rhld.insurance.arkansas.gov/NPILookup?Npi=1487867487","1487867487")</f>
        <v>1487867487</v>
      </c>
      <c r="E31114" s="1" t="s">
        <v>13918</v>
      </c>
      <c r="F31114" s="2"/>
      <c r="G31114" s="2"/>
      <c r="H31114" s="2"/>
    </row>
    <row r="31115" spans="1:8" x14ac:dyDescent="0.25">
      <c r="A31115" s="1"/>
      <c r="B31115" s="1" t="s">
        <v>8275</v>
      </c>
      <c r="C31115" s="1" t="s">
        <v>8276</v>
      </c>
      <c r="D31115" s="1" t="str">
        <f>HYPERLINK("https://rhld.insurance.arkansas.gov/NPILookup?Npi=1487869327","1487869327")</f>
        <v>1487869327</v>
      </c>
      <c r="E31115" s="1" t="s">
        <v>29710</v>
      </c>
      <c r="F31115" s="2"/>
      <c r="G31115" s="2"/>
      <c r="H31115" s="2"/>
    </row>
    <row r="31116" spans="1:8" x14ac:dyDescent="0.25">
      <c r="A31116" s="1"/>
      <c r="B31116" s="1" t="s">
        <v>8275</v>
      </c>
      <c r="C31116" s="1" t="s">
        <v>8276</v>
      </c>
      <c r="D31116" s="1" t="str">
        <f>HYPERLINK("https://rhld.insurance.arkansas.gov/NPILookup?Npi=1487903936","1487903936")</f>
        <v>1487903936</v>
      </c>
      <c r="E31116" s="1" t="s">
        <v>27333</v>
      </c>
      <c r="F31116" s="2"/>
      <c r="G31116" s="2"/>
      <c r="H31116" s="2"/>
    </row>
    <row r="31117" spans="1:8" x14ac:dyDescent="0.25">
      <c r="A31117" s="1"/>
      <c r="B31117" s="1" t="s">
        <v>8275</v>
      </c>
      <c r="C31117" s="1" t="s">
        <v>8276</v>
      </c>
      <c r="D31117" s="1" t="str">
        <f>HYPERLINK("https://rhld.insurance.arkansas.gov/NPILookup?Npi=1487920229","1487920229")</f>
        <v>1487920229</v>
      </c>
      <c r="E31117" s="1" t="s">
        <v>29711</v>
      </c>
      <c r="F31117" s="2"/>
      <c r="G31117" s="2"/>
      <c r="H31117" s="2"/>
    </row>
    <row r="31118" spans="1:8" x14ac:dyDescent="0.25">
      <c r="A31118" s="1"/>
      <c r="B31118" s="1" t="s">
        <v>8275</v>
      </c>
      <c r="C31118" s="1" t="s">
        <v>8276</v>
      </c>
      <c r="D31118" s="1" t="str">
        <f>HYPERLINK("https://rhld.insurance.arkansas.gov/NPILookup?Npi=1497011415","1497011415")</f>
        <v>1497011415</v>
      </c>
      <c r="E31118" s="1" t="s">
        <v>20134</v>
      </c>
      <c r="F31118" s="2"/>
      <c r="G31118" s="2"/>
      <c r="H31118" s="2"/>
    </row>
    <row r="31119" spans="1:8" x14ac:dyDescent="0.25">
      <c r="A31119" s="1"/>
      <c r="B31119" s="1" t="s">
        <v>8275</v>
      </c>
      <c r="C31119" s="1" t="s">
        <v>8276</v>
      </c>
      <c r="D31119" s="1" t="str">
        <f>HYPERLINK("https://rhld.insurance.arkansas.gov/NPILookup?Npi=1497144901","1497144901")</f>
        <v>1497144901</v>
      </c>
      <c r="E31119" s="1" t="s">
        <v>32254</v>
      </c>
      <c r="F31119" s="2"/>
      <c r="G31119" s="2"/>
      <c r="H31119" s="2"/>
    </row>
    <row r="31120" spans="1:8" x14ac:dyDescent="0.25">
      <c r="A31120" s="1"/>
      <c r="B31120" s="1" t="s">
        <v>8275</v>
      </c>
      <c r="C31120" s="1" t="s">
        <v>8276</v>
      </c>
      <c r="D31120" s="1" t="str">
        <f>HYPERLINK("https://rhld.insurance.arkansas.gov/NPILookup?Npi=1497190854","1497190854")</f>
        <v>1497190854</v>
      </c>
      <c r="E31120" s="1" t="s">
        <v>29712</v>
      </c>
      <c r="F31120" s="2"/>
      <c r="G31120" s="2"/>
      <c r="H31120" s="2"/>
    </row>
    <row r="31121" spans="1:8" x14ac:dyDescent="0.25">
      <c r="A31121" s="1"/>
      <c r="B31121" s="1" t="s">
        <v>8275</v>
      </c>
      <c r="C31121" s="1" t="s">
        <v>8276</v>
      </c>
      <c r="D31121" s="1" t="str">
        <f>HYPERLINK("https://rhld.insurance.arkansas.gov/NPILookup?Npi=1497218721","1497218721")</f>
        <v>1497218721</v>
      </c>
      <c r="E31121" s="1" t="s">
        <v>7813</v>
      </c>
      <c r="F31121" s="2"/>
      <c r="G31121" s="2"/>
      <c r="H31121" s="2"/>
    </row>
    <row r="31122" spans="1:8" x14ac:dyDescent="0.25">
      <c r="A31122" s="1"/>
      <c r="B31122" s="1" t="s">
        <v>8275</v>
      </c>
      <c r="C31122" s="1" t="s">
        <v>8276</v>
      </c>
      <c r="D31122" s="1" t="str">
        <f>HYPERLINK("https://rhld.insurance.arkansas.gov/NPILookup?Npi=1497252886","1497252886")</f>
        <v>1497252886</v>
      </c>
      <c r="E31122" s="1" t="s">
        <v>29713</v>
      </c>
      <c r="F31122" s="2"/>
      <c r="G31122" s="2"/>
      <c r="H31122" s="2"/>
    </row>
    <row r="31123" spans="1:8" x14ac:dyDescent="0.25">
      <c r="A31123" s="1"/>
      <c r="B31123" s="1" t="s">
        <v>8275</v>
      </c>
      <c r="C31123" s="1" t="s">
        <v>8276</v>
      </c>
      <c r="D31123" s="1" t="str">
        <f>HYPERLINK("https://rhld.insurance.arkansas.gov/NPILookup?Npi=1497284475","1497284475")</f>
        <v>1497284475</v>
      </c>
      <c r="E31123" s="1" t="s">
        <v>2026</v>
      </c>
      <c r="F31123" s="2"/>
      <c r="G31123" s="2"/>
      <c r="H31123" s="2"/>
    </row>
    <row r="31124" spans="1:8" x14ac:dyDescent="0.25">
      <c r="A31124" s="1"/>
      <c r="B31124" s="1" t="s">
        <v>8275</v>
      </c>
      <c r="C31124" s="1" t="s">
        <v>8276</v>
      </c>
      <c r="D31124" s="1" t="str">
        <f>HYPERLINK("https://rhld.insurance.arkansas.gov/NPILookup?Npi=1497288138","1497288138")</f>
        <v>1497288138</v>
      </c>
      <c r="E31124" s="1" t="s">
        <v>17587</v>
      </c>
      <c r="F31124" s="2"/>
      <c r="G31124" s="2"/>
      <c r="H31124" s="2"/>
    </row>
    <row r="31125" spans="1:8" x14ac:dyDescent="0.25">
      <c r="A31125" s="1"/>
      <c r="B31125" s="1" t="s">
        <v>8275</v>
      </c>
      <c r="C31125" s="1" t="s">
        <v>8276</v>
      </c>
      <c r="D31125" s="1" t="str">
        <f>HYPERLINK("https://rhld.insurance.arkansas.gov/NPILookup?Npi=1497315527","1497315527")</f>
        <v>1497315527</v>
      </c>
      <c r="E31125" s="1" t="s">
        <v>7815</v>
      </c>
      <c r="F31125" s="2"/>
      <c r="G31125" s="2"/>
      <c r="H31125" s="2"/>
    </row>
    <row r="31126" spans="1:8" x14ac:dyDescent="0.25">
      <c r="A31126" s="1"/>
      <c r="B31126" s="1" t="s">
        <v>8275</v>
      </c>
      <c r="C31126" s="1" t="s">
        <v>8276</v>
      </c>
      <c r="D31126" s="1" t="str">
        <f>HYPERLINK("https://rhld.insurance.arkansas.gov/NPILookup?Npi=1497325997","1497325997")</f>
        <v>1497325997</v>
      </c>
      <c r="E31126" s="1" t="s">
        <v>13195</v>
      </c>
      <c r="F31126" s="2"/>
      <c r="G31126" s="2"/>
      <c r="H31126" s="2"/>
    </row>
    <row r="31127" spans="1:8" x14ac:dyDescent="0.25">
      <c r="A31127" s="1"/>
      <c r="B31127" s="1" t="s">
        <v>8275</v>
      </c>
      <c r="C31127" s="1" t="s">
        <v>8276</v>
      </c>
      <c r="D31127" s="1" t="str">
        <f>HYPERLINK("https://rhld.insurance.arkansas.gov/NPILookup?Npi=1497332696","1497332696")</f>
        <v>1497332696</v>
      </c>
      <c r="E31127" s="1" t="s">
        <v>13196</v>
      </c>
      <c r="F31127" s="2"/>
      <c r="G31127" s="2"/>
      <c r="H31127" s="2"/>
    </row>
    <row r="31128" spans="1:8" x14ac:dyDescent="0.25">
      <c r="A31128" s="1"/>
      <c r="B31128" s="1" t="s">
        <v>8275</v>
      </c>
      <c r="C31128" s="1" t="s">
        <v>8276</v>
      </c>
      <c r="D31128" s="1" t="str">
        <f>HYPERLINK("https://rhld.insurance.arkansas.gov/NPILookup?Npi=1497337919","1497337919")</f>
        <v>1497337919</v>
      </c>
      <c r="E31128" s="1" t="s">
        <v>32463</v>
      </c>
      <c r="F31128" s="2"/>
      <c r="G31128" s="2"/>
      <c r="H31128" s="2"/>
    </row>
    <row r="31129" spans="1:8" x14ac:dyDescent="0.25">
      <c r="A31129" s="1"/>
      <c r="B31129" s="1" t="s">
        <v>8275</v>
      </c>
      <c r="C31129" s="1" t="s">
        <v>8276</v>
      </c>
      <c r="D31129" s="1" t="str">
        <f>HYPERLINK("https://rhld.insurance.arkansas.gov/NPILookup?Npi=1497378681","1497378681")</f>
        <v>1497378681</v>
      </c>
      <c r="E31129" s="1" t="s">
        <v>13919</v>
      </c>
      <c r="F31129" s="2"/>
      <c r="G31129" s="2"/>
      <c r="H31129" s="2"/>
    </row>
    <row r="31130" spans="1:8" x14ac:dyDescent="0.25">
      <c r="A31130" s="1"/>
      <c r="B31130" s="1" t="s">
        <v>8275</v>
      </c>
      <c r="C31130" s="1" t="s">
        <v>8276</v>
      </c>
      <c r="D31130" s="1" t="str">
        <f>HYPERLINK("https://rhld.insurance.arkansas.gov/NPILookup?Npi=1497493290","1497493290")</f>
        <v>1497493290</v>
      </c>
      <c r="E31130" s="1" t="s">
        <v>32255</v>
      </c>
      <c r="F31130" s="2"/>
      <c r="G31130" s="2"/>
      <c r="H31130" s="2"/>
    </row>
    <row r="31131" spans="1:8" x14ac:dyDescent="0.25">
      <c r="A31131" s="1"/>
      <c r="B31131" s="1" t="s">
        <v>8275</v>
      </c>
      <c r="C31131" s="1" t="s">
        <v>8276</v>
      </c>
      <c r="D31131" s="1" t="str">
        <f>HYPERLINK("https://rhld.insurance.arkansas.gov/NPILookup?Npi=1497562326","1497562326")</f>
        <v>1497562326</v>
      </c>
      <c r="E31131" s="1" t="s">
        <v>32256</v>
      </c>
      <c r="F31131" s="2"/>
      <c r="G31131" s="2"/>
      <c r="H31131" s="2"/>
    </row>
    <row r="31132" spans="1:8" x14ac:dyDescent="0.25">
      <c r="A31132" s="1"/>
      <c r="B31132" s="1" t="s">
        <v>8275</v>
      </c>
      <c r="C31132" s="1" t="s">
        <v>8276</v>
      </c>
      <c r="D31132" s="1" t="str">
        <f>HYPERLINK("https://rhld.insurance.arkansas.gov/NPILookup?Npi=1497564538","1497564538")</f>
        <v>1497564538</v>
      </c>
      <c r="E31132" s="1" t="s">
        <v>32257</v>
      </c>
      <c r="F31132" s="2"/>
      <c r="G31132" s="2"/>
      <c r="H31132" s="2"/>
    </row>
    <row r="31133" spans="1:8" x14ac:dyDescent="0.25">
      <c r="A31133" s="1"/>
      <c r="B31133" s="1" t="s">
        <v>8275</v>
      </c>
      <c r="C31133" s="1" t="s">
        <v>8276</v>
      </c>
      <c r="D31133" s="1" t="str">
        <f>HYPERLINK("https://rhld.insurance.arkansas.gov/NPILookup?Npi=1497701130","1497701130")</f>
        <v>1497701130</v>
      </c>
      <c r="E31133" s="1" t="s">
        <v>27371</v>
      </c>
      <c r="F31133" s="2"/>
      <c r="G31133" s="2"/>
      <c r="H31133" s="2"/>
    </row>
    <row r="31134" spans="1:8" x14ac:dyDescent="0.25">
      <c r="A31134" s="1"/>
      <c r="B31134" s="1" t="s">
        <v>8275</v>
      </c>
      <c r="C31134" s="1" t="s">
        <v>8276</v>
      </c>
      <c r="D31134" s="1" t="str">
        <f>HYPERLINK("https://rhld.insurance.arkansas.gov/NPILookup?Npi=1497702823","1497702823")</f>
        <v>1497702823</v>
      </c>
      <c r="E31134" s="1" t="s">
        <v>7819</v>
      </c>
      <c r="F31134" s="2"/>
      <c r="G31134" s="2"/>
      <c r="H31134" s="2"/>
    </row>
    <row r="31135" spans="1:8" x14ac:dyDescent="0.25">
      <c r="A31135" s="1"/>
      <c r="B31135" s="1" t="s">
        <v>8275</v>
      </c>
      <c r="C31135" s="1" t="s">
        <v>8276</v>
      </c>
      <c r="D31135" s="1" t="str">
        <f>HYPERLINK("https://rhld.insurance.arkansas.gov/NPILookup?Npi=1497724041","1497724041")</f>
        <v>1497724041</v>
      </c>
      <c r="E31135" s="1" t="s">
        <v>8311</v>
      </c>
      <c r="F31135" s="2"/>
      <c r="G31135" s="2"/>
      <c r="H31135" s="2"/>
    </row>
    <row r="31136" spans="1:8" x14ac:dyDescent="0.25">
      <c r="A31136" s="1"/>
      <c r="B31136" s="1" t="s">
        <v>8275</v>
      </c>
      <c r="C31136" s="1" t="s">
        <v>8276</v>
      </c>
      <c r="D31136" s="1" t="str">
        <f>HYPERLINK("https://rhld.insurance.arkansas.gov/NPILookup?Npi=1497735609","1497735609")</f>
        <v>1497735609</v>
      </c>
      <c r="E31136" s="1" t="s">
        <v>27377</v>
      </c>
      <c r="F31136" s="2"/>
      <c r="G31136" s="2"/>
      <c r="H31136" s="2"/>
    </row>
    <row r="31137" spans="1:8" x14ac:dyDescent="0.25">
      <c r="A31137" s="1"/>
      <c r="B31137" s="1" t="s">
        <v>8275</v>
      </c>
      <c r="C31137" s="1" t="s">
        <v>8276</v>
      </c>
      <c r="D31137" s="1" t="str">
        <f>HYPERLINK("https://rhld.insurance.arkansas.gov/NPILookup?Npi=1497747646","1497747646")</f>
        <v>1497747646</v>
      </c>
      <c r="E31137" s="1" t="s">
        <v>27378</v>
      </c>
      <c r="F31137" s="2"/>
      <c r="G31137" s="2"/>
      <c r="H31137" s="2"/>
    </row>
    <row r="31138" spans="1:8" x14ac:dyDescent="0.25">
      <c r="A31138" s="1"/>
      <c r="B31138" s="1" t="s">
        <v>8275</v>
      </c>
      <c r="C31138" s="1" t="s">
        <v>8276</v>
      </c>
      <c r="D31138" s="1" t="str">
        <f>HYPERLINK("https://rhld.insurance.arkansas.gov/NPILookup?Npi=1497781298","1497781298")</f>
        <v>1497781298</v>
      </c>
      <c r="E31138" s="1" t="s">
        <v>10334</v>
      </c>
      <c r="F31138" s="2"/>
      <c r="G31138" s="2"/>
      <c r="H31138" s="2"/>
    </row>
    <row r="31139" spans="1:8" x14ac:dyDescent="0.25">
      <c r="A31139" s="1"/>
      <c r="B31139" s="1" t="s">
        <v>8275</v>
      </c>
      <c r="C31139" s="1" t="s">
        <v>8276</v>
      </c>
      <c r="D31139" s="1" t="str">
        <f>HYPERLINK("https://rhld.insurance.arkansas.gov/NPILookup?Npi=1497863161","1497863161")</f>
        <v>1497863161</v>
      </c>
      <c r="E31139" s="1" t="s">
        <v>7820</v>
      </c>
      <c r="F31139" s="2"/>
      <c r="G31139" s="2"/>
      <c r="H31139" s="2"/>
    </row>
    <row r="31140" spans="1:8" x14ac:dyDescent="0.25">
      <c r="A31140" s="1"/>
      <c r="B31140" s="1" t="s">
        <v>8275</v>
      </c>
      <c r="C31140" s="1" t="s">
        <v>8276</v>
      </c>
      <c r="D31140" s="1" t="str">
        <f>HYPERLINK("https://rhld.insurance.arkansas.gov/NPILookup?Npi=1497896096","1497896096")</f>
        <v>1497896096</v>
      </c>
      <c r="E31140" s="1" t="s">
        <v>10335</v>
      </c>
      <c r="F31140" s="2"/>
      <c r="G31140" s="2"/>
      <c r="H31140" s="2"/>
    </row>
    <row r="31141" spans="1:8" x14ac:dyDescent="0.25">
      <c r="A31141" s="1"/>
      <c r="B31141" s="1" t="s">
        <v>8275</v>
      </c>
      <c r="C31141" s="1" t="s">
        <v>8276</v>
      </c>
      <c r="D31141" s="1" t="str">
        <f>HYPERLINK("https://rhld.insurance.arkansas.gov/NPILookup?Npi=1497923445","1497923445")</f>
        <v>1497923445</v>
      </c>
      <c r="E31141" s="1" t="s">
        <v>13202</v>
      </c>
      <c r="F31141" s="2"/>
      <c r="G31141" s="2"/>
      <c r="H31141" s="2"/>
    </row>
    <row r="31142" spans="1:8" x14ac:dyDescent="0.25">
      <c r="A31142" s="1"/>
      <c r="B31142" s="1" t="s">
        <v>8275</v>
      </c>
      <c r="C31142" s="1" t="s">
        <v>8276</v>
      </c>
      <c r="D31142" s="1" t="str">
        <f>HYPERLINK("https://rhld.insurance.arkansas.gov/NPILookup?Npi=1497932024","1497932024")</f>
        <v>1497932024</v>
      </c>
      <c r="E31142" s="1" t="s">
        <v>8312</v>
      </c>
      <c r="F31142" s="2"/>
      <c r="G31142" s="2"/>
      <c r="H31142" s="2"/>
    </row>
    <row r="31143" spans="1:8" x14ac:dyDescent="0.25">
      <c r="A31143" s="1"/>
      <c r="B31143" s="1" t="s">
        <v>8275</v>
      </c>
      <c r="C31143" s="1" t="s">
        <v>8276</v>
      </c>
      <c r="D31143" s="1" t="str">
        <f>HYPERLINK("https://rhld.insurance.arkansas.gov/NPILookup?Npi=1497932032","1497932032")</f>
        <v>1497932032</v>
      </c>
      <c r="E31143" s="1" t="s">
        <v>18479</v>
      </c>
      <c r="F31143" s="2"/>
      <c r="G31143" s="2"/>
      <c r="H31143" s="2"/>
    </row>
    <row r="31144" spans="1:8" x14ac:dyDescent="0.25">
      <c r="A31144" s="1"/>
      <c r="B31144" s="1" t="s">
        <v>8275</v>
      </c>
      <c r="C31144" s="1" t="s">
        <v>8276</v>
      </c>
      <c r="D31144" s="1" t="str">
        <f>HYPERLINK("https://rhld.insurance.arkansas.gov/NPILookup?Npi=1508027459","1508027459")</f>
        <v>1508027459</v>
      </c>
      <c r="E31144" s="1" t="s">
        <v>29714</v>
      </c>
      <c r="F31144" s="2"/>
      <c r="G31144" s="2"/>
      <c r="H31144" s="2"/>
    </row>
    <row r="31145" spans="1:8" x14ac:dyDescent="0.25">
      <c r="A31145" s="1"/>
      <c r="B31145" s="1" t="s">
        <v>8275</v>
      </c>
      <c r="C31145" s="1" t="s">
        <v>8276</v>
      </c>
      <c r="D31145" s="1" t="str">
        <f>HYPERLINK("https://rhld.insurance.arkansas.gov/NPILookup?Npi=1508132622","1508132622")</f>
        <v>1508132622</v>
      </c>
      <c r="E31145" s="1" t="s">
        <v>29715</v>
      </c>
      <c r="F31145" s="2"/>
      <c r="G31145" s="2"/>
      <c r="H31145" s="2"/>
    </row>
    <row r="31146" spans="1:8" x14ac:dyDescent="0.25">
      <c r="A31146" s="1"/>
      <c r="B31146" s="1" t="s">
        <v>8275</v>
      </c>
      <c r="C31146" s="1" t="s">
        <v>8276</v>
      </c>
      <c r="D31146" s="1" t="str">
        <f>HYPERLINK("https://rhld.insurance.arkansas.gov/NPILookup?Npi=1508152836","1508152836")</f>
        <v>1508152836</v>
      </c>
      <c r="E31146" s="1" t="s">
        <v>27390</v>
      </c>
      <c r="F31146" s="2"/>
      <c r="G31146" s="2"/>
      <c r="H31146" s="2"/>
    </row>
    <row r="31147" spans="1:8" x14ac:dyDescent="0.25">
      <c r="A31147" s="1"/>
      <c r="B31147" s="1" t="s">
        <v>8275</v>
      </c>
      <c r="C31147" s="1" t="s">
        <v>8276</v>
      </c>
      <c r="D31147" s="1" t="str">
        <f>HYPERLINK("https://rhld.insurance.arkansas.gov/NPILookup?Npi=1508160102","1508160102")</f>
        <v>1508160102</v>
      </c>
      <c r="E31147" s="1" t="s">
        <v>5549</v>
      </c>
      <c r="F31147" s="2"/>
      <c r="G31147" s="2"/>
      <c r="H31147" s="2"/>
    </row>
    <row r="31148" spans="1:8" x14ac:dyDescent="0.25">
      <c r="A31148" s="1"/>
      <c r="B31148" s="1" t="s">
        <v>8275</v>
      </c>
      <c r="C31148" s="1" t="s">
        <v>8276</v>
      </c>
      <c r="D31148" s="1" t="str">
        <f>HYPERLINK("https://rhld.insurance.arkansas.gov/NPILookup?Npi=1508287590","1508287590")</f>
        <v>1508287590</v>
      </c>
      <c r="E31148" s="1" t="s">
        <v>27396</v>
      </c>
      <c r="F31148" s="2"/>
      <c r="G31148" s="2"/>
      <c r="H31148" s="2"/>
    </row>
    <row r="31149" spans="1:8" x14ac:dyDescent="0.25">
      <c r="A31149" s="1"/>
      <c r="B31149" s="1" t="s">
        <v>8275</v>
      </c>
      <c r="C31149" s="1" t="s">
        <v>8276</v>
      </c>
      <c r="D31149" s="1" t="str">
        <f>HYPERLINK("https://rhld.insurance.arkansas.gov/NPILookup?Npi=1508328253","1508328253")</f>
        <v>1508328253</v>
      </c>
      <c r="E31149" s="1" t="s">
        <v>27398</v>
      </c>
      <c r="F31149" s="2"/>
      <c r="G31149" s="2"/>
      <c r="H31149" s="2"/>
    </row>
    <row r="31150" spans="1:8" x14ac:dyDescent="0.25">
      <c r="A31150" s="1"/>
      <c r="B31150" s="1" t="s">
        <v>8275</v>
      </c>
      <c r="C31150" s="1" t="s">
        <v>8276</v>
      </c>
      <c r="D31150" s="1" t="str">
        <f>HYPERLINK("https://rhld.insurance.arkansas.gov/NPILookup?Npi=1508377094","1508377094")</f>
        <v>1508377094</v>
      </c>
      <c r="E31150" s="1" t="s">
        <v>32259</v>
      </c>
      <c r="F31150" s="2"/>
      <c r="G31150" s="2"/>
      <c r="H31150" s="2"/>
    </row>
    <row r="31151" spans="1:8" x14ac:dyDescent="0.25">
      <c r="A31151" s="1"/>
      <c r="B31151" s="1" t="s">
        <v>8275</v>
      </c>
      <c r="C31151" s="1" t="s">
        <v>8276</v>
      </c>
      <c r="D31151" s="1" t="str">
        <f>HYPERLINK("https://rhld.insurance.arkansas.gov/NPILookup?Npi=1508470865","1508470865")</f>
        <v>1508470865</v>
      </c>
      <c r="E31151" s="1" t="s">
        <v>7825</v>
      </c>
      <c r="F31151" s="2"/>
      <c r="G31151" s="2"/>
      <c r="H31151" s="2"/>
    </row>
    <row r="31152" spans="1:8" x14ac:dyDescent="0.25">
      <c r="A31152" s="1"/>
      <c r="B31152" s="1" t="s">
        <v>8275</v>
      </c>
      <c r="C31152" s="1" t="s">
        <v>8276</v>
      </c>
      <c r="D31152" s="1" t="str">
        <f>HYPERLINK("https://rhld.insurance.arkansas.gov/NPILookup?Npi=1508477563","1508477563")</f>
        <v>1508477563</v>
      </c>
      <c r="E31152" s="1" t="s">
        <v>31534</v>
      </c>
      <c r="F31152" s="2"/>
      <c r="G31152" s="2"/>
      <c r="H31152" s="2"/>
    </row>
    <row r="31153" spans="1:8" x14ac:dyDescent="0.25">
      <c r="A31153" s="1"/>
      <c r="B31153" s="1" t="s">
        <v>8275</v>
      </c>
      <c r="C31153" s="1" t="s">
        <v>8276</v>
      </c>
      <c r="D31153" s="1" t="str">
        <f>HYPERLINK("https://rhld.insurance.arkansas.gov/NPILookup?Npi=1508547787","1508547787")</f>
        <v>1508547787</v>
      </c>
      <c r="E31153" s="1" t="s">
        <v>32261</v>
      </c>
      <c r="F31153" s="2"/>
      <c r="G31153" s="2"/>
      <c r="H31153" s="2"/>
    </row>
    <row r="31154" spans="1:8" x14ac:dyDescent="0.25">
      <c r="A31154" s="1"/>
      <c r="B31154" s="1" t="s">
        <v>8275</v>
      </c>
      <c r="C31154" s="1" t="s">
        <v>8276</v>
      </c>
      <c r="D31154" s="1" t="str">
        <f>HYPERLINK("https://rhld.insurance.arkansas.gov/NPILookup?Npi=1508564386","1508564386")</f>
        <v>1508564386</v>
      </c>
      <c r="E31154" s="1" t="s">
        <v>32262</v>
      </c>
      <c r="F31154" s="2"/>
      <c r="G31154" s="2"/>
      <c r="H31154" s="2"/>
    </row>
    <row r="31155" spans="1:8" x14ac:dyDescent="0.25">
      <c r="A31155" s="1"/>
      <c r="B31155" s="1" t="s">
        <v>8275</v>
      </c>
      <c r="C31155" s="1" t="s">
        <v>8276</v>
      </c>
      <c r="D31155" s="1" t="str">
        <f>HYPERLINK("https://rhld.insurance.arkansas.gov/NPILookup?Npi=1508599622","1508599622")</f>
        <v>1508599622</v>
      </c>
      <c r="E31155" s="1" t="s">
        <v>32263</v>
      </c>
      <c r="F31155" s="2"/>
      <c r="G31155" s="2"/>
      <c r="H31155" s="2"/>
    </row>
    <row r="31156" spans="1:8" x14ac:dyDescent="0.25">
      <c r="A31156" s="1"/>
      <c r="B31156" s="1" t="s">
        <v>8275</v>
      </c>
      <c r="C31156" s="1" t="s">
        <v>8276</v>
      </c>
      <c r="D31156" s="1" t="str">
        <f>HYPERLINK("https://rhld.insurance.arkansas.gov/NPILookup?Npi=1508617549","1508617549")</f>
        <v>1508617549</v>
      </c>
      <c r="E31156" s="1" t="s">
        <v>32264</v>
      </c>
      <c r="F31156" s="2"/>
      <c r="G31156" s="2"/>
      <c r="H31156" s="2"/>
    </row>
    <row r="31157" spans="1:8" x14ac:dyDescent="0.25">
      <c r="A31157" s="1"/>
      <c r="B31157" s="1" t="s">
        <v>8275</v>
      </c>
      <c r="C31157" s="1" t="s">
        <v>8276</v>
      </c>
      <c r="D31157" s="1" t="str">
        <f>HYPERLINK("https://rhld.insurance.arkansas.gov/NPILookup?Npi=1508620097","1508620097")</f>
        <v>1508620097</v>
      </c>
      <c r="E31157" s="1" t="s">
        <v>27415</v>
      </c>
      <c r="F31157" s="2"/>
      <c r="G31157" s="2"/>
      <c r="H31157" s="2"/>
    </row>
    <row r="31158" spans="1:8" x14ac:dyDescent="0.25">
      <c r="A31158" s="1"/>
      <c r="B31158" s="1" t="s">
        <v>8275</v>
      </c>
      <c r="C31158" s="1" t="s">
        <v>8276</v>
      </c>
      <c r="D31158" s="1" t="str">
        <f>HYPERLINK("https://rhld.insurance.arkansas.gov/NPILookup?Npi=1508810375","1508810375")</f>
        <v>1508810375</v>
      </c>
      <c r="E31158" s="1" t="s">
        <v>17602</v>
      </c>
      <c r="F31158" s="2"/>
      <c r="G31158" s="2"/>
      <c r="H31158" s="2"/>
    </row>
    <row r="31159" spans="1:8" x14ac:dyDescent="0.25">
      <c r="A31159" s="1"/>
      <c r="B31159" s="1" t="s">
        <v>8275</v>
      </c>
      <c r="C31159" s="1" t="s">
        <v>8276</v>
      </c>
      <c r="D31159" s="1" t="str">
        <f>HYPERLINK("https://rhld.insurance.arkansas.gov/NPILookup?Npi=1508827700","1508827700")</f>
        <v>1508827700</v>
      </c>
      <c r="E31159" s="1" t="s">
        <v>10340</v>
      </c>
      <c r="F31159" s="2"/>
      <c r="G31159" s="2"/>
      <c r="H31159" s="2"/>
    </row>
    <row r="31160" spans="1:8" x14ac:dyDescent="0.25">
      <c r="A31160" s="1"/>
      <c r="B31160" s="1" t="s">
        <v>8275</v>
      </c>
      <c r="C31160" s="1" t="s">
        <v>8276</v>
      </c>
      <c r="D31160" s="1" t="str">
        <f>HYPERLINK("https://rhld.insurance.arkansas.gov/NPILookup?Npi=1508837485","1508837485")</f>
        <v>1508837485</v>
      </c>
      <c r="E31160" s="1" t="s">
        <v>29716</v>
      </c>
      <c r="F31160" s="2"/>
      <c r="G31160" s="2"/>
      <c r="H31160" s="2"/>
    </row>
    <row r="31161" spans="1:8" x14ac:dyDescent="0.25">
      <c r="A31161" s="1"/>
      <c r="B31161" s="1" t="s">
        <v>8275</v>
      </c>
      <c r="C31161" s="1" t="s">
        <v>8276</v>
      </c>
      <c r="D31161" s="1" t="str">
        <f>HYPERLINK("https://rhld.insurance.arkansas.gov/NPILookup?Npi=1508853466","1508853466")</f>
        <v>1508853466</v>
      </c>
      <c r="E31161" s="1" t="s">
        <v>23223</v>
      </c>
      <c r="F31161" s="2"/>
      <c r="G31161" s="2"/>
      <c r="H31161" s="2"/>
    </row>
    <row r="31162" spans="1:8" x14ac:dyDescent="0.25">
      <c r="A31162" s="1"/>
      <c r="B31162" s="1" t="s">
        <v>8275</v>
      </c>
      <c r="C31162" s="1" t="s">
        <v>8276</v>
      </c>
      <c r="D31162" s="1" t="str">
        <f>HYPERLINK("https://rhld.insurance.arkansas.gov/NPILookup?Npi=1508864034","1508864034")</f>
        <v>1508864034</v>
      </c>
      <c r="E31162" s="1" t="s">
        <v>1045</v>
      </c>
      <c r="F31162" s="2"/>
      <c r="G31162" s="2"/>
      <c r="H31162" s="2"/>
    </row>
    <row r="31163" spans="1:8" x14ac:dyDescent="0.25">
      <c r="A31163" s="1"/>
      <c r="B31163" s="1" t="s">
        <v>8275</v>
      </c>
      <c r="C31163" s="1" t="s">
        <v>8276</v>
      </c>
      <c r="D31163" s="1" t="str">
        <f>HYPERLINK("https://rhld.insurance.arkansas.gov/NPILookup?Npi=1508956160","1508956160")</f>
        <v>1508956160</v>
      </c>
      <c r="E31163" s="1" t="s">
        <v>15680</v>
      </c>
      <c r="F31163" s="2"/>
      <c r="G31163" s="2"/>
      <c r="H31163" s="2"/>
    </row>
    <row r="31164" spans="1:8" x14ac:dyDescent="0.25">
      <c r="A31164" s="1"/>
      <c r="B31164" s="1" t="s">
        <v>8275</v>
      </c>
      <c r="C31164" s="1" t="s">
        <v>8276</v>
      </c>
      <c r="D31164" s="1" t="str">
        <f>HYPERLINK("https://rhld.insurance.arkansas.gov/NPILookup?Npi=1508995390","1508995390")</f>
        <v>1508995390</v>
      </c>
      <c r="E31164" s="1" t="s">
        <v>4175</v>
      </c>
      <c r="F31164" s="2"/>
      <c r="G31164" s="2"/>
      <c r="H31164" s="2"/>
    </row>
    <row r="31165" spans="1:8" x14ac:dyDescent="0.25">
      <c r="A31165" s="1"/>
      <c r="B31165" s="1" t="s">
        <v>8275</v>
      </c>
      <c r="C31165" s="1" t="s">
        <v>8276</v>
      </c>
      <c r="D31165" s="1" t="str">
        <f>HYPERLINK("https://rhld.insurance.arkansas.gov/NPILookup?Npi=1518067164","1518067164")</f>
        <v>1518067164</v>
      </c>
      <c r="E31165" s="1" t="s">
        <v>29717</v>
      </c>
      <c r="F31165" s="2"/>
      <c r="G31165" s="2"/>
      <c r="H31165" s="2"/>
    </row>
    <row r="31166" spans="1:8" x14ac:dyDescent="0.25">
      <c r="A31166" s="1"/>
      <c r="B31166" s="1" t="s">
        <v>8275</v>
      </c>
      <c r="C31166" s="1" t="s">
        <v>8276</v>
      </c>
      <c r="D31166" s="1" t="str">
        <f>HYPERLINK("https://rhld.insurance.arkansas.gov/NPILookup?Npi=1518144534","1518144534")</f>
        <v>1518144534</v>
      </c>
      <c r="E31166" s="1" t="s">
        <v>2871</v>
      </c>
      <c r="F31166" s="2"/>
      <c r="G31166" s="2"/>
      <c r="H31166" s="2"/>
    </row>
    <row r="31167" spans="1:8" x14ac:dyDescent="0.25">
      <c r="A31167" s="1"/>
      <c r="B31167" s="1" t="s">
        <v>8275</v>
      </c>
      <c r="C31167" s="1" t="s">
        <v>8276</v>
      </c>
      <c r="D31167" s="1" t="str">
        <f>HYPERLINK("https://rhld.insurance.arkansas.gov/NPILookup?Npi=1518270636","1518270636")</f>
        <v>1518270636</v>
      </c>
      <c r="E31167" s="1" t="s">
        <v>2029</v>
      </c>
      <c r="F31167" s="2"/>
      <c r="G31167" s="2"/>
      <c r="H31167" s="2"/>
    </row>
    <row r="31168" spans="1:8" x14ac:dyDescent="0.25">
      <c r="A31168" s="1"/>
      <c r="B31168" s="1" t="s">
        <v>8275</v>
      </c>
      <c r="C31168" s="1" t="s">
        <v>8276</v>
      </c>
      <c r="D31168" s="1" t="str">
        <f>HYPERLINK("https://rhld.insurance.arkansas.gov/NPILookup?Npi=1518287226","1518287226")</f>
        <v>1518287226</v>
      </c>
      <c r="E31168" s="1" t="s">
        <v>27430</v>
      </c>
      <c r="F31168" s="2"/>
      <c r="G31168" s="2"/>
      <c r="H31168" s="2"/>
    </row>
    <row r="31169" spans="1:8" x14ac:dyDescent="0.25">
      <c r="A31169" s="1"/>
      <c r="B31169" s="1" t="s">
        <v>8275</v>
      </c>
      <c r="C31169" s="1" t="s">
        <v>8276</v>
      </c>
      <c r="D31169" s="1" t="str">
        <f>HYPERLINK("https://rhld.insurance.arkansas.gov/NPILookup?Npi=1518301084","1518301084")</f>
        <v>1518301084</v>
      </c>
      <c r="E31169" s="1" t="s">
        <v>13920</v>
      </c>
      <c r="F31169" s="2"/>
      <c r="G31169" s="2"/>
      <c r="H31169" s="2"/>
    </row>
    <row r="31170" spans="1:8" x14ac:dyDescent="0.25">
      <c r="A31170" s="1"/>
      <c r="B31170" s="1" t="s">
        <v>8275</v>
      </c>
      <c r="C31170" s="1" t="s">
        <v>8276</v>
      </c>
      <c r="D31170" s="1" t="str">
        <f>HYPERLINK("https://rhld.insurance.arkansas.gov/NPILookup?Npi=1518313667","1518313667")</f>
        <v>1518313667</v>
      </c>
      <c r="E31170" s="1" t="s">
        <v>10345</v>
      </c>
      <c r="F31170" s="2"/>
      <c r="G31170" s="2"/>
      <c r="H31170" s="2"/>
    </row>
    <row r="31171" spans="1:8" x14ac:dyDescent="0.25">
      <c r="A31171" s="1"/>
      <c r="B31171" s="1" t="s">
        <v>8275</v>
      </c>
      <c r="C31171" s="1" t="s">
        <v>8276</v>
      </c>
      <c r="D31171" s="1" t="str">
        <f>HYPERLINK("https://rhld.insurance.arkansas.gov/NPILookup?Npi=1518351428","1518351428")</f>
        <v>1518351428</v>
      </c>
      <c r="E31171" s="1" t="s">
        <v>29718</v>
      </c>
      <c r="F31171" s="2"/>
      <c r="G31171" s="2"/>
      <c r="H31171" s="2"/>
    </row>
    <row r="31172" spans="1:8" x14ac:dyDescent="0.25">
      <c r="A31172" s="1"/>
      <c r="B31172" s="1" t="s">
        <v>8275</v>
      </c>
      <c r="C31172" s="1" t="s">
        <v>8276</v>
      </c>
      <c r="D31172" s="1" t="str">
        <f>HYPERLINK("https://rhld.insurance.arkansas.gov/NPILookup?Npi=1518352616","1518352616")</f>
        <v>1518352616</v>
      </c>
      <c r="E31172" s="1" t="s">
        <v>27435</v>
      </c>
      <c r="F31172" s="2"/>
      <c r="G31172" s="2"/>
      <c r="H31172" s="2"/>
    </row>
    <row r="31173" spans="1:8" x14ac:dyDescent="0.25">
      <c r="A31173" s="1"/>
      <c r="B31173" s="1" t="s">
        <v>8275</v>
      </c>
      <c r="C31173" s="1" t="s">
        <v>8276</v>
      </c>
      <c r="D31173" s="1" t="str">
        <f>HYPERLINK("https://rhld.insurance.arkansas.gov/NPILookup?Npi=1518499888","1518499888")</f>
        <v>1518499888</v>
      </c>
      <c r="E31173" s="1" t="s">
        <v>17612</v>
      </c>
      <c r="F31173" s="2"/>
      <c r="G31173" s="2"/>
      <c r="H31173" s="2"/>
    </row>
    <row r="31174" spans="1:8" x14ac:dyDescent="0.25">
      <c r="A31174" s="1"/>
      <c r="B31174" s="1" t="s">
        <v>8275</v>
      </c>
      <c r="C31174" s="1" t="s">
        <v>8276</v>
      </c>
      <c r="D31174" s="1" t="str">
        <f>HYPERLINK("https://rhld.insurance.arkansas.gov/NPILookup?Npi=1518505833","1518505833")</f>
        <v>1518505833</v>
      </c>
      <c r="E31174" s="1" t="s">
        <v>32266</v>
      </c>
      <c r="F31174" s="2"/>
      <c r="G31174" s="2"/>
      <c r="H31174" s="2"/>
    </row>
    <row r="31175" spans="1:8" x14ac:dyDescent="0.25">
      <c r="A31175" s="1"/>
      <c r="B31175" s="1" t="s">
        <v>8275</v>
      </c>
      <c r="C31175" s="1" t="s">
        <v>8276</v>
      </c>
      <c r="D31175" s="1" t="str">
        <f>HYPERLINK("https://rhld.insurance.arkansas.gov/NPILookup?Npi=1518548189","1518548189")</f>
        <v>1518548189</v>
      </c>
      <c r="E31175" s="1" t="s">
        <v>27448</v>
      </c>
      <c r="F31175" s="2"/>
      <c r="G31175" s="2"/>
      <c r="H31175" s="2"/>
    </row>
    <row r="31176" spans="1:8" x14ac:dyDescent="0.25">
      <c r="A31176" s="1"/>
      <c r="B31176" s="1" t="s">
        <v>8275</v>
      </c>
      <c r="C31176" s="1" t="s">
        <v>8276</v>
      </c>
      <c r="D31176" s="1" t="str">
        <f>HYPERLINK("https://rhld.insurance.arkansas.gov/NPILookup?Npi=1518583129","1518583129")</f>
        <v>1518583129</v>
      </c>
      <c r="E31176" s="1" t="s">
        <v>7835</v>
      </c>
      <c r="F31176" s="2"/>
      <c r="G31176" s="2"/>
      <c r="H31176" s="2"/>
    </row>
    <row r="31177" spans="1:8" x14ac:dyDescent="0.25">
      <c r="A31177" s="1"/>
      <c r="B31177" s="1" t="s">
        <v>8275</v>
      </c>
      <c r="C31177" s="1" t="s">
        <v>8276</v>
      </c>
      <c r="D31177" s="1" t="str">
        <f>HYPERLINK("https://rhld.insurance.arkansas.gov/NPILookup?Npi=1518668581","1518668581")</f>
        <v>1518668581</v>
      </c>
      <c r="E31177" s="1" t="s">
        <v>13219</v>
      </c>
      <c r="F31177" s="2"/>
      <c r="G31177" s="2"/>
      <c r="H31177" s="2"/>
    </row>
    <row r="31178" spans="1:8" x14ac:dyDescent="0.25">
      <c r="A31178" s="1"/>
      <c r="B31178" s="1" t="s">
        <v>8275</v>
      </c>
      <c r="C31178" s="1" t="s">
        <v>8276</v>
      </c>
      <c r="D31178" s="1" t="str">
        <f>HYPERLINK("https://rhld.insurance.arkansas.gov/NPILookup?Npi=1518685957","1518685957")</f>
        <v>1518685957</v>
      </c>
      <c r="E31178" s="1" t="s">
        <v>7838</v>
      </c>
      <c r="F31178" s="2"/>
      <c r="G31178" s="2"/>
      <c r="H31178" s="2"/>
    </row>
    <row r="31179" spans="1:8" x14ac:dyDescent="0.25">
      <c r="A31179" s="1"/>
      <c r="B31179" s="1" t="s">
        <v>8275</v>
      </c>
      <c r="C31179" s="1" t="s">
        <v>8276</v>
      </c>
      <c r="D31179" s="1" t="str">
        <f>HYPERLINK("https://rhld.insurance.arkansas.gov/NPILookup?Npi=1518700079","1518700079")</f>
        <v>1518700079</v>
      </c>
      <c r="E31179" s="1" t="s">
        <v>27454</v>
      </c>
      <c r="F31179" s="2"/>
      <c r="G31179" s="2"/>
      <c r="H31179" s="2"/>
    </row>
    <row r="31180" spans="1:8" x14ac:dyDescent="0.25">
      <c r="A31180" s="1"/>
      <c r="B31180" s="1" t="s">
        <v>8275</v>
      </c>
      <c r="C31180" s="1" t="s">
        <v>8276</v>
      </c>
      <c r="D31180" s="1" t="str">
        <f>HYPERLINK("https://rhld.insurance.arkansas.gov/NPILookup?Npi=1518908417","1518908417")</f>
        <v>1518908417</v>
      </c>
      <c r="E31180" s="1" t="s">
        <v>17613</v>
      </c>
      <c r="F31180" s="2"/>
      <c r="G31180" s="2"/>
      <c r="H31180" s="2"/>
    </row>
    <row r="31181" spans="1:8" x14ac:dyDescent="0.25">
      <c r="A31181" s="1"/>
      <c r="B31181" s="1" t="s">
        <v>8275</v>
      </c>
      <c r="C31181" s="1" t="s">
        <v>8276</v>
      </c>
      <c r="D31181" s="1" t="str">
        <f>HYPERLINK("https://rhld.insurance.arkansas.gov/NPILookup?Npi=1518921006","1518921006")</f>
        <v>1518921006</v>
      </c>
      <c r="E31181" s="1" t="s">
        <v>29719</v>
      </c>
      <c r="F31181" s="2"/>
      <c r="G31181" s="2"/>
      <c r="H31181" s="2"/>
    </row>
    <row r="31182" spans="1:8" x14ac:dyDescent="0.25">
      <c r="A31182" s="1"/>
      <c r="B31182" s="1" t="s">
        <v>8275</v>
      </c>
      <c r="C31182" s="1" t="s">
        <v>8276</v>
      </c>
      <c r="D31182" s="1" t="str">
        <f>HYPERLINK("https://rhld.insurance.arkansas.gov/NPILookup?Npi=1518934314","1518934314")</f>
        <v>1518934314</v>
      </c>
      <c r="E31182" s="1" t="s">
        <v>13222</v>
      </c>
      <c r="F31182" s="2"/>
      <c r="G31182" s="2"/>
      <c r="H31182" s="2"/>
    </row>
    <row r="31183" spans="1:8" x14ac:dyDescent="0.25">
      <c r="A31183" s="1"/>
      <c r="B31183" s="1" t="s">
        <v>8275</v>
      </c>
      <c r="C31183" s="1" t="s">
        <v>8276</v>
      </c>
      <c r="D31183" s="1" t="str">
        <f>HYPERLINK("https://rhld.insurance.arkansas.gov/NPILookup?Npi=1518961275","1518961275")</f>
        <v>1518961275</v>
      </c>
      <c r="E31183" s="1" t="s">
        <v>27460</v>
      </c>
      <c r="F31183" s="2"/>
      <c r="G31183" s="2"/>
      <c r="H31183" s="2"/>
    </row>
    <row r="31184" spans="1:8" x14ac:dyDescent="0.25">
      <c r="A31184" s="1"/>
      <c r="B31184" s="1" t="s">
        <v>8275</v>
      </c>
      <c r="C31184" s="1" t="s">
        <v>8276</v>
      </c>
      <c r="D31184" s="1" t="str">
        <f>HYPERLINK("https://rhld.insurance.arkansas.gov/NPILookup?Npi=1518965128","1518965128")</f>
        <v>1518965128</v>
      </c>
      <c r="E31184" s="1" t="s">
        <v>13223</v>
      </c>
      <c r="F31184" s="2"/>
      <c r="G31184" s="2"/>
      <c r="H31184" s="2"/>
    </row>
    <row r="31185" spans="1:8" x14ac:dyDescent="0.25">
      <c r="A31185" s="1"/>
      <c r="B31185" s="1" t="s">
        <v>8275</v>
      </c>
      <c r="C31185" s="1" t="s">
        <v>8276</v>
      </c>
      <c r="D31185" s="1" t="str">
        <f>HYPERLINK("https://rhld.insurance.arkansas.gov/NPILookup?Npi=1518985753","1518985753")</f>
        <v>1518985753</v>
      </c>
      <c r="E31185" s="1" t="s">
        <v>10349</v>
      </c>
      <c r="F31185" s="2"/>
      <c r="G31185" s="2"/>
      <c r="H31185" s="2"/>
    </row>
    <row r="31186" spans="1:8" x14ac:dyDescent="0.25">
      <c r="A31186" s="1"/>
      <c r="B31186" s="1" t="s">
        <v>8275</v>
      </c>
      <c r="C31186" s="1" t="s">
        <v>8276</v>
      </c>
      <c r="D31186" s="1" t="str">
        <f>HYPERLINK("https://rhld.insurance.arkansas.gov/NPILookup?Npi=1518994250","1518994250")</f>
        <v>1518994250</v>
      </c>
      <c r="E31186" s="1" t="s">
        <v>10350</v>
      </c>
      <c r="F31186" s="2"/>
      <c r="G31186" s="2"/>
      <c r="H31186" s="2"/>
    </row>
    <row r="31187" spans="1:8" x14ac:dyDescent="0.25">
      <c r="A31187" s="1"/>
      <c r="B31187" s="1" t="s">
        <v>8275</v>
      </c>
      <c r="C31187" s="1" t="s">
        <v>8276</v>
      </c>
      <c r="D31187" s="1" t="str">
        <f>HYPERLINK("https://rhld.insurance.arkansas.gov/NPILookup?Npi=1528002649","1528002649")</f>
        <v>1528002649</v>
      </c>
      <c r="E31187" s="1" t="s">
        <v>29720</v>
      </c>
      <c r="F31187" s="2"/>
      <c r="G31187" s="2"/>
      <c r="H31187" s="2"/>
    </row>
    <row r="31188" spans="1:8" x14ac:dyDescent="0.25">
      <c r="A31188" s="1"/>
      <c r="B31188" s="1" t="s">
        <v>8275</v>
      </c>
      <c r="C31188" s="1" t="s">
        <v>8276</v>
      </c>
      <c r="D31188" s="1" t="str">
        <f>HYPERLINK("https://rhld.insurance.arkansas.gov/NPILookup?Npi=1528014545","1528014545")</f>
        <v>1528014545</v>
      </c>
      <c r="E31188" s="1" t="s">
        <v>8313</v>
      </c>
      <c r="F31188" s="2"/>
      <c r="G31188" s="2"/>
      <c r="H31188" s="2"/>
    </row>
    <row r="31189" spans="1:8" x14ac:dyDescent="0.25">
      <c r="A31189" s="1"/>
      <c r="B31189" s="1" t="s">
        <v>8275</v>
      </c>
      <c r="C31189" s="1" t="s">
        <v>8276</v>
      </c>
      <c r="D31189" s="1" t="str">
        <f>HYPERLINK("https://rhld.insurance.arkansas.gov/NPILookup?Npi=1528025368","1528025368")</f>
        <v>1528025368</v>
      </c>
      <c r="E31189" s="1" t="s">
        <v>29721</v>
      </c>
      <c r="F31189" s="2"/>
      <c r="G31189" s="2"/>
      <c r="H31189" s="2"/>
    </row>
    <row r="31190" spans="1:8" x14ac:dyDescent="0.25">
      <c r="A31190" s="1"/>
      <c r="B31190" s="1" t="s">
        <v>8275</v>
      </c>
      <c r="C31190" s="1" t="s">
        <v>8276</v>
      </c>
      <c r="D31190" s="1" t="str">
        <f>HYPERLINK("https://rhld.insurance.arkansas.gov/NPILookup?Npi=1528031655","1528031655")</f>
        <v>1528031655</v>
      </c>
      <c r="E31190" s="1" t="s">
        <v>7909</v>
      </c>
      <c r="F31190" s="2"/>
      <c r="G31190" s="2"/>
      <c r="H31190" s="2"/>
    </row>
    <row r="31191" spans="1:8" x14ac:dyDescent="0.25">
      <c r="A31191" s="1"/>
      <c r="B31191" s="1" t="s">
        <v>8275</v>
      </c>
      <c r="C31191" s="1" t="s">
        <v>8276</v>
      </c>
      <c r="D31191" s="1" t="str">
        <f>HYPERLINK("https://rhld.insurance.arkansas.gov/NPILookup?Npi=1528039443","1528039443")</f>
        <v>1528039443</v>
      </c>
      <c r="E31191" s="1" t="s">
        <v>2879</v>
      </c>
      <c r="F31191" s="2"/>
      <c r="G31191" s="2"/>
      <c r="H31191" s="2"/>
    </row>
    <row r="31192" spans="1:8" x14ac:dyDescent="0.25">
      <c r="A31192" s="1"/>
      <c r="B31192" s="1" t="s">
        <v>8275</v>
      </c>
      <c r="C31192" s="1" t="s">
        <v>8276</v>
      </c>
      <c r="D31192" s="1" t="str">
        <f>HYPERLINK("https://rhld.insurance.arkansas.gov/NPILookup?Npi=1528051927","1528051927")</f>
        <v>1528051927</v>
      </c>
      <c r="E31192" s="1" t="s">
        <v>29722</v>
      </c>
      <c r="F31192" s="2"/>
      <c r="G31192" s="2"/>
      <c r="H31192" s="2"/>
    </row>
    <row r="31193" spans="1:8" x14ac:dyDescent="0.25">
      <c r="A31193" s="1"/>
      <c r="B31193" s="1" t="s">
        <v>8275</v>
      </c>
      <c r="C31193" s="1" t="s">
        <v>8276</v>
      </c>
      <c r="D31193" s="1" t="str">
        <f>HYPERLINK("https://rhld.insurance.arkansas.gov/NPILookup?Npi=1528055738","1528055738")</f>
        <v>1528055738</v>
      </c>
      <c r="E31193" s="1" t="s">
        <v>13228</v>
      </c>
      <c r="F31193" s="2"/>
      <c r="G31193" s="2"/>
      <c r="H31193" s="2"/>
    </row>
    <row r="31194" spans="1:8" x14ac:dyDescent="0.25">
      <c r="A31194" s="1"/>
      <c r="B31194" s="1" t="s">
        <v>8275</v>
      </c>
      <c r="C31194" s="1" t="s">
        <v>8276</v>
      </c>
      <c r="D31194" s="1" t="str">
        <f>HYPERLINK("https://rhld.insurance.arkansas.gov/NPILookup?Npi=1528102506","1528102506")</f>
        <v>1528102506</v>
      </c>
      <c r="E31194" s="1" t="s">
        <v>29723</v>
      </c>
      <c r="F31194" s="2"/>
      <c r="G31194" s="2"/>
      <c r="H31194" s="2"/>
    </row>
    <row r="31195" spans="1:8" x14ac:dyDescent="0.25">
      <c r="A31195" s="1"/>
      <c r="B31195" s="1" t="s">
        <v>8275</v>
      </c>
      <c r="C31195" s="1" t="s">
        <v>8276</v>
      </c>
      <c r="D31195" s="1" t="str">
        <f>HYPERLINK("https://rhld.insurance.arkansas.gov/NPILookup?Npi=1528113602","1528113602")</f>
        <v>1528113602</v>
      </c>
      <c r="E31195" s="1" t="s">
        <v>29724</v>
      </c>
      <c r="F31195" s="2"/>
      <c r="G31195" s="2"/>
      <c r="H31195" s="2"/>
    </row>
    <row r="31196" spans="1:8" x14ac:dyDescent="0.25">
      <c r="A31196" s="1"/>
      <c r="B31196" s="1" t="s">
        <v>8275</v>
      </c>
      <c r="C31196" s="1" t="s">
        <v>8276</v>
      </c>
      <c r="D31196" s="1" t="str">
        <f>HYPERLINK("https://rhld.insurance.arkansas.gov/NPILookup?Npi=1528148178","1528148178")</f>
        <v>1528148178</v>
      </c>
      <c r="E31196" s="1" t="s">
        <v>13921</v>
      </c>
      <c r="F31196" s="2"/>
      <c r="G31196" s="2"/>
      <c r="H31196" s="2"/>
    </row>
    <row r="31197" spans="1:8" x14ac:dyDescent="0.25">
      <c r="A31197" s="1"/>
      <c r="B31197" s="1" t="s">
        <v>8275</v>
      </c>
      <c r="C31197" s="1" t="s">
        <v>8276</v>
      </c>
      <c r="D31197" s="1" t="str">
        <f>HYPERLINK("https://rhld.insurance.arkansas.gov/NPILookup?Npi=1528175130","1528175130")</f>
        <v>1528175130</v>
      </c>
      <c r="E31197" s="1" t="s">
        <v>29725</v>
      </c>
      <c r="F31197" s="2"/>
      <c r="G31197" s="2"/>
      <c r="H31197" s="2"/>
    </row>
    <row r="31198" spans="1:8" x14ac:dyDescent="0.25">
      <c r="A31198" s="1"/>
      <c r="B31198" s="1" t="s">
        <v>8275</v>
      </c>
      <c r="C31198" s="1" t="s">
        <v>8276</v>
      </c>
      <c r="D31198" s="1" t="str">
        <f>HYPERLINK("https://rhld.insurance.arkansas.gov/NPILookup?Npi=1528200417","1528200417")</f>
        <v>1528200417</v>
      </c>
      <c r="E31198" s="1" t="s">
        <v>27469</v>
      </c>
      <c r="F31198" s="2"/>
      <c r="G31198" s="2"/>
      <c r="H31198" s="2"/>
    </row>
    <row r="31199" spans="1:8" x14ac:dyDescent="0.25">
      <c r="A31199" s="1"/>
      <c r="B31199" s="1" t="s">
        <v>8275</v>
      </c>
      <c r="C31199" s="1" t="s">
        <v>8276</v>
      </c>
      <c r="D31199" s="1" t="str">
        <f>HYPERLINK("https://rhld.insurance.arkansas.gov/NPILookup?Npi=1528204989","1528204989")</f>
        <v>1528204989</v>
      </c>
      <c r="E31199" s="1" t="s">
        <v>32267</v>
      </c>
      <c r="F31199" s="2"/>
      <c r="G31199" s="2"/>
      <c r="H31199" s="2"/>
    </row>
    <row r="31200" spans="1:8" x14ac:dyDescent="0.25">
      <c r="A31200" s="1"/>
      <c r="B31200" s="1" t="s">
        <v>8275</v>
      </c>
      <c r="C31200" s="1" t="s">
        <v>8276</v>
      </c>
      <c r="D31200" s="1" t="str">
        <f>HYPERLINK("https://rhld.insurance.arkansas.gov/NPILookup?Npi=1528287869","1528287869")</f>
        <v>1528287869</v>
      </c>
      <c r="E31200" s="1" t="s">
        <v>13922</v>
      </c>
      <c r="F31200" s="2"/>
      <c r="G31200" s="2"/>
      <c r="H31200" s="2"/>
    </row>
    <row r="31201" spans="1:8" x14ac:dyDescent="0.25">
      <c r="A31201" s="1"/>
      <c r="B31201" s="1" t="s">
        <v>8275</v>
      </c>
      <c r="C31201" s="1" t="s">
        <v>8276</v>
      </c>
      <c r="D31201" s="1" t="str">
        <f>HYPERLINK("https://rhld.insurance.arkansas.gov/NPILookup?Npi=1528301207","1528301207")</f>
        <v>1528301207</v>
      </c>
      <c r="E31201" s="1" t="s">
        <v>17619</v>
      </c>
      <c r="F31201" s="2"/>
      <c r="G31201" s="2"/>
      <c r="H31201" s="2"/>
    </row>
    <row r="31202" spans="1:8" x14ac:dyDescent="0.25">
      <c r="A31202" s="1"/>
      <c r="B31202" s="1" t="s">
        <v>8275</v>
      </c>
      <c r="C31202" s="1" t="s">
        <v>8276</v>
      </c>
      <c r="D31202" s="1" t="str">
        <f>HYPERLINK("https://rhld.insurance.arkansas.gov/NPILookup?Npi=1528473915","1528473915")</f>
        <v>1528473915</v>
      </c>
      <c r="E31202" s="1" t="s">
        <v>32464</v>
      </c>
      <c r="F31202" s="2"/>
      <c r="G31202" s="2"/>
      <c r="H31202" s="2"/>
    </row>
    <row r="31203" spans="1:8" x14ac:dyDescent="0.25">
      <c r="A31203" s="1"/>
      <c r="B31203" s="1" t="s">
        <v>8275</v>
      </c>
      <c r="C31203" s="1" t="s">
        <v>8276</v>
      </c>
      <c r="D31203" s="1" t="str">
        <f>HYPERLINK("https://rhld.insurance.arkansas.gov/NPILookup?Npi=1528518339","1528518339")</f>
        <v>1528518339</v>
      </c>
      <c r="E31203" s="1" t="s">
        <v>7844</v>
      </c>
      <c r="F31203" s="2"/>
      <c r="G31203" s="2"/>
      <c r="H31203" s="2"/>
    </row>
    <row r="31204" spans="1:8" x14ac:dyDescent="0.25">
      <c r="A31204" s="1"/>
      <c r="B31204" s="1" t="s">
        <v>8275</v>
      </c>
      <c r="C31204" s="1" t="s">
        <v>8276</v>
      </c>
      <c r="D31204" s="1" t="str">
        <f>HYPERLINK("https://rhld.insurance.arkansas.gov/NPILookup?Npi=1528538915","1528538915")</f>
        <v>1528538915</v>
      </c>
      <c r="E31204" s="1" t="s">
        <v>32268</v>
      </c>
      <c r="F31204" s="2"/>
      <c r="G31204" s="2"/>
      <c r="H31204" s="2"/>
    </row>
    <row r="31205" spans="1:8" x14ac:dyDescent="0.25">
      <c r="A31205" s="1"/>
      <c r="B31205" s="1" t="s">
        <v>8275</v>
      </c>
      <c r="C31205" s="1" t="s">
        <v>8276</v>
      </c>
      <c r="D31205" s="1" t="str">
        <f>HYPERLINK("https://rhld.insurance.arkansas.gov/NPILookup?Npi=1528552130","1528552130")</f>
        <v>1528552130</v>
      </c>
      <c r="E31205" s="1" t="s">
        <v>27482</v>
      </c>
      <c r="F31205" s="2"/>
      <c r="G31205" s="2"/>
      <c r="H31205" s="2"/>
    </row>
    <row r="31206" spans="1:8" x14ac:dyDescent="0.25">
      <c r="A31206" s="1"/>
      <c r="B31206" s="1" t="s">
        <v>8275</v>
      </c>
      <c r="C31206" s="1" t="s">
        <v>8276</v>
      </c>
      <c r="D31206" s="1" t="str">
        <f>HYPERLINK("https://rhld.insurance.arkansas.gov/NPILookup?Npi=1528592862","1528592862")</f>
        <v>1528592862</v>
      </c>
      <c r="E31206" s="1" t="s">
        <v>7848</v>
      </c>
      <c r="F31206" s="2"/>
      <c r="G31206" s="2"/>
      <c r="H31206" s="2"/>
    </row>
    <row r="31207" spans="1:8" x14ac:dyDescent="0.25">
      <c r="A31207" s="1"/>
      <c r="B31207" s="1" t="s">
        <v>8275</v>
      </c>
      <c r="C31207" s="1" t="s">
        <v>8276</v>
      </c>
      <c r="D31207" s="1" t="str">
        <f>HYPERLINK("https://rhld.insurance.arkansas.gov/NPILookup?Npi=1528599115","1528599115")</f>
        <v>1528599115</v>
      </c>
      <c r="E31207" s="1" t="s">
        <v>29726</v>
      </c>
      <c r="F31207" s="2"/>
      <c r="G31207" s="2"/>
      <c r="H31207" s="2"/>
    </row>
    <row r="31208" spans="1:8" x14ac:dyDescent="0.25">
      <c r="A31208" s="1"/>
      <c r="B31208" s="1" t="s">
        <v>8275</v>
      </c>
      <c r="C31208" s="1" t="s">
        <v>8276</v>
      </c>
      <c r="D31208" s="1" t="str">
        <f>HYPERLINK("https://rhld.insurance.arkansas.gov/NPILookup?Npi=1528686870","1528686870")</f>
        <v>1528686870</v>
      </c>
      <c r="E31208" s="1" t="s">
        <v>1577</v>
      </c>
      <c r="F31208" s="2"/>
      <c r="G31208" s="2"/>
      <c r="H31208" s="2"/>
    </row>
    <row r="31209" spans="1:8" x14ac:dyDescent="0.25">
      <c r="A31209" s="1"/>
      <c r="B31209" s="1" t="s">
        <v>8275</v>
      </c>
      <c r="C31209" s="1" t="s">
        <v>8276</v>
      </c>
      <c r="D31209" s="1" t="str">
        <f>HYPERLINK("https://rhld.insurance.arkansas.gov/NPILookup?Npi=1528694544","1528694544")</f>
        <v>1528694544</v>
      </c>
      <c r="E31209" s="1" t="s">
        <v>7850</v>
      </c>
      <c r="F31209" s="2"/>
      <c r="G31209" s="2"/>
      <c r="H31209" s="2"/>
    </row>
    <row r="31210" spans="1:8" x14ac:dyDescent="0.25">
      <c r="A31210" s="1"/>
      <c r="B31210" s="1" t="s">
        <v>8275</v>
      </c>
      <c r="C31210" s="1" t="s">
        <v>8276</v>
      </c>
      <c r="D31210" s="1" t="str">
        <f>HYPERLINK("https://rhld.insurance.arkansas.gov/NPILookup?Npi=1528733862","1528733862")</f>
        <v>1528733862</v>
      </c>
      <c r="E31210" s="1" t="s">
        <v>27495</v>
      </c>
      <c r="F31210" s="2"/>
      <c r="G31210" s="2"/>
      <c r="H31210" s="2"/>
    </row>
    <row r="31211" spans="1:8" x14ac:dyDescent="0.25">
      <c r="A31211" s="1"/>
      <c r="B31211" s="1" t="s">
        <v>8275</v>
      </c>
      <c r="C31211" s="1" t="s">
        <v>8276</v>
      </c>
      <c r="D31211" s="1" t="str">
        <f>HYPERLINK("https://rhld.insurance.arkansas.gov/NPILookup?Npi=1528780285","1528780285")</f>
        <v>1528780285</v>
      </c>
      <c r="E31211" s="1" t="s">
        <v>32269</v>
      </c>
      <c r="F31211" s="2"/>
      <c r="G31211" s="2"/>
      <c r="H31211" s="2"/>
    </row>
    <row r="31212" spans="1:8" x14ac:dyDescent="0.25">
      <c r="A31212" s="1"/>
      <c r="B31212" s="1" t="s">
        <v>8275</v>
      </c>
      <c r="C31212" s="1" t="s">
        <v>8276</v>
      </c>
      <c r="D31212" s="1" t="str">
        <f>HYPERLINK("https://rhld.insurance.arkansas.gov/NPILookup?Npi=1528837507","1528837507")</f>
        <v>1528837507</v>
      </c>
      <c r="E31212" s="1" t="s">
        <v>32270</v>
      </c>
      <c r="F31212" s="2"/>
      <c r="G31212" s="2"/>
      <c r="H31212" s="2"/>
    </row>
    <row r="31213" spans="1:8" x14ac:dyDescent="0.25">
      <c r="A31213" s="1"/>
      <c r="B31213" s="1" t="s">
        <v>8275</v>
      </c>
      <c r="C31213" s="1" t="s">
        <v>8276</v>
      </c>
      <c r="D31213" s="1" t="str">
        <f>HYPERLINK("https://rhld.insurance.arkansas.gov/NPILookup?Npi=1528840113","1528840113")</f>
        <v>1528840113</v>
      </c>
      <c r="E31213" s="1" t="s">
        <v>7855</v>
      </c>
      <c r="F31213" s="2"/>
      <c r="G31213" s="2"/>
      <c r="H31213" s="2"/>
    </row>
    <row r="31214" spans="1:8" x14ac:dyDescent="0.25">
      <c r="A31214" s="1"/>
      <c r="B31214" s="1" t="s">
        <v>8275</v>
      </c>
      <c r="C31214" s="1" t="s">
        <v>8276</v>
      </c>
      <c r="D31214" s="1" t="str">
        <f>HYPERLINK("https://rhld.insurance.arkansas.gov/NPILookup?Npi=1528881919","1528881919")</f>
        <v>1528881919</v>
      </c>
      <c r="E31214" s="1" t="s">
        <v>32271</v>
      </c>
      <c r="F31214" s="2"/>
      <c r="G31214" s="2"/>
      <c r="H31214" s="2"/>
    </row>
    <row r="31215" spans="1:8" x14ac:dyDescent="0.25">
      <c r="A31215" s="1"/>
      <c r="B31215" s="1" t="s">
        <v>8275</v>
      </c>
      <c r="C31215" s="1" t="s">
        <v>8276</v>
      </c>
      <c r="D31215" s="1" t="str">
        <f>HYPERLINK("https://rhld.insurance.arkansas.gov/NPILookup?Npi=1528883261","1528883261")</f>
        <v>1528883261</v>
      </c>
      <c r="E31215" s="1" t="s">
        <v>32272</v>
      </c>
      <c r="F31215" s="2"/>
      <c r="G31215" s="2"/>
      <c r="H31215" s="2"/>
    </row>
    <row r="31216" spans="1:8" x14ac:dyDescent="0.25">
      <c r="A31216" s="1"/>
      <c r="B31216" s="1" t="s">
        <v>8275</v>
      </c>
      <c r="C31216" s="1" t="s">
        <v>8276</v>
      </c>
      <c r="D31216" s="1" t="str">
        <f>HYPERLINK("https://rhld.insurance.arkansas.gov/NPILookup?Npi=1538110978","1538110978")</f>
        <v>1538110978</v>
      </c>
      <c r="E31216" s="1" t="s">
        <v>29727</v>
      </c>
      <c r="F31216" s="2"/>
      <c r="G31216" s="2"/>
      <c r="H31216" s="2"/>
    </row>
    <row r="31217" spans="1:8" x14ac:dyDescent="0.25">
      <c r="A31217" s="1"/>
      <c r="B31217" s="1" t="s">
        <v>8275</v>
      </c>
      <c r="C31217" s="1" t="s">
        <v>8276</v>
      </c>
      <c r="D31217" s="1" t="str">
        <f>HYPERLINK("https://rhld.insurance.arkansas.gov/NPILookup?Npi=1538114822","1538114822")</f>
        <v>1538114822</v>
      </c>
      <c r="E31217" s="1" t="s">
        <v>27499</v>
      </c>
      <c r="F31217" s="2"/>
      <c r="G31217" s="2"/>
      <c r="H31217" s="2"/>
    </row>
    <row r="31218" spans="1:8" x14ac:dyDescent="0.25">
      <c r="A31218" s="1"/>
      <c r="B31218" s="1" t="s">
        <v>8275</v>
      </c>
      <c r="C31218" s="1" t="s">
        <v>8276</v>
      </c>
      <c r="D31218" s="1" t="str">
        <f>HYPERLINK("https://rhld.insurance.arkansas.gov/NPILookup?Npi=1538132279","1538132279")</f>
        <v>1538132279</v>
      </c>
      <c r="E31218" s="1" t="s">
        <v>13238</v>
      </c>
      <c r="F31218" s="2"/>
      <c r="G31218" s="2"/>
      <c r="H31218" s="2"/>
    </row>
    <row r="31219" spans="1:8" x14ac:dyDescent="0.25">
      <c r="A31219" s="1"/>
      <c r="B31219" s="1" t="s">
        <v>8275</v>
      </c>
      <c r="C31219" s="1" t="s">
        <v>8276</v>
      </c>
      <c r="D31219" s="1" t="str">
        <f>HYPERLINK("https://rhld.insurance.arkansas.gov/NPILookup?Npi=1538139563","1538139563")</f>
        <v>1538139563</v>
      </c>
      <c r="E31219" s="1" t="s">
        <v>13239</v>
      </c>
      <c r="F31219" s="2"/>
      <c r="G31219" s="2"/>
      <c r="H31219" s="2"/>
    </row>
    <row r="31220" spans="1:8" x14ac:dyDescent="0.25">
      <c r="A31220" s="1"/>
      <c r="B31220" s="1" t="s">
        <v>8275</v>
      </c>
      <c r="C31220" s="1" t="s">
        <v>8276</v>
      </c>
      <c r="D31220" s="1" t="str">
        <f>HYPERLINK("https://rhld.insurance.arkansas.gov/NPILookup?Npi=1538141221","1538141221")</f>
        <v>1538141221</v>
      </c>
      <c r="E31220" s="1" t="s">
        <v>13240</v>
      </c>
      <c r="F31220" s="2"/>
      <c r="G31220" s="2"/>
      <c r="H31220" s="2"/>
    </row>
    <row r="31221" spans="1:8" x14ac:dyDescent="0.25">
      <c r="A31221" s="1"/>
      <c r="B31221" s="1" t="s">
        <v>8275</v>
      </c>
      <c r="C31221" s="1" t="s">
        <v>8276</v>
      </c>
      <c r="D31221" s="1" t="str">
        <f>HYPERLINK("https://rhld.insurance.arkansas.gov/NPILookup?Npi=1538154570","1538154570")</f>
        <v>1538154570</v>
      </c>
      <c r="E31221" s="1" t="s">
        <v>13241</v>
      </c>
      <c r="F31221" s="2"/>
      <c r="G31221" s="2"/>
      <c r="H31221" s="2"/>
    </row>
    <row r="31222" spans="1:8" x14ac:dyDescent="0.25">
      <c r="A31222" s="1"/>
      <c r="B31222" s="1" t="s">
        <v>8275</v>
      </c>
      <c r="C31222" s="1" t="s">
        <v>8276</v>
      </c>
      <c r="D31222" s="1" t="str">
        <f>HYPERLINK("https://rhld.insurance.arkansas.gov/NPILookup?Npi=1538155338","1538155338")</f>
        <v>1538155338</v>
      </c>
      <c r="E31222" s="1" t="s">
        <v>27503</v>
      </c>
      <c r="F31222" s="2"/>
      <c r="G31222" s="2"/>
      <c r="H31222" s="2"/>
    </row>
    <row r="31223" spans="1:8" x14ac:dyDescent="0.25">
      <c r="A31223" s="1"/>
      <c r="B31223" s="1" t="s">
        <v>8275</v>
      </c>
      <c r="C31223" s="1" t="s">
        <v>8276</v>
      </c>
      <c r="D31223" s="1" t="str">
        <f>HYPERLINK("https://rhld.insurance.arkansas.gov/NPILookup?Npi=1538178132","1538178132")</f>
        <v>1538178132</v>
      </c>
      <c r="E31223" s="1" t="s">
        <v>29728</v>
      </c>
      <c r="F31223" s="2"/>
      <c r="G31223" s="2"/>
      <c r="H31223" s="2"/>
    </row>
    <row r="31224" spans="1:8" x14ac:dyDescent="0.25">
      <c r="A31224" s="1"/>
      <c r="B31224" s="1" t="s">
        <v>8275</v>
      </c>
      <c r="C31224" s="1" t="s">
        <v>8276</v>
      </c>
      <c r="D31224" s="1" t="str">
        <f>HYPERLINK("https://rhld.insurance.arkansas.gov/NPILookup?Npi=1538198858","1538198858")</f>
        <v>1538198858</v>
      </c>
      <c r="E31224" s="1" t="s">
        <v>29729</v>
      </c>
      <c r="F31224" s="2"/>
      <c r="G31224" s="2"/>
      <c r="H31224" s="2"/>
    </row>
    <row r="31225" spans="1:8" x14ac:dyDescent="0.25">
      <c r="A31225" s="1"/>
      <c r="B31225" s="1" t="s">
        <v>8275</v>
      </c>
      <c r="C31225" s="1" t="s">
        <v>8276</v>
      </c>
      <c r="D31225" s="1" t="str">
        <f>HYPERLINK("https://rhld.insurance.arkansas.gov/NPILookup?Npi=1538279724","1538279724")</f>
        <v>1538279724</v>
      </c>
      <c r="E31225" s="1" t="s">
        <v>5050</v>
      </c>
      <c r="F31225" s="2"/>
      <c r="G31225" s="2"/>
      <c r="H31225" s="2"/>
    </row>
    <row r="31226" spans="1:8" x14ac:dyDescent="0.25">
      <c r="A31226" s="1"/>
      <c r="B31226" s="1" t="s">
        <v>8275</v>
      </c>
      <c r="C31226" s="1" t="s">
        <v>8276</v>
      </c>
      <c r="D31226" s="1" t="str">
        <f>HYPERLINK("https://rhld.insurance.arkansas.gov/NPILookup?Npi=1538331962","1538331962")</f>
        <v>1538331962</v>
      </c>
      <c r="E31226" s="1" t="s">
        <v>205</v>
      </c>
      <c r="F31226" s="2"/>
      <c r="G31226" s="2"/>
      <c r="H31226" s="2"/>
    </row>
    <row r="31227" spans="1:8" x14ac:dyDescent="0.25">
      <c r="A31227" s="1"/>
      <c r="B31227" s="1" t="s">
        <v>8275</v>
      </c>
      <c r="C31227" s="1" t="s">
        <v>8276</v>
      </c>
      <c r="D31227" s="1" t="str">
        <f>HYPERLINK("https://rhld.insurance.arkansas.gov/NPILookup?Npi=1538393103","1538393103")</f>
        <v>1538393103</v>
      </c>
      <c r="E31227" s="1" t="s">
        <v>4407</v>
      </c>
      <c r="F31227" s="2"/>
      <c r="G31227" s="2"/>
      <c r="H31227" s="2"/>
    </row>
    <row r="31228" spans="1:8" x14ac:dyDescent="0.25">
      <c r="A31228" s="1"/>
      <c r="B31228" s="1" t="s">
        <v>8275</v>
      </c>
      <c r="C31228" s="1" t="s">
        <v>8276</v>
      </c>
      <c r="D31228" s="1" t="str">
        <f>HYPERLINK("https://rhld.insurance.arkansas.gov/NPILookup?Npi=1538629035","1538629035")</f>
        <v>1538629035</v>
      </c>
      <c r="E31228" s="1" t="s">
        <v>29730</v>
      </c>
      <c r="F31228" s="2"/>
      <c r="G31228" s="2"/>
      <c r="H31228" s="2"/>
    </row>
    <row r="31229" spans="1:8" x14ac:dyDescent="0.25">
      <c r="A31229" s="1"/>
      <c r="B31229" s="1" t="s">
        <v>8275</v>
      </c>
      <c r="C31229" s="1" t="s">
        <v>8276</v>
      </c>
      <c r="D31229" s="1" t="str">
        <f>HYPERLINK("https://rhld.insurance.arkansas.gov/NPILookup?Npi=1538664388","1538664388")</f>
        <v>1538664388</v>
      </c>
      <c r="E31229" s="1" t="s">
        <v>31447</v>
      </c>
      <c r="F31229" s="2"/>
      <c r="G31229" s="2"/>
      <c r="H31229" s="2"/>
    </row>
    <row r="31230" spans="1:8" x14ac:dyDescent="0.25">
      <c r="A31230" s="1"/>
      <c r="B31230" s="1" t="s">
        <v>8275</v>
      </c>
      <c r="C31230" s="1" t="s">
        <v>8276</v>
      </c>
      <c r="D31230" s="1" t="str">
        <f>HYPERLINK("https://rhld.insurance.arkansas.gov/NPILookup?Npi=1538798087","1538798087")</f>
        <v>1538798087</v>
      </c>
      <c r="E31230" s="1" t="s">
        <v>27530</v>
      </c>
      <c r="F31230" s="2"/>
      <c r="G31230" s="2"/>
      <c r="H31230" s="2"/>
    </row>
    <row r="31231" spans="1:8" x14ac:dyDescent="0.25">
      <c r="A31231" s="1"/>
      <c r="B31231" s="1" t="s">
        <v>8275</v>
      </c>
      <c r="C31231" s="1" t="s">
        <v>8276</v>
      </c>
      <c r="D31231" s="1" t="str">
        <f>HYPERLINK("https://rhld.insurance.arkansas.gov/NPILookup?Npi=1538806591","1538806591")</f>
        <v>1538806591</v>
      </c>
      <c r="E31231" s="1" t="s">
        <v>27532</v>
      </c>
      <c r="F31231" s="2"/>
      <c r="G31231" s="2"/>
      <c r="H31231" s="2"/>
    </row>
    <row r="31232" spans="1:8" x14ac:dyDescent="0.25">
      <c r="A31232" s="1"/>
      <c r="B31232" s="1" t="s">
        <v>8275</v>
      </c>
      <c r="C31232" s="1" t="s">
        <v>8276</v>
      </c>
      <c r="D31232" s="1" t="str">
        <f>HYPERLINK("https://rhld.insurance.arkansas.gov/NPILookup?Npi=1538968896","1538968896")</f>
        <v>1538968896</v>
      </c>
      <c r="E31232" s="1" t="s">
        <v>32273</v>
      </c>
      <c r="F31232" s="2"/>
      <c r="G31232" s="2"/>
      <c r="H31232" s="2"/>
    </row>
    <row r="31233" spans="1:8" x14ac:dyDescent="0.25">
      <c r="A31233" s="1"/>
      <c r="B31233" s="1" t="s">
        <v>8275</v>
      </c>
      <c r="C31233" s="1" t="s">
        <v>8276</v>
      </c>
      <c r="D31233" s="1" t="str">
        <f>HYPERLINK("https://rhld.insurance.arkansas.gov/NPILookup?Npi=1548240856","1548240856")</f>
        <v>1548240856</v>
      </c>
      <c r="E31233" s="1" t="s">
        <v>27543</v>
      </c>
      <c r="F31233" s="2"/>
      <c r="G31233" s="2"/>
      <c r="H31233" s="2"/>
    </row>
    <row r="31234" spans="1:8" x14ac:dyDescent="0.25">
      <c r="A31234" s="1"/>
      <c r="B31234" s="1" t="s">
        <v>8275</v>
      </c>
      <c r="C31234" s="1" t="s">
        <v>8276</v>
      </c>
      <c r="D31234" s="1" t="str">
        <f>HYPERLINK("https://rhld.insurance.arkansas.gov/NPILookup?Npi=1548329857","1548329857")</f>
        <v>1548329857</v>
      </c>
      <c r="E31234" s="1" t="s">
        <v>27549</v>
      </c>
      <c r="F31234" s="2"/>
      <c r="G31234" s="2"/>
      <c r="H31234" s="2"/>
    </row>
    <row r="31235" spans="1:8" x14ac:dyDescent="0.25">
      <c r="A31235" s="1"/>
      <c r="B31235" s="1" t="s">
        <v>8275</v>
      </c>
      <c r="C31235" s="1" t="s">
        <v>8276</v>
      </c>
      <c r="D31235" s="1" t="str">
        <f>HYPERLINK("https://rhld.insurance.arkansas.gov/NPILookup?Npi=1548357981","1548357981")</f>
        <v>1548357981</v>
      </c>
      <c r="E31235" s="1" t="s">
        <v>13259</v>
      </c>
      <c r="F31235" s="2"/>
      <c r="G31235" s="2"/>
      <c r="H31235" s="2"/>
    </row>
    <row r="31236" spans="1:8" x14ac:dyDescent="0.25">
      <c r="A31236" s="1"/>
      <c r="B31236" s="1" t="s">
        <v>8275</v>
      </c>
      <c r="C31236" s="1" t="s">
        <v>8276</v>
      </c>
      <c r="D31236" s="1" t="str">
        <f>HYPERLINK("https://rhld.insurance.arkansas.gov/NPILookup?Npi=1548366354","1548366354")</f>
        <v>1548366354</v>
      </c>
      <c r="E31236" s="1" t="s">
        <v>13260</v>
      </c>
      <c r="F31236" s="2"/>
      <c r="G31236" s="2"/>
      <c r="H31236" s="2"/>
    </row>
    <row r="31237" spans="1:8" x14ac:dyDescent="0.25">
      <c r="A31237" s="1"/>
      <c r="B31237" s="1" t="s">
        <v>8275</v>
      </c>
      <c r="C31237" s="1" t="s">
        <v>8276</v>
      </c>
      <c r="D31237" s="1" t="str">
        <f>HYPERLINK("https://rhld.insurance.arkansas.gov/NPILookup?Npi=1548464936","1548464936")</f>
        <v>1548464936</v>
      </c>
      <c r="E31237" s="1" t="s">
        <v>27556</v>
      </c>
      <c r="F31237" s="2"/>
      <c r="G31237" s="2"/>
      <c r="H31237" s="2"/>
    </row>
    <row r="31238" spans="1:8" x14ac:dyDescent="0.25">
      <c r="A31238" s="1"/>
      <c r="B31238" s="1" t="s">
        <v>8275</v>
      </c>
      <c r="C31238" s="1" t="s">
        <v>8276</v>
      </c>
      <c r="D31238" s="1" t="str">
        <f>HYPERLINK("https://rhld.insurance.arkansas.gov/NPILookup?Npi=1548572027","1548572027")</f>
        <v>1548572027</v>
      </c>
      <c r="E31238" s="1" t="s">
        <v>29731</v>
      </c>
      <c r="F31238" s="2"/>
      <c r="G31238" s="2"/>
      <c r="H31238" s="2"/>
    </row>
    <row r="31239" spans="1:8" x14ac:dyDescent="0.25">
      <c r="A31239" s="1"/>
      <c r="B31239" s="1" t="s">
        <v>8275</v>
      </c>
      <c r="C31239" s="1" t="s">
        <v>8276</v>
      </c>
      <c r="D31239" s="1" t="str">
        <f>HYPERLINK("https://rhld.insurance.arkansas.gov/NPILookup?Npi=1548605256","1548605256")</f>
        <v>1548605256</v>
      </c>
      <c r="E31239" s="1" t="s">
        <v>13264</v>
      </c>
      <c r="F31239" s="2"/>
      <c r="G31239" s="2"/>
      <c r="H31239" s="2"/>
    </row>
    <row r="31240" spans="1:8" x14ac:dyDescent="0.25">
      <c r="A31240" s="1"/>
      <c r="B31240" s="1" t="s">
        <v>8275</v>
      </c>
      <c r="C31240" s="1" t="s">
        <v>8276</v>
      </c>
      <c r="D31240" s="1" t="str">
        <f>HYPERLINK("https://rhld.insurance.arkansas.gov/NPILookup?Npi=1548611049","1548611049")</f>
        <v>1548611049</v>
      </c>
      <c r="E31240" s="1" t="s">
        <v>2891</v>
      </c>
      <c r="F31240" s="2"/>
      <c r="G31240" s="2"/>
      <c r="H31240" s="2"/>
    </row>
    <row r="31241" spans="1:8" x14ac:dyDescent="0.25">
      <c r="A31241" s="1"/>
      <c r="B31241" s="1" t="s">
        <v>8275</v>
      </c>
      <c r="C31241" s="1" t="s">
        <v>8276</v>
      </c>
      <c r="D31241" s="1" t="str">
        <f>HYPERLINK("https://rhld.insurance.arkansas.gov/NPILookup?Npi=1548657653","1548657653")</f>
        <v>1548657653</v>
      </c>
      <c r="E31241" s="1" t="s">
        <v>8314</v>
      </c>
      <c r="F31241" s="2"/>
      <c r="G31241" s="2"/>
      <c r="H31241" s="2"/>
    </row>
    <row r="31242" spans="1:8" x14ac:dyDescent="0.25">
      <c r="A31242" s="1"/>
      <c r="B31242" s="1" t="s">
        <v>8275</v>
      </c>
      <c r="C31242" s="1" t="s">
        <v>8276</v>
      </c>
      <c r="D31242" s="1" t="str">
        <f>HYPERLINK("https://rhld.insurance.arkansas.gov/NPILookup?Npi=1548722101","1548722101")</f>
        <v>1548722101</v>
      </c>
      <c r="E31242" s="1" t="s">
        <v>29732</v>
      </c>
      <c r="F31242" s="2"/>
      <c r="G31242" s="2"/>
      <c r="H31242" s="2"/>
    </row>
    <row r="31243" spans="1:8" x14ac:dyDescent="0.25">
      <c r="A31243" s="1"/>
      <c r="B31243" s="1" t="s">
        <v>8275</v>
      </c>
      <c r="C31243" s="1" t="s">
        <v>8276</v>
      </c>
      <c r="D31243" s="1" t="str">
        <f>HYPERLINK("https://rhld.insurance.arkansas.gov/NPILookup?Npi=1548722507","1548722507")</f>
        <v>1548722507</v>
      </c>
      <c r="E31243" s="1" t="s">
        <v>29733</v>
      </c>
      <c r="F31243" s="2"/>
      <c r="G31243" s="2"/>
      <c r="H31243" s="2"/>
    </row>
    <row r="31244" spans="1:8" x14ac:dyDescent="0.25">
      <c r="A31244" s="1"/>
      <c r="B31244" s="1" t="s">
        <v>8275</v>
      </c>
      <c r="C31244" s="1" t="s">
        <v>8276</v>
      </c>
      <c r="D31244" s="1" t="str">
        <f>HYPERLINK("https://rhld.insurance.arkansas.gov/NPILookup?Npi=1548727522","1548727522")</f>
        <v>1548727522</v>
      </c>
      <c r="E31244" s="1" t="s">
        <v>7869</v>
      </c>
      <c r="F31244" s="2"/>
      <c r="G31244" s="2"/>
      <c r="H31244" s="2"/>
    </row>
    <row r="31245" spans="1:8" x14ac:dyDescent="0.25">
      <c r="A31245" s="1"/>
      <c r="B31245" s="1" t="s">
        <v>8275</v>
      </c>
      <c r="C31245" s="1" t="s">
        <v>8276</v>
      </c>
      <c r="D31245" s="1" t="str">
        <f>HYPERLINK("https://rhld.insurance.arkansas.gov/NPILookup?Npi=1548783202","1548783202")</f>
        <v>1548783202</v>
      </c>
      <c r="E31245" s="1" t="s">
        <v>4575</v>
      </c>
      <c r="F31245" s="2"/>
      <c r="G31245" s="2"/>
      <c r="H31245" s="2"/>
    </row>
    <row r="31246" spans="1:8" x14ac:dyDescent="0.25">
      <c r="A31246" s="1"/>
      <c r="B31246" s="1" t="s">
        <v>8275</v>
      </c>
      <c r="C31246" s="1" t="s">
        <v>8276</v>
      </c>
      <c r="D31246" s="1" t="str">
        <f>HYPERLINK("https://rhld.insurance.arkansas.gov/NPILookup?Npi=1548793748","1548793748")</f>
        <v>1548793748</v>
      </c>
      <c r="E31246" s="1" t="s">
        <v>17643</v>
      </c>
      <c r="F31246" s="2"/>
      <c r="G31246" s="2"/>
      <c r="H31246" s="2"/>
    </row>
    <row r="31247" spans="1:8" x14ac:dyDescent="0.25">
      <c r="A31247" s="1"/>
      <c r="B31247" s="1" t="s">
        <v>8275</v>
      </c>
      <c r="C31247" s="1" t="s">
        <v>8276</v>
      </c>
      <c r="D31247" s="1" t="str">
        <f>HYPERLINK("https://rhld.insurance.arkansas.gov/NPILookup?Npi=1548850084","1548850084")</f>
        <v>1548850084</v>
      </c>
      <c r="E31247" s="1" t="s">
        <v>32274</v>
      </c>
      <c r="F31247" s="2"/>
      <c r="G31247" s="2"/>
      <c r="H31247" s="2"/>
    </row>
    <row r="31248" spans="1:8" x14ac:dyDescent="0.25">
      <c r="A31248" s="1"/>
      <c r="B31248" s="1" t="s">
        <v>8275</v>
      </c>
      <c r="C31248" s="1" t="s">
        <v>8276</v>
      </c>
      <c r="D31248" s="1" t="str">
        <f>HYPERLINK("https://rhld.insurance.arkansas.gov/NPILookup?Npi=1548899107","1548899107")</f>
        <v>1548899107</v>
      </c>
      <c r="E31248" s="1" t="s">
        <v>27579</v>
      </c>
      <c r="F31248" s="2"/>
      <c r="G31248" s="2"/>
      <c r="H31248" s="2"/>
    </row>
    <row r="31249" spans="1:8" x14ac:dyDescent="0.25">
      <c r="A31249" s="1"/>
      <c r="B31249" s="1" t="s">
        <v>8275</v>
      </c>
      <c r="C31249" s="1" t="s">
        <v>8276</v>
      </c>
      <c r="D31249" s="1" t="str">
        <f>HYPERLINK("https://rhld.insurance.arkansas.gov/NPILookup?Npi=1548921497","1548921497")</f>
        <v>1548921497</v>
      </c>
      <c r="E31249" s="1" t="s">
        <v>7872</v>
      </c>
      <c r="F31249" s="2"/>
      <c r="G31249" s="2"/>
      <c r="H31249" s="2"/>
    </row>
    <row r="31250" spans="1:8" x14ac:dyDescent="0.25">
      <c r="A31250" s="1"/>
      <c r="B31250" s="1" t="s">
        <v>8275</v>
      </c>
      <c r="C31250" s="1" t="s">
        <v>8276</v>
      </c>
      <c r="D31250" s="1" t="str">
        <f>HYPERLINK("https://rhld.insurance.arkansas.gov/NPILookup?Npi=1548938764","1548938764")</f>
        <v>1548938764</v>
      </c>
      <c r="E31250" s="1" t="s">
        <v>7875</v>
      </c>
      <c r="F31250" s="2"/>
      <c r="G31250" s="2"/>
      <c r="H31250" s="2"/>
    </row>
    <row r="31251" spans="1:8" x14ac:dyDescent="0.25">
      <c r="A31251" s="1"/>
      <c r="B31251" s="1" t="s">
        <v>8275</v>
      </c>
      <c r="C31251" s="1" t="s">
        <v>8276</v>
      </c>
      <c r="D31251" s="1" t="str">
        <f>HYPERLINK("https://rhld.insurance.arkansas.gov/NPILookup?Npi=1558093393","1558093393")</f>
        <v>1558093393</v>
      </c>
      <c r="E31251" s="1" t="s">
        <v>32276</v>
      </c>
      <c r="F31251" s="2"/>
      <c r="G31251" s="2"/>
      <c r="H31251" s="2"/>
    </row>
    <row r="31252" spans="1:8" x14ac:dyDescent="0.25">
      <c r="A31252" s="1"/>
      <c r="B31252" s="1" t="s">
        <v>8275</v>
      </c>
      <c r="C31252" s="1" t="s">
        <v>8276</v>
      </c>
      <c r="D31252" s="1" t="str">
        <f>HYPERLINK("https://rhld.insurance.arkansas.gov/NPILookup?Npi=1558306019","1558306019")</f>
        <v>1558306019</v>
      </c>
      <c r="E31252" s="1" t="s">
        <v>767</v>
      </c>
      <c r="F31252" s="2"/>
      <c r="G31252" s="2"/>
      <c r="H31252" s="2"/>
    </row>
    <row r="31253" spans="1:8" x14ac:dyDescent="0.25">
      <c r="A31253" s="1"/>
      <c r="B31253" s="1" t="s">
        <v>8275</v>
      </c>
      <c r="C31253" s="1" t="s">
        <v>8276</v>
      </c>
      <c r="D31253" s="1" t="str">
        <f>HYPERLINK("https://rhld.insurance.arkansas.gov/NPILookup?Npi=1558330704","1558330704")</f>
        <v>1558330704</v>
      </c>
      <c r="E31253" s="1" t="s">
        <v>13276</v>
      </c>
      <c r="F31253" s="2"/>
      <c r="G31253" s="2"/>
      <c r="H31253" s="2"/>
    </row>
    <row r="31254" spans="1:8" x14ac:dyDescent="0.25">
      <c r="A31254" s="1"/>
      <c r="B31254" s="1" t="s">
        <v>8275</v>
      </c>
      <c r="C31254" s="1" t="s">
        <v>8276</v>
      </c>
      <c r="D31254" s="1" t="str">
        <f>HYPERLINK("https://rhld.insurance.arkansas.gov/NPILookup?Npi=1558365429","1558365429")</f>
        <v>1558365429</v>
      </c>
      <c r="E31254" s="1" t="s">
        <v>29734</v>
      </c>
      <c r="F31254" s="2"/>
      <c r="G31254" s="2"/>
      <c r="H31254" s="2"/>
    </row>
    <row r="31255" spans="1:8" x14ac:dyDescent="0.25">
      <c r="A31255" s="1"/>
      <c r="B31255" s="1" t="s">
        <v>8275</v>
      </c>
      <c r="C31255" s="1" t="s">
        <v>8276</v>
      </c>
      <c r="D31255" s="1" t="str">
        <f>HYPERLINK("https://rhld.insurance.arkansas.gov/NPILookup?Npi=1558511261","1558511261")</f>
        <v>1558511261</v>
      </c>
      <c r="E31255" s="1" t="s">
        <v>27590</v>
      </c>
      <c r="F31255" s="2"/>
      <c r="G31255" s="2"/>
      <c r="H31255" s="2"/>
    </row>
    <row r="31256" spans="1:8" x14ac:dyDescent="0.25">
      <c r="A31256" s="1"/>
      <c r="B31256" s="1" t="s">
        <v>8275</v>
      </c>
      <c r="C31256" s="1" t="s">
        <v>8276</v>
      </c>
      <c r="D31256" s="1" t="str">
        <f>HYPERLINK("https://rhld.insurance.arkansas.gov/NPILookup?Npi=1558547919","1558547919")</f>
        <v>1558547919</v>
      </c>
      <c r="E31256" s="1" t="s">
        <v>1126</v>
      </c>
      <c r="F31256" s="2"/>
      <c r="G31256" s="2"/>
      <c r="H31256" s="2"/>
    </row>
    <row r="31257" spans="1:8" x14ac:dyDescent="0.25">
      <c r="A31257" s="1"/>
      <c r="B31257" s="1" t="s">
        <v>8275</v>
      </c>
      <c r="C31257" s="1" t="s">
        <v>8276</v>
      </c>
      <c r="D31257" s="1" t="str">
        <f>HYPERLINK("https://rhld.insurance.arkansas.gov/NPILookup?Npi=1558603951","1558603951")</f>
        <v>1558603951</v>
      </c>
      <c r="E31257" s="1" t="s">
        <v>17650</v>
      </c>
      <c r="F31257" s="2"/>
      <c r="G31257" s="2"/>
      <c r="H31257" s="2"/>
    </row>
    <row r="31258" spans="1:8" x14ac:dyDescent="0.25">
      <c r="A31258" s="1"/>
      <c r="B31258" s="1" t="s">
        <v>8275</v>
      </c>
      <c r="C31258" s="1" t="s">
        <v>8276</v>
      </c>
      <c r="D31258" s="1" t="str">
        <f>HYPERLINK("https://rhld.insurance.arkansas.gov/NPILookup?Npi=1558616557","1558616557")</f>
        <v>1558616557</v>
      </c>
      <c r="E31258" s="1" t="s">
        <v>27595</v>
      </c>
      <c r="F31258" s="2"/>
      <c r="G31258" s="2"/>
      <c r="H31258" s="2"/>
    </row>
    <row r="31259" spans="1:8" x14ac:dyDescent="0.25">
      <c r="A31259" s="1"/>
      <c r="B31259" s="1" t="s">
        <v>8275</v>
      </c>
      <c r="C31259" s="1" t="s">
        <v>8276</v>
      </c>
      <c r="D31259" s="1" t="str">
        <f>HYPERLINK("https://rhld.insurance.arkansas.gov/NPILookup?Npi=1558657999","1558657999")</f>
        <v>1558657999</v>
      </c>
      <c r="E31259" s="1" t="s">
        <v>27596</v>
      </c>
      <c r="F31259" s="2"/>
      <c r="G31259" s="2"/>
      <c r="H31259" s="2"/>
    </row>
    <row r="31260" spans="1:8" x14ac:dyDescent="0.25">
      <c r="A31260" s="1"/>
      <c r="B31260" s="1" t="s">
        <v>8275</v>
      </c>
      <c r="C31260" s="1" t="s">
        <v>8276</v>
      </c>
      <c r="D31260" s="1" t="str">
        <f>HYPERLINK("https://rhld.insurance.arkansas.gov/NPILookup?Npi=1558672048","1558672048")</f>
        <v>1558672048</v>
      </c>
      <c r="E31260" s="1" t="s">
        <v>29735</v>
      </c>
      <c r="F31260" s="2"/>
      <c r="G31260" s="2"/>
      <c r="H31260" s="2"/>
    </row>
    <row r="31261" spans="1:8" x14ac:dyDescent="0.25">
      <c r="A31261" s="1"/>
      <c r="B31261" s="1" t="s">
        <v>8275</v>
      </c>
      <c r="C31261" s="1" t="s">
        <v>8276</v>
      </c>
      <c r="D31261" s="1" t="str">
        <f>HYPERLINK("https://rhld.insurance.arkansas.gov/NPILookup?Npi=1558715987","1558715987")</f>
        <v>1558715987</v>
      </c>
      <c r="E31261" s="1" t="s">
        <v>11783</v>
      </c>
      <c r="F31261" s="2"/>
      <c r="G31261" s="2"/>
      <c r="H31261" s="2"/>
    </row>
    <row r="31262" spans="1:8" x14ac:dyDescent="0.25">
      <c r="A31262" s="1"/>
      <c r="B31262" s="1" t="s">
        <v>8275</v>
      </c>
      <c r="C31262" s="1" t="s">
        <v>8276</v>
      </c>
      <c r="D31262" s="1" t="str">
        <f>HYPERLINK("https://rhld.insurance.arkansas.gov/NPILookup?Npi=1558761668","1558761668")</f>
        <v>1558761668</v>
      </c>
      <c r="E31262" s="1" t="s">
        <v>27604</v>
      </c>
      <c r="F31262" s="2"/>
      <c r="G31262" s="2"/>
      <c r="H31262" s="2"/>
    </row>
    <row r="31263" spans="1:8" x14ac:dyDescent="0.25">
      <c r="A31263" s="1"/>
      <c r="B31263" s="1" t="s">
        <v>8275</v>
      </c>
      <c r="C31263" s="1" t="s">
        <v>8276</v>
      </c>
      <c r="D31263" s="1" t="str">
        <f>HYPERLINK("https://rhld.insurance.arkansas.gov/NPILookup?Npi=1558779710","1558779710")</f>
        <v>1558779710</v>
      </c>
      <c r="E31263" s="1" t="s">
        <v>27605</v>
      </c>
      <c r="F31263" s="2"/>
      <c r="G31263" s="2"/>
      <c r="H31263" s="2"/>
    </row>
    <row r="31264" spans="1:8" x14ac:dyDescent="0.25">
      <c r="A31264" s="1"/>
      <c r="B31264" s="1" t="s">
        <v>8275</v>
      </c>
      <c r="C31264" s="1" t="s">
        <v>8276</v>
      </c>
      <c r="D31264" s="1" t="str">
        <f>HYPERLINK("https://rhld.insurance.arkansas.gov/NPILookup?Npi=1558874818","1558874818")</f>
        <v>1558874818</v>
      </c>
      <c r="E31264" s="1" t="s">
        <v>7884</v>
      </c>
      <c r="F31264" s="2"/>
      <c r="G31264" s="2"/>
      <c r="H31264" s="2"/>
    </row>
    <row r="31265" spans="1:8" x14ac:dyDescent="0.25">
      <c r="A31265" s="1"/>
      <c r="B31265" s="1" t="s">
        <v>8275</v>
      </c>
      <c r="C31265" s="1" t="s">
        <v>8276</v>
      </c>
      <c r="D31265" s="1" t="str">
        <f>HYPERLINK("https://rhld.insurance.arkansas.gov/NPILookup?Npi=1558948398","1558948398")</f>
        <v>1558948398</v>
      </c>
      <c r="E31265" s="1" t="s">
        <v>32278</v>
      </c>
      <c r="F31265" s="2"/>
      <c r="G31265" s="2"/>
      <c r="H31265" s="2"/>
    </row>
    <row r="31266" spans="1:8" x14ac:dyDescent="0.25">
      <c r="A31266" s="1"/>
      <c r="B31266" s="1" t="s">
        <v>8275</v>
      </c>
      <c r="C31266" s="1" t="s">
        <v>8276</v>
      </c>
      <c r="D31266" s="1" t="str">
        <f>HYPERLINK("https://rhld.insurance.arkansas.gov/NPILookup?Npi=1568006211","1568006211")</f>
        <v>1568006211</v>
      </c>
      <c r="E31266" s="1" t="s">
        <v>32279</v>
      </c>
      <c r="F31266" s="2"/>
      <c r="G31266" s="2"/>
      <c r="H31266" s="2"/>
    </row>
    <row r="31267" spans="1:8" x14ac:dyDescent="0.25">
      <c r="A31267" s="1"/>
      <c r="B31267" s="1" t="s">
        <v>8275</v>
      </c>
      <c r="C31267" s="1" t="s">
        <v>8276</v>
      </c>
      <c r="D31267" s="1" t="str">
        <f>HYPERLINK("https://rhld.insurance.arkansas.gov/NPILookup?Npi=1568061828","1568061828")</f>
        <v>1568061828</v>
      </c>
      <c r="E31267" s="1" t="s">
        <v>27621</v>
      </c>
      <c r="F31267" s="2"/>
      <c r="G31267" s="2"/>
      <c r="H31267" s="2"/>
    </row>
    <row r="31268" spans="1:8" x14ac:dyDescent="0.25">
      <c r="A31268" s="1"/>
      <c r="B31268" s="1" t="s">
        <v>8275</v>
      </c>
      <c r="C31268" s="1" t="s">
        <v>8276</v>
      </c>
      <c r="D31268" s="1" t="str">
        <f>HYPERLINK("https://rhld.insurance.arkansas.gov/NPILookup?Npi=1568088490","1568088490")</f>
        <v>1568088490</v>
      </c>
      <c r="E31268" s="1" t="s">
        <v>32280</v>
      </c>
      <c r="F31268" s="2"/>
      <c r="G31268" s="2"/>
      <c r="H31268" s="2"/>
    </row>
    <row r="31269" spans="1:8" x14ac:dyDescent="0.25">
      <c r="A31269" s="1"/>
      <c r="B31269" s="1" t="s">
        <v>8275</v>
      </c>
      <c r="C31269" s="1" t="s">
        <v>8276</v>
      </c>
      <c r="D31269" s="1" t="str">
        <f>HYPERLINK("https://rhld.insurance.arkansas.gov/NPILookup?Npi=1568090959","1568090959")</f>
        <v>1568090959</v>
      </c>
      <c r="E31269" s="1" t="s">
        <v>27624</v>
      </c>
      <c r="F31269" s="2"/>
      <c r="G31269" s="2"/>
      <c r="H31269" s="2"/>
    </row>
    <row r="31270" spans="1:8" x14ac:dyDescent="0.25">
      <c r="A31270" s="1"/>
      <c r="B31270" s="1" t="s">
        <v>8275</v>
      </c>
      <c r="C31270" s="1" t="s">
        <v>8276</v>
      </c>
      <c r="D31270" s="1" t="str">
        <f>HYPERLINK("https://rhld.insurance.arkansas.gov/NPILookup?Npi=1568105146","1568105146")</f>
        <v>1568105146</v>
      </c>
      <c r="E31270" s="1" t="s">
        <v>27626</v>
      </c>
      <c r="F31270" s="2"/>
      <c r="G31270" s="2"/>
      <c r="H31270" s="2"/>
    </row>
    <row r="31271" spans="1:8" x14ac:dyDescent="0.25">
      <c r="A31271" s="1"/>
      <c r="B31271" s="1" t="s">
        <v>8275</v>
      </c>
      <c r="C31271" s="1" t="s">
        <v>8276</v>
      </c>
      <c r="D31271" s="1" t="str">
        <f>HYPERLINK("https://rhld.insurance.arkansas.gov/NPILookup?Npi=1568208221","1568208221")</f>
        <v>1568208221</v>
      </c>
      <c r="E31271" s="1" t="s">
        <v>32282</v>
      </c>
      <c r="F31271" s="2"/>
      <c r="G31271" s="2"/>
      <c r="H31271" s="2"/>
    </row>
    <row r="31272" spans="1:8" x14ac:dyDescent="0.25">
      <c r="A31272" s="1"/>
      <c r="B31272" s="1" t="s">
        <v>8275</v>
      </c>
      <c r="C31272" s="1" t="s">
        <v>8276</v>
      </c>
      <c r="D31272" s="1" t="str">
        <f>HYPERLINK("https://rhld.insurance.arkansas.gov/NPILookup?Npi=1568275501","1568275501")</f>
        <v>1568275501</v>
      </c>
      <c r="E31272" s="1" t="s">
        <v>32283</v>
      </c>
      <c r="F31272" s="2"/>
      <c r="G31272" s="2"/>
      <c r="H31272" s="2"/>
    </row>
    <row r="31273" spans="1:8" x14ac:dyDescent="0.25">
      <c r="A31273" s="1"/>
      <c r="B31273" s="1" t="s">
        <v>8275</v>
      </c>
      <c r="C31273" s="1" t="s">
        <v>8276</v>
      </c>
      <c r="D31273" s="1" t="str">
        <f>HYPERLINK("https://rhld.insurance.arkansas.gov/NPILookup?Npi=1568293249","1568293249")</f>
        <v>1568293249</v>
      </c>
      <c r="E31273" s="1" t="s">
        <v>32284</v>
      </c>
      <c r="F31273" s="2"/>
      <c r="G31273" s="2"/>
      <c r="H31273" s="2"/>
    </row>
    <row r="31274" spans="1:8" x14ac:dyDescent="0.25">
      <c r="A31274" s="1"/>
      <c r="B31274" s="1" t="s">
        <v>8275</v>
      </c>
      <c r="C31274" s="1" t="s">
        <v>8276</v>
      </c>
      <c r="D31274" s="1" t="str">
        <f>HYPERLINK("https://rhld.insurance.arkansas.gov/NPILookup?Npi=1568434520","1568434520")</f>
        <v>1568434520</v>
      </c>
      <c r="E31274" s="1" t="s">
        <v>27638</v>
      </c>
      <c r="F31274" s="2"/>
      <c r="G31274" s="2"/>
      <c r="H31274" s="2"/>
    </row>
    <row r="31275" spans="1:8" x14ac:dyDescent="0.25">
      <c r="A31275" s="1"/>
      <c r="B31275" s="1" t="s">
        <v>8275</v>
      </c>
      <c r="C31275" s="1" t="s">
        <v>8276</v>
      </c>
      <c r="D31275" s="1" t="str">
        <f>HYPERLINK("https://rhld.insurance.arkansas.gov/NPILookup?Npi=1568495638","1568495638")</f>
        <v>1568495638</v>
      </c>
      <c r="E31275" s="1" t="s">
        <v>31449</v>
      </c>
      <c r="F31275" s="2"/>
      <c r="G31275" s="2"/>
      <c r="H31275" s="2"/>
    </row>
    <row r="31276" spans="1:8" x14ac:dyDescent="0.25">
      <c r="A31276" s="1"/>
      <c r="B31276" s="1" t="s">
        <v>8275</v>
      </c>
      <c r="C31276" s="1" t="s">
        <v>8276</v>
      </c>
      <c r="D31276" s="1" t="str">
        <f>HYPERLINK("https://rhld.insurance.arkansas.gov/NPILookup?Npi=1568511491","1568511491")</f>
        <v>1568511491</v>
      </c>
      <c r="E31276" s="1" t="s">
        <v>7894</v>
      </c>
      <c r="F31276" s="2"/>
      <c r="G31276" s="2"/>
      <c r="H31276" s="2"/>
    </row>
    <row r="31277" spans="1:8" x14ac:dyDescent="0.25">
      <c r="A31277" s="1"/>
      <c r="B31277" s="1" t="s">
        <v>8275</v>
      </c>
      <c r="C31277" s="1" t="s">
        <v>8276</v>
      </c>
      <c r="D31277" s="1" t="str">
        <f>HYPERLINK("https://rhld.insurance.arkansas.gov/NPILookup?Npi=1568751345","1568751345")</f>
        <v>1568751345</v>
      </c>
      <c r="E31277" s="1" t="s">
        <v>27643</v>
      </c>
      <c r="F31277" s="2"/>
      <c r="G31277" s="2"/>
      <c r="H31277" s="2"/>
    </row>
    <row r="31278" spans="1:8" x14ac:dyDescent="0.25">
      <c r="A31278" s="1"/>
      <c r="B31278" s="1" t="s">
        <v>8275</v>
      </c>
      <c r="C31278" s="1" t="s">
        <v>8276</v>
      </c>
      <c r="D31278" s="1" t="str">
        <f>HYPERLINK("https://rhld.insurance.arkansas.gov/NPILookup?Npi=1568753903","1568753903")</f>
        <v>1568753903</v>
      </c>
      <c r="E31278" s="1" t="s">
        <v>17662</v>
      </c>
      <c r="F31278" s="2"/>
      <c r="G31278" s="2"/>
      <c r="H31278" s="2"/>
    </row>
    <row r="31279" spans="1:8" x14ac:dyDescent="0.25">
      <c r="A31279" s="1"/>
      <c r="B31279" s="1" t="s">
        <v>8275</v>
      </c>
      <c r="C31279" s="1" t="s">
        <v>8276</v>
      </c>
      <c r="D31279" s="1" t="str">
        <f>HYPERLINK("https://rhld.insurance.arkansas.gov/NPILookup?Npi=1568780153","1568780153")</f>
        <v>1568780153</v>
      </c>
      <c r="E31279" s="1" t="s">
        <v>29736</v>
      </c>
      <c r="F31279" s="2"/>
      <c r="G31279" s="2"/>
      <c r="H31279" s="2"/>
    </row>
    <row r="31280" spans="1:8" x14ac:dyDescent="0.25">
      <c r="A31280" s="1"/>
      <c r="B31280" s="1" t="s">
        <v>8275</v>
      </c>
      <c r="C31280" s="1" t="s">
        <v>8276</v>
      </c>
      <c r="D31280" s="1" t="str">
        <f>HYPERLINK("https://rhld.insurance.arkansas.gov/NPILookup?Npi=1568825438","1568825438")</f>
        <v>1568825438</v>
      </c>
      <c r="E31280" s="1" t="s">
        <v>29737</v>
      </c>
      <c r="F31280" s="2"/>
      <c r="G31280" s="2"/>
      <c r="H31280" s="2"/>
    </row>
    <row r="31281" spans="1:8" x14ac:dyDescent="0.25">
      <c r="A31281" s="1"/>
      <c r="B31281" s="1" t="s">
        <v>8275</v>
      </c>
      <c r="C31281" s="1" t="s">
        <v>8276</v>
      </c>
      <c r="D31281" s="1" t="str">
        <f>HYPERLINK("https://rhld.insurance.arkansas.gov/NPILookup?Npi=1568857613","1568857613")</f>
        <v>1568857613</v>
      </c>
      <c r="E31281" s="1" t="s">
        <v>29738</v>
      </c>
      <c r="F31281" s="2"/>
      <c r="G31281" s="2"/>
      <c r="H31281" s="2"/>
    </row>
    <row r="31282" spans="1:8" x14ac:dyDescent="0.25">
      <c r="A31282" s="1"/>
      <c r="B31282" s="1" t="s">
        <v>8275</v>
      </c>
      <c r="C31282" s="1" t="s">
        <v>8276</v>
      </c>
      <c r="D31282" s="1" t="str">
        <f>HYPERLINK("https://rhld.insurance.arkansas.gov/NPILookup?Npi=1568881845","1568881845")</f>
        <v>1568881845</v>
      </c>
      <c r="E31282" s="1" t="s">
        <v>29739</v>
      </c>
      <c r="F31282" s="2"/>
      <c r="G31282" s="2"/>
      <c r="H31282" s="2"/>
    </row>
    <row r="31283" spans="1:8" x14ac:dyDescent="0.25">
      <c r="A31283" s="1"/>
      <c r="B31283" s="1" t="s">
        <v>8275</v>
      </c>
      <c r="C31283" s="1" t="s">
        <v>8276</v>
      </c>
      <c r="D31283" s="1" t="str">
        <f>HYPERLINK("https://rhld.insurance.arkansas.gov/NPILookup?Npi=1568898542","1568898542")</f>
        <v>1568898542</v>
      </c>
      <c r="E31283" s="1" t="s">
        <v>32287</v>
      </c>
      <c r="F31283" s="2"/>
      <c r="G31283" s="2"/>
      <c r="H31283" s="2"/>
    </row>
    <row r="31284" spans="1:8" x14ac:dyDescent="0.25">
      <c r="A31284" s="1"/>
      <c r="B31284" s="1" t="s">
        <v>8275</v>
      </c>
      <c r="C31284" s="1" t="s">
        <v>8276</v>
      </c>
      <c r="D31284" s="1" t="str">
        <f>HYPERLINK("https://rhld.insurance.arkansas.gov/NPILookup?Npi=1568968725","1568968725")</f>
        <v>1568968725</v>
      </c>
      <c r="E31284" s="1" t="s">
        <v>8315</v>
      </c>
      <c r="F31284" s="2"/>
      <c r="G31284" s="2"/>
      <c r="H31284" s="2"/>
    </row>
    <row r="31285" spans="1:8" x14ac:dyDescent="0.25">
      <c r="A31285" s="1"/>
      <c r="B31285" s="1" t="s">
        <v>8275</v>
      </c>
      <c r="C31285" s="1" t="s">
        <v>8276</v>
      </c>
      <c r="D31285" s="1" t="str">
        <f>HYPERLINK("https://rhld.insurance.arkansas.gov/NPILookup?Npi=1578084778","1578084778")</f>
        <v>1578084778</v>
      </c>
      <c r="E31285" s="1" t="s">
        <v>32465</v>
      </c>
      <c r="F31285" s="2"/>
      <c r="G31285" s="2"/>
      <c r="H31285" s="2"/>
    </row>
    <row r="31286" spans="1:8" x14ac:dyDescent="0.25">
      <c r="A31286" s="1"/>
      <c r="B31286" s="1" t="s">
        <v>8275</v>
      </c>
      <c r="C31286" s="1" t="s">
        <v>8276</v>
      </c>
      <c r="D31286" s="1" t="str">
        <f>HYPERLINK("https://rhld.insurance.arkansas.gov/NPILookup?Npi=1578101655","1578101655")</f>
        <v>1578101655</v>
      </c>
      <c r="E31286" s="1" t="s">
        <v>13293</v>
      </c>
      <c r="F31286" s="2"/>
      <c r="G31286" s="2"/>
      <c r="H31286" s="2"/>
    </row>
    <row r="31287" spans="1:8" x14ac:dyDescent="0.25">
      <c r="A31287" s="1"/>
      <c r="B31287" s="1" t="s">
        <v>8275</v>
      </c>
      <c r="C31287" s="1" t="s">
        <v>8276</v>
      </c>
      <c r="D31287" s="1" t="str">
        <f>HYPERLINK("https://rhld.insurance.arkansas.gov/NPILookup?Npi=1578191383","1578191383")</f>
        <v>1578191383</v>
      </c>
      <c r="E31287" s="1" t="s">
        <v>29740</v>
      </c>
      <c r="F31287" s="2"/>
      <c r="G31287" s="2"/>
      <c r="H31287" s="2"/>
    </row>
    <row r="31288" spans="1:8" x14ac:dyDescent="0.25">
      <c r="A31288" s="1"/>
      <c r="B31288" s="1" t="s">
        <v>8275</v>
      </c>
      <c r="C31288" s="1" t="s">
        <v>8276</v>
      </c>
      <c r="D31288" s="1" t="str">
        <f>HYPERLINK("https://rhld.insurance.arkansas.gov/NPILookup?Npi=1578251757","1578251757")</f>
        <v>1578251757</v>
      </c>
      <c r="E31288" s="1" t="s">
        <v>32288</v>
      </c>
      <c r="F31288" s="2"/>
      <c r="G31288" s="2"/>
      <c r="H31288" s="2"/>
    </row>
    <row r="31289" spans="1:8" x14ac:dyDescent="0.25">
      <c r="A31289" s="1"/>
      <c r="B31289" s="1" t="s">
        <v>8275</v>
      </c>
      <c r="C31289" s="1" t="s">
        <v>8276</v>
      </c>
      <c r="D31289" s="1" t="str">
        <f>HYPERLINK("https://rhld.insurance.arkansas.gov/NPILookup?Npi=1578252276","1578252276")</f>
        <v>1578252276</v>
      </c>
      <c r="E31289" s="1" t="s">
        <v>32289</v>
      </c>
      <c r="F31289" s="2"/>
      <c r="G31289" s="2"/>
      <c r="H31289" s="2"/>
    </row>
    <row r="31290" spans="1:8" x14ac:dyDescent="0.25">
      <c r="A31290" s="1"/>
      <c r="B31290" s="1" t="s">
        <v>8275</v>
      </c>
      <c r="C31290" s="1" t="s">
        <v>8276</v>
      </c>
      <c r="D31290" s="1" t="str">
        <f>HYPERLINK("https://rhld.insurance.arkansas.gov/NPILookup?Npi=1578357109","1578357109")</f>
        <v>1578357109</v>
      </c>
      <c r="E31290" s="1" t="s">
        <v>32290</v>
      </c>
      <c r="F31290" s="2"/>
      <c r="G31290" s="2"/>
      <c r="H31290" s="2"/>
    </row>
    <row r="31291" spans="1:8" x14ac:dyDescent="0.25">
      <c r="A31291" s="1"/>
      <c r="B31291" s="1" t="s">
        <v>8275</v>
      </c>
      <c r="C31291" s="1" t="s">
        <v>8276</v>
      </c>
      <c r="D31291" s="1" t="str">
        <f>HYPERLINK("https://rhld.insurance.arkansas.gov/NPILookup?Npi=1578372660","1578372660")</f>
        <v>1578372660</v>
      </c>
      <c r="E31291" s="1" t="s">
        <v>32291</v>
      </c>
      <c r="F31291" s="2"/>
      <c r="G31291" s="2"/>
      <c r="H31291" s="2"/>
    </row>
    <row r="31292" spans="1:8" x14ac:dyDescent="0.25">
      <c r="A31292" s="1"/>
      <c r="B31292" s="1" t="s">
        <v>8275</v>
      </c>
      <c r="C31292" s="1" t="s">
        <v>8276</v>
      </c>
      <c r="D31292" s="1" t="str">
        <f>HYPERLINK("https://rhld.insurance.arkansas.gov/NPILookup?Npi=1578387668","1578387668")</f>
        <v>1578387668</v>
      </c>
      <c r="E31292" s="1" t="s">
        <v>32292</v>
      </c>
      <c r="F31292" s="2"/>
      <c r="G31292" s="2"/>
      <c r="H31292" s="2"/>
    </row>
    <row r="31293" spans="1:8" x14ac:dyDescent="0.25">
      <c r="A31293" s="1"/>
      <c r="B31293" s="1" t="s">
        <v>8275</v>
      </c>
      <c r="C31293" s="1" t="s">
        <v>8276</v>
      </c>
      <c r="D31293" s="1" t="str">
        <f>HYPERLINK("https://rhld.insurance.arkansas.gov/NPILookup?Npi=1578524435","1578524435")</f>
        <v>1578524435</v>
      </c>
      <c r="E31293" s="1" t="s">
        <v>27679</v>
      </c>
      <c r="F31293" s="2"/>
      <c r="G31293" s="2"/>
      <c r="H31293" s="2"/>
    </row>
    <row r="31294" spans="1:8" x14ac:dyDescent="0.25">
      <c r="A31294" s="1"/>
      <c r="B31294" s="1" t="s">
        <v>8275</v>
      </c>
      <c r="C31294" s="1" t="s">
        <v>8276</v>
      </c>
      <c r="D31294" s="1" t="str">
        <f>HYPERLINK("https://rhld.insurance.arkansas.gov/NPILookup?Npi=1578535092","1578535092")</f>
        <v>1578535092</v>
      </c>
      <c r="E31294" s="1" t="s">
        <v>18799</v>
      </c>
      <c r="F31294" s="2"/>
      <c r="G31294" s="2"/>
      <c r="H31294" s="2"/>
    </row>
    <row r="31295" spans="1:8" x14ac:dyDescent="0.25">
      <c r="A31295" s="1"/>
      <c r="B31295" s="1" t="s">
        <v>8275</v>
      </c>
      <c r="C31295" s="1" t="s">
        <v>8276</v>
      </c>
      <c r="D31295" s="1" t="str">
        <f>HYPERLINK("https://rhld.insurance.arkansas.gov/NPILookup?Npi=1578663696","1578663696")</f>
        <v>1578663696</v>
      </c>
      <c r="E31295" s="1" t="s">
        <v>27692</v>
      </c>
      <c r="F31295" s="2"/>
      <c r="G31295" s="2"/>
      <c r="H31295" s="2"/>
    </row>
    <row r="31296" spans="1:8" x14ac:dyDescent="0.25">
      <c r="A31296" s="1"/>
      <c r="B31296" s="1" t="s">
        <v>8275</v>
      </c>
      <c r="C31296" s="1" t="s">
        <v>8276</v>
      </c>
      <c r="D31296" s="1" t="str">
        <f>HYPERLINK("https://rhld.insurance.arkansas.gov/NPILookup?Npi=1578691135","1578691135")</f>
        <v>1578691135</v>
      </c>
      <c r="E31296" s="1" t="s">
        <v>2387</v>
      </c>
      <c r="F31296" s="2"/>
      <c r="G31296" s="2"/>
      <c r="H31296" s="2"/>
    </row>
    <row r="31297" spans="1:8" x14ac:dyDescent="0.25">
      <c r="A31297" s="1"/>
      <c r="B31297" s="1" t="s">
        <v>8275</v>
      </c>
      <c r="C31297" s="1" t="s">
        <v>8276</v>
      </c>
      <c r="D31297" s="1" t="str">
        <f>HYPERLINK("https://rhld.insurance.arkansas.gov/NPILookup?Npi=1578731154","1578731154")</f>
        <v>1578731154</v>
      </c>
      <c r="E31297" s="1" t="s">
        <v>29741</v>
      </c>
      <c r="F31297" s="2"/>
      <c r="G31297" s="2"/>
      <c r="H31297" s="2"/>
    </row>
    <row r="31298" spans="1:8" x14ac:dyDescent="0.25">
      <c r="A31298" s="1"/>
      <c r="B31298" s="1" t="s">
        <v>8275</v>
      </c>
      <c r="C31298" s="1" t="s">
        <v>8276</v>
      </c>
      <c r="D31298" s="1" t="str">
        <f>HYPERLINK("https://rhld.insurance.arkansas.gov/NPILookup?Npi=1578777538","1578777538")</f>
        <v>1578777538</v>
      </c>
      <c r="E31298" s="1" t="s">
        <v>27695</v>
      </c>
      <c r="F31298" s="2"/>
      <c r="G31298" s="2"/>
      <c r="H31298" s="2"/>
    </row>
    <row r="31299" spans="1:8" x14ac:dyDescent="0.25">
      <c r="A31299" s="1"/>
      <c r="B31299" s="1" t="s">
        <v>8275</v>
      </c>
      <c r="C31299" s="1" t="s">
        <v>8276</v>
      </c>
      <c r="D31299" s="1" t="str">
        <f>HYPERLINK("https://rhld.insurance.arkansas.gov/NPILookup?Npi=1578792644","1578792644")</f>
        <v>1578792644</v>
      </c>
      <c r="E31299" s="1" t="s">
        <v>1102</v>
      </c>
      <c r="F31299" s="2"/>
      <c r="G31299" s="2"/>
      <c r="H31299" s="2"/>
    </row>
    <row r="31300" spans="1:8" x14ac:dyDescent="0.25">
      <c r="A31300" s="1"/>
      <c r="B31300" s="1" t="s">
        <v>8275</v>
      </c>
      <c r="C31300" s="1" t="s">
        <v>8276</v>
      </c>
      <c r="D31300" s="1" t="str">
        <f>HYPERLINK("https://rhld.insurance.arkansas.gov/NPILookup?Npi=1578829024","1578829024")</f>
        <v>1578829024</v>
      </c>
      <c r="E31300" s="1" t="s">
        <v>29742</v>
      </c>
      <c r="F31300" s="2"/>
      <c r="G31300" s="2"/>
      <c r="H31300" s="2"/>
    </row>
    <row r="31301" spans="1:8" x14ac:dyDescent="0.25">
      <c r="A31301" s="1"/>
      <c r="B31301" s="1" t="s">
        <v>8275</v>
      </c>
      <c r="C31301" s="1" t="s">
        <v>8276</v>
      </c>
      <c r="D31301" s="1" t="str">
        <f>HYPERLINK("https://rhld.insurance.arkansas.gov/NPILookup?Npi=1578890257","1578890257")</f>
        <v>1578890257</v>
      </c>
      <c r="E31301" s="1" t="s">
        <v>3149</v>
      </c>
      <c r="F31301" s="2"/>
      <c r="G31301" s="2"/>
      <c r="H31301" s="2"/>
    </row>
    <row r="31302" spans="1:8" x14ac:dyDescent="0.25">
      <c r="A31302" s="1"/>
      <c r="B31302" s="1" t="s">
        <v>8275</v>
      </c>
      <c r="C31302" s="1" t="s">
        <v>8276</v>
      </c>
      <c r="D31302" s="1" t="str">
        <f>HYPERLINK("https://rhld.insurance.arkansas.gov/NPILookup?Npi=1578911293","1578911293")</f>
        <v>1578911293</v>
      </c>
      <c r="E31302" s="1" t="s">
        <v>32293</v>
      </c>
      <c r="F31302" s="2"/>
      <c r="G31302" s="2"/>
      <c r="H31302" s="2"/>
    </row>
    <row r="31303" spans="1:8" x14ac:dyDescent="0.25">
      <c r="A31303" s="1"/>
      <c r="B31303" s="1" t="s">
        <v>8275</v>
      </c>
      <c r="C31303" s="1" t="s">
        <v>8276</v>
      </c>
      <c r="D31303" s="1" t="str">
        <f>HYPERLINK("https://rhld.insurance.arkansas.gov/NPILookup?Npi=1578956223","1578956223")</f>
        <v>1578956223</v>
      </c>
      <c r="E31303" s="1" t="s">
        <v>13309</v>
      </c>
      <c r="F31303" s="2"/>
      <c r="G31303" s="2"/>
      <c r="H31303" s="2"/>
    </row>
    <row r="31304" spans="1:8" x14ac:dyDescent="0.25">
      <c r="A31304" s="1"/>
      <c r="B31304" s="1" t="s">
        <v>8275</v>
      </c>
      <c r="C31304" s="1" t="s">
        <v>8276</v>
      </c>
      <c r="D31304" s="1" t="str">
        <f>HYPERLINK("https://rhld.insurance.arkansas.gov/NPILookup?Npi=1588028302","1588028302")</f>
        <v>1588028302</v>
      </c>
      <c r="E31304" s="1" t="s">
        <v>942</v>
      </c>
      <c r="F31304" s="2"/>
      <c r="G31304" s="2"/>
      <c r="H31304" s="2"/>
    </row>
    <row r="31305" spans="1:8" x14ac:dyDescent="0.25">
      <c r="A31305" s="1"/>
      <c r="B31305" s="1" t="s">
        <v>8275</v>
      </c>
      <c r="C31305" s="1" t="s">
        <v>8276</v>
      </c>
      <c r="D31305" s="1" t="str">
        <f>HYPERLINK("https://rhld.insurance.arkansas.gov/NPILookup?Npi=1588058895","1588058895")</f>
        <v>1588058895</v>
      </c>
      <c r="E31305" s="1" t="s">
        <v>13312</v>
      </c>
      <c r="F31305" s="2"/>
      <c r="G31305" s="2"/>
      <c r="H31305" s="2"/>
    </row>
    <row r="31306" spans="1:8" x14ac:dyDescent="0.25">
      <c r="A31306" s="1"/>
      <c r="B31306" s="1" t="s">
        <v>8275</v>
      </c>
      <c r="C31306" s="1" t="s">
        <v>8276</v>
      </c>
      <c r="D31306" s="1" t="str">
        <f>HYPERLINK("https://rhld.insurance.arkansas.gov/NPILookup?Npi=1588059901","1588059901")</f>
        <v>1588059901</v>
      </c>
      <c r="E31306" s="1" t="s">
        <v>29743</v>
      </c>
      <c r="F31306" s="2"/>
      <c r="G31306" s="2"/>
      <c r="H31306" s="2"/>
    </row>
    <row r="31307" spans="1:8" x14ac:dyDescent="0.25">
      <c r="A31307" s="1"/>
      <c r="B31307" s="1" t="s">
        <v>8275</v>
      </c>
      <c r="C31307" s="1" t="s">
        <v>8276</v>
      </c>
      <c r="D31307" s="1" t="str">
        <f>HYPERLINK("https://rhld.insurance.arkansas.gov/NPILookup?Npi=1588088827","1588088827")</f>
        <v>1588088827</v>
      </c>
      <c r="E31307" s="1" t="s">
        <v>7910</v>
      </c>
      <c r="F31307" s="2"/>
      <c r="G31307" s="2"/>
      <c r="H31307" s="2"/>
    </row>
    <row r="31308" spans="1:8" x14ac:dyDescent="0.25">
      <c r="A31308" s="1"/>
      <c r="B31308" s="1" t="s">
        <v>8275</v>
      </c>
      <c r="C31308" s="1" t="s">
        <v>8276</v>
      </c>
      <c r="D31308" s="1" t="str">
        <f>HYPERLINK("https://rhld.insurance.arkansas.gov/NPILookup?Npi=1588113435","1588113435")</f>
        <v>1588113435</v>
      </c>
      <c r="E31308" s="1" t="s">
        <v>13314</v>
      </c>
      <c r="F31308" s="2"/>
      <c r="G31308" s="2"/>
      <c r="H31308" s="2"/>
    </row>
    <row r="31309" spans="1:8" x14ac:dyDescent="0.25">
      <c r="A31309" s="1"/>
      <c r="B31309" s="1" t="s">
        <v>8275</v>
      </c>
      <c r="C31309" s="1" t="s">
        <v>8276</v>
      </c>
      <c r="D31309" s="1" t="str">
        <f>HYPERLINK("https://rhld.insurance.arkansas.gov/NPILookup?Npi=1588143580","1588143580")</f>
        <v>1588143580</v>
      </c>
      <c r="E31309" s="1" t="s">
        <v>13315</v>
      </c>
      <c r="F31309" s="2"/>
      <c r="G31309" s="2"/>
      <c r="H31309" s="2"/>
    </row>
    <row r="31310" spans="1:8" x14ac:dyDescent="0.25">
      <c r="A31310" s="1"/>
      <c r="B31310" s="1" t="s">
        <v>8275</v>
      </c>
      <c r="C31310" s="1" t="s">
        <v>8276</v>
      </c>
      <c r="D31310" s="1" t="str">
        <f>HYPERLINK("https://rhld.insurance.arkansas.gov/NPILookup?Npi=1588147078","1588147078")</f>
        <v>1588147078</v>
      </c>
      <c r="E31310" s="1" t="s">
        <v>32294</v>
      </c>
      <c r="F31310" s="2"/>
      <c r="G31310" s="2"/>
      <c r="H31310" s="2"/>
    </row>
    <row r="31311" spans="1:8" x14ac:dyDescent="0.25">
      <c r="A31311" s="1"/>
      <c r="B31311" s="1" t="s">
        <v>8275</v>
      </c>
      <c r="C31311" s="1" t="s">
        <v>8276</v>
      </c>
      <c r="D31311" s="1" t="str">
        <f>HYPERLINK("https://rhld.insurance.arkansas.gov/NPILookup?Npi=1588160576","1588160576")</f>
        <v>1588160576</v>
      </c>
      <c r="E31311" s="1" t="s">
        <v>29744</v>
      </c>
      <c r="F31311" s="2"/>
      <c r="G31311" s="2"/>
      <c r="H31311" s="2"/>
    </row>
    <row r="31312" spans="1:8" x14ac:dyDescent="0.25">
      <c r="A31312" s="1"/>
      <c r="B31312" s="1" t="s">
        <v>8275</v>
      </c>
      <c r="C31312" s="1" t="s">
        <v>8276</v>
      </c>
      <c r="D31312" s="1" t="str">
        <f>HYPERLINK("https://rhld.insurance.arkansas.gov/NPILookup?Npi=1588265896","1588265896")</f>
        <v>1588265896</v>
      </c>
      <c r="E31312" s="1" t="s">
        <v>32295</v>
      </c>
      <c r="F31312" s="2"/>
      <c r="G31312" s="2"/>
      <c r="H31312" s="2"/>
    </row>
    <row r="31313" spans="1:8" x14ac:dyDescent="0.25">
      <c r="A31313" s="1"/>
      <c r="B31313" s="1" t="s">
        <v>8275</v>
      </c>
      <c r="C31313" s="1" t="s">
        <v>8276</v>
      </c>
      <c r="D31313" s="1" t="str">
        <f>HYPERLINK("https://rhld.insurance.arkansas.gov/NPILookup?Npi=1588293344","1588293344")</f>
        <v>1588293344</v>
      </c>
      <c r="E31313" s="1" t="s">
        <v>32296</v>
      </c>
      <c r="F31313" s="2"/>
      <c r="G31313" s="2"/>
      <c r="H31313" s="2"/>
    </row>
    <row r="31314" spans="1:8" x14ac:dyDescent="0.25">
      <c r="A31314" s="1"/>
      <c r="B31314" s="1" t="s">
        <v>8275</v>
      </c>
      <c r="C31314" s="1" t="s">
        <v>8276</v>
      </c>
      <c r="D31314" s="1" t="str">
        <f>HYPERLINK("https://rhld.insurance.arkansas.gov/NPILookup?Npi=1588434070","1588434070")</f>
        <v>1588434070</v>
      </c>
      <c r="E31314" s="1" t="s">
        <v>32298</v>
      </c>
      <c r="F31314" s="2"/>
      <c r="G31314" s="2"/>
      <c r="H31314" s="2"/>
    </row>
    <row r="31315" spans="1:8" x14ac:dyDescent="0.25">
      <c r="A31315" s="1"/>
      <c r="B31315" s="1" t="s">
        <v>8275</v>
      </c>
      <c r="C31315" s="1" t="s">
        <v>8276</v>
      </c>
      <c r="D31315" s="1" t="str">
        <f>HYPERLINK("https://rhld.insurance.arkansas.gov/NPILookup?Npi=1588608699","1588608699")</f>
        <v>1588608699</v>
      </c>
      <c r="E31315" s="1" t="s">
        <v>29745</v>
      </c>
      <c r="F31315" s="2"/>
      <c r="G31315" s="2"/>
      <c r="H31315" s="2"/>
    </row>
    <row r="31316" spans="1:8" x14ac:dyDescent="0.25">
      <c r="A31316" s="1"/>
      <c r="B31316" s="1" t="s">
        <v>8275</v>
      </c>
      <c r="C31316" s="1" t="s">
        <v>8276</v>
      </c>
      <c r="D31316" s="1" t="str">
        <f>HYPERLINK("https://rhld.insurance.arkansas.gov/NPILookup?Npi=1588619704","1588619704")</f>
        <v>1588619704</v>
      </c>
      <c r="E31316" s="1" t="s">
        <v>29746</v>
      </c>
      <c r="F31316" s="2"/>
      <c r="G31316" s="2"/>
      <c r="H31316" s="2"/>
    </row>
    <row r="31317" spans="1:8" x14ac:dyDescent="0.25">
      <c r="A31317" s="1"/>
      <c r="B31317" s="1" t="s">
        <v>8275</v>
      </c>
      <c r="C31317" s="1" t="s">
        <v>8276</v>
      </c>
      <c r="D31317" s="1" t="str">
        <f>HYPERLINK("https://rhld.insurance.arkansas.gov/NPILookup?Npi=1588658173","1588658173")</f>
        <v>1588658173</v>
      </c>
      <c r="E31317" s="1" t="s">
        <v>29747</v>
      </c>
      <c r="F31317" s="2"/>
      <c r="G31317" s="2"/>
      <c r="H31317" s="2"/>
    </row>
    <row r="31318" spans="1:8" x14ac:dyDescent="0.25">
      <c r="A31318" s="1"/>
      <c r="B31318" s="1" t="s">
        <v>8275</v>
      </c>
      <c r="C31318" s="1" t="s">
        <v>8276</v>
      </c>
      <c r="D31318" s="1" t="str">
        <f>HYPERLINK("https://rhld.insurance.arkansas.gov/NPILookup?Npi=1588664726","1588664726")</f>
        <v>1588664726</v>
      </c>
      <c r="E31318" s="1" t="s">
        <v>693</v>
      </c>
      <c r="F31318" s="2"/>
      <c r="G31318" s="2"/>
      <c r="H31318" s="2"/>
    </row>
    <row r="31319" spans="1:8" x14ac:dyDescent="0.25">
      <c r="A31319" s="1"/>
      <c r="B31319" s="1" t="s">
        <v>8275</v>
      </c>
      <c r="C31319" s="1" t="s">
        <v>8276</v>
      </c>
      <c r="D31319" s="1" t="str">
        <f>HYPERLINK("https://rhld.insurance.arkansas.gov/NPILookup?Npi=1588684492","1588684492")</f>
        <v>1588684492</v>
      </c>
      <c r="E31319" s="1" t="s">
        <v>17687</v>
      </c>
      <c r="F31319" s="2"/>
      <c r="G31319" s="2"/>
      <c r="H31319" s="2"/>
    </row>
    <row r="31320" spans="1:8" x14ac:dyDescent="0.25">
      <c r="A31320" s="1"/>
      <c r="B31320" s="1" t="s">
        <v>8275</v>
      </c>
      <c r="C31320" s="1" t="s">
        <v>8276</v>
      </c>
      <c r="D31320" s="1" t="str">
        <f>HYPERLINK("https://rhld.insurance.arkansas.gov/NPILookup?Npi=1588692719","1588692719")</f>
        <v>1588692719</v>
      </c>
      <c r="E31320" s="1" t="s">
        <v>17688</v>
      </c>
      <c r="F31320" s="2"/>
      <c r="G31320" s="2"/>
      <c r="H31320" s="2"/>
    </row>
    <row r="31321" spans="1:8" x14ac:dyDescent="0.25">
      <c r="A31321" s="1"/>
      <c r="B31321" s="1" t="s">
        <v>8275</v>
      </c>
      <c r="C31321" s="1" t="s">
        <v>8276</v>
      </c>
      <c r="D31321" s="1" t="str">
        <f>HYPERLINK("https://rhld.insurance.arkansas.gov/NPILookup?Npi=1588692826","1588692826")</f>
        <v>1588692826</v>
      </c>
      <c r="E31321" s="1" t="s">
        <v>10376</v>
      </c>
      <c r="F31321" s="2"/>
      <c r="G31321" s="2"/>
      <c r="H31321" s="2"/>
    </row>
    <row r="31322" spans="1:8" x14ac:dyDescent="0.25">
      <c r="A31322" s="1"/>
      <c r="B31322" s="1" t="s">
        <v>8275</v>
      </c>
      <c r="C31322" s="1" t="s">
        <v>8276</v>
      </c>
      <c r="D31322" s="1" t="str">
        <f>HYPERLINK("https://rhld.insurance.arkansas.gov/NPILookup?Npi=1588698906","1588698906")</f>
        <v>1588698906</v>
      </c>
      <c r="E31322" s="1" t="s">
        <v>13323</v>
      </c>
      <c r="F31322" s="2"/>
      <c r="G31322" s="2"/>
      <c r="H31322" s="2"/>
    </row>
    <row r="31323" spans="1:8" x14ac:dyDescent="0.25">
      <c r="A31323" s="1"/>
      <c r="B31323" s="1" t="s">
        <v>8275</v>
      </c>
      <c r="C31323" s="1" t="s">
        <v>8276</v>
      </c>
      <c r="D31323" s="1" t="str">
        <f>HYPERLINK("https://rhld.insurance.arkansas.gov/NPILookup?Npi=1588701288","1588701288")</f>
        <v>1588701288</v>
      </c>
      <c r="E31323" s="1" t="s">
        <v>338</v>
      </c>
      <c r="F31323" s="2"/>
      <c r="G31323" s="2"/>
      <c r="H31323" s="2"/>
    </row>
    <row r="31324" spans="1:8" x14ac:dyDescent="0.25">
      <c r="A31324" s="1"/>
      <c r="B31324" s="1" t="s">
        <v>8275</v>
      </c>
      <c r="C31324" s="1" t="s">
        <v>8276</v>
      </c>
      <c r="D31324" s="1" t="str">
        <f>HYPERLINK("https://rhld.insurance.arkansas.gov/NPILookup?Npi=1588739783","1588739783")</f>
        <v>1588739783</v>
      </c>
      <c r="E31324" s="1" t="s">
        <v>17690</v>
      </c>
      <c r="F31324" s="2"/>
      <c r="G31324" s="2"/>
      <c r="H31324" s="2"/>
    </row>
    <row r="31325" spans="1:8" x14ac:dyDescent="0.25">
      <c r="A31325" s="1"/>
      <c r="B31325" s="1" t="s">
        <v>8275</v>
      </c>
      <c r="C31325" s="1" t="s">
        <v>8276</v>
      </c>
      <c r="D31325" s="1" t="str">
        <f>HYPERLINK("https://rhld.insurance.arkansas.gov/NPILookup?Npi=1588748990","1588748990")</f>
        <v>1588748990</v>
      </c>
      <c r="E31325" s="1" t="s">
        <v>2201</v>
      </c>
      <c r="F31325" s="2"/>
      <c r="G31325" s="2"/>
      <c r="H31325" s="2"/>
    </row>
    <row r="31326" spans="1:8" x14ac:dyDescent="0.25">
      <c r="A31326" s="1"/>
      <c r="B31326" s="1" t="s">
        <v>8275</v>
      </c>
      <c r="C31326" s="1" t="s">
        <v>8276</v>
      </c>
      <c r="D31326" s="1" t="str">
        <f>HYPERLINK("https://rhld.insurance.arkansas.gov/NPILookup?Npi=1588825517","1588825517")</f>
        <v>1588825517</v>
      </c>
      <c r="E31326" s="1" t="s">
        <v>3150</v>
      </c>
      <c r="F31326" s="2"/>
      <c r="G31326" s="2"/>
      <c r="H31326" s="2"/>
    </row>
    <row r="31327" spans="1:8" x14ac:dyDescent="0.25">
      <c r="A31327" s="1"/>
      <c r="B31327" s="1" t="s">
        <v>8275</v>
      </c>
      <c r="C31327" s="1" t="s">
        <v>8276</v>
      </c>
      <c r="D31327" s="1" t="str">
        <f>HYPERLINK("https://rhld.insurance.arkansas.gov/NPILookup?Npi=1588826903","1588826903")</f>
        <v>1588826903</v>
      </c>
      <c r="E31327" s="1" t="s">
        <v>2918</v>
      </c>
      <c r="F31327" s="2"/>
      <c r="G31327" s="2"/>
      <c r="H31327" s="2"/>
    </row>
    <row r="31328" spans="1:8" x14ac:dyDescent="0.25">
      <c r="A31328" s="1"/>
      <c r="B31328" s="1" t="s">
        <v>8275</v>
      </c>
      <c r="C31328" s="1" t="s">
        <v>8276</v>
      </c>
      <c r="D31328" s="1" t="str">
        <f>HYPERLINK("https://rhld.insurance.arkansas.gov/NPILookup?Npi=1598013815","1598013815")</f>
        <v>1598013815</v>
      </c>
      <c r="E31328" s="1" t="s">
        <v>27750</v>
      </c>
      <c r="F31328" s="2"/>
      <c r="G31328" s="2"/>
      <c r="H31328" s="2"/>
    </row>
    <row r="31329" spans="1:8" x14ac:dyDescent="0.25">
      <c r="A31329" s="1"/>
      <c r="B31329" s="1" t="s">
        <v>8275</v>
      </c>
      <c r="C31329" s="1" t="s">
        <v>8276</v>
      </c>
      <c r="D31329" s="1" t="str">
        <f>HYPERLINK("https://rhld.insurance.arkansas.gov/NPILookup?Npi=1598099632","1598099632")</f>
        <v>1598099632</v>
      </c>
      <c r="E31329" s="1" t="s">
        <v>29748</v>
      </c>
      <c r="F31329" s="2"/>
      <c r="G31329" s="2"/>
      <c r="H31329" s="2"/>
    </row>
    <row r="31330" spans="1:8" x14ac:dyDescent="0.25">
      <c r="A31330" s="1"/>
      <c r="B31330" s="1" t="s">
        <v>8275</v>
      </c>
      <c r="C31330" s="1" t="s">
        <v>8276</v>
      </c>
      <c r="D31330" s="1" t="str">
        <f>HYPERLINK("https://rhld.insurance.arkansas.gov/NPILookup?Npi=1598105033","1598105033")</f>
        <v>1598105033</v>
      </c>
      <c r="E31330" s="1" t="s">
        <v>32299</v>
      </c>
      <c r="F31330" s="2"/>
      <c r="G31330" s="2"/>
      <c r="H31330" s="2"/>
    </row>
    <row r="31331" spans="1:8" x14ac:dyDescent="0.25">
      <c r="A31331" s="1"/>
      <c r="B31331" s="1" t="s">
        <v>8275</v>
      </c>
      <c r="C31331" s="1" t="s">
        <v>8276</v>
      </c>
      <c r="D31331" s="1" t="str">
        <f>HYPERLINK("https://rhld.insurance.arkansas.gov/NPILookup?Npi=1598131542","1598131542")</f>
        <v>1598131542</v>
      </c>
      <c r="E31331" s="1" t="s">
        <v>13329</v>
      </c>
      <c r="F31331" s="2"/>
      <c r="G31331" s="2"/>
      <c r="H31331" s="2"/>
    </row>
    <row r="31332" spans="1:8" x14ac:dyDescent="0.25">
      <c r="A31332" s="1"/>
      <c r="B31332" s="1" t="s">
        <v>8275</v>
      </c>
      <c r="C31332" s="1" t="s">
        <v>8276</v>
      </c>
      <c r="D31332" s="1" t="str">
        <f>HYPERLINK("https://rhld.insurance.arkansas.gov/NPILookup?Npi=1598272866","1598272866")</f>
        <v>1598272866</v>
      </c>
      <c r="E31332" s="1" t="s">
        <v>13332</v>
      </c>
      <c r="F31332" s="2"/>
      <c r="G31332" s="2"/>
      <c r="H31332" s="2"/>
    </row>
    <row r="31333" spans="1:8" x14ac:dyDescent="0.25">
      <c r="A31333" s="1"/>
      <c r="B31333" s="1" t="s">
        <v>8275</v>
      </c>
      <c r="C31333" s="1" t="s">
        <v>8276</v>
      </c>
      <c r="D31333" s="1" t="str">
        <f>HYPERLINK("https://rhld.insurance.arkansas.gov/NPILookup?Npi=1598282808","1598282808")</f>
        <v>1598282808</v>
      </c>
      <c r="E31333" s="1" t="s">
        <v>32466</v>
      </c>
      <c r="F31333" s="2"/>
      <c r="G31333" s="2"/>
      <c r="H31333" s="2"/>
    </row>
    <row r="31334" spans="1:8" x14ac:dyDescent="0.25">
      <c r="A31334" s="1"/>
      <c r="B31334" s="1" t="s">
        <v>8275</v>
      </c>
      <c r="C31334" s="1" t="s">
        <v>8276</v>
      </c>
      <c r="D31334" s="1" t="str">
        <f>HYPERLINK("https://rhld.insurance.arkansas.gov/NPILookup?Npi=1598286734","1598286734")</f>
        <v>1598286734</v>
      </c>
      <c r="E31334" s="1" t="s">
        <v>1391</v>
      </c>
      <c r="F31334" s="2"/>
      <c r="G31334" s="2"/>
      <c r="H31334" s="2"/>
    </row>
    <row r="31335" spans="1:8" x14ac:dyDescent="0.25">
      <c r="A31335" s="1"/>
      <c r="B31335" s="1" t="s">
        <v>8275</v>
      </c>
      <c r="C31335" s="1" t="s">
        <v>8276</v>
      </c>
      <c r="D31335" s="1" t="str">
        <f>HYPERLINK("https://rhld.insurance.arkansas.gov/NPILookup?Npi=1598335614","1598335614")</f>
        <v>1598335614</v>
      </c>
      <c r="E31335" s="1" t="s">
        <v>32300</v>
      </c>
      <c r="F31335" s="2"/>
      <c r="G31335" s="2"/>
      <c r="H31335" s="2"/>
    </row>
    <row r="31336" spans="1:8" x14ac:dyDescent="0.25">
      <c r="A31336" s="1"/>
      <c r="B31336" s="1" t="s">
        <v>8275</v>
      </c>
      <c r="C31336" s="1" t="s">
        <v>8276</v>
      </c>
      <c r="D31336" s="1" t="str">
        <f>HYPERLINK("https://rhld.insurance.arkansas.gov/NPILookup?Npi=1598387417","1598387417")</f>
        <v>1598387417</v>
      </c>
      <c r="E31336" s="1" t="s">
        <v>13336</v>
      </c>
      <c r="F31336" s="2"/>
      <c r="G31336" s="2"/>
      <c r="H31336" s="2"/>
    </row>
    <row r="31337" spans="1:8" x14ac:dyDescent="0.25">
      <c r="A31337" s="1"/>
      <c r="B31337" s="1" t="s">
        <v>8275</v>
      </c>
      <c r="C31337" s="1" t="s">
        <v>8276</v>
      </c>
      <c r="D31337" s="1" t="str">
        <f>HYPERLINK("https://rhld.insurance.arkansas.gov/NPILookup?Npi=1598420911","1598420911")</f>
        <v>1598420911</v>
      </c>
      <c r="E31337" s="1" t="s">
        <v>13337</v>
      </c>
      <c r="F31337" s="2"/>
      <c r="G31337" s="2"/>
      <c r="H31337" s="2"/>
    </row>
    <row r="31338" spans="1:8" x14ac:dyDescent="0.25">
      <c r="A31338" s="1"/>
      <c r="B31338" s="1" t="s">
        <v>8275</v>
      </c>
      <c r="C31338" s="1" t="s">
        <v>8276</v>
      </c>
      <c r="D31338" s="1" t="str">
        <f>HYPERLINK("https://rhld.insurance.arkansas.gov/NPILookup?Npi=1598716763","1598716763")</f>
        <v>1598716763</v>
      </c>
      <c r="E31338" s="1" t="s">
        <v>29749</v>
      </c>
      <c r="F31338" s="2"/>
      <c r="G31338" s="2"/>
      <c r="H31338" s="2"/>
    </row>
    <row r="31339" spans="1:8" x14ac:dyDescent="0.25">
      <c r="A31339" s="1"/>
      <c r="B31339" s="1" t="s">
        <v>8275</v>
      </c>
      <c r="C31339" s="1" t="s">
        <v>8276</v>
      </c>
      <c r="D31339" s="1" t="str">
        <f>HYPERLINK("https://rhld.insurance.arkansas.gov/NPILookup?Npi=1598733065","1598733065")</f>
        <v>1598733065</v>
      </c>
      <c r="E31339" s="1" t="s">
        <v>29750</v>
      </c>
      <c r="F31339" s="2"/>
      <c r="G31339" s="2"/>
      <c r="H31339" s="2"/>
    </row>
    <row r="31340" spans="1:8" x14ac:dyDescent="0.25">
      <c r="A31340" s="1"/>
      <c r="B31340" s="1" t="s">
        <v>8275</v>
      </c>
      <c r="C31340" s="1" t="s">
        <v>8276</v>
      </c>
      <c r="D31340" s="1" t="str">
        <f>HYPERLINK("https://rhld.insurance.arkansas.gov/NPILookup?Npi=1598743247","1598743247")</f>
        <v>1598743247</v>
      </c>
      <c r="E31340" s="1" t="s">
        <v>29751</v>
      </c>
      <c r="F31340" s="2"/>
      <c r="G31340" s="2"/>
      <c r="H31340" s="2"/>
    </row>
    <row r="31341" spans="1:8" x14ac:dyDescent="0.25">
      <c r="A31341" s="1"/>
      <c r="B31341" s="1" t="s">
        <v>8275</v>
      </c>
      <c r="C31341" s="1" t="s">
        <v>8276</v>
      </c>
      <c r="D31341" s="1" t="str">
        <f>HYPERLINK("https://rhld.insurance.arkansas.gov/NPILookup?Npi=1598759359","1598759359")</f>
        <v>1598759359</v>
      </c>
      <c r="E31341" s="1" t="s">
        <v>29752</v>
      </c>
      <c r="F31341" s="2"/>
      <c r="G31341" s="2"/>
      <c r="H31341" s="2"/>
    </row>
    <row r="31342" spans="1:8" x14ac:dyDescent="0.25">
      <c r="A31342" s="1"/>
      <c r="B31342" s="1" t="s">
        <v>8275</v>
      </c>
      <c r="C31342" s="1" t="s">
        <v>8276</v>
      </c>
      <c r="D31342" s="1" t="str">
        <f>HYPERLINK("https://rhld.insurance.arkansas.gov/NPILookup?Npi=1598861759","1598861759")</f>
        <v>1598861759</v>
      </c>
      <c r="E31342" s="1" t="s">
        <v>13924</v>
      </c>
      <c r="F31342" s="2"/>
      <c r="G31342" s="2"/>
      <c r="H31342" s="2"/>
    </row>
    <row r="31343" spans="1:8" x14ac:dyDescent="0.25">
      <c r="A31343" s="1"/>
      <c r="B31343" s="1" t="s">
        <v>8275</v>
      </c>
      <c r="C31343" s="1" t="s">
        <v>8276</v>
      </c>
      <c r="D31343" s="1" t="str">
        <f>HYPERLINK("https://rhld.insurance.arkansas.gov/NPILookup?Npi=1598984056","1598984056")</f>
        <v>1598984056</v>
      </c>
      <c r="E31343" s="1" t="s">
        <v>27792</v>
      </c>
      <c r="F31343" s="2"/>
      <c r="G31343" s="2"/>
      <c r="H31343" s="2"/>
    </row>
    <row r="31344" spans="1:8" x14ac:dyDescent="0.25">
      <c r="A31344" s="1"/>
      <c r="B31344" s="1" t="s">
        <v>8275</v>
      </c>
      <c r="C31344" s="1" t="s">
        <v>8276</v>
      </c>
      <c r="D31344" s="1" t="str">
        <f>HYPERLINK("https://rhld.insurance.arkansas.gov/NPILookup?Npi=1609090869","1609090869")</f>
        <v>1609090869</v>
      </c>
      <c r="E31344" s="1" t="s">
        <v>27802</v>
      </c>
      <c r="F31344" s="2"/>
      <c r="G31344" s="2"/>
      <c r="H31344" s="2"/>
    </row>
    <row r="31345" spans="1:8" x14ac:dyDescent="0.25">
      <c r="A31345" s="1"/>
      <c r="B31345" s="1" t="s">
        <v>8275</v>
      </c>
      <c r="C31345" s="1" t="s">
        <v>8276</v>
      </c>
      <c r="D31345" s="1" t="str">
        <f>HYPERLINK("https://rhld.insurance.arkansas.gov/NPILookup?Npi=1609096148","1609096148")</f>
        <v>1609096148</v>
      </c>
      <c r="E31345" s="1" t="s">
        <v>27803</v>
      </c>
      <c r="F31345" s="2"/>
      <c r="G31345" s="2"/>
      <c r="H31345" s="2"/>
    </row>
    <row r="31346" spans="1:8" x14ac:dyDescent="0.25">
      <c r="A31346" s="1"/>
      <c r="B31346" s="1" t="s">
        <v>8275</v>
      </c>
      <c r="C31346" s="1" t="s">
        <v>8276</v>
      </c>
      <c r="D31346" s="1" t="str">
        <f>HYPERLINK("https://rhld.insurance.arkansas.gov/NPILookup?Npi=1609166016","1609166016")</f>
        <v>1609166016</v>
      </c>
      <c r="E31346" s="1" t="s">
        <v>29753</v>
      </c>
      <c r="F31346" s="2"/>
      <c r="G31346" s="2"/>
      <c r="H31346" s="2"/>
    </row>
    <row r="31347" spans="1:8" x14ac:dyDescent="0.25">
      <c r="A31347" s="1"/>
      <c r="B31347" s="1" t="s">
        <v>8275</v>
      </c>
      <c r="C31347" s="1" t="s">
        <v>8276</v>
      </c>
      <c r="D31347" s="1" t="str">
        <f>HYPERLINK("https://rhld.insurance.arkansas.gov/NPILookup?Npi=1609188614","1609188614")</f>
        <v>1609188614</v>
      </c>
      <c r="E31347" s="1" t="s">
        <v>27807</v>
      </c>
      <c r="F31347" s="2"/>
      <c r="G31347" s="2"/>
      <c r="H31347" s="2"/>
    </row>
    <row r="31348" spans="1:8" x14ac:dyDescent="0.25">
      <c r="A31348" s="1"/>
      <c r="B31348" s="1" t="s">
        <v>8275</v>
      </c>
      <c r="C31348" s="1" t="s">
        <v>8276</v>
      </c>
      <c r="D31348" s="1" t="str">
        <f>HYPERLINK("https://rhld.insurance.arkansas.gov/NPILookup?Npi=1609260785","1609260785")</f>
        <v>1609260785</v>
      </c>
      <c r="E31348" s="1" t="s">
        <v>29754</v>
      </c>
      <c r="F31348" s="2"/>
      <c r="G31348" s="2"/>
      <c r="H31348" s="2"/>
    </row>
    <row r="31349" spans="1:8" x14ac:dyDescent="0.25">
      <c r="A31349" s="1"/>
      <c r="B31349" s="1" t="s">
        <v>8275</v>
      </c>
      <c r="C31349" s="1" t="s">
        <v>8276</v>
      </c>
      <c r="D31349" s="1" t="str">
        <f>HYPERLINK("https://rhld.insurance.arkansas.gov/NPILookup?Npi=1609281070","1609281070")</f>
        <v>1609281070</v>
      </c>
      <c r="E31349" s="1" t="s">
        <v>27818</v>
      </c>
      <c r="F31349" s="2"/>
      <c r="G31349" s="2"/>
      <c r="H31349" s="2"/>
    </row>
    <row r="31350" spans="1:8" x14ac:dyDescent="0.25">
      <c r="A31350" s="1"/>
      <c r="B31350" s="1" t="s">
        <v>8275</v>
      </c>
      <c r="C31350" s="1" t="s">
        <v>8276</v>
      </c>
      <c r="D31350" s="1" t="str">
        <f>HYPERLINK("https://rhld.insurance.arkansas.gov/NPILookup?Npi=1609295922","1609295922")</f>
        <v>1609295922</v>
      </c>
      <c r="E31350" s="1" t="s">
        <v>918</v>
      </c>
      <c r="F31350" s="2"/>
      <c r="G31350" s="2"/>
      <c r="H31350" s="2"/>
    </row>
    <row r="31351" spans="1:8" x14ac:dyDescent="0.25">
      <c r="A31351" s="1"/>
      <c r="B31351" s="1" t="s">
        <v>8275</v>
      </c>
      <c r="C31351" s="1" t="s">
        <v>8276</v>
      </c>
      <c r="D31351" s="1" t="str">
        <f>HYPERLINK("https://rhld.insurance.arkansas.gov/NPILookup?Npi=1609302546","1609302546")</f>
        <v>1609302546</v>
      </c>
      <c r="E31351" s="1" t="s">
        <v>7927</v>
      </c>
      <c r="F31351" s="2"/>
      <c r="G31351" s="2"/>
      <c r="H31351" s="2"/>
    </row>
    <row r="31352" spans="1:8" x14ac:dyDescent="0.25">
      <c r="A31352" s="1"/>
      <c r="B31352" s="1" t="s">
        <v>8275</v>
      </c>
      <c r="C31352" s="1" t="s">
        <v>8276</v>
      </c>
      <c r="D31352" s="1" t="str">
        <f>HYPERLINK("https://rhld.insurance.arkansas.gov/NPILookup?Npi=1609304526","1609304526")</f>
        <v>1609304526</v>
      </c>
      <c r="E31352" s="1" t="s">
        <v>27822</v>
      </c>
      <c r="F31352" s="2"/>
      <c r="G31352" s="2"/>
      <c r="H31352" s="2"/>
    </row>
    <row r="31353" spans="1:8" x14ac:dyDescent="0.25">
      <c r="A31353" s="1"/>
      <c r="B31353" s="1" t="s">
        <v>8275</v>
      </c>
      <c r="C31353" s="1" t="s">
        <v>8276</v>
      </c>
      <c r="D31353" s="1" t="str">
        <f>HYPERLINK("https://rhld.insurance.arkansas.gov/NPILookup?Npi=1609333806","1609333806")</f>
        <v>1609333806</v>
      </c>
      <c r="E31353" s="1" t="s">
        <v>13349</v>
      </c>
      <c r="F31353" s="2"/>
      <c r="G31353" s="2"/>
      <c r="H31353" s="2"/>
    </row>
    <row r="31354" spans="1:8" x14ac:dyDescent="0.25">
      <c r="A31354" s="1"/>
      <c r="B31354" s="1" t="s">
        <v>8275</v>
      </c>
      <c r="C31354" s="1" t="s">
        <v>8276</v>
      </c>
      <c r="D31354" s="1" t="str">
        <f>HYPERLINK("https://rhld.insurance.arkansas.gov/NPILookup?Npi=1609358928","1609358928")</f>
        <v>1609358928</v>
      </c>
      <c r="E31354" s="1" t="s">
        <v>27823</v>
      </c>
      <c r="F31354" s="2"/>
      <c r="G31354" s="2"/>
      <c r="H31354" s="2"/>
    </row>
    <row r="31355" spans="1:8" x14ac:dyDescent="0.25">
      <c r="A31355" s="1"/>
      <c r="B31355" s="1" t="s">
        <v>8275</v>
      </c>
      <c r="C31355" s="1" t="s">
        <v>8276</v>
      </c>
      <c r="D31355" s="1" t="str">
        <f>HYPERLINK("https://rhld.insurance.arkansas.gov/NPILookup?Npi=1609363514","1609363514")</f>
        <v>1609363514</v>
      </c>
      <c r="E31355" s="1" t="s">
        <v>29755</v>
      </c>
      <c r="F31355" s="2"/>
      <c r="G31355" s="2"/>
      <c r="H31355" s="2"/>
    </row>
    <row r="31356" spans="1:8" x14ac:dyDescent="0.25">
      <c r="A31356" s="1"/>
      <c r="B31356" s="1" t="s">
        <v>8275</v>
      </c>
      <c r="C31356" s="1" t="s">
        <v>8276</v>
      </c>
      <c r="D31356" s="1" t="str">
        <f>HYPERLINK("https://rhld.insurance.arkansas.gov/NPILookup?Npi=1609404441","1609404441")</f>
        <v>1609404441</v>
      </c>
      <c r="E31356" s="1" t="s">
        <v>8316</v>
      </c>
      <c r="F31356" s="2"/>
      <c r="G31356" s="2"/>
      <c r="H31356" s="2"/>
    </row>
    <row r="31357" spans="1:8" x14ac:dyDescent="0.25">
      <c r="A31357" s="1"/>
      <c r="B31357" s="1" t="s">
        <v>8275</v>
      </c>
      <c r="C31357" s="1" t="s">
        <v>8276</v>
      </c>
      <c r="D31357" s="1" t="str">
        <f>HYPERLINK("https://rhld.insurance.arkansas.gov/NPILookup?Npi=1609404649","1609404649")</f>
        <v>1609404649</v>
      </c>
      <c r="E31357" s="1" t="s">
        <v>8317</v>
      </c>
      <c r="F31357" s="2"/>
      <c r="G31357" s="2"/>
      <c r="H31357" s="2"/>
    </row>
    <row r="31358" spans="1:8" x14ac:dyDescent="0.25">
      <c r="A31358" s="1"/>
      <c r="B31358" s="1" t="s">
        <v>8275</v>
      </c>
      <c r="C31358" s="1" t="s">
        <v>8276</v>
      </c>
      <c r="D31358" s="1" t="str">
        <f>HYPERLINK("https://rhld.insurance.arkansas.gov/NPILookup?Npi=1609445923","1609445923")</f>
        <v>1609445923</v>
      </c>
      <c r="E31358" s="1" t="s">
        <v>27829</v>
      </c>
      <c r="F31358" s="2"/>
      <c r="G31358" s="2"/>
      <c r="H31358" s="2"/>
    </row>
    <row r="31359" spans="1:8" x14ac:dyDescent="0.25">
      <c r="A31359" s="1"/>
      <c r="B31359" s="1" t="s">
        <v>8275</v>
      </c>
      <c r="C31359" s="1" t="s">
        <v>8276</v>
      </c>
      <c r="D31359" s="1" t="str">
        <f>HYPERLINK("https://rhld.insurance.arkansas.gov/NPILookup?Npi=1609450782","1609450782")</f>
        <v>1609450782</v>
      </c>
      <c r="E31359" s="1" t="s">
        <v>27830</v>
      </c>
      <c r="F31359" s="2"/>
      <c r="G31359" s="2"/>
      <c r="H31359" s="2"/>
    </row>
    <row r="31360" spans="1:8" x14ac:dyDescent="0.25">
      <c r="A31360" s="1"/>
      <c r="B31360" s="1" t="s">
        <v>8275</v>
      </c>
      <c r="C31360" s="1" t="s">
        <v>8276</v>
      </c>
      <c r="D31360" s="1" t="str">
        <f>HYPERLINK("https://rhld.insurance.arkansas.gov/NPILookup?Npi=1609459932","1609459932")</f>
        <v>1609459932</v>
      </c>
      <c r="E31360" s="1" t="s">
        <v>27831</v>
      </c>
      <c r="F31360" s="2"/>
      <c r="G31360" s="2"/>
      <c r="H31360" s="2"/>
    </row>
    <row r="31361" spans="1:8" x14ac:dyDescent="0.25">
      <c r="A31361" s="1"/>
      <c r="B31361" s="1" t="s">
        <v>8275</v>
      </c>
      <c r="C31361" s="1" t="s">
        <v>8276</v>
      </c>
      <c r="D31361" s="1" t="str">
        <f>HYPERLINK("https://rhld.insurance.arkansas.gov/NPILookup?Npi=1609466473","1609466473")</f>
        <v>1609466473</v>
      </c>
      <c r="E31361" s="1" t="s">
        <v>27832</v>
      </c>
      <c r="F31361" s="2"/>
      <c r="G31361" s="2"/>
      <c r="H31361" s="2"/>
    </row>
    <row r="31362" spans="1:8" x14ac:dyDescent="0.25">
      <c r="A31362" s="1"/>
      <c r="B31362" s="1" t="s">
        <v>8275</v>
      </c>
      <c r="C31362" s="1" t="s">
        <v>8276</v>
      </c>
      <c r="D31362" s="1" t="str">
        <f>HYPERLINK("https://rhld.insurance.arkansas.gov/NPILookup?Npi=1609504430","1609504430")</f>
        <v>1609504430</v>
      </c>
      <c r="E31362" s="1" t="s">
        <v>2391</v>
      </c>
      <c r="F31362" s="2"/>
      <c r="G31362" s="2"/>
      <c r="H31362" s="2"/>
    </row>
    <row r="31363" spans="1:8" x14ac:dyDescent="0.25">
      <c r="A31363" s="1"/>
      <c r="B31363" s="1" t="s">
        <v>8275</v>
      </c>
      <c r="C31363" s="1" t="s">
        <v>8276</v>
      </c>
      <c r="D31363" s="1" t="str">
        <f>HYPERLINK("https://rhld.insurance.arkansas.gov/NPILookup?Npi=1609638378","1609638378")</f>
        <v>1609638378</v>
      </c>
      <c r="E31363" s="1" t="s">
        <v>27837</v>
      </c>
      <c r="F31363" s="2"/>
      <c r="G31363" s="2"/>
      <c r="H31363" s="2"/>
    </row>
    <row r="31364" spans="1:8" x14ac:dyDescent="0.25">
      <c r="A31364" s="1"/>
      <c r="B31364" s="1" t="s">
        <v>8275</v>
      </c>
      <c r="C31364" s="1" t="s">
        <v>8276</v>
      </c>
      <c r="D31364" s="1" t="str">
        <f>HYPERLINK("https://rhld.insurance.arkansas.gov/NPILookup?Npi=1609647015","1609647015")</f>
        <v>1609647015</v>
      </c>
      <c r="E31364" s="1" t="s">
        <v>32302</v>
      </c>
      <c r="F31364" s="2"/>
      <c r="G31364" s="2"/>
      <c r="H31364" s="2"/>
    </row>
    <row r="31365" spans="1:8" x14ac:dyDescent="0.25">
      <c r="A31365" s="1"/>
      <c r="B31365" s="1" t="s">
        <v>8275</v>
      </c>
      <c r="C31365" s="1" t="s">
        <v>8276</v>
      </c>
      <c r="D31365" s="1" t="str">
        <f>HYPERLINK("https://rhld.insurance.arkansas.gov/NPILookup?Npi=1609854025","1609854025")</f>
        <v>1609854025</v>
      </c>
      <c r="E31365" s="1" t="s">
        <v>29756</v>
      </c>
      <c r="F31365" s="2"/>
      <c r="G31365" s="2"/>
      <c r="H31365" s="2"/>
    </row>
    <row r="31366" spans="1:8" x14ac:dyDescent="0.25">
      <c r="A31366" s="1"/>
      <c r="B31366" s="1" t="s">
        <v>8275</v>
      </c>
      <c r="C31366" s="1" t="s">
        <v>8276</v>
      </c>
      <c r="D31366" s="1" t="str">
        <f>HYPERLINK("https://rhld.insurance.arkansas.gov/NPILookup?Npi=1609882497","1609882497")</f>
        <v>1609882497</v>
      </c>
      <c r="E31366" s="1" t="s">
        <v>13358</v>
      </c>
      <c r="F31366" s="2"/>
      <c r="G31366" s="2"/>
      <c r="H31366" s="2"/>
    </row>
    <row r="31367" spans="1:8" x14ac:dyDescent="0.25">
      <c r="A31367" s="1"/>
      <c r="B31367" s="1" t="s">
        <v>8275</v>
      </c>
      <c r="C31367" s="1" t="s">
        <v>8276</v>
      </c>
      <c r="D31367" s="1" t="str">
        <f>HYPERLINK("https://rhld.insurance.arkansas.gov/NPILookup?Npi=1619038171","1619038171")</f>
        <v>1619038171</v>
      </c>
      <c r="E31367" s="1" t="s">
        <v>8318</v>
      </c>
      <c r="F31367" s="2"/>
      <c r="G31367" s="2"/>
      <c r="H31367" s="2"/>
    </row>
    <row r="31368" spans="1:8" x14ac:dyDescent="0.25">
      <c r="A31368" s="1"/>
      <c r="B31368" s="1" t="s">
        <v>8275</v>
      </c>
      <c r="C31368" s="1" t="s">
        <v>8276</v>
      </c>
      <c r="D31368" s="1" t="str">
        <f>HYPERLINK("https://rhld.insurance.arkansas.gov/NPILookup?Npi=1619049384","1619049384")</f>
        <v>1619049384</v>
      </c>
      <c r="E31368" s="1" t="s">
        <v>275</v>
      </c>
      <c r="F31368" s="2"/>
      <c r="G31368" s="2"/>
      <c r="H31368" s="2"/>
    </row>
    <row r="31369" spans="1:8" x14ac:dyDescent="0.25">
      <c r="A31369" s="1"/>
      <c r="B31369" s="1" t="s">
        <v>8275</v>
      </c>
      <c r="C31369" s="1" t="s">
        <v>8276</v>
      </c>
      <c r="D31369" s="1" t="str">
        <f>HYPERLINK("https://rhld.insurance.arkansas.gov/NPILookup?Npi=1619067279","1619067279")</f>
        <v>1619067279</v>
      </c>
      <c r="E31369" s="1" t="s">
        <v>17708</v>
      </c>
      <c r="F31369" s="2"/>
      <c r="G31369" s="2"/>
      <c r="H31369" s="2"/>
    </row>
    <row r="31370" spans="1:8" x14ac:dyDescent="0.25">
      <c r="A31370" s="1"/>
      <c r="B31370" s="1" t="s">
        <v>8275</v>
      </c>
      <c r="C31370" s="1" t="s">
        <v>8276</v>
      </c>
      <c r="D31370" s="1" t="str">
        <f>HYPERLINK("https://rhld.insurance.arkansas.gov/NPILookup?Npi=1619136306","1619136306")</f>
        <v>1619136306</v>
      </c>
      <c r="E31370" s="1" t="s">
        <v>27850</v>
      </c>
      <c r="F31370" s="2"/>
      <c r="G31370" s="2"/>
      <c r="H31370" s="2"/>
    </row>
    <row r="31371" spans="1:8" x14ac:dyDescent="0.25">
      <c r="A31371" s="1"/>
      <c r="B31371" s="1" t="s">
        <v>8275</v>
      </c>
      <c r="C31371" s="1" t="s">
        <v>8276</v>
      </c>
      <c r="D31371" s="1" t="str">
        <f>HYPERLINK("https://rhld.insurance.arkansas.gov/NPILookup?Npi=1619179306","1619179306")</f>
        <v>1619179306</v>
      </c>
      <c r="E31371" s="1" t="s">
        <v>13925</v>
      </c>
      <c r="F31371" s="2"/>
      <c r="G31371" s="2"/>
      <c r="H31371" s="2"/>
    </row>
    <row r="31372" spans="1:8" x14ac:dyDescent="0.25">
      <c r="A31372" s="1"/>
      <c r="B31372" s="1" t="s">
        <v>8275</v>
      </c>
      <c r="C31372" s="1" t="s">
        <v>8276</v>
      </c>
      <c r="D31372" s="1" t="str">
        <f>HYPERLINK("https://rhld.insurance.arkansas.gov/NPILookup?Npi=1619297801","1619297801")</f>
        <v>1619297801</v>
      </c>
      <c r="E31372" s="1" t="s">
        <v>2930</v>
      </c>
      <c r="F31372" s="2"/>
      <c r="G31372" s="2"/>
      <c r="H31372" s="2"/>
    </row>
    <row r="31373" spans="1:8" x14ac:dyDescent="0.25">
      <c r="A31373" s="1"/>
      <c r="B31373" s="1" t="s">
        <v>8275</v>
      </c>
      <c r="C31373" s="1" t="s">
        <v>8276</v>
      </c>
      <c r="D31373" s="1" t="str">
        <f>HYPERLINK("https://rhld.insurance.arkansas.gov/NPILookup?Npi=1619354818","1619354818")</f>
        <v>1619354818</v>
      </c>
      <c r="E31373" s="1" t="s">
        <v>1580</v>
      </c>
      <c r="F31373" s="2"/>
      <c r="G31373" s="2"/>
      <c r="H31373" s="2"/>
    </row>
    <row r="31374" spans="1:8" x14ac:dyDescent="0.25">
      <c r="A31374" s="1"/>
      <c r="B31374" s="1" t="s">
        <v>8275</v>
      </c>
      <c r="C31374" s="1" t="s">
        <v>8276</v>
      </c>
      <c r="D31374" s="1" t="str">
        <f>HYPERLINK("https://rhld.insurance.arkansas.gov/NPILookup?Npi=1619363629","1619363629")</f>
        <v>1619363629</v>
      </c>
      <c r="E31374" s="1" t="s">
        <v>8319</v>
      </c>
      <c r="F31374" s="2"/>
      <c r="G31374" s="2"/>
      <c r="H31374" s="2"/>
    </row>
    <row r="31375" spans="1:8" x14ac:dyDescent="0.25">
      <c r="A31375" s="1"/>
      <c r="B31375" s="1" t="s">
        <v>8275</v>
      </c>
      <c r="C31375" s="1" t="s">
        <v>8276</v>
      </c>
      <c r="D31375" s="1" t="str">
        <f>HYPERLINK("https://rhld.insurance.arkansas.gov/NPILookup?Npi=1619381902","1619381902")</f>
        <v>1619381902</v>
      </c>
      <c r="E31375" s="1" t="s">
        <v>7938</v>
      </c>
      <c r="F31375" s="2"/>
      <c r="G31375" s="2"/>
      <c r="H31375" s="2"/>
    </row>
    <row r="31376" spans="1:8" x14ac:dyDescent="0.25">
      <c r="A31376" s="1"/>
      <c r="B31376" s="1" t="s">
        <v>8275</v>
      </c>
      <c r="C31376" s="1" t="s">
        <v>8276</v>
      </c>
      <c r="D31376" s="1" t="str">
        <f>HYPERLINK("https://rhld.insurance.arkansas.gov/NPILookup?Npi=1619404563","1619404563")</f>
        <v>1619404563</v>
      </c>
      <c r="E31376" s="1" t="s">
        <v>17713</v>
      </c>
      <c r="F31376" s="2"/>
      <c r="G31376" s="2"/>
      <c r="H31376" s="2"/>
    </row>
    <row r="31377" spans="1:8" x14ac:dyDescent="0.25">
      <c r="A31377" s="1"/>
      <c r="B31377" s="1" t="s">
        <v>8275</v>
      </c>
      <c r="C31377" s="1" t="s">
        <v>8276</v>
      </c>
      <c r="D31377" s="1" t="str">
        <f>HYPERLINK("https://rhld.insurance.arkansas.gov/NPILookup?Npi=1619445632","1619445632")</f>
        <v>1619445632</v>
      </c>
      <c r="E31377" s="1" t="s">
        <v>2931</v>
      </c>
      <c r="F31377" s="2"/>
      <c r="G31377" s="2"/>
      <c r="H31377" s="2"/>
    </row>
    <row r="31378" spans="1:8" x14ac:dyDescent="0.25">
      <c r="A31378" s="1"/>
      <c r="B31378" s="1" t="s">
        <v>8275</v>
      </c>
      <c r="C31378" s="1" t="s">
        <v>8276</v>
      </c>
      <c r="D31378" s="1" t="str">
        <f>HYPERLINK("https://rhld.insurance.arkansas.gov/NPILookup?Npi=1619609633","1619609633")</f>
        <v>1619609633</v>
      </c>
      <c r="E31378" s="1" t="s">
        <v>7941</v>
      </c>
      <c r="F31378" s="2"/>
      <c r="G31378" s="2"/>
      <c r="H31378" s="2"/>
    </row>
    <row r="31379" spans="1:8" x14ac:dyDescent="0.25">
      <c r="A31379" s="1"/>
      <c r="B31379" s="1" t="s">
        <v>8275</v>
      </c>
      <c r="C31379" s="1" t="s">
        <v>8276</v>
      </c>
      <c r="D31379" s="1" t="str">
        <f>HYPERLINK("https://rhld.insurance.arkansas.gov/NPILookup?Npi=1619618105","1619618105")</f>
        <v>1619618105</v>
      </c>
      <c r="E31379" s="1" t="s">
        <v>27876</v>
      </c>
      <c r="F31379" s="2"/>
      <c r="G31379" s="2"/>
      <c r="H31379" s="2"/>
    </row>
    <row r="31380" spans="1:8" x14ac:dyDescent="0.25">
      <c r="A31380" s="1"/>
      <c r="B31380" s="1" t="s">
        <v>8275</v>
      </c>
      <c r="C31380" s="1" t="s">
        <v>8276</v>
      </c>
      <c r="D31380" s="1" t="str">
        <f>HYPERLINK("https://rhld.insurance.arkansas.gov/NPILookup?Npi=1619775939","1619775939")</f>
        <v>1619775939</v>
      </c>
      <c r="E31380" s="1" t="s">
        <v>32303</v>
      </c>
      <c r="F31380" s="2"/>
      <c r="G31380" s="2"/>
      <c r="H31380" s="2"/>
    </row>
    <row r="31381" spans="1:8" x14ac:dyDescent="0.25">
      <c r="A31381" s="1"/>
      <c r="B31381" s="1" t="s">
        <v>8275</v>
      </c>
      <c r="C31381" s="1" t="s">
        <v>8276</v>
      </c>
      <c r="D31381" s="1" t="str">
        <f>HYPERLINK("https://rhld.insurance.arkansas.gov/NPILookup?Npi=1619961646","1619961646")</f>
        <v>1619961646</v>
      </c>
      <c r="E31381" s="1" t="s">
        <v>32467</v>
      </c>
      <c r="F31381" s="2"/>
      <c r="G31381" s="2"/>
      <c r="H31381" s="2"/>
    </row>
    <row r="31382" spans="1:8" x14ac:dyDescent="0.25">
      <c r="A31382" s="1"/>
      <c r="B31382" s="1" t="s">
        <v>8275</v>
      </c>
      <c r="C31382" s="1" t="s">
        <v>8276</v>
      </c>
      <c r="D31382" s="1" t="str">
        <f>HYPERLINK("https://rhld.insurance.arkansas.gov/NPILookup?Npi=1619967106","1619967106")</f>
        <v>1619967106</v>
      </c>
      <c r="E31382" s="1" t="s">
        <v>29757</v>
      </c>
      <c r="F31382" s="2"/>
      <c r="G31382" s="2"/>
      <c r="H31382" s="2"/>
    </row>
    <row r="31383" spans="1:8" x14ac:dyDescent="0.25">
      <c r="A31383" s="1"/>
      <c r="B31383" s="1" t="s">
        <v>8275</v>
      </c>
      <c r="C31383" s="1" t="s">
        <v>8276</v>
      </c>
      <c r="D31383" s="1" t="str">
        <f>HYPERLINK("https://rhld.insurance.arkansas.gov/NPILookup?Npi=1619977097","1619977097")</f>
        <v>1619977097</v>
      </c>
      <c r="E31383" s="1" t="s">
        <v>29758</v>
      </c>
      <c r="F31383" s="2"/>
      <c r="G31383" s="2"/>
      <c r="H31383" s="2"/>
    </row>
    <row r="31384" spans="1:8" x14ac:dyDescent="0.25">
      <c r="A31384" s="1"/>
      <c r="B31384" s="1" t="s">
        <v>8275</v>
      </c>
      <c r="C31384" s="1" t="s">
        <v>8276</v>
      </c>
      <c r="D31384" s="1" t="str">
        <f>HYPERLINK("https://rhld.insurance.arkansas.gov/NPILookup?Npi=1629037585","1629037585")</f>
        <v>1629037585</v>
      </c>
      <c r="E31384" s="1" t="s">
        <v>27885</v>
      </c>
      <c r="F31384" s="2"/>
      <c r="G31384" s="2"/>
      <c r="H31384" s="2"/>
    </row>
    <row r="31385" spans="1:8" x14ac:dyDescent="0.25">
      <c r="A31385" s="1"/>
      <c r="B31385" s="1" t="s">
        <v>8275</v>
      </c>
      <c r="C31385" s="1" t="s">
        <v>8276</v>
      </c>
      <c r="D31385" s="1" t="str">
        <f>HYPERLINK("https://rhld.insurance.arkansas.gov/NPILookup?Npi=1629202585","1629202585")</f>
        <v>1629202585</v>
      </c>
      <c r="E31385" s="1" t="s">
        <v>8320</v>
      </c>
      <c r="F31385" s="2"/>
      <c r="G31385" s="2"/>
      <c r="H31385" s="2"/>
    </row>
    <row r="31386" spans="1:8" x14ac:dyDescent="0.25">
      <c r="A31386" s="1"/>
      <c r="B31386" s="1" t="s">
        <v>8275</v>
      </c>
      <c r="C31386" s="1" t="s">
        <v>8276</v>
      </c>
      <c r="D31386" s="1" t="str">
        <f>HYPERLINK("https://rhld.insurance.arkansas.gov/NPILookup?Npi=1629203005","1629203005")</f>
        <v>1629203005</v>
      </c>
      <c r="E31386" s="1" t="s">
        <v>32304</v>
      </c>
      <c r="F31386" s="2"/>
      <c r="G31386" s="2"/>
      <c r="H31386" s="2"/>
    </row>
    <row r="31387" spans="1:8" x14ac:dyDescent="0.25">
      <c r="A31387" s="1"/>
      <c r="B31387" s="1" t="s">
        <v>8275</v>
      </c>
      <c r="C31387" s="1" t="s">
        <v>8276</v>
      </c>
      <c r="D31387" s="1" t="str">
        <f>HYPERLINK("https://rhld.insurance.arkansas.gov/NPILookup?Npi=1629238795","1629238795")</f>
        <v>1629238795</v>
      </c>
      <c r="E31387" s="1" t="s">
        <v>27893</v>
      </c>
      <c r="F31387" s="2"/>
      <c r="G31387" s="2"/>
      <c r="H31387" s="2"/>
    </row>
    <row r="31388" spans="1:8" x14ac:dyDescent="0.25">
      <c r="A31388" s="1"/>
      <c r="B31388" s="1" t="s">
        <v>8275</v>
      </c>
      <c r="C31388" s="1" t="s">
        <v>8276</v>
      </c>
      <c r="D31388" s="1" t="str">
        <f>HYPERLINK("https://rhld.insurance.arkansas.gov/NPILookup?Npi=1629301106","1629301106")</f>
        <v>1629301106</v>
      </c>
      <c r="E31388" s="1" t="s">
        <v>7947</v>
      </c>
      <c r="F31388" s="2"/>
      <c r="G31388" s="2"/>
      <c r="H31388" s="2"/>
    </row>
    <row r="31389" spans="1:8" x14ac:dyDescent="0.25">
      <c r="A31389" s="1"/>
      <c r="B31389" s="1" t="s">
        <v>8275</v>
      </c>
      <c r="C31389" s="1" t="s">
        <v>8276</v>
      </c>
      <c r="D31389" s="1" t="str">
        <f>HYPERLINK("https://rhld.insurance.arkansas.gov/NPILookup?Npi=1629335955","1629335955")</f>
        <v>1629335955</v>
      </c>
      <c r="E31389" s="1" t="s">
        <v>13926</v>
      </c>
      <c r="F31389" s="2"/>
      <c r="G31389" s="2"/>
      <c r="H31389" s="2"/>
    </row>
    <row r="31390" spans="1:8" x14ac:dyDescent="0.25">
      <c r="A31390" s="1"/>
      <c r="B31390" s="1" t="s">
        <v>8275</v>
      </c>
      <c r="C31390" s="1" t="s">
        <v>8276</v>
      </c>
      <c r="D31390" s="1" t="str">
        <f>HYPERLINK("https://rhld.insurance.arkansas.gov/NPILookup?Npi=1629395520","1629395520")</f>
        <v>1629395520</v>
      </c>
      <c r="E31390" s="1" t="s">
        <v>29759</v>
      </c>
      <c r="F31390" s="2"/>
      <c r="G31390" s="2"/>
      <c r="H31390" s="2"/>
    </row>
    <row r="31391" spans="1:8" x14ac:dyDescent="0.25">
      <c r="A31391" s="1"/>
      <c r="B31391" s="1" t="s">
        <v>8275</v>
      </c>
      <c r="C31391" s="1" t="s">
        <v>8276</v>
      </c>
      <c r="D31391" s="1" t="str">
        <f>HYPERLINK("https://rhld.insurance.arkansas.gov/NPILookup?Npi=1629418553","1629418553")</f>
        <v>1629418553</v>
      </c>
      <c r="E31391" s="1" t="s">
        <v>27902</v>
      </c>
      <c r="F31391" s="2"/>
      <c r="G31391" s="2"/>
      <c r="H31391" s="2"/>
    </row>
    <row r="31392" spans="1:8" x14ac:dyDescent="0.25">
      <c r="A31392" s="1"/>
      <c r="B31392" s="1" t="s">
        <v>8275</v>
      </c>
      <c r="C31392" s="1" t="s">
        <v>8276</v>
      </c>
      <c r="D31392" s="1" t="str">
        <f>HYPERLINK("https://rhld.insurance.arkansas.gov/NPILookup?Npi=1629527965","1629527965")</f>
        <v>1629527965</v>
      </c>
      <c r="E31392" s="1" t="s">
        <v>27910</v>
      </c>
      <c r="F31392" s="2"/>
      <c r="G31392" s="2"/>
      <c r="H31392" s="2"/>
    </row>
    <row r="31393" spans="1:8" x14ac:dyDescent="0.25">
      <c r="A31393" s="1"/>
      <c r="B31393" s="1" t="s">
        <v>8275</v>
      </c>
      <c r="C31393" s="1" t="s">
        <v>8276</v>
      </c>
      <c r="D31393" s="1" t="str">
        <f>HYPERLINK("https://rhld.insurance.arkansas.gov/NPILookup?Npi=1629530654","1629530654")</f>
        <v>1629530654</v>
      </c>
      <c r="E31393" s="1" t="s">
        <v>10390</v>
      </c>
      <c r="F31393" s="2"/>
      <c r="G31393" s="2"/>
      <c r="H31393" s="2"/>
    </row>
    <row r="31394" spans="1:8" x14ac:dyDescent="0.25">
      <c r="A31394" s="1"/>
      <c r="B31394" s="1" t="s">
        <v>8275</v>
      </c>
      <c r="C31394" s="1" t="s">
        <v>8276</v>
      </c>
      <c r="D31394" s="1" t="str">
        <f>HYPERLINK("https://rhld.insurance.arkansas.gov/NPILookup?Npi=1629531595","1629531595")</f>
        <v>1629531595</v>
      </c>
      <c r="E31394" s="1" t="s">
        <v>32305</v>
      </c>
      <c r="F31394" s="2"/>
      <c r="G31394" s="2"/>
      <c r="H31394" s="2"/>
    </row>
    <row r="31395" spans="1:8" x14ac:dyDescent="0.25">
      <c r="A31395" s="1"/>
      <c r="B31395" s="1" t="s">
        <v>8275</v>
      </c>
      <c r="C31395" s="1" t="s">
        <v>8276</v>
      </c>
      <c r="D31395" s="1" t="str">
        <f>HYPERLINK("https://rhld.insurance.arkansas.gov/NPILookup?Npi=1629539606","1629539606")</f>
        <v>1629539606</v>
      </c>
      <c r="E31395" s="1" t="s">
        <v>10391</v>
      </c>
      <c r="F31395" s="2"/>
      <c r="G31395" s="2"/>
      <c r="H31395" s="2"/>
    </row>
    <row r="31396" spans="1:8" x14ac:dyDescent="0.25">
      <c r="A31396" s="1"/>
      <c r="B31396" s="1" t="s">
        <v>8275</v>
      </c>
      <c r="C31396" s="1" t="s">
        <v>8276</v>
      </c>
      <c r="D31396" s="1" t="str">
        <f>HYPERLINK("https://rhld.insurance.arkansas.gov/NPILookup?Npi=1629599287","1629599287")</f>
        <v>1629599287</v>
      </c>
      <c r="E31396" s="1" t="s">
        <v>1237</v>
      </c>
      <c r="F31396" s="2"/>
      <c r="G31396" s="2"/>
      <c r="H31396" s="2"/>
    </row>
    <row r="31397" spans="1:8" x14ac:dyDescent="0.25">
      <c r="A31397" s="1"/>
      <c r="B31397" s="1" t="s">
        <v>8275</v>
      </c>
      <c r="C31397" s="1" t="s">
        <v>8276</v>
      </c>
      <c r="D31397" s="1" t="str">
        <f>HYPERLINK("https://rhld.insurance.arkansas.gov/NPILookup?Npi=1629627542","1629627542")</f>
        <v>1629627542</v>
      </c>
      <c r="E31397" s="1" t="s">
        <v>7951</v>
      </c>
      <c r="F31397" s="2"/>
      <c r="G31397" s="2"/>
      <c r="H31397" s="2"/>
    </row>
    <row r="31398" spans="1:8" x14ac:dyDescent="0.25">
      <c r="A31398" s="1"/>
      <c r="B31398" s="1" t="s">
        <v>8275</v>
      </c>
      <c r="C31398" s="1" t="s">
        <v>8276</v>
      </c>
      <c r="D31398" s="1" t="str">
        <f>HYPERLINK("https://rhld.insurance.arkansas.gov/NPILookup?Npi=1629661053","1629661053")</f>
        <v>1629661053</v>
      </c>
      <c r="E31398" s="1" t="s">
        <v>13380</v>
      </c>
      <c r="F31398" s="2"/>
      <c r="G31398" s="2"/>
      <c r="H31398" s="2"/>
    </row>
    <row r="31399" spans="1:8" x14ac:dyDescent="0.25">
      <c r="A31399" s="1"/>
      <c r="B31399" s="1" t="s">
        <v>8275</v>
      </c>
      <c r="C31399" s="1" t="s">
        <v>8276</v>
      </c>
      <c r="D31399" s="1" t="str">
        <f>HYPERLINK("https://rhld.insurance.arkansas.gov/NPILookup?Npi=1629719018","1629719018")</f>
        <v>1629719018</v>
      </c>
      <c r="E31399" s="1" t="s">
        <v>32306</v>
      </c>
      <c r="F31399" s="2"/>
      <c r="G31399" s="2"/>
      <c r="H31399" s="2"/>
    </row>
    <row r="31400" spans="1:8" x14ac:dyDescent="0.25">
      <c r="A31400" s="1"/>
      <c r="B31400" s="1" t="s">
        <v>8275</v>
      </c>
      <c r="C31400" s="1" t="s">
        <v>8276</v>
      </c>
      <c r="D31400" s="1" t="str">
        <f>HYPERLINK("https://rhld.insurance.arkansas.gov/NPILookup?Npi=1629791009","1629791009")</f>
        <v>1629791009</v>
      </c>
      <c r="E31400" s="1" t="s">
        <v>13382</v>
      </c>
      <c r="F31400" s="2"/>
      <c r="G31400" s="2"/>
      <c r="H31400" s="2"/>
    </row>
    <row r="31401" spans="1:8" x14ac:dyDescent="0.25">
      <c r="A31401" s="1"/>
      <c r="B31401" s="1" t="s">
        <v>8275</v>
      </c>
      <c r="C31401" s="1" t="s">
        <v>8276</v>
      </c>
      <c r="D31401" s="1" t="str">
        <f>HYPERLINK("https://rhld.insurance.arkansas.gov/NPILookup?Npi=1629802772","1629802772")</f>
        <v>1629802772</v>
      </c>
      <c r="E31401" s="1" t="s">
        <v>32307</v>
      </c>
      <c r="F31401" s="2"/>
      <c r="G31401" s="2"/>
      <c r="H31401" s="2"/>
    </row>
    <row r="31402" spans="1:8" x14ac:dyDescent="0.25">
      <c r="A31402" s="1"/>
      <c r="B31402" s="1" t="s">
        <v>8275</v>
      </c>
      <c r="C31402" s="1" t="s">
        <v>8276</v>
      </c>
      <c r="D31402" s="1" t="str">
        <f>HYPERLINK("https://rhld.insurance.arkansas.gov/NPILookup?Npi=1629847132","1629847132")</f>
        <v>1629847132</v>
      </c>
      <c r="E31402" s="1" t="s">
        <v>32308</v>
      </c>
      <c r="F31402" s="2"/>
      <c r="G31402" s="2"/>
      <c r="H31402" s="2"/>
    </row>
    <row r="31403" spans="1:8" x14ac:dyDescent="0.25">
      <c r="A31403" s="1"/>
      <c r="B31403" s="1" t="s">
        <v>8275</v>
      </c>
      <c r="C31403" s="1" t="s">
        <v>8276</v>
      </c>
      <c r="D31403" s="1" t="str">
        <f>HYPERLINK("https://rhld.insurance.arkansas.gov/NPILookup?Npi=1639105182","1639105182")</f>
        <v>1639105182</v>
      </c>
      <c r="E31403" s="1" t="s">
        <v>32309</v>
      </c>
      <c r="F31403" s="2"/>
      <c r="G31403" s="2"/>
      <c r="H31403" s="2"/>
    </row>
    <row r="31404" spans="1:8" x14ac:dyDescent="0.25">
      <c r="A31404" s="1"/>
      <c r="B31404" s="1" t="s">
        <v>8275</v>
      </c>
      <c r="C31404" s="1" t="s">
        <v>8276</v>
      </c>
      <c r="D31404" s="1" t="str">
        <f>HYPERLINK("https://rhld.insurance.arkansas.gov/NPILookup?Npi=1639130263","1639130263")</f>
        <v>1639130263</v>
      </c>
      <c r="E31404" s="1" t="s">
        <v>29760</v>
      </c>
      <c r="F31404" s="2"/>
      <c r="G31404" s="2"/>
      <c r="H31404" s="2"/>
    </row>
    <row r="31405" spans="1:8" x14ac:dyDescent="0.25">
      <c r="A31405" s="1"/>
      <c r="B31405" s="1" t="s">
        <v>8275</v>
      </c>
      <c r="C31405" s="1" t="s">
        <v>8276</v>
      </c>
      <c r="D31405" s="1" t="str">
        <f>HYPERLINK("https://rhld.insurance.arkansas.gov/NPILookup?Npi=1639131261","1639131261")</f>
        <v>1639131261</v>
      </c>
      <c r="E31405" s="1" t="s">
        <v>13927</v>
      </c>
      <c r="F31405" s="2"/>
      <c r="G31405" s="2"/>
      <c r="H31405" s="2"/>
    </row>
    <row r="31406" spans="1:8" x14ac:dyDescent="0.25">
      <c r="A31406" s="1"/>
      <c r="B31406" s="1" t="s">
        <v>8275</v>
      </c>
      <c r="C31406" s="1" t="s">
        <v>8276</v>
      </c>
      <c r="D31406" s="1" t="str">
        <f>HYPERLINK("https://rhld.insurance.arkansas.gov/NPILookup?Npi=1639142284","1639142284")</f>
        <v>1639142284</v>
      </c>
      <c r="E31406" s="1" t="s">
        <v>2940</v>
      </c>
      <c r="F31406" s="2"/>
      <c r="G31406" s="2"/>
      <c r="H31406" s="2"/>
    </row>
    <row r="31407" spans="1:8" x14ac:dyDescent="0.25">
      <c r="A31407" s="1"/>
      <c r="B31407" s="1" t="s">
        <v>8275</v>
      </c>
      <c r="C31407" s="1" t="s">
        <v>8276</v>
      </c>
      <c r="D31407" s="1" t="str">
        <f>HYPERLINK("https://rhld.insurance.arkansas.gov/NPILookup?Npi=1639142524","1639142524")</f>
        <v>1639142524</v>
      </c>
      <c r="E31407" s="1" t="s">
        <v>20699</v>
      </c>
      <c r="F31407" s="2"/>
      <c r="G31407" s="2"/>
      <c r="H31407" s="2"/>
    </row>
    <row r="31408" spans="1:8" x14ac:dyDescent="0.25">
      <c r="A31408" s="1"/>
      <c r="B31408" s="1" t="s">
        <v>8275</v>
      </c>
      <c r="C31408" s="1" t="s">
        <v>8276</v>
      </c>
      <c r="D31408" s="1" t="str">
        <f>HYPERLINK("https://rhld.insurance.arkansas.gov/NPILookup?Npi=1639145741","1639145741")</f>
        <v>1639145741</v>
      </c>
      <c r="E31408" s="1" t="s">
        <v>11165</v>
      </c>
      <c r="F31408" s="2"/>
      <c r="G31408" s="2"/>
      <c r="H31408" s="2"/>
    </row>
    <row r="31409" spans="1:8" x14ac:dyDescent="0.25">
      <c r="A31409" s="1"/>
      <c r="B31409" s="1" t="s">
        <v>8275</v>
      </c>
      <c r="C31409" s="1" t="s">
        <v>8276</v>
      </c>
      <c r="D31409" s="1" t="str">
        <f>HYPERLINK("https://rhld.insurance.arkansas.gov/NPILookup?Npi=1639173420","1639173420")</f>
        <v>1639173420</v>
      </c>
      <c r="E31409" s="1" t="s">
        <v>2394</v>
      </c>
      <c r="F31409" s="2"/>
      <c r="G31409" s="2"/>
      <c r="H31409" s="2"/>
    </row>
    <row r="31410" spans="1:8" x14ac:dyDescent="0.25">
      <c r="A31410" s="1"/>
      <c r="B31410" s="1" t="s">
        <v>8275</v>
      </c>
      <c r="C31410" s="1" t="s">
        <v>8276</v>
      </c>
      <c r="D31410" s="1" t="str">
        <f>HYPERLINK("https://rhld.insurance.arkansas.gov/NPILookup?Npi=1639173446","1639173446")</f>
        <v>1639173446</v>
      </c>
      <c r="E31410" s="1" t="s">
        <v>3151</v>
      </c>
      <c r="F31410" s="2"/>
      <c r="G31410" s="2"/>
      <c r="H31410" s="2"/>
    </row>
    <row r="31411" spans="1:8" x14ac:dyDescent="0.25">
      <c r="A31411" s="1"/>
      <c r="B31411" s="1" t="s">
        <v>8275</v>
      </c>
      <c r="C31411" s="1" t="s">
        <v>8276</v>
      </c>
      <c r="D31411" s="1" t="str">
        <f>HYPERLINK("https://rhld.insurance.arkansas.gov/NPILookup?Npi=1639177728","1639177728")</f>
        <v>1639177728</v>
      </c>
      <c r="E31411" s="1" t="s">
        <v>29761</v>
      </c>
      <c r="F31411" s="2"/>
      <c r="G31411" s="2"/>
      <c r="H31411" s="2"/>
    </row>
    <row r="31412" spans="1:8" x14ac:dyDescent="0.25">
      <c r="A31412" s="1"/>
      <c r="B31412" s="1" t="s">
        <v>8275</v>
      </c>
      <c r="C31412" s="1" t="s">
        <v>8276</v>
      </c>
      <c r="D31412" s="1" t="str">
        <f>HYPERLINK("https://rhld.insurance.arkansas.gov/NPILookup?Npi=1639181688","1639181688")</f>
        <v>1639181688</v>
      </c>
      <c r="E31412" s="1" t="s">
        <v>29762</v>
      </c>
      <c r="F31412" s="2"/>
      <c r="G31412" s="2"/>
      <c r="H31412" s="2"/>
    </row>
    <row r="31413" spans="1:8" x14ac:dyDescent="0.25">
      <c r="A31413" s="1"/>
      <c r="B31413" s="1" t="s">
        <v>8275</v>
      </c>
      <c r="C31413" s="1" t="s">
        <v>8276</v>
      </c>
      <c r="D31413" s="1" t="str">
        <f>HYPERLINK("https://rhld.insurance.arkansas.gov/NPILookup?Npi=1639326507","1639326507")</f>
        <v>1639326507</v>
      </c>
      <c r="E31413" s="1" t="s">
        <v>32468</v>
      </c>
      <c r="F31413" s="2"/>
      <c r="G31413" s="2"/>
      <c r="H31413" s="2"/>
    </row>
    <row r="31414" spans="1:8" x14ac:dyDescent="0.25">
      <c r="A31414" s="1"/>
      <c r="B31414" s="1" t="s">
        <v>8275</v>
      </c>
      <c r="C31414" s="1" t="s">
        <v>8276</v>
      </c>
      <c r="D31414" s="1" t="str">
        <f>HYPERLINK("https://rhld.insurance.arkansas.gov/NPILookup?Npi=1639337744","1639337744")</f>
        <v>1639337744</v>
      </c>
      <c r="E31414" s="1" t="s">
        <v>3152</v>
      </c>
      <c r="F31414" s="2"/>
      <c r="G31414" s="2"/>
      <c r="H31414" s="2"/>
    </row>
    <row r="31415" spans="1:8" x14ac:dyDescent="0.25">
      <c r="A31415" s="1"/>
      <c r="B31415" s="1" t="s">
        <v>8275</v>
      </c>
      <c r="C31415" s="1" t="s">
        <v>8276</v>
      </c>
      <c r="D31415" s="1" t="str">
        <f>HYPERLINK("https://rhld.insurance.arkansas.gov/NPILookup?Npi=1639346240","1639346240")</f>
        <v>1639346240</v>
      </c>
      <c r="E31415" s="1" t="s">
        <v>17732</v>
      </c>
      <c r="F31415" s="2"/>
      <c r="G31415" s="2"/>
      <c r="H31415" s="2"/>
    </row>
    <row r="31416" spans="1:8" x14ac:dyDescent="0.25">
      <c r="A31416" s="1"/>
      <c r="B31416" s="1" t="s">
        <v>8275</v>
      </c>
      <c r="C31416" s="1" t="s">
        <v>8276</v>
      </c>
      <c r="D31416" s="1" t="str">
        <f>HYPERLINK("https://rhld.insurance.arkansas.gov/NPILookup?Npi=1639387178","1639387178")</f>
        <v>1639387178</v>
      </c>
      <c r="E31416" s="1" t="s">
        <v>7954</v>
      </c>
      <c r="F31416" s="2"/>
      <c r="G31416" s="2"/>
      <c r="H31416" s="2"/>
    </row>
    <row r="31417" spans="1:8" x14ac:dyDescent="0.25">
      <c r="A31417" s="1"/>
      <c r="B31417" s="1" t="s">
        <v>8275</v>
      </c>
      <c r="C31417" s="1" t="s">
        <v>8276</v>
      </c>
      <c r="D31417" s="1" t="str">
        <f>HYPERLINK("https://rhld.insurance.arkansas.gov/NPILookup?Npi=1639433469","1639433469")</f>
        <v>1639433469</v>
      </c>
      <c r="E31417" s="1" t="s">
        <v>32310</v>
      </c>
      <c r="F31417" s="2"/>
      <c r="G31417" s="2"/>
      <c r="H31417" s="2"/>
    </row>
    <row r="31418" spans="1:8" x14ac:dyDescent="0.25">
      <c r="A31418" s="1"/>
      <c r="B31418" s="1" t="s">
        <v>8275</v>
      </c>
      <c r="C31418" s="1" t="s">
        <v>8276</v>
      </c>
      <c r="D31418" s="1" t="str">
        <f>HYPERLINK("https://rhld.insurance.arkansas.gov/NPILookup?Npi=1639537830","1639537830")</f>
        <v>1639537830</v>
      </c>
      <c r="E31418" s="1" t="s">
        <v>20168</v>
      </c>
      <c r="F31418" s="2"/>
      <c r="G31418" s="2"/>
      <c r="H31418" s="2"/>
    </row>
    <row r="31419" spans="1:8" x14ac:dyDescent="0.25">
      <c r="A31419" s="1"/>
      <c r="B31419" s="1" t="s">
        <v>8275</v>
      </c>
      <c r="C31419" s="1" t="s">
        <v>8276</v>
      </c>
      <c r="D31419" s="1" t="str">
        <f>HYPERLINK("https://rhld.insurance.arkansas.gov/NPILookup?Npi=1639591506","1639591506")</f>
        <v>1639591506</v>
      </c>
      <c r="E31419" s="1" t="s">
        <v>7958</v>
      </c>
      <c r="F31419" s="2"/>
      <c r="G31419" s="2"/>
      <c r="H31419" s="2"/>
    </row>
    <row r="31420" spans="1:8" x14ac:dyDescent="0.25">
      <c r="A31420" s="1"/>
      <c r="B31420" s="1" t="s">
        <v>8275</v>
      </c>
      <c r="C31420" s="1" t="s">
        <v>8276</v>
      </c>
      <c r="D31420" s="1" t="str">
        <f>HYPERLINK("https://rhld.insurance.arkansas.gov/NPILookup?Npi=1639620271","1639620271")</f>
        <v>1639620271</v>
      </c>
      <c r="E31420" s="1" t="s">
        <v>27942</v>
      </c>
      <c r="F31420" s="2"/>
      <c r="G31420" s="2"/>
      <c r="H31420" s="2"/>
    </row>
    <row r="31421" spans="1:8" x14ac:dyDescent="0.25">
      <c r="A31421" s="1"/>
      <c r="B31421" s="1" t="s">
        <v>8275</v>
      </c>
      <c r="C31421" s="1" t="s">
        <v>8276</v>
      </c>
      <c r="D31421" s="1" t="str">
        <f>HYPERLINK("https://rhld.insurance.arkansas.gov/NPILookup?Npi=1639674690","1639674690")</f>
        <v>1639674690</v>
      </c>
      <c r="E31421" s="1" t="s">
        <v>7959</v>
      </c>
      <c r="F31421" s="2"/>
      <c r="G31421" s="2"/>
      <c r="H31421" s="2"/>
    </row>
    <row r="31422" spans="1:8" x14ac:dyDescent="0.25">
      <c r="A31422" s="1"/>
      <c r="B31422" s="1" t="s">
        <v>8275</v>
      </c>
      <c r="C31422" s="1" t="s">
        <v>8276</v>
      </c>
      <c r="D31422" s="1" t="str">
        <f>HYPERLINK("https://rhld.insurance.arkansas.gov/NPILookup?Npi=1639679970","1639679970")</f>
        <v>1639679970</v>
      </c>
      <c r="E31422" s="1" t="s">
        <v>32311</v>
      </c>
      <c r="F31422" s="2"/>
      <c r="G31422" s="2"/>
      <c r="H31422" s="2"/>
    </row>
    <row r="31423" spans="1:8" x14ac:dyDescent="0.25">
      <c r="A31423" s="1"/>
      <c r="B31423" s="1" t="s">
        <v>8275</v>
      </c>
      <c r="C31423" s="1" t="s">
        <v>8276</v>
      </c>
      <c r="D31423" s="1" t="str">
        <f>HYPERLINK("https://rhld.insurance.arkansas.gov/NPILookup?Npi=1639725823","1639725823")</f>
        <v>1639725823</v>
      </c>
      <c r="E31423" s="1" t="s">
        <v>27947</v>
      </c>
      <c r="F31423" s="2"/>
      <c r="G31423" s="2"/>
      <c r="H31423" s="2"/>
    </row>
    <row r="31424" spans="1:8" x14ac:dyDescent="0.25">
      <c r="A31424" s="1"/>
      <c r="B31424" s="1" t="s">
        <v>8275</v>
      </c>
      <c r="C31424" s="1" t="s">
        <v>8276</v>
      </c>
      <c r="D31424" s="1" t="str">
        <f>HYPERLINK("https://rhld.insurance.arkansas.gov/NPILookup?Npi=1639806607","1639806607")</f>
        <v>1639806607</v>
      </c>
      <c r="E31424" s="1" t="s">
        <v>27952</v>
      </c>
      <c r="F31424" s="2"/>
      <c r="G31424" s="2"/>
      <c r="H31424" s="2"/>
    </row>
    <row r="31425" spans="1:8" x14ac:dyDescent="0.25">
      <c r="A31425" s="1"/>
      <c r="B31425" s="1" t="s">
        <v>8275</v>
      </c>
      <c r="C31425" s="1" t="s">
        <v>8276</v>
      </c>
      <c r="D31425" s="1" t="str">
        <f>HYPERLINK("https://rhld.insurance.arkansas.gov/NPILookup?Npi=1639837099","1639837099")</f>
        <v>1639837099</v>
      </c>
      <c r="E31425" s="1" t="s">
        <v>27957</v>
      </c>
      <c r="F31425" s="2"/>
      <c r="G31425" s="2"/>
      <c r="H31425" s="2"/>
    </row>
    <row r="31426" spans="1:8" x14ac:dyDescent="0.25">
      <c r="A31426" s="1"/>
      <c r="B31426" s="1" t="s">
        <v>8275</v>
      </c>
      <c r="C31426" s="1" t="s">
        <v>8276</v>
      </c>
      <c r="D31426" s="1" t="str">
        <f>HYPERLINK("https://rhld.insurance.arkansas.gov/NPILookup?Npi=1639909955","1639909955")</f>
        <v>1639909955</v>
      </c>
      <c r="E31426" s="1" t="s">
        <v>32312</v>
      </c>
      <c r="F31426" s="2"/>
      <c r="G31426" s="2"/>
      <c r="H31426" s="2"/>
    </row>
    <row r="31427" spans="1:8" x14ac:dyDescent="0.25">
      <c r="A31427" s="1"/>
      <c r="B31427" s="1" t="s">
        <v>8275</v>
      </c>
      <c r="C31427" s="1" t="s">
        <v>8276</v>
      </c>
      <c r="D31427" s="1" t="str">
        <f>HYPERLINK("https://rhld.insurance.arkansas.gov/NPILookup?Npi=1639989304","1639989304")</f>
        <v>1639989304</v>
      </c>
      <c r="E31427" s="1" t="s">
        <v>32313</v>
      </c>
      <c r="F31427" s="2"/>
      <c r="G31427" s="2"/>
      <c r="H31427" s="2"/>
    </row>
    <row r="31428" spans="1:8" x14ac:dyDescent="0.25">
      <c r="A31428" s="1"/>
      <c r="B31428" s="1" t="s">
        <v>8275</v>
      </c>
      <c r="C31428" s="1" t="s">
        <v>8276</v>
      </c>
      <c r="D31428" s="1" t="str">
        <f>HYPERLINK("https://rhld.insurance.arkansas.gov/NPILookup?Npi=1649012766","1649012766")</f>
        <v>1649012766</v>
      </c>
      <c r="E31428" s="1" t="s">
        <v>32314</v>
      </c>
      <c r="F31428" s="2"/>
      <c r="G31428" s="2"/>
      <c r="H31428" s="2"/>
    </row>
    <row r="31429" spans="1:8" x14ac:dyDescent="0.25">
      <c r="A31429" s="1"/>
      <c r="B31429" s="1" t="s">
        <v>8275</v>
      </c>
      <c r="C31429" s="1" t="s">
        <v>8276</v>
      </c>
      <c r="D31429" s="1" t="str">
        <f>HYPERLINK("https://rhld.insurance.arkansas.gov/NPILookup?Npi=1649018375","1649018375")</f>
        <v>1649018375</v>
      </c>
      <c r="E31429" s="1" t="s">
        <v>32315</v>
      </c>
      <c r="F31429" s="2"/>
      <c r="G31429" s="2"/>
      <c r="H31429" s="2"/>
    </row>
    <row r="31430" spans="1:8" x14ac:dyDescent="0.25">
      <c r="A31430" s="1"/>
      <c r="B31430" s="1" t="s">
        <v>8275</v>
      </c>
      <c r="C31430" s="1" t="s">
        <v>8276</v>
      </c>
      <c r="D31430" s="1" t="str">
        <f>HYPERLINK("https://rhld.insurance.arkansas.gov/NPILookup?Npi=1649033952","1649033952")</f>
        <v>1649033952</v>
      </c>
      <c r="E31430" s="1" t="s">
        <v>7962</v>
      </c>
      <c r="F31430" s="2"/>
      <c r="G31430" s="2"/>
      <c r="H31430" s="2"/>
    </row>
    <row r="31431" spans="1:8" x14ac:dyDescent="0.25">
      <c r="A31431" s="1"/>
      <c r="B31431" s="1" t="s">
        <v>8275</v>
      </c>
      <c r="C31431" s="1" t="s">
        <v>8276</v>
      </c>
      <c r="D31431" s="1" t="str">
        <f>HYPERLINK("https://rhld.insurance.arkansas.gov/NPILookup?Npi=1649218892","1649218892")</f>
        <v>1649218892</v>
      </c>
      <c r="E31431" s="1" t="s">
        <v>27961</v>
      </c>
      <c r="F31431" s="2"/>
      <c r="G31431" s="2"/>
      <c r="H31431" s="2"/>
    </row>
    <row r="31432" spans="1:8" x14ac:dyDescent="0.25">
      <c r="A31432" s="1"/>
      <c r="B31432" s="1" t="s">
        <v>8275</v>
      </c>
      <c r="C31432" s="1" t="s">
        <v>8276</v>
      </c>
      <c r="D31432" s="1" t="str">
        <f>HYPERLINK("https://rhld.insurance.arkansas.gov/NPILookup?Npi=1649250689","1649250689")</f>
        <v>1649250689</v>
      </c>
      <c r="E31432" s="1" t="s">
        <v>27965</v>
      </c>
      <c r="F31432" s="2"/>
      <c r="G31432" s="2"/>
      <c r="H31432" s="2"/>
    </row>
    <row r="31433" spans="1:8" x14ac:dyDescent="0.25">
      <c r="A31433" s="1"/>
      <c r="B31433" s="1" t="s">
        <v>8275</v>
      </c>
      <c r="C31433" s="1" t="s">
        <v>8276</v>
      </c>
      <c r="D31433" s="1" t="str">
        <f>HYPERLINK("https://rhld.insurance.arkansas.gov/NPILookup?Npi=1649299587","1649299587")</f>
        <v>1649299587</v>
      </c>
      <c r="E31433" s="1" t="s">
        <v>21587</v>
      </c>
      <c r="F31433" s="2"/>
      <c r="G31433" s="2"/>
      <c r="H31433" s="2"/>
    </row>
    <row r="31434" spans="1:8" x14ac:dyDescent="0.25">
      <c r="A31434" s="1"/>
      <c r="B31434" s="1" t="s">
        <v>8275</v>
      </c>
      <c r="C31434" s="1" t="s">
        <v>8276</v>
      </c>
      <c r="D31434" s="1" t="str">
        <f>HYPERLINK("https://rhld.insurance.arkansas.gov/NPILookup?Npi=1649320607","1649320607")</f>
        <v>1649320607</v>
      </c>
      <c r="E31434" s="1" t="s">
        <v>29763</v>
      </c>
      <c r="F31434" s="2"/>
      <c r="G31434" s="2"/>
      <c r="H31434" s="2"/>
    </row>
    <row r="31435" spans="1:8" x14ac:dyDescent="0.25">
      <c r="A31435" s="1"/>
      <c r="B31435" s="1" t="s">
        <v>8275</v>
      </c>
      <c r="C31435" s="1" t="s">
        <v>8276</v>
      </c>
      <c r="D31435" s="1" t="str">
        <f>HYPERLINK("https://rhld.insurance.arkansas.gov/NPILookup?Npi=1649337635","1649337635")</f>
        <v>1649337635</v>
      </c>
      <c r="E31435" s="1" t="s">
        <v>29764</v>
      </c>
      <c r="F31435" s="2"/>
      <c r="G31435" s="2"/>
      <c r="H31435" s="2"/>
    </row>
    <row r="31436" spans="1:8" x14ac:dyDescent="0.25">
      <c r="A31436" s="1"/>
      <c r="B31436" s="1" t="s">
        <v>8275</v>
      </c>
      <c r="C31436" s="1" t="s">
        <v>8276</v>
      </c>
      <c r="D31436" s="1" t="str">
        <f>HYPERLINK("https://rhld.insurance.arkansas.gov/NPILookup?Npi=1649346032","1649346032")</f>
        <v>1649346032</v>
      </c>
      <c r="E31436" s="1" t="s">
        <v>8321</v>
      </c>
      <c r="F31436" s="2"/>
      <c r="G31436" s="2"/>
      <c r="H31436" s="2"/>
    </row>
    <row r="31437" spans="1:8" x14ac:dyDescent="0.25">
      <c r="A31437" s="1"/>
      <c r="B31437" s="1" t="s">
        <v>8275</v>
      </c>
      <c r="C31437" s="1" t="s">
        <v>8276</v>
      </c>
      <c r="D31437" s="1" t="str">
        <f>HYPERLINK("https://rhld.insurance.arkansas.gov/NPILookup?Npi=1649437633","1649437633")</f>
        <v>1649437633</v>
      </c>
      <c r="E31437" s="1" t="s">
        <v>27970</v>
      </c>
      <c r="F31437" s="2"/>
      <c r="G31437" s="2"/>
      <c r="H31437" s="2"/>
    </row>
    <row r="31438" spans="1:8" x14ac:dyDescent="0.25">
      <c r="A31438" s="1"/>
      <c r="B31438" s="1" t="s">
        <v>8275</v>
      </c>
      <c r="C31438" s="1" t="s">
        <v>8276</v>
      </c>
      <c r="D31438" s="1" t="str">
        <f>HYPERLINK("https://rhld.insurance.arkansas.gov/NPILookup?Npi=1649442484","1649442484")</f>
        <v>1649442484</v>
      </c>
      <c r="E31438" s="1" t="s">
        <v>27971</v>
      </c>
      <c r="F31438" s="2"/>
      <c r="G31438" s="2"/>
      <c r="H31438" s="2"/>
    </row>
    <row r="31439" spans="1:8" x14ac:dyDescent="0.25">
      <c r="A31439" s="1"/>
      <c r="B31439" s="1" t="s">
        <v>8275</v>
      </c>
      <c r="C31439" s="1" t="s">
        <v>8276</v>
      </c>
      <c r="D31439" s="1" t="str">
        <f>HYPERLINK("https://rhld.insurance.arkansas.gov/NPILookup?Npi=1649444365","1649444365")</f>
        <v>1649444365</v>
      </c>
      <c r="E31439" s="1" t="s">
        <v>27972</v>
      </c>
      <c r="F31439" s="2"/>
      <c r="G31439" s="2"/>
      <c r="H31439" s="2"/>
    </row>
    <row r="31440" spans="1:8" x14ac:dyDescent="0.25">
      <c r="A31440" s="1"/>
      <c r="B31440" s="1" t="s">
        <v>8275</v>
      </c>
      <c r="C31440" s="1" t="s">
        <v>8276</v>
      </c>
      <c r="D31440" s="1" t="str">
        <f>HYPERLINK("https://rhld.insurance.arkansas.gov/NPILookup?Npi=1649447871","1649447871")</f>
        <v>1649447871</v>
      </c>
      <c r="E31440" s="1" t="s">
        <v>29765</v>
      </c>
      <c r="F31440" s="2"/>
      <c r="G31440" s="2"/>
      <c r="H31440" s="2"/>
    </row>
    <row r="31441" spans="1:8" x14ac:dyDescent="0.25">
      <c r="A31441" s="1"/>
      <c r="B31441" s="1" t="s">
        <v>8275</v>
      </c>
      <c r="C31441" s="1" t="s">
        <v>8276</v>
      </c>
      <c r="D31441" s="1" t="str">
        <f>HYPERLINK("https://rhld.insurance.arkansas.gov/NPILookup?Npi=1649484452","1649484452")</f>
        <v>1649484452</v>
      </c>
      <c r="E31441" s="1" t="s">
        <v>29766</v>
      </c>
      <c r="F31441" s="2"/>
      <c r="G31441" s="2"/>
      <c r="H31441" s="2"/>
    </row>
    <row r="31442" spans="1:8" x14ac:dyDescent="0.25">
      <c r="A31442" s="1"/>
      <c r="B31442" s="1" t="s">
        <v>8275</v>
      </c>
      <c r="C31442" s="1" t="s">
        <v>8276</v>
      </c>
      <c r="D31442" s="1" t="str">
        <f>HYPERLINK("https://rhld.insurance.arkansas.gov/NPILookup?Npi=1649488164","1649488164")</f>
        <v>1649488164</v>
      </c>
      <c r="E31442" s="1" t="s">
        <v>29767</v>
      </c>
      <c r="F31442" s="2"/>
      <c r="G31442" s="2"/>
      <c r="H31442" s="2"/>
    </row>
    <row r="31443" spans="1:8" x14ac:dyDescent="0.25">
      <c r="A31443" s="1"/>
      <c r="B31443" s="1" t="s">
        <v>8275</v>
      </c>
      <c r="C31443" s="1" t="s">
        <v>8276</v>
      </c>
      <c r="D31443" s="1" t="str">
        <f>HYPERLINK("https://rhld.insurance.arkansas.gov/NPILookup?Npi=1649512146","1649512146")</f>
        <v>1649512146</v>
      </c>
      <c r="E31443" s="1" t="s">
        <v>27974</v>
      </c>
      <c r="F31443" s="2"/>
      <c r="G31443" s="2"/>
      <c r="H31443" s="2"/>
    </row>
    <row r="31444" spans="1:8" x14ac:dyDescent="0.25">
      <c r="A31444" s="1"/>
      <c r="B31444" s="1" t="s">
        <v>8275</v>
      </c>
      <c r="C31444" s="1" t="s">
        <v>8276</v>
      </c>
      <c r="D31444" s="1" t="str">
        <f>HYPERLINK("https://rhld.insurance.arkansas.gov/NPILookup?Npi=1649587031","1649587031")</f>
        <v>1649587031</v>
      </c>
      <c r="E31444" s="1" t="s">
        <v>7963</v>
      </c>
      <c r="F31444" s="2"/>
      <c r="G31444" s="2"/>
      <c r="H31444" s="2"/>
    </row>
    <row r="31445" spans="1:8" x14ac:dyDescent="0.25">
      <c r="A31445" s="1"/>
      <c r="B31445" s="1" t="s">
        <v>8275</v>
      </c>
      <c r="C31445" s="1" t="s">
        <v>8276</v>
      </c>
      <c r="D31445" s="1" t="str">
        <f>HYPERLINK("https://rhld.insurance.arkansas.gov/NPILookup?Npi=1649594219","1649594219")</f>
        <v>1649594219</v>
      </c>
      <c r="E31445" s="1" t="s">
        <v>27980</v>
      </c>
      <c r="F31445" s="2"/>
      <c r="G31445" s="2"/>
      <c r="H31445" s="2"/>
    </row>
    <row r="31446" spans="1:8" x14ac:dyDescent="0.25">
      <c r="A31446" s="1"/>
      <c r="B31446" s="1" t="s">
        <v>8275</v>
      </c>
      <c r="C31446" s="1" t="s">
        <v>8276</v>
      </c>
      <c r="D31446" s="1" t="str">
        <f>HYPERLINK("https://rhld.insurance.arkansas.gov/NPILookup?Npi=1649604141","1649604141")</f>
        <v>1649604141</v>
      </c>
      <c r="E31446" s="1" t="s">
        <v>27981</v>
      </c>
      <c r="F31446" s="2"/>
      <c r="G31446" s="2"/>
      <c r="H31446" s="2"/>
    </row>
    <row r="31447" spans="1:8" x14ac:dyDescent="0.25">
      <c r="A31447" s="1"/>
      <c r="B31447" s="1" t="s">
        <v>8275</v>
      </c>
      <c r="C31447" s="1" t="s">
        <v>8276</v>
      </c>
      <c r="D31447" s="1" t="str">
        <f>HYPERLINK("https://rhld.insurance.arkansas.gov/NPILookup?Npi=1649634585","1649634585")</f>
        <v>1649634585</v>
      </c>
      <c r="E31447" s="1" t="s">
        <v>7966</v>
      </c>
      <c r="F31447" s="2"/>
      <c r="G31447" s="2"/>
      <c r="H31447" s="2"/>
    </row>
    <row r="31448" spans="1:8" x14ac:dyDescent="0.25">
      <c r="A31448" s="1"/>
      <c r="B31448" s="1" t="s">
        <v>8275</v>
      </c>
      <c r="C31448" s="1" t="s">
        <v>8276</v>
      </c>
      <c r="D31448" s="1" t="str">
        <f>HYPERLINK("https://rhld.insurance.arkansas.gov/NPILookup?Npi=1649686148","1649686148")</f>
        <v>1649686148</v>
      </c>
      <c r="E31448" s="1" t="s">
        <v>8811</v>
      </c>
      <c r="F31448" s="2"/>
      <c r="G31448" s="2"/>
      <c r="H31448" s="2"/>
    </row>
    <row r="31449" spans="1:8" x14ac:dyDescent="0.25">
      <c r="A31449" s="1"/>
      <c r="B31449" s="1" t="s">
        <v>8275</v>
      </c>
      <c r="C31449" s="1" t="s">
        <v>8276</v>
      </c>
      <c r="D31449" s="1" t="str">
        <f>HYPERLINK("https://rhld.insurance.arkansas.gov/NPILookup?Npi=1649806613","1649806613")</f>
        <v>1649806613</v>
      </c>
      <c r="E31449" s="1" t="s">
        <v>28000</v>
      </c>
      <c r="F31449" s="2"/>
      <c r="G31449" s="2"/>
      <c r="H31449" s="2"/>
    </row>
    <row r="31450" spans="1:8" x14ac:dyDescent="0.25">
      <c r="A31450" s="1"/>
      <c r="B31450" s="1" t="s">
        <v>8275</v>
      </c>
      <c r="C31450" s="1" t="s">
        <v>8276</v>
      </c>
      <c r="D31450" s="1" t="str">
        <f>HYPERLINK("https://rhld.insurance.arkansas.gov/NPILookup?Npi=1649851056","1649851056")</f>
        <v>1649851056</v>
      </c>
      <c r="E31450" s="1" t="s">
        <v>32316</v>
      </c>
      <c r="F31450" s="2"/>
      <c r="G31450" s="2"/>
      <c r="H31450" s="2"/>
    </row>
    <row r="31451" spans="1:8" x14ac:dyDescent="0.25">
      <c r="A31451" s="1"/>
      <c r="B31451" s="1" t="s">
        <v>8275</v>
      </c>
      <c r="C31451" s="1" t="s">
        <v>8276</v>
      </c>
      <c r="D31451" s="1" t="str">
        <f>HYPERLINK("https://rhld.insurance.arkansas.gov/NPILookup?Npi=1649918343","1649918343")</f>
        <v>1649918343</v>
      </c>
      <c r="E31451" s="1" t="s">
        <v>28009</v>
      </c>
      <c r="F31451" s="2"/>
      <c r="G31451" s="2"/>
      <c r="H31451" s="2"/>
    </row>
    <row r="31452" spans="1:8" x14ac:dyDescent="0.25">
      <c r="A31452" s="1"/>
      <c r="B31452" s="1" t="s">
        <v>8275</v>
      </c>
      <c r="C31452" s="1" t="s">
        <v>8276</v>
      </c>
      <c r="D31452" s="1" t="str">
        <f>HYPERLINK("https://rhld.insurance.arkansas.gov/NPILookup?Npi=1659101863","1659101863")</f>
        <v>1659101863</v>
      </c>
      <c r="E31452" s="1" t="s">
        <v>28019</v>
      </c>
      <c r="F31452" s="2"/>
      <c r="G31452" s="2"/>
      <c r="H31452" s="2"/>
    </row>
    <row r="31453" spans="1:8" x14ac:dyDescent="0.25">
      <c r="A31453" s="1"/>
      <c r="B31453" s="1" t="s">
        <v>8275</v>
      </c>
      <c r="C31453" s="1" t="s">
        <v>8276</v>
      </c>
      <c r="D31453" s="1" t="str">
        <f>HYPERLINK("https://rhld.insurance.arkansas.gov/NPILookup?Npi=1659131035","1659131035")</f>
        <v>1659131035</v>
      </c>
      <c r="E31453" s="1" t="s">
        <v>32317</v>
      </c>
      <c r="F31453" s="2"/>
      <c r="G31453" s="2"/>
      <c r="H31453" s="2"/>
    </row>
    <row r="31454" spans="1:8" x14ac:dyDescent="0.25">
      <c r="A31454" s="1"/>
      <c r="B31454" s="1" t="s">
        <v>8275</v>
      </c>
      <c r="C31454" s="1" t="s">
        <v>8276</v>
      </c>
      <c r="D31454" s="1" t="str">
        <f>HYPERLINK("https://rhld.insurance.arkansas.gov/NPILookup?Npi=1659140309","1659140309")</f>
        <v>1659140309</v>
      </c>
      <c r="E31454" s="1" t="s">
        <v>32318</v>
      </c>
      <c r="F31454" s="2"/>
      <c r="G31454" s="2"/>
      <c r="H31454" s="2"/>
    </row>
    <row r="31455" spans="1:8" x14ac:dyDescent="0.25">
      <c r="A31455" s="1"/>
      <c r="B31455" s="1" t="s">
        <v>8275</v>
      </c>
      <c r="C31455" s="1" t="s">
        <v>8276</v>
      </c>
      <c r="D31455" s="1" t="str">
        <f>HYPERLINK("https://rhld.insurance.arkansas.gov/NPILookup?Npi=1659199503","1659199503")</f>
        <v>1659199503</v>
      </c>
      <c r="E31455" s="1" t="s">
        <v>32319</v>
      </c>
      <c r="F31455" s="2"/>
      <c r="G31455" s="2"/>
      <c r="H31455" s="2"/>
    </row>
    <row r="31456" spans="1:8" x14ac:dyDescent="0.25">
      <c r="A31456" s="1"/>
      <c r="B31456" s="1" t="s">
        <v>8275</v>
      </c>
      <c r="C31456" s="1" t="s">
        <v>8276</v>
      </c>
      <c r="D31456" s="1" t="str">
        <f>HYPERLINK("https://rhld.insurance.arkansas.gov/NPILookup?Npi=1659323038","1659323038")</f>
        <v>1659323038</v>
      </c>
      <c r="E31456" s="1" t="s">
        <v>3154</v>
      </c>
      <c r="F31456" s="2"/>
      <c r="G31456" s="2"/>
      <c r="H31456" s="2"/>
    </row>
    <row r="31457" spans="1:8" x14ac:dyDescent="0.25">
      <c r="A31457" s="1"/>
      <c r="B31457" s="1" t="s">
        <v>8275</v>
      </c>
      <c r="C31457" s="1" t="s">
        <v>8276</v>
      </c>
      <c r="D31457" s="1" t="str">
        <f>HYPERLINK("https://rhld.insurance.arkansas.gov/NPILookup?Npi=1659336196","1659336196")</f>
        <v>1659336196</v>
      </c>
      <c r="E31457" s="1" t="s">
        <v>13405</v>
      </c>
      <c r="F31457" s="2"/>
      <c r="G31457" s="2"/>
      <c r="H31457" s="2"/>
    </row>
    <row r="31458" spans="1:8" x14ac:dyDescent="0.25">
      <c r="A31458" s="1"/>
      <c r="B31458" s="1" t="s">
        <v>8275</v>
      </c>
      <c r="C31458" s="1" t="s">
        <v>8276</v>
      </c>
      <c r="D31458" s="1" t="str">
        <f>HYPERLINK("https://rhld.insurance.arkansas.gov/NPILookup?Npi=1659340438","1659340438")</f>
        <v>1659340438</v>
      </c>
      <c r="E31458" s="1" t="s">
        <v>13928</v>
      </c>
      <c r="F31458" s="2"/>
      <c r="G31458" s="2"/>
      <c r="H31458" s="2"/>
    </row>
    <row r="31459" spans="1:8" x14ac:dyDescent="0.25">
      <c r="A31459" s="1"/>
      <c r="B31459" s="1" t="s">
        <v>8275</v>
      </c>
      <c r="C31459" s="1" t="s">
        <v>8276</v>
      </c>
      <c r="D31459" s="1" t="str">
        <f>HYPERLINK("https://rhld.insurance.arkansas.gov/NPILookup?Npi=1659345288","1659345288")</f>
        <v>1659345288</v>
      </c>
      <c r="E31459" s="1" t="s">
        <v>32320</v>
      </c>
      <c r="F31459" s="2"/>
      <c r="G31459" s="2"/>
      <c r="H31459" s="2"/>
    </row>
    <row r="31460" spans="1:8" x14ac:dyDescent="0.25">
      <c r="A31460" s="1"/>
      <c r="B31460" s="1" t="s">
        <v>8275</v>
      </c>
      <c r="C31460" s="1" t="s">
        <v>8276</v>
      </c>
      <c r="D31460" s="1" t="str">
        <f>HYPERLINK("https://rhld.insurance.arkansas.gov/NPILookup?Npi=1659364545","1659364545")</f>
        <v>1659364545</v>
      </c>
      <c r="E31460" s="1" t="s">
        <v>28024</v>
      </c>
      <c r="F31460" s="2"/>
      <c r="G31460" s="2"/>
      <c r="H31460" s="2"/>
    </row>
    <row r="31461" spans="1:8" x14ac:dyDescent="0.25">
      <c r="A31461" s="1"/>
      <c r="B31461" s="1" t="s">
        <v>8275</v>
      </c>
      <c r="C31461" s="1" t="s">
        <v>8276</v>
      </c>
      <c r="D31461" s="1" t="str">
        <f>HYPERLINK("https://rhld.insurance.arkansas.gov/NPILookup?Npi=1659392421","1659392421")</f>
        <v>1659392421</v>
      </c>
      <c r="E31461" s="1" t="s">
        <v>29768</v>
      </c>
      <c r="F31461" s="2"/>
      <c r="G31461" s="2"/>
      <c r="H31461" s="2"/>
    </row>
    <row r="31462" spans="1:8" x14ac:dyDescent="0.25">
      <c r="A31462" s="1"/>
      <c r="B31462" s="1" t="s">
        <v>8275</v>
      </c>
      <c r="C31462" s="1" t="s">
        <v>8276</v>
      </c>
      <c r="D31462" s="1" t="str">
        <f>HYPERLINK("https://rhld.insurance.arkansas.gov/NPILookup?Npi=1659448868","1659448868")</f>
        <v>1659448868</v>
      </c>
      <c r="E31462" s="1" t="s">
        <v>1035</v>
      </c>
      <c r="F31462" s="2"/>
      <c r="G31462" s="2"/>
      <c r="H31462" s="2"/>
    </row>
    <row r="31463" spans="1:8" x14ac:dyDescent="0.25">
      <c r="A31463" s="1"/>
      <c r="B31463" s="1" t="s">
        <v>8275</v>
      </c>
      <c r="C31463" s="1" t="s">
        <v>8276</v>
      </c>
      <c r="D31463" s="1" t="str">
        <f>HYPERLINK("https://rhld.insurance.arkansas.gov/NPILookup?Npi=1659459394","1659459394")</f>
        <v>1659459394</v>
      </c>
      <c r="E31463" s="1" t="s">
        <v>29769</v>
      </c>
      <c r="F31463" s="2"/>
      <c r="G31463" s="2"/>
      <c r="H31463" s="2"/>
    </row>
    <row r="31464" spans="1:8" x14ac:dyDescent="0.25">
      <c r="A31464" s="1"/>
      <c r="B31464" s="1" t="s">
        <v>8275</v>
      </c>
      <c r="C31464" s="1" t="s">
        <v>8276</v>
      </c>
      <c r="D31464" s="1" t="str">
        <f>HYPERLINK("https://rhld.insurance.arkansas.gov/NPILookup?Npi=1659549681","1659549681")</f>
        <v>1659549681</v>
      </c>
      <c r="E31464" s="1" t="s">
        <v>3821</v>
      </c>
      <c r="F31464" s="2"/>
      <c r="G31464" s="2"/>
      <c r="H31464" s="2"/>
    </row>
    <row r="31465" spans="1:8" x14ac:dyDescent="0.25">
      <c r="A31465" s="1"/>
      <c r="B31465" s="1" t="s">
        <v>8275</v>
      </c>
      <c r="C31465" s="1" t="s">
        <v>8276</v>
      </c>
      <c r="D31465" s="1" t="str">
        <f>HYPERLINK("https://rhld.insurance.arkansas.gov/NPILookup?Npi=1659641496","1659641496")</f>
        <v>1659641496</v>
      </c>
      <c r="E31465" s="1" t="s">
        <v>28033</v>
      </c>
      <c r="F31465" s="2"/>
      <c r="G31465" s="2"/>
      <c r="H31465" s="2"/>
    </row>
    <row r="31466" spans="1:8" x14ac:dyDescent="0.25">
      <c r="A31466" s="1"/>
      <c r="B31466" s="1" t="s">
        <v>8275</v>
      </c>
      <c r="C31466" s="1" t="s">
        <v>8276</v>
      </c>
      <c r="D31466" s="1" t="str">
        <f>HYPERLINK("https://rhld.insurance.arkansas.gov/NPILookup?Npi=1659699247","1659699247")</f>
        <v>1659699247</v>
      </c>
      <c r="E31466" s="1" t="s">
        <v>29770</v>
      </c>
      <c r="F31466" s="2"/>
      <c r="G31466" s="2"/>
      <c r="H31466" s="2"/>
    </row>
    <row r="31467" spans="1:8" x14ac:dyDescent="0.25">
      <c r="A31467" s="1"/>
      <c r="B31467" s="1" t="s">
        <v>8275</v>
      </c>
      <c r="C31467" s="1" t="s">
        <v>8276</v>
      </c>
      <c r="D31467" s="1" t="str">
        <f>HYPERLINK("https://rhld.insurance.arkansas.gov/NPILookup?Npi=1659760635","1659760635")</f>
        <v>1659760635</v>
      </c>
      <c r="E31467" s="1" t="s">
        <v>28034</v>
      </c>
      <c r="F31467" s="2"/>
      <c r="G31467" s="2"/>
      <c r="H31467" s="2"/>
    </row>
    <row r="31468" spans="1:8" x14ac:dyDescent="0.25">
      <c r="A31468" s="1"/>
      <c r="B31468" s="1" t="s">
        <v>8275</v>
      </c>
      <c r="C31468" s="1" t="s">
        <v>8276</v>
      </c>
      <c r="D31468" s="1" t="str">
        <f>HYPERLINK("https://rhld.insurance.arkansas.gov/NPILookup?Npi=1659762144","1659762144")</f>
        <v>1659762144</v>
      </c>
      <c r="E31468" s="1" t="s">
        <v>28036</v>
      </c>
      <c r="F31468" s="2"/>
      <c r="G31468" s="2"/>
      <c r="H31468" s="2"/>
    </row>
    <row r="31469" spans="1:8" x14ac:dyDescent="0.25">
      <c r="A31469" s="1"/>
      <c r="B31469" s="1" t="s">
        <v>8275</v>
      </c>
      <c r="C31469" s="1" t="s">
        <v>8276</v>
      </c>
      <c r="D31469" s="1" t="str">
        <f>HYPERLINK("https://rhld.insurance.arkansas.gov/NPILookup?Npi=1659831592","1659831592")</f>
        <v>1659831592</v>
      </c>
      <c r="E31469" s="1" t="s">
        <v>29771</v>
      </c>
      <c r="F31469" s="2"/>
      <c r="G31469" s="2"/>
      <c r="H31469" s="2"/>
    </row>
    <row r="31470" spans="1:8" x14ac:dyDescent="0.25">
      <c r="A31470" s="1"/>
      <c r="B31470" s="1" t="s">
        <v>8275</v>
      </c>
      <c r="C31470" s="1" t="s">
        <v>8276</v>
      </c>
      <c r="D31470" s="1" t="str">
        <f>HYPERLINK("https://rhld.insurance.arkansas.gov/NPILookup?Npi=1659888188","1659888188")</f>
        <v>1659888188</v>
      </c>
      <c r="E31470" s="1" t="s">
        <v>13412</v>
      </c>
      <c r="F31470" s="2"/>
      <c r="G31470" s="2"/>
      <c r="H31470" s="2"/>
    </row>
    <row r="31471" spans="1:8" x14ac:dyDescent="0.25">
      <c r="A31471" s="1"/>
      <c r="B31471" s="1" t="s">
        <v>8275</v>
      </c>
      <c r="C31471" s="1" t="s">
        <v>8276</v>
      </c>
      <c r="D31471" s="1" t="str">
        <f>HYPERLINK("https://rhld.insurance.arkansas.gov/NPILookup?Npi=1659948651","1659948651")</f>
        <v>1659948651</v>
      </c>
      <c r="E31471" s="1" t="s">
        <v>32321</v>
      </c>
      <c r="F31471" s="2"/>
      <c r="G31471" s="2"/>
      <c r="H31471" s="2"/>
    </row>
    <row r="31472" spans="1:8" x14ac:dyDescent="0.25">
      <c r="A31472" s="1"/>
      <c r="B31472" s="1" t="s">
        <v>8275</v>
      </c>
      <c r="C31472" s="1" t="s">
        <v>8276</v>
      </c>
      <c r="D31472" s="1" t="str">
        <f>HYPERLINK("https://rhld.insurance.arkansas.gov/NPILookup?Npi=1669205308","1669205308")</f>
        <v>1669205308</v>
      </c>
      <c r="E31472" s="1" t="s">
        <v>32322</v>
      </c>
      <c r="F31472" s="2"/>
      <c r="G31472" s="2"/>
      <c r="H31472" s="2"/>
    </row>
    <row r="31473" spans="1:8" x14ac:dyDescent="0.25">
      <c r="A31473" s="1"/>
      <c r="B31473" s="1" t="s">
        <v>8275</v>
      </c>
      <c r="C31473" s="1" t="s">
        <v>8276</v>
      </c>
      <c r="D31473" s="1" t="str">
        <f>HYPERLINK("https://rhld.insurance.arkansas.gov/NPILookup?Npi=1669277646","1669277646")</f>
        <v>1669277646</v>
      </c>
      <c r="E31473" s="1" t="s">
        <v>31918</v>
      </c>
      <c r="F31473" s="2"/>
      <c r="G31473" s="2"/>
      <c r="H31473" s="2"/>
    </row>
    <row r="31474" spans="1:8" x14ac:dyDescent="0.25">
      <c r="A31474" s="1"/>
      <c r="B31474" s="1" t="s">
        <v>8275</v>
      </c>
      <c r="C31474" s="1" t="s">
        <v>8276</v>
      </c>
      <c r="D31474" s="1" t="str">
        <f>HYPERLINK("https://rhld.insurance.arkansas.gov/NPILookup?Npi=1669407730","1669407730")</f>
        <v>1669407730</v>
      </c>
      <c r="E31474" s="1" t="s">
        <v>8322</v>
      </c>
      <c r="F31474" s="2"/>
      <c r="G31474" s="2"/>
      <c r="H31474" s="2"/>
    </row>
    <row r="31475" spans="1:8" x14ac:dyDescent="0.25">
      <c r="A31475" s="1"/>
      <c r="B31475" s="1" t="s">
        <v>8275</v>
      </c>
      <c r="C31475" s="1" t="s">
        <v>8276</v>
      </c>
      <c r="D31475" s="1" t="str">
        <f>HYPERLINK("https://rhld.insurance.arkansas.gov/NPILookup?Npi=1669430286","1669430286")</f>
        <v>1669430286</v>
      </c>
      <c r="E31475" s="1" t="s">
        <v>17496</v>
      </c>
      <c r="F31475" s="2"/>
      <c r="G31475" s="2"/>
      <c r="H31475" s="2"/>
    </row>
    <row r="31476" spans="1:8" x14ac:dyDescent="0.25">
      <c r="A31476" s="1"/>
      <c r="B31476" s="1" t="s">
        <v>8275</v>
      </c>
      <c r="C31476" s="1" t="s">
        <v>8276</v>
      </c>
      <c r="D31476" s="1" t="str">
        <f>HYPERLINK("https://rhld.insurance.arkansas.gov/NPILookup?Npi=1669430682","1669430682")</f>
        <v>1669430682</v>
      </c>
      <c r="E31476" s="1" t="s">
        <v>28063</v>
      </c>
      <c r="F31476" s="2"/>
      <c r="G31476" s="2"/>
      <c r="H31476" s="2"/>
    </row>
    <row r="31477" spans="1:8" x14ac:dyDescent="0.25">
      <c r="A31477" s="1"/>
      <c r="B31477" s="1" t="s">
        <v>8275</v>
      </c>
      <c r="C31477" s="1" t="s">
        <v>8276</v>
      </c>
      <c r="D31477" s="1" t="str">
        <f>HYPERLINK("https://rhld.insurance.arkansas.gov/NPILookup?Npi=1669465795","1669465795")</f>
        <v>1669465795</v>
      </c>
      <c r="E31477" s="1" t="s">
        <v>28067</v>
      </c>
      <c r="F31477" s="2"/>
      <c r="G31477" s="2"/>
      <c r="H31477" s="2"/>
    </row>
    <row r="31478" spans="1:8" x14ac:dyDescent="0.25">
      <c r="A31478" s="1"/>
      <c r="B31478" s="1" t="s">
        <v>8275</v>
      </c>
      <c r="C31478" s="1" t="s">
        <v>8276</v>
      </c>
      <c r="D31478" s="1" t="str">
        <f>HYPERLINK("https://rhld.insurance.arkansas.gov/NPILookup?Npi=1669491320","1669491320")</f>
        <v>1669491320</v>
      </c>
      <c r="E31478" s="1" t="s">
        <v>8323</v>
      </c>
      <c r="F31478" s="2"/>
      <c r="G31478" s="2"/>
      <c r="H31478" s="2"/>
    </row>
    <row r="31479" spans="1:8" x14ac:dyDescent="0.25">
      <c r="A31479" s="1"/>
      <c r="B31479" s="1" t="s">
        <v>8275</v>
      </c>
      <c r="C31479" s="1" t="s">
        <v>8276</v>
      </c>
      <c r="D31479" s="1" t="str">
        <f>HYPERLINK("https://rhld.insurance.arkansas.gov/NPILookup?Npi=1669525275","1669525275")</f>
        <v>1669525275</v>
      </c>
      <c r="E31479" s="1" t="s">
        <v>28069</v>
      </c>
      <c r="F31479" s="2"/>
      <c r="G31479" s="2"/>
      <c r="H31479" s="2"/>
    </row>
    <row r="31480" spans="1:8" x14ac:dyDescent="0.25">
      <c r="A31480" s="1"/>
      <c r="B31480" s="1" t="s">
        <v>8275</v>
      </c>
      <c r="C31480" s="1" t="s">
        <v>8276</v>
      </c>
      <c r="D31480" s="1" t="str">
        <f>HYPERLINK("https://rhld.insurance.arkansas.gov/NPILookup?Npi=1669658837","1669658837")</f>
        <v>1669658837</v>
      </c>
      <c r="E31480" s="1" t="s">
        <v>2958</v>
      </c>
      <c r="F31480" s="2"/>
      <c r="G31480" s="2"/>
      <c r="H31480" s="2"/>
    </row>
    <row r="31481" spans="1:8" x14ac:dyDescent="0.25">
      <c r="A31481" s="1"/>
      <c r="B31481" s="1" t="s">
        <v>8275</v>
      </c>
      <c r="C31481" s="1" t="s">
        <v>8276</v>
      </c>
      <c r="D31481" s="1" t="str">
        <f>HYPERLINK("https://rhld.insurance.arkansas.gov/NPILookup?Npi=1669669446","1669669446")</f>
        <v>1669669446</v>
      </c>
      <c r="E31481" s="1" t="s">
        <v>28075</v>
      </c>
      <c r="F31481" s="2"/>
      <c r="G31481" s="2"/>
      <c r="H31481" s="2"/>
    </row>
    <row r="31482" spans="1:8" x14ac:dyDescent="0.25">
      <c r="A31482" s="1"/>
      <c r="B31482" s="1" t="s">
        <v>8275</v>
      </c>
      <c r="C31482" s="1" t="s">
        <v>8276</v>
      </c>
      <c r="D31482" s="1" t="str">
        <f>HYPERLINK("https://rhld.insurance.arkansas.gov/NPILookup?Npi=1669676557","1669676557")</f>
        <v>1669676557</v>
      </c>
      <c r="E31482" s="1" t="s">
        <v>17767</v>
      </c>
      <c r="F31482" s="2"/>
      <c r="G31482" s="2"/>
      <c r="H31482" s="2"/>
    </row>
    <row r="31483" spans="1:8" x14ac:dyDescent="0.25">
      <c r="A31483" s="1"/>
      <c r="B31483" s="1" t="s">
        <v>8275</v>
      </c>
      <c r="C31483" s="1" t="s">
        <v>8276</v>
      </c>
      <c r="D31483" s="1" t="str">
        <f>HYPERLINK("https://rhld.insurance.arkansas.gov/NPILookup?Npi=1669758777","1669758777")</f>
        <v>1669758777</v>
      </c>
      <c r="E31483" s="1" t="s">
        <v>28078</v>
      </c>
      <c r="F31483" s="2"/>
      <c r="G31483" s="2"/>
      <c r="H31483" s="2"/>
    </row>
    <row r="31484" spans="1:8" x14ac:dyDescent="0.25">
      <c r="A31484" s="1"/>
      <c r="B31484" s="1" t="s">
        <v>8275</v>
      </c>
      <c r="C31484" s="1" t="s">
        <v>8276</v>
      </c>
      <c r="D31484" s="1" t="str">
        <f>HYPERLINK("https://rhld.insurance.arkansas.gov/NPILookup?Npi=1669849733","1669849733")</f>
        <v>1669849733</v>
      </c>
      <c r="E31484" s="1" t="s">
        <v>29772</v>
      </c>
      <c r="F31484" s="2"/>
      <c r="G31484" s="2"/>
      <c r="H31484" s="2"/>
    </row>
    <row r="31485" spans="1:8" x14ac:dyDescent="0.25">
      <c r="A31485" s="1"/>
      <c r="B31485" s="1" t="s">
        <v>8275</v>
      </c>
      <c r="C31485" s="1" t="s">
        <v>8276</v>
      </c>
      <c r="D31485" s="1" t="str">
        <f>HYPERLINK("https://rhld.insurance.arkansas.gov/NPILookup?Npi=1669867099","1669867099")</f>
        <v>1669867099</v>
      </c>
      <c r="E31485" s="1" t="s">
        <v>28086</v>
      </c>
      <c r="F31485" s="2"/>
      <c r="G31485" s="2"/>
      <c r="H31485" s="2"/>
    </row>
    <row r="31486" spans="1:8" x14ac:dyDescent="0.25">
      <c r="A31486" s="1"/>
      <c r="B31486" s="1" t="s">
        <v>8275</v>
      </c>
      <c r="C31486" s="1" t="s">
        <v>8276</v>
      </c>
      <c r="D31486" s="1" t="str">
        <f>HYPERLINK("https://rhld.insurance.arkansas.gov/NPILookup?Npi=1669886594","1669886594")</f>
        <v>1669886594</v>
      </c>
      <c r="E31486" s="1" t="s">
        <v>28090</v>
      </c>
      <c r="F31486" s="2"/>
      <c r="G31486" s="2"/>
      <c r="H31486" s="2"/>
    </row>
    <row r="31487" spans="1:8" x14ac:dyDescent="0.25">
      <c r="A31487" s="1"/>
      <c r="B31487" s="1" t="s">
        <v>8275</v>
      </c>
      <c r="C31487" s="1" t="s">
        <v>8276</v>
      </c>
      <c r="D31487" s="1" t="str">
        <f>HYPERLINK("https://rhld.insurance.arkansas.gov/NPILookup?Npi=1669935516","1669935516")</f>
        <v>1669935516</v>
      </c>
      <c r="E31487" s="1" t="s">
        <v>2440</v>
      </c>
      <c r="F31487" s="2"/>
      <c r="G31487" s="2"/>
      <c r="H31487" s="2"/>
    </row>
    <row r="31488" spans="1:8" x14ac:dyDescent="0.25">
      <c r="A31488" s="1"/>
      <c r="B31488" s="1" t="s">
        <v>8275</v>
      </c>
      <c r="C31488" s="1" t="s">
        <v>8276</v>
      </c>
      <c r="D31488" s="1" t="str">
        <f>HYPERLINK("https://rhld.insurance.arkansas.gov/NPILookup?Npi=1679004931","1679004931")</f>
        <v>1679004931</v>
      </c>
      <c r="E31488" s="1" t="s">
        <v>29773</v>
      </c>
      <c r="F31488" s="2"/>
      <c r="G31488" s="2"/>
      <c r="H31488" s="2"/>
    </row>
    <row r="31489" spans="1:8" x14ac:dyDescent="0.25">
      <c r="A31489" s="1"/>
      <c r="B31489" s="1" t="s">
        <v>8275</v>
      </c>
      <c r="C31489" s="1" t="s">
        <v>8276</v>
      </c>
      <c r="D31489" s="1" t="str">
        <f>HYPERLINK("https://rhld.insurance.arkansas.gov/NPILookup?Npi=1679033765","1679033765")</f>
        <v>1679033765</v>
      </c>
      <c r="E31489" s="1" t="s">
        <v>13433</v>
      </c>
      <c r="F31489" s="2"/>
      <c r="G31489" s="2"/>
      <c r="H31489" s="2"/>
    </row>
    <row r="31490" spans="1:8" x14ac:dyDescent="0.25">
      <c r="A31490" s="1"/>
      <c r="B31490" s="1" t="s">
        <v>8275</v>
      </c>
      <c r="C31490" s="1" t="s">
        <v>8276</v>
      </c>
      <c r="D31490" s="1" t="str">
        <f>HYPERLINK("https://rhld.insurance.arkansas.gov/NPILookup?Npi=1679034706","1679034706")</f>
        <v>1679034706</v>
      </c>
      <c r="E31490" s="1" t="s">
        <v>17769</v>
      </c>
      <c r="F31490" s="2"/>
      <c r="G31490" s="2"/>
      <c r="H31490" s="2"/>
    </row>
    <row r="31491" spans="1:8" x14ac:dyDescent="0.25">
      <c r="A31491" s="1"/>
      <c r="B31491" s="1" t="s">
        <v>8275</v>
      </c>
      <c r="C31491" s="1" t="s">
        <v>8276</v>
      </c>
      <c r="D31491" s="1" t="str">
        <f>HYPERLINK("https://rhld.insurance.arkansas.gov/NPILookup?Npi=1679076764","1679076764")</f>
        <v>1679076764</v>
      </c>
      <c r="E31491" s="1" t="s">
        <v>1303</v>
      </c>
      <c r="F31491" s="2"/>
      <c r="G31491" s="2"/>
      <c r="H31491" s="2"/>
    </row>
    <row r="31492" spans="1:8" x14ac:dyDescent="0.25">
      <c r="A31492" s="1"/>
      <c r="B31492" s="1" t="s">
        <v>8275</v>
      </c>
      <c r="C31492" s="1" t="s">
        <v>8276</v>
      </c>
      <c r="D31492" s="1" t="str">
        <f>HYPERLINK("https://rhld.insurance.arkansas.gov/NPILookup?Npi=1679133888","1679133888")</f>
        <v>1679133888</v>
      </c>
      <c r="E31492" s="1" t="s">
        <v>32324</v>
      </c>
      <c r="F31492" s="2"/>
      <c r="G31492" s="2"/>
      <c r="H31492" s="2"/>
    </row>
    <row r="31493" spans="1:8" x14ac:dyDescent="0.25">
      <c r="A31493" s="1"/>
      <c r="B31493" s="1" t="s">
        <v>8275</v>
      </c>
      <c r="C31493" s="1" t="s">
        <v>8276</v>
      </c>
      <c r="D31493" s="1" t="str">
        <f>HYPERLINK("https://rhld.insurance.arkansas.gov/NPILookup?Npi=1679141626","1679141626")</f>
        <v>1679141626</v>
      </c>
      <c r="E31493" s="1" t="s">
        <v>28117</v>
      </c>
      <c r="F31493" s="2"/>
      <c r="G31493" s="2"/>
      <c r="H31493" s="2"/>
    </row>
    <row r="31494" spans="1:8" x14ac:dyDescent="0.25">
      <c r="A31494" s="1"/>
      <c r="B31494" s="1" t="s">
        <v>8275</v>
      </c>
      <c r="C31494" s="1" t="s">
        <v>8276</v>
      </c>
      <c r="D31494" s="1" t="str">
        <f>HYPERLINK("https://rhld.insurance.arkansas.gov/NPILookup?Npi=1679279210","1679279210")</f>
        <v>1679279210</v>
      </c>
      <c r="E31494" s="1" t="s">
        <v>7996</v>
      </c>
      <c r="F31494" s="2"/>
      <c r="G31494" s="2"/>
      <c r="H31494" s="2"/>
    </row>
    <row r="31495" spans="1:8" x14ac:dyDescent="0.25">
      <c r="A31495" s="1"/>
      <c r="B31495" s="1" t="s">
        <v>8275</v>
      </c>
      <c r="C31495" s="1" t="s">
        <v>8276</v>
      </c>
      <c r="D31495" s="1" t="str">
        <f>HYPERLINK("https://rhld.insurance.arkansas.gov/NPILookup?Npi=1679506760","1679506760")</f>
        <v>1679506760</v>
      </c>
      <c r="E31495" s="1" t="s">
        <v>13929</v>
      </c>
      <c r="F31495" s="2"/>
      <c r="G31495" s="2"/>
      <c r="H31495" s="2"/>
    </row>
    <row r="31496" spans="1:8" x14ac:dyDescent="0.25">
      <c r="A31496" s="1"/>
      <c r="B31496" s="1" t="s">
        <v>8275</v>
      </c>
      <c r="C31496" s="1" t="s">
        <v>8276</v>
      </c>
      <c r="D31496" s="1" t="str">
        <f>HYPERLINK("https://rhld.insurance.arkansas.gov/NPILookup?Npi=1679509707","1679509707")</f>
        <v>1679509707</v>
      </c>
      <c r="E31496" s="1" t="s">
        <v>13437</v>
      </c>
      <c r="F31496" s="2"/>
      <c r="G31496" s="2"/>
      <c r="H31496" s="2"/>
    </row>
    <row r="31497" spans="1:8" x14ac:dyDescent="0.25">
      <c r="A31497" s="1"/>
      <c r="B31497" s="1" t="s">
        <v>8275</v>
      </c>
      <c r="C31497" s="1" t="s">
        <v>8276</v>
      </c>
      <c r="D31497" s="1" t="str">
        <f>HYPERLINK("https://rhld.insurance.arkansas.gov/NPILookup?Npi=1679542302","1679542302")</f>
        <v>1679542302</v>
      </c>
      <c r="E31497" s="1" t="s">
        <v>10406</v>
      </c>
      <c r="F31497" s="2"/>
      <c r="G31497" s="2"/>
      <c r="H31497" s="2"/>
    </row>
    <row r="31498" spans="1:8" x14ac:dyDescent="0.25">
      <c r="A31498" s="1"/>
      <c r="B31498" s="1" t="s">
        <v>8275</v>
      </c>
      <c r="C31498" s="1" t="s">
        <v>8276</v>
      </c>
      <c r="D31498" s="1" t="str">
        <f>HYPERLINK("https://rhld.insurance.arkansas.gov/NPILookup?Npi=1679546196","1679546196")</f>
        <v>1679546196</v>
      </c>
      <c r="E31498" s="1" t="s">
        <v>8324</v>
      </c>
      <c r="F31498" s="2"/>
      <c r="G31498" s="2"/>
      <c r="H31498" s="2"/>
    </row>
    <row r="31499" spans="1:8" x14ac:dyDescent="0.25">
      <c r="A31499" s="1"/>
      <c r="B31499" s="1" t="s">
        <v>8275</v>
      </c>
      <c r="C31499" s="1" t="s">
        <v>8276</v>
      </c>
      <c r="D31499" s="1" t="str">
        <f>HYPERLINK("https://rhld.insurance.arkansas.gov/NPILookup?Npi=1679547608","1679547608")</f>
        <v>1679547608</v>
      </c>
      <c r="E31499" s="1" t="s">
        <v>28133</v>
      </c>
      <c r="F31499" s="2"/>
      <c r="G31499" s="2"/>
      <c r="H31499" s="2"/>
    </row>
    <row r="31500" spans="1:8" x14ac:dyDescent="0.25">
      <c r="A31500" s="1"/>
      <c r="B31500" s="1" t="s">
        <v>8275</v>
      </c>
      <c r="C31500" s="1" t="s">
        <v>8276</v>
      </c>
      <c r="D31500" s="1" t="str">
        <f>HYPERLINK("https://rhld.insurance.arkansas.gov/NPILookup?Npi=1679570618","1679570618")</f>
        <v>1679570618</v>
      </c>
      <c r="E31500" s="1" t="s">
        <v>1120</v>
      </c>
      <c r="F31500" s="2"/>
      <c r="G31500" s="2"/>
      <c r="H31500" s="2"/>
    </row>
    <row r="31501" spans="1:8" x14ac:dyDescent="0.25">
      <c r="A31501" s="1"/>
      <c r="B31501" s="1" t="s">
        <v>8275</v>
      </c>
      <c r="C31501" s="1" t="s">
        <v>8276</v>
      </c>
      <c r="D31501" s="1" t="str">
        <f>HYPERLINK("https://rhld.insurance.arkansas.gov/NPILookup?Npi=1679577381","1679577381")</f>
        <v>1679577381</v>
      </c>
      <c r="E31501" s="1" t="s">
        <v>28136</v>
      </c>
      <c r="F31501" s="2"/>
      <c r="G31501" s="2"/>
      <c r="H31501" s="2"/>
    </row>
    <row r="31502" spans="1:8" x14ac:dyDescent="0.25">
      <c r="A31502" s="1"/>
      <c r="B31502" s="1" t="s">
        <v>8275</v>
      </c>
      <c r="C31502" s="1" t="s">
        <v>8276</v>
      </c>
      <c r="D31502" s="1" t="str">
        <f>HYPERLINK("https://rhld.insurance.arkansas.gov/NPILookup?Npi=1679663231","1679663231")</f>
        <v>1679663231</v>
      </c>
      <c r="E31502" s="1" t="s">
        <v>297</v>
      </c>
      <c r="F31502" s="2"/>
      <c r="G31502" s="2"/>
      <c r="H31502" s="2"/>
    </row>
    <row r="31503" spans="1:8" x14ac:dyDescent="0.25">
      <c r="A31503" s="1"/>
      <c r="B31503" s="1" t="s">
        <v>8275</v>
      </c>
      <c r="C31503" s="1" t="s">
        <v>8276</v>
      </c>
      <c r="D31503" s="1" t="str">
        <f>HYPERLINK("https://rhld.insurance.arkansas.gov/NPILookup?Npi=1679746622","1679746622")</f>
        <v>1679746622</v>
      </c>
      <c r="E31503" s="1" t="s">
        <v>10407</v>
      </c>
      <c r="F31503" s="2"/>
      <c r="G31503" s="2"/>
      <c r="H31503" s="2"/>
    </row>
    <row r="31504" spans="1:8" x14ac:dyDescent="0.25">
      <c r="A31504" s="1"/>
      <c r="B31504" s="1" t="s">
        <v>8275</v>
      </c>
      <c r="C31504" s="1" t="s">
        <v>8276</v>
      </c>
      <c r="D31504" s="1" t="str">
        <f>HYPERLINK("https://rhld.insurance.arkansas.gov/NPILookup?Npi=1679776587","1679776587")</f>
        <v>1679776587</v>
      </c>
      <c r="E31504" s="1" t="s">
        <v>295</v>
      </c>
      <c r="F31504" s="2"/>
      <c r="G31504" s="2"/>
      <c r="H31504" s="2"/>
    </row>
    <row r="31505" spans="1:8" x14ac:dyDescent="0.25">
      <c r="A31505" s="1"/>
      <c r="B31505" s="1" t="s">
        <v>8275</v>
      </c>
      <c r="C31505" s="1" t="s">
        <v>8276</v>
      </c>
      <c r="D31505" s="1" t="str">
        <f>HYPERLINK("https://rhld.insurance.arkansas.gov/NPILookup?Npi=1679949457","1679949457")</f>
        <v>1679949457</v>
      </c>
      <c r="E31505" s="1" t="s">
        <v>13446</v>
      </c>
      <c r="F31505" s="2"/>
      <c r="G31505" s="2"/>
      <c r="H31505" s="2"/>
    </row>
    <row r="31506" spans="1:8" x14ac:dyDescent="0.25">
      <c r="A31506" s="1"/>
      <c r="B31506" s="1" t="s">
        <v>8275</v>
      </c>
      <c r="C31506" s="1" t="s">
        <v>8276</v>
      </c>
      <c r="D31506" s="1" t="str">
        <f>HYPERLINK("https://rhld.insurance.arkansas.gov/NPILookup?Npi=1689021834","1689021834")</f>
        <v>1689021834</v>
      </c>
      <c r="E31506" s="1" t="s">
        <v>28157</v>
      </c>
      <c r="F31506" s="2"/>
      <c r="G31506" s="2"/>
      <c r="H31506" s="2"/>
    </row>
    <row r="31507" spans="1:8" x14ac:dyDescent="0.25">
      <c r="A31507" s="1"/>
      <c r="B31507" s="1" t="s">
        <v>8275</v>
      </c>
      <c r="C31507" s="1" t="s">
        <v>8276</v>
      </c>
      <c r="D31507" s="1" t="str">
        <f>HYPERLINK("https://rhld.insurance.arkansas.gov/NPILookup?Npi=1689080384","1689080384")</f>
        <v>1689080384</v>
      </c>
      <c r="E31507" s="1" t="s">
        <v>1304</v>
      </c>
      <c r="F31507" s="2"/>
      <c r="G31507" s="2"/>
      <c r="H31507" s="2"/>
    </row>
    <row r="31508" spans="1:8" x14ac:dyDescent="0.25">
      <c r="A31508" s="1"/>
      <c r="B31508" s="1" t="s">
        <v>8275</v>
      </c>
      <c r="C31508" s="1" t="s">
        <v>8276</v>
      </c>
      <c r="D31508" s="1" t="str">
        <f>HYPERLINK("https://rhld.insurance.arkansas.gov/NPILookup?Npi=1689133134","1689133134")</f>
        <v>1689133134</v>
      </c>
      <c r="E31508" s="1" t="s">
        <v>28159</v>
      </c>
      <c r="F31508" s="2"/>
      <c r="G31508" s="2"/>
      <c r="H31508" s="2"/>
    </row>
    <row r="31509" spans="1:8" x14ac:dyDescent="0.25">
      <c r="A31509" s="1"/>
      <c r="B31509" s="1" t="s">
        <v>8275</v>
      </c>
      <c r="C31509" s="1" t="s">
        <v>8276</v>
      </c>
      <c r="D31509" s="1" t="str">
        <f>HYPERLINK("https://rhld.insurance.arkansas.gov/NPILookup?Npi=1689134249","1689134249")</f>
        <v>1689134249</v>
      </c>
      <c r="E31509" s="1" t="s">
        <v>13930</v>
      </c>
      <c r="F31509" s="2"/>
      <c r="G31509" s="2"/>
      <c r="H31509" s="2"/>
    </row>
    <row r="31510" spans="1:8" x14ac:dyDescent="0.25">
      <c r="A31510" s="1"/>
      <c r="B31510" s="1" t="s">
        <v>8275</v>
      </c>
      <c r="C31510" s="1" t="s">
        <v>8276</v>
      </c>
      <c r="D31510" s="1" t="str">
        <f>HYPERLINK("https://rhld.insurance.arkansas.gov/NPILookup?Npi=1689203101","1689203101")</f>
        <v>1689203101</v>
      </c>
      <c r="E31510" s="1" t="s">
        <v>8325</v>
      </c>
      <c r="F31510" s="2"/>
      <c r="G31510" s="2"/>
      <c r="H31510" s="2"/>
    </row>
    <row r="31511" spans="1:8" x14ac:dyDescent="0.25">
      <c r="A31511" s="1"/>
      <c r="B31511" s="1" t="s">
        <v>8275</v>
      </c>
      <c r="C31511" s="1" t="s">
        <v>8276</v>
      </c>
      <c r="D31511" s="1" t="str">
        <f>HYPERLINK("https://rhld.insurance.arkansas.gov/NPILookup?Npi=1689358798","1689358798")</f>
        <v>1689358798</v>
      </c>
      <c r="E31511" s="1" t="s">
        <v>32328</v>
      </c>
      <c r="F31511" s="2"/>
      <c r="G31511" s="2"/>
      <c r="H31511" s="2"/>
    </row>
    <row r="31512" spans="1:8" x14ac:dyDescent="0.25">
      <c r="A31512" s="1"/>
      <c r="B31512" s="1" t="s">
        <v>8275</v>
      </c>
      <c r="C31512" s="1" t="s">
        <v>8276</v>
      </c>
      <c r="D31512" s="1" t="str">
        <f>HYPERLINK("https://rhld.insurance.arkansas.gov/NPILookup?Npi=1689400228","1689400228")</f>
        <v>1689400228</v>
      </c>
      <c r="E31512" s="1" t="s">
        <v>32329</v>
      </c>
      <c r="F31512" s="2"/>
      <c r="G31512" s="2"/>
      <c r="H31512" s="2"/>
    </row>
    <row r="31513" spans="1:8" x14ac:dyDescent="0.25">
      <c r="A31513" s="1"/>
      <c r="B31513" s="1" t="s">
        <v>8275</v>
      </c>
      <c r="C31513" s="1" t="s">
        <v>8276</v>
      </c>
      <c r="D31513" s="1" t="str">
        <f>HYPERLINK("https://rhld.insurance.arkansas.gov/NPILookup?Npi=1689423089","1689423089")</f>
        <v>1689423089</v>
      </c>
      <c r="E31513" s="1" t="s">
        <v>28173</v>
      </c>
      <c r="F31513" s="2"/>
      <c r="G31513" s="2"/>
      <c r="H31513" s="2"/>
    </row>
    <row r="31514" spans="1:8" x14ac:dyDescent="0.25">
      <c r="A31514" s="1"/>
      <c r="B31514" s="1" t="s">
        <v>8275</v>
      </c>
      <c r="C31514" s="1" t="s">
        <v>8276</v>
      </c>
      <c r="D31514" s="1" t="str">
        <f>HYPERLINK("https://rhld.insurance.arkansas.gov/NPILookup?Npi=1689461071","1689461071")</f>
        <v>1689461071</v>
      </c>
      <c r="E31514" s="1" t="s">
        <v>32330</v>
      </c>
      <c r="F31514" s="2"/>
      <c r="G31514" s="2"/>
      <c r="H31514" s="2"/>
    </row>
    <row r="31515" spans="1:8" x14ac:dyDescent="0.25">
      <c r="A31515" s="1"/>
      <c r="B31515" s="1" t="s">
        <v>8275</v>
      </c>
      <c r="C31515" s="1" t="s">
        <v>8276</v>
      </c>
      <c r="D31515" s="1" t="str">
        <f>HYPERLINK("https://rhld.insurance.arkansas.gov/NPILookup?Npi=1689493181","1689493181")</f>
        <v>1689493181</v>
      </c>
      <c r="E31515" s="1" t="s">
        <v>32331</v>
      </c>
      <c r="F31515" s="2"/>
      <c r="G31515" s="2"/>
      <c r="H31515" s="2"/>
    </row>
    <row r="31516" spans="1:8" x14ac:dyDescent="0.25">
      <c r="A31516" s="1"/>
      <c r="B31516" s="1" t="s">
        <v>8275</v>
      </c>
      <c r="C31516" s="1" t="s">
        <v>8276</v>
      </c>
      <c r="D31516" s="1" t="str">
        <f>HYPERLINK("https://rhld.insurance.arkansas.gov/NPILookup?Npi=1689628323","1689628323")</f>
        <v>1689628323</v>
      </c>
      <c r="E31516" s="1" t="s">
        <v>17785</v>
      </c>
      <c r="F31516" s="2"/>
      <c r="G31516" s="2"/>
      <c r="H31516" s="2"/>
    </row>
    <row r="31517" spans="1:8" x14ac:dyDescent="0.25">
      <c r="A31517" s="1"/>
      <c r="B31517" s="1" t="s">
        <v>8275</v>
      </c>
      <c r="C31517" s="1" t="s">
        <v>8276</v>
      </c>
      <c r="D31517" s="1" t="str">
        <f>HYPERLINK("https://rhld.insurance.arkansas.gov/NPILookup?Npi=1689640641","1689640641")</f>
        <v>1689640641</v>
      </c>
      <c r="E31517" s="1" t="s">
        <v>13931</v>
      </c>
      <c r="F31517" s="2"/>
      <c r="G31517" s="2"/>
      <c r="H31517" s="2"/>
    </row>
    <row r="31518" spans="1:8" x14ac:dyDescent="0.25">
      <c r="A31518" s="1"/>
      <c r="B31518" s="1" t="s">
        <v>8275</v>
      </c>
      <c r="C31518" s="1" t="s">
        <v>8276</v>
      </c>
      <c r="D31518" s="1" t="str">
        <f>HYPERLINK("https://rhld.insurance.arkansas.gov/NPILookup?Npi=1689651911","1689651911")</f>
        <v>1689651911</v>
      </c>
      <c r="E31518" s="1" t="s">
        <v>28176</v>
      </c>
      <c r="F31518" s="2"/>
      <c r="G31518" s="2"/>
      <c r="H31518" s="2"/>
    </row>
    <row r="31519" spans="1:8" x14ac:dyDescent="0.25">
      <c r="A31519" s="1"/>
      <c r="B31519" s="1" t="s">
        <v>8275</v>
      </c>
      <c r="C31519" s="1" t="s">
        <v>8276</v>
      </c>
      <c r="D31519" s="1" t="str">
        <f>HYPERLINK("https://rhld.insurance.arkansas.gov/NPILookup?Npi=1689662702","1689662702")</f>
        <v>1689662702</v>
      </c>
      <c r="E31519" s="1" t="s">
        <v>29774</v>
      </c>
      <c r="F31519" s="2"/>
      <c r="G31519" s="2"/>
      <c r="H31519" s="2"/>
    </row>
    <row r="31520" spans="1:8" x14ac:dyDescent="0.25">
      <c r="A31520" s="1"/>
      <c r="B31520" s="1" t="s">
        <v>8275</v>
      </c>
      <c r="C31520" s="1" t="s">
        <v>8276</v>
      </c>
      <c r="D31520" s="1" t="str">
        <f>HYPERLINK("https://rhld.insurance.arkansas.gov/NPILookup?Npi=1689680043","1689680043")</f>
        <v>1689680043</v>
      </c>
      <c r="E31520" s="1" t="s">
        <v>29775</v>
      </c>
      <c r="F31520" s="2"/>
      <c r="G31520" s="2"/>
      <c r="H31520" s="2"/>
    </row>
    <row r="31521" spans="1:8" x14ac:dyDescent="0.25">
      <c r="A31521" s="1"/>
      <c r="B31521" s="1" t="s">
        <v>8275</v>
      </c>
      <c r="C31521" s="1" t="s">
        <v>8276</v>
      </c>
      <c r="D31521" s="1" t="str">
        <f>HYPERLINK("https://rhld.insurance.arkansas.gov/NPILookup?Npi=1689761280","1689761280")</f>
        <v>1689761280</v>
      </c>
      <c r="E31521" s="1" t="s">
        <v>2403</v>
      </c>
      <c r="F31521" s="2"/>
      <c r="G31521" s="2"/>
      <c r="H31521" s="2"/>
    </row>
    <row r="31522" spans="1:8" x14ac:dyDescent="0.25">
      <c r="A31522" s="1"/>
      <c r="B31522" s="1" t="s">
        <v>8275</v>
      </c>
      <c r="C31522" s="1" t="s">
        <v>8276</v>
      </c>
      <c r="D31522" s="1" t="str">
        <f>HYPERLINK("https://rhld.insurance.arkansas.gov/NPILookup?Npi=1689764185","1689764185")</f>
        <v>1689764185</v>
      </c>
      <c r="E31522" s="1" t="s">
        <v>29776</v>
      </c>
      <c r="F31522" s="2"/>
      <c r="G31522" s="2"/>
      <c r="H31522" s="2"/>
    </row>
    <row r="31523" spans="1:8" x14ac:dyDescent="0.25">
      <c r="A31523" s="1"/>
      <c r="B31523" s="1" t="s">
        <v>8275</v>
      </c>
      <c r="C31523" s="1" t="s">
        <v>8276</v>
      </c>
      <c r="D31523" s="1" t="str">
        <f>HYPERLINK("https://rhld.insurance.arkansas.gov/NPILookup?Npi=1689800401","1689800401")</f>
        <v>1689800401</v>
      </c>
      <c r="E31523" s="1" t="s">
        <v>32469</v>
      </c>
      <c r="F31523" s="2"/>
      <c r="G31523" s="2"/>
      <c r="H31523" s="2"/>
    </row>
    <row r="31524" spans="1:8" x14ac:dyDescent="0.25">
      <c r="A31524" s="1"/>
      <c r="B31524" s="1" t="s">
        <v>8275</v>
      </c>
      <c r="C31524" s="1" t="s">
        <v>8276</v>
      </c>
      <c r="D31524" s="1" t="str">
        <f>HYPERLINK("https://rhld.insurance.arkansas.gov/NPILookup?Npi=1689896763","1689896763")</f>
        <v>1689896763</v>
      </c>
      <c r="E31524" s="1" t="s">
        <v>28184</v>
      </c>
      <c r="F31524" s="2"/>
      <c r="G31524" s="2"/>
      <c r="H31524" s="2"/>
    </row>
    <row r="31525" spans="1:8" x14ac:dyDescent="0.25">
      <c r="A31525" s="1"/>
      <c r="B31525" s="1" t="s">
        <v>8275</v>
      </c>
      <c r="C31525" s="1" t="s">
        <v>8276</v>
      </c>
      <c r="D31525" s="1" t="str">
        <f>HYPERLINK("https://rhld.insurance.arkansas.gov/NPILookup?Npi=1699020651","1699020651")</f>
        <v>1699020651</v>
      </c>
      <c r="E31525" s="1" t="s">
        <v>29777</v>
      </c>
      <c r="F31525" s="2"/>
      <c r="G31525" s="2"/>
      <c r="H31525" s="2"/>
    </row>
    <row r="31526" spans="1:8" x14ac:dyDescent="0.25">
      <c r="A31526" s="1"/>
      <c r="B31526" s="1" t="s">
        <v>8275</v>
      </c>
      <c r="C31526" s="1" t="s">
        <v>8276</v>
      </c>
      <c r="D31526" s="1" t="str">
        <f>HYPERLINK("https://rhld.insurance.arkansas.gov/NPILookup?Npi=1699091264","1699091264")</f>
        <v>1699091264</v>
      </c>
      <c r="E31526" s="1" t="s">
        <v>28195</v>
      </c>
      <c r="F31526" s="2"/>
      <c r="G31526" s="2"/>
      <c r="H31526" s="2"/>
    </row>
    <row r="31527" spans="1:8" x14ac:dyDescent="0.25">
      <c r="A31527" s="1"/>
      <c r="B31527" s="1" t="s">
        <v>8275</v>
      </c>
      <c r="C31527" s="1" t="s">
        <v>8276</v>
      </c>
      <c r="D31527" s="1" t="str">
        <f>HYPERLINK("https://rhld.insurance.arkansas.gov/NPILookup?Npi=1699093302","1699093302")</f>
        <v>1699093302</v>
      </c>
      <c r="E31527" s="1" t="s">
        <v>29778</v>
      </c>
      <c r="F31527" s="2"/>
      <c r="G31527" s="2"/>
      <c r="H31527" s="2"/>
    </row>
    <row r="31528" spans="1:8" x14ac:dyDescent="0.25">
      <c r="A31528" s="1"/>
      <c r="B31528" s="1" t="s">
        <v>8275</v>
      </c>
      <c r="C31528" s="1" t="s">
        <v>8276</v>
      </c>
      <c r="D31528" s="1" t="str">
        <f>HYPERLINK("https://rhld.insurance.arkansas.gov/NPILookup?Npi=1699123562","1699123562")</f>
        <v>1699123562</v>
      </c>
      <c r="E31528" s="1" t="s">
        <v>8006</v>
      </c>
      <c r="F31528" s="2"/>
      <c r="G31528" s="2"/>
      <c r="H31528" s="2"/>
    </row>
    <row r="31529" spans="1:8" x14ac:dyDescent="0.25">
      <c r="A31529" s="1"/>
      <c r="B31529" s="1" t="s">
        <v>8275</v>
      </c>
      <c r="C31529" s="1" t="s">
        <v>8276</v>
      </c>
      <c r="D31529" s="1" t="str">
        <f>HYPERLINK("https://rhld.insurance.arkansas.gov/NPILookup?Npi=1699237636","1699237636")</f>
        <v>1699237636</v>
      </c>
      <c r="E31529" s="1" t="s">
        <v>8326</v>
      </c>
      <c r="F31529" s="2"/>
      <c r="G31529" s="2"/>
      <c r="H31529" s="2"/>
    </row>
    <row r="31530" spans="1:8" x14ac:dyDescent="0.25">
      <c r="A31530" s="1"/>
      <c r="B31530" s="1" t="s">
        <v>8275</v>
      </c>
      <c r="C31530" s="1" t="s">
        <v>8276</v>
      </c>
      <c r="D31530" s="1" t="str">
        <f>HYPERLINK("https://rhld.insurance.arkansas.gov/NPILookup?Npi=1699282020","1699282020")</f>
        <v>1699282020</v>
      </c>
      <c r="E31530" s="1" t="s">
        <v>32333</v>
      </c>
      <c r="F31530" s="2"/>
      <c r="G31530" s="2"/>
      <c r="H31530" s="2"/>
    </row>
    <row r="31531" spans="1:8" x14ac:dyDescent="0.25">
      <c r="A31531" s="1"/>
      <c r="B31531" s="1" t="s">
        <v>8275</v>
      </c>
      <c r="C31531" s="1" t="s">
        <v>8276</v>
      </c>
      <c r="D31531" s="1" t="str">
        <f>HYPERLINK("https://rhld.insurance.arkansas.gov/NPILookup?Npi=1699282087","1699282087")</f>
        <v>1699282087</v>
      </c>
      <c r="E31531" s="1" t="s">
        <v>2976</v>
      </c>
      <c r="F31531" s="2"/>
      <c r="G31531" s="2"/>
      <c r="H31531" s="2"/>
    </row>
    <row r="31532" spans="1:8" x14ac:dyDescent="0.25">
      <c r="A31532" s="1"/>
      <c r="B31532" s="1" t="s">
        <v>8275</v>
      </c>
      <c r="C31532" s="1" t="s">
        <v>8276</v>
      </c>
      <c r="D31532" s="1" t="str">
        <f>HYPERLINK("https://rhld.insurance.arkansas.gov/NPILookup?Npi=1699310508","1699310508")</f>
        <v>1699310508</v>
      </c>
      <c r="E31532" s="1" t="s">
        <v>8009</v>
      </c>
      <c r="F31532" s="2"/>
      <c r="G31532" s="2"/>
      <c r="H31532" s="2"/>
    </row>
    <row r="31533" spans="1:8" x14ac:dyDescent="0.25">
      <c r="A31533" s="1"/>
      <c r="B31533" s="1" t="s">
        <v>8275</v>
      </c>
      <c r="C31533" s="1" t="s">
        <v>8276</v>
      </c>
      <c r="D31533" s="1" t="str">
        <f>HYPERLINK("https://rhld.insurance.arkansas.gov/NPILookup?Npi=1699576314","1699576314")</f>
        <v>1699576314</v>
      </c>
      <c r="E31533" s="1" t="s">
        <v>32334</v>
      </c>
      <c r="F31533" s="2"/>
      <c r="G31533" s="2"/>
      <c r="H31533" s="2"/>
    </row>
    <row r="31534" spans="1:8" x14ac:dyDescent="0.25">
      <c r="A31534" s="1"/>
      <c r="B31534" s="1" t="s">
        <v>8275</v>
      </c>
      <c r="C31534" s="1" t="s">
        <v>8276</v>
      </c>
      <c r="D31534" s="1" t="str">
        <f>HYPERLINK("https://rhld.insurance.arkansas.gov/NPILookup?Npi=1699702969","1699702969")</f>
        <v>1699702969</v>
      </c>
      <c r="E31534" s="1" t="s">
        <v>13460</v>
      </c>
      <c r="F31534" s="2"/>
      <c r="G31534" s="2"/>
      <c r="H31534" s="2"/>
    </row>
    <row r="31535" spans="1:8" x14ac:dyDescent="0.25">
      <c r="A31535" s="1"/>
      <c r="B31535" s="1" t="s">
        <v>8275</v>
      </c>
      <c r="C31535" s="1" t="s">
        <v>8276</v>
      </c>
      <c r="D31535" s="1" t="str">
        <f>HYPERLINK("https://rhld.insurance.arkansas.gov/NPILookup?Npi=1699741082","1699741082")</f>
        <v>1699741082</v>
      </c>
      <c r="E31535" s="1" t="s">
        <v>2043</v>
      </c>
      <c r="F31535" s="2"/>
      <c r="G31535" s="2"/>
      <c r="H31535" s="2"/>
    </row>
    <row r="31536" spans="1:8" x14ac:dyDescent="0.25">
      <c r="A31536" s="1"/>
      <c r="B31536" s="1" t="s">
        <v>8275</v>
      </c>
      <c r="C31536" s="1" t="s">
        <v>8276</v>
      </c>
      <c r="D31536" s="1" t="str">
        <f>HYPERLINK("https://rhld.insurance.arkansas.gov/NPILookup?Npi=1699785899","1699785899")</f>
        <v>1699785899</v>
      </c>
      <c r="E31536" s="1" t="s">
        <v>13462</v>
      </c>
      <c r="F31536" s="2"/>
      <c r="G31536" s="2"/>
      <c r="H31536" s="2"/>
    </row>
    <row r="31537" spans="1:8" x14ac:dyDescent="0.25">
      <c r="A31537" s="1"/>
      <c r="B31537" s="1" t="s">
        <v>8275</v>
      </c>
      <c r="C31537" s="1" t="s">
        <v>8276</v>
      </c>
      <c r="D31537" s="1" t="str">
        <f>HYPERLINK("https://rhld.insurance.arkansas.gov/NPILookup?Npi=1699796284","1699796284")</f>
        <v>1699796284</v>
      </c>
      <c r="E31537" s="1" t="s">
        <v>28221</v>
      </c>
      <c r="F31537" s="2"/>
      <c r="G31537" s="2"/>
      <c r="H31537" s="2"/>
    </row>
    <row r="31538" spans="1:8" x14ac:dyDescent="0.25">
      <c r="A31538" s="1"/>
      <c r="B31538" s="1" t="s">
        <v>8275</v>
      </c>
      <c r="C31538" s="1" t="s">
        <v>8276</v>
      </c>
      <c r="D31538" s="1" t="str">
        <f>HYPERLINK("https://rhld.insurance.arkansas.gov/NPILookup?Npi=1699857680","1699857680")</f>
        <v>1699857680</v>
      </c>
      <c r="E31538" s="1" t="s">
        <v>13932</v>
      </c>
      <c r="F31538" s="2"/>
      <c r="G31538" s="2"/>
      <c r="H31538" s="2"/>
    </row>
    <row r="31539" spans="1:8" x14ac:dyDescent="0.25">
      <c r="A31539" s="1"/>
      <c r="B31539" s="1" t="s">
        <v>8275</v>
      </c>
      <c r="C31539" s="1" t="s">
        <v>8276</v>
      </c>
      <c r="D31539" s="1" t="str">
        <f>HYPERLINK("https://rhld.insurance.arkansas.gov/NPILookup?Npi=1699865253","1699865253")</f>
        <v>1699865253</v>
      </c>
      <c r="E31539" s="1" t="s">
        <v>29779</v>
      </c>
      <c r="F31539" s="2"/>
      <c r="G31539" s="2"/>
      <c r="H31539" s="2"/>
    </row>
    <row r="31540" spans="1:8" x14ac:dyDescent="0.25">
      <c r="A31540" s="1"/>
      <c r="B31540" s="1" t="s">
        <v>8275</v>
      </c>
      <c r="C31540" s="1" t="s">
        <v>8276</v>
      </c>
      <c r="D31540" s="1" t="str">
        <f>HYPERLINK("https://rhld.insurance.arkansas.gov/NPILookup?Npi=1699981894","1699981894")</f>
        <v>1699981894</v>
      </c>
      <c r="E31540" s="1" t="s">
        <v>28224</v>
      </c>
      <c r="F31540" s="2"/>
      <c r="G31540" s="2"/>
      <c r="H31540" s="2"/>
    </row>
    <row r="31541" spans="1:8" x14ac:dyDescent="0.25">
      <c r="A31541" s="1"/>
      <c r="B31541" s="1" t="s">
        <v>8275</v>
      </c>
      <c r="C31541" s="1" t="s">
        <v>8276</v>
      </c>
      <c r="D31541" s="1" t="str">
        <f>HYPERLINK("https://rhld.insurance.arkansas.gov/NPILookup?Npi=1699983155","1699983155")</f>
        <v>1699983155</v>
      </c>
      <c r="E31541" s="1" t="s">
        <v>29780</v>
      </c>
      <c r="F31541" s="2"/>
      <c r="G31541" s="2"/>
      <c r="H31541" s="2"/>
    </row>
    <row r="31542" spans="1:8" x14ac:dyDescent="0.25">
      <c r="A31542" s="1"/>
      <c r="B31542" s="1" t="s">
        <v>8275</v>
      </c>
      <c r="C31542" s="1" t="s">
        <v>8276</v>
      </c>
      <c r="D31542" s="1" t="str">
        <f>HYPERLINK("https://rhld.insurance.arkansas.gov/NPILookup?Npi=1699987842","1699987842")</f>
        <v>1699987842</v>
      </c>
      <c r="E31542" s="1" t="s">
        <v>298</v>
      </c>
      <c r="F31542" s="2"/>
      <c r="G31542" s="2"/>
      <c r="H31542" s="2"/>
    </row>
    <row r="31543" spans="1:8" x14ac:dyDescent="0.25">
      <c r="A31543" s="1"/>
      <c r="B31543" s="1" t="s">
        <v>8275</v>
      </c>
      <c r="C31543" s="1" t="s">
        <v>8276</v>
      </c>
      <c r="D31543" s="1" t="str">
        <f>HYPERLINK("https://rhld.insurance.arkansas.gov/NPILookup?Npi=1700020591","1700020591")</f>
        <v>1700020591</v>
      </c>
      <c r="E31543" s="1" t="s">
        <v>3155</v>
      </c>
      <c r="F31543" s="2"/>
      <c r="G31543" s="2"/>
      <c r="H31543" s="2"/>
    </row>
    <row r="31544" spans="1:8" x14ac:dyDescent="0.25">
      <c r="A31544" s="1"/>
      <c r="B31544" s="1" t="s">
        <v>8275</v>
      </c>
      <c r="C31544" s="1" t="s">
        <v>8276</v>
      </c>
      <c r="D31544" s="1" t="str">
        <f>HYPERLINK("https://rhld.insurance.arkansas.gov/NPILookup?Npi=1700142486","1700142486")</f>
        <v>1700142486</v>
      </c>
      <c r="E31544" s="1" t="s">
        <v>13933</v>
      </c>
      <c r="F31544" s="2"/>
      <c r="G31544" s="2"/>
      <c r="H31544" s="2"/>
    </row>
    <row r="31545" spans="1:8" x14ac:dyDescent="0.25">
      <c r="A31545" s="1"/>
      <c r="B31545" s="1" t="s">
        <v>8275</v>
      </c>
      <c r="C31545" s="1" t="s">
        <v>8276</v>
      </c>
      <c r="D31545" s="1" t="str">
        <f>HYPERLINK("https://rhld.insurance.arkansas.gov/NPILookup?Npi=1700205614","1700205614")</f>
        <v>1700205614</v>
      </c>
      <c r="E31545" s="1" t="s">
        <v>29781</v>
      </c>
      <c r="F31545" s="2"/>
      <c r="G31545" s="2"/>
      <c r="H31545" s="2"/>
    </row>
    <row r="31546" spans="1:8" x14ac:dyDescent="0.25">
      <c r="A31546" s="1"/>
      <c r="B31546" s="1" t="s">
        <v>8275</v>
      </c>
      <c r="C31546" s="1" t="s">
        <v>8276</v>
      </c>
      <c r="D31546" s="1" t="str">
        <f>HYPERLINK("https://rhld.insurance.arkansas.gov/NPILookup?Npi=1700222676","1700222676")</f>
        <v>1700222676</v>
      </c>
      <c r="E31546" s="1" t="s">
        <v>8327</v>
      </c>
      <c r="F31546" s="2"/>
      <c r="G31546" s="2"/>
      <c r="H31546" s="2"/>
    </row>
    <row r="31547" spans="1:8" x14ac:dyDescent="0.25">
      <c r="A31547" s="1"/>
      <c r="B31547" s="1" t="s">
        <v>8275</v>
      </c>
      <c r="C31547" s="1" t="s">
        <v>8276</v>
      </c>
      <c r="D31547" s="1" t="str">
        <f>HYPERLINK("https://rhld.insurance.arkansas.gov/NPILookup?Npi=1700319969","1700319969")</f>
        <v>1700319969</v>
      </c>
      <c r="E31547" s="1" t="s">
        <v>29782</v>
      </c>
      <c r="F31547" s="2"/>
      <c r="G31547" s="2"/>
      <c r="H31547" s="2"/>
    </row>
    <row r="31548" spans="1:8" x14ac:dyDescent="0.25">
      <c r="A31548" s="1"/>
      <c r="B31548" s="1" t="s">
        <v>8275</v>
      </c>
      <c r="C31548" s="1" t="s">
        <v>8276</v>
      </c>
      <c r="D31548" s="1" t="str">
        <f>HYPERLINK("https://rhld.insurance.arkansas.gov/NPILookup?Npi=1700339256","1700339256")</f>
        <v>1700339256</v>
      </c>
      <c r="E31548" s="1" t="s">
        <v>28239</v>
      </c>
      <c r="F31548" s="2"/>
      <c r="G31548" s="2"/>
      <c r="H31548" s="2"/>
    </row>
    <row r="31549" spans="1:8" x14ac:dyDescent="0.25">
      <c r="A31549" s="1"/>
      <c r="B31549" s="1" t="s">
        <v>8275</v>
      </c>
      <c r="C31549" s="1" t="s">
        <v>8276</v>
      </c>
      <c r="D31549" s="1" t="str">
        <f>HYPERLINK("https://rhld.insurance.arkansas.gov/NPILookup?Npi=1700405206","1700405206")</f>
        <v>1700405206</v>
      </c>
      <c r="E31549" s="1" t="s">
        <v>32470</v>
      </c>
      <c r="F31549" s="2"/>
      <c r="G31549" s="2"/>
      <c r="H31549" s="2"/>
    </row>
    <row r="31550" spans="1:8" x14ac:dyDescent="0.25">
      <c r="A31550" s="1"/>
      <c r="B31550" s="1" t="s">
        <v>8275</v>
      </c>
      <c r="C31550" s="1" t="s">
        <v>8276</v>
      </c>
      <c r="D31550" s="1" t="str">
        <f>HYPERLINK("https://rhld.insurance.arkansas.gov/NPILookup?Npi=1700417961","1700417961")</f>
        <v>1700417961</v>
      </c>
      <c r="E31550" s="1" t="s">
        <v>8019</v>
      </c>
      <c r="F31550" s="2"/>
      <c r="G31550" s="2"/>
      <c r="H31550" s="2"/>
    </row>
    <row r="31551" spans="1:8" x14ac:dyDescent="0.25">
      <c r="A31551" s="1"/>
      <c r="B31551" s="1" t="s">
        <v>8275</v>
      </c>
      <c r="C31551" s="1" t="s">
        <v>8276</v>
      </c>
      <c r="D31551" s="1" t="str">
        <f>HYPERLINK("https://rhld.insurance.arkansas.gov/NPILookup?Npi=1700467982","1700467982")</f>
        <v>1700467982</v>
      </c>
      <c r="E31551" s="1" t="s">
        <v>32471</v>
      </c>
      <c r="F31551" s="2"/>
      <c r="G31551" s="2"/>
      <c r="H31551" s="2"/>
    </row>
    <row r="31552" spans="1:8" x14ac:dyDescent="0.25">
      <c r="A31552" s="1"/>
      <c r="B31552" s="1" t="s">
        <v>8275</v>
      </c>
      <c r="C31552" s="1" t="s">
        <v>8276</v>
      </c>
      <c r="D31552" s="1" t="str">
        <f>HYPERLINK("https://rhld.insurance.arkansas.gov/NPILookup?Npi=1700471612","1700471612")</f>
        <v>1700471612</v>
      </c>
      <c r="E31552" s="1" t="s">
        <v>28248</v>
      </c>
      <c r="F31552" s="2"/>
      <c r="G31552" s="2"/>
      <c r="H31552" s="2"/>
    </row>
    <row r="31553" spans="1:8" x14ac:dyDescent="0.25">
      <c r="A31553" s="1"/>
      <c r="B31553" s="1" t="s">
        <v>8275</v>
      </c>
      <c r="C31553" s="1" t="s">
        <v>8276</v>
      </c>
      <c r="D31553" s="1" t="str">
        <f>HYPERLINK("https://rhld.insurance.arkansas.gov/NPILookup?Npi=1700487493","1700487493")</f>
        <v>1700487493</v>
      </c>
      <c r="E31553" s="1" t="s">
        <v>28249</v>
      </c>
      <c r="F31553" s="2"/>
      <c r="G31553" s="2"/>
      <c r="H31553" s="2"/>
    </row>
    <row r="31554" spans="1:8" x14ac:dyDescent="0.25">
      <c r="A31554" s="1"/>
      <c r="B31554" s="1" t="s">
        <v>8275</v>
      </c>
      <c r="C31554" s="1" t="s">
        <v>8276</v>
      </c>
      <c r="D31554" s="1" t="str">
        <f>HYPERLINK("https://rhld.insurance.arkansas.gov/NPILookup?Npi=1700563756","1700563756")</f>
        <v>1700563756</v>
      </c>
      <c r="E31554" s="1" t="s">
        <v>8023</v>
      </c>
      <c r="F31554" s="2"/>
      <c r="G31554" s="2"/>
      <c r="H31554" s="2"/>
    </row>
    <row r="31555" spans="1:8" x14ac:dyDescent="0.25">
      <c r="A31555" s="1"/>
      <c r="B31555" s="1" t="s">
        <v>8275</v>
      </c>
      <c r="C31555" s="1" t="s">
        <v>8276</v>
      </c>
      <c r="D31555" s="1" t="str">
        <f>HYPERLINK("https://rhld.insurance.arkansas.gov/NPILookup?Npi=1700655321","1700655321")</f>
        <v>1700655321</v>
      </c>
      <c r="E31555" s="1" t="s">
        <v>28257</v>
      </c>
      <c r="F31555" s="2"/>
      <c r="G31555" s="2"/>
      <c r="H31555" s="2"/>
    </row>
    <row r="31556" spans="1:8" x14ac:dyDescent="0.25">
      <c r="A31556" s="1"/>
      <c r="B31556" s="1" t="s">
        <v>8275</v>
      </c>
      <c r="C31556" s="1" t="s">
        <v>8276</v>
      </c>
      <c r="D31556" s="1" t="str">
        <f>HYPERLINK("https://rhld.insurance.arkansas.gov/NPILookup?Npi=1700692183","1700692183")</f>
        <v>1700692183</v>
      </c>
      <c r="E31556" s="1" t="s">
        <v>31928</v>
      </c>
      <c r="F31556" s="2"/>
      <c r="G31556" s="2"/>
      <c r="H31556" s="2"/>
    </row>
    <row r="31557" spans="1:8" x14ac:dyDescent="0.25">
      <c r="A31557" s="1"/>
      <c r="B31557" s="1" t="s">
        <v>8275</v>
      </c>
      <c r="C31557" s="1" t="s">
        <v>8276</v>
      </c>
      <c r="D31557" s="1" t="str">
        <f>HYPERLINK("https://rhld.insurance.arkansas.gov/NPILookup?Npi=1700822368","1700822368")</f>
        <v>1700822368</v>
      </c>
      <c r="E31557" s="1" t="s">
        <v>32335</v>
      </c>
      <c r="F31557" s="2"/>
      <c r="G31557" s="2"/>
      <c r="H31557" s="2"/>
    </row>
    <row r="31558" spans="1:8" x14ac:dyDescent="0.25">
      <c r="A31558" s="1"/>
      <c r="B31558" s="1" t="s">
        <v>8275</v>
      </c>
      <c r="C31558" s="1" t="s">
        <v>8276</v>
      </c>
      <c r="D31558" s="1" t="str">
        <f>HYPERLINK("https://rhld.insurance.arkansas.gov/NPILookup?Npi=1700834603","1700834603")</f>
        <v>1700834603</v>
      </c>
      <c r="E31558" s="1" t="s">
        <v>29783</v>
      </c>
      <c r="F31558" s="2"/>
      <c r="G31558" s="2"/>
      <c r="H31558" s="2"/>
    </row>
    <row r="31559" spans="1:8" x14ac:dyDescent="0.25">
      <c r="A31559" s="1"/>
      <c r="B31559" s="1" t="s">
        <v>8275</v>
      </c>
      <c r="C31559" s="1" t="s">
        <v>8276</v>
      </c>
      <c r="D31559" s="1" t="str">
        <f>HYPERLINK("https://rhld.insurance.arkansas.gov/NPILookup?Npi=1700885522","1700885522")</f>
        <v>1700885522</v>
      </c>
      <c r="E31559" s="1" t="s">
        <v>13934</v>
      </c>
      <c r="F31559" s="2"/>
      <c r="G31559" s="2"/>
      <c r="H31559" s="2"/>
    </row>
    <row r="31560" spans="1:8" x14ac:dyDescent="0.25">
      <c r="A31560" s="1"/>
      <c r="B31560" s="1" t="s">
        <v>8275</v>
      </c>
      <c r="C31560" s="1" t="s">
        <v>8276</v>
      </c>
      <c r="D31560" s="1" t="str">
        <f>HYPERLINK("https://rhld.insurance.arkansas.gov/NPILookup?Npi=1700892734","1700892734")</f>
        <v>1700892734</v>
      </c>
      <c r="E31560" s="1" t="s">
        <v>13486</v>
      </c>
      <c r="F31560" s="2"/>
      <c r="G31560" s="2"/>
      <c r="H31560" s="2"/>
    </row>
    <row r="31561" spans="1:8" x14ac:dyDescent="0.25">
      <c r="A31561" s="1"/>
      <c r="B31561" s="1" t="s">
        <v>8275</v>
      </c>
      <c r="C31561" s="1" t="s">
        <v>8276</v>
      </c>
      <c r="D31561" s="1" t="str">
        <f>HYPERLINK("https://rhld.insurance.arkansas.gov/NPILookup?Npi=1710001482","1710001482")</f>
        <v>1710001482</v>
      </c>
      <c r="E31561" s="1" t="s">
        <v>3156</v>
      </c>
      <c r="F31561" s="2"/>
      <c r="G31561" s="2"/>
      <c r="H31561" s="2"/>
    </row>
    <row r="31562" spans="1:8" x14ac:dyDescent="0.25">
      <c r="A31562" s="1"/>
      <c r="B31562" s="1" t="s">
        <v>8275</v>
      </c>
      <c r="C31562" s="1" t="s">
        <v>8276</v>
      </c>
      <c r="D31562" s="1" t="str">
        <f>HYPERLINK("https://rhld.insurance.arkansas.gov/NPILookup?Npi=1710049283","1710049283")</f>
        <v>1710049283</v>
      </c>
      <c r="E31562" s="1" t="s">
        <v>17809</v>
      </c>
      <c r="F31562" s="2"/>
      <c r="G31562" s="2"/>
      <c r="H31562" s="2"/>
    </row>
    <row r="31563" spans="1:8" x14ac:dyDescent="0.25">
      <c r="A31563" s="1"/>
      <c r="B31563" s="1" t="s">
        <v>8275</v>
      </c>
      <c r="C31563" s="1" t="s">
        <v>8276</v>
      </c>
      <c r="D31563" s="1" t="str">
        <f>HYPERLINK("https://rhld.insurance.arkansas.gov/NPILookup?Npi=1710142864","1710142864")</f>
        <v>1710142864</v>
      </c>
      <c r="E31563" s="1" t="s">
        <v>8027</v>
      </c>
      <c r="F31563" s="2"/>
      <c r="G31563" s="2"/>
      <c r="H31563" s="2"/>
    </row>
    <row r="31564" spans="1:8" x14ac:dyDescent="0.25">
      <c r="A31564" s="1"/>
      <c r="B31564" s="1" t="s">
        <v>8275</v>
      </c>
      <c r="C31564" s="1" t="s">
        <v>8276</v>
      </c>
      <c r="D31564" s="1" t="str">
        <f>HYPERLINK("https://rhld.insurance.arkansas.gov/NPILookup?Npi=1710186945","1710186945")</f>
        <v>1710186945</v>
      </c>
      <c r="E31564" s="1" t="s">
        <v>13935</v>
      </c>
      <c r="F31564" s="2"/>
      <c r="G31564" s="2"/>
      <c r="H31564" s="2"/>
    </row>
    <row r="31565" spans="1:8" x14ac:dyDescent="0.25">
      <c r="A31565" s="1"/>
      <c r="B31565" s="1" t="s">
        <v>8275</v>
      </c>
      <c r="C31565" s="1" t="s">
        <v>8276</v>
      </c>
      <c r="D31565" s="1" t="str">
        <f>HYPERLINK("https://rhld.insurance.arkansas.gov/NPILookup?Npi=1710220231","1710220231")</f>
        <v>1710220231</v>
      </c>
      <c r="E31565" s="1" t="s">
        <v>29784</v>
      </c>
      <c r="F31565" s="2"/>
      <c r="G31565" s="2"/>
      <c r="H31565" s="2"/>
    </row>
    <row r="31566" spans="1:8" x14ac:dyDescent="0.25">
      <c r="A31566" s="1"/>
      <c r="B31566" s="1" t="s">
        <v>8275</v>
      </c>
      <c r="C31566" s="1" t="s">
        <v>8276</v>
      </c>
      <c r="D31566" s="1" t="str">
        <f>HYPERLINK("https://rhld.insurance.arkansas.gov/NPILookup?Npi=1710220959","1710220959")</f>
        <v>1710220959</v>
      </c>
      <c r="E31566" s="1" t="s">
        <v>28272</v>
      </c>
      <c r="F31566" s="2"/>
      <c r="G31566" s="2"/>
      <c r="H31566" s="2"/>
    </row>
    <row r="31567" spans="1:8" x14ac:dyDescent="0.25">
      <c r="A31567" s="1"/>
      <c r="B31567" s="1" t="s">
        <v>8275</v>
      </c>
      <c r="C31567" s="1" t="s">
        <v>8276</v>
      </c>
      <c r="D31567" s="1" t="str">
        <f>HYPERLINK("https://rhld.insurance.arkansas.gov/NPILookup?Npi=1710234737","1710234737")</f>
        <v>1710234737</v>
      </c>
      <c r="E31567" s="1" t="s">
        <v>32336</v>
      </c>
      <c r="F31567" s="2"/>
      <c r="G31567" s="2"/>
      <c r="H31567" s="2"/>
    </row>
    <row r="31568" spans="1:8" x14ac:dyDescent="0.25">
      <c r="A31568" s="1"/>
      <c r="B31568" s="1" t="s">
        <v>8275</v>
      </c>
      <c r="C31568" s="1" t="s">
        <v>8276</v>
      </c>
      <c r="D31568" s="1" t="str">
        <f>HYPERLINK("https://rhld.insurance.arkansas.gov/NPILookup?Npi=1710295464","1710295464")</f>
        <v>1710295464</v>
      </c>
      <c r="E31568" s="1" t="s">
        <v>32337</v>
      </c>
      <c r="F31568" s="2"/>
      <c r="G31568" s="2"/>
      <c r="H31568" s="2"/>
    </row>
    <row r="31569" spans="1:8" x14ac:dyDescent="0.25">
      <c r="A31569" s="1"/>
      <c r="B31569" s="1" t="s">
        <v>8275</v>
      </c>
      <c r="C31569" s="1" t="s">
        <v>8276</v>
      </c>
      <c r="D31569" s="1" t="str">
        <f>HYPERLINK("https://rhld.insurance.arkansas.gov/NPILookup?Npi=1710306089","1710306089")</f>
        <v>1710306089</v>
      </c>
      <c r="E31569" s="1" t="s">
        <v>883</v>
      </c>
      <c r="F31569" s="2"/>
      <c r="G31569" s="2"/>
      <c r="H31569" s="2"/>
    </row>
    <row r="31570" spans="1:8" x14ac:dyDescent="0.25">
      <c r="A31570" s="1"/>
      <c r="B31570" s="1" t="s">
        <v>8275</v>
      </c>
      <c r="C31570" s="1" t="s">
        <v>8276</v>
      </c>
      <c r="D31570" s="1" t="str">
        <f>HYPERLINK("https://rhld.insurance.arkansas.gov/NPILookup?Npi=1710324116","1710324116")</f>
        <v>1710324116</v>
      </c>
      <c r="E31570" s="1" t="s">
        <v>28275</v>
      </c>
      <c r="F31570" s="2"/>
      <c r="G31570" s="2"/>
      <c r="H31570" s="2"/>
    </row>
    <row r="31571" spans="1:8" x14ac:dyDescent="0.25">
      <c r="A31571" s="1"/>
      <c r="B31571" s="1" t="s">
        <v>8275</v>
      </c>
      <c r="C31571" s="1" t="s">
        <v>8276</v>
      </c>
      <c r="D31571" s="1" t="str">
        <f>HYPERLINK("https://rhld.insurance.arkansas.gov/NPILookup?Npi=1710372602","1710372602")</f>
        <v>1710372602</v>
      </c>
      <c r="E31571" s="1" t="s">
        <v>29785</v>
      </c>
      <c r="F31571" s="2"/>
      <c r="G31571" s="2"/>
      <c r="H31571" s="2"/>
    </row>
    <row r="31572" spans="1:8" x14ac:dyDescent="0.25">
      <c r="A31572" s="1"/>
      <c r="B31572" s="1" t="s">
        <v>8275</v>
      </c>
      <c r="C31572" s="1" t="s">
        <v>8276</v>
      </c>
      <c r="D31572" s="1" t="str">
        <f>HYPERLINK("https://rhld.insurance.arkansas.gov/NPILookup?Npi=1710409883","1710409883")</f>
        <v>1710409883</v>
      </c>
      <c r="E31572" s="1" t="s">
        <v>13494</v>
      </c>
      <c r="F31572" s="2"/>
      <c r="G31572" s="2"/>
      <c r="H31572" s="2"/>
    </row>
    <row r="31573" spans="1:8" x14ac:dyDescent="0.25">
      <c r="A31573" s="1"/>
      <c r="B31573" s="1" t="s">
        <v>8275</v>
      </c>
      <c r="C31573" s="1" t="s">
        <v>8276</v>
      </c>
      <c r="D31573" s="1" t="str">
        <f>HYPERLINK("https://rhld.insurance.arkansas.gov/NPILookup?Npi=1710515366","1710515366")</f>
        <v>1710515366</v>
      </c>
      <c r="E31573" s="1" t="s">
        <v>8034</v>
      </c>
      <c r="F31573" s="2"/>
      <c r="G31573" s="2"/>
      <c r="H31573" s="2"/>
    </row>
    <row r="31574" spans="1:8" x14ac:dyDescent="0.25">
      <c r="A31574" s="1"/>
      <c r="B31574" s="1" t="s">
        <v>8275</v>
      </c>
      <c r="C31574" s="1" t="s">
        <v>8276</v>
      </c>
      <c r="D31574" s="1" t="str">
        <f>HYPERLINK("https://rhld.insurance.arkansas.gov/NPILookup?Npi=1710519673","1710519673")</f>
        <v>1710519673</v>
      </c>
      <c r="E31574" s="1" t="s">
        <v>1582</v>
      </c>
      <c r="F31574" s="2"/>
      <c r="G31574" s="2"/>
      <c r="H31574" s="2"/>
    </row>
    <row r="31575" spans="1:8" x14ac:dyDescent="0.25">
      <c r="A31575" s="1"/>
      <c r="B31575" s="1" t="s">
        <v>8275</v>
      </c>
      <c r="C31575" s="1" t="s">
        <v>8276</v>
      </c>
      <c r="D31575" s="1" t="str">
        <f>HYPERLINK("https://rhld.insurance.arkansas.gov/NPILookup?Npi=1710619085","1710619085")</f>
        <v>1710619085</v>
      </c>
      <c r="E31575" s="1" t="s">
        <v>31537</v>
      </c>
      <c r="F31575" s="2"/>
      <c r="G31575" s="2"/>
      <c r="H31575" s="2"/>
    </row>
    <row r="31576" spans="1:8" x14ac:dyDescent="0.25">
      <c r="A31576" s="1"/>
      <c r="B31576" s="1" t="s">
        <v>8275</v>
      </c>
      <c r="C31576" s="1" t="s">
        <v>8276</v>
      </c>
      <c r="D31576" s="1" t="str">
        <f>HYPERLINK("https://rhld.insurance.arkansas.gov/NPILookup?Npi=1710648050","1710648050")</f>
        <v>1710648050</v>
      </c>
      <c r="E31576" s="1" t="s">
        <v>8038</v>
      </c>
      <c r="F31576" s="2"/>
      <c r="G31576" s="2"/>
      <c r="H31576" s="2"/>
    </row>
    <row r="31577" spans="1:8" x14ac:dyDescent="0.25">
      <c r="A31577" s="1"/>
      <c r="B31577" s="1" t="s">
        <v>8275</v>
      </c>
      <c r="C31577" s="1" t="s">
        <v>8276</v>
      </c>
      <c r="D31577" s="1" t="str">
        <f>HYPERLINK("https://rhld.insurance.arkansas.gov/NPILookup?Npi=1710706692","1710706692")</f>
        <v>1710706692</v>
      </c>
      <c r="E31577" s="1" t="s">
        <v>32339</v>
      </c>
      <c r="F31577" s="2"/>
      <c r="G31577" s="2"/>
      <c r="H31577" s="2"/>
    </row>
    <row r="31578" spans="1:8" x14ac:dyDescent="0.25">
      <c r="A31578" s="1"/>
      <c r="B31578" s="1" t="s">
        <v>8275</v>
      </c>
      <c r="C31578" s="1" t="s">
        <v>8276</v>
      </c>
      <c r="D31578" s="1" t="str">
        <f>HYPERLINK("https://rhld.insurance.arkansas.gov/NPILookup?Npi=1710943659","1710943659")</f>
        <v>1710943659</v>
      </c>
      <c r="E31578" s="1" t="s">
        <v>2059</v>
      </c>
      <c r="F31578" s="2"/>
      <c r="G31578" s="2"/>
      <c r="H31578" s="2"/>
    </row>
    <row r="31579" spans="1:8" x14ac:dyDescent="0.25">
      <c r="A31579" s="1"/>
      <c r="B31579" s="1" t="s">
        <v>8275</v>
      </c>
      <c r="C31579" s="1" t="s">
        <v>8276</v>
      </c>
      <c r="D31579" s="1" t="str">
        <f>HYPERLINK("https://rhld.insurance.arkansas.gov/NPILookup?Npi=1710972575","1710972575")</f>
        <v>1710972575</v>
      </c>
      <c r="E31579" s="1" t="s">
        <v>17815</v>
      </c>
      <c r="F31579" s="2"/>
      <c r="G31579" s="2"/>
      <c r="H31579" s="2"/>
    </row>
    <row r="31580" spans="1:8" x14ac:dyDescent="0.25">
      <c r="A31580" s="1"/>
      <c r="B31580" s="1" t="s">
        <v>8275</v>
      </c>
      <c r="C31580" s="1" t="s">
        <v>8276</v>
      </c>
      <c r="D31580" s="1" t="str">
        <f>HYPERLINK("https://rhld.insurance.arkansas.gov/NPILookup?Npi=1710982285","1710982285")</f>
        <v>1710982285</v>
      </c>
      <c r="E31580" s="1" t="s">
        <v>28311</v>
      </c>
      <c r="F31580" s="2"/>
      <c r="G31580" s="2"/>
      <c r="H31580" s="2"/>
    </row>
    <row r="31581" spans="1:8" x14ac:dyDescent="0.25">
      <c r="A31581" s="1"/>
      <c r="B31581" s="1" t="s">
        <v>8275</v>
      </c>
      <c r="C31581" s="1" t="s">
        <v>8276</v>
      </c>
      <c r="D31581" s="1" t="str">
        <f>HYPERLINK("https://rhld.insurance.arkansas.gov/NPILookup?Npi=1720003247","1720003247")</f>
        <v>1720003247</v>
      </c>
      <c r="E31581" s="1" t="s">
        <v>119</v>
      </c>
      <c r="F31581" s="2"/>
      <c r="G31581" s="2"/>
      <c r="H31581" s="2"/>
    </row>
    <row r="31582" spans="1:8" x14ac:dyDescent="0.25">
      <c r="A31582" s="1"/>
      <c r="B31582" s="1" t="s">
        <v>8275</v>
      </c>
      <c r="C31582" s="1" t="s">
        <v>8276</v>
      </c>
      <c r="D31582" s="1" t="str">
        <f>HYPERLINK("https://rhld.insurance.arkansas.gov/NPILookup?Npi=1720020662","1720020662")</f>
        <v>1720020662</v>
      </c>
      <c r="E31582" s="1" t="s">
        <v>2987</v>
      </c>
      <c r="F31582" s="2"/>
      <c r="G31582" s="2"/>
      <c r="H31582" s="2"/>
    </row>
    <row r="31583" spans="1:8" x14ac:dyDescent="0.25">
      <c r="A31583" s="1"/>
      <c r="B31583" s="1" t="s">
        <v>8275</v>
      </c>
      <c r="C31583" s="1" t="s">
        <v>8276</v>
      </c>
      <c r="D31583" s="1" t="str">
        <f>HYPERLINK("https://rhld.insurance.arkansas.gov/NPILookup?Npi=1720086952","1720086952")</f>
        <v>1720086952</v>
      </c>
      <c r="E31583" s="1" t="s">
        <v>845</v>
      </c>
      <c r="F31583" s="2"/>
      <c r="G31583" s="2"/>
      <c r="H31583" s="2"/>
    </row>
    <row r="31584" spans="1:8" x14ac:dyDescent="0.25">
      <c r="A31584" s="1"/>
      <c r="B31584" s="1" t="s">
        <v>8275</v>
      </c>
      <c r="C31584" s="1" t="s">
        <v>8276</v>
      </c>
      <c r="D31584" s="1" t="str">
        <f>HYPERLINK("https://rhld.insurance.arkansas.gov/NPILookup?Npi=1720195092","1720195092")</f>
        <v>1720195092</v>
      </c>
      <c r="E31584" s="1" t="s">
        <v>8328</v>
      </c>
      <c r="F31584" s="2"/>
      <c r="G31584" s="2"/>
      <c r="H31584" s="2"/>
    </row>
    <row r="31585" spans="1:8" x14ac:dyDescent="0.25">
      <c r="A31585" s="1"/>
      <c r="B31585" s="1" t="s">
        <v>8275</v>
      </c>
      <c r="C31585" s="1" t="s">
        <v>8276</v>
      </c>
      <c r="D31585" s="1" t="str">
        <f>HYPERLINK("https://rhld.insurance.arkansas.gov/NPILookup?Npi=1720205586","1720205586")</f>
        <v>1720205586</v>
      </c>
      <c r="E31585" s="1" t="s">
        <v>8041</v>
      </c>
      <c r="F31585" s="2"/>
      <c r="G31585" s="2"/>
      <c r="H31585" s="2"/>
    </row>
    <row r="31586" spans="1:8" x14ac:dyDescent="0.25">
      <c r="A31586" s="1"/>
      <c r="B31586" s="1" t="s">
        <v>8275</v>
      </c>
      <c r="C31586" s="1" t="s">
        <v>8276</v>
      </c>
      <c r="D31586" s="1" t="str">
        <f>HYPERLINK("https://rhld.insurance.arkansas.gov/NPILookup?Npi=1720299647","1720299647")</f>
        <v>1720299647</v>
      </c>
      <c r="E31586" s="1" t="s">
        <v>23447</v>
      </c>
      <c r="F31586" s="2"/>
      <c r="G31586" s="2"/>
      <c r="H31586" s="2"/>
    </row>
    <row r="31587" spans="1:8" x14ac:dyDescent="0.25">
      <c r="A31587" s="1"/>
      <c r="B31587" s="1" t="s">
        <v>8275</v>
      </c>
      <c r="C31587" s="1" t="s">
        <v>8276</v>
      </c>
      <c r="D31587" s="1" t="str">
        <f>HYPERLINK("https://rhld.insurance.arkansas.gov/NPILookup?Npi=1720364334","1720364334")</f>
        <v>1720364334</v>
      </c>
      <c r="E31587" s="1" t="s">
        <v>2991</v>
      </c>
      <c r="F31587" s="2"/>
      <c r="G31587" s="2"/>
      <c r="H31587" s="2"/>
    </row>
    <row r="31588" spans="1:8" x14ac:dyDescent="0.25">
      <c r="A31588" s="1"/>
      <c r="B31588" s="1" t="s">
        <v>8275</v>
      </c>
      <c r="C31588" s="1" t="s">
        <v>8276</v>
      </c>
      <c r="D31588" s="1" t="str">
        <f>HYPERLINK("https://rhld.insurance.arkansas.gov/NPILookup?Npi=1720402464","1720402464")</f>
        <v>1720402464</v>
      </c>
      <c r="E31588" s="1" t="s">
        <v>13510</v>
      </c>
      <c r="F31588" s="2"/>
      <c r="G31588" s="2"/>
      <c r="H31588" s="2"/>
    </row>
    <row r="31589" spans="1:8" x14ac:dyDescent="0.25">
      <c r="A31589" s="1"/>
      <c r="B31589" s="1" t="s">
        <v>8275</v>
      </c>
      <c r="C31589" s="1" t="s">
        <v>8276</v>
      </c>
      <c r="D31589" s="1" t="str">
        <f>HYPERLINK("https://rhld.insurance.arkansas.gov/NPILookup?Npi=1720416308","1720416308")</f>
        <v>1720416308</v>
      </c>
      <c r="E31589" s="1" t="s">
        <v>28329</v>
      </c>
      <c r="F31589" s="2"/>
      <c r="G31589" s="2"/>
      <c r="H31589" s="2"/>
    </row>
    <row r="31590" spans="1:8" x14ac:dyDescent="0.25">
      <c r="A31590" s="1"/>
      <c r="B31590" s="1" t="s">
        <v>8275</v>
      </c>
      <c r="C31590" s="1" t="s">
        <v>8276</v>
      </c>
      <c r="D31590" s="1" t="str">
        <f>HYPERLINK("https://rhld.insurance.arkansas.gov/NPILookup?Npi=1720423387","1720423387")</f>
        <v>1720423387</v>
      </c>
      <c r="E31590" s="1" t="s">
        <v>19067</v>
      </c>
      <c r="F31590" s="2"/>
      <c r="G31590" s="2"/>
      <c r="H31590" s="2"/>
    </row>
    <row r="31591" spans="1:8" x14ac:dyDescent="0.25">
      <c r="A31591" s="1"/>
      <c r="B31591" s="1" t="s">
        <v>8275</v>
      </c>
      <c r="C31591" s="1" t="s">
        <v>8276</v>
      </c>
      <c r="D31591" s="1" t="str">
        <f>HYPERLINK("https://rhld.insurance.arkansas.gov/NPILookup?Npi=1720513237","1720513237")</f>
        <v>1720513237</v>
      </c>
      <c r="E31591" s="1" t="s">
        <v>13936</v>
      </c>
      <c r="F31591" s="2"/>
      <c r="G31591" s="2"/>
      <c r="H31591" s="2"/>
    </row>
    <row r="31592" spans="1:8" x14ac:dyDescent="0.25">
      <c r="A31592" s="1"/>
      <c r="B31592" s="1" t="s">
        <v>8275</v>
      </c>
      <c r="C31592" s="1" t="s">
        <v>8276</v>
      </c>
      <c r="D31592" s="1" t="str">
        <f>HYPERLINK("https://rhld.insurance.arkansas.gov/NPILookup?Npi=1720579451","1720579451")</f>
        <v>1720579451</v>
      </c>
      <c r="E31592" s="1" t="s">
        <v>29786</v>
      </c>
      <c r="F31592" s="2"/>
      <c r="G31592" s="2"/>
      <c r="H31592" s="2"/>
    </row>
    <row r="31593" spans="1:8" x14ac:dyDescent="0.25">
      <c r="A31593" s="1"/>
      <c r="B31593" s="1" t="s">
        <v>8275</v>
      </c>
      <c r="C31593" s="1" t="s">
        <v>8276</v>
      </c>
      <c r="D31593" s="1" t="str">
        <f>HYPERLINK("https://rhld.insurance.arkansas.gov/NPILookup?Npi=1720667207","1720667207")</f>
        <v>1720667207</v>
      </c>
      <c r="E31593" s="1" t="s">
        <v>29787</v>
      </c>
      <c r="F31593" s="2"/>
      <c r="G31593" s="2"/>
      <c r="H31593" s="2"/>
    </row>
    <row r="31594" spans="1:8" x14ac:dyDescent="0.25">
      <c r="A31594" s="1"/>
      <c r="B31594" s="1" t="s">
        <v>8275</v>
      </c>
      <c r="C31594" s="1" t="s">
        <v>8276</v>
      </c>
      <c r="D31594" s="1" t="str">
        <f>HYPERLINK("https://rhld.insurance.arkansas.gov/NPILookup?Npi=1720897705","1720897705")</f>
        <v>1720897705</v>
      </c>
      <c r="E31594" s="1" t="s">
        <v>32342</v>
      </c>
      <c r="F31594" s="2"/>
      <c r="G31594" s="2"/>
      <c r="H31594" s="2"/>
    </row>
    <row r="31595" spans="1:8" x14ac:dyDescent="0.25">
      <c r="A31595" s="1"/>
      <c r="B31595" s="1" t="s">
        <v>8275</v>
      </c>
      <c r="C31595" s="1" t="s">
        <v>8276</v>
      </c>
      <c r="D31595" s="1" t="str">
        <f>HYPERLINK("https://rhld.insurance.arkansas.gov/NPILookup?Npi=1730122102","1730122102")</f>
        <v>1730122102</v>
      </c>
      <c r="E31595" s="1" t="s">
        <v>29788</v>
      </c>
      <c r="F31595" s="2"/>
      <c r="G31595" s="2"/>
      <c r="H31595" s="2"/>
    </row>
    <row r="31596" spans="1:8" x14ac:dyDescent="0.25">
      <c r="A31596" s="1"/>
      <c r="B31596" s="1" t="s">
        <v>8275</v>
      </c>
      <c r="C31596" s="1" t="s">
        <v>8276</v>
      </c>
      <c r="D31596" s="1" t="str">
        <f>HYPERLINK("https://rhld.insurance.arkansas.gov/NPILookup?Npi=1730180837","1730180837")</f>
        <v>1730180837</v>
      </c>
      <c r="E31596" s="1" t="s">
        <v>8329</v>
      </c>
      <c r="F31596" s="2"/>
      <c r="G31596" s="2"/>
      <c r="H31596" s="2"/>
    </row>
    <row r="31597" spans="1:8" x14ac:dyDescent="0.25">
      <c r="A31597" s="1"/>
      <c r="B31597" s="1" t="s">
        <v>8275</v>
      </c>
      <c r="C31597" s="1" t="s">
        <v>8276</v>
      </c>
      <c r="D31597" s="1" t="str">
        <f>HYPERLINK("https://rhld.insurance.arkansas.gov/NPILookup?Npi=1730186875","1730186875")</f>
        <v>1730186875</v>
      </c>
      <c r="E31597" s="1" t="s">
        <v>29789</v>
      </c>
      <c r="F31597" s="2"/>
      <c r="G31597" s="2"/>
      <c r="H31597" s="2"/>
    </row>
    <row r="31598" spans="1:8" x14ac:dyDescent="0.25">
      <c r="A31598" s="1"/>
      <c r="B31598" s="1" t="s">
        <v>8275</v>
      </c>
      <c r="C31598" s="1" t="s">
        <v>8276</v>
      </c>
      <c r="D31598" s="1" t="str">
        <f>HYPERLINK("https://rhld.insurance.arkansas.gov/NPILookup?Npi=1730227299","1730227299")</f>
        <v>1730227299</v>
      </c>
      <c r="E31598" s="1" t="s">
        <v>28370</v>
      </c>
      <c r="F31598" s="2"/>
      <c r="G31598" s="2"/>
      <c r="H31598" s="2"/>
    </row>
    <row r="31599" spans="1:8" x14ac:dyDescent="0.25">
      <c r="A31599" s="1"/>
      <c r="B31599" s="1" t="s">
        <v>8275</v>
      </c>
      <c r="C31599" s="1" t="s">
        <v>8276</v>
      </c>
      <c r="D31599" s="1" t="str">
        <f>HYPERLINK("https://rhld.insurance.arkansas.gov/NPILookup?Npi=1730260498","1730260498")</f>
        <v>1730260498</v>
      </c>
      <c r="E31599" s="1" t="s">
        <v>285</v>
      </c>
      <c r="F31599" s="2"/>
      <c r="G31599" s="2"/>
      <c r="H31599" s="2"/>
    </row>
    <row r="31600" spans="1:8" x14ac:dyDescent="0.25">
      <c r="A31600" s="1"/>
      <c r="B31600" s="1" t="s">
        <v>8275</v>
      </c>
      <c r="C31600" s="1" t="s">
        <v>8276</v>
      </c>
      <c r="D31600" s="1" t="str">
        <f>HYPERLINK("https://rhld.insurance.arkansas.gov/NPILookup?Npi=1730295320","1730295320")</f>
        <v>1730295320</v>
      </c>
      <c r="E31600" s="1" t="s">
        <v>2131</v>
      </c>
      <c r="F31600" s="2"/>
      <c r="G31600" s="2"/>
      <c r="H31600" s="2"/>
    </row>
    <row r="31601" spans="1:8" x14ac:dyDescent="0.25">
      <c r="A31601" s="1"/>
      <c r="B31601" s="1" t="s">
        <v>8275</v>
      </c>
      <c r="C31601" s="1" t="s">
        <v>8276</v>
      </c>
      <c r="D31601" s="1" t="str">
        <f>HYPERLINK("https://rhld.insurance.arkansas.gov/NPILookup?Npi=1730322041","1730322041")</f>
        <v>1730322041</v>
      </c>
      <c r="E31601" s="1" t="s">
        <v>32472</v>
      </c>
      <c r="F31601" s="2"/>
      <c r="G31601" s="2"/>
      <c r="H31601" s="2"/>
    </row>
    <row r="31602" spans="1:8" x14ac:dyDescent="0.25">
      <c r="A31602" s="1"/>
      <c r="B31602" s="1" t="s">
        <v>8275</v>
      </c>
      <c r="C31602" s="1" t="s">
        <v>8276</v>
      </c>
      <c r="D31602" s="1" t="str">
        <f>HYPERLINK("https://rhld.insurance.arkansas.gov/NPILookup?Npi=1730337452","1730337452")</f>
        <v>1730337452</v>
      </c>
      <c r="E31602" s="1" t="s">
        <v>28375</v>
      </c>
      <c r="F31602" s="2"/>
      <c r="G31602" s="2"/>
      <c r="H31602" s="2"/>
    </row>
    <row r="31603" spans="1:8" x14ac:dyDescent="0.25">
      <c r="A31603" s="1"/>
      <c r="B31603" s="1" t="s">
        <v>8275</v>
      </c>
      <c r="C31603" s="1" t="s">
        <v>8276</v>
      </c>
      <c r="D31603" s="1" t="str">
        <f>HYPERLINK("https://rhld.insurance.arkansas.gov/NPILookup?Npi=1730418385","1730418385")</f>
        <v>1730418385</v>
      </c>
      <c r="E31603" s="1" t="s">
        <v>8049</v>
      </c>
      <c r="F31603" s="2"/>
      <c r="G31603" s="2"/>
      <c r="H31603" s="2"/>
    </row>
    <row r="31604" spans="1:8" x14ac:dyDescent="0.25">
      <c r="A31604" s="1"/>
      <c r="B31604" s="1" t="s">
        <v>8275</v>
      </c>
      <c r="C31604" s="1" t="s">
        <v>8276</v>
      </c>
      <c r="D31604" s="1" t="str">
        <f>HYPERLINK("https://rhld.insurance.arkansas.gov/NPILookup?Npi=1730419771","1730419771")</f>
        <v>1730419771</v>
      </c>
      <c r="E31604" s="1" t="s">
        <v>19242</v>
      </c>
      <c r="F31604" s="2"/>
      <c r="G31604" s="2"/>
      <c r="H31604" s="2"/>
    </row>
    <row r="31605" spans="1:8" x14ac:dyDescent="0.25">
      <c r="A31605" s="1"/>
      <c r="B31605" s="1" t="s">
        <v>8275</v>
      </c>
      <c r="C31605" s="1" t="s">
        <v>8276</v>
      </c>
      <c r="D31605" s="1" t="str">
        <f>HYPERLINK("https://rhld.insurance.arkansas.gov/NPILookup?Npi=1730443078","1730443078")</f>
        <v>1730443078</v>
      </c>
      <c r="E31605" s="1" t="s">
        <v>28381</v>
      </c>
      <c r="F31605" s="2"/>
      <c r="G31605" s="2"/>
      <c r="H31605" s="2"/>
    </row>
    <row r="31606" spans="1:8" x14ac:dyDescent="0.25">
      <c r="A31606" s="1"/>
      <c r="B31606" s="1" t="s">
        <v>8275</v>
      </c>
      <c r="C31606" s="1" t="s">
        <v>8276</v>
      </c>
      <c r="D31606" s="1" t="str">
        <f>HYPERLINK("https://rhld.insurance.arkansas.gov/NPILookup?Npi=1730484684","1730484684")</f>
        <v>1730484684</v>
      </c>
      <c r="E31606" s="1" t="s">
        <v>28383</v>
      </c>
      <c r="F31606" s="2"/>
      <c r="G31606" s="2"/>
      <c r="H31606" s="2"/>
    </row>
    <row r="31607" spans="1:8" x14ac:dyDescent="0.25">
      <c r="A31607" s="1"/>
      <c r="B31607" s="1" t="s">
        <v>8275</v>
      </c>
      <c r="C31607" s="1" t="s">
        <v>8276</v>
      </c>
      <c r="D31607" s="1" t="str">
        <f>HYPERLINK("https://rhld.insurance.arkansas.gov/NPILookup?Npi=1730508151","1730508151")</f>
        <v>1730508151</v>
      </c>
      <c r="E31607" s="1" t="s">
        <v>17837</v>
      </c>
      <c r="F31607" s="2"/>
      <c r="G31607" s="2"/>
      <c r="H31607" s="2"/>
    </row>
    <row r="31608" spans="1:8" x14ac:dyDescent="0.25">
      <c r="A31608" s="1"/>
      <c r="B31608" s="1" t="s">
        <v>8275</v>
      </c>
      <c r="C31608" s="1" t="s">
        <v>8276</v>
      </c>
      <c r="D31608" s="1" t="str">
        <f>HYPERLINK("https://rhld.insurance.arkansas.gov/NPILookup?Npi=1730524216","1730524216")</f>
        <v>1730524216</v>
      </c>
      <c r="E31608" s="1" t="s">
        <v>8330</v>
      </c>
      <c r="F31608" s="2"/>
      <c r="G31608" s="2"/>
      <c r="H31608" s="2"/>
    </row>
    <row r="31609" spans="1:8" x14ac:dyDescent="0.25">
      <c r="A31609" s="1"/>
      <c r="B31609" s="1" t="s">
        <v>8275</v>
      </c>
      <c r="C31609" s="1" t="s">
        <v>8276</v>
      </c>
      <c r="D31609" s="1" t="str">
        <f>HYPERLINK("https://rhld.insurance.arkansas.gov/NPILookup?Npi=1730602806","1730602806")</f>
        <v>1730602806</v>
      </c>
      <c r="E31609" s="1" t="s">
        <v>8331</v>
      </c>
      <c r="F31609" s="2"/>
      <c r="G31609" s="2"/>
      <c r="H31609" s="2"/>
    </row>
    <row r="31610" spans="1:8" x14ac:dyDescent="0.25">
      <c r="A31610" s="1"/>
      <c r="B31610" s="1" t="s">
        <v>8275</v>
      </c>
      <c r="C31610" s="1" t="s">
        <v>8276</v>
      </c>
      <c r="D31610" s="1" t="str">
        <f>HYPERLINK("https://rhld.insurance.arkansas.gov/NPILookup?Npi=1730609439","1730609439")</f>
        <v>1730609439</v>
      </c>
      <c r="E31610" s="1" t="s">
        <v>13524</v>
      </c>
      <c r="F31610" s="2"/>
      <c r="G31610" s="2"/>
      <c r="H31610" s="2"/>
    </row>
    <row r="31611" spans="1:8" x14ac:dyDescent="0.25">
      <c r="A31611" s="1"/>
      <c r="B31611" s="1" t="s">
        <v>8275</v>
      </c>
      <c r="C31611" s="1" t="s">
        <v>8276</v>
      </c>
      <c r="D31611" s="1" t="str">
        <f>HYPERLINK("https://rhld.insurance.arkansas.gov/NPILookup?Npi=1730611005","1730611005")</f>
        <v>1730611005</v>
      </c>
      <c r="E31611" s="1" t="s">
        <v>18118</v>
      </c>
      <c r="F31611" s="2"/>
      <c r="G31611" s="2"/>
      <c r="H31611" s="2"/>
    </row>
    <row r="31612" spans="1:8" x14ac:dyDescent="0.25">
      <c r="A31612" s="1"/>
      <c r="B31612" s="1" t="s">
        <v>8275</v>
      </c>
      <c r="C31612" s="1" t="s">
        <v>8276</v>
      </c>
      <c r="D31612" s="1" t="str">
        <f>HYPERLINK("https://rhld.insurance.arkansas.gov/NPILookup?Npi=1730692914","1730692914")</f>
        <v>1730692914</v>
      </c>
      <c r="E31612" s="1" t="s">
        <v>28399</v>
      </c>
      <c r="F31612" s="2"/>
      <c r="G31612" s="2"/>
      <c r="H31612" s="2"/>
    </row>
    <row r="31613" spans="1:8" x14ac:dyDescent="0.25">
      <c r="A31613" s="1"/>
      <c r="B31613" s="1" t="s">
        <v>8275</v>
      </c>
      <c r="C31613" s="1" t="s">
        <v>8276</v>
      </c>
      <c r="D31613" s="1" t="str">
        <f>HYPERLINK("https://rhld.insurance.arkansas.gov/NPILookup?Npi=1730702515","1730702515")</f>
        <v>1730702515</v>
      </c>
      <c r="E31613" s="1" t="s">
        <v>29790</v>
      </c>
      <c r="F31613" s="2"/>
      <c r="G31613" s="2"/>
      <c r="H31613" s="2"/>
    </row>
    <row r="31614" spans="1:8" x14ac:dyDescent="0.25">
      <c r="A31614" s="1"/>
      <c r="B31614" s="1" t="s">
        <v>8275</v>
      </c>
      <c r="C31614" s="1" t="s">
        <v>8276</v>
      </c>
      <c r="D31614" s="1" t="str">
        <f>HYPERLINK("https://rhld.insurance.arkansas.gov/NPILookup?Npi=1730731084","1730731084")</f>
        <v>1730731084</v>
      </c>
      <c r="E31614" s="1" t="s">
        <v>8332</v>
      </c>
      <c r="F31614" s="2"/>
      <c r="G31614" s="2"/>
      <c r="H31614" s="2"/>
    </row>
    <row r="31615" spans="1:8" x14ac:dyDescent="0.25">
      <c r="A31615" s="1"/>
      <c r="B31615" s="1" t="s">
        <v>8275</v>
      </c>
      <c r="C31615" s="1" t="s">
        <v>8276</v>
      </c>
      <c r="D31615" s="1" t="str">
        <f>HYPERLINK("https://rhld.insurance.arkansas.gov/NPILookup?Npi=1730854241","1730854241")</f>
        <v>1730854241</v>
      </c>
      <c r="E31615" s="1" t="s">
        <v>8054</v>
      </c>
      <c r="F31615" s="2"/>
      <c r="G31615" s="2"/>
      <c r="H31615" s="2"/>
    </row>
    <row r="31616" spans="1:8" x14ac:dyDescent="0.25">
      <c r="A31616" s="1"/>
      <c r="B31616" s="1" t="s">
        <v>8275</v>
      </c>
      <c r="C31616" s="1" t="s">
        <v>8276</v>
      </c>
      <c r="D31616" s="1" t="str">
        <f>HYPERLINK("https://rhld.insurance.arkansas.gov/NPILookup?Npi=1730895434","1730895434")</f>
        <v>1730895434</v>
      </c>
      <c r="E31616" s="1" t="s">
        <v>28410</v>
      </c>
      <c r="F31616" s="2"/>
      <c r="G31616" s="2"/>
      <c r="H31616" s="2"/>
    </row>
    <row r="31617" spans="1:8" x14ac:dyDescent="0.25">
      <c r="A31617" s="1"/>
      <c r="B31617" s="1" t="s">
        <v>8275</v>
      </c>
      <c r="C31617" s="1" t="s">
        <v>8276</v>
      </c>
      <c r="D31617" s="1" t="str">
        <f>HYPERLINK("https://rhld.insurance.arkansas.gov/NPILookup?Npi=1730901588","1730901588")</f>
        <v>1730901588</v>
      </c>
      <c r="E31617" s="1" t="s">
        <v>31934</v>
      </c>
      <c r="F31617" s="2"/>
      <c r="G31617" s="2"/>
      <c r="H31617" s="2"/>
    </row>
    <row r="31618" spans="1:8" x14ac:dyDescent="0.25">
      <c r="A31618" s="1"/>
      <c r="B31618" s="1" t="s">
        <v>8275</v>
      </c>
      <c r="C31618" s="1" t="s">
        <v>8276</v>
      </c>
      <c r="D31618" s="1" t="str">
        <f>HYPERLINK("https://rhld.insurance.arkansas.gov/NPILookup?Npi=1730958968","1730958968")</f>
        <v>1730958968</v>
      </c>
      <c r="E31618" s="1" t="s">
        <v>32343</v>
      </c>
      <c r="F31618" s="2"/>
      <c r="G31618" s="2"/>
      <c r="H31618" s="2"/>
    </row>
    <row r="31619" spans="1:8" x14ac:dyDescent="0.25">
      <c r="A31619" s="1"/>
      <c r="B31619" s="1" t="s">
        <v>8275</v>
      </c>
      <c r="C31619" s="1" t="s">
        <v>8276</v>
      </c>
      <c r="D31619" s="1" t="str">
        <f>HYPERLINK("https://rhld.insurance.arkansas.gov/NPILookup?Npi=1740026517","1740026517")</f>
        <v>1740026517</v>
      </c>
      <c r="E31619" s="1" t="s">
        <v>32344</v>
      </c>
      <c r="F31619" s="2"/>
      <c r="G31619" s="2"/>
      <c r="H31619" s="2"/>
    </row>
    <row r="31620" spans="1:8" x14ac:dyDescent="0.25">
      <c r="A31620" s="1"/>
      <c r="B31620" s="1" t="s">
        <v>8275</v>
      </c>
      <c r="C31620" s="1" t="s">
        <v>8276</v>
      </c>
      <c r="D31620" s="1" t="str">
        <f>HYPERLINK("https://rhld.insurance.arkansas.gov/NPILookup?Npi=1740227321","1740227321")</f>
        <v>1740227321</v>
      </c>
      <c r="E31620" s="1" t="s">
        <v>18305</v>
      </c>
      <c r="F31620" s="2"/>
      <c r="G31620" s="2"/>
      <c r="H31620" s="2"/>
    </row>
    <row r="31621" spans="1:8" x14ac:dyDescent="0.25">
      <c r="A31621" s="1"/>
      <c r="B31621" s="1" t="s">
        <v>8275</v>
      </c>
      <c r="C31621" s="1" t="s">
        <v>8276</v>
      </c>
      <c r="D31621" s="1" t="str">
        <f>HYPERLINK("https://rhld.insurance.arkansas.gov/NPILookup?Npi=1740246552","1740246552")</f>
        <v>1740246552</v>
      </c>
      <c r="E31621" s="1" t="s">
        <v>29791</v>
      </c>
      <c r="F31621" s="2"/>
      <c r="G31621" s="2"/>
      <c r="H31621" s="2"/>
    </row>
    <row r="31622" spans="1:8" x14ac:dyDescent="0.25">
      <c r="A31622" s="1"/>
      <c r="B31622" s="1" t="s">
        <v>8275</v>
      </c>
      <c r="C31622" s="1" t="s">
        <v>8276</v>
      </c>
      <c r="D31622" s="1" t="str">
        <f>HYPERLINK("https://rhld.insurance.arkansas.gov/NPILookup?Npi=1740249523","1740249523")</f>
        <v>1740249523</v>
      </c>
      <c r="E31622" s="1" t="s">
        <v>28416</v>
      </c>
      <c r="F31622" s="2"/>
      <c r="G31622" s="2"/>
      <c r="H31622" s="2"/>
    </row>
    <row r="31623" spans="1:8" x14ac:dyDescent="0.25">
      <c r="A31623" s="1"/>
      <c r="B31623" s="1" t="s">
        <v>8275</v>
      </c>
      <c r="C31623" s="1" t="s">
        <v>8276</v>
      </c>
      <c r="D31623" s="1" t="str">
        <f>HYPERLINK("https://rhld.insurance.arkansas.gov/NPILookup?Npi=1740266535","1740266535")</f>
        <v>1740266535</v>
      </c>
      <c r="E31623" s="1" t="s">
        <v>28418</v>
      </c>
      <c r="F31623" s="2"/>
      <c r="G31623" s="2"/>
      <c r="H31623" s="2"/>
    </row>
    <row r="31624" spans="1:8" x14ac:dyDescent="0.25">
      <c r="A31624" s="1"/>
      <c r="B31624" s="1" t="s">
        <v>8275</v>
      </c>
      <c r="C31624" s="1" t="s">
        <v>8276</v>
      </c>
      <c r="D31624" s="1" t="str">
        <f>HYPERLINK("https://rhld.insurance.arkansas.gov/NPILookup?Npi=1740365733","1740365733")</f>
        <v>1740365733</v>
      </c>
      <c r="E31624" s="1" t="s">
        <v>28423</v>
      </c>
      <c r="F31624" s="2"/>
      <c r="G31624" s="2"/>
      <c r="H31624" s="2"/>
    </row>
    <row r="31625" spans="1:8" x14ac:dyDescent="0.25">
      <c r="A31625" s="1"/>
      <c r="B31625" s="1" t="s">
        <v>8275</v>
      </c>
      <c r="C31625" s="1" t="s">
        <v>8276</v>
      </c>
      <c r="D31625" s="1" t="str">
        <f>HYPERLINK("https://rhld.insurance.arkansas.gov/NPILookup?Npi=1740369263","1740369263")</f>
        <v>1740369263</v>
      </c>
      <c r="E31625" s="1" t="s">
        <v>201</v>
      </c>
      <c r="F31625" s="2"/>
      <c r="G31625" s="2"/>
      <c r="H31625" s="2"/>
    </row>
    <row r="31626" spans="1:8" x14ac:dyDescent="0.25">
      <c r="A31626" s="1"/>
      <c r="B31626" s="1" t="s">
        <v>8275</v>
      </c>
      <c r="C31626" s="1" t="s">
        <v>8276</v>
      </c>
      <c r="D31626" s="1" t="str">
        <f>HYPERLINK("https://rhld.insurance.arkansas.gov/NPILookup?Npi=1740455500","1740455500")</f>
        <v>1740455500</v>
      </c>
      <c r="E31626" s="1" t="s">
        <v>29792</v>
      </c>
      <c r="F31626" s="2"/>
      <c r="G31626" s="2"/>
      <c r="H31626" s="2"/>
    </row>
    <row r="31627" spans="1:8" x14ac:dyDescent="0.25">
      <c r="A31627" s="1"/>
      <c r="B31627" s="1" t="s">
        <v>8275</v>
      </c>
      <c r="C31627" s="1" t="s">
        <v>8276</v>
      </c>
      <c r="D31627" s="1" t="str">
        <f>HYPERLINK("https://rhld.insurance.arkansas.gov/NPILookup?Npi=1740500230","1740500230")</f>
        <v>1740500230</v>
      </c>
      <c r="E31627" s="1" t="s">
        <v>29793</v>
      </c>
      <c r="F31627" s="2"/>
      <c r="G31627" s="2"/>
      <c r="H31627" s="2"/>
    </row>
    <row r="31628" spans="1:8" x14ac:dyDescent="0.25">
      <c r="A31628" s="1"/>
      <c r="B31628" s="1" t="s">
        <v>8275</v>
      </c>
      <c r="C31628" s="1" t="s">
        <v>8276</v>
      </c>
      <c r="D31628" s="1" t="str">
        <f>HYPERLINK("https://rhld.insurance.arkansas.gov/NPILookup?Npi=1740643972","1740643972")</f>
        <v>1740643972</v>
      </c>
      <c r="E31628" s="1" t="s">
        <v>29794</v>
      </c>
      <c r="F31628" s="2"/>
      <c r="G31628" s="2"/>
      <c r="H31628" s="2"/>
    </row>
    <row r="31629" spans="1:8" x14ac:dyDescent="0.25">
      <c r="A31629" s="1"/>
      <c r="B31629" s="1" t="s">
        <v>8275</v>
      </c>
      <c r="C31629" s="1" t="s">
        <v>8276</v>
      </c>
      <c r="D31629" s="1" t="str">
        <f>HYPERLINK("https://rhld.insurance.arkansas.gov/NPILookup?Npi=1740673714","1740673714")</f>
        <v>1740673714</v>
      </c>
      <c r="E31629" s="1" t="s">
        <v>13534</v>
      </c>
      <c r="F31629" s="2"/>
      <c r="G31629" s="2"/>
      <c r="H31629" s="2"/>
    </row>
    <row r="31630" spans="1:8" x14ac:dyDescent="0.25">
      <c r="A31630" s="1"/>
      <c r="B31630" s="1" t="s">
        <v>8275</v>
      </c>
      <c r="C31630" s="1" t="s">
        <v>8276</v>
      </c>
      <c r="D31630" s="1" t="str">
        <f>HYPERLINK("https://rhld.insurance.arkansas.gov/NPILookup?Npi=1740700368","1740700368")</f>
        <v>1740700368</v>
      </c>
      <c r="E31630" s="1" t="s">
        <v>32345</v>
      </c>
      <c r="F31630" s="2"/>
      <c r="G31630" s="2"/>
      <c r="H31630" s="2"/>
    </row>
    <row r="31631" spans="1:8" x14ac:dyDescent="0.25">
      <c r="A31631" s="1"/>
      <c r="B31631" s="1" t="s">
        <v>8275</v>
      </c>
      <c r="C31631" s="1" t="s">
        <v>8276</v>
      </c>
      <c r="D31631" s="1" t="str">
        <f>HYPERLINK("https://rhld.insurance.arkansas.gov/NPILookup?Npi=1740703180","1740703180")</f>
        <v>1740703180</v>
      </c>
      <c r="E31631" s="1" t="s">
        <v>32346</v>
      </c>
      <c r="F31631" s="2"/>
      <c r="G31631" s="2"/>
      <c r="H31631" s="2"/>
    </row>
    <row r="31632" spans="1:8" x14ac:dyDescent="0.25">
      <c r="A31632" s="1"/>
      <c r="B31632" s="1" t="s">
        <v>8275</v>
      </c>
      <c r="C31632" s="1" t="s">
        <v>8276</v>
      </c>
      <c r="D31632" s="1" t="str">
        <f>HYPERLINK("https://rhld.insurance.arkansas.gov/NPILookup?Npi=1740728187","1740728187")</f>
        <v>1740728187</v>
      </c>
      <c r="E31632" s="1" t="s">
        <v>28438</v>
      </c>
      <c r="F31632" s="2"/>
      <c r="G31632" s="2"/>
      <c r="H31632" s="2"/>
    </row>
    <row r="31633" spans="1:8" x14ac:dyDescent="0.25">
      <c r="A31633" s="1"/>
      <c r="B31633" s="1" t="s">
        <v>8275</v>
      </c>
      <c r="C31633" s="1" t="s">
        <v>8276</v>
      </c>
      <c r="D31633" s="1" t="str">
        <f>HYPERLINK("https://rhld.insurance.arkansas.gov/NPILookup?Npi=1740765940","1740765940")</f>
        <v>1740765940</v>
      </c>
      <c r="E31633" s="1" t="s">
        <v>32473</v>
      </c>
      <c r="F31633" s="2"/>
      <c r="G31633" s="2"/>
      <c r="H31633" s="2"/>
    </row>
    <row r="31634" spans="1:8" x14ac:dyDescent="0.25">
      <c r="A31634" s="1"/>
      <c r="B31634" s="1" t="s">
        <v>8275</v>
      </c>
      <c r="C31634" s="1" t="s">
        <v>8276</v>
      </c>
      <c r="D31634" s="1" t="str">
        <f>HYPERLINK("https://rhld.insurance.arkansas.gov/NPILookup?Npi=1740807759","1740807759")</f>
        <v>1740807759</v>
      </c>
      <c r="E31634" s="1" t="s">
        <v>13539</v>
      </c>
      <c r="F31634" s="2"/>
      <c r="G31634" s="2"/>
      <c r="H31634" s="2"/>
    </row>
    <row r="31635" spans="1:8" x14ac:dyDescent="0.25">
      <c r="A31635" s="1"/>
      <c r="B31635" s="1" t="s">
        <v>8275</v>
      </c>
      <c r="C31635" s="1" t="s">
        <v>8276</v>
      </c>
      <c r="D31635" s="1" t="str">
        <f>HYPERLINK("https://rhld.insurance.arkansas.gov/NPILookup?Npi=1740917129","1740917129")</f>
        <v>1740917129</v>
      </c>
      <c r="E31635" s="1" t="s">
        <v>32347</v>
      </c>
      <c r="F31635" s="2"/>
      <c r="G31635" s="2"/>
      <c r="H31635" s="2"/>
    </row>
    <row r="31636" spans="1:8" x14ac:dyDescent="0.25">
      <c r="A31636" s="1"/>
      <c r="B31636" s="1" t="s">
        <v>8275</v>
      </c>
      <c r="C31636" s="1" t="s">
        <v>8276</v>
      </c>
      <c r="D31636" s="1" t="str">
        <f>HYPERLINK("https://rhld.insurance.arkansas.gov/NPILookup?Npi=1740922962","1740922962")</f>
        <v>1740922962</v>
      </c>
      <c r="E31636" s="1" t="s">
        <v>28456</v>
      </c>
      <c r="F31636" s="2"/>
      <c r="G31636" s="2"/>
      <c r="H31636" s="2"/>
    </row>
    <row r="31637" spans="1:8" x14ac:dyDescent="0.25">
      <c r="A31637" s="1"/>
      <c r="B31637" s="1" t="s">
        <v>8275</v>
      </c>
      <c r="C31637" s="1" t="s">
        <v>8276</v>
      </c>
      <c r="D31637" s="1" t="str">
        <f>HYPERLINK("https://rhld.insurance.arkansas.gov/NPILookup?Npi=1740932722","1740932722")</f>
        <v>1740932722</v>
      </c>
      <c r="E31637" s="1" t="s">
        <v>28457</v>
      </c>
      <c r="F31637" s="2"/>
      <c r="G31637" s="2"/>
      <c r="H31637" s="2"/>
    </row>
    <row r="31638" spans="1:8" x14ac:dyDescent="0.25">
      <c r="A31638" s="1"/>
      <c r="B31638" s="1" t="s">
        <v>8275</v>
      </c>
      <c r="C31638" s="1" t="s">
        <v>8276</v>
      </c>
      <c r="D31638" s="1" t="str">
        <f>HYPERLINK("https://rhld.insurance.arkansas.gov/NPILookup?Npi=1740961762","1740961762")</f>
        <v>1740961762</v>
      </c>
      <c r="E31638" s="1" t="s">
        <v>32348</v>
      </c>
      <c r="F31638" s="2"/>
      <c r="G31638" s="2"/>
      <c r="H31638" s="2"/>
    </row>
    <row r="31639" spans="1:8" x14ac:dyDescent="0.25">
      <c r="A31639" s="1"/>
      <c r="B31639" s="1" t="s">
        <v>8275</v>
      </c>
      <c r="C31639" s="1" t="s">
        <v>8276</v>
      </c>
      <c r="D31639" s="1" t="str">
        <f>HYPERLINK("https://rhld.insurance.arkansas.gov/NPILookup?Npi=1750100681","1750100681")</f>
        <v>1750100681</v>
      </c>
      <c r="E31639" s="1" t="s">
        <v>32349</v>
      </c>
      <c r="F31639" s="2"/>
      <c r="G31639" s="2"/>
      <c r="H31639" s="2"/>
    </row>
    <row r="31640" spans="1:8" x14ac:dyDescent="0.25">
      <c r="A31640" s="1"/>
      <c r="B31640" s="1" t="s">
        <v>8275</v>
      </c>
      <c r="C31640" s="1" t="s">
        <v>8276</v>
      </c>
      <c r="D31640" s="1" t="str">
        <f>HYPERLINK("https://rhld.insurance.arkansas.gov/NPILookup?Npi=1750445946","1750445946")</f>
        <v>1750445946</v>
      </c>
      <c r="E31640" s="1" t="s">
        <v>29795</v>
      </c>
      <c r="F31640" s="2"/>
      <c r="G31640" s="2"/>
      <c r="H31640" s="2"/>
    </row>
    <row r="31641" spans="1:8" x14ac:dyDescent="0.25">
      <c r="A31641" s="1"/>
      <c r="B31641" s="1" t="s">
        <v>8275</v>
      </c>
      <c r="C31641" s="1" t="s">
        <v>8276</v>
      </c>
      <c r="D31641" s="1" t="str">
        <f>HYPERLINK("https://rhld.insurance.arkansas.gov/NPILookup?Npi=1750472643","1750472643")</f>
        <v>1750472643</v>
      </c>
      <c r="E31641" s="1" t="s">
        <v>13546</v>
      </c>
      <c r="F31641" s="2"/>
      <c r="G31641" s="2"/>
      <c r="H31641" s="2"/>
    </row>
    <row r="31642" spans="1:8" x14ac:dyDescent="0.25">
      <c r="A31642" s="1"/>
      <c r="B31642" s="1" t="s">
        <v>8275</v>
      </c>
      <c r="C31642" s="1" t="s">
        <v>8276</v>
      </c>
      <c r="D31642" s="1" t="str">
        <f>HYPERLINK("https://rhld.insurance.arkansas.gov/NPILookup?Npi=1750484218","1750484218")</f>
        <v>1750484218</v>
      </c>
      <c r="E31642" s="1" t="s">
        <v>29796</v>
      </c>
      <c r="F31642" s="2"/>
      <c r="G31642" s="2"/>
      <c r="H31642" s="2"/>
    </row>
    <row r="31643" spans="1:8" x14ac:dyDescent="0.25">
      <c r="A31643" s="1"/>
      <c r="B31643" s="1" t="s">
        <v>8275</v>
      </c>
      <c r="C31643" s="1" t="s">
        <v>8276</v>
      </c>
      <c r="D31643" s="1" t="str">
        <f>HYPERLINK("https://rhld.insurance.arkansas.gov/NPILookup?Npi=1750592440","1750592440")</f>
        <v>1750592440</v>
      </c>
      <c r="E31643" s="1" t="s">
        <v>28479</v>
      </c>
      <c r="F31643" s="2"/>
      <c r="G31643" s="2"/>
      <c r="H31643" s="2"/>
    </row>
    <row r="31644" spans="1:8" x14ac:dyDescent="0.25">
      <c r="A31644" s="1"/>
      <c r="B31644" s="1" t="s">
        <v>8275</v>
      </c>
      <c r="C31644" s="1" t="s">
        <v>8276</v>
      </c>
      <c r="D31644" s="1" t="str">
        <f>HYPERLINK("https://rhld.insurance.arkansas.gov/NPILookup?Npi=1750673265","1750673265")</f>
        <v>1750673265</v>
      </c>
      <c r="E31644" s="1" t="s">
        <v>13937</v>
      </c>
      <c r="F31644" s="2"/>
      <c r="G31644" s="2"/>
      <c r="H31644" s="2"/>
    </row>
    <row r="31645" spans="1:8" x14ac:dyDescent="0.25">
      <c r="A31645" s="1"/>
      <c r="B31645" s="1" t="s">
        <v>8275</v>
      </c>
      <c r="C31645" s="1" t="s">
        <v>8276</v>
      </c>
      <c r="D31645" s="1" t="str">
        <f>HYPERLINK("https://rhld.insurance.arkansas.gov/NPILookup?Npi=1750753695","1750753695")</f>
        <v>1750753695</v>
      </c>
      <c r="E31645" s="1" t="s">
        <v>28483</v>
      </c>
      <c r="F31645" s="2"/>
      <c r="G31645" s="2"/>
      <c r="H31645" s="2"/>
    </row>
    <row r="31646" spans="1:8" x14ac:dyDescent="0.25">
      <c r="A31646" s="1"/>
      <c r="B31646" s="1" t="s">
        <v>8275</v>
      </c>
      <c r="C31646" s="1" t="s">
        <v>8276</v>
      </c>
      <c r="D31646" s="1" t="str">
        <f>HYPERLINK("https://rhld.insurance.arkansas.gov/NPILookup?Npi=1750821674","1750821674")</f>
        <v>1750821674</v>
      </c>
      <c r="E31646" s="1" t="s">
        <v>28488</v>
      </c>
      <c r="F31646" s="2"/>
      <c r="G31646" s="2"/>
      <c r="H31646" s="2"/>
    </row>
    <row r="31647" spans="1:8" x14ac:dyDescent="0.25">
      <c r="A31647" s="1"/>
      <c r="B31647" s="1" t="s">
        <v>8275</v>
      </c>
      <c r="C31647" s="1" t="s">
        <v>8276</v>
      </c>
      <c r="D31647" s="1" t="str">
        <f>HYPERLINK("https://rhld.insurance.arkansas.gov/NPILookup?Npi=1750961363","1750961363")</f>
        <v>1750961363</v>
      </c>
      <c r="E31647" s="1" t="s">
        <v>28496</v>
      </c>
      <c r="F31647" s="2"/>
      <c r="G31647" s="2"/>
      <c r="H31647" s="2"/>
    </row>
    <row r="31648" spans="1:8" x14ac:dyDescent="0.25">
      <c r="A31648" s="1"/>
      <c r="B31648" s="1" t="s">
        <v>8275</v>
      </c>
      <c r="C31648" s="1" t="s">
        <v>8276</v>
      </c>
      <c r="D31648" s="1" t="str">
        <f>HYPERLINK("https://rhld.insurance.arkansas.gov/NPILookup?Npi=1760047906","1760047906")</f>
        <v>1760047906</v>
      </c>
      <c r="E31648" s="1" t="s">
        <v>28504</v>
      </c>
      <c r="F31648" s="2"/>
      <c r="G31648" s="2"/>
      <c r="H31648" s="2"/>
    </row>
    <row r="31649" spans="1:8" x14ac:dyDescent="0.25">
      <c r="A31649" s="1"/>
      <c r="B31649" s="1" t="s">
        <v>8275</v>
      </c>
      <c r="C31649" s="1" t="s">
        <v>8276</v>
      </c>
      <c r="D31649" s="1" t="str">
        <f>HYPERLINK("https://rhld.insurance.arkansas.gov/NPILookup?Npi=1760050132","1760050132")</f>
        <v>1760050132</v>
      </c>
      <c r="E31649" s="1" t="s">
        <v>28505</v>
      </c>
      <c r="F31649" s="2"/>
      <c r="G31649" s="2"/>
      <c r="H31649" s="2"/>
    </row>
    <row r="31650" spans="1:8" x14ac:dyDescent="0.25">
      <c r="A31650" s="1"/>
      <c r="B31650" s="1" t="s">
        <v>8275</v>
      </c>
      <c r="C31650" s="1" t="s">
        <v>8276</v>
      </c>
      <c r="D31650" s="1" t="str">
        <f>HYPERLINK("https://rhld.insurance.arkansas.gov/NPILookup?Npi=1760062616","1760062616")</f>
        <v>1760062616</v>
      </c>
      <c r="E31650" s="1" t="s">
        <v>28506</v>
      </c>
      <c r="F31650" s="2"/>
      <c r="G31650" s="2"/>
      <c r="H31650" s="2"/>
    </row>
    <row r="31651" spans="1:8" x14ac:dyDescent="0.25">
      <c r="A31651" s="1"/>
      <c r="B31651" s="1" t="s">
        <v>8275</v>
      </c>
      <c r="C31651" s="1" t="s">
        <v>8276</v>
      </c>
      <c r="D31651" s="1" t="str">
        <f>HYPERLINK("https://rhld.insurance.arkansas.gov/NPILookup?Npi=1760155121","1760155121")</f>
        <v>1760155121</v>
      </c>
      <c r="E31651" s="1" t="s">
        <v>28509</v>
      </c>
      <c r="F31651" s="2"/>
      <c r="G31651" s="2"/>
      <c r="H31651" s="2"/>
    </row>
    <row r="31652" spans="1:8" x14ac:dyDescent="0.25">
      <c r="A31652" s="1"/>
      <c r="B31652" s="1" t="s">
        <v>8275</v>
      </c>
      <c r="C31652" s="1" t="s">
        <v>8276</v>
      </c>
      <c r="D31652" s="1" t="str">
        <f>HYPERLINK("https://rhld.insurance.arkansas.gov/NPILookup?Npi=1760208441","1760208441")</f>
        <v>1760208441</v>
      </c>
      <c r="E31652" s="1" t="s">
        <v>32351</v>
      </c>
      <c r="F31652" s="2"/>
      <c r="G31652" s="2"/>
      <c r="H31652" s="2"/>
    </row>
    <row r="31653" spans="1:8" x14ac:dyDescent="0.25">
      <c r="A31653" s="1"/>
      <c r="B31653" s="1" t="s">
        <v>8275</v>
      </c>
      <c r="C31653" s="1" t="s">
        <v>8276</v>
      </c>
      <c r="D31653" s="1" t="str">
        <f>HYPERLINK("https://rhld.insurance.arkansas.gov/NPILookup?Npi=1760412209","1760412209")</f>
        <v>1760412209</v>
      </c>
      <c r="E31653" s="1" t="s">
        <v>29797</v>
      </c>
      <c r="F31653" s="2"/>
      <c r="G31653" s="2"/>
      <c r="H31653" s="2"/>
    </row>
    <row r="31654" spans="1:8" x14ac:dyDescent="0.25">
      <c r="A31654" s="1"/>
      <c r="B31654" s="1" t="s">
        <v>8275</v>
      </c>
      <c r="C31654" s="1" t="s">
        <v>8276</v>
      </c>
      <c r="D31654" s="1" t="str">
        <f>HYPERLINK("https://rhld.insurance.arkansas.gov/NPILookup?Npi=1760449227","1760449227")</f>
        <v>1760449227</v>
      </c>
      <c r="E31654" s="1" t="s">
        <v>29798</v>
      </c>
      <c r="F31654" s="2"/>
      <c r="G31654" s="2"/>
      <c r="H31654" s="2"/>
    </row>
    <row r="31655" spans="1:8" x14ac:dyDescent="0.25">
      <c r="A31655" s="1"/>
      <c r="B31655" s="1" t="s">
        <v>8275</v>
      </c>
      <c r="C31655" s="1" t="s">
        <v>8276</v>
      </c>
      <c r="D31655" s="1" t="str">
        <f>HYPERLINK("https://rhld.insurance.arkansas.gov/NPILookup?Npi=1760451876","1760451876")</f>
        <v>1760451876</v>
      </c>
      <c r="E31655" s="1" t="s">
        <v>17858</v>
      </c>
      <c r="F31655" s="2"/>
      <c r="G31655" s="2"/>
      <c r="H31655" s="2"/>
    </row>
    <row r="31656" spans="1:8" x14ac:dyDescent="0.25">
      <c r="A31656" s="1"/>
      <c r="B31656" s="1" t="s">
        <v>8275</v>
      </c>
      <c r="C31656" s="1" t="s">
        <v>8276</v>
      </c>
      <c r="D31656" s="1" t="str">
        <f>HYPERLINK("https://rhld.insurance.arkansas.gov/NPILookup?Npi=1760465090","1760465090")</f>
        <v>1760465090</v>
      </c>
      <c r="E31656" s="1" t="s">
        <v>3009</v>
      </c>
      <c r="F31656" s="2"/>
      <c r="G31656" s="2"/>
      <c r="H31656" s="2"/>
    </row>
    <row r="31657" spans="1:8" x14ac:dyDescent="0.25">
      <c r="A31657" s="1"/>
      <c r="B31657" s="1" t="s">
        <v>8275</v>
      </c>
      <c r="C31657" s="1" t="s">
        <v>8276</v>
      </c>
      <c r="D31657" s="1" t="str">
        <f>HYPERLINK("https://rhld.insurance.arkansas.gov/NPILookup?Npi=1760521777","1760521777")</f>
        <v>1760521777</v>
      </c>
      <c r="E31657" s="1" t="s">
        <v>3011</v>
      </c>
      <c r="F31657" s="2"/>
      <c r="G31657" s="2"/>
      <c r="H31657" s="2"/>
    </row>
    <row r="31658" spans="1:8" x14ac:dyDescent="0.25">
      <c r="A31658" s="1"/>
      <c r="B31658" s="1" t="s">
        <v>8275</v>
      </c>
      <c r="C31658" s="1" t="s">
        <v>8276</v>
      </c>
      <c r="D31658" s="1" t="str">
        <f>HYPERLINK("https://rhld.insurance.arkansas.gov/NPILookup?Npi=1760572325","1760572325")</f>
        <v>1760572325</v>
      </c>
      <c r="E31658" s="1" t="s">
        <v>29799</v>
      </c>
      <c r="F31658" s="2"/>
      <c r="G31658" s="2"/>
      <c r="H31658" s="2"/>
    </row>
    <row r="31659" spans="1:8" x14ac:dyDescent="0.25">
      <c r="A31659" s="1"/>
      <c r="B31659" s="1" t="s">
        <v>8275</v>
      </c>
      <c r="C31659" s="1" t="s">
        <v>8276</v>
      </c>
      <c r="D31659" s="1" t="str">
        <f>HYPERLINK("https://rhld.insurance.arkansas.gov/NPILookup?Npi=1760699938","1760699938")</f>
        <v>1760699938</v>
      </c>
      <c r="E31659" s="1" t="s">
        <v>28525</v>
      </c>
      <c r="F31659" s="2"/>
      <c r="G31659" s="2"/>
      <c r="H31659" s="2"/>
    </row>
    <row r="31660" spans="1:8" x14ac:dyDescent="0.25">
      <c r="A31660" s="1"/>
      <c r="B31660" s="1" t="s">
        <v>8275</v>
      </c>
      <c r="C31660" s="1" t="s">
        <v>8276</v>
      </c>
      <c r="D31660" s="1" t="str">
        <f>HYPERLINK("https://rhld.insurance.arkansas.gov/NPILookup?Npi=1760742084","1760742084")</f>
        <v>1760742084</v>
      </c>
      <c r="E31660" s="1" t="s">
        <v>8075</v>
      </c>
      <c r="F31660" s="2"/>
      <c r="G31660" s="2"/>
      <c r="H31660" s="2"/>
    </row>
    <row r="31661" spans="1:8" x14ac:dyDescent="0.25">
      <c r="A31661" s="1"/>
      <c r="B31661" s="1" t="s">
        <v>8275</v>
      </c>
      <c r="C31661" s="1" t="s">
        <v>8276</v>
      </c>
      <c r="D31661" s="1" t="str">
        <f>HYPERLINK("https://rhld.insurance.arkansas.gov/NPILookup?Npi=1760764229","1760764229")</f>
        <v>1760764229</v>
      </c>
      <c r="E31661" s="1" t="s">
        <v>29800</v>
      </c>
      <c r="F31661" s="2"/>
      <c r="G31661" s="2"/>
      <c r="H31661" s="2"/>
    </row>
    <row r="31662" spans="1:8" x14ac:dyDescent="0.25">
      <c r="A31662" s="1"/>
      <c r="B31662" s="1" t="s">
        <v>8275</v>
      </c>
      <c r="C31662" s="1" t="s">
        <v>8276</v>
      </c>
      <c r="D31662" s="1" t="str">
        <f>HYPERLINK("https://rhld.insurance.arkansas.gov/NPILookup?Npi=1760830061","1760830061")</f>
        <v>1760830061</v>
      </c>
      <c r="E31662" s="1" t="s">
        <v>8333</v>
      </c>
      <c r="F31662" s="2"/>
      <c r="G31662" s="2"/>
      <c r="H31662" s="2"/>
    </row>
    <row r="31663" spans="1:8" x14ac:dyDescent="0.25">
      <c r="A31663" s="1"/>
      <c r="B31663" s="1" t="s">
        <v>8275</v>
      </c>
      <c r="C31663" s="1" t="s">
        <v>8276</v>
      </c>
      <c r="D31663" s="1" t="str">
        <f>HYPERLINK("https://rhld.insurance.arkansas.gov/NPILookup?Npi=1760842868","1760842868")</f>
        <v>1760842868</v>
      </c>
      <c r="E31663" s="1" t="s">
        <v>32352</v>
      </c>
      <c r="F31663" s="2"/>
      <c r="G31663" s="2"/>
      <c r="H31663" s="2"/>
    </row>
    <row r="31664" spans="1:8" x14ac:dyDescent="0.25">
      <c r="A31664" s="1"/>
      <c r="B31664" s="1" t="s">
        <v>8275</v>
      </c>
      <c r="C31664" s="1" t="s">
        <v>8276</v>
      </c>
      <c r="D31664" s="1" t="str">
        <f>HYPERLINK("https://rhld.insurance.arkansas.gov/NPILookup?Npi=1760892756","1760892756")</f>
        <v>1760892756</v>
      </c>
      <c r="E31664" s="1" t="s">
        <v>28535</v>
      </c>
      <c r="F31664" s="2"/>
      <c r="G31664" s="2"/>
      <c r="H31664" s="2"/>
    </row>
    <row r="31665" spans="1:8" x14ac:dyDescent="0.25">
      <c r="A31665" s="1"/>
      <c r="B31665" s="1" t="s">
        <v>8275</v>
      </c>
      <c r="C31665" s="1" t="s">
        <v>8276</v>
      </c>
      <c r="D31665" s="1" t="str">
        <f>HYPERLINK("https://rhld.insurance.arkansas.gov/NPILookup?Npi=1760914014","1760914014")</f>
        <v>1760914014</v>
      </c>
      <c r="E31665" s="1" t="s">
        <v>10440</v>
      </c>
      <c r="F31665" s="2"/>
      <c r="G31665" s="2"/>
      <c r="H31665" s="2"/>
    </row>
    <row r="31666" spans="1:8" x14ac:dyDescent="0.25">
      <c r="A31666" s="1"/>
      <c r="B31666" s="1" t="s">
        <v>8275</v>
      </c>
      <c r="C31666" s="1" t="s">
        <v>8276</v>
      </c>
      <c r="D31666" s="1" t="str">
        <f>HYPERLINK("https://rhld.insurance.arkansas.gov/NPILookup?Npi=1760957351","1760957351")</f>
        <v>1760957351</v>
      </c>
      <c r="E31666" s="1" t="s">
        <v>13571</v>
      </c>
      <c r="F31666" s="2"/>
      <c r="G31666" s="2"/>
      <c r="H31666" s="2"/>
    </row>
    <row r="31667" spans="1:8" x14ac:dyDescent="0.25">
      <c r="A31667" s="1"/>
      <c r="B31667" s="1" t="s">
        <v>8275</v>
      </c>
      <c r="C31667" s="1" t="s">
        <v>8276</v>
      </c>
      <c r="D31667" s="1" t="str">
        <f>HYPERLINK("https://rhld.insurance.arkansas.gov/NPILookup?Npi=1760964829","1760964829")</f>
        <v>1760964829</v>
      </c>
      <c r="E31667" s="1" t="s">
        <v>32353</v>
      </c>
      <c r="F31667" s="2"/>
      <c r="G31667" s="2"/>
      <c r="H31667" s="2"/>
    </row>
    <row r="31668" spans="1:8" x14ac:dyDescent="0.25">
      <c r="A31668" s="1"/>
      <c r="B31668" s="1" t="s">
        <v>8275</v>
      </c>
      <c r="C31668" s="1" t="s">
        <v>8276</v>
      </c>
      <c r="D31668" s="1" t="str">
        <f>HYPERLINK("https://rhld.insurance.arkansas.gov/NPILookup?Npi=1770013567","1770013567")</f>
        <v>1770013567</v>
      </c>
      <c r="E31668" s="1" t="s">
        <v>5565</v>
      </c>
      <c r="F31668" s="2"/>
      <c r="G31668" s="2"/>
      <c r="H31668" s="2"/>
    </row>
    <row r="31669" spans="1:8" x14ac:dyDescent="0.25">
      <c r="A31669" s="1"/>
      <c r="B31669" s="1" t="s">
        <v>8275</v>
      </c>
      <c r="C31669" s="1" t="s">
        <v>8276</v>
      </c>
      <c r="D31669" s="1" t="str">
        <f>HYPERLINK("https://rhld.insurance.arkansas.gov/NPILookup?Npi=1770040222","1770040222")</f>
        <v>1770040222</v>
      </c>
      <c r="E31669" s="1" t="s">
        <v>28548</v>
      </c>
      <c r="F31669" s="2"/>
      <c r="G31669" s="2"/>
      <c r="H31669" s="2"/>
    </row>
    <row r="31670" spans="1:8" x14ac:dyDescent="0.25">
      <c r="A31670" s="1"/>
      <c r="B31670" s="1" t="s">
        <v>8275</v>
      </c>
      <c r="C31670" s="1" t="s">
        <v>8276</v>
      </c>
      <c r="D31670" s="1" t="str">
        <f>HYPERLINK("https://rhld.insurance.arkansas.gov/NPILookup?Npi=1770048084","1770048084")</f>
        <v>1770048084</v>
      </c>
      <c r="E31670" s="1" t="s">
        <v>28549</v>
      </c>
      <c r="F31670" s="2"/>
      <c r="G31670" s="2"/>
      <c r="H31670" s="2"/>
    </row>
    <row r="31671" spans="1:8" x14ac:dyDescent="0.25">
      <c r="A31671" s="1"/>
      <c r="B31671" s="1" t="s">
        <v>8275</v>
      </c>
      <c r="C31671" s="1" t="s">
        <v>8276</v>
      </c>
      <c r="D31671" s="1" t="str">
        <f>HYPERLINK("https://rhld.insurance.arkansas.gov/NPILookup?Npi=1770065799","1770065799")</f>
        <v>1770065799</v>
      </c>
      <c r="E31671" s="1" t="s">
        <v>8079</v>
      </c>
      <c r="F31671" s="2"/>
      <c r="G31671" s="2"/>
      <c r="H31671" s="2"/>
    </row>
    <row r="31672" spans="1:8" x14ac:dyDescent="0.25">
      <c r="A31672" s="1"/>
      <c r="B31672" s="1" t="s">
        <v>8275</v>
      </c>
      <c r="C31672" s="1" t="s">
        <v>8276</v>
      </c>
      <c r="D31672" s="1" t="str">
        <f>HYPERLINK("https://rhld.insurance.arkansas.gov/NPILookup?Npi=1770072332","1770072332")</f>
        <v>1770072332</v>
      </c>
      <c r="E31672" s="1" t="s">
        <v>8080</v>
      </c>
      <c r="F31672" s="2"/>
      <c r="G31672" s="2"/>
      <c r="H31672" s="2"/>
    </row>
    <row r="31673" spans="1:8" x14ac:dyDescent="0.25">
      <c r="A31673" s="1"/>
      <c r="B31673" s="1" t="s">
        <v>8275</v>
      </c>
      <c r="C31673" s="1" t="s">
        <v>8276</v>
      </c>
      <c r="D31673" s="1" t="str">
        <f>HYPERLINK("https://rhld.insurance.arkansas.gov/NPILookup?Npi=1770089773","1770089773")</f>
        <v>1770089773</v>
      </c>
      <c r="E31673" s="1" t="s">
        <v>17869</v>
      </c>
      <c r="F31673" s="2"/>
      <c r="G31673" s="2"/>
      <c r="H31673" s="2"/>
    </row>
    <row r="31674" spans="1:8" x14ac:dyDescent="0.25">
      <c r="A31674" s="1"/>
      <c r="B31674" s="1" t="s">
        <v>8275</v>
      </c>
      <c r="C31674" s="1" t="s">
        <v>8276</v>
      </c>
      <c r="D31674" s="1" t="str">
        <f>HYPERLINK("https://rhld.insurance.arkansas.gov/NPILookup?Npi=1770102519","1770102519")</f>
        <v>1770102519</v>
      </c>
      <c r="E31674" s="1" t="s">
        <v>13938</v>
      </c>
      <c r="F31674" s="2"/>
      <c r="G31674" s="2"/>
      <c r="H31674" s="2"/>
    </row>
    <row r="31675" spans="1:8" x14ac:dyDescent="0.25">
      <c r="A31675" s="1"/>
      <c r="B31675" s="1" t="s">
        <v>8275</v>
      </c>
      <c r="C31675" s="1" t="s">
        <v>8276</v>
      </c>
      <c r="D31675" s="1" t="str">
        <f>HYPERLINK("https://rhld.insurance.arkansas.gov/NPILookup?Npi=1770136202","1770136202")</f>
        <v>1770136202</v>
      </c>
      <c r="E31675" s="1" t="s">
        <v>32354</v>
      </c>
      <c r="F31675" s="2"/>
      <c r="G31675" s="2"/>
      <c r="H31675" s="2"/>
    </row>
    <row r="31676" spans="1:8" x14ac:dyDescent="0.25">
      <c r="A31676" s="1"/>
      <c r="B31676" s="1" t="s">
        <v>8275</v>
      </c>
      <c r="C31676" s="1" t="s">
        <v>8276</v>
      </c>
      <c r="D31676" s="1" t="str">
        <f>HYPERLINK("https://rhld.insurance.arkansas.gov/NPILookup?Npi=1770153538","1770153538")</f>
        <v>1770153538</v>
      </c>
      <c r="E31676" s="1" t="s">
        <v>32355</v>
      </c>
      <c r="F31676" s="2"/>
      <c r="G31676" s="2"/>
      <c r="H31676" s="2"/>
    </row>
    <row r="31677" spans="1:8" x14ac:dyDescent="0.25">
      <c r="A31677" s="1"/>
      <c r="B31677" s="1" t="s">
        <v>8275</v>
      </c>
      <c r="C31677" s="1" t="s">
        <v>8276</v>
      </c>
      <c r="D31677" s="1" t="str">
        <f>HYPERLINK("https://rhld.insurance.arkansas.gov/NPILookup?Npi=1770162703","1770162703")</f>
        <v>1770162703</v>
      </c>
      <c r="E31677" s="1" t="s">
        <v>32474</v>
      </c>
      <c r="F31677" s="2"/>
      <c r="G31677" s="2"/>
      <c r="H31677" s="2"/>
    </row>
    <row r="31678" spans="1:8" x14ac:dyDescent="0.25">
      <c r="A31678" s="1"/>
      <c r="B31678" s="1" t="s">
        <v>8275</v>
      </c>
      <c r="C31678" s="1" t="s">
        <v>8276</v>
      </c>
      <c r="D31678" s="1" t="str">
        <f>HYPERLINK("https://rhld.insurance.arkansas.gov/NPILookup?Npi=1770165706","1770165706")</f>
        <v>1770165706</v>
      </c>
      <c r="E31678" s="1" t="s">
        <v>32356</v>
      </c>
      <c r="F31678" s="2"/>
      <c r="G31678" s="2"/>
      <c r="H31678" s="2"/>
    </row>
    <row r="31679" spans="1:8" x14ac:dyDescent="0.25">
      <c r="A31679" s="1"/>
      <c r="B31679" s="1" t="s">
        <v>8275</v>
      </c>
      <c r="C31679" s="1" t="s">
        <v>8276</v>
      </c>
      <c r="D31679" s="1" t="str">
        <f>HYPERLINK("https://rhld.insurance.arkansas.gov/NPILookup?Npi=1770185068","1770185068")</f>
        <v>1770185068</v>
      </c>
      <c r="E31679" s="1" t="s">
        <v>32357</v>
      </c>
      <c r="F31679" s="2"/>
      <c r="G31679" s="2"/>
      <c r="H31679" s="2"/>
    </row>
    <row r="31680" spans="1:8" x14ac:dyDescent="0.25">
      <c r="A31680" s="1"/>
      <c r="B31680" s="1" t="s">
        <v>8275</v>
      </c>
      <c r="C31680" s="1" t="s">
        <v>8276</v>
      </c>
      <c r="D31680" s="1" t="str">
        <f>HYPERLINK("https://rhld.insurance.arkansas.gov/NPILookup?Npi=1770228330","1770228330")</f>
        <v>1770228330</v>
      </c>
      <c r="E31680" s="1" t="s">
        <v>32358</v>
      </c>
      <c r="F31680" s="2"/>
      <c r="G31680" s="2"/>
      <c r="H31680" s="2"/>
    </row>
    <row r="31681" spans="1:8" x14ac:dyDescent="0.25">
      <c r="A31681" s="1"/>
      <c r="B31681" s="1" t="s">
        <v>8275</v>
      </c>
      <c r="C31681" s="1" t="s">
        <v>8276</v>
      </c>
      <c r="D31681" s="1" t="str">
        <f>HYPERLINK("https://rhld.insurance.arkansas.gov/NPILookup?Npi=1770358780","1770358780")</f>
        <v>1770358780</v>
      </c>
      <c r="E31681" s="1" t="s">
        <v>8086</v>
      </c>
      <c r="F31681" s="2"/>
      <c r="G31681" s="2"/>
      <c r="H31681" s="2"/>
    </row>
    <row r="31682" spans="1:8" x14ac:dyDescent="0.25">
      <c r="A31682" s="1"/>
      <c r="B31682" s="1" t="s">
        <v>8275</v>
      </c>
      <c r="C31682" s="1" t="s">
        <v>8276</v>
      </c>
      <c r="D31682" s="1" t="str">
        <f>HYPERLINK("https://rhld.insurance.arkansas.gov/NPILookup?Npi=1770534521","1770534521")</f>
        <v>1770534521</v>
      </c>
      <c r="E31682" s="1" t="s">
        <v>3159</v>
      </c>
      <c r="F31682" s="2"/>
      <c r="G31682" s="2"/>
      <c r="H31682" s="2"/>
    </row>
    <row r="31683" spans="1:8" x14ac:dyDescent="0.25">
      <c r="A31683" s="1"/>
      <c r="B31683" s="1" t="s">
        <v>8275</v>
      </c>
      <c r="C31683" s="1" t="s">
        <v>8276</v>
      </c>
      <c r="D31683" s="1" t="str">
        <f>HYPERLINK("https://rhld.insurance.arkansas.gov/NPILookup?Npi=1770661704","1770661704")</f>
        <v>1770661704</v>
      </c>
      <c r="E31683" s="1" t="s">
        <v>13584</v>
      </c>
      <c r="F31683" s="2"/>
      <c r="G31683" s="2"/>
      <c r="H31683" s="2"/>
    </row>
    <row r="31684" spans="1:8" x14ac:dyDescent="0.25">
      <c r="A31684" s="1"/>
      <c r="B31684" s="1" t="s">
        <v>8275</v>
      </c>
      <c r="C31684" s="1" t="s">
        <v>8276</v>
      </c>
      <c r="D31684" s="1" t="str">
        <f>HYPERLINK("https://rhld.insurance.arkansas.gov/NPILookup?Npi=1770683989","1770683989")</f>
        <v>1770683989</v>
      </c>
      <c r="E31684" s="1" t="s">
        <v>29801</v>
      </c>
      <c r="F31684" s="2"/>
      <c r="G31684" s="2"/>
      <c r="H31684" s="2"/>
    </row>
    <row r="31685" spans="1:8" x14ac:dyDescent="0.25">
      <c r="A31685" s="1"/>
      <c r="B31685" s="1" t="s">
        <v>8275</v>
      </c>
      <c r="C31685" s="1" t="s">
        <v>8276</v>
      </c>
      <c r="D31685" s="1" t="str">
        <f>HYPERLINK("https://rhld.insurance.arkansas.gov/NPILookup?Npi=1770780280","1770780280")</f>
        <v>1770780280</v>
      </c>
      <c r="E31685" s="1" t="s">
        <v>32475</v>
      </c>
      <c r="F31685" s="2"/>
      <c r="G31685" s="2"/>
      <c r="H31685" s="2"/>
    </row>
    <row r="31686" spans="1:8" x14ac:dyDescent="0.25">
      <c r="A31686" s="1"/>
      <c r="B31686" s="1" t="s">
        <v>8275</v>
      </c>
      <c r="C31686" s="1" t="s">
        <v>8276</v>
      </c>
      <c r="D31686" s="1" t="str">
        <f>HYPERLINK("https://rhld.insurance.arkansas.gov/NPILookup?Npi=1770903882","1770903882")</f>
        <v>1770903882</v>
      </c>
      <c r="E31686" s="1" t="s">
        <v>17873</v>
      </c>
      <c r="F31686" s="2"/>
      <c r="G31686" s="2"/>
      <c r="H31686" s="2"/>
    </row>
    <row r="31687" spans="1:8" x14ac:dyDescent="0.25">
      <c r="A31687" s="1"/>
      <c r="B31687" s="1" t="s">
        <v>8275</v>
      </c>
      <c r="C31687" s="1" t="s">
        <v>8276</v>
      </c>
      <c r="D31687" s="1" t="str">
        <f>HYPERLINK("https://rhld.insurance.arkansas.gov/NPILookup?Npi=1770908998","1770908998")</f>
        <v>1770908998</v>
      </c>
      <c r="E31687" s="1" t="s">
        <v>28580</v>
      </c>
      <c r="F31687" s="2"/>
      <c r="G31687" s="2"/>
      <c r="H31687" s="2"/>
    </row>
    <row r="31688" spans="1:8" x14ac:dyDescent="0.25">
      <c r="A31688" s="1"/>
      <c r="B31688" s="1" t="s">
        <v>8275</v>
      </c>
      <c r="C31688" s="1" t="s">
        <v>8276</v>
      </c>
      <c r="D31688" s="1" t="str">
        <f>HYPERLINK("https://rhld.insurance.arkansas.gov/NPILookup?Npi=1770941171","1770941171")</f>
        <v>1770941171</v>
      </c>
      <c r="E31688" s="1" t="s">
        <v>32359</v>
      </c>
      <c r="F31688" s="2"/>
      <c r="G31688" s="2"/>
      <c r="H31688" s="2"/>
    </row>
    <row r="31689" spans="1:8" x14ac:dyDescent="0.25">
      <c r="A31689" s="1"/>
      <c r="B31689" s="1" t="s">
        <v>8275</v>
      </c>
      <c r="C31689" s="1" t="s">
        <v>8276</v>
      </c>
      <c r="D31689" s="1" t="str">
        <f>HYPERLINK("https://rhld.insurance.arkansas.gov/NPILookup?Npi=1780027144","1780027144")</f>
        <v>1780027144</v>
      </c>
      <c r="E31689" s="1" t="s">
        <v>28588</v>
      </c>
      <c r="F31689" s="2"/>
      <c r="G31689" s="2"/>
      <c r="H31689" s="2"/>
    </row>
    <row r="31690" spans="1:8" x14ac:dyDescent="0.25">
      <c r="A31690" s="1"/>
      <c r="B31690" s="1" t="s">
        <v>8275</v>
      </c>
      <c r="C31690" s="1" t="s">
        <v>8276</v>
      </c>
      <c r="D31690" s="1" t="str">
        <f>HYPERLINK("https://rhld.insurance.arkansas.gov/NPILookup?Npi=1780075473","1780075473")</f>
        <v>1780075473</v>
      </c>
      <c r="E31690" s="1" t="s">
        <v>28593</v>
      </c>
      <c r="F31690" s="2"/>
      <c r="G31690" s="2"/>
      <c r="H31690" s="2"/>
    </row>
    <row r="31691" spans="1:8" x14ac:dyDescent="0.25">
      <c r="A31691" s="1"/>
      <c r="B31691" s="1" t="s">
        <v>8275</v>
      </c>
      <c r="C31691" s="1" t="s">
        <v>8276</v>
      </c>
      <c r="D31691" s="1" t="str">
        <f>HYPERLINK("https://rhld.insurance.arkansas.gov/NPILookup?Npi=1780079780","1780079780")</f>
        <v>1780079780</v>
      </c>
      <c r="E31691" s="1" t="s">
        <v>17878</v>
      </c>
      <c r="F31691" s="2"/>
      <c r="G31691" s="2"/>
      <c r="H31691" s="2"/>
    </row>
    <row r="31692" spans="1:8" x14ac:dyDescent="0.25">
      <c r="A31692" s="1"/>
      <c r="B31692" s="1" t="s">
        <v>8275</v>
      </c>
      <c r="C31692" s="1" t="s">
        <v>8276</v>
      </c>
      <c r="D31692" s="1" t="str">
        <f>HYPERLINK("https://rhld.insurance.arkansas.gov/NPILookup?Npi=1780099598","1780099598")</f>
        <v>1780099598</v>
      </c>
      <c r="E31692" s="1" t="s">
        <v>32360</v>
      </c>
      <c r="F31692" s="2"/>
      <c r="G31692" s="2"/>
      <c r="H31692" s="2"/>
    </row>
    <row r="31693" spans="1:8" x14ac:dyDescent="0.25">
      <c r="A31693" s="1"/>
      <c r="B31693" s="1" t="s">
        <v>8275</v>
      </c>
      <c r="C31693" s="1" t="s">
        <v>8276</v>
      </c>
      <c r="D31693" s="1" t="str">
        <f>HYPERLINK("https://rhld.insurance.arkansas.gov/NPILookup?Npi=1780107219","1780107219")</f>
        <v>1780107219</v>
      </c>
      <c r="E31693" s="1" t="s">
        <v>32361</v>
      </c>
      <c r="F31693" s="2"/>
      <c r="G31693" s="2"/>
      <c r="H31693" s="2"/>
    </row>
    <row r="31694" spans="1:8" x14ac:dyDescent="0.25">
      <c r="A31694" s="1"/>
      <c r="B31694" s="1" t="s">
        <v>8275</v>
      </c>
      <c r="C31694" s="1" t="s">
        <v>8276</v>
      </c>
      <c r="D31694" s="1" t="str">
        <f>HYPERLINK("https://rhld.insurance.arkansas.gov/NPILookup?Npi=1780137349","1780137349")</f>
        <v>1780137349</v>
      </c>
      <c r="E31694" s="1" t="s">
        <v>28597</v>
      </c>
      <c r="F31694" s="2"/>
      <c r="G31694" s="2"/>
      <c r="H31694" s="2"/>
    </row>
    <row r="31695" spans="1:8" x14ac:dyDescent="0.25">
      <c r="A31695" s="1"/>
      <c r="B31695" s="1" t="s">
        <v>8275</v>
      </c>
      <c r="C31695" s="1" t="s">
        <v>8276</v>
      </c>
      <c r="D31695" s="1" t="str">
        <f>HYPERLINK("https://rhld.insurance.arkansas.gov/NPILookup?Npi=1780160085","1780160085")</f>
        <v>1780160085</v>
      </c>
      <c r="E31695" s="1" t="s">
        <v>13596</v>
      </c>
      <c r="F31695" s="2"/>
      <c r="G31695" s="2"/>
      <c r="H31695" s="2"/>
    </row>
    <row r="31696" spans="1:8" x14ac:dyDescent="0.25">
      <c r="A31696" s="1"/>
      <c r="B31696" s="1" t="s">
        <v>8275</v>
      </c>
      <c r="C31696" s="1" t="s">
        <v>8276</v>
      </c>
      <c r="D31696" s="1" t="str">
        <f>HYPERLINK("https://rhld.insurance.arkansas.gov/NPILookup?Npi=1780169441","1780169441")</f>
        <v>1780169441</v>
      </c>
      <c r="E31696" s="1" t="s">
        <v>32476</v>
      </c>
      <c r="F31696" s="2"/>
      <c r="G31696" s="2"/>
      <c r="H31696" s="2"/>
    </row>
    <row r="31697" spans="1:8" x14ac:dyDescent="0.25">
      <c r="A31697" s="1"/>
      <c r="B31697" s="1" t="s">
        <v>8275</v>
      </c>
      <c r="C31697" s="1" t="s">
        <v>8276</v>
      </c>
      <c r="D31697" s="1" t="str">
        <f>HYPERLINK("https://rhld.insurance.arkansas.gov/NPILookup?Npi=1780244517","1780244517")</f>
        <v>1780244517</v>
      </c>
      <c r="E31697" s="1" t="s">
        <v>28603</v>
      </c>
      <c r="F31697" s="2"/>
      <c r="G31697" s="2"/>
      <c r="H31697" s="2"/>
    </row>
    <row r="31698" spans="1:8" x14ac:dyDescent="0.25">
      <c r="A31698" s="1"/>
      <c r="B31698" s="1" t="s">
        <v>8275</v>
      </c>
      <c r="C31698" s="1" t="s">
        <v>8276</v>
      </c>
      <c r="D31698" s="1" t="str">
        <f>HYPERLINK("https://rhld.insurance.arkansas.gov/NPILookup?Npi=1780295048","1780295048")</f>
        <v>1780295048</v>
      </c>
      <c r="E31698" s="1" t="s">
        <v>28608</v>
      </c>
      <c r="F31698" s="2"/>
      <c r="G31698" s="2"/>
      <c r="H31698" s="2"/>
    </row>
    <row r="31699" spans="1:8" x14ac:dyDescent="0.25">
      <c r="A31699" s="1"/>
      <c r="B31699" s="1" t="s">
        <v>8275</v>
      </c>
      <c r="C31699" s="1" t="s">
        <v>8276</v>
      </c>
      <c r="D31699" s="1" t="str">
        <f>HYPERLINK("https://rhld.insurance.arkansas.gov/NPILookup?Npi=1780302935","1780302935")</f>
        <v>1780302935</v>
      </c>
      <c r="E31699" s="1" t="s">
        <v>8092</v>
      </c>
      <c r="F31699" s="2"/>
      <c r="G31699" s="2"/>
      <c r="H31699" s="2"/>
    </row>
    <row r="31700" spans="1:8" x14ac:dyDescent="0.25">
      <c r="A31700" s="1"/>
      <c r="B31700" s="1" t="s">
        <v>8275</v>
      </c>
      <c r="C31700" s="1" t="s">
        <v>8276</v>
      </c>
      <c r="D31700" s="1" t="str">
        <f>HYPERLINK("https://rhld.insurance.arkansas.gov/NPILookup?Npi=1780486530","1780486530")</f>
        <v>1780486530</v>
      </c>
      <c r="E31700" s="1" t="s">
        <v>32362</v>
      </c>
      <c r="F31700" s="2"/>
      <c r="G31700" s="2"/>
      <c r="H31700" s="2"/>
    </row>
    <row r="31701" spans="1:8" x14ac:dyDescent="0.25">
      <c r="A31701" s="1"/>
      <c r="B31701" s="1" t="s">
        <v>8275</v>
      </c>
      <c r="C31701" s="1" t="s">
        <v>8276</v>
      </c>
      <c r="D31701" s="1" t="str">
        <f>HYPERLINK("https://rhld.insurance.arkansas.gov/NPILookup?Npi=1780603076","1780603076")</f>
        <v>1780603076</v>
      </c>
      <c r="E31701" s="1" t="s">
        <v>29802</v>
      </c>
      <c r="F31701" s="2"/>
      <c r="G31701" s="2"/>
      <c r="H31701" s="2"/>
    </row>
    <row r="31702" spans="1:8" x14ac:dyDescent="0.25">
      <c r="A31702" s="1"/>
      <c r="B31702" s="1" t="s">
        <v>8275</v>
      </c>
      <c r="C31702" s="1" t="s">
        <v>8276</v>
      </c>
      <c r="D31702" s="1" t="str">
        <f>HYPERLINK("https://rhld.insurance.arkansas.gov/NPILookup?Npi=1780604066","1780604066")</f>
        <v>1780604066</v>
      </c>
      <c r="E31702" s="1" t="s">
        <v>13600</v>
      </c>
      <c r="F31702" s="2"/>
      <c r="G31702" s="2"/>
      <c r="H31702" s="2"/>
    </row>
    <row r="31703" spans="1:8" x14ac:dyDescent="0.25">
      <c r="A31703" s="1"/>
      <c r="B31703" s="1" t="s">
        <v>8275</v>
      </c>
      <c r="C31703" s="1" t="s">
        <v>8276</v>
      </c>
      <c r="D31703" s="1" t="str">
        <f>HYPERLINK("https://rhld.insurance.arkansas.gov/NPILookup?Npi=1780631168","1780631168")</f>
        <v>1780631168</v>
      </c>
      <c r="E31703" s="1" t="s">
        <v>28616</v>
      </c>
      <c r="F31703" s="2"/>
      <c r="G31703" s="2"/>
      <c r="H31703" s="2"/>
    </row>
    <row r="31704" spans="1:8" x14ac:dyDescent="0.25">
      <c r="A31704" s="1"/>
      <c r="B31704" s="1" t="s">
        <v>8275</v>
      </c>
      <c r="C31704" s="1" t="s">
        <v>8276</v>
      </c>
      <c r="D31704" s="1" t="str">
        <f>HYPERLINK("https://rhld.insurance.arkansas.gov/NPILookup?Npi=1780651505","1780651505")</f>
        <v>1780651505</v>
      </c>
      <c r="E31704" s="1" t="s">
        <v>13603</v>
      </c>
      <c r="F31704" s="2"/>
      <c r="G31704" s="2"/>
      <c r="H31704" s="2"/>
    </row>
    <row r="31705" spans="1:8" x14ac:dyDescent="0.25">
      <c r="A31705" s="1"/>
      <c r="B31705" s="1" t="s">
        <v>8275</v>
      </c>
      <c r="C31705" s="1" t="s">
        <v>8276</v>
      </c>
      <c r="D31705" s="1" t="str">
        <f>HYPERLINK("https://rhld.insurance.arkansas.gov/NPILookup?Npi=1780670604","1780670604")</f>
        <v>1780670604</v>
      </c>
      <c r="E31705" s="1" t="s">
        <v>13605</v>
      </c>
      <c r="F31705" s="2"/>
      <c r="G31705" s="2"/>
      <c r="H31705" s="2"/>
    </row>
    <row r="31706" spans="1:8" x14ac:dyDescent="0.25">
      <c r="A31706" s="1"/>
      <c r="B31706" s="1" t="s">
        <v>8275</v>
      </c>
      <c r="C31706" s="1" t="s">
        <v>8276</v>
      </c>
      <c r="D31706" s="1" t="str">
        <f>HYPERLINK("https://rhld.insurance.arkansas.gov/NPILookup?Npi=1780674143","1780674143")</f>
        <v>1780674143</v>
      </c>
      <c r="E31706" s="1" t="s">
        <v>13939</v>
      </c>
      <c r="F31706" s="2"/>
      <c r="G31706" s="2"/>
      <c r="H31706" s="2"/>
    </row>
    <row r="31707" spans="1:8" x14ac:dyDescent="0.25">
      <c r="A31707" s="1"/>
      <c r="B31707" s="1" t="s">
        <v>8275</v>
      </c>
      <c r="C31707" s="1" t="s">
        <v>8276</v>
      </c>
      <c r="D31707" s="1" t="str">
        <f>HYPERLINK("https://rhld.insurance.arkansas.gov/NPILookup?Npi=1780677666","1780677666")</f>
        <v>1780677666</v>
      </c>
      <c r="E31707" s="1" t="s">
        <v>28619</v>
      </c>
      <c r="F31707" s="2"/>
      <c r="G31707" s="2"/>
      <c r="H31707" s="2"/>
    </row>
    <row r="31708" spans="1:8" x14ac:dyDescent="0.25">
      <c r="A31708" s="1"/>
      <c r="B31708" s="1" t="s">
        <v>8275</v>
      </c>
      <c r="C31708" s="1" t="s">
        <v>8276</v>
      </c>
      <c r="D31708" s="1" t="str">
        <f>HYPERLINK("https://rhld.insurance.arkansas.gov/NPILookup?Npi=1780680538","1780680538")</f>
        <v>1780680538</v>
      </c>
      <c r="E31708" s="1" t="s">
        <v>3022</v>
      </c>
      <c r="F31708" s="2"/>
      <c r="G31708" s="2"/>
      <c r="H31708" s="2"/>
    </row>
    <row r="31709" spans="1:8" x14ac:dyDescent="0.25">
      <c r="A31709" s="1"/>
      <c r="B31709" s="1" t="s">
        <v>8275</v>
      </c>
      <c r="C31709" s="1" t="s">
        <v>8276</v>
      </c>
      <c r="D31709" s="1" t="str">
        <f>HYPERLINK("https://rhld.insurance.arkansas.gov/NPILookup?Npi=1780774349","1780774349")</f>
        <v>1780774349</v>
      </c>
      <c r="E31709" s="1" t="s">
        <v>300</v>
      </c>
      <c r="F31709" s="2"/>
      <c r="G31709" s="2"/>
      <c r="H31709" s="2"/>
    </row>
    <row r="31710" spans="1:8" x14ac:dyDescent="0.25">
      <c r="A31710" s="1"/>
      <c r="B31710" s="1" t="s">
        <v>8275</v>
      </c>
      <c r="C31710" s="1" t="s">
        <v>8276</v>
      </c>
      <c r="D31710" s="1" t="str">
        <f>HYPERLINK("https://rhld.insurance.arkansas.gov/NPILookup?Npi=1780779579","1780779579")</f>
        <v>1780779579</v>
      </c>
      <c r="E31710" s="1" t="s">
        <v>8334</v>
      </c>
      <c r="F31710" s="2"/>
      <c r="G31710" s="2"/>
      <c r="H31710" s="2"/>
    </row>
    <row r="31711" spans="1:8" x14ac:dyDescent="0.25">
      <c r="A31711" s="1"/>
      <c r="B31711" s="1" t="s">
        <v>8275</v>
      </c>
      <c r="C31711" s="1" t="s">
        <v>8276</v>
      </c>
      <c r="D31711" s="1" t="str">
        <f>HYPERLINK("https://rhld.insurance.arkansas.gov/NPILookup?Npi=1780815985","1780815985")</f>
        <v>1780815985</v>
      </c>
      <c r="E31711" s="1" t="s">
        <v>13607</v>
      </c>
      <c r="F31711" s="2"/>
      <c r="G31711" s="2"/>
      <c r="H31711" s="2"/>
    </row>
    <row r="31712" spans="1:8" x14ac:dyDescent="0.25">
      <c r="A31712" s="1"/>
      <c r="B31712" s="1" t="s">
        <v>8275</v>
      </c>
      <c r="C31712" s="1" t="s">
        <v>8276</v>
      </c>
      <c r="D31712" s="1" t="str">
        <f>HYPERLINK("https://rhld.insurance.arkansas.gov/NPILookup?Npi=1780833707","1780833707")</f>
        <v>1780833707</v>
      </c>
      <c r="E31712" s="1" t="s">
        <v>13608</v>
      </c>
      <c r="F31712" s="2"/>
      <c r="G31712" s="2"/>
      <c r="H31712" s="2"/>
    </row>
    <row r="31713" spans="1:8" x14ac:dyDescent="0.25">
      <c r="A31713" s="1"/>
      <c r="B31713" s="1" t="s">
        <v>8275</v>
      </c>
      <c r="C31713" s="1" t="s">
        <v>8276</v>
      </c>
      <c r="D31713" s="1" t="str">
        <f>HYPERLINK("https://rhld.insurance.arkansas.gov/NPILookup?Npi=1780917443","1780917443")</f>
        <v>1780917443</v>
      </c>
      <c r="E31713" s="1" t="s">
        <v>13610</v>
      </c>
      <c r="F31713" s="2"/>
      <c r="G31713" s="2"/>
      <c r="H31713" s="2"/>
    </row>
    <row r="31714" spans="1:8" x14ac:dyDescent="0.25">
      <c r="A31714" s="1"/>
      <c r="B31714" s="1" t="s">
        <v>8275</v>
      </c>
      <c r="C31714" s="1" t="s">
        <v>8276</v>
      </c>
      <c r="D31714" s="1" t="str">
        <f>HYPERLINK("https://rhld.insurance.arkansas.gov/NPILookup?Npi=1780927855","1780927855")</f>
        <v>1780927855</v>
      </c>
      <c r="E31714" s="1" t="s">
        <v>5567</v>
      </c>
      <c r="F31714" s="2"/>
      <c r="G31714" s="2"/>
      <c r="H31714" s="2"/>
    </row>
    <row r="31715" spans="1:8" x14ac:dyDescent="0.25">
      <c r="A31715" s="1"/>
      <c r="B31715" s="1" t="s">
        <v>8275</v>
      </c>
      <c r="C31715" s="1" t="s">
        <v>8276</v>
      </c>
      <c r="D31715" s="1" t="str">
        <f>HYPERLINK("https://rhld.insurance.arkansas.gov/NPILookup?Npi=1790058709","1790058709")</f>
        <v>1790058709</v>
      </c>
      <c r="E31715" s="1" t="s">
        <v>1813</v>
      </c>
      <c r="F31715" s="2"/>
      <c r="G31715" s="2"/>
      <c r="H31715" s="2"/>
    </row>
    <row r="31716" spans="1:8" x14ac:dyDescent="0.25">
      <c r="A31716" s="1"/>
      <c r="B31716" s="1" t="s">
        <v>8275</v>
      </c>
      <c r="C31716" s="1" t="s">
        <v>8276</v>
      </c>
      <c r="D31716" s="1" t="str">
        <f>HYPERLINK("https://rhld.insurance.arkansas.gov/NPILookup?Npi=1790506780","1790506780")</f>
        <v>1790506780</v>
      </c>
      <c r="E31716" s="1" t="s">
        <v>32364</v>
      </c>
      <c r="F31716" s="2"/>
      <c r="G31716" s="2"/>
      <c r="H31716" s="2"/>
    </row>
    <row r="31717" spans="1:8" x14ac:dyDescent="0.25">
      <c r="A31717" s="1"/>
      <c r="B31717" s="1" t="s">
        <v>8275</v>
      </c>
      <c r="C31717" s="1" t="s">
        <v>8276</v>
      </c>
      <c r="D31717" s="1" t="str">
        <f>HYPERLINK("https://rhld.insurance.arkansas.gov/NPILookup?Npi=1790701555","1790701555")</f>
        <v>1790701555</v>
      </c>
      <c r="E31717" s="1" t="s">
        <v>29803</v>
      </c>
      <c r="F31717" s="2"/>
      <c r="G31717" s="2"/>
      <c r="H31717" s="2"/>
    </row>
    <row r="31718" spans="1:8" x14ac:dyDescent="0.25">
      <c r="A31718" s="1"/>
      <c r="B31718" s="1" t="s">
        <v>8275</v>
      </c>
      <c r="C31718" s="1" t="s">
        <v>8276</v>
      </c>
      <c r="D31718" s="1" t="str">
        <f>HYPERLINK("https://rhld.insurance.arkansas.gov/NPILookup?Npi=1790735124","1790735124")</f>
        <v>1790735124</v>
      </c>
      <c r="E31718" s="1" t="s">
        <v>2441</v>
      </c>
      <c r="F31718" s="2"/>
      <c r="G31718" s="2"/>
      <c r="H31718" s="2"/>
    </row>
    <row r="31719" spans="1:8" x14ac:dyDescent="0.25">
      <c r="A31719" s="1"/>
      <c r="B31719" s="1" t="s">
        <v>8275</v>
      </c>
      <c r="C31719" s="1" t="s">
        <v>8276</v>
      </c>
      <c r="D31719" s="1" t="str">
        <f>HYPERLINK("https://rhld.insurance.arkansas.gov/NPILookup?Npi=1790753929","1790753929")</f>
        <v>1790753929</v>
      </c>
      <c r="E31719" s="1" t="s">
        <v>28668</v>
      </c>
      <c r="F31719" s="2"/>
      <c r="G31719" s="2"/>
      <c r="H31719" s="2"/>
    </row>
    <row r="31720" spans="1:8" x14ac:dyDescent="0.25">
      <c r="A31720" s="1"/>
      <c r="B31720" s="1" t="s">
        <v>8275</v>
      </c>
      <c r="C31720" s="1" t="s">
        <v>8276</v>
      </c>
      <c r="D31720" s="1" t="str">
        <f>HYPERLINK("https://rhld.insurance.arkansas.gov/NPILookup?Npi=1790886356","1790886356")</f>
        <v>1790886356</v>
      </c>
      <c r="E31720" s="1" t="s">
        <v>10903</v>
      </c>
      <c r="F31720" s="2"/>
      <c r="G31720" s="2"/>
      <c r="H31720" s="2"/>
    </row>
    <row r="31721" spans="1:8" x14ac:dyDescent="0.25">
      <c r="A31721" s="1"/>
      <c r="B31721" s="1" t="s">
        <v>8275</v>
      </c>
      <c r="C31721" s="1" t="s">
        <v>8276</v>
      </c>
      <c r="D31721" s="1" t="str">
        <f>HYPERLINK("https://rhld.insurance.arkansas.gov/NPILookup?Npi=1790893741","1790893741")</f>
        <v>1790893741</v>
      </c>
      <c r="E31721" s="1" t="s">
        <v>8335</v>
      </c>
      <c r="F31721" s="2"/>
      <c r="G31721" s="2"/>
      <c r="H31721" s="2"/>
    </row>
    <row r="31722" spans="1:8" x14ac:dyDescent="0.25">
      <c r="A31722" s="1"/>
      <c r="B31722" s="1" t="s">
        <v>8275</v>
      </c>
      <c r="C31722" s="1" t="s">
        <v>8276</v>
      </c>
      <c r="D31722" s="1" t="str">
        <f>HYPERLINK("https://rhld.insurance.arkansas.gov/NPILookup?Npi=1790904035","1790904035")</f>
        <v>1790904035</v>
      </c>
      <c r="E31722" s="1" t="s">
        <v>29804</v>
      </c>
      <c r="F31722" s="2"/>
      <c r="G31722" s="2"/>
      <c r="H31722" s="2"/>
    </row>
    <row r="31723" spans="1:8" x14ac:dyDescent="0.25">
      <c r="A31723" s="1"/>
      <c r="B31723" s="1" t="s">
        <v>8275</v>
      </c>
      <c r="C31723" s="1" t="s">
        <v>8276</v>
      </c>
      <c r="D31723" s="1" t="str">
        <f>HYPERLINK("https://rhld.insurance.arkansas.gov/NPILookup?Npi=1801010061","1801010061")</f>
        <v>1801010061</v>
      </c>
      <c r="E31723" s="1" t="s">
        <v>29805</v>
      </c>
      <c r="F31723" s="2"/>
      <c r="G31723" s="2"/>
      <c r="H31723" s="2"/>
    </row>
    <row r="31724" spans="1:8" x14ac:dyDescent="0.25">
      <c r="A31724" s="1"/>
      <c r="B31724" s="1" t="s">
        <v>8275</v>
      </c>
      <c r="C31724" s="1" t="s">
        <v>8276</v>
      </c>
      <c r="D31724" s="1" t="str">
        <f>HYPERLINK("https://rhld.insurance.arkansas.gov/NPILookup?Npi=1801073531","1801073531")</f>
        <v>1801073531</v>
      </c>
      <c r="E31724" s="1" t="s">
        <v>891</v>
      </c>
      <c r="F31724" s="2"/>
      <c r="G31724" s="2"/>
      <c r="H31724" s="2"/>
    </row>
    <row r="31725" spans="1:8" x14ac:dyDescent="0.25">
      <c r="A31725" s="1"/>
      <c r="B31725" s="1" t="s">
        <v>8275</v>
      </c>
      <c r="C31725" s="1" t="s">
        <v>8276</v>
      </c>
      <c r="D31725" s="1" t="str">
        <f>HYPERLINK("https://rhld.insurance.arkansas.gov/NPILookup?Npi=1801110549","1801110549")</f>
        <v>1801110549</v>
      </c>
      <c r="E31725" s="1" t="s">
        <v>13940</v>
      </c>
      <c r="F31725" s="2"/>
      <c r="G31725" s="2"/>
      <c r="H31725" s="2"/>
    </row>
    <row r="31726" spans="1:8" x14ac:dyDescent="0.25">
      <c r="A31726" s="1"/>
      <c r="B31726" s="1" t="s">
        <v>8275</v>
      </c>
      <c r="C31726" s="1" t="s">
        <v>8276</v>
      </c>
      <c r="D31726" s="1" t="str">
        <f>HYPERLINK("https://rhld.insurance.arkansas.gov/NPILookup?Npi=1801153358","1801153358")</f>
        <v>1801153358</v>
      </c>
      <c r="E31726" s="1" t="s">
        <v>29806</v>
      </c>
      <c r="F31726" s="2"/>
      <c r="G31726" s="2"/>
      <c r="H31726" s="2"/>
    </row>
    <row r="31727" spans="1:8" x14ac:dyDescent="0.25">
      <c r="A31727" s="1"/>
      <c r="B31727" s="1" t="s">
        <v>8275</v>
      </c>
      <c r="C31727" s="1" t="s">
        <v>8276</v>
      </c>
      <c r="D31727" s="1" t="str">
        <f>HYPERLINK("https://rhld.insurance.arkansas.gov/NPILookup?Npi=1801277959","1801277959")</f>
        <v>1801277959</v>
      </c>
      <c r="E31727" s="1" t="s">
        <v>28694</v>
      </c>
      <c r="F31727" s="2"/>
      <c r="G31727" s="2"/>
      <c r="H31727" s="2"/>
    </row>
    <row r="31728" spans="1:8" x14ac:dyDescent="0.25">
      <c r="A31728" s="1"/>
      <c r="B31728" s="1" t="s">
        <v>8275</v>
      </c>
      <c r="C31728" s="1" t="s">
        <v>8276</v>
      </c>
      <c r="D31728" s="1" t="str">
        <f>HYPERLINK("https://rhld.insurance.arkansas.gov/NPILookup?Npi=1801381579","1801381579")</f>
        <v>1801381579</v>
      </c>
      <c r="E31728" s="1" t="s">
        <v>11982</v>
      </c>
      <c r="F31728" s="2"/>
      <c r="G31728" s="2"/>
      <c r="H31728" s="2"/>
    </row>
    <row r="31729" spans="1:8" x14ac:dyDescent="0.25">
      <c r="A31729" s="1"/>
      <c r="B31729" s="1" t="s">
        <v>8275</v>
      </c>
      <c r="C31729" s="1" t="s">
        <v>8276</v>
      </c>
      <c r="D31729" s="1" t="str">
        <f>HYPERLINK("https://rhld.insurance.arkansas.gov/NPILookup?Npi=1801388160","1801388160")</f>
        <v>1801388160</v>
      </c>
      <c r="E31729" s="1" t="s">
        <v>28703</v>
      </c>
      <c r="F31729" s="2"/>
      <c r="G31729" s="2"/>
      <c r="H31729" s="2"/>
    </row>
    <row r="31730" spans="1:8" x14ac:dyDescent="0.25">
      <c r="A31730" s="1"/>
      <c r="B31730" s="1" t="s">
        <v>8275</v>
      </c>
      <c r="C31730" s="1" t="s">
        <v>8276</v>
      </c>
      <c r="D31730" s="1" t="str">
        <f>HYPERLINK("https://rhld.insurance.arkansas.gov/NPILookup?Npi=1801392469","1801392469")</f>
        <v>1801392469</v>
      </c>
      <c r="E31730" s="1" t="s">
        <v>29807</v>
      </c>
      <c r="F31730" s="2"/>
      <c r="G31730" s="2"/>
      <c r="H31730" s="2"/>
    </row>
    <row r="31731" spans="1:8" x14ac:dyDescent="0.25">
      <c r="A31731" s="1"/>
      <c r="B31731" s="1" t="s">
        <v>8275</v>
      </c>
      <c r="C31731" s="1" t="s">
        <v>8276</v>
      </c>
      <c r="D31731" s="1" t="str">
        <f>HYPERLINK("https://rhld.insurance.arkansas.gov/NPILookup?Npi=1801473905","1801473905")</f>
        <v>1801473905</v>
      </c>
      <c r="E31731" s="1" t="s">
        <v>32365</v>
      </c>
      <c r="F31731" s="2"/>
      <c r="G31731" s="2"/>
      <c r="H31731" s="2"/>
    </row>
    <row r="31732" spans="1:8" x14ac:dyDescent="0.25">
      <c r="A31732" s="1"/>
      <c r="B31732" s="1" t="s">
        <v>8275</v>
      </c>
      <c r="C31732" s="1" t="s">
        <v>8276</v>
      </c>
      <c r="D31732" s="1" t="str">
        <f>HYPERLINK("https://rhld.insurance.arkansas.gov/NPILookup?Npi=1801535836","1801535836")</f>
        <v>1801535836</v>
      </c>
      <c r="E31732" s="1" t="s">
        <v>13632</v>
      </c>
      <c r="F31732" s="2"/>
      <c r="G31732" s="2"/>
      <c r="H31732" s="2"/>
    </row>
    <row r="31733" spans="1:8" x14ac:dyDescent="0.25">
      <c r="A31733" s="1"/>
      <c r="B31733" s="1" t="s">
        <v>8275</v>
      </c>
      <c r="C31733" s="1" t="s">
        <v>8276</v>
      </c>
      <c r="D31733" s="1" t="str">
        <f>HYPERLINK("https://rhld.insurance.arkansas.gov/NPILookup?Npi=1801570403","1801570403")</f>
        <v>1801570403</v>
      </c>
      <c r="E31733" s="1" t="s">
        <v>8108</v>
      </c>
      <c r="F31733" s="2"/>
      <c r="G31733" s="2"/>
      <c r="H31733" s="2"/>
    </row>
    <row r="31734" spans="1:8" x14ac:dyDescent="0.25">
      <c r="A31734" s="1"/>
      <c r="B31734" s="1" t="s">
        <v>8275</v>
      </c>
      <c r="C31734" s="1" t="s">
        <v>8276</v>
      </c>
      <c r="D31734" s="1" t="str">
        <f>HYPERLINK("https://rhld.insurance.arkansas.gov/NPILookup?Npi=1801573282","1801573282")</f>
        <v>1801573282</v>
      </c>
      <c r="E31734" s="1" t="s">
        <v>28716</v>
      </c>
      <c r="F31734" s="2"/>
      <c r="G31734" s="2"/>
      <c r="H31734" s="2"/>
    </row>
    <row r="31735" spans="1:8" x14ac:dyDescent="0.25">
      <c r="A31735" s="1"/>
      <c r="B31735" s="1" t="s">
        <v>8275</v>
      </c>
      <c r="C31735" s="1" t="s">
        <v>8276</v>
      </c>
      <c r="D31735" s="1" t="str">
        <f>HYPERLINK("https://rhld.insurance.arkansas.gov/NPILookup?Npi=1801615786","1801615786")</f>
        <v>1801615786</v>
      </c>
      <c r="E31735" s="1" t="s">
        <v>32366</v>
      </c>
      <c r="F31735" s="2"/>
      <c r="G31735" s="2"/>
      <c r="H31735" s="2"/>
    </row>
    <row r="31736" spans="1:8" x14ac:dyDescent="0.25">
      <c r="A31736" s="1"/>
      <c r="B31736" s="1" t="s">
        <v>8275</v>
      </c>
      <c r="C31736" s="1" t="s">
        <v>8276</v>
      </c>
      <c r="D31736" s="1" t="str">
        <f>HYPERLINK("https://rhld.insurance.arkansas.gov/NPILookup?Npi=1801653688","1801653688")</f>
        <v>1801653688</v>
      </c>
      <c r="E31736" s="1" t="s">
        <v>28718</v>
      </c>
      <c r="F31736" s="2"/>
      <c r="G31736" s="2"/>
      <c r="H31736" s="2"/>
    </row>
    <row r="31737" spans="1:8" x14ac:dyDescent="0.25">
      <c r="A31737" s="1"/>
      <c r="B31737" s="1" t="s">
        <v>8275</v>
      </c>
      <c r="C31737" s="1" t="s">
        <v>8276</v>
      </c>
      <c r="D31737" s="1" t="str">
        <f>HYPERLINK("https://rhld.insurance.arkansas.gov/NPILookup?Npi=1801830740","1801830740")</f>
        <v>1801830740</v>
      </c>
      <c r="E31737" s="1" t="s">
        <v>3161</v>
      </c>
      <c r="F31737" s="2"/>
      <c r="G31737" s="2"/>
      <c r="H31737" s="2"/>
    </row>
    <row r="31738" spans="1:8" x14ac:dyDescent="0.25">
      <c r="A31738" s="1"/>
      <c r="B31738" s="1" t="s">
        <v>8275</v>
      </c>
      <c r="C31738" s="1" t="s">
        <v>8276</v>
      </c>
      <c r="D31738" s="1" t="str">
        <f>HYPERLINK("https://rhld.insurance.arkansas.gov/NPILookup?Npi=1801858188","1801858188")</f>
        <v>1801858188</v>
      </c>
      <c r="E31738" s="1" t="s">
        <v>28721</v>
      </c>
      <c r="F31738" s="2"/>
      <c r="G31738" s="2"/>
      <c r="H31738" s="2"/>
    </row>
    <row r="31739" spans="1:8" x14ac:dyDescent="0.25">
      <c r="A31739" s="1"/>
      <c r="B31739" s="1" t="s">
        <v>8275</v>
      </c>
      <c r="C31739" s="1" t="s">
        <v>8276</v>
      </c>
      <c r="D31739" s="1" t="str">
        <f>HYPERLINK("https://rhld.insurance.arkansas.gov/NPILookup?Npi=1801869185","1801869185")</f>
        <v>1801869185</v>
      </c>
      <c r="E31739" s="1" t="s">
        <v>28722</v>
      </c>
      <c r="F31739" s="2"/>
      <c r="G31739" s="2"/>
      <c r="H31739" s="2"/>
    </row>
    <row r="31740" spans="1:8" x14ac:dyDescent="0.25">
      <c r="A31740" s="1"/>
      <c r="B31740" s="1" t="s">
        <v>8275</v>
      </c>
      <c r="C31740" s="1" t="s">
        <v>8276</v>
      </c>
      <c r="D31740" s="1" t="str">
        <f>HYPERLINK("https://rhld.insurance.arkansas.gov/NPILookup?Npi=1801935812","1801935812")</f>
        <v>1801935812</v>
      </c>
      <c r="E31740" s="1" t="s">
        <v>29808</v>
      </c>
      <c r="F31740" s="2"/>
      <c r="G31740" s="2"/>
      <c r="H31740" s="2"/>
    </row>
    <row r="31741" spans="1:8" x14ac:dyDescent="0.25">
      <c r="A31741" s="1"/>
      <c r="B31741" s="1" t="s">
        <v>8275</v>
      </c>
      <c r="C31741" s="1" t="s">
        <v>8276</v>
      </c>
      <c r="D31741" s="1" t="str">
        <f>HYPERLINK("https://rhld.insurance.arkansas.gov/NPILookup?Npi=1811128028","1811128028")</f>
        <v>1811128028</v>
      </c>
      <c r="E31741" s="1" t="s">
        <v>8111</v>
      </c>
      <c r="F31741" s="2"/>
      <c r="G31741" s="2"/>
      <c r="H31741" s="2"/>
    </row>
    <row r="31742" spans="1:8" x14ac:dyDescent="0.25">
      <c r="A31742" s="1"/>
      <c r="B31742" s="1" t="s">
        <v>8275</v>
      </c>
      <c r="C31742" s="1" t="s">
        <v>8276</v>
      </c>
      <c r="D31742" s="1" t="str">
        <f>HYPERLINK("https://rhld.insurance.arkansas.gov/NPILookup?Npi=1811130867","1811130867")</f>
        <v>1811130867</v>
      </c>
      <c r="E31742" s="1" t="s">
        <v>13639</v>
      </c>
      <c r="F31742" s="2"/>
      <c r="G31742" s="2"/>
      <c r="H31742" s="2"/>
    </row>
    <row r="31743" spans="1:8" x14ac:dyDescent="0.25">
      <c r="A31743" s="1"/>
      <c r="B31743" s="1" t="s">
        <v>8275</v>
      </c>
      <c r="C31743" s="1" t="s">
        <v>8276</v>
      </c>
      <c r="D31743" s="1" t="str">
        <f>HYPERLINK("https://rhld.insurance.arkansas.gov/NPILookup?Npi=1811188568","1811188568")</f>
        <v>1811188568</v>
      </c>
      <c r="E31743" s="1" t="s">
        <v>32477</v>
      </c>
      <c r="F31743" s="2"/>
      <c r="G31743" s="2"/>
      <c r="H31743" s="2"/>
    </row>
    <row r="31744" spans="1:8" x14ac:dyDescent="0.25">
      <c r="A31744" s="1"/>
      <c r="B31744" s="1" t="s">
        <v>8275</v>
      </c>
      <c r="C31744" s="1" t="s">
        <v>8276</v>
      </c>
      <c r="D31744" s="1" t="str">
        <f>HYPERLINK("https://rhld.insurance.arkansas.gov/NPILookup?Npi=1811230691","1811230691")</f>
        <v>1811230691</v>
      </c>
      <c r="E31744" s="1" t="s">
        <v>13641</v>
      </c>
      <c r="F31744" s="2"/>
      <c r="G31744" s="2"/>
      <c r="H31744" s="2"/>
    </row>
    <row r="31745" spans="1:8" x14ac:dyDescent="0.25">
      <c r="A31745" s="1"/>
      <c r="B31745" s="1" t="s">
        <v>8275</v>
      </c>
      <c r="C31745" s="1" t="s">
        <v>8276</v>
      </c>
      <c r="D31745" s="1" t="str">
        <f>HYPERLINK("https://rhld.insurance.arkansas.gov/NPILookup?Npi=1811246127","1811246127")</f>
        <v>1811246127</v>
      </c>
      <c r="E31745" s="1" t="s">
        <v>3036</v>
      </c>
      <c r="F31745" s="2"/>
      <c r="G31745" s="2"/>
      <c r="H31745" s="2"/>
    </row>
    <row r="31746" spans="1:8" x14ac:dyDescent="0.25">
      <c r="A31746" s="1"/>
      <c r="B31746" s="1" t="s">
        <v>8275</v>
      </c>
      <c r="C31746" s="1" t="s">
        <v>8276</v>
      </c>
      <c r="D31746" s="1" t="str">
        <f>HYPERLINK("https://rhld.insurance.arkansas.gov/NPILookup?Npi=1811315310","1811315310")</f>
        <v>1811315310</v>
      </c>
      <c r="E31746" s="1" t="s">
        <v>29809</v>
      </c>
      <c r="F31746" s="2"/>
      <c r="G31746" s="2"/>
      <c r="H31746" s="2"/>
    </row>
    <row r="31747" spans="1:8" x14ac:dyDescent="0.25">
      <c r="A31747" s="1"/>
      <c r="B31747" s="1" t="s">
        <v>8275</v>
      </c>
      <c r="C31747" s="1" t="s">
        <v>8276</v>
      </c>
      <c r="D31747" s="1" t="str">
        <f>HYPERLINK("https://rhld.insurance.arkansas.gov/NPILookup?Npi=1811382369","1811382369")</f>
        <v>1811382369</v>
      </c>
      <c r="E31747" s="1" t="s">
        <v>13941</v>
      </c>
      <c r="F31747" s="2"/>
      <c r="G31747" s="2"/>
      <c r="H31747" s="2"/>
    </row>
    <row r="31748" spans="1:8" x14ac:dyDescent="0.25">
      <c r="A31748" s="1"/>
      <c r="B31748" s="1" t="s">
        <v>8275</v>
      </c>
      <c r="C31748" s="1" t="s">
        <v>8276</v>
      </c>
      <c r="D31748" s="1" t="str">
        <f>HYPERLINK("https://rhld.insurance.arkansas.gov/NPILookup?Npi=1811565948","1811565948")</f>
        <v>1811565948</v>
      </c>
      <c r="E31748" s="1" t="s">
        <v>32368</v>
      </c>
      <c r="F31748" s="2"/>
      <c r="G31748" s="2"/>
      <c r="H31748" s="2"/>
    </row>
    <row r="31749" spans="1:8" x14ac:dyDescent="0.25">
      <c r="A31749" s="1"/>
      <c r="B31749" s="1" t="s">
        <v>8275</v>
      </c>
      <c r="C31749" s="1" t="s">
        <v>8276</v>
      </c>
      <c r="D31749" s="1" t="str">
        <f>HYPERLINK("https://rhld.insurance.arkansas.gov/NPILookup?Npi=1811575012","1811575012")</f>
        <v>1811575012</v>
      </c>
      <c r="E31749" s="1" t="s">
        <v>32369</v>
      </c>
      <c r="F31749" s="2"/>
      <c r="G31749" s="2"/>
      <c r="H31749" s="2"/>
    </row>
    <row r="31750" spans="1:8" x14ac:dyDescent="0.25">
      <c r="A31750" s="1"/>
      <c r="B31750" s="1" t="s">
        <v>8275</v>
      </c>
      <c r="C31750" s="1" t="s">
        <v>8276</v>
      </c>
      <c r="D31750" s="1" t="str">
        <f>HYPERLINK("https://rhld.insurance.arkansas.gov/NPILookup?Npi=1811620370","1811620370")</f>
        <v>1811620370</v>
      </c>
      <c r="E31750" s="1" t="s">
        <v>28756</v>
      </c>
      <c r="F31750" s="2"/>
      <c r="G31750" s="2"/>
      <c r="H31750" s="2"/>
    </row>
    <row r="31751" spans="1:8" x14ac:dyDescent="0.25">
      <c r="A31751" s="1"/>
      <c r="B31751" s="1" t="s">
        <v>8275</v>
      </c>
      <c r="C31751" s="1" t="s">
        <v>8276</v>
      </c>
      <c r="D31751" s="1" t="str">
        <f>HYPERLINK("https://rhld.insurance.arkansas.gov/NPILookup?Npi=1811620420","1811620420")</f>
        <v>1811620420</v>
      </c>
      <c r="E31751" s="1" t="s">
        <v>28757</v>
      </c>
      <c r="F31751" s="2"/>
      <c r="G31751" s="2"/>
      <c r="H31751" s="2"/>
    </row>
    <row r="31752" spans="1:8" x14ac:dyDescent="0.25">
      <c r="A31752" s="1"/>
      <c r="B31752" s="1" t="s">
        <v>8275</v>
      </c>
      <c r="C31752" s="1" t="s">
        <v>8276</v>
      </c>
      <c r="D31752" s="1" t="str">
        <f>HYPERLINK("https://rhld.insurance.arkansas.gov/NPILookup?Npi=1811635634","1811635634")</f>
        <v>1811635634</v>
      </c>
      <c r="E31752" s="1" t="s">
        <v>28759</v>
      </c>
      <c r="F31752" s="2"/>
      <c r="G31752" s="2"/>
      <c r="H31752" s="2"/>
    </row>
    <row r="31753" spans="1:8" x14ac:dyDescent="0.25">
      <c r="A31753" s="1"/>
      <c r="B31753" s="1" t="s">
        <v>8275</v>
      </c>
      <c r="C31753" s="1" t="s">
        <v>8276</v>
      </c>
      <c r="D31753" s="1" t="str">
        <f>HYPERLINK("https://rhld.insurance.arkansas.gov/NPILookup?Npi=1811659394","1811659394")</f>
        <v>1811659394</v>
      </c>
      <c r="E31753" s="1" t="s">
        <v>28761</v>
      </c>
      <c r="F31753" s="2"/>
      <c r="G31753" s="2"/>
      <c r="H31753" s="2"/>
    </row>
    <row r="31754" spans="1:8" x14ac:dyDescent="0.25">
      <c r="A31754" s="1"/>
      <c r="B31754" s="1" t="s">
        <v>8275</v>
      </c>
      <c r="C31754" s="1" t="s">
        <v>8276</v>
      </c>
      <c r="D31754" s="1" t="str">
        <f>HYPERLINK("https://rhld.insurance.arkansas.gov/NPILookup?Npi=1811955974","1811955974")</f>
        <v>1811955974</v>
      </c>
      <c r="E31754" s="1" t="s">
        <v>13655</v>
      </c>
      <c r="F31754" s="2"/>
      <c r="G31754" s="2"/>
      <c r="H31754" s="2"/>
    </row>
    <row r="31755" spans="1:8" x14ac:dyDescent="0.25">
      <c r="A31755" s="1"/>
      <c r="B31755" s="1" t="s">
        <v>8275</v>
      </c>
      <c r="C31755" s="1" t="s">
        <v>8276</v>
      </c>
      <c r="D31755" s="1" t="str">
        <f>HYPERLINK("https://rhld.insurance.arkansas.gov/NPILookup?Npi=1811968092","1811968092")</f>
        <v>1811968092</v>
      </c>
      <c r="E31755" s="1" t="s">
        <v>3037</v>
      </c>
      <c r="F31755" s="2"/>
      <c r="G31755" s="2"/>
      <c r="H31755" s="2"/>
    </row>
    <row r="31756" spans="1:8" x14ac:dyDescent="0.25">
      <c r="A31756" s="1"/>
      <c r="B31756" s="1" t="s">
        <v>8275</v>
      </c>
      <c r="C31756" s="1" t="s">
        <v>8276</v>
      </c>
      <c r="D31756" s="1" t="str">
        <f>HYPERLINK("https://rhld.insurance.arkansas.gov/NPILookup?Npi=1811977416","1811977416")</f>
        <v>1811977416</v>
      </c>
      <c r="E31756" s="1" t="s">
        <v>29810</v>
      </c>
      <c r="F31756" s="2"/>
      <c r="G31756" s="2"/>
      <c r="H31756" s="2"/>
    </row>
    <row r="31757" spans="1:8" x14ac:dyDescent="0.25">
      <c r="A31757" s="1"/>
      <c r="B31757" s="1" t="s">
        <v>8275</v>
      </c>
      <c r="C31757" s="1" t="s">
        <v>8276</v>
      </c>
      <c r="D31757" s="1" t="str">
        <f>HYPERLINK("https://rhld.insurance.arkansas.gov/NPILookup?Npi=1811997729","1811997729")</f>
        <v>1811997729</v>
      </c>
      <c r="E31757" s="1" t="s">
        <v>29811</v>
      </c>
      <c r="F31757" s="2"/>
      <c r="G31757" s="2"/>
      <c r="H31757" s="2"/>
    </row>
    <row r="31758" spans="1:8" x14ac:dyDescent="0.25">
      <c r="A31758" s="1"/>
      <c r="B31758" s="1" t="s">
        <v>8275</v>
      </c>
      <c r="C31758" s="1" t="s">
        <v>8276</v>
      </c>
      <c r="D31758" s="1" t="str">
        <f>HYPERLINK("https://rhld.insurance.arkansas.gov/NPILookup?Npi=1821016361","1821016361")</f>
        <v>1821016361</v>
      </c>
      <c r="E31758" s="1" t="s">
        <v>31464</v>
      </c>
      <c r="F31758" s="2"/>
      <c r="G31758" s="2"/>
      <c r="H31758" s="2"/>
    </row>
    <row r="31759" spans="1:8" x14ac:dyDescent="0.25">
      <c r="A31759" s="1"/>
      <c r="B31759" s="1" t="s">
        <v>8275</v>
      </c>
      <c r="C31759" s="1" t="s">
        <v>8276</v>
      </c>
      <c r="D31759" s="1" t="str">
        <f>HYPERLINK("https://rhld.insurance.arkansas.gov/NPILookup?Npi=1821031295","1821031295")</f>
        <v>1821031295</v>
      </c>
      <c r="E31759" s="1" t="s">
        <v>3162</v>
      </c>
      <c r="F31759" s="2"/>
      <c r="G31759" s="2"/>
      <c r="H31759" s="2"/>
    </row>
    <row r="31760" spans="1:8" x14ac:dyDescent="0.25">
      <c r="A31760" s="1"/>
      <c r="B31760" s="1" t="s">
        <v>8275</v>
      </c>
      <c r="C31760" s="1" t="s">
        <v>8276</v>
      </c>
      <c r="D31760" s="1" t="str">
        <f>HYPERLINK("https://rhld.insurance.arkansas.gov/NPILookup?Npi=1821055278","1821055278")</f>
        <v>1821055278</v>
      </c>
      <c r="E31760" s="1" t="s">
        <v>18125</v>
      </c>
      <c r="F31760" s="2"/>
      <c r="G31760" s="2"/>
      <c r="H31760" s="2"/>
    </row>
    <row r="31761" spans="1:8" x14ac:dyDescent="0.25">
      <c r="A31761" s="1"/>
      <c r="B31761" s="1" t="s">
        <v>8275</v>
      </c>
      <c r="C31761" s="1" t="s">
        <v>8276</v>
      </c>
      <c r="D31761" s="1" t="str">
        <f>HYPERLINK("https://rhld.insurance.arkansas.gov/NPILookup?Npi=1821082835","1821082835")</f>
        <v>1821082835</v>
      </c>
      <c r="E31761" s="1" t="s">
        <v>28777</v>
      </c>
      <c r="F31761" s="2"/>
      <c r="G31761" s="2"/>
      <c r="H31761" s="2"/>
    </row>
    <row r="31762" spans="1:8" x14ac:dyDescent="0.25">
      <c r="A31762" s="1"/>
      <c r="B31762" s="1" t="s">
        <v>8275</v>
      </c>
      <c r="C31762" s="1" t="s">
        <v>8276</v>
      </c>
      <c r="D31762" s="1" t="str">
        <f>HYPERLINK("https://rhld.insurance.arkansas.gov/NPILookup?Npi=1821098732","1821098732")</f>
        <v>1821098732</v>
      </c>
      <c r="E31762" s="1" t="s">
        <v>2133</v>
      </c>
      <c r="F31762" s="2"/>
      <c r="G31762" s="2"/>
      <c r="H31762" s="2"/>
    </row>
    <row r="31763" spans="1:8" x14ac:dyDescent="0.25">
      <c r="A31763" s="1"/>
      <c r="B31763" s="1" t="s">
        <v>8275</v>
      </c>
      <c r="C31763" s="1" t="s">
        <v>8276</v>
      </c>
      <c r="D31763" s="1" t="str">
        <f>HYPERLINK("https://rhld.insurance.arkansas.gov/NPILookup?Npi=1821135070","1821135070")</f>
        <v>1821135070</v>
      </c>
      <c r="E31763" s="1" t="s">
        <v>29812</v>
      </c>
      <c r="F31763" s="2"/>
      <c r="G31763" s="2"/>
      <c r="H31763" s="2"/>
    </row>
    <row r="31764" spans="1:8" x14ac:dyDescent="0.25">
      <c r="A31764" s="1"/>
      <c r="B31764" s="1" t="s">
        <v>8275</v>
      </c>
      <c r="C31764" s="1" t="s">
        <v>8276</v>
      </c>
      <c r="D31764" s="1" t="str">
        <f>HYPERLINK("https://rhld.insurance.arkansas.gov/NPILookup?Npi=1821196445","1821196445")</f>
        <v>1821196445</v>
      </c>
      <c r="E31764" s="1" t="s">
        <v>279</v>
      </c>
      <c r="F31764" s="2"/>
      <c r="G31764" s="2"/>
      <c r="H31764" s="2"/>
    </row>
    <row r="31765" spans="1:8" x14ac:dyDescent="0.25">
      <c r="A31765" s="1"/>
      <c r="B31765" s="1" t="s">
        <v>8275</v>
      </c>
      <c r="C31765" s="1" t="s">
        <v>8276</v>
      </c>
      <c r="D31765" s="1" t="str">
        <f>HYPERLINK("https://rhld.insurance.arkansas.gov/NPILookup?Npi=1821273988","1821273988")</f>
        <v>1821273988</v>
      </c>
      <c r="E31765" s="1" t="s">
        <v>29813</v>
      </c>
      <c r="F31765" s="2"/>
      <c r="G31765" s="2"/>
      <c r="H31765" s="2"/>
    </row>
    <row r="31766" spans="1:8" x14ac:dyDescent="0.25">
      <c r="A31766" s="1"/>
      <c r="B31766" s="1" t="s">
        <v>8275</v>
      </c>
      <c r="C31766" s="1" t="s">
        <v>8276</v>
      </c>
      <c r="D31766" s="1" t="str">
        <f>HYPERLINK("https://rhld.insurance.arkansas.gov/NPILookup?Npi=1821363508","1821363508")</f>
        <v>1821363508</v>
      </c>
      <c r="E31766" s="1" t="s">
        <v>32370</v>
      </c>
      <c r="F31766" s="2"/>
      <c r="G31766" s="2"/>
      <c r="H31766" s="2"/>
    </row>
    <row r="31767" spans="1:8" x14ac:dyDescent="0.25">
      <c r="A31767" s="1"/>
      <c r="B31767" s="1" t="s">
        <v>8275</v>
      </c>
      <c r="C31767" s="1" t="s">
        <v>8276</v>
      </c>
      <c r="D31767" s="1" t="str">
        <f>HYPERLINK("https://rhld.insurance.arkansas.gov/NPILookup?Npi=1821409996","1821409996")</f>
        <v>1821409996</v>
      </c>
      <c r="E31767" s="1" t="s">
        <v>29814</v>
      </c>
      <c r="F31767" s="2"/>
      <c r="G31767" s="2"/>
      <c r="H31767" s="2"/>
    </row>
    <row r="31768" spans="1:8" x14ac:dyDescent="0.25">
      <c r="A31768" s="1"/>
      <c r="B31768" s="1" t="s">
        <v>8275</v>
      </c>
      <c r="C31768" s="1" t="s">
        <v>8276</v>
      </c>
      <c r="D31768" s="1" t="str">
        <f>HYPERLINK("https://rhld.insurance.arkansas.gov/NPILookup?Npi=1821437302","1821437302")</f>
        <v>1821437302</v>
      </c>
      <c r="E31768" s="1" t="s">
        <v>28786</v>
      </c>
      <c r="F31768" s="2"/>
      <c r="G31768" s="2"/>
      <c r="H31768" s="2"/>
    </row>
    <row r="31769" spans="1:8" x14ac:dyDescent="0.25">
      <c r="A31769" s="1"/>
      <c r="B31769" s="1" t="s">
        <v>8275</v>
      </c>
      <c r="C31769" s="1" t="s">
        <v>8276</v>
      </c>
      <c r="D31769" s="1" t="str">
        <f>HYPERLINK("https://rhld.insurance.arkansas.gov/NPILookup?Npi=1821525916","1821525916")</f>
        <v>1821525916</v>
      </c>
      <c r="E31769" s="1" t="s">
        <v>28796</v>
      </c>
      <c r="F31769" s="2"/>
      <c r="G31769" s="2"/>
      <c r="H31769" s="2"/>
    </row>
    <row r="31770" spans="1:8" x14ac:dyDescent="0.25">
      <c r="A31770" s="1"/>
      <c r="B31770" s="1" t="s">
        <v>8275</v>
      </c>
      <c r="C31770" s="1" t="s">
        <v>8276</v>
      </c>
      <c r="D31770" s="1" t="str">
        <f>HYPERLINK("https://rhld.insurance.arkansas.gov/NPILookup?Npi=1821538125","1821538125")</f>
        <v>1821538125</v>
      </c>
      <c r="E31770" s="1" t="s">
        <v>28798</v>
      </c>
      <c r="F31770" s="2"/>
      <c r="G31770" s="2"/>
      <c r="H31770" s="2"/>
    </row>
    <row r="31771" spans="1:8" x14ac:dyDescent="0.25">
      <c r="A31771" s="1"/>
      <c r="B31771" s="1" t="s">
        <v>8275</v>
      </c>
      <c r="C31771" s="1" t="s">
        <v>8276</v>
      </c>
      <c r="D31771" s="1" t="str">
        <f>HYPERLINK("https://rhld.insurance.arkansas.gov/NPILookup?Npi=1821589250","1821589250")</f>
        <v>1821589250</v>
      </c>
      <c r="E31771" s="1" t="s">
        <v>8123</v>
      </c>
      <c r="F31771" s="2"/>
      <c r="G31771" s="2"/>
      <c r="H31771" s="2"/>
    </row>
    <row r="31772" spans="1:8" x14ac:dyDescent="0.25">
      <c r="A31772" s="1"/>
      <c r="B31772" s="1" t="s">
        <v>8275</v>
      </c>
      <c r="C31772" s="1" t="s">
        <v>8276</v>
      </c>
      <c r="D31772" s="1" t="str">
        <f>HYPERLINK("https://rhld.insurance.arkansas.gov/NPILookup?Npi=1821595737","1821595737")</f>
        <v>1821595737</v>
      </c>
      <c r="E31772" s="1" t="s">
        <v>29815</v>
      </c>
      <c r="F31772" s="2"/>
      <c r="G31772" s="2"/>
      <c r="H31772" s="2"/>
    </row>
    <row r="31773" spans="1:8" x14ac:dyDescent="0.25">
      <c r="A31773" s="1"/>
      <c r="B31773" s="1" t="s">
        <v>8275</v>
      </c>
      <c r="C31773" s="1" t="s">
        <v>8276</v>
      </c>
      <c r="D31773" s="1" t="str">
        <f>HYPERLINK("https://rhld.insurance.arkansas.gov/NPILookup?Npi=1821660044","1821660044")</f>
        <v>1821660044</v>
      </c>
      <c r="E31773" s="1" t="s">
        <v>32371</v>
      </c>
      <c r="F31773" s="2"/>
      <c r="G31773" s="2"/>
      <c r="H31773" s="2"/>
    </row>
    <row r="31774" spans="1:8" x14ac:dyDescent="0.25">
      <c r="A31774" s="1"/>
      <c r="B31774" s="1" t="s">
        <v>8275</v>
      </c>
      <c r="C31774" s="1" t="s">
        <v>8276</v>
      </c>
      <c r="D31774" s="1" t="str">
        <f>HYPERLINK("https://rhld.insurance.arkansas.gov/NPILookup?Npi=1821721523","1821721523")</f>
        <v>1821721523</v>
      </c>
      <c r="E31774" s="1" t="s">
        <v>8127</v>
      </c>
      <c r="F31774" s="2"/>
      <c r="G31774" s="2"/>
      <c r="H31774" s="2"/>
    </row>
    <row r="31775" spans="1:8" x14ac:dyDescent="0.25">
      <c r="A31775" s="1"/>
      <c r="B31775" s="1" t="s">
        <v>8275</v>
      </c>
      <c r="C31775" s="1" t="s">
        <v>8276</v>
      </c>
      <c r="D31775" s="1" t="str">
        <f>HYPERLINK("https://rhld.insurance.arkansas.gov/NPILookup?Npi=1821875568","1821875568")</f>
        <v>1821875568</v>
      </c>
      <c r="E31775" s="1" t="s">
        <v>6100</v>
      </c>
      <c r="F31775" s="2"/>
      <c r="G31775" s="2"/>
      <c r="H31775" s="2"/>
    </row>
    <row r="31776" spans="1:8" x14ac:dyDescent="0.25">
      <c r="A31776" s="1"/>
      <c r="B31776" s="1" t="s">
        <v>8275</v>
      </c>
      <c r="C31776" s="1" t="s">
        <v>8276</v>
      </c>
      <c r="D31776" s="1" t="str">
        <f>HYPERLINK("https://rhld.insurance.arkansas.gov/NPILookup?Npi=1821879644","1821879644")</f>
        <v>1821879644</v>
      </c>
      <c r="E31776" s="1" t="s">
        <v>32372</v>
      </c>
      <c r="F31776" s="2"/>
      <c r="G31776" s="2"/>
      <c r="H31776" s="2"/>
    </row>
    <row r="31777" spans="1:8" x14ac:dyDescent="0.25">
      <c r="A31777" s="1"/>
      <c r="B31777" s="1" t="s">
        <v>8275</v>
      </c>
      <c r="C31777" s="1" t="s">
        <v>8276</v>
      </c>
      <c r="D31777" s="1" t="str">
        <f>HYPERLINK("https://rhld.insurance.arkansas.gov/NPILookup?Npi=1821895566","1821895566")</f>
        <v>1821895566</v>
      </c>
      <c r="E31777" s="1" t="s">
        <v>32373</v>
      </c>
      <c r="F31777" s="2"/>
      <c r="G31777" s="2"/>
      <c r="H31777" s="2"/>
    </row>
    <row r="31778" spans="1:8" x14ac:dyDescent="0.25">
      <c r="A31778" s="1"/>
      <c r="B31778" s="1" t="s">
        <v>8275</v>
      </c>
      <c r="C31778" s="1" t="s">
        <v>8276</v>
      </c>
      <c r="D31778" s="1" t="str">
        <f>HYPERLINK("https://rhld.insurance.arkansas.gov/NPILookup?Npi=1831125459","1831125459")</f>
        <v>1831125459</v>
      </c>
      <c r="E31778" s="1" t="s">
        <v>10677</v>
      </c>
      <c r="F31778" s="2"/>
      <c r="G31778" s="2"/>
      <c r="H31778" s="2"/>
    </row>
    <row r="31779" spans="1:8" x14ac:dyDescent="0.25">
      <c r="A31779" s="1"/>
      <c r="B31779" s="1" t="s">
        <v>8275</v>
      </c>
      <c r="C31779" s="1" t="s">
        <v>8276</v>
      </c>
      <c r="D31779" s="1" t="str">
        <f>HYPERLINK("https://rhld.insurance.arkansas.gov/NPILookup?Npi=1831137579","1831137579")</f>
        <v>1831137579</v>
      </c>
      <c r="E31779" s="1" t="s">
        <v>32374</v>
      </c>
      <c r="F31779" s="2"/>
      <c r="G31779" s="2"/>
      <c r="H31779" s="2"/>
    </row>
    <row r="31780" spans="1:8" x14ac:dyDescent="0.25">
      <c r="A31780" s="1"/>
      <c r="B31780" s="1" t="s">
        <v>8275</v>
      </c>
      <c r="C31780" s="1" t="s">
        <v>8276</v>
      </c>
      <c r="D31780" s="1" t="str">
        <f>HYPERLINK("https://rhld.insurance.arkansas.gov/NPILookup?Npi=1831155191","1831155191")</f>
        <v>1831155191</v>
      </c>
      <c r="E31780" s="1" t="s">
        <v>29816</v>
      </c>
      <c r="F31780" s="2"/>
      <c r="G31780" s="2"/>
      <c r="H31780" s="2"/>
    </row>
    <row r="31781" spans="1:8" x14ac:dyDescent="0.25">
      <c r="A31781" s="1"/>
      <c r="B31781" s="1" t="s">
        <v>8275</v>
      </c>
      <c r="C31781" s="1" t="s">
        <v>8276</v>
      </c>
      <c r="D31781" s="1" t="str">
        <f>HYPERLINK("https://rhld.insurance.arkansas.gov/NPILookup?Npi=1831186741","1831186741")</f>
        <v>1831186741</v>
      </c>
      <c r="E31781" s="1" t="s">
        <v>29817</v>
      </c>
      <c r="F31781" s="2"/>
      <c r="G31781" s="2"/>
      <c r="H31781" s="2"/>
    </row>
    <row r="31782" spans="1:8" x14ac:dyDescent="0.25">
      <c r="A31782" s="1"/>
      <c r="B31782" s="1" t="s">
        <v>8275</v>
      </c>
      <c r="C31782" s="1" t="s">
        <v>8276</v>
      </c>
      <c r="D31782" s="1" t="str">
        <f>HYPERLINK("https://rhld.insurance.arkansas.gov/NPILookup?Npi=1831332626","1831332626")</f>
        <v>1831332626</v>
      </c>
      <c r="E31782" s="1" t="s">
        <v>15946</v>
      </c>
      <c r="F31782" s="2"/>
      <c r="G31782" s="2"/>
      <c r="H31782" s="2"/>
    </row>
    <row r="31783" spans="1:8" x14ac:dyDescent="0.25">
      <c r="A31783" s="1"/>
      <c r="B31783" s="1" t="s">
        <v>8275</v>
      </c>
      <c r="C31783" s="1" t="s">
        <v>8276</v>
      </c>
      <c r="D31783" s="1" t="str">
        <f>HYPERLINK("https://rhld.insurance.arkansas.gov/NPILookup?Npi=1831350339","1831350339")</f>
        <v>1831350339</v>
      </c>
      <c r="E31783" s="1" t="s">
        <v>29818</v>
      </c>
      <c r="F31783" s="2"/>
      <c r="G31783" s="2"/>
      <c r="H31783" s="2"/>
    </row>
    <row r="31784" spans="1:8" x14ac:dyDescent="0.25">
      <c r="A31784" s="1"/>
      <c r="B31784" s="1" t="s">
        <v>8275</v>
      </c>
      <c r="C31784" s="1" t="s">
        <v>8276</v>
      </c>
      <c r="D31784" s="1" t="str">
        <f>HYPERLINK("https://rhld.insurance.arkansas.gov/NPILookup?Npi=1831353937","1831353937")</f>
        <v>1831353937</v>
      </c>
      <c r="E31784" s="1" t="s">
        <v>29819</v>
      </c>
      <c r="F31784" s="2"/>
      <c r="G31784" s="2"/>
      <c r="H31784" s="2"/>
    </row>
    <row r="31785" spans="1:8" x14ac:dyDescent="0.25">
      <c r="A31785" s="1"/>
      <c r="B31785" s="1" t="s">
        <v>8275</v>
      </c>
      <c r="C31785" s="1" t="s">
        <v>8276</v>
      </c>
      <c r="D31785" s="1" t="str">
        <f>HYPERLINK("https://rhld.insurance.arkansas.gov/NPILookup?Npi=1831363654","1831363654")</f>
        <v>1831363654</v>
      </c>
      <c r="E31785" s="1" t="s">
        <v>29820</v>
      </c>
      <c r="F31785" s="2"/>
      <c r="G31785" s="2"/>
      <c r="H31785" s="2"/>
    </row>
    <row r="31786" spans="1:8" x14ac:dyDescent="0.25">
      <c r="A31786" s="1"/>
      <c r="B31786" s="1" t="s">
        <v>8275</v>
      </c>
      <c r="C31786" s="1" t="s">
        <v>8276</v>
      </c>
      <c r="D31786" s="1" t="str">
        <f>HYPERLINK("https://rhld.insurance.arkansas.gov/NPILookup?Npi=1831439595","1831439595")</f>
        <v>1831439595</v>
      </c>
      <c r="E31786" s="1" t="s">
        <v>28833</v>
      </c>
      <c r="F31786" s="2"/>
      <c r="G31786" s="2"/>
      <c r="H31786" s="2"/>
    </row>
    <row r="31787" spans="1:8" x14ac:dyDescent="0.25">
      <c r="A31787" s="1"/>
      <c r="B31787" s="1" t="s">
        <v>8275</v>
      </c>
      <c r="C31787" s="1" t="s">
        <v>8276</v>
      </c>
      <c r="D31787" s="1" t="str">
        <f>HYPERLINK("https://rhld.insurance.arkansas.gov/NPILookup?Npi=1831532332","1831532332")</f>
        <v>1831532332</v>
      </c>
      <c r="E31787" s="1" t="s">
        <v>29821</v>
      </c>
      <c r="F31787" s="2"/>
      <c r="G31787" s="2"/>
      <c r="H31787" s="2"/>
    </row>
    <row r="31788" spans="1:8" x14ac:dyDescent="0.25">
      <c r="A31788" s="1"/>
      <c r="B31788" s="1" t="s">
        <v>8275</v>
      </c>
      <c r="C31788" s="1" t="s">
        <v>8276</v>
      </c>
      <c r="D31788" s="1" t="str">
        <f>HYPERLINK("https://rhld.insurance.arkansas.gov/NPILookup?Npi=1831532837","1831532837")</f>
        <v>1831532837</v>
      </c>
      <c r="E31788" s="1" t="s">
        <v>919</v>
      </c>
      <c r="F31788" s="2"/>
      <c r="G31788" s="2"/>
      <c r="H31788" s="2"/>
    </row>
    <row r="31789" spans="1:8" x14ac:dyDescent="0.25">
      <c r="A31789" s="1"/>
      <c r="B31789" s="1" t="s">
        <v>8275</v>
      </c>
      <c r="C31789" s="1" t="s">
        <v>8276</v>
      </c>
      <c r="D31789" s="1" t="str">
        <f>HYPERLINK("https://rhld.insurance.arkansas.gov/NPILookup?Npi=1831662246","1831662246")</f>
        <v>1831662246</v>
      </c>
      <c r="E31789" s="1" t="s">
        <v>13682</v>
      </c>
      <c r="F31789" s="2"/>
      <c r="G31789" s="2"/>
      <c r="H31789" s="2"/>
    </row>
    <row r="31790" spans="1:8" x14ac:dyDescent="0.25">
      <c r="A31790" s="1"/>
      <c r="B31790" s="1" t="s">
        <v>8275</v>
      </c>
      <c r="C31790" s="1" t="s">
        <v>8276</v>
      </c>
      <c r="D31790" s="1" t="str">
        <f>HYPERLINK("https://rhld.insurance.arkansas.gov/NPILookup?Npi=1831727148","1831727148")</f>
        <v>1831727148</v>
      </c>
      <c r="E31790" s="1" t="s">
        <v>8135</v>
      </c>
      <c r="F31790" s="2"/>
      <c r="G31790" s="2"/>
      <c r="H31790" s="2"/>
    </row>
    <row r="31791" spans="1:8" x14ac:dyDescent="0.25">
      <c r="A31791" s="1"/>
      <c r="B31791" s="1" t="s">
        <v>8275</v>
      </c>
      <c r="C31791" s="1" t="s">
        <v>8276</v>
      </c>
      <c r="D31791" s="1" t="str">
        <f>HYPERLINK("https://rhld.insurance.arkansas.gov/NPILookup?Npi=1831728542","1831728542")</f>
        <v>1831728542</v>
      </c>
      <c r="E31791" s="1" t="s">
        <v>8336</v>
      </c>
      <c r="F31791" s="2"/>
      <c r="G31791" s="2"/>
      <c r="H31791" s="2"/>
    </row>
    <row r="31792" spans="1:8" x14ac:dyDescent="0.25">
      <c r="A31792" s="1"/>
      <c r="B31792" s="1" t="s">
        <v>8275</v>
      </c>
      <c r="C31792" s="1" t="s">
        <v>8276</v>
      </c>
      <c r="D31792" s="1" t="str">
        <f>HYPERLINK("https://rhld.insurance.arkansas.gov/NPILookup?Npi=1831777374","1831777374")</f>
        <v>1831777374</v>
      </c>
      <c r="E31792" s="1" t="s">
        <v>32478</v>
      </c>
      <c r="F31792" s="2"/>
      <c r="G31792" s="2"/>
      <c r="H31792" s="2"/>
    </row>
    <row r="31793" spans="1:8" x14ac:dyDescent="0.25">
      <c r="A31793" s="1"/>
      <c r="B31793" s="1" t="s">
        <v>8275</v>
      </c>
      <c r="C31793" s="1" t="s">
        <v>8276</v>
      </c>
      <c r="D31793" s="1" t="str">
        <f>HYPERLINK("https://rhld.insurance.arkansas.gov/NPILookup?Npi=1831780097","1831780097")</f>
        <v>1831780097</v>
      </c>
      <c r="E31793" s="1" t="s">
        <v>1703</v>
      </c>
      <c r="F31793" s="2"/>
      <c r="G31793" s="2"/>
      <c r="H31793" s="2"/>
    </row>
    <row r="31794" spans="1:8" x14ac:dyDescent="0.25">
      <c r="A31794" s="1"/>
      <c r="B31794" s="1" t="s">
        <v>8275</v>
      </c>
      <c r="C31794" s="1" t="s">
        <v>8276</v>
      </c>
      <c r="D31794" s="1" t="str">
        <f>HYPERLINK("https://rhld.insurance.arkansas.gov/NPILookup?Npi=1831929678","1831929678")</f>
        <v>1831929678</v>
      </c>
      <c r="E31794" s="1" t="s">
        <v>32377</v>
      </c>
      <c r="F31794" s="2"/>
      <c r="G31794" s="2"/>
      <c r="H31794" s="2"/>
    </row>
    <row r="31795" spans="1:8" x14ac:dyDescent="0.25">
      <c r="A31795" s="1"/>
      <c r="B31795" s="1" t="s">
        <v>8275</v>
      </c>
      <c r="C31795" s="1" t="s">
        <v>8276</v>
      </c>
      <c r="D31795" s="1" t="str">
        <f>HYPERLINK("https://rhld.insurance.arkansas.gov/NPILookup?Npi=1841027935","1841027935")</f>
        <v>1841027935</v>
      </c>
      <c r="E31795" s="1" t="s">
        <v>32378</v>
      </c>
      <c r="F31795" s="2"/>
      <c r="G31795" s="2"/>
      <c r="H31795" s="2"/>
    </row>
    <row r="31796" spans="1:8" x14ac:dyDescent="0.25">
      <c r="A31796" s="1"/>
      <c r="B31796" s="1" t="s">
        <v>8275</v>
      </c>
      <c r="C31796" s="1" t="s">
        <v>8276</v>
      </c>
      <c r="D31796" s="1" t="str">
        <f>HYPERLINK("https://rhld.insurance.arkansas.gov/NPILookup?Npi=1841046091","1841046091")</f>
        <v>1841046091</v>
      </c>
      <c r="E31796" s="1" t="s">
        <v>32379</v>
      </c>
      <c r="F31796" s="2"/>
      <c r="G31796" s="2"/>
      <c r="H31796" s="2"/>
    </row>
    <row r="31797" spans="1:8" x14ac:dyDescent="0.25">
      <c r="A31797" s="1"/>
      <c r="B31797" s="1" t="s">
        <v>8275</v>
      </c>
      <c r="C31797" s="1" t="s">
        <v>8276</v>
      </c>
      <c r="D31797" s="1" t="str">
        <f>HYPERLINK("https://rhld.insurance.arkansas.gov/NPILookup?Npi=1841236437","1841236437")</f>
        <v>1841236437</v>
      </c>
      <c r="E31797" s="1" t="s">
        <v>13690</v>
      </c>
      <c r="F31797" s="2"/>
      <c r="G31797" s="2"/>
      <c r="H31797" s="2"/>
    </row>
    <row r="31798" spans="1:8" x14ac:dyDescent="0.25">
      <c r="A31798" s="1"/>
      <c r="B31798" s="1" t="s">
        <v>8275</v>
      </c>
      <c r="C31798" s="1" t="s">
        <v>8276</v>
      </c>
      <c r="D31798" s="1" t="str">
        <f>HYPERLINK("https://rhld.insurance.arkansas.gov/NPILookup?Npi=1841260122","1841260122")</f>
        <v>1841260122</v>
      </c>
      <c r="E31798" s="1" t="s">
        <v>28862</v>
      </c>
      <c r="F31798" s="2"/>
      <c r="G31798" s="2"/>
      <c r="H31798" s="2"/>
    </row>
    <row r="31799" spans="1:8" x14ac:dyDescent="0.25">
      <c r="A31799" s="1"/>
      <c r="B31799" s="1" t="s">
        <v>8275</v>
      </c>
      <c r="C31799" s="1" t="s">
        <v>8276</v>
      </c>
      <c r="D31799" s="1" t="str">
        <f>HYPERLINK("https://rhld.insurance.arkansas.gov/NPILookup?Npi=1841285764","1841285764")</f>
        <v>1841285764</v>
      </c>
      <c r="E31799" s="1" t="s">
        <v>28864</v>
      </c>
      <c r="F31799" s="2"/>
      <c r="G31799" s="2"/>
      <c r="H31799" s="2"/>
    </row>
    <row r="31800" spans="1:8" x14ac:dyDescent="0.25">
      <c r="A31800" s="1"/>
      <c r="B31800" s="1" t="s">
        <v>8275</v>
      </c>
      <c r="C31800" s="1" t="s">
        <v>8276</v>
      </c>
      <c r="D31800" s="1" t="str">
        <f>HYPERLINK("https://rhld.insurance.arkansas.gov/NPILookup?Npi=1841297181","1841297181")</f>
        <v>1841297181</v>
      </c>
      <c r="E31800" s="1" t="s">
        <v>200</v>
      </c>
      <c r="F31800" s="2"/>
      <c r="G31800" s="2"/>
      <c r="H31800" s="2"/>
    </row>
    <row r="31801" spans="1:8" x14ac:dyDescent="0.25">
      <c r="A31801" s="1"/>
      <c r="B31801" s="1" t="s">
        <v>8275</v>
      </c>
      <c r="C31801" s="1" t="s">
        <v>8276</v>
      </c>
      <c r="D31801" s="1" t="str">
        <f>HYPERLINK("https://rhld.insurance.arkansas.gov/NPILookup?Npi=1841391315","1841391315")</f>
        <v>1841391315</v>
      </c>
      <c r="E31801" s="1" t="s">
        <v>32380</v>
      </c>
      <c r="F31801" s="2"/>
      <c r="G31801" s="2"/>
      <c r="H31801" s="2"/>
    </row>
    <row r="31802" spans="1:8" x14ac:dyDescent="0.25">
      <c r="A31802" s="1"/>
      <c r="B31802" s="1" t="s">
        <v>8275</v>
      </c>
      <c r="C31802" s="1" t="s">
        <v>8276</v>
      </c>
      <c r="D31802" s="1" t="str">
        <f>HYPERLINK("https://rhld.insurance.arkansas.gov/NPILookup?Npi=1841395423","1841395423")</f>
        <v>1841395423</v>
      </c>
      <c r="E31802" s="1" t="s">
        <v>6857</v>
      </c>
      <c r="F31802" s="2"/>
      <c r="G31802" s="2"/>
      <c r="H31802" s="2"/>
    </row>
    <row r="31803" spans="1:8" x14ac:dyDescent="0.25">
      <c r="A31803" s="1"/>
      <c r="B31803" s="1" t="s">
        <v>8275</v>
      </c>
      <c r="C31803" s="1" t="s">
        <v>8276</v>
      </c>
      <c r="D31803" s="1" t="str">
        <f>HYPERLINK("https://rhld.insurance.arkansas.gov/NPILookup?Npi=1841466117","1841466117")</f>
        <v>1841466117</v>
      </c>
      <c r="E31803" s="1" t="s">
        <v>29822</v>
      </c>
      <c r="F31803" s="2"/>
      <c r="G31803" s="2"/>
      <c r="H31803" s="2"/>
    </row>
    <row r="31804" spans="1:8" x14ac:dyDescent="0.25">
      <c r="A31804" s="1"/>
      <c r="B31804" s="1" t="s">
        <v>8275</v>
      </c>
      <c r="C31804" s="1" t="s">
        <v>8276</v>
      </c>
      <c r="D31804" s="1" t="str">
        <f>HYPERLINK("https://rhld.insurance.arkansas.gov/NPILookup?Npi=1841503059","1841503059")</f>
        <v>1841503059</v>
      </c>
      <c r="E31804" s="1" t="s">
        <v>19078</v>
      </c>
      <c r="F31804" s="2"/>
      <c r="G31804" s="2"/>
      <c r="H31804" s="2"/>
    </row>
    <row r="31805" spans="1:8" x14ac:dyDescent="0.25">
      <c r="A31805" s="1"/>
      <c r="B31805" s="1" t="s">
        <v>8275</v>
      </c>
      <c r="C31805" s="1" t="s">
        <v>8276</v>
      </c>
      <c r="D31805" s="1" t="str">
        <f>HYPERLINK("https://rhld.insurance.arkansas.gov/NPILookup?Npi=1841625308","1841625308")</f>
        <v>1841625308</v>
      </c>
      <c r="E31805" s="1" t="s">
        <v>23501</v>
      </c>
      <c r="F31805" s="2"/>
      <c r="G31805" s="2"/>
      <c r="H31805" s="2"/>
    </row>
    <row r="31806" spans="1:8" x14ac:dyDescent="0.25">
      <c r="A31806" s="1"/>
      <c r="B31806" s="1" t="s">
        <v>8275</v>
      </c>
      <c r="C31806" s="1" t="s">
        <v>8276</v>
      </c>
      <c r="D31806" s="1" t="str">
        <f>HYPERLINK("https://rhld.insurance.arkansas.gov/NPILookup?Npi=1841633781","1841633781")</f>
        <v>1841633781</v>
      </c>
      <c r="E31806" s="1" t="s">
        <v>17392</v>
      </c>
      <c r="F31806" s="2"/>
      <c r="G31806" s="2"/>
      <c r="H31806" s="2"/>
    </row>
    <row r="31807" spans="1:8" x14ac:dyDescent="0.25">
      <c r="A31807" s="1"/>
      <c r="B31807" s="1" t="s">
        <v>8275</v>
      </c>
      <c r="C31807" s="1" t="s">
        <v>8276</v>
      </c>
      <c r="D31807" s="1" t="str">
        <f>HYPERLINK("https://rhld.insurance.arkansas.gov/NPILookup?Npi=1841636792","1841636792")</f>
        <v>1841636792</v>
      </c>
      <c r="E31807" s="1" t="s">
        <v>13700</v>
      </c>
      <c r="F31807" s="2"/>
      <c r="G31807" s="2"/>
      <c r="H31807" s="2"/>
    </row>
    <row r="31808" spans="1:8" x14ac:dyDescent="0.25">
      <c r="A31808" s="1"/>
      <c r="B31808" s="1" t="s">
        <v>8275</v>
      </c>
      <c r="C31808" s="1" t="s">
        <v>8276</v>
      </c>
      <c r="D31808" s="1" t="str">
        <f>HYPERLINK("https://rhld.insurance.arkansas.gov/NPILookup?Npi=1841729480","1841729480")</f>
        <v>1841729480</v>
      </c>
      <c r="E31808" s="1" t="s">
        <v>29823</v>
      </c>
      <c r="F31808" s="2"/>
      <c r="G31808" s="2"/>
      <c r="H31808" s="2"/>
    </row>
    <row r="31809" spans="1:8" x14ac:dyDescent="0.25">
      <c r="A31809" s="1"/>
      <c r="B31809" s="1" t="s">
        <v>8275</v>
      </c>
      <c r="C31809" s="1" t="s">
        <v>8276</v>
      </c>
      <c r="D31809" s="1" t="str">
        <f>HYPERLINK("https://rhld.insurance.arkansas.gov/NPILookup?Npi=1841731155","1841731155")</f>
        <v>1841731155</v>
      </c>
      <c r="E31809" s="1" t="s">
        <v>3048</v>
      </c>
      <c r="F31809" s="2"/>
      <c r="G31809" s="2"/>
      <c r="H31809" s="2"/>
    </row>
    <row r="31810" spans="1:8" x14ac:dyDescent="0.25">
      <c r="A31810" s="1"/>
      <c r="B31810" s="1" t="s">
        <v>8275</v>
      </c>
      <c r="C31810" s="1" t="s">
        <v>8276</v>
      </c>
      <c r="D31810" s="1" t="str">
        <f>HYPERLINK("https://rhld.insurance.arkansas.gov/NPILookup?Npi=1841922937","1841922937")</f>
        <v>1841922937</v>
      </c>
      <c r="E31810" s="1" t="s">
        <v>32381</v>
      </c>
      <c r="F31810" s="2"/>
      <c r="G31810" s="2"/>
      <c r="H31810" s="2"/>
    </row>
    <row r="31811" spans="1:8" x14ac:dyDescent="0.25">
      <c r="A31811" s="1"/>
      <c r="B31811" s="1" t="s">
        <v>8275</v>
      </c>
      <c r="C31811" s="1" t="s">
        <v>8276</v>
      </c>
      <c r="D31811" s="1" t="str">
        <f>HYPERLINK("https://rhld.insurance.arkansas.gov/NPILookup?Npi=1841923885","1841923885")</f>
        <v>1841923885</v>
      </c>
      <c r="E31811" s="1" t="s">
        <v>13704</v>
      </c>
      <c r="F31811" s="2"/>
      <c r="G31811" s="2"/>
      <c r="H31811" s="2"/>
    </row>
    <row r="31812" spans="1:8" x14ac:dyDescent="0.25">
      <c r="A31812" s="1"/>
      <c r="B31812" s="1" t="s">
        <v>8275</v>
      </c>
      <c r="C31812" s="1" t="s">
        <v>8276</v>
      </c>
      <c r="D31812" s="1" t="str">
        <f>HYPERLINK("https://rhld.insurance.arkansas.gov/NPILookup?Npi=1841929312","1841929312")</f>
        <v>1841929312</v>
      </c>
      <c r="E31812" s="1" t="s">
        <v>8141</v>
      </c>
      <c r="F31812" s="2"/>
      <c r="G31812" s="2"/>
      <c r="H31812" s="2"/>
    </row>
    <row r="31813" spans="1:8" x14ac:dyDescent="0.25">
      <c r="A31813" s="1"/>
      <c r="B31813" s="1" t="s">
        <v>8275</v>
      </c>
      <c r="C31813" s="1" t="s">
        <v>8276</v>
      </c>
      <c r="D31813" s="1" t="str">
        <f>HYPERLINK("https://rhld.insurance.arkansas.gov/NPILookup?Npi=1851098164","1851098164")</f>
        <v>1851098164</v>
      </c>
      <c r="E31813" s="1" t="s">
        <v>28909</v>
      </c>
      <c r="F31813" s="2"/>
      <c r="G31813" s="2"/>
      <c r="H31813" s="2"/>
    </row>
    <row r="31814" spans="1:8" x14ac:dyDescent="0.25">
      <c r="A31814" s="1"/>
      <c r="B31814" s="1" t="s">
        <v>8275</v>
      </c>
      <c r="C31814" s="1" t="s">
        <v>8276</v>
      </c>
      <c r="D31814" s="1" t="str">
        <f>HYPERLINK("https://rhld.insurance.arkansas.gov/NPILookup?Npi=1851102727","1851102727")</f>
        <v>1851102727</v>
      </c>
      <c r="E31814" s="1" t="s">
        <v>32382</v>
      </c>
      <c r="F31814" s="2"/>
      <c r="G31814" s="2"/>
      <c r="H31814" s="2"/>
    </row>
    <row r="31815" spans="1:8" x14ac:dyDescent="0.25">
      <c r="A31815" s="1"/>
      <c r="B31815" s="1" t="s">
        <v>8275</v>
      </c>
      <c r="C31815" s="1" t="s">
        <v>8276</v>
      </c>
      <c r="D31815" s="1" t="str">
        <f>HYPERLINK("https://rhld.insurance.arkansas.gov/NPILookup?Npi=1851161079","1851161079")</f>
        <v>1851161079</v>
      </c>
      <c r="E31815" s="1" t="s">
        <v>28912</v>
      </c>
      <c r="F31815" s="2"/>
      <c r="G31815" s="2"/>
      <c r="H31815" s="2"/>
    </row>
    <row r="31816" spans="1:8" x14ac:dyDescent="0.25">
      <c r="A31816" s="1"/>
      <c r="B31816" s="1" t="s">
        <v>8275</v>
      </c>
      <c r="C31816" s="1" t="s">
        <v>8276</v>
      </c>
      <c r="D31816" s="1" t="str">
        <f>HYPERLINK("https://rhld.insurance.arkansas.gov/NPILookup?Npi=1851187983","1851187983")</f>
        <v>1851187983</v>
      </c>
      <c r="E31816" s="1" t="s">
        <v>32479</v>
      </c>
      <c r="F31816" s="2"/>
      <c r="G31816" s="2"/>
      <c r="H31816" s="2"/>
    </row>
    <row r="31817" spans="1:8" x14ac:dyDescent="0.25">
      <c r="A31817" s="1"/>
      <c r="B31817" s="1" t="s">
        <v>8275</v>
      </c>
      <c r="C31817" s="1" t="s">
        <v>8276</v>
      </c>
      <c r="D31817" s="1" t="str">
        <f>HYPERLINK("https://rhld.insurance.arkansas.gov/NPILookup?Npi=1851300453","1851300453")</f>
        <v>1851300453</v>
      </c>
      <c r="E31817" s="1" t="s">
        <v>29824</v>
      </c>
      <c r="F31817" s="2"/>
      <c r="G31817" s="2"/>
      <c r="H31817" s="2"/>
    </row>
    <row r="31818" spans="1:8" x14ac:dyDescent="0.25">
      <c r="A31818" s="1"/>
      <c r="B31818" s="1" t="s">
        <v>8275</v>
      </c>
      <c r="C31818" s="1" t="s">
        <v>8276</v>
      </c>
      <c r="D31818" s="1" t="str">
        <f>HYPERLINK("https://rhld.insurance.arkansas.gov/NPILookup?Npi=1851313399","1851313399")</f>
        <v>1851313399</v>
      </c>
      <c r="E31818" s="1" t="s">
        <v>8142</v>
      </c>
      <c r="F31818" s="2"/>
      <c r="G31818" s="2"/>
      <c r="H31818" s="2"/>
    </row>
    <row r="31819" spans="1:8" x14ac:dyDescent="0.25">
      <c r="A31819" s="1"/>
      <c r="B31819" s="1" t="s">
        <v>8275</v>
      </c>
      <c r="C31819" s="1" t="s">
        <v>8276</v>
      </c>
      <c r="D31819" s="1" t="str">
        <f>HYPERLINK("https://rhld.insurance.arkansas.gov/NPILookup?Npi=1851317051","1851317051")</f>
        <v>1851317051</v>
      </c>
      <c r="E31819" s="1" t="s">
        <v>8143</v>
      </c>
      <c r="F31819" s="2"/>
      <c r="G31819" s="2"/>
      <c r="H31819" s="2"/>
    </row>
    <row r="31820" spans="1:8" x14ac:dyDescent="0.25">
      <c r="A31820" s="1"/>
      <c r="B31820" s="1" t="s">
        <v>8275</v>
      </c>
      <c r="C31820" s="1" t="s">
        <v>8276</v>
      </c>
      <c r="D31820" s="1" t="str">
        <f>HYPERLINK("https://rhld.insurance.arkansas.gov/NPILookup?Npi=1851329262","1851329262")</f>
        <v>1851329262</v>
      </c>
      <c r="E31820" s="1" t="s">
        <v>13942</v>
      </c>
      <c r="F31820" s="2"/>
      <c r="G31820" s="2"/>
      <c r="H31820" s="2"/>
    </row>
    <row r="31821" spans="1:8" x14ac:dyDescent="0.25">
      <c r="A31821" s="1"/>
      <c r="B31821" s="1" t="s">
        <v>8275</v>
      </c>
      <c r="C31821" s="1" t="s">
        <v>8276</v>
      </c>
      <c r="D31821" s="1" t="str">
        <f>HYPERLINK("https://rhld.insurance.arkansas.gov/NPILookup?Npi=1851385462","1851385462")</f>
        <v>1851385462</v>
      </c>
      <c r="E31821" s="1" t="s">
        <v>28918</v>
      </c>
      <c r="F31821" s="2"/>
      <c r="G31821" s="2"/>
      <c r="H31821" s="2"/>
    </row>
    <row r="31822" spans="1:8" x14ac:dyDescent="0.25">
      <c r="A31822" s="1"/>
      <c r="B31822" s="1" t="s">
        <v>8275</v>
      </c>
      <c r="C31822" s="1" t="s">
        <v>8276</v>
      </c>
      <c r="D31822" s="1" t="str">
        <f>HYPERLINK("https://rhld.insurance.arkansas.gov/NPILookup?Npi=1851617757","1851617757")</f>
        <v>1851617757</v>
      </c>
      <c r="E31822" s="1" t="s">
        <v>20818</v>
      </c>
      <c r="F31822" s="2"/>
      <c r="G31822" s="2"/>
      <c r="H31822" s="2"/>
    </row>
    <row r="31823" spans="1:8" x14ac:dyDescent="0.25">
      <c r="A31823" s="1"/>
      <c r="B31823" s="1" t="s">
        <v>8275</v>
      </c>
      <c r="C31823" s="1" t="s">
        <v>8276</v>
      </c>
      <c r="D31823" s="1" t="str">
        <f>HYPERLINK("https://rhld.insurance.arkansas.gov/NPILookup?Npi=1851718381","1851718381")</f>
        <v>1851718381</v>
      </c>
      <c r="E31823" s="1" t="s">
        <v>28925</v>
      </c>
      <c r="F31823" s="2"/>
      <c r="G31823" s="2"/>
      <c r="H31823" s="2"/>
    </row>
    <row r="31824" spans="1:8" x14ac:dyDescent="0.25">
      <c r="A31824" s="1"/>
      <c r="B31824" s="1" t="s">
        <v>8275</v>
      </c>
      <c r="C31824" s="1" t="s">
        <v>8276</v>
      </c>
      <c r="D31824" s="1" t="str">
        <f>HYPERLINK("https://rhld.insurance.arkansas.gov/NPILookup?Npi=1851794291","1851794291")</f>
        <v>1851794291</v>
      </c>
      <c r="E31824" s="1" t="s">
        <v>28933</v>
      </c>
      <c r="F31824" s="2"/>
      <c r="G31824" s="2"/>
      <c r="H31824" s="2"/>
    </row>
    <row r="31825" spans="1:8" x14ac:dyDescent="0.25">
      <c r="A31825" s="1"/>
      <c r="B31825" s="1" t="s">
        <v>8275</v>
      </c>
      <c r="C31825" s="1" t="s">
        <v>8276</v>
      </c>
      <c r="D31825" s="1" t="str">
        <f>HYPERLINK("https://rhld.insurance.arkansas.gov/NPILookup?Npi=1851845200","1851845200")</f>
        <v>1851845200</v>
      </c>
      <c r="E31825" s="1" t="s">
        <v>28938</v>
      </c>
      <c r="F31825" s="2"/>
      <c r="G31825" s="2"/>
      <c r="H31825" s="2"/>
    </row>
    <row r="31826" spans="1:8" x14ac:dyDescent="0.25">
      <c r="A31826" s="1"/>
      <c r="B31826" s="1" t="s">
        <v>8275</v>
      </c>
      <c r="C31826" s="1" t="s">
        <v>8276</v>
      </c>
      <c r="D31826" s="1" t="str">
        <f>HYPERLINK("https://rhld.insurance.arkansas.gov/NPILookup?Npi=1851977227","1851977227")</f>
        <v>1851977227</v>
      </c>
      <c r="E31826" s="1" t="s">
        <v>32383</v>
      </c>
      <c r="F31826" s="2"/>
      <c r="G31826" s="2"/>
      <c r="H31826" s="2"/>
    </row>
    <row r="31827" spans="1:8" x14ac:dyDescent="0.25">
      <c r="A31827" s="1"/>
      <c r="B31827" s="1" t="s">
        <v>8275</v>
      </c>
      <c r="C31827" s="1" t="s">
        <v>8276</v>
      </c>
      <c r="D31827" s="1" t="str">
        <f>HYPERLINK("https://rhld.insurance.arkansas.gov/NPILookup?Npi=1861020240","1861020240")</f>
        <v>1861020240</v>
      </c>
      <c r="E31827" s="1" t="s">
        <v>4111</v>
      </c>
      <c r="F31827" s="2"/>
      <c r="G31827" s="2"/>
      <c r="H31827" s="2"/>
    </row>
    <row r="31828" spans="1:8" x14ac:dyDescent="0.25">
      <c r="A31828" s="1"/>
      <c r="B31828" s="1" t="s">
        <v>8275</v>
      </c>
      <c r="C31828" s="1" t="s">
        <v>8276</v>
      </c>
      <c r="D31828" s="1" t="str">
        <f>HYPERLINK("https://rhld.insurance.arkansas.gov/NPILookup?Npi=1861064560","1861064560")</f>
        <v>1861064560</v>
      </c>
      <c r="E31828" s="1" t="s">
        <v>8148</v>
      </c>
      <c r="F31828" s="2"/>
      <c r="G31828" s="2"/>
      <c r="H31828" s="2"/>
    </row>
    <row r="31829" spans="1:8" x14ac:dyDescent="0.25">
      <c r="A31829" s="1"/>
      <c r="B31829" s="1" t="s">
        <v>8275</v>
      </c>
      <c r="C31829" s="1" t="s">
        <v>8276</v>
      </c>
      <c r="D31829" s="1" t="str">
        <f>HYPERLINK("https://rhld.insurance.arkansas.gov/NPILookup?Npi=1861075939","1861075939")</f>
        <v>1861075939</v>
      </c>
      <c r="E31829" s="1" t="s">
        <v>28955</v>
      </c>
      <c r="F31829" s="2"/>
      <c r="G31829" s="2"/>
      <c r="H31829" s="2"/>
    </row>
    <row r="31830" spans="1:8" x14ac:dyDescent="0.25">
      <c r="A31830" s="1"/>
      <c r="B31830" s="1" t="s">
        <v>8275</v>
      </c>
      <c r="C31830" s="1" t="s">
        <v>8276</v>
      </c>
      <c r="D31830" s="1" t="str">
        <f>HYPERLINK("https://rhld.insurance.arkansas.gov/NPILookup?Npi=1861138901","1861138901")</f>
        <v>1861138901</v>
      </c>
      <c r="E31830" s="1" t="s">
        <v>28958</v>
      </c>
      <c r="F31830" s="2"/>
      <c r="G31830" s="2"/>
      <c r="H31830" s="2"/>
    </row>
    <row r="31831" spans="1:8" x14ac:dyDescent="0.25">
      <c r="A31831" s="1"/>
      <c r="B31831" s="1" t="s">
        <v>8275</v>
      </c>
      <c r="C31831" s="1" t="s">
        <v>8276</v>
      </c>
      <c r="D31831" s="1" t="str">
        <f>HYPERLINK("https://rhld.insurance.arkansas.gov/NPILookup?Npi=1861239279","1861239279")</f>
        <v>1861239279</v>
      </c>
      <c r="E31831" s="1" t="s">
        <v>32384</v>
      </c>
      <c r="F31831" s="2"/>
      <c r="G31831" s="2"/>
      <c r="H31831" s="2"/>
    </row>
    <row r="31832" spans="1:8" x14ac:dyDescent="0.25">
      <c r="A31832" s="1"/>
      <c r="B31832" s="1" t="s">
        <v>8275</v>
      </c>
      <c r="C31832" s="1" t="s">
        <v>8276</v>
      </c>
      <c r="D31832" s="1" t="str">
        <f>HYPERLINK("https://rhld.insurance.arkansas.gov/NPILookup?Npi=1861419632","1861419632")</f>
        <v>1861419632</v>
      </c>
      <c r="E31832" s="1" t="s">
        <v>29825</v>
      </c>
      <c r="F31832" s="2"/>
      <c r="G31832" s="2"/>
      <c r="H31832" s="2"/>
    </row>
    <row r="31833" spans="1:8" x14ac:dyDescent="0.25">
      <c r="A31833" s="1"/>
      <c r="B31833" s="1" t="s">
        <v>8275</v>
      </c>
      <c r="C31833" s="1" t="s">
        <v>8276</v>
      </c>
      <c r="D31833" s="1" t="str">
        <f>HYPERLINK("https://rhld.insurance.arkansas.gov/NPILookup?Npi=1861450942","1861450942")</f>
        <v>1861450942</v>
      </c>
      <c r="E31833" s="1" t="s">
        <v>28968</v>
      </c>
      <c r="F31833" s="2"/>
      <c r="G31833" s="2"/>
      <c r="H31833" s="2"/>
    </row>
    <row r="31834" spans="1:8" x14ac:dyDescent="0.25">
      <c r="A31834" s="1"/>
      <c r="B31834" s="1" t="s">
        <v>8275</v>
      </c>
      <c r="C31834" s="1" t="s">
        <v>8276</v>
      </c>
      <c r="D31834" s="1" t="str">
        <f>HYPERLINK("https://rhld.insurance.arkansas.gov/NPILookup?Npi=1861475147","1861475147")</f>
        <v>1861475147</v>
      </c>
      <c r="E31834" s="1" t="s">
        <v>29826</v>
      </c>
      <c r="F31834" s="2"/>
      <c r="G31834" s="2"/>
      <c r="H31834" s="2"/>
    </row>
    <row r="31835" spans="1:8" x14ac:dyDescent="0.25">
      <c r="A31835" s="1"/>
      <c r="B31835" s="1" t="s">
        <v>8275</v>
      </c>
      <c r="C31835" s="1" t="s">
        <v>8276</v>
      </c>
      <c r="D31835" s="1" t="str">
        <f>HYPERLINK("https://rhld.insurance.arkansas.gov/NPILookup?Npi=1861479966","1861479966")</f>
        <v>1861479966</v>
      </c>
      <c r="E31835" s="1" t="s">
        <v>28969</v>
      </c>
      <c r="F31835" s="2"/>
      <c r="G31835" s="2"/>
      <c r="H31835" s="2"/>
    </row>
    <row r="31836" spans="1:8" x14ac:dyDescent="0.25">
      <c r="A31836" s="1"/>
      <c r="B31836" s="1" t="s">
        <v>8275</v>
      </c>
      <c r="C31836" s="1" t="s">
        <v>8276</v>
      </c>
      <c r="D31836" s="1" t="str">
        <f>HYPERLINK("https://rhld.insurance.arkansas.gov/NPILookup?Npi=1861498776","1861498776")</f>
        <v>1861498776</v>
      </c>
      <c r="E31836" s="1" t="s">
        <v>13717</v>
      </c>
      <c r="F31836" s="2"/>
      <c r="G31836" s="2"/>
      <c r="H31836" s="2"/>
    </row>
    <row r="31837" spans="1:8" x14ac:dyDescent="0.25">
      <c r="A31837" s="1"/>
      <c r="B31837" s="1" t="s">
        <v>8275</v>
      </c>
      <c r="C31837" s="1" t="s">
        <v>8276</v>
      </c>
      <c r="D31837" s="1" t="str">
        <f>HYPERLINK("https://rhld.insurance.arkansas.gov/NPILookup?Npi=1861506453","1861506453")</f>
        <v>1861506453</v>
      </c>
      <c r="E31837" s="1" t="s">
        <v>2089</v>
      </c>
      <c r="F31837" s="2"/>
      <c r="G31837" s="2"/>
      <c r="H31837" s="2"/>
    </row>
    <row r="31838" spans="1:8" x14ac:dyDescent="0.25">
      <c r="A31838" s="1"/>
      <c r="B31838" s="1" t="s">
        <v>8275</v>
      </c>
      <c r="C31838" s="1" t="s">
        <v>8276</v>
      </c>
      <c r="D31838" s="1" t="str">
        <f>HYPERLINK("https://rhld.insurance.arkansas.gov/NPILookup?Npi=1861683435","1861683435")</f>
        <v>1861683435</v>
      </c>
      <c r="E31838" s="1" t="s">
        <v>17944</v>
      </c>
      <c r="F31838" s="2"/>
      <c r="G31838" s="2"/>
      <c r="H31838" s="2"/>
    </row>
    <row r="31839" spans="1:8" x14ac:dyDescent="0.25">
      <c r="A31839" s="1"/>
      <c r="B31839" s="1" t="s">
        <v>8275</v>
      </c>
      <c r="C31839" s="1" t="s">
        <v>8276</v>
      </c>
      <c r="D31839" s="1" t="str">
        <f>HYPERLINK("https://rhld.insurance.arkansas.gov/NPILookup?Npi=1861710550","1861710550")</f>
        <v>1861710550</v>
      </c>
      <c r="E31839" s="1" t="s">
        <v>17945</v>
      </c>
      <c r="F31839" s="2"/>
      <c r="G31839" s="2"/>
      <c r="H31839" s="2"/>
    </row>
    <row r="31840" spans="1:8" x14ac:dyDescent="0.25">
      <c r="A31840" s="1"/>
      <c r="B31840" s="1" t="s">
        <v>8275</v>
      </c>
      <c r="C31840" s="1" t="s">
        <v>8276</v>
      </c>
      <c r="D31840" s="1" t="str">
        <f>HYPERLINK("https://rhld.insurance.arkansas.gov/NPILookup?Npi=1861755118","1861755118")</f>
        <v>1861755118</v>
      </c>
      <c r="E31840" s="1" t="s">
        <v>13718</v>
      </c>
      <c r="F31840" s="2"/>
      <c r="G31840" s="2"/>
      <c r="H31840" s="2"/>
    </row>
    <row r="31841" spans="1:8" x14ac:dyDescent="0.25">
      <c r="A31841" s="1"/>
      <c r="B31841" s="1" t="s">
        <v>8275</v>
      </c>
      <c r="C31841" s="1" t="s">
        <v>8276</v>
      </c>
      <c r="D31841" s="1" t="str">
        <f>HYPERLINK("https://rhld.insurance.arkansas.gov/NPILookup?Npi=1861788028","1861788028")</f>
        <v>1861788028</v>
      </c>
      <c r="E31841" s="1" t="s">
        <v>28979</v>
      </c>
      <c r="F31841" s="2"/>
      <c r="G31841" s="2"/>
      <c r="H31841" s="2"/>
    </row>
    <row r="31842" spans="1:8" x14ac:dyDescent="0.25">
      <c r="A31842" s="1"/>
      <c r="B31842" s="1" t="s">
        <v>8275</v>
      </c>
      <c r="C31842" s="1" t="s">
        <v>8276</v>
      </c>
      <c r="D31842" s="1" t="str">
        <f>HYPERLINK("https://rhld.insurance.arkansas.gov/NPILookup?Npi=1861841132","1861841132")</f>
        <v>1861841132</v>
      </c>
      <c r="E31842" s="1" t="s">
        <v>5729</v>
      </c>
      <c r="F31842" s="2"/>
      <c r="G31842" s="2"/>
      <c r="H31842" s="2"/>
    </row>
    <row r="31843" spans="1:8" x14ac:dyDescent="0.25">
      <c r="A31843" s="1"/>
      <c r="B31843" s="1" t="s">
        <v>8275</v>
      </c>
      <c r="C31843" s="1" t="s">
        <v>8276</v>
      </c>
      <c r="D31843" s="1" t="str">
        <f>HYPERLINK("https://rhld.insurance.arkansas.gov/NPILookup?Npi=1861843690","1861843690")</f>
        <v>1861843690</v>
      </c>
      <c r="E31843" s="1" t="s">
        <v>28981</v>
      </c>
      <c r="F31843" s="2"/>
      <c r="G31843" s="2"/>
      <c r="H31843" s="2"/>
    </row>
    <row r="31844" spans="1:8" x14ac:dyDescent="0.25">
      <c r="A31844" s="1"/>
      <c r="B31844" s="1" t="s">
        <v>8275</v>
      </c>
      <c r="C31844" s="1" t="s">
        <v>8276</v>
      </c>
      <c r="D31844" s="1" t="str">
        <f>HYPERLINK("https://rhld.insurance.arkansas.gov/NPILookup?Npi=1861884835","1861884835")</f>
        <v>1861884835</v>
      </c>
      <c r="E31844" s="1" t="s">
        <v>13943</v>
      </c>
      <c r="F31844" s="2"/>
      <c r="G31844" s="2"/>
      <c r="H31844" s="2"/>
    </row>
    <row r="31845" spans="1:8" x14ac:dyDescent="0.25">
      <c r="A31845" s="1"/>
      <c r="B31845" s="1" t="s">
        <v>8275</v>
      </c>
      <c r="C31845" s="1" t="s">
        <v>8276</v>
      </c>
      <c r="D31845" s="1" t="str">
        <f>HYPERLINK("https://rhld.insurance.arkansas.gov/NPILookup?Npi=1861885832","1861885832")</f>
        <v>1861885832</v>
      </c>
      <c r="E31845" s="1" t="s">
        <v>13720</v>
      </c>
      <c r="F31845" s="2"/>
      <c r="G31845" s="2"/>
      <c r="H31845" s="2"/>
    </row>
    <row r="31846" spans="1:8" x14ac:dyDescent="0.25">
      <c r="A31846" s="1"/>
      <c r="B31846" s="1" t="s">
        <v>8275</v>
      </c>
      <c r="C31846" s="1" t="s">
        <v>8276</v>
      </c>
      <c r="D31846" s="1" t="str">
        <f>HYPERLINK("https://rhld.insurance.arkansas.gov/NPILookup?Npi=1861924904","1861924904")</f>
        <v>1861924904</v>
      </c>
      <c r="E31846" s="1" t="s">
        <v>29827</v>
      </c>
      <c r="F31846" s="2"/>
      <c r="G31846" s="2"/>
      <c r="H31846" s="2"/>
    </row>
    <row r="31847" spans="1:8" x14ac:dyDescent="0.25">
      <c r="A31847" s="1"/>
      <c r="B31847" s="1" t="s">
        <v>8275</v>
      </c>
      <c r="C31847" s="1" t="s">
        <v>8276</v>
      </c>
      <c r="D31847" s="1" t="str">
        <f>HYPERLINK("https://rhld.insurance.arkansas.gov/NPILookup?Npi=1861998932","1861998932")</f>
        <v>1861998932</v>
      </c>
      <c r="E31847" s="1" t="s">
        <v>29828</v>
      </c>
      <c r="F31847" s="2"/>
      <c r="G31847" s="2"/>
      <c r="H31847" s="2"/>
    </row>
    <row r="31848" spans="1:8" x14ac:dyDescent="0.25">
      <c r="A31848" s="1"/>
      <c r="B31848" s="1" t="s">
        <v>8275</v>
      </c>
      <c r="C31848" s="1" t="s">
        <v>8276</v>
      </c>
      <c r="D31848" s="1" t="str">
        <f>HYPERLINK("https://rhld.insurance.arkansas.gov/NPILookup?Npi=1871059709","1871059709")</f>
        <v>1871059709</v>
      </c>
      <c r="E31848" s="1" t="s">
        <v>32386</v>
      </c>
      <c r="F31848" s="2"/>
      <c r="G31848" s="2"/>
      <c r="H31848" s="2"/>
    </row>
    <row r="31849" spans="1:8" x14ac:dyDescent="0.25">
      <c r="A31849" s="1"/>
      <c r="B31849" s="1" t="s">
        <v>8275</v>
      </c>
      <c r="C31849" s="1" t="s">
        <v>8276</v>
      </c>
      <c r="D31849" s="1" t="str">
        <f>HYPERLINK("https://rhld.insurance.arkansas.gov/NPILookup?Npi=1871123968","1871123968")</f>
        <v>1871123968</v>
      </c>
      <c r="E31849" s="1" t="s">
        <v>32387</v>
      </c>
      <c r="F31849" s="2"/>
      <c r="G31849" s="2"/>
      <c r="H31849" s="2"/>
    </row>
    <row r="31850" spans="1:8" x14ac:dyDescent="0.25">
      <c r="A31850" s="1"/>
      <c r="B31850" s="1" t="s">
        <v>8275</v>
      </c>
      <c r="C31850" s="1" t="s">
        <v>8276</v>
      </c>
      <c r="D31850" s="1" t="str">
        <f>HYPERLINK("https://rhld.insurance.arkansas.gov/NPILookup?Npi=1871244749","1871244749")</f>
        <v>1871244749</v>
      </c>
      <c r="E31850" s="1" t="s">
        <v>29008</v>
      </c>
      <c r="F31850" s="2"/>
      <c r="G31850" s="2"/>
      <c r="H31850" s="2"/>
    </row>
    <row r="31851" spans="1:8" x14ac:dyDescent="0.25">
      <c r="A31851" s="1"/>
      <c r="B31851" s="1" t="s">
        <v>8275</v>
      </c>
      <c r="C31851" s="1" t="s">
        <v>8276</v>
      </c>
      <c r="D31851" s="1" t="str">
        <f>HYPERLINK("https://rhld.insurance.arkansas.gov/NPILookup?Npi=1871276667","1871276667")</f>
        <v>1871276667</v>
      </c>
      <c r="E31851" s="1" t="s">
        <v>29011</v>
      </c>
      <c r="F31851" s="2"/>
      <c r="G31851" s="2"/>
      <c r="H31851" s="2"/>
    </row>
    <row r="31852" spans="1:8" x14ac:dyDescent="0.25">
      <c r="A31852" s="1"/>
      <c r="B31852" s="1" t="s">
        <v>8275</v>
      </c>
      <c r="C31852" s="1" t="s">
        <v>8276</v>
      </c>
      <c r="D31852" s="1" t="str">
        <f>HYPERLINK("https://rhld.insurance.arkansas.gov/NPILookup?Npi=1871294553","1871294553")</f>
        <v>1871294553</v>
      </c>
      <c r="E31852" s="1" t="s">
        <v>29012</v>
      </c>
      <c r="F31852" s="2"/>
      <c r="G31852" s="2"/>
      <c r="H31852" s="2"/>
    </row>
    <row r="31853" spans="1:8" x14ac:dyDescent="0.25">
      <c r="A31853" s="1"/>
      <c r="B31853" s="1" t="s">
        <v>8275</v>
      </c>
      <c r="C31853" s="1" t="s">
        <v>8276</v>
      </c>
      <c r="D31853" s="1" t="str">
        <f>HYPERLINK("https://rhld.insurance.arkansas.gov/NPILookup?Npi=1871306787","1871306787")</f>
        <v>1871306787</v>
      </c>
      <c r="E31853" s="1" t="s">
        <v>32389</v>
      </c>
      <c r="F31853" s="2"/>
      <c r="G31853" s="2"/>
      <c r="H31853" s="2"/>
    </row>
    <row r="31854" spans="1:8" x14ac:dyDescent="0.25">
      <c r="A31854" s="1"/>
      <c r="B31854" s="1" t="s">
        <v>8275</v>
      </c>
      <c r="C31854" s="1" t="s">
        <v>8276</v>
      </c>
      <c r="D31854" s="1" t="str">
        <f>HYPERLINK("https://rhld.insurance.arkansas.gov/NPILookup?Npi=1871504050","1871504050")</f>
        <v>1871504050</v>
      </c>
      <c r="E31854" s="1" t="s">
        <v>29829</v>
      </c>
      <c r="F31854" s="2"/>
      <c r="G31854" s="2"/>
      <c r="H31854" s="2"/>
    </row>
    <row r="31855" spans="1:8" x14ac:dyDescent="0.25">
      <c r="A31855" s="1"/>
      <c r="B31855" s="1" t="s">
        <v>8275</v>
      </c>
      <c r="C31855" s="1" t="s">
        <v>8276</v>
      </c>
      <c r="D31855" s="1" t="str">
        <f>HYPERLINK("https://rhld.insurance.arkansas.gov/NPILookup?Npi=1871515452","1871515452")</f>
        <v>1871515452</v>
      </c>
      <c r="E31855" s="1" t="s">
        <v>3844</v>
      </c>
      <c r="F31855" s="2"/>
      <c r="G31855" s="2"/>
      <c r="H31855" s="2"/>
    </row>
    <row r="31856" spans="1:8" x14ac:dyDescent="0.25">
      <c r="A31856" s="1"/>
      <c r="B31856" s="1" t="s">
        <v>8275</v>
      </c>
      <c r="C31856" s="1" t="s">
        <v>8276</v>
      </c>
      <c r="D31856" s="1" t="str">
        <f>HYPERLINK("https://rhld.insurance.arkansas.gov/NPILookup?Npi=1871516336","1871516336")</f>
        <v>1871516336</v>
      </c>
      <c r="E31856" s="1" t="s">
        <v>29019</v>
      </c>
      <c r="F31856" s="2"/>
      <c r="G31856" s="2"/>
      <c r="H31856" s="2"/>
    </row>
    <row r="31857" spans="1:8" x14ac:dyDescent="0.25">
      <c r="A31857" s="1"/>
      <c r="B31857" s="1" t="s">
        <v>8275</v>
      </c>
      <c r="C31857" s="1" t="s">
        <v>8276</v>
      </c>
      <c r="D31857" s="1" t="str">
        <f>HYPERLINK("https://rhld.insurance.arkansas.gov/NPILookup?Npi=1871528240","1871528240")</f>
        <v>1871528240</v>
      </c>
      <c r="E31857" s="1" t="s">
        <v>13944</v>
      </c>
      <c r="F31857" s="2"/>
      <c r="G31857" s="2"/>
      <c r="H31857" s="2"/>
    </row>
    <row r="31858" spans="1:8" x14ac:dyDescent="0.25">
      <c r="A31858" s="1"/>
      <c r="B31858" s="1" t="s">
        <v>8275</v>
      </c>
      <c r="C31858" s="1" t="s">
        <v>8276</v>
      </c>
      <c r="D31858" s="1" t="str">
        <f>HYPERLINK("https://rhld.insurance.arkansas.gov/NPILookup?Npi=1871548644","1871548644")</f>
        <v>1871548644</v>
      </c>
      <c r="E31858" s="1" t="s">
        <v>29830</v>
      </c>
      <c r="F31858" s="2"/>
      <c r="G31858" s="2"/>
      <c r="H31858" s="2"/>
    </row>
    <row r="31859" spans="1:8" x14ac:dyDescent="0.25">
      <c r="A31859" s="1"/>
      <c r="B31859" s="1" t="s">
        <v>8275</v>
      </c>
      <c r="C31859" s="1" t="s">
        <v>8276</v>
      </c>
      <c r="D31859" s="1" t="str">
        <f>HYPERLINK("https://rhld.insurance.arkansas.gov/NPILookup?Npi=1871557157","1871557157")</f>
        <v>1871557157</v>
      </c>
      <c r="E31859" s="1" t="s">
        <v>29831</v>
      </c>
      <c r="F31859" s="2"/>
      <c r="G31859" s="2"/>
      <c r="H31859" s="2"/>
    </row>
    <row r="31860" spans="1:8" x14ac:dyDescent="0.25">
      <c r="A31860" s="1"/>
      <c r="B31860" s="1" t="s">
        <v>8275</v>
      </c>
      <c r="C31860" s="1" t="s">
        <v>8276</v>
      </c>
      <c r="D31860" s="1" t="str">
        <f>HYPERLINK("https://rhld.insurance.arkansas.gov/NPILookup?Npi=1871589309","1871589309")</f>
        <v>1871589309</v>
      </c>
      <c r="E31860" s="1" t="s">
        <v>29025</v>
      </c>
      <c r="F31860" s="2"/>
      <c r="G31860" s="2"/>
      <c r="H31860" s="2"/>
    </row>
    <row r="31861" spans="1:8" x14ac:dyDescent="0.25">
      <c r="A31861" s="1"/>
      <c r="B31861" s="1" t="s">
        <v>8275</v>
      </c>
      <c r="C31861" s="1" t="s">
        <v>8276</v>
      </c>
      <c r="D31861" s="1" t="str">
        <f>HYPERLINK("https://rhld.insurance.arkansas.gov/NPILookup?Npi=1871611293","1871611293")</f>
        <v>1871611293</v>
      </c>
      <c r="E31861" s="1" t="s">
        <v>13945</v>
      </c>
      <c r="F31861" s="2"/>
      <c r="G31861" s="2"/>
      <c r="H31861" s="2"/>
    </row>
    <row r="31862" spans="1:8" x14ac:dyDescent="0.25">
      <c r="A31862" s="1"/>
      <c r="B31862" s="1" t="s">
        <v>8275</v>
      </c>
      <c r="C31862" s="1" t="s">
        <v>8276</v>
      </c>
      <c r="D31862" s="1" t="str">
        <f>HYPERLINK("https://rhld.insurance.arkansas.gov/NPILookup?Npi=1871667618","1871667618")</f>
        <v>1871667618</v>
      </c>
      <c r="E31862" s="1" t="s">
        <v>775</v>
      </c>
      <c r="F31862" s="2"/>
      <c r="G31862" s="2"/>
      <c r="H31862" s="2"/>
    </row>
    <row r="31863" spans="1:8" x14ac:dyDescent="0.25">
      <c r="A31863" s="1"/>
      <c r="B31863" s="1" t="s">
        <v>8275</v>
      </c>
      <c r="C31863" s="1" t="s">
        <v>8276</v>
      </c>
      <c r="D31863" s="1" t="str">
        <f>HYPERLINK("https://rhld.insurance.arkansas.gov/NPILookup?Npi=1871683433","1871683433")</f>
        <v>1871683433</v>
      </c>
      <c r="E31863" s="1" t="s">
        <v>29832</v>
      </c>
      <c r="F31863" s="2"/>
      <c r="G31863" s="2"/>
      <c r="H31863" s="2"/>
    </row>
    <row r="31864" spans="1:8" x14ac:dyDescent="0.25">
      <c r="A31864" s="1"/>
      <c r="B31864" s="1" t="s">
        <v>8275</v>
      </c>
      <c r="C31864" s="1" t="s">
        <v>8276</v>
      </c>
      <c r="D31864" s="1" t="str">
        <f>HYPERLINK("https://rhld.insurance.arkansas.gov/NPILookup?Npi=1871684654","1871684654")</f>
        <v>1871684654</v>
      </c>
      <c r="E31864" s="1" t="s">
        <v>8337</v>
      </c>
      <c r="F31864" s="2"/>
      <c r="G31864" s="2"/>
      <c r="H31864" s="2"/>
    </row>
    <row r="31865" spans="1:8" x14ac:dyDescent="0.25">
      <c r="A31865" s="1"/>
      <c r="B31865" s="1" t="s">
        <v>8275</v>
      </c>
      <c r="C31865" s="1" t="s">
        <v>8276</v>
      </c>
      <c r="D31865" s="1" t="str">
        <f>HYPERLINK("https://rhld.insurance.arkansas.gov/NPILookup?Npi=1871715904","1871715904")</f>
        <v>1871715904</v>
      </c>
      <c r="E31865" s="1" t="s">
        <v>214</v>
      </c>
      <c r="F31865" s="2"/>
      <c r="G31865" s="2"/>
      <c r="H31865" s="2"/>
    </row>
    <row r="31866" spans="1:8" x14ac:dyDescent="0.25">
      <c r="A31866" s="1"/>
      <c r="B31866" s="1" t="s">
        <v>8275</v>
      </c>
      <c r="C31866" s="1" t="s">
        <v>8276</v>
      </c>
      <c r="D31866" s="1" t="str">
        <f>HYPERLINK("https://rhld.insurance.arkansas.gov/NPILookup?Npi=1871760629","1871760629")</f>
        <v>1871760629</v>
      </c>
      <c r="E31866" s="1" t="s">
        <v>301</v>
      </c>
      <c r="F31866" s="2"/>
      <c r="G31866" s="2"/>
      <c r="H31866" s="2"/>
    </row>
    <row r="31867" spans="1:8" x14ac:dyDescent="0.25">
      <c r="A31867" s="1"/>
      <c r="B31867" s="1" t="s">
        <v>8275</v>
      </c>
      <c r="C31867" s="1" t="s">
        <v>8276</v>
      </c>
      <c r="D31867" s="1" t="str">
        <f>HYPERLINK("https://rhld.insurance.arkansas.gov/NPILookup?Npi=1871850420","1871850420")</f>
        <v>1871850420</v>
      </c>
      <c r="E31867" s="1" t="s">
        <v>29033</v>
      </c>
      <c r="F31867" s="2"/>
      <c r="G31867" s="2"/>
      <c r="H31867" s="2"/>
    </row>
    <row r="31868" spans="1:8" x14ac:dyDescent="0.25">
      <c r="A31868" s="1"/>
      <c r="B31868" s="1" t="s">
        <v>8275</v>
      </c>
      <c r="C31868" s="1" t="s">
        <v>8276</v>
      </c>
      <c r="D31868" s="1" t="str">
        <f>HYPERLINK("https://rhld.insurance.arkansas.gov/NPILookup?Npi=1871885525","1871885525")</f>
        <v>1871885525</v>
      </c>
      <c r="E31868" s="1" t="s">
        <v>29833</v>
      </c>
      <c r="F31868" s="2"/>
      <c r="G31868" s="2"/>
      <c r="H31868" s="2"/>
    </row>
    <row r="31869" spans="1:8" x14ac:dyDescent="0.25">
      <c r="A31869" s="1"/>
      <c r="B31869" s="1" t="s">
        <v>8275</v>
      </c>
      <c r="C31869" s="1" t="s">
        <v>8276</v>
      </c>
      <c r="D31869" s="1" t="str">
        <f>HYPERLINK("https://rhld.insurance.arkansas.gov/NPILookup?Npi=1871955351","1871955351")</f>
        <v>1871955351</v>
      </c>
      <c r="E31869" s="1" t="s">
        <v>32480</v>
      </c>
      <c r="F31869" s="2"/>
      <c r="G31869" s="2"/>
      <c r="H31869" s="2"/>
    </row>
    <row r="31870" spans="1:8" x14ac:dyDescent="0.25">
      <c r="A31870" s="1"/>
      <c r="B31870" s="1" t="s">
        <v>8275</v>
      </c>
      <c r="C31870" s="1" t="s">
        <v>8276</v>
      </c>
      <c r="D31870" s="1" t="str">
        <f>HYPERLINK("https://rhld.insurance.arkansas.gov/NPILookup?Npi=1881076248","1881076248")</f>
        <v>1881076248</v>
      </c>
      <c r="E31870" s="1" t="s">
        <v>29834</v>
      </c>
      <c r="F31870" s="2"/>
      <c r="G31870" s="2"/>
      <c r="H31870" s="2"/>
    </row>
    <row r="31871" spans="1:8" x14ac:dyDescent="0.25">
      <c r="A31871" s="1"/>
      <c r="B31871" s="1" t="s">
        <v>8275</v>
      </c>
      <c r="C31871" s="1" t="s">
        <v>8276</v>
      </c>
      <c r="D31871" s="1" t="str">
        <f>HYPERLINK("https://rhld.insurance.arkansas.gov/NPILookup?Npi=1881127884","1881127884")</f>
        <v>1881127884</v>
      </c>
      <c r="E31871" s="1" t="s">
        <v>29835</v>
      </c>
      <c r="F31871" s="2"/>
      <c r="G31871" s="2"/>
      <c r="H31871" s="2"/>
    </row>
    <row r="31872" spans="1:8" x14ac:dyDescent="0.25">
      <c r="A31872" s="1"/>
      <c r="B31872" s="1" t="s">
        <v>8275</v>
      </c>
      <c r="C31872" s="1" t="s">
        <v>8276</v>
      </c>
      <c r="D31872" s="1" t="str">
        <f>HYPERLINK("https://rhld.insurance.arkansas.gov/NPILookup?Npi=1881222073","1881222073")</f>
        <v>1881222073</v>
      </c>
      <c r="E31872" s="1" t="s">
        <v>5396</v>
      </c>
      <c r="F31872" s="2"/>
      <c r="G31872" s="2"/>
      <c r="H31872" s="2"/>
    </row>
    <row r="31873" spans="1:8" x14ac:dyDescent="0.25">
      <c r="A31873" s="1"/>
      <c r="B31873" s="1" t="s">
        <v>8275</v>
      </c>
      <c r="C31873" s="1" t="s">
        <v>8276</v>
      </c>
      <c r="D31873" s="1" t="str">
        <f>HYPERLINK("https://rhld.insurance.arkansas.gov/NPILookup?Npi=1881301968","1881301968")</f>
        <v>1881301968</v>
      </c>
      <c r="E31873" s="1" t="s">
        <v>32392</v>
      </c>
      <c r="F31873" s="2"/>
      <c r="G31873" s="2"/>
      <c r="H31873" s="2"/>
    </row>
    <row r="31874" spans="1:8" x14ac:dyDescent="0.25">
      <c r="A31874" s="1"/>
      <c r="B31874" s="1" t="s">
        <v>8275</v>
      </c>
      <c r="C31874" s="1" t="s">
        <v>8276</v>
      </c>
      <c r="D31874" s="1" t="str">
        <f>HYPERLINK("https://rhld.insurance.arkansas.gov/NPILookup?Npi=1881469914","1881469914")</f>
        <v>1881469914</v>
      </c>
      <c r="E31874" s="1" t="s">
        <v>32394</v>
      </c>
      <c r="F31874" s="2"/>
      <c r="G31874" s="2"/>
      <c r="H31874" s="2"/>
    </row>
    <row r="31875" spans="1:8" x14ac:dyDescent="0.25">
      <c r="A31875" s="1"/>
      <c r="B31875" s="1" t="s">
        <v>8275</v>
      </c>
      <c r="C31875" s="1" t="s">
        <v>8276</v>
      </c>
      <c r="D31875" s="1" t="str">
        <f>HYPERLINK("https://rhld.insurance.arkansas.gov/NPILookup?Npi=1881620003","1881620003")</f>
        <v>1881620003</v>
      </c>
      <c r="E31875" s="1" t="s">
        <v>29069</v>
      </c>
      <c r="F31875" s="2"/>
      <c r="G31875" s="2"/>
      <c r="H31875" s="2"/>
    </row>
    <row r="31876" spans="1:8" x14ac:dyDescent="0.25">
      <c r="A31876" s="1"/>
      <c r="B31876" s="1" t="s">
        <v>8275</v>
      </c>
      <c r="C31876" s="1" t="s">
        <v>8276</v>
      </c>
      <c r="D31876" s="1" t="str">
        <f>HYPERLINK("https://rhld.insurance.arkansas.gov/NPILookup?Npi=1881624039","1881624039")</f>
        <v>1881624039</v>
      </c>
      <c r="E31876" s="1" t="s">
        <v>29070</v>
      </c>
      <c r="F31876" s="2"/>
      <c r="G31876" s="2"/>
      <c r="H31876" s="2"/>
    </row>
    <row r="31877" spans="1:8" x14ac:dyDescent="0.25">
      <c r="A31877" s="1"/>
      <c r="B31877" s="1" t="s">
        <v>8275</v>
      </c>
      <c r="C31877" s="1" t="s">
        <v>8276</v>
      </c>
      <c r="D31877" s="1" t="str">
        <f>HYPERLINK("https://rhld.insurance.arkansas.gov/NPILookup?Npi=1881660223","1881660223")</f>
        <v>1881660223</v>
      </c>
      <c r="E31877" s="1" t="s">
        <v>29836</v>
      </c>
      <c r="F31877" s="2"/>
      <c r="G31877" s="2"/>
      <c r="H31877" s="2"/>
    </row>
    <row r="31878" spans="1:8" x14ac:dyDescent="0.25">
      <c r="A31878" s="1"/>
      <c r="B31878" s="1" t="s">
        <v>8275</v>
      </c>
      <c r="C31878" s="1" t="s">
        <v>8276</v>
      </c>
      <c r="D31878" s="1" t="str">
        <f>HYPERLINK("https://rhld.insurance.arkansas.gov/NPILookup?Npi=1881686962","1881686962")</f>
        <v>1881686962</v>
      </c>
      <c r="E31878" s="1" t="s">
        <v>29078</v>
      </c>
      <c r="F31878" s="2"/>
      <c r="G31878" s="2"/>
      <c r="H31878" s="2"/>
    </row>
    <row r="31879" spans="1:8" x14ac:dyDescent="0.25">
      <c r="A31879" s="1"/>
      <c r="B31879" s="1" t="s">
        <v>8275</v>
      </c>
      <c r="C31879" s="1" t="s">
        <v>8276</v>
      </c>
      <c r="D31879" s="1" t="str">
        <f>HYPERLINK("https://rhld.insurance.arkansas.gov/NPILookup?Npi=1881719938","1881719938")</f>
        <v>1881719938</v>
      </c>
      <c r="E31879" s="1" t="s">
        <v>29080</v>
      </c>
      <c r="F31879" s="2"/>
      <c r="G31879" s="2"/>
      <c r="H31879" s="2"/>
    </row>
    <row r="31880" spans="1:8" x14ac:dyDescent="0.25">
      <c r="A31880" s="1"/>
      <c r="B31880" s="1" t="s">
        <v>8275</v>
      </c>
      <c r="C31880" s="1" t="s">
        <v>8276</v>
      </c>
      <c r="D31880" s="1" t="str">
        <f>HYPERLINK("https://rhld.insurance.arkansas.gov/NPILookup?Npi=1881747046","1881747046")</f>
        <v>1881747046</v>
      </c>
      <c r="E31880" s="1" t="s">
        <v>32395</v>
      </c>
      <c r="F31880" s="2"/>
      <c r="G31880" s="2"/>
      <c r="H31880" s="2"/>
    </row>
    <row r="31881" spans="1:8" x14ac:dyDescent="0.25">
      <c r="A31881" s="1"/>
      <c r="B31881" s="1" t="s">
        <v>8275</v>
      </c>
      <c r="C31881" s="1" t="s">
        <v>8276</v>
      </c>
      <c r="D31881" s="1" t="str">
        <f>HYPERLINK("https://rhld.insurance.arkansas.gov/NPILookup?Npi=1881752939","1881752939")</f>
        <v>1881752939</v>
      </c>
      <c r="E31881" s="1" t="s">
        <v>29837</v>
      </c>
      <c r="F31881" s="2"/>
      <c r="G31881" s="2"/>
      <c r="H31881" s="2"/>
    </row>
    <row r="31882" spans="1:8" x14ac:dyDescent="0.25">
      <c r="A31882" s="1"/>
      <c r="B31882" s="1" t="s">
        <v>8275</v>
      </c>
      <c r="C31882" s="1" t="s">
        <v>8276</v>
      </c>
      <c r="D31882" s="1" t="str">
        <f>HYPERLINK("https://rhld.insurance.arkansas.gov/NPILookup?Npi=1881784445","1881784445")</f>
        <v>1881784445</v>
      </c>
      <c r="E31882" s="1" t="s">
        <v>2423</v>
      </c>
      <c r="F31882" s="2"/>
      <c r="G31882" s="2"/>
      <c r="H31882" s="2"/>
    </row>
    <row r="31883" spans="1:8" x14ac:dyDescent="0.25">
      <c r="A31883" s="1"/>
      <c r="B31883" s="1" t="s">
        <v>8275</v>
      </c>
      <c r="C31883" s="1" t="s">
        <v>8276</v>
      </c>
      <c r="D31883" s="1" t="str">
        <f>HYPERLINK("https://rhld.insurance.arkansas.gov/NPILookup?Npi=1881784650","1881784650")</f>
        <v>1881784650</v>
      </c>
      <c r="E31883" s="1" t="s">
        <v>2135</v>
      </c>
      <c r="F31883" s="2"/>
      <c r="G31883" s="2"/>
      <c r="H31883" s="2"/>
    </row>
    <row r="31884" spans="1:8" x14ac:dyDescent="0.25">
      <c r="A31884" s="1"/>
      <c r="B31884" s="1" t="s">
        <v>8275</v>
      </c>
      <c r="C31884" s="1" t="s">
        <v>8276</v>
      </c>
      <c r="D31884" s="1" t="str">
        <f>HYPERLINK("https://rhld.insurance.arkansas.gov/NPILookup?Npi=1881813111","1881813111")</f>
        <v>1881813111</v>
      </c>
      <c r="E31884" s="1" t="s">
        <v>29838</v>
      </c>
      <c r="F31884" s="2"/>
      <c r="G31884" s="2"/>
      <c r="H31884" s="2"/>
    </row>
    <row r="31885" spans="1:8" x14ac:dyDescent="0.25">
      <c r="A31885" s="1"/>
      <c r="B31885" s="1" t="s">
        <v>8275</v>
      </c>
      <c r="C31885" s="1" t="s">
        <v>8276</v>
      </c>
      <c r="D31885" s="1" t="str">
        <f>HYPERLINK("https://rhld.insurance.arkansas.gov/NPILookup?Npi=1881845758","1881845758")</f>
        <v>1881845758</v>
      </c>
      <c r="E31885" s="1" t="s">
        <v>3069</v>
      </c>
      <c r="F31885" s="2"/>
      <c r="G31885" s="2"/>
      <c r="H31885" s="2"/>
    </row>
    <row r="31886" spans="1:8" x14ac:dyDescent="0.25">
      <c r="A31886" s="1"/>
      <c r="B31886" s="1" t="s">
        <v>8275</v>
      </c>
      <c r="C31886" s="1" t="s">
        <v>8276</v>
      </c>
      <c r="D31886" s="1" t="str">
        <f>HYPERLINK("https://rhld.insurance.arkansas.gov/NPILookup?Npi=1881958288","1881958288")</f>
        <v>1881958288</v>
      </c>
      <c r="E31886" s="1" t="s">
        <v>1404</v>
      </c>
      <c r="F31886" s="2"/>
      <c r="G31886" s="2"/>
      <c r="H31886" s="2"/>
    </row>
    <row r="31887" spans="1:8" x14ac:dyDescent="0.25">
      <c r="A31887" s="1"/>
      <c r="B31887" s="1" t="s">
        <v>8275</v>
      </c>
      <c r="C31887" s="1" t="s">
        <v>8276</v>
      </c>
      <c r="D31887" s="1" t="str">
        <f>HYPERLINK("https://rhld.insurance.arkansas.gov/NPILookup?Npi=1891012589","1891012589")</f>
        <v>1891012589</v>
      </c>
      <c r="E31887" s="1" t="s">
        <v>29839</v>
      </c>
      <c r="F31887" s="2"/>
      <c r="G31887" s="2"/>
      <c r="H31887" s="2"/>
    </row>
    <row r="31888" spans="1:8" x14ac:dyDescent="0.25">
      <c r="A31888" s="1"/>
      <c r="B31888" s="1" t="s">
        <v>8275</v>
      </c>
      <c r="C31888" s="1" t="s">
        <v>8276</v>
      </c>
      <c r="D31888" s="1" t="str">
        <f>HYPERLINK("https://rhld.insurance.arkansas.gov/NPILookup?Npi=1891134474","1891134474")</f>
        <v>1891134474</v>
      </c>
      <c r="E31888" s="1" t="s">
        <v>29840</v>
      </c>
      <c r="F31888" s="2"/>
      <c r="G31888" s="2"/>
      <c r="H31888" s="2"/>
    </row>
    <row r="31889" spans="1:8" x14ac:dyDescent="0.25">
      <c r="A31889" s="1"/>
      <c r="B31889" s="1" t="s">
        <v>8275</v>
      </c>
      <c r="C31889" s="1" t="s">
        <v>8276</v>
      </c>
      <c r="D31889" s="1" t="str">
        <f>HYPERLINK("https://rhld.insurance.arkansas.gov/NPILookup?Npi=1891138947","1891138947")</f>
        <v>1891138947</v>
      </c>
      <c r="E31889" s="1" t="s">
        <v>29841</v>
      </c>
      <c r="F31889" s="2"/>
      <c r="G31889" s="2"/>
      <c r="H31889" s="2"/>
    </row>
    <row r="31890" spans="1:8" x14ac:dyDescent="0.25">
      <c r="A31890" s="1"/>
      <c r="B31890" s="1" t="s">
        <v>8275</v>
      </c>
      <c r="C31890" s="1" t="s">
        <v>8276</v>
      </c>
      <c r="D31890" s="1" t="str">
        <f>HYPERLINK("https://rhld.insurance.arkansas.gov/NPILookup?Npi=1891144028","1891144028")</f>
        <v>1891144028</v>
      </c>
      <c r="E31890" s="1" t="s">
        <v>32396</v>
      </c>
      <c r="F31890" s="2"/>
      <c r="G31890" s="2"/>
      <c r="H31890" s="2"/>
    </row>
    <row r="31891" spans="1:8" x14ac:dyDescent="0.25">
      <c r="A31891" s="1"/>
      <c r="B31891" s="1" t="s">
        <v>8275</v>
      </c>
      <c r="C31891" s="1" t="s">
        <v>8276</v>
      </c>
      <c r="D31891" s="1" t="str">
        <f>HYPERLINK("https://rhld.insurance.arkansas.gov/NPILookup?Npi=1891337614","1891337614")</f>
        <v>1891337614</v>
      </c>
      <c r="E31891" s="1" t="s">
        <v>32481</v>
      </c>
      <c r="F31891" s="2"/>
      <c r="G31891" s="2"/>
      <c r="H31891" s="2"/>
    </row>
    <row r="31892" spans="1:8" x14ac:dyDescent="0.25">
      <c r="A31892" s="1"/>
      <c r="B31892" s="1" t="s">
        <v>8275</v>
      </c>
      <c r="C31892" s="1" t="s">
        <v>8276</v>
      </c>
      <c r="D31892" s="1" t="str">
        <f>HYPERLINK("https://rhld.insurance.arkansas.gov/NPILookup?Npi=1891388666","1891388666")</f>
        <v>1891388666</v>
      </c>
      <c r="E31892" s="1" t="s">
        <v>29112</v>
      </c>
      <c r="F31892" s="2"/>
      <c r="G31892" s="2"/>
      <c r="H31892" s="2"/>
    </row>
    <row r="31893" spans="1:8" x14ac:dyDescent="0.25">
      <c r="A31893" s="1"/>
      <c r="B31893" s="1" t="s">
        <v>8275</v>
      </c>
      <c r="C31893" s="1" t="s">
        <v>8276</v>
      </c>
      <c r="D31893" s="1" t="str">
        <f>HYPERLINK("https://rhld.insurance.arkansas.gov/NPILookup?Npi=1891500922","1891500922")</f>
        <v>1891500922</v>
      </c>
      <c r="E31893" s="1" t="s">
        <v>32397</v>
      </c>
      <c r="F31893" s="2"/>
      <c r="G31893" s="2"/>
      <c r="H31893" s="2"/>
    </row>
    <row r="31894" spans="1:8" x14ac:dyDescent="0.25">
      <c r="A31894" s="1"/>
      <c r="B31894" s="1" t="s">
        <v>8275</v>
      </c>
      <c r="C31894" s="1" t="s">
        <v>8276</v>
      </c>
      <c r="D31894" s="1" t="str">
        <f>HYPERLINK("https://rhld.insurance.arkansas.gov/NPILookup?Npi=1891537221","1891537221")</f>
        <v>1891537221</v>
      </c>
      <c r="E31894" s="1" t="s">
        <v>32399</v>
      </c>
      <c r="F31894" s="2"/>
      <c r="G31894" s="2"/>
      <c r="H31894" s="2"/>
    </row>
    <row r="31895" spans="1:8" x14ac:dyDescent="0.25">
      <c r="A31895" s="1"/>
      <c r="B31895" s="1" t="s">
        <v>8275</v>
      </c>
      <c r="C31895" s="1" t="s">
        <v>8276</v>
      </c>
      <c r="D31895" s="1" t="str">
        <f>HYPERLINK("https://rhld.insurance.arkansas.gov/NPILookup?Npi=1891553434","1891553434")</f>
        <v>1891553434</v>
      </c>
      <c r="E31895" s="1" t="s">
        <v>32400</v>
      </c>
      <c r="F31895" s="2"/>
      <c r="G31895" s="2"/>
      <c r="H31895" s="2"/>
    </row>
    <row r="31896" spans="1:8" x14ac:dyDescent="0.25">
      <c r="A31896" s="1"/>
      <c r="B31896" s="1" t="s">
        <v>8275</v>
      </c>
      <c r="C31896" s="1" t="s">
        <v>8276</v>
      </c>
      <c r="D31896" s="1" t="str">
        <f>HYPERLINK("https://rhld.insurance.arkansas.gov/NPILookup?Npi=1891592259","1891592259")</f>
        <v>1891592259</v>
      </c>
      <c r="E31896" s="1" t="s">
        <v>32401</v>
      </c>
      <c r="F31896" s="2"/>
      <c r="G31896" s="2"/>
      <c r="H31896" s="2"/>
    </row>
    <row r="31897" spans="1:8" x14ac:dyDescent="0.25">
      <c r="A31897" s="1"/>
      <c r="B31897" s="1" t="s">
        <v>8275</v>
      </c>
      <c r="C31897" s="1" t="s">
        <v>8276</v>
      </c>
      <c r="D31897" s="1" t="str">
        <f>HYPERLINK("https://rhld.insurance.arkansas.gov/NPILookup?Npi=1891732665","1891732665")</f>
        <v>1891732665</v>
      </c>
      <c r="E31897" s="1" t="s">
        <v>8338</v>
      </c>
      <c r="F31897" s="2"/>
      <c r="G31897" s="2"/>
      <c r="H31897" s="2"/>
    </row>
    <row r="31898" spans="1:8" x14ac:dyDescent="0.25">
      <c r="A31898" s="1"/>
      <c r="B31898" s="1" t="s">
        <v>8275</v>
      </c>
      <c r="C31898" s="1" t="s">
        <v>8276</v>
      </c>
      <c r="D31898" s="1" t="str">
        <f>HYPERLINK("https://rhld.insurance.arkansas.gov/NPILookup?Npi=1891758074","1891758074")</f>
        <v>1891758074</v>
      </c>
      <c r="E31898" s="1" t="s">
        <v>13946</v>
      </c>
      <c r="F31898" s="2"/>
      <c r="G31898" s="2"/>
      <c r="H31898" s="2"/>
    </row>
    <row r="31899" spans="1:8" x14ac:dyDescent="0.25">
      <c r="A31899" s="1"/>
      <c r="B31899" s="1" t="s">
        <v>8275</v>
      </c>
      <c r="C31899" s="1" t="s">
        <v>8276</v>
      </c>
      <c r="D31899" s="1" t="str">
        <f>HYPERLINK("https://rhld.insurance.arkansas.gov/NPILookup?Npi=1891767620","1891767620")</f>
        <v>1891767620</v>
      </c>
      <c r="E31899" s="1" t="s">
        <v>13947</v>
      </c>
      <c r="F31899" s="2"/>
      <c r="G31899" s="2"/>
      <c r="H31899" s="2"/>
    </row>
    <row r="31900" spans="1:8" x14ac:dyDescent="0.25">
      <c r="A31900" s="1"/>
      <c r="B31900" s="1" t="s">
        <v>8275</v>
      </c>
      <c r="C31900" s="1" t="s">
        <v>8276</v>
      </c>
      <c r="D31900" s="1" t="str">
        <f>HYPERLINK("https://rhld.insurance.arkansas.gov/NPILookup?Npi=1891768040","1891768040")</f>
        <v>1891768040</v>
      </c>
      <c r="E31900" s="1" t="s">
        <v>29124</v>
      </c>
      <c r="F31900" s="2"/>
      <c r="G31900" s="2"/>
      <c r="H31900" s="2"/>
    </row>
    <row r="31901" spans="1:8" x14ac:dyDescent="0.25">
      <c r="A31901" s="1"/>
      <c r="B31901" s="1" t="s">
        <v>8275</v>
      </c>
      <c r="C31901" s="1" t="s">
        <v>8276</v>
      </c>
      <c r="D31901" s="1" t="str">
        <f>HYPERLINK("https://rhld.insurance.arkansas.gov/NPILookup?Npi=1891808713","1891808713")</f>
        <v>1891808713</v>
      </c>
      <c r="E31901" s="1" t="s">
        <v>29842</v>
      </c>
      <c r="F31901" s="2"/>
      <c r="G31901" s="2"/>
      <c r="H31901" s="2"/>
    </row>
    <row r="31902" spans="1:8" x14ac:dyDescent="0.25">
      <c r="A31902" s="1"/>
      <c r="B31902" s="1" t="s">
        <v>8275</v>
      </c>
      <c r="C31902" s="1" t="s">
        <v>8276</v>
      </c>
      <c r="D31902" s="1" t="str">
        <f>HYPERLINK("https://rhld.insurance.arkansas.gov/NPILookup?Npi=1891816153","1891816153")</f>
        <v>1891816153</v>
      </c>
      <c r="E31902" s="1" t="s">
        <v>13751</v>
      </c>
      <c r="F31902" s="2"/>
      <c r="G31902" s="2"/>
      <c r="H31902" s="2"/>
    </row>
    <row r="31903" spans="1:8" x14ac:dyDescent="0.25">
      <c r="A31903" s="1"/>
      <c r="B31903" s="1" t="s">
        <v>8275</v>
      </c>
      <c r="C31903" s="1" t="s">
        <v>8276</v>
      </c>
      <c r="D31903" s="1" t="str">
        <f>HYPERLINK("https://rhld.insurance.arkansas.gov/NPILookup?Npi=1891821153","1891821153")</f>
        <v>1891821153</v>
      </c>
      <c r="E31903" s="1" t="s">
        <v>32403</v>
      </c>
      <c r="F31903" s="2"/>
      <c r="G31903" s="2"/>
      <c r="H31903" s="2"/>
    </row>
    <row r="31904" spans="1:8" x14ac:dyDescent="0.25">
      <c r="A31904" s="1"/>
      <c r="B31904" s="1" t="s">
        <v>8275</v>
      </c>
      <c r="C31904" s="1" t="s">
        <v>8276</v>
      </c>
      <c r="D31904" s="1" t="str">
        <f>HYPERLINK("https://rhld.insurance.arkansas.gov/NPILookup?Npi=1891880555","1891880555")</f>
        <v>1891880555</v>
      </c>
      <c r="E31904" s="1" t="s">
        <v>17970</v>
      </c>
      <c r="F31904" s="2"/>
      <c r="G31904" s="2"/>
      <c r="H31904" s="2"/>
    </row>
    <row r="31905" spans="1:8" x14ac:dyDescent="0.25">
      <c r="A31905" s="1"/>
      <c r="B31905" s="1" t="s">
        <v>8275</v>
      </c>
      <c r="C31905" s="1" t="s">
        <v>8276</v>
      </c>
      <c r="D31905" s="1" t="str">
        <f>HYPERLINK("https://rhld.insurance.arkansas.gov/NPILookup?Npi=1891919049","1891919049")</f>
        <v>1891919049</v>
      </c>
      <c r="E31905" s="1" t="s">
        <v>900</v>
      </c>
      <c r="F31905" s="2"/>
      <c r="G31905" s="2"/>
      <c r="H31905" s="2"/>
    </row>
    <row r="31906" spans="1:8" x14ac:dyDescent="0.25">
      <c r="A31906" s="1"/>
      <c r="B31906" s="1" t="s">
        <v>8275</v>
      </c>
      <c r="C31906" s="1" t="s">
        <v>8276</v>
      </c>
      <c r="D31906" s="1" t="str">
        <f>HYPERLINK("https://rhld.insurance.arkansas.gov/NPILookup?Npi=1902011752","1902011752")</f>
        <v>1902011752</v>
      </c>
      <c r="E31906" s="1" t="s">
        <v>2136</v>
      </c>
      <c r="F31906" s="2"/>
      <c r="G31906" s="2"/>
      <c r="H31906" s="2"/>
    </row>
    <row r="31907" spans="1:8" x14ac:dyDescent="0.25">
      <c r="A31907" s="1"/>
      <c r="B31907" s="1" t="s">
        <v>8275</v>
      </c>
      <c r="C31907" s="1" t="s">
        <v>8276</v>
      </c>
      <c r="D31907" s="1" t="str">
        <f>HYPERLINK("https://rhld.insurance.arkansas.gov/NPILookup?Npi=1902015852","1902015852")</f>
        <v>1902015852</v>
      </c>
      <c r="E31907" s="1" t="s">
        <v>10808</v>
      </c>
      <c r="F31907" s="2"/>
      <c r="G31907" s="2"/>
      <c r="H31907" s="2"/>
    </row>
    <row r="31908" spans="1:8" x14ac:dyDescent="0.25">
      <c r="A31908" s="1"/>
      <c r="B31908" s="1" t="s">
        <v>8275</v>
      </c>
      <c r="C31908" s="1" t="s">
        <v>8276</v>
      </c>
      <c r="D31908" s="1" t="str">
        <f>HYPERLINK("https://rhld.insurance.arkansas.gov/NPILookup?Npi=1902343932","1902343932")</f>
        <v>1902343932</v>
      </c>
      <c r="E31908" s="1" t="s">
        <v>902</v>
      </c>
      <c r="F31908" s="2"/>
      <c r="G31908" s="2"/>
      <c r="H31908" s="2"/>
    </row>
    <row r="31909" spans="1:8" x14ac:dyDescent="0.25">
      <c r="A31909" s="1"/>
      <c r="B31909" s="1" t="s">
        <v>8275</v>
      </c>
      <c r="C31909" s="1" t="s">
        <v>8276</v>
      </c>
      <c r="D31909" s="1" t="str">
        <f>HYPERLINK("https://rhld.insurance.arkansas.gov/NPILookup?Npi=1902483969","1902483969")</f>
        <v>1902483969</v>
      </c>
      <c r="E31909" s="1" t="s">
        <v>29148</v>
      </c>
      <c r="F31909" s="2"/>
      <c r="G31909" s="2"/>
      <c r="H31909" s="2"/>
    </row>
    <row r="31910" spans="1:8" x14ac:dyDescent="0.25">
      <c r="A31910" s="1"/>
      <c r="B31910" s="1" t="s">
        <v>8275</v>
      </c>
      <c r="C31910" s="1" t="s">
        <v>8276</v>
      </c>
      <c r="D31910" s="1" t="str">
        <f>HYPERLINK("https://rhld.insurance.arkansas.gov/NPILookup?Npi=1902485360","1902485360")</f>
        <v>1902485360</v>
      </c>
      <c r="E31910" s="1" t="s">
        <v>32482</v>
      </c>
      <c r="F31910" s="2"/>
      <c r="G31910" s="2"/>
      <c r="H31910" s="2"/>
    </row>
    <row r="31911" spans="1:8" x14ac:dyDescent="0.25">
      <c r="A31911" s="1"/>
      <c r="B31911" s="1" t="s">
        <v>8275</v>
      </c>
      <c r="C31911" s="1" t="s">
        <v>8276</v>
      </c>
      <c r="D31911" s="1" t="str">
        <f>HYPERLINK("https://rhld.insurance.arkansas.gov/NPILookup?Npi=1902487192","1902487192")</f>
        <v>1902487192</v>
      </c>
      <c r="E31911" s="1" t="s">
        <v>29149</v>
      </c>
      <c r="F31911" s="2"/>
      <c r="G31911" s="2"/>
      <c r="H31911" s="2"/>
    </row>
    <row r="31912" spans="1:8" x14ac:dyDescent="0.25">
      <c r="A31912" s="1"/>
      <c r="B31912" s="1" t="s">
        <v>8275</v>
      </c>
      <c r="C31912" s="1" t="s">
        <v>8276</v>
      </c>
      <c r="D31912" s="1" t="str">
        <f>HYPERLINK("https://rhld.insurance.arkansas.gov/NPILookup?Npi=1902542848","1902542848")</f>
        <v>1902542848</v>
      </c>
      <c r="E31912" s="1" t="s">
        <v>29152</v>
      </c>
      <c r="F31912" s="2"/>
      <c r="G31912" s="2"/>
      <c r="H31912" s="2"/>
    </row>
    <row r="31913" spans="1:8" x14ac:dyDescent="0.25">
      <c r="A31913" s="1"/>
      <c r="B31913" s="1" t="s">
        <v>8275</v>
      </c>
      <c r="C31913" s="1" t="s">
        <v>8276</v>
      </c>
      <c r="D31913" s="1" t="str">
        <f>HYPERLINK("https://rhld.insurance.arkansas.gov/NPILookup?Npi=1902578669","1902578669")</f>
        <v>1902578669</v>
      </c>
      <c r="E31913" s="1" t="s">
        <v>29154</v>
      </c>
      <c r="F31913" s="2"/>
      <c r="G31913" s="2"/>
      <c r="H31913" s="2"/>
    </row>
    <row r="31914" spans="1:8" x14ac:dyDescent="0.25">
      <c r="A31914" s="1"/>
      <c r="B31914" s="1" t="s">
        <v>8275</v>
      </c>
      <c r="C31914" s="1" t="s">
        <v>8276</v>
      </c>
      <c r="D31914" s="1" t="str">
        <f>HYPERLINK("https://rhld.insurance.arkansas.gov/NPILookup?Npi=1902611718","1902611718")</f>
        <v>1902611718</v>
      </c>
      <c r="E31914" s="1" t="s">
        <v>32404</v>
      </c>
      <c r="F31914" s="2"/>
      <c r="G31914" s="2"/>
      <c r="H31914" s="2"/>
    </row>
    <row r="31915" spans="1:8" x14ac:dyDescent="0.25">
      <c r="A31915" s="1"/>
      <c r="B31915" s="1" t="s">
        <v>8275</v>
      </c>
      <c r="C31915" s="1" t="s">
        <v>8276</v>
      </c>
      <c r="D31915" s="1" t="str">
        <f>HYPERLINK("https://rhld.insurance.arkansas.gov/NPILookup?Npi=1902624299","1902624299")</f>
        <v>1902624299</v>
      </c>
      <c r="E31915" s="1" t="s">
        <v>32405</v>
      </c>
      <c r="F31915" s="2"/>
      <c r="G31915" s="2"/>
      <c r="H31915" s="2"/>
    </row>
    <row r="31916" spans="1:8" x14ac:dyDescent="0.25">
      <c r="A31916" s="1"/>
      <c r="B31916" s="1" t="s">
        <v>8275</v>
      </c>
      <c r="C31916" s="1" t="s">
        <v>8276</v>
      </c>
      <c r="D31916" s="1" t="str">
        <f>HYPERLINK("https://rhld.insurance.arkansas.gov/NPILookup?Npi=1902682552","1902682552")</f>
        <v>1902682552</v>
      </c>
      <c r="E31916" s="1" t="s">
        <v>4055</v>
      </c>
      <c r="F31916" s="2"/>
      <c r="G31916" s="2"/>
      <c r="H31916" s="2"/>
    </row>
    <row r="31917" spans="1:8" x14ac:dyDescent="0.25">
      <c r="A31917" s="1"/>
      <c r="B31917" s="1" t="s">
        <v>8275</v>
      </c>
      <c r="C31917" s="1" t="s">
        <v>8276</v>
      </c>
      <c r="D31917" s="1" t="str">
        <f>HYPERLINK("https://rhld.insurance.arkansas.gov/NPILookup?Npi=1902803893","1902803893")</f>
        <v>1902803893</v>
      </c>
      <c r="E31917" s="1" t="s">
        <v>29843</v>
      </c>
      <c r="F31917" s="2"/>
      <c r="G31917" s="2"/>
      <c r="H31917" s="2"/>
    </row>
    <row r="31918" spans="1:8" x14ac:dyDescent="0.25">
      <c r="A31918" s="1"/>
      <c r="B31918" s="1" t="s">
        <v>8275</v>
      </c>
      <c r="C31918" s="1" t="s">
        <v>8276</v>
      </c>
      <c r="D31918" s="1" t="str">
        <f>HYPERLINK("https://rhld.insurance.arkansas.gov/NPILookup?Npi=1902824162","1902824162")</f>
        <v>1902824162</v>
      </c>
      <c r="E31918" s="1" t="s">
        <v>29156</v>
      </c>
      <c r="F31918" s="2"/>
      <c r="G31918" s="2"/>
      <c r="H31918" s="2"/>
    </row>
    <row r="31919" spans="1:8" x14ac:dyDescent="0.25">
      <c r="A31919" s="1"/>
      <c r="B31919" s="1" t="s">
        <v>8275</v>
      </c>
      <c r="C31919" s="1" t="s">
        <v>8276</v>
      </c>
      <c r="D31919" s="1" t="str">
        <f>HYPERLINK("https://rhld.insurance.arkansas.gov/NPILookup?Npi=1902867070","1902867070")</f>
        <v>1902867070</v>
      </c>
      <c r="E31919" s="1" t="s">
        <v>29157</v>
      </c>
      <c r="F31919" s="2"/>
      <c r="G31919" s="2"/>
      <c r="H31919" s="2"/>
    </row>
    <row r="31920" spans="1:8" x14ac:dyDescent="0.25">
      <c r="A31920" s="1"/>
      <c r="B31920" s="1" t="s">
        <v>8275</v>
      </c>
      <c r="C31920" s="1" t="s">
        <v>8276</v>
      </c>
      <c r="D31920" s="1" t="str">
        <f>HYPERLINK("https://rhld.insurance.arkansas.gov/NPILookup?Npi=1912172271","1912172271")</f>
        <v>1912172271</v>
      </c>
      <c r="E31920" s="1" t="s">
        <v>17244</v>
      </c>
      <c r="F31920" s="2"/>
      <c r="G31920" s="2"/>
      <c r="H31920" s="2"/>
    </row>
    <row r="31921" spans="1:8" x14ac:dyDescent="0.25">
      <c r="A31921" s="1"/>
      <c r="B31921" s="1" t="s">
        <v>8275</v>
      </c>
      <c r="C31921" s="1" t="s">
        <v>8276</v>
      </c>
      <c r="D31921" s="1" t="str">
        <f>HYPERLINK("https://rhld.insurance.arkansas.gov/NPILookup?Npi=1912252354","1912252354")</f>
        <v>1912252354</v>
      </c>
      <c r="E31921" s="1" t="s">
        <v>13772</v>
      </c>
      <c r="F31921" s="2"/>
      <c r="G31921" s="2"/>
      <c r="H31921" s="2"/>
    </row>
    <row r="31922" spans="1:8" x14ac:dyDescent="0.25">
      <c r="A31922" s="1"/>
      <c r="B31922" s="1" t="s">
        <v>8275</v>
      </c>
      <c r="C31922" s="1" t="s">
        <v>8276</v>
      </c>
      <c r="D31922" s="1" t="str">
        <f>HYPERLINK("https://rhld.insurance.arkansas.gov/NPILookup?Npi=1912489774","1912489774")</f>
        <v>1912489774</v>
      </c>
      <c r="E31922" s="1" t="s">
        <v>8183</v>
      </c>
      <c r="F31922" s="2"/>
      <c r="G31922" s="2"/>
      <c r="H31922" s="2"/>
    </row>
    <row r="31923" spans="1:8" x14ac:dyDescent="0.25">
      <c r="A31923" s="1"/>
      <c r="B31923" s="1" t="s">
        <v>8275</v>
      </c>
      <c r="C31923" s="1" t="s">
        <v>8276</v>
      </c>
      <c r="D31923" s="1" t="str">
        <f>HYPERLINK("https://rhld.insurance.arkansas.gov/NPILookup?Npi=1912494105","1912494105")</f>
        <v>1912494105</v>
      </c>
      <c r="E31923" s="1" t="s">
        <v>13948</v>
      </c>
      <c r="F31923" s="2"/>
      <c r="G31923" s="2"/>
      <c r="H31923" s="2"/>
    </row>
    <row r="31924" spans="1:8" x14ac:dyDescent="0.25">
      <c r="A31924" s="1"/>
      <c r="B31924" s="1" t="s">
        <v>8275</v>
      </c>
      <c r="C31924" s="1" t="s">
        <v>8276</v>
      </c>
      <c r="D31924" s="1" t="str">
        <f>HYPERLINK("https://rhld.insurance.arkansas.gov/NPILookup?Npi=1912507419","1912507419")</f>
        <v>1912507419</v>
      </c>
      <c r="E31924" s="1" t="s">
        <v>13778</v>
      </c>
      <c r="F31924" s="2"/>
      <c r="G31924" s="2"/>
      <c r="H31924" s="2"/>
    </row>
    <row r="31925" spans="1:8" x14ac:dyDescent="0.25">
      <c r="A31925" s="1"/>
      <c r="B31925" s="1" t="s">
        <v>8275</v>
      </c>
      <c r="C31925" s="1" t="s">
        <v>8276</v>
      </c>
      <c r="D31925" s="1" t="str">
        <f>HYPERLINK("https://rhld.insurance.arkansas.gov/NPILookup?Npi=1912527078","1912527078")</f>
        <v>1912527078</v>
      </c>
      <c r="E31925" s="1" t="s">
        <v>8184</v>
      </c>
      <c r="F31925" s="2"/>
      <c r="G31925" s="2"/>
      <c r="H31925" s="2"/>
    </row>
    <row r="31926" spans="1:8" x14ac:dyDescent="0.25">
      <c r="A31926" s="1"/>
      <c r="B31926" s="1" t="s">
        <v>8275</v>
      </c>
      <c r="C31926" s="1" t="s">
        <v>8276</v>
      </c>
      <c r="D31926" s="1" t="str">
        <f>HYPERLINK("https://rhld.insurance.arkansas.gov/NPILookup?Npi=1912562489","1912562489")</f>
        <v>1912562489</v>
      </c>
      <c r="E31926" s="1" t="s">
        <v>29179</v>
      </c>
      <c r="F31926" s="2"/>
      <c r="G31926" s="2"/>
      <c r="H31926" s="2"/>
    </row>
    <row r="31927" spans="1:8" x14ac:dyDescent="0.25">
      <c r="A31927" s="1"/>
      <c r="B31927" s="1" t="s">
        <v>8275</v>
      </c>
      <c r="C31927" s="1" t="s">
        <v>8276</v>
      </c>
      <c r="D31927" s="1" t="str">
        <f>HYPERLINK("https://rhld.insurance.arkansas.gov/NPILookup?Npi=1912586926","1912586926")</f>
        <v>1912586926</v>
      </c>
      <c r="E31927" s="1" t="s">
        <v>29180</v>
      </c>
      <c r="F31927" s="2"/>
      <c r="G31927" s="2"/>
      <c r="H31927" s="2"/>
    </row>
    <row r="31928" spans="1:8" x14ac:dyDescent="0.25">
      <c r="A31928" s="1"/>
      <c r="B31928" s="1" t="s">
        <v>8275</v>
      </c>
      <c r="C31928" s="1" t="s">
        <v>8276</v>
      </c>
      <c r="D31928" s="1" t="str">
        <f>HYPERLINK("https://rhld.insurance.arkansas.gov/NPILookup?Npi=1912595547","1912595547")</f>
        <v>1912595547</v>
      </c>
      <c r="E31928" s="1" t="s">
        <v>13781</v>
      </c>
      <c r="F31928" s="2"/>
      <c r="G31928" s="2"/>
      <c r="H31928" s="2"/>
    </row>
    <row r="31929" spans="1:8" x14ac:dyDescent="0.25">
      <c r="A31929" s="1"/>
      <c r="B31929" s="1" t="s">
        <v>8275</v>
      </c>
      <c r="C31929" s="1" t="s">
        <v>8276</v>
      </c>
      <c r="D31929" s="1" t="str">
        <f>HYPERLINK("https://rhld.insurance.arkansas.gov/NPILookup?Npi=1912691544","1912691544")</f>
        <v>1912691544</v>
      </c>
      <c r="E31929" s="1" t="s">
        <v>29184</v>
      </c>
      <c r="F31929" s="2"/>
      <c r="G31929" s="2"/>
      <c r="H31929" s="2"/>
    </row>
    <row r="31930" spans="1:8" x14ac:dyDescent="0.25">
      <c r="A31930" s="1"/>
      <c r="B31930" s="1" t="s">
        <v>8275</v>
      </c>
      <c r="C31930" s="1" t="s">
        <v>8276</v>
      </c>
      <c r="D31930" s="1" t="str">
        <f>HYPERLINK("https://rhld.insurance.arkansas.gov/NPILookup?Npi=1912714304","1912714304")</f>
        <v>1912714304</v>
      </c>
      <c r="E31930" s="1" t="s">
        <v>32406</v>
      </c>
      <c r="F31930" s="2"/>
      <c r="G31930" s="2"/>
      <c r="H31930" s="2"/>
    </row>
    <row r="31931" spans="1:8" x14ac:dyDescent="0.25">
      <c r="A31931" s="1"/>
      <c r="B31931" s="1" t="s">
        <v>8275</v>
      </c>
      <c r="C31931" s="1" t="s">
        <v>8276</v>
      </c>
      <c r="D31931" s="1" t="str">
        <f>HYPERLINK("https://rhld.insurance.arkansas.gov/NPILookup?Npi=1912752445","1912752445")</f>
        <v>1912752445</v>
      </c>
      <c r="E31931" s="1" t="s">
        <v>32407</v>
      </c>
      <c r="F31931" s="2"/>
      <c r="G31931" s="2"/>
      <c r="H31931" s="2"/>
    </row>
    <row r="31932" spans="1:8" x14ac:dyDescent="0.25">
      <c r="A31932" s="1"/>
      <c r="B31932" s="1" t="s">
        <v>8275</v>
      </c>
      <c r="C31932" s="1" t="s">
        <v>8276</v>
      </c>
      <c r="D31932" s="1" t="str">
        <f>HYPERLINK("https://rhld.insurance.arkansas.gov/NPILookup?Npi=1912919234","1912919234")</f>
        <v>1912919234</v>
      </c>
      <c r="E31932" s="1" t="s">
        <v>29192</v>
      </c>
      <c r="F31932" s="2"/>
      <c r="G31932" s="2"/>
      <c r="H31932" s="2"/>
    </row>
    <row r="31933" spans="1:8" x14ac:dyDescent="0.25">
      <c r="A31933" s="1"/>
      <c r="B31933" s="1" t="s">
        <v>8275</v>
      </c>
      <c r="C31933" s="1" t="s">
        <v>8276</v>
      </c>
      <c r="D31933" s="1" t="str">
        <f>HYPERLINK("https://rhld.insurance.arkansas.gov/NPILookup?Npi=1922122530","1922122530")</f>
        <v>1922122530</v>
      </c>
      <c r="E31933" s="1" t="s">
        <v>13786</v>
      </c>
      <c r="F31933" s="2"/>
      <c r="G31933" s="2"/>
      <c r="H31933" s="2"/>
    </row>
    <row r="31934" spans="1:8" x14ac:dyDescent="0.25">
      <c r="A31934" s="1"/>
      <c r="B31934" s="1" t="s">
        <v>8275</v>
      </c>
      <c r="C31934" s="1" t="s">
        <v>8276</v>
      </c>
      <c r="D31934" s="1" t="str">
        <f>HYPERLINK("https://rhld.insurance.arkansas.gov/NPILookup?Npi=1922191584","1922191584")</f>
        <v>1922191584</v>
      </c>
      <c r="E31934" s="1" t="s">
        <v>3166</v>
      </c>
      <c r="F31934" s="2"/>
      <c r="G31934" s="2"/>
      <c r="H31934" s="2"/>
    </row>
    <row r="31935" spans="1:8" x14ac:dyDescent="0.25">
      <c r="A31935" s="1"/>
      <c r="B31935" s="1" t="s">
        <v>8275</v>
      </c>
      <c r="C31935" s="1" t="s">
        <v>8276</v>
      </c>
      <c r="D31935" s="1" t="str">
        <f>HYPERLINK("https://rhld.insurance.arkansas.gov/NPILookup?Npi=1922241801","1922241801")</f>
        <v>1922241801</v>
      </c>
      <c r="E31935" s="1" t="s">
        <v>13949</v>
      </c>
      <c r="F31935" s="2"/>
      <c r="G31935" s="2"/>
      <c r="H31935" s="2"/>
    </row>
    <row r="31936" spans="1:8" x14ac:dyDescent="0.25">
      <c r="A31936" s="1"/>
      <c r="B31936" s="1" t="s">
        <v>8275</v>
      </c>
      <c r="C31936" s="1" t="s">
        <v>8276</v>
      </c>
      <c r="D31936" s="1" t="str">
        <f>HYPERLINK("https://rhld.insurance.arkansas.gov/NPILookup?Npi=1922272426","1922272426")</f>
        <v>1922272426</v>
      </c>
      <c r="E31936" s="1" t="s">
        <v>29844</v>
      </c>
      <c r="F31936" s="2"/>
      <c r="G31936" s="2"/>
      <c r="H31936" s="2"/>
    </row>
    <row r="31937" spans="1:8" x14ac:dyDescent="0.25">
      <c r="A31937" s="1"/>
      <c r="B31937" s="1" t="s">
        <v>8275</v>
      </c>
      <c r="C31937" s="1" t="s">
        <v>8276</v>
      </c>
      <c r="D31937" s="1" t="str">
        <f>HYPERLINK("https://rhld.insurance.arkansas.gov/NPILookup?Npi=1922305051","1922305051")</f>
        <v>1922305051</v>
      </c>
      <c r="E31937" s="1" t="s">
        <v>29209</v>
      </c>
      <c r="F31937" s="2"/>
      <c r="G31937" s="2"/>
      <c r="H31937" s="2"/>
    </row>
    <row r="31938" spans="1:8" x14ac:dyDescent="0.25">
      <c r="A31938" s="1"/>
      <c r="B31938" s="1" t="s">
        <v>8275</v>
      </c>
      <c r="C31938" s="1" t="s">
        <v>8276</v>
      </c>
      <c r="D31938" s="1" t="str">
        <f>HYPERLINK("https://rhld.insurance.arkansas.gov/NPILookup?Npi=1922363175","1922363175")</f>
        <v>1922363175</v>
      </c>
      <c r="E31938" s="1" t="s">
        <v>29214</v>
      </c>
      <c r="F31938" s="2"/>
      <c r="G31938" s="2"/>
      <c r="H31938" s="2"/>
    </row>
    <row r="31939" spans="1:8" x14ac:dyDescent="0.25">
      <c r="A31939" s="1"/>
      <c r="B31939" s="1" t="s">
        <v>8275</v>
      </c>
      <c r="C31939" s="1" t="s">
        <v>8276</v>
      </c>
      <c r="D31939" s="1" t="str">
        <f>HYPERLINK("https://rhld.insurance.arkansas.gov/NPILookup?Npi=1922372952","1922372952")</f>
        <v>1922372952</v>
      </c>
      <c r="E31939" s="1" t="s">
        <v>29215</v>
      </c>
      <c r="F31939" s="2"/>
      <c r="G31939" s="2"/>
      <c r="H31939" s="2"/>
    </row>
    <row r="31940" spans="1:8" x14ac:dyDescent="0.25">
      <c r="A31940" s="1"/>
      <c r="B31940" s="1" t="s">
        <v>8275</v>
      </c>
      <c r="C31940" s="1" t="s">
        <v>8276</v>
      </c>
      <c r="D31940" s="1" t="str">
        <f>HYPERLINK("https://rhld.insurance.arkansas.gov/NPILookup?Npi=1922461698","1922461698")</f>
        <v>1922461698</v>
      </c>
      <c r="E31940" s="1" t="s">
        <v>8190</v>
      </c>
      <c r="F31940" s="2"/>
      <c r="G31940" s="2"/>
      <c r="H31940" s="2"/>
    </row>
    <row r="31941" spans="1:8" x14ac:dyDescent="0.25">
      <c r="A31941" s="1"/>
      <c r="B31941" s="1" t="s">
        <v>8275</v>
      </c>
      <c r="C31941" s="1" t="s">
        <v>8276</v>
      </c>
      <c r="D31941" s="1" t="str">
        <f>HYPERLINK("https://rhld.insurance.arkansas.gov/NPILookup?Npi=1922489483","1922489483")</f>
        <v>1922489483</v>
      </c>
      <c r="E31941" s="1" t="s">
        <v>29845</v>
      </c>
      <c r="F31941" s="2"/>
      <c r="G31941" s="2"/>
      <c r="H31941" s="2"/>
    </row>
    <row r="31942" spans="1:8" x14ac:dyDescent="0.25">
      <c r="A31942" s="1"/>
      <c r="B31942" s="1" t="s">
        <v>8275</v>
      </c>
      <c r="C31942" s="1" t="s">
        <v>8276</v>
      </c>
      <c r="D31942" s="1" t="str">
        <f>HYPERLINK("https://rhld.insurance.arkansas.gov/NPILookup?Npi=1922492859","1922492859")</f>
        <v>1922492859</v>
      </c>
      <c r="E31942" s="1" t="s">
        <v>29222</v>
      </c>
      <c r="F31942" s="2"/>
      <c r="G31942" s="2"/>
      <c r="H31942" s="2"/>
    </row>
    <row r="31943" spans="1:8" x14ac:dyDescent="0.25">
      <c r="A31943" s="1"/>
      <c r="B31943" s="1" t="s">
        <v>8275</v>
      </c>
      <c r="C31943" s="1" t="s">
        <v>8276</v>
      </c>
      <c r="D31943" s="1" t="str">
        <f>HYPERLINK("https://rhld.insurance.arkansas.gov/NPILookup?Npi=1922567064","1922567064")</f>
        <v>1922567064</v>
      </c>
      <c r="E31943" s="1" t="s">
        <v>8339</v>
      </c>
      <c r="F31943" s="2"/>
      <c r="G31943" s="2"/>
      <c r="H31943" s="2"/>
    </row>
    <row r="31944" spans="1:8" x14ac:dyDescent="0.25">
      <c r="A31944" s="1"/>
      <c r="B31944" s="1" t="s">
        <v>8275</v>
      </c>
      <c r="C31944" s="1" t="s">
        <v>8276</v>
      </c>
      <c r="D31944" s="1" t="str">
        <f>HYPERLINK("https://rhld.insurance.arkansas.gov/NPILookup?Npi=1922611854","1922611854")</f>
        <v>1922611854</v>
      </c>
      <c r="E31944" s="1" t="s">
        <v>8193</v>
      </c>
      <c r="F31944" s="2"/>
      <c r="G31944" s="2"/>
      <c r="H31944" s="2"/>
    </row>
    <row r="31945" spans="1:8" x14ac:dyDescent="0.25">
      <c r="A31945" s="1"/>
      <c r="B31945" s="1" t="s">
        <v>8275</v>
      </c>
      <c r="C31945" s="1" t="s">
        <v>8276</v>
      </c>
      <c r="D31945" s="1" t="str">
        <f>HYPERLINK("https://rhld.insurance.arkansas.gov/NPILookup?Npi=1922631753","1922631753")</f>
        <v>1922631753</v>
      </c>
      <c r="E31945" s="1" t="s">
        <v>7099</v>
      </c>
      <c r="F31945" s="2"/>
      <c r="G31945" s="2"/>
      <c r="H31945" s="2"/>
    </row>
    <row r="31946" spans="1:8" x14ac:dyDescent="0.25">
      <c r="A31946" s="1"/>
      <c r="B31946" s="1" t="s">
        <v>8275</v>
      </c>
      <c r="C31946" s="1" t="s">
        <v>8276</v>
      </c>
      <c r="D31946" s="1" t="str">
        <f>HYPERLINK("https://rhld.insurance.arkansas.gov/NPILookup?Npi=1922677822","1922677822")</f>
        <v>1922677822</v>
      </c>
      <c r="E31946" s="1" t="s">
        <v>29232</v>
      </c>
      <c r="F31946" s="2"/>
      <c r="G31946" s="2"/>
      <c r="H31946" s="2"/>
    </row>
    <row r="31947" spans="1:8" x14ac:dyDescent="0.25">
      <c r="A31947" s="1"/>
      <c r="B31947" s="1" t="s">
        <v>8275</v>
      </c>
      <c r="C31947" s="1" t="s">
        <v>8276</v>
      </c>
      <c r="D31947" s="1" t="str">
        <f>HYPERLINK("https://rhld.insurance.arkansas.gov/NPILookup?Npi=1922749571","1922749571")</f>
        <v>1922749571</v>
      </c>
      <c r="E31947" s="1" t="s">
        <v>29238</v>
      </c>
      <c r="F31947" s="2"/>
      <c r="G31947" s="2"/>
      <c r="H31947" s="2"/>
    </row>
    <row r="31948" spans="1:8" x14ac:dyDescent="0.25">
      <c r="A31948" s="1"/>
      <c r="B31948" s="1" t="s">
        <v>8275</v>
      </c>
      <c r="C31948" s="1" t="s">
        <v>8276</v>
      </c>
      <c r="D31948" s="1" t="str">
        <f>HYPERLINK("https://rhld.insurance.arkansas.gov/NPILookup?Npi=1922755180","1922755180")</f>
        <v>1922755180</v>
      </c>
      <c r="E31948" s="1" t="s">
        <v>29239</v>
      </c>
      <c r="F31948" s="2"/>
      <c r="G31948" s="2"/>
      <c r="H31948" s="2"/>
    </row>
    <row r="31949" spans="1:8" x14ac:dyDescent="0.25">
      <c r="A31949" s="1"/>
      <c r="B31949" s="1" t="s">
        <v>8275</v>
      </c>
      <c r="C31949" s="1" t="s">
        <v>8276</v>
      </c>
      <c r="D31949" s="1" t="str">
        <f>HYPERLINK("https://rhld.insurance.arkansas.gov/NPILookup?Npi=1922875228","1922875228")</f>
        <v>1922875228</v>
      </c>
      <c r="E31949" s="1" t="s">
        <v>8197</v>
      </c>
      <c r="F31949" s="2"/>
      <c r="G31949" s="2"/>
      <c r="H31949" s="2"/>
    </row>
    <row r="31950" spans="1:8" x14ac:dyDescent="0.25">
      <c r="A31950" s="1"/>
      <c r="B31950" s="1" t="s">
        <v>8275</v>
      </c>
      <c r="C31950" s="1" t="s">
        <v>8276</v>
      </c>
      <c r="D31950" s="1" t="str">
        <f>HYPERLINK("https://rhld.insurance.arkansas.gov/NPILookup?Npi=1932119377","1932119377")</f>
        <v>1932119377</v>
      </c>
      <c r="E31950" s="1" t="s">
        <v>18005</v>
      </c>
      <c r="F31950" s="2"/>
      <c r="G31950" s="2"/>
      <c r="H31950" s="2"/>
    </row>
    <row r="31951" spans="1:8" x14ac:dyDescent="0.25">
      <c r="A31951" s="1"/>
      <c r="B31951" s="1" t="s">
        <v>8275</v>
      </c>
      <c r="C31951" s="1" t="s">
        <v>8276</v>
      </c>
      <c r="D31951" s="1" t="str">
        <f>HYPERLINK("https://rhld.insurance.arkansas.gov/NPILookup?Npi=1932133055","1932133055")</f>
        <v>1932133055</v>
      </c>
      <c r="E31951" s="1" t="s">
        <v>29846</v>
      </c>
      <c r="F31951" s="2"/>
      <c r="G31951" s="2"/>
      <c r="H31951" s="2"/>
    </row>
    <row r="31952" spans="1:8" x14ac:dyDescent="0.25">
      <c r="A31952" s="1"/>
      <c r="B31952" s="1" t="s">
        <v>8275</v>
      </c>
      <c r="C31952" s="1" t="s">
        <v>8276</v>
      </c>
      <c r="D31952" s="1" t="str">
        <f>HYPERLINK("https://rhld.insurance.arkansas.gov/NPILookup?Npi=1932157260","1932157260")</f>
        <v>1932157260</v>
      </c>
      <c r="E31952" s="1" t="s">
        <v>8200</v>
      </c>
      <c r="F31952" s="2"/>
      <c r="G31952" s="2"/>
      <c r="H31952" s="2"/>
    </row>
    <row r="31953" spans="1:8" x14ac:dyDescent="0.25">
      <c r="A31953" s="1"/>
      <c r="B31953" s="1" t="s">
        <v>8275</v>
      </c>
      <c r="C31953" s="1" t="s">
        <v>8276</v>
      </c>
      <c r="D31953" s="1" t="str">
        <f>HYPERLINK("https://rhld.insurance.arkansas.gov/NPILookup?Npi=1932165883","1932165883")</f>
        <v>1932165883</v>
      </c>
      <c r="E31953" s="1" t="s">
        <v>13950</v>
      </c>
      <c r="F31953" s="2"/>
      <c r="G31953" s="2"/>
      <c r="H31953" s="2"/>
    </row>
    <row r="31954" spans="1:8" x14ac:dyDescent="0.25">
      <c r="A31954" s="1"/>
      <c r="B31954" s="1" t="s">
        <v>8275</v>
      </c>
      <c r="C31954" s="1" t="s">
        <v>8276</v>
      </c>
      <c r="D31954" s="1" t="str">
        <f>HYPERLINK("https://rhld.insurance.arkansas.gov/NPILookup?Npi=1932192556","1932192556")</f>
        <v>1932192556</v>
      </c>
      <c r="E31954" s="1" t="s">
        <v>3086</v>
      </c>
      <c r="F31954" s="2"/>
      <c r="G31954" s="2"/>
      <c r="H31954" s="2"/>
    </row>
    <row r="31955" spans="1:8" x14ac:dyDescent="0.25">
      <c r="A31955" s="1"/>
      <c r="B31955" s="1" t="s">
        <v>8275</v>
      </c>
      <c r="C31955" s="1" t="s">
        <v>8276</v>
      </c>
      <c r="D31955" s="1" t="str">
        <f>HYPERLINK("https://rhld.insurance.arkansas.gov/NPILookup?Npi=1932194974","1932194974")</f>
        <v>1932194974</v>
      </c>
      <c r="E31955" s="1" t="s">
        <v>29252</v>
      </c>
      <c r="F31955" s="2"/>
      <c r="G31955" s="2"/>
      <c r="H31955" s="2"/>
    </row>
    <row r="31956" spans="1:8" x14ac:dyDescent="0.25">
      <c r="A31956" s="1"/>
      <c r="B31956" s="1" t="s">
        <v>8275</v>
      </c>
      <c r="C31956" s="1" t="s">
        <v>8276</v>
      </c>
      <c r="D31956" s="1" t="str">
        <f>HYPERLINK("https://rhld.insurance.arkansas.gov/NPILookup?Npi=1932276797","1932276797")</f>
        <v>1932276797</v>
      </c>
      <c r="E31956" s="1" t="s">
        <v>18011</v>
      </c>
      <c r="F31956" s="2"/>
      <c r="G31956" s="2"/>
      <c r="H31956" s="2"/>
    </row>
    <row r="31957" spans="1:8" x14ac:dyDescent="0.25">
      <c r="A31957" s="1"/>
      <c r="B31957" s="1" t="s">
        <v>8275</v>
      </c>
      <c r="C31957" s="1" t="s">
        <v>8276</v>
      </c>
      <c r="D31957" s="1" t="str">
        <f>HYPERLINK("https://rhld.insurance.arkansas.gov/NPILookup?Npi=1932376316","1932376316")</f>
        <v>1932376316</v>
      </c>
      <c r="E31957" s="1" t="s">
        <v>1709</v>
      </c>
      <c r="F31957" s="2"/>
      <c r="G31957" s="2"/>
      <c r="H31957" s="2"/>
    </row>
    <row r="31958" spans="1:8" x14ac:dyDescent="0.25">
      <c r="A31958" s="1"/>
      <c r="B31958" s="1" t="s">
        <v>8275</v>
      </c>
      <c r="C31958" s="1" t="s">
        <v>8276</v>
      </c>
      <c r="D31958" s="1" t="str">
        <f>HYPERLINK("https://rhld.insurance.arkansas.gov/NPILookup?Npi=1932476132","1932476132")</f>
        <v>1932476132</v>
      </c>
      <c r="E31958" s="1" t="s">
        <v>18014</v>
      </c>
      <c r="F31958" s="2"/>
      <c r="G31958" s="2"/>
      <c r="H31958" s="2"/>
    </row>
    <row r="31959" spans="1:8" x14ac:dyDescent="0.25">
      <c r="A31959" s="1"/>
      <c r="B31959" s="1" t="s">
        <v>8275</v>
      </c>
      <c r="C31959" s="1" t="s">
        <v>8276</v>
      </c>
      <c r="D31959" s="1" t="str">
        <f>HYPERLINK("https://rhld.insurance.arkansas.gov/NPILookup?Npi=1932528353","1932528353")</f>
        <v>1932528353</v>
      </c>
      <c r="E31959" s="1" t="s">
        <v>18016</v>
      </c>
      <c r="F31959" s="2"/>
      <c r="G31959" s="2"/>
      <c r="H31959" s="2"/>
    </row>
    <row r="31960" spans="1:8" x14ac:dyDescent="0.25">
      <c r="A31960" s="1"/>
      <c r="B31960" s="1" t="s">
        <v>8275</v>
      </c>
      <c r="C31960" s="1" t="s">
        <v>8276</v>
      </c>
      <c r="D31960" s="1" t="str">
        <f>HYPERLINK("https://rhld.insurance.arkansas.gov/NPILookup?Npi=1932532116","1932532116")</f>
        <v>1932532116</v>
      </c>
      <c r="E31960" s="1" t="s">
        <v>29262</v>
      </c>
      <c r="F31960" s="2"/>
      <c r="G31960" s="2"/>
      <c r="H31960" s="2"/>
    </row>
    <row r="31961" spans="1:8" x14ac:dyDescent="0.25">
      <c r="A31961" s="1"/>
      <c r="B31961" s="1" t="s">
        <v>8275</v>
      </c>
      <c r="C31961" s="1" t="s">
        <v>8276</v>
      </c>
      <c r="D31961" s="1" t="str">
        <f>HYPERLINK("https://rhld.insurance.arkansas.gov/NPILookup?Npi=1932539418","1932539418")</f>
        <v>1932539418</v>
      </c>
      <c r="E31961" s="1" t="s">
        <v>1825</v>
      </c>
      <c r="F31961" s="2"/>
      <c r="G31961" s="2"/>
      <c r="H31961" s="2"/>
    </row>
    <row r="31962" spans="1:8" x14ac:dyDescent="0.25">
      <c r="A31962" s="1"/>
      <c r="B31962" s="1" t="s">
        <v>8275</v>
      </c>
      <c r="C31962" s="1" t="s">
        <v>8276</v>
      </c>
      <c r="D31962" s="1" t="str">
        <f>HYPERLINK("https://rhld.insurance.arkansas.gov/NPILookup?Npi=1932561529","1932561529")</f>
        <v>1932561529</v>
      </c>
      <c r="E31962" s="1" t="s">
        <v>29847</v>
      </c>
      <c r="F31962" s="2"/>
      <c r="G31962" s="2"/>
      <c r="H31962" s="2"/>
    </row>
    <row r="31963" spans="1:8" x14ac:dyDescent="0.25">
      <c r="A31963" s="1"/>
      <c r="B31963" s="1" t="s">
        <v>8275</v>
      </c>
      <c r="C31963" s="1" t="s">
        <v>8276</v>
      </c>
      <c r="D31963" s="1" t="str">
        <f>HYPERLINK("https://rhld.insurance.arkansas.gov/NPILookup?Npi=1932623360","1932623360")</f>
        <v>1932623360</v>
      </c>
      <c r="E31963" s="1" t="s">
        <v>29268</v>
      </c>
      <c r="F31963" s="2"/>
      <c r="G31963" s="2"/>
      <c r="H31963" s="2"/>
    </row>
    <row r="31964" spans="1:8" x14ac:dyDescent="0.25">
      <c r="A31964" s="1"/>
      <c r="B31964" s="1" t="s">
        <v>8275</v>
      </c>
      <c r="C31964" s="1" t="s">
        <v>8276</v>
      </c>
      <c r="D31964" s="1" t="str">
        <f>HYPERLINK("https://rhld.insurance.arkansas.gov/NPILookup?Npi=1932737780","1932737780")</f>
        <v>1932737780</v>
      </c>
      <c r="E31964" s="1" t="s">
        <v>8340</v>
      </c>
      <c r="F31964" s="2"/>
      <c r="G31964" s="2"/>
      <c r="H31964" s="2"/>
    </row>
    <row r="31965" spans="1:8" x14ac:dyDescent="0.25">
      <c r="A31965" s="1"/>
      <c r="B31965" s="1" t="s">
        <v>8275</v>
      </c>
      <c r="C31965" s="1" t="s">
        <v>8276</v>
      </c>
      <c r="D31965" s="1" t="str">
        <f>HYPERLINK("https://rhld.insurance.arkansas.gov/NPILookup?Npi=1932741212","1932741212")</f>
        <v>1932741212</v>
      </c>
      <c r="E31965" s="1" t="s">
        <v>32410</v>
      </c>
      <c r="F31965" s="2"/>
      <c r="G31965" s="2"/>
      <c r="H31965" s="2"/>
    </row>
    <row r="31966" spans="1:8" x14ac:dyDescent="0.25">
      <c r="A31966" s="1"/>
      <c r="B31966" s="1" t="s">
        <v>8275</v>
      </c>
      <c r="C31966" s="1" t="s">
        <v>8276</v>
      </c>
      <c r="D31966" s="1" t="str">
        <f>HYPERLINK("https://rhld.insurance.arkansas.gov/NPILookup?Npi=1932830619","1932830619")</f>
        <v>1932830619</v>
      </c>
      <c r="E31966" s="1" t="s">
        <v>29285</v>
      </c>
      <c r="F31966" s="2"/>
      <c r="G31966" s="2"/>
      <c r="H31966" s="2"/>
    </row>
    <row r="31967" spans="1:8" x14ac:dyDescent="0.25">
      <c r="A31967" s="1"/>
      <c r="B31967" s="1" t="s">
        <v>8275</v>
      </c>
      <c r="C31967" s="1" t="s">
        <v>8276</v>
      </c>
      <c r="D31967" s="1" t="str">
        <f>HYPERLINK("https://rhld.insurance.arkansas.gov/NPILookup?Npi=1932910064","1932910064")</f>
        <v>1932910064</v>
      </c>
      <c r="E31967" s="1" t="s">
        <v>32411</v>
      </c>
      <c r="F31967" s="2"/>
      <c r="G31967" s="2"/>
      <c r="H31967" s="2"/>
    </row>
    <row r="31968" spans="1:8" x14ac:dyDescent="0.25">
      <c r="A31968" s="1"/>
      <c r="B31968" s="1" t="s">
        <v>8275</v>
      </c>
      <c r="C31968" s="1" t="s">
        <v>8276</v>
      </c>
      <c r="D31968" s="1" t="str">
        <f>HYPERLINK("https://rhld.insurance.arkansas.gov/NPILookup?Npi=1942083548","1942083548")</f>
        <v>1942083548</v>
      </c>
      <c r="E31968" s="1" t="s">
        <v>8205</v>
      </c>
      <c r="F31968" s="2"/>
      <c r="G31968" s="2"/>
      <c r="H31968" s="2"/>
    </row>
    <row r="31969" spans="1:8" x14ac:dyDescent="0.25">
      <c r="A31969" s="1"/>
      <c r="B31969" s="1" t="s">
        <v>8275</v>
      </c>
      <c r="C31969" s="1" t="s">
        <v>8276</v>
      </c>
      <c r="D31969" s="1" t="str">
        <f>HYPERLINK("https://rhld.insurance.arkansas.gov/NPILookup?Npi=1942208277","1942208277")</f>
        <v>1942208277</v>
      </c>
      <c r="E31969" s="1" t="s">
        <v>13803</v>
      </c>
      <c r="F31969" s="2"/>
      <c r="G31969" s="2"/>
      <c r="H31969" s="2"/>
    </row>
    <row r="31970" spans="1:8" x14ac:dyDescent="0.25">
      <c r="A31970" s="1"/>
      <c r="B31970" s="1" t="s">
        <v>8275</v>
      </c>
      <c r="C31970" s="1" t="s">
        <v>8276</v>
      </c>
      <c r="D31970" s="1" t="str">
        <f>HYPERLINK("https://rhld.insurance.arkansas.gov/NPILookup?Npi=1942259023","1942259023")</f>
        <v>1942259023</v>
      </c>
      <c r="E31970" s="1" t="s">
        <v>302</v>
      </c>
      <c r="F31970" s="2"/>
      <c r="G31970" s="2"/>
      <c r="H31970" s="2"/>
    </row>
    <row r="31971" spans="1:8" x14ac:dyDescent="0.25">
      <c r="A31971" s="1"/>
      <c r="B31971" s="1" t="s">
        <v>8275</v>
      </c>
      <c r="C31971" s="1" t="s">
        <v>8276</v>
      </c>
      <c r="D31971" s="1" t="str">
        <f>HYPERLINK("https://rhld.insurance.arkansas.gov/NPILookup?Npi=1942267513","1942267513")</f>
        <v>1942267513</v>
      </c>
      <c r="E31971" s="1" t="s">
        <v>29293</v>
      </c>
      <c r="F31971" s="2"/>
      <c r="G31971" s="2"/>
      <c r="H31971" s="2"/>
    </row>
    <row r="31972" spans="1:8" x14ac:dyDescent="0.25">
      <c r="A31972" s="1"/>
      <c r="B31972" s="1" t="s">
        <v>8275</v>
      </c>
      <c r="C31972" s="1" t="s">
        <v>8276</v>
      </c>
      <c r="D31972" s="1" t="str">
        <f>HYPERLINK("https://rhld.insurance.arkansas.gov/NPILookup?Npi=1942300892","1942300892")</f>
        <v>1942300892</v>
      </c>
      <c r="E31972" s="1" t="s">
        <v>29848</v>
      </c>
      <c r="F31972" s="2"/>
      <c r="G31972" s="2"/>
      <c r="H31972" s="2"/>
    </row>
    <row r="31973" spans="1:8" x14ac:dyDescent="0.25">
      <c r="A31973" s="1"/>
      <c r="B31973" s="1" t="s">
        <v>8275</v>
      </c>
      <c r="C31973" s="1" t="s">
        <v>8276</v>
      </c>
      <c r="D31973" s="1" t="str">
        <f>HYPERLINK("https://rhld.insurance.arkansas.gov/NPILookup?Npi=1942308424","1942308424")</f>
        <v>1942308424</v>
      </c>
      <c r="E31973" s="1" t="s">
        <v>4363</v>
      </c>
      <c r="F31973" s="2"/>
      <c r="G31973" s="2"/>
      <c r="H31973" s="2"/>
    </row>
    <row r="31974" spans="1:8" x14ac:dyDescent="0.25">
      <c r="A31974" s="1"/>
      <c r="B31974" s="1" t="s">
        <v>8275</v>
      </c>
      <c r="C31974" s="1" t="s">
        <v>8276</v>
      </c>
      <c r="D31974" s="1" t="str">
        <f>HYPERLINK("https://rhld.insurance.arkansas.gov/NPILookup?Npi=1942434394","1942434394")</f>
        <v>1942434394</v>
      </c>
      <c r="E31974" s="1" t="s">
        <v>13806</v>
      </c>
      <c r="F31974" s="2"/>
      <c r="G31974" s="2"/>
      <c r="H31974" s="2"/>
    </row>
    <row r="31975" spans="1:8" x14ac:dyDescent="0.25">
      <c r="A31975" s="1"/>
      <c r="B31975" s="1" t="s">
        <v>8275</v>
      </c>
      <c r="C31975" s="1" t="s">
        <v>8276</v>
      </c>
      <c r="D31975" s="1" t="str">
        <f>HYPERLINK("https://rhld.insurance.arkansas.gov/NPILookup?Npi=1942655253","1942655253")</f>
        <v>1942655253</v>
      </c>
      <c r="E31975" s="1" t="s">
        <v>8341</v>
      </c>
      <c r="F31975" s="2"/>
      <c r="G31975" s="2"/>
      <c r="H31975" s="2"/>
    </row>
    <row r="31976" spans="1:8" x14ac:dyDescent="0.25">
      <c r="A31976" s="1"/>
      <c r="B31976" s="1" t="s">
        <v>8275</v>
      </c>
      <c r="C31976" s="1" t="s">
        <v>8276</v>
      </c>
      <c r="D31976" s="1" t="str">
        <f>HYPERLINK("https://rhld.insurance.arkansas.gov/NPILookup?Npi=1942695929","1942695929")</f>
        <v>1942695929</v>
      </c>
      <c r="E31976" s="1" t="s">
        <v>29314</v>
      </c>
      <c r="F31976" s="2"/>
      <c r="G31976" s="2"/>
      <c r="H31976" s="2"/>
    </row>
    <row r="31977" spans="1:8" x14ac:dyDescent="0.25">
      <c r="A31977" s="1"/>
      <c r="B31977" s="1" t="s">
        <v>8275</v>
      </c>
      <c r="C31977" s="1" t="s">
        <v>8276</v>
      </c>
      <c r="D31977" s="1" t="str">
        <f>HYPERLINK("https://rhld.insurance.arkansas.gov/NPILookup?Npi=1942741376","1942741376")</f>
        <v>1942741376</v>
      </c>
      <c r="E31977" s="1" t="s">
        <v>32413</v>
      </c>
      <c r="F31977" s="2"/>
      <c r="G31977" s="2"/>
      <c r="H31977" s="2"/>
    </row>
    <row r="31978" spans="1:8" x14ac:dyDescent="0.25">
      <c r="A31978" s="1"/>
      <c r="B31978" s="1" t="s">
        <v>8275</v>
      </c>
      <c r="C31978" s="1" t="s">
        <v>8276</v>
      </c>
      <c r="D31978" s="1" t="str">
        <f>HYPERLINK("https://rhld.insurance.arkansas.gov/NPILookup?Npi=1942825823","1942825823")</f>
        <v>1942825823</v>
      </c>
      <c r="E31978" s="1" t="s">
        <v>8213</v>
      </c>
      <c r="F31978" s="2"/>
      <c r="G31978" s="2"/>
      <c r="H31978" s="2"/>
    </row>
    <row r="31979" spans="1:8" x14ac:dyDescent="0.25">
      <c r="A31979" s="1"/>
      <c r="B31979" s="1" t="s">
        <v>8275</v>
      </c>
      <c r="C31979" s="1" t="s">
        <v>8276</v>
      </c>
      <c r="D31979" s="1" t="str">
        <f>HYPERLINK("https://rhld.insurance.arkansas.gov/NPILookup?Npi=1942922547","1942922547")</f>
        <v>1942922547</v>
      </c>
      <c r="E31979" s="1" t="s">
        <v>29328</v>
      </c>
      <c r="F31979" s="2"/>
      <c r="G31979" s="2"/>
      <c r="H31979" s="2"/>
    </row>
    <row r="31980" spans="1:8" x14ac:dyDescent="0.25">
      <c r="A31980" s="1"/>
      <c r="B31980" s="1" t="s">
        <v>8275</v>
      </c>
      <c r="C31980" s="1" t="s">
        <v>8276</v>
      </c>
      <c r="D31980" s="1" t="str">
        <f>HYPERLINK("https://rhld.insurance.arkansas.gov/NPILookup?Npi=1942977301","1942977301")</f>
        <v>1942977301</v>
      </c>
      <c r="E31980" s="1" t="s">
        <v>29334</v>
      </c>
      <c r="F31980" s="2"/>
      <c r="G31980" s="2"/>
      <c r="H31980" s="2"/>
    </row>
    <row r="31981" spans="1:8" x14ac:dyDescent="0.25">
      <c r="A31981" s="1"/>
      <c r="B31981" s="1" t="s">
        <v>8275</v>
      </c>
      <c r="C31981" s="1" t="s">
        <v>8276</v>
      </c>
      <c r="D31981" s="1" t="str">
        <f>HYPERLINK("https://rhld.insurance.arkansas.gov/NPILookup?Npi=1942997978","1942997978")</f>
        <v>1942997978</v>
      </c>
      <c r="E31981" s="1" t="s">
        <v>8219</v>
      </c>
      <c r="F31981" s="2"/>
      <c r="G31981" s="2"/>
      <c r="H31981" s="2"/>
    </row>
    <row r="31982" spans="1:8" x14ac:dyDescent="0.25">
      <c r="A31982" s="1"/>
      <c r="B31982" s="1" t="s">
        <v>8275</v>
      </c>
      <c r="C31982" s="1" t="s">
        <v>8276</v>
      </c>
      <c r="D31982" s="1" t="str">
        <f>HYPERLINK("https://rhld.insurance.arkansas.gov/NPILookup?Npi=1952009052","1952009052")</f>
        <v>1952009052</v>
      </c>
      <c r="E31982" s="1" t="s">
        <v>29335</v>
      </c>
      <c r="F31982" s="2"/>
      <c r="G31982" s="2"/>
      <c r="H31982" s="2"/>
    </row>
    <row r="31983" spans="1:8" x14ac:dyDescent="0.25">
      <c r="A31983" s="1"/>
      <c r="B31983" s="1" t="s">
        <v>8275</v>
      </c>
      <c r="C31983" s="1" t="s">
        <v>8276</v>
      </c>
      <c r="D31983" s="1" t="str">
        <f>HYPERLINK("https://rhld.insurance.arkansas.gov/NPILookup?Npi=1952086464","1952086464")</f>
        <v>1952086464</v>
      </c>
      <c r="E31983" s="1" t="s">
        <v>29340</v>
      </c>
      <c r="F31983" s="2"/>
      <c r="G31983" s="2"/>
      <c r="H31983" s="2"/>
    </row>
    <row r="31984" spans="1:8" x14ac:dyDescent="0.25">
      <c r="A31984" s="1"/>
      <c r="B31984" s="1" t="s">
        <v>8275</v>
      </c>
      <c r="C31984" s="1" t="s">
        <v>8276</v>
      </c>
      <c r="D31984" s="1" t="str">
        <f>HYPERLINK("https://rhld.insurance.arkansas.gov/NPILookup?Npi=1952171977","1952171977")</f>
        <v>1952171977</v>
      </c>
      <c r="E31984" s="1" t="s">
        <v>32414</v>
      </c>
      <c r="F31984" s="2"/>
      <c r="G31984" s="2"/>
      <c r="H31984" s="2"/>
    </row>
    <row r="31985" spans="1:8" x14ac:dyDescent="0.25">
      <c r="A31985" s="1"/>
      <c r="B31985" s="1" t="s">
        <v>8275</v>
      </c>
      <c r="C31985" s="1" t="s">
        <v>8276</v>
      </c>
      <c r="D31985" s="1" t="str">
        <f>HYPERLINK("https://rhld.insurance.arkansas.gov/NPILookup?Npi=1952188757","1952188757")</f>
        <v>1952188757</v>
      </c>
      <c r="E31985" s="1" t="s">
        <v>32415</v>
      </c>
      <c r="F31985" s="2"/>
      <c r="G31985" s="2"/>
      <c r="H31985" s="2"/>
    </row>
    <row r="31986" spans="1:8" x14ac:dyDescent="0.25">
      <c r="A31986" s="1"/>
      <c r="B31986" s="1" t="s">
        <v>8275</v>
      </c>
      <c r="C31986" s="1" t="s">
        <v>8276</v>
      </c>
      <c r="D31986" s="1" t="str">
        <f>HYPERLINK("https://rhld.insurance.arkansas.gov/NPILookup?Npi=1952309312","1952309312")</f>
        <v>1952309312</v>
      </c>
      <c r="E31986" s="1" t="s">
        <v>13951</v>
      </c>
      <c r="F31986" s="2"/>
      <c r="G31986" s="2"/>
      <c r="H31986" s="2"/>
    </row>
    <row r="31987" spans="1:8" x14ac:dyDescent="0.25">
      <c r="A31987" s="1"/>
      <c r="B31987" s="1" t="s">
        <v>8275</v>
      </c>
      <c r="C31987" s="1" t="s">
        <v>8276</v>
      </c>
      <c r="D31987" s="1" t="str">
        <f>HYPERLINK("https://rhld.insurance.arkansas.gov/NPILookup?Npi=1952341562","1952341562")</f>
        <v>1952341562</v>
      </c>
      <c r="E31987" s="1" t="s">
        <v>907</v>
      </c>
      <c r="F31987" s="2"/>
      <c r="G31987" s="2"/>
      <c r="H31987" s="2"/>
    </row>
    <row r="31988" spans="1:8" x14ac:dyDescent="0.25">
      <c r="A31988" s="1"/>
      <c r="B31988" s="1" t="s">
        <v>8275</v>
      </c>
      <c r="C31988" s="1" t="s">
        <v>8276</v>
      </c>
      <c r="D31988" s="1" t="str">
        <f>HYPERLINK("https://rhld.insurance.arkansas.gov/NPILookup?Npi=1952343907","1952343907")</f>
        <v>1952343907</v>
      </c>
      <c r="E31988" s="1" t="s">
        <v>29346</v>
      </c>
      <c r="F31988" s="2"/>
      <c r="G31988" s="2"/>
      <c r="H31988" s="2"/>
    </row>
    <row r="31989" spans="1:8" x14ac:dyDescent="0.25">
      <c r="A31989" s="1"/>
      <c r="B31989" s="1" t="s">
        <v>8275</v>
      </c>
      <c r="C31989" s="1" t="s">
        <v>8276</v>
      </c>
      <c r="D31989" s="1" t="str">
        <f>HYPERLINK("https://rhld.insurance.arkansas.gov/NPILookup?Npi=1952354367","1952354367")</f>
        <v>1952354367</v>
      </c>
      <c r="E31989" s="1" t="s">
        <v>29849</v>
      </c>
      <c r="F31989" s="2"/>
      <c r="G31989" s="2"/>
      <c r="H31989" s="2"/>
    </row>
    <row r="31990" spans="1:8" x14ac:dyDescent="0.25">
      <c r="A31990" s="1"/>
      <c r="B31990" s="1" t="s">
        <v>8275</v>
      </c>
      <c r="C31990" s="1" t="s">
        <v>8276</v>
      </c>
      <c r="D31990" s="1" t="str">
        <f>HYPERLINK("https://rhld.insurance.arkansas.gov/NPILookup?Npi=1952377442","1952377442")</f>
        <v>1952377442</v>
      </c>
      <c r="E31990" s="1" t="s">
        <v>3094</v>
      </c>
      <c r="F31990" s="2"/>
      <c r="G31990" s="2"/>
      <c r="H31990" s="2"/>
    </row>
    <row r="31991" spans="1:8" x14ac:dyDescent="0.25">
      <c r="A31991" s="1"/>
      <c r="B31991" s="1" t="s">
        <v>8275</v>
      </c>
      <c r="C31991" s="1" t="s">
        <v>8276</v>
      </c>
      <c r="D31991" s="1" t="str">
        <f>HYPERLINK("https://rhld.insurance.arkansas.gov/NPILookup?Npi=1952380651","1952380651")</f>
        <v>1952380651</v>
      </c>
      <c r="E31991" s="1" t="s">
        <v>908</v>
      </c>
      <c r="F31991" s="2"/>
      <c r="G31991" s="2"/>
      <c r="H31991" s="2"/>
    </row>
    <row r="31992" spans="1:8" x14ac:dyDescent="0.25">
      <c r="A31992" s="1"/>
      <c r="B31992" s="1" t="s">
        <v>8275</v>
      </c>
      <c r="C31992" s="1" t="s">
        <v>8276</v>
      </c>
      <c r="D31992" s="1" t="str">
        <f>HYPERLINK("https://rhld.insurance.arkansas.gov/NPILookup?Npi=1952442923","1952442923")</f>
        <v>1952442923</v>
      </c>
      <c r="E31992" s="1" t="s">
        <v>3168</v>
      </c>
      <c r="F31992" s="2"/>
      <c r="G31992" s="2"/>
      <c r="H31992" s="2"/>
    </row>
    <row r="31993" spans="1:8" x14ac:dyDescent="0.25">
      <c r="A31993" s="1"/>
      <c r="B31993" s="1" t="s">
        <v>8275</v>
      </c>
      <c r="C31993" s="1" t="s">
        <v>8276</v>
      </c>
      <c r="D31993" s="1" t="str">
        <f>HYPERLINK("https://rhld.insurance.arkansas.gov/NPILookup?Npi=1952488660","1952488660")</f>
        <v>1952488660</v>
      </c>
      <c r="E31993" s="1" t="s">
        <v>29350</v>
      </c>
      <c r="F31993" s="2"/>
      <c r="G31993" s="2"/>
      <c r="H31993" s="2"/>
    </row>
    <row r="31994" spans="1:8" x14ac:dyDescent="0.25">
      <c r="A31994" s="1"/>
      <c r="B31994" s="1" t="s">
        <v>8275</v>
      </c>
      <c r="C31994" s="1" t="s">
        <v>8276</v>
      </c>
      <c r="D31994" s="1" t="str">
        <f>HYPERLINK("https://rhld.insurance.arkansas.gov/NPILookup?Npi=1952493546","1952493546")</f>
        <v>1952493546</v>
      </c>
      <c r="E31994" s="1" t="s">
        <v>29351</v>
      </c>
      <c r="F31994" s="2"/>
      <c r="G31994" s="2"/>
      <c r="H31994" s="2"/>
    </row>
    <row r="31995" spans="1:8" x14ac:dyDescent="0.25">
      <c r="A31995" s="1"/>
      <c r="B31995" s="1" t="s">
        <v>8275</v>
      </c>
      <c r="C31995" s="1" t="s">
        <v>8276</v>
      </c>
      <c r="D31995" s="1" t="str">
        <f>HYPERLINK("https://rhld.insurance.arkansas.gov/NPILookup?Npi=1952564080","1952564080")</f>
        <v>1952564080</v>
      </c>
      <c r="E31995" s="1" t="s">
        <v>13952</v>
      </c>
      <c r="F31995" s="2"/>
      <c r="G31995" s="2"/>
      <c r="H31995" s="2"/>
    </row>
    <row r="31996" spans="1:8" x14ac:dyDescent="0.25">
      <c r="A31996" s="1"/>
      <c r="B31996" s="1" t="s">
        <v>8275</v>
      </c>
      <c r="C31996" s="1" t="s">
        <v>8276</v>
      </c>
      <c r="D31996" s="1" t="str">
        <f>HYPERLINK("https://rhld.insurance.arkansas.gov/NPILookup?Npi=1952566440","1952566440")</f>
        <v>1952566440</v>
      </c>
      <c r="E31996" s="1" t="s">
        <v>8224</v>
      </c>
      <c r="F31996" s="2"/>
      <c r="G31996" s="2"/>
      <c r="H31996" s="2"/>
    </row>
    <row r="31997" spans="1:8" x14ac:dyDescent="0.25">
      <c r="A31997" s="1"/>
      <c r="B31997" s="1" t="s">
        <v>8275</v>
      </c>
      <c r="C31997" s="1" t="s">
        <v>8276</v>
      </c>
      <c r="D31997" s="1" t="str">
        <f>HYPERLINK("https://rhld.insurance.arkansas.gov/NPILookup?Npi=1952606055","1952606055")</f>
        <v>1952606055</v>
      </c>
      <c r="E31997" s="1" t="s">
        <v>170</v>
      </c>
      <c r="F31997" s="2"/>
      <c r="G31997" s="2"/>
      <c r="H31997" s="2"/>
    </row>
    <row r="31998" spans="1:8" x14ac:dyDescent="0.25">
      <c r="A31998" s="1"/>
      <c r="B31998" s="1" t="s">
        <v>8275</v>
      </c>
      <c r="C31998" s="1" t="s">
        <v>8276</v>
      </c>
      <c r="D31998" s="1" t="str">
        <f>HYPERLINK("https://rhld.insurance.arkansas.gov/NPILookup?Npi=1952764847","1952764847")</f>
        <v>1952764847</v>
      </c>
      <c r="E31998" s="1" t="s">
        <v>2137</v>
      </c>
      <c r="F31998" s="2"/>
      <c r="G31998" s="2"/>
      <c r="H31998" s="2"/>
    </row>
    <row r="31999" spans="1:8" x14ac:dyDescent="0.25">
      <c r="A31999" s="1"/>
      <c r="B31999" s="1" t="s">
        <v>8275</v>
      </c>
      <c r="C31999" s="1" t="s">
        <v>8276</v>
      </c>
      <c r="D31999" s="1" t="str">
        <f>HYPERLINK("https://rhld.insurance.arkansas.gov/NPILookup?Npi=1952805368","1952805368")</f>
        <v>1952805368</v>
      </c>
      <c r="E31999" s="1" t="s">
        <v>32483</v>
      </c>
      <c r="F31999" s="2"/>
      <c r="G31999" s="2"/>
      <c r="H31999" s="2"/>
    </row>
    <row r="32000" spans="1:8" x14ac:dyDescent="0.25">
      <c r="A32000" s="1"/>
      <c r="B32000" s="1" t="s">
        <v>8275</v>
      </c>
      <c r="C32000" s="1" t="s">
        <v>8276</v>
      </c>
      <c r="D32000" s="1" t="str">
        <f>HYPERLINK("https://rhld.insurance.arkansas.gov/NPILookup?Npi=1952808651","1952808651")</f>
        <v>1952808651</v>
      </c>
      <c r="E32000" s="1" t="s">
        <v>1488</v>
      </c>
      <c r="F32000" s="2"/>
      <c r="G32000" s="2"/>
      <c r="H32000" s="2"/>
    </row>
    <row r="32001" spans="1:8" x14ac:dyDescent="0.25">
      <c r="A32001" s="1"/>
      <c r="B32001" s="1" t="s">
        <v>8275</v>
      </c>
      <c r="C32001" s="1" t="s">
        <v>8276</v>
      </c>
      <c r="D32001" s="1" t="str">
        <f>HYPERLINK("https://rhld.insurance.arkansas.gov/NPILookup?Npi=1962166785","1962166785")</f>
        <v>1962166785</v>
      </c>
      <c r="E32001" s="1" t="s">
        <v>29386</v>
      </c>
      <c r="F32001" s="2"/>
      <c r="G32001" s="2"/>
      <c r="H32001" s="2"/>
    </row>
    <row r="32002" spans="1:8" x14ac:dyDescent="0.25">
      <c r="A32002" s="1"/>
      <c r="B32002" s="1" t="s">
        <v>8275</v>
      </c>
      <c r="C32002" s="1" t="s">
        <v>8276</v>
      </c>
      <c r="D32002" s="1" t="str">
        <f>HYPERLINK("https://rhld.insurance.arkansas.gov/NPILookup?Npi=1962207589","1962207589")</f>
        <v>1962207589</v>
      </c>
      <c r="E32002" s="1" t="s">
        <v>32417</v>
      </c>
      <c r="F32002" s="2"/>
      <c r="G32002" s="2"/>
      <c r="H32002" s="2"/>
    </row>
    <row r="32003" spans="1:8" x14ac:dyDescent="0.25">
      <c r="A32003" s="1"/>
      <c r="B32003" s="1" t="s">
        <v>8275</v>
      </c>
      <c r="C32003" s="1" t="s">
        <v>8276</v>
      </c>
      <c r="D32003" s="1" t="str">
        <f>HYPERLINK("https://rhld.insurance.arkansas.gov/NPILookup?Npi=1962227942","1962227942")</f>
        <v>1962227942</v>
      </c>
      <c r="E32003" s="1" t="s">
        <v>32418</v>
      </c>
      <c r="F32003" s="2"/>
      <c r="G32003" s="2"/>
      <c r="H32003" s="2"/>
    </row>
    <row r="32004" spans="1:8" x14ac:dyDescent="0.25">
      <c r="A32004" s="1"/>
      <c r="B32004" s="1" t="s">
        <v>8275</v>
      </c>
      <c r="C32004" s="1" t="s">
        <v>8276</v>
      </c>
      <c r="D32004" s="1" t="str">
        <f>HYPERLINK("https://rhld.insurance.arkansas.gov/NPILookup?Npi=1962247130","1962247130")</f>
        <v>1962247130</v>
      </c>
      <c r="E32004" s="1" t="s">
        <v>29388</v>
      </c>
      <c r="F32004" s="2"/>
      <c r="G32004" s="2"/>
      <c r="H32004" s="2"/>
    </row>
    <row r="32005" spans="1:8" x14ac:dyDescent="0.25">
      <c r="A32005" s="1"/>
      <c r="B32005" s="1" t="s">
        <v>8275</v>
      </c>
      <c r="C32005" s="1" t="s">
        <v>8276</v>
      </c>
      <c r="D32005" s="1" t="str">
        <f>HYPERLINK("https://rhld.insurance.arkansas.gov/NPILookup?Npi=1962247684","1962247684")</f>
        <v>1962247684</v>
      </c>
      <c r="E32005" s="1" t="s">
        <v>29389</v>
      </c>
      <c r="F32005" s="2"/>
      <c r="G32005" s="2"/>
      <c r="H32005" s="2"/>
    </row>
    <row r="32006" spans="1:8" x14ac:dyDescent="0.25">
      <c r="A32006" s="1"/>
      <c r="B32006" s="1" t="s">
        <v>8275</v>
      </c>
      <c r="C32006" s="1" t="s">
        <v>8276</v>
      </c>
      <c r="D32006" s="1" t="str">
        <f>HYPERLINK("https://rhld.insurance.arkansas.gov/NPILookup?Npi=1962253088","1962253088")</f>
        <v>1962253088</v>
      </c>
      <c r="E32006" s="1" t="s">
        <v>32419</v>
      </c>
      <c r="F32006" s="2"/>
      <c r="G32006" s="2"/>
      <c r="H32006" s="2"/>
    </row>
    <row r="32007" spans="1:8" x14ac:dyDescent="0.25">
      <c r="A32007" s="1"/>
      <c r="B32007" s="1" t="s">
        <v>8275</v>
      </c>
      <c r="C32007" s="1" t="s">
        <v>8276</v>
      </c>
      <c r="D32007" s="1" t="str">
        <f>HYPERLINK("https://rhld.insurance.arkansas.gov/NPILookup?Npi=1962424465","1962424465")</f>
        <v>1962424465</v>
      </c>
      <c r="E32007" s="1" t="s">
        <v>13953</v>
      </c>
      <c r="F32007" s="2"/>
      <c r="G32007" s="2"/>
      <c r="H32007" s="2"/>
    </row>
    <row r="32008" spans="1:8" x14ac:dyDescent="0.25">
      <c r="A32008" s="1"/>
      <c r="B32008" s="1" t="s">
        <v>8275</v>
      </c>
      <c r="C32008" s="1" t="s">
        <v>8276</v>
      </c>
      <c r="D32008" s="1" t="str">
        <f>HYPERLINK("https://rhld.insurance.arkansas.gov/NPILookup?Npi=1962459792","1962459792")</f>
        <v>1962459792</v>
      </c>
      <c r="E32008" s="1" t="s">
        <v>18039</v>
      </c>
      <c r="F32008" s="2"/>
      <c r="G32008" s="2"/>
      <c r="H32008" s="2"/>
    </row>
    <row r="32009" spans="1:8" x14ac:dyDescent="0.25">
      <c r="A32009" s="1"/>
      <c r="B32009" s="1" t="s">
        <v>8275</v>
      </c>
      <c r="C32009" s="1" t="s">
        <v>8276</v>
      </c>
      <c r="D32009" s="1" t="str">
        <f>HYPERLINK("https://rhld.insurance.arkansas.gov/NPILookup?Npi=1962465740","1962465740")</f>
        <v>1962465740</v>
      </c>
      <c r="E32009" s="1" t="s">
        <v>21144</v>
      </c>
      <c r="F32009" s="2"/>
      <c r="G32009" s="2"/>
      <c r="H32009" s="2"/>
    </row>
    <row r="32010" spans="1:8" x14ac:dyDescent="0.25">
      <c r="A32010" s="1"/>
      <c r="B32010" s="1" t="s">
        <v>8275</v>
      </c>
      <c r="C32010" s="1" t="s">
        <v>8276</v>
      </c>
      <c r="D32010" s="1" t="str">
        <f>HYPERLINK("https://rhld.insurance.arkansas.gov/NPILookup?Npi=1962469254","1962469254")</f>
        <v>1962469254</v>
      </c>
      <c r="E32010" s="1" t="s">
        <v>29850</v>
      </c>
      <c r="F32010" s="2"/>
      <c r="G32010" s="2"/>
      <c r="H32010" s="2"/>
    </row>
    <row r="32011" spans="1:8" x14ac:dyDescent="0.25">
      <c r="A32011" s="1"/>
      <c r="B32011" s="1" t="s">
        <v>8275</v>
      </c>
      <c r="C32011" s="1" t="s">
        <v>8276</v>
      </c>
      <c r="D32011" s="1" t="str">
        <f>HYPERLINK("https://rhld.insurance.arkansas.gov/NPILookup?Npi=1962524090","1962524090")</f>
        <v>1962524090</v>
      </c>
      <c r="E32011" s="1" t="s">
        <v>29402</v>
      </c>
      <c r="F32011" s="2"/>
      <c r="G32011" s="2"/>
      <c r="H32011" s="2"/>
    </row>
    <row r="32012" spans="1:8" x14ac:dyDescent="0.25">
      <c r="A32012" s="1"/>
      <c r="B32012" s="1" t="s">
        <v>8275</v>
      </c>
      <c r="C32012" s="1" t="s">
        <v>8276</v>
      </c>
      <c r="D32012" s="1" t="str">
        <f>HYPERLINK("https://rhld.insurance.arkansas.gov/NPILookup?Npi=1962583013","1962583013")</f>
        <v>1962583013</v>
      </c>
      <c r="E32012" s="1" t="s">
        <v>29851</v>
      </c>
      <c r="F32012" s="2"/>
      <c r="G32012" s="2"/>
      <c r="H32012" s="2"/>
    </row>
    <row r="32013" spans="1:8" x14ac:dyDescent="0.25">
      <c r="A32013" s="1"/>
      <c r="B32013" s="1" t="s">
        <v>8275</v>
      </c>
      <c r="C32013" s="1" t="s">
        <v>8276</v>
      </c>
      <c r="D32013" s="1" t="str">
        <f>HYPERLINK("https://rhld.insurance.arkansas.gov/NPILookup?Npi=1962588210","1962588210")</f>
        <v>1962588210</v>
      </c>
      <c r="E32013" s="1" t="s">
        <v>8231</v>
      </c>
      <c r="F32013" s="2"/>
      <c r="G32013" s="2"/>
      <c r="H32013" s="2"/>
    </row>
    <row r="32014" spans="1:8" x14ac:dyDescent="0.25">
      <c r="A32014" s="1"/>
      <c r="B32014" s="1" t="s">
        <v>8275</v>
      </c>
      <c r="C32014" s="1" t="s">
        <v>8276</v>
      </c>
      <c r="D32014" s="1" t="str">
        <f>HYPERLINK("https://rhld.insurance.arkansas.gov/NPILookup?Npi=1962825562","1962825562")</f>
        <v>1962825562</v>
      </c>
      <c r="E32014" s="1" t="s">
        <v>29415</v>
      </c>
      <c r="F32014" s="2"/>
      <c r="G32014" s="2"/>
      <c r="H32014" s="2"/>
    </row>
    <row r="32015" spans="1:8" x14ac:dyDescent="0.25">
      <c r="A32015" s="1"/>
      <c r="B32015" s="1" t="s">
        <v>8275</v>
      </c>
      <c r="C32015" s="1" t="s">
        <v>8276</v>
      </c>
      <c r="D32015" s="1" t="str">
        <f>HYPERLINK("https://rhld.insurance.arkansas.gov/NPILookup?Npi=1962980797","1962980797")</f>
        <v>1962980797</v>
      </c>
      <c r="E32015" s="1" t="s">
        <v>29428</v>
      </c>
      <c r="F32015" s="2"/>
      <c r="G32015" s="2"/>
      <c r="H32015" s="2"/>
    </row>
    <row r="32016" spans="1:8" x14ac:dyDescent="0.25">
      <c r="A32016" s="1"/>
      <c r="B32016" s="1" t="s">
        <v>8275</v>
      </c>
      <c r="C32016" s="1" t="s">
        <v>8276</v>
      </c>
      <c r="D32016" s="1" t="str">
        <f>HYPERLINK("https://rhld.insurance.arkansas.gov/NPILookup?Npi=1972008431","1972008431")</f>
        <v>1972008431</v>
      </c>
      <c r="E32016" s="1" t="s">
        <v>9775</v>
      </c>
      <c r="F32016" s="2"/>
      <c r="G32016" s="2"/>
      <c r="H32016" s="2"/>
    </row>
    <row r="32017" spans="1:8" x14ac:dyDescent="0.25">
      <c r="A32017" s="1"/>
      <c r="B32017" s="1" t="s">
        <v>8275</v>
      </c>
      <c r="C32017" s="1" t="s">
        <v>8276</v>
      </c>
      <c r="D32017" s="1" t="str">
        <f>HYPERLINK("https://rhld.insurance.arkansas.gov/NPILookup?Npi=1972009991","1972009991")</f>
        <v>1972009991</v>
      </c>
      <c r="E32017" s="1" t="s">
        <v>15983</v>
      </c>
      <c r="F32017" s="2"/>
      <c r="G32017" s="2"/>
      <c r="H32017" s="2"/>
    </row>
    <row r="32018" spans="1:8" x14ac:dyDescent="0.25">
      <c r="A32018" s="1"/>
      <c r="B32018" s="1" t="s">
        <v>8275</v>
      </c>
      <c r="C32018" s="1" t="s">
        <v>8276</v>
      </c>
      <c r="D32018" s="1" t="str">
        <f>HYPERLINK("https://rhld.insurance.arkansas.gov/NPILookup?Npi=1972114981","1972114981")</f>
        <v>1972114981</v>
      </c>
      <c r="E32018" s="1" t="s">
        <v>29441</v>
      </c>
      <c r="F32018" s="2"/>
      <c r="G32018" s="2"/>
      <c r="H32018" s="2"/>
    </row>
    <row r="32019" spans="1:8" x14ac:dyDescent="0.25">
      <c r="A32019" s="1"/>
      <c r="B32019" s="1" t="s">
        <v>8275</v>
      </c>
      <c r="C32019" s="1" t="s">
        <v>8276</v>
      </c>
      <c r="D32019" s="1" t="str">
        <f>HYPERLINK("https://rhld.insurance.arkansas.gov/NPILookup?Npi=1972144608","1972144608")</f>
        <v>1972144608</v>
      </c>
      <c r="E32019" s="1" t="s">
        <v>32421</v>
      </c>
      <c r="F32019" s="2"/>
      <c r="G32019" s="2"/>
      <c r="H32019" s="2"/>
    </row>
    <row r="32020" spans="1:8" x14ac:dyDescent="0.25">
      <c r="A32020" s="1"/>
      <c r="B32020" s="1" t="s">
        <v>8275</v>
      </c>
      <c r="C32020" s="1" t="s">
        <v>8276</v>
      </c>
      <c r="D32020" s="1" t="str">
        <f>HYPERLINK("https://rhld.insurance.arkansas.gov/NPILookup?Npi=1972157410","1972157410")</f>
        <v>1972157410</v>
      </c>
      <c r="E32020" s="1" t="s">
        <v>13834</v>
      </c>
      <c r="F32020" s="2"/>
      <c r="G32020" s="2"/>
      <c r="H32020" s="2"/>
    </row>
    <row r="32021" spans="1:8" x14ac:dyDescent="0.25">
      <c r="A32021" s="1"/>
      <c r="B32021" s="1" t="s">
        <v>8275</v>
      </c>
      <c r="C32021" s="1" t="s">
        <v>8276</v>
      </c>
      <c r="D32021" s="1" t="str">
        <f>HYPERLINK("https://rhld.insurance.arkansas.gov/NPILookup?Npi=1972180370","1972180370")</f>
        <v>1972180370</v>
      </c>
      <c r="E32021" s="1" t="s">
        <v>32422</v>
      </c>
      <c r="F32021" s="2"/>
      <c r="G32021" s="2"/>
      <c r="H32021" s="2"/>
    </row>
    <row r="32022" spans="1:8" x14ac:dyDescent="0.25">
      <c r="A32022" s="1"/>
      <c r="B32022" s="1" t="s">
        <v>8275</v>
      </c>
      <c r="C32022" s="1" t="s">
        <v>8276</v>
      </c>
      <c r="D32022" s="1" t="str">
        <f>HYPERLINK("https://rhld.insurance.arkansas.gov/NPILookup?Npi=1972194678","1972194678")</f>
        <v>1972194678</v>
      </c>
      <c r="E32022" s="1" t="s">
        <v>8240</v>
      </c>
      <c r="F32022" s="2"/>
      <c r="G32022" s="2"/>
      <c r="H32022" s="2"/>
    </row>
    <row r="32023" spans="1:8" x14ac:dyDescent="0.25">
      <c r="A32023" s="1"/>
      <c r="B32023" s="1" t="s">
        <v>8275</v>
      </c>
      <c r="C32023" s="1" t="s">
        <v>8276</v>
      </c>
      <c r="D32023" s="1" t="str">
        <f>HYPERLINK("https://rhld.insurance.arkansas.gov/NPILookup?Npi=1972260545","1972260545")</f>
        <v>1972260545</v>
      </c>
      <c r="E32023" s="1" t="s">
        <v>32423</v>
      </c>
      <c r="F32023" s="2"/>
      <c r="G32023" s="2"/>
      <c r="H32023" s="2"/>
    </row>
    <row r="32024" spans="1:8" x14ac:dyDescent="0.25">
      <c r="A32024" s="1"/>
      <c r="B32024" s="1" t="s">
        <v>8275</v>
      </c>
      <c r="C32024" s="1" t="s">
        <v>8276</v>
      </c>
      <c r="D32024" s="1" t="str">
        <f>HYPERLINK("https://rhld.insurance.arkansas.gov/NPILookup?Npi=1972284107","1972284107")</f>
        <v>1972284107</v>
      </c>
      <c r="E32024" s="1" t="s">
        <v>32424</v>
      </c>
      <c r="F32024" s="2"/>
      <c r="G32024" s="2"/>
      <c r="H32024" s="2"/>
    </row>
    <row r="32025" spans="1:8" x14ac:dyDescent="0.25">
      <c r="A32025" s="1"/>
      <c r="B32025" s="1" t="s">
        <v>8275</v>
      </c>
      <c r="C32025" s="1" t="s">
        <v>8276</v>
      </c>
      <c r="D32025" s="1" t="str">
        <f>HYPERLINK("https://rhld.insurance.arkansas.gov/NPILookup?Npi=1972373637","1972373637")</f>
        <v>1972373637</v>
      </c>
      <c r="E32025" s="1" t="s">
        <v>13835</v>
      </c>
      <c r="F32025" s="2"/>
      <c r="G32025" s="2"/>
      <c r="H32025" s="2"/>
    </row>
    <row r="32026" spans="1:8" x14ac:dyDescent="0.25">
      <c r="A32026" s="1"/>
      <c r="B32026" s="1" t="s">
        <v>8275</v>
      </c>
      <c r="C32026" s="1" t="s">
        <v>8276</v>
      </c>
      <c r="D32026" s="1" t="str">
        <f>HYPERLINK("https://rhld.insurance.arkansas.gov/NPILookup?Npi=1972502953","1972502953")</f>
        <v>1972502953</v>
      </c>
      <c r="E32026" s="1" t="s">
        <v>29852</v>
      </c>
      <c r="F32026" s="2"/>
      <c r="G32026" s="2"/>
      <c r="H32026" s="2"/>
    </row>
    <row r="32027" spans="1:8" x14ac:dyDescent="0.25">
      <c r="A32027" s="1"/>
      <c r="B32027" s="1" t="s">
        <v>8275</v>
      </c>
      <c r="C32027" s="1" t="s">
        <v>8276</v>
      </c>
      <c r="D32027" s="1" t="str">
        <f>HYPERLINK("https://rhld.insurance.arkansas.gov/NPILookup?Npi=1972507796","1972507796")</f>
        <v>1972507796</v>
      </c>
      <c r="E32027" s="1" t="s">
        <v>29853</v>
      </c>
      <c r="F32027" s="2"/>
      <c r="G32027" s="2"/>
      <c r="H32027" s="2"/>
    </row>
    <row r="32028" spans="1:8" x14ac:dyDescent="0.25">
      <c r="A32028" s="1"/>
      <c r="B32028" s="1" t="s">
        <v>8275</v>
      </c>
      <c r="C32028" s="1" t="s">
        <v>8276</v>
      </c>
      <c r="D32028" s="1" t="str">
        <f>HYPERLINK("https://rhld.insurance.arkansas.gov/NPILookup?Npi=1972508513","1972508513")</f>
        <v>1972508513</v>
      </c>
      <c r="E32028" s="1" t="s">
        <v>29854</v>
      </c>
      <c r="F32028" s="2"/>
      <c r="G32028" s="2"/>
      <c r="H32028" s="2"/>
    </row>
    <row r="32029" spans="1:8" x14ac:dyDescent="0.25">
      <c r="A32029" s="1"/>
      <c r="B32029" s="1" t="s">
        <v>8275</v>
      </c>
      <c r="C32029" s="1" t="s">
        <v>8276</v>
      </c>
      <c r="D32029" s="1" t="str">
        <f>HYPERLINK("https://rhld.insurance.arkansas.gov/NPILookup?Npi=1972508984","1972508984")</f>
        <v>1972508984</v>
      </c>
      <c r="E32029" s="1" t="s">
        <v>29457</v>
      </c>
      <c r="F32029" s="2"/>
      <c r="G32029" s="2"/>
      <c r="H32029" s="2"/>
    </row>
    <row r="32030" spans="1:8" x14ac:dyDescent="0.25">
      <c r="A32030" s="1"/>
      <c r="B32030" s="1" t="s">
        <v>8275</v>
      </c>
      <c r="C32030" s="1" t="s">
        <v>8276</v>
      </c>
      <c r="D32030" s="1" t="str">
        <f>HYPERLINK("https://rhld.insurance.arkansas.gov/NPILookup?Npi=1972567758","1972567758")</f>
        <v>1972567758</v>
      </c>
      <c r="E32030" s="1" t="s">
        <v>29461</v>
      </c>
      <c r="F32030" s="2"/>
      <c r="G32030" s="2"/>
      <c r="H32030" s="2"/>
    </row>
    <row r="32031" spans="1:8" x14ac:dyDescent="0.25">
      <c r="A32031" s="1"/>
      <c r="B32031" s="1" t="s">
        <v>8275</v>
      </c>
      <c r="C32031" s="1" t="s">
        <v>8276</v>
      </c>
      <c r="D32031" s="1" t="str">
        <f>HYPERLINK("https://rhld.insurance.arkansas.gov/NPILookup?Npi=1972579316","1972579316")</f>
        <v>1972579316</v>
      </c>
      <c r="E32031" s="1" t="s">
        <v>29855</v>
      </c>
      <c r="F32031" s="2"/>
      <c r="G32031" s="2"/>
      <c r="H32031" s="2"/>
    </row>
    <row r="32032" spans="1:8" x14ac:dyDescent="0.25">
      <c r="A32032" s="1"/>
      <c r="B32032" s="1" t="s">
        <v>8275</v>
      </c>
      <c r="C32032" s="1" t="s">
        <v>8276</v>
      </c>
      <c r="D32032" s="1" t="str">
        <f>HYPERLINK("https://rhld.insurance.arkansas.gov/NPILookup?Npi=1972582534","1972582534")</f>
        <v>1972582534</v>
      </c>
      <c r="E32032" s="1" t="s">
        <v>29462</v>
      </c>
      <c r="F32032" s="2"/>
      <c r="G32032" s="2"/>
      <c r="H32032" s="2"/>
    </row>
    <row r="32033" spans="1:8" x14ac:dyDescent="0.25">
      <c r="A32033" s="1"/>
      <c r="B32033" s="1" t="s">
        <v>8275</v>
      </c>
      <c r="C32033" s="1" t="s">
        <v>8276</v>
      </c>
      <c r="D32033" s="1" t="str">
        <f>HYPERLINK("https://rhld.insurance.arkansas.gov/NPILookup?Npi=1972589968","1972589968")</f>
        <v>1972589968</v>
      </c>
      <c r="E32033" s="1" t="s">
        <v>29856</v>
      </c>
      <c r="F32033" s="2"/>
      <c r="G32033" s="2"/>
      <c r="H32033" s="2"/>
    </row>
    <row r="32034" spans="1:8" x14ac:dyDescent="0.25">
      <c r="A32034" s="1"/>
      <c r="B32034" s="1" t="s">
        <v>8275</v>
      </c>
      <c r="C32034" s="1" t="s">
        <v>8276</v>
      </c>
      <c r="D32034" s="1" t="str">
        <f>HYPERLINK("https://rhld.insurance.arkansas.gov/NPILookup?Npi=1972598837","1972598837")</f>
        <v>1972598837</v>
      </c>
      <c r="E32034" s="1" t="s">
        <v>29464</v>
      </c>
      <c r="F32034" s="2"/>
      <c r="G32034" s="2"/>
      <c r="H32034" s="2"/>
    </row>
    <row r="32035" spans="1:8" x14ac:dyDescent="0.25">
      <c r="A32035" s="1"/>
      <c r="B32035" s="1" t="s">
        <v>8275</v>
      </c>
      <c r="C32035" s="1" t="s">
        <v>8276</v>
      </c>
      <c r="D32035" s="1" t="str">
        <f>HYPERLINK("https://rhld.insurance.arkansas.gov/NPILookup?Npi=1972693539","1972693539")</f>
        <v>1972693539</v>
      </c>
      <c r="E32035" s="1" t="s">
        <v>29857</v>
      </c>
      <c r="F32035" s="2"/>
      <c r="G32035" s="2"/>
      <c r="H32035" s="2"/>
    </row>
    <row r="32036" spans="1:8" x14ac:dyDescent="0.25">
      <c r="A32036" s="1"/>
      <c r="B32036" s="1" t="s">
        <v>8275</v>
      </c>
      <c r="C32036" s="1" t="s">
        <v>8276</v>
      </c>
      <c r="D32036" s="1" t="str">
        <f>HYPERLINK("https://rhld.insurance.arkansas.gov/NPILookup?Npi=1972770915","1972770915")</f>
        <v>1972770915</v>
      </c>
      <c r="E32036" s="1" t="s">
        <v>29858</v>
      </c>
      <c r="F32036" s="2"/>
      <c r="G32036" s="2"/>
      <c r="H32036" s="2"/>
    </row>
    <row r="32037" spans="1:8" x14ac:dyDescent="0.25">
      <c r="A32037" s="1"/>
      <c r="B32037" s="1" t="s">
        <v>8275</v>
      </c>
      <c r="C32037" s="1" t="s">
        <v>8276</v>
      </c>
      <c r="D32037" s="1" t="str">
        <f>HYPERLINK("https://rhld.insurance.arkansas.gov/NPILookup?Npi=1972778033","1972778033")</f>
        <v>1972778033</v>
      </c>
      <c r="E32037" s="1" t="s">
        <v>29859</v>
      </c>
      <c r="F32037" s="2"/>
      <c r="G32037" s="2"/>
      <c r="H32037" s="2"/>
    </row>
    <row r="32038" spans="1:8" x14ac:dyDescent="0.25">
      <c r="A32038" s="1"/>
      <c r="B32038" s="1" t="s">
        <v>8275</v>
      </c>
      <c r="C32038" s="1" t="s">
        <v>8276</v>
      </c>
      <c r="D32038" s="1" t="str">
        <f>HYPERLINK("https://rhld.insurance.arkansas.gov/NPILookup?Npi=1972855161","1972855161")</f>
        <v>1972855161</v>
      </c>
      <c r="E32038" s="1" t="s">
        <v>29473</v>
      </c>
      <c r="F32038" s="2"/>
      <c r="G32038" s="2"/>
      <c r="H32038" s="2"/>
    </row>
    <row r="32039" spans="1:8" x14ac:dyDescent="0.25">
      <c r="A32039" s="1"/>
      <c r="B32039" s="1" t="s">
        <v>8275</v>
      </c>
      <c r="C32039" s="1" t="s">
        <v>8276</v>
      </c>
      <c r="D32039" s="1" t="str">
        <f>HYPERLINK("https://rhld.insurance.arkansas.gov/NPILookup?Npi=1972888352","1972888352")</f>
        <v>1972888352</v>
      </c>
      <c r="E32039" s="1" t="s">
        <v>29474</v>
      </c>
      <c r="F32039" s="2"/>
      <c r="G32039" s="2"/>
      <c r="H32039" s="2"/>
    </row>
    <row r="32040" spans="1:8" x14ac:dyDescent="0.25">
      <c r="A32040" s="1"/>
      <c r="B32040" s="1" t="s">
        <v>8275</v>
      </c>
      <c r="C32040" s="1" t="s">
        <v>8276</v>
      </c>
      <c r="D32040" s="1" t="str">
        <f>HYPERLINK("https://rhld.insurance.arkansas.gov/NPILookup?Npi=1972928729","1972928729")</f>
        <v>1972928729</v>
      </c>
      <c r="E32040" s="1" t="s">
        <v>32484</v>
      </c>
      <c r="F32040" s="2"/>
      <c r="G32040" s="2"/>
      <c r="H32040" s="2"/>
    </row>
    <row r="32041" spans="1:8" x14ac:dyDescent="0.25">
      <c r="A32041" s="1"/>
      <c r="B32041" s="1" t="s">
        <v>8275</v>
      </c>
      <c r="C32041" s="1" t="s">
        <v>8276</v>
      </c>
      <c r="D32041" s="1" t="str">
        <f>HYPERLINK("https://rhld.insurance.arkansas.gov/NPILookup?Npi=1972932853","1972932853")</f>
        <v>1972932853</v>
      </c>
      <c r="E32041" s="1" t="s">
        <v>13842</v>
      </c>
      <c r="F32041" s="2"/>
      <c r="G32041" s="2"/>
      <c r="H32041" s="2"/>
    </row>
    <row r="32042" spans="1:8" x14ac:dyDescent="0.25">
      <c r="A32042" s="1"/>
      <c r="B32042" s="1" t="s">
        <v>8275</v>
      </c>
      <c r="C32042" s="1" t="s">
        <v>8276</v>
      </c>
      <c r="D32042" s="1" t="str">
        <f>HYPERLINK("https://rhld.insurance.arkansas.gov/NPILookup?Npi=1982101952","1982101952")</f>
        <v>1982101952</v>
      </c>
      <c r="E32042" s="1" t="s">
        <v>18057</v>
      </c>
      <c r="F32042" s="2"/>
      <c r="G32042" s="2"/>
      <c r="H32042" s="2"/>
    </row>
    <row r="32043" spans="1:8" x14ac:dyDescent="0.25">
      <c r="A32043" s="1"/>
      <c r="B32043" s="1" t="s">
        <v>8275</v>
      </c>
      <c r="C32043" s="1" t="s">
        <v>8276</v>
      </c>
      <c r="D32043" s="1" t="str">
        <f>HYPERLINK("https://rhld.insurance.arkansas.gov/NPILookup?Npi=1982117941","1982117941")</f>
        <v>1982117941</v>
      </c>
      <c r="E32043" s="1" t="s">
        <v>8253</v>
      </c>
      <c r="F32043" s="2"/>
      <c r="G32043" s="2"/>
      <c r="H32043" s="2"/>
    </row>
    <row r="32044" spans="1:8" x14ac:dyDescent="0.25">
      <c r="A32044" s="1"/>
      <c r="B32044" s="1" t="s">
        <v>8275</v>
      </c>
      <c r="C32044" s="1" t="s">
        <v>8276</v>
      </c>
      <c r="D32044" s="1" t="str">
        <f>HYPERLINK("https://rhld.insurance.arkansas.gov/NPILookup?Npi=1982138764","1982138764")</f>
        <v>1982138764</v>
      </c>
      <c r="E32044" s="1" t="s">
        <v>29491</v>
      </c>
      <c r="F32044" s="2"/>
      <c r="G32044" s="2"/>
      <c r="H32044" s="2"/>
    </row>
    <row r="32045" spans="1:8" x14ac:dyDescent="0.25">
      <c r="A32045" s="1"/>
      <c r="B32045" s="1" t="s">
        <v>8275</v>
      </c>
      <c r="C32045" s="1" t="s">
        <v>8276</v>
      </c>
      <c r="D32045" s="1" t="str">
        <f>HYPERLINK("https://rhld.insurance.arkansas.gov/NPILookup?Npi=1982165692","1982165692")</f>
        <v>1982165692</v>
      </c>
      <c r="E32045" s="1" t="s">
        <v>4495</v>
      </c>
      <c r="F32045" s="2"/>
      <c r="G32045" s="2"/>
      <c r="H32045" s="2"/>
    </row>
    <row r="32046" spans="1:8" x14ac:dyDescent="0.25">
      <c r="A32046" s="1"/>
      <c r="B32046" s="1" t="s">
        <v>8275</v>
      </c>
      <c r="C32046" s="1" t="s">
        <v>8276</v>
      </c>
      <c r="D32046" s="1" t="str">
        <f>HYPERLINK("https://rhld.insurance.arkansas.gov/NPILookup?Npi=1982378683","1982378683")</f>
        <v>1982378683</v>
      </c>
      <c r="E32046" s="1" t="s">
        <v>29504</v>
      </c>
      <c r="F32046" s="2"/>
      <c r="G32046" s="2"/>
      <c r="H32046" s="2"/>
    </row>
    <row r="32047" spans="1:8" x14ac:dyDescent="0.25">
      <c r="A32047" s="1"/>
      <c r="B32047" s="1" t="s">
        <v>8275</v>
      </c>
      <c r="C32047" s="1" t="s">
        <v>8276</v>
      </c>
      <c r="D32047" s="1" t="str">
        <f>HYPERLINK("https://rhld.insurance.arkansas.gov/NPILookup?Npi=1982385118","1982385118")</f>
        <v>1982385118</v>
      </c>
      <c r="E32047" s="1" t="s">
        <v>32425</v>
      </c>
      <c r="F32047" s="2"/>
      <c r="G32047" s="2"/>
      <c r="H32047" s="2"/>
    </row>
    <row r="32048" spans="1:8" x14ac:dyDescent="0.25">
      <c r="A32048" s="1"/>
      <c r="B32048" s="1" t="s">
        <v>8275</v>
      </c>
      <c r="C32048" s="1" t="s">
        <v>8276</v>
      </c>
      <c r="D32048" s="1" t="str">
        <f>HYPERLINK("https://rhld.insurance.arkansas.gov/NPILookup?Npi=1982398186","1982398186")</f>
        <v>1982398186</v>
      </c>
      <c r="E32048" s="1" t="s">
        <v>8265</v>
      </c>
      <c r="F32048" s="2"/>
      <c r="G32048" s="2"/>
      <c r="H32048" s="2"/>
    </row>
    <row r="32049" spans="1:8" x14ac:dyDescent="0.25">
      <c r="A32049" s="1"/>
      <c r="B32049" s="1" t="s">
        <v>8275</v>
      </c>
      <c r="C32049" s="1" t="s">
        <v>8276</v>
      </c>
      <c r="D32049" s="1" t="str">
        <f>HYPERLINK("https://rhld.insurance.arkansas.gov/NPILookup?Npi=1982417234","1982417234")</f>
        <v>1982417234</v>
      </c>
      <c r="E32049" s="1" t="s">
        <v>32426</v>
      </c>
      <c r="F32049" s="2"/>
      <c r="G32049" s="2"/>
      <c r="H32049" s="2"/>
    </row>
    <row r="32050" spans="1:8" x14ac:dyDescent="0.25">
      <c r="A32050" s="1"/>
      <c r="B32050" s="1" t="s">
        <v>8275</v>
      </c>
      <c r="C32050" s="1" t="s">
        <v>8276</v>
      </c>
      <c r="D32050" s="1" t="str">
        <f>HYPERLINK("https://rhld.insurance.arkansas.gov/NPILookup?Npi=1982418984","1982418984")</f>
        <v>1982418984</v>
      </c>
      <c r="E32050" s="1" t="s">
        <v>31990</v>
      </c>
      <c r="F32050" s="2"/>
      <c r="G32050" s="2"/>
      <c r="H32050" s="2"/>
    </row>
    <row r="32051" spans="1:8" x14ac:dyDescent="0.25">
      <c r="A32051" s="1"/>
      <c r="B32051" s="1" t="s">
        <v>8275</v>
      </c>
      <c r="C32051" s="1" t="s">
        <v>8276</v>
      </c>
      <c r="D32051" s="1" t="str">
        <f>HYPERLINK("https://rhld.insurance.arkansas.gov/NPILookup?Npi=1982424420","1982424420")</f>
        <v>1982424420</v>
      </c>
      <c r="E32051" s="1" t="s">
        <v>32427</v>
      </c>
      <c r="F32051" s="2"/>
      <c r="G32051" s="2"/>
      <c r="H32051" s="2"/>
    </row>
    <row r="32052" spans="1:8" x14ac:dyDescent="0.25">
      <c r="A32052" s="1"/>
      <c r="B32052" s="1" t="s">
        <v>8275</v>
      </c>
      <c r="C32052" s="1" t="s">
        <v>8276</v>
      </c>
      <c r="D32052" s="1" t="str">
        <f>HYPERLINK("https://rhld.insurance.arkansas.gov/NPILookup?Npi=1982604385","1982604385")</f>
        <v>1982604385</v>
      </c>
      <c r="E32052" s="1" t="s">
        <v>29508</v>
      </c>
      <c r="F32052" s="2"/>
      <c r="G32052" s="2"/>
      <c r="H32052" s="2"/>
    </row>
    <row r="32053" spans="1:8" x14ac:dyDescent="0.25">
      <c r="A32053" s="1"/>
      <c r="B32053" s="1" t="s">
        <v>8275</v>
      </c>
      <c r="C32053" s="1" t="s">
        <v>8276</v>
      </c>
      <c r="D32053" s="1" t="str">
        <f>HYPERLINK("https://rhld.insurance.arkansas.gov/NPILookup?Npi=1982616231","1982616231")</f>
        <v>1982616231</v>
      </c>
      <c r="E32053" s="1" t="s">
        <v>29509</v>
      </c>
      <c r="F32053" s="2"/>
      <c r="G32053" s="2"/>
      <c r="H32053" s="2"/>
    </row>
    <row r="32054" spans="1:8" x14ac:dyDescent="0.25">
      <c r="A32054" s="1"/>
      <c r="B32054" s="1" t="s">
        <v>8275</v>
      </c>
      <c r="C32054" s="1" t="s">
        <v>8276</v>
      </c>
      <c r="D32054" s="1" t="str">
        <f>HYPERLINK("https://rhld.insurance.arkansas.gov/NPILookup?Npi=1982662185","1982662185")</f>
        <v>1982662185</v>
      </c>
      <c r="E32054" s="1" t="s">
        <v>155</v>
      </c>
      <c r="F32054" s="2"/>
      <c r="G32054" s="2"/>
      <c r="H32054" s="2"/>
    </row>
    <row r="32055" spans="1:8" x14ac:dyDescent="0.25">
      <c r="A32055" s="1"/>
      <c r="B32055" s="1" t="s">
        <v>8275</v>
      </c>
      <c r="C32055" s="1" t="s">
        <v>8276</v>
      </c>
      <c r="D32055" s="1" t="str">
        <f>HYPERLINK("https://rhld.insurance.arkansas.gov/NPILookup?Npi=1982672010","1982672010")</f>
        <v>1982672010</v>
      </c>
      <c r="E32055" s="1" t="s">
        <v>29515</v>
      </c>
      <c r="F32055" s="2"/>
      <c r="G32055" s="2"/>
      <c r="H32055" s="2"/>
    </row>
    <row r="32056" spans="1:8" x14ac:dyDescent="0.25">
      <c r="A32056" s="1"/>
      <c r="B32056" s="1" t="s">
        <v>8275</v>
      </c>
      <c r="C32056" s="1" t="s">
        <v>8276</v>
      </c>
      <c r="D32056" s="1" t="str">
        <f>HYPERLINK("https://rhld.insurance.arkansas.gov/NPILookup?Npi=1982698965","1982698965")</f>
        <v>1982698965</v>
      </c>
      <c r="E32056" s="1" t="s">
        <v>2112</v>
      </c>
      <c r="F32056" s="2"/>
      <c r="G32056" s="2"/>
      <c r="H32056" s="2"/>
    </row>
    <row r="32057" spans="1:8" x14ac:dyDescent="0.25">
      <c r="A32057" s="1"/>
      <c r="B32057" s="1" t="s">
        <v>8275</v>
      </c>
      <c r="C32057" s="1" t="s">
        <v>8276</v>
      </c>
      <c r="D32057" s="1" t="str">
        <f>HYPERLINK("https://rhld.insurance.arkansas.gov/NPILookup?Npi=1982702155","1982702155")</f>
        <v>1982702155</v>
      </c>
      <c r="E32057" s="1" t="s">
        <v>29861</v>
      </c>
      <c r="F32057" s="2"/>
      <c r="G32057" s="2"/>
      <c r="H32057" s="2"/>
    </row>
    <row r="32058" spans="1:8" x14ac:dyDescent="0.25">
      <c r="A32058" s="1"/>
      <c r="B32058" s="1" t="s">
        <v>8275</v>
      </c>
      <c r="C32058" s="1" t="s">
        <v>8276</v>
      </c>
      <c r="D32058" s="1" t="str">
        <f>HYPERLINK("https://rhld.insurance.arkansas.gov/NPILookup?Npi=1982704532","1982704532")</f>
        <v>1982704532</v>
      </c>
      <c r="E32058" s="1" t="s">
        <v>29862</v>
      </c>
      <c r="F32058" s="2"/>
      <c r="G32058" s="2"/>
      <c r="H32058" s="2"/>
    </row>
    <row r="32059" spans="1:8" x14ac:dyDescent="0.25">
      <c r="A32059" s="1"/>
      <c r="B32059" s="1" t="s">
        <v>8275</v>
      </c>
      <c r="C32059" s="1" t="s">
        <v>8276</v>
      </c>
      <c r="D32059" s="1" t="str">
        <f>HYPERLINK("https://rhld.insurance.arkansas.gov/NPILookup?Npi=1982757563","1982757563")</f>
        <v>1982757563</v>
      </c>
      <c r="E32059" s="1" t="s">
        <v>29863</v>
      </c>
      <c r="F32059" s="2"/>
      <c r="G32059" s="2"/>
      <c r="H32059" s="2"/>
    </row>
    <row r="32060" spans="1:8" x14ac:dyDescent="0.25">
      <c r="A32060" s="1"/>
      <c r="B32060" s="1" t="s">
        <v>8275</v>
      </c>
      <c r="C32060" s="1" t="s">
        <v>8276</v>
      </c>
      <c r="D32060" s="1" t="str">
        <f>HYPERLINK("https://rhld.insurance.arkansas.gov/NPILookup?Npi=1982871976","1982871976")</f>
        <v>1982871976</v>
      </c>
      <c r="E32060" s="1" t="s">
        <v>18061</v>
      </c>
      <c r="F32060" s="2"/>
      <c r="G32060" s="2"/>
      <c r="H32060" s="2"/>
    </row>
    <row r="32061" spans="1:8" x14ac:dyDescent="0.25">
      <c r="A32061" s="1"/>
      <c r="B32061" s="1" t="s">
        <v>8275</v>
      </c>
      <c r="C32061" s="1" t="s">
        <v>8276</v>
      </c>
      <c r="D32061" s="1" t="str">
        <f>HYPERLINK("https://rhld.insurance.arkansas.gov/NPILookup?Npi=1982894986","1982894986")</f>
        <v>1982894986</v>
      </c>
      <c r="E32061" s="1" t="s">
        <v>920</v>
      </c>
      <c r="F32061" s="2"/>
      <c r="G32061" s="2"/>
      <c r="H32061" s="2"/>
    </row>
    <row r="32062" spans="1:8" x14ac:dyDescent="0.25">
      <c r="A32062" s="1"/>
      <c r="B32062" s="1" t="s">
        <v>8275</v>
      </c>
      <c r="C32062" s="1" t="s">
        <v>8276</v>
      </c>
      <c r="D32062" s="1" t="str">
        <f>HYPERLINK("https://rhld.insurance.arkansas.gov/NPILookup?Npi=1982990214","1982990214")</f>
        <v>1982990214</v>
      </c>
      <c r="E32062" s="1" t="s">
        <v>32428</v>
      </c>
      <c r="F32062" s="2"/>
      <c r="G32062" s="2"/>
      <c r="H32062" s="2"/>
    </row>
    <row r="32063" spans="1:8" x14ac:dyDescent="0.25">
      <c r="A32063" s="1"/>
      <c r="B32063" s="1" t="s">
        <v>8275</v>
      </c>
      <c r="C32063" s="1" t="s">
        <v>8276</v>
      </c>
      <c r="D32063" s="1" t="str">
        <f>HYPERLINK("https://rhld.insurance.arkansas.gov/NPILookup?Npi=1982998357","1982998357")</f>
        <v>1982998357</v>
      </c>
      <c r="E32063" s="1" t="s">
        <v>29864</v>
      </c>
      <c r="F32063" s="2"/>
      <c r="G32063" s="2"/>
      <c r="H32063" s="2"/>
    </row>
    <row r="32064" spans="1:8" x14ac:dyDescent="0.25">
      <c r="A32064" s="1"/>
      <c r="B32064" s="1" t="s">
        <v>8275</v>
      </c>
      <c r="C32064" s="1" t="s">
        <v>8276</v>
      </c>
      <c r="D32064" s="1" t="str">
        <f>HYPERLINK("https://rhld.insurance.arkansas.gov/NPILookup?Npi=1992026751","1992026751")</f>
        <v>1992026751</v>
      </c>
      <c r="E32064" s="1" t="s">
        <v>32429</v>
      </c>
      <c r="F32064" s="2"/>
      <c r="G32064" s="2"/>
      <c r="H32064" s="2"/>
    </row>
    <row r="32065" spans="1:8" x14ac:dyDescent="0.25">
      <c r="A32065" s="1"/>
      <c r="B32065" s="1" t="s">
        <v>8275</v>
      </c>
      <c r="C32065" s="1" t="s">
        <v>8276</v>
      </c>
      <c r="D32065" s="1" t="str">
        <f>HYPERLINK("https://rhld.insurance.arkansas.gov/NPILookup?Npi=1992111546","1992111546")</f>
        <v>1992111546</v>
      </c>
      <c r="E32065" s="1" t="s">
        <v>29530</v>
      </c>
      <c r="F32065" s="2"/>
      <c r="G32065" s="2"/>
      <c r="H32065" s="2"/>
    </row>
    <row r="32066" spans="1:8" x14ac:dyDescent="0.25">
      <c r="A32066" s="1"/>
      <c r="B32066" s="1" t="s">
        <v>8275</v>
      </c>
      <c r="C32066" s="1" t="s">
        <v>8276</v>
      </c>
      <c r="D32066" s="1" t="str">
        <f>HYPERLINK("https://rhld.insurance.arkansas.gov/NPILookup?Npi=1992125595","1992125595")</f>
        <v>1992125595</v>
      </c>
      <c r="E32066" s="1" t="s">
        <v>1830</v>
      </c>
      <c r="F32066" s="2"/>
      <c r="G32066" s="2"/>
      <c r="H32066" s="2"/>
    </row>
    <row r="32067" spans="1:8" x14ac:dyDescent="0.25">
      <c r="A32067" s="1"/>
      <c r="B32067" s="1" t="s">
        <v>8275</v>
      </c>
      <c r="C32067" s="1" t="s">
        <v>8276</v>
      </c>
      <c r="D32067" s="1" t="str">
        <f>HYPERLINK("https://rhld.insurance.arkansas.gov/NPILookup?Npi=1992214407","1992214407")</f>
        <v>1992214407</v>
      </c>
      <c r="E32067" s="1" t="s">
        <v>29533</v>
      </c>
      <c r="F32067" s="2"/>
      <c r="G32067" s="2"/>
      <c r="H32067" s="2"/>
    </row>
    <row r="32068" spans="1:8" x14ac:dyDescent="0.25">
      <c r="A32068" s="1"/>
      <c r="B32068" s="1" t="s">
        <v>8275</v>
      </c>
      <c r="C32068" s="1" t="s">
        <v>8276</v>
      </c>
      <c r="D32068" s="1" t="str">
        <f>HYPERLINK("https://rhld.insurance.arkansas.gov/NPILookup?Npi=1992313159","1992313159")</f>
        <v>1992313159</v>
      </c>
      <c r="E32068" s="1" t="s">
        <v>32431</v>
      </c>
      <c r="F32068" s="2"/>
      <c r="G32068" s="2"/>
      <c r="H32068" s="2"/>
    </row>
    <row r="32069" spans="1:8" x14ac:dyDescent="0.25">
      <c r="A32069" s="1"/>
      <c r="B32069" s="1" t="s">
        <v>8275</v>
      </c>
      <c r="C32069" s="1" t="s">
        <v>8276</v>
      </c>
      <c r="D32069" s="1" t="str">
        <f>HYPERLINK("https://rhld.insurance.arkansas.gov/NPILookup?Npi=1992323083","1992323083")</f>
        <v>1992323083</v>
      </c>
      <c r="E32069" s="1" t="s">
        <v>29538</v>
      </c>
      <c r="F32069" s="2"/>
      <c r="G32069" s="2"/>
      <c r="H32069" s="2"/>
    </row>
    <row r="32070" spans="1:8" x14ac:dyDescent="0.25">
      <c r="A32070" s="1"/>
      <c r="B32070" s="1" t="s">
        <v>8275</v>
      </c>
      <c r="C32070" s="1" t="s">
        <v>8276</v>
      </c>
      <c r="D32070" s="1" t="str">
        <f>HYPERLINK("https://rhld.insurance.arkansas.gov/NPILookup?Npi=1992331714","1992331714")</f>
        <v>1992331714</v>
      </c>
      <c r="E32070" s="1" t="s">
        <v>378</v>
      </c>
      <c r="F32070" s="2"/>
      <c r="G32070" s="2"/>
      <c r="H32070" s="2"/>
    </row>
    <row r="32071" spans="1:8" x14ac:dyDescent="0.25">
      <c r="A32071" s="1"/>
      <c r="B32071" s="1" t="s">
        <v>8275</v>
      </c>
      <c r="C32071" s="1" t="s">
        <v>8276</v>
      </c>
      <c r="D32071" s="1" t="str">
        <f>HYPERLINK("https://rhld.insurance.arkansas.gov/NPILookup?Npi=1992350730","1992350730")</f>
        <v>1992350730</v>
      </c>
      <c r="E32071" s="1" t="s">
        <v>29543</v>
      </c>
      <c r="F32071" s="2"/>
      <c r="G32071" s="2"/>
      <c r="H32071" s="2"/>
    </row>
    <row r="32072" spans="1:8" x14ac:dyDescent="0.25">
      <c r="A32072" s="1"/>
      <c r="B32072" s="1" t="s">
        <v>8275</v>
      </c>
      <c r="C32072" s="1" t="s">
        <v>8276</v>
      </c>
      <c r="D32072" s="1" t="str">
        <f>HYPERLINK("https://rhld.insurance.arkansas.gov/NPILookup?Npi=1992395966","1992395966")</f>
        <v>1992395966</v>
      </c>
      <c r="E32072" s="1" t="s">
        <v>8270</v>
      </c>
      <c r="F32072" s="2"/>
      <c r="G32072" s="2"/>
      <c r="H32072" s="2"/>
    </row>
    <row r="32073" spans="1:8" x14ac:dyDescent="0.25">
      <c r="A32073" s="1"/>
      <c r="B32073" s="1" t="s">
        <v>8275</v>
      </c>
      <c r="C32073" s="1" t="s">
        <v>8276</v>
      </c>
      <c r="D32073" s="1" t="str">
        <f>HYPERLINK("https://rhld.insurance.arkansas.gov/NPILookup?Npi=1992423602","1992423602")</f>
        <v>1992423602</v>
      </c>
      <c r="E32073" s="1" t="s">
        <v>8271</v>
      </c>
      <c r="F32073" s="2"/>
      <c r="G32073" s="2"/>
      <c r="H32073" s="2"/>
    </row>
    <row r="32074" spans="1:8" x14ac:dyDescent="0.25">
      <c r="A32074" s="1"/>
      <c r="B32074" s="1" t="s">
        <v>8275</v>
      </c>
      <c r="C32074" s="1" t="s">
        <v>8276</v>
      </c>
      <c r="D32074" s="1" t="str">
        <f>HYPERLINK("https://rhld.insurance.arkansas.gov/NPILookup?Npi=1992486161","1992486161")</f>
        <v>1992486161</v>
      </c>
      <c r="E32074" s="1" t="s">
        <v>32432</v>
      </c>
      <c r="F32074" s="2"/>
      <c r="G32074" s="2"/>
      <c r="H32074" s="2"/>
    </row>
    <row r="32075" spans="1:8" x14ac:dyDescent="0.25">
      <c r="A32075" s="1"/>
      <c r="B32075" s="1" t="s">
        <v>8275</v>
      </c>
      <c r="C32075" s="1" t="s">
        <v>8276</v>
      </c>
      <c r="D32075" s="1" t="str">
        <f>HYPERLINK("https://rhld.insurance.arkansas.gov/NPILookup?Npi=1992518245","1992518245")</f>
        <v>1992518245</v>
      </c>
      <c r="E32075" s="1" t="s">
        <v>32433</v>
      </c>
      <c r="F32075" s="2"/>
      <c r="G32075" s="2"/>
      <c r="H32075" s="2"/>
    </row>
    <row r="32076" spans="1:8" x14ac:dyDescent="0.25">
      <c r="A32076" s="1"/>
      <c r="B32076" s="1" t="s">
        <v>8275</v>
      </c>
      <c r="C32076" s="1" t="s">
        <v>8276</v>
      </c>
      <c r="D32076" s="1" t="str">
        <f>HYPERLINK("https://rhld.insurance.arkansas.gov/NPILookup?Npi=1992523864","1992523864")</f>
        <v>1992523864</v>
      </c>
      <c r="E32076" s="1" t="s">
        <v>31993</v>
      </c>
      <c r="F32076" s="2"/>
      <c r="G32076" s="2"/>
      <c r="H32076" s="2"/>
    </row>
    <row r="32077" spans="1:8" x14ac:dyDescent="0.25">
      <c r="A32077" s="1"/>
      <c r="B32077" s="1" t="s">
        <v>8275</v>
      </c>
      <c r="C32077" s="1" t="s">
        <v>8276</v>
      </c>
      <c r="D32077" s="1" t="str">
        <f>HYPERLINK("https://rhld.insurance.arkansas.gov/NPILookup?Npi=1992533285","1992533285")</f>
        <v>1992533285</v>
      </c>
      <c r="E32077" s="1" t="s">
        <v>29549</v>
      </c>
      <c r="F32077" s="2"/>
      <c r="G32077" s="2"/>
      <c r="H32077" s="2"/>
    </row>
    <row r="32078" spans="1:8" x14ac:dyDescent="0.25">
      <c r="A32078" s="1"/>
      <c r="B32078" s="1" t="s">
        <v>8275</v>
      </c>
      <c r="C32078" s="1" t="s">
        <v>8276</v>
      </c>
      <c r="D32078" s="1" t="str">
        <f>HYPERLINK("https://rhld.insurance.arkansas.gov/NPILookup?Npi=1992542450","1992542450")</f>
        <v>1992542450</v>
      </c>
      <c r="E32078" s="1" t="s">
        <v>32434</v>
      </c>
      <c r="F32078" s="2"/>
      <c r="G32078" s="2"/>
      <c r="H32078" s="2"/>
    </row>
    <row r="32079" spans="1:8" x14ac:dyDescent="0.25">
      <c r="A32079" s="1"/>
      <c r="B32079" s="1" t="s">
        <v>8275</v>
      </c>
      <c r="C32079" s="1" t="s">
        <v>8276</v>
      </c>
      <c r="D32079" s="1" t="str">
        <f>HYPERLINK("https://rhld.insurance.arkansas.gov/NPILookup?Npi=1992733422","1992733422")</f>
        <v>1992733422</v>
      </c>
      <c r="E32079" s="1" t="s">
        <v>18068</v>
      </c>
      <c r="F32079" s="2"/>
      <c r="G32079" s="2"/>
      <c r="H32079" s="2"/>
    </row>
    <row r="32080" spans="1:8" x14ac:dyDescent="0.25">
      <c r="A32080" s="1"/>
      <c r="B32080" s="1" t="s">
        <v>8275</v>
      </c>
      <c r="C32080" s="1" t="s">
        <v>8276</v>
      </c>
      <c r="D32080" s="1" t="str">
        <f>HYPERLINK("https://rhld.insurance.arkansas.gov/NPILookup?Npi=1992741573","1992741573")</f>
        <v>1992741573</v>
      </c>
      <c r="E32080" s="1" t="s">
        <v>29866</v>
      </c>
      <c r="F32080" s="2"/>
      <c r="G32080" s="2"/>
      <c r="H32080" s="2"/>
    </row>
    <row r="32081" spans="1:8" x14ac:dyDescent="0.25">
      <c r="A32081" s="1"/>
      <c r="B32081" s="1" t="s">
        <v>8275</v>
      </c>
      <c r="C32081" s="1" t="s">
        <v>8276</v>
      </c>
      <c r="D32081" s="1" t="str">
        <f>HYPERLINK("https://rhld.insurance.arkansas.gov/NPILookup?Npi=1992757884","1992757884")</f>
        <v>1992757884</v>
      </c>
      <c r="E32081" s="1" t="s">
        <v>29867</v>
      </c>
      <c r="F32081" s="2"/>
      <c r="G32081" s="2"/>
      <c r="H32081" s="2"/>
    </row>
    <row r="32082" spans="1:8" x14ac:dyDescent="0.25">
      <c r="A32082" s="1"/>
      <c r="B32082" s="1" t="s">
        <v>8275</v>
      </c>
      <c r="C32082" s="1" t="s">
        <v>8276</v>
      </c>
      <c r="D32082" s="1" t="str">
        <f>HYPERLINK("https://rhld.insurance.arkansas.gov/NPILookup?Npi=1992761860","1992761860")</f>
        <v>1992761860</v>
      </c>
      <c r="E32082" s="1" t="s">
        <v>29556</v>
      </c>
      <c r="F32082" s="2"/>
      <c r="G32082" s="2"/>
      <c r="H32082" s="2"/>
    </row>
    <row r="32083" spans="1:8" x14ac:dyDescent="0.25">
      <c r="A32083" s="1"/>
      <c r="B32083" s="1" t="s">
        <v>8275</v>
      </c>
      <c r="C32083" s="1" t="s">
        <v>8276</v>
      </c>
      <c r="D32083" s="1" t="str">
        <f>HYPERLINK("https://rhld.insurance.arkansas.gov/NPILookup?Npi=1992765010","1992765010")</f>
        <v>1992765010</v>
      </c>
      <c r="E32083" s="1" t="s">
        <v>13862</v>
      </c>
      <c r="F32083" s="2"/>
      <c r="G32083" s="2"/>
      <c r="H32083" s="2"/>
    </row>
    <row r="32084" spans="1:8" x14ac:dyDescent="0.25">
      <c r="A32084" s="1"/>
      <c r="B32084" s="1" t="s">
        <v>8275</v>
      </c>
      <c r="C32084" s="1" t="s">
        <v>8276</v>
      </c>
      <c r="D32084" s="1" t="str">
        <f>HYPERLINK("https://rhld.insurance.arkansas.gov/NPILookup?Npi=1992768105","1992768105")</f>
        <v>1992768105</v>
      </c>
      <c r="E32084" s="1" t="s">
        <v>13111</v>
      </c>
      <c r="F32084" s="2"/>
      <c r="G32084" s="2"/>
      <c r="H32084" s="2"/>
    </row>
    <row r="32085" spans="1:8" x14ac:dyDescent="0.25">
      <c r="A32085" s="1"/>
      <c r="B32085" s="1" t="s">
        <v>8275</v>
      </c>
      <c r="C32085" s="1" t="s">
        <v>8276</v>
      </c>
      <c r="D32085" s="1" t="str">
        <f>HYPERLINK("https://rhld.insurance.arkansas.gov/NPILookup?Npi=1992781264","1992781264")</f>
        <v>1992781264</v>
      </c>
      <c r="E32085" s="1" t="s">
        <v>29561</v>
      </c>
      <c r="F32085" s="2"/>
      <c r="G32085" s="2"/>
      <c r="H32085" s="2"/>
    </row>
    <row r="32086" spans="1:8" x14ac:dyDescent="0.25">
      <c r="A32086" s="1"/>
      <c r="B32086" s="1" t="s">
        <v>8275</v>
      </c>
      <c r="C32086" s="1" t="s">
        <v>8276</v>
      </c>
      <c r="D32086" s="1" t="str">
        <f>HYPERLINK("https://rhld.insurance.arkansas.gov/NPILookup?Npi=1992962401","1992962401")</f>
        <v>1992962401</v>
      </c>
      <c r="E32086" s="1" t="s">
        <v>29868</v>
      </c>
      <c r="F32086" s="2"/>
      <c r="G32086" s="2"/>
      <c r="H32086" s="2"/>
    </row>
    <row r="32087" spans="1:8" x14ac:dyDescent="0.25">
      <c r="A32087" s="1"/>
      <c r="B32087" s="1" t="s">
        <v>8342</v>
      </c>
      <c r="C32087" s="1" t="s">
        <v>8343</v>
      </c>
      <c r="D32087" s="1" t="str">
        <f>HYPERLINK("https://rhld.insurance.arkansas.gov/NPILookup?Npi=1003017302","1003017302")</f>
        <v>1003017302</v>
      </c>
      <c r="E32087" s="1" t="s">
        <v>29869</v>
      </c>
      <c r="F32087" s="2"/>
      <c r="G32087" s="2"/>
      <c r="H32087" s="2"/>
    </row>
    <row r="32088" spans="1:8" x14ac:dyDescent="0.25">
      <c r="A32088" s="1"/>
      <c r="B32088" s="1" t="s">
        <v>8342</v>
      </c>
      <c r="C32088" s="1" t="s">
        <v>8343</v>
      </c>
      <c r="D32088" s="1" t="str">
        <f>HYPERLINK("https://rhld.insurance.arkansas.gov/NPILookup?Npi=1003097841","1003097841")</f>
        <v>1003097841</v>
      </c>
      <c r="E32088" s="1" t="s">
        <v>20057</v>
      </c>
      <c r="F32088" s="2"/>
      <c r="G32088" s="2"/>
      <c r="H32088" s="2"/>
    </row>
    <row r="32089" spans="1:8" x14ac:dyDescent="0.25">
      <c r="A32089" s="1"/>
      <c r="B32089" s="1" t="s">
        <v>8342</v>
      </c>
      <c r="C32089" s="1" t="s">
        <v>8343</v>
      </c>
      <c r="D32089" s="1" t="str">
        <f>HYPERLINK("https://rhld.insurance.arkansas.gov/NPILookup?Npi=1003131285","1003131285")</f>
        <v>1003131285</v>
      </c>
      <c r="E32089" s="1" t="s">
        <v>13956</v>
      </c>
      <c r="F32089" s="2"/>
      <c r="G32089" s="2"/>
      <c r="H32089" s="2"/>
    </row>
    <row r="32090" spans="1:8" x14ac:dyDescent="0.25">
      <c r="A32090" s="1"/>
      <c r="B32090" s="1" t="s">
        <v>8342</v>
      </c>
      <c r="C32090" s="1" t="s">
        <v>8343</v>
      </c>
      <c r="D32090" s="1" t="str">
        <f>HYPERLINK("https://rhld.insurance.arkansas.gov/NPILookup?Npi=1003259391","1003259391")</f>
        <v>1003259391</v>
      </c>
      <c r="E32090" s="1" t="s">
        <v>13957</v>
      </c>
      <c r="F32090" s="2"/>
      <c r="G32090" s="2"/>
      <c r="H32090" s="2"/>
    </row>
    <row r="32091" spans="1:8" x14ac:dyDescent="0.25">
      <c r="A32091" s="1"/>
      <c r="B32091" s="1" t="s">
        <v>8342</v>
      </c>
      <c r="C32091" s="1" t="s">
        <v>8343</v>
      </c>
      <c r="D32091" s="1" t="str">
        <f>HYPERLINK("https://rhld.insurance.arkansas.gov/NPILookup?Npi=1003872714","1003872714")</f>
        <v>1003872714</v>
      </c>
      <c r="E32091" s="1" t="s">
        <v>32485</v>
      </c>
      <c r="F32091" s="2"/>
      <c r="G32091" s="2"/>
      <c r="H32091" s="2"/>
    </row>
    <row r="32092" spans="1:8" x14ac:dyDescent="0.25">
      <c r="A32092" s="1"/>
      <c r="B32092" s="1" t="s">
        <v>8342</v>
      </c>
      <c r="C32092" s="1" t="s">
        <v>8343</v>
      </c>
      <c r="D32092" s="1" t="str">
        <f>HYPERLINK("https://rhld.insurance.arkansas.gov/NPILookup?Npi=1003960931","1003960931")</f>
        <v>1003960931</v>
      </c>
      <c r="E32092" s="1" t="s">
        <v>2344</v>
      </c>
      <c r="F32092" s="2"/>
      <c r="G32092" s="2"/>
      <c r="H32092" s="2"/>
    </row>
    <row r="32093" spans="1:8" x14ac:dyDescent="0.25">
      <c r="A32093" s="1"/>
      <c r="B32093" s="1" t="s">
        <v>8342</v>
      </c>
      <c r="C32093" s="1" t="s">
        <v>8343</v>
      </c>
      <c r="D32093" s="1" t="str">
        <f>HYPERLINK("https://rhld.insurance.arkansas.gov/NPILookup?Npi=1013038082","1013038082")</f>
        <v>1013038082</v>
      </c>
      <c r="E32093" s="1" t="s">
        <v>1837</v>
      </c>
      <c r="F32093" s="2"/>
      <c r="G32093" s="2"/>
      <c r="H32093" s="2"/>
    </row>
    <row r="32094" spans="1:8" x14ac:dyDescent="0.25">
      <c r="A32094" s="1"/>
      <c r="B32094" s="1" t="s">
        <v>8342</v>
      </c>
      <c r="C32094" s="1" t="s">
        <v>8343</v>
      </c>
      <c r="D32094" s="1" t="str">
        <f>HYPERLINK("https://rhld.insurance.arkansas.gov/NPILookup?Npi=1013138361","1013138361")</f>
        <v>1013138361</v>
      </c>
      <c r="E32094" s="1" t="s">
        <v>921</v>
      </c>
      <c r="F32094" s="2"/>
      <c r="G32094" s="2"/>
      <c r="H32094" s="2"/>
    </row>
    <row r="32095" spans="1:8" x14ac:dyDescent="0.25">
      <c r="A32095" s="1"/>
      <c r="B32095" s="1" t="s">
        <v>8342</v>
      </c>
      <c r="C32095" s="1" t="s">
        <v>8343</v>
      </c>
      <c r="D32095" s="1" t="str">
        <f>HYPERLINK("https://rhld.insurance.arkansas.gov/NPILookup?Npi=1013183482","1013183482")</f>
        <v>1013183482</v>
      </c>
      <c r="E32095" s="1" t="s">
        <v>1588</v>
      </c>
      <c r="F32095" s="2"/>
      <c r="G32095" s="2"/>
      <c r="H32095" s="2"/>
    </row>
    <row r="32096" spans="1:8" x14ac:dyDescent="0.25">
      <c r="A32096" s="1"/>
      <c r="B32096" s="1" t="s">
        <v>8342</v>
      </c>
      <c r="C32096" s="1" t="s">
        <v>8343</v>
      </c>
      <c r="D32096" s="1" t="str">
        <f>HYPERLINK("https://rhld.insurance.arkansas.gov/NPILookup?Npi=1013970797","1013970797")</f>
        <v>1013970797</v>
      </c>
      <c r="E32096" s="1" t="s">
        <v>13958</v>
      </c>
      <c r="F32096" s="2"/>
      <c r="G32096" s="2"/>
      <c r="H32096" s="2"/>
    </row>
    <row r="32097" spans="1:8" x14ac:dyDescent="0.25">
      <c r="A32097" s="1"/>
      <c r="B32097" s="1" t="s">
        <v>8342</v>
      </c>
      <c r="C32097" s="1" t="s">
        <v>8343</v>
      </c>
      <c r="D32097" s="1" t="str">
        <f>HYPERLINK("https://rhld.insurance.arkansas.gov/NPILookup?Npi=1013987510","1013987510")</f>
        <v>1013987510</v>
      </c>
      <c r="E32097" s="1" t="s">
        <v>13960</v>
      </c>
      <c r="F32097" s="2"/>
      <c r="G32097" s="2"/>
      <c r="H32097" s="2"/>
    </row>
    <row r="32098" spans="1:8" x14ac:dyDescent="0.25">
      <c r="A32098" s="1"/>
      <c r="B32098" s="1" t="s">
        <v>8342</v>
      </c>
      <c r="C32098" s="1" t="s">
        <v>8343</v>
      </c>
      <c r="D32098" s="1" t="str">
        <f>HYPERLINK("https://rhld.insurance.arkansas.gov/NPILookup?Npi=1023061777","1023061777")</f>
        <v>1023061777</v>
      </c>
      <c r="E32098" s="1" t="s">
        <v>29870</v>
      </c>
      <c r="F32098" s="2"/>
      <c r="G32098" s="2"/>
      <c r="H32098" s="2"/>
    </row>
    <row r="32099" spans="1:8" x14ac:dyDescent="0.25">
      <c r="A32099" s="1"/>
      <c r="B32099" s="1" t="s">
        <v>8342</v>
      </c>
      <c r="C32099" s="1" t="s">
        <v>8343</v>
      </c>
      <c r="D32099" s="1" t="str">
        <f>HYPERLINK("https://rhld.insurance.arkansas.gov/NPILookup?Npi=1023178043","1023178043")</f>
        <v>1023178043</v>
      </c>
      <c r="E32099" s="1" t="s">
        <v>1554</v>
      </c>
      <c r="F32099" s="2"/>
      <c r="G32099" s="2"/>
      <c r="H32099" s="2"/>
    </row>
    <row r="32100" spans="1:8" x14ac:dyDescent="0.25">
      <c r="A32100" s="1"/>
      <c r="B32100" s="1" t="s">
        <v>8342</v>
      </c>
      <c r="C32100" s="1" t="s">
        <v>8343</v>
      </c>
      <c r="D32100" s="1" t="str">
        <f>HYPERLINK("https://rhld.insurance.arkansas.gov/NPILookup?Npi=1023252269","1023252269")</f>
        <v>1023252269</v>
      </c>
      <c r="E32100" s="1" t="s">
        <v>862</v>
      </c>
      <c r="F32100" s="2"/>
      <c r="G32100" s="2"/>
      <c r="H32100" s="2"/>
    </row>
    <row r="32101" spans="1:8" x14ac:dyDescent="0.25">
      <c r="A32101" s="1"/>
      <c r="B32101" s="1" t="s">
        <v>8342</v>
      </c>
      <c r="C32101" s="1" t="s">
        <v>8343</v>
      </c>
      <c r="D32101" s="1" t="str">
        <f>HYPERLINK("https://rhld.insurance.arkansas.gov/NPILookup?Npi=1023322567","1023322567")</f>
        <v>1023322567</v>
      </c>
      <c r="E32101" s="1" t="s">
        <v>20945</v>
      </c>
      <c r="F32101" s="2"/>
      <c r="G32101" s="2"/>
      <c r="H32101" s="2"/>
    </row>
    <row r="32102" spans="1:8" x14ac:dyDescent="0.25">
      <c r="A32102" s="1"/>
      <c r="B32102" s="1" t="s">
        <v>8342</v>
      </c>
      <c r="C32102" s="1" t="s">
        <v>8343</v>
      </c>
      <c r="D32102" s="1" t="str">
        <f>HYPERLINK("https://rhld.insurance.arkansas.gov/NPILookup?Npi=1023452703","1023452703")</f>
        <v>1023452703</v>
      </c>
      <c r="E32102" s="1" t="s">
        <v>8344</v>
      </c>
      <c r="F32102" s="2"/>
      <c r="G32102" s="2"/>
      <c r="H32102" s="2"/>
    </row>
    <row r="32103" spans="1:8" x14ac:dyDescent="0.25">
      <c r="A32103" s="1"/>
      <c r="B32103" s="1" t="s">
        <v>8342</v>
      </c>
      <c r="C32103" s="1" t="s">
        <v>8343</v>
      </c>
      <c r="D32103" s="1" t="str">
        <f>HYPERLINK("https://rhld.insurance.arkansas.gov/NPILookup?Npi=1033128848","1033128848")</f>
        <v>1033128848</v>
      </c>
      <c r="E32103" s="1" t="s">
        <v>8345</v>
      </c>
      <c r="F32103" s="2"/>
      <c r="G32103" s="2"/>
      <c r="H32103" s="2"/>
    </row>
    <row r="32104" spans="1:8" x14ac:dyDescent="0.25">
      <c r="A32104" s="1"/>
      <c r="B32104" s="1" t="s">
        <v>8342</v>
      </c>
      <c r="C32104" s="1" t="s">
        <v>8343</v>
      </c>
      <c r="D32104" s="1" t="str">
        <f>HYPERLINK("https://rhld.insurance.arkansas.gov/NPILookup?Npi=1033161146","1033161146")</f>
        <v>1033161146</v>
      </c>
      <c r="E32104" s="1" t="s">
        <v>32486</v>
      </c>
      <c r="F32104" s="2"/>
      <c r="G32104" s="2"/>
      <c r="H32104" s="2"/>
    </row>
    <row r="32105" spans="1:8" x14ac:dyDescent="0.25">
      <c r="A32105" s="1"/>
      <c r="B32105" s="1" t="s">
        <v>8342</v>
      </c>
      <c r="C32105" s="1" t="s">
        <v>8343</v>
      </c>
      <c r="D32105" s="1" t="str">
        <f>HYPERLINK("https://rhld.insurance.arkansas.gov/NPILookup?Npi=1033222682","1033222682")</f>
        <v>1033222682</v>
      </c>
      <c r="E32105" s="1" t="s">
        <v>25258</v>
      </c>
      <c r="F32105" s="2"/>
      <c r="G32105" s="2"/>
      <c r="H32105" s="2"/>
    </row>
    <row r="32106" spans="1:8" x14ac:dyDescent="0.25">
      <c r="A32106" s="1"/>
      <c r="B32106" s="1" t="s">
        <v>8342</v>
      </c>
      <c r="C32106" s="1" t="s">
        <v>8343</v>
      </c>
      <c r="D32106" s="1" t="str">
        <f>HYPERLINK("https://rhld.insurance.arkansas.gov/NPILookup?Npi=1033230008","1033230008")</f>
        <v>1033230008</v>
      </c>
      <c r="E32106" s="1" t="s">
        <v>29871</v>
      </c>
      <c r="F32106" s="2"/>
      <c r="G32106" s="2"/>
      <c r="H32106" s="2"/>
    </row>
    <row r="32107" spans="1:8" x14ac:dyDescent="0.25">
      <c r="A32107" s="1"/>
      <c r="B32107" s="1" t="s">
        <v>8342</v>
      </c>
      <c r="C32107" s="1" t="s">
        <v>8343</v>
      </c>
      <c r="D32107" s="1" t="str">
        <f>HYPERLINK("https://rhld.insurance.arkansas.gov/NPILookup?Npi=1043227606","1043227606")</f>
        <v>1043227606</v>
      </c>
      <c r="E32107" s="1" t="s">
        <v>19101</v>
      </c>
      <c r="F32107" s="2"/>
      <c r="G32107" s="2"/>
      <c r="H32107" s="2"/>
    </row>
    <row r="32108" spans="1:8" x14ac:dyDescent="0.25">
      <c r="A32108" s="1"/>
      <c r="B32108" s="1" t="s">
        <v>8342</v>
      </c>
      <c r="C32108" s="1" t="s">
        <v>8343</v>
      </c>
      <c r="D32108" s="1" t="str">
        <f>HYPERLINK("https://rhld.insurance.arkansas.gov/NPILookup?Npi=1043241334","1043241334")</f>
        <v>1043241334</v>
      </c>
      <c r="E32108" s="1" t="s">
        <v>11813</v>
      </c>
      <c r="F32108" s="2"/>
      <c r="G32108" s="2"/>
      <c r="H32108" s="2"/>
    </row>
    <row r="32109" spans="1:8" x14ac:dyDescent="0.25">
      <c r="A32109" s="1"/>
      <c r="B32109" s="1" t="s">
        <v>8342</v>
      </c>
      <c r="C32109" s="1" t="s">
        <v>8343</v>
      </c>
      <c r="D32109" s="1" t="str">
        <f>HYPERLINK("https://rhld.insurance.arkansas.gov/NPILookup?Npi=1043264443","1043264443")</f>
        <v>1043264443</v>
      </c>
      <c r="E32109" s="1" t="s">
        <v>697</v>
      </c>
      <c r="F32109" s="2"/>
      <c r="G32109" s="2"/>
      <c r="H32109" s="2"/>
    </row>
    <row r="32110" spans="1:8" x14ac:dyDescent="0.25">
      <c r="A32110" s="1"/>
      <c r="B32110" s="1" t="s">
        <v>8342</v>
      </c>
      <c r="C32110" s="1" t="s">
        <v>8343</v>
      </c>
      <c r="D32110" s="1" t="str">
        <f>HYPERLINK("https://rhld.insurance.arkansas.gov/NPILookup?Npi=1043272990","1043272990")</f>
        <v>1043272990</v>
      </c>
      <c r="E32110" s="1" t="s">
        <v>408</v>
      </c>
      <c r="F32110" s="2"/>
      <c r="G32110" s="2"/>
      <c r="H32110" s="2"/>
    </row>
    <row r="32111" spans="1:8" x14ac:dyDescent="0.25">
      <c r="A32111" s="1"/>
      <c r="B32111" s="1" t="s">
        <v>8342</v>
      </c>
      <c r="C32111" s="1" t="s">
        <v>8343</v>
      </c>
      <c r="D32111" s="1" t="str">
        <f>HYPERLINK("https://rhld.insurance.arkansas.gov/NPILookup?Npi=1043331010","1043331010")</f>
        <v>1043331010</v>
      </c>
      <c r="E32111" s="1" t="s">
        <v>10849</v>
      </c>
      <c r="F32111" s="2"/>
      <c r="G32111" s="2"/>
      <c r="H32111" s="2"/>
    </row>
    <row r="32112" spans="1:8" x14ac:dyDescent="0.25">
      <c r="A32112" s="1"/>
      <c r="B32112" s="1" t="s">
        <v>8342</v>
      </c>
      <c r="C32112" s="1" t="s">
        <v>8343</v>
      </c>
      <c r="D32112" s="1" t="str">
        <f>HYPERLINK("https://rhld.insurance.arkansas.gov/NPILookup?Npi=1043341142","1043341142")</f>
        <v>1043341142</v>
      </c>
      <c r="E32112" s="1" t="s">
        <v>8346</v>
      </c>
      <c r="F32112" s="2"/>
      <c r="G32112" s="2"/>
      <c r="H32112" s="2"/>
    </row>
    <row r="32113" spans="1:8" x14ac:dyDescent="0.25">
      <c r="A32113" s="1"/>
      <c r="B32113" s="1" t="s">
        <v>8342</v>
      </c>
      <c r="C32113" s="1" t="s">
        <v>8343</v>
      </c>
      <c r="D32113" s="1" t="str">
        <f>HYPERLINK("https://rhld.insurance.arkansas.gov/NPILookup?Npi=1043547623","1043547623")</f>
        <v>1043547623</v>
      </c>
      <c r="E32113" s="1" t="s">
        <v>1244</v>
      </c>
      <c r="F32113" s="2"/>
      <c r="G32113" s="2"/>
      <c r="H32113" s="2"/>
    </row>
    <row r="32114" spans="1:8" x14ac:dyDescent="0.25">
      <c r="A32114" s="1"/>
      <c r="B32114" s="1" t="s">
        <v>8342</v>
      </c>
      <c r="C32114" s="1" t="s">
        <v>8343</v>
      </c>
      <c r="D32114" s="1" t="str">
        <f>HYPERLINK("https://rhld.insurance.arkansas.gov/NPILookup?Npi=1043699929","1043699929")</f>
        <v>1043699929</v>
      </c>
      <c r="E32114" s="1" t="s">
        <v>21011</v>
      </c>
      <c r="F32114" s="2"/>
      <c r="G32114" s="2"/>
      <c r="H32114" s="2"/>
    </row>
    <row r="32115" spans="1:8" x14ac:dyDescent="0.25">
      <c r="A32115" s="1"/>
      <c r="B32115" s="1" t="s">
        <v>8342</v>
      </c>
      <c r="C32115" s="1" t="s">
        <v>8343</v>
      </c>
      <c r="D32115" s="1" t="str">
        <f>HYPERLINK("https://rhld.insurance.arkansas.gov/NPILookup?Npi=1053038745","1053038745")</f>
        <v>1053038745</v>
      </c>
      <c r="E32115" s="1" t="s">
        <v>13429</v>
      </c>
      <c r="F32115" s="2"/>
      <c r="G32115" s="2"/>
      <c r="H32115" s="2"/>
    </row>
    <row r="32116" spans="1:8" x14ac:dyDescent="0.25">
      <c r="A32116" s="1"/>
      <c r="B32116" s="1" t="s">
        <v>8342</v>
      </c>
      <c r="C32116" s="1" t="s">
        <v>8343</v>
      </c>
      <c r="D32116" s="1" t="str">
        <f>HYPERLINK("https://rhld.insurance.arkansas.gov/NPILookup?Npi=1053359851","1053359851")</f>
        <v>1053359851</v>
      </c>
      <c r="E32116" s="1" t="s">
        <v>8347</v>
      </c>
      <c r="F32116" s="2"/>
      <c r="G32116" s="2"/>
      <c r="H32116" s="2"/>
    </row>
    <row r="32117" spans="1:8" x14ac:dyDescent="0.25">
      <c r="A32117" s="1"/>
      <c r="B32117" s="1" t="s">
        <v>8342</v>
      </c>
      <c r="C32117" s="1" t="s">
        <v>8343</v>
      </c>
      <c r="D32117" s="1" t="str">
        <f>HYPERLINK("https://rhld.insurance.arkansas.gov/NPILookup?Npi=1063515948","1063515948")</f>
        <v>1063515948</v>
      </c>
      <c r="E32117" s="1" t="s">
        <v>97</v>
      </c>
      <c r="F32117" s="2"/>
      <c r="G32117" s="2"/>
      <c r="H32117" s="2"/>
    </row>
    <row r="32118" spans="1:8" x14ac:dyDescent="0.25">
      <c r="A32118" s="1"/>
      <c r="B32118" s="1" t="s">
        <v>8342</v>
      </c>
      <c r="C32118" s="1" t="s">
        <v>8343</v>
      </c>
      <c r="D32118" s="1" t="str">
        <f>HYPERLINK("https://rhld.insurance.arkansas.gov/NPILookup?Npi=1063617033","1063617033")</f>
        <v>1063617033</v>
      </c>
      <c r="E32118" s="1" t="s">
        <v>8348</v>
      </c>
      <c r="F32118" s="2"/>
      <c r="G32118" s="2"/>
      <c r="H32118" s="2"/>
    </row>
    <row r="32119" spans="1:8" x14ac:dyDescent="0.25">
      <c r="A32119" s="1"/>
      <c r="B32119" s="1" t="s">
        <v>8342</v>
      </c>
      <c r="C32119" s="1" t="s">
        <v>8343</v>
      </c>
      <c r="D32119" s="1" t="str">
        <f>HYPERLINK("https://rhld.insurance.arkansas.gov/NPILookup?Npi=1063631661","1063631661")</f>
        <v>1063631661</v>
      </c>
      <c r="E32119" s="1" t="s">
        <v>407</v>
      </c>
      <c r="F32119" s="2"/>
      <c r="G32119" s="2"/>
      <c r="H32119" s="2"/>
    </row>
    <row r="32120" spans="1:8" x14ac:dyDescent="0.25">
      <c r="A32120" s="1"/>
      <c r="B32120" s="1" t="s">
        <v>8342</v>
      </c>
      <c r="C32120" s="1" t="s">
        <v>8343</v>
      </c>
      <c r="D32120" s="1" t="str">
        <f>HYPERLINK("https://rhld.insurance.arkansas.gov/NPILookup?Npi=1073019873","1073019873")</f>
        <v>1073019873</v>
      </c>
      <c r="E32120" s="1" t="s">
        <v>21084</v>
      </c>
      <c r="F32120" s="2"/>
      <c r="G32120" s="2"/>
      <c r="H32120" s="2"/>
    </row>
    <row r="32121" spans="1:8" x14ac:dyDescent="0.25">
      <c r="A32121" s="1"/>
      <c r="B32121" s="1" t="s">
        <v>8342</v>
      </c>
      <c r="C32121" s="1" t="s">
        <v>8343</v>
      </c>
      <c r="D32121" s="1" t="str">
        <f>HYPERLINK("https://rhld.insurance.arkansas.gov/NPILookup?Npi=1073529046","1073529046")</f>
        <v>1073529046</v>
      </c>
      <c r="E32121" s="1" t="s">
        <v>29872</v>
      </c>
      <c r="F32121" s="2"/>
      <c r="G32121" s="2"/>
      <c r="H32121" s="2"/>
    </row>
    <row r="32122" spans="1:8" x14ac:dyDescent="0.25">
      <c r="A32122" s="1"/>
      <c r="B32122" s="1" t="s">
        <v>8342</v>
      </c>
      <c r="C32122" s="1" t="s">
        <v>8343</v>
      </c>
      <c r="D32122" s="1" t="str">
        <f>HYPERLINK("https://rhld.insurance.arkansas.gov/NPILookup?Npi=1073748604","1073748604")</f>
        <v>1073748604</v>
      </c>
      <c r="E32122" s="1" t="s">
        <v>15851</v>
      </c>
      <c r="F32122" s="2"/>
      <c r="G32122" s="2"/>
      <c r="H32122" s="2"/>
    </row>
    <row r="32123" spans="1:8" x14ac:dyDescent="0.25">
      <c r="A32123" s="1"/>
      <c r="B32123" s="1" t="s">
        <v>8342</v>
      </c>
      <c r="C32123" s="1" t="s">
        <v>8343</v>
      </c>
      <c r="D32123" s="1" t="str">
        <f>HYPERLINK("https://rhld.insurance.arkansas.gov/NPILookup?Npi=1073957254","1073957254")</f>
        <v>1073957254</v>
      </c>
      <c r="E32123" s="1" t="s">
        <v>1246</v>
      </c>
      <c r="F32123" s="2"/>
      <c r="G32123" s="2"/>
      <c r="H32123" s="2"/>
    </row>
    <row r="32124" spans="1:8" x14ac:dyDescent="0.25">
      <c r="A32124" s="1"/>
      <c r="B32124" s="1" t="s">
        <v>8342</v>
      </c>
      <c r="C32124" s="1" t="s">
        <v>8343</v>
      </c>
      <c r="D32124" s="1" t="str">
        <f>HYPERLINK("https://rhld.insurance.arkansas.gov/NPILookup?Npi=1083619951","1083619951")</f>
        <v>1083619951</v>
      </c>
      <c r="E32124" s="1" t="s">
        <v>19111</v>
      </c>
      <c r="F32124" s="2"/>
      <c r="G32124" s="2"/>
      <c r="H32124" s="2"/>
    </row>
    <row r="32125" spans="1:8" x14ac:dyDescent="0.25">
      <c r="A32125" s="1"/>
      <c r="B32125" s="1" t="s">
        <v>8342</v>
      </c>
      <c r="C32125" s="1" t="s">
        <v>8343</v>
      </c>
      <c r="D32125" s="1" t="str">
        <f>HYPERLINK("https://rhld.insurance.arkansas.gov/NPILookup?Npi=1083675441","1083675441")</f>
        <v>1083675441</v>
      </c>
      <c r="E32125" s="1" t="s">
        <v>21134</v>
      </c>
      <c r="F32125" s="2"/>
      <c r="G32125" s="2"/>
      <c r="H32125" s="2"/>
    </row>
    <row r="32126" spans="1:8" x14ac:dyDescent="0.25">
      <c r="A32126" s="1"/>
      <c r="B32126" s="1" t="s">
        <v>8342</v>
      </c>
      <c r="C32126" s="1" t="s">
        <v>8343</v>
      </c>
      <c r="D32126" s="1" t="str">
        <f>HYPERLINK("https://rhld.insurance.arkansas.gov/NPILookup?Npi=1083704837","1083704837")</f>
        <v>1083704837</v>
      </c>
      <c r="E32126" s="1" t="s">
        <v>13962</v>
      </c>
      <c r="F32126" s="2"/>
      <c r="G32126" s="2"/>
      <c r="H32126" s="2"/>
    </row>
    <row r="32127" spans="1:8" x14ac:dyDescent="0.25">
      <c r="A32127" s="1"/>
      <c r="B32127" s="1" t="s">
        <v>8342</v>
      </c>
      <c r="C32127" s="1" t="s">
        <v>8343</v>
      </c>
      <c r="D32127" s="1" t="str">
        <f>HYPERLINK("https://rhld.insurance.arkansas.gov/NPILookup?Npi=1083725394","1083725394")</f>
        <v>1083725394</v>
      </c>
      <c r="E32127" s="1" t="s">
        <v>29873</v>
      </c>
      <c r="F32127" s="2"/>
      <c r="G32127" s="2"/>
      <c r="H32127" s="2"/>
    </row>
    <row r="32128" spans="1:8" x14ac:dyDescent="0.25">
      <c r="A32128" s="1"/>
      <c r="B32128" s="1" t="s">
        <v>8342</v>
      </c>
      <c r="C32128" s="1" t="s">
        <v>8343</v>
      </c>
      <c r="D32128" s="1" t="str">
        <f>HYPERLINK("https://rhld.insurance.arkansas.gov/NPILookup?Npi=1083735054","1083735054")</f>
        <v>1083735054</v>
      </c>
      <c r="E32128" s="1" t="s">
        <v>29874</v>
      </c>
      <c r="F32128" s="2"/>
      <c r="G32128" s="2"/>
      <c r="H32128" s="2"/>
    </row>
    <row r="32129" spans="1:8" x14ac:dyDescent="0.25">
      <c r="A32129" s="1"/>
      <c r="B32129" s="1" t="s">
        <v>8342</v>
      </c>
      <c r="C32129" s="1" t="s">
        <v>8343</v>
      </c>
      <c r="D32129" s="1" t="str">
        <f>HYPERLINK("https://rhld.insurance.arkansas.gov/NPILookup?Npi=1083858427","1083858427")</f>
        <v>1083858427</v>
      </c>
      <c r="E32129" s="1" t="s">
        <v>3186</v>
      </c>
      <c r="F32129" s="2"/>
      <c r="G32129" s="2"/>
      <c r="H32129" s="2"/>
    </row>
    <row r="32130" spans="1:8" x14ac:dyDescent="0.25">
      <c r="A32130" s="1"/>
      <c r="B32130" s="1" t="s">
        <v>8342</v>
      </c>
      <c r="C32130" s="1" t="s">
        <v>8343</v>
      </c>
      <c r="D32130" s="1" t="str">
        <f>HYPERLINK("https://rhld.insurance.arkansas.gov/NPILookup?Npi=1083887483","1083887483")</f>
        <v>1083887483</v>
      </c>
      <c r="E32130" s="1" t="s">
        <v>11599</v>
      </c>
      <c r="F32130" s="2"/>
      <c r="G32130" s="2"/>
      <c r="H32130" s="2"/>
    </row>
    <row r="32131" spans="1:8" x14ac:dyDescent="0.25">
      <c r="A32131" s="1"/>
      <c r="B32131" s="1" t="s">
        <v>8342</v>
      </c>
      <c r="C32131" s="1" t="s">
        <v>8343</v>
      </c>
      <c r="D32131" s="1" t="str">
        <f>HYPERLINK("https://rhld.insurance.arkansas.gov/NPILookup?Npi=1093005761","1093005761")</f>
        <v>1093005761</v>
      </c>
      <c r="E32131" s="1" t="s">
        <v>29875</v>
      </c>
      <c r="F32131" s="2"/>
      <c r="G32131" s="2"/>
      <c r="H32131" s="2"/>
    </row>
    <row r="32132" spans="1:8" x14ac:dyDescent="0.25">
      <c r="A32132" s="1"/>
      <c r="B32132" s="1" t="s">
        <v>8342</v>
      </c>
      <c r="C32132" s="1" t="s">
        <v>8343</v>
      </c>
      <c r="D32132" s="1" t="str">
        <f>HYPERLINK("https://rhld.insurance.arkansas.gov/NPILookup?Npi=1093278319","1093278319")</f>
        <v>1093278319</v>
      </c>
      <c r="E32132" s="1" t="s">
        <v>13963</v>
      </c>
      <c r="F32132" s="2"/>
      <c r="G32132" s="2"/>
      <c r="H32132" s="2"/>
    </row>
    <row r="32133" spans="1:8" x14ac:dyDescent="0.25">
      <c r="A32133" s="1"/>
      <c r="B32133" s="1" t="s">
        <v>8342</v>
      </c>
      <c r="C32133" s="1" t="s">
        <v>8343</v>
      </c>
      <c r="D32133" s="1" t="str">
        <f>HYPERLINK("https://rhld.insurance.arkansas.gov/NPILookup?Npi=1093826067","1093826067")</f>
        <v>1093826067</v>
      </c>
      <c r="E32133" s="1" t="s">
        <v>29876</v>
      </c>
      <c r="F32133" s="2"/>
      <c r="G32133" s="2"/>
      <c r="H32133" s="2"/>
    </row>
    <row r="32134" spans="1:8" x14ac:dyDescent="0.25">
      <c r="A32134" s="1"/>
      <c r="B32134" s="1" t="s">
        <v>8342</v>
      </c>
      <c r="C32134" s="1" t="s">
        <v>8343</v>
      </c>
      <c r="D32134" s="1" t="str">
        <f>HYPERLINK("https://rhld.insurance.arkansas.gov/NPILookup?Npi=1104807635","1104807635")</f>
        <v>1104807635</v>
      </c>
      <c r="E32134" s="1" t="s">
        <v>13964</v>
      </c>
      <c r="F32134" s="2"/>
      <c r="G32134" s="2"/>
      <c r="H32134" s="2"/>
    </row>
    <row r="32135" spans="1:8" x14ac:dyDescent="0.25">
      <c r="A32135" s="1"/>
      <c r="B32135" s="1" t="s">
        <v>8342</v>
      </c>
      <c r="C32135" s="1" t="s">
        <v>8343</v>
      </c>
      <c r="D32135" s="1" t="str">
        <f>HYPERLINK("https://rhld.insurance.arkansas.gov/NPILookup?Npi=1104874056","1104874056")</f>
        <v>1104874056</v>
      </c>
      <c r="E32135" s="1" t="s">
        <v>13965</v>
      </c>
      <c r="F32135" s="2"/>
      <c r="G32135" s="2"/>
      <c r="H32135" s="2"/>
    </row>
    <row r="32136" spans="1:8" x14ac:dyDescent="0.25">
      <c r="A32136" s="1"/>
      <c r="B32136" s="1" t="s">
        <v>8342</v>
      </c>
      <c r="C32136" s="1" t="s">
        <v>8343</v>
      </c>
      <c r="D32136" s="1" t="str">
        <f>HYPERLINK("https://rhld.insurance.arkansas.gov/NPILookup?Npi=1104908532","1104908532")</f>
        <v>1104908532</v>
      </c>
      <c r="E32136" s="1" t="s">
        <v>1093</v>
      </c>
      <c r="F32136" s="2"/>
      <c r="G32136" s="2"/>
      <c r="H32136" s="2"/>
    </row>
    <row r="32137" spans="1:8" x14ac:dyDescent="0.25">
      <c r="A32137" s="1"/>
      <c r="B32137" s="1" t="s">
        <v>8342</v>
      </c>
      <c r="C32137" s="1" t="s">
        <v>8343</v>
      </c>
      <c r="D32137" s="1" t="str">
        <f>HYPERLINK("https://rhld.insurance.arkansas.gov/NPILookup?Npi=1104995695","1104995695")</f>
        <v>1104995695</v>
      </c>
      <c r="E32137" s="1" t="s">
        <v>29877</v>
      </c>
      <c r="F32137" s="2"/>
      <c r="G32137" s="2"/>
      <c r="H32137" s="2"/>
    </row>
    <row r="32138" spans="1:8" x14ac:dyDescent="0.25">
      <c r="A32138" s="1"/>
      <c r="B32138" s="1" t="s">
        <v>8342</v>
      </c>
      <c r="C32138" s="1" t="s">
        <v>8343</v>
      </c>
      <c r="D32138" s="1" t="str">
        <f>HYPERLINK("https://rhld.insurance.arkansas.gov/NPILookup?Npi=1114003480","1114003480")</f>
        <v>1114003480</v>
      </c>
      <c r="E32138" s="1" t="s">
        <v>21745</v>
      </c>
      <c r="F32138" s="2"/>
      <c r="G32138" s="2"/>
      <c r="H32138" s="2"/>
    </row>
    <row r="32139" spans="1:8" x14ac:dyDescent="0.25">
      <c r="A32139" s="1"/>
      <c r="B32139" s="1" t="s">
        <v>8342</v>
      </c>
      <c r="C32139" s="1" t="s">
        <v>8343</v>
      </c>
      <c r="D32139" s="1" t="str">
        <f>HYPERLINK("https://rhld.insurance.arkansas.gov/NPILookup?Npi=1114214962","1114214962")</f>
        <v>1114214962</v>
      </c>
      <c r="E32139" s="1" t="s">
        <v>17214</v>
      </c>
      <c r="F32139" s="2"/>
      <c r="G32139" s="2"/>
      <c r="H32139" s="2"/>
    </row>
    <row r="32140" spans="1:8" x14ac:dyDescent="0.25">
      <c r="A32140" s="1"/>
      <c r="B32140" s="1" t="s">
        <v>8342</v>
      </c>
      <c r="C32140" s="1" t="s">
        <v>8343</v>
      </c>
      <c r="D32140" s="1" t="str">
        <f>HYPERLINK("https://rhld.insurance.arkansas.gov/NPILookup?Npi=1114488160","1114488160")</f>
        <v>1114488160</v>
      </c>
      <c r="E32140" s="1" t="s">
        <v>29878</v>
      </c>
      <c r="F32140" s="2"/>
      <c r="G32140" s="2"/>
      <c r="H32140" s="2"/>
    </row>
    <row r="32141" spans="1:8" x14ac:dyDescent="0.25">
      <c r="A32141" s="1"/>
      <c r="B32141" s="1" t="s">
        <v>8342</v>
      </c>
      <c r="C32141" s="1" t="s">
        <v>8343</v>
      </c>
      <c r="D32141" s="1" t="str">
        <f>HYPERLINK("https://rhld.insurance.arkansas.gov/NPILookup?Npi=1114949708","1114949708")</f>
        <v>1114949708</v>
      </c>
      <c r="E32141" s="1" t="s">
        <v>7447</v>
      </c>
      <c r="F32141" s="2"/>
      <c r="G32141" s="2"/>
      <c r="H32141" s="2"/>
    </row>
    <row r="32142" spans="1:8" x14ac:dyDescent="0.25">
      <c r="A32142" s="1"/>
      <c r="B32142" s="1" t="s">
        <v>8342</v>
      </c>
      <c r="C32142" s="1" t="s">
        <v>8343</v>
      </c>
      <c r="D32142" s="1" t="str">
        <f>HYPERLINK("https://rhld.insurance.arkansas.gov/NPILookup?Npi=1114995198","1114995198")</f>
        <v>1114995198</v>
      </c>
      <c r="E32142" s="1" t="s">
        <v>21237</v>
      </c>
      <c r="F32142" s="2"/>
      <c r="G32142" s="2"/>
      <c r="H32142" s="2"/>
    </row>
    <row r="32143" spans="1:8" x14ac:dyDescent="0.25">
      <c r="A32143" s="1"/>
      <c r="B32143" s="1" t="s">
        <v>8342</v>
      </c>
      <c r="C32143" s="1" t="s">
        <v>8343</v>
      </c>
      <c r="D32143" s="1" t="str">
        <f>HYPERLINK("https://rhld.insurance.arkansas.gov/NPILookup?Npi=1124234307","1124234307")</f>
        <v>1124234307</v>
      </c>
      <c r="E32143" s="1" t="s">
        <v>8349</v>
      </c>
      <c r="F32143" s="2"/>
      <c r="G32143" s="2"/>
      <c r="H32143" s="2"/>
    </row>
    <row r="32144" spans="1:8" x14ac:dyDescent="0.25">
      <c r="A32144" s="1"/>
      <c r="B32144" s="1" t="s">
        <v>8342</v>
      </c>
      <c r="C32144" s="1" t="s">
        <v>8343</v>
      </c>
      <c r="D32144" s="1" t="str">
        <f>HYPERLINK("https://rhld.insurance.arkansas.gov/NPILookup?Npi=1124285630","1124285630")</f>
        <v>1124285630</v>
      </c>
      <c r="E32144" s="1" t="s">
        <v>10853</v>
      </c>
      <c r="F32144" s="2"/>
      <c r="G32144" s="2"/>
      <c r="H32144" s="2"/>
    </row>
    <row r="32145" spans="1:8" x14ac:dyDescent="0.25">
      <c r="A32145" s="1"/>
      <c r="B32145" s="1" t="s">
        <v>8342</v>
      </c>
      <c r="C32145" s="1" t="s">
        <v>8343</v>
      </c>
      <c r="D32145" s="1" t="str">
        <f>HYPERLINK("https://rhld.insurance.arkansas.gov/NPILookup?Npi=1124286687","1124286687")</f>
        <v>1124286687</v>
      </c>
      <c r="E32145" s="1" t="s">
        <v>29879</v>
      </c>
      <c r="F32145" s="2"/>
      <c r="G32145" s="2"/>
      <c r="H32145" s="2"/>
    </row>
    <row r="32146" spans="1:8" x14ac:dyDescent="0.25">
      <c r="A32146" s="1"/>
      <c r="B32146" s="1" t="s">
        <v>8342</v>
      </c>
      <c r="C32146" s="1" t="s">
        <v>8343</v>
      </c>
      <c r="D32146" s="1" t="str">
        <f>HYPERLINK("https://rhld.insurance.arkansas.gov/NPILookup?Npi=1124343918","1124343918")</f>
        <v>1124343918</v>
      </c>
      <c r="E32146" s="1" t="s">
        <v>29880</v>
      </c>
      <c r="F32146" s="2"/>
      <c r="G32146" s="2"/>
      <c r="H32146" s="2"/>
    </row>
    <row r="32147" spans="1:8" x14ac:dyDescent="0.25">
      <c r="A32147" s="1"/>
      <c r="B32147" s="1" t="s">
        <v>8342</v>
      </c>
      <c r="C32147" s="1" t="s">
        <v>8343</v>
      </c>
      <c r="D32147" s="1" t="str">
        <f>HYPERLINK("https://rhld.insurance.arkansas.gov/NPILookup?Npi=1124461942","1124461942")</f>
        <v>1124461942</v>
      </c>
      <c r="E32147" s="1" t="s">
        <v>29881</v>
      </c>
      <c r="F32147" s="2"/>
      <c r="G32147" s="2"/>
      <c r="H32147" s="2"/>
    </row>
    <row r="32148" spans="1:8" x14ac:dyDescent="0.25">
      <c r="A32148" s="1"/>
      <c r="B32148" s="1" t="s">
        <v>8342</v>
      </c>
      <c r="C32148" s="1" t="s">
        <v>8343</v>
      </c>
      <c r="D32148" s="1" t="str">
        <f>HYPERLINK("https://rhld.insurance.arkansas.gov/NPILookup?Npi=1124516158","1124516158")</f>
        <v>1124516158</v>
      </c>
      <c r="E32148" s="1" t="s">
        <v>8350</v>
      </c>
      <c r="F32148" s="2"/>
      <c r="G32148" s="2"/>
      <c r="H32148" s="2"/>
    </row>
    <row r="32149" spans="1:8" x14ac:dyDescent="0.25">
      <c r="A32149" s="1"/>
      <c r="B32149" s="1" t="s">
        <v>8342</v>
      </c>
      <c r="C32149" s="1" t="s">
        <v>8343</v>
      </c>
      <c r="D32149" s="1" t="str">
        <f>HYPERLINK("https://rhld.insurance.arkansas.gov/NPILookup?Npi=1134125081","1134125081")</f>
        <v>1134125081</v>
      </c>
      <c r="E32149" s="1" t="s">
        <v>8351</v>
      </c>
      <c r="F32149" s="2"/>
      <c r="G32149" s="2"/>
      <c r="H32149" s="2"/>
    </row>
    <row r="32150" spans="1:8" x14ac:dyDescent="0.25">
      <c r="A32150" s="1"/>
      <c r="B32150" s="1" t="s">
        <v>8342</v>
      </c>
      <c r="C32150" s="1" t="s">
        <v>8343</v>
      </c>
      <c r="D32150" s="1" t="str">
        <f>HYPERLINK("https://rhld.insurance.arkansas.gov/NPILookup?Npi=1134145592","1134145592")</f>
        <v>1134145592</v>
      </c>
      <c r="E32150" s="1" t="s">
        <v>19119</v>
      </c>
      <c r="F32150" s="2"/>
      <c r="G32150" s="2"/>
      <c r="H32150" s="2"/>
    </row>
    <row r="32151" spans="1:8" x14ac:dyDescent="0.25">
      <c r="A32151" s="1"/>
      <c r="B32151" s="1" t="s">
        <v>8342</v>
      </c>
      <c r="C32151" s="1" t="s">
        <v>8343</v>
      </c>
      <c r="D32151" s="1" t="str">
        <f>HYPERLINK("https://rhld.insurance.arkansas.gov/NPILookup?Npi=1134212947","1134212947")</f>
        <v>1134212947</v>
      </c>
      <c r="E32151" s="1" t="s">
        <v>21269</v>
      </c>
      <c r="F32151" s="2"/>
      <c r="G32151" s="2"/>
      <c r="H32151" s="2"/>
    </row>
    <row r="32152" spans="1:8" x14ac:dyDescent="0.25">
      <c r="A32152" s="1"/>
      <c r="B32152" s="1" t="s">
        <v>8342</v>
      </c>
      <c r="C32152" s="1" t="s">
        <v>8343</v>
      </c>
      <c r="D32152" s="1" t="str">
        <f>HYPERLINK("https://rhld.insurance.arkansas.gov/NPILookup?Npi=1134233745","1134233745")</f>
        <v>1134233745</v>
      </c>
      <c r="E32152" s="1" t="s">
        <v>409</v>
      </c>
      <c r="F32152" s="2"/>
      <c r="G32152" s="2"/>
      <c r="H32152" s="2"/>
    </row>
    <row r="32153" spans="1:8" x14ac:dyDescent="0.25">
      <c r="A32153" s="1"/>
      <c r="B32153" s="1" t="s">
        <v>8342</v>
      </c>
      <c r="C32153" s="1" t="s">
        <v>8343</v>
      </c>
      <c r="D32153" s="1" t="str">
        <f>HYPERLINK("https://rhld.insurance.arkansas.gov/NPILookup?Npi=1134243496","1134243496")</f>
        <v>1134243496</v>
      </c>
      <c r="E32153" s="1" t="s">
        <v>13966</v>
      </c>
      <c r="F32153" s="2"/>
      <c r="G32153" s="2"/>
      <c r="H32153" s="2"/>
    </row>
    <row r="32154" spans="1:8" x14ac:dyDescent="0.25">
      <c r="A32154" s="1"/>
      <c r="B32154" s="1" t="s">
        <v>8342</v>
      </c>
      <c r="C32154" s="1" t="s">
        <v>8343</v>
      </c>
      <c r="D32154" s="1" t="str">
        <f>HYPERLINK("https://rhld.insurance.arkansas.gov/NPILookup?Npi=1134383680","1134383680")</f>
        <v>1134383680</v>
      </c>
      <c r="E32154" s="1" t="s">
        <v>355</v>
      </c>
      <c r="F32154" s="2"/>
      <c r="G32154" s="2"/>
      <c r="H32154" s="2"/>
    </row>
    <row r="32155" spans="1:8" x14ac:dyDescent="0.25">
      <c r="A32155" s="1"/>
      <c r="B32155" s="1" t="s">
        <v>8342</v>
      </c>
      <c r="C32155" s="1" t="s">
        <v>8343</v>
      </c>
      <c r="D32155" s="1" t="str">
        <f>HYPERLINK("https://rhld.insurance.arkansas.gov/NPILookup?Npi=1134560865","1134560865")</f>
        <v>1134560865</v>
      </c>
      <c r="E32155" s="1" t="s">
        <v>29882</v>
      </c>
      <c r="F32155" s="2"/>
      <c r="G32155" s="2"/>
      <c r="H32155" s="2"/>
    </row>
    <row r="32156" spans="1:8" x14ac:dyDescent="0.25">
      <c r="A32156" s="1"/>
      <c r="B32156" s="1" t="s">
        <v>8342</v>
      </c>
      <c r="C32156" s="1" t="s">
        <v>8343</v>
      </c>
      <c r="D32156" s="1" t="str">
        <f>HYPERLINK("https://rhld.insurance.arkansas.gov/NPILookup?Npi=1134626583","1134626583")</f>
        <v>1134626583</v>
      </c>
      <c r="E32156" s="1" t="s">
        <v>3197</v>
      </c>
      <c r="F32156" s="2"/>
      <c r="G32156" s="2"/>
      <c r="H32156" s="2"/>
    </row>
    <row r="32157" spans="1:8" x14ac:dyDescent="0.25">
      <c r="A32157" s="1"/>
      <c r="B32157" s="1" t="s">
        <v>8342</v>
      </c>
      <c r="C32157" s="1" t="s">
        <v>8343</v>
      </c>
      <c r="D32157" s="1" t="str">
        <f>HYPERLINK("https://rhld.insurance.arkansas.gov/NPILookup?Npi=1144232091","1144232091")</f>
        <v>1144232091</v>
      </c>
      <c r="E32157" s="1" t="s">
        <v>2152</v>
      </c>
      <c r="F32157" s="2"/>
      <c r="G32157" s="2"/>
      <c r="H32157" s="2"/>
    </row>
    <row r="32158" spans="1:8" x14ac:dyDescent="0.25">
      <c r="A32158" s="1"/>
      <c r="B32158" s="1" t="s">
        <v>8342</v>
      </c>
      <c r="C32158" s="1" t="s">
        <v>8343</v>
      </c>
      <c r="D32158" s="1" t="str">
        <f>HYPERLINK("https://rhld.insurance.arkansas.gov/NPILookup?Npi=1144337403","1144337403")</f>
        <v>1144337403</v>
      </c>
      <c r="E32158" s="1" t="s">
        <v>2154</v>
      </c>
      <c r="F32158" s="2"/>
      <c r="G32158" s="2"/>
      <c r="H32158" s="2"/>
    </row>
    <row r="32159" spans="1:8" x14ac:dyDescent="0.25">
      <c r="A32159" s="1"/>
      <c r="B32159" s="1" t="s">
        <v>8342</v>
      </c>
      <c r="C32159" s="1" t="s">
        <v>8343</v>
      </c>
      <c r="D32159" s="1" t="str">
        <f>HYPERLINK("https://rhld.insurance.arkansas.gov/NPILookup?Npi=1144424573","1144424573")</f>
        <v>1144424573</v>
      </c>
      <c r="E32159" s="1" t="s">
        <v>21300</v>
      </c>
      <c r="F32159" s="2"/>
      <c r="G32159" s="2"/>
      <c r="H32159" s="2"/>
    </row>
    <row r="32160" spans="1:8" x14ac:dyDescent="0.25">
      <c r="A32160" s="1"/>
      <c r="B32160" s="1" t="s">
        <v>8342</v>
      </c>
      <c r="C32160" s="1" t="s">
        <v>8343</v>
      </c>
      <c r="D32160" s="1" t="str">
        <f>HYPERLINK("https://rhld.insurance.arkansas.gov/NPILookup?Npi=1144463423","1144463423")</f>
        <v>1144463423</v>
      </c>
      <c r="E32160" s="1" t="s">
        <v>13967</v>
      </c>
      <c r="F32160" s="2"/>
      <c r="G32160" s="2"/>
      <c r="H32160" s="2"/>
    </row>
    <row r="32161" spans="1:8" x14ac:dyDescent="0.25">
      <c r="A32161" s="1"/>
      <c r="B32161" s="1" t="s">
        <v>8342</v>
      </c>
      <c r="C32161" s="1" t="s">
        <v>8343</v>
      </c>
      <c r="D32161" s="1" t="str">
        <f>HYPERLINK("https://rhld.insurance.arkansas.gov/NPILookup?Npi=1144589284","1144589284")</f>
        <v>1144589284</v>
      </c>
      <c r="E32161" s="1" t="s">
        <v>5017</v>
      </c>
      <c r="F32161" s="2"/>
      <c r="G32161" s="2"/>
      <c r="H32161" s="2"/>
    </row>
    <row r="32162" spans="1:8" x14ac:dyDescent="0.25">
      <c r="A32162" s="1"/>
      <c r="B32162" s="1" t="s">
        <v>8342</v>
      </c>
      <c r="C32162" s="1" t="s">
        <v>8343</v>
      </c>
      <c r="D32162" s="1" t="str">
        <f>HYPERLINK("https://rhld.insurance.arkansas.gov/NPILookup?Npi=1144600768","1144600768")</f>
        <v>1144600768</v>
      </c>
      <c r="E32162" s="1" t="s">
        <v>29883</v>
      </c>
      <c r="F32162" s="2"/>
      <c r="G32162" s="2"/>
      <c r="H32162" s="2"/>
    </row>
    <row r="32163" spans="1:8" x14ac:dyDescent="0.25">
      <c r="A32163" s="1"/>
      <c r="B32163" s="1" t="s">
        <v>8342</v>
      </c>
      <c r="C32163" s="1" t="s">
        <v>8343</v>
      </c>
      <c r="D32163" s="1" t="str">
        <f>HYPERLINK("https://rhld.insurance.arkansas.gov/NPILookup?Npi=1154411627","1154411627")</f>
        <v>1154411627</v>
      </c>
      <c r="E32163" s="1" t="s">
        <v>29884</v>
      </c>
      <c r="F32163" s="2"/>
      <c r="G32163" s="2"/>
      <c r="H32163" s="2"/>
    </row>
    <row r="32164" spans="1:8" x14ac:dyDescent="0.25">
      <c r="A32164" s="1"/>
      <c r="B32164" s="1" t="s">
        <v>8342</v>
      </c>
      <c r="C32164" s="1" t="s">
        <v>8343</v>
      </c>
      <c r="D32164" s="1" t="str">
        <f>HYPERLINK("https://rhld.insurance.arkansas.gov/NPILookup?Npi=1154412815","1154412815")</f>
        <v>1154412815</v>
      </c>
      <c r="E32164" s="1" t="s">
        <v>2155</v>
      </c>
      <c r="F32164" s="2"/>
      <c r="G32164" s="2"/>
      <c r="H32164" s="2"/>
    </row>
    <row r="32165" spans="1:8" x14ac:dyDescent="0.25">
      <c r="A32165" s="1"/>
      <c r="B32165" s="1" t="s">
        <v>8342</v>
      </c>
      <c r="C32165" s="1" t="s">
        <v>8343</v>
      </c>
      <c r="D32165" s="1" t="str">
        <f>HYPERLINK("https://rhld.insurance.arkansas.gov/NPILookup?Npi=1154423846","1154423846")</f>
        <v>1154423846</v>
      </c>
      <c r="E32165" s="1" t="s">
        <v>29885</v>
      </c>
      <c r="F32165" s="2"/>
      <c r="G32165" s="2"/>
      <c r="H32165" s="2"/>
    </row>
    <row r="32166" spans="1:8" x14ac:dyDescent="0.25">
      <c r="A32166" s="1"/>
      <c r="B32166" s="1" t="s">
        <v>8342</v>
      </c>
      <c r="C32166" s="1" t="s">
        <v>8343</v>
      </c>
      <c r="D32166" s="1" t="str">
        <f>HYPERLINK("https://rhld.insurance.arkansas.gov/NPILookup?Npi=1154522696","1154522696")</f>
        <v>1154522696</v>
      </c>
      <c r="E32166" s="1" t="s">
        <v>3898</v>
      </c>
      <c r="F32166" s="2"/>
      <c r="G32166" s="2"/>
      <c r="H32166" s="2"/>
    </row>
    <row r="32167" spans="1:8" x14ac:dyDescent="0.25">
      <c r="A32167" s="1"/>
      <c r="B32167" s="1" t="s">
        <v>8342</v>
      </c>
      <c r="C32167" s="1" t="s">
        <v>8343</v>
      </c>
      <c r="D32167" s="1" t="str">
        <f>HYPERLINK("https://rhld.insurance.arkansas.gov/NPILookup?Npi=1154605897","1154605897")</f>
        <v>1154605897</v>
      </c>
      <c r="E32167" s="1" t="s">
        <v>8352</v>
      </c>
      <c r="F32167" s="2"/>
      <c r="G32167" s="2"/>
      <c r="H32167" s="2"/>
    </row>
    <row r="32168" spans="1:8" x14ac:dyDescent="0.25">
      <c r="A32168" s="1"/>
      <c r="B32168" s="1" t="s">
        <v>8342</v>
      </c>
      <c r="C32168" s="1" t="s">
        <v>8343</v>
      </c>
      <c r="D32168" s="1" t="str">
        <f>HYPERLINK("https://rhld.insurance.arkansas.gov/NPILookup?Npi=1154977577","1154977577")</f>
        <v>1154977577</v>
      </c>
      <c r="E32168" s="1" t="s">
        <v>11525</v>
      </c>
      <c r="F32168" s="2"/>
      <c r="G32168" s="2"/>
      <c r="H32168" s="2"/>
    </row>
    <row r="32169" spans="1:8" x14ac:dyDescent="0.25">
      <c r="A32169" s="1"/>
      <c r="B32169" s="1" t="s">
        <v>8342</v>
      </c>
      <c r="C32169" s="1" t="s">
        <v>8343</v>
      </c>
      <c r="D32169" s="1" t="str">
        <f>HYPERLINK("https://rhld.insurance.arkansas.gov/NPILookup?Npi=1164568598","1164568598")</f>
        <v>1164568598</v>
      </c>
      <c r="E32169" s="1" t="s">
        <v>21376</v>
      </c>
      <c r="F32169" s="2"/>
      <c r="G32169" s="2"/>
      <c r="H32169" s="2"/>
    </row>
    <row r="32170" spans="1:8" x14ac:dyDescent="0.25">
      <c r="A32170" s="1"/>
      <c r="B32170" s="1" t="s">
        <v>8342</v>
      </c>
      <c r="C32170" s="1" t="s">
        <v>8343</v>
      </c>
      <c r="D32170" s="1" t="str">
        <f>HYPERLINK("https://rhld.insurance.arkansas.gov/NPILookup?Npi=1164884250","1164884250")</f>
        <v>1164884250</v>
      </c>
      <c r="E32170" s="1" t="s">
        <v>29886</v>
      </c>
      <c r="F32170" s="2"/>
      <c r="G32170" s="2"/>
      <c r="H32170" s="2"/>
    </row>
    <row r="32171" spans="1:8" x14ac:dyDescent="0.25">
      <c r="A32171" s="1"/>
      <c r="B32171" s="1" t="s">
        <v>8342</v>
      </c>
      <c r="C32171" s="1" t="s">
        <v>8343</v>
      </c>
      <c r="D32171" s="1" t="str">
        <f>HYPERLINK("https://rhld.insurance.arkansas.gov/NPILookup?Npi=1174637755","1174637755")</f>
        <v>1174637755</v>
      </c>
      <c r="E32171" s="1" t="s">
        <v>1420</v>
      </c>
      <c r="F32171" s="2"/>
      <c r="G32171" s="2"/>
      <c r="H32171" s="2"/>
    </row>
    <row r="32172" spans="1:8" x14ac:dyDescent="0.25">
      <c r="A32172" s="1"/>
      <c r="B32172" s="1" t="s">
        <v>8342</v>
      </c>
      <c r="C32172" s="1" t="s">
        <v>8343</v>
      </c>
      <c r="D32172" s="1" t="str">
        <f>HYPERLINK("https://rhld.insurance.arkansas.gov/NPILookup?Npi=1174666044","1174666044")</f>
        <v>1174666044</v>
      </c>
      <c r="E32172" s="1" t="s">
        <v>1129</v>
      </c>
      <c r="F32172" s="2"/>
      <c r="G32172" s="2"/>
      <c r="H32172" s="2"/>
    </row>
    <row r="32173" spans="1:8" x14ac:dyDescent="0.25">
      <c r="A32173" s="1"/>
      <c r="B32173" s="1" t="s">
        <v>8342</v>
      </c>
      <c r="C32173" s="1" t="s">
        <v>8343</v>
      </c>
      <c r="D32173" s="1" t="str">
        <f>HYPERLINK("https://rhld.insurance.arkansas.gov/NPILookup?Npi=1174702757","1174702757")</f>
        <v>1174702757</v>
      </c>
      <c r="E32173" s="1" t="s">
        <v>2890</v>
      </c>
      <c r="F32173" s="2"/>
      <c r="G32173" s="2"/>
      <c r="H32173" s="2"/>
    </row>
    <row r="32174" spans="1:8" x14ac:dyDescent="0.25">
      <c r="A32174" s="1"/>
      <c r="B32174" s="1" t="s">
        <v>8342</v>
      </c>
      <c r="C32174" s="1" t="s">
        <v>8343</v>
      </c>
      <c r="D32174" s="1" t="str">
        <f>HYPERLINK("https://rhld.insurance.arkansas.gov/NPILookup?Npi=1174702849","1174702849")</f>
        <v>1174702849</v>
      </c>
      <c r="E32174" s="1" t="s">
        <v>29887</v>
      </c>
      <c r="F32174" s="2"/>
      <c r="G32174" s="2"/>
      <c r="H32174" s="2"/>
    </row>
    <row r="32175" spans="1:8" x14ac:dyDescent="0.25">
      <c r="A32175" s="1"/>
      <c r="B32175" s="1" t="s">
        <v>8342</v>
      </c>
      <c r="C32175" s="1" t="s">
        <v>8343</v>
      </c>
      <c r="D32175" s="1" t="str">
        <f>HYPERLINK("https://rhld.insurance.arkansas.gov/NPILookup?Npi=1174745392","1174745392")</f>
        <v>1174745392</v>
      </c>
      <c r="E32175" s="1" t="s">
        <v>29888</v>
      </c>
      <c r="F32175" s="2"/>
      <c r="G32175" s="2"/>
      <c r="H32175" s="2"/>
    </row>
    <row r="32176" spans="1:8" x14ac:dyDescent="0.25">
      <c r="A32176" s="1"/>
      <c r="B32176" s="1" t="s">
        <v>8342</v>
      </c>
      <c r="C32176" s="1" t="s">
        <v>8343</v>
      </c>
      <c r="D32176" s="1" t="str">
        <f>HYPERLINK("https://rhld.insurance.arkansas.gov/NPILookup?Npi=1174813067","1174813067")</f>
        <v>1174813067</v>
      </c>
      <c r="E32176" s="1" t="s">
        <v>411</v>
      </c>
      <c r="F32176" s="2"/>
      <c r="G32176" s="2"/>
      <c r="H32176" s="2"/>
    </row>
    <row r="32177" spans="1:8" x14ac:dyDescent="0.25">
      <c r="A32177" s="1"/>
      <c r="B32177" s="1" t="s">
        <v>8342</v>
      </c>
      <c r="C32177" s="1" t="s">
        <v>8343</v>
      </c>
      <c r="D32177" s="1" t="str">
        <f>HYPERLINK("https://rhld.insurance.arkansas.gov/NPILookup?Npi=1174851786","1174851786")</f>
        <v>1174851786</v>
      </c>
      <c r="E32177" s="1" t="s">
        <v>13968</v>
      </c>
      <c r="F32177" s="2"/>
      <c r="G32177" s="2"/>
      <c r="H32177" s="2"/>
    </row>
    <row r="32178" spans="1:8" x14ac:dyDescent="0.25">
      <c r="A32178" s="1"/>
      <c r="B32178" s="1" t="s">
        <v>8342</v>
      </c>
      <c r="C32178" s="1" t="s">
        <v>8343</v>
      </c>
      <c r="D32178" s="1" t="str">
        <f>HYPERLINK("https://rhld.insurance.arkansas.gov/NPILookup?Npi=1184060113","1184060113")</f>
        <v>1184060113</v>
      </c>
      <c r="E32178" s="1" t="s">
        <v>8353</v>
      </c>
      <c r="F32178" s="2"/>
      <c r="G32178" s="2"/>
      <c r="H32178" s="2"/>
    </row>
    <row r="32179" spans="1:8" x14ac:dyDescent="0.25">
      <c r="A32179" s="1"/>
      <c r="B32179" s="1" t="s">
        <v>8342</v>
      </c>
      <c r="C32179" s="1" t="s">
        <v>8343</v>
      </c>
      <c r="D32179" s="1" t="str">
        <f>HYPERLINK("https://rhld.insurance.arkansas.gov/NPILookup?Npi=1184202517","1184202517")</f>
        <v>1184202517</v>
      </c>
      <c r="E32179" s="1" t="s">
        <v>32487</v>
      </c>
      <c r="F32179" s="2"/>
      <c r="G32179" s="2"/>
      <c r="H32179" s="2"/>
    </row>
    <row r="32180" spans="1:8" x14ac:dyDescent="0.25">
      <c r="A32180" s="1"/>
      <c r="B32180" s="1" t="s">
        <v>8342</v>
      </c>
      <c r="C32180" s="1" t="s">
        <v>8343</v>
      </c>
      <c r="D32180" s="1" t="str">
        <f>HYPERLINK("https://rhld.insurance.arkansas.gov/NPILookup?Npi=1184287815","1184287815")</f>
        <v>1184287815</v>
      </c>
      <c r="E32180" s="1" t="s">
        <v>6147</v>
      </c>
      <c r="F32180" s="2"/>
      <c r="G32180" s="2"/>
      <c r="H32180" s="2"/>
    </row>
    <row r="32181" spans="1:8" x14ac:dyDescent="0.25">
      <c r="A32181" s="1"/>
      <c r="B32181" s="1" t="s">
        <v>8342</v>
      </c>
      <c r="C32181" s="1" t="s">
        <v>8343</v>
      </c>
      <c r="D32181" s="1" t="str">
        <f>HYPERLINK("https://rhld.insurance.arkansas.gov/NPILookup?Npi=1184757262","1184757262")</f>
        <v>1184757262</v>
      </c>
      <c r="E32181" s="1" t="s">
        <v>13969</v>
      </c>
      <c r="F32181" s="2"/>
      <c r="G32181" s="2"/>
      <c r="H32181" s="2"/>
    </row>
    <row r="32182" spans="1:8" x14ac:dyDescent="0.25">
      <c r="A32182" s="1"/>
      <c r="B32182" s="1" t="s">
        <v>8342</v>
      </c>
      <c r="C32182" s="1" t="s">
        <v>8343</v>
      </c>
      <c r="D32182" s="1" t="str">
        <f>HYPERLINK("https://rhld.insurance.arkansas.gov/NPILookup?Npi=1184851792","1184851792")</f>
        <v>1184851792</v>
      </c>
      <c r="E32182" s="1" t="s">
        <v>29889</v>
      </c>
      <c r="F32182" s="2"/>
      <c r="G32182" s="2"/>
      <c r="H32182" s="2"/>
    </row>
    <row r="32183" spans="1:8" x14ac:dyDescent="0.25">
      <c r="A32183" s="1"/>
      <c r="B32183" s="1" t="s">
        <v>8342</v>
      </c>
      <c r="C32183" s="1" t="s">
        <v>8343</v>
      </c>
      <c r="D32183" s="1" t="str">
        <f>HYPERLINK("https://rhld.insurance.arkansas.gov/NPILookup?Npi=1194353607","1194353607")</f>
        <v>1194353607</v>
      </c>
      <c r="E32183" s="1" t="s">
        <v>29890</v>
      </c>
      <c r="F32183" s="2"/>
      <c r="G32183" s="2"/>
      <c r="H32183" s="2"/>
    </row>
    <row r="32184" spans="1:8" x14ac:dyDescent="0.25">
      <c r="A32184" s="1"/>
      <c r="B32184" s="1" t="s">
        <v>8342</v>
      </c>
      <c r="C32184" s="1" t="s">
        <v>8343</v>
      </c>
      <c r="D32184" s="1" t="str">
        <f>HYPERLINK("https://rhld.insurance.arkansas.gov/NPILookup?Npi=1194722579","1194722579")</f>
        <v>1194722579</v>
      </c>
      <c r="E32184" s="1" t="s">
        <v>3217</v>
      </c>
      <c r="F32184" s="2"/>
      <c r="G32184" s="2"/>
      <c r="H32184" s="2"/>
    </row>
    <row r="32185" spans="1:8" x14ac:dyDescent="0.25">
      <c r="A32185" s="1"/>
      <c r="B32185" s="1" t="s">
        <v>8342</v>
      </c>
      <c r="C32185" s="1" t="s">
        <v>8343</v>
      </c>
      <c r="D32185" s="1" t="str">
        <f>HYPERLINK("https://rhld.insurance.arkansas.gov/NPILookup?Npi=1194753046","1194753046")</f>
        <v>1194753046</v>
      </c>
      <c r="E32185" s="1" t="s">
        <v>25987</v>
      </c>
      <c r="F32185" s="2"/>
      <c r="G32185" s="2"/>
      <c r="H32185" s="2"/>
    </row>
    <row r="32186" spans="1:8" x14ac:dyDescent="0.25">
      <c r="A32186" s="1"/>
      <c r="B32186" s="1" t="s">
        <v>8342</v>
      </c>
      <c r="C32186" s="1" t="s">
        <v>8343</v>
      </c>
      <c r="D32186" s="1" t="str">
        <f>HYPERLINK("https://rhld.insurance.arkansas.gov/NPILookup?Npi=1194910620","1194910620")</f>
        <v>1194910620</v>
      </c>
      <c r="E32186" s="1" t="s">
        <v>3218</v>
      </c>
      <c r="F32186" s="2"/>
      <c r="G32186" s="2"/>
      <c r="H32186" s="2"/>
    </row>
    <row r="32187" spans="1:8" x14ac:dyDescent="0.25">
      <c r="A32187" s="1"/>
      <c r="B32187" s="1" t="s">
        <v>8342</v>
      </c>
      <c r="C32187" s="1" t="s">
        <v>8343</v>
      </c>
      <c r="D32187" s="1" t="str">
        <f>HYPERLINK("https://rhld.insurance.arkansas.gov/NPILookup?Npi=1194969584","1194969584")</f>
        <v>1194969584</v>
      </c>
      <c r="E32187" s="1" t="s">
        <v>356</v>
      </c>
      <c r="F32187" s="2"/>
      <c r="G32187" s="2"/>
      <c r="H32187" s="2"/>
    </row>
    <row r="32188" spans="1:8" x14ac:dyDescent="0.25">
      <c r="A32188" s="1"/>
      <c r="B32188" s="1" t="s">
        <v>8342</v>
      </c>
      <c r="C32188" s="1" t="s">
        <v>8343</v>
      </c>
      <c r="D32188" s="1" t="str">
        <f>HYPERLINK("https://rhld.insurance.arkansas.gov/NPILookup?Npi=1205222460","1205222460")</f>
        <v>1205222460</v>
      </c>
      <c r="E32188" s="1" t="s">
        <v>13970</v>
      </c>
      <c r="F32188" s="2"/>
      <c r="G32188" s="2"/>
      <c r="H32188" s="2"/>
    </row>
    <row r="32189" spans="1:8" x14ac:dyDescent="0.25">
      <c r="A32189" s="1"/>
      <c r="B32189" s="1" t="s">
        <v>8342</v>
      </c>
      <c r="C32189" s="1" t="s">
        <v>8343</v>
      </c>
      <c r="D32189" s="1" t="str">
        <f>HYPERLINK("https://rhld.insurance.arkansas.gov/NPILookup?Npi=1205290319","1205290319")</f>
        <v>1205290319</v>
      </c>
      <c r="E32189" s="1" t="s">
        <v>13971</v>
      </c>
      <c r="F32189" s="2"/>
      <c r="G32189" s="2"/>
      <c r="H32189" s="2"/>
    </row>
    <row r="32190" spans="1:8" x14ac:dyDescent="0.25">
      <c r="A32190" s="1"/>
      <c r="B32190" s="1" t="s">
        <v>8342</v>
      </c>
      <c r="C32190" s="1" t="s">
        <v>8343</v>
      </c>
      <c r="D32190" s="1" t="str">
        <f>HYPERLINK("https://rhld.insurance.arkansas.gov/NPILookup?Npi=1205916608","1205916608")</f>
        <v>1205916608</v>
      </c>
      <c r="E32190" s="1" t="s">
        <v>19135</v>
      </c>
      <c r="F32190" s="2"/>
      <c r="G32190" s="2"/>
      <c r="H32190" s="2"/>
    </row>
    <row r="32191" spans="1:8" x14ac:dyDescent="0.25">
      <c r="A32191" s="1"/>
      <c r="B32191" s="1" t="s">
        <v>8342</v>
      </c>
      <c r="C32191" s="1" t="s">
        <v>8343</v>
      </c>
      <c r="D32191" s="1" t="str">
        <f>HYPERLINK("https://rhld.insurance.arkansas.gov/NPILookup?Npi=1215166426","1215166426")</f>
        <v>1215166426</v>
      </c>
      <c r="E32191" s="1" t="s">
        <v>19136</v>
      </c>
      <c r="F32191" s="2"/>
      <c r="G32191" s="2"/>
      <c r="H32191" s="2"/>
    </row>
    <row r="32192" spans="1:8" x14ac:dyDescent="0.25">
      <c r="A32192" s="1"/>
      <c r="B32192" s="1" t="s">
        <v>8342</v>
      </c>
      <c r="C32192" s="1" t="s">
        <v>8343</v>
      </c>
      <c r="D32192" s="1" t="str">
        <f>HYPERLINK("https://rhld.insurance.arkansas.gov/NPILookup?Npi=1215295308","1215295308")</f>
        <v>1215295308</v>
      </c>
      <c r="E32192" s="1" t="s">
        <v>29891</v>
      </c>
      <c r="F32192" s="2"/>
      <c r="G32192" s="2"/>
      <c r="H32192" s="2"/>
    </row>
    <row r="32193" spans="1:8" x14ac:dyDescent="0.25">
      <c r="A32193" s="1"/>
      <c r="B32193" s="1" t="s">
        <v>8342</v>
      </c>
      <c r="C32193" s="1" t="s">
        <v>8343</v>
      </c>
      <c r="D32193" s="1" t="str">
        <f>HYPERLINK("https://rhld.insurance.arkansas.gov/NPILookup?Npi=1215973490","1215973490")</f>
        <v>1215973490</v>
      </c>
      <c r="E32193" s="1" t="s">
        <v>2164</v>
      </c>
      <c r="F32193" s="2"/>
      <c r="G32193" s="2"/>
      <c r="H32193" s="2"/>
    </row>
    <row r="32194" spans="1:8" x14ac:dyDescent="0.25">
      <c r="A32194" s="1"/>
      <c r="B32194" s="1" t="s">
        <v>8342</v>
      </c>
      <c r="C32194" s="1" t="s">
        <v>8343</v>
      </c>
      <c r="D32194" s="1" t="str">
        <f>HYPERLINK("https://rhld.insurance.arkansas.gov/NPILookup?Npi=1215978770","1215978770")</f>
        <v>1215978770</v>
      </c>
      <c r="E32194" s="1" t="s">
        <v>17331</v>
      </c>
      <c r="F32194" s="2"/>
      <c r="G32194" s="2"/>
      <c r="H32194" s="2"/>
    </row>
    <row r="32195" spans="1:8" x14ac:dyDescent="0.25">
      <c r="A32195" s="1"/>
      <c r="B32195" s="1" t="s">
        <v>8342</v>
      </c>
      <c r="C32195" s="1" t="s">
        <v>8343</v>
      </c>
      <c r="D32195" s="1" t="str">
        <f>HYPERLINK("https://rhld.insurance.arkansas.gov/NPILookup?Npi=1225081854","1225081854")</f>
        <v>1225081854</v>
      </c>
      <c r="E32195" s="1" t="s">
        <v>357</v>
      </c>
      <c r="F32195" s="2"/>
      <c r="G32195" s="2"/>
      <c r="H32195" s="2"/>
    </row>
    <row r="32196" spans="1:8" x14ac:dyDescent="0.25">
      <c r="A32196" s="1"/>
      <c r="B32196" s="1" t="s">
        <v>8342</v>
      </c>
      <c r="C32196" s="1" t="s">
        <v>8343</v>
      </c>
      <c r="D32196" s="1" t="str">
        <f>HYPERLINK("https://rhld.insurance.arkansas.gov/NPILookup?Npi=1225159296","1225159296")</f>
        <v>1225159296</v>
      </c>
      <c r="E32196" s="1" t="s">
        <v>29892</v>
      </c>
      <c r="F32196" s="2"/>
      <c r="G32196" s="2"/>
      <c r="H32196" s="2"/>
    </row>
    <row r="32197" spans="1:8" x14ac:dyDescent="0.25">
      <c r="A32197" s="1"/>
      <c r="B32197" s="1" t="s">
        <v>8342</v>
      </c>
      <c r="C32197" s="1" t="s">
        <v>8343</v>
      </c>
      <c r="D32197" s="1" t="str">
        <f>HYPERLINK("https://rhld.insurance.arkansas.gov/NPILookup?Npi=1225242043","1225242043")</f>
        <v>1225242043</v>
      </c>
      <c r="E32197" s="1" t="s">
        <v>21549</v>
      </c>
      <c r="F32197" s="2"/>
      <c r="G32197" s="2"/>
      <c r="H32197" s="2"/>
    </row>
    <row r="32198" spans="1:8" x14ac:dyDescent="0.25">
      <c r="A32198" s="1"/>
      <c r="B32198" s="1" t="s">
        <v>8342</v>
      </c>
      <c r="C32198" s="1" t="s">
        <v>8343</v>
      </c>
      <c r="D32198" s="1" t="str">
        <f>HYPERLINK("https://rhld.insurance.arkansas.gov/NPILookup?Npi=1225320518","1225320518")</f>
        <v>1225320518</v>
      </c>
      <c r="E32198" s="1" t="s">
        <v>21554</v>
      </c>
      <c r="F32198" s="2"/>
      <c r="G32198" s="2"/>
      <c r="H32198" s="2"/>
    </row>
    <row r="32199" spans="1:8" x14ac:dyDescent="0.25">
      <c r="A32199" s="1"/>
      <c r="B32199" s="1" t="s">
        <v>8342</v>
      </c>
      <c r="C32199" s="1" t="s">
        <v>8343</v>
      </c>
      <c r="D32199" s="1" t="str">
        <f>HYPERLINK("https://rhld.insurance.arkansas.gov/NPILookup?Npi=1225392996","1225392996")</f>
        <v>1225392996</v>
      </c>
      <c r="E32199" s="1" t="s">
        <v>13972</v>
      </c>
      <c r="F32199" s="2"/>
      <c r="G32199" s="2"/>
      <c r="H32199" s="2"/>
    </row>
    <row r="32200" spans="1:8" x14ac:dyDescent="0.25">
      <c r="A32200" s="1"/>
      <c r="B32200" s="1" t="s">
        <v>8342</v>
      </c>
      <c r="C32200" s="1" t="s">
        <v>8343</v>
      </c>
      <c r="D32200" s="1" t="str">
        <f>HYPERLINK("https://rhld.insurance.arkansas.gov/NPILookup?Npi=1225657042","1225657042")</f>
        <v>1225657042</v>
      </c>
      <c r="E32200" s="1" t="s">
        <v>29893</v>
      </c>
      <c r="F32200" s="2"/>
      <c r="G32200" s="2"/>
      <c r="H32200" s="2"/>
    </row>
    <row r="32201" spans="1:8" x14ac:dyDescent="0.25">
      <c r="A32201" s="1"/>
      <c r="B32201" s="1" t="s">
        <v>8342</v>
      </c>
      <c r="C32201" s="1" t="s">
        <v>8343</v>
      </c>
      <c r="D32201" s="1" t="str">
        <f>HYPERLINK("https://rhld.insurance.arkansas.gov/NPILookup?Npi=1235153719","1235153719")</f>
        <v>1235153719</v>
      </c>
      <c r="E32201" s="1" t="s">
        <v>5022</v>
      </c>
      <c r="F32201" s="2"/>
      <c r="G32201" s="2"/>
      <c r="H32201" s="2"/>
    </row>
    <row r="32202" spans="1:8" x14ac:dyDescent="0.25">
      <c r="A32202" s="1"/>
      <c r="B32202" s="1" t="s">
        <v>8342</v>
      </c>
      <c r="C32202" s="1" t="s">
        <v>8343</v>
      </c>
      <c r="D32202" s="1" t="str">
        <f>HYPERLINK("https://rhld.insurance.arkansas.gov/NPILookup?Npi=1235247958","1235247958")</f>
        <v>1235247958</v>
      </c>
      <c r="E32202" s="1" t="s">
        <v>2166</v>
      </c>
      <c r="F32202" s="2"/>
      <c r="G32202" s="2"/>
      <c r="H32202" s="2"/>
    </row>
    <row r="32203" spans="1:8" x14ac:dyDescent="0.25">
      <c r="A32203" s="1"/>
      <c r="B32203" s="1" t="s">
        <v>8342</v>
      </c>
      <c r="C32203" s="1" t="s">
        <v>8343</v>
      </c>
      <c r="D32203" s="1" t="str">
        <f>HYPERLINK("https://rhld.insurance.arkansas.gov/NPILookup?Npi=1235302399","1235302399")</f>
        <v>1235302399</v>
      </c>
      <c r="E32203" s="1" t="s">
        <v>29894</v>
      </c>
      <c r="F32203" s="2"/>
      <c r="G32203" s="2"/>
      <c r="H32203" s="2"/>
    </row>
    <row r="32204" spans="1:8" x14ac:dyDescent="0.25">
      <c r="A32204" s="1"/>
      <c r="B32204" s="1" t="s">
        <v>8342</v>
      </c>
      <c r="C32204" s="1" t="s">
        <v>8343</v>
      </c>
      <c r="D32204" s="1" t="str">
        <f>HYPERLINK("https://rhld.insurance.arkansas.gov/NPILookup?Npi=1235799081","1235799081")</f>
        <v>1235799081</v>
      </c>
      <c r="E32204" s="1" t="s">
        <v>8354</v>
      </c>
      <c r="F32204" s="2"/>
      <c r="G32204" s="2"/>
      <c r="H32204" s="2"/>
    </row>
    <row r="32205" spans="1:8" x14ac:dyDescent="0.25">
      <c r="A32205" s="1"/>
      <c r="B32205" s="1" t="s">
        <v>8342</v>
      </c>
      <c r="C32205" s="1" t="s">
        <v>8343</v>
      </c>
      <c r="D32205" s="1" t="str">
        <f>HYPERLINK("https://rhld.insurance.arkansas.gov/NPILookup?Npi=1245229491","1245229491")</f>
        <v>1245229491</v>
      </c>
      <c r="E32205" s="1" t="s">
        <v>29895</v>
      </c>
      <c r="F32205" s="2"/>
      <c r="G32205" s="2"/>
      <c r="H32205" s="2"/>
    </row>
    <row r="32206" spans="1:8" x14ac:dyDescent="0.25">
      <c r="A32206" s="1"/>
      <c r="B32206" s="1" t="s">
        <v>8342</v>
      </c>
      <c r="C32206" s="1" t="s">
        <v>8343</v>
      </c>
      <c r="D32206" s="1" t="str">
        <f>HYPERLINK("https://rhld.insurance.arkansas.gov/NPILookup?Npi=1245410216","1245410216")</f>
        <v>1245410216</v>
      </c>
      <c r="E32206" s="1" t="s">
        <v>29896</v>
      </c>
      <c r="F32206" s="2"/>
      <c r="G32206" s="2"/>
      <c r="H32206" s="2"/>
    </row>
    <row r="32207" spans="1:8" x14ac:dyDescent="0.25">
      <c r="A32207" s="1"/>
      <c r="B32207" s="1" t="s">
        <v>8342</v>
      </c>
      <c r="C32207" s="1" t="s">
        <v>8343</v>
      </c>
      <c r="D32207" s="1" t="str">
        <f>HYPERLINK("https://rhld.insurance.arkansas.gov/NPILookup?Npi=1255347951","1255347951")</f>
        <v>1255347951</v>
      </c>
      <c r="E32207" s="1" t="s">
        <v>29897</v>
      </c>
      <c r="F32207" s="2"/>
      <c r="G32207" s="2"/>
      <c r="H32207" s="2"/>
    </row>
    <row r="32208" spans="1:8" x14ac:dyDescent="0.25">
      <c r="A32208" s="1"/>
      <c r="B32208" s="1" t="s">
        <v>8342</v>
      </c>
      <c r="C32208" s="1" t="s">
        <v>8343</v>
      </c>
      <c r="D32208" s="1" t="str">
        <f>HYPERLINK("https://rhld.insurance.arkansas.gov/NPILookup?Npi=1255539540","1255539540")</f>
        <v>1255539540</v>
      </c>
      <c r="E32208" s="1" t="s">
        <v>1130</v>
      </c>
      <c r="F32208" s="2"/>
      <c r="G32208" s="2"/>
      <c r="H32208" s="2"/>
    </row>
    <row r="32209" spans="1:8" x14ac:dyDescent="0.25">
      <c r="A32209" s="1"/>
      <c r="B32209" s="1" t="s">
        <v>8342</v>
      </c>
      <c r="C32209" s="1" t="s">
        <v>8343</v>
      </c>
      <c r="D32209" s="1" t="str">
        <f>HYPERLINK("https://rhld.insurance.arkansas.gov/NPILookup?Npi=1255741310","1255741310")</f>
        <v>1255741310</v>
      </c>
      <c r="E32209" s="1" t="s">
        <v>1061</v>
      </c>
      <c r="F32209" s="2"/>
      <c r="G32209" s="2"/>
      <c r="H32209" s="2"/>
    </row>
    <row r="32210" spans="1:8" x14ac:dyDescent="0.25">
      <c r="A32210" s="1"/>
      <c r="B32210" s="1" t="s">
        <v>8342</v>
      </c>
      <c r="C32210" s="1" t="s">
        <v>8343</v>
      </c>
      <c r="D32210" s="1" t="str">
        <f>HYPERLINK("https://rhld.insurance.arkansas.gov/NPILookup?Npi=1265069330","1265069330")</f>
        <v>1265069330</v>
      </c>
      <c r="E32210" s="1" t="s">
        <v>29898</v>
      </c>
      <c r="F32210" s="2"/>
      <c r="G32210" s="2"/>
      <c r="H32210" s="2"/>
    </row>
    <row r="32211" spans="1:8" x14ac:dyDescent="0.25">
      <c r="A32211" s="1"/>
      <c r="B32211" s="1" t="s">
        <v>8342</v>
      </c>
      <c r="C32211" s="1" t="s">
        <v>8343</v>
      </c>
      <c r="D32211" s="1" t="str">
        <f>HYPERLINK("https://rhld.insurance.arkansas.gov/NPILookup?Npi=1265657274","1265657274")</f>
        <v>1265657274</v>
      </c>
      <c r="E32211" s="1" t="s">
        <v>412</v>
      </c>
      <c r="F32211" s="2"/>
      <c r="G32211" s="2"/>
      <c r="H32211" s="2"/>
    </row>
    <row r="32212" spans="1:8" x14ac:dyDescent="0.25">
      <c r="A32212" s="1"/>
      <c r="B32212" s="1" t="s">
        <v>8342</v>
      </c>
      <c r="C32212" s="1" t="s">
        <v>8343</v>
      </c>
      <c r="D32212" s="1" t="str">
        <f>HYPERLINK("https://rhld.insurance.arkansas.gov/NPILookup?Npi=1265759716","1265759716")</f>
        <v>1265759716</v>
      </c>
      <c r="E32212" s="1" t="s">
        <v>19149</v>
      </c>
      <c r="F32212" s="2"/>
      <c r="G32212" s="2"/>
      <c r="H32212" s="2"/>
    </row>
    <row r="32213" spans="1:8" x14ac:dyDescent="0.25">
      <c r="A32213" s="1"/>
      <c r="B32213" s="1" t="s">
        <v>8342</v>
      </c>
      <c r="C32213" s="1" t="s">
        <v>8343</v>
      </c>
      <c r="D32213" s="1" t="str">
        <f>HYPERLINK("https://rhld.insurance.arkansas.gov/NPILookup?Npi=1275525834","1275525834")</f>
        <v>1275525834</v>
      </c>
      <c r="E32213" s="1" t="s">
        <v>29899</v>
      </c>
      <c r="F32213" s="2"/>
      <c r="G32213" s="2"/>
      <c r="H32213" s="2"/>
    </row>
    <row r="32214" spans="1:8" x14ac:dyDescent="0.25">
      <c r="A32214" s="1"/>
      <c r="B32214" s="1" t="s">
        <v>8342</v>
      </c>
      <c r="C32214" s="1" t="s">
        <v>8343</v>
      </c>
      <c r="D32214" s="1" t="str">
        <f>HYPERLINK("https://rhld.insurance.arkansas.gov/NPILookup?Npi=1275596678","1275596678")</f>
        <v>1275596678</v>
      </c>
      <c r="E32214" s="1" t="s">
        <v>21706</v>
      </c>
      <c r="F32214" s="2"/>
      <c r="G32214" s="2"/>
      <c r="H32214" s="2"/>
    </row>
    <row r="32215" spans="1:8" x14ac:dyDescent="0.25">
      <c r="A32215" s="1"/>
      <c r="B32215" s="1" t="s">
        <v>8342</v>
      </c>
      <c r="C32215" s="1" t="s">
        <v>8343</v>
      </c>
      <c r="D32215" s="1" t="str">
        <f>HYPERLINK("https://rhld.insurance.arkansas.gov/NPILookup?Npi=1275603581","1275603581")</f>
        <v>1275603581</v>
      </c>
      <c r="E32215" s="1" t="s">
        <v>3237</v>
      </c>
      <c r="F32215" s="2"/>
      <c r="G32215" s="2"/>
      <c r="H32215" s="2"/>
    </row>
    <row r="32216" spans="1:8" x14ac:dyDescent="0.25">
      <c r="A32216" s="1"/>
      <c r="B32216" s="1" t="s">
        <v>8342</v>
      </c>
      <c r="C32216" s="1" t="s">
        <v>8343</v>
      </c>
      <c r="D32216" s="1" t="str">
        <f>HYPERLINK("https://rhld.insurance.arkansas.gov/NPILookup?Npi=1275645400","1275645400")</f>
        <v>1275645400</v>
      </c>
      <c r="E32216" s="1" t="s">
        <v>19152</v>
      </c>
      <c r="F32216" s="2"/>
      <c r="G32216" s="2"/>
      <c r="H32216" s="2"/>
    </row>
    <row r="32217" spans="1:8" x14ac:dyDescent="0.25">
      <c r="A32217" s="1"/>
      <c r="B32217" s="1" t="s">
        <v>8342</v>
      </c>
      <c r="C32217" s="1" t="s">
        <v>8343</v>
      </c>
      <c r="D32217" s="1" t="str">
        <f>HYPERLINK("https://rhld.insurance.arkansas.gov/NPILookup?Npi=1275709545","1275709545")</f>
        <v>1275709545</v>
      </c>
      <c r="E32217" s="1" t="s">
        <v>6731</v>
      </c>
      <c r="F32217" s="2"/>
      <c r="G32217" s="2"/>
      <c r="H32217" s="2"/>
    </row>
    <row r="32218" spans="1:8" x14ac:dyDescent="0.25">
      <c r="A32218" s="1"/>
      <c r="B32218" s="1" t="s">
        <v>8342</v>
      </c>
      <c r="C32218" s="1" t="s">
        <v>8343</v>
      </c>
      <c r="D32218" s="1" t="str">
        <f>HYPERLINK("https://rhld.insurance.arkansas.gov/NPILookup?Npi=1275709859","1275709859")</f>
        <v>1275709859</v>
      </c>
      <c r="E32218" s="1" t="s">
        <v>10861</v>
      </c>
      <c r="F32218" s="2"/>
      <c r="G32218" s="2"/>
      <c r="H32218" s="2"/>
    </row>
    <row r="32219" spans="1:8" x14ac:dyDescent="0.25">
      <c r="A32219" s="1"/>
      <c r="B32219" s="1" t="s">
        <v>8342</v>
      </c>
      <c r="C32219" s="1" t="s">
        <v>8343</v>
      </c>
      <c r="D32219" s="1" t="str">
        <f>HYPERLINK("https://rhld.insurance.arkansas.gov/NPILookup?Npi=1285630095","1285630095")</f>
        <v>1285630095</v>
      </c>
      <c r="E32219" s="1" t="s">
        <v>19154</v>
      </c>
      <c r="F32219" s="2"/>
      <c r="G32219" s="2"/>
      <c r="H32219" s="2"/>
    </row>
    <row r="32220" spans="1:8" x14ac:dyDescent="0.25">
      <c r="A32220" s="1"/>
      <c r="B32220" s="1" t="s">
        <v>8342</v>
      </c>
      <c r="C32220" s="1" t="s">
        <v>8343</v>
      </c>
      <c r="D32220" s="1" t="str">
        <f>HYPERLINK("https://rhld.insurance.arkansas.gov/NPILookup?Npi=1285724856","1285724856")</f>
        <v>1285724856</v>
      </c>
      <c r="E32220" s="1" t="s">
        <v>29900</v>
      </c>
      <c r="F32220" s="2"/>
      <c r="G32220" s="2"/>
      <c r="H32220" s="2"/>
    </row>
    <row r="32221" spans="1:8" x14ac:dyDescent="0.25">
      <c r="A32221" s="1"/>
      <c r="B32221" s="1" t="s">
        <v>8342</v>
      </c>
      <c r="C32221" s="1" t="s">
        <v>8343</v>
      </c>
      <c r="D32221" s="1" t="str">
        <f>HYPERLINK("https://rhld.insurance.arkansas.gov/NPILookup?Npi=1285951079","1285951079")</f>
        <v>1285951079</v>
      </c>
      <c r="E32221" s="1" t="s">
        <v>29901</v>
      </c>
      <c r="F32221" s="2"/>
      <c r="G32221" s="2"/>
      <c r="H32221" s="2"/>
    </row>
    <row r="32222" spans="1:8" x14ac:dyDescent="0.25">
      <c r="A32222" s="1"/>
      <c r="B32222" s="1" t="s">
        <v>8342</v>
      </c>
      <c r="C32222" s="1" t="s">
        <v>8343</v>
      </c>
      <c r="D32222" s="1" t="str">
        <f>HYPERLINK("https://rhld.insurance.arkansas.gov/NPILookup?Npi=1285953109","1285953109")</f>
        <v>1285953109</v>
      </c>
      <c r="E32222" s="1" t="s">
        <v>29902</v>
      </c>
      <c r="F32222" s="2"/>
      <c r="G32222" s="2"/>
      <c r="H32222" s="2"/>
    </row>
    <row r="32223" spans="1:8" x14ac:dyDescent="0.25">
      <c r="A32223" s="1"/>
      <c r="B32223" s="1" t="s">
        <v>8342</v>
      </c>
      <c r="C32223" s="1" t="s">
        <v>8343</v>
      </c>
      <c r="D32223" s="1" t="str">
        <f>HYPERLINK("https://rhld.insurance.arkansas.gov/NPILookup?Npi=1295093847","1295093847")</f>
        <v>1295093847</v>
      </c>
      <c r="E32223" s="1" t="s">
        <v>21189</v>
      </c>
      <c r="F32223" s="2"/>
      <c r="G32223" s="2"/>
      <c r="H32223" s="2"/>
    </row>
    <row r="32224" spans="1:8" x14ac:dyDescent="0.25">
      <c r="A32224" s="1"/>
      <c r="B32224" s="1" t="s">
        <v>8342</v>
      </c>
      <c r="C32224" s="1" t="s">
        <v>8343</v>
      </c>
      <c r="D32224" s="1" t="str">
        <f>HYPERLINK("https://rhld.insurance.arkansas.gov/NPILookup?Npi=1295171734","1295171734")</f>
        <v>1295171734</v>
      </c>
      <c r="E32224" s="1" t="s">
        <v>11650</v>
      </c>
      <c r="F32224" s="2"/>
      <c r="G32224" s="2"/>
      <c r="H32224" s="2"/>
    </row>
    <row r="32225" spans="1:8" x14ac:dyDescent="0.25">
      <c r="A32225" s="1"/>
      <c r="B32225" s="1" t="s">
        <v>8342</v>
      </c>
      <c r="C32225" s="1" t="s">
        <v>8343</v>
      </c>
      <c r="D32225" s="1" t="str">
        <f>HYPERLINK("https://rhld.insurance.arkansas.gov/NPILookup?Npi=1295223543","1295223543")</f>
        <v>1295223543</v>
      </c>
      <c r="E32225" s="1" t="s">
        <v>8355</v>
      </c>
      <c r="F32225" s="2"/>
      <c r="G32225" s="2"/>
      <c r="H32225" s="2"/>
    </row>
    <row r="32226" spans="1:8" x14ac:dyDescent="0.25">
      <c r="A32226" s="1"/>
      <c r="B32226" s="1" t="s">
        <v>8342</v>
      </c>
      <c r="C32226" s="1" t="s">
        <v>8343</v>
      </c>
      <c r="D32226" s="1" t="str">
        <f>HYPERLINK("https://rhld.insurance.arkansas.gov/NPILookup?Npi=1295751006","1295751006")</f>
        <v>1295751006</v>
      </c>
      <c r="E32226" s="1" t="s">
        <v>29903</v>
      </c>
      <c r="F32226" s="2"/>
      <c r="G32226" s="2"/>
      <c r="H32226" s="2"/>
    </row>
    <row r="32227" spans="1:8" x14ac:dyDescent="0.25">
      <c r="A32227" s="1"/>
      <c r="B32227" s="1" t="s">
        <v>8342</v>
      </c>
      <c r="C32227" s="1" t="s">
        <v>8343</v>
      </c>
      <c r="D32227" s="1" t="str">
        <f>HYPERLINK("https://rhld.insurance.arkansas.gov/NPILookup?Npi=1295778942","1295778942")</f>
        <v>1295778942</v>
      </c>
      <c r="E32227" s="1" t="s">
        <v>13973</v>
      </c>
      <c r="F32227" s="2"/>
      <c r="G32227" s="2"/>
      <c r="H32227" s="2"/>
    </row>
    <row r="32228" spans="1:8" x14ac:dyDescent="0.25">
      <c r="A32228" s="1"/>
      <c r="B32228" s="1" t="s">
        <v>8342</v>
      </c>
      <c r="C32228" s="1" t="s">
        <v>8343</v>
      </c>
      <c r="D32228" s="1" t="str">
        <f>HYPERLINK("https://rhld.insurance.arkansas.gov/NPILookup?Npi=1295918449","1295918449")</f>
        <v>1295918449</v>
      </c>
      <c r="E32228" s="1" t="s">
        <v>11748</v>
      </c>
      <c r="F32228" s="2"/>
      <c r="G32228" s="2"/>
      <c r="H32228" s="2"/>
    </row>
    <row r="32229" spans="1:8" x14ac:dyDescent="0.25">
      <c r="A32229" s="1"/>
      <c r="B32229" s="1" t="s">
        <v>8342</v>
      </c>
      <c r="C32229" s="1" t="s">
        <v>8343</v>
      </c>
      <c r="D32229" s="1" t="str">
        <f>HYPERLINK("https://rhld.insurance.arkansas.gov/NPILookup?Npi=1295947026","1295947026")</f>
        <v>1295947026</v>
      </c>
      <c r="E32229" s="1" t="s">
        <v>29904</v>
      </c>
      <c r="F32229" s="2"/>
      <c r="G32229" s="2"/>
      <c r="H32229" s="2"/>
    </row>
    <row r="32230" spans="1:8" x14ac:dyDescent="0.25">
      <c r="A32230" s="1"/>
      <c r="B32230" s="1" t="s">
        <v>8342</v>
      </c>
      <c r="C32230" s="1" t="s">
        <v>8343</v>
      </c>
      <c r="D32230" s="1" t="str">
        <f>HYPERLINK("https://rhld.insurance.arkansas.gov/NPILookup?Npi=1306032438","1306032438")</f>
        <v>1306032438</v>
      </c>
      <c r="E32230" s="1" t="s">
        <v>19158</v>
      </c>
      <c r="F32230" s="2"/>
      <c r="G32230" s="2"/>
      <c r="H32230" s="2"/>
    </row>
    <row r="32231" spans="1:8" x14ac:dyDescent="0.25">
      <c r="A32231" s="1"/>
      <c r="B32231" s="1" t="s">
        <v>8342</v>
      </c>
      <c r="C32231" s="1" t="s">
        <v>8343</v>
      </c>
      <c r="D32231" s="1" t="str">
        <f>HYPERLINK("https://rhld.insurance.arkansas.gov/NPILookup?Npi=1306343124","1306343124")</f>
        <v>1306343124</v>
      </c>
      <c r="E32231" s="1" t="s">
        <v>29905</v>
      </c>
      <c r="F32231" s="2"/>
      <c r="G32231" s="2"/>
      <c r="H32231" s="2"/>
    </row>
    <row r="32232" spans="1:8" x14ac:dyDescent="0.25">
      <c r="A32232" s="1"/>
      <c r="B32232" s="1" t="s">
        <v>8342</v>
      </c>
      <c r="C32232" s="1" t="s">
        <v>8343</v>
      </c>
      <c r="D32232" s="1" t="str">
        <f>HYPERLINK("https://rhld.insurance.arkansas.gov/NPILookup?Npi=1306846712","1306846712")</f>
        <v>1306846712</v>
      </c>
      <c r="E32232" s="1" t="s">
        <v>29906</v>
      </c>
      <c r="F32232" s="2"/>
      <c r="G32232" s="2"/>
      <c r="H32232" s="2"/>
    </row>
    <row r="32233" spans="1:8" x14ac:dyDescent="0.25">
      <c r="A32233" s="1"/>
      <c r="B32233" s="1" t="s">
        <v>8342</v>
      </c>
      <c r="C32233" s="1" t="s">
        <v>8343</v>
      </c>
      <c r="D32233" s="1" t="str">
        <f>HYPERLINK("https://rhld.insurance.arkansas.gov/NPILookup?Npi=1316058399","1316058399")</f>
        <v>1316058399</v>
      </c>
      <c r="E32233" s="1" t="s">
        <v>3253</v>
      </c>
      <c r="F32233" s="2"/>
      <c r="G32233" s="2"/>
      <c r="H32233" s="2"/>
    </row>
    <row r="32234" spans="1:8" x14ac:dyDescent="0.25">
      <c r="A32234" s="1"/>
      <c r="B32234" s="1" t="s">
        <v>8342</v>
      </c>
      <c r="C32234" s="1" t="s">
        <v>8343</v>
      </c>
      <c r="D32234" s="1" t="str">
        <f>HYPERLINK("https://rhld.insurance.arkansas.gov/NPILookup?Npi=1316154792","1316154792")</f>
        <v>1316154792</v>
      </c>
      <c r="E32234" s="1" t="s">
        <v>1132</v>
      </c>
      <c r="F32234" s="2"/>
      <c r="G32234" s="2"/>
      <c r="H32234" s="2"/>
    </row>
    <row r="32235" spans="1:8" x14ac:dyDescent="0.25">
      <c r="A32235" s="1"/>
      <c r="B32235" s="1" t="s">
        <v>8342</v>
      </c>
      <c r="C32235" s="1" t="s">
        <v>8343</v>
      </c>
      <c r="D32235" s="1" t="str">
        <f>HYPERLINK("https://rhld.insurance.arkansas.gov/NPILookup?Npi=1316165079","1316165079")</f>
        <v>1316165079</v>
      </c>
      <c r="E32235" s="1" t="s">
        <v>8356</v>
      </c>
      <c r="F32235" s="2"/>
      <c r="G32235" s="2"/>
      <c r="H32235" s="2"/>
    </row>
    <row r="32236" spans="1:8" x14ac:dyDescent="0.25">
      <c r="A32236" s="1"/>
      <c r="B32236" s="1" t="s">
        <v>8342</v>
      </c>
      <c r="C32236" s="1" t="s">
        <v>8343</v>
      </c>
      <c r="D32236" s="1" t="str">
        <f>HYPERLINK("https://rhld.insurance.arkansas.gov/NPILookup?Npi=1316262645","1316262645")</f>
        <v>1316262645</v>
      </c>
      <c r="E32236" s="1" t="s">
        <v>19160</v>
      </c>
      <c r="F32236" s="2"/>
      <c r="G32236" s="2"/>
      <c r="H32236" s="2"/>
    </row>
    <row r="32237" spans="1:8" x14ac:dyDescent="0.25">
      <c r="A32237" s="1"/>
      <c r="B32237" s="1" t="s">
        <v>8342</v>
      </c>
      <c r="C32237" s="1" t="s">
        <v>8343</v>
      </c>
      <c r="D32237" s="1" t="str">
        <f>HYPERLINK("https://rhld.insurance.arkansas.gov/NPILookup?Npi=1316382617","1316382617")</f>
        <v>1316382617</v>
      </c>
      <c r="E32237" s="1" t="s">
        <v>29907</v>
      </c>
      <c r="F32237" s="2"/>
      <c r="G32237" s="2"/>
      <c r="H32237" s="2"/>
    </row>
    <row r="32238" spans="1:8" x14ac:dyDescent="0.25">
      <c r="A32238" s="1"/>
      <c r="B32238" s="1" t="s">
        <v>8342</v>
      </c>
      <c r="C32238" s="1" t="s">
        <v>8343</v>
      </c>
      <c r="D32238" s="1" t="str">
        <f>HYPERLINK("https://rhld.insurance.arkansas.gov/NPILookup?Npi=1316386915","1316386915")</f>
        <v>1316386915</v>
      </c>
      <c r="E32238" s="1" t="s">
        <v>3258</v>
      </c>
      <c r="F32238" s="2"/>
      <c r="G32238" s="2"/>
      <c r="H32238" s="2"/>
    </row>
    <row r="32239" spans="1:8" x14ac:dyDescent="0.25">
      <c r="A32239" s="1"/>
      <c r="B32239" s="1" t="s">
        <v>8342</v>
      </c>
      <c r="C32239" s="1" t="s">
        <v>8343</v>
      </c>
      <c r="D32239" s="1" t="str">
        <f>HYPERLINK("https://rhld.insurance.arkansas.gov/NPILookup?Npi=1316409733","1316409733")</f>
        <v>1316409733</v>
      </c>
      <c r="E32239" s="1" t="s">
        <v>29908</v>
      </c>
      <c r="F32239" s="2"/>
      <c r="G32239" s="2"/>
      <c r="H32239" s="2"/>
    </row>
    <row r="32240" spans="1:8" x14ac:dyDescent="0.25">
      <c r="A32240" s="1"/>
      <c r="B32240" s="1" t="s">
        <v>8342</v>
      </c>
      <c r="C32240" s="1" t="s">
        <v>8343</v>
      </c>
      <c r="D32240" s="1" t="str">
        <f>HYPERLINK("https://rhld.insurance.arkansas.gov/NPILookup?Npi=1316479884","1316479884")</f>
        <v>1316479884</v>
      </c>
      <c r="E32240" s="1" t="s">
        <v>29909</v>
      </c>
      <c r="F32240" s="2"/>
      <c r="G32240" s="2"/>
      <c r="H32240" s="2"/>
    </row>
    <row r="32241" spans="1:8" x14ac:dyDescent="0.25">
      <c r="A32241" s="1"/>
      <c r="B32241" s="1" t="s">
        <v>8342</v>
      </c>
      <c r="C32241" s="1" t="s">
        <v>8343</v>
      </c>
      <c r="D32241" s="1" t="str">
        <f>HYPERLINK("https://rhld.insurance.arkansas.gov/NPILookup?Npi=1316493943","1316493943")</f>
        <v>1316493943</v>
      </c>
      <c r="E32241" s="1" t="s">
        <v>29910</v>
      </c>
      <c r="F32241" s="2"/>
      <c r="G32241" s="2"/>
      <c r="H32241" s="2"/>
    </row>
    <row r="32242" spans="1:8" x14ac:dyDescent="0.25">
      <c r="A32242" s="1"/>
      <c r="B32242" s="1" t="s">
        <v>8342</v>
      </c>
      <c r="C32242" s="1" t="s">
        <v>8343</v>
      </c>
      <c r="D32242" s="1" t="str">
        <f>HYPERLINK("https://rhld.insurance.arkansas.gov/NPILookup?Npi=1316987639","1316987639")</f>
        <v>1316987639</v>
      </c>
      <c r="E32242" s="1" t="s">
        <v>29911</v>
      </c>
      <c r="F32242" s="2"/>
      <c r="G32242" s="2"/>
      <c r="H32242" s="2"/>
    </row>
    <row r="32243" spans="1:8" x14ac:dyDescent="0.25">
      <c r="A32243" s="1"/>
      <c r="B32243" s="1" t="s">
        <v>8342</v>
      </c>
      <c r="C32243" s="1" t="s">
        <v>8343</v>
      </c>
      <c r="D32243" s="1" t="str">
        <f>HYPERLINK("https://rhld.insurance.arkansas.gov/NPILookup?Npi=1326034547","1326034547")</f>
        <v>1326034547</v>
      </c>
      <c r="E32243" s="1" t="s">
        <v>862</v>
      </c>
      <c r="F32243" s="2"/>
      <c r="G32243" s="2"/>
      <c r="H32243" s="2"/>
    </row>
    <row r="32244" spans="1:8" x14ac:dyDescent="0.25">
      <c r="A32244" s="1"/>
      <c r="B32244" s="1" t="s">
        <v>8342</v>
      </c>
      <c r="C32244" s="1" t="s">
        <v>8343</v>
      </c>
      <c r="D32244" s="1" t="str">
        <f>HYPERLINK("https://rhld.insurance.arkansas.gov/NPILookup?Npi=1326334459","1326334459")</f>
        <v>1326334459</v>
      </c>
      <c r="E32244" s="1" t="s">
        <v>29912</v>
      </c>
      <c r="F32244" s="2"/>
      <c r="G32244" s="2"/>
      <c r="H32244" s="2"/>
    </row>
    <row r="32245" spans="1:8" x14ac:dyDescent="0.25">
      <c r="A32245" s="1"/>
      <c r="B32245" s="1" t="s">
        <v>8342</v>
      </c>
      <c r="C32245" s="1" t="s">
        <v>8343</v>
      </c>
      <c r="D32245" s="1" t="str">
        <f>HYPERLINK("https://rhld.insurance.arkansas.gov/NPILookup?Npi=1326350885","1326350885")</f>
        <v>1326350885</v>
      </c>
      <c r="E32245" s="1" t="s">
        <v>737</v>
      </c>
      <c r="F32245" s="2"/>
      <c r="G32245" s="2"/>
      <c r="H32245" s="2"/>
    </row>
    <row r="32246" spans="1:8" x14ac:dyDescent="0.25">
      <c r="A32246" s="1"/>
      <c r="B32246" s="1" t="s">
        <v>8342</v>
      </c>
      <c r="C32246" s="1" t="s">
        <v>8343</v>
      </c>
      <c r="D32246" s="1" t="str">
        <f>HYPERLINK("https://rhld.insurance.arkansas.gov/NPILookup?Npi=1326542606","1326542606")</f>
        <v>1326542606</v>
      </c>
      <c r="E32246" s="1" t="s">
        <v>29913</v>
      </c>
      <c r="F32246" s="2"/>
      <c r="G32246" s="2"/>
      <c r="H32246" s="2"/>
    </row>
    <row r="32247" spans="1:8" x14ac:dyDescent="0.25">
      <c r="A32247" s="1"/>
      <c r="B32247" s="1" t="s">
        <v>8342</v>
      </c>
      <c r="C32247" s="1" t="s">
        <v>8343</v>
      </c>
      <c r="D32247" s="1" t="str">
        <f>HYPERLINK("https://rhld.insurance.arkansas.gov/NPILookup?Npi=1336141902","1336141902")</f>
        <v>1336141902</v>
      </c>
      <c r="E32247" s="1" t="s">
        <v>3194</v>
      </c>
      <c r="F32247" s="2"/>
      <c r="G32247" s="2"/>
      <c r="H32247" s="2"/>
    </row>
    <row r="32248" spans="1:8" x14ac:dyDescent="0.25">
      <c r="A32248" s="1"/>
      <c r="B32248" s="1" t="s">
        <v>8342</v>
      </c>
      <c r="C32248" s="1" t="s">
        <v>8343</v>
      </c>
      <c r="D32248" s="1" t="str">
        <f>HYPERLINK("https://rhld.insurance.arkansas.gov/NPILookup?Npi=1336174283","1336174283")</f>
        <v>1336174283</v>
      </c>
      <c r="E32248" s="1" t="s">
        <v>11689</v>
      </c>
      <c r="F32248" s="2"/>
      <c r="G32248" s="2"/>
      <c r="H32248" s="2"/>
    </row>
    <row r="32249" spans="1:8" x14ac:dyDescent="0.25">
      <c r="A32249" s="1"/>
      <c r="B32249" s="1" t="s">
        <v>8342</v>
      </c>
      <c r="C32249" s="1" t="s">
        <v>8343</v>
      </c>
      <c r="D32249" s="1" t="str">
        <f>HYPERLINK("https://rhld.insurance.arkansas.gov/NPILookup?Npi=1336283498","1336283498")</f>
        <v>1336283498</v>
      </c>
      <c r="E32249" s="1" t="s">
        <v>2229</v>
      </c>
      <c r="F32249" s="2"/>
      <c r="G32249" s="2"/>
      <c r="H32249" s="2"/>
    </row>
    <row r="32250" spans="1:8" x14ac:dyDescent="0.25">
      <c r="A32250" s="1"/>
      <c r="B32250" s="1" t="s">
        <v>8342</v>
      </c>
      <c r="C32250" s="1" t="s">
        <v>8343</v>
      </c>
      <c r="D32250" s="1" t="str">
        <f>HYPERLINK("https://rhld.insurance.arkansas.gov/NPILookup?Npi=1336324011","1336324011")</f>
        <v>1336324011</v>
      </c>
      <c r="E32250" s="1" t="s">
        <v>389</v>
      </c>
      <c r="F32250" s="2"/>
      <c r="G32250" s="2"/>
      <c r="H32250" s="2"/>
    </row>
    <row r="32251" spans="1:8" x14ac:dyDescent="0.25">
      <c r="A32251" s="1"/>
      <c r="B32251" s="1" t="s">
        <v>8342</v>
      </c>
      <c r="C32251" s="1" t="s">
        <v>8343</v>
      </c>
      <c r="D32251" s="1" t="str">
        <f>HYPERLINK("https://rhld.insurance.arkansas.gov/NPILookup?Npi=1336469287","1336469287")</f>
        <v>1336469287</v>
      </c>
      <c r="E32251" s="1" t="s">
        <v>29914</v>
      </c>
      <c r="F32251" s="2"/>
      <c r="G32251" s="2"/>
      <c r="H32251" s="2"/>
    </row>
    <row r="32252" spans="1:8" x14ac:dyDescent="0.25">
      <c r="A32252" s="1"/>
      <c r="B32252" s="1" t="s">
        <v>8342</v>
      </c>
      <c r="C32252" s="1" t="s">
        <v>8343</v>
      </c>
      <c r="D32252" s="1" t="str">
        <f>HYPERLINK("https://rhld.insurance.arkansas.gov/NPILookup?Npi=1336479823","1336479823")</f>
        <v>1336479823</v>
      </c>
      <c r="E32252" s="1" t="s">
        <v>29915</v>
      </c>
      <c r="F32252" s="2"/>
      <c r="G32252" s="2"/>
      <c r="H32252" s="2"/>
    </row>
    <row r="32253" spans="1:8" x14ac:dyDescent="0.25">
      <c r="A32253" s="1"/>
      <c r="B32253" s="1" t="s">
        <v>8342</v>
      </c>
      <c r="C32253" s="1" t="s">
        <v>8343</v>
      </c>
      <c r="D32253" s="1" t="str">
        <f>HYPERLINK("https://rhld.insurance.arkansas.gov/NPILookup?Npi=1336598903","1336598903")</f>
        <v>1336598903</v>
      </c>
      <c r="E32253" s="1" t="s">
        <v>11170</v>
      </c>
      <c r="F32253" s="2"/>
      <c r="G32253" s="2"/>
      <c r="H32253" s="2"/>
    </row>
    <row r="32254" spans="1:8" x14ac:dyDescent="0.25">
      <c r="A32254" s="1"/>
      <c r="B32254" s="1" t="s">
        <v>8342</v>
      </c>
      <c r="C32254" s="1" t="s">
        <v>8343</v>
      </c>
      <c r="D32254" s="1" t="str">
        <f>HYPERLINK("https://rhld.insurance.arkansas.gov/NPILookup?Npi=1346293974","1346293974")</f>
        <v>1346293974</v>
      </c>
      <c r="E32254" s="1" t="s">
        <v>29916</v>
      </c>
      <c r="F32254" s="2"/>
      <c r="G32254" s="2"/>
      <c r="H32254" s="2"/>
    </row>
    <row r="32255" spans="1:8" x14ac:dyDescent="0.25">
      <c r="A32255" s="1"/>
      <c r="B32255" s="1" t="s">
        <v>8342</v>
      </c>
      <c r="C32255" s="1" t="s">
        <v>8343</v>
      </c>
      <c r="D32255" s="1" t="str">
        <f>HYPERLINK("https://rhld.insurance.arkansas.gov/NPILookup?Npi=1346392867","1346392867")</f>
        <v>1346392867</v>
      </c>
      <c r="E32255" s="1" t="s">
        <v>8357</v>
      </c>
      <c r="F32255" s="2"/>
      <c r="G32255" s="2"/>
      <c r="H32255" s="2"/>
    </row>
    <row r="32256" spans="1:8" x14ac:dyDescent="0.25">
      <c r="A32256" s="1"/>
      <c r="B32256" s="1" t="s">
        <v>8342</v>
      </c>
      <c r="C32256" s="1" t="s">
        <v>8343</v>
      </c>
      <c r="D32256" s="1" t="str">
        <f>HYPERLINK("https://rhld.insurance.arkansas.gov/NPILookup?Npi=1346459765","1346459765")</f>
        <v>1346459765</v>
      </c>
      <c r="E32256" s="1" t="s">
        <v>13954</v>
      </c>
      <c r="F32256" s="2"/>
      <c r="G32256" s="2"/>
      <c r="H32256" s="2"/>
    </row>
    <row r="32257" spans="1:8" x14ac:dyDescent="0.25">
      <c r="A32257" s="1"/>
      <c r="B32257" s="1" t="s">
        <v>8342</v>
      </c>
      <c r="C32257" s="1" t="s">
        <v>8343</v>
      </c>
      <c r="D32257" s="1" t="str">
        <f>HYPERLINK("https://rhld.insurance.arkansas.gov/NPILookup?Npi=1346607082","1346607082")</f>
        <v>1346607082</v>
      </c>
      <c r="E32257" s="1" t="s">
        <v>29917</v>
      </c>
      <c r="F32257" s="2"/>
      <c r="G32257" s="2"/>
      <c r="H32257" s="2"/>
    </row>
    <row r="32258" spans="1:8" x14ac:dyDescent="0.25">
      <c r="A32258" s="1"/>
      <c r="B32258" s="1" t="s">
        <v>8342</v>
      </c>
      <c r="C32258" s="1" t="s">
        <v>8343</v>
      </c>
      <c r="D32258" s="1" t="str">
        <f>HYPERLINK("https://rhld.insurance.arkansas.gov/NPILookup?Npi=1346668795","1346668795")</f>
        <v>1346668795</v>
      </c>
      <c r="E32258" s="1" t="s">
        <v>29918</v>
      </c>
      <c r="F32258" s="2"/>
      <c r="G32258" s="2"/>
      <c r="H32258" s="2"/>
    </row>
    <row r="32259" spans="1:8" x14ac:dyDescent="0.25">
      <c r="A32259" s="1"/>
      <c r="B32259" s="1" t="s">
        <v>8342</v>
      </c>
      <c r="C32259" s="1" t="s">
        <v>8343</v>
      </c>
      <c r="D32259" s="1" t="str">
        <f>HYPERLINK("https://rhld.insurance.arkansas.gov/NPILookup?Npi=1356482459","1356482459")</f>
        <v>1356482459</v>
      </c>
      <c r="E32259" s="1" t="s">
        <v>29919</v>
      </c>
      <c r="F32259" s="2"/>
      <c r="G32259" s="2"/>
      <c r="H32259" s="2"/>
    </row>
    <row r="32260" spans="1:8" x14ac:dyDescent="0.25">
      <c r="A32260" s="1"/>
      <c r="B32260" s="1" t="s">
        <v>8342</v>
      </c>
      <c r="C32260" s="1" t="s">
        <v>8343</v>
      </c>
      <c r="D32260" s="1" t="str">
        <f>HYPERLINK("https://rhld.insurance.arkansas.gov/NPILookup?Npi=1356490205","1356490205")</f>
        <v>1356490205</v>
      </c>
      <c r="E32260" s="1" t="s">
        <v>1134</v>
      </c>
      <c r="F32260" s="2"/>
      <c r="G32260" s="2"/>
      <c r="H32260" s="2"/>
    </row>
    <row r="32261" spans="1:8" x14ac:dyDescent="0.25">
      <c r="A32261" s="1"/>
      <c r="B32261" s="1" t="s">
        <v>8342</v>
      </c>
      <c r="C32261" s="1" t="s">
        <v>8343</v>
      </c>
      <c r="D32261" s="1" t="str">
        <f>HYPERLINK("https://rhld.insurance.arkansas.gov/NPILookup?Npi=1356516058","1356516058")</f>
        <v>1356516058</v>
      </c>
      <c r="E32261" s="1" t="s">
        <v>21944</v>
      </c>
      <c r="F32261" s="2"/>
      <c r="G32261" s="2"/>
      <c r="H32261" s="2"/>
    </row>
    <row r="32262" spans="1:8" x14ac:dyDescent="0.25">
      <c r="A32262" s="1"/>
      <c r="B32262" s="1" t="s">
        <v>8342</v>
      </c>
      <c r="C32262" s="1" t="s">
        <v>8343</v>
      </c>
      <c r="D32262" s="1" t="str">
        <f>HYPERLINK("https://rhld.insurance.arkansas.gov/NPILookup?Npi=1356535991","1356535991")</f>
        <v>1356535991</v>
      </c>
      <c r="E32262" s="1" t="s">
        <v>8358</v>
      </c>
      <c r="F32262" s="2"/>
      <c r="G32262" s="2"/>
      <c r="H32262" s="2"/>
    </row>
    <row r="32263" spans="1:8" x14ac:dyDescent="0.25">
      <c r="A32263" s="1"/>
      <c r="B32263" s="1" t="s">
        <v>8342</v>
      </c>
      <c r="C32263" s="1" t="s">
        <v>8343</v>
      </c>
      <c r="D32263" s="1" t="str">
        <f>HYPERLINK("https://rhld.insurance.arkansas.gov/NPILookup?Npi=1356696868","1356696868")</f>
        <v>1356696868</v>
      </c>
      <c r="E32263" s="1" t="s">
        <v>8359</v>
      </c>
      <c r="F32263" s="2"/>
      <c r="G32263" s="2"/>
      <c r="H32263" s="2"/>
    </row>
    <row r="32264" spans="1:8" x14ac:dyDescent="0.25">
      <c r="A32264" s="1"/>
      <c r="B32264" s="1" t="s">
        <v>8342</v>
      </c>
      <c r="C32264" s="1" t="s">
        <v>8343</v>
      </c>
      <c r="D32264" s="1" t="str">
        <f>HYPERLINK("https://rhld.insurance.arkansas.gov/NPILookup?Npi=1356787873","1356787873")</f>
        <v>1356787873</v>
      </c>
      <c r="E32264" s="1" t="s">
        <v>29920</v>
      </c>
      <c r="F32264" s="2"/>
      <c r="G32264" s="2"/>
      <c r="H32264" s="2"/>
    </row>
    <row r="32265" spans="1:8" x14ac:dyDescent="0.25">
      <c r="A32265" s="1"/>
      <c r="B32265" s="1" t="s">
        <v>8342</v>
      </c>
      <c r="C32265" s="1" t="s">
        <v>8343</v>
      </c>
      <c r="D32265" s="1" t="str">
        <f>HYPERLINK("https://rhld.insurance.arkansas.gov/NPILookup?Npi=1356920748","1356920748")</f>
        <v>1356920748</v>
      </c>
      <c r="E32265" s="1" t="s">
        <v>13019</v>
      </c>
      <c r="F32265" s="2"/>
      <c r="G32265" s="2"/>
      <c r="H32265" s="2"/>
    </row>
    <row r="32266" spans="1:8" x14ac:dyDescent="0.25">
      <c r="A32266" s="1"/>
      <c r="B32266" s="1" t="s">
        <v>8342</v>
      </c>
      <c r="C32266" s="1" t="s">
        <v>8343</v>
      </c>
      <c r="D32266" s="1" t="str">
        <f>HYPERLINK("https://rhld.insurance.arkansas.gov/NPILookup?Npi=1366500795","1366500795")</f>
        <v>1366500795</v>
      </c>
      <c r="E32266" s="1" t="s">
        <v>23447</v>
      </c>
      <c r="F32266" s="2"/>
      <c r="G32266" s="2"/>
      <c r="H32266" s="2"/>
    </row>
    <row r="32267" spans="1:8" x14ac:dyDescent="0.25">
      <c r="A32267" s="1"/>
      <c r="B32267" s="1" t="s">
        <v>8342</v>
      </c>
      <c r="C32267" s="1" t="s">
        <v>8343</v>
      </c>
      <c r="D32267" s="1" t="str">
        <f>HYPERLINK("https://rhld.insurance.arkansas.gov/NPILookup?Npi=1366532939","1366532939")</f>
        <v>1366532939</v>
      </c>
      <c r="E32267" s="1" t="s">
        <v>29921</v>
      </c>
      <c r="F32267" s="2"/>
      <c r="G32267" s="2"/>
      <c r="H32267" s="2"/>
    </row>
    <row r="32268" spans="1:8" x14ac:dyDescent="0.25">
      <c r="A32268" s="1"/>
      <c r="B32268" s="1" t="s">
        <v>8342</v>
      </c>
      <c r="C32268" s="1" t="s">
        <v>8343</v>
      </c>
      <c r="D32268" s="1" t="str">
        <f>HYPERLINK("https://rhld.insurance.arkansas.gov/NPILookup?Npi=1366647224","1366647224")</f>
        <v>1366647224</v>
      </c>
      <c r="E32268" s="1" t="s">
        <v>10866</v>
      </c>
      <c r="F32268" s="2"/>
      <c r="G32268" s="2"/>
      <c r="H32268" s="2"/>
    </row>
    <row r="32269" spans="1:8" x14ac:dyDescent="0.25">
      <c r="A32269" s="1"/>
      <c r="B32269" s="1" t="s">
        <v>8342</v>
      </c>
      <c r="C32269" s="1" t="s">
        <v>8343</v>
      </c>
      <c r="D32269" s="1" t="str">
        <f>HYPERLINK("https://rhld.insurance.arkansas.gov/NPILookup?Npi=1366651036","1366651036")</f>
        <v>1366651036</v>
      </c>
      <c r="E32269" s="1" t="s">
        <v>29922</v>
      </c>
      <c r="F32269" s="2"/>
      <c r="G32269" s="2"/>
      <c r="H32269" s="2"/>
    </row>
    <row r="32270" spans="1:8" x14ac:dyDescent="0.25">
      <c r="A32270" s="1"/>
      <c r="B32270" s="1" t="s">
        <v>8342</v>
      </c>
      <c r="C32270" s="1" t="s">
        <v>8343</v>
      </c>
      <c r="D32270" s="1" t="str">
        <f>HYPERLINK("https://rhld.insurance.arkansas.gov/NPILookup?Npi=1366676751","1366676751")</f>
        <v>1366676751</v>
      </c>
      <c r="E32270" s="1" t="s">
        <v>1009</v>
      </c>
      <c r="F32270" s="2"/>
      <c r="G32270" s="2"/>
      <c r="H32270" s="2"/>
    </row>
    <row r="32271" spans="1:8" x14ac:dyDescent="0.25">
      <c r="A32271" s="1"/>
      <c r="B32271" s="1" t="s">
        <v>8342</v>
      </c>
      <c r="C32271" s="1" t="s">
        <v>8343</v>
      </c>
      <c r="D32271" s="1" t="str">
        <f>HYPERLINK("https://rhld.insurance.arkansas.gov/NPILookup?Npi=1366974008","1366974008")</f>
        <v>1366974008</v>
      </c>
      <c r="E32271" s="1" t="s">
        <v>7231</v>
      </c>
      <c r="F32271" s="2"/>
      <c r="G32271" s="2"/>
      <c r="H32271" s="2"/>
    </row>
    <row r="32272" spans="1:8" x14ac:dyDescent="0.25">
      <c r="A32272" s="1"/>
      <c r="B32272" s="1" t="s">
        <v>8342</v>
      </c>
      <c r="C32272" s="1" t="s">
        <v>8343</v>
      </c>
      <c r="D32272" s="1" t="str">
        <f>HYPERLINK("https://rhld.insurance.arkansas.gov/NPILookup?Npi=1366998676","1366998676")</f>
        <v>1366998676</v>
      </c>
      <c r="E32272" s="1" t="s">
        <v>10867</v>
      </c>
      <c r="F32272" s="2"/>
      <c r="G32272" s="2"/>
      <c r="H32272" s="2"/>
    </row>
    <row r="32273" spans="1:8" x14ac:dyDescent="0.25">
      <c r="A32273" s="1"/>
      <c r="B32273" s="1" t="s">
        <v>8342</v>
      </c>
      <c r="C32273" s="1" t="s">
        <v>8343</v>
      </c>
      <c r="D32273" s="1" t="str">
        <f>HYPERLINK("https://rhld.insurance.arkansas.gov/NPILookup?Npi=1376170357","1376170357")</f>
        <v>1376170357</v>
      </c>
      <c r="E32273" s="1" t="s">
        <v>29923</v>
      </c>
      <c r="F32273" s="2"/>
      <c r="G32273" s="2"/>
      <c r="H32273" s="2"/>
    </row>
    <row r="32274" spans="1:8" x14ac:dyDescent="0.25">
      <c r="A32274" s="1"/>
      <c r="B32274" s="1" t="s">
        <v>8342</v>
      </c>
      <c r="C32274" s="1" t="s">
        <v>8343</v>
      </c>
      <c r="D32274" s="1" t="str">
        <f>HYPERLINK("https://rhld.insurance.arkansas.gov/NPILookup?Npi=1376518589","1376518589")</f>
        <v>1376518589</v>
      </c>
      <c r="E32274" s="1" t="s">
        <v>29924</v>
      </c>
      <c r="F32274" s="2"/>
      <c r="G32274" s="2"/>
      <c r="H32274" s="2"/>
    </row>
    <row r="32275" spans="1:8" x14ac:dyDescent="0.25">
      <c r="A32275" s="1"/>
      <c r="B32275" s="1" t="s">
        <v>8342</v>
      </c>
      <c r="C32275" s="1" t="s">
        <v>8343</v>
      </c>
      <c r="D32275" s="1" t="str">
        <f>HYPERLINK("https://rhld.insurance.arkansas.gov/NPILookup?Npi=1376540765","1376540765")</f>
        <v>1376540765</v>
      </c>
      <c r="E32275" s="1" t="s">
        <v>29925</v>
      </c>
      <c r="F32275" s="2"/>
      <c r="G32275" s="2"/>
      <c r="H32275" s="2"/>
    </row>
    <row r="32276" spans="1:8" x14ac:dyDescent="0.25">
      <c r="A32276" s="1"/>
      <c r="B32276" s="1" t="s">
        <v>8342</v>
      </c>
      <c r="C32276" s="1" t="s">
        <v>8343</v>
      </c>
      <c r="D32276" s="1" t="str">
        <f>HYPERLINK("https://rhld.insurance.arkansas.gov/NPILookup?Npi=1376568139","1376568139")</f>
        <v>1376568139</v>
      </c>
      <c r="E32276" s="1" t="s">
        <v>22008</v>
      </c>
      <c r="F32276" s="2"/>
      <c r="G32276" s="2"/>
      <c r="H32276" s="2"/>
    </row>
    <row r="32277" spans="1:8" x14ac:dyDescent="0.25">
      <c r="A32277" s="1"/>
      <c r="B32277" s="1" t="s">
        <v>8342</v>
      </c>
      <c r="C32277" s="1" t="s">
        <v>8343</v>
      </c>
      <c r="D32277" s="1" t="str">
        <f>HYPERLINK("https://rhld.insurance.arkansas.gov/NPILookup?Npi=1376633594","1376633594")</f>
        <v>1376633594</v>
      </c>
      <c r="E32277" s="1" t="s">
        <v>22010</v>
      </c>
      <c r="F32277" s="2"/>
      <c r="G32277" s="2"/>
      <c r="H32277" s="2"/>
    </row>
    <row r="32278" spans="1:8" x14ac:dyDescent="0.25">
      <c r="A32278" s="1"/>
      <c r="B32278" s="1" t="s">
        <v>8342</v>
      </c>
      <c r="C32278" s="1" t="s">
        <v>8343</v>
      </c>
      <c r="D32278" s="1" t="str">
        <f>HYPERLINK("https://rhld.insurance.arkansas.gov/NPILookup?Npi=1376650481","1376650481")</f>
        <v>1376650481</v>
      </c>
      <c r="E32278" s="1" t="s">
        <v>3268</v>
      </c>
      <c r="F32278" s="2"/>
      <c r="G32278" s="2"/>
      <c r="H32278" s="2"/>
    </row>
    <row r="32279" spans="1:8" x14ac:dyDescent="0.25">
      <c r="A32279" s="1"/>
      <c r="B32279" s="1" t="s">
        <v>8342</v>
      </c>
      <c r="C32279" s="1" t="s">
        <v>8343</v>
      </c>
      <c r="D32279" s="1" t="str">
        <f>HYPERLINK("https://rhld.insurance.arkansas.gov/NPILookup?Npi=1376664342","1376664342")</f>
        <v>1376664342</v>
      </c>
      <c r="E32279" s="1" t="s">
        <v>3270</v>
      </c>
      <c r="F32279" s="2"/>
      <c r="G32279" s="2"/>
      <c r="H32279" s="2"/>
    </row>
    <row r="32280" spans="1:8" x14ac:dyDescent="0.25">
      <c r="A32280" s="1"/>
      <c r="B32280" s="1" t="s">
        <v>8342</v>
      </c>
      <c r="C32280" s="1" t="s">
        <v>8343</v>
      </c>
      <c r="D32280" s="1" t="str">
        <f>HYPERLINK("https://rhld.insurance.arkansas.gov/NPILookup?Npi=1376749333","1376749333")</f>
        <v>1376749333</v>
      </c>
      <c r="E32280" s="1" t="s">
        <v>19175</v>
      </c>
      <c r="F32280" s="2"/>
      <c r="G32280" s="2"/>
      <c r="H32280" s="2"/>
    </row>
    <row r="32281" spans="1:8" x14ac:dyDescent="0.25">
      <c r="A32281" s="1"/>
      <c r="B32281" s="1" t="s">
        <v>8342</v>
      </c>
      <c r="C32281" s="1" t="s">
        <v>8343</v>
      </c>
      <c r="D32281" s="1" t="str">
        <f>HYPERLINK("https://rhld.insurance.arkansas.gov/NPILookup?Npi=1376792473","1376792473")</f>
        <v>1376792473</v>
      </c>
      <c r="E32281" s="1" t="s">
        <v>8360</v>
      </c>
      <c r="F32281" s="2"/>
      <c r="G32281" s="2"/>
      <c r="H32281" s="2"/>
    </row>
    <row r="32282" spans="1:8" x14ac:dyDescent="0.25">
      <c r="A32282" s="1"/>
      <c r="B32282" s="1" t="s">
        <v>8342</v>
      </c>
      <c r="C32282" s="1" t="s">
        <v>8343</v>
      </c>
      <c r="D32282" s="1" t="str">
        <f>HYPERLINK("https://rhld.insurance.arkansas.gov/NPILookup?Npi=1376802504","1376802504")</f>
        <v>1376802504</v>
      </c>
      <c r="E32282" s="1" t="s">
        <v>29926</v>
      </c>
      <c r="F32282" s="2"/>
      <c r="G32282" s="2"/>
      <c r="H32282" s="2"/>
    </row>
    <row r="32283" spans="1:8" x14ac:dyDescent="0.25">
      <c r="A32283" s="1"/>
      <c r="B32283" s="1" t="s">
        <v>8342</v>
      </c>
      <c r="C32283" s="1" t="s">
        <v>8343</v>
      </c>
      <c r="D32283" s="1" t="str">
        <f>HYPERLINK("https://rhld.insurance.arkansas.gov/NPILookup?Npi=1386613867","1386613867")</f>
        <v>1386613867</v>
      </c>
      <c r="E32283" s="1" t="s">
        <v>13975</v>
      </c>
      <c r="F32283" s="2"/>
      <c r="G32283" s="2"/>
      <c r="H32283" s="2"/>
    </row>
    <row r="32284" spans="1:8" x14ac:dyDescent="0.25">
      <c r="A32284" s="1"/>
      <c r="B32284" s="1" t="s">
        <v>8342</v>
      </c>
      <c r="C32284" s="1" t="s">
        <v>8343</v>
      </c>
      <c r="D32284" s="1" t="str">
        <f>HYPERLINK("https://rhld.insurance.arkansas.gov/NPILookup?Npi=1386819373","1386819373")</f>
        <v>1386819373</v>
      </c>
      <c r="E32284" s="1" t="s">
        <v>29927</v>
      </c>
      <c r="F32284" s="2"/>
      <c r="G32284" s="2"/>
      <c r="H32284" s="2"/>
    </row>
    <row r="32285" spans="1:8" x14ac:dyDescent="0.25">
      <c r="A32285" s="1"/>
      <c r="B32285" s="1" t="s">
        <v>8342</v>
      </c>
      <c r="C32285" s="1" t="s">
        <v>8343</v>
      </c>
      <c r="D32285" s="1" t="str">
        <f>HYPERLINK("https://rhld.insurance.arkansas.gov/NPILookup?Npi=1386910172","1386910172")</f>
        <v>1386910172</v>
      </c>
      <c r="E32285" s="1" t="s">
        <v>8361</v>
      </c>
      <c r="F32285" s="2"/>
      <c r="G32285" s="2"/>
      <c r="H32285" s="2"/>
    </row>
    <row r="32286" spans="1:8" x14ac:dyDescent="0.25">
      <c r="A32286" s="1"/>
      <c r="B32286" s="1" t="s">
        <v>8342</v>
      </c>
      <c r="C32286" s="1" t="s">
        <v>8343</v>
      </c>
      <c r="D32286" s="1" t="str">
        <f>HYPERLINK("https://rhld.insurance.arkansas.gov/NPILookup?Npi=1396139366","1396139366")</f>
        <v>1396139366</v>
      </c>
      <c r="E32286" s="1" t="s">
        <v>29928</v>
      </c>
      <c r="F32286" s="2"/>
      <c r="G32286" s="2"/>
      <c r="H32286" s="2"/>
    </row>
    <row r="32287" spans="1:8" x14ac:dyDescent="0.25">
      <c r="A32287" s="1"/>
      <c r="B32287" s="1" t="s">
        <v>8342</v>
      </c>
      <c r="C32287" s="1" t="s">
        <v>8343</v>
      </c>
      <c r="D32287" s="1" t="str">
        <f>HYPERLINK("https://rhld.insurance.arkansas.gov/NPILookup?Npi=1396751954","1396751954")</f>
        <v>1396751954</v>
      </c>
      <c r="E32287" s="1" t="s">
        <v>13976</v>
      </c>
      <c r="F32287" s="2"/>
      <c r="G32287" s="2"/>
      <c r="H32287" s="2"/>
    </row>
    <row r="32288" spans="1:8" x14ac:dyDescent="0.25">
      <c r="A32288" s="1"/>
      <c r="B32288" s="1" t="s">
        <v>8342</v>
      </c>
      <c r="C32288" s="1" t="s">
        <v>8343</v>
      </c>
      <c r="D32288" s="1" t="str">
        <f>HYPERLINK("https://rhld.insurance.arkansas.gov/NPILookup?Npi=1407274277","1407274277")</f>
        <v>1407274277</v>
      </c>
      <c r="E32288" s="1" t="s">
        <v>32488</v>
      </c>
      <c r="F32288" s="2"/>
      <c r="G32288" s="2"/>
      <c r="H32288" s="2"/>
    </row>
    <row r="32289" spans="1:8" x14ac:dyDescent="0.25">
      <c r="A32289" s="1"/>
      <c r="B32289" s="1" t="s">
        <v>8342</v>
      </c>
      <c r="C32289" s="1" t="s">
        <v>8343</v>
      </c>
      <c r="D32289" s="1" t="str">
        <f>HYPERLINK("https://rhld.insurance.arkansas.gov/NPILookup?Npi=1407299944","1407299944")</f>
        <v>1407299944</v>
      </c>
      <c r="E32289" s="1" t="s">
        <v>8362</v>
      </c>
      <c r="F32289" s="2"/>
      <c r="G32289" s="2"/>
      <c r="H32289" s="2"/>
    </row>
    <row r="32290" spans="1:8" x14ac:dyDescent="0.25">
      <c r="A32290" s="1"/>
      <c r="B32290" s="1" t="s">
        <v>8342</v>
      </c>
      <c r="C32290" s="1" t="s">
        <v>8343</v>
      </c>
      <c r="D32290" s="1" t="str">
        <f>HYPERLINK("https://rhld.insurance.arkansas.gov/NPILookup?Npi=1407881774","1407881774")</f>
        <v>1407881774</v>
      </c>
      <c r="E32290" s="1" t="s">
        <v>13977</v>
      </c>
      <c r="F32290" s="2"/>
      <c r="G32290" s="2"/>
      <c r="H32290" s="2"/>
    </row>
    <row r="32291" spans="1:8" x14ac:dyDescent="0.25">
      <c r="A32291" s="1"/>
      <c r="B32291" s="1" t="s">
        <v>8342</v>
      </c>
      <c r="C32291" s="1" t="s">
        <v>8343</v>
      </c>
      <c r="D32291" s="1" t="str">
        <f>HYPERLINK("https://rhld.insurance.arkansas.gov/NPILookup?Npi=1407914039","1407914039")</f>
        <v>1407914039</v>
      </c>
      <c r="E32291" s="1" t="s">
        <v>29929</v>
      </c>
      <c r="F32291" s="2"/>
      <c r="G32291" s="2"/>
      <c r="H32291" s="2"/>
    </row>
    <row r="32292" spans="1:8" x14ac:dyDescent="0.25">
      <c r="A32292" s="1"/>
      <c r="B32292" s="1" t="s">
        <v>8342</v>
      </c>
      <c r="C32292" s="1" t="s">
        <v>8343</v>
      </c>
      <c r="D32292" s="1" t="str">
        <f>HYPERLINK("https://rhld.insurance.arkansas.gov/NPILookup?Npi=1417082710","1417082710")</f>
        <v>1417082710</v>
      </c>
      <c r="E32292" s="1" t="s">
        <v>13978</v>
      </c>
      <c r="F32292" s="2"/>
      <c r="G32292" s="2"/>
      <c r="H32292" s="2"/>
    </row>
    <row r="32293" spans="1:8" x14ac:dyDescent="0.25">
      <c r="A32293" s="1"/>
      <c r="B32293" s="1" t="s">
        <v>8342</v>
      </c>
      <c r="C32293" s="1" t="s">
        <v>8343</v>
      </c>
      <c r="D32293" s="1" t="str">
        <f>HYPERLINK("https://rhld.insurance.arkansas.gov/NPILookup?Npi=1417167842","1417167842")</f>
        <v>1417167842</v>
      </c>
      <c r="E32293" s="1" t="s">
        <v>22125</v>
      </c>
      <c r="F32293" s="2"/>
      <c r="G32293" s="2"/>
      <c r="H32293" s="2"/>
    </row>
    <row r="32294" spans="1:8" x14ac:dyDescent="0.25">
      <c r="A32294" s="1"/>
      <c r="B32294" s="1" t="s">
        <v>8342</v>
      </c>
      <c r="C32294" s="1" t="s">
        <v>8343</v>
      </c>
      <c r="D32294" s="1" t="str">
        <f>HYPERLINK("https://rhld.insurance.arkansas.gov/NPILookup?Npi=1417311770","1417311770")</f>
        <v>1417311770</v>
      </c>
      <c r="E32294" s="1" t="s">
        <v>8363</v>
      </c>
      <c r="F32294" s="2"/>
      <c r="G32294" s="2"/>
      <c r="H32294" s="2"/>
    </row>
    <row r="32295" spans="1:8" x14ac:dyDescent="0.25">
      <c r="A32295" s="1"/>
      <c r="B32295" s="1" t="s">
        <v>8342</v>
      </c>
      <c r="C32295" s="1" t="s">
        <v>8343</v>
      </c>
      <c r="D32295" s="1" t="str">
        <f>HYPERLINK("https://rhld.insurance.arkansas.gov/NPILookup?Npi=1417390915","1417390915")</f>
        <v>1417390915</v>
      </c>
      <c r="E32295" s="1" t="s">
        <v>29930</v>
      </c>
      <c r="F32295" s="2"/>
      <c r="G32295" s="2"/>
      <c r="H32295" s="2"/>
    </row>
    <row r="32296" spans="1:8" x14ac:dyDescent="0.25">
      <c r="A32296" s="1"/>
      <c r="B32296" s="1" t="s">
        <v>8342</v>
      </c>
      <c r="C32296" s="1" t="s">
        <v>8343</v>
      </c>
      <c r="D32296" s="1" t="str">
        <f>HYPERLINK("https://rhld.insurance.arkansas.gov/NPILookup?Npi=1417902123","1417902123")</f>
        <v>1417902123</v>
      </c>
      <c r="E32296" s="1" t="s">
        <v>28421</v>
      </c>
      <c r="F32296" s="2"/>
      <c r="G32296" s="2"/>
      <c r="H32296" s="2"/>
    </row>
    <row r="32297" spans="1:8" x14ac:dyDescent="0.25">
      <c r="A32297" s="1"/>
      <c r="B32297" s="1" t="s">
        <v>8342</v>
      </c>
      <c r="C32297" s="1" t="s">
        <v>8343</v>
      </c>
      <c r="D32297" s="1" t="str">
        <f>HYPERLINK("https://rhld.insurance.arkansas.gov/NPILookup?Npi=1417922261","1417922261")</f>
        <v>1417922261</v>
      </c>
      <c r="E32297" s="1" t="s">
        <v>29931</v>
      </c>
      <c r="F32297" s="2"/>
      <c r="G32297" s="2"/>
      <c r="H32297" s="2"/>
    </row>
    <row r="32298" spans="1:8" x14ac:dyDescent="0.25">
      <c r="A32298" s="1"/>
      <c r="B32298" s="1" t="s">
        <v>8342</v>
      </c>
      <c r="C32298" s="1" t="s">
        <v>8343</v>
      </c>
      <c r="D32298" s="1" t="str">
        <f>HYPERLINK("https://rhld.insurance.arkansas.gov/NPILookup?Npi=1417922709","1417922709")</f>
        <v>1417922709</v>
      </c>
      <c r="E32298" s="1" t="s">
        <v>1095</v>
      </c>
      <c r="F32298" s="2"/>
      <c r="G32298" s="2"/>
      <c r="H32298" s="2"/>
    </row>
    <row r="32299" spans="1:8" x14ac:dyDescent="0.25">
      <c r="A32299" s="1"/>
      <c r="B32299" s="1" t="s">
        <v>8342</v>
      </c>
      <c r="C32299" s="1" t="s">
        <v>8343</v>
      </c>
      <c r="D32299" s="1" t="str">
        <f>HYPERLINK("https://rhld.insurance.arkansas.gov/NPILookup?Npi=1427013846","1427013846")</f>
        <v>1427013846</v>
      </c>
      <c r="E32299" s="1" t="s">
        <v>29932</v>
      </c>
      <c r="F32299" s="2"/>
      <c r="G32299" s="2"/>
      <c r="H32299" s="2"/>
    </row>
    <row r="32300" spans="1:8" x14ac:dyDescent="0.25">
      <c r="A32300" s="1"/>
      <c r="B32300" s="1" t="s">
        <v>8342</v>
      </c>
      <c r="C32300" s="1" t="s">
        <v>8343</v>
      </c>
      <c r="D32300" s="1" t="str">
        <f>HYPERLINK("https://rhld.insurance.arkansas.gov/NPILookup?Npi=1427019371","1427019371")</f>
        <v>1427019371</v>
      </c>
      <c r="E32300" s="1" t="s">
        <v>18391</v>
      </c>
      <c r="F32300" s="2"/>
      <c r="G32300" s="2"/>
      <c r="H32300" s="2"/>
    </row>
    <row r="32301" spans="1:8" x14ac:dyDescent="0.25">
      <c r="A32301" s="1"/>
      <c r="B32301" s="1" t="s">
        <v>8342</v>
      </c>
      <c r="C32301" s="1" t="s">
        <v>8343</v>
      </c>
      <c r="D32301" s="1" t="str">
        <f>HYPERLINK("https://rhld.insurance.arkansas.gov/NPILookup?Npi=1427032754","1427032754")</f>
        <v>1427032754</v>
      </c>
      <c r="E32301" s="1" t="s">
        <v>13979</v>
      </c>
      <c r="F32301" s="2"/>
      <c r="G32301" s="2"/>
      <c r="H32301" s="2"/>
    </row>
    <row r="32302" spans="1:8" x14ac:dyDescent="0.25">
      <c r="A32302" s="1"/>
      <c r="B32302" s="1" t="s">
        <v>8342</v>
      </c>
      <c r="C32302" s="1" t="s">
        <v>8343</v>
      </c>
      <c r="D32302" s="1" t="str">
        <f>HYPERLINK("https://rhld.insurance.arkansas.gov/NPILookup?Npi=1427051663","1427051663")</f>
        <v>1427051663</v>
      </c>
      <c r="E32302" s="1" t="s">
        <v>29933</v>
      </c>
      <c r="F32302" s="2"/>
      <c r="G32302" s="2"/>
      <c r="H32302" s="2"/>
    </row>
    <row r="32303" spans="1:8" x14ac:dyDescent="0.25">
      <c r="A32303" s="1"/>
      <c r="B32303" s="1" t="s">
        <v>8342</v>
      </c>
      <c r="C32303" s="1" t="s">
        <v>8343</v>
      </c>
      <c r="D32303" s="1" t="str">
        <f>HYPERLINK("https://rhld.insurance.arkansas.gov/NPILookup?Npi=1427061175","1427061175")</f>
        <v>1427061175</v>
      </c>
      <c r="E32303" s="1" t="s">
        <v>19182</v>
      </c>
      <c r="F32303" s="2"/>
      <c r="G32303" s="2"/>
      <c r="H32303" s="2"/>
    </row>
    <row r="32304" spans="1:8" x14ac:dyDescent="0.25">
      <c r="A32304" s="1"/>
      <c r="B32304" s="1" t="s">
        <v>8342</v>
      </c>
      <c r="C32304" s="1" t="s">
        <v>8343</v>
      </c>
      <c r="D32304" s="1" t="str">
        <f>HYPERLINK("https://rhld.insurance.arkansas.gov/NPILookup?Npi=1427276823","1427276823")</f>
        <v>1427276823</v>
      </c>
      <c r="E32304" s="1" t="s">
        <v>10871</v>
      </c>
      <c r="F32304" s="2"/>
      <c r="G32304" s="2"/>
      <c r="H32304" s="2"/>
    </row>
    <row r="32305" spans="1:8" x14ac:dyDescent="0.25">
      <c r="A32305" s="1"/>
      <c r="B32305" s="1" t="s">
        <v>8342</v>
      </c>
      <c r="C32305" s="1" t="s">
        <v>8343</v>
      </c>
      <c r="D32305" s="1" t="str">
        <f>HYPERLINK("https://rhld.insurance.arkansas.gov/NPILookup?Npi=1427300532","1427300532")</f>
        <v>1427300532</v>
      </c>
      <c r="E32305" s="1" t="s">
        <v>11778</v>
      </c>
      <c r="F32305" s="2"/>
      <c r="G32305" s="2"/>
      <c r="H32305" s="2"/>
    </row>
    <row r="32306" spans="1:8" x14ac:dyDescent="0.25">
      <c r="A32306" s="1"/>
      <c r="B32306" s="1" t="s">
        <v>8342</v>
      </c>
      <c r="C32306" s="1" t="s">
        <v>8343</v>
      </c>
      <c r="D32306" s="1" t="str">
        <f>HYPERLINK("https://rhld.insurance.arkansas.gov/NPILookup?Npi=1427535202","1427535202")</f>
        <v>1427535202</v>
      </c>
      <c r="E32306" s="1" t="s">
        <v>8364</v>
      </c>
      <c r="F32306" s="2"/>
      <c r="G32306" s="2"/>
      <c r="H32306" s="2"/>
    </row>
    <row r="32307" spans="1:8" x14ac:dyDescent="0.25">
      <c r="A32307" s="1"/>
      <c r="B32307" s="1" t="s">
        <v>8342</v>
      </c>
      <c r="C32307" s="1" t="s">
        <v>8343</v>
      </c>
      <c r="D32307" s="1" t="str">
        <f>HYPERLINK("https://rhld.insurance.arkansas.gov/NPILookup?Npi=1427577089","1427577089")</f>
        <v>1427577089</v>
      </c>
      <c r="E32307" s="1" t="s">
        <v>2483</v>
      </c>
      <c r="F32307" s="2"/>
      <c r="G32307" s="2"/>
      <c r="H32307" s="2"/>
    </row>
    <row r="32308" spans="1:8" x14ac:dyDescent="0.25">
      <c r="A32308" s="1"/>
      <c r="B32308" s="1" t="s">
        <v>8342</v>
      </c>
      <c r="C32308" s="1" t="s">
        <v>8343</v>
      </c>
      <c r="D32308" s="1" t="str">
        <f>HYPERLINK("https://rhld.insurance.arkansas.gov/NPILookup?Npi=1437182649","1437182649")</f>
        <v>1437182649</v>
      </c>
      <c r="E32308" s="1" t="s">
        <v>29934</v>
      </c>
      <c r="F32308" s="2"/>
      <c r="G32308" s="2"/>
      <c r="H32308" s="2"/>
    </row>
    <row r="32309" spans="1:8" x14ac:dyDescent="0.25">
      <c r="A32309" s="1"/>
      <c r="B32309" s="1" t="s">
        <v>8342</v>
      </c>
      <c r="C32309" s="1" t="s">
        <v>8343</v>
      </c>
      <c r="D32309" s="1" t="str">
        <f>HYPERLINK("https://rhld.insurance.arkansas.gov/NPILookup?Npi=1437213113","1437213113")</f>
        <v>1437213113</v>
      </c>
      <c r="E32309" s="1" t="s">
        <v>22190</v>
      </c>
      <c r="F32309" s="2"/>
      <c r="G32309" s="2"/>
      <c r="H32309" s="2"/>
    </row>
    <row r="32310" spans="1:8" x14ac:dyDescent="0.25">
      <c r="A32310" s="1"/>
      <c r="B32310" s="1" t="s">
        <v>8342</v>
      </c>
      <c r="C32310" s="1" t="s">
        <v>8343</v>
      </c>
      <c r="D32310" s="1" t="str">
        <f>HYPERLINK("https://rhld.insurance.arkansas.gov/NPILookup?Npi=1437416021","1437416021")</f>
        <v>1437416021</v>
      </c>
      <c r="E32310" s="1" t="s">
        <v>29935</v>
      </c>
      <c r="F32310" s="2"/>
      <c r="G32310" s="2"/>
      <c r="H32310" s="2"/>
    </row>
    <row r="32311" spans="1:8" x14ac:dyDescent="0.25">
      <c r="A32311" s="1"/>
      <c r="B32311" s="1" t="s">
        <v>8342</v>
      </c>
      <c r="C32311" s="1" t="s">
        <v>8343</v>
      </c>
      <c r="D32311" s="1" t="str">
        <f>HYPERLINK("https://rhld.insurance.arkansas.gov/NPILookup?Npi=1447340013","1447340013")</f>
        <v>1447340013</v>
      </c>
      <c r="E32311" s="1" t="s">
        <v>29936</v>
      </c>
      <c r="F32311" s="2"/>
      <c r="G32311" s="2"/>
      <c r="H32311" s="2"/>
    </row>
    <row r="32312" spans="1:8" x14ac:dyDescent="0.25">
      <c r="A32312" s="1"/>
      <c r="B32312" s="1" t="s">
        <v>8342</v>
      </c>
      <c r="C32312" s="1" t="s">
        <v>8343</v>
      </c>
      <c r="D32312" s="1" t="str">
        <f>HYPERLINK("https://rhld.insurance.arkansas.gov/NPILookup?Npi=1447381686","1447381686")</f>
        <v>1447381686</v>
      </c>
      <c r="E32312" s="1" t="s">
        <v>1963</v>
      </c>
      <c r="F32312" s="2"/>
      <c r="G32312" s="2"/>
      <c r="H32312" s="2"/>
    </row>
    <row r="32313" spans="1:8" x14ac:dyDescent="0.25">
      <c r="A32313" s="1"/>
      <c r="B32313" s="1" t="s">
        <v>8342</v>
      </c>
      <c r="C32313" s="1" t="s">
        <v>8343</v>
      </c>
      <c r="D32313" s="1" t="str">
        <f>HYPERLINK("https://rhld.insurance.arkansas.gov/NPILookup?Npi=1447679030","1447679030")</f>
        <v>1447679030</v>
      </c>
      <c r="E32313" s="1" t="s">
        <v>11452</v>
      </c>
      <c r="F32313" s="2"/>
      <c r="G32313" s="2"/>
      <c r="H32313" s="2"/>
    </row>
    <row r="32314" spans="1:8" x14ac:dyDescent="0.25">
      <c r="A32314" s="1"/>
      <c r="B32314" s="1" t="s">
        <v>8342</v>
      </c>
      <c r="C32314" s="1" t="s">
        <v>8343</v>
      </c>
      <c r="D32314" s="1" t="str">
        <f>HYPERLINK("https://rhld.insurance.arkansas.gov/NPILookup?Npi=1457564767","1457564767")</f>
        <v>1457564767</v>
      </c>
      <c r="E32314" s="1" t="s">
        <v>29937</v>
      </c>
      <c r="F32314" s="2"/>
      <c r="G32314" s="2"/>
      <c r="H32314" s="2"/>
    </row>
    <row r="32315" spans="1:8" x14ac:dyDescent="0.25">
      <c r="A32315" s="1"/>
      <c r="B32315" s="1" t="s">
        <v>8342</v>
      </c>
      <c r="C32315" s="1" t="s">
        <v>8343</v>
      </c>
      <c r="D32315" s="1" t="str">
        <f>HYPERLINK("https://rhld.insurance.arkansas.gov/NPILookup?Npi=1457568610","1457568610")</f>
        <v>1457568610</v>
      </c>
      <c r="E32315" s="1" t="s">
        <v>8365</v>
      </c>
      <c r="F32315" s="2"/>
      <c r="G32315" s="2"/>
      <c r="H32315" s="2"/>
    </row>
    <row r="32316" spans="1:8" x14ac:dyDescent="0.25">
      <c r="A32316" s="1"/>
      <c r="B32316" s="1" t="s">
        <v>8342</v>
      </c>
      <c r="C32316" s="1" t="s">
        <v>8343</v>
      </c>
      <c r="D32316" s="1" t="str">
        <f>HYPERLINK("https://rhld.insurance.arkansas.gov/NPILookup?Npi=1457679011","1457679011")</f>
        <v>1457679011</v>
      </c>
      <c r="E32316" s="1" t="s">
        <v>29938</v>
      </c>
      <c r="F32316" s="2"/>
      <c r="G32316" s="2"/>
      <c r="H32316" s="2"/>
    </row>
    <row r="32317" spans="1:8" x14ac:dyDescent="0.25">
      <c r="A32317" s="1"/>
      <c r="B32317" s="1" t="s">
        <v>8342</v>
      </c>
      <c r="C32317" s="1" t="s">
        <v>8343</v>
      </c>
      <c r="D32317" s="1" t="str">
        <f>HYPERLINK("https://rhld.insurance.arkansas.gov/NPILookup?Npi=1457840696","1457840696")</f>
        <v>1457840696</v>
      </c>
      <c r="E32317" s="1" t="s">
        <v>29939</v>
      </c>
      <c r="F32317" s="2"/>
      <c r="G32317" s="2"/>
      <c r="H32317" s="2"/>
    </row>
    <row r="32318" spans="1:8" x14ac:dyDescent="0.25">
      <c r="A32318" s="1"/>
      <c r="B32318" s="1" t="s">
        <v>8342</v>
      </c>
      <c r="C32318" s="1" t="s">
        <v>8343</v>
      </c>
      <c r="D32318" s="1" t="str">
        <f>HYPERLINK("https://rhld.insurance.arkansas.gov/NPILookup?Npi=1457886129","1457886129")</f>
        <v>1457886129</v>
      </c>
      <c r="E32318" s="1" t="s">
        <v>29940</v>
      </c>
      <c r="F32318" s="2"/>
      <c r="G32318" s="2"/>
      <c r="H32318" s="2"/>
    </row>
    <row r="32319" spans="1:8" x14ac:dyDescent="0.25">
      <c r="A32319" s="1"/>
      <c r="B32319" s="1" t="s">
        <v>8342</v>
      </c>
      <c r="C32319" s="1" t="s">
        <v>8343</v>
      </c>
      <c r="D32319" s="1" t="str">
        <f>HYPERLINK("https://rhld.insurance.arkansas.gov/NPILookup?Npi=1467408880","1467408880")</f>
        <v>1467408880</v>
      </c>
      <c r="E32319" s="1" t="s">
        <v>29941</v>
      </c>
      <c r="F32319" s="2"/>
      <c r="G32319" s="2"/>
      <c r="H32319" s="2"/>
    </row>
    <row r="32320" spans="1:8" x14ac:dyDescent="0.25">
      <c r="A32320" s="1"/>
      <c r="B32320" s="1" t="s">
        <v>8342</v>
      </c>
      <c r="C32320" s="1" t="s">
        <v>8343</v>
      </c>
      <c r="D32320" s="1" t="str">
        <f>HYPERLINK("https://rhld.insurance.arkansas.gov/NPILookup?Npi=1467489450","1467489450")</f>
        <v>1467489450</v>
      </c>
      <c r="E32320" s="1" t="s">
        <v>1515</v>
      </c>
      <c r="F32320" s="2"/>
      <c r="G32320" s="2"/>
      <c r="H32320" s="2"/>
    </row>
    <row r="32321" spans="1:8" x14ac:dyDescent="0.25">
      <c r="A32321" s="1"/>
      <c r="B32321" s="1" t="s">
        <v>8342</v>
      </c>
      <c r="C32321" s="1" t="s">
        <v>8343</v>
      </c>
      <c r="D32321" s="1" t="str">
        <f>HYPERLINK("https://rhld.insurance.arkansas.gov/NPILookup?Npi=1467745299","1467745299")</f>
        <v>1467745299</v>
      </c>
      <c r="E32321" s="1" t="s">
        <v>29942</v>
      </c>
      <c r="F32321" s="2"/>
      <c r="G32321" s="2"/>
      <c r="H32321" s="2"/>
    </row>
    <row r="32322" spans="1:8" x14ac:dyDescent="0.25">
      <c r="A32322" s="1"/>
      <c r="B32322" s="1" t="s">
        <v>8342</v>
      </c>
      <c r="C32322" s="1" t="s">
        <v>8343</v>
      </c>
      <c r="D32322" s="1" t="str">
        <f>HYPERLINK("https://rhld.insurance.arkansas.gov/NPILookup?Npi=1467826552","1467826552")</f>
        <v>1467826552</v>
      </c>
      <c r="E32322" s="1" t="s">
        <v>2189</v>
      </c>
      <c r="F32322" s="2"/>
      <c r="G32322" s="2"/>
      <c r="H32322" s="2"/>
    </row>
    <row r="32323" spans="1:8" x14ac:dyDescent="0.25">
      <c r="A32323" s="1"/>
      <c r="B32323" s="1" t="s">
        <v>8342</v>
      </c>
      <c r="C32323" s="1" t="s">
        <v>8343</v>
      </c>
      <c r="D32323" s="1" t="str">
        <f>HYPERLINK("https://rhld.insurance.arkansas.gov/NPILookup?Npi=1467986422","1467986422")</f>
        <v>1467986422</v>
      </c>
      <c r="E32323" s="1" t="s">
        <v>8366</v>
      </c>
      <c r="F32323" s="2"/>
      <c r="G32323" s="2"/>
      <c r="H32323" s="2"/>
    </row>
    <row r="32324" spans="1:8" x14ac:dyDescent="0.25">
      <c r="A32324" s="1"/>
      <c r="B32324" s="1" t="s">
        <v>8342</v>
      </c>
      <c r="C32324" s="1" t="s">
        <v>8343</v>
      </c>
      <c r="D32324" s="1" t="str">
        <f>HYPERLINK("https://rhld.insurance.arkansas.gov/NPILookup?Npi=1477585982","1477585982")</f>
        <v>1477585982</v>
      </c>
      <c r="E32324" s="1" t="s">
        <v>2190</v>
      </c>
      <c r="F32324" s="2"/>
      <c r="G32324" s="2"/>
      <c r="H32324" s="2"/>
    </row>
    <row r="32325" spans="1:8" x14ac:dyDescent="0.25">
      <c r="A32325" s="1"/>
      <c r="B32325" s="1" t="s">
        <v>8342</v>
      </c>
      <c r="C32325" s="1" t="s">
        <v>8343</v>
      </c>
      <c r="D32325" s="1" t="str">
        <f>HYPERLINK("https://rhld.insurance.arkansas.gov/NPILookup?Npi=1477649168","1477649168")</f>
        <v>1477649168</v>
      </c>
      <c r="E32325" s="1" t="s">
        <v>8367</v>
      </c>
      <c r="F32325" s="2"/>
      <c r="G32325" s="2"/>
      <c r="H32325" s="2"/>
    </row>
    <row r="32326" spans="1:8" x14ac:dyDescent="0.25">
      <c r="A32326" s="1"/>
      <c r="B32326" s="1" t="s">
        <v>8342</v>
      </c>
      <c r="C32326" s="1" t="s">
        <v>8343</v>
      </c>
      <c r="D32326" s="1" t="str">
        <f>HYPERLINK("https://rhld.insurance.arkansas.gov/NPILookup?Npi=1477758530","1477758530")</f>
        <v>1477758530</v>
      </c>
      <c r="E32326" s="1" t="s">
        <v>29943</v>
      </c>
      <c r="F32326" s="2"/>
      <c r="G32326" s="2"/>
      <c r="H32326" s="2"/>
    </row>
    <row r="32327" spans="1:8" x14ac:dyDescent="0.25">
      <c r="A32327" s="1"/>
      <c r="B32327" s="1" t="s">
        <v>8342</v>
      </c>
      <c r="C32327" s="1" t="s">
        <v>8343</v>
      </c>
      <c r="D32327" s="1" t="str">
        <f>HYPERLINK("https://rhld.insurance.arkansas.gov/NPILookup?Npi=1477787638","1477787638")</f>
        <v>1477787638</v>
      </c>
      <c r="E32327" s="1" t="s">
        <v>29705</v>
      </c>
      <c r="F32327" s="2"/>
      <c r="G32327" s="2"/>
      <c r="H32327" s="2"/>
    </row>
    <row r="32328" spans="1:8" x14ac:dyDescent="0.25">
      <c r="A32328" s="1"/>
      <c r="B32328" s="1" t="s">
        <v>8342</v>
      </c>
      <c r="C32328" s="1" t="s">
        <v>8343</v>
      </c>
      <c r="D32328" s="1" t="str">
        <f>HYPERLINK("https://rhld.insurance.arkansas.gov/NPILookup?Npi=1477871424","1477871424")</f>
        <v>1477871424</v>
      </c>
      <c r="E32328" s="1" t="s">
        <v>19192</v>
      </c>
      <c r="F32328" s="2"/>
      <c r="G32328" s="2"/>
      <c r="H32328" s="2"/>
    </row>
    <row r="32329" spans="1:8" x14ac:dyDescent="0.25">
      <c r="A32329" s="1"/>
      <c r="B32329" s="1" t="s">
        <v>8342</v>
      </c>
      <c r="C32329" s="1" t="s">
        <v>8343</v>
      </c>
      <c r="D32329" s="1" t="str">
        <f>HYPERLINK("https://rhld.insurance.arkansas.gov/NPILookup?Npi=1477907673","1477907673")</f>
        <v>1477907673</v>
      </c>
      <c r="E32329" s="1" t="s">
        <v>1598</v>
      </c>
      <c r="F32329" s="2"/>
      <c r="G32329" s="2"/>
      <c r="H32329" s="2"/>
    </row>
    <row r="32330" spans="1:8" x14ac:dyDescent="0.25">
      <c r="A32330" s="1"/>
      <c r="B32330" s="1" t="s">
        <v>8342</v>
      </c>
      <c r="C32330" s="1" t="s">
        <v>8343</v>
      </c>
      <c r="D32330" s="1" t="str">
        <f>HYPERLINK("https://rhld.insurance.arkansas.gov/NPILookup?Npi=1487185856","1487185856")</f>
        <v>1487185856</v>
      </c>
      <c r="E32330" s="1" t="s">
        <v>29944</v>
      </c>
      <c r="F32330" s="2"/>
      <c r="G32330" s="2"/>
      <c r="H32330" s="2"/>
    </row>
    <row r="32331" spans="1:8" x14ac:dyDescent="0.25">
      <c r="A32331" s="1"/>
      <c r="B32331" s="1" t="s">
        <v>8342</v>
      </c>
      <c r="C32331" s="1" t="s">
        <v>8343</v>
      </c>
      <c r="D32331" s="1" t="str">
        <f>HYPERLINK("https://rhld.insurance.arkansas.gov/NPILookup?Npi=1487632790","1487632790")</f>
        <v>1487632790</v>
      </c>
      <c r="E32331" s="1" t="s">
        <v>13981</v>
      </c>
      <c r="F32331" s="2"/>
      <c r="G32331" s="2"/>
      <c r="H32331" s="2"/>
    </row>
    <row r="32332" spans="1:8" x14ac:dyDescent="0.25">
      <c r="A32332" s="1"/>
      <c r="B32332" s="1" t="s">
        <v>8342</v>
      </c>
      <c r="C32332" s="1" t="s">
        <v>8343</v>
      </c>
      <c r="D32332" s="1" t="str">
        <f>HYPERLINK("https://rhld.insurance.arkansas.gov/NPILookup?Npi=1487708079","1487708079")</f>
        <v>1487708079</v>
      </c>
      <c r="E32332" s="1" t="s">
        <v>11837</v>
      </c>
      <c r="F32332" s="2"/>
      <c r="G32332" s="2"/>
      <c r="H32332" s="2"/>
    </row>
    <row r="32333" spans="1:8" x14ac:dyDescent="0.25">
      <c r="A32333" s="1"/>
      <c r="B32333" s="1" t="s">
        <v>8342</v>
      </c>
      <c r="C32333" s="1" t="s">
        <v>8343</v>
      </c>
      <c r="D32333" s="1" t="str">
        <f>HYPERLINK("https://rhld.insurance.arkansas.gov/NPILookup?Npi=1487775458","1487775458")</f>
        <v>1487775458</v>
      </c>
      <c r="E32333" s="1" t="s">
        <v>29945</v>
      </c>
      <c r="F32333" s="2"/>
      <c r="G32333" s="2"/>
      <c r="H32333" s="2"/>
    </row>
    <row r="32334" spans="1:8" x14ac:dyDescent="0.25">
      <c r="A32334" s="1"/>
      <c r="B32334" s="1" t="s">
        <v>8342</v>
      </c>
      <c r="C32334" s="1" t="s">
        <v>8343</v>
      </c>
      <c r="D32334" s="1" t="str">
        <f>HYPERLINK("https://rhld.insurance.arkansas.gov/NPILookup?Npi=1497101497","1497101497")</f>
        <v>1497101497</v>
      </c>
      <c r="E32334" s="1" t="s">
        <v>29946</v>
      </c>
      <c r="F32334" s="2"/>
      <c r="G32334" s="2"/>
      <c r="H32334" s="2"/>
    </row>
    <row r="32335" spans="1:8" x14ac:dyDescent="0.25">
      <c r="A32335" s="1"/>
      <c r="B32335" s="1" t="s">
        <v>8342</v>
      </c>
      <c r="C32335" s="1" t="s">
        <v>8343</v>
      </c>
      <c r="D32335" s="1" t="str">
        <f>HYPERLINK("https://rhld.insurance.arkansas.gov/NPILookup?Npi=1497103469","1497103469")</f>
        <v>1497103469</v>
      </c>
      <c r="E32335" s="1" t="s">
        <v>29947</v>
      </c>
      <c r="F32335" s="2"/>
      <c r="G32335" s="2"/>
      <c r="H32335" s="2"/>
    </row>
    <row r="32336" spans="1:8" x14ac:dyDescent="0.25">
      <c r="A32336" s="1"/>
      <c r="B32336" s="1" t="s">
        <v>8342</v>
      </c>
      <c r="C32336" s="1" t="s">
        <v>8343</v>
      </c>
      <c r="D32336" s="1" t="str">
        <f>HYPERLINK("https://rhld.insurance.arkansas.gov/NPILookup?Npi=1497332761","1497332761")</f>
        <v>1497332761</v>
      </c>
      <c r="E32336" s="1" t="s">
        <v>27362</v>
      </c>
      <c r="F32336" s="2"/>
      <c r="G32336" s="2"/>
      <c r="H32336" s="2"/>
    </row>
    <row r="32337" spans="1:8" x14ac:dyDescent="0.25">
      <c r="A32337" s="1"/>
      <c r="B32337" s="1" t="s">
        <v>8342</v>
      </c>
      <c r="C32337" s="1" t="s">
        <v>8343</v>
      </c>
      <c r="D32337" s="1" t="str">
        <f>HYPERLINK("https://rhld.insurance.arkansas.gov/NPILookup?Npi=1497701692","1497701692")</f>
        <v>1497701692</v>
      </c>
      <c r="E32337" s="1" t="s">
        <v>1874</v>
      </c>
      <c r="F32337" s="2"/>
      <c r="G32337" s="2"/>
      <c r="H32337" s="2"/>
    </row>
    <row r="32338" spans="1:8" x14ac:dyDescent="0.25">
      <c r="A32338" s="1"/>
      <c r="B32338" s="1" t="s">
        <v>8342</v>
      </c>
      <c r="C32338" s="1" t="s">
        <v>8343</v>
      </c>
      <c r="D32338" s="1" t="str">
        <f>HYPERLINK("https://rhld.insurance.arkansas.gov/NPILookup?Npi=1497781611","1497781611")</f>
        <v>1497781611</v>
      </c>
      <c r="E32338" s="1" t="s">
        <v>8368</v>
      </c>
      <c r="F32338" s="2"/>
      <c r="G32338" s="2"/>
      <c r="H32338" s="2"/>
    </row>
    <row r="32339" spans="1:8" x14ac:dyDescent="0.25">
      <c r="A32339" s="1"/>
      <c r="B32339" s="1" t="s">
        <v>8342</v>
      </c>
      <c r="C32339" s="1" t="s">
        <v>8343</v>
      </c>
      <c r="D32339" s="1" t="str">
        <f>HYPERLINK("https://rhld.insurance.arkansas.gov/NPILookup?Npi=1497909147","1497909147")</f>
        <v>1497909147</v>
      </c>
      <c r="E32339" s="1" t="s">
        <v>8369</v>
      </c>
      <c r="F32339" s="2"/>
      <c r="G32339" s="2"/>
      <c r="H32339" s="2"/>
    </row>
    <row r="32340" spans="1:8" x14ac:dyDescent="0.25">
      <c r="A32340" s="1"/>
      <c r="B32340" s="1" t="s">
        <v>8342</v>
      </c>
      <c r="C32340" s="1" t="s">
        <v>8343</v>
      </c>
      <c r="D32340" s="1" t="str">
        <f>HYPERLINK("https://rhld.insurance.arkansas.gov/NPILookup?Npi=1497966469","1497966469")</f>
        <v>1497966469</v>
      </c>
      <c r="E32340" s="1" t="s">
        <v>2192</v>
      </c>
      <c r="F32340" s="2"/>
      <c r="G32340" s="2"/>
      <c r="H32340" s="2"/>
    </row>
    <row r="32341" spans="1:8" x14ac:dyDescent="0.25">
      <c r="A32341" s="1"/>
      <c r="B32341" s="1" t="s">
        <v>8342</v>
      </c>
      <c r="C32341" s="1" t="s">
        <v>8343</v>
      </c>
      <c r="D32341" s="1" t="str">
        <f>HYPERLINK("https://rhld.insurance.arkansas.gov/NPILookup?Npi=1497978258","1497978258")</f>
        <v>1497978258</v>
      </c>
      <c r="E32341" s="1" t="s">
        <v>1517</v>
      </c>
      <c r="F32341" s="2"/>
      <c r="G32341" s="2"/>
      <c r="H32341" s="2"/>
    </row>
    <row r="32342" spans="1:8" x14ac:dyDescent="0.25">
      <c r="A32342" s="1"/>
      <c r="B32342" s="1" t="s">
        <v>8342</v>
      </c>
      <c r="C32342" s="1" t="s">
        <v>8343</v>
      </c>
      <c r="D32342" s="1" t="str">
        <f>HYPERLINK("https://rhld.insurance.arkansas.gov/NPILookup?Npi=1508093543","1508093543")</f>
        <v>1508093543</v>
      </c>
      <c r="E32342" s="1" t="s">
        <v>29948</v>
      </c>
      <c r="F32342" s="2"/>
      <c r="G32342" s="2"/>
      <c r="H32342" s="2"/>
    </row>
    <row r="32343" spans="1:8" x14ac:dyDescent="0.25">
      <c r="A32343" s="1"/>
      <c r="B32343" s="1" t="s">
        <v>8342</v>
      </c>
      <c r="C32343" s="1" t="s">
        <v>8343</v>
      </c>
      <c r="D32343" s="1" t="str">
        <f>HYPERLINK("https://rhld.insurance.arkansas.gov/NPILookup?Npi=1508897307","1508897307")</f>
        <v>1508897307</v>
      </c>
      <c r="E32343" s="1" t="s">
        <v>22430</v>
      </c>
      <c r="F32343" s="2"/>
      <c r="G32343" s="2"/>
      <c r="H32343" s="2"/>
    </row>
    <row r="32344" spans="1:8" x14ac:dyDescent="0.25">
      <c r="A32344" s="1"/>
      <c r="B32344" s="1" t="s">
        <v>8342</v>
      </c>
      <c r="C32344" s="1" t="s">
        <v>8343</v>
      </c>
      <c r="D32344" s="1" t="str">
        <f>HYPERLINK("https://rhld.insurance.arkansas.gov/NPILookup?Npi=1508931395","1508931395")</f>
        <v>1508931395</v>
      </c>
      <c r="E32344" s="1" t="s">
        <v>29949</v>
      </c>
      <c r="F32344" s="2"/>
      <c r="G32344" s="2"/>
      <c r="H32344" s="2"/>
    </row>
    <row r="32345" spans="1:8" x14ac:dyDescent="0.25">
      <c r="A32345" s="1"/>
      <c r="B32345" s="1" t="s">
        <v>8342</v>
      </c>
      <c r="C32345" s="1" t="s">
        <v>8343</v>
      </c>
      <c r="D32345" s="1" t="str">
        <f>HYPERLINK("https://rhld.insurance.arkansas.gov/NPILookup?Npi=1518031699","1518031699")</f>
        <v>1518031699</v>
      </c>
      <c r="E32345" s="1" t="s">
        <v>29950</v>
      </c>
      <c r="F32345" s="2"/>
      <c r="G32345" s="2"/>
      <c r="H32345" s="2"/>
    </row>
    <row r="32346" spans="1:8" x14ac:dyDescent="0.25">
      <c r="A32346" s="1"/>
      <c r="B32346" s="1" t="s">
        <v>8342</v>
      </c>
      <c r="C32346" s="1" t="s">
        <v>8343</v>
      </c>
      <c r="D32346" s="1" t="str">
        <f>HYPERLINK("https://rhld.insurance.arkansas.gov/NPILookup?Npi=1518909605","1518909605")</f>
        <v>1518909605</v>
      </c>
      <c r="E32346" s="1" t="s">
        <v>29951</v>
      </c>
      <c r="F32346" s="2"/>
      <c r="G32346" s="2"/>
      <c r="H32346" s="2"/>
    </row>
    <row r="32347" spans="1:8" x14ac:dyDescent="0.25">
      <c r="A32347" s="1"/>
      <c r="B32347" s="1" t="s">
        <v>8342</v>
      </c>
      <c r="C32347" s="1" t="s">
        <v>8343</v>
      </c>
      <c r="D32347" s="1" t="str">
        <f>HYPERLINK("https://rhld.insurance.arkansas.gov/NPILookup?Npi=1518924471","1518924471")</f>
        <v>1518924471</v>
      </c>
      <c r="E32347" s="1" t="s">
        <v>22463</v>
      </c>
      <c r="F32347" s="2"/>
      <c r="G32347" s="2"/>
      <c r="H32347" s="2"/>
    </row>
    <row r="32348" spans="1:8" x14ac:dyDescent="0.25">
      <c r="A32348" s="1"/>
      <c r="B32348" s="1" t="s">
        <v>8342</v>
      </c>
      <c r="C32348" s="1" t="s">
        <v>8343</v>
      </c>
      <c r="D32348" s="1" t="str">
        <f>HYPERLINK("https://rhld.insurance.arkansas.gov/NPILookup?Npi=1518979293","1518979293")</f>
        <v>1518979293</v>
      </c>
      <c r="E32348" s="1" t="s">
        <v>13982</v>
      </c>
      <c r="F32348" s="2"/>
      <c r="G32348" s="2"/>
      <c r="H32348" s="2"/>
    </row>
    <row r="32349" spans="1:8" x14ac:dyDescent="0.25">
      <c r="A32349" s="1"/>
      <c r="B32349" s="1" t="s">
        <v>8342</v>
      </c>
      <c r="C32349" s="1" t="s">
        <v>8343</v>
      </c>
      <c r="D32349" s="1" t="str">
        <f>HYPERLINK("https://rhld.insurance.arkansas.gov/NPILookup?Npi=1518989417","1518989417")</f>
        <v>1518989417</v>
      </c>
      <c r="E32349" s="1" t="s">
        <v>8370</v>
      </c>
      <c r="F32349" s="2"/>
      <c r="G32349" s="2"/>
      <c r="H32349" s="2"/>
    </row>
    <row r="32350" spans="1:8" x14ac:dyDescent="0.25">
      <c r="A32350" s="1"/>
      <c r="B32350" s="1" t="s">
        <v>8342</v>
      </c>
      <c r="C32350" s="1" t="s">
        <v>8343</v>
      </c>
      <c r="D32350" s="1" t="str">
        <f>HYPERLINK("https://rhld.insurance.arkansas.gov/NPILookup?Npi=1518995208","1518995208")</f>
        <v>1518995208</v>
      </c>
      <c r="E32350" s="1" t="s">
        <v>8371</v>
      </c>
      <c r="F32350" s="2"/>
      <c r="G32350" s="2"/>
      <c r="H32350" s="2"/>
    </row>
    <row r="32351" spans="1:8" x14ac:dyDescent="0.25">
      <c r="A32351" s="1"/>
      <c r="B32351" s="1" t="s">
        <v>8342</v>
      </c>
      <c r="C32351" s="1" t="s">
        <v>8343</v>
      </c>
      <c r="D32351" s="1" t="str">
        <f>HYPERLINK("https://rhld.insurance.arkansas.gov/NPILookup?Npi=1528051687","1528051687")</f>
        <v>1528051687</v>
      </c>
      <c r="E32351" s="1" t="s">
        <v>19198</v>
      </c>
      <c r="F32351" s="2"/>
      <c r="G32351" s="2"/>
      <c r="H32351" s="2"/>
    </row>
    <row r="32352" spans="1:8" x14ac:dyDescent="0.25">
      <c r="A32352" s="1"/>
      <c r="B32352" s="1" t="s">
        <v>8342</v>
      </c>
      <c r="C32352" s="1" t="s">
        <v>8343</v>
      </c>
      <c r="D32352" s="1" t="str">
        <f>HYPERLINK("https://rhld.insurance.arkansas.gov/NPILookup?Npi=1528168200","1528168200")</f>
        <v>1528168200</v>
      </c>
      <c r="E32352" s="1" t="s">
        <v>3301</v>
      </c>
      <c r="F32352" s="2"/>
      <c r="G32352" s="2"/>
      <c r="H32352" s="2"/>
    </row>
    <row r="32353" spans="1:8" x14ac:dyDescent="0.25">
      <c r="A32353" s="1"/>
      <c r="B32353" s="1" t="s">
        <v>8342</v>
      </c>
      <c r="C32353" s="1" t="s">
        <v>8343</v>
      </c>
      <c r="D32353" s="1" t="str">
        <f>HYPERLINK("https://rhld.insurance.arkansas.gov/NPILookup?Npi=1528324811","1528324811")</f>
        <v>1528324811</v>
      </c>
      <c r="E32353" s="1" t="s">
        <v>29952</v>
      </c>
      <c r="F32353" s="2"/>
      <c r="G32353" s="2"/>
      <c r="H32353" s="2"/>
    </row>
    <row r="32354" spans="1:8" x14ac:dyDescent="0.25">
      <c r="A32354" s="1"/>
      <c r="B32354" s="1" t="s">
        <v>8342</v>
      </c>
      <c r="C32354" s="1" t="s">
        <v>8343</v>
      </c>
      <c r="D32354" s="1" t="str">
        <f>HYPERLINK("https://rhld.insurance.arkansas.gov/NPILookup?Npi=1538206800","1538206800")</f>
        <v>1538206800</v>
      </c>
      <c r="E32354" s="1" t="s">
        <v>8372</v>
      </c>
      <c r="F32354" s="2"/>
      <c r="G32354" s="2"/>
      <c r="H32354" s="2"/>
    </row>
    <row r="32355" spans="1:8" x14ac:dyDescent="0.25">
      <c r="A32355" s="1"/>
      <c r="B32355" s="1" t="s">
        <v>8342</v>
      </c>
      <c r="C32355" s="1" t="s">
        <v>8343</v>
      </c>
      <c r="D32355" s="1" t="str">
        <f>HYPERLINK("https://rhld.insurance.arkansas.gov/NPILookup?Npi=1538621933","1538621933")</f>
        <v>1538621933</v>
      </c>
      <c r="E32355" s="1" t="s">
        <v>19202</v>
      </c>
      <c r="F32355" s="2"/>
      <c r="G32355" s="2"/>
      <c r="H32355" s="2"/>
    </row>
    <row r="32356" spans="1:8" x14ac:dyDescent="0.25">
      <c r="A32356" s="1"/>
      <c r="B32356" s="1" t="s">
        <v>8342</v>
      </c>
      <c r="C32356" s="1" t="s">
        <v>8343</v>
      </c>
      <c r="D32356" s="1" t="str">
        <f>HYPERLINK("https://rhld.insurance.arkansas.gov/NPILookup?Npi=1538691076","1538691076")</f>
        <v>1538691076</v>
      </c>
      <c r="E32356" s="1" t="s">
        <v>29953</v>
      </c>
      <c r="F32356" s="2"/>
      <c r="G32356" s="2"/>
      <c r="H32356" s="2"/>
    </row>
    <row r="32357" spans="1:8" x14ac:dyDescent="0.25">
      <c r="A32357" s="1"/>
      <c r="B32357" s="1" t="s">
        <v>8342</v>
      </c>
      <c r="C32357" s="1" t="s">
        <v>8343</v>
      </c>
      <c r="D32357" s="1" t="str">
        <f>HYPERLINK("https://rhld.insurance.arkansas.gov/NPILookup?Npi=1548311442","1548311442")</f>
        <v>1548311442</v>
      </c>
      <c r="E32357" s="1" t="s">
        <v>29954</v>
      </c>
      <c r="F32357" s="2"/>
      <c r="G32357" s="2"/>
      <c r="H32357" s="2"/>
    </row>
    <row r="32358" spans="1:8" x14ac:dyDescent="0.25">
      <c r="A32358" s="1"/>
      <c r="B32358" s="1" t="s">
        <v>8342</v>
      </c>
      <c r="C32358" s="1" t="s">
        <v>8343</v>
      </c>
      <c r="D32358" s="1" t="str">
        <f>HYPERLINK("https://rhld.insurance.arkansas.gov/NPILookup?Npi=1548350119","1548350119")</f>
        <v>1548350119</v>
      </c>
      <c r="E32358" s="1" t="s">
        <v>13983</v>
      </c>
      <c r="F32358" s="2"/>
      <c r="G32358" s="2"/>
      <c r="H32358" s="2"/>
    </row>
    <row r="32359" spans="1:8" x14ac:dyDescent="0.25">
      <c r="A32359" s="1"/>
      <c r="B32359" s="1" t="s">
        <v>8342</v>
      </c>
      <c r="C32359" s="1" t="s">
        <v>8343</v>
      </c>
      <c r="D32359" s="1" t="str">
        <f>HYPERLINK("https://rhld.insurance.arkansas.gov/NPILookup?Npi=1548353451","1548353451")</f>
        <v>1548353451</v>
      </c>
      <c r="E32359" s="1" t="s">
        <v>29955</v>
      </c>
      <c r="F32359" s="2"/>
      <c r="G32359" s="2"/>
      <c r="H32359" s="2"/>
    </row>
    <row r="32360" spans="1:8" x14ac:dyDescent="0.25">
      <c r="A32360" s="1"/>
      <c r="B32360" s="1" t="s">
        <v>8342</v>
      </c>
      <c r="C32360" s="1" t="s">
        <v>8343</v>
      </c>
      <c r="D32360" s="1" t="str">
        <f>HYPERLINK("https://rhld.insurance.arkansas.gov/NPILookup?Npi=1548381510","1548381510")</f>
        <v>1548381510</v>
      </c>
      <c r="E32360" s="1" t="s">
        <v>25185</v>
      </c>
      <c r="F32360" s="2"/>
      <c r="G32360" s="2"/>
      <c r="H32360" s="2"/>
    </row>
    <row r="32361" spans="1:8" x14ac:dyDescent="0.25">
      <c r="A32361" s="1"/>
      <c r="B32361" s="1" t="s">
        <v>8342</v>
      </c>
      <c r="C32361" s="1" t="s">
        <v>8343</v>
      </c>
      <c r="D32361" s="1" t="str">
        <f>HYPERLINK("https://rhld.insurance.arkansas.gov/NPILookup?Npi=1548472996","1548472996")</f>
        <v>1548472996</v>
      </c>
      <c r="E32361" s="1" t="s">
        <v>8373</v>
      </c>
      <c r="F32361" s="2"/>
      <c r="G32361" s="2"/>
      <c r="H32361" s="2"/>
    </row>
    <row r="32362" spans="1:8" x14ac:dyDescent="0.25">
      <c r="A32362" s="1"/>
      <c r="B32362" s="1" t="s">
        <v>8342</v>
      </c>
      <c r="C32362" s="1" t="s">
        <v>8343</v>
      </c>
      <c r="D32362" s="1" t="str">
        <f>HYPERLINK("https://rhld.insurance.arkansas.gov/NPILookup?Npi=1548525413","1548525413")</f>
        <v>1548525413</v>
      </c>
      <c r="E32362" s="1" t="s">
        <v>29956</v>
      </c>
      <c r="F32362" s="2"/>
      <c r="G32362" s="2"/>
      <c r="H32362" s="2"/>
    </row>
    <row r="32363" spans="1:8" x14ac:dyDescent="0.25">
      <c r="A32363" s="1"/>
      <c r="B32363" s="1" t="s">
        <v>8342</v>
      </c>
      <c r="C32363" s="1" t="s">
        <v>8343</v>
      </c>
      <c r="D32363" s="1" t="str">
        <f>HYPERLINK("https://rhld.insurance.arkansas.gov/NPILookup?Npi=1548603764","1548603764")</f>
        <v>1548603764</v>
      </c>
      <c r="E32363" s="1" t="s">
        <v>11886</v>
      </c>
      <c r="F32363" s="2"/>
      <c r="G32363" s="2"/>
      <c r="H32363" s="2"/>
    </row>
    <row r="32364" spans="1:8" x14ac:dyDescent="0.25">
      <c r="A32364" s="1"/>
      <c r="B32364" s="1" t="s">
        <v>8342</v>
      </c>
      <c r="C32364" s="1" t="s">
        <v>8343</v>
      </c>
      <c r="D32364" s="1" t="str">
        <f>HYPERLINK("https://rhld.insurance.arkansas.gov/NPILookup?Npi=1558332569","1558332569")</f>
        <v>1558332569</v>
      </c>
      <c r="E32364" s="1" t="s">
        <v>29957</v>
      </c>
      <c r="F32364" s="2"/>
      <c r="G32364" s="2"/>
      <c r="H32364" s="2"/>
    </row>
    <row r="32365" spans="1:8" x14ac:dyDescent="0.25">
      <c r="A32365" s="1"/>
      <c r="B32365" s="1" t="s">
        <v>8342</v>
      </c>
      <c r="C32365" s="1" t="s">
        <v>8343</v>
      </c>
      <c r="D32365" s="1" t="str">
        <f>HYPERLINK("https://rhld.insurance.arkansas.gov/NPILookup?Npi=1558361493","1558361493")</f>
        <v>1558361493</v>
      </c>
      <c r="E32365" s="1" t="s">
        <v>8374</v>
      </c>
      <c r="F32365" s="2"/>
      <c r="G32365" s="2"/>
      <c r="H32365" s="2"/>
    </row>
    <row r="32366" spans="1:8" x14ac:dyDescent="0.25">
      <c r="A32366" s="1"/>
      <c r="B32366" s="1" t="s">
        <v>8342</v>
      </c>
      <c r="C32366" s="1" t="s">
        <v>8343</v>
      </c>
      <c r="D32366" s="1" t="str">
        <f>HYPERLINK("https://rhld.insurance.arkansas.gov/NPILookup?Npi=1558469163","1558469163")</f>
        <v>1558469163</v>
      </c>
      <c r="E32366" s="1" t="s">
        <v>3329</v>
      </c>
      <c r="F32366" s="2"/>
      <c r="G32366" s="2"/>
      <c r="H32366" s="2"/>
    </row>
    <row r="32367" spans="1:8" x14ac:dyDescent="0.25">
      <c r="A32367" s="1"/>
      <c r="B32367" s="1" t="s">
        <v>8342</v>
      </c>
      <c r="C32367" s="1" t="s">
        <v>8343</v>
      </c>
      <c r="D32367" s="1" t="str">
        <f>HYPERLINK("https://rhld.insurance.arkansas.gov/NPILookup?Npi=1558569442","1558569442")</f>
        <v>1558569442</v>
      </c>
      <c r="E32367" s="1" t="s">
        <v>2286</v>
      </c>
      <c r="F32367" s="2"/>
      <c r="G32367" s="2"/>
      <c r="H32367" s="2"/>
    </row>
    <row r="32368" spans="1:8" x14ac:dyDescent="0.25">
      <c r="A32368" s="1"/>
      <c r="B32368" s="1" t="s">
        <v>8342</v>
      </c>
      <c r="C32368" s="1" t="s">
        <v>8343</v>
      </c>
      <c r="D32368" s="1" t="str">
        <f>HYPERLINK("https://rhld.insurance.arkansas.gov/NPILookup?Npi=1558574566","1558574566")</f>
        <v>1558574566</v>
      </c>
      <c r="E32368" s="1" t="s">
        <v>825</v>
      </c>
      <c r="F32368" s="2"/>
      <c r="G32368" s="2"/>
      <c r="H32368" s="2"/>
    </row>
    <row r="32369" spans="1:8" x14ac:dyDescent="0.25">
      <c r="A32369" s="1"/>
      <c r="B32369" s="1" t="s">
        <v>8342</v>
      </c>
      <c r="C32369" s="1" t="s">
        <v>8343</v>
      </c>
      <c r="D32369" s="1" t="str">
        <f>HYPERLINK("https://rhld.insurance.arkansas.gov/NPILookup?Npi=1568805299","1568805299")</f>
        <v>1568805299</v>
      </c>
      <c r="E32369" s="1" t="s">
        <v>11469</v>
      </c>
      <c r="F32369" s="2"/>
      <c r="G32369" s="2"/>
      <c r="H32369" s="2"/>
    </row>
    <row r="32370" spans="1:8" x14ac:dyDescent="0.25">
      <c r="A32370" s="1"/>
      <c r="B32370" s="1" t="s">
        <v>8342</v>
      </c>
      <c r="C32370" s="1" t="s">
        <v>8343</v>
      </c>
      <c r="D32370" s="1" t="str">
        <f>HYPERLINK("https://rhld.insurance.arkansas.gov/NPILookup?Npi=1568818938","1568818938")</f>
        <v>1568818938</v>
      </c>
      <c r="E32370" s="1" t="s">
        <v>8375</v>
      </c>
      <c r="F32370" s="2"/>
      <c r="G32370" s="2"/>
      <c r="H32370" s="2"/>
    </row>
    <row r="32371" spans="1:8" x14ac:dyDescent="0.25">
      <c r="A32371" s="1"/>
      <c r="B32371" s="1" t="s">
        <v>8342</v>
      </c>
      <c r="C32371" s="1" t="s">
        <v>8343</v>
      </c>
      <c r="D32371" s="1" t="str">
        <f>HYPERLINK("https://rhld.insurance.arkansas.gov/NPILookup?Npi=1568995330","1568995330")</f>
        <v>1568995330</v>
      </c>
      <c r="E32371" s="1" t="s">
        <v>29958</v>
      </c>
      <c r="F32371" s="2"/>
      <c r="G32371" s="2"/>
      <c r="H32371" s="2"/>
    </row>
    <row r="32372" spans="1:8" x14ac:dyDescent="0.25">
      <c r="A32372" s="1"/>
      <c r="B32372" s="1" t="s">
        <v>8342</v>
      </c>
      <c r="C32372" s="1" t="s">
        <v>8343</v>
      </c>
      <c r="D32372" s="1" t="str">
        <f>HYPERLINK("https://rhld.insurance.arkansas.gov/NPILookup?Npi=1578530036","1578530036")</f>
        <v>1578530036</v>
      </c>
      <c r="E32372" s="1" t="s">
        <v>1139</v>
      </c>
      <c r="F32372" s="2"/>
      <c r="G32372" s="2"/>
      <c r="H32372" s="2"/>
    </row>
    <row r="32373" spans="1:8" x14ac:dyDescent="0.25">
      <c r="A32373" s="1"/>
      <c r="B32373" s="1" t="s">
        <v>8342</v>
      </c>
      <c r="C32373" s="1" t="s">
        <v>8343</v>
      </c>
      <c r="D32373" s="1" t="str">
        <f>HYPERLINK("https://rhld.insurance.arkansas.gov/NPILookup?Npi=1578843306","1578843306")</f>
        <v>1578843306</v>
      </c>
      <c r="E32373" s="1" t="s">
        <v>29959</v>
      </c>
      <c r="F32373" s="2"/>
      <c r="G32373" s="2"/>
      <c r="H32373" s="2"/>
    </row>
    <row r="32374" spans="1:8" x14ac:dyDescent="0.25">
      <c r="A32374" s="1"/>
      <c r="B32374" s="1" t="s">
        <v>8342</v>
      </c>
      <c r="C32374" s="1" t="s">
        <v>8343</v>
      </c>
      <c r="D32374" s="1" t="str">
        <f>HYPERLINK("https://rhld.insurance.arkansas.gov/NPILookup?Npi=1588127526","1588127526")</f>
        <v>1588127526</v>
      </c>
      <c r="E32374" s="1" t="s">
        <v>29960</v>
      </c>
      <c r="F32374" s="2"/>
      <c r="G32374" s="2"/>
      <c r="H32374" s="2"/>
    </row>
    <row r="32375" spans="1:8" x14ac:dyDescent="0.25">
      <c r="A32375" s="1"/>
      <c r="B32375" s="1" t="s">
        <v>8342</v>
      </c>
      <c r="C32375" s="1" t="s">
        <v>8343</v>
      </c>
      <c r="D32375" s="1" t="str">
        <f>HYPERLINK("https://rhld.insurance.arkansas.gov/NPILookup?Npi=1588605463","1588605463")</f>
        <v>1588605463</v>
      </c>
      <c r="E32375" s="1" t="s">
        <v>1140</v>
      </c>
      <c r="F32375" s="2"/>
      <c r="G32375" s="2"/>
      <c r="H32375" s="2"/>
    </row>
    <row r="32376" spans="1:8" x14ac:dyDescent="0.25">
      <c r="A32376" s="1"/>
      <c r="B32376" s="1" t="s">
        <v>8342</v>
      </c>
      <c r="C32376" s="1" t="s">
        <v>8343</v>
      </c>
      <c r="D32376" s="1" t="str">
        <f>HYPERLINK("https://rhld.insurance.arkansas.gov/NPILookup?Npi=1588696082","1588696082")</f>
        <v>1588696082</v>
      </c>
      <c r="E32376" s="1" t="s">
        <v>22678</v>
      </c>
      <c r="F32376" s="2"/>
      <c r="G32376" s="2"/>
      <c r="H32376" s="2"/>
    </row>
    <row r="32377" spans="1:8" x14ac:dyDescent="0.25">
      <c r="A32377" s="1"/>
      <c r="B32377" s="1" t="s">
        <v>8342</v>
      </c>
      <c r="C32377" s="1" t="s">
        <v>8343</v>
      </c>
      <c r="D32377" s="1" t="str">
        <f>HYPERLINK("https://rhld.insurance.arkansas.gov/NPILookup?Npi=1588748990","1588748990")</f>
        <v>1588748990</v>
      </c>
      <c r="E32377" s="1" t="s">
        <v>2201</v>
      </c>
      <c r="F32377" s="2"/>
      <c r="G32377" s="2"/>
      <c r="H32377" s="2"/>
    </row>
    <row r="32378" spans="1:8" x14ac:dyDescent="0.25">
      <c r="A32378" s="1"/>
      <c r="B32378" s="1" t="s">
        <v>8342</v>
      </c>
      <c r="C32378" s="1" t="s">
        <v>8343</v>
      </c>
      <c r="D32378" s="1" t="str">
        <f>HYPERLINK("https://rhld.insurance.arkansas.gov/NPILookup?Npi=1588952105","1588952105")</f>
        <v>1588952105</v>
      </c>
      <c r="E32378" s="1" t="s">
        <v>29961</v>
      </c>
      <c r="F32378" s="2"/>
      <c r="G32378" s="2"/>
      <c r="H32378" s="2"/>
    </row>
    <row r="32379" spans="1:8" x14ac:dyDescent="0.25">
      <c r="A32379" s="1"/>
      <c r="B32379" s="1" t="s">
        <v>8342</v>
      </c>
      <c r="C32379" s="1" t="s">
        <v>8343</v>
      </c>
      <c r="D32379" s="1" t="str">
        <f>HYPERLINK("https://rhld.insurance.arkansas.gov/NPILookup?Npi=1598082992","1598082992")</f>
        <v>1598082992</v>
      </c>
      <c r="E32379" s="1" t="s">
        <v>2203</v>
      </c>
      <c r="F32379" s="2"/>
      <c r="G32379" s="2"/>
      <c r="H32379" s="2"/>
    </row>
    <row r="32380" spans="1:8" x14ac:dyDescent="0.25">
      <c r="A32380" s="1"/>
      <c r="B32380" s="1" t="s">
        <v>8342</v>
      </c>
      <c r="C32380" s="1" t="s">
        <v>8343</v>
      </c>
      <c r="D32380" s="1" t="str">
        <f>HYPERLINK("https://rhld.insurance.arkansas.gov/NPILookup?Npi=1598145948","1598145948")</f>
        <v>1598145948</v>
      </c>
      <c r="E32380" s="1" t="s">
        <v>4108</v>
      </c>
      <c r="F32380" s="2"/>
      <c r="G32380" s="2"/>
      <c r="H32380" s="2"/>
    </row>
    <row r="32381" spans="1:8" x14ac:dyDescent="0.25">
      <c r="A32381" s="1"/>
      <c r="B32381" s="1" t="s">
        <v>8342</v>
      </c>
      <c r="C32381" s="1" t="s">
        <v>8343</v>
      </c>
      <c r="D32381" s="1" t="str">
        <f>HYPERLINK("https://rhld.insurance.arkansas.gov/NPILookup?Npi=1598150955","1598150955")</f>
        <v>1598150955</v>
      </c>
      <c r="E32381" s="1" t="s">
        <v>5072</v>
      </c>
      <c r="F32381" s="2"/>
      <c r="G32381" s="2"/>
      <c r="H32381" s="2"/>
    </row>
    <row r="32382" spans="1:8" x14ac:dyDescent="0.25">
      <c r="A32382" s="1"/>
      <c r="B32382" s="1" t="s">
        <v>8342</v>
      </c>
      <c r="C32382" s="1" t="s">
        <v>8343</v>
      </c>
      <c r="D32382" s="1" t="str">
        <f>HYPERLINK("https://rhld.insurance.arkansas.gov/NPILookup?Npi=1609210988","1609210988")</f>
        <v>1609210988</v>
      </c>
      <c r="E32382" s="1" t="s">
        <v>942</v>
      </c>
      <c r="F32382" s="2"/>
      <c r="G32382" s="2"/>
      <c r="H32382" s="2"/>
    </row>
    <row r="32383" spans="1:8" x14ac:dyDescent="0.25">
      <c r="A32383" s="1"/>
      <c r="B32383" s="1" t="s">
        <v>8342</v>
      </c>
      <c r="C32383" s="1" t="s">
        <v>8343</v>
      </c>
      <c r="D32383" s="1" t="str">
        <f>HYPERLINK("https://rhld.insurance.arkansas.gov/NPILookup?Npi=1609223791","1609223791")</f>
        <v>1609223791</v>
      </c>
      <c r="E32383" s="1" t="s">
        <v>19212</v>
      </c>
      <c r="F32383" s="2"/>
      <c r="G32383" s="2"/>
      <c r="H32383" s="2"/>
    </row>
    <row r="32384" spans="1:8" x14ac:dyDescent="0.25">
      <c r="A32384" s="1"/>
      <c r="B32384" s="1" t="s">
        <v>8342</v>
      </c>
      <c r="C32384" s="1" t="s">
        <v>8343</v>
      </c>
      <c r="D32384" s="1" t="str">
        <f>HYPERLINK("https://rhld.insurance.arkansas.gov/NPILookup?Npi=1609261338","1609261338")</f>
        <v>1609261338</v>
      </c>
      <c r="E32384" s="1" t="s">
        <v>29962</v>
      </c>
      <c r="F32384" s="2"/>
      <c r="G32384" s="2"/>
      <c r="H32384" s="2"/>
    </row>
    <row r="32385" spans="1:8" x14ac:dyDescent="0.25">
      <c r="A32385" s="1"/>
      <c r="B32385" s="1" t="s">
        <v>8342</v>
      </c>
      <c r="C32385" s="1" t="s">
        <v>8343</v>
      </c>
      <c r="D32385" s="1" t="str">
        <f>HYPERLINK("https://rhld.insurance.arkansas.gov/NPILookup?Npi=1609300243","1609300243")</f>
        <v>1609300243</v>
      </c>
      <c r="E32385" s="1" t="s">
        <v>29963</v>
      </c>
      <c r="F32385" s="2"/>
      <c r="G32385" s="2"/>
      <c r="H32385" s="2"/>
    </row>
    <row r="32386" spans="1:8" x14ac:dyDescent="0.25">
      <c r="A32386" s="1"/>
      <c r="B32386" s="1" t="s">
        <v>8342</v>
      </c>
      <c r="C32386" s="1" t="s">
        <v>8343</v>
      </c>
      <c r="D32386" s="1" t="str">
        <f>HYPERLINK("https://rhld.insurance.arkansas.gov/NPILookup?Npi=1619069648","1619069648")</f>
        <v>1619069648</v>
      </c>
      <c r="E32386" s="1" t="s">
        <v>3536</v>
      </c>
      <c r="F32386" s="2"/>
      <c r="G32386" s="2"/>
      <c r="H32386" s="2"/>
    </row>
    <row r="32387" spans="1:8" x14ac:dyDescent="0.25">
      <c r="A32387" s="1"/>
      <c r="B32387" s="1" t="s">
        <v>8342</v>
      </c>
      <c r="C32387" s="1" t="s">
        <v>8343</v>
      </c>
      <c r="D32387" s="1" t="str">
        <f>HYPERLINK("https://rhld.insurance.arkansas.gov/NPILookup?Npi=1619079795","1619079795")</f>
        <v>1619079795</v>
      </c>
      <c r="E32387" s="1" t="s">
        <v>29964</v>
      </c>
      <c r="F32387" s="2"/>
      <c r="G32387" s="2"/>
      <c r="H32387" s="2"/>
    </row>
    <row r="32388" spans="1:8" x14ac:dyDescent="0.25">
      <c r="A32388" s="1"/>
      <c r="B32388" s="1" t="s">
        <v>8342</v>
      </c>
      <c r="C32388" s="1" t="s">
        <v>8343</v>
      </c>
      <c r="D32388" s="1" t="str">
        <f>HYPERLINK("https://rhld.insurance.arkansas.gov/NPILookup?Npi=1619190162","1619190162")</f>
        <v>1619190162</v>
      </c>
      <c r="E32388" s="1" t="s">
        <v>13985</v>
      </c>
      <c r="F32388" s="2"/>
      <c r="G32388" s="2"/>
      <c r="H32388" s="2"/>
    </row>
    <row r="32389" spans="1:8" x14ac:dyDescent="0.25">
      <c r="A32389" s="1"/>
      <c r="B32389" s="1" t="s">
        <v>8342</v>
      </c>
      <c r="C32389" s="1" t="s">
        <v>8343</v>
      </c>
      <c r="D32389" s="1" t="str">
        <f>HYPERLINK("https://rhld.insurance.arkansas.gov/NPILookup?Npi=1619262680","1619262680")</f>
        <v>1619262680</v>
      </c>
      <c r="E32389" s="1" t="s">
        <v>29965</v>
      </c>
      <c r="F32389" s="2"/>
      <c r="G32389" s="2"/>
      <c r="H32389" s="2"/>
    </row>
    <row r="32390" spans="1:8" x14ac:dyDescent="0.25">
      <c r="A32390" s="1"/>
      <c r="B32390" s="1" t="s">
        <v>8342</v>
      </c>
      <c r="C32390" s="1" t="s">
        <v>8343</v>
      </c>
      <c r="D32390" s="1" t="str">
        <f>HYPERLINK("https://rhld.insurance.arkansas.gov/NPILookup?Npi=1619310257","1619310257")</f>
        <v>1619310257</v>
      </c>
      <c r="E32390" s="1" t="s">
        <v>29966</v>
      </c>
      <c r="F32390" s="2"/>
      <c r="G32390" s="2"/>
      <c r="H32390" s="2"/>
    </row>
    <row r="32391" spans="1:8" x14ac:dyDescent="0.25">
      <c r="A32391" s="1"/>
      <c r="B32391" s="1" t="s">
        <v>8342</v>
      </c>
      <c r="C32391" s="1" t="s">
        <v>8343</v>
      </c>
      <c r="D32391" s="1" t="str">
        <f>HYPERLINK("https://rhld.insurance.arkansas.gov/NPILookup?Npi=1619321635","1619321635")</f>
        <v>1619321635</v>
      </c>
      <c r="E32391" s="1" t="s">
        <v>8376</v>
      </c>
      <c r="F32391" s="2"/>
      <c r="G32391" s="2"/>
      <c r="H32391" s="2"/>
    </row>
    <row r="32392" spans="1:8" x14ac:dyDescent="0.25">
      <c r="A32392" s="1"/>
      <c r="B32392" s="1" t="s">
        <v>8342</v>
      </c>
      <c r="C32392" s="1" t="s">
        <v>8343</v>
      </c>
      <c r="D32392" s="1" t="str">
        <f>HYPERLINK("https://rhld.insurance.arkansas.gov/NPILookup?Npi=1619995198","1619995198")</f>
        <v>1619995198</v>
      </c>
      <c r="E32392" s="1" t="s">
        <v>3327</v>
      </c>
      <c r="F32392" s="2"/>
      <c r="G32392" s="2"/>
      <c r="H32392" s="2"/>
    </row>
    <row r="32393" spans="1:8" x14ac:dyDescent="0.25">
      <c r="A32393" s="1"/>
      <c r="B32393" s="1" t="s">
        <v>8342</v>
      </c>
      <c r="C32393" s="1" t="s">
        <v>8343</v>
      </c>
      <c r="D32393" s="1" t="str">
        <f>HYPERLINK("https://rhld.insurance.arkansas.gov/NPILookup?Npi=1629006507","1629006507")</f>
        <v>1629006507</v>
      </c>
      <c r="E32393" s="1" t="s">
        <v>8377</v>
      </c>
      <c r="F32393" s="2"/>
      <c r="G32393" s="2"/>
      <c r="H32393" s="2"/>
    </row>
    <row r="32394" spans="1:8" x14ac:dyDescent="0.25">
      <c r="A32394" s="1"/>
      <c r="B32394" s="1" t="s">
        <v>8342</v>
      </c>
      <c r="C32394" s="1" t="s">
        <v>8343</v>
      </c>
      <c r="D32394" s="1" t="str">
        <f>HYPERLINK("https://rhld.insurance.arkansas.gov/NPILookup?Npi=1629139282","1629139282")</f>
        <v>1629139282</v>
      </c>
      <c r="E32394" s="1" t="s">
        <v>359</v>
      </c>
      <c r="F32394" s="2"/>
      <c r="G32394" s="2"/>
      <c r="H32394" s="2"/>
    </row>
    <row r="32395" spans="1:8" x14ac:dyDescent="0.25">
      <c r="A32395" s="1"/>
      <c r="B32395" s="1" t="s">
        <v>8342</v>
      </c>
      <c r="C32395" s="1" t="s">
        <v>8343</v>
      </c>
      <c r="D32395" s="1" t="str">
        <f>HYPERLINK("https://rhld.insurance.arkansas.gov/NPILookup?Npi=1629163274","1629163274")</f>
        <v>1629163274</v>
      </c>
      <c r="E32395" s="1" t="s">
        <v>29967</v>
      </c>
      <c r="F32395" s="2"/>
      <c r="G32395" s="2"/>
      <c r="H32395" s="2"/>
    </row>
    <row r="32396" spans="1:8" x14ac:dyDescent="0.25">
      <c r="A32396" s="1"/>
      <c r="B32396" s="1" t="s">
        <v>8342</v>
      </c>
      <c r="C32396" s="1" t="s">
        <v>8343</v>
      </c>
      <c r="D32396" s="1" t="str">
        <f>HYPERLINK("https://rhld.insurance.arkansas.gov/NPILookup?Npi=1629168299","1629168299")</f>
        <v>1629168299</v>
      </c>
      <c r="E32396" s="1" t="s">
        <v>22780</v>
      </c>
      <c r="F32396" s="2"/>
      <c r="G32396" s="2"/>
      <c r="H32396" s="2"/>
    </row>
    <row r="32397" spans="1:8" x14ac:dyDescent="0.25">
      <c r="A32397" s="1"/>
      <c r="B32397" s="1" t="s">
        <v>8342</v>
      </c>
      <c r="C32397" s="1" t="s">
        <v>8343</v>
      </c>
      <c r="D32397" s="1" t="str">
        <f>HYPERLINK("https://rhld.insurance.arkansas.gov/NPILookup?Npi=1629199690","1629199690")</f>
        <v>1629199690</v>
      </c>
      <c r="E32397" s="1" t="s">
        <v>719</v>
      </c>
      <c r="F32397" s="2"/>
      <c r="G32397" s="2"/>
      <c r="H32397" s="2"/>
    </row>
    <row r="32398" spans="1:8" x14ac:dyDescent="0.25">
      <c r="A32398" s="1"/>
      <c r="B32398" s="1" t="s">
        <v>8342</v>
      </c>
      <c r="C32398" s="1" t="s">
        <v>8343</v>
      </c>
      <c r="D32398" s="1" t="str">
        <f>HYPERLINK("https://rhld.insurance.arkansas.gov/NPILookup?Npi=1639194566","1639194566")</f>
        <v>1639194566</v>
      </c>
      <c r="E32398" s="1" t="s">
        <v>6493</v>
      </c>
      <c r="F32398" s="2"/>
      <c r="G32398" s="2"/>
      <c r="H32398" s="2"/>
    </row>
    <row r="32399" spans="1:8" x14ac:dyDescent="0.25">
      <c r="A32399" s="1"/>
      <c r="B32399" s="1" t="s">
        <v>8342</v>
      </c>
      <c r="C32399" s="1" t="s">
        <v>8343</v>
      </c>
      <c r="D32399" s="1" t="str">
        <f>HYPERLINK("https://rhld.insurance.arkansas.gov/NPILookup?Npi=1639197973","1639197973")</f>
        <v>1639197973</v>
      </c>
      <c r="E32399" s="1" t="s">
        <v>29968</v>
      </c>
      <c r="F32399" s="2"/>
      <c r="G32399" s="2"/>
      <c r="H32399" s="2"/>
    </row>
    <row r="32400" spans="1:8" x14ac:dyDescent="0.25">
      <c r="A32400" s="1"/>
      <c r="B32400" s="1" t="s">
        <v>8342</v>
      </c>
      <c r="C32400" s="1" t="s">
        <v>8343</v>
      </c>
      <c r="D32400" s="1" t="str">
        <f>HYPERLINK("https://rhld.insurance.arkansas.gov/NPILookup?Npi=1639435142","1639435142")</f>
        <v>1639435142</v>
      </c>
      <c r="E32400" s="1" t="s">
        <v>2861</v>
      </c>
      <c r="F32400" s="2"/>
      <c r="G32400" s="2"/>
      <c r="H32400" s="2"/>
    </row>
    <row r="32401" spans="1:8" x14ac:dyDescent="0.25">
      <c r="A32401" s="1"/>
      <c r="B32401" s="1" t="s">
        <v>8342</v>
      </c>
      <c r="C32401" s="1" t="s">
        <v>8343</v>
      </c>
      <c r="D32401" s="1" t="str">
        <f>HYPERLINK("https://rhld.insurance.arkansas.gov/NPILookup?Npi=1639497134","1639497134")</f>
        <v>1639497134</v>
      </c>
      <c r="E32401" s="1" t="s">
        <v>2645</v>
      </c>
      <c r="F32401" s="2"/>
      <c r="G32401" s="2"/>
      <c r="H32401" s="2"/>
    </row>
    <row r="32402" spans="1:8" x14ac:dyDescent="0.25">
      <c r="A32402" s="1"/>
      <c r="B32402" s="1" t="s">
        <v>8342</v>
      </c>
      <c r="C32402" s="1" t="s">
        <v>8343</v>
      </c>
      <c r="D32402" s="1" t="str">
        <f>HYPERLINK("https://rhld.insurance.arkansas.gov/NPILookup?Npi=1639530769","1639530769")</f>
        <v>1639530769</v>
      </c>
      <c r="E32402" s="1" t="s">
        <v>18528</v>
      </c>
      <c r="F32402" s="2"/>
      <c r="G32402" s="2"/>
      <c r="H32402" s="2"/>
    </row>
    <row r="32403" spans="1:8" x14ac:dyDescent="0.25">
      <c r="A32403" s="1"/>
      <c r="B32403" s="1" t="s">
        <v>8342</v>
      </c>
      <c r="C32403" s="1" t="s">
        <v>8343</v>
      </c>
      <c r="D32403" s="1" t="str">
        <f>HYPERLINK("https://rhld.insurance.arkansas.gov/NPILookup?Npi=1649360215","1649360215")</f>
        <v>1649360215</v>
      </c>
      <c r="E32403" s="1" t="s">
        <v>29969</v>
      </c>
      <c r="F32403" s="2"/>
      <c r="G32403" s="2"/>
      <c r="H32403" s="2"/>
    </row>
    <row r="32404" spans="1:8" x14ac:dyDescent="0.25">
      <c r="A32404" s="1"/>
      <c r="B32404" s="1" t="s">
        <v>8342</v>
      </c>
      <c r="C32404" s="1" t="s">
        <v>8343</v>
      </c>
      <c r="D32404" s="1" t="str">
        <f>HYPERLINK("https://rhld.insurance.arkansas.gov/NPILookup?Npi=1649375288","1649375288")</f>
        <v>1649375288</v>
      </c>
      <c r="E32404" s="1" t="s">
        <v>22847</v>
      </c>
      <c r="F32404" s="2"/>
      <c r="G32404" s="2"/>
      <c r="H32404" s="2"/>
    </row>
    <row r="32405" spans="1:8" x14ac:dyDescent="0.25">
      <c r="A32405" s="1"/>
      <c r="B32405" s="1" t="s">
        <v>8342</v>
      </c>
      <c r="C32405" s="1" t="s">
        <v>8343</v>
      </c>
      <c r="D32405" s="1" t="str">
        <f>HYPERLINK("https://rhld.insurance.arkansas.gov/NPILookup?Npi=1659365120","1659365120")</f>
        <v>1659365120</v>
      </c>
      <c r="E32405" s="1" t="s">
        <v>29970</v>
      </c>
      <c r="F32405" s="2"/>
      <c r="G32405" s="2"/>
      <c r="H32405" s="2"/>
    </row>
    <row r="32406" spans="1:8" x14ac:dyDescent="0.25">
      <c r="A32406" s="1"/>
      <c r="B32406" s="1" t="s">
        <v>8342</v>
      </c>
      <c r="C32406" s="1" t="s">
        <v>8343</v>
      </c>
      <c r="D32406" s="1" t="str">
        <f>HYPERLINK("https://rhld.insurance.arkansas.gov/NPILookup?Npi=1659403905","1659403905")</f>
        <v>1659403905</v>
      </c>
      <c r="E32406" s="1" t="s">
        <v>13986</v>
      </c>
      <c r="F32406" s="2"/>
      <c r="G32406" s="2"/>
      <c r="H32406" s="2"/>
    </row>
    <row r="32407" spans="1:8" x14ac:dyDescent="0.25">
      <c r="A32407" s="1"/>
      <c r="B32407" s="1" t="s">
        <v>8342</v>
      </c>
      <c r="C32407" s="1" t="s">
        <v>8343</v>
      </c>
      <c r="D32407" s="1" t="str">
        <f>HYPERLINK("https://rhld.insurance.arkansas.gov/NPILookup?Npi=1659460814","1659460814")</f>
        <v>1659460814</v>
      </c>
      <c r="E32407" s="1" t="s">
        <v>1880</v>
      </c>
      <c r="F32407" s="2"/>
      <c r="G32407" s="2"/>
      <c r="H32407" s="2"/>
    </row>
    <row r="32408" spans="1:8" x14ac:dyDescent="0.25">
      <c r="A32408" s="1"/>
      <c r="B32408" s="1" t="s">
        <v>8342</v>
      </c>
      <c r="C32408" s="1" t="s">
        <v>8343</v>
      </c>
      <c r="D32408" s="1" t="str">
        <f>HYPERLINK("https://rhld.insurance.arkansas.gov/NPILookup?Npi=1659537827","1659537827")</f>
        <v>1659537827</v>
      </c>
      <c r="E32408" s="1" t="s">
        <v>32489</v>
      </c>
      <c r="F32408" s="2"/>
      <c r="G32408" s="2"/>
      <c r="H32408" s="2"/>
    </row>
    <row r="32409" spans="1:8" x14ac:dyDescent="0.25">
      <c r="A32409" s="1"/>
      <c r="B32409" s="1" t="s">
        <v>8342</v>
      </c>
      <c r="C32409" s="1" t="s">
        <v>8343</v>
      </c>
      <c r="D32409" s="1" t="str">
        <f>HYPERLINK("https://rhld.insurance.arkansas.gov/NPILookup?Npi=1659733798","1659733798")</f>
        <v>1659733798</v>
      </c>
      <c r="E32409" s="1" t="s">
        <v>29971</v>
      </c>
      <c r="F32409" s="2"/>
      <c r="G32409" s="2"/>
      <c r="H32409" s="2"/>
    </row>
    <row r="32410" spans="1:8" x14ac:dyDescent="0.25">
      <c r="A32410" s="1"/>
      <c r="B32410" s="1" t="s">
        <v>8342</v>
      </c>
      <c r="C32410" s="1" t="s">
        <v>8343</v>
      </c>
      <c r="D32410" s="1" t="str">
        <f>HYPERLINK("https://rhld.insurance.arkansas.gov/NPILookup?Npi=1659805950","1659805950")</f>
        <v>1659805950</v>
      </c>
      <c r="E32410" s="1" t="s">
        <v>29972</v>
      </c>
      <c r="F32410" s="2"/>
      <c r="G32410" s="2"/>
      <c r="H32410" s="2"/>
    </row>
    <row r="32411" spans="1:8" x14ac:dyDescent="0.25">
      <c r="A32411" s="1"/>
      <c r="B32411" s="1" t="s">
        <v>8342</v>
      </c>
      <c r="C32411" s="1" t="s">
        <v>8343</v>
      </c>
      <c r="D32411" s="1" t="str">
        <f>HYPERLINK("https://rhld.insurance.arkansas.gov/NPILookup?Npi=1669447702","1669447702")</f>
        <v>1669447702</v>
      </c>
      <c r="E32411" s="1" t="s">
        <v>13987</v>
      </c>
      <c r="F32411" s="2"/>
      <c r="G32411" s="2"/>
      <c r="H32411" s="2"/>
    </row>
    <row r="32412" spans="1:8" x14ac:dyDescent="0.25">
      <c r="A32412" s="1"/>
      <c r="B32412" s="1" t="s">
        <v>8342</v>
      </c>
      <c r="C32412" s="1" t="s">
        <v>8343</v>
      </c>
      <c r="D32412" s="1" t="str">
        <f>HYPERLINK("https://rhld.insurance.arkansas.gov/NPILookup?Npi=1669494092","1669494092")</f>
        <v>1669494092</v>
      </c>
      <c r="E32412" s="1" t="s">
        <v>3342</v>
      </c>
      <c r="F32412" s="2"/>
      <c r="G32412" s="2"/>
      <c r="H32412" s="2"/>
    </row>
    <row r="32413" spans="1:8" x14ac:dyDescent="0.25">
      <c r="A32413" s="1"/>
      <c r="B32413" s="1" t="s">
        <v>8342</v>
      </c>
      <c r="C32413" s="1" t="s">
        <v>8343</v>
      </c>
      <c r="D32413" s="1" t="str">
        <f>HYPERLINK("https://rhld.insurance.arkansas.gov/NPILookup?Npi=1669572871","1669572871")</f>
        <v>1669572871</v>
      </c>
      <c r="E32413" s="1" t="s">
        <v>1143</v>
      </c>
      <c r="F32413" s="2"/>
      <c r="G32413" s="2"/>
      <c r="H32413" s="2"/>
    </row>
    <row r="32414" spans="1:8" x14ac:dyDescent="0.25">
      <c r="A32414" s="1"/>
      <c r="B32414" s="1" t="s">
        <v>8342</v>
      </c>
      <c r="C32414" s="1" t="s">
        <v>8343</v>
      </c>
      <c r="D32414" s="1" t="str">
        <f>HYPERLINK("https://rhld.insurance.arkansas.gov/NPILookup?Npi=1669591012","1669591012")</f>
        <v>1669591012</v>
      </c>
      <c r="E32414" s="1" t="s">
        <v>13988</v>
      </c>
      <c r="F32414" s="2"/>
      <c r="G32414" s="2"/>
      <c r="H32414" s="2"/>
    </row>
    <row r="32415" spans="1:8" x14ac:dyDescent="0.25">
      <c r="A32415" s="1"/>
      <c r="B32415" s="1" t="s">
        <v>8342</v>
      </c>
      <c r="C32415" s="1" t="s">
        <v>8343</v>
      </c>
      <c r="D32415" s="1" t="str">
        <f>HYPERLINK("https://rhld.insurance.arkansas.gov/NPILookup?Npi=1669761706","1669761706")</f>
        <v>1669761706</v>
      </c>
      <c r="E32415" s="1" t="s">
        <v>8378</v>
      </c>
      <c r="F32415" s="2"/>
      <c r="G32415" s="2"/>
      <c r="H32415" s="2"/>
    </row>
    <row r="32416" spans="1:8" x14ac:dyDescent="0.25">
      <c r="A32416" s="1"/>
      <c r="B32416" s="1" t="s">
        <v>8342</v>
      </c>
      <c r="C32416" s="1" t="s">
        <v>8343</v>
      </c>
      <c r="D32416" s="1" t="str">
        <f>HYPERLINK("https://rhld.insurance.arkansas.gov/NPILookup?Npi=1679683122","1679683122")</f>
        <v>1679683122</v>
      </c>
      <c r="E32416" s="1" t="s">
        <v>32490</v>
      </c>
      <c r="F32416" s="2"/>
      <c r="G32416" s="2"/>
      <c r="H32416" s="2"/>
    </row>
    <row r="32417" spans="1:8" x14ac:dyDescent="0.25">
      <c r="A32417" s="1"/>
      <c r="B32417" s="1" t="s">
        <v>8342</v>
      </c>
      <c r="C32417" s="1" t="s">
        <v>8343</v>
      </c>
      <c r="D32417" s="1" t="str">
        <f>HYPERLINK("https://rhld.insurance.arkansas.gov/NPILookup?Npi=1679716013","1679716013")</f>
        <v>1679716013</v>
      </c>
      <c r="E32417" s="1" t="s">
        <v>2209</v>
      </c>
      <c r="F32417" s="2"/>
      <c r="G32417" s="2"/>
      <c r="H32417" s="2"/>
    </row>
    <row r="32418" spans="1:8" x14ac:dyDescent="0.25">
      <c r="A32418" s="1"/>
      <c r="B32418" s="1" t="s">
        <v>8342</v>
      </c>
      <c r="C32418" s="1" t="s">
        <v>8343</v>
      </c>
      <c r="D32418" s="1" t="str">
        <f>HYPERLINK("https://rhld.insurance.arkansas.gov/NPILookup?Npi=1679934871","1679934871")</f>
        <v>1679934871</v>
      </c>
      <c r="E32418" s="1" t="s">
        <v>8379</v>
      </c>
      <c r="F32418" s="2"/>
      <c r="G32418" s="2"/>
      <c r="H32418" s="2"/>
    </row>
    <row r="32419" spans="1:8" x14ac:dyDescent="0.25">
      <c r="A32419" s="1"/>
      <c r="B32419" s="1" t="s">
        <v>8342</v>
      </c>
      <c r="C32419" s="1" t="s">
        <v>8343</v>
      </c>
      <c r="D32419" s="1" t="str">
        <f>HYPERLINK("https://rhld.insurance.arkansas.gov/NPILookup?Npi=1679968937","1679968937")</f>
        <v>1679968937</v>
      </c>
      <c r="E32419" s="1" t="s">
        <v>5079</v>
      </c>
      <c r="F32419" s="2"/>
      <c r="G32419" s="2"/>
      <c r="H32419" s="2"/>
    </row>
    <row r="32420" spans="1:8" x14ac:dyDescent="0.25">
      <c r="A32420" s="1"/>
      <c r="B32420" s="1" t="s">
        <v>8342</v>
      </c>
      <c r="C32420" s="1" t="s">
        <v>8343</v>
      </c>
      <c r="D32420" s="1" t="str">
        <f>HYPERLINK("https://rhld.insurance.arkansas.gov/NPILookup?Npi=1689017550","1689017550")</f>
        <v>1689017550</v>
      </c>
      <c r="E32420" s="1" t="s">
        <v>19226</v>
      </c>
      <c r="F32420" s="2"/>
      <c r="G32420" s="2"/>
      <c r="H32420" s="2"/>
    </row>
    <row r="32421" spans="1:8" x14ac:dyDescent="0.25">
      <c r="A32421" s="1"/>
      <c r="B32421" s="1" t="s">
        <v>8342</v>
      </c>
      <c r="C32421" s="1" t="s">
        <v>8343</v>
      </c>
      <c r="D32421" s="1" t="str">
        <f>HYPERLINK("https://rhld.insurance.arkansas.gov/NPILookup?Npi=1689092678","1689092678")</f>
        <v>1689092678</v>
      </c>
      <c r="E32421" s="1" t="s">
        <v>19228</v>
      </c>
      <c r="F32421" s="2"/>
      <c r="G32421" s="2"/>
      <c r="H32421" s="2"/>
    </row>
    <row r="32422" spans="1:8" x14ac:dyDescent="0.25">
      <c r="A32422" s="1"/>
      <c r="B32422" s="1" t="s">
        <v>8342</v>
      </c>
      <c r="C32422" s="1" t="s">
        <v>8343</v>
      </c>
      <c r="D32422" s="1" t="str">
        <f>HYPERLINK("https://rhld.insurance.arkansas.gov/NPILookup?Npi=1689617417","1689617417")</f>
        <v>1689617417</v>
      </c>
      <c r="E32422" s="1" t="s">
        <v>2501</v>
      </c>
      <c r="F32422" s="2"/>
      <c r="G32422" s="2"/>
      <c r="H32422" s="2"/>
    </row>
    <row r="32423" spans="1:8" x14ac:dyDescent="0.25">
      <c r="A32423" s="1"/>
      <c r="B32423" s="1" t="s">
        <v>8342</v>
      </c>
      <c r="C32423" s="1" t="s">
        <v>8343</v>
      </c>
      <c r="D32423" s="1" t="str">
        <f>HYPERLINK("https://rhld.insurance.arkansas.gov/NPILookup?Npi=1689668089","1689668089")</f>
        <v>1689668089</v>
      </c>
      <c r="E32423" s="1" t="s">
        <v>2165</v>
      </c>
      <c r="F32423" s="2"/>
      <c r="G32423" s="2"/>
      <c r="H32423" s="2"/>
    </row>
    <row r="32424" spans="1:8" x14ac:dyDescent="0.25">
      <c r="A32424" s="1"/>
      <c r="B32424" s="1" t="s">
        <v>8342</v>
      </c>
      <c r="C32424" s="1" t="s">
        <v>8343</v>
      </c>
      <c r="D32424" s="1" t="str">
        <f>HYPERLINK("https://rhld.insurance.arkansas.gov/NPILookup?Npi=1689833824","1689833824")</f>
        <v>1689833824</v>
      </c>
      <c r="E32424" s="1" t="s">
        <v>29973</v>
      </c>
      <c r="F32424" s="2"/>
      <c r="G32424" s="2"/>
      <c r="H32424" s="2"/>
    </row>
    <row r="32425" spans="1:8" x14ac:dyDescent="0.25">
      <c r="A32425" s="1"/>
      <c r="B32425" s="1" t="s">
        <v>8342</v>
      </c>
      <c r="C32425" s="1" t="s">
        <v>8343</v>
      </c>
      <c r="D32425" s="1" t="str">
        <f>HYPERLINK("https://rhld.insurance.arkansas.gov/NPILookup?Npi=1699065110","1699065110")</f>
        <v>1699065110</v>
      </c>
      <c r="E32425" s="1" t="s">
        <v>28192</v>
      </c>
      <c r="F32425" s="2"/>
      <c r="G32425" s="2"/>
      <c r="H32425" s="2"/>
    </row>
    <row r="32426" spans="1:8" x14ac:dyDescent="0.25">
      <c r="A32426" s="1"/>
      <c r="B32426" s="1" t="s">
        <v>8342</v>
      </c>
      <c r="C32426" s="1" t="s">
        <v>8343</v>
      </c>
      <c r="D32426" s="1" t="str">
        <f>HYPERLINK("https://rhld.insurance.arkansas.gov/NPILookup?Npi=1699272468","1699272468")</f>
        <v>1699272468</v>
      </c>
      <c r="E32426" s="1" t="s">
        <v>29974</v>
      </c>
      <c r="F32426" s="2"/>
      <c r="G32426" s="2"/>
      <c r="H32426" s="2"/>
    </row>
    <row r="32427" spans="1:8" x14ac:dyDescent="0.25">
      <c r="A32427" s="1"/>
      <c r="B32427" s="1" t="s">
        <v>8342</v>
      </c>
      <c r="C32427" s="1" t="s">
        <v>8343</v>
      </c>
      <c r="D32427" s="1" t="str">
        <f>HYPERLINK("https://rhld.insurance.arkansas.gov/NPILookup?Npi=1699352609","1699352609")</f>
        <v>1699352609</v>
      </c>
      <c r="E32427" s="1" t="s">
        <v>8380</v>
      </c>
      <c r="F32427" s="2"/>
      <c r="G32427" s="2"/>
      <c r="H32427" s="2"/>
    </row>
    <row r="32428" spans="1:8" x14ac:dyDescent="0.25">
      <c r="A32428" s="1"/>
      <c r="B32428" s="1" t="s">
        <v>8342</v>
      </c>
      <c r="C32428" s="1" t="s">
        <v>8343</v>
      </c>
      <c r="D32428" s="1" t="str">
        <f>HYPERLINK("https://rhld.insurance.arkansas.gov/NPILookup?Npi=1699713347","1699713347")</f>
        <v>1699713347</v>
      </c>
      <c r="E32428" s="1" t="s">
        <v>8381</v>
      </c>
      <c r="F32428" s="2"/>
      <c r="G32428" s="2"/>
      <c r="H32428" s="2"/>
    </row>
    <row r="32429" spans="1:8" x14ac:dyDescent="0.25">
      <c r="A32429" s="1"/>
      <c r="B32429" s="1" t="s">
        <v>8342</v>
      </c>
      <c r="C32429" s="1" t="s">
        <v>8343</v>
      </c>
      <c r="D32429" s="1" t="str">
        <f>HYPERLINK("https://rhld.insurance.arkansas.gov/NPILookup?Npi=1699753061","1699753061")</f>
        <v>1699753061</v>
      </c>
      <c r="E32429" s="1" t="s">
        <v>29975</v>
      </c>
      <c r="F32429" s="2"/>
      <c r="G32429" s="2"/>
      <c r="H32429" s="2"/>
    </row>
    <row r="32430" spans="1:8" x14ac:dyDescent="0.25">
      <c r="A32430" s="1"/>
      <c r="B32430" s="1" t="s">
        <v>8342</v>
      </c>
      <c r="C32430" s="1" t="s">
        <v>8343</v>
      </c>
      <c r="D32430" s="1" t="str">
        <f>HYPERLINK("https://rhld.insurance.arkansas.gov/NPILookup?Npi=1700143948","1700143948")</f>
        <v>1700143948</v>
      </c>
      <c r="E32430" s="1" t="s">
        <v>8382</v>
      </c>
      <c r="F32430" s="2"/>
      <c r="G32430" s="2"/>
      <c r="H32430" s="2"/>
    </row>
    <row r="32431" spans="1:8" x14ac:dyDescent="0.25">
      <c r="A32431" s="1"/>
      <c r="B32431" s="1" t="s">
        <v>8342</v>
      </c>
      <c r="C32431" s="1" t="s">
        <v>8343</v>
      </c>
      <c r="D32431" s="1" t="str">
        <f>HYPERLINK("https://rhld.insurance.arkansas.gov/NPILookup?Npi=1710483458","1710483458")</f>
        <v>1710483458</v>
      </c>
      <c r="E32431" s="1" t="s">
        <v>8383</v>
      </c>
      <c r="F32431" s="2"/>
      <c r="G32431" s="2"/>
      <c r="H32431" s="2"/>
    </row>
    <row r="32432" spans="1:8" x14ac:dyDescent="0.25">
      <c r="A32432" s="1"/>
      <c r="B32432" s="1" t="s">
        <v>8342</v>
      </c>
      <c r="C32432" s="1" t="s">
        <v>8343</v>
      </c>
      <c r="D32432" s="1" t="str">
        <f>HYPERLINK("https://rhld.insurance.arkansas.gov/NPILookup?Npi=1710546213","1710546213")</f>
        <v>1710546213</v>
      </c>
      <c r="E32432" s="1" t="s">
        <v>13990</v>
      </c>
      <c r="F32432" s="2"/>
      <c r="G32432" s="2"/>
      <c r="H32432" s="2"/>
    </row>
    <row r="32433" spans="1:8" x14ac:dyDescent="0.25">
      <c r="A32433" s="1"/>
      <c r="B32433" s="1" t="s">
        <v>8342</v>
      </c>
      <c r="C32433" s="1" t="s">
        <v>8343</v>
      </c>
      <c r="D32433" s="1" t="str">
        <f>HYPERLINK("https://rhld.insurance.arkansas.gov/NPILookup?Npi=1710919352","1710919352")</f>
        <v>1710919352</v>
      </c>
      <c r="E32433" s="1" t="s">
        <v>1144</v>
      </c>
      <c r="F32433" s="2"/>
      <c r="G32433" s="2"/>
      <c r="H32433" s="2"/>
    </row>
    <row r="32434" spans="1:8" x14ac:dyDescent="0.25">
      <c r="A32434" s="1"/>
      <c r="B32434" s="1" t="s">
        <v>8342</v>
      </c>
      <c r="C32434" s="1" t="s">
        <v>8343</v>
      </c>
      <c r="D32434" s="1" t="str">
        <f>HYPERLINK("https://rhld.insurance.arkansas.gov/NPILookup?Npi=1710952270","1710952270")</f>
        <v>1710952270</v>
      </c>
      <c r="E32434" s="1" t="s">
        <v>29976</v>
      </c>
      <c r="F32434" s="2"/>
      <c r="G32434" s="2"/>
      <c r="H32434" s="2"/>
    </row>
    <row r="32435" spans="1:8" x14ac:dyDescent="0.25">
      <c r="A32435" s="1"/>
      <c r="B32435" s="1" t="s">
        <v>8342</v>
      </c>
      <c r="C32435" s="1" t="s">
        <v>8343</v>
      </c>
      <c r="D32435" s="1" t="str">
        <f>HYPERLINK("https://rhld.insurance.arkansas.gov/NPILookup?Npi=1720033350","1720033350")</f>
        <v>1720033350</v>
      </c>
      <c r="E32435" s="1" t="s">
        <v>13992</v>
      </c>
      <c r="F32435" s="2"/>
      <c r="G32435" s="2"/>
      <c r="H32435" s="2"/>
    </row>
    <row r="32436" spans="1:8" x14ac:dyDescent="0.25">
      <c r="A32436" s="1"/>
      <c r="B32436" s="1" t="s">
        <v>8342</v>
      </c>
      <c r="C32436" s="1" t="s">
        <v>8343</v>
      </c>
      <c r="D32436" s="1" t="str">
        <f>HYPERLINK("https://rhld.insurance.arkansas.gov/NPILookup?Npi=1720364086","1720364086")</f>
        <v>1720364086</v>
      </c>
      <c r="E32436" s="1" t="s">
        <v>29977</v>
      </c>
      <c r="F32436" s="2"/>
      <c r="G32436" s="2"/>
      <c r="H32436" s="2"/>
    </row>
    <row r="32437" spans="1:8" x14ac:dyDescent="0.25">
      <c r="A32437" s="1"/>
      <c r="B32437" s="1" t="s">
        <v>8342</v>
      </c>
      <c r="C32437" s="1" t="s">
        <v>8343</v>
      </c>
      <c r="D32437" s="1" t="str">
        <f>HYPERLINK("https://rhld.insurance.arkansas.gov/NPILookup?Npi=1720473085","1720473085")</f>
        <v>1720473085</v>
      </c>
      <c r="E32437" s="1" t="s">
        <v>29978</v>
      </c>
      <c r="F32437" s="2"/>
      <c r="G32437" s="2"/>
      <c r="H32437" s="2"/>
    </row>
    <row r="32438" spans="1:8" x14ac:dyDescent="0.25">
      <c r="A32438" s="1"/>
      <c r="B32438" s="1" t="s">
        <v>8342</v>
      </c>
      <c r="C32438" s="1" t="s">
        <v>8343</v>
      </c>
      <c r="D32438" s="1" t="str">
        <f>HYPERLINK("https://rhld.insurance.arkansas.gov/NPILookup?Npi=1720514003","1720514003")</f>
        <v>1720514003</v>
      </c>
      <c r="E32438" s="1" t="s">
        <v>10895</v>
      </c>
      <c r="F32438" s="2"/>
      <c r="G32438" s="2"/>
      <c r="H32438" s="2"/>
    </row>
    <row r="32439" spans="1:8" x14ac:dyDescent="0.25">
      <c r="A32439" s="1"/>
      <c r="B32439" s="1" t="s">
        <v>8342</v>
      </c>
      <c r="C32439" s="1" t="s">
        <v>8343</v>
      </c>
      <c r="D32439" s="1" t="str">
        <f>HYPERLINK("https://rhld.insurance.arkansas.gov/NPILookup?Npi=1720519085","1720519085")</f>
        <v>1720519085</v>
      </c>
      <c r="E32439" s="1" t="s">
        <v>12042</v>
      </c>
      <c r="F32439" s="2"/>
      <c r="G32439" s="2"/>
      <c r="H32439" s="2"/>
    </row>
    <row r="32440" spans="1:8" x14ac:dyDescent="0.25">
      <c r="A32440" s="1"/>
      <c r="B32440" s="1" t="s">
        <v>8342</v>
      </c>
      <c r="C32440" s="1" t="s">
        <v>8343</v>
      </c>
      <c r="D32440" s="1" t="str">
        <f>HYPERLINK("https://rhld.insurance.arkansas.gov/NPILookup?Npi=1730115999","1730115999")</f>
        <v>1730115999</v>
      </c>
      <c r="E32440" s="1" t="s">
        <v>29979</v>
      </c>
      <c r="F32440" s="2"/>
      <c r="G32440" s="2"/>
      <c r="H32440" s="2"/>
    </row>
    <row r="32441" spans="1:8" x14ac:dyDescent="0.25">
      <c r="A32441" s="1"/>
      <c r="B32441" s="1" t="s">
        <v>8342</v>
      </c>
      <c r="C32441" s="1" t="s">
        <v>8343</v>
      </c>
      <c r="D32441" s="1" t="str">
        <f>HYPERLINK("https://rhld.insurance.arkansas.gov/NPILookup?Npi=1730155284","1730155284")</f>
        <v>1730155284</v>
      </c>
      <c r="E32441" s="1" t="s">
        <v>8384</v>
      </c>
      <c r="F32441" s="2"/>
      <c r="G32441" s="2"/>
      <c r="H32441" s="2"/>
    </row>
    <row r="32442" spans="1:8" x14ac:dyDescent="0.25">
      <c r="A32442" s="1"/>
      <c r="B32442" s="1" t="s">
        <v>8342</v>
      </c>
      <c r="C32442" s="1" t="s">
        <v>8343</v>
      </c>
      <c r="D32442" s="1" t="str">
        <f>HYPERLINK("https://rhld.insurance.arkansas.gov/NPILookup?Npi=1730299702","1730299702")</f>
        <v>1730299702</v>
      </c>
      <c r="E32442" s="1" t="s">
        <v>29980</v>
      </c>
      <c r="F32442" s="2"/>
      <c r="G32442" s="2"/>
      <c r="H32442" s="2"/>
    </row>
    <row r="32443" spans="1:8" x14ac:dyDescent="0.25">
      <c r="A32443" s="1"/>
      <c r="B32443" s="1" t="s">
        <v>8342</v>
      </c>
      <c r="C32443" s="1" t="s">
        <v>8343</v>
      </c>
      <c r="D32443" s="1" t="str">
        <f>HYPERLINK("https://rhld.insurance.arkansas.gov/NPILookup?Npi=1730304874","1730304874")</f>
        <v>1730304874</v>
      </c>
      <c r="E32443" s="1" t="s">
        <v>29981</v>
      </c>
      <c r="F32443" s="2"/>
      <c r="G32443" s="2"/>
      <c r="H32443" s="2"/>
    </row>
    <row r="32444" spans="1:8" x14ac:dyDescent="0.25">
      <c r="A32444" s="1"/>
      <c r="B32444" s="1" t="s">
        <v>8342</v>
      </c>
      <c r="C32444" s="1" t="s">
        <v>8343</v>
      </c>
      <c r="D32444" s="1" t="str">
        <f>HYPERLINK("https://rhld.insurance.arkansas.gov/NPILookup?Npi=1730307570","1730307570")</f>
        <v>1730307570</v>
      </c>
      <c r="E32444" s="1" t="s">
        <v>29982</v>
      </c>
      <c r="F32444" s="2"/>
      <c r="G32444" s="2"/>
      <c r="H32444" s="2"/>
    </row>
    <row r="32445" spans="1:8" x14ac:dyDescent="0.25">
      <c r="A32445" s="1"/>
      <c r="B32445" s="1" t="s">
        <v>8342</v>
      </c>
      <c r="C32445" s="1" t="s">
        <v>8343</v>
      </c>
      <c r="D32445" s="1" t="str">
        <f>HYPERLINK("https://rhld.insurance.arkansas.gov/NPILookup?Npi=1730576257","1730576257")</f>
        <v>1730576257</v>
      </c>
      <c r="E32445" s="1" t="s">
        <v>19244</v>
      </c>
      <c r="F32445" s="2"/>
      <c r="G32445" s="2"/>
      <c r="H32445" s="2"/>
    </row>
    <row r="32446" spans="1:8" x14ac:dyDescent="0.25">
      <c r="A32446" s="1"/>
      <c r="B32446" s="1" t="s">
        <v>8342</v>
      </c>
      <c r="C32446" s="1" t="s">
        <v>8343</v>
      </c>
      <c r="D32446" s="1" t="str">
        <f>HYPERLINK("https://rhld.insurance.arkansas.gov/NPILookup?Npi=1730700105","1730700105")</f>
        <v>1730700105</v>
      </c>
      <c r="E32446" s="1" t="s">
        <v>29983</v>
      </c>
      <c r="F32446" s="2"/>
      <c r="G32446" s="2"/>
      <c r="H32446" s="2"/>
    </row>
    <row r="32447" spans="1:8" x14ac:dyDescent="0.25">
      <c r="A32447" s="1"/>
      <c r="B32447" s="1" t="s">
        <v>8342</v>
      </c>
      <c r="C32447" s="1" t="s">
        <v>8343</v>
      </c>
      <c r="D32447" s="1" t="str">
        <f>HYPERLINK("https://rhld.insurance.arkansas.gov/NPILookup?Npi=1740268390","1740268390")</f>
        <v>1740268390</v>
      </c>
      <c r="E32447" s="1" t="s">
        <v>29984</v>
      </c>
      <c r="F32447" s="2"/>
      <c r="G32447" s="2"/>
      <c r="H32447" s="2"/>
    </row>
    <row r="32448" spans="1:8" x14ac:dyDescent="0.25">
      <c r="A32448" s="1"/>
      <c r="B32448" s="1" t="s">
        <v>8342</v>
      </c>
      <c r="C32448" s="1" t="s">
        <v>8343</v>
      </c>
      <c r="D32448" s="1" t="str">
        <f>HYPERLINK("https://rhld.insurance.arkansas.gov/NPILookup?Npi=1740283910","1740283910")</f>
        <v>1740283910</v>
      </c>
      <c r="E32448" s="1" t="s">
        <v>23167</v>
      </c>
      <c r="F32448" s="2"/>
      <c r="G32448" s="2"/>
      <c r="H32448" s="2"/>
    </row>
    <row r="32449" spans="1:8" x14ac:dyDescent="0.25">
      <c r="A32449" s="1"/>
      <c r="B32449" s="1" t="s">
        <v>8342</v>
      </c>
      <c r="C32449" s="1" t="s">
        <v>8343</v>
      </c>
      <c r="D32449" s="1" t="str">
        <f>HYPERLINK("https://rhld.insurance.arkansas.gov/NPILookup?Npi=1740424522","1740424522")</f>
        <v>1740424522</v>
      </c>
      <c r="E32449" s="1" t="s">
        <v>23171</v>
      </c>
      <c r="F32449" s="2"/>
      <c r="G32449" s="2"/>
      <c r="H32449" s="2"/>
    </row>
    <row r="32450" spans="1:8" x14ac:dyDescent="0.25">
      <c r="A32450" s="1"/>
      <c r="B32450" s="1" t="s">
        <v>8342</v>
      </c>
      <c r="C32450" s="1" t="s">
        <v>8343</v>
      </c>
      <c r="D32450" s="1" t="str">
        <f>HYPERLINK("https://rhld.insurance.arkansas.gov/NPILookup?Npi=1740474832","1740474832")</f>
        <v>1740474832</v>
      </c>
      <c r="E32450" s="1" t="s">
        <v>29985</v>
      </c>
      <c r="F32450" s="2"/>
      <c r="G32450" s="2"/>
      <c r="H32450" s="2"/>
    </row>
    <row r="32451" spans="1:8" x14ac:dyDescent="0.25">
      <c r="A32451" s="1"/>
      <c r="B32451" s="1" t="s">
        <v>8342</v>
      </c>
      <c r="C32451" s="1" t="s">
        <v>8343</v>
      </c>
      <c r="D32451" s="1" t="str">
        <f>HYPERLINK("https://rhld.insurance.arkansas.gov/NPILookup?Npi=1750433256","1750433256")</f>
        <v>1750433256</v>
      </c>
      <c r="E32451" s="1" t="s">
        <v>1146</v>
      </c>
      <c r="F32451" s="2"/>
      <c r="G32451" s="2"/>
      <c r="H32451" s="2"/>
    </row>
    <row r="32452" spans="1:8" x14ac:dyDescent="0.25">
      <c r="A32452" s="1"/>
      <c r="B32452" s="1" t="s">
        <v>8342</v>
      </c>
      <c r="C32452" s="1" t="s">
        <v>8343</v>
      </c>
      <c r="D32452" s="1" t="str">
        <f>HYPERLINK("https://rhld.insurance.arkansas.gov/NPILookup?Npi=1750483699","1750483699")</f>
        <v>1750483699</v>
      </c>
      <c r="E32452" s="1" t="s">
        <v>13994</v>
      </c>
      <c r="F32452" s="2"/>
      <c r="G32452" s="2"/>
      <c r="H32452" s="2"/>
    </row>
    <row r="32453" spans="1:8" x14ac:dyDescent="0.25">
      <c r="A32453" s="1"/>
      <c r="B32453" s="1" t="s">
        <v>8342</v>
      </c>
      <c r="C32453" s="1" t="s">
        <v>8343</v>
      </c>
      <c r="D32453" s="1" t="str">
        <f>HYPERLINK("https://rhld.insurance.arkansas.gov/NPILookup?Npi=1760438642","1760438642")</f>
        <v>1760438642</v>
      </c>
      <c r="E32453" s="1" t="s">
        <v>12074</v>
      </c>
      <c r="F32453" s="2"/>
      <c r="G32453" s="2"/>
      <c r="H32453" s="2"/>
    </row>
    <row r="32454" spans="1:8" x14ac:dyDescent="0.25">
      <c r="A32454" s="1"/>
      <c r="B32454" s="1" t="s">
        <v>8342</v>
      </c>
      <c r="C32454" s="1" t="s">
        <v>8343</v>
      </c>
      <c r="D32454" s="1" t="str">
        <f>HYPERLINK("https://rhld.insurance.arkansas.gov/NPILookup?Npi=1760449342","1760449342")</f>
        <v>1760449342</v>
      </c>
      <c r="E32454" s="1" t="s">
        <v>20638</v>
      </c>
      <c r="F32454" s="2"/>
      <c r="G32454" s="2"/>
      <c r="H32454" s="2"/>
    </row>
    <row r="32455" spans="1:8" x14ac:dyDescent="0.25">
      <c r="A32455" s="1"/>
      <c r="B32455" s="1" t="s">
        <v>8342</v>
      </c>
      <c r="C32455" s="1" t="s">
        <v>8343</v>
      </c>
      <c r="D32455" s="1" t="str">
        <f>HYPERLINK("https://rhld.insurance.arkansas.gov/NPILookup?Npi=1760468763","1760468763")</f>
        <v>1760468763</v>
      </c>
      <c r="E32455" s="1" t="s">
        <v>29986</v>
      </c>
      <c r="F32455" s="2"/>
      <c r="G32455" s="2"/>
      <c r="H32455" s="2"/>
    </row>
    <row r="32456" spans="1:8" x14ac:dyDescent="0.25">
      <c r="A32456" s="1"/>
      <c r="B32456" s="1" t="s">
        <v>8342</v>
      </c>
      <c r="C32456" s="1" t="s">
        <v>8343</v>
      </c>
      <c r="D32456" s="1" t="str">
        <f>HYPERLINK("https://rhld.insurance.arkansas.gov/NPILookup?Npi=1760498182","1760498182")</f>
        <v>1760498182</v>
      </c>
      <c r="E32456" s="1" t="s">
        <v>1147</v>
      </c>
      <c r="F32456" s="2"/>
      <c r="G32456" s="2"/>
      <c r="H32456" s="2"/>
    </row>
    <row r="32457" spans="1:8" x14ac:dyDescent="0.25">
      <c r="A32457" s="1"/>
      <c r="B32457" s="1" t="s">
        <v>8342</v>
      </c>
      <c r="C32457" s="1" t="s">
        <v>8343</v>
      </c>
      <c r="D32457" s="1" t="str">
        <f>HYPERLINK("https://rhld.insurance.arkansas.gov/NPILookup?Npi=1760649594","1760649594")</f>
        <v>1760649594</v>
      </c>
      <c r="E32457" s="1" t="s">
        <v>29987</v>
      </c>
      <c r="F32457" s="2"/>
      <c r="G32457" s="2"/>
      <c r="H32457" s="2"/>
    </row>
    <row r="32458" spans="1:8" x14ac:dyDescent="0.25">
      <c r="A32458" s="1"/>
      <c r="B32458" s="1" t="s">
        <v>8342</v>
      </c>
      <c r="C32458" s="1" t="s">
        <v>8343</v>
      </c>
      <c r="D32458" s="1" t="str">
        <f>HYPERLINK("https://rhld.insurance.arkansas.gov/NPILookup?Npi=1770160889","1770160889")</f>
        <v>1770160889</v>
      </c>
      <c r="E32458" s="1" t="s">
        <v>8385</v>
      </c>
      <c r="F32458" s="2"/>
      <c r="G32458" s="2"/>
      <c r="H32458" s="2"/>
    </row>
    <row r="32459" spans="1:8" x14ac:dyDescent="0.25">
      <c r="A32459" s="1"/>
      <c r="B32459" s="1" t="s">
        <v>8342</v>
      </c>
      <c r="C32459" s="1" t="s">
        <v>8343</v>
      </c>
      <c r="D32459" s="1" t="str">
        <f>HYPERLINK("https://rhld.insurance.arkansas.gov/NPILookup?Npi=1770575177","1770575177")</f>
        <v>1770575177</v>
      </c>
      <c r="E32459" s="1" t="s">
        <v>13995</v>
      </c>
      <c r="F32459" s="2"/>
      <c r="G32459" s="2"/>
      <c r="H32459" s="2"/>
    </row>
    <row r="32460" spans="1:8" x14ac:dyDescent="0.25">
      <c r="A32460" s="1"/>
      <c r="B32460" s="1" t="s">
        <v>8342</v>
      </c>
      <c r="C32460" s="1" t="s">
        <v>8343</v>
      </c>
      <c r="D32460" s="1" t="str">
        <f>HYPERLINK("https://rhld.insurance.arkansas.gov/NPILookup?Npi=1770604746","1770604746")</f>
        <v>1770604746</v>
      </c>
      <c r="E32460" s="1" t="s">
        <v>29988</v>
      </c>
      <c r="F32460" s="2"/>
      <c r="G32460" s="2"/>
      <c r="H32460" s="2"/>
    </row>
    <row r="32461" spans="1:8" x14ac:dyDescent="0.25">
      <c r="A32461" s="1"/>
      <c r="B32461" s="1" t="s">
        <v>8342</v>
      </c>
      <c r="C32461" s="1" t="s">
        <v>8343</v>
      </c>
      <c r="D32461" s="1" t="str">
        <f>HYPERLINK("https://rhld.insurance.arkansas.gov/NPILookup?Npi=1770651408","1770651408")</f>
        <v>1770651408</v>
      </c>
      <c r="E32461" s="1" t="s">
        <v>29989</v>
      </c>
      <c r="F32461" s="2"/>
      <c r="G32461" s="2"/>
      <c r="H32461" s="2"/>
    </row>
    <row r="32462" spans="1:8" x14ac:dyDescent="0.25">
      <c r="A32462" s="1"/>
      <c r="B32462" s="1" t="s">
        <v>8342</v>
      </c>
      <c r="C32462" s="1" t="s">
        <v>8343</v>
      </c>
      <c r="D32462" s="1" t="str">
        <f>HYPERLINK("https://rhld.insurance.arkansas.gov/NPILookup?Npi=1770873705","1770873705")</f>
        <v>1770873705</v>
      </c>
      <c r="E32462" s="1" t="s">
        <v>29990</v>
      </c>
      <c r="F32462" s="2"/>
      <c r="G32462" s="2"/>
      <c r="H32462" s="2"/>
    </row>
    <row r="32463" spans="1:8" x14ac:dyDescent="0.25">
      <c r="A32463" s="1"/>
      <c r="B32463" s="1" t="s">
        <v>8342</v>
      </c>
      <c r="C32463" s="1" t="s">
        <v>8343</v>
      </c>
      <c r="D32463" s="1" t="str">
        <f>HYPERLINK("https://rhld.insurance.arkansas.gov/NPILookup?Npi=1770999575","1770999575")</f>
        <v>1770999575</v>
      </c>
      <c r="E32463" s="1" t="s">
        <v>451</v>
      </c>
      <c r="F32463" s="2"/>
      <c r="G32463" s="2"/>
      <c r="H32463" s="2"/>
    </row>
    <row r="32464" spans="1:8" x14ac:dyDescent="0.25">
      <c r="A32464" s="1"/>
      <c r="B32464" s="1" t="s">
        <v>8342</v>
      </c>
      <c r="C32464" s="1" t="s">
        <v>8343</v>
      </c>
      <c r="D32464" s="1" t="str">
        <f>HYPERLINK("https://rhld.insurance.arkansas.gov/NPILookup?Npi=1780666495","1780666495")</f>
        <v>1780666495</v>
      </c>
      <c r="E32464" s="1" t="s">
        <v>29991</v>
      </c>
      <c r="F32464" s="2"/>
      <c r="G32464" s="2"/>
      <c r="H32464" s="2"/>
    </row>
    <row r="32465" spans="1:8" x14ac:dyDescent="0.25">
      <c r="A32465" s="1"/>
      <c r="B32465" s="1" t="s">
        <v>8342</v>
      </c>
      <c r="C32465" s="1" t="s">
        <v>8343</v>
      </c>
      <c r="D32465" s="1" t="str">
        <f>HYPERLINK("https://rhld.insurance.arkansas.gov/NPILookup?Npi=1780685024","1780685024")</f>
        <v>1780685024</v>
      </c>
      <c r="E32465" s="1" t="s">
        <v>13997</v>
      </c>
      <c r="F32465" s="2"/>
      <c r="G32465" s="2"/>
      <c r="H32465" s="2"/>
    </row>
    <row r="32466" spans="1:8" x14ac:dyDescent="0.25">
      <c r="A32466" s="1"/>
      <c r="B32466" s="1" t="s">
        <v>8342</v>
      </c>
      <c r="C32466" s="1" t="s">
        <v>8343</v>
      </c>
      <c r="D32466" s="1" t="str">
        <f>HYPERLINK("https://rhld.insurance.arkansas.gov/NPILookup?Npi=1780690230","1780690230")</f>
        <v>1780690230</v>
      </c>
      <c r="E32466" s="1" t="s">
        <v>3372</v>
      </c>
      <c r="F32466" s="2"/>
      <c r="G32466" s="2"/>
      <c r="H32466" s="2"/>
    </row>
    <row r="32467" spans="1:8" x14ac:dyDescent="0.25">
      <c r="A32467" s="1"/>
      <c r="B32467" s="1" t="s">
        <v>8342</v>
      </c>
      <c r="C32467" s="1" t="s">
        <v>8343</v>
      </c>
      <c r="D32467" s="1" t="str">
        <f>HYPERLINK("https://rhld.insurance.arkansas.gov/NPILookup?Npi=1780698548","1780698548")</f>
        <v>1780698548</v>
      </c>
      <c r="E32467" s="1" t="s">
        <v>29992</v>
      </c>
      <c r="F32467" s="2"/>
      <c r="G32467" s="2"/>
      <c r="H32467" s="2"/>
    </row>
    <row r="32468" spans="1:8" x14ac:dyDescent="0.25">
      <c r="A32468" s="1"/>
      <c r="B32468" s="1" t="s">
        <v>8342</v>
      </c>
      <c r="C32468" s="1" t="s">
        <v>8343</v>
      </c>
      <c r="D32468" s="1" t="str">
        <f>HYPERLINK("https://rhld.insurance.arkansas.gov/NPILookup?Npi=1790216299","1790216299")</f>
        <v>1790216299</v>
      </c>
      <c r="E32468" s="1" t="s">
        <v>29993</v>
      </c>
      <c r="F32468" s="2"/>
      <c r="G32468" s="2"/>
      <c r="H32468" s="2"/>
    </row>
    <row r="32469" spans="1:8" x14ac:dyDescent="0.25">
      <c r="A32469" s="1"/>
      <c r="B32469" s="1" t="s">
        <v>8342</v>
      </c>
      <c r="C32469" s="1" t="s">
        <v>8343</v>
      </c>
      <c r="D32469" s="1" t="str">
        <f>HYPERLINK("https://rhld.insurance.arkansas.gov/NPILookup?Npi=1790846947","1790846947")</f>
        <v>1790846947</v>
      </c>
      <c r="E32469" s="1" t="s">
        <v>29994</v>
      </c>
      <c r="F32469" s="2"/>
      <c r="G32469" s="2"/>
      <c r="H32469" s="2"/>
    </row>
    <row r="32470" spans="1:8" x14ac:dyDescent="0.25">
      <c r="A32470" s="1"/>
      <c r="B32470" s="1" t="s">
        <v>8342</v>
      </c>
      <c r="C32470" s="1" t="s">
        <v>8343</v>
      </c>
      <c r="D32470" s="1" t="str">
        <f>HYPERLINK("https://rhld.insurance.arkansas.gov/NPILookup?Npi=1790861714","1790861714")</f>
        <v>1790861714</v>
      </c>
      <c r="E32470" s="1" t="s">
        <v>29995</v>
      </c>
      <c r="F32470" s="2"/>
      <c r="G32470" s="2"/>
      <c r="H32470" s="2"/>
    </row>
    <row r="32471" spans="1:8" x14ac:dyDescent="0.25">
      <c r="A32471" s="1"/>
      <c r="B32471" s="1" t="s">
        <v>8342</v>
      </c>
      <c r="C32471" s="1" t="s">
        <v>8343</v>
      </c>
      <c r="D32471" s="1" t="str">
        <f>HYPERLINK("https://rhld.insurance.arkansas.gov/NPILookup?Npi=1790870905","1790870905")</f>
        <v>1790870905</v>
      </c>
      <c r="E32471" s="1" t="s">
        <v>8386</v>
      </c>
      <c r="F32471" s="2"/>
      <c r="G32471" s="2"/>
      <c r="H32471" s="2"/>
    </row>
    <row r="32472" spans="1:8" x14ac:dyDescent="0.25">
      <c r="A32472" s="1"/>
      <c r="B32472" s="1" t="s">
        <v>8342</v>
      </c>
      <c r="C32472" s="1" t="s">
        <v>8343</v>
      </c>
      <c r="D32472" s="1" t="str">
        <f>HYPERLINK("https://rhld.insurance.arkansas.gov/NPILookup?Npi=1801014659","1801014659")</f>
        <v>1801014659</v>
      </c>
      <c r="E32472" s="1" t="s">
        <v>29996</v>
      </c>
      <c r="F32472" s="2"/>
      <c r="G32472" s="2"/>
      <c r="H32472" s="2"/>
    </row>
    <row r="32473" spans="1:8" x14ac:dyDescent="0.25">
      <c r="A32473" s="1"/>
      <c r="B32473" s="1" t="s">
        <v>8342</v>
      </c>
      <c r="C32473" s="1" t="s">
        <v>8343</v>
      </c>
      <c r="D32473" s="1" t="str">
        <f>HYPERLINK("https://rhld.insurance.arkansas.gov/NPILookup?Npi=1801281837","1801281837")</f>
        <v>1801281837</v>
      </c>
      <c r="E32473" s="1" t="s">
        <v>23363</v>
      </c>
      <c r="F32473" s="2"/>
      <c r="G32473" s="2"/>
      <c r="H32473" s="2"/>
    </row>
    <row r="32474" spans="1:8" x14ac:dyDescent="0.25">
      <c r="A32474" s="1"/>
      <c r="B32474" s="1" t="s">
        <v>8342</v>
      </c>
      <c r="C32474" s="1" t="s">
        <v>8343</v>
      </c>
      <c r="D32474" s="1" t="str">
        <f>HYPERLINK("https://rhld.insurance.arkansas.gov/NPILookup?Npi=1801390257","1801390257")</f>
        <v>1801390257</v>
      </c>
      <c r="E32474" s="1" t="s">
        <v>11483</v>
      </c>
      <c r="F32474" s="2"/>
      <c r="G32474" s="2"/>
      <c r="H32474" s="2"/>
    </row>
    <row r="32475" spans="1:8" x14ac:dyDescent="0.25">
      <c r="A32475" s="1"/>
      <c r="B32475" s="1" t="s">
        <v>8342</v>
      </c>
      <c r="C32475" s="1" t="s">
        <v>8343</v>
      </c>
      <c r="D32475" s="1" t="str">
        <f>HYPERLINK("https://rhld.insurance.arkansas.gov/NPILookup?Npi=1801424510","1801424510")</f>
        <v>1801424510</v>
      </c>
      <c r="E32475" s="1" t="s">
        <v>29997</v>
      </c>
      <c r="F32475" s="2"/>
      <c r="G32475" s="2"/>
      <c r="H32475" s="2"/>
    </row>
    <row r="32476" spans="1:8" x14ac:dyDescent="0.25">
      <c r="A32476" s="1"/>
      <c r="B32476" s="1" t="s">
        <v>8342</v>
      </c>
      <c r="C32476" s="1" t="s">
        <v>8343</v>
      </c>
      <c r="D32476" s="1" t="str">
        <f>HYPERLINK("https://rhld.insurance.arkansas.gov/NPILookup?Npi=1801854195","1801854195")</f>
        <v>1801854195</v>
      </c>
      <c r="E32476" s="1" t="s">
        <v>3379</v>
      </c>
      <c r="F32476" s="2"/>
      <c r="G32476" s="2"/>
      <c r="H32476" s="2"/>
    </row>
    <row r="32477" spans="1:8" x14ac:dyDescent="0.25">
      <c r="A32477" s="1"/>
      <c r="B32477" s="1" t="s">
        <v>8342</v>
      </c>
      <c r="C32477" s="1" t="s">
        <v>8343</v>
      </c>
      <c r="D32477" s="1" t="str">
        <f>HYPERLINK("https://rhld.insurance.arkansas.gov/NPILookup?Npi=1801951090","1801951090")</f>
        <v>1801951090</v>
      </c>
      <c r="E32477" s="1" t="s">
        <v>29998</v>
      </c>
      <c r="F32477" s="2"/>
      <c r="G32477" s="2"/>
      <c r="H32477" s="2"/>
    </row>
    <row r="32478" spans="1:8" x14ac:dyDescent="0.25">
      <c r="A32478" s="1"/>
      <c r="B32478" s="1" t="s">
        <v>8342</v>
      </c>
      <c r="C32478" s="1" t="s">
        <v>8343</v>
      </c>
      <c r="D32478" s="1" t="str">
        <f>HYPERLINK("https://rhld.insurance.arkansas.gov/NPILookup?Npi=1811007081","1811007081")</f>
        <v>1811007081</v>
      </c>
      <c r="E32478" s="1" t="s">
        <v>13998</v>
      </c>
      <c r="F32478" s="2"/>
      <c r="G32478" s="2"/>
      <c r="H32478" s="2"/>
    </row>
    <row r="32479" spans="1:8" x14ac:dyDescent="0.25">
      <c r="A32479" s="1"/>
      <c r="B32479" s="1" t="s">
        <v>8342</v>
      </c>
      <c r="C32479" s="1" t="s">
        <v>8343</v>
      </c>
      <c r="D32479" s="1" t="str">
        <f>HYPERLINK("https://rhld.insurance.arkansas.gov/NPILookup?Npi=1811150303","1811150303")</f>
        <v>1811150303</v>
      </c>
      <c r="E32479" s="1" t="s">
        <v>3382</v>
      </c>
      <c r="F32479" s="2"/>
      <c r="G32479" s="2"/>
      <c r="H32479" s="2"/>
    </row>
    <row r="32480" spans="1:8" x14ac:dyDescent="0.25">
      <c r="A32480" s="1"/>
      <c r="B32480" s="1" t="s">
        <v>8342</v>
      </c>
      <c r="C32480" s="1" t="s">
        <v>8343</v>
      </c>
      <c r="D32480" s="1" t="str">
        <f>HYPERLINK("https://rhld.insurance.arkansas.gov/NPILookup?Npi=1811170301","1811170301")</f>
        <v>1811170301</v>
      </c>
      <c r="E32480" s="1" t="s">
        <v>29999</v>
      </c>
      <c r="F32480" s="2"/>
      <c r="G32480" s="2"/>
      <c r="H32480" s="2"/>
    </row>
    <row r="32481" spans="1:8" x14ac:dyDescent="0.25">
      <c r="A32481" s="1"/>
      <c r="B32481" s="1" t="s">
        <v>8342</v>
      </c>
      <c r="C32481" s="1" t="s">
        <v>8343</v>
      </c>
      <c r="D32481" s="1" t="str">
        <f>HYPERLINK("https://rhld.insurance.arkansas.gov/NPILookup?Npi=1811214737","1811214737")</f>
        <v>1811214737</v>
      </c>
      <c r="E32481" s="1" t="s">
        <v>30000</v>
      </c>
      <c r="F32481" s="2"/>
      <c r="G32481" s="2"/>
      <c r="H32481" s="2"/>
    </row>
    <row r="32482" spans="1:8" x14ac:dyDescent="0.25">
      <c r="A32482" s="1"/>
      <c r="B32482" s="1" t="s">
        <v>8342</v>
      </c>
      <c r="C32482" s="1" t="s">
        <v>8343</v>
      </c>
      <c r="D32482" s="1" t="str">
        <f>HYPERLINK("https://rhld.insurance.arkansas.gov/NPILookup?Npi=1811383656","1811383656")</f>
        <v>1811383656</v>
      </c>
      <c r="E32482" s="1" t="s">
        <v>13999</v>
      </c>
      <c r="F32482" s="2"/>
      <c r="G32482" s="2"/>
      <c r="H32482" s="2"/>
    </row>
    <row r="32483" spans="1:8" x14ac:dyDescent="0.25">
      <c r="A32483" s="1"/>
      <c r="B32483" s="1" t="s">
        <v>8342</v>
      </c>
      <c r="C32483" s="1" t="s">
        <v>8343</v>
      </c>
      <c r="D32483" s="1" t="str">
        <f>HYPERLINK("https://rhld.insurance.arkansas.gov/NPILookup?Npi=1811904915","1811904915")</f>
        <v>1811904915</v>
      </c>
      <c r="E32483" s="1" t="s">
        <v>23414</v>
      </c>
      <c r="F32483" s="2"/>
      <c r="G32483" s="2"/>
      <c r="H32483" s="2"/>
    </row>
    <row r="32484" spans="1:8" x14ac:dyDescent="0.25">
      <c r="A32484" s="1"/>
      <c r="B32484" s="1" t="s">
        <v>8342</v>
      </c>
      <c r="C32484" s="1" t="s">
        <v>8343</v>
      </c>
      <c r="D32484" s="1" t="str">
        <f>HYPERLINK("https://rhld.insurance.arkansas.gov/NPILookup?Npi=1821160151","1821160151")</f>
        <v>1821160151</v>
      </c>
      <c r="E32484" s="1" t="s">
        <v>22011</v>
      </c>
      <c r="F32484" s="2"/>
      <c r="G32484" s="2"/>
      <c r="H32484" s="2"/>
    </row>
    <row r="32485" spans="1:8" x14ac:dyDescent="0.25">
      <c r="A32485" s="1"/>
      <c r="B32485" s="1" t="s">
        <v>8342</v>
      </c>
      <c r="C32485" s="1" t="s">
        <v>8343</v>
      </c>
      <c r="D32485" s="1" t="str">
        <f>HYPERLINK("https://rhld.insurance.arkansas.gov/NPILookup?Npi=1821382995","1821382995")</f>
        <v>1821382995</v>
      </c>
      <c r="E32485" s="1" t="s">
        <v>30001</v>
      </c>
      <c r="F32485" s="2"/>
      <c r="G32485" s="2"/>
      <c r="H32485" s="2"/>
    </row>
    <row r="32486" spans="1:8" x14ac:dyDescent="0.25">
      <c r="A32486" s="1"/>
      <c r="B32486" s="1" t="s">
        <v>8342</v>
      </c>
      <c r="C32486" s="1" t="s">
        <v>8343</v>
      </c>
      <c r="D32486" s="1" t="str">
        <f>HYPERLINK("https://rhld.insurance.arkansas.gov/NPILookup?Npi=1821550245","1821550245")</f>
        <v>1821550245</v>
      </c>
      <c r="E32486" s="1" t="s">
        <v>10905</v>
      </c>
      <c r="F32486" s="2"/>
      <c r="G32486" s="2"/>
      <c r="H32486" s="2"/>
    </row>
    <row r="32487" spans="1:8" x14ac:dyDescent="0.25">
      <c r="A32487" s="1"/>
      <c r="B32487" s="1" t="s">
        <v>8342</v>
      </c>
      <c r="C32487" s="1" t="s">
        <v>8343</v>
      </c>
      <c r="D32487" s="1" t="str">
        <f>HYPERLINK("https://rhld.insurance.arkansas.gov/NPILookup?Npi=1831115419","1831115419")</f>
        <v>1831115419</v>
      </c>
      <c r="E32487" s="1" t="s">
        <v>1526</v>
      </c>
      <c r="F32487" s="2"/>
      <c r="G32487" s="2"/>
      <c r="H32487" s="2"/>
    </row>
    <row r="32488" spans="1:8" x14ac:dyDescent="0.25">
      <c r="A32488" s="1"/>
      <c r="B32488" s="1" t="s">
        <v>8342</v>
      </c>
      <c r="C32488" s="1" t="s">
        <v>8343</v>
      </c>
      <c r="D32488" s="1" t="str">
        <f>HYPERLINK("https://rhld.insurance.arkansas.gov/NPILookup?Npi=1831206341","1831206341")</f>
        <v>1831206341</v>
      </c>
      <c r="E32488" s="1" t="s">
        <v>30002</v>
      </c>
      <c r="F32488" s="2"/>
      <c r="G32488" s="2"/>
      <c r="H32488" s="2"/>
    </row>
    <row r="32489" spans="1:8" x14ac:dyDescent="0.25">
      <c r="A32489" s="1"/>
      <c r="B32489" s="1" t="s">
        <v>8342</v>
      </c>
      <c r="C32489" s="1" t="s">
        <v>8343</v>
      </c>
      <c r="D32489" s="1" t="str">
        <f>HYPERLINK("https://rhld.insurance.arkansas.gov/NPILookup?Npi=1831280593","1831280593")</f>
        <v>1831280593</v>
      </c>
      <c r="E32489" s="1" t="s">
        <v>8387</v>
      </c>
      <c r="F32489" s="2"/>
      <c r="G32489" s="2"/>
      <c r="H32489" s="2"/>
    </row>
    <row r="32490" spans="1:8" x14ac:dyDescent="0.25">
      <c r="A32490" s="1"/>
      <c r="B32490" s="1" t="s">
        <v>8342</v>
      </c>
      <c r="C32490" s="1" t="s">
        <v>8343</v>
      </c>
      <c r="D32490" s="1" t="str">
        <f>HYPERLINK("https://rhld.insurance.arkansas.gov/NPILookup?Npi=1841364072","1841364072")</f>
        <v>1841364072</v>
      </c>
      <c r="E32490" s="1" t="s">
        <v>23482</v>
      </c>
      <c r="F32490" s="2"/>
      <c r="G32490" s="2"/>
      <c r="H32490" s="2"/>
    </row>
    <row r="32491" spans="1:8" x14ac:dyDescent="0.25">
      <c r="A32491" s="1"/>
      <c r="B32491" s="1" t="s">
        <v>8342</v>
      </c>
      <c r="C32491" s="1" t="s">
        <v>8343</v>
      </c>
      <c r="D32491" s="1" t="str">
        <f>HYPERLINK("https://rhld.insurance.arkansas.gov/NPILookup?Npi=1841582350","1841582350")</f>
        <v>1841582350</v>
      </c>
      <c r="E32491" s="1" t="s">
        <v>740</v>
      </c>
      <c r="F32491" s="2"/>
      <c r="G32491" s="2"/>
      <c r="H32491" s="2"/>
    </row>
    <row r="32492" spans="1:8" x14ac:dyDescent="0.25">
      <c r="A32492" s="1"/>
      <c r="B32492" s="1" t="s">
        <v>8342</v>
      </c>
      <c r="C32492" s="1" t="s">
        <v>8343</v>
      </c>
      <c r="D32492" s="1" t="str">
        <f>HYPERLINK("https://rhld.insurance.arkansas.gov/NPILookup?Npi=1841738663","1841738663")</f>
        <v>1841738663</v>
      </c>
      <c r="E32492" s="1" t="s">
        <v>8388</v>
      </c>
      <c r="F32492" s="2"/>
      <c r="G32492" s="2"/>
      <c r="H32492" s="2"/>
    </row>
    <row r="32493" spans="1:8" x14ac:dyDescent="0.25">
      <c r="A32493" s="1"/>
      <c r="B32493" s="1" t="s">
        <v>8342</v>
      </c>
      <c r="C32493" s="1" t="s">
        <v>8343</v>
      </c>
      <c r="D32493" s="1" t="str">
        <f>HYPERLINK("https://rhld.insurance.arkansas.gov/NPILookup?Npi=1851358618","1851358618")</f>
        <v>1851358618</v>
      </c>
      <c r="E32493" s="1" t="s">
        <v>20454</v>
      </c>
      <c r="F32493" s="2"/>
      <c r="G32493" s="2"/>
      <c r="H32493" s="2"/>
    </row>
    <row r="32494" spans="1:8" x14ac:dyDescent="0.25">
      <c r="A32494" s="1"/>
      <c r="B32494" s="1" t="s">
        <v>8342</v>
      </c>
      <c r="C32494" s="1" t="s">
        <v>8343</v>
      </c>
      <c r="D32494" s="1" t="str">
        <f>HYPERLINK("https://rhld.insurance.arkansas.gov/NPILookup?Npi=1851591614","1851591614")</f>
        <v>1851591614</v>
      </c>
      <c r="E32494" s="1" t="s">
        <v>19268</v>
      </c>
      <c r="F32494" s="2"/>
      <c r="G32494" s="2"/>
      <c r="H32494" s="2"/>
    </row>
    <row r="32495" spans="1:8" x14ac:dyDescent="0.25">
      <c r="A32495" s="1"/>
      <c r="B32495" s="1" t="s">
        <v>8342</v>
      </c>
      <c r="C32495" s="1" t="s">
        <v>8343</v>
      </c>
      <c r="D32495" s="1" t="str">
        <f>HYPERLINK("https://rhld.insurance.arkansas.gov/NPILookup?Npi=1851650667","1851650667")</f>
        <v>1851650667</v>
      </c>
      <c r="E32495" s="1" t="s">
        <v>24086</v>
      </c>
      <c r="F32495" s="2"/>
      <c r="G32495" s="2"/>
      <c r="H32495" s="2"/>
    </row>
    <row r="32496" spans="1:8" x14ac:dyDescent="0.25">
      <c r="A32496" s="1"/>
      <c r="B32496" s="1" t="s">
        <v>8342</v>
      </c>
      <c r="C32496" s="1" t="s">
        <v>8343</v>
      </c>
      <c r="D32496" s="1" t="str">
        <f>HYPERLINK("https://rhld.insurance.arkansas.gov/NPILookup?Npi=1851682116","1851682116")</f>
        <v>1851682116</v>
      </c>
      <c r="E32496" s="1" t="s">
        <v>23547</v>
      </c>
      <c r="F32496" s="2"/>
      <c r="G32496" s="2"/>
      <c r="H32496" s="2"/>
    </row>
    <row r="32497" spans="1:8" x14ac:dyDescent="0.25">
      <c r="A32497" s="1"/>
      <c r="B32497" s="1" t="s">
        <v>8342</v>
      </c>
      <c r="C32497" s="1" t="s">
        <v>8343</v>
      </c>
      <c r="D32497" s="1" t="str">
        <f>HYPERLINK("https://rhld.insurance.arkansas.gov/NPILookup?Npi=1851742092","1851742092")</f>
        <v>1851742092</v>
      </c>
      <c r="E32497" s="1" t="s">
        <v>30003</v>
      </c>
      <c r="F32497" s="2"/>
      <c r="G32497" s="2"/>
      <c r="H32497" s="2"/>
    </row>
    <row r="32498" spans="1:8" x14ac:dyDescent="0.25">
      <c r="A32498" s="1"/>
      <c r="B32498" s="1" t="s">
        <v>8342</v>
      </c>
      <c r="C32498" s="1" t="s">
        <v>8343</v>
      </c>
      <c r="D32498" s="1" t="str">
        <f>HYPERLINK("https://rhld.insurance.arkansas.gov/NPILookup?Npi=1851897516","1851897516")</f>
        <v>1851897516</v>
      </c>
      <c r="E32498" s="1" t="s">
        <v>2519</v>
      </c>
      <c r="F32498" s="2"/>
      <c r="G32498" s="2"/>
      <c r="H32498" s="2"/>
    </row>
    <row r="32499" spans="1:8" x14ac:dyDescent="0.25">
      <c r="A32499" s="1"/>
      <c r="B32499" s="1" t="s">
        <v>8342</v>
      </c>
      <c r="C32499" s="1" t="s">
        <v>8343</v>
      </c>
      <c r="D32499" s="1" t="str">
        <f>HYPERLINK("https://rhld.insurance.arkansas.gov/NPILookup?Npi=1861411167","1861411167")</f>
        <v>1861411167</v>
      </c>
      <c r="E32499" s="1" t="s">
        <v>30004</v>
      </c>
      <c r="F32499" s="2"/>
      <c r="G32499" s="2"/>
      <c r="H32499" s="2"/>
    </row>
    <row r="32500" spans="1:8" x14ac:dyDescent="0.25">
      <c r="A32500" s="1"/>
      <c r="B32500" s="1" t="s">
        <v>8342</v>
      </c>
      <c r="C32500" s="1" t="s">
        <v>8343</v>
      </c>
      <c r="D32500" s="1" t="str">
        <f>HYPERLINK("https://rhld.insurance.arkansas.gov/NPILookup?Npi=1861514689","1861514689")</f>
        <v>1861514689</v>
      </c>
      <c r="E32500" s="1" t="s">
        <v>14000</v>
      </c>
      <c r="F32500" s="2"/>
      <c r="G32500" s="2"/>
      <c r="H32500" s="2"/>
    </row>
    <row r="32501" spans="1:8" x14ac:dyDescent="0.25">
      <c r="A32501" s="1"/>
      <c r="B32501" s="1" t="s">
        <v>8342</v>
      </c>
      <c r="C32501" s="1" t="s">
        <v>8343</v>
      </c>
      <c r="D32501" s="1" t="str">
        <f>HYPERLINK("https://rhld.insurance.arkansas.gov/NPILookup?Npi=1861829392","1861829392")</f>
        <v>1861829392</v>
      </c>
      <c r="E32501" s="1" t="s">
        <v>30005</v>
      </c>
      <c r="F32501" s="2"/>
      <c r="G32501" s="2"/>
      <c r="H32501" s="2"/>
    </row>
    <row r="32502" spans="1:8" x14ac:dyDescent="0.25">
      <c r="A32502" s="1"/>
      <c r="B32502" s="1" t="s">
        <v>8342</v>
      </c>
      <c r="C32502" s="1" t="s">
        <v>8343</v>
      </c>
      <c r="D32502" s="1" t="str">
        <f>HYPERLINK("https://rhld.insurance.arkansas.gov/NPILookup?Npi=1871090183","1871090183")</f>
        <v>1871090183</v>
      </c>
      <c r="E32502" s="1" t="s">
        <v>30006</v>
      </c>
      <c r="F32502" s="2"/>
      <c r="G32502" s="2"/>
      <c r="H32502" s="2"/>
    </row>
    <row r="32503" spans="1:8" x14ac:dyDescent="0.25">
      <c r="A32503" s="1"/>
      <c r="B32503" s="1" t="s">
        <v>8342</v>
      </c>
      <c r="C32503" s="1" t="s">
        <v>8343</v>
      </c>
      <c r="D32503" s="1" t="str">
        <f>HYPERLINK("https://rhld.insurance.arkansas.gov/NPILookup?Npi=1871571240","1871571240")</f>
        <v>1871571240</v>
      </c>
      <c r="E32503" s="1" t="s">
        <v>30007</v>
      </c>
      <c r="F32503" s="2"/>
      <c r="G32503" s="2"/>
      <c r="H32503" s="2"/>
    </row>
    <row r="32504" spans="1:8" x14ac:dyDescent="0.25">
      <c r="A32504" s="1"/>
      <c r="B32504" s="1" t="s">
        <v>8342</v>
      </c>
      <c r="C32504" s="1" t="s">
        <v>8343</v>
      </c>
      <c r="D32504" s="1" t="str">
        <f>HYPERLINK("https://rhld.insurance.arkansas.gov/NPILookup?Npi=1871718890","1871718890")</f>
        <v>1871718890</v>
      </c>
      <c r="E32504" s="1" t="s">
        <v>3401</v>
      </c>
      <c r="F32504" s="2"/>
      <c r="G32504" s="2"/>
      <c r="H32504" s="2"/>
    </row>
    <row r="32505" spans="1:8" x14ac:dyDescent="0.25">
      <c r="A32505" s="1"/>
      <c r="B32505" s="1" t="s">
        <v>8342</v>
      </c>
      <c r="C32505" s="1" t="s">
        <v>8343</v>
      </c>
      <c r="D32505" s="1" t="str">
        <f>HYPERLINK("https://rhld.insurance.arkansas.gov/NPILookup?Npi=1881048593","1881048593")</f>
        <v>1881048593</v>
      </c>
      <c r="E32505" s="1" t="s">
        <v>30008</v>
      </c>
      <c r="F32505" s="2"/>
      <c r="G32505" s="2"/>
      <c r="H32505" s="2"/>
    </row>
    <row r="32506" spans="1:8" x14ac:dyDescent="0.25">
      <c r="A32506" s="1"/>
      <c r="B32506" s="1" t="s">
        <v>8342</v>
      </c>
      <c r="C32506" s="1" t="s">
        <v>8343</v>
      </c>
      <c r="D32506" s="1" t="str">
        <f>HYPERLINK("https://rhld.insurance.arkansas.gov/NPILookup?Npi=1881223709","1881223709")</f>
        <v>1881223709</v>
      </c>
      <c r="E32506" s="1" t="s">
        <v>30009</v>
      </c>
      <c r="F32506" s="2"/>
      <c r="G32506" s="2"/>
      <c r="H32506" s="2"/>
    </row>
    <row r="32507" spans="1:8" x14ac:dyDescent="0.25">
      <c r="A32507" s="1"/>
      <c r="B32507" s="1" t="s">
        <v>8342</v>
      </c>
      <c r="C32507" s="1" t="s">
        <v>8343</v>
      </c>
      <c r="D32507" s="1" t="str">
        <f>HYPERLINK("https://rhld.insurance.arkansas.gov/NPILookup?Npi=1881641066","1881641066")</f>
        <v>1881641066</v>
      </c>
      <c r="E32507" s="1" t="s">
        <v>30010</v>
      </c>
      <c r="F32507" s="2"/>
      <c r="G32507" s="2"/>
      <c r="H32507" s="2"/>
    </row>
    <row r="32508" spans="1:8" x14ac:dyDescent="0.25">
      <c r="A32508" s="1"/>
      <c r="B32508" s="1" t="s">
        <v>8342</v>
      </c>
      <c r="C32508" s="1" t="s">
        <v>8343</v>
      </c>
      <c r="D32508" s="1" t="str">
        <f>HYPERLINK("https://rhld.insurance.arkansas.gov/NPILookup?Npi=1881803203","1881803203")</f>
        <v>1881803203</v>
      </c>
      <c r="E32508" s="1" t="s">
        <v>23669</v>
      </c>
      <c r="F32508" s="2"/>
      <c r="G32508" s="2"/>
      <c r="H32508" s="2"/>
    </row>
    <row r="32509" spans="1:8" x14ac:dyDescent="0.25">
      <c r="A32509" s="1"/>
      <c r="B32509" s="1" t="s">
        <v>8342</v>
      </c>
      <c r="C32509" s="1" t="s">
        <v>8343</v>
      </c>
      <c r="D32509" s="1" t="str">
        <f>HYPERLINK("https://rhld.insurance.arkansas.gov/NPILookup?Npi=1881804938","1881804938")</f>
        <v>1881804938</v>
      </c>
      <c r="E32509" s="1" t="s">
        <v>30011</v>
      </c>
      <c r="F32509" s="2"/>
      <c r="G32509" s="2"/>
      <c r="H32509" s="2"/>
    </row>
    <row r="32510" spans="1:8" x14ac:dyDescent="0.25">
      <c r="A32510" s="1"/>
      <c r="B32510" s="1" t="s">
        <v>8342</v>
      </c>
      <c r="C32510" s="1" t="s">
        <v>8343</v>
      </c>
      <c r="D32510" s="1" t="str">
        <f>HYPERLINK("https://rhld.insurance.arkansas.gov/NPILookup?Npi=1891114385","1891114385")</f>
        <v>1891114385</v>
      </c>
      <c r="E32510" s="1" t="s">
        <v>30012</v>
      </c>
      <c r="F32510" s="2"/>
      <c r="G32510" s="2"/>
      <c r="H32510" s="2"/>
    </row>
    <row r="32511" spans="1:8" x14ac:dyDescent="0.25">
      <c r="A32511" s="1"/>
      <c r="B32511" s="1" t="s">
        <v>8342</v>
      </c>
      <c r="C32511" s="1" t="s">
        <v>8343</v>
      </c>
      <c r="D32511" s="1" t="str">
        <f>HYPERLINK("https://rhld.insurance.arkansas.gov/NPILookup?Npi=1891141644","1891141644")</f>
        <v>1891141644</v>
      </c>
      <c r="E32511" s="1" t="s">
        <v>19279</v>
      </c>
      <c r="F32511" s="2"/>
      <c r="G32511" s="2"/>
      <c r="H32511" s="2"/>
    </row>
    <row r="32512" spans="1:8" x14ac:dyDescent="0.25">
      <c r="A32512" s="1"/>
      <c r="B32512" s="1" t="s">
        <v>8342</v>
      </c>
      <c r="C32512" s="1" t="s">
        <v>8343</v>
      </c>
      <c r="D32512" s="1" t="str">
        <f>HYPERLINK("https://rhld.insurance.arkansas.gov/NPILookup?Npi=1891740502","1891740502")</f>
        <v>1891740502</v>
      </c>
      <c r="E32512" s="1" t="s">
        <v>30013</v>
      </c>
      <c r="F32512" s="2"/>
      <c r="G32512" s="2"/>
      <c r="H32512" s="2"/>
    </row>
    <row r="32513" spans="1:8" x14ac:dyDescent="0.25">
      <c r="A32513" s="1"/>
      <c r="B32513" s="1" t="s">
        <v>8342</v>
      </c>
      <c r="C32513" s="1" t="s">
        <v>8343</v>
      </c>
      <c r="D32513" s="1" t="str">
        <f>HYPERLINK("https://rhld.insurance.arkansas.gov/NPILookup?Npi=1891788758","1891788758")</f>
        <v>1891788758</v>
      </c>
      <c r="E32513" s="1" t="s">
        <v>30014</v>
      </c>
      <c r="F32513" s="2"/>
      <c r="G32513" s="2"/>
      <c r="H32513" s="2"/>
    </row>
    <row r="32514" spans="1:8" x14ac:dyDescent="0.25">
      <c r="A32514" s="1"/>
      <c r="B32514" s="1" t="s">
        <v>8342</v>
      </c>
      <c r="C32514" s="1" t="s">
        <v>8343</v>
      </c>
      <c r="D32514" s="1" t="str">
        <f>HYPERLINK("https://rhld.insurance.arkansas.gov/NPILookup?Npi=1891798989","1891798989")</f>
        <v>1891798989</v>
      </c>
      <c r="E32514" s="1" t="s">
        <v>23699</v>
      </c>
      <c r="F32514" s="2"/>
      <c r="G32514" s="2"/>
      <c r="H32514" s="2"/>
    </row>
    <row r="32515" spans="1:8" x14ac:dyDescent="0.25">
      <c r="A32515" s="1"/>
      <c r="B32515" s="1" t="s">
        <v>8342</v>
      </c>
      <c r="C32515" s="1" t="s">
        <v>8343</v>
      </c>
      <c r="D32515" s="1" t="str">
        <f>HYPERLINK("https://rhld.insurance.arkansas.gov/NPILookup?Npi=1891802948","1891802948")</f>
        <v>1891802948</v>
      </c>
      <c r="E32515" s="1" t="s">
        <v>30015</v>
      </c>
      <c r="F32515" s="2"/>
      <c r="G32515" s="2"/>
      <c r="H32515" s="2"/>
    </row>
    <row r="32516" spans="1:8" x14ac:dyDescent="0.25">
      <c r="A32516" s="1"/>
      <c r="B32516" s="1" t="s">
        <v>8342</v>
      </c>
      <c r="C32516" s="1" t="s">
        <v>8343</v>
      </c>
      <c r="D32516" s="1" t="str">
        <f>HYPERLINK("https://rhld.insurance.arkansas.gov/NPILookup?Npi=1891875449","1891875449")</f>
        <v>1891875449</v>
      </c>
      <c r="E32516" s="1" t="s">
        <v>30016</v>
      </c>
      <c r="F32516" s="2"/>
      <c r="G32516" s="2"/>
      <c r="H32516" s="2"/>
    </row>
    <row r="32517" spans="1:8" x14ac:dyDescent="0.25">
      <c r="A32517" s="1"/>
      <c r="B32517" s="1" t="s">
        <v>8342</v>
      </c>
      <c r="C32517" s="1" t="s">
        <v>8343</v>
      </c>
      <c r="D32517" s="1" t="str">
        <f>HYPERLINK("https://rhld.insurance.arkansas.gov/NPILookup?Npi=1891880373","1891880373")</f>
        <v>1891880373</v>
      </c>
      <c r="E32517" s="1" t="s">
        <v>1866</v>
      </c>
      <c r="F32517" s="2"/>
      <c r="G32517" s="2"/>
      <c r="H32517" s="2"/>
    </row>
    <row r="32518" spans="1:8" x14ac:dyDescent="0.25">
      <c r="A32518" s="1"/>
      <c r="B32518" s="1" t="s">
        <v>8342</v>
      </c>
      <c r="C32518" s="1" t="s">
        <v>8343</v>
      </c>
      <c r="D32518" s="1" t="str">
        <f>HYPERLINK("https://rhld.insurance.arkansas.gov/NPILookup?Npi=1902331747","1902331747")</f>
        <v>1902331747</v>
      </c>
      <c r="E32518" s="1" t="s">
        <v>19285</v>
      </c>
      <c r="F32518" s="2"/>
      <c r="G32518" s="2"/>
      <c r="H32518" s="2"/>
    </row>
    <row r="32519" spans="1:8" x14ac:dyDescent="0.25">
      <c r="A32519" s="1"/>
      <c r="B32519" s="1" t="s">
        <v>8342</v>
      </c>
      <c r="C32519" s="1" t="s">
        <v>8343</v>
      </c>
      <c r="D32519" s="1" t="str">
        <f>HYPERLINK("https://rhld.insurance.arkansas.gov/NPILookup?Npi=1902433006","1902433006")</f>
        <v>1902433006</v>
      </c>
      <c r="E32519" s="1" t="s">
        <v>5117</v>
      </c>
      <c r="F32519" s="2"/>
      <c r="G32519" s="2"/>
      <c r="H32519" s="2"/>
    </row>
    <row r="32520" spans="1:8" x14ac:dyDescent="0.25">
      <c r="A32520" s="1"/>
      <c r="B32520" s="1" t="s">
        <v>8342</v>
      </c>
      <c r="C32520" s="1" t="s">
        <v>8343</v>
      </c>
      <c r="D32520" s="1" t="str">
        <f>HYPERLINK("https://rhld.insurance.arkansas.gov/NPILookup?Npi=1902433287","1902433287")</f>
        <v>1902433287</v>
      </c>
      <c r="E32520" s="1" t="s">
        <v>2521</v>
      </c>
      <c r="F32520" s="2"/>
      <c r="G32520" s="2"/>
      <c r="H32520" s="2"/>
    </row>
    <row r="32521" spans="1:8" x14ac:dyDescent="0.25">
      <c r="A32521" s="1"/>
      <c r="B32521" s="1" t="s">
        <v>8342</v>
      </c>
      <c r="C32521" s="1" t="s">
        <v>8343</v>
      </c>
      <c r="D32521" s="1" t="str">
        <f>HYPERLINK("https://rhld.insurance.arkansas.gov/NPILookup?Npi=1902856867","1902856867")</f>
        <v>1902856867</v>
      </c>
      <c r="E32521" s="1" t="s">
        <v>4372</v>
      </c>
      <c r="F32521" s="2"/>
      <c r="G32521" s="2"/>
      <c r="H32521" s="2"/>
    </row>
    <row r="32522" spans="1:8" x14ac:dyDescent="0.25">
      <c r="A32522" s="1"/>
      <c r="B32522" s="1" t="s">
        <v>8342</v>
      </c>
      <c r="C32522" s="1" t="s">
        <v>8343</v>
      </c>
      <c r="D32522" s="1" t="str">
        <f>HYPERLINK("https://rhld.insurance.arkansas.gov/NPILookup?Npi=1902878473","1902878473")</f>
        <v>1902878473</v>
      </c>
      <c r="E32522" s="1" t="s">
        <v>956</v>
      </c>
      <c r="F32522" s="2"/>
      <c r="G32522" s="2"/>
      <c r="H32522" s="2"/>
    </row>
    <row r="32523" spans="1:8" x14ac:dyDescent="0.25">
      <c r="A32523" s="1"/>
      <c r="B32523" s="1" t="s">
        <v>8342</v>
      </c>
      <c r="C32523" s="1" t="s">
        <v>8343</v>
      </c>
      <c r="D32523" s="1" t="str">
        <f>HYPERLINK("https://rhld.insurance.arkansas.gov/NPILookup?Npi=1912094020","1912094020")</f>
        <v>1912094020</v>
      </c>
      <c r="E32523" s="1" t="s">
        <v>8389</v>
      </c>
      <c r="F32523" s="2"/>
      <c r="G32523" s="2"/>
      <c r="H32523" s="2"/>
    </row>
    <row r="32524" spans="1:8" x14ac:dyDescent="0.25">
      <c r="A32524" s="1"/>
      <c r="B32524" s="1" t="s">
        <v>8342</v>
      </c>
      <c r="C32524" s="1" t="s">
        <v>8343</v>
      </c>
      <c r="D32524" s="1" t="str">
        <f>HYPERLINK("https://rhld.insurance.arkansas.gov/NPILookup?Npi=1912097585","1912097585")</f>
        <v>1912097585</v>
      </c>
      <c r="E32524" s="1" t="s">
        <v>2224</v>
      </c>
      <c r="F32524" s="2"/>
      <c r="G32524" s="2"/>
      <c r="H32524" s="2"/>
    </row>
    <row r="32525" spans="1:8" x14ac:dyDescent="0.25">
      <c r="A32525" s="1"/>
      <c r="B32525" s="1" t="s">
        <v>8342</v>
      </c>
      <c r="C32525" s="1" t="s">
        <v>8343</v>
      </c>
      <c r="D32525" s="1" t="str">
        <f>HYPERLINK("https://rhld.insurance.arkansas.gov/NPILookup?Npi=1912402900","1912402900")</f>
        <v>1912402900</v>
      </c>
      <c r="E32525" s="1" t="s">
        <v>29172</v>
      </c>
      <c r="F32525" s="2"/>
      <c r="G32525" s="2"/>
      <c r="H32525" s="2"/>
    </row>
    <row r="32526" spans="1:8" x14ac:dyDescent="0.25">
      <c r="A32526" s="1"/>
      <c r="B32526" s="1" t="s">
        <v>8342</v>
      </c>
      <c r="C32526" s="1" t="s">
        <v>8343</v>
      </c>
      <c r="D32526" s="1" t="str">
        <f>HYPERLINK("https://rhld.insurance.arkansas.gov/NPILookup?Npi=1912911090","1912911090")</f>
        <v>1912911090</v>
      </c>
      <c r="E32526" s="1" t="s">
        <v>5121</v>
      </c>
      <c r="F32526" s="2"/>
      <c r="G32526" s="2"/>
      <c r="H32526" s="2"/>
    </row>
    <row r="32527" spans="1:8" x14ac:dyDescent="0.25">
      <c r="A32527" s="1"/>
      <c r="B32527" s="1" t="s">
        <v>8342</v>
      </c>
      <c r="C32527" s="1" t="s">
        <v>8343</v>
      </c>
      <c r="D32527" s="1" t="str">
        <f>HYPERLINK("https://rhld.insurance.arkansas.gov/NPILookup?Npi=1912963158","1912963158")</f>
        <v>1912963158</v>
      </c>
      <c r="E32527" s="1" t="s">
        <v>30017</v>
      </c>
      <c r="F32527" s="2"/>
      <c r="G32527" s="2"/>
      <c r="H32527" s="2"/>
    </row>
    <row r="32528" spans="1:8" x14ac:dyDescent="0.25">
      <c r="A32528" s="1"/>
      <c r="B32528" s="1" t="s">
        <v>8342</v>
      </c>
      <c r="C32528" s="1" t="s">
        <v>8343</v>
      </c>
      <c r="D32528" s="1" t="str">
        <f>HYPERLINK("https://rhld.insurance.arkansas.gov/NPILookup?Npi=1922029586","1922029586")</f>
        <v>1922029586</v>
      </c>
      <c r="E32528" s="1" t="s">
        <v>4026</v>
      </c>
      <c r="F32528" s="2"/>
      <c r="G32528" s="2"/>
      <c r="H32528" s="2"/>
    </row>
    <row r="32529" spans="1:8" x14ac:dyDescent="0.25">
      <c r="A32529" s="1"/>
      <c r="B32529" s="1" t="s">
        <v>8342</v>
      </c>
      <c r="C32529" s="1" t="s">
        <v>8343</v>
      </c>
      <c r="D32529" s="1" t="str">
        <f>HYPERLINK("https://rhld.insurance.arkansas.gov/NPILookup?Npi=1922044213","1922044213")</f>
        <v>1922044213</v>
      </c>
      <c r="E32529" s="1" t="s">
        <v>3274</v>
      </c>
      <c r="F32529" s="2"/>
      <c r="G32529" s="2"/>
      <c r="H32529" s="2"/>
    </row>
    <row r="32530" spans="1:8" x14ac:dyDescent="0.25">
      <c r="A32530" s="1"/>
      <c r="B32530" s="1" t="s">
        <v>8342</v>
      </c>
      <c r="C32530" s="1" t="s">
        <v>8343</v>
      </c>
      <c r="D32530" s="1" t="str">
        <f>HYPERLINK("https://rhld.insurance.arkansas.gov/NPILookup?Npi=1922066232","1922066232")</f>
        <v>1922066232</v>
      </c>
      <c r="E32530" s="1" t="s">
        <v>18269</v>
      </c>
      <c r="F32530" s="2"/>
      <c r="G32530" s="2"/>
      <c r="H32530" s="2"/>
    </row>
    <row r="32531" spans="1:8" x14ac:dyDescent="0.25">
      <c r="A32531" s="1"/>
      <c r="B32531" s="1" t="s">
        <v>8342</v>
      </c>
      <c r="C32531" s="1" t="s">
        <v>8343</v>
      </c>
      <c r="D32531" s="1" t="str">
        <f>HYPERLINK("https://rhld.insurance.arkansas.gov/NPILookup?Npi=1922129998","1922129998")</f>
        <v>1922129998</v>
      </c>
      <c r="E32531" s="1" t="s">
        <v>24900</v>
      </c>
      <c r="F32531" s="2"/>
      <c r="G32531" s="2"/>
      <c r="H32531" s="2"/>
    </row>
    <row r="32532" spans="1:8" x14ac:dyDescent="0.25">
      <c r="A32532" s="1"/>
      <c r="B32532" s="1" t="s">
        <v>8342</v>
      </c>
      <c r="C32532" s="1" t="s">
        <v>8343</v>
      </c>
      <c r="D32532" s="1" t="str">
        <f>HYPERLINK("https://rhld.insurance.arkansas.gov/NPILookup?Npi=1932216439","1932216439")</f>
        <v>1932216439</v>
      </c>
      <c r="E32532" s="1" t="s">
        <v>18326</v>
      </c>
      <c r="F32532" s="2"/>
      <c r="G32532" s="2"/>
      <c r="H32532" s="2"/>
    </row>
    <row r="32533" spans="1:8" x14ac:dyDescent="0.25">
      <c r="A32533" s="1"/>
      <c r="B32533" s="1" t="s">
        <v>8342</v>
      </c>
      <c r="C32533" s="1" t="s">
        <v>8343</v>
      </c>
      <c r="D32533" s="1" t="str">
        <f>HYPERLINK("https://rhld.insurance.arkansas.gov/NPILookup?Npi=1932263613","1932263613")</f>
        <v>1932263613</v>
      </c>
      <c r="E32533" s="1" t="s">
        <v>6782</v>
      </c>
      <c r="F32533" s="2"/>
      <c r="G32533" s="2"/>
      <c r="H32533" s="2"/>
    </row>
    <row r="32534" spans="1:8" x14ac:dyDescent="0.25">
      <c r="A32534" s="1"/>
      <c r="B32534" s="1" t="s">
        <v>8342</v>
      </c>
      <c r="C32534" s="1" t="s">
        <v>8343</v>
      </c>
      <c r="D32534" s="1" t="str">
        <f>HYPERLINK("https://rhld.insurance.arkansas.gov/NPILookup?Npi=1932471745","1932471745")</f>
        <v>1932471745</v>
      </c>
      <c r="E32534" s="1" t="s">
        <v>14001</v>
      </c>
      <c r="F32534" s="2"/>
      <c r="G32534" s="2"/>
      <c r="H32534" s="2"/>
    </row>
    <row r="32535" spans="1:8" x14ac:dyDescent="0.25">
      <c r="A32535" s="1"/>
      <c r="B32535" s="1" t="s">
        <v>8342</v>
      </c>
      <c r="C32535" s="1" t="s">
        <v>8343</v>
      </c>
      <c r="D32535" s="1" t="str">
        <f>HYPERLINK("https://rhld.insurance.arkansas.gov/NPILookup?Npi=1932561958","1932561958")</f>
        <v>1932561958</v>
      </c>
      <c r="E32535" s="1" t="s">
        <v>14002</v>
      </c>
      <c r="F32535" s="2"/>
      <c r="G32535" s="2"/>
      <c r="H32535" s="2"/>
    </row>
    <row r="32536" spans="1:8" x14ac:dyDescent="0.25">
      <c r="A32536" s="1"/>
      <c r="B32536" s="1" t="s">
        <v>8342</v>
      </c>
      <c r="C32536" s="1" t="s">
        <v>8343</v>
      </c>
      <c r="D32536" s="1" t="str">
        <f>HYPERLINK("https://rhld.insurance.arkansas.gov/NPILookup?Npi=1942411483","1942411483")</f>
        <v>1942411483</v>
      </c>
      <c r="E32536" s="1" t="s">
        <v>30018</v>
      </c>
      <c r="F32536" s="2"/>
      <c r="G32536" s="2"/>
      <c r="H32536" s="2"/>
    </row>
    <row r="32537" spans="1:8" x14ac:dyDescent="0.25">
      <c r="A32537" s="1"/>
      <c r="B32537" s="1" t="s">
        <v>8342</v>
      </c>
      <c r="C32537" s="1" t="s">
        <v>8343</v>
      </c>
      <c r="D32537" s="1" t="str">
        <f>HYPERLINK("https://rhld.insurance.arkansas.gov/NPILookup?Npi=1942496005","1942496005")</f>
        <v>1942496005</v>
      </c>
      <c r="E32537" s="1" t="s">
        <v>3418</v>
      </c>
      <c r="F32537" s="2"/>
      <c r="G32537" s="2"/>
      <c r="H32537" s="2"/>
    </row>
    <row r="32538" spans="1:8" x14ac:dyDescent="0.25">
      <c r="A32538" s="1"/>
      <c r="B32538" s="1" t="s">
        <v>8342</v>
      </c>
      <c r="C32538" s="1" t="s">
        <v>8343</v>
      </c>
      <c r="D32538" s="1" t="str">
        <f>HYPERLINK("https://rhld.insurance.arkansas.gov/NPILookup?Npi=1942737069","1942737069")</f>
        <v>1942737069</v>
      </c>
      <c r="E32538" s="1" t="s">
        <v>30019</v>
      </c>
      <c r="F32538" s="2"/>
      <c r="G32538" s="2"/>
      <c r="H32538" s="2"/>
    </row>
    <row r="32539" spans="1:8" x14ac:dyDescent="0.25">
      <c r="A32539" s="1"/>
      <c r="B32539" s="1" t="s">
        <v>8342</v>
      </c>
      <c r="C32539" s="1" t="s">
        <v>8343</v>
      </c>
      <c r="D32539" s="1" t="str">
        <f>HYPERLINK("https://rhld.insurance.arkansas.gov/NPILookup?Npi=1952368425","1952368425")</f>
        <v>1952368425</v>
      </c>
      <c r="E32539" s="1" t="s">
        <v>30020</v>
      </c>
      <c r="F32539" s="2"/>
      <c r="G32539" s="2"/>
      <c r="H32539" s="2"/>
    </row>
    <row r="32540" spans="1:8" x14ac:dyDescent="0.25">
      <c r="A32540" s="1"/>
      <c r="B32540" s="1" t="s">
        <v>8342</v>
      </c>
      <c r="C32540" s="1" t="s">
        <v>8343</v>
      </c>
      <c r="D32540" s="1" t="str">
        <f>HYPERLINK("https://rhld.insurance.arkansas.gov/NPILookup?Npi=1952765174","1952765174")</f>
        <v>1952765174</v>
      </c>
      <c r="E32540" s="1" t="s">
        <v>30021</v>
      </c>
      <c r="F32540" s="2"/>
      <c r="G32540" s="2"/>
      <c r="H32540" s="2"/>
    </row>
    <row r="32541" spans="1:8" x14ac:dyDescent="0.25">
      <c r="A32541" s="1"/>
      <c r="B32541" s="1" t="s">
        <v>8342</v>
      </c>
      <c r="C32541" s="1" t="s">
        <v>8343</v>
      </c>
      <c r="D32541" s="1" t="str">
        <f>HYPERLINK("https://rhld.insurance.arkansas.gov/NPILookup?Npi=1952988982","1952988982")</f>
        <v>1952988982</v>
      </c>
      <c r="E32541" s="1" t="s">
        <v>30022</v>
      </c>
      <c r="F32541" s="2"/>
      <c r="G32541" s="2"/>
      <c r="H32541" s="2"/>
    </row>
    <row r="32542" spans="1:8" x14ac:dyDescent="0.25">
      <c r="A32542" s="1"/>
      <c r="B32542" s="1" t="s">
        <v>8342</v>
      </c>
      <c r="C32542" s="1" t="s">
        <v>8343</v>
      </c>
      <c r="D32542" s="1" t="str">
        <f>HYPERLINK("https://rhld.insurance.arkansas.gov/NPILookup?Npi=1962455915","1962455915")</f>
        <v>1962455915</v>
      </c>
      <c r="E32542" s="1" t="s">
        <v>14003</v>
      </c>
      <c r="F32542" s="2"/>
      <c r="G32542" s="2"/>
      <c r="H32542" s="2"/>
    </row>
    <row r="32543" spans="1:8" x14ac:dyDescent="0.25">
      <c r="A32543" s="1"/>
      <c r="B32543" s="1" t="s">
        <v>8342</v>
      </c>
      <c r="C32543" s="1" t="s">
        <v>8343</v>
      </c>
      <c r="D32543" s="1" t="str">
        <f>HYPERLINK("https://rhld.insurance.arkansas.gov/NPILookup?Npi=1962524090","1962524090")</f>
        <v>1962524090</v>
      </c>
      <c r="E32543" s="1" t="s">
        <v>29402</v>
      </c>
      <c r="F32543" s="2"/>
      <c r="G32543" s="2"/>
      <c r="H32543" s="2"/>
    </row>
    <row r="32544" spans="1:8" x14ac:dyDescent="0.25">
      <c r="A32544" s="1"/>
      <c r="B32544" s="1" t="s">
        <v>8342</v>
      </c>
      <c r="C32544" s="1" t="s">
        <v>8343</v>
      </c>
      <c r="D32544" s="1" t="str">
        <f>HYPERLINK("https://rhld.insurance.arkansas.gov/NPILookup?Npi=1962566166","1962566166")</f>
        <v>1962566166</v>
      </c>
      <c r="E32544" s="1" t="s">
        <v>30023</v>
      </c>
      <c r="F32544" s="2"/>
      <c r="G32544" s="2"/>
      <c r="H32544" s="2"/>
    </row>
    <row r="32545" spans="1:8" x14ac:dyDescent="0.25">
      <c r="A32545" s="1"/>
      <c r="B32545" s="1" t="s">
        <v>8342</v>
      </c>
      <c r="C32545" s="1" t="s">
        <v>8343</v>
      </c>
      <c r="D32545" s="1" t="str">
        <f>HYPERLINK("https://rhld.insurance.arkansas.gov/NPILookup?Npi=1972544138","1972544138")</f>
        <v>1972544138</v>
      </c>
      <c r="E32545" s="1" t="s">
        <v>10918</v>
      </c>
      <c r="F32545" s="2"/>
      <c r="G32545" s="2"/>
      <c r="H32545" s="2"/>
    </row>
    <row r="32546" spans="1:8" x14ac:dyDescent="0.25">
      <c r="A32546" s="1"/>
      <c r="B32546" s="1" t="s">
        <v>8342</v>
      </c>
      <c r="C32546" s="1" t="s">
        <v>8343</v>
      </c>
      <c r="D32546" s="1" t="str">
        <f>HYPERLINK("https://rhld.insurance.arkansas.gov/NPILookup?Npi=1972569366","1972569366")</f>
        <v>1972569366</v>
      </c>
      <c r="E32546" s="1" t="s">
        <v>30024</v>
      </c>
      <c r="F32546" s="2"/>
      <c r="G32546" s="2"/>
      <c r="H32546" s="2"/>
    </row>
    <row r="32547" spans="1:8" x14ac:dyDescent="0.25">
      <c r="A32547" s="1"/>
      <c r="B32547" s="1" t="s">
        <v>8342</v>
      </c>
      <c r="C32547" s="1" t="s">
        <v>8343</v>
      </c>
      <c r="D32547" s="1" t="str">
        <f>HYPERLINK("https://rhld.insurance.arkansas.gov/NPILookup?Npi=1972690006","1972690006")</f>
        <v>1972690006</v>
      </c>
      <c r="E32547" s="1" t="s">
        <v>30025</v>
      </c>
      <c r="F32547" s="2"/>
      <c r="G32547" s="2"/>
      <c r="H32547" s="2"/>
    </row>
    <row r="32548" spans="1:8" x14ac:dyDescent="0.25">
      <c r="A32548" s="1"/>
      <c r="B32548" s="1" t="s">
        <v>8342</v>
      </c>
      <c r="C32548" s="1" t="s">
        <v>8343</v>
      </c>
      <c r="D32548" s="1" t="str">
        <f>HYPERLINK("https://rhld.insurance.arkansas.gov/NPILookup?Npi=1982058780","1982058780")</f>
        <v>1982058780</v>
      </c>
      <c r="E32548" s="1" t="s">
        <v>30026</v>
      </c>
      <c r="F32548" s="2"/>
      <c r="G32548" s="2"/>
      <c r="H32548" s="2"/>
    </row>
    <row r="32549" spans="1:8" x14ac:dyDescent="0.25">
      <c r="A32549" s="1"/>
      <c r="B32549" s="1" t="s">
        <v>8342</v>
      </c>
      <c r="C32549" s="1" t="s">
        <v>8343</v>
      </c>
      <c r="D32549" s="1" t="str">
        <f>HYPERLINK("https://rhld.insurance.arkansas.gov/NPILookup?Npi=1982191409","1982191409")</f>
        <v>1982191409</v>
      </c>
      <c r="E32549" s="1" t="s">
        <v>30027</v>
      </c>
      <c r="F32549" s="2"/>
      <c r="G32549" s="2"/>
      <c r="H32549" s="2"/>
    </row>
    <row r="32550" spans="1:8" x14ac:dyDescent="0.25">
      <c r="A32550" s="1"/>
      <c r="B32550" s="1" t="s">
        <v>8342</v>
      </c>
      <c r="C32550" s="1" t="s">
        <v>8343</v>
      </c>
      <c r="D32550" s="1" t="str">
        <f>HYPERLINK("https://rhld.insurance.arkansas.gov/NPILookup?Npi=1982712907","1982712907")</f>
        <v>1982712907</v>
      </c>
      <c r="E32550" s="1" t="s">
        <v>30028</v>
      </c>
      <c r="F32550" s="2"/>
      <c r="G32550" s="2"/>
      <c r="H32550" s="2"/>
    </row>
    <row r="32551" spans="1:8" x14ac:dyDescent="0.25">
      <c r="A32551" s="1"/>
      <c r="B32551" s="1" t="s">
        <v>8342</v>
      </c>
      <c r="C32551" s="1" t="s">
        <v>8343</v>
      </c>
      <c r="D32551" s="1" t="str">
        <f>HYPERLINK("https://rhld.insurance.arkansas.gov/NPILookup?Npi=1982794160","1982794160")</f>
        <v>1982794160</v>
      </c>
      <c r="E32551" s="1" t="s">
        <v>30029</v>
      </c>
      <c r="F32551" s="2"/>
      <c r="G32551" s="2"/>
      <c r="H32551" s="2"/>
    </row>
    <row r="32552" spans="1:8" x14ac:dyDescent="0.25">
      <c r="A32552" s="1"/>
      <c r="B32552" s="1" t="s">
        <v>8342</v>
      </c>
      <c r="C32552" s="1" t="s">
        <v>8343</v>
      </c>
      <c r="D32552" s="1" t="str">
        <f>HYPERLINK("https://rhld.insurance.arkansas.gov/NPILookup?Npi=1992075675","1992075675")</f>
        <v>1992075675</v>
      </c>
      <c r="E32552" s="1" t="s">
        <v>30030</v>
      </c>
      <c r="F32552" s="2"/>
      <c r="G32552" s="2"/>
      <c r="H32552" s="2"/>
    </row>
    <row r="32553" spans="1:8" x14ac:dyDescent="0.25">
      <c r="A32553" s="1"/>
      <c r="B32553" s="1" t="s">
        <v>8342</v>
      </c>
      <c r="C32553" s="1" t="s">
        <v>8343</v>
      </c>
      <c r="D32553" s="1" t="str">
        <f>HYPERLINK("https://rhld.insurance.arkansas.gov/NPILookup?Npi=1992715700","1992715700")</f>
        <v>1992715700</v>
      </c>
      <c r="E32553" s="1" t="s">
        <v>30031</v>
      </c>
      <c r="F32553" s="2"/>
      <c r="G32553" s="2"/>
      <c r="H32553" s="2"/>
    </row>
    <row r="32554" spans="1:8" x14ac:dyDescent="0.25">
      <c r="A32554" s="1"/>
      <c r="B32554" s="1" t="s">
        <v>8342</v>
      </c>
      <c r="C32554" s="1" t="s">
        <v>8343</v>
      </c>
      <c r="D32554" s="1" t="str">
        <f>HYPERLINK("https://rhld.insurance.arkansas.gov/NPILookup?Npi=1992740393","1992740393")</f>
        <v>1992740393</v>
      </c>
      <c r="E32554" s="1" t="s">
        <v>3361</v>
      </c>
      <c r="F32554" s="2"/>
      <c r="G32554" s="2"/>
      <c r="H32554" s="2"/>
    </row>
    <row r="32555" spans="1:8" x14ac:dyDescent="0.25">
      <c r="A32555" s="1"/>
      <c r="B32555" s="1" t="s">
        <v>8342</v>
      </c>
      <c r="C32555" s="1" t="s">
        <v>8343</v>
      </c>
      <c r="D32555" s="1" t="str">
        <f>HYPERLINK("https://rhld.insurance.arkansas.gov/NPILookup?Npi=1992881684","1992881684")</f>
        <v>1992881684</v>
      </c>
      <c r="E32555" s="1" t="s">
        <v>30032</v>
      </c>
      <c r="F32555" s="2"/>
      <c r="G32555" s="2"/>
      <c r="H32555" s="2"/>
    </row>
    <row r="32556" spans="1:8" x14ac:dyDescent="0.25">
      <c r="A32556" s="1"/>
      <c r="B32556" s="1" t="s">
        <v>8342</v>
      </c>
      <c r="C32556" s="1" t="s">
        <v>8343</v>
      </c>
      <c r="D32556" s="1" t="str">
        <f>HYPERLINK("https://rhld.insurance.arkansas.gov/NPILookup?Npi=1992975841","1992975841")</f>
        <v>1992975841</v>
      </c>
      <c r="E32556" s="1" t="s">
        <v>3433</v>
      </c>
      <c r="F32556" s="2"/>
      <c r="G32556" s="2"/>
      <c r="H32556" s="2"/>
    </row>
    <row r="32557" spans="1:8" x14ac:dyDescent="0.25">
      <c r="A32557" s="1"/>
      <c r="B32557" s="1" t="s">
        <v>8390</v>
      </c>
      <c r="C32557" s="1" t="s">
        <v>8391</v>
      </c>
      <c r="D32557" s="1" t="str">
        <f>HYPERLINK("https://rhld.insurance.arkansas.gov/NPILookup?Npi=1003043043","1003043043")</f>
        <v>1003043043</v>
      </c>
      <c r="E32557" s="1" t="s">
        <v>25125</v>
      </c>
      <c r="F32557" s="2"/>
      <c r="G32557" s="2"/>
      <c r="H32557" s="2"/>
    </row>
    <row r="32558" spans="1:8" x14ac:dyDescent="0.25">
      <c r="A32558" s="1"/>
      <c r="B32558" s="1" t="s">
        <v>8390</v>
      </c>
      <c r="C32558" s="1" t="s">
        <v>8391</v>
      </c>
      <c r="D32558" s="1" t="str">
        <f>HYPERLINK("https://rhld.insurance.arkansas.gov/NPILookup?Npi=1003256835","1003256835")</f>
        <v>1003256835</v>
      </c>
      <c r="E32558" s="1" t="s">
        <v>1917</v>
      </c>
      <c r="F32558" s="2"/>
      <c r="G32558" s="2"/>
      <c r="H32558" s="2"/>
    </row>
    <row r="32559" spans="1:8" x14ac:dyDescent="0.25">
      <c r="A32559" s="1"/>
      <c r="B32559" s="1" t="s">
        <v>8390</v>
      </c>
      <c r="C32559" s="1" t="s">
        <v>8391</v>
      </c>
      <c r="D32559" s="1" t="str">
        <f>HYPERLINK("https://rhld.insurance.arkansas.gov/NPILookup?Npi=1013263797","1013263797")</f>
        <v>1013263797</v>
      </c>
      <c r="E32559" s="1" t="s">
        <v>32491</v>
      </c>
      <c r="F32559" s="2"/>
      <c r="G32559" s="2"/>
      <c r="H32559" s="2"/>
    </row>
    <row r="32560" spans="1:8" x14ac:dyDescent="0.25">
      <c r="A32560" s="1"/>
      <c r="B32560" s="1" t="s">
        <v>8390</v>
      </c>
      <c r="C32560" s="1" t="s">
        <v>8391</v>
      </c>
      <c r="D32560" s="1" t="str">
        <f>HYPERLINK("https://rhld.insurance.arkansas.gov/NPILookup?Npi=1023232287","1023232287")</f>
        <v>1023232287</v>
      </c>
      <c r="E32560" s="1" t="s">
        <v>2285</v>
      </c>
      <c r="F32560" s="2"/>
      <c r="G32560" s="2"/>
      <c r="H32560" s="2"/>
    </row>
    <row r="32561" spans="1:8" x14ac:dyDescent="0.25">
      <c r="A32561" s="1"/>
      <c r="B32561" s="1" t="s">
        <v>8390</v>
      </c>
      <c r="C32561" s="1" t="s">
        <v>8391</v>
      </c>
      <c r="D32561" s="1" t="str">
        <f>HYPERLINK("https://rhld.insurance.arkansas.gov/NPILookup?Npi=1023376878","1023376878")</f>
        <v>1023376878</v>
      </c>
      <c r="E32561" s="1" t="s">
        <v>30033</v>
      </c>
      <c r="F32561" s="2"/>
      <c r="G32561" s="2"/>
      <c r="H32561" s="2"/>
    </row>
    <row r="32562" spans="1:8" x14ac:dyDescent="0.25">
      <c r="A32562" s="1"/>
      <c r="B32562" s="1" t="s">
        <v>8390</v>
      </c>
      <c r="C32562" s="1" t="s">
        <v>8391</v>
      </c>
      <c r="D32562" s="1" t="str">
        <f>HYPERLINK("https://rhld.insurance.arkansas.gov/NPILookup?Npi=1033160544","1033160544")</f>
        <v>1033160544</v>
      </c>
      <c r="E32562" s="1" t="s">
        <v>17147</v>
      </c>
      <c r="F32562" s="2"/>
      <c r="G32562" s="2"/>
      <c r="H32562" s="2"/>
    </row>
    <row r="32563" spans="1:8" x14ac:dyDescent="0.25">
      <c r="A32563" s="1"/>
      <c r="B32563" s="1" t="s">
        <v>8390</v>
      </c>
      <c r="C32563" s="1" t="s">
        <v>8391</v>
      </c>
      <c r="D32563" s="1" t="str">
        <f>HYPERLINK("https://rhld.insurance.arkansas.gov/NPILookup?Npi=1033290101","1033290101")</f>
        <v>1033290101</v>
      </c>
      <c r="E32563" s="1" t="s">
        <v>30034</v>
      </c>
      <c r="F32563" s="2"/>
      <c r="G32563" s="2"/>
      <c r="H32563" s="2"/>
    </row>
    <row r="32564" spans="1:8" x14ac:dyDescent="0.25">
      <c r="A32564" s="1"/>
      <c r="B32564" s="1" t="s">
        <v>8390</v>
      </c>
      <c r="C32564" s="1" t="s">
        <v>8391</v>
      </c>
      <c r="D32564" s="1" t="str">
        <f>HYPERLINK("https://rhld.insurance.arkansas.gov/NPILookup?Npi=1033498472","1033498472")</f>
        <v>1033498472</v>
      </c>
      <c r="E32564" s="1" t="s">
        <v>30035</v>
      </c>
      <c r="F32564" s="2"/>
      <c r="G32564" s="2"/>
      <c r="H32564" s="2"/>
    </row>
    <row r="32565" spans="1:8" x14ac:dyDescent="0.25">
      <c r="A32565" s="1"/>
      <c r="B32565" s="1" t="s">
        <v>8390</v>
      </c>
      <c r="C32565" s="1" t="s">
        <v>8391</v>
      </c>
      <c r="D32565" s="1" t="str">
        <f>HYPERLINK("https://rhld.insurance.arkansas.gov/NPILookup?Npi=1043352057","1043352057")</f>
        <v>1043352057</v>
      </c>
      <c r="E32565" s="1" t="s">
        <v>7364</v>
      </c>
      <c r="F32565" s="2"/>
      <c r="G32565" s="2"/>
      <c r="H32565" s="2"/>
    </row>
    <row r="32566" spans="1:8" x14ac:dyDescent="0.25">
      <c r="A32566" s="1"/>
      <c r="B32566" s="1" t="s">
        <v>8390</v>
      </c>
      <c r="C32566" s="1" t="s">
        <v>8391</v>
      </c>
      <c r="D32566" s="1" t="str">
        <f>HYPERLINK("https://rhld.insurance.arkansas.gov/NPILookup?Npi=1053414326","1053414326")</f>
        <v>1053414326</v>
      </c>
      <c r="E32566" s="1" t="s">
        <v>8392</v>
      </c>
      <c r="F32566" s="2"/>
      <c r="G32566" s="2"/>
      <c r="H32566" s="2"/>
    </row>
    <row r="32567" spans="1:8" x14ac:dyDescent="0.25">
      <c r="A32567" s="1"/>
      <c r="B32567" s="1" t="s">
        <v>8390</v>
      </c>
      <c r="C32567" s="1" t="s">
        <v>8391</v>
      </c>
      <c r="D32567" s="1" t="str">
        <f>HYPERLINK("https://rhld.insurance.arkansas.gov/NPILookup?Npi=1053699694","1053699694")</f>
        <v>1053699694</v>
      </c>
      <c r="E32567" s="1" t="s">
        <v>8393</v>
      </c>
      <c r="F32567" s="2"/>
      <c r="G32567" s="2"/>
      <c r="H32567" s="2"/>
    </row>
    <row r="32568" spans="1:8" x14ac:dyDescent="0.25">
      <c r="A32568" s="1"/>
      <c r="B32568" s="1" t="s">
        <v>8390</v>
      </c>
      <c r="C32568" s="1" t="s">
        <v>8391</v>
      </c>
      <c r="D32568" s="1" t="str">
        <f>HYPERLINK("https://rhld.insurance.arkansas.gov/NPILookup?Npi=1053734657","1053734657")</f>
        <v>1053734657</v>
      </c>
      <c r="E32568" s="1" t="s">
        <v>25360</v>
      </c>
      <c r="F32568" s="2"/>
      <c r="G32568" s="2"/>
      <c r="H32568" s="2"/>
    </row>
    <row r="32569" spans="1:8" x14ac:dyDescent="0.25">
      <c r="A32569" s="1"/>
      <c r="B32569" s="1" t="s">
        <v>8390</v>
      </c>
      <c r="C32569" s="1" t="s">
        <v>8391</v>
      </c>
      <c r="D32569" s="1" t="str">
        <f>HYPERLINK("https://rhld.insurance.arkansas.gov/NPILookup?Npi=1053738336","1053738336")</f>
        <v>1053738336</v>
      </c>
      <c r="E32569" s="1" t="s">
        <v>2050</v>
      </c>
      <c r="F32569" s="2"/>
      <c r="G32569" s="2"/>
      <c r="H32569" s="2"/>
    </row>
    <row r="32570" spans="1:8" x14ac:dyDescent="0.25">
      <c r="A32570" s="1"/>
      <c r="B32570" s="1" t="s">
        <v>8390</v>
      </c>
      <c r="C32570" s="1" t="s">
        <v>8391</v>
      </c>
      <c r="D32570" s="1" t="str">
        <f>HYPERLINK("https://rhld.insurance.arkansas.gov/NPILookup?Npi=1053802306","1053802306")</f>
        <v>1053802306</v>
      </c>
      <c r="E32570" s="1" t="s">
        <v>30036</v>
      </c>
      <c r="F32570" s="2"/>
      <c r="G32570" s="2"/>
      <c r="H32570" s="2"/>
    </row>
    <row r="32571" spans="1:8" x14ac:dyDescent="0.25">
      <c r="A32571" s="1"/>
      <c r="B32571" s="1" t="s">
        <v>8390</v>
      </c>
      <c r="C32571" s="1" t="s">
        <v>8391</v>
      </c>
      <c r="D32571" s="1" t="str">
        <f>HYPERLINK("https://rhld.insurance.arkansas.gov/NPILookup?Npi=1063491280","1063491280")</f>
        <v>1063491280</v>
      </c>
      <c r="E32571" s="1" t="s">
        <v>455</v>
      </c>
      <c r="F32571" s="2"/>
      <c r="G32571" s="2"/>
      <c r="H32571" s="2"/>
    </row>
    <row r="32572" spans="1:8" x14ac:dyDescent="0.25">
      <c r="A32572" s="1"/>
      <c r="B32572" s="1" t="s">
        <v>8390</v>
      </c>
      <c r="C32572" s="1" t="s">
        <v>8391</v>
      </c>
      <c r="D32572" s="1" t="str">
        <f>HYPERLINK("https://rhld.insurance.arkansas.gov/NPILookup?Npi=1063614659","1063614659")</f>
        <v>1063614659</v>
      </c>
      <c r="E32572" s="1" t="s">
        <v>14004</v>
      </c>
      <c r="F32572" s="2"/>
      <c r="G32572" s="2"/>
      <c r="H32572" s="2"/>
    </row>
    <row r="32573" spans="1:8" x14ac:dyDescent="0.25">
      <c r="A32573" s="1"/>
      <c r="B32573" s="1" t="s">
        <v>8390</v>
      </c>
      <c r="C32573" s="1" t="s">
        <v>8391</v>
      </c>
      <c r="D32573" s="1" t="str">
        <f>HYPERLINK("https://rhld.insurance.arkansas.gov/NPILookup?Npi=1073541512","1073541512")</f>
        <v>1073541512</v>
      </c>
      <c r="E32573" s="1" t="s">
        <v>32492</v>
      </c>
      <c r="F32573" s="2"/>
      <c r="G32573" s="2"/>
      <c r="H32573" s="2"/>
    </row>
    <row r="32574" spans="1:8" x14ac:dyDescent="0.25">
      <c r="A32574" s="1"/>
      <c r="B32574" s="1" t="s">
        <v>8390</v>
      </c>
      <c r="C32574" s="1" t="s">
        <v>8391</v>
      </c>
      <c r="D32574" s="1" t="str">
        <f>HYPERLINK("https://rhld.insurance.arkansas.gov/NPILookup?Npi=1073562930","1073562930")</f>
        <v>1073562930</v>
      </c>
      <c r="E32574" s="1" t="s">
        <v>7402</v>
      </c>
      <c r="F32574" s="2"/>
      <c r="G32574" s="2"/>
      <c r="H32574" s="2"/>
    </row>
    <row r="32575" spans="1:8" x14ac:dyDescent="0.25">
      <c r="A32575" s="1"/>
      <c r="B32575" s="1" t="s">
        <v>8390</v>
      </c>
      <c r="C32575" s="1" t="s">
        <v>8391</v>
      </c>
      <c r="D32575" s="1" t="str">
        <f>HYPERLINK("https://rhld.insurance.arkansas.gov/NPILookup?Npi=1083848956","1083848956")</f>
        <v>1083848956</v>
      </c>
      <c r="E32575" s="1" t="s">
        <v>14005</v>
      </c>
      <c r="F32575" s="2"/>
      <c r="G32575" s="2"/>
      <c r="H32575" s="2"/>
    </row>
    <row r="32576" spans="1:8" x14ac:dyDescent="0.25">
      <c r="A32576" s="1"/>
      <c r="B32576" s="1" t="s">
        <v>8390</v>
      </c>
      <c r="C32576" s="1" t="s">
        <v>8391</v>
      </c>
      <c r="D32576" s="1" t="str">
        <f>HYPERLINK("https://rhld.insurance.arkansas.gov/NPILookup?Npi=1083980031","1083980031")</f>
        <v>1083980031</v>
      </c>
      <c r="E32576" s="1" t="s">
        <v>30037</v>
      </c>
      <c r="F32576" s="2"/>
      <c r="G32576" s="2"/>
      <c r="H32576" s="2"/>
    </row>
    <row r="32577" spans="1:8" x14ac:dyDescent="0.25">
      <c r="A32577" s="1"/>
      <c r="B32577" s="1" t="s">
        <v>8390</v>
      </c>
      <c r="C32577" s="1" t="s">
        <v>8391</v>
      </c>
      <c r="D32577" s="1" t="str">
        <f>HYPERLINK("https://rhld.insurance.arkansas.gov/NPILookup?Npi=1093009078","1093009078")</f>
        <v>1093009078</v>
      </c>
      <c r="E32577" s="1" t="s">
        <v>12684</v>
      </c>
      <c r="F32577" s="2"/>
      <c r="G32577" s="2"/>
      <c r="H32577" s="2"/>
    </row>
    <row r="32578" spans="1:8" x14ac:dyDescent="0.25">
      <c r="A32578" s="1"/>
      <c r="B32578" s="1" t="s">
        <v>8390</v>
      </c>
      <c r="C32578" s="1" t="s">
        <v>8391</v>
      </c>
      <c r="D32578" s="1" t="str">
        <f>HYPERLINK("https://rhld.insurance.arkansas.gov/NPILookup?Npi=1093160343","1093160343")</f>
        <v>1093160343</v>
      </c>
      <c r="E32578" s="1" t="s">
        <v>25525</v>
      </c>
      <c r="F32578" s="2"/>
      <c r="G32578" s="2"/>
      <c r="H32578" s="2"/>
    </row>
    <row r="32579" spans="1:8" x14ac:dyDescent="0.25">
      <c r="A32579" s="1"/>
      <c r="B32579" s="1" t="s">
        <v>8390</v>
      </c>
      <c r="C32579" s="1" t="s">
        <v>8391</v>
      </c>
      <c r="D32579" s="1" t="str">
        <f>HYPERLINK("https://rhld.insurance.arkansas.gov/NPILookup?Npi=1104052661","1104052661")</f>
        <v>1104052661</v>
      </c>
      <c r="E32579" s="1" t="s">
        <v>30038</v>
      </c>
      <c r="F32579" s="2"/>
      <c r="G32579" s="2"/>
      <c r="H32579" s="2"/>
    </row>
    <row r="32580" spans="1:8" x14ac:dyDescent="0.25">
      <c r="A32580" s="1"/>
      <c r="B32580" s="1" t="s">
        <v>8390</v>
      </c>
      <c r="C32580" s="1" t="s">
        <v>8391</v>
      </c>
      <c r="D32580" s="1" t="str">
        <f>HYPERLINK("https://rhld.insurance.arkansas.gov/NPILookup?Npi=1104104330","1104104330")</f>
        <v>1104104330</v>
      </c>
      <c r="E32580" s="1" t="s">
        <v>3555</v>
      </c>
      <c r="F32580" s="2"/>
      <c r="G32580" s="2"/>
      <c r="H32580" s="2"/>
    </row>
    <row r="32581" spans="1:8" x14ac:dyDescent="0.25">
      <c r="A32581" s="1"/>
      <c r="B32581" s="1" t="s">
        <v>8390</v>
      </c>
      <c r="C32581" s="1" t="s">
        <v>8391</v>
      </c>
      <c r="D32581" s="1" t="str">
        <f>HYPERLINK("https://rhld.insurance.arkansas.gov/NPILookup?Npi=1104916774","1104916774")</f>
        <v>1104916774</v>
      </c>
      <c r="E32581" s="1" t="s">
        <v>30039</v>
      </c>
      <c r="F32581" s="2"/>
      <c r="G32581" s="2"/>
      <c r="H32581" s="2"/>
    </row>
    <row r="32582" spans="1:8" x14ac:dyDescent="0.25">
      <c r="A32582" s="1"/>
      <c r="B32582" s="1" t="s">
        <v>8390</v>
      </c>
      <c r="C32582" s="1" t="s">
        <v>8391</v>
      </c>
      <c r="D32582" s="1" t="str">
        <f>HYPERLINK("https://rhld.insurance.arkansas.gov/NPILookup?Npi=1104945773","1104945773")</f>
        <v>1104945773</v>
      </c>
      <c r="E32582" s="1" t="s">
        <v>30040</v>
      </c>
      <c r="F32582" s="2"/>
      <c r="G32582" s="2"/>
      <c r="H32582" s="2"/>
    </row>
    <row r="32583" spans="1:8" x14ac:dyDescent="0.25">
      <c r="A32583" s="1"/>
      <c r="B32583" s="1" t="s">
        <v>8390</v>
      </c>
      <c r="C32583" s="1" t="s">
        <v>8391</v>
      </c>
      <c r="D32583" s="1" t="str">
        <f>HYPERLINK("https://rhld.insurance.arkansas.gov/NPILookup?Npi=1114947900","1114947900")</f>
        <v>1114947900</v>
      </c>
      <c r="E32583" s="1" t="s">
        <v>30041</v>
      </c>
      <c r="F32583" s="2"/>
      <c r="G32583" s="2"/>
      <c r="H32583" s="2"/>
    </row>
    <row r="32584" spans="1:8" x14ac:dyDescent="0.25">
      <c r="A32584" s="1"/>
      <c r="B32584" s="1" t="s">
        <v>8390</v>
      </c>
      <c r="C32584" s="1" t="s">
        <v>8391</v>
      </c>
      <c r="D32584" s="1" t="str">
        <f>HYPERLINK("https://rhld.insurance.arkansas.gov/NPILookup?Npi=1134121783","1134121783")</f>
        <v>1134121783</v>
      </c>
      <c r="E32584" s="1" t="s">
        <v>29598</v>
      </c>
      <c r="F32584" s="2"/>
      <c r="G32584" s="2"/>
      <c r="H32584" s="2"/>
    </row>
    <row r="32585" spans="1:8" x14ac:dyDescent="0.25">
      <c r="A32585" s="1"/>
      <c r="B32585" s="1" t="s">
        <v>8390</v>
      </c>
      <c r="C32585" s="1" t="s">
        <v>8391</v>
      </c>
      <c r="D32585" s="1" t="str">
        <f>HYPERLINK("https://rhld.insurance.arkansas.gov/NPILookup?Npi=1134217441","1134217441")</f>
        <v>1134217441</v>
      </c>
      <c r="E32585" s="1" t="s">
        <v>456</v>
      </c>
      <c r="F32585" s="2"/>
      <c r="G32585" s="2"/>
      <c r="H32585" s="2"/>
    </row>
    <row r="32586" spans="1:8" x14ac:dyDescent="0.25">
      <c r="A32586" s="1"/>
      <c r="B32586" s="1" t="s">
        <v>8390</v>
      </c>
      <c r="C32586" s="1" t="s">
        <v>8391</v>
      </c>
      <c r="D32586" s="1" t="str">
        <f>HYPERLINK("https://rhld.insurance.arkansas.gov/NPILookup?Npi=1134393473","1134393473")</f>
        <v>1134393473</v>
      </c>
      <c r="E32586" s="1" t="s">
        <v>3556</v>
      </c>
      <c r="F32586" s="2"/>
      <c r="G32586" s="2"/>
      <c r="H32586" s="2"/>
    </row>
    <row r="32587" spans="1:8" x14ac:dyDescent="0.25">
      <c r="A32587" s="1"/>
      <c r="B32587" s="1" t="s">
        <v>8390</v>
      </c>
      <c r="C32587" s="1" t="s">
        <v>8391</v>
      </c>
      <c r="D32587" s="1" t="str">
        <f>HYPERLINK("https://rhld.insurance.arkansas.gov/NPILookup?Npi=1134418437","1134418437")</f>
        <v>1134418437</v>
      </c>
      <c r="E32587" s="1" t="s">
        <v>7460</v>
      </c>
      <c r="F32587" s="2"/>
      <c r="G32587" s="2"/>
      <c r="H32587" s="2"/>
    </row>
    <row r="32588" spans="1:8" x14ac:dyDescent="0.25">
      <c r="A32588" s="1"/>
      <c r="B32588" s="1" t="s">
        <v>8390</v>
      </c>
      <c r="C32588" s="1" t="s">
        <v>8391</v>
      </c>
      <c r="D32588" s="1" t="str">
        <f>HYPERLINK("https://rhld.insurance.arkansas.gov/NPILookup?Npi=1144536319","1144536319")</f>
        <v>1144536319</v>
      </c>
      <c r="E32588" s="1" t="s">
        <v>30042</v>
      </c>
      <c r="F32588" s="2"/>
      <c r="G32588" s="2"/>
      <c r="H32588" s="2"/>
    </row>
    <row r="32589" spans="1:8" x14ac:dyDescent="0.25">
      <c r="A32589" s="1"/>
      <c r="B32589" s="1" t="s">
        <v>8390</v>
      </c>
      <c r="C32589" s="1" t="s">
        <v>8391</v>
      </c>
      <c r="D32589" s="1" t="str">
        <f>HYPERLINK("https://rhld.insurance.arkansas.gov/NPILookup?Npi=1144548876","1144548876")</f>
        <v>1144548876</v>
      </c>
      <c r="E32589" s="1" t="s">
        <v>1452</v>
      </c>
      <c r="F32589" s="2"/>
      <c r="G32589" s="2"/>
      <c r="H32589" s="2"/>
    </row>
    <row r="32590" spans="1:8" x14ac:dyDescent="0.25">
      <c r="A32590" s="1"/>
      <c r="B32590" s="1" t="s">
        <v>8390</v>
      </c>
      <c r="C32590" s="1" t="s">
        <v>8391</v>
      </c>
      <c r="D32590" s="1" t="str">
        <f>HYPERLINK("https://rhld.insurance.arkansas.gov/NPILookup?Npi=1144742081","1144742081")</f>
        <v>1144742081</v>
      </c>
      <c r="E32590" s="1" t="s">
        <v>8394</v>
      </c>
      <c r="F32590" s="2"/>
      <c r="G32590" s="2"/>
      <c r="H32590" s="2"/>
    </row>
    <row r="32591" spans="1:8" x14ac:dyDescent="0.25">
      <c r="A32591" s="1"/>
      <c r="B32591" s="1" t="s">
        <v>8390</v>
      </c>
      <c r="C32591" s="1" t="s">
        <v>8391</v>
      </c>
      <c r="D32591" s="1" t="str">
        <f>HYPERLINK("https://rhld.insurance.arkansas.gov/NPILookup?Npi=1154334860","1154334860")</f>
        <v>1154334860</v>
      </c>
      <c r="E32591" s="1" t="s">
        <v>8395</v>
      </c>
      <c r="F32591" s="2"/>
      <c r="G32591" s="2"/>
      <c r="H32591" s="2"/>
    </row>
    <row r="32592" spans="1:8" x14ac:dyDescent="0.25">
      <c r="A32592" s="1"/>
      <c r="B32592" s="1" t="s">
        <v>8390</v>
      </c>
      <c r="C32592" s="1" t="s">
        <v>8391</v>
      </c>
      <c r="D32592" s="1" t="str">
        <f>HYPERLINK("https://rhld.insurance.arkansas.gov/NPILookup?Npi=1154539807","1154539807")</f>
        <v>1154539807</v>
      </c>
      <c r="E32592" s="1" t="s">
        <v>1361</v>
      </c>
      <c r="F32592" s="2"/>
      <c r="G32592" s="2"/>
      <c r="H32592" s="2"/>
    </row>
    <row r="32593" spans="1:8" x14ac:dyDescent="0.25">
      <c r="A32593" s="1"/>
      <c r="B32593" s="1" t="s">
        <v>8390</v>
      </c>
      <c r="C32593" s="1" t="s">
        <v>8391</v>
      </c>
      <c r="D32593" s="1" t="str">
        <f>HYPERLINK("https://rhld.insurance.arkansas.gov/NPILookup?Npi=1154627941","1154627941")</f>
        <v>1154627941</v>
      </c>
      <c r="E32593" s="1" t="s">
        <v>8396</v>
      </c>
      <c r="F32593" s="2"/>
      <c r="G32593" s="2"/>
      <c r="H32593" s="2"/>
    </row>
    <row r="32594" spans="1:8" x14ac:dyDescent="0.25">
      <c r="A32594" s="1"/>
      <c r="B32594" s="1" t="s">
        <v>8390</v>
      </c>
      <c r="C32594" s="1" t="s">
        <v>8391</v>
      </c>
      <c r="D32594" s="1" t="str">
        <f>HYPERLINK("https://rhld.insurance.arkansas.gov/NPILookup?Npi=1164480802","1164480802")</f>
        <v>1164480802</v>
      </c>
      <c r="E32594" s="1" t="s">
        <v>14006</v>
      </c>
      <c r="F32594" s="2"/>
      <c r="G32594" s="2"/>
      <c r="H32594" s="2"/>
    </row>
    <row r="32595" spans="1:8" x14ac:dyDescent="0.25">
      <c r="A32595" s="1"/>
      <c r="B32595" s="1" t="s">
        <v>8390</v>
      </c>
      <c r="C32595" s="1" t="s">
        <v>8391</v>
      </c>
      <c r="D32595" s="1" t="str">
        <f>HYPERLINK("https://rhld.insurance.arkansas.gov/NPILookup?Npi=1164634838","1164634838")</f>
        <v>1164634838</v>
      </c>
      <c r="E32595" s="1" t="s">
        <v>460</v>
      </c>
      <c r="F32595" s="2"/>
      <c r="G32595" s="2"/>
      <c r="H32595" s="2"/>
    </row>
    <row r="32596" spans="1:8" x14ac:dyDescent="0.25">
      <c r="A32596" s="1"/>
      <c r="B32596" s="1" t="s">
        <v>8390</v>
      </c>
      <c r="C32596" s="1" t="s">
        <v>8391</v>
      </c>
      <c r="D32596" s="1" t="str">
        <f>HYPERLINK("https://rhld.insurance.arkansas.gov/NPILookup?Npi=1164818233","1164818233")</f>
        <v>1164818233</v>
      </c>
      <c r="E32596" s="1" t="s">
        <v>25863</v>
      </c>
      <c r="F32596" s="2"/>
      <c r="G32596" s="2"/>
      <c r="H32596" s="2"/>
    </row>
    <row r="32597" spans="1:8" x14ac:dyDescent="0.25">
      <c r="A32597" s="1"/>
      <c r="B32597" s="1" t="s">
        <v>8390</v>
      </c>
      <c r="C32597" s="1" t="s">
        <v>8391</v>
      </c>
      <c r="D32597" s="1" t="str">
        <f>HYPERLINK("https://rhld.insurance.arkansas.gov/NPILookup?Npi=1174506448","1174506448")</f>
        <v>1174506448</v>
      </c>
      <c r="E32597" s="1" t="s">
        <v>30043</v>
      </c>
      <c r="F32597" s="2"/>
      <c r="G32597" s="2"/>
      <c r="H32597" s="2"/>
    </row>
    <row r="32598" spans="1:8" x14ac:dyDescent="0.25">
      <c r="A32598" s="1"/>
      <c r="B32598" s="1" t="s">
        <v>8390</v>
      </c>
      <c r="C32598" s="1" t="s">
        <v>8391</v>
      </c>
      <c r="D32598" s="1" t="str">
        <f>HYPERLINK("https://rhld.insurance.arkansas.gov/NPILookup?Npi=1174525174","1174525174")</f>
        <v>1174525174</v>
      </c>
      <c r="E32598" s="1" t="s">
        <v>30044</v>
      </c>
      <c r="F32598" s="2"/>
      <c r="G32598" s="2"/>
      <c r="H32598" s="2"/>
    </row>
    <row r="32599" spans="1:8" x14ac:dyDescent="0.25">
      <c r="A32599" s="1"/>
      <c r="B32599" s="1" t="s">
        <v>8390</v>
      </c>
      <c r="C32599" s="1" t="s">
        <v>8391</v>
      </c>
      <c r="D32599" s="1" t="str">
        <f>HYPERLINK("https://rhld.insurance.arkansas.gov/NPILookup?Npi=1184714669","1184714669")</f>
        <v>1184714669</v>
      </c>
      <c r="E32599" s="1" t="s">
        <v>3088</v>
      </c>
      <c r="F32599" s="2"/>
      <c r="G32599" s="2"/>
      <c r="H32599" s="2"/>
    </row>
    <row r="32600" spans="1:8" x14ac:dyDescent="0.25">
      <c r="A32600" s="1"/>
      <c r="B32600" s="1" t="s">
        <v>8390</v>
      </c>
      <c r="C32600" s="1" t="s">
        <v>8391</v>
      </c>
      <c r="D32600" s="1" t="str">
        <f>HYPERLINK("https://rhld.insurance.arkansas.gov/NPILookup?Npi=1184836355","1184836355")</f>
        <v>1184836355</v>
      </c>
      <c r="E32600" s="1" t="s">
        <v>8397</v>
      </c>
      <c r="F32600" s="2"/>
      <c r="G32600" s="2"/>
      <c r="H32600" s="2"/>
    </row>
    <row r="32601" spans="1:8" x14ac:dyDescent="0.25">
      <c r="A32601" s="1"/>
      <c r="B32601" s="1" t="s">
        <v>8390</v>
      </c>
      <c r="C32601" s="1" t="s">
        <v>8391</v>
      </c>
      <c r="D32601" s="1" t="str">
        <f>HYPERLINK("https://rhld.insurance.arkansas.gov/NPILookup?Npi=1184838369","1184838369")</f>
        <v>1184838369</v>
      </c>
      <c r="E32601" s="1" t="s">
        <v>2561</v>
      </c>
      <c r="F32601" s="2"/>
      <c r="G32601" s="2"/>
      <c r="H32601" s="2"/>
    </row>
    <row r="32602" spans="1:8" x14ac:dyDescent="0.25">
      <c r="A32602" s="1"/>
      <c r="B32602" s="1" t="s">
        <v>8390</v>
      </c>
      <c r="C32602" s="1" t="s">
        <v>8391</v>
      </c>
      <c r="D32602" s="1" t="str">
        <f>HYPERLINK("https://rhld.insurance.arkansas.gov/NPILookup?Npi=1184860926","1184860926")</f>
        <v>1184860926</v>
      </c>
      <c r="E32602" s="1" t="s">
        <v>30045</v>
      </c>
      <c r="F32602" s="2"/>
      <c r="G32602" s="2"/>
      <c r="H32602" s="2"/>
    </row>
    <row r="32603" spans="1:8" x14ac:dyDescent="0.25">
      <c r="A32603" s="1"/>
      <c r="B32603" s="1" t="s">
        <v>8390</v>
      </c>
      <c r="C32603" s="1" t="s">
        <v>8391</v>
      </c>
      <c r="D32603" s="1" t="str">
        <f>HYPERLINK("https://rhld.insurance.arkansas.gov/NPILookup?Npi=1184939308","1184939308")</f>
        <v>1184939308</v>
      </c>
      <c r="E32603" s="1" t="s">
        <v>29616</v>
      </c>
      <c r="F32603" s="2"/>
      <c r="G32603" s="2"/>
      <c r="H32603" s="2"/>
    </row>
    <row r="32604" spans="1:8" x14ac:dyDescent="0.25">
      <c r="A32604" s="1"/>
      <c r="B32604" s="1" t="s">
        <v>8390</v>
      </c>
      <c r="C32604" s="1" t="s">
        <v>8391</v>
      </c>
      <c r="D32604" s="1" t="str">
        <f>HYPERLINK("https://rhld.insurance.arkansas.gov/NPILookup?Npi=1184997264","1184997264")</f>
        <v>1184997264</v>
      </c>
      <c r="E32604" s="1" t="s">
        <v>8398</v>
      </c>
      <c r="F32604" s="2"/>
      <c r="G32604" s="2"/>
      <c r="H32604" s="2"/>
    </row>
    <row r="32605" spans="1:8" x14ac:dyDescent="0.25">
      <c r="A32605" s="1"/>
      <c r="B32605" s="1" t="s">
        <v>8390</v>
      </c>
      <c r="C32605" s="1" t="s">
        <v>8391</v>
      </c>
      <c r="D32605" s="1" t="str">
        <f>HYPERLINK("https://rhld.insurance.arkansas.gov/NPILookup?Npi=1194087965","1194087965")</f>
        <v>1194087965</v>
      </c>
      <c r="E32605" s="1" t="s">
        <v>30046</v>
      </c>
      <c r="F32605" s="2"/>
      <c r="G32605" s="2"/>
      <c r="H32605" s="2"/>
    </row>
    <row r="32606" spans="1:8" x14ac:dyDescent="0.25">
      <c r="A32606" s="1"/>
      <c r="B32606" s="1" t="s">
        <v>8390</v>
      </c>
      <c r="C32606" s="1" t="s">
        <v>8391</v>
      </c>
      <c r="D32606" s="1" t="str">
        <f>HYPERLINK("https://rhld.insurance.arkansas.gov/NPILookup?Npi=1194161869","1194161869")</f>
        <v>1194161869</v>
      </c>
      <c r="E32606" s="1" t="s">
        <v>13890</v>
      </c>
      <c r="F32606" s="2"/>
      <c r="G32606" s="2"/>
      <c r="H32606" s="2"/>
    </row>
    <row r="32607" spans="1:8" x14ac:dyDescent="0.25">
      <c r="A32607" s="1"/>
      <c r="B32607" s="1" t="s">
        <v>8390</v>
      </c>
      <c r="C32607" s="1" t="s">
        <v>8391</v>
      </c>
      <c r="D32607" s="1" t="str">
        <f>HYPERLINK("https://rhld.insurance.arkansas.gov/NPILookup?Npi=1194764290","1194764290")</f>
        <v>1194764290</v>
      </c>
      <c r="E32607" s="1" t="s">
        <v>2894</v>
      </c>
      <c r="F32607" s="2"/>
      <c r="G32607" s="2"/>
      <c r="H32607" s="2"/>
    </row>
    <row r="32608" spans="1:8" x14ac:dyDescent="0.25">
      <c r="A32608" s="1"/>
      <c r="B32608" s="1" t="s">
        <v>8390</v>
      </c>
      <c r="C32608" s="1" t="s">
        <v>8391</v>
      </c>
      <c r="D32608" s="1" t="str">
        <f>HYPERLINK("https://rhld.insurance.arkansas.gov/NPILookup?Npi=1194956474","1194956474")</f>
        <v>1194956474</v>
      </c>
      <c r="E32608" s="1" t="s">
        <v>30047</v>
      </c>
      <c r="F32608" s="2"/>
      <c r="G32608" s="2"/>
      <c r="H32608" s="2"/>
    </row>
    <row r="32609" spans="1:8" x14ac:dyDescent="0.25">
      <c r="A32609" s="1"/>
      <c r="B32609" s="1" t="s">
        <v>8390</v>
      </c>
      <c r="C32609" s="1" t="s">
        <v>8391</v>
      </c>
      <c r="D32609" s="1" t="str">
        <f>HYPERLINK("https://rhld.insurance.arkansas.gov/NPILookup?Npi=1205032638","1205032638")</f>
        <v>1205032638</v>
      </c>
      <c r="E32609" s="1" t="s">
        <v>8399</v>
      </c>
      <c r="F32609" s="2"/>
      <c r="G32609" s="2"/>
      <c r="H32609" s="2"/>
    </row>
    <row r="32610" spans="1:8" x14ac:dyDescent="0.25">
      <c r="A32610" s="1"/>
      <c r="B32610" s="1" t="s">
        <v>8390</v>
      </c>
      <c r="C32610" s="1" t="s">
        <v>8391</v>
      </c>
      <c r="D32610" s="1" t="str">
        <f>HYPERLINK("https://rhld.insurance.arkansas.gov/NPILookup?Npi=1205044062","1205044062")</f>
        <v>1205044062</v>
      </c>
      <c r="E32610" s="1" t="s">
        <v>30048</v>
      </c>
      <c r="F32610" s="2"/>
      <c r="G32610" s="2"/>
      <c r="H32610" s="2"/>
    </row>
    <row r="32611" spans="1:8" x14ac:dyDescent="0.25">
      <c r="A32611" s="1"/>
      <c r="B32611" s="1" t="s">
        <v>8390</v>
      </c>
      <c r="C32611" s="1" t="s">
        <v>8391</v>
      </c>
      <c r="D32611" s="1" t="str">
        <f>HYPERLINK("https://rhld.insurance.arkansas.gov/NPILookup?Npi=1215163514","1215163514")</f>
        <v>1215163514</v>
      </c>
      <c r="E32611" s="1" t="s">
        <v>14007</v>
      </c>
      <c r="F32611" s="2"/>
      <c r="G32611" s="2"/>
      <c r="H32611" s="2"/>
    </row>
    <row r="32612" spans="1:8" x14ac:dyDescent="0.25">
      <c r="A32612" s="1"/>
      <c r="B32612" s="1" t="s">
        <v>8390</v>
      </c>
      <c r="C32612" s="1" t="s">
        <v>8391</v>
      </c>
      <c r="D32612" s="1" t="str">
        <f>HYPERLINK("https://rhld.insurance.arkansas.gov/NPILookup?Npi=1215196233","1215196233")</f>
        <v>1215196233</v>
      </c>
      <c r="E32612" s="1" t="s">
        <v>12846</v>
      </c>
      <c r="F32612" s="2"/>
      <c r="G32612" s="2"/>
      <c r="H32612" s="2"/>
    </row>
    <row r="32613" spans="1:8" x14ac:dyDescent="0.25">
      <c r="A32613" s="1"/>
      <c r="B32613" s="1" t="s">
        <v>8390</v>
      </c>
      <c r="C32613" s="1" t="s">
        <v>8391</v>
      </c>
      <c r="D32613" s="1" t="str">
        <f>HYPERLINK("https://rhld.insurance.arkansas.gov/NPILookup?Npi=1215371570","1215371570")</f>
        <v>1215371570</v>
      </c>
      <c r="E32613" s="1" t="s">
        <v>30049</v>
      </c>
      <c r="F32613" s="2"/>
      <c r="G32613" s="2"/>
      <c r="H32613" s="2"/>
    </row>
    <row r="32614" spans="1:8" x14ac:dyDescent="0.25">
      <c r="A32614" s="1"/>
      <c r="B32614" s="1" t="s">
        <v>8390</v>
      </c>
      <c r="C32614" s="1" t="s">
        <v>8391</v>
      </c>
      <c r="D32614" s="1" t="str">
        <f>HYPERLINK("https://rhld.insurance.arkansas.gov/NPILookup?Npi=1215498399","1215498399")</f>
        <v>1215498399</v>
      </c>
      <c r="E32614" s="1" t="s">
        <v>12853</v>
      </c>
      <c r="F32614" s="2"/>
      <c r="G32614" s="2"/>
      <c r="H32614" s="2"/>
    </row>
    <row r="32615" spans="1:8" x14ac:dyDescent="0.25">
      <c r="A32615" s="1"/>
      <c r="B32615" s="1" t="s">
        <v>8390</v>
      </c>
      <c r="C32615" s="1" t="s">
        <v>8391</v>
      </c>
      <c r="D32615" s="1" t="str">
        <f>HYPERLINK("https://rhld.insurance.arkansas.gov/NPILookup?Npi=1225246861","1225246861")</f>
        <v>1225246861</v>
      </c>
      <c r="E32615" s="1" t="s">
        <v>14008</v>
      </c>
      <c r="F32615" s="2"/>
      <c r="G32615" s="2"/>
      <c r="H32615" s="2"/>
    </row>
    <row r="32616" spans="1:8" x14ac:dyDescent="0.25">
      <c r="A32616" s="1"/>
      <c r="B32616" s="1" t="s">
        <v>8390</v>
      </c>
      <c r="C32616" s="1" t="s">
        <v>8391</v>
      </c>
      <c r="D32616" s="1" t="str">
        <f>HYPERLINK("https://rhld.insurance.arkansas.gov/NPILookup?Npi=1225317126","1225317126")</f>
        <v>1225317126</v>
      </c>
      <c r="E32616" s="1" t="s">
        <v>14009</v>
      </c>
      <c r="F32616" s="2"/>
      <c r="G32616" s="2"/>
      <c r="H32616" s="2"/>
    </row>
    <row r="32617" spans="1:8" x14ac:dyDescent="0.25">
      <c r="A32617" s="1"/>
      <c r="B32617" s="1" t="s">
        <v>8390</v>
      </c>
      <c r="C32617" s="1" t="s">
        <v>8391</v>
      </c>
      <c r="D32617" s="1" t="str">
        <f>HYPERLINK("https://rhld.insurance.arkansas.gov/NPILookup?Npi=1235108697","1235108697")</f>
        <v>1235108697</v>
      </c>
      <c r="E32617" s="1" t="s">
        <v>14010</v>
      </c>
      <c r="F32617" s="2"/>
      <c r="G32617" s="2"/>
      <c r="H32617" s="2"/>
    </row>
    <row r="32618" spans="1:8" x14ac:dyDescent="0.25">
      <c r="A32618" s="1"/>
      <c r="B32618" s="1" t="s">
        <v>8390</v>
      </c>
      <c r="C32618" s="1" t="s">
        <v>8391</v>
      </c>
      <c r="D32618" s="1" t="str">
        <f>HYPERLINK("https://rhld.insurance.arkansas.gov/NPILookup?Npi=1235110313","1235110313")</f>
        <v>1235110313</v>
      </c>
      <c r="E32618" s="1" t="s">
        <v>30050</v>
      </c>
      <c r="F32618" s="2"/>
      <c r="G32618" s="2"/>
      <c r="H32618" s="2"/>
    </row>
    <row r="32619" spans="1:8" x14ac:dyDescent="0.25">
      <c r="A32619" s="1"/>
      <c r="B32619" s="1" t="s">
        <v>8390</v>
      </c>
      <c r="C32619" s="1" t="s">
        <v>8391</v>
      </c>
      <c r="D32619" s="1" t="str">
        <f>HYPERLINK("https://rhld.insurance.arkansas.gov/NPILookup?Npi=1235179177","1235179177")</f>
        <v>1235179177</v>
      </c>
      <c r="E32619" s="1" t="s">
        <v>3557</v>
      </c>
      <c r="F32619" s="2"/>
      <c r="G32619" s="2"/>
      <c r="H32619" s="2"/>
    </row>
    <row r="32620" spans="1:8" x14ac:dyDescent="0.25">
      <c r="A32620" s="1"/>
      <c r="B32620" s="1" t="s">
        <v>8390</v>
      </c>
      <c r="C32620" s="1" t="s">
        <v>8391</v>
      </c>
      <c r="D32620" s="1" t="str">
        <f>HYPERLINK("https://rhld.insurance.arkansas.gov/NPILookup?Npi=1235388752","1235388752")</f>
        <v>1235388752</v>
      </c>
      <c r="E32620" s="1" t="s">
        <v>14011</v>
      </c>
      <c r="F32620" s="2"/>
      <c r="G32620" s="2"/>
      <c r="H32620" s="2"/>
    </row>
    <row r="32621" spans="1:8" x14ac:dyDescent="0.25">
      <c r="A32621" s="1"/>
      <c r="B32621" s="1" t="s">
        <v>8390</v>
      </c>
      <c r="C32621" s="1" t="s">
        <v>8391</v>
      </c>
      <c r="D32621" s="1" t="str">
        <f>HYPERLINK("https://rhld.insurance.arkansas.gov/NPILookup?Npi=1235472507","1235472507")</f>
        <v>1235472507</v>
      </c>
      <c r="E32621" s="1" t="s">
        <v>26143</v>
      </c>
      <c r="F32621" s="2"/>
      <c r="G32621" s="2"/>
      <c r="H32621" s="2"/>
    </row>
    <row r="32622" spans="1:8" x14ac:dyDescent="0.25">
      <c r="A32622" s="1"/>
      <c r="B32622" s="1" t="s">
        <v>8390</v>
      </c>
      <c r="C32622" s="1" t="s">
        <v>8391</v>
      </c>
      <c r="D32622" s="1" t="str">
        <f>HYPERLINK("https://rhld.insurance.arkansas.gov/NPILookup?Npi=1235493453","1235493453")</f>
        <v>1235493453</v>
      </c>
      <c r="E32622" s="1" t="s">
        <v>7565</v>
      </c>
      <c r="F32622" s="2"/>
      <c r="G32622" s="2"/>
      <c r="H32622" s="2"/>
    </row>
    <row r="32623" spans="1:8" x14ac:dyDescent="0.25">
      <c r="A32623" s="1"/>
      <c r="B32623" s="1" t="s">
        <v>8390</v>
      </c>
      <c r="C32623" s="1" t="s">
        <v>8391</v>
      </c>
      <c r="D32623" s="1" t="str">
        <f>HYPERLINK("https://rhld.insurance.arkansas.gov/NPILookup?Npi=1255312336","1255312336")</f>
        <v>1255312336</v>
      </c>
      <c r="E32623" s="1" t="s">
        <v>14012</v>
      </c>
      <c r="F32623" s="2"/>
      <c r="G32623" s="2"/>
      <c r="H32623" s="2"/>
    </row>
    <row r="32624" spans="1:8" x14ac:dyDescent="0.25">
      <c r="A32624" s="1"/>
      <c r="B32624" s="1" t="s">
        <v>8390</v>
      </c>
      <c r="C32624" s="1" t="s">
        <v>8391</v>
      </c>
      <c r="D32624" s="1" t="str">
        <f>HYPERLINK("https://rhld.insurance.arkansas.gov/NPILookup?Npi=1255535613","1255535613")</f>
        <v>1255535613</v>
      </c>
      <c r="E32624" s="1" t="s">
        <v>3558</v>
      </c>
      <c r="F32624" s="2"/>
      <c r="G32624" s="2"/>
      <c r="H32624" s="2"/>
    </row>
    <row r="32625" spans="1:8" x14ac:dyDescent="0.25">
      <c r="A32625" s="1"/>
      <c r="B32625" s="1" t="s">
        <v>8390</v>
      </c>
      <c r="C32625" s="1" t="s">
        <v>8391</v>
      </c>
      <c r="D32625" s="1" t="str">
        <f>HYPERLINK("https://rhld.insurance.arkansas.gov/NPILookup?Npi=1255694600","1255694600")</f>
        <v>1255694600</v>
      </c>
      <c r="E32625" s="1" t="s">
        <v>12900</v>
      </c>
      <c r="F32625" s="2"/>
      <c r="G32625" s="2"/>
      <c r="H32625" s="2"/>
    </row>
    <row r="32626" spans="1:8" x14ac:dyDescent="0.25">
      <c r="A32626" s="1"/>
      <c r="B32626" s="1" t="s">
        <v>8390</v>
      </c>
      <c r="C32626" s="1" t="s">
        <v>8391</v>
      </c>
      <c r="D32626" s="1" t="str">
        <f>HYPERLINK("https://rhld.insurance.arkansas.gov/NPILookup?Npi=1265438501","1265438501")</f>
        <v>1265438501</v>
      </c>
      <c r="E32626" s="1" t="s">
        <v>26274</v>
      </c>
      <c r="F32626" s="2"/>
      <c r="G32626" s="2"/>
      <c r="H32626" s="2"/>
    </row>
    <row r="32627" spans="1:8" x14ac:dyDescent="0.25">
      <c r="A32627" s="1"/>
      <c r="B32627" s="1" t="s">
        <v>8390</v>
      </c>
      <c r="C32627" s="1" t="s">
        <v>8391</v>
      </c>
      <c r="D32627" s="1" t="str">
        <f>HYPERLINK("https://rhld.insurance.arkansas.gov/NPILookup?Npi=1265658629","1265658629")</f>
        <v>1265658629</v>
      </c>
      <c r="E32627" s="1" t="s">
        <v>30051</v>
      </c>
      <c r="F32627" s="2"/>
      <c r="G32627" s="2"/>
      <c r="H32627" s="2"/>
    </row>
    <row r="32628" spans="1:8" x14ac:dyDescent="0.25">
      <c r="A32628" s="1"/>
      <c r="B32628" s="1" t="s">
        <v>8390</v>
      </c>
      <c r="C32628" s="1" t="s">
        <v>8391</v>
      </c>
      <c r="D32628" s="1" t="str">
        <f>HYPERLINK("https://rhld.insurance.arkansas.gov/NPILookup?Npi=1265847032","1265847032")</f>
        <v>1265847032</v>
      </c>
      <c r="E32628" s="1" t="s">
        <v>30052</v>
      </c>
      <c r="F32628" s="2"/>
      <c r="G32628" s="2"/>
      <c r="H32628" s="2"/>
    </row>
    <row r="32629" spans="1:8" x14ac:dyDescent="0.25">
      <c r="A32629" s="1"/>
      <c r="B32629" s="1" t="s">
        <v>8390</v>
      </c>
      <c r="C32629" s="1" t="s">
        <v>8391</v>
      </c>
      <c r="D32629" s="1" t="str">
        <f>HYPERLINK("https://rhld.insurance.arkansas.gov/NPILookup?Npi=1275556599","1275556599")</f>
        <v>1275556599</v>
      </c>
      <c r="E32629" s="1" t="s">
        <v>7612</v>
      </c>
      <c r="F32629" s="2"/>
      <c r="G32629" s="2"/>
      <c r="H32629" s="2"/>
    </row>
    <row r="32630" spans="1:8" x14ac:dyDescent="0.25">
      <c r="A32630" s="1"/>
      <c r="B32630" s="1" t="s">
        <v>8390</v>
      </c>
      <c r="C32630" s="1" t="s">
        <v>8391</v>
      </c>
      <c r="D32630" s="1" t="str">
        <f>HYPERLINK("https://rhld.insurance.arkansas.gov/NPILookup?Npi=1275738486","1275738486")</f>
        <v>1275738486</v>
      </c>
      <c r="E32630" s="1" t="s">
        <v>7613</v>
      </c>
      <c r="F32630" s="2"/>
      <c r="G32630" s="2"/>
      <c r="H32630" s="2"/>
    </row>
    <row r="32631" spans="1:8" x14ac:dyDescent="0.25">
      <c r="A32631" s="1"/>
      <c r="B32631" s="1" t="s">
        <v>8390</v>
      </c>
      <c r="C32631" s="1" t="s">
        <v>8391</v>
      </c>
      <c r="D32631" s="1" t="str">
        <f>HYPERLINK("https://rhld.insurance.arkansas.gov/NPILookup?Npi=1285602128","1285602128")</f>
        <v>1285602128</v>
      </c>
      <c r="E32631" s="1" t="s">
        <v>30053</v>
      </c>
      <c r="F32631" s="2"/>
      <c r="G32631" s="2"/>
      <c r="H32631" s="2"/>
    </row>
    <row r="32632" spans="1:8" x14ac:dyDescent="0.25">
      <c r="A32632" s="1"/>
      <c r="B32632" s="1" t="s">
        <v>8390</v>
      </c>
      <c r="C32632" s="1" t="s">
        <v>8391</v>
      </c>
      <c r="D32632" s="1" t="str">
        <f>HYPERLINK("https://rhld.insurance.arkansas.gov/NPILookup?Npi=1285643163","1285643163")</f>
        <v>1285643163</v>
      </c>
      <c r="E32632" s="1" t="s">
        <v>8400</v>
      </c>
      <c r="F32632" s="2"/>
      <c r="G32632" s="2"/>
      <c r="H32632" s="2"/>
    </row>
    <row r="32633" spans="1:8" x14ac:dyDescent="0.25">
      <c r="A32633" s="1"/>
      <c r="B32633" s="1" t="s">
        <v>8390</v>
      </c>
      <c r="C32633" s="1" t="s">
        <v>8391</v>
      </c>
      <c r="D32633" s="1" t="str">
        <f>HYPERLINK("https://rhld.insurance.arkansas.gov/NPILookup?Npi=1285802892","1285802892")</f>
        <v>1285802892</v>
      </c>
      <c r="E32633" s="1" t="s">
        <v>8401</v>
      </c>
      <c r="F32633" s="2"/>
      <c r="G32633" s="2"/>
      <c r="H32633" s="2"/>
    </row>
    <row r="32634" spans="1:8" x14ac:dyDescent="0.25">
      <c r="A32634" s="1"/>
      <c r="B32634" s="1" t="s">
        <v>8390</v>
      </c>
      <c r="C32634" s="1" t="s">
        <v>8391</v>
      </c>
      <c r="D32634" s="1" t="str">
        <f>HYPERLINK("https://rhld.insurance.arkansas.gov/NPILookup?Npi=1285869503","1285869503")</f>
        <v>1285869503</v>
      </c>
      <c r="E32634" s="1" t="s">
        <v>30054</v>
      </c>
      <c r="F32634" s="2"/>
      <c r="G32634" s="2"/>
      <c r="H32634" s="2"/>
    </row>
    <row r="32635" spans="1:8" x14ac:dyDescent="0.25">
      <c r="A32635" s="1"/>
      <c r="B32635" s="1" t="s">
        <v>8390</v>
      </c>
      <c r="C32635" s="1" t="s">
        <v>8391</v>
      </c>
      <c r="D32635" s="1" t="str">
        <f>HYPERLINK("https://rhld.insurance.arkansas.gov/NPILookup?Npi=1295051332","1295051332")</f>
        <v>1295051332</v>
      </c>
      <c r="E32635" s="1" t="s">
        <v>30055</v>
      </c>
      <c r="F32635" s="2"/>
      <c r="G32635" s="2"/>
      <c r="H32635" s="2"/>
    </row>
    <row r="32636" spans="1:8" x14ac:dyDescent="0.25">
      <c r="A32636" s="1"/>
      <c r="B32636" s="1" t="s">
        <v>8390</v>
      </c>
      <c r="C32636" s="1" t="s">
        <v>8391</v>
      </c>
      <c r="D32636" s="1" t="str">
        <f>HYPERLINK("https://rhld.insurance.arkansas.gov/NPILookup?Npi=1295705598","1295705598")</f>
        <v>1295705598</v>
      </c>
      <c r="E32636" s="1" t="s">
        <v>14013</v>
      </c>
      <c r="F32636" s="2"/>
      <c r="G32636" s="2"/>
      <c r="H32636" s="2"/>
    </row>
    <row r="32637" spans="1:8" x14ac:dyDescent="0.25">
      <c r="A32637" s="1"/>
      <c r="B32637" s="1" t="s">
        <v>8390</v>
      </c>
      <c r="C32637" s="1" t="s">
        <v>8391</v>
      </c>
      <c r="D32637" s="1" t="str">
        <f>HYPERLINK("https://rhld.insurance.arkansas.gov/NPILookup?Npi=1295962348","1295962348")</f>
        <v>1295962348</v>
      </c>
      <c r="E32637" s="1" t="s">
        <v>30056</v>
      </c>
      <c r="F32637" s="2"/>
      <c r="G32637" s="2"/>
      <c r="H32637" s="2"/>
    </row>
    <row r="32638" spans="1:8" x14ac:dyDescent="0.25">
      <c r="A32638" s="1"/>
      <c r="B32638" s="1" t="s">
        <v>8390</v>
      </c>
      <c r="C32638" s="1" t="s">
        <v>8391</v>
      </c>
      <c r="D32638" s="1" t="str">
        <f>HYPERLINK("https://rhld.insurance.arkansas.gov/NPILookup?Npi=1306188479","1306188479")</f>
        <v>1306188479</v>
      </c>
      <c r="E32638" s="1" t="s">
        <v>30057</v>
      </c>
      <c r="F32638" s="2"/>
      <c r="G32638" s="2"/>
      <c r="H32638" s="2"/>
    </row>
    <row r="32639" spans="1:8" x14ac:dyDescent="0.25">
      <c r="A32639" s="1"/>
      <c r="B32639" s="1" t="s">
        <v>8390</v>
      </c>
      <c r="C32639" s="1" t="s">
        <v>8391</v>
      </c>
      <c r="D32639" s="1" t="str">
        <f>HYPERLINK("https://rhld.insurance.arkansas.gov/NPILookup?Npi=1316367071","1316367071")</f>
        <v>1316367071</v>
      </c>
      <c r="E32639" s="1" t="s">
        <v>30058</v>
      </c>
      <c r="F32639" s="2"/>
      <c r="G32639" s="2"/>
      <c r="H32639" s="2"/>
    </row>
    <row r="32640" spans="1:8" x14ac:dyDescent="0.25">
      <c r="A32640" s="1"/>
      <c r="B32640" s="1" t="s">
        <v>8390</v>
      </c>
      <c r="C32640" s="1" t="s">
        <v>8391</v>
      </c>
      <c r="D32640" s="1" t="str">
        <f>HYPERLINK("https://rhld.insurance.arkansas.gov/NPILookup?Npi=1326111790","1326111790")</f>
        <v>1326111790</v>
      </c>
      <c r="E32640" s="1" t="s">
        <v>130</v>
      </c>
      <c r="F32640" s="2"/>
      <c r="G32640" s="2"/>
      <c r="H32640" s="2"/>
    </row>
    <row r="32641" spans="1:8" x14ac:dyDescent="0.25">
      <c r="A32641" s="1"/>
      <c r="B32641" s="1" t="s">
        <v>8390</v>
      </c>
      <c r="C32641" s="1" t="s">
        <v>8391</v>
      </c>
      <c r="D32641" s="1" t="str">
        <f>HYPERLINK("https://rhld.insurance.arkansas.gov/NPILookup?Npi=1326219213","1326219213")</f>
        <v>1326219213</v>
      </c>
      <c r="E32641" s="1" t="s">
        <v>30059</v>
      </c>
      <c r="F32641" s="2"/>
      <c r="G32641" s="2"/>
      <c r="H32641" s="2"/>
    </row>
    <row r="32642" spans="1:8" x14ac:dyDescent="0.25">
      <c r="A32642" s="1"/>
      <c r="B32642" s="1" t="s">
        <v>8390</v>
      </c>
      <c r="C32642" s="1" t="s">
        <v>8391</v>
      </c>
      <c r="D32642" s="1" t="str">
        <f>HYPERLINK("https://rhld.insurance.arkansas.gov/NPILookup?Npi=1326393885","1326393885")</f>
        <v>1326393885</v>
      </c>
      <c r="E32642" s="1" t="s">
        <v>3559</v>
      </c>
      <c r="F32642" s="2"/>
      <c r="G32642" s="2"/>
      <c r="H32642" s="2"/>
    </row>
    <row r="32643" spans="1:8" x14ac:dyDescent="0.25">
      <c r="A32643" s="1"/>
      <c r="B32643" s="1" t="s">
        <v>8390</v>
      </c>
      <c r="C32643" s="1" t="s">
        <v>8391</v>
      </c>
      <c r="D32643" s="1" t="str">
        <f>HYPERLINK("https://rhld.insurance.arkansas.gov/NPILookup?Npi=1326493099","1326493099")</f>
        <v>1326493099</v>
      </c>
      <c r="E32643" s="1" t="s">
        <v>14015</v>
      </c>
      <c r="F32643" s="2"/>
      <c r="G32643" s="2"/>
      <c r="H32643" s="2"/>
    </row>
    <row r="32644" spans="1:8" x14ac:dyDescent="0.25">
      <c r="A32644" s="1"/>
      <c r="B32644" s="1" t="s">
        <v>8390</v>
      </c>
      <c r="C32644" s="1" t="s">
        <v>8391</v>
      </c>
      <c r="D32644" s="1" t="str">
        <f>HYPERLINK("https://rhld.insurance.arkansas.gov/NPILookup?Npi=1336118314","1336118314")</f>
        <v>1336118314</v>
      </c>
      <c r="E32644" s="1" t="s">
        <v>17428</v>
      </c>
      <c r="F32644" s="2"/>
      <c r="G32644" s="2"/>
      <c r="H32644" s="2"/>
    </row>
    <row r="32645" spans="1:8" x14ac:dyDescent="0.25">
      <c r="A32645" s="1"/>
      <c r="B32645" s="1" t="s">
        <v>8390</v>
      </c>
      <c r="C32645" s="1" t="s">
        <v>8391</v>
      </c>
      <c r="D32645" s="1" t="str">
        <f>HYPERLINK("https://rhld.insurance.arkansas.gov/NPILookup?Npi=1336145317","1336145317")</f>
        <v>1336145317</v>
      </c>
      <c r="E32645" s="1" t="s">
        <v>30060</v>
      </c>
      <c r="F32645" s="2"/>
      <c r="G32645" s="2"/>
      <c r="H32645" s="2"/>
    </row>
    <row r="32646" spans="1:8" x14ac:dyDescent="0.25">
      <c r="A32646" s="1"/>
      <c r="B32646" s="1" t="s">
        <v>8390</v>
      </c>
      <c r="C32646" s="1" t="s">
        <v>8391</v>
      </c>
      <c r="D32646" s="1" t="str">
        <f>HYPERLINK("https://rhld.insurance.arkansas.gov/NPILookup?Npi=1346288065","1346288065")</f>
        <v>1346288065</v>
      </c>
      <c r="E32646" s="1" t="s">
        <v>30061</v>
      </c>
      <c r="F32646" s="2"/>
      <c r="G32646" s="2"/>
      <c r="H32646" s="2"/>
    </row>
    <row r="32647" spans="1:8" x14ac:dyDescent="0.25">
      <c r="A32647" s="1"/>
      <c r="B32647" s="1" t="s">
        <v>8390</v>
      </c>
      <c r="C32647" s="1" t="s">
        <v>8391</v>
      </c>
      <c r="D32647" s="1" t="str">
        <f>HYPERLINK("https://rhld.insurance.arkansas.gov/NPILookup?Npi=1346598554","1346598554")</f>
        <v>1346598554</v>
      </c>
      <c r="E32647" s="1" t="s">
        <v>8402</v>
      </c>
      <c r="F32647" s="2"/>
      <c r="G32647" s="2"/>
      <c r="H32647" s="2"/>
    </row>
    <row r="32648" spans="1:8" x14ac:dyDescent="0.25">
      <c r="A32648" s="1"/>
      <c r="B32648" s="1" t="s">
        <v>8390</v>
      </c>
      <c r="C32648" s="1" t="s">
        <v>8391</v>
      </c>
      <c r="D32648" s="1" t="str">
        <f>HYPERLINK("https://rhld.insurance.arkansas.gov/NPILookup?Npi=1356388250","1356388250")</f>
        <v>1356388250</v>
      </c>
      <c r="E32648" s="1" t="s">
        <v>30062</v>
      </c>
      <c r="F32648" s="2"/>
      <c r="G32648" s="2"/>
      <c r="H32648" s="2"/>
    </row>
    <row r="32649" spans="1:8" x14ac:dyDescent="0.25">
      <c r="A32649" s="1"/>
      <c r="B32649" s="1" t="s">
        <v>8390</v>
      </c>
      <c r="C32649" s="1" t="s">
        <v>8391</v>
      </c>
      <c r="D32649" s="1" t="str">
        <f>HYPERLINK("https://rhld.insurance.arkansas.gov/NPILookup?Npi=1366430993","1366430993")</f>
        <v>1366430993</v>
      </c>
      <c r="E32649" s="1" t="s">
        <v>13024</v>
      </c>
      <c r="F32649" s="2"/>
      <c r="G32649" s="2"/>
      <c r="H32649" s="2"/>
    </row>
    <row r="32650" spans="1:8" x14ac:dyDescent="0.25">
      <c r="A32650" s="1"/>
      <c r="B32650" s="1" t="s">
        <v>8390</v>
      </c>
      <c r="C32650" s="1" t="s">
        <v>8391</v>
      </c>
      <c r="D32650" s="1" t="str">
        <f>HYPERLINK("https://rhld.insurance.arkansas.gov/NPILookup?Npi=1366470270","1366470270")</f>
        <v>1366470270</v>
      </c>
      <c r="E32650" s="1" t="s">
        <v>3560</v>
      </c>
      <c r="F32650" s="2"/>
      <c r="G32650" s="2"/>
      <c r="H32650" s="2"/>
    </row>
    <row r="32651" spans="1:8" x14ac:dyDescent="0.25">
      <c r="A32651" s="1"/>
      <c r="B32651" s="1" t="s">
        <v>8390</v>
      </c>
      <c r="C32651" s="1" t="s">
        <v>8391</v>
      </c>
      <c r="D32651" s="1" t="str">
        <f>HYPERLINK("https://rhld.insurance.arkansas.gov/NPILookup?Npi=1366471427","1366471427")</f>
        <v>1366471427</v>
      </c>
      <c r="E32651" s="1" t="s">
        <v>30063</v>
      </c>
      <c r="F32651" s="2"/>
      <c r="G32651" s="2"/>
      <c r="H32651" s="2"/>
    </row>
    <row r="32652" spans="1:8" x14ac:dyDescent="0.25">
      <c r="A32652" s="1"/>
      <c r="B32652" s="1" t="s">
        <v>8390</v>
      </c>
      <c r="C32652" s="1" t="s">
        <v>8391</v>
      </c>
      <c r="D32652" s="1" t="str">
        <f>HYPERLINK("https://rhld.insurance.arkansas.gov/NPILookup?Npi=1366564304","1366564304")</f>
        <v>1366564304</v>
      </c>
      <c r="E32652" s="1" t="s">
        <v>8403</v>
      </c>
      <c r="F32652" s="2"/>
      <c r="G32652" s="2"/>
      <c r="H32652" s="2"/>
    </row>
    <row r="32653" spans="1:8" x14ac:dyDescent="0.25">
      <c r="A32653" s="1"/>
      <c r="B32653" s="1" t="s">
        <v>8390</v>
      </c>
      <c r="C32653" s="1" t="s">
        <v>8391</v>
      </c>
      <c r="D32653" s="1" t="str">
        <f>HYPERLINK("https://rhld.insurance.arkansas.gov/NPILookup?Npi=1366604902","1366604902")</f>
        <v>1366604902</v>
      </c>
      <c r="E32653" s="1" t="s">
        <v>14016</v>
      </c>
      <c r="F32653" s="2"/>
      <c r="G32653" s="2"/>
      <c r="H32653" s="2"/>
    </row>
    <row r="32654" spans="1:8" x14ac:dyDescent="0.25">
      <c r="A32654" s="1"/>
      <c r="B32654" s="1" t="s">
        <v>8390</v>
      </c>
      <c r="C32654" s="1" t="s">
        <v>8391</v>
      </c>
      <c r="D32654" s="1" t="str">
        <f>HYPERLINK("https://rhld.insurance.arkansas.gov/NPILookup?Npi=1366671117","1366671117")</f>
        <v>1366671117</v>
      </c>
      <c r="E32654" s="1" t="s">
        <v>14017</v>
      </c>
      <c r="F32654" s="2"/>
      <c r="G32654" s="2"/>
      <c r="H32654" s="2"/>
    </row>
    <row r="32655" spans="1:8" x14ac:dyDescent="0.25">
      <c r="A32655" s="1"/>
      <c r="B32655" s="1" t="s">
        <v>8390</v>
      </c>
      <c r="C32655" s="1" t="s">
        <v>8391</v>
      </c>
      <c r="D32655" s="1" t="str">
        <f>HYPERLINK("https://rhld.insurance.arkansas.gov/NPILookup?Npi=1376577387","1376577387")</f>
        <v>1376577387</v>
      </c>
      <c r="E32655" s="1" t="s">
        <v>14018</v>
      </c>
      <c r="F32655" s="2"/>
      <c r="G32655" s="2"/>
      <c r="H32655" s="2"/>
    </row>
    <row r="32656" spans="1:8" x14ac:dyDescent="0.25">
      <c r="A32656" s="1"/>
      <c r="B32656" s="1" t="s">
        <v>8390</v>
      </c>
      <c r="C32656" s="1" t="s">
        <v>8391</v>
      </c>
      <c r="D32656" s="1" t="str">
        <f>HYPERLINK("https://rhld.insurance.arkansas.gov/NPILookup?Npi=1376628925","1376628925")</f>
        <v>1376628925</v>
      </c>
      <c r="E32656" s="1" t="s">
        <v>14019</v>
      </c>
      <c r="F32656" s="2"/>
      <c r="G32656" s="2"/>
      <c r="H32656" s="2"/>
    </row>
    <row r="32657" spans="1:8" x14ac:dyDescent="0.25">
      <c r="A32657" s="1"/>
      <c r="B32657" s="1" t="s">
        <v>8390</v>
      </c>
      <c r="C32657" s="1" t="s">
        <v>8391</v>
      </c>
      <c r="D32657" s="1" t="str">
        <f>HYPERLINK("https://rhld.insurance.arkansas.gov/NPILookup?Npi=1386688778","1386688778")</f>
        <v>1386688778</v>
      </c>
      <c r="E32657" s="1" t="s">
        <v>17482</v>
      </c>
      <c r="F32657" s="2"/>
      <c r="G32657" s="2"/>
      <c r="H32657" s="2"/>
    </row>
    <row r="32658" spans="1:8" x14ac:dyDescent="0.25">
      <c r="A32658" s="1"/>
      <c r="B32658" s="1" t="s">
        <v>8390</v>
      </c>
      <c r="C32658" s="1" t="s">
        <v>8391</v>
      </c>
      <c r="D32658" s="1" t="str">
        <f>HYPERLINK("https://rhld.insurance.arkansas.gov/NPILookup?Npi=1386689644","1386689644")</f>
        <v>1386689644</v>
      </c>
      <c r="E32658" s="1" t="s">
        <v>30064</v>
      </c>
      <c r="F32658" s="2"/>
      <c r="G32658" s="2"/>
      <c r="H32658" s="2"/>
    </row>
    <row r="32659" spans="1:8" x14ac:dyDescent="0.25">
      <c r="A32659" s="1"/>
      <c r="B32659" s="1" t="s">
        <v>8390</v>
      </c>
      <c r="C32659" s="1" t="s">
        <v>8391</v>
      </c>
      <c r="D32659" s="1" t="str">
        <f>HYPERLINK("https://rhld.insurance.arkansas.gov/NPILookup?Npi=1386703619","1386703619")</f>
        <v>1386703619</v>
      </c>
      <c r="E32659" s="1" t="s">
        <v>10300</v>
      </c>
      <c r="F32659" s="2"/>
      <c r="G32659" s="2"/>
      <c r="H32659" s="2"/>
    </row>
    <row r="32660" spans="1:8" x14ac:dyDescent="0.25">
      <c r="A32660" s="1"/>
      <c r="B32660" s="1" t="s">
        <v>8390</v>
      </c>
      <c r="C32660" s="1" t="s">
        <v>8391</v>
      </c>
      <c r="D32660" s="1" t="str">
        <f>HYPERLINK("https://rhld.insurance.arkansas.gov/NPILookup?Npi=1396242954","1396242954")</f>
        <v>1396242954</v>
      </c>
      <c r="E32660" s="1" t="s">
        <v>29679</v>
      </c>
      <c r="F32660" s="2"/>
      <c r="G32660" s="2"/>
      <c r="H32660" s="2"/>
    </row>
    <row r="32661" spans="1:8" x14ac:dyDescent="0.25">
      <c r="A32661" s="1"/>
      <c r="B32661" s="1" t="s">
        <v>8390</v>
      </c>
      <c r="C32661" s="1" t="s">
        <v>8391</v>
      </c>
      <c r="D32661" s="1" t="str">
        <f>HYPERLINK("https://rhld.insurance.arkansas.gov/NPILookup?Npi=1407967235","1407967235")</f>
        <v>1407967235</v>
      </c>
      <c r="E32661" s="1" t="s">
        <v>4232</v>
      </c>
      <c r="F32661" s="2"/>
      <c r="G32661" s="2"/>
      <c r="H32661" s="2"/>
    </row>
    <row r="32662" spans="1:8" x14ac:dyDescent="0.25">
      <c r="A32662" s="1"/>
      <c r="B32662" s="1" t="s">
        <v>8390</v>
      </c>
      <c r="C32662" s="1" t="s">
        <v>8391</v>
      </c>
      <c r="D32662" s="1" t="str">
        <f>HYPERLINK("https://rhld.insurance.arkansas.gov/NPILookup?Npi=1417144916","1417144916")</f>
        <v>1417144916</v>
      </c>
      <c r="E32662" s="1" t="s">
        <v>30065</v>
      </c>
      <c r="F32662" s="2"/>
      <c r="G32662" s="2"/>
      <c r="H32662" s="2"/>
    </row>
    <row r="32663" spans="1:8" x14ac:dyDescent="0.25">
      <c r="A32663" s="1"/>
      <c r="B32663" s="1" t="s">
        <v>8390</v>
      </c>
      <c r="C32663" s="1" t="s">
        <v>8391</v>
      </c>
      <c r="D32663" s="1" t="str">
        <f>HYPERLINK("https://rhld.insurance.arkansas.gov/NPILookup?Npi=1417168782","1417168782")</f>
        <v>1417168782</v>
      </c>
      <c r="E32663" s="1" t="s">
        <v>8404</v>
      </c>
      <c r="F32663" s="2"/>
      <c r="G32663" s="2"/>
      <c r="H32663" s="2"/>
    </row>
    <row r="32664" spans="1:8" x14ac:dyDescent="0.25">
      <c r="A32664" s="1"/>
      <c r="B32664" s="1" t="s">
        <v>8390</v>
      </c>
      <c r="C32664" s="1" t="s">
        <v>8391</v>
      </c>
      <c r="D32664" s="1" t="str">
        <f>HYPERLINK("https://rhld.insurance.arkansas.gov/NPILookup?Npi=1427094390","1427094390")</f>
        <v>1427094390</v>
      </c>
      <c r="E32664" s="1" t="s">
        <v>1540</v>
      </c>
      <c r="F32664" s="2"/>
      <c r="G32664" s="2"/>
      <c r="H32664" s="2"/>
    </row>
    <row r="32665" spans="1:8" x14ac:dyDescent="0.25">
      <c r="A32665" s="1"/>
      <c r="B32665" s="1" t="s">
        <v>8390</v>
      </c>
      <c r="C32665" s="1" t="s">
        <v>8391</v>
      </c>
      <c r="D32665" s="1" t="str">
        <f>HYPERLINK("https://rhld.insurance.arkansas.gov/NPILookup?Npi=1427374263","1427374263")</f>
        <v>1427374263</v>
      </c>
      <c r="E32665" s="1" t="s">
        <v>27032</v>
      </c>
      <c r="F32665" s="2"/>
      <c r="G32665" s="2"/>
      <c r="H32665" s="2"/>
    </row>
    <row r="32666" spans="1:8" x14ac:dyDescent="0.25">
      <c r="A32666" s="1"/>
      <c r="B32666" s="1" t="s">
        <v>8390</v>
      </c>
      <c r="C32666" s="1" t="s">
        <v>8391</v>
      </c>
      <c r="D32666" s="1" t="str">
        <f>HYPERLINK("https://rhld.insurance.arkansas.gov/NPILookup?Npi=1427544907","1427544907")</f>
        <v>1427544907</v>
      </c>
      <c r="E32666" s="1" t="s">
        <v>30066</v>
      </c>
      <c r="F32666" s="2"/>
      <c r="G32666" s="2"/>
      <c r="H32666" s="2"/>
    </row>
    <row r="32667" spans="1:8" x14ac:dyDescent="0.25">
      <c r="A32667" s="1"/>
      <c r="B32667" s="1" t="s">
        <v>8390</v>
      </c>
      <c r="C32667" s="1" t="s">
        <v>8391</v>
      </c>
      <c r="D32667" s="1" t="str">
        <f>HYPERLINK("https://rhld.insurance.arkansas.gov/NPILookup?Npi=1447203120","1447203120")</f>
        <v>1447203120</v>
      </c>
      <c r="E32667" s="1" t="s">
        <v>27103</v>
      </c>
      <c r="F32667" s="2"/>
      <c r="G32667" s="2"/>
      <c r="H32667" s="2"/>
    </row>
    <row r="32668" spans="1:8" x14ac:dyDescent="0.25">
      <c r="A32668" s="1"/>
      <c r="B32668" s="1" t="s">
        <v>8390</v>
      </c>
      <c r="C32668" s="1" t="s">
        <v>8391</v>
      </c>
      <c r="D32668" s="1" t="str">
        <f>HYPERLINK("https://rhld.insurance.arkansas.gov/NPILookup?Npi=1447217401","1447217401")</f>
        <v>1447217401</v>
      </c>
      <c r="E32668" s="1" t="s">
        <v>3561</v>
      </c>
      <c r="F32668" s="2"/>
      <c r="G32668" s="2"/>
      <c r="H32668" s="2"/>
    </row>
    <row r="32669" spans="1:8" x14ac:dyDescent="0.25">
      <c r="A32669" s="1"/>
      <c r="B32669" s="1" t="s">
        <v>8390</v>
      </c>
      <c r="C32669" s="1" t="s">
        <v>8391</v>
      </c>
      <c r="D32669" s="1" t="str">
        <f>HYPERLINK("https://rhld.insurance.arkansas.gov/NPILookup?Npi=1447353339","1447353339")</f>
        <v>1447353339</v>
      </c>
      <c r="E32669" s="1" t="s">
        <v>27114</v>
      </c>
      <c r="F32669" s="2"/>
      <c r="G32669" s="2"/>
      <c r="H32669" s="2"/>
    </row>
    <row r="32670" spans="1:8" x14ac:dyDescent="0.25">
      <c r="A32670" s="1"/>
      <c r="B32670" s="1" t="s">
        <v>8390</v>
      </c>
      <c r="C32670" s="1" t="s">
        <v>8391</v>
      </c>
      <c r="D32670" s="1" t="str">
        <f>HYPERLINK("https://rhld.insurance.arkansas.gov/NPILookup?Npi=1447563812","1447563812")</f>
        <v>1447563812</v>
      </c>
      <c r="E32670" s="1" t="s">
        <v>14020</v>
      </c>
      <c r="F32670" s="2"/>
      <c r="G32670" s="2"/>
      <c r="H32670" s="2"/>
    </row>
    <row r="32671" spans="1:8" x14ac:dyDescent="0.25">
      <c r="A32671" s="1"/>
      <c r="B32671" s="1" t="s">
        <v>8390</v>
      </c>
      <c r="C32671" s="1" t="s">
        <v>8391</v>
      </c>
      <c r="D32671" s="1" t="str">
        <f>HYPERLINK("https://rhld.insurance.arkansas.gov/NPILookup?Npi=1447690706","1447690706")</f>
        <v>1447690706</v>
      </c>
      <c r="E32671" s="1" t="s">
        <v>30067</v>
      </c>
      <c r="F32671" s="2"/>
      <c r="G32671" s="2"/>
      <c r="H32671" s="2"/>
    </row>
    <row r="32672" spans="1:8" x14ac:dyDescent="0.25">
      <c r="A32672" s="1"/>
      <c r="B32672" s="1" t="s">
        <v>8390</v>
      </c>
      <c r="C32672" s="1" t="s">
        <v>8391</v>
      </c>
      <c r="D32672" s="1" t="str">
        <f>HYPERLINK("https://rhld.insurance.arkansas.gov/NPILookup?Npi=1447711379","1447711379")</f>
        <v>1447711379</v>
      </c>
      <c r="E32672" s="1" t="s">
        <v>27126</v>
      </c>
      <c r="F32672" s="2"/>
      <c r="G32672" s="2"/>
      <c r="H32672" s="2"/>
    </row>
    <row r="32673" spans="1:8" x14ac:dyDescent="0.25">
      <c r="A32673" s="1"/>
      <c r="B32673" s="1" t="s">
        <v>8390</v>
      </c>
      <c r="C32673" s="1" t="s">
        <v>8391</v>
      </c>
      <c r="D32673" s="1" t="str">
        <f>HYPERLINK("https://rhld.insurance.arkansas.gov/NPILookup?Npi=1457355372","1457355372")</f>
        <v>1457355372</v>
      </c>
      <c r="E32673" s="1" t="s">
        <v>27162</v>
      </c>
      <c r="F32673" s="2"/>
      <c r="G32673" s="2"/>
      <c r="H32673" s="2"/>
    </row>
    <row r="32674" spans="1:8" x14ac:dyDescent="0.25">
      <c r="A32674" s="1"/>
      <c r="B32674" s="1" t="s">
        <v>8390</v>
      </c>
      <c r="C32674" s="1" t="s">
        <v>8391</v>
      </c>
      <c r="D32674" s="1" t="str">
        <f>HYPERLINK("https://rhld.insurance.arkansas.gov/NPILookup?Npi=1457672313","1457672313")</f>
        <v>1457672313</v>
      </c>
      <c r="E32674" s="1" t="s">
        <v>30068</v>
      </c>
      <c r="F32674" s="2"/>
      <c r="G32674" s="2"/>
      <c r="H32674" s="2"/>
    </row>
    <row r="32675" spans="1:8" x14ac:dyDescent="0.25">
      <c r="A32675" s="1"/>
      <c r="B32675" s="1" t="s">
        <v>8390</v>
      </c>
      <c r="C32675" s="1" t="s">
        <v>8391</v>
      </c>
      <c r="D32675" s="1" t="str">
        <f>HYPERLINK("https://rhld.insurance.arkansas.gov/NPILookup?Npi=1477577435","1477577435")</f>
        <v>1477577435</v>
      </c>
      <c r="E32675" s="1" t="s">
        <v>1453</v>
      </c>
      <c r="F32675" s="2"/>
      <c r="G32675" s="2"/>
      <c r="H32675" s="2"/>
    </row>
    <row r="32676" spans="1:8" x14ac:dyDescent="0.25">
      <c r="A32676" s="1"/>
      <c r="B32676" s="1" t="s">
        <v>8390</v>
      </c>
      <c r="C32676" s="1" t="s">
        <v>8391</v>
      </c>
      <c r="D32676" s="1" t="str">
        <f>HYPERLINK("https://rhld.insurance.arkansas.gov/NPILookup?Npi=1477591303","1477591303")</f>
        <v>1477591303</v>
      </c>
      <c r="E32676" s="1" t="s">
        <v>30069</v>
      </c>
      <c r="F32676" s="2"/>
      <c r="G32676" s="2"/>
      <c r="H32676" s="2"/>
    </row>
    <row r="32677" spans="1:8" x14ac:dyDescent="0.25">
      <c r="A32677" s="1"/>
      <c r="B32677" s="1" t="s">
        <v>8390</v>
      </c>
      <c r="C32677" s="1" t="s">
        <v>8391</v>
      </c>
      <c r="D32677" s="1" t="str">
        <f>HYPERLINK("https://rhld.insurance.arkansas.gov/NPILookup?Npi=1477599389","1477599389")</f>
        <v>1477599389</v>
      </c>
      <c r="E32677" s="1" t="s">
        <v>14021</v>
      </c>
      <c r="F32677" s="2"/>
      <c r="G32677" s="2"/>
      <c r="H32677" s="2"/>
    </row>
    <row r="32678" spans="1:8" x14ac:dyDescent="0.25">
      <c r="A32678" s="1"/>
      <c r="B32678" s="1" t="s">
        <v>8390</v>
      </c>
      <c r="C32678" s="1" t="s">
        <v>8391</v>
      </c>
      <c r="D32678" s="1" t="str">
        <f>HYPERLINK("https://rhld.insurance.arkansas.gov/NPILookup?Npi=1487038659","1487038659")</f>
        <v>1487038659</v>
      </c>
      <c r="E32678" s="1" t="s">
        <v>2562</v>
      </c>
      <c r="F32678" s="2"/>
      <c r="G32678" s="2"/>
      <c r="H32678" s="2"/>
    </row>
    <row r="32679" spans="1:8" x14ac:dyDescent="0.25">
      <c r="A32679" s="1"/>
      <c r="B32679" s="1" t="s">
        <v>8390</v>
      </c>
      <c r="C32679" s="1" t="s">
        <v>8391</v>
      </c>
      <c r="D32679" s="1" t="str">
        <f>HYPERLINK("https://rhld.insurance.arkansas.gov/NPILookup?Npi=1487714911","1487714911")</f>
        <v>1487714911</v>
      </c>
      <c r="E32679" s="1" t="s">
        <v>30070</v>
      </c>
      <c r="F32679" s="2"/>
      <c r="G32679" s="2"/>
      <c r="H32679" s="2"/>
    </row>
    <row r="32680" spans="1:8" x14ac:dyDescent="0.25">
      <c r="A32680" s="1"/>
      <c r="B32680" s="1" t="s">
        <v>8390</v>
      </c>
      <c r="C32680" s="1" t="s">
        <v>8391</v>
      </c>
      <c r="D32680" s="1" t="str">
        <f>HYPERLINK("https://rhld.insurance.arkansas.gov/NPILookup?Npi=1487874145","1487874145")</f>
        <v>1487874145</v>
      </c>
      <c r="E32680" s="1" t="s">
        <v>30071</v>
      </c>
      <c r="F32680" s="2"/>
      <c r="G32680" s="2"/>
      <c r="H32680" s="2"/>
    </row>
    <row r="32681" spans="1:8" x14ac:dyDescent="0.25">
      <c r="A32681" s="1"/>
      <c r="B32681" s="1" t="s">
        <v>8390</v>
      </c>
      <c r="C32681" s="1" t="s">
        <v>8391</v>
      </c>
      <c r="D32681" s="1" t="str">
        <f>HYPERLINK("https://rhld.insurance.arkansas.gov/NPILookup?Npi=1508111212","1508111212")</f>
        <v>1508111212</v>
      </c>
      <c r="E32681" s="1" t="s">
        <v>30072</v>
      </c>
      <c r="F32681" s="2"/>
      <c r="G32681" s="2"/>
      <c r="H32681" s="2"/>
    </row>
    <row r="32682" spans="1:8" x14ac:dyDescent="0.25">
      <c r="A32682" s="1"/>
      <c r="B32682" s="1" t="s">
        <v>8390</v>
      </c>
      <c r="C32682" s="1" t="s">
        <v>8391</v>
      </c>
      <c r="D32682" s="1" t="str">
        <f>HYPERLINK("https://rhld.insurance.arkansas.gov/NPILookup?Npi=1508822446","1508822446")</f>
        <v>1508822446</v>
      </c>
      <c r="E32682" s="1" t="s">
        <v>30073</v>
      </c>
      <c r="F32682" s="2"/>
      <c r="G32682" s="2"/>
      <c r="H32682" s="2"/>
    </row>
    <row r="32683" spans="1:8" x14ac:dyDescent="0.25">
      <c r="A32683" s="1"/>
      <c r="B32683" s="1" t="s">
        <v>8390</v>
      </c>
      <c r="C32683" s="1" t="s">
        <v>8391</v>
      </c>
      <c r="D32683" s="1" t="str">
        <f>HYPERLINK("https://rhld.insurance.arkansas.gov/NPILookup?Npi=1508881293","1508881293")</f>
        <v>1508881293</v>
      </c>
      <c r="E32683" s="1" t="s">
        <v>30074</v>
      </c>
      <c r="F32683" s="2"/>
      <c r="G32683" s="2"/>
      <c r="H32683" s="2"/>
    </row>
    <row r="32684" spans="1:8" x14ac:dyDescent="0.25">
      <c r="A32684" s="1"/>
      <c r="B32684" s="1" t="s">
        <v>8390</v>
      </c>
      <c r="C32684" s="1" t="s">
        <v>8391</v>
      </c>
      <c r="D32684" s="1" t="str">
        <f>HYPERLINK("https://rhld.insurance.arkansas.gov/NPILookup?Npi=1518924596","1518924596")</f>
        <v>1518924596</v>
      </c>
      <c r="E32684" s="1" t="s">
        <v>3562</v>
      </c>
      <c r="F32684" s="2"/>
      <c r="G32684" s="2"/>
      <c r="H32684" s="2"/>
    </row>
    <row r="32685" spans="1:8" x14ac:dyDescent="0.25">
      <c r="A32685" s="1"/>
      <c r="B32685" s="1" t="s">
        <v>8390</v>
      </c>
      <c r="C32685" s="1" t="s">
        <v>8391</v>
      </c>
      <c r="D32685" s="1" t="str">
        <f>HYPERLINK("https://rhld.insurance.arkansas.gov/NPILookup?Npi=1518924851","1518924851")</f>
        <v>1518924851</v>
      </c>
      <c r="E32685" s="1" t="s">
        <v>14022</v>
      </c>
      <c r="F32685" s="2"/>
      <c r="G32685" s="2"/>
      <c r="H32685" s="2"/>
    </row>
    <row r="32686" spans="1:8" x14ac:dyDescent="0.25">
      <c r="A32686" s="1"/>
      <c r="B32686" s="1" t="s">
        <v>8390</v>
      </c>
      <c r="C32686" s="1" t="s">
        <v>8391</v>
      </c>
      <c r="D32686" s="1" t="str">
        <f>HYPERLINK("https://rhld.insurance.arkansas.gov/NPILookup?Npi=1538155791","1538155791")</f>
        <v>1538155791</v>
      </c>
      <c r="E32686" s="1" t="s">
        <v>3563</v>
      </c>
      <c r="F32686" s="2"/>
      <c r="G32686" s="2"/>
      <c r="H32686" s="2"/>
    </row>
    <row r="32687" spans="1:8" x14ac:dyDescent="0.25">
      <c r="A32687" s="1"/>
      <c r="B32687" s="1" t="s">
        <v>8390</v>
      </c>
      <c r="C32687" s="1" t="s">
        <v>8391</v>
      </c>
      <c r="D32687" s="1" t="str">
        <f>HYPERLINK("https://rhld.insurance.arkansas.gov/NPILookup?Npi=1538195086","1538195086")</f>
        <v>1538195086</v>
      </c>
      <c r="E32687" s="1" t="s">
        <v>30075</v>
      </c>
      <c r="F32687" s="2"/>
      <c r="G32687" s="2"/>
      <c r="H32687" s="2"/>
    </row>
    <row r="32688" spans="1:8" x14ac:dyDescent="0.25">
      <c r="A32688" s="1"/>
      <c r="B32688" s="1" t="s">
        <v>8390</v>
      </c>
      <c r="C32688" s="1" t="s">
        <v>8391</v>
      </c>
      <c r="D32688" s="1" t="str">
        <f>HYPERLINK("https://rhld.insurance.arkansas.gov/NPILookup?Npi=1538460951","1538460951")</f>
        <v>1538460951</v>
      </c>
      <c r="E32688" s="1" t="s">
        <v>30076</v>
      </c>
      <c r="F32688" s="2"/>
      <c r="G32688" s="2"/>
      <c r="H32688" s="2"/>
    </row>
    <row r="32689" spans="1:8" x14ac:dyDescent="0.25">
      <c r="A32689" s="1"/>
      <c r="B32689" s="1" t="s">
        <v>8390</v>
      </c>
      <c r="C32689" s="1" t="s">
        <v>8391</v>
      </c>
      <c r="D32689" s="1" t="str">
        <f>HYPERLINK("https://rhld.insurance.arkansas.gov/NPILookup?Npi=1538543632","1538543632")</f>
        <v>1538543632</v>
      </c>
      <c r="E32689" s="1" t="s">
        <v>9832</v>
      </c>
      <c r="F32689" s="2"/>
      <c r="G32689" s="2"/>
      <c r="H32689" s="2"/>
    </row>
    <row r="32690" spans="1:8" x14ac:dyDescent="0.25">
      <c r="A32690" s="1"/>
      <c r="B32690" s="1" t="s">
        <v>8390</v>
      </c>
      <c r="C32690" s="1" t="s">
        <v>8391</v>
      </c>
      <c r="D32690" s="1" t="str">
        <f>HYPERLINK("https://rhld.insurance.arkansas.gov/NPILookup?Npi=1548298466","1548298466")</f>
        <v>1548298466</v>
      </c>
      <c r="E32690" s="1" t="s">
        <v>2287</v>
      </c>
      <c r="F32690" s="2"/>
      <c r="G32690" s="2"/>
      <c r="H32690" s="2"/>
    </row>
    <row r="32691" spans="1:8" x14ac:dyDescent="0.25">
      <c r="A32691" s="1"/>
      <c r="B32691" s="1" t="s">
        <v>8390</v>
      </c>
      <c r="C32691" s="1" t="s">
        <v>8391</v>
      </c>
      <c r="D32691" s="1" t="str">
        <f>HYPERLINK("https://rhld.insurance.arkansas.gov/NPILookup?Npi=1558347237","1558347237")</f>
        <v>1558347237</v>
      </c>
      <c r="E32691" s="1" t="s">
        <v>7880</v>
      </c>
      <c r="F32691" s="2"/>
      <c r="G32691" s="2"/>
      <c r="H32691" s="2"/>
    </row>
    <row r="32692" spans="1:8" x14ac:dyDescent="0.25">
      <c r="A32692" s="1"/>
      <c r="B32692" s="1" t="s">
        <v>8390</v>
      </c>
      <c r="C32692" s="1" t="s">
        <v>8391</v>
      </c>
      <c r="D32692" s="1" t="str">
        <f>HYPERLINK("https://rhld.insurance.arkansas.gov/NPILookup?Npi=1558781492","1558781492")</f>
        <v>1558781492</v>
      </c>
      <c r="E32692" s="1" t="s">
        <v>30077</v>
      </c>
      <c r="F32692" s="2"/>
      <c r="G32692" s="2"/>
      <c r="H32692" s="2"/>
    </row>
    <row r="32693" spans="1:8" x14ac:dyDescent="0.25">
      <c r="A32693" s="1"/>
      <c r="B32693" s="1" t="s">
        <v>8390</v>
      </c>
      <c r="C32693" s="1" t="s">
        <v>8391</v>
      </c>
      <c r="D32693" s="1" t="str">
        <f>HYPERLINK("https://rhld.insurance.arkansas.gov/NPILookup?Npi=1578569034","1578569034")</f>
        <v>1578569034</v>
      </c>
      <c r="E32693" s="1" t="s">
        <v>30078</v>
      </c>
      <c r="F32693" s="2"/>
      <c r="G32693" s="2"/>
      <c r="H32693" s="2"/>
    </row>
    <row r="32694" spans="1:8" x14ac:dyDescent="0.25">
      <c r="A32694" s="1"/>
      <c r="B32694" s="1" t="s">
        <v>8390</v>
      </c>
      <c r="C32694" s="1" t="s">
        <v>8391</v>
      </c>
      <c r="D32694" s="1" t="str">
        <f>HYPERLINK("https://rhld.insurance.arkansas.gov/NPILookup?Npi=1578790317","1578790317")</f>
        <v>1578790317</v>
      </c>
      <c r="E32694" s="1" t="s">
        <v>30079</v>
      </c>
      <c r="F32694" s="2"/>
      <c r="G32694" s="2"/>
      <c r="H32694" s="2"/>
    </row>
    <row r="32695" spans="1:8" x14ac:dyDescent="0.25">
      <c r="A32695" s="1"/>
      <c r="B32695" s="1" t="s">
        <v>8390</v>
      </c>
      <c r="C32695" s="1" t="s">
        <v>8391</v>
      </c>
      <c r="D32695" s="1" t="str">
        <f>HYPERLINK("https://rhld.insurance.arkansas.gov/NPILookup?Npi=1578996419","1578996419")</f>
        <v>1578996419</v>
      </c>
      <c r="E32695" s="1" t="s">
        <v>14023</v>
      </c>
      <c r="F32695" s="2"/>
      <c r="G32695" s="2"/>
      <c r="H32695" s="2"/>
    </row>
    <row r="32696" spans="1:8" x14ac:dyDescent="0.25">
      <c r="A32696" s="1"/>
      <c r="B32696" s="1" t="s">
        <v>8390</v>
      </c>
      <c r="C32696" s="1" t="s">
        <v>8391</v>
      </c>
      <c r="D32696" s="1" t="str">
        <f>HYPERLINK("https://rhld.insurance.arkansas.gov/NPILookup?Npi=1588807937","1588807937")</f>
        <v>1588807937</v>
      </c>
      <c r="E32696" s="1" t="s">
        <v>8405</v>
      </c>
      <c r="F32696" s="2"/>
      <c r="G32696" s="2"/>
      <c r="H32696" s="2"/>
    </row>
    <row r="32697" spans="1:8" x14ac:dyDescent="0.25">
      <c r="A32697" s="1"/>
      <c r="B32697" s="1" t="s">
        <v>8390</v>
      </c>
      <c r="C32697" s="1" t="s">
        <v>8391</v>
      </c>
      <c r="D32697" s="1" t="str">
        <f>HYPERLINK("https://rhld.insurance.arkansas.gov/NPILookup?Npi=1598085235","1598085235")</f>
        <v>1598085235</v>
      </c>
      <c r="E32697" s="1" t="s">
        <v>7919</v>
      </c>
      <c r="F32697" s="2"/>
      <c r="G32697" s="2"/>
      <c r="H32697" s="2"/>
    </row>
    <row r="32698" spans="1:8" x14ac:dyDescent="0.25">
      <c r="A32698" s="1"/>
      <c r="B32698" s="1" t="s">
        <v>8390</v>
      </c>
      <c r="C32698" s="1" t="s">
        <v>8391</v>
      </c>
      <c r="D32698" s="1" t="str">
        <f>HYPERLINK("https://rhld.insurance.arkansas.gov/NPILookup?Npi=1598783870","1598783870")</f>
        <v>1598783870</v>
      </c>
      <c r="E32698" s="1" t="s">
        <v>27784</v>
      </c>
      <c r="F32698" s="2"/>
      <c r="G32698" s="2"/>
      <c r="H32698" s="2"/>
    </row>
    <row r="32699" spans="1:8" x14ac:dyDescent="0.25">
      <c r="A32699" s="1"/>
      <c r="B32699" s="1" t="s">
        <v>8390</v>
      </c>
      <c r="C32699" s="1" t="s">
        <v>8391</v>
      </c>
      <c r="D32699" s="1" t="str">
        <f>HYPERLINK("https://rhld.insurance.arkansas.gov/NPILookup?Npi=1598793754","1598793754")</f>
        <v>1598793754</v>
      </c>
      <c r="E32699" s="1" t="s">
        <v>27786</v>
      </c>
      <c r="F32699" s="2"/>
      <c r="G32699" s="2"/>
      <c r="H32699" s="2"/>
    </row>
    <row r="32700" spans="1:8" x14ac:dyDescent="0.25">
      <c r="A32700" s="1"/>
      <c r="B32700" s="1" t="s">
        <v>8390</v>
      </c>
      <c r="C32700" s="1" t="s">
        <v>8391</v>
      </c>
      <c r="D32700" s="1" t="str">
        <f>HYPERLINK("https://rhld.insurance.arkansas.gov/NPILookup?Npi=1598843559","1598843559")</f>
        <v>1598843559</v>
      </c>
      <c r="E32700" s="1" t="s">
        <v>3564</v>
      </c>
      <c r="F32700" s="2"/>
      <c r="G32700" s="2"/>
      <c r="H32700" s="2"/>
    </row>
    <row r="32701" spans="1:8" x14ac:dyDescent="0.25">
      <c r="A32701" s="1"/>
      <c r="B32701" s="1" t="s">
        <v>8390</v>
      </c>
      <c r="C32701" s="1" t="s">
        <v>8391</v>
      </c>
      <c r="D32701" s="1" t="str">
        <f>HYPERLINK("https://rhld.insurance.arkansas.gov/NPILookup?Npi=1598960270","1598960270")</f>
        <v>1598960270</v>
      </c>
      <c r="E32701" s="1" t="s">
        <v>30080</v>
      </c>
      <c r="F32701" s="2"/>
      <c r="G32701" s="2"/>
      <c r="H32701" s="2"/>
    </row>
    <row r="32702" spans="1:8" x14ac:dyDescent="0.25">
      <c r="A32702" s="1"/>
      <c r="B32702" s="1" t="s">
        <v>8390</v>
      </c>
      <c r="C32702" s="1" t="s">
        <v>8391</v>
      </c>
      <c r="D32702" s="1" t="str">
        <f>HYPERLINK("https://rhld.insurance.arkansas.gov/NPILookup?Npi=1609096577","1609096577")</f>
        <v>1609096577</v>
      </c>
      <c r="E32702" s="1" t="s">
        <v>13345</v>
      </c>
      <c r="F32702" s="2"/>
      <c r="G32702" s="2"/>
      <c r="H32702" s="2"/>
    </row>
    <row r="32703" spans="1:8" x14ac:dyDescent="0.25">
      <c r="A32703" s="1"/>
      <c r="B32703" s="1" t="s">
        <v>8390</v>
      </c>
      <c r="C32703" s="1" t="s">
        <v>8391</v>
      </c>
      <c r="D32703" s="1" t="str">
        <f>HYPERLINK("https://rhld.insurance.arkansas.gov/NPILookup?Npi=1609193093","1609193093")</f>
        <v>1609193093</v>
      </c>
      <c r="E32703" s="1" t="s">
        <v>30081</v>
      </c>
      <c r="F32703" s="2"/>
      <c r="G32703" s="2"/>
      <c r="H32703" s="2"/>
    </row>
    <row r="32704" spans="1:8" x14ac:dyDescent="0.25">
      <c r="A32704" s="1"/>
      <c r="B32704" s="1" t="s">
        <v>8390</v>
      </c>
      <c r="C32704" s="1" t="s">
        <v>8391</v>
      </c>
      <c r="D32704" s="1" t="str">
        <f>HYPERLINK("https://rhld.insurance.arkansas.gov/NPILookup?Npi=1609286335","1609286335")</f>
        <v>1609286335</v>
      </c>
      <c r="E32704" s="1" t="s">
        <v>30082</v>
      </c>
      <c r="F32704" s="2"/>
      <c r="G32704" s="2"/>
      <c r="H32704" s="2"/>
    </row>
    <row r="32705" spans="1:8" x14ac:dyDescent="0.25">
      <c r="A32705" s="1"/>
      <c r="B32705" s="1" t="s">
        <v>8390</v>
      </c>
      <c r="C32705" s="1" t="s">
        <v>8391</v>
      </c>
      <c r="D32705" s="1" t="str">
        <f>HYPERLINK("https://rhld.insurance.arkansas.gov/NPILookup?Npi=1619139672","1619139672")</f>
        <v>1619139672</v>
      </c>
      <c r="E32705" s="1" t="s">
        <v>30083</v>
      </c>
      <c r="F32705" s="2"/>
      <c r="G32705" s="2"/>
      <c r="H32705" s="2"/>
    </row>
    <row r="32706" spans="1:8" x14ac:dyDescent="0.25">
      <c r="A32706" s="1"/>
      <c r="B32706" s="1" t="s">
        <v>8390</v>
      </c>
      <c r="C32706" s="1" t="s">
        <v>8391</v>
      </c>
      <c r="D32706" s="1" t="str">
        <f>HYPERLINK("https://rhld.insurance.arkansas.gov/NPILookup?Npi=1619222437","1619222437")</f>
        <v>1619222437</v>
      </c>
      <c r="E32706" s="1" t="s">
        <v>985</v>
      </c>
      <c r="F32706" s="2"/>
      <c r="G32706" s="2"/>
      <c r="H32706" s="2"/>
    </row>
    <row r="32707" spans="1:8" x14ac:dyDescent="0.25">
      <c r="A32707" s="1"/>
      <c r="B32707" s="1" t="s">
        <v>8390</v>
      </c>
      <c r="C32707" s="1" t="s">
        <v>8391</v>
      </c>
      <c r="D32707" s="1" t="str">
        <f>HYPERLINK("https://rhld.insurance.arkansas.gov/NPILookup?Npi=1619320868","1619320868")</f>
        <v>1619320868</v>
      </c>
      <c r="E32707" s="1" t="s">
        <v>14024</v>
      </c>
      <c r="F32707" s="2"/>
      <c r="G32707" s="2"/>
      <c r="H32707" s="2"/>
    </row>
    <row r="32708" spans="1:8" x14ac:dyDescent="0.25">
      <c r="A32708" s="1"/>
      <c r="B32708" s="1" t="s">
        <v>8390</v>
      </c>
      <c r="C32708" s="1" t="s">
        <v>8391</v>
      </c>
      <c r="D32708" s="1" t="str">
        <f>HYPERLINK("https://rhld.insurance.arkansas.gov/NPILookup?Npi=1619919305","1619919305")</f>
        <v>1619919305</v>
      </c>
      <c r="E32708" s="1" t="s">
        <v>30084</v>
      </c>
      <c r="F32708" s="2"/>
      <c r="G32708" s="2"/>
      <c r="H32708" s="2"/>
    </row>
    <row r="32709" spans="1:8" x14ac:dyDescent="0.25">
      <c r="A32709" s="1"/>
      <c r="B32709" s="1" t="s">
        <v>8390</v>
      </c>
      <c r="C32709" s="1" t="s">
        <v>8391</v>
      </c>
      <c r="D32709" s="1" t="str">
        <f>HYPERLINK("https://rhld.insurance.arkansas.gov/NPILookup?Npi=1619971140","1619971140")</f>
        <v>1619971140</v>
      </c>
      <c r="E32709" s="1" t="s">
        <v>30085</v>
      </c>
      <c r="F32709" s="2"/>
      <c r="G32709" s="2"/>
      <c r="H32709" s="2"/>
    </row>
    <row r="32710" spans="1:8" x14ac:dyDescent="0.25">
      <c r="A32710" s="1"/>
      <c r="B32710" s="1" t="s">
        <v>8390</v>
      </c>
      <c r="C32710" s="1" t="s">
        <v>8391</v>
      </c>
      <c r="D32710" s="1" t="str">
        <f>HYPERLINK("https://rhld.insurance.arkansas.gov/NPILookup?Npi=1619974599","1619974599")</f>
        <v>1619974599</v>
      </c>
      <c r="E32710" s="1" t="s">
        <v>3565</v>
      </c>
      <c r="F32710" s="2"/>
      <c r="G32710" s="2"/>
      <c r="H32710" s="2"/>
    </row>
    <row r="32711" spans="1:8" x14ac:dyDescent="0.25">
      <c r="A32711" s="1"/>
      <c r="B32711" s="1" t="s">
        <v>8390</v>
      </c>
      <c r="C32711" s="1" t="s">
        <v>8391</v>
      </c>
      <c r="D32711" s="1" t="str">
        <f>HYPERLINK("https://rhld.insurance.arkansas.gov/NPILookup?Npi=1629059712","1629059712")</f>
        <v>1629059712</v>
      </c>
      <c r="E32711" s="1" t="s">
        <v>30086</v>
      </c>
      <c r="F32711" s="2"/>
      <c r="G32711" s="2"/>
      <c r="H32711" s="2"/>
    </row>
    <row r="32712" spans="1:8" x14ac:dyDescent="0.25">
      <c r="A32712" s="1"/>
      <c r="B32712" s="1" t="s">
        <v>8390</v>
      </c>
      <c r="C32712" s="1" t="s">
        <v>8391</v>
      </c>
      <c r="D32712" s="1" t="str">
        <f>HYPERLINK("https://rhld.insurance.arkansas.gov/NPILookup?Npi=1629070693","1629070693")</f>
        <v>1629070693</v>
      </c>
      <c r="E32712" s="1" t="s">
        <v>8406</v>
      </c>
      <c r="F32712" s="2"/>
      <c r="G32712" s="2"/>
      <c r="H32712" s="2"/>
    </row>
    <row r="32713" spans="1:8" x14ac:dyDescent="0.25">
      <c r="A32713" s="1"/>
      <c r="B32713" s="1" t="s">
        <v>8390</v>
      </c>
      <c r="C32713" s="1" t="s">
        <v>8391</v>
      </c>
      <c r="D32713" s="1" t="str">
        <f>HYPERLINK("https://rhld.insurance.arkansas.gov/NPILookup?Npi=1629268289","1629268289")</f>
        <v>1629268289</v>
      </c>
      <c r="E32713" s="1" t="s">
        <v>30087</v>
      </c>
      <c r="F32713" s="2"/>
      <c r="G32713" s="2"/>
      <c r="H32713" s="2"/>
    </row>
    <row r="32714" spans="1:8" x14ac:dyDescent="0.25">
      <c r="A32714" s="1"/>
      <c r="B32714" s="1" t="s">
        <v>8390</v>
      </c>
      <c r="C32714" s="1" t="s">
        <v>8391</v>
      </c>
      <c r="D32714" s="1" t="str">
        <f>HYPERLINK("https://rhld.insurance.arkansas.gov/NPILookup?Npi=1639166556","1639166556")</f>
        <v>1639166556</v>
      </c>
      <c r="E32714" s="1" t="s">
        <v>30088</v>
      </c>
      <c r="F32714" s="2"/>
      <c r="G32714" s="2"/>
      <c r="H32714" s="2"/>
    </row>
    <row r="32715" spans="1:8" x14ac:dyDescent="0.25">
      <c r="A32715" s="1"/>
      <c r="B32715" s="1" t="s">
        <v>8390</v>
      </c>
      <c r="C32715" s="1" t="s">
        <v>8391</v>
      </c>
      <c r="D32715" s="1" t="str">
        <f>HYPERLINK("https://rhld.insurance.arkansas.gov/NPILookup?Npi=1639443823","1639443823")</f>
        <v>1639443823</v>
      </c>
      <c r="E32715" s="1" t="s">
        <v>30089</v>
      </c>
      <c r="F32715" s="2"/>
      <c r="G32715" s="2"/>
      <c r="H32715" s="2"/>
    </row>
    <row r="32716" spans="1:8" x14ac:dyDescent="0.25">
      <c r="A32716" s="1"/>
      <c r="B32716" s="1" t="s">
        <v>8390</v>
      </c>
      <c r="C32716" s="1" t="s">
        <v>8391</v>
      </c>
      <c r="D32716" s="1" t="str">
        <f>HYPERLINK("https://rhld.insurance.arkansas.gov/NPILookup?Npi=1649270539","1649270539")</f>
        <v>1649270539</v>
      </c>
      <c r="E32716" s="1" t="s">
        <v>30090</v>
      </c>
      <c r="F32716" s="2"/>
      <c r="G32716" s="2"/>
      <c r="H32716" s="2"/>
    </row>
    <row r="32717" spans="1:8" x14ac:dyDescent="0.25">
      <c r="A32717" s="1"/>
      <c r="B32717" s="1" t="s">
        <v>8390</v>
      </c>
      <c r="C32717" s="1" t="s">
        <v>8391</v>
      </c>
      <c r="D32717" s="1" t="str">
        <f>HYPERLINK("https://rhld.insurance.arkansas.gov/NPILookup?Npi=1649275322","1649275322")</f>
        <v>1649275322</v>
      </c>
      <c r="E32717" s="1" t="s">
        <v>24327</v>
      </c>
      <c r="F32717" s="2"/>
      <c r="G32717" s="2"/>
      <c r="H32717" s="2"/>
    </row>
    <row r="32718" spans="1:8" x14ac:dyDescent="0.25">
      <c r="A32718" s="1"/>
      <c r="B32718" s="1" t="s">
        <v>8390</v>
      </c>
      <c r="C32718" s="1" t="s">
        <v>8391</v>
      </c>
      <c r="D32718" s="1" t="str">
        <f>HYPERLINK("https://rhld.insurance.arkansas.gov/NPILookup?Npi=1649406752","1649406752")</f>
        <v>1649406752</v>
      </c>
      <c r="E32718" s="1" t="s">
        <v>14025</v>
      </c>
      <c r="F32718" s="2"/>
      <c r="G32718" s="2"/>
      <c r="H32718" s="2"/>
    </row>
    <row r="32719" spans="1:8" x14ac:dyDescent="0.25">
      <c r="A32719" s="1"/>
      <c r="B32719" s="1" t="s">
        <v>8390</v>
      </c>
      <c r="C32719" s="1" t="s">
        <v>8391</v>
      </c>
      <c r="D32719" s="1" t="str">
        <f>HYPERLINK("https://rhld.insurance.arkansas.gov/NPILookup?Npi=1649513847","1649513847")</f>
        <v>1649513847</v>
      </c>
      <c r="E32719" s="1" t="s">
        <v>27975</v>
      </c>
      <c r="F32719" s="2"/>
      <c r="G32719" s="2"/>
      <c r="H32719" s="2"/>
    </row>
    <row r="32720" spans="1:8" x14ac:dyDescent="0.25">
      <c r="A32720" s="1"/>
      <c r="B32720" s="1" t="s">
        <v>8390</v>
      </c>
      <c r="C32720" s="1" t="s">
        <v>8391</v>
      </c>
      <c r="D32720" s="1" t="str">
        <f>HYPERLINK("https://rhld.insurance.arkansas.gov/NPILookup?Npi=1649531013","1649531013")</f>
        <v>1649531013</v>
      </c>
      <c r="E32720" s="1" t="s">
        <v>1617</v>
      </c>
      <c r="F32720" s="2"/>
      <c r="G32720" s="2"/>
      <c r="H32720" s="2"/>
    </row>
    <row r="32721" spans="1:8" x14ac:dyDescent="0.25">
      <c r="A32721" s="1"/>
      <c r="B32721" s="1" t="s">
        <v>8390</v>
      </c>
      <c r="C32721" s="1" t="s">
        <v>8391</v>
      </c>
      <c r="D32721" s="1" t="str">
        <f>HYPERLINK("https://rhld.insurance.arkansas.gov/NPILookup?Npi=1659342038","1659342038")</f>
        <v>1659342038</v>
      </c>
      <c r="E32721" s="1" t="s">
        <v>14026</v>
      </c>
      <c r="F32721" s="2"/>
      <c r="G32721" s="2"/>
      <c r="H32721" s="2"/>
    </row>
    <row r="32722" spans="1:8" x14ac:dyDescent="0.25">
      <c r="A32722" s="1"/>
      <c r="B32722" s="1" t="s">
        <v>8390</v>
      </c>
      <c r="C32722" s="1" t="s">
        <v>8391</v>
      </c>
      <c r="D32722" s="1" t="str">
        <f>HYPERLINK("https://rhld.insurance.arkansas.gov/NPILookup?Npi=1659344315","1659344315")</f>
        <v>1659344315</v>
      </c>
      <c r="E32722" s="1" t="s">
        <v>3566</v>
      </c>
      <c r="F32722" s="2"/>
      <c r="G32722" s="2"/>
      <c r="H32722" s="2"/>
    </row>
    <row r="32723" spans="1:8" x14ac:dyDescent="0.25">
      <c r="A32723" s="1"/>
      <c r="B32723" s="1" t="s">
        <v>8390</v>
      </c>
      <c r="C32723" s="1" t="s">
        <v>8391</v>
      </c>
      <c r="D32723" s="1" t="str">
        <f>HYPERLINK("https://rhld.insurance.arkansas.gov/NPILookup?Npi=1659362960","1659362960")</f>
        <v>1659362960</v>
      </c>
      <c r="E32723" s="1" t="s">
        <v>30091</v>
      </c>
      <c r="F32723" s="2"/>
      <c r="G32723" s="2"/>
      <c r="H32723" s="2"/>
    </row>
    <row r="32724" spans="1:8" x14ac:dyDescent="0.25">
      <c r="A32724" s="1"/>
      <c r="B32724" s="1" t="s">
        <v>8390</v>
      </c>
      <c r="C32724" s="1" t="s">
        <v>8391</v>
      </c>
      <c r="D32724" s="1" t="str">
        <f>HYPERLINK("https://rhld.insurance.arkansas.gov/NPILookup?Npi=1659758753","1659758753")</f>
        <v>1659758753</v>
      </c>
      <c r="E32724" s="1" t="s">
        <v>7972</v>
      </c>
      <c r="F32724" s="2"/>
      <c r="G32724" s="2"/>
      <c r="H32724" s="2"/>
    </row>
    <row r="32725" spans="1:8" x14ac:dyDescent="0.25">
      <c r="A32725" s="1"/>
      <c r="B32725" s="1" t="s">
        <v>8390</v>
      </c>
      <c r="C32725" s="1" t="s">
        <v>8391</v>
      </c>
      <c r="D32725" s="1" t="str">
        <f>HYPERLINK("https://rhld.insurance.arkansas.gov/NPILookup?Npi=1669478103","1669478103")</f>
        <v>1669478103</v>
      </c>
      <c r="E32725" s="1" t="s">
        <v>30092</v>
      </c>
      <c r="F32725" s="2"/>
      <c r="G32725" s="2"/>
      <c r="H32725" s="2"/>
    </row>
    <row r="32726" spans="1:8" x14ac:dyDescent="0.25">
      <c r="A32726" s="1"/>
      <c r="B32726" s="1" t="s">
        <v>8390</v>
      </c>
      <c r="C32726" s="1" t="s">
        <v>8391</v>
      </c>
      <c r="D32726" s="1" t="str">
        <f>HYPERLINK("https://rhld.insurance.arkansas.gov/NPILookup?Npi=1669787784","1669787784")</f>
        <v>1669787784</v>
      </c>
      <c r="E32726" s="1" t="s">
        <v>21102</v>
      </c>
      <c r="F32726" s="2"/>
      <c r="G32726" s="2"/>
      <c r="H32726" s="2"/>
    </row>
    <row r="32727" spans="1:8" x14ac:dyDescent="0.25">
      <c r="A32727" s="1"/>
      <c r="B32727" s="1" t="s">
        <v>8390</v>
      </c>
      <c r="C32727" s="1" t="s">
        <v>8391</v>
      </c>
      <c r="D32727" s="1" t="str">
        <f>HYPERLINK("https://rhld.insurance.arkansas.gov/NPILookup?Npi=1679668925","1679668925")</f>
        <v>1679668925</v>
      </c>
      <c r="E32727" s="1" t="s">
        <v>17778</v>
      </c>
      <c r="F32727" s="2"/>
      <c r="G32727" s="2"/>
      <c r="H32727" s="2"/>
    </row>
    <row r="32728" spans="1:8" x14ac:dyDescent="0.25">
      <c r="A32728" s="1"/>
      <c r="B32728" s="1" t="s">
        <v>8390</v>
      </c>
      <c r="C32728" s="1" t="s">
        <v>8391</v>
      </c>
      <c r="D32728" s="1" t="str">
        <f>HYPERLINK("https://rhld.insurance.arkansas.gov/NPILookup?Npi=1679983605","1679983605")</f>
        <v>1679983605</v>
      </c>
      <c r="E32728" s="1" t="s">
        <v>1541</v>
      </c>
      <c r="F32728" s="2"/>
      <c r="G32728" s="2"/>
      <c r="H32728" s="2"/>
    </row>
    <row r="32729" spans="1:8" x14ac:dyDescent="0.25">
      <c r="A32729" s="1"/>
      <c r="B32729" s="1" t="s">
        <v>8390</v>
      </c>
      <c r="C32729" s="1" t="s">
        <v>8391</v>
      </c>
      <c r="D32729" s="1" t="str">
        <f>HYPERLINK("https://rhld.insurance.arkansas.gov/NPILookup?Npi=1699703496","1699703496")</f>
        <v>1699703496</v>
      </c>
      <c r="E32729" s="1" t="s">
        <v>986</v>
      </c>
      <c r="F32729" s="2"/>
      <c r="G32729" s="2"/>
      <c r="H32729" s="2"/>
    </row>
    <row r="32730" spans="1:8" x14ac:dyDescent="0.25">
      <c r="A32730" s="1"/>
      <c r="B32730" s="1" t="s">
        <v>8390</v>
      </c>
      <c r="C32730" s="1" t="s">
        <v>8391</v>
      </c>
      <c r="D32730" s="1" t="str">
        <f>HYPERLINK("https://rhld.insurance.arkansas.gov/NPILookup?Npi=1699731430","1699731430")</f>
        <v>1699731430</v>
      </c>
      <c r="E32730" s="1" t="s">
        <v>28218</v>
      </c>
      <c r="F32730" s="2"/>
      <c r="G32730" s="2"/>
      <c r="H32730" s="2"/>
    </row>
    <row r="32731" spans="1:8" x14ac:dyDescent="0.25">
      <c r="A32731" s="1"/>
      <c r="B32731" s="1" t="s">
        <v>8390</v>
      </c>
      <c r="C32731" s="1" t="s">
        <v>8391</v>
      </c>
      <c r="D32731" s="1" t="str">
        <f>HYPERLINK("https://rhld.insurance.arkansas.gov/NPILookup?Npi=1700033511","1700033511")</f>
        <v>1700033511</v>
      </c>
      <c r="E32731" s="1" t="s">
        <v>30093</v>
      </c>
      <c r="F32731" s="2"/>
      <c r="G32731" s="2"/>
      <c r="H32731" s="2"/>
    </row>
    <row r="32732" spans="1:8" x14ac:dyDescent="0.25">
      <c r="A32732" s="1"/>
      <c r="B32732" s="1" t="s">
        <v>8390</v>
      </c>
      <c r="C32732" s="1" t="s">
        <v>8391</v>
      </c>
      <c r="D32732" s="1" t="str">
        <f>HYPERLINK("https://rhld.insurance.arkansas.gov/NPILookup?Npi=1700142486","1700142486")</f>
        <v>1700142486</v>
      </c>
      <c r="E32732" s="1" t="s">
        <v>13933</v>
      </c>
      <c r="F32732" s="2"/>
      <c r="G32732" s="2"/>
      <c r="H32732" s="2"/>
    </row>
    <row r="32733" spans="1:8" x14ac:dyDescent="0.25">
      <c r="A32733" s="1"/>
      <c r="B32733" s="1" t="s">
        <v>8390</v>
      </c>
      <c r="C32733" s="1" t="s">
        <v>8391</v>
      </c>
      <c r="D32733" s="1" t="str">
        <f>HYPERLINK("https://rhld.insurance.arkansas.gov/NPILookup?Npi=1700327103","1700327103")</f>
        <v>1700327103</v>
      </c>
      <c r="E32733" s="1" t="s">
        <v>30094</v>
      </c>
      <c r="F32733" s="2"/>
      <c r="G32733" s="2"/>
      <c r="H32733" s="2"/>
    </row>
    <row r="32734" spans="1:8" x14ac:dyDescent="0.25">
      <c r="A32734" s="1"/>
      <c r="B32734" s="1" t="s">
        <v>8390</v>
      </c>
      <c r="C32734" s="1" t="s">
        <v>8391</v>
      </c>
      <c r="D32734" s="1" t="str">
        <f>HYPERLINK("https://rhld.insurance.arkansas.gov/NPILookup?Npi=1710163050","1710163050")</f>
        <v>1710163050</v>
      </c>
      <c r="E32734" s="1" t="s">
        <v>30095</v>
      </c>
      <c r="F32734" s="2"/>
      <c r="G32734" s="2"/>
      <c r="H32734" s="2"/>
    </row>
    <row r="32735" spans="1:8" x14ac:dyDescent="0.25">
      <c r="A32735" s="1"/>
      <c r="B32735" s="1" t="s">
        <v>8390</v>
      </c>
      <c r="C32735" s="1" t="s">
        <v>8391</v>
      </c>
      <c r="D32735" s="1" t="str">
        <f>HYPERLINK("https://rhld.insurance.arkansas.gov/NPILookup?Npi=1710188040","1710188040")</f>
        <v>1710188040</v>
      </c>
      <c r="E32735" s="1" t="s">
        <v>30096</v>
      </c>
      <c r="F32735" s="2"/>
      <c r="G32735" s="2"/>
      <c r="H32735" s="2"/>
    </row>
    <row r="32736" spans="1:8" x14ac:dyDescent="0.25">
      <c r="A32736" s="1"/>
      <c r="B32736" s="1" t="s">
        <v>8390</v>
      </c>
      <c r="C32736" s="1" t="s">
        <v>8391</v>
      </c>
      <c r="D32736" s="1" t="str">
        <f>HYPERLINK("https://rhld.insurance.arkansas.gov/NPILookup?Npi=1710938097","1710938097")</f>
        <v>1710938097</v>
      </c>
      <c r="E32736" s="1" t="s">
        <v>457</v>
      </c>
      <c r="F32736" s="2"/>
      <c r="G32736" s="2"/>
      <c r="H32736" s="2"/>
    </row>
    <row r="32737" spans="1:8" x14ac:dyDescent="0.25">
      <c r="A32737" s="1"/>
      <c r="B32737" s="1" t="s">
        <v>8390</v>
      </c>
      <c r="C32737" s="1" t="s">
        <v>8391</v>
      </c>
      <c r="D32737" s="1" t="str">
        <f>HYPERLINK("https://rhld.insurance.arkansas.gov/NPILookup?Npi=1710973532","1710973532")</f>
        <v>1710973532</v>
      </c>
      <c r="E32737" s="1" t="s">
        <v>32493</v>
      </c>
      <c r="F32737" s="2"/>
      <c r="G32737" s="2"/>
      <c r="H32737" s="2"/>
    </row>
    <row r="32738" spans="1:8" x14ac:dyDescent="0.25">
      <c r="A32738" s="1"/>
      <c r="B32738" s="1" t="s">
        <v>8390</v>
      </c>
      <c r="C32738" s="1" t="s">
        <v>8391</v>
      </c>
      <c r="D32738" s="1" t="str">
        <f>HYPERLINK("https://rhld.insurance.arkansas.gov/NPILookup?Npi=1710973979","1710973979")</f>
        <v>1710973979</v>
      </c>
      <c r="E32738" s="1" t="s">
        <v>14027</v>
      </c>
      <c r="F32738" s="2"/>
      <c r="G32738" s="2"/>
      <c r="H32738" s="2"/>
    </row>
    <row r="32739" spans="1:8" x14ac:dyDescent="0.25">
      <c r="A32739" s="1"/>
      <c r="B32739" s="1" t="s">
        <v>8390</v>
      </c>
      <c r="C32739" s="1" t="s">
        <v>8391</v>
      </c>
      <c r="D32739" s="1" t="str">
        <f>HYPERLINK("https://rhld.insurance.arkansas.gov/NPILookup?Npi=1710983259","1710983259")</f>
        <v>1710983259</v>
      </c>
      <c r="E32739" s="1" t="s">
        <v>30097</v>
      </c>
      <c r="F32739" s="2"/>
      <c r="G32739" s="2"/>
      <c r="H32739" s="2"/>
    </row>
    <row r="32740" spans="1:8" x14ac:dyDescent="0.25">
      <c r="A32740" s="1"/>
      <c r="B32740" s="1" t="s">
        <v>8390</v>
      </c>
      <c r="C32740" s="1" t="s">
        <v>8391</v>
      </c>
      <c r="D32740" s="1" t="str">
        <f>HYPERLINK("https://rhld.insurance.arkansas.gov/NPILookup?Npi=1720016033","1720016033")</f>
        <v>1720016033</v>
      </c>
      <c r="E32740" s="1" t="s">
        <v>2986</v>
      </c>
      <c r="F32740" s="2"/>
      <c r="G32740" s="2"/>
      <c r="H32740" s="2"/>
    </row>
    <row r="32741" spans="1:8" x14ac:dyDescent="0.25">
      <c r="A32741" s="1"/>
      <c r="B32741" s="1" t="s">
        <v>8390</v>
      </c>
      <c r="C32741" s="1" t="s">
        <v>8391</v>
      </c>
      <c r="D32741" s="1" t="str">
        <f>HYPERLINK("https://rhld.insurance.arkansas.gov/NPILookup?Npi=1720040470","1720040470")</f>
        <v>1720040470</v>
      </c>
      <c r="E32741" s="1" t="s">
        <v>987</v>
      </c>
      <c r="F32741" s="2"/>
      <c r="G32741" s="2"/>
      <c r="H32741" s="2"/>
    </row>
    <row r="32742" spans="1:8" x14ac:dyDescent="0.25">
      <c r="A32742" s="1"/>
      <c r="B32742" s="1" t="s">
        <v>8390</v>
      </c>
      <c r="C32742" s="1" t="s">
        <v>8391</v>
      </c>
      <c r="D32742" s="1" t="str">
        <f>HYPERLINK("https://rhld.insurance.arkansas.gov/NPILookup?Npi=1720219397","1720219397")</f>
        <v>1720219397</v>
      </c>
      <c r="E32742" s="1" t="s">
        <v>8407</v>
      </c>
      <c r="F32742" s="2"/>
      <c r="G32742" s="2"/>
      <c r="H32742" s="2"/>
    </row>
    <row r="32743" spans="1:8" x14ac:dyDescent="0.25">
      <c r="A32743" s="1"/>
      <c r="B32743" s="1" t="s">
        <v>8390</v>
      </c>
      <c r="C32743" s="1" t="s">
        <v>8391</v>
      </c>
      <c r="D32743" s="1" t="str">
        <f>HYPERLINK("https://rhld.insurance.arkansas.gov/NPILookup?Npi=1720573710","1720573710")</f>
        <v>1720573710</v>
      </c>
      <c r="E32743" s="1" t="s">
        <v>30098</v>
      </c>
      <c r="F32743" s="2"/>
      <c r="G32743" s="2"/>
      <c r="H32743" s="2"/>
    </row>
    <row r="32744" spans="1:8" x14ac:dyDescent="0.25">
      <c r="A32744" s="1"/>
      <c r="B32744" s="1" t="s">
        <v>8390</v>
      </c>
      <c r="C32744" s="1" t="s">
        <v>8391</v>
      </c>
      <c r="D32744" s="1" t="str">
        <f>HYPERLINK("https://rhld.insurance.arkansas.gov/NPILookup?Npi=1740441005","1740441005")</f>
        <v>1740441005</v>
      </c>
      <c r="E32744" s="1" t="s">
        <v>14028</v>
      </c>
      <c r="F32744" s="2"/>
      <c r="G32744" s="2"/>
      <c r="H32744" s="2"/>
    </row>
    <row r="32745" spans="1:8" x14ac:dyDescent="0.25">
      <c r="A32745" s="1"/>
      <c r="B32745" s="1" t="s">
        <v>8390</v>
      </c>
      <c r="C32745" s="1" t="s">
        <v>8391</v>
      </c>
      <c r="D32745" s="1" t="str">
        <f>HYPERLINK("https://rhld.insurance.arkansas.gov/NPILookup?Npi=1740541002","1740541002")</f>
        <v>1740541002</v>
      </c>
      <c r="E32745" s="1" t="s">
        <v>30099</v>
      </c>
      <c r="F32745" s="2"/>
      <c r="G32745" s="2"/>
      <c r="H32745" s="2"/>
    </row>
    <row r="32746" spans="1:8" x14ac:dyDescent="0.25">
      <c r="A32746" s="1"/>
      <c r="B32746" s="1" t="s">
        <v>8390</v>
      </c>
      <c r="C32746" s="1" t="s">
        <v>8391</v>
      </c>
      <c r="D32746" s="1" t="str">
        <f>HYPERLINK("https://rhld.insurance.arkansas.gov/NPILookup?Npi=1750410999","1750410999")</f>
        <v>1750410999</v>
      </c>
      <c r="E32746" s="1" t="s">
        <v>720</v>
      </c>
      <c r="F32746" s="2"/>
      <c r="G32746" s="2"/>
      <c r="H32746" s="2"/>
    </row>
    <row r="32747" spans="1:8" x14ac:dyDescent="0.25">
      <c r="A32747" s="1"/>
      <c r="B32747" s="1" t="s">
        <v>8390</v>
      </c>
      <c r="C32747" s="1" t="s">
        <v>8391</v>
      </c>
      <c r="D32747" s="1" t="str">
        <f>HYPERLINK("https://rhld.insurance.arkansas.gov/NPILookup?Npi=1760453120","1760453120")</f>
        <v>1760453120</v>
      </c>
      <c r="E32747" s="1" t="s">
        <v>30100</v>
      </c>
      <c r="F32747" s="2"/>
      <c r="G32747" s="2"/>
      <c r="H32747" s="2"/>
    </row>
    <row r="32748" spans="1:8" x14ac:dyDescent="0.25">
      <c r="A32748" s="1"/>
      <c r="B32748" s="1" t="s">
        <v>8390</v>
      </c>
      <c r="C32748" s="1" t="s">
        <v>8391</v>
      </c>
      <c r="D32748" s="1" t="str">
        <f>HYPERLINK("https://rhld.insurance.arkansas.gov/NPILookup?Npi=1760790976","1760790976")</f>
        <v>1760790976</v>
      </c>
      <c r="E32748" s="1" t="s">
        <v>30101</v>
      </c>
      <c r="F32748" s="2"/>
      <c r="G32748" s="2"/>
      <c r="H32748" s="2"/>
    </row>
    <row r="32749" spans="1:8" x14ac:dyDescent="0.25">
      <c r="A32749" s="1"/>
      <c r="B32749" s="1" t="s">
        <v>8390</v>
      </c>
      <c r="C32749" s="1" t="s">
        <v>8391</v>
      </c>
      <c r="D32749" s="1" t="str">
        <f>HYPERLINK("https://rhld.insurance.arkansas.gov/NPILookup?Npi=1780035030","1780035030")</f>
        <v>1780035030</v>
      </c>
      <c r="E32749" s="1" t="s">
        <v>30102</v>
      </c>
      <c r="F32749" s="2"/>
      <c r="G32749" s="2"/>
      <c r="H32749" s="2"/>
    </row>
    <row r="32750" spans="1:8" x14ac:dyDescent="0.25">
      <c r="A32750" s="1"/>
      <c r="B32750" s="1" t="s">
        <v>8390</v>
      </c>
      <c r="C32750" s="1" t="s">
        <v>8391</v>
      </c>
      <c r="D32750" s="1" t="str">
        <f>HYPERLINK("https://rhld.insurance.arkansas.gov/NPILookup?Npi=1780655167","1780655167")</f>
        <v>1780655167</v>
      </c>
      <c r="E32750" s="1" t="s">
        <v>30103</v>
      </c>
      <c r="F32750" s="2"/>
      <c r="G32750" s="2"/>
      <c r="H32750" s="2"/>
    </row>
    <row r="32751" spans="1:8" x14ac:dyDescent="0.25">
      <c r="A32751" s="1"/>
      <c r="B32751" s="1" t="s">
        <v>8390</v>
      </c>
      <c r="C32751" s="1" t="s">
        <v>8391</v>
      </c>
      <c r="D32751" s="1" t="str">
        <f>HYPERLINK("https://rhld.insurance.arkansas.gov/NPILookup?Npi=1780774281","1780774281")</f>
        <v>1780774281</v>
      </c>
      <c r="E32751" s="1" t="s">
        <v>3567</v>
      </c>
      <c r="F32751" s="2"/>
      <c r="G32751" s="2"/>
      <c r="H32751" s="2"/>
    </row>
    <row r="32752" spans="1:8" x14ac:dyDescent="0.25">
      <c r="A32752" s="1"/>
      <c r="B32752" s="1" t="s">
        <v>8390</v>
      </c>
      <c r="C32752" s="1" t="s">
        <v>8391</v>
      </c>
      <c r="D32752" s="1" t="str">
        <f>HYPERLINK("https://rhld.insurance.arkansas.gov/NPILookup?Npi=1780966937","1780966937")</f>
        <v>1780966937</v>
      </c>
      <c r="E32752" s="1" t="s">
        <v>3568</v>
      </c>
      <c r="F32752" s="2"/>
      <c r="G32752" s="2"/>
      <c r="H32752" s="2"/>
    </row>
    <row r="32753" spans="1:8" x14ac:dyDescent="0.25">
      <c r="A32753" s="1"/>
      <c r="B32753" s="1" t="s">
        <v>8390</v>
      </c>
      <c r="C32753" s="1" t="s">
        <v>8391</v>
      </c>
      <c r="D32753" s="1" t="str">
        <f>HYPERLINK("https://rhld.insurance.arkansas.gov/NPILookup?Npi=1780971192","1780971192")</f>
        <v>1780971192</v>
      </c>
      <c r="E32753" s="1" t="s">
        <v>28628</v>
      </c>
      <c r="F32753" s="2"/>
      <c r="G32753" s="2"/>
      <c r="H32753" s="2"/>
    </row>
    <row r="32754" spans="1:8" x14ac:dyDescent="0.25">
      <c r="A32754" s="1"/>
      <c r="B32754" s="1" t="s">
        <v>8390</v>
      </c>
      <c r="C32754" s="1" t="s">
        <v>8391</v>
      </c>
      <c r="D32754" s="1" t="str">
        <f>HYPERLINK("https://rhld.insurance.arkansas.gov/NPILookup?Npi=1790190296","1790190296")</f>
        <v>1790190296</v>
      </c>
      <c r="E32754" s="1" t="s">
        <v>30104</v>
      </c>
      <c r="F32754" s="2"/>
      <c r="G32754" s="2"/>
      <c r="H32754" s="2"/>
    </row>
    <row r="32755" spans="1:8" x14ac:dyDescent="0.25">
      <c r="A32755" s="1"/>
      <c r="B32755" s="1" t="s">
        <v>8390</v>
      </c>
      <c r="C32755" s="1" t="s">
        <v>8391</v>
      </c>
      <c r="D32755" s="1" t="str">
        <f>HYPERLINK("https://rhld.insurance.arkansas.gov/NPILookup?Npi=1790713352","1790713352")</f>
        <v>1790713352</v>
      </c>
      <c r="E32755" s="1" t="s">
        <v>459</v>
      </c>
      <c r="F32755" s="2"/>
      <c r="G32755" s="2"/>
      <c r="H32755" s="2"/>
    </row>
    <row r="32756" spans="1:8" x14ac:dyDescent="0.25">
      <c r="A32756" s="1"/>
      <c r="B32756" s="1" t="s">
        <v>8390</v>
      </c>
      <c r="C32756" s="1" t="s">
        <v>8391</v>
      </c>
      <c r="D32756" s="1" t="str">
        <f>HYPERLINK("https://rhld.insurance.arkansas.gov/NPILookup?Npi=1790714269","1790714269")</f>
        <v>1790714269</v>
      </c>
      <c r="E32756" s="1" t="s">
        <v>9860</v>
      </c>
      <c r="F32756" s="2"/>
      <c r="G32756" s="2"/>
      <c r="H32756" s="2"/>
    </row>
    <row r="32757" spans="1:8" x14ac:dyDescent="0.25">
      <c r="A32757" s="1"/>
      <c r="B32757" s="1" t="s">
        <v>8390</v>
      </c>
      <c r="C32757" s="1" t="s">
        <v>8391</v>
      </c>
      <c r="D32757" s="1" t="str">
        <f>HYPERLINK("https://rhld.insurance.arkansas.gov/NPILookup?Npi=1790796084","1790796084")</f>
        <v>1790796084</v>
      </c>
      <c r="E32757" s="1" t="s">
        <v>14029</v>
      </c>
      <c r="F32757" s="2"/>
      <c r="G32757" s="2"/>
      <c r="H32757" s="2"/>
    </row>
    <row r="32758" spans="1:8" x14ac:dyDescent="0.25">
      <c r="A32758" s="1"/>
      <c r="B32758" s="1" t="s">
        <v>8390</v>
      </c>
      <c r="C32758" s="1" t="s">
        <v>8391</v>
      </c>
      <c r="D32758" s="1" t="str">
        <f>HYPERLINK("https://rhld.insurance.arkansas.gov/NPILookup?Npi=1790909943","1790909943")</f>
        <v>1790909943</v>
      </c>
      <c r="E32758" s="1" t="s">
        <v>30105</v>
      </c>
      <c r="F32758" s="2"/>
      <c r="G32758" s="2"/>
      <c r="H32758" s="2"/>
    </row>
    <row r="32759" spans="1:8" x14ac:dyDescent="0.25">
      <c r="A32759" s="1"/>
      <c r="B32759" s="1" t="s">
        <v>8390</v>
      </c>
      <c r="C32759" s="1" t="s">
        <v>8391</v>
      </c>
      <c r="D32759" s="1" t="str">
        <f>HYPERLINK("https://rhld.insurance.arkansas.gov/NPILookup?Npi=1790909950","1790909950")</f>
        <v>1790909950</v>
      </c>
      <c r="E32759" s="1" t="s">
        <v>14030</v>
      </c>
      <c r="F32759" s="2"/>
      <c r="G32759" s="2"/>
      <c r="H32759" s="2"/>
    </row>
    <row r="32760" spans="1:8" x14ac:dyDescent="0.25">
      <c r="A32760" s="1"/>
      <c r="B32760" s="1" t="s">
        <v>8390</v>
      </c>
      <c r="C32760" s="1" t="s">
        <v>8391</v>
      </c>
      <c r="D32760" s="1" t="str">
        <f>HYPERLINK("https://rhld.insurance.arkansas.gov/NPILookup?Npi=1801028824","1801028824")</f>
        <v>1801028824</v>
      </c>
      <c r="E32760" s="1" t="s">
        <v>30106</v>
      </c>
      <c r="F32760" s="2"/>
      <c r="G32760" s="2"/>
      <c r="H32760" s="2"/>
    </row>
    <row r="32761" spans="1:8" x14ac:dyDescent="0.25">
      <c r="A32761" s="1"/>
      <c r="B32761" s="1" t="s">
        <v>8390</v>
      </c>
      <c r="C32761" s="1" t="s">
        <v>8391</v>
      </c>
      <c r="D32761" s="1" t="str">
        <f>HYPERLINK("https://rhld.insurance.arkansas.gov/NPILookup?Npi=1801207857","1801207857")</f>
        <v>1801207857</v>
      </c>
      <c r="E32761" s="1" t="s">
        <v>14031</v>
      </c>
      <c r="F32761" s="2"/>
      <c r="G32761" s="2"/>
      <c r="H32761" s="2"/>
    </row>
    <row r="32762" spans="1:8" x14ac:dyDescent="0.25">
      <c r="A32762" s="1"/>
      <c r="B32762" s="1" t="s">
        <v>8390</v>
      </c>
      <c r="C32762" s="1" t="s">
        <v>8391</v>
      </c>
      <c r="D32762" s="1" t="str">
        <f>HYPERLINK("https://rhld.insurance.arkansas.gov/NPILookup?Npi=1801830849","1801830849")</f>
        <v>1801830849</v>
      </c>
      <c r="E32762" s="1" t="s">
        <v>30107</v>
      </c>
      <c r="F32762" s="2"/>
      <c r="G32762" s="2"/>
      <c r="H32762" s="2"/>
    </row>
    <row r="32763" spans="1:8" x14ac:dyDescent="0.25">
      <c r="A32763" s="1"/>
      <c r="B32763" s="1" t="s">
        <v>8390</v>
      </c>
      <c r="C32763" s="1" t="s">
        <v>8391</v>
      </c>
      <c r="D32763" s="1" t="str">
        <f>HYPERLINK("https://rhld.insurance.arkansas.gov/NPILookup?Npi=1801857305","1801857305")</f>
        <v>1801857305</v>
      </c>
      <c r="E32763" s="1" t="s">
        <v>14032</v>
      </c>
      <c r="F32763" s="2"/>
      <c r="G32763" s="2"/>
      <c r="H32763" s="2"/>
    </row>
    <row r="32764" spans="1:8" x14ac:dyDescent="0.25">
      <c r="A32764" s="1"/>
      <c r="B32764" s="1" t="s">
        <v>8390</v>
      </c>
      <c r="C32764" s="1" t="s">
        <v>8391</v>
      </c>
      <c r="D32764" s="1" t="str">
        <f>HYPERLINK("https://rhld.insurance.arkansas.gov/NPILookup?Npi=1801963301","1801963301")</f>
        <v>1801963301</v>
      </c>
      <c r="E32764" s="1" t="s">
        <v>30108</v>
      </c>
      <c r="F32764" s="2"/>
      <c r="G32764" s="2"/>
      <c r="H32764" s="2"/>
    </row>
    <row r="32765" spans="1:8" x14ac:dyDescent="0.25">
      <c r="A32765" s="1"/>
      <c r="B32765" s="1" t="s">
        <v>8390</v>
      </c>
      <c r="C32765" s="1" t="s">
        <v>8391</v>
      </c>
      <c r="D32765" s="1" t="str">
        <f>HYPERLINK("https://rhld.insurance.arkansas.gov/NPILookup?Npi=1811159155","1811159155")</f>
        <v>1811159155</v>
      </c>
      <c r="E32765" s="1" t="s">
        <v>14033</v>
      </c>
      <c r="F32765" s="2"/>
      <c r="G32765" s="2"/>
      <c r="H32765" s="2"/>
    </row>
    <row r="32766" spans="1:8" x14ac:dyDescent="0.25">
      <c r="A32766" s="1"/>
      <c r="B32766" s="1" t="s">
        <v>8390</v>
      </c>
      <c r="C32766" s="1" t="s">
        <v>8391</v>
      </c>
      <c r="D32766" s="1" t="str">
        <f>HYPERLINK("https://rhld.insurance.arkansas.gov/NPILookup?Npi=1821121955","1821121955")</f>
        <v>1821121955</v>
      </c>
      <c r="E32766" s="1" t="s">
        <v>9866</v>
      </c>
      <c r="F32766" s="2"/>
      <c r="G32766" s="2"/>
      <c r="H32766" s="2"/>
    </row>
    <row r="32767" spans="1:8" x14ac:dyDescent="0.25">
      <c r="A32767" s="1"/>
      <c r="B32767" s="1" t="s">
        <v>8390</v>
      </c>
      <c r="C32767" s="1" t="s">
        <v>8391</v>
      </c>
      <c r="D32767" s="1" t="str">
        <f>HYPERLINK("https://rhld.insurance.arkansas.gov/NPILookup?Npi=1821432766","1821432766")</f>
        <v>1821432766</v>
      </c>
      <c r="E32767" s="1" t="s">
        <v>30109</v>
      </c>
      <c r="F32767" s="2"/>
      <c r="G32767" s="2"/>
      <c r="H32767" s="2"/>
    </row>
    <row r="32768" spans="1:8" x14ac:dyDescent="0.25">
      <c r="A32768" s="1"/>
      <c r="B32768" s="1" t="s">
        <v>8390</v>
      </c>
      <c r="C32768" s="1" t="s">
        <v>8391</v>
      </c>
      <c r="D32768" s="1" t="str">
        <f>HYPERLINK("https://rhld.insurance.arkansas.gov/NPILookup?Npi=1821470832","1821470832")</f>
        <v>1821470832</v>
      </c>
      <c r="E32768" s="1" t="s">
        <v>30110</v>
      </c>
      <c r="F32768" s="2"/>
      <c r="G32768" s="2"/>
      <c r="H32768" s="2"/>
    </row>
    <row r="32769" spans="1:8" x14ac:dyDescent="0.25">
      <c r="A32769" s="1"/>
      <c r="B32769" s="1" t="s">
        <v>8390</v>
      </c>
      <c r="C32769" s="1" t="s">
        <v>8391</v>
      </c>
      <c r="D32769" s="1" t="str">
        <f>HYPERLINK("https://rhld.insurance.arkansas.gov/NPILookup?Npi=1831156801","1831156801")</f>
        <v>1831156801</v>
      </c>
      <c r="E32769" s="1" t="s">
        <v>30111</v>
      </c>
      <c r="F32769" s="2"/>
      <c r="G32769" s="2"/>
      <c r="H32769" s="2"/>
    </row>
    <row r="32770" spans="1:8" x14ac:dyDescent="0.25">
      <c r="A32770" s="1"/>
      <c r="B32770" s="1" t="s">
        <v>8390</v>
      </c>
      <c r="C32770" s="1" t="s">
        <v>8391</v>
      </c>
      <c r="D32770" s="1" t="str">
        <f>HYPERLINK("https://rhld.insurance.arkansas.gov/NPILookup?Npi=1831385780","1831385780")</f>
        <v>1831385780</v>
      </c>
      <c r="E32770" s="1" t="s">
        <v>1276</v>
      </c>
      <c r="F32770" s="2"/>
      <c r="G32770" s="2"/>
      <c r="H32770" s="2"/>
    </row>
    <row r="32771" spans="1:8" x14ac:dyDescent="0.25">
      <c r="A32771" s="1"/>
      <c r="B32771" s="1" t="s">
        <v>8390</v>
      </c>
      <c r="C32771" s="1" t="s">
        <v>8391</v>
      </c>
      <c r="D32771" s="1" t="str">
        <f>HYPERLINK("https://rhld.insurance.arkansas.gov/NPILookup?Npi=1831445261","1831445261")</f>
        <v>1831445261</v>
      </c>
      <c r="E32771" s="1" t="s">
        <v>28834</v>
      </c>
      <c r="F32771" s="2"/>
      <c r="G32771" s="2"/>
      <c r="H32771" s="2"/>
    </row>
    <row r="32772" spans="1:8" x14ac:dyDescent="0.25">
      <c r="A32772" s="1"/>
      <c r="B32772" s="1" t="s">
        <v>8390</v>
      </c>
      <c r="C32772" s="1" t="s">
        <v>8391</v>
      </c>
      <c r="D32772" s="1" t="str">
        <f>HYPERLINK("https://rhld.insurance.arkansas.gov/NPILookup?Npi=1831542737","1831542737")</f>
        <v>1831542737</v>
      </c>
      <c r="E32772" s="1" t="s">
        <v>30112</v>
      </c>
      <c r="F32772" s="2"/>
      <c r="G32772" s="2"/>
      <c r="H32772" s="2"/>
    </row>
    <row r="32773" spans="1:8" x14ac:dyDescent="0.25">
      <c r="A32773" s="1"/>
      <c r="B32773" s="1" t="s">
        <v>8390</v>
      </c>
      <c r="C32773" s="1" t="s">
        <v>8391</v>
      </c>
      <c r="D32773" s="1" t="str">
        <f>HYPERLINK("https://rhld.insurance.arkansas.gov/NPILookup?Npi=1831576560","1831576560")</f>
        <v>1831576560</v>
      </c>
      <c r="E32773" s="1" t="s">
        <v>14034</v>
      </c>
      <c r="F32773" s="2"/>
      <c r="G32773" s="2"/>
      <c r="H32773" s="2"/>
    </row>
    <row r="32774" spans="1:8" x14ac:dyDescent="0.25">
      <c r="A32774" s="1"/>
      <c r="B32774" s="1" t="s">
        <v>8390</v>
      </c>
      <c r="C32774" s="1" t="s">
        <v>8391</v>
      </c>
      <c r="D32774" s="1" t="str">
        <f>HYPERLINK("https://rhld.insurance.arkansas.gov/NPILookup?Npi=1841217783","1841217783")</f>
        <v>1841217783</v>
      </c>
      <c r="E32774" s="1" t="s">
        <v>30113</v>
      </c>
      <c r="F32774" s="2"/>
      <c r="G32774" s="2"/>
      <c r="H32774" s="2"/>
    </row>
    <row r="32775" spans="1:8" x14ac:dyDescent="0.25">
      <c r="A32775" s="1"/>
      <c r="B32775" s="1" t="s">
        <v>8390</v>
      </c>
      <c r="C32775" s="1" t="s">
        <v>8391</v>
      </c>
      <c r="D32775" s="1" t="str">
        <f>HYPERLINK("https://rhld.insurance.arkansas.gov/NPILookup?Npi=1841266319","1841266319")</f>
        <v>1841266319</v>
      </c>
      <c r="E32775" s="1" t="s">
        <v>3569</v>
      </c>
      <c r="F32775" s="2"/>
      <c r="G32775" s="2"/>
      <c r="H32775" s="2"/>
    </row>
    <row r="32776" spans="1:8" x14ac:dyDescent="0.25">
      <c r="A32776" s="1"/>
      <c r="B32776" s="1" t="s">
        <v>8390</v>
      </c>
      <c r="C32776" s="1" t="s">
        <v>8391</v>
      </c>
      <c r="D32776" s="1" t="str">
        <f>HYPERLINK("https://rhld.insurance.arkansas.gov/NPILookup?Npi=1841610037","1841610037")</f>
        <v>1841610037</v>
      </c>
      <c r="E32776" s="1" t="s">
        <v>30114</v>
      </c>
      <c r="F32776" s="2"/>
      <c r="G32776" s="2"/>
      <c r="H32776" s="2"/>
    </row>
    <row r="32777" spans="1:8" x14ac:dyDescent="0.25">
      <c r="A32777" s="1"/>
      <c r="B32777" s="1" t="s">
        <v>8390</v>
      </c>
      <c r="C32777" s="1" t="s">
        <v>8391</v>
      </c>
      <c r="D32777" s="1" t="str">
        <f>HYPERLINK("https://rhld.insurance.arkansas.gov/NPILookup?Npi=1861498313","1861498313")</f>
        <v>1861498313</v>
      </c>
      <c r="E32777" s="1" t="s">
        <v>30115</v>
      </c>
      <c r="F32777" s="2"/>
      <c r="G32777" s="2"/>
      <c r="H32777" s="2"/>
    </row>
    <row r="32778" spans="1:8" x14ac:dyDescent="0.25">
      <c r="A32778" s="1"/>
      <c r="B32778" s="1" t="s">
        <v>8390</v>
      </c>
      <c r="C32778" s="1" t="s">
        <v>8391</v>
      </c>
      <c r="D32778" s="1" t="str">
        <f>HYPERLINK("https://rhld.insurance.arkansas.gov/NPILookup?Npi=1861616021","1861616021")</f>
        <v>1861616021</v>
      </c>
      <c r="E32778" s="1" t="s">
        <v>23531</v>
      </c>
      <c r="F32778" s="2"/>
      <c r="G32778" s="2"/>
      <c r="H32778" s="2"/>
    </row>
    <row r="32779" spans="1:8" x14ac:dyDescent="0.25">
      <c r="A32779" s="1"/>
      <c r="B32779" s="1" t="s">
        <v>8390</v>
      </c>
      <c r="C32779" s="1" t="s">
        <v>8391</v>
      </c>
      <c r="D32779" s="1" t="str">
        <f>HYPERLINK("https://rhld.insurance.arkansas.gov/NPILookup?Npi=1871580704","1871580704")</f>
        <v>1871580704</v>
      </c>
      <c r="E32779" s="1" t="s">
        <v>1918</v>
      </c>
      <c r="F32779" s="2"/>
      <c r="G32779" s="2"/>
      <c r="H32779" s="2"/>
    </row>
    <row r="32780" spans="1:8" x14ac:dyDescent="0.25">
      <c r="A32780" s="1"/>
      <c r="B32780" s="1" t="s">
        <v>8390</v>
      </c>
      <c r="C32780" s="1" t="s">
        <v>8391</v>
      </c>
      <c r="D32780" s="1" t="str">
        <f>HYPERLINK("https://rhld.insurance.arkansas.gov/NPILookup?Npi=1871594663","1871594663")</f>
        <v>1871594663</v>
      </c>
      <c r="E32780" s="1" t="s">
        <v>2288</v>
      </c>
      <c r="F32780" s="2"/>
      <c r="G32780" s="2"/>
      <c r="H32780" s="2"/>
    </row>
    <row r="32781" spans="1:8" x14ac:dyDescent="0.25">
      <c r="A32781" s="1"/>
      <c r="B32781" s="1" t="s">
        <v>8390</v>
      </c>
      <c r="C32781" s="1" t="s">
        <v>8391</v>
      </c>
      <c r="D32781" s="1" t="str">
        <f>HYPERLINK("https://rhld.insurance.arkansas.gov/NPILookup?Npi=1871807883","1871807883")</f>
        <v>1871807883</v>
      </c>
      <c r="E32781" s="1" t="s">
        <v>13733</v>
      </c>
      <c r="F32781" s="2"/>
      <c r="G32781" s="2"/>
      <c r="H32781" s="2"/>
    </row>
    <row r="32782" spans="1:8" x14ac:dyDescent="0.25">
      <c r="A32782" s="1"/>
      <c r="B32782" s="1" t="s">
        <v>8390</v>
      </c>
      <c r="C32782" s="1" t="s">
        <v>8391</v>
      </c>
      <c r="D32782" s="1" t="str">
        <f>HYPERLINK("https://rhld.insurance.arkansas.gov/NPILookup?Npi=1871955526","1871955526")</f>
        <v>1871955526</v>
      </c>
      <c r="E32782" s="1" t="s">
        <v>29039</v>
      </c>
      <c r="F32782" s="2"/>
      <c r="G32782" s="2"/>
      <c r="H32782" s="2"/>
    </row>
    <row r="32783" spans="1:8" x14ac:dyDescent="0.25">
      <c r="A32783" s="1"/>
      <c r="B32783" s="1" t="s">
        <v>8390</v>
      </c>
      <c r="C32783" s="1" t="s">
        <v>8391</v>
      </c>
      <c r="D32783" s="1" t="str">
        <f>HYPERLINK("https://rhld.insurance.arkansas.gov/NPILookup?Npi=1891704227","1891704227")</f>
        <v>1891704227</v>
      </c>
      <c r="E32783" s="1" t="s">
        <v>29119</v>
      </c>
      <c r="F32783" s="2"/>
      <c r="G32783" s="2"/>
      <c r="H32783" s="2"/>
    </row>
    <row r="32784" spans="1:8" x14ac:dyDescent="0.25">
      <c r="A32784" s="1"/>
      <c r="B32784" s="1" t="s">
        <v>8390</v>
      </c>
      <c r="C32784" s="1" t="s">
        <v>8391</v>
      </c>
      <c r="D32784" s="1" t="str">
        <f>HYPERLINK("https://rhld.insurance.arkansas.gov/NPILookup?Npi=1891791349","1891791349")</f>
        <v>1891791349</v>
      </c>
      <c r="E32784" s="1" t="s">
        <v>30116</v>
      </c>
      <c r="F32784" s="2"/>
      <c r="G32784" s="2"/>
      <c r="H32784" s="2"/>
    </row>
    <row r="32785" spans="1:8" x14ac:dyDescent="0.25">
      <c r="A32785" s="1"/>
      <c r="B32785" s="1" t="s">
        <v>8390</v>
      </c>
      <c r="C32785" s="1" t="s">
        <v>8391</v>
      </c>
      <c r="D32785" s="1" t="str">
        <f>HYPERLINK("https://rhld.insurance.arkansas.gov/NPILookup?Npi=1891942819","1891942819")</f>
        <v>1891942819</v>
      </c>
      <c r="E32785" s="1" t="s">
        <v>17971</v>
      </c>
      <c r="F32785" s="2"/>
      <c r="G32785" s="2"/>
      <c r="H32785" s="2"/>
    </row>
    <row r="32786" spans="1:8" x14ac:dyDescent="0.25">
      <c r="A32786" s="1"/>
      <c r="B32786" s="1" t="s">
        <v>8390</v>
      </c>
      <c r="C32786" s="1" t="s">
        <v>8391</v>
      </c>
      <c r="D32786" s="1" t="str">
        <f>HYPERLINK("https://rhld.insurance.arkansas.gov/NPILookup?Npi=1902228810","1902228810")</f>
        <v>1902228810</v>
      </c>
      <c r="E32786" s="1" t="s">
        <v>30117</v>
      </c>
      <c r="F32786" s="2"/>
      <c r="G32786" s="2"/>
      <c r="H32786" s="2"/>
    </row>
    <row r="32787" spans="1:8" x14ac:dyDescent="0.25">
      <c r="A32787" s="1"/>
      <c r="B32787" s="1" t="s">
        <v>8390</v>
      </c>
      <c r="C32787" s="1" t="s">
        <v>8391</v>
      </c>
      <c r="D32787" s="1" t="str">
        <f>HYPERLINK("https://rhld.insurance.arkansas.gov/NPILookup?Npi=1912917139","1912917139")</f>
        <v>1912917139</v>
      </c>
      <c r="E32787" s="1" t="s">
        <v>8408</v>
      </c>
      <c r="F32787" s="2"/>
      <c r="G32787" s="2"/>
      <c r="H32787" s="2"/>
    </row>
    <row r="32788" spans="1:8" x14ac:dyDescent="0.25">
      <c r="A32788" s="1"/>
      <c r="B32788" s="1" t="s">
        <v>8390</v>
      </c>
      <c r="C32788" s="1" t="s">
        <v>8391</v>
      </c>
      <c r="D32788" s="1" t="str">
        <f>HYPERLINK("https://rhld.insurance.arkansas.gov/NPILookup?Npi=1912948928","1912948928")</f>
        <v>1912948928</v>
      </c>
      <c r="E32788" s="1" t="s">
        <v>14035</v>
      </c>
      <c r="F32788" s="2"/>
      <c r="G32788" s="2"/>
      <c r="H32788" s="2"/>
    </row>
    <row r="32789" spans="1:8" x14ac:dyDescent="0.25">
      <c r="A32789" s="1"/>
      <c r="B32789" s="1" t="s">
        <v>8390</v>
      </c>
      <c r="C32789" s="1" t="s">
        <v>8391</v>
      </c>
      <c r="D32789" s="1" t="str">
        <f>HYPERLINK("https://rhld.insurance.arkansas.gov/NPILookup?Npi=1922019702","1922019702")</f>
        <v>1922019702</v>
      </c>
      <c r="E32789" s="1" t="s">
        <v>30118</v>
      </c>
      <c r="F32789" s="2"/>
      <c r="G32789" s="2"/>
      <c r="H32789" s="2"/>
    </row>
    <row r="32790" spans="1:8" x14ac:dyDescent="0.25">
      <c r="A32790" s="1"/>
      <c r="B32790" s="1" t="s">
        <v>8390</v>
      </c>
      <c r="C32790" s="1" t="s">
        <v>8391</v>
      </c>
      <c r="D32790" s="1" t="str">
        <f>HYPERLINK("https://rhld.insurance.arkansas.gov/NPILookup?Npi=1922023183","1922023183")</f>
        <v>1922023183</v>
      </c>
      <c r="E32790" s="1" t="s">
        <v>32494</v>
      </c>
      <c r="F32790" s="2"/>
      <c r="G32790" s="2"/>
      <c r="H32790" s="2"/>
    </row>
    <row r="32791" spans="1:8" x14ac:dyDescent="0.25">
      <c r="A32791" s="1"/>
      <c r="B32791" s="1" t="s">
        <v>8390</v>
      </c>
      <c r="C32791" s="1" t="s">
        <v>8391</v>
      </c>
      <c r="D32791" s="1" t="str">
        <f>HYPERLINK("https://rhld.insurance.arkansas.gov/NPILookup?Npi=1922041839","1922041839")</f>
        <v>1922041839</v>
      </c>
      <c r="E32791" s="1" t="s">
        <v>30119</v>
      </c>
      <c r="F32791" s="2"/>
      <c r="G32791" s="2"/>
      <c r="H32791" s="2"/>
    </row>
    <row r="32792" spans="1:8" x14ac:dyDescent="0.25">
      <c r="A32792" s="1"/>
      <c r="B32792" s="1" t="s">
        <v>8390</v>
      </c>
      <c r="C32792" s="1" t="s">
        <v>8391</v>
      </c>
      <c r="D32792" s="1" t="str">
        <f>HYPERLINK("https://rhld.insurance.arkansas.gov/NPILookup?Npi=1922269604","1922269604")</f>
        <v>1922269604</v>
      </c>
      <c r="E32792" s="1" t="s">
        <v>458</v>
      </c>
      <c r="F32792" s="2"/>
      <c r="G32792" s="2"/>
      <c r="H32792" s="2"/>
    </row>
    <row r="32793" spans="1:8" x14ac:dyDescent="0.25">
      <c r="A32793" s="1"/>
      <c r="B32793" s="1" t="s">
        <v>8390</v>
      </c>
      <c r="C32793" s="1" t="s">
        <v>8391</v>
      </c>
      <c r="D32793" s="1" t="str">
        <f>HYPERLINK("https://rhld.insurance.arkansas.gov/NPILookup?Npi=1932105004","1932105004")</f>
        <v>1932105004</v>
      </c>
      <c r="E32793" s="1" t="s">
        <v>30120</v>
      </c>
      <c r="F32793" s="2"/>
      <c r="G32793" s="2"/>
      <c r="H32793" s="2"/>
    </row>
    <row r="32794" spans="1:8" x14ac:dyDescent="0.25">
      <c r="A32794" s="1"/>
      <c r="B32794" s="1" t="s">
        <v>8390</v>
      </c>
      <c r="C32794" s="1" t="s">
        <v>8391</v>
      </c>
      <c r="D32794" s="1" t="str">
        <f>HYPERLINK("https://rhld.insurance.arkansas.gov/NPILookup?Npi=1952491458","1952491458")</f>
        <v>1952491458</v>
      </c>
      <c r="E32794" s="1" t="s">
        <v>30121</v>
      </c>
      <c r="F32794" s="2"/>
      <c r="G32794" s="2"/>
      <c r="H32794" s="2"/>
    </row>
    <row r="32795" spans="1:8" x14ac:dyDescent="0.25">
      <c r="A32795" s="1"/>
      <c r="B32795" s="1" t="s">
        <v>8390</v>
      </c>
      <c r="C32795" s="1" t="s">
        <v>8391</v>
      </c>
      <c r="D32795" s="1" t="str">
        <f>HYPERLINK("https://rhld.insurance.arkansas.gov/NPILookup?Npi=1952549602","1952549602")</f>
        <v>1952549602</v>
      </c>
      <c r="E32795" s="1" t="s">
        <v>721</v>
      </c>
      <c r="F32795" s="2"/>
      <c r="G32795" s="2"/>
      <c r="H32795" s="2"/>
    </row>
    <row r="32796" spans="1:8" x14ac:dyDescent="0.25">
      <c r="A32796" s="1"/>
      <c r="B32796" s="1" t="s">
        <v>8390</v>
      </c>
      <c r="C32796" s="1" t="s">
        <v>8391</v>
      </c>
      <c r="D32796" s="1" t="str">
        <f>HYPERLINK("https://rhld.insurance.arkansas.gov/NPILookup?Npi=1952620544","1952620544")</f>
        <v>1952620544</v>
      </c>
      <c r="E32796" s="1" t="s">
        <v>29358</v>
      </c>
      <c r="F32796" s="2"/>
      <c r="G32796" s="2"/>
      <c r="H32796" s="2"/>
    </row>
    <row r="32797" spans="1:8" x14ac:dyDescent="0.25">
      <c r="A32797" s="1"/>
      <c r="B32797" s="1" t="s">
        <v>8390</v>
      </c>
      <c r="C32797" s="1" t="s">
        <v>8391</v>
      </c>
      <c r="D32797" s="1" t="str">
        <f>HYPERLINK("https://rhld.insurance.arkansas.gov/NPILookup?Npi=1952667503","1952667503")</f>
        <v>1952667503</v>
      </c>
      <c r="E32797" s="1" t="s">
        <v>30122</v>
      </c>
      <c r="F32797" s="2"/>
      <c r="G32797" s="2"/>
      <c r="H32797" s="2"/>
    </row>
    <row r="32798" spans="1:8" x14ac:dyDescent="0.25">
      <c r="A32798" s="1"/>
      <c r="B32798" s="1" t="s">
        <v>8390</v>
      </c>
      <c r="C32798" s="1" t="s">
        <v>8391</v>
      </c>
      <c r="D32798" s="1" t="str">
        <f>HYPERLINK("https://rhld.insurance.arkansas.gov/NPILookup?Npi=1952784266","1952784266")</f>
        <v>1952784266</v>
      </c>
      <c r="E32798" s="1" t="s">
        <v>30123</v>
      </c>
      <c r="F32798" s="2"/>
      <c r="G32798" s="2"/>
      <c r="H32798" s="2"/>
    </row>
    <row r="32799" spans="1:8" x14ac:dyDescent="0.25">
      <c r="A32799" s="1"/>
      <c r="B32799" s="1" t="s">
        <v>8390</v>
      </c>
      <c r="C32799" s="1" t="s">
        <v>8391</v>
      </c>
      <c r="D32799" s="1" t="str">
        <f>HYPERLINK("https://rhld.insurance.arkansas.gov/NPILookup?Npi=1952786634","1952786634")</f>
        <v>1952786634</v>
      </c>
      <c r="E32799" s="1" t="s">
        <v>30124</v>
      </c>
      <c r="F32799" s="2"/>
      <c r="G32799" s="2"/>
      <c r="H32799" s="2"/>
    </row>
    <row r="32800" spans="1:8" x14ac:dyDescent="0.25">
      <c r="A32800" s="1"/>
      <c r="B32800" s="1" t="s">
        <v>8390</v>
      </c>
      <c r="C32800" s="1" t="s">
        <v>8391</v>
      </c>
      <c r="D32800" s="1" t="str">
        <f>HYPERLINK("https://rhld.insurance.arkansas.gov/NPILookup?Npi=1962451245","1962451245")</f>
        <v>1962451245</v>
      </c>
      <c r="E32800" s="1" t="s">
        <v>30125</v>
      </c>
      <c r="F32800" s="2"/>
      <c r="G32800" s="2"/>
      <c r="H32800" s="2"/>
    </row>
    <row r="32801" spans="1:8" x14ac:dyDescent="0.25">
      <c r="A32801" s="1"/>
      <c r="B32801" s="1" t="s">
        <v>8390</v>
      </c>
      <c r="C32801" s="1" t="s">
        <v>8391</v>
      </c>
      <c r="D32801" s="1" t="str">
        <f>HYPERLINK("https://rhld.insurance.arkansas.gov/NPILookup?Npi=1972537090","1972537090")</f>
        <v>1972537090</v>
      </c>
      <c r="E32801" s="1" t="s">
        <v>29459</v>
      </c>
      <c r="F32801" s="2"/>
      <c r="G32801" s="2"/>
      <c r="H32801" s="2"/>
    </row>
    <row r="32802" spans="1:8" x14ac:dyDescent="0.25">
      <c r="A32802" s="1"/>
      <c r="B32802" s="1" t="s">
        <v>8390</v>
      </c>
      <c r="C32802" s="1" t="s">
        <v>8391</v>
      </c>
      <c r="D32802" s="1" t="str">
        <f>HYPERLINK("https://rhld.insurance.arkansas.gov/NPILookup?Npi=1972594208","1972594208")</f>
        <v>1972594208</v>
      </c>
      <c r="E32802" s="1" t="s">
        <v>30126</v>
      </c>
      <c r="F32802" s="2"/>
      <c r="G32802" s="2"/>
      <c r="H32802" s="2"/>
    </row>
    <row r="32803" spans="1:8" x14ac:dyDescent="0.25">
      <c r="A32803" s="1"/>
      <c r="B32803" s="1" t="s">
        <v>8390</v>
      </c>
      <c r="C32803" s="1" t="s">
        <v>8391</v>
      </c>
      <c r="D32803" s="1" t="str">
        <f>HYPERLINK("https://rhld.insurance.arkansas.gov/NPILookup?Npi=1972859890","1972859890")</f>
        <v>1972859890</v>
      </c>
      <c r="E32803" s="1" t="s">
        <v>29860</v>
      </c>
      <c r="F32803" s="2"/>
      <c r="G32803" s="2"/>
      <c r="H32803" s="2"/>
    </row>
    <row r="32804" spans="1:8" x14ac:dyDescent="0.25">
      <c r="A32804" s="1"/>
      <c r="B32804" s="1" t="s">
        <v>8390</v>
      </c>
      <c r="C32804" s="1" t="s">
        <v>8391</v>
      </c>
      <c r="D32804" s="1" t="str">
        <f>HYPERLINK("https://rhld.insurance.arkansas.gov/NPILookup?Npi=1982691804","1982691804")</f>
        <v>1982691804</v>
      </c>
      <c r="E32804" s="1" t="s">
        <v>32495</v>
      </c>
      <c r="F32804" s="2"/>
      <c r="G32804" s="2"/>
      <c r="H32804" s="2"/>
    </row>
    <row r="32805" spans="1:8" x14ac:dyDescent="0.25">
      <c r="A32805" s="1"/>
      <c r="B32805" s="1" t="s">
        <v>8390</v>
      </c>
      <c r="C32805" s="1" t="s">
        <v>8391</v>
      </c>
      <c r="D32805" s="1" t="str">
        <f>HYPERLINK("https://rhld.insurance.arkansas.gov/NPILookup?Npi=1982803631","1982803631")</f>
        <v>1982803631</v>
      </c>
      <c r="E32805" s="1" t="s">
        <v>8409</v>
      </c>
      <c r="F32805" s="2"/>
      <c r="G32805" s="2"/>
      <c r="H32805" s="2"/>
    </row>
    <row r="32806" spans="1:8" x14ac:dyDescent="0.25">
      <c r="A32806" s="1"/>
      <c r="B32806" s="1" t="s">
        <v>8390</v>
      </c>
      <c r="C32806" s="1" t="s">
        <v>8391</v>
      </c>
      <c r="D32806" s="1" t="str">
        <f>HYPERLINK("https://rhld.insurance.arkansas.gov/NPILookup?Npi=1982933909","1982933909")</f>
        <v>1982933909</v>
      </c>
      <c r="E32806" s="1" t="s">
        <v>1106</v>
      </c>
      <c r="F32806" s="2"/>
      <c r="G32806" s="2"/>
      <c r="H32806" s="2"/>
    </row>
    <row r="32807" spans="1:8" x14ac:dyDescent="0.25">
      <c r="A32807" s="1"/>
      <c r="B32807" s="1" t="s">
        <v>8390</v>
      </c>
      <c r="C32807" s="1" t="s">
        <v>8391</v>
      </c>
      <c r="D32807" s="1" t="str">
        <f>HYPERLINK("https://rhld.insurance.arkansas.gov/NPILookup?Npi=1992146955","1992146955")</f>
        <v>1992146955</v>
      </c>
      <c r="E32807" s="1" t="s">
        <v>29865</v>
      </c>
      <c r="F32807" s="2"/>
      <c r="G32807" s="2"/>
      <c r="H32807" s="2"/>
    </row>
    <row r="32808" spans="1:8" x14ac:dyDescent="0.25">
      <c r="A32808" s="1"/>
      <c r="B32808" s="1" t="s">
        <v>8390</v>
      </c>
      <c r="C32808" s="1" t="s">
        <v>8391</v>
      </c>
      <c r="D32808" s="1" t="str">
        <f>HYPERLINK("https://rhld.insurance.arkansas.gov/NPILookup?Npi=1992933584","1992933584")</f>
        <v>1992933584</v>
      </c>
      <c r="E32808" s="1" t="s">
        <v>18075</v>
      </c>
      <c r="F32808" s="2"/>
      <c r="G32808" s="2"/>
      <c r="H32808" s="2"/>
    </row>
    <row r="32809" spans="1:8" x14ac:dyDescent="0.25">
      <c r="A32809" s="1"/>
      <c r="B32809" s="1" t="s">
        <v>8410</v>
      </c>
      <c r="C32809" s="1" t="s">
        <v>8411</v>
      </c>
      <c r="D32809" s="1" t="str">
        <f>HYPERLINK("https://rhld.insurance.arkansas.gov/NPILookup?Npi=1003873019","1003873019")</f>
        <v>1003873019</v>
      </c>
      <c r="E32809" s="1" t="s">
        <v>30127</v>
      </c>
      <c r="F32809" s="2"/>
      <c r="G32809" s="2"/>
      <c r="H32809" s="2"/>
    </row>
    <row r="32810" spans="1:8" x14ac:dyDescent="0.25">
      <c r="A32810" s="1"/>
      <c r="B32810" s="1" t="s">
        <v>8410</v>
      </c>
      <c r="C32810" s="1" t="s">
        <v>8411</v>
      </c>
      <c r="D32810" s="1" t="str">
        <f>HYPERLINK("https://rhld.insurance.arkansas.gov/NPILookup?Npi=1013955541","1013955541")</f>
        <v>1013955541</v>
      </c>
      <c r="E32810" s="1" t="s">
        <v>30128</v>
      </c>
      <c r="F32810" s="2"/>
      <c r="G32810" s="2"/>
      <c r="H32810" s="2"/>
    </row>
    <row r="32811" spans="1:8" x14ac:dyDescent="0.25">
      <c r="A32811" s="1"/>
      <c r="B32811" s="1" t="s">
        <v>8410</v>
      </c>
      <c r="C32811" s="1" t="s">
        <v>8411</v>
      </c>
      <c r="D32811" s="1" t="str">
        <f>HYPERLINK("https://rhld.insurance.arkansas.gov/NPILookup?Npi=1023515129","1023515129")</f>
        <v>1023515129</v>
      </c>
      <c r="E32811" s="1" t="s">
        <v>8412</v>
      </c>
      <c r="F32811" s="2"/>
      <c r="G32811" s="2"/>
      <c r="H32811" s="2"/>
    </row>
    <row r="32812" spans="1:8" x14ac:dyDescent="0.25">
      <c r="A32812" s="1"/>
      <c r="B32812" s="1" t="s">
        <v>8410</v>
      </c>
      <c r="C32812" s="1" t="s">
        <v>8411</v>
      </c>
      <c r="D32812" s="1" t="str">
        <f>HYPERLINK("https://rhld.insurance.arkansas.gov/NPILookup?Npi=1033231915","1033231915")</f>
        <v>1033231915</v>
      </c>
      <c r="E32812" s="1" t="s">
        <v>14036</v>
      </c>
      <c r="F32812" s="2"/>
      <c r="G32812" s="2"/>
      <c r="H32812" s="2"/>
    </row>
    <row r="32813" spans="1:8" x14ac:dyDescent="0.25">
      <c r="A32813" s="1"/>
      <c r="B32813" s="1" t="s">
        <v>8410</v>
      </c>
      <c r="C32813" s="1" t="s">
        <v>8411</v>
      </c>
      <c r="D32813" s="1" t="str">
        <f>HYPERLINK("https://rhld.insurance.arkansas.gov/NPILookup?Npi=1043210149","1043210149")</f>
        <v>1043210149</v>
      </c>
      <c r="E32813" s="1" t="s">
        <v>30129</v>
      </c>
      <c r="F32813" s="2"/>
      <c r="G32813" s="2"/>
      <c r="H32813" s="2"/>
    </row>
    <row r="32814" spans="1:8" x14ac:dyDescent="0.25">
      <c r="A32814" s="1"/>
      <c r="B32814" s="1" t="s">
        <v>8410</v>
      </c>
      <c r="C32814" s="1" t="s">
        <v>8411</v>
      </c>
      <c r="D32814" s="1" t="str">
        <f>HYPERLINK("https://rhld.insurance.arkansas.gov/NPILookup?Npi=1053423350","1053423350")</f>
        <v>1053423350</v>
      </c>
      <c r="E32814" s="1" t="s">
        <v>12632</v>
      </c>
      <c r="F32814" s="2"/>
      <c r="G32814" s="2"/>
      <c r="H32814" s="2"/>
    </row>
    <row r="32815" spans="1:8" x14ac:dyDescent="0.25">
      <c r="A32815" s="1"/>
      <c r="B32815" s="1" t="s">
        <v>8410</v>
      </c>
      <c r="C32815" s="1" t="s">
        <v>8411</v>
      </c>
      <c r="D32815" s="1" t="str">
        <f>HYPERLINK("https://rhld.insurance.arkansas.gov/NPILookup?Npi=1063636306","1063636306")</f>
        <v>1063636306</v>
      </c>
      <c r="E32815" s="1" t="s">
        <v>3577</v>
      </c>
      <c r="F32815" s="2"/>
      <c r="G32815" s="2"/>
      <c r="H32815" s="2"/>
    </row>
    <row r="32816" spans="1:8" x14ac:dyDescent="0.25">
      <c r="A32816" s="1"/>
      <c r="B32816" s="1" t="s">
        <v>8410</v>
      </c>
      <c r="C32816" s="1" t="s">
        <v>8411</v>
      </c>
      <c r="D32816" s="1" t="str">
        <f>HYPERLINK("https://rhld.insurance.arkansas.gov/NPILookup?Npi=1073615324","1073615324")</f>
        <v>1073615324</v>
      </c>
      <c r="E32816" s="1" t="s">
        <v>30130</v>
      </c>
      <c r="F32816" s="2"/>
      <c r="G32816" s="2"/>
      <c r="H32816" s="2"/>
    </row>
    <row r="32817" spans="1:8" x14ac:dyDescent="0.25">
      <c r="A32817" s="1"/>
      <c r="B32817" s="1" t="s">
        <v>8410</v>
      </c>
      <c r="C32817" s="1" t="s">
        <v>8411</v>
      </c>
      <c r="D32817" s="1" t="str">
        <f>HYPERLINK("https://rhld.insurance.arkansas.gov/NPILookup?Npi=1083268478","1083268478")</f>
        <v>1083268478</v>
      </c>
      <c r="E32817" s="1" t="s">
        <v>30131</v>
      </c>
      <c r="F32817" s="2"/>
      <c r="G32817" s="2"/>
      <c r="H32817" s="2"/>
    </row>
    <row r="32818" spans="1:8" x14ac:dyDescent="0.25">
      <c r="A32818" s="1"/>
      <c r="B32818" s="1" t="s">
        <v>8410</v>
      </c>
      <c r="C32818" s="1" t="s">
        <v>8411</v>
      </c>
      <c r="D32818" s="1" t="str">
        <f>HYPERLINK("https://rhld.insurance.arkansas.gov/NPILookup?Npi=1083670749","1083670749")</f>
        <v>1083670749</v>
      </c>
      <c r="E32818" s="1" t="s">
        <v>30132</v>
      </c>
      <c r="F32818" s="2"/>
      <c r="G32818" s="2"/>
      <c r="H32818" s="2"/>
    </row>
    <row r="32819" spans="1:8" x14ac:dyDescent="0.25">
      <c r="A32819" s="1"/>
      <c r="B32819" s="1" t="s">
        <v>8410</v>
      </c>
      <c r="C32819" s="1" t="s">
        <v>8411</v>
      </c>
      <c r="D32819" s="1" t="str">
        <f>HYPERLINK("https://rhld.insurance.arkansas.gov/NPILookup?Npi=1093031940","1093031940")</f>
        <v>1093031940</v>
      </c>
      <c r="E32819" s="1" t="s">
        <v>30133</v>
      </c>
      <c r="F32819" s="2"/>
      <c r="G32819" s="2"/>
      <c r="H32819" s="2"/>
    </row>
    <row r="32820" spans="1:8" x14ac:dyDescent="0.25">
      <c r="A32820" s="1"/>
      <c r="B32820" s="1" t="s">
        <v>8410</v>
      </c>
      <c r="C32820" s="1" t="s">
        <v>8411</v>
      </c>
      <c r="D32820" s="1" t="str">
        <f>HYPERLINK("https://rhld.insurance.arkansas.gov/NPILookup?Npi=1104267434","1104267434")</f>
        <v>1104267434</v>
      </c>
      <c r="E32820" s="1" t="s">
        <v>7429</v>
      </c>
      <c r="F32820" s="2"/>
      <c r="G32820" s="2"/>
      <c r="H32820" s="2"/>
    </row>
    <row r="32821" spans="1:8" x14ac:dyDescent="0.25">
      <c r="A32821" s="1"/>
      <c r="B32821" s="1" t="s">
        <v>8410</v>
      </c>
      <c r="C32821" s="1" t="s">
        <v>8411</v>
      </c>
      <c r="D32821" s="1" t="str">
        <f>HYPERLINK("https://rhld.insurance.arkansas.gov/NPILookup?Npi=1104824366","1104824366")</f>
        <v>1104824366</v>
      </c>
      <c r="E32821" s="1" t="s">
        <v>30134</v>
      </c>
      <c r="F32821" s="2"/>
      <c r="G32821" s="2"/>
      <c r="H32821" s="2"/>
    </row>
    <row r="32822" spans="1:8" x14ac:dyDescent="0.25">
      <c r="A32822" s="1"/>
      <c r="B32822" s="1" t="s">
        <v>8410</v>
      </c>
      <c r="C32822" s="1" t="s">
        <v>8411</v>
      </c>
      <c r="D32822" s="1" t="str">
        <f>HYPERLINK("https://rhld.insurance.arkansas.gov/NPILookup?Npi=1134614852","1134614852")</f>
        <v>1134614852</v>
      </c>
      <c r="E32822" s="1" t="s">
        <v>4055</v>
      </c>
      <c r="F32822" s="2"/>
      <c r="G32822" s="2"/>
      <c r="H32822" s="2"/>
    </row>
    <row r="32823" spans="1:8" x14ac:dyDescent="0.25">
      <c r="A32823" s="1"/>
      <c r="B32823" s="1" t="s">
        <v>8410</v>
      </c>
      <c r="C32823" s="1" t="s">
        <v>8411</v>
      </c>
      <c r="D32823" s="1" t="str">
        <f>HYPERLINK("https://rhld.insurance.arkansas.gov/NPILookup?Npi=1154306603","1154306603")</f>
        <v>1154306603</v>
      </c>
      <c r="E32823" s="1" t="s">
        <v>32496</v>
      </c>
      <c r="F32823" s="2"/>
      <c r="G32823" s="2"/>
      <c r="H32823" s="2"/>
    </row>
    <row r="32824" spans="1:8" x14ac:dyDescent="0.25">
      <c r="A32824" s="1"/>
      <c r="B32824" s="1" t="s">
        <v>8410</v>
      </c>
      <c r="C32824" s="1" t="s">
        <v>8411</v>
      </c>
      <c r="D32824" s="1" t="str">
        <f>HYPERLINK("https://rhld.insurance.arkansas.gov/NPILookup?Npi=1154564086","1154564086")</f>
        <v>1154564086</v>
      </c>
      <c r="E32824" s="1" t="s">
        <v>701</v>
      </c>
      <c r="F32824" s="2"/>
      <c r="G32824" s="2"/>
      <c r="H32824" s="2"/>
    </row>
    <row r="32825" spans="1:8" x14ac:dyDescent="0.25">
      <c r="A32825" s="1"/>
      <c r="B32825" s="1" t="s">
        <v>8410</v>
      </c>
      <c r="C32825" s="1" t="s">
        <v>8411</v>
      </c>
      <c r="D32825" s="1" t="str">
        <f>HYPERLINK("https://rhld.insurance.arkansas.gov/NPILookup?Npi=1164482360","1164482360")</f>
        <v>1164482360</v>
      </c>
      <c r="E32825" s="1" t="s">
        <v>2295</v>
      </c>
      <c r="F32825" s="2"/>
      <c r="G32825" s="2"/>
      <c r="H32825" s="2"/>
    </row>
    <row r="32826" spans="1:8" x14ac:dyDescent="0.25">
      <c r="A32826" s="1"/>
      <c r="B32826" s="1" t="s">
        <v>8410</v>
      </c>
      <c r="C32826" s="1" t="s">
        <v>8411</v>
      </c>
      <c r="D32826" s="1" t="str">
        <f>HYPERLINK("https://rhld.insurance.arkansas.gov/NPILookup?Npi=1164789533","1164789533")</f>
        <v>1164789533</v>
      </c>
      <c r="E32826" s="1" t="s">
        <v>1281</v>
      </c>
      <c r="F32826" s="2"/>
      <c r="G32826" s="2"/>
      <c r="H32826" s="2"/>
    </row>
    <row r="32827" spans="1:8" x14ac:dyDescent="0.25">
      <c r="A32827" s="1"/>
      <c r="B32827" s="1" t="s">
        <v>8410</v>
      </c>
      <c r="C32827" s="1" t="s">
        <v>8411</v>
      </c>
      <c r="D32827" s="1" t="str">
        <f>HYPERLINK("https://rhld.insurance.arkansas.gov/NPILookup?Npi=1194145185","1194145185")</f>
        <v>1194145185</v>
      </c>
      <c r="E32827" s="1" t="s">
        <v>3578</v>
      </c>
      <c r="F32827" s="2"/>
      <c r="G32827" s="2"/>
      <c r="H32827" s="2"/>
    </row>
    <row r="32828" spans="1:8" x14ac:dyDescent="0.25">
      <c r="A32828" s="1"/>
      <c r="B32828" s="1" t="s">
        <v>8410</v>
      </c>
      <c r="C32828" s="1" t="s">
        <v>8411</v>
      </c>
      <c r="D32828" s="1" t="str">
        <f>HYPERLINK("https://rhld.insurance.arkansas.gov/NPILookup?Npi=1194921718","1194921718")</f>
        <v>1194921718</v>
      </c>
      <c r="E32828" s="1" t="s">
        <v>1164</v>
      </c>
      <c r="F32828" s="2"/>
      <c r="G32828" s="2"/>
      <c r="H32828" s="2"/>
    </row>
    <row r="32829" spans="1:8" x14ac:dyDescent="0.25">
      <c r="A32829" s="1"/>
      <c r="B32829" s="1" t="s">
        <v>8410</v>
      </c>
      <c r="C32829" s="1" t="s">
        <v>8411</v>
      </c>
      <c r="D32829" s="1" t="str">
        <f>HYPERLINK("https://rhld.insurance.arkansas.gov/NPILookup?Npi=1205065109","1205065109")</f>
        <v>1205065109</v>
      </c>
      <c r="E32829" s="1" t="s">
        <v>1564</v>
      </c>
      <c r="F32829" s="2"/>
      <c r="G32829" s="2"/>
      <c r="H32829" s="2"/>
    </row>
    <row r="32830" spans="1:8" x14ac:dyDescent="0.25">
      <c r="A32830" s="1"/>
      <c r="B32830" s="1" t="s">
        <v>8410</v>
      </c>
      <c r="C32830" s="1" t="s">
        <v>8411</v>
      </c>
      <c r="D32830" s="1" t="str">
        <f>HYPERLINK("https://rhld.insurance.arkansas.gov/NPILookup?Npi=1215987185","1215987185")</f>
        <v>1215987185</v>
      </c>
      <c r="E32830" s="1" t="s">
        <v>8413</v>
      </c>
      <c r="F32830" s="2"/>
      <c r="G32830" s="2"/>
      <c r="H32830" s="2"/>
    </row>
    <row r="32831" spans="1:8" x14ac:dyDescent="0.25">
      <c r="A32831" s="1"/>
      <c r="B32831" s="1" t="s">
        <v>8410</v>
      </c>
      <c r="C32831" s="1" t="s">
        <v>8411</v>
      </c>
      <c r="D32831" s="1" t="str">
        <f>HYPERLINK("https://rhld.insurance.arkansas.gov/NPILookup?Npi=1225214463","1225214463")</f>
        <v>1225214463</v>
      </c>
      <c r="E32831" s="1" t="s">
        <v>17322</v>
      </c>
      <c r="F32831" s="2"/>
      <c r="G32831" s="2"/>
      <c r="H32831" s="2"/>
    </row>
    <row r="32832" spans="1:8" x14ac:dyDescent="0.25">
      <c r="A32832" s="1"/>
      <c r="B32832" s="1" t="s">
        <v>8410</v>
      </c>
      <c r="C32832" s="1" t="s">
        <v>8411</v>
      </c>
      <c r="D32832" s="1" t="str">
        <f>HYPERLINK("https://rhld.insurance.arkansas.gov/NPILookup?Npi=1225341050","1225341050")</f>
        <v>1225341050</v>
      </c>
      <c r="E32832" s="1" t="s">
        <v>26103</v>
      </c>
      <c r="F32832" s="2"/>
      <c r="G32832" s="2"/>
      <c r="H32832" s="2"/>
    </row>
    <row r="32833" spans="1:8" x14ac:dyDescent="0.25">
      <c r="A32833" s="1"/>
      <c r="B32833" s="1" t="s">
        <v>8410</v>
      </c>
      <c r="C32833" s="1" t="s">
        <v>8411</v>
      </c>
      <c r="D32833" s="1" t="str">
        <f>HYPERLINK("https://rhld.insurance.arkansas.gov/NPILookup?Npi=1225432917","1225432917")</f>
        <v>1225432917</v>
      </c>
      <c r="E32833" s="1" t="s">
        <v>1632</v>
      </c>
      <c r="F32833" s="2"/>
      <c r="G32833" s="2"/>
      <c r="H32833" s="2"/>
    </row>
    <row r="32834" spans="1:8" x14ac:dyDescent="0.25">
      <c r="A32834" s="1"/>
      <c r="B32834" s="1" t="s">
        <v>8410</v>
      </c>
      <c r="C32834" s="1" t="s">
        <v>8411</v>
      </c>
      <c r="D32834" s="1" t="str">
        <f>HYPERLINK("https://rhld.insurance.arkansas.gov/NPILookup?Npi=1225486160","1225486160")</f>
        <v>1225486160</v>
      </c>
      <c r="E32834" s="1" t="s">
        <v>10613</v>
      </c>
      <c r="F32834" s="2"/>
      <c r="G32834" s="2"/>
      <c r="H32834" s="2"/>
    </row>
    <row r="32835" spans="1:8" x14ac:dyDescent="0.25">
      <c r="A32835" s="1"/>
      <c r="B32835" s="1" t="s">
        <v>8410</v>
      </c>
      <c r="C32835" s="1" t="s">
        <v>8411</v>
      </c>
      <c r="D32835" s="1" t="str">
        <f>HYPERLINK("https://rhld.insurance.arkansas.gov/NPILookup?Npi=1245405604","1245405604")</f>
        <v>1245405604</v>
      </c>
      <c r="E32835" s="1" t="s">
        <v>14037</v>
      </c>
      <c r="F32835" s="2"/>
      <c r="G32835" s="2"/>
      <c r="H32835" s="2"/>
    </row>
    <row r="32836" spans="1:8" x14ac:dyDescent="0.25">
      <c r="A32836" s="1"/>
      <c r="B32836" s="1" t="s">
        <v>8410</v>
      </c>
      <c r="C32836" s="1" t="s">
        <v>8411</v>
      </c>
      <c r="D32836" s="1" t="str">
        <f>HYPERLINK("https://rhld.insurance.arkansas.gov/NPILookup?Npi=1275734543","1275734543")</f>
        <v>1275734543</v>
      </c>
      <c r="E32836" s="1" t="s">
        <v>1165</v>
      </c>
      <c r="F32836" s="2"/>
      <c r="G32836" s="2"/>
      <c r="H32836" s="2"/>
    </row>
    <row r="32837" spans="1:8" x14ac:dyDescent="0.25">
      <c r="A32837" s="1"/>
      <c r="B32837" s="1" t="s">
        <v>8410</v>
      </c>
      <c r="C32837" s="1" t="s">
        <v>8411</v>
      </c>
      <c r="D32837" s="1" t="str">
        <f>HYPERLINK("https://rhld.insurance.arkansas.gov/NPILookup?Npi=1306847892","1306847892")</f>
        <v>1306847892</v>
      </c>
      <c r="E32837" s="1" t="s">
        <v>30135</v>
      </c>
      <c r="F32837" s="2"/>
      <c r="G32837" s="2"/>
      <c r="H32837" s="2"/>
    </row>
    <row r="32838" spans="1:8" x14ac:dyDescent="0.25">
      <c r="A32838" s="1"/>
      <c r="B32838" s="1" t="s">
        <v>8410</v>
      </c>
      <c r="C32838" s="1" t="s">
        <v>8411</v>
      </c>
      <c r="D32838" s="1" t="str">
        <f>HYPERLINK("https://rhld.insurance.arkansas.gov/NPILookup?Npi=1346307220","1346307220")</f>
        <v>1346307220</v>
      </c>
      <c r="E32838" s="1" t="s">
        <v>26639</v>
      </c>
      <c r="F32838" s="2"/>
      <c r="G32838" s="2"/>
      <c r="H32838" s="2"/>
    </row>
    <row r="32839" spans="1:8" x14ac:dyDescent="0.25">
      <c r="A32839" s="1"/>
      <c r="B32839" s="1" t="s">
        <v>8410</v>
      </c>
      <c r="C32839" s="1" t="s">
        <v>8411</v>
      </c>
      <c r="D32839" s="1" t="str">
        <f>HYPERLINK("https://rhld.insurance.arkansas.gov/NPILookup?Npi=1346330834","1346330834")</f>
        <v>1346330834</v>
      </c>
      <c r="E32839" s="1" t="s">
        <v>15668</v>
      </c>
      <c r="F32839" s="2"/>
      <c r="G32839" s="2"/>
      <c r="H32839" s="2"/>
    </row>
    <row r="32840" spans="1:8" x14ac:dyDescent="0.25">
      <c r="A32840" s="1"/>
      <c r="B32840" s="1" t="s">
        <v>8410</v>
      </c>
      <c r="C32840" s="1" t="s">
        <v>8411</v>
      </c>
      <c r="D32840" s="1" t="str">
        <f>HYPERLINK("https://rhld.insurance.arkansas.gov/NPILookup?Npi=1356899173","1356899173")</f>
        <v>1356899173</v>
      </c>
      <c r="E32840" s="1" t="s">
        <v>14038</v>
      </c>
      <c r="F32840" s="2"/>
      <c r="G32840" s="2"/>
      <c r="H32840" s="2"/>
    </row>
    <row r="32841" spans="1:8" x14ac:dyDescent="0.25">
      <c r="A32841" s="1"/>
      <c r="B32841" s="1" t="s">
        <v>8410</v>
      </c>
      <c r="C32841" s="1" t="s">
        <v>8411</v>
      </c>
      <c r="D32841" s="1" t="str">
        <f>HYPERLINK("https://rhld.insurance.arkansas.gov/NPILookup?Npi=1366628349","1366628349")</f>
        <v>1366628349</v>
      </c>
      <c r="E32841" s="1" t="s">
        <v>2296</v>
      </c>
      <c r="F32841" s="2"/>
      <c r="G32841" s="2"/>
      <c r="H32841" s="2"/>
    </row>
    <row r="32842" spans="1:8" x14ac:dyDescent="0.25">
      <c r="A32842" s="1"/>
      <c r="B32842" s="1" t="s">
        <v>8410</v>
      </c>
      <c r="C32842" s="1" t="s">
        <v>8411</v>
      </c>
      <c r="D32842" s="1" t="str">
        <f>HYPERLINK("https://rhld.insurance.arkansas.gov/NPILookup?Npi=1376571281","1376571281")</f>
        <v>1376571281</v>
      </c>
      <c r="E32842" s="1" t="s">
        <v>30136</v>
      </c>
      <c r="F32842" s="2"/>
      <c r="G32842" s="2"/>
      <c r="H32842" s="2"/>
    </row>
    <row r="32843" spans="1:8" x14ac:dyDescent="0.25">
      <c r="A32843" s="1"/>
      <c r="B32843" s="1" t="s">
        <v>8410</v>
      </c>
      <c r="C32843" s="1" t="s">
        <v>8411</v>
      </c>
      <c r="D32843" s="1" t="str">
        <f>HYPERLINK("https://rhld.insurance.arkansas.gov/NPILookup?Npi=1386696680","1386696680")</f>
        <v>1386696680</v>
      </c>
      <c r="E32843" s="1" t="s">
        <v>8414</v>
      </c>
      <c r="F32843" s="2"/>
      <c r="G32843" s="2"/>
      <c r="H32843" s="2"/>
    </row>
    <row r="32844" spans="1:8" x14ac:dyDescent="0.25">
      <c r="A32844" s="1"/>
      <c r="B32844" s="1" t="s">
        <v>8410</v>
      </c>
      <c r="C32844" s="1" t="s">
        <v>8411</v>
      </c>
      <c r="D32844" s="1" t="str">
        <f>HYPERLINK("https://rhld.insurance.arkansas.gov/NPILookup?Npi=1386868545","1386868545")</f>
        <v>1386868545</v>
      </c>
      <c r="E32844" s="1" t="s">
        <v>13056</v>
      </c>
      <c r="F32844" s="2"/>
      <c r="G32844" s="2"/>
      <c r="H32844" s="2"/>
    </row>
    <row r="32845" spans="1:8" x14ac:dyDescent="0.25">
      <c r="A32845" s="1"/>
      <c r="B32845" s="1" t="s">
        <v>8410</v>
      </c>
      <c r="C32845" s="1" t="s">
        <v>8411</v>
      </c>
      <c r="D32845" s="1" t="str">
        <f>HYPERLINK("https://rhld.insurance.arkansas.gov/NPILookup?Npi=1417454620","1417454620")</f>
        <v>1417454620</v>
      </c>
      <c r="E32845" s="1" t="s">
        <v>13085</v>
      </c>
      <c r="F32845" s="2"/>
      <c r="G32845" s="2"/>
      <c r="H32845" s="2"/>
    </row>
    <row r="32846" spans="1:8" x14ac:dyDescent="0.25">
      <c r="A32846" s="1"/>
      <c r="B32846" s="1" t="s">
        <v>8410</v>
      </c>
      <c r="C32846" s="1" t="s">
        <v>8411</v>
      </c>
      <c r="D32846" s="1" t="str">
        <f>HYPERLINK("https://rhld.insurance.arkansas.gov/NPILookup?Npi=1417985714","1417985714")</f>
        <v>1417985714</v>
      </c>
      <c r="E32846" s="1" t="s">
        <v>30137</v>
      </c>
      <c r="F32846" s="2"/>
      <c r="G32846" s="2"/>
      <c r="H32846" s="2"/>
    </row>
    <row r="32847" spans="1:8" x14ac:dyDescent="0.25">
      <c r="A32847" s="1"/>
      <c r="B32847" s="1" t="s">
        <v>8410</v>
      </c>
      <c r="C32847" s="1" t="s">
        <v>8411</v>
      </c>
      <c r="D32847" s="1" t="str">
        <f>HYPERLINK("https://rhld.insurance.arkansas.gov/NPILookup?Npi=1427312552","1427312552")</f>
        <v>1427312552</v>
      </c>
      <c r="E32847" s="1" t="s">
        <v>3579</v>
      </c>
      <c r="F32847" s="2"/>
      <c r="G32847" s="2"/>
      <c r="H32847" s="2"/>
    </row>
    <row r="32848" spans="1:8" x14ac:dyDescent="0.25">
      <c r="A32848" s="1"/>
      <c r="B32848" s="1" t="s">
        <v>8410</v>
      </c>
      <c r="C32848" s="1" t="s">
        <v>8411</v>
      </c>
      <c r="D32848" s="1" t="str">
        <f>HYPERLINK("https://rhld.insurance.arkansas.gov/NPILookup?Npi=1437141322","1437141322")</f>
        <v>1437141322</v>
      </c>
      <c r="E32848" s="1" t="s">
        <v>30138</v>
      </c>
      <c r="F32848" s="2"/>
      <c r="G32848" s="2"/>
      <c r="H32848" s="2"/>
    </row>
    <row r="32849" spans="1:8" x14ac:dyDescent="0.25">
      <c r="A32849" s="1"/>
      <c r="B32849" s="1" t="s">
        <v>8410</v>
      </c>
      <c r="C32849" s="1" t="s">
        <v>8411</v>
      </c>
      <c r="D32849" s="1" t="str">
        <f>HYPERLINK("https://rhld.insurance.arkansas.gov/NPILookup?Npi=1437350816","1437350816")</f>
        <v>1437350816</v>
      </c>
      <c r="E32849" s="1" t="s">
        <v>3580</v>
      </c>
      <c r="F32849" s="2"/>
      <c r="G32849" s="2"/>
      <c r="H32849" s="2"/>
    </row>
    <row r="32850" spans="1:8" x14ac:dyDescent="0.25">
      <c r="A32850" s="1"/>
      <c r="B32850" s="1" t="s">
        <v>8410</v>
      </c>
      <c r="C32850" s="1" t="s">
        <v>8411</v>
      </c>
      <c r="D32850" s="1" t="str">
        <f>HYPERLINK("https://rhld.insurance.arkansas.gov/NPILookup?Npi=1437461290","1437461290")</f>
        <v>1437461290</v>
      </c>
      <c r="E32850" s="1" t="s">
        <v>8415</v>
      </c>
      <c r="F32850" s="2"/>
      <c r="G32850" s="2"/>
      <c r="H32850" s="2"/>
    </row>
    <row r="32851" spans="1:8" x14ac:dyDescent="0.25">
      <c r="A32851" s="1"/>
      <c r="B32851" s="1" t="s">
        <v>8410</v>
      </c>
      <c r="C32851" s="1" t="s">
        <v>8411</v>
      </c>
      <c r="D32851" s="1" t="str">
        <f>HYPERLINK("https://rhld.insurance.arkansas.gov/NPILookup?Npi=1447222880","1447222880")</f>
        <v>1447222880</v>
      </c>
      <c r="E32851" s="1" t="s">
        <v>9769</v>
      </c>
      <c r="F32851" s="2"/>
      <c r="G32851" s="2"/>
      <c r="H32851" s="2"/>
    </row>
    <row r="32852" spans="1:8" x14ac:dyDescent="0.25">
      <c r="A32852" s="1"/>
      <c r="B32852" s="1" t="s">
        <v>8410</v>
      </c>
      <c r="C32852" s="1" t="s">
        <v>8411</v>
      </c>
      <c r="D32852" s="1" t="str">
        <f>HYPERLINK("https://rhld.insurance.arkansas.gov/NPILookup?Npi=1447228663","1447228663")</f>
        <v>1447228663</v>
      </c>
      <c r="E32852" s="1" t="s">
        <v>30139</v>
      </c>
      <c r="F32852" s="2"/>
      <c r="G32852" s="2"/>
      <c r="H32852" s="2"/>
    </row>
    <row r="32853" spans="1:8" x14ac:dyDescent="0.25">
      <c r="A32853" s="1"/>
      <c r="B32853" s="1" t="s">
        <v>8410</v>
      </c>
      <c r="C32853" s="1" t="s">
        <v>8411</v>
      </c>
      <c r="D32853" s="1" t="str">
        <f>HYPERLINK("https://rhld.insurance.arkansas.gov/NPILookup?Npi=1447240080","1447240080")</f>
        <v>1447240080</v>
      </c>
      <c r="E32853" s="1" t="s">
        <v>10314</v>
      </c>
      <c r="F32853" s="2"/>
      <c r="G32853" s="2"/>
      <c r="H32853" s="2"/>
    </row>
    <row r="32854" spans="1:8" x14ac:dyDescent="0.25">
      <c r="A32854" s="1"/>
      <c r="B32854" s="1" t="s">
        <v>8410</v>
      </c>
      <c r="C32854" s="1" t="s">
        <v>8411</v>
      </c>
      <c r="D32854" s="1" t="str">
        <f>HYPERLINK("https://rhld.insurance.arkansas.gov/NPILookup?Npi=1447583406","1447583406")</f>
        <v>1447583406</v>
      </c>
      <c r="E32854" s="1" t="s">
        <v>27119</v>
      </c>
      <c r="F32854" s="2"/>
      <c r="G32854" s="2"/>
      <c r="H32854" s="2"/>
    </row>
    <row r="32855" spans="1:8" x14ac:dyDescent="0.25">
      <c r="A32855" s="1"/>
      <c r="B32855" s="1" t="s">
        <v>8410</v>
      </c>
      <c r="C32855" s="1" t="s">
        <v>8411</v>
      </c>
      <c r="D32855" s="1" t="str">
        <f>HYPERLINK("https://rhld.insurance.arkansas.gov/NPILookup?Npi=1497783757","1497783757")</f>
        <v>1497783757</v>
      </c>
      <c r="E32855" s="1" t="s">
        <v>30140</v>
      </c>
      <c r="F32855" s="2"/>
      <c r="G32855" s="2"/>
      <c r="H32855" s="2"/>
    </row>
    <row r="32856" spans="1:8" x14ac:dyDescent="0.25">
      <c r="A32856" s="1"/>
      <c r="B32856" s="1" t="s">
        <v>8410</v>
      </c>
      <c r="C32856" s="1" t="s">
        <v>8411</v>
      </c>
      <c r="D32856" s="1" t="str">
        <f>HYPERLINK("https://rhld.insurance.arkansas.gov/NPILookup?Npi=1497790562","1497790562")</f>
        <v>1497790562</v>
      </c>
      <c r="E32856" s="1" t="s">
        <v>30141</v>
      </c>
      <c r="F32856" s="2"/>
      <c r="G32856" s="2"/>
      <c r="H32856" s="2"/>
    </row>
    <row r="32857" spans="1:8" x14ac:dyDescent="0.25">
      <c r="A32857" s="1"/>
      <c r="B32857" s="1" t="s">
        <v>8410</v>
      </c>
      <c r="C32857" s="1" t="s">
        <v>8411</v>
      </c>
      <c r="D32857" s="1" t="str">
        <f>HYPERLINK("https://rhld.insurance.arkansas.gov/NPILookup?Npi=1528091071","1528091071")</f>
        <v>1528091071</v>
      </c>
      <c r="E32857" s="1" t="s">
        <v>14039</v>
      </c>
      <c r="F32857" s="2"/>
      <c r="G32857" s="2"/>
      <c r="H32857" s="2"/>
    </row>
    <row r="32858" spans="1:8" x14ac:dyDescent="0.25">
      <c r="A32858" s="1"/>
      <c r="B32858" s="1" t="s">
        <v>8410</v>
      </c>
      <c r="C32858" s="1" t="s">
        <v>8411</v>
      </c>
      <c r="D32858" s="1" t="str">
        <f>HYPERLINK("https://rhld.insurance.arkansas.gov/NPILookup?Npi=1558321612","1558321612")</f>
        <v>1558321612</v>
      </c>
      <c r="E32858" s="1" t="s">
        <v>17644</v>
      </c>
      <c r="F32858" s="2"/>
      <c r="G32858" s="2"/>
      <c r="H32858" s="2"/>
    </row>
    <row r="32859" spans="1:8" x14ac:dyDescent="0.25">
      <c r="A32859" s="1"/>
      <c r="B32859" s="1" t="s">
        <v>8410</v>
      </c>
      <c r="C32859" s="1" t="s">
        <v>8411</v>
      </c>
      <c r="D32859" s="1" t="str">
        <f>HYPERLINK("https://rhld.insurance.arkansas.gov/NPILookup?Npi=1558767806","1558767806")</f>
        <v>1558767806</v>
      </c>
      <c r="E32859" s="1" t="s">
        <v>30142</v>
      </c>
      <c r="F32859" s="2"/>
      <c r="G32859" s="2"/>
      <c r="H32859" s="2"/>
    </row>
    <row r="32860" spans="1:8" x14ac:dyDescent="0.25">
      <c r="A32860" s="1"/>
      <c r="B32860" s="1" t="s">
        <v>8410</v>
      </c>
      <c r="C32860" s="1" t="s">
        <v>8411</v>
      </c>
      <c r="D32860" s="1" t="str">
        <f>HYPERLINK("https://rhld.insurance.arkansas.gov/NPILookup?Npi=1568484566","1568484566")</f>
        <v>1568484566</v>
      </c>
      <c r="E32860" s="1" t="s">
        <v>13923</v>
      </c>
      <c r="F32860" s="2"/>
      <c r="G32860" s="2"/>
      <c r="H32860" s="2"/>
    </row>
    <row r="32861" spans="1:8" x14ac:dyDescent="0.25">
      <c r="A32861" s="1"/>
      <c r="B32861" s="1" t="s">
        <v>8410</v>
      </c>
      <c r="C32861" s="1" t="s">
        <v>8411</v>
      </c>
      <c r="D32861" s="1" t="str">
        <f>HYPERLINK("https://rhld.insurance.arkansas.gov/NPILookup?Npi=1568686723","1568686723")</f>
        <v>1568686723</v>
      </c>
      <c r="E32861" s="1" t="s">
        <v>30143</v>
      </c>
      <c r="F32861" s="2"/>
      <c r="G32861" s="2"/>
      <c r="H32861" s="2"/>
    </row>
    <row r="32862" spans="1:8" x14ac:dyDescent="0.25">
      <c r="A32862" s="1"/>
      <c r="B32862" s="1" t="s">
        <v>8410</v>
      </c>
      <c r="C32862" s="1" t="s">
        <v>8411</v>
      </c>
      <c r="D32862" s="1" t="str">
        <f>HYPERLINK("https://rhld.insurance.arkansas.gov/NPILookup?Npi=1598977704","1598977704")</f>
        <v>1598977704</v>
      </c>
      <c r="E32862" s="1" t="s">
        <v>8416</v>
      </c>
      <c r="F32862" s="2"/>
      <c r="G32862" s="2"/>
      <c r="H32862" s="2"/>
    </row>
    <row r="32863" spans="1:8" x14ac:dyDescent="0.25">
      <c r="A32863" s="1"/>
      <c r="B32863" s="1" t="s">
        <v>8410</v>
      </c>
      <c r="C32863" s="1" t="s">
        <v>8411</v>
      </c>
      <c r="D32863" s="1" t="str">
        <f>HYPERLINK("https://rhld.insurance.arkansas.gov/NPILookup?Npi=1609031558","1609031558")</f>
        <v>1609031558</v>
      </c>
      <c r="E32863" s="1" t="s">
        <v>15684</v>
      </c>
      <c r="F32863" s="2"/>
      <c r="G32863" s="2"/>
      <c r="H32863" s="2"/>
    </row>
    <row r="32864" spans="1:8" x14ac:dyDescent="0.25">
      <c r="A32864" s="1"/>
      <c r="B32864" s="1" t="s">
        <v>8410</v>
      </c>
      <c r="C32864" s="1" t="s">
        <v>8411</v>
      </c>
      <c r="D32864" s="1" t="str">
        <f>HYPERLINK("https://rhld.insurance.arkansas.gov/NPILookup?Npi=1629037338","1629037338")</f>
        <v>1629037338</v>
      </c>
      <c r="E32864" s="1" t="s">
        <v>30144</v>
      </c>
      <c r="F32864" s="2"/>
      <c r="G32864" s="2"/>
      <c r="H32864" s="2"/>
    </row>
    <row r="32865" spans="1:8" x14ac:dyDescent="0.25">
      <c r="A32865" s="1"/>
      <c r="B32865" s="1" t="s">
        <v>8410</v>
      </c>
      <c r="C32865" s="1" t="s">
        <v>8411</v>
      </c>
      <c r="D32865" s="1" t="str">
        <f>HYPERLINK("https://rhld.insurance.arkansas.gov/NPILookup?Npi=1629065685","1629065685")</f>
        <v>1629065685</v>
      </c>
      <c r="E32865" s="1" t="s">
        <v>30145</v>
      </c>
      <c r="F32865" s="2"/>
      <c r="G32865" s="2"/>
      <c r="H32865" s="2"/>
    </row>
    <row r="32866" spans="1:8" x14ac:dyDescent="0.25">
      <c r="A32866" s="1"/>
      <c r="B32866" s="1" t="s">
        <v>8410</v>
      </c>
      <c r="C32866" s="1" t="s">
        <v>8411</v>
      </c>
      <c r="D32866" s="1" t="str">
        <f>HYPERLINK("https://rhld.insurance.arkansas.gov/NPILookup?Npi=1639399769","1639399769")</f>
        <v>1639399769</v>
      </c>
      <c r="E32866" s="1" t="s">
        <v>14040</v>
      </c>
      <c r="F32866" s="2"/>
      <c r="G32866" s="2"/>
      <c r="H32866" s="2"/>
    </row>
    <row r="32867" spans="1:8" x14ac:dyDescent="0.25">
      <c r="A32867" s="1"/>
      <c r="B32867" s="1" t="s">
        <v>8410</v>
      </c>
      <c r="C32867" s="1" t="s">
        <v>8411</v>
      </c>
      <c r="D32867" s="1" t="str">
        <f>HYPERLINK("https://rhld.insurance.arkansas.gov/NPILookup?Npi=1639604887","1639604887")</f>
        <v>1639604887</v>
      </c>
      <c r="E32867" s="1" t="s">
        <v>8417</v>
      </c>
      <c r="F32867" s="2"/>
      <c r="G32867" s="2"/>
      <c r="H32867" s="2"/>
    </row>
    <row r="32868" spans="1:8" x14ac:dyDescent="0.25">
      <c r="A32868" s="1"/>
      <c r="B32868" s="1" t="s">
        <v>8410</v>
      </c>
      <c r="C32868" s="1" t="s">
        <v>8411</v>
      </c>
      <c r="D32868" s="1" t="str">
        <f>HYPERLINK("https://rhld.insurance.arkansas.gov/NPILookup?Npi=1649551870","1649551870")</f>
        <v>1649551870</v>
      </c>
      <c r="E32868" s="1" t="s">
        <v>30146</v>
      </c>
      <c r="F32868" s="2"/>
      <c r="G32868" s="2"/>
      <c r="H32868" s="2"/>
    </row>
    <row r="32869" spans="1:8" x14ac:dyDescent="0.25">
      <c r="A32869" s="1"/>
      <c r="B32869" s="1" t="s">
        <v>8410</v>
      </c>
      <c r="C32869" s="1" t="s">
        <v>8411</v>
      </c>
      <c r="D32869" s="1" t="str">
        <f>HYPERLINK("https://rhld.insurance.arkansas.gov/NPILookup?Npi=1669416046","1669416046")</f>
        <v>1669416046</v>
      </c>
      <c r="E32869" s="1" t="s">
        <v>28061</v>
      </c>
      <c r="F32869" s="2"/>
      <c r="G32869" s="2"/>
      <c r="H32869" s="2"/>
    </row>
    <row r="32870" spans="1:8" x14ac:dyDescent="0.25">
      <c r="A32870" s="1"/>
      <c r="B32870" s="1" t="s">
        <v>8410</v>
      </c>
      <c r="C32870" s="1" t="s">
        <v>8411</v>
      </c>
      <c r="D32870" s="1" t="str">
        <f>HYPERLINK("https://rhld.insurance.arkansas.gov/NPILookup?Npi=1669968657","1669968657")</f>
        <v>1669968657</v>
      </c>
      <c r="E32870" s="1" t="s">
        <v>30147</v>
      </c>
      <c r="F32870" s="2"/>
      <c r="G32870" s="2"/>
      <c r="H32870" s="2"/>
    </row>
    <row r="32871" spans="1:8" x14ac:dyDescent="0.25">
      <c r="A32871" s="1"/>
      <c r="B32871" s="1" t="s">
        <v>8410</v>
      </c>
      <c r="C32871" s="1" t="s">
        <v>8411</v>
      </c>
      <c r="D32871" s="1" t="str">
        <f>HYPERLINK("https://rhld.insurance.arkansas.gov/NPILookup?Npi=1679861702","1679861702")</f>
        <v>1679861702</v>
      </c>
      <c r="E32871" s="1" t="s">
        <v>14041</v>
      </c>
      <c r="F32871" s="2"/>
      <c r="G32871" s="2"/>
      <c r="H32871" s="2"/>
    </row>
    <row r="32872" spans="1:8" x14ac:dyDescent="0.25">
      <c r="A32872" s="1"/>
      <c r="B32872" s="1" t="s">
        <v>8410</v>
      </c>
      <c r="C32872" s="1" t="s">
        <v>8411</v>
      </c>
      <c r="D32872" s="1" t="str">
        <f>HYPERLINK("https://rhld.insurance.arkansas.gov/NPILookup?Npi=1689605784","1689605784")</f>
        <v>1689605784</v>
      </c>
      <c r="E32872" s="1" t="s">
        <v>32497</v>
      </c>
      <c r="F32872" s="2"/>
      <c r="G32872" s="2"/>
      <c r="H32872" s="2"/>
    </row>
    <row r="32873" spans="1:8" x14ac:dyDescent="0.25">
      <c r="A32873" s="1"/>
      <c r="B32873" s="1" t="s">
        <v>8410</v>
      </c>
      <c r="C32873" s="1" t="s">
        <v>8411</v>
      </c>
      <c r="D32873" s="1" t="str">
        <f>HYPERLINK("https://rhld.insurance.arkansas.gov/NPILookup?Npi=1689659674","1689659674")</f>
        <v>1689659674</v>
      </c>
      <c r="E32873" s="1" t="s">
        <v>28177</v>
      </c>
      <c r="F32873" s="2"/>
      <c r="G32873" s="2"/>
      <c r="H32873" s="2"/>
    </row>
    <row r="32874" spans="1:8" x14ac:dyDescent="0.25">
      <c r="A32874" s="1"/>
      <c r="B32874" s="1" t="s">
        <v>8410</v>
      </c>
      <c r="C32874" s="1" t="s">
        <v>8411</v>
      </c>
      <c r="D32874" s="1" t="str">
        <f>HYPERLINK("https://rhld.insurance.arkansas.gov/NPILookup?Npi=1699781450","1699781450")</f>
        <v>1699781450</v>
      </c>
      <c r="E32874" s="1" t="s">
        <v>30148</v>
      </c>
      <c r="F32874" s="2"/>
      <c r="G32874" s="2"/>
      <c r="H32874" s="2"/>
    </row>
    <row r="32875" spans="1:8" x14ac:dyDescent="0.25">
      <c r="A32875" s="1"/>
      <c r="B32875" s="1" t="s">
        <v>8410</v>
      </c>
      <c r="C32875" s="1" t="s">
        <v>8411</v>
      </c>
      <c r="D32875" s="1" t="str">
        <f>HYPERLINK("https://rhld.insurance.arkansas.gov/NPILookup?Npi=1700089521","1700089521")</f>
        <v>1700089521</v>
      </c>
      <c r="E32875" s="1" t="s">
        <v>14042</v>
      </c>
      <c r="F32875" s="2"/>
      <c r="G32875" s="2"/>
      <c r="H32875" s="2"/>
    </row>
    <row r="32876" spans="1:8" x14ac:dyDescent="0.25">
      <c r="A32876" s="1"/>
      <c r="B32876" s="1" t="s">
        <v>8410</v>
      </c>
      <c r="C32876" s="1" t="s">
        <v>8411</v>
      </c>
      <c r="D32876" s="1" t="str">
        <f>HYPERLINK("https://rhld.insurance.arkansas.gov/NPILookup?Npi=1710909098","1710909098")</f>
        <v>1710909098</v>
      </c>
      <c r="E32876" s="1" t="s">
        <v>14043</v>
      </c>
      <c r="F32876" s="2"/>
      <c r="G32876" s="2"/>
      <c r="H32876" s="2"/>
    </row>
    <row r="32877" spans="1:8" x14ac:dyDescent="0.25">
      <c r="A32877" s="1"/>
      <c r="B32877" s="1" t="s">
        <v>8410</v>
      </c>
      <c r="C32877" s="1" t="s">
        <v>8411</v>
      </c>
      <c r="D32877" s="1" t="str">
        <f>HYPERLINK("https://rhld.insurance.arkansas.gov/NPILookup?Npi=1710978168","1710978168")</f>
        <v>1710978168</v>
      </c>
      <c r="E32877" s="1" t="s">
        <v>14044</v>
      </c>
      <c r="F32877" s="2"/>
      <c r="G32877" s="2"/>
      <c r="H32877" s="2"/>
    </row>
    <row r="32878" spans="1:8" x14ac:dyDescent="0.25">
      <c r="A32878" s="1"/>
      <c r="B32878" s="1" t="s">
        <v>8410</v>
      </c>
      <c r="C32878" s="1" t="s">
        <v>8411</v>
      </c>
      <c r="D32878" s="1" t="str">
        <f>HYPERLINK("https://rhld.insurance.arkansas.gov/NPILookup?Npi=1730143926","1730143926")</f>
        <v>1730143926</v>
      </c>
      <c r="E32878" s="1" t="s">
        <v>30149</v>
      </c>
      <c r="F32878" s="2"/>
      <c r="G32878" s="2"/>
      <c r="H32878" s="2"/>
    </row>
    <row r="32879" spans="1:8" x14ac:dyDescent="0.25">
      <c r="A32879" s="1"/>
      <c r="B32879" s="1" t="s">
        <v>8410</v>
      </c>
      <c r="C32879" s="1" t="s">
        <v>8411</v>
      </c>
      <c r="D32879" s="1" t="str">
        <f>HYPERLINK("https://rhld.insurance.arkansas.gov/NPILookup?Npi=1750520300","1750520300")</f>
        <v>1750520300</v>
      </c>
      <c r="E32879" s="1" t="s">
        <v>30150</v>
      </c>
      <c r="F32879" s="2"/>
      <c r="G32879" s="2"/>
      <c r="H32879" s="2"/>
    </row>
    <row r="32880" spans="1:8" x14ac:dyDescent="0.25">
      <c r="A32880" s="1"/>
      <c r="B32880" s="1" t="s">
        <v>8410</v>
      </c>
      <c r="C32880" s="1" t="s">
        <v>8411</v>
      </c>
      <c r="D32880" s="1" t="str">
        <f>HYPERLINK("https://rhld.insurance.arkansas.gov/NPILookup?Npi=1750764114","1750764114")</f>
        <v>1750764114</v>
      </c>
      <c r="E32880" s="1" t="s">
        <v>30151</v>
      </c>
      <c r="F32880" s="2"/>
      <c r="G32880" s="2"/>
      <c r="H32880" s="2"/>
    </row>
    <row r="32881" spans="1:8" x14ac:dyDescent="0.25">
      <c r="A32881" s="1"/>
      <c r="B32881" s="1" t="s">
        <v>8410</v>
      </c>
      <c r="C32881" s="1" t="s">
        <v>8411</v>
      </c>
      <c r="D32881" s="1" t="str">
        <f>HYPERLINK("https://rhld.insurance.arkansas.gov/NPILookup?Npi=1760695944","1760695944")</f>
        <v>1760695944</v>
      </c>
      <c r="E32881" s="1" t="s">
        <v>30152</v>
      </c>
      <c r="F32881" s="2"/>
      <c r="G32881" s="2"/>
      <c r="H32881" s="2"/>
    </row>
    <row r="32882" spans="1:8" x14ac:dyDescent="0.25">
      <c r="A32882" s="1"/>
      <c r="B32882" s="1" t="s">
        <v>8410</v>
      </c>
      <c r="C32882" s="1" t="s">
        <v>8411</v>
      </c>
      <c r="D32882" s="1" t="str">
        <f>HYPERLINK("https://rhld.insurance.arkansas.gov/NPILookup?Npi=1780735571","1780735571")</f>
        <v>1780735571</v>
      </c>
      <c r="E32882" s="1" t="s">
        <v>30153</v>
      </c>
      <c r="F32882" s="2"/>
      <c r="G32882" s="2"/>
      <c r="H32882" s="2"/>
    </row>
    <row r="32883" spans="1:8" x14ac:dyDescent="0.25">
      <c r="A32883" s="1"/>
      <c r="B32883" s="1" t="s">
        <v>8410</v>
      </c>
      <c r="C32883" s="1" t="s">
        <v>8411</v>
      </c>
      <c r="D32883" s="1" t="str">
        <f>HYPERLINK("https://rhld.insurance.arkansas.gov/NPILookup?Npi=1780792689","1780792689")</f>
        <v>1780792689</v>
      </c>
      <c r="E32883" s="1" t="s">
        <v>3581</v>
      </c>
      <c r="F32883" s="2"/>
      <c r="G32883" s="2"/>
      <c r="H32883" s="2"/>
    </row>
    <row r="32884" spans="1:8" x14ac:dyDescent="0.25">
      <c r="A32884" s="1"/>
      <c r="B32884" s="1" t="s">
        <v>8410</v>
      </c>
      <c r="C32884" s="1" t="s">
        <v>8411</v>
      </c>
      <c r="D32884" s="1" t="str">
        <f>HYPERLINK("https://rhld.insurance.arkansas.gov/NPILookup?Npi=1780927855","1780927855")</f>
        <v>1780927855</v>
      </c>
      <c r="E32884" s="1" t="s">
        <v>5567</v>
      </c>
      <c r="F32884" s="2"/>
      <c r="G32884" s="2"/>
      <c r="H32884" s="2"/>
    </row>
    <row r="32885" spans="1:8" x14ac:dyDescent="0.25">
      <c r="A32885" s="1"/>
      <c r="B32885" s="1" t="s">
        <v>8410</v>
      </c>
      <c r="C32885" s="1" t="s">
        <v>8411</v>
      </c>
      <c r="D32885" s="1" t="str">
        <f>HYPERLINK("https://rhld.insurance.arkansas.gov/NPILookup?Npi=1821203233","1821203233")</f>
        <v>1821203233</v>
      </c>
      <c r="E32885" s="1" t="s">
        <v>30154</v>
      </c>
      <c r="F32885" s="2"/>
      <c r="G32885" s="2"/>
      <c r="H32885" s="2"/>
    </row>
    <row r="32886" spans="1:8" x14ac:dyDescent="0.25">
      <c r="A32886" s="1"/>
      <c r="B32886" s="1" t="s">
        <v>8410</v>
      </c>
      <c r="C32886" s="1" t="s">
        <v>8411</v>
      </c>
      <c r="D32886" s="1" t="str">
        <f>HYPERLINK("https://rhld.insurance.arkansas.gov/NPILookup?Npi=1821282369","1821282369")</f>
        <v>1821282369</v>
      </c>
      <c r="E32886" s="1" t="s">
        <v>30155</v>
      </c>
      <c r="F32886" s="2"/>
      <c r="G32886" s="2"/>
      <c r="H32886" s="2"/>
    </row>
    <row r="32887" spans="1:8" x14ac:dyDescent="0.25">
      <c r="A32887" s="1"/>
      <c r="B32887" s="1" t="s">
        <v>8410</v>
      </c>
      <c r="C32887" s="1" t="s">
        <v>8411</v>
      </c>
      <c r="D32887" s="1" t="str">
        <f>HYPERLINK("https://rhld.insurance.arkansas.gov/NPILookup?Npi=1851496194","1851496194")</f>
        <v>1851496194</v>
      </c>
      <c r="E32887" s="1" t="s">
        <v>3511</v>
      </c>
      <c r="F32887" s="2"/>
      <c r="G32887" s="2"/>
      <c r="H32887" s="2"/>
    </row>
    <row r="32888" spans="1:8" x14ac:dyDescent="0.25">
      <c r="A32888" s="1"/>
      <c r="B32888" s="1" t="s">
        <v>8410</v>
      </c>
      <c r="C32888" s="1" t="s">
        <v>8411</v>
      </c>
      <c r="D32888" s="1" t="str">
        <f>HYPERLINK("https://rhld.insurance.arkansas.gov/NPILookup?Npi=1851663462","1851663462")</f>
        <v>1851663462</v>
      </c>
      <c r="E32888" s="1" t="s">
        <v>30156</v>
      </c>
      <c r="F32888" s="2"/>
      <c r="G32888" s="2"/>
      <c r="H32888" s="2"/>
    </row>
    <row r="32889" spans="1:8" x14ac:dyDescent="0.25">
      <c r="A32889" s="1"/>
      <c r="B32889" s="1" t="s">
        <v>8410</v>
      </c>
      <c r="C32889" s="1" t="s">
        <v>8411</v>
      </c>
      <c r="D32889" s="1" t="str">
        <f>HYPERLINK("https://rhld.insurance.arkansas.gov/NPILookup?Npi=1851820005","1851820005")</f>
        <v>1851820005</v>
      </c>
      <c r="E32889" s="1" t="s">
        <v>30157</v>
      </c>
      <c r="F32889" s="2"/>
      <c r="G32889" s="2"/>
      <c r="H32889" s="2"/>
    </row>
    <row r="32890" spans="1:8" x14ac:dyDescent="0.25">
      <c r="A32890" s="1"/>
      <c r="B32890" s="1" t="s">
        <v>8410</v>
      </c>
      <c r="C32890" s="1" t="s">
        <v>8411</v>
      </c>
      <c r="D32890" s="1" t="str">
        <f>HYPERLINK("https://rhld.insurance.arkansas.gov/NPILookup?Npi=1861421687","1861421687")</f>
        <v>1861421687</v>
      </c>
      <c r="E32890" s="1" t="s">
        <v>30158</v>
      </c>
      <c r="F32890" s="2"/>
      <c r="G32890" s="2"/>
      <c r="H32890" s="2"/>
    </row>
    <row r="32891" spans="1:8" x14ac:dyDescent="0.25">
      <c r="A32891" s="1"/>
      <c r="B32891" s="1" t="s">
        <v>8410</v>
      </c>
      <c r="C32891" s="1" t="s">
        <v>8411</v>
      </c>
      <c r="D32891" s="1" t="str">
        <f>HYPERLINK("https://rhld.insurance.arkansas.gov/NPILookup?Npi=1871881284","1871881284")</f>
        <v>1871881284</v>
      </c>
      <c r="E32891" s="1" t="s">
        <v>30159</v>
      </c>
      <c r="F32891" s="2"/>
      <c r="G32891" s="2"/>
      <c r="H32891" s="2"/>
    </row>
    <row r="32892" spans="1:8" x14ac:dyDescent="0.25">
      <c r="A32892" s="1"/>
      <c r="B32892" s="1" t="s">
        <v>8410</v>
      </c>
      <c r="C32892" s="1" t="s">
        <v>8411</v>
      </c>
      <c r="D32892" s="1" t="str">
        <f>HYPERLINK("https://rhld.insurance.arkansas.gov/NPILookup?Npi=1942389440","1942389440")</f>
        <v>1942389440</v>
      </c>
      <c r="E32892" s="1" t="s">
        <v>30160</v>
      </c>
      <c r="F32892" s="2"/>
      <c r="G32892" s="2"/>
      <c r="H32892" s="2"/>
    </row>
    <row r="32893" spans="1:8" x14ac:dyDescent="0.25">
      <c r="A32893" s="1"/>
      <c r="B32893" s="1" t="s">
        <v>8410</v>
      </c>
      <c r="C32893" s="1" t="s">
        <v>8411</v>
      </c>
      <c r="D32893" s="1" t="str">
        <f>HYPERLINK("https://rhld.insurance.arkansas.gov/NPILookup?Npi=1942615240","1942615240")</f>
        <v>1942615240</v>
      </c>
      <c r="E32893" s="1" t="s">
        <v>14045</v>
      </c>
      <c r="F32893" s="2"/>
      <c r="G32893" s="2"/>
      <c r="H32893" s="2"/>
    </row>
    <row r="32894" spans="1:8" x14ac:dyDescent="0.25">
      <c r="A32894" s="1"/>
      <c r="B32894" s="1" t="s">
        <v>8410</v>
      </c>
      <c r="C32894" s="1" t="s">
        <v>8411</v>
      </c>
      <c r="D32894" s="1" t="str">
        <f>HYPERLINK("https://rhld.insurance.arkansas.gov/NPILookup?Npi=1952334401","1952334401")</f>
        <v>1952334401</v>
      </c>
      <c r="E32894" s="1" t="s">
        <v>30161</v>
      </c>
      <c r="F32894" s="2"/>
      <c r="G32894" s="2"/>
      <c r="H32894" s="2"/>
    </row>
    <row r="32895" spans="1:8" x14ac:dyDescent="0.25">
      <c r="A32895" s="1"/>
      <c r="B32895" s="1" t="s">
        <v>8410</v>
      </c>
      <c r="C32895" s="1" t="s">
        <v>8411</v>
      </c>
      <c r="D32895" s="1" t="str">
        <f>HYPERLINK("https://rhld.insurance.arkansas.gov/NPILookup?Npi=1962433615","1962433615")</f>
        <v>1962433615</v>
      </c>
      <c r="E32895" s="1" t="s">
        <v>690</v>
      </c>
      <c r="F32895" s="2"/>
      <c r="G32895" s="2"/>
      <c r="H32895" s="2"/>
    </row>
    <row r="32896" spans="1:8" x14ac:dyDescent="0.25">
      <c r="A32896" s="1"/>
      <c r="B32896" s="1" t="s">
        <v>8410</v>
      </c>
      <c r="C32896" s="1" t="s">
        <v>8411</v>
      </c>
      <c r="D32896" s="1" t="str">
        <f>HYPERLINK("https://rhld.insurance.arkansas.gov/NPILookup?Npi=1962994608","1962994608")</f>
        <v>1962994608</v>
      </c>
      <c r="E32896" s="1" t="s">
        <v>4731</v>
      </c>
      <c r="F32896" s="2"/>
      <c r="G32896" s="2"/>
      <c r="H32896" s="2"/>
    </row>
    <row r="32897" spans="1:8" x14ac:dyDescent="0.25">
      <c r="A32897" s="1"/>
      <c r="B32897" s="1" t="s">
        <v>8410</v>
      </c>
      <c r="C32897" s="1" t="s">
        <v>8411</v>
      </c>
      <c r="D32897" s="1" t="str">
        <f>HYPERLINK("https://rhld.insurance.arkansas.gov/NPILookup?Npi=1992124291","1992124291")</f>
        <v>1992124291</v>
      </c>
      <c r="E32897" s="1" t="s">
        <v>3582</v>
      </c>
      <c r="F32897" s="2"/>
      <c r="G32897" s="2"/>
      <c r="H32897" s="2"/>
    </row>
    <row r="32898" spans="1:8" x14ac:dyDescent="0.25">
      <c r="A32898" s="1"/>
      <c r="B32898" s="1" t="s">
        <v>8410</v>
      </c>
      <c r="C32898" s="1" t="s">
        <v>8411</v>
      </c>
      <c r="D32898" s="1" t="str">
        <f>HYPERLINK("https://rhld.insurance.arkansas.gov/NPILookup?Npi=1992145304","1992145304")</f>
        <v>1992145304</v>
      </c>
      <c r="E32898" s="1" t="s">
        <v>30162</v>
      </c>
      <c r="F32898" s="2"/>
      <c r="G32898" s="2"/>
      <c r="H32898" s="2"/>
    </row>
    <row r="32899" spans="1:8" x14ac:dyDescent="0.25">
      <c r="A32899" s="1"/>
      <c r="B32899" s="1" t="s">
        <v>8410</v>
      </c>
      <c r="C32899" s="1" t="s">
        <v>8411</v>
      </c>
      <c r="D32899" s="1" t="str">
        <f>HYPERLINK("https://rhld.insurance.arkansas.gov/NPILookup?Npi=1992903355","1992903355")</f>
        <v>1992903355</v>
      </c>
      <c r="E32899" s="1" t="s">
        <v>3583</v>
      </c>
      <c r="F32899" s="2"/>
      <c r="G32899" s="2"/>
      <c r="H32899" s="2"/>
    </row>
    <row r="32900" spans="1:8" x14ac:dyDescent="0.25">
      <c r="A32900" s="1"/>
      <c r="B32900" s="1" t="s">
        <v>8418</v>
      </c>
      <c r="C32900" s="1" t="s">
        <v>8419</v>
      </c>
      <c r="D32900" s="1" t="str">
        <f>HYPERLINK("https://rhld.insurance.arkansas.gov/NPILookup?Npi=1003061565","1003061565")</f>
        <v>1003061565</v>
      </c>
      <c r="E32900" s="1" t="s">
        <v>8420</v>
      </c>
      <c r="F32900" s="2"/>
      <c r="G32900" s="2"/>
      <c r="H32900" s="2"/>
    </row>
    <row r="32901" spans="1:8" x14ac:dyDescent="0.25">
      <c r="A32901" s="1"/>
      <c r="B32901" s="1" t="s">
        <v>8418</v>
      </c>
      <c r="C32901" s="1" t="s">
        <v>8419</v>
      </c>
      <c r="D32901" s="1" t="str">
        <f>HYPERLINK("https://rhld.insurance.arkansas.gov/NPILookup?Npi=1003090598","1003090598")</f>
        <v>1003090598</v>
      </c>
      <c r="E32901" s="1" t="s">
        <v>14046</v>
      </c>
      <c r="F32901" s="2"/>
      <c r="G32901" s="2"/>
      <c r="H32901" s="2"/>
    </row>
    <row r="32902" spans="1:8" x14ac:dyDescent="0.25">
      <c r="A32902" s="1"/>
      <c r="B32902" s="1" t="s">
        <v>8418</v>
      </c>
      <c r="C32902" s="1" t="s">
        <v>8419</v>
      </c>
      <c r="D32902" s="1" t="str">
        <f>HYPERLINK("https://rhld.insurance.arkansas.gov/NPILookup?Npi=1003107160","1003107160")</f>
        <v>1003107160</v>
      </c>
      <c r="E32902" s="1" t="s">
        <v>8421</v>
      </c>
      <c r="F32902" s="2"/>
      <c r="G32902" s="2"/>
      <c r="H32902" s="2"/>
    </row>
    <row r="32903" spans="1:8" x14ac:dyDescent="0.25">
      <c r="A32903" s="1"/>
      <c r="B32903" s="1" t="s">
        <v>8418</v>
      </c>
      <c r="C32903" s="1" t="s">
        <v>8419</v>
      </c>
      <c r="D32903" s="1" t="str">
        <f>HYPERLINK("https://rhld.insurance.arkansas.gov/NPILookup?Npi=1003138413","1003138413")</f>
        <v>1003138413</v>
      </c>
      <c r="E32903" s="1" t="s">
        <v>30163</v>
      </c>
      <c r="F32903" s="2"/>
      <c r="G32903" s="2"/>
      <c r="H32903" s="2"/>
    </row>
    <row r="32904" spans="1:8" x14ac:dyDescent="0.25">
      <c r="A32904" s="1"/>
      <c r="B32904" s="1" t="s">
        <v>8418</v>
      </c>
      <c r="C32904" s="1" t="s">
        <v>8419</v>
      </c>
      <c r="D32904" s="1" t="str">
        <f>HYPERLINK("https://rhld.insurance.arkansas.gov/NPILookup?Npi=1003140047","1003140047")</f>
        <v>1003140047</v>
      </c>
      <c r="E32904" s="1" t="s">
        <v>30164</v>
      </c>
      <c r="F32904" s="2"/>
      <c r="G32904" s="2"/>
      <c r="H32904" s="2"/>
    </row>
    <row r="32905" spans="1:8" x14ac:dyDescent="0.25">
      <c r="A32905" s="1"/>
      <c r="B32905" s="1" t="s">
        <v>8418</v>
      </c>
      <c r="C32905" s="1" t="s">
        <v>8419</v>
      </c>
      <c r="D32905" s="1" t="str">
        <f>HYPERLINK("https://rhld.insurance.arkansas.gov/NPILookup?Npi=1003163353","1003163353")</f>
        <v>1003163353</v>
      </c>
      <c r="E32905" s="1" t="s">
        <v>14047</v>
      </c>
      <c r="F32905" s="2"/>
      <c r="G32905" s="2"/>
      <c r="H32905" s="2"/>
    </row>
    <row r="32906" spans="1:8" x14ac:dyDescent="0.25">
      <c r="A32906" s="1"/>
      <c r="B32906" s="1" t="s">
        <v>8418</v>
      </c>
      <c r="C32906" s="1" t="s">
        <v>8419</v>
      </c>
      <c r="D32906" s="1" t="str">
        <f>HYPERLINK("https://rhld.insurance.arkansas.gov/NPILookup?Npi=1003169467","1003169467")</f>
        <v>1003169467</v>
      </c>
      <c r="E32906" s="1" t="s">
        <v>8422</v>
      </c>
      <c r="F32906" s="2"/>
      <c r="G32906" s="2"/>
      <c r="H32906" s="2"/>
    </row>
    <row r="32907" spans="1:8" x14ac:dyDescent="0.25">
      <c r="A32907" s="1"/>
      <c r="B32907" s="1" t="s">
        <v>8418</v>
      </c>
      <c r="C32907" s="1" t="s">
        <v>8419</v>
      </c>
      <c r="D32907" s="1" t="str">
        <f>HYPERLINK("https://rhld.insurance.arkansas.gov/NPILookup?Npi=1003199019","1003199019")</f>
        <v>1003199019</v>
      </c>
      <c r="E32907" s="1" t="s">
        <v>8423</v>
      </c>
      <c r="F32907" s="2"/>
      <c r="G32907" s="2"/>
      <c r="H32907" s="2"/>
    </row>
    <row r="32908" spans="1:8" x14ac:dyDescent="0.25">
      <c r="A32908" s="1"/>
      <c r="B32908" s="1" t="s">
        <v>8418</v>
      </c>
      <c r="C32908" s="1" t="s">
        <v>8419</v>
      </c>
      <c r="D32908" s="1" t="str">
        <f>HYPERLINK("https://rhld.insurance.arkansas.gov/NPILookup?Npi=1003246166","1003246166")</f>
        <v>1003246166</v>
      </c>
      <c r="E32908" s="1" t="s">
        <v>8424</v>
      </c>
      <c r="F32908" s="2"/>
      <c r="G32908" s="2"/>
      <c r="H32908" s="2"/>
    </row>
    <row r="32909" spans="1:8" x14ac:dyDescent="0.25">
      <c r="A32909" s="1"/>
      <c r="B32909" s="1" t="s">
        <v>8418</v>
      </c>
      <c r="C32909" s="1" t="s">
        <v>8419</v>
      </c>
      <c r="D32909" s="1" t="str">
        <f>HYPERLINK("https://rhld.insurance.arkansas.gov/NPILookup?Npi=1003362039","1003362039")</f>
        <v>1003362039</v>
      </c>
      <c r="E32909" s="1" t="s">
        <v>30165</v>
      </c>
      <c r="F32909" s="2"/>
      <c r="G32909" s="2"/>
      <c r="H32909" s="2"/>
    </row>
    <row r="32910" spans="1:8" x14ac:dyDescent="0.25">
      <c r="A32910" s="1"/>
      <c r="B32910" s="1" t="s">
        <v>8418</v>
      </c>
      <c r="C32910" s="1" t="s">
        <v>8419</v>
      </c>
      <c r="D32910" s="1" t="str">
        <f>HYPERLINK("https://rhld.insurance.arkansas.gov/NPILookup?Npi=1003437559","1003437559")</f>
        <v>1003437559</v>
      </c>
      <c r="E32910" s="1" t="s">
        <v>8425</v>
      </c>
      <c r="F32910" s="2"/>
      <c r="G32910" s="2"/>
      <c r="H32910" s="2"/>
    </row>
    <row r="32911" spans="1:8" x14ac:dyDescent="0.25">
      <c r="A32911" s="1"/>
      <c r="B32911" s="1" t="s">
        <v>8418</v>
      </c>
      <c r="C32911" s="1" t="s">
        <v>8419</v>
      </c>
      <c r="D32911" s="1" t="str">
        <f>HYPERLINK("https://rhld.insurance.arkansas.gov/NPILookup?Npi=1003464025","1003464025")</f>
        <v>1003464025</v>
      </c>
      <c r="E32911" s="1" t="s">
        <v>8426</v>
      </c>
      <c r="F32911" s="2"/>
      <c r="G32911" s="2"/>
      <c r="H32911" s="2"/>
    </row>
    <row r="32912" spans="1:8" x14ac:dyDescent="0.25">
      <c r="A32912" s="1"/>
      <c r="B32912" s="1" t="s">
        <v>8418</v>
      </c>
      <c r="C32912" s="1" t="s">
        <v>8419</v>
      </c>
      <c r="D32912" s="1" t="str">
        <f>HYPERLINK("https://rhld.insurance.arkansas.gov/NPILookup?Npi=1003475492","1003475492")</f>
        <v>1003475492</v>
      </c>
      <c r="E32912" s="1" t="s">
        <v>30166</v>
      </c>
      <c r="F32912" s="2"/>
      <c r="G32912" s="2"/>
      <c r="H32912" s="2"/>
    </row>
    <row r="32913" spans="1:8" x14ac:dyDescent="0.25">
      <c r="A32913" s="1"/>
      <c r="B32913" s="1" t="s">
        <v>8418</v>
      </c>
      <c r="C32913" s="1" t="s">
        <v>8419</v>
      </c>
      <c r="D32913" s="1" t="str">
        <f>HYPERLINK("https://rhld.insurance.arkansas.gov/NPILookup?Npi=1003507682","1003507682")</f>
        <v>1003507682</v>
      </c>
      <c r="E32913" s="1" t="s">
        <v>8427</v>
      </c>
      <c r="F32913" s="2"/>
      <c r="G32913" s="2"/>
      <c r="H32913" s="2"/>
    </row>
    <row r="32914" spans="1:8" x14ac:dyDescent="0.25">
      <c r="A32914" s="1"/>
      <c r="B32914" s="1" t="s">
        <v>8418</v>
      </c>
      <c r="C32914" s="1" t="s">
        <v>8419</v>
      </c>
      <c r="D32914" s="1" t="str">
        <f>HYPERLINK("https://rhld.insurance.arkansas.gov/NPILookup?Npi=1003531658","1003531658")</f>
        <v>1003531658</v>
      </c>
      <c r="E32914" s="1" t="s">
        <v>30167</v>
      </c>
      <c r="F32914" s="2"/>
      <c r="G32914" s="2"/>
      <c r="H32914" s="2"/>
    </row>
    <row r="32915" spans="1:8" x14ac:dyDescent="0.25">
      <c r="A32915" s="1"/>
      <c r="B32915" s="1" t="s">
        <v>8418</v>
      </c>
      <c r="C32915" s="1" t="s">
        <v>8419</v>
      </c>
      <c r="D32915" s="1" t="str">
        <f>HYPERLINK("https://rhld.insurance.arkansas.gov/NPILookup?Npi=1003544214","1003544214")</f>
        <v>1003544214</v>
      </c>
      <c r="E32915" s="1" t="s">
        <v>8428</v>
      </c>
      <c r="F32915" s="2"/>
      <c r="G32915" s="2"/>
      <c r="H32915" s="2"/>
    </row>
    <row r="32916" spans="1:8" x14ac:dyDescent="0.25">
      <c r="A32916" s="1"/>
      <c r="B32916" s="1" t="s">
        <v>8418</v>
      </c>
      <c r="C32916" s="1" t="s">
        <v>8419</v>
      </c>
      <c r="D32916" s="1" t="str">
        <f>HYPERLINK("https://rhld.insurance.arkansas.gov/NPILookup?Npi=1003866476","1003866476")</f>
        <v>1003866476</v>
      </c>
      <c r="E32916" s="1" t="s">
        <v>30168</v>
      </c>
      <c r="F32916" s="2"/>
      <c r="G32916" s="2"/>
      <c r="H32916" s="2"/>
    </row>
    <row r="32917" spans="1:8" x14ac:dyDescent="0.25">
      <c r="A32917" s="1"/>
      <c r="B32917" s="1" t="s">
        <v>8418</v>
      </c>
      <c r="C32917" s="1" t="s">
        <v>8419</v>
      </c>
      <c r="D32917" s="1" t="str">
        <f>HYPERLINK("https://rhld.insurance.arkansas.gov/NPILookup?Npi=1003943606","1003943606")</f>
        <v>1003943606</v>
      </c>
      <c r="E32917" s="1" t="s">
        <v>30169</v>
      </c>
      <c r="F32917" s="2"/>
      <c r="G32917" s="2"/>
      <c r="H32917" s="2"/>
    </row>
    <row r="32918" spans="1:8" x14ac:dyDescent="0.25">
      <c r="A32918" s="1"/>
      <c r="B32918" s="1" t="s">
        <v>8418</v>
      </c>
      <c r="C32918" s="1" t="s">
        <v>8419</v>
      </c>
      <c r="D32918" s="1" t="str">
        <f>HYPERLINK("https://rhld.insurance.arkansas.gov/NPILookup?Npi=1013044221","1013044221")</f>
        <v>1013044221</v>
      </c>
      <c r="E32918" s="1" t="s">
        <v>30170</v>
      </c>
      <c r="F32918" s="2"/>
      <c r="G32918" s="2"/>
      <c r="H32918" s="2"/>
    </row>
    <row r="32919" spans="1:8" x14ac:dyDescent="0.25">
      <c r="A32919" s="1"/>
      <c r="B32919" s="1" t="s">
        <v>8418</v>
      </c>
      <c r="C32919" s="1" t="s">
        <v>8419</v>
      </c>
      <c r="D32919" s="1" t="str">
        <f>HYPERLINK("https://rhld.insurance.arkansas.gov/NPILookup?Npi=1013045145","1013045145")</f>
        <v>1013045145</v>
      </c>
      <c r="E32919" s="1" t="s">
        <v>8429</v>
      </c>
      <c r="F32919" s="2"/>
      <c r="G32919" s="2"/>
      <c r="H32919" s="2"/>
    </row>
    <row r="32920" spans="1:8" x14ac:dyDescent="0.25">
      <c r="A32920" s="1"/>
      <c r="B32920" s="1" t="s">
        <v>8418</v>
      </c>
      <c r="C32920" s="1" t="s">
        <v>8419</v>
      </c>
      <c r="D32920" s="1" t="str">
        <f>HYPERLINK("https://rhld.insurance.arkansas.gov/NPILookup?Npi=1013140003","1013140003")</f>
        <v>1013140003</v>
      </c>
      <c r="E32920" s="1" t="s">
        <v>30171</v>
      </c>
      <c r="F32920" s="2"/>
      <c r="G32920" s="2"/>
      <c r="H32920" s="2"/>
    </row>
    <row r="32921" spans="1:8" x14ac:dyDescent="0.25">
      <c r="A32921" s="1"/>
      <c r="B32921" s="1" t="s">
        <v>8418</v>
      </c>
      <c r="C32921" s="1" t="s">
        <v>8419</v>
      </c>
      <c r="D32921" s="1" t="str">
        <f>HYPERLINK("https://rhld.insurance.arkansas.gov/NPILookup?Npi=1013210582","1013210582")</f>
        <v>1013210582</v>
      </c>
      <c r="E32921" s="1" t="s">
        <v>14048</v>
      </c>
      <c r="F32921" s="2"/>
      <c r="G32921" s="2"/>
      <c r="H32921" s="2"/>
    </row>
    <row r="32922" spans="1:8" x14ac:dyDescent="0.25">
      <c r="A32922" s="1"/>
      <c r="B32922" s="1" t="s">
        <v>8418</v>
      </c>
      <c r="C32922" s="1" t="s">
        <v>8419</v>
      </c>
      <c r="D32922" s="1" t="str">
        <f>HYPERLINK("https://rhld.insurance.arkansas.gov/NPILookup?Npi=1013216035","1013216035")</f>
        <v>1013216035</v>
      </c>
      <c r="E32922" s="1" t="s">
        <v>14049</v>
      </c>
      <c r="F32922" s="2"/>
      <c r="G32922" s="2"/>
      <c r="H32922" s="2"/>
    </row>
    <row r="32923" spans="1:8" x14ac:dyDescent="0.25">
      <c r="A32923" s="1"/>
      <c r="B32923" s="1" t="s">
        <v>8418</v>
      </c>
      <c r="C32923" s="1" t="s">
        <v>8419</v>
      </c>
      <c r="D32923" s="1" t="str">
        <f>HYPERLINK("https://rhld.insurance.arkansas.gov/NPILookup?Npi=1013216092","1013216092")</f>
        <v>1013216092</v>
      </c>
      <c r="E32923" s="1" t="s">
        <v>30172</v>
      </c>
      <c r="F32923" s="2"/>
      <c r="G32923" s="2"/>
      <c r="H32923" s="2"/>
    </row>
    <row r="32924" spans="1:8" x14ac:dyDescent="0.25">
      <c r="A32924" s="1"/>
      <c r="B32924" s="1" t="s">
        <v>8418</v>
      </c>
      <c r="C32924" s="1" t="s">
        <v>8419</v>
      </c>
      <c r="D32924" s="1" t="str">
        <f>HYPERLINK("https://rhld.insurance.arkansas.gov/NPILookup?Npi=1013225044","1013225044")</f>
        <v>1013225044</v>
      </c>
      <c r="E32924" s="1" t="s">
        <v>30173</v>
      </c>
      <c r="F32924" s="2"/>
      <c r="G32924" s="2"/>
      <c r="H32924" s="2"/>
    </row>
    <row r="32925" spans="1:8" x14ac:dyDescent="0.25">
      <c r="A32925" s="1"/>
      <c r="B32925" s="1" t="s">
        <v>8418</v>
      </c>
      <c r="C32925" s="1" t="s">
        <v>8419</v>
      </c>
      <c r="D32925" s="1" t="str">
        <f>HYPERLINK("https://rhld.insurance.arkansas.gov/NPILookup?Npi=1013276302","1013276302")</f>
        <v>1013276302</v>
      </c>
      <c r="E32925" s="1" t="s">
        <v>14050</v>
      </c>
      <c r="F32925" s="2"/>
      <c r="G32925" s="2"/>
      <c r="H32925" s="2"/>
    </row>
    <row r="32926" spans="1:8" x14ac:dyDescent="0.25">
      <c r="A32926" s="1"/>
      <c r="B32926" s="1" t="s">
        <v>8418</v>
      </c>
      <c r="C32926" s="1" t="s">
        <v>8419</v>
      </c>
      <c r="D32926" s="1" t="str">
        <f>HYPERLINK("https://rhld.insurance.arkansas.gov/NPILookup?Npi=1013324094","1013324094")</f>
        <v>1013324094</v>
      </c>
      <c r="E32926" s="1" t="s">
        <v>30174</v>
      </c>
      <c r="F32926" s="2"/>
      <c r="G32926" s="2"/>
      <c r="H32926" s="2"/>
    </row>
    <row r="32927" spans="1:8" x14ac:dyDescent="0.25">
      <c r="A32927" s="1"/>
      <c r="B32927" s="1" t="s">
        <v>8418</v>
      </c>
      <c r="C32927" s="1" t="s">
        <v>8419</v>
      </c>
      <c r="D32927" s="1" t="str">
        <f>HYPERLINK("https://rhld.insurance.arkansas.gov/NPILookup?Npi=1013342963","1013342963")</f>
        <v>1013342963</v>
      </c>
      <c r="E32927" s="1" t="s">
        <v>30175</v>
      </c>
      <c r="F32927" s="2"/>
      <c r="G32927" s="2"/>
      <c r="H32927" s="2"/>
    </row>
    <row r="32928" spans="1:8" x14ac:dyDescent="0.25">
      <c r="A32928" s="1"/>
      <c r="B32928" s="1" t="s">
        <v>8418</v>
      </c>
      <c r="C32928" s="1" t="s">
        <v>8419</v>
      </c>
      <c r="D32928" s="1" t="str">
        <f>HYPERLINK("https://rhld.insurance.arkansas.gov/NPILookup?Npi=1013344159","1013344159")</f>
        <v>1013344159</v>
      </c>
      <c r="E32928" s="1" t="s">
        <v>30176</v>
      </c>
      <c r="F32928" s="2"/>
      <c r="G32928" s="2"/>
      <c r="H32928" s="2"/>
    </row>
    <row r="32929" spans="1:8" x14ac:dyDescent="0.25">
      <c r="A32929" s="1"/>
      <c r="B32929" s="1" t="s">
        <v>8418</v>
      </c>
      <c r="C32929" s="1" t="s">
        <v>8419</v>
      </c>
      <c r="D32929" s="1" t="str">
        <f>HYPERLINK("https://rhld.insurance.arkansas.gov/NPILookup?Npi=1013412303","1013412303")</f>
        <v>1013412303</v>
      </c>
      <c r="E32929" s="1" t="s">
        <v>30177</v>
      </c>
      <c r="F32929" s="2"/>
      <c r="G32929" s="2"/>
      <c r="H32929" s="2"/>
    </row>
    <row r="32930" spans="1:8" x14ac:dyDescent="0.25">
      <c r="A32930" s="1"/>
      <c r="B32930" s="1" t="s">
        <v>8418</v>
      </c>
      <c r="C32930" s="1" t="s">
        <v>8419</v>
      </c>
      <c r="D32930" s="1" t="str">
        <f>HYPERLINK("https://rhld.insurance.arkansas.gov/NPILookup?Npi=1013425123","1013425123")</f>
        <v>1013425123</v>
      </c>
      <c r="E32930" s="1" t="s">
        <v>30178</v>
      </c>
      <c r="F32930" s="2"/>
      <c r="G32930" s="2"/>
      <c r="H32930" s="2"/>
    </row>
    <row r="32931" spans="1:8" x14ac:dyDescent="0.25">
      <c r="A32931" s="1"/>
      <c r="B32931" s="1" t="s">
        <v>8418</v>
      </c>
      <c r="C32931" s="1" t="s">
        <v>8419</v>
      </c>
      <c r="D32931" s="1" t="str">
        <f>HYPERLINK("https://rhld.insurance.arkansas.gov/NPILookup?Npi=1013499920","1013499920")</f>
        <v>1013499920</v>
      </c>
      <c r="E32931" s="1" t="s">
        <v>14051</v>
      </c>
      <c r="F32931" s="2"/>
      <c r="G32931" s="2"/>
      <c r="H32931" s="2"/>
    </row>
    <row r="32932" spans="1:8" x14ac:dyDescent="0.25">
      <c r="A32932" s="1"/>
      <c r="B32932" s="1" t="s">
        <v>8418</v>
      </c>
      <c r="C32932" s="1" t="s">
        <v>8419</v>
      </c>
      <c r="D32932" s="1" t="str">
        <f>HYPERLINK("https://rhld.insurance.arkansas.gov/NPILookup?Npi=1013516004","1013516004")</f>
        <v>1013516004</v>
      </c>
      <c r="E32932" s="1" t="s">
        <v>14052</v>
      </c>
      <c r="F32932" s="2"/>
      <c r="G32932" s="2"/>
      <c r="H32932" s="2"/>
    </row>
    <row r="32933" spans="1:8" x14ac:dyDescent="0.25">
      <c r="A32933" s="1"/>
      <c r="B32933" s="1" t="s">
        <v>8418</v>
      </c>
      <c r="C32933" s="1" t="s">
        <v>8419</v>
      </c>
      <c r="D32933" s="1" t="str">
        <f>HYPERLINK("https://rhld.insurance.arkansas.gov/NPILookup?Npi=1013526359","1013526359")</f>
        <v>1013526359</v>
      </c>
      <c r="E32933" s="1" t="s">
        <v>8430</v>
      </c>
      <c r="F32933" s="2"/>
      <c r="G32933" s="2"/>
      <c r="H32933" s="2"/>
    </row>
    <row r="32934" spans="1:8" x14ac:dyDescent="0.25">
      <c r="A32934" s="1"/>
      <c r="B32934" s="1" t="s">
        <v>8418</v>
      </c>
      <c r="C32934" s="1" t="s">
        <v>8419</v>
      </c>
      <c r="D32934" s="1" t="str">
        <f>HYPERLINK("https://rhld.insurance.arkansas.gov/NPILookup?Npi=1013548700","1013548700")</f>
        <v>1013548700</v>
      </c>
      <c r="E32934" s="1" t="s">
        <v>30179</v>
      </c>
      <c r="F32934" s="2"/>
      <c r="G32934" s="2"/>
      <c r="H32934" s="2"/>
    </row>
    <row r="32935" spans="1:8" x14ac:dyDescent="0.25">
      <c r="A32935" s="1"/>
      <c r="B32935" s="1" t="s">
        <v>8418</v>
      </c>
      <c r="C32935" s="1" t="s">
        <v>8419</v>
      </c>
      <c r="D32935" s="1" t="str">
        <f>HYPERLINK("https://rhld.insurance.arkansas.gov/NPILookup?Npi=1013609155","1013609155")</f>
        <v>1013609155</v>
      </c>
      <c r="E32935" s="1" t="s">
        <v>8431</v>
      </c>
      <c r="F32935" s="2"/>
      <c r="G32935" s="2"/>
      <c r="H32935" s="2"/>
    </row>
    <row r="32936" spans="1:8" x14ac:dyDescent="0.25">
      <c r="A32936" s="1"/>
      <c r="B32936" s="1" t="s">
        <v>8418</v>
      </c>
      <c r="C32936" s="1" t="s">
        <v>8419</v>
      </c>
      <c r="D32936" s="1" t="str">
        <f>HYPERLINK("https://rhld.insurance.arkansas.gov/NPILookup?Npi=1013640168","1013640168")</f>
        <v>1013640168</v>
      </c>
      <c r="E32936" s="1" t="s">
        <v>8432</v>
      </c>
      <c r="F32936" s="2"/>
      <c r="G32936" s="2"/>
      <c r="H32936" s="2"/>
    </row>
    <row r="32937" spans="1:8" x14ac:dyDescent="0.25">
      <c r="A32937" s="1"/>
      <c r="B32937" s="1" t="s">
        <v>8418</v>
      </c>
      <c r="C32937" s="1" t="s">
        <v>8419</v>
      </c>
      <c r="D32937" s="1" t="str">
        <f>HYPERLINK("https://rhld.insurance.arkansas.gov/NPILookup?Npi=1013660737","1013660737")</f>
        <v>1013660737</v>
      </c>
      <c r="E32937" s="1" t="s">
        <v>14053</v>
      </c>
      <c r="F32937" s="2"/>
      <c r="G32937" s="2"/>
      <c r="H32937" s="2"/>
    </row>
    <row r="32938" spans="1:8" x14ac:dyDescent="0.25">
      <c r="A32938" s="1"/>
      <c r="B32938" s="1" t="s">
        <v>8418</v>
      </c>
      <c r="C32938" s="1" t="s">
        <v>8419</v>
      </c>
      <c r="D32938" s="1" t="str">
        <f>HYPERLINK("https://rhld.insurance.arkansas.gov/NPILookup?Npi=1013678382","1013678382")</f>
        <v>1013678382</v>
      </c>
      <c r="E32938" s="1" t="s">
        <v>30180</v>
      </c>
      <c r="F32938" s="2"/>
      <c r="G32938" s="2"/>
      <c r="H32938" s="2"/>
    </row>
    <row r="32939" spans="1:8" x14ac:dyDescent="0.25">
      <c r="A32939" s="1"/>
      <c r="B32939" s="1" t="s">
        <v>8418</v>
      </c>
      <c r="C32939" s="1" t="s">
        <v>8419</v>
      </c>
      <c r="D32939" s="1" t="str">
        <f>HYPERLINK("https://rhld.insurance.arkansas.gov/NPILookup?Npi=1013680206","1013680206")</f>
        <v>1013680206</v>
      </c>
      <c r="E32939" s="1" t="s">
        <v>8433</v>
      </c>
      <c r="F32939" s="2"/>
      <c r="G32939" s="2"/>
      <c r="H32939" s="2"/>
    </row>
    <row r="32940" spans="1:8" x14ac:dyDescent="0.25">
      <c r="A32940" s="1"/>
      <c r="B32940" s="1" t="s">
        <v>8418</v>
      </c>
      <c r="C32940" s="1" t="s">
        <v>8419</v>
      </c>
      <c r="D32940" s="1" t="str">
        <f>HYPERLINK("https://rhld.insurance.arkansas.gov/NPILookup?Npi=1013758614","1013758614")</f>
        <v>1013758614</v>
      </c>
      <c r="E32940" s="1" t="s">
        <v>32498</v>
      </c>
      <c r="F32940" s="2"/>
      <c r="G32940" s="2"/>
      <c r="H32940" s="2"/>
    </row>
    <row r="32941" spans="1:8" x14ac:dyDescent="0.25">
      <c r="A32941" s="1"/>
      <c r="B32941" s="1" t="s">
        <v>8418</v>
      </c>
      <c r="C32941" s="1" t="s">
        <v>8419</v>
      </c>
      <c r="D32941" s="1" t="str">
        <f>HYPERLINK("https://rhld.insurance.arkansas.gov/NPILookup?Npi=1023064730","1023064730")</f>
        <v>1023064730</v>
      </c>
      <c r="E32941" s="1" t="s">
        <v>30181</v>
      </c>
      <c r="F32941" s="2"/>
      <c r="G32941" s="2"/>
      <c r="H32941" s="2"/>
    </row>
    <row r="32942" spans="1:8" x14ac:dyDescent="0.25">
      <c r="A32942" s="1"/>
      <c r="B32942" s="1" t="s">
        <v>8418</v>
      </c>
      <c r="C32942" s="1" t="s">
        <v>8419</v>
      </c>
      <c r="D32942" s="1" t="str">
        <f>HYPERLINK("https://rhld.insurance.arkansas.gov/NPILookup?Npi=1023143377","1023143377")</f>
        <v>1023143377</v>
      </c>
      <c r="E32942" s="1" t="s">
        <v>8434</v>
      </c>
      <c r="F32942" s="2"/>
      <c r="G32942" s="2"/>
      <c r="H32942" s="2"/>
    </row>
    <row r="32943" spans="1:8" x14ac:dyDescent="0.25">
      <c r="A32943" s="1"/>
      <c r="B32943" s="1" t="s">
        <v>8418</v>
      </c>
      <c r="C32943" s="1" t="s">
        <v>8419</v>
      </c>
      <c r="D32943" s="1" t="str">
        <f>HYPERLINK("https://rhld.insurance.arkansas.gov/NPILookup?Npi=1023167145","1023167145")</f>
        <v>1023167145</v>
      </c>
      <c r="E32943" s="1" t="s">
        <v>14054</v>
      </c>
      <c r="F32943" s="2"/>
      <c r="G32943" s="2"/>
      <c r="H32943" s="2"/>
    </row>
    <row r="32944" spans="1:8" x14ac:dyDescent="0.25">
      <c r="A32944" s="1"/>
      <c r="B32944" s="1" t="s">
        <v>8418</v>
      </c>
      <c r="C32944" s="1" t="s">
        <v>8419</v>
      </c>
      <c r="D32944" s="1" t="str">
        <f>HYPERLINK("https://rhld.insurance.arkansas.gov/NPILookup?Npi=1023241510","1023241510")</f>
        <v>1023241510</v>
      </c>
      <c r="E32944" s="1" t="s">
        <v>30182</v>
      </c>
      <c r="F32944" s="2"/>
      <c r="G32944" s="2"/>
      <c r="H32944" s="2"/>
    </row>
    <row r="32945" spans="1:8" x14ac:dyDescent="0.25">
      <c r="A32945" s="1"/>
      <c r="B32945" s="1" t="s">
        <v>8418</v>
      </c>
      <c r="C32945" s="1" t="s">
        <v>8419</v>
      </c>
      <c r="D32945" s="1" t="str">
        <f>HYPERLINK("https://rhld.insurance.arkansas.gov/NPILookup?Npi=1023242617","1023242617")</f>
        <v>1023242617</v>
      </c>
      <c r="E32945" s="1" t="s">
        <v>12833</v>
      </c>
      <c r="F32945" s="2"/>
      <c r="G32945" s="2"/>
      <c r="H32945" s="2"/>
    </row>
    <row r="32946" spans="1:8" x14ac:dyDescent="0.25">
      <c r="A32946" s="1"/>
      <c r="B32946" s="1" t="s">
        <v>8418</v>
      </c>
      <c r="C32946" s="1" t="s">
        <v>8419</v>
      </c>
      <c r="D32946" s="1" t="str">
        <f>HYPERLINK("https://rhld.insurance.arkansas.gov/NPILookup?Npi=1023249935","1023249935")</f>
        <v>1023249935</v>
      </c>
      <c r="E32946" s="1" t="s">
        <v>30183</v>
      </c>
      <c r="F32946" s="2"/>
      <c r="G32946" s="2"/>
      <c r="H32946" s="2"/>
    </row>
    <row r="32947" spans="1:8" x14ac:dyDescent="0.25">
      <c r="A32947" s="1"/>
      <c r="B32947" s="1" t="s">
        <v>8418</v>
      </c>
      <c r="C32947" s="1" t="s">
        <v>8419</v>
      </c>
      <c r="D32947" s="1" t="str">
        <f>HYPERLINK("https://rhld.insurance.arkansas.gov/NPILookup?Npi=1023284692","1023284692")</f>
        <v>1023284692</v>
      </c>
      <c r="E32947" s="1" t="s">
        <v>30184</v>
      </c>
      <c r="F32947" s="2"/>
      <c r="G32947" s="2"/>
      <c r="H32947" s="2"/>
    </row>
    <row r="32948" spans="1:8" x14ac:dyDescent="0.25">
      <c r="A32948" s="1"/>
      <c r="B32948" s="1" t="s">
        <v>8418</v>
      </c>
      <c r="C32948" s="1" t="s">
        <v>8419</v>
      </c>
      <c r="D32948" s="1" t="str">
        <f>HYPERLINK("https://rhld.insurance.arkansas.gov/NPILookup?Npi=1023306719","1023306719")</f>
        <v>1023306719</v>
      </c>
      <c r="E32948" s="1" t="s">
        <v>8435</v>
      </c>
      <c r="F32948" s="2"/>
      <c r="G32948" s="2"/>
      <c r="H32948" s="2"/>
    </row>
    <row r="32949" spans="1:8" x14ac:dyDescent="0.25">
      <c r="A32949" s="1"/>
      <c r="B32949" s="1" t="s">
        <v>8418</v>
      </c>
      <c r="C32949" s="1" t="s">
        <v>8419</v>
      </c>
      <c r="D32949" s="1" t="str">
        <f>HYPERLINK("https://rhld.insurance.arkansas.gov/NPILookup?Npi=1023499472","1023499472")</f>
        <v>1023499472</v>
      </c>
      <c r="E32949" s="1" t="s">
        <v>1606</v>
      </c>
      <c r="F32949" s="2"/>
      <c r="G32949" s="2"/>
      <c r="H32949" s="2"/>
    </row>
    <row r="32950" spans="1:8" x14ac:dyDescent="0.25">
      <c r="A32950" s="1"/>
      <c r="B32950" s="1" t="s">
        <v>8418</v>
      </c>
      <c r="C32950" s="1" t="s">
        <v>8419</v>
      </c>
      <c r="D32950" s="1" t="str">
        <f>HYPERLINK("https://rhld.insurance.arkansas.gov/NPILookup?Npi=1023502663","1023502663")</f>
        <v>1023502663</v>
      </c>
      <c r="E32950" s="1" t="s">
        <v>30185</v>
      </c>
      <c r="F32950" s="2"/>
      <c r="G32950" s="2"/>
      <c r="H32950" s="2"/>
    </row>
    <row r="32951" spans="1:8" x14ac:dyDescent="0.25">
      <c r="A32951" s="1"/>
      <c r="B32951" s="1" t="s">
        <v>8418</v>
      </c>
      <c r="C32951" s="1" t="s">
        <v>8419</v>
      </c>
      <c r="D32951" s="1" t="str">
        <f>HYPERLINK("https://rhld.insurance.arkansas.gov/NPILookup?Npi=1023583895","1023583895")</f>
        <v>1023583895</v>
      </c>
      <c r="E32951" s="1" t="s">
        <v>30186</v>
      </c>
      <c r="F32951" s="2"/>
      <c r="G32951" s="2"/>
      <c r="H32951" s="2"/>
    </row>
    <row r="32952" spans="1:8" x14ac:dyDescent="0.25">
      <c r="A32952" s="1"/>
      <c r="B32952" s="1" t="s">
        <v>8418</v>
      </c>
      <c r="C32952" s="1" t="s">
        <v>8419</v>
      </c>
      <c r="D32952" s="1" t="str">
        <f>HYPERLINK("https://rhld.insurance.arkansas.gov/NPILookup?Npi=1023723814","1023723814")</f>
        <v>1023723814</v>
      </c>
      <c r="E32952" s="1" t="s">
        <v>30187</v>
      </c>
      <c r="F32952" s="2"/>
      <c r="G32952" s="2"/>
      <c r="H32952" s="2"/>
    </row>
    <row r="32953" spans="1:8" x14ac:dyDescent="0.25">
      <c r="A32953" s="1"/>
      <c r="B32953" s="1" t="s">
        <v>8418</v>
      </c>
      <c r="C32953" s="1" t="s">
        <v>8419</v>
      </c>
      <c r="D32953" s="1" t="str">
        <f>HYPERLINK("https://rhld.insurance.arkansas.gov/NPILookup?Npi=1023780947","1023780947")</f>
        <v>1023780947</v>
      </c>
      <c r="E32953" s="1" t="s">
        <v>30188</v>
      </c>
      <c r="F32953" s="2"/>
      <c r="G32953" s="2"/>
      <c r="H32953" s="2"/>
    </row>
    <row r="32954" spans="1:8" x14ac:dyDescent="0.25">
      <c r="A32954" s="1"/>
      <c r="B32954" s="1" t="s">
        <v>8418</v>
      </c>
      <c r="C32954" s="1" t="s">
        <v>8419</v>
      </c>
      <c r="D32954" s="1" t="str">
        <f>HYPERLINK("https://rhld.insurance.arkansas.gov/NPILookup?Npi=1023788338","1023788338")</f>
        <v>1023788338</v>
      </c>
      <c r="E32954" s="1" t="s">
        <v>30189</v>
      </c>
      <c r="F32954" s="2"/>
      <c r="G32954" s="2"/>
      <c r="H32954" s="2"/>
    </row>
    <row r="32955" spans="1:8" x14ac:dyDescent="0.25">
      <c r="A32955" s="1"/>
      <c r="B32955" s="1" t="s">
        <v>8418</v>
      </c>
      <c r="C32955" s="1" t="s">
        <v>8419</v>
      </c>
      <c r="D32955" s="1" t="str">
        <f>HYPERLINK("https://rhld.insurance.arkansas.gov/NPILookup?Npi=1033251954","1033251954")</f>
        <v>1033251954</v>
      </c>
      <c r="E32955" s="1" t="s">
        <v>30190</v>
      </c>
      <c r="F32955" s="2"/>
      <c r="G32955" s="2"/>
      <c r="H32955" s="2"/>
    </row>
    <row r="32956" spans="1:8" x14ac:dyDescent="0.25">
      <c r="A32956" s="1"/>
      <c r="B32956" s="1" t="s">
        <v>8418</v>
      </c>
      <c r="C32956" s="1" t="s">
        <v>8419</v>
      </c>
      <c r="D32956" s="1" t="str">
        <f>HYPERLINK("https://rhld.insurance.arkansas.gov/NPILookup?Npi=1033277652","1033277652")</f>
        <v>1033277652</v>
      </c>
      <c r="E32956" s="1" t="s">
        <v>29057</v>
      </c>
      <c r="F32956" s="2"/>
      <c r="G32956" s="2"/>
      <c r="H32956" s="2"/>
    </row>
    <row r="32957" spans="1:8" x14ac:dyDescent="0.25">
      <c r="A32957" s="1"/>
      <c r="B32957" s="1" t="s">
        <v>8418</v>
      </c>
      <c r="C32957" s="1" t="s">
        <v>8419</v>
      </c>
      <c r="D32957" s="1" t="str">
        <f>HYPERLINK("https://rhld.insurance.arkansas.gov/NPILookup?Npi=1033369921","1033369921")</f>
        <v>1033369921</v>
      </c>
      <c r="E32957" s="1" t="s">
        <v>8436</v>
      </c>
      <c r="F32957" s="2"/>
      <c r="G32957" s="2"/>
      <c r="H32957" s="2"/>
    </row>
    <row r="32958" spans="1:8" x14ac:dyDescent="0.25">
      <c r="A32958" s="1"/>
      <c r="B32958" s="1" t="s">
        <v>8418</v>
      </c>
      <c r="C32958" s="1" t="s">
        <v>8419</v>
      </c>
      <c r="D32958" s="1" t="str">
        <f>HYPERLINK("https://rhld.insurance.arkansas.gov/NPILookup?Npi=1033435839","1033435839")</f>
        <v>1033435839</v>
      </c>
      <c r="E32958" s="1" t="s">
        <v>30191</v>
      </c>
      <c r="F32958" s="2"/>
      <c r="G32958" s="2"/>
      <c r="H32958" s="2"/>
    </row>
    <row r="32959" spans="1:8" x14ac:dyDescent="0.25">
      <c r="A32959" s="1"/>
      <c r="B32959" s="1" t="s">
        <v>8418</v>
      </c>
      <c r="C32959" s="1" t="s">
        <v>8419</v>
      </c>
      <c r="D32959" s="1" t="str">
        <f>HYPERLINK("https://rhld.insurance.arkansas.gov/NPILookup?Npi=1033463666","1033463666")</f>
        <v>1033463666</v>
      </c>
      <c r="E32959" s="1" t="s">
        <v>8437</v>
      </c>
      <c r="F32959" s="2"/>
      <c r="G32959" s="2"/>
      <c r="H32959" s="2"/>
    </row>
    <row r="32960" spans="1:8" x14ac:dyDescent="0.25">
      <c r="A32960" s="1"/>
      <c r="B32960" s="1" t="s">
        <v>8418</v>
      </c>
      <c r="C32960" s="1" t="s">
        <v>8419</v>
      </c>
      <c r="D32960" s="1" t="str">
        <f>HYPERLINK("https://rhld.insurance.arkansas.gov/NPILookup?Npi=1033470554","1033470554")</f>
        <v>1033470554</v>
      </c>
      <c r="E32960" s="1" t="s">
        <v>8438</v>
      </c>
      <c r="F32960" s="2"/>
      <c r="G32960" s="2"/>
      <c r="H32960" s="2"/>
    </row>
    <row r="32961" spans="1:8" x14ac:dyDescent="0.25">
      <c r="A32961" s="1"/>
      <c r="B32961" s="1" t="s">
        <v>8418</v>
      </c>
      <c r="C32961" s="1" t="s">
        <v>8419</v>
      </c>
      <c r="D32961" s="1" t="str">
        <f>HYPERLINK("https://rhld.insurance.arkansas.gov/NPILookup?Npi=1033477989","1033477989")</f>
        <v>1033477989</v>
      </c>
      <c r="E32961" s="1" t="s">
        <v>14055</v>
      </c>
      <c r="F32961" s="2"/>
      <c r="G32961" s="2"/>
      <c r="H32961" s="2"/>
    </row>
    <row r="32962" spans="1:8" x14ac:dyDescent="0.25">
      <c r="A32962" s="1"/>
      <c r="B32962" s="1" t="s">
        <v>8418</v>
      </c>
      <c r="C32962" s="1" t="s">
        <v>8419</v>
      </c>
      <c r="D32962" s="1" t="str">
        <f>HYPERLINK("https://rhld.insurance.arkansas.gov/NPILookup?Npi=1033485941","1033485941")</f>
        <v>1033485941</v>
      </c>
      <c r="E32962" s="1" t="s">
        <v>30192</v>
      </c>
      <c r="F32962" s="2"/>
      <c r="G32962" s="2"/>
      <c r="H32962" s="2"/>
    </row>
    <row r="32963" spans="1:8" x14ac:dyDescent="0.25">
      <c r="A32963" s="1"/>
      <c r="B32963" s="1" t="s">
        <v>8418</v>
      </c>
      <c r="C32963" s="1" t="s">
        <v>8419</v>
      </c>
      <c r="D32963" s="1" t="str">
        <f>HYPERLINK("https://rhld.insurance.arkansas.gov/NPILookup?Npi=1033509443","1033509443")</f>
        <v>1033509443</v>
      </c>
      <c r="E32963" s="1" t="s">
        <v>14056</v>
      </c>
      <c r="F32963" s="2"/>
      <c r="G32963" s="2"/>
      <c r="H32963" s="2"/>
    </row>
    <row r="32964" spans="1:8" x14ac:dyDescent="0.25">
      <c r="A32964" s="1"/>
      <c r="B32964" s="1" t="s">
        <v>8418</v>
      </c>
      <c r="C32964" s="1" t="s">
        <v>8419</v>
      </c>
      <c r="D32964" s="1" t="str">
        <f>HYPERLINK("https://rhld.insurance.arkansas.gov/NPILookup?Npi=1033543509","1033543509")</f>
        <v>1033543509</v>
      </c>
      <c r="E32964" s="1" t="s">
        <v>7934</v>
      </c>
      <c r="F32964" s="2"/>
      <c r="G32964" s="2"/>
      <c r="H32964" s="2"/>
    </row>
    <row r="32965" spans="1:8" x14ac:dyDescent="0.25">
      <c r="A32965" s="1"/>
      <c r="B32965" s="1" t="s">
        <v>8418</v>
      </c>
      <c r="C32965" s="1" t="s">
        <v>8419</v>
      </c>
      <c r="D32965" s="1" t="str">
        <f>HYPERLINK("https://rhld.insurance.arkansas.gov/NPILookup?Npi=1033635396","1033635396")</f>
        <v>1033635396</v>
      </c>
      <c r="E32965" s="1" t="s">
        <v>30193</v>
      </c>
      <c r="F32965" s="2"/>
      <c r="G32965" s="2"/>
      <c r="H32965" s="2"/>
    </row>
    <row r="32966" spans="1:8" x14ac:dyDescent="0.25">
      <c r="A32966" s="1"/>
      <c r="B32966" s="1" t="s">
        <v>8418</v>
      </c>
      <c r="C32966" s="1" t="s">
        <v>8419</v>
      </c>
      <c r="D32966" s="1" t="str">
        <f>HYPERLINK("https://rhld.insurance.arkansas.gov/NPILookup?Npi=1033636410","1033636410")</f>
        <v>1033636410</v>
      </c>
      <c r="E32966" s="1" t="s">
        <v>30194</v>
      </c>
      <c r="F32966" s="2"/>
      <c r="G32966" s="2"/>
      <c r="H32966" s="2"/>
    </row>
    <row r="32967" spans="1:8" x14ac:dyDescent="0.25">
      <c r="A32967" s="1"/>
      <c r="B32967" s="1" t="s">
        <v>8418</v>
      </c>
      <c r="C32967" s="1" t="s">
        <v>8419</v>
      </c>
      <c r="D32967" s="1" t="str">
        <f>HYPERLINK("https://rhld.insurance.arkansas.gov/NPILookup?Npi=1033644232","1033644232")</f>
        <v>1033644232</v>
      </c>
      <c r="E32967" s="1" t="s">
        <v>30195</v>
      </c>
      <c r="F32967" s="2"/>
      <c r="G32967" s="2"/>
      <c r="H32967" s="2"/>
    </row>
    <row r="32968" spans="1:8" x14ac:dyDescent="0.25">
      <c r="A32968" s="1"/>
      <c r="B32968" s="1" t="s">
        <v>8418</v>
      </c>
      <c r="C32968" s="1" t="s">
        <v>8419</v>
      </c>
      <c r="D32968" s="1" t="str">
        <f>HYPERLINK("https://rhld.insurance.arkansas.gov/NPILookup?Npi=1033647458","1033647458")</f>
        <v>1033647458</v>
      </c>
      <c r="E32968" s="1" t="s">
        <v>30196</v>
      </c>
      <c r="F32968" s="2"/>
      <c r="G32968" s="2"/>
      <c r="H32968" s="2"/>
    </row>
    <row r="32969" spans="1:8" x14ac:dyDescent="0.25">
      <c r="A32969" s="1"/>
      <c r="B32969" s="1" t="s">
        <v>8418</v>
      </c>
      <c r="C32969" s="1" t="s">
        <v>8419</v>
      </c>
      <c r="D32969" s="1" t="str">
        <f>HYPERLINK("https://rhld.insurance.arkansas.gov/NPILookup?Npi=1033663737","1033663737")</f>
        <v>1033663737</v>
      </c>
      <c r="E32969" s="1" t="s">
        <v>30197</v>
      </c>
      <c r="F32969" s="2"/>
      <c r="G32969" s="2"/>
      <c r="H32969" s="2"/>
    </row>
    <row r="32970" spans="1:8" x14ac:dyDescent="0.25">
      <c r="A32970" s="1"/>
      <c r="B32970" s="1" t="s">
        <v>8418</v>
      </c>
      <c r="C32970" s="1" t="s">
        <v>8419</v>
      </c>
      <c r="D32970" s="1" t="str">
        <f>HYPERLINK("https://rhld.insurance.arkansas.gov/NPILookup?Npi=1033681051","1033681051")</f>
        <v>1033681051</v>
      </c>
      <c r="E32970" s="1" t="s">
        <v>30198</v>
      </c>
      <c r="F32970" s="2"/>
      <c r="G32970" s="2"/>
      <c r="H32970" s="2"/>
    </row>
    <row r="32971" spans="1:8" x14ac:dyDescent="0.25">
      <c r="A32971" s="1"/>
      <c r="B32971" s="1" t="s">
        <v>8418</v>
      </c>
      <c r="C32971" s="1" t="s">
        <v>8419</v>
      </c>
      <c r="D32971" s="1" t="str">
        <f>HYPERLINK("https://rhld.insurance.arkansas.gov/NPILookup?Npi=1033708490","1033708490")</f>
        <v>1033708490</v>
      </c>
      <c r="E32971" s="1" t="s">
        <v>30199</v>
      </c>
      <c r="F32971" s="2"/>
      <c r="G32971" s="2"/>
      <c r="H32971" s="2"/>
    </row>
    <row r="32972" spans="1:8" x14ac:dyDescent="0.25">
      <c r="A32972" s="1"/>
      <c r="B32972" s="1" t="s">
        <v>8418</v>
      </c>
      <c r="C32972" s="1" t="s">
        <v>8419</v>
      </c>
      <c r="D32972" s="1" t="str">
        <f>HYPERLINK("https://rhld.insurance.arkansas.gov/NPILookup?Npi=1033708664","1033708664")</f>
        <v>1033708664</v>
      </c>
      <c r="E32972" s="1" t="s">
        <v>30200</v>
      </c>
      <c r="F32972" s="2"/>
      <c r="G32972" s="2"/>
      <c r="H32972" s="2"/>
    </row>
    <row r="32973" spans="1:8" x14ac:dyDescent="0.25">
      <c r="A32973" s="1"/>
      <c r="B32973" s="1" t="s">
        <v>8418</v>
      </c>
      <c r="C32973" s="1" t="s">
        <v>8419</v>
      </c>
      <c r="D32973" s="1" t="str">
        <f>HYPERLINK("https://rhld.insurance.arkansas.gov/NPILookup?Npi=1033776505","1033776505")</f>
        <v>1033776505</v>
      </c>
      <c r="E32973" s="1" t="s">
        <v>30201</v>
      </c>
      <c r="F32973" s="2"/>
      <c r="G32973" s="2"/>
      <c r="H32973" s="2"/>
    </row>
    <row r="32974" spans="1:8" x14ac:dyDescent="0.25">
      <c r="A32974" s="1"/>
      <c r="B32974" s="1" t="s">
        <v>8418</v>
      </c>
      <c r="C32974" s="1" t="s">
        <v>8419</v>
      </c>
      <c r="D32974" s="1" t="str">
        <f>HYPERLINK("https://rhld.insurance.arkansas.gov/NPILookup?Npi=1033821053","1033821053")</f>
        <v>1033821053</v>
      </c>
      <c r="E32974" s="1" t="s">
        <v>30202</v>
      </c>
      <c r="F32974" s="2"/>
      <c r="G32974" s="2"/>
      <c r="H32974" s="2"/>
    </row>
    <row r="32975" spans="1:8" x14ac:dyDescent="0.25">
      <c r="A32975" s="1"/>
      <c r="B32975" s="1" t="s">
        <v>8418</v>
      </c>
      <c r="C32975" s="1" t="s">
        <v>8419</v>
      </c>
      <c r="D32975" s="1" t="str">
        <f>HYPERLINK("https://rhld.insurance.arkansas.gov/NPILookup?Npi=1033821962","1033821962")</f>
        <v>1033821962</v>
      </c>
      <c r="E32975" s="1" t="s">
        <v>8439</v>
      </c>
      <c r="F32975" s="2"/>
      <c r="G32975" s="2"/>
      <c r="H32975" s="2"/>
    </row>
    <row r="32976" spans="1:8" x14ac:dyDescent="0.25">
      <c r="A32976" s="1"/>
      <c r="B32976" s="1" t="s">
        <v>8418</v>
      </c>
      <c r="C32976" s="1" t="s">
        <v>8419</v>
      </c>
      <c r="D32976" s="1" t="str">
        <f>HYPERLINK("https://rhld.insurance.arkansas.gov/NPILookup?Npi=1033856638","1033856638")</f>
        <v>1033856638</v>
      </c>
      <c r="E32976" s="1" t="s">
        <v>30203</v>
      </c>
      <c r="F32976" s="2"/>
      <c r="G32976" s="2"/>
      <c r="H32976" s="2"/>
    </row>
    <row r="32977" spans="1:8" x14ac:dyDescent="0.25">
      <c r="A32977" s="1"/>
      <c r="B32977" s="1" t="s">
        <v>8418</v>
      </c>
      <c r="C32977" s="1" t="s">
        <v>8419</v>
      </c>
      <c r="D32977" s="1" t="str">
        <f>HYPERLINK("https://rhld.insurance.arkansas.gov/NPILookup?Npi=1043040603","1043040603")</f>
        <v>1043040603</v>
      </c>
      <c r="E32977" s="1" t="s">
        <v>30204</v>
      </c>
      <c r="F32977" s="2"/>
      <c r="G32977" s="2"/>
      <c r="H32977" s="2"/>
    </row>
    <row r="32978" spans="1:8" x14ac:dyDescent="0.25">
      <c r="A32978" s="1"/>
      <c r="B32978" s="1" t="s">
        <v>8418</v>
      </c>
      <c r="C32978" s="1" t="s">
        <v>8419</v>
      </c>
      <c r="D32978" s="1" t="str">
        <f>HYPERLINK("https://rhld.insurance.arkansas.gov/NPILookup?Npi=1043080948","1043080948")</f>
        <v>1043080948</v>
      </c>
      <c r="E32978" s="1" t="s">
        <v>8440</v>
      </c>
      <c r="F32978" s="2"/>
      <c r="G32978" s="2"/>
      <c r="H32978" s="2"/>
    </row>
    <row r="32979" spans="1:8" x14ac:dyDescent="0.25">
      <c r="A32979" s="1"/>
      <c r="B32979" s="1" t="s">
        <v>8418</v>
      </c>
      <c r="C32979" s="1" t="s">
        <v>8419</v>
      </c>
      <c r="D32979" s="1" t="str">
        <f>HYPERLINK("https://rhld.insurance.arkansas.gov/NPILookup?Npi=1043222391","1043222391")</f>
        <v>1043222391</v>
      </c>
      <c r="E32979" s="1" t="s">
        <v>8441</v>
      </c>
      <c r="F32979" s="2"/>
      <c r="G32979" s="2"/>
      <c r="H32979" s="2"/>
    </row>
    <row r="32980" spans="1:8" x14ac:dyDescent="0.25">
      <c r="A32980" s="1"/>
      <c r="B32980" s="1" t="s">
        <v>8418</v>
      </c>
      <c r="C32980" s="1" t="s">
        <v>8419</v>
      </c>
      <c r="D32980" s="1" t="str">
        <f>HYPERLINK("https://rhld.insurance.arkansas.gov/NPILookup?Npi=1043252976","1043252976")</f>
        <v>1043252976</v>
      </c>
      <c r="E32980" s="1" t="s">
        <v>30205</v>
      </c>
      <c r="F32980" s="2"/>
      <c r="G32980" s="2"/>
      <c r="H32980" s="2"/>
    </row>
    <row r="32981" spans="1:8" x14ac:dyDescent="0.25">
      <c r="A32981" s="1"/>
      <c r="B32981" s="1" t="s">
        <v>8418</v>
      </c>
      <c r="C32981" s="1" t="s">
        <v>8419</v>
      </c>
      <c r="D32981" s="1" t="str">
        <f>HYPERLINK("https://rhld.insurance.arkansas.gov/NPILookup?Npi=1043433287","1043433287")</f>
        <v>1043433287</v>
      </c>
      <c r="E32981" s="1" t="s">
        <v>32499</v>
      </c>
      <c r="F32981" s="2"/>
      <c r="G32981" s="2"/>
      <c r="H32981" s="2"/>
    </row>
    <row r="32982" spans="1:8" x14ac:dyDescent="0.25">
      <c r="A32982" s="1"/>
      <c r="B32982" s="1" t="s">
        <v>8418</v>
      </c>
      <c r="C32982" s="1" t="s">
        <v>8419</v>
      </c>
      <c r="D32982" s="1" t="str">
        <f>HYPERLINK("https://rhld.insurance.arkansas.gov/NPILookup?Npi=1043464084","1043464084")</f>
        <v>1043464084</v>
      </c>
      <c r="E32982" s="1" t="s">
        <v>30206</v>
      </c>
      <c r="F32982" s="2"/>
      <c r="G32982" s="2"/>
      <c r="H32982" s="2"/>
    </row>
    <row r="32983" spans="1:8" x14ac:dyDescent="0.25">
      <c r="A32983" s="1"/>
      <c r="B32983" s="1" t="s">
        <v>8418</v>
      </c>
      <c r="C32983" s="1" t="s">
        <v>8419</v>
      </c>
      <c r="D32983" s="1" t="str">
        <f>HYPERLINK("https://rhld.insurance.arkansas.gov/NPILookup?Npi=1043552284","1043552284")</f>
        <v>1043552284</v>
      </c>
      <c r="E32983" s="1" t="s">
        <v>30207</v>
      </c>
      <c r="F32983" s="2"/>
      <c r="G32983" s="2"/>
      <c r="H32983" s="2"/>
    </row>
    <row r="32984" spans="1:8" x14ac:dyDescent="0.25">
      <c r="A32984" s="1"/>
      <c r="B32984" s="1" t="s">
        <v>8418</v>
      </c>
      <c r="C32984" s="1" t="s">
        <v>8419</v>
      </c>
      <c r="D32984" s="1" t="str">
        <f>HYPERLINK("https://rhld.insurance.arkansas.gov/NPILookup?Npi=1043578727","1043578727")</f>
        <v>1043578727</v>
      </c>
      <c r="E32984" s="1" t="s">
        <v>30208</v>
      </c>
      <c r="F32984" s="2"/>
      <c r="G32984" s="2"/>
      <c r="H32984" s="2"/>
    </row>
    <row r="32985" spans="1:8" x14ac:dyDescent="0.25">
      <c r="A32985" s="1"/>
      <c r="B32985" s="1" t="s">
        <v>8418</v>
      </c>
      <c r="C32985" s="1" t="s">
        <v>8419</v>
      </c>
      <c r="D32985" s="1" t="str">
        <f>HYPERLINK("https://rhld.insurance.arkansas.gov/NPILookup?Npi=1043600109","1043600109")</f>
        <v>1043600109</v>
      </c>
      <c r="E32985" s="1" t="s">
        <v>30209</v>
      </c>
      <c r="F32985" s="2"/>
      <c r="G32985" s="2"/>
      <c r="H32985" s="2"/>
    </row>
    <row r="32986" spans="1:8" x14ac:dyDescent="0.25">
      <c r="A32986" s="1"/>
      <c r="B32986" s="1" t="s">
        <v>8418</v>
      </c>
      <c r="C32986" s="1" t="s">
        <v>8419</v>
      </c>
      <c r="D32986" s="1" t="str">
        <f>HYPERLINK("https://rhld.insurance.arkansas.gov/NPILookup?Npi=1043631807","1043631807")</f>
        <v>1043631807</v>
      </c>
      <c r="E32986" s="1" t="s">
        <v>30210</v>
      </c>
      <c r="F32986" s="2"/>
      <c r="G32986" s="2"/>
      <c r="H32986" s="2"/>
    </row>
    <row r="32987" spans="1:8" x14ac:dyDescent="0.25">
      <c r="A32987" s="1"/>
      <c r="B32987" s="1" t="s">
        <v>8418</v>
      </c>
      <c r="C32987" s="1" t="s">
        <v>8419</v>
      </c>
      <c r="D32987" s="1" t="str">
        <f>HYPERLINK("https://rhld.insurance.arkansas.gov/NPILookup?Npi=1043654767","1043654767")</f>
        <v>1043654767</v>
      </c>
      <c r="E32987" s="1" t="s">
        <v>30211</v>
      </c>
      <c r="F32987" s="2"/>
      <c r="G32987" s="2"/>
      <c r="H32987" s="2"/>
    </row>
    <row r="32988" spans="1:8" x14ac:dyDescent="0.25">
      <c r="A32988" s="1"/>
      <c r="B32988" s="1" t="s">
        <v>8418</v>
      </c>
      <c r="C32988" s="1" t="s">
        <v>8419</v>
      </c>
      <c r="D32988" s="1" t="str">
        <f>HYPERLINK("https://rhld.insurance.arkansas.gov/NPILookup?Npi=1043655988","1043655988")</f>
        <v>1043655988</v>
      </c>
      <c r="E32988" s="1" t="s">
        <v>30212</v>
      </c>
      <c r="F32988" s="2"/>
      <c r="G32988" s="2"/>
      <c r="H32988" s="2"/>
    </row>
    <row r="32989" spans="1:8" x14ac:dyDescent="0.25">
      <c r="A32989" s="1"/>
      <c r="B32989" s="1" t="s">
        <v>8418</v>
      </c>
      <c r="C32989" s="1" t="s">
        <v>8419</v>
      </c>
      <c r="D32989" s="1" t="str">
        <f>HYPERLINK("https://rhld.insurance.arkansas.gov/NPILookup?Npi=1043669732","1043669732")</f>
        <v>1043669732</v>
      </c>
      <c r="E32989" s="1" t="s">
        <v>8442</v>
      </c>
      <c r="F32989" s="2"/>
      <c r="G32989" s="2"/>
      <c r="H32989" s="2"/>
    </row>
    <row r="32990" spans="1:8" x14ac:dyDescent="0.25">
      <c r="A32990" s="1"/>
      <c r="B32990" s="1" t="s">
        <v>8418</v>
      </c>
      <c r="C32990" s="1" t="s">
        <v>8419</v>
      </c>
      <c r="D32990" s="1" t="str">
        <f>HYPERLINK("https://rhld.insurance.arkansas.gov/NPILookup?Npi=1043670292","1043670292")</f>
        <v>1043670292</v>
      </c>
      <c r="E32990" s="1" t="s">
        <v>30213</v>
      </c>
      <c r="F32990" s="2"/>
      <c r="G32990" s="2"/>
      <c r="H32990" s="2"/>
    </row>
    <row r="32991" spans="1:8" x14ac:dyDescent="0.25">
      <c r="A32991" s="1"/>
      <c r="B32991" s="1" t="s">
        <v>8418</v>
      </c>
      <c r="C32991" s="1" t="s">
        <v>8419</v>
      </c>
      <c r="D32991" s="1" t="str">
        <f>HYPERLINK("https://rhld.insurance.arkansas.gov/NPILookup?Npi=1043678527","1043678527")</f>
        <v>1043678527</v>
      </c>
      <c r="E32991" s="1" t="s">
        <v>30214</v>
      </c>
      <c r="F32991" s="2"/>
      <c r="G32991" s="2"/>
      <c r="H32991" s="2"/>
    </row>
    <row r="32992" spans="1:8" x14ac:dyDescent="0.25">
      <c r="A32992" s="1"/>
      <c r="B32992" s="1" t="s">
        <v>8418</v>
      </c>
      <c r="C32992" s="1" t="s">
        <v>8419</v>
      </c>
      <c r="D32992" s="1" t="str">
        <f>HYPERLINK("https://rhld.insurance.arkansas.gov/NPILookup?Npi=1043754294","1043754294")</f>
        <v>1043754294</v>
      </c>
      <c r="E32992" s="1" t="s">
        <v>30215</v>
      </c>
      <c r="F32992" s="2"/>
      <c r="G32992" s="2"/>
      <c r="H32992" s="2"/>
    </row>
    <row r="32993" spans="1:8" x14ac:dyDescent="0.25">
      <c r="A32993" s="1"/>
      <c r="B32993" s="1" t="s">
        <v>8418</v>
      </c>
      <c r="C32993" s="1" t="s">
        <v>8419</v>
      </c>
      <c r="D32993" s="1" t="str">
        <f>HYPERLINK("https://rhld.insurance.arkansas.gov/NPILookup?Npi=1043761687","1043761687")</f>
        <v>1043761687</v>
      </c>
      <c r="E32993" s="1" t="s">
        <v>32500</v>
      </c>
      <c r="F32993" s="2"/>
      <c r="G32993" s="2"/>
      <c r="H32993" s="2"/>
    </row>
    <row r="32994" spans="1:8" x14ac:dyDescent="0.25">
      <c r="A32994" s="1"/>
      <c r="B32994" s="1" t="s">
        <v>8418</v>
      </c>
      <c r="C32994" s="1" t="s">
        <v>8419</v>
      </c>
      <c r="D32994" s="1" t="str">
        <f>HYPERLINK("https://rhld.insurance.arkansas.gov/NPILookup?Npi=1043768948","1043768948")</f>
        <v>1043768948</v>
      </c>
      <c r="E32994" s="1" t="s">
        <v>8316</v>
      </c>
      <c r="F32994" s="2"/>
      <c r="G32994" s="2"/>
      <c r="H32994" s="2"/>
    </row>
    <row r="32995" spans="1:8" x14ac:dyDescent="0.25">
      <c r="A32995" s="1"/>
      <c r="B32995" s="1" t="s">
        <v>8418</v>
      </c>
      <c r="C32995" s="1" t="s">
        <v>8419</v>
      </c>
      <c r="D32995" s="1" t="str">
        <f>HYPERLINK("https://rhld.insurance.arkansas.gov/NPILookup?Npi=1043799059","1043799059")</f>
        <v>1043799059</v>
      </c>
      <c r="E32995" s="1" t="s">
        <v>6288</v>
      </c>
      <c r="F32995" s="2"/>
      <c r="G32995" s="2"/>
      <c r="H32995" s="2"/>
    </row>
    <row r="32996" spans="1:8" x14ac:dyDescent="0.25">
      <c r="A32996" s="1"/>
      <c r="B32996" s="1" t="s">
        <v>8418</v>
      </c>
      <c r="C32996" s="1" t="s">
        <v>8419</v>
      </c>
      <c r="D32996" s="1" t="str">
        <f>HYPERLINK("https://rhld.insurance.arkansas.gov/NPILookup?Npi=1043823008","1043823008")</f>
        <v>1043823008</v>
      </c>
      <c r="E32996" s="1" t="s">
        <v>30216</v>
      </c>
      <c r="F32996" s="2"/>
      <c r="G32996" s="2"/>
      <c r="H32996" s="2"/>
    </row>
    <row r="32997" spans="1:8" x14ac:dyDescent="0.25">
      <c r="A32997" s="1"/>
      <c r="B32997" s="1" t="s">
        <v>8418</v>
      </c>
      <c r="C32997" s="1" t="s">
        <v>8419</v>
      </c>
      <c r="D32997" s="1" t="str">
        <f>HYPERLINK("https://rhld.insurance.arkansas.gov/NPILookup?Npi=1043838576","1043838576")</f>
        <v>1043838576</v>
      </c>
      <c r="E32997" s="1" t="s">
        <v>8443</v>
      </c>
      <c r="F32997" s="2"/>
      <c r="G32997" s="2"/>
      <c r="H32997" s="2"/>
    </row>
    <row r="32998" spans="1:8" x14ac:dyDescent="0.25">
      <c r="A32998" s="1"/>
      <c r="B32998" s="1" t="s">
        <v>8418</v>
      </c>
      <c r="C32998" s="1" t="s">
        <v>8419</v>
      </c>
      <c r="D32998" s="1" t="str">
        <f>HYPERLINK("https://rhld.insurance.arkansas.gov/NPILookup?Npi=1043871999","1043871999")</f>
        <v>1043871999</v>
      </c>
      <c r="E32998" s="1" t="s">
        <v>8444</v>
      </c>
      <c r="F32998" s="2"/>
      <c r="G32998" s="2"/>
      <c r="H32998" s="2"/>
    </row>
    <row r="32999" spans="1:8" x14ac:dyDescent="0.25">
      <c r="A32999" s="1"/>
      <c r="B32999" s="1" t="s">
        <v>8418</v>
      </c>
      <c r="C32999" s="1" t="s">
        <v>8419</v>
      </c>
      <c r="D32999" s="1" t="str">
        <f>HYPERLINK("https://rhld.insurance.arkansas.gov/NPILookup?Npi=1043878184","1043878184")</f>
        <v>1043878184</v>
      </c>
      <c r="E32999" s="1" t="s">
        <v>30217</v>
      </c>
      <c r="F32999" s="2"/>
      <c r="G32999" s="2"/>
      <c r="H32999" s="2"/>
    </row>
    <row r="33000" spans="1:8" x14ac:dyDescent="0.25">
      <c r="A33000" s="1"/>
      <c r="B33000" s="1" t="s">
        <v>8418</v>
      </c>
      <c r="C33000" s="1" t="s">
        <v>8419</v>
      </c>
      <c r="D33000" s="1" t="str">
        <f>HYPERLINK("https://rhld.insurance.arkansas.gov/NPILookup?Npi=1043901036","1043901036")</f>
        <v>1043901036</v>
      </c>
      <c r="E33000" s="1" t="s">
        <v>30218</v>
      </c>
      <c r="F33000" s="2"/>
      <c r="G33000" s="2"/>
      <c r="H33000" s="2"/>
    </row>
    <row r="33001" spans="1:8" x14ac:dyDescent="0.25">
      <c r="A33001" s="1"/>
      <c r="B33001" s="1" t="s">
        <v>8418</v>
      </c>
      <c r="C33001" s="1" t="s">
        <v>8419</v>
      </c>
      <c r="D33001" s="1" t="str">
        <f>HYPERLINK("https://rhld.insurance.arkansas.gov/NPILookup?Npi=1043970379","1043970379")</f>
        <v>1043970379</v>
      </c>
      <c r="E33001" s="1" t="s">
        <v>14057</v>
      </c>
      <c r="F33001" s="2"/>
      <c r="G33001" s="2"/>
      <c r="H33001" s="2"/>
    </row>
    <row r="33002" spans="1:8" x14ac:dyDescent="0.25">
      <c r="A33002" s="1"/>
      <c r="B33002" s="1" t="s">
        <v>8418</v>
      </c>
      <c r="C33002" s="1" t="s">
        <v>8419</v>
      </c>
      <c r="D33002" s="1" t="str">
        <f>HYPERLINK("https://rhld.insurance.arkansas.gov/NPILookup?Npi=1043983976","1043983976")</f>
        <v>1043983976</v>
      </c>
      <c r="E33002" s="1" t="s">
        <v>30219</v>
      </c>
      <c r="F33002" s="2"/>
      <c r="G33002" s="2"/>
      <c r="H33002" s="2"/>
    </row>
    <row r="33003" spans="1:8" x14ac:dyDescent="0.25">
      <c r="A33003" s="1"/>
      <c r="B33003" s="1" t="s">
        <v>8418</v>
      </c>
      <c r="C33003" s="1" t="s">
        <v>8419</v>
      </c>
      <c r="D33003" s="1" t="str">
        <f>HYPERLINK("https://rhld.insurance.arkansas.gov/NPILookup?Npi=1043984107","1043984107")</f>
        <v>1043984107</v>
      </c>
      <c r="E33003" s="1" t="s">
        <v>8445</v>
      </c>
      <c r="F33003" s="2"/>
      <c r="G33003" s="2"/>
      <c r="H33003" s="2"/>
    </row>
    <row r="33004" spans="1:8" x14ac:dyDescent="0.25">
      <c r="A33004" s="1"/>
      <c r="B33004" s="1" t="s">
        <v>8418</v>
      </c>
      <c r="C33004" s="1" t="s">
        <v>8419</v>
      </c>
      <c r="D33004" s="1" t="str">
        <f>HYPERLINK("https://rhld.insurance.arkansas.gov/NPILookup?Npi=1043986508","1043986508")</f>
        <v>1043986508</v>
      </c>
      <c r="E33004" s="1" t="s">
        <v>14058</v>
      </c>
      <c r="F33004" s="2"/>
      <c r="G33004" s="2"/>
      <c r="H33004" s="2"/>
    </row>
    <row r="33005" spans="1:8" x14ac:dyDescent="0.25">
      <c r="A33005" s="1"/>
      <c r="B33005" s="1" t="s">
        <v>8418</v>
      </c>
      <c r="C33005" s="1" t="s">
        <v>8419</v>
      </c>
      <c r="D33005" s="1" t="str">
        <f>HYPERLINK("https://rhld.insurance.arkansas.gov/NPILookup?Npi=1053032722","1053032722")</f>
        <v>1053032722</v>
      </c>
      <c r="E33005" s="1" t="s">
        <v>8446</v>
      </c>
      <c r="F33005" s="2"/>
      <c r="G33005" s="2"/>
      <c r="H33005" s="2"/>
    </row>
    <row r="33006" spans="1:8" x14ac:dyDescent="0.25">
      <c r="A33006" s="1"/>
      <c r="B33006" s="1" t="s">
        <v>8418</v>
      </c>
      <c r="C33006" s="1" t="s">
        <v>8419</v>
      </c>
      <c r="D33006" s="1" t="str">
        <f>HYPERLINK("https://rhld.insurance.arkansas.gov/NPILookup?Npi=1053084426","1053084426")</f>
        <v>1053084426</v>
      </c>
      <c r="E33006" s="1" t="s">
        <v>14059</v>
      </c>
      <c r="F33006" s="2"/>
      <c r="G33006" s="2"/>
      <c r="H33006" s="2"/>
    </row>
    <row r="33007" spans="1:8" x14ac:dyDescent="0.25">
      <c r="A33007" s="1"/>
      <c r="B33007" s="1" t="s">
        <v>8418</v>
      </c>
      <c r="C33007" s="1" t="s">
        <v>8419</v>
      </c>
      <c r="D33007" s="1" t="str">
        <f>HYPERLINK("https://rhld.insurance.arkansas.gov/NPILookup?Npi=1053353839","1053353839")</f>
        <v>1053353839</v>
      </c>
      <c r="E33007" s="1" t="s">
        <v>30220</v>
      </c>
      <c r="F33007" s="2"/>
      <c r="G33007" s="2"/>
      <c r="H33007" s="2"/>
    </row>
    <row r="33008" spans="1:8" x14ac:dyDescent="0.25">
      <c r="A33008" s="1"/>
      <c r="B33008" s="1" t="s">
        <v>8418</v>
      </c>
      <c r="C33008" s="1" t="s">
        <v>8419</v>
      </c>
      <c r="D33008" s="1" t="str">
        <f>HYPERLINK("https://rhld.insurance.arkansas.gov/NPILookup?Npi=1053355354","1053355354")</f>
        <v>1053355354</v>
      </c>
      <c r="E33008" s="1" t="s">
        <v>30221</v>
      </c>
      <c r="F33008" s="2"/>
      <c r="G33008" s="2"/>
      <c r="H33008" s="2"/>
    </row>
    <row r="33009" spans="1:8" x14ac:dyDescent="0.25">
      <c r="A33009" s="1"/>
      <c r="B33009" s="1" t="s">
        <v>8418</v>
      </c>
      <c r="C33009" s="1" t="s">
        <v>8419</v>
      </c>
      <c r="D33009" s="1" t="str">
        <f>HYPERLINK("https://rhld.insurance.arkansas.gov/NPILookup?Npi=1053479006","1053479006")</f>
        <v>1053479006</v>
      </c>
      <c r="E33009" s="1" t="s">
        <v>30222</v>
      </c>
      <c r="F33009" s="2"/>
      <c r="G33009" s="2"/>
      <c r="H33009" s="2"/>
    </row>
    <row r="33010" spans="1:8" x14ac:dyDescent="0.25">
      <c r="A33010" s="1"/>
      <c r="B33010" s="1" t="s">
        <v>8418</v>
      </c>
      <c r="C33010" s="1" t="s">
        <v>8419</v>
      </c>
      <c r="D33010" s="1" t="str">
        <f>HYPERLINK("https://rhld.insurance.arkansas.gov/NPILookup?Npi=1053549477","1053549477")</f>
        <v>1053549477</v>
      </c>
      <c r="E33010" s="1" t="s">
        <v>30223</v>
      </c>
      <c r="F33010" s="2"/>
      <c r="G33010" s="2"/>
      <c r="H33010" s="2"/>
    </row>
    <row r="33011" spans="1:8" x14ac:dyDescent="0.25">
      <c r="A33011" s="1"/>
      <c r="B33011" s="1" t="s">
        <v>8418</v>
      </c>
      <c r="C33011" s="1" t="s">
        <v>8419</v>
      </c>
      <c r="D33011" s="1" t="str">
        <f>HYPERLINK("https://rhld.insurance.arkansas.gov/NPILookup?Npi=1053594473","1053594473")</f>
        <v>1053594473</v>
      </c>
      <c r="E33011" s="1" t="s">
        <v>30224</v>
      </c>
      <c r="F33011" s="2"/>
      <c r="G33011" s="2"/>
      <c r="H33011" s="2"/>
    </row>
    <row r="33012" spans="1:8" x14ac:dyDescent="0.25">
      <c r="A33012" s="1"/>
      <c r="B33012" s="1" t="s">
        <v>8418</v>
      </c>
      <c r="C33012" s="1" t="s">
        <v>8419</v>
      </c>
      <c r="D33012" s="1" t="str">
        <f>HYPERLINK("https://rhld.insurance.arkansas.gov/NPILookup?Npi=1053607960","1053607960")</f>
        <v>1053607960</v>
      </c>
      <c r="E33012" s="1" t="s">
        <v>30225</v>
      </c>
      <c r="F33012" s="2"/>
      <c r="G33012" s="2"/>
      <c r="H33012" s="2"/>
    </row>
    <row r="33013" spans="1:8" x14ac:dyDescent="0.25">
      <c r="A33013" s="1"/>
      <c r="B33013" s="1" t="s">
        <v>8418</v>
      </c>
      <c r="C33013" s="1" t="s">
        <v>8419</v>
      </c>
      <c r="D33013" s="1" t="str">
        <f>HYPERLINK("https://rhld.insurance.arkansas.gov/NPILookup?Npi=1053700039","1053700039")</f>
        <v>1053700039</v>
      </c>
      <c r="E33013" s="1" t="s">
        <v>30226</v>
      </c>
      <c r="F33013" s="2"/>
      <c r="G33013" s="2"/>
      <c r="H33013" s="2"/>
    </row>
    <row r="33014" spans="1:8" x14ac:dyDescent="0.25">
      <c r="A33014" s="1"/>
      <c r="B33014" s="1" t="s">
        <v>8418</v>
      </c>
      <c r="C33014" s="1" t="s">
        <v>8419</v>
      </c>
      <c r="D33014" s="1" t="str">
        <f>HYPERLINK("https://rhld.insurance.arkansas.gov/NPILookup?Npi=1053777532","1053777532")</f>
        <v>1053777532</v>
      </c>
      <c r="E33014" s="1" t="s">
        <v>8447</v>
      </c>
      <c r="F33014" s="2"/>
      <c r="G33014" s="2"/>
      <c r="H33014" s="2"/>
    </row>
    <row r="33015" spans="1:8" x14ac:dyDescent="0.25">
      <c r="A33015" s="1"/>
      <c r="B33015" s="1" t="s">
        <v>8418</v>
      </c>
      <c r="C33015" s="1" t="s">
        <v>8419</v>
      </c>
      <c r="D33015" s="1" t="str">
        <f>HYPERLINK("https://rhld.insurance.arkansas.gov/NPILookup?Npi=1053801050","1053801050")</f>
        <v>1053801050</v>
      </c>
      <c r="E33015" s="1" t="s">
        <v>30227</v>
      </c>
      <c r="F33015" s="2"/>
      <c r="G33015" s="2"/>
      <c r="H33015" s="2"/>
    </row>
    <row r="33016" spans="1:8" x14ac:dyDescent="0.25">
      <c r="A33016" s="1"/>
      <c r="B33016" s="1" t="s">
        <v>8418</v>
      </c>
      <c r="C33016" s="1" t="s">
        <v>8419</v>
      </c>
      <c r="D33016" s="1" t="str">
        <f>HYPERLINK("https://rhld.insurance.arkansas.gov/NPILookup?Npi=1053866103","1053866103")</f>
        <v>1053866103</v>
      </c>
      <c r="E33016" s="1" t="s">
        <v>30228</v>
      </c>
      <c r="F33016" s="2"/>
      <c r="G33016" s="2"/>
      <c r="H33016" s="2"/>
    </row>
    <row r="33017" spans="1:8" x14ac:dyDescent="0.25">
      <c r="A33017" s="1"/>
      <c r="B33017" s="1" t="s">
        <v>8418</v>
      </c>
      <c r="C33017" s="1" t="s">
        <v>8419</v>
      </c>
      <c r="D33017" s="1" t="str">
        <f>HYPERLINK("https://rhld.insurance.arkansas.gov/NPILookup?Npi=1053899880","1053899880")</f>
        <v>1053899880</v>
      </c>
      <c r="E33017" s="1" t="s">
        <v>14060</v>
      </c>
      <c r="F33017" s="2"/>
      <c r="G33017" s="2"/>
      <c r="H33017" s="2"/>
    </row>
    <row r="33018" spans="1:8" x14ac:dyDescent="0.25">
      <c r="A33018" s="1"/>
      <c r="B33018" s="1" t="s">
        <v>8418</v>
      </c>
      <c r="C33018" s="1" t="s">
        <v>8419</v>
      </c>
      <c r="D33018" s="1" t="str">
        <f>HYPERLINK("https://rhld.insurance.arkansas.gov/NPILookup?Npi=1053932095","1053932095")</f>
        <v>1053932095</v>
      </c>
      <c r="E33018" s="1" t="s">
        <v>8448</v>
      </c>
      <c r="F33018" s="2"/>
      <c r="G33018" s="2"/>
      <c r="H33018" s="2"/>
    </row>
    <row r="33019" spans="1:8" x14ac:dyDescent="0.25">
      <c r="A33019" s="1"/>
      <c r="B33019" s="1" t="s">
        <v>8418</v>
      </c>
      <c r="C33019" s="1" t="s">
        <v>8419</v>
      </c>
      <c r="D33019" s="1" t="str">
        <f>HYPERLINK("https://rhld.insurance.arkansas.gov/NPILookup?Npi=1063030997","1063030997")</f>
        <v>1063030997</v>
      </c>
      <c r="E33019" s="1" t="s">
        <v>14061</v>
      </c>
      <c r="F33019" s="2"/>
      <c r="G33019" s="2"/>
      <c r="H33019" s="2"/>
    </row>
    <row r="33020" spans="1:8" x14ac:dyDescent="0.25">
      <c r="A33020" s="1"/>
      <c r="B33020" s="1" t="s">
        <v>8418</v>
      </c>
      <c r="C33020" s="1" t="s">
        <v>8419</v>
      </c>
      <c r="D33020" s="1" t="str">
        <f>HYPERLINK("https://rhld.insurance.arkansas.gov/NPILookup?Npi=1063058899","1063058899")</f>
        <v>1063058899</v>
      </c>
      <c r="E33020" s="1" t="s">
        <v>30229</v>
      </c>
      <c r="F33020" s="2"/>
      <c r="G33020" s="2"/>
      <c r="H33020" s="2"/>
    </row>
    <row r="33021" spans="1:8" x14ac:dyDescent="0.25">
      <c r="A33021" s="1"/>
      <c r="B33021" s="1" t="s">
        <v>8418</v>
      </c>
      <c r="C33021" s="1" t="s">
        <v>8419</v>
      </c>
      <c r="D33021" s="1" t="str">
        <f>HYPERLINK("https://rhld.insurance.arkansas.gov/NPILookup?Npi=1063060713","1063060713")</f>
        <v>1063060713</v>
      </c>
      <c r="E33021" s="1" t="s">
        <v>5208</v>
      </c>
      <c r="F33021" s="2"/>
      <c r="G33021" s="2"/>
      <c r="H33021" s="2"/>
    </row>
    <row r="33022" spans="1:8" x14ac:dyDescent="0.25">
      <c r="A33022" s="1"/>
      <c r="B33022" s="1" t="s">
        <v>8418</v>
      </c>
      <c r="C33022" s="1" t="s">
        <v>8419</v>
      </c>
      <c r="D33022" s="1" t="str">
        <f>HYPERLINK("https://rhld.insurance.arkansas.gov/NPILookup?Npi=1063088417","1063088417")</f>
        <v>1063088417</v>
      </c>
      <c r="E33022" s="1" t="s">
        <v>30230</v>
      </c>
      <c r="F33022" s="2"/>
      <c r="G33022" s="2"/>
      <c r="H33022" s="2"/>
    </row>
    <row r="33023" spans="1:8" x14ac:dyDescent="0.25">
      <c r="A33023" s="1"/>
      <c r="B33023" s="1" t="s">
        <v>8418</v>
      </c>
      <c r="C33023" s="1" t="s">
        <v>8419</v>
      </c>
      <c r="D33023" s="1" t="str">
        <f>HYPERLINK("https://rhld.insurance.arkansas.gov/NPILookup?Npi=1063130532","1063130532")</f>
        <v>1063130532</v>
      </c>
      <c r="E33023" s="1" t="s">
        <v>32501</v>
      </c>
      <c r="F33023" s="2"/>
      <c r="G33023" s="2"/>
      <c r="H33023" s="2"/>
    </row>
    <row r="33024" spans="1:8" x14ac:dyDescent="0.25">
      <c r="A33024" s="1"/>
      <c r="B33024" s="1" t="s">
        <v>8418</v>
      </c>
      <c r="C33024" s="1" t="s">
        <v>8419</v>
      </c>
      <c r="D33024" s="1" t="str">
        <f>HYPERLINK("https://rhld.insurance.arkansas.gov/NPILookup?Npi=1063163640","1063163640")</f>
        <v>1063163640</v>
      </c>
      <c r="E33024" s="1" t="s">
        <v>30231</v>
      </c>
      <c r="F33024" s="2"/>
      <c r="G33024" s="2"/>
      <c r="H33024" s="2"/>
    </row>
    <row r="33025" spans="1:8" x14ac:dyDescent="0.25">
      <c r="A33025" s="1"/>
      <c r="B33025" s="1" t="s">
        <v>8418</v>
      </c>
      <c r="C33025" s="1" t="s">
        <v>8419</v>
      </c>
      <c r="D33025" s="1" t="str">
        <f>HYPERLINK("https://rhld.insurance.arkansas.gov/NPILookup?Npi=1063183184","1063183184")</f>
        <v>1063183184</v>
      </c>
      <c r="E33025" s="1" t="s">
        <v>8449</v>
      </c>
      <c r="F33025" s="2"/>
      <c r="G33025" s="2"/>
      <c r="H33025" s="2"/>
    </row>
    <row r="33026" spans="1:8" x14ac:dyDescent="0.25">
      <c r="A33026" s="1"/>
      <c r="B33026" s="1" t="s">
        <v>8418</v>
      </c>
      <c r="C33026" s="1" t="s">
        <v>8419</v>
      </c>
      <c r="D33026" s="1" t="str">
        <f>HYPERLINK("https://rhld.insurance.arkansas.gov/NPILookup?Npi=1063253706","1063253706")</f>
        <v>1063253706</v>
      </c>
      <c r="E33026" s="1" t="s">
        <v>30232</v>
      </c>
      <c r="F33026" s="2"/>
      <c r="G33026" s="2"/>
      <c r="H33026" s="2"/>
    </row>
    <row r="33027" spans="1:8" x14ac:dyDescent="0.25">
      <c r="A33027" s="1"/>
      <c r="B33027" s="1" t="s">
        <v>8418</v>
      </c>
      <c r="C33027" s="1" t="s">
        <v>8419</v>
      </c>
      <c r="D33027" s="1" t="str">
        <f>HYPERLINK("https://rhld.insurance.arkansas.gov/NPILookup?Npi=1063592186","1063592186")</f>
        <v>1063592186</v>
      </c>
      <c r="E33027" s="1" t="s">
        <v>30233</v>
      </c>
      <c r="F33027" s="2"/>
      <c r="G33027" s="2"/>
      <c r="H33027" s="2"/>
    </row>
    <row r="33028" spans="1:8" x14ac:dyDescent="0.25">
      <c r="A33028" s="1"/>
      <c r="B33028" s="1" t="s">
        <v>8418</v>
      </c>
      <c r="C33028" s="1" t="s">
        <v>8419</v>
      </c>
      <c r="D33028" s="1" t="str">
        <f>HYPERLINK("https://rhld.insurance.arkansas.gov/NPILookup?Npi=1063643377","1063643377")</f>
        <v>1063643377</v>
      </c>
      <c r="E33028" s="1" t="s">
        <v>30234</v>
      </c>
      <c r="F33028" s="2"/>
      <c r="G33028" s="2"/>
      <c r="H33028" s="2"/>
    </row>
    <row r="33029" spans="1:8" x14ac:dyDescent="0.25">
      <c r="A33029" s="1"/>
      <c r="B33029" s="1" t="s">
        <v>8418</v>
      </c>
      <c r="C33029" s="1" t="s">
        <v>8419</v>
      </c>
      <c r="D33029" s="1" t="str">
        <f>HYPERLINK("https://rhld.insurance.arkansas.gov/NPILookup?Npi=1063799708","1063799708")</f>
        <v>1063799708</v>
      </c>
      <c r="E33029" s="1" t="s">
        <v>30235</v>
      </c>
      <c r="F33029" s="2"/>
      <c r="G33029" s="2"/>
      <c r="H33029" s="2"/>
    </row>
    <row r="33030" spans="1:8" x14ac:dyDescent="0.25">
      <c r="A33030" s="1"/>
      <c r="B33030" s="1" t="s">
        <v>8418</v>
      </c>
      <c r="C33030" s="1" t="s">
        <v>8419</v>
      </c>
      <c r="D33030" s="1" t="str">
        <f>HYPERLINK("https://rhld.insurance.arkansas.gov/NPILookup?Npi=1063832871","1063832871")</f>
        <v>1063832871</v>
      </c>
      <c r="E33030" s="1" t="s">
        <v>8450</v>
      </c>
      <c r="F33030" s="2"/>
      <c r="G33030" s="2"/>
      <c r="H33030" s="2"/>
    </row>
    <row r="33031" spans="1:8" x14ac:dyDescent="0.25">
      <c r="A33031" s="1"/>
      <c r="B33031" s="1" t="s">
        <v>8418</v>
      </c>
      <c r="C33031" s="1" t="s">
        <v>8419</v>
      </c>
      <c r="D33031" s="1" t="str">
        <f>HYPERLINK("https://rhld.insurance.arkansas.gov/NPILookup?Npi=1063898526","1063898526")</f>
        <v>1063898526</v>
      </c>
      <c r="E33031" s="1" t="s">
        <v>30236</v>
      </c>
      <c r="F33031" s="2"/>
      <c r="G33031" s="2"/>
      <c r="H33031" s="2"/>
    </row>
    <row r="33032" spans="1:8" x14ac:dyDescent="0.25">
      <c r="A33032" s="1"/>
      <c r="B33032" s="1" t="s">
        <v>8418</v>
      </c>
      <c r="C33032" s="1" t="s">
        <v>8419</v>
      </c>
      <c r="D33032" s="1" t="str">
        <f>HYPERLINK("https://rhld.insurance.arkansas.gov/NPILookup?Npi=1063938868","1063938868")</f>
        <v>1063938868</v>
      </c>
      <c r="E33032" s="1" t="s">
        <v>30237</v>
      </c>
      <c r="F33032" s="2"/>
      <c r="G33032" s="2"/>
      <c r="H33032" s="2"/>
    </row>
    <row r="33033" spans="1:8" x14ac:dyDescent="0.25">
      <c r="A33033" s="1"/>
      <c r="B33033" s="1" t="s">
        <v>8418</v>
      </c>
      <c r="C33033" s="1" t="s">
        <v>8419</v>
      </c>
      <c r="D33033" s="1" t="str">
        <f>HYPERLINK("https://rhld.insurance.arkansas.gov/NPILookup?Npi=1063980167","1063980167")</f>
        <v>1063980167</v>
      </c>
      <c r="E33033" s="1" t="s">
        <v>30238</v>
      </c>
      <c r="F33033" s="2"/>
      <c r="G33033" s="2"/>
      <c r="H33033" s="2"/>
    </row>
    <row r="33034" spans="1:8" x14ac:dyDescent="0.25">
      <c r="A33034" s="1"/>
      <c r="B33034" s="1" t="s">
        <v>8418</v>
      </c>
      <c r="C33034" s="1" t="s">
        <v>8419</v>
      </c>
      <c r="D33034" s="1" t="str">
        <f>HYPERLINK("https://rhld.insurance.arkansas.gov/NPILookup?Npi=1063985869","1063985869")</f>
        <v>1063985869</v>
      </c>
      <c r="E33034" s="1" t="s">
        <v>14062</v>
      </c>
      <c r="F33034" s="2"/>
      <c r="G33034" s="2"/>
      <c r="H33034" s="2"/>
    </row>
    <row r="33035" spans="1:8" x14ac:dyDescent="0.25">
      <c r="A33035" s="1"/>
      <c r="B33035" s="1" t="s">
        <v>8418</v>
      </c>
      <c r="C33035" s="1" t="s">
        <v>8419</v>
      </c>
      <c r="D33035" s="1" t="str">
        <f>HYPERLINK("https://rhld.insurance.arkansas.gov/NPILookup?Npi=1073031142","1073031142")</f>
        <v>1073031142</v>
      </c>
      <c r="E33035" s="1" t="s">
        <v>30239</v>
      </c>
      <c r="F33035" s="2"/>
      <c r="G33035" s="2"/>
      <c r="H33035" s="2"/>
    </row>
    <row r="33036" spans="1:8" x14ac:dyDescent="0.25">
      <c r="A33036" s="1"/>
      <c r="B33036" s="1" t="s">
        <v>8418</v>
      </c>
      <c r="C33036" s="1" t="s">
        <v>8419</v>
      </c>
      <c r="D33036" s="1" t="str">
        <f>HYPERLINK("https://rhld.insurance.arkansas.gov/NPILookup?Npi=1073053617","1073053617")</f>
        <v>1073053617</v>
      </c>
      <c r="E33036" s="1" t="s">
        <v>30240</v>
      </c>
      <c r="F33036" s="2"/>
      <c r="G33036" s="2"/>
      <c r="H33036" s="2"/>
    </row>
    <row r="33037" spans="1:8" x14ac:dyDescent="0.25">
      <c r="A33037" s="1"/>
      <c r="B33037" s="1" t="s">
        <v>8418</v>
      </c>
      <c r="C33037" s="1" t="s">
        <v>8419</v>
      </c>
      <c r="D33037" s="1" t="str">
        <f>HYPERLINK("https://rhld.insurance.arkansas.gov/NPILookup?Npi=1073061438","1073061438")</f>
        <v>1073061438</v>
      </c>
      <c r="E33037" s="1" t="s">
        <v>30241</v>
      </c>
      <c r="F33037" s="2"/>
      <c r="G33037" s="2"/>
      <c r="H33037" s="2"/>
    </row>
    <row r="33038" spans="1:8" x14ac:dyDescent="0.25">
      <c r="A33038" s="1"/>
      <c r="B33038" s="1" t="s">
        <v>8418</v>
      </c>
      <c r="C33038" s="1" t="s">
        <v>8419</v>
      </c>
      <c r="D33038" s="1" t="str">
        <f>HYPERLINK("https://rhld.insurance.arkansas.gov/NPILookup?Npi=1073181459","1073181459")</f>
        <v>1073181459</v>
      </c>
      <c r="E33038" s="1" t="s">
        <v>30242</v>
      </c>
      <c r="F33038" s="2"/>
      <c r="G33038" s="2"/>
      <c r="H33038" s="2"/>
    </row>
    <row r="33039" spans="1:8" x14ac:dyDescent="0.25">
      <c r="A33039" s="1"/>
      <c r="B33039" s="1" t="s">
        <v>8418</v>
      </c>
      <c r="C33039" s="1" t="s">
        <v>8419</v>
      </c>
      <c r="D33039" s="1" t="str">
        <f>HYPERLINK("https://rhld.insurance.arkansas.gov/NPILookup?Npi=1073232195","1073232195")</f>
        <v>1073232195</v>
      </c>
      <c r="E33039" s="1" t="s">
        <v>32502</v>
      </c>
      <c r="F33039" s="2"/>
      <c r="G33039" s="2"/>
      <c r="H33039" s="2"/>
    </row>
    <row r="33040" spans="1:8" x14ac:dyDescent="0.25">
      <c r="A33040" s="1"/>
      <c r="B33040" s="1" t="s">
        <v>8418</v>
      </c>
      <c r="C33040" s="1" t="s">
        <v>8419</v>
      </c>
      <c r="D33040" s="1" t="str">
        <f>HYPERLINK("https://rhld.insurance.arkansas.gov/NPILookup?Npi=1073380416","1073380416")</f>
        <v>1073380416</v>
      </c>
      <c r="E33040" s="1" t="s">
        <v>32503</v>
      </c>
      <c r="F33040" s="2"/>
      <c r="G33040" s="2"/>
      <c r="H33040" s="2"/>
    </row>
    <row r="33041" spans="1:8" x14ac:dyDescent="0.25">
      <c r="A33041" s="1"/>
      <c r="B33041" s="1" t="s">
        <v>8418</v>
      </c>
      <c r="C33041" s="1" t="s">
        <v>8419</v>
      </c>
      <c r="D33041" s="1" t="str">
        <f>HYPERLINK("https://rhld.insurance.arkansas.gov/NPILookup?Npi=1073550471","1073550471")</f>
        <v>1073550471</v>
      </c>
      <c r="E33041" s="1" t="s">
        <v>30243</v>
      </c>
      <c r="F33041" s="2"/>
      <c r="G33041" s="2"/>
      <c r="H33041" s="2"/>
    </row>
    <row r="33042" spans="1:8" x14ac:dyDescent="0.25">
      <c r="A33042" s="1"/>
      <c r="B33042" s="1" t="s">
        <v>8418</v>
      </c>
      <c r="C33042" s="1" t="s">
        <v>8419</v>
      </c>
      <c r="D33042" s="1" t="str">
        <f>HYPERLINK("https://rhld.insurance.arkansas.gov/NPILookup?Npi=1073660718","1073660718")</f>
        <v>1073660718</v>
      </c>
      <c r="E33042" s="1" t="s">
        <v>30244</v>
      </c>
      <c r="F33042" s="2"/>
      <c r="G33042" s="2"/>
      <c r="H33042" s="2"/>
    </row>
    <row r="33043" spans="1:8" x14ac:dyDescent="0.25">
      <c r="A33043" s="1"/>
      <c r="B33043" s="1" t="s">
        <v>8418</v>
      </c>
      <c r="C33043" s="1" t="s">
        <v>8419</v>
      </c>
      <c r="D33043" s="1" t="str">
        <f>HYPERLINK("https://rhld.insurance.arkansas.gov/NPILookup?Npi=1073679957","1073679957")</f>
        <v>1073679957</v>
      </c>
      <c r="E33043" s="1" t="s">
        <v>14063</v>
      </c>
      <c r="F33043" s="2"/>
      <c r="G33043" s="2"/>
      <c r="H33043" s="2"/>
    </row>
    <row r="33044" spans="1:8" x14ac:dyDescent="0.25">
      <c r="A33044" s="1"/>
      <c r="B33044" s="1" t="s">
        <v>8418</v>
      </c>
      <c r="C33044" s="1" t="s">
        <v>8419</v>
      </c>
      <c r="D33044" s="1" t="str">
        <f>HYPERLINK("https://rhld.insurance.arkansas.gov/NPILookup?Npi=1073760336","1073760336")</f>
        <v>1073760336</v>
      </c>
      <c r="E33044" s="1" t="s">
        <v>14064</v>
      </c>
      <c r="F33044" s="2"/>
      <c r="G33044" s="2"/>
      <c r="H33044" s="2"/>
    </row>
    <row r="33045" spans="1:8" x14ac:dyDescent="0.25">
      <c r="A33045" s="1"/>
      <c r="B33045" s="1" t="s">
        <v>8418</v>
      </c>
      <c r="C33045" s="1" t="s">
        <v>8419</v>
      </c>
      <c r="D33045" s="1" t="str">
        <f>HYPERLINK("https://rhld.insurance.arkansas.gov/NPILookup?Npi=1073761086","1073761086")</f>
        <v>1073761086</v>
      </c>
      <c r="E33045" s="1" t="s">
        <v>8451</v>
      </c>
      <c r="F33045" s="2"/>
      <c r="G33045" s="2"/>
      <c r="H33045" s="2"/>
    </row>
    <row r="33046" spans="1:8" x14ac:dyDescent="0.25">
      <c r="A33046" s="1"/>
      <c r="B33046" s="1" t="s">
        <v>8418</v>
      </c>
      <c r="C33046" s="1" t="s">
        <v>8419</v>
      </c>
      <c r="D33046" s="1" t="str">
        <f>HYPERLINK("https://rhld.insurance.arkansas.gov/NPILookup?Npi=1073761979","1073761979")</f>
        <v>1073761979</v>
      </c>
      <c r="E33046" s="1" t="s">
        <v>30245</v>
      </c>
      <c r="F33046" s="2"/>
      <c r="G33046" s="2"/>
      <c r="H33046" s="2"/>
    </row>
    <row r="33047" spans="1:8" x14ac:dyDescent="0.25">
      <c r="A33047" s="1"/>
      <c r="B33047" s="1" t="s">
        <v>8418</v>
      </c>
      <c r="C33047" s="1" t="s">
        <v>8419</v>
      </c>
      <c r="D33047" s="1" t="str">
        <f>HYPERLINK("https://rhld.insurance.arkansas.gov/NPILookup?Npi=1073803763","1073803763")</f>
        <v>1073803763</v>
      </c>
      <c r="E33047" s="1" t="s">
        <v>14065</v>
      </c>
      <c r="F33047" s="2"/>
      <c r="G33047" s="2"/>
      <c r="H33047" s="2"/>
    </row>
    <row r="33048" spans="1:8" x14ac:dyDescent="0.25">
      <c r="A33048" s="1"/>
      <c r="B33048" s="1" t="s">
        <v>8418</v>
      </c>
      <c r="C33048" s="1" t="s">
        <v>8419</v>
      </c>
      <c r="D33048" s="1" t="str">
        <f>HYPERLINK("https://rhld.insurance.arkansas.gov/NPILookup?Npi=1073804050","1073804050")</f>
        <v>1073804050</v>
      </c>
      <c r="E33048" s="1" t="s">
        <v>8452</v>
      </c>
      <c r="F33048" s="2"/>
      <c r="G33048" s="2"/>
      <c r="H33048" s="2"/>
    </row>
    <row r="33049" spans="1:8" x14ac:dyDescent="0.25">
      <c r="A33049" s="1"/>
      <c r="B33049" s="1" t="s">
        <v>8418</v>
      </c>
      <c r="C33049" s="1" t="s">
        <v>8419</v>
      </c>
      <c r="D33049" s="1" t="str">
        <f>HYPERLINK("https://rhld.insurance.arkansas.gov/NPILookup?Npi=1073848545","1073848545")</f>
        <v>1073848545</v>
      </c>
      <c r="E33049" s="1" t="s">
        <v>8453</v>
      </c>
      <c r="F33049" s="2"/>
      <c r="G33049" s="2"/>
      <c r="H33049" s="2"/>
    </row>
    <row r="33050" spans="1:8" x14ac:dyDescent="0.25">
      <c r="A33050" s="1"/>
      <c r="B33050" s="1" t="s">
        <v>8418</v>
      </c>
      <c r="C33050" s="1" t="s">
        <v>8419</v>
      </c>
      <c r="D33050" s="1" t="str">
        <f>HYPERLINK("https://rhld.insurance.arkansas.gov/NPILookup?Npi=1073864823","1073864823")</f>
        <v>1073864823</v>
      </c>
      <c r="E33050" s="1" t="s">
        <v>30246</v>
      </c>
      <c r="F33050" s="2"/>
      <c r="G33050" s="2"/>
      <c r="H33050" s="2"/>
    </row>
    <row r="33051" spans="1:8" x14ac:dyDescent="0.25">
      <c r="A33051" s="1"/>
      <c r="B33051" s="1" t="s">
        <v>8418</v>
      </c>
      <c r="C33051" s="1" t="s">
        <v>8419</v>
      </c>
      <c r="D33051" s="1" t="str">
        <f>HYPERLINK("https://rhld.insurance.arkansas.gov/NPILookup?Npi=1073883591","1073883591")</f>
        <v>1073883591</v>
      </c>
      <c r="E33051" s="1" t="s">
        <v>30247</v>
      </c>
      <c r="F33051" s="2"/>
      <c r="G33051" s="2"/>
      <c r="H33051" s="2"/>
    </row>
    <row r="33052" spans="1:8" x14ac:dyDescent="0.25">
      <c r="A33052" s="1"/>
      <c r="B33052" s="1" t="s">
        <v>8418</v>
      </c>
      <c r="C33052" s="1" t="s">
        <v>8419</v>
      </c>
      <c r="D33052" s="1" t="str">
        <f>HYPERLINK("https://rhld.insurance.arkansas.gov/NPILookup?Npi=1073914792","1073914792")</f>
        <v>1073914792</v>
      </c>
      <c r="E33052" s="1" t="s">
        <v>8454</v>
      </c>
      <c r="F33052" s="2"/>
      <c r="G33052" s="2"/>
      <c r="H33052" s="2"/>
    </row>
    <row r="33053" spans="1:8" x14ac:dyDescent="0.25">
      <c r="A33053" s="1"/>
      <c r="B33053" s="1" t="s">
        <v>8418</v>
      </c>
      <c r="C33053" s="1" t="s">
        <v>8419</v>
      </c>
      <c r="D33053" s="1" t="str">
        <f>HYPERLINK("https://rhld.insurance.arkansas.gov/NPILookup?Npi=1073916995","1073916995")</f>
        <v>1073916995</v>
      </c>
      <c r="E33053" s="1" t="s">
        <v>30248</v>
      </c>
      <c r="F33053" s="2"/>
      <c r="G33053" s="2"/>
      <c r="H33053" s="2"/>
    </row>
    <row r="33054" spans="1:8" x14ac:dyDescent="0.25">
      <c r="A33054" s="1"/>
      <c r="B33054" s="1" t="s">
        <v>8418</v>
      </c>
      <c r="C33054" s="1" t="s">
        <v>8419</v>
      </c>
      <c r="D33054" s="1" t="str">
        <f>HYPERLINK("https://rhld.insurance.arkansas.gov/NPILookup?Npi=1073972873","1073972873")</f>
        <v>1073972873</v>
      </c>
      <c r="E33054" s="1" t="s">
        <v>14066</v>
      </c>
      <c r="F33054" s="2"/>
      <c r="G33054" s="2"/>
      <c r="H33054" s="2"/>
    </row>
    <row r="33055" spans="1:8" x14ac:dyDescent="0.25">
      <c r="A33055" s="1"/>
      <c r="B33055" s="1" t="s">
        <v>8418</v>
      </c>
      <c r="C33055" s="1" t="s">
        <v>8419</v>
      </c>
      <c r="D33055" s="1" t="str">
        <f>HYPERLINK("https://rhld.insurance.arkansas.gov/NPILookup?Npi=1083021067","1083021067")</f>
        <v>1083021067</v>
      </c>
      <c r="E33055" s="1" t="s">
        <v>30249</v>
      </c>
      <c r="F33055" s="2"/>
      <c r="G33055" s="2"/>
      <c r="H33055" s="2"/>
    </row>
    <row r="33056" spans="1:8" x14ac:dyDescent="0.25">
      <c r="A33056" s="1"/>
      <c r="B33056" s="1" t="s">
        <v>8418</v>
      </c>
      <c r="C33056" s="1" t="s">
        <v>8419</v>
      </c>
      <c r="D33056" s="1" t="str">
        <f>HYPERLINK("https://rhld.insurance.arkansas.gov/NPILookup?Npi=1083146054","1083146054")</f>
        <v>1083146054</v>
      </c>
      <c r="E33056" s="1" t="s">
        <v>18356</v>
      </c>
      <c r="F33056" s="2"/>
      <c r="G33056" s="2"/>
      <c r="H33056" s="2"/>
    </row>
    <row r="33057" spans="1:8" x14ac:dyDescent="0.25">
      <c r="A33057" s="1"/>
      <c r="B33057" s="1" t="s">
        <v>8418</v>
      </c>
      <c r="C33057" s="1" t="s">
        <v>8419</v>
      </c>
      <c r="D33057" s="1" t="str">
        <f>HYPERLINK("https://rhld.insurance.arkansas.gov/NPILookup?Npi=1083151104","1083151104")</f>
        <v>1083151104</v>
      </c>
      <c r="E33057" s="1" t="s">
        <v>30250</v>
      </c>
      <c r="F33057" s="2"/>
      <c r="G33057" s="2"/>
      <c r="H33057" s="2"/>
    </row>
    <row r="33058" spans="1:8" x14ac:dyDescent="0.25">
      <c r="A33058" s="1"/>
      <c r="B33058" s="1" t="s">
        <v>8418</v>
      </c>
      <c r="C33058" s="1" t="s">
        <v>8419</v>
      </c>
      <c r="D33058" s="1" t="str">
        <f>HYPERLINK("https://rhld.insurance.arkansas.gov/NPILookup?Npi=1083183867","1083183867")</f>
        <v>1083183867</v>
      </c>
      <c r="E33058" s="1" t="s">
        <v>8455</v>
      </c>
      <c r="F33058" s="2"/>
      <c r="G33058" s="2"/>
      <c r="H33058" s="2"/>
    </row>
    <row r="33059" spans="1:8" x14ac:dyDescent="0.25">
      <c r="A33059" s="1"/>
      <c r="B33059" s="1" t="s">
        <v>8418</v>
      </c>
      <c r="C33059" s="1" t="s">
        <v>8419</v>
      </c>
      <c r="D33059" s="1" t="str">
        <f>HYPERLINK("https://rhld.insurance.arkansas.gov/NPILookup?Npi=1083226617","1083226617")</f>
        <v>1083226617</v>
      </c>
      <c r="E33059" s="1" t="s">
        <v>8456</v>
      </c>
      <c r="F33059" s="2"/>
      <c r="G33059" s="2"/>
      <c r="H33059" s="2"/>
    </row>
    <row r="33060" spans="1:8" x14ac:dyDescent="0.25">
      <c r="A33060" s="1"/>
      <c r="B33060" s="1" t="s">
        <v>8418</v>
      </c>
      <c r="C33060" s="1" t="s">
        <v>8419</v>
      </c>
      <c r="D33060" s="1" t="str">
        <f>HYPERLINK("https://rhld.insurance.arkansas.gov/NPILookup?Npi=1083237507","1083237507")</f>
        <v>1083237507</v>
      </c>
      <c r="E33060" s="1" t="s">
        <v>181</v>
      </c>
      <c r="F33060" s="2"/>
      <c r="G33060" s="2"/>
      <c r="H33060" s="2"/>
    </row>
    <row r="33061" spans="1:8" x14ac:dyDescent="0.25">
      <c r="A33061" s="1"/>
      <c r="B33061" s="1" t="s">
        <v>8418</v>
      </c>
      <c r="C33061" s="1" t="s">
        <v>8419</v>
      </c>
      <c r="D33061" s="1" t="str">
        <f>HYPERLINK("https://rhld.insurance.arkansas.gov/NPILookup?Npi=1083262927","1083262927")</f>
        <v>1083262927</v>
      </c>
      <c r="E33061" s="1" t="s">
        <v>30251</v>
      </c>
      <c r="F33061" s="2"/>
      <c r="G33061" s="2"/>
      <c r="H33061" s="2"/>
    </row>
    <row r="33062" spans="1:8" x14ac:dyDescent="0.25">
      <c r="A33062" s="1"/>
      <c r="B33062" s="1" t="s">
        <v>8418</v>
      </c>
      <c r="C33062" s="1" t="s">
        <v>8419</v>
      </c>
      <c r="D33062" s="1" t="str">
        <f>HYPERLINK("https://rhld.insurance.arkansas.gov/NPILookup?Npi=1083304190","1083304190")</f>
        <v>1083304190</v>
      </c>
      <c r="E33062" s="1" t="s">
        <v>8457</v>
      </c>
      <c r="F33062" s="2"/>
      <c r="G33062" s="2"/>
      <c r="H33062" s="2"/>
    </row>
    <row r="33063" spans="1:8" x14ac:dyDescent="0.25">
      <c r="A33063" s="1"/>
      <c r="B33063" s="1" t="s">
        <v>8418</v>
      </c>
      <c r="C33063" s="1" t="s">
        <v>8419</v>
      </c>
      <c r="D33063" s="1" t="str">
        <f>HYPERLINK("https://rhld.insurance.arkansas.gov/NPILookup?Npi=1083306443","1083306443")</f>
        <v>1083306443</v>
      </c>
      <c r="E33063" s="1" t="s">
        <v>30252</v>
      </c>
      <c r="F33063" s="2"/>
      <c r="G33063" s="2"/>
      <c r="H33063" s="2"/>
    </row>
    <row r="33064" spans="1:8" x14ac:dyDescent="0.25">
      <c r="A33064" s="1"/>
      <c r="B33064" s="1" t="s">
        <v>8418</v>
      </c>
      <c r="C33064" s="1" t="s">
        <v>8419</v>
      </c>
      <c r="D33064" s="1" t="str">
        <f>HYPERLINK("https://rhld.insurance.arkansas.gov/NPILookup?Npi=1083328694","1083328694")</f>
        <v>1083328694</v>
      </c>
      <c r="E33064" s="1" t="s">
        <v>8458</v>
      </c>
      <c r="F33064" s="2"/>
      <c r="G33064" s="2"/>
      <c r="H33064" s="2"/>
    </row>
    <row r="33065" spans="1:8" x14ac:dyDescent="0.25">
      <c r="A33065" s="1"/>
      <c r="B33065" s="1" t="s">
        <v>8418</v>
      </c>
      <c r="C33065" s="1" t="s">
        <v>8419</v>
      </c>
      <c r="D33065" s="1" t="str">
        <f>HYPERLINK("https://rhld.insurance.arkansas.gov/NPILookup?Npi=1083332795","1083332795")</f>
        <v>1083332795</v>
      </c>
      <c r="E33065" s="1" t="s">
        <v>6115</v>
      </c>
      <c r="F33065" s="2"/>
      <c r="G33065" s="2"/>
      <c r="H33065" s="2"/>
    </row>
    <row r="33066" spans="1:8" x14ac:dyDescent="0.25">
      <c r="A33066" s="1"/>
      <c r="B33066" s="1" t="s">
        <v>8418</v>
      </c>
      <c r="C33066" s="1" t="s">
        <v>8419</v>
      </c>
      <c r="D33066" s="1" t="str">
        <f>HYPERLINK("https://rhld.insurance.arkansas.gov/NPILookup?Npi=1083396394","1083396394")</f>
        <v>1083396394</v>
      </c>
      <c r="E33066" s="1" t="s">
        <v>30253</v>
      </c>
      <c r="F33066" s="2"/>
      <c r="G33066" s="2"/>
      <c r="H33066" s="2"/>
    </row>
    <row r="33067" spans="1:8" x14ac:dyDescent="0.25">
      <c r="A33067" s="1"/>
      <c r="B33067" s="1" t="s">
        <v>8418</v>
      </c>
      <c r="C33067" s="1" t="s">
        <v>8419</v>
      </c>
      <c r="D33067" s="1" t="str">
        <f>HYPERLINK("https://rhld.insurance.arkansas.gov/NPILookup?Npi=1083458384","1083458384")</f>
        <v>1083458384</v>
      </c>
      <c r="E33067" s="1" t="s">
        <v>30254</v>
      </c>
      <c r="F33067" s="2"/>
      <c r="G33067" s="2"/>
      <c r="H33067" s="2"/>
    </row>
    <row r="33068" spans="1:8" x14ac:dyDescent="0.25">
      <c r="A33068" s="1"/>
      <c r="B33068" s="1" t="s">
        <v>8418</v>
      </c>
      <c r="C33068" s="1" t="s">
        <v>8419</v>
      </c>
      <c r="D33068" s="1" t="str">
        <f>HYPERLINK("https://rhld.insurance.arkansas.gov/NPILookup?Npi=1083711543","1083711543")</f>
        <v>1083711543</v>
      </c>
      <c r="E33068" s="1" t="s">
        <v>30255</v>
      </c>
      <c r="F33068" s="2"/>
      <c r="G33068" s="2"/>
      <c r="H33068" s="2"/>
    </row>
    <row r="33069" spans="1:8" x14ac:dyDescent="0.25">
      <c r="A33069" s="1"/>
      <c r="B33069" s="1" t="s">
        <v>8418</v>
      </c>
      <c r="C33069" s="1" t="s">
        <v>8419</v>
      </c>
      <c r="D33069" s="1" t="str">
        <f>HYPERLINK("https://rhld.insurance.arkansas.gov/NPILookup?Npi=1083736706","1083736706")</f>
        <v>1083736706</v>
      </c>
      <c r="E33069" s="1" t="s">
        <v>8316</v>
      </c>
      <c r="F33069" s="2"/>
      <c r="G33069" s="2"/>
      <c r="H33069" s="2"/>
    </row>
    <row r="33070" spans="1:8" x14ac:dyDescent="0.25">
      <c r="A33070" s="1"/>
      <c r="B33070" s="1" t="s">
        <v>8418</v>
      </c>
      <c r="C33070" s="1" t="s">
        <v>8419</v>
      </c>
      <c r="D33070" s="1" t="str">
        <f>HYPERLINK("https://rhld.insurance.arkansas.gov/NPILookup?Npi=1083736904","1083736904")</f>
        <v>1083736904</v>
      </c>
      <c r="E33070" s="1" t="s">
        <v>30256</v>
      </c>
      <c r="F33070" s="2"/>
      <c r="G33070" s="2"/>
      <c r="H33070" s="2"/>
    </row>
    <row r="33071" spans="1:8" x14ac:dyDescent="0.25">
      <c r="A33071" s="1"/>
      <c r="B33071" s="1" t="s">
        <v>8418</v>
      </c>
      <c r="C33071" s="1" t="s">
        <v>8419</v>
      </c>
      <c r="D33071" s="1" t="str">
        <f>HYPERLINK("https://rhld.insurance.arkansas.gov/NPILookup?Npi=1083774277","1083774277")</f>
        <v>1083774277</v>
      </c>
      <c r="E33071" s="1" t="s">
        <v>8459</v>
      </c>
      <c r="F33071" s="2"/>
      <c r="G33071" s="2"/>
      <c r="H33071" s="2"/>
    </row>
    <row r="33072" spans="1:8" x14ac:dyDescent="0.25">
      <c r="A33072" s="1"/>
      <c r="B33072" s="1" t="s">
        <v>8418</v>
      </c>
      <c r="C33072" s="1" t="s">
        <v>8419</v>
      </c>
      <c r="D33072" s="1" t="str">
        <f>HYPERLINK("https://rhld.insurance.arkansas.gov/NPILookup?Npi=1083774756","1083774756")</f>
        <v>1083774756</v>
      </c>
      <c r="E33072" s="1" t="s">
        <v>30257</v>
      </c>
      <c r="F33072" s="2"/>
      <c r="G33072" s="2"/>
      <c r="H33072" s="2"/>
    </row>
    <row r="33073" spans="1:8" x14ac:dyDescent="0.25">
      <c r="A33073" s="1"/>
      <c r="B33073" s="1" t="s">
        <v>8418</v>
      </c>
      <c r="C33073" s="1" t="s">
        <v>8419</v>
      </c>
      <c r="D33073" s="1" t="str">
        <f>HYPERLINK("https://rhld.insurance.arkansas.gov/NPILookup?Npi=1083837652","1083837652")</f>
        <v>1083837652</v>
      </c>
      <c r="E33073" s="1" t="s">
        <v>30258</v>
      </c>
      <c r="F33073" s="2"/>
      <c r="G33073" s="2"/>
      <c r="H33073" s="2"/>
    </row>
    <row r="33074" spans="1:8" x14ac:dyDescent="0.25">
      <c r="A33074" s="1"/>
      <c r="B33074" s="1" t="s">
        <v>8418</v>
      </c>
      <c r="C33074" s="1" t="s">
        <v>8419</v>
      </c>
      <c r="D33074" s="1" t="str">
        <f>HYPERLINK("https://rhld.insurance.arkansas.gov/NPILookup?Npi=1083846059","1083846059")</f>
        <v>1083846059</v>
      </c>
      <c r="E33074" s="1" t="s">
        <v>30259</v>
      </c>
      <c r="F33074" s="2"/>
      <c r="G33074" s="2"/>
      <c r="H33074" s="2"/>
    </row>
    <row r="33075" spans="1:8" x14ac:dyDescent="0.25">
      <c r="A33075" s="1"/>
      <c r="B33075" s="1" t="s">
        <v>8418</v>
      </c>
      <c r="C33075" s="1" t="s">
        <v>8419</v>
      </c>
      <c r="D33075" s="1" t="str">
        <f>HYPERLINK("https://rhld.insurance.arkansas.gov/NPILookup?Npi=1083919948","1083919948")</f>
        <v>1083919948</v>
      </c>
      <c r="E33075" s="1" t="s">
        <v>8460</v>
      </c>
      <c r="F33075" s="2"/>
      <c r="G33075" s="2"/>
      <c r="H33075" s="2"/>
    </row>
    <row r="33076" spans="1:8" x14ac:dyDescent="0.25">
      <c r="A33076" s="1"/>
      <c r="B33076" s="1" t="s">
        <v>8418</v>
      </c>
      <c r="C33076" s="1" t="s">
        <v>8419</v>
      </c>
      <c r="D33076" s="1" t="str">
        <f>HYPERLINK("https://rhld.insurance.arkansas.gov/NPILookup?Npi=1083932271","1083932271")</f>
        <v>1083932271</v>
      </c>
      <c r="E33076" s="1" t="s">
        <v>8461</v>
      </c>
      <c r="F33076" s="2"/>
      <c r="G33076" s="2"/>
      <c r="H33076" s="2"/>
    </row>
    <row r="33077" spans="1:8" x14ac:dyDescent="0.25">
      <c r="A33077" s="1"/>
      <c r="B33077" s="1" t="s">
        <v>8418</v>
      </c>
      <c r="C33077" s="1" t="s">
        <v>8419</v>
      </c>
      <c r="D33077" s="1" t="str">
        <f>HYPERLINK("https://rhld.insurance.arkansas.gov/NPILookup?Npi=1083950588","1083950588")</f>
        <v>1083950588</v>
      </c>
      <c r="E33077" s="1" t="s">
        <v>30260</v>
      </c>
      <c r="F33077" s="2"/>
      <c r="G33077" s="2"/>
      <c r="H33077" s="2"/>
    </row>
    <row r="33078" spans="1:8" x14ac:dyDescent="0.25">
      <c r="A33078" s="1"/>
      <c r="B33078" s="1" t="s">
        <v>8418</v>
      </c>
      <c r="C33078" s="1" t="s">
        <v>8419</v>
      </c>
      <c r="D33078" s="1" t="str">
        <f>HYPERLINK("https://rhld.insurance.arkansas.gov/NPILookup?Npi=1093005241","1093005241")</f>
        <v>1093005241</v>
      </c>
      <c r="E33078" s="1" t="s">
        <v>14067</v>
      </c>
      <c r="F33078" s="2"/>
      <c r="G33078" s="2"/>
      <c r="H33078" s="2"/>
    </row>
    <row r="33079" spans="1:8" x14ac:dyDescent="0.25">
      <c r="A33079" s="1"/>
      <c r="B33079" s="1" t="s">
        <v>8418</v>
      </c>
      <c r="C33079" s="1" t="s">
        <v>8419</v>
      </c>
      <c r="D33079" s="1" t="str">
        <f>HYPERLINK("https://rhld.insurance.arkansas.gov/NPILookup?Npi=1093044489","1093044489")</f>
        <v>1093044489</v>
      </c>
      <c r="E33079" s="1" t="s">
        <v>8462</v>
      </c>
      <c r="F33079" s="2"/>
      <c r="G33079" s="2"/>
      <c r="H33079" s="2"/>
    </row>
    <row r="33080" spans="1:8" x14ac:dyDescent="0.25">
      <c r="A33080" s="1"/>
      <c r="B33080" s="1" t="s">
        <v>8418</v>
      </c>
      <c r="C33080" s="1" t="s">
        <v>8419</v>
      </c>
      <c r="D33080" s="1" t="str">
        <f>HYPERLINK("https://rhld.insurance.arkansas.gov/NPILookup?Npi=1093051583","1093051583")</f>
        <v>1093051583</v>
      </c>
      <c r="E33080" s="1" t="s">
        <v>8463</v>
      </c>
      <c r="F33080" s="2"/>
      <c r="G33080" s="2"/>
      <c r="H33080" s="2"/>
    </row>
    <row r="33081" spans="1:8" x14ac:dyDescent="0.25">
      <c r="A33081" s="1"/>
      <c r="B33081" s="1" t="s">
        <v>8418</v>
      </c>
      <c r="C33081" s="1" t="s">
        <v>8419</v>
      </c>
      <c r="D33081" s="1" t="str">
        <f>HYPERLINK("https://rhld.insurance.arkansas.gov/NPILookup?Npi=1093120651","1093120651")</f>
        <v>1093120651</v>
      </c>
      <c r="E33081" s="1" t="s">
        <v>14068</v>
      </c>
      <c r="F33081" s="2"/>
      <c r="G33081" s="2"/>
      <c r="H33081" s="2"/>
    </row>
    <row r="33082" spans="1:8" x14ac:dyDescent="0.25">
      <c r="A33082" s="1"/>
      <c r="B33082" s="1" t="s">
        <v>8418</v>
      </c>
      <c r="C33082" s="1" t="s">
        <v>8419</v>
      </c>
      <c r="D33082" s="1" t="str">
        <f>HYPERLINK("https://rhld.insurance.arkansas.gov/NPILookup?Npi=1093149437","1093149437")</f>
        <v>1093149437</v>
      </c>
      <c r="E33082" s="1" t="s">
        <v>30261</v>
      </c>
      <c r="F33082" s="2"/>
      <c r="G33082" s="2"/>
      <c r="H33082" s="2"/>
    </row>
    <row r="33083" spans="1:8" x14ac:dyDescent="0.25">
      <c r="A33083" s="1"/>
      <c r="B33083" s="1" t="s">
        <v>8418</v>
      </c>
      <c r="C33083" s="1" t="s">
        <v>8419</v>
      </c>
      <c r="D33083" s="1" t="str">
        <f>HYPERLINK("https://rhld.insurance.arkansas.gov/NPILookup?Npi=1093170821","1093170821")</f>
        <v>1093170821</v>
      </c>
      <c r="E33083" s="1" t="s">
        <v>30262</v>
      </c>
      <c r="F33083" s="2"/>
      <c r="G33083" s="2"/>
      <c r="H33083" s="2"/>
    </row>
    <row r="33084" spans="1:8" x14ac:dyDescent="0.25">
      <c r="A33084" s="1"/>
      <c r="B33084" s="1" t="s">
        <v>8418</v>
      </c>
      <c r="C33084" s="1" t="s">
        <v>8419</v>
      </c>
      <c r="D33084" s="1" t="str">
        <f>HYPERLINK("https://rhld.insurance.arkansas.gov/NPILookup?Npi=1093227787","1093227787")</f>
        <v>1093227787</v>
      </c>
      <c r="E33084" s="1" t="s">
        <v>30263</v>
      </c>
      <c r="F33084" s="2"/>
      <c r="G33084" s="2"/>
      <c r="H33084" s="2"/>
    </row>
    <row r="33085" spans="1:8" x14ac:dyDescent="0.25">
      <c r="A33085" s="1"/>
      <c r="B33085" s="1" t="s">
        <v>8418</v>
      </c>
      <c r="C33085" s="1" t="s">
        <v>8419</v>
      </c>
      <c r="D33085" s="1" t="str">
        <f>HYPERLINK("https://rhld.insurance.arkansas.gov/NPILookup?Npi=1093249591","1093249591")</f>
        <v>1093249591</v>
      </c>
      <c r="E33085" s="1" t="s">
        <v>8464</v>
      </c>
      <c r="F33085" s="2"/>
      <c r="G33085" s="2"/>
      <c r="H33085" s="2"/>
    </row>
    <row r="33086" spans="1:8" x14ac:dyDescent="0.25">
      <c r="A33086" s="1"/>
      <c r="B33086" s="1" t="s">
        <v>8418</v>
      </c>
      <c r="C33086" s="1" t="s">
        <v>8419</v>
      </c>
      <c r="D33086" s="1" t="str">
        <f>HYPERLINK("https://rhld.insurance.arkansas.gov/NPILookup?Npi=1093294001","1093294001")</f>
        <v>1093294001</v>
      </c>
      <c r="E33086" s="1" t="s">
        <v>8465</v>
      </c>
      <c r="F33086" s="2"/>
      <c r="G33086" s="2"/>
      <c r="H33086" s="2"/>
    </row>
    <row r="33087" spans="1:8" x14ac:dyDescent="0.25">
      <c r="A33087" s="1"/>
      <c r="B33087" s="1" t="s">
        <v>8418</v>
      </c>
      <c r="C33087" s="1" t="s">
        <v>8419</v>
      </c>
      <c r="D33087" s="1" t="str">
        <f>HYPERLINK("https://rhld.insurance.arkansas.gov/NPILookup?Npi=1093409237","1093409237")</f>
        <v>1093409237</v>
      </c>
      <c r="E33087" s="1" t="s">
        <v>32504</v>
      </c>
      <c r="F33087" s="2"/>
      <c r="G33087" s="2"/>
      <c r="H33087" s="2"/>
    </row>
    <row r="33088" spans="1:8" x14ac:dyDescent="0.25">
      <c r="A33088" s="1"/>
      <c r="B33088" s="1" t="s">
        <v>8418</v>
      </c>
      <c r="C33088" s="1" t="s">
        <v>8419</v>
      </c>
      <c r="D33088" s="1" t="str">
        <f>HYPERLINK("https://rhld.insurance.arkansas.gov/NPILookup?Npi=1093490864","1093490864")</f>
        <v>1093490864</v>
      </c>
      <c r="E33088" s="1" t="s">
        <v>30264</v>
      </c>
      <c r="F33088" s="2"/>
      <c r="G33088" s="2"/>
      <c r="H33088" s="2"/>
    </row>
    <row r="33089" spans="1:8" x14ac:dyDescent="0.25">
      <c r="A33089" s="1"/>
      <c r="B33089" s="1" t="s">
        <v>8418</v>
      </c>
      <c r="C33089" s="1" t="s">
        <v>8419</v>
      </c>
      <c r="D33089" s="1" t="str">
        <f>HYPERLINK("https://rhld.insurance.arkansas.gov/NPILookup?Npi=1093591836","1093591836")</f>
        <v>1093591836</v>
      </c>
      <c r="E33089" s="1" t="s">
        <v>30265</v>
      </c>
      <c r="F33089" s="2"/>
      <c r="G33089" s="2"/>
      <c r="H33089" s="2"/>
    </row>
    <row r="33090" spans="1:8" x14ac:dyDescent="0.25">
      <c r="A33090" s="1"/>
      <c r="B33090" s="1" t="s">
        <v>8418</v>
      </c>
      <c r="C33090" s="1" t="s">
        <v>8419</v>
      </c>
      <c r="D33090" s="1" t="str">
        <f>HYPERLINK("https://rhld.insurance.arkansas.gov/NPILookup?Npi=1093832867","1093832867")</f>
        <v>1093832867</v>
      </c>
      <c r="E33090" s="1" t="s">
        <v>8466</v>
      </c>
      <c r="F33090" s="2"/>
      <c r="G33090" s="2"/>
      <c r="H33090" s="2"/>
    </row>
    <row r="33091" spans="1:8" x14ac:dyDescent="0.25">
      <c r="A33091" s="1"/>
      <c r="B33091" s="1" t="s">
        <v>8418</v>
      </c>
      <c r="C33091" s="1" t="s">
        <v>8419</v>
      </c>
      <c r="D33091" s="1" t="str">
        <f>HYPERLINK("https://rhld.insurance.arkansas.gov/NPILookup?Npi=1093842437","1093842437")</f>
        <v>1093842437</v>
      </c>
      <c r="E33091" s="1" t="s">
        <v>30266</v>
      </c>
      <c r="F33091" s="2"/>
      <c r="G33091" s="2"/>
      <c r="H33091" s="2"/>
    </row>
    <row r="33092" spans="1:8" x14ac:dyDescent="0.25">
      <c r="A33092" s="1"/>
      <c r="B33092" s="1" t="s">
        <v>8418</v>
      </c>
      <c r="C33092" s="1" t="s">
        <v>8419</v>
      </c>
      <c r="D33092" s="1" t="str">
        <f>HYPERLINK("https://rhld.insurance.arkansas.gov/NPILookup?Npi=1093999518","1093999518")</f>
        <v>1093999518</v>
      </c>
      <c r="E33092" s="1" t="s">
        <v>30267</v>
      </c>
      <c r="F33092" s="2"/>
      <c r="G33092" s="2"/>
      <c r="H33092" s="2"/>
    </row>
    <row r="33093" spans="1:8" x14ac:dyDescent="0.25">
      <c r="A33093" s="1"/>
      <c r="B33093" s="1" t="s">
        <v>8418</v>
      </c>
      <c r="C33093" s="1" t="s">
        <v>8419</v>
      </c>
      <c r="D33093" s="1" t="str">
        <f>HYPERLINK("https://rhld.insurance.arkansas.gov/NPILookup?Npi=1104040542","1104040542")</f>
        <v>1104040542</v>
      </c>
      <c r="E33093" s="1" t="s">
        <v>30268</v>
      </c>
      <c r="F33093" s="2"/>
      <c r="G33093" s="2"/>
      <c r="H33093" s="2"/>
    </row>
    <row r="33094" spans="1:8" x14ac:dyDescent="0.25">
      <c r="A33094" s="1"/>
      <c r="B33094" s="1" t="s">
        <v>8418</v>
      </c>
      <c r="C33094" s="1" t="s">
        <v>8419</v>
      </c>
      <c r="D33094" s="1" t="str">
        <f>HYPERLINK("https://rhld.insurance.arkansas.gov/NPILookup?Npi=1104105659","1104105659")</f>
        <v>1104105659</v>
      </c>
      <c r="E33094" s="1" t="s">
        <v>14069</v>
      </c>
      <c r="F33094" s="2"/>
      <c r="G33094" s="2"/>
      <c r="H33094" s="2"/>
    </row>
    <row r="33095" spans="1:8" x14ac:dyDescent="0.25">
      <c r="A33095" s="1"/>
      <c r="B33095" s="1" t="s">
        <v>8418</v>
      </c>
      <c r="C33095" s="1" t="s">
        <v>8419</v>
      </c>
      <c r="D33095" s="1" t="str">
        <f>HYPERLINK("https://rhld.insurance.arkansas.gov/NPILookup?Npi=1104122373","1104122373")</f>
        <v>1104122373</v>
      </c>
      <c r="E33095" s="1" t="s">
        <v>8467</v>
      </c>
      <c r="F33095" s="2"/>
      <c r="G33095" s="2"/>
      <c r="H33095" s="2"/>
    </row>
    <row r="33096" spans="1:8" x14ac:dyDescent="0.25">
      <c r="A33096" s="1"/>
      <c r="B33096" s="1" t="s">
        <v>8418</v>
      </c>
      <c r="C33096" s="1" t="s">
        <v>8419</v>
      </c>
      <c r="D33096" s="1" t="str">
        <f>HYPERLINK("https://rhld.insurance.arkansas.gov/NPILookup?Npi=1104136050","1104136050")</f>
        <v>1104136050</v>
      </c>
      <c r="E33096" s="1" t="s">
        <v>8468</v>
      </c>
      <c r="F33096" s="2"/>
      <c r="G33096" s="2"/>
      <c r="H33096" s="2"/>
    </row>
    <row r="33097" spans="1:8" x14ac:dyDescent="0.25">
      <c r="A33097" s="1"/>
      <c r="B33097" s="1" t="s">
        <v>8418</v>
      </c>
      <c r="C33097" s="1" t="s">
        <v>8419</v>
      </c>
      <c r="D33097" s="1" t="str">
        <f>HYPERLINK("https://rhld.insurance.arkansas.gov/NPILookup?Npi=1104187228","1104187228")</f>
        <v>1104187228</v>
      </c>
      <c r="E33097" s="1" t="s">
        <v>30269</v>
      </c>
      <c r="F33097" s="2"/>
      <c r="G33097" s="2"/>
      <c r="H33097" s="2"/>
    </row>
    <row r="33098" spans="1:8" x14ac:dyDescent="0.25">
      <c r="A33098" s="1"/>
      <c r="B33098" s="1" t="s">
        <v>8418</v>
      </c>
      <c r="C33098" s="1" t="s">
        <v>8419</v>
      </c>
      <c r="D33098" s="1" t="str">
        <f>HYPERLINK("https://rhld.insurance.arkansas.gov/NPILookup?Npi=1104194331","1104194331")</f>
        <v>1104194331</v>
      </c>
      <c r="E33098" s="1" t="s">
        <v>14070</v>
      </c>
      <c r="F33098" s="2"/>
      <c r="G33098" s="2"/>
      <c r="H33098" s="2"/>
    </row>
    <row r="33099" spans="1:8" x14ac:dyDescent="0.25">
      <c r="A33099" s="1"/>
      <c r="B33099" s="1" t="s">
        <v>8418</v>
      </c>
      <c r="C33099" s="1" t="s">
        <v>8419</v>
      </c>
      <c r="D33099" s="1" t="str">
        <f>HYPERLINK("https://rhld.insurance.arkansas.gov/NPILookup?Npi=1104196344","1104196344")</f>
        <v>1104196344</v>
      </c>
      <c r="E33099" s="1" t="s">
        <v>8469</v>
      </c>
      <c r="F33099" s="2"/>
      <c r="G33099" s="2"/>
      <c r="H33099" s="2"/>
    </row>
    <row r="33100" spans="1:8" x14ac:dyDescent="0.25">
      <c r="A33100" s="1"/>
      <c r="B33100" s="1" t="s">
        <v>8418</v>
      </c>
      <c r="C33100" s="1" t="s">
        <v>8419</v>
      </c>
      <c r="D33100" s="1" t="str">
        <f>HYPERLINK("https://rhld.insurance.arkansas.gov/NPILookup?Npi=1104209840","1104209840")</f>
        <v>1104209840</v>
      </c>
      <c r="E33100" s="1" t="s">
        <v>30270</v>
      </c>
      <c r="F33100" s="2"/>
      <c r="G33100" s="2"/>
      <c r="H33100" s="2"/>
    </row>
    <row r="33101" spans="1:8" x14ac:dyDescent="0.25">
      <c r="A33101" s="1"/>
      <c r="B33101" s="1" t="s">
        <v>8418</v>
      </c>
      <c r="C33101" s="1" t="s">
        <v>8419</v>
      </c>
      <c r="D33101" s="1" t="str">
        <f>HYPERLINK("https://rhld.insurance.arkansas.gov/NPILookup?Npi=1104258490","1104258490")</f>
        <v>1104258490</v>
      </c>
      <c r="E33101" s="1" t="s">
        <v>14071</v>
      </c>
      <c r="F33101" s="2"/>
      <c r="G33101" s="2"/>
      <c r="H33101" s="2"/>
    </row>
    <row r="33102" spans="1:8" x14ac:dyDescent="0.25">
      <c r="A33102" s="1"/>
      <c r="B33102" s="1" t="s">
        <v>8418</v>
      </c>
      <c r="C33102" s="1" t="s">
        <v>8419</v>
      </c>
      <c r="D33102" s="1" t="str">
        <f>HYPERLINK("https://rhld.insurance.arkansas.gov/NPILookup?Npi=1104275007","1104275007")</f>
        <v>1104275007</v>
      </c>
      <c r="E33102" s="1" t="s">
        <v>30271</v>
      </c>
      <c r="F33102" s="2"/>
      <c r="G33102" s="2"/>
      <c r="H33102" s="2"/>
    </row>
    <row r="33103" spans="1:8" x14ac:dyDescent="0.25">
      <c r="A33103" s="1"/>
      <c r="B33103" s="1" t="s">
        <v>8418</v>
      </c>
      <c r="C33103" s="1" t="s">
        <v>8419</v>
      </c>
      <c r="D33103" s="1" t="str">
        <f>HYPERLINK("https://rhld.insurance.arkansas.gov/NPILookup?Npi=1104279033","1104279033")</f>
        <v>1104279033</v>
      </c>
      <c r="E33103" s="1" t="s">
        <v>30272</v>
      </c>
      <c r="F33103" s="2"/>
      <c r="G33103" s="2"/>
      <c r="H33103" s="2"/>
    </row>
    <row r="33104" spans="1:8" x14ac:dyDescent="0.25">
      <c r="A33104" s="1"/>
      <c r="B33104" s="1" t="s">
        <v>8418</v>
      </c>
      <c r="C33104" s="1" t="s">
        <v>8419</v>
      </c>
      <c r="D33104" s="1" t="str">
        <f>HYPERLINK("https://rhld.insurance.arkansas.gov/NPILookup?Npi=1104298835","1104298835")</f>
        <v>1104298835</v>
      </c>
      <c r="E33104" s="1" t="s">
        <v>30273</v>
      </c>
      <c r="F33104" s="2"/>
      <c r="G33104" s="2"/>
      <c r="H33104" s="2"/>
    </row>
    <row r="33105" spans="1:8" x14ac:dyDescent="0.25">
      <c r="A33105" s="1"/>
      <c r="B33105" s="1" t="s">
        <v>8418</v>
      </c>
      <c r="C33105" s="1" t="s">
        <v>8419</v>
      </c>
      <c r="D33105" s="1" t="str">
        <f>HYPERLINK("https://rhld.insurance.arkansas.gov/NPILookup?Npi=1104299080","1104299080")</f>
        <v>1104299080</v>
      </c>
      <c r="E33105" s="1" t="s">
        <v>30274</v>
      </c>
      <c r="F33105" s="2"/>
      <c r="G33105" s="2"/>
      <c r="H33105" s="2"/>
    </row>
    <row r="33106" spans="1:8" x14ac:dyDescent="0.25">
      <c r="A33106" s="1"/>
      <c r="B33106" s="1" t="s">
        <v>8418</v>
      </c>
      <c r="C33106" s="1" t="s">
        <v>8419</v>
      </c>
      <c r="D33106" s="1" t="str">
        <f>HYPERLINK("https://rhld.insurance.arkansas.gov/NPILookup?Npi=1104318294","1104318294")</f>
        <v>1104318294</v>
      </c>
      <c r="E33106" s="1" t="s">
        <v>30275</v>
      </c>
      <c r="F33106" s="2"/>
      <c r="G33106" s="2"/>
      <c r="H33106" s="2"/>
    </row>
    <row r="33107" spans="1:8" x14ac:dyDescent="0.25">
      <c r="A33107" s="1"/>
      <c r="B33107" s="1" t="s">
        <v>8418</v>
      </c>
      <c r="C33107" s="1" t="s">
        <v>8419</v>
      </c>
      <c r="D33107" s="1" t="str">
        <f>HYPERLINK("https://rhld.insurance.arkansas.gov/NPILookup?Npi=1104336122","1104336122")</f>
        <v>1104336122</v>
      </c>
      <c r="E33107" s="1" t="s">
        <v>30276</v>
      </c>
      <c r="F33107" s="2"/>
      <c r="G33107" s="2"/>
      <c r="H33107" s="2"/>
    </row>
    <row r="33108" spans="1:8" x14ac:dyDescent="0.25">
      <c r="A33108" s="1"/>
      <c r="B33108" s="1" t="s">
        <v>8418</v>
      </c>
      <c r="C33108" s="1" t="s">
        <v>8419</v>
      </c>
      <c r="D33108" s="1" t="str">
        <f>HYPERLINK("https://rhld.insurance.arkansas.gov/NPILookup?Npi=1104445865","1104445865")</f>
        <v>1104445865</v>
      </c>
      <c r="E33108" s="1" t="s">
        <v>14072</v>
      </c>
      <c r="F33108" s="2"/>
      <c r="G33108" s="2"/>
      <c r="H33108" s="2"/>
    </row>
    <row r="33109" spans="1:8" x14ac:dyDescent="0.25">
      <c r="A33109" s="1"/>
      <c r="B33109" s="1" t="s">
        <v>8418</v>
      </c>
      <c r="C33109" s="1" t="s">
        <v>8419</v>
      </c>
      <c r="D33109" s="1" t="str">
        <f>HYPERLINK("https://rhld.insurance.arkansas.gov/NPILookup?Npi=1104449578","1104449578")</f>
        <v>1104449578</v>
      </c>
      <c r="E33109" s="1" t="s">
        <v>30277</v>
      </c>
      <c r="F33109" s="2"/>
      <c r="G33109" s="2"/>
      <c r="H33109" s="2"/>
    </row>
    <row r="33110" spans="1:8" x14ac:dyDescent="0.25">
      <c r="A33110" s="1"/>
      <c r="B33110" s="1" t="s">
        <v>8418</v>
      </c>
      <c r="C33110" s="1" t="s">
        <v>8419</v>
      </c>
      <c r="D33110" s="1" t="str">
        <f>HYPERLINK("https://rhld.insurance.arkansas.gov/NPILookup?Npi=1104471218","1104471218")</f>
        <v>1104471218</v>
      </c>
      <c r="E33110" s="1" t="s">
        <v>14073</v>
      </c>
      <c r="F33110" s="2"/>
      <c r="G33110" s="2"/>
      <c r="H33110" s="2"/>
    </row>
    <row r="33111" spans="1:8" x14ac:dyDescent="0.25">
      <c r="A33111" s="1"/>
      <c r="B33111" s="1" t="s">
        <v>8418</v>
      </c>
      <c r="C33111" s="1" t="s">
        <v>8419</v>
      </c>
      <c r="D33111" s="1" t="str">
        <f>HYPERLINK("https://rhld.insurance.arkansas.gov/NPILookup?Npi=1104510528","1104510528")</f>
        <v>1104510528</v>
      </c>
      <c r="E33111" s="1" t="s">
        <v>8470</v>
      </c>
      <c r="F33111" s="2"/>
      <c r="G33111" s="2"/>
      <c r="H33111" s="2"/>
    </row>
    <row r="33112" spans="1:8" x14ac:dyDescent="0.25">
      <c r="A33112" s="1"/>
      <c r="B33112" s="1" t="s">
        <v>8418</v>
      </c>
      <c r="C33112" s="1" t="s">
        <v>8419</v>
      </c>
      <c r="D33112" s="1" t="str">
        <f>HYPERLINK("https://rhld.insurance.arkansas.gov/NPILookup?Npi=1104540350","1104540350")</f>
        <v>1104540350</v>
      </c>
      <c r="E33112" s="1" t="s">
        <v>30278</v>
      </c>
      <c r="F33112" s="2"/>
      <c r="G33112" s="2"/>
      <c r="H33112" s="2"/>
    </row>
    <row r="33113" spans="1:8" x14ac:dyDescent="0.25">
      <c r="A33113" s="1"/>
      <c r="B33113" s="1" t="s">
        <v>8418</v>
      </c>
      <c r="C33113" s="1" t="s">
        <v>8419</v>
      </c>
      <c r="D33113" s="1" t="str">
        <f>HYPERLINK("https://rhld.insurance.arkansas.gov/NPILookup?Npi=1104544394","1104544394")</f>
        <v>1104544394</v>
      </c>
      <c r="E33113" s="1" t="s">
        <v>8471</v>
      </c>
      <c r="F33113" s="2"/>
      <c r="G33113" s="2"/>
      <c r="H33113" s="2"/>
    </row>
    <row r="33114" spans="1:8" x14ac:dyDescent="0.25">
      <c r="A33114" s="1"/>
      <c r="B33114" s="1" t="s">
        <v>8418</v>
      </c>
      <c r="C33114" s="1" t="s">
        <v>8419</v>
      </c>
      <c r="D33114" s="1" t="str">
        <f>HYPERLINK("https://rhld.insurance.arkansas.gov/NPILookup?Npi=1104697093","1104697093")</f>
        <v>1104697093</v>
      </c>
      <c r="E33114" s="1" t="s">
        <v>32505</v>
      </c>
      <c r="F33114" s="2"/>
      <c r="G33114" s="2"/>
      <c r="H33114" s="2"/>
    </row>
    <row r="33115" spans="1:8" x14ac:dyDescent="0.25">
      <c r="A33115" s="1"/>
      <c r="B33115" s="1" t="s">
        <v>8418</v>
      </c>
      <c r="C33115" s="1" t="s">
        <v>8419</v>
      </c>
      <c r="D33115" s="1" t="str">
        <f>HYPERLINK("https://rhld.insurance.arkansas.gov/NPILookup?Npi=1104908920","1104908920")</f>
        <v>1104908920</v>
      </c>
      <c r="E33115" s="1" t="s">
        <v>8472</v>
      </c>
      <c r="F33115" s="2"/>
      <c r="G33115" s="2"/>
      <c r="H33115" s="2"/>
    </row>
    <row r="33116" spans="1:8" x14ac:dyDescent="0.25">
      <c r="A33116" s="1"/>
      <c r="B33116" s="1" t="s">
        <v>8418</v>
      </c>
      <c r="C33116" s="1" t="s">
        <v>8419</v>
      </c>
      <c r="D33116" s="1" t="str">
        <f>HYPERLINK("https://rhld.insurance.arkansas.gov/NPILookup?Npi=1104955715","1104955715")</f>
        <v>1104955715</v>
      </c>
      <c r="E33116" s="1" t="s">
        <v>14074</v>
      </c>
      <c r="F33116" s="2"/>
      <c r="G33116" s="2"/>
      <c r="H33116" s="2"/>
    </row>
    <row r="33117" spans="1:8" x14ac:dyDescent="0.25">
      <c r="A33117" s="1"/>
      <c r="B33117" s="1" t="s">
        <v>8418</v>
      </c>
      <c r="C33117" s="1" t="s">
        <v>8419</v>
      </c>
      <c r="D33117" s="1" t="str">
        <f>HYPERLINK("https://rhld.insurance.arkansas.gov/NPILookup?Npi=1104983105","1104983105")</f>
        <v>1104983105</v>
      </c>
      <c r="E33117" s="1" t="s">
        <v>8473</v>
      </c>
      <c r="F33117" s="2"/>
      <c r="G33117" s="2"/>
      <c r="H33117" s="2"/>
    </row>
    <row r="33118" spans="1:8" x14ac:dyDescent="0.25">
      <c r="A33118" s="1"/>
      <c r="B33118" s="1" t="s">
        <v>8418</v>
      </c>
      <c r="C33118" s="1" t="s">
        <v>8419</v>
      </c>
      <c r="D33118" s="1" t="str">
        <f>HYPERLINK("https://rhld.insurance.arkansas.gov/NPILookup?Npi=1114125705","1114125705")</f>
        <v>1114125705</v>
      </c>
      <c r="E33118" s="1" t="s">
        <v>30279</v>
      </c>
      <c r="F33118" s="2"/>
      <c r="G33118" s="2"/>
      <c r="H33118" s="2"/>
    </row>
    <row r="33119" spans="1:8" x14ac:dyDescent="0.25">
      <c r="A33119" s="1"/>
      <c r="B33119" s="1" t="s">
        <v>8418</v>
      </c>
      <c r="C33119" s="1" t="s">
        <v>8419</v>
      </c>
      <c r="D33119" s="1" t="str">
        <f>HYPERLINK("https://rhld.insurance.arkansas.gov/NPILookup?Npi=1114165248","1114165248")</f>
        <v>1114165248</v>
      </c>
      <c r="E33119" s="1" t="s">
        <v>8474</v>
      </c>
      <c r="F33119" s="2"/>
      <c r="G33119" s="2"/>
      <c r="H33119" s="2"/>
    </row>
    <row r="33120" spans="1:8" x14ac:dyDescent="0.25">
      <c r="A33120" s="1"/>
      <c r="B33120" s="1" t="s">
        <v>8418</v>
      </c>
      <c r="C33120" s="1" t="s">
        <v>8419</v>
      </c>
      <c r="D33120" s="1" t="str">
        <f>HYPERLINK("https://rhld.insurance.arkansas.gov/NPILookup?Npi=1114197696","1114197696")</f>
        <v>1114197696</v>
      </c>
      <c r="E33120" s="1" t="s">
        <v>8475</v>
      </c>
      <c r="F33120" s="2"/>
      <c r="G33120" s="2"/>
      <c r="H33120" s="2"/>
    </row>
    <row r="33121" spans="1:8" x14ac:dyDescent="0.25">
      <c r="A33121" s="1"/>
      <c r="B33121" s="1" t="s">
        <v>8418</v>
      </c>
      <c r="C33121" s="1" t="s">
        <v>8419</v>
      </c>
      <c r="D33121" s="1" t="str">
        <f>HYPERLINK("https://rhld.insurance.arkansas.gov/NPILookup?Npi=1114203551","1114203551")</f>
        <v>1114203551</v>
      </c>
      <c r="E33121" s="1" t="s">
        <v>28540</v>
      </c>
      <c r="F33121" s="2"/>
      <c r="G33121" s="2"/>
      <c r="H33121" s="2"/>
    </row>
    <row r="33122" spans="1:8" x14ac:dyDescent="0.25">
      <c r="A33122" s="1"/>
      <c r="B33122" s="1" t="s">
        <v>8418</v>
      </c>
      <c r="C33122" s="1" t="s">
        <v>8419</v>
      </c>
      <c r="D33122" s="1" t="str">
        <f>HYPERLINK("https://rhld.insurance.arkansas.gov/NPILookup?Npi=1114368446","1114368446")</f>
        <v>1114368446</v>
      </c>
      <c r="E33122" s="1" t="s">
        <v>30280</v>
      </c>
      <c r="F33122" s="2"/>
      <c r="G33122" s="2"/>
      <c r="H33122" s="2"/>
    </row>
    <row r="33123" spans="1:8" x14ac:dyDescent="0.25">
      <c r="A33123" s="1"/>
      <c r="B33123" s="1" t="s">
        <v>8418</v>
      </c>
      <c r="C33123" s="1" t="s">
        <v>8419</v>
      </c>
      <c r="D33123" s="1" t="str">
        <f>HYPERLINK("https://rhld.insurance.arkansas.gov/NPILookup?Npi=1114443231","1114443231")</f>
        <v>1114443231</v>
      </c>
      <c r="E33123" s="1" t="s">
        <v>8476</v>
      </c>
      <c r="F33123" s="2"/>
      <c r="G33123" s="2"/>
      <c r="H33123" s="2"/>
    </row>
    <row r="33124" spans="1:8" x14ac:dyDescent="0.25">
      <c r="A33124" s="1"/>
      <c r="B33124" s="1" t="s">
        <v>8418</v>
      </c>
      <c r="C33124" s="1" t="s">
        <v>8419</v>
      </c>
      <c r="D33124" s="1" t="str">
        <f>HYPERLINK("https://rhld.insurance.arkansas.gov/NPILookup?Npi=1114448065","1114448065")</f>
        <v>1114448065</v>
      </c>
      <c r="E33124" s="1" t="s">
        <v>14075</v>
      </c>
      <c r="F33124" s="2"/>
      <c r="G33124" s="2"/>
      <c r="H33124" s="2"/>
    </row>
    <row r="33125" spans="1:8" x14ac:dyDescent="0.25">
      <c r="A33125" s="1"/>
      <c r="B33125" s="1" t="s">
        <v>8418</v>
      </c>
      <c r="C33125" s="1" t="s">
        <v>8419</v>
      </c>
      <c r="D33125" s="1" t="str">
        <f>HYPERLINK("https://rhld.insurance.arkansas.gov/NPILookup?Npi=1114455912","1114455912")</f>
        <v>1114455912</v>
      </c>
      <c r="E33125" s="1" t="s">
        <v>30281</v>
      </c>
      <c r="F33125" s="2"/>
      <c r="G33125" s="2"/>
      <c r="H33125" s="2"/>
    </row>
    <row r="33126" spans="1:8" x14ac:dyDescent="0.25">
      <c r="A33126" s="1"/>
      <c r="B33126" s="1" t="s">
        <v>8418</v>
      </c>
      <c r="C33126" s="1" t="s">
        <v>8419</v>
      </c>
      <c r="D33126" s="1" t="str">
        <f>HYPERLINK("https://rhld.insurance.arkansas.gov/NPILookup?Npi=1114518230","1114518230")</f>
        <v>1114518230</v>
      </c>
      <c r="E33126" s="1" t="s">
        <v>30282</v>
      </c>
      <c r="F33126" s="2"/>
      <c r="G33126" s="2"/>
      <c r="H33126" s="2"/>
    </row>
    <row r="33127" spans="1:8" x14ac:dyDescent="0.25">
      <c r="A33127" s="1"/>
      <c r="B33127" s="1" t="s">
        <v>8418</v>
      </c>
      <c r="C33127" s="1" t="s">
        <v>8419</v>
      </c>
      <c r="D33127" s="1" t="str">
        <f>HYPERLINK("https://rhld.insurance.arkansas.gov/NPILookup?Npi=1114545860","1114545860")</f>
        <v>1114545860</v>
      </c>
      <c r="E33127" s="1" t="s">
        <v>8477</v>
      </c>
      <c r="F33127" s="2"/>
      <c r="G33127" s="2"/>
      <c r="H33127" s="2"/>
    </row>
    <row r="33128" spans="1:8" x14ac:dyDescent="0.25">
      <c r="A33128" s="1"/>
      <c r="B33128" s="1" t="s">
        <v>8418</v>
      </c>
      <c r="C33128" s="1" t="s">
        <v>8419</v>
      </c>
      <c r="D33128" s="1" t="str">
        <f>HYPERLINK("https://rhld.insurance.arkansas.gov/NPILookup?Npi=1114546835","1114546835")</f>
        <v>1114546835</v>
      </c>
      <c r="E33128" s="1" t="s">
        <v>8478</v>
      </c>
      <c r="F33128" s="2"/>
      <c r="G33128" s="2"/>
      <c r="H33128" s="2"/>
    </row>
    <row r="33129" spans="1:8" x14ac:dyDescent="0.25">
      <c r="A33129" s="1"/>
      <c r="B33129" s="1" t="s">
        <v>8418</v>
      </c>
      <c r="C33129" s="1" t="s">
        <v>8419</v>
      </c>
      <c r="D33129" s="1" t="str">
        <f>HYPERLINK("https://rhld.insurance.arkansas.gov/NPILookup?Npi=1114584828","1114584828")</f>
        <v>1114584828</v>
      </c>
      <c r="E33129" s="1" t="s">
        <v>30283</v>
      </c>
      <c r="F33129" s="2"/>
      <c r="G33129" s="2"/>
      <c r="H33129" s="2"/>
    </row>
    <row r="33130" spans="1:8" x14ac:dyDescent="0.25">
      <c r="A33130" s="1"/>
      <c r="B33130" s="1" t="s">
        <v>8418</v>
      </c>
      <c r="C33130" s="1" t="s">
        <v>8419</v>
      </c>
      <c r="D33130" s="1" t="str">
        <f>HYPERLINK("https://rhld.insurance.arkansas.gov/NPILookup?Npi=1114596970","1114596970")</f>
        <v>1114596970</v>
      </c>
      <c r="E33130" s="1" t="s">
        <v>8479</v>
      </c>
      <c r="F33130" s="2"/>
      <c r="G33130" s="2"/>
      <c r="H33130" s="2"/>
    </row>
    <row r="33131" spans="1:8" x14ac:dyDescent="0.25">
      <c r="A33131" s="1"/>
      <c r="B33131" s="1" t="s">
        <v>8418</v>
      </c>
      <c r="C33131" s="1" t="s">
        <v>8419</v>
      </c>
      <c r="D33131" s="1" t="str">
        <f>HYPERLINK("https://rhld.insurance.arkansas.gov/NPILookup?Npi=1114599727","1114599727")</f>
        <v>1114599727</v>
      </c>
      <c r="E33131" s="1" t="s">
        <v>7566</v>
      </c>
      <c r="F33131" s="2"/>
      <c r="G33131" s="2"/>
      <c r="H33131" s="2"/>
    </row>
    <row r="33132" spans="1:8" x14ac:dyDescent="0.25">
      <c r="A33132" s="1"/>
      <c r="B33132" s="1" t="s">
        <v>8418</v>
      </c>
      <c r="C33132" s="1" t="s">
        <v>8419</v>
      </c>
      <c r="D33132" s="1" t="str">
        <f>HYPERLINK("https://rhld.insurance.arkansas.gov/NPILookup?Npi=1114617776","1114617776")</f>
        <v>1114617776</v>
      </c>
      <c r="E33132" s="1" t="s">
        <v>8480</v>
      </c>
      <c r="F33132" s="2"/>
      <c r="G33132" s="2"/>
      <c r="H33132" s="2"/>
    </row>
    <row r="33133" spans="1:8" x14ac:dyDescent="0.25">
      <c r="A33133" s="1"/>
      <c r="B33133" s="1" t="s">
        <v>8418</v>
      </c>
      <c r="C33133" s="1" t="s">
        <v>8419</v>
      </c>
      <c r="D33133" s="1" t="str">
        <f>HYPERLINK("https://rhld.insurance.arkansas.gov/NPILookup?Npi=1114637949","1114637949")</f>
        <v>1114637949</v>
      </c>
      <c r="E33133" s="1" t="s">
        <v>8481</v>
      </c>
      <c r="F33133" s="2"/>
      <c r="G33133" s="2"/>
      <c r="H33133" s="2"/>
    </row>
    <row r="33134" spans="1:8" x14ac:dyDescent="0.25">
      <c r="A33134" s="1"/>
      <c r="B33134" s="1" t="s">
        <v>8418</v>
      </c>
      <c r="C33134" s="1" t="s">
        <v>8419</v>
      </c>
      <c r="D33134" s="1" t="str">
        <f>HYPERLINK("https://rhld.insurance.arkansas.gov/NPILookup?Npi=1114688900","1114688900")</f>
        <v>1114688900</v>
      </c>
      <c r="E33134" s="1" t="s">
        <v>30284</v>
      </c>
      <c r="F33134" s="2"/>
      <c r="G33134" s="2"/>
      <c r="H33134" s="2"/>
    </row>
    <row r="33135" spans="1:8" x14ac:dyDescent="0.25">
      <c r="A33135" s="1"/>
      <c r="B33135" s="1" t="s">
        <v>8418</v>
      </c>
      <c r="C33135" s="1" t="s">
        <v>8419</v>
      </c>
      <c r="D33135" s="1" t="str">
        <f>HYPERLINK("https://rhld.insurance.arkansas.gov/NPILookup?Npi=1124127204","1124127204")</f>
        <v>1124127204</v>
      </c>
      <c r="E33135" s="1" t="s">
        <v>32506</v>
      </c>
      <c r="F33135" s="2"/>
      <c r="G33135" s="2"/>
      <c r="H33135" s="2"/>
    </row>
    <row r="33136" spans="1:8" x14ac:dyDescent="0.25">
      <c r="A33136" s="1"/>
      <c r="B33136" s="1" t="s">
        <v>8418</v>
      </c>
      <c r="C33136" s="1" t="s">
        <v>8419</v>
      </c>
      <c r="D33136" s="1" t="str">
        <f>HYPERLINK("https://rhld.insurance.arkansas.gov/NPILookup?Npi=1124163928","1124163928")</f>
        <v>1124163928</v>
      </c>
      <c r="E33136" s="1" t="s">
        <v>30285</v>
      </c>
      <c r="F33136" s="2"/>
      <c r="G33136" s="2"/>
      <c r="H33136" s="2"/>
    </row>
    <row r="33137" spans="1:8" x14ac:dyDescent="0.25">
      <c r="A33137" s="1"/>
      <c r="B33137" s="1" t="s">
        <v>8418</v>
      </c>
      <c r="C33137" s="1" t="s">
        <v>8419</v>
      </c>
      <c r="D33137" s="1" t="str">
        <f>HYPERLINK("https://rhld.insurance.arkansas.gov/NPILookup?Npi=1124167556","1124167556")</f>
        <v>1124167556</v>
      </c>
      <c r="E33137" s="1" t="s">
        <v>8482</v>
      </c>
      <c r="F33137" s="2"/>
      <c r="G33137" s="2"/>
      <c r="H33137" s="2"/>
    </row>
    <row r="33138" spans="1:8" x14ac:dyDescent="0.25">
      <c r="A33138" s="1"/>
      <c r="B33138" s="1" t="s">
        <v>8418</v>
      </c>
      <c r="C33138" s="1" t="s">
        <v>8419</v>
      </c>
      <c r="D33138" s="1" t="str">
        <f>HYPERLINK("https://rhld.insurance.arkansas.gov/NPILookup?Npi=1124196720","1124196720")</f>
        <v>1124196720</v>
      </c>
      <c r="E33138" s="1" t="s">
        <v>30286</v>
      </c>
      <c r="F33138" s="2"/>
      <c r="G33138" s="2"/>
      <c r="H33138" s="2"/>
    </row>
    <row r="33139" spans="1:8" x14ac:dyDescent="0.25">
      <c r="A33139" s="1"/>
      <c r="B33139" s="1" t="s">
        <v>8418</v>
      </c>
      <c r="C33139" s="1" t="s">
        <v>8419</v>
      </c>
      <c r="D33139" s="1" t="str">
        <f>HYPERLINK("https://rhld.insurance.arkansas.gov/NPILookup?Npi=1124268594","1124268594")</f>
        <v>1124268594</v>
      </c>
      <c r="E33139" s="1" t="s">
        <v>14076</v>
      </c>
      <c r="F33139" s="2"/>
      <c r="G33139" s="2"/>
      <c r="H33139" s="2"/>
    </row>
    <row r="33140" spans="1:8" x14ac:dyDescent="0.25">
      <c r="A33140" s="1"/>
      <c r="B33140" s="1" t="s">
        <v>8418</v>
      </c>
      <c r="C33140" s="1" t="s">
        <v>8419</v>
      </c>
      <c r="D33140" s="1" t="str">
        <f>HYPERLINK("https://rhld.insurance.arkansas.gov/NPILookup?Npi=1124301536","1124301536")</f>
        <v>1124301536</v>
      </c>
      <c r="E33140" s="1" t="s">
        <v>8483</v>
      </c>
      <c r="F33140" s="2"/>
      <c r="G33140" s="2"/>
      <c r="H33140" s="2"/>
    </row>
    <row r="33141" spans="1:8" x14ac:dyDescent="0.25">
      <c r="A33141" s="1"/>
      <c r="B33141" s="1" t="s">
        <v>8418</v>
      </c>
      <c r="C33141" s="1" t="s">
        <v>8419</v>
      </c>
      <c r="D33141" s="1" t="str">
        <f>HYPERLINK("https://rhld.insurance.arkansas.gov/NPILookup?Npi=1124309786","1124309786")</f>
        <v>1124309786</v>
      </c>
      <c r="E33141" s="1" t="s">
        <v>8484</v>
      </c>
      <c r="F33141" s="2"/>
      <c r="G33141" s="2"/>
      <c r="H33141" s="2"/>
    </row>
    <row r="33142" spans="1:8" x14ac:dyDescent="0.25">
      <c r="A33142" s="1"/>
      <c r="B33142" s="1" t="s">
        <v>8418</v>
      </c>
      <c r="C33142" s="1" t="s">
        <v>8419</v>
      </c>
      <c r="D33142" s="1" t="str">
        <f>HYPERLINK("https://rhld.insurance.arkansas.gov/NPILookup?Npi=1124367826","1124367826")</f>
        <v>1124367826</v>
      </c>
      <c r="E33142" s="1" t="s">
        <v>8485</v>
      </c>
      <c r="F33142" s="2"/>
      <c r="G33142" s="2"/>
      <c r="H33142" s="2"/>
    </row>
    <row r="33143" spans="1:8" x14ac:dyDescent="0.25">
      <c r="A33143" s="1"/>
      <c r="B33143" s="1" t="s">
        <v>8418</v>
      </c>
      <c r="C33143" s="1" t="s">
        <v>8419</v>
      </c>
      <c r="D33143" s="1" t="str">
        <f>HYPERLINK("https://rhld.insurance.arkansas.gov/NPILookup?Npi=1124369814","1124369814")</f>
        <v>1124369814</v>
      </c>
      <c r="E33143" s="1" t="s">
        <v>11554</v>
      </c>
      <c r="F33143" s="2"/>
      <c r="G33143" s="2"/>
      <c r="H33143" s="2"/>
    </row>
    <row r="33144" spans="1:8" x14ac:dyDescent="0.25">
      <c r="A33144" s="1"/>
      <c r="B33144" s="1" t="s">
        <v>8418</v>
      </c>
      <c r="C33144" s="1" t="s">
        <v>8419</v>
      </c>
      <c r="D33144" s="1" t="str">
        <f>HYPERLINK("https://rhld.insurance.arkansas.gov/NPILookup?Npi=1124388111","1124388111")</f>
        <v>1124388111</v>
      </c>
      <c r="E33144" s="1" t="s">
        <v>30287</v>
      </c>
      <c r="F33144" s="2"/>
      <c r="G33144" s="2"/>
      <c r="H33144" s="2"/>
    </row>
    <row r="33145" spans="1:8" x14ac:dyDescent="0.25">
      <c r="A33145" s="1"/>
      <c r="B33145" s="1" t="s">
        <v>8418</v>
      </c>
      <c r="C33145" s="1" t="s">
        <v>8419</v>
      </c>
      <c r="D33145" s="1" t="str">
        <f>HYPERLINK("https://rhld.insurance.arkansas.gov/NPILookup?Npi=1124398631","1124398631")</f>
        <v>1124398631</v>
      </c>
      <c r="E33145" s="1" t="s">
        <v>8486</v>
      </c>
      <c r="F33145" s="2"/>
      <c r="G33145" s="2"/>
      <c r="H33145" s="2"/>
    </row>
    <row r="33146" spans="1:8" x14ac:dyDescent="0.25">
      <c r="A33146" s="1"/>
      <c r="B33146" s="1" t="s">
        <v>8418</v>
      </c>
      <c r="C33146" s="1" t="s">
        <v>8419</v>
      </c>
      <c r="D33146" s="1" t="str">
        <f>HYPERLINK("https://rhld.insurance.arkansas.gov/NPILookup?Npi=1124428750","1124428750")</f>
        <v>1124428750</v>
      </c>
      <c r="E33146" s="1" t="s">
        <v>30288</v>
      </c>
      <c r="F33146" s="2"/>
      <c r="G33146" s="2"/>
      <c r="H33146" s="2"/>
    </row>
    <row r="33147" spans="1:8" x14ac:dyDescent="0.25">
      <c r="A33147" s="1"/>
      <c r="B33147" s="1" t="s">
        <v>8418</v>
      </c>
      <c r="C33147" s="1" t="s">
        <v>8419</v>
      </c>
      <c r="D33147" s="1" t="str">
        <f>HYPERLINK("https://rhld.insurance.arkansas.gov/NPILookup?Npi=1124441472","1124441472")</f>
        <v>1124441472</v>
      </c>
      <c r="E33147" s="1" t="s">
        <v>26521</v>
      </c>
      <c r="F33147" s="2"/>
      <c r="G33147" s="2"/>
      <c r="H33147" s="2"/>
    </row>
    <row r="33148" spans="1:8" x14ac:dyDescent="0.25">
      <c r="A33148" s="1"/>
      <c r="B33148" s="1" t="s">
        <v>8418</v>
      </c>
      <c r="C33148" s="1" t="s">
        <v>8419</v>
      </c>
      <c r="D33148" s="1" t="str">
        <f>HYPERLINK("https://rhld.insurance.arkansas.gov/NPILookup?Npi=1124471719","1124471719")</f>
        <v>1124471719</v>
      </c>
      <c r="E33148" s="1" t="s">
        <v>14077</v>
      </c>
      <c r="F33148" s="2"/>
      <c r="G33148" s="2"/>
      <c r="H33148" s="2"/>
    </row>
    <row r="33149" spans="1:8" x14ac:dyDescent="0.25">
      <c r="A33149" s="1"/>
      <c r="B33149" s="1" t="s">
        <v>8418</v>
      </c>
      <c r="C33149" s="1" t="s">
        <v>8419</v>
      </c>
      <c r="D33149" s="1" t="str">
        <f>HYPERLINK("https://rhld.insurance.arkansas.gov/NPILookup?Npi=1124507462","1124507462")</f>
        <v>1124507462</v>
      </c>
      <c r="E33149" s="1" t="s">
        <v>4088</v>
      </c>
      <c r="F33149" s="2"/>
      <c r="G33149" s="2"/>
      <c r="H33149" s="2"/>
    </row>
    <row r="33150" spans="1:8" x14ac:dyDescent="0.25">
      <c r="A33150" s="1"/>
      <c r="B33150" s="1" t="s">
        <v>8418</v>
      </c>
      <c r="C33150" s="1" t="s">
        <v>8419</v>
      </c>
      <c r="D33150" s="1" t="str">
        <f>HYPERLINK("https://rhld.insurance.arkansas.gov/NPILookup?Npi=1124508742","1124508742")</f>
        <v>1124508742</v>
      </c>
      <c r="E33150" s="1" t="s">
        <v>14078</v>
      </c>
      <c r="F33150" s="2"/>
      <c r="G33150" s="2"/>
      <c r="H33150" s="2"/>
    </row>
    <row r="33151" spans="1:8" x14ac:dyDescent="0.25">
      <c r="A33151" s="1"/>
      <c r="B33151" s="1" t="s">
        <v>8418</v>
      </c>
      <c r="C33151" s="1" t="s">
        <v>8419</v>
      </c>
      <c r="D33151" s="1" t="str">
        <f>HYPERLINK("https://rhld.insurance.arkansas.gov/NPILookup?Npi=1124543921","1124543921")</f>
        <v>1124543921</v>
      </c>
      <c r="E33151" s="1" t="s">
        <v>8487</v>
      </c>
      <c r="F33151" s="2"/>
      <c r="G33151" s="2"/>
      <c r="H33151" s="2"/>
    </row>
    <row r="33152" spans="1:8" x14ac:dyDescent="0.25">
      <c r="A33152" s="1"/>
      <c r="B33152" s="1" t="s">
        <v>8418</v>
      </c>
      <c r="C33152" s="1" t="s">
        <v>8419</v>
      </c>
      <c r="D33152" s="1" t="str">
        <f>HYPERLINK("https://rhld.insurance.arkansas.gov/NPILookup?Npi=1124700638","1124700638")</f>
        <v>1124700638</v>
      </c>
      <c r="E33152" s="1" t="s">
        <v>8488</v>
      </c>
      <c r="F33152" s="2"/>
      <c r="G33152" s="2"/>
      <c r="H33152" s="2"/>
    </row>
    <row r="33153" spans="1:8" x14ac:dyDescent="0.25">
      <c r="A33153" s="1"/>
      <c r="B33153" s="1" t="s">
        <v>8418</v>
      </c>
      <c r="C33153" s="1" t="s">
        <v>8419</v>
      </c>
      <c r="D33153" s="1" t="str">
        <f>HYPERLINK("https://rhld.insurance.arkansas.gov/NPILookup?Npi=1124711239","1124711239")</f>
        <v>1124711239</v>
      </c>
      <c r="E33153" s="1" t="s">
        <v>32507</v>
      </c>
      <c r="F33153" s="2"/>
      <c r="G33153" s="2"/>
      <c r="H33153" s="2"/>
    </row>
    <row r="33154" spans="1:8" x14ac:dyDescent="0.25">
      <c r="A33154" s="1"/>
      <c r="B33154" s="1" t="s">
        <v>8418</v>
      </c>
      <c r="C33154" s="1" t="s">
        <v>8419</v>
      </c>
      <c r="D33154" s="1" t="str">
        <f>HYPERLINK("https://rhld.insurance.arkansas.gov/NPILookup?Npi=1124734736","1124734736")</f>
        <v>1124734736</v>
      </c>
      <c r="E33154" s="1" t="s">
        <v>8489</v>
      </c>
      <c r="F33154" s="2"/>
      <c r="G33154" s="2"/>
      <c r="H33154" s="2"/>
    </row>
    <row r="33155" spans="1:8" x14ac:dyDescent="0.25">
      <c r="A33155" s="1"/>
      <c r="B33155" s="1" t="s">
        <v>8418</v>
      </c>
      <c r="C33155" s="1" t="s">
        <v>8419</v>
      </c>
      <c r="D33155" s="1" t="str">
        <f>HYPERLINK("https://rhld.insurance.arkansas.gov/NPILookup?Npi=1124779749","1124779749")</f>
        <v>1124779749</v>
      </c>
      <c r="E33155" s="1" t="s">
        <v>14079</v>
      </c>
      <c r="F33155" s="2"/>
      <c r="G33155" s="2"/>
      <c r="H33155" s="2"/>
    </row>
    <row r="33156" spans="1:8" x14ac:dyDescent="0.25">
      <c r="A33156" s="1"/>
      <c r="B33156" s="1" t="s">
        <v>8418</v>
      </c>
      <c r="C33156" s="1" t="s">
        <v>8419</v>
      </c>
      <c r="D33156" s="1" t="str">
        <f>HYPERLINK("https://rhld.insurance.arkansas.gov/NPILookup?Npi=1124792320","1124792320")</f>
        <v>1124792320</v>
      </c>
      <c r="E33156" s="1" t="s">
        <v>5791</v>
      </c>
      <c r="F33156" s="2"/>
      <c r="G33156" s="2"/>
      <c r="H33156" s="2"/>
    </row>
    <row r="33157" spans="1:8" x14ac:dyDescent="0.25">
      <c r="A33157" s="1"/>
      <c r="B33157" s="1" t="s">
        <v>8418</v>
      </c>
      <c r="C33157" s="1" t="s">
        <v>8419</v>
      </c>
      <c r="D33157" s="1" t="str">
        <f>HYPERLINK("https://rhld.insurance.arkansas.gov/NPILookup?Npi=1124806633","1124806633")</f>
        <v>1124806633</v>
      </c>
      <c r="E33157" s="1" t="s">
        <v>30289</v>
      </c>
      <c r="F33157" s="2"/>
      <c r="G33157" s="2"/>
      <c r="H33157" s="2"/>
    </row>
    <row r="33158" spans="1:8" x14ac:dyDescent="0.25">
      <c r="A33158" s="1"/>
      <c r="B33158" s="1" t="s">
        <v>8418</v>
      </c>
      <c r="C33158" s="1" t="s">
        <v>8419</v>
      </c>
      <c r="D33158" s="1" t="str">
        <f>HYPERLINK("https://rhld.insurance.arkansas.gov/NPILookup?Npi=1134155203","1134155203")</f>
        <v>1134155203</v>
      </c>
      <c r="E33158" s="1" t="s">
        <v>30290</v>
      </c>
      <c r="F33158" s="2"/>
      <c r="G33158" s="2"/>
      <c r="H33158" s="2"/>
    </row>
    <row r="33159" spans="1:8" x14ac:dyDescent="0.25">
      <c r="A33159" s="1"/>
      <c r="B33159" s="1" t="s">
        <v>8418</v>
      </c>
      <c r="C33159" s="1" t="s">
        <v>8419</v>
      </c>
      <c r="D33159" s="1" t="str">
        <f>HYPERLINK("https://rhld.insurance.arkansas.gov/NPILookup?Npi=1134187628","1134187628")</f>
        <v>1134187628</v>
      </c>
      <c r="E33159" s="1" t="s">
        <v>8490</v>
      </c>
      <c r="F33159" s="2"/>
      <c r="G33159" s="2"/>
      <c r="H33159" s="2"/>
    </row>
    <row r="33160" spans="1:8" x14ac:dyDescent="0.25">
      <c r="A33160" s="1"/>
      <c r="B33160" s="1" t="s">
        <v>8418</v>
      </c>
      <c r="C33160" s="1" t="s">
        <v>8419</v>
      </c>
      <c r="D33160" s="1" t="str">
        <f>HYPERLINK("https://rhld.insurance.arkansas.gov/NPILookup?Npi=1134247893","1134247893")</f>
        <v>1134247893</v>
      </c>
      <c r="E33160" s="1" t="s">
        <v>30291</v>
      </c>
      <c r="F33160" s="2"/>
      <c r="G33160" s="2"/>
      <c r="H33160" s="2"/>
    </row>
    <row r="33161" spans="1:8" x14ac:dyDescent="0.25">
      <c r="A33161" s="1"/>
      <c r="B33161" s="1" t="s">
        <v>8418</v>
      </c>
      <c r="C33161" s="1" t="s">
        <v>8419</v>
      </c>
      <c r="D33161" s="1" t="str">
        <f>HYPERLINK("https://rhld.insurance.arkansas.gov/NPILookup?Npi=1134253396","1134253396")</f>
        <v>1134253396</v>
      </c>
      <c r="E33161" s="1" t="s">
        <v>14080</v>
      </c>
      <c r="F33161" s="2"/>
      <c r="G33161" s="2"/>
      <c r="H33161" s="2"/>
    </row>
    <row r="33162" spans="1:8" x14ac:dyDescent="0.25">
      <c r="A33162" s="1"/>
      <c r="B33162" s="1" t="s">
        <v>8418</v>
      </c>
      <c r="C33162" s="1" t="s">
        <v>8419</v>
      </c>
      <c r="D33162" s="1" t="str">
        <f>HYPERLINK("https://rhld.insurance.arkansas.gov/NPILookup?Npi=1134278617","1134278617")</f>
        <v>1134278617</v>
      </c>
      <c r="E33162" s="1" t="s">
        <v>30292</v>
      </c>
      <c r="F33162" s="2"/>
      <c r="G33162" s="2"/>
      <c r="H33162" s="2"/>
    </row>
    <row r="33163" spans="1:8" x14ac:dyDescent="0.25">
      <c r="A33163" s="1"/>
      <c r="B33163" s="1" t="s">
        <v>8418</v>
      </c>
      <c r="C33163" s="1" t="s">
        <v>8419</v>
      </c>
      <c r="D33163" s="1" t="str">
        <f>HYPERLINK("https://rhld.insurance.arkansas.gov/NPILookup?Npi=1134284987","1134284987")</f>
        <v>1134284987</v>
      </c>
      <c r="E33163" s="1" t="s">
        <v>8491</v>
      </c>
      <c r="F33163" s="2"/>
      <c r="G33163" s="2"/>
      <c r="H33163" s="2"/>
    </row>
    <row r="33164" spans="1:8" x14ac:dyDescent="0.25">
      <c r="A33164" s="1"/>
      <c r="B33164" s="1" t="s">
        <v>8418</v>
      </c>
      <c r="C33164" s="1" t="s">
        <v>8419</v>
      </c>
      <c r="D33164" s="1" t="str">
        <f>HYPERLINK("https://rhld.insurance.arkansas.gov/NPILookup?Npi=1134315187","1134315187")</f>
        <v>1134315187</v>
      </c>
      <c r="E33164" s="1" t="s">
        <v>30293</v>
      </c>
      <c r="F33164" s="2"/>
      <c r="G33164" s="2"/>
      <c r="H33164" s="2"/>
    </row>
    <row r="33165" spans="1:8" x14ac:dyDescent="0.25">
      <c r="A33165" s="1"/>
      <c r="B33165" s="1" t="s">
        <v>8418</v>
      </c>
      <c r="C33165" s="1" t="s">
        <v>8419</v>
      </c>
      <c r="D33165" s="1" t="str">
        <f>HYPERLINK("https://rhld.insurance.arkansas.gov/NPILookup?Npi=1134340193","1134340193")</f>
        <v>1134340193</v>
      </c>
      <c r="E33165" s="1" t="s">
        <v>30294</v>
      </c>
      <c r="F33165" s="2"/>
      <c r="G33165" s="2"/>
      <c r="H33165" s="2"/>
    </row>
    <row r="33166" spans="1:8" x14ac:dyDescent="0.25">
      <c r="A33166" s="1"/>
      <c r="B33166" s="1" t="s">
        <v>8418</v>
      </c>
      <c r="C33166" s="1" t="s">
        <v>8419</v>
      </c>
      <c r="D33166" s="1" t="str">
        <f>HYPERLINK("https://rhld.insurance.arkansas.gov/NPILookup?Npi=1134392855","1134392855")</f>
        <v>1134392855</v>
      </c>
      <c r="E33166" s="1" t="s">
        <v>30295</v>
      </c>
      <c r="F33166" s="2"/>
      <c r="G33166" s="2"/>
      <c r="H33166" s="2"/>
    </row>
    <row r="33167" spans="1:8" x14ac:dyDescent="0.25">
      <c r="A33167" s="1"/>
      <c r="B33167" s="1" t="s">
        <v>8418</v>
      </c>
      <c r="C33167" s="1" t="s">
        <v>8419</v>
      </c>
      <c r="D33167" s="1" t="str">
        <f>HYPERLINK("https://rhld.insurance.arkansas.gov/NPILookup?Npi=1134406978","1134406978")</f>
        <v>1134406978</v>
      </c>
      <c r="E33167" s="1" t="s">
        <v>30296</v>
      </c>
      <c r="F33167" s="2"/>
      <c r="G33167" s="2"/>
      <c r="H33167" s="2"/>
    </row>
    <row r="33168" spans="1:8" x14ac:dyDescent="0.25">
      <c r="A33168" s="1"/>
      <c r="B33168" s="1" t="s">
        <v>8418</v>
      </c>
      <c r="C33168" s="1" t="s">
        <v>8419</v>
      </c>
      <c r="D33168" s="1" t="str">
        <f>HYPERLINK("https://rhld.insurance.arkansas.gov/NPILookup?Npi=1134423833","1134423833")</f>
        <v>1134423833</v>
      </c>
      <c r="E33168" s="1" t="s">
        <v>8493</v>
      </c>
      <c r="F33168" s="2"/>
      <c r="G33168" s="2"/>
      <c r="H33168" s="2"/>
    </row>
    <row r="33169" spans="1:8" x14ac:dyDescent="0.25">
      <c r="A33169" s="1"/>
      <c r="B33169" s="1" t="s">
        <v>8418</v>
      </c>
      <c r="C33169" s="1" t="s">
        <v>8419</v>
      </c>
      <c r="D33169" s="1" t="str">
        <f>HYPERLINK("https://rhld.insurance.arkansas.gov/NPILookup?Npi=1134427198","1134427198")</f>
        <v>1134427198</v>
      </c>
      <c r="E33169" s="1" t="s">
        <v>8494</v>
      </c>
      <c r="F33169" s="2"/>
      <c r="G33169" s="2"/>
      <c r="H33169" s="2"/>
    </row>
    <row r="33170" spans="1:8" x14ac:dyDescent="0.25">
      <c r="A33170" s="1"/>
      <c r="B33170" s="1" t="s">
        <v>8418</v>
      </c>
      <c r="C33170" s="1" t="s">
        <v>8419</v>
      </c>
      <c r="D33170" s="1" t="str">
        <f>HYPERLINK("https://rhld.insurance.arkansas.gov/NPILookup?Npi=1134459522","1134459522")</f>
        <v>1134459522</v>
      </c>
      <c r="E33170" s="1" t="s">
        <v>14081</v>
      </c>
      <c r="F33170" s="2"/>
      <c r="G33170" s="2"/>
      <c r="H33170" s="2"/>
    </row>
    <row r="33171" spans="1:8" x14ac:dyDescent="0.25">
      <c r="A33171" s="1"/>
      <c r="B33171" s="1" t="s">
        <v>8418</v>
      </c>
      <c r="C33171" s="1" t="s">
        <v>8419</v>
      </c>
      <c r="D33171" s="1" t="str">
        <f>HYPERLINK("https://rhld.insurance.arkansas.gov/NPILookup?Npi=1134464266","1134464266")</f>
        <v>1134464266</v>
      </c>
      <c r="E33171" s="1" t="s">
        <v>8495</v>
      </c>
      <c r="F33171" s="2"/>
      <c r="G33171" s="2"/>
      <c r="H33171" s="2"/>
    </row>
    <row r="33172" spans="1:8" x14ac:dyDescent="0.25">
      <c r="A33172" s="1"/>
      <c r="B33172" s="1" t="s">
        <v>8418</v>
      </c>
      <c r="C33172" s="1" t="s">
        <v>8419</v>
      </c>
      <c r="D33172" s="1" t="str">
        <f>HYPERLINK("https://rhld.insurance.arkansas.gov/NPILookup?Npi=1134541204","1134541204")</f>
        <v>1134541204</v>
      </c>
      <c r="E33172" s="1" t="s">
        <v>30297</v>
      </c>
      <c r="F33172" s="2"/>
      <c r="G33172" s="2"/>
      <c r="H33172" s="2"/>
    </row>
    <row r="33173" spans="1:8" x14ac:dyDescent="0.25">
      <c r="A33173" s="1"/>
      <c r="B33173" s="1" t="s">
        <v>8418</v>
      </c>
      <c r="C33173" s="1" t="s">
        <v>8419</v>
      </c>
      <c r="D33173" s="1" t="str">
        <f>HYPERLINK("https://rhld.insurance.arkansas.gov/NPILookup?Npi=1134587348","1134587348")</f>
        <v>1134587348</v>
      </c>
      <c r="E33173" s="1" t="s">
        <v>30298</v>
      </c>
      <c r="F33173" s="2"/>
      <c r="G33173" s="2"/>
      <c r="H33173" s="2"/>
    </row>
    <row r="33174" spans="1:8" x14ac:dyDescent="0.25">
      <c r="A33174" s="1"/>
      <c r="B33174" s="1" t="s">
        <v>8418</v>
      </c>
      <c r="C33174" s="1" t="s">
        <v>8419</v>
      </c>
      <c r="D33174" s="1" t="str">
        <f>HYPERLINK("https://rhld.insurance.arkansas.gov/NPILookup?Npi=1134709066","1134709066")</f>
        <v>1134709066</v>
      </c>
      <c r="E33174" s="1" t="s">
        <v>8496</v>
      </c>
      <c r="F33174" s="2"/>
      <c r="G33174" s="2"/>
      <c r="H33174" s="2"/>
    </row>
    <row r="33175" spans="1:8" x14ac:dyDescent="0.25">
      <c r="A33175" s="1"/>
      <c r="B33175" s="1" t="s">
        <v>8418</v>
      </c>
      <c r="C33175" s="1" t="s">
        <v>8419</v>
      </c>
      <c r="D33175" s="1" t="str">
        <f>HYPERLINK("https://rhld.insurance.arkansas.gov/NPILookup?Npi=1134743412","1134743412")</f>
        <v>1134743412</v>
      </c>
      <c r="E33175" s="1" t="s">
        <v>8497</v>
      </c>
      <c r="F33175" s="2"/>
      <c r="G33175" s="2"/>
      <c r="H33175" s="2"/>
    </row>
    <row r="33176" spans="1:8" x14ac:dyDescent="0.25">
      <c r="A33176" s="1"/>
      <c r="B33176" s="1" t="s">
        <v>8418</v>
      </c>
      <c r="C33176" s="1" t="s">
        <v>8419</v>
      </c>
      <c r="D33176" s="1" t="str">
        <f>HYPERLINK("https://rhld.insurance.arkansas.gov/NPILookup?Npi=1134818800","1134818800")</f>
        <v>1134818800</v>
      </c>
      <c r="E33176" s="1" t="s">
        <v>8498</v>
      </c>
      <c r="F33176" s="2"/>
      <c r="G33176" s="2"/>
      <c r="H33176" s="2"/>
    </row>
    <row r="33177" spans="1:8" x14ac:dyDescent="0.25">
      <c r="A33177" s="1"/>
      <c r="B33177" s="1" t="s">
        <v>8418</v>
      </c>
      <c r="C33177" s="1" t="s">
        <v>8419</v>
      </c>
      <c r="D33177" s="1" t="str">
        <f>HYPERLINK("https://rhld.insurance.arkansas.gov/NPILookup?Npi=1134842362","1134842362")</f>
        <v>1134842362</v>
      </c>
      <c r="E33177" s="1" t="s">
        <v>5168</v>
      </c>
      <c r="F33177" s="2"/>
      <c r="G33177" s="2"/>
      <c r="H33177" s="2"/>
    </row>
    <row r="33178" spans="1:8" x14ac:dyDescent="0.25">
      <c r="A33178" s="1"/>
      <c r="B33178" s="1" t="s">
        <v>8418</v>
      </c>
      <c r="C33178" s="1" t="s">
        <v>8419</v>
      </c>
      <c r="D33178" s="1" t="str">
        <f>HYPERLINK("https://rhld.insurance.arkansas.gov/NPILookup?Npi=1134866882","1134866882")</f>
        <v>1134866882</v>
      </c>
      <c r="E33178" s="1" t="s">
        <v>6511</v>
      </c>
      <c r="F33178" s="2"/>
      <c r="G33178" s="2"/>
      <c r="H33178" s="2"/>
    </row>
    <row r="33179" spans="1:8" x14ac:dyDescent="0.25">
      <c r="A33179" s="1"/>
      <c r="B33179" s="1" t="s">
        <v>8418</v>
      </c>
      <c r="C33179" s="1" t="s">
        <v>8419</v>
      </c>
      <c r="D33179" s="1" t="str">
        <f>HYPERLINK("https://rhld.insurance.arkansas.gov/NPILookup?Npi=1144053877","1144053877")</f>
        <v>1144053877</v>
      </c>
      <c r="E33179" s="1" t="s">
        <v>30299</v>
      </c>
      <c r="F33179" s="2"/>
      <c r="G33179" s="2"/>
      <c r="H33179" s="2"/>
    </row>
    <row r="33180" spans="1:8" x14ac:dyDescent="0.25">
      <c r="A33180" s="1"/>
      <c r="B33180" s="1" t="s">
        <v>8418</v>
      </c>
      <c r="C33180" s="1" t="s">
        <v>8419</v>
      </c>
      <c r="D33180" s="1" t="str">
        <f>HYPERLINK("https://rhld.insurance.arkansas.gov/NPILookup?Npi=1144088402","1144088402")</f>
        <v>1144088402</v>
      </c>
      <c r="E33180" s="1" t="s">
        <v>30300</v>
      </c>
      <c r="F33180" s="2"/>
      <c r="G33180" s="2"/>
      <c r="H33180" s="2"/>
    </row>
    <row r="33181" spans="1:8" x14ac:dyDescent="0.25">
      <c r="A33181" s="1"/>
      <c r="B33181" s="1" t="s">
        <v>8418</v>
      </c>
      <c r="C33181" s="1" t="s">
        <v>8419</v>
      </c>
      <c r="D33181" s="1" t="str">
        <f>HYPERLINK("https://rhld.insurance.arkansas.gov/NPILookup?Npi=1144392309","1144392309")</f>
        <v>1144392309</v>
      </c>
      <c r="E33181" s="1" t="s">
        <v>30301</v>
      </c>
      <c r="F33181" s="2"/>
      <c r="G33181" s="2"/>
      <c r="H33181" s="2"/>
    </row>
    <row r="33182" spans="1:8" x14ac:dyDescent="0.25">
      <c r="A33182" s="1"/>
      <c r="B33182" s="1" t="s">
        <v>8418</v>
      </c>
      <c r="C33182" s="1" t="s">
        <v>8419</v>
      </c>
      <c r="D33182" s="1" t="str">
        <f>HYPERLINK("https://rhld.insurance.arkansas.gov/NPILookup?Npi=1144462573","1144462573")</f>
        <v>1144462573</v>
      </c>
      <c r="E33182" s="1" t="s">
        <v>14082</v>
      </c>
      <c r="F33182" s="2"/>
      <c r="G33182" s="2"/>
      <c r="H33182" s="2"/>
    </row>
    <row r="33183" spans="1:8" x14ac:dyDescent="0.25">
      <c r="A33183" s="1"/>
      <c r="B33183" s="1" t="s">
        <v>8418</v>
      </c>
      <c r="C33183" s="1" t="s">
        <v>8419</v>
      </c>
      <c r="D33183" s="1" t="str">
        <f>HYPERLINK("https://rhld.insurance.arkansas.gov/NPILookup?Npi=1144464132","1144464132")</f>
        <v>1144464132</v>
      </c>
      <c r="E33183" s="1" t="s">
        <v>6816</v>
      </c>
      <c r="F33183" s="2"/>
      <c r="G33183" s="2"/>
      <c r="H33183" s="2"/>
    </row>
    <row r="33184" spans="1:8" x14ac:dyDescent="0.25">
      <c r="A33184" s="1"/>
      <c r="B33184" s="1" t="s">
        <v>8418</v>
      </c>
      <c r="C33184" s="1" t="s">
        <v>8419</v>
      </c>
      <c r="D33184" s="1" t="str">
        <f>HYPERLINK("https://rhld.insurance.arkansas.gov/NPILookup?Npi=1144466327","1144466327")</f>
        <v>1144466327</v>
      </c>
      <c r="E33184" s="1" t="s">
        <v>30302</v>
      </c>
      <c r="F33184" s="2"/>
      <c r="G33184" s="2"/>
      <c r="H33184" s="2"/>
    </row>
    <row r="33185" spans="1:8" x14ac:dyDescent="0.25">
      <c r="A33185" s="1"/>
      <c r="B33185" s="1" t="s">
        <v>8418</v>
      </c>
      <c r="C33185" s="1" t="s">
        <v>8419</v>
      </c>
      <c r="D33185" s="1" t="str">
        <f>HYPERLINK("https://rhld.insurance.arkansas.gov/NPILookup?Npi=1144539230","1144539230")</f>
        <v>1144539230</v>
      </c>
      <c r="E33185" s="1" t="s">
        <v>8499</v>
      </c>
      <c r="F33185" s="2"/>
      <c r="G33185" s="2"/>
      <c r="H33185" s="2"/>
    </row>
    <row r="33186" spans="1:8" x14ac:dyDescent="0.25">
      <c r="A33186" s="1"/>
      <c r="B33186" s="1" t="s">
        <v>8418</v>
      </c>
      <c r="C33186" s="1" t="s">
        <v>8419</v>
      </c>
      <c r="D33186" s="1" t="str">
        <f>HYPERLINK("https://rhld.insurance.arkansas.gov/NPILookup?Npi=1144566647","1144566647")</f>
        <v>1144566647</v>
      </c>
      <c r="E33186" s="1" t="s">
        <v>30303</v>
      </c>
      <c r="F33186" s="2"/>
      <c r="G33186" s="2"/>
      <c r="H33186" s="2"/>
    </row>
    <row r="33187" spans="1:8" x14ac:dyDescent="0.25">
      <c r="A33187" s="1"/>
      <c r="B33187" s="1" t="s">
        <v>8418</v>
      </c>
      <c r="C33187" s="1" t="s">
        <v>8419</v>
      </c>
      <c r="D33187" s="1" t="str">
        <f>HYPERLINK("https://rhld.insurance.arkansas.gov/NPILookup?Npi=1144571563","1144571563")</f>
        <v>1144571563</v>
      </c>
      <c r="E33187" s="1" t="s">
        <v>5470</v>
      </c>
      <c r="F33187" s="2"/>
      <c r="G33187" s="2"/>
      <c r="H33187" s="2"/>
    </row>
    <row r="33188" spans="1:8" x14ac:dyDescent="0.25">
      <c r="A33188" s="1"/>
      <c r="B33188" s="1" t="s">
        <v>8418</v>
      </c>
      <c r="C33188" s="1" t="s">
        <v>8419</v>
      </c>
      <c r="D33188" s="1" t="str">
        <f>HYPERLINK("https://rhld.insurance.arkansas.gov/NPILookup?Npi=1144650409","1144650409")</f>
        <v>1144650409</v>
      </c>
      <c r="E33188" s="1" t="s">
        <v>14083</v>
      </c>
      <c r="F33188" s="2"/>
      <c r="G33188" s="2"/>
      <c r="H33188" s="2"/>
    </row>
    <row r="33189" spans="1:8" x14ac:dyDescent="0.25">
      <c r="A33189" s="1"/>
      <c r="B33189" s="1" t="s">
        <v>8418</v>
      </c>
      <c r="C33189" s="1" t="s">
        <v>8419</v>
      </c>
      <c r="D33189" s="1" t="str">
        <f>HYPERLINK("https://rhld.insurance.arkansas.gov/NPILookup?Npi=1144703455","1144703455")</f>
        <v>1144703455</v>
      </c>
      <c r="E33189" s="1" t="s">
        <v>14084</v>
      </c>
      <c r="F33189" s="2"/>
      <c r="G33189" s="2"/>
      <c r="H33189" s="2"/>
    </row>
    <row r="33190" spans="1:8" x14ac:dyDescent="0.25">
      <c r="A33190" s="1"/>
      <c r="B33190" s="1" t="s">
        <v>8418</v>
      </c>
      <c r="C33190" s="1" t="s">
        <v>8419</v>
      </c>
      <c r="D33190" s="1" t="str">
        <f>HYPERLINK("https://rhld.insurance.arkansas.gov/NPILookup?Npi=1144728643","1144728643")</f>
        <v>1144728643</v>
      </c>
      <c r="E33190" s="1" t="s">
        <v>6013</v>
      </c>
      <c r="F33190" s="2"/>
      <c r="G33190" s="2"/>
      <c r="H33190" s="2"/>
    </row>
    <row r="33191" spans="1:8" x14ac:dyDescent="0.25">
      <c r="A33191" s="1"/>
      <c r="B33191" s="1" t="s">
        <v>8418</v>
      </c>
      <c r="C33191" s="1" t="s">
        <v>8419</v>
      </c>
      <c r="D33191" s="1" t="str">
        <f>HYPERLINK("https://rhld.insurance.arkansas.gov/NPILookup?Npi=1144730409","1144730409")</f>
        <v>1144730409</v>
      </c>
      <c r="E33191" s="1" t="s">
        <v>30304</v>
      </c>
      <c r="F33191" s="2"/>
      <c r="G33191" s="2"/>
      <c r="H33191" s="2"/>
    </row>
    <row r="33192" spans="1:8" x14ac:dyDescent="0.25">
      <c r="A33192" s="1"/>
      <c r="B33192" s="1" t="s">
        <v>8418</v>
      </c>
      <c r="C33192" s="1" t="s">
        <v>8419</v>
      </c>
      <c r="D33192" s="1" t="str">
        <f>HYPERLINK("https://rhld.insurance.arkansas.gov/NPILookup?Npi=1144741380","1144741380")</f>
        <v>1144741380</v>
      </c>
      <c r="E33192" s="1" t="s">
        <v>8500</v>
      </c>
      <c r="F33192" s="2"/>
      <c r="G33192" s="2"/>
      <c r="H33192" s="2"/>
    </row>
    <row r="33193" spans="1:8" x14ac:dyDescent="0.25">
      <c r="A33193" s="1"/>
      <c r="B33193" s="1" t="s">
        <v>8418</v>
      </c>
      <c r="C33193" s="1" t="s">
        <v>8419</v>
      </c>
      <c r="D33193" s="1" t="str">
        <f>HYPERLINK("https://rhld.insurance.arkansas.gov/NPILookup?Npi=1144743147","1144743147")</f>
        <v>1144743147</v>
      </c>
      <c r="E33193" s="1" t="s">
        <v>30305</v>
      </c>
      <c r="F33193" s="2"/>
      <c r="G33193" s="2"/>
      <c r="H33193" s="2"/>
    </row>
    <row r="33194" spans="1:8" x14ac:dyDescent="0.25">
      <c r="A33194" s="1"/>
      <c r="B33194" s="1" t="s">
        <v>8418</v>
      </c>
      <c r="C33194" s="1" t="s">
        <v>8419</v>
      </c>
      <c r="D33194" s="1" t="str">
        <f>HYPERLINK("https://rhld.insurance.arkansas.gov/NPILookup?Npi=1144832106","1144832106")</f>
        <v>1144832106</v>
      </c>
      <c r="E33194" s="1" t="s">
        <v>14085</v>
      </c>
      <c r="F33194" s="2"/>
      <c r="G33194" s="2"/>
      <c r="H33194" s="2"/>
    </row>
    <row r="33195" spans="1:8" x14ac:dyDescent="0.25">
      <c r="A33195" s="1"/>
      <c r="B33195" s="1" t="s">
        <v>8418</v>
      </c>
      <c r="C33195" s="1" t="s">
        <v>8419</v>
      </c>
      <c r="D33195" s="1" t="str">
        <f>HYPERLINK("https://rhld.insurance.arkansas.gov/NPILookup?Npi=1144839259","1144839259")</f>
        <v>1144839259</v>
      </c>
      <c r="E33195" s="1" t="s">
        <v>30306</v>
      </c>
      <c r="F33195" s="2"/>
      <c r="G33195" s="2"/>
      <c r="H33195" s="2"/>
    </row>
    <row r="33196" spans="1:8" x14ac:dyDescent="0.25">
      <c r="A33196" s="1"/>
      <c r="B33196" s="1" t="s">
        <v>8418</v>
      </c>
      <c r="C33196" s="1" t="s">
        <v>8419</v>
      </c>
      <c r="D33196" s="1" t="str">
        <f>HYPERLINK("https://rhld.insurance.arkansas.gov/NPILookup?Npi=1144891979","1144891979")</f>
        <v>1144891979</v>
      </c>
      <c r="E33196" s="1" t="s">
        <v>30307</v>
      </c>
      <c r="F33196" s="2"/>
      <c r="G33196" s="2"/>
      <c r="H33196" s="2"/>
    </row>
    <row r="33197" spans="1:8" x14ac:dyDescent="0.25">
      <c r="A33197" s="1"/>
      <c r="B33197" s="1" t="s">
        <v>8418</v>
      </c>
      <c r="C33197" s="1" t="s">
        <v>8419</v>
      </c>
      <c r="D33197" s="1" t="str">
        <f>HYPERLINK("https://rhld.insurance.arkansas.gov/NPILookup?Npi=1144914797","1144914797")</f>
        <v>1144914797</v>
      </c>
      <c r="E33197" s="1" t="s">
        <v>8501</v>
      </c>
      <c r="F33197" s="2"/>
      <c r="G33197" s="2"/>
      <c r="H33197" s="2"/>
    </row>
    <row r="33198" spans="1:8" x14ac:dyDescent="0.25">
      <c r="A33198" s="1"/>
      <c r="B33198" s="1" t="s">
        <v>8418</v>
      </c>
      <c r="C33198" s="1" t="s">
        <v>8419</v>
      </c>
      <c r="D33198" s="1" t="str">
        <f>HYPERLINK("https://rhld.insurance.arkansas.gov/NPILookup?Npi=1144932922","1144932922")</f>
        <v>1144932922</v>
      </c>
      <c r="E33198" s="1" t="s">
        <v>19470</v>
      </c>
      <c r="F33198" s="2"/>
      <c r="G33198" s="2"/>
      <c r="H33198" s="2"/>
    </row>
    <row r="33199" spans="1:8" x14ac:dyDescent="0.25">
      <c r="A33199" s="1"/>
      <c r="B33199" s="1" t="s">
        <v>8418</v>
      </c>
      <c r="C33199" s="1" t="s">
        <v>8419</v>
      </c>
      <c r="D33199" s="1" t="str">
        <f>HYPERLINK("https://rhld.insurance.arkansas.gov/NPILookup?Npi=1154061042","1154061042")</f>
        <v>1154061042</v>
      </c>
      <c r="E33199" s="1" t="s">
        <v>8502</v>
      </c>
      <c r="F33199" s="2"/>
      <c r="G33199" s="2"/>
      <c r="H33199" s="2"/>
    </row>
    <row r="33200" spans="1:8" x14ac:dyDescent="0.25">
      <c r="A33200" s="1"/>
      <c r="B33200" s="1" t="s">
        <v>8418</v>
      </c>
      <c r="C33200" s="1" t="s">
        <v>8419</v>
      </c>
      <c r="D33200" s="1" t="str">
        <f>HYPERLINK("https://rhld.insurance.arkansas.gov/NPILookup?Npi=1154073864","1154073864")</f>
        <v>1154073864</v>
      </c>
      <c r="E33200" s="1" t="s">
        <v>32508</v>
      </c>
      <c r="F33200" s="2"/>
      <c r="G33200" s="2"/>
      <c r="H33200" s="2"/>
    </row>
    <row r="33201" spans="1:8" x14ac:dyDescent="0.25">
      <c r="A33201" s="1"/>
      <c r="B33201" s="1" t="s">
        <v>8418</v>
      </c>
      <c r="C33201" s="1" t="s">
        <v>8419</v>
      </c>
      <c r="D33201" s="1" t="str">
        <f>HYPERLINK("https://rhld.insurance.arkansas.gov/NPILookup?Npi=1154080521","1154080521")</f>
        <v>1154080521</v>
      </c>
      <c r="E33201" s="1" t="s">
        <v>30308</v>
      </c>
      <c r="F33201" s="2"/>
      <c r="G33201" s="2"/>
      <c r="H33201" s="2"/>
    </row>
    <row r="33202" spans="1:8" x14ac:dyDescent="0.25">
      <c r="A33202" s="1"/>
      <c r="B33202" s="1" t="s">
        <v>8418</v>
      </c>
      <c r="C33202" s="1" t="s">
        <v>8419</v>
      </c>
      <c r="D33202" s="1" t="str">
        <f>HYPERLINK("https://rhld.insurance.arkansas.gov/NPILookup?Npi=1154450435","1154450435")</f>
        <v>1154450435</v>
      </c>
      <c r="E33202" s="1" t="s">
        <v>30309</v>
      </c>
      <c r="F33202" s="2"/>
      <c r="G33202" s="2"/>
      <c r="H33202" s="2"/>
    </row>
    <row r="33203" spans="1:8" x14ac:dyDescent="0.25">
      <c r="A33203" s="1"/>
      <c r="B33203" s="1" t="s">
        <v>8418</v>
      </c>
      <c r="C33203" s="1" t="s">
        <v>8419</v>
      </c>
      <c r="D33203" s="1" t="str">
        <f>HYPERLINK("https://rhld.insurance.arkansas.gov/NPILookup?Npi=1154470649","1154470649")</f>
        <v>1154470649</v>
      </c>
      <c r="E33203" s="1" t="s">
        <v>1982</v>
      </c>
      <c r="F33203" s="2"/>
      <c r="G33203" s="2"/>
      <c r="H33203" s="2"/>
    </row>
    <row r="33204" spans="1:8" x14ac:dyDescent="0.25">
      <c r="A33204" s="1"/>
      <c r="B33204" s="1" t="s">
        <v>8418</v>
      </c>
      <c r="C33204" s="1" t="s">
        <v>8419</v>
      </c>
      <c r="D33204" s="1" t="str">
        <f>HYPERLINK("https://rhld.insurance.arkansas.gov/NPILookup?Npi=1154504827","1154504827")</f>
        <v>1154504827</v>
      </c>
      <c r="E33204" s="1" t="s">
        <v>8503</v>
      </c>
      <c r="F33204" s="2"/>
      <c r="G33204" s="2"/>
      <c r="H33204" s="2"/>
    </row>
    <row r="33205" spans="1:8" x14ac:dyDescent="0.25">
      <c r="A33205" s="1"/>
      <c r="B33205" s="1" t="s">
        <v>8418</v>
      </c>
      <c r="C33205" s="1" t="s">
        <v>8419</v>
      </c>
      <c r="D33205" s="1" t="str">
        <f>HYPERLINK("https://rhld.insurance.arkansas.gov/NPILookup?Npi=1154544542","1154544542")</f>
        <v>1154544542</v>
      </c>
      <c r="E33205" s="1" t="s">
        <v>30310</v>
      </c>
      <c r="F33205" s="2"/>
      <c r="G33205" s="2"/>
      <c r="H33205" s="2"/>
    </row>
    <row r="33206" spans="1:8" x14ac:dyDescent="0.25">
      <c r="A33206" s="1"/>
      <c r="B33206" s="1" t="s">
        <v>8418</v>
      </c>
      <c r="C33206" s="1" t="s">
        <v>8419</v>
      </c>
      <c r="D33206" s="1" t="str">
        <f>HYPERLINK("https://rhld.insurance.arkansas.gov/NPILookup?Npi=1154569515","1154569515")</f>
        <v>1154569515</v>
      </c>
      <c r="E33206" s="1" t="s">
        <v>14086</v>
      </c>
      <c r="F33206" s="2"/>
      <c r="G33206" s="2"/>
      <c r="H33206" s="2"/>
    </row>
    <row r="33207" spans="1:8" x14ac:dyDescent="0.25">
      <c r="A33207" s="1"/>
      <c r="B33207" s="1" t="s">
        <v>8418</v>
      </c>
      <c r="C33207" s="1" t="s">
        <v>8419</v>
      </c>
      <c r="D33207" s="1" t="str">
        <f>HYPERLINK("https://rhld.insurance.arkansas.gov/NPILookup?Npi=1154699106","1154699106")</f>
        <v>1154699106</v>
      </c>
      <c r="E33207" s="1" t="s">
        <v>30311</v>
      </c>
      <c r="F33207" s="2"/>
      <c r="G33207" s="2"/>
      <c r="H33207" s="2"/>
    </row>
    <row r="33208" spans="1:8" x14ac:dyDescent="0.25">
      <c r="A33208" s="1"/>
      <c r="B33208" s="1" t="s">
        <v>8418</v>
      </c>
      <c r="C33208" s="1" t="s">
        <v>8419</v>
      </c>
      <c r="D33208" s="1" t="str">
        <f>HYPERLINK("https://rhld.insurance.arkansas.gov/NPILookup?Npi=1154709582","1154709582")</f>
        <v>1154709582</v>
      </c>
      <c r="E33208" s="1" t="s">
        <v>30312</v>
      </c>
      <c r="F33208" s="2"/>
      <c r="G33208" s="2"/>
      <c r="H33208" s="2"/>
    </row>
    <row r="33209" spans="1:8" x14ac:dyDescent="0.25">
      <c r="A33209" s="1"/>
      <c r="B33209" s="1" t="s">
        <v>8418</v>
      </c>
      <c r="C33209" s="1" t="s">
        <v>8419</v>
      </c>
      <c r="D33209" s="1" t="str">
        <f>HYPERLINK("https://rhld.insurance.arkansas.gov/NPILookup?Npi=1154777142","1154777142")</f>
        <v>1154777142</v>
      </c>
      <c r="E33209" s="1" t="s">
        <v>30313</v>
      </c>
      <c r="F33209" s="2"/>
      <c r="G33209" s="2"/>
      <c r="H33209" s="2"/>
    </row>
    <row r="33210" spans="1:8" x14ac:dyDescent="0.25">
      <c r="A33210" s="1"/>
      <c r="B33210" s="1" t="s">
        <v>8418</v>
      </c>
      <c r="C33210" s="1" t="s">
        <v>8419</v>
      </c>
      <c r="D33210" s="1" t="str">
        <f>HYPERLINK("https://rhld.insurance.arkansas.gov/NPILookup?Npi=1154859833","1154859833")</f>
        <v>1154859833</v>
      </c>
      <c r="E33210" s="1" t="s">
        <v>30314</v>
      </c>
      <c r="F33210" s="2"/>
      <c r="G33210" s="2"/>
      <c r="H33210" s="2"/>
    </row>
    <row r="33211" spans="1:8" x14ac:dyDescent="0.25">
      <c r="A33211" s="1"/>
      <c r="B33211" s="1" t="s">
        <v>8418</v>
      </c>
      <c r="C33211" s="1" t="s">
        <v>8419</v>
      </c>
      <c r="D33211" s="1" t="str">
        <f>HYPERLINK("https://rhld.insurance.arkansas.gov/NPILookup?Npi=1154891992","1154891992")</f>
        <v>1154891992</v>
      </c>
      <c r="E33211" s="1" t="s">
        <v>8504</v>
      </c>
      <c r="F33211" s="2"/>
      <c r="G33211" s="2"/>
      <c r="H33211" s="2"/>
    </row>
    <row r="33212" spans="1:8" x14ac:dyDescent="0.25">
      <c r="A33212" s="1"/>
      <c r="B33212" s="1" t="s">
        <v>8418</v>
      </c>
      <c r="C33212" s="1" t="s">
        <v>8419</v>
      </c>
      <c r="D33212" s="1" t="str">
        <f>HYPERLINK("https://rhld.insurance.arkansas.gov/NPILookup?Npi=1154971885","1154971885")</f>
        <v>1154971885</v>
      </c>
      <c r="E33212" s="1" t="s">
        <v>8505</v>
      </c>
      <c r="F33212" s="2"/>
      <c r="G33212" s="2"/>
      <c r="H33212" s="2"/>
    </row>
    <row r="33213" spans="1:8" x14ac:dyDescent="0.25">
      <c r="A33213" s="1"/>
      <c r="B33213" s="1" t="s">
        <v>8418</v>
      </c>
      <c r="C33213" s="1" t="s">
        <v>8419</v>
      </c>
      <c r="D33213" s="1" t="str">
        <f>HYPERLINK("https://rhld.insurance.arkansas.gov/NPILookup?Npi=1164006912","1164006912")</f>
        <v>1164006912</v>
      </c>
      <c r="E33213" s="1" t="s">
        <v>30315</v>
      </c>
      <c r="F33213" s="2"/>
      <c r="G33213" s="2"/>
      <c r="H33213" s="2"/>
    </row>
    <row r="33214" spans="1:8" x14ac:dyDescent="0.25">
      <c r="A33214" s="1"/>
      <c r="B33214" s="1" t="s">
        <v>8418</v>
      </c>
      <c r="C33214" s="1" t="s">
        <v>8419</v>
      </c>
      <c r="D33214" s="1" t="str">
        <f>HYPERLINK("https://rhld.insurance.arkansas.gov/NPILookup?Npi=1164094710","1164094710")</f>
        <v>1164094710</v>
      </c>
      <c r="E33214" s="1" t="s">
        <v>30316</v>
      </c>
      <c r="F33214" s="2"/>
      <c r="G33214" s="2"/>
      <c r="H33214" s="2"/>
    </row>
    <row r="33215" spans="1:8" x14ac:dyDescent="0.25">
      <c r="A33215" s="1"/>
      <c r="B33215" s="1" t="s">
        <v>8418</v>
      </c>
      <c r="C33215" s="1" t="s">
        <v>8419</v>
      </c>
      <c r="D33215" s="1" t="str">
        <f>HYPERLINK("https://rhld.insurance.arkansas.gov/NPILookup?Npi=1164262200","1164262200")</f>
        <v>1164262200</v>
      </c>
      <c r="E33215" s="1" t="s">
        <v>30317</v>
      </c>
      <c r="F33215" s="2"/>
      <c r="G33215" s="2"/>
      <c r="H33215" s="2"/>
    </row>
    <row r="33216" spans="1:8" x14ac:dyDescent="0.25">
      <c r="A33216" s="1"/>
      <c r="B33216" s="1" t="s">
        <v>8418</v>
      </c>
      <c r="C33216" s="1" t="s">
        <v>8419</v>
      </c>
      <c r="D33216" s="1" t="str">
        <f>HYPERLINK("https://rhld.insurance.arkansas.gov/NPILookup?Npi=1164297339","1164297339")</f>
        <v>1164297339</v>
      </c>
      <c r="E33216" s="1" t="s">
        <v>8506</v>
      </c>
      <c r="F33216" s="2"/>
      <c r="G33216" s="2"/>
      <c r="H33216" s="2"/>
    </row>
    <row r="33217" spans="1:8" x14ac:dyDescent="0.25">
      <c r="A33217" s="1"/>
      <c r="B33217" s="1" t="s">
        <v>8418</v>
      </c>
      <c r="C33217" s="1" t="s">
        <v>8419</v>
      </c>
      <c r="D33217" s="1" t="str">
        <f>HYPERLINK("https://rhld.insurance.arkansas.gov/NPILookup?Npi=1164517926","1164517926")</f>
        <v>1164517926</v>
      </c>
      <c r="E33217" s="1" t="s">
        <v>8492</v>
      </c>
      <c r="F33217" s="2"/>
      <c r="G33217" s="2"/>
      <c r="H33217" s="2"/>
    </row>
    <row r="33218" spans="1:8" x14ac:dyDescent="0.25">
      <c r="A33218" s="1"/>
      <c r="B33218" s="1" t="s">
        <v>8418</v>
      </c>
      <c r="C33218" s="1" t="s">
        <v>8419</v>
      </c>
      <c r="D33218" s="1" t="str">
        <f>HYPERLINK("https://rhld.insurance.arkansas.gov/NPILookup?Npi=1164545661","1164545661")</f>
        <v>1164545661</v>
      </c>
      <c r="E33218" s="1" t="s">
        <v>30318</v>
      </c>
      <c r="F33218" s="2"/>
      <c r="G33218" s="2"/>
      <c r="H33218" s="2"/>
    </row>
    <row r="33219" spans="1:8" x14ac:dyDescent="0.25">
      <c r="A33219" s="1"/>
      <c r="B33219" s="1" t="s">
        <v>8418</v>
      </c>
      <c r="C33219" s="1" t="s">
        <v>8419</v>
      </c>
      <c r="D33219" s="1" t="str">
        <f>HYPERLINK("https://rhld.insurance.arkansas.gov/NPILookup?Npi=1164678272","1164678272")</f>
        <v>1164678272</v>
      </c>
      <c r="E33219" s="1" t="s">
        <v>30319</v>
      </c>
      <c r="F33219" s="2"/>
      <c r="G33219" s="2"/>
      <c r="H33219" s="2"/>
    </row>
    <row r="33220" spans="1:8" x14ac:dyDescent="0.25">
      <c r="A33220" s="1"/>
      <c r="B33220" s="1" t="s">
        <v>8418</v>
      </c>
      <c r="C33220" s="1" t="s">
        <v>8419</v>
      </c>
      <c r="D33220" s="1" t="str">
        <f>HYPERLINK("https://rhld.insurance.arkansas.gov/NPILookup?Npi=1164694147","1164694147")</f>
        <v>1164694147</v>
      </c>
      <c r="E33220" s="1" t="s">
        <v>30320</v>
      </c>
      <c r="F33220" s="2"/>
      <c r="G33220" s="2"/>
      <c r="H33220" s="2"/>
    </row>
    <row r="33221" spans="1:8" x14ac:dyDescent="0.25">
      <c r="A33221" s="1"/>
      <c r="B33221" s="1" t="s">
        <v>8418</v>
      </c>
      <c r="C33221" s="1" t="s">
        <v>8419</v>
      </c>
      <c r="D33221" s="1" t="str">
        <f>HYPERLINK("https://rhld.insurance.arkansas.gov/NPILookup?Npi=1164718268","1164718268")</f>
        <v>1164718268</v>
      </c>
      <c r="E33221" s="1" t="s">
        <v>30321</v>
      </c>
      <c r="F33221" s="2"/>
      <c r="G33221" s="2"/>
      <c r="H33221" s="2"/>
    </row>
    <row r="33222" spans="1:8" x14ac:dyDescent="0.25">
      <c r="A33222" s="1"/>
      <c r="B33222" s="1" t="s">
        <v>8418</v>
      </c>
      <c r="C33222" s="1" t="s">
        <v>8419</v>
      </c>
      <c r="D33222" s="1" t="str">
        <f>HYPERLINK("https://rhld.insurance.arkansas.gov/NPILookup?Npi=1164811303","1164811303")</f>
        <v>1164811303</v>
      </c>
      <c r="E33222" s="1" t="s">
        <v>8507</v>
      </c>
      <c r="F33222" s="2"/>
      <c r="G33222" s="2"/>
      <c r="H33222" s="2"/>
    </row>
    <row r="33223" spans="1:8" x14ac:dyDescent="0.25">
      <c r="A33223" s="1"/>
      <c r="B33223" s="1" t="s">
        <v>8418</v>
      </c>
      <c r="C33223" s="1" t="s">
        <v>8419</v>
      </c>
      <c r="D33223" s="1" t="str">
        <f>HYPERLINK("https://rhld.insurance.arkansas.gov/NPILookup?Npi=1164824587","1164824587")</f>
        <v>1164824587</v>
      </c>
      <c r="E33223" s="1" t="s">
        <v>8508</v>
      </c>
      <c r="F33223" s="2"/>
      <c r="G33223" s="2"/>
      <c r="H33223" s="2"/>
    </row>
    <row r="33224" spans="1:8" x14ac:dyDescent="0.25">
      <c r="A33224" s="1"/>
      <c r="B33224" s="1" t="s">
        <v>8418</v>
      </c>
      <c r="C33224" s="1" t="s">
        <v>8419</v>
      </c>
      <c r="D33224" s="1" t="str">
        <f>HYPERLINK("https://rhld.insurance.arkansas.gov/NPILookup?Npi=1164934717","1164934717")</f>
        <v>1164934717</v>
      </c>
      <c r="E33224" s="1" t="s">
        <v>30322</v>
      </c>
      <c r="F33224" s="2"/>
      <c r="G33224" s="2"/>
      <c r="H33224" s="2"/>
    </row>
    <row r="33225" spans="1:8" x14ac:dyDescent="0.25">
      <c r="A33225" s="1"/>
      <c r="B33225" s="1" t="s">
        <v>8418</v>
      </c>
      <c r="C33225" s="1" t="s">
        <v>8419</v>
      </c>
      <c r="D33225" s="1" t="str">
        <f>HYPERLINK("https://rhld.insurance.arkansas.gov/NPILookup?Npi=1164950978","1164950978")</f>
        <v>1164950978</v>
      </c>
      <c r="E33225" s="1" t="s">
        <v>14087</v>
      </c>
      <c r="F33225" s="2"/>
      <c r="G33225" s="2"/>
      <c r="H33225" s="2"/>
    </row>
    <row r="33226" spans="1:8" x14ac:dyDescent="0.25">
      <c r="A33226" s="1"/>
      <c r="B33226" s="1" t="s">
        <v>8418</v>
      </c>
      <c r="C33226" s="1" t="s">
        <v>8419</v>
      </c>
      <c r="D33226" s="1" t="str">
        <f>HYPERLINK("https://rhld.insurance.arkansas.gov/NPILookup?Npi=1164970075","1164970075")</f>
        <v>1164970075</v>
      </c>
      <c r="E33226" s="1" t="s">
        <v>30323</v>
      </c>
      <c r="F33226" s="2"/>
      <c r="G33226" s="2"/>
      <c r="H33226" s="2"/>
    </row>
    <row r="33227" spans="1:8" x14ac:dyDescent="0.25">
      <c r="A33227" s="1"/>
      <c r="B33227" s="1" t="s">
        <v>8418</v>
      </c>
      <c r="C33227" s="1" t="s">
        <v>8419</v>
      </c>
      <c r="D33227" s="1" t="str">
        <f>HYPERLINK("https://rhld.insurance.arkansas.gov/NPILookup?Npi=1174036792","1174036792")</f>
        <v>1174036792</v>
      </c>
      <c r="E33227" s="1" t="s">
        <v>30324</v>
      </c>
      <c r="F33227" s="2"/>
      <c r="G33227" s="2"/>
      <c r="H33227" s="2"/>
    </row>
    <row r="33228" spans="1:8" x14ac:dyDescent="0.25">
      <c r="A33228" s="1"/>
      <c r="B33228" s="1" t="s">
        <v>8418</v>
      </c>
      <c r="C33228" s="1" t="s">
        <v>8419</v>
      </c>
      <c r="D33228" s="1" t="str">
        <f>HYPERLINK("https://rhld.insurance.arkansas.gov/NPILookup?Npi=1174059125","1174059125")</f>
        <v>1174059125</v>
      </c>
      <c r="E33228" s="1" t="s">
        <v>30325</v>
      </c>
      <c r="F33228" s="2"/>
      <c r="G33228" s="2"/>
      <c r="H33228" s="2"/>
    </row>
    <row r="33229" spans="1:8" x14ac:dyDescent="0.25">
      <c r="A33229" s="1"/>
      <c r="B33229" s="1" t="s">
        <v>8418</v>
      </c>
      <c r="C33229" s="1" t="s">
        <v>8419</v>
      </c>
      <c r="D33229" s="1" t="str">
        <f>HYPERLINK("https://rhld.insurance.arkansas.gov/NPILookup?Npi=1174237796","1174237796")</f>
        <v>1174237796</v>
      </c>
      <c r="E33229" s="1" t="s">
        <v>8509</v>
      </c>
      <c r="F33229" s="2"/>
      <c r="G33229" s="2"/>
      <c r="H33229" s="2"/>
    </row>
    <row r="33230" spans="1:8" x14ac:dyDescent="0.25">
      <c r="A33230" s="1"/>
      <c r="B33230" s="1" t="s">
        <v>8418</v>
      </c>
      <c r="C33230" s="1" t="s">
        <v>8419</v>
      </c>
      <c r="D33230" s="1" t="str">
        <f>HYPERLINK("https://rhld.insurance.arkansas.gov/NPILookup?Npi=1174393334","1174393334")</f>
        <v>1174393334</v>
      </c>
      <c r="E33230" s="1" t="s">
        <v>30326</v>
      </c>
      <c r="F33230" s="2"/>
      <c r="G33230" s="2"/>
      <c r="H33230" s="2"/>
    </row>
    <row r="33231" spans="1:8" x14ac:dyDescent="0.25">
      <c r="A33231" s="1"/>
      <c r="B33231" s="1" t="s">
        <v>8418</v>
      </c>
      <c r="C33231" s="1" t="s">
        <v>8419</v>
      </c>
      <c r="D33231" s="1" t="str">
        <f>HYPERLINK("https://rhld.insurance.arkansas.gov/NPILookup?Npi=1174572325","1174572325")</f>
        <v>1174572325</v>
      </c>
      <c r="E33231" s="1" t="s">
        <v>8510</v>
      </c>
      <c r="F33231" s="2"/>
      <c r="G33231" s="2"/>
      <c r="H33231" s="2"/>
    </row>
    <row r="33232" spans="1:8" x14ac:dyDescent="0.25">
      <c r="A33232" s="1"/>
      <c r="B33232" s="1" t="s">
        <v>8418</v>
      </c>
      <c r="C33232" s="1" t="s">
        <v>8419</v>
      </c>
      <c r="D33232" s="1" t="str">
        <f>HYPERLINK("https://rhld.insurance.arkansas.gov/NPILookup?Npi=1174668982","1174668982")</f>
        <v>1174668982</v>
      </c>
      <c r="E33232" s="1" t="s">
        <v>24260</v>
      </c>
      <c r="F33232" s="2"/>
      <c r="G33232" s="2"/>
      <c r="H33232" s="2"/>
    </row>
    <row r="33233" spans="1:8" x14ac:dyDescent="0.25">
      <c r="A33233" s="1"/>
      <c r="B33233" s="1" t="s">
        <v>8418</v>
      </c>
      <c r="C33233" s="1" t="s">
        <v>8419</v>
      </c>
      <c r="D33233" s="1" t="str">
        <f>HYPERLINK("https://rhld.insurance.arkansas.gov/NPILookup?Npi=1174669063","1174669063")</f>
        <v>1174669063</v>
      </c>
      <c r="E33233" s="1" t="s">
        <v>8511</v>
      </c>
      <c r="F33233" s="2"/>
      <c r="G33233" s="2"/>
      <c r="H33233" s="2"/>
    </row>
    <row r="33234" spans="1:8" x14ac:dyDescent="0.25">
      <c r="A33234" s="1"/>
      <c r="B33234" s="1" t="s">
        <v>8418</v>
      </c>
      <c r="C33234" s="1" t="s">
        <v>8419</v>
      </c>
      <c r="D33234" s="1" t="str">
        <f>HYPERLINK("https://rhld.insurance.arkansas.gov/NPILookup?Npi=1174741839","1174741839")</f>
        <v>1174741839</v>
      </c>
      <c r="E33234" s="1" t="s">
        <v>14088</v>
      </c>
      <c r="F33234" s="2"/>
      <c r="G33234" s="2"/>
      <c r="H33234" s="2"/>
    </row>
    <row r="33235" spans="1:8" x14ac:dyDescent="0.25">
      <c r="A33235" s="1"/>
      <c r="B33235" s="1" t="s">
        <v>8418</v>
      </c>
      <c r="C33235" s="1" t="s">
        <v>8419</v>
      </c>
      <c r="D33235" s="1" t="str">
        <f>HYPERLINK("https://rhld.insurance.arkansas.gov/NPILookup?Npi=1174742258","1174742258")</f>
        <v>1174742258</v>
      </c>
      <c r="E33235" s="1" t="s">
        <v>30327</v>
      </c>
      <c r="F33235" s="2"/>
      <c r="G33235" s="2"/>
      <c r="H33235" s="2"/>
    </row>
    <row r="33236" spans="1:8" x14ac:dyDescent="0.25">
      <c r="A33236" s="1"/>
      <c r="B33236" s="1" t="s">
        <v>8418</v>
      </c>
      <c r="C33236" s="1" t="s">
        <v>8419</v>
      </c>
      <c r="D33236" s="1" t="str">
        <f>HYPERLINK("https://rhld.insurance.arkansas.gov/NPILookup?Npi=1174852636","1174852636")</f>
        <v>1174852636</v>
      </c>
      <c r="E33236" s="1" t="s">
        <v>30328</v>
      </c>
      <c r="F33236" s="2"/>
      <c r="G33236" s="2"/>
      <c r="H33236" s="2"/>
    </row>
    <row r="33237" spans="1:8" x14ac:dyDescent="0.25">
      <c r="A33237" s="1"/>
      <c r="B33237" s="1" t="s">
        <v>8418</v>
      </c>
      <c r="C33237" s="1" t="s">
        <v>8419</v>
      </c>
      <c r="D33237" s="1" t="str">
        <f>HYPERLINK("https://rhld.insurance.arkansas.gov/NPILookup?Npi=1174889893","1174889893")</f>
        <v>1174889893</v>
      </c>
      <c r="E33237" s="1" t="s">
        <v>8512</v>
      </c>
      <c r="F33237" s="2"/>
      <c r="G33237" s="2"/>
      <c r="H33237" s="2"/>
    </row>
    <row r="33238" spans="1:8" x14ac:dyDescent="0.25">
      <c r="A33238" s="1"/>
      <c r="B33238" s="1" t="s">
        <v>8418</v>
      </c>
      <c r="C33238" s="1" t="s">
        <v>8419</v>
      </c>
      <c r="D33238" s="1" t="str">
        <f>HYPERLINK("https://rhld.insurance.arkansas.gov/NPILookup?Npi=1174906085","1174906085")</f>
        <v>1174906085</v>
      </c>
      <c r="E33238" s="1" t="s">
        <v>14089</v>
      </c>
      <c r="F33238" s="2"/>
      <c r="G33238" s="2"/>
      <c r="H33238" s="2"/>
    </row>
    <row r="33239" spans="1:8" x14ac:dyDescent="0.25">
      <c r="A33239" s="1"/>
      <c r="B33239" s="1" t="s">
        <v>8418</v>
      </c>
      <c r="C33239" s="1" t="s">
        <v>8419</v>
      </c>
      <c r="D33239" s="1" t="str">
        <f>HYPERLINK("https://rhld.insurance.arkansas.gov/NPILookup?Npi=1174935639","1174935639")</f>
        <v>1174935639</v>
      </c>
      <c r="E33239" s="1" t="s">
        <v>30329</v>
      </c>
      <c r="F33239" s="2"/>
      <c r="G33239" s="2"/>
      <c r="H33239" s="2"/>
    </row>
    <row r="33240" spans="1:8" x14ac:dyDescent="0.25">
      <c r="A33240" s="1"/>
      <c r="B33240" s="1" t="s">
        <v>8418</v>
      </c>
      <c r="C33240" s="1" t="s">
        <v>8419</v>
      </c>
      <c r="D33240" s="1" t="str">
        <f>HYPERLINK("https://rhld.insurance.arkansas.gov/NPILookup?Npi=1184020984","1184020984")</f>
        <v>1184020984</v>
      </c>
      <c r="E33240" s="1" t="s">
        <v>30330</v>
      </c>
      <c r="F33240" s="2"/>
      <c r="G33240" s="2"/>
      <c r="H33240" s="2"/>
    </row>
    <row r="33241" spans="1:8" x14ac:dyDescent="0.25">
      <c r="A33241" s="1"/>
      <c r="B33241" s="1" t="s">
        <v>8418</v>
      </c>
      <c r="C33241" s="1" t="s">
        <v>8419</v>
      </c>
      <c r="D33241" s="1" t="str">
        <f>HYPERLINK("https://rhld.insurance.arkansas.gov/NPILookup?Npi=1184090169","1184090169")</f>
        <v>1184090169</v>
      </c>
      <c r="E33241" s="1" t="s">
        <v>19794</v>
      </c>
      <c r="F33241" s="2"/>
      <c r="G33241" s="2"/>
      <c r="H33241" s="2"/>
    </row>
    <row r="33242" spans="1:8" x14ac:dyDescent="0.25">
      <c r="A33242" s="1"/>
      <c r="B33242" s="1" t="s">
        <v>8418</v>
      </c>
      <c r="C33242" s="1" t="s">
        <v>8419</v>
      </c>
      <c r="D33242" s="1" t="str">
        <f>HYPERLINK("https://rhld.insurance.arkansas.gov/NPILookup?Npi=1184115693","1184115693")</f>
        <v>1184115693</v>
      </c>
      <c r="E33242" s="1" t="s">
        <v>14090</v>
      </c>
      <c r="F33242" s="2"/>
      <c r="G33242" s="2"/>
      <c r="H33242" s="2"/>
    </row>
    <row r="33243" spans="1:8" x14ac:dyDescent="0.25">
      <c r="A33243" s="1"/>
      <c r="B33243" s="1" t="s">
        <v>8418</v>
      </c>
      <c r="C33243" s="1" t="s">
        <v>8419</v>
      </c>
      <c r="D33243" s="1" t="str">
        <f>HYPERLINK("https://rhld.insurance.arkansas.gov/NPILookup?Npi=1184119166","1184119166")</f>
        <v>1184119166</v>
      </c>
      <c r="E33243" s="1" t="s">
        <v>30331</v>
      </c>
      <c r="F33243" s="2"/>
      <c r="G33243" s="2"/>
      <c r="H33243" s="2"/>
    </row>
    <row r="33244" spans="1:8" x14ac:dyDescent="0.25">
      <c r="A33244" s="1"/>
      <c r="B33244" s="1" t="s">
        <v>8418</v>
      </c>
      <c r="C33244" s="1" t="s">
        <v>8419</v>
      </c>
      <c r="D33244" s="1" t="str">
        <f>HYPERLINK("https://rhld.insurance.arkansas.gov/NPILookup?Npi=1184141939","1184141939")</f>
        <v>1184141939</v>
      </c>
      <c r="E33244" s="1" t="s">
        <v>30332</v>
      </c>
      <c r="F33244" s="2"/>
      <c r="G33244" s="2"/>
      <c r="H33244" s="2"/>
    </row>
    <row r="33245" spans="1:8" x14ac:dyDescent="0.25">
      <c r="A33245" s="1"/>
      <c r="B33245" s="1" t="s">
        <v>8418</v>
      </c>
      <c r="C33245" s="1" t="s">
        <v>8419</v>
      </c>
      <c r="D33245" s="1" t="str">
        <f>HYPERLINK("https://rhld.insurance.arkansas.gov/NPILookup?Npi=1184170482","1184170482")</f>
        <v>1184170482</v>
      </c>
      <c r="E33245" s="1" t="s">
        <v>8513</v>
      </c>
      <c r="F33245" s="2"/>
      <c r="G33245" s="2"/>
      <c r="H33245" s="2"/>
    </row>
    <row r="33246" spans="1:8" x14ac:dyDescent="0.25">
      <c r="A33246" s="1"/>
      <c r="B33246" s="1" t="s">
        <v>8418</v>
      </c>
      <c r="C33246" s="1" t="s">
        <v>8419</v>
      </c>
      <c r="D33246" s="1" t="str">
        <f>HYPERLINK("https://rhld.insurance.arkansas.gov/NPILookup?Npi=1184254278","1184254278")</f>
        <v>1184254278</v>
      </c>
      <c r="E33246" s="1" t="s">
        <v>8514</v>
      </c>
      <c r="F33246" s="2"/>
      <c r="G33246" s="2"/>
      <c r="H33246" s="2"/>
    </row>
    <row r="33247" spans="1:8" x14ac:dyDescent="0.25">
      <c r="A33247" s="1"/>
      <c r="B33247" s="1" t="s">
        <v>8418</v>
      </c>
      <c r="C33247" s="1" t="s">
        <v>8419</v>
      </c>
      <c r="D33247" s="1" t="str">
        <f>HYPERLINK("https://rhld.insurance.arkansas.gov/NPILookup?Npi=1184300972","1184300972")</f>
        <v>1184300972</v>
      </c>
      <c r="E33247" s="1" t="s">
        <v>30333</v>
      </c>
      <c r="F33247" s="2"/>
      <c r="G33247" s="2"/>
      <c r="H33247" s="2"/>
    </row>
    <row r="33248" spans="1:8" x14ac:dyDescent="0.25">
      <c r="A33248" s="1"/>
      <c r="B33248" s="1" t="s">
        <v>8418</v>
      </c>
      <c r="C33248" s="1" t="s">
        <v>8419</v>
      </c>
      <c r="D33248" s="1" t="str">
        <f>HYPERLINK("https://rhld.insurance.arkansas.gov/NPILookup?Npi=1184331761","1184331761")</f>
        <v>1184331761</v>
      </c>
      <c r="E33248" s="1" t="s">
        <v>30334</v>
      </c>
      <c r="F33248" s="2"/>
      <c r="G33248" s="2"/>
      <c r="H33248" s="2"/>
    </row>
    <row r="33249" spans="1:8" x14ac:dyDescent="0.25">
      <c r="A33249" s="1"/>
      <c r="B33249" s="1" t="s">
        <v>8418</v>
      </c>
      <c r="C33249" s="1" t="s">
        <v>8419</v>
      </c>
      <c r="D33249" s="1" t="str">
        <f>HYPERLINK("https://rhld.insurance.arkansas.gov/NPILookup?Npi=1184345209","1184345209")</f>
        <v>1184345209</v>
      </c>
      <c r="E33249" s="1" t="s">
        <v>8515</v>
      </c>
      <c r="F33249" s="2"/>
      <c r="G33249" s="2"/>
      <c r="H33249" s="2"/>
    </row>
    <row r="33250" spans="1:8" x14ac:dyDescent="0.25">
      <c r="A33250" s="1"/>
      <c r="B33250" s="1" t="s">
        <v>8418</v>
      </c>
      <c r="C33250" s="1" t="s">
        <v>8419</v>
      </c>
      <c r="D33250" s="1" t="str">
        <f>HYPERLINK("https://rhld.insurance.arkansas.gov/NPILookup?Npi=1184468035","1184468035")</f>
        <v>1184468035</v>
      </c>
      <c r="E33250" s="1" t="s">
        <v>30335</v>
      </c>
      <c r="F33250" s="2"/>
      <c r="G33250" s="2"/>
      <c r="H33250" s="2"/>
    </row>
    <row r="33251" spans="1:8" x14ac:dyDescent="0.25">
      <c r="A33251" s="1"/>
      <c r="B33251" s="1" t="s">
        <v>8418</v>
      </c>
      <c r="C33251" s="1" t="s">
        <v>8419</v>
      </c>
      <c r="D33251" s="1" t="str">
        <f>HYPERLINK("https://rhld.insurance.arkansas.gov/NPILookup?Npi=1184857450","1184857450")</f>
        <v>1184857450</v>
      </c>
      <c r="E33251" s="1" t="s">
        <v>30336</v>
      </c>
      <c r="F33251" s="2"/>
      <c r="G33251" s="2"/>
      <c r="H33251" s="2"/>
    </row>
    <row r="33252" spans="1:8" x14ac:dyDescent="0.25">
      <c r="A33252" s="1"/>
      <c r="B33252" s="1" t="s">
        <v>8418</v>
      </c>
      <c r="C33252" s="1" t="s">
        <v>8419</v>
      </c>
      <c r="D33252" s="1" t="str">
        <f>HYPERLINK("https://rhld.insurance.arkansas.gov/NPILookup?Npi=1184867111","1184867111")</f>
        <v>1184867111</v>
      </c>
      <c r="E33252" s="1" t="s">
        <v>8516</v>
      </c>
      <c r="F33252" s="2"/>
      <c r="G33252" s="2"/>
      <c r="H33252" s="2"/>
    </row>
    <row r="33253" spans="1:8" x14ac:dyDescent="0.25">
      <c r="A33253" s="1"/>
      <c r="B33253" s="1" t="s">
        <v>8418</v>
      </c>
      <c r="C33253" s="1" t="s">
        <v>8419</v>
      </c>
      <c r="D33253" s="1" t="str">
        <f>HYPERLINK("https://rhld.insurance.arkansas.gov/NPILookup?Npi=1184871998","1184871998")</f>
        <v>1184871998</v>
      </c>
      <c r="E33253" s="1" t="s">
        <v>30337</v>
      </c>
      <c r="F33253" s="2"/>
      <c r="G33253" s="2"/>
      <c r="H33253" s="2"/>
    </row>
    <row r="33254" spans="1:8" x14ac:dyDescent="0.25">
      <c r="A33254" s="1"/>
      <c r="B33254" s="1" t="s">
        <v>8418</v>
      </c>
      <c r="C33254" s="1" t="s">
        <v>8419</v>
      </c>
      <c r="D33254" s="1" t="str">
        <f>HYPERLINK("https://rhld.insurance.arkansas.gov/NPILookup?Npi=1184924482","1184924482")</f>
        <v>1184924482</v>
      </c>
      <c r="E33254" s="1" t="s">
        <v>30338</v>
      </c>
      <c r="F33254" s="2"/>
      <c r="G33254" s="2"/>
      <c r="H33254" s="2"/>
    </row>
    <row r="33255" spans="1:8" x14ac:dyDescent="0.25">
      <c r="A33255" s="1"/>
      <c r="B33255" s="1" t="s">
        <v>8418</v>
      </c>
      <c r="C33255" s="1" t="s">
        <v>8419</v>
      </c>
      <c r="D33255" s="1" t="str">
        <f>HYPERLINK("https://rhld.insurance.arkansas.gov/NPILookup?Npi=1184964702","1184964702")</f>
        <v>1184964702</v>
      </c>
      <c r="E33255" s="1" t="s">
        <v>14091</v>
      </c>
      <c r="F33255" s="2"/>
      <c r="G33255" s="2"/>
      <c r="H33255" s="2"/>
    </row>
    <row r="33256" spans="1:8" x14ac:dyDescent="0.25">
      <c r="A33256" s="1"/>
      <c r="B33256" s="1" t="s">
        <v>8418</v>
      </c>
      <c r="C33256" s="1" t="s">
        <v>8419</v>
      </c>
      <c r="D33256" s="1" t="str">
        <f>HYPERLINK("https://rhld.insurance.arkansas.gov/NPILookup?Npi=1194010280","1194010280")</f>
        <v>1194010280</v>
      </c>
      <c r="E33256" s="1" t="s">
        <v>8517</v>
      </c>
      <c r="F33256" s="2"/>
      <c r="G33256" s="2"/>
      <c r="H33256" s="2"/>
    </row>
    <row r="33257" spans="1:8" x14ac:dyDescent="0.25">
      <c r="A33257" s="1"/>
      <c r="B33257" s="1" t="s">
        <v>8418</v>
      </c>
      <c r="C33257" s="1" t="s">
        <v>8419</v>
      </c>
      <c r="D33257" s="1" t="str">
        <f>HYPERLINK("https://rhld.insurance.arkansas.gov/NPILookup?Npi=1194015438","1194015438")</f>
        <v>1194015438</v>
      </c>
      <c r="E33257" s="1" t="s">
        <v>30339</v>
      </c>
      <c r="F33257" s="2"/>
      <c r="G33257" s="2"/>
      <c r="H33257" s="2"/>
    </row>
    <row r="33258" spans="1:8" x14ac:dyDescent="0.25">
      <c r="A33258" s="1"/>
      <c r="B33258" s="1" t="s">
        <v>8418</v>
      </c>
      <c r="C33258" s="1" t="s">
        <v>8419</v>
      </c>
      <c r="D33258" s="1" t="str">
        <f>HYPERLINK("https://rhld.insurance.arkansas.gov/NPILookup?Npi=1194031807","1194031807")</f>
        <v>1194031807</v>
      </c>
      <c r="E33258" s="1" t="s">
        <v>30340</v>
      </c>
      <c r="F33258" s="2"/>
      <c r="G33258" s="2"/>
      <c r="H33258" s="2"/>
    </row>
    <row r="33259" spans="1:8" x14ac:dyDescent="0.25">
      <c r="A33259" s="1"/>
      <c r="B33259" s="1" t="s">
        <v>8418</v>
      </c>
      <c r="C33259" s="1" t="s">
        <v>8419</v>
      </c>
      <c r="D33259" s="1" t="str">
        <f>HYPERLINK("https://rhld.insurance.arkansas.gov/NPILookup?Npi=1194068908","1194068908")</f>
        <v>1194068908</v>
      </c>
      <c r="E33259" s="1" t="s">
        <v>931</v>
      </c>
      <c r="F33259" s="2"/>
      <c r="G33259" s="2"/>
      <c r="H33259" s="2"/>
    </row>
    <row r="33260" spans="1:8" x14ac:dyDescent="0.25">
      <c r="A33260" s="1"/>
      <c r="B33260" s="1" t="s">
        <v>8418</v>
      </c>
      <c r="C33260" s="1" t="s">
        <v>8419</v>
      </c>
      <c r="D33260" s="1" t="str">
        <f>HYPERLINK("https://rhld.insurance.arkansas.gov/NPILookup?Npi=1194074203","1194074203")</f>
        <v>1194074203</v>
      </c>
      <c r="E33260" s="1" t="s">
        <v>30341</v>
      </c>
      <c r="F33260" s="2"/>
      <c r="G33260" s="2"/>
      <c r="H33260" s="2"/>
    </row>
    <row r="33261" spans="1:8" x14ac:dyDescent="0.25">
      <c r="A33261" s="1"/>
      <c r="B33261" s="1" t="s">
        <v>8418</v>
      </c>
      <c r="C33261" s="1" t="s">
        <v>8419</v>
      </c>
      <c r="D33261" s="1" t="str">
        <f>HYPERLINK("https://rhld.insurance.arkansas.gov/NPILookup?Npi=1194180612","1194180612")</f>
        <v>1194180612</v>
      </c>
      <c r="E33261" s="1" t="s">
        <v>30342</v>
      </c>
      <c r="F33261" s="2"/>
      <c r="G33261" s="2"/>
      <c r="H33261" s="2"/>
    </row>
    <row r="33262" spans="1:8" x14ac:dyDescent="0.25">
      <c r="A33262" s="1"/>
      <c r="B33262" s="1" t="s">
        <v>8418</v>
      </c>
      <c r="C33262" s="1" t="s">
        <v>8419</v>
      </c>
      <c r="D33262" s="1" t="str">
        <f>HYPERLINK("https://rhld.insurance.arkansas.gov/NPILookup?Npi=1194440628","1194440628")</f>
        <v>1194440628</v>
      </c>
      <c r="E33262" s="1" t="s">
        <v>30343</v>
      </c>
      <c r="F33262" s="2"/>
      <c r="G33262" s="2"/>
      <c r="H33262" s="2"/>
    </row>
    <row r="33263" spans="1:8" x14ac:dyDescent="0.25">
      <c r="A33263" s="1"/>
      <c r="B33263" s="1" t="s">
        <v>8418</v>
      </c>
      <c r="C33263" s="1" t="s">
        <v>8419</v>
      </c>
      <c r="D33263" s="1" t="str">
        <f>HYPERLINK("https://rhld.insurance.arkansas.gov/NPILookup?Npi=1194499608","1194499608")</f>
        <v>1194499608</v>
      </c>
      <c r="E33263" s="1" t="s">
        <v>30344</v>
      </c>
      <c r="F33263" s="2"/>
      <c r="G33263" s="2"/>
      <c r="H33263" s="2"/>
    </row>
    <row r="33264" spans="1:8" x14ac:dyDescent="0.25">
      <c r="A33264" s="1"/>
      <c r="B33264" s="1" t="s">
        <v>8418</v>
      </c>
      <c r="C33264" s="1" t="s">
        <v>8419</v>
      </c>
      <c r="D33264" s="1" t="str">
        <f>HYPERLINK("https://rhld.insurance.arkansas.gov/NPILookup?Npi=1194784967","1194784967")</f>
        <v>1194784967</v>
      </c>
      <c r="E33264" s="1" t="s">
        <v>8518</v>
      </c>
      <c r="F33264" s="2"/>
      <c r="G33264" s="2"/>
      <c r="H33264" s="2"/>
    </row>
    <row r="33265" spans="1:8" x14ac:dyDescent="0.25">
      <c r="A33265" s="1"/>
      <c r="B33265" s="1" t="s">
        <v>8418</v>
      </c>
      <c r="C33265" s="1" t="s">
        <v>8419</v>
      </c>
      <c r="D33265" s="1" t="str">
        <f>HYPERLINK("https://rhld.insurance.arkansas.gov/NPILookup?Npi=1194818070","1194818070")</f>
        <v>1194818070</v>
      </c>
      <c r="E33265" s="1" t="s">
        <v>30345</v>
      </c>
      <c r="F33265" s="2"/>
      <c r="G33265" s="2"/>
      <c r="H33265" s="2"/>
    </row>
    <row r="33266" spans="1:8" x14ac:dyDescent="0.25">
      <c r="A33266" s="1"/>
      <c r="B33266" s="1" t="s">
        <v>8418</v>
      </c>
      <c r="C33266" s="1" t="s">
        <v>8419</v>
      </c>
      <c r="D33266" s="1" t="str">
        <f>HYPERLINK("https://rhld.insurance.arkansas.gov/NPILookup?Npi=1194847566","1194847566")</f>
        <v>1194847566</v>
      </c>
      <c r="E33266" s="1" t="s">
        <v>14092</v>
      </c>
      <c r="F33266" s="2"/>
      <c r="G33266" s="2"/>
      <c r="H33266" s="2"/>
    </row>
    <row r="33267" spans="1:8" x14ac:dyDescent="0.25">
      <c r="A33267" s="1"/>
      <c r="B33267" s="1" t="s">
        <v>8418</v>
      </c>
      <c r="C33267" s="1" t="s">
        <v>8419</v>
      </c>
      <c r="D33267" s="1" t="str">
        <f>HYPERLINK("https://rhld.insurance.arkansas.gov/NPILookup?Npi=1194932848","1194932848")</f>
        <v>1194932848</v>
      </c>
      <c r="E33267" s="1" t="s">
        <v>30346</v>
      </c>
      <c r="F33267" s="2"/>
      <c r="G33267" s="2"/>
      <c r="H33267" s="2"/>
    </row>
    <row r="33268" spans="1:8" x14ac:dyDescent="0.25">
      <c r="A33268" s="1"/>
      <c r="B33268" s="1" t="s">
        <v>8418</v>
      </c>
      <c r="C33268" s="1" t="s">
        <v>8419</v>
      </c>
      <c r="D33268" s="1" t="str">
        <f>HYPERLINK("https://rhld.insurance.arkansas.gov/NPILookup?Npi=1194949123","1194949123")</f>
        <v>1194949123</v>
      </c>
      <c r="E33268" s="1" t="s">
        <v>8519</v>
      </c>
      <c r="F33268" s="2"/>
      <c r="G33268" s="2"/>
      <c r="H33268" s="2"/>
    </row>
    <row r="33269" spans="1:8" x14ac:dyDescent="0.25">
      <c r="A33269" s="1"/>
      <c r="B33269" s="1" t="s">
        <v>8418</v>
      </c>
      <c r="C33269" s="1" t="s">
        <v>8419</v>
      </c>
      <c r="D33269" s="1" t="str">
        <f>HYPERLINK("https://rhld.insurance.arkansas.gov/NPILookup?Npi=1194950212","1194950212")</f>
        <v>1194950212</v>
      </c>
      <c r="E33269" s="1" t="s">
        <v>8520</v>
      </c>
      <c r="F33269" s="2"/>
      <c r="G33269" s="2"/>
      <c r="H33269" s="2"/>
    </row>
    <row r="33270" spans="1:8" x14ac:dyDescent="0.25">
      <c r="A33270" s="1"/>
      <c r="B33270" s="1" t="s">
        <v>8418</v>
      </c>
      <c r="C33270" s="1" t="s">
        <v>8419</v>
      </c>
      <c r="D33270" s="1" t="str">
        <f>HYPERLINK("https://rhld.insurance.arkansas.gov/NPILookup?Npi=1194964692","1194964692")</f>
        <v>1194964692</v>
      </c>
      <c r="E33270" s="1" t="s">
        <v>30347</v>
      </c>
      <c r="F33270" s="2"/>
      <c r="G33270" s="2"/>
      <c r="H33270" s="2"/>
    </row>
    <row r="33271" spans="1:8" x14ac:dyDescent="0.25">
      <c r="A33271" s="1"/>
      <c r="B33271" s="1" t="s">
        <v>8418</v>
      </c>
      <c r="C33271" s="1" t="s">
        <v>8419</v>
      </c>
      <c r="D33271" s="1" t="str">
        <f>HYPERLINK("https://rhld.insurance.arkansas.gov/NPILookup?Npi=1205000528","1205000528")</f>
        <v>1205000528</v>
      </c>
      <c r="E33271" s="1" t="s">
        <v>30348</v>
      </c>
      <c r="F33271" s="2"/>
      <c r="G33271" s="2"/>
      <c r="H33271" s="2"/>
    </row>
    <row r="33272" spans="1:8" x14ac:dyDescent="0.25">
      <c r="A33272" s="1"/>
      <c r="B33272" s="1" t="s">
        <v>8418</v>
      </c>
      <c r="C33272" s="1" t="s">
        <v>8419</v>
      </c>
      <c r="D33272" s="1" t="str">
        <f>HYPERLINK("https://rhld.insurance.arkansas.gov/NPILookup?Npi=1205019742","1205019742")</f>
        <v>1205019742</v>
      </c>
      <c r="E33272" s="1" t="s">
        <v>30349</v>
      </c>
      <c r="F33272" s="2"/>
      <c r="G33272" s="2"/>
      <c r="H33272" s="2"/>
    </row>
    <row r="33273" spans="1:8" x14ac:dyDescent="0.25">
      <c r="A33273" s="1"/>
      <c r="B33273" s="1" t="s">
        <v>8418</v>
      </c>
      <c r="C33273" s="1" t="s">
        <v>8419</v>
      </c>
      <c r="D33273" s="1" t="str">
        <f>HYPERLINK("https://rhld.insurance.arkansas.gov/NPILookup?Npi=1205051786","1205051786")</f>
        <v>1205051786</v>
      </c>
      <c r="E33273" s="1" t="s">
        <v>30350</v>
      </c>
      <c r="F33273" s="2"/>
      <c r="G33273" s="2"/>
      <c r="H33273" s="2"/>
    </row>
    <row r="33274" spans="1:8" x14ac:dyDescent="0.25">
      <c r="A33274" s="1"/>
      <c r="B33274" s="1" t="s">
        <v>8418</v>
      </c>
      <c r="C33274" s="1" t="s">
        <v>8419</v>
      </c>
      <c r="D33274" s="1" t="str">
        <f>HYPERLINK("https://rhld.insurance.arkansas.gov/NPILookup?Npi=1205059524","1205059524")</f>
        <v>1205059524</v>
      </c>
      <c r="E33274" s="1" t="s">
        <v>30351</v>
      </c>
      <c r="F33274" s="2"/>
      <c r="G33274" s="2"/>
      <c r="H33274" s="2"/>
    </row>
    <row r="33275" spans="1:8" x14ac:dyDescent="0.25">
      <c r="A33275" s="1"/>
      <c r="B33275" s="1" t="s">
        <v>8418</v>
      </c>
      <c r="C33275" s="1" t="s">
        <v>8419</v>
      </c>
      <c r="D33275" s="1" t="str">
        <f>HYPERLINK("https://rhld.insurance.arkansas.gov/NPILookup?Npi=1205083987","1205083987")</f>
        <v>1205083987</v>
      </c>
      <c r="E33275" s="1" t="s">
        <v>8521</v>
      </c>
      <c r="F33275" s="2"/>
      <c r="G33275" s="2"/>
      <c r="H33275" s="2"/>
    </row>
    <row r="33276" spans="1:8" x14ac:dyDescent="0.25">
      <c r="A33276" s="1"/>
      <c r="B33276" s="1" t="s">
        <v>8418</v>
      </c>
      <c r="C33276" s="1" t="s">
        <v>8419</v>
      </c>
      <c r="D33276" s="1" t="str">
        <f>HYPERLINK("https://rhld.insurance.arkansas.gov/NPILookup?Npi=1205097730","1205097730")</f>
        <v>1205097730</v>
      </c>
      <c r="E33276" s="1" t="s">
        <v>14093</v>
      </c>
      <c r="F33276" s="2"/>
      <c r="G33276" s="2"/>
      <c r="H33276" s="2"/>
    </row>
    <row r="33277" spans="1:8" x14ac:dyDescent="0.25">
      <c r="A33277" s="1"/>
      <c r="B33277" s="1" t="s">
        <v>8418</v>
      </c>
      <c r="C33277" s="1" t="s">
        <v>8419</v>
      </c>
      <c r="D33277" s="1" t="str">
        <f>HYPERLINK("https://rhld.insurance.arkansas.gov/NPILookup?Npi=1205105178","1205105178")</f>
        <v>1205105178</v>
      </c>
      <c r="E33277" s="1" t="s">
        <v>8522</v>
      </c>
      <c r="F33277" s="2"/>
      <c r="G33277" s="2"/>
      <c r="H33277" s="2"/>
    </row>
    <row r="33278" spans="1:8" x14ac:dyDescent="0.25">
      <c r="A33278" s="1"/>
      <c r="B33278" s="1" t="s">
        <v>8418</v>
      </c>
      <c r="C33278" s="1" t="s">
        <v>8419</v>
      </c>
      <c r="D33278" s="1" t="str">
        <f>HYPERLINK("https://rhld.insurance.arkansas.gov/NPILookup?Npi=1205130390","1205130390")</f>
        <v>1205130390</v>
      </c>
      <c r="E33278" s="1" t="s">
        <v>8523</v>
      </c>
      <c r="F33278" s="2"/>
      <c r="G33278" s="2"/>
      <c r="H33278" s="2"/>
    </row>
    <row r="33279" spans="1:8" x14ac:dyDescent="0.25">
      <c r="A33279" s="1"/>
      <c r="B33279" s="1" t="s">
        <v>8418</v>
      </c>
      <c r="C33279" s="1" t="s">
        <v>8419</v>
      </c>
      <c r="D33279" s="1" t="str">
        <f>HYPERLINK("https://rhld.insurance.arkansas.gov/NPILookup?Npi=1205137684","1205137684")</f>
        <v>1205137684</v>
      </c>
      <c r="E33279" s="1" t="s">
        <v>14094</v>
      </c>
      <c r="F33279" s="2"/>
      <c r="G33279" s="2"/>
      <c r="H33279" s="2"/>
    </row>
    <row r="33280" spans="1:8" x14ac:dyDescent="0.25">
      <c r="A33280" s="1"/>
      <c r="B33280" s="1" t="s">
        <v>8418</v>
      </c>
      <c r="C33280" s="1" t="s">
        <v>8419</v>
      </c>
      <c r="D33280" s="1" t="str">
        <f>HYPERLINK("https://rhld.insurance.arkansas.gov/NPILookup?Npi=1205140647","1205140647")</f>
        <v>1205140647</v>
      </c>
      <c r="E33280" s="1" t="s">
        <v>30352</v>
      </c>
      <c r="F33280" s="2"/>
      <c r="G33280" s="2"/>
      <c r="H33280" s="2"/>
    </row>
    <row r="33281" spans="1:8" x14ac:dyDescent="0.25">
      <c r="A33281" s="1"/>
      <c r="B33281" s="1" t="s">
        <v>8418</v>
      </c>
      <c r="C33281" s="1" t="s">
        <v>8419</v>
      </c>
      <c r="D33281" s="1" t="str">
        <f>HYPERLINK("https://rhld.insurance.arkansas.gov/NPILookup?Npi=1205154309","1205154309")</f>
        <v>1205154309</v>
      </c>
      <c r="E33281" s="1" t="s">
        <v>30353</v>
      </c>
      <c r="F33281" s="2"/>
      <c r="G33281" s="2"/>
      <c r="H33281" s="2"/>
    </row>
    <row r="33282" spans="1:8" x14ac:dyDescent="0.25">
      <c r="A33282" s="1"/>
      <c r="B33282" s="1" t="s">
        <v>8418</v>
      </c>
      <c r="C33282" s="1" t="s">
        <v>8419</v>
      </c>
      <c r="D33282" s="1" t="str">
        <f>HYPERLINK("https://rhld.insurance.arkansas.gov/NPILookup?Npi=1205184991","1205184991")</f>
        <v>1205184991</v>
      </c>
      <c r="E33282" s="1" t="s">
        <v>4865</v>
      </c>
      <c r="F33282" s="2"/>
      <c r="G33282" s="2"/>
      <c r="H33282" s="2"/>
    </row>
    <row r="33283" spans="1:8" x14ac:dyDescent="0.25">
      <c r="A33283" s="1"/>
      <c r="B33283" s="1" t="s">
        <v>8418</v>
      </c>
      <c r="C33283" s="1" t="s">
        <v>8419</v>
      </c>
      <c r="D33283" s="1" t="str">
        <f>HYPERLINK("https://rhld.insurance.arkansas.gov/NPILookup?Npi=1205297322","1205297322")</f>
        <v>1205297322</v>
      </c>
      <c r="E33283" s="1" t="s">
        <v>8524</v>
      </c>
      <c r="F33283" s="2"/>
      <c r="G33283" s="2"/>
      <c r="H33283" s="2"/>
    </row>
    <row r="33284" spans="1:8" x14ac:dyDescent="0.25">
      <c r="A33284" s="1"/>
      <c r="B33284" s="1" t="s">
        <v>8418</v>
      </c>
      <c r="C33284" s="1" t="s">
        <v>8419</v>
      </c>
      <c r="D33284" s="1" t="str">
        <f>HYPERLINK("https://rhld.insurance.arkansas.gov/NPILookup?Npi=1205350063","1205350063")</f>
        <v>1205350063</v>
      </c>
      <c r="E33284" s="1" t="s">
        <v>8525</v>
      </c>
      <c r="F33284" s="2"/>
      <c r="G33284" s="2"/>
      <c r="H33284" s="2"/>
    </row>
    <row r="33285" spans="1:8" x14ac:dyDescent="0.25">
      <c r="A33285" s="1"/>
      <c r="B33285" s="1" t="s">
        <v>8418</v>
      </c>
      <c r="C33285" s="1" t="s">
        <v>8419</v>
      </c>
      <c r="D33285" s="1" t="str">
        <f>HYPERLINK("https://rhld.insurance.arkansas.gov/NPILookup?Npi=1205409075","1205409075")</f>
        <v>1205409075</v>
      </c>
      <c r="E33285" s="1" t="s">
        <v>30354</v>
      </c>
      <c r="F33285" s="2"/>
      <c r="G33285" s="2"/>
      <c r="H33285" s="2"/>
    </row>
    <row r="33286" spans="1:8" x14ac:dyDescent="0.25">
      <c r="A33286" s="1"/>
      <c r="B33286" s="1" t="s">
        <v>8418</v>
      </c>
      <c r="C33286" s="1" t="s">
        <v>8419</v>
      </c>
      <c r="D33286" s="1" t="str">
        <f>HYPERLINK("https://rhld.insurance.arkansas.gov/NPILookup?Npi=1205490638","1205490638")</f>
        <v>1205490638</v>
      </c>
      <c r="E33286" s="1" t="s">
        <v>8526</v>
      </c>
      <c r="F33286" s="2"/>
      <c r="G33286" s="2"/>
      <c r="H33286" s="2"/>
    </row>
    <row r="33287" spans="1:8" x14ac:dyDescent="0.25">
      <c r="A33287" s="1"/>
      <c r="B33287" s="1" t="s">
        <v>8418</v>
      </c>
      <c r="C33287" s="1" t="s">
        <v>8419</v>
      </c>
      <c r="D33287" s="1" t="str">
        <f>HYPERLINK("https://rhld.insurance.arkansas.gov/NPILookup?Npi=1205520111","1205520111")</f>
        <v>1205520111</v>
      </c>
      <c r="E33287" s="1" t="s">
        <v>30355</v>
      </c>
      <c r="F33287" s="2"/>
      <c r="G33287" s="2"/>
      <c r="H33287" s="2"/>
    </row>
    <row r="33288" spans="1:8" x14ac:dyDescent="0.25">
      <c r="A33288" s="1"/>
      <c r="B33288" s="1" t="s">
        <v>8418</v>
      </c>
      <c r="C33288" s="1" t="s">
        <v>8419</v>
      </c>
      <c r="D33288" s="1" t="str">
        <f>HYPERLINK("https://rhld.insurance.arkansas.gov/NPILookup?Npi=1205561503","1205561503")</f>
        <v>1205561503</v>
      </c>
      <c r="E33288" s="1" t="s">
        <v>30356</v>
      </c>
      <c r="F33288" s="2"/>
      <c r="G33288" s="2"/>
      <c r="H33288" s="2"/>
    </row>
    <row r="33289" spans="1:8" x14ac:dyDescent="0.25">
      <c r="A33289" s="1"/>
      <c r="B33289" s="1" t="s">
        <v>8418</v>
      </c>
      <c r="C33289" s="1" t="s">
        <v>8419</v>
      </c>
      <c r="D33289" s="1" t="str">
        <f>HYPERLINK("https://rhld.insurance.arkansas.gov/NPILookup?Npi=1205967114","1205967114")</f>
        <v>1205967114</v>
      </c>
      <c r="E33289" s="1" t="s">
        <v>30357</v>
      </c>
      <c r="F33289" s="2"/>
      <c r="G33289" s="2"/>
      <c r="H33289" s="2"/>
    </row>
    <row r="33290" spans="1:8" x14ac:dyDescent="0.25">
      <c r="A33290" s="1"/>
      <c r="B33290" s="1" t="s">
        <v>8418</v>
      </c>
      <c r="C33290" s="1" t="s">
        <v>8419</v>
      </c>
      <c r="D33290" s="1" t="str">
        <f>HYPERLINK("https://rhld.insurance.arkansas.gov/NPILookup?Npi=1205972833","1205972833")</f>
        <v>1205972833</v>
      </c>
      <c r="E33290" s="1" t="s">
        <v>14095</v>
      </c>
      <c r="F33290" s="2"/>
      <c r="G33290" s="2"/>
      <c r="H33290" s="2"/>
    </row>
    <row r="33291" spans="1:8" x14ac:dyDescent="0.25">
      <c r="A33291" s="1"/>
      <c r="B33291" s="1" t="s">
        <v>8418</v>
      </c>
      <c r="C33291" s="1" t="s">
        <v>8419</v>
      </c>
      <c r="D33291" s="1" t="str">
        <f>HYPERLINK("https://rhld.insurance.arkansas.gov/NPILookup?Npi=1215051487","1215051487")</f>
        <v>1215051487</v>
      </c>
      <c r="E33291" s="1" t="s">
        <v>30358</v>
      </c>
      <c r="F33291" s="2"/>
      <c r="G33291" s="2"/>
      <c r="H33291" s="2"/>
    </row>
    <row r="33292" spans="1:8" x14ac:dyDescent="0.25">
      <c r="A33292" s="1"/>
      <c r="B33292" s="1" t="s">
        <v>8418</v>
      </c>
      <c r="C33292" s="1" t="s">
        <v>8419</v>
      </c>
      <c r="D33292" s="1" t="str">
        <f>HYPERLINK("https://rhld.insurance.arkansas.gov/NPILookup?Npi=1215102595","1215102595")</f>
        <v>1215102595</v>
      </c>
      <c r="E33292" s="1" t="s">
        <v>30359</v>
      </c>
      <c r="F33292" s="2"/>
      <c r="G33292" s="2"/>
      <c r="H33292" s="2"/>
    </row>
    <row r="33293" spans="1:8" x14ac:dyDescent="0.25">
      <c r="A33293" s="1"/>
      <c r="B33293" s="1" t="s">
        <v>8418</v>
      </c>
      <c r="C33293" s="1" t="s">
        <v>8419</v>
      </c>
      <c r="D33293" s="1" t="str">
        <f>HYPERLINK("https://rhld.insurance.arkansas.gov/NPILookup?Npi=1215150719","1215150719")</f>
        <v>1215150719</v>
      </c>
      <c r="E33293" s="1" t="s">
        <v>14096</v>
      </c>
      <c r="F33293" s="2"/>
      <c r="G33293" s="2"/>
      <c r="H33293" s="2"/>
    </row>
    <row r="33294" spans="1:8" x14ac:dyDescent="0.25">
      <c r="A33294" s="1"/>
      <c r="B33294" s="1" t="s">
        <v>8418</v>
      </c>
      <c r="C33294" s="1" t="s">
        <v>8419</v>
      </c>
      <c r="D33294" s="1" t="str">
        <f>HYPERLINK("https://rhld.insurance.arkansas.gov/NPILookup?Npi=1215153713","1215153713")</f>
        <v>1215153713</v>
      </c>
      <c r="E33294" s="1" t="s">
        <v>30360</v>
      </c>
      <c r="F33294" s="2"/>
      <c r="G33294" s="2"/>
      <c r="H33294" s="2"/>
    </row>
    <row r="33295" spans="1:8" x14ac:dyDescent="0.25">
      <c r="A33295" s="1"/>
      <c r="B33295" s="1" t="s">
        <v>8418</v>
      </c>
      <c r="C33295" s="1" t="s">
        <v>8419</v>
      </c>
      <c r="D33295" s="1" t="str">
        <f>HYPERLINK("https://rhld.insurance.arkansas.gov/NPILookup?Npi=1215156005","1215156005")</f>
        <v>1215156005</v>
      </c>
      <c r="E33295" s="1" t="s">
        <v>32509</v>
      </c>
      <c r="F33295" s="2"/>
      <c r="G33295" s="2"/>
      <c r="H33295" s="2"/>
    </row>
    <row r="33296" spans="1:8" x14ac:dyDescent="0.25">
      <c r="A33296" s="1"/>
      <c r="B33296" s="1" t="s">
        <v>8418</v>
      </c>
      <c r="C33296" s="1" t="s">
        <v>8419</v>
      </c>
      <c r="D33296" s="1" t="str">
        <f>HYPERLINK("https://rhld.insurance.arkansas.gov/NPILookup?Npi=1215183959","1215183959")</f>
        <v>1215183959</v>
      </c>
      <c r="E33296" s="1" t="s">
        <v>30361</v>
      </c>
      <c r="F33296" s="2"/>
      <c r="G33296" s="2"/>
      <c r="H33296" s="2"/>
    </row>
    <row r="33297" spans="1:8" x14ac:dyDescent="0.25">
      <c r="A33297" s="1"/>
      <c r="B33297" s="1" t="s">
        <v>8418</v>
      </c>
      <c r="C33297" s="1" t="s">
        <v>8419</v>
      </c>
      <c r="D33297" s="1" t="str">
        <f>HYPERLINK("https://rhld.insurance.arkansas.gov/NPILookup?Npi=1215190038","1215190038")</f>
        <v>1215190038</v>
      </c>
      <c r="E33297" s="1" t="s">
        <v>30362</v>
      </c>
      <c r="F33297" s="2"/>
      <c r="G33297" s="2"/>
      <c r="H33297" s="2"/>
    </row>
    <row r="33298" spans="1:8" x14ac:dyDescent="0.25">
      <c r="A33298" s="1"/>
      <c r="B33298" s="1" t="s">
        <v>8418</v>
      </c>
      <c r="C33298" s="1" t="s">
        <v>8419</v>
      </c>
      <c r="D33298" s="1" t="str">
        <f>HYPERLINK("https://rhld.insurance.arkansas.gov/NPILookup?Npi=1215240080","1215240080")</f>
        <v>1215240080</v>
      </c>
      <c r="E33298" s="1" t="s">
        <v>30363</v>
      </c>
      <c r="F33298" s="2"/>
      <c r="G33298" s="2"/>
      <c r="H33298" s="2"/>
    </row>
    <row r="33299" spans="1:8" x14ac:dyDescent="0.25">
      <c r="A33299" s="1"/>
      <c r="B33299" s="1" t="s">
        <v>8418</v>
      </c>
      <c r="C33299" s="1" t="s">
        <v>8419</v>
      </c>
      <c r="D33299" s="1" t="str">
        <f>HYPERLINK("https://rhld.insurance.arkansas.gov/NPILookup?Npi=1215243878","1215243878")</f>
        <v>1215243878</v>
      </c>
      <c r="E33299" s="1" t="s">
        <v>30364</v>
      </c>
      <c r="F33299" s="2"/>
      <c r="G33299" s="2"/>
      <c r="H33299" s="2"/>
    </row>
    <row r="33300" spans="1:8" x14ac:dyDescent="0.25">
      <c r="A33300" s="1"/>
      <c r="B33300" s="1" t="s">
        <v>8418</v>
      </c>
      <c r="C33300" s="1" t="s">
        <v>8419</v>
      </c>
      <c r="D33300" s="1" t="str">
        <f>HYPERLINK("https://rhld.insurance.arkansas.gov/NPILookup?Npi=1215252986","1215252986")</f>
        <v>1215252986</v>
      </c>
      <c r="E33300" s="1" t="s">
        <v>30365</v>
      </c>
      <c r="F33300" s="2"/>
      <c r="G33300" s="2"/>
      <c r="H33300" s="2"/>
    </row>
    <row r="33301" spans="1:8" x14ac:dyDescent="0.25">
      <c r="A33301" s="1"/>
      <c r="B33301" s="1" t="s">
        <v>8418</v>
      </c>
      <c r="C33301" s="1" t="s">
        <v>8419</v>
      </c>
      <c r="D33301" s="1" t="str">
        <f>HYPERLINK("https://rhld.insurance.arkansas.gov/NPILookup?Npi=1215290200","1215290200")</f>
        <v>1215290200</v>
      </c>
      <c r="E33301" s="1" t="s">
        <v>30366</v>
      </c>
      <c r="F33301" s="2"/>
      <c r="G33301" s="2"/>
      <c r="H33301" s="2"/>
    </row>
    <row r="33302" spans="1:8" x14ac:dyDescent="0.25">
      <c r="A33302" s="1"/>
      <c r="B33302" s="1" t="s">
        <v>8418</v>
      </c>
      <c r="C33302" s="1" t="s">
        <v>8419</v>
      </c>
      <c r="D33302" s="1" t="str">
        <f>HYPERLINK("https://rhld.insurance.arkansas.gov/NPILookup?Npi=1215355318","1215355318")</f>
        <v>1215355318</v>
      </c>
      <c r="E33302" s="1" t="s">
        <v>30367</v>
      </c>
      <c r="F33302" s="2"/>
      <c r="G33302" s="2"/>
      <c r="H33302" s="2"/>
    </row>
    <row r="33303" spans="1:8" x14ac:dyDescent="0.25">
      <c r="A33303" s="1"/>
      <c r="B33303" s="1" t="s">
        <v>8418</v>
      </c>
      <c r="C33303" s="1" t="s">
        <v>8419</v>
      </c>
      <c r="D33303" s="1" t="str">
        <f>HYPERLINK("https://rhld.insurance.arkansas.gov/NPILookup?Npi=1215365184","1215365184")</f>
        <v>1215365184</v>
      </c>
      <c r="E33303" s="1" t="s">
        <v>30368</v>
      </c>
      <c r="F33303" s="2"/>
      <c r="G33303" s="2"/>
      <c r="H33303" s="2"/>
    </row>
    <row r="33304" spans="1:8" x14ac:dyDescent="0.25">
      <c r="A33304" s="1"/>
      <c r="B33304" s="1" t="s">
        <v>8418</v>
      </c>
      <c r="C33304" s="1" t="s">
        <v>8419</v>
      </c>
      <c r="D33304" s="1" t="str">
        <f>HYPERLINK("https://rhld.insurance.arkansas.gov/NPILookup?Npi=1215417258","1215417258")</f>
        <v>1215417258</v>
      </c>
      <c r="E33304" s="1" t="s">
        <v>30369</v>
      </c>
      <c r="F33304" s="2"/>
      <c r="G33304" s="2"/>
      <c r="H33304" s="2"/>
    </row>
    <row r="33305" spans="1:8" x14ac:dyDescent="0.25">
      <c r="A33305" s="1"/>
      <c r="B33305" s="1" t="s">
        <v>8418</v>
      </c>
      <c r="C33305" s="1" t="s">
        <v>8419</v>
      </c>
      <c r="D33305" s="1" t="str">
        <f>HYPERLINK("https://rhld.insurance.arkansas.gov/NPILookup?Npi=1215577184","1215577184")</f>
        <v>1215577184</v>
      </c>
      <c r="E33305" s="1" t="s">
        <v>8527</v>
      </c>
      <c r="F33305" s="2"/>
      <c r="G33305" s="2"/>
      <c r="H33305" s="2"/>
    </row>
    <row r="33306" spans="1:8" x14ac:dyDescent="0.25">
      <c r="A33306" s="1"/>
      <c r="B33306" s="1" t="s">
        <v>8418</v>
      </c>
      <c r="C33306" s="1" t="s">
        <v>8419</v>
      </c>
      <c r="D33306" s="1" t="str">
        <f>HYPERLINK("https://rhld.insurance.arkansas.gov/NPILookup?Npi=1215592860","1215592860")</f>
        <v>1215592860</v>
      </c>
      <c r="E33306" s="1" t="s">
        <v>24707</v>
      </c>
      <c r="F33306" s="2"/>
      <c r="G33306" s="2"/>
      <c r="H33306" s="2"/>
    </row>
    <row r="33307" spans="1:8" x14ac:dyDescent="0.25">
      <c r="A33307" s="1"/>
      <c r="B33307" s="1" t="s">
        <v>8418</v>
      </c>
      <c r="C33307" s="1" t="s">
        <v>8419</v>
      </c>
      <c r="D33307" s="1" t="str">
        <f>HYPERLINK("https://rhld.insurance.arkansas.gov/NPILookup?Npi=1215610886","1215610886")</f>
        <v>1215610886</v>
      </c>
      <c r="E33307" s="1" t="s">
        <v>32510</v>
      </c>
      <c r="F33307" s="2"/>
      <c r="G33307" s="2"/>
      <c r="H33307" s="2"/>
    </row>
    <row r="33308" spans="1:8" x14ac:dyDescent="0.25">
      <c r="A33308" s="1"/>
      <c r="B33308" s="1" t="s">
        <v>8418</v>
      </c>
      <c r="C33308" s="1" t="s">
        <v>8419</v>
      </c>
      <c r="D33308" s="1" t="str">
        <f>HYPERLINK("https://rhld.insurance.arkansas.gov/NPILookup?Npi=1215678867","1215678867")</f>
        <v>1215678867</v>
      </c>
      <c r="E33308" s="1" t="s">
        <v>30370</v>
      </c>
      <c r="F33308" s="2"/>
      <c r="G33308" s="2"/>
      <c r="H33308" s="2"/>
    </row>
    <row r="33309" spans="1:8" x14ac:dyDescent="0.25">
      <c r="A33309" s="1"/>
      <c r="B33309" s="1" t="s">
        <v>8418</v>
      </c>
      <c r="C33309" s="1" t="s">
        <v>8419</v>
      </c>
      <c r="D33309" s="1" t="str">
        <f>HYPERLINK("https://rhld.insurance.arkansas.gov/NPILookup?Npi=1215699988","1215699988")</f>
        <v>1215699988</v>
      </c>
      <c r="E33309" s="1" t="s">
        <v>30371</v>
      </c>
      <c r="F33309" s="2"/>
      <c r="G33309" s="2"/>
      <c r="H33309" s="2"/>
    </row>
    <row r="33310" spans="1:8" x14ac:dyDescent="0.25">
      <c r="A33310" s="1"/>
      <c r="B33310" s="1" t="s">
        <v>8418</v>
      </c>
      <c r="C33310" s="1" t="s">
        <v>8419</v>
      </c>
      <c r="D33310" s="1" t="str">
        <f>HYPERLINK("https://rhld.insurance.arkansas.gov/NPILookup?Npi=1215992086","1215992086")</f>
        <v>1215992086</v>
      </c>
      <c r="E33310" s="1" t="s">
        <v>14097</v>
      </c>
      <c r="F33310" s="2"/>
      <c r="G33310" s="2"/>
      <c r="H33310" s="2"/>
    </row>
    <row r="33311" spans="1:8" x14ac:dyDescent="0.25">
      <c r="A33311" s="1"/>
      <c r="B33311" s="1" t="s">
        <v>8418</v>
      </c>
      <c r="C33311" s="1" t="s">
        <v>8419</v>
      </c>
      <c r="D33311" s="1" t="str">
        <f>HYPERLINK("https://rhld.insurance.arkansas.gov/NPILookup?Npi=1225116692","1225116692")</f>
        <v>1225116692</v>
      </c>
      <c r="E33311" s="1" t="s">
        <v>14098</v>
      </c>
      <c r="F33311" s="2"/>
      <c r="G33311" s="2"/>
      <c r="H33311" s="2"/>
    </row>
    <row r="33312" spans="1:8" x14ac:dyDescent="0.25">
      <c r="A33312" s="1"/>
      <c r="B33312" s="1" t="s">
        <v>8418</v>
      </c>
      <c r="C33312" s="1" t="s">
        <v>8419</v>
      </c>
      <c r="D33312" s="1" t="str">
        <f>HYPERLINK("https://rhld.insurance.arkansas.gov/NPILookup?Npi=1225240005","1225240005")</f>
        <v>1225240005</v>
      </c>
      <c r="E33312" s="1" t="s">
        <v>30372</v>
      </c>
      <c r="F33312" s="2"/>
      <c r="G33312" s="2"/>
      <c r="H33312" s="2"/>
    </row>
    <row r="33313" spans="1:8" x14ac:dyDescent="0.25">
      <c r="A33313" s="1"/>
      <c r="B33313" s="1" t="s">
        <v>8418</v>
      </c>
      <c r="C33313" s="1" t="s">
        <v>8419</v>
      </c>
      <c r="D33313" s="1" t="str">
        <f>HYPERLINK("https://rhld.insurance.arkansas.gov/NPILookup?Npi=1225255136","1225255136")</f>
        <v>1225255136</v>
      </c>
      <c r="E33313" s="1" t="s">
        <v>8528</v>
      </c>
      <c r="F33313" s="2"/>
      <c r="G33313" s="2"/>
      <c r="H33313" s="2"/>
    </row>
    <row r="33314" spans="1:8" x14ac:dyDescent="0.25">
      <c r="A33314" s="1"/>
      <c r="B33314" s="1" t="s">
        <v>8418</v>
      </c>
      <c r="C33314" s="1" t="s">
        <v>8419</v>
      </c>
      <c r="D33314" s="1" t="str">
        <f>HYPERLINK("https://rhld.insurance.arkansas.gov/NPILookup?Npi=1225286594","1225286594")</f>
        <v>1225286594</v>
      </c>
      <c r="E33314" s="1" t="s">
        <v>30373</v>
      </c>
      <c r="F33314" s="2"/>
      <c r="G33314" s="2"/>
      <c r="H33314" s="2"/>
    </row>
    <row r="33315" spans="1:8" x14ac:dyDescent="0.25">
      <c r="A33315" s="1"/>
      <c r="B33315" s="1" t="s">
        <v>8418</v>
      </c>
      <c r="C33315" s="1" t="s">
        <v>8419</v>
      </c>
      <c r="D33315" s="1" t="str">
        <f>HYPERLINK("https://rhld.insurance.arkansas.gov/NPILookup?Npi=1225305493","1225305493")</f>
        <v>1225305493</v>
      </c>
      <c r="E33315" s="1" t="s">
        <v>30374</v>
      </c>
      <c r="F33315" s="2"/>
      <c r="G33315" s="2"/>
      <c r="H33315" s="2"/>
    </row>
    <row r="33316" spans="1:8" x14ac:dyDescent="0.25">
      <c r="A33316" s="1"/>
      <c r="B33316" s="1" t="s">
        <v>8418</v>
      </c>
      <c r="C33316" s="1" t="s">
        <v>8419</v>
      </c>
      <c r="D33316" s="1" t="str">
        <f>HYPERLINK("https://rhld.insurance.arkansas.gov/NPILookup?Npi=1225329576","1225329576")</f>
        <v>1225329576</v>
      </c>
      <c r="E33316" s="1" t="s">
        <v>8529</v>
      </c>
      <c r="F33316" s="2"/>
      <c r="G33316" s="2"/>
      <c r="H33316" s="2"/>
    </row>
    <row r="33317" spans="1:8" x14ac:dyDescent="0.25">
      <c r="A33317" s="1"/>
      <c r="B33317" s="1" t="s">
        <v>8418</v>
      </c>
      <c r="C33317" s="1" t="s">
        <v>8419</v>
      </c>
      <c r="D33317" s="1" t="str">
        <f>HYPERLINK("https://rhld.insurance.arkansas.gov/NPILookup?Npi=1225334303","1225334303")</f>
        <v>1225334303</v>
      </c>
      <c r="E33317" s="1" t="s">
        <v>30375</v>
      </c>
      <c r="F33317" s="2"/>
      <c r="G33317" s="2"/>
      <c r="H33317" s="2"/>
    </row>
    <row r="33318" spans="1:8" x14ac:dyDescent="0.25">
      <c r="A33318" s="1"/>
      <c r="B33318" s="1" t="s">
        <v>8418</v>
      </c>
      <c r="C33318" s="1" t="s">
        <v>8419</v>
      </c>
      <c r="D33318" s="1" t="str">
        <f>HYPERLINK("https://rhld.insurance.arkansas.gov/NPILookup?Npi=1225440597","1225440597")</f>
        <v>1225440597</v>
      </c>
      <c r="E33318" s="1" t="s">
        <v>30376</v>
      </c>
      <c r="F33318" s="2"/>
      <c r="G33318" s="2"/>
      <c r="H33318" s="2"/>
    </row>
    <row r="33319" spans="1:8" x14ac:dyDescent="0.25">
      <c r="A33319" s="1"/>
      <c r="B33319" s="1" t="s">
        <v>8418</v>
      </c>
      <c r="C33319" s="1" t="s">
        <v>8419</v>
      </c>
      <c r="D33319" s="1" t="str">
        <f>HYPERLINK("https://rhld.insurance.arkansas.gov/NPILookup?Npi=1225475312","1225475312")</f>
        <v>1225475312</v>
      </c>
      <c r="E33319" s="1" t="s">
        <v>32511</v>
      </c>
      <c r="F33319" s="2"/>
      <c r="G33319" s="2"/>
      <c r="H33319" s="2"/>
    </row>
    <row r="33320" spans="1:8" x14ac:dyDescent="0.25">
      <c r="A33320" s="1"/>
      <c r="B33320" s="1" t="s">
        <v>8418</v>
      </c>
      <c r="C33320" s="1" t="s">
        <v>8419</v>
      </c>
      <c r="D33320" s="1" t="str">
        <f>HYPERLINK("https://rhld.insurance.arkansas.gov/NPILookup?Npi=1225511397","1225511397")</f>
        <v>1225511397</v>
      </c>
      <c r="E33320" s="1" t="s">
        <v>14099</v>
      </c>
      <c r="F33320" s="2"/>
      <c r="G33320" s="2"/>
      <c r="H33320" s="2"/>
    </row>
    <row r="33321" spans="1:8" x14ac:dyDescent="0.25">
      <c r="A33321" s="1"/>
      <c r="B33321" s="1" t="s">
        <v>8418</v>
      </c>
      <c r="C33321" s="1" t="s">
        <v>8419</v>
      </c>
      <c r="D33321" s="1" t="str">
        <f>HYPERLINK("https://rhld.insurance.arkansas.gov/NPILookup?Npi=1225520414","1225520414")</f>
        <v>1225520414</v>
      </c>
      <c r="E33321" s="1" t="s">
        <v>30377</v>
      </c>
      <c r="F33321" s="2"/>
      <c r="G33321" s="2"/>
      <c r="H33321" s="2"/>
    </row>
    <row r="33322" spans="1:8" x14ac:dyDescent="0.25">
      <c r="A33322" s="1"/>
      <c r="B33322" s="1" t="s">
        <v>8418</v>
      </c>
      <c r="C33322" s="1" t="s">
        <v>8419</v>
      </c>
      <c r="D33322" s="1" t="str">
        <f>HYPERLINK("https://rhld.insurance.arkansas.gov/NPILookup?Npi=1225549371","1225549371")</f>
        <v>1225549371</v>
      </c>
      <c r="E33322" s="1" t="s">
        <v>30378</v>
      </c>
      <c r="F33322" s="2"/>
      <c r="G33322" s="2"/>
      <c r="H33322" s="2"/>
    </row>
    <row r="33323" spans="1:8" x14ac:dyDescent="0.25">
      <c r="A33323" s="1"/>
      <c r="B33323" s="1" t="s">
        <v>8418</v>
      </c>
      <c r="C33323" s="1" t="s">
        <v>8419</v>
      </c>
      <c r="D33323" s="1" t="str">
        <f>HYPERLINK("https://rhld.insurance.arkansas.gov/NPILookup?Npi=1225612617","1225612617")</f>
        <v>1225612617</v>
      </c>
      <c r="E33323" s="1" t="s">
        <v>30379</v>
      </c>
      <c r="F33323" s="2"/>
      <c r="G33323" s="2"/>
      <c r="H33323" s="2"/>
    </row>
    <row r="33324" spans="1:8" x14ac:dyDescent="0.25">
      <c r="A33324" s="1"/>
      <c r="B33324" s="1" t="s">
        <v>8418</v>
      </c>
      <c r="C33324" s="1" t="s">
        <v>8419</v>
      </c>
      <c r="D33324" s="1" t="str">
        <f>HYPERLINK("https://rhld.insurance.arkansas.gov/NPILookup?Npi=1225613748","1225613748")</f>
        <v>1225613748</v>
      </c>
      <c r="E33324" s="1" t="s">
        <v>8530</v>
      </c>
      <c r="F33324" s="2"/>
      <c r="G33324" s="2"/>
      <c r="H33324" s="2"/>
    </row>
    <row r="33325" spans="1:8" x14ac:dyDescent="0.25">
      <c r="A33325" s="1"/>
      <c r="B33325" s="1" t="s">
        <v>8418</v>
      </c>
      <c r="C33325" s="1" t="s">
        <v>8419</v>
      </c>
      <c r="D33325" s="1" t="str">
        <f>HYPERLINK("https://rhld.insurance.arkansas.gov/NPILookup?Npi=1225625932","1225625932")</f>
        <v>1225625932</v>
      </c>
      <c r="E33325" s="1" t="s">
        <v>32512</v>
      </c>
      <c r="F33325" s="2"/>
      <c r="G33325" s="2"/>
      <c r="H33325" s="2"/>
    </row>
    <row r="33326" spans="1:8" x14ac:dyDescent="0.25">
      <c r="A33326" s="1"/>
      <c r="B33326" s="1" t="s">
        <v>8418</v>
      </c>
      <c r="C33326" s="1" t="s">
        <v>8419</v>
      </c>
      <c r="D33326" s="1" t="str">
        <f>HYPERLINK("https://rhld.insurance.arkansas.gov/NPILookup?Npi=1225697592","1225697592")</f>
        <v>1225697592</v>
      </c>
      <c r="E33326" s="1" t="s">
        <v>30380</v>
      </c>
      <c r="F33326" s="2"/>
      <c r="G33326" s="2"/>
      <c r="H33326" s="2"/>
    </row>
    <row r="33327" spans="1:8" x14ac:dyDescent="0.25">
      <c r="A33327" s="1"/>
      <c r="B33327" s="1" t="s">
        <v>8418</v>
      </c>
      <c r="C33327" s="1" t="s">
        <v>8419</v>
      </c>
      <c r="D33327" s="1" t="str">
        <f>HYPERLINK("https://rhld.insurance.arkansas.gov/NPILookup?Npi=1225704083","1225704083")</f>
        <v>1225704083</v>
      </c>
      <c r="E33327" s="1" t="s">
        <v>8531</v>
      </c>
      <c r="F33327" s="2"/>
      <c r="G33327" s="2"/>
      <c r="H33327" s="2"/>
    </row>
    <row r="33328" spans="1:8" x14ac:dyDescent="0.25">
      <c r="A33328" s="1"/>
      <c r="B33328" s="1" t="s">
        <v>8418</v>
      </c>
      <c r="C33328" s="1" t="s">
        <v>8419</v>
      </c>
      <c r="D33328" s="1" t="str">
        <f>HYPERLINK("https://rhld.insurance.arkansas.gov/NPILookup?Npi=1225740749","1225740749")</f>
        <v>1225740749</v>
      </c>
      <c r="E33328" s="1" t="s">
        <v>6412</v>
      </c>
      <c r="F33328" s="2"/>
      <c r="G33328" s="2"/>
      <c r="H33328" s="2"/>
    </row>
    <row r="33329" spans="1:8" x14ac:dyDescent="0.25">
      <c r="A33329" s="1"/>
      <c r="B33329" s="1" t="s">
        <v>8418</v>
      </c>
      <c r="C33329" s="1" t="s">
        <v>8419</v>
      </c>
      <c r="D33329" s="1" t="str">
        <f>HYPERLINK("https://rhld.insurance.arkansas.gov/NPILookup?Npi=1225764368","1225764368")</f>
        <v>1225764368</v>
      </c>
      <c r="E33329" s="1" t="s">
        <v>30381</v>
      </c>
      <c r="F33329" s="2"/>
      <c r="G33329" s="2"/>
      <c r="H33329" s="2"/>
    </row>
    <row r="33330" spans="1:8" x14ac:dyDescent="0.25">
      <c r="A33330" s="1"/>
      <c r="B33330" s="1" t="s">
        <v>8418</v>
      </c>
      <c r="C33330" s="1" t="s">
        <v>8419</v>
      </c>
      <c r="D33330" s="1" t="str">
        <f>HYPERLINK("https://rhld.insurance.arkansas.gov/NPILookup?Npi=1225798507","1225798507")</f>
        <v>1225798507</v>
      </c>
      <c r="E33330" s="1" t="s">
        <v>30382</v>
      </c>
      <c r="F33330" s="2"/>
      <c r="G33330" s="2"/>
      <c r="H33330" s="2"/>
    </row>
    <row r="33331" spans="1:8" x14ac:dyDescent="0.25">
      <c r="A33331" s="1"/>
      <c r="B33331" s="1" t="s">
        <v>8418</v>
      </c>
      <c r="C33331" s="1" t="s">
        <v>8419</v>
      </c>
      <c r="D33331" s="1" t="str">
        <f>HYPERLINK("https://rhld.insurance.arkansas.gov/NPILookup?Npi=1225815442","1225815442")</f>
        <v>1225815442</v>
      </c>
      <c r="E33331" s="1" t="s">
        <v>30383</v>
      </c>
      <c r="F33331" s="2"/>
      <c r="G33331" s="2"/>
      <c r="H33331" s="2"/>
    </row>
    <row r="33332" spans="1:8" x14ac:dyDescent="0.25">
      <c r="A33332" s="1"/>
      <c r="B33332" s="1" t="s">
        <v>8418</v>
      </c>
      <c r="C33332" s="1" t="s">
        <v>8419</v>
      </c>
      <c r="D33332" s="1" t="str">
        <f>HYPERLINK("https://rhld.insurance.arkansas.gov/NPILookup?Npi=1225871320","1225871320")</f>
        <v>1225871320</v>
      </c>
      <c r="E33332" s="1" t="s">
        <v>32513</v>
      </c>
      <c r="F33332" s="2"/>
      <c r="G33332" s="2"/>
      <c r="H33332" s="2"/>
    </row>
    <row r="33333" spans="1:8" x14ac:dyDescent="0.25">
      <c r="A33333" s="1"/>
      <c r="B33333" s="1" t="s">
        <v>8418</v>
      </c>
      <c r="C33333" s="1" t="s">
        <v>8419</v>
      </c>
      <c r="D33333" s="1" t="str">
        <f>HYPERLINK("https://rhld.insurance.arkansas.gov/NPILookup?Npi=1235378845","1235378845")</f>
        <v>1235378845</v>
      </c>
      <c r="E33333" s="1" t="s">
        <v>30384</v>
      </c>
      <c r="F33333" s="2"/>
      <c r="G33333" s="2"/>
      <c r="H33333" s="2"/>
    </row>
    <row r="33334" spans="1:8" x14ac:dyDescent="0.25">
      <c r="A33334" s="1"/>
      <c r="B33334" s="1" t="s">
        <v>8418</v>
      </c>
      <c r="C33334" s="1" t="s">
        <v>8419</v>
      </c>
      <c r="D33334" s="1" t="str">
        <f>HYPERLINK("https://rhld.insurance.arkansas.gov/NPILookup?Npi=1235386350","1235386350")</f>
        <v>1235386350</v>
      </c>
      <c r="E33334" s="1" t="s">
        <v>30385</v>
      </c>
      <c r="F33334" s="2"/>
      <c r="G33334" s="2"/>
      <c r="H33334" s="2"/>
    </row>
    <row r="33335" spans="1:8" x14ac:dyDescent="0.25">
      <c r="A33335" s="1"/>
      <c r="B33335" s="1" t="s">
        <v>8418</v>
      </c>
      <c r="C33335" s="1" t="s">
        <v>8419</v>
      </c>
      <c r="D33335" s="1" t="str">
        <f>HYPERLINK("https://rhld.insurance.arkansas.gov/NPILookup?Npi=1235397316","1235397316")</f>
        <v>1235397316</v>
      </c>
      <c r="E33335" s="1" t="s">
        <v>8532</v>
      </c>
      <c r="F33335" s="2"/>
      <c r="G33335" s="2"/>
      <c r="H33335" s="2"/>
    </row>
    <row r="33336" spans="1:8" x14ac:dyDescent="0.25">
      <c r="A33336" s="1"/>
      <c r="B33336" s="1" t="s">
        <v>8418</v>
      </c>
      <c r="C33336" s="1" t="s">
        <v>8419</v>
      </c>
      <c r="D33336" s="1" t="str">
        <f>HYPERLINK("https://rhld.insurance.arkansas.gov/NPILookup?Npi=1235410051","1235410051")</f>
        <v>1235410051</v>
      </c>
      <c r="E33336" s="1" t="s">
        <v>30386</v>
      </c>
      <c r="F33336" s="2"/>
      <c r="G33336" s="2"/>
      <c r="H33336" s="2"/>
    </row>
    <row r="33337" spans="1:8" x14ac:dyDescent="0.25">
      <c r="A33337" s="1"/>
      <c r="B33337" s="1" t="s">
        <v>8418</v>
      </c>
      <c r="C33337" s="1" t="s">
        <v>8419</v>
      </c>
      <c r="D33337" s="1" t="str">
        <f>HYPERLINK("https://rhld.insurance.arkansas.gov/NPILookup?Npi=1235518820","1235518820")</f>
        <v>1235518820</v>
      </c>
      <c r="E33337" s="1" t="s">
        <v>30387</v>
      </c>
      <c r="F33337" s="2"/>
      <c r="G33337" s="2"/>
      <c r="H33337" s="2"/>
    </row>
    <row r="33338" spans="1:8" x14ac:dyDescent="0.25">
      <c r="A33338" s="1"/>
      <c r="B33338" s="1" t="s">
        <v>8418</v>
      </c>
      <c r="C33338" s="1" t="s">
        <v>8419</v>
      </c>
      <c r="D33338" s="1" t="str">
        <f>HYPERLINK("https://rhld.insurance.arkansas.gov/NPILookup?Npi=1235522343","1235522343")</f>
        <v>1235522343</v>
      </c>
      <c r="E33338" s="1" t="s">
        <v>30388</v>
      </c>
      <c r="F33338" s="2"/>
      <c r="G33338" s="2"/>
      <c r="H33338" s="2"/>
    </row>
    <row r="33339" spans="1:8" x14ac:dyDescent="0.25">
      <c r="A33339" s="1"/>
      <c r="B33339" s="1" t="s">
        <v>8418</v>
      </c>
      <c r="C33339" s="1" t="s">
        <v>8419</v>
      </c>
      <c r="D33339" s="1" t="str">
        <f>HYPERLINK("https://rhld.insurance.arkansas.gov/NPILookup?Npi=1235565748","1235565748")</f>
        <v>1235565748</v>
      </c>
      <c r="E33339" s="1" t="s">
        <v>30389</v>
      </c>
      <c r="F33339" s="2"/>
      <c r="G33339" s="2"/>
      <c r="H33339" s="2"/>
    </row>
    <row r="33340" spans="1:8" x14ac:dyDescent="0.25">
      <c r="A33340" s="1"/>
      <c r="B33340" s="1" t="s">
        <v>8418</v>
      </c>
      <c r="C33340" s="1" t="s">
        <v>8419</v>
      </c>
      <c r="D33340" s="1" t="str">
        <f>HYPERLINK("https://rhld.insurance.arkansas.gov/NPILookup?Npi=1235586801","1235586801")</f>
        <v>1235586801</v>
      </c>
      <c r="E33340" s="1" t="s">
        <v>14100</v>
      </c>
      <c r="F33340" s="2"/>
      <c r="G33340" s="2"/>
      <c r="H33340" s="2"/>
    </row>
    <row r="33341" spans="1:8" x14ac:dyDescent="0.25">
      <c r="A33341" s="1"/>
      <c r="B33341" s="1" t="s">
        <v>8418</v>
      </c>
      <c r="C33341" s="1" t="s">
        <v>8419</v>
      </c>
      <c r="D33341" s="1" t="str">
        <f>HYPERLINK("https://rhld.insurance.arkansas.gov/NPILookup?Npi=1235709106","1235709106")</f>
        <v>1235709106</v>
      </c>
      <c r="E33341" s="1" t="s">
        <v>30390</v>
      </c>
      <c r="F33341" s="2"/>
      <c r="G33341" s="2"/>
      <c r="H33341" s="2"/>
    </row>
    <row r="33342" spans="1:8" x14ac:dyDescent="0.25">
      <c r="A33342" s="1"/>
      <c r="B33342" s="1" t="s">
        <v>8418</v>
      </c>
      <c r="C33342" s="1" t="s">
        <v>8419</v>
      </c>
      <c r="D33342" s="1" t="str">
        <f>HYPERLINK("https://rhld.insurance.arkansas.gov/NPILookup?Npi=1235778739","1235778739")</f>
        <v>1235778739</v>
      </c>
      <c r="E33342" s="1" t="s">
        <v>30391</v>
      </c>
      <c r="F33342" s="2"/>
      <c r="G33342" s="2"/>
      <c r="H33342" s="2"/>
    </row>
    <row r="33343" spans="1:8" x14ac:dyDescent="0.25">
      <c r="A33343" s="1"/>
      <c r="B33343" s="1" t="s">
        <v>8418</v>
      </c>
      <c r="C33343" s="1" t="s">
        <v>8419</v>
      </c>
      <c r="D33343" s="1" t="str">
        <f>HYPERLINK("https://rhld.insurance.arkansas.gov/NPILookup?Npi=1235782673","1235782673")</f>
        <v>1235782673</v>
      </c>
      <c r="E33343" s="1" t="s">
        <v>30392</v>
      </c>
      <c r="F33343" s="2"/>
      <c r="G33343" s="2"/>
      <c r="H33343" s="2"/>
    </row>
    <row r="33344" spans="1:8" x14ac:dyDescent="0.25">
      <c r="A33344" s="1"/>
      <c r="B33344" s="1" t="s">
        <v>8418</v>
      </c>
      <c r="C33344" s="1" t="s">
        <v>8419</v>
      </c>
      <c r="D33344" s="1" t="str">
        <f>HYPERLINK("https://rhld.insurance.arkansas.gov/NPILookup?Npi=1235785643","1235785643")</f>
        <v>1235785643</v>
      </c>
      <c r="E33344" s="1" t="s">
        <v>8533</v>
      </c>
      <c r="F33344" s="2"/>
      <c r="G33344" s="2"/>
      <c r="H33344" s="2"/>
    </row>
    <row r="33345" spans="1:8" x14ac:dyDescent="0.25">
      <c r="A33345" s="1"/>
      <c r="B33345" s="1" t="s">
        <v>8418</v>
      </c>
      <c r="C33345" s="1" t="s">
        <v>8419</v>
      </c>
      <c r="D33345" s="1" t="str">
        <f>HYPERLINK("https://rhld.insurance.arkansas.gov/NPILookup?Npi=1235793902","1235793902")</f>
        <v>1235793902</v>
      </c>
      <c r="E33345" s="1" t="s">
        <v>14101</v>
      </c>
      <c r="F33345" s="2"/>
      <c r="G33345" s="2"/>
      <c r="H33345" s="2"/>
    </row>
    <row r="33346" spans="1:8" x14ac:dyDescent="0.25">
      <c r="A33346" s="1"/>
      <c r="B33346" s="1" t="s">
        <v>8418</v>
      </c>
      <c r="C33346" s="1" t="s">
        <v>8419</v>
      </c>
      <c r="D33346" s="1" t="str">
        <f>HYPERLINK("https://rhld.insurance.arkansas.gov/NPILookup?Npi=1235822263","1235822263")</f>
        <v>1235822263</v>
      </c>
      <c r="E33346" s="1" t="s">
        <v>30393</v>
      </c>
      <c r="F33346" s="2"/>
      <c r="G33346" s="2"/>
      <c r="H33346" s="2"/>
    </row>
    <row r="33347" spans="1:8" x14ac:dyDescent="0.25">
      <c r="A33347" s="1"/>
      <c r="B33347" s="1" t="s">
        <v>8418</v>
      </c>
      <c r="C33347" s="1" t="s">
        <v>8419</v>
      </c>
      <c r="D33347" s="1" t="str">
        <f>HYPERLINK("https://rhld.insurance.arkansas.gov/NPILookup?Npi=1235846973","1235846973")</f>
        <v>1235846973</v>
      </c>
      <c r="E33347" s="1" t="s">
        <v>8534</v>
      </c>
      <c r="F33347" s="2"/>
      <c r="G33347" s="2"/>
      <c r="H33347" s="2"/>
    </row>
    <row r="33348" spans="1:8" x14ac:dyDescent="0.25">
      <c r="A33348" s="1"/>
      <c r="B33348" s="1" t="s">
        <v>8418</v>
      </c>
      <c r="C33348" s="1" t="s">
        <v>8419</v>
      </c>
      <c r="D33348" s="1" t="str">
        <f>HYPERLINK("https://rhld.insurance.arkansas.gov/NPILookup?Npi=1245069251","1245069251")</f>
        <v>1245069251</v>
      </c>
      <c r="E33348" s="1" t="s">
        <v>30394</v>
      </c>
      <c r="F33348" s="2"/>
      <c r="G33348" s="2"/>
      <c r="H33348" s="2"/>
    </row>
    <row r="33349" spans="1:8" x14ac:dyDescent="0.25">
      <c r="A33349" s="1"/>
      <c r="B33349" s="1" t="s">
        <v>8418</v>
      </c>
      <c r="C33349" s="1" t="s">
        <v>8419</v>
      </c>
      <c r="D33349" s="1" t="str">
        <f>HYPERLINK("https://rhld.insurance.arkansas.gov/NPILookup?Npi=1245080803","1245080803")</f>
        <v>1245080803</v>
      </c>
      <c r="E33349" s="1" t="s">
        <v>30395</v>
      </c>
      <c r="F33349" s="2"/>
      <c r="G33349" s="2"/>
      <c r="H33349" s="2"/>
    </row>
    <row r="33350" spans="1:8" x14ac:dyDescent="0.25">
      <c r="A33350" s="1"/>
      <c r="B33350" s="1" t="s">
        <v>8418</v>
      </c>
      <c r="C33350" s="1" t="s">
        <v>8419</v>
      </c>
      <c r="D33350" s="1" t="str">
        <f>HYPERLINK("https://rhld.insurance.arkansas.gov/NPILookup?Npi=1245265172","1245265172")</f>
        <v>1245265172</v>
      </c>
      <c r="E33350" s="1" t="s">
        <v>30396</v>
      </c>
      <c r="F33350" s="2"/>
      <c r="G33350" s="2"/>
      <c r="H33350" s="2"/>
    </row>
    <row r="33351" spans="1:8" x14ac:dyDescent="0.25">
      <c r="A33351" s="1"/>
      <c r="B33351" s="1" t="s">
        <v>8418</v>
      </c>
      <c r="C33351" s="1" t="s">
        <v>8419</v>
      </c>
      <c r="D33351" s="1" t="str">
        <f>HYPERLINK("https://rhld.insurance.arkansas.gov/NPILookup?Npi=1245300698","1245300698")</f>
        <v>1245300698</v>
      </c>
      <c r="E33351" s="1" t="s">
        <v>30397</v>
      </c>
      <c r="F33351" s="2"/>
      <c r="G33351" s="2"/>
      <c r="H33351" s="2"/>
    </row>
    <row r="33352" spans="1:8" x14ac:dyDescent="0.25">
      <c r="A33352" s="1"/>
      <c r="B33352" s="1" t="s">
        <v>8418</v>
      </c>
      <c r="C33352" s="1" t="s">
        <v>8419</v>
      </c>
      <c r="D33352" s="1" t="str">
        <f>HYPERLINK("https://rhld.insurance.arkansas.gov/NPILookup?Npi=1245367200","1245367200")</f>
        <v>1245367200</v>
      </c>
      <c r="E33352" s="1" t="s">
        <v>30398</v>
      </c>
      <c r="F33352" s="2"/>
      <c r="G33352" s="2"/>
      <c r="H33352" s="2"/>
    </row>
    <row r="33353" spans="1:8" x14ac:dyDescent="0.25">
      <c r="A33353" s="1"/>
      <c r="B33353" s="1" t="s">
        <v>8418</v>
      </c>
      <c r="C33353" s="1" t="s">
        <v>8419</v>
      </c>
      <c r="D33353" s="1" t="str">
        <f>HYPERLINK("https://rhld.insurance.arkansas.gov/NPILookup?Npi=1245384379","1245384379")</f>
        <v>1245384379</v>
      </c>
      <c r="E33353" s="1" t="s">
        <v>30399</v>
      </c>
      <c r="F33353" s="2"/>
      <c r="G33353" s="2"/>
      <c r="H33353" s="2"/>
    </row>
    <row r="33354" spans="1:8" x14ac:dyDescent="0.25">
      <c r="A33354" s="1"/>
      <c r="B33354" s="1" t="s">
        <v>8418</v>
      </c>
      <c r="C33354" s="1" t="s">
        <v>8419</v>
      </c>
      <c r="D33354" s="1" t="str">
        <f>HYPERLINK("https://rhld.insurance.arkansas.gov/NPILookup?Npi=1245456292","1245456292")</f>
        <v>1245456292</v>
      </c>
      <c r="E33354" s="1" t="s">
        <v>30400</v>
      </c>
      <c r="F33354" s="2"/>
      <c r="G33354" s="2"/>
      <c r="H33354" s="2"/>
    </row>
    <row r="33355" spans="1:8" x14ac:dyDescent="0.25">
      <c r="A33355" s="1"/>
      <c r="B33355" s="1" t="s">
        <v>8418</v>
      </c>
      <c r="C33355" s="1" t="s">
        <v>8419</v>
      </c>
      <c r="D33355" s="1" t="str">
        <f>HYPERLINK("https://rhld.insurance.arkansas.gov/NPILookup?Npi=1245479856","1245479856")</f>
        <v>1245479856</v>
      </c>
      <c r="E33355" s="1" t="s">
        <v>30401</v>
      </c>
      <c r="F33355" s="2"/>
      <c r="G33355" s="2"/>
      <c r="H33355" s="2"/>
    </row>
    <row r="33356" spans="1:8" x14ac:dyDescent="0.25">
      <c r="A33356" s="1"/>
      <c r="B33356" s="1" t="s">
        <v>8418</v>
      </c>
      <c r="C33356" s="1" t="s">
        <v>8419</v>
      </c>
      <c r="D33356" s="1" t="str">
        <f>HYPERLINK("https://rhld.insurance.arkansas.gov/NPILookup?Npi=1245482900","1245482900")</f>
        <v>1245482900</v>
      </c>
      <c r="E33356" s="1" t="s">
        <v>32514</v>
      </c>
      <c r="F33356" s="2"/>
      <c r="G33356" s="2"/>
      <c r="H33356" s="2"/>
    </row>
    <row r="33357" spans="1:8" x14ac:dyDescent="0.25">
      <c r="A33357" s="1"/>
      <c r="B33357" s="1" t="s">
        <v>8418</v>
      </c>
      <c r="C33357" s="1" t="s">
        <v>8419</v>
      </c>
      <c r="D33357" s="1" t="str">
        <f>HYPERLINK("https://rhld.insurance.arkansas.gov/NPILookup?Npi=1245494756","1245494756")</f>
        <v>1245494756</v>
      </c>
      <c r="E33357" s="1" t="s">
        <v>14102</v>
      </c>
      <c r="F33357" s="2"/>
      <c r="G33357" s="2"/>
      <c r="H33357" s="2"/>
    </row>
    <row r="33358" spans="1:8" x14ac:dyDescent="0.25">
      <c r="A33358" s="1"/>
      <c r="B33358" s="1" t="s">
        <v>8418</v>
      </c>
      <c r="C33358" s="1" t="s">
        <v>8419</v>
      </c>
      <c r="D33358" s="1" t="str">
        <f>HYPERLINK("https://rhld.insurance.arkansas.gov/NPILookup?Npi=1245542299","1245542299")</f>
        <v>1245542299</v>
      </c>
      <c r="E33358" s="1" t="s">
        <v>32515</v>
      </c>
      <c r="F33358" s="2"/>
      <c r="G33358" s="2"/>
      <c r="H33358" s="2"/>
    </row>
    <row r="33359" spans="1:8" x14ac:dyDescent="0.25">
      <c r="A33359" s="1"/>
      <c r="B33359" s="1" t="s">
        <v>8418</v>
      </c>
      <c r="C33359" s="1" t="s">
        <v>8419</v>
      </c>
      <c r="D33359" s="1" t="str">
        <f>HYPERLINK("https://rhld.insurance.arkansas.gov/NPILookup?Npi=1245576578","1245576578")</f>
        <v>1245576578</v>
      </c>
      <c r="E33359" s="1" t="s">
        <v>8535</v>
      </c>
      <c r="F33359" s="2"/>
      <c r="G33359" s="2"/>
      <c r="H33359" s="2"/>
    </row>
    <row r="33360" spans="1:8" x14ac:dyDescent="0.25">
      <c r="A33360" s="1"/>
      <c r="B33360" s="1" t="s">
        <v>8418</v>
      </c>
      <c r="C33360" s="1" t="s">
        <v>8419</v>
      </c>
      <c r="D33360" s="1" t="str">
        <f>HYPERLINK("https://rhld.insurance.arkansas.gov/NPILookup?Npi=1245642677","1245642677")</f>
        <v>1245642677</v>
      </c>
      <c r="E33360" s="1" t="s">
        <v>30402</v>
      </c>
      <c r="F33360" s="2"/>
      <c r="G33360" s="2"/>
      <c r="H33360" s="2"/>
    </row>
    <row r="33361" spans="1:8" x14ac:dyDescent="0.25">
      <c r="A33361" s="1"/>
      <c r="B33361" s="1" t="s">
        <v>8418</v>
      </c>
      <c r="C33361" s="1" t="s">
        <v>8419</v>
      </c>
      <c r="D33361" s="1" t="str">
        <f>HYPERLINK("https://rhld.insurance.arkansas.gov/NPILookup?Npi=1245686112","1245686112")</f>
        <v>1245686112</v>
      </c>
      <c r="E33361" s="1" t="s">
        <v>14103</v>
      </c>
      <c r="F33361" s="2"/>
      <c r="G33361" s="2"/>
      <c r="H33361" s="2"/>
    </row>
    <row r="33362" spans="1:8" x14ac:dyDescent="0.25">
      <c r="A33362" s="1"/>
      <c r="B33362" s="1" t="s">
        <v>8418</v>
      </c>
      <c r="C33362" s="1" t="s">
        <v>8419</v>
      </c>
      <c r="D33362" s="1" t="str">
        <f>HYPERLINK("https://rhld.insurance.arkansas.gov/NPILookup?Npi=1245718071","1245718071")</f>
        <v>1245718071</v>
      </c>
      <c r="E33362" s="1" t="s">
        <v>30403</v>
      </c>
      <c r="F33362" s="2"/>
      <c r="G33362" s="2"/>
      <c r="H33362" s="2"/>
    </row>
    <row r="33363" spans="1:8" x14ac:dyDescent="0.25">
      <c r="A33363" s="1"/>
      <c r="B33363" s="1" t="s">
        <v>8418</v>
      </c>
      <c r="C33363" s="1" t="s">
        <v>8419</v>
      </c>
      <c r="D33363" s="1" t="str">
        <f>HYPERLINK("https://rhld.insurance.arkansas.gov/NPILookup?Npi=1245754514","1245754514")</f>
        <v>1245754514</v>
      </c>
      <c r="E33363" s="1" t="s">
        <v>30404</v>
      </c>
      <c r="F33363" s="2"/>
      <c r="G33363" s="2"/>
      <c r="H33363" s="2"/>
    </row>
    <row r="33364" spans="1:8" x14ac:dyDescent="0.25">
      <c r="A33364" s="1"/>
      <c r="B33364" s="1" t="s">
        <v>8418</v>
      </c>
      <c r="C33364" s="1" t="s">
        <v>8419</v>
      </c>
      <c r="D33364" s="1" t="str">
        <f>HYPERLINK("https://rhld.insurance.arkansas.gov/NPILookup?Npi=1245778679","1245778679")</f>
        <v>1245778679</v>
      </c>
      <c r="E33364" s="1" t="s">
        <v>30405</v>
      </c>
      <c r="F33364" s="2"/>
      <c r="G33364" s="2"/>
      <c r="H33364" s="2"/>
    </row>
    <row r="33365" spans="1:8" x14ac:dyDescent="0.25">
      <c r="A33365" s="1"/>
      <c r="B33365" s="1" t="s">
        <v>8418</v>
      </c>
      <c r="C33365" s="1" t="s">
        <v>8419</v>
      </c>
      <c r="D33365" s="1" t="str">
        <f>HYPERLINK("https://rhld.insurance.arkansas.gov/NPILookup?Npi=1245876572","1245876572")</f>
        <v>1245876572</v>
      </c>
      <c r="E33365" s="1" t="s">
        <v>30406</v>
      </c>
      <c r="F33365" s="2"/>
      <c r="G33365" s="2"/>
      <c r="H33365" s="2"/>
    </row>
    <row r="33366" spans="1:8" x14ac:dyDescent="0.25">
      <c r="A33366" s="1"/>
      <c r="B33366" s="1" t="s">
        <v>8418</v>
      </c>
      <c r="C33366" s="1" t="s">
        <v>8419</v>
      </c>
      <c r="D33366" s="1" t="str">
        <f>HYPERLINK("https://rhld.insurance.arkansas.gov/NPILookup?Npi=1245914787","1245914787")</f>
        <v>1245914787</v>
      </c>
      <c r="E33366" s="1" t="s">
        <v>30407</v>
      </c>
      <c r="F33366" s="2"/>
      <c r="G33366" s="2"/>
      <c r="H33366" s="2"/>
    </row>
    <row r="33367" spans="1:8" x14ac:dyDescent="0.25">
      <c r="A33367" s="1"/>
      <c r="B33367" s="1" t="s">
        <v>8418</v>
      </c>
      <c r="C33367" s="1" t="s">
        <v>8419</v>
      </c>
      <c r="D33367" s="1" t="str">
        <f>HYPERLINK("https://rhld.insurance.arkansas.gov/NPILookup?Npi=1245952647","1245952647")</f>
        <v>1245952647</v>
      </c>
      <c r="E33367" s="1" t="s">
        <v>30408</v>
      </c>
      <c r="F33367" s="2"/>
      <c r="G33367" s="2"/>
      <c r="H33367" s="2"/>
    </row>
    <row r="33368" spans="1:8" x14ac:dyDescent="0.25">
      <c r="A33368" s="1"/>
      <c r="B33368" s="1" t="s">
        <v>8418</v>
      </c>
      <c r="C33368" s="1" t="s">
        <v>8419</v>
      </c>
      <c r="D33368" s="1" t="str">
        <f>HYPERLINK("https://rhld.insurance.arkansas.gov/NPILookup?Npi=1255016457","1255016457")</f>
        <v>1255016457</v>
      </c>
      <c r="E33368" s="1" t="s">
        <v>30409</v>
      </c>
      <c r="F33368" s="2"/>
      <c r="G33368" s="2"/>
      <c r="H33368" s="2"/>
    </row>
    <row r="33369" spans="1:8" x14ac:dyDescent="0.25">
      <c r="A33369" s="1"/>
      <c r="B33369" s="1" t="s">
        <v>8418</v>
      </c>
      <c r="C33369" s="1" t="s">
        <v>8419</v>
      </c>
      <c r="D33369" s="1" t="str">
        <f>HYPERLINK("https://rhld.insurance.arkansas.gov/NPILookup?Npi=1255173720","1255173720")</f>
        <v>1255173720</v>
      </c>
      <c r="E33369" s="1" t="s">
        <v>19950</v>
      </c>
      <c r="F33369" s="2"/>
      <c r="G33369" s="2"/>
      <c r="H33369" s="2"/>
    </row>
    <row r="33370" spans="1:8" x14ac:dyDescent="0.25">
      <c r="A33370" s="1"/>
      <c r="B33370" s="1" t="s">
        <v>8418</v>
      </c>
      <c r="C33370" s="1" t="s">
        <v>8419</v>
      </c>
      <c r="D33370" s="1" t="str">
        <f>HYPERLINK("https://rhld.insurance.arkansas.gov/NPILookup?Npi=1255422218","1255422218")</f>
        <v>1255422218</v>
      </c>
      <c r="E33370" s="1" t="s">
        <v>14104</v>
      </c>
      <c r="F33370" s="2"/>
      <c r="G33370" s="2"/>
      <c r="H33370" s="2"/>
    </row>
    <row r="33371" spans="1:8" x14ac:dyDescent="0.25">
      <c r="A33371" s="1"/>
      <c r="B33371" s="1" t="s">
        <v>8418</v>
      </c>
      <c r="C33371" s="1" t="s">
        <v>8419</v>
      </c>
      <c r="D33371" s="1" t="str">
        <f>HYPERLINK("https://rhld.insurance.arkansas.gov/NPILookup?Npi=1255459012","1255459012")</f>
        <v>1255459012</v>
      </c>
      <c r="E33371" s="1" t="s">
        <v>8536</v>
      </c>
      <c r="F33371" s="2"/>
      <c r="G33371" s="2"/>
      <c r="H33371" s="2"/>
    </row>
    <row r="33372" spans="1:8" x14ac:dyDescent="0.25">
      <c r="A33372" s="1"/>
      <c r="B33372" s="1" t="s">
        <v>8418</v>
      </c>
      <c r="C33372" s="1" t="s">
        <v>8419</v>
      </c>
      <c r="D33372" s="1" t="str">
        <f>HYPERLINK("https://rhld.insurance.arkansas.gov/NPILookup?Npi=1255468732","1255468732")</f>
        <v>1255468732</v>
      </c>
      <c r="E33372" s="1" t="s">
        <v>14105</v>
      </c>
      <c r="F33372" s="2"/>
      <c r="G33372" s="2"/>
      <c r="H33372" s="2"/>
    </row>
    <row r="33373" spans="1:8" x14ac:dyDescent="0.25">
      <c r="A33373" s="1"/>
      <c r="B33373" s="1" t="s">
        <v>8418</v>
      </c>
      <c r="C33373" s="1" t="s">
        <v>8419</v>
      </c>
      <c r="D33373" s="1" t="str">
        <f>HYPERLINK("https://rhld.insurance.arkansas.gov/NPILookup?Npi=1255515581","1255515581")</f>
        <v>1255515581</v>
      </c>
      <c r="E33373" s="1" t="s">
        <v>30410</v>
      </c>
      <c r="F33373" s="2"/>
      <c r="G33373" s="2"/>
      <c r="H33373" s="2"/>
    </row>
    <row r="33374" spans="1:8" x14ac:dyDescent="0.25">
      <c r="A33374" s="1"/>
      <c r="B33374" s="1" t="s">
        <v>8418</v>
      </c>
      <c r="C33374" s="1" t="s">
        <v>8419</v>
      </c>
      <c r="D33374" s="1" t="str">
        <f>HYPERLINK("https://rhld.insurance.arkansas.gov/NPILookup?Npi=1255635223","1255635223")</f>
        <v>1255635223</v>
      </c>
      <c r="E33374" s="1" t="s">
        <v>30411</v>
      </c>
      <c r="F33374" s="2"/>
      <c r="G33374" s="2"/>
      <c r="H33374" s="2"/>
    </row>
    <row r="33375" spans="1:8" x14ac:dyDescent="0.25">
      <c r="A33375" s="1"/>
      <c r="B33375" s="1" t="s">
        <v>8418</v>
      </c>
      <c r="C33375" s="1" t="s">
        <v>8419</v>
      </c>
      <c r="D33375" s="1" t="str">
        <f>HYPERLINK("https://rhld.insurance.arkansas.gov/NPILookup?Npi=1255647210","1255647210")</f>
        <v>1255647210</v>
      </c>
      <c r="E33375" s="1" t="s">
        <v>30412</v>
      </c>
      <c r="F33375" s="2"/>
      <c r="G33375" s="2"/>
      <c r="H33375" s="2"/>
    </row>
    <row r="33376" spans="1:8" x14ac:dyDescent="0.25">
      <c r="A33376" s="1"/>
      <c r="B33376" s="1" t="s">
        <v>8418</v>
      </c>
      <c r="C33376" s="1" t="s">
        <v>8419</v>
      </c>
      <c r="D33376" s="1" t="str">
        <f>HYPERLINK("https://rhld.insurance.arkansas.gov/NPILookup?Npi=1255652103","1255652103")</f>
        <v>1255652103</v>
      </c>
      <c r="E33376" s="1" t="s">
        <v>14106</v>
      </c>
      <c r="F33376" s="2"/>
      <c r="G33376" s="2"/>
      <c r="H33376" s="2"/>
    </row>
    <row r="33377" spans="1:8" x14ac:dyDescent="0.25">
      <c r="A33377" s="1"/>
      <c r="B33377" s="1" t="s">
        <v>8418</v>
      </c>
      <c r="C33377" s="1" t="s">
        <v>8419</v>
      </c>
      <c r="D33377" s="1" t="str">
        <f>HYPERLINK("https://rhld.insurance.arkansas.gov/NPILookup?Npi=1255659793","1255659793")</f>
        <v>1255659793</v>
      </c>
      <c r="E33377" s="1" t="s">
        <v>8537</v>
      </c>
      <c r="F33377" s="2"/>
      <c r="G33377" s="2"/>
      <c r="H33377" s="2"/>
    </row>
    <row r="33378" spans="1:8" x14ac:dyDescent="0.25">
      <c r="A33378" s="1"/>
      <c r="B33378" s="1" t="s">
        <v>8418</v>
      </c>
      <c r="C33378" s="1" t="s">
        <v>8419</v>
      </c>
      <c r="D33378" s="1" t="str">
        <f>HYPERLINK("https://rhld.insurance.arkansas.gov/NPILookup?Npi=1255665568","1255665568")</f>
        <v>1255665568</v>
      </c>
      <c r="E33378" s="1" t="s">
        <v>30413</v>
      </c>
      <c r="F33378" s="2"/>
      <c r="G33378" s="2"/>
      <c r="H33378" s="2"/>
    </row>
    <row r="33379" spans="1:8" x14ac:dyDescent="0.25">
      <c r="A33379" s="1"/>
      <c r="B33379" s="1" t="s">
        <v>8418</v>
      </c>
      <c r="C33379" s="1" t="s">
        <v>8419</v>
      </c>
      <c r="D33379" s="1" t="str">
        <f>HYPERLINK("https://rhld.insurance.arkansas.gov/NPILookup?Npi=1255686739","1255686739")</f>
        <v>1255686739</v>
      </c>
      <c r="E33379" s="1" t="s">
        <v>30414</v>
      </c>
      <c r="F33379" s="2"/>
      <c r="G33379" s="2"/>
      <c r="H33379" s="2"/>
    </row>
    <row r="33380" spans="1:8" x14ac:dyDescent="0.25">
      <c r="A33380" s="1"/>
      <c r="B33380" s="1" t="s">
        <v>8418</v>
      </c>
      <c r="C33380" s="1" t="s">
        <v>8419</v>
      </c>
      <c r="D33380" s="1" t="str">
        <f>HYPERLINK("https://rhld.insurance.arkansas.gov/NPILookup?Npi=1255731857","1255731857")</f>
        <v>1255731857</v>
      </c>
      <c r="E33380" s="1" t="s">
        <v>30415</v>
      </c>
      <c r="F33380" s="2"/>
      <c r="G33380" s="2"/>
      <c r="H33380" s="2"/>
    </row>
    <row r="33381" spans="1:8" x14ac:dyDescent="0.25">
      <c r="A33381" s="1"/>
      <c r="B33381" s="1" t="s">
        <v>8418</v>
      </c>
      <c r="C33381" s="1" t="s">
        <v>8419</v>
      </c>
      <c r="D33381" s="1" t="str">
        <f>HYPERLINK("https://rhld.insurance.arkansas.gov/NPILookup?Npi=1255846432","1255846432")</f>
        <v>1255846432</v>
      </c>
      <c r="E33381" s="1" t="s">
        <v>30416</v>
      </c>
      <c r="F33381" s="2"/>
      <c r="G33381" s="2"/>
      <c r="H33381" s="2"/>
    </row>
    <row r="33382" spans="1:8" x14ac:dyDescent="0.25">
      <c r="A33382" s="1"/>
      <c r="B33382" s="1" t="s">
        <v>8418</v>
      </c>
      <c r="C33382" s="1" t="s">
        <v>8419</v>
      </c>
      <c r="D33382" s="1" t="str">
        <f>HYPERLINK("https://rhld.insurance.arkansas.gov/NPILookup?Npi=1255875498","1255875498")</f>
        <v>1255875498</v>
      </c>
      <c r="E33382" s="1" t="s">
        <v>30417</v>
      </c>
      <c r="F33382" s="2"/>
      <c r="G33382" s="2"/>
      <c r="H33382" s="2"/>
    </row>
    <row r="33383" spans="1:8" x14ac:dyDescent="0.25">
      <c r="A33383" s="1"/>
      <c r="B33383" s="1" t="s">
        <v>8418</v>
      </c>
      <c r="C33383" s="1" t="s">
        <v>8419</v>
      </c>
      <c r="D33383" s="1" t="str">
        <f>HYPERLINK("https://rhld.insurance.arkansas.gov/NPILookup?Npi=1255880043","1255880043")</f>
        <v>1255880043</v>
      </c>
      <c r="E33383" s="1" t="s">
        <v>14107</v>
      </c>
      <c r="F33383" s="2"/>
      <c r="G33383" s="2"/>
      <c r="H33383" s="2"/>
    </row>
    <row r="33384" spans="1:8" x14ac:dyDescent="0.25">
      <c r="A33384" s="1"/>
      <c r="B33384" s="1" t="s">
        <v>8418</v>
      </c>
      <c r="C33384" s="1" t="s">
        <v>8419</v>
      </c>
      <c r="D33384" s="1" t="str">
        <f>HYPERLINK("https://rhld.insurance.arkansas.gov/NPILookup?Npi=1255909552","1255909552")</f>
        <v>1255909552</v>
      </c>
      <c r="E33384" s="1" t="s">
        <v>8538</v>
      </c>
      <c r="F33384" s="2"/>
      <c r="G33384" s="2"/>
      <c r="H33384" s="2"/>
    </row>
    <row r="33385" spans="1:8" x14ac:dyDescent="0.25">
      <c r="A33385" s="1"/>
      <c r="B33385" s="1" t="s">
        <v>8418</v>
      </c>
      <c r="C33385" s="1" t="s">
        <v>8419</v>
      </c>
      <c r="D33385" s="1" t="str">
        <f>HYPERLINK("https://rhld.insurance.arkansas.gov/NPILookup?Npi=1255957627","1255957627")</f>
        <v>1255957627</v>
      </c>
      <c r="E33385" s="1" t="s">
        <v>8539</v>
      </c>
      <c r="F33385" s="2"/>
      <c r="G33385" s="2"/>
      <c r="H33385" s="2"/>
    </row>
    <row r="33386" spans="1:8" x14ac:dyDescent="0.25">
      <c r="A33386" s="1"/>
      <c r="B33386" s="1" t="s">
        <v>8418</v>
      </c>
      <c r="C33386" s="1" t="s">
        <v>8419</v>
      </c>
      <c r="D33386" s="1" t="str">
        <f>HYPERLINK("https://rhld.insurance.arkansas.gov/NPILookup?Npi=1265006001","1265006001")</f>
        <v>1265006001</v>
      </c>
      <c r="E33386" s="1" t="s">
        <v>30418</v>
      </c>
      <c r="F33386" s="2"/>
      <c r="G33386" s="2"/>
      <c r="H33386" s="2"/>
    </row>
    <row r="33387" spans="1:8" x14ac:dyDescent="0.25">
      <c r="A33387" s="1"/>
      <c r="B33387" s="1" t="s">
        <v>8418</v>
      </c>
      <c r="C33387" s="1" t="s">
        <v>8419</v>
      </c>
      <c r="D33387" s="1" t="str">
        <f>HYPERLINK("https://rhld.insurance.arkansas.gov/NPILookup?Npi=1265016372","1265016372")</f>
        <v>1265016372</v>
      </c>
      <c r="E33387" s="1" t="s">
        <v>30419</v>
      </c>
      <c r="F33387" s="2"/>
      <c r="G33387" s="2"/>
      <c r="H33387" s="2"/>
    </row>
    <row r="33388" spans="1:8" x14ac:dyDescent="0.25">
      <c r="A33388" s="1"/>
      <c r="B33388" s="1" t="s">
        <v>8418</v>
      </c>
      <c r="C33388" s="1" t="s">
        <v>8419</v>
      </c>
      <c r="D33388" s="1" t="str">
        <f>HYPERLINK("https://rhld.insurance.arkansas.gov/NPILookup?Npi=1265217491","1265217491")</f>
        <v>1265217491</v>
      </c>
      <c r="E33388" s="1" t="s">
        <v>8540</v>
      </c>
      <c r="F33388" s="2"/>
      <c r="G33388" s="2"/>
      <c r="H33388" s="2"/>
    </row>
    <row r="33389" spans="1:8" x14ac:dyDescent="0.25">
      <c r="A33389" s="1"/>
      <c r="B33389" s="1" t="s">
        <v>8418</v>
      </c>
      <c r="C33389" s="1" t="s">
        <v>8419</v>
      </c>
      <c r="D33389" s="1" t="str">
        <f>HYPERLINK("https://rhld.insurance.arkansas.gov/NPILookup?Npi=1265602684","1265602684")</f>
        <v>1265602684</v>
      </c>
      <c r="E33389" s="1" t="s">
        <v>30420</v>
      </c>
      <c r="F33389" s="2"/>
      <c r="G33389" s="2"/>
      <c r="H33389" s="2"/>
    </row>
    <row r="33390" spans="1:8" x14ac:dyDescent="0.25">
      <c r="A33390" s="1"/>
      <c r="B33390" s="1" t="s">
        <v>8418</v>
      </c>
      <c r="C33390" s="1" t="s">
        <v>8419</v>
      </c>
      <c r="D33390" s="1" t="str">
        <f>HYPERLINK("https://rhld.insurance.arkansas.gov/NPILookup?Npi=1265606271","1265606271")</f>
        <v>1265606271</v>
      </c>
      <c r="E33390" s="1" t="s">
        <v>14108</v>
      </c>
      <c r="F33390" s="2"/>
      <c r="G33390" s="2"/>
      <c r="H33390" s="2"/>
    </row>
    <row r="33391" spans="1:8" x14ac:dyDescent="0.25">
      <c r="A33391" s="1"/>
      <c r="B33391" s="1" t="s">
        <v>8418</v>
      </c>
      <c r="C33391" s="1" t="s">
        <v>8419</v>
      </c>
      <c r="D33391" s="1" t="str">
        <f>HYPERLINK("https://rhld.insurance.arkansas.gov/NPILookup?Npi=1265617492","1265617492")</f>
        <v>1265617492</v>
      </c>
      <c r="E33391" s="1" t="s">
        <v>30421</v>
      </c>
      <c r="F33391" s="2"/>
      <c r="G33391" s="2"/>
      <c r="H33391" s="2"/>
    </row>
    <row r="33392" spans="1:8" x14ac:dyDescent="0.25">
      <c r="A33392" s="1"/>
      <c r="B33392" s="1" t="s">
        <v>8418</v>
      </c>
      <c r="C33392" s="1" t="s">
        <v>8419</v>
      </c>
      <c r="D33392" s="1" t="str">
        <f>HYPERLINK("https://rhld.insurance.arkansas.gov/NPILookup?Npi=1265647911","1265647911")</f>
        <v>1265647911</v>
      </c>
      <c r="E33392" s="1" t="s">
        <v>14109</v>
      </c>
      <c r="F33392" s="2"/>
      <c r="G33392" s="2"/>
      <c r="H33392" s="2"/>
    </row>
    <row r="33393" spans="1:8" x14ac:dyDescent="0.25">
      <c r="A33393" s="1"/>
      <c r="B33393" s="1" t="s">
        <v>8418</v>
      </c>
      <c r="C33393" s="1" t="s">
        <v>8419</v>
      </c>
      <c r="D33393" s="1" t="str">
        <f>HYPERLINK("https://rhld.insurance.arkansas.gov/NPILookup?Npi=1265690887","1265690887")</f>
        <v>1265690887</v>
      </c>
      <c r="E33393" s="1" t="s">
        <v>8541</v>
      </c>
      <c r="F33393" s="2"/>
      <c r="G33393" s="2"/>
      <c r="H33393" s="2"/>
    </row>
    <row r="33394" spans="1:8" x14ac:dyDescent="0.25">
      <c r="A33394" s="1"/>
      <c r="B33394" s="1" t="s">
        <v>8418</v>
      </c>
      <c r="C33394" s="1" t="s">
        <v>8419</v>
      </c>
      <c r="D33394" s="1" t="str">
        <f>HYPERLINK("https://rhld.insurance.arkansas.gov/NPILookup?Npi=1265747638","1265747638")</f>
        <v>1265747638</v>
      </c>
      <c r="E33394" s="1" t="s">
        <v>30422</v>
      </c>
      <c r="F33394" s="2"/>
      <c r="G33394" s="2"/>
      <c r="H33394" s="2"/>
    </row>
    <row r="33395" spans="1:8" x14ac:dyDescent="0.25">
      <c r="A33395" s="1"/>
      <c r="B33395" s="1" t="s">
        <v>8418</v>
      </c>
      <c r="C33395" s="1" t="s">
        <v>8419</v>
      </c>
      <c r="D33395" s="1" t="str">
        <f>HYPERLINK("https://rhld.insurance.arkansas.gov/NPILookup?Npi=1265781975","1265781975")</f>
        <v>1265781975</v>
      </c>
      <c r="E33395" s="1" t="s">
        <v>8542</v>
      </c>
      <c r="F33395" s="2"/>
      <c r="G33395" s="2"/>
      <c r="H33395" s="2"/>
    </row>
    <row r="33396" spans="1:8" x14ac:dyDescent="0.25">
      <c r="A33396" s="1"/>
      <c r="B33396" s="1" t="s">
        <v>8418</v>
      </c>
      <c r="C33396" s="1" t="s">
        <v>8419</v>
      </c>
      <c r="D33396" s="1" t="str">
        <f>HYPERLINK("https://rhld.insurance.arkansas.gov/NPILookup?Npi=1265821631","1265821631")</f>
        <v>1265821631</v>
      </c>
      <c r="E33396" s="1" t="s">
        <v>14110</v>
      </c>
      <c r="F33396" s="2"/>
      <c r="G33396" s="2"/>
      <c r="H33396" s="2"/>
    </row>
    <row r="33397" spans="1:8" x14ac:dyDescent="0.25">
      <c r="A33397" s="1"/>
      <c r="B33397" s="1" t="s">
        <v>8418</v>
      </c>
      <c r="C33397" s="1" t="s">
        <v>8419</v>
      </c>
      <c r="D33397" s="1" t="str">
        <f>HYPERLINK("https://rhld.insurance.arkansas.gov/NPILookup?Npi=1265878649","1265878649")</f>
        <v>1265878649</v>
      </c>
      <c r="E33397" s="1" t="s">
        <v>173</v>
      </c>
      <c r="F33397" s="2"/>
      <c r="G33397" s="2"/>
      <c r="H33397" s="2"/>
    </row>
    <row r="33398" spans="1:8" x14ac:dyDescent="0.25">
      <c r="A33398" s="1"/>
      <c r="B33398" s="1" t="s">
        <v>8418</v>
      </c>
      <c r="C33398" s="1" t="s">
        <v>8419</v>
      </c>
      <c r="D33398" s="1" t="str">
        <f>HYPERLINK("https://rhld.insurance.arkansas.gov/NPILookup?Npi=1265886865","1265886865")</f>
        <v>1265886865</v>
      </c>
      <c r="E33398" s="1" t="s">
        <v>30423</v>
      </c>
      <c r="F33398" s="2"/>
      <c r="G33398" s="2"/>
      <c r="H33398" s="2"/>
    </row>
    <row r="33399" spans="1:8" x14ac:dyDescent="0.25">
      <c r="A33399" s="1"/>
      <c r="B33399" s="1" t="s">
        <v>8418</v>
      </c>
      <c r="C33399" s="1" t="s">
        <v>8419</v>
      </c>
      <c r="D33399" s="1" t="str">
        <f>HYPERLINK("https://rhld.insurance.arkansas.gov/NPILookup?Npi=1265887285","1265887285")</f>
        <v>1265887285</v>
      </c>
      <c r="E33399" s="1" t="s">
        <v>30424</v>
      </c>
      <c r="F33399" s="2"/>
      <c r="G33399" s="2"/>
      <c r="H33399" s="2"/>
    </row>
    <row r="33400" spans="1:8" x14ac:dyDescent="0.25">
      <c r="A33400" s="1"/>
      <c r="B33400" s="1" t="s">
        <v>8418</v>
      </c>
      <c r="C33400" s="1" t="s">
        <v>8419</v>
      </c>
      <c r="D33400" s="1" t="str">
        <f>HYPERLINK("https://rhld.insurance.arkansas.gov/NPILookup?Npi=1265905715","1265905715")</f>
        <v>1265905715</v>
      </c>
      <c r="E33400" s="1" t="s">
        <v>8543</v>
      </c>
      <c r="F33400" s="2"/>
      <c r="G33400" s="2"/>
      <c r="H33400" s="2"/>
    </row>
    <row r="33401" spans="1:8" x14ac:dyDescent="0.25">
      <c r="A33401" s="1"/>
      <c r="B33401" s="1" t="s">
        <v>8418</v>
      </c>
      <c r="C33401" s="1" t="s">
        <v>8419</v>
      </c>
      <c r="D33401" s="1" t="str">
        <f>HYPERLINK("https://rhld.insurance.arkansas.gov/NPILookup?Npi=1265968598","1265968598")</f>
        <v>1265968598</v>
      </c>
      <c r="E33401" s="1" t="s">
        <v>30425</v>
      </c>
      <c r="F33401" s="2"/>
      <c r="G33401" s="2"/>
      <c r="H33401" s="2"/>
    </row>
    <row r="33402" spans="1:8" x14ac:dyDescent="0.25">
      <c r="A33402" s="1"/>
      <c r="B33402" s="1" t="s">
        <v>8418</v>
      </c>
      <c r="C33402" s="1" t="s">
        <v>8419</v>
      </c>
      <c r="D33402" s="1" t="str">
        <f>HYPERLINK("https://rhld.insurance.arkansas.gov/NPILookup?Npi=1275024804","1275024804")</f>
        <v>1275024804</v>
      </c>
      <c r="E33402" s="1" t="s">
        <v>14111</v>
      </c>
      <c r="F33402" s="2"/>
      <c r="G33402" s="2"/>
      <c r="H33402" s="2"/>
    </row>
    <row r="33403" spans="1:8" x14ac:dyDescent="0.25">
      <c r="A33403" s="1"/>
      <c r="B33403" s="1" t="s">
        <v>8418</v>
      </c>
      <c r="C33403" s="1" t="s">
        <v>8419</v>
      </c>
      <c r="D33403" s="1" t="str">
        <f>HYPERLINK("https://rhld.insurance.arkansas.gov/NPILookup?Npi=1275081150","1275081150")</f>
        <v>1275081150</v>
      </c>
      <c r="E33403" s="1" t="s">
        <v>30426</v>
      </c>
      <c r="F33403" s="2"/>
      <c r="G33403" s="2"/>
      <c r="H33403" s="2"/>
    </row>
    <row r="33404" spans="1:8" x14ac:dyDescent="0.25">
      <c r="A33404" s="1"/>
      <c r="B33404" s="1" t="s">
        <v>8418</v>
      </c>
      <c r="C33404" s="1" t="s">
        <v>8419</v>
      </c>
      <c r="D33404" s="1" t="str">
        <f>HYPERLINK("https://rhld.insurance.arkansas.gov/NPILookup?Npi=1275105835","1275105835")</f>
        <v>1275105835</v>
      </c>
      <c r="E33404" s="1" t="s">
        <v>30427</v>
      </c>
      <c r="F33404" s="2"/>
      <c r="G33404" s="2"/>
      <c r="H33404" s="2"/>
    </row>
    <row r="33405" spans="1:8" x14ac:dyDescent="0.25">
      <c r="A33405" s="1"/>
      <c r="B33405" s="1" t="s">
        <v>8418</v>
      </c>
      <c r="C33405" s="1" t="s">
        <v>8419</v>
      </c>
      <c r="D33405" s="1" t="str">
        <f>HYPERLINK("https://rhld.insurance.arkansas.gov/NPILookup?Npi=1275191769","1275191769")</f>
        <v>1275191769</v>
      </c>
      <c r="E33405" s="1" t="s">
        <v>14112</v>
      </c>
      <c r="F33405" s="2"/>
      <c r="G33405" s="2"/>
      <c r="H33405" s="2"/>
    </row>
    <row r="33406" spans="1:8" x14ac:dyDescent="0.25">
      <c r="A33406" s="1"/>
      <c r="B33406" s="1" t="s">
        <v>8418</v>
      </c>
      <c r="C33406" s="1" t="s">
        <v>8419</v>
      </c>
      <c r="D33406" s="1" t="str">
        <f>HYPERLINK("https://rhld.insurance.arkansas.gov/NPILookup?Npi=1275225062","1275225062")</f>
        <v>1275225062</v>
      </c>
      <c r="E33406" s="1" t="s">
        <v>30428</v>
      </c>
      <c r="F33406" s="2"/>
      <c r="G33406" s="2"/>
      <c r="H33406" s="2"/>
    </row>
    <row r="33407" spans="1:8" x14ac:dyDescent="0.25">
      <c r="A33407" s="1"/>
      <c r="B33407" s="1" t="s">
        <v>8418</v>
      </c>
      <c r="C33407" s="1" t="s">
        <v>8419</v>
      </c>
      <c r="D33407" s="1" t="str">
        <f>HYPERLINK("https://rhld.insurance.arkansas.gov/NPILookup?Npi=1275225294","1275225294")</f>
        <v>1275225294</v>
      </c>
      <c r="E33407" s="1" t="s">
        <v>30429</v>
      </c>
      <c r="F33407" s="2"/>
      <c r="G33407" s="2"/>
      <c r="H33407" s="2"/>
    </row>
    <row r="33408" spans="1:8" x14ac:dyDescent="0.25">
      <c r="A33408" s="1"/>
      <c r="B33408" s="1" t="s">
        <v>8418</v>
      </c>
      <c r="C33408" s="1" t="s">
        <v>8419</v>
      </c>
      <c r="D33408" s="1" t="str">
        <f>HYPERLINK("https://rhld.insurance.arkansas.gov/NPILookup?Npi=1275373367","1275373367")</f>
        <v>1275373367</v>
      </c>
      <c r="E33408" s="1" t="s">
        <v>30430</v>
      </c>
      <c r="F33408" s="2"/>
      <c r="G33408" s="2"/>
      <c r="H33408" s="2"/>
    </row>
    <row r="33409" spans="1:8" x14ac:dyDescent="0.25">
      <c r="A33409" s="1"/>
      <c r="B33409" s="1" t="s">
        <v>8418</v>
      </c>
      <c r="C33409" s="1" t="s">
        <v>8419</v>
      </c>
      <c r="D33409" s="1" t="str">
        <f>HYPERLINK("https://rhld.insurance.arkansas.gov/NPILookup?Npi=1275545436","1275545436")</f>
        <v>1275545436</v>
      </c>
      <c r="E33409" s="1" t="s">
        <v>5878</v>
      </c>
      <c r="F33409" s="2"/>
      <c r="G33409" s="2"/>
      <c r="H33409" s="2"/>
    </row>
    <row r="33410" spans="1:8" x14ac:dyDescent="0.25">
      <c r="A33410" s="1"/>
      <c r="B33410" s="1" t="s">
        <v>8418</v>
      </c>
      <c r="C33410" s="1" t="s">
        <v>8419</v>
      </c>
      <c r="D33410" s="1" t="str">
        <f>HYPERLINK("https://rhld.insurance.arkansas.gov/NPILookup?Npi=1275671976","1275671976")</f>
        <v>1275671976</v>
      </c>
      <c r="E33410" s="1" t="s">
        <v>30431</v>
      </c>
      <c r="F33410" s="2"/>
      <c r="G33410" s="2"/>
      <c r="H33410" s="2"/>
    </row>
    <row r="33411" spans="1:8" x14ac:dyDescent="0.25">
      <c r="A33411" s="1"/>
      <c r="B33411" s="1" t="s">
        <v>8418</v>
      </c>
      <c r="C33411" s="1" t="s">
        <v>8419</v>
      </c>
      <c r="D33411" s="1" t="str">
        <f>HYPERLINK("https://rhld.insurance.arkansas.gov/NPILookup?Npi=1275772881","1275772881")</f>
        <v>1275772881</v>
      </c>
      <c r="E33411" s="1" t="s">
        <v>30432</v>
      </c>
      <c r="F33411" s="2"/>
      <c r="G33411" s="2"/>
      <c r="H33411" s="2"/>
    </row>
    <row r="33412" spans="1:8" x14ac:dyDescent="0.25">
      <c r="A33412" s="1"/>
      <c r="B33412" s="1" t="s">
        <v>8418</v>
      </c>
      <c r="C33412" s="1" t="s">
        <v>8419</v>
      </c>
      <c r="D33412" s="1" t="str">
        <f>HYPERLINK("https://rhld.insurance.arkansas.gov/NPILookup?Npi=1275788382","1275788382")</f>
        <v>1275788382</v>
      </c>
      <c r="E33412" s="1" t="s">
        <v>8544</v>
      </c>
      <c r="F33412" s="2"/>
      <c r="G33412" s="2"/>
      <c r="H33412" s="2"/>
    </row>
    <row r="33413" spans="1:8" x14ac:dyDescent="0.25">
      <c r="A33413" s="1"/>
      <c r="B33413" s="1" t="s">
        <v>8418</v>
      </c>
      <c r="C33413" s="1" t="s">
        <v>8419</v>
      </c>
      <c r="D33413" s="1" t="str">
        <f>HYPERLINK("https://rhld.insurance.arkansas.gov/NPILookup?Npi=1275823494","1275823494")</f>
        <v>1275823494</v>
      </c>
      <c r="E33413" s="1" t="s">
        <v>30433</v>
      </c>
      <c r="F33413" s="2"/>
      <c r="G33413" s="2"/>
      <c r="H33413" s="2"/>
    </row>
    <row r="33414" spans="1:8" x14ac:dyDescent="0.25">
      <c r="A33414" s="1"/>
      <c r="B33414" s="1" t="s">
        <v>8418</v>
      </c>
      <c r="C33414" s="1" t="s">
        <v>8419</v>
      </c>
      <c r="D33414" s="1" t="str">
        <f>HYPERLINK("https://rhld.insurance.arkansas.gov/NPILookup?Npi=1275823981","1275823981")</f>
        <v>1275823981</v>
      </c>
      <c r="E33414" s="1" t="s">
        <v>8545</v>
      </c>
      <c r="F33414" s="2"/>
      <c r="G33414" s="2"/>
      <c r="H33414" s="2"/>
    </row>
    <row r="33415" spans="1:8" x14ac:dyDescent="0.25">
      <c r="A33415" s="1"/>
      <c r="B33415" s="1" t="s">
        <v>8418</v>
      </c>
      <c r="C33415" s="1" t="s">
        <v>8419</v>
      </c>
      <c r="D33415" s="1" t="str">
        <f>HYPERLINK("https://rhld.insurance.arkansas.gov/NPILookup?Npi=1275843898","1275843898")</f>
        <v>1275843898</v>
      </c>
      <c r="E33415" s="1" t="s">
        <v>8546</v>
      </c>
      <c r="F33415" s="2"/>
      <c r="G33415" s="2"/>
      <c r="H33415" s="2"/>
    </row>
    <row r="33416" spans="1:8" x14ac:dyDescent="0.25">
      <c r="A33416" s="1"/>
      <c r="B33416" s="1" t="s">
        <v>8418</v>
      </c>
      <c r="C33416" s="1" t="s">
        <v>8419</v>
      </c>
      <c r="D33416" s="1" t="str">
        <f>HYPERLINK("https://rhld.insurance.arkansas.gov/NPILookup?Npi=1275913196","1275913196")</f>
        <v>1275913196</v>
      </c>
      <c r="E33416" s="1" t="s">
        <v>30434</v>
      </c>
      <c r="F33416" s="2"/>
      <c r="G33416" s="2"/>
      <c r="H33416" s="2"/>
    </row>
    <row r="33417" spans="1:8" x14ac:dyDescent="0.25">
      <c r="A33417" s="1"/>
      <c r="B33417" s="1" t="s">
        <v>8418</v>
      </c>
      <c r="C33417" s="1" t="s">
        <v>8419</v>
      </c>
      <c r="D33417" s="1" t="str">
        <f>HYPERLINK("https://rhld.insurance.arkansas.gov/NPILookup?Npi=1275915530","1275915530")</f>
        <v>1275915530</v>
      </c>
      <c r="E33417" s="1" t="s">
        <v>30435</v>
      </c>
      <c r="F33417" s="2"/>
      <c r="G33417" s="2"/>
      <c r="H33417" s="2"/>
    </row>
    <row r="33418" spans="1:8" x14ac:dyDescent="0.25">
      <c r="A33418" s="1"/>
      <c r="B33418" s="1" t="s">
        <v>8418</v>
      </c>
      <c r="C33418" s="1" t="s">
        <v>8419</v>
      </c>
      <c r="D33418" s="1" t="str">
        <f>HYPERLINK("https://rhld.insurance.arkansas.gov/NPILookup?Npi=1275919219","1275919219")</f>
        <v>1275919219</v>
      </c>
      <c r="E33418" s="1" t="s">
        <v>30436</v>
      </c>
      <c r="F33418" s="2"/>
      <c r="G33418" s="2"/>
      <c r="H33418" s="2"/>
    </row>
    <row r="33419" spans="1:8" x14ac:dyDescent="0.25">
      <c r="A33419" s="1"/>
      <c r="B33419" s="1" t="s">
        <v>8418</v>
      </c>
      <c r="C33419" s="1" t="s">
        <v>8419</v>
      </c>
      <c r="D33419" s="1" t="str">
        <f>HYPERLINK("https://rhld.insurance.arkansas.gov/NPILookup?Npi=1275931180","1275931180")</f>
        <v>1275931180</v>
      </c>
      <c r="E33419" s="1" t="s">
        <v>30437</v>
      </c>
      <c r="F33419" s="2"/>
      <c r="G33419" s="2"/>
      <c r="H33419" s="2"/>
    </row>
    <row r="33420" spans="1:8" x14ac:dyDescent="0.25">
      <c r="A33420" s="1"/>
      <c r="B33420" s="1" t="s">
        <v>8418</v>
      </c>
      <c r="C33420" s="1" t="s">
        <v>8419</v>
      </c>
      <c r="D33420" s="1" t="str">
        <f>HYPERLINK("https://rhld.insurance.arkansas.gov/NPILookup?Npi=1275967978","1275967978")</f>
        <v>1275967978</v>
      </c>
      <c r="E33420" s="1" t="s">
        <v>8547</v>
      </c>
      <c r="F33420" s="2"/>
      <c r="G33420" s="2"/>
      <c r="H33420" s="2"/>
    </row>
    <row r="33421" spans="1:8" x14ac:dyDescent="0.25">
      <c r="A33421" s="1"/>
      <c r="B33421" s="1" t="s">
        <v>8418</v>
      </c>
      <c r="C33421" s="1" t="s">
        <v>8419</v>
      </c>
      <c r="D33421" s="1" t="str">
        <f>HYPERLINK("https://rhld.insurance.arkansas.gov/NPILookup?Npi=1275985467","1275985467")</f>
        <v>1275985467</v>
      </c>
      <c r="E33421" s="1" t="s">
        <v>30438</v>
      </c>
      <c r="F33421" s="2"/>
      <c r="G33421" s="2"/>
      <c r="H33421" s="2"/>
    </row>
    <row r="33422" spans="1:8" x14ac:dyDescent="0.25">
      <c r="A33422" s="1"/>
      <c r="B33422" s="1" t="s">
        <v>8418</v>
      </c>
      <c r="C33422" s="1" t="s">
        <v>8419</v>
      </c>
      <c r="D33422" s="1" t="str">
        <f>HYPERLINK("https://rhld.insurance.arkansas.gov/NPILookup?Npi=1285073882","1285073882")</f>
        <v>1285073882</v>
      </c>
      <c r="E33422" s="1" t="s">
        <v>14113</v>
      </c>
      <c r="F33422" s="2"/>
      <c r="G33422" s="2"/>
      <c r="H33422" s="2"/>
    </row>
    <row r="33423" spans="1:8" x14ac:dyDescent="0.25">
      <c r="A33423" s="1"/>
      <c r="B33423" s="1" t="s">
        <v>8418</v>
      </c>
      <c r="C33423" s="1" t="s">
        <v>8419</v>
      </c>
      <c r="D33423" s="1" t="str">
        <f>HYPERLINK("https://rhld.insurance.arkansas.gov/NPILookup?Npi=1285117556","1285117556")</f>
        <v>1285117556</v>
      </c>
      <c r="E33423" s="1" t="s">
        <v>6209</v>
      </c>
      <c r="F33423" s="2"/>
      <c r="G33423" s="2"/>
      <c r="H33423" s="2"/>
    </row>
    <row r="33424" spans="1:8" x14ac:dyDescent="0.25">
      <c r="A33424" s="1"/>
      <c r="B33424" s="1" t="s">
        <v>8418</v>
      </c>
      <c r="C33424" s="1" t="s">
        <v>8419</v>
      </c>
      <c r="D33424" s="1" t="str">
        <f>HYPERLINK("https://rhld.insurance.arkansas.gov/NPILookup?Npi=1285118521","1285118521")</f>
        <v>1285118521</v>
      </c>
      <c r="E33424" s="1" t="s">
        <v>30439</v>
      </c>
      <c r="F33424" s="2"/>
      <c r="G33424" s="2"/>
      <c r="H33424" s="2"/>
    </row>
    <row r="33425" spans="1:8" x14ac:dyDescent="0.25">
      <c r="A33425" s="1"/>
      <c r="B33425" s="1" t="s">
        <v>8418</v>
      </c>
      <c r="C33425" s="1" t="s">
        <v>8419</v>
      </c>
      <c r="D33425" s="1" t="str">
        <f>HYPERLINK("https://rhld.insurance.arkansas.gov/NPILookup?Npi=1285140848","1285140848")</f>
        <v>1285140848</v>
      </c>
      <c r="E33425" s="1" t="s">
        <v>30440</v>
      </c>
      <c r="F33425" s="2"/>
      <c r="G33425" s="2"/>
      <c r="H33425" s="2"/>
    </row>
    <row r="33426" spans="1:8" x14ac:dyDescent="0.25">
      <c r="A33426" s="1"/>
      <c r="B33426" s="1" t="s">
        <v>8418</v>
      </c>
      <c r="C33426" s="1" t="s">
        <v>8419</v>
      </c>
      <c r="D33426" s="1" t="str">
        <f>HYPERLINK("https://rhld.insurance.arkansas.gov/NPILookup?Npi=1285146142","1285146142")</f>
        <v>1285146142</v>
      </c>
      <c r="E33426" s="1" t="s">
        <v>19573</v>
      </c>
      <c r="F33426" s="2"/>
      <c r="G33426" s="2"/>
      <c r="H33426" s="2"/>
    </row>
    <row r="33427" spans="1:8" x14ac:dyDescent="0.25">
      <c r="A33427" s="1"/>
      <c r="B33427" s="1" t="s">
        <v>8418</v>
      </c>
      <c r="C33427" s="1" t="s">
        <v>8419</v>
      </c>
      <c r="D33427" s="1" t="str">
        <f>HYPERLINK("https://rhld.insurance.arkansas.gov/NPILookup?Npi=1285161067","1285161067")</f>
        <v>1285161067</v>
      </c>
      <c r="E33427" s="1" t="s">
        <v>30441</v>
      </c>
      <c r="F33427" s="2"/>
      <c r="G33427" s="2"/>
      <c r="H33427" s="2"/>
    </row>
    <row r="33428" spans="1:8" x14ac:dyDescent="0.25">
      <c r="A33428" s="1"/>
      <c r="B33428" s="1" t="s">
        <v>8418</v>
      </c>
      <c r="C33428" s="1" t="s">
        <v>8419</v>
      </c>
      <c r="D33428" s="1" t="str">
        <f>HYPERLINK("https://rhld.insurance.arkansas.gov/NPILookup?Npi=1285180323","1285180323")</f>
        <v>1285180323</v>
      </c>
      <c r="E33428" s="1" t="s">
        <v>30442</v>
      </c>
      <c r="F33428" s="2"/>
      <c r="G33428" s="2"/>
      <c r="H33428" s="2"/>
    </row>
    <row r="33429" spans="1:8" x14ac:dyDescent="0.25">
      <c r="A33429" s="1"/>
      <c r="B33429" s="1" t="s">
        <v>8418</v>
      </c>
      <c r="C33429" s="1" t="s">
        <v>8419</v>
      </c>
      <c r="D33429" s="1" t="str">
        <f>HYPERLINK("https://rhld.insurance.arkansas.gov/NPILookup?Npi=1285188789","1285188789")</f>
        <v>1285188789</v>
      </c>
      <c r="E33429" s="1" t="s">
        <v>30443</v>
      </c>
      <c r="F33429" s="2"/>
      <c r="G33429" s="2"/>
      <c r="H33429" s="2"/>
    </row>
    <row r="33430" spans="1:8" x14ac:dyDescent="0.25">
      <c r="A33430" s="1"/>
      <c r="B33430" s="1" t="s">
        <v>8418</v>
      </c>
      <c r="C33430" s="1" t="s">
        <v>8419</v>
      </c>
      <c r="D33430" s="1" t="str">
        <f>HYPERLINK("https://rhld.insurance.arkansas.gov/NPILookup?Npi=1285213942","1285213942")</f>
        <v>1285213942</v>
      </c>
      <c r="E33430" s="1" t="s">
        <v>14114</v>
      </c>
      <c r="F33430" s="2"/>
      <c r="G33430" s="2"/>
      <c r="H33430" s="2"/>
    </row>
    <row r="33431" spans="1:8" x14ac:dyDescent="0.25">
      <c r="A33431" s="1"/>
      <c r="B33431" s="1" t="s">
        <v>8418</v>
      </c>
      <c r="C33431" s="1" t="s">
        <v>8419</v>
      </c>
      <c r="D33431" s="1" t="str">
        <f>HYPERLINK("https://rhld.insurance.arkansas.gov/NPILookup?Npi=1285222083","1285222083")</f>
        <v>1285222083</v>
      </c>
      <c r="E33431" s="1" t="s">
        <v>14115</v>
      </c>
      <c r="F33431" s="2"/>
      <c r="G33431" s="2"/>
      <c r="H33431" s="2"/>
    </row>
    <row r="33432" spans="1:8" x14ac:dyDescent="0.25">
      <c r="A33432" s="1"/>
      <c r="B33432" s="1" t="s">
        <v>8418</v>
      </c>
      <c r="C33432" s="1" t="s">
        <v>8419</v>
      </c>
      <c r="D33432" s="1" t="str">
        <f>HYPERLINK("https://rhld.insurance.arkansas.gov/NPILookup?Npi=1285257626","1285257626")</f>
        <v>1285257626</v>
      </c>
      <c r="E33432" s="1" t="s">
        <v>30444</v>
      </c>
      <c r="F33432" s="2"/>
      <c r="G33432" s="2"/>
      <c r="H33432" s="2"/>
    </row>
    <row r="33433" spans="1:8" x14ac:dyDescent="0.25">
      <c r="A33433" s="1"/>
      <c r="B33433" s="1" t="s">
        <v>8418</v>
      </c>
      <c r="C33433" s="1" t="s">
        <v>8419</v>
      </c>
      <c r="D33433" s="1" t="str">
        <f>HYPERLINK("https://rhld.insurance.arkansas.gov/NPILookup?Npi=1285363747","1285363747")</f>
        <v>1285363747</v>
      </c>
      <c r="E33433" s="1" t="s">
        <v>8548</v>
      </c>
      <c r="F33433" s="2"/>
      <c r="G33433" s="2"/>
      <c r="H33433" s="2"/>
    </row>
    <row r="33434" spans="1:8" x14ac:dyDescent="0.25">
      <c r="A33434" s="1"/>
      <c r="B33434" s="1" t="s">
        <v>8418</v>
      </c>
      <c r="C33434" s="1" t="s">
        <v>8419</v>
      </c>
      <c r="D33434" s="1" t="str">
        <f>HYPERLINK("https://rhld.insurance.arkansas.gov/NPILookup?Npi=1285600619","1285600619")</f>
        <v>1285600619</v>
      </c>
      <c r="E33434" s="1" t="s">
        <v>30445</v>
      </c>
      <c r="F33434" s="2"/>
      <c r="G33434" s="2"/>
      <c r="H33434" s="2"/>
    </row>
    <row r="33435" spans="1:8" x14ac:dyDescent="0.25">
      <c r="A33435" s="1"/>
      <c r="B33435" s="1" t="s">
        <v>8418</v>
      </c>
      <c r="C33435" s="1" t="s">
        <v>8419</v>
      </c>
      <c r="D33435" s="1" t="str">
        <f>HYPERLINK("https://rhld.insurance.arkansas.gov/NPILookup?Npi=1285710210","1285710210")</f>
        <v>1285710210</v>
      </c>
      <c r="E33435" s="1" t="s">
        <v>30446</v>
      </c>
      <c r="F33435" s="2"/>
      <c r="G33435" s="2"/>
      <c r="H33435" s="2"/>
    </row>
    <row r="33436" spans="1:8" x14ac:dyDescent="0.25">
      <c r="A33436" s="1"/>
      <c r="B33436" s="1" t="s">
        <v>8418</v>
      </c>
      <c r="C33436" s="1" t="s">
        <v>8419</v>
      </c>
      <c r="D33436" s="1" t="str">
        <f>HYPERLINK("https://rhld.insurance.arkansas.gov/NPILookup?Npi=1285767327","1285767327")</f>
        <v>1285767327</v>
      </c>
      <c r="E33436" s="1" t="s">
        <v>32516</v>
      </c>
      <c r="F33436" s="2"/>
      <c r="G33436" s="2"/>
      <c r="H33436" s="2"/>
    </row>
    <row r="33437" spans="1:8" x14ac:dyDescent="0.25">
      <c r="A33437" s="1"/>
      <c r="B33437" s="1" t="s">
        <v>8418</v>
      </c>
      <c r="C33437" s="1" t="s">
        <v>8419</v>
      </c>
      <c r="D33437" s="1" t="str">
        <f>HYPERLINK("https://rhld.insurance.arkansas.gov/NPILookup?Npi=1285808998","1285808998")</f>
        <v>1285808998</v>
      </c>
      <c r="E33437" s="1" t="s">
        <v>30447</v>
      </c>
      <c r="F33437" s="2"/>
      <c r="G33437" s="2"/>
      <c r="H33437" s="2"/>
    </row>
    <row r="33438" spans="1:8" x14ac:dyDescent="0.25">
      <c r="A33438" s="1"/>
      <c r="B33438" s="1" t="s">
        <v>8418</v>
      </c>
      <c r="C33438" s="1" t="s">
        <v>8419</v>
      </c>
      <c r="D33438" s="1" t="str">
        <f>HYPERLINK("https://rhld.insurance.arkansas.gov/NPILookup?Npi=1285855742","1285855742")</f>
        <v>1285855742</v>
      </c>
      <c r="E33438" s="1" t="s">
        <v>30448</v>
      </c>
      <c r="F33438" s="2"/>
      <c r="G33438" s="2"/>
      <c r="H33438" s="2"/>
    </row>
    <row r="33439" spans="1:8" x14ac:dyDescent="0.25">
      <c r="A33439" s="1"/>
      <c r="B33439" s="1" t="s">
        <v>8418</v>
      </c>
      <c r="C33439" s="1" t="s">
        <v>8419</v>
      </c>
      <c r="D33439" s="1" t="str">
        <f>HYPERLINK("https://rhld.insurance.arkansas.gov/NPILookup?Npi=1285859165","1285859165")</f>
        <v>1285859165</v>
      </c>
      <c r="E33439" s="1" t="s">
        <v>14116</v>
      </c>
      <c r="F33439" s="2"/>
      <c r="G33439" s="2"/>
      <c r="H33439" s="2"/>
    </row>
    <row r="33440" spans="1:8" x14ac:dyDescent="0.25">
      <c r="A33440" s="1"/>
      <c r="B33440" s="1" t="s">
        <v>8418</v>
      </c>
      <c r="C33440" s="1" t="s">
        <v>8419</v>
      </c>
      <c r="D33440" s="1" t="str">
        <f>HYPERLINK("https://rhld.insurance.arkansas.gov/NPILookup?Npi=1285885426","1285885426")</f>
        <v>1285885426</v>
      </c>
      <c r="E33440" s="1" t="s">
        <v>14117</v>
      </c>
      <c r="F33440" s="2"/>
      <c r="G33440" s="2"/>
      <c r="H33440" s="2"/>
    </row>
    <row r="33441" spans="1:8" x14ac:dyDescent="0.25">
      <c r="A33441" s="1"/>
      <c r="B33441" s="1" t="s">
        <v>8418</v>
      </c>
      <c r="C33441" s="1" t="s">
        <v>8419</v>
      </c>
      <c r="D33441" s="1" t="str">
        <f>HYPERLINK("https://rhld.insurance.arkansas.gov/NPILookup?Npi=1285892166","1285892166")</f>
        <v>1285892166</v>
      </c>
      <c r="E33441" s="1" t="s">
        <v>30449</v>
      </c>
      <c r="F33441" s="2"/>
      <c r="G33441" s="2"/>
      <c r="H33441" s="2"/>
    </row>
    <row r="33442" spans="1:8" x14ac:dyDescent="0.25">
      <c r="A33442" s="1"/>
      <c r="B33442" s="1" t="s">
        <v>8418</v>
      </c>
      <c r="C33442" s="1" t="s">
        <v>8419</v>
      </c>
      <c r="D33442" s="1" t="str">
        <f>HYPERLINK("https://rhld.insurance.arkansas.gov/NPILookup?Npi=1285964619","1285964619")</f>
        <v>1285964619</v>
      </c>
      <c r="E33442" s="1" t="s">
        <v>30450</v>
      </c>
      <c r="F33442" s="2"/>
      <c r="G33442" s="2"/>
      <c r="H33442" s="2"/>
    </row>
    <row r="33443" spans="1:8" x14ac:dyDescent="0.25">
      <c r="A33443" s="1"/>
      <c r="B33443" s="1" t="s">
        <v>8418</v>
      </c>
      <c r="C33443" s="1" t="s">
        <v>8419</v>
      </c>
      <c r="D33443" s="1" t="str">
        <f>HYPERLINK("https://rhld.insurance.arkansas.gov/NPILookup?Npi=1295014702","1295014702")</f>
        <v>1295014702</v>
      </c>
      <c r="E33443" s="1" t="s">
        <v>8622</v>
      </c>
      <c r="F33443" s="2"/>
      <c r="G33443" s="2"/>
      <c r="H33443" s="2"/>
    </row>
    <row r="33444" spans="1:8" x14ac:dyDescent="0.25">
      <c r="A33444" s="1"/>
      <c r="B33444" s="1" t="s">
        <v>8418</v>
      </c>
      <c r="C33444" s="1" t="s">
        <v>8419</v>
      </c>
      <c r="D33444" s="1" t="str">
        <f>HYPERLINK("https://rhld.insurance.arkansas.gov/NPILookup?Npi=1295050375","1295050375")</f>
        <v>1295050375</v>
      </c>
      <c r="E33444" s="1" t="s">
        <v>8549</v>
      </c>
      <c r="F33444" s="2"/>
      <c r="G33444" s="2"/>
      <c r="H33444" s="2"/>
    </row>
    <row r="33445" spans="1:8" x14ac:dyDescent="0.25">
      <c r="A33445" s="1"/>
      <c r="B33445" s="1" t="s">
        <v>8418</v>
      </c>
      <c r="C33445" s="1" t="s">
        <v>8419</v>
      </c>
      <c r="D33445" s="1" t="str">
        <f>HYPERLINK("https://rhld.insurance.arkansas.gov/NPILookup?Npi=1295076867","1295076867")</f>
        <v>1295076867</v>
      </c>
      <c r="E33445" s="1" t="s">
        <v>32517</v>
      </c>
      <c r="F33445" s="2"/>
      <c r="G33445" s="2"/>
      <c r="H33445" s="2"/>
    </row>
    <row r="33446" spans="1:8" x14ac:dyDescent="0.25">
      <c r="A33446" s="1"/>
      <c r="B33446" s="1" t="s">
        <v>8418</v>
      </c>
      <c r="C33446" s="1" t="s">
        <v>8419</v>
      </c>
      <c r="D33446" s="1" t="str">
        <f>HYPERLINK("https://rhld.insurance.arkansas.gov/NPILookup?Npi=1295090777","1295090777")</f>
        <v>1295090777</v>
      </c>
      <c r="E33446" s="1" t="s">
        <v>30451</v>
      </c>
      <c r="F33446" s="2"/>
      <c r="G33446" s="2"/>
      <c r="H33446" s="2"/>
    </row>
    <row r="33447" spans="1:8" x14ac:dyDescent="0.25">
      <c r="A33447" s="1"/>
      <c r="B33447" s="1" t="s">
        <v>8418</v>
      </c>
      <c r="C33447" s="1" t="s">
        <v>8419</v>
      </c>
      <c r="D33447" s="1" t="str">
        <f>HYPERLINK("https://rhld.insurance.arkansas.gov/NPILookup?Npi=1295100956","1295100956")</f>
        <v>1295100956</v>
      </c>
      <c r="E33447" s="1" t="s">
        <v>8550</v>
      </c>
      <c r="F33447" s="2"/>
      <c r="G33447" s="2"/>
      <c r="H33447" s="2"/>
    </row>
    <row r="33448" spans="1:8" x14ac:dyDescent="0.25">
      <c r="A33448" s="1"/>
      <c r="B33448" s="1" t="s">
        <v>8418</v>
      </c>
      <c r="C33448" s="1" t="s">
        <v>8419</v>
      </c>
      <c r="D33448" s="1" t="str">
        <f>HYPERLINK("https://rhld.insurance.arkansas.gov/NPILookup?Npi=1295160794","1295160794")</f>
        <v>1295160794</v>
      </c>
      <c r="E33448" s="1" t="s">
        <v>30452</v>
      </c>
      <c r="F33448" s="2"/>
      <c r="G33448" s="2"/>
      <c r="H33448" s="2"/>
    </row>
    <row r="33449" spans="1:8" x14ac:dyDescent="0.25">
      <c r="A33449" s="1"/>
      <c r="B33449" s="1" t="s">
        <v>8418</v>
      </c>
      <c r="C33449" s="1" t="s">
        <v>8419</v>
      </c>
      <c r="D33449" s="1" t="str">
        <f>HYPERLINK("https://rhld.insurance.arkansas.gov/NPILookup?Npi=1295188720","1295188720")</f>
        <v>1295188720</v>
      </c>
      <c r="E33449" s="1" t="s">
        <v>8551</v>
      </c>
      <c r="F33449" s="2"/>
      <c r="G33449" s="2"/>
      <c r="H33449" s="2"/>
    </row>
    <row r="33450" spans="1:8" x14ac:dyDescent="0.25">
      <c r="A33450" s="1"/>
      <c r="B33450" s="1" t="s">
        <v>8418</v>
      </c>
      <c r="C33450" s="1" t="s">
        <v>8419</v>
      </c>
      <c r="D33450" s="1" t="str">
        <f>HYPERLINK("https://rhld.insurance.arkansas.gov/NPILookup?Npi=1295189231","1295189231")</f>
        <v>1295189231</v>
      </c>
      <c r="E33450" s="1" t="s">
        <v>6175</v>
      </c>
      <c r="F33450" s="2"/>
      <c r="G33450" s="2"/>
      <c r="H33450" s="2"/>
    </row>
    <row r="33451" spans="1:8" x14ac:dyDescent="0.25">
      <c r="A33451" s="1"/>
      <c r="B33451" s="1" t="s">
        <v>8418</v>
      </c>
      <c r="C33451" s="1" t="s">
        <v>8419</v>
      </c>
      <c r="D33451" s="1" t="str">
        <f>HYPERLINK("https://rhld.insurance.arkansas.gov/NPILookup?Npi=1295210128","1295210128")</f>
        <v>1295210128</v>
      </c>
      <c r="E33451" s="1" t="s">
        <v>30453</v>
      </c>
      <c r="F33451" s="2"/>
      <c r="G33451" s="2"/>
      <c r="H33451" s="2"/>
    </row>
    <row r="33452" spans="1:8" x14ac:dyDescent="0.25">
      <c r="A33452" s="1"/>
      <c r="B33452" s="1" t="s">
        <v>8418</v>
      </c>
      <c r="C33452" s="1" t="s">
        <v>8419</v>
      </c>
      <c r="D33452" s="1" t="str">
        <f>HYPERLINK("https://rhld.insurance.arkansas.gov/NPILookup?Npi=1295326312","1295326312")</f>
        <v>1295326312</v>
      </c>
      <c r="E33452" s="1" t="s">
        <v>14118</v>
      </c>
      <c r="F33452" s="2"/>
      <c r="G33452" s="2"/>
      <c r="H33452" s="2"/>
    </row>
    <row r="33453" spans="1:8" x14ac:dyDescent="0.25">
      <c r="A33453" s="1"/>
      <c r="B33453" s="1" t="s">
        <v>8418</v>
      </c>
      <c r="C33453" s="1" t="s">
        <v>8419</v>
      </c>
      <c r="D33453" s="1" t="str">
        <f>HYPERLINK("https://rhld.insurance.arkansas.gov/NPILookup?Npi=1295418416","1295418416")</f>
        <v>1295418416</v>
      </c>
      <c r="E33453" s="1" t="s">
        <v>32518</v>
      </c>
      <c r="F33453" s="2"/>
      <c r="G33453" s="2"/>
      <c r="H33453" s="2"/>
    </row>
    <row r="33454" spans="1:8" x14ac:dyDescent="0.25">
      <c r="A33454" s="1"/>
      <c r="B33454" s="1" t="s">
        <v>8418</v>
      </c>
      <c r="C33454" s="1" t="s">
        <v>8419</v>
      </c>
      <c r="D33454" s="1" t="str">
        <f>HYPERLINK("https://rhld.insurance.arkansas.gov/NPILookup?Npi=1295449809","1295449809")</f>
        <v>1295449809</v>
      </c>
      <c r="E33454" s="1" t="s">
        <v>8552</v>
      </c>
      <c r="F33454" s="2"/>
      <c r="G33454" s="2"/>
      <c r="H33454" s="2"/>
    </row>
    <row r="33455" spans="1:8" x14ac:dyDescent="0.25">
      <c r="A33455" s="1"/>
      <c r="B33455" s="1" t="s">
        <v>8418</v>
      </c>
      <c r="C33455" s="1" t="s">
        <v>8419</v>
      </c>
      <c r="D33455" s="1" t="str">
        <f>HYPERLINK("https://rhld.insurance.arkansas.gov/NPILookup?Npi=1295473353","1295473353")</f>
        <v>1295473353</v>
      </c>
      <c r="E33455" s="1" t="s">
        <v>8553</v>
      </c>
      <c r="F33455" s="2"/>
      <c r="G33455" s="2"/>
      <c r="H33455" s="2"/>
    </row>
    <row r="33456" spans="1:8" x14ac:dyDescent="0.25">
      <c r="A33456" s="1"/>
      <c r="B33456" s="1" t="s">
        <v>8418</v>
      </c>
      <c r="C33456" s="1" t="s">
        <v>8419</v>
      </c>
      <c r="D33456" s="1" t="str">
        <f>HYPERLINK("https://rhld.insurance.arkansas.gov/NPILookup?Npi=1295486801","1295486801")</f>
        <v>1295486801</v>
      </c>
      <c r="E33456" s="1" t="s">
        <v>30454</v>
      </c>
      <c r="F33456" s="2"/>
      <c r="G33456" s="2"/>
      <c r="H33456" s="2"/>
    </row>
    <row r="33457" spans="1:8" x14ac:dyDescent="0.25">
      <c r="A33457" s="1"/>
      <c r="B33457" s="1" t="s">
        <v>8418</v>
      </c>
      <c r="C33457" s="1" t="s">
        <v>8419</v>
      </c>
      <c r="D33457" s="1" t="str">
        <f>HYPERLINK("https://rhld.insurance.arkansas.gov/NPILookup?Npi=1295503571","1295503571")</f>
        <v>1295503571</v>
      </c>
      <c r="E33457" s="1" t="s">
        <v>30455</v>
      </c>
      <c r="F33457" s="2"/>
      <c r="G33457" s="2"/>
      <c r="H33457" s="2"/>
    </row>
    <row r="33458" spans="1:8" x14ac:dyDescent="0.25">
      <c r="A33458" s="1"/>
      <c r="B33458" s="1" t="s">
        <v>8418</v>
      </c>
      <c r="C33458" s="1" t="s">
        <v>8419</v>
      </c>
      <c r="D33458" s="1" t="str">
        <f>HYPERLINK("https://rhld.insurance.arkansas.gov/NPILookup?Npi=1295539674","1295539674")</f>
        <v>1295539674</v>
      </c>
      <c r="E33458" s="1" t="s">
        <v>32519</v>
      </c>
      <c r="F33458" s="2"/>
      <c r="G33458" s="2"/>
      <c r="H33458" s="2"/>
    </row>
    <row r="33459" spans="1:8" x14ac:dyDescent="0.25">
      <c r="A33459" s="1"/>
      <c r="B33459" s="1" t="s">
        <v>8418</v>
      </c>
      <c r="C33459" s="1" t="s">
        <v>8419</v>
      </c>
      <c r="D33459" s="1" t="str">
        <f>HYPERLINK("https://rhld.insurance.arkansas.gov/NPILookup?Npi=1295590677","1295590677")</f>
        <v>1295590677</v>
      </c>
      <c r="E33459" s="1" t="s">
        <v>30456</v>
      </c>
      <c r="F33459" s="2"/>
      <c r="G33459" s="2"/>
      <c r="H33459" s="2"/>
    </row>
    <row r="33460" spans="1:8" x14ac:dyDescent="0.25">
      <c r="A33460" s="1"/>
      <c r="B33460" s="1" t="s">
        <v>8418</v>
      </c>
      <c r="C33460" s="1" t="s">
        <v>8419</v>
      </c>
      <c r="D33460" s="1" t="str">
        <f>HYPERLINK("https://rhld.insurance.arkansas.gov/NPILookup?Npi=1295866564","1295866564")</f>
        <v>1295866564</v>
      </c>
      <c r="E33460" s="1" t="s">
        <v>30457</v>
      </c>
      <c r="F33460" s="2"/>
      <c r="G33460" s="2"/>
      <c r="H33460" s="2"/>
    </row>
    <row r="33461" spans="1:8" x14ac:dyDescent="0.25">
      <c r="A33461" s="1"/>
      <c r="B33461" s="1" t="s">
        <v>8418</v>
      </c>
      <c r="C33461" s="1" t="s">
        <v>8419</v>
      </c>
      <c r="D33461" s="1" t="str">
        <f>HYPERLINK("https://rhld.insurance.arkansas.gov/NPILookup?Npi=1295887438","1295887438")</f>
        <v>1295887438</v>
      </c>
      <c r="E33461" s="1" t="s">
        <v>30458</v>
      </c>
      <c r="F33461" s="2"/>
      <c r="G33461" s="2"/>
      <c r="H33461" s="2"/>
    </row>
    <row r="33462" spans="1:8" x14ac:dyDescent="0.25">
      <c r="A33462" s="1"/>
      <c r="B33462" s="1" t="s">
        <v>8418</v>
      </c>
      <c r="C33462" s="1" t="s">
        <v>8419</v>
      </c>
      <c r="D33462" s="1" t="str">
        <f>HYPERLINK("https://rhld.insurance.arkansas.gov/NPILookup?Npi=1295906048","1295906048")</f>
        <v>1295906048</v>
      </c>
      <c r="E33462" s="1" t="s">
        <v>30459</v>
      </c>
      <c r="F33462" s="2"/>
      <c r="G33462" s="2"/>
      <c r="H33462" s="2"/>
    </row>
    <row r="33463" spans="1:8" x14ac:dyDescent="0.25">
      <c r="A33463" s="1"/>
      <c r="B33463" s="1" t="s">
        <v>8418</v>
      </c>
      <c r="C33463" s="1" t="s">
        <v>8419</v>
      </c>
      <c r="D33463" s="1" t="str">
        <f>HYPERLINK("https://rhld.insurance.arkansas.gov/NPILookup?Npi=1295947356","1295947356")</f>
        <v>1295947356</v>
      </c>
      <c r="E33463" s="1" t="s">
        <v>8554</v>
      </c>
      <c r="F33463" s="2"/>
      <c r="G33463" s="2"/>
      <c r="H33463" s="2"/>
    </row>
    <row r="33464" spans="1:8" x14ac:dyDescent="0.25">
      <c r="A33464" s="1"/>
      <c r="B33464" s="1" t="s">
        <v>8418</v>
      </c>
      <c r="C33464" s="1" t="s">
        <v>8419</v>
      </c>
      <c r="D33464" s="1" t="str">
        <f>HYPERLINK("https://rhld.insurance.arkansas.gov/NPILookup?Npi=1295974442","1295974442")</f>
        <v>1295974442</v>
      </c>
      <c r="E33464" s="1" t="s">
        <v>30460</v>
      </c>
      <c r="F33464" s="2"/>
      <c r="G33464" s="2"/>
      <c r="H33464" s="2"/>
    </row>
    <row r="33465" spans="1:8" x14ac:dyDescent="0.25">
      <c r="A33465" s="1"/>
      <c r="B33465" s="1" t="s">
        <v>8418</v>
      </c>
      <c r="C33465" s="1" t="s">
        <v>8419</v>
      </c>
      <c r="D33465" s="1" t="str">
        <f>HYPERLINK("https://rhld.insurance.arkansas.gov/NPILookup?Npi=1295998128","1295998128")</f>
        <v>1295998128</v>
      </c>
      <c r="E33465" s="1" t="s">
        <v>8555</v>
      </c>
      <c r="F33465" s="2"/>
      <c r="G33465" s="2"/>
      <c r="H33465" s="2"/>
    </row>
    <row r="33466" spans="1:8" x14ac:dyDescent="0.25">
      <c r="A33466" s="1"/>
      <c r="B33466" s="1" t="s">
        <v>8418</v>
      </c>
      <c r="C33466" s="1" t="s">
        <v>8419</v>
      </c>
      <c r="D33466" s="1" t="str">
        <f>HYPERLINK("https://rhld.insurance.arkansas.gov/NPILookup?Npi=1306000815","1306000815")</f>
        <v>1306000815</v>
      </c>
      <c r="E33466" s="1" t="s">
        <v>8556</v>
      </c>
      <c r="F33466" s="2"/>
      <c r="G33466" s="2"/>
      <c r="H33466" s="2"/>
    </row>
    <row r="33467" spans="1:8" x14ac:dyDescent="0.25">
      <c r="A33467" s="1"/>
      <c r="B33467" s="1" t="s">
        <v>8418</v>
      </c>
      <c r="C33467" s="1" t="s">
        <v>8419</v>
      </c>
      <c r="D33467" s="1" t="str">
        <f>HYPERLINK("https://rhld.insurance.arkansas.gov/NPILookup?Npi=1306001938","1306001938")</f>
        <v>1306001938</v>
      </c>
      <c r="E33467" s="1" t="s">
        <v>30461</v>
      </c>
      <c r="F33467" s="2"/>
      <c r="G33467" s="2"/>
      <c r="H33467" s="2"/>
    </row>
    <row r="33468" spans="1:8" x14ac:dyDescent="0.25">
      <c r="A33468" s="1"/>
      <c r="B33468" s="1" t="s">
        <v>8418</v>
      </c>
      <c r="C33468" s="1" t="s">
        <v>8419</v>
      </c>
      <c r="D33468" s="1" t="str">
        <f>HYPERLINK("https://rhld.insurance.arkansas.gov/NPILookup?Npi=1306044672","1306044672")</f>
        <v>1306044672</v>
      </c>
      <c r="E33468" s="1" t="s">
        <v>8557</v>
      </c>
      <c r="F33468" s="2"/>
      <c r="G33468" s="2"/>
      <c r="H33468" s="2"/>
    </row>
    <row r="33469" spans="1:8" x14ac:dyDescent="0.25">
      <c r="A33469" s="1"/>
      <c r="B33469" s="1" t="s">
        <v>8418</v>
      </c>
      <c r="C33469" s="1" t="s">
        <v>8419</v>
      </c>
      <c r="D33469" s="1" t="str">
        <f>HYPERLINK("https://rhld.insurance.arkansas.gov/NPILookup?Npi=1306125208","1306125208")</f>
        <v>1306125208</v>
      </c>
      <c r="E33469" s="1" t="s">
        <v>30462</v>
      </c>
      <c r="F33469" s="2"/>
      <c r="G33469" s="2"/>
      <c r="H33469" s="2"/>
    </row>
    <row r="33470" spans="1:8" x14ac:dyDescent="0.25">
      <c r="A33470" s="1"/>
      <c r="B33470" s="1" t="s">
        <v>8418</v>
      </c>
      <c r="C33470" s="1" t="s">
        <v>8419</v>
      </c>
      <c r="D33470" s="1" t="str">
        <f>HYPERLINK("https://rhld.insurance.arkansas.gov/NPILookup?Npi=1306125299","1306125299")</f>
        <v>1306125299</v>
      </c>
      <c r="E33470" s="1" t="s">
        <v>30463</v>
      </c>
      <c r="F33470" s="2"/>
      <c r="G33470" s="2"/>
      <c r="H33470" s="2"/>
    </row>
    <row r="33471" spans="1:8" x14ac:dyDescent="0.25">
      <c r="A33471" s="1"/>
      <c r="B33471" s="1" t="s">
        <v>8418</v>
      </c>
      <c r="C33471" s="1" t="s">
        <v>8419</v>
      </c>
      <c r="D33471" s="1" t="str">
        <f>HYPERLINK("https://rhld.insurance.arkansas.gov/NPILookup?Npi=1306165436","1306165436")</f>
        <v>1306165436</v>
      </c>
      <c r="E33471" s="1" t="s">
        <v>30464</v>
      </c>
      <c r="F33471" s="2"/>
      <c r="G33471" s="2"/>
      <c r="H33471" s="2"/>
    </row>
    <row r="33472" spans="1:8" x14ac:dyDescent="0.25">
      <c r="A33472" s="1"/>
      <c r="B33472" s="1" t="s">
        <v>8418</v>
      </c>
      <c r="C33472" s="1" t="s">
        <v>8419</v>
      </c>
      <c r="D33472" s="1" t="str">
        <f>HYPERLINK("https://rhld.insurance.arkansas.gov/NPILookup?Npi=1306242532","1306242532")</f>
        <v>1306242532</v>
      </c>
      <c r="E33472" s="1" t="s">
        <v>30465</v>
      </c>
      <c r="F33472" s="2"/>
      <c r="G33472" s="2"/>
      <c r="H33472" s="2"/>
    </row>
    <row r="33473" spans="1:8" x14ac:dyDescent="0.25">
      <c r="A33473" s="1"/>
      <c r="B33473" s="1" t="s">
        <v>8418</v>
      </c>
      <c r="C33473" s="1" t="s">
        <v>8419</v>
      </c>
      <c r="D33473" s="1" t="str">
        <f>HYPERLINK("https://rhld.insurance.arkansas.gov/NPILookup?Npi=1306292735","1306292735")</f>
        <v>1306292735</v>
      </c>
      <c r="E33473" s="1" t="s">
        <v>30466</v>
      </c>
      <c r="F33473" s="2"/>
      <c r="G33473" s="2"/>
      <c r="H33473" s="2"/>
    </row>
    <row r="33474" spans="1:8" x14ac:dyDescent="0.25">
      <c r="A33474" s="1"/>
      <c r="B33474" s="1" t="s">
        <v>8418</v>
      </c>
      <c r="C33474" s="1" t="s">
        <v>8419</v>
      </c>
      <c r="D33474" s="1" t="str">
        <f>HYPERLINK("https://rhld.insurance.arkansas.gov/NPILookup?Npi=1306293451","1306293451")</f>
        <v>1306293451</v>
      </c>
      <c r="E33474" s="1" t="s">
        <v>30467</v>
      </c>
      <c r="F33474" s="2"/>
      <c r="G33474" s="2"/>
      <c r="H33474" s="2"/>
    </row>
    <row r="33475" spans="1:8" x14ac:dyDescent="0.25">
      <c r="A33475" s="1"/>
      <c r="B33475" s="1" t="s">
        <v>8418</v>
      </c>
      <c r="C33475" s="1" t="s">
        <v>8419</v>
      </c>
      <c r="D33475" s="1" t="str">
        <f>HYPERLINK("https://rhld.insurance.arkansas.gov/NPILookup?Npi=1306324322","1306324322")</f>
        <v>1306324322</v>
      </c>
      <c r="E33475" s="1" t="s">
        <v>30468</v>
      </c>
      <c r="F33475" s="2"/>
      <c r="G33475" s="2"/>
      <c r="H33475" s="2"/>
    </row>
    <row r="33476" spans="1:8" x14ac:dyDescent="0.25">
      <c r="A33476" s="1"/>
      <c r="B33476" s="1" t="s">
        <v>8418</v>
      </c>
      <c r="C33476" s="1" t="s">
        <v>8419</v>
      </c>
      <c r="D33476" s="1" t="str">
        <f>HYPERLINK("https://rhld.insurance.arkansas.gov/NPILookup?Npi=1306376025","1306376025")</f>
        <v>1306376025</v>
      </c>
      <c r="E33476" s="1" t="s">
        <v>30469</v>
      </c>
      <c r="F33476" s="2"/>
      <c r="G33476" s="2"/>
      <c r="H33476" s="2"/>
    </row>
    <row r="33477" spans="1:8" x14ac:dyDescent="0.25">
      <c r="A33477" s="1"/>
      <c r="B33477" s="1" t="s">
        <v>8418</v>
      </c>
      <c r="C33477" s="1" t="s">
        <v>8419</v>
      </c>
      <c r="D33477" s="1" t="str">
        <f>HYPERLINK("https://rhld.insurance.arkansas.gov/NPILookup?Npi=1306413554","1306413554")</f>
        <v>1306413554</v>
      </c>
      <c r="E33477" s="1" t="s">
        <v>16800</v>
      </c>
      <c r="F33477" s="2"/>
      <c r="G33477" s="2"/>
      <c r="H33477" s="2"/>
    </row>
    <row r="33478" spans="1:8" x14ac:dyDescent="0.25">
      <c r="A33478" s="1"/>
      <c r="B33478" s="1" t="s">
        <v>8418</v>
      </c>
      <c r="C33478" s="1" t="s">
        <v>8419</v>
      </c>
      <c r="D33478" s="1" t="str">
        <f>HYPERLINK("https://rhld.insurance.arkansas.gov/NPILookup?Npi=1306455837","1306455837")</f>
        <v>1306455837</v>
      </c>
      <c r="E33478" s="1" t="s">
        <v>26346</v>
      </c>
      <c r="F33478" s="2"/>
      <c r="G33478" s="2"/>
      <c r="H33478" s="2"/>
    </row>
    <row r="33479" spans="1:8" x14ac:dyDescent="0.25">
      <c r="A33479" s="1"/>
      <c r="B33479" s="1" t="s">
        <v>8418</v>
      </c>
      <c r="C33479" s="1" t="s">
        <v>8419</v>
      </c>
      <c r="D33479" s="1" t="str">
        <f>HYPERLINK("https://rhld.insurance.arkansas.gov/NPILookup?Npi=1306469408","1306469408")</f>
        <v>1306469408</v>
      </c>
      <c r="E33479" s="1" t="s">
        <v>30470</v>
      </c>
      <c r="F33479" s="2"/>
      <c r="G33479" s="2"/>
      <c r="H33479" s="2"/>
    </row>
    <row r="33480" spans="1:8" x14ac:dyDescent="0.25">
      <c r="A33480" s="1"/>
      <c r="B33480" s="1" t="s">
        <v>8418</v>
      </c>
      <c r="C33480" s="1" t="s">
        <v>8419</v>
      </c>
      <c r="D33480" s="1" t="str">
        <f>HYPERLINK("https://rhld.insurance.arkansas.gov/NPILookup?Npi=1306469697","1306469697")</f>
        <v>1306469697</v>
      </c>
      <c r="E33480" s="1" t="s">
        <v>8558</v>
      </c>
      <c r="F33480" s="2"/>
      <c r="G33480" s="2"/>
      <c r="H33480" s="2"/>
    </row>
    <row r="33481" spans="1:8" x14ac:dyDescent="0.25">
      <c r="A33481" s="1"/>
      <c r="B33481" s="1" t="s">
        <v>8418</v>
      </c>
      <c r="C33481" s="1" t="s">
        <v>8419</v>
      </c>
      <c r="D33481" s="1" t="str">
        <f>HYPERLINK("https://rhld.insurance.arkansas.gov/NPILookup?Npi=1306507199","1306507199")</f>
        <v>1306507199</v>
      </c>
      <c r="E33481" s="1" t="s">
        <v>30471</v>
      </c>
      <c r="F33481" s="2"/>
      <c r="G33481" s="2"/>
      <c r="H33481" s="2"/>
    </row>
    <row r="33482" spans="1:8" x14ac:dyDescent="0.25">
      <c r="A33482" s="1"/>
      <c r="B33482" s="1" t="s">
        <v>8418</v>
      </c>
      <c r="C33482" s="1" t="s">
        <v>8419</v>
      </c>
      <c r="D33482" s="1" t="str">
        <f>HYPERLINK("https://rhld.insurance.arkansas.gov/NPILookup?Npi=1306570767","1306570767")</f>
        <v>1306570767</v>
      </c>
      <c r="E33482" s="1" t="s">
        <v>8559</v>
      </c>
      <c r="F33482" s="2"/>
      <c r="G33482" s="2"/>
      <c r="H33482" s="2"/>
    </row>
    <row r="33483" spans="1:8" x14ac:dyDescent="0.25">
      <c r="A33483" s="1"/>
      <c r="B33483" s="1" t="s">
        <v>8418</v>
      </c>
      <c r="C33483" s="1" t="s">
        <v>8419</v>
      </c>
      <c r="D33483" s="1" t="str">
        <f>HYPERLINK("https://rhld.insurance.arkansas.gov/NPILookup?Npi=1306585237","1306585237")</f>
        <v>1306585237</v>
      </c>
      <c r="E33483" s="1" t="s">
        <v>30472</v>
      </c>
      <c r="F33483" s="2"/>
      <c r="G33483" s="2"/>
      <c r="H33483" s="2"/>
    </row>
    <row r="33484" spans="1:8" x14ac:dyDescent="0.25">
      <c r="A33484" s="1"/>
      <c r="B33484" s="1" t="s">
        <v>8418</v>
      </c>
      <c r="C33484" s="1" t="s">
        <v>8419</v>
      </c>
      <c r="D33484" s="1" t="str">
        <f>HYPERLINK("https://rhld.insurance.arkansas.gov/NPILookup?Npi=1306603006","1306603006")</f>
        <v>1306603006</v>
      </c>
      <c r="E33484" s="1" t="s">
        <v>30473</v>
      </c>
      <c r="F33484" s="2"/>
      <c r="G33484" s="2"/>
      <c r="H33484" s="2"/>
    </row>
    <row r="33485" spans="1:8" x14ac:dyDescent="0.25">
      <c r="A33485" s="1"/>
      <c r="B33485" s="1" t="s">
        <v>8418</v>
      </c>
      <c r="C33485" s="1" t="s">
        <v>8419</v>
      </c>
      <c r="D33485" s="1" t="str">
        <f>HYPERLINK("https://rhld.insurance.arkansas.gov/NPILookup?Npi=1306614409","1306614409")</f>
        <v>1306614409</v>
      </c>
      <c r="E33485" s="1" t="s">
        <v>8560</v>
      </c>
      <c r="F33485" s="2"/>
      <c r="G33485" s="2"/>
      <c r="H33485" s="2"/>
    </row>
    <row r="33486" spans="1:8" x14ac:dyDescent="0.25">
      <c r="A33486" s="1"/>
      <c r="B33486" s="1" t="s">
        <v>8418</v>
      </c>
      <c r="C33486" s="1" t="s">
        <v>8419</v>
      </c>
      <c r="D33486" s="1" t="str">
        <f>HYPERLINK("https://rhld.insurance.arkansas.gov/NPILookup?Npi=1306616057","1306616057")</f>
        <v>1306616057</v>
      </c>
      <c r="E33486" s="1" t="s">
        <v>8561</v>
      </c>
      <c r="F33486" s="2"/>
      <c r="G33486" s="2"/>
      <c r="H33486" s="2"/>
    </row>
    <row r="33487" spans="1:8" x14ac:dyDescent="0.25">
      <c r="A33487" s="1"/>
      <c r="B33487" s="1" t="s">
        <v>8418</v>
      </c>
      <c r="C33487" s="1" t="s">
        <v>8419</v>
      </c>
      <c r="D33487" s="1" t="str">
        <f>HYPERLINK("https://rhld.insurance.arkansas.gov/NPILookup?Npi=1306621065","1306621065")</f>
        <v>1306621065</v>
      </c>
      <c r="E33487" s="1" t="s">
        <v>8562</v>
      </c>
      <c r="F33487" s="2"/>
      <c r="G33487" s="2"/>
      <c r="H33487" s="2"/>
    </row>
    <row r="33488" spans="1:8" x14ac:dyDescent="0.25">
      <c r="A33488" s="1"/>
      <c r="B33488" s="1" t="s">
        <v>8418</v>
      </c>
      <c r="C33488" s="1" t="s">
        <v>8419</v>
      </c>
      <c r="D33488" s="1" t="str">
        <f>HYPERLINK("https://rhld.insurance.arkansas.gov/NPILookup?Npi=1306935127","1306935127")</f>
        <v>1306935127</v>
      </c>
      <c r="E33488" s="1" t="s">
        <v>14119</v>
      </c>
      <c r="F33488" s="2"/>
      <c r="G33488" s="2"/>
      <c r="H33488" s="2"/>
    </row>
    <row r="33489" spans="1:8" x14ac:dyDescent="0.25">
      <c r="A33489" s="1"/>
      <c r="B33489" s="1" t="s">
        <v>8418</v>
      </c>
      <c r="C33489" s="1" t="s">
        <v>8419</v>
      </c>
      <c r="D33489" s="1" t="str">
        <f>HYPERLINK("https://rhld.insurance.arkansas.gov/NPILookup?Npi=1316076649","1316076649")</f>
        <v>1316076649</v>
      </c>
      <c r="E33489" s="1" t="s">
        <v>14120</v>
      </c>
      <c r="F33489" s="2"/>
      <c r="G33489" s="2"/>
      <c r="H33489" s="2"/>
    </row>
    <row r="33490" spans="1:8" x14ac:dyDescent="0.25">
      <c r="A33490" s="1"/>
      <c r="B33490" s="1" t="s">
        <v>8418</v>
      </c>
      <c r="C33490" s="1" t="s">
        <v>8419</v>
      </c>
      <c r="D33490" s="1" t="str">
        <f>HYPERLINK("https://rhld.insurance.arkansas.gov/NPILookup?Npi=1316159197","1316159197")</f>
        <v>1316159197</v>
      </c>
      <c r="E33490" s="1" t="s">
        <v>21811</v>
      </c>
      <c r="F33490" s="2"/>
      <c r="G33490" s="2"/>
      <c r="H33490" s="2"/>
    </row>
    <row r="33491" spans="1:8" x14ac:dyDescent="0.25">
      <c r="A33491" s="1"/>
      <c r="B33491" s="1" t="s">
        <v>8418</v>
      </c>
      <c r="C33491" s="1" t="s">
        <v>8419</v>
      </c>
      <c r="D33491" s="1" t="str">
        <f>HYPERLINK("https://rhld.insurance.arkansas.gov/NPILookup?Npi=1316199839","1316199839")</f>
        <v>1316199839</v>
      </c>
      <c r="E33491" s="1" t="s">
        <v>8563</v>
      </c>
      <c r="F33491" s="2"/>
      <c r="G33491" s="2"/>
      <c r="H33491" s="2"/>
    </row>
    <row r="33492" spans="1:8" x14ac:dyDescent="0.25">
      <c r="A33492" s="1"/>
      <c r="B33492" s="1" t="s">
        <v>8418</v>
      </c>
      <c r="C33492" s="1" t="s">
        <v>8419</v>
      </c>
      <c r="D33492" s="1" t="str">
        <f>HYPERLINK("https://rhld.insurance.arkansas.gov/NPILookup?Npi=1316209489","1316209489")</f>
        <v>1316209489</v>
      </c>
      <c r="E33492" s="1" t="s">
        <v>8564</v>
      </c>
      <c r="F33492" s="2"/>
      <c r="G33492" s="2"/>
      <c r="H33492" s="2"/>
    </row>
    <row r="33493" spans="1:8" x14ac:dyDescent="0.25">
      <c r="A33493" s="1"/>
      <c r="B33493" s="1" t="s">
        <v>8418</v>
      </c>
      <c r="C33493" s="1" t="s">
        <v>8419</v>
      </c>
      <c r="D33493" s="1" t="str">
        <f>HYPERLINK("https://rhld.insurance.arkansas.gov/NPILookup?Npi=1316259211","1316259211")</f>
        <v>1316259211</v>
      </c>
      <c r="E33493" s="1" t="s">
        <v>30474</v>
      </c>
      <c r="F33493" s="2"/>
      <c r="G33493" s="2"/>
      <c r="H33493" s="2"/>
    </row>
    <row r="33494" spans="1:8" x14ac:dyDescent="0.25">
      <c r="A33494" s="1"/>
      <c r="B33494" s="1" t="s">
        <v>8418</v>
      </c>
      <c r="C33494" s="1" t="s">
        <v>8419</v>
      </c>
      <c r="D33494" s="1" t="str">
        <f>HYPERLINK("https://rhld.insurance.arkansas.gov/NPILookup?Npi=1316277791","1316277791")</f>
        <v>1316277791</v>
      </c>
      <c r="E33494" s="1" t="s">
        <v>8565</v>
      </c>
      <c r="F33494" s="2"/>
      <c r="G33494" s="2"/>
      <c r="H33494" s="2"/>
    </row>
    <row r="33495" spans="1:8" x14ac:dyDescent="0.25">
      <c r="A33495" s="1"/>
      <c r="B33495" s="1" t="s">
        <v>8418</v>
      </c>
      <c r="C33495" s="1" t="s">
        <v>8419</v>
      </c>
      <c r="D33495" s="1" t="str">
        <f>HYPERLINK("https://rhld.insurance.arkansas.gov/NPILookup?Npi=1316291313","1316291313")</f>
        <v>1316291313</v>
      </c>
      <c r="E33495" s="1" t="s">
        <v>14121</v>
      </c>
      <c r="F33495" s="2"/>
      <c r="G33495" s="2"/>
      <c r="H33495" s="2"/>
    </row>
    <row r="33496" spans="1:8" x14ac:dyDescent="0.25">
      <c r="A33496" s="1"/>
      <c r="B33496" s="1" t="s">
        <v>8418</v>
      </c>
      <c r="C33496" s="1" t="s">
        <v>8419</v>
      </c>
      <c r="D33496" s="1" t="str">
        <f>HYPERLINK("https://rhld.insurance.arkansas.gov/NPILookup?Npi=1316344351","1316344351")</f>
        <v>1316344351</v>
      </c>
      <c r="E33496" s="1" t="s">
        <v>14122</v>
      </c>
      <c r="F33496" s="2"/>
      <c r="G33496" s="2"/>
      <c r="H33496" s="2"/>
    </row>
    <row r="33497" spans="1:8" x14ac:dyDescent="0.25">
      <c r="A33497" s="1"/>
      <c r="B33497" s="1" t="s">
        <v>8418</v>
      </c>
      <c r="C33497" s="1" t="s">
        <v>8419</v>
      </c>
      <c r="D33497" s="1" t="str">
        <f>HYPERLINK("https://rhld.insurance.arkansas.gov/NPILookup?Npi=1316425788","1316425788")</f>
        <v>1316425788</v>
      </c>
      <c r="E33497" s="1" t="s">
        <v>8566</v>
      </c>
      <c r="F33497" s="2"/>
      <c r="G33497" s="2"/>
      <c r="H33497" s="2"/>
    </row>
    <row r="33498" spans="1:8" x14ac:dyDescent="0.25">
      <c r="A33498" s="1"/>
      <c r="B33498" s="1" t="s">
        <v>8418</v>
      </c>
      <c r="C33498" s="1" t="s">
        <v>8419</v>
      </c>
      <c r="D33498" s="1" t="str">
        <f>HYPERLINK("https://rhld.insurance.arkansas.gov/NPILookup?Npi=1316490915","1316490915")</f>
        <v>1316490915</v>
      </c>
      <c r="E33498" s="1" t="s">
        <v>30475</v>
      </c>
      <c r="F33498" s="2"/>
      <c r="G33498" s="2"/>
      <c r="H33498" s="2"/>
    </row>
    <row r="33499" spans="1:8" x14ac:dyDescent="0.25">
      <c r="A33499" s="1"/>
      <c r="B33499" s="1" t="s">
        <v>8418</v>
      </c>
      <c r="C33499" s="1" t="s">
        <v>8419</v>
      </c>
      <c r="D33499" s="1" t="str">
        <f>HYPERLINK("https://rhld.insurance.arkansas.gov/NPILookup?Npi=1316516404","1316516404")</f>
        <v>1316516404</v>
      </c>
      <c r="E33499" s="1" t="s">
        <v>30476</v>
      </c>
      <c r="F33499" s="2"/>
      <c r="G33499" s="2"/>
      <c r="H33499" s="2"/>
    </row>
    <row r="33500" spans="1:8" x14ac:dyDescent="0.25">
      <c r="A33500" s="1"/>
      <c r="B33500" s="1" t="s">
        <v>8418</v>
      </c>
      <c r="C33500" s="1" t="s">
        <v>8419</v>
      </c>
      <c r="D33500" s="1" t="str">
        <f>HYPERLINK("https://rhld.insurance.arkansas.gov/NPILookup?Npi=1316516669","1316516669")</f>
        <v>1316516669</v>
      </c>
      <c r="E33500" s="1" t="s">
        <v>30477</v>
      </c>
      <c r="F33500" s="2"/>
      <c r="G33500" s="2"/>
      <c r="H33500" s="2"/>
    </row>
    <row r="33501" spans="1:8" x14ac:dyDescent="0.25">
      <c r="A33501" s="1"/>
      <c r="B33501" s="1" t="s">
        <v>8418</v>
      </c>
      <c r="C33501" s="1" t="s">
        <v>8419</v>
      </c>
      <c r="D33501" s="1" t="str">
        <f>HYPERLINK("https://rhld.insurance.arkansas.gov/NPILookup?Npi=1316600851","1316600851")</f>
        <v>1316600851</v>
      </c>
      <c r="E33501" s="1" t="s">
        <v>30478</v>
      </c>
      <c r="F33501" s="2"/>
      <c r="G33501" s="2"/>
      <c r="H33501" s="2"/>
    </row>
    <row r="33502" spans="1:8" x14ac:dyDescent="0.25">
      <c r="A33502" s="1"/>
      <c r="B33502" s="1" t="s">
        <v>8418</v>
      </c>
      <c r="C33502" s="1" t="s">
        <v>8419</v>
      </c>
      <c r="D33502" s="1" t="str">
        <f>HYPERLINK("https://rhld.insurance.arkansas.gov/NPILookup?Npi=1316675366","1316675366")</f>
        <v>1316675366</v>
      </c>
      <c r="E33502" s="1" t="s">
        <v>12388</v>
      </c>
      <c r="F33502" s="2"/>
      <c r="G33502" s="2"/>
      <c r="H33502" s="2"/>
    </row>
    <row r="33503" spans="1:8" x14ac:dyDescent="0.25">
      <c r="A33503" s="1"/>
      <c r="B33503" s="1" t="s">
        <v>8418</v>
      </c>
      <c r="C33503" s="1" t="s">
        <v>8419</v>
      </c>
      <c r="D33503" s="1" t="str">
        <f>HYPERLINK("https://rhld.insurance.arkansas.gov/NPILookup?Npi=1316686140","1316686140")</f>
        <v>1316686140</v>
      </c>
      <c r="E33503" s="1" t="s">
        <v>14123</v>
      </c>
      <c r="F33503" s="2"/>
      <c r="G33503" s="2"/>
      <c r="H33503" s="2"/>
    </row>
    <row r="33504" spans="1:8" x14ac:dyDescent="0.25">
      <c r="A33504" s="1"/>
      <c r="B33504" s="1" t="s">
        <v>8418</v>
      </c>
      <c r="C33504" s="1" t="s">
        <v>8419</v>
      </c>
      <c r="D33504" s="1" t="str">
        <f>HYPERLINK("https://rhld.insurance.arkansas.gov/NPILookup?Npi=1326171422","1326171422")</f>
        <v>1326171422</v>
      </c>
      <c r="E33504" s="1" t="s">
        <v>14124</v>
      </c>
      <c r="F33504" s="2"/>
      <c r="G33504" s="2"/>
      <c r="H33504" s="2"/>
    </row>
    <row r="33505" spans="1:8" x14ac:dyDescent="0.25">
      <c r="A33505" s="1"/>
      <c r="B33505" s="1" t="s">
        <v>8418</v>
      </c>
      <c r="C33505" s="1" t="s">
        <v>8419</v>
      </c>
      <c r="D33505" s="1" t="str">
        <f>HYPERLINK("https://rhld.insurance.arkansas.gov/NPILookup?Npi=1326219585","1326219585")</f>
        <v>1326219585</v>
      </c>
      <c r="E33505" s="1" t="s">
        <v>8567</v>
      </c>
      <c r="F33505" s="2"/>
      <c r="G33505" s="2"/>
      <c r="H33505" s="2"/>
    </row>
    <row r="33506" spans="1:8" x14ac:dyDescent="0.25">
      <c r="A33506" s="1"/>
      <c r="B33506" s="1" t="s">
        <v>8418</v>
      </c>
      <c r="C33506" s="1" t="s">
        <v>8419</v>
      </c>
      <c r="D33506" s="1" t="str">
        <f>HYPERLINK("https://rhld.insurance.arkansas.gov/NPILookup?Npi=1326253915","1326253915")</f>
        <v>1326253915</v>
      </c>
      <c r="E33506" s="1" t="s">
        <v>30479</v>
      </c>
      <c r="F33506" s="2"/>
      <c r="G33506" s="2"/>
      <c r="H33506" s="2"/>
    </row>
    <row r="33507" spans="1:8" x14ac:dyDescent="0.25">
      <c r="A33507" s="1"/>
      <c r="B33507" s="1" t="s">
        <v>8418</v>
      </c>
      <c r="C33507" s="1" t="s">
        <v>8419</v>
      </c>
      <c r="D33507" s="1" t="str">
        <f>HYPERLINK("https://rhld.insurance.arkansas.gov/NPILookup?Npi=1326259011","1326259011")</f>
        <v>1326259011</v>
      </c>
      <c r="E33507" s="1" t="s">
        <v>8568</v>
      </c>
      <c r="F33507" s="2"/>
      <c r="G33507" s="2"/>
      <c r="H33507" s="2"/>
    </row>
    <row r="33508" spans="1:8" x14ac:dyDescent="0.25">
      <c r="A33508" s="1"/>
      <c r="B33508" s="1" t="s">
        <v>8418</v>
      </c>
      <c r="C33508" s="1" t="s">
        <v>8419</v>
      </c>
      <c r="D33508" s="1" t="str">
        <f>HYPERLINK("https://rhld.insurance.arkansas.gov/NPILookup?Npi=1326271487","1326271487")</f>
        <v>1326271487</v>
      </c>
      <c r="E33508" s="1" t="s">
        <v>8569</v>
      </c>
      <c r="F33508" s="2"/>
      <c r="G33508" s="2"/>
      <c r="H33508" s="2"/>
    </row>
    <row r="33509" spans="1:8" x14ac:dyDescent="0.25">
      <c r="A33509" s="1"/>
      <c r="B33509" s="1" t="s">
        <v>8418</v>
      </c>
      <c r="C33509" s="1" t="s">
        <v>8419</v>
      </c>
      <c r="D33509" s="1" t="str">
        <f>HYPERLINK("https://rhld.insurance.arkansas.gov/NPILookup?Npi=1326327826","1326327826")</f>
        <v>1326327826</v>
      </c>
      <c r="E33509" s="1" t="s">
        <v>30480</v>
      </c>
      <c r="F33509" s="2"/>
      <c r="G33509" s="2"/>
      <c r="H33509" s="2"/>
    </row>
    <row r="33510" spans="1:8" x14ac:dyDescent="0.25">
      <c r="A33510" s="1"/>
      <c r="B33510" s="1" t="s">
        <v>8418</v>
      </c>
      <c r="C33510" s="1" t="s">
        <v>8419</v>
      </c>
      <c r="D33510" s="1" t="str">
        <f>HYPERLINK("https://rhld.insurance.arkansas.gov/NPILookup?Npi=1326338666","1326338666")</f>
        <v>1326338666</v>
      </c>
      <c r="E33510" s="1" t="s">
        <v>30481</v>
      </c>
      <c r="F33510" s="2"/>
      <c r="G33510" s="2"/>
      <c r="H33510" s="2"/>
    </row>
    <row r="33511" spans="1:8" x14ac:dyDescent="0.25">
      <c r="A33511" s="1"/>
      <c r="B33511" s="1" t="s">
        <v>8418</v>
      </c>
      <c r="C33511" s="1" t="s">
        <v>8419</v>
      </c>
      <c r="D33511" s="1" t="str">
        <f>HYPERLINK("https://rhld.insurance.arkansas.gov/NPILookup?Npi=1326372889","1326372889")</f>
        <v>1326372889</v>
      </c>
      <c r="E33511" s="1" t="s">
        <v>8570</v>
      </c>
      <c r="F33511" s="2"/>
      <c r="G33511" s="2"/>
      <c r="H33511" s="2"/>
    </row>
    <row r="33512" spans="1:8" x14ac:dyDescent="0.25">
      <c r="A33512" s="1"/>
      <c r="B33512" s="1" t="s">
        <v>8418</v>
      </c>
      <c r="C33512" s="1" t="s">
        <v>8419</v>
      </c>
      <c r="D33512" s="1" t="str">
        <f>HYPERLINK("https://rhld.insurance.arkansas.gov/NPILookup?Npi=1326380478","1326380478")</f>
        <v>1326380478</v>
      </c>
      <c r="E33512" s="1" t="s">
        <v>8571</v>
      </c>
      <c r="F33512" s="2"/>
      <c r="G33512" s="2"/>
      <c r="H33512" s="2"/>
    </row>
    <row r="33513" spans="1:8" x14ac:dyDescent="0.25">
      <c r="A33513" s="1"/>
      <c r="B33513" s="1" t="s">
        <v>8418</v>
      </c>
      <c r="C33513" s="1" t="s">
        <v>8419</v>
      </c>
      <c r="D33513" s="1" t="str">
        <f>HYPERLINK("https://rhld.insurance.arkansas.gov/NPILookup?Npi=1326444324","1326444324")</f>
        <v>1326444324</v>
      </c>
      <c r="E33513" s="1" t="s">
        <v>30482</v>
      </c>
      <c r="F33513" s="2"/>
      <c r="G33513" s="2"/>
      <c r="H33513" s="2"/>
    </row>
    <row r="33514" spans="1:8" x14ac:dyDescent="0.25">
      <c r="A33514" s="1"/>
      <c r="B33514" s="1" t="s">
        <v>8418</v>
      </c>
      <c r="C33514" s="1" t="s">
        <v>8419</v>
      </c>
      <c r="D33514" s="1" t="str">
        <f>HYPERLINK("https://rhld.insurance.arkansas.gov/NPILookup?Npi=1326524174","1326524174")</f>
        <v>1326524174</v>
      </c>
      <c r="E33514" s="1" t="s">
        <v>8572</v>
      </c>
      <c r="F33514" s="2"/>
      <c r="G33514" s="2"/>
      <c r="H33514" s="2"/>
    </row>
    <row r="33515" spans="1:8" x14ac:dyDescent="0.25">
      <c r="A33515" s="1"/>
      <c r="B33515" s="1" t="s">
        <v>8418</v>
      </c>
      <c r="C33515" s="1" t="s">
        <v>8419</v>
      </c>
      <c r="D33515" s="1" t="str">
        <f>HYPERLINK("https://rhld.insurance.arkansas.gov/NPILookup?Npi=1326530858","1326530858")</f>
        <v>1326530858</v>
      </c>
      <c r="E33515" s="1" t="s">
        <v>14125</v>
      </c>
      <c r="F33515" s="2"/>
      <c r="G33515" s="2"/>
      <c r="H33515" s="2"/>
    </row>
    <row r="33516" spans="1:8" x14ac:dyDescent="0.25">
      <c r="A33516" s="1"/>
      <c r="B33516" s="1" t="s">
        <v>8418</v>
      </c>
      <c r="C33516" s="1" t="s">
        <v>8419</v>
      </c>
      <c r="D33516" s="1" t="str">
        <f>HYPERLINK("https://rhld.insurance.arkansas.gov/NPILookup?Npi=1326573791","1326573791")</f>
        <v>1326573791</v>
      </c>
      <c r="E33516" s="1" t="s">
        <v>30483</v>
      </c>
      <c r="F33516" s="2"/>
      <c r="G33516" s="2"/>
      <c r="H33516" s="2"/>
    </row>
    <row r="33517" spans="1:8" x14ac:dyDescent="0.25">
      <c r="A33517" s="1"/>
      <c r="B33517" s="1" t="s">
        <v>8418</v>
      </c>
      <c r="C33517" s="1" t="s">
        <v>8419</v>
      </c>
      <c r="D33517" s="1" t="str">
        <f>HYPERLINK("https://rhld.insurance.arkansas.gov/NPILookup?Npi=1326578683","1326578683")</f>
        <v>1326578683</v>
      </c>
      <c r="E33517" s="1" t="s">
        <v>14126</v>
      </c>
      <c r="F33517" s="2"/>
      <c r="G33517" s="2"/>
      <c r="H33517" s="2"/>
    </row>
    <row r="33518" spans="1:8" x14ac:dyDescent="0.25">
      <c r="A33518" s="1"/>
      <c r="B33518" s="1" t="s">
        <v>8418</v>
      </c>
      <c r="C33518" s="1" t="s">
        <v>8419</v>
      </c>
      <c r="D33518" s="1" t="str">
        <f>HYPERLINK("https://rhld.insurance.arkansas.gov/NPILookup?Npi=1326595596","1326595596")</f>
        <v>1326595596</v>
      </c>
      <c r="E33518" s="1" t="s">
        <v>8573</v>
      </c>
      <c r="F33518" s="2"/>
      <c r="G33518" s="2"/>
      <c r="H33518" s="2"/>
    </row>
    <row r="33519" spans="1:8" x14ac:dyDescent="0.25">
      <c r="A33519" s="1"/>
      <c r="B33519" s="1" t="s">
        <v>8418</v>
      </c>
      <c r="C33519" s="1" t="s">
        <v>8419</v>
      </c>
      <c r="D33519" s="1" t="str">
        <f>HYPERLINK("https://rhld.insurance.arkansas.gov/NPILookup?Npi=1326647884","1326647884")</f>
        <v>1326647884</v>
      </c>
      <c r="E33519" s="1" t="s">
        <v>30484</v>
      </c>
      <c r="F33519" s="2"/>
      <c r="G33519" s="2"/>
      <c r="H33519" s="2"/>
    </row>
    <row r="33520" spans="1:8" x14ac:dyDescent="0.25">
      <c r="A33520" s="1"/>
      <c r="B33520" s="1" t="s">
        <v>8418</v>
      </c>
      <c r="C33520" s="1" t="s">
        <v>8419</v>
      </c>
      <c r="D33520" s="1" t="str">
        <f>HYPERLINK("https://rhld.insurance.arkansas.gov/NPILookup?Npi=1326650466","1326650466")</f>
        <v>1326650466</v>
      </c>
      <c r="E33520" s="1" t="s">
        <v>30485</v>
      </c>
      <c r="F33520" s="2"/>
      <c r="G33520" s="2"/>
      <c r="H33520" s="2"/>
    </row>
    <row r="33521" spans="1:8" x14ac:dyDescent="0.25">
      <c r="A33521" s="1"/>
      <c r="B33521" s="1" t="s">
        <v>8418</v>
      </c>
      <c r="C33521" s="1" t="s">
        <v>8419</v>
      </c>
      <c r="D33521" s="1" t="str">
        <f>HYPERLINK("https://rhld.insurance.arkansas.gov/NPILookup?Npi=1326672239","1326672239")</f>
        <v>1326672239</v>
      </c>
      <c r="E33521" s="1" t="s">
        <v>30486</v>
      </c>
      <c r="F33521" s="2"/>
      <c r="G33521" s="2"/>
      <c r="H33521" s="2"/>
    </row>
    <row r="33522" spans="1:8" x14ac:dyDescent="0.25">
      <c r="A33522" s="1"/>
      <c r="B33522" s="1" t="s">
        <v>8418</v>
      </c>
      <c r="C33522" s="1" t="s">
        <v>8419</v>
      </c>
      <c r="D33522" s="1" t="str">
        <f>HYPERLINK("https://rhld.insurance.arkansas.gov/NPILookup?Npi=1326725854","1326725854")</f>
        <v>1326725854</v>
      </c>
      <c r="E33522" s="1" t="s">
        <v>30487</v>
      </c>
      <c r="F33522" s="2"/>
      <c r="G33522" s="2"/>
      <c r="H33522" s="2"/>
    </row>
    <row r="33523" spans="1:8" x14ac:dyDescent="0.25">
      <c r="A33523" s="1"/>
      <c r="B33523" s="1" t="s">
        <v>8418</v>
      </c>
      <c r="C33523" s="1" t="s">
        <v>8419</v>
      </c>
      <c r="D33523" s="1" t="str">
        <f>HYPERLINK("https://rhld.insurance.arkansas.gov/NPILookup?Npi=1326739483","1326739483")</f>
        <v>1326739483</v>
      </c>
      <c r="E33523" s="1" t="s">
        <v>30488</v>
      </c>
      <c r="F33523" s="2"/>
      <c r="G33523" s="2"/>
      <c r="H33523" s="2"/>
    </row>
    <row r="33524" spans="1:8" x14ac:dyDescent="0.25">
      <c r="A33524" s="1"/>
      <c r="B33524" s="1" t="s">
        <v>8418</v>
      </c>
      <c r="C33524" s="1" t="s">
        <v>8419</v>
      </c>
      <c r="D33524" s="1" t="str">
        <f>HYPERLINK("https://rhld.insurance.arkansas.gov/NPILookup?Npi=1326766619","1326766619")</f>
        <v>1326766619</v>
      </c>
      <c r="E33524" s="1" t="s">
        <v>30489</v>
      </c>
      <c r="F33524" s="2"/>
      <c r="G33524" s="2"/>
      <c r="H33524" s="2"/>
    </row>
    <row r="33525" spans="1:8" x14ac:dyDescent="0.25">
      <c r="A33525" s="1"/>
      <c r="B33525" s="1" t="s">
        <v>8418</v>
      </c>
      <c r="C33525" s="1" t="s">
        <v>8419</v>
      </c>
      <c r="D33525" s="1" t="str">
        <f>HYPERLINK("https://rhld.insurance.arkansas.gov/NPILookup?Npi=1326781261","1326781261")</f>
        <v>1326781261</v>
      </c>
      <c r="E33525" s="1" t="s">
        <v>8574</v>
      </c>
      <c r="F33525" s="2"/>
      <c r="G33525" s="2"/>
      <c r="H33525" s="2"/>
    </row>
    <row r="33526" spans="1:8" x14ac:dyDescent="0.25">
      <c r="A33526" s="1"/>
      <c r="B33526" s="1" t="s">
        <v>8418</v>
      </c>
      <c r="C33526" s="1" t="s">
        <v>8419</v>
      </c>
      <c r="D33526" s="1" t="str">
        <f>HYPERLINK("https://rhld.insurance.arkansas.gov/NPILookup?Npi=1326785403","1326785403")</f>
        <v>1326785403</v>
      </c>
      <c r="E33526" s="1" t="s">
        <v>30490</v>
      </c>
      <c r="F33526" s="2"/>
      <c r="G33526" s="2"/>
      <c r="H33526" s="2"/>
    </row>
    <row r="33527" spans="1:8" x14ac:dyDescent="0.25">
      <c r="A33527" s="1"/>
      <c r="B33527" s="1" t="s">
        <v>8418</v>
      </c>
      <c r="C33527" s="1" t="s">
        <v>8419</v>
      </c>
      <c r="D33527" s="1" t="str">
        <f>HYPERLINK("https://rhld.insurance.arkansas.gov/NPILookup?Npi=1326830902","1326830902")</f>
        <v>1326830902</v>
      </c>
      <c r="E33527" s="1" t="s">
        <v>32520</v>
      </c>
      <c r="F33527" s="2"/>
      <c r="G33527" s="2"/>
      <c r="H33527" s="2"/>
    </row>
    <row r="33528" spans="1:8" x14ac:dyDescent="0.25">
      <c r="A33528" s="1"/>
      <c r="B33528" s="1" t="s">
        <v>8418</v>
      </c>
      <c r="C33528" s="1" t="s">
        <v>8419</v>
      </c>
      <c r="D33528" s="1" t="str">
        <f>HYPERLINK("https://rhld.insurance.arkansas.gov/NPILookup?Npi=1336273648","1336273648")</f>
        <v>1336273648</v>
      </c>
      <c r="E33528" s="1" t="s">
        <v>14127</v>
      </c>
      <c r="F33528" s="2"/>
      <c r="G33528" s="2"/>
      <c r="H33528" s="2"/>
    </row>
    <row r="33529" spans="1:8" x14ac:dyDescent="0.25">
      <c r="A33529" s="1"/>
      <c r="B33529" s="1" t="s">
        <v>8418</v>
      </c>
      <c r="C33529" s="1" t="s">
        <v>8419</v>
      </c>
      <c r="D33529" s="1" t="str">
        <f>HYPERLINK("https://rhld.insurance.arkansas.gov/NPILookup?Npi=1336277912","1336277912")</f>
        <v>1336277912</v>
      </c>
      <c r="E33529" s="1" t="s">
        <v>30491</v>
      </c>
      <c r="F33529" s="2"/>
      <c r="G33529" s="2"/>
      <c r="H33529" s="2"/>
    </row>
    <row r="33530" spans="1:8" x14ac:dyDescent="0.25">
      <c r="A33530" s="1"/>
      <c r="B33530" s="1" t="s">
        <v>8418</v>
      </c>
      <c r="C33530" s="1" t="s">
        <v>8419</v>
      </c>
      <c r="D33530" s="1" t="str">
        <f>HYPERLINK("https://rhld.insurance.arkansas.gov/NPILookup?Npi=1336280155","1336280155")</f>
        <v>1336280155</v>
      </c>
      <c r="E33530" s="1" t="s">
        <v>8575</v>
      </c>
      <c r="F33530" s="2"/>
      <c r="G33530" s="2"/>
      <c r="H33530" s="2"/>
    </row>
    <row r="33531" spans="1:8" x14ac:dyDescent="0.25">
      <c r="A33531" s="1"/>
      <c r="B33531" s="1" t="s">
        <v>8418</v>
      </c>
      <c r="C33531" s="1" t="s">
        <v>8419</v>
      </c>
      <c r="D33531" s="1" t="str">
        <f>HYPERLINK("https://rhld.insurance.arkansas.gov/NPILookup?Npi=1336309426","1336309426")</f>
        <v>1336309426</v>
      </c>
      <c r="E33531" s="1" t="s">
        <v>8576</v>
      </c>
      <c r="F33531" s="2"/>
      <c r="G33531" s="2"/>
      <c r="H33531" s="2"/>
    </row>
    <row r="33532" spans="1:8" x14ac:dyDescent="0.25">
      <c r="A33532" s="1"/>
      <c r="B33532" s="1" t="s">
        <v>8418</v>
      </c>
      <c r="C33532" s="1" t="s">
        <v>8419</v>
      </c>
      <c r="D33532" s="1" t="str">
        <f>HYPERLINK("https://rhld.insurance.arkansas.gov/NPILookup?Npi=1336312859","1336312859")</f>
        <v>1336312859</v>
      </c>
      <c r="E33532" s="1" t="s">
        <v>8577</v>
      </c>
      <c r="F33532" s="2"/>
      <c r="G33532" s="2"/>
      <c r="H33532" s="2"/>
    </row>
    <row r="33533" spans="1:8" x14ac:dyDescent="0.25">
      <c r="A33533" s="1"/>
      <c r="B33533" s="1" t="s">
        <v>8418</v>
      </c>
      <c r="C33533" s="1" t="s">
        <v>8419</v>
      </c>
      <c r="D33533" s="1" t="str">
        <f>HYPERLINK("https://rhld.insurance.arkansas.gov/NPILookup?Npi=1336341221","1336341221")</f>
        <v>1336341221</v>
      </c>
      <c r="E33533" s="1" t="s">
        <v>8578</v>
      </c>
      <c r="F33533" s="2"/>
      <c r="G33533" s="2"/>
      <c r="H33533" s="2"/>
    </row>
    <row r="33534" spans="1:8" x14ac:dyDescent="0.25">
      <c r="A33534" s="1"/>
      <c r="B33534" s="1" t="s">
        <v>8418</v>
      </c>
      <c r="C33534" s="1" t="s">
        <v>8419</v>
      </c>
      <c r="D33534" s="1" t="str">
        <f>HYPERLINK("https://rhld.insurance.arkansas.gov/NPILookup?Npi=1336490721","1336490721")</f>
        <v>1336490721</v>
      </c>
      <c r="E33534" s="1" t="s">
        <v>30492</v>
      </c>
      <c r="F33534" s="2"/>
      <c r="G33534" s="2"/>
      <c r="H33534" s="2"/>
    </row>
    <row r="33535" spans="1:8" x14ac:dyDescent="0.25">
      <c r="A33535" s="1"/>
      <c r="B33535" s="1" t="s">
        <v>8418</v>
      </c>
      <c r="C33535" s="1" t="s">
        <v>8419</v>
      </c>
      <c r="D33535" s="1" t="str">
        <f>HYPERLINK("https://rhld.insurance.arkansas.gov/NPILookup?Npi=1336500511","1336500511")</f>
        <v>1336500511</v>
      </c>
      <c r="E33535" s="1" t="s">
        <v>30493</v>
      </c>
      <c r="F33535" s="2"/>
      <c r="G33535" s="2"/>
      <c r="H33535" s="2"/>
    </row>
    <row r="33536" spans="1:8" x14ac:dyDescent="0.25">
      <c r="A33536" s="1"/>
      <c r="B33536" s="1" t="s">
        <v>8418</v>
      </c>
      <c r="C33536" s="1" t="s">
        <v>8419</v>
      </c>
      <c r="D33536" s="1" t="str">
        <f>HYPERLINK("https://rhld.insurance.arkansas.gov/NPILookup?Npi=1336505593","1336505593")</f>
        <v>1336505593</v>
      </c>
      <c r="E33536" s="1" t="s">
        <v>30494</v>
      </c>
      <c r="F33536" s="2"/>
      <c r="G33536" s="2"/>
      <c r="H33536" s="2"/>
    </row>
    <row r="33537" spans="1:8" x14ac:dyDescent="0.25">
      <c r="A33537" s="1"/>
      <c r="B33537" s="1" t="s">
        <v>8418</v>
      </c>
      <c r="C33537" s="1" t="s">
        <v>8419</v>
      </c>
      <c r="D33537" s="1" t="str">
        <f>HYPERLINK("https://rhld.insurance.arkansas.gov/NPILookup?Npi=1336520824","1336520824")</f>
        <v>1336520824</v>
      </c>
      <c r="E33537" s="1" t="s">
        <v>8579</v>
      </c>
      <c r="F33537" s="2"/>
      <c r="G33537" s="2"/>
      <c r="H33537" s="2"/>
    </row>
    <row r="33538" spans="1:8" x14ac:dyDescent="0.25">
      <c r="A33538" s="1"/>
      <c r="B33538" s="1" t="s">
        <v>8418</v>
      </c>
      <c r="C33538" s="1" t="s">
        <v>8419</v>
      </c>
      <c r="D33538" s="1" t="str">
        <f>HYPERLINK("https://rhld.insurance.arkansas.gov/NPILookup?Npi=1336560341","1336560341")</f>
        <v>1336560341</v>
      </c>
      <c r="E33538" s="1" t="s">
        <v>30495</v>
      </c>
      <c r="F33538" s="2"/>
      <c r="G33538" s="2"/>
      <c r="H33538" s="2"/>
    </row>
    <row r="33539" spans="1:8" x14ac:dyDescent="0.25">
      <c r="A33539" s="1"/>
      <c r="B33539" s="1" t="s">
        <v>8418</v>
      </c>
      <c r="C33539" s="1" t="s">
        <v>8419</v>
      </c>
      <c r="D33539" s="1" t="str">
        <f>HYPERLINK("https://rhld.insurance.arkansas.gov/NPILookup?Npi=1336664358","1336664358")</f>
        <v>1336664358</v>
      </c>
      <c r="E33539" s="1" t="s">
        <v>30496</v>
      </c>
      <c r="F33539" s="2"/>
      <c r="G33539" s="2"/>
      <c r="H33539" s="2"/>
    </row>
    <row r="33540" spans="1:8" x14ac:dyDescent="0.25">
      <c r="A33540" s="1"/>
      <c r="B33540" s="1" t="s">
        <v>8418</v>
      </c>
      <c r="C33540" s="1" t="s">
        <v>8419</v>
      </c>
      <c r="D33540" s="1" t="str">
        <f>HYPERLINK("https://rhld.insurance.arkansas.gov/NPILookup?Npi=1336754399","1336754399")</f>
        <v>1336754399</v>
      </c>
      <c r="E33540" s="1" t="s">
        <v>14128</v>
      </c>
      <c r="F33540" s="2"/>
      <c r="G33540" s="2"/>
      <c r="H33540" s="2"/>
    </row>
    <row r="33541" spans="1:8" x14ac:dyDescent="0.25">
      <c r="A33541" s="1"/>
      <c r="B33541" s="1" t="s">
        <v>8418</v>
      </c>
      <c r="C33541" s="1" t="s">
        <v>8419</v>
      </c>
      <c r="D33541" s="1" t="str">
        <f>HYPERLINK("https://rhld.insurance.arkansas.gov/NPILookup?Npi=1336761568","1336761568")</f>
        <v>1336761568</v>
      </c>
      <c r="E33541" s="1" t="s">
        <v>8580</v>
      </c>
      <c r="F33541" s="2"/>
      <c r="G33541" s="2"/>
      <c r="H33541" s="2"/>
    </row>
    <row r="33542" spans="1:8" x14ac:dyDescent="0.25">
      <c r="A33542" s="1"/>
      <c r="B33542" s="1" t="s">
        <v>8418</v>
      </c>
      <c r="C33542" s="1" t="s">
        <v>8419</v>
      </c>
      <c r="D33542" s="1" t="str">
        <f>HYPERLINK("https://rhld.insurance.arkansas.gov/NPILookup?Npi=1336788728","1336788728")</f>
        <v>1336788728</v>
      </c>
      <c r="E33542" s="1" t="s">
        <v>30497</v>
      </c>
      <c r="F33542" s="2"/>
      <c r="G33542" s="2"/>
      <c r="H33542" s="2"/>
    </row>
    <row r="33543" spans="1:8" x14ac:dyDescent="0.25">
      <c r="A33543" s="1"/>
      <c r="B33543" s="1" t="s">
        <v>8418</v>
      </c>
      <c r="C33543" s="1" t="s">
        <v>8419</v>
      </c>
      <c r="D33543" s="1" t="str">
        <f>HYPERLINK("https://rhld.insurance.arkansas.gov/NPILookup?Npi=1336800127","1336800127")</f>
        <v>1336800127</v>
      </c>
      <c r="E33543" s="1" t="s">
        <v>30498</v>
      </c>
      <c r="F33543" s="2"/>
      <c r="G33543" s="2"/>
      <c r="H33543" s="2"/>
    </row>
    <row r="33544" spans="1:8" x14ac:dyDescent="0.25">
      <c r="A33544" s="1"/>
      <c r="B33544" s="1" t="s">
        <v>8418</v>
      </c>
      <c r="C33544" s="1" t="s">
        <v>8419</v>
      </c>
      <c r="D33544" s="1" t="str">
        <f>HYPERLINK("https://rhld.insurance.arkansas.gov/NPILookup?Npi=1336971977","1336971977")</f>
        <v>1336971977</v>
      </c>
      <c r="E33544" s="1" t="s">
        <v>32521</v>
      </c>
      <c r="F33544" s="2"/>
      <c r="G33544" s="2"/>
      <c r="H33544" s="2"/>
    </row>
    <row r="33545" spans="1:8" x14ac:dyDescent="0.25">
      <c r="A33545" s="1"/>
      <c r="B33545" s="1" t="s">
        <v>8418</v>
      </c>
      <c r="C33545" s="1" t="s">
        <v>8419</v>
      </c>
      <c r="D33545" s="1" t="str">
        <f>HYPERLINK("https://rhld.insurance.arkansas.gov/NPILookup?Npi=1346220894","1346220894")</f>
        <v>1346220894</v>
      </c>
      <c r="E33545" s="1" t="s">
        <v>8581</v>
      </c>
      <c r="F33545" s="2"/>
      <c r="G33545" s="2"/>
      <c r="H33545" s="2"/>
    </row>
    <row r="33546" spans="1:8" x14ac:dyDescent="0.25">
      <c r="A33546" s="1"/>
      <c r="B33546" s="1" t="s">
        <v>8418</v>
      </c>
      <c r="C33546" s="1" t="s">
        <v>8419</v>
      </c>
      <c r="D33546" s="1" t="str">
        <f>HYPERLINK("https://rhld.insurance.arkansas.gov/NPILookup?Npi=1346303005","1346303005")</f>
        <v>1346303005</v>
      </c>
      <c r="E33546" s="1" t="s">
        <v>2670</v>
      </c>
      <c r="F33546" s="2"/>
      <c r="G33546" s="2"/>
      <c r="H33546" s="2"/>
    </row>
    <row r="33547" spans="1:8" x14ac:dyDescent="0.25">
      <c r="A33547" s="1"/>
      <c r="B33547" s="1" t="s">
        <v>8418</v>
      </c>
      <c r="C33547" s="1" t="s">
        <v>8419</v>
      </c>
      <c r="D33547" s="1" t="str">
        <f>HYPERLINK("https://rhld.insurance.arkansas.gov/NPILookup?Npi=1346364890","1346364890")</f>
        <v>1346364890</v>
      </c>
      <c r="E33547" s="1" t="s">
        <v>8582</v>
      </c>
      <c r="F33547" s="2"/>
      <c r="G33547" s="2"/>
      <c r="H33547" s="2"/>
    </row>
    <row r="33548" spans="1:8" x14ac:dyDescent="0.25">
      <c r="A33548" s="1"/>
      <c r="B33548" s="1" t="s">
        <v>8418</v>
      </c>
      <c r="C33548" s="1" t="s">
        <v>8419</v>
      </c>
      <c r="D33548" s="1" t="str">
        <f>HYPERLINK("https://rhld.insurance.arkansas.gov/NPILookup?Npi=1346398955","1346398955")</f>
        <v>1346398955</v>
      </c>
      <c r="E33548" s="1" t="s">
        <v>30499</v>
      </c>
      <c r="F33548" s="2"/>
      <c r="G33548" s="2"/>
      <c r="H33548" s="2"/>
    </row>
    <row r="33549" spans="1:8" x14ac:dyDescent="0.25">
      <c r="A33549" s="1"/>
      <c r="B33549" s="1" t="s">
        <v>8418</v>
      </c>
      <c r="C33549" s="1" t="s">
        <v>8419</v>
      </c>
      <c r="D33549" s="1" t="str">
        <f>HYPERLINK("https://rhld.insurance.arkansas.gov/NPILookup?Npi=1346423043","1346423043")</f>
        <v>1346423043</v>
      </c>
      <c r="E33549" s="1" t="s">
        <v>30500</v>
      </c>
      <c r="F33549" s="2"/>
      <c r="G33549" s="2"/>
      <c r="H33549" s="2"/>
    </row>
    <row r="33550" spans="1:8" x14ac:dyDescent="0.25">
      <c r="A33550" s="1"/>
      <c r="B33550" s="1" t="s">
        <v>8418</v>
      </c>
      <c r="C33550" s="1" t="s">
        <v>8419</v>
      </c>
      <c r="D33550" s="1" t="str">
        <f>HYPERLINK("https://rhld.insurance.arkansas.gov/NPILookup?Npi=1346475761","1346475761")</f>
        <v>1346475761</v>
      </c>
      <c r="E33550" s="1" t="s">
        <v>179</v>
      </c>
      <c r="F33550" s="2"/>
      <c r="G33550" s="2"/>
      <c r="H33550" s="2"/>
    </row>
    <row r="33551" spans="1:8" x14ac:dyDescent="0.25">
      <c r="A33551" s="1"/>
      <c r="B33551" s="1" t="s">
        <v>8418</v>
      </c>
      <c r="C33551" s="1" t="s">
        <v>8419</v>
      </c>
      <c r="D33551" s="1" t="str">
        <f>HYPERLINK("https://rhld.insurance.arkansas.gov/NPILookup?Npi=1346476892","1346476892")</f>
        <v>1346476892</v>
      </c>
      <c r="E33551" s="1" t="s">
        <v>8583</v>
      </c>
      <c r="F33551" s="2"/>
      <c r="G33551" s="2"/>
      <c r="H33551" s="2"/>
    </row>
    <row r="33552" spans="1:8" x14ac:dyDescent="0.25">
      <c r="A33552" s="1"/>
      <c r="B33552" s="1" t="s">
        <v>8418</v>
      </c>
      <c r="C33552" s="1" t="s">
        <v>8419</v>
      </c>
      <c r="D33552" s="1" t="str">
        <f>HYPERLINK("https://rhld.insurance.arkansas.gov/NPILookup?Npi=1346521978","1346521978")</f>
        <v>1346521978</v>
      </c>
      <c r="E33552" s="1" t="s">
        <v>30501</v>
      </c>
      <c r="F33552" s="2"/>
      <c r="G33552" s="2"/>
      <c r="H33552" s="2"/>
    </row>
    <row r="33553" spans="1:8" x14ac:dyDescent="0.25">
      <c r="A33553" s="1"/>
      <c r="B33553" s="1" t="s">
        <v>8418</v>
      </c>
      <c r="C33553" s="1" t="s">
        <v>8419</v>
      </c>
      <c r="D33553" s="1" t="str">
        <f>HYPERLINK("https://rhld.insurance.arkansas.gov/NPILookup?Npi=1346566502","1346566502")</f>
        <v>1346566502</v>
      </c>
      <c r="E33553" s="1" t="s">
        <v>21913</v>
      </c>
      <c r="F33553" s="2"/>
      <c r="G33553" s="2"/>
      <c r="H33553" s="2"/>
    </row>
    <row r="33554" spans="1:8" x14ac:dyDescent="0.25">
      <c r="A33554" s="1"/>
      <c r="B33554" s="1" t="s">
        <v>8418</v>
      </c>
      <c r="C33554" s="1" t="s">
        <v>8419</v>
      </c>
      <c r="D33554" s="1" t="str">
        <f>HYPERLINK("https://rhld.insurance.arkansas.gov/NPILookup?Npi=1346583366","1346583366")</f>
        <v>1346583366</v>
      </c>
      <c r="E33554" s="1" t="s">
        <v>30502</v>
      </c>
      <c r="F33554" s="2"/>
      <c r="G33554" s="2"/>
      <c r="H33554" s="2"/>
    </row>
    <row r="33555" spans="1:8" x14ac:dyDescent="0.25">
      <c r="A33555" s="1"/>
      <c r="B33555" s="1" t="s">
        <v>8418</v>
      </c>
      <c r="C33555" s="1" t="s">
        <v>8419</v>
      </c>
      <c r="D33555" s="1" t="str">
        <f>HYPERLINK("https://rhld.insurance.arkansas.gov/NPILookup?Npi=1346620416","1346620416")</f>
        <v>1346620416</v>
      </c>
      <c r="E33555" s="1" t="s">
        <v>30503</v>
      </c>
      <c r="F33555" s="2"/>
      <c r="G33555" s="2"/>
      <c r="H33555" s="2"/>
    </row>
    <row r="33556" spans="1:8" x14ac:dyDescent="0.25">
      <c r="A33556" s="1"/>
      <c r="B33556" s="1" t="s">
        <v>8418</v>
      </c>
      <c r="C33556" s="1" t="s">
        <v>8419</v>
      </c>
      <c r="D33556" s="1" t="str">
        <f>HYPERLINK("https://rhld.insurance.arkansas.gov/NPILookup?Npi=1346664463","1346664463")</f>
        <v>1346664463</v>
      </c>
      <c r="E33556" s="1" t="s">
        <v>8584</v>
      </c>
      <c r="F33556" s="2"/>
      <c r="G33556" s="2"/>
      <c r="H33556" s="2"/>
    </row>
    <row r="33557" spans="1:8" x14ac:dyDescent="0.25">
      <c r="A33557" s="1"/>
      <c r="B33557" s="1" t="s">
        <v>8418</v>
      </c>
      <c r="C33557" s="1" t="s">
        <v>8419</v>
      </c>
      <c r="D33557" s="1" t="str">
        <f>HYPERLINK("https://rhld.insurance.arkansas.gov/NPILookup?Npi=1346693900","1346693900")</f>
        <v>1346693900</v>
      </c>
      <c r="E33557" s="1" t="s">
        <v>30504</v>
      </c>
      <c r="F33557" s="2"/>
      <c r="G33557" s="2"/>
      <c r="H33557" s="2"/>
    </row>
    <row r="33558" spans="1:8" x14ac:dyDescent="0.25">
      <c r="A33558" s="1"/>
      <c r="B33558" s="1" t="s">
        <v>8418</v>
      </c>
      <c r="C33558" s="1" t="s">
        <v>8419</v>
      </c>
      <c r="D33558" s="1" t="str">
        <f>HYPERLINK("https://rhld.insurance.arkansas.gov/NPILookup?Npi=1346723210","1346723210")</f>
        <v>1346723210</v>
      </c>
      <c r="E33558" s="1" t="s">
        <v>8585</v>
      </c>
      <c r="F33558" s="2"/>
      <c r="G33558" s="2"/>
      <c r="H33558" s="2"/>
    </row>
    <row r="33559" spans="1:8" x14ac:dyDescent="0.25">
      <c r="A33559" s="1"/>
      <c r="B33559" s="1" t="s">
        <v>8418</v>
      </c>
      <c r="C33559" s="1" t="s">
        <v>8419</v>
      </c>
      <c r="D33559" s="1" t="str">
        <f>HYPERLINK("https://rhld.insurance.arkansas.gov/NPILookup?Npi=1346726726","1346726726")</f>
        <v>1346726726</v>
      </c>
      <c r="E33559" s="1" t="s">
        <v>30505</v>
      </c>
      <c r="F33559" s="2"/>
      <c r="G33559" s="2"/>
      <c r="H33559" s="2"/>
    </row>
    <row r="33560" spans="1:8" x14ac:dyDescent="0.25">
      <c r="A33560" s="1"/>
      <c r="B33560" s="1" t="s">
        <v>8418</v>
      </c>
      <c r="C33560" s="1" t="s">
        <v>8419</v>
      </c>
      <c r="D33560" s="1" t="str">
        <f>HYPERLINK("https://rhld.insurance.arkansas.gov/NPILookup?Npi=1346897535","1346897535")</f>
        <v>1346897535</v>
      </c>
      <c r="E33560" s="1" t="s">
        <v>8586</v>
      </c>
      <c r="F33560" s="2"/>
      <c r="G33560" s="2"/>
      <c r="H33560" s="2"/>
    </row>
    <row r="33561" spans="1:8" x14ac:dyDescent="0.25">
      <c r="A33561" s="1"/>
      <c r="B33561" s="1" t="s">
        <v>8418</v>
      </c>
      <c r="C33561" s="1" t="s">
        <v>8419</v>
      </c>
      <c r="D33561" s="1" t="str">
        <f>HYPERLINK("https://rhld.insurance.arkansas.gov/NPILookup?Npi=1346908910","1346908910")</f>
        <v>1346908910</v>
      </c>
      <c r="E33561" s="1" t="s">
        <v>8587</v>
      </c>
      <c r="F33561" s="2"/>
      <c r="G33561" s="2"/>
      <c r="H33561" s="2"/>
    </row>
    <row r="33562" spans="1:8" x14ac:dyDescent="0.25">
      <c r="A33562" s="1"/>
      <c r="B33562" s="1" t="s">
        <v>8418</v>
      </c>
      <c r="C33562" s="1" t="s">
        <v>8419</v>
      </c>
      <c r="D33562" s="1" t="str">
        <f>HYPERLINK("https://rhld.insurance.arkansas.gov/NPILookup?Npi=1346923117","1346923117")</f>
        <v>1346923117</v>
      </c>
      <c r="E33562" s="1" t="s">
        <v>30506</v>
      </c>
      <c r="F33562" s="2"/>
      <c r="G33562" s="2"/>
      <c r="H33562" s="2"/>
    </row>
    <row r="33563" spans="1:8" x14ac:dyDescent="0.25">
      <c r="A33563" s="1"/>
      <c r="B33563" s="1" t="s">
        <v>8418</v>
      </c>
      <c r="C33563" s="1" t="s">
        <v>8419</v>
      </c>
      <c r="D33563" s="1" t="str">
        <f>HYPERLINK("https://rhld.insurance.arkansas.gov/NPILookup?Npi=1346923638","1346923638")</f>
        <v>1346923638</v>
      </c>
      <c r="E33563" s="1" t="s">
        <v>32522</v>
      </c>
      <c r="F33563" s="2"/>
      <c r="G33563" s="2"/>
      <c r="H33563" s="2"/>
    </row>
    <row r="33564" spans="1:8" x14ac:dyDescent="0.25">
      <c r="A33564" s="1"/>
      <c r="B33564" s="1" t="s">
        <v>8418</v>
      </c>
      <c r="C33564" s="1" t="s">
        <v>8419</v>
      </c>
      <c r="D33564" s="1" t="str">
        <f>HYPERLINK("https://rhld.insurance.arkansas.gov/NPILookup?Npi=1346934189","1346934189")</f>
        <v>1346934189</v>
      </c>
      <c r="E33564" s="1" t="s">
        <v>8588</v>
      </c>
      <c r="F33564" s="2"/>
      <c r="G33564" s="2"/>
      <c r="H33564" s="2"/>
    </row>
    <row r="33565" spans="1:8" x14ac:dyDescent="0.25">
      <c r="A33565" s="1"/>
      <c r="B33565" s="1" t="s">
        <v>8418</v>
      </c>
      <c r="C33565" s="1" t="s">
        <v>8419</v>
      </c>
      <c r="D33565" s="1" t="str">
        <f>HYPERLINK("https://rhld.insurance.arkansas.gov/NPILookup?Npi=1346934338","1346934338")</f>
        <v>1346934338</v>
      </c>
      <c r="E33565" s="1" t="s">
        <v>8589</v>
      </c>
      <c r="F33565" s="2"/>
      <c r="G33565" s="2"/>
      <c r="H33565" s="2"/>
    </row>
    <row r="33566" spans="1:8" x14ac:dyDescent="0.25">
      <c r="A33566" s="1"/>
      <c r="B33566" s="1" t="s">
        <v>8418</v>
      </c>
      <c r="C33566" s="1" t="s">
        <v>8419</v>
      </c>
      <c r="D33566" s="1" t="str">
        <f>HYPERLINK("https://rhld.insurance.arkansas.gov/NPILookup?Npi=1346970472","1346970472")</f>
        <v>1346970472</v>
      </c>
      <c r="E33566" s="1" t="s">
        <v>30507</v>
      </c>
      <c r="F33566" s="2"/>
      <c r="G33566" s="2"/>
      <c r="H33566" s="2"/>
    </row>
    <row r="33567" spans="1:8" x14ac:dyDescent="0.25">
      <c r="A33567" s="1"/>
      <c r="B33567" s="1" t="s">
        <v>8418</v>
      </c>
      <c r="C33567" s="1" t="s">
        <v>8419</v>
      </c>
      <c r="D33567" s="1" t="str">
        <f>HYPERLINK("https://rhld.insurance.arkansas.gov/NPILookup?Npi=1356025084","1356025084")</f>
        <v>1356025084</v>
      </c>
      <c r="E33567" s="1" t="s">
        <v>30508</v>
      </c>
      <c r="F33567" s="2"/>
      <c r="G33567" s="2"/>
      <c r="H33567" s="2"/>
    </row>
    <row r="33568" spans="1:8" x14ac:dyDescent="0.25">
      <c r="A33568" s="1"/>
      <c r="B33568" s="1" t="s">
        <v>8418</v>
      </c>
      <c r="C33568" s="1" t="s">
        <v>8419</v>
      </c>
      <c r="D33568" s="1" t="str">
        <f>HYPERLINK("https://rhld.insurance.arkansas.gov/NPILookup?Npi=1356111256","1356111256")</f>
        <v>1356111256</v>
      </c>
      <c r="E33568" s="1" t="s">
        <v>8590</v>
      </c>
      <c r="F33568" s="2"/>
      <c r="G33568" s="2"/>
      <c r="H33568" s="2"/>
    </row>
    <row r="33569" spans="1:8" x14ac:dyDescent="0.25">
      <c r="A33569" s="1"/>
      <c r="B33569" s="1" t="s">
        <v>8418</v>
      </c>
      <c r="C33569" s="1" t="s">
        <v>8419</v>
      </c>
      <c r="D33569" s="1" t="str">
        <f>HYPERLINK("https://rhld.insurance.arkansas.gov/NPILookup?Npi=1356351613","1356351613")</f>
        <v>1356351613</v>
      </c>
      <c r="E33569" s="1" t="s">
        <v>14129</v>
      </c>
      <c r="F33569" s="2"/>
      <c r="G33569" s="2"/>
      <c r="H33569" s="2"/>
    </row>
    <row r="33570" spans="1:8" x14ac:dyDescent="0.25">
      <c r="A33570" s="1"/>
      <c r="B33570" s="1" t="s">
        <v>8418</v>
      </c>
      <c r="C33570" s="1" t="s">
        <v>8419</v>
      </c>
      <c r="D33570" s="1" t="str">
        <f>HYPERLINK("https://rhld.insurance.arkansas.gov/NPILookup?Npi=1356379366","1356379366")</f>
        <v>1356379366</v>
      </c>
      <c r="E33570" s="1" t="s">
        <v>30509</v>
      </c>
      <c r="F33570" s="2"/>
      <c r="G33570" s="2"/>
      <c r="H33570" s="2"/>
    </row>
    <row r="33571" spans="1:8" x14ac:dyDescent="0.25">
      <c r="A33571" s="1"/>
      <c r="B33571" s="1" t="s">
        <v>8418</v>
      </c>
      <c r="C33571" s="1" t="s">
        <v>8419</v>
      </c>
      <c r="D33571" s="1" t="str">
        <f>HYPERLINK("https://rhld.insurance.arkansas.gov/NPILookup?Npi=1356461909","1356461909")</f>
        <v>1356461909</v>
      </c>
      <c r="E33571" s="1" t="s">
        <v>8591</v>
      </c>
      <c r="F33571" s="2"/>
      <c r="G33571" s="2"/>
      <c r="H33571" s="2"/>
    </row>
    <row r="33572" spans="1:8" x14ac:dyDescent="0.25">
      <c r="A33572" s="1"/>
      <c r="B33572" s="1" t="s">
        <v>8418</v>
      </c>
      <c r="C33572" s="1" t="s">
        <v>8419</v>
      </c>
      <c r="D33572" s="1" t="str">
        <f>HYPERLINK("https://rhld.insurance.arkansas.gov/NPILookup?Npi=1356466171","1356466171")</f>
        <v>1356466171</v>
      </c>
      <c r="E33572" s="1" t="s">
        <v>14130</v>
      </c>
      <c r="F33572" s="2"/>
      <c r="G33572" s="2"/>
      <c r="H33572" s="2"/>
    </row>
    <row r="33573" spans="1:8" x14ac:dyDescent="0.25">
      <c r="A33573" s="1"/>
      <c r="B33573" s="1" t="s">
        <v>8418</v>
      </c>
      <c r="C33573" s="1" t="s">
        <v>8419</v>
      </c>
      <c r="D33573" s="1" t="str">
        <f>HYPERLINK("https://rhld.insurance.arkansas.gov/NPILookup?Npi=1356486443","1356486443")</f>
        <v>1356486443</v>
      </c>
      <c r="E33573" s="1" t="s">
        <v>30510</v>
      </c>
      <c r="F33573" s="2"/>
      <c r="G33573" s="2"/>
      <c r="H33573" s="2"/>
    </row>
    <row r="33574" spans="1:8" x14ac:dyDescent="0.25">
      <c r="A33574" s="1"/>
      <c r="B33574" s="1" t="s">
        <v>8418</v>
      </c>
      <c r="C33574" s="1" t="s">
        <v>8419</v>
      </c>
      <c r="D33574" s="1" t="str">
        <f>HYPERLINK("https://rhld.insurance.arkansas.gov/NPILookup?Npi=1356493100","1356493100")</f>
        <v>1356493100</v>
      </c>
      <c r="E33574" s="1" t="s">
        <v>30511</v>
      </c>
      <c r="F33574" s="2"/>
      <c r="G33574" s="2"/>
      <c r="H33574" s="2"/>
    </row>
    <row r="33575" spans="1:8" x14ac:dyDescent="0.25">
      <c r="A33575" s="1"/>
      <c r="B33575" s="1" t="s">
        <v>8418</v>
      </c>
      <c r="C33575" s="1" t="s">
        <v>8419</v>
      </c>
      <c r="D33575" s="1" t="str">
        <f>HYPERLINK("https://rhld.insurance.arkansas.gov/NPILookup?Npi=1356534432","1356534432")</f>
        <v>1356534432</v>
      </c>
      <c r="E33575" s="1" t="s">
        <v>30512</v>
      </c>
      <c r="F33575" s="2"/>
      <c r="G33575" s="2"/>
      <c r="H33575" s="2"/>
    </row>
    <row r="33576" spans="1:8" x14ac:dyDescent="0.25">
      <c r="A33576" s="1"/>
      <c r="B33576" s="1" t="s">
        <v>8418</v>
      </c>
      <c r="C33576" s="1" t="s">
        <v>8419</v>
      </c>
      <c r="D33576" s="1" t="str">
        <f>HYPERLINK("https://rhld.insurance.arkansas.gov/NPILookup?Npi=1356552822","1356552822")</f>
        <v>1356552822</v>
      </c>
      <c r="E33576" s="1" t="s">
        <v>30513</v>
      </c>
      <c r="F33576" s="2"/>
      <c r="G33576" s="2"/>
      <c r="H33576" s="2"/>
    </row>
    <row r="33577" spans="1:8" x14ac:dyDescent="0.25">
      <c r="A33577" s="1"/>
      <c r="B33577" s="1" t="s">
        <v>8418</v>
      </c>
      <c r="C33577" s="1" t="s">
        <v>8419</v>
      </c>
      <c r="D33577" s="1" t="str">
        <f>HYPERLINK("https://rhld.insurance.arkansas.gov/NPILookup?Npi=1356630081","1356630081")</f>
        <v>1356630081</v>
      </c>
      <c r="E33577" s="1" t="s">
        <v>30514</v>
      </c>
      <c r="F33577" s="2"/>
      <c r="G33577" s="2"/>
      <c r="H33577" s="2"/>
    </row>
    <row r="33578" spans="1:8" x14ac:dyDescent="0.25">
      <c r="A33578" s="1"/>
      <c r="B33578" s="1" t="s">
        <v>8418</v>
      </c>
      <c r="C33578" s="1" t="s">
        <v>8419</v>
      </c>
      <c r="D33578" s="1" t="str">
        <f>HYPERLINK("https://rhld.insurance.arkansas.gov/NPILookup?Npi=1356655203","1356655203")</f>
        <v>1356655203</v>
      </c>
      <c r="E33578" s="1" t="s">
        <v>30515</v>
      </c>
      <c r="F33578" s="2"/>
      <c r="G33578" s="2"/>
      <c r="H33578" s="2"/>
    </row>
    <row r="33579" spans="1:8" x14ac:dyDescent="0.25">
      <c r="A33579" s="1"/>
      <c r="B33579" s="1" t="s">
        <v>8418</v>
      </c>
      <c r="C33579" s="1" t="s">
        <v>8419</v>
      </c>
      <c r="D33579" s="1" t="str">
        <f>HYPERLINK("https://rhld.insurance.arkansas.gov/NPILookup?Npi=1356656722","1356656722")</f>
        <v>1356656722</v>
      </c>
      <c r="E33579" s="1" t="s">
        <v>3104</v>
      </c>
      <c r="F33579" s="2"/>
      <c r="G33579" s="2"/>
      <c r="H33579" s="2"/>
    </row>
    <row r="33580" spans="1:8" x14ac:dyDescent="0.25">
      <c r="A33580" s="1"/>
      <c r="B33580" s="1" t="s">
        <v>8418</v>
      </c>
      <c r="C33580" s="1" t="s">
        <v>8419</v>
      </c>
      <c r="D33580" s="1" t="str">
        <f>HYPERLINK("https://rhld.insurance.arkansas.gov/NPILookup?Npi=1356678908","1356678908")</f>
        <v>1356678908</v>
      </c>
      <c r="E33580" s="1" t="s">
        <v>8592</v>
      </c>
      <c r="F33580" s="2"/>
      <c r="G33580" s="2"/>
      <c r="H33580" s="2"/>
    </row>
    <row r="33581" spans="1:8" x14ac:dyDescent="0.25">
      <c r="A33581" s="1"/>
      <c r="B33581" s="1" t="s">
        <v>8418</v>
      </c>
      <c r="C33581" s="1" t="s">
        <v>8419</v>
      </c>
      <c r="D33581" s="1" t="str">
        <f>HYPERLINK("https://rhld.insurance.arkansas.gov/NPILookup?Npi=1356729081","1356729081")</f>
        <v>1356729081</v>
      </c>
      <c r="E33581" s="1" t="s">
        <v>8593</v>
      </c>
      <c r="F33581" s="2"/>
      <c r="G33581" s="2"/>
      <c r="H33581" s="2"/>
    </row>
    <row r="33582" spans="1:8" x14ac:dyDescent="0.25">
      <c r="A33582" s="1"/>
      <c r="B33582" s="1" t="s">
        <v>8418</v>
      </c>
      <c r="C33582" s="1" t="s">
        <v>8419</v>
      </c>
      <c r="D33582" s="1" t="str">
        <f>HYPERLINK("https://rhld.insurance.arkansas.gov/NPILookup?Npi=1356776140","1356776140")</f>
        <v>1356776140</v>
      </c>
      <c r="E33582" s="1" t="s">
        <v>8594</v>
      </c>
      <c r="F33582" s="2"/>
      <c r="G33582" s="2"/>
      <c r="H33582" s="2"/>
    </row>
    <row r="33583" spans="1:8" x14ac:dyDescent="0.25">
      <c r="A33583" s="1"/>
      <c r="B33583" s="1" t="s">
        <v>8418</v>
      </c>
      <c r="C33583" s="1" t="s">
        <v>8419</v>
      </c>
      <c r="D33583" s="1" t="str">
        <f>HYPERLINK("https://rhld.insurance.arkansas.gov/NPILookup?Npi=1356828321","1356828321")</f>
        <v>1356828321</v>
      </c>
      <c r="E33583" s="1" t="s">
        <v>14131</v>
      </c>
      <c r="F33583" s="2"/>
      <c r="G33583" s="2"/>
      <c r="H33583" s="2"/>
    </row>
    <row r="33584" spans="1:8" x14ac:dyDescent="0.25">
      <c r="A33584" s="1"/>
      <c r="B33584" s="1" t="s">
        <v>8418</v>
      </c>
      <c r="C33584" s="1" t="s">
        <v>8419</v>
      </c>
      <c r="D33584" s="1" t="str">
        <f>HYPERLINK("https://rhld.insurance.arkansas.gov/NPILookup?Npi=1356829808","1356829808")</f>
        <v>1356829808</v>
      </c>
      <c r="E33584" s="1" t="s">
        <v>30516</v>
      </c>
      <c r="F33584" s="2"/>
      <c r="G33584" s="2"/>
      <c r="H33584" s="2"/>
    </row>
    <row r="33585" spans="1:8" x14ac:dyDescent="0.25">
      <c r="A33585" s="1"/>
      <c r="B33585" s="1" t="s">
        <v>8418</v>
      </c>
      <c r="C33585" s="1" t="s">
        <v>8419</v>
      </c>
      <c r="D33585" s="1" t="str">
        <f>HYPERLINK("https://rhld.insurance.arkansas.gov/NPILookup?Npi=1356848048","1356848048")</f>
        <v>1356848048</v>
      </c>
      <c r="E33585" s="1" t="s">
        <v>30517</v>
      </c>
      <c r="F33585" s="2"/>
      <c r="G33585" s="2"/>
      <c r="H33585" s="2"/>
    </row>
    <row r="33586" spans="1:8" x14ac:dyDescent="0.25">
      <c r="A33586" s="1"/>
      <c r="B33586" s="1" t="s">
        <v>8418</v>
      </c>
      <c r="C33586" s="1" t="s">
        <v>8419</v>
      </c>
      <c r="D33586" s="1" t="str">
        <f>HYPERLINK("https://rhld.insurance.arkansas.gov/NPILookup?Npi=1356854384","1356854384")</f>
        <v>1356854384</v>
      </c>
      <c r="E33586" s="1" t="s">
        <v>30518</v>
      </c>
      <c r="F33586" s="2"/>
      <c r="G33586" s="2"/>
      <c r="H33586" s="2"/>
    </row>
    <row r="33587" spans="1:8" x14ac:dyDescent="0.25">
      <c r="A33587" s="1"/>
      <c r="B33587" s="1" t="s">
        <v>8418</v>
      </c>
      <c r="C33587" s="1" t="s">
        <v>8419</v>
      </c>
      <c r="D33587" s="1" t="str">
        <f>HYPERLINK("https://rhld.insurance.arkansas.gov/NPILookup?Npi=1356857759","1356857759")</f>
        <v>1356857759</v>
      </c>
      <c r="E33587" s="1" t="s">
        <v>30519</v>
      </c>
      <c r="F33587" s="2"/>
      <c r="G33587" s="2"/>
      <c r="H33587" s="2"/>
    </row>
    <row r="33588" spans="1:8" x14ac:dyDescent="0.25">
      <c r="A33588" s="1"/>
      <c r="B33588" s="1" t="s">
        <v>8418</v>
      </c>
      <c r="C33588" s="1" t="s">
        <v>8419</v>
      </c>
      <c r="D33588" s="1" t="str">
        <f>HYPERLINK("https://rhld.insurance.arkansas.gov/NPILookup?Npi=1356880827","1356880827")</f>
        <v>1356880827</v>
      </c>
      <c r="E33588" s="1" t="s">
        <v>30520</v>
      </c>
      <c r="F33588" s="2"/>
      <c r="G33588" s="2"/>
      <c r="H33588" s="2"/>
    </row>
    <row r="33589" spans="1:8" x14ac:dyDescent="0.25">
      <c r="A33589" s="1"/>
      <c r="B33589" s="1" t="s">
        <v>8418</v>
      </c>
      <c r="C33589" s="1" t="s">
        <v>8419</v>
      </c>
      <c r="D33589" s="1" t="str">
        <f>HYPERLINK("https://rhld.insurance.arkansas.gov/NPILookup?Npi=1356905624","1356905624")</f>
        <v>1356905624</v>
      </c>
      <c r="E33589" s="1" t="s">
        <v>30521</v>
      </c>
      <c r="F33589" s="2"/>
      <c r="G33589" s="2"/>
      <c r="H33589" s="2"/>
    </row>
    <row r="33590" spans="1:8" x14ac:dyDescent="0.25">
      <c r="A33590" s="1"/>
      <c r="B33590" s="1" t="s">
        <v>8418</v>
      </c>
      <c r="C33590" s="1" t="s">
        <v>8419</v>
      </c>
      <c r="D33590" s="1" t="str">
        <f>HYPERLINK("https://rhld.insurance.arkansas.gov/NPILookup?Npi=1356906556","1356906556")</f>
        <v>1356906556</v>
      </c>
      <c r="E33590" s="1" t="s">
        <v>8595</v>
      </c>
      <c r="F33590" s="2"/>
      <c r="G33590" s="2"/>
      <c r="H33590" s="2"/>
    </row>
    <row r="33591" spans="1:8" x14ac:dyDescent="0.25">
      <c r="A33591" s="1"/>
      <c r="B33591" s="1" t="s">
        <v>8418</v>
      </c>
      <c r="C33591" s="1" t="s">
        <v>8419</v>
      </c>
      <c r="D33591" s="1" t="str">
        <f>HYPERLINK("https://rhld.insurance.arkansas.gov/NPILookup?Npi=1356919187","1356919187")</f>
        <v>1356919187</v>
      </c>
      <c r="E33591" s="1" t="s">
        <v>32523</v>
      </c>
      <c r="F33591" s="2"/>
      <c r="G33591" s="2"/>
      <c r="H33591" s="2"/>
    </row>
    <row r="33592" spans="1:8" x14ac:dyDescent="0.25">
      <c r="A33592" s="1"/>
      <c r="B33592" s="1" t="s">
        <v>8418</v>
      </c>
      <c r="C33592" s="1" t="s">
        <v>8419</v>
      </c>
      <c r="D33592" s="1" t="str">
        <f>HYPERLINK("https://rhld.insurance.arkansas.gov/NPILookup?Npi=1356980551","1356980551")</f>
        <v>1356980551</v>
      </c>
      <c r="E33592" s="1" t="s">
        <v>8596</v>
      </c>
      <c r="F33592" s="2"/>
      <c r="G33592" s="2"/>
      <c r="H33592" s="2"/>
    </row>
    <row r="33593" spans="1:8" x14ac:dyDescent="0.25">
      <c r="A33593" s="1"/>
      <c r="B33593" s="1" t="s">
        <v>8418</v>
      </c>
      <c r="C33593" s="1" t="s">
        <v>8419</v>
      </c>
      <c r="D33593" s="1" t="str">
        <f>HYPERLINK("https://rhld.insurance.arkansas.gov/NPILookup?Npi=1366017386","1366017386")</f>
        <v>1366017386</v>
      </c>
      <c r="E33593" s="1" t="s">
        <v>30522</v>
      </c>
      <c r="F33593" s="2"/>
      <c r="G33593" s="2"/>
      <c r="H33593" s="2"/>
    </row>
    <row r="33594" spans="1:8" x14ac:dyDescent="0.25">
      <c r="A33594" s="1"/>
      <c r="B33594" s="1" t="s">
        <v>8418</v>
      </c>
      <c r="C33594" s="1" t="s">
        <v>8419</v>
      </c>
      <c r="D33594" s="1" t="str">
        <f>HYPERLINK("https://rhld.insurance.arkansas.gov/NPILookup?Npi=1366117475","1366117475")</f>
        <v>1366117475</v>
      </c>
      <c r="E33594" s="1" t="s">
        <v>30523</v>
      </c>
      <c r="F33594" s="2"/>
      <c r="G33594" s="2"/>
      <c r="H33594" s="2"/>
    </row>
    <row r="33595" spans="1:8" x14ac:dyDescent="0.25">
      <c r="A33595" s="1"/>
      <c r="B33595" s="1" t="s">
        <v>8418</v>
      </c>
      <c r="C33595" s="1" t="s">
        <v>8419</v>
      </c>
      <c r="D33595" s="1" t="str">
        <f>HYPERLINK("https://rhld.insurance.arkansas.gov/NPILookup?Npi=1366184962","1366184962")</f>
        <v>1366184962</v>
      </c>
      <c r="E33595" s="1" t="s">
        <v>8597</v>
      </c>
      <c r="F33595" s="2"/>
      <c r="G33595" s="2"/>
      <c r="H33595" s="2"/>
    </row>
    <row r="33596" spans="1:8" x14ac:dyDescent="0.25">
      <c r="A33596" s="1"/>
      <c r="B33596" s="1" t="s">
        <v>8418</v>
      </c>
      <c r="C33596" s="1" t="s">
        <v>8419</v>
      </c>
      <c r="D33596" s="1" t="str">
        <f>HYPERLINK("https://rhld.insurance.arkansas.gov/NPILookup?Npi=1366264764","1366264764")</f>
        <v>1366264764</v>
      </c>
      <c r="E33596" s="1" t="s">
        <v>32524</v>
      </c>
      <c r="F33596" s="2"/>
      <c r="G33596" s="2"/>
      <c r="H33596" s="2"/>
    </row>
    <row r="33597" spans="1:8" x14ac:dyDescent="0.25">
      <c r="A33597" s="1"/>
      <c r="B33597" s="1" t="s">
        <v>8418</v>
      </c>
      <c r="C33597" s="1" t="s">
        <v>8419</v>
      </c>
      <c r="D33597" s="1" t="str">
        <f>HYPERLINK("https://rhld.insurance.arkansas.gov/NPILookup?Npi=1366508806","1366508806")</f>
        <v>1366508806</v>
      </c>
      <c r="E33597" s="1" t="s">
        <v>30524</v>
      </c>
      <c r="F33597" s="2"/>
      <c r="G33597" s="2"/>
      <c r="H33597" s="2"/>
    </row>
    <row r="33598" spans="1:8" x14ac:dyDescent="0.25">
      <c r="A33598" s="1"/>
      <c r="B33598" s="1" t="s">
        <v>8418</v>
      </c>
      <c r="C33598" s="1" t="s">
        <v>8419</v>
      </c>
      <c r="D33598" s="1" t="str">
        <f>HYPERLINK("https://rhld.insurance.arkansas.gov/NPILookup?Npi=1366529596","1366529596")</f>
        <v>1366529596</v>
      </c>
      <c r="E33598" s="1" t="s">
        <v>30525</v>
      </c>
      <c r="F33598" s="2"/>
      <c r="G33598" s="2"/>
      <c r="H33598" s="2"/>
    </row>
    <row r="33599" spans="1:8" x14ac:dyDescent="0.25">
      <c r="A33599" s="1"/>
      <c r="B33599" s="1" t="s">
        <v>8418</v>
      </c>
      <c r="C33599" s="1" t="s">
        <v>8419</v>
      </c>
      <c r="D33599" s="1" t="str">
        <f>HYPERLINK("https://rhld.insurance.arkansas.gov/NPILookup?Npi=1366567422","1366567422")</f>
        <v>1366567422</v>
      </c>
      <c r="E33599" s="1" t="s">
        <v>951</v>
      </c>
      <c r="F33599" s="2"/>
      <c r="G33599" s="2"/>
      <c r="H33599" s="2"/>
    </row>
    <row r="33600" spans="1:8" x14ac:dyDescent="0.25">
      <c r="A33600" s="1"/>
      <c r="B33600" s="1" t="s">
        <v>8418</v>
      </c>
      <c r="C33600" s="1" t="s">
        <v>8419</v>
      </c>
      <c r="D33600" s="1" t="str">
        <f>HYPERLINK("https://rhld.insurance.arkansas.gov/NPILookup?Npi=1366594772","1366594772")</f>
        <v>1366594772</v>
      </c>
      <c r="E33600" s="1" t="s">
        <v>8598</v>
      </c>
      <c r="F33600" s="2"/>
      <c r="G33600" s="2"/>
      <c r="H33600" s="2"/>
    </row>
    <row r="33601" spans="1:8" x14ac:dyDescent="0.25">
      <c r="A33601" s="1"/>
      <c r="B33601" s="1" t="s">
        <v>8418</v>
      </c>
      <c r="C33601" s="1" t="s">
        <v>8419</v>
      </c>
      <c r="D33601" s="1" t="str">
        <f>HYPERLINK("https://rhld.insurance.arkansas.gov/NPILookup?Npi=1366619462","1366619462")</f>
        <v>1366619462</v>
      </c>
      <c r="E33601" s="1" t="s">
        <v>14132</v>
      </c>
      <c r="F33601" s="2"/>
      <c r="G33601" s="2"/>
      <c r="H33601" s="2"/>
    </row>
    <row r="33602" spans="1:8" x14ac:dyDescent="0.25">
      <c r="A33602" s="1"/>
      <c r="B33602" s="1" t="s">
        <v>8418</v>
      </c>
      <c r="C33602" s="1" t="s">
        <v>8419</v>
      </c>
      <c r="D33602" s="1" t="str">
        <f>HYPERLINK("https://rhld.insurance.arkansas.gov/NPILookup?Npi=1366636953","1366636953")</f>
        <v>1366636953</v>
      </c>
      <c r="E33602" s="1" t="s">
        <v>30526</v>
      </c>
      <c r="F33602" s="2"/>
      <c r="G33602" s="2"/>
      <c r="H33602" s="2"/>
    </row>
    <row r="33603" spans="1:8" x14ac:dyDescent="0.25">
      <c r="A33603" s="1"/>
      <c r="B33603" s="1" t="s">
        <v>8418</v>
      </c>
      <c r="C33603" s="1" t="s">
        <v>8419</v>
      </c>
      <c r="D33603" s="1" t="str">
        <f>HYPERLINK("https://rhld.insurance.arkansas.gov/NPILookup?Npi=1366713638","1366713638")</f>
        <v>1366713638</v>
      </c>
      <c r="E33603" s="1" t="s">
        <v>26765</v>
      </c>
      <c r="F33603" s="2"/>
      <c r="G33603" s="2"/>
      <c r="H33603" s="2"/>
    </row>
    <row r="33604" spans="1:8" x14ac:dyDescent="0.25">
      <c r="A33604" s="1"/>
      <c r="B33604" s="1" t="s">
        <v>8418</v>
      </c>
      <c r="C33604" s="1" t="s">
        <v>8419</v>
      </c>
      <c r="D33604" s="1" t="str">
        <f>HYPERLINK("https://rhld.insurance.arkansas.gov/NPILookup?Npi=1366729592","1366729592")</f>
        <v>1366729592</v>
      </c>
      <c r="E33604" s="1" t="s">
        <v>30527</v>
      </c>
      <c r="F33604" s="2"/>
      <c r="G33604" s="2"/>
      <c r="H33604" s="2"/>
    </row>
    <row r="33605" spans="1:8" x14ac:dyDescent="0.25">
      <c r="A33605" s="1"/>
      <c r="B33605" s="1" t="s">
        <v>8418</v>
      </c>
      <c r="C33605" s="1" t="s">
        <v>8419</v>
      </c>
      <c r="D33605" s="1" t="str">
        <f>HYPERLINK("https://rhld.insurance.arkansas.gov/NPILookup?Npi=1366757478","1366757478")</f>
        <v>1366757478</v>
      </c>
      <c r="E33605" s="1" t="s">
        <v>30528</v>
      </c>
      <c r="F33605" s="2"/>
      <c r="G33605" s="2"/>
      <c r="H33605" s="2"/>
    </row>
    <row r="33606" spans="1:8" x14ac:dyDescent="0.25">
      <c r="A33606" s="1"/>
      <c r="B33606" s="1" t="s">
        <v>8418</v>
      </c>
      <c r="C33606" s="1" t="s">
        <v>8419</v>
      </c>
      <c r="D33606" s="1" t="str">
        <f>HYPERLINK("https://rhld.insurance.arkansas.gov/NPILookup?Npi=1366792806","1366792806")</f>
        <v>1366792806</v>
      </c>
      <c r="E33606" s="1" t="s">
        <v>5729</v>
      </c>
      <c r="F33606" s="2"/>
      <c r="G33606" s="2"/>
      <c r="H33606" s="2"/>
    </row>
    <row r="33607" spans="1:8" x14ac:dyDescent="0.25">
      <c r="A33607" s="1"/>
      <c r="B33607" s="1" t="s">
        <v>8418</v>
      </c>
      <c r="C33607" s="1" t="s">
        <v>8419</v>
      </c>
      <c r="D33607" s="1" t="str">
        <f>HYPERLINK("https://rhld.insurance.arkansas.gov/NPILookup?Npi=1366828063","1366828063")</f>
        <v>1366828063</v>
      </c>
      <c r="E33607" s="1" t="s">
        <v>11015</v>
      </c>
      <c r="F33607" s="2"/>
      <c r="G33607" s="2"/>
      <c r="H33607" s="2"/>
    </row>
    <row r="33608" spans="1:8" x14ac:dyDescent="0.25">
      <c r="A33608" s="1"/>
      <c r="B33608" s="1" t="s">
        <v>8418</v>
      </c>
      <c r="C33608" s="1" t="s">
        <v>8419</v>
      </c>
      <c r="D33608" s="1" t="str">
        <f>HYPERLINK("https://rhld.insurance.arkansas.gov/NPILookup?Npi=1366829020","1366829020")</f>
        <v>1366829020</v>
      </c>
      <c r="E33608" s="1" t="s">
        <v>5878</v>
      </c>
      <c r="F33608" s="2"/>
      <c r="G33608" s="2"/>
      <c r="H33608" s="2"/>
    </row>
    <row r="33609" spans="1:8" x14ac:dyDescent="0.25">
      <c r="A33609" s="1"/>
      <c r="B33609" s="1" t="s">
        <v>8418</v>
      </c>
      <c r="C33609" s="1" t="s">
        <v>8419</v>
      </c>
      <c r="D33609" s="1" t="str">
        <f>HYPERLINK("https://rhld.insurance.arkansas.gov/NPILookup?Npi=1366874935","1366874935")</f>
        <v>1366874935</v>
      </c>
      <c r="E33609" s="1" t="s">
        <v>30529</v>
      </c>
      <c r="F33609" s="2"/>
      <c r="G33609" s="2"/>
      <c r="H33609" s="2"/>
    </row>
    <row r="33610" spans="1:8" x14ac:dyDescent="0.25">
      <c r="A33610" s="1"/>
      <c r="B33610" s="1" t="s">
        <v>8418</v>
      </c>
      <c r="C33610" s="1" t="s">
        <v>8419</v>
      </c>
      <c r="D33610" s="1" t="str">
        <f>HYPERLINK("https://rhld.insurance.arkansas.gov/NPILookup?Npi=1366898256","1366898256")</f>
        <v>1366898256</v>
      </c>
      <c r="E33610" s="1" t="s">
        <v>30530</v>
      </c>
      <c r="F33610" s="2"/>
      <c r="G33610" s="2"/>
      <c r="H33610" s="2"/>
    </row>
    <row r="33611" spans="1:8" x14ac:dyDescent="0.25">
      <c r="A33611" s="1"/>
      <c r="B33611" s="1" t="s">
        <v>8418</v>
      </c>
      <c r="C33611" s="1" t="s">
        <v>8419</v>
      </c>
      <c r="D33611" s="1" t="str">
        <f>HYPERLINK("https://rhld.insurance.arkansas.gov/NPILookup?Npi=1366942971","1366942971")</f>
        <v>1366942971</v>
      </c>
      <c r="E33611" s="1" t="s">
        <v>30531</v>
      </c>
      <c r="F33611" s="2"/>
      <c r="G33611" s="2"/>
      <c r="H33611" s="2"/>
    </row>
    <row r="33612" spans="1:8" x14ac:dyDescent="0.25">
      <c r="A33612" s="1"/>
      <c r="B33612" s="1" t="s">
        <v>8418</v>
      </c>
      <c r="C33612" s="1" t="s">
        <v>8419</v>
      </c>
      <c r="D33612" s="1" t="str">
        <f>HYPERLINK("https://rhld.insurance.arkansas.gov/NPILookup?Npi=1366970170","1366970170")</f>
        <v>1366970170</v>
      </c>
      <c r="E33612" s="1" t="s">
        <v>30532</v>
      </c>
      <c r="F33612" s="2"/>
      <c r="G33612" s="2"/>
      <c r="H33612" s="2"/>
    </row>
    <row r="33613" spans="1:8" x14ac:dyDescent="0.25">
      <c r="A33613" s="1"/>
      <c r="B33613" s="1" t="s">
        <v>8418</v>
      </c>
      <c r="C33613" s="1" t="s">
        <v>8419</v>
      </c>
      <c r="D33613" s="1" t="str">
        <f>HYPERLINK("https://rhld.insurance.arkansas.gov/NPILookup?Npi=1366990269","1366990269")</f>
        <v>1366990269</v>
      </c>
      <c r="E33613" s="1" t="s">
        <v>30533</v>
      </c>
      <c r="F33613" s="2"/>
      <c r="G33613" s="2"/>
      <c r="H33613" s="2"/>
    </row>
    <row r="33614" spans="1:8" x14ac:dyDescent="0.25">
      <c r="A33614" s="1"/>
      <c r="B33614" s="1" t="s">
        <v>8418</v>
      </c>
      <c r="C33614" s="1" t="s">
        <v>8419</v>
      </c>
      <c r="D33614" s="1" t="str">
        <f>HYPERLINK("https://rhld.insurance.arkansas.gov/NPILookup?Npi=1376032912","1376032912")</f>
        <v>1376032912</v>
      </c>
      <c r="E33614" s="1" t="s">
        <v>30534</v>
      </c>
      <c r="F33614" s="2"/>
      <c r="G33614" s="2"/>
      <c r="H33614" s="2"/>
    </row>
    <row r="33615" spans="1:8" x14ac:dyDescent="0.25">
      <c r="A33615" s="1"/>
      <c r="B33615" s="1" t="s">
        <v>8418</v>
      </c>
      <c r="C33615" s="1" t="s">
        <v>8419</v>
      </c>
      <c r="D33615" s="1" t="str">
        <f>HYPERLINK("https://rhld.insurance.arkansas.gov/NPILookup?Npi=1376071340","1376071340")</f>
        <v>1376071340</v>
      </c>
      <c r="E33615" s="1" t="s">
        <v>30535</v>
      </c>
      <c r="F33615" s="2"/>
      <c r="G33615" s="2"/>
      <c r="H33615" s="2"/>
    </row>
    <row r="33616" spans="1:8" x14ac:dyDescent="0.25">
      <c r="A33616" s="1"/>
      <c r="B33616" s="1" t="s">
        <v>8418</v>
      </c>
      <c r="C33616" s="1" t="s">
        <v>8419</v>
      </c>
      <c r="D33616" s="1" t="str">
        <f>HYPERLINK("https://rhld.insurance.arkansas.gov/NPILookup?Npi=1376114280","1376114280")</f>
        <v>1376114280</v>
      </c>
      <c r="E33616" s="1" t="s">
        <v>30536</v>
      </c>
      <c r="F33616" s="2"/>
      <c r="G33616" s="2"/>
      <c r="H33616" s="2"/>
    </row>
    <row r="33617" spans="1:8" x14ac:dyDescent="0.25">
      <c r="A33617" s="1"/>
      <c r="B33617" s="1" t="s">
        <v>8418</v>
      </c>
      <c r="C33617" s="1" t="s">
        <v>8419</v>
      </c>
      <c r="D33617" s="1" t="str">
        <f>HYPERLINK("https://rhld.insurance.arkansas.gov/NPILookup?Npi=1376156679","1376156679")</f>
        <v>1376156679</v>
      </c>
      <c r="E33617" s="1" t="s">
        <v>30537</v>
      </c>
      <c r="F33617" s="2"/>
      <c r="G33617" s="2"/>
      <c r="H33617" s="2"/>
    </row>
    <row r="33618" spans="1:8" x14ac:dyDescent="0.25">
      <c r="A33618" s="1"/>
      <c r="B33618" s="1" t="s">
        <v>8418</v>
      </c>
      <c r="C33618" s="1" t="s">
        <v>8419</v>
      </c>
      <c r="D33618" s="1" t="str">
        <f>HYPERLINK("https://rhld.insurance.arkansas.gov/NPILookup?Npi=1376229989","1376229989")</f>
        <v>1376229989</v>
      </c>
      <c r="E33618" s="1" t="s">
        <v>30538</v>
      </c>
      <c r="F33618" s="2"/>
      <c r="G33618" s="2"/>
      <c r="H33618" s="2"/>
    </row>
    <row r="33619" spans="1:8" x14ac:dyDescent="0.25">
      <c r="A33619" s="1"/>
      <c r="B33619" s="1" t="s">
        <v>8418</v>
      </c>
      <c r="C33619" s="1" t="s">
        <v>8419</v>
      </c>
      <c r="D33619" s="1" t="str">
        <f>HYPERLINK("https://rhld.insurance.arkansas.gov/NPILookup?Npi=1376283515","1376283515")</f>
        <v>1376283515</v>
      </c>
      <c r="E33619" s="1" t="s">
        <v>30539</v>
      </c>
      <c r="F33619" s="2"/>
      <c r="G33619" s="2"/>
      <c r="H33619" s="2"/>
    </row>
    <row r="33620" spans="1:8" x14ac:dyDescent="0.25">
      <c r="A33620" s="1"/>
      <c r="B33620" s="1" t="s">
        <v>8418</v>
      </c>
      <c r="C33620" s="1" t="s">
        <v>8419</v>
      </c>
      <c r="D33620" s="1" t="str">
        <f>HYPERLINK("https://rhld.insurance.arkansas.gov/NPILookup?Npi=1376327619","1376327619")</f>
        <v>1376327619</v>
      </c>
      <c r="E33620" s="1" t="s">
        <v>30540</v>
      </c>
      <c r="F33620" s="2"/>
      <c r="G33620" s="2"/>
      <c r="H33620" s="2"/>
    </row>
    <row r="33621" spans="1:8" x14ac:dyDescent="0.25">
      <c r="A33621" s="1"/>
      <c r="B33621" s="1" t="s">
        <v>8418</v>
      </c>
      <c r="C33621" s="1" t="s">
        <v>8419</v>
      </c>
      <c r="D33621" s="1" t="str">
        <f>HYPERLINK("https://rhld.insurance.arkansas.gov/NPILookup?Npi=1376672246","1376672246")</f>
        <v>1376672246</v>
      </c>
      <c r="E33621" s="1" t="s">
        <v>32525</v>
      </c>
      <c r="F33621" s="2"/>
      <c r="G33621" s="2"/>
      <c r="H33621" s="2"/>
    </row>
    <row r="33622" spans="1:8" x14ac:dyDescent="0.25">
      <c r="A33622" s="1"/>
      <c r="B33622" s="1" t="s">
        <v>8418</v>
      </c>
      <c r="C33622" s="1" t="s">
        <v>8419</v>
      </c>
      <c r="D33622" s="1" t="str">
        <f>HYPERLINK("https://rhld.insurance.arkansas.gov/NPILookup?Npi=1376679845","1376679845")</f>
        <v>1376679845</v>
      </c>
      <c r="E33622" s="1" t="s">
        <v>8599</v>
      </c>
      <c r="F33622" s="2"/>
      <c r="G33622" s="2"/>
      <c r="H33622" s="2"/>
    </row>
    <row r="33623" spans="1:8" x14ac:dyDescent="0.25">
      <c r="A33623" s="1"/>
      <c r="B33623" s="1" t="s">
        <v>8418</v>
      </c>
      <c r="C33623" s="1" t="s">
        <v>8419</v>
      </c>
      <c r="D33623" s="1" t="str">
        <f>HYPERLINK("https://rhld.insurance.arkansas.gov/NPILookup?Npi=1376685107","1376685107")</f>
        <v>1376685107</v>
      </c>
      <c r="E33623" s="1" t="s">
        <v>8600</v>
      </c>
      <c r="F33623" s="2"/>
      <c r="G33623" s="2"/>
      <c r="H33623" s="2"/>
    </row>
    <row r="33624" spans="1:8" x14ac:dyDescent="0.25">
      <c r="A33624" s="1"/>
      <c r="B33624" s="1" t="s">
        <v>8418</v>
      </c>
      <c r="C33624" s="1" t="s">
        <v>8419</v>
      </c>
      <c r="D33624" s="1" t="str">
        <f>HYPERLINK("https://rhld.insurance.arkansas.gov/NPILookup?Npi=1376691568","1376691568")</f>
        <v>1376691568</v>
      </c>
      <c r="E33624" s="1" t="s">
        <v>30541</v>
      </c>
      <c r="F33624" s="2"/>
      <c r="G33624" s="2"/>
      <c r="H33624" s="2"/>
    </row>
    <row r="33625" spans="1:8" x14ac:dyDescent="0.25">
      <c r="A33625" s="1"/>
      <c r="B33625" s="1" t="s">
        <v>8418</v>
      </c>
      <c r="C33625" s="1" t="s">
        <v>8419</v>
      </c>
      <c r="D33625" s="1" t="str">
        <f>HYPERLINK("https://rhld.insurance.arkansas.gov/NPILookup?Npi=1376707893","1376707893")</f>
        <v>1376707893</v>
      </c>
      <c r="E33625" s="1" t="s">
        <v>30542</v>
      </c>
      <c r="F33625" s="2"/>
      <c r="G33625" s="2"/>
      <c r="H33625" s="2"/>
    </row>
    <row r="33626" spans="1:8" x14ac:dyDescent="0.25">
      <c r="A33626" s="1"/>
      <c r="B33626" s="1" t="s">
        <v>8418</v>
      </c>
      <c r="C33626" s="1" t="s">
        <v>8419</v>
      </c>
      <c r="D33626" s="1" t="str">
        <f>HYPERLINK("https://rhld.insurance.arkansas.gov/NPILookup?Npi=1376744797","1376744797")</f>
        <v>1376744797</v>
      </c>
      <c r="E33626" s="1" t="s">
        <v>6393</v>
      </c>
      <c r="F33626" s="2"/>
      <c r="G33626" s="2"/>
      <c r="H33626" s="2"/>
    </row>
    <row r="33627" spans="1:8" x14ac:dyDescent="0.25">
      <c r="A33627" s="1"/>
      <c r="B33627" s="1" t="s">
        <v>8418</v>
      </c>
      <c r="C33627" s="1" t="s">
        <v>8419</v>
      </c>
      <c r="D33627" s="1" t="str">
        <f>HYPERLINK("https://rhld.insurance.arkansas.gov/NPILookup?Npi=1376814822","1376814822")</f>
        <v>1376814822</v>
      </c>
      <c r="E33627" s="1" t="s">
        <v>30543</v>
      </c>
      <c r="F33627" s="2"/>
      <c r="G33627" s="2"/>
      <c r="H33627" s="2"/>
    </row>
    <row r="33628" spans="1:8" x14ac:dyDescent="0.25">
      <c r="A33628" s="1"/>
      <c r="B33628" s="1" t="s">
        <v>8418</v>
      </c>
      <c r="C33628" s="1" t="s">
        <v>8419</v>
      </c>
      <c r="D33628" s="1" t="str">
        <f>HYPERLINK("https://rhld.insurance.arkansas.gov/NPILookup?Npi=1376892265","1376892265")</f>
        <v>1376892265</v>
      </c>
      <c r="E33628" s="1" t="s">
        <v>8601</v>
      </c>
      <c r="F33628" s="2"/>
      <c r="G33628" s="2"/>
      <c r="H33628" s="2"/>
    </row>
    <row r="33629" spans="1:8" x14ac:dyDescent="0.25">
      <c r="A33629" s="1"/>
      <c r="B33629" s="1" t="s">
        <v>8418</v>
      </c>
      <c r="C33629" s="1" t="s">
        <v>8419</v>
      </c>
      <c r="D33629" s="1" t="str">
        <f>HYPERLINK("https://rhld.insurance.arkansas.gov/NPILookup?Npi=1386011377","1386011377")</f>
        <v>1386011377</v>
      </c>
      <c r="E33629" s="1" t="s">
        <v>8602</v>
      </c>
      <c r="F33629" s="2"/>
      <c r="G33629" s="2"/>
      <c r="H33629" s="2"/>
    </row>
    <row r="33630" spans="1:8" x14ac:dyDescent="0.25">
      <c r="A33630" s="1"/>
      <c r="B33630" s="1" t="s">
        <v>8418</v>
      </c>
      <c r="C33630" s="1" t="s">
        <v>8419</v>
      </c>
      <c r="D33630" s="1" t="str">
        <f>HYPERLINK("https://rhld.insurance.arkansas.gov/NPILookup?Npi=1386038594","1386038594")</f>
        <v>1386038594</v>
      </c>
      <c r="E33630" s="1" t="s">
        <v>8603</v>
      </c>
      <c r="F33630" s="2"/>
      <c r="G33630" s="2"/>
      <c r="H33630" s="2"/>
    </row>
    <row r="33631" spans="1:8" x14ac:dyDescent="0.25">
      <c r="A33631" s="1"/>
      <c r="B33631" s="1" t="s">
        <v>8418</v>
      </c>
      <c r="C33631" s="1" t="s">
        <v>8419</v>
      </c>
      <c r="D33631" s="1" t="str">
        <f>HYPERLINK("https://rhld.insurance.arkansas.gov/NPILookup?Npi=1386043008","1386043008")</f>
        <v>1386043008</v>
      </c>
      <c r="E33631" s="1" t="s">
        <v>8604</v>
      </c>
      <c r="F33631" s="2"/>
      <c r="G33631" s="2"/>
      <c r="H33631" s="2"/>
    </row>
    <row r="33632" spans="1:8" x14ac:dyDescent="0.25">
      <c r="A33632" s="1"/>
      <c r="B33632" s="1" t="s">
        <v>8418</v>
      </c>
      <c r="C33632" s="1" t="s">
        <v>8419</v>
      </c>
      <c r="D33632" s="1" t="str">
        <f>HYPERLINK("https://rhld.insurance.arkansas.gov/NPILookup?Npi=1386067643","1386067643")</f>
        <v>1386067643</v>
      </c>
      <c r="E33632" s="1" t="s">
        <v>30544</v>
      </c>
      <c r="F33632" s="2"/>
      <c r="G33632" s="2"/>
      <c r="H33632" s="2"/>
    </row>
    <row r="33633" spans="1:8" x14ac:dyDescent="0.25">
      <c r="A33633" s="1"/>
      <c r="B33633" s="1" t="s">
        <v>8418</v>
      </c>
      <c r="C33633" s="1" t="s">
        <v>8419</v>
      </c>
      <c r="D33633" s="1" t="str">
        <f>HYPERLINK("https://rhld.insurance.arkansas.gov/NPILookup?Npi=1386094530","1386094530")</f>
        <v>1386094530</v>
      </c>
      <c r="E33633" s="1" t="s">
        <v>30545</v>
      </c>
      <c r="F33633" s="2"/>
      <c r="G33633" s="2"/>
      <c r="H33633" s="2"/>
    </row>
    <row r="33634" spans="1:8" x14ac:dyDescent="0.25">
      <c r="A33634" s="1"/>
      <c r="B33634" s="60" t="s">
        <v>8418</v>
      </c>
      <c r="C33634" s="60" t="s">
        <v>8419</v>
      </c>
      <c r="D33634" s="60" t="str">
        <f>HYPERLINK("https://rhld.insurance.arkansas.gov/NPILookup?Npi=1386097137","1386097137")</f>
        <v>1386097137</v>
      </c>
      <c r="E33634" s="60" t="s">
        <v>30546</v>
      </c>
      <c r="F33634" s="61"/>
      <c r="G33634" s="61"/>
      <c r="H33634" s="61"/>
    </row>
    <row r="33635" spans="1:8" x14ac:dyDescent="0.25">
      <c r="A33635" s="1"/>
      <c r="B33635" s="60" t="s">
        <v>8418</v>
      </c>
      <c r="C33635" s="60" t="s">
        <v>8419</v>
      </c>
      <c r="D33635" s="60" t="str">
        <f>HYPERLINK("https://rhld.insurance.arkansas.gov/NPILookup?Npi=1386124683","1386124683")</f>
        <v>1386124683</v>
      </c>
      <c r="E33635" s="60" t="s">
        <v>6063</v>
      </c>
      <c r="F33635" s="61"/>
      <c r="G33635" s="61"/>
      <c r="H33635" s="61"/>
    </row>
    <row r="33636" spans="1:8" x14ac:dyDescent="0.25">
      <c r="B33636" s="60" t="s">
        <v>8418</v>
      </c>
      <c r="C33636" s="60" t="s">
        <v>8419</v>
      </c>
      <c r="D33636" s="60" t="str">
        <f>HYPERLINK("https://rhld.insurance.arkansas.gov/NPILookup?Npi=1386125003","1386125003")</f>
        <v>1386125003</v>
      </c>
      <c r="E33636" s="60" t="s">
        <v>30547</v>
      </c>
      <c r="F33636" s="61"/>
      <c r="G33636" s="61"/>
      <c r="H33636" s="61"/>
    </row>
    <row r="33637" spans="1:8" x14ac:dyDescent="0.25">
      <c r="B33637" s="60" t="s">
        <v>8418</v>
      </c>
      <c r="C33637" s="60" t="s">
        <v>8419</v>
      </c>
      <c r="D33637" s="60" t="str">
        <f>HYPERLINK("https://rhld.insurance.arkansas.gov/NPILookup?Npi=1386126001","1386126001")</f>
        <v>1386126001</v>
      </c>
      <c r="E33637" s="60" t="s">
        <v>14133</v>
      </c>
      <c r="F33637" s="61"/>
      <c r="G33637" s="61"/>
      <c r="H33637" s="61"/>
    </row>
    <row r="33638" spans="1:8" x14ac:dyDescent="0.25">
      <c r="B33638" s="60" t="s">
        <v>8418</v>
      </c>
      <c r="C33638" s="60" t="s">
        <v>8419</v>
      </c>
      <c r="D33638" s="60" t="str">
        <f>HYPERLINK("https://rhld.insurance.arkansas.gov/NPILookup?Npi=1386161784","1386161784")</f>
        <v>1386161784</v>
      </c>
      <c r="E33638" s="60" t="s">
        <v>30548</v>
      </c>
      <c r="F33638" s="61"/>
      <c r="G33638" s="61"/>
      <c r="H33638" s="61"/>
    </row>
    <row r="33639" spans="1:8" x14ac:dyDescent="0.25">
      <c r="B33639" s="60" t="s">
        <v>8418</v>
      </c>
      <c r="C33639" s="60" t="s">
        <v>8419</v>
      </c>
      <c r="D33639" s="60" t="str">
        <f>HYPERLINK("https://rhld.insurance.arkansas.gov/NPILookup?Npi=1386199172","1386199172")</f>
        <v>1386199172</v>
      </c>
      <c r="E33639" s="60" t="s">
        <v>30549</v>
      </c>
      <c r="F33639" s="61"/>
      <c r="G33639" s="61"/>
      <c r="H33639" s="61"/>
    </row>
    <row r="33640" spans="1:8" x14ac:dyDescent="0.25">
      <c r="B33640" s="60" t="s">
        <v>8418</v>
      </c>
      <c r="C33640" s="60" t="s">
        <v>8419</v>
      </c>
      <c r="D33640" s="60" t="str">
        <f>HYPERLINK("https://rhld.insurance.arkansas.gov/NPILookup?Npi=1386217545","1386217545")</f>
        <v>1386217545</v>
      </c>
      <c r="E33640" s="60" t="s">
        <v>8605</v>
      </c>
      <c r="F33640" s="61"/>
      <c r="G33640" s="61"/>
      <c r="H33640" s="61"/>
    </row>
    <row r="33641" spans="1:8" x14ac:dyDescent="0.25">
      <c r="B33641" s="60" t="s">
        <v>8418</v>
      </c>
      <c r="C33641" s="60" t="s">
        <v>8419</v>
      </c>
      <c r="D33641" s="60" t="str">
        <f>HYPERLINK("https://rhld.insurance.arkansas.gov/NPILookup?Npi=1386604635","1386604635")</f>
        <v>1386604635</v>
      </c>
      <c r="E33641" s="60" t="s">
        <v>8606</v>
      </c>
      <c r="F33641" s="61"/>
      <c r="G33641" s="61"/>
      <c r="H33641" s="61"/>
    </row>
    <row r="33642" spans="1:8" x14ac:dyDescent="0.25">
      <c r="B33642" s="60" t="s">
        <v>8418</v>
      </c>
      <c r="C33642" s="60" t="s">
        <v>8419</v>
      </c>
      <c r="D33642" s="60" t="str">
        <f>HYPERLINK("https://rhld.insurance.arkansas.gov/NPILookup?Npi=1386865541","1386865541")</f>
        <v>1386865541</v>
      </c>
      <c r="E33642" s="60" t="s">
        <v>14134</v>
      </c>
      <c r="F33642" s="61"/>
      <c r="G33642" s="61"/>
      <c r="H33642" s="61"/>
    </row>
    <row r="33643" spans="1:8" x14ac:dyDescent="0.25">
      <c r="B33643" s="60" t="s">
        <v>8418</v>
      </c>
      <c r="C33643" s="60" t="s">
        <v>8419</v>
      </c>
      <c r="D33643" s="60" t="str">
        <f>HYPERLINK("https://rhld.insurance.arkansas.gov/NPILookup?Npi=1386868396","1386868396")</f>
        <v>1386868396</v>
      </c>
      <c r="E33643" s="60" t="s">
        <v>14135</v>
      </c>
      <c r="F33643" s="61"/>
      <c r="G33643" s="61"/>
      <c r="H33643" s="61"/>
    </row>
    <row r="33644" spans="1:8" x14ac:dyDescent="0.25">
      <c r="B33644" s="60" t="s">
        <v>8418</v>
      </c>
      <c r="C33644" s="60" t="s">
        <v>8419</v>
      </c>
      <c r="D33644" s="60" t="str">
        <f>HYPERLINK("https://rhld.insurance.arkansas.gov/NPILookup?Npi=1386896496","1386896496")</f>
        <v>1386896496</v>
      </c>
      <c r="E33644" s="60" t="s">
        <v>30550</v>
      </c>
      <c r="F33644" s="61"/>
      <c r="G33644" s="61"/>
      <c r="H33644" s="61"/>
    </row>
    <row r="33645" spans="1:8" x14ac:dyDescent="0.25">
      <c r="B33645" s="60" t="s">
        <v>8418</v>
      </c>
      <c r="C33645" s="60" t="s">
        <v>8419</v>
      </c>
      <c r="D33645" s="60" t="str">
        <f>HYPERLINK("https://rhld.insurance.arkansas.gov/NPILookup?Npi=1386960482","1386960482")</f>
        <v>1386960482</v>
      </c>
      <c r="E33645" s="60" t="s">
        <v>30551</v>
      </c>
      <c r="F33645" s="61"/>
      <c r="G33645" s="61"/>
      <c r="H33645" s="61"/>
    </row>
    <row r="33646" spans="1:8" x14ac:dyDescent="0.25">
      <c r="B33646" s="60" t="s">
        <v>8418</v>
      </c>
      <c r="C33646" s="60" t="s">
        <v>8419</v>
      </c>
      <c r="D33646" s="60" t="str">
        <f>HYPERLINK("https://rhld.insurance.arkansas.gov/NPILookup?Npi=1396002036","1396002036")</f>
        <v>1396002036</v>
      </c>
      <c r="E33646" s="60" t="s">
        <v>26292</v>
      </c>
      <c r="F33646" s="61"/>
      <c r="G33646" s="61"/>
      <c r="H33646" s="61"/>
    </row>
    <row r="33647" spans="1:8" x14ac:dyDescent="0.25">
      <c r="B33647" s="60" t="s">
        <v>8418</v>
      </c>
      <c r="C33647" s="60" t="s">
        <v>8419</v>
      </c>
      <c r="D33647" s="60" t="str">
        <f>HYPERLINK("https://rhld.insurance.arkansas.gov/NPILookup?Npi=1396057345","1396057345")</f>
        <v>1396057345</v>
      </c>
      <c r="E33647" s="60" t="s">
        <v>30552</v>
      </c>
      <c r="F33647" s="61"/>
      <c r="G33647" s="61"/>
      <c r="H33647" s="61"/>
    </row>
    <row r="33648" spans="1:8" x14ac:dyDescent="0.25">
      <c r="B33648" s="60" t="s">
        <v>8418</v>
      </c>
      <c r="C33648" s="60" t="s">
        <v>8419</v>
      </c>
      <c r="D33648" s="60" t="str">
        <f>HYPERLINK("https://rhld.insurance.arkansas.gov/NPILookup?Npi=1396152971","1396152971")</f>
        <v>1396152971</v>
      </c>
      <c r="E33648" s="60" t="s">
        <v>30553</v>
      </c>
      <c r="F33648" s="61"/>
      <c r="G33648" s="61"/>
      <c r="H33648" s="61"/>
    </row>
    <row r="33649" spans="2:8" x14ac:dyDescent="0.25">
      <c r="B33649" s="60" t="s">
        <v>8418</v>
      </c>
      <c r="C33649" s="60" t="s">
        <v>8419</v>
      </c>
      <c r="D33649" s="60" t="str">
        <f>HYPERLINK("https://rhld.insurance.arkansas.gov/NPILookup?Npi=1396182002","1396182002")</f>
        <v>1396182002</v>
      </c>
      <c r="E33649" s="60" t="s">
        <v>30554</v>
      </c>
      <c r="F33649" s="61"/>
      <c r="G33649" s="61"/>
      <c r="H33649" s="61"/>
    </row>
    <row r="33650" spans="2:8" x14ac:dyDescent="0.25">
      <c r="B33650" s="60" t="s">
        <v>8418</v>
      </c>
      <c r="C33650" s="60" t="s">
        <v>8419</v>
      </c>
      <c r="D33650" s="60" t="str">
        <f>HYPERLINK("https://rhld.insurance.arkansas.gov/NPILookup?Npi=1396269627","1396269627")</f>
        <v>1396269627</v>
      </c>
      <c r="E33650" s="60" t="s">
        <v>30555</v>
      </c>
      <c r="F33650" s="61"/>
      <c r="G33650" s="61"/>
      <c r="H33650" s="61"/>
    </row>
    <row r="33651" spans="2:8" x14ac:dyDescent="0.25">
      <c r="B33651" s="60" t="s">
        <v>8418</v>
      </c>
      <c r="C33651" s="60" t="s">
        <v>8419</v>
      </c>
      <c r="D33651" s="60" t="str">
        <f>HYPERLINK("https://rhld.insurance.arkansas.gov/NPILookup?Npi=1396273652","1396273652")</f>
        <v>1396273652</v>
      </c>
      <c r="E33651" s="60" t="s">
        <v>30556</v>
      </c>
      <c r="F33651" s="61"/>
      <c r="G33651" s="61"/>
      <c r="H33651" s="61"/>
    </row>
    <row r="33652" spans="2:8" x14ac:dyDescent="0.25">
      <c r="B33652" s="60" t="s">
        <v>8418</v>
      </c>
      <c r="C33652" s="60" t="s">
        <v>8419</v>
      </c>
      <c r="D33652" s="60" t="str">
        <f>HYPERLINK("https://rhld.insurance.arkansas.gov/NPILookup?Npi=1396319182","1396319182")</f>
        <v>1396319182</v>
      </c>
      <c r="E33652" s="60" t="s">
        <v>8607</v>
      </c>
      <c r="F33652" s="61"/>
      <c r="G33652" s="61"/>
      <c r="H33652" s="61"/>
    </row>
    <row r="33653" spans="2:8" x14ac:dyDescent="0.25">
      <c r="B33653" s="60" t="s">
        <v>8418</v>
      </c>
      <c r="C33653" s="60" t="s">
        <v>8419</v>
      </c>
      <c r="D33653" s="60" t="str">
        <f>HYPERLINK("https://rhld.insurance.arkansas.gov/NPILookup?Npi=1396330320","1396330320")</f>
        <v>1396330320</v>
      </c>
      <c r="E33653" s="60" t="s">
        <v>30557</v>
      </c>
      <c r="F33653" s="61"/>
      <c r="G33653" s="61"/>
      <c r="H33653" s="61"/>
    </row>
    <row r="33654" spans="2:8" x14ac:dyDescent="0.25">
      <c r="B33654" s="60" t="s">
        <v>8418</v>
      </c>
      <c r="C33654" s="60" t="s">
        <v>8419</v>
      </c>
      <c r="D33654" s="60" t="str">
        <f>HYPERLINK("https://rhld.insurance.arkansas.gov/NPILookup?Npi=1396356838","1396356838")</f>
        <v>1396356838</v>
      </c>
      <c r="E33654" s="60" t="s">
        <v>30558</v>
      </c>
      <c r="F33654" s="61"/>
      <c r="G33654" s="61"/>
      <c r="H33654" s="61"/>
    </row>
    <row r="33655" spans="2:8" x14ac:dyDescent="0.25">
      <c r="B33655" s="60" t="s">
        <v>8418</v>
      </c>
      <c r="C33655" s="60" t="s">
        <v>8419</v>
      </c>
      <c r="D33655" s="60" t="str">
        <f>HYPERLINK("https://rhld.insurance.arkansas.gov/NPILookup?Npi=1396388104","1396388104")</f>
        <v>1396388104</v>
      </c>
      <c r="E33655" s="60" t="s">
        <v>30559</v>
      </c>
      <c r="F33655" s="61"/>
      <c r="G33655" s="61"/>
      <c r="H33655" s="61"/>
    </row>
    <row r="33656" spans="2:8" x14ac:dyDescent="0.25">
      <c r="B33656" s="60" t="s">
        <v>8418</v>
      </c>
      <c r="C33656" s="60" t="s">
        <v>8419</v>
      </c>
      <c r="D33656" s="60" t="str">
        <f>HYPERLINK("https://rhld.insurance.arkansas.gov/NPILookup?Npi=1396410676","1396410676")</f>
        <v>1396410676</v>
      </c>
      <c r="E33656" s="60" t="s">
        <v>8608</v>
      </c>
      <c r="F33656" s="61"/>
      <c r="G33656" s="61"/>
      <c r="H33656" s="61"/>
    </row>
    <row r="33657" spans="2:8" x14ac:dyDescent="0.25">
      <c r="B33657" s="60" t="s">
        <v>8418</v>
      </c>
      <c r="C33657" s="60" t="s">
        <v>8419</v>
      </c>
      <c r="D33657" s="60" t="str">
        <f>HYPERLINK("https://rhld.insurance.arkansas.gov/NPILookup?Npi=1396800207","1396800207")</f>
        <v>1396800207</v>
      </c>
      <c r="E33657" s="60" t="s">
        <v>8609</v>
      </c>
      <c r="F33657" s="61"/>
      <c r="G33657" s="61"/>
      <c r="H33657" s="61"/>
    </row>
    <row r="33658" spans="2:8" x14ac:dyDescent="0.25">
      <c r="B33658" s="60" t="s">
        <v>8418</v>
      </c>
      <c r="C33658" s="60" t="s">
        <v>8419</v>
      </c>
      <c r="D33658" s="60" t="str">
        <f>HYPERLINK("https://rhld.insurance.arkansas.gov/NPILookup?Npi=1396833356","1396833356")</f>
        <v>1396833356</v>
      </c>
      <c r="E33658" s="60" t="s">
        <v>5510</v>
      </c>
      <c r="F33658" s="61"/>
      <c r="G33658" s="61"/>
      <c r="H33658" s="61"/>
    </row>
    <row r="33659" spans="2:8" x14ac:dyDescent="0.25">
      <c r="B33659" s="60" t="s">
        <v>8418</v>
      </c>
      <c r="C33659" s="60" t="s">
        <v>8419</v>
      </c>
      <c r="D33659" s="60" t="str">
        <f>HYPERLINK("https://rhld.insurance.arkansas.gov/NPILookup?Npi=1396840831","1396840831")</f>
        <v>1396840831</v>
      </c>
      <c r="E33659" s="60" t="s">
        <v>14136</v>
      </c>
      <c r="F33659" s="61"/>
      <c r="G33659" s="61"/>
      <c r="H33659" s="61"/>
    </row>
    <row r="33660" spans="2:8" x14ac:dyDescent="0.25">
      <c r="B33660" s="60" t="s">
        <v>8418</v>
      </c>
      <c r="C33660" s="60" t="s">
        <v>8419</v>
      </c>
      <c r="D33660" s="60" t="str">
        <f>HYPERLINK("https://rhld.insurance.arkansas.gov/NPILookup?Npi=1396909669","1396909669")</f>
        <v>1396909669</v>
      </c>
      <c r="E33660" s="60" t="s">
        <v>8610</v>
      </c>
      <c r="F33660" s="61"/>
      <c r="G33660" s="61"/>
      <c r="H33660" s="61"/>
    </row>
    <row r="33661" spans="2:8" x14ac:dyDescent="0.25">
      <c r="B33661" s="60" t="s">
        <v>8418</v>
      </c>
      <c r="C33661" s="60" t="s">
        <v>8419</v>
      </c>
      <c r="D33661" s="60" t="str">
        <f>HYPERLINK("https://rhld.insurance.arkansas.gov/NPILookup?Npi=1396913505","1396913505")</f>
        <v>1396913505</v>
      </c>
      <c r="E33661" s="60" t="s">
        <v>30560</v>
      </c>
      <c r="F33661" s="61"/>
      <c r="G33661" s="61"/>
      <c r="H33661" s="61"/>
    </row>
    <row r="33662" spans="2:8" x14ac:dyDescent="0.25">
      <c r="B33662" s="60" t="s">
        <v>8418</v>
      </c>
      <c r="C33662" s="60" t="s">
        <v>8419</v>
      </c>
      <c r="D33662" s="60" t="str">
        <f>HYPERLINK("https://rhld.insurance.arkansas.gov/NPILookup?Npi=1396919395","1396919395")</f>
        <v>1396919395</v>
      </c>
      <c r="E33662" s="60" t="s">
        <v>30561</v>
      </c>
      <c r="F33662" s="61"/>
      <c r="G33662" s="61"/>
      <c r="H33662" s="61"/>
    </row>
    <row r="33663" spans="2:8" x14ac:dyDescent="0.25">
      <c r="B33663" s="60" t="s">
        <v>8418</v>
      </c>
      <c r="C33663" s="60" t="s">
        <v>8419</v>
      </c>
      <c r="D33663" s="60" t="str">
        <f>HYPERLINK("https://rhld.insurance.arkansas.gov/NPILookup?Npi=1396985321","1396985321")</f>
        <v>1396985321</v>
      </c>
      <c r="E33663" s="60" t="s">
        <v>14137</v>
      </c>
      <c r="F33663" s="61"/>
      <c r="G33663" s="61"/>
      <c r="H33663" s="61"/>
    </row>
    <row r="33664" spans="2:8" x14ac:dyDescent="0.25">
      <c r="B33664" s="60" t="s">
        <v>8418</v>
      </c>
      <c r="C33664" s="60" t="s">
        <v>8419</v>
      </c>
      <c r="D33664" s="60" t="str">
        <f>HYPERLINK("https://rhld.insurance.arkansas.gov/NPILookup?Npi=1396986568","1396986568")</f>
        <v>1396986568</v>
      </c>
      <c r="E33664" s="60" t="s">
        <v>6740</v>
      </c>
      <c r="F33664" s="61"/>
      <c r="G33664" s="61"/>
      <c r="H33664" s="61"/>
    </row>
    <row r="33665" spans="2:8" x14ac:dyDescent="0.25">
      <c r="B33665" s="60" t="s">
        <v>8418</v>
      </c>
      <c r="C33665" s="60" t="s">
        <v>8419</v>
      </c>
      <c r="D33665" s="60" t="str">
        <f>HYPERLINK("https://rhld.insurance.arkansas.gov/NPILookup?Npi=1396987640","1396987640")</f>
        <v>1396987640</v>
      </c>
      <c r="E33665" s="60" t="s">
        <v>30562</v>
      </c>
      <c r="F33665" s="61"/>
      <c r="G33665" s="61"/>
      <c r="H33665" s="61"/>
    </row>
    <row r="33666" spans="2:8" x14ac:dyDescent="0.25">
      <c r="B33666" s="60" t="s">
        <v>8418</v>
      </c>
      <c r="C33666" s="60" t="s">
        <v>8419</v>
      </c>
      <c r="D33666" s="60" t="str">
        <f>HYPERLINK("https://rhld.insurance.arkansas.gov/NPILookup?Npi=1396992467","1396992467")</f>
        <v>1396992467</v>
      </c>
      <c r="E33666" s="60" t="s">
        <v>30563</v>
      </c>
      <c r="F33666" s="61"/>
      <c r="G33666" s="61"/>
      <c r="H33666" s="61"/>
    </row>
    <row r="33667" spans="2:8" x14ac:dyDescent="0.25">
      <c r="B33667" s="60" t="s">
        <v>8418</v>
      </c>
      <c r="C33667" s="60" t="s">
        <v>8419</v>
      </c>
      <c r="D33667" s="60" t="str">
        <f>HYPERLINK("https://rhld.insurance.arkansas.gov/NPILookup?Npi=1396997417","1396997417")</f>
        <v>1396997417</v>
      </c>
      <c r="E33667" s="60" t="s">
        <v>30564</v>
      </c>
      <c r="F33667" s="61"/>
      <c r="G33667" s="61"/>
      <c r="H33667" s="61"/>
    </row>
    <row r="33668" spans="2:8" x14ac:dyDescent="0.25">
      <c r="B33668" s="60" t="s">
        <v>8418</v>
      </c>
      <c r="C33668" s="60" t="s">
        <v>8419</v>
      </c>
      <c r="D33668" s="60" t="str">
        <f>HYPERLINK("https://rhld.insurance.arkansas.gov/NPILookup?Npi=1407008451","1407008451")</f>
        <v>1407008451</v>
      </c>
      <c r="E33668" s="60" t="s">
        <v>8611</v>
      </c>
      <c r="F33668" s="61"/>
      <c r="G33668" s="61"/>
      <c r="H33668" s="61"/>
    </row>
    <row r="33669" spans="2:8" x14ac:dyDescent="0.25">
      <c r="B33669" s="60" t="s">
        <v>8418</v>
      </c>
      <c r="C33669" s="60" t="s">
        <v>8419</v>
      </c>
      <c r="D33669" s="60" t="str">
        <f>HYPERLINK("https://rhld.insurance.arkansas.gov/NPILookup?Npi=1407043086","1407043086")</f>
        <v>1407043086</v>
      </c>
      <c r="E33669" s="60" t="s">
        <v>30565</v>
      </c>
      <c r="F33669" s="61"/>
      <c r="G33669" s="61"/>
      <c r="H33669" s="61"/>
    </row>
    <row r="33670" spans="2:8" x14ac:dyDescent="0.25">
      <c r="B33670" s="60" t="s">
        <v>8418</v>
      </c>
      <c r="C33670" s="60" t="s">
        <v>8419</v>
      </c>
      <c r="D33670" s="60" t="str">
        <f>HYPERLINK("https://rhld.insurance.arkansas.gov/NPILookup?Npi=1407077688","1407077688")</f>
        <v>1407077688</v>
      </c>
      <c r="E33670" s="60" t="s">
        <v>14138</v>
      </c>
      <c r="F33670" s="61"/>
      <c r="G33670" s="61"/>
      <c r="H33670" s="61"/>
    </row>
    <row r="33671" spans="2:8" x14ac:dyDescent="0.25">
      <c r="B33671" s="60" t="s">
        <v>8418</v>
      </c>
      <c r="C33671" s="60" t="s">
        <v>8419</v>
      </c>
      <c r="D33671" s="60" t="str">
        <f>HYPERLINK("https://rhld.insurance.arkansas.gov/NPILookup?Npi=1407106065","1407106065")</f>
        <v>1407106065</v>
      </c>
      <c r="E33671" s="60" t="s">
        <v>14139</v>
      </c>
      <c r="F33671" s="61"/>
      <c r="G33671" s="61"/>
      <c r="H33671" s="61"/>
    </row>
    <row r="33672" spans="2:8" x14ac:dyDescent="0.25">
      <c r="B33672" s="60" t="s">
        <v>8418</v>
      </c>
      <c r="C33672" s="60" t="s">
        <v>8419</v>
      </c>
      <c r="D33672" s="60" t="str">
        <f>HYPERLINK("https://rhld.insurance.arkansas.gov/NPILookup?Npi=1407127632","1407127632")</f>
        <v>1407127632</v>
      </c>
      <c r="E33672" s="60" t="s">
        <v>30566</v>
      </c>
      <c r="F33672" s="61"/>
      <c r="G33672" s="61"/>
      <c r="H33672" s="61"/>
    </row>
    <row r="33673" spans="2:8" x14ac:dyDescent="0.25">
      <c r="B33673" s="60" t="s">
        <v>8418</v>
      </c>
      <c r="C33673" s="60" t="s">
        <v>8419</v>
      </c>
      <c r="D33673" s="60" t="str">
        <f>HYPERLINK("https://rhld.insurance.arkansas.gov/NPILookup?Npi=1407153935","1407153935")</f>
        <v>1407153935</v>
      </c>
      <c r="E33673" s="60" t="s">
        <v>30567</v>
      </c>
      <c r="F33673" s="61"/>
      <c r="G33673" s="61"/>
      <c r="H33673" s="61"/>
    </row>
    <row r="33674" spans="2:8" x14ac:dyDescent="0.25">
      <c r="B33674" s="60" t="s">
        <v>8418</v>
      </c>
      <c r="C33674" s="60" t="s">
        <v>8419</v>
      </c>
      <c r="D33674" s="60" t="str">
        <f>HYPERLINK("https://rhld.insurance.arkansas.gov/NPILookup?Npi=1407154982","1407154982")</f>
        <v>1407154982</v>
      </c>
      <c r="E33674" s="60" t="s">
        <v>8612</v>
      </c>
      <c r="F33674" s="61"/>
      <c r="G33674" s="61"/>
      <c r="H33674" s="61"/>
    </row>
    <row r="33675" spans="2:8" x14ac:dyDescent="0.25">
      <c r="B33675" s="60" t="s">
        <v>8418</v>
      </c>
      <c r="C33675" s="60" t="s">
        <v>8419</v>
      </c>
      <c r="D33675" s="60" t="str">
        <f>HYPERLINK("https://rhld.insurance.arkansas.gov/NPILookup?Npi=1407161102","1407161102")</f>
        <v>1407161102</v>
      </c>
      <c r="E33675" s="60" t="s">
        <v>30568</v>
      </c>
      <c r="F33675" s="61"/>
      <c r="G33675" s="61"/>
      <c r="H33675" s="61"/>
    </row>
    <row r="33676" spans="2:8" x14ac:dyDescent="0.25">
      <c r="B33676" s="60" t="s">
        <v>8418</v>
      </c>
      <c r="C33676" s="60" t="s">
        <v>8419</v>
      </c>
      <c r="D33676" s="60" t="str">
        <f>HYPERLINK("https://rhld.insurance.arkansas.gov/NPILookup?Npi=1407260029","1407260029")</f>
        <v>1407260029</v>
      </c>
      <c r="E33676" s="60" t="s">
        <v>6642</v>
      </c>
      <c r="F33676" s="61"/>
      <c r="G33676" s="61"/>
      <c r="H33676" s="61"/>
    </row>
    <row r="33677" spans="2:8" x14ac:dyDescent="0.25">
      <c r="B33677" s="60" t="s">
        <v>8418</v>
      </c>
      <c r="C33677" s="60" t="s">
        <v>8419</v>
      </c>
      <c r="D33677" s="60" t="str">
        <f>HYPERLINK("https://rhld.insurance.arkansas.gov/NPILookup?Npi=1407277072","1407277072")</f>
        <v>1407277072</v>
      </c>
      <c r="E33677" s="60" t="s">
        <v>30569</v>
      </c>
      <c r="F33677" s="61"/>
      <c r="G33677" s="61"/>
      <c r="H33677" s="61"/>
    </row>
    <row r="33678" spans="2:8" x14ac:dyDescent="0.25">
      <c r="B33678" s="60" t="s">
        <v>8418</v>
      </c>
      <c r="C33678" s="60" t="s">
        <v>8419</v>
      </c>
      <c r="D33678" s="60" t="str">
        <f>HYPERLINK("https://rhld.insurance.arkansas.gov/NPILookup?Npi=1407335565","1407335565")</f>
        <v>1407335565</v>
      </c>
      <c r="E33678" s="60" t="s">
        <v>30570</v>
      </c>
      <c r="F33678" s="61"/>
      <c r="G33678" s="61"/>
      <c r="H33678" s="61"/>
    </row>
    <row r="33679" spans="2:8" x14ac:dyDescent="0.25">
      <c r="B33679" s="60" t="s">
        <v>8418</v>
      </c>
      <c r="C33679" s="60" t="s">
        <v>8419</v>
      </c>
      <c r="D33679" s="60" t="str">
        <f>HYPERLINK("https://rhld.insurance.arkansas.gov/NPILookup?Npi=1407371339","1407371339")</f>
        <v>1407371339</v>
      </c>
      <c r="E33679" s="60" t="s">
        <v>30571</v>
      </c>
      <c r="F33679" s="61"/>
      <c r="G33679" s="61"/>
      <c r="H33679" s="61"/>
    </row>
    <row r="33680" spans="2:8" x14ac:dyDescent="0.25">
      <c r="B33680" s="60" t="s">
        <v>8418</v>
      </c>
      <c r="C33680" s="60" t="s">
        <v>8419</v>
      </c>
      <c r="D33680" s="60" t="str">
        <f>HYPERLINK("https://rhld.insurance.arkansas.gov/NPILookup?Npi=1407446800","1407446800")</f>
        <v>1407446800</v>
      </c>
      <c r="E33680" s="60" t="s">
        <v>14140</v>
      </c>
      <c r="F33680" s="61"/>
      <c r="G33680" s="61"/>
      <c r="H33680" s="61"/>
    </row>
    <row r="33681" spans="2:8" x14ac:dyDescent="0.25">
      <c r="B33681" s="60" t="s">
        <v>8418</v>
      </c>
      <c r="C33681" s="60" t="s">
        <v>8419</v>
      </c>
      <c r="D33681" s="60" t="str">
        <f>HYPERLINK("https://rhld.insurance.arkansas.gov/NPILookup?Npi=1407453608","1407453608")</f>
        <v>1407453608</v>
      </c>
      <c r="E33681" s="60" t="s">
        <v>22109</v>
      </c>
      <c r="F33681" s="61"/>
      <c r="G33681" s="61"/>
      <c r="H33681" s="61"/>
    </row>
    <row r="33682" spans="2:8" x14ac:dyDescent="0.25">
      <c r="B33682" s="60" t="s">
        <v>8418</v>
      </c>
      <c r="C33682" s="60" t="s">
        <v>8419</v>
      </c>
      <c r="D33682" s="60" t="str">
        <f>HYPERLINK("https://rhld.insurance.arkansas.gov/NPILookup?Npi=1407538887","1407538887")</f>
        <v>1407538887</v>
      </c>
      <c r="E33682" s="60" t="s">
        <v>14141</v>
      </c>
      <c r="F33682" s="61"/>
      <c r="G33682" s="61"/>
      <c r="H33682" s="61"/>
    </row>
    <row r="33683" spans="2:8" x14ac:dyDescent="0.25">
      <c r="B33683" s="60" t="s">
        <v>8418</v>
      </c>
      <c r="C33683" s="60" t="s">
        <v>8419</v>
      </c>
      <c r="D33683" s="60" t="str">
        <f>HYPERLINK("https://rhld.insurance.arkansas.gov/NPILookup?Npi=1407552854","1407552854")</f>
        <v>1407552854</v>
      </c>
      <c r="E33683" s="60" t="s">
        <v>8613</v>
      </c>
      <c r="F33683" s="61"/>
      <c r="G33683" s="61"/>
      <c r="H33683" s="61"/>
    </row>
    <row r="33684" spans="2:8" x14ac:dyDescent="0.25">
      <c r="B33684" s="60" t="s">
        <v>8418</v>
      </c>
      <c r="C33684" s="60" t="s">
        <v>8419</v>
      </c>
      <c r="D33684" s="60" t="str">
        <f>HYPERLINK("https://rhld.insurance.arkansas.gov/NPILookup?Npi=1407562671","1407562671")</f>
        <v>1407562671</v>
      </c>
      <c r="E33684" s="60" t="s">
        <v>8614</v>
      </c>
      <c r="F33684" s="61"/>
      <c r="G33684" s="61"/>
      <c r="H33684" s="61"/>
    </row>
    <row r="33685" spans="2:8" x14ac:dyDescent="0.25">
      <c r="B33685" s="60" t="s">
        <v>8418</v>
      </c>
      <c r="C33685" s="60" t="s">
        <v>8419</v>
      </c>
      <c r="D33685" s="60" t="str">
        <f>HYPERLINK("https://rhld.insurance.arkansas.gov/NPILookup?Npi=1407585904","1407585904")</f>
        <v>1407585904</v>
      </c>
      <c r="E33685" s="60" t="s">
        <v>14142</v>
      </c>
      <c r="F33685" s="61"/>
      <c r="G33685" s="61"/>
      <c r="H33685" s="61"/>
    </row>
    <row r="33686" spans="2:8" x14ac:dyDescent="0.25">
      <c r="B33686" s="60" t="s">
        <v>8418</v>
      </c>
      <c r="C33686" s="60" t="s">
        <v>8419</v>
      </c>
      <c r="D33686" s="60" t="str">
        <f>HYPERLINK("https://rhld.insurance.arkansas.gov/NPILookup?Npi=1407627417","1407627417")</f>
        <v>1407627417</v>
      </c>
      <c r="E33686" s="60" t="s">
        <v>8615</v>
      </c>
      <c r="F33686" s="61"/>
      <c r="G33686" s="61"/>
      <c r="H33686" s="61"/>
    </row>
    <row r="33687" spans="2:8" x14ac:dyDescent="0.25">
      <c r="B33687" s="60" t="s">
        <v>8418</v>
      </c>
      <c r="C33687" s="60" t="s">
        <v>8419</v>
      </c>
      <c r="D33687" s="60" t="str">
        <f>HYPERLINK("https://rhld.insurance.arkansas.gov/NPILookup?Npi=1407900020","1407900020")</f>
        <v>1407900020</v>
      </c>
      <c r="E33687" s="60" t="s">
        <v>8616</v>
      </c>
      <c r="F33687" s="61"/>
      <c r="G33687" s="61"/>
      <c r="H33687" s="61"/>
    </row>
    <row r="33688" spans="2:8" x14ac:dyDescent="0.25">
      <c r="B33688" s="60" t="s">
        <v>8418</v>
      </c>
      <c r="C33688" s="60" t="s">
        <v>8419</v>
      </c>
      <c r="D33688" s="60" t="str">
        <f>HYPERLINK("https://rhld.insurance.arkansas.gov/NPILookup?Npi=1407914443","1407914443")</f>
        <v>1407914443</v>
      </c>
      <c r="E33688" s="60" t="s">
        <v>8617</v>
      </c>
      <c r="F33688" s="61"/>
      <c r="G33688" s="61"/>
      <c r="H33688" s="61"/>
    </row>
    <row r="33689" spans="2:8" x14ac:dyDescent="0.25">
      <c r="B33689" s="60" t="s">
        <v>8418</v>
      </c>
      <c r="C33689" s="60" t="s">
        <v>8419</v>
      </c>
      <c r="D33689" s="60" t="str">
        <f>HYPERLINK("https://rhld.insurance.arkansas.gov/NPILookup?Npi=1417001504","1417001504")</f>
        <v>1417001504</v>
      </c>
      <c r="E33689" s="60" t="s">
        <v>8618</v>
      </c>
      <c r="F33689" s="61"/>
      <c r="G33689" s="61"/>
      <c r="H33689" s="61"/>
    </row>
    <row r="33690" spans="2:8" x14ac:dyDescent="0.25">
      <c r="B33690" s="60" t="s">
        <v>8418</v>
      </c>
      <c r="C33690" s="60" t="s">
        <v>8419</v>
      </c>
      <c r="D33690" s="60" t="str">
        <f>HYPERLINK("https://rhld.insurance.arkansas.gov/NPILookup?Npi=1417005018","1417005018")</f>
        <v>1417005018</v>
      </c>
      <c r="E33690" s="60" t="s">
        <v>8619</v>
      </c>
      <c r="F33690" s="61"/>
      <c r="G33690" s="61"/>
      <c r="H33690" s="61"/>
    </row>
    <row r="33691" spans="2:8" x14ac:dyDescent="0.25">
      <c r="B33691" s="60" t="s">
        <v>8418</v>
      </c>
      <c r="C33691" s="60" t="s">
        <v>8419</v>
      </c>
      <c r="D33691" s="60" t="str">
        <f>HYPERLINK("https://rhld.insurance.arkansas.gov/NPILookup?Npi=1417008202","1417008202")</f>
        <v>1417008202</v>
      </c>
      <c r="E33691" s="60" t="s">
        <v>30572</v>
      </c>
      <c r="F33691" s="61"/>
      <c r="G33691" s="61"/>
      <c r="H33691" s="61"/>
    </row>
    <row r="33692" spans="2:8" x14ac:dyDescent="0.25">
      <c r="B33692" s="60" t="s">
        <v>8418</v>
      </c>
      <c r="C33692" s="60" t="s">
        <v>8419</v>
      </c>
      <c r="D33692" s="60" t="str">
        <f>HYPERLINK("https://rhld.insurance.arkansas.gov/NPILookup?Npi=1417094889","1417094889")</f>
        <v>1417094889</v>
      </c>
      <c r="E33692" s="60" t="s">
        <v>30573</v>
      </c>
      <c r="F33692" s="61"/>
      <c r="G33692" s="61"/>
      <c r="H33692" s="61"/>
    </row>
    <row r="33693" spans="2:8" x14ac:dyDescent="0.25">
      <c r="B33693" s="60" t="s">
        <v>8418</v>
      </c>
      <c r="C33693" s="60" t="s">
        <v>8419</v>
      </c>
      <c r="D33693" s="60" t="str">
        <f>HYPERLINK("https://rhld.insurance.arkansas.gov/NPILookup?Npi=1417103995","1417103995")</f>
        <v>1417103995</v>
      </c>
      <c r="E33693" s="60" t="s">
        <v>14143</v>
      </c>
      <c r="F33693" s="61"/>
      <c r="G33693" s="61"/>
      <c r="H33693" s="61"/>
    </row>
    <row r="33694" spans="2:8" x14ac:dyDescent="0.25">
      <c r="B33694" s="60" t="s">
        <v>8418</v>
      </c>
      <c r="C33694" s="60" t="s">
        <v>8419</v>
      </c>
      <c r="D33694" s="60" t="str">
        <f>HYPERLINK("https://rhld.insurance.arkansas.gov/NPILookup?Npi=1417149394","1417149394")</f>
        <v>1417149394</v>
      </c>
      <c r="E33694" s="60" t="s">
        <v>14144</v>
      </c>
      <c r="F33694" s="61"/>
      <c r="G33694" s="61"/>
      <c r="H33694" s="61"/>
    </row>
    <row r="33695" spans="2:8" x14ac:dyDescent="0.25">
      <c r="B33695" s="60" t="s">
        <v>8418</v>
      </c>
      <c r="C33695" s="60" t="s">
        <v>8419</v>
      </c>
      <c r="D33695" s="60" t="str">
        <f>HYPERLINK("https://rhld.insurance.arkansas.gov/NPILookup?Npi=1417172776","1417172776")</f>
        <v>1417172776</v>
      </c>
      <c r="E33695" s="60" t="s">
        <v>8620</v>
      </c>
      <c r="F33695" s="61"/>
      <c r="G33695" s="61"/>
      <c r="H33695" s="61"/>
    </row>
    <row r="33696" spans="2:8" x14ac:dyDescent="0.25">
      <c r="B33696" s="60" t="s">
        <v>8418</v>
      </c>
      <c r="C33696" s="60" t="s">
        <v>8419</v>
      </c>
      <c r="D33696" s="60" t="str">
        <f>HYPERLINK("https://rhld.insurance.arkansas.gov/NPILookup?Npi=1417180241","1417180241")</f>
        <v>1417180241</v>
      </c>
      <c r="E33696" s="60" t="s">
        <v>8621</v>
      </c>
      <c r="F33696" s="61"/>
      <c r="G33696" s="61"/>
      <c r="H33696" s="61"/>
    </row>
    <row r="33697" spans="2:8" x14ac:dyDescent="0.25">
      <c r="B33697" s="60" t="s">
        <v>8418</v>
      </c>
      <c r="C33697" s="60" t="s">
        <v>8419</v>
      </c>
      <c r="D33697" s="60" t="str">
        <f>HYPERLINK("https://rhld.insurance.arkansas.gov/NPILookup?Npi=1417199654","1417199654")</f>
        <v>1417199654</v>
      </c>
      <c r="E33697" s="60" t="s">
        <v>30574</v>
      </c>
      <c r="F33697" s="61"/>
      <c r="G33697" s="61"/>
      <c r="H33697" s="61"/>
    </row>
    <row r="33698" spans="2:8" x14ac:dyDescent="0.25">
      <c r="B33698" s="60" t="s">
        <v>8418</v>
      </c>
      <c r="C33698" s="60" t="s">
        <v>8419</v>
      </c>
      <c r="D33698" s="60" t="str">
        <f>HYPERLINK("https://rhld.insurance.arkansas.gov/NPILookup?Npi=1417326109","1417326109")</f>
        <v>1417326109</v>
      </c>
      <c r="E33698" s="60" t="s">
        <v>30575</v>
      </c>
      <c r="F33698" s="61"/>
      <c r="G33698" s="61"/>
      <c r="H33698" s="61"/>
    </row>
    <row r="33699" spans="2:8" x14ac:dyDescent="0.25">
      <c r="B33699" s="60" t="s">
        <v>8418</v>
      </c>
      <c r="C33699" s="60" t="s">
        <v>8419</v>
      </c>
      <c r="D33699" s="60" t="str">
        <f>HYPERLINK("https://rhld.insurance.arkansas.gov/NPILookup?Npi=1417335357","1417335357")</f>
        <v>1417335357</v>
      </c>
      <c r="E33699" s="60" t="s">
        <v>30576</v>
      </c>
      <c r="F33699" s="61"/>
      <c r="G33699" s="61"/>
      <c r="H33699" s="61"/>
    </row>
    <row r="33700" spans="2:8" x14ac:dyDescent="0.25">
      <c r="B33700" s="60" t="s">
        <v>8418</v>
      </c>
      <c r="C33700" s="60" t="s">
        <v>8419</v>
      </c>
      <c r="D33700" s="60" t="str">
        <f>HYPERLINK("https://rhld.insurance.arkansas.gov/NPILookup?Npi=1417388604","1417388604")</f>
        <v>1417388604</v>
      </c>
      <c r="E33700" s="60" t="s">
        <v>14145</v>
      </c>
      <c r="F33700" s="61"/>
      <c r="G33700" s="61"/>
      <c r="H33700" s="61"/>
    </row>
    <row r="33701" spans="2:8" x14ac:dyDescent="0.25">
      <c r="B33701" s="60" t="s">
        <v>8418</v>
      </c>
      <c r="C33701" s="60" t="s">
        <v>8419</v>
      </c>
      <c r="D33701" s="60" t="str">
        <f>HYPERLINK("https://rhld.insurance.arkansas.gov/NPILookup?Npi=1417429804","1417429804")</f>
        <v>1417429804</v>
      </c>
      <c r="E33701" s="60" t="s">
        <v>30577</v>
      </c>
      <c r="F33701" s="61"/>
      <c r="G33701" s="61"/>
      <c r="H33701" s="61"/>
    </row>
    <row r="33702" spans="2:8" x14ac:dyDescent="0.25">
      <c r="B33702" s="60" t="s">
        <v>8418</v>
      </c>
      <c r="C33702" s="60" t="s">
        <v>8419</v>
      </c>
      <c r="D33702" s="60" t="str">
        <f>HYPERLINK("https://rhld.insurance.arkansas.gov/NPILookup?Npi=1417437385","1417437385")</f>
        <v>1417437385</v>
      </c>
      <c r="E33702" s="60" t="s">
        <v>30578</v>
      </c>
      <c r="F33702" s="61"/>
      <c r="G33702" s="61"/>
      <c r="H33702" s="61"/>
    </row>
    <row r="33703" spans="2:8" x14ac:dyDescent="0.25">
      <c r="B33703" s="60" t="s">
        <v>8418</v>
      </c>
      <c r="C33703" s="60" t="s">
        <v>8419</v>
      </c>
      <c r="D33703" s="60" t="str">
        <f>HYPERLINK("https://rhld.insurance.arkansas.gov/NPILookup?Npi=1417490947","1417490947")</f>
        <v>1417490947</v>
      </c>
      <c r="E33703" s="60" t="s">
        <v>30579</v>
      </c>
      <c r="F33703" s="61"/>
      <c r="G33703" s="61"/>
      <c r="H33703" s="61"/>
    </row>
    <row r="33704" spans="2:8" x14ac:dyDescent="0.25">
      <c r="B33704" s="60" t="s">
        <v>8418</v>
      </c>
      <c r="C33704" s="60" t="s">
        <v>8419</v>
      </c>
      <c r="D33704" s="60" t="str">
        <f>HYPERLINK("https://rhld.insurance.arkansas.gov/NPILookup?Npi=1417503699","1417503699")</f>
        <v>1417503699</v>
      </c>
      <c r="E33704" s="60" t="s">
        <v>8623</v>
      </c>
      <c r="F33704" s="61"/>
      <c r="G33704" s="61"/>
      <c r="H33704" s="61"/>
    </row>
    <row r="33705" spans="2:8" x14ac:dyDescent="0.25">
      <c r="B33705" s="60" t="s">
        <v>8418</v>
      </c>
      <c r="C33705" s="60" t="s">
        <v>8419</v>
      </c>
      <c r="D33705" s="60" t="str">
        <f>HYPERLINK("https://rhld.insurance.arkansas.gov/NPILookup?Npi=1417521824","1417521824")</f>
        <v>1417521824</v>
      </c>
      <c r="E33705" s="60" t="s">
        <v>14146</v>
      </c>
      <c r="F33705" s="61"/>
      <c r="G33705" s="61"/>
      <c r="H33705" s="61"/>
    </row>
    <row r="33706" spans="2:8" x14ac:dyDescent="0.25">
      <c r="B33706" s="60" t="s">
        <v>8418</v>
      </c>
      <c r="C33706" s="60" t="s">
        <v>8419</v>
      </c>
      <c r="D33706" s="60" t="str">
        <f>HYPERLINK("https://rhld.insurance.arkansas.gov/NPILookup?Npi=1417546219","1417546219")</f>
        <v>1417546219</v>
      </c>
      <c r="E33706" s="60" t="s">
        <v>30580</v>
      </c>
      <c r="F33706" s="61"/>
      <c r="G33706" s="61"/>
      <c r="H33706" s="61"/>
    </row>
    <row r="33707" spans="2:8" x14ac:dyDescent="0.25">
      <c r="B33707" s="60" t="s">
        <v>8418</v>
      </c>
      <c r="C33707" s="60" t="s">
        <v>8419</v>
      </c>
      <c r="D33707" s="60" t="str">
        <f>HYPERLINK("https://rhld.insurance.arkansas.gov/NPILookup?Npi=1417575002","1417575002")</f>
        <v>1417575002</v>
      </c>
      <c r="E33707" s="60" t="s">
        <v>30581</v>
      </c>
      <c r="F33707" s="61"/>
      <c r="G33707" s="61"/>
      <c r="H33707" s="61"/>
    </row>
    <row r="33708" spans="2:8" x14ac:dyDescent="0.25">
      <c r="B33708" s="60" t="s">
        <v>8418</v>
      </c>
      <c r="C33708" s="60" t="s">
        <v>8419</v>
      </c>
      <c r="D33708" s="60" t="str">
        <f>HYPERLINK("https://rhld.insurance.arkansas.gov/NPILookup?Npi=1417576083","1417576083")</f>
        <v>1417576083</v>
      </c>
      <c r="E33708" s="60" t="s">
        <v>30582</v>
      </c>
      <c r="F33708" s="61"/>
      <c r="G33708" s="61"/>
      <c r="H33708" s="61"/>
    </row>
    <row r="33709" spans="2:8" x14ac:dyDescent="0.25">
      <c r="B33709" s="60" t="s">
        <v>8418</v>
      </c>
      <c r="C33709" s="60" t="s">
        <v>8419</v>
      </c>
      <c r="D33709" s="60" t="str">
        <f>HYPERLINK("https://rhld.insurance.arkansas.gov/NPILookup?Npi=1417620220","1417620220")</f>
        <v>1417620220</v>
      </c>
      <c r="E33709" s="60" t="s">
        <v>30583</v>
      </c>
      <c r="F33709" s="61"/>
      <c r="G33709" s="61"/>
      <c r="H33709" s="61"/>
    </row>
    <row r="33710" spans="2:8" x14ac:dyDescent="0.25">
      <c r="B33710" s="60" t="s">
        <v>8418</v>
      </c>
      <c r="C33710" s="60" t="s">
        <v>8419</v>
      </c>
      <c r="D33710" s="60" t="str">
        <f>HYPERLINK("https://rhld.insurance.arkansas.gov/NPILookup?Npi=1417641390","1417641390")</f>
        <v>1417641390</v>
      </c>
      <c r="E33710" s="60" t="s">
        <v>30584</v>
      </c>
      <c r="F33710" s="61"/>
      <c r="G33710" s="61"/>
      <c r="H33710" s="61"/>
    </row>
    <row r="33711" spans="2:8" x14ac:dyDescent="0.25">
      <c r="B33711" s="60" t="s">
        <v>8418</v>
      </c>
      <c r="C33711" s="60" t="s">
        <v>8419</v>
      </c>
      <c r="D33711" s="60" t="str">
        <f>HYPERLINK("https://rhld.insurance.arkansas.gov/NPILookup?Npi=1417914482","1417914482")</f>
        <v>1417914482</v>
      </c>
      <c r="E33711" s="60" t="s">
        <v>14147</v>
      </c>
      <c r="F33711" s="61"/>
      <c r="G33711" s="61"/>
      <c r="H33711" s="61"/>
    </row>
    <row r="33712" spans="2:8" x14ac:dyDescent="0.25">
      <c r="B33712" s="60" t="s">
        <v>8418</v>
      </c>
      <c r="C33712" s="60" t="s">
        <v>8419</v>
      </c>
      <c r="D33712" s="60" t="str">
        <f>HYPERLINK("https://rhld.insurance.arkansas.gov/NPILookup?Npi=1427086099","1427086099")</f>
        <v>1427086099</v>
      </c>
      <c r="E33712" s="60" t="s">
        <v>14148</v>
      </c>
      <c r="F33712" s="61"/>
      <c r="G33712" s="61"/>
      <c r="H33712" s="61"/>
    </row>
    <row r="33713" spans="2:8" x14ac:dyDescent="0.25">
      <c r="B33713" s="60" t="s">
        <v>8418</v>
      </c>
      <c r="C33713" s="60" t="s">
        <v>8419</v>
      </c>
      <c r="D33713" s="60" t="str">
        <f>HYPERLINK("https://rhld.insurance.arkansas.gov/NPILookup?Npi=1427103142","1427103142")</f>
        <v>1427103142</v>
      </c>
      <c r="E33713" s="60" t="s">
        <v>14149</v>
      </c>
      <c r="F33713" s="61"/>
      <c r="G33713" s="61"/>
      <c r="H33713" s="61"/>
    </row>
    <row r="33714" spans="2:8" x14ac:dyDescent="0.25">
      <c r="B33714" s="60" t="s">
        <v>8418</v>
      </c>
      <c r="C33714" s="60" t="s">
        <v>8419</v>
      </c>
      <c r="D33714" s="60" t="str">
        <f>HYPERLINK("https://rhld.insurance.arkansas.gov/NPILookup?Npi=1427175298","1427175298")</f>
        <v>1427175298</v>
      </c>
      <c r="E33714" s="60" t="s">
        <v>8624</v>
      </c>
      <c r="F33714" s="61"/>
      <c r="G33714" s="61"/>
      <c r="H33714" s="61"/>
    </row>
    <row r="33715" spans="2:8" x14ac:dyDescent="0.25">
      <c r="B33715" s="60" t="s">
        <v>8418</v>
      </c>
      <c r="C33715" s="60" t="s">
        <v>8419</v>
      </c>
      <c r="D33715" s="60" t="str">
        <f>HYPERLINK("https://rhld.insurance.arkansas.gov/NPILookup?Npi=1427289131","1427289131")</f>
        <v>1427289131</v>
      </c>
      <c r="E33715" s="60" t="s">
        <v>8625</v>
      </c>
      <c r="F33715" s="61"/>
      <c r="G33715" s="61"/>
      <c r="H33715" s="61"/>
    </row>
    <row r="33716" spans="2:8" x14ac:dyDescent="0.25">
      <c r="B33716" s="60" t="s">
        <v>8418</v>
      </c>
      <c r="C33716" s="60" t="s">
        <v>8419</v>
      </c>
      <c r="D33716" s="60" t="str">
        <f>HYPERLINK("https://rhld.insurance.arkansas.gov/NPILookup?Npi=1427344456","1427344456")</f>
        <v>1427344456</v>
      </c>
      <c r="E33716" s="60" t="s">
        <v>14150</v>
      </c>
      <c r="F33716" s="61"/>
      <c r="G33716" s="61"/>
      <c r="H33716" s="61"/>
    </row>
    <row r="33717" spans="2:8" x14ac:dyDescent="0.25">
      <c r="B33717" s="60" t="s">
        <v>8418</v>
      </c>
      <c r="C33717" s="60" t="s">
        <v>8419</v>
      </c>
      <c r="D33717" s="60" t="str">
        <f>HYPERLINK("https://rhld.insurance.arkansas.gov/NPILookup?Npi=1427418045","1427418045")</f>
        <v>1427418045</v>
      </c>
      <c r="E33717" s="60" t="s">
        <v>8626</v>
      </c>
      <c r="F33717" s="61"/>
      <c r="G33717" s="61"/>
      <c r="H33717" s="61"/>
    </row>
    <row r="33718" spans="2:8" x14ac:dyDescent="0.25">
      <c r="B33718" s="60" t="s">
        <v>8418</v>
      </c>
      <c r="C33718" s="60" t="s">
        <v>8419</v>
      </c>
      <c r="D33718" s="60" t="str">
        <f>HYPERLINK("https://rhld.insurance.arkansas.gov/NPILookup?Npi=1427432913","1427432913")</f>
        <v>1427432913</v>
      </c>
      <c r="E33718" s="60" t="s">
        <v>30585</v>
      </c>
      <c r="F33718" s="61"/>
      <c r="G33718" s="61"/>
      <c r="H33718" s="61"/>
    </row>
    <row r="33719" spans="2:8" x14ac:dyDescent="0.25">
      <c r="B33719" s="60" t="s">
        <v>8418</v>
      </c>
      <c r="C33719" s="60" t="s">
        <v>8419</v>
      </c>
      <c r="D33719" s="60" t="str">
        <f>HYPERLINK("https://rhld.insurance.arkansas.gov/NPILookup?Npi=1427483270","1427483270")</f>
        <v>1427483270</v>
      </c>
      <c r="E33719" s="60" t="s">
        <v>30586</v>
      </c>
      <c r="F33719" s="61"/>
      <c r="G33719" s="61"/>
      <c r="H33719" s="61"/>
    </row>
    <row r="33720" spans="2:8" x14ac:dyDescent="0.25">
      <c r="B33720" s="60" t="s">
        <v>8418</v>
      </c>
      <c r="C33720" s="60" t="s">
        <v>8419</v>
      </c>
      <c r="D33720" s="60" t="str">
        <f>HYPERLINK("https://rhld.insurance.arkansas.gov/NPILookup?Npi=1427512912","1427512912")</f>
        <v>1427512912</v>
      </c>
      <c r="E33720" s="60" t="s">
        <v>30587</v>
      </c>
      <c r="F33720" s="61"/>
      <c r="G33720" s="61"/>
      <c r="H33720" s="61"/>
    </row>
    <row r="33721" spans="2:8" x14ac:dyDescent="0.25">
      <c r="B33721" s="60" t="s">
        <v>8418</v>
      </c>
      <c r="C33721" s="60" t="s">
        <v>8419</v>
      </c>
      <c r="D33721" s="60" t="str">
        <f>HYPERLINK("https://rhld.insurance.arkansas.gov/NPILookup?Npi=1427655141","1427655141")</f>
        <v>1427655141</v>
      </c>
      <c r="E33721" s="60" t="s">
        <v>8627</v>
      </c>
      <c r="F33721" s="61"/>
      <c r="G33721" s="61"/>
      <c r="H33721" s="61"/>
    </row>
    <row r="33722" spans="2:8" x14ac:dyDescent="0.25">
      <c r="B33722" s="60" t="s">
        <v>8418</v>
      </c>
      <c r="C33722" s="60" t="s">
        <v>8419</v>
      </c>
      <c r="D33722" s="60" t="str">
        <f>HYPERLINK("https://rhld.insurance.arkansas.gov/NPILookup?Npi=1427667740","1427667740")</f>
        <v>1427667740</v>
      </c>
      <c r="E33722" s="60" t="s">
        <v>8628</v>
      </c>
      <c r="F33722" s="61"/>
      <c r="G33722" s="61"/>
      <c r="H33722" s="61"/>
    </row>
    <row r="33723" spans="2:8" x14ac:dyDescent="0.25">
      <c r="B33723" s="60" t="s">
        <v>8418</v>
      </c>
      <c r="C33723" s="60" t="s">
        <v>8419</v>
      </c>
      <c r="D33723" s="60" t="str">
        <f>HYPERLINK("https://rhld.insurance.arkansas.gov/NPILookup?Npi=1427776285","1427776285")</f>
        <v>1427776285</v>
      </c>
      <c r="E33723" s="60" t="s">
        <v>30588</v>
      </c>
      <c r="F33723" s="61"/>
      <c r="G33723" s="61"/>
      <c r="H33723" s="61"/>
    </row>
    <row r="33724" spans="2:8" x14ac:dyDescent="0.25">
      <c r="B33724" s="60" t="s">
        <v>8418</v>
      </c>
      <c r="C33724" s="60" t="s">
        <v>8419</v>
      </c>
      <c r="D33724" s="60" t="str">
        <f>HYPERLINK("https://rhld.insurance.arkansas.gov/NPILookup?Npi=1437206182","1437206182")</f>
        <v>1437206182</v>
      </c>
      <c r="E33724" s="60" t="s">
        <v>30589</v>
      </c>
      <c r="F33724" s="61"/>
      <c r="G33724" s="61"/>
      <c r="H33724" s="61"/>
    </row>
    <row r="33725" spans="2:8" x14ac:dyDescent="0.25">
      <c r="B33725" s="60" t="s">
        <v>8418</v>
      </c>
      <c r="C33725" s="60" t="s">
        <v>8419</v>
      </c>
      <c r="D33725" s="60" t="str">
        <f>HYPERLINK("https://rhld.insurance.arkansas.gov/NPILookup?Npi=1437213758","1437213758")</f>
        <v>1437213758</v>
      </c>
      <c r="E33725" s="60" t="s">
        <v>32526</v>
      </c>
      <c r="F33725" s="61"/>
      <c r="G33725" s="61"/>
      <c r="H33725" s="61"/>
    </row>
    <row r="33726" spans="2:8" x14ac:dyDescent="0.25">
      <c r="B33726" s="60" t="s">
        <v>8418</v>
      </c>
      <c r="C33726" s="60" t="s">
        <v>8419</v>
      </c>
      <c r="D33726" s="60" t="str">
        <f>HYPERLINK("https://rhld.insurance.arkansas.gov/NPILookup?Npi=1437331022","1437331022")</f>
        <v>1437331022</v>
      </c>
      <c r="E33726" s="60" t="s">
        <v>8629</v>
      </c>
      <c r="F33726" s="61"/>
      <c r="G33726" s="61"/>
      <c r="H33726" s="61"/>
    </row>
    <row r="33727" spans="2:8" x14ac:dyDescent="0.25">
      <c r="B33727" s="60" t="s">
        <v>8418</v>
      </c>
      <c r="C33727" s="60" t="s">
        <v>8419</v>
      </c>
      <c r="D33727" s="60" t="str">
        <f>HYPERLINK("https://rhld.insurance.arkansas.gov/NPILookup?Npi=1437373255","1437373255")</f>
        <v>1437373255</v>
      </c>
      <c r="E33727" s="60" t="s">
        <v>30590</v>
      </c>
      <c r="F33727" s="61"/>
      <c r="G33727" s="61"/>
      <c r="H33727" s="61"/>
    </row>
    <row r="33728" spans="2:8" x14ac:dyDescent="0.25">
      <c r="B33728" s="60" t="s">
        <v>8418</v>
      </c>
      <c r="C33728" s="60" t="s">
        <v>8419</v>
      </c>
      <c r="D33728" s="60" t="str">
        <f>HYPERLINK("https://rhld.insurance.arkansas.gov/NPILookup?Npi=1437436334","1437436334")</f>
        <v>1437436334</v>
      </c>
      <c r="E33728" s="60" t="s">
        <v>30591</v>
      </c>
      <c r="F33728" s="61"/>
      <c r="G33728" s="61"/>
      <c r="H33728" s="61"/>
    </row>
    <row r="33729" spans="2:8" x14ac:dyDescent="0.25">
      <c r="B33729" s="60" t="s">
        <v>8418</v>
      </c>
      <c r="C33729" s="60" t="s">
        <v>8419</v>
      </c>
      <c r="D33729" s="60" t="str">
        <f>HYPERLINK("https://rhld.insurance.arkansas.gov/NPILookup?Npi=1437495991","1437495991")</f>
        <v>1437495991</v>
      </c>
      <c r="E33729" s="60" t="s">
        <v>30592</v>
      </c>
      <c r="F33729" s="61"/>
      <c r="G33729" s="61"/>
      <c r="H33729" s="61"/>
    </row>
    <row r="33730" spans="2:8" x14ac:dyDescent="0.25">
      <c r="B33730" s="60" t="s">
        <v>8418</v>
      </c>
      <c r="C33730" s="60" t="s">
        <v>8419</v>
      </c>
      <c r="D33730" s="60" t="str">
        <f>HYPERLINK("https://rhld.insurance.arkansas.gov/NPILookup?Npi=1437588522","1437588522")</f>
        <v>1437588522</v>
      </c>
      <c r="E33730" s="60" t="s">
        <v>8630</v>
      </c>
      <c r="F33730" s="61"/>
      <c r="G33730" s="61"/>
      <c r="H33730" s="61"/>
    </row>
    <row r="33731" spans="2:8" x14ac:dyDescent="0.25">
      <c r="B33731" s="60" t="s">
        <v>8418</v>
      </c>
      <c r="C33731" s="60" t="s">
        <v>8419</v>
      </c>
      <c r="D33731" s="60" t="str">
        <f>HYPERLINK("https://rhld.insurance.arkansas.gov/NPILookup?Npi=1437612124","1437612124")</f>
        <v>1437612124</v>
      </c>
      <c r="E33731" s="60" t="s">
        <v>30593</v>
      </c>
      <c r="F33731" s="61"/>
      <c r="G33731" s="61"/>
      <c r="H33731" s="61"/>
    </row>
    <row r="33732" spans="2:8" x14ac:dyDescent="0.25">
      <c r="B33732" s="60" t="s">
        <v>8418</v>
      </c>
      <c r="C33732" s="60" t="s">
        <v>8419</v>
      </c>
      <c r="D33732" s="60" t="str">
        <f>HYPERLINK("https://rhld.insurance.arkansas.gov/NPILookup?Npi=1437624152","1437624152")</f>
        <v>1437624152</v>
      </c>
      <c r="E33732" s="60" t="s">
        <v>30594</v>
      </c>
      <c r="F33732" s="61"/>
      <c r="G33732" s="61"/>
      <c r="H33732" s="61"/>
    </row>
    <row r="33733" spans="2:8" x14ac:dyDescent="0.25">
      <c r="B33733" s="60" t="s">
        <v>8418</v>
      </c>
      <c r="C33733" s="60" t="s">
        <v>8419</v>
      </c>
      <c r="D33733" s="60" t="str">
        <f>HYPERLINK("https://rhld.insurance.arkansas.gov/NPILookup?Npi=1437687092","1437687092")</f>
        <v>1437687092</v>
      </c>
      <c r="E33733" s="60" t="s">
        <v>30595</v>
      </c>
      <c r="F33733" s="61"/>
      <c r="G33733" s="61"/>
      <c r="H33733" s="61"/>
    </row>
    <row r="33734" spans="2:8" x14ac:dyDescent="0.25">
      <c r="B33734" s="60" t="s">
        <v>8418</v>
      </c>
      <c r="C33734" s="60" t="s">
        <v>8419</v>
      </c>
      <c r="D33734" s="60" t="str">
        <f>HYPERLINK("https://rhld.insurance.arkansas.gov/NPILookup?Npi=1437755386","1437755386")</f>
        <v>1437755386</v>
      </c>
      <c r="E33734" s="60" t="s">
        <v>14151</v>
      </c>
      <c r="F33734" s="61"/>
      <c r="G33734" s="61"/>
      <c r="H33734" s="61"/>
    </row>
    <row r="33735" spans="2:8" x14ac:dyDescent="0.25">
      <c r="B33735" s="60" t="s">
        <v>8418</v>
      </c>
      <c r="C33735" s="60" t="s">
        <v>8419</v>
      </c>
      <c r="D33735" s="60" t="str">
        <f>HYPERLINK("https://rhld.insurance.arkansas.gov/NPILookup?Npi=1437775186","1437775186")</f>
        <v>1437775186</v>
      </c>
      <c r="E33735" s="60" t="s">
        <v>30596</v>
      </c>
      <c r="F33735" s="61"/>
      <c r="G33735" s="61"/>
      <c r="H33735" s="61"/>
    </row>
    <row r="33736" spans="2:8" x14ac:dyDescent="0.25">
      <c r="B33736" s="60" t="s">
        <v>8418</v>
      </c>
      <c r="C33736" s="60" t="s">
        <v>8419</v>
      </c>
      <c r="D33736" s="60" t="str">
        <f>HYPERLINK("https://rhld.insurance.arkansas.gov/NPILookup?Npi=1437798659","1437798659")</f>
        <v>1437798659</v>
      </c>
      <c r="E33736" s="60" t="s">
        <v>14152</v>
      </c>
      <c r="F33736" s="61"/>
      <c r="G33736" s="61"/>
      <c r="H33736" s="61"/>
    </row>
    <row r="33737" spans="2:8" x14ac:dyDescent="0.25">
      <c r="B33737" s="60" t="s">
        <v>8418</v>
      </c>
      <c r="C33737" s="60" t="s">
        <v>8419</v>
      </c>
      <c r="D33737" s="60" t="str">
        <f>HYPERLINK("https://rhld.insurance.arkansas.gov/NPILookup?Npi=1437832227","1437832227")</f>
        <v>1437832227</v>
      </c>
      <c r="E33737" s="60" t="s">
        <v>8631</v>
      </c>
      <c r="F33737" s="61"/>
      <c r="G33737" s="61"/>
      <c r="H33737" s="61"/>
    </row>
    <row r="33738" spans="2:8" x14ac:dyDescent="0.25">
      <c r="B33738" s="60" t="s">
        <v>8418</v>
      </c>
      <c r="C33738" s="60" t="s">
        <v>8419</v>
      </c>
      <c r="D33738" s="60" t="str">
        <f>HYPERLINK("https://rhld.insurance.arkansas.gov/NPILookup?Npi=1437862984","1437862984")</f>
        <v>1437862984</v>
      </c>
      <c r="E33738" s="60" t="s">
        <v>5164</v>
      </c>
      <c r="F33738" s="61"/>
      <c r="G33738" s="61"/>
      <c r="H33738" s="61"/>
    </row>
    <row r="33739" spans="2:8" x14ac:dyDescent="0.25">
      <c r="B33739" s="60" t="s">
        <v>8418</v>
      </c>
      <c r="C33739" s="60" t="s">
        <v>8419</v>
      </c>
      <c r="D33739" s="60" t="str">
        <f>HYPERLINK("https://rhld.insurance.arkansas.gov/NPILookup?Npi=1447079280","1447079280")</f>
        <v>1447079280</v>
      </c>
      <c r="E33739" s="60" t="s">
        <v>30597</v>
      </c>
      <c r="F33739" s="61"/>
      <c r="G33739" s="61"/>
      <c r="H33739" s="61"/>
    </row>
    <row r="33740" spans="2:8" x14ac:dyDescent="0.25">
      <c r="B33740" s="60" t="s">
        <v>8418</v>
      </c>
      <c r="C33740" s="60" t="s">
        <v>8419</v>
      </c>
      <c r="D33740" s="60" t="str">
        <f>HYPERLINK("https://rhld.insurance.arkansas.gov/NPILookup?Npi=1447081575","1447081575")</f>
        <v>1447081575</v>
      </c>
      <c r="E33740" s="60" t="s">
        <v>30598</v>
      </c>
      <c r="F33740" s="61"/>
      <c r="G33740" s="61"/>
      <c r="H33740" s="61"/>
    </row>
    <row r="33741" spans="2:8" x14ac:dyDescent="0.25">
      <c r="B33741" s="60" t="s">
        <v>8418</v>
      </c>
      <c r="C33741" s="60" t="s">
        <v>8419</v>
      </c>
      <c r="D33741" s="60" t="str">
        <f>HYPERLINK("https://rhld.insurance.arkansas.gov/NPILookup?Npi=1447302476","1447302476")</f>
        <v>1447302476</v>
      </c>
      <c r="E33741" s="60" t="s">
        <v>8632</v>
      </c>
      <c r="F33741" s="61"/>
      <c r="G33741" s="61"/>
      <c r="H33741" s="61"/>
    </row>
    <row r="33742" spans="2:8" x14ac:dyDescent="0.25">
      <c r="B33742" s="60" t="s">
        <v>8418</v>
      </c>
      <c r="C33742" s="60" t="s">
        <v>8419</v>
      </c>
      <c r="D33742" s="60" t="str">
        <f>HYPERLINK("https://rhld.insurance.arkansas.gov/NPILookup?Npi=1447378229","1447378229")</f>
        <v>1447378229</v>
      </c>
      <c r="E33742" s="60" t="s">
        <v>8633</v>
      </c>
      <c r="F33742" s="61"/>
      <c r="G33742" s="61"/>
      <c r="H33742" s="61"/>
    </row>
    <row r="33743" spans="2:8" x14ac:dyDescent="0.25">
      <c r="B33743" s="60" t="s">
        <v>8418</v>
      </c>
      <c r="C33743" s="60" t="s">
        <v>8419</v>
      </c>
      <c r="D33743" s="60" t="str">
        <f>HYPERLINK("https://rhld.insurance.arkansas.gov/NPILookup?Npi=1447473574","1447473574")</f>
        <v>1447473574</v>
      </c>
      <c r="E33743" s="60" t="s">
        <v>30599</v>
      </c>
      <c r="F33743" s="61"/>
      <c r="G33743" s="61"/>
      <c r="H33743" s="61"/>
    </row>
    <row r="33744" spans="2:8" x14ac:dyDescent="0.25">
      <c r="B33744" s="60" t="s">
        <v>8418</v>
      </c>
      <c r="C33744" s="60" t="s">
        <v>8419</v>
      </c>
      <c r="D33744" s="60" t="str">
        <f>HYPERLINK("https://rhld.insurance.arkansas.gov/NPILookup?Npi=1447476221","1447476221")</f>
        <v>1447476221</v>
      </c>
      <c r="E33744" s="60" t="s">
        <v>14153</v>
      </c>
      <c r="F33744" s="61"/>
      <c r="G33744" s="61"/>
      <c r="H33744" s="61"/>
    </row>
    <row r="33745" spans="2:8" x14ac:dyDescent="0.25">
      <c r="B33745" s="60" t="s">
        <v>8418</v>
      </c>
      <c r="C33745" s="60" t="s">
        <v>8419</v>
      </c>
      <c r="D33745" s="60" t="str">
        <f>HYPERLINK("https://rhld.insurance.arkansas.gov/NPILookup?Npi=1447549845","1447549845")</f>
        <v>1447549845</v>
      </c>
      <c r="E33745" s="60" t="s">
        <v>8634</v>
      </c>
      <c r="F33745" s="61"/>
      <c r="G33745" s="61"/>
      <c r="H33745" s="61"/>
    </row>
    <row r="33746" spans="2:8" x14ac:dyDescent="0.25">
      <c r="B33746" s="60" t="s">
        <v>8418</v>
      </c>
      <c r="C33746" s="60" t="s">
        <v>8419</v>
      </c>
      <c r="D33746" s="60" t="str">
        <f>HYPERLINK("https://rhld.insurance.arkansas.gov/NPILookup?Npi=1447595251","1447595251")</f>
        <v>1447595251</v>
      </c>
      <c r="E33746" s="60" t="s">
        <v>8635</v>
      </c>
      <c r="F33746" s="61"/>
      <c r="G33746" s="61"/>
      <c r="H33746" s="61"/>
    </row>
    <row r="33747" spans="2:8" x14ac:dyDescent="0.25">
      <c r="B33747" s="60" t="s">
        <v>8418</v>
      </c>
      <c r="C33747" s="60" t="s">
        <v>8419</v>
      </c>
      <c r="D33747" s="60" t="str">
        <f>HYPERLINK("https://rhld.insurance.arkansas.gov/NPILookup?Npi=1447632435","1447632435")</f>
        <v>1447632435</v>
      </c>
      <c r="E33747" s="60" t="s">
        <v>14154</v>
      </c>
      <c r="F33747" s="61"/>
      <c r="G33747" s="61"/>
      <c r="H33747" s="61"/>
    </row>
    <row r="33748" spans="2:8" x14ac:dyDescent="0.25">
      <c r="B33748" s="60" t="s">
        <v>8418</v>
      </c>
      <c r="C33748" s="60" t="s">
        <v>8419</v>
      </c>
      <c r="D33748" s="60" t="str">
        <f>HYPERLINK("https://rhld.insurance.arkansas.gov/NPILookup?Npi=1447638929","1447638929")</f>
        <v>1447638929</v>
      </c>
      <c r="E33748" s="60" t="s">
        <v>8636</v>
      </c>
      <c r="F33748" s="61"/>
      <c r="G33748" s="61"/>
      <c r="H33748" s="61"/>
    </row>
    <row r="33749" spans="2:8" x14ac:dyDescent="0.25">
      <c r="B33749" s="60" t="s">
        <v>8418</v>
      </c>
      <c r="C33749" s="60" t="s">
        <v>8419</v>
      </c>
      <c r="D33749" s="60" t="str">
        <f>HYPERLINK("https://rhld.insurance.arkansas.gov/NPILookup?Npi=1447663752","1447663752")</f>
        <v>1447663752</v>
      </c>
      <c r="E33749" s="60" t="s">
        <v>14155</v>
      </c>
      <c r="F33749" s="61"/>
      <c r="G33749" s="61"/>
      <c r="H33749" s="61"/>
    </row>
    <row r="33750" spans="2:8" x14ac:dyDescent="0.25">
      <c r="B33750" s="60" t="s">
        <v>8418</v>
      </c>
      <c r="C33750" s="60" t="s">
        <v>8419</v>
      </c>
      <c r="D33750" s="60" t="str">
        <f>HYPERLINK("https://rhld.insurance.arkansas.gov/NPILookup?Npi=1447674643","1447674643")</f>
        <v>1447674643</v>
      </c>
      <c r="E33750" s="60" t="s">
        <v>8637</v>
      </c>
      <c r="F33750" s="61"/>
      <c r="G33750" s="61"/>
      <c r="H33750" s="61"/>
    </row>
    <row r="33751" spans="2:8" x14ac:dyDescent="0.25">
      <c r="B33751" s="60" t="s">
        <v>8418</v>
      </c>
      <c r="C33751" s="60" t="s">
        <v>8419</v>
      </c>
      <c r="D33751" s="60" t="str">
        <f>HYPERLINK("https://rhld.insurance.arkansas.gov/NPILookup?Npi=1447769138","1447769138")</f>
        <v>1447769138</v>
      </c>
      <c r="E33751" s="60" t="s">
        <v>30600</v>
      </c>
      <c r="F33751" s="61"/>
      <c r="G33751" s="61"/>
      <c r="H33751" s="61"/>
    </row>
    <row r="33752" spans="2:8" x14ac:dyDescent="0.25">
      <c r="B33752" s="60" t="s">
        <v>8418</v>
      </c>
      <c r="C33752" s="60" t="s">
        <v>8419</v>
      </c>
      <c r="D33752" s="60" t="str">
        <f>HYPERLINK("https://rhld.insurance.arkansas.gov/NPILookup?Npi=1447857768","1447857768")</f>
        <v>1447857768</v>
      </c>
      <c r="E33752" s="60" t="s">
        <v>13517</v>
      </c>
      <c r="F33752" s="61"/>
      <c r="G33752" s="61"/>
      <c r="H33752" s="61"/>
    </row>
    <row r="33753" spans="2:8" x14ac:dyDescent="0.25">
      <c r="B33753" s="60" t="s">
        <v>8418</v>
      </c>
      <c r="C33753" s="60" t="s">
        <v>8419</v>
      </c>
      <c r="D33753" s="60" t="str">
        <f>HYPERLINK("https://rhld.insurance.arkansas.gov/NPILookup?Npi=1447893235","1447893235")</f>
        <v>1447893235</v>
      </c>
      <c r="E33753" s="60" t="s">
        <v>32527</v>
      </c>
      <c r="F33753" s="61"/>
      <c r="G33753" s="61"/>
      <c r="H33753" s="61"/>
    </row>
    <row r="33754" spans="2:8" x14ac:dyDescent="0.25">
      <c r="B33754" s="60" t="s">
        <v>8418</v>
      </c>
      <c r="C33754" s="60" t="s">
        <v>8419</v>
      </c>
      <c r="D33754" s="60" t="str">
        <f>HYPERLINK("https://rhld.insurance.arkansas.gov/NPILookup?Npi=1447982939","1447982939")</f>
        <v>1447982939</v>
      </c>
      <c r="E33754" s="60" t="s">
        <v>30601</v>
      </c>
      <c r="F33754" s="61"/>
      <c r="G33754" s="61"/>
      <c r="H33754" s="61"/>
    </row>
    <row r="33755" spans="2:8" x14ac:dyDescent="0.25">
      <c r="B33755" s="60" t="s">
        <v>8418</v>
      </c>
      <c r="C33755" s="60" t="s">
        <v>8419</v>
      </c>
      <c r="D33755" s="60" t="str">
        <f>HYPERLINK("https://rhld.insurance.arkansas.gov/NPILookup?Npi=1457010050","1457010050")</f>
        <v>1457010050</v>
      </c>
      <c r="E33755" s="60" t="s">
        <v>30602</v>
      </c>
      <c r="F33755" s="61"/>
      <c r="G33755" s="61"/>
      <c r="H33755" s="61"/>
    </row>
    <row r="33756" spans="2:8" x14ac:dyDescent="0.25">
      <c r="B33756" s="60" t="s">
        <v>8418</v>
      </c>
      <c r="C33756" s="60" t="s">
        <v>8419</v>
      </c>
      <c r="D33756" s="60" t="str">
        <f>HYPERLINK("https://rhld.insurance.arkansas.gov/NPILookup?Npi=1457012353","1457012353")</f>
        <v>1457012353</v>
      </c>
      <c r="E33756" s="60" t="s">
        <v>30603</v>
      </c>
      <c r="F33756" s="61"/>
      <c r="G33756" s="61"/>
      <c r="H33756" s="61"/>
    </row>
    <row r="33757" spans="2:8" x14ac:dyDescent="0.25">
      <c r="B33757" s="60" t="s">
        <v>8418</v>
      </c>
      <c r="C33757" s="60" t="s">
        <v>8419</v>
      </c>
      <c r="D33757" s="60" t="str">
        <f>HYPERLINK("https://rhld.insurance.arkansas.gov/NPILookup?Npi=1457026593","1457026593")</f>
        <v>1457026593</v>
      </c>
      <c r="E33757" s="60" t="s">
        <v>14156</v>
      </c>
      <c r="F33757" s="61"/>
      <c r="G33757" s="61"/>
      <c r="H33757" s="61"/>
    </row>
    <row r="33758" spans="2:8" x14ac:dyDescent="0.25">
      <c r="B33758" s="60" t="s">
        <v>8418</v>
      </c>
      <c r="C33758" s="60" t="s">
        <v>8419</v>
      </c>
      <c r="D33758" s="60" t="str">
        <f>HYPERLINK("https://rhld.insurance.arkansas.gov/NPILookup?Npi=1457403511","1457403511")</f>
        <v>1457403511</v>
      </c>
      <c r="E33758" s="60" t="s">
        <v>30604</v>
      </c>
      <c r="F33758" s="61"/>
      <c r="G33758" s="61"/>
      <c r="H33758" s="61"/>
    </row>
    <row r="33759" spans="2:8" x14ac:dyDescent="0.25">
      <c r="B33759" s="60" t="s">
        <v>8418</v>
      </c>
      <c r="C33759" s="60" t="s">
        <v>8419</v>
      </c>
      <c r="D33759" s="60" t="str">
        <f>HYPERLINK("https://rhld.insurance.arkansas.gov/NPILookup?Npi=1457494205","1457494205")</f>
        <v>1457494205</v>
      </c>
      <c r="E33759" s="60" t="s">
        <v>30605</v>
      </c>
      <c r="F33759" s="61"/>
      <c r="G33759" s="61"/>
      <c r="H33759" s="61"/>
    </row>
    <row r="33760" spans="2:8" x14ac:dyDescent="0.25">
      <c r="B33760" s="60" t="s">
        <v>8418</v>
      </c>
      <c r="C33760" s="60" t="s">
        <v>8419</v>
      </c>
      <c r="D33760" s="60" t="str">
        <f>HYPERLINK("https://rhld.insurance.arkansas.gov/NPILookup?Npi=1457554081","1457554081")</f>
        <v>1457554081</v>
      </c>
      <c r="E33760" s="60" t="s">
        <v>30606</v>
      </c>
      <c r="F33760" s="61"/>
      <c r="G33760" s="61"/>
      <c r="H33760" s="61"/>
    </row>
    <row r="33761" spans="2:8" x14ac:dyDescent="0.25">
      <c r="B33761" s="60" t="s">
        <v>8418</v>
      </c>
      <c r="C33761" s="60" t="s">
        <v>8419</v>
      </c>
      <c r="D33761" s="60" t="str">
        <f>HYPERLINK("https://rhld.insurance.arkansas.gov/NPILookup?Npi=1457609596","1457609596")</f>
        <v>1457609596</v>
      </c>
      <c r="E33761" s="60" t="s">
        <v>14157</v>
      </c>
      <c r="F33761" s="61"/>
      <c r="G33761" s="61"/>
      <c r="H33761" s="61"/>
    </row>
    <row r="33762" spans="2:8" x14ac:dyDescent="0.25">
      <c r="B33762" s="60" t="s">
        <v>8418</v>
      </c>
      <c r="C33762" s="60" t="s">
        <v>8419</v>
      </c>
      <c r="D33762" s="60" t="str">
        <f>HYPERLINK("https://rhld.insurance.arkansas.gov/NPILookup?Npi=1457694275","1457694275")</f>
        <v>1457694275</v>
      </c>
      <c r="E33762" s="60" t="s">
        <v>7814</v>
      </c>
      <c r="F33762" s="61"/>
      <c r="G33762" s="61"/>
      <c r="H33762" s="61"/>
    </row>
    <row r="33763" spans="2:8" x14ac:dyDescent="0.25">
      <c r="B33763" s="60" t="s">
        <v>8418</v>
      </c>
      <c r="C33763" s="60" t="s">
        <v>8419</v>
      </c>
      <c r="D33763" s="60" t="str">
        <f>HYPERLINK("https://rhld.insurance.arkansas.gov/NPILookup?Npi=1457704892","1457704892")</f>
        <v>1457704892</v>
      </c>
      <c r="E33763" s="60" t="s">
        <v>14158</v>
      </c>
      <c r="F33763" s="61"/>
      <c r="G33763" s="61"/>
      <c r="H33763" s="61"/>
    </row>
    <row r="33764" spans="2:8" x14ac:dyDescent="0.25">
      <c r="B33764" s="60" t="s">
        <v>8418</v>
      </c>
      <c r="C33764" s="60" t="s">
        <v>8419</v>
      </c>
      <c r="D33764" s="60" t="str">
        <f>HYPERLINK("https://rhld.insurance.arkansas.gov/NPILookup?Npi=1457839060","1457839060")</f>
        <v>1457839060</v>
      </c>
      <c r="E33764" s="60" t="s">
        <v>30607</v>
      </c>
      <c r="F33764" s="61"/>
      <c r="G33764" s="61"/>
      <c r="H33764" s="61"/>
    </row>
    <row r="33765" spans="2:8" x14ac:dyDescent="0.25">
      <c r="B33765" s="60" t="s">
        <v>8418</v>
      </c>
      <c r="C33765" s="60" t="s">
        <v>8419</v>
      </c>
      <c r="D33765" s="60" t="str">
        <f>HYPERLINK("https://rhld.insurance.arkansas.gov/NPILookup?Npi=1457928533","1457928533")</f>
        <v>1457928533</v>
      </c>
      <c r="E33765" s="60" t="s">
        <v>30608</v>
      </c>
      <c r="F33765" s="61"/>
      <c r="G33765" s="61"/>
      <c r="H33765" s="61"/>
    </row>
    <row r="33766" spans="2:8" x14ac:dyDescent="0.25">
      <c r="B33766" s="60" t="s">
        <v>8418</v>
      </c>
      <c r="C33766" s="60" t="s">
        <v>8419</v>
      </c>
      <c r="D33766" s="60" t="str">
        <f>HYPERLINK("https://rhld.insurance.arkansas.gov/NPILookup?Npi=1457928608","1457928608")</f>
        <v>1457928608</v>
      </c>
      <c r="E33766" s="60" t="s">
        <v>30609</v>
      </c>
      <c r="F33766" s="61"/>
      <c r="G33766" s="61"/>
      <c r="H33766" s="61"/>
    </row>
    <row r="33767" spans="2:8" x14ac:dyDescent="0.25">
      <c r="B33767" s="60" t="s">
        <v>8418</v>
      </c>
      <c r="C33767" s="60" t="s">
        <v>8419</v>
      </c>
      <c r="D33767" s="60" t="str">
        <f>HYPERLINK("https://rhld.insurance.arkansas.gov/NPILookup?Npi=1457969792","1457969792")</f>
        <v>1457969792</v>
      </c>
      <c r="E33767" s="60" t="s">
        <v>14159</v>
      </c>
      <c r="F33767" s="61"/>
      <c r="G33767" s="61"/>
      <c r="H33767" s="61"/>
    </row>
    <row r="33768" spans="2:8" x14ac:dyDescent="0.25">
      <c r="B33768" s="60" t="s">
        <v>8418</v>
      </c>
      <c r="C33768" s="60" t="s">
        <v>8419</v>
      </c>
      <c r="D33768" s="60" t="str">
        <f>HYPERLINK("https://rhld.insurance.arkansas.gov/NPILookup?Npi=1467004820","1467004820")</f>
        <v>1467004820</v>
      </c>
      <c r="E33768" s="60" t="s">
        <v>14160</v>
      </c>
      <c r="F33768" s="61"/>
      <c r="G33768" s="61"/>
      <c r="H33768" s="61"/>
    </row>
    <row r="33769" spans="2:8" x14ac:dyDescent="0.25">
      <c r="B33769" s="60" t="s">
        <v>8418</v>
      </c>
      <c r="C33769" s="60" t="s">
        <v>8419</v>
      </c>
      <c r="D33769" s="60" t="str">
        <f>HYPERLINK("https://rhld.insurance.arkansas.gov/NPILookup?Npi=1467010462","1467010462")</f>
        <v>1467010462</v>
      </c>
      <c r="E33769" s="60" t="s">
        <v>8638</v>
      </c>
      <c r="F33769" s="61"/>
      <c r="G33769" s="61"/>
      <c r="H33769" s="61"/>
    </row>
    <row r="33770" spans="2:8" x14ac:dyDescent="0.25">
      <c r="B33770" s="60" t="s">
        <v>8418</v>
      </c>
      <c r="C33770" s="60" t="s">
        <v>8419</v>
      </c>
      <c r="D33770" s="60" t="str">
        <f>HYPERLINK("https://rhld.insurance.arkansas.gov/NPILookup?Npi=1467023465","1467023465")</f>
        <v>1467023465</v>
      </c>
      <c r="E33770" s="60" t="s">
        <v>30610</v>
      </c>
      <c r="F33770" s="61"/>
      <c r="G33770" s="61"/>
      <c r="H33770" s="61"/>
    </row>
    <row r="33771" spans="2:8" x14ac:dyDescent="0.25">
      <c r="B33771" s="60" t="s">
        <v>8418</v>
      </c>
      <c r="C33771" s="60" t="s">
        <v>8419</v>
      </c>
      <c r="D33771" s="60" t="str">
        <f>HYPERLINK("https://rhld.insurance.arkansas.gov/NPILookup?Npi=1467050187","1467050187")</f>
        <v>1467050187</v>
      </c>
      <c r="E33771" s="60" t="s">
        <v>30611</v>
      </c>
      <c r="F33771" s="61"/>
      <c r="G33771" s="61"/>
      <c r="H33771" s="61"/>
    </row>
    <row r="33772" spans="2:8" x14ac:dyDescent="0.25">
      <c r="B33772" s="60" t="s">
        <v>8418</v>
      </c>
      <c r="C33772" s="60" t="s">
        <v>8419</v>
      </c>
      <c r="D33772" s="60" t="str">
        <f>HYPERLINK("https://rhld.insurance.arkansas.gov/NPILookup?Npi=1467070581","1467070581")</f>
        <v>1467070581</v>
      </c>
      <c r="E33772" s="60" t="s">
        <v>30612</v>
      </c>
      <c r="F33772" s="61"/>
      <c r="G33772" s="61"/>
      <c r="H33772" s="61"/>
    </row>
    <row r="33773" spans="2:8" x14ac:dyDescent="0.25">
      <c r="B33773" s="60" t="s">
        <v>8418</v>
      </c>
      <c r="C33773" s="60" t="s">
        <v>8419</v>
      </c>
      <c r="D33773" s="60" t="str">
        <f>HYPERLINK("https://rhld.insurance.arkansas.gov/NPILookup?Npi=1467191502","1467191502")</f>
        <v>1467191502</v>
      </c>
      <c r="E33773" s="60" t="s">
        <v>14161</v>
      </c>
      <c r="F33773" s="61"/>
      <c r="G33773" s="61"/>
      <c r="H33773" s="61"/>
    </row>
    <row r="33774" spans="2:8" x14ac:dyDescent="0.25">
      <c r="B33774" s="60" t="s">
        <v>8418</v>
      </c>
      <c r="C33774" s="60" t="s">
        <v>8419</v>
      </c>
      <c r="D33774" s="60" t="str">
        <f>HYPERLINK("https://rhld.insurance.arkansas.gov/NPILookup?Npi=1467272955","1467272955")</f>
        <v>1467272955</v>
      </c>
      <c r="E33774" s="60" t="s">
        <v>32528</v>
      </c>
      <c r="F33774" s="61"/>
      <c r="G33774" s="61"/>
      <c r="H33774" s="61"/>
    </row>
    <row r="33775" spans="2:8" x14ac:dyDescent="0.25">
      <c r="B33775" s="60" t="s">
        <v>8418</v>
      </c>
      <c r="C33775" s="60" t="s">
        <v>8419</v>
      </c>
      <c r="D33775" s="60" t="str">
        <f>HYPERLINK("https://rhld.insurance.arkansas.gov/NPILookup?Npi=1467551515","1467551515")</f>
        <v>1467551515</v>
      </c>
      <c r="E33775" s="60" t="s">
        <v>8640</v>
      </c>
      <c r="F33775" s="61"/>
      <c r="G33775" s="61"/>
      <c r="H33775" s="61"/>
    </row>
    <row r="33776" spans="2:8" x14ac:dyDescent="0.25">
      <c r="B33776" s="60" t="s">
        <v>8418</v>
      </c>
      <c r="C33776" s="60" t="s">
        <v>8419</v>
      </c>
      <c r="D33776" s="60" t="str">
        <f>HYPERLINK("https://rhld.insurance.arkansas.gov/NPILookup?Npi=1467586164","1467586164")</f>
        <v>1467586164</v>
      </c>
      <c r="E33776" s="60" t="s">
        <v>8641</v>
      </c>
      <c r="F33776" s="61"/>
      <c r="G33776" s="61"/>
      <c r="H33776" s="61"/>
    </row>
    <row r="33777" spans="2:8" x14ac:dyDescent="0.25">
      <c r="B33777" s="60" t="s">
        <v>8418</v>
      </c>
      <c r="C33777" s="60" t="s">
        <v>8419</v>
      </c>
      <c r="D33777" s="60" t="str">
        <f>HYPERLINK("https://rhld.insurance.arkansas.gov/NPILookup?Npi=1467596692","1467596692")</f>
        <v>1467596692</v>
      </c>
      <c r="E33777" s="60" t="s">
        <v>8642</v>
      </c>
      <c r="F33777" s="61"/>
      <c r="G33777" s="61"/>
      <c r="H33777" s="61"/>
    </row>
    <row r="33778" spans="2:8" x14ac:dyDescent="0.25">
      <c r="B33778" s="60" t="s">
        <v>8418</v>
      </c>
      <c r="C33778" s="60" t="s">
        <v>8419</v>
      </c>
      <c r="D33778" s="60" t="str">
        <f>HYPERLINK("https://rhld.insurance.arkansas.gov/NPILookup?Npi=1467607093","1467607093")</f>
        <v>1467607093</v>
      </c>
      <c r="E33778" s="60" t="s">
        <v>30613</v>
      </c>
      <c r="F33778" s="61"/>
      <c r="G33778" s="61"/>
      <c r="H33778" s="61"/>
    </row>
    <row r="33779" spans="2:8" x14ac:dyDescent="0.25">
      <c r="B33779" s="60" t="s">
        <v>8418</v>
      </c>
      <c r="C33779" s="60" t="s">
        <v>8419</v>
      </c>
      <c r="D33779" s="60" t="str">
        <f>HYPERLINK("https://rhld.insurance.arkansas.gov/NPILookup?Npi=1467660159","1467660159")</f>
        <v>1467660159</v>
      </c>
      <c r="E33779" s="60" t="s">
        <v>14162</v>
      </c>
      <c r="F33779" s="61"/>
      <c r="G33779" s="61"/>
      <c r="H33779" s="61"/>
    </row>
    <row r="33780" spans="2:8" x14ac:dyDescent="0.25">
      <c r="B33780" s="60" t="s">
        <v>8418</v>
      </c>
      <c r="C33780" s="60" t="s">
        <v>8419</v>
      </c>
      <c r="D33780" s="60" t="str">
        <f>HYPERLINK("https://rhld.insurance.arkansas.gov/NPILookup?Npi=1467682393","1467682393")</f>
        <v>1467682393</v>
      </c>
      <c r="E33780" s="60" t="s">
        <v>30614</v>
      </c>
      <c r="F33780" s="61"/>
      <c r="G33780" s="61"/>
      <c r="H33780" s="61"/>
    </row>
    <row r="33781" spans="2:8" x14ac:dyDescent="0.25">
      <c r="B33781" s="60" t="s">
        <v>8418</v>
      </c>
      <c r="C33781" s="60" t="s">
        <v>8419</v>
      </c>
      <c r="D33781" s="60" t="str">
        <f>HYPERLINK("https://rhld.insurance.arkansas.gov/NPILookup?Npi=1467766089","1467766089")</f>
        <v>1467766089</v>
      </c>
      <c r="E33781" s="60" t="s">
        <v>8643</v>
      </c>
      <c r="F33781" s="61"/>
      <c r="G33781" s="61"/>
      <c r="H33781" s="61"/>
    </row>
    <row r="33782" spans="2:8" x14ac:dyDescent="0.25">
      <c r="B33782" s="60" t="s">
        <v>8418</v>
      </c>
      <c r="C33782" s="60" t="s">
        <v>8419</v>
      </c>
      <c r="D33782" s="60" t="str">
        <f>HYPERLINK("https://rhld.insurance.arkansas.gov/NPILookup?Npi=1467852681","1467852681")</f>
        <v>1467852681</v>
      </c>
      <c r="E33782" s="60" t="s">
        <v>30615</v>
      </c>
      <c r="F33782" s="61"/>
      <c r="G33782" s="61"/>
      <c r="H33782" s="61"/>
    </row>
    <row r="33783" spans="2:8" x14ac:dyDescent="0.25">
      <c r="B33783" s="60" t="s">
        <v>8418</v>
      </c>
      <c r="C33783" s="60" t="s">
        <v>8419</v>
      </c>
      <c r="D33783" s="60" t="str">
        <f>HYPERLINK("https://rhld.insurance.arkansas.gov/NPILookup?Npi=1467861492","1467861492")</f>
        <v>1467861492</v>
      </c>
      <c r="E33783" s="60" t="s">
        <v>30616</v>
      </c>
      <c r="F33783" s="61"/>
      <c r="G33783" s="61"/>
      <c r="H33783" s="61"/>
    </row>
    <row r="33784" spans="2:8" x14ac:dyDescent="0.25">
      <c r="B33784" s="60" t="s">
        <v>8418</v>
      </c>
      <c r="C33784" s="60" t="s">
        <v>8419</v>
      </c>
      <c r="D33784" s="60" t="str">
        <f>HYPERLINK("https://rhld.insurance.arkansas.gov/NPILookup?Npi=1467932947","1467932947")</f>
        <v>1467932947</v>
      </c>
      <c r="E33784" s="60" t="s">
        <v>8644</v>
      </c>
      <c r="F33784" s="61"/>
      <c r="G33784" s="61"/>
      <c r="H33784" s="61"/>
    </row>
    <row r="33785" spans="2:8" x14ac:dyDescent="0.25">
      <c r="B33785" s="60" t="s">
        <v>8418</v>
      </c>
      <c r="C33785" s="60" t="s">
        <v>8419</v>
      </c>
      <c r="D33785" s="60" t="str">
        <f>HYPERLINK("https://rhld.insurance.arkansas.gov/NPILookup?Npi=1477062271","1477062271")</f>
        <v>1477062271</v>
      </c>
      <c r="E33785" s="60" t="s">
        <v>30617</v>
      </c>
      <c r="F33785" s="61"/>
      <c r="G33785" s="61"/>
      <c r="H33785" s="61"/>
    </row>
    <row r="33786" spans="2:8" x14ac:dyDescent="0.25">
      <c r="B33786" s="60" t="s">
        <v>8418</v>
      </c>
      <c r="C33786" s="60" t="s">
        <v>8419</v>
      </c>
      <c r="D33786" s="60" t="str">
        <f>HYPERLINK("https://rhld.insurance.arkansas.gov/NPILookup?Npi=1477120921","1477120921")</f>
        <v>1477120921</v>
      </c>
      <c r="E33786" s="60" t="s">
        <v>30618</v>
      </c>
      <c r="F33786" s="61"/>
      <c r="G33786" s="61"/>
      <c r="H33786" s="61"/>
    </row>
    <row r="33787" spans="2:8" x14ac:dyDescent="0.25">
      <c r="B33787" s="60" t="s">
        <v>8418</v>
      </c>
      <c r="C33787" s="60" t="s">
        <v>8419</v>
      </c>
      <c r="D33787" s="60" t="str">
        <f>HYPERLINK("https://rhld.insurance.arkansas.gov/NPILookup?Npi=1477163871","1477163871")</f>
        <v>1477163871</v>
      </c>
      <c r="E33787" s="60" t="s">
        <v>5645</v>
      </c>
      <c r="F33787" s="61"/>
      <c r="G33787" s="61"/>
      <c r="H33787" s="61"/>
    </row>
    <row r="33788" spans="2:8" x14ac:dyDescent="0.25">
      <c r="B33788" s="60" t="s">
        <v>8418</v>
      </c>
      <c r="C33788" s="60" t="s">
        <v>8419</v>
      </c>
      <c r="D33788" s="60" t="str">
        <f>HYPERLINK("https://rhld.insurance.arkansas.gov/NPILookup?Npi=1477175347","1477175347")</f>
        <v>1477175347</v>
      </c>
      <c r="E33788" s="60" t="s">
        <v>30619</v>
      </c>
      <c r="F33788" s="61"/>
      <c r="G33788" s="61"/>
      <c r="H33788" s="61"/>
    </row>
    <row r="33789" spans="2:8" x14ac:dyDescent="0.25">
      <c r="B33789" s="60" t="s">
        <v>8418</v>
      </c>
      <c r="C33789" s="60" t="s">
        <v>8419</v>
      </c>
      <c r="D33789" s="60" t="str">
        <f>HYPERLINK("https://rhld.insurance.arkansas.gov/NPILookup?Npi=1477244614","1477244614")</f>
        <v>1477244614</v>
      </c>
      <c r="E33789" s="60" t="s">
        <v>8645</v>
      </c>
      <c r="F33789" s="61"/>
      <c r="G33789" s="61"/>
      <c r="H33789" s="61"/>
    </row>
    <row r="33790" spans="2:8" x14ac:dyDescent="0.25">
      <c r="B33790" s="60" t="s">
        <v>8418</v>
      </c>
      <c r="C33790" s="60" t="s">
        <v>8419</v>
      </c>
      <c r="D33790" s="60" t="str">
        <f>HYPERLINK("https://rhld.insurance.arkansas.gov/NPILookup?Npi=1477290658","1477290658")</f>
        <v>1477290658</v>
      </c>
      <c r="E33790" s="60" t="s">
        <v>30620</v>
      </c>
      <c r="F33790" s="61"/>
      <c r="G33790" s="61"/>
      <c r="H33790" s="61"/>
    </row>
    <row r="33791" spans="2:8" x14ac:dyDescent="0.25">
      <c r="B33791" s="60" t="s">
        <v>8418</v>
      </c>
      <c r="C33791" s="60" t="s">
        <v>8419</v>
      </c>
      <c r="D33791" s="60" t="str">
        <f>HYPERLINK("https://rhld.insurance.arkansas.gov/NPILookup?Npi=1477290856","1477290856")</f>
        <v>1477290856</v>
      </c>
      <c r="E33791" s="60" t="s">
        <v>14163</v>
      </c>
      <c r="F33791" s="61"/>
      <c r="G33791" s="61"/>
      <c r="H33791" s="61"/>
    </row>
    <row r="33792" spans="2:8" x14ac:dyDescent="0.25">
      <c r="B33792" s="60" t="s">
        <v>8418</v>
      </c>
      <c r="C33792" s="60" t="s">
        <v>8419</v>
      </c>
      <c r="D33792" s="60" t="str">
        <f>HYPERLINK("https://rhld.insurance.arkansas.gov/NPILookup?Npi=1477689958","1477689958")</f>
        <v>1477689958</v>
      </c>
      <c r="E33792" s="60" t="s">
        <v>30621</v>
      </c>
      <c r="F33792" s="61"/>
      <c r="G33792" s="61"/>
      <c r="H33792" s="61"/>
    </row>
    <row r="33793" spans="2:8" x14ac:dyDescent="0.25">
      <c r="B33793" s="60" t="s">
        <v>8418</v>
      </c>
      <c r="C33793" s="60" t="s">
        <v>8419</v>
      </c>
      <c r="D33793" s="60" t="str">
        <f>HYPERLINK("https://rhld.insurance.arkansas.gov/NPILookup?Npi=1477706091","1477706091")</f>
        <v>1477706091</v>
      </c>
      <c r="E33793" s="60" t="s">
        <v>8646</v>
      </c>
      <c r="F33793" s="61"/>
      <c r="G33793" s="61"/>
      <c r="H33793" s="61"/>
    </row>
    <row r="33794" spans="2:8" x14ac:dyDescent="0.25">
      <c r="B33794" s="60" t="s">
        <v>8418</v>
      </c>
      <c r="C33794" s="60" t="s">
        <v>8419</v>
      </c>
      <c r="D33794" s="60" t="str">
        <f>HYPERLINK("https://rhld.insurance.arkansas.gov/NPILookup?Npi=1477728483","1477728483")</f>
        <v>1477728483</v>
      </c>
      <c r="E33794" s="60" t="s">
        <v>30622</v>
      </c>
      <c r="F33794" s="61"/>
      <c r="G33794" s="61"/>
      <c r="H33794" s="61"/>
    </row>
    <row r="33795" spans="2:8" x14ac:dyDescent="0.25">
      <c r="B33795" s="60" t="s">
        <v>8418</v>
      </c>
      <c r="C33795" s="60" t="s">
        <v>8419</v>
      </c>
      <c r="D33795" s="60" t="str">
        <f>HYPERLINK("https://rhld.insurance.arkansas.gov/NPILookup?Npi=1477785988","1477785988")</f>
        <v>1477785988</v>
      </c>
      <c r="E33795" s="60" t="s">
        <v>8647</v>
      </c>
      <c r="F33795" s="61"/>
      <c r="G33795" s="61"/>
      <c r="H33795" s="61"/>
    </row>
    <row r="33796" spans="2:8" x14ac:dyDescent="0.25">
      <c r="B33796" s="60" t="s">
        <v>8418</v>
      </c>
      <c r="C33796" s="60" t="s">
        <v>8419</v>
      </c>
      <c r="D33796" s="60" t="str">
        <f>HYPERLINK("https://rhld.insurance.arkansas.gov/NPILookup?Npi=1477826246","1477826246")</f>
        <v>1477826246</v>
      </c>
      <c r="E33796" s="60" t="s">
        <v>30623</v>
      </c>
      <c r="F33796" s="61"/>
      <c r="G33796" s="61"/>
      <c r="H33796" s="61"/>
    </row>
    <row r="33797" spans="2:8" x14ac:dyDescent="0.25">
      <c r="B33797" s="60" t="s">
        <v>8418</v>
      </c>
      <c r="C33797" s="60" t="s">
        <v>8419</v>
      </c>
      <c r="D33797" s="60" t="str">
        <f>HYPERLINK("https://rhld.insurance.arkansas.gov/NPILookup?Npi=1477842607","1477842607")</f>
        <v>1477842607</v>
      </c>
      <c r="E33797" s="60" t="s">
        <v>30624</v>
      </c>
      <c r="F33797" s="61"/>
      <c r="G33797" s="61"/>
      <c r="H33797" s="61"/>
    </row>
    <row r="33798" spans="2:8" x14ac:dyDescent="0.25">
      <c r="B33798" s="60" t="s">
        <v>8418</v>
      </c>
      <c r="C33798" s="60" t="s">
        <v>8419</v>
      </c>
      <c r="D33798" s="60" t="str">
        <f>HYPERLINK("https://rhld.insurance.arkansas.gov/NPILookup?Npi=1477848414","1477848414")</f>
        <v>1477848414</v>
      </c>
      <c r="E33798" s="60" t="s">
        <v>8648</v>
      </c>
      <c r="F33798" s="61"/>
      <c r="G33798" s="61"/>
      <c r="H33798" s="61"/>
    </row>
    <row r="33799" spans="2:8" x14ac:dyDescent="0.25">
      <c r="B33799" s="60" t="s">
        <v>8418</v>
      </c>
      <c r="C33799" s="60" t="s">
        <v>8419</v>
      </c>
      <c r="D33799" s="60" t="str">
        <f>HYPERLINK("https://rhld.insurance.arkansas.gov/NPILookup?Npi=1477861649","1477861649")</f>
        <v>1477861649</v>
      </c>
      <c r="E33799" s="60" t="s">
        <v>30625</v>
      </c>
      <c r="F33799" s="61"/>
      <c r="G33799" s="61"/>
      <c r="H33799" s="61"/>
    </row>
    <row r="33800" spans="2:8" x14ac:dyDescent="0.25">
      <c r="B33800" s="60" t="s">
        <v>8418</v>
      </c>
      <c r="C33800" s="60" t="s">
        <v>8419</v>
      </c>
      <c r="D33800" s="60" t="str">
        <f>HYPERLINK("https://rhld.insurance.arkansas.gov/NPILookup?Npi=1477899938","1477899938")</f>
        <v>1477899938</v>
      </c>
      <c r="E33800" s="60" t="s">
        <v>30626</v>
      </c>
      <c r="F33800" s="61"/>
      <c r="G33800" s="61"/>
      <c r="H33800" s="61"/>
    </row>
    <row r="33801" spans="2:8" x14ac:dyDescent="0.25">
      <c r="B33801" s="60" t="s">
        <v>8418</v>
      </c>
      <c r="C33801" s="60" t="s">
        <v>8419</v>
      </c>
      <c r="D33801" s="60" t="str">
        <f>HYPERLINK("https://rhld.insurance.arkansas.gov/NPILookup?Npi=1477901734","1477901734")</f>
        <v>1477901734</v>
      </c>
      <c r="E33801" s="60" t="s">
        <v>8649</v>
      </c>
      <c r="F33801" s="61"/>
      <c r="G33801" s="61"/>
      <c r="H33801" s="61"/>
    </row>
    <row r="33802" spans="2:8" x14ac:dyDescent="0.25">
      <c r="B33802" s="60" t="s">
        <v>8418</v>
      </c>
      <c r="C33802" s="60" t="s">
        <v>8419</v>
      </c>
      <c r="D33802" s="60" t="str">
        <f>HYPERLINK("https://rhld.insurance.arkansas.gov/NPILookup?Npi=1477945996","1477945996")</f>
        <v>1477945996</v>
      </c>
      <c r="E33802" s="60" t="s">
        <v>30627</v>
      </c>
      <c r="F33802" s="61"/>
      <c r="G33802" s="61"/>
      <c r="H33802" s="61"/>
    </row>
    <row r="33803" spans="2:8" x14ac:dyDescent="0.25">
      <c r="B33803" s="60" t="s">
        <v>8418</v>
      </c>
      <c r="C33803" s="60" t="s">
        <v>8419</v>
      </c>
      <c r="D33803" s="60" t="str">
        <f>HYPERLINK("https://rhld.insurance.arkansas.gov/NPILookup?Npi=1477971604","1477971604")</f>
        <v>1477971604</v>
      </c>
      <c r="E33803" s="60" t="s">
        <v>8650</v>
      </c>
      <c r="F33803" s="61"/>
      <c r="G33803" s="61"/>
      <c r="H33803" s="61"/>
    </row>
    <row r="33804" spans="2:8" x14ac:dyDescent="0.25">
      <c r="B33804" s="60" t="s">
        <v>8418</v>
      </c>
      <c r="C33804" s="60" t="s">
        <v>8419</v>
      </c>
      <c r="D33804" s="60" t="str">
        <f>HYPERLINK("https://rhld.insurance.arkansas.gov/NPILookup?Npi=1487024386","1487024386")</f>
        <v>1487024386</v>
      </c>
      <c r="E33804" s="60" t="s">
        <v>30628</v>
      </c>
      <c r="F33804" s="61"/>
      <c r="G33804" s="61"/>
      <c r="H33804" s="61"/>
    </row>
    <row r="33805" spans="2:8" x14ac:dyDescent="0.25">
      <c r="B33805" s="60" t="s">
        <v>8418</v>
      </c>
      <c r="C33805" s="60" t="s">
        <v>8419</v>
      </c>
      <c r="D33805" s="60" t="str">
        <f>HYPERLINK("https://rhld.insurance.arkansas.gov/NPILookup?Npi=1487031316","1487031316")</f>
        <v>1487031316</v>
      </c>
      <c r="E33805" s="60" t="s">
        <v>30629</v>
      </c>
      <c r="F33805" s="61"/>
      <c r="G33805" s="61"/>
      <c r="H33805" s="61"/>
    </row>
    <row r="33806" spans="2:8" x14ac:dyDescent="0.25">
      <c r="B33806" s="60" t="s">
        <v>8418</v>
      </c>
      <c r="C33806" s="60" t="s">
        <v>8419</v>
      </c>
      <c r="D33806" s="60" t="str">
        <f>HYPERLINK("https://rhld.insurance.arkansas.gov/NPILookup?Npi=1487050076","1487050076")</f>
        <v>1487050076</v>
      </c>
      <c r="E33806" s="60" t="s">
        <v>5648</v>
      </c>
      <c r="F33806" s="61"/>
      <c r="G33806" s="61"/>
      <c r="H33806" s="61"/>
    </row>
    <row r="33807" spans="2:8" x14ac:dyDescent="0.25">
      <c r="B33807" s="60" t="s">
        <v>8418</v>
      </c>
      <c r="C33807" s="60" t="s">
        <v>8419</v>
      </c>
      <c r="D33807" s="60" t="str">
        <f>HYPERLINK("https://rhld.insurance.arkansas.gov/NPILookup?Npi=1487062279","1487062279")</f>
        <v>1487062279</v>
      </c>
      <c r="E33807" s="60" t="s">
        <v>30630</v>
      </c>
      <c r="F33807" s="61"/>
      <c r="G33807" s="61"/>
      <c r="H33807" s="61"/>
    </row>
    <row r="33808" spans="2:8" x14ac:dyDescent="0.25">
      <c r="B33808" s="60" t="s">
        <v>8418</v>
      </c>
      <c r="C33808" s="60" t="s">
        <v>8419</v>
      </c>
      <c r="D33808" s="60" t="str">
        <f>HYPERLINK("https://rhld.insurance.arkansas.gov/NPILookup?Npi=1487202206","1487202206")</f>
        <v>1487202206</v>
      </c>
      <c r="E33808" s="60" t="s">
        <v>30631</v>
      </c>
      <c r="F33808" s="61"/>
      <c r="G33808" s="61"/>
      <c r="H33808" s="61"/>
    </row>
    <row r="33809" spans="2:8" x14ac:dyDescent="0.25">
      <c r="B33809" s="60" t="s">
        <v>8418</v>
      </c>
      <c r="C33809" s="60" t="s">
        <v>8419</v>
      </c>
      <c r="D33809" s="60" t="str">
        <f>HYPERLINK("https://rhld.insurance.arkansas.gov/NPILookup?Npi=1487220430","1487220430")</f>
        <v>1487220430</v>
      </c>
      <c r="E33809" s="60" t="s">
        <v>30632</v>
      </c>
      <c r="F33809" s="61"/>
      <c r="G33809" s="61"/>
      <c r="H33809" s="61"/>
    </row>
    <row r="33810" spans="2:8" x14ac:dyDescent="0.25">
      <c r="B33810" s="60" t="s">
        <v>8418</v>
      </c>
      <c r="C33810" s="60" t="s">
        <v>8419</v>
      </c>
      <c r="D33810" s="60" t="str">
        <f>HYPERLINK("https://rhld.insurance.arkansas.gov/NPILookup?Npi=1487223541","1487223541")</f>
        <v>1487223541</v>
      </c>
      <c r="E33810" s="60" t="s">
        <v>30633</v>
      </c>
      <c r="F33810" s="61"/>
      <c r="G33810" s="61"/>
      <c r="H33810" s="61"/>
    </row>
    <row r="33811" spans="2:8" x14ac:dyDescent="0.25">
      <c r="B33811" s="60" t="s">
        <v>8418</v>
      </c>
      <c r="C33811" s="60" t="s">
        <v>8419</v>
      </c>
      <c r="D33811" s="60" t="str">
        <f>HYPERLINK("https://rhld.insurance.arkansas.gov/NPILookup?Npi=1487226361","1487226361")</f>
        <v>1487226361</v>
      </c>
      <c r="E33811" s="60" t="s">
        <v>30634</v>
      </c>
      <c r="F33811" s="61"/>
      <c r="G33811" s="61"/>
      <c r="H33811" s="61"/>
    </row>
    <row r="33812" spans="2:8" x14ac:dyDescent="0.25">
      <c r="B33812" s="60" t="s">
        <v>8418</v>
      </c>
      <c r="C33812" s="60" t="s">
        <v>8419</v>
      </c>
      <c r="D33812" s="60" t="str">
        <f>HYPERLINK("https://rhld.insurance.arkansas.gov/NPILookup?Npi=1487261467","1487261467")</f>
        <v>1487261467</v>
      </c>
      <c r="E33812" s="60" t="s">
        <v>30635</v>
      </c>
      <c r="F33812" s="61"/>
      <c r="G33812" s="61"/>
      <c r="H33812" s="61"/>
    </row>
    <row r="33813" spans="2:8" x14ac:dyDescent="0.25">
      <c r="B33813" s="60" t="s">
        <v>8418</v>
      </c>
      <c r="C33813" s="60" t="s">
        <v>8419</v>
      </c>
      <c r="D33813" s="60" t="str">
        <f>HYPERLINK("https://rhld.insurance.arkansas.gov/NPILookup?Npi=1487262598","1487262598")</f>
        <v>1487262598</v>
      </c>
      <c r="E33813" s="60" t="s">
        <v>14164</v>
      </c>
      <c r="F33813" s="61"/>
      <c r="G33813" s="61"/>
      <c r="H33813" s="61"/>
    </row>
    <row r="33814" spans="2:8" x14ac:dyDescent="0.25">
      <c r="B33814" s="60" t="s">
        <v>8418</v>
      </c>
      <c r="C33814" s="60" t="s">
        <v>8419</v>
      </c>
      <c r="D33814" s="60" t="str">
        <f>HYPERLINK("https://rhld.insurance.arkansas.gov/NPILookup?Npi=1487305652","1487305652")</f>
        <v>1487305652</v>
      </c>
      <c r="E33814" s="60" t="s">
        <v>27863</v>
      </c>
      <c r="F33814" s="61"/>
      <c r="G33814" s="61"/>
      <c r="H33814" s="61"/>
    </row>
    <row r="33815" spans="2:8" x14ac:dyDescent="0.25">
      <c r="B33815" s="60" t="s">
        <v>8418</v>
      </c>
      <c r="C33815" s="60" t="s">
        <v>8419</v>
      </c>
      <c r="D33815" s="60" t="str">
        <f>HYPERLINK("https://rhld.insurance.arkansas.gov/NPILookup?Npi=1487329702","1487329702")</f>
        <v>1487329702</v>
      </c>
      <c r="E33815" s="60" t="s">
        <v>30636</v>
      </c>
      <c r="F33815" s="61"/>
      <c r="G33815" s="61"/>
      <c r="H33815" s="61"/>
    </row>
    <row r="33816" spans="2:8" x14ac:dyDescent="0.25">
      <c r="B33816" s="60" t="s">
        <v>8418</v>
      </c>
      <c r="C33816" s="60" t="s">
        <v>8419</v>
      </c>
      <c r="D33816" s="60" t="str">
        <f>HYPERLINK("https://rhld.insurance.arkansas.gov/NPILookup?Npi=1487393146","1487393146")</f>
        <v>1487393146</v>
      </c>
      <c r="E33816" s="60" t="s">
        <v>30637</v>
      </c>
      <c r="F33816" s="61"/>
      <c r="G33816" s="61"/>
      <c r="H33816" s="61"/>
    </row>
    <row r="33817" spans="2:8" x14ac:dyDescent="0.25">
      <c r="B33817" s="60" t="s">
        <v>8418</v>
      </c>
      <c r="C33817" s="60" t="s">
        <v>8419</v>
      </c>
      <c r="D33817" s="60" t="str">
        <f>HYPERLINK("https://rhld.insurance.arkansas.gov/NPILookup?Npi=1487613253","1487613253")</f>
        <v>1487613253</v>
      </c>
      <c r="E33817" s="60" t="s">
        <v>30638</v>
      </c>
      <c r="F33817" s="61"/>
      <c r="G33817" s="61"/>
      <c r="H33817" s="61"/>
    </row>
    <row r="33818" spans="2:8" x14ac:dyDescent="0.25">
      <c r="B33818" s="60" t="s">
        <v>8418</v>
      </c>
      <c r="C33818" s="60" t="s">
        <v>8419</v>
      </c>
      <c r="D33818" s="60" t="str">
        <f>HYPERLINK("https://rhld.insurance.arkansas.gov/NPILookup?Npi=1487712428","1487712428")</f>
        <v>1487712428</v>
      </c>
      <c r="E33818" s="60" t="s">
        <v>30639</v>
      </c>
      <c r="F33818" s="61"/>
      <c r="G33818" s="61"/>
      <c r="H33818" s="61"/>
    </row>
    <row r="33819" spans="2:8" x14ac:dyDescent="0.25">
      <c r="B33819" s="60" t="s">
        <v>8418</v>
      </c>
      <c r="C33819" s="60" t="s">
        <v>8419</v>
      </c>
      <c r="D33819" s="60" t="str">
        <f>HYPERLINK("https://rhld.insurance.arkansas.gov/NPILookup?Npi=1487824157","1487824157")</f>
        <v>1487824157</v>
      </c>
      <c r="E33819" s="60" t="s">
        <v>30640</v>
      </c>
      <c r="F33819" s="61"/>
      <c r="G33819" s="61"/>
      <c r="H33819" s="61"/>
    </row>
    <row r="33820" spans="2:8" x14ac:dyDescent="0.25">
      <c r="B33820" s="60" t="s">
        <v>8418</v>
      </c>
      <c r="C33820" s="60" t="s">
        <v>8419</v>
      </c>
      <c r="D33820" s="60" t="str">
        <f>HYPERLINK("https://rhld.insurance.arkansas.gov/NPILookup?Npi=1487871554","1487871554")</f>
        <v>1487871554</v>
      </c>
      <c r="E33820" s="60" t="s">
        <v>30641</v>
      </c>
      <c r="F33820" s="61"/>
      <c r="G33820" s="61"/>
      <c r="H33820" s="61"/>
    </row>
    <row r="33821" spans="2:8" x14ac:dyDescent="0.25">
      <c r="B33821" s="60" t="s">
        <v>8418</v>
      </c>
      <c r="C33821" s="60" t="s">
        <v>8419</v>
      </c>
      <c r="D33821" s="60" t="str">
        <f>HYPERLINK("https://rhld.insurance.arkansas.gov/NPILookup?Npi=1487872776","1487872776")</f>
        <v>1487872776</v>
      </c>
      <c r="E33821" s="60" t="s">
        <v>14165</v>
      </c>
      <c r="F33821" s="61"/>
      <c r="G33821" s="61"/>
      <c r="H33821" s="61"/>
    </row>
    <row r="33822" spans="2:8" x14ac:dyDescent="0.25">
      <c r="B33822" s="60" t="s">
        <v>8418</v>
      </c>
      <c r="C33822" s="60" t="s">
        <v>8419</v>
      </c>
      <c r="D33822" s="60" t="str">
        <f>HYPERLINK("https://rhld.insurance.arkansas.gov/NPILookup?Npi=1487879557","1487879557")</f>
        <v>1487879557</v>
      </c>
      <c r="E33822" s="60" t="s">
        <v>8651</v>
      </c>
      <c r="F33822" s="61"/>
      <c r="G33822" s="61"/>
      <c r="H33822" s="61"/>
    </row>
    <row r="33823" spans="2:8" x14ac:dyDescent="0.25">
      <c r="B33823" s="60" t="s">
        <v>8418</v>
      </c>
      <c r="C33823" s="60" t="s">
        <v>8419</v>
      </c>
      <c r="D33823" s="60" t="str">
        <f>HYPERLINK("https://rhld.insurance.arkansas.gov/NPILookup?Npi=1487896759","1487896759")</f>
        <v>1487896759</v>
      </c>
      <c r="E33823" s="60" t="s">
        <v>30642</v>
      </c>
      <c r="F33823" s="61"/>
      <c r="G33823" s="61"/>
      <c r="H33823" s="61"/>
    </row>
    <row r="33824" spans="2:8" x14ac:dyDescent="0.25">
      <c r="B33824" s="60" t="s">
        <v>8418</v>
      </c>
      <c r="C33824" s="60" t="s">
        <v>8419</v>
      </c>
      <c r="D33824" s="60" t="str">
        <f>HYPERLINK("https://rhld.insurance.arkansas.gov/NPILookup?Npi=1487942397","1487942397")</f>
        <v>1487942397</v>
      </c>
      <c r="E33824" s="60" t="s">
        <v>22394</v>
      </c>
      <c r="F33824" s="61"/>
      <c r="G33824" s="61"/>
      <c r="H33824" s="61"/>
    </row>
    <row r="33825" spans="2:8" x14ac:dyDescent="0.25">
      <c r="B33825" s="60" t="s">
        <v>8418</v>
      </c>
      <c r="C33825" s="60" t="s">
        <v>8419</v>
      </c>
      <c r="D33825" s="60" t="str">
        <f>HYPERLINK("https://rhld.insurance.arkansas.gov/NPILookup?Npi=1497005052","1497005052")</f>
        <v>1497005052</v>
      </c>
      <c r="E33825" s="60" t="s">
        <v>8652</v>
      </c>
      <c r="F33825" s="61"/>
      <c r="G33825" s="61"/>
      <c r="H33825" s="61"/>
    </row>
    <row r="33826" spans="2:8" x14ac:dyDescent="0.25">
      <c r="B33826" s="60" t="s">
        <v>8418</v>
      </c>
      <c r="C33826" s="60" t="s">
        <v>8419</v>
      </c>
      <c r="D33826" s="60" t="str">
        <f>HYPERLINK("https://rhld.insurance.arkansas.gov/NPILookup?Npi=1497007421","1497007421")</f>
        <v>1497007421</v>
      </c>
      <c r="E33826" s="60" t="s">
        <v>30643</v>
      </c>
      <c r="F33826" s="61"/>
      <c r="G33826" s="61"/>
      <c r="H33826" s="61"/>
    </row>
    <row r="33827" spans="2:8" x14ac:dyDescent="0.25">
      <c r="B33827" s="60" t="s">
        <v>8418</v>
      </c>
      <c r="C33827" s="60" t="s">
        <v>8419</v>
      </c>
      <c r="D33827" s="60" t="str">
        <f>HYPERLINK("https://rhld.insurance.arkansas.gov/NPILookup?Npi=1497047682","1497047682")</f>
        <v>1497047682</v>
      </c>
      <c r="E33827" s="60" t="s">
        <v>14166</v>
      </c>
      <c r="F33827" s="61"/>
      <c r="G33827" s="61"/>
      <c r="H33827" s="61"/>
    </row>
    <row r="33828" spans="2:8" x14ac:dyDescent="0.25">
      <c r="B33828" s="60" t="s">
        <v>8418</v>
      </c>
      <c r="C33828" s="60" t="s">
        <v>8419</v>
      </c>
      <c r="D33828" s="60" t="str">
        <f>HYPERLINK("https://rhld.insurance.arkansas.gov/NPILookup?Npi=1497053441","1497053441")</f>
        <v>1497053441</v>
      </c>
      <c r="E33828" s="60" t="s">
        <v>14167</v>
      </c>
      <c r="F33828" s="61"/>
      <c r="G33828" s="61"/>
      <c r="H33828" s="61"/>
    </row>
    <row r="33829" spans="2:8" x14ac:dyDescent="0.25">
      <c r="B33829" s="60" t="s">
        <v>8418</v>
      </c>
      <c r="C33829" s="60" t="s">
        <v>8419</v>
      </c>
      <c r="D33829" s="60" t="str">
        <f>HYPERLINK("https://rhld.insurance.arkansas.gov/NPILookup?Npi=1497081905","1497081905")</f>
        <v>1497081905</v>
      </c>
      <c r="E33829" s="60" t="s">
        <v>32529</v>
      </c>
      <c r="F33829" s="61"/>
      <c r="G33829" s="61"/>
      <c r="H33829" s="61"/>
    </row>
    <row r="33830" spans="2:8" x14ac:dyDescent="0.25">
      <c r="B33830" s="60" t="s">
        <v>8418</v>
      </c>
      <c r="C33830" s="60" t="s">
        <v>8419</v>
      </c>
      <c r="D33830" s="60" t="str">
        <f>HYPERLINK("https://rhld.insurance.arkansas.gov/NPILookup?Npi=1497114276","1497114276")</f>
        <v>1497114276</v>
      </c>
      <c r="E33830" s="60" t="s">
        <v>30644</v>
      </c>
      <c r="F33830" s="61"/>
      <c r="G33830" s="61"/>
      <c r="H33830" s="61"/>
    </row>
    <row r="33831" spans="2:8" x14ac:dyDescent="0.25">
      <c r="B33831" s="60" t="s">
        <v>8418</v>
      </c>
      <c r="C33831" s="60" t="s">
        <v>8419</v>
      </c>
      <c r="D33831" s="60" t="str">
        <f>HYPERLINK("https://rhld.insurance.arkansas.gov/NPILookup?Npi=1497217954","1497217954")</f>
        <v>1497217954</v>
      </c>
      <c r="E33831" s="60" t="s">
        <v>8653</v>
      </c>
      <c r="F33831" s="61"/>
      <c r="G33831" s="61"/>
      <c r="H33831" s="61"/>
    </row>
    <row r="33832" spans="2:8" x14ac:dyDescent="0.25">
      <c r="B33832" s="60" t="s">
        <v>8418</v>
      </c>
      <c r="C33832" s="60" t="s">
        <v>8419</v>
      </c>
      <c r="D33832" s="60" t="str">
        <f>HYPERLINK("https://rhld.insurance.arkansas.gov/NPILookup?Npi=1497228704","1497228704")</f>
        <v>1497228704</v>
      </c>
      <c r="E33832" s="60" t="s">
        <v>8654</v>
      </c>
      <c r="F33832" s="61"/>
      <c r="G33832" s="61"/>
      <c r="H33832" s="61"/>
    </row>
    <row r="33833" spans="2:8" x14ac:dyDescent="0.25">
      <c r="B33833" s="60" t="s">
        <v>8418</v>
      </c>
      <c r="C33833" s="60" t="s">
        <v>8419</v>
      </c>
      <c r="D33833" s="60" t="str">
        <f>HYPERLINK("https://rhld.insurance.arkansas.gov/NPILookup?Npi=1497238430","1497238430")</f>
        <v>1497238430</v>
      </c>
      <c r="E33833" s="60" t="s">
        <v>30645</v>
      </c>
      <c r="F33833" s="61"/>
      <c r="G33833" s="61"/>
      <c r="H33833" s="61"/>
    </row>
    <row r="33834" spans="2:8" x14ac:dyDescent="0.25">
      <c r="B33834" s="60" t="s">
        <v>8418</v>
      </c>
      <c r="C33834" s="60" t="s">
        <v>8419</v>
      </c>
      <c r="D33834" s="60" t="str">
        <f>HYPERLINK("https://rhld.insurance.arkansas.gov/NPILookup?Npi=1497294409","1497294409")</f>
        <v>1497294409</v>
      </c>
      <c r="E33834" s="60" t="s">
        <v>8655</v>
      </c>
      <c r="F33834" s="61"/>
      <c r="G33834" s="61"/>
      <c r="H33834" s="61"/>
    </row>
    <row r="33835" spans="2:8" x14ac:dyDescent="0.25">
      <c r="B33835" s="60" t="s">
        <v>8418</v>
      </c>
      <c r="C33835" s="60" t="s">
        <v>8419</v>
      </c>
      <c r="D33835" s="60" t="str">
        <f>HYPERLINK("https://rhld.insurance.arkansas.gov/NPILookup?Npi=1497329163","1497329163")</f>
        <v>1497329163</v>
      </c>
      <c r="E33835" s="60" t="s">
        <v>30646</v>
      </c>
      <c r="F33835" s="61"/>
      <c r="G33835" s="61"/>
      <c r="H33835" s="61"/>
    </row>
    <row r="33836" spans="2:8" x14ac:dyDescent="0.25">
      <c r="B33836" s="60" t="s">
        <v>8418</v>
      </c>
      <c r="C33836" s="60" t="s">
        <v>8419</v>
      </c>
      <c r="D33836" s="60" t="str">
        <f>HYPERLINK("https://rhld.insurance.arkansas.gov/NPILookup?Npi=1497335244","1497335244")</f>
        <v>1497335244</v>
      </c>
      <c r="E33836" s="60" t="s">
        <v>30647</v>
      </c>
      <c r="F33836" s="61"/>
      <c r="G33836" s="61"/>
      <c r="H33836" s="61"/>
    </row>
    <row r="33837" spans="2:8" x14ac:dyDescent="0.25">
      <c r="B33837" s="60" t="s">
        <v>8418</v>
      </c>
      <c r="C33837" s="60" t="s">
        <v>8419</v>
      </c>
      <c r="D33837" s="60" t="str">
        <f>HYPERLINK("https://rhld.insurance.arkansas.gov/NPILookup?Npi=1497344857","1497344857")</f>
        <v>1497344857</v>
      </c>
      <c r="E33837" s="60" t="s">
        <v>14168</v>
      </c>
      <c r="F33837" s="61"/>
      <c r="G33837" s="61"/>
      <c r="H33837" s="61"/>
    </row>
    <row r="33838" spans="2:8" x14ac:dyDescent="0.25">
      <c r="B33838" s="60" t="s">
        <v>8418</v>
      </c>
      <c r="C33838" s="60" t="s">
        <v>8419</v>
      </c>
      <c r="D33838" s="60" t="str">
        <f>HYPERLINK("https://rhld.insurance.arkansas.gov/NPILookup?Npi=1497385355","1497385355")</f>
        <v>1497385355</v>
      </c>
      <c r="E33838" s="60" t="s">
        <v>8656</v>
      </c>
      <c r="F33838" s="61"/>
      <c r="G33838" s="61"/>
      <c r="H33838" s="61"/>
    </row>
    <row r="33839" spans="2:8" x14ac:dyDescent="0.25">
      <c r="B33839" s="60" t="s">
        <v>8418</v>
      </c>
      <c r="C33839" s="60" t="s">
        <v>8419</v>
      </c>
      <c r="D33839" s="60" t="str">
        <f>HYPERLINK("https://rhld.insurance.arkansas.gov/NPILookup?Npi=1497420608","1497420608")</f>
        <v>1497420608</v>
      </c>
      <c r="E33839" s="60" t="s">
        <v>30648</v>
      </c>
      <c r="F33839" s="61"/>
      <c r="G33839" s="61"/>
      <c r="H33839" s="61"/>
    </row>
    <row r="33840" spans="2:8" x14ac:dyDescent="0.25">
      <c r="B33840" s="60" t="s">
        <v>8418</v>
      </c>
      <c r="C33840" s="60" t="s">
        <v>8419</v>
      </c>
      <c r="D33840" s="60" t="str">
        <f>HYPERLINK("https://rhld.insurance.arkansas.gov/NPILookup?Npi=1497430755","1497430755")</f>
        <v>1497430755</v>
      </c>
      <c r="E33840" s="60" t="s">
        <v>8657</v>
      </c>
      <c r="F33840" s="61"/>
      <c r="G33840" s="61"/>
      <c r="H33840" s="61"/>
    </row>
    <row r="33841" spans="2:8" x14ac:dyDescent="0.25">
      <c r="B33841" s="60" t="s">
        <v>8418</v>
      </c>
      <c r="C33841" s="60" t="s">
        <v>8419</v>
      </c>
      <c r="D33841" s="60" t="str">
        <f>HYPERLINK("https://rhld.insurance.arkansas.gov/NPILookup?Npi=1497446793","1497446793")</f>
        <v>1497446793</v>
      </c>
      <c r="E33841" s="60" t="s">
        <v>30649</v>
      </c>
      <c r="F33841" s="61"/>
      <c r="G33841" s="61"/>
      <c r="H33841" s="61"/>
    </row>
    <row r="33842" spans="2:8" x14ac:dyDescent="0.25">
      <c r="B33842" s="60" t="s">
        <v>8418</v>
      </c>
      <c r="C33842" s="60" t="s">
        <v>8419</v>
      </c>
      <c r="D33842" s="60" t="str">
        <f>HYPERLINK("https://rhld.insurance.arkansas.gov/NPILookup?Npi=1497494264","1497494264")</f>
        <v>1497494264</v>
      </c>
      <c r="E33842" s="60" t="s">
        <v>14169</v>
      </c>
      <c r="F33842" s="61"/>
      <c r="G33842" s="61"/>
      <c r="H33842" s="61"/>
    </row>
    <row r="33843" spans="2:8" x14ac:dyDescent="0.25">
      <c r="B33843" s="60" t="s">
        <v>8418</v>
      </c>
      <c r="C33843" s="60" t="s">
        <v>8419</v>
      </c>
      <c r="D33843" s="60" t="str">
        <f>HYPERLINK("https://rhld.insurance.arkansas.gov/NPILookup?Npi=1497803993","1497803993")</f>
        <v>1497803993</v>
      </c>
      <c r="E33843" s="60" t="s">
        <v>30650</v>
      </c>
      <c r="F33843" s="61"/>
      <c r="G33843" s="61"/>
      <c r="H33843" s="61"/>
    </row>
    <row r="33844" spans="2:8" x14ac:dyDescent="0.25">
      <c r="B33844" s="60" t="s">
        <v>8418</v>
      </c>
      <c r="C33844" s="60" t="s">
        <v>8419</v>
      </c>
      <c r="D33844" s="60" t="str">
        <f>HYPERLINK("https://rhld.insurance.arkansas.gov/NPILookup?Npi=1497901136","1497901136")</f>
        <v>1497901136</v>
      </c>
      <c r="E33844" s="60" t="s">
        <v>30651</v>
      </c>
      <c r="F33844" s="61"/>
      <c r="G33844" s="61"/>
      <c r="H33844" s="61"/>
    </row>
    <row r="33845" spans="2:8" x14ac:dyDescent="0.25">
      <c r="B33845" s="60" t="s">
        <v>8418</v>
      </c>
      <c r="C33845" s="60" t="s">
        <v>8419</v>
      </c>
      <c r="D33845" s="60" t="str">
        <f>HYPERLINK("https://rhld.insurance.arkansas.gov/NPILookup?Npi=1497907653","1497907653")</f>
        <v>1497907653</v>
      </c>
      <c r="E33845" s="60" t="s">
        <v>30652</v>
      </c>
      <c r="F33845" s="61"/>
      <c r="G33845" s="61"/>
      <c r="H33845" s="61"/>
    </row>
    <row r="33846" spans="2:8" x14ac:dyDescent="0.25">
      <c r="B33846" s="60" t="s">
        <v>8418</v>
      </c>
      <c r="C33846" s="60" t="s">
        <v>8419</v>
      </c>
      <c r="D33846" s="60" t="str">
        <f>HYPERLINK("https://rhld.insurance.arkansas.gov/NPILookup?Npi=1497916761","1497916761")</f>
        <v>1497916761</v>
      </c>
      <c r="E33846" s="60" t="s">
        <v>27086</v>
      </c>
      <c r="F33846" s="61"/>
      <c r="G33846" s="61"/>
      <c r="H33846" s="61"/>
    </row>
    <row r="33847" spans="2:8" x14ac:dyDescent="0.25">
      <c r="B33847" s="60" t="s">
        <v>8418</v>
      </c>
      <c r="C33847" s="60" t="s">
        <v>8419</v>
      </c>
      <c r="D33847" s="60" t="str">
        <f>HYPERLINK("https://rhld.insurance.arkansas.gov/NPILookup?Npi=1497941330","1497941330")</f>
        <v>1497941330</v>
      </c>
      <c r="E33847" s="60" t="s">
        <v>30653</v>
      </c>
      <c r="F33847" s="61"/>
      <c r="G33847" s="61"/>
      <c r="H33847" s="61"/>
    </row>
    <row r="33848" spans="2:8" x14ac:dyDescent="0.25">
      <c r="B33848" s="60" t="s">
        <v>8418</v>
      </c>
      <c r="C33848" s="60" t="s">
        <v>8419</v>
      </c>
      <c r="D33848" s="60" t="str">
        <f>HYPERLINK("https://rhld.insurance.arkansas.gov/NPILookup?Npi=1497964894","1497964894")</f>
        <v>1497964894</v>
      </c>
      <c r="E33848" s="60" t="s">
        <v>5350</v>
      </c>
      <c r="F33848" s="61"/>
      <c r="G33848" s="61"/>
      <c r="H33848" s="61"/>
    </row>
    <row r="33849" spans="2:8" x14ac:dyDescent="0.25">
      <c r="B33849" s="60" t="s">
        <v>8418</v>
      </c>
      <c r="C33849" s="60" t="s">
        <v>8419</v>
      </c>
      <c r="D33849" s="60" t="str">
        <f>HYPERLINK("https://rhld.insurance.arkansas.gov/NPILookup?Npi=1508025420","1508025420")</f>
        <v>1508025420</v>
      </c>
      <c r="E33849" s="60" t="s">
        <v>32530</v>
      </c>
      <c r="F33849" s="61"/>
      <c r="G33849" s="61"/>
      <c r="H33849" s="61"/>
    </row>
    <row r="33850" spans="2:8" x14ac:dyDescent="0.25">
      <c r="B33850" s="60" t="s">
        <v>8418</v>
      </c>
      <c r="C33850" s="60" t="s">
        <v>8419</v>
      </c>
      <c r="D33850" s="60" t="str">
        <f>HYPERLINK("https://rhld.insurance.arkansas.gov/NPILookup?Npi=1508026642","1508026642")</f>
        <v>1508026642</v>
      </c>
      <c r="E33850" s="60" t="s">
        <v>30654</v>
      </c>
      <c r="F33850" s="61"/>
      <c r="G33850" s="61"/>
      <c r="H33850" s="61"/>
    </row>
    <row r="33851" spans="2:8" x14ac:dyDescent="0.25">
      <c r="B33851" s="60" t="s">
        <v>8418</v>
      </c>
      <c r="C33851" s="60" t="s">
        <v>8419</v>
      </c>
      <c r="D33851" s="60" t="str">
        <f>HYPERLINK("https://rhld.insurance.arkansas.gov/NPILookup?Npi=1508027368","1508027368")</f>
        <v>1508027368</v>
      </c>
      <c r="E33851" s="60" t="s">
        <v>8658</v>
      </c>
      <c r="F33851" s="61"/>
      <c r="G33851" s="61"/>
      <c r="H33851" s="61"/>
    </row>
    <row r="33852" spans="2:8" x14ac:dyDescent="0.25">
      <c r="B33852" s="60" t="s">
        <v>8418</v>
      </c>
      <c r="C33852" s="60" t="s">
        <v>8419</v>
      </c>
      <c r="D33852" s="60" t="str">
        <f>HYPERLINK("https://rhld.insurance.arkansas.gov/NPILookup?Npi=1508059957","1508059957")</f>
        <v>1508059957</v>
      </c>
      <c r="E33852" s="60" t="s">
        <v>30655</v>
      </c>
      <c r="F33852" s="61"/>
      <c r="G33852" s="61"/>
      <c r="H33852" s="61"/>
    </row>
    <row r="33853" spans="2:8" x14ac:dyDescent="0.25">
      <c r="B33853" s="60" t="s">
        <v>8418</v>
      </c>
      <c r="C33853" s="60" t="s">
        <v>8419</v>
      </c>
      <c r="D33853" s="60" t="str">
        <f>HYPERLINK("https://rhld.insurance.arkansas.gov/NPILookup?Npi=1508316712","1508316712")</f>
        <v>1508316712</v>
      </c>
      <c r="E33853" s="60" t="s">
        <v>30656</v>
      </c>
      <c r="F33853" s="61"/>
      <c r="G33853" s="61"/>
      <c r="H33853" s="61"/>
    </row>
    <row r="33854" spans="2:8" x14ac:dyDescent="0.25">
      <c r="B33854" s="60" t="s">
        <v>8418</v>
      </c>
      <c r="C33854" s="60" t="s">
        <v>8419</v>
      </c>
      <c r="D33854" s="60" t="str">
        <f>HYPERLINK("https://rhld.insurance.arkansas.gov/NPILookup?Npi=1508319104","1508319104")</f>
        <v>1508319104</v>
      </c>
      <c r="E33854" s="60" t="s">
        <v>8659</v>
      </c>
      <c r="F33854" s="61"/>
      <c r="G33854" s="61"/>
      <c r="H33854" s="61"/>
    </row>
    <row r="33855" spans="2:8" x14ac:dyDescent="0.25">
      <c r="B33855" s="60" t="s">
        <v>8418</v>
      </c>
      <c r="C33855" s="60" t="s">
        <v>8419</v>
      </c>
      <c r="D33855" s="60" t="str">
        <f>HYPERLINK("https://rhld.insurance.arkansas.gov/NPILookup?Npi=1508347352","1508347352")</f>
        <v>1508347352</v>
      </c>
      <c r="E33855" s="60" t="s">
        <v>13658</v>
      </c>
      <c r="F33855" s="61"/>
      <c r="G33855" s="61"/>
      <c r="H33855" s="61"/>
    </row>
    <row r="33856" spans="2:8" x14ac:dyDescent="0.25">
      <c r="B33856" s="60" t="s">
        <v>8418</v>
      </c>
      <c r="C33856" s="60" t="s">
        <v>8419</v>
      </c>
      <c r="D33856" s="60" t="str">
        <f>HYPERLINK("https://rhld.insurance.arkansas.gov/NPILookup?Npi=1508365156","1508365156")</f>
        <v>1508365156</v>
      </c>
      <c r="E33856" s="60" t="s">
        <v>30657</v>
      </c>
      <c r="F33856" s="61"/>
      <c r="G33856" s="61"/>
      <c r="H33856" s="61"/>
    </row>
    <row r="33857" spans="2:8" x14ac:dyDescent="0.25">
      <c r="B33857" s="60" t="s">
        <v>8418</v>
      </c>
      <c r="C33857" s="60" t="s">
        <v>8419</v>
      </c>
      <c r="D33857" s="60" t="str">
        <f>HYPERLINK("https://rhld.insurance.arkansas.gov/NPILookup?Npi=1508434507","1508434507")</f>
        <v>1508434507</v>
      </c>
      <c r="E33857" s="60" t="s">
        <v>30658</v>
      </c>
      <c r="F33857" s="61"/>
      <c r="G33857" s="61"/>
      <c r="H33857" s="61"/>
    </row>
    <row r="33858" spans="2:8" x14ac:dyDescent="0.25">
      <c r="B33858" s="60" t="s">
        <v>8418</v>
      </c>
      <c r="C33858" s="60" t="s">
        <v>8419</v>
      </c>
      <c r="D33858" s="60" t="str">
        <f>HYPERLINK("https://rhld.insurance.arkansas.gov/NPILookup?Npi=1508449737","1508449737")</f>
        <v>1508449737</v>
      </c>
      <c r="E33858" s="60" t="s">
        <v>30659</v>
      </c>
      <c r="F33858" s="61"/>
      <c r="G33858" s="61"/>
      <c r="H33858" s="61"/>
    </row>
    <row r="33859" spans="2:8" x14ac:dyDescent="0.25">
      <c r="B33859" s="60" t="s">
        <v>8418</v>
      </c>
      <c r="C33859" s="60" t="s">
        <v>8419</v>
      </c>
      <c r="D33859" s="60" t="str">
        <f>HYPERLINK("https://rhld.insurance.arkansas.gov/NPILookup?Npi=1508454562","1508454562")</f>
        <v>1508454562</v>
      </c>
      <c r="E33859" s="60" t="s">
        <v>8660</v>
      </c>
      <c r="F33859" s="61"/>
      <c r="G33859" s="61"/>
      <c r="H33859" s="61"/>
    </row>
    <row r="33860" spans="2:8" x14ac:dyDescent="0.25">
      <c r="B33860" s="60" t="s">
        <v>8418</v>
      </c>
      <c r="C33860" s="60" t="s">
        <v>8419</v>
      </c>
      <c r="D33860" s="60" t="str">
        <f>HYPERLINK("https://rhld.insurance.arkansas.gov/NPILookup?Npi=1508464454","1508464454")</f>
        <v>1508464454</v>
      </c>
      <c r="E33860" s="60" t="s">
        <v>8661</v>
      </c>
      <c r="F33860" s="61"/>
      <c r="G33860" s="61"/>
      <c r="H33860" s="61"/>
    </row>
    <row r="33861" spans="2:8" x14ac:dyDescent="0.25">
      <c r="B33861" s="60" t="s">
        <v>8418</v>
      </c>
      <c r="C33861" s="60" t="s">
        <v>8419</v>
      </c>
      <c r="D33861" s="60" t="str">
        <f>HYPERLINK("https://rhld.insurance.arkansas.gov/NPILookup?Npi=1508511668","1508511668")</f>
        <v>1508511668</v>
      </c>
      <c r="E33861" s="60" t="s">
        <v>30660</v>
      </c>
      <c r="F33861" s="61"/>
      <c r="G33861" s="61"/>
      <c r="H33861" s="61"/>
    </row>
    <row r="33862" spans="2:8" x14ac:dyDescent="0.25">
      <c r="B33862" s="60" t="s">
        <v>8418</v>
      </c>
      <c r="C33862" s="60" t="s">
        <v>8419</v>
      </c>
      <c r="D33862" s="60" t="str">
        <f>HYPERLINK("https://rhld.insurance.arkansas.gov/NPILookup?Npi=1508542937","1508542937")</f>
        <v>1508542937</v>
      </c>
      <c r="E33862" s="60" t="s">
        <v>32531</v>
      </c>
      <c r="F33862" s="61"/>
      <c r="G33862" s="61"/>
      <c r="H33862" s="61"/>
    </row>
    <row r="33863" spans="2:8" x14ac:dyDescent="0.25">
      <c r="B33863" s="60" t="s">
        <v>8418</v>
      </c>
      <c r="C33863" s="60" t="s">
        <v>8419</v>
      </c>
      <c r="D33863" s="60" t="str">
        <f>HYPERLINK("https://rhld.insurance.arkansas.gov/NPILookup?Npi=1508556663","1508556663")</f>
        <v>1508556663</v>
      </c>
      <c r="E33863" s="60" t="s">
        <v>30661</v>
      </c>
      <c r="F33863" s="61"/>
      <c r="G33863" s="61"/>
      <c r="H33863" s="61"/>
    </row>
    <row r="33864" spans="2:8" x14ac:dyDescent="0.25">
      <c r="B33864" s="60" t="s">
        <v>8418</v>
      </c>
      <c r="C33864" s="60" t="s">
        <v>8419</v>
      </c>
      <c r="D33864" s="60" t="str">
        <f>HYPERLINK("https://rhld.insurance.arkansas.gov/NPILookup?Npi=1508584293","1508584293")</f>
        <v>1508584293</v>
      </c>
      <c r="E33864" s="60" t="s">
        <v>30662</v>
      </c>
      <c r="F33864" s="61"/>
      <c r="G33864" s="61"/>
      <c r="H33864" s="61"/>
    </row>
    <row r="33865" spans="2:8" x14ac:dyDescent="0.25">
      <c r="B33865" s="60" t="s">
        <v>8418</v>
      </c>
      <c r="C33865" s="60" t="s">
        <v>8419</v>
      </c>
      <c r="D33865" s="60" t="str">
        <f>HYPERLINK("https://rhld.insurance.arkansas.gov/NPILookup?Npi=1508632050","1508632050")</f>
        <v>1508632050</v>
      </c>
      <c r="E33865" s="60" t="s">
        <v>8662</v>
      </c>
      <c r="F33865" s="61"/>
      <c r="G33865" s="61"/>
      <c r="H33865" s="61"/>
    </row>
    <row r="33866" spans="2:8" x14ac:dyDescent="0.25">
      <c r="B33866" s="60" t="s">
        <v>8418</v>
      </c>
      <c r="C33866" s="60" t="s">
        <v>8419</v>
      </c>
      <c r="D33866" s="60" t="str">
        <f>HYPERLINK("https://rhld.insurance.arkansas.gov/NPILookup?Npi=1508912437","1508912437")</f>
        <v>1508912437</v>
      </c>
      <c r="E33866" s="60" t="s">
        <v>30663</v>
      </c>
      <c r="F33866" s="61"/>
      <c r="G33866" s="61"/>
      <c r="H33866" s="61"/>
    </row>
    <row r="33867" spans="2:8" x14ac:dyDescent="0.25">
      <c r="B33867" s="60" t="s">
        <v>8418</v>
      </c>
      <c r="C33867" s="60" t="s">
        <v>8419</v>
      </c>
      <c r="D33867" s="60" t="str">
        <f>HYPERLINK("https://rhld.insurance.arkansas.gov/NPILookup?Npi=1508968389","1508968389")</f>
        <v>1508968389</v>
      </c>
      <c r="E33867" s="60" t="s">
        <v>8663</v>
      </c>
      <c r="F33867" s="61"/>
      <c r="G33867" s="61"/>
      <c r="H33867" s="61"/>
    </row>
    <row r="33868" spans="2:8" x14ac:dyDescent="0.25">
      <c r="B33868" s="60" t="s">
        <v>8418</v>
      </c>
      <c r="C33868" s="60" t="s">
        <v>8419</v>
      </c>
      <c r="D33868" s="60" t="str">
        <f>HYPERLINK("https://rhld.insurance.arkansas.gov/NPILookup?Npi=1508986647","1508986647")</f>
        <v>1508986647</v>
      </c>
      <c r="E33868" s="60" t="s">
        <v>14170</v>
      </c>
      <c r="F33868" s="61"/>
      <c r="G33868" s="61"/>
      <c r="H33868" s="61"/>
    </row>
    <row r="33869" spans="2:8" x14ac:dyDescent="0.25">
      <c r="B33869" s="60" t="s">
        <v>8418</v>
      </c>
      <c r="C33869" s="60" t="s">
        <v>8419</v>
      </c>
      <c r="D33869" s="60" t="str">
        <f>HYPERLINK("https://rhld.insurance.arkansas.gov/NPILookup?Npi=1518125145","1518125145")</f>
        <v>1518125145</v>
      </c>
      <c r="E33869" s="60" t="s">
        <v>30664</v>
      </c>
      <c r="F33869" s="61"/>
      <c r="G33869" s="61"/>
      <c r="H33869" s="61"/>
    </row>
    <row r="33870" spans="2:8" x14ac:dyDescent="0.25">
      <c r="B33870" s="60" t="s">
        <v>8418</v>
      </c>
      <c r="C33870" s="60" t="s">
        <v>8419</v>
      </c>
      <c r="D33870" s="60" t="str">
        <f>HYPERLINK("https://rhld.insurance.arkansas.gov/NPILookup?Npi=1518158906","1518158906")</f>
        <v>1518158906</v>
      </c>
      <c r="E33870" s="60" t="s">
        <v>8664</v>
      </c>
      <c r="F33870" s="61"/>
      <c r="G33870" s="61"/>
      <c r="H33870" s="61"/>
    </row>
    <row r="33871" spans="2:8" x14ac:dyDescent="0.25">
      <c r="B33871" s="60" t="s">
        <v>8418</v>
      </c>
      <c r="C33871" s="60" t="s">
        <v>8419</v>
      </c>
      <c r="D33871" s="60" t="str">
        <f>HYPERLINK("https://rhld.insurance.arkansas.gov/NPILookup?Npi=1518177088","1518177088")</f>
        <v>1518177088</v>
      </c>
      <c r="E33871" s="60" t="s">
        <v>30665</v>
      </c>
      <c r="F33871" s="61"/>
      <c r="G33871" s="61"/>
      <c r="H33871" s="61"/>
    </row>
    <row r="33872" spans="2:8" x14ac:dyDescent="0.25">
      <c r="B33872" s="60" t="s">
        <v>8418</v>
      </c>
      <c r="C33872" s="60" t="s">
        <v>8419</v>
      </c>
      <c r="D33872" s="60" t="str">
        <f>HYPERLINK("https://rhld.insurance.arkansas.gov/NPILookup?Npi=1518193341","1518193341")</f>
        <v>1518193341</v>
      </c>
      <c r="E33872" s="60" t="s">
        <v>8665</v>
      </c>
      <c r="F33872" s="61"/>
      <c r="G33872" s="61"/>
      <c r="H33872" s="61"/>
    </row>
    <row r="33873" spans="2:8" x14ac:dyDescent="0.25">
      <c r="B33873" s="60" t="s">
        <v>8418</v>
      </c>
      <c r="C33873" s="60" t="s">
        <v>8419</v>
      </c>
      <c r="D33873" s="60" t="str">
        <f>HYPERLINK("https://rhld.insurance.arkansas.gov/NPILookup?Npi=1518204205","1518204205")</f>
        <v>1518204205</v>
      </c>
      <c r="E33873" s="60" t="s">
        <v>8666</v>
      </c>
      <c r="F33873" s="61"/>
      <c r="G33873" s="61"/>
      <c r="H33873" s="61"/>
    </row>
    <row r="33874" spans="2:8" x14ac:dyDescent="0.25">
      <c r="B33874" s="60" t="s">
        <v>8418</v>
      </c>
      <c r="C33874" s="60" t="s">
        <v>8419</v>
      </c>
      <c r="D33874" s="60" t="str">
        <f>HYPERLINK("https://rhld.insurance.arkansas.gov/NPILookup?Npi=1518208354","1518208354")</f>
        <v>1518208354</v>
      </c>
      <c r="E33874" s="60" t="s">
        <v>8667</v>
      </c>
      <c r="F33874" s="61"/>
      <c r="G33874" s="61"/>
      <c r="H33874" s="61"/>
    </row>
    <row r="33875" spans="2:8" x14ac:dyDescent="0.25">
      <c r="B33875" s="60" t="s">
        <v>8418</v>
      </c>
      <c r="C33875" s="60" t="s">
        <v>8419</v>
      </c>
      <c r="D33875" s="60" t="str">
        <f>HYPERLINK("https://rhld.insurance.arkansas.gov/NPILookup?Npi=1518216936","1518216936")</f>
        <v>1518216936</v>
      </c>
      <c r="E33875" s="60" t="s">
        <v>7568</v>
      </c>
      <c r="F33875" s="61"/>
      <c r="G33875" s="61"/>
      <c r="H33875" s="61"/>
    </row>
    <row r="33876" spans="2:8" x14ac:dyDescent="0.25">
      <c r="B33876" s="60" t="s">
        <v>8418</v>
      </c>
      <c r="C33876" s="60" t="s">
        <v>8419</v>
      </c>
      <c r="D33876" s="60" t="str">
        <f>HYPERLINK("https://rhld.insurance.arkansas.gov/NPILookup?Npi=1518228972","1518228972")</f>
        <v>1518228972</v>
      </c>
      <c r="E33876" s="60" t="s">
        <v>30666</v>
      </c>
      <c r="F33876" s="61"/>
      <c r="G33876" s="61"/>
      <c r="H33876" s="61"/>
    </row>
    <row r="33877" spans="2:8" x14ac:dyDescent="0.25">
      <c r="B33877" s="60" t="s">
        <v>8418</v>
      </c>
      <c r="C33877" s="60" t="s">
        <v>8419</v>
      </c>
      <c r="D33877" s="60" t="str">
        <f>HYPERLINK("https://rhld.insurance.arkansas.gov/NPILookup?Npi=1518250059","1518250059")</f>
        <v>1518250059</v>
      </c>
      <c r="E33877" s="60" t="s">
        <v>26209</v>
      </c>
      <c r="F33877" s="61"/>
      <c r="G33877" s="61"/>
      <c r="H33877" s="61"/>
    </row>
    <row r="33878" spans="2:8" x14ac:dyDescent="0.25">
      <c r="B33878" s="60" t="s">
        <v>8418</v>
      </c>
      <c r="C33878" s="60" t="s">
        <v>8419</v>
      </c>
      <c r="D33878" s="60" t="str">
        <f>HYPERLINK("https://rhld.insurance.arkansas.gov/NPILookup?Npi=1518293562","1518293562")</f>
        <v>1518293562</v>
      </c>
      <c r="E33878" s="60" t="s">
        <v>2945</v>
      </c>
      <c r="F33878" s="61"/>
      <c r="G33878" s="61"/>
      <c r="H33878" s="61"/>
    </row>
    <row r="33879" spans="2:8" x14ac:dyDescent="0.25">
      <c r="B33879" s="60" t="s">
        <v>8418</v>
      </c>
      <c r="C33879" s="60" t="s">
        <v>8419</v>
      </c>
      <c r="D33879" s="60" t="str">
        <f>HYPERLINK("https://rhld.insurance.arkansas.gov/NPILookup?Npi=1518336189","1518336189")</f>
        <v>1518336189</v>
      </c>
      <c r="E33879" s="60" t="s">
        <v>30667</v>
      </c>
      <c r="F33879" s="61"/>
      <c r="G33879" s="61"/>
      <c r="H33879" s="61"/>
    </row>
    <row r="33880" spans="2:8" x14ac:dyDescent="0.25">
      <c r="B33880" s="60" t="s">
        <v>8418</v>
      </c>
      <c r="C33880" s="60" t="s">
        <v>8419</v>
      </c>
      <c r="D33880" s="60" t="str">
        <f>HYPERLINK("https://rhld.insurance.arkansas.gov/NPILookup?Npi=1518395490","1518395490")</f>
        <v>1518395490</v>
      </c>
      <c r="E33880" s="60" t="s">
        <v>14171</v>
      </c>
      <c r="F33880" s="61"/>
      <c r="G33880" s="61"/>
      <c r="H33880" s="61"/>
    </row>
    <row r="33881" spans="2:8" x14ac:dyDescent="0.25">
      <c r="B33881" s="60" t="s">
        <v>8418</v>
      </c>
      <c r="C33881" s="60" t="s">
        <v>8419</v>
      </c>
      <c r="D33881" s="60" t="str">
        <f>HYPERLINK("https://rhld.insurance.arkansas.gov/NPILookup?Npi=1518414549","1518414549")</f>
        <v>1518414549</v>
      </c>
      <c r="E33881" s="60" t="s">
        <v>14172</v>
      </c>
      <c r="F33881" s="61"/>
      <c r="G33881" s="61"/>
      <c r="H33881" s="61"/>
    </row>
    <row r="33882" spans="2:8" x14ac:dyDescent="0.25">
      <c r="B33882" s="60" t="s">
        <v>8418</v>
      </c>
      <c r="C33882" s="60" t="s">
        <v>8419</v>
      </c>
      <c r="D33882" s="60" t="str">
        <f>HYPERLINK("https://rhld.insurance.arkansas.gov/NPILookup?Npi=1518438225","1518438225")</f>
        <v>1518438225</v>
      </c>
      <c r="E33882" s="60" t="s">
        <v>30668</v>
      </c>
      <c r="F33882" s="61"/>
      <c r="G33882" s="61"/>
      <c r="H33882" s="61"/>
    </row>
    <row r="33883" spans="2:8" x14ac:dyDescent="0.25">
      <c r="B33883" s="60" t="s">
        <v>8418</v>
      </c>
      <c r="C33883" s="60" t="s">
        <v>8419</v>
      </c>
      <c r="D33883" s="60" t="str">
        <f>HYPERLINK("https://rhld.insurance.arkansas.gov/NPILookup?Npi=1518477983","1518477983")</f>
        <v>1518477983</v>
      </c>
      <c r="E33883" s="60" t="s">
        <v>8668</v>
      </c>
      <c r="F33883" s="61"/>
      <c r="G33883" s="61"/>
      <c r="H33883" s="61"/>
    </row>
    <row r="33884" spans="2:8" x14ac:dyDescent="0.25">
      <c r="B33884" s="60" t="s">
        <v>8418</v>
      </c>
      <c r="C33884" s="60" t="s">
        <v>8419</v>
      </c>
      <c r="D33884" s="60" t="str">
        <f>HYPERLINK("https://rhld.insurance.arkansas.gov/NPILookup?Npi=1518524438","1518524438")</f>
        <v>1518524438</v>
      </c>
      <c r="E33884" s="60" t="s">
        <v>30669</v>
      </c>
      <c r="F33884" s="61"/>
      <c r="G33884" s="61"/>
      <c r="H33884" s="61"/>
    </row>
    <row r="33885" spans="2:8" x14ac:dyDescent="0.25">
      <c r="B33885" s="60" t="s">
        <v>8418</v>
      </c>
      <c r="C33885" s="60" t="s">
        <v>8419</v>
      </c>
      <c r="D33885" s="60" t="str">
        <f>HYPERLINK("https://rhld.insurance.arkansas.gov/NPILookup?Npi=1518557040","1518557040")</f>
        <v>1518557040</v>
      </c>
      <c r="E33885" s="60" t="s">
        <v>8669</v>
      </c>
      <c r="F33885" s="61"/>
      <c r="G33885" s="61"/>
      <c r="H33885" s="61"/>
    </row>
    <row r="33886" spans="2:8" x14ac:dyDescent="0.25">
      <c r="B33886" s="60" t="s">
        <v>8418</v>
      </c>
      <c r="C33886" s="60" t="s">
        <v>8419</v>
      </c>
      <c r="D33886" s="60" t="str">
        <f>HYPERLINK("https://rhld.insurance.arkansas.gov/NPILookup?Npi=1518579549","1518579549")</f>
        <v>1518579549</v>
      </c>
      <c r="E33886" s="60" t="s">
        <v>14173</v>
      </c>
      <c r="F33886" s="61"/>
      <c r="G33886" s="61"/>
      <c r="H33886" s="61"/>
    </row>
    <row r="33887" spans="2:8" x14ac:dyDescent="0.25">
      <c r="B33887" s="60" t="s">
        <v>8418</v>
      </c>
      <c r="C33887" s="60" t="s">
        <v>8419</v>
      </c>
      <c r="D33887" s="60" t="str">
        <f>HYPERLINK("https://rhld.insurance.arkansas.gov/NPILookup?Npi=1518584663","1518584663")</f>
        <v>1518584663</v>
      </c>
      <c r="E33887" s="60" t="s">
        <v>30670</v>
      </c>
      <c r="F33887" s="61"/>
      <c r="G33887" s="61"/>
      <c r="H33887" s="61"/>
    </row>
    <row r="33888" spans="2:8" x14ac:dyDescent="0.25">
      <c r="B33888" s="60" t="s">
        <v>8418</v>
      </c>
      <c r="C33888" s="60" t="s">
        <v>8419</v>
      </c>
      <c r="D33888" s="60" t="str">
        <f>HYPERLINK("https://rhld.insurance.arkansas.gov/NPILookup?Npi=1518588508","1518588508")</f>
        <v>1518588508</v>
      </c>
      <c r="E33888" s="60" t="s">
        <v>30671</v>
      </c>
      <c r="F33888" s="61"/>
      <c r="G33888" s="61"/>
      <c r="H33888" s="61"/>
    </row>
    <row r="33889" spans="2:8" x14ac:dyDescent="0.25">
      <c r="B33889" s="60" t="s">
        <v>8418</v>
      </c>
      <c r="C33889" s="60" t="s">
        <v>8419</v>
      </c>
      <c r="D33889" s="60" t="str">
        <f>HYPERLINK("https://rhld.insurance.arkansas.gov/NPILookup?Npi=1518656636","1518656636")</f>
        <v>1518656636</v>
      </c>
      <c r="E33889" s="60" t="s">
        <v>30672</v>
      </c>
      <c r="F33889" s="61"/>
      <c r="G33889" s="61"/>
      <c r="H33889" s="61"/>
    </row>
    <row r="33890" spans="2:8" x14ac:dyDescent="0.25">
      <c r="B33890" s="60" t="s">
        <v>8418</v>
      </c>
      <c r="C33890" s="60" t="s">
        <v>8419</v>
      </c>
      <c r="D33890" s="60" t="str">
        <f>HYPERLINK("https://rhld.insurance.arkansas.gov/NPILookup?Npi=1518691534","1518691534")</f>
        <v>1518691534</v>
      </c>
      <c r="E33890" s="60" t="s">
        <v>8670</v>
      </c>
      <c r="F33890" s="61"/>
      <c r="G33890" s="61"/>
      <c r="H33890" s="61"/>
    </row>
    <row r="33891" spans="2:8" x14ac:dyDescent="0.25">
      <c r="B33891" s="60" t="s">
        <v>8418</v>
      </c>
      <c r="C33891" s="60" t="s">
        <v>8419</v>
      </c>
      <c r="D33891" s="60" t="str">
        <f>HYPERLINK("https://rhld.insurance.arkansas.gov/NPILookup?Npi=1518916550","1518916550")</f>
        <v>1518916550</v>
      </c>
      <c r="E33891" s="60" t="s">
        <v>8671</v>
      </c>
      <c r="F33891" s="61"/>
      <c r="G33891" s="61"/>
      <c r="H33891" s="61"/>
    </row>
    <row r="33892" spans="2:8" x14ac:dyDescent="0.25">
      <c r="B33892" s="60" t="s">
        <v>8418</v>
      </c>
      <c r="C33892" s="60" t="s">
        <v>8419</v>
      </c>
      <c r="D33892" s="60" t="str">
        <f>HYPERLINK("https://rhld.insurance.arkansas.gov/NPILookup?Npi=1518994383","1518994383")</f>
        <v>1518994383</v>
      </c>
      <c r="E33892" s="60" t="s">
        <v>30673</v>
      </c>
      <c r="F33892" s="61"/>
      <c r="G33892" s="61"/>
      <c r="H33892" s="61"/>
    </row>
    <row r="33893" spans="2:8" x14ac:dyDescent="0.25">
      <c r="B33893" s="60" t="s">
        <v>8418</v>
      </c>
      <c r="C33893" s="60" t="s">
        <v>8419</v>
      </c>
      <c r="D33893" s="60" t="str">
        <f>HYPERLINK("https://rhld.insurance.arkansas.gov/NPILookup?Npi=1528100666","1528100666")</f>
        <v>1528100666</v>
      </c>
      <c r="E33893" s="60" t="s">
        <v>30674</v>
      </c>
      <c r="F33893" s="61"/>
      <c r="G33893" s="61"/>
      <c r="H33893" s="61"/>
    </row>
    <row r="33894" spans="2:8" x14ac:dyDescent="0.25">
      <c r="B33894" s="60" t="s">
        <v>8418</v>
      </c>
      <c r="C33894" s="60" t="s">
        <v>8419</v>
      </c>
      <c r="D33894" s="60" t="str">
        <f>HYPERLINK("https://rhld.insurance.arkansas.gov/NPILookup?Npi=1528199833","1528199833")</f>
        <v>1528199833</v>
      </c>
      <c r="E33894" s="60" t="s">
        <v>32532</v>
      </c>
      <c r="F33894" s="61"/>
      <c r="G33894" s="61"/>
      <c r="H33894" s="61"/>
    </row>
    <row r="33895" spans="2:8" x14ac:dyDescent="0.25">
      <c r="B33895" s="60" t="s">
        <v>8418</v>
      </c>
      <c r="C33895" s="60" t="s">
        <v>8419</v>
      </c>
      <c r="D33895" s="60" t="str">
        <f>HYPERLINK("https://rhld.insurance.arkansas.gov/NPILookup?Npi=1528216843","1528216843")</f>
        <v>1528216843</v>
      </c>
      <c r="E33895" s="60" t="s">
        <v>30675</v>
      </c>
      <c r="F33895" s="61"/>
      <c r="G33895" s="61"/>
      <c r="H33895" s="61"/>
    </row>
    <row r="33896" spans="2:8" x14ac:dyDescent="0.25">
      <c r="B33896" s="60" t="s">
        <v>8418</v>
      </c>
      <c r="C33896" s="60" t="s">
        <v>8419</v>
      </c>
      <c r="D33896" s="60" t="str">
        <f>HYPERLINK("https://rhld.insurance.arkansas.gov/NPILookup?Npi=1528224342","1528224342")</f>
        <v>1528224342</v>
      </c>
      <c r="E33896" s="60" t="s">
        <v>14174</v>
      </c>
      <c r="F33896" s="61"/>
      <c r="G33896" s="61"/>
      <c r="H33896" s="61"/>
    </row>
    <row r="33897" spans="2:8" x14ac:dyDescent="0.25">
      <c r="B33897" s="60" t="s">
        <v>8418</v>
      </c>
      <c r="C33897" s="60" t="s">
        <v>8419</v>
      </c>
      <c r="D33897" s="60" t="str">
        <f>HYPERLINK("https://rhld.insurance.arkansas.gov/NPILookup?Npi=1528237138","1528237138")</f>
        <v>1528237138</v>
      </c>
      <c r="E33897" s="60" t="s">
        <v>8672</v>
      </c>
      <c r="F33897" s="61"/>
      <c r="G33897" s="61"/>
      <c r="H33897" s="61"/>
    </row>
    <row r="33898" spans="2:8" x14ac:dyDescent="0.25">
      <c r="B33898" s="60" t="s">
        <v>8418</v>
      </c>
      <c r="C33898" s="60" t="s">
        <v>8419</v>
      </c>
      <c r="D33898" s="60" t="str">
        <f>HYPERLINK("https://rhld.insurance.arkansas.gov/NPILookup?Npi=1528242609","1528242609")</f>
        <v>1528242609</v>
      </c>
      <c r="E33898" s="60" t="s">
        <v>30676</v>
      </c>
      <c r="F33898" s="61"/>
      <c r="G33898" s="61"/>
      <c r="H33898" s="61"/>
    </row>
    <row r="33899" spans="2:8" x14ac:dyDescent="0.25">
      <c r="B33899" s="60" t="s">
        <v>8418</v>
      </c>
      <c r="C33899" s="60" t="s">
        <v>8419</v>
      </c>
      <c r="D33899" s="60" t="str">
        <f>HYPERLINK("https://rhld.insurance.arkansas.gov/NPILookup?Npi=1528273323","1528273323")</f>
        <v>1528273323</v>
      </c>
      <c r="E33899" s="60" t="s">
        <v>14175</v>
      </c>
      <c r="F33899" s="61"/>
      <c r="G33899" s="61"/>
      <c r="H33899" s="61"/>
    </row>
    <row r="33900" spans="2:8" x14ac:dyDescent="0.25">
      <c r="B33900" s="60" t="s">
        <v>8418</v>
      </c>
      <c r="C33900" s="60" t="s">
        <v>8419</v>
      </c>
      <c r="D33900" s="60" t="str">
        <f>HYPERLINK("https://rhld.insurance.arkansas.gov/NPILookup?Npi=1528464229","1528464229")</f>
        <v>1528464229</v>
      </c>
      <c r="E33900" s="60" t="s">
        <v>30677</v>
      </c>
      <c r="F33900" s="61"/>
      <c r="G33900" s="61"/>
      <c r="H33900" s="61"/>
    </row>
    <row r="33901" spans="2:8" x14ac:dyDescent="0.25">
      <c r="B33901" s="60" t="s">
        <v>8418</v>
      </c>
      <c r="C33901" s="60" t="s">
        <v>8419</v>
      </c>
      <c r="D33901" s="60" t="str">
        <f>HYPERLINK("https://rhld.insurance.arkansas.gov/NPILookup?Npi=1528498201","1528498201")</f>
        <v>1528498201</v>
      </c>
      <c r="E33901" s="60" t="s">
        <v>30678</v>
      </c>
      <c r="F33901" s="61"/>
      <c r="G33901" s="61"/>
      <c r="H33901" s="61"/>
    </row>
    <row r="33902" spans="2:8" x14ac:dyDescent="0.25">
      <c r="B33902" s="60" t="s">
        <v>8418</v>
      </c>
      <c r="C33902" s="60" t="s">
        <v>8419</v>
      </c>
      <c r="D33902" s="60" t="str">
        <f>HYPERLINK("https://rhld.insurance.arkansas.gov/NPILookup?Npi=1528596319","1528596319")</f>
        <v>1528596319</v>
      </c>
      <c r="E33902" s="60" t="s">
        <v>8673</v>
      </c>
      <c r="F33902" s="61"/>
      <c r="G33902" s="61"/>
      <c r="H33902" s="61"/>
    </row>
    <row r="33903" spans="2:8" x14ac:dyDescent="0.25">
      <c r="B33903" s="60" t="s">
        <v>8418</v>
      </c>
      <c r="C33903" s="60" t="s">
        <v>8419</v>
      </c>
      <c r="D33903" s="60" t="str">
        <f>HYPERLINK("https://rhld.insurance.arkansas.gov/NPILookup?Npi=1528615994","1528615994")</f>
        <v>1528615994</v>
      </c>
      <c r="E33903" s="60" t="s">
        <v>30679</v>
      </c>
      <c r="F33903" s="61"/>
      <c r="G33903" s="61"/>
      <c r="H33903" s="61"/>
    </row>
    <row r="33904" spans="2:8" x14ac:dyDescent="0.25">
      <c r="B33904" s="60" t="s">
        <v>8418</v>
      </c>
      <c r="C33904" s="60" t="s">
        <v>8419</v>
      </c>
      <c r="D33904" s="60" t="str">
        <f>HYPERLINK("https://rhld.insurance.arkansas.gov/NPILookup?Npi=1528682325","1528682325")</f>
        <v>1528682325</v>
      </c>
      <c r="E33904" s="60" t="s">
        <v>14176</v>
      </c>
      <c r="F33904" s="61"/>
      <c r="G33904" s="61"/>
      <c r="H33904" s="61"/>
    </row>
    <row r="33905" spans="2:8" x14ac:dyDescent="0.25">
      <c r="B33905" s="60" t="s">
        <v>8418</v>
      </c>
      <c r="C33905" s="60" t="s">
        <v>8419</v>
      </c>
      <c r="D33905" s="60" t="str">
        <f>HYPERLINK("https://rhld.insurance.arkansas.gov/NPILookup?Npi=1528748662","1528748662")</f>
        <v>1528748662</v>
      </c>
      <c r="E33905" s="60" t="s">
        <v>30680</v>
      </c>
      <c r="F33905" s="61"/>
      <c r="G33905" s="61"/>
      <c r="H33905" s="61"/>
    </row>
    <row r="33906" spans="2:8" x14ac:dyDescent="0.25">
      <c r="B33906" s="60" t="s">
        <v>8418</v>
      </c>
      <c r="C33906" s="60" t="s">
        <v>8419</v>
      </c>
      <c r="D33906" s="60" t="str">
        <f>HYPERLINK("https://rhld.insurance.arkansas.gov/NPILookup?Npi=1528751930","1528751930")</f>
        <v>1528751930</v>
      </c>
      <c r="E33906" s="60" t="s">
        <v>8674</v>
      </c>
      <c r="F33906" s="61"/>
      <c r="G33906" s="61"/>
      <c r="H33906" s="61"/>
    </row>
    <row r="33907" spans="2:8" x14ac:dyDescent="0.25">
      <c r="B33907" s="60" t="s">
        <v>8418</v>
      </c>
      <c r="C33907" s="60" t="s">
        <v>8419</v>
      </c>
      <c r="D33907" s="60" t="str">
        <f>HYPERLINK("https://rhld.insurance.arkansas.gov/NPILookup?Npi=1528772035","1528772035")</f>
        <v>1528772035</v>
      </c>
      <c r="E33907" s="60" t="s">
        <v>30681</v>
      </c>
      <c r="F33907" s="61"/>
      <c r="G33907" s="61"/>
      <c r="H33907" s="61"/>
    </row>
    <row r="33908" spans="2:8" x14ac:dyDescent="0.25">
      <c r="B33908" s="60" t="s">
        <v>8418</v>
      </c>
      <c r="C33908" s="60" t="s">
        <v>8419</v>
      </c>
      <c r="D33908" s="60" t="str">
        <f>HYPERLINK("https://rhld.insurance.arkansas.gov/NPILookup?Npi=1528789583","1528789583")</f>
        <v>1528789583</v>
      </c>
      <c r="E33908" s="60" t="s">
        <v>14177</v>
      </c>
      <c r="F33908" s="61"/>
      <c r="G33908" s="61"/>
      <c r="H33908" s="61"/>
    </row>
    <row r="33909" spans="2:8" x14ac:dyDescent="0.25">
      <c r="B33909" s="60" t="s">
        <v>8418</v>
      </c>
      <c r="C33909" s="60" t="s">
        <v>8419</v>
      </c>
      <c r="D33909" s="60" t="str">
        <f>HYPERLINK("https://rhld.insurance.arkansas.gov/NPILookup?Npi=1538269147","1538269147")</f>
        <v>1538269147</v>
      </c>
      <c r="E33909" s="60" t="s">
        <v>30682</v>
      </c>
      <c r="F33909" s="61"/>
      <c r="G33909" s="61"/>
      <c r="H33909" s="61"/>
    </row>
    <row r="33910" spans="2:8" x14ac:dyDescent="0.25">
      <c r="B33910" s="60" t="s">
        <v>8418</v>
      </c>
      <c r="C33910" s="60" t="s">
        <v>8419</v>
      </c>
      <c r="D33910" s="60" t="str">
        <f>HYPERLINK("https://rhld.insurance.arkansas.gov/NPILookup?Npi=1538291489","1538291489")</f>
        <v>1538291489</v>
      </c>
      <c r="E33910" s="60" t="s">
        <v>6392</v>
      </c>
      <c r="F33910" s="61"/>
      <c r="G33910" s="61"/>
      <c r="H33910" s="61"/>
    </row>
    <row r="33911" spans="2:8" x14ac:dyDescent="0.25">
      <c r="B33911" s="60" t="s">
        <v>8418</v>
      </c>
      <c r="C33911" s="60" t="s">
        <v>8419</v>
      </c>
      <c r="D33911" s="60" t="str">
        <f>HYPERLINK("https://rhld.insurance.arkansas.gov/NPILookup?Npi=1538298880","1538298880")</f>
        <v>1538298880</v>
      </c>
      <c r="E33911" s="60" t="s">
        <v>30683</v>
      </c>
      <c r="F33911" s="61"/>
      <c r="G33911" s="61"/>
      <c r="H33911" s="61"/>
    </row>
    <row r="33912" spans="2:8" x14ac:dyDescent="0.25">
      <c r="B33912" s="60" t="s">
        <v>8418</v>
      </c>
      <c r="C33912" s="60" t="s">
        <v>8419</v>
      </c>
      <c r="D33912" s="60" t="str">
        <f>HYPERLINK("https://rhld.insurance.arkansas.gov/NPILookup?Npi=1538334339","1538334339")</f>
        <v>1538334339</v>
      </c>
      <c r="E33912" s="60" t="s">
        <v>30684</v>
      </c>
      <c r="F33912" s="61"/>
      <c r="G33912" s="61"/>
      <c r="H33912" s="61"/>
    </row>
    <row r="33913" spans="2:8" x14ac:dyDescent="0.25">
      <c r="B33913" s="60" t="s">
        <v>8418</v>
      </c>
      <c r="C33913" s="60" t="s">
        <v>8419</v>
      </c>
      <c r="D33913" s="60" t="str">
        <f>HYPERLINK("https://rhld.insurance.arkansas.gov/NPILookup?Npi=1538351507","1538351507")</f>
        <v>1538351507</v>
      </c>
      <c r="E33913" s="60" t="s">
        <v>6096</v>
      </c>
      <c r="F33913" s="61"/>
      <c r="G33913" s="61"/>
      <c r="H33913" s="61"/>
    </row>
    <row r="33914" spans="2:8" x14ac:dyDescent="0.25">
      <c r="B33914" s="60" t="s">
        <v>8418</v>
      </c>
      <c r="C33914" s="60" t="s">
        <v>8419</v>
      </c>
      <c r="D33914" s="60" t="str">
        <f>HYPERLINK("https://rhld.insurance.arkansas.gov/NPILookup?Npi=1538357124","1538357124")</f>
        <v>1538357124</v>
      </c>
      <c r="E33914" s="60" t="s">
        <v>8675</v>
      </c>
      <c r="F33914" s="61"/>
      <c r="G33914" s="61"/>
      <c r="H33914" s="61"/>
    </row>
    <row r="33915" spans="2:8" x14ac:dyDescent="0.25">
      <c r="B33915" s="60" t="s">
        <v>8418</v>
      </c>
      <c r="C33915" s="60" t="s">
        <v>8419</v>
      </c>
      <c r="D33915" s="60" t="str">
        <f>HYPERLINK("https://rhld.insurance.arkansas.gov/NPILookup?Npi=1538420286","1538420286")</f>
        <v>1538420286</v>
      </c>
      <c r="E33915" s="60" t="s">
        <v>30685</v>
      </c>
      <c r="F33915" s="61"/>
      <c r="G33915" s="61"/>
      <c r="H33915" s="61"/>
    </row>
    <row r="33916" spans="2:8" x14ac:dyDescent="0.25">
      <c r="B33916" s="60" t="s">
        <v>8418</v>
      </c>
      <c r="C33916" s="60" t="s">
        <v>8419</v>
      </c>
      <c r="D33916" s="60" t="str">
        <f>HYPERLINK("https://rhld.insurance.arkansas.gov/NPILookup?Npi=1538499017","1538499017")</f>
        <v>1538499017</v>
      </c>
      <c r="E33916" s="60" t="s">
        <v>8676</v>
      </c>
      <c r="F33916" s="61"/>
      <c r="G33916" s="61"/>
      <c r="H33916" s="61"/>
    </row>
    <row r="33917" spans="2:8" x14ac:dyDescent="0.25">
      <c r="B33917" s="60" t="s">
        <v>8418</v>
      </c>
      <c r="C33917" s="60" t="s">
        <v>8419</v>
      </c>
      <c r="D33917" s="60" t="str">
        <f>HYPERLINK("https://rhld.insurance.arkansas.gov/NPILookup?Npi=1538576590","1538576590")</f>
        <v>1538576590</v>
      </c>
      <c r="E33917" s="60" t="s">
        <v>30686</v>
      </c>
      <c r="F33917" s="61"/>
      <c r="G33917" s="61"/>
      <c r="H33917" s="61"/>
    </row>
    <row r="33918" spans="2:8" x14ac:dyDescent="0.25">
      <c r="B33918" s="60" t="s">
        <v>8418</v>
      </c>
      <c r="C33918" s="60" t="s">
        <v>8419</v>
      </c>
      <c r="D33918" s="60" t="str">
        <f>HYPERLINK("https://rhld.insurance.arkansas.gov/NPILookup?Npi=1538592811","1538592811")</f>
        <v>1538592811</v>
      </c>
      <c r="E33918" s="60" t="s">
        <v>30687</v>
      </c>
      <c r="F33918" s="61"/>
      <c r="G33918" s="61"/>
      <c r="H33918" s="61"/>
    </row>
    <row r="33919" spans="2:8" x14ac:dyDescent="0.25">
      <c r="B33919" s="60" t="s">
        <v>8418</v>
      </c>
      <c r="C33919" s="60" t="s">
        <v>8419</v>
      </c>
      <c r="D33919" s="60" t="str">
        <f>HYPERLINK("https://rhld.insurance.arkansas.gov/NPILookup?Npi=1538783337","1538783337")</f>
        <v>1538783337</v>
      </c>
      <c r="E33919" s="60" t="s">
        <v>30688</v>
      </c>
      <c r="F33919" s="61"/>
      <c r="G33919" s="61"/>
      <c r="H33919" s="61"/>
    </row>
    <row r="33920" spans="2:8" x14ac:dyDescent="0.25">
      <c r="B33920" s="60" t="s">
        <v>8418</v>
      </c>
      <c r="C33920" s="60" t="s">
        <v>8419</v>
      </c>
      <c r="D33920" s="60" t="str">
        <f>HYPERLINK("https://rhld.insurance.arkansas.gov/NPILookup?Npi=1538794367","1538794367")</f>
        <v>1538794367</v>
      </c>
      <c r="E33920" s="60" t="s">
        <v>22526</v>
      </c>
      <c r="F33920" s="61"/>
      <c r="G33920" s="61"/>
      <c r="H33920" s="61"/>
    </row>
    <row r="33921" spans="2:8" x14ac:dyDescent="0.25">
      <c r="B33921" s="60" t="s">
        <v>8418</v>
      </c>
      <c r="C33921" s="60" t="s">
        <v>8419</v>
      </c>
      <c r="D33921" s="60" t="str">
        <f>HYPERLINK("https://rhld.insurance.arkansas.gov/NPILookup?Npi=1538846332","1538846332")</f>
        <v>1538846332</v>
      </c>
      <c r="E33921" s="60" t="s">
        <v>30689</v>
      </c>
      <c r="F33921" s="61"/>
      <c r="G33921" s="61"/>
      <c r="H33921" s="61"/>
    </row>
    <row r="33922" spans="2:8" x14ac:dyDescent="0.25">
      <c r="B33922" s="60" t="s">
        <v>8418</v>
      </c>
      <c r="C33922" s="60" t="s">
        <v>8419</v>
      </c>
      <c r="D33922" s="60" t="str">
        <f>HYPERLINK("https://rhld.insurance.arkansas.gov/NPILookup?Npi=1538895750","1538895750")</f>
        <v>1538895750</v>
      </c>
      <c r="E33922" s="60" t="s">
        <v>6416</v>
      </c>
      <c r="F33922" s="61"/>
      <c r="G33922" s="61"/>
      <c r="H33922" s="61"/>
    </row>
    <row r="33923" spans="2:8" x14ac:dyDescent="0.25">
      <c r="B33923" s="60" t="s">
        <v>8418</v>
      </c>
      <c r="C33923" s="60" t="s">
        <v>8419</v>
      </c>
      <c r="D33923" s="60" t="str">
        <f>HYPERLINK("https://rhld.insurance.arkansas.gov/NPILookup?Npi=1538896279","1538896279")</f>
        <v>1538896279</v>
      </c>
      <c r="E33923" s="60" t="s">
        <v>14178</v>
      </c>
      <c r="F33923" s="61"/>
      <c r="G33923" s="61"/>
      <c r="H33923" s="61"/>
    </row>
    <row r="33924" spans="2:8" x14ac:dyDescent="0.25">
      <c r="B33924" s="60" t="s">
        <v>8418</v>
      </c>
      <c r="C33924" s="60" t="s">
        <v>8419</v>
      </c>
      <c r="D33924" s="60" t="str">
        <f>HYPERLINK("https://rhld.insurance.arkansas.gov/NPILookup?Npi=1548000623","1548000623")</f>
        <v>1548000623</v>
      </c>
      <c r="E33924" s="60" t="s">
        <v>32533</v>
      </c>
      <c r="F33924" s="61"/>
      <c r="G33924" s="61"/>
      <c r="H33924" s="61"/>
    </row>
    <row r="33925" spans="2:8" x14ac:dyDescent="0.25">
      <c r="B33925" s="60" t="s">
        <v>8418</v>
      </c>
      <c r="C33925" s="60" t="s">
        <v>8419</v>
      </c>
      <c r="D33925" s="60" t="str">
        <f>HYPERLINK("https://rhld.insurance.arkansas.gov/NPILookup?Npi=1548069487","1548069487")</f>
        <v>1548069487</v>
      </c>
      <c r="E33925" s="60" t="s">
        <v>32534</v>
      </c>
      <c r="F33925" s="61"/>
      <c r="G33925" s="61"/>
      <c r="H33925" s="61"/>
    </row>
    <row r="33926" spans="2:8" x14ac:dyDescent="0.25">
      <c r="B33926" s="60" t="s">
        <v>8418</v>
      </c>
      <c r="C33926" s="60" t="s">
        <v>8419</v>
      </c>
      <c r="D33926" s="60" t="str">
        <f>HYPERLINK("https://rhld.insurance.arkansas.gov/NPILookup?Npi=1548093453","1548093453")</f>
        <v>1548093453</v>
      </c>
      <c r="E33926" s="60" t="s">
        <v>30690</v>
      </c>
      <c r="F33926" s="61"/>
      <c r="G33926" s="61"/>
      <c r="H33926" s="61"/>
    </row>
    <row r="33927" spans="2:8" x14ac:dyDescent="0.25">
      <c r="B33927" s="60" t="s">
        <v>8418</v>
      </c>
      <c r="C33927" s="60" t="s">
        <v>8419</v>
      </c>
      <c r="D33927" s="60" t="str">
        <f>HYPERLINK("https://rhld.insurance.arkansas.gov/NPILookup?Npi=1548383987","1548383987")</f>
        <v>1548383987</v>
      </c>
      <c r="E33927" s="60" t="s">
        <v>8677</v>
      </c>
      <c r="F33927" s="61"/>
      <c r="G33927" s="61"/>
      <c r="H33927" s="61"/>
    </row>
    <row r="33928" spans="2:8" x14ac:dyDescent="0.25">
      <c r="B33928" s="60" t="s">
        <v>8418</v>
      </c>
      <c r="C33928" s="60" t="s">
        <v>8419</v>
      </c>
      <c r="D33928" s="60" t="str">
        <f>HYPERLINK("https://rhld.insurance.arkansas.gov/NPILookup?Npi=1548432594","1548432594")</f>
        <v>1548432594</v>
      </c>
      <c r="E33928" s="60" t="s">
        <v>30691</v>
      </c>
      <c r="F33928" s="61"/>
      <c r="G33928" s="61"/>
      <c r="H33928" s="61"/>
    </row>
    <row r="33929" spans="2:8" x14ac:dyDescent="0.25">
      <c r="B33929" s="60" t="s">
        <v>8418</v>
      </c>
      <c r="C33929" s="60" t="s">
        <v>8419</v>
      </c>
      <c r="D33929" s="60" t="str">
        <f>HYPERLINK("https://rhld.insurance.arkansas.gov/NPILookup?Npi=1548528284","1548528284")</f>
        <v>1548528284</v>
      </c>
      <c r="E33929" s="60" t="s">
        <v>30692</v>
      </c>
      <c r="F33929" s="61"/>
      <c r="G33929" s="61"/>
      <c r="H33929" s="61"/>
    </row>
    <row r="33930" spans="2:8" x14ac:dyDescent="0.25">
      <c r="B33930" s="60" t="s">
        <v>8418</v>
      </c>
      <c r="C33930" s="60" t="s">
        <v>8419</v>
      </c>
      <c r="D33930" s="60" t="str">
        <f>HYPERLINK("https://rhld.insurance.arkansas.gov/NPILookup?Npi=1548673189","1548673189")</f>
        <v>1548673189</v>
      </c>
      <c r="E33930" s="60" t="s">
        <v>8678</v>
      </c>
      <c r="F33930" s="61"/>
      <c r="G33930" s="61"/>
      <c r="H33930" s="61"/>
    </row>
    <row r="33931" spans="2:8" x14ac:dyDescent="0.25">
      <c r="B33931" s="60" t="s">
        <v>8418</v>
      </c>
      <c r="C33931" s="60" t="s">
        <v>8419</v>
      </c>
      <c r="D33931" s="60" t="str">
        <f>HYPERLINK("https://rhld.insurance.arkansas.gov/NPILookup?Npi=1548833783","1548833783")</f>
        <v>1548833783</v>
      </c>
      <c r="E33931" s="60" t="s">
        <v>30693</v>
      </c>
      <c r="F33931" s="61"/>
      <c r="G33931" s="61"/>
      <c r="H33931" s="61"/>
    </row>
    <row r="33932" spans="2:8" x14ac:dyDescent="0.25">
      <c r="B33932" s="60" t="s">
        <v>8418</v>
      </c>
      <c r="C33932" s="60" t="s">
        <v>8419</v>
      </c>
      <c r="D33932" s="60" t="str">
        <f>HYPERLINK("https://rhld.insurance.arkansas.gov/NPILookup?Npi=1548836497","1548836497")</f>
        <v>1548836497</v>
      </c>
      <c r="E33932" s="60" t="s">
        <v>30694</v>
      </c>
      <c r="F33932" s="61"/>
      <c r="G33932" s="61"/>
      <c r="H33932" s="61"/>
    </row>
    <row r="33933" spans="2:8" x14ac:dyDescent="0.25">
      <c r="B33933" s="60" t="s">
        <v>8418</v>
      </c>
      <c r="C33933" s="60" t="s">
        <v>8419</v>
      </c>
      <c r="D33933" s="60" t="str">
        <f>HYPERLINK("https://rhld.insurance.arkansas.gov/NPILookup?Npi=1548968886","1548968886")</f>
        <v>1548968886</v>
      </c>
      <c r="E33933" s="60" t="s">
        <v>30695</v>
      </c>
      <c r="F33933" s="61"/>
      <c r="G33933" s="61"/>
      <c r="H33933" s="61"/>
    </row>
    <row r="33934" spans="2:8" x14ac:dyDescent="0.25">
      <c r="B33934" s="60" t="s">
        <v>8418</v>
      </c>
      <c r="C33934" s="60" t="s">
        <v>8419</v>
      </c>
      <c r="D33934" s="60" t="str">
        <f>HYPERLINK("https://rhld.insurance.arkansas.gov/NPILookup?Npi=1548996903","1548996903")</f>
        <v>1548996903</v>
      </c>
      <c r="E33934" s="60" t="s">
        <v>30696</v>
      </c>
      <c r="F33934" s="61"/>
      <c r="G33934" s="61"/>
      <c r="H33934" s="61"/>
    </row>
    <row r="33935" spans="2:8" x14ac:dyDescent="0.25">
      <c r="B33935" s="60" t="s">
        <v>8418</v>
      </c>
      <c r="C33935" s="60" t="s">
        <v>8419</v>
      </c>
      <c r="D33935" s="60" t="str">
        <f>HYPERLINK("https://rhld.insurance.arkansas.gov/NPILookup?Npi=1558330209","1558330209")</f>
        <v>1558330209</v>
      </c>
      <c r="E33935" s="60" t="s">
        <v>14179</v>
      </c>
      <c r="F33935" s="61"/>
      <c r="G33935" s="61"/>
      <c r="H33935" s="61"/>
    </row>
    <row r="33936" spans="2:8" x14ac:dyDescent="0.25">
      <c r="B33936" s="60" t="s">
        <v>8418</v>
      </c>
      <c r="C33936" s="60" t="s">
        <v>8419</v>
      </c>
      <c r="D33936" s="60" t="str">
        <f>HYPERLINK("https://rhld.insurance.arkansas.gov/NPILookup?Npi=1558415778","1558415778")</f>
        <v>1558415778</v>
      </c>
      <c r="E33936" s="60" t="s">
        <v>30697</v>
      </c>
      <c r="F33936" s="61"/>
      <c r="G33936" s="61"/>
      <c r="H33936" s="61"/>
    </row>
    <row r="33937" spans="2:8" x14ac:dyDescent="0.25">
      <c r="B33937" s="60" t="s">
        <v>8418</v>
      </c>
      <c r="C33937" s="60" t="s">
        <v>8419</v>
      </c>
      <c r="D33937" s="60" t="str">
        <f>HYPERLINK("https://rhld.insurance.arkansas.gov/NPILookup?Npi=1558425777","1558425777")</f>
        <v>1558425777</v>
      </c>
      <c r="E33937" s="60" t="s">
        <v>30698</v>
      </c>
      <c r="F33937" s="61"/>
      <c r="G33937" s="61"/>
      <c r="H33937" s="61"/>
    </row>
    <row r="33938" spans="2:8" x14ac:dyDescent="0.25">
      <c r="B33938" s="60" t="s">
        <v>8418</v>
      </c>
      <c r="C33938" s="60" t="s">
        <v>8419</v>
      </c>
      <c r="D33938" s="60" t="str">
        <f>HYPERLINK("https://rhld.insurance.arkansas.gov/NPILookup?Npi=1558490896","1558490896")</f>
        <v>1558490896</v>
      </c>
      <c r="E33938" s="60" t="s">
        <v>32535</v>
      </c>
      <c r="F33938" s="61"/>
      <c r="G33938" s="61"/>
      <c r="H33938" s="61"/>
    </row>
    <row r="33939" spans="2:8" x14ac:dyDescent="0.25">
      <c r="B33939" s="60" t="s">
        <v>8418</v>
      </c>
      <c r="C33939" s="60" t="s">
        <v>8419</v>
      </c>
      <c r="D33939" s="60" t="str">
        <f>HYPERLINK("https://rhld.insurance.arkansas.gov/NPILookup?Npi=1558501056","1558501056")</f>
        <v>1558501056</v>
      </c>
      <c r="E33939" s="60" t="s">
        <v>30699</v>
      </c>
      <c r="F33939" s="61"/>
      <c r="G33939" s="61"/>
      <c r="H33939" s="61"/>
    </row>
    <row r="33940" spans="2:8" x14ac:dyDescent="0.25">
      <c r="B33940" s="60" t="s">
        <v>8418</v>
      </c>
      <c r="C33940" s="60" t="s">
        <v>8419</v>
      </c>
      <c r="D33940" s="60" t="str">
        <f>HYPERLINK("https://rhld.insurance.arkansas.gov/NPILookup?Npi=1558509182","1558509182")</f>
        <v>1558509182</v>
      </c>
      <c r="E33940" s="60" t="s">
        <v>2696</v>
      </c>
      <c r="F33940" s="61"/>
      <c r="G33940" s="61"/>
      <c r="H33940" s="61"/>
    </row>
    <row r="33941" spans="2:8" x14ac:dyDescent="0.25">
      <c r="B33941" s="60" t="s">
        <v>8418</v>
      </c>
      <c r="C33941" s="60" t="s">
        <v>8419</v>
      </c>
      <c r="D33941" s="60" t="str">
        <f>HYPERLINK("https://rhld.insurance.arkansas.gov/NPILookup?Npi=1558593608","1558593608")</f>
        <v>1558593608</v>
      </c>
      <c r="E33941" s="60" t="s">
        <v>14180</v>
      </c>
      <c r="F33941" s="61"/>
      <c r="G33941" s="61"/>
      <c r="H33941" s="61"/>
    </row>
    <row r="33942" spans="2:8" x14ac:dyDescent="0.25">
      <c r="B33942" s="60" t="s">
        <v>8418</v>
      </c>
      <c r="C33942" s="60" t="s">
        <v>8419</v>
      </c>
      <c r="D33942" s="60" t="str">
        <f>HYPERLINK("https://rhld.insurance.arkansas.gov/NPILookup?Npi=1558652610","1558652610")</f>
        <v>1558652610</v>
      </c>
      <c r="E33942" s="60" t="s">
        <v>30700</v>
      </c>
      <c r="F33942" s="61"/>
      <c r="G33942" s="61"/>
      <c r="H33942" s="61"/>
    </row>
    <row r="33943" spans="2:8" x14ac:dyDescent="0.25">
      <c r="B33943" s="60" t="s">
        <v>8418</v>
      </c>
      <c r="C33943" s="60" t="s">
        <v>8419</v>
      </c>
      <c r="D33943" s="60" t="str">
        <f>HYPERLINK("https://rhld.insurance.arkansas.gov/NPILookup?Npi=1558671073","1558671073")</f>
        <v>1558671073</v>
      </c>
      <c r="E33943" s="60" t="s">
        <v>8679</v>
      </c>
      <c r="F33943" s="61"/>
      <c r="G33943" s="61"/>
      <c r="H33943" s="61"/>
    </row>
    <row r="33944" spans="2:8" x14ac:dyDescent="0.25">
      <c r="B33944" s="60" t="s">
        <v>8418</v>
      </c>
      <c r="C33944" s="60" t="s">
        <v>8419</v>
      </c>
      <c r="D33944" s="60" t="str">
        <f>HYPERLINK("https://rhld.insurance.arkansas.gov/NPILookup?Npi=1558681007","1558681007")</f>
        <v>1558681007</v>
      </c>
      <c r="E33944" s="60" t="s">
        <v>30701</v>
      </c>
      <c r="F33944" s="61"/>
      <c r="G33944" s="61"/>
      <c r="H33944" s="61"/>
    </row>
    <row r="33945" spans="2:8" x14ac:dyDescent="0.25">
      <c r="B33945" s="60" t="s">
        <v>8418</v>
      </c>
      <c r="C33945" s="60" t="s">
        <v>8419</v>
      </c>
      <c r="D33945" s="60" t="str">
        <f>HYPERLINK("https://rhld.insurance.arkansas.gov/NPILookup?Npi=1558703553","1558703553")</f>
        <v>1558703553</v>
      </c>
      <c r="E33945" s="60" t="s">
        <v>14181</v>
      </c>
      <c r="F33945" s="61"/>
      <c r="G33945" s="61"/>
      <c r="H33945" s="61"/>
    </row>
    <row r="33946" spans="2:8" x14ac:dyDescent="0.25">
      <c r="B33946" s="60" t="s">
        <v>8418</v>
      </c>
      <c r="C33946" s="60" t="s">
        <v>8419</v>
      </c>
      <c r="D33946" s="60" t="str">
        <f>HYPERLINK("https://rhld.insurance.arkansas.gov/NPILookup?Npi=1558795047","1558795047")</f>
        <v>1558795047</v>
      </c>
      <c r="E33946" s="60" t="s">
        <v>8680</v>
      </c>
      <c r="F33946" s="61"/>
      <c r="G33946" s="61"/>
      <c r="H33946" s="61"/>
    </row>
    <row r="33947" spans="2:8" x14ac:dyDescent="0.25">
      <c r="B33947" s="60" t="s">
        <v>8418</v>
      </c>
      <c r="C33947" s="60" t="s">
        <v>8419</v>
      </c>
      <c r="D33947" s="60" t="str">
        <f>HYPERLINK("https://rhld.insurance.arkansas.gov/NPILookup?Npi=1558828129","1558828129")</f>
        <v>1558828129</v>
      </c>
      <c r="E33947" s="60" t="s">
        <v>30702</v>
      </c>
      <c r="F33947" s="61"/>
      <c r="G33947" s="61"/>
      <c r="H33947" s="61"/>
    </row>
    <row r="33948" spans="2:8" x14ac:dyDescent="0.25">
      <c r="B33948" s="60" t="s">
        <v>8418</v>
      </c>
      <c r="C33948" s="60" t="s">
        <v>8419</v>
      </c>
      <c r="D33948" s="60" t="str">
        <f>HYPERLINK("https://rhld.insurance.arkansas.gov/NPILookup?Npi=1558868307","1558868307")</f>
        <v>1558868307</v>
      </c>
      <c r="E33948" s="60" t="s">
        <v>14182</v>
      </c>
      <c r="F33948" s="61"/>
      <c r="G33948" s="61"/>
      <c r="H33948" s="61"/>
    </row>
    <row r="33949" spans="2:8" x14ac:dyDescent="0.25">
      <c r="B33949" s="60" t="s">
        <v>8418</v>
      </c>
      <c r="C33949" s="60" t="s">
        <v>8419</v>
      </c>
      <c r="D33949" s="60" t="str">
        <f>HYPERLINK("https://rhld.insurance.arkansas.gov/NPILookup?Npi=1558890079","1558890079")</f>
        <v>1558890079</v>
      </c>
      <c r="E33949" s="60" t="s">
        <v>30703</v>
      </c>
      <c r="F33949" s="61"/>
      <c r="G33949" s="61"/>
      <c r="H33949" s="61"/>
    </row>
    <row r="33950" spans="2:8" x14ac:dyDescent="0.25">
      <c r="B33950" s="60" t="s">
        <v>8418</v>
      </c>
      <c r="C33950" s="60" t="s">
        <v>8419</v>
      </c>
      <c r="D33950" s="60" t="str">
        <f>HYPERLINK("https://rhld.insurance.arkansas.gov/NPILookup?Npi=1558977785","1558977785")</f>
        <v>1558977785</v>
      </c>
      <c r="E33950" s="60" t="s">
        <v>32536</v>
      </c>
      <c r="F33950" s="61"/>
      <c r="G33950" s="61"/>
      <c r="H33950" s="61"/>
    </row>
    <row r="33951" spans="2:8" x14ac:dyDescent="0.25">
      <c r="B33951" s="60" t="s">
        <v>8418</v>
      </c>
      <c r="C33951" s="60" t="s">
        <v>8419</v>
      </c>
      <c r="D33951" s="60" t="str">
        <f>HYPERLINK("https://rhld.insurance.arkansas.gov/NPILookup?Npi=1568009785","1568009785")</f>
        <v>1568009785</v>
      </c>
      <c r="E33951" s="60" t="s">
        <v>30704</v>
      </c>
      <c r="F33951" s="61"/>
      <c r="G33951" s="61"/>
      <c r="H33951" s="61"/>
    </row>
    <row r="33952" spans="2:8" x14ac:dyDescent="0.25">
      <c r="B33952" s="60" t="s">
        <v>8418</v>
      </c>
      <c r="C33952" s="60" t="s">
        <v>8419</v>
      </c>
      <c r="D33952" s="60" t="str">
        <f>HYPERLINK("https://rhld.insurance.arkansas.gov/NPILookup?Npi=1568084846","1568084846")</f>
        <v>1568084846</v>
      </c>
      <c r="E33952" s="60" t="s">
        <v>30705</v>
      </c>
      <c r="F33952" s="61"/>
      <c r="G33952" s="61"/>
      <c r="H33952" s="61"/>
    </row>
    <row r="33953" spans="2:8" x14ac:dyDescent="0.25">
      <c r="B33953" s="60" t="s">
        <v>8418</v>
      </c>
      <c r="C33953" s="60" t="s">
        <v>8419</v>
      </c>
      <c r="D33953" s="60" t="str">
        <f>HYPERLINK("https://rhld.insurance.arkansas.gov/NPILookup?Npi=1568199479","1568199479")</f>
        <v>1568199479</v>
      </c>
      <c r="E33953" s="60" t="s">
        <v>30706</v>
      </c>
      <c r="F33953" s="61"/>
      <c r="G33953" s="61"/>
      <c r="H33953" s="61"/>
    </row>
    <row r="33954" spans="2:8" x14ac:dyDescent="0.25">
      <c r="B33954" s="60" t="s">
        <v>8418</v>
      </c>
      <c r="C33954" s="60" t="s">
        <v>8419</v>
      </c>
      <c r="D33954" s="60" t="str">
        <f>HYPERLINK("https://rhld.insurance.arkansas.gov/NPILookup?Npi=1568206886","1568206886")</f>
        <v>1568206886</v>
      </c>
      <c r="E33954" s="60" t="s">
        <v>32537</v>
      </c>
      <c r="F33954" s="61"/>
      <c r="G33954" s="61"/>
      <c r="H33954" s="61"/>
    </row>
    <row r="33955" spans="2:8" x14ac:dyDescent="0.25">
      <c r="B33955" s="60" t="s">
        <v>8418</v>
      </c>
      <c r="C33955" s="60" t="s">
        <v>8419</v>
      </c>
      <c r="D33955" s="60" t="str">
        <f>HYPERLINK("https://rhld.insurance.arkansas.gov/NPILookup?Npi=1568573384","1568573384")</f>
        <v>1568573384</v>
      </c>
      <c r="E33955" s="60" t="s">
        <v>30707</v>
      </c>
      <c r="F33955" s="61"/>
      <c r="G33955" s="61"/>
      <c r="H33955" s="61"/>
    </row>
    <row r="33956" spans="2:8" x14ac:dyDescent="0.25">
      <c r="B33956" s="60" t="s">
        <v>8418</v>
      </c>
      <c r="C33956" s="60" t="s">
        <v>8419</v>
      </c>
      <c r="D33956" s="60" t="str">
        <f>HYPERLINK("https://rhld.insurance.arkansas.gov/NPILookup?Npi=1568634988","1568634988")</f>
        <v>1568634988</v>
      </c>
      <c r="E33956" s="60" t="s">
        <v>6063</v>
      </c>
      <c r="F33956" s="61"/>
      <c r="G33956" s="61"/>
      <c r="H33956" s="61"/>
    </row>
    <row r="33957" spans="2:8" x14ac:dyDescent="0.25">
      <c r="B33957" s="60" t="s">
        <v>8418</v>
      </c>
      <c r="C33957" s="60" t="s">
        <v>8419</v>
      </c>
      <c r="D33957" s="60" t="str">
        <f>HYPERLINK("https://rhld.insurance.arkansas.gov/NPILookup?Npi=1568754406","1568754406")</f>
        <v>1568754406</v>
      </c>
      <c r="E33957" s="60" t="s">
        <v>30708</v>
      </c>
      <c r="F33957" s="61"/>
      <c r="G33957" s="61"/>
      <c r="H33957" s="61"/>
    </row>
    <row r="33958" spans="2:8" x14ac:dyDescent="0.25">
      <c r="B33958" s="60" t="s">
        <v>8418</v>
      </c>
      <c r="C33958" s="60" t="s">
        <v>8419</v>
      </c>
      <c r="D33958" s="60" t="str">
        <f>HYPERLINK("https://rhld.insurance.arkansas.gov/NPILookup?Npi=1568757698","1568757698")</f>
        <v>1568757698</v>
      </c>
      <c r="E33958" s="60" t="s">
        <v>30709</v>
      </c>
      <c r="F33958" s="61"/>
      <c r="G33958" s="61"/>
      <c r="H33958" s="61"/>
    </row>
    <row r="33959" spans="2:8" x14ac:dyDescent="0.25">
      <c r="B33959" s="60" t="s">
        <v>8418</v>
      </c>
      <c r="C33959" s="60" t="s">
        <v>8419</v>
      </c>
      <c r="D33959" s="60" t="str">
        <f>HYPERLINK("https://rhld.insurance.arkansas.gov/NPILookup?Npi=1568838241","1568838241")</f>
        <v>1568838241</v>
      </c>
      <c r="E33959" s="60" t="s">
        <v>30710</v>
      </c>
      <c r="F33959" s="61"/>
      <c r="G33959" s="61"/>
      <c r="H33959" s="61"/>
    </row>
    <row r="33960" spans="2:8" x14ac:dyDescent="0.25">
      <c r="B33960" s="60" t="s">
        <v>8418</v>
      </c>
      <c r="C33960" s="60" t="s">
        <v>8419</v>
      </c>
      <c r="D33960" s="60" t="str">
        <f>HYPERLINK("https://rhld.insurance.arkansas.gov/NPILookup?Npi=1568841997","1568841997")</f>
        <v>1568841997</v>
      </c>
      <c r="E33960" s="60" t="s">
        <v>8681</v>
      </c>
      <c r="F33960" s="61"/>
      <c r="G33960" s="61"/>
      <c r="H33960" s="61"/>
    </row>
    <row r="33961" spans="2:8" x14ac:dyDescent="0.25">
      <c r="B33961" s="60" t="s">
        <v>8418</v>
      </c>
      <c r="C33961" s="60" t="s">
        <v>8419</v>
      </c>
      <c r="D33961" s="60" t="str">
        <f>HYPERLINK("https://rhld.insurance.arkansas.gov/NPILookup?Npi=1568883361","1568883361")</f>
        <v>1568883361</v>
      </c>
      <c r="E33961" s="60" t="s">
        <v>30711</v>
      </c>
      <c r="F33961" s="61"/>
      <c r="G33961" s="61"/>
      <c r="H33961" s="61"/>
    </row>
    <row r="33962" spans="2:8" x14ac:dyDescent="0.25">
      <c r="B33962" s="60" t="s">
        <v>8418</v>
      </c>
      <c r="C33962" s="60" t="s">
        <v>8419</v>
      </c>
      <c r="D33962" s="60" t="str">
        <f>HYPERLINK("https://rhld.insurance.arkansas.gov/NPILookup?Npi=1568896819","1568896819")</f>
        <v>1568896819</v>
      </c>
      <c r="E33962" s="60" t="s">
        <v>8682</v>
      </c>
      <c r="F33962" s="61"/>
      <c r="G33962" s="61"/>
      <c r="H33962" s="61"/>
    </row>
    <row r="33963" spans="2:8" x14ac:dyDescent="0.25">
      <c r="B33963" s="60" t="s">
        <v>8418</v>
      </c>
      <c r="C33963" s="60" t="s">
        <v>8419</v>
      </c>
      <c r="D33963" s="60" t="str">
        <f>HYPERLINK("https://rhld.insurance.arkansas.gov/NPILookup?Npi=1568899011","1568899011")</f>
        <v>1568899011</v>
      </c>
      <c r="E33963" s="60" t="s">
        <v>30712</v>
      </c>
      <c r="F33963" s="61"/>
      <c r="G33963" s="61"/>
      <c r="H33963" s="61"/>
    </row>
    <row r="33964" spans="2:8" x14ac:dyDescent="0.25">
      <c r="B33964" s="60" t="s">
        <v>8418</v>
      </c>
      <c r="C33964" s="60" t="s">
        <v>8419</v>
      </c>
      <c r="D33964" s="60" t="str">
        <f>HYPERLINK("https://rhld.insurance.arkansas.gov/NPILookup?Npi=1568934081","1568934081")</f>
        <v>1568934081</v>
      </c>
      <c r="E33964" s="60" t="s">
        <v>30713</v>
      </c>
      <c r="F33964" s="61"/>
      <c r="G33964" s="61"/>
      <c r="H33964" s="61"/>
    </row>
    <row r="33965" spans="2:8" x14ac:dyDescent="0.25">
      <c r="B33965" s="60" t="s">
        <v>8418</v>
      </c>
      <c r="C33965" s="60" t="s">
        <v>8419</v>
      </c>
      <c r="D33965" s="60" t="str">
        <f>HYPERLINK("https://rhld.insurance.arkansas.gov/NPILookup?Npi=1568939700","1568939700")</f>
        <v>1568939700</v>
      </c>
      <c r="E33965" s="60" t="s">
        <v>30714</v>
      </c>
      <c r="F33965" s="61"/>
      <c r="G33965" s="61"/>
      <c r="H33965" s="61"/>
    </row>
    <row r="33966" spans="2:8" x14ac:dyDescent="0.25">
      <c r="B33966" s="60" t="s">
        <v>8418</v>
      </c>
      <c r="C33966" s="60" t="s">
        <v>8419</v>
      </c>
      <c r="D33966" s="60" t="str">
        <f>HYPERLINK("https://rhld.insurance.arkansas.gov/NPILookup?Npi=1578063806","1578063806")</f>
        <v>1578063806</v>
      </c>
      <c r="E33966" s="60" t="s">
        <v>8683</v>
      </c>
      <c r="F33966" s="61"/>
      <c r="G33966" s="61"/>
      <c r="H33966" s="61"/>
    </row>
    <row r="33967" spans="2:8" x14ac:dyDescent="0.25">
      <c r="B33967" s="60" t="s">
        <v>8418</v>
      </c>
      <c r="C33967" s="60" t="s">
        <v>8419</v>
      </c>
      <c r="D33967" s="60" t="str">
        <f>HYPERLINK("https://rhld.insurance.arkansas.gov/NPILookup?Npi=1578170700","1578170700")</f>
        <v>1578170700</v>
      </c>
      <c r="E33967" s="60" t="s">
        <v>30715</v>
      </c>
      <c r="F33967" s="61"/>
      <c r="G33967" s="61"/>
      <c r="H33967" s="61"/>
    </row>
    <row r="33968" spans="2:8" x14ac:dyDescent="0.25">
      <c r="B33968" s="60" t="s">
        <v>8418</v>
      </c>
      <c r="C33968" s="60" t="s">
        <v>8419</v>
      </c>
      <c r="D33968" s="60" t="str">
        <f>HYPERLINK("https://rhld.insurance.arkansas.gov/NPILookup?Npi=1578187894","1578187894")</f>
        <v>1578187894</v>
      </c>
      <c r="E33968" s="60" t="s">
        <v>32538</v>
      </c>
      <c r="F33968" s="61"/>
      <c r="G33968" s="61"/>
      <c r="H33968" s="61"/>
    </row>
    <row r="33969" spans="2:8" x14ac:dyDescent="0.25">
      <c r="B33969" s="60" t="s">
        <v>8418</v>
      </c>
      <c r="C33969" s="60" t="s">
        <v>8419</v>
      </c>
      <c r="D33969" s="60" t="str">
        <f>HYPERLINK("https://rhld.insurance.arkansas.gov/NPILookup?Npi=1578257671","1578257671")</f>
        <v>1578257671</v>
      </c>
      <c r="E33969" s="60" t="s">
        <v>8684</v>
      </c>
      <c r="F33969" s="61"/>
      <c r="G33969" s="61"/>
      <c r="H33969" s="61"/>
    </row>
    <row r="33970" spans="2:8" x14ac:dyDescent="0.25">
      <c r="B33970" s="60" t="s">
        <v>8418</v>
      </c>
      <c r="C33970" s="60" t="s">
        <v>8419</v>
      </c>
      <c r="D33970" s="60" t="str">
        <f>HYPERLINK("https://rhld.insurance.arkansas.gov/NPILookup?Npi=1578279147","1578279147")</f>
        <v>1578279147</v>
      </c>
      <c r="E33970" s="60" t="s">
        <v>8685</v>
      </c>
      <c r="F33970" s="61"/>
      <c r="G33970" s="61"/>
      <c r="H33970" s="61"/>
    </row>
    <row r="33971" spans="2:8" x14ac:dyDescent="0.25">
      <c r="B33971" s="60" t="s">
        <v>8418</v>
      </c>
      <c r="C33971" s="60" t="s">
        <v>8419</v>
      </c>
      <c r="D33971" s="60" t="str">
        <f>HYPERLINK("https://rhld.insurance.arkansas.gov/NPILookup?Npi=1578289054","1578289054")</f>
        <v>1578289054</v>
      </c>
      <c r="E33971" s="60" t="s">
        <v>8686</v>
      </c>
      <c r="F33971" s="61"/>
      <c r="G33971" s="61"/>
      <c r="H33971" s="61"/>
    </row>
    <row r="33972" spans="2:8" x14ac:dyDescent="0.25">
      <c r="B33972" s="60" t="s">
        <v>8418</v>
      </c>
      <c r="C33972" s="60" t="s">
        <v>8419</v>
      </c>
      <c r="D33972" s="60" t="str">
        <f>HYPERLINK("https://rhld.insurance.arkansas.gov/NPILookup?Npi=1578317053","1578317053")</f>
        <v>1578317053</v>
      </c>
      <c r="E33972" s="60" t="s">
        <v>30716</v>
      </c>
      <c r="F33972" s="61"/>
      <c r="G33972" s="61"/>
      <c r="H33972" s="61"/>
    </row>
    <row r="33973" spans="2:8" x14ac:dyDescent="0.25">
      <c r="B33973" s="60" t="s">
        <v>8418</v>
      </c>
      <c r="C33973" s="60" t="s">
        <v>8419</v>
      </c>
      <c r="D33973" s="60" t="str">
        <f>HYPERLINK("https://rhld.insurance.arkansas.gov/NPILookup?Npi=1578648291","1578648291")</f>
        <v>1578648291</v>
      </c>
      <c r="E33973" s="60" t="s">
        <v>6393</v>
      </c>
      <c r="F33973" s="61"/>
      <c r="G33973" s="61"/>
      <c r="H33973" s="61"/>
    </row>
    <row r="33974" spans="2:8" x14ac:dyDescent="0.25">
      <c r="B33974" s="60" t="s">
        <v>8418</v>
      </c>
      <c r="C33974" s="60" t="s">
        <v>8419</v>
      </c>
      <c r="D33974" s="60" t="str">
        <f>HYPERLINK("https://rhld.insurance.arkansas.gov/NPILookup?Npi=1578707378","1578707378")</f>
        <v>1578707378</v>
      </c>
      <c r="E33974" s="60" t="s">
        <v>30717</v>
      </c>
      <c r="F33974" s="61"/>
      <c r="G33974" s="61"/>
      <c r="H33974" s="61"/>
    </row>
    <row r="33975" spans="2:8" x14ac:dyDescent="0.25">
      <c r="B33975" s="60" t="s">
        <v>8418</v>
      </c>
      <c r="C33975" s="60" t="s">
        <v>8419</v>
      </c>
      <c r="D33975" s="60" t="str">
        <f>HYPERLINK("https://rhld.insurance.arkansas.gov/NPILookup?Npi=1578728010","1578728010")</f>
        <v>1578728010</v>
      </c>
      <c r="E33975" s="60" t="s">
        <v>30718</v>
      </c>
      <c r="F33975" s="61"/>
      <c r="G33975" s="61"/>
      <c r="H33975" s="61"/>
    </row>
    <row r="33976" spans="2:8" x14ac:dyDescent="0.25">
      <c r="B33976" s="60" t="s">
        <v>8418</v>
      </c>
      <c r="C33976" s="60" t="s">
        <v>8419</v>
      </c>
      <c r="D33976" s="60" t="str">
        <f>HYPERLINK("https://rhld.insurance.arkansas.gov/NPILookup?Npi=1578778254","1578778254")</f>
        <v>1578778254</v>
      </c>
      <c r="E33976" s="60" t="s">
        <v>30719</v>
      </c>
      <c r="F33976" s="61"/>
      <c r="G33976" s="61"/>
      <c r="H33976" s="61"/>
    </row>
    <row r="33977" spans="2:8" x14ac:dyDescent="0.25">
      <c r="B33977" s="60" t="s">
        <v>8418</v>
      </c>
      <c r="C33977" s="60" t="s">
        <v>8419</v>
      </c>
      <c r="D33977" s="60" t="str">
        <f>HYPERLINK("https://rhld.insurance.arkansas.gov/NPILookup?Npi=1578833273","1578833273")</f>
        <v>1578833273</v>
      </c>
      <c r="E33977" s="60" t="s">
        <v>30720</v>
      </c>
      <c r="F33977" s="61"/>
      <c r="G33977" s="61"/>
      <c r="H33977" s="61"/>
    </row>
    <row r="33978" spans="2:8" x14ac:dyDescent="0.25">
      <c r="B33978" s="60" t="s">
        <v>8418</v>
      </c>
      <c r="C33978" s="60" t="s">
        <v>8419</v>
      </c>
      <c r="D33978" s="60" t="str">
        <f>HYPERLINK("https://rhld.insurance.arkansas.gov/NPILookup?Npi=1578847802","1578847802")</f>
        <v>1578847802</v>
      </c>
      <c r="E33978" s="60" t="s">
        <v>30721</v>
      </c>
      <c r="F33978" s="61"/>
      <c r="G33978" s="61"/>
      <c r="H33978" s="61"/>
    </row>
    <row r="33979" spans="2:8" x14ac:dyDescent="0.25">
      <c r="B33979" s="60" t="s">
        <v>8418</v>
      </c>
      <c r="C33979" s="60" t="s">
        <v>8419</v>
      </c>
      <c r="D33979" s="60" t="str">
        <f>HYPERLINK("https://rhld.insurance.arkansas.gov/NPILookup?Npi=1578912648","1578912648")</f>
        <v>1578912648</v>
      </c>
      <c r="E33979" s="60" t="s">
        <v>30722</v>
      </c>
      <c r="F33979" s="61"/>
      <c r="G33979" s="61"/>
      <c r="H33979" s="61"/>
    </row>
    <row r="33980" spans="2:8" x14ac:dyDescent="0.25">
      <c r="B33980" s="60" t="s">
        <v>8418</v>
      </c>
      <c r="C33980" s="60" t="s">
        <v>8419</v>
      </c>
      <c r="D33980" s="60" t="str">
        <f>HYPERLINK("https://rhld.insurance.arkansas.gov/NPILookup?Npi=1578913448","1578913448")</f>
        <v>1578913448</v>
      </c>
      <c r="E33980" s="60" t="s">
        <v>6740</v>
      </c>
      <c r="F33980" s="61"/>
      <c r="G33980" s="61"/>
      <c r="H33980" s="61"/>
    </row>
    <row r="33981" spans="2:8" x14ac:dyDescent="0.25">
      <c r="B33981" s="60" t="s">
        <v>8418</v>
      </c>
      <c r="C33981" s="60" t="s">
        <v>8419</v>
      </c>
      <c r="D33981" s="60" t="str">
        <f>HYPERLINK("https://rhld.insurance.arkansas.gov/NPILookup?Npi=1578970125","1578970125")</f>
        <v>1578970125</v>
      </c>
      <c r="E33981" s="60" t="s">
        <v>14183</v>
      </c>
      <c r="F33981" s="61"/>
      <c r="G33981" s="61"/>
      <c r="H33981" s="61"/>
    </row>
    <row r="33982" spans="2:8" x14ac:dyDescent="0.25">
      <c r="B33982" s="60" t="s">
        <v>8418</v>
      </c>
      <c r="C33982" s="60" t="s">
        <v>8419</v>
      </c>
      <c r="D33982" s="60" t="str">
        <f>HYPERLINK("https://rhld.insurance.arkansas.gov/NPILookup?Npi=1578978185","1578978185")</f>
        <v>1578978185</v>
      </c>
      <c r="E33982" s="60" t="s">
        <v>6983</v>
      </c>
      <c r="F33982" s="61"/>
      <c r="G33982" s="61"/>
      <c r="H33982" s="61"/>
    </row>
    <row r="33983" spans="2:8" x14ac:dyDescent="0.25">
      <c r="B33983" s="60" t="s">
        <v>8418</v>
      </c>
      <c r="C33983" s="60" t="s">
        <v>8419</v>
      </c>
      <c r="D33983" s="60" t="str">
        <f>HYPERLINK("https://rhld.insurance.arkansas.gov/NPILookup?Npi=1588051031","1588051031")</f>
        <v>1588051031</v>
      </c>
      <c r="E33983" s="60" t="s">
        <v>30723</v>
      </c>
      <c r="F33983" s="61"/>
      <c r="G33983" s="61"/>
      <c r="H33983" s="61"/>
    </row>
    <row r="33984" spans="2:8" x14ac:dyDescent="0.25">
      <c r="B33984" s="60" t="s">
        <v>8418</v>
      </c>
      <c r="C33984" s="60" t="s">
        <v>8419</v>
      </c>
      <c r="D33984" s="60" t="str">
        <f>HYPERLINK("https://rhld.insurance.arkansas.gov/NPILookup?Npi=1588096457","1588096457")</f>
        <v>1588096457</v>
      </c>
      <c r="E33984" s="60" t="s">
        <v>30724</v>
      </c>
      <c r="F33984" s="61"/>
      <c r="G33984" s="61"/>
      <c r="H33984" s="61"/>
    </row>
    <row r="33985" spans="2:8" x14ac:dyDescent="0.25">
      <c r="B33985" s="60" t="s">
        <v>8418</v>
      </c>
      <c r="C33985" s="60" t="s">
        <v>8419</v>
      </c>
      <c r="D33985" s="60" t="str">
        <f>HYPERLINK("https://rhld.insurance.arkansas.gov/NPILookup?Npi=1588204457","1588204457")</f>
        <v>1588204457</v>
      </c>
      <c r="E33985" s="60" t="s">
        <v>30725</v>
      </c>
      <c r="F33985" s="61"/>
      <c r="G33985" s="61"/>
      <c r="H33985" s="61"/>
    </row>
    <row r="33986" spans="2:8" x14ac:dyDescent="0.25">
      <c r="B33986" s="60" t="s">
        <v>8418</v>
      </c>
      <c r="C33986" s="60" t="s">
        <v>8419</v>
      </c>
      <c r="D33986" s="60" t="str">
        <f>HYPERLINK("https://rhld.insurance.arkansas.gov/NPILookup?Npi=1588255855","1588255855")</f>
        <v>1588255855</v>
      </c>
      <c r="E33986" s="60" t="s">
        <v>30726</v>
      </c>
      <c r="F33986" s="61"/>
      <c r="G33986" s="61"/>
      <c r="H33986" s="61"/>
    </row>
    <row r="33987" spans="2:8" x14ac:dyDescent="0.25">
      <c r="B33987" s="60" t="s">
        <v>8418</v>
      </c>
      <c r="C33987" s="60" t="s">
        <v>8419</v>
      </c>
      <c r="D33987" s="60" t="str">
        <f>HYPERLINK("https://rhld.insurance.arkansas.gov/NPILookup?Npi=1588283295","1588283295")</f>
        <v>1588283295</v>
      </c>
      <c r="E33987" s="60" t="s">
        <v>8687</v>
      </c>
      <c r="F33987" s="61"/>
      <c r="G33987" s="61"/>
      <c r="H33987" s="61"/>
    </row>
    <row r="33988" spans="2:8" x14ac:dyDescent="0.25">
      <c r="B33988" s="60" t="s">
        <v>8418</v>
      </c>
      <c r="C33988" s="60" t="s">
        <v>8419</v>
      </c>
      <c r="D33988" s="60" t="str">
        <f>HYPERLINK("https://rhld.insurance.arkansas.gov/NPILookup?Npi=1588347470","1588347470")</f>
        <v>1588347470</v>
      </c>
      <c r="E33988" s="60" t="s">
        <v>30727</v>
      </c>
      <c r="F33988" s="61"/>
      <c r="G33988" s="61"/>
      <c r="H33988" s="61"/>
    </row>
    <row r="33989" spans="2:8" x14ac:dyDescent="0.25">
      <c r="B33989" s="60" t="s">
        <v>8418</v>
      </c>
      <c r="C33989" s="60" t="s">
        <v>8419</v>
      </c>
      <c r="D33989" s="60" t="str">
        <f>HYPERLINK("https://rhld.insurance.arkansas.gov/NPILookup?Npi=1588433080","1588433080")</f>
        <v>1588433080</v>
      </c>
      <c r="E33989" s="60" t="s">
        <v>14184</v>
      </c>
      <c r="F33989" s="61"/>
      <c r="G33989" s="61"/>
      <c r="H33989" s="61"/>
    </row>
    <row r="33990" spans="2:8" x14ac:dyDescent="0.25">
      <c r="B33990" s="60" t="s">
        <v>8418</v>
      </c>
      <c r="C33990" s="60" t="s">
        <v>8419</v>
      </c>
      <c r="D33990" s="60" t="str">
        <f>HYPERLINK("https://rhld.insurance.arkansas.gov/NPILookup?Npi=1588497929","1588497929")</f>
        <v>1588497929</v>
      </c>
      <c r="E33990" s="60" t="s">
        <v>32539</v>
      </c>
      <c r="F33990" s="61"/>
      <c r="G33990" s="61"/>
      <c r="H33990" s="61"/>
    </row>
    <row r="33991" spans="2:8" x14ac:dyDescent="0.25">
      <c r="B33991" s="60" t="s">
        <v>8418</v>
      </c>
      <c r="C33991" s="60" t="s">
        <v>8419</v>
      </c>
      <c r="D33991" s="60" t="str">
        <f>HYPERLINK("https://rhld.insurance.arkansas.gov/NPILookup?Npi=1588602288","1588602288")</f>
        <v>1588602288</v>
      </c>
      <c r="E33991" s="60" t="s">
        <v>30728</v>
      </c>
      <c r="F33991" s="61"/>
      <c r="G33991" s="61"/>
      <c r="H33991" s="61"/>
    </row>
    <row r="33992" spans="2:8" x14ac:dyDescent="0.25">
      <c r="B33992" s="60" t="s">
        <v>8418</v>
      </c>
      <c r="C33992" s="60" t="s">
        <v>8419</v>
      </c>
      <c r="D33992" s="60" t="str">
        <f>HYPERLINK("https://rhld.insurance.arkansas.gov/NPILookup?Npi=1588778997","1588778997")</f>
        <v>1588778997</v>
      </c>
      <c r="E33992" s="60" t="s">
        <v>30729</v>
      </c>
      <c r="F33992" s="61"/>
      <c r="G33992" s="61"/>
      <c r="H33992" s="61"/>
    </row>
    <row r="33993" spans="2:8" x14ac:dyDescent="0.25">
      <c r="B33993" s="60" t="s">
        <v>8418</v>
      </c>
      <c r="C33993" s="60" t="s">
        <v>8419</v>
      </c>
      <c r="D33993" s="60" t="str">
        <f>HYPERLINK("https://rhld.insurance.arkansas.gov/NPILookup?Npi=1588812531","1588812531")</f>
        <v>1588812531</v>
      </c>
      <c r="E33993" s="60" t="s">
        <v>8688</v>
      </c>
      <c r="F33993" s="61"/>
      <c r="G33993" s="61"/>
      <c r="H33993" s="61"/>
    </row>
    <row r="33994" spans="2:8" x14ac:dyDescent="0.25">
      <c r="B33994" s="60" t="s">
        <v>8418</v>
      </c>
      <c r="C33994" s="60" t="s">
        <v>8419</v>
      </c>
      <c r="D33994" s="60" t="str">
        <f>HYPERLINK("https://rhld.insurance.arkansas.gov/NPILookup?Npi=1588820831","1588820831")</f>
        <v>1588820831</v>
      </c>
      <c r="E33994" s="60" t="s">
        <v>8689</v>
      </c>
      <c r="F33994" s="61"/>
      <c r="G33994" s="61"/>
      <c r="H33994" s="61"/>
    </row>
    <row r="33995" spans="2:8" x14ac:dyDescent="0.25">
      <c r="B33995" s="60" t="s">
        <v>8418</v>
      </c>
      <c r="C33995" s="60" t="s">
        <v>8419</v>
      </c>
      <c r="D33995" s="60" t="str">
        <f>HYPERLINK("https://rhld.insurance.arkansas.gov/NPILookup?Npi=1588905285","1588905285")</f>
        <v>1588905285</v>
      </c>
      <c r="E33995" s="60" t="s">
        <v>14185</v>
      </c>
      <c r="F33995" s="61"/>
      <c r="G33995" s="61"/>
      <c r="H33995" s="61"/>
    </row>
    <row r="33996" spans="2:8" x14ac:dyDescent="0.25">
      <c r="B33996" s="60" t="s">
        <v>8418</v>
      </c>
      <c r="C33996" s="60" t="s">
        <v>8419</v>
      </c>
      <c r="D33996" s="60" t="str">
        <f>HYPERLINK("https://rhld.insurance.arkansas.gov/NPILookup?Npi=1598026312","1598026312")</f>
        <v>1598026312</v>
      </c>
      <c r="E33996" s="60" t="s">
        <v>815</v>
      </c>
      <c r="F33996" s="61"/>
      <c r="G33996" s="61"/>
      <c r="H33996" s="61"/>
    </row>
    <row r="33997" spans="2:8" x14ac:dyDescent="0.25">
      <c r="B33997" s="60" t="s">
        <v>8418</v>
      </c>
      <c r="C33997" s="60" t="s">
        <v>8419</v>
      </c>
      <c r="D33997" s="60" t="str">
        <f>HYPERLINK("https://rhld.insurance.arkansas.gov/NPILookup?Npi=1598191983","1598191983")</f>
        <v>1598191983</v>
      </c>
      <c r="E33997" s="60" t="s">
        <v>8690</v>
      </c>
      <c r="F33997" s="61"/>
      <c r="G33997" s="61"/>
      <c r="H33997" s="61"/>
    </row>
    <row r="33998" spans="2:8" x14ac:dyDescent="0.25">
      <c r="B33998" s="60" t="s">
        <v>8418</v>
      </c>
      <c r="C33998" s="60" t="s">
        <v>8419</v>
      </c>
      <c r="D33998" s="60" t="str">
        <f>HYPERLINK("https://rhld.insurance.arkansas.gov/NPILookup?Npi=1598274631","1598274631")</f>
        <v>1598274631</v>
      </c>
      <c r="E33998" s="60" t="s">
        <v>30730</v>
      </c>
      <c r="F33998" s="61"/>
      <c r="G33998" s="61"/>
      <c r="H33998" s="61"/>
    </row>
    <row r="33999" spans="2:8" x14ac:dyDescent="0.25">
      <c r="B33999" s="60" t="s">
        <v>8418</v>
      </c>
      <c r="C33999" s="60" t="s">
        <v>8419</v>
      </c>
      <c r="D33999" s="60" t="str">
        <f>HYPERLINK("https://rhld.insurance.arkansas.gov/NPILookup?Npi=1598311292","1598311292")</f>
        <v>1598311292</v>
      </c>
      <c r="E33999" s="60" t="s">
        <v>30731</v>
      </c>
      <c r="F33999" s="61"/>
      <c r="G33999" s="61"/>
      <c r="H33999" s="61"/>
    </row>
    <row r="34000" spans="2:8" x14ac:dyDescent="0.25">
      <c r="B34000" s="60" t="s">
        <v>8418</v>
      </c>
      <c r="C34000" s="60" t="s">
        <v>8419</v>
      </c>
      <c r="D34000" s="60" t="str">
        <f>HYPERLINK("https://rhld.insurance.arkansas.gov/NPILookup?Npi=1598443889","1598443889")</f>
        <v>1598443889</v>
      </c>
      <c r="E34000" s="60" t="s">
        <v>30732</v>
      </c>
      <c r="F34000" s="61"/>
      <c r="G34000" s="61"/>
      <c r="H34000" s="61"/>
    </row>
    <row r="34001" spans="2:8" x14ac:dyDescent="0.25">
      <c r="B34001" s="60" t="s">
        <v>8418</v>
      </c>
      <c r="C34001" s="60" t="s">
        <v>8419</v>
      </c>
      <c r="D34001" s="60" t="str">
        <f>HYPERLINK("https://rhld.insurance.arkansas.gov/NPILookup?Npi=1598459406","1598459406")</f>
        <v>1598459406</v>
      </c>
      <c r="E34001" s="60" t="s">
        <v>6551</v>
      </c>
      <c r="F34001" s="61"/>
      <c r="G34001" s="61"/>
      <c r="H34001" s="61"/>
    </row>
    <row r="34002" spans="2:8" x14ac:dyDescent="0.25">
      <c r="B34002" s="60" t="s">
        <v>8418</v>
      </c>
      <c r="C34002" s="60" t="s">
        <v>8419</v>
      </c>
      <c r="D34002" s="60" t="str">
        <f>HYPERLINK("https://rhld.insurance.arkansas.gov/NPILookup?Npi=1598814097","1598814097")</f>
        <v>1598814097</v>
      </c>
      <c r="E34002" s="60" t="s">
        <v>14186</v>
      </c>
      <c r="F34002" s="61"/>
      <c r="G34002" s="61"/>
      <c r="H34002" s="61"/>
    </row>
    <row r="34003" spans="2:8" x14ac:dyDescent="0.25">
      <c r="B34003" s="60" t="s">
        <v>8418</v>
      </c>
      <c r="C34003" s="60" t="s">
        <v>8419</v>
      </c>
      <c r="D34003" s="60" t="str">
        <f>HYPERLINK("https://rhld.insurance.arkansas.gov/NPILookup?Npi=1598839706","1598839706")</f>
        <v>1598839706</v>
      </c>
      <c r="E34003" s="60" t="s">
        <v>30733</v>
      </c>
      <c r="F34003" s="61"/>
      <c r="G34003" s="61"/>
      <c r="H34003" s="61"/>
    </row>
    <row r="34004" spans="2:8" x14ac:dyDescent="0.25">
      <c r="B34004" s="60" t="s">
        <v>8418</v>
      </c>
      <c r="C34004" s="60" t="s">
        <v>8419</v>
      </c>
      <c r="D34004" s="60" t="str">
        <f>HYPERLINK("https://rhld.insurance.arkansas.gov/NPILookup?Npi=1598847147","1598847147")</f>
        <v>1598847147</v>
      </c>
      <c r="E34004" s="60" t="s">
        <v>8691</v>
      </c>
      <c r="F34004" s="61"/>
      <c r="G34004" s="61"/>
      <c r="H34004" s="61"/>
    </row>
    <row r="34005" spans="2:8" x14ac:dyDescent="0.25">
      <c r="B34005" s="60" t="s">
        <v>8418</v>
      </c>
      <c r="C34005" s="60" t="s">
        <v>8419</v>
      </c>
      <c r="D34005" s="60" t="str">
        <f>HYPERLINK("https://rhld.insurance.arkansas.gov/NPILookup?Npi=1598890964","1598890964")</f>
        <v>1598890964</v>
      </c>
      <c r="E34005" s="60" t="s">
        <v>14187</v>
      </c>
      <c r="F34005" s="61"/>
      <c r="G34005" s="61"/>
      <c r="H34005" s="61"/>
    </row>
    <row r="34006" spans="2:8" x14ac:dyDescent="0.25">
      <c r="B34006" s="60" t="s">
        <v>8418</v>
      </c>
      <c r="C34006" s="60" t="s">
        <v>8419</v>
      </c>
      <c r="D34006" s="60" t="str">
        <f>HYPERLINK("https://rhld.insurance.arkansas.gov/NPILookup?Npi=1598900391","1598900391")</f>
        <v>1598900391</v>
      </c>
      <c r="E34006" s="60" t="s">
        <v>30734</v>
      </c>
      <c r="F34006" s="61"/>
      <c r="G34006" s="61"/>
      <c r="H34006" s="61"/>
    </row>
    <row r="34007" spans="2:8" x14ac:dyDescent="0.25">
      <c r="B34007" s="60" t="s">
        <v>8418</v>
      </c>
      <c r="C34007" s="60" t="s">
        <v>8419</v>
      </c>
      <c r="D34007" s="60" t="str">
        <f>HYPERLINK("https://rhld.insurance.arkansas.gov/NPILookup?Npi=1598903668","1598903668")</f>
        <v>1598903668</v>
      </c>
      <c r="E34007" s="60" t="s">
        <v>14188</v>
      </c>
      <c r="F34007" s="61"/>
      <c r="G34007" s="61"/>
      <c r="H34007" s="61"/>
    </row>
    <row r="34008" spans="2:8" x14ac:dyDescent="0.25">
      <c r="B34008" s="60" t="s">
        <v>8418</v>
      </c>
      <c r="C34008" s="60" t="s">
        <v>8419</v>
      </c>
      <c r="D34008" s="60" t="str">
        <f>HYPERLINK("https://rhld.insurance.arkansas.gov/NPILookup?Npi=1598938102","1598938102")</f>
        <v>1598938102</v>
      </c>
      <c r="E34008" s="60" t="s">
        <v>30735</v>
      </c>
      <c r="F34008" s="61"/>
      <c r="G34008" s="61"/>
      <c r="H34008" s="61"/>
    </row>
    <row r="34009" spans="2:8" x14ac:dyDescent="0.25">
      <c r="B34009" s="60" t="s">
        <v>8418</v>
      </c>
      <c r="C34009" s="60" t="s">
        <v>8419</v>
      </c>
      <c r="D34009" s="60" t="str">
        <f>HYPERLINK("https://rhld.insurance.arkansas.gov/NPILookup?Npi=1598946519","1598946519")</f>
        <v>1598946519</v>
      </c>
      <c r="E34009" s="60" t="s">
        <v>14189</v>
      </c>
      <c r="F34009" s="61"/>
      <c r="G34009" s="61"/>
      <c r="H34009" s="61"/>
    </row>
    <row r="34010" spans="2:8" x14ac:dyDescent="0.25">
      <c r="B34010" s="60" t="s">
        <v>8418</v>
      </c>
      <c r="C34010" s="60" t="s">
        <v>8419</v>
      </c>
      <c r="D34010" s="60" t="str">
        <f>HYPERLINK("https://rhld.insurance.arkansas.gov/NPILookup?Npi=1609036946","1609036946")</f>
        <v>1609036946</v>
      </c>
      <c r="E34010" s="60" t="s">
        <v>8692</v>
      </c>
      <c r="F34010" s="61"/>
      <c r="G34010" s="61"/>
      <c r="H34010" s="61"/>
    </row>
    <row r="34011" spans="2:8" x14ac:dyDescent="0.25">
      <c r="B34011" s="60" t="s">
        <v>8418</v>
      </c>
      <c r="C34011" s="60" t="s">
        <v>8419</v>
      </c>
      <c r="D34011" s="60" t="str">
        <f>HYPERLINK("https://rhld.insurance.arkansas.gov/NPILookup?Npi=1609041300","1609041300")</f>
        <v>1609041300</v>
      </c>
      <c r="E34011" s="60" t="s">
        <v>14190</v>
      </c>
      <c r="F34011" s="61"/>
      <c r="G34011" s="61"/>
      <c r="H34011" s="61"/>
    </row>
    <row r="34012" spans="2:8" x14ac:dyDescent="0.25">
      <c r="B34012" s="60" t="s">
        <v>8418</v>
      </c>
      <c r="C34012" s="60" t="s">
        <v>8419</v>
      </c>
      <c r="D34012" s="60" t="str">
        <f>HYPERLINK("https://rhld.insurance.arkansas.gov/NPILookup?Npi=1609099720","1609099720")</f>
        <v>1609099720</v>
      </c>
      <c r="E34012" s="60" t="s">
        <v>30736</v>
      </c>
      <c r="F34012" s="61"/>
      <c r="G34012" s="61"/>
      <c r="H34012" s="61"/>
    </row>
    <row r="34013" spans="2:8" x14ac:dyDescent="0.25">
      <c r="B34013" s="60" t="s">
        <v>8418</v>
      </c>
      <c r="C34013" s="60" t="s">
        <v>8419</v>
      </c>
      <c r="D34013" s="60" t="str">
        <f>HYPERLINK("https://rhld.insurance.arkansas.gov/NPILookup?Npi=1609112101","1609112101")</f>
        <v>1609112101</v>
      </c>
      <c r="E34013" s="60" t="s">
        <v>30737</v>
      </c>
      <c r="F34013" s="61"/>
      <c r="G34013" s="61"/>
      <c r="H34013" s="61"/>
    </row>
    <row r="34014" spans="2:8" x14ac:dyDescent="0.25">
      <c r="B34014" s="60" t="s">
        <v>8418</v>
      </c>
      <c r="C34014" s="60" t="s">
        <v>8419</v>
      </c>
      <c r="D34014" s="60" t="str">
        <f>HYPERLINK("https://rhld.insurance.arkansas.gov/NPILookup?Npi=1609121375","1609121375")</f>
        <v>1609121375</v>
      </c>
      <c r="E34014" s="60" t="s">
        <v>30738</v>
      </c>
      <c r="F34014" s="61"/>
      <c r="G34014" s="61"/>
      <c r="H34014" s="61"/>
    </row>
    <row r="34015" spans="2:8" x14ac:dyDescent="0.25">
      <c r="B34015" s="60" t="s">
        <v>8418</v>
      </c>
      <c r="C34015" s="60" t="s">
        <v>8419</v>
      </c>
      <c r="D34015" s="60" t="str">
        <f>HYPERLINK("https://rhld.insurance.arkansas.gov/NPILookup?Npi=1609212752","1609212752")</f>
        <v>1609212752</v>
      </c>
      <c r="E34015" s="60" t="s">
        <v>14191</v>
      </c>
      <c r="F34015" s="61"/>
      <c r="G34015" s="61"/>
      <c r="H34015" s="61"/>
    </row>
    <row r="34016" spans="2:8" x14ac:dyDescent="0.25">
      <c r="B34016" s="60" t="s">
        <v>8418</v>
      </c>
      <c r="C34016" s="60" t="s">
        <v>8419</v>
      </c>
      <c r="D34016" s="60" t="str">
        <f>HYPERLINK("https://rhld.insurance.arkansas.gov/NPILookup?Npi=1609256338","1609256338")</f>
        <v>1609256338</v>
      </c>
      <c r="E34016" s="60" t="s">
        <v>30739</v>
      </c>
      <c r="F34016" s="61"/>
      <c r="G34016" s="61"/>
      <c r="H34016" s="61"/>
    </row>
    <row r="34017" spans="2:8" x14ac:dyDescent="0.25">
      <c r="B34017" s="60" t="s">
        <v>8418</v>
      </c>
      <c r="C34017" s="60" t="s">
        <v>8419</v>
      </c>
      <c r="D34017" s="60" t="str">
        <f>HYPERLINK("https://rhld.insurance.arkansas.gov/NPILookup?Npi=1609295864","1609295864")</f>
        <v>1609295864</v>
      </c>
      <c r="E34017" s="60" t="s">
        <v>30740</v>
      </c>
      <c r="F34017" s="61"/>
      <c r="G34017" s="61"/>
      <c r="H34017" s="61"/>
    </row>
    <row r="34018" spans="2:8" x14ac:dyDescent="0.25">
      <c r="B34018" s="60" t="s">
        <v>8418</v>
      </c>
      <c r="C34018" s="60" t="s">
        <v>8419</v>
      </c>
      <c r="D34018" s="60" t="str">
        <f>HYPERLINK("https://rhld.insurance.arkansas.gov/NPILookup?Npi=1609447200","1609447200")</f>
        <v>1609447200</v>
      </c>
      <c r="E34018" s="60" t="s">
        <v>30741</v>
      </c>
      <c r="F34018" s="61"/>
      <c r="G34018" s="61"/>
      <c r="H34018" s="61"/>
    </row>
    <row r="34019" spans="2:8" x14ac:dyDescent="0.25">
      <c r="B34019" s="60" t="s">
        <v>8418</v>
      </c>
      <c r="C34019" s="60" t="s">
        <v>8419</v>
      </c>
      <c r="D34019" s="60" t="str">
        <f>HYPERLINK("https://rhld.insurance.arkansas.gov/NPILookup?Npi=1609448372","1609448372")</f>
        <v>1609448372</v>
      </c>
      <c r="E34019" s="60" t="s">
        <v>30742</v>
      </c>
      <c r="F34019" s="61"/>
      <c r="G34019" s="61"/>
      <c r="H34019" s="61"/>
    </row>
    <row r="34020" spans="2:8" x14ac:dyDescent="0.25">
      <c r="B34020" s="60" t="s">
        <v>8418</v>
      </c>
      <c r="C34020" s="60" t="s">
        <v>8419</v>
      </c>
      <c r="D34020" s="60" t="str">
        <f>HYPERLINK("https://rhld.insurance.arkansas.gov/NPILookup?Npi=1609495241","1609495241")</f>
        <v>1609495241</v>
      </c>
      <c r="E34020" s="60" t="s">
        <v>14192</v>
      </c>
      <c r="F34020" s="61"/>
      <c r="G34020" s="61"/>
      <c r="H34020" s="61"/>
    </row>
    <row r="34021" spans="2:8" x14ac:dyDescent="0.25">
      <c r="B34021" s="60" t="s">
        <v>8418</v>
      </c>
      <c r="C34021" s="60" t="s">
        <v>8419</v>
      </c>
      <c r="D34021" s="60" t="str">
        <f>HYPERLINK("https://rhld.insurance.arkansas.gov/NPILookup?Npi=1609508753","1609508753")</f>
        <v>1609508753</v>
      </c>
      <c r="E34021" s="60" t="s">
        <v>30743</v>
      </c>
      <c r="F34021" s="61"/>
      <c r="G34021" s="61"/>
      <c r="H34021" s="61"/>
    </row>
    <row r="34022" spans="2:8" x14ac:dyDescent="0.25">
      <c r="B34022" s="60" t="s">
        <v>8418</v>
      </c>
      <c r="C34022" s="60" t="s">
        <v>8419</v>
      </c>
      <c r="D34022" s="60" t="str">
        <f>HYPERLINK("https://rhld.insurance.arkansas.gov/NPILookup?Npi=1609512029","1609512029")</f>
        <v>1609512029</v>
      </c>
      <c r="E34022" s="60" t="s">
        <v>30744</v>
      </c>
      <c r="F34022" s="61"/>
      <c r="G34022" s="61"/>
      <c r="H34022" s="61"/>
    </row>
    <row r="34023" spans="2:8" x14ac:dyDescent="0.25">
      <c r="B34023" s="60" t="s">
        <v>8418</v>
      </c>
      <c r="C34023" s="60" t="s">
        <v>8419</v>
      </c>
      <c r="D34023" s="60" t="str">
        <f>HYPERLINK("https://rhld.insurance.arkansas.gov/NPILookup?Npi=1609539782","1609539782")</f>
        <v>1609539782</v>
      </c>
      <c r="E34023" s="60" t="s">
        <v>8693</v>
      </c>
      <c r="F34023" s="61"/>
      <c r="G34023" s="61"/>
      <c r="H34023" s="61"/>
    </row>
    <row r="34024" spans="2:8" x14ac:dyDescent="0.25">
      <c r="B34024" s="60" t="s">
        <v>8418</v>
      </c>
      <c r="C34024" s="60" t="s">
        <v>8419</v>
      </c>
      <c r="D34024" s="60" t="str">
        <f>HYPERLINK("https://rhld.insurance.arkansas.gov/NPILookup?Npi=1609560556","1609560556")</f>
        <v>1609560556</v>
      </c>
      <c r="E34024" s="60" t="s">
        <v>30745</v>
      </c>
      <c r="F34024" s="61"/>
      <c r="G34024" s="61"/>
      <c r="H34024" s="61"/>
    </row>
    <row r="34025" spans="2:8" x14ac:dyDescent="0.25">
      <c r="B34025" s="60" t="s">
        <v>8418</v>
      </c>
      <c r="C34025" s="60" t="s">
        <v>8419</v>
      </c>
      <c r="D34025" s="60" t="str">
        <f>HYPERLINK("https://rhld.insurance.arkansas.gov/NPILookup?Npi=1609569896","1609569896")</f>
        <v>1609569896</v>
      </c>
      <c r="E34025" s="60" t="s">
        <v>8694</v>
      </c>
      <c r="F34025" s="61"/>
      <c r="G34025" s="61"/>
      <c r="H34025" s="61"/>
    </row>
    <row r="34026" spans="2:8" x14ac:dyDescent="0.25">
      <c r="B34026" s="60" t="s">
        <v>8418</v>
      </c>
      <c r="C34026" s="60" t="s">
        <v>8419</v>
      </c>
      <c r="D34026" s="60" t="str">
        <f>HYPERLINK("https://rhld.insurance.arkansas.gov/NPILookup?Npi=1609804202","1609804202")</f>
        <v>1609804202</v>
      </c>
      <c r="E34026" s="60" t="s">
        <v>8695</v>
      </c>
      <c r="F34026" s="61"/>
      <c r="G34026" s="61"/>
      <c r="H34026" s="61"/>
    </row>
    <row r="34027" spans="2:8" x14ac:dyDescent="0.25">
      <c r="B34027" s="60" t="s">
        <v>8418</v>
      </c>
      <c r="C34027" s="60" t="s">
        <v>8419</v>
      </c>
      <c r="D34027" s="60" t="str">
        <f>HYPERLINK("https://rhld.insurance.arkansas.gov/NPILookup?Npi=1609927508","1609927508")</f>
        <v>1609927508</v>
      </c>
      <c r="E34027" s="60" t="s">
        <v>30746</v>
      </c>
      <c r="F34027" s="61"/>
      <c r="G34027" s="61"/>
      <c r="H34027" s="61"/>
    </row>
    <row r="34028" spans="2:8" x14ac:dyDescent="0.25">
      <c r="B34028" s="60" t="s">
        <v>8418</v>
      </c>
      <c r="C34028" s="60" t="s">
        <v>8419</v>
      </c>
      <c r="D34028" s="60" t="str">
        <f>HYPERLINK("https://rhld.insurance.arkansas.gov/NPILookup?Npi=1609989458","1609989458")</f>
        <v>1609989458</v>
      </c>
      <c r="E34028" s="60" t="s">
        <v>30747</v>
      </c>
      <c r="F34028" s="61"/>
      <c r="G34028" s="61"/>
      <c r="H34028" s="61"/>
    </row>
    <row r="34029" spans="2:8" x14ac:dyDescent="0.25">
      <c r="B34029" s="60" t="s">
        <v>8418</v>
      </c>
      <c r="C34029" s="60" t="s">
        <v>8419</v>
      </c>
      <c r="D34029" s="60" t="str">
        <f>HYPERLINK("https://rhld.insurance.arkansas.gov/NPILookup?Npi=1609998491","1609998491")</f>
        <v>1609998491</v>
      </c>
      <c r="E34029" s="60" t="s">
        <v>30748</v>
      </c>
      <c r="F34029" s="61"/>
      <c r="G34029" s="61"/>
      <c r="H34029" s="61"/>
    </row>
    <row r="34030" spans="2:8" x14ac:dyDescent="0.25">
      <c r="B34030" s="60" t="s">
        <v>8418</v>
      </c>
      <c r="C34030" s="60" t="s">
        <v>8419</v>
      </c>
      <c r="D34030" s="60" t="str">
        <f>HYPERLINK("https://rhld.insurance.arkansas.gov/NPILookup?Npi=1619019973","1619019973")</f>
        <v>1619019973</v>
      </c>
      <c r="E34030" s="60" t="s">
        <v>30749</v>
      </c>
      <c r="F34030" s="61"/>
      <c r="G34030" s="61"/>
      <c r="H34030" s="61"/>
    </row>
    <row r="34031" spans="2:8" x14ac:dyDescent="0.25">
      <c r="B34031" s="60" t="s">
        <v>8418</v>
      </c>
      <c r="C34031" s="60" t="s">
        <v>8419</v>
      </c>
      <c r="D34031" s="60" t="str">
        <f>HYPERLINK("https://rhld.insurance.arkansas.gov/NPILookup?Npi=1619021706","1619021706")</f>
        <v>1619021706</v>
      </c>
      <c r="E34031" s="60" t="s">
        <v>14193</v>
      </c>
      <c r="F34031" s="61"/>
      <c r="G34031" s="61"/>
      <c r="H34031" s="61"/>
    </row>
    <row r="34032" spans="2:8" x14ac:dyDescent="0.25">
      <c r="B34032" s="60" t="s">
        <v>8418</v>
      </c>
      <c r="C34032" s="60" t="s">
        <v>8419</v>
      </c>
      <c r="D34032" s="60" t="str">
        <f>HYPERLINK("https://rhld.insurance.arkansas.gov/NPILookup?Npi=1619079480","1619079480")</f>
        <v>1619079480</v>
      </c>
      <c r="E34032" s="60" t="s">
        <v>8696</v>
      </c>
      <c r="F34032" s="61"/>
      <c r="G34032" s="61"/>
      <c r="H34032" s="61"/>
    </row>
    <row r="34033" spans="2:8" x14ac:dyDescent="0.25">
      <c r="B34033" s="60" t="s">
        <v>8418</v>
      </c>
      <c r="C34033" s="60" t="s">
        <v>8419</v>
      </c>
      <c r="D34033" s="60" t="str">
        <f>HYPERLINK("https://rhld.insurance.arkansas.gov/NPILookup?Npi=1619127594","1619127594")</f>
        <v>1619127594</v>
      </c>
      <c r="E34033" s="60" t="s">
        <v>30750</v>
      </c>
      <c r="F34033" s="61"/>
      <c r="G34033" s="61"/>
      <c r="H34033" s="61"/>
    </row>
    <row r="34034" spans="2:8" x14ac:dyDescent="0.25">
      <c r="B34034" s="60" t="s">
        <v>8418</v>
      </c>
      <c r="C34034" s="60" t="s">
        <v>8419</v>
      </c>
      <c r="D34034" s="60" t="str">
        <f>HYPERLINK("https://rhld.insurance.arkansas.gov/NPILookup?Npi=1619199759","1619199759")</f>
        <v>1619199759</v>
      </c>
      <c r="E34034" s="60" t="s">
        <v>14194</v>
      </c>
      <c r="F34034" s="61"/>
      <c r="G34034" s="61"/>
      <c r="H34034" s="61"/>
    </row>
    <row r="34035" spans="2:8" x14ac:dyDescent="0.25">
      <c r="B34035" s="60" t="s">
        <v>8418</v>
      </c>
      <c r="C34035" s="60" t="s">
        <v>8419</v>
      </c>
      <c r="D34035" s="60" t="str">
        <f>HYPERLINK("https://rhld.insurance.arkansas.gov/NPILookup?Npi=1619214392","1619214392")</f>
        <v>1619214392</v>
      </c>
      <c r="E34035" s="60" t="s">
        <v>13617</v>
      </c>
      <c r="F34035" s="61"/>
      <c r="G34035" s="61"/>
      <c r="H34035" s="61"/>
    </row>
    <row r="34036" spans="2:8" x14ac:dyDescent="0.25">
      <c r="B34036" s="60" t="s">
        <v>8418</v>
      </c>
      <c r="C34036" s="60" t="s">
        <v>8419</v>
      </c>
      <c r="D34036" s="60" t="str">
        <f>HYPERLINK("https://rhld.insurance.arkansas.gov/NPILookup?Npi=1619314341","1619314341")</f>
        <v>1619314341</v>
      </c>
      <c r="E34036" s="60" t="s">
        <v>30751</v>
      </c>
      <c r="F34036" s="61"/>
      <c r="G34036" s="61"/>
      <c r="H34036" s="61"/>
    </row>
    <row r="34037" spans="2:8" x14ac:dyDescent="0.25">
      <c r="B34037" s="60" t="s">
        <v>8418</v>
      </c>
      <c r="C34037" s="60" t="s">
        <v>8419</v>
      </c>
      <c r="D34037" s="60" t="str">
        <f>HYPERLINK("https://rhld.insurance.arkansas.gov/NPILookup?Npi=1619317708","1619317708")</f>
        <v>1619317708</v>
      </c>
      <c r="E34037" s="60" t="s">
        <v>30752</v>
      </c>
      <c r="F34037" s="61"/>
      <c r="G34037" s="61"/>
      <c r="H34037" s="61"/>
    </row>
    <row r="34038" spans="2:8" x14ac:dyDescent="0.25">
      <c r="B34038" s="60" t="s">
        <v>8418</v>
      </c>
      <c r="C34038" s="60" t="s">
        <v>8419</v>
      </c>
      <c r="D34038" s="60" t="str">
        <f>HYPERLINK("https://rhld.insurance.arkansas.gov/NPILookup?Npi=1619333184","1619333184")</f>
        <v>1619333184</v>
      </c>
      <c r="E34038" s="60" t="s">
        <v>30753</v>
      </c>
      <c r="F34038" s="61"/>
      <c r="G34038" s="61"/>
      <c r="H34038" s="61"/>
    </row>
    <row r="34039" spans="2:8" x14ac:dyDescent="0.25">
      <c r="B34039" s="60" t="s">
        <v>8418</v>
      </c>
      <c r="C34039" s="60" t="s">
        <v>8419</v>
      </c>
      <c r="D34039" s="60" t="str">
        <f>HYPERLINK("https://rhld.insurance.arkansas.gov/NPILookup?Npi=1619403565","1619403565")</f>
        <v>1619403565</v>
      </c>
      <c r="E34039" s="60" t="s">
        <v>30754</v>
      </c>
      <c r="F34039" s="61"/>
      <c r="G34039" s="61"/>
      <c r="H34039" s="61"/>
    </row>
    <row r="34040" spans="2:8" x14ac:dyDescent="0.25">
      <c r="B34040" s="60" t="s">
        <v>8418</v>
      </c>
      <c r="C34040" s="60" t="s">
        <v>8419</v>
      </c>
      <c r="D34040" s="60" t="str">
        <f>HYPERLINK("https://rhld.insurance.arkansas.gov/NPILookup?Npi=1619466414","1619466414")</f>
        <v>1619466414</v>
      </c>
      <c r="E34040" s="60" t="s">
        <v>8697</v>
      </c>
      <c r="F34040" s="61"/>
      <c r="G34040" s="61"/>
      <c r="H34040" s="61"/>
    </row>
    <row r="34041" spans="2:8" x14ac:dyDescent="0.25">
      <c r="B34041" s="60" t="s">
        <v>8418</v>
      </c>
      <c r="C34041" s="60" t="s">
        <v>8419</v>
      </c>
      <c r="D34041" s="60" t="str">
        <f>HYPERLINK("https://rhld.insurance.arkansas.gov/NPILookup?Npi=1619530730","1619530730")</f>
        <v>1619530730</v>
      </c>
      <c r="E34041" s="60" t="s">
        <v>14195</v>
      </c>
      <c r="F34041" s="61"/>
      <c r="G34041" s="61"/>
      <c r="H34041" s="61"/>
    </row>
    <row r="34042" spans="2:8" x14ac:dyDescent="0.25">
      <c r="B34042" s="60" t="s">
        <v>8418</v>
      </c>
      <c r="C34042" s="60" t="s">
        <v>8419</v>
      </c>
      <c r="D34042" s="60" t="str">
        <f>HYPERLINK("https://rhld.insurance.arkansas.gov/NPILookup?Npi=1619534252","1619534252")</f>
        <v>1619534252</v>
      </c>
      <c r="E34042" s="60" t="s">
        <v>30755</v>
      </c>
      <c r="F34042" s="61"/>
      <c r="G34042" s="61"/>
      <c r="H34042" s="61"/>
    </row>
    <row r="34043" spans="2:8" x14ac:dyDescent="0.25">
      <c r="B34043" s="60" t="s">
        <v>8418</v>
      </c>
      <c r="C34043" s="60" t="s">
        <v>8419</v>
      </c>
      <c r="D34043" s="60" t="str">
        <f>HYPERLINK("https://rhld.insurance.arkansas.gov/NPILookup?Npi=1619541943","1619541943")</f>
        <v>1619541943</v>
      </c>
      <c r="E34043" s="60" t="s">
        <v>30756</v>
      </c>
      <c r="F34043" s="61"/>
      <c r="G34043" s="61"/>
      <c r="H34043" s="61"/>
    </row>
    <row r="34044" spans="2:8" x14ac:dyDescent="0.25">
      <c r="B34044" s="60" t="s">
        <v>8418</v>
      </c>
      <c r="C34044" s="60" t="s">
        <v>8419</v>
      </c>
      <c r="D34044" s="60" t="str">
        <f>HYPERLINK("https://rhld.insurance.arkansas.gov/NPILookup?Npi=1619548351","1619548351")</f>
        <v>1619548351</v>
      </c>
      <c r="E34044" s="60" t="s">
        <v>6275</v>
      </c>
      <c r="F34044" s="61"/>
      <c r="G34044" s="61"/>
      <c r="H34044" s="61"/>
    </row>
    <row r="34045" spans="2:8" x14ac:dyDescent="0.25">
      <c r="B34045" s="60" t="s">
        <v>8418</v>
      </c>
      <c r="C34045" s="60" t="s">
        <v>8419</v>
      </c>
      <c r="D34045" s="60" t="str">
        <f>HYPERLINK("https://rhld.insurance.arkansas.gov/NPILookup?Npi=1619551041","1619551041")</f>
        <v>1619551041</v>
      </c>
      <c r="E34045" s="60" t="s">
        <v>8698</v>
      </c>
      <c r="F34045" s="61"/>
      <c r="G34045" s="61"/>
      <c r="H34045" s="61"/>
    </row>
    <row r="34046" spans="2:8" x14ac:dyDescent="0.25">
      <c r="B34046" s="60" t="s">
        <v>8418</v>
      </c>
      <c r="C34046" s="60" t="s">
        <v>8419</v>
      </c>
      <c r="D34046" s="60" t="str">
        <f>HYPERLINK("https://rhld.insurance.arkansas.gov/NPILookup?Npi=1619588910","1619588910")</f>
        <v>1619588910</v>
      </c>
      <c r="E34046" s="60" t="s">
        <v>30757</v>
      </c>
      <c r="F34046" s="61"/>
      <c r="G34046" s="61"/>
      <c r="H34046" s="61"/>
    </row>
    <row r="34047" spans="2:8" x14ac:dyDescent="0.25">
      <c r="B34047" s="60" t="s">
        <v>8418</v>
      </c>
      <c r="C34047" s="60" t="s">
        <v>8419</v>
      </c>
      <c r="D34047" s="60" t="str">
        <f>HYPERLINK("https://rhld.insurance.arkansas.gov/NPILookup?Npi=1619604485","1619604485")</f>
        <v>1619604485</v>
      </c>
      <c r="E34047" s="60" t="s">
        <v>6768</v>
      </c>
      <c r="F34047" s="61"/>
      <c r="G34047" s="61"/>
      <c r="H34047" s="61"/>
    </row>
    <row r="34048" spans="2:8" x14ac:dyDescent="0.25">
      <c r="B34048" s="60" t="s">
        <v>8418</v>
      </c>
      <c r="C34048" s="60" t="s">
        <v>8419</v>
      </c>
      <c r="D34048" s="60" t="str">
        <f>HYPERLINK("https://rhld.insurance.arkansas.gov/NPILookup?Npi=1619614666","1619614666")</f>
        <v>1619614666</v>
      </c>
      <c r="E34048" s="60" t="s">
        <v>14196</v>
      </c>
      <c r="F34048" s="61"/>
      <c r="G34048" s="61"/>
      <c r="H34048" s="61"/>
    </row>
    <row r="34049" spans="2:8" x14ac:dyDescent="0.25">
      <c r="B34049" s="60" t="s">
        <v>8418</v>
      </c>
      <c r="C34049" s="60" t="s">
        <v>8419</v>
      </c>
      <c r="D34049" s="60" t="str">
        <f>HYPERLINK("https://rhld.insurance.arkansas.gov/NPILookup?Npi=1619648763","1619648763")</f>
        <v>1619648763</v>
      </c>
      <c r="E34049" s="60" t="s">
        <v>32540</v>
      </c>
      <c r="F34049" s="61"/>
      <c r="G34049" s="61"/>
      <c r="H34049" s="61"/>
    </row>
    <row r="34050" spans="2:8" x14ac:dyDescent="0.25">
      <c r="B34050" s="60" t="s">
        <v>8418</v>
      </c>
      <c r="C34050" s="60" t="s">
        <v>8419</v>
      </c>
      <c r="D34050" s="60" t="str">
        <f>HYPERLINK("https://rhld.insurance.arkansas.gov/NPILookup?Npi=1619649902","1619649902")</f>
        <v>1619649902</v>
      </c>
      <c r="E34050" s="60" t="s">
        <v>30758</v>
      </c>
      <c r="F34050" s="61"/>
      <c r="G34050" s="61"/>
      <c r="H34050" s="61"/>
    </row>
    <row r="34051" spans="2:8" x14ac:dyDescent="0.25">
      <c r="B34051" s="60" t="s">
        <v>8418</v>
      </c>
      <c r="C34051" s="60" t="s">
        <v>8419</v>
      </c>
      <c r="D34051" s="60" t="str">
        <f>HYPERLINK("https://rhld.insurance.arkansas.gov/NPILookup?Npi=1619659844","1619659844")</f>
        <v>1619659844</v>
      </c>
      <c r="E34051" s="60" t="s">
        <v>8699</v>
      </c>
      <c r="F34051" s="61"/>
      <c r="G34051" s="61"/>
      <c r="H34051" s="61"/>
    </row>
    <row r="34052" spans="2:8" x14ac:dyDescent="0.25">
      <c r="B34052" s="60" t="s">
        <v>8418</v>
      </c>
      <c r="C34052" s="60" t="s">
        <v>8419</v>
      </c>
      <c r="D34052" s="60" t="str">
        <f>HYPERLINK("https://rhld.insurance.arkansas.gov/NPILookup?Npi=1619750379","1619750379")</f>
        <v>1619750379</v>
      </c>
      <c r="E34052" s="60" t="s">
        <v>30759</v>
      </c>
      <c r="F34052" s="61"/>
      <c r="G34052" s="61"/>
      <c r="H34052" s="61"/>
    </row>
    <row r="34053" spans="2:8" x14ac:dyDescent="0.25">
      <c r="B34053" s="60" t="s">
        <v>8418</v>
      </c>
      <c r="C34053" s="60" t="s">
        <v>8419</v>
      </c>
      <c r="D34053" s="60" t="str">
        <f>HYPERLINK("https://rhld.insurance.arkansas.gov/NPILookup?Npi=1619751799","1619751799")</f>
        <v>1619751799</v>
      </c>
      <c r="E34053" s="60" t="s">
        <v>32541</v>
      </c>
      <c r="F34053" s="61"/>
      <c r="G34053" s="61"/>
      <c r="H34053" s="61"/>
    </row>
    <row r="34054" spans="2:8" x14ac:dyDescent="0.25">
      <c r="B34054" s="60" t="s">
        <v>8418</v>
      </c>
      <c r="C34054" s="60" t="s">
        <v>8419</v>
      </c>
      <c r="D34054" s="60" t="str">
        <f>HYPERLINK("https://rhld.insurance.arkansas.gov/NPILookup?Npi=1629113063","1629113063")</f>
        <v>1629113063</v>
      </c>
      <c r="E34054" s="60" t="s">
        <v>8700</v>
      </c>
      <c r="F34054" s="61"/>
      <c r="G34054" s="61"/>
      <c r="H34054" s="61"/>
    </row>
    <row r="34055" spans="2:8" x14ac:dyDescent="0.25">
      <c r="B34055" s="60" t="s">
        <v>8418</v>
      </c>
      <c r="C34055" s="60" t="s">
        <v>8419</v>
      </c>
      <c r="D34055" s="60" t="str">
        <f>HYPERLINK("https://rhld.insurance.arkansas.gov/NPILookup?Npi=1629120332","1629120332")</f>
        <v>1629120332</v>
      </c>
      <c r="E34055" s="60" t="s">
        <v>30760</v>
      </c>
      <c r="F34055" s="61"/>
      <c r="G34055" s="61"/>
      <c r="H34055" s="61"/>
    </row>
    <row r="34056" spans="2:8" x14ac:dyDescent="0.25">
      <c r="B34056" s="60" t="s">
        <v>8418</v>
      </c>
      <c r="C34056" s="60" t="s">
        <v>8419</v>
      </c>
      <c r="D34056" s="60" t="str">
        <f>HYPERLINK("https://rhld.insurance.arkansas.gov/NPILookup?Npi=1629144241","1629144241")</f>
        <v>1629144241</v>
      </c>
      <c r="E34056" s="60" t="s">
        <v>8701</v>
      </c>
      <c r="F34056" s="61"/>
      <c r="G34056" s="61"/>
      <c r="H34056" s="61"/>
    </row>
    <row r="34057" spans="2:8" x14ac:dyDescent="0.25">
      <c r="B34057" s="60" t="s">
        <v>8418</v>
      </c>
      <c r="C34057" s="60" t="s">
        <v>8419</v>
      </c>
      <c r="D34057" s="60" t="str">
        <f>HYPERLINK("https://rhld.insurance.arkansas.gov/NPILookup?Npi=1629149935","1629149935")</f>
        <v>1629149935</v>
      </c>
      <c r="E34057" s="60" t="s">
        <v>8702</v>
      </c>
      <c r="F34057" s="61"/>
      <c r="G34057" s="61"/>
      <c r="H34057" s="61"/>
    </row>
    <row r="34058" spans="2:8" x14ac:dyDescent="0.25">
      <c r="B34058" s="60" t="s">
        <v>8418</v>
      </c>
      <c r="C34058" s="60" t="s">
        <v>8419</v>
      </c>
      <c r="D34058" s="60" t="str">
        <f>HYPERLINK("https://rhld.insurance.arkansas.gov/NPILookup?Npi=1629162144","1629162144")</f>
        <v>1629162144</v>
      </c>
      <c r="E34058" s="60" t="s">
        <v>30761</v>
      </c>
      <c r="F34058" s="61"/>
      <c r="G34058" s="61"/>
      <c r="H34058" s="61"/>
    </row>
    <row r="34059" spans="2:8" x14ac:dyDescent="0.25">
      <c r="B34059" s="60" t="s">
        <v>8418</v>
      </c>
      <c r="C34059" s="60" t="s">
        <v>8419</v>
      </c>
      <c r="D34059" s="60" t="str">
        <f>HYPERLINK("https://rhld.insurance.arkansas.gov/NPILookup?Npi=1629276001","1629276001")</f>
        <v>1629276001</v>
      </c>
      <c r="E34059" s="60" t="s">
        <v>30762</v>
      </c>
      <c r="F34059" s="61"/>
      <c r="G34059" s="61"/>
      <c r="H34059" s="61"/>
    </row>
    <row r="34060" spans="2:8" x14ac:dyDescent="0.25">
      <c r="B34060" s="60" t="s">
        <v>8418</v>
      </c>
      <c r="C34060" s="60" t="s">
        <v>8419</v>
      </c>
      <c r="D34060" s="60" t="str">
        <f>HYPERLINK("https://rhld.insurance.arkansas.gov/NPILookup?Npi=1629283478","1629283478")</f>
        <v>1629283478</v>
      </c>
      <c r="E34060" s="60" t="s">
        <v>30763</v>
      </c>
      <c r="F34060" s="61"/>
      <c r="G34060" s="61"/>
      <c r="H34060" s="61"/>
    </row>
    <row r="34061" spans="2:8" x14ac:dyDescent="0.25">
      <c r="B34061" s="60" t="s">
        <v>8418</v>
      </c>
      <c r="C34061" s="60" t="s">
        <v>8419</v>
      </c>
      <c r="D34061" s="60" t="str">
        <f>HYPERLINK("https://rhld.insurance.arkansas.gov/NPILookup?Npi=1629322870","1629322870")</f>
        <v>1629322870</v>
      </c>
      <c r="E34061" s="60" t="s">
        <v>14197</v>
      </c>
      <c r="F34061" s="61"/>
      <c r="G34061" s="61"/>
      <c r="H34061" s="61"/>
    </row>
    <row r="34062" spans="2:8" x14ac:dyDescent="0.25">
      <c r="B34062" s="60" t="s">
        <v>8418</v>
      </c>
      <c r="C34062" s="60" t="s">
        <v>8419</v>
      </c>
      <c r="D34062" s="60" t="str">
        <f>HYPERLINK("https://rhld.insurance.arkansas.gov/NPILookup?Npi=1629323597","1629323597")</f>
        <v>1629323597</v>
      </c>
      <c r="E34062" s="60" t="s">
        <v>8703</v>
      </c>
      <c r="F34062" s="61"/>
      <c r="G34062" s="61"/>
      <c r="H34062" s="61"/>
    </row>
    <row r="34063" spans="2:8" x14ac:dyDescent="0.25">
      <c r="B34063" s="60" t="s">
        <v>8418</v>
      </c>
      <c r="C34063" s="60" t="s">
        <v>8419</v>
      </c>
      <c r="D34063" s="60" t="str">
        <f>HYPERLINK("https://rhld.insurance.arkansas.gov/NPILookup?Npi=1629359054","1629359054")</f>
        <v>1629359054</v>
      </c>
      <c r="E34063" s="60" t="s">
        <v>30764</v>
      </c>
      <c r="F34063" s="61"/>
      <c r="G34063" s="61"/>
      <c r="H34063" s="61"/>
    </row>
    <row r="34064" spans="2:8" x14ac:dyDescent="0.25">
      <c r="B34064" s="60" t="s">
        <v>8418</v>
      </c>
      <c r="C34064" s="60" t="s">
        <v>8419</v>
      </c>
      <c r="D34064" s="60" t="str">
        <f>HYPERLINK("https://rhld.insurance.arkansas.gov/NPILookup?Npi=1629371752","1629371752")</f>
        <v>1629371752</v>
      </c>
      <c r="E34064" s="60" t="s">
        <v>30765</v>
      </c>
      <c r="F34064" s="61"/>
      <c r="G34064" s="61"/>
      <c r="H34064" s="61"/>
    </row>
    <row r="34065" spans="2:8" x14ac:dyDescent="0.25">
      <c r="B34065" s="60" t="s">
        <v>8418</v>
      </c>
      <c r="C34065" s="60" t="s">
        <v>8419</v>
      </c>
      <c r="D34065" s="60" t="str">
        <f>HYPERLINK("https://rhld.insurance.arkansas.gov/NPILookup?Npi=1629384318","1629384318")</f>
        <v>1629384318</v>
      </c>
      <c r="E34065" s="60" t="s">
        <v>30766</v>
      </c>
      <c r="F34065" s="61"/>
      <c r="G34065" s="61"/>
      <c r="H34065" s="61"/>
    </row>
    <row r="34066" spans="2:8" x14ac:dyDescent="0.25">
      <c r="B34066" s="60" t="s">
        <v>8418</v>
      </c>
      <c r="C34066" s="60" t="s">
        <v>8419</v>
      </c>
      <c r="D34066" s="60" t="str">
        <f>HYPERLINK("https://rhld.insurance.arkansas.gov/NPILookup?Npi=1629396361","1629396361")</f>
        <v>1629396361</v>
      </c>
      <c r="E34066" s="60" t="s">
        <v>5235</v>
      </c>
      <c r="F34066" s="61"/>
      <c r="G34066" s="61"/>
      <c r="H34066" s="61"/>
    </row>
    <row r="34067" spans="2:8" x14ac:dyDescent="0.25">
      <c r="B34067" s="60" t="s">
        <v>8418</v>
      </c>
      <c r="C34067" s="60" t="s">
        <v>8419</v>
      </c>
      <c r="D34067" s="60" t="str">
        <f>HYPERLINK("https://rhld.insurance.arkansas.gov/NPILookup?Npi=1629517446","1629517446")</f>
        <v>1629517446</v>
      </c>
      <c r="E34067" s="60" t="s">
        <v>8704</v>
      </c>
      <c r="F34067" s="61"/>
      <c r="G34067" s="61"/>
      <c r="H34067" s="61"/>
    </row>
    <row r="34068" spans="2:8" x14ac:dyDescent="0.25">
      <c r="B34068" s="60" t="s">
        <v>8418</v>
      </c>
      <c r="C34068" s="60" t="s">
        <v>8419</v>
      </c>
      <c r="D34068" s="60" t="str">
        <f>HYPERLINK("https://rhld.insurance.arkansas.gov/NPILookup?Npi=1629522198","1629522198")</f>
        <v>1629522198</v>
      </c>
      <c r="E34068" s="60" t="s">
        <v>30767</v>
      </c>
      <c r="F34068" s="61"/>
      <c r="G34068" s="61"/>
      <c r="H34068" s="61"/>
    </row>
    <row r="34069" spans="2:8" x14ac:dyDescent="0.25">
      <c r="B34069" s="60" t="s">
        <v>8418</v>
      </c>
      <c r="C34069" s="60" t="s">
        <v>8419</v>
      </c>
      <c r="D34069" s="60" t="str">
        <f>HYPERLINK("https://rhld.insurance.arkansas.gov/NPILookup?Npi=1629553904","1629553904")</f>
        <v>1629553904</v>
      </c>
      <c r="E34069" s="60" t="s">
        <v>30768</v>
      </c>
      <c r="F34069" s="61"/>
      <c r="G34069" s="61"/>
      <c r="H34069" s="61"/>
    </row>
    <row r="34070" spans="2:8" x14ac:dyDescent="0.25">
      <c r="B34070" s="60" t="s">
        <v>8418</v>
      </c>
      <c r="C34070" s="60" t="s">
        <v>8419</v>
      </c>
      <c r="D34070" s="60" t="str">
        <f>HYPERLINK("https://rhld.insurance.arkansas.gov/NPILookup?Npi=1629587365","1629587365")</f>
        <v>1629587365</v>
      </c>
      <c r="E34070" s="60" t="s">
        <v>8705</v>
      </c>
      <c r="F34070" s="61"/>
      <c r="G34070" s="61"/>
      <c r="H34070" s="61"/>
    </row>
    <row r="34071" spans="2:8" x14ac:dyDescent="0.25">
      <c r="B34071" s="60" t="s">
        <v>8418</v>
      </c>
      <c r="C34071" s="60" t="s">
        <v>8419</v>
      </c>
      <c r="D34071" s="60" t="str">
        <f>HYPERLINK("https://rhld.insurance.arkansas.gov/NPILookup?Npi=1629652029","1629652029")</f>
        <v>1629652029</v>
      </c>
      <c r="E34071" s="60" t="s">
        <v>14198</v>
      </c>
      <c r="F34071" s="61"/>
      <c r="G34071" s="61"/>
      <c r="H34071" s="61"/>
    </row>
    <row r="34072" spans="2:8" x14ac:dyDescent="0.25">
      <c r="B34072" s="60" t="s">
        <v>8418</v>
      </c>
      <c r="C34072" s="60" t="s">
        <v>8419</v>
      </c>
      <c r="D34072" s="60" t="str">
        <f>HYPERLINK("https://rhld.insurance.arkansas.gov/NPILookup?Npi=1629755897","1629755897")</f>
        <v>1629755897</v>
      </c>
      <c r="E34072" s="60" t="s">
        <v>30769</v>
      </c>
      <c r="F34072" s="61"/>
      <c r="G34072" s="61"/>
      <c r="H34072" s="61"/>
    </row>
    <row r="34073" spans="2:8" x14ac:dyDescent="0.25">
      <c r="B34073" s="60" t="s">
        <v>8418</v>
      </c>
      <c r="C34073" s="60" t="s">
        <v>8419</v>
      </c>
      <c r="D34073" s="60" t="str">
        <f>HYPERLINK("https://rhld.insurance.arkansas.gov/NPILookup?Npi=1629760335","1629760335")</f>
        <v>1629760335</v>
      </c>
      <c r="E34073" s="60" t="s">
        <v>14199</v>
      </c>
      <c r="F34073" s="61"/>
      <c r="G34073" s="61"/>
      <c r="H34073" s="61"/>
    </row>
    <row r="34074" spans="2:8" x14ac:dyDescent="0.25">
      <c r="B34074" s="60" t="s">
        <v>8418</v>
      </c>
      <c r="C34074" s="60" t="s">
        <v>8419</v>
      </c>
      <c r="D34074" s="60" t="str">
        <f>HYPERLINK("https://rhld.insurance.arkansas.gov/NPILookup?Npi=1629832423","1629832423")</f>
        <v>1629832423</v>
      </c>
      <c r="E34074" s="60" t="s">
        <v>30770</v>
      </c>
      <c r="F34074" s="61"/>
      <c r="G34074" s="61"/>
      <c r="H34074" s="61"/>
    </row>
    <row r="34075" spans="2:8" x14ac:dyDescent="0.25">
      <c r="B34075" s="60" t="s">
        <v>8418</v>
      </c>
      <c r="C34075" s="60" t="s">
        <v>8419</v>
      </c>
      <c r="D34075" s="60" t="str">
        <f>HYPERLINK("https://rhld.insurance.arkansas.gov/NPILookup?Npi=1639226376","1639226376")</f>
        <v>1639226376</v>
      </c>
      <c r="E34075" s="60" t="s">
        <v>30771</v>
      </c>
      <c r="F34075" s="61"/>
      <c r="G34075" s="61"/>
      <c r="H34075" s="61"/>
    </row>
    <row r="34076" spans="2:8" x14ac:dyDescent="0.25">
      <c r="B34076" s="60" t="s">
        <v>8418</v>
      </c>
      <c r="C34076" s="60" t="s">
        <v>8419</v>
      </c>
      <c r="D34076" s="60" t="str">
        <f>HYPERLINK("https://rhld.insurance.arkansas.gov/NPILookup?Npi=1639429152","1639429152")</f>
        <v>1639429152</v>
      </c>
      <c r="E34076" s="60" t="s">
        <v>8706</v>
      </c>
      <c r="F34076" s="61"/>
      <c r="G34076" s="61"/>
      <c r="H34076" s="61"/>
    </row>
    <row r="34077" spans="2:8" x14ac:dyDescent="0.25">
      <c r="B34077" s="60" t="s">
        <v>8418</v>
      </c>
      <c r="C34077" s="60" t="s">
        <v>8419</v>
      </c>
      <c r="D34077" s="60" t="str">
        <f>HYPERLINK("https://rhld.insurance.arkansas.gov/NPILookup?Npi=1639430002","1639430002")</f>
        <v>1639430002</v>
      </c>
      <c r="E34077" s="60" t="s">
        <v>11956</v>
      </c>
      <c r="F34077" s="61"/>
      <c r="G34077" s="61"/>
      <c r="H34077" s="61"/>
    </row>
    <row r="34078" spans="2:8" x14ac:dyDescent="0.25">
      <c r="B34078" s="60" t="s">
        <v>8418</v>
      </c>
      <c r="C34078" s="60" t="s">
        <v>8419</v>
      </c>
      <c r="D34078" s="60" t="str">
        <f>HYPERLINK("https://rhld.insurance.arkansas.gov/NPILookup?Npi=1639431828","1639431828")</f>
        <v>1639431828</v>
      </c>
      <c r="E34078" s="60" t="s">
        <v>30772</v>
      </c>
      <c r="F34078" s="61"/>
      <c r="G34078" s="61"/>
      <c r="H34078" s="61"/>
    </row>
    <row r="34079" spans="2:8" x14ac:dyDescent="0.25">
      <c r="B34079" s="60" t="s">
        <v>8418</v>
      </c>
      <c r="C34079" s="60" t="s">
        <v>8419</v>
      </c>
      <c r="D34079" s="60" t="str">
        <f>HYPERLINK("https://rhld.insurance.arkansas.gov/NPILookup?Npi=1639449747","1639449747")</f>
        <v>1639449747</v>
      </c>
      <c r="E34079" s="60" t="s">
        <v>8707</v>
      </c>
      <c r="F34079" s="61"/>
      <c r="G34079" s="61"/>
      <c r="H34079" s="61"/>
    </row>
    <row r="34080" spans="2:8" x14ac:dyDescent="0.25">
      <c r="B34080" s="60" t="s">
        <v>8418</v>
      </c>
      <c r="C34080" s="60" t="s">
        <v>8419</v>
      </c>
      <c r="D34080" s="60" t="str">
        <f>HYPERLINK("https://rhld.insurance.arkansas.gov/NPILookup?Npi=1639463037","1639463037")</f>
        <v>1639463037</v>
      </c>
      <c r="E34080" s="60" t="s">
        <v>30773</v>
      </c>
      <c r="F34080" s="61"/>
      <c r="G34080" s="61"/>
      <c r="H34080" s="61"/>
    </row>
    <row r="34081" spans="2:8" x14ac:dyDescent="0.25">
      <c r="B34081" s="60" t="s">
        <v>8418</v>
      </c>
      <c r="C34081" s="60" t="s">
        <v>8419</v>
      </c>
      <c r="D34081" s="60" t="str">
        <f>HYPERLINK("https://rhld.insurance.arkansas.gov/NPILookup?Npi=1639467145","1639467145")</f>
        <v>1639467145</v>
      </c>
      <c r="E34081" s="60" t="s">
        <v>30774</v>
      </c>
      <c r="F34081" s="61"/>
      <c r="G34081" s="61"/>
      <c r="H34081" s="61"/>
    </row>
    <row r="34082" spans="2:8" x14ac:dyDescent="0.25">
      <c r="B34082" s="60" t="s">
        <v>8418</v>
      </c>
      <c r="C34082" s="60" t="s">
        <v>8419</v>
      </c>
      <c r="D34082" s="60" t="str">
        <f>HYPERLINK("https://rhld.insurance.arkansas.gov/NPILookup?Npi=1639474430","1639474430")</f>
        <v>1639474430</v>
      </c>
      <c r="E34082" s="60" t="s">
        <v>30775</v>
      </c>
      <c r="F34082" s="61"/>
      <c r="G34082" s="61"/>
      <c r="H34082" s="61"/>
    </row>
    <row r="34083" spans="2:8" x14ac:dyDescent="0.25">
      <c r="B34083" s="60" t="s">
        <v>8418</v>
      </c>
      <c r="C34083" s="60" t="s">
        <v>8419</v>
      </c>
      <c r="D34083" s="60" t="str">
        <f>HYPERLINK("https://rhld.insurance.arkansas.gov/NPILookup?Npi=1639485139","1639485139")</f>
        <v>1639485139</v>
      </c>
      <c r="E34083" s="60" t="s">
        <v>8708</v>
      </c>
      <c r="F34083" s="61"/>
      <c r="G34083" s="61"/>
      <c r="H34083" s="61"/>
    </row>
    <row r="34084" spans="2:8" x14ac:dyDescent="0.25">
      <c r="B34084" s="60" t="s">
        <v>8418</v>
      </c>
      <c r="C34084" s="60" t="s">
        <v>8419</v>
      </c>
      <c r="D34084" s="60" t="str">
        <f>HYPERLINK("https://rhld.insurance.arkansas.gov/NPILookup?Npi=1639502917","1639502917")</f>
        <v>1639502917</v>
      </c>
      <c r="E34084" s="60" t="s">
        <v>30776</v>
      </c>
      <c r="F34084" s="61"/>
      <c r="G34084" s="61"/>
      <c r="H34084" s="61"/>
    </row>
    <row r="34085" spans="2:8" x14ac:dyDescent="0.25">
      <c r="B34085" s="60" t="s">
        <v>8418</v>
      </c>
      <c r="C34085" s="60" t="s">
        <v>8419</v>
      </c>
      <c r="D34085" s="60" t="str">
        <f>HYPERLINK("https://rhld.insurance.arkansas.gov/NPILookup?Npi=1639507072","1639507072")</f>
        <v>1639507072</v>
      </c>
      <c r="E34085" s="60" t="s">
        <v>8709</v>
      </c>
      <c r="F34085" s="61"/>
      <c r="G34085" s="61"/>
      <c r="H34085" s="61"/>
    </row>
    <row r="34086" spans="2:8" x14ac:dyDescent="0.25">
      <c r="B34086" s="60" t="s">
        <v>8418</v>
      </c>
      <c r="C34086" s="60" t="s">
        <v>8419</v>
      </c>
      <c r="D34086" s="60" t="str">
        <f>HYPERLINK("https://rhld.insurance.arkansas.gov/NPILookup?Npi=1639559370","1639559370")</f>
        <v>1639559370</v>
      </c>
      <c r="E34086" s="60" t="s">
        <v>30777</v>
      </c>
      <c r="F34086" s="61"/>
      <c r="G34086" s="61"/>
      <c r="H34086" s="61"/>
    </row>
    <row r="34087" spans="2:8" x14ac:dyDescent="0.25">
      <c r="B34087" s="60" t="s">
        <v>8418</v>
      </c>
      <c r="C34087" s="60" t="s">
        <v>8419</v>
      </c>
      <c r="D34087" s="60" t="str">
        <f>HYPERLINK("https://rhld.insurance.arkansas.gov/NPILookup?Npi=1639607435","1639607435")</f>
        <v>1639607435</v>
      </c>
      <c r="E34087" s="60" t="s">
        <v>30778</v>
      </c>
      <c r="F34087" s="61"/>
      <c r="G34087" s="61"/>
      <c r="H34087" s="61"/>
    </row>
    <row r="34088" spans="2:8" x14ac:dyDescent="0.25">
      <c r="B34088" s="60" t="s">
        <v>8418</v>
      </c>
      <c r="C34088" s="60" t="s">
        <v>8419</v>
      </c>
      <c r="D34088" s="60" t="str">
        <f>HYPERLINK("https://rhld.insurance.arkansas.gov/NPILookup?Npi=1639624976","1639624976")</f>
        <v>1639624976</v>
      </c>
      <c r="E34088" s="60" t="s">
        <v>30779</v>
      </c>
      <c r="F34088" s="61"/>
      <c r="G34088" s="61"/>
      <c r="H34088" s="61"/>
    </row>
    <row r="34089" spans="2:8" x14ac:dyDescent="0.25">
      <c r="B34089" s="60" t="s">
        <v>8418</v>
      </c>
      <c r="C34089" s="60" t="s">
        <v>8419</v>
      </c>
      <c r="D34089" s="60" t="str">
        <f>HYPERLINK("https://rhld.insurance.arkansas.gov/NPILookup?Npi=1639661267","1639661267")</f>
        <v>1639661267</v>
      </c>
      <c r="E34089" s="60" t="s">
        <v>30780</v>
      </c>
      <c r="F34089" s="61"/>
      <c r="G34089" s="61"/>
      <c r="H34089" s="61"/>
    </row>
    <row r="34090" spans="2:8" x14ac:dyDescent="0.25">
      <c r="B34090" s="60" t="s">
        <v>8418</v>
      </c>
      <c r="C34090" s="60" t="s">
        <v>8419</v>
      </c>
      <c r="D34090" s="60" t="str">
        <f>HYPERLINK("https://rhld.insurance.arkansas.gov/NPILookup?Npi=1639722903","1639722903")</f>
        <v>1639722903</v>
      </c>
      <c r="E34090" s="60" t="s">
        <v>30781</v>
      </c>
      <c r="F34090" s="61"/>
      <c r="G34090" s="61"/>
      <c r="H34090" s="61"/>
    </row>
    <row r="34091" spans="2:8" x14ac:dyDescent="0.25">
      <c r="B34091" s="60" t="s">
        <v>8418</v>
      </c>
      <c r="C34091" s="60" t="s">
        <v>8419</v>
      </c>
      <c r="D34091" s="60" t="str">
        <f>HYPERLINK("https://rhld.insurance.arkansas.gov/NPILookup?Npi=1639730518","1639730518")</f>
        <v>1639730518</v>
      </c>
      <c r="E34091" s="60" t="s">
        <v>30782</v>
      </c>
      <c r="F34091" s="61"/>
      <c r="G34091" s="61"/>
      <c r="H34091" s="61"/>
    </row>
    <row r="34092" spans="2:8" x14ac:dyDescent="0.25">
      <c r="B34092" s="60" t="s">
        <v>8418</v>
      </c>
      <c r="C34092" s="60" t="s">
        <v>8419</v>
      </c>
      <c r="D34092" s="60" t="str">
        <f>HYPERLINK("https://rhld.insurance.arkansas.gov/NPILookup?Npi=1639768864","1639768864")</f>
        <v>1639768864</v>
      </c>
      <c r="E34092" s="60" t="s">
        <v>30783</v>
      </c>
      <c r="F34092" s="61"/>
      <c r="G34092" s="61"/>
      <c r="H34092" s="61"/>
    </row>
    <row r="34093" spans="2:8" x14ac:dyDescent="0.25">
      <c r="B34093" s="60" t="s">
        <v>8418</v>
      </c>
      <c r="C34093" s="60" t="s">
        <v>8419</v>
      </c>
      <c r="D34093" s="60" t="str">
        <f>HYPERLINK("https://rhld.insurance.arkansas.gov/NPILookup?Npi=1639794662","1639794662")</f>
        <v>1639794662</v>
      </c>
      <c r="E34093" s="60" t="s">
        <v>30784</v>
      </c>
      <c r="F34093" s="61"/>
      <c r="G34093" s="61"/>
      <c r="H34093" s="61"/>
    </row>
    <row r="34094" spans="2:8" x14ac:dyDescent="0.25">
      <c r="B34094" s="60" t="s">
        <v>8418</v>
      </c>
      <c r="C34094" s="60" t="s">
        <v>8419</v>
      </c>
      <c r="D34094" s="60" t="str">
        <f>HYPERLINK("https://rhld.insurance.arkansas.gov/NPILookup?Npi=1639817190","1639817190")</f>
        <v>1639817190</v>
      </c>
      <c r="E34094" s="60" t="s">
        <v>3950</v>
      </c>
      <c r="F34094" s="61"/>
      <c r="G34094" s="61"/>
      <c r="H34094" s="61"/>
    </row>
    <row r="34095" spans="2:8" x14ac:dyDescent="0.25">
      <c r="B34095" s="60" t="s">
        <v>8418</v>
      </c>
      <c r="C34095" s="60" t="s">
        <v>8419</v>
      </c>
      <c r="D34095" s="60" t="str">
        <f>HYPERLINK("https://rhld.insurance.arkansas.gov/NPILookup?Npi=1639846314","1639846314")</f>
        <v>1639846314</v>
      </c>
      <c r="E34095" s="60" t="s">
        <v>30785</v>
      </c>
      <c r="F34095" s="61"/>
      <c r="G34095" s="61"/>
      <c r="H34095" s="61"/>
    </row>
    <row r="34096" spans="2:8" x14ac:dyDescent="0.25">
      <c r="B34096" s="60" t="s">
        <v>8418</v>
      </c>
      <c r="C34096" s="60" t="s">
        <v>8419</v>
      </c>
      <c r="D34096" s="60" t="str">
        <f>HYPERLINK("https://rhld.insurance.arkansas.gov/NPILookup?Npi=1639954498","1639954498")</f>
        <v>1639954498</v>
      </c>
      <c r="E34096" s="60" t="s">
        <v>30786</v>
      </c>
      <c r="F34096" s="61"/>
      <c r="G34096" s="61"/>
      <c r="H34096" s="61"/>
    </row>
    <row r="34097" spans="2:8" x14ac:dyDescent="0.25">
      <c r="B34097" s="60" t="s">
        <v>8418</v>
      </c>
      <c r="C34097" s="60" t="s">
        <v>8419</v>
      </c>
      <c r="D34097" s="60" t="str">
        <f>HYPERLINK("https://rhld.insurance.arkansas.gov/NPILookup?Npi=1649081399","1649081399")</f>
        <v>1649081399</v>
      </c>
      <c r="E34097" s="60" t="s">
        <v>32542</v>
      </c>
      <c r="F34097" s="61"/>
      <c r="G34097" s="61"/>
      <c r="H34097" s="61"/>
    </row>
    <row r="34098" spans="2:8" x14ac:dyDescent="0.25">
      <c r="B34098" s="60" t="s">
        <v>8418</v>
      </c>
      <c r="C34098" s="60" t="s">
        <v>8419</v>
      </c>
      <c r="D34098" s="60" t="str">
        <f>HYPERLINK("https://rhld.insurance.arkansas.gov/NPILookup?Npi=1649302431","1649302431")</f>
        <v>1649302431</v>
      </c>
      <c r="E34098" s="60" t="s">
        <v>30787</v>
      </c>
      <c r="F34098" s="61"/>
      <c r="G34098" s="61"/>
      <c r="H34098" s="61"/>
    </row>
    <row r="34099" spans="2:8" x14ac:dyDescent="0.25">
      <c r="B34099" s="60" t="s">
        <v>8418</v>
      </c>
      <c r="C34099" s="60" t="s">
        <v>8419</v>
      </c>
      <c r="D34099" s="60" t="str">
        <f>HYPERLINK("https://rhld.insurance.arkansas.gov/NPILookup?Npi=1649390188","1649390188")</f>
        <v>1649390188</v>
      </c>
      <c r="E34099" s="60" t="s">
        <v>8710</v>
      </c>
      <c r="F34099" s="61"/>
      <c r="G34099" s="61"/>
      <c r="H34099" s="61"/>
    </row>
    <row r="34100" spans="2:8" x14ac:dyDescent="0.25">
      <c r="B34100" s="60" t="s">
        <v>8418</v>
      </c>
      <c r="C34100" s="60" t="s">
        <v>8419</v>
      </c>
      <c r="D34100" s="60" t="str">
        <f>HYPERLINK("https://rhld.insurance.arkansas.gov/NPILookup?Npi=1649390477","1649390477")</f>
        <v>1649390477</v>
      </c>
      <c r="E34100" s="60" t="s">
        <v>30788</v>
      </c>
      <c r="F34100" s="61"/>
      <c r="G34100" s="61"/>
      <c r="H34100" s="61"/>
    </row>
    <row r="34101" spans="2:8" x14ac:dyDescent="0.25">
      <c r="B34101" s="60" t="s">
        <v>8418</v>
      </c>
      <c r="C34101" s="60" t="s">
        <v>8419</v>
      </c>
      <c r="D34101" s="60" t="str">
        <f>HYPERLINK("https://rhld.insurance.arkansas.gov/NPILookup?Npi=1649408345","1649408345")</f>
        <v>1649408345</v>
      </c>
      <c r="E34101" s="60" t="s">
        <v>30789</v>
      </c>
      <c r="F34101" s="61"/>
      <c r="G34101" s="61"/>
      <c r="H34101" s="61"/>
    </row>
    <row r="34102" spans="2:8" x14ac:dyDescent="0.25">
      <c r="B34102" s="60" t="s">
        <v>8418</v>
      </c>
      <c r="C34102" s="60" t="s">
        <v>8419</v>
      </c>
      <c r="D34102" s="60" t="str">
        <f>HYPERLINK("https://rhld.insurance.arkansas.gov/NPILookup?Npi=1649421280","1649421280")</f>
        <v>1649421280</v>
      </c>
      <c r="E34102" s="60" t="s">
        <v>30790</v>
      </c>
      <c r="F34102" s="61"/>
      <c r="G34102" s="61"/>
      <c r="H34102" s="61"/>
    </row>
    <row r="34103" spans="2:8" x14ac:dyDescent="0.25">
      <c r="B34103" s="60" t="s">
        <v>8418</v>
      </c>
      <c r="C34103" s="60" t="s">
        <v>8419</v>
      </c>
      <c r="D34103" s="60" t="str">
        <f>HYPERLINK("https://rhld.insurance.arkansas.gov/NPILookup?Npi=1649422692","1649422692")</f>
        <v>1649422692</v>
      </c>
      <c r="E34103" s="60" t="s">
        <v>14200</v>
      </c>
      <c r="F34103" s="61"/>
      <c r="G34103" s="61"/>
      <c r="H34103" s="61"/>
    </row>
    <row r="34104" spans="2:8" x14ac:dyDescent="0.25">
      <c r="B34104" s="60" t="s">
        <v>8418</v>
      </c>
      <c r="C34104" s="60" t="s">
        <v>8419</v>
      </c>
      <c r="D34104" s="60" t="str">
        <f>HYPERLINK("https://rhld.insurance.arkansas.gov/NPILookup?Npi=1649426818","1649426818")</f>
        <v>1649426818</v>
      </c>
      <c r="E34104" s="60" t="s">
        <v>30791</v>
      </c>
      <c r="F34104" s="61"/>
      <c r="G34104" s="61"/>
      <c r="H34104" s="61"/>
    </row>
    <row r="34105" spans="2:8" x14ac:dyDescent="0.25">
      <c r="B34105" s="60" t="s">
        <v>8418</v>
      </c>
      <c r="C34105" s="60" t="s">
        <v>8419</v>
      </c>
      <c r="D34105" s="60" t="str">
        <f>HYPERLINK("https://rhld.insurance.arkansas.gov/NPILookup?Npi=1649441239","1649441239")</f>
        <v>1649441239</v>
      </c>
      <c r="E34105" s="60" t="s">
        <v>30792</v>
      </c>
      <c r="F34105" s="61"/>
      <c r="G34105" s="61"/>
      <c r="H34105" s="61"/>
    </row>
    <row r="34106" spans="2:8" x14ac:dyDescent="0.25">
      <c r="B34106" s="60" t="s">
        <v>8418</v>
      </c>
      <c r="C34106" s="60" t="s">
        <v>8419</v>
      </c>
      <c r="D34106" s="60" t="str">
        <f>HYPERLINK("https://rhld.insurance.arkansas.gov/NPILookup?Npi=1649535071","1649535071")</f>
        <v>1649535071</v>
      </c>
      <c r="E34106" s="60" t="s">
        <v>14201</v>
      </c>
      <c r="F34106" s="61"/>
      <c r="G34106" s="61"/>
      <c r="H34106" s="61"/>
    </row>
    <row r="34107" spans="2:8" x14ac:dyDescent="0.25">
      <c r="B34107" s="60" t="s">
        <v>8418</v>
      </c>
      <c r="C34107" s="60" t="s">
        <v>8419</v>
      </c>
      <c r="D34107" s="60" t="str">
        <f>HYPERLINK("https://rhld.insurance.arkansas.gov/NPILookup?Npi=1649554924","1649554924")</f>
        <v>1649554924</v>
      </c>
      <c r="E34107" s="60" t="s">
        <v>8711</v>
      </c>
      <c r="F34107" s="61"/>
      <c r="G34107" s="61"/>
      <c r="H34107" s="61"/>
    </row>
    <row r="34108" spans="2:8" x14ac:dyDescent="0.25">
      <c r="B34108" s="60" t="s">
        <v>8418</v>
      </c>
      <c r="C34108" s="60" t="s">
        <v>8419</v>
      </c>
      <c r="D34108" s="60" t="str">
        <f>HYPERLINK("https://rhld.insurance.arkansas.gov/NPILookup?Npi=1649585936","1649585936")</f>
        <v>1649585936</v>
      </c>
      <c r="E34108" s="60" t="s">
        <v>30793</v>
      </c>
      <c r="F34108" s="61"/>
      <c r="G34108" s="61"/>
      <c r="H34108" s="61"/>
    </row>
    <row r="34109" spans="2:8" x14ac:dyDescent="0.25">
      <c r="B34109" s="60" t="s">
        <v>8418</v>
      </c>
      <c r="C34109" s="60" t="s">
        <v>8419</v>
      </c>
      <c r="D34109" s="60" t="str">
        <f>HYPERLINK("https://rhld.insurance.arkansas.gov/NPILookup?Npi=1649605874","1649605874")</f>
        <v>1649605874</v>
      </c>
      <c r="E34109" s="60" t="s">
        <v>8713</v>
      </c>
      <c r="F34109" s="61"/>
      <c r="G34109" s="61"/>
      <c r="H34109" s="61"/>
    </row>
    <row r="34110" spans="2:8" x14ac:dyDescent="0.25">
      <c r="B34110" s="60" t="s">
        <v>8418</v>
      </c>
      <c r="C34110" s="60" t="s">
        <v>8419</v>
      </c>
      <c r="D34110" s="60" t="str">
        <f>HYPERLINK("https://rhld.insurance.arkansas.gov/NPILookup?Npi=1649607193","1649607193")</f>
        <v>1649607193</v>
      </c>
      <c r="E34110" s="60" t="s">
        <v>8714</v>
      </c>
      <c r="F34110" s="61"/>
      <c r="G34110" s="61"/>
      <c r="H34110" s="61"/>
    </row>
    <row r="34111" spans="2:8" x14ac:dyDescent="0.25">
      <c r="B34111" s="60" t="s">
        <v>8418</v>
      </c>
      <c r="C34111" s="60" t="s">
        <v>8419</v>
      </c>
      <c r="D34111" s="60" t="str">
        <f>HYPERLINK("https://rhld.insurance.arkansas.gov/NPILookup?Npi=1649611484","1649611484")</f>
        <v>1649611484</v>
      </c>
      <c r="E34111" s="60" t="s">
        <v>30794</v>
      </c>
      <c r="F34111" s="61"/>
      <c r="G34111" s="61"/>
      <c r="H34111" s="61"/>
    </row>
    <row r="34112" spans="2:8" x14ac:dyDescent="0.25">
      <c r="B34112" s="60" t="s">
        <v>8418</v>
      </c>
      <c r="C34112" s="60" t="s">
        <v>8419</v>
      </c>
      <c r="D34112" s="60" t="str">
        <f>HYPERLINK("https://rhld.insurance.arkansas.gov/NPILookup?Npi=1649616699","1649616699")</f>
        <v>1649616699</v>
      </c>
      <c r="E34112" s="60" t="s">
        <v>30795</v>
      </c>
      <c r="F34112" s="61"/>
      <c r="G34112" s="61"/>
      <c r="H34112" s="61"/>
    </row>
    <row r="34113" spans="2:8" x14ac:dyDescent="0.25">
      <c r="B34113" s="60" t="s">
        <v>8418</v>
      </c>
      <c r="C34113" s="60" t="s">
        <v>8419</v>
      </c>
      <c r="D34113" s="60" t="str">
        <f>HYPERLINK("https://rhld.insurance.arkansas.gov/NPILookup?Npi=1649620410","1649620410")</f>
        <v>1649620410</v>
      </c>
      <c r="E34113" s="60" t="s">
        <v>2710</v>
      </c>
      <c r="F34113" s="61"/>
      <c r="G34113" s="61"/>
      <c r="H34113" s="61"/>
    </row>
    <row r="34114" spans="2:8" x14ac:dyDescent="0.25">
      <c r="B34114" s="60" t="s">
        <v>8418</v>
      </c>
      <c r="C34114" s="60" t="s">
        <v>8419</v>
      </c>
      <c r="D34114" s="60" t="str">
        <f>HYPERLINK("https://rhld.insurance.arkansas.gov/NPILookup?Npi=1649741877","1649741877")</f>
        <v>1649741877</v>
      </c>
      <c r="E34114" s="60" t="s">
        <v>30796</v>
      </c>
      <c r="F34114" s="61"/>
      <c r="G34114" s="61"/>
      <c r="H34114" s="61"/>
    </row>
    <row r="34115" spans="2:8" x14ac:dyDescent="0.25">
      <c r="B34115" s="60" t="s">
        <v>8418</v>
      </c>
      <c r="C34115" s="60" t="s">
        <v>8419</v>
      </c>
      <c r="D34115" s="60" t="str">
        <f>HYPERLINK("https://rhld.insurance.arkansas.gov/NPILookup?Npi=1649851304","1649851304")</f>
        <v>1649851304</v>
      </c>
      <c r="E34115" s="60" t="s">
        <v>14202</v>
      </c>
      <c r="F34115" s="61"/>
      <c r="G34115" s="61"/>
      <c r="H34115" s="61"/>
    </row>
    <row r="34116" spans="2:8" x14ac:dyDescent="0.25">
      <c r="B34116" s="60" t="s">
        <v>8418</v>
      </c>
      <c r="C34116" s="60" t="s">
        <v>8419</v>
      </c>
      <c r="D34116" s="60" t="str">
        <f>HYPERLINK("https://rhld.insurance.arkansas.gov/NPILookup?Npi=1649861923","1649861923")</f>
        <v>1649861923</v>
      </c>
      <c r="E34116" s="60" t="s">
        <v>30797</v>
      </c>
      <c r="F34116" s="61"/>
      <c r="G34116" s="61"/>
      <c r="H34116" s="61"/>
    </row>
    <row r="34117" spans="2:8" x14ac:dyDescent="0.25">
      <c r="B34117" s="60" t="s">
        <v>8418</v>
      </c>
      <c r="C34117" s="60" t="s">
        <v>8419</v>
      </c>
      <c r="D34117" s="60" t="str">
        <f>HYPERLINK("https://rhld.insurance.arkansas.gov/NPILookup?Npi=1649869090","1649869090")</f>
        <v>1649869090</v>
      </c>
      <c r="E34117" s="60" t="s">
        <v>30798</v>
      </c>
      <c r="F34117" s="61"/>
      <c r="G34117" s="61"/>
      <c r="H34117" s="61"/>
    </row>
    <row r="34118" spans="2:8" x14ac:dyDescent="0.25">
      <c r="B34118" s="60" t="s">
        <v>8418</v>
      </c>
      <c r="C34118" s="60" t="s">
        <v>8419</v>
      </c>
      <c r="D34118" s="60" t="str">
        <f>HYPERLINK("https://rhld.insurance.arkansas.gov/NPILookup?Npi=1649889395","1649889395")</f>
        <v>1649889395</v>
      </c>
      <c r="E34118" s="60" t="s">
        <v>30799</v>
      </c>
      <c r="F34118" s="61"/>
      <c r="G34118" s="61"/>
      <c r="H34118" s="61"/>
    </row>
    <row r="34119" spans="2:8" x14ac:dyDescent="0.25">
      <c r="B34119" s="60" t="s">
        <v>8418</v>
      </c>
      <c r="C34119" s="60" t="s">
        <v>8419</v>
      </c>
      <c r="D34119" s="60" t="str">
        <f>HYPERLINK("https://rhld.insurance.arkansas.gov/NPILookup?Npi=1649897695","1649897695")</f>
        <v>1649897695</v>
      </c>
      <c r="E34119" s="60" t="s">
        <v>30800</v>
      </c>
      <c r="F34119" s="61"/>
      <c r="G34119" s="61"/>
      <c r="H34119" s="61"/>
    </row>
    <row r="34120" spans="2:8" x14ac:dyDescent="0.25">
      <c r="B34120" s="60" t="s">
        <v>8418</v>
      </c>
      <c r="C34120" s="60" t="s">
        <v>8419</v>
      </c>
      <c r="D34120" s="60" t="str">
        <f>HYPERLINK("https://rhld.insurance.arkansas.gov/NPILookup?Npi=1649906033","1649906033")</f>
        <v>1649906033</v>
      </c>
      <c r="E34120" s="60" t="s">
        <v>6191</v>
      </c>
      <c r="F34120" s="61"/>
      <c r="G34120" s="61"/>
      <c r="H34120" s="61"/>
    </row>
    <row r="34121" spans="2:8" x14ac:dyDescent="0.25">
      <c r="B34121" s="60" t="s">
        <v>8418</v>
      </c>
      <c r="C34121" s="60" t="s">
        <v>8419</v>
      </c>
      <c r="D34121" s="60" t="str">
        <f>HYPERLINK("https://rhld.insurance.arkansas.gov/NPILookup?Npi=1649931437","1649931437")</f>
        <v>1649931437</v>
      </c>
      <c r="E34121" s="60" t="s">
        <v>8715</v>
      </c>
      <c r="F34121" s="61"/>
      <c r="G34121" s="61"/>
      <c r="H34121" s="61"/>
    </row>
    <row r="34122" spans="2:8" x14ac:dyDescent="0.25">
      <c r="B34122" s="60" t="s">
        <v>8418</v>
      </c>
      <c r="C34122" s="60" t="s">
        <v>8419</v>
      </c>
      <c r="D34122" s="60" t="str">
        <f>HYPERLINK("https://rhld.insurance.arkansas.gov/NPILookup?Npi=1649941303","1649941303")</f>
        <v>1649941303</v>
      </c>
      <c r="E34122" s="60" t="s">
        <v>30801</v>
      </c>
      <c r="F34122" s="61"/>
      <c r="G34122" s="61"/>
      <c r="H34122" s="61"/>
    </row>
    <row r="34123" spans="2:8" x14ac:dyDescent="0.25">
      <c r="B34123" s="60" t="s">
        <v>8418</v>
      </c>
      <c r="C34123" s="60" t="s">
        <v>8419</v>
      </c>
      <c r="D34123" s="60" t="str">
        <f>HYPERLINK("https://rhld.insurance.arkansas.gov/NPILookup?Npi=1649960311","1649960311")</f>
        <v>1649960311</v>
      </c>
      <c r="E34123" s="60" t="s">
        <v>14203</v>
      </c>
      <c r="F34123" s="61"/>
      <c r="G34123" s="61"/>
      <c r="H34123" s="61"/>
    </row>
    <row r="34124" spans="2:8" x14ac:dyDescent="0.25">
      <c r="B34124" s="60" t="s">
        <v>8418</v>
      </c>
      <c r="C34124" s="60" t="s">
        <v>8419</v>
      </c>
      <c r="D34124" s="60" t="str">
        <f>HYPERLINK("https://rhld.insurance.arkansas.gov/NPILookup?Npi=1659034619","1659034619")</f>
        <v>1659034619</v>
      </c>
      <c r="E34124" s="60" t="s">
        <v>14204</v>
      </c>
      <c r="F34124" s="61"/>
      <c r="G34124" s="61"/>
      <c r="H34124" s="61"/>
    </row>
    <row r="34125" spans="2:8" x14ac:dyDescent="0.25">
      <c r="B34125" s="60" t="s">
        <v>8418</v>
      </c>
      <c r="C34125" s="60" t="s">
        <v>8419</v>
      </c>
      <c r="D34125" s="60" t="str">
        <f>HYPERLINK("https://rhld.insurance.arkansas.gov/NPILookup?Npi=1659323277","1659323277")</f>
        <v>1659323277</v>
      </c>
      <c r="E34125" s="60" t="s">
        <v>30802</v>
      </c>
      <c r="F34125" s="61"/>
      <c r="G34125" s="61"/>
      <c r="H34125" s="61"/>
    </row>
    <row r="34126" spans="2:8" x14ac:dyDescent="0.25">
      <c r="B34126" s="60" t="s">
        <v>8418</v>
      </c>
      <c r="C34126" s="60" t="s">
        <v>8419</v>
      </c>
      <c r="D34126" s="60" t="str">
        <f>HYPERLINK("https://rhld.insurance.arkansas.gov/NPILookup?Npi=1659416501","1659416501")</f>
        <v>1659416501</v>
      </c>
      <c r="E34126" s="60" t="s">
        <v>30803</v>
      </c>
      <c r="F34126" s="61"/>
      <c r="G34126" s="61"/>
      <c r="H34126" s="61"/>
    </row>
    <row r="34127" spans="2:8" x14ac:dyDescent="0.25">
      <c r="B34127" s="60" t="s">
        <v>8418</v>
      </c>
      <c r="C34127" s="60" t="s">
        <v>8419</v>
      </c>
      <c r="D34127" s="60" t="str">
        <f>HYPERLINK("https://rhld.insurance.arkansas.gov/NPILookup?Npi=1659436483","1659436483")</f>
        <v>1659436483</v>
      </c>
      <c r="E34127" s="60" t="s">
        <v>30804</v>
      </c>
      <c r="F34127" s="61"/>
      <c r="G34127" s="61"/>
      <c r="H34127" s="61"/>
    </row>
    <row r="34128" spans="2:8" x14ac:dyDescent="0.25">
      <c r="B34128" s="60" t="s">
        <v>8418</v>
      </c>
      <c r="C34128" s="60" t="s">
        <v>8419</v>
      </c>
      <c r="D34128" s="60" t="str">
        <f>HYPERLINK("https://rhld.insurance.arkansas.gov/NPILookup?Npi=1659507846","1659507846")</f>
        <v>1659507846</v>
      </c>
      <c r="E34128" s="60" t="s">
        <v>14205</v>
      </c>
      <c r="F34128" s="61"/>
      <c r="G34128" s="61"/>
      <c r="H34128" s="61"/>
    </row>
    <row r="34129" spans="2:8" x14ac:dyDescent="0.25">
      <c r="B34129" s="60" t="s">
        <v>8418</v>
      </c>
      <c r="C34129" s="60" t="s">
        <v>8419</v>
      </c>
      <c r="D34129" s="60" t="str">
        <f>HYPERLINK("https://rhld.insurance.arkansas.gov/NPILookup?Npi=1659519635","1659519635")</f>
        <v>1659519635</v>
      </c>
      <c r="E34129" s="60" t="s">
        <v>14206</v>
      </c>
      <c r="F34129" s="61"/>
      <c r="G34129" s="61"/>
      <c r="H34129" s="61"/>
    </row>
    <row r="34130" spans="2:8" x14ac:dyDescent="0.25">
      <c r="B34130" s="60" t="s">
        <v>8418</v>
      </c>
      <c r="C34130" s="60" t="s">
        <v>8419</v>
      </c>
      <c r="D34130" s="60" t="str">
        <f>HYPERLINK("https://rhld.insurance.arkansas.gov/NPILookup?Npi=1659537017","1659537017")</f>
        <v>1659537017</v>
      </c>
      <c r="E34130" s="60" t="s">
        <v>30805</v>
      </c>
      <c r="F34130" s="61"/>
      <c r="G34130" s="61"/>
      <c r="H34130" s="61"/>
    </row>
    <row r="34131" spans="2:8" x14ac:dyDescent="0.25">
      <c r="B34131" s="60" t="s">
        <v>8418</v>
      </c>
      <c r="C34131" s="60" t="s">
        <v>8419</v>
      </c>
      <c r="D34131" s="60" t="str">
        <f>HYPERLINK("https://rhld.insurance.arkansas.gov/NPILookup?Npi=1659551349","1659551349")</f>
        <v>1659551349</v>
      </c>
      <c r="E34131" s="60" t="s">
        <v>30806</v>
      </c>
      <c r="F34131" s="61"/>
      <c r="G34131" s="61"/>
      <c r="H34131" s="61"/>
    </row>
    <row r="34132" spans="2:8" x14ac:dyDescent="0.25">
      <c r="B34132" s="60" t="s">
        <v>8418</v>
      </c>
      <c r="C34132" s="60" t="s">
        <v>8419</v>
      </c>
      <c r="D34132" s="60" t="str">
        <f>HYPERLINK("https://rhld.insurance.arkansas.gov/NPILookup?Npi=1659589687","1659589687")</f>
        <v>1659589687</v>
      </c>
      <c r="E34132" s="60" t="s">
        <v>30807</v>
      </c>
      <c r="F34132" s="61"/>
      <c r="G34132" s="61"/>
      <c r="H34132" s="61"/>
    </row>
    <row r="34133" spans="2:8" x14ac:dyDescent="0.25">
      <c r="B34133" s="60" t="s">
        <v>8418</v>
      </c>
      <c r="C34133" s="60" t="s">
        <v>8419</v>
      </c>
      <c r="D34133" s="60" t="str">
        <f>HYPERLINK("https://rhld.insurance.arkansas.gov/NPILookup?Npi=1659596732","1659596732")</f>
        <v>1659596732</v>
      </c>
      <c r="E34133" s="60" t="s">
        <v>30808</v>
      </c>
      <c r="F34133" s="61"/>
      <c r="G34133" s="61"/>
      <c r="H34133" s="61"/>
    </row>
    <row r="34134" spans="2:8" x14ac:dyDescent="0.25">
      <c r="B34134" s="60" t="s">
        <v>8418</v>
      </c>
      <c r="C34134" s="60" t="s">
        <v>8419</v>
      </c>
      <c r="D34134" s="60" t="str">
        <f>HYPERLINK("https://rhld.insurance.arkansas.gov/NPILookup?Npi=1659867075","1659867075")</f>
        <v>1659867075</v>
      </c>
      <c r="E34134" s="60" t="s">
        <v>8716</v>
      </c>
      <c r="F34134" s="61"/>
      <c r="G34134" s="61"/>
      <c r="H34134" s="61"/>
    </row>
    <row r="34135" spans="2:8" x14ac:dyDescent="0.25">
      <c r="B34135" s="60" t="s">
        <v>8418</v>
      </c>
      <c r="C34135" s="60" t="s">
        <v>8419</v>
      </c>
      <c r="D34135" s="60" t="str">
        <f>HYPERLINK("https://rhld.insurance.arkansas.gov/NPILookup?Npi=1659931210","1659931210")</f>
        <v>1659931210</v>
      </c>
      <c r="E34135" s="60" t="s">
        <v>8717</v>
      </c>
      <c r="F34135" s="61"/>
      <c r="G34135" s="61"/>
      <c r="H34135" s="61"/>
    </row>
    <row r="34136" spans="2:8" x14ac:dyDescent="0.25">
      <c r="B34136" s="60" t="s">
        <v>8418</v>
      </c>
      <c r="C34136" s="60" t="s">
        <v>8419</v>
      </c>
      <c r="D34136" s="60" t="str">
        <f>HYPERLINK("https://rhld.insurance.arkansas.gov/NPILookup?Npi=1669016192","1669016192")</f>
        <v>1669016192</v>
      </c>
      <c r="E34136" s="60" t="s">
        <v>32543</v>
      </c>
      <c r="F34136" s="61"/>
      <c r="G34136" s="61"/>
      <c r="H34136" s="61"/>
    </row>
    <row r="34137" spans="2:8" x14ac:dyDescent="0.25">
      <c r="B34137" s="60" t="s">
        <v>8418</v>
      </c>
      <c r="C34137" s="60" t="s">
        <v>8419</v>
      </c>
      <c r="D34137" s="60" t="str">
        <f>HYPERLINK("https://rhld.insurance.arkansas.gov/NPILookup?Npi=1669028965","1669028965")</f>
        <v>1669028965</v>
      </c>
      <c r="E34137" s="60" t="s">
        <v>30809</v>
      </c>
      <c r="F34137" s="61"/>
      <c r="G34137" s="61"/>
      <c r="H34137" s="61"/>
    </row>
    <row r="34138" spans="2:8" x14ac:dyDescent="0.25">
      <c r="B34138" s="60" t="s">
        <v>8418</v>
      </c>
      <c r="C34138" s="60" t="s">
        <v>8419</v>
      </c>
      <c r="D34138" s="60" t="str">
        <f>HYPERLINK("https://rhld.insurance.arkansas.gov/NPILookup?Npi=1669040457","1669040457")</f>
        <v>1669040457</v>
      </c>
      <c r="E34138" s="60" t="s">
        <v>8718</v>
      </c>
      <c r="F34138" s="61"/>
      <c r="G34138" s="61"/>
      <c r="H34138" s="61"/>
    </row>
    <row r="34139" spans="2:8" x14ac:dyDescent="0.25">
      <c r="B34139" s="60" t="s">
        <v>8418</v>
      </c>
      <c r="C34139" s="60" t="s">
        <v>8419</v>
      </c>
      <c r="D34139" s="60" t="str">
        <f>HYPERLINK("https://rhld.insurance.arkansas.gov/NPILookup?Npi=1669040812","1669040812")</f>
        <v>1669040812</v>
      </c>
      <c r="E34139" s="60" t="s">
        <v>30810</v>
      </c>
      <c r="F34139" s="61"/>
      <c r="G34139" s="61"/>
      <c r="H34139" s="61"/>
    </row>
    <row r="34140" spans="2:8" x14ac:dyDescent="0.25">
      <c r="B34140" s="60" t="s">
        <v>8418</v>
      </c>
      <c r="C34140" s="60" t="s">
        <v>8419</v>
      </c>
      <c r="D34140" s="60" t="str">
        <f>HYPERLINK("https://rhld.insurance.arkansas.gov/NPILookup?Npi=1669047916","1669047916")</f>
        <v>1669047916</v>
      </c>
      <c r="E34140" s="60" t="s">
        <v>14207</v>
      </c>
      <c r="F34140" s="61"/>
      <c r="G34140" s="61"/>
      <c r="H34140" s="61"/>
    </row>
    <row r="34141" spans="2:8" x14ac:dyDescent="0.25">
      <c r="B34141" s="60" t="s">
        <v>8418</v>
      </c>
      <c r="C34141" s="60" t="s">
        <v>8419</v>
      </c>
      <c r="D34141" s="60" t="str">
        <f>HYPERLINK("https://rhld.insurance.arkansas.gov/NPILookup?Npi=1669048740","1669048740")</f>
        <v>1669048740</v>
      </c>
      <c r="E34141" s="60" t="s">
        <v>6706</v>
      </c>
      <c r="F34141" s="61"/>
      <c r="G34141" s="61"/>
      <c r="H34141" s="61"/>
    </row>
    <row r="34142" spans="2:8" x14ac:dyDescent="0.25">
      <c r="B34142" s="60" t="s">
        <v>8418</v>
      </c>
      <c r="C34142" s="60" t="s">
        <v>8419</v>
      </c>
      <c r="D34142" s="60" t="str">
        <f>HYPERLINK("https://rhld.insurance.arkansas.gov/NPILookup?Npi=1669055836","1669055836")</f>
        <v>1669055836</v>
      </c>
      <c r="E34142" s="60" t="s">
        <v>30811</v>
      </c>
      <c r="F34142" s="61"/>
      <c r="G34142" s="61"/>
      <c r="H34142" s="61"/>
    </row>
    <row r="34143" spans="2:8" x14ac:dyDescent="0.25">
      <c r="B34143" s="60" t="s">
        <v>8418</v>
      </c>
      <c r="C34143" s="60" t="s">
        <v>8419</v>
      </c>
      <c r="D34143" s="60" t="str">
        <f>HYPERLINK("https://rhld.insurance.arkansas.gov/NPILookup?Npi=1669060307","1669060307")</f>
        <v>1669060307</v>
      </c>
      <c r="E34143" s="60" t="s">
        <v>30812</v>
      </c>
      <c r="F34143" s="61"/>
      <c r="G34143" s="61"/>
      <c r="H34143" s="61"/>
    </row>
    <row r="34144" spans="2:8" x14ac:dyDescent="0.25">
      <c r="B34144" s="60" t="s">
        <v>8418</v>
      </c>
      <c r="C34144" s="60" t="s">
        <v>8419</v>
      </c>
      <c r="D34144" s="60" t="str">
        <f>HYPERLINK("https://rhld.insurance.arkansas.gov/NPILookup?Npi=1669062873","1669062873")</f>
        <v>1669062873</v>
      </c>
      <c r="E34144" s="60" t="s">
        <v>30813</v>
      </c>
      <c r="F34144" s="61"/>
      <c r="G34144" s="61"/>
      <c r="H34144" s="61"/>
    </row>
    <row r="34145" spans="2:8" x14ac:dyDescent="0.25">
      <c r="B34145" s="60" t="s">
        <v>8418</v>
      </c>
      <c r="C34145" s="60" t="s">
        <v>8419</v>
      </c>
      <c r="D34145" s="60" t="str">
        <f>HYPERLINK("https://rhld.insurance.arkansas.gov/NPILookup?Npi=1669197083","1669197083")</f>
        <v>1669197083</v>
      </c>
      <c r="E34145" s="60" t="s">
        <v>30814</v>
      </c>
      <c r="F34145" s="61"/>
      <c r="G34145" s="61"/>
      <c r="H34145" s="61"/>
    </row>
    <row r="34146" spans="2:8" x14ac:dyDescent="0.25">
      <c r="B34146" s="60" t="s">
        <v>8418</v>
      </c>
      <c r="C34146" s="60" t="s">
        <v>8419</v>
      </c>
      <c r="D34146" s="60" t="str">
        <f>HYPERLINK("https://rhld.insurance.arkansas.gov/NPILookup?Npi=1669212189","1669212189")</f>
        <v>1669212189</v>
      </c>
      <c r="E34146" s="60" t="s">
        <v>32544</v>
      </c>
      <c r="F34146" s="61"/>
      <c r="G34146" s="61"/>
      <c r="H34146" s="61"/>
    </row>
    <row r="34147" spans="2:8" x14ac:dyDescent="0.25">
      <c r="B34147" s="60" t="s">
        <v>8418</v>
      </c>
      <c r="C34147" s="60" t="s">
        <v>8419</v>
      </c>
      <c r="D34147" s="60" t="str">
        <f>HYPERLINK("https://rhld.insurance.arkansas.gov/NPILookup?Npi=1669414439","1669414439")</f>
        <v>1669414439</v>
      </c>
      <c r="E34147" s="60" t="s">
        <v>8719</v>
      </c>
      <c r="F34147" s="61"/>
      <c r="G34147" s="61"/>
      <c r="H34147" s="61"/>
    </row>
    <row r="34148" spans="2:8" x14ac:dyDescent="0.25">
      <c r="B34148" s="60" t="s">
        <v>8418</v>
      </c>
      <c r="C34148" s="60" t="s">
        <v>8419</v>
      </c>
      <c r="D34148" s="60" t="str">
        <f>HYPERLINK("https://rhld.insurance.arkansas.gov/NPILookup?Npi=1669503074","1669503074")</f>
        <v>1669503074</v>
      </c>
      <c r="E34148" s="60" t="s">
        <v>30815</v>
      </c>
      <c r="F34148" s="61"/>
      <c r="G34148" s="61"/>
      <c r="H34148" s="61"/>
    </row>
    <row r="34149" spans="2:8" x14ac:dyDescent="0.25">
      <c r="B34149" s="60" t="s">
        <v>8418</v>
      </c>
      <c r="C34149" s="60" t="s">
        <v>8419</v>
      </c>
      <c r="D34149" s="60" t="str">
        <f>HYPERLINK("https://rhld.insurance.arkansas.gov/NPILookup?Npi=1669576914","1669576914")</f>
        <v>1669576914</v>
      </c>
      <c r="E34149" s="60" t="s">
        <v>30816</v>
      </c>
      <c r="F34149" s="61"/>
      <c r="G34149" s="61"/>
      <c r="H34149" s="61"/>
    </row>
    <row r="34150" spans="2:8" x14ac:dyDescent="0.25">
      <c r="B34150" s="60" t="s">
        <v>8418</v>
      </c>
      <c r="C34150" s="60" t="s">
        <v>8419</v>
      </c>
      <c r="D34150" s="60" t="str">
        <f>HYPERLINK("https://rhld.insurance.arkansas.gov/NPILookup?Npi=1669597688","1669597688")</f>
        <v>1669597688</v>
      </c>
      <c r="E34150" s="60" t="s">
        <v>30817</v>
      </c>
      <c r="F34150" s="61"/>
      <c r="G34150" s="61"/>
      <c r="H34150" s="61"/>
    </row>
    <row r="34151" spans="2:8" x14ac:dyDescent="0.25">
      <c r="B34151" s="60" t="s">
        <v>8418</v>
      </c>
      <c r="C34151" s="60" t="s">
        <v>8419</v>
      </c>
      <c r="D34151" s="60" t="str">
        <f>HYPERLINK("https://rhld.insurance.arkansas.gov/NPILookup?Npi=1669699286","1669699286")</f>
        <v>1669699286</v>
      </c>
      <c r="E34151" s="60" t="s">
        <v>30818</v>
      </c>
      <c r="F34151" s="61"/>
      <c r="G34151" s="61"/>
      <c r="H34151" s="61"/>
    </row>
    <row r="34152" spans="2:8" x14ac:dyDescent="0.25">
      <c r="B34152" s="60" t="s">
        <v>8418</v>
      </c>
      <c r="C34152" s="60" t="s">
        <v>8419</v>
      </c>
      <c r="D34152" s="60" t="str">
        <f>HYPERLINK("https://rhld.insurance.arkansas.gov/NPILookup?Npi=1669753612","1669753612")</f>
        <v>1669753612</v>
      </c>
      <c r="E34152" s="60" t="s">
        <v>8720</v>
      </c>
      <c r="F34152" s="61"/>
      <c r="G34152" s="61"/>
      <c r="H34152" s="61"/>
    </row>
    <row r="34153" spans="2:8" x14ac:dyDescent="0.25">
      <c r="B34153" s="60" t="s">
        <v>8418</v>
      </c>
      <c r="C34153" s="60" t="s">
        <v>8419</v>
      </c>
      <c r="D34153" s="60" t="str">
        <f>HYPERLINK("https://rhld.insurance.arkansas.gov/NPILookup?Npi=1669825360","1669825360")</f>
        <v>1669825360</v>
      </c>
      <c r="E34153" s="60" t="s">
        <v>8627</v>
      </c>
      <c r="F34153" s="61"/>
      <c r="G34153" s="61"/>
      <c r="H34153" s="61"/>
    </row>
    <row r="34154" spans="2:8" x14ac:dyDescent="0.25">
      <c r="B34154" s="60" t="s">
        <v>8418</v>
      </c>
      <c r="C34154" s="60" t="s">
        <v>8419</v>
      </c>
      <c r="D34154" s="60" t="str">
        <f>HYPERLINK("https://rhld.insurance.arkansas.gov/NPILookup?Npi=1669861399","1669861399")</f>
        <v>1669861399</v>
      </c>
      <c r="E34154" s="60" t="s">
        <v>30819</v>
      </c>
      <c r="F34154" s="61"/>
      <c r="G34154" s="61"/>
      <c r="H34154" s="61"/>
    </row>
    <row r="34155" spans="2:8" x14ac:dyDescent="0.25">
      <c r="B34155" s="60" t="s">
        <v>8418</v>
      </c>
      <c r="C34155" s="60" t="s">
        <v>8419</v>
      </c>
      <c r="D34155" s="60" t="str">
        <f>HYPERLINK("https://rhld.insurance.arkansas.gov/NPILookup?Npi=1669875043","1669875043")</f>
        <v>1669875043</v>
      </c>
      <c r="E34155" s="60" t="s">
        <v>30820</v>
      </c>
      <c r="F34155" s="61"/>
      <c r="G34155" s="61"/>
      <c r="H34155" s="61"/>
    </row>
    <row r="34156" spans="2:8" x14ac:dyDescent="0.25">
      <c r="B34156" s="60" t="s">
        <v>8418</v>
      </c>
      <c r="C34156" s="60" t="s">
        <v>8419</v>
      </c>
      <c r="D34156" s="60" t="str">
        <f>HYPERLINK("https://rhld.insurance.arkansas.gov/NPILookup?Npi=1669944898","1669944898")</f>
        <v>1669944898</v>
      </c>
      <c r="E34156" s="60" t="s">
        <v>8721</v>
      </c>
      <c r="F34156" s="61"/>
      <c r="G34156" s="61"/>
      <c r="H34156" s="61"/>
    </row>
    <row r="34157" spans="2:8" x14ac:dyDescent="0.25">
      <c r="B34157" s="60" t="s">
        <v>8418</v>
      </c>
      <c r="C34157" s="60" t="s">
        <v>8419</v>
      </c>
      <c r="D34157" s="60" t="str">
        <f>HYPERLINK("https://rhld.insurance.arkansas.gov/NPILookup?Npi=1679068704","1679068704")</f>
        <v>1679068704</v>
      </c>
      <c r="E34157" s="60" t="s">
        <v>30821</v>
      </c>
      <c r="F34157" s="61"/>
      <c r="G34157" s="61"/>
      <c r="H34157" s="61"/>
    </row>
    <row r="34158" spans="2:8" x14ac:dyDescent="0.25">
      <c r="B34158" s="60" t="s">
        <v>8418</v>
      </c>
      <c r="C34158" s="60" t="s">
        <v>8419</v>
      </c>
      <c r="D34158" s="60" t="str">
        <f>HYPERLINK("https://rhld.insurance.arkansas.gov/NPILookup?Npi=1679112494","1679112494")</f>
        <v>1679112494</v>
      </c>
      <c r="E34158" s="60" t="s">
        <v>14208</v>
      </c>
      <c r="F34158" s="61"/>
      <c r="G34158" s="61"/>
      <c r="H34158" s="61"/>
    </row>
    <row r="34159" spans="2:8" x14ac:dyDescent="0.25">
      <c r="B34159" s="60" t="s">
        <v>8418</v>
      </c>
      <c r="C34159" s="60" t="s">
        <v>8419</v>
      </c>
      <c r="D34159" s="60" t="str">
        <f>HYPERLINK("https://rhld.insurance.arkansas.gov/NPILookup?Npi=1679131403","1679131403")</f>
        <v>1679131403</v>
      </c>
      <c r="E34159" s="60" t="s">
        <v>30822</v>
      </c>
      <c r="F34159" s="61"/>
      <c r="G34159" s="61"/>
      <c r="H34159" s="61"/>
    </row>
    <row r="34160" spans="2:8" x14ac:dyDescent="0.25">
      <c r="B34160" s="60" t="s">
        <v>8418</v>
      </c>
      <c r="C34160" s="60" t="s">
        <v>8419</v>
      </c>
      <c r="D34160" s="60" t="str">
        <f>HYPERLINK("https://rhld.insurance.arkansas.gov/NPILookup?Npi=1679142418","1679142418")</f>
        <v>1679142418</v>
      </c>
      <c r="E34160" s="60" t="s">
        <v>8722</v>
      </c>
      <c r="F34160" s="61"/>
      <c r="G34160" s="61"/>
      <c r="H34160" s="61"/>
    </row>
    <row r="34161" spans="2:8" x14ac:dyDescent="0.25">
      <c r="B34161" s="60" t="s">
        <v>8418</v>
      </c>
      <c r="C34161" s="60" t="s">
        <v>8419</v>
      </c>
      <c r="D34161" s="60" t="str">
        <f>HYPERLINK("https://rhld.insurance.arkansas.gov/NPILookup?Npi=1679181994","1679181994")</f>
        <v>1679181994</v>
      </c>
      <c r="E34161" s="60" t="s">
        <v>13319</v>
      </c>
      <c r="F34161" s="61"/>
      <c r="G34161" s="61"/>
      <c r="H34161" s="61"/>
    </row>
    <row r="34162" spans="2:8" x14ac:dyDescent="0.25">
      <c r="B34162" s="60" t="s">
        <v>8418</v>
      </c>
      <c r="C34162" s="60" t="s">
        <v>8419</v>
      </c>
      <c r="D34162" s="60" t="str">
        <f>HYPERLINK("https://rhld.insurance.arkansas.gov/NPILookup?Npi=1679200059","1679200059")</f>
        <v>1679200059</v>
      </c>
      <c r="E34162" s="60" t="s">
        <v>6511</v>
      </c>
      <c r="F34162" s="61"/>
      <c r="G34162" s="61"/>
      <c r="H34162" s="61"/>
    </row>
    <row r="34163" spans="2:8" x14ac:dyDescent="0.25">
      <c r="B34163" s="60" t="s">
        <v>8418</v>
      </c>
      <c r="C34163" s="60" t="s">
        <v>8419</v>
      </c>
      <c r="D34163" s="60" t="str">
        <f>HYPERLINK("https://rhld.insurance.arkansas.gov/NPILookup?Npi=1679227938","1679227938")</f>
        <v>1679227938</v>
      </c>
      <c r="E34163" s="60" t="s">
        <v>32545</v>
      </c>
      <c r="F34163" s="61"/>
      <c r="G34163" s="61"/>
      <c r="H34163" s="61"/>
    </row>
    <row r="34164" spans="2:8" x14ac:dyDescent="0.25">
      <c r="B34164" s="60" t="s">
        <v>8418</v>
      </c>
      <c r="C34164" s="60" t="s">
        <v>8419</v>
      </c>
      <c r="D34164" s="60" t="str">
        <f>HYPERLINK("https://rhld.insurance.arkansas.gov/NPILookup?Npi=1679279442","1679279442")</f>
        <v>1679279442</v>
      </c>
      <c r="E34164" s="60" t="s">
        <v>30823</v>
      </c>
      <c r="F34164" s="61"/>
      <c r="G34164" s="61"/>
      <c r="H34164" s="61"/>
    </row>
    <row r="34165" spans="2:8" x14ac:dyDescent="0.25">
      <c r="B34165" s="60" t="s">
        <v>8418</v>
      </c>
      <c r="C34165" s="60" t="s">
        <v>8419</v>
      </c>
      <c r="D34165" s="60" t="str">
        <f>HYPERLINK("https://rhld.insurance.arkansas.gov/NPILookup?Npi=1679312508","1679312508")</f>
        <v>1679312508</v>
      </c>
      <c r="E34165" s="60" t="s">
        <v>32546</v>
      </c>
      <c r="F34165" s="61"/>
      <c r="G34165" s="61"/>
      <c r="H34165" s="61"/>
    </row>
    <row r="34166" spans="2:8" x14ac:dyDescent="0.25">
      <c r="B34166" s="60" t="s">
        <v>8418</v>
      </c>
      <c r="C34166" s="60" t="s">
        <v>8419</v>
      </c>
      <c r="D34166" s="60" t="str">
        <f>HYPERLINK("https://rhld.insurance.arkansas.gov/NPILookup?Npi=1679348817","1679348817")</f>
        <v>1679348817</v>
      </c>
      <c r="E34166" s="60" t="s">
        <v>30824</v>
      </c>
      <c r="F34166" s="61"/>
      <c r="G34166" s="61"/>
      <c r="H34166" s="61"/>
    </row>
    <row r="34167" spans="2:8" x14ac:dyDescent="0.25">
      <c r="B34167" s="60" t="s">
        <v>8418</v>
      </c>
      <c r="C34167" s="60" t="s">
        <v>8419</v>
      </c>
      <c r="D34167" s="60" t="str">
        <f>HYPERLINK("https://rhld.insurance.arkansas.gov/NPILookup?Npi=1679599641","1679599641")</f>
        <v>1679599641</v>
      </c>
      <c r="E34167" s="60" t="s">
        <v>8723</v>
      </c>
      <c r="F34167" s="61"/>
      <c r="G34167" s="61"/>
      <c r="H34167" s="61"/>
    </row>
    <row r="34168" spans="2:8" x14ac:dyDescent="0.25">
      <c r="B34168" s="60" t="s">
        <v>8418</v>
      </c>
      <c r="C34168" s="60" t="s">
        <v>8419</v>
      </c>
      <c r="D34168" s="60" t="str">
        <f>HYPERLINK("https://rhld.insurance.arkansas.gov/NPILookup?Npi=1679606982","1679606982")</f>
        <v>1679606982</v>
      </c>
      <c r="E34168" s="60" t="s">
        <v>30825</v>
      </c>
      <c r="F34168" s="61"/>
      <c r="G34168" s="61"/>
      <c r="H34168" s="61"/>
    </row>
    <row r="34169" spans="2:8" x14ac:dyDescent="0.25">
      <c r="B34169" s="60" t="s">
        <v>8418</v>
      </c>
      <c r="C34169" s="60" t="s">
        <v>8419</v>
      </c>
      <c r="D34169" s="60" t="str">
        <f>HYPERLINK("https://rhld.insurance.arkansas.gov/NPILookup?Npi=1679618078","1679618078")</f>
        <v>1679618078</v>
      </c>
      <c r="E34169" s="60" t="s">
        <v>30826</v>
      </c>
      <c r="F34169" s="61"/>
      <c r="G34169" s="61"/>
      <c r="H34169" s="61"/>
    </row>
    <row r="34170" spans="2:8" x14ac:dyDescent="0.25">
      <c r="B34170" s="60" t="s">
        <v>8418</v>
      </c>
      <c r="C34170" s="60" t="s">
        <v>8419</v>
      </c>
      <c r="D34170" s="60" t="str">
        <f>HYPERLINK("https://rhld.insurance.arkansas.gov/NPILookup?Npi=1679625602","1679625602")</f>
        <v>1679625602</v>
      </c>
      <c r="E34170" s="60" t="s">
        <v>30827</v>
      </c>
      <c r="F34170" s="61"/>
      <c r="G34170" s="61"/>
      <c r="H34170" s="61"/>
    </row>
    <row r="34171" spans="2:8" x14ac:dyDescent="0.25">
      <c r="B34171" s="60" t="s">
        <v>8418</v>
      </c>
      <c r="C34171" s="60" t="s">
        <v>8419</v>
      </c>
      <c r="D34171" s="60" t="str">
        <f>HYPERLINK("https://rhld.insurance.arkansas.gov/NPILookup?Npi=1679696918","1679696918")</f>
        <v>1679696918</v>
      </c>
      <c r="E34171" s="60" t="s">
        <v>30828</v>
      </c>
      <c r="F34171" s="61"/>
      <c r="G34171" s="61"/>
      <c r="H34171" s="61"/>
    </row>
    <row r="34172" spans="2:8" x14ac:dyDescent="0.25">
      <c r="B34172" s="60" t="s">
        <v>8418</v>
      </c>
      <c r="C34172" s="60" t="s">
        <v>8419</v>
      </c>
      <c r="D34172" s="60" t="str">
        <f>HYPERLINK("https://rhld.insurance.arkansas.gov/NPILookup?Npi=1679740658","1679740658")</f>
        <v>1679740658</v>
      </c>
      <c r="E34172" s="60" t="s">
        <v>8724</v>
      </c>
      <c r="F34172" s="61"/>
      <c r="G34172" s="61"/>
      <c r="H34172" s="61"/>
    </row>
    <row r="34173" spans="2:8" x14ac:dyDescent="0.25">
      <c r="B34173" s="60" t="s">
        <v>8418</v>
      </c>
      <c r="C34173" s="60" t="s">
        <v>8419</v>
      </c>
      <c r="D34173" s="60" t="str">
        <f>HYPERLINK("https://rhld.insurance.arkansas.gov/NPILookup?Npi=1679863294","1679863294")</f>
        <v>1679863294</v>
      </c>
      <c r="E34173" s="60" t="s">
        <v>23405</v>
      </c>
      <c r="F34173" s="61"/>
      <c r="G34173" s="61"/>
      <c r="H34173" s="61"/>
    </row>
    <row r="34174" spans="2:8" x14ac:dyDescent="0.25">
      <c r="B34174" s="60" t="s">
        <v>8418</v>
      </c>
      <c r="C34174" s="60" t="s">
        <v>8419</v>
      </c>
      <c r="D34174" s="60" t="str">
        <f>HYPERLINK("https://rhld.insurance.arkansas.gov/NPILookup?Npi=1679892848","1679892848")</f>
        <v>1679892848</v>
      </c>
      <c r="E34174" s="60" t="s">
        <v>14209</v>
      </c>
      <c r="F34174" s="61"/>
      <c r="G34174" s="61"/>
      <c r="H34174" s="61"/>
    </row>
    <row r="34175" spans="2:8" x14ac:dyDescent="0.25">
      <c r="B34175" s="60" t="s">
        <v>8418</v>
      </c>
      <c r="C34175" s="60" t="s">
        <v>8419</v>
      </c>
      <c r="D34175" s="60" t="str">
        <f>HYPERLINK("https://rhld.insurance.arkansas.gov/NPILookup?Npi=1679953152","1679953152")</f>
        <v>1679953152</v>
      </c>
      <c r="E34175" s="60" t="s">
        <v>14210</v>
      </c>
      <c r="F34175" s="61"/>
      <c r="G34175" s="61"/>
      <c r="H34175" s="61"/>
    </row>
    <row r="34176" spans="2:8" x14ac:dyDescent="0.25">
      <c r="B34176" s="60" t="s">
        <v>8418</v>
      </c>
      <c r="C34176" s="60" t="s">
        <v>8419</v>
      </c>
      <c r="D34176" s="60" t="str">
        <f>HYPERLINK("https://rhld.insurance.arkansas.gov/NPILookup?Npi=1689039729","1689039729")</f>
        <v>1689039729</v>
      </c>
      <c r="E34176" s="60" t="s">
        <v>30829</v>
      </c>
      <c r="F34176" s="61"/>
      <c r="G34176" s="61"/>
      <c r="H34176" s="61"/>
    </row>
    <row r="34177" spans="2:8" x14ac:dyDescent="0.25">
      <c r="B34177" s="60" t="s">
        <v>8418</v>
      </c>
      <c r="C34177" s="60" t="s">
        <v>8419</v>
      </c>
      <c r="D34177" s="60" t="str">
        <f>HYPERLINK("https://rhld.insurance.arkansas.gov/NPILookup?Npi=1689116741","1689116741")</f>
        <v>1689116741</v>
      </c>
      <c r="E34177" s="60" t="s">
        <v>30830</v>
      </c>
      <c r="F34177" s="61"/>
      <c r="G34177" s="61"/>
      <c r="H34177" s="61"/>
    </row>
    <row r="34178" spans="2:8" x14ac:dyDescent="0.25">
      <c r="B34178" s="60" t="s">
        <v>8418</v>
      </c>
      <c r="C34178" s="60" t="s">
        <v>8419</v>
      </c>
      <c r="D34178" s="60" t="str">
        <f>HYPERLINK("https://rhld.insurance.arkansas.gov/NPILookup?Npi=1689125676","1689125676")</f>
        <v>1689125676</v>
      </c>
      <c r="E34178" s="60" t="s">
        <v>30831</v>
      </c>
      <c r="F34178" s="61"/>
      <c r="G34178" s="61"/>
      <c r="H34178" s="61"/>
    </row>
    <row r="34179" spans="2:8" x14ac:dyDescent="0.25">
      <c r="B34179" s="60" t="s">
        <v>8418</v>
      </c>
      <c r="C34179" s="60" t="s">
        <v>8419</v>
      </c>
      <c r="D34179" s="60" t="str">
        <f>HYPERLINK("https://rhld.insurance.arkansas.gov/NPILookup?Npi=1689197758","1689197758")</f>
        <v>1689197758</v>
      </c>
      <c r="E34179" s="60" t="s">
        <v>14211</v>
      </c>
      <c r="F34179" s="61"/>
      <c r="G34179" s="61"/>
      <c r="H34179" s="61"/>
    </row>
    <row r="34180" spans="2:8" x14ac:dyDescent="0.25">
      <c r="B34180" s="60" t="s">
        <v>8418</v>
      </c>
      <c r="C34180" s="60" t="s">
        <v>8419</v>
      </c>
      <c r="D34180" s="60" t="str">
        <f>HYPERLINK("https://rhld.insurance.arkansas.gov/NPILookup?Npi=1689220717","1689220717")</f>
        <v>1689220717</v>
      </c>
      <c r="E34180" s="60" t="s">
        <v>8725</v>
      </c>
      <c r="F34180" s="61"/>
      <c r="G34180" s="61"/>
      <c r="H34180" s="61"/>
    </row>
    <row r="34181" spans="2:8" x14ac:dyDescent="0.25">
      <c r="B34181" s="60" t="s">
        <v>8418</v>
      </c>
      <c r="C34181" s="60" t="s">
        <v>8419</v>
      </c>
      <c r="D34181" s="60" t="str">
        <f>HYPERLINK("https://rhld.insurance.arkansas.gov/NPILookup?Npi=1689323263","1689323263")</f>
        <v>1689323263</v>
      </c>
      <c r="E34181" s="60" t="s">
        <v>30832</v>
      </c>
      <c r="F34181" s="61"/>
      <c r="G34181" s="61"/>
      <c r="H34181" s="61"/>
    </row>
    <row r="34182" spans="2:8" x14ac:dyDescent="0.25">
      <c r="B34182" s="60" t="s">
        <v>8418</v>
      </c>
      <c r="C34182" s="60" t="s">
        <v>8419</v>
      </c>
      <c r="D34182" s="60" t="str">
        <f>HYPERLINK("https://rhld.insurance.arkansas.gov/NPILookup?Npi=1689342883","1689342883")</f>
        <v>1689342883</v>
      </c>
      <c r="E34182" s="60" t="s">
        <v>14212</v>
      </c>
      <c r="F34182" s="61"/>
      <c r="G34182" s="61"/>
      <c r="H34182" s="61"/>
    </row>
    <row r="34183" spans="2:8" x14ac:dyDescent="0.25">
      <c r="B34183" s="60" t="s">
        <v>8418</v>
      </c>
      <c r="C34183" s="60" t="s">
        <v>8419</v>
      </c>
      <c r="D34183" s="60" t="str">
        <f>HYPERLINK("https://rhld.insurance.arkansas.gov/NPILookup?Npi=1689357196","1689357196")</f>
        <v>1689357196</v>
      </c>
      <c r="E34183" s="60" t="s">
        <v>30833</v>
      </c>
      <c r="F34183" s="61"/>
      <c r="G34183" s="61"/>
      <c r="H34183" s="61"/>
    </row>
    <row r="34184" spans="2:8" x14ac:dyDescent="0.25">
      <c r="B34184" s="60" t="s">
        <v>8418</v>
      </c>
      <c r="C34184" s="60" t="s">
        <v>8419</v>
      </c>
      <c r="D34184" s="60" t="str">
        <f>HYPERLINK("https://rhld.insurance.arkansas.gov/NPILookup?Npi=1689627952","1689627952")</f>
        <v>1689627952</v>
      </c>
      <c r="E34184" s="60" t="s">
        <v>30834</v>
      </c>
      <c r="F34184" s="61"/>
      <c r="G34184" s="61"/>
      <c r="H34184" s="61"/>
    </row>
    <row r="34185" spans="2:8" x14ac:dyDescent="0.25">
      <c r="B34185" s="60" t="s">
        <v>8418</v>
      </c>
      <c r="C34185" s="60" t="s">
        <v>8419</v>
      </c>
      <c r="D34185" s="60" t="str">
        <f>HYPERLINK("https://rhld.insurance.arkansas.gov/NPILookup?Npi=1689631806","1689631806")</f>
        <v>1689631806</v>
      </c>
      <c r="E34185" s="60" t="s">
        <v>30835</v>
      </c>
      <c r="F34185" s="61"/>
      <c r="G34185" s="61"/>
      <c r="H34185" s="61"/>
    </row>
    <row r="34186" spans="2:8" x14ac:dyDescent="0.25">
      <c r="B34186" s="60" t="s">
        <v>8418</v>
      </c>
      <c r="C34186" s="60" t="s">
        <v>8419</v>
      </c>
      <c r="D34186" s="60" t="str">
        <f>HYPERLINK("https://rhld.insurance.arkansas.gov/NPILookup?Npi=1689826703","1689826703")</f>
        <v>1689826703</v>
      </c>
      <c r="E34186" s="60" t="s">
        <v>30836</v>
      </c>
      <c r="F34186" s="61"/>
      <c r="G34186" s="61"/>
      <c r="H34186" s="61"/>
    </row>
    <row r="34187" spans="2:8" x14ac:dyDescent="0.25">
      <c r="B34187" s="60" t="s">
        <v>8418</v>
      </c>
      <c r="C34187" s="60" t="s">
        <v>8419</v>
      </c>
      <c r="D34187" s="60" t="str">
        <f>HYPERLINK("https://rhld.insurance.arkansas.gov/NPILookup?Npi=1689866360","1689866360")</f>
        <v>1689866360</v>
      </c>
      <c r="E34187" s="60" t="s">
        <v>30837</v>
      </c>
      <c r="F34187" s="61"/>
      <c r="G34187" s="61"/>
      <c r="H34187" s="61"/>
    </row>
    <row r="34188" spans="2:8" x14ac:dyDescent="0.25">
      <c r="B34188" s="60" t="s">
        <v>8418</v>
      </c>
      <c r="C34188" s="60" t="s">
        <v>8419</v>
      </c>
      <c r="D34188" s="60" t="str">
        <f>HYPERLINK("https://rhld.insurance.arkansas.gov/NPILookup?Npi=1689868655","1689868655")</f>
        <v>1689868655</v>
      </c>
      <c r="E34188" s="60" t="s">
        <v>30838</v>
      </c>
      <c r="F34188" s="61"/>
      <c r="G34188" s="61"/>
      <c r="H34188" s="61"/>
    </row>
    <row r="34189" spans="2:8" x14ac:dyDescent="0.25">
      <c r="B34189" s="60" t="s">
        <v>8418</v>
      </c>
      <c r="C34189" s="60" t="s">
        <v>8419</v>
      </c>
      <c r="D34189" s="60" t="str">
        <f>HYPERLINK("https://rhld.insurance.arkansas.gov/NPILookup?Npi=1689950263","1689950263")</f>
        <v>1689950263</v>
      </c>
      <c r="E34189" s="60" t="s">
        <v>14213</v>
      </c>
      <c r="F34189" s="61"/>
      <c r="G34189" s="61"/>
      <c r="H34189" s="61"/>
    </row>
    <row r="34190" spans="2:8" x14ac:dyDescent="0.25">
      <c r="B34190" s="60" t="s">
        <v>8418</v>
      </c>
      <c r="C34190" s="60" t="s">
        <v>8419</v>
      </c>
      <c r="D34190" s="60" t="str">
        <f>HYPERLINK("https://rhld.insurance.arkansas.gov/NPILookup?Npi=1689978025","1689978025")</f>
        <v>1689978025</v>
      </c>
      <c r="E34190" s="60" t="s">
        <v>30839</v>
      </c>
      <c r="F34190" s="61"/>
      <c r="G34190" s="61"/>
      <c r="H34190" s="61"/>
    </row>
    <row r="34191" spans="2:8" x14ac:dyDescent="0.25">
      <c r="B34191" s="60" t="s">
        <v>8418</v>
      </c>
      <c r="C34191" s="60" t="s">
        <v>8419</v>
      </c>
      <c r="D34191" s="60" t="str">
        <f>HYPERLINK("https://rhld.insurance.arkansas.gov/NPILookup?Npi=1699070490","1699070490")</f>
        <v>1699070490</v>
      </c>
      <c r="E34191" s="60" t="s">
        <v>30840</v>
      </c>
      <c r="F34191" s="61"/>
      <c r="G34191" s="61"/>
      <c r="H34191" s="61"/>
    </row>
    <row r="34192" spans="2:8" x14ac:dyDescent="0.25">
      <c r="B34192" s="60" t="s">
        <v>8418</v>
      </c>
      <c r="C34192" s="60" t="s">
        <v>8419</v>
      </c>
      <c r="D34192" s="60" t="str">
        <f>HYPERLINK("https://rhld.insurance.arkansas.gov/NPILookup?Npi=1699102996","1699102996")</f>
        <v>1699102996</v>
      </c>
      <c r="E34192" s="60" t="s">
        <v>30841</v>
      </c>
      <c r="F34192" s="61"/>
      <c r="G34192" s="61"/>
      <c r="H34192" s="61"/>
    </row>
    <row r="34193" spans="2:8" x14ac:dyDescent="0.25">
      <c r="B34193" s="60" t="s">
        <v>8418</v>
      </c>
      <c r="C34193" s="60" t="s">
        <v>8419</v>
      </c>
      <c r="D34193" s="60" t="str">
        <f>HYPERLINK("https://rhld.insurance.arkansas.gov/NPILookup?Npi=1699116616","1699116616")</f>
        <v>1699116616</v>
      </c>
      <c r="E34193" s="60" t="s">
        <v>8726</v>
      </c>
      <c r="F34193" s="61"/>
      <c r="G34193" s="61"/>
      <c r="H34193" s="61"/>
    </row>
    <row r="34194" spans="2:8" x14ac:dyDescent="0.25">
      <c r="B34194" s="60" t="s">
        <v>8418</v>
      </c>
      <c r="C34194" s="60" t="s">
        <v>8419</v>
      </c>
      <c r="D34194" s="60" t="str">
        <f>HYPERLINK("https://rhld.insurance.arkansas.gov/NPILookup?Npi=1699118273","1699118273")</f>
        <v>1699118273</v>
      </c>
      <c r="E34194" s="60" t="s">
        <v>30842</v>
      </c>
      <c r="F34194" s="61"/>
      <c r="G34194" s="61"/>
      <c r="H34194" s="61"/>
    </row>
    <row r="34195" spans="2:8" x14ac:dyDescent="0.25">
      <c r="B34195" s="60" t="s">
        <v>8418</v>
      </c>
      <c r="C34195" s="60" t="s">
        <v>8419</v>
      </c>
      <c r="D34195" s="60" t="str">
        <f>HYPERLINK("https://rhld.insurance.arkansas.gov/NPILookup?Npi=1699122259","1699122259")</f>
        <v>1699122259</v>
      </c>
      <c r="E34195" s="60" t="s">
        <v>8727</v>
      </c>
      <c r="F34195" s="61"/>
      <c r="G34195" s="61"/>
      <c r="H34195" s="61"/>
    </row>
    <row r="34196" spans="2:8" x14ac:dyDescent="0.25">
      <c r="B34196" s="60" t="s">
        <v>8418</v>
      </c>
      <c r="C34196" s="60" t="s">
        <v>8419</v>
      </c>
      <c r="D34196" s="60" t="str">
        <f>HYPERLINK("https://rhld.insurance.arkansas.gov/NPILookup?Npi=1699133082","1699133082")</f>
        <v>1699133082</v>
      </c>
      <c r="E34196" s="60" t="s">
        <v>14214</v>
      </c>
      <c r="F34196" s="61"/>
      <c r="G34196" s="61"/>
      <c r="H34196" s="61"/>
    </row>
    <row r="34197" spans="2:8" x14ac:dyDescent="0.25">
      <c r="B34197" s="60" t="s">
        <v>8418</v>
      </c>
      <c r="C34197" s="60" t="s">
        <v>8419</v>
      </c>
      <c r="D34197" s="60" t="str">
        <f>HYPERLINK("https://rhld.insurance.arkansas.gov/NPILookup?Npi=1699203497","1699203497")</f>
        <v>1699203497</v>
      </c>
      <c r="E34197" s="60" t="s">
        <v>30843</v>
      </c>
      <c r="F34197" s="61"/>
      <c r="G34197" s="61"/>
      <c r="H34197" s="61"/>
    </row>
    <row r="34198" spans="2:8" x14ac:dyDescent="0.25">
      <c r="B34198" s="60" t="s">
        <v>8418</v>
      </c>
      <c r="C34198" s="60" t="s">
        <v>8419</v>
      </c>
      <c r="D34198" s="60" t="str">
        <f>HYPERLINK("https://rhld.insurance.arkansas.gov/NPILookup?Npi=1699251231","1699251231")</f>
        <v>1699251231</v>
      </c>
      <c r="E34198" s="60" t="s">
        <v>30844</v>
      </c>
      <c r="F34198" s="61"/>
      <c r="G34198" s="61"/>
      <c r="H34198" s="61"/>
    </row>
    <row r="34199" spans="2:8" x14ac:dyDescent="0.25">
      <c r="B34199" s="60" t="s">
        <v>8418</v>
      </c>
      <c r="C34199" s="60" t="s">
        <v>8419</v>
      </c>
      <c r="D34199" s="60" t="str">
        <f>HYPERLINK("https://rhld.insurance.arkansas.gov/NPILookup?Npi=1699271007","1699271007")</f>
        <v>1699271007</v>
      </c>
      <c r="E34199" s="60" t="s">
        <v>14215</v>
      </c>
      <c r="F34199" s="61"/>
      <c r="G34199" s="61"/>
      <c r="H34199" s="61"/>
    </row>
    <row r="34200" spans="2:8" x14ac:dyDescent="0.25">
      <c r="B34200" s="60" t="s">
        <v>8418</v>
      </c>
      <c r="C34200" s="60" t="s">
        <v>8419</v>
      </c>
      <c r="D34200" s="60" t="str">
        <f>HYPERLINK("https://rhld.insurance.arkansas.gov/NPILookup?Npi=1699332379","1699332379")</f>
        <v>1699332379</v>
      </c>
      <c r="E34200" s="60" t="s">
        <v>30845</v>
      </c>
      <c r="F34200" s="61"/>
      <c r="G34200" s="61"/>
      <c r="H34200" s="61"/>
    </row>
    <row r="34201" spans="2:8" x14ac:dyDescent="0.25">
      <c r="B34201" s="60" t="s">
        <v>8418</v>
      </c>
      <c r="C34201" s="60" t="s">
        <v>8419</v>
      </c>
      <c r="D34201" s="60" t="str">
        <f>HYPERLINK("https://rhld.insurance.arkansas.gov/NPILookup?Npi=1699340497","1699340497")</f>
        <v>1699340497</v>
      </c>
      <c r="E34201" s="60" t="s">
        <v>30846</v>
      </c>
      <c r="F34201" s="61"/>
      <c r="G34201" s="61"/>
      <c r="H34201" s="61"/>
    </row>
    <row r="34202" spans="2:8" x14ac:dyDescent="0.25">
      <c r="B34202" s="60" t="s">
        <v>8418</v>
      </c>
      <c r="C34202" s="60" t="s">
        <v>8419</v>
      </c>
      <c r="D34202" s="60" t="str">
        <f>HYPERLINK("https://rhld.insurance.arkansas.gov/NPILookup?Npi=1699349845","1699349845")</f>
        <v>1699349845</v>
      </c>
      <c r="E34202" s="60" t="s">
        <v>8728</v>
      </c>
      <c r="F34202" s="61"/>
      <c r="G34202" s="61"/>
      <c r="H34202" s="61"/>
    </row>
    <row r="34203" spans="2:8" x14ac:dyDescent="0.25">
      <c r="B34203" s="60" t="s">
        <v>8418</v>
      </c>
      <c r="C34203" s="60" t="s">
        <v>8419</v>
      </c>
      <c r="D34203" s="60" t="str">
        <f>HYPERLINK("https://rhld.insurance.arkansas.gov/NPILookup?Npi=1699359117","1699359117")</f>
        <v>1699359117</v>
      </c>
      <c r="E34203" s="60" t="s">
        <v>30847</v>
      </c>
      <c r="F34203" s="61"/>
      <c r="G34203" s="61"/>
      <c r="H34203" s="61"/>
    </row>
    <row r="34204" spans="2:8" x14ac:dyDescent="0.25">
      <c r="B34204" s="60" t="s">
        <v>8418</v>
      </c>
      <c r="C34204" s="60" t="s">
        <v>8419</v>
      </c>
      <c r="D34204" s="60" t="str">
        <f>HYPERLINK("https://rhld.insurance.arkansas.gov/NPILookup?Npi=1699447276","1699447276")</f>
        <v>1699447276</v>
      </c>
      <c r="E34204" s="60" t="s">
        <v>14216</v>
      </c>
      <c r="F34204" s="61"/>
      <c r="G34204" s="61"/>
      <c r="H34204" s="61"/>
    </row>
    <row r="34205" spans="2:8" x14ac:dyDescent="0.25">
      <c r="B34205" s="60" t="s">
        <v>8418</v>
      </c>
      <c r="C34205" s="60" t="s">
        <v>8419</v>
      </c>
      <c r="D34205" s="60" t="str">
        <f>HYPERLINK("https://rhld.insurance.arkansas.gov/NPILookup?Npi=1699449611","1699449611")</f>
        <v>1699449611</v>
      </c>
      <c r="E34205" s="60" t="s">
        <v>30848</v>
      </c>
      <c r="F34205" s="61"/>
      <c r="G34205" s="61"/>
      <c r="H34205" s="61"/>
    </row>
    <row r="34206" spans="2:8" x14ac:dyDescent="0.25">
      <c r="B34206" s="60" t="s">
        <v>8418</v>
      </c>
      <c r="C34206" s="60" t="s">
        <v>8419</v>
      </c>
      <c r="D34206" s="60" t="str">
        <f>HYPERLINK("https://rhld.insurance.arkansas.gov/NPILookup?Npi=1699451419","1699451419")</f>
        <v>1699451419</v>
      </c>
      <c r="E34206" s="60" t="s">
        <v>14217</v>
      </c>
      <c r="F34206" s="61"/>
      <c r="G34206" s="61"/>
      <c r="H34206" s="61"/>
    </row>
    <row r="34207" spans="2:8" x14ac:dyDescent="0.25">
      <c r="B34207" s="60" t="s">
        <v>8418</v>
      </c>
      <c r="C34207" s="60" t="s">
        <v>8419</v>
      </c>
      <c r="D34207" s="60" t="str">
        <f>HYPERLINK("https://rhld.insurance.arkansas.gov/NPILookup?Npi=1699515411","1699515411")</f>
        <v>1699515411</v>
      </c>
      <c r="E34207" s="60" t="s">
        <v>30849</v>
      </c>
      <c r="F34207" s="61"/>
      <c r="G34207" s="61"/>
      <c r="H34207" s="61"/>
    </row>
    <row r="34208" spans="2:8" x14ac:dyDescent="0.25">
      <c r="B34208" s="60" t="s">
        <v>8418</v>
      </c>
      <c r="C34208" s="60" t="s">
        <v>8419</v>
      </c>
      <c r="D34208" s="60" t="str">
        <f>HYPERLINK("https://rhld.insurance.arkansas.gov/NPILookup?Npi=1699515668","1699515668")</f>
        <v>1699515668</v>
      </c>
      <c r="E34208" s="60" t="s">
        <v>32547</v>
      </c>
      <c r="F34208" s="61"/>
      <c r="G34208" s="61"/>
      <c r="H34208" s="61"/>
    </row>
    <row r="34209" spans="2:8" x14ac:dyDescent="0.25">
      <c r="B34209" s="60" t="s">
        <v>8418</v>
      </c>
      <c r="C34209" s="60" t="s">
        <v>8419</v>
      </c>
      <c r="D34209" s="60" t="str">
        <f>HYPERLINK("https://rhld.insurance.arkansas.gov/NPILookup?Npi=1699543355","1699543355")</f>
        <v>1699543355</v>
      </c>
      <c r="E34209" s="60" t="s">
        <v>30850</v>
      </c>
      <c r="F34209" s="61"/>
      <c r="G34209" s="61"/>
      <c r="H34209" s="61"/>
    </row>
    <row r="34210" spans="2:8" x14ac:dyDescent="0.25">
      <c r="B34210" s="60" t="s">
        <v>8418</v>
      </c>
      <c r="C34210" s="60" t="s">
        <v>8419</v>
      </c>
      <c r="D34210" s="60" t="str">
        <f>HYPERLINK("https://rhld.insurance.arkansas.gov/NPILookup?Npi=1699926873","1699926873")</f>
        <v>1699926873</v>
      </c>
      <c r="E34210" s="60" t="s">
        <v>30851</v>
      </c>
      <c r="F34210" s="61"/>
      <c r="G34210" s="61"/>
      <c r="H34210" s="61"/>
    </row>
    <row r="34211" spans="2:8" x14ac:dyDescent="0.25">
      <c r="B34211" s="60" t="s">
        <v>8418</v>
      </c>
      <c r="C34211" s="60" t="s">
        <v>8419</v>
      </c>
      <c r="D34211" s="60" t="str">
        <f>HYPERLINK("https://rhld.insurance.arkansas.gov/NPILookup?Npi=1700020815","1700020815")</f>
        <v>1700020815</v>
      </c>
      <c r="E34211" s="60" t="s">
        <v>30852</v>
      </c>
      <c r="F34211" s="61"/>
      <c r="G34211" s="61"/>
      <c r="H34211" s="61"/>
    </row>
    <row r="34212" spans="2:8" x14ac:dyDescent="0.25">
      <c r="B34212" s="60" t="s">
        <v>8418</v>
      </c>
      <c r="C34212" s="60" t="s">
        <v>8419</v>
      </c>
      <c r="D34212" s="60" t="str">
        <f>HYPERLINK("https://rhld.insurance.arkansas.gov/NPILookup?Npi=1700043635","1700043635")</f>
        <v>1700043635</v>
      </c>
      <c r="E34212" s="60" t="s">
        <v>30853</v>
      </c>
      <c r="F34212" s="61"/>
      <c r="G34212" s="61"/>
      <c r="H34212" s="61"/>
    </row>
    <row r="34213" spans="2:8" x14ac:dyDescent="0.25">
      <c r="B34213" s="60" t="s">
        <v>8418</v>
      </c>
      <c r="C34213" s="60" t="s">
        <v>8419</v>
      </c>
      <c r="D34213" s="60" t="str">
        <f>HYPERLINK("https://rhld.insurance.arkansas.gov/NPILookup?Npi=1700145034","1700145034")</f>
        <v>1700145034</v>
      </c>
      <c r="E34213" s="60" t="s">
        <v>30854</v>
      </c>
      <c r="F34213" s="61"/>
      <c r="G34213" s="61"/>
      <c r="H34213" s="61"/>
    </row>
    <row r="34214" spans="2:8" x14ac:dyDescent="0.25">
      <c r="B34214" s="60" t="s">
        <v>8418</v>
      </c>
      <c r="C34214" s="60" t="s">
        <v>8419</v>
      </c>
      <c r="D34214" s="60" t="str">
        <f>HYPERLINK("https://rhld.insurance.arkansas.gov/NPILookup?Npi=1700188398","1700188398")</f>
        <v>1700188398</v>
      </c>
      <c r="E34214" s="60" t="s">
        <v>14218</v>
      </c>
      <c r="F34214" s="61"/>
      <c r="G34214" s="61"/>
      <c r="H34214" s="61"/>
    </row>
    <row r="34215" spans="2:8" x14ac:dyDescent="0.25">
      <c r="B34215" s="60" t="s">
        <v>8418</v>
      </c>
      <c r="C34215" s="60" t="s">
        <v>8419</v>
      </c>
      <c r="D34215" s="60" t="str">
        <f>HYPERLINK("https://rhld.insurance.arkansas.gov/NPILookup?Npi=1700191616","1700191616")</f>
        <v>1700191616</v>
      </c>
      <c r="E34215" s="60" t="s">
        <v>8729</v>
      </c>
      <c r="F34215" s="61"/>
      <c r="G34215" s="61"/>
      <c r="H34215" s="61"/>
    </row>
    <row r="34216" spans="2:8" x14ac:dyDescent="0.25">
      <c r="B34216" s="60" t="s">
        <v>8418</v>
      </c>
      <c r="C34216" s="60" t="s">
        <v>8419</v>
      </c>
      <c r="D34216" s="60" t="str">
        <f>HYPERLINK("https://rhld.insurance.arkansas.gov/NPILookup?Npi=1700330578","1700330578")</f>
        <v>1700330578</v>
      </c>
      <c r="E34216" s="60" t="s">
        <v>14219</v>
      </c>
      <c r="F34216" s="61"/>
      <c r="G34216" s="61"/>
      <c r="H34216" s="61"/>
    </row>
    <row r="34217" spans="2:8" x14ac:dyDescent="0.25">
      <c r="B34217" s="60" t="s">
        <v>8418</v>
      </c>
      <c r="C34217" s="60" t="s">
        <v>8419</v>
      </c>
      <c r="D34217" s="60" t="str">
        <f>HYPERLINK("https://rhld.insurance.arkansas.gov/NPILookup?Npi=1700451630","1700451630")</f>
        <v>1700451630</v>
      </c>
      <c r="E34217" s="60" t="s">
        <v>30855</v>
      </c>
      <c r="F34217" s="61"/>
      <c r="G34217" s="61"/>
      <c r="H34217" s="61"/>
    </row>
    <row r="34218" spans="2:8" x14ac:dyDescent="0.25">
      <c r="B34218" s="60" t="s">
        <v>8418</v>
      </c>
      <c r="C34218" s="60" t="s">
        <v>8419</v>
      </c>
      <c r="D34218" s="60" t="str">
        <f>HYPERLINK("https://rhld.insurance.arkansas.gov/NPILookup?Npi=1700452562","1700452562")</f>
        <v>1700452562</v>
      </c>
      <c r="E34218" s="60" t="s">
        <v>8730</v>
      </c>
      <c r="F34218" s="61"/>
      <c r="G34218" s="61"/>
      <c r="H34218" s="61"/>
    </row>
    <row r="34219" spans="2:8" x14ac:dyDescent="0.25">
      <c r="B34219" s="60" t="s">
        <v>8418</v>
      </c>
      <c r="C34219" s="60" t="s">
        <v>8419</v>
      </c>
      <c r="D34219" s="60" t="str">
        <f>HYPERLINK("https://rhld.insurance.arkansas.gov/NPILookup?Npi=1700474236","1700474236")</f>
        <v>1700474236</v>
      </c>
      <c r="E34219" s="60" t="s">
        <v>14220</v>
      </c>
      <c r="F34219" s="61"/>
      <c r="G34219" s="61"/>
      <c r="H34219" s="61"/>
    </row>
    <row r="34220" spans="2:8" x14ac:dyDescent="0.25">
      <c r="B34220" s="60" t="s">
        <v>8418</v>
      </c>
      <c r="C34220" s="60" t="s">
        <v>8419</v>
      </c>
      <c r="D34220" s="60" t="str">
        <f>HYPERLINK("https://rhld.insurance.arkansas.gov/NPILookup?Npi=1700475597","1700475597")</f>
        <v>1700475597</v>
      </c>
      <c r="E34220" s="60" t="s">
        <v>30856</v>
      </c>
      <c r="F34220" s="61"/>
      <c r="G34220" s="61"/>
      <c r="H34220" s="61"/>
    </row>
    <row r="34221" spans="2:8" x14ac:dyDescent="0.25">
      <c r="B34221" s="60" t="s">
        <v>8418</v>
      </c>
      <c r="C34221" s="60" t="s">
        <v>8419</v>
      </c>
      <c r="D34221" s="60" t="str">
        <f>HYPERLINK("https://rhld.insurance.arkansas.gov/NPILookup?Npi=1700524840","1700524840")</f>
        <v>1700524840</v>
      </c>
      <c r="E34221" s="60" t="s">
        <v>30857</v>
      </c>
      <c r="F34221" s="61"/>
      <c r="G34221" s="61"/>
      <c r="H34221" s="61"/>
    </row>
    <row r="34222" spans="2:8" x14ac:dyDescent="0.25">
      <c r="B34222" s="60" t="s">
        <v>8418</v>
      </c>
      <c r="C34222" s="60" t="s">
        <v>8419</v>
      </c>
      <c r="D34222" s="60" t="str">
        <f>HYPERLINK("https://rhld.insurance.arkansas.gov/NPILookup?Npi=1700568110","1700568110")</f>
        <v>1700568110</v>
      </c>
      <c r="E34222" s="60" t="s">
        <v>8731</v>
      </c>
      <c r="F34222" s="61"/>
      <c r="G34222" s="61"/>
      <c r="H34222" s="61"/>
    </row>
    <row r="34223" spans="2:8" x14ac:dyDescent="0.25">
      <c r="B34223" s="60" t="s">
        <v>8418</v>
      </c>
      <c r="C34223" s="60" t="s">
        <v>8419</v>
      </c>
      <c r="D34223" s="60" t="str">
        <f>HYPERLINK("https://rhld.insurance.arkansas.gov/NPILookup?Npi=1700582731","1700582731")</f>
        <v>1700582731</v>
      </c>
      <c r="E34223" s="60" t="s">
        <v>32548</v>
      </c>
      <c r="F34223" s="61"/>
      <c r="G34223" s="61"/>
      <c r="H34223" s="61"/>
    </row>
    <row r="34224" spans="2:8" x14ac:dyDescent="0.25">
      <c r="B34224" s="60" t="s">
        <v>8418</v>
      </c>
      <c r="C34224" s="60" t="s">
        <v>8419</v>
      </c>
      <c r="D34224" s="60" t="str">
        <f>HYPERLINK("https://rhld.insurance.arkansas.gov/NPILookup?Npi=1700808680","1700808680")</f>
        <v>1700808680</v>
      </c>
      <c r="E34224" s="60" t="s">
        <v>8732</v>
      </c>
      <c r="F34224" s="61"/>
      <c r="G34224" s="61"/>
      <c r="H34224" s="61"/>
    </row>
    <row r="34225" spans="2:8" x14ac:dyDescent="0.25">
      <c r="B34225" s="60" t="s">
        <v>8418</v>
      </c>
      <c r="C34225" s="60" t="s">
        <v>8419</v>
      </c>
      <c r="D34225" s="60" t="str">
        <f>HYPERLINK("https://rhld.insurance.arkansas.gov/NPILookup?Npi=1700920337","1700920337")</f>
        <v>1700920337</v>
      </c>
      <c r="E34225" s="60" t="s">
        <v>14221</v>
      </c>
      <c r="F34225" s="61"/>
      <c r="G34225" s="61"/>
      <c r="H34225" s="61"/>
    </row>
    <row r="34226" spans="2:8" x14ac:dyDescent="0.25">
      <c r="B34226" s="60" t="s">
        <v>8418</v>
      </c>
      <c r="C34226" s="60" t="s">
        <v>8419</v>
      </c>
      <c r="D34226" s="60" t="str">
        <f>HYPERLINK("https://rhld.insurance.arkansas.gov/NPILookup?Npi=1700944535","1700944535")</f>
        <v>1700944535</v>
      </c>
      <c r="E34226" s="60" t="s">
        <v>4865</v>
      </c>
      <c r="F34226" s="61"/>
      <c r="G34226" s="61"/>
      <c r="H34226" s="61"/>
    </row>
    <row r="34227" spans="2:8" x14ac:dyDescent="0.25">
      <c r="B34227" s="60" t="s">
        <v>8418</v>
      </c>
      <c r="C34227" s="60" t="s">
        <v>8419</v>
      </c>
      <c r="D34227" s="60" t="str">
        <f>HYPERLINK("https://rhld.insurance.arkansas.gov/NPILookup?Npi=1700973302","1700973302")</f>
        <v>1700973302</v>
      </c>
      <c r="E34227" s="60" t="s">
        <v>8733</v>
      </c>
      <c r="F34227" s="61"/>
      <c r="G34227" s="61"/>
      <c r="H34227" s="61"/>
    </row>
    <row r="34228" spans="2:8" x14ac:dyDescent="0.25">
      <c r="B34228" s="60" t="s">
        <v>8418</v>
      </c>
      <c r="C34228" s="60" t="s">
        <v>8419</v>
      </c>
      <c r="D34228" s="60" t="str">
        <f>HYPERLINK("https://rhld.insurance.arkansas.gov/NPILookup?Npi=1710025176","1710025176")</f>
        <v>1710025176</v>
      </c>
      <c r="E34228" s="60" t="s">
        <v>30858</v>
      </c>
      <c r="F34228" s="61"/>
      <c r="G34228" s="61"/>
      <c r="H34228" s="61"/>
    </row>
    <row r="34229" spans="2:8" x14ac:dyDescent="0.25">
      <c r="B34229" s="60" t="s">
        <v>8418</v>
      </c>
      <c r="C34229" s="60" t="s">
        <v>8419</v>
      </c>
      <c r="D34229" s="60" t="str">
        <f>HYPERLINK("https://rhld.insurance.arkansas.gov/NPILookup?Npi=1710035316","1710035316")</f>
        <v>1710035316</v>
      </c>
      <c r="E34229" s="60" t="s">
        <v>30859</v>
      </c>
      <c r="F34229" s="61"/>
      <c r="G34229" s="61"/>
      <c r="H34229" s="61"/>
    </row>
    <row r="34230" spans="2:8" x14ac:dyDescent="0.25">
      <c r="B34230" s="60" t="s">
        <v>8418</v>
      </c>
      <c r="C34230" s="60" t="s">
        <v>8419</v>
      </c>
      <c r="D34230" s="60" t="str">
        <f>HYPERLINK("https://rhld.insurance.arkansas.gov/NPILookup?Npi=1710097100","1710097100")</f>
        <v>1710097100</v>
      </c>
      <c r="E34230" s="60" t="s">
        <v>14222</v>
      </c>
      <c r="F34230" s="61"/>
      <c r="G34230" s="61"/>
      <c r="H34230" s="61"/>
    </row>
    <row r="34231" spans="2:8" x14ac:dyDescent="0.25">
      <c r="B34231" s="60" t="s">
        <v>8418</v>
      </c>
      <c r="C34231" s="60" t="s">
        <v>8419</v>
      </c>
      <c r="D34231" s="60" t="str">
        <f>HYPERLINK("https://rhld.insurance.arkansas.gov/NPILookup?Npi=1710133194","1710133194")</f>
        <v>1710133194</v>
      </c>
      <c r="E34231" s="60" t="s">
        <v>8734</v>
      </c>
      <c r="F34231" s="61"/>
      <c r="G34231" s="61"/>
      <c r="H34231" s="61"/>
    </row>
    <row r="34232" spans="2:8" x14ac:dyDescent="0.25">
      <c r="B34232" s="60" t="s">
        <v>8418</v>
      </c>
      <c r="C34232" s="60" t="s">
        <v>8419</v>
      </c>
      <c r="D34232" s="60" t="str">
        <f>HYPERLINK("https://rhld.insurance.arkansas.gov/NPILookup?Npi=1710164561","1710164561")</f>
        <v>1710164561</v>
      </c>
      <c r="E34232" s="60" t="s">
        <v>30860</v>
      </c>
      <c r="F34232" s="61"/>
      <c r="G34232" s="61"/>
      <c r="H34232" s="61"/>
    </row>
    <row r="34233" spans="2:8" x14ac:dyDescent="0.25">
      <c r="B34233" s="60" t="s">
        <v>8418</v>
      </c>
      <c r="C34233" s="60" t="s">
        <v>8419</v>
      </c>
      <c r="D34233" s="60" t="str">
        <f>HYPERLINK("https://rhld.insurance.arkansas.gov/NPILookup?Npi=1710189188","1710189188")</f>
        <v>1710189188</v>
      </c>
      <c r="E34233" s="60" t="s">
        <v>14223</v>
      </c>
      <c r="F34233" s="61"/>
      <c r="G34233" s="61"/>
      <c r="H34233" s="61"/>
    </row>
    <row r="34234" spans="2:8" x14ac:dyDescent="0.25">
      <c r="B34234" s="60" t="s">
        <v>8418</v>
      </c>
      <c r="C34234" s="60" t="s">
        <v>8419</v>
      </c>
      <c r="D34234" s="60" t="str">
        <f>HYPERLINK("https://rhld.insurance.arkansas.gov/NPILookup?Npi=1710301882","1710301882")</f>
        <v>1710301882</v>
      </c>
      <c r="E34234" s="60" t="s">
        <v>14224</v>
      </c>
      <c r="F34234" s="61"/>
      <c r="G34234" s="61"/>
      <c r="H34234" s="61"/>
    </row>
    <row r="34235" spans="2:8" x14ac:dyDescent="0.25">
      <c r="B34235" s="60" t="s">
        <v>8418</v>
      </c>
      <c r="C34235" s="60" t="s">
        <v>8419</v>
      </c>
      <c r="D34235" s="60" t="str">
        <f>HYPERLINK("https://rhld.insurance.arkansas.gov/NPILookup?Npi=1710492616","1710492616")</f>
        <v>1710492616</v>
      </c>
      <c r="E34235" s="60" t="s">
        <v>8735</v>
      </c>
      <c r="F34235" s="61"/>
      <c r="G34235" s="61"/>
      <c r="H34235" s="61"/>
    </row>
    <row r="34236" spans="2:8" x14ac:dyDescent="0.25">
      <c r="B34236" s="60" t="s">
        <v>8418</v>
      </c>
      <c r="C34236" s="60" t="s">
        <v>8419</v>
      </c>
      <c r="D34236" s="60" t="str">
        <f>HYPERLINK("https://rhld.insurance.arkansas.gov/NPILookup?Npi=1710499447","1710499447")</f>
        <v>1710499447</v>
      </c>
      <c r="E34236" s="60" t="s">
        <v>8736</v>
      </c>
      <c r="F34236" s="61"/>
      <c r="G34236" s="61"/>
      <c r="H34236" s="61"/>
    </row>
    <row r="34237" spans="2:8" x14ac:dyDescent="0.25">
      <c r="B34237" s="60" t="s">
        <v>8418</v>
      </c>
      <c r="C34237" s="60" t="s">
        <v>8419</v>
      </c>
      <c r="D34237" s="60" t="str">
        <f>HYPERLINK("https://rhld.insurance.arkansas.gov/NPILookup?Npi=1710530365","1710530365")</f>
        <v>1710530365</v>
      </c>
      <c r="E34237" s="60" t="s">
        <v>30861</v>
      </c>
      <c r="F34237" s="61"/>
      <c r="G34237" s="61"/>
      <c r="H34237" s="61"/>
    </row>
    <row r="34238" spans="2:8" x14ac:dyDescent="0.25">
      <c r="B34238" s="60" t="s">
        <v>8418</v>
      </c>
      <c r="C34238" s="60" t="s">
        <v>8419</v>
      </c>
      <c r="D34238" s="60" t="str">
        <f>HYPERLINK("https://rhld.insurance.arkansas.gov/NPILookup?Npi=1710552732","1710552732")</f>
        <v>1710552732</v>
      </c>
      <c r="E34238" s="60" t="s">
        <v>30862</v>
      </c>
      <c r="F34238" s="61"/>
      <c r="G34238" s="61"/>
      <c r="H34238" s="61"/>
    </row>
    <row r="34239" spans="2:8" x14ac:dyDescent="0.25">
      <c r="B34239" s="60" t="s">
        <v>8418</v>
      </c>
      <c r="C34239" s="60" t="s">
        <v>8419</v>
      </c>
      <c r="D34239" s="60" t="str">
        <f>HYPERLINK("https://rhld.insurance.arkansas.gov/NPILookup?Npi=1710575048","1710575048")</f>
        <v>1710575048</v>
      </c>
      <c r="E34239" s="60" t="s">
        <v>30863</v>
      </c>
      <c r="F34239" s="61"/>
      <c r="G34239" s="61"/>
      <c r="H34239" s="61"/>
    </row>
    <row r="34240" spans="2:8" x14ac:dyDescent="0.25">
      <c r="B34240" s="60" t="s">
        <v>8418</v>
      </c>
      <c r="C34240" s="60" t="s">
        <v>8419</v>
      </c>
      <c r="D34240" s="60" t="str">
        <f>HYPERLINK("https://rhld.insurance.arkansas.gov/NPILookup?Npi=1710599212","1710599212")</f>
        <v>1710599212</v>
      </c>
      <c r="E34240" s="60" t="s">
        <v>8737</v>
      </c>
      <c r="F34240" s="61"/>
      <c r="G34240" s="61"/>
      <c r="H34240" s="61"/>
    </row>
    <row r="34241" spans="2:8" x14ac:dyDescent="0.25">
      <c r="B34241" s="60" t="s">
        <v>8418</v>
      </c>
      <c r="C34241" s="60" t="s">
        <v>8419</v>
      </c>
      <c r="D34241" s="60" t="str">
        <f>HYPERLINK("https://rhld.insurance.arkansas.gov/NPILookup?Npi=1710616990","1710616990")</f>
        <v>1710616990</v>
      </c>
      <c r="E34241" s="60" t="s">
        <v>14225</v>
      </c>
      <c r="F34241" s="61"/>
      <c r="G34241" s="61"/>
      <c r="H34241" s="61"/>
    </row>
    <row r="34242" spans="2:8" x14ac:dyDescent="0.25">
      <c r="B34242" s="60" t="s">
        <v>8418</v>
      </c>
      <c r="C34242" s="60" t="s">
        <v>8419</v>
      </c>
      <c r="D34242" s="60" t="str">
        <f>HYPERLINK("https://rhld.insurance.arkansas.gov/NPILookup?Npi=1710624812","1710624812")</f>
        <v>1710624812</v>
      </c>
      <c r="E34242" s="60" t="s">
        <v>14226</v>
      </c>
      <c r="F34242" s="61"/>
      <c r="G34242" s="61"/>
      <c r="H34242" s="61"/>
    </row>
    <row r="34243" spans="2:8" x14ac:dyDescent="0.25">
      <c r="B34243" s="60" t="s">
        <v>8418</v>
      </c>
      <c r="C34243" s="60" t="s">
        <v>8419</v>
      </c>
      <c r="D34243" s="60" t="str">
        <f>HYPERLINK("https://rhld.insurance.arkansas.gov/NPILookup?Npi=1710692520","1710692520")</f>
        <v>1710692520</v>
      </c>
      <c r="E34243" s="60" t="s">
        <v>8738</v>
      </c>
      <c r="F34243" s="61"/>
      <c r="G34243" s="61"/>
      <c r="H34243" s="61"/>
    </row>
    <row r="34244" spans="2:8" x14ac:dyDescent="0.25">
      <c r="B34244" s="60" t="s">
        <v>8418</v>
      </c>
      <c r="C34244" s="60" t="s">
        <v>8419</v>
      </c>
      <c r="D34244" s="60" t="str">
        <f>HYPERLINK("https://rhld.insurance.arkansas.gov/NPILookup?Npi=1710710249","1710710249")</f>
        <v>1710710249</v>
      </c>
      <c r="E34244" s="60" t="s">
        <v>32549</v>
      </c>
      <c r="F34244" s="61"/>
      <c r="G34244" s="61"/>
      <c r="H34244" s="61"/>
    </row>
    <row r="34245" spans="2:8" x14ac:dyDescent="0.25">
      <c r="B34245" s="60" t="s">
        <v>8418</v>
      </c>
      <c r="C34245" s="60" t="s">
        <v>8419</v>
      </c>
      <c r="D34245" s="60" t="str">
        <f>HYPERLINK("https://rhld.insurance.arkansas.gov/NPILookup?Npi=1710733779","1710733779")</f>
        <v>1710733779</v>
      </c>
      <c r="E34245" s="60" t="s">
        <v>30864</v>
      </c>
      <c r="F34245" s="61"/>
      <c r="G34245" s="61"/>
      <c r="H34245" s="61"/>
    </row>
    <row r="34246" spans="2:8" x14ac:dyDescent="0.25">
      <c r="B34246" s="60" t="s">
        <v>8418</v>
      </c>
      <c r="C34246" s="60" t="s">
        <v>8419</v>
      </c>
      <c r="D34246" s="60" t="str">
        <f>HYPERLINK("https://rhld.insurance.arkansas.gov/NPILookup?Npi=1710944368","1710944368")</f>
        <v>1710944368</v>
      </c>
      <c r="E34246" s="60" t="s">
        <v>8739</v>
      </c>
      <c r="F34246" s="61"/>
      <c r="G34246" s="61"/>
      <c r="H34246" s="61"/>
    </row>
    <row r="34247" spans="2:8" x14ac:dyDescent="0.25">
      <c r="B34247" s="60" t="s">
        <v>8418</v>
      </c>
      <c r="C34247" s="60" t="s">
        <v>8419</v>
      </c>
      <c r="D34247" s="60" t="str">
        <f>HYPERLINK("https://rhld.insurance.arkansas.gov/NPILookup?Npi=1720039381","1720039381")</f>
        <v>1720039381</v>
      </c>
      <c r="E34247" s="60" t="s">
        <v>30865</v>
      </c>
      <c r="F34247" s="61"/>
      <c r="G34247" s="61"/>
      <c r="H34247" s="61"/>
    </row>
    <row r="34248" spans="2:8" x14ac:dyDescent="0.25">
      <c r="B34248" s="60" t="s">
        <v>8418</v>
      </c>
      <c r="C34248" s="60" t="s">
        <v>8419</v>
      </c>
      <c r="D34248" s="60" t="str">
        <f>HYPERLINK("https://rhld.insurance.arkansas.gov/NPILookup?Npi=1720137987","1720137987")</f>
        <v>1720137987</v>
      </c>
      <c r="E34248" s="60" t="s">
        <v>8740</v>
      </c>
      <c r="F34248" s="61"/>
      <c r="G34248" s="61"/>
      <c r="H34248" s="61"/>
    </row>
    <row r="34249" spans="2:8" x14ac:dyDescent="0.25">
      <c r="B34249" s="60" t="s">
        <v>8418</v>
      </c>
      <c r="C34249" s="60" t="s">
        <v>8419</v>
      </c>
      <c r="D34249" s="60" t="str">
        <f>HYPERLINK("https://rhld.insurance.arkansas.gov/NPILookup?Npi=1720152713","1720152713")</f>
        <v>1720152713</v>
      </c>
      <c r="E34249" s="60" t="s">
        <v>30866</v>
      </c>
      <c r="F34249" s="61"/>
      <c r="G34249" s="61"/>
      <c r="H34249" s="61"/>
    </row>
    <row r="34250" spans="2:8" x14ac:dyDescent="0.25">
      <c r="B34250" s="60" t="s">
        <v>8418</v>
      </c>
      <c r="C34250" s="60" t="s">
        <v>8419</v>
      </c>
      <c r="D34250" s="60" t="str">
        <f>HYPERLINK("https://rhld.insurance.arkansas.gov/NPILookup?Npi=1720191844","1720191844")</f>
        <v>1720191844</v>
      </c>
      <c r="E34250" s="60" t="s">
        <v>8741</v>
      </c>
      <c r="F34250" s="61"/>
      <c r="G34250" s="61"/>
      <c r="H34250" s="61"/>
    </row>
    <row r="34251" spans="2:8" x14ac:dyDescent="0.25">
      <c r="B34251" s="60" t="s">
        <v>8418</v>
      </c>
      <c r="C34251" s="60" t="s">
        <v>8419</v>
      </c>
      <c r="D34251" s="60" t="str">
        <f>HYPERLINK("https://rhld.insurance.arkansas.gov/NPILookup?Npi=1720196595","1720196595")</f>
        <v>1720196595</v>
      </c>
      <c r="E34251" s="60" t="s">
        <v>30867</v>
      </c>
      <c r="F34251" s="61"/>
      <c r="G34251" s="61"/>
      <c r="H34251" s="61"/>
    </row>
    <row r="34252" spans="2:8" x14ac:dyDescent="0.25">
      <c r="B34252" s="60" t="s">
        <v>8418</v>
      </c>
      <c r="C34252" s="60" t="s">
        <v>8419</v>
      </c>
      <c r="D34252" s="60" t="str">
        <f>HYPERLINK("https://rhld.insurance.arkansas.gov/NPILookup?Npi=1720234420","1720234420")</f>
        <v>1720234420</v>
      </c>
      <c r="E34252" s="60" t="s">
        <v>8742</v>
      </c>
      <c r="F34252" s="61"/>
      <c r="G34252" s="61"/>
      <c r="H34252" s="61"/>
    </row>
    <row r="34253" spans="2:8" x14ac:dyDescent="0.25">
      <c r="B34253" s="60" t="s">
        <v>8418</v>
      </c>
      <c r="C34253" s="60" t="s">
        <v>8419</v>
      </c>
      <c r="D34253" s="60" t="str">
        <f>HYPERLINK("https://rhld.insurance.arkansas.gov/NPILookup?Npi=1720236615","1720236615")</f>
        <v>1720236615</v>
      </c>
      <c r="E34253" s="60" t="s">
        <v>30868</v>
      </c>
      <c r="F34253" s="61"/>
      <c r="G34253" s="61"/>
      <c r="H34253" s="61"/>
    </row>
    <row r="34254" spans="2:8" x14ac:dyDescent="0.25">
      <c r="B34254" s="60" t="s">
        <v>8418</v>
      </c>
      <c r="C34254" s="60" t="s">
        <v>8419</v>
      </c>
      <c r="D34254" s="60" t="str">
        <f>HYPERLINK("https://rhld.insurance.arkansas.gov/NPILookup?Npi=1720238041","1720238041")</f>
        <v>1720238041</v>
      </c>
      <c r="E34254" s="60" t="s">
        <v>30869</v>
      </c>
      <c r="F34254" s="61"/>
      <c r="G34254" s="61"/>
      <c r="H34254" s="61"/>
    </row>
    <row r="34255" spans="2:8" x14ac:dyDescent="0.25">
      <c r="B34255" s="60" t="s">
        <v>8418</v>
      </c>
      <c r="C34255" s="60" t="s">
        <v>8419</v>
      </c>
      <c r="D34255" s="60" t="str">
        <f>HYPERLINK("https://rhld.insurance.arkansas.gov/NPILookup?Npi=1720274855","1720274855")</f>
        <v>1720274855</v>
      </c>
      <c r="E34255" s="60" t="s">
        <v>8743</v>
      </c>
      <c r="F34255" s="61"/>
      <c r="G34255" s="61"/>
      <c r="H34255" s="61"/>
    </row>
    <row r="34256" spans="2:8" x14ac:dyDescent="0.25">
      <c r="B34256" s="60" t="s">
        <v>8418</v>
      </c>
      <c r="C34256" s="60" t="s">
        <v>8419</v>
      </c>
      <c r="D34256" s="60" t="str">
        <f>HYPERLINK("https://rhld.insurance.arkansas.gov/NPILookup?Npi=1720408156","1720408156")</f>
        <v>1720408156</v>
      </c>
      <c r="E34256" s="60" t="s">
        <v>14227</v>
      </c>
      <c r="F34256" s="61"/>
      <c r="G34256" s="61"/>
      <c r="H34256" s="61"/>
    </row>
    <row r="34257" spans="2:8" x14ac:dyDescent="0.25">
      <c r="B34257" s="60" t="s">
        <v>8418</v>
      </c>
      <c r="C34257" s="60" t="s">
        <v>8419</v>
      </c>
      <c r="D34257" s="60" t="str">
        <f>HYPERLINK("https://rhld.insurance.arkansas.gov/NPILookup?Npi=1720472509","1720472509")</f>
        <v>1720472509</v>
      </c>
      <c r="E34257" s="60" t="s">
        <v>1370</v>
      </c>
      <c r="F34257" s="61"/>
      <c r="G34257" s="61"/>
      <c r="H34257" s="61"/>
    </row>
    <row r="34258" spans="2:8" x14ac:dyDescent="0.25">
      <c r="B34258" s="60" t="s">
        <v>8418</v>
      </c>
      <c r="C34258" s="60" t="s">
        <v>8419</v>
      </c>
      <c r="D34258" s="60" t="str">
        <f>HYPERLINK("https://rhld.insurance.arkansas.gov/NPILookup?Npi=1720488430","1720488430")</f>
        <v>1720488430</v>
      </c>
      <c r="E34258" s="60" t="s">
        <v>8744</v>
      </c>
      <c r="F34258" s="61"/>
      <c r="G34258" s="61"/>
      <c r="H34258" s="61"/>
    </row>
    <row r="34259" spans="2:8" x14ac:dyDescent="0.25">
      <c r="B34259" s="60" t="s">
        <v>8418</v>
      </c>
      <c r="C34259" s="60" t="s">
        <v>8419</v>
      </c>
      <c r="D34259" s="60" t="str">
        <f>HYPERLINK("https://rhld.insurance.arkansas.gov/NPILookup?Npi=1720518277","1720518277")</f>
        <v>1720518277</v>
      </c>
      <c r="E34259" s="60" t="s">
        <v>30870</v>
      </c>
      <c r="F34259" s="61"/>
      <c r="G34259" s="61"/>
      <c r="H34259" s="61"/>
    </row>
    <row r="34260" spans="2:8" x14ac:dyDescent="0.25">
      <c r="B34260" s="60" t="s">
        <v>8418</v>
      </c>
      <c r="C34260" s="60" t="s">
        <v>8419</v>
      </c>
      <c r="D34260" s="60" t="str">
        <f>HYPERLINK("https://rhld.insurance.arkansas.gov/NPILookup?Npi=1720535065","1720535065")</f>
        <v>1720535065</v>
      </c>
      <c r="E34260" s="60" t="s">
        <v>30871</v>
      </c>
      <c r="F34260" s="61"/>
      <c r="G34260" s="61"/>
      <c r="H34260" s="61"/>
    </row>
    <row r="34261" spans="2:8" x14ac:dyDescent="0.25">
      <c r="B34261" s="60" t="s">
        <v>8418</v>
      </c>
      <c r="C34261" s="60" t="s">
        <v>8419</v>
      </c>
      <c r="D34261" s="60" t="str">
        <f>HYPERLINK("https://rhld.insurance.arkansas.gov/NPILookup?Npi=1720568215","1720568215")</f>
        <v>1720568215</v>
      </c>
      <c r="E34261" s="60" t="s">
        <v>30872</v>
      </c>
      <c r="F34261" s="61"/>
      <c r="G34261" s="61"/>
      <c r="H34261" s="61"/>
    </row>
    <row r="34262" spans="2:8" x14ac:dyDescent="0.25">
      <c r="B34262" s="60" t="s">
        <v>8418</v>
      </c>
      <c r="C34262" s="60" t="s">
        <v>8419</v>
      </c>
      <c r="D34262" s="60" t="str">
        <f>HYPERLINK("https://rhld.insurance.arkansas.gov/NPILookup?Npi=1720581291","1720581291")</f>
        <v>1720581291</v>
      </c>
      <c r="E34262" s="60" t="s">
        <v>30873</v>
      </c>
      <c r="F34262" s="61"/>
      <c r="G34262" s="61"/>
      <c r="H34262" s="61"/>
    </row>
    <row r="34263" spans="2:8" x14ac:dyDescent="0.25">
      <c r="B34263" s="60" t="s">
        <v>8418</v>
      </c>
      <c r="C34263" s="60" t="s">
        <v>8419</v>
      </c>
      <c r="D34263" s="60" t="str">
        <f>HYPERLINK("https://rhld.insurance.arkansas.gov/NPILookup?Npi=1720600422","1720600422")</f>
        <v>1720600422</v>
      </c>
      <c r="E34263" s="60" t="s">
        <v>5281</v>
      </c>
      <c r="F34263" s="61"/>
      <c r="G34263" s="61"/>
      <c r="H34263" s="61"/>
    </row>
    <row r="34264" spans="2:8" x14ac:dyDescent="0.25">
      <c r="B34264" s="60" t="s">
        <v>8418</v>
      </c>
      <c r="C34264" s="60" t="s">
        <v>8419</v>
      </c>
      <c r="D34264" s="60" t="str">
        <f>HYPERLINK("https://rhld.insurance.arkansas.gov/NPILookup?Npi=1720627938","1720627938")</f>
        <v>1720627938</v>
      </c>
      <c r="E34264" s="60" t="s">
        <v>30874</v>
      </c>
      <c r="F34264" s="61"/>
      <c r="G34264" s="61"/>
      <c r="H34264" s="61"/>
    </row>
    <row r="34265" spans="2:8" x14ac:dyDescent="0.25">
      <c r="B34265" s="60" t="s">
        <v>8418</v>
      </c>
      <c r="C34265" s="60" t="s">
        <v>8419</v>
      </c>
      <c r="D34265" s="60" t="str">
        <f>HYPERLINK("https://rhld.insurance.arkansas.gov/NPILookup?Npi=1720739303","1720739303")</f>
        <v>1720739303</v>
      </c>
      <c r="E34265" s="60" t="s">
        <v>16921</v>
      </c>
      <c r="F34265" s="61"/>
      <c r="G34265" s="61"/>
      <c r="H34265" s="61"/>
    </row>
    <row r="34266" spans="2:8" x14ac:dyDescent="0.25">
      <c r="B34266" s="60" t="s">
        <v>8418</v>
      </c>
      <c r="C34266" s="60" t="s">
        <v>8419</v>
      </c>
      <c r="D34266" s="60" t="str">
        <f>HYPERLINK("https://rhld.insurance.arkansas.gov/NPILookup?Npi=1730121476","1730121476")</f>
        <v>1730121476</v>
      </c>
      <c r="E34266" s="60" t="s">
        <v>30875</v>
      </c>
      <c r="F34266" s="61"/>
      <c r="G34266" s="61"/>
      <c r="H34266" s="61"/>
    </row>
    <row r="34267" spans="2:8" x14ac:dyDescent="0.25">
      <c r="B34267" s="60" t="s">
        <v>8418</v>
      </c>
      <c r="C34267" s="60" t="s">
        <v>8419</v>
      </c>
      <c r="D34267" s="60" t="str">
        <f>HYPERLINK("https://rhld.insurance.arkansas.gov/NPILookup?Npi=1730223058","1730223058")</f>
        <v>1730223058</v>
      </c>
      <c r="E34267" s="60" t="s">
        <v>12484</v>
      </c>
      <c r="F34267" s="61"/>
      <c r="G34267" s="61"/>
      <c r="H34267" s="61"/>
    </row>
    <row r="34268" spans="2:8" x14ac:dyDescent="0.25">
      <c r="B34268" s="60" t="s">
        <v>8418</v>
      </c>
      <c r="C34268" s="60" t="s">
        <v>8419</v>
      </c>
      <c r="D34268" s="60" t="str">
        <f>HYPERLINK("https://rhld.insurance.arkansas.gov/NPILookup?Npi=1730225566","1730225566")</f>
        <v>1730225566</v>
      </c>
      <c r="E34268" s="60" t="s">
        <v>14228</v>
      </c>
      <c r="F34268" s="61"/>
      <c r="G34268" s="61"/>
      <c r="H34268" s="61"/>
    </row>
    <row r="34269" spans="2:8" x14ac:dyDescent="0.25">
      <c r="B34269" s="60" t="s">
        <v>8418</v>
      </c>
      <c r="C34269" s="60" t="s">
        <v>8419</v>
      </c>
      <c r="D34269" s="60" t="str">
        <f>HYPERLINK("https://rhld.insurance.arkansas.gov/NPILookup?Npi=1730251984","1730251984")</f>
        <v>1730251984</v>
      </c>
      <c r="E34269" s="60" t="s">
        <v>30876</v>
      </c>
      <c r="F34269" s="61"/>
      <c r="G34269" s="61"/>
      <c r="H34269" s="61"/>
    </row>
    <row r="34270" spans="2:8" x14ac:dyDescent="0.25">
      <c r="B34270" s="60" t="s">
        <v>8418</v>
      </c>
      <c r="C34270" s="60" t="s">
        <v>8419</v>
      </c>
      <c r="D34270" s="60" t="str">
        <f>HYPERLINK("https://rhld.insurance.arkansas.gov/NPILookup?Npi=1730266735","1730266735")</f>
        <v>1730266735</v>
      </c>
      <c r="E34270" s="60" t="s">
        <v>8745</v>
      </c>
      <c r="F34270" s="61"/>
      <c r="G34270" s="61"/>
      <c r="H34270" s="61"/>
    </row>
    <row r="34271" spans="2:8" x14ac:dyDescent="0.25">
      <c r="B34271" s="60" t="s">
        <v>8418</v>
      </c>
      <c r="C34271" s="60" t="s">
        <v>8419</v>
      </c>
      <c r="D34271" s="60" t="str">
        <f>HYPERLINK("https://rhld.insurance.arkansas.gov/NPILookup?Npi=1730331851","1730331851")</f>
        <v>1730331851</v>
      </c>
      <c r="E34271" s="60" t="s">
        <v>32550</v>
      </c>
      <c r="F34271" s="61"/>
      <c r="G34271" s="61"/>
      <c r="H34271" s="61"/>
    </row>
    <row r="34272" spans="2:8" x14ac:dyDescent="0.25">
      <c r="B34272" s="60" t="s">
        <v>8418</v>
      </c>
      <c r="C34272" s="60" t="s">
        <v>8419</v>
      </c>
      <c r="D34272" s="60" t="str">
        <f>HYPERLINK("https://rhld.insurance.arkansas.gov/NPILookup?Npi=1730396474","1730396474")</f>
        <v>1730396474</v>
      </c>
      <c r="E34272" s="60" t="s">
        <v>14229</v>
      </c>
      <c r="F34272" s="61"/>
      <c r="G34272" s="61"/>
      <c r="H34272" s="61"/>
    </row>
    <row r="34273" spans="2:8" x14ac:dyDescent="0.25">
      <c r="B34273" s="60" t="s">
        <v>8418</v>
      </c>
      <c r="C34273" s="60" t="s">
        <v>8419</v>
      </c>
      <c r="D34273" s="60" t="str">
        <f>HYPERLINK("https://rhld.insurance.arkansas.gov/NPILookup?Npi=1730547027","1730547027")</f>
        <v>1730547027</v>
      </c>
      <c r="E34273" s="60" t="s">
        <v>8746</v>
      </c>
      <c r="F34273" s="61"/>
      <c r="G34273" s="61"/>
      <c r="H34273" s="61"/>
    </row>
    <row r="34274" spans="2:8" x14ac:dyDescent="0.25">
      <c r="B34274" s="60" t="s">
        <v>8418</v>
      </c>
      <c r="C34274" s="60" t="s">
        <v>8419</v>
      </c>
      <c r="D34274" s="60" t="str">
        <f>HYPERLINK("https://rhld.insurance.arkansas.gov/NPILookup?Npi=1730646753","1730646753")</f>
        <v>1730646753</v>
      </c>
      <c r="E34274" s="60" t="s">
        <v>8747</v>
      </c>
      <c r="F34274" s="61"/>
      <c r="G34274" s="61"/>
      <c r="H34274" s="61"/>
    </row>
    <row r="34275" spans="2:8" x14ac:dyDescent="0.25">
      <c r="B34275" s="60" t="s">
        <v>8418</v>
      </c>
      <c r="C34275" s="60" t="s">
        <v>8419</v>
      </c>
      <c r="D34275" s="60" t="str">
        <f>HYPERLINK("https://rhld.insurance.arkansas.gov/NPILookup?Npi=1730703943","1730703943")</f>
        <v>1730703943</v>
      </c>
      <c r="E34275" s="60" t="s">
        <v>30877</v>
      </c>
      <c r="F34275" s="61"/>
      <c r="G34275" s="61"/>
      <c r="H34275" s="61"/>
    </row>
    <row r="34276" spans="2:8" x14ac:dyDescent="0.25">
      <c r="B34276" s="60" t="s">
        <v>8418</v>
      </c>
      <c r="C34276" s="60" t="s">
        <v>8419</v>
      </c>
      <c r="D34276" s="60" t="str">
        <f>HYPERLINK("https://rhld.insurance.arkansas.gov/NPILookup?Npi=1730710674","1730710674")</f>
        <v>1730710674</v>
      </c>
      <c r="E34276" s="60" t="s">
        <v>8748</v>
      </c>
      <c r="F34276" s="61"/>
      <c r="G34276" s="61"/>
      <c r="H34276" s="61"/>
    </row>
    <row r="34277" spans="2:8" x14ac:dyDescent="0.25">
      <c r="B34277" s="60" t="s">
        <v>8418</v>
      </c>
      <c r="C34277" s="60" t="s">
        <v>8419</v>
      </c>
      <c r="D34277" s="60" t="str">
        <f>HYPERLINK("https://rhld.insurance.arkansas.gov/NPILookup?Npi=1730731779","1730731779")</f>
        <v>1730731779</v>
      </c>
      <c r="E34277" s="60" t="s">
        <v>32551</v>
      </c>
      <c r="F34277" s="61"/>
      <c r="G34277" s="61"/>
      <c r="H34277" s="61"/>
    </row>
    <row r="34278" spans="2:8" x14ac:dyDescent="0.25">
      <c r="B34278" s="60" t="s">
        <v>8418</v>
      </c>
      <c r="C34278" s="60" t="s">
        <v>8419</v>
      </c>
      <c r="D34278" s="60" t="str">
        <f>HYPERLINK("https://rhld.insurance.arkansas.gov/NPILookup?Npi=1730754425","1730754425")</f>
        <v>1730754425</v>
      </c>
      <c r="E34278" s="60" t="s">
        <v>8749</v>
      </c>
      <c r="F34278" s="61"/>
      <c r="G34278" s="61"/>
      <c r="H34278" s="61"/>
    </row>
    <row r="34279" spans="2:8" x14ac:dyDescent="0.25">
      <c r="B34279" s="60" t="s">
        <v>8418</v>
      </c>
      <c r="C34279" s="60" t="s">
        <v>8419</v>
      </c>
      <c r="D34279" s="60" t="str">
        <f>HYPERLINK("https://rhld.insurance.arkansas.gov/NPILookup?Npi=1730789702","1730789702")</f>
        <v>1730789702</v>
      </c>
      <c r="E34279" s="60" t="s">
        <v>32552</v>
      </c>
      <c r="F34279" s="61"/>
      <c r="G34279" s="61"/>
      <c r="H34279" s="61"/>
    </row>
    <row r="34280" spans="2:8" x14ac:dyDescent="0.25">
      <c r="B34280" s="60" t="s">
        <v>8418</v>
      </c>
      <c r="C34280" s="60" t="s">
        <v>8419</v>
      </c>
      <c r="D34280" s="60" t="str">
        <f>HYPERLINK("https://rhld.insurance.arkansas.gov/NPILookup?Npi=1730794652","1730794652")</f>
        <v>1730794652</v>
      </c>
      <c r="E34280" s="60" t="s">
        <v>30878</v>
      </c>
      <c r="F34280" s="61"/>
      <c r="G34280" s="61"/>
      <c r="H34280" s="61"/>
    </row>
    <row r="34281" spans="2:8" x14ac:dyDescent="0.25">
      <c r="B34281" s="60" t="s">
        <v>8418</v>
      </c>
      <c r="C34281" s="60" t="s">
        <v>8419</v>
      </c>
      <c r="D34281" s="60" t="str">
        <f>HYPERLINK("https://rhld.insurance.arkansas.gov/NPILookup?Npi=1730795451","1730795451")</f>
        <v>1730795451</v>
      </c>
      <c r="E34281" s="60" t="s">
        <v>30879</v>
      </c>
      <c r="F34281" s="61"/>
      <c r="G34281" s="61"/>
      <c r="H34281" s="61"/>
    </row>
    <row r="34282" spans="2:8" x14ac:dyDescent="0.25">
      <c r="B34282" s="60" t="s">
        <v>8418</v>
      </c>
      <c r="C34282" s="60" t="s">
        <v>8419</v>
      </c>
      <c r="D34282" s="60" t="str">
        <f>HYPERLINK("https://rhld.insurance.arkansas.gov/NPILookup?Npi=1730824970","1730824970")</f>
        <v>1730824970</v>
      </c>
      <c r="E34282" s="60" t="s">
        <v>8750</v>
      </c>
      <c r="F34282" s="61"/>
      <c r="G34282" s="61"/>
      <c r="H34282" s="61"/>
    </row>
    <row r="34283" spans="2:8" x14ac:dyDescent="0.25">
      <c r="B34283" s="60" t="s">
        <v>8418</v>
      </c>
      <c r="C34283" s="60" t="s">
        <v>8419</v>
      </c>
      <c r="D34283" s="60" t="str">
        <f>HYPERLINK("https://rhld.insurance.arkansas.gov/NPILookup?Npi=1730886409","1730886409")</f>
        <v>1730886409</v>
      </c>
      <c r="E34283" s="60" t="s">
        <v>30880</v>
      </c>
      <c r="F34283" s="61"/>
      <c r="G34283" s="61"/>
      <c r="H34283" s="61"/>
    </row>
    <row r="34284" spans="2:8" x14ac:dyDescent="0.25">
      <c r="B34284" s="60" t="s">
        <v>8418</v>
      </c>
      <c r="C34284" s="60" t="s">
        <v>8419</v>
      </c>
      <c r="D34284" s="60" t="str">
        <f>HYPERLINK("https://rhld.insurance.arkansas.gov/NPILookup?Npi=1730937434","1730937434")</f>
        <v>1730937434</v>
      </c>
      <c r="E34284" s="60" t="s">
        <v>30881</v>
      </c>
      <c r="F34284" s="61"/>
      <c r="G34284" s="61"/>
      <c r="H34284" s="61"/>
    </row>
    <row r="34285" spans="2:8" x14ac:dyDescent="0.25">
      <c r="B34285" s="60" t="s">
        <v>8418</v>
      </c>
      <c r="C34285" s="60" t="s">
        <v>8419</v>
      </c>
      <c r="D34285" s="60" t="str">
        <f>HYPERLINK("https://rhld.insurance.arkansas.gov/NPILookup?Npi=1740235373","1740235373")</f>
        <v>1740235373</v>
      </c>
      <c r="E34285" s="60" t="s">
        <v>8751</v>
      </c>
      <c r="F34285" s="61"/>
      <c r="G34285" s="61"/>
      <c r="H34285" s="61"/>
    </row>
    <row r="34286" spans="2:8" x14ac:dyDescent="0.25">
      <c r="B34286" s="60" t="s">
        <v>8418</v>
      </c>
      <c r="C34286" s="60" t="s">
        <v>8419</v>
      </c>
      <c r="D34286" s="60" t="str">
        <f>HYPERLINK("https://rhld.insurance.arkansas.gov/NPILookup?Npi=1740246438","1740246438")</f>
        <v>1740246438</v>
      </c>
      <c r="E34286" s="60" t="s">
        <v>14230</v>
      </c>
      <c r="F34286" s="61"/>
      <c r="G34286" s="61"/>
      <c r="H34286" s="61"/>
    </row>
    <row r="34287" spans="2:8" x14ac:dyDescent="0.25">
      <c r="B34287" s="60" t="s">
        <v>8418</v>
      </c>
      <c r="C34287" s="60" t="s">
        <v>8419</v>
      </c>
      <c r="D34287" s="60" t="str">
        <f>HYPERLINK("https://rhld.insurance.arkansas.gov/NPILookup?Npi=1740310028","1740310028")</f>
        <v>1740310028</v>
      </c>
      <c r="E34287" s="60" t="s">
        <v>14231</v>
      </c>
      <c r="F34287" s="61"/>
      <c r="G34287" s="61"/>
      <c r="H34287" s="61"/>
    </row>
    <row r="34288" spans="2:8" x14ac:dyDescent="0.25">
      <c r="B34288" s="60" t="s">
        <v>8418</v>
      </c>
      <c r="C34288" s="60" t="s">
        <v>8419</v>
      </c>
      <c r="D34288" s="60" t="str">
        <f>HYPERLINK("https://rhld.insurance.arkansas.gov/NPILookup?Npi=1740380351","1740380351")</f>
        <v>1740380351</v>
      </c>
      <c r="E34288" s="60" t="s">
        <v>8752</v>
      </c>
      <c r="F34288" s="61"/>
      <c r="G34288" s="61"/>
      <c r="H34288" s="61"/>
    </row>
    <row r="34289" spans="2:8" x14ac:dyDescent="0.25">
      <c r="B34289" s="60" t="s">
        <v>8418</v>
      </c>
      <c r="C34289" s="60" t="s">
        <v>8419</v>
      </c>
      <c r="D34289" s="60" t="str">
        <f>HYPERLINK("https://rhld.insurance.arkansas.gov/NPILookup?Npi=1740405661","1740405661")</f>
        <v>1740405661</v>
      </c>
      <c r="E34289" s="60" t="s">
        <v>30882</v>
      </c>
      <c r="F34289" s="61"/>
      <c r="G34289" s="61"/>
      <c r="H34289" s="61"/>
    </row>
    <row r="34290" spans="2:8" x14ac:dyDescent="0.25">
      <c r="B34290" s="60" t="s">
        <v>8418</v>
      </c>
      <c r="C34290" s="60" t="s">
        <v>8419</v>
      </c>
      <c r="D34290" s="60" t="str">
        <f>HYPERLINK("https://rhld.insurance.arkansas.gov/NPILookup?Npi=1740408954","1740408954")</f>
        <v>1740408954</v>
      </c>
      <c r="E34290" s="60" t="s">
        <v>19907</v>
      </c>
      <c r="F34290" s="61"/>
      <c r="G34290" s="61"/>
      <c r="H34290" s="61"/>
    </row>
    <row r="34291" spans="2:8" x14ac:dyDescent="0.25">
      <c r="B34291" s="60" t="s">
        <v>8418</v>
      </c>
      <c r="C34291" s="60" t="s">
        <v>8419</v>
      </c>
      <c r="D34291" s="60" t="str">
        <f>HYPERLINK("https://rhld.insurance.arkansas.gov/NPILookup?Npi=1740436765","1740436765")</f>
        <v>1740436765</v>
      </c>
      <c r="E34291" s="60" t="s">
        <v>30883</v>
      </c>
      <c r="F34291" s="61"/>
      <c r="G34291" s="61"/>
      <c r="H34291" s="61"/>
    </row>
    <row r="34292" spans="2:8" x14ac:dyDescent="0.25">
      <c r="B34292" s="60" t="s">
        <v>8418</v>
      </c>
      <c r="C34292" s="60" t="s">
        <v>8419</v>
      </c>
      <c r="D34292" s="60" t="str">
        <f>HYPERLINK("https://rhld.insurance.arkansas.gov/NPILookup?Npi=1740439181","1740439181")</f>
        <v>1740439181</v>
      </c>
      <c r="E34292" s="60" t="s">
        <v>30884</v>
      </c>
      <c r="F34292" s="61"/>
      <c r="G34292" s="61"/>
      <c r="H34292" s="61"/>
    </row>
    <row r="34293" spans="2:8" x14ac:dyDescent="0.25">
      <c r="B34293" s="60" t="s">
        <v>8418</v>
      </c>
      <c r="C34293" s="60" t="s">
        <v>8419</v>
      </c>
      <c r="D34293" s="60" t="str">
        <f>HYPERLINK("https://rhld.insurance.arkansas.gov/NPILookup?Npi=1740463025","1740463025")</f>
        <v>1740463025</v>
      </c>
      <c r="E34293" s="60" t="s">
        <v>8753</v>
      </c>
      <c r="F34293" s="61"/>
      <c r="G34293" s="61"/>
      <c r="H34293" s="61"/>
    </row>
    <row r="34294" spans="2:8" x14ac:dyDescent="0.25">
      <c r="B34294" s="60" t="s">
        <v>8418</v>
      </c>
      <c r="C34294" s="60" t="s">
        <v>8419</v>
      </c>
      <c r="D34294" s="60" t="str">
        <f>HYPERLINK("https://rhld.insurance.arkansas.gov/NPILookup?Npi=1740499482","1740499482")</f>
        <v>1740499482</v>
      </c>
      <c r="E34294" s="60" t="s">
        <v>30885</v>
      </c>
      <c r="F34294" s="61"/>
      <c r="G34294" s="61"/>
      <c r="H34294" s="61"/>
    </row>
    <row r="34295" spans="2:8" x14ac:dyDescent="0.25">
      <c r="B34295" s="60" t="s">
        <v>8418</v>
      </c>
      <c r="C34295" s="60" t="s">
        <v>8419</v>
      </c>
      <c r="D34295" s="60" t="str">
        <f>HYPERLINK("https://rhld.insurance.arkansas.gov/NPILookup?Npi=1740566330","1740566330")</f>
        <v>1740566330</v>
      </c>
      <c r="E34295" s="60" t="s">
        <v>14232</v>
      </c>
      <c r="F34295" s="61"/>
      <c r="G34295" s="61"/>
      <c r="H34295" s="61"/>
    </row>
    <row r="34296" spans="2:8" x14ac:dyDescent="0.25">
      <c r="B34296" s="60" t="s">
        <v>8418</v>
      </c>
      <c r="C34296" s="60" t="s">
        <v>8419</v>
      </c>
      <c r="D34296" s="60" t="str">
        <f>HYPERLINK("https://rhld.insurance.arkansas.gov/NPILookup?Npi=1740569243","1740569243")</f>
        <v>1740569243</v>
      </c>
      <c r="E34296" s="60" t="s">
        <v>30886</v>
      </c>
      <c r="F34296" s="61"/>
      <c r="G34296" s="61"/>
      <c r="H34296" s="61"/>
    </row>
    <row r="34297" spans="2:8" x14ac:dyDescent="0.25">
      <c r="B34297" s="60" t="s">
        <v>8418</v>
      </c>
      <c r="C34297" s="60" t="s">
        <v>8419</v>
      </c>
      <c r="D34297" s="60" t="str">
        <f>HYPERLINK("https://rhld.insurance.arkansas.gov/NPILookup?Npi=1740579259","1740579259")</f>
        <v>1740579259</v>
      </c>
      <c r="E34297" s="60" t="s">
        <v>30887</v>
      </c>
      <c r="F34297" s="61"/>
      <c r="G34297" s="61"/>
      <c r="H34297" s="61"/>
    </row>
    <row r="34298" spans="2:8" x14ac:dyDescent="0.25">
      <c r="B34298" s="60" t="s">
        <v>8418</v>
      </c>
      <c r="C34298" s="60" t="s">
        <v>8419</v>
      </c>
      <c r="D34298" s="60" t="str">
        <f>HYPERLINK("https://rhld.insurance.arkansas.gov/NPILookup?Npi=1740632710","1740632710")</f>
        <v>1740632710</v>
      </c>
      <c r="E34298" s="60" t="s">
        <v>5470</v>
      </c>
      <c r="F34298" s="61"/>
      <c r="G34298" s="61"/>
      <c r="H34298" s="61"/>
    </row>
    <row r="34299" spans="2:8" x14ac:dyDescent="0.25">
      <c r="B34299" s="60" t="s">
        <v>8418</v>
      </c>
      <c r="C34299" s="60" t="s">
        <v>8419</v>
      </c>
      <c r="D34299" s="60" t="str">
        <f>HYPERLINK("https://rhld.insurance.arkansas.gov/NPILookup?Npi=1740683754","1740683754")</f>
        <v>1740683754</v>
      </c>
      <c r="E34299" s="60" t="s">
        <v>30888</v>
      </c>
      <c r="F34299" s="61"/>
      <c r="G34299" s="61"/>
      <c r="H34299" s="61"/>
    </row>
    <row r="34300" spans="2:8" x14ac:dyDescent="0.25">
      <c r="B34300" s="60" t="s">
        <v>8418</v>
      </c>
      <c r="C34300" s="60" t="s">
        <v>8419</v>
      </c>
      <c r="D34300" s="60" t="str">
        <f>HYPERLINK("https://rhld.insurance.arkansas.gov/NPILookup?Npi=1740755289","1740755289")</f>
        <v>1740755289</v>
      </c>
      <c r="E34300" s="60" t="s">
        <v>30889</v>
      </c>
      <c r="F34300" s="61"/>
      <c r="G34300" s="61"/>
      <c r="H34300" s="61"/>
    </row>
    <row r="34301" spans="2:8" x14ac:dyDescent="0.25">
      <c r="B34301" s="60" t="s">
        <v>8418</v>
      </c>
      <c r="C34301" s="60" t="s">
        <v>8419</v>
      </c>
      <c r="D34301" s="60" t="str">
        <f>HYPERLINK("https://rhld.insurance.arkansas.gov/NPILookup?Npi=1740806934","1740806934")</f>
        <v>1740806934</v>
      </c>
      <c r="E34301" s="60" t="s">
        <v>30890</v>
      </c>
      <c r="F34301" s="61"/>
      <c r="G34301" s="61"/>
      <c r="H34301" s="61"/>
    </row>
    <row r="34302" spans="2:8" x14ac:dyDescent="0.25">
      <c r="B34302" s="60" t="s">
        <v>8418</v>
      </c>
      <c r="C34302" s="60" t="s">
        <v>8419</v>
      </c>
      <c r="D34302" s="60" t="str">
        <f>HYPERLINK("https://rhld.insurance.arkansas.gov/NPILookup?Npi=1740812734","1740812734")</f>
        <v>1740812734</v>
      </c>
      <c r="E34302" s="60" t="s">
        <v>8754</v>
      </c>
      <c r="F34302" s="61"/>
      <c r="G34302" s="61"/>
      <c r="H34302" s="61"/>
    </row>
    <row r="34303" spans="2:8" x14ac:dyDescent="0.25">
      <c r="B34303" s="60" t="s">
        <v>8418</v>
      </c>
      <c r="C34303" s="60" t="s">
        <v>8419</v>
      </c>
      <c r="D34303" s="60" t="str">
        <f>HYPERLINK("https://rhld.insurance.arkansas.gov/NPILookup?Npi=1740820612","1740820612")</f>
        <v>1740820612</v>
      </c>
      <c r="E34303" s="60" t="s">
        <v>3453</v>
      </c>
      <c r="F34303" s="61"/>
      <c r="G34303" s="61"/>
      <c r="H34303" s="61"/>
    </row>
    <row r="34304" spans="2:8" x14ac:dyDescent="0.25">
      <c r="B34304" s="60" t="s">
        <v>8418</v>
      </c>
      <c r="C34304" s="60" t="s">
        <v>8419</v>
      </c>
      <c r="D34304" s="60" t="str">
        <f>HYPERLINK("https://rhld.insurance.arkansas.gov/NPILookup?Npi=1740888775","1740888775")</f>
        <v>1740888775</v>
      </c>
      <c r="E34304" s="60" t="s">
        <v>8755</v>
      </c>
      <c r="F34304" s="61"/>
      <c r="G34304" s="61"/>
      <c r="H34304" s="61"/>
    </row>
    <row r="34305" spans="2:8" x14ac:dyDescent="0.25">
      <c r="B34305" s="60" t="s">
        <v>8418</v>
      </c>
      <c r="C34305" s="60" t="s">
        <v>8419</v>
      </c>
      <c r="D34305" s="60" t="str">
        <f>HYPERLINK("https://rhld.insurance.arkansas.gov/NPILookup?Npi=1740890722","1740890722")</f>
        <v>1740890722</v>
      </c>
      <c r="E34305" s="60" t="s">
        <v>30891</v>
      </c>
      <c r="F34305" s="61"/>
      <c r="G34305" s="61"/>
      <c r="H34305" s="61"/>
    </row>
    <row r="34306" spans="2:8" x14ac:dyDescent="0.25">
      <c r="B34306" s="60" t="s">
        <v>8418</v>
      </c>
      <c r="C34306" s="60" t="s">
        <v>8419</v>
      </c>
      <c r="D34306" s="60" t="str">
        <f>HYPERLINK("https://rhld.insurance.arkansas.gov/NPILookup?Npi=1740891035","1740891035")</f>
        <v>1740891035</v>
      </c>
      <c r="E34306" s="60" t="s">
        <v>30892</v>
      </c>
      <c r="F34306" s="61"/>
      <c r="G34306" s="61"/>
      <c r="H34306" s="61"/>
    </row>
    <row r="34307" spans="2:8" x14ac:dyDescent="0.25">
      <c r="B34307" s="60" t="s">
        <v>8418</v>
      </c>
      <c r="C34307" s="60" t="s">
        <v>8419</v>
      </c>
      <c r="D34307" s="60" t="str">
        <f>HYPERLINK("https://rhld.insurance.arkansas.gov/NPILookup?Npi=1740963123","1740963123")</f>
        <v>1740963123</v>
      </c>
      <c r="E34307" s="60" t="s">
        <v>30893</v>
      </c>
      <c r="F34307" s="61"/>
      <c r="G34307" s="61"/>
      <c r="H34307" s="61"/>
    </row>
    <row r="34308" spans="2:8" x14ac:dyDescent="0.25">
      <c r="B34308" s="60" t="s">
        <v>8418</v>
      </c>
      <c r="C34308" s="60" t="s">
        <v>8419</v>
      </c>
      <c r="D34308" s="60" t="str">
        <f>HYPERLINK("https://rhld.insurance.arkansas.gov/NPILookup?Npi=1750041166","1750041166")</f>
        <v>1750041166</v>
      </c>
      <c r="E34308" s="60" t="s">
        <v>30894</v>
      </c>
      <c r="F34308" s="61"/>
      <c r="G34308" s="61"/>
      <c r="H34308" s="61"/>
    </row>
    <row r="34309" spans="2:8" x14ac:dyDescent="0.25">
      <c r="B34309" s="60" t="s">
        <v>8418</v>
      </c>
      <c r="C34309" s="60" t="s">
        <v>8419</v>
      </c>
      <c r="D34309" s="60" t="str">
        <f>HYPERLINK("https://rhld.insurance.arkansas.gov/NPILookup?Npi=1750158945","1750158945")</f>
        <v>1750158945</v>
      </c>
      <c r="E34309" s="60" t="s">
        <v>14233</v>
      </c>
      <c r="F34309" s="61"/>
      <c r="G34309" s="61"/>
      <c r="H34309" s="61"/>
    </row>
    <row r="34310" spans="2:8" x14ac:dyDescent="0.25">
      <c r="B34310" s="60" t="s">
        <v>8418</v>
      </c>
      <c r="C34310" s="60" t="s">
        <v>8419</v>
      </c>
      <c r="D34310" s="60" t="str">
        <f>HYPERLINK("https://rhld.insurance.arkansas.gov/NPILookup?Npi=1750400180","1750400180")</f>
        <v>1750400180</v>
      </c>
      <c r="E34310" s="60" t="s">
        <v>8756</v>
      </c>
      <c r="F34310" s="61"/>
      <c r="G34310" s="61"/>
      <c r="H34310" s="61"/>
    </row>
    <row r="34311" spans="2:8" x14ac:dyDescent="0.25">
      <c r="B34311" s="60" t="s">
        <v>8418</v>
      </c>
      <c r="C34311" s="60" t="s">
        <v>8419</v>
      </c>
      <c r="D34311" s="60" t="str">
        <f>HYPERLINK("https://rhld.insurance.arkansas.gov/NPILookup?Npi=1750528535","1750528535")</f>
        <v>1750528535</v>
      </c>
      <c r="E34311" s="60" t="s">
        <v>30895</v>
      </c>
      <c r="F34311" s="61"/>
      <c r="G34311" s="61"/>
      <c r="H34311" s="61"/>
    </row>
    <row r="34312" spans="2:8" x14ac:dyDescent="0.25">
      <c r="B34312" s="60" t="s">
        <v>8418</v>
      </c>
      <c r="C34312" s="60" t="s">
        <v>8419</v>
      </c>
      <c r="D34312" s="60" t="str">
        <f>HYPERLINK("https://rhld.insurance.arkansas.gov/NPILookup?Npi=1750536504","1750536504")</f>
        <v>1750536504</v>
      </c>
      <c r="E34312" s="60" t="s">
        <v>631</v>
      </c>
      <c r="F34312" s="61"/>
      <c r="G34312" s="61"/>
      <c r="H34312" s="61"/>
    </row>
    <row r="34313" spans="2:8" x14ac:dyDescent="0.25">
      <c r="B34313" s="60" t="s">
        <v>8418</v>
      </c>
      <c r="C34313" s="60" t="s">
        <v>8419</v>
      </c>
      <c r="D34313" s="60" t="str">
        <f>HYPERLINK("https://rhld.insurance.arkansas.gov/NPILookup?Npi=1750565750","1750565750")</f>
        <v>1750565750</v>
      </c>
      <c r="E34313" s="60" t="s">
        <v>14234</v>
      </c>
      <c r="F34313" s="61"/>
      <c r="G34313" s="61"/>
      <c r="H34313" s="61"/>
    </row>
    <row r="34314" spans="2:8" x14ac:dyDescent="0.25">
      <c r="B34314" s="60" t="s">
        <v>8418</v>
      </c>
      <c r="C34314" s="60" t="s">
        <v>8419</v>
      </c>
      <c r="D34314" s="60" t="str">
        <f>HYPERLINK("https://rhld.insurance.arkansas.gov/NPILookup?Npi=1750582292","1750582292")</f>
        <v>1750582292</v>
      </c>
      <c r="E34314" s="60" t="s">
        <v>30896</v>
      </c>
      <c r="F34314" s="61"/>
      <c r="G34314" s="61"/>
      <c r="H34314" s="61"/>
    </row>
    <row r="34315" spans="2:8" x14ac:dyDescent="0.25">
      <c r="B34315" s="60" t="s">
        <v>8418</v>
      </c>
      <c r="C34315" s="60" t="s">
        <v>8419</v>
      </c>
      <c r="D34315" s="60" t="str">
        <f>HYPERLINK("https://rhld.insurance.arkansas.gov/NPILookup?Npi=1750601076","1750601076")</f>
        <v>1750601076</v>
      </c>
      <c r="E34315" s="60" t="s">
        <v>14235</v>
      </c>
      <c r="F34315" s="61"/>
      <c r="G34315" s="61"/>
      <c r="H34315" s="61"/>
    </row>
    <row r="34316" spans="2:8" x14ac:dyDescent="0.25">
      <c r="B34316" s="60" t="s">
        <v>8418</v>
      </c>
      <c r="C34316" s="60" t="s">
        <v>8419</v>
      </c>
      <c r="D34316" s="60" t="str">
        <f>HYPERLINK("https://rhld.insurance.arkansas.gov/NPILookup?Npi=1750609996","1750609996")</f>
        <v>1750609996</v>
      </c>
      <c r="E34316" s="60" t="s">
        <v>14236</v>
      </c>
      <c r="F34316" s="61"/>
      <c r="G34316" s="61"/>
      <c r="H34316" s="61"/>
    </row>
    <row r="34317" spans="2:8" x14ac:dyDescent="0.25">
      <c r="B34317" s="60" t="s">
        <v>8418</v>
      </c>
      <c r="C34317" s="60" t="s">
        <v>8419</v>
      </c>
      <c r="D34317" s="60" t="str">
        <f>HYPERLINK("https://rhld.insurance.arkansas.gov/NPILookup?Npi=1750636361","1750636361")</f>
        <v>1750636361</v>
      </c>
      <c r="E34317" s="60" t="s">
        <v>30897</v>
      </c>
      <c r="F34317" s="61"/>
      <c r="G34317" s="61"/>
      <c r="H34317" s="61"/>
    </row>
    <row r="34318" spans="2:8" x14ac:dyDescent="0.25">
      <c r="B34318" s="60" t="s">
        <v>8418</v>
      </c>
      <c r="C34318" s="60" t="s">
        <v>8419</v>
      </c>
      <c r="D34318" s="60" t="str">
        <f>HYPERLINK("https://rhld.insurance.arkansas.gov/NPILookup?Npi=1750683330","1750683330")</f>
        <v>1750683330</v>
      </c>
      <c r="E34318" s="60" t="s">
        <v>30898</v>
      </c>
      <c r="F34318" s="61"/>
      <c r="G34318" s="61"/>
      <c r="H34318" s="61"/>
    </row>
    <row r="34319" spans="2:8" x14ac:dyDescent="0.25">
      <c r="B34319" s="60" t="s">
        <v>8418</v>
      </c>
      <c r="C34319" s="60" t="s">
        <v>8419</v>
      </c>
      <c r="D34319" s="60" t="str">
        <f>HYPERLINK("https://rhld.insurance.arkansas.gov/NPILookup?Npi=1750683850","1750683850")</f>
        <v>1750683850</v>
      </c>
      <c r="E34319" s="60" t="s">
        <v>14237</v>
      </c>
      <c r="F34319" s="61"/>
      <c r="G34319" s="61"/>
      <c r="H34319" s="61"/>
    </row>
    <row r="34320" spans="2:8" x14ac:dyDescent="0.25">
      <c r="B34320" s="60" t="s">
        <v>8418</v>
      </c>
      <c r="C34320" s="60" t="s">
        <v>8419</v>
      </c>
      <c r="D34320" s="60" t="str">
        <f>HYPERLINK("https://rhld.insurance.arkansas.gov/NPILookup?Npi=1750686887","1750686887")</f>
        <v>1750686887</v>
      </c>
      <c r="E34320" s="60" t="s">
        <v>30899</v>
      </c>
      <c r="F34320" s="61"/>
      <c r="G34320" s="61"/>
      <c r="H34320" s="61"/>
    </row>
    <row r="34321" spans="2:8" x14ac:dyDescent="0.25">
      <c r="B34321" s="60" t="s">
        <v>8418</v>
      </c>
      <c r="C34321" s="60" t="s">
        <v>8419</v>
      </c>
      <c r="D34321" s="60" t="str">
        <f>HYPERLINK("https://rhld.insurance.arkansas.gov/NPILookup?Npi=1750689691","1750689691")</f>
        <v>1750689691</v>
      </c>
      <c r="E34321" s="60" t="s">
        <v>8757</v>
      </c>
      <c r="F34321" s="61"/>
      <c r="G34321" s="61"/>
      <c r="H34321" s="61"/>
    </row>
    <row r="34322" spans="2:8" x14ac:dyDescent="0.25">
      <c r="B34322" s="60" t="s">
        <v>8418</v>
      </c>
      <c r="C34322" s="60" t="s">
        <v>8419</v>
      </c>
      <c r="D34322" s="60" t="str">
        <f>HYPERLINK("https://rhld.insurance.arkansas.gov/NPILookup?Npi=1750714465","1750714465")</f>
        <v>1750714465</v>
      </c>
      <c r="E34322" s="60" t="s">
        <v>30900</v>
      </c>
      <c r="F34322" s="61"/>
      <c r="G34322" s="61"/>
      <c r="H34322" s="61"/>
    </row>
    <row r="34323" spans="2:8" x14ac:dyDescent="0.25">
      <c r="B34323" s="60" t="s">
        <v>8418</v>
      </c>
      <c r="C34323" s="60" t="s">
        <v>8419</v>
      </c>
      <c r="D34323" s="60" t="str">
        <f>HYPERLINK("https://rhld.insurance.arkansas.gov/NPILookup?Npi=1750722021","1750722021")</f>
        <v>1750722021</v>
      </c>
      <c r="E34323" s="60" t="s">
        <v>30901</v>
      </c>
      <c r="F34323" s="61"/>
      <c r="G34323" s="61"/>
      <c r="H34323" s="61"/>
    </row>
    <row r="34324" spans="2:8" x14ac:dyDescent="0.25">
      <c r="B34324" s="60" t="s">
        <v>8418</v>
      </c>
      <c r="C34324" s="60" t="s">
        <v>8419</v>
      </c>
      <c r="D34324" s="60" t="str">
        <f>HYPERLINK("https://rhld.insurance.arkansas.gov/NPILookup?Npi=1750771697","1750771697")</f>
        <v>1750771697</v>
      </c>
      <c r="E34324" s="60" t="s">
        <v>30902</v>
      </c>
      <c r="F34324" s="61"/>
      <c r="G34324" s="61"/>
      <c r="H34324" s="61"/>
    </row>
    <row r="34325" spans="2:8" x14ac:dyDescent="0.25">
      <c r="B34325" s="60" t="s">
        <v>8418</v>
      </c>
      <c r="C34325" s="60" t="s">
        <v>8419</v>
      </c>
      <c r="D34325" s="60" t="str">
        <f>HYPERLINK("https://rhld.insurance.arkansas.gov/NPILookup?Npi=1750922159","1750922159")</f>
        <v>1750922159</v>
      </c>
      <c r="E34325" s="60" t="s">
        <v>30903</v>
      </c>
      <c r="F34325" s="61"/>
      <c r="G34325" s="61"/>
      <c r="H34325" s="61"/>
    </row>
    <row r="34326" spans="2:8" x14ac:dyDescent="0.25">
      <c r="B34326" s="60" t="s">
        <v>8418</v>
      </c>
      <c r="C34326" s="60" t="s">
        <v>8419</v>
      </c>
      <c r="D34326" s="60" t="str">
        <f>HYPERLINK("https://rhld.insurance.arkansas.gov/NPILookup?Npi=1750983342","1750983342")</f>
        <v>1750983342</v>
      </c>
      <c r="E34326" s="60" t="s">
        <v>8758</v>
      </c>
      <c r="F34326" s="61"/>
      <c r="G34326" s="61"/>
      <c r="H34326" s="61"/>
    </row>
    <row r="34327" spans="2:8" x14ac:dyDescent="0.25">
      <c r="B34327" s="60" t="s">
        <v>8418</v>
      </c>
      <c r="C34327" s="60" t="s">
        <v>8419</v>
      </c>
      <c r="D34327" s="60" t="str">
        <f>HYPERLINK("https://rhld.insurance.arkansas.gov/NPILookup?Npi=1750996401","1750996401")</f>
        <v>1750996401</v>
      </c>
      <c r="E34327" s="60" t="s">
        <v>8759</v>
      </c>
      <c r="F34327" s="61"/>
      <c r="G34327" s="61"/>
      <c r="H34327" s="61"/>
    </row>
    <row r="34328" spans="2:8" x14ac:dyDescent="0.25">
      <c r="B34328" s="60" t="s">
        <v>8418</v>
      </c>
      <c r="C34328" s="60" t="s">
        <v>8419</v>
      </c>
      <c r="D34328" s="60" t="str">
        <f>HYPERLINK("https://rhld.insurance.arkansas.gov/NPILookup?Npi=1760054365","1760054365")</f>
        <v>1760054365</v>
      </c>
      <c r="E34328" s="60" t="s">
        <v>30904</v>
      </c>
      <c r="F34328" s="61"/>
      <c r="G34328" s="61"/>
      <c r="H34328" s="61"/>
    </row>
    <row r="34329" spans="2:8" x14ac:dyDescent="0.25">
      <c r="B34329" s="60" t="s">
        <v>8418</v>
      </c>
      <c r="C34329" s="60" t="s">
        <v>8419</v>
      </c>
      <c r="D34329" s="60" t="str">
        <f>HYPERLINK("https://rhld.insurance.arkansas.gov/NPILookup?Npi=1760079115","1760079115")</f>
        <v>1760079115</v>
      </c>
      <c r="E34329" s="60" t="s">
        <v>8760</v>
      </c>
      <c r="F34329" s="61"/>
      <c r="G34329" s="61"/>
      <c r="H34329" s="61"/>
    </row>
    <row r="34330" spans="2:8" x14ac:dyDescent="0.25">
      <c r="B34330" s="60" t="s">
        <v>8418</v>
      </c>
      <c r="C34330" s="60" t="s">
        <v>8419</v>
      </c>
      <c r="D34330" s="60" t="str">
        <f>HYPERLINK("https://rhld.insurance.arkansas.gov/NPILookup?Npi=1760092266","1760092266")</f>
        <v>1760092266</v>
      </c>
      <c r="E34330" s="60" t="s">
        <v>14238</v>
      </c>
      <c r="F34330" s="61"/>
      <c r="G34330" s="61"/>
      <c r="H34330" s="61"/>
    </row>
    <row r="34331" spans="2:8" x14ac:dyDescent="0.25">
      <c r="B34331" s="60" t="s">
        <v>8418</v>
      </c>
      <c r="C34331" s="60" t="s">
        <v>8419</v>
      </c>
      <c r="D34331" s="60" t="str">
        <f>HYPERLINK("https://rhld.insurance.arkansas.gov/NPILookup?Npi=1760094494","1760094494")</f>
        <v>1760094494</v>
      </c>
      <c r="E34331" s="60" t="s">
        <v>30905</v>
      </c>
      <c r="F34331" s="61"/>
      <c r="G34331" s="61"/>
      <c r="H34331" s="61"/>
    </row>
    <row r="34332" spans="2:8" x14ac:dyDescent="0.25">
      <c r="B34332" s="60" t="s">
        <v>8418</v>
      </c>
      <c r="C34332" s="60" t="s">
        <v>8419</v>
      </c>
      <c r="D34332" s="60" t="str">
        <f>HYPERLINK("https://rhld.insurance.arkansas.gov/NPILookup?Npi=1760167738","1760167738")</f>
        <v>1760167738</v>
      </c>
      <c r="E34332" s="60" t="s">
        <v>30906</v>
      </c>
      <c r="F34332" s="61"/>
      <c r="G34332" s="61"/>
      <c r="H34332" s="61"/>
    </row>
    <row r="34333" spans="2:8" x14ac:dyDescent="0.25">
      <c r="B34333" s="60" t="s">
        <v>8418</v>
      </c>
      <c r="C34333" s="60" t="s">
        <v>8419</v>
      </c>
      <c r="D34333" s="60" t="str">
        <f>HYPERLINK("https://rhld.insurance.arkansas.gov/NPILookup?Npi=1760169957","1760169957")</f>
        <v>1760169957</v>
      </c>
      <c r="E34333" s="60" t="s">
        <v>8761</v>
      </c>
      <c r="F34333" s="61"/>
      <c r="G34333" s="61"/>
      <c r="H34333" s="61"/>
    </row>
    <row r="34334" spans="2:8" x14ac:dyDescent="0.25">
      <c r="B34334" s="60" t="s">
        <v>8418</v>
      </c>
      <c r="C34334" s="60" t="s">
        <v>8419</v>
      </c>
      <c r="D34334" s="60" t="str">
        <f>HYPERLINK("https://rhld.insurance.arkansas.gov/NPILookup?Npi=1760173793","1760173793")</f>
        <v>1760173793</v>
      </c>
      <c r="E34334" s="60" t="s">
        <v>8762</v>
      </c>
      <c r="F34334" s="61"/>
      <c r="G34334" s="61"/>
      <c r="H34334" s="61"/>
    </row>
    <row r="34335" spans="2:8" x14ac:dyDescent="0.25">
      <c r="B34335" s="60" t="s">
        <v>8418</v>
      </c>
      <c r="C34335" s="60" t="s">
        <v>8419</v>
      </c>
      <c r="D34335" s="60" t="str">
        <f>HYPERLINK("https://rhld.insurance.arkansas.gov/NPILookup?Npi=1760213276","1760213276")</f>
        <v>1760213276</v>
      </c>
      <c r="E34335" s="60" t="s">
        <v>30907</v>
      </c>
      <c r="F34335" s="61"/>
      <c r="G34335" s="61"/>
      <c r="H34335" s="61"/>
    </row>
    <row r="34336" spans="2:8" x14ac:dyDescent="0.25">
      <c r="B34336" s="60" t="s">
        <v>8418</v>
      </c>
      <c r="C34336" s="60" t="s">
        <v>8419</v>
      </c>
      <c r="D34336" s="60" t="str">
        <f>HYPERLINK("https://rhld.insurance.arkansas.gov/NPILookup?Npi=1760541262","1760541262")</f>
        <v>1760541262</v>
      </c>
      <c r="E34336" s="60" t="s">
        <v>30908</v>
      </c>
      <c r="F34336" s="61"/>
      <c r="G34336" s="61"/>
      <c r="H34336" s="61"/>
    </row>
    <row r="34337" spans="2:8" x14ac:dyDescent="0.25">
      <c r="B34337" s="60" t="s">
        <v>8418</v>
      </c>
      <c r="C34337" s="60" t="s">
        <v>8419</v>
      </c>
      <c r="D34337" s="60" t="str">
        <f>HYPERLINK("https://rhld.insurance.arkansas.gov/NPILookup?Npi=1760546428","1760546428")</f>
        <v>1760546428</v>
      </c>
      <c r="E34337" s="60" t="s">
        <v>30909</v>
      </c>
      <c r="F34337" s="61"/>
      <c r="G34337" s="61"/>
      <c r="H34337" s="61"/>
    </row>
    <row r="34338" spans="2:8" x14ac:dyDescent="0.25">
      <c r="B34338" s="60" t="s">
        <v>8418</v>
      </c>
      <c r="C34338" s="60" t="s">
        <v>8419</v>
      </c>
      <c r="D34338" s="60" t="str">
        <f>HYPERLINK("https://rhld.insurance.arkansas.gov/NPILookup?Npi=1760668222","1760668222")</f>
        <v>1760668222</v>
      </c>
      <c r="E34338" s="60" t="s">
        <v>30910</v>
      </c>
      <c r="F34338" s="61"/>
      <c r="G34338" s="61"/>
      <c r="H34338" s="61"/>
    </row>
    <row r="34339" spans="2:8" x14ac:dyDescent="0.25">
      <c r="B34339" s="60" t="s">
        <v>8418</v>
      </c>
      <c r="C34339" s="60" t="s">
        <v>8419</v>
      </c>
      <c r="D34339" s="60" t="str">
        <f>HYPERLINK("https://rhld.insurance.arkansas.gov/NPILookup?Npi=1760747190","1760747190")</f>
        <v>1760747190</v>
      </c>
      <c r="E34339" s="60" t="s">
        <v>8763</v>
      </c>
      <c r="F34339" s="61"/>
      <c r="G34339" s="61"/>
      <c r="H34339" s="61"/>
    </row>
    <row r="34340" spans="2:8" x14ac:dyDescent="0.25">
      <c r="B34340" s="60" t="s">
        <v>8418</v>
      </c>
      <c r="C34340" s="60" t="s">
        <v>8419</v>
      </c>
      <c r="D34340" s="60" t="str">
        <f>HYPERLINK("https://rhld.insurance.arkansas.gov/NPILookup?Npi=1760753875","1760753875")</f>
        <v>1760753875</v>
      </c>
      <c r="E34340" s="60" t="s">
        <v>32553</v>
      </c>
      <c r="F34340" s="61"/>
      <c r="G34340" s="61"/>
      <c r="H34340" s="61"/>
    </row>
    <row r="34341" spans="2:8" x14ac:dyDescent="0.25">
      <c r="B34341" s="60" t="s">
        <v>8418</v>
      </c>
      <c r="C34341" s="60" t="s">
        <v>8419</v>
      </c>
      <c r="D34341" s="60" t="str">
        <f>HYPERLINK("https://rhld.insurance.arkansas.gov/NPILookup?Npi=1760756340","1760756340")</f>
        <v>1760756340</v>
      </c>
      <c r="E34341" s="60" t="s">
        <v>30911</v>
      </c>
      <c r="F34341" s="61"/>
      <c r="G34341" s="61"/>
      <c r="H34341" s="61"/>
    </row>
    <row r="34342" spans="2:8" x14ac:dyDescent="0.25">
      <c r="B34342" s="60" t="s">
        <v>8418</v>
      </c>
      <c r="C34342" s="60" t="s">
        <v>8419</v>
      </c>
      <c r="D34342" s="60" t="str">
        <f>HYPERLINK("https://rhld.insurance.arkansas.gov/NPILookup?Npi=1760787436","1760787436")</f>
        <v>1760787436</v>
      </c>
      <c r="E34342" s="60" t="s">
        <v>5199</v>
      </c>
      <c r="F34342" s="61"/>
      <c r="G34342" s="61"/>
      <c r="H34342" s="61"/>
    </row>
    <row r="34343" spans="2:8" x14ac:dyDescent="0.25">
      <c r="B34343" s="60" t="s">
        <v>8418</v>
      </c>
      <c r="C34343" s="60" t="s">
        <v>8419</v>
      </c>
      <c r="D34343" s="60" t="str">
        <f>HYPERLINK("https://rhld.insurance.arkansas.gov/NPILookup?Npi=1760798029","1760798029")</f>
        <v>1760798029</v>
      </c>
      <c r="E34343" s="60" t="s">
        <v>8764</v>
      </c>
      <c r="F34343" s="61"/>
      <c r="G34343" s="61"/>
      <c r="H34343" s="61"/>
    </row>
    <row r="34344" spans="2:8" x14ac:dyDescent="0.25">
      <c r="B34344" s="60" t="s">
        <v>8418</v>
      </c>
      <c r="C34344" s="60" t="s">
        <v>8419</v>
      </c>
      <c r="D34344" s="60" t="str">
        <f>HYPERLINK("https://rhld.insurance.arkansas.gov/NPILookup?Npi=1760806152","1760806152")</f>
        <v>1760806152</v>
      </c>
      <c r="E34344" s="60" t="s">
        <v>8765</v>
      </c>
      <c r="F34344" s="61"/>
      <c r="G34344" s="61"/>
      <c r="H34344" s="61"/>
    </row>
    <row r="34345" spans="2:8" x14ac:dyDescent="0.25">
      <c r="B34345" s="60" t="s">
        <v>8418</v>
      </c>
      <c r="C34345" s="60" t="s">
        <v>8419</v>
      </c>
      <c r="D34345" s="60" t="str">
        <f>HYPERLINK("https://rhld.insurance.arkansas.gov/NPILookup?Npi=1760839229","1760839229")</f>
        <v>1760839229</v>
      </c>
      <c r="E34345" s="60" t="s">
        <v>8766</v>
      </c>
      <c r="F34345" s="61"/>
      <c r="G34345" s="61"/>
      <c r="H34345" s="61"/>
    </row>
    <row r="34346" spans="2:8" x14ac:dyDescent="0.25">
      <c r="B34346" s="60" t="s">
        <v>8418</v>
      </c>
      <c r="C34346" s="60" t="s">
        <v>8419</v>
      </c>
      <c r="D34346" s="60" t="str">
        <f>HYPERLINK("https://rhld.insurance.arkansas.gov/NPILookup?Npi=1760840037","1760840037")</f>
        <v>1760840037</v>
      </c>
      <c r="E34346" s="60" t="s">
        <v>8767</v>
      </c>
      <c r="F34346" s="61"/>
      <c r="G34346" s="61"/>
      <c r="H34346" s="61"/>
    </row>
    <row r="34347" spans="2:8" x14ac:dyDescent="0.25">
      <c r="B34347" s="60" t="s">
        <v>8418</v>
      </c>
      <c r="C34347" s="60" t="s">
        <v>8419</v>
      </c>
      <c r="D34347" s="60" t="str">
        <f>HYPERLINK("https://rhld.insurance.arkansas.gov/NPILookup?Npi=1760862122","1760862122")</f>
        <v>1760862122</v>
      </c>
      <c r="E34347" s="60" t="s">
        <v>30912</v>
      </c>
      <c r="F34347" s="61"/>
      <c r="G34347" s="61"/>
      <c r="H34347" s="61"/>
    </row>
    <row r="34348" spans="2:8" x14ac:dyDescent="0.25">
      <c r="B34348" s="60" t="s">
        <v>8418</v>
      </c>
      <c r="C34348" s="60" t="s">
        <v>8419</v>
      </c>
      <c r="D34348" s="60" t="str">
        <f>HYPERLINK("https://rhld.insurance.arkansas.gov/NPILookup?Npi=1760888184","1760888184")</f>
        <v>1760888184</v>
      </c>
      <c r="E34348" s="60" t="s">
        <v>30913</v>
      </c>
      <c r="F34348" s="61"/>
      <c r="G34348" s="61"/>
      <c r="H34348" s="61"/>
    </row>
    <row r="34349" spans="2:8" x14ac:dyDescent="0.25">
      <c r="B34349" s="60" t="s">
        <v>8418</v>
      </c>
      <c r="C34349" s="60" t="s">
        <v>8419</v>
      </c>
      <c r="D34349" s="60" t="str">
        <f>HYPERLINK("https://rhld.insurance.arkansas.gov/NPILookup?Npi=1760909667","1760909667")</f>
        <v>1760909667</v>
      </c>
      <c r="E34349" s="60" t="s">
        <v>30914</v>
      </c>
      <c r="F34349" s="61"/>
      <c r="G34349" s="61"/>
      <c r="H34349" s="61"/>
    </row>
    <row r="34350" spans="2:8" x14ac:dyDescent="0.25">
      <c r="B34350" s="60" t="s">
        <v>8418</v>
      </c>
      <c r="C34350" s="60" t="s">
        <v>8419</v>
      </c>
      <c r="D34350" s="60" t="str">
        <f>HYPERLINK("https://rhld.insurance.arkansas.gov/NPILookup?Npi=1760938286","1760938286")</f>
        <v>1760938286</v>
      </c>
      <c r="E34350" s="60" t="s">
        <v>30915</v>
      </c>
      <c r="F34350" s="61"/>
      <c r="G34350" s="61"/>
      <c r="H34350" s="61"/>
    </row>
    <row r="34351" spans="2:8" x14ac:dyDescent="0.25">
      <c r="B34351" s="60" t="s">
        <v>8418</v>
      </c>
      <c r="C34351" s="60" t="s">
        <v>8419</v>
      </c>
      <c r="D34351" s="60" t="str">
        <f>HYPERLINK("https://rhld.insurance.arkansas.gov/NPILookup?Npi=1770005274","1770005274")</f>
        <v>1770005274</v>
      </c>
      <c r="E34351" s="60" t="s">
        <v>30916</v>
      </c>
      <c r="F34351" s="61"/>
      <c r="G34351" s="61"/>
      <c r="H34351" s="61"/>
    </row>
    <row r="34352" spans="2:8" x14ac:dyDescent="0.25">
      <c r="B34352" s="60" t="s">
        <v>8418</v>
      </c>
      <c r="C34352" s="60" t="s">
        <v>8419</v>
      </c>
      <c r="D34352" s="60" t="str">
        <f>HYPERLINK("https://rhld.insurance.arkansas.gov/NPILookup?Npi=1770148405","1770148405")</f>
        <v>1770148405</v>
      </c>
      <c r="E34352" s="60" t="s">
        <v>30917</v>
      </c>
      <c r="F34352" s="61"/>
      <c r="G34352" s="61"/>
      <c r="H34352" s="61"/>
    </row>
    <row r="34353" spans="2:8" x14ac:dyDescent="0.25">
      <c r="B34353" s="60" t="s">
        <v>8418</v>
      </c>
      <c r="C34353" s="60" t="s">
        <v>8419</v>
      </c>
      <c r="D34353" s="60" t="str">
        <f>HYPERLINK("https://rhld.insurance.arkansas.gov/NPILookup?Npi=1770155285","1770155285")</f>
        <v>1770155285</v>
      </c>
      <c r="E34353" s="60" t="s">
        <v>8768</v>
      </c>
      <c r="F34353" s="61"/>
      <c r="G34353" s="61"/>
      <c r="H34353" s="61"/>
    </row>
    <row r="34354" spans="2:8" x14ac:dyDescent="0.25">
      <c r="B34354" s="60" t="s">
        <v>8418</v>
      </c>
      <c r="C34354" s="60" t="s">
        <v>8419</v>
      </c>
      <c r="D34354" s="60" t="str">
        <f>HYPERLINK("https://rhld.insurance.arkansas.gov/NPILookup?Npi=1770246423","1770246423")</f>
        <v>1770246423</v>
      </c>
      <c r="E34354" s="60" t="s">
        <v>8769</v>
      </c>
      <c r="F34354" s="61"/>
      <c r="G34354" s="61"/>
      <c r="H34354" s="61"/>
    </row>
    <row r="34355" spans="2:8" x14ac:dyDescent="0.25">
      <c r="B34355" s="60" t="s">
        <v>8418</v>
      </c>
      <c r="C34355" s="60" t="s">
        <v>8419</v>
      </c>
      <c r="D34355" s="60" t="str">
        <f>HYPERLINK("https://rhld.insurance.arkansas.gov/NPILookup?Npi=1770269219","1770269219")</f>
        <v>1770269219</v>
      </c>
      <c r="E34355" s="60" t="s">
        <v>8770</v>
      </c>
      <c r="F34355" s="61"/>
      <c r="G34355" s="61"/>
      <c r="H34355" s="61"/>
    </row>
    <row r="34356" spans="2:8" x14ac:dyDescent="0.25">
      <c r="B34356" s="60" t="s">
        <v>8418</v>
      </c>
      <c r="C34356" s="60" t="s">
        <v>8419</v>
      </c>
      <c r="D34356" s="60" t="str">
        <f>HYPERLINK("https://rhld.insurance.arkansas.gov/NPILookup?Npi=1770292088","1770292088")</f>
        <v>1770292088</v>
      </c>
      <c r="E34356" s="60" t="s">
        <v>30918</v>
      </c>
      <c r="F34356" s="61"/>
      <c r="G34356" s="61"/>
      <c r="H34356" s="61"/>
    </row>
    <row r="34357" spans="2:8" x14ac:dyDescent="0.25">
      <c r="B34357" s="60" t="s">
        <v>8418</v>
      </c>
      <c r="C34357" s="60" t="s">
        <v>8419</v>
      </c>
      <c r="D34357" s="60" t="str">
        <f>HYPERLINK("https://rhld.insurance.arkansas.gov/NPILookup?Npi=1770297384","1770297384")</f>
        <v>1770297384</v>
      </c>
      <c r="E34357" s="60" t="s">
        <v>8771</v>
      </c>
      <c r="F34357" s="61"/>
      <c r="G34357" s="61"/>
      <c r="H34357" s="61"/>
    </row>
    <row r="34358" spans="2:8" x14ac:dyDescent="0.25">
      <c r="B34358" s="60" t="s">
        <v>8418</v>
      </c>
      <c r="C34358" s="60" t="s">
        <v>8419</v>
      </c>
      <c r="D34358" s="60" t="str">
        <f>HYPERLINK("https://rhld.insurance.arkansas.gov/NPILookup?Npi=1770367195","1770367195")</f>
        <v>1770367195</v>
      </c>
      <c r="E34358" s="60" t="s">
        <v>8772</v>
      </c>
      <c r="F34358" s="61"/>
      <c r="G34358" s="61"/>
      <c r="H34358" s="61"/>
    </row>
    <row r="34359" spans="2:8" x14ac:dyDescent="0.25">
      <c r="B34359" s="60" t="s">
        <v>8418</v>
      </c>
      <c r="C34359" s="60" t="s">
        <v>8419</v>
      </c>
      <c r="D34359" s="60" t="str">
        <f>HYPERLINK("https://rhld.insurance.arkansas.gov/NPILookup?Npi=1770639908","1770639908")</f>
        <v>1770639908</v>
      </c>
      <c r="E34359" s="60" t="s">
        <v>14239</v>
      </c>
      <c r="F34359" s="61"/>
      <c r="G34359" s="61"/>
      <c r="H34359" s="61"/>
    </row>
    <row r="34360" spans="2:8" x14ac:dyDescent="0.25">
      <c r="B34360" s="60" t="s">
        <v>8418</v>
      </c>
      <c r="C34360" s="60" t="s">
        <v>8419</v>
      </c>
      <c r="D34360" s="60" t="str">
        <f>HYPERLINK("https://rhld.insurance.arkansas.gov/NPILookup?Npi=1770649105","1770649105")</f>
        <v>1770649105</v>
      </c>
      <c r="E34360" s="60" t="s">
        <v>8773</v>
      </c>
      <c r="F34360" s="61"/>
      <c r="G34360" s="61"/>
      <c r="H34360" s="61"/>
    </row>
    <row r="34361" spans="2:8" x14ac:dyDescent="0.25">
      <c r="B34361" s="60" t="s">
        <v>8418</v>
      </c>
      <c r="C34361" s="60" t="s">
        <v>8419</v>
      </c>
      <c r="D34361" s="60" t="str">
        <f>HYPERLINK("https://rhld.insurance.arkansas.gov/NPILookup?Npi=1770658338","1770658338")</f>
        <v>1770658338</v>
      </c>
      <c r="E34361" s="60" t="s">
        <v>30919</v>
      </c>
      <c r="F34361" s="61"/>
      <c r="G34361" s="61"/>
      <c r="H34361" s="61"/>
    </row>
    <row r="34362" spans="2:8" x14ac:dyDescent="0.25">
      <c r="B34362" s="60" t="s">
        <v>8418</v>
      </c>
      <c r="C34362" s="60" t="s">
        <v>8419</v>
      </c>
      <c r="D34362" s="60" t="str">
        <f>HYPERLINK("https://rhld.insurance.arkansas.gov/NPILookup?Npi=1770725004","1770725004")</f>
        <v>1770725004</v>
      </c>
      <c r="E34362" s="60" t="s">
        <v>30920</v>
      </c>
      <c r="F34362" s="61"/>
      <c r="G34362" s="61"/>
      <c r="H34362" s="61"/>
    </row>
    <row r="34363" spans="2:8" x14ac:dyDescent="0.25">
      <c r="B34363" s="60" t="s">
        <v>8418</v>
      </c>
      <c r="C34363" s="60" t="s">
        <v>8419</v>
      </c>
      <c r="D34363" s="60" t="str">
        <f>HYPERLINK("https://rhld.insurance.arkansas.gov/NPILookup?Npi=1770730723","1770730723")</f>
        <v>1770730723</v>
      </c>
      <c r="E34363" s="60" t="s">
        <v>14240</v>
      </c>
      <c r="F34363" s="61"/>
      <c r="G34363" s="61"/>
      <c r="H34363" s="61"/>
    </row>
    <row r="34364" spans="2:8" x14ac:dyDescent="0.25">
      <c r="B34364" s="60" t="s">
        <v>8418</v>
      </c>
      <c r="C34364" s="60" t="s">
        <v>8419</v>
      </c>
      <c r="D34364" s="60" t="str">
        <f>HYPERLINK("https://rhld.insurance.arkansas.gov/NPILookup?Npi=1770868242","1770868242")</f>
        <v>1770868242</v>
      </c>
      <c r="E34364" s="60" t="s">
        <v>8774</v>
      </c>
      <c r="F34364" s="61"/>
      <c r="G34364" s="61"/>
      <c r="H34364" s="61"/>
    </row>
    <row r="34365" spans="2:8" x14ac:dyDescent="0.25">
      <c r="B34365" s="60" t="s">
        <v>8418</v>
      </c>
      <c r="C34365" s="60" t="s">
        <v>8419</v>
      </c>
      <c r="D34365" s="60" t="str">
        <f>HYPERLINK("https://rhld.insurance.arkansas.gov/NPILookup?Npi=1770905374","1770905374")</f>
        <v>1770905374</v>
      </c>
      <c r="E34365" s="60" t="s">
        <v>30921</v>
      </c>
      <c r="F34365" s="61"/>
      <c r="G34365" s="61"/>
      <c r="H34365" s="61"/>
    </row>
    <row r="34366" spans="2:8" x14ac:dyDescent="0.25">
      <c r="B34366" s="60" t="s">
        <v>8418</v>
      </c>
      <c r="C34366" s="60" t="s">
        <v>8419</v>
      </c>
      <c r="D34366" s="60" t="str">
        <f>HYPERLINK("https://rhld.insurance.arkansas.gov/NPILookup?Npi=1770970501","1770970501")</f>
        <v>1770970501</v>
      </c>
      <c r="E34366" s="60" t="s">
        <v>30922</v>
      </c>
      <c r="F34366" s="61"/>
      <c r="G34366" s="61"/>
      <c r="H34366" s="61"/>
    </row>
    <row r="34367" spans="2:8" x14ac:dyDescent="0.25">
      <c r="B34367" s="60" t="s">
        <v>8418</v>
      </c>
      <c r="C34367" s="60" t="s">
        <v>8419</v>
      </c>
      <c r="D34367" s="60" t="str">
        <f>HYPERLINK("https://rhld.insurance.arkansas.gov/NPILookup?Npi=1780019919","1780019919")</f>
        <v>1780019919</v>
      </c>
      <c r="E34367" s="60" t="s">
        <v>30923</v>
      </c>
      <c r="F34367" s="61"/>
      <c r="G34367" s="61"/>
      <c r="H34367" s="61"/>
    </row>
    <row r="34368" spans="2:8" x14ac:dyDescent="0.25">
      <c r="B34368" s="60" t="s">
        <v>8418</v>
      </c>
      <c r="C34368" s="60" t="s">
        <v>8419</v>
      </c>
      <c r="D34368" s="60" t="str">
        <f>HYPERLINK("https://rhld.insurance.arkansas.gov/NPILookup?Npi=1780030593","1780030593")</f>
        <v>1780030593</v>
      </c>
      <c r="E34368" s="60" t="s">
        <v>8775</v>
      </c>
      <c r="F34368" s="61"/>
      <c r="G34368" s="61"/>
      <c r="H34368" s="61"/>
    </row>
    <row r="34369" spans="2:8" x14ac:dyDescent="0.25">
      <c r="B34369" s="60" t="s">
        <v>8418</v>
      </c>
      <c r="C34369" s="60" t="s">
        <v>8419</v>
      </c>
      <c r="D34369" s="60" t="str">
        <f>HYPERLINK("https://rhld.insurance.arkansas.gov/NPILookup?Npi=1780052787","1780052787")</f>
        <v>1780052787</v>
      </c>
      <c r="E34369" s="60" t="s">
        <v>2794</v>
      </c>
      <c r="F34369" s="61"/>
      <c r="G34369" s="61"/>
      <c r="H34369" s="61"/>
    </row>
    <row r="34370" spans="2:8" x14ac:dyDescent="0.25">
      <c r="B34370" s="60" t="s">
        <v>8418</v>
      </c>
      <c r="C34370" s="60" t="s">
        <v>8419</v>
      </c>
      <c r="D34370" s="60" t="str">
        <f>HYPERLINK("https://rhld.insurance.arkansas.gov/NPILookup?Npi=1780057638","1780057638")</f>
        <v>1780057638</v>
      </c>
      <c r="E34370" s="60" t="s">
        <v>8776</v>
      </c>
      <c r="F34370" s="61"/>
      <c r="G34370" s="61"/>
      <c r="H34370" s="61"/>
    </row>
    <row r="34371" spans="2:8" x14ac:dyDescent="0.25">
      <c r="B34371" s="60" t="s">
        <v>8418</v>
      </c>
      <c r="C34371" s="60" t="s">
        <v>8419</v>
      </c>
      <c r="D34371" s="60" t="str">
        <f>HYPERLINK("https://rhld.insurance.arkansas.gov/NPILookup?Npi=1780063883","1780063883")</f>
        <v>1780063883</v>
      </c>
      <c r="E34371" s="60" t="s">
        <v>10990</v>
      </c>
      <c r="F34371" s="61"/>
      <c r="G34371" s="61"/>
      <c r="H34371" s="61"/>
    </row>
    <row r="34372" spans="2:8" x14ac:dyDescent="0.25">
      <c r="B34372" s="60" t="s">
        <v>8418</v>
      </c>
      <c r="C34372" s="60" t="s">
        <v>8419</v>
      </c>
      <c r="D34372" s="60" t="str">
        <f>HYPERLINK("https://rhld.insurance.arkansas.gov/NPILookup?Npi=1780132514","1780132514")</f>
        <v>1780132514</v>
      </c>
      <c r="E34372" s="60" t="s">
        <v>30924</v>
      </c>
      <c r="F34372" s="61"/>
      <c r="G34372" s="61"/>
      <c r="H34372" s="61"/>
    </row>
    <row r="34373" spans="2:8" x14ac:dyDescent="0.25">
      <c r="B34373" s="60" t="s">
        <v>8418</v>
      </c>
      <c r="C34373" s="60" t="s">
        <v>8419</v>
      </c>
      <c r="D34373" s="60" t="str">
        <f>HYPERLINK("https://rhld.insurance.arkansas.gov/NPILookup?Npi=1780210963","1780210963")</f>
        <v>1780210963</v>
      </c>
      <c r="E34373" s="60" t="s">
        <v>14241</v>
      </c>
      <c r="F34373" s="61"/>
      <c r="G34373" s="61"/>
      <c r="H34373" s="61"/>
    </row>
    <row r="34374" spans="2:8" x14ac:dyDescent="0.25">
      <c r="B34374" s="60" t="s">
        <v>8418</v>
      </c>
      <c r="C34374" s="60" t="s">
        <v>8419</v>
      </c>
      <c r="D34374" s="60" t="str">
        <f>HYPERLINK("https://rhld.insurance.arkansas.gov/NPILookup?Npi=1780251413","1780251413")</f>
        <v>1780251413</v>
      </c>
      <c r="E34374" s="60" t="s">
        <v>30925</v>
      </c>
      <c r="F34374" s="61"/>
      <c r="G34374" s="61"/>
      <c r="H34374" s="61"/>
    </row>
    <row r="34375" spans="2:8" x14ac:dyDescent="0.25">
      <c r="B34375" s="60" t="s">
        <v>8418</v>
      </c>
      <c r="C34375" s="60" t="s">
        <v>8419</v>
      </c>
      <c r="D34375" s="60" t="str">
        <f>HYPERLINK("https://rhld.insurance.arkansas.gov/NPILookup?Npi=1780258046","1780258046")</f>
        <v>1780258046</v>
      </c>
      <c r="E34375" s="60" t="s">
        <v>30926</v>
      </c>
      <c r="F34375" s="61"/>
      <c r="G34375" s="61"/>
      <c r="H34375" s="61"/>
    </row>
    <row r="34376" spans="2:8" x14ac:dyDescent="0.25">
      <c r="B34376" s="60" t="s">
        <v>8418</v>
      </c>
      <c r="C34376" s="60" t="s">
        <v>8419</v>
      </c>
      <c r="D34376" s="60" t="str">
        <f>HYPERLINK("https://rhld.insurance.arkansas.gov/NPILookup?Npi=1780311316","1780311316")</f>
        <v>1780311316</v>
      </c>
      <c r="E34376" s="60" t="s">
        <v>8777</v>
      </c>
      <c r="F34376" s="61"/>
      <c r="G34376" s="61"/>
      <c r="H34376" s="61"/>
    </row>
    <row r="34377" spans="2:8" x14ac:dyDescent="0.25">
      <c r="B34377" s="60" t="s">
        <v>8418</v>
      </c>
      <c r="C34377" s="60" t="s">
        <v>8419</v>
      </c>
      <c r="D34377" s="60" t="str">
        <f>HYPERLINK("https://rhld.insurance.arkansas.gov/NPILookup?Npi=1780321489","1780321489")</f>
        <v>1780321489</v>
      </c>
      <c r="E34377" s="60" t="s">
        <v>30927</v>
      </c>
      <c r="F34377" s="61"/>
      <c r="G34377" s="61"/>
      <c r="H34377" s="61"/>
    </row>
    <row r="34378" spans="2:8" x14ac:dyDescent="0.25">
      <c r="B34378" s="60" t="s">
        <v>8418</v>
      </c>
      <c r="C34378" s="60" t="s">
        <v>8419</v>
      </c>
      <c r="D34378" s="60" t="str">
        <f>HYPERLINK("https://rhld.insurance.arkansas.gov/NPILookup?Npi=1780345579","1780345579")</f>
        <v>1780345579</v>
      </c>
      <c r="E34378" s="60" t="s">
        <v>8778</v>
      </c>
      <c r="F34378" s="61"/>
      <c r="G34378" s="61"/>
      <c r="H34378" s="61"/>
    </row>
    <row r="34379" spans="2:8" x14ac:dyDescent="0.25">
      <c r="B34379" s="60" t="s">
        <v>8418</v>
      </c>
      <c r="C34379" s="60" t="s">
        <v>8419</v>
      </c>
      <c r="D34379" s="60" t="str">
        <f>HYPERLINK("https://rhld.insurance.arkansas.gov/NPILookup?Npi=1780359745","1780359745")</f>
        <v>1780359745</v>
      </c>
      <c r="E34379" s="60" t="s">
        <v>30928</v>
      </c>
      <c r="F34379" s="61"/>
      <c r="G34379" s="61"/>
      <c r="H34379" s="61"/>
    </row>
    <row r="34380" spans="2:8" x14ac:dyDescent="0.25">
      <c r="B34380" s="60" t="s">
        <v>8418</v>
      </c>
      <c r="C34380" s="60" t="s">
        <v>8419</v>
      </c>
      <c r="D34380" s="60" t="str">
        <f>HYPERLINK("https://rhld.insurance.arkansas.gov/NPILookup?Npi=1780438713","1780438713")</f>
        <v>1780438713</v>
      </c>
      <c r="E34380" s="60" t="s">
        <v>32554</v>
      </c>
      <c r="F34380" s="61"/>
      <c r="G34380" s="61"/>
      <c r="H34380" s="61"/>
    </row>
    <row r="34381" spans="2:8" x14ac:dyDescent="0.25">
      <c r="B34381" s="60" t="s">
        <v>8418</v>
      </c>
      <c r="C34381" s="60" t="s">
        <v>8419</v>
      </c>
      <c r="D34381" s="60" t="str">
        <f>HYPERLINK("https://rhld.insurance.arkansas.gov/NPILookup?Npi=1780749580","1780749580")</f>
        <v>1780749580</v>
      </c>
      <c r="E34381" s="60" t="s">
        <v>8779</v>
      </c>
      <c r="F34381" s="61"/>
      <c r="G34381" s="61"/>
      <c r="H34381" s="61"/>
    </row>
    <row r="34382" spans="2:8" x14ac:dyDescent="0.25">
      <c r="B34382" s="60" t="s">
        <v>8418</v>
      </c>
      <c r="C34382" s="60" t="s">
        <v>8419</v>
      </c>
      <c r="D34382" s="60" t="str">
        <f>HYPERLINK("https://rhld.insurance.arkansas.gov/NPILookup?Npi=1780839688","1780839688")</f>
        <v>1780839688</v>
      </c>
      <c r="E34382" s="60" t="s">
        <v>30929</v>
      </c>
      <c r="F34382" s="61"/>
      <c r="G34382" s="61"/>
      <c r="H34382" s="61"/>
    </row>
    <row r="34383" spans="2:8" x14ac:dyDescent="0.25">
      <c r="B34383" s="60" t="s">
        <v>8418</v>
      </c>
      <c r="C34383" s="60" t="s">
        <v>8419</v>
      </c>
      <c r="D34383" s="60" t="str">
        <f>HYPERLINK("https://rhld.insurance.arkansas.gov/NPILookup?Npi=1780849844","1780849844")</f>
        <v>1780849844</v>
      </c>
      <c r="E34383" s="60" t="s">
        <v>8122</v>
      </c>
      <c r="F34383" s="61"/>
      <c r="G34383" s="61"/>
      <c r="H34383" s="61"/>
    </row>
    <row r="34384" spans="2:8" x14ac:dyDescent="0.25">
      <c r="B34384" s="60" t="s">
        <v>8418</v>
      </c>
      <c r="C34384" s="60" t="s">
        <v>8419</v>
      </c>
      <c r="D34384" s="60" t="str">
        <f>HYPERLINK("https://rhld.insurance.arkansas.gov/NPILookup?Npi=1780921874","1780921874")</f>
        <v>1780921874</v>
      </c>
      <c r="E34384" s="60" t="s">
        <v>30930</v>
      </c>
      <c r="F34384" s="61"/>
      <c r="G34384" s="61"/>
      <c r="H34384" s="61"/>
    </row>
    <row r="34385" spans="2:8" x14ac:dyDescent="0.25">
      <c r="B34385" s="60" t="s">
        <v>8418</v>
      </c>
      <c r="C34385" s="60" t="s">
        <v>8419</v>
      </c>
      <c r="D34385" s="60" t="str">
        <f>HYPERLINK("https://rhld.insurance.arkansas.gov/NPILookup?Npi=1790026839","1790026839")</f>
        <v>1790026839</v>
      </c>
      <c r="E34385" s="60" t="s">
        <v>14242</v>
      </c>
      <c r="F34385" s="61"/>
      <c r="G34385" s="61"/>
      <c r="H34385" s="61"/>
    </row>
    <row r="34386" spans="2:8" x14ac:dyDescent="0.25">
      <c r="B34386" s="60" t="s">
        <v>8418</v>
      </c>
      <c r="C34386" s="60" t="s">
        <v>8419</v>
      </c>
      <c r="D34386" s="60" t="str">
        <f>HYPERLINK("https://rhld.insurance.arkansas.gov/NPILookup?Npi=1790084887","1790084887")</f>
        <v>1790084887</v>
      </c>
      <c r="E34386" s="60" t="s">
        <v>30931</v>
      </c>
      <c r="F34386" s="61"/>
      <c r="G34386" s="61"/>
      <c r="H34386" s="61"/>
    </row>
    <row r="34387" spans="2:8" x14ac:dyDescent="0.25">
      <c r="B34387" s="60" t="s">
        <v>8418</v>
      </c>
      <c r="C34387" s="60" t="s">
        <v>8419</v>
      </c>
      <c r="D34387" s="60" t="str">
        <f>HYPERLINK("https://rhld.insurance.arkansas.gov/NPILookup?Npi=1790100725","1790100725")</f>
        <v>1790100725</v>
      </c>
      <c r="E34387" s="60" t="s">
        <v>8780</v>
      </c>
      <c r="F34387" s="61"/>
      <c r="G34387" s="61"/>
      <c r="H34387" s="61"/>
    </row>
    <row r="34388" spans="2:8" x14ac:dyDescent="0.25">
      <c r="B34388" s="60" t="s">
        <v>8418</v>
      </c>
      <c r="C34388" s="60" t="s">
        <v>8419</v>
      </c>
      <c r="D34388" s="60" t="str">
        <f>HYPERLINK("https://rhld.insurance.arkansas.gov/NPILookup?Npi=1790142453","1790142453")</f>
        <v>1790142453</v>
      </c>
      <c r="E34388" s="60" t="s">
        <v>20962</v>
      </c>
      <c r="F34388" s="61"/>
      <c r="G34388" s="61"/>
      <c r="H34388" s="61"/>
    </row>
    <row r="34389" spans="2:8" x14ac:dyDescent="0.25">
      <c r="B34389" s="60" t="s">
        <v>8418</v>
      </c>
      <c r="C34389" s="60" t="s">
        <v>8419</v>
      </c>
      <c r="D34389" s="60" t="str">
        <f>HYPERLINK("https://rhld.insurance.arkansas.gov/NPILookup?Npi=1790214658","1790214658")</f>
        <v>1790214658</v>
      </c>
      <c r="E34389" s="60" t="s">
        <v>8781</v>
      </c>
      <c r="F34389" s="61"/>
      <c r="G34389" s="61"/>
      <c r="H34389" s="61"/>
    </row>
    <row r="34390" spans="2:8" x14ac:dyDescent="0.25">
      <c r="B34390" s="60" t="s">
        <v>8418</v>
      </c>
      <c r="C34390" s="60" t="s">
        <v>8419</v>
      </c>
      <c r="D34390" s="60" t="str">
        <f>HYPERLINK("https://rhld.insurance.arkansas.gov/NPILookup?Npi=1790324341","1790324341")</f>
        <v>1790324341</v>
      </c>
      <c r="E34390" s="60" t="s">
        <v>30932</v>
      </c>
      <c r="F34390" s="61"/>
      <c r="G34390" s="61"/>
      <c r="H34390" s="61"/>
    </row>
    <row r="34391" spans="2:8" x14ac:dyDescent="0.25">
      <c r="B34391" s="60" t="s">
        <v>8418</v>
      </c>
      <c r="C34391" s="60" t="s">
        <v>8419</v>
      </c>
      <c r="D34391" s="60" t="str">
        <f>HYPERLINK("https://rhld.insurance.arkansas.gov/NPILookup?Npi=1790336014","1790336014")</f>
        <v>1790336014</v>
      </c>
      <c r="E34391" s="60" t="s">
        <v>14243</v>
      </c>
      <c r="F34391" s="61"/>
      <c r="G34391" s="61"/>
      <c r="H34391" s="61"/>
    </row>
    <row r="34392" spans="2:8" x14ac:dyDescent="0.25">
      <c r="B34392" s="60" t="s">
        <v>8418</v>
      </c>
      <c r="C34392" s="60" t="s">
        <v>8419</v>
      </c>
      <c r="D34392" s="60" t="str">
        <f>HYPERLINK("https://rhld.insurance.arkansas.gov/NPILookup?Npi=1790350585","1790350585")</f>
        <v>1790350585</v>
      </c>
      <c r="E34392" s="60" t="s">
        <v>30933</v>
      </c>
      <c r="F34392" s="61"/>
      <c r="G34392" s="61"/>
      <c r="H34392" s="61"/>
    </row>
    <row r="34393" spans="2:8" x14ac:dyDescent="0.25">
      <c r="B34393" s="60" t="s">
        <v>8418</v>
      </c>
      <c r="C34393" s="60" t="s">
        <v>8419</v>
      </c>
      <c r="D34393" s="60" t="str">
        <f>HYPERLINK("https://rhld.insurance.arkansas.gov/NPILookup?Npi=1790423465","1790423465")</f>
        <v>1790423465</v>
      </c>
      <c r="E34393" s="60" t="s">
        <v>32555</v>
      </c>
      <c r="F34393" s="61"/>
      <c r="G34393" s="61"/>
      <c r="H34393" s="61"/>
    </row>
    <row r="34394" spans="2:8" x14ac:dyDescent="0.25">
      <c r="B34394" s="60" t="s">
        <v>8418</v>
      </c>
      <c r="C34394" s="60" t="s">
        <v>8419</v>
      </c>
      <c r="D34394" s="60" t="str">
        <f>HYPERLINK("https://rhld.insurance.arkansas.gov/NPILookup?Npi=1790517969","1790517969")</f>
        <v>1790517969</v>
      </c>
      <c r="E34394" s="60" t="s">
        <v>30934</v>
      </c>
      <c r="F34394" s="61"/>
      <c r="G34394" s="61"/>
      <c r="H34394" s="61"/>
    </row>
    <row r="34395" spans="2:8" x14ac:dyDescent="0.25">
      <c r="B34395" s="60" t="s">
        <v>8418</v>
      </c>
      <c r="C34395" s="60" t="s">
        <v>8419</v>
      </c>
      <c r="D34395" s="60" t="str">
        <f>HYPERLINK("https://rhld.insurance.arkansas.gov/NPILookup?Npi=1790525541","1790525541")</f>
        <v>1790525541</v>
      </c>
      <c r="E34395" s="60" t="s">
        <v>30935</v>
      </c>
      <c r="F34395" s="61"/>
      <c r="G34395" s="61"/>
      <c r="H34395" s="61"/>
    </row>
    <row r="34396" spans="2:8" x14ac:dyDescent="0.25">
      <c r="B34396" s="60" t="s">
        <v>8418</v>
      </c>
      <c r="C34396" s="60" t="s">
        <v>8419</v>
      </c>
      <c r="D34396" s="60" t="str">
        <f>HYPERLINK("https://rhld.insurance.arkansas.gov/NPILookup?Npi=1790796308","1790796308")</f>
        <v>1790796308</v>
      </c>
      <c r="E34396" s="60" t="s">
        <v>5440</v>
      </c>
      <c r="F34396" s="61"/>
      <c r="G34396" s="61"/>
      <c r="H34396" s="61"/>
    </row>
    <row r="34397" spans="2:8" x14ac:dyDescent="0.25">
      <c r="B34397" s="60" t="s">
        <v>8418</v>
      </c>
      <c r="C34397" s="60" t="s">
        <v>8419</v>
      </c>
      <c r="D34397" s="60" t="str">
        <f>HYPERLINK("https://rhld.insurance.arkansas.gov/NPILookup?Npi=1790823748","1790823748")</f>
        <v>1790823748</v>
      </c>
      <c r="E34397" s="60" t="s">
        <v>30936</v>
      </c>
      <c r="F34397" s="61"/>
      <c r="G34397" s="61"/>
      <c r="H34397" s="61"/>
    </row>
    <row r="34398" spans="2:8" x14ac:dyDescent="0.25">
      <c r="B34398" s="60" t="s">
        <v>8418</v>
      </c>
      <c r="C34398" s="60" t="s">
        <v>8419</v>
      </c>
      <c r="D34398" s="60" t="str">
        <f>HYPERLINK("https://rhld.insurance.arkansas.gov/NPILookup?Npi=1790891554","1790891554")</f>
        <v>1790891554</v>
      </c>
      <c r="E34398" s="60" t="s">
        <v>30937</v>
      </c>
      <c r="F34398" s="61"/>
      <c r="G34398" s="61"/>
      <c r="H34398" s="61"/>
    </row>
    <row r="34399" spans="2:8" x14ac:dyDescent="0.25">
      <c r="B34399" s="60" t="s">
        <v>8418</v>
      </c>
      <c r="C34399" s="60" t="s">
        <v>8419</v>
      </c>
      <c r="D34399" s="60" t="str">
        <f>HYPERLINK("https://rhld.insurance.arkansas.gov/NPILookup?Npi=1790932416","1790932416")</f>
        <v>1790932416</v>
      </c>
      <c r="E34399" s="60" t="s">
        <v>6083</v>
      </c>
      <c r="F34399" s="61"/>
      <c r="G34399" s="61"/>
      <c r="H34399" s="61"/>
    </row>
    <row r="34400" spans="2:8" x14ac:dyDescent="0.25">
      <c r="B34400" s="60" t="s">
        <v>8418</v>
      </c>
      <c r="C34400" s="60" t="s">
        <v>8419</v>
      </c>
      <c r="D34400" s="60" t="str">
        <f>HYPERLINK("https://rhld.insurance.arkansas.gov/NPILookup?Npi=1790940575","1790940575")</f>
        <v>1790940575</v>
      </c>
      <c r="E34400" s="60" t="s">
        <v>30938</v>
      </c>
      <c r="F34400" s="61"/>
      <c r="G34400" s="61"/>
      <c r="H34400" s="61"/>
    </row>
    <row r="34401" spans="2:8" x14ac:dyDescent="0.25">
      <c r="B34401" s="60" t="s">
        <v>8418</v>
      </c>
      <c r="C34401" s="60" t="s">
        <v>8419</v>
      </c>
      <c r="D34401" s="60" t="str">
        <f>HYPERLINK("https://rhld.insurance.arkansas.gov/NPILookup?Npi=1801056528","1801056528")</f>
        <v>1801056528</v>
      </c>
      <c r="E34401" s="60" t="s">
        <v>30939</v>
      </c>
      <c r="F34401" s="61"/>
      <c r="G34401" s="61"/>
      <c r="H34401" s="61"/>
    </row>
    <row r="34402" spans="2:8" x14ac:dyDescent="0.25">
      <c r="B34402" s="60" t="s">
        <v>8418</v>
      </c>
      <c r="C34402" s="60" t="s">
        <v>8419</v>
      </c>
      <c r="D34402" s="60" t="str">
        <f>HYPERLINK("https://rhld.insurance.arkansas.gov/NPILookup?Npi=1801082565","1801082565")</f>
        <v>1801082565</v>
      </c>
      <c r="E34402" s="60" t="s">
        <v>14244</v>
      </c>
      <c r="F34402" s="61"/>
      <c r="G34402" s="61"/>
      <c r="H34402" s="61"/>
    </row>
    <row r="34403" spans="2:8" x14ac:dyDescent="0.25">
      <c r="B34403" s="60" t="s">
        <v>8418</v>
      </c>
      <c r="C34403" s="60" t="s">
        <v>8419</v>
      </c>
      <c r="D34403" s="60" t="str">
        <f>HYPERLINK("https://rhld.insurance.arkansas.gov/NPILookup?Npi=1801130430","1801130430")</f>
        <v>1801130430</v>
      </c>
      <c r="E34403" s="60" t="s">
        <v>3927</v>
      </c>
      <c r="F34403" s="61"/>
      <c r="G34403" s="61"/>
      <c r="H34403" s="61"/>
    </row>
    <row r="34404" spans="2:8" x14ac:dyDescent="0.25">
      <c r="B34404" s="60" t="s">
        <v>8418</v>
      </c>
      <c r="C34404" s="60" t="s">
        <v>8419</v>
      </c>
      <c r="D34404" s="60" t="str">
        <f>HYPERLINK("https://rhld.insurance.arkansas.gov/NPILookup?Npi=1801145289","1801145289")</f>
        <v>1801145289</v>
      </c>
      <c r="E34404" s="60" t="s">
        <v>1113</v>
      </c>
      <c r="F34404" s="61"/>
      <c r="G34404" s="61"/>
      <c r="H34404" s="61"/>
    </row>
    <row r="34405" spans="2:8" x14ac:dyDescent="0.25">
      <c r="B34405" s="60" t="s">
        <v>8418</v>
      </c>
      <c r="C34405" s="60" t="s">
        <v>8419</v>
      </c>
      <c r="D34405" s="60" t="str">
        <f>HYPERLINK("https://rhld.insurance.arkansas.gov/NPILookup?Npi=1801178314","1801178314")</f>
        <v>1801178314</v>
      </c>
      <c r="E34405" s="60" t="s">
        <v>30940</v>
      </c>
      <c r="F34405" s="61"/>
      <c r="G34405" s="61"/>
      <c r="H34405" s="61"/>
    </row>
    <row r="34406" spans="2:8" x14ac:dyDescent="0.25">
      <c r="B34406" s="60" t="s">
        <v>8418</v>
      </c>
      <c r="C34406" s="60" t="s">
        <v>8419</v>
      </c>
      <c r="D34406" s="60" t="str">
        <f>HYPERLINK("https://rhld.insurance.arkansas.gov/NPILookup?Npi=1801186499","1801186499")</f>
        <v>1801186499</v>
      </c>
      <c r="E34406" s="60" t="s">
        <v>30941</v>
      </c>
      <c r="F34406" s="61"/>
      <c r="G34406" s="61"/>
      <c r="H34406" s="61"/>
    </row>
    <row r="34407" spans="2:8" x14ac:dyDescent="0.25">
      <c r="B34407" s="60" t="s">
        <v>8418</v>
      </c>
      <c r="C34407" s="60" t="s">
        <v>8419</v>
      </c>
      <c r="D34407" s="60" t="str">
        <f>HYPERLINK("https://rhld.insurance.arkansas.gov/NPILookup?Npi=1801191119","1801191119")</f>
        <v>1801191119</v>
      </c>
      <c r="E34407" s="60" t="s">
        <v>14245</v>
      </c>
      <c r="F34407" s="61"/>
      <c r="G34407" s="61"/>
      <c r="H34407" s="61"/>
    </row>
    <row r="34408" spans="2:8" x14ac:dyDescent="0.25">
      <c r="B34408" s="60" t="s">
        <v>8418</v>
      </c>
      <c r="C34408" s="60" t="s">
        <v>8419</v>
      </c>
      <c r="D34408" s="60" t="str">
        <f>HYPERLINK("https://rhld.insurance.arkansas.gov/NPILookup?Npi=1801300405","1801300405")</f>
        <v>1801300405</v>
      </c>
      <c r="E34408" s="60" t="s">
        <v>9905</v>
      </c>
      <c r="F34408" s="61"/>
      <c r="G34408" s="61"/>
      <c r="H34408" s="61"/>
    </row>
    <row r="34409" spans="2:8" x14ac:dyDescent="0.25">
      <c r="B34409" s="60" t="s">
        <v>8418</v>
      </c>
      <c r="C34409" s="60" t="s">
        <v>8419</v>
      </c>
      <c r="D34409" s="60" t="str">
        <f>HYPERLINK("https://rhld.insurance.arkansas.gov/NPILookup?Npi=1801378955","1801378955")</f>
        <v>1801378955</v>
      </c>
      <c r="E34409" s="60" t="s">
        <v>30942</v>
      </c>
      <c r="F34409" s="61"/>
      <c r="G34409" s="61"/>
      <c r="H34409" s="61"/>
    </row>
    <row r="34410" spans="2:8" x14ac:dyDescent="0.25">
      <c r="B34410" s="60" t="s">
        <v>8418</v>
      </c>
      <c r="C34410" s="60" t="s">
        <v>8419</v>
      </c>
      <c r="D34410" s="60" t="str">
        <f>HYPERLINK("https://rhld.insurance.arkansas.gov/NPILookup?Npi=1801409776","1801409776")</f>
        <v>1801409776</v>
      </c>
      <c r="E34410" s="60" t="s">
        <v>14246</v>
      </c>
      <c r="F34410" s="61"/>
      <c r="G34410" s="61"/>
      <c r="H34410" s="61"/>
    </row>
    <row r="34411" spans="2:8" x14ac:dyDescent="0.25">
      <c r="B34411" s="60" t="s">
        <v>8418</v>
      </c>
      <c r="C34411" s="60" t="s">
        <v>8419</v>
      </c>
      <c r="D34411" s="60" t="str">
        <f>HYPERLINK("https://rhld.insurance.arkansas.gov/NPILookup?Npi=1801416268","1801416268")</f>
        <v>1801416268</v>
      </c>
      <c r="E34411" s="60" t="s">
        <v>30943</v>
      </c>
      <c r="F34411" s="61"/>
      <c r="G34411" s="61"/>
      <c r="H34411" s="61"/>
    </row>
    <row r="34412" spans="2:8" x14ac:dyDescent="0.25">
      <c r="B34412" s="60" t="s">
        <v>8418</v>
      </c>
      <c r="C34412" s="60" t="s">
        <v>8419</v>
      </c>
      <c r="D34412" s="60" t="str">
        <f>HYPERLINK("https://rhld.insurance.arkansas.gov/NPILookup?Npi=1801447107","1801447107")</f>
        <v>1801447107</v>
      </c>
      <c r="E34412" s="60" t="s">
        <v>14247</v>
      </c>
      <c r="F34412" s="61"/>
      <c r="G34412" s="61"/>
      <c r="H34412" s="61"/>
    </row>
    <row r="34413" spans="2:8" x14ac:dyDescent="0.25">
      <c r="B34413" s="60" t="s">
        <v>8418</v>
      </c>
      <c r="C34413" s="60" t="s">
        <v>8419</v>
      </c>
      <c r="D34413" s="60" t="str">
        <f>HYPERLINK("https://rhld.insurance.arkansas.gov/NPILookup?Npi=1801462346","1801462346")</f>
        <v>1801462346</v>
      </c>
      <c r="E34413" s="60" t="s">
        <v>30944</v>
      </c>
      <c r="F34413" s="61"/>
      <c r="G34413" s="61"/>
      <c r="H34413" s="61"/>
    </row>
    <row r="34414" spans="2:8" x14ac:dyDescent="0.25">
      <c r="B34414" s="60" t="s">
        <v>8418</v>
      </c>
      <c r="C34414" s="60" t="s">
        <v>8419</v>
      </c>
      <c r="D34414" s="60" t="str">
        <f>HYPERLINK("https://rhld.insurance.arkansas.gov/NPILookup?Npi=1801490313","1801490313")</f>
        <v>1801490313</v>
      </c>
      <c r="E34414" s="60" t="s">
        <v>30945</v>
      </c>
      <c r="F34414" s="61"/>
      <c r="G34414" s="61"/>
      <c r="H34414" s="61"/>
    </row>
    <row r="34415" spans="2:8" x14ac:dyDescent="0.25">
      <c r="B34415" s="60" t="s">
        <v>8418</v>
      </c>
      <c r="C34415" s="60" t="s">
        <v>8419</v>
      </c>
      <c r="D34415" s="60" t="str">
        <f>HYPERLINK("https://rhld.insurance.arkansas.gov/NPILookup?Npi=1801542550","1801542550")</f>
        <v>1801542550</v>
      </c>
      <c r="E34415" s="60" t="s">
        <v>14248</v>
      </c>
      <c r="F34415" s="61"/>
      <c r="G34415" s="61"/>
      <c r="H34415" s="61"/>
    </row>
    <row r="34416" spans="2:8" x14ac:dyDescent="0.25">
      <c r="B34416" s="60" t="s">
        <v>8418</v>
      </c>
      <c r="C34416" s="60" t="s">
        <v>8419</v>
      </c>
      <c r="D34416" s="60" t="str">
        <f>HYPERLINK("https://rhld.insurance.arkansas.gov/NPILookup?Npi=1801565437","1801565437")</f>
        <v>1801565437</v>
      </c>
      <c r="E34416" s="60" t="s">
        <v>30946</v>
      </c>
      <c r="F34416" s="61"/>
      <c r="G34416" s="61"/>
      <c r="H34416" s="61"/>
    </row>
    <row r="34417" spans="2:8" x14ac:dyDescent="0.25">
      <c r="B34417" s="60" t="s">
        <v>8418</v>
      </c>
      <c r="C34417" s="60" t="s">
        <v>8419</v>
      </c>
      <c r="D34417" s="60" t="str">
        <f>HYPERLINK("https://rhld.insurance.arkansas.gov/NPILookup?Npi=1801576251","1801576251")</f>
        <v>1801576251</v>
      </c>
      <c r="E34417" s="60" t="s">
        <v>30947</v>
      </c>
      <c r="F34417" s="61"/>
      <c r="G34417" s="61"/>
      <c r="H34417" s="61"/>
    </row>
    <row r="34418" spans="2:8" x14ac:dyDescent="0.25">
      <c r="B34418" s="60" t="s">
        <v>8418</v>
      </c>
      <c r="C34418" s="60" t="s">
        <v>8419</v>
      </c>
      <c r="D34418" s="60" t="str">
        <f>HYPERLINK("https://rhld.insurance.arkansas.gov/NPILookup?Npi=1801854112","1801854112")</f>
        <v>1801854112</v>
      </c>
      <c r="E34418" s="60" t="s">
        <v>30948</v>
      </c>
      <c r="F34418" s="61"/>
      <c r="G34418" s="61"/>
      <c r="H34418" s="61"/>
    </row>
    <row r="34419" spans="2:8" x14ac:dyDescent="0.25">
      <c r="B34419" s="60" t="s">
        <v>8418</v>
      </c>
      <c r="C34419" s="60" t="s">
        <v>8419</v>
      </c>
      <c r="D34419" s="60" t="str">
        <f>HYPERLINK("https://rhld.insurance.arkansas.gov/NPILookup?Npi=1801879952","1801879952")</f>
        <v>1801879952</v>
      </c>
      <c r="E34419" s="60" t="s">
        <v>30949</v>
      </c>
      <c r="F34419" s="61"/>
      <c r="G34419" s="61"/>
      <c r="H34419" s="61"/>
    </row>
    <row r="34420" spans="2:8" x14ac:dyDescent="0.25">
      <c r="B34420" s="60" t="s">
        <v>8418</v>
      </c>
      <c r="C34420" s="60" t="s">
        <v>8419</v>
      </c>
      <c r="D34420" s="60" t="str">
        <f>HYPERLINK("https://rhld.insurance.arkansas.gov/NPILookup?Npi=1801913678","1801913678")</f>
        <v>1801913678</v>
      </c>
      <c r="E34420" s="60" t="s">
        <v>30950</v>
      </c>
      <c r="F34420" s="61"/>
      <c r="G34420" s="61"/>
      <c r="H34420" s="61"/>
    </row>
    <row r="34421" spans="2:8" x14ac:dyDescent="0.25">
      <c r="B34421" s="60" t="s">
        <v>8418</v>
      </c>
      <c r="C34421" s="60" t="s">
        <v>8419</v>
      </c>
      <c r="D34421" s="60" t="str">
        <f>HYPERLINK("https://rhld.insurance.arkansas.gov/NPILookup?Npi=1801919311","1801919311")</f>
        <v>1801919311</v>
      </c>
      <c r="E34421" s="60" t="s">
        <v>8782</v>
      </c>
      <c r="F34421" s="61"/>
      <c r="G34421" s="61"/>
      <c r="H34421" s="61"/>
    </row>
    <row r="34422" spans="2:8" x14ac:dyDescent="0.25">
      <c r="B34422" s="60" t="s">
        <v>8418</v>
      </c>
      <c r="C34422" s="60" t="s">
        <v>8419</v>
      </c>
      <c r="D34422" s="60" t="str">
        <f>HYPERLINK("https://rhld.insurance.arkansas.gov/NPILookup?Npi=1801920962","1801920962")</f>
        <v>1801920962</v>
      </c>
      <c r="E34422" s="60" t="s">
        <v>12204</v>
      </c>
      <c r="F34422" s="61"/>
      <c r="G34422" s="61"/>
      <c r="H34422" s="61"/>
    </row>
    <row r="34423" spans="2:8" x14ac:dyDescent="0.25">
      <c r="B34423" s="60" t="s">
        <v>8418</v>
      </c>
      <c r="C34423" s="60" t="s">
        <v>8419</v>
      </c>
      <c r="D34423" s="60" t="str">
        <f>HYPERLINK("https://rhld.insurance.arkansas.gov/NPILookup?Npi=1811012800","1811012800")</f>
        <v>1811012800</v>
      </c>
      <c r="E34423" s="60" t="s">
        <v>8783</v>
      </c>
      <c r="F34423" s="61"/>
      <c r="G34423" s="61"/>
      <c r="H34423" s="61"/>
    </row>
    <row r="34424" spans="2:8" x14ac:dyDescent="0.25">
      <c r="B34424" s="60" t="s">
        <v>8418</v>
      </c>
      <c r="C34424" s="60" t="s">
        <v>8419</v>
      </c>
      <c r="D34424" s="60" t="str">
        <f>HYPERLINK("https://rhld.insurance.arkansas.gov/NPILookup?Npi=1811101082","1811101082")</f>
        <v>1811101082</v>
      </c>
      <c r="E34424" s="60" t="s">
        <v>8784</v>
      </c>
      <c r="F34424" s="61"/>
      <c r="G34424" s="61"/>
      <c r="H34424" s="61"/>
    </row>
    <row r="34425" spans="2:8" x14ac:dyDescent="0.25">
      <c r="B34425" s="60" t="s">
        <v>8418</v>
      </c>
      <c r="C34425" s="60" t="s">
        <v>8419</v>
      </c>
      <c r="D34425" s="60" t="str">
        <f>HYPERLINK("https://rhld.insurance.arkansas.gov/NPILookup?Npi=1811147879","1811147879")</f>
        <v>1811147879</v>
      </c>
      <c r="E34425" s="60" t="s">
        <v>8785</v>
      </c>
      <c r="F34425" s="61"/>
      <c r="G34425" s="61"/>
      <c r="H34425" s="61"/>
    </row>
    <row r="34426" spans="2:8" x14ac:dyDescent="0.25">
      <c r="B34426" s="60" t="s">
        <v>8418</v>
      </c>
      <c r="C34426" s="60" t="s">
        <v>8419</v>
      </c>
      <c r="D34426" s="60" t="str">
        <f>HYPERLINK("https://rhld.insurance.arkansas.gov/NPILookup?Npi=1811194590","1811194590")</f>
        <v>1811194590</v>
      </c>
      <c r="E34426" s="60" t="s">
        <v>8786</v>
      </c>
      <c r="F34426" s="61"/>
      <c r="G34426" s="61"/>
      <c r="H34426" s="61"/>
    </row>
    <row r="34427" spans="2:8" x14ac:dyDescent="0.25">
      <c r="B34427" s="60" t="s">
        <v>8418</v>
      </c>
      <c r="C34427" s="60" t="s">
        <v>8419</v>
      </c>
      <c r="D34427" s="60" t="str">
        <f>HYPERLINK("https://rhld.insurance.arkansas.gov/NPILookup?Npi=1811404585","1811404585")</f>
        <v>1811404585</v>
      </c>
      <c r="E34427" s="60" t="s">
        <v>30951</v>
      </c>
      <c r="F34427" s="61"/>
      <c r="G34427" s="61"/>
      <c r="H34427" s="61"/>
    </row>
    <row r="34428" spans="2:8" x14ac:dyDescent="0.25">
      <c r="B34428" s="60" t="s">
        <v>8418</v>
      </c>
      <c r="C34428" s="60" t="s">
        <v>8419</v>
      </c>
      <c r="D34428" s="60" t="str">
        <f>HYPERLINK("https://rhld.insurance.arkansas.gov/NPILookup?Npi=1811500192","1811500192")</f>
        <v>1811500192</v>
      </c>
      <c r="E34428" s="60" t="s">
        <v>8787</v>
      </c>
      <c r="F34428" s="61"/>
      <c r="G34428" s="61"/>
      <c r="H34428" s="61"/>
    </row>
    <row r="34429" spans="2:8" x14ac:dyDescent="0.25">
      <c r="B34429" s="60" t="s">
        <v>8418</v>
      </c>
      <c r="C34429" s="60" t="s">
        <v>8419</v>
      </c>
      <c r="D34429" s="60" t="str">
        <f>HYPERLINK("https://rhld.insurance.arkansas.gov/NPILookup?Npi=1811615958","1811615958")</f>
        <v>1811615958</v>
      </c>
      <c r="E34429" s="60" t="s">
        <v>14249</v>
      </c>
      <c r="F34429" s="61"/>
      <c r="G34429" s="61"/>
      <c r="H34429" s="61"/>
    </row>
    <row r="34430" spans="2:8" x14ac:dyDescent="0.25">
      <c r="B34430" s="60" t="s">
        <v>8418</v>
      </c>
      <c r="C34430" s="60" t="s">
        <v>8419</v>
      </c>
      <c r="D34430" s="60" t="str">
        <f>HYPERLINK("https://rhld.insurance.arkansas.gov/NPILookup?Npi=1811625635","1811625635")</f>
        <v>1811625635</v>
      </c>
      <c r="E34430" s="60" t="s">
        <v>30952</v>
      </c>
      <c r="F34430" s="61"/>
      <c r="G34430" s="61"/>
      <c r="H34430" s="61"/>
    </row>
    <row r="34431" spans="2:8" x14ac:dyDescent="0.25">
      <c r="B34431" s="60" t="s">
        <v>8418</v>
      </c>
      <c r="C34431" s="60" t="s">
        <v>8419</v>
      </c>
      <c r="D34431" s="60" t="str">
        <f>HYPERLINK("https://rhld.insurance.arkansas.gov/NPILookup?Npi=1811946718","1811946718")</f>
        <v>1811946718</v>
      </c>
      <c r="E34431" s="60" t="s">
        <v>30953</v>
      </c>
      <c r="F34431" s="61"/>
      <c r="G34431" s="61"/>
      <c r="H34431" s="61"/>
    </row>
    <row r="34432" spans="2:8" x14ac:dyDescent="0.25">
      <c r="B34432" s="60" t="s">
        <v>8418</v>
      </c>
      <c r="C34432" s="60" t="s">
        <v>8419</v>
      </c>
      <c r="D34432" s="60" t="str">
        <f>HYPERLINK("https://rhld.insurance.arkansas.gov/NPILookup?Npi=1821129271","1821129271")</f>
        <v>1821129271</v>
      </c>
      <c r="E34432" s="60" t="s">
        <v>30954</v>
      </c>
      <c r="F34432" s="61"/>
      <c r="G34432" s="61"/>
      <c r="H34432" s="61"/>
    </row>
    <row r="34433" spans="2:8" x14ac:dyDescent="0.25">
      <c r="B34433" s="60" t="s">
        <v>8418</v>
      </c>
      <c r="C34433" s="60" t="s">
        <v>8419</v>
      </c>
      <c r="D34433" s="60" t="str">
        <f>HYPERLINK("https://rhld.insurance.arkansas.gov/NPILookup?Npi=1821175308","1821175308")</f>
        <v>1821175308</v>
      </c>
      <c r="E34433" s="60" t="s">
        <v>14250</v>
      </c>
      <c r="F34433" s="61"/>
      <c r="G34433" s="61"/>
      <c r="H34433" s="61"/>
    </row>
    <row r="34434" spans="2:8" x14ac:dyDescent="0.25">
      <c r="B34434" s="60" t="s">
        <v>8418</v>
      </c>
      <c r="C34434" s="60" t="s">
        <v>8419</v>
      </c>
      <c r="D34434" s="60" t="str">
        <f>HYPERLINK("https://rhld.insurance.arkansas.gov/NPILookup?Npi=1821244484","1821244484")</f>
        <v>1821244484</v>
      </c>
      <c r="E34434" s="60" t="s">
        <v>30955</v>
      </c>
      <c r="F34434" s="61"/>
      <c r="G34434" s="61"/>
      <c r="H34434" s="61"/>
    </row>
    <row r="34435" spans="2:8" x14ac:dyDescent="0.25">
      <c r="B34435" s="60" t="s">
        <v>8418</v>
      </c>
      <c r="C34435" s="60" t="s">
        <v>8419</v>
      </c>
      <c r="D34435" s="60" t="str">
        <f>HYPERLINK("https://rhld.insurance.arkansas.gov/NPILookup?Npi=1821256652","1821256652")</f>
        <v>1821256652</v>
      </c>
      <c r="E34435" s="60" t="s">
        <v>30956</v>
      </c>
      <c r="F34435" s="61"/>
      <c r="G34435" s="61"/>
      <c r="H34435" s="61"/>
    </row>
    <row r="34436" spans="2:8" x14ac:dyDescent="0.25">
      <c r="B34436" s="60" t="s">
        <v>8418</v>
      </c>
      <c r="C34436" s="60" t="s">
        <v>8419</v>
      </c>
      <c r="D34436" s="60" t="str">
        <f>HYPERLINK("https://rhld.insurance.arkansas.gov/NPILookup?Npi=1821282443","1821282443")</f>
        <v>1821282443</v>
      </c>
      <c r="E34436" s="60" t="s">
        <v>30957</v>
      </c>
      <c r="F34436" s="61"/>
      <c r="G34436" s="61"/>
      <c r="H34436" s="61"/>
    </row>
    <row r="34437" spans="2:8" x14ac:dyDescent="0.25">
      <c r="B34437" s="60" t="s">
        <v>8418</v>
      </c>
      <c r="C34437" s="60" t="s">
        <v>8419</v>
      </c>
      <c r="D34437" s="60" t="str">
        <f>HYPERLINK("https://rhld.insurance.arkansas.gov/NPILookup?Npi=1821311432","1821311432")</f>
        <v>1821311432</v>
      </c>
      <c r="E34437" s="60" t="s">
        <v>30958</v>
      </c>
      <c r="F34437" s="61"/>
      <c r="G34437" s="61"/>
      <c r="H34437" s="61"/>
    </row>
    <row r="34438" spans="2:8" x14ac:dyDescent="0.25">
      <c r="B34438" s="60" t="s">
        <v>8418</v>
      </c>
      <c r="C34438" s="60" t="s">
        <v>8419</v>
      </c>
      <c r="D34438" s="60" t="str">
        <f>HYPERLINK("https://rhld.insurance.arkansas.gov/NPILookup?Npi=1821326141","1821326141")</f>
        <v>1821326141</v>
      </c>
      <c r="E34438" s="60" t="s">
        <v>30959</v>
      </c>
      <c r="F34438" s="61"/>
      <c r="G34438" s="61"/>
      <c r="H34438" s="61"/>
    </row>
    <row r="34439" spans="2:8" x14ac:dyDescent="0.25">
      <c r="B34439" s="60" t="s">
        <v>8418</v>
      </c>
      <c r="C34439" s="60" t="s">
        <v>8419</v>
      </c>
      <c r="D34439" s="60" t="str">
        <f>HYPERLINK("https://rhld.insurance.arkansas.gov/NPILookup?Npi=1821341017","1821341017")</f>
        <v>1821341017</v>
      </c>
      <c r="E34439" s="60" t="s">
        <v>30960</v>
      </c>
      <c r="F34439" s="61"/>
      <c r="G34439" s="61"/>
      <c r="H34439" s="61"/>
    </row>
    <row r="34440" spans="2:8" x14ac:dyDescent="0.25">
      <c r="B34440" s="60" t="s">
        <v>8418</v>
      </c>
      <c r="C34440" s="60" t="s">
        <v>8419</v>
      </c>
      <c r="D34440" s="60" t="str">
        <f>HYPERLINK("https://rhld.insurance.arkansas.gov/NPILookup?Npi=1821343559","1821343559")</f>
        <v>1821343559</v>
      </c>
      <c r="E34440" s="60" t="s">
        <v>8788</v>
      </c>
      <c r="F34440" s="61"/>
      <c r="G34440" s="61"/>
      <c r="H34440" s="61"/>
    </row>
    <row r="34441" spans="2:8" x14ac:dyDescent="0.25">
      <c r="B34441" s="60" t="s">
        <v>8418</v>
      </c>
      <c r="C34441" s="60" t="s">
        <v>8419</v>
      </c>
      <c r="D34441" s="60" t="str">
        <f>HYPERLINK("https://rhld.insurance.arkansas.gov/NPILookup?Npi=1821373614","1821373614")</f>
        <v>1821373614</v>
      </c>
      <c r="E34441" s="60" t="s">
        <v>8789</v>
      </c>
      <c r="F34441" s="61"/>
      <c r="G34441" s="61"/>
      <c r="H34441" s="61"/>
    </row>
    <row r="34442" spans="2:8" x14ac:dyDescent="0.25">
      <c r="B34442" s="60" t="s">
        <v>8418</v>
      </c>
      <c r="C34442" s="60" t="s">
        <v>8419</v>
      </c>
      <c r="D34442" s="60" t="str">
        <f>HYPERLINK("https://rhld.insurance.arkansas.gov/NPILookup?Npi=1821377391","1821377391")</f>
        <v>1821377391</v>
      </c>
      <c r="E34442" s="60" t="s">
        <v>30961</v>
      </c>
      <c r="F34442" s="61"/>
      <c r="G34442" s="61"/>
      <c r="H34442" s="61"/>
    </row>
    <row r="34443" spans="2:8" x14ac:dyDescent="0.25">
      <c r="B34443" s="60" t="s">
        <v>8418</v>
      </c>
      <c r="C34443" s="60" t="s">
        <v>8419</v>
      </c>
      <c r="D34443" s="60" t="str">
        <f>HYPERLINK("https://rhld.insurance.arkansas.gov/NPILookup?Npi=1821418823","1821418823")</f>
        <v>1821418823</v>
      </c>
      <c r="E34443" s="60" t="s">
        <v>30962</v>
      </c>
      <c r="F34443" s="61"/>
      <c r="G34443" s="61"/>
      <c r="H34443" s="61"/>
    </row>
    <row r="34444" spans="2:8" x14ac:dyDescent="0.25">
      <c r="B34444" s="60" t="s">
        <v>8418</v>
      </c>
      <c r="C34444" s="60" t="s">
        <v>8419</v>
      </c>
      <c r="D34444" s="60" t="str">
        <f>HYPERLINK("https://rhld.insurance.arkansas.gov/NPILookup?Npi=1821423625","1821423625")</f>
        <v>1821423625</v>
      </c>
      <c r="E34444" s="60" t="s">
        <v>14251</v>
      </c>
      <c r="F34444" s="61"/>
      <c r="G34444" s="61"/>
      <c r="H34444" s="61"/>
    </row>
    <row r="34445" spans="2:8" x14ac:dyDescent="0.25">
      <c r="B34445" s="60" t="s">
        <v>8418</v>
      </c>
      <c r="C34445" s="60" t="s">
        <v>8419</v>
      </c>
      <c r="D34445" s="60" t="str">
        <f>HYPERLINK("https://rhld.insurance.arkansas.gov/NPILookup?Npi=1821423633","1821423633")</f>
        <v>1821423633</v>
      </c>
      <c r="E34445" s="60" t="s">
        <v>30963</v>
      </c>
      <c r="F34445" s="61"/>
      <c r="G34445" s="61"/>
      <c r="H34445" s="61"/>
    </row>
    <row r="34446" spans="2:8" x14ac:dyDescent="0.25">
      <c r="B34446" s="60" t="s">
        <v>8418</v>
      </c>
      <c r="C34446" s="60" t="s">
        <v>8419</v>
      </c>
      <c r="D34446" s="60" t="str">
        <f>HYPERLINK("https://rhld.insurance.arkansas.gov/NPILookup?Npi=1821423948","1821423948")</f>
        <v>1821423948</v>
      </c>
      <c r="E34446" s="60" t="s">
        <v>30964</v>
      </c>
      <c r="F34446" s="61"/>
      <c r="G34446" s="61"/>
      <c r="H34446" s="61"/>
    </row>
    <row r="34447" spans="2:8" x14ac:dyDescent="0.25">
      <c r="B34447" s="60" t="s">
        <v>8418</v>
      </c>
      <c r="C34447" s="60" t="s">
        <v>8419</v>
      </c>
      <c r="D34447" s="60" t="str">
        <f>HYPERLINK("https://rhld.insurance.arkansas.gov/NPILookup?Npi=1821444514","1821444514")</f>
        <v>1821444514</v>
      </c>
      <c r="E34447" s="60" t="s">
        <v>30965</v>
      </c>
      <c r="F34447" s="61"/>
      <c r="G34447" s="61"/>
      <c r="H34447" s="61"/>
    </row>
    <row r="34448" spans="2:8" x14ac:dyDescent="0.25">
      <c r="B34448" s="60" t="s">
        <v>8418</v>
      </c>
      <c r="C34448" s="60" t="s">
        <v>8419</v>
      </c>
      <c r="D34448" s="60" t="str">
        <f>HYPERLINK("https://rhld.insurance.arkansas.gov/NPILookup?Npi=1821444746","1821444746")</f>
        <v>1821444746</v>
      </c>
      <c r="E34448" s="60" t="s">
        <v>8790</v>
      </c>
      <c r="F34448" s="61"/>
      <c r="G34448" s="61"/>
      <c r="H34448" s="61"/>
    </row>
    <row r="34449" spans="2:8" x14ac:dyDescent="0.25">
      <c r="B34449" s="60" t="s">
        <v>8418</v>
      </c>
      <c r="C34449" s="60" t="s">
        <v>8419</v>
      </c>
      <c r="D34449" s="60" t="str">
        <f>HYPERLINK("https://rhld.insurance.arkansas.gov/NPILookup?Npi=1821512120","1821512120")</f>
        <v>1821512120</v>
      </c>
      <c r="E34449" s="60" t="s">
        <v>14252</v>
      </c>
      <c r="F34449" s="61"/>
      <c r="G34449" s="61"/>
      <c r="H34449" s="61"/>
    </row>
    <row r="34450" spans="2:8" x14ac:dyDescent="0.25">
      <c r="B34450" s="60" t="s">
        <v>8418</v>
      </c>
      <c r="C34450" s="60" t="s">
        <v>8419</v>
      </c>
      <c r="D34450" s="60" t="str">
        <f>HYPERLINK("https://rhld.insurance.arkansas.gov/NPILookup?Npi=1821656323","1821656323")</f>
        <v>1821656323</v>
      </c>
      <c r="E34450" s="60" t="s">
        <v>8791</v>
      </c>
      <c r="F34450" s="61"/>
      <c r="G34450" s="61"/>
      <c r="H34450" s="61"/>
    </row>
    <row r="34451" spans="2:8" x14ac:dyDescent="0.25">
      <c r="B34451" s="60" t="s">
        <v>8418</v>
      </c>
      <c r="C34451" s="60" t="s">
        <v>8419</v>
      </c>
      <c r="D34451" s="60" t="str">
        <f>HYPERLINK("https://rhld.insurance.arkansas.gov/NPILookup?Npi=1821660226","1821660226")</f>
        <v>1821660226</v>
      </c>
      <c r="E34451" s="60" t="s">
        <v>14253</v>
      </c>
      <c r="F34451" s="61"/>
      <c r="G34451" s="61"/>
      <c r="H34451" s="61"/>
    </row>
    <row r="34452" spans="2:8" x14ac:dyDescent="0.25">
      <c r="B34452" s="60" t="s">
        <v>8418</v>
      </c>
      <c r="C34452" s="60" t="s">
        <v>8419</v>
      </c>
      <c r="D34452" s="60" t="str">
        <f>HYPERLINK("https://rhld.insurance.arkansas.gov/NPILookup?Npi=1821661604","1821661604")</f>
        <v>1821661604</v>
      </c>
      <c r="E34452" s="60" t="s">
        <v>30966</v>
      </c>
      <c r="F34452" s="61"/>
      <c r="G34452" s="61"/>
      <c r="H34452" s="61"/>
    </row>
    <row r="34453" spans="2:8" x14ac:dyDescent="0.25">
      <c r="B34453" s="60" t="s">
        <v>8418</v>
      </c>
      <c r="C34453" s="60" t="s">
        <v>8419</v>
      </c>
      <c r="D34453" s="60" t="str">
        <f>HYPERLINK("https://rhld.insurance.arkansas.gov/NPILookup?Npi=1821680794","1821680794")</f>
        <v>1821680794</v>
      </c>
      <c r="E34453" s="60" t="s">
        <v>30967</v>
      </c>
      <c r="F34453" s="61"/>
      <c r="G34453" s="61"/>
      <c r="H34453" s="61"/>
    </row>
    <row r="34454" spans="2:8" x14ac:dyDescent="0.25">
      <c r="B34454" s="60" t="s">
        <v>8418</v>
      </c>
      <c r="C34454" s="60" t="s">
        <v>8419</v>
      </c>
      <c r="D34454" s="60" t="str">
        <f>HYPERLINK("https://rhld.insurance.arkansas.gov/NPILookup?Npi=1821771965","1821771965")</f>
        <v>1821771965</v>
      </c>
      <c r="E34454" s="60" t="s">
        <v>30968</v>
      </c>
      <c r="F34454" s="61"/>
      <c r="G34454" s="61"/>
      <c r="H34454" s="61"/>
    </row>
    <row r="34455" spans="2:8" x14ac:dyDescent="0.25">
      <c r="B34455" s="60" t="s">
        <v>8418</v>
      </c>
      <c r="C34455" s="60" t="s">
        <v>8419</v>
      </c>
      <c r="D34455" s="60" t="str">
        <f>HYPERLINK("https://rhld.insurance.arkansas.gov/NPILookup?Npi=1821838020","1821838020")</f>
        <v>1821838020</v>
      </c>
      <c r="E34455" s="60" t="s">
        <v>32556</v>
      </c>
      <c r="F34455" s="61"/>
      <c r="G34455" s="61"/>
      <c r="H34455" s="61"/>
    </row>
    <row r="34456" spans="2:8" x14ac:dyDescent="0.25">
      <c r="B34456" s="60" t="s">
        <v>8418</v>
      </c>
      <c r="C34456" s="60" t="s">
        <v>8419</v>
      </c>
      <c r="D34456" s="60" t="str">
        <f>HYPERLINK("https://rhld.insurance.arkansas.gov/NPILookup?Npi=1821872888","1821872888")</f>
        <v>1821872888</v>
      </c>
      <c r="E34456" s="60" t="s">
        <v>30969</v>
      </c>
      <c r="F34456" s="61"/>
      <c r="G34456" s="61"/>
      <c r="H34456" s="61"/>
    </row>
    <row r="34457" spans="2:8" x14ac:dyDescent="0.25">
      <c r="B34457" s="60" t="s">
        <v>8418</v>
      </c>
      <c r="C34457" s="60" t="s">
        <v>8419</v>
      </c>
      <c r="D34457" s="60" t="str">
        <f>HYPERLINK("https://rhld.insurance.arkansas.gov/NPILookup?Npi=1831141472","1831141472")</f>
        <v>1831141472</v>
      </c>
      <c r="E34457" s="60" t="s">
        <v>30970</v>
      </c>
      <c r="F34457" s="61"/>
      <c r="G34457" s="61"/>
      <c r="H34457" s="61"/>
    </row>
    <row r="34458" spans="2:8" x14ac:dyDescent="0.25">
      <c r="B34458" s="60" t="s">
        <v>8418</v>
      </c>
      <c r="C34458" s="60" t="s">
        <v>8419</v>
      </c>
      <c r="D34458" s="60" t="str">
        <f>HYPERLINK("https://rhld.insurance.arkansas.gov/NPILookup?Npi=1831257880","1831257880")</f>
        <v>1831257880</v>
      </c>
      <c r="E34458" s="60" t="s">
        <v>14254</v>
      </c>
      <c r="F34458" s="61"/>
      <c r="G34458" s="61"/>
      <c r="H34458" s="61"/>
    </row>
    <row r="34459" spans="2:8" x14ac:dyDescent="0.25">
      <c r="B34459" s="60" t="s">
        <v>8418</v>
      </c>
      <c r="C34459" s="60" t="s">
        <v>8419</v>
      </c>
      <c r="D34459" s="60" t="str">
        <f>HYPERLINK("https://rhld.insurance.arkansas.gov/NPILookup?Npi=1831304617","1831304617")</f>
        <v>1831304617</v>
      </c>
      <c r="E34459" s="60" t="s">
        <v>30971</v>
      </c>
      <c r="F34459" s="61"/>
      <c r="G34459" s="61"/>
      <c r="H34459" s="61"/>
    </row>
    <row r="34460" spans="2:8" x14ac:dyDescent="0.25">
      <c r="B34460" s="60" t="s">
        <v>8418</v>
      </c>
      <c r="C34460" s="60" t="s">
        <v>8419</v>
      </c>
      <c r="D34460" s="60" t="str">
        <f>HYPERLINK("https://rhld.insurance.arkansas.gov/NPILookup?Npi=1831327188","1831327188")</f>
        <v>1831327188</v>
      </c>
      <c r="E34460" s="60" t="s">
        <v>14255</v>
      </c>
      <c r="F34460" s="61"/>
      <c r="G34460" s="61"/>
      <c r="H34460" s="61"/>
    </row>
    <row r="34461" spans="2:8" x14ac:dyDescent="0.25">
      <c r="B34461" s="60" t="s">
        <v>8418</v>
      </c>
      <c r="C34461" s="60" t="s">
        <v>8419</v>
      </c>
      <c r="D34461" s="60" t="str">
        <f>HYPERLINK("https://rhld.insurance.arkansas.gov/NPILookup?Npi=1831342286","1831342286")</f>
        <v>1831342286</v>
      </c>
      <c r="E34461" s="60" t="s">
        <v>30972</v>
      </c>
      <c r="F34461" s="61"/>
      <c r="G34461" s="61"/>
      <c r="H34461" s="61"/>
    </row>
    <row r="34462" spans="2:8" x14ac:dyDescent="0.25">
      <c r="B34462" s="60" t="s">
        <v>8418</v>
      </c>
      <c r="C34462" s="60" t="s">
        <v>8419</v>
      </c>
      <c r="D34462" s="60" t="str">
        <f>HYPERLINK("https://rhld.insurance.arkansas.gov/NPILookup?Npi=1831429224","1831429224")</f>
        <v>1831429224</v>
      </c>
      <c r="E34462" s="60" t="s">
        <v>30973</v>
      </c>
      <c r="F34462" s="61"/>
      <c r="G34462" s="61"/>
      <c r="H34462" s="61"/>
    </row>
    <row r="34463" spans="2:8" x14ac:dyDescent="0.25">
      <c r="B34463" s="60" t="s">
        <v>8418</v>
      </c>
      <c r="C34463" s="60" t="s">
        <v>8419</v>
      </c>
      <c r="D34463" s="60" t="str">
        <f>HYPERLINK("https://rhld.insurance.arkansas.gov/NPILookup?Npi=1831441633","1831441633")</f>
        <v>1831441633</v>
      </c>
      <c r="E34463" s="60" t="s">
        <v>30974</v>
      </c>
      <c r="F34463" s="61"/>
      <c r="G34463" s="61"/>
      <c r="H34463" s="61"/>
    </row>
    <row r="34464" spans="2:8" x14ac:dyDescent="0.25">
      <c r="B34464" s="60" t="s">
        <v>8418</v>
      </c>
      <c r="C34464" s="60" t="s">
        <v>8419</v>
      </c>
      <c r="D34464" s="60" t="str">
        <f>HYPERLINK("https://rhld.insurance.arkansas.gov/NPILookup?Npi=1831474766","1831474766")</f>
        <v>1831474766</v>
      </c>
      <c r="E34464" s="60" t="s">
        <v>8792</v>
      </c>
      <c r="F34464" s="61"/>
      <c r="G34464" s="61"/>
      <c r="H34464" s="61"/>
    </row>
    <row r="34465" spans="2:8" x14ac:dyDescent="0.25">
      <c r="B34465" s="60" t="s">
        <v>8418</v>
      </c>
      <c r="C34465" s="60" t="s">
        <v>8419</v>
      </c>
      <c r="D34465" s="60" t="str">
        <f>HYPERLINK("https://rhld.insurance.arkansas.gov/NPILookup?Npi=1831511500","1831511500")</f>
        <v>1831511500</v>
      </c>
      <c r="E34465" s="60" t="s">
        <v>30975</v>
      </c>
      <c r="F34465" s="61"/>
      <c r="G34465" s="61"/>
      <c r="H34465" s="61"/>
    </row>
    <row r="34466" spans="2:8" x14ac:dyDescent="0.25">
      <c r="B34466" s="60" t="s">
        <v>8418</v>
      </c>
      <c r="C34466" s="60" t="s">
        <v>8419</v>
      </c>
      <c r="D34466" s="60" t="str">
        <f>HYPERLINK("https://rhld.insurance.arkansas.gov/NPILookup?Npi=1831519735","1831519735")</f>
        <v>1831519735</v>
      </c>
      <c r="E34466" s="60" t="s">
        <v>30976</v>
      </c>
      <c r="F34466" s="61"/>
      <c r="G34466" s="61"/>
      <c r="H34466" s="61"/>
    </row>
    <row r="34467" spans="2:8" x14ac:dyDescent="0.25">
      <c r="B34467" s="60" t="s">
        <v>8418</v>
      </c>
      <c r="C34467" s="60" t="s">
        <v>8419</v>
      </c>
      <c r="D34467" s="60" t="str">
        <f>HYPERLINK("https://rhld.insurance.arkansas.gov/NPILookup?Npi=1831569920","1831569920")</f>
        <v>1831569920</v>
      </c>
      <c r="E34467" s="60" t="s">
        <v>30977</v>
      </c>
      <c r="F34467" s="61"/>
      <c r="G34467" s="61"/>
      <c r="H34467" s="61"/>
    </row>
    <row r="34468" spans="2:8" x14ac:dyDescent="0.25">
      <c r="B34468" s="60" t="s">
        <v>8418</v>
      </c>
      <c r="C34468" s="60" t="s">
        <v>8419</v>
      </c>
      <c r="D34468" s="60" t="str">
        <f>HYPERLINK("https://rhld.insurance.arkansas.gov/NPILookup?Npi=1831570209","1831570209")</f>
        <v>1831570209</v>
      </c>
      <c r="E34468" s="60" t="s">
        <v>30978</v>
      </c>
      <c r="F34468" s="61"/>
      <c r="G34468" s="61"/>
      <c r="H34468" s="61"/>
    </row>
    <row r="34469" spans="2:8" x14ac:dyDescent="0.25">
      <c r="B34469" s="60" t="s">
        <v>8418</v>
      </c>
      <c r="C34469" s="60" t="s">
        <v>8419</v>
      </c>
      <c r="D34469" s="60" t="str">
        <f>HYPERLINK("https://rhld.insurance.arkansas.gov/NPILookup?Npi=1831746304","1831746304")</f>
        <v>1831746304</v>
      </c>
      <c r="E34469" s="60" t="s">
        <v>30979</v>
      </c>
      <c r="F34469" s="61"/>
      <c r="G34469" s="61"/>
      <c r="H34469" s="61"/>
    </row>
    <row r="34470" spans="2:8" x14ac:dyDescent="0.25">
      <c r="B34470" s="60" t="s">
        <v>8418</v>
      </c>
      <c r="C34470" s="60" t="s">
        <v>8419</v>
      </c>
      <c r="D34470" s="60" t="str">
        <f>HYPERLINK("https://rhld.insurance.arkansas.gov/NPILookup?Npi=1831797802","1831797802")</f>
        <v>1831797802</v>
      </c>
      <c r="E34470" s="60" t="s">
        <v>5675</v>
      </c>
      <c r="F34470" s="61"/>
      <c r="G34470" s="61"/>
      <c r="H34470" s="61"/>
    </row>
    <row r="34471" spans="2:8" x14ac:dyDescent="0.25">
      <c r="B34471" s="60" t="s">
        <v>8418</v>
      </c>
      <c r="C34471" s="60" t="s">
        <v>8419</v>
      </c>
      <c r="D34471" s="60" t="str">
        <f>HYPERLINK("https://rhld.insurance.arkansas.gov/NPILookup?Npi=1831803451","1831803451")</f>
        <v>1831803451</v>
      </c>
      <c r="E34471" s="60" t="s">
        <v>8793</v>
      </c>
      <c r="F34471" s="61"/>
      <c r="G34471" s="61"/>
      <c r="H34471" s="61"/>
    </row>
    <row r="34472" spans="2:8" x14ac:dyDescent="0.25">
      <c r="B34472" s="60" t="s">
        <v>8418</v>
      </c>
      <c r="C34472" s="60" t="s">
        <v>8419</v>
      </c>
      <c r="D34472" s="60" t="str">
        <f>HYPERLINK("https://rhld.insurance.arkansas.gov/NPILookup?Npi=1831828565","1831828565")</f>
        <v>1831828565</v>
      </c>
      <c r="E34472" s="60" t="s">
        <v>14256</v>
      </c>
      <c r="F34472" s="61"/>
      <c r="G34472" s="61"/>
      <c r="H34472" s="61"/>
    </row>
    <row r="34473" spans="2:8" x14ac:dyDescent="0.25">
      <c r="B34473" s="60" t="s">
        <v>8418</v>
      </c>
      <c r="C34473" s="60" t="s">
        <v>8419</v>
      </c>
      <c r="D34473" s="60" t="str">
        <f>HYPERLINK("https://rhld.insurance.arkansas.gov/NPILookup?Npi=1831850510","1831850510")</f>
        <v>1831850510</v>
      </c>
      <c r="E34473" s="60" t="s">
        <v>30980</v>
      </c>
      <c r="F34473" s="61"/>
      <c r="G34473" s="61"/>
      <c r="H34473" s="61"/>
    </row>
    <row r="34474" spans="2:8" x14ac:dyDescent="0.25">
      <c r="B34474" s="60" t="s">
        <v>8418</v>
      </c>
      <c r="C34474" s="60" t="s">
        <v>8419</v>
      </c>
      <c r="D34474" s="60" t="str">
        <f>HYPERLINK("https://rhld.insurance.arkansas.gov/NPILookup?Npi=1831863091","1831863091")</f>
        <v>1831863091</v>
      </c>
      <c r="E34474" s="60" t="s">
        <v>14257</v>
      </c>
      <c r="F34474" s="61"/>
      <c r="G34474" s="61"/>
      <c r="H34474" s="61"/>
    </row>
    <row r="34475" spans="2:8" x14ac:dyDescent="0.25">
      <c r="B34475" s="60" t="s">
        <v>8418</v>
      </c>
      <c r="C34475" s="60" t="s">
        <v>8419</v>
      </c>
      <c r="D34475" s="60" t="str">
        <f>HYPERLINK("https://rhld.insurance.arkansas.gov/NPILookup?Npi=1831882091","1831882091")</f>
        <v>1831882091</v>
      </c>
      <c r="E34475" s="60" t="s">
        <v>30981</v>
      </c>
      <c r="F34475" s="61"/>
      <c r="G34475" s="61"/>
      <c r="H34475" s="61"/>
    </row>
    <row r="34476" spans="2:8" x14ac:dyDescent="0.25">
      <c r="B34476" s="60" t="s">
        <v>8418</v>
      </c>
      <c r="C34476" s="60" t="s">
        <v>8419</v>
      </c>
      <c r="D34476" s="60" t="str">
        <f>HYPERLINK("https://rhld.insurance.arkansas.gov/NPILookup?Npi=1831928381","1831928381")</f>
        <v>1831928381</v>
      </c>
      <c r="E34476" s="60" t="s">
        <v>32557</v>
      </c>
      <c r="F34476" s="61"/>
      <c r="G34476" s="61"/>
      <c r="H34476" s="61"/>
    </row>
    <row r="34477" spans="2:8" x14ac:dyDescent="0.25">
      <c r="B34477" s="60" t="s">
        <v>8418</v>
      </c>
      <c r="C34477" s="60" t="s">
        <v>8419</v>
      </c>
      <c r="D34477" s="60" t="str">
        <f>HYPERLINK("https://rhld.insurance.arkansas.gov/NPILookup?Npi=1841220555","1841220555")</f>
        <v>1841220555</v>
      </c>
      <c r="E34477" s="60" t="s">
        <v>30982</v>
      </c>
      <c r="F34477" s="61"/>
      <c r="G34477" s="61"/>
      <c r="H34477" s="61"/>
    </row>
    <row r="34478" spans="2:8" x14ac:dyDescent="0.25">
      <c r="B34478" s="60" t="s">
        <v>8418</v>
      </c>
      <c r="C34478" s="60" t="s">
        <v>8419</v>
      </c>
      <c r="D34478" s="60" t="str">
        <f>HYPERLINK("https://rhld.insurance.arkansas.gov/NPILookup?Npi=1841243276","1841243276")</f>
        <v>1841243276</v>
      </c>
      <c r="E34478" s="60" t="s">
        <v>8794</v>
      </c>
      <c r="F34478" s="61"/>
      <c r="G34478" s="61"/>
      <c r="H34478" s="61"/>
    </row>
    <row r="34479" spans="2:8" x14ac:dyDescent="0.25">
      <c r="B34479" s="60" t="s">
        <v>8418</v>
      </c>
      <c r="C34479" s="60" t="s">
        <v>8419</v>
      </c>
      <c r="D34479" s="60" t="str">
        <f>HYPERLINK("https://rhld.insurance.arkansas.gov/NPILookup?Npi=1841314812","1841314812")</f>
        <v>1841314812</v>
      </c>
      <c r="E34479" s="60" t="s">
        <v>30983</v>
      </c>
      <c r="F34479" s="61"/>
      <c r="G34479" s="61"/>
      <c r="H34479" s="61"/>
    </row>
    <row r="34480" spans="2:8" x14ac:dyDescent="0.25">
      <c r="B34480" s="60" t="s">
        <v>8418</v>
      </c>
      <c r="C34480" s="60" t="s">
        <v>8419</v>
      </c>
      <c r="D34480" s="60" t="str">
        <f>HYPERLINK("https://rhld.insurance.arkansas.gov/NPILookup?Npi=1841447521","1841447521")</f>
        <v>1841447521</v>
      </c>
      <c r="E34480" s="60" t="s">
        <v>30984</v>
      </c>
      <c r="F34480" s="61"/>
      <c r="G34480" s="61"/>
      <c r="H34480" s="61"/>
    </row>
    <row r="34481" spans="2:8" x14ac:dyDescent="0.25">
      <c r="B34481" s="60" t="s">
        <v>8418</v>
      </c>
      <c r="C34481" s="60" t="s">
        <v>8419</v>
      </c>
      <c r="D34481" s="60" t="str">
        <f>HYPERLINK("https://rhld.insurance.arkansas.gov/NPILookup?Npi=1841463908","1841463908")</f>
        <v>1841463908</v>
      </c>
      <c r="E34481" s="60" t="s">
        <v>30985</v>
      </c>
      <c r="F34481" s="61"/>
      <c r="G34481" s="61"/>
      <c r="H34481" s="61"/>
    </row>
    <row r="34482" spans="2:8" x14ac:dyDescent="0.25">
      <c r="B34482" s="60" t="s">
        <v>8418</v>
      </c>
      <c r="C34482" s="60" t="s">
        <v>8419</v>
      </c>
      <c r="D34482" s="60" t="str">
        <f>HYPERLINK("https://rhld.insurance.arkansas.gov/NPILookup?Npi=1841469392","1841469392")</f>
        <v>1841469392</v>
      </c>
      <c r="E34482" s="60" t="s">
        <v>6864</v>
      </c>
      <c r="F34482" s="61"/>
      <c r="G34482" s="61"/>
      <c r="H34482" s="61"/>
    </row>
    <row r="34483" spans="2:8" x14ac:dyDescent="0.25">
      <c r="B34483" s="60" t="s">
        <v>8418</v>
      </c>
      <c r="C34483" s="60" t="s">
        <v>8419</v>
      </c>
      <c r="D34483" s="60" t="str">
        <f>HYPERLINK("https://rhld.insurance.arkansas.gov/NPILookup?Npi=1841474665","1841474665")</f>
        <v>1841474665</v>
      </c>
      <c r="E34483" s="60" t="s">
        <v>8795</v>
      </c>
      <c r="F34483" s="61"/>
      <c r="G34483" s="61"/>
      <c r="H34483" s="61"/>
    </row>
    <row r="34484" spans="2:8" x14ac:dyDescent="0.25">
      <c r="B34484" s="60" t="s">
        <v>8418</v>
      </c>
      <c r="C34484" s="60" t="s">
        <v>8419</v>
      </c>
      <c r="D34484" s="60" t="str">
        <f>HYPERLINK("https://rhld.insurance.arkansas.gov/NPILookup?Npi=1841525011","1841525011")</f>
        <v>1841525011</v>
      </c>
      <c r="E34484" s="60" t="s">
        <v>32558</v>
      </c>
      <c r="F34484" s="61"/>
      <c r="G34484" s="61"/>
      <c r="H34484" s="61"/>
    </row>
    <row r="34485" spans="2:8" x14ac:dyDescent="0.25">
      <c r="B34485" s="60" t="s">
        <v>8418</v>
      </c>
      <c r="C34485" s="60" t="s">
        <v>8419</v>
      </c>
      <c r="D34485" s="60" t="str">
        <f>HYPERLINK("https://rhld.insurance.arkansas.gov/NPILookup?Npi=1841536331","1841536331")</f>
        <v>1841536331</v>
      </c>
      <c r="E34485" s="60" t="s">
        <v>32559</v>
      </c>
      <c r="F34485" s="61"/>
      <c r="G34485" s="61"/>
      <c r="H34485" s="61"/>
    </row>
    <row r="34486" spans="2:8" x14ac:dyDescent="0.25">
      <c r="B34486" s="60" t="s">
        <v>8418</v>
      </c>
      <c r="C34486" s="60" t="s">
        <v>8419</v>
      </c>
      <c r="D34486" s="60" t="str">
        <f>HYPERLINK("https://rhld.insurance.arkansas.gov/NPILookup?Npi=1841544467","1841544467")</f>
        <v>1841544467</v>
      </c>
      <c r="E34486" s="60" t="s">
        <v>8796</v>
      </c>
      <c r="F34486" s="61"/>
      <c r="G34486" s="61"/>
      <c r="H34486" s="61"/>
    </row>
    <row r="34487" spans="2:8" x14ac:dyDescent="0.25">
      <c r="B34487" s="60" t="s">
        <v>8418</v>
      </c>
      <c r="C34487" s="60" t="s">
        <v>8419</v>
      </c>
      <c r="D34487" s="60" t="str">
        <f>HYPERLINK("https://rhld.insurance.arkansas.gov/NPILookup?Npi=1841567203","1841567203")</f>
        <v>1841567203</v>
      </c>
      <c r="E34487" s="60" t="s">
        <v>14258</v>
      </c>
      <c r="F34487" s="61"/>
      <c r="G34487" s="61"/>
      <c r="H34487" s="61"/>
    </row>
    <row r="34488" spans="2:8" x14ac:dyDescent="0.25">
      <c r="B34488" s="60" t="s">
        <v>8418</v>
      </c>
      <c r="C34488" s="60" t="s">
        <v>8419</v>
      </c>
      <c r="D34488" s="60" t="str">
        <f>HYPERLINK("https://rhld.insurance.arkansas.gov/NPILookup?Npi=1841618873","1841618873")</f>
        <v>1841618873</v>
      </c>
      <c r="E34488" s="60" t="s">
        <v>14259</v>
      </c>
      <c r="F34488" s="61"/>
      <c r="G34488" s="61"/>
      <c r="H34488" s="61"/>
    </row>
    <row r="34489" spans="2:8" x14ac:dyDescent="0.25">
      <c r="B34489" s="60" t="s">
        <v>8418</v>
      </c>
      <c r="C34489" s="60" t="s">
        <v>8419</v>
      </c>
      <c r="D34489" s="60" t="str">
        <f>HYPERLINK("https://rhld.insurance.arkansas.gov/NPILookup?Npi=1841660743","1841660743")</f>
        <v>1841660743</v>
      </c>
      <c r="E34489" s="60" t="s">
        <v>8797</v>
      </c>
      <c r="F34489" s="61"/>
      <c r="G34489" s="61"/>
      <c r="H34489" s="61"/>
    </row>
    <row r="34490" spans="2:8" x14ac:dyDescent="0.25">
      <c r="B34490" s="60" t="s">
        <v>8418</v>
      </c>
      <c r="C34490" s="60" t="s">
        <v>8419</v>
      </c>
      <c r="D34490" s="60" t="str">
        <f>HYPERLINK("https://rhld.insurance.arkansas.gov/NPILookup?Npi=1841729811","1841729811")</f>
        <v>1841729811</v>
      </c>
      <c r="E34490" s="60" t="s">
        <v>30986</v>
      </c>
      <c r="F34490" s="61"/>
      <c r="G34490" s="61"/>
      <c r="H34490" s="61"/>
    </row>
    <row r="34491" spans="2:8" x14ac:dyDescent="0.25">
      <c r="B34491" s="60" t="s">
        <v>8418</v>
      </c>
      <c r="C34491" s="60" t="s">
        <v>8419</v>
      </c>
      <c r="D34491" s="60" t="str">
        <f>HYPERLINK("https://rhld.insurance.arkansas.gov/NPILookup?Npi=1841773744","1841773744")</f>
        <v>1841773744</v>
      </c>
      <c r="E34491" s="60" t="s">
        <v>30987</v>
      </c>
      <c r="F34491" s="61"/>
      <c r="G34491" s="61"/>
      <c r="H34491" s="61"/>
    </row>
    <row r="34492" spans="2:8" x14ac:dyDescent="0.25">
      <c r="B34492" s="60" t="s">
        <v>8418</v>
      </c>
      <c r="C34492" s="60" t="s">
        <v>8419</v>
      </c>
      <c r="D34492" s="60" t="str">
        <f>HYPERLINK("https://rhld.insurance.arkansas.gov/NPILookup?Npi=1841778453","1841778453")</f>
        <v>1841778453</v>
      </c>
      <c r="E34492" s="60" t="s">
        <v>23511</v>
      </c>
      <c r="F34492" s="61"/>
      <c r="G34492" s="61"/>
      <c r="H34492" s="61"/>
    </row>
    <row r="34493" spans="2:8" x14ac:dyDescent="0.25">
      <c r="B34493" s="60" t="s">
        <v>8418</v>
      </c>
      <c r="C34493" s="60" t="s">
        <v>8419</v>
      </c>
      <c r="D34493" s="60" t="str">
        <f>HYPERLINK("https://rhld.insurance.arkansas.gov/NPILookup?Npi=1841782232","1841782232")</f>
        <v>1841782232</v>
      </c>
      <c r="E34493" s="60" t="s">
        <v>8798</v>
      </c>
      <c r="F34493" s="61"/>
      <c r="G34493" s="61"/>
      <c r="H34493" s="61"/>
    </row>
    <row r="34494" spans="2:8" x14ac:dyDescent="0.25">
      <c r="B34494" s="60" t="s">
        <v>8418</v>
      </c>
      <c r="C34494" s="60" t="s">
        <v>8419</v>
      </c>
      <c r="D34494" s="60" t="str">
        <f>HYPERLINK("https://rhld.insurance.arkansas.gov/NPILookup?Npi=1841820701","1841820701")</f>
        <v>1841820701</v>
      </c>
      <c r="E34494" s="60" t="s">
        <v>14260</v>
      </c>
      <c r="F34494" s="61"/>
      <c r="G34494" s="61"/>
      <c r="H34494" s="61"/>
    </row>
    <row r="34495" spans="2:8" x14ac:dyDescent="0.25">
      <c r="B34495" s="60" t="s">
        <v>8418</v>
      </c>
      <c r="C34495" s="60" t="s">
        <v>8419</v>
      </c>
      <c r="D34495" s="60" t="str">
        <f>HYPERLINK("https://rhld.insurance.arkansas.gov/NPILookup?Npi=1841991122","1841991122")</f>
        <v>1841991122</v>
      </c>
      <c r="E34495" s="60" t="s">
        <v>8799</v>
      </c>
      <c r="F34495" s="61"/>
      <c r="G34495" s="61"/>
      <c r="H34495" s="61"/>
    </row>
    <row r="34496" spans="2:8" x14ac:dyDescent="0.25">
      <c r="B34496" s="60" t="s">
        <v>8418</v>
      </c>
      <c r="C34496" s="60" t="s">
        <v>8419</v>
      </c>
      <c r="D34496" s="60" t="str">
        <f>HYPERLINK("https://rhld.insurance.arkansas.gov/NPILookup?Npi=1851010102","1851010102")</f>
        <v>1851010102</v>
      </c>
      <c r="E34496" s="60" t="s">
        <v>7212</v>
      </c>
      <c r="F34496" s="61"/>
      <c r="G34496" s="61"/>
      <c r="H34496" s="61"/>
    </row>
    <row r="34497" spans="2:8" x14ac:dyDescent="0.25">
      <c r="B34497" s="60" t="s">
        <v>8418</v>
      </c>
      <c r="C34497" s="60" t="s">
        <v>8419</v>
      </c>
      <c r="D34497" s="60" t="str">
        <f>HYPERLINK("https://rhld.insurance.arkansas.gov/NPILookup?Npi=1851030639","1851030639")</f>
        <v>1851030639</v>
      </c>
      <c r="E34497" s="60" t="s">
        <v>30988</v>
      </c>
      <c r="F34497" s="61"/>
      <c r="G34497" s="61"/>
      <c r="H34497" s="61"/>
    </row>
    <row r="34498" spans="2:8" x14ac:dyDescent="0.25">
      <c r="B34498" s="60" t="s">
        <v>8418</v>
      </c>
      <c r="C34498" s="60" t="s">
        <v>8419</v>
      </c>
      <c r="D34498" s="60" t="str">
        <f>HYPERLINK("https://rhld.insurance.arkansas.gov/NPILookup?Npi=1851132591","1851132591")</f>
        <v>1851132591</v>
      </c>
      <c r="E34498" s="60" t="s">
        <v>30989</v>
      </c>
      <c r="F34498" s="61"/>
      <c r="G34498" s="61"/>
      <c r="H34498" s="61"/>
    </row>
    <row r="34499" spans="2:8" x14ac:dyDescent="0.25">
      <c r="B34499" s="60" t="s">
        <v>8418</v>
      </c>
      <c r="C34499" s="60" t="s">
        <v>8419</v>
      </c>
      <c r="D34499" s="60" t="str">
        <f>HYPERLINK("https://rhld.insurance.arkansas.gov/NPILookup?Npi=1851155477","1851155477")</f>
        <v>1851155477</v>
      </c>
      <c r="E34499" s="60" t="s">
        <v>30990</v>
      </c>
      <c r="F34499" s="61"/>
      <c r="G34499" s="61"/>
      <c r="H34499" s="61"/>
    </row>
    <row r="34500" spans="2:8" x14ac:dyDescent="0.25">
      <c r="B34500" s="60" t="s">
        <v>8418</v>
      </c>
      <c r="C34500" s="60" t="s">
        <v>8419</v>
      </c>
      <c r="D34500" s="60" t="str">
        <f>HYPERLINK("https://rhld.insurance.arkansas.gov/NPILookup?Npi=1851340376","1851340376")</f>
        <v>1851340376</v>
      </c>
      <c r="E34500" s="60" t="s">
        <v>8800</v>
      </c>
      <c r="F34500" s="61"/>
      <c r="G34500" s="61"/>
      <c r="H34500" s="61"/>
    </row>
    <row r="34501" spans="2:8" x14ac:dyDescent="0.25">
      <c r="B34501" s="60" t="s">
        <v>8418</v>
      </c>
      <c r="C34501" s="60" t="s">
        <v>8419</v>
      </c>
      <c r="D34501" s="60" t="str">
        <f>HYPERLINK("https://rhld.insurance.arkansas.gov/NPILookup?Npi=1851414270","1851414270")</f>
        <v>1851414270</v>
      </c>
      <c r="E34501" s="60" t="s">
        <v>8801</v>
      </c>
      <c r="F34501" s="61"/>
      <c r="G34501" s="61"/>
      <c r="H34501" s="61"/>
    </row>
    <row r="34502" spans="2:8" x14ac:dyDescent="0.25">
      <c r="B34502" s="60" t="s">
        <v>8418</v>
      </c>
      <c r="C34502" s="60" t="s">
        <v>8419</v>
      </c>
      <c r="D34502" s="60" t="str">
        <f>HYPERLINK("https://rhld.insurance.arkansas.gov/NPILookup?Npi=1851423693","1851423693")</f>
        <v>1851423693</v>
      </c>
      <c r="E34502" s="60" t="s">
        <v>30991</v>
      </c>
      <c r="F34502" s="61"/>
      <c r="G34502" s="61"/>
      <c r="H34502" s="61"/>
    </row>
    <row r="34503" spans="2:8" x14ac:dyDescent="0.25">
      <c r="B34503" s="60" t="s">
        <v>8418</v>
      </c>
      <c r="C34503" s="60" t="s">
        <v>8419</v>
      </c>
      <c r="D34503" s="60" t="str">
        <f>HYPERLINK("https://rhld.insurance.arkansas.gov/NPILookup?Npi=1851504872","1851504872")</f>
        <v>1851504872</v>
      </c>
      <c r="E34503" s="60" t="s">
        <v>30992</v>
      </c>
      <c r="F34503" s="61"/>
      <c r="G34503" s="61"/>
      <c r="H34503" s="61"/>
    </row>
    <row r="34504" spans="2:8" x14ac:dyDescent="0.25">
      <c r="B34504" s="60" t="s">
        <v>8418</v>
      </c>
      <c r="C34504" s="60" t="s">
        <v>8419</v>
      </c>
      <c r="D34504" s="60" t="str">
        <f>HYPERLINK("https://rhld.insurance.arkansas.gov/NPILookup?Npi=1851547079","1851547079")</f>
        <v>1851547079</v>
      </c>
      <c r="E34504" s="60" t="s">
        <v>30993</v>
      </c>
      <c r="F34504" s="61"/>
      <c r="G34504" s="61"/>
      <c r="H34504" s="61"/>
    </row>
    <row r="34505" spans="2:8" x14ac:dyDescent="0.25">
      <c r="B34505" s="60" t="s">
        <v>8418</v>
      </c>
      <c r="C34505" s="60" t="s">
        <v>8419</v>
      </c>
      <c r="D34505" s="60" t="str">
        <f>HYPERLINK("https://rhld.insurance.arkansas.gov/NPILookup?Npi=1851637755","1851637755")</f>
        <v>1851637755</v>
      </c>
      <c r="E34505" s="60" t="s">
        <v>14261</v>
      </c>
      <c r="F34505" s="61"/>
      <c r="G34505" s="61"/>
      <c r="H34505" s="61"/>
    </row>
    <row r="34506" spans="2:8" x14ac:dyDescent="0.25">
      <c r="B34506" s="60" t="s">
        <v>8418</v>
      </c>
      <c r="C34506" s="60" t="s">
        <v>8419</v>
      </c>
      <c r="D34506" s="60" t="str">
        <f>HYPERLINK("https://rhld.insurance.arkansas.gov/NPILookup?Npi=1851734180","1851734180")</f>
        <v>1851734180</v>
      </c>
      <c r="E34506" s="60" t="s">
        <v>14262</v>
      </c>
      <c r="F34506" s="61"/>
      <c r="G34506" s="61"/>
      <c r="H34506" s="61"/>
    </row>
    <row r="34507" spans="2:8" x14ac:dyDescent="0.25">
      <c r="B34507" s="60" t="s">
        <v>8418</v>
      </c>
      <c r="C34507" s="60" t="s">
        <v>8419</v>
      </c>
      <c r="D34507" s="60" t="str">
        <f>HYPERLINK("https://rhld.insurance.arkansas.gov/NPILookup?Npi=1851835839","1851835839")</f>
        <v>1851835839</v>
      </c>
      <c r="E34507" s="60" t="s">
        <v>30994</v>
      </c>
      <c r="F34507" s="61"/>
      <c r="G34507" s="61"/>
      <c r="H34507" s="61"/>
    </row>
    <row r="34508" spans="2:8" x14ac:dyDescent="0.25">
      <c r="B34508" s="60" t="s">
        <v>8418</v>
      </c>
      <c r="C34508" s="60" t="s">
        <v>8419</v>
      </c>
      <c r="D34508" s="60" t="str">
        <f>HYPERLINK("https://rhld.insurance.arkansas.gov/NPILookup?Npi=1851846828","1851846828")</f>
        <v>1851846828</v>
      </c>
      <c r="E34508" s="60" t="s">
        <v>30995</v>
      </c>
      <c r="F34508" s="61"/>
      <c r="G34508" s="61"/>
      <c r="H34508" s="61"/>
    </row>
    <row r="34509" spans="2:8" x14ac:dyDescent="0.25">
      <c r="B34509" s="60" t="s">
        <v>8418</v>
      </c>
      <c r="C34509" s="60" t="s">
        <v>8419</v>
      </c>
      <c r="D34509" s="60" t="str">
        <f>HYPERLINK("https://rhld.insurance.arkansas.gov/NPILookup?Npi=1851906606","1851906606")</f>
        <v>1851906606</v>
      </c>
      <c r="E34509" s="60" t="s">
        <v>30996</v>
      </c>
      <c r="F34509" s="61"/>
      <c r="G34509" s="61"/>
      <c r="H34509" s="61"/>
    </row>
    <row r="34510" spans="2:8" x14ac:dyDescent="0.25">
      <c r="B34510" s="60" t="s">
        <v>8418</v>
      </c>
      <c r="C34510" s="60" t="s">
        <v>8419</v>
      </c>
      <c r="D34510" s="60" t="str">
        <f>HYPERLINK("https://rhld.insurance.arkansas.gov/NPILookup?Npi=1851916860","1851916860")</f>
        <v>1851916860</v>
      </c>
      <c r="E34510" s="60" t="s">
        <v>30997</v>
      </c>
      <c r="F34510" s="61"/>
      <c r="G34510" s="61"/>
      <c r="H34510" s="61"/>
    </row>
    <row r="34511" spans="2:8" x14ac:dyDescent="0.25">
      <c r="B34511" s="60" t="s">
        <v>8418</v>
      </c>
      <c r="C34511" s="60" t="s">
        <v>8419</v>
      </c>
      <c r="D34511" s="60" t="str">
        <f>HYPERLINK("https://rhld.insurance.arkansas.gov/NPILookup?Npi=1851950273","1851950273")</f>
        <v>1851950273</v>
      </c>
      <c r="E34511" s="60" t="s">
        <v>14243</v>
      </c>
      <c r="F34511" s="61"/>
      <c r="G34511" s="61"/>
      <c r="H34511" s="61"/>
    </row>
    <row r="34512" spans="2:8" x14ac:dyDescent="0.25">
      <c r="B34512" s="60" t="s">
        <v>8418</v>
      </c>
      <c r="C34512" s="60" t="s">
        <v>8419</v>
      </c>
      <c r="D34512" s="60" t="str">
        <f>HYPERLINK("https://rhld.insurance.arkansas.gov/NPILookup?Npi=1851952428","1851952428")</f>
        <v>1851952428</v>
      </c>
      <c r="E34512" s="60" t="s">
        <v>30998</v>
      </c>
      <c r="F34512" s="61"/>
      <c r="G34512" s="61"/>
      <c r="H34512" s="61"/>
    </row>
    <row r="34513" spans="2:8" x14ac:dyDescent="0.25">
      <c r="B34513" s="60" t="s">
        <v>8418</v>
      </c>
      <c r="C34513" s="60" t="s">
        <v>8419</v>
      </c>
      <c r="D34513" s="60" t="str">
        <f>HYPERLINK("https://rhld.insurance.arkansas.gov/NPILookup?Npi=1851956510","1851956510")</f>
        <v>1851956510</v>
      </c>
      <c r="E34513" s="60" t="s">
        <v>8802</v>
      </c>
      <c r="F34513" s="61"/>
      <c r="G34513" s="61"/>
      <c r="H34513" s="61"/>
    </row>
    <row r="34514" spans="2:8" x14ac:dyDescent="0.25">
      <c r="B34514" s="60" t="s">
        <v>8418</v>
      </c>
      <c r="C34514" s="60" t="s">
        <v>8419</v>
      </c>
      <c r="D34514" s="60" t="str">
        <f>HYPERLINK("https://rhld.insurance.arkansas.gov/NPILookup?Npi=1861067597","1861067597")</f>
        <v>1861067597</v>
      </c>
      <c r="E34514" s="60" t="s">
        <v>8803</v>
      </c>
      <c r="F34514" s="61"/>
      <c r="G34514" s="61"/>
      <c r="H34514" s="61"/>
    </row>
    <row r="34515" spans="2:8" x14ac:dyDescent="0.25">
      <c r="B34515" s="60" t="s">
        <v>8418</v>
      </c>
      <c r="C34515" s="60" t="s">
        <v>8419</v>
      </c>
      <c r="D34515" s="60" t="str">
        <f>HYPERLINK("https://rhld.insurance.arkansas.gov/NPILookup?Npi=1861131468","1861131468")</f>
        <v>1861131468</v>
      </c>
      <c r="E34515" s="60" t="s">
        <v>8804</v>
      </c>
      <c r="F34515" s="61"/>
      <c r="G34515" s="61"/>
      <c r="H34515" s="61"/>
    </row>
    <row r="34516" spans="2:8" x14ac:dyDescent="0.25">
      <c r="B34516" s="60" t="s">
        <v>8418</v>
      </c>
      <c r="C34516" s="60" t="s">
        <v>8419</v>
      </c>
      <c r="D34516" s="60" t="str">
        <f>HYPERLINK("https://rhld.insurance.arkansas.gov/NPILookup?Npi=1861268880","1861268880")</f>
        <v>1861268880</v>
      </c>
      <c r="E34516" s="60" t="s">
        <v>8805</v>
      </c>
      <c r="F34516" s="61"/>
      <c r="G34516" s="61"/>
      <c r="H34516" s="61"/>
    </row>
    <row r="34517" spans="2:8" x14ac:dyDescent="0.25">
      <c r="B34517" s="60" t="s">
        <v>8418</v>
      </c>
      <c r="C34517" s="60" t="s">
        <v>8419</v>
      </c>
      <c r="D34517" s="60" t="str">
        <f>HYPERLINK("https://rhld.insurance.arkansas.gov/NPILookup?Npi=1861472920","1861472920")</f>
        <v>1861472920</v>
      </c>
      <c r="E34517" s="60" t="s">
        <v>8806</v>
      </c>
      <c r="F34517" s="61"/>
      <c r="G34517" s="61"/>
      <c r="H34517" s="61"/>
    </row>
    <row r="34518" spans="2:8" x14ac:dyDescent="0.25">
      <c r="B34518" s="60" t="s">
        <v>8418</v>
      </c>
      <c r="C34518" s="60" t="s">
        <v>8419</v>
      </c>
      <c r="D34518" s="60" t="str">
        <f>HYPERLINK("https://rhld.insurance.arkansas.gov/NPILookup?Npi=1861620585","1861620585")</f>
        <v>1861620585</v>
      </c>
      <c r="E34518" s="60" t="s">
        <v>8807</v>
      </c>
      <c r="F34518" s="61"/>
      <c r="G34518" s="61"/>
      <c r="H34518" s="61"/>
    </row>
    <row r="34519" spans="2:8" x14ac:dyDescent="0.25">
      <c r="B34519" s="60" t="s">
        <v>8418</v>
      </c>
      <c r="C34519" s="60" t="s">
        <v>8419</v>
      </c>
      <c r="D34519" s="60" t="str">
        <f>HYPERLINK("https://rhld.insurance.arkansas.gov/NPILookup?Npi=1861637563","1861637563")</f>
        <v>1861637563</v>
      </c>
      <c r="E34519" s="60" t="s">
        <v>14263</v>
      </c>
      <c r="F34519" s="61"/>
      <c r="G34519" s="61"/>
      <c r="H34519" s="61"/>
    </row>
    <row r="34520" spans="2:8" x14ac:dyDescent="0.25">
      <c r="B34520" s="60" t="s">
        <v>8418</v>
      </c>
      <c r="C34520" s="60" t="s">
        <v>8419</v>
      </c>
      <c r="D34520" s="60" t="str">
        <f>HYPERLINK("https://rhld.insurance.arkansas.gov/NPILookup?Npi=1861668576","1861668576")</f>
        <v>1861668576</v>
      </c>
      <c r="E34520" s="60" t="s">
        <v>14264</v>
      </c>
      <c r="F34520" s="61"/>
      <c r="G34520" s="61"/>
      <c r="H34520" s="61"/>
    </row>
    <row r="34521" spans="2:8" x14ac:dyDescent="0.25">
      <c r="B34521" s="60" t="s">
        <v>8418</v>
      </c>
      <c r="C34521" s="60" t="s">
        <v>8419</v>
      </c>
      <c r="D34521" s="60" t="str">
        <f>HYPERLINK("https://rhld.insurance.arkansas.gov/NPILookup?Npi=1861713638","1861713638")</f>
        <v>1861713638</v>
      </c>
      <c r="E34521" s="60" t="s">
        <v>30999</v>
      </c>
      <c r="F34521" s="61"/>
      <c r="G34521" s="61"/>
      <c r="H34521" s="61"/>
    </row>
    <row r="34522" spans="2:8" x14ac:dyDescent="0.25">
      <c r="B34522" s="60" t="s">
        <v>8418</v>
      </c>
      <c r="C34522" s="60" t="s">
        <v>8419</v>
      </c>
      <c r="D34522" s="60" t="str">
        <f>HYPERLINK("https://rhld.insurance.arkansas.gov/NPILookup?Npi=1861790800","1861790800")</f>
        <v>1861790800</v>
      </c>
      <c r="E34522" s="60" t="s">
        <v>31000</v>
      </c>
      <c r="F34522" s="61"/>
      <c r="G34522" s="61"/>
      <c r="H34522" s="61"/>
    </row>
    <row r="34523" spans="2:8" x14ac:dyDescent="0.25">
      <c r="B34523" s="60" t="s">
        <v>8418</v>
      </c>
      <c r="C34523" s="60" t="s">
        <v>8419</v>
      </c>
      <c r="D34523" s="60" t="str">
        <f>HYPERLINK("https://rhld.insurance.arkansas.gov/NPILookup?Npi=1861801649","1861801649")</f>
        <v>1861801649</v>
      </c>
      <c r="E34523" s="60" t="s">
        <v>14265</v>
      </c>
      <c r="F34523" s="61"/>
      <c r="G34523" s="61"/>
      <c r="H34523" s="61"/>
    </row>
    <row r="34524" spans="2:8" x14ac:dyDescent="0.25">
      <c r="B34524" s="60" t="s">
        <v>8418</v>
      </c>
      <c r="C34524" s="60" t="s">
        <v>8419</v>
      </c>
      <c r="D34524" s="60" t="str">
        <f>HYPERLINK("https://rhld.insurance.arkansas.gov/NPILookup?Npi=1861864530","1861864530")</f>
        <v>1861864530</v>
      </c>
      <c r="E34524" s="60" t="s">
        <v>32560</v>
      </c>
      <c r="F34524" s="61"/>
      <c r="G34524" s="61"/>
      <c r="H34524" s="61"/>
    </row>
    <row r="34525" spans="2:8" x14ac:dyDescent="0.25">
      <c r="B34525" s="60" t="s">
        <v>8418</v>
      </c>
      <c r="C34525" s="60" t="s">
        <v>8419</v>
      </c>
      <c r="D34525" s="60" t="str">
        <f>HYPERLINK("https://rhld.insurance.arkansas.gov/NPILookup?Npi=1861920704","1861920704")</f>
        <v>1861920704</v>
      </c>
      <c r="E34525" s="60" t="s">
        <v>14266</v>
      </c>
      <c r="F34525" s="61"/>
      <c r="G34525" s="61"/>
      <c r="H34525" s="61"/>
    </row>
    <row r="34526" spans="2:8" x14ac:dyDescent="0.25">
      <c r="B34526" s="60" t="s">
        <v>8418</v>
      </c>
      <c r="C34526" s="60" t="s">
        <v>8419</v>
      </c>
      <c r="D34526" s="60" t="str">
        <f>HYPERLINK("https://rhld.insurance.arkansas.gov/NPILookup?Npi=1861937260","1861937260")</f>
        <v>1861937260</v>
      </c>
      <c r="E34526" s="60" t="s">
        <v>31001</v>
      </c>
      <c r="F34526" s="61"/>
      <c r="G34526" s="61"/>
      <c r="H34526" s="61"/>
    </row>
    <row r="34527" spans="2:8" x14ac:dyDescent="0.25">
      <c r="B34527" s="60" t="s">
        <v>8418</v>
      </c>
      <c r="C34527" s="60" t="s">
        <v>8419</v>
      </c>
      <c r="D34527" s="60" t="str">
        <f>HYPERLINK("https://rhld.insurance.arkansas.gov/NPILookup?Npi=1861937542","1861937542")</f>
        <v>1861937542</v>
      </c>
      <c r="E34527" s="60" t="s">
        <v>14267</v>
      </c>
      <c r="F34527" s="61"/>
      <c r="G34527" s="61"/>
      <c r="H34527" s="61"/>
    </row>
    <row r="34528" spans="2:8" x14ac:dyDescent="0.25">
      <c r="B34528" s="60" t="s">
        <v>8418</v>
      </c>
      <c r="C34528" s="60" t="s">
        <v>8419</v>
      </c>
      <c r="D34528" s="60" t="str">
        <f>HYPERLINK("https://rhld.insurance.arkansas.gov/NPILookup?Npi=1861941734","1861941734")</f>
        <v>1861941734</v>
      </c>
      <c r="E34528" s="60" t="s">
        <v>31002</v>
      </c>
      <c r="F34528" s="61"/>
      <c r="G34528" s="61"/>
      <c r="H34528" s="61"/>
    </row>
    <row r="34529" spans="2:8" x14ac:dyDescent="0.25">
      <c r="B34529" s="60" t="s">
        <v>8418</v>
      </c>
      <c r="C34529" s="60" t="s">
        <v>8419</v>
      </c>
      <c r="D34529" s="60" t="str">
        <f>HYPERLINK("https://rhld.insurance.arkansas.gov/NPILookup?Npi=1861982589","1861982589")</f>
        <v>1861982589</v>
      </c>
      <c r="E34529" s="60" t="s">
        <v>31003</v>
      </c>
      <c r="F34529" s="61"/>
      <c r="G34529" s="61"/>
      <c r="H34529" s="61"/>
    </row>
    <row r="34530" spans="2:8" x14ac:dyDescent="0.25">
      <c r="B34530" s="60" t="s">
        <v>8418</v>
      </c>
      <c r="C34530" s="60" t="s">
        <v>8419</v>
      </c>
      <c r="D34530" s="60" t="str">
        <f>HYPERLINK("https://rhld.insurance.arkansas.gov/NPILookup?Npi=1871008326","1871008326")</f>
        <v>1871008326</v>
      </c>
      <c r="E34530" s="60" t="s">
        <v>31004</v>
      </c>
      <c r="F34530" s="61"/>
      <c r="G34530" s="61"/>
      <c r="H34530" s="61"/>
    </row>
    <row r="34531" spans="2:8" x14ac:dyDescent="0.25">
      <c r="B34531" s="60" t="s">
        <v>8418</v>
      </c>
      <c r="C34531" s="60" t="s">
        <v>8419</v>
      </c>
      <c r="D34531" s="60" t="str">
        <f>HYPERLINK("https://rhld.insurance.arkansas.gov/NPILookup?Npi=1871074401","1871074401")</f>
        <v>1871074401</v>
      </c>
      <c r="E34531" s="60" t="s">
        <v>31005</v>
      </c>
      <c r="F34531" s="61"/>
      <c r="G34531" s="61"/>
      <c r="H34531" s="61"/>
    </row>
    <row r="34532" spans="2:8" x14ac:dyDescent="0.25">
      <c r="B34532" s="60" t="s">
        <v>8418</v>
      </c>
      <c r="C34532" s="60" t="s">
        <v>8419</v>
      </c>
      <c r="D34532" s="60" t="str">
        <f>HYPERLINK("https://rhld.insurance.arkansas.gov/NPILookup?Npi=1871118950","1871118950")</f>
        <v>1871118950</v>
      </c>
      <c r="E34532" s="60" t="s">
        <v>31006</v>
      </c>
      <c r="F34532" s="61"/>
      <c r="G34532" s="61"/>
      <c r="H34532" s="61"/>
    </row>
    <row r="34533" spans="2:8" x14ac:dyDescent="0.25">
      <c r="B34533" s="60" t="s">
        <v>8418</v>
      </c>
      <c r="C34533" s="60" t="s">
        <v>8419</v>
      </c>
      <c r="D34533" s="60" t="str">
        <f>HYPERLINK("https://rhld.insurance.arkansas.gov/NPILookup?Npi=1871130013","1871130013")</f>
        <v>1871130013</v>
      </c>
      <c r="E34533" s="60" t="s">
        <v>31007</v>
      </c>
      <c r="F34533" s="61"/>
      <c r="G34533" s="61"/>
      <c r="H34533" s="61"/>
    </row>
    <row r="34534" spans="2:8" x14ac:dyDescent="0.25">
      <c r="B34534" s="60" t="s">
        <v>8418</v>
      </c>
      <c r="C34534" s="60" t="s">
        <v>8419</v>
      </c>
      <c r="D34534" s="60" t="str">
        <f>HYPERLINK("https://rhld.insurance.arkansas.gov/NPILookup?Npi=1871150490","1871150490")</f>
        <v>1871150490</v>
      </c>
      <c r="E34534" s="60" t="s">
        <v>31008</v>
      </c>
      <c r="F34534" s="61"/>
      <c r="G34534" s="61"/>
      <c r="H34534" s="61"/>
    </row>
    <row r="34535" spans="2:8" x14ac:dyDescent="0.25">
      <c r="B34535" s="60" t="s">
        <v>8418</v>
      </c>
      <c r="C34535" s="60" t="s">
        <v>8419</v>
      </c>
      <c r="D34535" s="60" t="str">
        <f>HYPERLINK("https://rhld.insurance.arkansas.gov/NPILookup?Npi=1871182238","1871182238")</f>
        <v>1871182238</v>
      </c>
      <c r="E34535" s="60" t="s">
        <v>8808</v>
      </c>
      <c r="F34535" s="61"/>
      <c r="G34535" s="61"/>
      <c r="H34535" s="61"/>
    </row>
    <row r="34536" spans="2:8" x14ac:dyDescent="0.25">
      <c r="B34536" s="60" t="s">
        <v>8418</v>
      </c>
      <c r="C34536" s="60" t="s">
        <v>8419</v>
      </c>
      <c r="D34536" s="60" t="str">
        <f>HYPERLINK("https://rhld.insurance.arkansas.gov/NPILookup?Npi=1871278101","1871278101")</f>
        <v>1871278101</v>
      </c>
      <c r="E34536" s="60" t="s">
        <v>8809</v>
      </c>
      <c r="F34536" s="61"/>
      <c r="G34536" s="61"/>
      <c r="H34536" s="61"/>
    </row>
    <row r="34537" spans="2:8" x14ac:dyDescent="0.25">
      <c r="B34537" s="60" t="s">
        <v>8418</v>
      </c>
      <c r="C34537" s="60" t="s">
        <v>8419</v>
      </c>
      <c r="D34537" s="60" t="str">
        <f>HYPERLINK("https://rhld.insurance.arkansas.gov/NPILookup?Npi=1871335117","1871335117")</f>
        <v>1871335117</v>
      </c>
      <c r="E34537" s="60" t="s">
        <v>32561</v>
      </c>
      <c r="F34537" s="61"/>
      <c r="G34537" s="61"/>
      <c r="H34537" s="61"/>
    </row>
    <row r="34538" spans="2:8" x14ac:dyDescent="0.25">
      <c r="B34538" s="60" t="s">
        <v>8418</v>
      </c>
      <c r="C34538" s="60" t="s">
        <v>8419</v>
      </c>
      <c r="D34538" s="60" t="str">
        <f>HYPERLINK("https://rhld.insurance.arkansas.gov/NPILookup?Npi=1871335729","1871335729")</f>
        <v>1871335729</v>
      </c>
      <c r="E34538" s="60" t="s">
        <v>31009</v>
      </c>
      <c r="F34538" s="61"/>
      <c r="G34538" s="61"/>
      <c r="H34538" s="61"/>
    </row>
    <row r="34539" spans="2:8" x14ac:dyDescent="0.25">
      <c r="B34539" s="60" t="s">
        <v>8418</v>
      </c>
      <c r="C34539" s="60" t="s">
        <v>8419</v>
      </c>
      <c r="D34539" s="60" t="str">
        <f>HYPERLINK("https://rhld.insurance.arkansas.gov/NPILookup?Npi=1871506295","1871506295")</f>
        <v>1871506295</v>
      </c>
      <c r="E34539" s="60" t="s">
        <v>14268</v>
      </c>
      <c r="F34539" s="61"/>
      <c r="G34539" s="61"/>
      <c r="H34539" s="61"/>
    </row>
    <row r="34540" spans="2:8" x14ac:dyDescent="0.25">
      <c r="B34540" s="60" t="s">
        <v>8418</v>
      </c>
      <c r="C34540" s="60" t="s">
        <v>8419</v>
      </c>
      <c r="D34540" s="60" t="str">
        <f>HYPERLINK("https://rhld.insurance.arkansas.gov/NPILookup?Npi=1871542555","1871542555")</f>
        <v>1871542555</v>
      </c>
      <c r="E34540" s="60" t="s">
        <v>31010</v>
      </c>
      <c r="F34540" s="61"/>
      <c r="G34540" s="61"/>
      <c r="H34540" s="61"/>
    </row>
    <row r="34541" spans="2:8" x14ac:dyDescent="0.25">
      <c r="B34541" s="60" t="s">
        <v>8418</v>
      </c>
      <c r="C34541" s="60" t="s">
        <v>8419</v>
      </c>
      <c r="D34541" s="60" t="str">
        <f>HYPERLINK("https://rhld.insurance.arkansas.gov/NPILookup?Npi=1871645564","1871645564")</f>
        <v>1871645564</v>
      </c>
      <c r="E34541" s="60" t="s">
        <v>8810</v>
      </c>
      <c r="F34541" s="61"/>
      <c r="G34541" s="61"/>
      <c r="H34541" s="61"/>
    </row>
    <row r="34542" spans="2:8" x14ac:dyDescent="0.25">
      <c r="B34542" s="60" t="s">
        <v>8418</v>
      </c>
      <c r="C34542" s="60" t="s">
        <v>8419</v>
      </c>
      <c r="D34542" s="60" t="str">
        <f>HYPERLINK("https://rhld.insurance.arkansas.gov/NPILookup?Npi=1871681916","1871681916")</f>
        <v>1871681916</v>
      </c>
      <c r="E34542" s="60" t="s">
        <v>14269</v>
      </c>
      <c r="F34542" s="61"/>
      <c r="G34542" s="61"/>
      <c r="H34542" s="61"/>
    </row>
    <row r="34543" spans="2:8" x14ac:dyDescent="0.25">
      <c r="B34543" s="60" t="s">
        <v>8418</v>
      </c>
      <c r="C34543" s="60" t="s">
        <v>8419</v>
      </c>
      <c r="D34543" s="60" t="str">
        <f>HYPERLINK("https://rhld.insurance.arkansas.gov/NPILookup?Npi=1871710616","1871710616")</f>
        <v>1871710616</v>
      </c>
      <c r="E34543" s="60" t="s">
        <v>8811</v>
      </c>
      <c r="F34543" s="61"/>
      <c r="G34543" s="61"/>
      <c r="H34543" s="61"/>
    </row>
    <row r="34544" spans="2:8" x14ac:dyDescent="0.25">
      <c r="B34544" s="60" t="s">
        <v>8418</v>
      </c>
      <c r="C34544" s="60" t="s">
        <v>8419</v>
      </c>
      <c r="D34544" s="60" t="str">
        <f>HYPERLINK("https://rhld.insurance.arkansas.gov/NPILookup?Npi=1871712265","1871712265")</f>
        <v>1871712265</v>
      </c>
      <c r="E34544" s="60" t="s">
        <v>31011</v>
      </c>
      <c r="F34544" s="61"/>
      <c r="G34544" s="61"/>
      <c r="H34544" s="61"/>
    </row>
    <row r="34545" spans="2:8" x14ac:dyDescent="0.25">
      <c r="B34545" s="60" t="s">
        <v>8418</v>
      </c>
      <c r="C34545" s="60" t="s">
        <v>8419</v>
      </c>
      <c r="D34545" s="60" t="str">
        <f>HYPERLINK("https://rhld.insurance.arkansas.gov/NPILookup?Npi=1871712968","1871712968")</f>
        <v>1871712968</v>
      </c>
      <c r="E34545" s="60" t="s">
        <v>8812</v>
      </c>
      <c r="F34545" s="61"/>
      <c r="G34545" s="61"/>
      <c r="H34545" s="61"/>
    </row>
    <row r="34546" spans="2:8" x14ac:dyDescent="0.25">
      <c r="B34546" s="60" t="s">
        <v>8418</v>
      </c>
      <c r="C34546" s="60" t="s">
        <v>8419</v>
      </c>
      <c r="D34546" s="60" t="str">
        <f>HYPERLINK("https://rhld.insurance.arkansas.gov/NPILookup?Npi=1871749366","1871749366")</f>
        <v>1871749366</v>
      </c>
      <c r="E34546" s="60" t="s">
        <v>31012</v>
      </c>
      <c r="F34546" s="61"/>
      <c r="G34546" s="61"/>
      <c r="H34546" s="61"/>
    </row>
    <row r="34547" spans="2:8" x14ac:dyDescent="0.25">
      <c r="B34547" s="60" t="s">
        <v>8418</v>
      </c>
      <c r="C34547" s="60" t="s">
        <v>8419</v>
      </c>
      <c r="D34547" s="60" t="str">
        <f>HYPERLINK("https://rhld.insurance.arkansas.gov/NPILookup?Npi=1871786145","1871786145")</f>
        <v>1871786145</v>
      </c>
      <c r="E34547" s="60" t="s">
        <v>31013</v>
      </c>
      <c r="F34547" s="61"/>
      <c r="G34547" s="61"/>
      <c r="H34547" s="61"/>
    </row>
    <row r="34548" spans="2:8" x14ac:dyDescent="0.25">
      <c r="B34548" s="60" t="s">
        <v>8418</v>
      </c>
      <c r="C34548" s="60" t="s">
        <v>8419</v>
      </c>
      <c r="D34548" s="60" t="str">
        <f>HYPERLINK("https://rhld.insurance.arkansas.gov/NPILookup?Npi=1871866970","1871866970")</f>
        <v>1871866970</v>
      </c>
      <c r="E34548" s="60" t="s">
        <v>31014</v>
      </c>
      <c r="F34548" s="61"/>
      <c r="G34548" s="61"/>
      <c r="H34548" s="61"/>
    </row>
    <row r="34549" spans="2:8" x14ac:dyDescent="0.25">
      <c r="B34549" s="60" t="s">
        <v>8418</v>
      </c>
      <c r="C34549" s="60" t="s">
        <v>8419</v>
      </c>
      <c r="D34549" s="60" t="str">
        <f>HYPERLINK("https://rhld.insurance.arkansas.gov/NPILookup?Npi=1871879205","1871879205")</f>
        <v>1871879205</v>
      </c>
      <c r="E34549" s="60" t="s">
        <v>8813</v>
      </c>
      <c r="F34549" s="61"/>
      <c r="G34549" s="61"/>
      <c r="H34549" s="61"/>
    </row>
    <row r="34550" spans="2:8" x14ac:dyDescent="0.25">
      <c r="B34550" s="60" t="s">
        <v>8418</v>
      </c>
      <c r="C34550" s="60" t="s">
        <v>8419</v>
      </c>
      <c r="D34550" s="60" t="str">
        <f>HYPERLINK("https://rhld.insurance.arkansas.gov/NPILookup?Npi=1871961086","1871961086")</f>
        <v>1871961086</v>
      </c>
      <c r="E34550" s="60" t="s">
        <v>31015</v>
      </c>
      <c r="F34550" s="61"/>
      <c r="G34550" s="61"/>
      <c r="H34550" s="61"/>
    </row>
    <row r="34551" spans="2:8" x14ac:dyDescent="0.25">
      <c r="B34551" s="60" t="s">
        <v>8418</v>
      </c>
      <c r="C34551" s="60" t="s">
        <v>8419</v>
      </c>
      <c r="D34551" s="60" t="str">
        <f>HYPERLINK("https://rhld.insurance.arkansas.gov/NPILookup?Npi=1871972158","1871972158")</f>
        <v>1871972158</v>
      </c>
      <c r="E34551" s="60" t="s">
        <v>8814</v>
      </c>
      <c r="F34551" s="61"/>
      <c r="G34551" s="61"/>
      <c r="H34551" s="61"/>
    </row>
    <row r="34552" spans="2:8" x14ac:dyDescent="0.25">
      <c r="B34552" s="60" t="s">
        <v>8418</v>
      </c>
      <c r="C34552" s="60" t="s">
        <v>8419</v>
      </c>
      <c r="D34552" s="60" t="str">
        <f>HYPERLINK("https://rhld.insurance.arkansas.gov/NPILookup?Npi=1871976126","1871976126")</f>
        <v>1871976126</v>
      </c>
      <c r="E34552" s="60" t="s">
        <v>8815</v>
      </c>
      <c r="F34552" s="61"/>
      <c r="G34552" s="61"/>
      <c r="H34552" s="61"/>
    </row>
    <row r="34553" spans="2:8" x14ac:dyDescent="0.25">
      <c r="B34553" s="60" t="s">
        <v>8418</v>
      </c>
      <c r="C34553" s="60" t="s">
        <v>8419</v>
      </c>
      <c r="D34553" s="60" t="str">
        <f>HYPERLINK("https://rhld.insurance.arkansas.gov/NPILookup?Npi=1871994889","1871994889")</f>
        <v>1871994889</v>
      </c>
      <c r="E34553" s="60" t="s">
        <v>14270</v>
      </c>
      <c r="F34553" s="61"/>
      <c r="G34553" s="61"/>
      <c r="H34553" s="61"/>
    </row>
    <row r="34554" spans="2:8" x14ac:dyDescent="0.25">
      <c r="B34554" s="60" t="s">
        <v>8418</v>
      </c>
      <c r="C34554" s="60" t="s">
        <v>8419</v>
      </c>
      <c r="D34554" s="60" t="str">
        <f>HYPERLINK("https://rhld.insurance.arkansas.gov/NPILookup?Npi=1881019487","1881019487")</f>
        <v>1881019487</v>
      </c>
      <c r="E34554" s="60" t="s">
        <v>31016</v>
      </c>
      <c r="F34554" s="61"/>
      <c r="G34554" s="61"/>
      <c r="H34554" s="61"/>
    </row>
    <row r="34555" spans="2:8" x14ac:dyDescent="0.25">
      <c r="B34555" s="60" t="s">
        <v>8418</v>
      </c>
      <c r="C34555" s="60" t="s">
        <v>8419</v>
      </c>
      <c r="D34555" s="60" t="str">
        <f>HYPERLINK("https://rhld.insurance.arkansas.gov/NPILookup?Npi=1881034932","1881034932")</f>
        <v>1881034932</v>
      </c>
      <c r="E34555" s="60" t="s">
        <v>8816</v>
      </c>
      <c r="F34555" s="61"/>
      <c r="G34555" s="61"/>
      <c r="H34555" s="61"/>
    </row>
    <row r="34556" spans="2:8" x14ac:dyDescent="0.25">
      <c r="B34556" s="60" t="s">
        <v>8418</v>
      </c>
      <c r="C34556" s="60" t="s">
        <v>8419</v>
      </c>
      <c r="D34556" s="60" t="str">
        <f>HYPERLINK("https://rhld.insurance.arkansas.gov/NPILookup?Npi=1881041580","1881041580")</f>
        <v>1881041580</v>
      </c>
      <c r="E34556" s="60" t="s">
        <v>8817</v>
      </c>
      <c r="F34556" s="61"/>
      <c r="G34556" s="61"/>
      <c r="H34556" s="61"/>
    </row>
    <row r="34557" spans="2:8" x14ac:dyDescent="0.25">
      <c r="B34557" s="60" t="s">
        <v>8418</v>
      </c>
      <c r="C34557" s="60" t="s">
        <v>8419</v>
      </c>
      <c r="D34557" s="60" t="str">
        <f>HYPERLINK("https://rhld.insurance.arkansas.gov/NPILookup?Npi=1881044741","1881044741")</f>
        <v>1881044741</v>
      </c>
      <c r="E34557" s="60" t="s">
        <v>31017</v>
      </c>
      <c r="F34557" s="61"/>
      <c r="G34557" s="61"/>
      <c r="H34557" s="61"/>
    </row>
    <row r="34558" spans="2:8" x14ac:dyDescent="0.25">
      <c r="B34558" s="60" t="s">
        <v>8418</v>
      </c>
      <c r="C34558" s="60" t="s">
        <v>8419</v>
      </c>
      <c r="D34558" s="60" t="str">
        <f>HYPERLINK("https://rhld.insurance.arkansas.gov/NPILookup?Npi=1881071892","1881071892")</f>
        <v>1881071892</v>
      </c>
      <c r="E34558" s="60" t="s">
        <v>31018</v>
      </c>
      <c r="F34558" s="61"/>
      <c r="G34558" s="61"/>
      <c r="H34558" s="61"/>
    </row>
    <row r="34559" spans="2:8" x14ac:dyDescent="0.25">
      <c r="B34559" s="60" t="s">
        <v>8418</v>
      </c>
      <c r="C34559" s="60" t="s">
        <v>8419</v>
      </c>
      <c r="D34559" s="60" t="str">
        <f>HYPERLINK("https://rhld.insurance.arkansas.gov/NPILookup?Npi=1881138030","1881138030")</f>
        <v>1881138030</v>
      </c>
      <c r="E34559" s="60" t="s">
        <v>14271</v>
      </c>
      <c r="F34559" s="61"/>
      <c r="G34559" s="61"/>
      <c r="H34559" s="61"/>
    </row>
    <row r="34560" spans="2:8" x14ac:dyDescent="0.25">
      <c r="B34560" s="60" t="s">
        <v>8418</v>
      </c>
      <c r="C34560" s="60" t="s">
        <v>8419</v>
      </c>
      <c r="D34560" s="60" t="str">
        <f>HYPERLINK("https://rhld.insurance.arkansas.gov/NPILookup?Npi=1881185783","1881185783")</f>
        <v>1881185783</v>
      </c>
      <c r="E34560" s="60" t="s">
        <v>31019</v>
      </c>
      <c r="F34560" s="61"/>
      <c r="G34560" s="61"/>
      <c r="H34560" s="61"/>
    </row>
    <row r="34561" spans="2:8" x14ac:dyDescent="0.25">
      <c r="B34561" s="60" t="s">
        <v>8418</v>
      </c>
      <c r="C34561" s="60" t="s">
        <v>8419</v>
      </c>
      <c r="D34561" s="60" t="str">
        <f>HYPERLINK("https://rhld.insurance.arkansas.gov/NPILookup?Npi=1881206654","1881206654")</f>
        <v>1881206654</v>
      </c>
      <c r="E34561" s="60" t="s">
        <v>31020</v>
      </c>
      <c r="F34561" s="61"/>
      <c r="G34561" s="61"/>
      <c r="H34561" s="61"/>
    </row>
    <row r="34562" spans="2:8" x14ac:dyDescent="0.25">
      <c r="B34562" s="60" t="s">
        <v>8418</v>
      </c>
      <c r="C34562" s="60" t="s">
        <v>8419</v>
      </c>
      <c r="D34562" s="60" t="str">
        <f>HYPERLINK("https://rhld.insurance.arkansas.gov/NPILookup?Npi=1881216018","1881216018")</f>
        <v>1881216018</v>
      </c>
      <c r="E34562" s="60" t="s">
        <v>8818</v>
      </c>
      <c r="F34562" s="61"/>
      <c r="G34562" s="61"/>
      <c r="H34562" s="61"/>
    </row>
    <row r="34563" spans="2:8" x14ac:dyDescent="0.25">
      <c r="B34563" s="60" t="s">
        <v>8418</v>
      </c>
      <c r="C34563" s="60" t="s">
        <v>8419</v>
      </c>
      <c r="D34563" s="60" t="str">
        <f>HYPERLINK("https://rhld.insurance.arkansas.gov/NPILookup?Npi=1881234722","1881234722")</f>
        <v>1881234722</v>
      </c>
      <c r="E34563" s="60" t="s">
        <v>8819</v>
      </c>
      <c r="F34563" s="61"/>
      <c r="G34563" s="61"/>
      <c r="H34563" s="61"/>
    </row>
    <row r="34564" spans="2:8" x14ac:dyDescent="0.25">
      <c r="B34564" s="60" t="s">
        <v>8418</v>
      </c>
      <c r="C34564" s="60" t="s">
        <v>8419</v>
      </c>
      <c r="D34564" s="60" t="str">
        <f>HYPERLINK("https://rhld.insurance.arkansas.gov/NPILookup?Npi=1881240620","1881240620")</f>
        <v>1881240620</v>
      </c>
      <c r="E34564" s="60" t="s">
        <v>31021</v>
      </c>
      <c r="F34564" s="61"/>
      <c r="G34564" s="61"/>
      <c r="H34564" s="61"/>
    </row>
    <row r="34565" spans="2:8" x14ac:dyDescent="0.25">
      <c r="B34565" s="60" t="s">
        <v>8418</v>
      </c>
      <c r="C34565" s="60" t="s">
        <v>8419</v>
      </c>
      <c r="D34565" s="60" t="str">
        <f>HYPERLINK("https://rhld.insurance.arkansas.gov/NPILookup?Npi=1881277788","1881277788")</f>
        <v>1881277788</v>
      </c>
      <c r="E34565" s="60" t="s">
        <v>31022</v>
      </c>
      <c r="F34565" s="61"/>
      <c r="G34565" s="61"/>
      <c r="H34565" s="61"/>
    </row>
    <row r="34566" spans="2:8" x14ac:dyDescent="0.25">
      <c r="B34566" s="60" t="s">
        <v>8418</v>
      </c>
      <c r="C34566" s="60" t="s">
        <v>8419</v>
      </c>
      <c r="D34566" s="60" t="str">
        <f>HYPERLINK("https://rhld.insurance.arkansas.gov/NPILookup?Npi=1881323707","1881323707")</f>
        <v>1881323707</v>
      </c>
      <c r="E34566" s="60" t="s">
        <v>8820</v>
      </c>
      <c r="F34566" s="61"/>
      <c r="G34566" s="61"/>
      <c r="H34566" s="61"/>
    </row>
    <row r="34567" spans="2:8" x14ac:dyDescent="0.25">
      <c r="B34567" s="60" t="s">
        <v>8418</v>
      </c>
      <c r="C34567" s="60" t="s">
        <v>8419</v>
      </c>
      <c r="D34567" s="60" t="str">
        <f>HYPERLINK("https://rhld.insurance.arkansas.gov/NPILookup?Npi=1881323780","1881323780")</f>
        <v>1881323780</v>
      </c>
      <c r="E34567" s="60" t="s">
        <v>31023</v>
      </c>
      <c r="F34567" s="61"/>
      <c r="G34567" s="61"/>
      <c r="H34567" s="61"/>
    </row>
    <row r="34568" spans="2:8" x14ac:dyDescent="0.25">
      <c r="B34568" s="60" t="s">
        <v>8418</v>
      </c>
      <c r="C34568" s="60" t="s">
        <v>8419</v>
      </c>
      <c r="D34568" s="60" t="str">
        <f>HYPERLINK("https://rhld.insurance.arkansas.gov/NPILookup?Npi=1881333730","1881333730")</f>
        <v>1881333730</v>
      </c>
      <c r="E34568" s="60" t="s">
        <v>31024</v>
      </c>
      <c r="F34568" s="61"/>
      <c r="G34568" s="61"/>
      <c r="H34568" s="61"/>
    </row>
    <row r="34569" spans="2:8" x14ac:dyDescent="0.25">
      <c r="B34569" s="60" t="s">
        <v>8418</v>
      </c>
      <c r="C34569" s="60" t="s">
        <v>8419</v>
      </c>
      <c r="D34569" s="60" t="str">
        <f>HYPERLINK("https://rhld.insurance.arkansas.gov/NPILookup?Npi=1881340289","1881340289")</f>
        <v>1881340289</v>
      </c>
      <c r="E34569" s="60" t="s">
        <v>31025</v>
      </c>
      <c r="F34569" s="61"/>
      <c r="G34569" s="61"/>
      <c r="H34569" s="61"/>
    </row>
    <row r="34570" spans="2:8" x14ac:dyDescent="0.25">
      <c r="B34570" s="60" t="s">
        <v>8418</v>
      </c>
      <c r="C34570" s="60" t="s">
        <v>8419</v>
      </c>
      <c r="D34570" s="60" t="str">
        <f>HYPERLINK("https://rhld.insurance.arkansas.gov/NPILookup?Npi=1881432524","1881432524")</f>
        <v>1881432524</v>
      </c>
      <c r="E34570" s="60" t="s">
        <v>31026</v>
      </c>
      <c r="F34570" s="61"/>
      <c r="G34570" s="61"/>
      <c r="H34570" s="61"/>
    </row>
    <row r="34571" spans="2:8" x14ac:dyDescent="0.25">
      <c r="B34571" s="60" t="s">
        <v>8418</v>
      </c>
      <c r="C34571" s="60" t="s">
        <v>8419</v>
      </c>
      <c r="D34571" s="60" t="str">
        <f>HYPERLINK("https://rhld.insurance.arkansas.gov/NPILookup?Npi=1881740538","1881740538")</f>
        <v>1881740538</v>
      </c>
      <c r="E34571" s="60" t="s">
        <v>31027</v>
      </c>
      <c r="F34571" s="61"/>
      <c r="G34571" s="61"/>
      <c r="H34571" s="61"/>
    </row>
    <row r="34572" spans="2:8" x14ac:dyDescent="0.25">
      <c r="B34572" s="60" t="s">
        <v>8418</v>
      </c>
      <c r="C34572" s="60" t="s">
        <v>8419</v>
      </c>
      <c r="D34572" s="60" t="str">
        <f>HYPERLINK("https://rhld.insurance.arkansas.gov/NPILookup?Npi=1881765543","1881765543")</f>
        <v>1881765543</v>
      </c>
      <c r="E34572" s="60" t="s">
        <v>31028</v>
      </c>
      <c r="F34572" s="61"/>
      <c r="G34572" s="61"/>
      <c r="H34572" s="61"/>
    </row>
    <row r="34573" spans="2:8" x14ac:dyDescent="0.25">
      <c r="B34573" s="60" t="s">
        <v>8418</v>
      </c>
      <c r="C34573" s="60" t="s">
        <v>8419</v>
      </c>
      <c r="D34573" s="60" t="str">
        <f>HYPERLINK("https://rhld.insurance.arkansas.gov/NPILookup?Npi=1881777399","1881777399")</f>
        <v>1881777399</v>
      </c>
      <c r="E34573" s="60" t="s">
        <v>31029</v>
      </c>
      <c r="F34573" s="61"/>
      <c r="G34573" s="61"/>
      <c r="H34573" s="61"/>
    </row>
    <row r="34574" spans="2:8" x14ac:dyDescent="0.25">
      <c r="B34574" s="60" t="s">
        <v>8418</v>
      </c>
      <c r="C34574" s="60" t="s">
        <v>8419</v>
      </c>
      <c r="D34574" s="60" t="str">
        <f>HYPERLINK("https://rhld.insurance.arkansas.gov/NPILookup?Npi=1881813871","1881813871")</f>
        <v>1881813871</v>
      </c>
      <c r="E34574" s="60" t="s">
        <v>31030</v>
      </c>
      <c r="F34574" s="61"/>
      <c r="G34574" s="61"/>
      <c r="H34574" s="61"/>
    </row>
    <row r="34575" spans="2:8" x14ac:dyDescent="0.25">
      <c r="B34575" s="60" t="s">
        <v>8418</v>
      </c>
      <c r="C34575" s="60" t="s">
        <v>8419</v>
      </c>
      <c r="D34575" s="60" t="str">
        <f>HYPERLINK("https://rhld.insurance.arkansas.gov/NPILookup?Npi=1881882017","1881882017")</f>
        <v>1881882017</v>
      </c>
      <c r="E34575" s="60" t="s">
        <v>8821</v>
      </c>
      <c r="F34575" s="61"/>
      <c r="G34575" s="61"/>
      <c r="H34575" s="61"/>
    </row>
    <row r="34576" spans="2:8" x14ac:dyDescent="0.25">
      <c r="B34576" s="60" t="s">
        <v>8418</v>
      </c>
      <c r="C34576" s="60" t="s">
        <v>8419</v>
      </c>
      <c r="D34576" s="60" t="str">
        <f>HYPERLINK("https://rhld.insurance.arkansas.gov/NPILookup?Npi=1881907962","1881907962")</f>
        <v>1881907962</v>
      </c>
      <c r="E34576" s="60" t="s">
        <v>31031</v>
      </c>
      <c r="F34576" s="61"/>
      <c r="G34576" s="61"/>
      <c r="H34576" s="61"/>
    </row>
    <row r="34577" spans="2:8" x14ac:dyDescent="0.25">
      <c r="B34577" s="60" t="s">
        <v>8418</v>
      </c>
      <c r="C34577" s="60" t="s">
        <v>8419</v>
      </c>
      <c r="D34577" s="60" t="str">
        <f>HYPERLINK("https://rhld.insurance.arkansas.gov/NPILookup?Npi=1881920411","1881920411")</f>
        <v>1881920411</v>
      </c>
      <c r="E34577" s="60" t="s">
        <v>31032</v>
      </c>
      <c r="F34577" s="61"/>
      <c r="G34577" s="61"/>
      <c r="H34577" s="61"/>
    </row>
    <row r="34578" spans="2:8" x14ac:dyDescent="0.25">
      <c r="B34578" s="60" t="s">
        <v>8418</v>
      </c>
      <c r="C34578" s="60" t="s">
        <v>8419</v>
      </c>
      <c r="D34578" s="60" t="str">
        <f>HYPERLINK("https://rhld.insurance.arkansas.gov/NPILookup?Npi=1881977403","1881977403")</f>
        <v>1881977403</v>
      </c>
      <c r="E34578" s="60" t="s">
        <v>31033</v>
      </c>
      <c r="F34578" s="61"/>
      <c r="G34578" s="61"/>
      <c r="H34578" s="61"/>
    </row>
    <row r="34579" spans="2:8" x14ac:dyDescent="0.25">
      <c r="B34579" s="60" t="s">
        <v>8418</v>
      </c>
      <c r="C34579" s="60" t="s">
        <v>8419</v>
      </c>
      <c r="D34579" s="60" t="str">
        <f>HYPERLINK("https://rhld.insurance.arkansas.gov/NPILookup?Npi=1891039806","1891039806")</f>
        <v>1891039806</v>
      </c>
      <c r="E34579" s="60" t="s">
        <v>32562</v>
      </c>
      <c r="F34579" s="61"/>
      <c r="G34579" s="61"/>
      <c r="H34579" s="61"/>
    </row>
    <row r="34580" spans="2:8" x14ac:dyDescent="0.25">
      <c r="B34580" s="60" t="s">
        <v>8418</v>
      </c>
      <c r="C34580" s="60" t="s">
        <v>8419</v>
      </c>
      <c r="D34580" s="60" t="str">
        <f>HYPERLINK("https://rhld.insurance.arkansas.gov/NPILookup?Npi=1891119095","1891119095")</f>
        <v>1891119095</v>
      </c>
      <c r="E34580" s="60" t="s">
        <v>14272</v>
      </c>
      <c r="F34580" s="61"/>
      <c r="G34580" s="61"/>
      <c r="H34580" s="61"/>
    </row>
    <row r="34581" spans="2:8" x14ac:dyDescent="0.25">
      <c r="B34581" s="60" t="s">
        <v>8418</v>
      </c>
      <c r="C34581" s="60" t="s">
        <v>8419</v>
      </c>
      <c r="D34581" s="60" t="str">
        <f>HYPERLINK("https://rhld.insurance.arkansas.gov/NPILookup?Npi=1891204582","1891204582")</f>
        <v>1891204582</v>
      </c>
      <c r="E34581" s="60" t="s">
        <v>31034</v>
      </c>
      <c r="F34581" s="61"/>
      <c r="G34581" s="61"/>
      <c r="H34581" s="61"/>
    </row>
    <row r="34582" spans="2:8" x14ac:dyDescent="0.25">
      <c r="B34582" s="60" t="s">
        <v>8418</v>
      </c>
      <c r="C34582" s="60" t="s">
        <v>8419</v>
      </c>
      <c r="D34582" s="60" t="str">
        <f>HYPERLINK("https://rhld.insurance.arkansas.gov/NPILookup?Npi=1891268249","1891268249")</f>
        <v>1891268249</v>
      </c>
      <c r="E34582" s="60" t="s">
        <v>31035</v>
      </c>
      <c r="F34582" s="61"/>
      <c r="G34582" s="61"/>
      <c r="H34582" s="61"/>
    </row>
    <row r="34583" spans="2:8" x14ac:dyDescent="0.25">
      <c r="B34583" s="60" t="s">
        <v>8418</v>
      </c>
      <c r="C34583" s="60" t="s">
        <v>8419</v>
      </c>
      <c r="D34583" s="60" t="str">
        <f>HYPERLINK("https://rhld.insurance.arkansas.gov/NPILookup?Npi=1891430344","1891430344")</f>
        <v>1891430344</v>
      </c>
      <c r="E34583" s="60" t="s">
        <v>31036</v>
      </c>
      <c r="F34583" s="61"/>
      <c r="G34583" s="61"/>
      <c r="H34583" s="61"/>
    </row>
    <row r="34584" spans="2:8" x14ac:dyDescent="0.25">
      <c r="B34584" s="60" t="s">
        <v>8418</v>
      </c>
      <c r="C34584" s="60" t="s">
        <v>8419</v>
      </c>
      <c r="D34584" s="60" t="str">
        <f>HYPERLINK("https://rhld.insurance.arkansas.gov/NPILookup?Npi=1891452561","1891452561")</f>
        <v>1891452561</v>
      </c>
      <c r="E34584" s="60" t="s">
        <v>8822</v>
      </c>
      <c r="F34584" s="61"/>
      <c r="G34584" s="61"/>
      <c r="H34584" s="61"/>
    </row>
    <row r="34585" spans="2:8" x14ac:dyDescent="0.25">
      <c r="B34585" s="60" t="s">
        <v>8418</v>
      </c>
      <c r="C34585" s="60" t="s">
        <v>8419</v>
      </c>
      <c r="D34585" s="60" t="str">
        <f>HYPERLINK("https://rhld.insurance.arkansas.gov/NPILookup?Npi=1891487005","1891487005")</f>
        <v>1891487005</v>
      </c>
      <c r="E34585" s="60" t="s">
        <v>8823</v>
      </c>
      <c r="F34585" s="61"/>
      <c r="G34585" s="61"/>
      <c r="H34585" s="61"/>
    </row>
    <row r="34586" spans="2:8" x14ac:dyDescent="0.25">
      <c r="B34586" s="60" t="s">
        <v>8418</v>
      </c>
      <c r="C34586" s="60" t="s">
        <v>8419</v>
      </c>
      <c r="D34586" s="60" t="str">
        <f>HYPERLINK("https://rhld.insurance.arkansas.gov/NPILookup?Npi=1891504536","1891504536")</f>
        <v>1891504536</v>
      </c>
      <c r="E34586" s="60" t="s">
        <v>32563</v>
      </c>
      <c r="F34586" s="61"/>
      <c r="G34586" s="61"/>
      <c r="H34586" s="61"/>
    </row>
    <row r="34587" spans="2:8" x14ac:dyDescent="0.25">
      <c r="B34587" s="60" t="s">
        <v>8418</v>
      </c>
      <c r="C34587" s="60" t="s">
        <v>8419</v>
      </c>
      <c r="D34587" s="60" t="str">
        <f>HYPERLINK("https://rhld.insurance.arkansas.gov/NPILookup?Npi=1891730263","1891730263")</f>
        <v>1891730263</v>
      </c>
      <c r="E34587" s="60" t="s">
        <v>14273</v>
      </c>
      <c r="F34587" s="61"/>
      <c r="G34587" s="61"/>
      <c r="H34587" s="61"/>
    </row>
    <row r="34588" spans="2:8" x14ac:dyDescent="0.25">
      <c r="B34588" s="60" t="s">
        <v>8418</v>
      </c>
      <c r="C34588" s="60" t="s">
        <v>8419</v>
      </c>
      <c r="D34588" s="60" t="str">
        <f>HYPERLINK("https://rhld.insurance.arkansas.gov/NPILookup?Npi=1891913091","1891913091")</f>
        <v>1891913091</v>
      </c>
      <c r="E34588" s="60" t="s">
        <v>8824</v>
      </c>
      <c r="F34588" s="61"/>
      <c r="G34588" s="61"/>
      <c r="H34588" s="61"/>
    </row>
    <row r="34589" spans="2:8" x14ac:dyDescent="0.25">
      <c r="B34589" s="60" t="s">
        <v>8418</v>
      </c>
      <c r="C34589" s="60" t="s">
        <v>8419</v>
      </c>
      <c r="D34589" s="60" t="str">
        <f>HYPERLINK("https://rhld.insurance.arkansas.gov/NPILookup?Npi=1891921573","1891921573")</f>
        <v>1891921573</v>
      </c>
      <c r="E34589" s="60" t="s">
        <v>31037</v>
      </c>
      <c r="F34589" s="61"/>
      <c r="G34589" s="61"/>
      <c r="H34589" s="61"/>
    </row>
    <row r="34590" spans="2:8" x14ac:dyDescent="0.25">
      <c r="B34590" s="60" t="s">
        <v>8418</v>
      </c>
      <c r="C34590" s="60" t="s">
        <v>8419</v>
      </c>
      <c r="D34590" s="60" t="str">
        <f>HYPERLINK("https://rhld.insurance.arkansas.gov/NPILookup?Npi=1891941829","1891941829")</f>
        <v>1891941829</v>
      </c>
      <c r="E34590" s="60" t="s">
        <v>8825</v>
      </c>
      <c r="F34590" s="61"/>
      <c r="G34590" s="61"/>
      <c r="H34590" s="61"/>
    </row>
    <row r="34591" spans="2:8" x14ac:dyDescent="0.25">
      <c r="B34591" s="60" t="s">
        <v>8418</v>
      </c>
      <c r="C34591" s="60" t="s">
        <v>8419</v>
      </c>
      <c r="D34591" s="60" t="str">
        <f>HYPERLINK("https://rhld.insurance.arkansas.gov/NPILookup?Npi=1891957114","1891957114")</f>
        <v>1891957114</v>
      </c>
      <c r="E34591" s="60" t="s">
        <v>8826</v>
      </c>
      <c r="F34591" s="61"/>
      <c r="G34591" s="61"/>
      <c r="H34591" s="61"/>
    </row>
    <row r="34592" spans="2:8" x14ac:dyDescent="0.25">
      <c r="B34592" s="60" t="s">
        <v>8418</v>
      </c>
      <c r="C34592" s="60" t="s">
        <v>8419</v>
      </c>
      <c r="D34592" s="60" t="str">
        <f>HYPERLINK("https://rhld.insurance.arkansas.gov/NPILookup?Npi=1891978730","1891978730")</f>
        <v>1891978730</v>
      </c>
      <c r="E34592" s="60" t="s">
        <v>14274</v>
      </c>
      <c r="F34592" s="61"/>
      <c r="G34592" s="61"/>
      <c r="H34592" s="61"/>
    </row>
    <row r="34593" spans="2:8" x14ac:dyDescent="0.25">
      <c r="B34593" s="60" t="s">
        <v>8418</v>
      </c>
      <c r="C34593" s="60" t="s">
        <v>8419</v>
      </c>
      <c r="D34593" s="60" t="str">
        <f>HYPERLINK("https://rhld.insurance.arkansas.gov/NPILookup?Npi=1891981932","1891981932")</f>
        <v>1891981932</v>
      </c>
      <c r="E34593" s="60" t="s">
        <v>31038</v>
      </c>
      <c r="F34593" s="61"/>
      <c r="G34593" s="61"/>
      <c r="H34593" s="61"/>
    </row>
    <row r="34594" spans="2:8" x14ac:dyDescent="0.25">
      <c r="B34594" s="60" t="s">
        <v>8418</v>
      </c>
      <c r="C34594" s="60" t="s">
        <v>8419</v>
      </c>
      <c r="D34594" s="60" t="str">
        <f>HYPERLINK("https://rhld.insurance.arkansas.gov/NPILookup?Npi=1902052921","1902052921")</f>
        <v>1902052921</v>
      </c>
      <c r="E34594" s="60" t="s">
        <v>31039</v>
      </c>
      <c r="F34594" s="61"/>
      <c r="G34594" s="61"/>
      <c r="H34594" s="61"/>
    </row>
    <row r="34595" spans="2:8" x14ac:dyDescent="0.25">
      <c r="B34595" s="60" t="s">
        <v>8418</v>
      </c>
      <c r="C34595" s="60" t="s">
        <v>8419</v>
      </c>
      <c r="D34595" s="60" t="str">
        <f>HYPERLINK("https://rhld.insurance.arkansas.gov/NPILookup?Npi=1902060346","1902060346")</f>
        <v>1902060346</v>
      </c>
      <c r="E34595" s="60" t="s">
        <v>8827</v>
      </c>
      <c r="F34595" s="61"/>
      <c r="G34595" s="61"/>
      <c r="H34595" s="61"/>
    </row>
    <row r="34596" spans="2:8" x14ac:dyDescent="0.25">
      <c r="B34596" s="60" t="s">
        <v>8418</v>
      </c>
      <c r="C34596" s="60" t="s">
        <v>8419</v>
      </c>
      <c r="D34596" s="60" t="str">
        <f>HYPERLINK("https://rhld.insurance.arkansas.gov/NPILookup?Npi=1902190598","1902190598")</f>
        <v>1902190598</v>
      </c>
      <c r="E34596" s="60" t="s">
        <v>31040</v>
      </c>
      <c r="F34596" s="61"/>
      <c r="G34596" s="61"/>
      <c r="H34596" s="61"/>
    </row>
    <row r="34597" spans="2:8" x14ac:dyDescent="0.25">
      <c r="B34597" s="60" t="s">
        <v>8418</v>
      </c>
      <c r="C34597" s="60" t="s">
        <v>8419</v>
      </c>
      <c r="D34597" s="60" t="str">
        <f>HYPERLINK("https://rhld.insurance.arkansas.gov/NPILookup?Npi=1902241995","1902241995")</f>
        <v>1902241995</v>
      </c>
      <c r="E34597" s="60" t="s">
        <v>31041</v>
      </c>
      <c r="F34597" s="61"/>
      <c r="G34597" s="61"/>
      <c r="H34597" s="61"/>
    </row>
    <row r="34598" spans="2:8" x14ac:dyDescent="0.25">
      <c r="B34598" s="60" t="s">
        <v>8418</v>
      </c>
      <c r="C34598" s="60" t="s">
        <v>8419</v>
      </c>
      <c r="D34598" s="60" t="str">
        <f>HYPERLINK("https://rhld.insurance.arkansas.gov/NPILookup?Npi=1902278898","1902278898")</f>
        <v>1902278898</v>
      </c>
      <c r="E34598" s="60" t="s">
        <v>31042</v>
      </c>
      <c r="F34598" s="61"/>
      <c r="G34598" s="61"/>
      <c r="H34598" s="61"/>
    </row>
    <row r="34599" spans="2:8" x14ac:dyDescent="0.25">
      <c r="B34599" s="60" t="s">
        <v>8418</v>
      </c>
      <c r="C34599" s="60" t="s">
        <v>8419</v>
      </c>
      <c r="D34599" s="60" t="str">
        <f>HYPERLINK("https://rhld.insurance.arkansas.gov/NPILookup?Npi=1902281298","1902281298")</f>
        <v>1902281298</v>
      </c>
      <c r="E34599" s="60" t="s">
        <v>31043</v>
      </c>
      <c r="F34599" s="61"/>
      <c r="G34599" s="61"/>
      <c r="H34599" s="61"/>
    </row>
    <row r="34600" spans="2:8" x14ac:dyDescent="0.25">
      <c r="B34600" s="60" t="s">
        <v>8418</v>
      </c>
      <c r="C34600" s="60" t="s">
        <v>8419</v>
      </c>
      <c r="D34600" s="60" t="str">
        <f>HYPERLINK("https://rhld.insurance.arkansas.gov/NPILookup?Npi=1902289937","1902289937")</f>
        <v>1902289937</v>
      </c>
      <c r="E34600" s="60" t="s">
        <v>1275</v>
      </c>
      <c r="F34600" s="61"/>
      <c r="G34600" s="61"/>
      <c r="H34600" s="61"/>
    </row>
    <row r="34601" spans="2:8" x14ac:dyDescent="0.25">
      <c r="B34601" s="60" t="s">
        <v>8418</v>
      </c>
      <c r="C34601" s="60" t="s">
        <v>8419</v>
      </c>
      <c r="D34601" s="60" t="str">
        <f>HYPERLINK("https://rhld.insurance.arkansas.gov/NPILookup?Npi=1902354376","1902354376")</f>
        <v>1902354376</v>
      </c>
      <c r="E34601" s="60" t="s">
        <v>8828</v>
      </c>
      <c r="F34601" s="61"/>
      <c r="G34601" s="61"/>
      <c r="H34601" s="61"/>
    </row>
    <row r="34602" spans="2:8" x14ac:dyDescent="0.25">
      <c r="B34602" s="60" t="s">
        <v>8418</v>
      </c>
      <c r="C34602" s="60" t="s">
        <v>8419</v>
      </c>
      <c r="D34602" s="60" t="str">
        <f>HYPERLINK("https://rhld.insurance.arkansas.gov/NPILookup?Npi=1902458805","1902458805")</f>
        <v>1902458805</v>
      </c>
      <c r="E34602" s="60" t="s">
        <v>31044</v>
      </c>
      <c r="F34602" s="61"/>
      <c r="G34602" s="61"/>
      <c r="H34602" s="61"/>
    </row>
    <row r="34603" spans="2:8" x14ac:dyDescent="0.25">
      <c r="B34603" s="60" t="s">
        <v>8418</v>
      </c>
      <c r="C34603" s="60" t="s">
        <v>8419</v>
      </c>
      <c r="D34603" s="60" t="str">
        <f>HYPERLINK("https://rhld.insurance.arkansas.gov/NPILookup?Npi=1902473051","1902473051")</f>
        <v>1902473051</v>
      </c>
      <c r="E34603" s="60" t="s">
        <v>31045</v>
      </c>
      <c r="F34603" s="61"/>
      <c r="G34603" s="61"/>
      <c r="H34603" s="61"/>
    </row>
    <row r="34604" spans="2:8" x14ac:dyDescent="0.25">
      <c r="B34604" s="60" t="s">
        <v>8418</v>
      </c>
      <c r="C34604" s="60" t="s">
        <v>8419</v>
      </c>
      <c r="D34604" s="60" t="str">
        <f>HYPERLINK("https://rhld.insurance.arkansas.gov/NPILookup?Npi=1902545866","1902545866")</f>
        <v>1902545866</v>
      </c>
      <c r="E34604" s="60" t="s">
        <v>31046</v>
      </c>
      <c r="F34604" s="61"/>
      <c r="G34604" s="61"/>
      <c r="H34604" s="61"/>
    </row>
    <row r="34605" spans="2:8" x14ac:dyDescent="0.25">
      <c r="B34605" s="60" t="s">
        <v>8418</v>
      </c>
      <c r="C34605" s="60" t="s">
        <v>8419</v>
      </c>
      <c r="D34605" s="60" t="str">
        <f>HYPERLINK("https://rhld.insurance.arkansas.gov/NPILookup?Npi=1902564867","1902564867")</f>
        <v>1902564867</v>
      </c>
      <c r="E34605" s="60" t="s">
        <v>31047</v>
      </c>
      <c r="F34605" s="61"/>
      <c r="G34605" s="61"/>
      <c r="H34605" s="61"/>
    </row>
    <row r="34606" spans="2:8" x14ac:dyDescent="0.25">
      <c r="B34606" s="60" t="s">
        <v>8418</v>
      </c>
      <c r="C34606" s="60" t="s">
        <v>8419</v>
      </c>
      <c r="D34606" s="60" t="str">
        <f>HYPERLINK("https://rhld.insurance.arkansas.gov/NPILookup?Npi=1902570153","1902570153")</f>
        <v>1902570153</v>
      </c>
      <c r="E34606" s="60" t="s">
        <v>8829</v>
      </c>
      <c r="F34606" s="61"/>
      <c r="G34606" s="61"/>
      <c r="H34606" s="61"/>
    </row>
    <row r="34607" spans="2:8" x14ac:dyDescent="0.25">
      <c r="B34607" s="60" t="s">
        <v>8418</v>
      </c>
      <c r="C34607" s="60" t="s">
        <v>8419</v>
      </c>
      <c r="D34607" s="60" t="str">
        <f>HYPERLINK("https://rhld.insurance.arkansas.gov/NPILookup?Npi=1902590714","1902590714")</f>
        <v>1902590714</v>
      </c>
      <c r="E34607" s="60" t="s">
        <v>8830</v>
      </c>
      <c r="F34607" s="61"/>
      <c r="G34607" s="61"/>
      <c r="H34607" s="61"/>
    </row>
    <row r="34608" spans="2:8" x14ac:dyDescent="0.25">
      <c r="B34608" s="60" t="s">
        <v>8418</v>
      </c>
      <c r="C34608" s="60" t="s">
        <v>8419</v>
      </c>
      <c r="D34608" s="60" t="str">
        <f>HYPERLINK("https://rhld.insurance.arkansas.gov/NPILookup?Npi=1902680119","1902680119")</f>
        <v>1902680119</v>
      </c>
      <c r="E34608" s="60" t="s">
        <v>31048</v>
      </c>
      <c r="F34608" s="61"/>
      <c r="G34608" s="61"/>
      <c r="H34608" s="61"/>
    </row>
    <row r="34609" spans="2:8" x14ac:dyDescent="0.25">
      <c r="B34609" s="60" t="s">
        <v>8418</v>
      </c>
      <c r="C34609" s="60" t="s">
        <v>8419</v>
      </c>
      <c r="D34609" s="60" t="str">
        <f>HYPERLINK("https://rhld.insurance.arkansas.gov/NPILookup?Npi=1902920366","1902920366")</f>
        <v>1902920366</v>
      </c>
      <c r="E34609" s="60" t="s">
        <v>31049</v>
      </c>
      <c r="F34609" s="61"/>
      <c r="G34609" s="61"/>
      <c r="H34609" s="61"/>
    </row>
    <row r="34610" spans="2:8" x14ac:dyDescent="0.25">
      <c r="B34610" s="60" t="s">
        <v>8418</v>
      </c>
      <c r="C34610" s="60" t="s">
        <v>8419</v>
      </c>
      <c r="D34610" s="60" t="str">
        <f>HYPERLINK("https://rhld.insurance.arkansas.gov/NPILookup?Npi=1902929839","1902929839")</f>
        <v>1902929839</v>
      </c>
      <c r="E34610" s="60" t="s">
        <v>31050</v>
      </c>
      <c r="F34610" s="61"/>
      <c r="G34610" s="61"/>
      <c r="H34610" s="61"/>
    </row>
    <row r="34611" spans="2:8" x14ac:dyDescent="0.25">
      <c r="B34611" s="60" t="s">
        <v>8418</v>
      </c>
      <c r="C34611" s="60" t="s">
        <v>8419</v>
      </c>
      <c r="D34611" s="60" t="str">
        <f>HYPERLINK("https://rhld.insurance.arkansas.gov/NPILookup?Npi=1902951114","1902951114")</f>
        <v>1902951114</v>
      </c>
      <c r="E34611" s="60" t="s">
        <v>31051</v>
      </c>
      <c r="F34611" s="61"/>
      <c r="G34611" s="61"/>
      <c r="H34611" s="61"/>
    </row>
    <row r="34612" spans="2:8" x14ac:dyDescent="0.25">
      <c r="B34612" s="60" t="s">
        <v>8418</v>
      </c>
      <c r="C34612" s="60" t="s">
        <v>8419</v>
      </c>
      <c r="D34612" s="60" t="str">
        <f>HYPERLINK("https://rhld.insurance.arkansas.gov/NPILookup?Npi=1902983059","1902983059")</f>
        <v>1902983059</v>
      </c>
      <c r="E34612" s="60" t="s">
        <v>8831</v>
      </c>
      <c r="F34612" s="61"/>
      <c r="G34612" s="61"/>
      <c r="H34612" s="61"/>
    </row>
    <row r="34613" spans="2:8" x14ac:dyDescent="0.25">
      <c r="B34613" s="60" t="s">
        <v>8418</v>
      </c>
      <c r="C34613" s="60" t="s">
        <v>8419</v>
      </c>
      <c r="D34613" s="60" t="str">
        <f>HYPERLINK("https://rhld.insurance.arkansas.gov/NPILookup?Npi=1912052291","1912052291")</f>
        <v>1912052291</v>
      </c>
      <c r="E34613" s="60" t="s">
        <v>31052</v>
      </c>
      <c r="F34613" s="61"/>
      <c r="G34613" s="61"/>
      <c r="H34613" s="61"/>
    </row>
    <row r="34614" spans="2:8" x14ac:dyDescent="0.25">
      <c r="B34614" s="60" t="s">
        <v>8418</v>
      </c>
      <c r="C34614" s="60" t="s">
        <v>8419</v>
      </c>
      <c r="D34614" s="60" t="str">
        <f>HYPERLINK("https://rhld.insurance.arkansas.gov/NPILookup?Npi=1912083395","1912083395")</f>
        <v>1912083395</v>
      </c>
      <c r="E34614" s="60" t="s">
        <v>14275</v>
      </c>
      <c r="F34614" s="61"/>
      <c r="G34614" s="61"/>
      <c r="H34614" s="61"/>
    </row>
    <row r="34615" spans="2:8" x14ac:dyDescent="0.25">
      <c r="B34615" s="60" t="s">
        <v>8418</v>
      </c>
      <c r="C34615" s="60" t="s">
        <v>8419</v>
      </c>
      <c r="D34615" s="60" t="str">
        <f>HYPERLINK("https://rhld.insurance.arkansas.gov/NPILookup?Npi=1912120718","1912120718")</f>
        <v>1912120718</v>
      </c>
      <c r="E34615" s="60" t="s">
        <v>8832</v>
      </c>
      <c r="F34615" s="61"/>
      <c r="G34615" s="61"/>
      <c r="H34615" s="61"/>
    </row>
    <row r="34616" spans="2:8" x14ac:dyDescent="0.25">
      <c r="B34616" s="60" t="s">
        <v>8418</v>
      </c>
      <c r="C34616" s="60" t="s">
        <v>8419</v>
      </c>
      <c r="D34616" s="60" t="str">
        <f>HYPERLINK("https://rhld.insurance.arkansas.gov/NPILookup?Npi=1912124439","1912124439")</f>
        <v>1912124439</v>
      </c>
      <c r="E34616" s="60" t="s">
        <v>31053</v>
      </c>
      <c r="F34616" s="61"/>
      <c r="G34616" s="61"/>
      <c r="H34616" s="61"/>
    </row>
    <row r="34617" spans="2:8" x14ac:dyDescent="0.25">
      <c r="B34617" s="60" t="s">
        <v>8418</v>
      </c>
      <c r="C34617" s="60" t="s">
        <v>8419</v>
      </c>
      <c r="D34617" s="60" t="str">
        <f>HYPERLINK("https://rhld.insurance.arkansas.gov/NPILookup?Npi=1912163999","1912163999")</f>
        <v>1912163999</v>
      </c>
      <c r="E34617" s="60" t="s">
        <v>31054</v>
      </c>
      <c r="F34617" s="61"/>
      <c r="G34617" s="61"/>
      <c r="H34617" s="61"/>
    </row>
    <row r="34618" spans="2:8" x14ac:dyDescent="0.25">
      <c r="B34618" s="60" t="s">
        <v>8418</v>
      </c>
      <c r="C34618" s="60" t="s">
        <v>8419</v>
      </c>
      <c r="D34618" s="60" t="str">
        <f>HYPERLINK("https://rhld.insurance.arkansas.gov/NPILookup?Npi=1912279688","1912279688")</f>
        <v>1912279688</v>
      </c>
      <c r="E34618" s="60" t="s">
        <v>31055</v>
      </c>
      <c r="F34618" s="61"/>
      <c r="G34618" s="61"/>
      <c r="H34618" s="61"/>
    </row>
    <row r="34619" spans="2:8" x14ac:dyDescent="0.25">
      <c r="B34619" s="60" t="s">
        <v>8418</v>
      </c>
      <c r="C34619" s="60" t="s">
        <v>8419</v>
      </c>
      <c r="D34619" s="60" t="str">
        <f>HYPERLINK("https://rhld.insurance.arkansas.gov/NPILookup?Npi=1912418336","1912418336")</f>
        <v>1912418336</v>
      </c>
      <c r="E34619" s="60" t="s">
        <v>5729</v>
      </c>
      <c r="F34619" s="61"/>
      <c r="G34619" s="61"/>
      <c r="H34619" s="61"/>
    </row>
    <row r="34620" spans="2:8" x14ac:dyDescent="0.25">
      <c r="B34620" s="60" t="s">
        <v>8418</v>
      </c>
      <c r="C34620" s="60" t="s">
        <v>8419</v>
      </c>
      <c r="D34620" s="60" t="str">
        <f>HYPERLINK("https://rhld.insurance.arkansas.gov/NPILookup?Npi=1912434499","1912434499")</f>
        <v>1912434499</v>
      </c>
      <c r="E34620" s="60" t="s">
        <v>31056</v>
      </c>
      <c r="F34620" s="61"/>
      <c r="G34620" s="61"/>
      <c r="H34620" s="61"/>
    </row>
    <row r="34621" spans="2:8" x14ac:dyDescent="0.25">
      <c r="B34621" s="60" t="s">
        <v>8418</v>
      </c>
      <c r="C34621" s="60" t="s">
        <v>8419</v>
      </c>
      <c r="D34621" s="60" t="str">
        <f>HYPERLINK("https://rhld.insurance.arkansas.gov/NPILookup?Npi=1912449422","1912449422")</f>
        <v>1912449422</v>
      </c>
      <c r="E34621" s="60" t="s">
        <v>31057</v>
      </c>
      <c r="F34621" s="61"/>
      <c r="G34621" s="61"/>
      <c r="H34621" s="61"/>
    </row>
    <row r="34622" spans="2:8" x14ac:dyDescent="0.25">
      <c r="B34622" s="60" t="s">
        <v>8418</v>
      </c>
      <c r="C34622" s="60" t="s">
        <v>8419</v>
      </c>
      <c r="D34622" s="60" t="str">
        <f>HYPERLINK("https://rhld.insurance.arkansas.gov/NPILookup?Npi=1912454133","1912454133")</f>
        <v>1912454133</v>
      </c>
      <c r="E34622" s="60" t="s">
        <v>14276</v>
      </c>
      <c r="F34622" s="61"/>
      <c r="G34622" s="61"/>
      <c r="H34622" s="61"/>
    </row>
    <row r="34623" spans="2:8" x14ac:dyDescent="0.25">
      <c r="B34623" s="60" t="s">
        <v>8418</v>
      </c>
      <c r="C34623" s="60" t="s">
        <v>8419</v>
      </c>
      <c r="D34623" s="60" t="str">
        <f>HYPERLINK("https://rhld.insurance.arkansas.gov/NPILookup?Npi=1912499443","1912499443")</f>
        <v>1912499443</v>
      </c>
      <c r="E34623" s="60" t="s">
        <v>31058</v>
      </c>
      <c r="F34623" s="61"/>
      <c r="G34623" s="61"/>
      <c r="H34623" s="61"/>
    </row>
    <row r="34624" spans="2:8" x14ac:dyDescent="0.25">
      <c r="B34624" s="60" t="s">
        <v>8418</v>
      </c>
      <c r="C34624" s="60" t="s">
        <v>8419</v>
      </c>
      <c r="D34624" s="60" t="str">
        <f>HYPERLINK("https://rhld.insurance.arkansas.gov/NPILookup?Npi=1912526484","1912526484")</f>
        <v>1912526484</v>
      </c>
      <c r="E34624" s="60" t="s">
        <v>31059</v>
      </c>
      <c r="F34624" s="61"/>
      <c r="G34624" s="61"/>
      <c r="H34624" s="61"/>
    </row>
    <row r="34625" spans="2:8" x14ac:dyDescent="0.25">
      <c r="B34625" s="60" t="s">
        <v>8418</v>
      </c>
      <c r="C34625" s="60" t="s">
        <v>8419</v>
      </c>
      <c r="D34625" s="60" t="str">
        <f>HYPERLINK("https://rhld.insurance.arkansas.gov/NPILookup?Npi=1912553991","1912553991")</f>
        <v>1912553991</v>
      </c>
      <c r="E34625" s="60" t="s">
        <v>14277</v>
      </c>
      <c r="F34625" s="61"/>
      <c r="G34625" s="61"/>
      <c r="H34625" s="61"/>
    </row>
    <row r="34626" spans="2:8" x14ac:dyDescent="0.25">
      <c r="B34626" s="60" t="s">
        <v>8418</v>
      </c>
      <c r="C34626" s="60" t="s">
        <v>8419</v>
      </c>
      <c r="D34626" s="60" t="str">
        <f>HYPERLINK("https://rhld.insurance.arkansas.gov/NPILookup?Npi=1912565789","1912565789")</f>
        <v>1912565789</v>
      </c>
      <c r="E34626" s="60" t="s">
        <v>32564</v>
      </c>
      <c r="F34626" s="61"/>
      <c r="G34626" s="61"/>
      <c r="H34626" s="61"/>
    </row>
    <row r="34627" spans="2:8" x14ac:dyDescent="0.25">
      <c r="B34627" s="60" t="s">
        <v>8418</v>
      </c>
      <c r="C34627" s="60" t="s">
        <v>8419</v>
      </c>
      <c r="D34627" s="60" t="str">
        <f>HYPERLINK("https://rhld.insurance.arkansas.gov/NPILookup?Npi=1912959503","1912959503")</f>
        <v>1912959503</v>
      </c>
      <c r="E34627" s="60" t="s">
        <v>8833</v>
      </c>
      <c r="F34627" s="61"/>
      <c r="G34627" s="61"/>
      <c r="H34627" s="61"/>
    </row>
    <row r="34628" spans="2:8" x14ac:dyDescent="0.25">
      <c r="B34628" s="60" t="s">
        <v>8418</v>
      </c>
      <c r="C34628" s="60" t="s">
        <v>8419</v>
      </c>
      <c r="D34628" s="60" t="str">
        <f>HYPERLINK("https://rhld.insurance.arkansas.gov/NPILookup?Npi=1922047158","1922047158")</f>
        <v>1922047158</v>
      </c>
      <c r="E34628" s="60" t="s">
        <v>8834</v>
      </c>
      <c r="F34628" s="61"/>
      <c r="G34628" s="61"/>
      <c r="H34628" s="61"/>
    </row>
    <row r="34629" spans="2:8" x14ac:dyDescent="0.25">
      <c r="B34629" s="60" t="s">
        <v>8418</v>
      </c>
      <c r="C34629" s="60" t="s">
        <v>8419</v>
      </c>
      <c r="D34629" s="60" t="str">
        <f>HYPERLINK("https://rhld.insurance.arkansas.gov/NPILookup?Npi=1922297381","1922297381")</f>
        <v>1922297381</v>
      </c>
      <c r="E34629" s="60" t="s">
        <v>31060</v>
      </c>
      <c r="F34629" s="61"/>
      <c r="G34629" s="61"/>
      <c r="H34629" s="61"/>
    </row>
    <row r="34630" spans="2:8" x14ac:dyDescent="0.25">
      <c r="B34630" s="60" t="s">
        <v>8418</v>
      </c>
      <c r="C34630" s="60" t="s">
        <v>8419</v>
      </c>
      <c r="D34630" s="60" t="str">
        <f>HYPERLINK("https://rhld.insurance.arkansas.gov/NPILookup?Npi=1922401074","1922401074")</f>
        <v>1922401074</v>
      </c>
      <c r="E34630" s="60" t="s">
        <v>31061</v>
      </c>
      <c r="F34630" s="61"/>
      <c r="G34630" s="61"/>
      <c r="H34630" s="61"/>
    </row>
    <row r="34631" spans="2:8" x14ac:dyDescent="0.25">
      <c r="B34631" s="60" t="s">
        <v>8418</v>
      </c>
      <c r="C34631" s="60" t="s">
        <v>8419</v>
      </c>
      <c r="D34631" s="60" t="str">
        <f>HYPERLINK("https://rhld.insurance.arkansas.gov/NPILookup?Npi=1922401322","1922401322")</f>
        <v>1922401322</v>
      </c>
      <c r="E34631" s="60" t="s">
        <v>14278</v>
      </c>
      <c r="F34631" s="61"/>
      <c r="G34631" s="61"/>
      <c r="H34631" s="61"/>
    </row>
    <row r="34632" spans="2:8" x14ac:dyDescent="0.25">
      <c r="B34632" s="60" t="s">
        <v>8418</v>
      </c>
      <c r="C34632" s="60" t="s">
        <v>8419</v>
      </c>
      <c r="D34632" s="60" t="str">
        <f>HYPERLINK("https://rhld.insurance.arkansas.gov/NPILookup?Npi=1922429158","1922429158")</f>
        <v>1922429158</v>
      </c>
      <c r="E34632" s="60" t="s">
        <v>31062</v>
      </c>
      <c r="F34632" s="61"/>
      <c r="G34632" s="61"/>
      <c r="H34632" s="61"/>
    </row>
    <row r="34633" spans="2:8" x14ac:dyDescent="0.25">
      <c r="B34633" s="60" t="s">
        <v>8418</v>
      </c>
      <c r="C34633" s="60" t="s">
        <v>8419</v>
      </c>
      <c r="D34633" s="60" t="str">
        <f>HYPERLINK("https://rhld.insurance.arkansas.gov/NPILookup?Npi=1922458579","1922458579")</f>
        <v>1922458579</v>
      </c>
      <c r="E34633" s="60" t="s">
        <v>8835</v>
      </c>
      <c r="F34633" s="61"/>
      <c r="G34633" s="61"/>
      <c r="H34633" s="61"/>
    </row>
    <row r="34634" spans="2:8" x14ac:dyDescent="0.25">
      <c r="B34634" s="60" t="s">
        <v>8418</v>
      </c>
      <c r="C34634" s="60" t="s">
        <v>8419</v>
      </c>
      <c r="D34634" s="60" t="str">
        <f>HYPERLINK("https://rhld.insurance.arkansas.gov/NPILookup?Npi=1922490127","1922490127")</f>
        <v>1922490127</v>
      </c>
      <c r="E34634" s="60" t="s">
        <v>8836</v>
      </c>
      <c r="F34634" s="61"/>
      <c r="G34634" s="61"/>
      <c r="H34634" s="61"/>
    </row>
    <row r="34635" spans="2:8" x14ac:dyDescent="0.25">
      <c r="B34635" s="60" t="s">
        <v>8418</v>
      </c>
      <c r="C34635" s="60" t="s">
        <v>8419</v>
      </c>
      <c r="D34635" s="60" t="str">
        <f>HYPERLINK("https://rhld.insurance.arkansas.gov/NPILookup?Npi=1922545383","1922545383")</f>
        <v>1922545383</v>
      </c>
      <c r="E34635" s="60" t="s">
        <v>14279</v>
      </c>
      <c r="F34635" s="61"/>
      <c r="G34635" s="61"/>
      <c r="H34635" s="61"/>
    </row>
    <row r="34636" spans="2:8" x14ac:dyDescent="0.25">
      <c r="B34636" s="60" t="s">
        <v>8418</v>
      </c>
      <c r="C34636" s="60" t="s">
        <v>8419</v>
      </c>
      <c r="D34636" s="60" t="str">
        <f>HYPERLINK("https://rhld.insurance.arkansas.gov/NPILookup?Npi=1922551209","1922551209")</f>
        <v>1922551209</v>
      </c>
      <c r="E34636" s="60" t="s">
        <v>31063</v>
      </c>
      <c r="F34636" s="61"/>
      <c r="G34636" s="61"/>
      <c r="H34636" s="61"/>
    </row>
    <row r="34637" spans="2:8" x14ac:dyDescent="0.25">
      <c r="B34637" s="60" t="s">
        <v>8418</v>
      </c>
      <c r="C34637" s="60" t="s">
        <v>8419</v>
      </c>
      <c r="D34637" s="60" t="str">
        <f>HYPERLINK("https://rhld.insurance.arkansas.gov/NPILookup?Npi=1922619790","1922619790")</f>
        <v>1922619790</v>
      </c>
      <c r="E34637" s="60" t="s">
        <v>31064</v>
      </c>
      <c r="F34637" s="61"/>
      <c r="G34637" s="61"/>
      <c r="H34637" s="61"/>
    </row>
    <row r="34638" spans="2:8" x14ac:dyDescent="0.25">
      <c r="B34638" s="60" t="s">
        <v>8418</v>
      </c>
      <c r="C34638" s="60" t="s">
        <v>8419</v>
      </c>
      <c r="D34638" s="60" t="str">
        <f>HYPERLINK("https://rhld.insurance.arkansas.gov/NPILookup?Npi=1922654995","1922654995")</f>
        <v>1922654995</v>
      </c>
      <c r="E34638" s="60" t="s">
        <v>31065</v>
      </c>
      <c r="F34638" s="61"/>
      <c r="G34638" s="61"/>
      <c r="H34638" s="61"/>
    </row>
    <row r="34639" spans="2:8" x14ac:dyDescent="0.25">
      <c r="B34639" s="60" t="s">
        <v>8418</v>
      </c>
      <c r="C34639" s="60" t="s">
        <v>8419</v>
      </c>
      <c r="D34639" s="60" t="str">
        <f>HYPERLINK("https://rhld.insurance.arkansas.gov/NPILookup?Npi=1922671593","1922671593")</f>
        <v>1922671593</v>
      </c>
      <c r="E34639" s="60" t="s">
        <v>31066</v>
      </c>
      <c r="F34639" s="61"/>
      <c r="G34639" s="61"/>
      <c r="H34639" s="61"/>
    </row>
    <row r="34640" spans="2:8" x14ac:dyDescent="0.25">
      <c r="B34640" s="60" t="s">
        <v>8418</v>
      </c>
      <c r="C34640" s="60" t="s">
        <v>8419</v>
      </c>
      <c r="D34640" s="60" t="str">
        <f>HYPERLINK("https://rhld.insurance.arkansas.gov/NPILookup?Npi=1922673375","1922673375")</f>
        <v>1922673375</v>
      </c>
      <c r="E34640" s="60" t="s">
        <v>31067</v>
      </c>
      <c r="F34640" s="61"/>
      <c r="G34640" s="61"/>
      <c r="H34640" s="61"/>
    </row>
    <row r="34641" spans="2:8" x14ac:dyDescent="0.25">
      <c r="B34641" s="60" t="s">
        <v>8418</v>
      </c>
      <c r="C34641" s="60" t="s">
        <v>8419</v>
      </c>
      <c r="D34641" s="60" t="str">
        <f>HYPERLINK("https://rhld.insurance.arkansas.gov/NPILookup?Npi=1922735885","1922735885")</f>
        <v>1922735885</v>
      </c>
      <c r="E34641" s="60" t="s">
        <v>32565</v>
      </c>
      <c r="F34641" s="61"/>
      <c r="G34641" s="61"/>
      <c r="H34641" s="61"/>
    </row>
    <row r="34642" spans="2:8" x14ac:dyDescent="0.25">
      <c r="B34642" s="60" t="s">
        <v>8418</v>
      </c>
      <c r="C34642" s="60" t="s">
        <v>8419</v>
      </c>
      <c r="D34642" s="60" t="str">
        <f>HYPERLINK("https://rhld.insurance.arkansas.gov/NPILookup?Npi=1922737063","1922737063")</f>
        <v>1922737063</v>
      </c>
      <c r="E34642" s="60" t="s">
        <v>31068</v>
      </c>
      <c r="F34642" s="61"/>
      <c r="G34642" s="61"/>
      <c r="H34642" s="61"/>
    </row>
    <row r="34643" spans="2:8" x14ac:dyDescent="0.25">
      <c r="B34643" s="60" t="s">
        <v>8418</v>
      </c>
      <c r="C34643" s="60" t="s">
        <v>8419</v>
      </c>
      <c r="D34643" s="60" t="str">
        <f>HYPERLINK("https://rhld.insurance.arkansas.gov/NPILookup?Npi=1922855931","1922855931")</f>
        <v>1922855931</v>
      </c>
      <c r="E34643" s="60" t="s">
        <v>31069</v>
      </c>
      <c r="F34643" s="61"/>
      <c r="G34643" s="61"/>
      <c r="H34643" s="61"/>
    </row>
    <row r="34644" spans="2:8" x14ac:dyDescent="0.25">
      <c r="B34644" s="60" t="s">
        <v>8418</v>
      </c>
      <c r="C34644" s="60" t="s">
        <v>8419</v>
      </c>
      <c r="D34644" s="60" t="str">
        <f>HYPERLINK("https://rhld.insurance.arkansas.gov/NPILookup?Npi=1922867175","1922867175")</f>
        <v>1922867175</v>
      </c>
      <c r="E34644" s="60" t="s">
        <v>31070</v>
      </c>
      <c r="F34644" s="61"/>
      <c r="G34644" s="61"/>
      <c r="H34644" s="61"/>
    </row>
    <row r="34645" spans="2:8" x14ac:dyDescent="0.25">
      <c r="B34645" s="60" t="s">
        <v>8418</v>
      </c>
      <c r="C34645" s="60" t="s">
        <v>8419</v>
      </c>
      <c r="D34645" s="60" t="str">
        <f>HYPERLINK("https://rhld.insurance.arkansas.gov/NPILookup?Npi=1922876010","1922876010")</f>
        <v>1922876010</v>
      </c>
      <c r="E34645" s="60" t="s">
        <v>31071</v>
      </c>
      <c r="F34645" s="61"/>
      <c r="G34645" s="61"/>
      <c r="H34645" s="61"/>
    </row>
    <row r="34646" spans="2:8" x14ac:dyDescent="0.25">
      <c r="B34646" s="60" t="s">
        <v>8418</v>
      </c>
      <c r="C34646" s="60" t="s">
        <v>8419</v>
      </c>
      <c r="D34646" s="60" t="str">
        <f>HYPERLINK("https://rhld.insurance.arkansas.gov/NPILookup?Npi=1932198934","1932198934")</f>
        <v>1932198934</v>
      </c>
      <c r="E34646" s="60" t="s">
        <v>31072</v>
      </c>
      <c r="F34646" s="61"/>
      <c r="G34646" s="61"/>
      <c r="H34646" s="61"/>
    </row>
    <row r="34647" spans="2:8" x14ac:dyDescent="0.25">
      <c r="B34647" s="60" t="s">
        <v>8418</v>
      </c>
      <c r="C34647" s="60" t="s">
        <v>8419</v>
      </c>
      <c r="D34647" s="60" t="str">
        <f>HYPERLINK("https://rhld.insurance.arkansas.gov/NPILookup?Npi=1932230216","1932230216")</f>
        <v>1932230216</v>
      </c>
      <c r="E34647" s="60" t="s">
        <v>31073</v>
      </c>
      <c r="F34647" s="61"/>
      <c r="G34647" s="61"/>
      <c r="H34647" s="61"/>
    </row>
    <row r="34648" spans="2:8" x14ac:dyDescent="0.25">
      <c r="B34648" s="60" t="s">
        <v>8418</v>
      </c>
      <c r="C34648" s="60" t="s">
        <v>8419</v>
      </c>
      <c r="D34648" s="60" t="str">
        <f>HYPERLINK("https://rhld.insurance.arkansas.gov/NPILookup?Npi=1932320280","1932320280")</f>
        <v>1932320280</v>
      </c>
      <c r="E34648" s="60" t="s">
        <v>31074</v>
      </c>
      <c r="F34648" s="61"/>
      <c r="G34648" s="61"/>
      <c r="H34648" s="61"/>
    </row>
    <row r="34649" spans="2:8" x14ac:dyDescent="0.25">
      <c r="B34649" s="60" t="s">
        <v>8418</v>
      </c>
      <c r="C34649" s="60" t="s">
        <v>8419</v>
      </c>
      <c r="D34649" s="60" t="str">
        <f>HYPERLINK("https://rhld.insurance.arkansas.gov/NPILookup?Npi=1932403078","1932403078")</f>
        <v>1932403078</v>
      </c>
      <c r="E34649" s="60" t="s">
        <v>6235</v>
      </c>
      <c r="F34649" s="61"/>
      <c r="G34649" s="61"/>
      <c r="H34649" s="61"/>
    </row>
    <row r="34650" spans="2:8" x14ac:dyDescent="0.25">
      <c r="B34650" s="60" t="s">
        <v>8418</v>
      </c>
      <c r="C34650" s="60" t="s">
        <v>8419</v>
      </c>
      <c r="D34650" s="60" t="str">
        <f>HYPERLINK("https://rhld.insurance.arkansas.gov/NPILookup?Npi=1932423167","1932423167")</f>
        <v>1932423167</v>
      </c>
      <c r="E34650" s="60" t="s">
        <v>14280</v>
      </c>
      <c r="F34650" s="61"/>
      <c r="G34650" s="61"/>
      <c r="H34650" s="61"/>
    </row>
    <row r="34651" spans="2:8" x14ac:dyDescent="0.25">
      <c r="B34651" s="60" t="s">
        <v>8418</v>
      </c>
      <c r="C34651" s="60" t="s">
        <v>8419</v>
      </c>
      <c r="D34651" s="60" t="str">
        <f>HYPERLINK("https://rhld.insurance.arkansas.gov/NPILookup?Npi=1932478526","1932478526")</f>
        <v>1932478526</v>
      </c>
      <c r="E34651" s="60" t="s">
        <v>31075</v>
      </c>
      <c r="F34651" s="61"/>
      <c r="G34651" s="61"/>
      <c r="H34651" s="61"/>
    </row>
    <row r="34652" spans="2:8" x14ac:dyDescent="0.25">
      <c r="B34652" s="60" t="s">
        <v>8418</v>
      </c>
      <c r="C34652" s="60" t="s">
        <v>8419</v>
      </c>
      <c r="D34652" s="60" t="str">
        <f>HYPERLINK("https://rhld.insurance.arkansas.gov/NPILookup?Npi=1932509536","1932509536")</f>
        <v>1932509536</v>
      </c>
      <c r="E34652" s="60" t="s">
        <v>14281</v>
      </c>
      <c r="F34652" s="61"/>
      <c r="G34652" s="61"/>
      <c r="H34652" s="61"/>
    </row>
    <row r="34653" spans="2:8" x14ac:dyDescent="0.25">
      <c r="B34653" s="60" t="s">
        <v>8418</v>
      </c>
      <c r="C34653" s="60" t="s">
        <v>8419</v>
      </c>
      <c r="D34653" s="60" t="str">
        <f>HYPERLINK("https://rhld.insurance.arkansas.gov/NPILookup?Npi=1932520558","1932520558")</f>
        <v>1932520558</v>
      </c>
      <c r="E34653" s="60" t="s">
        <v>31076</v>
      </c>
      <c r="F34653" s="61"/>
      <c r="G34653" s="61"/>
      <c r="H34653" s="61"/>
    </row>
    <row r="34654" spans="2:8" x14ac:dyDescent="0.25">
      <c r="B34654" s="60" t="s">
        <v>8418</v>
      </c>
      <c r="C34654" s="60" t="s">
        <v>8419</v>
      </c>
      <c r="D34654" s="60" t="str">
        <f>HYPERLINK("https://rhld.insurance.arkansas.gov/NPILookup?Npi=1932593977","1932593977")</f>
        <v>1932593977</v>
      </c>
      <c r="E34654" s="60" t="s">
        <v>31077</v>
      </c>
      <c r="F34654" s="61"/>
      <c r="G34654" s="61"/>
      <c r="H34654" s="61"/>
    </row>
    <row r="34655" spans="2:8" x14ac:dyDescent="0.25">
      <c r="B34655" s="60" t="s">
        <v>8418</v>
      </c>
      <c r="C34655" s="60" t="s">
        <v>8419</v>
      </c>
      <c r="D34655" s="60" t="str">
        <f>HYPERLINK("https://rhld.insurance.arkansas.gov/NPILookup?Npi=1932768835","1932768835")</f>
        <v>1932768835</v>
      </c>
      <c r="E34655" s="60" t="s">
        <v>8837</v>
      </c>
      <c r="F34655" s="61"/>
      <c r="G34655" s="61"/>
      <c r="H34655" s="61"/>
    </row>
    <row r="34656" spans="2:8" x14ac:dyDescent="0.25">
      <c r="B34656" s="60" t="s">
        <v>8418</v>
      </c>
      <c r="C34656" s="60" t="s">
        <v>8419</v>
      </c>
      <c r="D34656" s="60" t="str">
        <f>HYPERLINK("https://rhld.insurance.arkansas.gov/NPILookup?Npi=1932774627","1932774627")</f>
        <v>1932774627</v>
      </c>
      <c r="E34656" s="60" t="s">
        <v>31078</v>
      </c>
      <c r="F34656" s="61"/>
      <c r="G34656" s="61"/>
      <c r="H34656" s="61"/>
    </row>
    <row r="34657" spans="2:8" x14ac:dyDescent="0.25">
      <c r="B34657" s="60" t="s">
        <v>8418</v>
      </c>
      <c r="C34657" s="60" t="s">
        <v>8419</v>
      </c>
      <c r="D34657" s="60" t="str">
        <f>HYPERLINK("https://rhld.insurance.arkansas.gov/NPILookup?Npi=1932870771","1932870771")</f>
        <v>1932870771</v>
      </c>
      <c r="E34657" s="60" t="s">
        <v>14282</v>
      </c>
      <c r="F34657" s="61"/>
      <c r="G34657" s="61"/>
      <c r="H34657" s="61"/>
    </row>
    <row r="34658" spans="2:8" x14ac:dyDescent="0.25">
      <c r="B34658" s="60" t="s">
        <v>8418</v>
      </c>
      <c r="C34658" s="60" t="s">
        <v>8419</v>
      </c>
      <c r="D34658" s="60" t="str">
        <f>HYPERLINK("https://rhld.insurance.arkansas.gov/NPILookup?Npi=1932956034","1932956034")</f>
        <v>1932956034</v>
      </c>
      <c r="E34658" s="60" t="s">
        <v>31079</v>
      </c>
      <c r="F34658" s="61"/>
      <c r="G34658" s="61"/>
      <c r="H34658" s="61"/>
    </row>
    <row r="34659" spans="2:8" x14ac:dyDescent="0.25">
      <c r="B34659" s="60" t="s">
        <v>8418</v>
      </c>
      <c r="C34659" s="60" t="s">
        <v>8419</v>
      </c>
      <c r="D34659" s="60" t="str">
        <f>HYPERLINK("https://rhld.insurance.arkansas.gov/NPILookup?Npi=1932956398","1932956398")</f>
        <v>1932956398</v>
      </c>
      <c r="E34659" s="60" t="s">
        <v>31080</v>
      </c>
      <c r="F34659" s="61"/>
      <c r="G34659" s="61"/>
      <c r="H34659" s="61"/>
    </row>
    <row r="34660" spans="2:8" x14ac:dyDescent="0.25">
      <c r="B34660" s="60" t="s">
        <v>8418</v>
      </c>
      <c r="C34660" s="60" t="s">
        <v>8419</v>
      </c>
      <c r="D34660" s="60" t="str">
        <f>HYPERLINK("https://rhld.insurance.arkansas.gov/NPILookup?Npi=1942083126","1942083126")</f>
        <v>1942083126</v>
      </c>
      <c r="E34660" s="60" t="s">
        <v>32566</v>
      </c>
      <c r="F34660" s="61"/>
      <c r="G34660" s="61"/>
      <c r="H34660" s="61"/>
    </row>
    <row r="34661" spans="2:8" x14ac:dyDescent="0.25">
      <c r="B34661" s="60" t="s">
        <v>8418</v>
      </c>
      <c r="C34661" s="60" t="s">
        <v>8419</v>
      </c>
      <c r="D34661" s="60" t="str">
        <f>HYPERLINK("https://rhld.insurance.arkansas.gov/NPILookup?Npi=1942385877","1942385877")</f>
        <v>1942385877</v>
      </c>
      <c r="E34661" s="60" t="s">
        <v>31081</v>
      </c>
      <c r="F34661" s="61"/>
      <c r="G34661" s="61"/>
      <c r="H34661" s="61"/>
    </row>
    <row r="34662" spans="2:8" x14ac:dyDescent="0.25">
      <c r="B34662" s="60" t="s">
        <v>8418</v>
      </c>
      <c r="C34662" s="60" t="s">
        <v>8419</v>
      </c>
      <c r="D34662" s="60" t="str">
        <f>HYPERLINK("https://rhld.insurance.arkansas.gov/NPILookup?Npi=1942403738","1942403738")</f>
        <v>1942403738</v>
      </c>
      <c r="E34662" s="60" t="s">
        <v>14283</v>
      </c>
      <c r="F34662" s="61"/>
      <c r="G34662" s="61"/>
      <c r="H34662" s="61"/>
    </row>
    <row r="34663" spans="2:8" x14ac:dyDescent="0.25">
      <c r="B34663" s="60" t="s">
        <v>8418</v>
      </c>
      <c r="C34663" s="60" t="s">
        <v>8419</v>
      </c>
      <c r="D34663" s="60" t="str">
        <f>HYPERLINK("https://rhld.insurance.arkansas.gov/NPILookup?Npi=1942470596","1942470596")</f>
        <v>1942470596</v>
      </c>
      <c r="E34663" s="60" t="s">
        <v>8838</v>
      </c>
      <c r="F34663" s="61"/>
      <c r="G34663" s="61"/>
      <c r="H34663" s="61"/>
    </row>
    <row r="34664" spans="2:8" x14ac:dyDescent="0.25">
      <c r="B34664" s="60" t="s">
        <v>8418</v>
      </c>
      <c r="C34664" s="60" t="s">
        <v>8419</v>
      </c>
      <c r="D34664" s="60" t="str">
        <f>HYPERLINK("https://rhld.insurance.arkansas.gov/NPILookup?Npi=1942475082","1942475082")</f>
        <v>1942475082</v>
      </c>
      <c r="E34664" s="60" t="s">
        <v>31082</v>
      </c>
      <c r="F34664" s="61"/>
      <c r="G34664" s="61"/>
      <c r="H34664" s="61"/>
    </row>
    <row r="34665" spans="2:8" x14ac:dyDescent="0.25">
      <c r="B34665" s="60" t="s">
        <v>8418</v>
      </c>
      <c r="C34665" s="60" t="s">
        <v>8419</v>
      </c>
      <c r="D34665" s="60" t="str">
        <f>HYPERLINK("https://rhld.insurance.arkansas.gov/NPILookup?Npi=1942660535","1942660535")</f>
        <v>1942660535</v>
      </c>
      <c r="E34665" s="60" t="s">
        <v>31083</v>
      </c>
      <c r="F34665" s="61"/>
      <c r="G34665" s="61"/>
      <c r="H34665" s="61"/>
    </row>
    <row r="34666" spans="2:8" x14ac:dyDescent="0.25">
      <c r="B34666" s="60" t="s">
        <v>8418</v>
      </c>
      <c r="C34666" s="60" t="s">
        <v>8419</v>
      </c>
      <c r="D34666" s="60" t="str">
        <f>HYPERLINK("https://rhld.insurance.arkansas.gov/NPILookup?Npi=1942717566","1942717566")</f>
        <v>1942717566</v>
      </c>
      <c r="E34666" s="60" t="s">
        <v>31084</v>
      </c>
      <c r="F34666" s="61"/>
      <c r="G34666" s="61"/>
      <c r="H34666" s="61"/>
    </row>
    <row r="34667" spans="2:8" x14ac:dyDescent="0.25">
      <c r="B34667" s="60" t="s">
        <v>8418</v>
      </c>
      <c r="C34667" s="60" t="s">
        <v>8419</v>
      </c>
      <c r="D34667" s="60" t="str">
        <f>HYPERLINK("https://rhld.insurance.arkansas.gov/NPILookup?Npi=1942811237","1942811237")</f>
        <v>1942811237</v>
      </c>
      <c r="E34667" s="60" t="s">
        <v>8840</v>
      </c>
      <c r="F34667" s="61"/>
      <c r="G34667" s="61"/>
      <c r="H34667" s="61"/>
    </row>
    <row r="34668" spans="2:8" x14ac:dyDescent="0.25">
      <c r="B34668" s="60" t="s">
        <v>8418</v>
      </c>
      <c r="C34668" s="60" t="s">
        <v>8419</v>
      </c>
      <c r="D34668" s="60" t="str">
        <f>HYPERLINK("https://rhld.insurance.arkansas.gov/NPILookup?Npi=1942823554","1942823554")</f>
        <v>1942823554</v>
      </c>
      <c r="E34668" s="60" t="s">
        <v>31085</v>
      </c>
      <c r="F34668" s="61"/>
      <c r="G34668" s="61"/>
      <c r="H34668" s="61"/>
    </row>
    <row r="34669" spans="2:8" x14ac:dyDescent="0.25">
      <c r="B34669" s="60" t="s">
        <v>8418</v>
      </c>
      <c r="C34669" s="60" t="s">
        <v>8419</v>
      </c>
      <c r="D34669" s="60" t="str">
        <f>HYPERLINK("https://rhld.insurance.arkansas.gov/NPILookup?Npi=1942824016","1942824016")</f>
        <v>1942824016</v>
      </c>
      <c r="E34669" s="60" t="s">
        <v>31086</v>
      </c>
      <c r="F34669" s="61"/>
      <c r="G34669" s="61"/>
      <c r="H34669" s="61"/>
    </row>
    <row r="34670" spans="2:8" x14ac:dyDescent="0.25">
      <c r="B34670" s="60" t="s">
        <v>8418</v>
      </c>
      <c r="C34670" s="60" t="s">
        <v>8419</v>
      </c>
      <c r="D34670" s="60" t="str">
        <f>HYPERLINK("https://rhld.insurance.arkansas.gov/NPILookup?Npi=1942826409","1942826409")</f>
        <v>1942826409</v>
      </c>
      <c r="E34670" s="60" t="s">
        <v>32567</v>
      </c>
      <c r="F34670" s="61"/>
      <c r="G34670" s="61"/>
      <c r="H34670" s="61"/>
    </row>
    <row r="34671" spans="2:8" x14ac:dyDescent="0.25">
      <c r="B34671" s="60" t="s">
        <v>8418</v>
      </c>
      <c r="C34671" s="60" t="s">
        <v>8419</v>
      </c>
      <c r="D34671" s="60" t="str">
        <f>HYPERLINK("https://rhld.insurance.arkansas.gov/NPILookup?Npi=1942859392","1942859392")</f>
        <v>1942859392</v>
      </c>
      <c r="E34671" s="60" t="s">
        <v>8841</v>
      </c>
      <c r="F34671" s="61"/>
      <c r="G34671" s="61"/>
      <c r="H34671" s="61"/>
    </row>
    <row r="34672" spans="2:8" x14ac:dyDescent="0.25">
      <c r="B34672" s="60" t="s">
        <v>8418</v>
      </c>
      <c r="C34672" s="60" t="s">
        <v>8419</v>
      </c>
      <c r="D34672" s="60" t="str">
        <f>HYPERLINK("https://rhld.insurance.arkansas.gov/NPILookup?Npi=1942878285","1942878285")</f>
        <v>1942878285</v>
      </c>
      <c r="E34672" s="60" t="s">
        <v>31087</v>
      </c>
      <c r="F34672" s="61"/>
      <c r="G34672" s="61"/>
      <c r="H34672" s="61"/>
    </row>
    <row r="34673" spans="2:8" x14ac:dyDescent="0.25">
      <c r="B34673" s="60" t="s">
        <v>8418</v>
      </c>
      <c r="C34673" s="60" t="s">
        <v>8419</v>
      </c>
      <c r="D34673" s="60" t="str">
        <f>HYPERLINK("https://rhld.insurance.arkansas.gov/NPILookup?Npi=1942898952","1942898952")</f>
        <v>1942898952</v>
      </c>
      <c r="E34673" s="60" t="s">
        <v>31088</v>
      </c>
      <c r="F34673" s="61"/>
      <c r="G34673" s="61"/>
      <c r="H34673" s="61"/>
    </row>
    <row r="34674" spans="2:8" x14ac:dyDescent="0.25">
      <c r="B34674" s="60" t="s">
        <v>8418</v>
      </c>
      <c r="C34674" s="60" t="s">
        <v>8419</v>
      </c>
      <c r="D34674" s="60" t="str">
        <f>HYPERLINK("https://rhld.insurance.arkansas.gov/NPILookup?Npi=1942937008","1942937008")</f>
        <v>1942937008</v>
      </c>
      <c r="E34674" s="60" t="s">
        <v>31089</v>
      </c>
      <c r="F34674" s="61"/>
      <c r="G34674" s="61"/>
      <c r="H34674" s="61"/>
    </row>
    <row r="34675" spans="2:8" x14ac:dyDescent="0.25">
      <c r="B34675" s="60" t="s">
        <v>8418</v>
      </c>
      <c r="C34675" s="60" t="s">
        <v>8419</v>
      </c>
      <c r="D34675" s="60" t="str">
        <f>HYPERLINK("https://rhld.insurance.arkansas.gov/NPILookup?Npi=1942988514","1942988514")</f>
        <v>1942988514</v>
      </c>
      <c r="E34675" s="60" t="s">
        <v>31090</v>
      </c>
      <c r="F34675" s="61"/>
      <c r="G34675" s="61"/>
      <c r="H34675" s="61"/>
    </row>
    <row r="34676" spans="2:8" x14ac:dyDescent="0.25">
      <c r="B34676" s="60" t="s">
        <v>8418</v>
      </c>
      <c r="C34676" s="60" t="s">
        <v>8419</v>
      </c>
      <c r="D34676" s="60" t="str">
        <f>HYPERLINK("https://rhld.insurance.arkansas.gov/NPILookup?Npi=1952092637","1952092637")</f>
        <v>1952092637</v>
      </c>
      <c r="E34676" s="60" t="s">
        <v>8842</v>
      </c>
      <c r="F34676" s="61"/>
      <c r="G34676" s="61"/>
      <c r="H34676" s="61"/>
    </row>
    <row r="34677" spans="2:8" x14ac:dyDescent="0.25">
      <c r="B34677" s="60" t="s">
        <v>8418</v>
      </c>
      <c r="C34677" s="60" t="s">
        <v>8419</v>
      </c>
      <c r="D34677" s="60" t="str">
        <f>HYPERLINK("https://rhld.insurance.arkansas.gov/NPILookup?Npi=1952182362","1952182362")</f>
        <v>1952182362</v>
      </c>
      <c r="E34677" s="60" t="s">
        <v>14284</v>
      </c>
      <c r="F34677" s="61"/>
      <c r="G34677" s="61"/>
      <c r="H34677" s="61"/>
    </row>
    <row r="34678" spans="2:8" x14ac:dyDescent="0.25">
      <c r="B34678" s="60" t="s">
        <v>8418</v>
      </c>
      <c r="C34678" s="60" t="s">
        <v>8419</v>
      </c>
      <c r="D34678" s="60" t="str">
        <f>HYPERLINK("https://rhld.insurance.arkansas.gov/NPILookup?Npi=1952361206","1952361206")</f>
        <v>1952361206</v>
      </c>
      <c r="E34678" s="60" t="s">
        <v>8843</v>
      </c>
      <c r="F34678" s="61"/>
      <c r="G34678" s="61"/>
      <c r="H34678" s="61"/>
    </row>
    <row r="34679" spans="2:8" x14ac:dyDescent="0.25">
      <c r="B34679" s="60" t="s">
        <v>8418</v>
      </c>
      <c r="C34679" s="60" t="s">
        <v>8419</v>
      </c>
      <c r="D34679" s="60" t="str">
        <f>HYPERLINK("https://rhld.insurance.arkansas.gov/NPILookup?Npi=1952448870","1952448870")</f>
        <v>1952448870</v>
      </c>
      <c r="E34679" s="60" t="s">
        <v>23869</v>
      </c>
      <c r="F34679" s="61"/>
      <c r="G34679" s="61"/>
      <c r="H34679" s="61"/>
    </row>
    <row r="34680" spans="2:8" x14ac:dyDescent="0.25">
      <c r="B34680" s="60" t="s">
        <v>8418</v>
      </c>
      <c r="C34680" s="60" t="s">
        <v>8419</v>
      </c>
      <c r="D34680" s="60" t="str">
        <f>HYPERLINK("https://rhld.insurance.arkansas.gov/NPILookup?Npi=1952525974","1952525974")</f>
        <v>1952525974</v>
      </c>
      <c r="E34680" s="60" t="s">
        <v>8844</v>
      </c>
      <c r="F34680" s="61"/>
      <c r="G34680" s="61"/>
      <c r="H34680" s="61"/>
    </row>
    <row r="34681" spans="2:8" x14ac:dyDescent="0.25">
      <c r="B34681" s="60" t="s">
        <v>8418</v>
      </c>
      <c r="C34681" s="60" t="s">
        <v>8419</v>
      </c>
      <c r="D34681" s="60" t="str">
        <f>HYPERLINK("https://rhld.insurance.arkansas.gov/NPILookup?Npi=1952536922","1952536922")</f>
        <v>1952536922</v>
      </c>
      <c r="E34681" s="60" t="s">
        <v>31091</v>
      </c>
      <c r="F34681" s="61"/>
      <c r="G34681" s="61"/>
      <c r="H34681" s="61"/>
    </row>
    <row r="34682" spans="2:8" x14ac:dyDescent="0.25">
      <c r="B34682" s="60" t="s">
        <v>8418</v>
      </c>
      <c r="C34682" s="60" t="s">
        <v>8419</v>
      </c>
      <c r="D34682" s="60" t="str">
        <f>HYPERLINK("https://rhld.insurance.arkansas.gov/NPILookup?Npi=1952563538","1952563538")</f>
        <v>1952563538</v>
      </c>
      <c r="E34682" s="60" t="s">
        <v>31092</v>
      </c>
      <c r="F34682" s="61"/>
      <c r="G34682" s="61"/>
      <c r="H34682" s="61"/>
    </row>
    <row r="34683" spans="2:8" x14ac:dyDescent="0.25">
      <c r="B34683" s="60" t="s">
        <v>8418</v>
      </c>
      <c r="C34683" s="60" t="s">
        <v>8419</v>
      </c>
      <c r="D34683" s="60" t="str">
        <f>HYPERLINK("https://rhld.insurance.arkansas.gov/NPILookup?Npi=1952582082","1952582082")</f>
        <v>1952582082</v>
      </c>
      <c r="E34683" s="60" t="s">
        <v>8845</v>
      </c>
      <c r="F34683" s="61"/>
      <c r="G34683" s="61"/>
      <c r="H34683" s="61"/>
    </row>
    <row r="34684" spans="2:8" x14ac:dyDescent="0.25">
      <c r="B34684" s="60" t="s">
        <v>8418</v>
      </c>
      <c r="C34684" s="60" t="s">
        <v>8419</v>
      </c>
      <c r="D34684" s="60" t="str">
        <f>HYPERLINK("https://rhld.insurance.arkansas.gov/NPILookup?Npi=1952648115","1952648115")</f>
        <v>1952648115</v>
      </c>
      <c r="E34684" s="60" t="s">
        <v>31093</v>
      </c>
      <c r="F34684" s="61"/>
      <c r="G34684" s="61"/>
      <c r="H34684" s="61"/>
    </row>
    <row r="34685" spans="2:8" x14ac:dyDescent="0.25">
      <c r="B34685" s="60" t="s">
        <v>8418</v>
      </c>
      <c r="C34685" s="60" t="s">
        <v>8419</v>
      </c>
      <c r="D34685" s="60" t="str">
        <f>HYPERLINK("https://rhld.insurance.arkansas.gov/NPILookup?Npi=1952663882","1952663882")</f>
        <v>1952663882</v>
      </c>
      <c r="E34685" s="60" t="s">
        <v>8846</v>
      </c>
      <c r="F34685" s="61"/>
      <c r="G34685" s="61"/>
      <c r="H34685" s="61"/>
    </row>
    <row r="34686" spans="2:8" x14ac:dyDescent="0.25">
      <c r="B34686" s="60" t="s">
        <v>8418</v>
      </c>
      <c r="C34686" s="60" t="s">
        <v>8419</v>
      </c>
      <c r="D34686" s="60" t="str">
        <f>HYPERLINK("https://rhld.insurance.arkansas.gov/NPILookup?Npi=1952697054","1952697054")</f>
        <v>1952697054</v>
      </c>
      <c r="E34686" s="60" t="s">
        <v>31094</v>
      </c>
      <c r="F34686" s="61"/>
      <c r="G34686" s="61"/>
      <c r="H34686" s="61"/>
    </row>
    <row r="34687" spans="2:8" x14ac:dyDescent="0.25">
      <c r="B34687" s="60" t="s">
        <v>8418</v>
      </c>
      <c r="C34687" s="60" t="s">
        <v>8419</v>
      </c>
      <c r="D34687" s="60" t="str">
        <f>HYPERLINK("https://rhld.insurance.arkansas.gov/NPILookup?Npi=1952760993","1952760993")</f>
        <v>1952760993</v>
      </c>
      <c r="E34687" s="60" t="s">
        <v>8847</v>
      </c>
      <c r="F34687" s="61"/>
      <c r="G34687" s="61"/>
      <c r="H34687" s="61"/>
    </row>
    <row r="34688" spans="2:8" x14ac:dyDescent="0.25">
      <c r="B34688" s="60" t="s">
        <v>8418</v>
      </c>
      <c r="C34688" s="60" t="s">
        <v>8419</v>
      </c>
      <c r="D34688" s="60" t="str">
        <f>HYPERLINK("https://rhld.insurance.arkansas.gov/NPILookup?Npi=1952769341","1952769341")</f>
        <v>1952769341</v>
      </c>
      <c r="E34688" s="60" t="s">
        <v>8848</v>
      </c>
      <c r="F34688" s="61"/>
      <c r="G34688" s="61"/>
      <c r="H34688" s="61"/>
    </row>
    <row r="34689" spans="2:8" x14ac:dyDescent="0.25">
      <c r="B34689" s="60" t="s">
        <v>8418</v>
      </c>
      <c r="C34689" s="60" t="s">
        <v>8419</v>
      </c>
      <c r="D34689" s="60" t="str">
        <f>HYPERLINK("https://rhld.insurance.arkansas.gov/NPILookup?Npi=1952809444","1952809444")</f>
        <v>1952809444</v>
      </c>
      <c r="E34689" s="60" t="s">
        <v>31095</v>
      </c>
      <c r="F34689" s="61"/>
      <c r="G34689" s="61"/>
      <c r="H34689" s="61"/>
    </row>
    <row r="34690" spans="2:8" x14ac:dyDescent="0.25">
      <c r="B34690" s="60" t="s">
        <v>8418</v>
      </c>
      <c r="C34690" s="60" t="s">
        <v>8419</v>
      </c>
      <c r="D34690" s="60" t="str">
        <f>HYPERLINK("https://rhld.insurance.arkansas.gov/NPILookup?Npi=1952859241","1952859241")</f>
        <v>1952859241</v>
      </c>
      <c r="E34690" s="60" t="s">
        <v>14285</v>
      </c>
      <c r="F34690" s="61"/>
      <c r="G34690" s="61"/>
      <c r="H34690" s="61"/>
    </row>
    <row r="34691" spans="2:8" x14ac:dyDescent="0.25">
      <c r="B34691" s="60" t="s">
        <v>8418</v>
      </c>
      <c r="C34691" s="60" t="s">
        <v>8419</v>
      </c>
      <c r="D34691" s="60" t="str">
        <f>HYPERLINK("https://rhld.insurance.arkansas.gov/NPILookup?Npi=1952893505","1952893505")</f>
        <v>1952893505</v>
      </c>
      <c r="E34691" s="60" t="s">
        <v>31096</v>
      </c>
      <c r="F34691" s="61"/>
      <c r="G34691" s="61"/>
      <c r="H34691" s="61"/>
    </row>
    <row r="34692" spans="2:8" x14ac:dyDescent="0.25">
      <c r="B34692" s="60" t="s">
        <v>8418</v>
      </c>
      <c r="C34692" s="60" t="s">
        <v>8419</v>
      </c>
      <c r="D34692" s="60" t="str">
        <f>HYPERLINK("https://rhld.insurance.arkansas.gov/NPILookup?Npi=1952894693","1952894693")</f>
        <v>1952894693</v>
      </c>
      <c r="E34692" s="60" t="s">
        <v>31097</v>
      </c>
      <c r="F34692" s="61"/>
      <c r="G34692" s="61"/>
      <c r="H34692" s="61"/>
    </row>
    <row r="34693" spans="2:8" x14ac:dyDescent="0.25">
      <c r="B34693" s="60" t="s">
        <v>8418</v>
      </c>
      <c r="C34693" s="60" t="s">
        <v>8419</v>
      </c>
      <c r="D34693" s="60" t="str">
        <f>HYPERLINK("https://rhld.insurance.arkansas.gov/NPILookup?Npi=1952990806","1952990806")</f>
        <v>1952990806</v>
      </c>
      <c r="E34693" s="60" t="s">
        <v>8849</v>
      </c>
      <c r="F34693" s="61"/>
      <c r="G34693" s="61"/>
      <c r="H34693" s="61"/>
    </row>
    <row r="34694" spans="2:8" x14ac:dyDescent="0.25">
      <c r="B34694" s="60" t="s">
        <v>8418</v>
      </c>
      <c r="C34694" s="60" t="s">
        <v>8419</v>
      </c>
      <c r="D34694" s="60" t="str">
        <f>HYPERLINK("https://rhld.insurance.arkansas.gov/NPILookup?Npi=1962010942","1962010942")</f>
        <v>1962010942</v>
      </c>
      <c r="E34694" s="60" t="s">
        <v>4310</v>
      </c>
      <c r="F34694" s="61"/>
      <c r="G34694" s="61"/>
      <c r="H34694" s="61"/>
    </row>
    <row r="34695" spans="2:8" x14ac:dyDescent="0.25">
      <c r="B34695" s="60" t="s">
        <v>8418</v>
      </c>
      <c r="C34695" s="60" t="s">
        <v>8419</v>
      </c>
      <c r="D34695" s="60" t="str">
        <f>HYPERLINK("https://rhld.insurance.arkansas.gov/NPILookup?Npi=1962015438","1962015438")</f>
        <v>1962015438</v>
      </c>
      <c r="E34695" s="60" t="s">
        <v>31098</v>
      </c>
      <c r="F34695" s="61"/>
      <c r="G34695" s="61"/>
      <c r="H34695" s="61"/>
    </row>
    <row r="34696" spans="2:8" x14ac:dyDescent="0.25">
      <c r="B34696" s="60" t="s">
        <v>8418</v>
      </c>
      <c r="C34696" s="60" t="s">
        <v>8419</v>
      </c>
      <c r="D34696" s="60" t="str">
        <f>HYPERLINK("https://rhld.insurance.arkansas.gov/NPILookup?Npi=1962272864","1962272864")</f>
        <v>1962272864</v>
      </c>
      <c r="E34696" s="60" t="s">
        <v>8850</v>
      </c>
      <c r="F34696" s="61"/>
      <c r="G34696" s="61"/>
      <c r="H34696" s="61"/>
    </row>
    <row r="34697" spans="2:8" x14ac:dyDescent="0.25">
      <c r="B34697" s="60" t="s">
        <v>8418</v>
      </c>
      <c r="C34697" s="60" t="s">
        <v>8419</v>
      </c>
      <c r="D34697" s="60" t="str">
        <f>HYPERLINK("https://rhld.insurance.arkansas.gov/NPILookup?Npi=1962553503","1962553503")</f>
        <v>1962553503</v>
      </c>
      <c r="E34697" s="60" t="s">
        <v>14286</v>
      </c>
      <c r="F34697" s="61"/>
      <c r="G34697" s="61"/>
      <c r="H34697" s="61"/>
    </row>
    <row r="34698" spans="2:8" x14ac:dyDescent="0.25">
      <c r="B34698" s="60" t="s">
        <v>8418</v>
      </c>
      <c r="C34698" s="60" t="s">
        <v>8419</v>
      </c>
      <c r="D34698" s="60" t="str">
        <f>HYPERLINK("https://rhld.insurance.arkansas.gov/NPILookup?Npi=1962580365","1962580365")</f>
        <v>1962580365</v>
      </c>
      <c r="E34698" s="60" t="s">
        <v>31099</v>
      </c>
      <c r="F34698" s="61"/>
      <c r="G34698" s="61"/>
      <c r="H34698" s="61"/>
    </row>
    <row r="34699" spans="2:8" x14ac:dyDescent="0.25">
      <c r="B34699" s="60" t="s">
        <v>8418</v>
      </c>
      <c r="C34699" s="60" t="s">
        <v>8419</v>
      </c>
      <c r="D34699" s="60" t="str">
        <f>HYPERLINK("https://rhld.insurance.arkansas.gov/NPILookup?Npi=1962620484","1962620484")</f>
        <v>1962620484</v>
      </c>
      <c r="E34699" s="60" t="s">
        <v>31100</v>
      </c>
      <c r="F34699" s="61"/>
      <c r="G34699" s="61"/>
      <c r="H34699" s="61"/>
    </row>
    <row r="34700" spans="2:8" x14ac:dyDescent="0.25">
      <c r="B34700" s="60" t="s">
        <v>8418</v>
      </c>
      <c r="C34700" s="60" t="s">
        <v>8419</v>
      </c>
      <c r="D34700" s="60" t="str">
        <f>HYPERLINK("https://rhld.insurance.arkansas.gov/NPILookup?Npi=1962674168","1962674168")</f>
        <v>1962674168</v>
      </c>
      <c r="E34700" s="60" t="s">
        <v>31101</v>
      </c>
      <c r="F34700" s="61"/>
      <c r="G34700" s="61"/>
      <c r="H34700" s="61"/>
    </row>
    <row r="34701" spans="2:8" x14ac:dyDescent="0.25">
      <c r="B34701" s="60" t="s">
        <v>8418</v>
      </c>
      <c r="C34701" s="60" t="s">
        <v>8419</v>
      </c>
      <c r="D34701" s="60" t="str">
        <f>HYPERLINK("https://rhld.insurance.arkansas.gov/NPILookup?Npi=1962836395","1962836395")</f>
        <v>1962836395</v>
      </c>
      <c r="E34701" s="60" t="s">
        <v>31102</v>
      </c>
      <c r="F34701" s="61"/>
      <c r="G34701" s="61"/>
      <c r="H34701" s="61"/>
    </row>
    <row r="34702" spans="2:8" x14ac:dyDescent="0.25">
      <c r="B34702" s="60" t="s">
        <v>8418</v>
      </c>
      <c r="C34702" s="60" t="s">
        <v>8419</v>
      </c>
      <c r="D34702" s="60" t="str">
        <f>HYPERLINK("https://rhld.insurance.arkansas.gov/NPILookup?Npi=1962845883","1962845883")</f>
        <v>1962845883</v>
      </c>
      <c r="E34702" s="60" t="s">
        <v>8851</v>
      </c>
      <c r="F34702" s="61"/>
      <c r="G34702" s="61"/>
      <c r="H34702" s="61"/>
    </row>
    <row r="34703" spans="2:8" x14ac:dyDescent="0.25">
      <c r="B34703" s="60" t="s">
        <v>8418</v>
      </c>
      <c r="C34703" s="60" t="s">
        <v>8419</v>
      </c>
      <c r="D34703" s="60" t="str">
        <f>HYPERLINK("https://rhld.insurance.arkansas.gov/NPILookup?Npi=1962859249","1962859249")</f>
        <v>1962859249</v>
      </c>
      <c r="E34703" s="60" t="s">
        <v>14287</v>
      </c>
      <c r="F34703" s="61"/>
      <c r="G34703" s="61"/>
      <c r="H34703" s="61"/>
    </row>
    <row r="34704" spans="2:8" x14ac:dyDescent="0.25">
      <c r="B34704" s="60" t="s">
        <v>8418</v>
      </c>
      <c r="C34704" s="60" t="s">
        <v>8419</v>
      </c>
      <c r="D34704" s="60" t="str">
        <f>HYPERLINK("https://rhld.insurance.arkansas.gov/NPILookup?Npi=1962872648","1962872648")</f>
        <v>1962872648</v>
      </c>
      <c r="E34704" s="60" t="s">
        <v>8852</v>
      </c>
      <c r="F34704" s="61"/>
      <c r="G34704" s="61"/>
      <c r="H34704" s="61"/>
    </row>
    <row r="34705" spans="2:8" x14ac:dyDescent="0.25">
      <c r="B34705" s="60" t="s">
        <v>8418</v>
      </c>
      <c r="C34705" s="60" t="s">
        <v>8419</v>
      </c>
      <c r="D34705" s="60" t="str">
        <f>HYPERLINK("https://rhld.insurance.arkansas.gov/NPILookup?Npi=1962891309","1962891309")</f>
        <v>1962891309</v>
      </c>
      <c r="E34705" s="60" t="s">
        <v>31103</v>
      </c>
      <c r="F34705" s="61"/>
      <c r="G34705" s="61"/>
      <c r="H34705" s="61"/>
    </row>
    <row r="34706" spans="2:8" x14ac:dyDescent="0.25">
      <c r="B34706" s="60" t="s">
        <v>8418</v>
      </c>
      <c r="C34706" s="60" t="s">
        <v>8419</v>
      </c>
      <c r="D34706" s="60" t="str">
        <f>HYPERLINK("https://rhld.insurance.arkansas.gov/NPILookup?Npi=1972013431","1972013431")</f>
        <v>1972013431</v>
      </c>
      <c r="E34706" s="60" t="s">
        <v>5674</v>
      </c>
      <c r="F34706" s="61"/>
      <c r="G34706" s="61"/>
      <c r="H34706" s="61"/>
    </row>
    <row r="34707" spans="2:8" x14ac:dyDescent="0.25">
      <c r="B34707" s="60" t="s">
        <v>8418</v>
      </c>
      <c r="C34707" s="60" t="s">
        <v>8419</v>
      </c>
      <c r="D34707" s="60" t="str">
        <f>HYPERLINK("https://rhld.insurance.arkansas.gov/NPILookup?Npi=1972030294","1972030294")</f>
        <v>1972030294</v>
      </c>
      <c r="E34707" s="60" t="s">
        <v>31104</v>
      </c>
      <c r="F34707" s="61"/>
      <c r="G34707" s="61"/>
      <c r="H34707" s="61"/>
    </row>
    <row r="34708" spans="2:8" x14ac:dyDescent="0.25">
      <c r="B34708" s="60" t="s">
        <v>8418</v>
      </c>
      <c r="C34708" s="60" t="s">
        <v>8419</v>
      </c>
      <c r="D34708" s="60" t="str">
        <f>HYPERLINK("https://rhld.insurance.arkansas.gov/NPILookup?Npi=1972073450","1972073450")</f>
        <v>1972073450</v>
      </c>
      <c r="E34708" s="60" t="s">
        <v>14288</v>
      </c>
      <c r="F34708" s="61"/>
      <c r="G34708" s="61"/>
      <c r="H34708" s="61"/>
    </row>
    <row r="34709" spans="2:8" x14ac:dyDescent="0.25">
      <c r="B34709" s="60" t="s">
        <v>8418</v>
      </c>
      <c r="C34709" s="60" t="s">
        <v>8419</v>
      </c>
      <c r="D34709" s="60" t="str">
        <f>HYPERLINK("https://rhld.insurance.arkansas.gov/NPILookup?Npi=1972134666","1972134666")</f>
        <v>1972134666</v>
      </c>
      <c r="E34709" s="60" t="s">
        <v>6740</v>
      </c>
      <c r="F34709" s="61"/>
      <c r="G34709" s="61"/>
      <c r="H34709" s="61"/>
    </row>
    <row r="34710" spans="2:8" x14ac:dyDescent="0.25">
      <c r="B34710" s="60" t="s">
        <v>8418</v>
      </c>
      <c r="C34710" s="60" t="s">
        <v>8419</v>
      </c>
      <c r="D34710" s="60" t="str">
        <f>HYPERLINK("https://rhld.insurance.arkansas.gov/NPILookup?Npi=1972152411","1972152411")</f>
        <v>1972152411</v>
      </c>
      <c r="E34710" s="60" t="s">
        <v>8853</v>
      </c>
      <c r="F34710" s="61"/>
      <c r="G34710" s="61"/>
      <c r="H34710" s="61"/>
    </row>
    <row r="34711" spans="2:8" x14ac:dyDescent="0.25">
      <c r="B34711" s="60" t="s">
        <v>8418</v>
      </c>
      <c r="C34711" s="60" t="s">
        <v>8419</v>
      </c>
      <c r="D34711" s="60" t="str">
        <f>HYPERLINK("https://rhld.insurance.arkansas.gov/NPILookup?Npi=1972179356","1972179356")</f>
        <v>1972179356</v>
      </c>
      <c r="E34711" s="60" t="s">
        <v>31105</v>
      </c>
      <c r="F34711" s="61"/>
      <c r="G34711" s="61"/>
      <c r="H34711" s="61"/>
    </row>
    <row r="34712" spans="2:8" x14ac:dyDescent="0.25">
      <c r="B34712" s="60" t="s">
        <v>8418</v>
      </c>
      <c r="C34712" s="60" t="s">
        <v>8419</v>
      </c>
      <c r="D34712" s="60" t="str">
        <f>HYPERLINK("https://rhld.insurance.arkansas.gov/NPILookup?Npi=1972230381","1972230381")</f>
        <v>1972230381</v>
      </c>
      <c r="E34712" s="60" t="s">
        <v>7272</v>
      </c>
      <c r="F34712" s="61"/>
      <c r="G34712" s="61"/>
      <c r="H34712" s="61"/>
    </row>
    <row r="34713" spans="2:8" x14ac:dyDescent="0.25">
      <c r="B34713" s="60" t="s">
        <v>8418</v>
      </c>
      <c r="C34713" s="60" t="s">
        <v>8419</v>
      </c>
      <c r="D34713" s="60" t="str">
        <f>HYPERLINK("https://rhld.insurance.arkansas.gov/NPILookup?Npi=1972235018","1972235018")</f>
        <v>1972235018</v>
      </c>
      <c r="E34713" s="60" t="s">
        <v>14289</v>
      </c>
      <c r="F34713" s="61"/>
      <c r="G34713" s="61"/>
      <c r="H34713" s="61"/>
    </row>
    <row r="34714" spans="2:8" x14ac:dyDescent="0.25">
      <c r="B34714" s="60" t="s">
        <v>8418</v>
      </c>
      <c r="C34714" s="60" t="s">
        <v>8419</v>
      </c>
      <c r="D34714" s="60" t="str">
        <f>HYPERLINK("https://rhld.insurance.arkansas.gov/NPILookup?Npi=1972264554","1972264554")</f>
        <v>1972264554</v>
      </c>
      <c r="E34714" s="60" t="s">
        <v>31106</v>
      </c>
      <c r="F34714" s="61"/>
      <c r="G34714" s="61"/>
      <c r="H34714" s="61"/>
    </row>
    <row r="34715" spans="2:8" x14ac:dyDescent="0.25">
      <c r="B34715" s="60" t="s">
        <v>8418</v>
      </c>
      <c r="C34715" s="60" t="s">
        <v>8419</v>
      </c>
      <c r="D34715" s="60" t="str">
        <f>HYPERLINK("https://rhld.insurance.arkansas.gov/NPILookup?Npi=1972359164","1972359164")</f>
        <v>1972359164</v>
      </c>
      <c r="E34715" s="60" t="s">
        <v>32568</v>
      </c>
      <c r="F34715" s="61"/>
      <c r="G34715" s="61"/>
      <c r="H34715" s="61"/>
    </row>
    <row r="34716" spans="2:8" x14ac:dyDescent="0.25">
      <c r="B34716" s="60" t="s">
        <v>8418</v>
      </c>
      <c r="C34716" s="60" t="s">
        <v>8419</v>
      </c>
      <c r="D34716" s="60" t="str">
        <f>HYPERLINK("https://rhld.insurance.arkansas.gov/NPILookup?Npi=1972362291","1972362291")</f>
        <v>1972362291</v>
      </c>
      <c r="E34716" s="60" t="s">
        <v>31107</v>
      </c>
      <c r="F34716" s="61"/>
      <c r="G34716" s="61"/>
      <c r="H34716" s="61"/>
    </row>
    <row r="34717" spans="2:8" x14ac:dyDescent="0.25">
      <c r="B34717" s="60" t="s">
        <v>8418</v>
      </c>
      <c r="C34717" s="60" t="s">
        <v>8419</v>
      </c>
      <c r="D34717" s="60" t="str">
        <f>HYPERLINK("https://rhld.insurance.arkansas.gov/NPILookup?Npi=1972654853","1972654853")</f>
        <v>1972654853</v>
      </c>
      <c r="E34717" s="60" t="s">
        <v>31108</v>
      </c>
      <c r="F34717" s="61"/>
      <c r="G34717" s="61"/>
      <c r="H34717" s="61"/>
    </row>
    <row r="34718" spans="2:8" x14ac:dyDescent="0.25">
      <c r="B34718" s="60" t="s">
        <v>8418</v>
      </c>
      <c r="C34718" s="60" t="s">
        <v>8419</v>
      </c>
      <c r="D34718" s="60" t="str">
        <f>HYPERLINK("https://rhld.insurance.arkansas.gov/NPILookup?Npi=1972655967","1972655967")</f>
        <v>1972655967</v>
      </c>
      <c r="E34718" s="60" t="s">
        <v>14290</v>
      </c>
      <c r="F34718" s="61"/>
      <c r="G34718" s="61"/>
      <c r="H34718" s="61"/>
    </row>
    <row r="34719" spans="2:8" x14ac:dyDescent="0.25">
      <c r="B34719" s="60" t="s">
        <v>8418</v>
      </c>
      <c r="C34719" s="60" t="s">
        <v>8419</v>
      </c>
      <c r="D34719" s="60" t="str">
        <f>HYPERLINK("https://rhld.insurance.arkansas.gov/NPILookup?Npi=1972718401","1972718401")</f>
        <v>1972718401</v>
      </c>
      <c r="E34719" s="60" t="s">
        <v>14291</v>
      </c>
      <c r="F34719" s="61"/>
      <c r="G34719" s="61"/>
      <c r="H34719" s="61"/>
    </row>
    <row r="34720" spans="2:8" x14ac:dyDescent="0.25">
      <c r="B34720" s="60" t="s">
        <v>8418</v>
      </c>
      <c r="C34720" s="60" t="s">
        <v>8419</v>
      </c>
      <c r="D34720" s="60" t="str">
        <f>HYPERLINK("https://rhld.insurance.arkansas.gov/NPILookup?Npi=1972723492","1972723492")</f>
        <v>1972723492</v>
      </c>
      <c r="E34720" s="60" t="s">
        <v>32569</v>
      </c>
      <c r="F34720" s="61"/>
      <c r="G34720" s="61"/>
      <c r="H34720" s="61"/>
    </row>
    <row r="34721" spans="2:8" x14ac:dyDescent="0.25">
      <c r="B34721" s="60" t="s">
        <v>8418</v>
      </c>
      <c r="C34721" s="60" t="s">
        <v>8419</v>
      </c>
      <c r="D34721" s="60" t="str">
        <f>HYPERLINK("https://rhld.insurance.arkansas.gov/NPILookup?Npi=1972761971","1972761971")</f>
        <v>1972761971</v>
      </c>
      <c r="E34721" s="60" t="s">
        <v>8854</v>
      </c>
      <c r="F34721" s="61"/>
      <c r="G34721" s="61"/>
      <c r="H34721" s="61"/>
    </row>
    <row r="34722" spans="2:8" x14ac:dyDescent="0.25">
      <c r="B34722" s="60" t="s">
        <v>8418</v>
      </c>
      <c r="C34722" s="60" t="s">
        <v>8419</v>
      </c>
      <c r="D34722" s="60" t="str">
        <f>HYPERLINK("https://rhld.insurance.arkansas.gov/NPILookup?Npi=1972798700","1972798700")</f>
        <v>1972798700</v>
      </c>
      <c r="E34722" s="60" t="s">
        <v>1723</v>
      </c>
      <c r="F34722" s="61"/>
      <c r="G34722" s="61"/>
      <c r="H34722" s="61"/>
    </row>
    <row r="34723" spans="2:8" x14ac:dyDescent="0.25">
      <c r="B34723" s="60" t="s">
        <v>8418</v>
      </c>
      <c r="C34723" s="60" t="s">
        <v>8419</v>
      </c>
      <c r="D34723" s="60" t="str">
        <f>HYPERLINK("https://rhld.insurance.arkansas.gov/NPILookup?Npi=1972809630","1972809630")</f>
        <v>1972809630</v>
      </c>
      <c r="E34723" s="60" t="s">
        <v>31109</v>
      </c>
      <c r="F34723" s="61"/>
      <c r="G34723" s="61"/>
      <c r="H34723" s="61"/>
    </row>
    <row r="34724" spans="2:8" x14ac:dyDescent="0.25">
      <c r="B34724" s="60" t="s">
        <v>8418</v>
      </c>
      <c r="C34724" s="60" t="s">
        <v>8419</v>
      </c>
      <c r="D34724" s="60" t="str">
        <f>HYPERLINK("https://rhld.insurance.arkansas.gov/NPILookup?Npi=1972816973","1972816973")</f>
        <v>1972816973</v>
      </c>
      <c r="E34724" s="60" t="s">
        <v>8855</v>
      </c>
      <c r="F34724" s="61"/>
      <c r="G34724" s="61"/>
      <c r="H34724" s="61"/>
    </row>
    <row r="34725" spans="2:8" x14ac:dyDescent="0.25">
      <c r="B34725" s="60" t="s">
        <v>8418</v>
      </c>
      <c r="C34725" s="60" t="s">
        <v>8419</v>
      </c>
      <c r="D34725" s="60" t="str">
        <f>HYPERLINK("https://rhld.insurance.arkansas.gov/NPILookup?Npi=1972849909","1972849909")</f>
        <v>1972849909</v>
      </c>
      <c r="E34725" s="60" t="s">
        <v>31110</v>
      </c>
      <c r="F34725" s="61"/>
      <c r="G34725" s="61"/>
      <c r="H34725" s="61"/>
    </row>
    <row r="34726" spans="2:8" x14ac:dyDescent="0.25">
      <c r="B34726" s="60" t="s">
        <v>8418</v>
      </c>
      <c r="C34726" s="60" t="s">
        <v>8419</v>
      </c>
      <c r="D34726" s="60" t="str">
        <f>HYPERLINK("https://rhld.insurance.arkansas.gov/NPILookup?Npi=1972952257","1972952257")</f>
        <v>1972952257</v>
      </c>
      <c r="E34726" s="60" t="s">
        <v>31111</v>
      </c>
      <c r="F34726" s="61"/>
      <c r="G34726" s="61"/>
      <c r="H34726" s="61"/>
    </row>
    <row r="34727" spans="2:8" x14ac:dyDescent="0.25">
      <c r="B34727" s="60" t="s">
        <v>8418</v>
      </c>
      <c r="C34727" s="60" t="s">
        <v>8419</v>
      </c>
      <c r="D34727" s="60" t="str">
        <f>HYPERLINK("https://rhld.insurance.arkansas.gov/NPILookup?Npi=1982017331","1982017331")</f>
        <v>1982017331</v>
      </c>
      <c r="E34727" s="60" t="s">
        <v>31112</v>
      </c>
      <c r="F34727" s="61"/>
      <c r="G34727" s="61"/>
      <c r="H34727" s="61"/>
    </row>
    <row r="34728" spans="2:8" x14ac:dyDescent="0.25">
      <c r="B34728" s="60" t="s">
        <v>8418</v>
      </c>
      <c r="C34728" s="60" t="s">
        <v>8419</v>
      </c>
      <c r="D34728" s="60" t="str">
        <f>HYPERLINK("https://rhld.insurance.arkansas.gov/NPILookup?Npi=1982018420","1982018420")</f>
        <v>1982018420</v>
      </c>
      <c r="E34728" s="60" t="s">
        <v>31113</v>
      </c>
      <c r="F34728" s="61"/>
      <c r="G34728" s="61"/>
      <c r="H34728" s="61"/>
    </row>
    <row r="34729" spans="2:8" x14ac:dyDescent="0.25">
      <c r="B34729" s="60" t="s">
        <v>8418</v>
      </c>
      <c r="C34729" s="60" t="s">
        <v>8419</v>
      </c>
      <c r="D34729" s="60" t="str">
        <f>HYPERLINK("https://rhld.insurance.arkansas.gov/NPILookup?Npi=1982041182","1982041182")</f>
        <v>1982041182</v>
      </c>
      <c r="E34729" s="60" t="s">
        <v>25015</v>
      </c>
      <c r="F34729" s="61"/>
      <c r="G34729" s="61"/>
      <c r="H34729" s="61"/>
    </row>
    <row r="34730" spans="2:8" x14ac:dyDescent="0.25">
      <c r="B34730" s="60" t="s">
        <v>8418</v>
      </c>
      <c r="C34730" s="60" t="s">
        <v>8419</v>
      </c>
      <c r="D34730" s="60" t="str">
        <f>HYPERLINK("https://rhld.insurance.arkansas.gov/NPILookup?Npi=1982173100","1982173100")</f>
        <v>1982173100</v>
      </c>
      <c r="E34730" s="60" t="s">
        <v>8856</v>
      </c>
      <c r="F34730" s="61"/>
      <c r="G34730" s="61"/>
      <c r="H34730" s="61"/>
    </row>
    <row r="34731" spans="2:8" x14ac:dyDescent="0.25">
      <c r="B34731" s="60" t="s">
        <v>8418</v>
      </c>
      <c r="C34731" s="60" t="s">
        <v>8419</v>
      </c>
      <c r="D34731" s="60" t="str">
        <f>HYPERLINK("https://rhld.insurance.arkansas.gov/NPILookup?Npi=1982209581","1982209581")</f>
        <v>1982209581</v>
      </c>
      <c r="E34731" s="60" t="s">
        <v>31114</v>
      </c>
      <c r="F34731" s="61"/>
      <c r="G34731" s="61"/>
      <c r="H34731" s="61"/>
    </row>
    <row r="34732" spans="2:8" x14ac:dyDescent="0.25">
      <c r="B34732" s="60" t="s">
        <v>8418</v>
      </c>
      <c r="C34732" s="60" t="s">
        <v>8419</v>
      </c>
      <c r="D34732" s="60" t="str">
        <f>HYPERLINK("https://rhld.insurance.arkansas.gov/NPILookup?Npi=1982242640","1982242640")</f>
        <v>1982242640</v>
      </c>
      <c r="E34732" s="60" t="s">
        <v>31115</v>
      </c>
      <c r="F34732" s="61"/>
      <c r="G34732" s="61"/>
      <c r="H34732" s="61"/>
    </row>
    <row r="34733" spans="2:8" x14ac:dyDescent="0.25">
      <c r="B34733" s="60" t="s">
        <v>8418</v>
      </c>
      <c r="C34733" s="60" t="s">
        <v>8419</v>
      </c>
      <c r="D34733" s="60" t="str">
        <f>HYPERLINK("https://rhld.insurance.arkansas.gov/NPILookup?Npi=1982258158","1982258158")</f>
        <v>1982258158</v>
      </c>
      <c r="E34733" s="60" t="s">
        <v>31116</v>
      </c>
      <c r="F34733" s="61"/>
      <c r="G34733" s="61"/>
      <c r="H34733" s="61"/>
    </row>
    <row r="34734" spans="2:8" x14ac:dyDescent="0.25">
      <c r="B34734" s="60" t="s">
        <v>8418</v>
      </c>
      <c r="C34734" s="60" t="s">
        <v>8419</v>
      </c>
      <c r="D34734" s="60" t="str">
        <f>HYPERLINK("https://rhld.insurance.arkansas.gov/NPILookup?Npi=1982315495","1982315495")</f>
        <v>1982315495</v>
      </c>
      <c r="E34734" s="60" t="s">
        <v>31117</v>
      </c>
      <c r="F34734" s="61"/>
      <c r="G34734" s="61"/>
      <c r="H34734" s="61"/>
    </row>
    <row r="34735" spans="2:8" x14ac:dyDescent="0.25">
      <c r="B34735" s="60" t="s">
        <v>8418</v>
      </c>
      <c r="C34735" s="60" t="s">
        <v>8419</v>
      </c>
      <c r="D34735" s="60" t="str">
        <f>HYPERLINK("https://rhld.insurance.arkansas.gov/NPILookup?Npi=1982327946","1982327946")</f>
        <v>1982327946</v>
      </c>
      <c r="E34735" s="60" t="s">
        <v>8857</v>
      </c>
      <c r="F34735" s="61"/>
      <c r="G34735" s="61"/>
      <c r="H34735" s="61"/>
    </row>
    <row r="34736" spans="2:8" x14ac:dyDescent="0.25">
      <c r="B34736" s="60" t="s">
        <v>8418</v>
      </c>
      <c r="C34736" s="60" t="s">
        <v>8419</v>
      </c>
      <c r="D34736" s="60" t="str">
        <f>HYPERLINK("https://rhld.insurance.arkansas.gov/NPILookup?Npi=1982342424","1982342424")</f>
        <v>1982342424</v>
      </c>
      <c r="E34736" s="60" t="s">
        <v>31118</v>
      </c>
      <c r="F34736" s="61"/>
      <c r="G34736" s="61"/>
      <c r="H34736" s="61"/>
    </row>
    <row r="34737" spans="2:8" x14ac:dyDescent="0.25">
      <c r="B34737" s="60" t="s">
        <v>8418</v>
      </c>
      <c r="C34737" s="60" t="s">
        <v>8419</v>
      </c>
      <c r="D34737" s="60" t="str">
        <f>HYPERLINK("https://rhld.insurance.arkansas.gov/NPILookup?Npi=1982343141","1982343141")</f>
        <v>1982343141</v>
      </c>
      <c r="E34737" s="60" t="s">
        <v>8858</v>
      </c>
      <c r="F34737" s="61"/>
      <c r="G34737" s="61"/>
      <c r="H34737" s="61"/>
    </row>
    <row r="34738" spans="2:8" x14ac:dyDescent="0.25">
      <c r="B34738" s="60" t="s">
        <v>8418</v>
      </c>
      <c r="C34738" s="60" t="s">
        <v>8419</v>
      </c>
      <c r="D34738" s="60" t="str">
        <f>HYPERLINK("https://rhld.insurance.arkansas.gov/NPILookup?Npi=1982488466","1982488466")</f>
        <v>1982488466</v>
      </c>
      <c r="E34738" s="60" t="s">
        <v>32570</v>
      </c>
      <c r="F34738" s="61"/>
      <c r="G34738" s="61"/>
      <c r="H34738" s="61"/>
    </row>
    <row r="34739" spans="2:8" x14ac:dyDescent="0.25">
      <c r="B34739" s="60" t="s">
        <v>8418</v>
      </c>
      <c r="C34739" s="60" t="s">
        <v>8419</v>
      </c>
      <c r="D34739" s="60" t="str">
        <f>HYPERLINK("https://rhld.insurance.arkansas.gov/NPILookup?Npi=1982732673","1982732673")</f>
        <v>1982732673</v>
      </c>
      <c r="E34739" s="60" t="s">
        <v>31119</v>
      </c>
      <c r="F34739" s="61"/>
      <c r="G34739" s="61"/>
      <c r="H34739" s="61"/>
    </row>
    <row r="34740" spans="2:8" x14ac:dyDescent="0.25">
      <c r="B34740" s="60" t="s">
        <v>8418</v>
      </c>
      <c r="C34740" s="60" t="s">
        <v>8419</v>
      </c>
      <c r="D34740" s="60" t="str">
        <f>HYPERLINK("https://rhld.insurance.arkansas.gov/NPILookup?Npi=1982738878","1982738878")</f>
        <v>1982738878</v>
      </c>
      <c r="E34740" s="60" t="s">
        <v>31120</v>
      </c>
      <c r="F34740" s="61"/>
      <c r="G34740" s="61"/>
      <c r="H34740" s="61"/>
    </row>
    <row r="34741" spans="2:8" x14ac:dyDescent="0.25">
      <c r="B34741" s="60" t="s">
        <v>8418</v>
      </c>
      <c r="C34741" s="60" t="s">
        <v>8419</v>
      </c>
      <c r="D34741" s="60" t="str">
        <f>HYPERLINK("https://rhld.insurance.arkansas.gov/NPILookup?Npi=1982743936","1982743936")</f>
        <v>1982743936</v>
      </c>
      <c r="E34741" s="60" t="s">
        <v>8859</v>
      </c>
      <c r="F34741" s="61"/>
      <c r="G34741" s="61"/>
      <c r="H34741" s="61"/>
    </row>
    <row r="34742" spans="2:8" x14ac:dyDescent="0.25">
      <c r="B34742" s="60" t="s">
        <v>8418</v>
      </c>
      <c r="C34742" s="60" t="s">
        <v>8419</v>
      </c>
      <c r="D34742" s="60" t="str">
        <f>HYPERLINK("https://rhld.insurance.arkansas.gov/NPILookup?Npi=1982752002","1982752002")</f>
        <v>1982752002</v>
      </c>
      <c r="E34742" s="60" t="s">
        <v>5914</v>
      </c>
      <c r="F34742" s="61"/>
      <c r="G34742" s="61"/>
      <c r="H34742" s="61"/>
    </row>
    <row r="34743" spans="2:8" x14ac:dyDescent="0.25">
      <c r="B34743" s="60" t="s">
        <v>8418</v>
      </c>
      <c r="C34743" s="60" t="s">
        <v>8419</v>
      </c>
      <c r="D34743" s="60" t="str">
        <f>HYPERLINK("https://rhld.insurance.arkansas.gov/NPILookup?Npi=1982756326","1982756326")</f>
        <v>1982756326</v>
      </c>
      <c r="E34743" s="60" t="s">
        <v>8860</v>
      </c>
      <c r="F34743" s="61"/>
      <c r="G34743" s="61"/>
      <c r="H34743" s="61"/>
    </row>
    <row r="34744" spans="2:8" x14ac:dyDescent="0.25">
      <c r="B34744" s="60" t="s">
        <v>8418</v>
      </c>
      <c r="C34744" s="60" t="s">
        <v>8419</v>
      </c>
      <c r="D34744" s="60" t="str">
        <f>HYPERLINK("https://rhld.insurance.arkansas.gov/NPILookup?Npi=1982845251","1982845251")</f>
        <v>1982845251</v>
      </c>
      <c r="E34744" s="60" t="s">
        <v>31121</v>
      </c>
      <c r="F34744" s="61"/>
      <c r="G34744" s="61"/>
      <c r="H34744" s="61"/>
    </row>
    <row r="34745" spans="2:8" x14ac:dyDescent="0.25">
      <c r="B34745" s="60" t="s">
        <v>8418</v>
      </c>
      <c r="C34745" s="60" t="s">
        <v>8419</v>
      </c>
      <c r="D34745" s="60" t="str">
        <f>HYPERLINK("https://rhld.insurance.arkansas.gov/NPILookup?Npi=1982890315","1982890315")</f>
        <v>1982890315</v>
      </c>
      <c r="E34745" s="60" t="s">
        <v>31122</v>
      </c>
      <c r="F34745" s="61"/>
      <c r="G34745" s="61"/>
      <c r="H34745" s="61"/>
    </row>
    <row r="34746" spans="2:8" x14ac:dyDescent="0.25">
      <c r="B34746" s="60" t="s">
        <v>8418</v>
      </c>
      <c r="C34746" s="60" t="s">
        <v>8419</v>
      </c>
      <c r="D34746" s="60" t="str">
        <f>HYPERLINK("https://rhld.insurance.arkansas.gov/NPILookup?Npi=1982917134","1982917134")</f>
        <v>1982917134</v>
      </c>
      <c r="E34746" s="60" t="s">
        <v>14292</v>
      </c>
      <c r="F34746" s="61"/>
      <c r="G34746" s="61"/>
      <c r="H34746" s="61"/>
    </row>
    <row r="34747" spans="2:8" x14ac:dyDescent="0.25">
      <c r="B34747" s="60" t="s">
        <v>8418</v>
      </c>
      <c r="C34747" s="60" t="s">
        <v>8419</v>
      </c>
      <c r="D34747" s="60" t="str">
        <f>HYPERLINK("https://rhld.insurance.arkansas.gov/NPILookup?Npi=1982925723","1982925723")</f>
        <v>1982925723</v>
      </c>
      <c r="E34747" s="60" t="s">
        <v>31123</v>
      </c>
      <c r="F34747" s="61"/>
      <c r="G34747" s="61"/>
      <c r="H34747" s="61"/>
    </row>
    <row r="34748" spans="2:8" x14ac:dyDescent="0.25">
      <c r="B34748" s="60" t="s">
        <v>8418</v>
      </c>
      <c r="C34748" s="60" t="s">
        <v>8419</v>
      </c>
      <c r="D34748" s="60" t="str">
        <f>HYPERLINK("https://rhld.insurance.arkansas.gov/NPILookup?Npi=1982977955","1982977955")</f>
        <v>1982977955</v>
      </c>
      <c r="E34748" s="60" t="s">
        <v>8861</v>
      </c>
      <c r="F34748" s="61"/>
      <c r="G34748" s="61"/>
      <c r="H34748" s="61"/>
    </row>
    <row r="34749" spans="2:8" x14ac:dyDescent="0.25">
      <c r="B34749" s="60" t="s">
        <v>8418</v>
      </c>
      <c r="C34749" s="60" t="s">
        <v>8419</v>
      </c>
      <c r="D34749" s="60" t="str">
        <f>HYPERLINK("https://rhld.insurance.arkansas.gov/NPILookup?Npi=1982984282","1982984282")</f>
        <v>1982984282</v>
      </c>
      <c r="E34749" s="60" t="s">
        <v>31124</v>
      </c>
      <c r="F34749" s="61"/>
      <c r="G34749" s="61"/>
      <c r="H34749" s="61"/>
    </row>
    <row r="34750" spans="2:8" x14ac:dyDescent="0.25">
      <c r="B34750" s="60" t="s">
        <v>8418</v>
      </c>
      <c r="C34750" s="60" t="s">
        <v>8419</v>
      </c>
      <c r="D34750" s="60" t="str">
        <f>HYPERLINK("https://rhld.insurance.arkansas.gov/NPILookup?Npi=1992001275","1992001275")</f>
        <v>1992001275</v>
      </c>
      <c r="E34750" s="60" t="s">
        <v>31125</v>
      </c>
      <c r="F34750" s="61"/>
      <c r="G34750" s="61"/>
      <c r="H34750" s="61"/>
    </row>
    <row r="34751" spans="2:8" x14ac:dyDescent="0.25">
      <c r="B34751" s="60" t="s">
        <v>8418</v>
      </c>
      <c r="C34751" s="60" t="s">
        <v>8419</v>
      </c>
      <c r="D34751" s="60" t="str">
        <f>HYPERLINK("https://rhld.insurance.arkansas.gov/NPILookup?Npi=1992019731","1992019731")</f>
        <v>1992019731</v>
      </c>
      <c r="E34751" s="60" t="s">
        <v>8862</v>
      </c>
      <c r="F34751" s="61"/>
      <c r="G34751" s="61"/>
      <c r="H34751" s="61"/>
    </row>
    <row r="34752" spans="2:8" x14ac:dyDescent="0.25">
      <c r="B34752" s="60" t="s">
        <v>8418</v>
      </c>
      <c r="C34752" s="60" t="s">
        <v>8419</v>
      </c>
      <c r="D34752" s="60" t="str">
        <f>HYPERLINK("https://rhld.insurance.arkansas.gov/NPILookup?Npi=1992138358","1992138358")</f>
        <v>1992138358</v>
      </c>
      <c r="E34752" s="60" t="s">
        <v>2007</v>
      </c>
      <c r="F34752" s="61"/>
      <c r="G34752" s="61"/>
      <c r="H34752" s="61"/>
    </row>
    <row r="34753" spans="2:8" x14ac:dyDescent="0.25">
      <c r="B34753" s="60" t="s">
        <v>8418</v>
      </c>
      <c r="C34753" s="60" t="s">
        <v>8419</v>
      </c>
      <c r="D34753" s="60" t="str">
        <f>HYPERLINK("https://rhld.insurance.arkansas.gov/NPILookup?Npi=1992160410","1992160410")</f>
        <v>1992160410</v>
      </c>
      <c r="E34753" s="60" t="s">
        <v>31126</v>
      </c>
      <c r="F34753" s="61"/>
      <c r="G34753" s="61"/>
      <c r="H34753" s="61"/>
    </row>
    <row r="34754" spans="2:8" x14ac:dyDescent="0.25">
      <c r="B34754" s="60" t="s">
        <v>8418</v>
      </c>
      <c r="C34754" s="60" t="s">
        <v>8419</v>
      </c>
      <c r="D34754" s="60" t="str">
        <f>HYPERLINK("https://rhld.insurance.arkansas.gov/NPILookup?Npi=1992166615","1992166615")</f>
        <v>1992166615</v>
      </c>
      <c r="E34754" s="60" t="s">
        <v>31127</v>
      </c>
      <c r="F34754" s="61"/>
      <c r="G34754" s="61"/>
      <c r="H34754" s="61"/>
    </row>
    <row r="34755" spans="2:8" x14ac:dyDescent="0.25">
      <c r="B34755" s="60" t="s">
        <v>8418</v>
      </c>
      <c r="C34755" s="60" t="s">
        <v>8419</v>
      </c>
      <c r="D34755" s="60" t="str">
        <f>HYPERLINK("https://rhld.insurance.arkansas.gov/NPILookup?Npi=1992185003","1992185003")</f>
        <v>1992185003</v>
      </c>
      <c r="E34755" s="60" t="s">
        <v>31128</v>
      </c>
      <c r="F34755" s="61"/>
      <c r="G34755" s="61"/>
      <c r="H34755" s="61"/>
    </row>
    <row r="34756" spans="2:8" x14ac:dyDescent="0.25">
      <c r="B34756" s="60" t="s">
        <v>8418</v>
      </c>
      <c r="C34756" s="60" t="s">
        <v>8419</v>
      </c>
      <c r="D34756" s="60" t="str">
        <f>HYPERLINK("https://rhld.insurance.arkansas.gov/NPILookup?Npi=1992202451","1992202451")</f>
        <v>1992202451</v>
      </c>
      <c r="E34756" s="60" t="s">
        <v>31129</v>
      </c>
      <c r="F34756" s="61"/>
      <c r="G34756" s="61"/>
      <c r="H34756" s="61"/>
    </row>
    <row r="34757" spans="2:8" x14ac:dyDescent="0.25">
      <c r="B34757" s="60" t="s">
        <v>8418</v>
      </c>
      <c r="C34757" s="60" t="s">
        <v>8419</v>
      </c>
      <c r="D34757" s="60" t="str">
        <f>HYPERLINK("https://rhld.insurance.arkansas.gov/NPILookup?Npi=1992319800","1992319800")</f>
        <v>1992319800</v>
      </c>
      <c r="E34757" s="60" t="s">
        <v>31130</v>
      </c>
      <c r="F34757" s="61"/>
      <c r="G34757" s="61"/>
      <c r="H34757" s="61"/>
    </row>
    <row r="34758" spans="2:8" x14ac:dyDescent="0.25">
      <c r="B34758" s="60" t="s">
        <v>8418</v>
      </c>
      <c r="C34758" s="60" t="s">
        <v>8419</v>
      </c>
      <c r="D34758" s="60" t="str">
        <f>HYPERLINK("https://rhld.insurance.arkansas.gov/NPILookup?Npi=1992320238","1992320238")</f>
        <v>1992320238</v>
      </c>
      <c r="E34758" s="60" t="s">
        <v>32571</v>
      </c>
      <c r="F34758" s="61"/>
      <c r="G34758" s="61"/>
      <c r="H34758" s="61"/>
    </row>
    <row r="34759" spans="2:8" x14ac:dyDescent="0.25">
      <c r="B34759" s="60" t="s">
        <v>8418</v>
      </c>
      <c r="C34759" s="60" t="s">
        <v>8419</v>
      </c>
      <c r="D34759" s="60" t="str">
        <f>HYPERLINK("https://rhld.insurance.arkansas.gov/NPILookup?Npi=1992351449","1992351449")</f>
        <v>1992351449</v>
      </c>
      <c r="E34759" s="60" t="s">
        <v>31131</v>
      </c>
      <c r="F34759" s="61"/>
      <c r="G34759" s="61"/>
      <c r="H34759" s="61"/>
    </row>
    <row r="34760" spans="2:8" x14ac:dyDescent="0.25">
      <c r="B34760" s="60" t="s">
        <v>8418</v>
      </c>
      <c r="C34760" s="60" t="s">
        <v>8419</v>
      </c>
      <c r="D34760" s="60" t="str">
        <f>HYPERLINK("https://rhld.insurance.arkansas.gov/NPILookup?Npi=1992351753","1992351753")</f>
        <v>1992351753</v>
      </c>
      <c r="E34760" s="60" t="s">
        <v>1979</v>
      </c>
      <c r="F34760" s="61"/>
      <c r="G34760" s="61"/>
      <c r="H34760" s="61"/>
    </row>
    <row r="34761" spans="2:8" x14ac:dyDescent="0.25">
      <c r="B34761" s="60" t="s">
        <v>8418</v>
      </c>
      <c r="C34761" s="60" t="s">
        <v>8419</v>
      </c>
      <c r="D34761" s="60" t="str">
        <f>HYPERLINK("https://rhld.insurance.arkansas.gov/NPILookup?Npi=1992352512","1992352512")</f>
        <v>1992352512</v>
      </c>
      <c r="E34761" s="60" t="s">
        <v>6083</v>
      </c>
      <c r="F34761" s="61"/>
      <c r="G34761" s="61"/>
      <c r="H34761" s="61"/>
    </row>
    <row r="34762" spans="2:8" x14ac:dyDescent="0.25">
      <c r="B34762" s="60" t="s">
        <v>8418</v>
      </c>
      <c r="C34762" s="60" t="s">
        <v>8419</v>
      </c>
      <c r="D34762" s="60" t="str">
        <f>HYPERLINK("https://rhld.insurance.arkansas.gov/NPILookup?Npi=1992378160","1992378160")</f>
        <v>1992378160</v>
      </c>
      <c r="E34762" s="60" t="s">
        <v>31132</v>
      </c>
      <c r="F34762" s="61"/>
      <c r="G34762" s="61"/>
      <c r="H34762" s="61"/>
    </row>
    <row r="34763" spans="2:8" x14ac:dyDescent="0.25">
      <c r="B34763" s="60" t="s">
        <v>8418</v>
      </c>
      <c r="C34763" s="60" t="s">
        <v>8419</v>
      </c>
      <c r="D34763" s="60" t="str">
        <f>HYPERLINK("https://rhld.insurance.arkansas.gov/NPILookup?Npi=1992459192","1992459192")</f>
        <v>1992459192</v>
      </c>
      <c r="E34763" s="60" t="s">
        <v>14293</v>
      </c>
      <c r="F34763" s="61"/>
      <c r="G34763" s="61"/>
      <c r="H34763" s="61"/>
    </row>
    <row r="34764" spans="2:8" x14ac:dyDescent="0.25">
      <c r="B34764" s="60" t="s">
        <v>8418</v>
      </c>
      <c r="C34764" s="60" t="s">
        <v>8419</v>
      </c>
      <c r="D34764" s="60" t="str">
        <f>HYPERLINK("https://rhld.insurance.arkansas.gov/NPILookup?Npi=1992463939","1992463939")</f>
        <v>1992463939</v>
      </c>
      <c r="E34764" s="60" t="s">
        <v>14258</v>
      </c>
      <c r="F34764" s="61"/>
      <c r="G34764" s="61"/>
      <c r="H34764" s="61"/>
    </row>
    <row r="34765" spans="2:8" x14ac:dyDescent="0.25">
      <c r="B34765" s="60" t="s">
        <v>8418</v>
      </c>
      <c r="C34765" s="60" t="s">
        <v>8419</v>
      </c>
      <c r="D34765" s="60" t="str">
        <f>HYPERLINK("https://rhld.insurance.arkansas.gov/NPILookup?Npi=1992480875","1992480875")</f>
        <v>1992480875</v>
      </c>
      <c r="E34765" s="60" t="s">
        <v>31133</v>
      </c>
      <c r="F34765" s="61"/>
      <c r="G34765" s="61"/>
      <c r="H34765" s="61"/>
    </row>
    <row r="34766" spans="2:8" x14ac:dyDescent="0.25">
      <c r="B34766" s="60" t="s">
        <v>8418</v>
      </c>
      <c r="C34766" s="60" t="s">
        <v>8419</v>
      </c>
      <c r="D34766" s="60" t="str">
        <f>HYPERLINK("https://rhld.insurance.arkansas.gov/NPILookup?Npi=1992834675","1992834675")</f>
        <v>1992834675</v>
      </c>
      <c r="E34766" s="60" t="s">
        <v>31134</v>
      </c>
      <c r="F34766" s="61"/>
      <c r="G34766" s="61"/>
      <c r="H34766" s="61"/>
    </row>
    <row r="34767" spans="2:8" x14ac:dyDescent="0.25">
      <c r="B34767" s="60" t="s">
        <v>8418</v>
      </c>
      <c r="C34767" s="60" t="s">
        <v>8419</v>
      </c>
      <c r="D34767" s="60" t="str">
        <f>HYPERLINK("https://rhld.insurance.arkansas.gov/NPILookup?Npi=1992837785","1992837785")</f>
        <v>1992837785</v>
      </c>
      <c r="E34767" s="60" t="s">
        <v>8863</v>
      </c>
      <c r="F34767" s="61"/>
      <c r="G34767" s="61"/>
      <c r="H34767" s="61"/>
    </row>
    <row r="34768" spans="2:8" x14ac:dyDescent="0.25">
      <c r="B34768" s="60" t="s">
        <v>8864</v>
      </c>
      <c r="C34768" s="60" t="s">
        <v>8865</v>
      </c>
      <c r="D34768" s="60" t="str">
        <f>HYPERLINK("https://rhld.insurance.arkansas.gov/NPILookup?Npi=1003881749","1003881749")</f>
        <v>1003881749</v>
      </c>
      <c r="E34768" s="60" t="s">
        <v>31135</v>
      </c>
      <c r="F34768" s="61"/>
      <c r="G34768" s="61"/>
      <c r="H34768" s="61"/>
    </row>
    <row r="34769" spans="2:8" x14ac:dyDescent="0.25">
      <c r="B34769" s="60" t="s">
        <v>8864</v>
      </c>
      <c r="C34769" s="60" t="s">
        <v>8865</v>
      </c>
      <c r="D34769" s="60" t="str">
        <f>HYPERLINK("https://rhld.insurance.arkansas.gov/NPILookup?Npi=1003985235","1003985235")</f>
        <v>1003985235</v>
      </c>
      <c r="E34769" s="60" t="s">
        <v>31136</v>
      </c>
      <c r="F34769" s="61"/>
      <c r="G34769" s="61"/>
      <c r="H34769" s="61"/>
    </row>
    <row r="34770" spans="2:8" x14ac:dyDescent="0.25">
      <c r="B34770" s="60" t="s">
        <v>8864</v>
      </c>
      <c r="C34770" s="60" t="s">
        <v>8865</v>
      </c>
      <c r="D34770" s="60" t="str">
        <f>HYPERLINK("https://rhld.insurance.arkansas.gov/NPILookup?Npi=1013909316","1013909316")</f>
        <v>1013909316</v>
      </c>
      <c r="E34770" s="60" t="s">
        <v>14294</v>
      </c>
      <c r="F34770" s="61"/>
      <c r="G34770" s="61"/>
      <c r="H34770" s="61"/>
    </row>
    <row r="34771" spans="2:8" x14ac:dyDescent="0.25">
      <c r="B34771" s="60" t="s">
        <v>8864</v>
      </c>
      <c r="C34771" s="60" t="s">
        <v>8865</v>
      </c>
      <c r="D34771" s="60" t="str">
        <f>HYPERLINK("https://rhld.insurance.arkansas.gov/NPILookup?Npi=1013936749","1013936749")</f>
        <v>1013936749</v>
      </c>
      <c r="E34771" s="60" t="s">
        <v>31137</v>
      </c>
      <c r="F34771" s="61"/>
      <c r="G34771" s="61"/>
      <c r="H34771" s="61"/>
    </row>
    <row r="34772" spans="2:8" x14ac:dyDescent="0.25">
      <c r="B34772" s="60" t="s">
        <v>8864</v>
      </c>
      <c r="C34772" s="60" t="s">
        <v>8865</v>
      </c>
      <c r="D34772" s="60" t="str">
        <f>HYPERLINK("https://rhld.insurance.arkansas.gov/NPILookup?Npi=1013983741","1013983741")</f>
        <v>1013983741</v>
      </c>
      <c r="E34772" s="60" t="s">
        <v>3642</v>
      </c>
      <c r="F34772" s="61"/>
      <c r="G34772" s="61"/>
      <c r="H34772" s="61"/>
    </row>
    <row r="34773" spans="2:8" x14ac:dyDescent="0.25">
      <c r="B34773" s="60" t="s">
        <v>8864</v>
      </c>
      <c r="C34773" s="60" t="s">
        <v>8865</v>
      </c>
      <c r="D34773" s="60" t="str">
        <f>HYPERLINK("https://rhld.insurance.arkansas.gov/NPILookup?Npi=1023024114","1023024114")</f>
        <v>1023024114</v>
      </c>
      <c r="E34773" s="60" t="s">
        <v>8866</v>
      </c>
      <c r="F34773" s="61"/>
      <c r="G34773" s="61"/>
      <c r="H34773" s="61"/>
    </row>
    <row r="34774" spans="2:8" x14ac:dyDescent="0.25">
      <c r="B34774" s="60" t="s">
        <v>8864</v>
      </c>
      <c r="C34774" s="60" t="s">
        <v>8865</v>
      </c>
      <c r="D34774" s="60" t="str">
        <f>HYPERLINK("https://rhld.insurance.arkansas.gov/NPILookup?Npi=1023508231","1023508231")</f>
        <v>1023508231</v>
      </c>
      <c r="E34774" s="60" t="s">
        <v>8867</v>
      </c>
      <c r="F34774" s="61"/>
      <c r="G34774" s="61"/>
      <c r="H34774" s="61"/>
    </row>
    <row r="34775" spans="2:8" x14ac:dyDescent="0.25">
      <c r="B34775" s="60" t="s">
        <v>8864</v>
      </c>
      <c r="C34775" s="60" t="s">
        <v>8865</v>
      </c>
      <c r="D34775" s="60" t="str">
        <f>HYPERLINK("https://rhld.insurance.arkansas.gov/NPILookup?Npi=1033258074","1033258074")</f>
        <v>1033258074</v>
      </c>
      <c r="E34775" s="60" t="s">
        <v>31138</v>
      </c>
      <c r="F34775" s="61"/>
      <c r="G34775" s="61"/>
      <c r="H34775" s="61"/>
    </row>
    <row r="34776" spans="2:8" x14ac:dyDescent="0.25">
      <c r="B34776" s="60" t="s">
        <v>8864</v>
      </c>
      <c r="C34776" s="60" t="s">
        <v>8865</v>
      </c>
      <c r="D34776" s="60" t="str">
        <f>HYPERLINK("https://rhld.insurance.arkansas.gov/NPILookup?Npi=1043573355","1043573355")</f>
        <v>1043573355</v>
      </c>
      <c r="E34776" s="60" t="s">
        <v>997</v>
      </c>
      <c r="F34776" s="61"/>
      <c r="G34776" s="61"/>
      <c r="H34776" s="61"/>
    </row>
    <row r="34777" spans="2:8" x14ac:dyDescent="0.25">
      <c r="B34777" s="60" t="s">
        <v>8864</v>
      </c>
      <c r="C34777" s="60" t="s">
        <v>8865</v>
      </c>
      <c r="D34777" s="60" t="str">
        <f>HYPERLINK("https://rhld.insurance.arkansas.gov/NPILookup?Npi=1053381467","1053381467")</f>
        <v>1053381467</v>
      </c>
      <c r="E34777" s="60" t="s">
        <v>10599</v>
      </c>
      <c r="F34777" s="61"/>
      <c r="G34777" s="61"/>
      <c r="H34777" s="61"/>
    </row>
    <row r="34778" spans="2:8" x14ac:dyDescent="0.25">
      <c r="B34778" s="60" t="s">
        <v>8864</v>
      </c>
      <c r="C34778" s="60" t="s">
        <v>8865</v>
      </c>
      <c r="D34778" s="60" t="str">
        <f>HYPERLINK("https://rhld.insurance.arkansas.gov/NPILookup?Npi=1053383174","1053383174")</f>
        <v>1053383174</v>
      </c>
      <c r="E34778" s="60" t="s">
        <v>14295</v>
      </c>
      <c r="F34778" s="61"/>
      <c r="G34778" s="61"/>
      <c r="H34778" s="61"/>
    </row>
    <row r="34779" spans="2:8" x14ac:dyDescent="0.25">
      <c r="B34779" s="60" t="s">
        <v>8864</v>
      </c>
      <c r="C34779" s="60" t="s">
        <v>8865</v>
      </c>
      <c r="D34779" s="60" t="str">
        <f>HYPERLINK("https://rhld.insurance.arkansas.gov/NPILookup?Npi=1053491811","1053491811")</f>
        <v>1053491811</v>
      </c>
      <c r="E34779" s="60" t="s">
        <v>10314</v>
      </c>
      <c r="F34779" s="61"/>
      <c r="G34779" s="61"/>
      <c r="H34779" s="61"/>
    </row>
    <row r="34780" spans="2:8" x14ac:dyDescent="0.25">
      <c r="B34780" s="60" t="s">
        <v>8864</v>
      </c>
      <c r="C34780" s="60" t="s">
        <v>8865</v>
      </c>
      <c r="D34780" s="60" t="str">
        <f>HYPERLINK("https://rhld.insurance.arkansas.gov/NPILookup?Npi=1073682035","1073682035")</f>
        <v>1073682035</v>
      </c>
      <c r="E34780" s="60" t="s">
        <v>31139</v>
      </c>
      <c r="F34780" s="61"/>
      <c r="G34780" s="61"/>
      <c r="H34780" s="61"/>
    </row>
    <row r="34781" spans="2:8" x14ac:dyDescent="0.25">
      <c r="B34781" s="60" t="s">
        <v>8864</v>
      </c>
      <c r="C34781" s="60" t="s">
        <v>8865</v>
      </c>
      <c r="D34781" s="60" t="str">
        <f>HYPERLINK("https://rhld.insurance.arkansas.gov/NPILookup?Npi=1093732646","1093732646")</f>
        <v>1093732646</v>
      </c>
      <c r="E34781" s="60" t="s">
        <v>31140</v>
      </c>
      <c r="F34781" s="61"/>
      <c r="G34781" s="61"/>
      <c r="H34781" s="61"/>
    </row>
    <row r="34782" spans="2:8" x14ac:dyDescent="0.25">
      <c r="B34782" s="60" t="s">
        <v>8864</v>
      </c>
      <c r="C34782" s="60" t="s">
        <v>8865</v>
      </c>
      <c r="D34782" s="60" t="str">
        <f>HYPERLINK("https://rhld.insurance.arkansas.gov/NPILookup?Npi=1093737538","1093737538")</f>
        <v>1093737538</v>
      </c>
      <c r="E34782" s="60" t="s">
        <v>14296</v>
      </c>
      <c r="F34782" s="61"/>
      <c r="G34782" s="61"/>
      <c r="H34782" s="61"/>
    </row>
    <row r="34783" spans="2:8" x14ac:dyDescent="0.25">
      <c r="B34783" s="60" t="s">
        <v>8864</v>
      </c>
      <c r="C34783" s="60" t="s">
        <v>8865</v>
      </c>
      <c r="D34783" s="60" t="str">
        <f>HYPERLINK("https://rhld.insurance.arkansas.gov/NPILookup?Npi=1104811876","1104811876")</f>
        <v>1104811876</v>
      </c>
      <c r="E34783" s="60" t="s">
        <v>31141</v>
      </c>
      <c r="F34783" s="61"/>
      <c r="G34783" s="61"/>
      <c r="H34783" s="61"/>
    </row>
    <row r="34784" spans="2:8" x14ac:dyDescent="0.25">
      <c r="B34784" s="60" t="s">
        <v>8864</v>
      </c>
      <c r="C34784" s="60" t="s">
        <v>8865</v>
      </c>
      <c r="D34784" s="60" t="str">
        <f>HYPERLINK("https://rhld.insurance.arkansas.gov/NPILookup?Npi=1124085634","1124085634")</f>
        <v>1124085634</v>
      </c>
      <c r="E34784" s="60" t="s">
        <v>14297</v>
      </c>
      <c r="F34784" s="61"/>
      <c r="G34784" s="61"/>
      <c r="H34784" s="61"/>
    </row>
    <row r="34785" spans="2:8" x14ac:dyDescent="0.25">
      <c r="B34785" s="60" t="s">
        <v>8864</v>
      </c>
      <c r="C34785" s="60" t="s">
        <v>8865</v>
      </c>
      <c r="D34785" s="60" t="str">
        <f>HYPERLINK("https://rhld.insurance.arkansas.gov/NPILookup?Npi=1124218664","1124218664")</f>
        <v>1124218664</v>
      </c>
      <c r="E34785" s="60" t="s">
        <v>8868</v>
      </c>
      <c r="F34785" s="61"/>
      <c r="G34785" s="61"/>
      <c r="H34785" s="61"/>
    </row>
    <row r="34786" spans="2:8" x14ac:dyDescent="0.25">
      <c r="B34786" s="60" t="s">
        <v>8864</v>
      </c>
      <c r="C34786" s="60" t="s">
        <v>8865</v>
      </c>
      <c r="D34786" s="60" t="str">
        <f>HYPERLINK("https://rhld.insurance.arkansas.gov/NPILookup?Npi=1134236276","1134236276")</f>
        <v>1134236276</v>
      </c>
      <c r="E34786" s="60" t="s">
        <v>31142</v>
      </c>
      <c r="F34786" s="61"/>
      <c r="G34786" s="61"/>
      <c r="H34786" s="61"/>
    </row>
    <row r="34787" spans="2:8" x14ac:dyDescent="0.25">
      <c r="B34787" s="60" t="s">
        <v>8864</v>
      </c>
      <c r="C34787" s="60" t="s">
        <v>8865</v>
      </c>
      <c r="D34787" s="60" t="str">
        <f>HYPERLINK("https://rhld.insurance.arkansas.gov/NPILookup?Npi=1144431883","1144431883")</f>
        <v>1144431883</v>
      </c>
      <c r="E34787" s="60" t="s">
        <v>3644</v>
      </c>
      <c r="F34787" s="61"/>
      <c r="G34787" s="61"/>
      <c r="H34787" s="61"/>
    </row>
    <row r="34788" spans="2:8" x14ac:dyDescent="0.25">
      <c r="B34788" s="60" t="s">
        <v>8864</v>
      </c>
      <c r="C34788" s="60" t="s">
        <v>8865</v>
      </c>
      <c r="D34788" s="60" t="str">
        <f>HYPERLINK("https://rhld.insurance.arkansas.gov/NPILookup?Npi=1144662875","1144662875")</f>
        <v>1144662875</v>
      </c>
      <c r="E34788" s="60" t="s">
        <v>14298</v>
      </c>
      <c r="F34788" s="61"/>
      <c r="G34788" s="61"/>
      <c r="H34788" s="61"/>
    </row>
    <row r="34789" spans="2:8" x14ac:dyDescent="0.25">
      <c r="B34789" s="60" t="s">
        <v>8864</v>
      </c>
      <c r="C34789" s="60" t="s">
        <v>8865</v>
      </c>
      <c r="D34789" s="60" t="str">
        <f>HYPERLINK("https://rhld.insurance.arkansas.gov/NPILookup?Npi=1154855401","1154855401")</f>
        <v>1154855401</v>
      </c>
      <c r="E34789" s="60" t="s">
        <v>31143</v>
      </c>
      <c r="F34789" s="61"/>
      <c r="G34789" s="61"/>
      <c r="H34789" s="61"/>
    </row>
    <row r="34790" spans="2:8" x14ac:dyDescent="0.25">
      <c r="B34790" s="60" t="s">
        <v>8864</v>
      </c>
      <c r="C34790" s="60" t="s">
        <v>8865</v>
      </c>
      <c r="D34790" s="60" t="str">
        <f>HYPERLINK("https://rhld.insurance.arkansas.gov/NPILookup?Npi=1164427621","1164427621")</f>
        <v>1164427621</v>
      </c>
      <c r="E34790" s="60" t="s">
        <v>2575</v>
      </c>
      <c r="F34790" s="61"/>
      <c r="G34790" s="61"/>
      <c r="H34790" s="61"/>
    </row>
    <row r="34791" spans="2:8" x14ac:dyDescent="0.25">
      <c r="B34791" s="60" t="s">
        <v>8864</v>
      </c>
      <c r="C34791" s="60" t="s">
        <v>8865</v>
      </c>
      <c r="D34791" s="60" t="str">
        <f>HYPERLINK("https://rhld.insurance.arkansas.gov/NPILookup?Npi=1164462412","1164462412")</f>
        <v>1164462412</v>
      </c>
      <c r="E34791" s="60" t="s">
        <v>1168</v>
      </c>
      <c r="F34791" s="61"/>
      <c r="G34791" s="61"/>
      <c r="H34791" s="61"/>
    </row>
    <row r="34792" spans="2:8" x14ac:dyDescent="0.25">
      <c r="B34792" s="60" t="s">
        <v>8864</v>
      </c>
      <c r="C34792" s="60" t="s">
        <v>8865</v>
      </c>
      <c r="D34792" s="60" t="str">
        <f>HYPERLINK("https://rhld.insurance.arkansas.gov/NPILookup?Npi=1184119455","1184119455")</f>
        <v>1184119455</v>
      </c>
      <c r="E34792" s="60" t="s">
        <v>31144</v>
      </c>
      <c r="F34792" s="61"/>
      <c r="G34792" s="61"/>
      <c r="H34792" s="61"/>
    </row>
    <row r="34793" spans="2:8" x14ac:dyDescent="0.25">
      <c r="B34793" s="60" t="s">
        <v>8864</v>
      </c>
      <c r="C34793" s="60" t="s">
        <v>8865</v>
      </c>
      <c r="D34793" s="60" t="str">
        <f>HYPERLINK("https://rhld.insurance.arkansas.gov/NPILookup?Npi=1184609729","1184609729")</f>
        <v>1184609729</v>
      </c>
      <c r="E34793" s="60" t="s">
        <v>893</v>
      </c>
      <c r="F34793" s="61"/>
      <c r="G34793" s="61"/>
      <c r="H34793" s="61"/>
    </row>
    <row r="34794" spans="2:8" x14ac:dyDescent="0.25">
      <c r="B34794" s="60" t="s">
        <v>8864</v>
      </c>
      <c r="C34794" s="60" t="s">
        <v>8865</v>
      </c>
      <c r="D34794" s="60" t="str">
        <f>HYPERLINK("https://rhld.insurance.arkansas.gov/NPILookup?Npi=1184739401","1184739401")</f>
        <v>1184739401</v>
      </c>
      <c r="E34794" s="60" t="s">
        <v>31145</v>
      </c>
      <c r="F34794" s="61"/>
      <c r="G34794" s="61"/>
      <c r="H34794" s="61"/>
    </row>
    <row r="34795" spans="2:8" x14ac:dyDescent="0.25">
      <c r="B34795" s="60" t="s">
        <v>8864</v>
      </c>
      <c r="C34795" s="60" t="s">
        <v>8865</v>
      </c>
      <c r="D34795" s="60" t="str">
        <f>HYPERLINK("https://rhld.insurance.arkansas.gov/NPILookup?Npi=1184818551","1184818551")</f>
        <v>1184818551</v>
      </c>
      <c r="E34795" s="60" t="s">
        <v>31146</v>
      </c>
      <c r="F34795" s="61"/>
      <c r="G34795" s="61"/>
      <c r="H34795" s="61"/>
    </row>
    <row r="34796" spans="2:8" x14ac:dyDescent="0.25">
      <c r="B34796" s="60" t="s">
        <v>8864</v>
      </c>
      <c r="C34796" s="60" t="s">
        <v>8865</v>
      </c>
      <c r="D34796" s="60" t="str">
        <f>HYPERLINK("https://rhld.insurance.arkansas.gov/NPILookup?Npi=1194921486","1194921486")</f>
        <v>1194921486</v>
      </c>
      <c r="E34796" s="60" t="s">
        <v>2321</v>
      </c>
      <c r="F34796" s="61"/>
      <c r="G34796" s="61"/>
      <c r="H34796" s="61"/>
    </row>
    <row r="34797" spans="2:8" x14ac:dyDescent="0.25">
      <c r="B34797" s="60" t="s">
        <v>8864</v>
      </c>
      <c r="C34797" s="60" t="s">
        <v>8865</v>
      </c>
      <c r="D34797" s="60" t="str">
        <f>HYPERLINK("https://rhld.insurance.arkansas.gov/NPILookup?Npi=1205039807","1205039807")</f>
        <v>1205039807</v>
      </c>
      <c r="E34797" s="60" t="s">
        <v>31147</v>
      </c>
      <c r="F34797" s="61"/>
      <c r="G34797" s="61"/>
      <c r="H34797" s="61"/>
    </row>
    <row r="34798" spans="2:8" x14ac:dyDescent="0.25">
      <c r="B34798" s="60" t="s">
        <v>8864</v>
      </c>
      <c r="C34798" s="60" t="s">
        <v>8865</v>
      </c>
      <c r="D34798" s="60" t="str">
        <f>HYPERLINK("https://rhld.insurance.arkansas.gov/NPILookup?Npi=1205281912","1205281912")</f>
        <v>1205281912</v>
      </c>
      <c r="E34798" s="60" t="s">
        <v>14299</v>
      </c>
      <c r="F34798" s="61"/>
      <c r="G34798" s="61"/>
      <c r="H34798" s="61"/>
    </row>
    <row r="34799" spans="2:8" x14ac:dyDescent="0.25">
      <c r="B34799" s="60" t="s">
        <v>8864</v>
      </c>
      <c r="C34799" s="60" t="s">
        <v>8865</v>
      </c>
      <c r="D34799" s="60" t="str">
        <f>HYPERLINK("https://rhld.insurance.arkansas.gov/NPILookup?Npi=1205834074","1205834074")</f>
        <v>1205834074</v>
      </c>
      <c r="E34799" s="60" t="s">
        <v>18385</v>
      </c>
      <c r="F34799" s="61"/>
      <c r="G34799" s="61"/>
      <c r="H34799" s="61"/>
    </row>
    <row r="34800" spans="2:8" x14ac:dyDescent="0.25">
      <c r="B34800" s="60" t="s">
        <v>8864</v>
      </c>
      <c r="C34800" s="60" t="s">
        <v>8865</v>
      </c>
      <c r="D34800" s="60" t="str">
        <f>HYPERLINK("https://rhld.insurance.arkansas.gov/NPILookup?Npi=1205975224","1205975224")</f>
        <v>1205975224</v>
      </c>
      <c r="E34800" s="60" t="s">
        <v>31148</v>
      </c>
      <c r="F34800" s="61"/>
      <c r="G34800" s="61"/>
      <c r="H34800" s="61"/>
    </row>
    <row r="34801" spans="2:8" x14ac:dyDescent="0.25">
      <c r="B34801" s="60" t="s">
        <v>8864</v>
      </c>
      <c r="C34801" s="60" t="s">
        <v>8865</v>
      </c>
      <c r="D34801" s="60" t="str">
        <f>HYPERLINK("https://rhld.insurance.arkansas.gov/NPILookup?Npi=1215370861","1215370861")</f>
        <v>1215370861</v>
      </c>
      <c r="E34801" s="60" t="s">
        <v>31149</v>
      </c>
      <c r="F34801" s="61"/>
      <c r="G34801" s="61"/>
      <c r="H34801" s="61"/>
    </row>
    <row r="34802" spans="2:8" x14ac:dyDescent="0.25">
      <c r="B34802" s="60" t="s">
        <v>8864</v>
      </c>
      <c r="C34802" s="60" t="s">
        <v>8865</v>
      </c>
      <c r="D34802" s="60" t="str">
        <f>HYPERLINK("https://rhld.insurance.arkansas.gov/NPILookup?Npi=1235164286","1235164286")</f>
        <v>1235164286</v>
      </c>
      <c r="E34802" s="60" t="s">
        <v>31150</v>
      </c>
      <c r="F34802" s="61"/>
      <c r="G34802" s="61"/>
      <c r="H34802" s="61"/>
    </row>
    <row r="34803" spans="2:8" x14ac:dyDescent="0.25">
      <c r="B34803" s="60" t="s">
        <v>8864</v>
      </c>
      <c r="C34803" s="60" t="s">
        <v>8865</v>
      </c>
      <c r="D34803" s="60" t="str">
        <f>HYPERLINK("https://rhld.insurance.arkansas.gov/NPILookup?Npi=1245222553","1245222553")</f>
        <v>1245222553</v>
      </c>
      <c r="E34803" s="60" t="s">
        <v>31151</v>
      </c>
      <c r="F34803" s="61"/>
      <c r="G34803" s="61"/>
      <c r="H34803" s="61"/>
    </row>
    <row r="34804" spans="2:8" x14ac:dyDescent="0.25">
      <c r="B34804" s="60" t="s">
        <v>8864</v>
      </c>
      <c r="C34804" s="60" t="s">
        <v>8865</v>
      </c>
      <c r="D34804" s="60" t="str">
        <f>HYPERLINK("https://rhld.insurance.arkansas.gov/NPILookup?Npi=1245322957","1245322957")</f>
        <v>1245322957</v>
      </c>
      <c r="E34804" s="60" t="s">
        <v>31152</v>
      </c>
      <c r="F34804" s="61"/>
      <c r="G34804" s="61"/>
      <c r="H34804" s="61"/>
    </row>
    <row r="34805" spans="2:8" x14ac:dyDescent="0.25">
      <c r="B34805" s="60" t="s">
        <v>8864</v>
      </c>
      <c r="C34805" s="60" t="s">
        <v>8865</v>
      </c>
      <c r="D34805" s="60" t="str">
        <f>HYPERLINK("https://rhld.insurance.arkansas.gov/NPILookup?Npi=1245763325","1245763325")</f>
        <v>1245763325</v>
      </c>
      <c r="E34805" s="60" t="s">
        <v>4346</v>
      </c>
      <c r="F34805" s="61"/>
      <c r="G34805" s="61"/>
      <c r="H34805" s="61"/>
    </row>
    <row r="34806" spans="2:8" x14ac:dyDescent="0.25">
      <c r="B34806" s="60" t="s">
        <v>8864</v>
      </c>
      <c r="C34806" s="60" t="s">
        <v>8865</v>
      </c>
      <c r="D34806" s="60" t="str">
        <f>HYPERLINK("https://rhld.insurance.arkansas.gov/NPILookup?Npi=1255351367","1255351367")</f>
        <v>1255351367</v>
      </c>
      <c r="E34806" s="60" t="s">
        <v>31153</v>
      </c>
      <c r="F34806" s="61"/>
      <c r="G34806" s="61"/>
      <c r="H34806" s="61"/>
    </row>
    <row r="34807" spans="2:8" x14ac:dyDescent="0.25">
      <c r="B34807" s="60" t="s">
        <v>8864</v>
      </c>
      <c r="C34807" s="60" t="s">
        <v>8865</v>
      </c>
      <c r="D34807" s="60" t="str">
        <f>HYPERLINK("https://rhld.insurance.arkansas.gov/NPILookup?Npi=1255659082","1255659082")</f>
        <v>1255659082</v>
      </c>
      <c r="E34807" s="60" t="s">
        <v>119</v>
      </c>
      <c r="F34807" s="61"/>
      <c r="G34807" s="61"/>
      <c r="H34807" s="61"/>
    </row>
    <row r="34808" spans="2:8" x14ac:dyDescent="0.25">
      <c r="B34808" s="60" t="s">
        <v>8864</v>
      </c>
      <c r="C34808" s="60" t="s">
        <v>8865</v>
      </c>
      <c r="D34808" s="60" t="str">
        <f>HYPERLINK("https://rhld.insurance.arkansas.gov/NPILookup?Npi=1275508897","1275508897")</f>
        <v>1275508897</v>
      </c>
      <c r="E34808" s="60" t="s">
        <v>10618</v>
      </c>
      <c r="F34808" s="61"/>
      <c r="G34808" s="61"/>
      <c r="H34808" s="61"/>
    </row>
    <row r="34809" spans="2:8" x14ac:dyDescent="0.25">
      <c r="B34809" s="60" t="s">
        <v>8864</v>
      </c>
      <c r="C34809" s="60" t="s">
        <v>8865</v>
      </c>
      <c r="D34809" s="60" t="str">
        <f>HYPERLINK("https://rhld.insurance.arkansas.gov/NPILookup?Npi=1275508939","1275508939")</f>
        <v>1275508939</v>
      </c>
      <c r="E34809" s="60" t="s">
        <v>31154</v>
      </c>
      <c r="F34809" s="61"/>
      <c r="G34809" s="61"/>
      <c r="H34809" s="61"/>
    </row>
    <row r="34810" spans="2:8" x14ac:dyDescent="0.25">
      <c r="B34810" s="60" t="s">
        <v>8864</v>
      </c>
      <c r="C34810" s="60" t="s">
        <v>8865</v>
      </c>
      <c r="D34810" s="60" t="str">
        <f>HYPERLINK("https://rhld.insurance.arkansas.gov/NPILookup?Npi=1275533481","1275533481")</f>
        <v>1275533481</v>
      </c>
      <c r="E34810" s="60" t="s">
        <v>3647</v>
      </c>
      <c r="F34810" s="61"/>
      <c r="G34810" s="61"/>
      <c r="H34810" s="61"/>
    </row>
    <row r="34811" spans="2:8" x14ac:dyDescent="0.25">
      <c r="B34811" s="60" t="s">
        <v>8864</v>
      </c>
      <c r="C34811" s="60" t="s">
        <v>8865</v>
      </c>
      <c r="D34811" s="60" t="str">
        <f>HYPERLINK("https://rhld.insurance.arkansas.gov/NPILookup?Npi=1275613408","1275613408")</f>
        <v>1275613408</v>
      </c>
      <c r="E34811" s="60" t="s">
        <v>31155</v>
      </c>
      <c r="F34811" s="61"/>
      <c r="G34811" s="61"/>
      <c r="H34811" s="61"/>
    </row>
    <row r="34812" spans="2:8" x14ac:dyDescent="0.25">
      <c r="B34812" s="60" t="s">
        <v>8864</v>
      </c>
      <c r="C34812" s="60" t="s">
        <v>8865</v>
      </c>
      <c r="D34812" s="60" t="str">
        <f>HYPERLINK("https://rhld.insurance.arkansas.gov/NPILookup?Npi=1275654246","1275654246")</f>
        <v>1275654246</v>
      </c>
      <c r="E34812" s="60" t="s">
        <v>14300</v>
      </c>
      <c r="F34812" s="61"/>
      <c r="G34812" s="61"/>
      <c r="H34812" s="61"/>
    </row>
    <row r="34813" spans="2:8" x14ac:dyDescent="0.25">
      <c r="B34813" s="60" t="s">
        <v>8864</v>
      </c>
      <c r="C34813" s="60" t="s">
        <v>8865</v>
      </c>
      <c r="D34813" s="60" t="str">
        <f>HYPERLINK("https://rhld.insurance.arkansas.gov/NPILookup?Npi=1295122315","1295122315")</f>
        <v>1295122315</v>
      </c>
      <c r="E34813" s="60" t="s">
        <v>31156</v>
      </c>
      <c r="F34813" s="61"/>
      <c r="G34813" s="61"/>
      <c r="H34813" s="61"/>
    </row>
    <row r="34814" spans="2:8" x14ac:dyDescent="0.25">
      <c r="B34814" s="60" t="s">
        <v>8864</v>
      </c>
      <c r="C34814" s="60" t="s">
        <v>8865</v>
      </c>
      <c r="D34814" s="60" t="str">
        <f>HYPERLINK("https://rhld.insurance.arkansas.gov/NPILookup?Npi=1295259406","1295259406")</f>
        <v>1295259406</v>
      </c>
      <c r="E34814" s="60" t="s">
        <v>2322</v>
      </c>
      <c r="F34814" s="61"/>
      <c r="G34814" s="61"/>
      <c r="H34814" s="61"/>
    </row>
    <row r="34815" spans="2:8" x14ac:dyDescent="0.25">
      <c r="B34815" s="60" t="s">
        <v>8864</v>
      </c>
      <c r="C34815" s="60" t="s">
        <v>8865</v>
      </c>
      <c r="D34815" s="60" t="str">
        <f>HYPERLINK("https://rhld.insurance.arkansas.gov/NPILookup?Npi=1295757607","1295757607")</f>
        <v>1295757607</v>
      </c>
      <c r="E34815" s="60" t="s">
        <v>31157</v>
      </c>
      <c r="F34815" s="61"/>
      <c r="G34815" s="61"/>
      <c r="H34815" s="61"/>
    </row>
    <row r="34816" spans="2:8" x14ac:dyDescent="0.25">
      <c r="B34816" s="60" t="s">
        <v>8864</v>
      </c>
      <c r="C34816" s="60" t="s">
        <v>8865</v>
      </c>
      <c r="D34816" s="60" t="str">
        <f>HYPERLINK("https://rhld.insurance.arkansas.gov/NPILookup?Npi=1295762797","1295762797")</f>
        <v>1295762797</v>
      </c>
      <c r="E34816" s="60" t="s">
        <v>31158</v>
      </c>
      <c r="F34816" s="61"/>
      <c r="G34816" s="61"/>
      <c r="H34816" s="61"/>
    </row>
    <row r="34817" spans="2:8" x14ac:dyDescent="0.25">
      <c r="B34817" s="60" t="s">
        <v>8864</v>
      </c>
      <c r="C34817" s="60" t="s">
        <v>8865</v>
      </c>
      <c r="D34817" s="60" t="str">
        <f>HYPERLINK("https://rhld.insurance.arkansas.gov/NPILookup?Npi=1295840510","1295840510")</f>
        <v>1295840510</v>
      </c>
      <c r="E34817" s="60" t="s">
        <v>18409</v>
      </c>
      <c r="F34817" s="61"/>
      <c r="G34817" s="61"/>
      <c r="H34817" s="61"/>
    </row>
    <row r="34818" spans="2:8" x14ac:dyDescent="0.25">
      <c r="B34818" s="60" t="s">
        <v>8864</v>
      </c>
      <c r="C34818" s="60" t="s">
        <v>8865</v>
      </c>
      <c r="D34818" s="60" t="str">
        <f>HYPERLINK("https://rhld.insurance.arkansas.gov/NPILookup?Npi=1306901012","1306901012")</f>
        <v>1306901012</v>
      </c>
      <c r="E34818" s="60" t="s">
        <v>31159</v>
      </c>
      <c r="F34818" s="61"/>
      <c r="G34818" s="61"/>
      <c r="H34818" s="61"/>
    </row>
    <row r="34819" spans="2:8" x14ac:dyDescent="0.25">
      <c r="B34819" s="60" t="s">
        <v>8864</v>
      </c>
      <c r="C34819" s="60" t="s">
        <v>8865</v>
      </c>
      <c r="D34819" s="60" t="str">
        <f>HYPERLINK("https://rhld.insurance.arkansas.gov/NPILookup?Npi=1306959861","1306959861")</f>
        <v>1306959861</v>
      </c>
      <c r="E34819" s="60" t="s">
        <v>31160</v>
      </c>
      <c r="F34819" s="61"/>
      <c r="G34819" s="61"/>
      <c r="H34819" s="61"/>
    </row>
    <row r="34820" spans="2:8" x14ac:dyDescent="0.25">
      <c r="B34820" s="60" t="s">
        <v>8864</v>
      </c>
      <c r="C34820" s="60" t="s">
        <v>8865</v>
      </c>
      <c r="D34820" s="60" t="str">
        <f>HYPERLINK("https://rhld.insurance.arkansas.gov/NPILookup?Npi=1326201567","1326201567")</f>
        <v>1326201567</v>
      </c>
      <c r="E34820" s="60" t="s">
        <v>31161</v>
      </c>
      <c r="F34820" s="61"/>
      <c r="G34820" s="61"/>
      <c r="H34820" s="61"/>
    </row>
    <row r="34821" spans="2:8" x14ac:dyDescent="0.25">
      <c r="B34821" s="60" t="s">
        <v>8864</v>
      </c>
      <c r="C34821" s="60" t="s">
        <v>8865</v>
      </c>
      <c r="D34821" s="60" t="str">
        <f>HYPERLINK("https://rhld.insurance.arkansas.gov/NPILookup?Npi=1336247899","1336247899")</f>
        <v>1336247899</v>
      </c>
      <c r="E34821" s="60" t="s">
        <v>18423</v>
      </c>
      <c r="F34821" s="61"/>
      <c r="G34821" s="61"/>
      <c r="H34821" s="61"/>
    </row>
    <row r="34822" spans="2:8" x14ac:dyDescent="0.25">
      <c r="B34822" s="60" t="s">
        <v>8864</v>
      </c>
      <c r="C34822" s="60" t="s">
        <v>8865</v>
      </c>
      <c r="D34822" s="60" t="str">
        <f>HYPERLINK("https://rhld.insurance.arkansas.gov/NPILookup?Npi=1336347392","1336347392")</f>
        <v>1336347392</v>
      </c>
      <c r="E34822" s="60" t="s">
        <v>31162</v>
      </c>
      <c r="F34822" s="61"/>
      <c r="G34822" s="61"/>
      <c r="H34822" s="61"/>
    </row>
    <row r="34823" spans="2:8" x14ac:dyDescent="0.25">
      <c r="B34823" s="60" t="s">
        <v>8864</v>
      </c>
      <c r="C34823" s="60" t="s">
        <v>8865</v>
      </c>
      <c r="D34823" s="60" t="str">
        <f>HYPERLINK("https://rhld.insurance.arkansas.gov/NPILookup?Npi=1336521764","1336521764")</f>
        <v>1336521764</v>
      </c>
      <c r="E34823" s="60" t="s">
        <v>14301</v>
      </c>
      <c r="F34823" s="61"/>
      <c r="G34823" s="61"/>
      <c r="H34823" s="61"/>
    </row>
    <row r="34824" spans="2:8" x14ac:dyDescent="0.25">
      <c r="B34824" s="60" t="s">
        <v>8864</v>
      </c>
      <c r="C34824" s="60" t="s">
        <v>8865</v>
      </c>
      <c r="D34824" s="60" t="str">
        <f>HYPERLINK("https://rhld.insurance.arkansas.gov/NPILookup?Npi=1346703832","1346703832")</f>
        <v>1346703832</v>
      </c>
      <c r="E34824" s="60" t="s">
        <v>32572</v>
      </c>
      <c r="F34824" s="61"/>
      <c r="G34824" s="61"/>
      <c r="H34824" s="61"/>
    </row>
    <row r="34825" spans="2:8" x14ac:dyDescent="0.25">
      <c r="B34825" s="60" t="s">
        <v>8864</v>
      </c>
      <c r="C34825" s="60" t="s">
        <v>8865</v>
      </c>
      <c r="D34825" s="60" t="str">
        <f>HYPERLINK("https://rhld.insurance.arkansas.gov/NPILookup?Npi=1356725055","1356725055")</f>
        <v>1356725055</v>
      </c>
      <c r="E34825" s="60" t="s">
        <v>31163</v>
      </c>
      <c r="F34825" s="61"/>
      <c r="G34825" s="61"/>
      <c r="H34825" s="61"/>
    </row>
    <row r="34826" spans="2:8" x14ac:dyDescent="0.25">
      <c r="B34826" s="60" t="s">
        <v>8864</v>
      </c>
      <c r="C34826" s="60" t="s">
        <v>8865</v>
      </c>
      <c r="D34826" s="60" t="str">
        <f>HYPERLINK("https://rhld.insurance.arkansas.gov/NPILookup?Npi=1356760144","1356760144")</f>
        <v>1356760144</v>
      </c>
      <c r="E34826" s="60" t="s">
        <v>31164</v>
      </c>
      <c r="F34826" s="61"/>
      <c r="G34826" s="61"/>
      <c r="H34826" s="61"/>
    </row>
    <row r="34827" spans="2:8" x14ac:dyDescent="0.25">
      <c r="B34827" s="60" t="s">
        <v>8864</v>
      </c>
      <c r="C34827" s="60" t="s">
        <v>8865</v>
      </c>
      <c r="D34827" s="60" t="str">
        <f>HYPERLINK("https://rhld.insurance.arkansas.gov/NPILookup?Npi=1366739971","1366739971")</f>
        <v>1366739971</v>
      </c>
      <c r="E34827" s="60" t="s">
        <v>31165</v>
      </c>
      <c r="F34827" s="61"/>
      <c r="G34827" s="61"/>
      <c r="H34827" s="61"/>
    </row>
    <row r="34828" spans="2:8" x14ac:dyDescent="0.25">
      <c r="B34828" s="60" t="s">
        <v>8864</v>
      </c>
      <c r="C34828" s="60" t="s">
        <v>8865</v>
      </c>
      <c r="D34828" s="60" t="str">
        <f>HYPERLINK("https://rhld.insurance.arkansas.gov/NPILookup?Npi=1386609808","1386609808")</f>
        <v>1386609808</v>
      </c>
      <c r="E34828" s="60" t="s">
        <v>8869</v>
      </c>
      <c r="F34828" s="61"/>
      <c r="G34828" s="61"/>
      <c r="H34828" s="61"/>
    </row>
    <row r="34829" spans="2:8" x14ac:dyDescent="0.25">
      <c r="B34829" s="60" t="s">
        <v>8864</v>
      </c>
      <c r="C34829" s="60" t="s">
        <v>8865</v>
      </c>
      <c r="D34829" s="60" t="str">
        <f>HYPERLINK("https://rhld.insurance.arkansas.gov/NPILookup?Npi=1386908762","1386908762")</f>
        <v>1386908762</v>
      </c>
      <c r="E34829" s="60" t="s">
        <v>31166</v>
      </c>
      <c r="F34829" s="61"/>
      <c r="G34829" s="61"/>
      <c r="H34829" s="61"/>
    </row>
    <row r="34830" spans="2:8" x14ac:dyDescent="0.25">
      <c r="B34830" s="60" t="s">
        <v>8864</v>
      </c>
      <c r="C34830" s="60" t="s">
        <v>8865</v>
      </c>
      <c r="D34830" s="60" t="str">
        <f>HYPERLINK("https://rhld.insurance.arkansas.gov/NPILookup?Npi=1396963658","1396963658")</f>
        <v>1396963658</v>
      </c>
      <c r="E34830" s="60" t="s">
        <v>18442</v>
      </c>
      <c r="F34830" s="61"/>
      <c r="G34830" s="61"/>
      <c r="H34830" s="61"/>
    </row>
    <row r="34831" spans="2:8" x14ac:dyDescent="0.25">
      <c r="B34831" s="60" t="s">
        <v>8864</v>
      </c>
      <c r="C34831" s="60" t="s">
        <v>8865</v>
      </c>
      <c r="D34831" s="60" t="str">
        <f>HYPERLINK("https://rhld.insurance.arkansas.gov/NPILookup?Npi=1407801707","1407801707")</f>
        <v>1407801707</v>
      </c>
      <c r="E34831" s="60" t="s">
        <v>1927</v>
      </c>
      <c r="F34831" s="61"/>
      <c r="G34831" s="61"/>
      <c r="H34831" s="61"/>
    </row>
    <row r="34832" spans="2:8" x14ac:dyDescent="0.25">
      <c r="B34832" s="60" t="s">
        <v>8864</v>
      </c>
      <c r="C34832" s="60" t="s">
        <v>8865</v>
      </c>
      <c r="D34832" s="60" t="str">
        <f>HYPERLINK("https://rhld.insurance.arkansas.gov/NPILookup?Npi=1407803240","1407803240")</f>
        <v>1407803240</v>
      </c>
      <c r="E34832" s="60" t="s">
        <v>8870</v>
      </c>
      <c r="F34832" s="61"/>
      <c r="G34832" s="61"/>
      <c r="H34832" s="61"/>
    </row>
    <row r="34833" spans="2:8" x14ac:dyDescent="0.25">
      <c r="B34833" s="60" t="s">
        <v>8864</v>
      </c>
      <c r="C34833" s="60" t="s">
        <v>8865</v>
      </c>
      <c r="D34833" s="60" t="str">
        <f>HYPERLINK("https://rhld.insurance.arkansas.gov/NPILookup?Npi=1407877970","1407877970")</f>
        <v>1407877970</v>
      </c>
      <c r="E34833" s="60" t="s">
        <v>12296</v>
      </c>
      <c r="F34833" s="61"/>
      <c r="G34833" s="61"/>
      <c r="H34833" s="61"/>
    </row>
    <row r="34834" spans="2:8" x14ac:dyDescent="0.25">
      <c r="B34834" s="60" t="s">
        <v>8864</v>
      </c>
      <c r="C34834" s="60" t="s">
        <v>8865</v>
      </c>
      <c r="D34834" s="60" t="str">
        <f>HYPERLINK("https://rhld.insurance.arkansas.gov/NPILookup?Npi=1407887391","1407887391")</f>
        <v>1407887391</v>
      </c>
      <c r="E34834" s="60" t="s">
        <v>31167</v>
      </c>
      <c r="F34834" s="61"/>
      <c r="G34834" s="61"/>
      <c r="H34834" s="61"/>
    </row>
    <row r="34835" spans="2:8" x14ac:dyDescent="0.25">
      <c r="B34835" s="60" t="s">
        <v>8864</v>
      </c>
      <c r="C34835" s="60" t="s">
        <v>8865</v>
      </c>
      <c r="D34835" s="60" t="str">
        <f>HYPERLINK("https://rhld.insurance.arkansas.gov/NPILookup?Npi=1427001460","1427001460")</f>
        <v>1427001460</v>
      </c>
      <c r="E34835" s="60" t="s">
        <v>31168</v>
      </c>
      <c r="F34835" s="61"/>
      <c r="G34835" s="61"/>
      <c r="H34835" s="61"/>
    </row>
    <row r="34836" spans="2:8" x14ac:dyDescent="0.25">
      <c r="B34836" s="60" t="s">
        <v>8864</v>
      </c>
      <c r="C34836" s="60" t="s">
        <v>8865</v>
      </c>
      <c r="D34836" s="60" t="str">
        <f>HYPERLINK("https://rhld.insurance.arkansas.gov/NPILookup?Npi=1437117561","1437117561")</f>
        <v>1437117561</v>
      </c>
      <c r="E34836" s="60" t="s">
        <v>31169</v>
      </c>
      <c r="F34836" s="61"/>
      <c r="G34836" s="61"/>
      <c r="H34836" s="61"/>
    </row>
    <row r="34837" spans="2:8" x14ac:dyDescent="0.25">
      <c r="B34837" s="60" t="s">
        <v>8864</v>
      </c>
      <c r="C34837" s="60" t="s">
        <v>8865</v>
      </c>
      <c r="D34837" s="60" t="str">
        <f>HYPERLINK("https://rhld.insurance.arkansas.gov/NPILookup?Npi=1437246147","1437246147")</f>
        <v>1437246147</v>
      </c>
      <c r="E34837" s="60" t="s">
        <v>28222</v>
      </c>
      <c r="F34837" s="61"/>
      <c r="G34837" s="61"/>
      <c r="H34837" s="61"/>
    </row>
    <row r="34838" spans="2:8" x14ac:dyDescent="0.25">
      <c r="B34838" s="60" t="s">
        <v>8864</v>
      </c>
      <c r="C34838" s="60" t="s">
        <v>8865</v>
      </c>
      <c r="D34838" s="60" t="str">
        <f>HYPERLINK("https://rhld.insurance.arkansas.gov/NPILookup?Npi=1437343845","1437343845")</f>
        <v>1437343845</v>
      </c>
      <c r="E34838" s="60" t="s">
        <v>31170</v>
      </c>
      <c r="F34838" s="61"/>
      <c r="G34838" s="61"/>
      <c r="H34838" s="61"/>
    </row>
    <row r="34839" spans="2:8" x14ac:dyDescent="0.25">
      <c r="B34839" s="60" t="s">
        <v>8864</v>
      </c>
      <c r="C34839" s="60" t="s">
        <v>8865</v>
      </c>
      <c r="D34839" s="60" t="str">
        <f>HYPERLINK("https://rhld.insurance.arkansas.gov/NPILookup?Npi=1437622750","1437622750")</f>
        <v>1437622750</v>
      </c>
      <c r="E34839" s="60" t="s">
        <v>14302</v>
      </c>
      <c r="F34839" s="61"/>
      <c r="G34839" s="61"/>
      <c r="H34839" s="61"/>
    </row>
    <row r="34840" spans="2:8" x14ac:dyDescent="0.25">
      <c r="B34840" s="60" t="s">
        <v>8864</v>
      </c>
      <c r="C34840" s="60" t="s">
        <v>8865</v>
      </c>
      <c r="D34840" s="60" t="str">
        <f>HYPERLINK("https://rhld.insurance.arkansas.gov/NPILookup?Npi=1447238035","1447238035")</f>
        <v>1447238035</v>
      </c>
      <c r="E34840" s="60" t="s">
        <v>8871</v>
      </c>
      <c r="F34840" s="61"/>
      <c r="G34840" s="61"/>
      <c r="H34840" s="61"/>
    </row>
    <row r="34841" spans="2:8" x14ac:dyDescent="0.25">
      <c r="B34841" s="60" t="s">
        <v>8864</v>
      </c>
      <c r="C34841" s="60" t="s">
        <v>8865</v>
      </c>
      <c r="D34841" s="60" t="str">
        <f>HYPERLINK("https://rhld.insurance.arkansas.gov/NPILookup?Npi=1447756374","1447756374")</f>
        <v>1447756374</v>
      </c>
      <c r="E34841" s="60" t="s">
        <v>4088</v>
      </c>
      <c r="F34841" s="61"/>
      <c r="G34841" s="61"/>
      <c r="H34841" s="61"/>
    </row>
    <row r="34842" spans="2:8" x14ac:dyDescent="0.25">
      <c r="B34842" s="60" t="s">
        <v>8864</v>
      </c>
      <c r="C34842" s="60" t="s">
        <v>8865</v>
      </c>
      <c r="D34842" s="60" t="str">
        <f>HYPERLINK("https://rhld.insurance.arkansas.gov/NPILookup?Npi=1457858508","1457858508")</f>
        <v>1457858508</v>
      </c>
      <c r="E34842" s="60" t="s">
        <v>3979</v>
      </c>
      <c r="F34842" s="61"/>
      <c r="G34842" s="61"/>
      <c r="H34842" s="61"/>
    </row>
    <row r="34843" spans="2:8" x14ac:dyDescent="0.25">
      <c r="B34843" s="60" t="s">
        <v>8864</v>
      </c>
      <c r="C34843" s="60" t="s">
        <v>8865</v>
      </c>
      <c r="D34843" s="60" t="str">
        <f>HYPERLINK("https://rhld.insurance.arkansas.gov/NPILookup?Npi=1467424580","1467424580")</f>
        <v>1467424580</v>
      </c>
      <c r="E34843" s="60" t="s">
        <v>31171</v>
      </c>
      <c r="F34843" s="61"/>
      <c r="G34843" s="61"/>
      <c r="H34843" s="61"/>
    </row>
    <row r="34844" spans="2:8" x14ac:dyDescent="0.25">
      <c r="B34844" s="60" t="s">
        <v>8864</v>
      </c>
      <c r="C34844" s="60" t="s">
        <v>8865</v>
      </c>
      <c r="D34844" s="60" t="str">
        <f>HYPERLINK("https://rhld.insurance.arkansas.gov/NPILookup?Npi=1467427146","1467427146")</f>
        <v>1467427146</v>
      </c>
      <c r="E34844" s="60" t="s">
        <v>31172</v>
      </c>
      <c r="F34844" s="61"/>
      <c r="G34844" s="61"/>
      <c r="H34844" s="61"/>
    </row>
    <row r="34845" spans="2:8" x14ac:dyDescent="0.25">
      <c r="B34845" s="60" t="s">
        <v>8864</v>
      </c>
      <c r="C34845" s="60" t="s">
        <v>8865</v>
      </c>
      <c r="D34845" s="60" t="str">
        <f>HYPERLINK("https://rhld.insurance.arkansas.gov/NPILookup?Npi=1487972527","1487972527")</f>
        <v>1487972527</v>
      </c>
      <c r="E34845" s="60" t="s">
        <v>31173</v>
      </c>
      <c r="F34845" s="61"/>
      <c r="G34845" s="61"/>
      <c r="H34845" s="61"/>
    </row>
    <row r="34846" spans="2:8" x14ac:dyDescent="0.25">
      <c r="B34846" s="60" t="s">
        <v>8864</v>
      </c>
      <c r="C34846" s="60" t="s">
        <v>8865</v>
      </c>
      <c r="D34846" s="60" t="str">
        <f>HYPERLINK("https://rhld.insurance.arkansas.gov/NPILookup?Npi=1497073944","1497073944")</f>
        <v>1497073944</v>
      </c>
      <c r="E34846" s="60" t="s">
        <v>31174</v>
      </c>
      <c r="F34846" s="61"/>
      <c r="G34846" s="61"/>
      <c r="H34846" s="61"/>
    </row>
    <row r="34847" spans="2:8" x14ac:dyDescent="0.25">
      <c r="B34847" s="60" t="s">
        <v>8864</v>
      </c>
      <c r="C34847" s="60" t="s">
        <v>8865</v>
      </c>
      <c r="D34847" s="60" t="str">
        <f>HYPERLINK("https://rhld.insurance.arkansas.gov/NPILookup?Npi=1497860720","1497860720")</f>
        <v>1497860720</v>
      </c>
      <c r="E34847" s="60" t="s">
        <v>31175</v>
      </c>
      <c r="F34847" s="61"/>
      <c r="G34847" s="61"/>
      <c r="H34847" s="61"/>
    </row>
    <row r="34848" spans="2:8" x14ac:dyDescent="0.25">
      <c r="B34848" s="60" t="s">
        <v>8864</v>
      </c>
      <c r="C34848" s="60" t="s">
        <v>8865</v>
      </c>
      <c r="D34848" s="60" t="str">
        <f>HYPERLINK("https://rhld.insurance.arkansas.gov/NPILookup?Npi=1508889817","1508889817")</f>
        <v>1508889817</v>
      </c>
      <c r="E34848" s="60" t="s">
        <v>2323</v>
      </c>
      <c r="F34848" s="61"/>
      <c r="G34848" s="61"/>
      <c r="H34848" s="61"/>
    </row>
    <row r="34849" spans="2:8" x14ac:dyDescent="0.25">
      <c r="B34849" s="60" t="s">
        <v>8864</v>
      </c>
      <c r="C34849" s="60" t="s">
        <v>8865</v>
      </c>
      <c r="D34849" s="60" t="str">
        <f>HYPERLINK("https://rhld.insurance.arkansas.gov/NPILookup?Npi=1528262318","1528262318")</f>
        <v>1528262318</v>
      </c>
      <c r="E34849" s="60" t="s">
        <v>31176</v>
      </c>
      <c r="F34849" s="61"/>
      <c r="G34849" s="61"/>
      <c r="H34849" s="61"/>
    </row>
    <row r="34850" spans="2:8" x14ac:dyDescent="0.25">
      <c r="B34850" s="60" t="s">
        <v>8864</v>
      </c>
      <c r="C34850" s="60" t="s">
        <v>8865</v>
      </c>
      <c r="D34850" s="60" t="str">
        <f>HYPERLINK("https://rhld.insurance.arkansas.gov/NPILookup?Npi=1538134283","1538134283")</f>
        <v>1538134283</v>
      </c>
      <c r="E34850" s="60" t="s">
        <v>482</v>
      </c>
      <c r="F34850" s="61"/>
      <c r="G34850" s="61"/>
      <c r="H34850" s="61"/>
    </row>
    <row r="34851" spans="2:8" x14ac:dyDescent="0.25">
      <c r="B34851" s="60" t="s">
        <v>8864</v>
      </c>
      <c r="C34851" s="60" t="s">
        <v>8865</v>
      </c>
      <c r="D34851" s="60" t="str">
        <f>HYPERLINK("https://rhld.insurance.arkansas.gov/NPILookup?Npi=1538163910","1538163910")</f>
        <v>1538163910</v>
      </c>
      <c r="E34851" s="60" t="s">
        <v>31177</v>
      </c>
      <c r="F34851" s="61"/>
      <c r="G34851" s="61"/>
      <c r="H34851" s="61"/>
    </row>
    <row r="34852" spans="2:8" x14ac:dyDescent="0.25">
      <c r="B34852" s="60" t="s">
        <v>8864</v>
      </c>
      <c r="C34852" s="60" t="s">
        <v>8865</v>
      </c>
      <c r="D34852" s="60" t="str">
        <f>HYPERLINK("https://rhld.insurance.arkansas.gov/NPILookup?Npi=1538363577","1538363577")</f>
        <v>1538363577</v>
      </c>
      <c r="E34852" s="60" t="s">
        <v>17629</v>
      </c>
      <c r="F34852" s="61"/>
      <c r="G34852" s="61"/>
      <c r="H34852" s="61"/>
    </row>
    <row r="34853" spans="2:8" x14ac:dyDescent="0.25">
      <c r="B34853" s="60" t="s">
        <v>8864</v>
      </c>
      <c r="C34853" s="60" t="s">
        <v>8865</v>
      </c>
      <c r="D34853" s="60" t="str">
        <f>HYPERLINK("https://rhld.insurance.arkansas.gov/NPILookup?Npi=1558363507","1558363507")</f>
        <v>1558363507</v>
      </c>
      <c r="E34853" s="60" t="s">
        <v>485</v>
      </c>
      <c r="F34853" s="61"/>
      <c r="G34853" s="61"/>
      <c r="H34853" s="61"/>
    </row>
    <row r="34854" spans="2:8" x14ac:dyDescent="0.25">
      <c r="B34854" s="60" t="s">
        <v>8864</v>
      </c>
      <c r="C34854" s="60" t="s">
        <v>8865</v>
      </c>
      <c r="D34854" s="60" t="str">
        <f>HYPERLINK("https://rhld.insurance.arkansas.gov/NPILookup?Npi=1558382028","1558382028")</f>
        <v>1558382028</v>
      </c>
      <c r="E34854" s="60" t="s">
        <v>31178</v>
      </c>
      <c r="F34854" s="61"/>
      <c r="G34854" s="61"/>
      <c r="H34854" s="61"/>
    </row>
    <row r="34855" spans="2:8" x14ac:dyDescent="0.25">
      <c r="B34855" s="60" t="s">
        <v>8864</v>
      </c>
      <c r="C34855" s="60" t="s">
        <v>8865</v>
      </c>
      <c r="D34855" s="60" t="str">
        <f>HYPERLINK("https://rhld.insurance.arkansas.gov/NPILookup?Npi=1558673889","1558673889")</f>
        <v>1558673889</v>
      </c>
      <c r="E34855" s="60" t="s">
        <v>3648</v>
      </c>
      <c r="F34855" s="61"/>
      <c r="G34855" s="61"/>
      <c r="H34855" s="61"/>
    </row>
    <row r="34856" spans="2:8" x14ac:dyDescent="0.25">
      <c r="B34856" s="60" t="s">
        <v>8864</v>
      </c>
      <c r="C34856" s="60" t="s">
        <v>8865</v>
      </c>
      <c r="D34856" s="60" t="str">
        <f>HYPERLINK("https://rhld.insurance.arkansas.gov/NPILookup?Npi=1568505543","1568505543")</f>
        <v>1568505543</v>
      </c>
      <c r="E34856" s="60" t="s">
        <v>483</v>
      </c>
      <c r="F34856" s="61"/>
      <c r="G34856" s="61"/>
      <c r="H34856" s="61"/>
    </row>
    <row r="34857" spans="2:8" x14ac:dyDescent="0.25">
      <c r="B34857" s="60" t="s">
        <v>8864</v>
      </c>
      <c r="C34857" s="60" t="s">
        <v>8865</v>
      </c>
      <c r="D34857" s="60" t="str">
        <f>HYPERLINK("https://rhld.insurance.arkansas.gov/NPILookup?Npi=1568669448","1568669448")</f>
        <v>1568669448</v>
      </c>
      <c r="E34857" s="60" t="s">
        <v>31179</v>
      </c>
      <c r="F34857" s="61"/>
      <c r="G34857" s="61"/>
      <c r="H34857" s="61"/>
    </row>
    <row r="34858" spans="2:8" x14ac:dyDescent="0.25">
      <c r="B34858" s="60" t="s">
        <v>8864</v>
      </c>
      <c r="C34858" s="60" t="s">
        <v>8865</v>
      </c>
      <c r="D34858" s="60" t="str">
        <f>HYPERLINK("https://rhld.insurance.arkansas.gov/NPILookup?Npi=1578538229","1578538229")</f>
        <v>1578538229</v>
      </c>
      <c r="E34858" s="60" t="s">
        <v>14303</v>
      </c>
      <c r="F34858" s="61"/>
      <c r="G34858" s="61"/>
      <c r="H34858" s="61"/>
    </row>
    <row r="34859" spans="2:8" x14ac:dyDescent="0.25">
      <c r="B34859" s="60" t="s">
        <v>8864</v>
      </c>
      <c r="C34859" s="60" t="s">
        <v>8865</v>
      </c>
      <c r="D34859" s="60" t="str">
        <f>HYPERLINK("https://rhld.insurance.arkansas.gov/NPILookup?Npi=1578538252","1578538252")</f>
        <v>1578538252</v>
      </c>
      <c r="E34859" s="60" t="s">
        <v>31180</v>
      </c>
      <c r="F34859" s="61"/>
      <c r="G34859" s="61"/>
      <c r="H34859" s="61"/>
    </row>
    <row r="34860" spans="2:8" x14ac:dyDescent="0.25">
      <c r="B34860" s="60" t="s">
        <v>8864</v>
      </c>
      <c r="C34860" s="60" t="s">
        <v>8865</v>
      </c>
      <c r="D34860" s="60" t="str">
        <f>HYPERLINK("https://rhld.insurance.arkansas.gov/NPILookup?Npi=1578538963","1578538963")</f>
        <v>1578538963</v>
      </c>
      <c r="E34860" s="60" t="s">
        <v>31181</v>
      </c>
      <c r="F34860" s="61"/>
      <c r="G34860" s="61"/>
      <c r="H34860" s="61"/>
    </row>
    <row r="34861" spans="2:8" x14ac:dyDescent="0.25">
      <c r="B34861" s="60" t="s">
        <v>8864</v>
      </c>
      <c r="C34861" s="60" t="s">
        <v>8865</v>
      </c>
      <c r="D34861" s="60" t="str">
        <f>HYPERLINK("https://rhld.insurance.arkansas.gov/NPILookup?Npi=1578583423","1578583423")</f>
        <v>1578583423</v>
      </c>
      <c r="E34861" s="60" t="s">
        <v>822</v>
      </c>
      <c r="F34861" s="61"/>
      <c r="G34861" s="61"/>
      <c r="H34861" s="61"/>
    </row>
    <row r="34862" spans="2:8" x14ac:dyDescent="0.25">
      <c r="B34862" s="60" t="s">
        <v>8864</v>
      </c>
      <c r="C34862" s="60" t="s">
        <v>8865</v>
      </c>
      <c r="D34862" s="60" t="str">
        <f>HYPERLINK("https://rhld.insurance.arkansas.gov/NPILookup?Npi=1578606109","1578606109")</f>
        <v>1578606109</v>
      </c>
      <c r="E34862" s="60" t="s">
        <v>31182</v>
      </c>
      <c r="F34862" s="61"/>
      <c r="G34862" s="61"/>
      <c r="H34862" s="61"/>
    </row>
    <row r="34863" spans="2:8" x14ac:dyDescent="0.25">
      <c r="B34863" s="60" t="s">
        <v>8864</v>
      </c>
      <c r="C34863" s="60" t="s">
        <v>8865</v>
      </c>
      <c r="D34863" s="60" t="str">
        <f>HYPERLINK("https://rhld.insurance.arkansas.gov/NPILookup?Npi=1578882007","1578882007")</f>
        <v>1578882007</v>
      </c>
      <c r="E34863" s="60" t="s">
        <v>8872</v>
      </c>
      <c r="F34863" s="61"/>
      <c r="G34863" s="61"/>
      <c r="H34863" s="61"/>
    </row>
    <row r="34864" spans="2:8" x14ac:dyDescent="0.25">
      <c r="B34864" s="60" t="s">
        <v>8864</v>
      </c>
      <c r="C34864" s="60" t="s">
        <v>8865</v>
      </c>
      <c r="D34864" s="60" t="str">
        <f>HYPERLINK("https://rhld.insurance.arkansas.gov/NPILookup?Npi=1588621254","1588621254")</f>
        <v>1588621254</v>
      </c>
      <c r="E34864" s="60" t="s">
        <v>31183</v>
      </c>
      <c r="F34864" s="61"/>
      <c r="G34864" s="61"/>
      <c r="H34864" s="61"/>
    </row>
    <row r="34865" spans="2:8" x14ac:dyDescent="0.25">
      <c r="B34865" s="60" t="s">
        <v>8864</v>
      </c>
      <c r="C34865" s="60" t="s">
        <v>8865</v>
      </c>
      <c r="D34865" s="60" t="str">
        <f>HYPERLINK("https://rhld.insurance.arkansas.gov/NPILookup?Npi=1588733992","1588733992")</f>
        <v>1588733992</v>
      </c>
      <c r="E34865" s="60" t="s">
        <v>2323</v>
      </c>
      <c r="F34865" s="61"/>
      <c r="G34865" s="61"/>
      <c r="H34865" s="61"/>
    </row>
    <row r="34866" spans="2:8" x14ac:dyDescent="0.25">
      <c r="B34866" s="60" t="s">
        <v>8864</v>
      </c>
      <c r="C34866" s="60" t="s">
        <v>8865</v>
      </c>
      <c r="D34866" s="60" t="str">
        <f>HYPERLINK("https://rhld.insurance.arkansas.gov/NPILookup?Npi=1598786725","1598786725")</f>
        <v>1598786725</v>
      </c>
      <c r="E34866" s="60" t="s">
        <v>8873</v>
      </c>
      <c r="F34866" s="61"/>
      <c r="G34866" s="61"/>
      <c r="H34866" s="61"/>
    </row>
    <row r="34867" spans="2:8" x14ac:dyDescent="0.25">
      <c r="B34867" s="60" t="s">
        <v>8864</v>
      </c>
      <c r="C34867" s="60" t="s">
        <v>8865</v>
      </c>
      <c r="D34867" s="60" t="str">
        <f>HYPERLINK("https://rhld.insurance.arkansas.gov/NPILookup?Npi=1598847188","1598847188")</f>
        <v>1598847188</v>
      </c>
      <c r="E34867" s="60" t="s">
        <v>17701</v>
      </c>
      <c r="F34867" s="61"/>
      <c r="G34867" s="61"/>
      <c r="H34867" s="61"/>
    </row>
    <row r="34868" spans="2:8" x14ac:dyDescent="0.25">
      <c r="B34868" s="60" t="s">
        <v>8864</v>
      </c>
      <c r="C34868" s="60" t="s">
        <v>8865</v>
      </c>
      <c r="D34868" s="60" t="str">
        <f>HYPERLINK("https://rhld.insurance.arkansas.gov/NPILookup?Npi=1619945714","1619945714")</f>
        <v>1619945714</v>
      </c>
      <c r="E34868" s="60" t="s">
        <v>31184</v>
      </c>
      <c r="F34868" s="61"/>
      <c r="G34868" s="61"/>
      <c r="H34868" s="61"/>
    </row>
    <row r="34869" spans="2:8" x14ac:dyDescent="0.25">
      <c r="B34869" s="60" t="s">
        <v>8864</v>
      </c>
      <c r="C34869" s="60" t="s">
        <v>8865</v>
      </c>
      <c r="D34869" s="60" t="str">
        <f>HYPERLINK("https://rhld.insurance.arkansas.gov/NPILookup?Npi=1629042247","1629042247")</f>
        <v>1629042247</v>
      </c>
      <c r="E34869" s="60" t="s">
        <v>14304</v>
      </c>
      <c r="F34869" s="61"/>
      <c r="G34869" s="61"/>
      <c r="H34869" s="61"/>
    </row>
    <row r="34870" spans="2:8" x14ac:dyDescent="0.25">
      <c r="B34870" s="60" t="s">
        <v>8864</v>
      </c>
      <c r="C34870" s="60" t="s">
        <v>8865</v>
      </c>
      <c r="D34870" s="60" t="str">
        <f>HYPERLINK("https://rhld.insurance.arkansas.gov/NPILookup?Npi=1629422563","1629422563")</f>
        <v>1629422563</v>
      </c>
      <c r="E34870" s="60" t="s">
        <v>8874</v>
      </c>
      <c r="F34870" s="61"/>
      <c r="G34870" s="61"/>
      <c r="H34870" s="61"/>
    </row>
    <row r="34871" spans="2:8" x14ac:dyDescent="0.25">
      <c r="B34871" s="60" t="s">
        <v>8864</v>
      </c>
      <c r="C34871" s="60" t="s">
        <v>8865</v>
      </c>
      <c r="D34871" s="60" t="str">
        <f>HYPERLINK("https://rhld.insurance.arkansas.gov/NPILookup?Npi=1649536350","1649536350")</f>
        <v>1649536350</v>
      </c>
      <c r="E34871" s="60" t="s">
        <v>1928</v>
      </c>
      <c r="F34871" s="61"/>
      <c r="G34871" s="61"/>
      <c r="H34871" s="61"/>
    </row>
    <row r="34872" spans="2:8" x14ac:dyDescent="0.25">
      <c r="B34872" s="60" t="s">
        <v>8864</v>
      </c>
      <c r="C34872" s="60" t="s">
        <v>8865</v>
      </c>
      <c r="D34872" s="60" t="str">
        <f>HYPERLINK("https://rhld.insurance.arkansas.gov/NPILookup?Npi=1659338739","1659338739")</f>
        <v>1659338739</v>
      </c>
      <c r="E34872" s="60" t="s">
        <v>8875</v>
      </c>
      <c r="F34872" s="61"/>
      <c r="G34872" s="61"/>
      <c r="H34872" s="61"/>
    </row>
    <row r="34873" spans="2:8" x14ac:dyDescent="0.25">
      <c r="B34873" s="60" t="s">
        <v>8864</v>
      </c>
      <c r="C34873" s="60" t="s">
        <v>8865</v>
      </c>
      <c r="D34873" s="60" t="str">
        <f>HYPERLINK("https://rhld.insurance.arkansas.gov/NPILookup?Npi=1659457455","1659457455")</f>
        <v>1659457455</v>
      </c>
      <c r="E34873" s="60" t="s">
        <v>31185</v>
      </c>
      <c r="F34873" s="61"/>
      <c r="G34873" s="61"/>
      <c r="H34873" s="61"/>
    </row>
    <row r="34874" spans="2:8" x14ac:dyDescent="0.25">
      <c r="B34874" s="60" t="s">
        <v>8864</v>
      </c>
      <c r="C34874" s="60" t="s">
        <v>8865</v>
      </c>
      <c r="D34874" s="60" t="str">
        <f>HYPERLINK("https://rhld.insurance.arkansas.gov/NPILookup?Npi=1659544385","1659544385")</f>
        <v>1659544385</v>
      </c>
      <c r="E34874" s="60" t="s">
        <v>3649</v>
      </c>
      <c r="F34874" s="61"/>
      <c r="G34874" s="61"/>
      <c r="H34874" s="61"/>
    </row>
    <row r="34875" spans="2:8" x14ac:dyDescent="0.25">
      <c r="B34875" s="60" t="s">
        <v>8864</v>
      </c>
      <c r="C34875" s="60" t="s">
        <v>8865</v>
      </c>
      <c r="D34875" s="60" t="str">
        <f>HYPERLINK("https://rhld.insurance.arkansas.gov/NPILookup?Npi=1669420931","1669420931")</f>
        <v>1669420931</v>
      </c>
      <c r="E34875" s="60" t="s">
        <v>3650</v>
      </c>
      <c r="F34875" s="61"/>
      <c r="G34875" s="61"/>
      <c r="H34875" s="61"/>
    </row>
    <row r="34876" spans="2:8" x14ac:dyDescent="0.25">
      <c r="B34876" s="60" t="s">
        <v>8864</v>
      </c>
      <c r="C34876" s="60" t="s">
        <v>8865</v>
      </c>
      <c r="D34876" s="60" t="str">
        <f>HYPERLINK("https://rhld.insurance.arkansas.gov/NPILookup?Npi=1669615225","1669615225")</f>
        <v>1669615225</v>
      </c>
      <c r="E34876" s="60" t="s">
        <v>3651</v>
      </c>
      <c r="F34876" s="61"/>
      <c r="G34876" s="61"/>
      <c r="H34876" s="61"/>
    </row>
    <row r="34877" spans="2:8" x14ac:dyDescent="0.25">
      <c r="B34877" s="60" t="s">
        <v>8864</v>
      </c>
      <c r="C34877" s="60" t="s">
        <v>8865</v>
      </c>
      <c r="D34877" s="60" t="str">
        <f>HYPERLINK("https://rhld.insurance.arkansas.gov/NPILookup?Npi=1679694822","1679694822")</f>
        <v>1679694822</v>
      </c>
      <c r="E34877" s="60" t="s">
        <v>3652</v>
      </c>
      <c r="F34877" s="61"/>
      <c r="G34877" s="61"/>
      <c r="H34877" s="61"/>
    </row>
    <row r="34878" spans="2:8" x14ac:dyDescent="0.25">
      <c r="B34878" s="60" t="s">
        <v>8864</v>
      </c>
      <c r="C34878" s="60" t="s">
        <v>8865</v>
      </c>
      <c r="D34878" s="60" t="str">
        <f>HYPERLINK("https://rhld.insurance.arkansas.gov/NPILookup?Npi=1689037186","1689037186")</f>
        <v>1689037186</v>
      </c>
      <c r="E34878" s="60" t="s">
        <v>18541</v>
      </c>
      <c r="F34878" s="61"/>
      <c r="G34878" s="61"/>
      <c r="H34878" s="61"/>
    </row>
    <row r="34879" spans="2:8" x14ac:dyDescent="0.25">
      <c r="B34879" s="60" t="s">
        <v>8864</v>
      </c>
      <c r="C34879" s="60" t="s">
        <v>8865</v>
      </c>
      <c r="D34879" s="60" t="str">
        <f>HYPERLINK("https://rhld.insurance.arkansas.gov/NPILookup?Npi=1689657967","1689657967")</f>
        <v>1689657967</v>
      </c>
      <c r="E34879" s="60" t="s">
        <v>31186</v>
      </c>
      <c r="F34879" s="61"/>
      <c r="G34879" s="61"/>
      <c r="H34879" s="61"/>
    </row>
    <row r="34880" spans="2:8" x14ac:dyDescent="0.25">
      <c r="B34880" s="60" t="s">
        <v>8864</v>
      </c>
      <c r="C34880" s="60" t="s">
        <v>8865</v>
      </c>
      <c r="D34880" s="60" t="str">
        <f>HYPERLINK("https://rhld.insurance.arkansas.gov/NPILookup?Npi=1700101441","1700101441")</f>
        <v>1700101441</v>
      </c>
      <c r="E34880" s="60" t="s">
        <v>2324</v>
      </c>
      <c r="F34880" s="61"/>
      <c r="G34880" s="61"/>
      <c r="H34880" s="61"/>
    </row>
    <row r="34881" spans="2:8" x14ac:dyDescent="0.25">
      <c r="B34881" s="60" t="s">
        <v>8864</v>
      </c>
      <c r="C34881" s="60" t="s">
        <v>8865</v>
      </c>
      <c r="D34881" s="60" t="str">
        <f>HYPERLINK("https://rhld.insurance.arkansas.gov/NPILookup?Npi=1700960812","1700960812")</f>
        <v>1700960812</v>
      </c>
      <c r="E34881" s="60" t="s">
        <v>31187</v>
      </c>
      <c r="F34881" s="61"/>
      <c r="G34881" s="61"/>
      <c r="H34881" s="61"/>
    </row>
    <row r="34882" spans="2:8" x14ac:dyDescent="0.25">
      <c r="B34882" s="60" t="s">
        <v>8864</v>
      </c>
      <c r="C34882" s="60" t="s">
        <v>8865</v>
      </c>
      <c r="D34882" s="60" t="str">
        <f>HYPERLINK("https://rhld.insurance.arkansas.gov/NPILookup?Npi=1710902440","1710902440")</f>
        <v>1710902440</v>
      </c>
      <c r="E34882" s="60" t="s">
        <v>14305</v>
      </c>
      <c r="F34882" s="61"/>
      <c r="G34882" s="61"/>
      <c r="H34882" s="61"/>
    </row>
    <row r="34883" spans="2:8" x14ac:dyDescent="0.25">
      <c r="B34883" s="60" t="s">
        <v>8864</v>
      </c>
      <c r="C34883" s="60" t="s">
        <v>8865</v>
      </c>
      <c r="D34883" s="60" t="str">
        <f>HYPERLINK("https://rhld.insurance.arkansas.gov/NPILookup?Npi=1710945522","1710945522")</f>
        <v>1710945522</v>
      </c>
      <c r="E34883" s="60" t="s">
        <v>3653</v>
      </c>
      <c r="F34883" s="61"/>
      <c r="G34883" s="61"/>
      <c r="H34883" s="61"/>
    </row>
    <row r="34884" spans="2:8" x14ac:dyDescent="0.25">
      <c r="B34884" s="60" t="s">
        <v>8864</v>
      </c>
      <c r="C34884" s="60" t="s">
        <v>8865</v>
      </c>
      <c r="D34884" s="60" t="str">
        <f>HYPERLINK("https://rhld.insurance.arkansas.gov/NPILookup?Npi=1710945860","1710945860")</f>
        <v>1710945860</v>
      </c>
      <c r="E34884" s="60" t="s">
        <v>31188</v>
      </c>
      <c r="F34884" s="61"/>
      <c r="G34884" s="61"/>
      <c r="H34884" s="61"/>
    </row>
    <row r="34885" spans="2:8" x14ac:dyDescent="0.25">
      <c r="B34885" s="60" t="s">
        <v>8864</v>
      </c>
      <c r="C34885" s="60" t="s">
        <v>8865</v>
      </c>
      <c r="D34885" s="60" t="str">
        <f>HYPERLINK("https://rhld.insurance.arkansas.gov/NPILookup?Npi=1730145954","1730145954")</f>
        <v>1730145954</v>
      </c>
      <c r="E34885" s="60" t="s">
        <v>31189</v>
      </c>
      <c r="F34885" s="61"/>
      <c r="G34885" s="61"/>
      <c r="H34885" s="61"/>
    </row>
    <row r="34886" spans="2:8" x14ac:dyDescent="0.25">
      <c r="B34886" s="60" t="s">
        <v>8864</v>
      </c>
      <c r="C34886" s="60" t="s">
        <v>8865</v>
      </c>
      <c r="D34886" s="60" t="str">
        <f>HYPERLINK("https://rhld.insurance.arkansas.gov/NPILookup?Npi=1730147877","1730147877")</f>
        <v>1730147877</v>
      </c>
      <c r="E34886" s="60" t="s">
        <v>31190</v>
      </c>
      <c r="F34886" s="61"/>
      <c r="G34886" s="61"/>
      <c r="H34886" s="61"/>
    </row>
    <row r="34887" spans="2:8" x14ac:dyDescent="0.25">
      <c r="B34887" s="60" t="s">
        <v>8864</v>
      </c>
      <c r="C34887" s="60" t="s">
        <v>8865</v>
      </c>
      <c r="D34887" s="60" t="str">
        <f>HYPERLINK("https://rhld.insurance.arkansas.gov/NPILookup?Npi=1730193459","1730193459")</f>
        <v>1730193459</v>
      </c>
      <c r="E34887" s="60" t="s">
        <v>31191</v>
      </c>
      <c r="F34887" s="61"/>
      <c r="G34887" s="61"/>
      <c r="H34887" s="61"/>
    </row>
    <row r="34888" spans="2:8" x14ac:dyDescent="0.25">
      <c r="B34888" s="60" t="s">
        <v>8864</v>
      </c>
      <c r="C34888" s="60" t="s">
        <v>8865</v>
      </c>
      <c r="D34888" s="60" t="str">
        <f>HYPERLINK("https://rhld.insurance.arkansas.gov/NPILookup?Npi=1730287913","1730287913")</f>
        <v>1730287913</v>
      </c>
      <c r="E34888" s="60" t="s">
        <v>31192</v>
      </c>
      <c r="F34888" s="61"/>
      <c r="G34888" s="61"/>
      <c r="H34888" s="61"/>
    </row>
    <row r="34889" spans="2:8" x14ac:dyDescent="0.25">
      <c r="B34889" s="60" t="s">
        <v>8864</v>
      </c>
      <c r="C34889" s="60" t="s">
        <v>8865</v>
      </c>
      <c r="D34889" s="60" t="str">
        <f>HYPERLINK("https://rhld.insurance.arkansas.gov/NPILookup?Npi=1730322744","1730322744")</f>
        <v>1730322744</v>
      </c>
      <c r="E34889" s="60" t="s">
        <v>18551</v>
      </c>
      <c r="F34889" s="61"/>
      <c r="G34889" s="61"/>
      <c r="H34889" s="61"/>
    </row>
    <row r="34890" spans="2:8" x14ac:dyDescent="0.25">
      <c r="B34890" s="60" t="s">
        <v>8864</v>
      </c>
      <c r="C34890" s="60" t="s">
        <v>8865</v>
      </c>
      <c r="D34890" s="60" t="str">
        <f>HYPERLINK("https://rhld.insurance.arkansas.gov/NPILookup?Npi=1730380304","1730380304")</f>
        <v>1730380304</v>
      </c>
      <c r="E34890" s="60" t="s">
        <v>31193</v>
      </c>
      <c r="F34890" s="61"/>
      <c r="G34890" s="61"/>
      <c r="H34890" s="61"/>
    </row>
    <row r="34891" spans="2:8" x14ac:dyDescent="0.25">
      <c r="B34891" s="60" t="s">
        <v>8864</v>
      </c>
      <c r="C34891" s="60" t="s">
        <v>8865</v>
      </c>
      <c r="D34891" s="60" t="str">
        <f>HYPERLINK("https://rhld.insurance.arkansas.gov/NPILookup?Npi=1730575432","1730575432")</f>
        <v>1730575432</v>
      </c>
      <c r="E34891" s="60" t="s">
        <v>31194</v>
      </c>
      <c r="F34891" s="61"/>
      <c r="G34891" s="61"/>
      <c r="H34891" s="61"/>
    </row>
    <row r="34892" spans="2:8" x14ac:dyDescent="0.25">
      <c r="B34892" s="60" t="s">
        <v>8864</v>
      </c>
      <c r="C34892" s="60" t="s">
        <v>8865</v>
      </c>
      <c r="D34892" s="60" t="str">
        <f>HYPERLINK("https://rhld.insurance.arkansas.gov/NPILookup?Npi=1740356153","1740356153")</f>
        <v>1740356153</v>
      </c>
      <c r="E34892" s="60" t="s">
        <v>2768</v>
      </c>
      <c r="F34892" s="61"/>
      <c r="G34892" s="61"/>
      <c r="H34892" s="61"/>
    </row>
    <row r="34893" spans="2:8" x14ac:dyDescent="0.25">
      <c r="B34893" s="60" t="s">
        <v>8864</v>
      </c>
      <c r="C34893" s="60" t="s">
        <v>8865</v>
      </c>
      <c r="D34893" s="60" t="str">
        <f>HYPERLINK("https://rhld.insurance.arkansas.gov/NPILookup?Npi=1740496686","1740496686")</f>
        <v>1740496686</v>
      </c>
      <c r="E34893" s="60" t="s">
        <v>18556</v>
      </c>
      <c r="F34893" s="61"/>
      <c r="G34893" s="61"/>
      <c r="H34893" s="61"/>
    </row>
    <row r="34894" spans="2:8" x14ac:dyDescent="0.25">
      <c r="B34894" s="60" t="s">
        <v>8864</v>
      </c>
      <c r="C34894" s="60" t="s">
        <v>8865</v>
      </c>
      <c r="D34894" s="60" t="str">
        <f>HYPERLINK("https://rhld.insurance.arkansas.gov/NPILookup?Npi=1750383303","1750383303")</f>
        <v>1750383303</v>
      </c>
      <c r="E34894" s="60" t="s">
        <v>31195</v>
      </c>
      <c r="F34894" s="61"/>
      <c r="G34894" s="61"/>
      <c r="H34894" s="61"/>
    </row>
    <row r="34895" spans="2:8" x14ac:dyDescent="0.25">
      <c r="B34895" s="60" t="s">
        <v>8864</v>
      </c>
      <c r="C34895" s="60" t="s">
        <v>8865</v>
      </c>
      <c r="D34895" s="60" t="str">
        <f>HYPERLINK("https://rhld.insurance.arkansas.gov/NPILookup?Npi=1760587778","1760587778")</f>
        <v>1760587778</v>
      </c>
      <c r="E34895" s="60" t="s">
        <v>14307</v>
      </c>
      <c r="F34895" s="61"/>
      <c r="G34895" s="61"/>
      <c r="H34895" s="61"/>
    </row>
    <row r="34896" spans="2:8" x14ac:dyDescent="0.25">
      <c r="B34896" s="60" t="s">
        <v>8864</v>
      </c>
      <c r="C34896" s="60" t="s">
        <v>8865</v>
      </c>
      <c r="D34896" s="60" t="str">
        <f>HYPERLINK("https://rhld.insurance.arkansas.gov/NPILookup?Npi=1760669808","1760669808")</f>
        <v>1760669808</v>
      </c>
      <c r="E34896" s="60" t="s">
        <v>3654</v>
      </c>
      <c r="F34896" s="61"/>
      <c r="G34896" s="61"/>
      <c r="H34896" s="61"/>
    </row>
    <row r="34897" spans="2:8" x14ac:dyDescent="0.25">
      <c r="B34897" s="60" t="s">
        <v>8864</v>
      </c>
      <c r="C34897" s="60" t="s">
        <v>8865</v>
      </c>
      <c r="D34897" s="60" t="str">
        <f>HYPERLINK("https://rhld.insurance.arkansas.gov/NPILookup?Npi=1760691752","1760691752")</f>
        <v>1760691752</v>
      </c>
      <c r="E34897" s="60" t="s">
        <v>14308</v>
      </c>
      <c r="F34897" s="61"/>
      <c r="G34897" s="61"/>
      <c r="H34897" s="61"/>
    </row>
    <row r="34898" spans="2:8" x14ac:dyDescent="0.25">
      <c r="B34898" s="60" t="s">
        <v>8864</v>
      </c>
      <c r="C34898" s="60" t="s">
        <v>8865</v>
      </c>
      <c r="D34898" s="60" t="str">
        <f>HYPERLINK("https://rhld.insurance.arkansas.gov/NPILookup?Npi=1760822548","1760822548")</f>
        <v>1760822548</v>
      </c>
      <c r="E34898" s="60" t="s">
        <v>31196</v>
      </c>
      <c r="F34898" s="61"/>
      <c r="G34898" s="61"/>
      <c r="H34898" s="61"/>
    </row>
    <row r="34899" spans="2:8" x14ac:dyDescent="0.25">
      <c r="B34899" s="60" t="s">
        <v>8864</v>
      </c>
      <c r="C34899" s="60" t="s">
        <v>8865</v>
      </c>
      <c r="D34899" s="60" t="str">
        <f>HYPERLINK("https://rhld.insurance.arkansas.gov/NPILookup?Npi=1780676098","1780676098")</f>
        <v>1780676098</v>
      </c>
      <c r="E34899" s="60" t="s">
        <v>5747</v>
      </c>
      <c r="F34899" s="61"/>
      <c r="G34899" s="61"/>
      <c r="H34899" s="61"/>
    </row>
    <row r="34900" spans="2:8" x14ac:dyDescent="0.25">
      <c r="B34900" s="60" t="s">
        <v>8864</v>
      </c>
      <c r="C34900" s="60" t="s">
        <v>8865</v>
      </c>
      <c r="D34900" s="60" t="str">
        <f>HYPERLINK("https://rhld.insurance.arkansas.gov/NPILookup?Npi=1790105898","1790105898")</f>
        <v>1790105898</v>
      </c>
      <c r="E34900" s="60" t="s">
        <v>31197</v>
      </c>
      <c r="F34900" s="61"/>
      <c r="G34900" s="61"/>
      <c r="H34900" s="61"/>
    </row>
    <row r="34901" spans="2:8" x14ac:dyDescent="0.25">
      <c r="B34901" s="60" t="s">
        <v>8864</v>
      </c>
      <c r="C34901" s="60" t="s">
        <v>8865</v>
      </c>
      <c r="D34901" s="60" t="str">
        <f>HYPERLINK("https://rhld.insurance.arkansas.gov/NPILookup?Npi=1790247542","1790247542")</f>
        <v>1790247542</v>
      </c>
      <c r="E34901" s="60" t="s">
        <v>31198</v>
      </c>
      <c r="F34901" s="61"/>
      <c r="G34901" s="61"/>
      <c r="H34901" s="61"/>
    </row>
    <row r="34902" spans="2:8" x14ac:dyDescent="0.25">
      <c r="B34902" s="60" t="s">
        <v>8864</v>
      </c>
      <c r="C34902" s="60" t="s">
        <v>8865</v>
      </c>
      <c r="D34902" s="60" t="str">
        <f>HYPERLINK("https://rhld.insurance.arkansas.gov/NPILookup?Npi=1790530129","1790530129")</f>
        <v>1790530129</v>
      </c>
      <c r="E34902" s="60" t="s">
        <v>31199</v>
      </c>
      <c r="F34902" s="61"/>
      <c r="G34902" s="61"/>
      <c r="H34902" s="61"/>
    </row>
    <row r="34903" spans="2:8" x14ac:dyDescent="0.25">
      <c r="B34903" s="60" t="s">
        <v>8864</v>
      </c>
      <c r="C34903" s="60" t="s">
        <v>8865</v>
      </c>
      <c r="D34903" s="60" t="str">
        <f>HYPERLINK("https://rhld.insurance.arkansas.gov/NPILookup?Npi=1790735918","1790735918")</f>
        <v>1790735918</v>
      </c>
      <c r="E34903" s="60" t="s">
        <v>31200</v>
      </c>
      <c r="F34903" s="61"/>
      <c r="G34903" s="61"/>
      <c r="H34903" s="61"/>
    </row>
    <row r="34904" spans="2:8" x14ac:dyDescent="0.25">
      <c r="B34904" s="60" t="s">
        <v>8864</v>
      </c>
      <c r="C34904" s="60" t="s">
        <v>8865</v>
      </c>
      <c r="D34904" s="60" t="str">
        <f>HYPERLINK("https://rhld.insurance.arkansas.gov/NPILookup?Npi=1801830369","1801830369")</f>
        <v>1801830369</v>
      </c>
      <c r="E34904" s="60" t="s">
        <v>8876</v>
      </c>
      <c r="F34904" s="61"/>
      <c r="G34904" s="61"/>
      <c r="H34904" s="61"/>
    </row>
    <row r="34905" spans="2:8" x14ac:dyDescent="0.25">
      <c r="B34905" s="1" t="s">
        <v>8864</v>
      </c>
      <c r="C34905" s="1" t="s">
        <v>8865</v>
      </c>
      <c r="D34905" s="22" t="str">
        <f>HYPERLINK("https://rhld.insurance.arkansas.gov/NPILookup?Npi=1811382906","1811382906")</f>
        <v>1811382906</v>
      </c>
      <c r="E34905" s="1" t="s">
        <v>31201</v>
      </c>
      <c r="F34905" s="61"/>
      <c r="G34905" s="61"/>
      <c r="H34905" s="61"/>
    </row>
    <row r="34906" spans="2:8" x14ac:dyDescent="0.25">
      <c r="B34906" s="1" t="s">
        <v>8864</v>
      </c>
      <c r="C34906" s="1" t="s">
        <v>8865</v>
      </c>
      <c r="D34906" s="22" t="str">
        <f>HYPERLINK("https://rhld.insurance.arkansas.gov/NPILookup?Npi=1821103151","1821103151")</f>
        <v>1821103151</v>
      </c>
      <c r="E34906" s="1" t="s">
        <v>31202</v>
      </c>
      <c r="F34906" s="61"/>
      <c r="G34906" s="61"/>
      <c r="H34906" s="61"/>
    </row>
    <row r="34907" spans="2:8" x14ac:dyDescent="0.25">
      <c r="B34907" s="1" t="s">
        <v>8864</v>
      </c>
      <c r="C34907" s="1" t="s">
        <v>8865</v>
      </c>
      <c r="D34907" s="22" t="str">
        <f>HYPERLINK("https://rhld.insurance.arkansas.gov/NPILookup?Npi=1831168913","1831168913")</f>
        <v>1831168913</v>
      </c>
      <c r="E34907" s="1" t="s">
        <v>18581</v>
      </c>
      <c r="F34907" s="61"/>
      <c r="G34907" s="61"/>
      <c r="H34907" s="61"/>
    </row>
    <row r="34908" spans="2:8" x14ac:dyDescent="0.25">
      <c r="B34908" s="1" t="s">
        <v>8864</v>
      </c>
      <c r="C34908" s="1" t="s">
        <v>8865</v>
      </c>
      <c r="D34908" s="22" t="str">
        <f>HYPERLINK("https://rhld.insurance.arkansas.gov/NPILookup?Npi=1831577873","1831577873")</f>
        <v>1831577873</v>
      </c>
      <c r="E34908" s="1" t="s">
        <v>18583</v>
      </c>
      <c r="F34908" s="61"/>
      <c r="G34908" s="61"/>
      <c r="H34908" s="61"/>
    </row>
    <row r="34909" spans="2:8" x14ac:dyDescent="0.25">
      <c r="B34909" s="1" t="s">
        <v>8864</v>
      </c>
      <c r="C34909" s="1" t="s">
        <v>8865</v>
      </c>
      <c r="D34909" s="22" t="str">
        <f>HYPERLINK("https://rhld.insurance.arkansas.gov/NPILookup?Npi=1831695873","1831695873")</f>
        <v>1831695873</v>
      </c>
      <c r="E34909" s="1" t="s">
        <v>4036</v>
      </c>
      <c r="F34909" s="61"/>
      <c r="G34909" s="61"/>
      <c r="H34909" s="61"/>
    </row>
    <row r="34910" spans="2:8" x14ac:dyDescent="0.25">
      <c r="B34910" s="1" t="s">
        <v>8864</v>
      </c>
      <c r="C34910" s="1" t="s">
        <v>8865</v>
      </c>
      <c r="D34910" s="22" t="str">
        <f>HYPERLINK("https://rhld.insurance.arkansas.gov/NPILookup?Npi=1841345709","1841345709")</f>
        <v>1841345709</v>
      </c>
      <c r="E34910" s="1" t="s">
        <v>31203</v>
      </c>
      <c r="F34910" s="61"/>
      <c r="G34910" s="61"/>
      <c r="H34910" s="61"/>
    </row>
    <row r="34911" spans="2:8" x14ac:dyDescent="0.25">
      <c r="B34911" s="1" t="s">
        <v>8864</v>
      </c>
      <c r="C34911" s="1" t="s">
        <v>8865</v>
      </c>
      <c r="D34911" s="22" t="str">
        <f>HYPERLINK("https://rhld.insurance.arkansas.gov/NPILookup?Npi=1851345128","1851345128")</f>
        <v>1851345128</v>
      </c>
      <c r="E34911" s="1" t="s">
        <v>31204</v>
      </c>
      <c r="F34911" s="61"/>
      <c r="G34911" s="61"/>
      <c r="H34911" s="61"/>
    </row>
    <row r="34912" spans="2:8" x14ac:dyDescent="0.25">
      <c r="B34912" s="1" t="s">
        <v>8864</v>
      </c>
      <c r="C34912" s="1" t="s">
        <v>8865</v>
      </c>
      <c r="D34912" s="22" t="str">
        <f>HYPERLINK("https://rhld.insurance.arkansas.gov/NPILookup?Npi=1861414302","1861414302")</f>
        <v>1861414302</v>
      </c>
      <c r="E34912" s="1" t="s">
        <v>3655</v>
      </c>
      <c r="F34912" s="61"/>
      <c r="G34912" s="61"/>
      <c r="H34912" s="61"/>
    </row>
    <row r="34913" spans="2:8" x14ac:dyDescent="0.25">
      <c r="B34913" s="1" t="s">
        <v>8864</v>
      </c>
      <c r="C34913" s="1" t="s">
        <v>8865</v>
      </c>
      <c r="D34913" s="22" t="str">
        <f>HYPERLINK("https://rhld.insurance.arkansas.gov/NPILookup?Npi=1861476897","1861476897")</f>
        <v>1861476897</v>
      </c>
      <c r="E34913" s="1" t="s">
        <v>13864</v>
      </c>
      <c r="F34913" s="61"/>
      <c r="G34913" s="61"/>
      <c r="H34913" s="61"/>
    </row>
    <row r="34914" spans="2:8" x14ac:dyDescent="0.25">
      <c r="B34914" s="1" t="s">
        <v>8864</v>
      </c>
      <c r="C34914" s="1" t="s">
        <v>8865</v>
      </c>
      <c r="D34914" s="22" t="str">
        <f>HYPERLINK("https://rhld.insurance.arkansas.gov/NPILookup?Npi=1881669513","1881669513")</f>
        <v>1881669513</v>
      </c>
      <c r="E34914" s="1" t="s">
        <v>31205</v>
      </c>
      <c r="F34914" s="61"/>
      <c r="G34914" s="61"/>
      <c r="H34914" s="61"/>
    </row>
    <row r="34915" spans="2:8" x14ac:dyDescent="0.25">
      <c r="B34915" s="1" t="s">
        <v>8864</v>
      </c>
      <c r="C34915" s="1" t="s">
        <v>8865</v>
      </c>
      <c r="D34915" s="22" t="str">
        <f>HYPERLINK("https://rhld.insurance.arkansas.gov/NPILookup?Npi=1881764801","1881764801")</f>
        <v>1881764801</v>
      </c>
      <c r="E34915" s="1" t="s">
        <v>14309</v>
      </c>
      <c r="F34915" s="61"/>
      <c r="G34915" s="61"/>
      <c r="H34915" s="61"/>
    </row>
    <row r="34916" spans="2:8" x14ac:dyDescent="0.25">
      <c r="B34916" s="1" t="s">
        <v>8864</v>
      </c>
      <c r="C34916" s="1" t="s">
        <v>8865</v>
      </c>
      <c r="D34916" s="22" t="str">
        <f>HYPERLINK("https://rhld.insurance.arkansas.gov/NPILookup?Npi=1891257556","1891257556")</f>
        <v>1891257556</v>
      </c>
      <c r="E34916" s="1" t="s">
        <v>31206</v>
      </c>
      <c r="F34916" s="61"/>
      <c r="G34916" s="61"/>
      <c r="H34916" s="61"/>
    </row>
    <row r="34917" spans="2:8" x14ac:dyDescent="0.25">
      <c r="B34917" s="1" t="s">
        <v>8864</v>
      </c>
      <c r="C34917" s="1" t="s">
        <v>8865</v>
      </c>
      <c r="D34917" s="22" t="str">
        <f>HYPERLINK("https://rhld.insurance.arkansas.gov/NPILookup?Npi=1891718060","1891718060")</f>
        <v>1891718060</v>
      </c>
      <c r="E34917" s="1" t="s">
        <v>31207</v>
      </c>
      <c r="F34917" s="61"/>
      <c r="G34917" s="61"/>
      <c r="H34917" s="61"/>
    </row>
    <row r="34918" spans="2:8" x14ac:dyDescent="0.25">
      <c r="B34918" s="1" t="s">
        <v>8864</v>
      </c>
      <c r="C34918" s="1" t="s">
        <v>8865</v>
      </c>
      <c r="D34918" s="22" t="str">
        <f>HYPERLINK("https://rhld.insurance.arkansas.gov/NPILookup?Npi=1891760583","1891760583")</f>
        <v>1891760583</v>
      </c>
      <c r="E34918" s="1" t="s">
        <v>999</v>
      </c>
      <c r="F34918" s="61"/>
      <c r="G34918" s="61"/>
      <c r="H34918" s="61"/>
    </row>
    <row r="34919" spans="2:8" x14ac:dyDescent="0.25">
      <c r="B34919" s="1" t="s">
        <v>8864</v>
      </c>
      <c r="C34919" s="1" t="s">
        <v>8865</v>
      </c>
      <c r="D34919" s="22" t="str">
        <f>HYPERLINK("https://rhld.insurance.arkansas.gov/NPILookup?Npi=1902801467","1902801467")</f>
        <v>1902801467</v>
      </c>
      <c r="E34919" s="1" t="s">
        <v>31208</v>
      </c>
      <c r="F34919" s="61"/>
      <c r="G34919" s="61"/>
      <c r="H34919" s="61"/>
    </row>
    <row r="34920" spans="2:8" x14ac:dyDescent="0.25">
      <c r="B34920" s="1" t="s">
        <v>8864</v>
      </c>
      <c r="C34920" s="1" t="s">
        <v>8865</v>
      </c>
      <c r="D34920" s="22" t="str">
        <f>HYPERLINK("https://rhld.insurance.arkansas.gov/NPILookup?Npi=1902871627","1902871627")</f>
        <v>1902871627</v>
      </c>
      <c r="E34920" s="1" t="s">
        <v>31209</v>
      </c>
      <c r="F34920" s="61"/>
      <c r="G34920" s="61"/>
      <c r="H34920" s="61"/>
    </row>
    <row r="34921" spans="2:8" x14ac:dyDescent="0.25">
      <c r="B34921" s="1" t="s">
        <v>8864</v>
      </c>
      <c r="C34921" s="1" t="s">
        <v>8865</v>
      </c>
      <c r="D34921" s="22" t="str">
        <f>HYPERLINK("https://rhld.insurance.arkansas.gov/NPILookup?Npi=1912142787","1912142787")</f>
        <v>1912142787</v>
      </c>
      <c r="E34921" s="1" t="s">
        <v>31210</v>
      </c>
      <c r="F34921" s="61"/>
      <c r="G34921" s="61"/>
      <c r="H34921" s="61"/>
    </row>
    <row r="34922" spans="2:8" x14ac:dyDescent="0.25">
      <c r="B34922" s="1" t="s">
        <v>8864</v>
      </c>
      <c r="C34922" s="1" t="s">
        <v>8865</v>
      </c>
      <c r="D34922" s="22" t="str">
        <f>HYPERLINK("https://rhld.insurance.arkansas.gov/NPILookup?Npi=1912978511","1912978511")</f>
        <v>1912978511</v>
      </c>
      <c r="E34922" s="1" t="s">
        <v>31211</v>
      </c>
      <c r="F34922" s="61"/>
      <c r="G34922" s="61"/>
      <c r="H34922" s="61"/>
    </row>
    <row r="34923" spans="2:8" x14ac:dyDescent="0.25">
      <c r="B34923" s="1" t="s">
        <v>8864</v>
      </c>
      <c r="C34923" s="1" t="s">
        <v>8865</v>
      </c>
      <c r="D34923" s="22" t="str">
        <f>HYPERLINK("https://rhld.insurance.arkansas.gov/NPILookup?Npi=1922028828","1922028828")</f>
        <v>1922028828</v>
      </c>
      <c r="E34923" s="1" t="s">
        <v>31212</v>
      </c>
      <c r="F34923" s="61"/>
      <c r="G34923" s="61"/>
      <c r="H34923" s="61"/>
    </row>
    <row r="34924" spans="2:8" x14ac:dyDescent="0.25">
      <c r="B34924" s="1" t="s">
        <v>8864</v>
      </c>
      <c r="C34924" s="1" t="s">
        <v>8865</v>
      </c>
      <c r="D34924" s="22" t="str">
        <f>HYPERLINK("https://rhld.insurance.arkansas.gov/NPILookup?Npi=1922065333","1922065333")</f>
        <v>1922065333</v>
      </c>
      <c r="E34924" s="1" t="s">
        <v>14310</v>
      </c>
      <c r="F34924" s="61"/>
      <c r="G34924" s="61"/>
      <c r="H34924" s="61"/>
    </row>
    <row r="34925" spans="2:8" x14ac:dyDescent="0.25">
      <c r="B34925" s="1" t="s">
        <v>8864</v>
      </c>
      <c r="C34925" s="1" t="s">
        <v>8865</v>
      </c>
      <c r="D34925" s="22" t="str">
        <f>HYPERLINK("https://rhld.insurance.arkansas.gov/NPILookup?Npi=1922068105","1922068105")</f>
        <v>1922068105</v>
      </c>
      <c r="E34925" s="1" t="s">
        <v>31213</v>
      </c>
      <c r="F34925" s="61"/>
      <c r="G34925" s="61"/>
      <c r="H34925" s="61"/>
    </row>
    <row r="34926" spans="2:8" x14ac:dyDescent="0.25">
      <c r="B34926" s="1" t="s">
        <v>8864</v>
      </c>
      <c r="C34926" s="1" t="s">
        <v>8865</v>
      </c>
      <c r="D34926" s="22" t="str">
        <f>HYPERLINK("https://rhld.insurance.arkansas.gov/NPILookup?Npi=1932216231","1932216231")</f>
        <v>1932216231</v>
      </c>
      <c r="E34926" s="1" t="s">
        <v>8877</v>
      </c>
      <c r="F34926" s="61"/>
      <c r="G34926" s="61"/>
      <c r="H34926" s="61"/>
    </row>
    <row r="34927" spans="2:8" x14ac:dyDescent="0.25">
      <c r="B34927" s="1" t="s">
        <v>8864</v>
      </c>
      <c r="C34927" s="1" t="s">
        <v>8865</v>
      </c>
      <c r="D34927" s="22" t="str">
        <f>HYPERLINK("https://rhld.insurance.arkansas.gov/NPILookup?Npi=1942276316","1942276316")</f>
        <v>1942276316</v>
      </c>
      <c r="E34927" s="1" t="s">
        <v>31214</v>
      </c>
      <c r="F34927" s="61"/>
      <c r="G34927" s="61"/>
      <c r="H34927" s="61"/>
    </row>
    <row r="34928" spans="2:8" x14ac:dyDescent="0.25">
      <c r="B34928" s="1" t="s">
        <v>8864</v>
      </c>
      <c r="C34928" s="1" t="s">
        <v>8865</v>
      </c>
      <c r="D34928" s="22" t="str">
        <f>HYPERLINK("https://rhld.insurance.arkansas.gov/NPILookup?Npi=1952323362","1952323362")</f>
        <v>1952323362</v>
      </c>
      <c r="E34928" s="1" t="s">
        <v>14311</v>
      </c>
      <c r="F34928" s="61"/>
      <c r="G34928" s="61"/>
      <c r="H34928" s="61"/>
    </row>
    <row r="34929" spans="2:8" x14ac:dyDescent="0.25">
      <c r="B34929" s="1" t="s">
        <v>8864</v>
      </c>
      <c r="C34929" s="1" t="s">
        <v>8865</v>
      </c>
      <c r="D34929" s="22" t="str">
        <f>HYPERLINK("https://rhld.insurance.arkansas.gov/NPILookup?Npi=1952527384","1952527384")</f>
        <v>1952527384</v>
      </c>
      <c r="E34929" s="1" t="s">
        <v>14312</v>
      </c>
      <c r="F34929" s="61"/>
      <c r="G34929" s="61"/>
      <c r="H34929" s="61"/>
    </row>
    <row r="34930" spans="2:8" x14ac:dyDescent="0.25">
      <c r="B34930" s="1" t="s">
        <v>8864</v>
      </c>
      <c r="C34930" s="1" t="s">
        <v>8865</v>
      </c>
      <c r="D34930" s="22" t="str">
        <f>HYPERLINK("https://rhld.insurance.arkansas.gov/NPILookup?Npi=1952544793","1952544793")</f>
        <v>1952544793</v>
      </c>
      <c r="E34930" s="1" t="s">
        <v>8878</v>
      </c>
      <c r="F34930" s="61"/>
      <c r="G34930" s="61"/>
      <c r="H34930" s="61"/>
    </row>
    <row r="34931" spans="2:8" x14ac:dyDescent="0.25">
      <c r="B34931" s="1" t="s">
        <v>8864</v>
      </c>
      <c r="C34931" s="1" t="s">
        <v>8865</v>
      </c>
      <c r="D34931" s="22" t="str">
        <f>HYPERLINK("https://rhld.insurance.arkansas.gov/NPILookup?Npi=1962454710","1962454710")</f>
        <v>1962454710</v>
      </c>
      <c r="E34931" s="1" t="s">
        <v>484</v>
      </c>
      <c r="F34931" s="61"/>
      <c r="G34931" s="61"/>
      <c r="H34931" s="61"/>
    </row>
    <row r="34932" spans="2:8" x14ac:dyDescent="0.25">
      <c r="B34932" s="1" t="s">
        <v>8864</v>
      </c>
      <c r="C34932" s="1" t="s">
        <v>8865</v>
      </c>
      <c r="D34932" s="22" t="str">
        <f>HYPERLINK("https://rhld.insurance.arkansas.gov/NPILookup?Npi=1962469023","1962469023")</f>
        <v>1962469023</v>
      </c>
      <c r="E34932" s="1" t="s">
        <v>31215</v>
      </c>
      <c r="F34932" s="61"/>
      <c r="G34932" s="61"/>
      <c r="H34932" s="61"/>
    </row>
    <row r="34933" spans="2:8" x14ac:dyDescent="0.25">
      <c r="B34933" s="1" t="s">
        <v>8864</v>
      </c>
      <c r="C34933" s="1" t="s">
        <v>8865</v>
      </c>
      <c r="D34933" s="22" t="str">
        <f>HYPERLINK("https://rhld.insurance.arkansas.gov/NPILookup?Npi=1962548149","1962548149")</f>
        <v>1962548149</v>
      </c>
      <c r="E34933" s="1" t="s">
        <v>2576</v>
      </c>
      <c r="F34933" s="61"/>
      <c r="G34933" s="61"/>
      <c r="H34933" s="61"/>
    </row>
    <row r="34934" spans="2:8" x14ac:dyDescent="0.25">
      <c r="B34934" s="1" t="s">
        <v>8864</v>
      </c>
      <c r="C34934" s="1" t="s">
        <v>8865</v>
      </c>
      <c r="D34934" s="22" t="str">
        <f>HYPERLINK("https://rhld.insurance.arkansas.gov/NPILookup?Npi=1962962977","1962962977")</f>
        <v>1962962977</v>
      </c>
      <c r="E34934" s="1" t="s">
        <v>31216</v>
      </c>
      <c r="F34934" s="61"/>
      <c r="G34934" s="61"/>
      <c r="H34934" s="61"/>
    </row>
    <row r="34935" spans="2:8" x14ac:dyDescent="0.25">
      <c r="B34935" s="1" t="s">
        <v>8864</v>
      </c>
      <c r="C34935" s="1" t="s">
        <v>8865</v>
      </c>
      <c r="D34935" s="22" t="str">
        <f>HYPERLINK("https://rhld.insurance.arkansas.gov/NPILookup?Npi=1972764496","1972764496")</f>
        <v>1972764496</v>
      </c>
      <c r="E34935" s="1" t="s">
        <v>18617</v>
      </c>
      <c r="F34935" s="61"/>
      <c r="G34935" s="61"/>
      <c r="H34935" s="61"/>
    </row>
    <row r="34936" spans="2:8" x14ac:dyDescent="0.25">
      <c r="B34936" s="1" t="s">
        <v>8864</v>
      </c>
      <c r="C34936" s="1" t="s">
        <v>8865</v>
      </c>
      <c r="D34936" s="22" t="str">
        <f>HYPERLINK("https://rhld.insurance.arkansas.gov/NPILookup?Npi=1982661088","1982661088")</f>
        <v>1982661088</v>
      </c>
      <c r="E34936" s="1" t="s">
        <v>31217</v>
      </c>
      <c r="F34936" s="61"/>
      <c r="G34936" s="61"/>
      <c r="H34936" s="61"/>
    </row>
    <row r="34937" spans="2:8" x14ac:dyDescent="0.25">
      <c r="B34937" s="1" t="s">
        <v>8864</v>
      </c>
      <c r="C34937" s="1" t="s">
        <v>8865</v>
      </c>
      <c r="D34937" s="22" t="str">
        <f>HYPERLINK("https://rhld.insurance.arkansas.gov/NPILookup?Npi=1992095541","1992095541")</f>
        <v>1992095541</v>
      </c>
      <c r="E34937" s="1" t="s">
        <v>31218</v>
      </c>
      <c r="F34937" s="61"/>
      <c r="G34937" s="61"/>
      <c r="H34937" s="61"/>
    </row>
    <row r="34938" spans="2:8" x14ac:dyDescent="0.25">
      <c r="B34938" s="1" t="s">
        <v>8864</v>
      </c>
      <c r="C34938" s="1" t="s">
        <v>8865</v>
      </c>
      <c r="D34938" s="22" t="str">
        <f>HYPERLINK("https://rhld.insurance.arkansas.gov/NPILookup?Npi=1992168546","1992168546")</f>
        <v>1992168546</v>
      </c>
      <c r="E34938" s="1" t="s">
        <v>31219</v>
      </c>
      <c r="F34938" s="61"/>
      <c r="G34938" s="61"/>
      <c r="H34938" s="61"/>
    </row>
    <row r="34939" spans="2:8" x14ac:dyDescent="0.25">
      <c r="B34939" s="1" t="s">
        <v>8864</v>
      </c>
      <c r="C34939" s="1" t="s">
        <v>8865</v>
      </c>
      <c r="D34939" s="22" t="str">
        <f>HYPERLINK("https://rhld.insurance.arkansas.gov/NPILookup?Npi=1992908297","1992908297")</f>
        <v>1992908297</v>
      </c>
      <c r="E34939" s="1" t="s">
        <v>31220</v>
      </c>
      <c r="F34939" s="61"/>
      <c r="G34939" s="61"/>
      <c r="H34939" s="61"/>
    </row>
    <row r="34940" spans="2:8" x14ac:dyDescent="0.25">
      <c r="B34940" s="1" t="s">
        <v>8879</v>
      </c>
      <c r="C34940" s="1" t="s">
        <v>8880</v>
      </c>
      <c r="D34940" s="22" t="str">
        <f>HYPERLINK("https://rhld.insurance.arkansas.gov/NPILookup?Npi=1013626282","1013626282")</f>
        <v>1013626282</v>
      </c>
      <c r="E34940" s="1" t="s">
        <v>18336</v>
      </c>
      <c r="F34940" s="61"/>
      <c r="G34940" s="61"/>
      <c r="H34940" s="61"/>
    </row>
    <row r="34941" spans="2:8" x14ac:dyDescent="0.25">
      <c r="B34941" s="1" t="s">
        <v>8879</v>
      </c>
      <c r="C34941" s="1" t="s">
        <v>8880</v>
      </c>
      <c r="D34941" s="22" t="str">
        <f>HYPERLINK("https://rhld.insurance.arkansas.gov/NPILookup?Npi=1033112461","1033112461")</f>
        <v>1033112461</v>
      </c>
      <c r="E34941" s="1" t="s">
        <v>18340</v>
      </c>
      <c r="F34941" s="61"/>
      <c r="G34941" s="61"/>
      <c r="H34941" s="61"/>
    </row>
    <row r="34942" spans="2:8" x14ac:dyDescent="0.25">
      <c r="B34942" s="1" t="s">
        <v>8879</v>
      </c>
      <c r="C34942" s="1" t="s">
        <v>8880</v>
      </c>
      <c r="D34942" s="22" t="str">
        <f>HYPERLINK("https://rhld.insurance.arkansas.gov/NPILookup?Npi=1043254519","1043254519")</f>
        <v>1043254519</v>
      </c>
      <c r="E34942" s="1" t="s">
        <v>18344</v>
      </c>
      <c r="F34942" s="61"/>
      <c r="G34942" s="61"/>
      <c r="H34942" s="61"/>
    </row>
    <row r="34943" spans="2:8" x14ac:dyDescent="0.25">
      <c r="B34943" s="1" t="s">
        <v>8879</v>
      </c>
      <c r="C34943" s="1" t="s">
        <v>8880</v>
      </c>
      <c r="D34943" s="22" t="str">
        <f>HYPERLINK("https://rhld.insurance.arkansas.gov/NPILookup?Npi=1053300319","1053300319")</f>
        <v>1053300319</v>
      </c>
      <c r="E34943" s="1" t="s">
        <v>14313</v>
      </c>
      <c r="F34943" s="61"/>
      <c r="G34943" s="61"/>
      <c r="H34943" s="61"/>
    </row>
    <row r="34944" spans="2:8" x14ac:dyDescent="0.25">
      <c r="B34944" s="1" t="s">
        <v>8879</v>
      </c>
      <c r="C34944" s="1" t="s">
        <v>8880</v>
      </c>
      <c r="D34944" s="22" t="str">
        <f>HYPERLINK("https://rhld.insurance.arkansas.gov/NPILookup?Npi=1063514321","1063514321")</f>
        <v>1063514321</v>
      </c>
      <c r="E34944" s="1" t="s">
        <v>31221</v>
      </c>
      <c r="F34944" s="61"/>
      <c r="G34944" s="61"/>
      <c r="H34944" s="61"/>
    </row>
    <row r="34945" spans="2:8" x14ac:dyDescent="0.25">
      <c r="B34945" s="1" t="s">
        <v>8879</v>
      </c>
      <c r="C34945" s="1" t="s">
        <v>8880</v>
      </c>
      <c r="D34945" s="22" t="str">
        <f>HYPERLINK("https://rhld.insurance.arkansas.gov/NPILookup?Npi=1124284427","1124284427")</f>
        <v>1124284427</v>
      </c>
      <c r="E34945" s="1" t="s">
        <v>31222</v>
      </c>
      <c r="F34945" s="61"/>
      <c r="G34945" s="61"/>
      <c r="H34945" s="61"/>
    </row>
    <row r="34946" spans="2:8" x14ac:dyDescent="0.25">
      <c r="B34946" s="1" t="s">
        <v>8879</v>
      </c>
      <c r="C34946" s="1" t="s">
        <v>8880</v>
      </c>
      <c r="D34946" s="22" t="str">
        <f>HYPERLINK("https://rhld.insurance.arkansas.gov/NPILookup?Npi=1124438072","1124438072")</f>
        <v>1124438072</v>
      </c>
      <c r="E34946" s="1" t="s">
        <v>31223</v>
      </c>
      <c r="F34946" s="61"/>
      <c r="G34946" s="61"/>
      <c r="H34946" s="61"/>
    </row>
    <row r="34947" spans="2:8" x14ac:dyDescent="0.25">
      <c r="B34947" s="1" t="s">
        <v>8879</v>
      </c>
      <c r="C34947" s="1" t="s">
        <v>8880</v>
      </c>
      <c r="D34947" s="22" t="str">
        <f>HYPERLINK("https://rhld.insurance.arkansas.gov/NPILookup?Npi=1144616095","1144616095")</f>
        <v>1144616095</v>
      </c>
      <c r="E34947" s="1" t="s">
        <v>31224</v>
      </c>
      <c r="F34947" s="61"/>
      <c r="G34947" s="61"/>
      <c r="H34947" s="61"/>
    </row>
    <row r="34948" spans="2:8" x14ac:dyDescent="0.25">
      <c r="B34948" s="1" t="s">
        <v>8879</v>
      </c>
      <c r="C34948" s="1" t="s">
        <v>8880</v>
      </c>
      <c r="D34948" s="22" t="str">
        <f>HYPERLINK("https://rhld.insurance.arkansas.gov/NPILookup?Npi=1174773873","1174773873")</f>
        <v>1174773873</v>
      </c>
      <c r="E34948" s="1" t="s">
        <v>8881</v>
      </c>
      <c r="F34948" s="61"/>
      <c r="G34948" s="61"/>
      <c r="H34948" s="61"/>
    </row>
    <row r="34949" spans="2:8" x14ac:dyDescent="0.25">
      <c r="B34949" s="1" t="s">
        <v>8879</v>
      </c>
      <c r="C34949" s="1" t="s">
        <v>8880</v>
      </c>
      <c r="D34949" s="22" t="str">
        <f>HYPERLINK("https://rhld.insurance.arkansas.gov/NPILookup?Npi=1215215371","1215215371")</f>
        <v>1215215371</v>
      </c>
      <c r="E34949" s="1" t="s">
        <v>4720</v>
      </c>
      <c r="F34949" s="61"/>
      <c r="G34949" s="61"/>
      <c r="H34949" s="61"/>
    </row>
    <row r="34950" spans="2:8" x14ac:dyDescent="0.25">
      <c r="B34950" s="1" t="s">
        <v>8879</v>
      </c>
      <c r="C34950" s="1" t="s">
        <v>8880</v>
      </c>
      <c r="D34950" s="22" t="str">
        <f>HYPERLINK("https://rhld.insurance.arkansas.gov/NPILookup?Npi=1215376819","1215376819")</f>
        <v>1215376819</v>
      </c>
      <c r="E34950" s="1" t="s">
        <v>31225</v>
      </c>
      <c r="F34950" s="61"/>
      <c r="G34950" s="61"/>
      <c r="H34950" s="61"/>
    </row>
    <row r="34951" spans="2:8" x14ac:dyDescent="0.25">
      <c r="B34951" s="1" t="s">
        <v>8879</v>
      </c>
      <c r="C34951" s="1" t="s">
        <v>8880</v>
      </c>
      <c r="D34951" s="22" t="str">
        <f>HYPERLINK("https://rhld.insurance.arkansas.gov/NPILookup?Npi=1245627744","1245627744")</f>
        <v>1245627744</v>
      </c>
      <c r="E34951" s="1" t="s">
        <v>32573</v>
      </c>
      <c r="F34951" s="61"/>
      <c r="G34951" s="61"/>
      <c r="H34951" s="61"/>
    </row>
    <row r="34952" spans="2:8" x14ac:dyDescent="0.25">
      <c r="B34952" s="1" t="s">
        <v>8879</v>
      </c>
      <c r="C34952" s="1" t="s">
        <v>8880</v>
      </c>
      <c r="D34952" s="22" t="str">
        <f>HYPERLINK("https://rhld.insurance.arkansas.gov/NPILookup?Npi=1255690871","1255690871")</f>
        <v>1255690871</v>
      </c>
      <c r="E34952" s="1" t="s">
        <v>18400</v>
      </c>
      <c r="F34952" s="61"/>
      <c r="G34952" s="61"/>
      <c r="H34952" s="61"/>
    </row>
    <row r="34953" spans="2:8" x14ac:dyDescent="0.25">
      <c r="B34953" s="1" t="s">
        <v>8879</v>
      </c>
      <c r="C34953" s="1" t="s">
        <v>8880</v>
      </c>
      <c r="D34953" s="22" t="str">
        <f>HYPERLINK("https://rhld.insurance.arkansas.gov/NPILookup?Npi=1265963706","1265963706")</f>
        <v>1265963706</v>
      </c>
      <c r="E34953" s="1" t="s">
        <v>31226</v>
      </c>
      <c r="F34953" s="61"/>
      <c r="G34953" s="61"/>
      <c r="H34953" s="61"/>
    </row>
    <row r="34954" spans="2:8" x14ac:dyDescent="0.25">
      <c r="B34954" s="1" t="s">
        <v>8879</v>
      </c>
      <c r="C34954" s="1" t="s">
        <v>8880</v>
      </c>
      <c r="D34954" s="22" t="str">
        <f>HYPERLINK("https://rhld.insurance.arkansas.gov/NPILookup?Npi=1275859076","1275859076")</f>
        <v>1275859076</v>
      </c>
      <c r="E34954" s="1" t="s">
        <v>31227</v>
      </c>
      <c r="F34954" s="61"/>
      <c r="G34954" s="61"/>
      <c r="H34954" s="61"/>
    </row>
    <row r="34955" spans="2:8" x14ac:dyDescent="0.25">
      <c r="B34955" s="1" t="s">
        <v>8879</v>
      </c>
      <c r="C34955" s="1" t="s">
        <v>8880</v>
      </c>
      <c r="D34955" s="22" t="str">
        <f>HYPERLINK("https://rhld.insurance.arkansas.gov/NPILookup?Npi=1275981987","1275981987")</f>
        <v>1275981987</v>
      </c>
      <c r="E34955" s="1" t="s">
        <v>31228</v>
      </c>
      <c r="F34955" s="61"/>
      <c r="G34955" s="61"/>
      <c r="H34955" s="61"/>
    </row>
    <row r="34956" spans="2:8" x14ac:dyDescent="0.25">
      <c r="B34956" s="1" t="s">
        <v>8879</v>
      </c>
      <c r="C34956" s="1" t="s">
        <v>8880</v>
      </c>
      <c r="D34956" s="22" t="str">
        <f>HYPERLINK("https://rhld.insurance.arkansas.gov/NPILookup?Npi=1326238171","1326238171")</f>
        <v>1326238171</v>
      </c>
      <c r="E34956" s="1" t="s">
        <v>4741</v>
      </c>
      <c r="F34956" s="61"/>
      <c r="G34956" s="61"/>
      <c r="H34956" s="61"/>
    </row>
    <row r="34957" spans="2:8" x14ac:dyDescent="0.25">
      <c r="B34957" s="1" t="s">
        <v>8879</v>
      </c>
      <c r="C34957" s="1" t="s">
        <v>8880</v>
      </c>
      <c r="D34957" s="22" t="str">
        <f>HYPERLINK("https://rhld.insurance.arkansas.gov/NPILookup?Npi=1336313170","1336313170")</f>
        <v>1336313170</v>
      </c>
      <c r="E34957" s="1" t="s">
        <v>18424</v>
      </c>
      <c r="F34957" s="61"/>
      <c r="G34957" s="61"/>
      <c r="H34957" s="61"/>
    </row>
    <row r="34958" spans="2:8" x14ac:dyDescent="0.25">
      <c r="B34958" s="1" t="s">
        <v>8879</v>
      </c>
      <c r="C34958" s="1" t="s">
        <v>8880</v>
      </c>
      <c r="D34958" s="22" t="str">
        <f>HYPERLINK("https://rhld.insurance.arkansas.gov/NPILookup?Npi=1346468105","1346468105")</f>
        <v>1346468105</v>
      </c>
      <c r="E34958" s="1" t="s">
        <v>8882</v>
      </c>
      <c r="F34958" s="61"/>
      <c r="G34958" s="61"/>
      <c r="H34958" s="61"/>
    </row>
    <row r="34959" spans="2:8" x14ac:dyDescent="0.25">
      <c r="B34959" s="1" t="s">
        <v>8879</v>
      </c>
      <c r="C34959" s="1" t="s">
        <v>8880</v>
      </c>
      <c r="D34959" s="22" t="str">
        <f>HYPERLINK("https://rhld.insurance.arkansas.gov/NPILookup?Npi=1396784377","1396784377")</f>
        <v>1396784377</v>
      </c>
      <c r="E34959" s="1" t="s">
        <v>18439</v>
      </c>
      <c r="F34959" s="61"/>
      <c r="G34959" s="61"/>
      <c r="H34959" s="61"/>
    </row>
    <row r="34960" spans="2:8" x14ac:dyDescent="0.25">
      <c r="B34960" s="1" t="s">
        <v>8879</v>
      </c>
      <c r="C34960" s="1" t="s">
        <v>8880</v>
      </c>
      <c r="D34960" s="22" t="str">
        <f>HYPERLINK("https://rhld.insurance.arkansas.gov/NPILookup?Npi=1407276025","1407276025")</f>
        <v>1407276025</v>
      </c>
      <c r="E34960" s="1" t="s">
        <v>31229</v>
      </c>
      <c r="F34960" s="61"/>
      <c r="G34960" s="61"/>
      <c r="H34960" s="61"/>
    </row>
    <row r="34961" spans="2:8" x14ac:dyDescent="0.25">
      <c r="B34961" s="1" t="s">
        <v>8879</v>
      </c>
      <c r="C34961" s="1" t="s">
        <v>8880</v>
      </c>
      <c r="D34961" s="22" t="str">
        <f>HYPERLINK("https://rhld.insurance.arkansas.gov/NPILookup?Npi=1437321411","1437321411")</f>
        <v>1437321411</v>
      </c>
      <c r="E34961" s="1" t="s">
        <v>31230</v>
      </c>
      <c r="F34961" s="61"/>
      <c r="G34961" s="61"/>
      <c r="H34961" s="61"/>
    </row>
    <row r="34962" spans="2:8" x14ac:dyDescent="0.25">
      <c r="B34962" s="1" t="s">
        <v>8879</v>
      </c>
      <c r="C34962" s="1" t="s">
        <v>8880</v>
      </c>
      <c r="D34962" s="22" t="str">
        <f>HYPERLINK("https://rhld.insurance.arkansas.gov/NPILookup?Npi=1447221882","1447221882")</f>
        <v>1447221882</v>
      </c>
      <c r="E34962" s="1" t="s">
        <v>4758</v>
      </c>
      <c r="F34962" s="61"/>
      <c r="G34962" s="61"/>
      <c r="H34962" s="61"/>
    </row>
    <row r="34963" spans="2:8" x14ac:dyDescent="0.25">
      <c r="B34963" s="1" t="s">
        <v>8879</v>
      </c>
      <c r="C34963" s="1" t="s">
        <v>8880</v>
      </c>
      <c r="D34963" s="22" t="str">
        <f>HYPERLINK("https://rhld.insurance.arkansas.gov/NPILookup?Npi=1447255229","1447255229")</f>
        <v>1447255229</v>
      </c>
      <c r="E34963" s="1" t="s">
        <v>18456</v>
      </c>
      <c r="F34963" s="61"/>
      <c r="G34963" s="61"/>
      <c r="H34963" s="61"/>
    </row>
    <row r="34964" spans="2:8" x14ac:dyDescent="0.25">
      <c r="B34964" s="1" t="s">
        <v>8879</v>
      </c>
      <c r="C34964" s="1" t="s">
        <v>8880</v>
      </c>
      <c r="D34964" s="22" t="str">
        <f>HYPERLINK("https://rhld.insurance.arkansas.gov/NPILookup?Npi=1477558955","1477558955")</f>
        <v>1477558955</v>
      </c>
      <c r="E34964" s="1" t="s">
        <v>15822</v>
      </c>
      <c r="F34964" s="61"/>
      <c r="G34964" s="61"/>
      <c r="H34964" s="61"/>
    </row>
    <row r="34965" spans="2:8" x14ac:dyDescent="0.25">
      <c r="B34965" s="1" t="s">
        <v>8879</v>
      </c>
      <c r="C34965" s="1" t="s">
        <v>8880</v>
      </c>
      <c r="D34965" s="22" t="str">
        <f>HYPERLINK("https://rhld.insurance.arkansas.gov/NPILookup?Npi=1518255801","1518255801")</f>
        <v>1518255801</v>
      </c>
      <c r="E34965" s="1" t="s">
        <v>10647</v>
      </c>
      <c r="F34965" s="61"/>
      <c r="G34965" s="61"/>
      <c r="H34965" s="61"/>
    </row>
    <row r="34966" spans="2:8" x14ac:dyDescent="0.25">
      <c r="B34966" s="1" t="s">
        <v>8879</v>
      </c>
      <c r="C34966" s="1" t="s">
        <v>8880</v>
      </c>
      <c r="D34966" s="22" t="str">
        <f>HYPERLINK("https://rhld.insurance.arkansas.gov/NPILookup?Npi=1528220639","1528220639")</f>
        <v>1528220639</v>
      </c>
      <c r="E34966" s="1" t="s">
        <v>15840</v>
      </c>
      <c r="F34966" s="61"/>
      <c r="G34966" s="61"/>
      <c r="H34966" s="61"/>
    </row>
    <row r="34967" spans="2:8" x14ac:dyDescent="0.25">
      <c r="B34967" s="1" t="s">
        <v>8879</v>
      </c>
      <c r="C34967" s="1" t="s">
        <v>8880</v>
      </c>
      <c r="D34967" s="22" t="str">
        <f>HYPERLINK("https://rhld.insurance.arkansas.gov/NPILookup?Npi=1528289808","1528289808")</f>
        <v>1528289808</v>
      </c>
      <c r="E34967" s="1" t="s">
        <v>16012</v>
      </c>
      <c r="F34967" s="61"/>
      <c r="G34967" s="61"/>
      <c r="H34967" s="61"/>
    </row>
    <row r="34968" spans="2:8" x14ac:dyDescent="0.25">
      <c r="B34968" s="1" t="s">
        <v>8879</v>
      </c>
      <c r="C34968" s="1" t="s">
        <v>8880</v>
      </c>
      <c r="D34968" s="22" t="str">
        <f>HYPERLINK("https://rhld.insurance.arkansas.gov/NPILookup?Npi=1558362970","1558362970")</f>
        <v>1558362970</v>
      </c>
      <c r="E34968" s="1" t="s">
        <v>31231</v>
      </c>
      <c r="F34968" s="61"/>
      <c r="G34968" s="61"/>
      <c r="H34968" s="61"/>
    </row>
    <row r="34969" spans="2:8" x14ac:dyDescent="0.25">
      <c r="B34969" s="1" t="s">
        <v>8879</v>
      </c>
      <c r="C34969" s="1" t="s">
        <v>8880</v>
      </c>
      <c r="D34969" s="22" t="str">
        <f>HYPERLINK("https://rhld.insurance.arkansas.gov/NPILookup?Npi=1558576041","1558576041")</f>
        <v>1558576041</v>
      </c>
      <c r="E34969" s="1" t="s">
        <v>2133</v>
      </c>
      <c r="F34969" s="61"/>
      <c r="G34969" s="61"/>
      <c r="H34969" s="61"/>
    </row>
    <row r="34970" spans="2:8" x14ac:dyDescent="0.25">
      <c r="B34970" s="1" t="s">
        <v>8879</v>
      </c>
      <c r="C34970" s="1" t="s">
        <v>8880</v>
      </c>
      <c r="D34970" s="22" t="str">
        <f>HYPERLINK("https://rhld.insurance.arkansas.gov/NPILookup?Npi=1598297244","1598297244")</f>
        <v>1598297244</v>
      </c>
      <c r="E34970" s="1" t="s">
        <v>32574</v>
      </c>
      <c r="F34970" s="61"/>
      <c r="G34970" s="61"/>
      <c r="H34970" s="61"/>
    </row>
    <row r="34971" spans="2:8" x14ac:dyDescent="0.25">
      <c r="B34971" s="1" t="s">
        <v>8879</v>
      </c>
      <c r="C34971" s="1" t="s">
        <v>8880</v>
      </c>
      <c r="D34971" s="22" t="str">
        <f>HYPERLINK("https://rhld.insurance.arkansas.gov/NPILookup?Npi=1619234366","1619234366")</f>
        <v>1619234366</v>
      </c>
      <c r="E34971" s="1" t="s">
        <v>4785</v>
      </c>
      <c r="F34971" s="61"/>
      <c r="G34971" s="61"/>
      <c r="H34971" s="61"/>
    </row>
    <row r="34972" spans="2:8" x14ac:dyDescent="0.25">
      <c r="B34972" s="1" t="s">
        <v>8879</v>
      </c>
      <c r="C34972" s="1" t="s">
        <v>8880</v>
      </c>
      <c r="D34972" s="22" t="str">
        <f>HYPERLINK("https://rhld.insurance.arkansas.gov/NPILookup?Npi=1619389939","1619389939")</f>
        <v>1619389939</v>
      </c>
      <c r="E34972" s="1" t="s">
        <v>31232</v>
      </c>
      <c r="F34972" s="61"/>
      <c r="G34972" s="61"/>
      <c r="H34972" s="61"/>
    </row>
    <row r="34973" spans="2:8" x14ac:dyDescent="0.25">
      <c r="B34973" s="1" t="s">
        <v>8879</v>
      </c>
      <c r="C34973" s="1" t="s">
        <v>8880</v>
      </c>
      <c r="D34973" s="22" t="str">
        <f>HYPERLINK("https://rhld.insurance.arkansas.gov/NPILookup?Npi=1619976628","1619976628")</f>
        <v>1619976628</v>
      </c>
      <c r="E34973" s="1" t="s">
        <v>31233</v>
      </c>
      <c r="F34973" s="61"/>
      <c r="G34973" s="61"/>
      <c r="H34973" s="61"/>
    </row>
    <row r="34974" spans="2:8" x14ac:dyDescent="0.25">
      <c r="B34974" s="1" t="s">
        <v>8879</v>
      </c>
      <c r="C34974" s="1" t="s">
        <v>8880</v>
      </c>
      <c r="D34974" s="22" t="str">
        <f>HYPERLINK("https://rhld.insurance.arkansas.gov/NPILookup?Npi=1649447806","1649447806")</f>
        <v>1649447806</v>
      </c>
      <c r="E34974" s="1" t="s">
        <v>10660</v>
      </c>
      <c r="F34974" s="61"/>
      <c r="G34974" s="61"/>
      <c r="H34974" s="61"/>
    </row>
    <row r="34975" spans="2:8" x14ac:dyDescent="0.25">
      <c r="B34975" s="1" t="s">
        <v>8879</v>
      </c>
      <c r="C34975" s="1" t="s">
        <v>8880</v>
      </c>
      <c r="D34975" s="22" t="str">
        <f>HYPERLINK("https://rhld.insurance.arkansas.gov/NPILookup?Npi=1659316990","1659316990")</f>
        <v>1659316990</v>
      </c>
      <c r="E34975" s="1" t="s">
        <v>8883</v>
      </c>
      <c r="F34975" s="61"/>
      <c r="G34975" s="61"/>
      <c r="H34975" s="61"/>
    </row>
    <row r="34976" spans="2:8" x14ac:dyDescent="0.25">
      <c r="B34976" s="1" t="s">
        <v>8879</v>
      </c>
      <c r="C34976" s="1" t="s">
        <v>8880</v>
      </c>
      <c r="D34976" s="22" t="str">
        <f>HYPERLINK("https://rhld.insurance.arkansas.gov/NPILookup?Npi=1679777585","1679777585")</f>
        <v>1679777585</v>
      </c>
      <c r="E34976" s="1" t="s">
        <v>14314</v>
      </c>
      <c r="F34976" s="61"/>
      <c r="G34976" s="61"/>
      <c r="H34976" s="61"/>
    </row>
    <row r="34977" spans="2:8" x14ac:dyDescent="0.25">
      <c r="B34977" s="1" t="s">
        <v>8879</v>
      </c>
      <c r="C34977" s="1" t="s">
        <v>8880</v>
      </c>
      <c r="D34977" s="22" t="str">
        <f>HYPERLINK("https://rhld.insurance.arkansas.gov/NPILookup?Npi=1710368725","1710368725")</f>
        <v>1710368725</v>
      </c>
      <c r="E34977" s="1" t="s">
        <v>31234</v>
      </c>
      <c r="F34977" s="61"/>
      <c r="G34977" s="61"/>
      <c r="H34977" s="61"/>
    </row>
    <row r="34978" spans="2:8" x14ac:dyDescent="0.25">
      <c r="B34978" s="1" t="s">
        <v>8879</v>
      </c>
      <c r="C34978" s="1" t="s">
        <v>8880</v>
      </c>
      <c r="D34978" s="22" t="str">
        <f>HYPERLINK("https://rhld.insurance.arkansas.gov/NPILookup?Npi=1720423510","1720423510")</f>
        <v>1720423510</v>
      </c>
      <c r="E34978" s="1" t="s">
        <v>14315</v>
      </c>
      <c r="F34978" s="61"/>
      <c r="G34978" s="61"/>
      <c r="H34978" s="61"/>
    </row>
    <row r="34979" spans="2:8" x14ac:dyDescent="0.25">
      <c r="B34979" s="1" t="s">
        <v>8879</v>
      </c>
      <c r="C34979" s="1" t="s">
        <v>8880</v>
      </c>
      <c r="D34979" s="22" t="str">
        <f>HYPERLINK("https://rhld.insurance.arkansas.gov/NPILookup?Npi=1730163452","1730163452")</f>
        <v>1730163452</v>
      </c>
      <c r="E34979" s="1" t="s">
        <v>18550</v>
      </c>
      <c r="F34979" s="61"/>
      <c r="G34979" s="61"/>
      <c r="H34979" s="61"/>
    </row>
    <row r="34980" spans="2:8" x14ac:dyDescent="0.25">
      <c r="B34980" s="1" t="s">
        <v>8879</v>
      </c>
      <c r="C34980" s="1" t="s">
        <v>8880</v>
      </c>
      <c r="D34980" s="22" t="str">
        <f>HYPERLINK("https://rhld.insurance.arkansas.gov/NPILookup?Npi=1760697783","1760697783")</f>
        <v>1760697783</v>
      </c>
      <c r="E34980" s="1" t="s">
        <v>18563</v>
      </c>
      <c r="F34980" s="61"/>
      <c r="G34980" s="61"/>
      <c r="H34980" s="61"/>
    </row>
    <row r="34981" spans="2:8" x14ac:dyDescent="0.25">
      <c r="B34981" s="1" t="s">
        <v>8879</v>
      </c>
      <c r="C34981" s="1" t="s">
        <v>8880</v>
      </c>
      <c r="D34981" s="22" t="str">
        <f>HYPERLINK("https://rhld.insurance.arkansas.gov/NPILookup?Npi=1760744916","1760744916")</f>
        <v>1760744916</v>
      </c>
      <c r="E34981" s="1" t="s">
        <v>31235</v>
      </c>
      <c r="F34981" s="61"/>
      <c r="G34981" s="61"/>
      <c r="H34981" s="61"/>
    </row>
    <row r="34982" spans="2:8" x14ac:dyDescent="0.25">
      <c r="B34982" s="1" t="s">
        <v>8879</v>
      </c>
      <c r="C34982" s="1" t="s">
        <v>8880</v>
      </c>
      <c r="D34982" s="22" t="str">
        <f>HYPERLINK("https://rhld.insurance.arkansas.gov/NPILookup?Npi=1801009089","1801009089")</f>
        <v>1801009089</v>
      </c>
      <c r="E34982" s="1" t="s">
        <v>4801</v>
      </c>
      <c r="F34982" s="61"/>
      <c r="G34982" s="61"/>
      <c r="H34982" s="61"/>
    </row>
    <row r="34983" spans="2:8" x14ac:dyDescent="0.25">
      <c r="B34983" s="1" t="s">
        <v>8879</v>
      </c>
      <c r="C34983" s="1" t="s">
        <v>8880</v>
      </c>
      <c r="D34983" s="22" t="str">
        <f>HYPERLINK("https://rhld.insurance.arkansas.gov/NPILookup?Npi=1821098302","1821098302")</f>
        <v>1821098302</v>
      </c>
      <c r="E34983" s="1" t="s">
        <v>8884</v>
      </c>
      <c r="F34983" s="61"/>
      <c r="G34983" s="61"/>
      <c r="H34983" s="61"/>
    </row>
    <row r="34984" spans="2:8" x14ac:dyDescent="0.25">
      <c r="B34984" s="1" t="s">
        <v>8879</v>
      </c>
      <c r="C34984" s="1" t="s">
        <v>8880</v>
      </c>
      <c r="D34984" s="22" t="str">
        <f>HYPERLINK("https://rhld.insurance.arkansas.gov/NPILookup?Npi=1871504126","1871504126")</f>
        <v>1871504126</v>
      </c>
      <c r="E34984" s="1" t="s">
        <v>3872</v>
      </c>
      <c r="F34984" s="61"/>
      <c r="G34984" s="61"/>
      <c r="H34984" s="61"/>
    </row>
    <row r="34985" spans="2:8" x14ac:dyDescent="0.25">
      <c r="B34985" s="1" t="s">
        <v>8879</v>
      </c>
      <c r="C34985" s="1" t="s">
        <v>8880</v>
      </c>
      <c r="D34985" s="22" t="str">
        <f>HYPERLINK("https://rhld.insurance.arkansas.gov/NPILookup?Npi=1871974428","1871974428")</f>
        <v>1871974428</v>
      </c>
      <c r="E34985" s="1" t="s">
        <v>31236</v>
      </c>
      <c r="F34985" s="61"/>
      <c r="G34985" s="61"/>
      <c r="H34985" s="61"/>
    </row>
    <row r="34986" spans="2:8" x14ac:dyDescent="0.25">
      <c r="B34986" s="1" t="s">
        <v>8879</v>
      </c>
      <c r="C34986" s="1" t="s">
        <v>8880</v>
      </c>
      <c r="D34986" s="22" t="str">
        <f>HYPERLINK("https://rhld.insurance.arkansas.gov/NPILookup?Npi=1881675882","1881675882")</f>
        <v>1881675882</v>
      </c>
      <c r="E34986" s="1" t="s">
        <v>4520</v>
      </c>
      <c r="F34986" s="61"/>
      <c r="G34986" s="61"/>
      <c r="H34986" s="61"/>
    </row>
    <row r="34987" spans="2:8" x14ac:dyDescent="0.25">
      <c r="B34987" s="1" t="s">
        <v>8879</v>
      </c>
      <c r="C34987" s="1" t="s">
        <v>8880</v>
      </c>
      <c r="D34987" s="22" t="str">
        <f>HYPERLINK("https://rhld.insurance.arkansas.gov/NPILookup?Npi=1922171966","1922171966")</f>
        <v>1922171966</v>
      </c>
      <c r="E34987" s="1" t="s">
        <v>9898</v>
      </c>
      <c r="F34987" s="61"/>
      <c r="G34987" s="61"/>
      <c r="H34987" s="61"/>
    </row>
    <row r="34988" spans="2:8" x14ac:dyDescent="0.25">
      <c r="B34988" s="1" t="s">
        <v>8879</v>
      </c>
      <c r="C34988" s="1" t="s">
        <v>8880</v>
      </c>
      <c r="D34988" s="22" t="str">
        <f>HYPERLINK("https://rhld.insurance.arkansas.gov/NPILookup?Npi=1942390513","1942390513")</f>
        <v>1942390513</v>
      </c>
      <c r="E34988" s="1" t="s">
        <v>16033</v>
      </c>
      <c r="F34988" s="61"/>
      <c r="G34988" s="61"/>
      <c r="H34988" s="61"/>
    </row>
    <row r="34989" spans="2:8" x14ac:dyDescent="0.25">
      <c r="B34989" s="1" t="s">
        <v>8879</v>
      </c>
      <c r="C34989" s="1" t="s">
        <v>8880</v>
      </c>
      <c r="D34989" s="22" t="str">
        <f>HYPERLINK("https://rhld.insurance.arkansas.gov/NPILookup?Npi=1942447149","1942447149")</f>
        <v>1942447149</v>
      </c>
      <c r="E34989" s="1" t="s">
        <v>4816</v>
      </c>
      <c r="F34989" s="61"/>
      <c r="G34989" s="61"/>
      <c r="H34989" s="61"/>
    </row>
    <row r="34990" spans="2:8" x14ac:dyDescent="0.25">
      <c r="B34990" s="1" t="s">
        <v>8879</v>
      </c>
      <c r="C34990" s="1" t="s">
        <v>8880</v>
      </c>
      <c r="D34990" s="22" t="str">
        <f>HYPERLINK("https://rhld.insurance.arkansas.gov/NPILookup?Npi=1952555666","1952555666")</f>
        <v>1952555666</v>
      </c>
      <c r="E34990" s="1" t="s">
        <v>10189</v>
      </c>
      <c r="F34990" s="61"/>
      <c r="G34990" s="61"/>
      <c r="H34990" s="61"/>
    </row>
    <row r="34991" spans="2:8" x14ac:dyDescent="0.25">
      <c r="B34991" s="1" t="s">
        <v>8879</v>
      </c>
      <c r="C34991" s="1" t="s">
        <v>8880</v>
      </c>
      <c r="D34991" s="22" t="str">
        <f>HYPERLINK("https://rhld.insurance.arkansas.gov/NPILookup?Npi=1962466748","1962466748")</f>
        <v>1962466748</v>
      </c>
      <c r="E34991" s="1" t="s">
        <v>32575</v>
      </c>
      <c r="F34991" s="61"/>
      <c r="G34991" s="61"/>
      <c r="H34991" s="61"/>
    </row>
    <row r="34992" spans="2:8" x14ac:dyDescent="0.25">
      <c r="B34992" s="1" t="s">
        <v>8879</v>
      </c>
      <c r="C34992" s="1" t="s">
        <v>8880</v>
      </c>
      <c r="D34992" s="22" t="str">
        <f>HYPERLINK("https://rhld.insurance.arkansas.gov/NPILookup?Npi=1962818211","1962818211")</f>
        <v>1962818211</v>
      </c>
      <c r="E34992" s="1" t="s">
        <v>14316</v>
      </c>
      <c r="F34992" s="61"/>
      <c r="G34992" s="61"/>
      <c r="H34992" s="61"/>
    </row>
    <row r="34993" spans="2:8" x14ac:dyDescent="0.25">
      <c r="B34993" s="1" t="s">
        <v>14337</v>
      </c>
      <c r="C34993" s="1" t="s">
        <v>14338</v>
      </c>
      <c r="D34993" s="22" t="str">
        <f>HYPERLINK("https://rhld.insurance.arkansas.gov/NPILookup?Npi=1003203878","1003203878")</f>
        <v>1003203878</v>
      </c>
      <c r="E34993" s="1" t="s">
        <v>14339</v>
      </c>
      <c r="F34993" s="62"/>
      <c r="G34993" s="2">
        <v>54321</v>
      </c>
      <c r="H34993" s="62"/>
    </row>
    <row r="34994" spans="2:8" x14ac:dyDescent="0.25">
      <c r="B34994" s="1" t="s">
        <v>14337</v>
      </c>
      <c r="C34994" s="1" t="s">
        <v>14338</v>
      </c>
      <c r="D34994" s="22" t="str">
        <f>HYPERLINK("https://rhld.insurance.arkansas.gov/NPILookup?Npi=1003294646","1003294646")</f>
        <v>1003294646</v>
      </c>
      <c r="E34994" s="1" t="s">
        <v>14340</v>
      </c>
      <c r="F34994" s="62"/>
      <c r="G34994" s="2">
        <v>54321</v>
      </c>
      <c r="H34994" s="62"/>
    </row>
    <row r="34995" spans="2:8" x14ac:dyDescent="0.25">
      <c r="B34995" s="1" t="s">
        <v>14337</v>
      </c>
      <c r="C34995" s="1" t="s">
        <v>14338</v>
      </c>
      <c r="D34995" s="22" t="str">
        <f>HYPERLINK("https://rhld.insurance.arkansas.gov/NPILookup?Npi=1003816174","1003816174")</f>
        <v>1003816174</v>
      </c>
      <c r="E34995" s="1" t="s">
        <v>14341</v>
      </c>
      <c r="F34995" s="62"/>
      <c r="G34995" s="2">
        <v>54321</v>
      </c>
      <c r="H34995" s="62"/>
    </row>
    <row r="34996" spans="2:8" x14ac:dyDescent="0.25">
      <c r="B34996" s="1" t="s">
        <v>14337</v>
      </c>
      <c r="C34996" s="1" t="s">
        <v>14338</v>
      </c>
      <c r="D34996" s="22" t="str">
        <f>HYPERLINK("https://rhld.insurance.arkansas.gov/NPILookup?Npi=1003821364","1003821364")</f>
        <v>1003821364</v>
      </c>
      <c r="E34996" s="1" t="s">
        <v>14342</v>
      </c>
      <c r="F34996" s="62"/>
      <c r="G34996" s="2">
        <v>54321</v>
      </c>
      <c r="H34996" s="62"/>
    </row>
    <row r="34997" spans="2:8" x14ac:dyDescent="0.25">
      <c r="B34997" s="1" t="s">
        <v>14337</v>
      </c>
      <c r="C34997" s="1" t="s">
        <v>14338</v>
      </c>
      <c r="D34997" s="22" t="str">
        <f>HYPERLINK("https://rhld.insurance.arkansas.gov/NPILookup?Npi=1003823006","1003823006")</f>
        <v>1003823006</v>
      </c>
      <c r="E34997" s="1" t="s">
        <v>14343</v>
      </c>
      <c r="F34997" s="62" t="s">
        <v>1</v>
      </c>
      <c r="G34997" s="2">
        <v>54321</v>
      </c>
      <c r="H34997" s="62" t="s">
        <v>37378</v>
      </c>
    </row>
    <row r="34998" spans="2:8" x14ac:dyDescent="0.25">
      <c r="B34998" s="1" t="s">
        <v>14337</v>
      </c>
      <c r="C34998" s="1" t="s">
        <v>14338</v>
      </c>
      <c r="D34998" s="22" t="str">
        <f>HYPERLINK("https://rhld.insurance.arkansas.gov/NPILookup?Npi=1003831702","1003831702")</f>
        <v>1003831702</v>
      </c>
      <c r="E34998" s="1" t="s">
        <v>14344</v>
      </c>
      <c r="F34998" s="62"/>
      <c r="G34998" s="2">
        <v>54321</v>
      </c>
      <c r="H34998" s="62"/>
    </row>
    <row r="34999" spans="2:8" x14ac:dyDescent="0.25">
      <c r="B34999" s="1" t="s">
        <v>14337</v>
      </c>
      <c r="C34999" s="1" t="s">
        <v>14338</v>
      </c>
      <c r="D34999" s="22" t="str">
        <f>HYPERLINK("https://rhld.insurance.arkansas.gov/NPILookup?Npi=1013069970","1013069970")</f>
        <v>1013069970</v>
      </c>
      <c r="E34999" s="1" t="s">
        <v>14345</v>
      </c>
      <c r="F34999" s="62"/>
      <c r="G34999" s="2">
        <v>54321</v>
      </c>
      <c r="H34999" s="62"/>
    </row>
    <row r="35000" spans="2:8" x14ac:dyDescent="0.25">
      <c r="B35000" s="1" t="s">
        <v>14337</v>
      </c>
      <c r="C35000" s="1" t="s">
        <v>14338</v>
      </c>
      <c r="D35000" s="22" t="str">
        <f>HYPERLINK("https://rhld.insurance.arkansas.gov/NPILookup?Npi=1013188168","1013188168")</f>
        <v>1013188168</v>
      </c>
      <c r="E35000" s="1" t="s">
        <v>14346</v>
      </c>
      <c r="F35000" s="62"/>
      <c r="G35000" s="2">
        <v>54321</v>
      </c>
      <c r="H35000" s="62"/>
    </row>
    <row r="35001" spans="2:8" x14ac:dyDescent="0.25">
      <c r="B35001" s="1" t="s">
        <v>14337</v>
      </c>
      <c r="C35001" s="1" t="s">
        <v>14338</v>
      </c>
      <c r="D35001" s="22" t="str">
        <f>HYPERLINK("https://rhld.insurance.arkansas.gov/NPILookup?Npi=1013297548","1013297548")</f>
        <v>1013297548</v>
      </c>
      <c r="E35001" s="1" t="s">
        <v>14344</v>
      </c>
      <c r="F35001" s="62"/>
      <c r="G35001" s="2">
        <v>54321</v>
      </c>
      <c r="H35001" s="62"/>
    </row>
    <row r="35002" spans="2:8" x14ac:dyDescent="0.25">
      <c r="B35002" s="1" t="s">
        <v>14337</v>
      </c>
      <c r="C35002" s="1" t="s">
        <v>14338</v>
      </c>
      <c r="D35002" s="22" t="str">
        <f>HYPERLINK("https://rhld.insurance.arkansas.gov/NPILookup?Npi=1013400167","1013400167")</f>
        <v>1013400167</v>
      </c>
      <c r="E35002" s="1" t="s">
        <v>14347</v>
      </c>
      <c r="F35002" s="62"/>
      <c r="G35002" s="2">
        <v>54321</v>
      </c>
      <c r="H35002" s="62"/>
    </row>
    <row r="35003" spans="2:8" x14ac:dyDescent="0.25">
      <c r="B35003" s="1" t="s">
        <v>14337</v>
      </c>
      <c r="C35003" s="1" t="s">
        <v>14338</v>
      </c>
      <c r="D35003" s="22" t="str">
        <f>HYPERLINK("https://rhld.insurance.arkansas.gov/NPILookup?Npi=1013422179","1013422179")</f>
        <v>1013422179</v>
      </c>
      <c r="E35003" s="1" t="s">
        <v>14348</v>
      </c>
      <c r="F35003" s="62"/>
      <c r="G35003" s="2">
        <v>54321</v>
      </c>
      <c r="H35003" s="62"/>
    </row>
    <row r="35004" spans="2:8" x14ac:dyDescent="0.25">
      <c r="B35004" s="1" t="s">
        <v>14337</v>
      </c>
      <c r="C35004" s="1" t="s">
        <v>14338</v>
      </c>
      <c r="D35004" s="22" t="str">
        <f>HYPERLINK("https://rhld.insurance.arkansas.gov/NPILookup?Npi=1013589514","1013589514")</f>
        <v>1013589514</v>
      </c>
      <c r="E35004" s="1" t="s">
        <v>14349</v>
      </c>
      <c r="F35004" s="62" t="s">
        <v>1</v>
      </c>
      <c r="G35004" s="2">
        <v>54321</v>
      </c>
      <c r="H35004" s="2" t="s">
        <v>37379</v>
      </c>
    </row>
    <row r="35005" spans="2:8" x14ac:dyDescent="0.25">
      <c r="B35005" s="1" t="s">
        <v>14337</v>
      </c>
      <c r="C35005" s="1" t="s">
        <v>14338</v>
      </c>
      <c r="D35005" s="22" t="str">
        <f>HYPERLINK("https://rhld.insurance.arkansas.gov/NPILookup?Npi=1013634252","1013634252")</f>
        <v>1013634252</v>
      </c>
      <c r="E35005" s="1" t="s">
        <v>14350</v>
      </c>
      <c r="F35005" s="62"/>
      <c r="G35005" s="2">
        <v>54321</v>
      </c>
      <c r="H35005" s="62"/>
    </row>
    <row r="35006" spans="2:8" x14ac:dyDescent="0.25">
      <c r="B35006" s="1" t="s">
        <v>14337</v>
      </c>
      <c r="C35006" s="1" t="s">
        <v>14338</v>
      </c>
      <c r="D35006" s="22" t="str">
        <f>HYPERLINK("https://rhld.insurance.arkansas.gov/NPILookup?Npi=1013922541","1013922541")</f>
        <v>1013922541</v>
      </c>
      <c r="E35006" s="1" t="s">
        <v>14351</v>
      </c>
      <c r="F35006" s="62" t="s">
        <v>1</v>
      </c>
      <c r="G35006" s="2">
        <v>54321</v>
      </c>
      <c r="H35006" s="2" t="s">
        <v>37379</v>
      </c>
    </row>
    <row r="35007" spans="2:8" x14ac:dyDescent="0.25">
      <c r="B35007" s="1" t="s">
        <v>14337</v>
      </c>
      <c r="C35007" s="1" t="s">
        <v>14338</v>
      </c>
      <c r="D35007" s="22" t="str">
        <f>HYPERLINK("https://rhld.insurance.arkansas.gov/NPILookup?Npi=1013934512","1013934512")</f>
        <v>1013934512</v>
      </c>
      <c r="E35007" s="1" t="s">
        <v>14352</v>
      </c>
      <c r="F35007" s="62"/>
      <c r="G35007" s="2">
        <v>54321</v>
      </c>
      <c r="H35007" s="62"/>
    </row>
    <row r="35008" spans="2:8" x14ac:dyDescent="0.25">
      <c r="B35008" s="1" t="s">
        <v>14337</v>
      </c>
      <c r="C35008" s="1" t="s">
        <v>14338</v>
      </c>
      <c r="D35008" s="22" t="str">
        <f>HYPERLINK("https://rhld.insurance.arkansas.gov/NPILookup?Npi=1013941897","1013941897")</f>
        <v>1013941897</v>
      </c>
      <c r="E35008" s="1" t="s">
        <v>14344</v>
      </c>
      <c r="F35008" s="62"/>
      <c r="G35008" s="2">
        <v>54321</v>
      </c>
      <c r="H35008" s="62"/>
    </row>
    <row r="35009" spans="2:8" x14ac:dyDescent="0.25">
      <c r="B35009" s="1" t="s">
        <v>14337</v>
      </c>
      <c r="C35009" s="1" t="s">
        <v>14338</v>
      </c>
      <c r="D35009" s="22" t="str">
        <f>HYPERLINK("https://rhld.insurance.arkansas.gov/NPILookup?Npi=1013956499","1013956499")</f>
        <v>1013956499</v>
      </c>
      <c r="E35009" s="1" t="s">
        <v>14353</v>
      </c>
      <c r="F35009" s="62"/>
      <c r="G35009" s="2">
        <v>54321</v>
      </c>
      <c r="H35009" s="62"/>
    </row>
    <row r="35010" spans="2:8" x14ac:dyDescent="0.25">
      <c r="B35010" s="1" t="s">
        <v>14337</v>
      </c>
      <c r="C35010" s="1" t="s">
        <v>14338</v>
      </c>
      <c r="D35010" s="22" t="str">
        <f>HYPERLINK("https://rhld.insurance.arkansas.gov/NPILookup?Npi=1013959832","1013959832")</f>
        <v>1013959832</v>
      </c>
      <c r="E35010" s="1" t="s">
        <v>14354</v>
      </c>
      <c r="F35010" s="62"/>
      <c r="G35010" s="2">
        <v>54321</v>
      </c>
      <c r="H35010" s="62"/>
    </row>
    <row r="35011" spans="2:8" x14ac:dyDescent="0.25">
      <c r="B35011" s="1" t="s">
        <v>14337</v>
      </c>
      <c r="C35011" s="1" t="s">
        <v>14338</v>
      </c>
      <c r="D35011" s="22" t="str">
        <f>HYPERLINK("https://rhld.insurance.arkansas.gov/NPILookup?Npi=1023035136","1023035136")</f>
        <v>1023035136</v>
      </c>
      <c r="E35011" s="1" t="s">
        <v>14355</v>
      </c>
      <c r="F35011" s="62"/>
      <c r="G35011" s="2">
        <v>54321</v>
      </c>
      <c r="H35011" s="62"/>
    </row>
    <row r="35012" spans="2:8" x14ac:dyDescent="0.25">
      <c r="B35012" s="1" t="s">
        <v>14337</v>
      </c>
      <c r="C35012" s="1" t="s">
        <v>14338</v>
      </c>
      <c r="D35012" s="22" t="str">
        <f>HYPERLINK("https://rhld.insurance.arkansas.gov/NPILookup?Npi=1023099660","1023099660")</f>
        <v>1023099660</v>
      </c>
      <c r="E35012" s="1" t="s">
        <v>14356</v>
      </c>
      <c r="F35012" s="62"/>
      <c r="G35012" s="2">
        <v>54321</v>
      </c>
      <c r="H35012" s="62"/>
    </row>
    <row r="35013" spans="2:8" x14ac:dyDescent="0.25">
      <c r="B35013" s="1" t="s">
        <v>14337</v>
      </c>
      <c r="C35013" s="1" t="s">
        <v>14338</v>
      </c>
      <c r="D35013" s="22" t="str">
        <f>HYPERLINK("https://rhld.insurance.arkansas.gov/NPILookup?Npi=1023118270","1023118270")</f>
        <v>1023118270</v>
      </c>
      <c r="E35013" s="1" t="s">
        <v>14357</v>
      </c>
      <c r="F35013" s="62"/>
      <c r="G35013" s="2">
        <v>54321</v>
      </c>
      <c r="H35013" s="62"/>
    </row>
    <row r="35014" spans="2:8" x14ac:dyDescent="0.25">
      <c r="B35014" s="1" t="s">
        <v>14337</v>
      </c>
      <c r="C35014" s="1" t="s">
        <v>14338</v>
      </c>
      <c r="D35014" s="22" t="str">
        <f>HYPERLINK("https://rhld.insurance.arkansas.gov/NPILookup?Npi=1023159282","1023159282")</f>
        <v>1023159282</v>
      </c>
      <c r="E35014" s="1" t="s">
        <v>14358</v>
      </c>
      <c r="F35014" s="62"/>
      <c r="G35014" s="2">
        <v>54321</v>
      </c>
      <c r="H35014" s="62"/>
    </row>
    <row r="35015" spans="2:8" x14ac:dyDescent="0.25">
      <c r="B35015" s="1" t="s">
        <v>14337</v>
      </c>
      <c r="C35015" s="1" t="s">
        <v>14338</v>
      </c>
      <c r="D35015" s="22" t="str">
        <f>HYPERLINK("https://rhld.insurance.arkansas.gov/NPILookup?Npi=1023255403","1023255403")</f>
        <v>1023255403</v>
      </c>
      <c r="E35015" s="1" t="s">
        <v>14359</v>
      </c>
      <c r="F35015" s="62"/>
      <c r="G35015" s="2">
        <v>54321</v>
      </c>
      <c r="H35015" s="62"/>
    </row>
    <row r="35016" spans="2:8" x14ac:dyDescent="0.25">
      <c r="B35016" s="1" t="s">
        <v>14337</v>
      </c>
      <c r="C35016" s="1" t="s">
        <v>14338</v>
      </c>
      <c r="D35016" s="22" t="str">
        <f>HYPERLINK("https://rhld.insurance.arkansas.gov/NPILookup?Npi=1023420445","1023420445")</f>
        <v>1023420445</v>
      </c>
      <c r="E35016" s="1" t="s">
        <v>14360</v>
      </c>
      <c r="F35016" s="62"/>
      <c r="G35016" s="2">
        <v>54321</v>
      </c>
      <c r="H35016" s="62"/>
    </row>
    <row r="35017" spans="2:8" x14ac:dyDescent="0.25">
      <c r="B35017" s="1" t="s">
        <v>14337</v>
      </c>
      <c r="C35017" s="1" t="s">
        <v>14338</v>
      </c>
      <c r="D35017" s="22" t="str">
        <f>HYPERLINK("https://rhld.insurance.arkansas.gov/NPILookup?Npi=1023423423","1023423423")</f>
        <v>1023423423</v>
      </c>
      <c r="E35017" s="1" t="s">
        <v>14361</v>
      </c>
      <c r="F35017" s="62" t="s">
        <v>1</v>
      </c>
      <c r="G35017" s="2">
        <v>54321</v>
      </c>
      <c r="H35017" s="2" t="s">
        <v>37379</v>
      </c>
    </row>
    <row r="35018" spans="2:8" x14ac:dyDescent="0.25">
      <c r="B35018" s="1" t="s">
        <v>14337</v>
      </c>
      <c r="C35018" s="1" t="s">
        <v>14338</v>
      </c>
      <c r="D35018" s="22" t="str">
        <f>HYPERLINK("https://rhld.insurance.arkansas.gov/NPILookup?Npi=1023445293","1023445293")</f>
        <v>1023445293</v>
      </c>
      <c r="E35018" s="1" t="s">
        <v>14362</v>
      </c>
      <c r="F35018" s="62"/>
      <c r="G35018" s="2">
        <v>54321</v>
      </c>
      <c r="H35018" s="62"/>
    </row>
    <row r="35019" spans="2:8" x14ac:dyDescent="0.25">
      <c r="B35019" s="1" t="s">
        <v>14337</v>
      </c>
      <c r="C35019" s="1" t="s">
        <v>14338</v>
      </c>
      <c r="D35019" s="22" t="str">
        <f>HYPERLINK("https://rhld.insurance.arkansas.gov/NPILookup?Npi=1023492154","1023492154")</f>
        <v>1023492154</v>
      </c>
      <c r="E35019" s="1" t="s">
        <v>14363</v>
      </c>
      <c r="F35019" s="62"/>
      <c r="G35019" s="2">
        <v>54321</v>
      </c>
      <c r="H35019" s="62"/>
    </row>
    <row r="35020" spans="2:8" x14ac:dyDescent="0.25">
      <c r="B35020" s="1" t="s">
        <v>14337</v>
      </c>
      <c r="C35020" s="1" t="s">
        <v>14338</v>
      </c>
      <c r="D35020" s="22" t="str">
        <f>HYPERLINK("https://rhld.insurance.arkansas.gov/NPILookup?Npi=1023583747","1023583747")</f>
        <v>1023583747</v>
      </c>
      <c r="E35020" s="1" t="s">
        <v>14364</v>
      </c>
      <c r="F35020" s="62"/>
      <c r="G35020" s="2">
        <v>54321</v>
      </c>
      <c r="H35020" s="62"/>
    </row>
    <row r="35021" spans="2:8" x14ac:dyDescent="0.25">
      <c r="B35021" s="1" t="s">
        <v>14337</v>
      </c>
      <c r="C35021" s="1" t="s">
        <v>14338</v>
      </c>
      <c r="D35021" s="22" t="str">
        <f>HYPERLINK("https://rhld.insurance.arkansas.gov/NPILookup?Npi=1023692449","1023692449")</f>
        <v>1023692449</v>
      </c>
      <c r="E35021" s="1" t="s">
        <v>14365</v>
      </c>
      <c r="F35021" s="62"/>
      <c r="G35021" s="2">
        <v>54321</v>
      </c>
      <c r="H35021" s="62"/>
    </row>
    <row r="35022" spans="2:8" x14ac:dyDescent="0.25">
      <c r="B35022" s="1" t="s">
        <v>14337</v>
      </c>
      <c r="C35022" s="1" t="s">
        <v>14338</v>
      </c>
      <c r="D35022" s="22" t="str">
        <f>HYPERLINK("https://rhld.insurance.arkansas.gov/NPILookup?Npi=1023718863","1023718863")</f>
        <v>1023718863</v>
      </c>
      <c r="E35022" s="1" t="s">
        <v>14366</v>
      </c>
      <c r="F35022" s="62"/>
      <c r="G35022" s="2">
        <v>54321</v>
      </c>
      <c r="H35022" s="62"/>
    </row>
    <row r="35023" spans="2:8" x14ac:dyDescent="0.25">
      <c r="B35023" s="1" t="s">
        <v>14337</v>
      </c>
      <c r="C35023" s="1" t="s">
        <v>14338</v>
      </c>
      <c r="D35023" s="22" t="str">
        <f>HYPERLINK("https://rhld.insurance.arkansas.gov/NPILookup?Npi=1023872462","1023872462")</f>
        <v>1023872462</v>
      </c>
      <c r="E35023" s="1" t="s">
        <v>14367</v>
      </c>
      <c r="F35023" s="62"/>
      <c r="G35023" s="2">
        <v>54321</v>
      </c>
      <c r="H35023" s="62"/>
    </row>
    <row r="35024" spans="2:8" x14ac:dyDescent="0.25">
      <c r="B35024" s="1" t="s">
        <v>14337</v>
      </c>
      <c r="C35024" s="1" t="s">
        <v>14338</v>
      </c>
      <c r="D35024" s="22" t="str">
        <f>HYPERLINK("https://rhld.insurance.arkansas.gov/NPILookup?Npi=1023893013","1023893013")</f>
        <v>1023893013</v>
      </c>
      <c r="E35024" s="1" t="s">
        <v>14368</v>
      </c>
      <c r="F35024" s="62"/>
      <c r="G35024" s="2">
        <v>54321</v>
      </c>
      <c r="H35024" s="62"/>
    </row>
    <row r="35025" spans="2:8" x14ac:dyDescent="0.25">
      <c r="B35025" s="1" t="s">
        <v>14337</v>
      </c>
      <c r="C35025" s="1" t="s">
        <v>14338</v>
      </c>
      <c r="D35025" s="22" t="str">
        <f>HYPERLINK("https://rhld.insurance.arkansas.gov/NPILookup?Npi=1033136148","1033136148")</f>
        <v>1033136148</v>
      </c>
      <c r="E35025" s="1" t="s">
        <v>14355</v>
      </c>
      <c r="F35025" s="62"/>
      <c r="G35025" s="2">
        <v>54321</v>
      </c>
      <c r="H35025" s="62"/>
    </row>
    <row r="35026" spans="2:8" x14ac:dyDescent="0.25">
      <c r="B35026" s="1" t="s">
        <v>14337</v>
      </c>
      <c r="C35026" s="1" t="s">
        <v>14338</v>
      </c>
      <c r="D35026" s="22" t="str">
        <f>HYPERLINK("https://rhld.insurance.arkansas.gov/NPILookup?Npi=1033348339","1033348339")</f>
        <v>1033348339</v>
      </c>
      <c r="E35026" s="1" t="s">
        <v>14343</v>
      </c>
      <c r="F35026" s="62"/>
      <c r="G35026" s="2">
        <v>54321</v>
      </c>
      <c r="H35026" s="62"/>
    </row>
    <row r="35027" spans="2:8" x14ac:dyDescent="0.25">
      <c r="B35027" s="1" t="s">
        <v>14337</v>
      </c>
      <c r="C35027" s="1" t="s">
        <v>14338</v>
      </c>
      <c r="D35027" s="22" t="str">
        <f>HYPERLINK("https://rhld.insurance.arkansas.gov/NPILookup?Npi=1033462593","1033462593")</f>
        <v>1033462593</v>
      </c>
      <c r="E35027" s="1" t="s">
        <v>14369</v>
      </c>
      <c r="F35027" s="62"/>
      <c r="G35027" s="2">
        <v>54321</v>
      </c>
      <c r="H35027" s="62"/>
    </row>
    <row r="35028" spans="2:8" x14ac:dyDescent="0.25">
      <c r="B35028" s="1" t="s">
        <v>14337</v>
      </c>
      <c r="C35028" s="1" t="s">
        <v>14338</v>
      </c>
      <c r="D35028" s="22" t="str">
        <f>HYPERLINK("https://rhld.insurance.arkansas.gov/NPILookup?Npi=1033558689","1033558689")</f>
        <v>1033558689</v>
      </c>
      <c r="E35028" s="1" t="s">
        <v>14370</v>
      </c>
      <c r="F35028" s="62"/>
      <c r="G35028" s="2">
        <v>54321</v>
      </c>
      <c r="H35028" s="62"/>
    </row>
    <row r="35029" spans="2:8" x14ac:dyDescent="0.25">
      <c r="B35029" s="1" t="s">
        <v>14337</v>
      </c>
      <c r="C35029" s="1" t="s">
        <v>14338</v>
      </c>
      <c r="D35029" s="22" t="str">
        <f>HYPERLINK("https://rhld.insurance.arkansas.gov/NPILookup?Npi=1043232796","1043232796")</f>
        <v>1043232796</v>
      </c>
      <c r="E35029" s="1" t="s">
        <v>14359</v>
      </c>
      <c r="F35029" s="62"/>
      <c r="G35029" s="2">
        <v>54321</v>
      </c>
      <c r="H35029" s="62"/>
    </row>
    <row r="35030" spans="2:8" x14ac:dyDescent="0.25">
      <c r="B35030" s="1" t="s">
        <v>14337</v>
      </c>
      <c r="C35030" s="1" t="s">
        <v>14338</v>
      </c>
      <c r="D35030" s="22" t="str">
        <f>HYPERLINK("https://rhld.insurance.arkansas.gov/NPILookup?Npi=1043237449","1043237449")</f>
        <v>1043237449</v>
      </c>
      <c r="E35030" s="1" t="s">
        <v>14371</v>
      </c>
      <c r="F35030" s="62"/>
      <c r="G35030" s="2">
        <v>54321</v>
      </c>
      <c r="H35030" s="62"/>
    </row>
    <row r="35031" spans="2:8" x14ac:dyDescent="0.25">
      <c r="B35031" s="1" t="s">
        <v>14337</v>
      </c>
      <c r="C35031" s="1" t="s">
        <v>14338</v>
      </c>
      <c r="D35031" s="22" t="str">
        <f>HYPERLINK("https://rhld.insurance.arkansas.gov/NPILookup?Npi=1043290299","1043290299")</f>
        <v>1043290299</v>
      </c>
      <c r="E35031" s="1" t="s">
        <v>14372</v>
      </c>
      <c r="F35031" s="62"/>
      <c r="G35031" s="2">
        <v>54321</v>
      </c>
      <c r="H35031" s="62"/>
    </row>
    <row r="35032" spans="2:8" x14ac:dyDescent="0.25">
      <c r="B35032" s="1" t="s">
        <v>14337</v>
      </c>
      <c r="C35032" s="1" t="s">
        <v>14338</v>
      </c>
      <c r="D35032" s="22" t="str">
        <f>HYPERLINK("https://rhld.insurance.arkansas.gov/NPILookup?Npi=1043303480","1043303480")</f>
        <v>1043303480</v>
      </c>
      <c r="E35032" s="1" t="s">
        <v>14373</v>
      </c>
      <c r="F35032" s="62"/>
      <c r="G35032" s="2">
        <v>54321</v>
      </c>
      <c r="H35032" s="62"/>
    </row>
    <row r="35033" spans="2:8" x14ac:dyDescent="0.25">
      <c r="B35033" s="1" t="s">
        <v>14337</v>
      </c>
      <c r="C35033" s="1" t="s">
        <v>14338</v>
      </c>
      <c r="D35033" s="22" t="str">
        <f>HYPERLINK("https://rhld.insurance.arkansas.gov/NPILookup?Npi=1043310360","1043310360")</f>
        <v>1043310360</v>
      </c>
      <c r="E35033" s="1" t="s">
        <v>14374</v>
      </c>
      <c r="F35033" s="62"/>
      <c r="G35033" s="2">
        <v>54321</v>
      </c>
      <c r="H35033" s="62"/>
    </row>
    <row r="35034" spans="2:8" x14ac:dyDescent="0.25">
      <c r="B35034" s="1" t="s">
        <v>14337</v>
      </c>
      <c r="C35034" s="1" t="s">
        <v>14338</v>
      </c>
      <c r="D35034" s="22" t="str">
        <f>HYPERLINK("https://rhld.insurance.arkansas.gov/NPILookup?Npi=1043318041","1043318041")</f>
        <v>1043318041</v>
      </c>
      <c r="E35034" s="1" t="s">
        <v>14375</v>
      </c>
      <c r="F35034" s="62"/>
      <c r="G35034" s="2">
        <v>54321</v>
      </c>
      <c r="H35034" s="62"/>
    </row>
    <row r="35035" spans="2:8" x14ac:dyDescent="0.25">
      <c r="B35035" s="1" t="s">
        <v>14337</v>
      </c>
      <c r="C35035" s="1" t="s">
        <v>14338</v>
      </c>
      <c r="D35035" s="22" t="str">
        <f>HYPERLINK("https://rhld.insurance.arkansas.gov/NPILookup?Npi=1043340789","1043340789")</f>
        <v>1043340789</v>
      </c>
      <c r="E35035" s="1" t="s">
        <v>14376</v>
      </c>
      <c r="F35035" s="62"/>
      <c r="G35035" s="2">
        <v>54321</v>
      </c>
      <c r="H35035" s="62"/>
    </row>
    <row r="35036" spans="2:8" x14ac:dyDescent="0.25">
      <c r="B35036" s="1" t="s">
        <v>14337</v>
      </c>
      <c r="C35036" s="1" t="s">
        <v>14338</v>
      </c>
      <c r="D35036" s="22" t="str">
        <f>HYPERLINK("https://rhld.insurance.arkansas.gov/NPILookup?Npi=1043546799","1043546799")</f>
        <v>1043546799</v>
      </c>
      <c r="E35036" s="1" t="s">
        <v>14377</v>
      </c>
      <c r="F35036" s="62"/>
      <c r="G35036" s="2">
        <v>54321</v>
      </c>
      <c r="H35036" s="62"/>
    </row>
    <row r="35037" spans="2:8" x14ac:dyDescent="0.25">
      <c r="B35037" s="1" t="s">
        <v>14337</v>
      </c>
      <c r="C35037" s="1" t="s">
        <v>14338</v>
      </c>
      <c r="D35037" s="22" t="str">
        <f>HYPERLINK("https://rhld.insurance.arkansas.gov/NPILookup?Npi=1043687379","1043687379")</f>
        <v>1043687379</v>
      </c>
      <c r="E35037" s="1" t="s">
        <v>14378</v>
      </c>
      <c r="F35037" s="62"/>
      <c r="G35037" s="2">
        <v>54321</v>
      </c>
      <c r="H35037" s="62"/>
    </row>
    <row r="35038" spans="2:8" x14ac:dyDescent="0.25">
      <c r="B35038" s="1" t="s">
        <v>14337</v>
      </c>
      <c r="C35038" s="1" t="s">
        <v>14338</v>
      </c>
      <c r="D35038" s="22" t="str">
        <f>HYPERLINK("https://rhld.insurance.arkansas.gov/NPILookup?Npi=1043977465","1043977465")</f>
        <v>1043977465</v>
      </c>
      <c r="E35038" s="1" t="s">
        <v>14379</v>
      </c>
      <c r="F35038" s="62"/>
      <c r="G35038" s="2">
        <v>54321</v>
      </c>
      <c r="H35038" s="62"/>
    </row>
    <row r="35039" spans="2:8" x14ac:dyDescent="0.25">
      <c r="B35039" s="1" t="s">
        <v>14337</v>
      </c>
      <c r="C35039" s="1" t="s">
        <v>14338</v>
      </c>
      <c r="D35039" s="22" t="str">
        <f>HYPERLINK("https://rhld.insurance.arkansas.gov/NPILookup?Npi=1043990617","1043990617")</f>
        <v>1043990617</v>
      </c>
      <c r="E35039" s="1" t="s">
        <v>14380</v>
      </c>
      <c r="F35039" s="62"/>
      <c r="G35039" s="2">
        <v>54321</v>
      </c>
      <c r="H35039" s="62"/>
    </row>
    <row r="35040" spans="2:8" x14ac:dyDescent="0.25">
      <c r="B35040" s="1" t="s">
        <v>14337</v>
      </c>
      <c r="C35040" s="1" t="s">
        <v>14338</v>
      </c>
      <c r="D35040" s="22" t="str">
        <f>HYPERLINK("https://rhld.insurance.arkansas.gov/NPILookup?Npi=1043990625","1043990625")</f>
        <v>1043990625</v>
      </c>
      <c r="E35040" s="1" t="s">
        <v>14381</v>
      </c>
      <c r="F35040" s="62"/>
      <c r="G35040" s="2">
        <v>54321</v>
      </c>
      <c r="H35040" s="62"/>
    </row>
    <row r="35041" spans="2:8" x14ac:dyDescent="0.25">
      <c r="B35041" s="1" t="s">
        <v>14337</v>
      </c>
      <c r="C35041" s="1" t="s">
        <v>14338</v>
      </c>
      <c r="D35041" s="22" t="str">
        <f>HYPERLINK("https://rhld.insurance.arkansas.gov/NPILookup?Npi=1053165563","1053165563")</f>
        <v>1053165563</v>
      </c>
      <c r="E35041" s="1" t="s">
        <v>14382</v>
      </c>
      <c r="F35041" s="62"/>
      <c r="G35041" s="2">
        <v>54321</v>
      </c>
      <c r="H35041" s="62"/>
    </row>
    <row r="35042" spans="2:8" x14ac:dyDescent="0.25">
      <c r="B35042" s="1" t="s">
        <v>14337</v>
      </c>
      <c r="C35042" s="1" t="s">
        <v>14338</v>
      </c>
      <c r="D35042" s="22" t="str">
        <f>HYPERLINK("https://rhld.insurance.arkansas.gov/NPILookup?Npi=1053328054","1053328054")</f>
        <v>1053328054</v>
      </c>
      <c r="E35042" s="1" t="s">
        <v>14343</v>
      </c>
      <c r="F35042" s="62"/>
      <c r="G35042" s="2">
        <v>54321</v>
      </c>
      <c r="H35042" s="62"/>
    </row>
    <row r="35043" spans="2:8" x14ac:dyDescent="0.25">
      <c r="B35043" s="1" t="s">
        <v>14337</v>
      </c>
      <c r="C35043" s="1" t="s">
        <v>14338</v>
      </c>
      <c r="D35043" s="22" t="str">
        <f>HYPERLINK("https://rhld.insurance.arkansas.gov/NPILookup?Npi=1053330068","1053330068")</f>
        <v>1053330068</v>
      </c>
      <c r="E35043" s="1" t="s">
        <v>14383</v>
      </c>
      <c r="F35043" s="62"/>
      <c r="G35043" s="2">
        <v>54321</v>
      </c>
      <c r="H35043" s="62"/>
    </row>
    <row r="35044" spans="2:8" x14ac:dyDescent="0.25">
      <c r="B35044" s="1" t="s">
        <v>14337</v>
      </c>
      <c r="C35044" s="1" t="s">
        <v>14338</v>
      </c>
      <c r="D35044" s="22" t="str">
        <f>HYPERLINK("https://rhld.insurance.arkansas.gov/NPILookup?Npi=1053338178","1053338178")</f>
        <v>1053338178</v>
      </c>
      <c r="E35044" s="1" t="s">
        <v>14355</v>
      </c>
      <c r="F35044" s="62"/>
      <c r="G35044" s="2">
        <v>54321</v>
      </c>
      <c r="H35044" s="62"/>
    </row>
    <row r="35045" spans="2:8" x14ac:dyDescent="0.25">
      <c r="B35045" s="1" t="s">
        <v>14337</v>
      </c>
      <c r="C35045" s="1" t="s">
        <v>14338</v>
      </c>
      <c r="D35045" s="22" t="str">
        <f>HYPERLINK("https://rhld.insurance.arkansas.gov/NPILookup?Npi=1053338442","1053338442")</f>
        <v>1053338442</v>
      </c>
      <c r="E35045" s="1" t="s">
        <v>14352</v>
      </c>
      <c r="F35045" s="62"/>
      <c r="G35045" s="2">
        <v>54321</v>
      </c>
      <c r="H35045" s="62"/>
    </row>
    <row r="35046" spans="2:8" x14ac:dyDescent="0.25">
      <c r="B35046" s="1" t="s">
        <v>14337</v>
      </c>
      <c r="C35046" s="1" t="s">
        <v>14338</v>
      </c>
      <c r="D35046" s="22" t="str">
        <f>HYPERLINK("https://rhld.insurance.arkansas.gov/NPILookup?Npi=1053338459","1053338459")</f>
        <v>1053338459</v>
      </c>
      <c r="E35046" s="1" t="s">
        <v>14352</v>
      </c>
      <c r="F35046" s="62"/>
      <c r="G35046" s="2">
        <v>54321</v>
      </c>
      <c r="H35046" s="62"/>
    </row>
    <row r="35047" spans="2:8" x14ac:dyDescent="0.25">
      <c r="B35047" s="1" t="s">
        <v>14337</v>
      </c>
      <c r="C35047" s="1" t="s">
        <v>14338</v>
      </c>
      <c r="D35047" s="22" t="str">
        <f>HYPERLINK("https://rhld.insurance.arkansas.gov/NPILookup?Npi=1053339895","1053339895")</f>
        <v>1053339895</v>
      </c>
      <c r="E35047" s="1" t="s">
        <v>14384</v>
      </c>
      <c r="F35047" s="62"/>
      <c r="G35047" s="2">
        <v>54321</v>
      </c>
      <c r="H35047" s="62"/>
    </row>
    <row r="35048" spans="2:8" x14ac:dyDescent="0.25">
      <c r="B35048" s="1" t="s">
        <v>14337</v>
      </c>
      <c r="C35048" s="1" t="s">
        <v>14338</v>
      </c>
      <c r="D35048" s="22" t="str">
        <f>HYPERLINK("https://rhld.insurance.arkansas.gov/NPILookup?Npi=1053345801","1053345801")</f>
        <v>1053345801</v>
      </c>
      <c r="E35048" s="1" t="s">
        <v>14344</v>
      </c>
      <c r="F35048" s="62"/>
      <c r="G35048" s="2">
        <v>54321</v>
      </c>
      <c r="H35048" s="62"/>
    </row>
    <row r="35049" spans="2:8" x14ac:dyDescent="0.25">
      <c r="B35049" s="1" t="s">
        <v>14337</v>
      </c>
      <c r="C35049" s="1" t="s">
        <v>14338</v>
      </c>
      <c r="D35049" s="22" t="str">
        <f>HYPERLINK("https://rhld.insurance.arkansas.gov/NPILookup?Npi=1053404293","1053404293")</f>
        <v>1053404293</v>
      </c>
      <c r="E35049" s="1" t="s">
        <v>14385</v>
      </c>
      <c r="F35049" s="62"/>
      <c r="G35049" s="2">
        <v>54321</v>
      </c>
      <c r="H35049" s="62"/>
    </row>
    <row r="35050" spans="2:8" x14ac:dyDescent="0.25">
      <c r="B35050" s="1" t="s">
        <v>14337</v>
      </c>
      <c r="C35050" s="1" t="s">
        <v>14338</v>
      </c>
      <c r="D35050" s="22" t="str">
        <f>HYPERLINK("https://rhld.insurance.arkansas.gov/NPILookup?Npi=1053415380","1053415380")</f>
        <v>1053415380</v>
      </c>
      <c r="E35050" s="1" t="s">
        <v>14386</v>
      </c>
      <c r="F35050" s="62"/>
      <c r="G35050" s="2">
        <v>54321</v>
      </c>
      <c r="H35050" s="62"/>
    </row>
    <row r="35051" spans="2:8" x14ac:dyDescent="0.25">
      <c r="B35051" s="1" t="s">
        <v>14337</v>
      </c>
      <c r="C35051" s="1" t="s">
        <v>14338</v>
      </c>
      <c r="D35051" s="22" t="str">
        <f>HYPERLINK("https://rhld.insurance.arkansas.gov/NPILookup?Npi=1053492405","1053492405")</f>
        <v>1053492405</v>
      </c>
      <c r="E35051" s="1" t="s">
        <v>14387</v>
      </c>
      <c r="F35051" s="62"/>
      <c r="G35051" s="2">
        <v>54321</v>
      </c>
      <c r="H35051" s="62"/>
    </row>
    <row r="35052" spans="2:8" x14ac:dyDescent="0.25">
      <c r="B35052" s="1" t="s">
        <v>14337</v>
      </c>
      <c r="C35052" s="1" t="s">
        <v>14338</v>
      </c>
      <c r="D35052" s="22" t="str">
        <f>HYPERLINK("https://rhld.insurance.arkansas.gov/NPILookup?Npi=1053613851","1053613851")</f>
        <v>1053613851</v>
      </c>
      <c r="E35052" s="1" t="s">
        <v>14388</v>
      </c>
      <c r="F35052" s="62"/>
      <c r="G35052" s="2">
        <v>54321</v>
      </c>
      <c r="H35052" s="62"/>
    </row>
    <row r="35053" spans="2:8" x14ac:dyDescent="0.25">
      <c r="B35053" s="1" t="s">
        <v>14337</v>
      </c>
      <c r="C35053" s="1" t="s">
        <v>14338</v>
      </c>
      <c r="D35053" s="22" t="str">
        <f>HYPERLINK("https://rhld.insurance.arkansas.gov/NPILookup?Npi=1053669325","1053669325")</f>
        <v>1053669325</v>
      </c>
      <c r="E35053" s="1" t="s">
        <v>14389</v>
      </c>
      <c r="F35053" s="62"/>
      <c r="G35053" s="2">
        <v>54321</v>
      </c>
      <c r="H35053" s="62"/>
    </row>
    <row r="35054" spans="2:8" x14ac:dyDescent="0.25">
      <c r="B35054" s="1" t="s">
        <v>14337</v>
      </c>
      <c r="C35054" s="1" t="s">
        <v>14338</v>
      </c>
      <c r="D35054" s="22" t="str">
        <f>HYPERLINK("https://rhld.insurance.arkansas.gov/NPILookup?Npi=1053702118","1053702118")</f>
        <v>1053702118</v>
      </c>
      <c r="E35054" s="1" t="s">
        <v>14390</v>
      </c>
      <c r="F35054" s="62" t="s">
        <v>1</v>
      </c>
      <c r="G35054" s="2">
        <v>54321</v>
      </c>
      <c r="H35054" s="62" t="s">
        <v>37378</v>
      </c>
    </row>
    <row r="35055" spans="2:8" x14ac:dyDescent="0.25">
      <c r="B35055" s="1" t="s">
        <v>14337</v>
      </c>
      <c r="C35055" s="1" t="s">
        <v>14338</v>
      </c>
      <c r="D35055" s="22" t="str">
        <f>HYPERLINK("https://rhld.insurance.arkansas.gov/NPILookup?Npi=1063008126","1063008126")</f>
        <v>1063008126</v>
      </c>
      <c r="E35055" s="1" t="s">
        <v>14391</v>
      </c>
      <c r="F35055" s="62"/>
      <c r="G35055" s="2">
        <v>54321</v>
      </c>
      <c r="H35055" s="62"/>
    </row>
    <row r="35056" spans="2:8" x14ac:dyDescent="0.25">
      <c r="B35056" s="1" t="s">
        <v>14337</v>
      </c>
      <c r="C35056" s="1" t="s">
        <v>14338</v>
      </c>
      <c r="D35056" s="22" t="str">
        <f>HYPERLINK("https://rhld.insurance.arkansas.gov/NPILookup?Npi=1063410223","1063410223")</f>
        <v>1063410223</v>
      </c>
      <c r="E35056" s="1" t="s">
        <v>14392</v>
      </c>
      <c r="F35056" s="62"/>
      <c r="G35056" s="2">
        <v>54321</v>
      </c>
      <c r="H35056" s="62"/>
    </row>
    <row r="35057" spans="2:8" x14ac:dyDescent="0.25">
      <c r="B35057" s="1" t="s">
        <v>14337</v>
      </c>
      <c r="C35057" s="1" t="s">
        <v>14338</v>
      </c>
      <c r="D35057" s="22" t="str">
        <f>HYPERLINK("https://rhld.insurance.arkansas.gov/NPILookup?Npi=1063427326","1063427326")</f>
        <v>1063427326</v>
      </c>
      <c r="E35057" s="1" t="s">
        <v>14393</v>
      </c>
      <c r="F35057" s="62"/>
      <c r="G35057" s="2">
        <v>54321</v>
      </c>
      <c r="H35057" s="62"/>
    </row>
    <row r="35058" spans="2:8" x14ac:dyDescent="0.25">
      <c r="B35058" s="1" t="s">
        <v>14337</v>
      </c>
      <c r="C35058" s="1" t="s">
        <v>14338</v>
      </c>
      <c r="D35058" s="22" t="str">
        <f>HYPERLINK("https://rhld.insurance.arkansas.gov/NPILookup?Npi=1063427334","1063427334")</f>
        <v>1063427334</v>
      </c>
      <c r="E35058" s="1" t="s">
        <v>14394</v>
      </c>
      <c r="F35058" s="62"/>
      <c r="G35058" s="2">
        <v>54321</v>
      </c>
      <c r="H35058" s="62"/>
    </row>
    <row r="35059" spans="2:8" x14ac:dyDescent="0.25">
      <c r="B35059" s="1" t="s">
        <v>14337</v>
      </c>
      <c r="C35059" s="1" t="s">
        <v>14338</v>
      </c>
      <c r="D35059" s="22" t="str">
        <f>HYPERLINK("https://rhld.insurance.arkansas.gov/NPILookup?Npi=1063428530","1063428530")</f>
        <v>1063428530</v>
      </c>
      <c r="E35059" s="1" t="s">
        <v>14343</v>
      </c>
      <c r="F35059" s="62"/>
      <c r="G35059" s="2">
        <v>54321</v>
      </c>
      <c r="H35059" s="62"/>
    </row>
    <row r="35060" spans="2:8" x14ac:dyDescent="0.25">
      <c r="B35060" s="1" t="s">
        <v>14337</v>
      </c>
      <c r="C35060" s="1" t="s">
        <v>14338</v>
      </c>
      <c r="D35060" s="22" t="str">
        <f>HYPERLINK("https://rhld.insurance.arkansas.gov/NPILookup?Npi=1063439313","1063439313")</f>
        <v>1063439313</v>
      </c>
      <c r="E35060" s="1" t="s">
        <v>14355</v>
      </c>
      <c r="F35060" s="62"/>
      <c r="G35060" s="2">
        <v>54321</v>
      </c>
      <c r="H35060" s="62"/>
    </row>
    <row r="35061" spans="2:8" x14ac:dyDescent="0.25">
      <c r="B35061" s="1" t="s">
        <v>14337</v>
      </c>
      <c r="C35061" s="1" t="s">
        <v>14338</v>
      </c>
      <c r="D35061" s="22" t="str">
        <f>HYPERLINK("https://rhld.insurance.arkansas.gov/NPILookup?Npi=1063439446","1063439446")</f>
        <v>1063439446</v>
      </c>
      <c r="E35061" s="1" t="s">
        <v>14352</v>
      </c>
      <c r="F35061" s="62"/>
      <c r="G35061" s="2">
        <v>54321</v>
      </c>
      <c r="H35061" s="62"/>
    </row>
    <row r="35062" spans="2:8" x14ac:dyDescent="0.25">
      <c r="B35062" s="1" t="s">
        <v>14337</v>
      </c>
      <c r="C35062" s="1" t="s">
        <v>14338</v>
      </c>
      <c r="D35062" s="22" t="str">
        <f>HYPERLINK("https://rhld.insurance.arkansas.gov/NPILookup?Npi=1063439453","1063439453")</f>
        <v>1063439453</v>
      </c>
      <c r="E35062" s="1" t="s">
        <v>14352</v>
      </c>
      <c r="F35062" s="62"/>
      <c r="G35062" s="2">
        <v>54321</v>
      </c>
      <c r="H35062" s="62"/>
    </row>
    <row r="35063" spans="2:8" x14ac:dyDescent="0.25">
      <c r="B35063" s="1" t="s">
        <v>14337</v>
      </c>
      <c r="C35063" s="1" t="s">
        <v>14338</v>
      </c>
      <c r="D35063" s="22" t="str">
        <f>HYPERLINK("https://rhld.insurance.arkansas.gov/NPILookup?Npi=1063446706","1063446706")</f>
        <v>1063446706</v>
      </c>
      <c r="E35063" s="1" t="s">
        <v>14344</v>
      </c>
      <c r="F35063" s="62"/>
      <c r="G35063" s="2">
        <v>54321</v>
      </c>
      <c r="H35063" s="62"/>
    </row>
    <row r="35064" spans="2:8" x14ac:dyDescent="0.25">
      <c r="B35064" s="1" t="s">
        <v>14337</v>
      </c>
      <c r="C35064" s="1" t="s">
        <v>14338</v>
      </c>
      <c r="D35064" s="22" t="str">
        <f>HYPERLINK("https://rhld.insurance.arkansas.gov/NPILookup?Npi=1063447787","1063447787")</f>
        <v>1063447787</v>
      </c>
      <c r="E35064" s="1" t="s">
        <v>14395</v>
      </c>
      <c r="F35064" s="62"/>
      <c r="G35064" s="2">
        <v>54321</v>
      </c>
      <c r="H35064" s="62"/>
    </row>
    <row r="35065" spans="2:8" x14ac:dyDescent="0.25">
      <c r="B35065" s="1" t="s">
        <v>14337</v>
      </c>
      <c r="C35065" s="1" t="s">
        <v>14338</v>
      </c>
      <c r="D35065" s="22" t="str">
        <f>HYPERLINK("https://rhld.insurance.arkansas.gov/NPILookup?Npi=1063507861","1063507861")</f>
        <v>1063507861</v>
      </c>
      <c r="E35065" s="1" t="s">
        <v>14396</v>
      </c>
      <c r="F35065" s="62"/>
      <c r="G35065" s="2">
        <v>54321</v>
      </c>
      <c r="H35065" s="62"/>
    </row>
    <row r="35066" spans="2:8" x14ac:dyDescent="0.25">
      <c r="B35066" s="1" t="s">
        <v>14337</v>
      </c>
      <c r="C35066" s="1" t="s">
        <v>14338</v>
      </c>
      <c r="D35066" s="22" t="str">
        <f>HYPERLINK("https://rhld.insurance.arkansas.gov/NPILookup?Npi=1063599868","1063599868")</f>
        <v>1063599868</v>
      </c>
      <c r="E35066" s="1" t="s">
        <v>14397</v>
      </c>
      <c r="F35066" s="62"/>
      <c r="G35066" s="2">
        <v>54321</v>
      </c>
      <c r="H35066" s="62"/>
    </row>
    <row r="35067" spans="2:8" x14ac:dyDescent="0.25">
      <c r="B35067" s="1" t="s">
        <v>14337</v>
      </c>
      <c r="C35067" s="1" t="s">
        <v>14338</v>
      </c>
      <c r="D35067" s="22" t="str">
        <f>HYPERLINK("https://rhld.insurance.arkansas.gov/NPILookup?Npi=1063599934","1063599934")</f>
        <v>1063599934</v>
      </c>
      <c r="E35067" s="1" t="s">
        <v>14398</v>
      </c>
      <c r="F35067" s="62"/>
      <c r="G35067" s="2">
        <v>54321</v>
      </c>
      <c r="H35067" s="62"/>
    </row>
    <row r="35068" spans="2:8" x14ac:dyDescent="0.25">
      <c r="B35068" s="1" t="s">
        <v>14337</v>
      </c>
      <c r="C35068" s="1" t="s">
        <v>14338</v>
      </c>
      <c r="D35068" s="22" t="str">
        <f>HYPERLINK("https://rhld.insurance.arkansas.gov/NPILookup?Npi=1063705408","1063705408")</f>
        <v>1063705408</v>
      </c>
      <c r="E35068" s="1" t="s">
        <v>14399</v>
      </c>
      <c r="F35068" s="62"/>
      <c r="G35068" s="2">
        <v>54321</v>
      </c>
      <c r="H35068" s="62"/>
    </row>
    <row r="35069" spans="2:8" x14ac:dyDescent="0.25">
      <c r="B35069" s="1" t="s">
        <v>14337</v>
      </c>
      <c r="C35069" s="1" t="s">
        <v>14338</v>
      </c>
      <c r="D35069" s="22" t="str">
        <f>HYPERLINK("https://rhld.insurance.arkansas.gov/NPILookup?Npi=1063750495","1063750495")</f>
        <v>1063750495</v>
      </c>
      <c r="E35069" s="1" t="s">
        <v>14400</v>
      </c>
      <c r="F35069" s="62"/>
      <c r="G35069" s="2">
        <v>54321</v>
      </c>
      <c r="H35069" s="62"/>
    </row>
    <row r="35070" spans="2:8" x14ac:dyDescent="0.25">
      <c r="B35070" s="1" t="s">
        <v>14337</v>
      </c>
      <c r="C35070" s="1" t="s">
        <v>14338</v>
      </c>
      <c r="D35070" s="22" t="str">
        <f>HYPERLINK("https://rhld.insurance.arkansas.gov/NPILookup?Npi=1063812139","1063812139")</f>
        <v>1063812139</v>
      </c>
      <c r="E35070" s="1" t="s">
        <v>14401</v>
      </c>
      <c r="F35070" s="62"/>
      <c r="G35070" s="2">
        <v>54321</v>
      </c>
      <c r="H35070" s="62"/>
    </row>
    <row r="35071" spans="2:8" x14ac:dyDescent="0.25">
      <c r="B35071" s="1" t="s">
        <v>14337</v>
      </c>
      <c r="C35071" s="1" t="s">
        <v>14338</v>
      </c>
      <c r="D35071" s="22" t="str">
        <f>HYPERLINK("https://rhld.insurance.arkansas.gov/NPILookup?Npi=1063948289","1063948289")</f>
        <v>1063948289</v>
      </c>
      <c r="E35071" s="1" t="s">
        <v>14402</v>
      </c>
      <c r="F35071" s="62"/>
      <c r="G35071" s="2">
        <v>54321</v>
      </c>
      <c r="H35071" s="62"/>
    </row>
    <row r="35072" spans="2:8" x14ac:dyDescent="0.25">
      <c r="B35072" s="1" t="s">
        <v>14337</v>
      </c>
      <c r="C35072" s="1" t="s">
        <v>14338</v>
      </c>
      <c r="D35072" s="22" t="str">
        <f>HYPERLINK("https://rhld.insurance.arkansas.gov/NPILookup?Npi=1063955672","1063955672")</f>
        <v>1063955672</v>
      </c>
      <c r="E35072" s="1" t="s">
        <v>14403</v>
      </c>
      <c r="F35072" s="62"/>
      <c r="G35072" s="2">
        <v>54321</v>
      </c>
      <c r="H35072" s="62"/>
    </row>
    <row r="35073" spans="2:8" x14ac:dyDescent="0.25">
      <c r="B35073" s="1" t="s">
        <v>14337</v>
      </c>
      <c r="C35073" s="1" t="s">
        <v>14338</v>
      </c>
      <c r="D35073" s="22" t="str">
        <f>HYPERLINK("https://rhld.insurance.arkansas.gov/NPILookup?Npi=1073014866","1073014866")</f>
        <v>1073014866</v>
      </c>
      <c r="E35073" s="1" t="s">
        <v>14404</v>
      </c>
      <c r="F35073" s="62"/>
      <c r="G35073" s="2">
        <v>54321</v>
      </c>
      <c r="H35073" s="62"/>
    </row>
    <row r="35074" spans="2:8" x14ac:dyDescent="0.25">
      <c r="B35074" s="1" t="s">
        <v>14337</v>
      </c>
      <c r="C35074" s="1" t="s">
        <v>14338</v>
      </c>
      <c r="D35074" s="22" t="str">
        <f>HYPERLINK("https://rhld.insurance.arkansas.gov/NPILookup?Npi=1073085932","1073085932")</f>
        <v>1073085932</v>
      </c>
      <c r="E35074" s="1" t="s">
        <v>14405</v>
      </c>
      <c r="F35074" s="62"/>
      <c r="G35074" s="2">
        <v>54321</v>
      </c>
      <c r="H35074" s="62"/>
    </row>
    <row r="35075" spans="2:8" x14ac:dyDescent="0.25">
      <c r="B35075" s="1" t="s">
        <v>14337</v>
      </c>
      <c r="C35075" s="1" t="s">
        <v>14338</v>
      </c>
      <c r="D35075" s="22" t="str">
        <f>HYPERLINK("https://rhld.insurance.arkansas.gov/NPILookup?Npi=1073141982","1073141982")</f>
        <v>1073141982</v>
      </c>
      <c r="E35075" s="1" t="s">
        <v>14406</v>
      </c>
      <c r="F35075" s="62"/>
      <c r="G35075" s="2">
        <v>54321</v>
      </c>
      <c r="H35075" s="62"/>
    </row>
    <row r="35076" spans="2:8" x14ac:dyDescent="0.25">
      <c r="B35076" s="1" t="s">
        <v>14337</v>
      </c>
      <c r="C35076" s="1" t="s">
        <v>14338</v>
      </c>
      <c r="D35076" s="22" t="str">
        <f>HYPERLINK("https://rhld.insurance.arkansas.gov/NPILookup?Npi=1073164281","1073164281")</f>
        <v>1073164281</v>
      </c>
      <c r="E35076" s="1" t="s">
        <v>14407</v>
      </c>
      <c r="F35076" s="62"/>
      <c r="G35076" s="2">
        <v>54321</v>
      </c>
      <c r="H35076" s="62"/>
    </row>
    <row r="35077" spans="2:8" x14ac:dyDescent="0.25">
      <c r="B35077" s="1" t="s">
        <v>14337</v>
      </c>
      <c r="C35077" s="1" t="s">
        <v>14338</v>
      </c>
      <c r="D35077" s="22" t="str">
        <f>HYPERLINK("https://rhld.insurance.arkansas.gov/NPILookup?Npi=1073528170","1073528170")</f>
        <v>1073528170</v>
      </c>
      <c r="E35077" s="1" t="s">
        <v>14343</v>
      </c>
      <c r="F35077" s="62"/>
      <c r="G35077" s="2">
        <v>54321</v>
      </c>
      <c r="H35077" s="62"/>
    </row>
    <row r="35078" spans="2:8" x14ac:dyDescent="0.25">
      <c r="B35078" s="1" t="s">
        <v>14337</v>
      </c>
      <c r="C35078" s="1" t="s">
        <v>14338</v>
      </c>
      <c r="D35078" s="22" t="str">
        <f>HYPERLINK("https://rhld.insurance.arkansas.gov/NPILookup?Npi=1073530390","1073530390")</f>
        <v>1073530390</v>
      </c>
      <c r="E35078" s="1" t="s">
        <v>14355</v>
      </c>
      <c r="F35078" s="62"/>
      <c r="G35078" s="2">
        <v>54321</v>
      </c>
      <c r="H35078" s="62"/>
    </row>
    <row r="35079" spans="2:8" x14ac:dyDescent="0.25">
      <c r="B35079" s="1" t="s">
        <v>14337</v>
      </c>
      <c r="C35079" s="1" t="s">
        <v>14338</v>
      </c>
      <c r="D35079" s="22" t="str">
        <f>HYPERLINK("https://rhld.insurance.arkansas.gov/NPILookup?Npi=1073530457","1073530457")</f>
        <v>1073530457</v>
      </c>
      <c r="E35079" s="1" t="s">
        <v>14352</v>
      </c>
      <c r="F35079" s="62"/>
      <c r="G35079" s="2">
        <v>54321</v>
      </c>
      <c r="H35079" s="62"/>
    </row>
    <row r="35080" spans="2:8" x14ac:dyDescent="0.25">
      <c r="B35080" s="1" t="s">
        <v>14337</v>
      </c>
      <c r="C35080" s="1" t="s">
        <v>14338</v>
      </c>
      <c r="D35080" s="22" t="str">
        <f>HYPERLINK("https://rhld.insurance.arkansas.gov/NPILookup?Npi=1073530465","1073530465")</f>
        <v>1073530465</v>
      </c>
      <c r="E35080" s="1" t="s">
        <v>14352</v>
      </c>
      <c r="F35080" s="62"/>
      <c r="G35080" s="2">
        <v>54321</v>
      </c>
      <c r="H35080" s="62"/>
    </row>
    <row r="35081" spans="2:8" x14ac:dyDescent="0.25">
      <c r="B35081" s="1" t="s">
        <v>14337</v>
      </c>
      <c r="C35081" s="1" t="s">
        <v>14338</v>
      </c>
      <c r="D35081" s="22" t="str">
        <f>HYPERLINK("https://rhld.insurance.arkansas.gov/NPILookup?Npi=1073530473","1073530473")</f>
        <v>1073530473</v>
      </c>
      <c r="E35081" s="1" t="s">
        <v>14355</v>
      </c>
      <c r="F35081" s="62"/>
      <c r="G35081" s="2">
        <v>54321</v>
      </c>
      <c r="H35081" s="62"/>
    </row>
    <row r="35082" spans="2:8" x14ac:dyDescent="0.25">
      <c r="B35082" s="1" t="s">
        <v>14337</v>
      </c>
      <c r="C35082" s="1" t="s">
        <v>14338</v>
      </c>
      <c r="D35082" s="22" t="str">
        <f>HYPERLINK("https://rhld.insurance.arkansas.gov/NPILookup?Npi=1073579843","1073579843")</f>
        <v>1073579843</v>
      </c>
      <c r="E35082" s="1" t="s">
        <v>14408</v>
      </c>
      <c r="F35082" s="62"/>
      <c r="G35082" s="2">
        <v>54321</v>
      </c>
      <c r="H35082" s="62"/>
    </row>
    <row r="35083" spans="2:8" x14ac:dyDescent="0.25">
      <c r="B35083" s="1" t="s">
        <v>14337</v>
      </c>
      <c r="C35083" s="1" t="s">
        <v>14338</v>
      </c>
      <c r="D35083" s="22" t="str">
        <f>HYPERLINK("https://rhld.insurance.arkansas.gov/NPILookup?Npi=1073601571","1073601571")</f>
        <v>1073601571</v>
      </c>
      <c r="E35083" s="1" t="s">
        <v>14409</v>
      </c>
      <c r="F35083" s="62"/>
      <c r="G35083" s="2">
        <v>54321</v>
      </c>
      <c r="H35083" s="62"/>
    </row>
    <row r="35084" spans="2:8" x14ac:dyDescent="0.25">
      <c r="B35084" s="1" t="s">
        <v>14337</v>
      </c>
      <c r="C35084" s="1" t="s">
        <v>14338</v>
      </c>
      <c r="D35084" s="22" t="str">
        <f>HYPERLINK("https://rhld.insurance.arkansas.gov/NPILookup?Npi=1073921177","1073921177")</f>
        <v>1073921177</v>
      </c>
      <c r="E35084" s="1" t="s">
        <v>14410</v>
      </c>
      <c r="F35084" s="62"/>
      <c r="G35084" s="2">
        <v>54321</v>
      </c>
      <c r="H35084" s="62"/>
    </row>
    <row r="35085" spans="2:8" x14ac:dyDescent="0.25">
      <c r="B35085" s="1" t="s">
        <v>14337</v>
      </c>
      <c r="C35085" s="1" t="s">
        <v>14338</v>
      </c>
      <c r="D35085" s="22" t="str">
        <f>HYPERLINK("https://rhld.insurance.arkansas.gov/NPILookup?Npi=1073997177","1073997177")</f>
        <v>1073997177</v>
      </c>
      <c r="E35085" s="1" t="s">
        <v>14411</v>
      </c>
      <c r="F35085" s="62"/>
      <c r="G35085" s="2">
        <v>54321</v>
      </c>
      <c r="H35085" s="62"/>
    </row>
    <row r="35086" spans="2:8" x14ac:dyDescent="0.25">
      <c r="B35086" s="1" t="s">
        <v>14337</v>
      </c>
      <c r="C35086" s="1" t="s">
        <v>14338</v>
      </c>
      <c r="D35086" s="22" t="str">
        <f>HYPERLINK("https://rhld.insurance.arkansas.gov/NPILookup?Npi=1083161038","1083161038")</f>
        <v>1083161038</v>
      </c>
      <c r="E35086" s="1" t="s">
        <v>14412</v>
      </c>
      <c r="F35086" s="62"/>
      <c r="G35086" s="2">
        <v>54321</v>
      </c>
      <c r="H35086" s="62"/>
    </row>
    <row r="35087" spans="2:8" x14ac:dyDescent="0.25">
      <c r="B35087" s="1" t="s">
        <v>14337</v>
      </c>
      <c r="C35087" s="1" t="s">
        <v>14338</v>
      </c>
      <c r="D35087" s="22" t="str">
        <f>HYPERLINK("https://rhld.insurance.arkansas.gov/NPILookup?Npi=1083376990","1083376990")</f>
        <v>1083376990</v>
      </c>
      <c r="E35087" s="1" t="s">
        <v>14413</v>
      </c>
      <c r="F35087" s="62"/>
      <c r="G35087" s="2">
        <v>54321</v>
      </c>
      <c r="H35087" s="62"/>
    </row>
    <row r="35088" spans="2:8" x14ac:dyDescent="0.25">
      <c r="B35088" s="1" t="s">
        <v>14337</v>
      </c>
      <c r="C35088" s="1" t="s">
        <v>14338</v>
      </c>
      <c r="D35088" s="22" t="str">
        <f>HYPERLINK("https://rhld.insurance.arkansas.gov/NPILookup?Npi=1083391809","1083391809")</f>
        <v>1083391809</v>
      </c>
      <c r="E35088" s="1" t="s">
        <v>14414</v>
      </c>
      <c r="F35088" s="62"/>
      <c r="G35088" s="2">
        <v>54321</v>
      </c>
      <c r="H35088" s="62"/>
    </row>
    <row r="35089" spans="2:8" x14ac:dyDescent="0.25">
      <c r="B35089" s="1" t="s">
        <v>14337</v>
      </c>
      <c r="C35089" s="1" t="s">
        <v>14338</v>
      </c>
      <c r="D35089" s="22" t="str">
        <f>HYPERLINK("https://rhld.insurance.arkansas.gov/NPILookup?Npi=1083486419","1083486419")</f>
        <v>1083486419</v>
      </c>
      <c r="E35089" s="1" t="s">
        <v>14415</v>
      </c>
      <c r="F35089" s="62"/>
      <c r="G35089" s="2">
        <v>54321</v>
      </c>
      <c r="H35089" s="62"/>
    </row>
    <row r="35090" spans="2:8" x14ac:dyDescent="0.25">
      <c r="B35090" s="1" t="s">
        <v>14337</v>
      </c>
      <c r="C35090" s="1" t="s">
        <v>14338</v>
      </c>
      <c r="D35090" s="22" t="str">
        <f>HYPERLINK("https://rhld.insurance.arkansas.gov/NPILookup?Npi=1083608319","1083608319")</f>
        <v>1083608319</v>
      </c>
      <c r="E35090" s="1" t="s">
        <v>14416</v>
      </c>
      <c r="F35090" s="62"/>
      <c r="G35090" s="2">
        <v>54321</v>
      </c>
      <c r="H35090" s="62"/>
    </row>
    <row r="35091" spans="2:8" x14ac:dyDescent="0.25">
      <c r="B35091" s="1" t="s">
        <v>14337</v>
      </c>
      <c r="C35091" s="1" t="s">
        <v>14338</v>
      </c>
      <c r="D35091" s="22" t="str">
        <f>HYPERLINK("https://rhld.insurance.arkansas.gov/NPILookup?Npi=1083621080","1083621080")</f>
        <v>1083621080</v>
      </c>
      <c r="E35091" s="1" t="s">
        <v>14343</v>
      </c>
      <c r="F35091" s="62" t="s">
        <v>1</v>
      </c>
      <c r="G35091" s="2">
        <v>54321</v>
      </c>
      <c r="H35091" s="62" t="s">
        <v>37378</v>
      </c>
    </row>
    <row r="35092" spans="2:8" x14ac:dyDescent="0.25">
      <c r="B35092" s="1" t="s">
        <v>14337</v>
      </c>
      <c r="C35092" s="1" t="s">
        <v>14338</v>
      </c>
      <c r="D35092" s="22" t="str">
        <f>HYPERLINK("https://rhld.insurance.arkansas.gov/NPILookup?Npi=1083625610","1083625610")</f>
        <v>1083625610</v>
      </c>
      <c r="E35092" s="1" t="s">
        <v>14417</v>
      </c>
      <c r="F35092" s="62"/>
      <c r="G35092" s="2">
        <v>54321</v>
      </c>
      <c r="H35092" s="62"/>
    </row>
    <row r="35093" spans="2:8" x14ac:dyDescent="0.25">
      <c r="B35093" s="1" t="s">
        <v>14337</v>
      </c>
      <c r="C35093" s="1" t="s">
        <v>14338</v>
      </c>
      <c r="D35093" s="22" t="str">
        <f>HYPERLINK("https://rhld.insurance.arkansas.gov/NPILookup?Npi=1083631592","1083631592")</f>
        <v>1083631592</v>
      </c>
      <c r="E35093" s="1" t="s">
        <v>14352</v>
      </c>
      <c r="F35093" s="62"/>
      <c r="G35093" s="2">
        <v>54321</v>
      </c>
      <c r="H35093" s="62"/>
    </row>
    <row r="35094" spans="2:8" x14ac:dyDescent="0.25">
      <c r="B35094" s="1" t="s">
        <v>14337</v>
      </c>
      <c r="C35094" s="1" t="s">
        <v>14338</v>
      </c>
      <c r="D35094" s="22" t="str">
        <f>HYPERLINK("https://rhld.insurance.arkansas.gov/NPILookup?Npi=1083733224","1083733224")</f>
        <v>1083733224</v>
      </c>
      <c r="E35094" s="1" t="s">
        <v>14418</v>
      </c>
      <c r="F35094" s="62"/>
      <c r="G35094" s="2">
        <v>54321</v>
      </c>
      <c r="H35094" s="62"/>
    </row>
    <row r="35095" spans="2:8" x14ac:dyDescent="0.25">
      <c r="B35095" s="1" t="s">
        <v>14337</v>
      </c>
      <c r="C35095" s="1" t="s">
        <v>14338</v>
      </c>
      <c r="D35095" s="22" t="str">
        <f>HYPERLINK("https://rhld.insurance.arkansas.gov/NPILookup?Npi=1083754816","1083754816")</f>
        <v>1083754816</v>
      </c>
      <c r="E35095" s="1" t="s">
        <v>14419</v>
      </c>
      <c r="F35095" s="62"/>
      <c r="G35095" s="2">
        <v>54321</v>
      </c>
      <c r="H35095" s="62"/>
    </row>
    <row r="35096" spans="2:8" x14ac:dyDescent="0.25">
      <c r="B35096" s="1" t="s">
        <v>14337</v>
      </c>
      <c r="C35096" s="1" t="s">
        <v>14338</v>
      </c>
      <c r="D35096" s="22" t="str">
        <f>HYPERLINK("https://rhld.insurance.arkansas.gov/NPILookup?Npi=1083774210","1083774210")</f>
        <v>1083774210</v>
      </c>
      <c r="E35096" s="1" t="s">
        <v>14344</v>
      </c>
      <c r="F35096" s="62"/>
      <c r="G35096" s="2">
        <v>54321</v>
      </c>
      <c r="H35096" s="62"/>
    </row>
    <row r="35097" spans="2:8" x14ac:dyDescent="0.25">
      <c r="B35097" s="1" t="s">
        <v>14337</v>
      </c>
      <c r="C35097" s="1" t="s">
        <v>14338</v>
      </c>
      <c r="D35097" s="22" t="str">
        <f>HYPERLINK("https://rhld.insurance.arkansas.gov/NPILookup?Npi=1083855605","1083855605")</f>
        <v>1083855605</v>
      </c>
      <c r="E35097" s="1" t="s">
        <v>14420</v>
      </c>
      <c r="F35097" s="62"/>
      <c r="G35097" s="2">
        <v>54321</v>
      </c>
      <c r="H35097" s="62"/>
    </row>
    <row r="35098" spans="2:8" x14ac:dyDescent="0.25">
      <c r="B35098" s="1" t="s">
        <v>14337</v>
      </c>
      <c r="C35098" s="1" t="s">
        <v>14338</v>
      </c>
      <c r="D35098" s="22" t="str">
        <f>HYPERLINK("https://rhld.insurance.arkansas.gov/NPILookup?Npi=1083890412","1083890412")</f>
        <v>1083890412</v>
      </c>
      <c r="E35098" s="1" t="s">
        <v>14355</v>
      </c>
      <c r="F35098" s="62"/>
      <c r="G35098" s="2">
        <v>54321</v>
      </c>
      <c r="H35098" s="62"/>
    </row>
    <row r="35099" spans="2:8" x14ac:dyDescent="0.25">
      <c r="B35099" s="1" t="s">
        <v>14337</v>
      </c>
      <c r="C35099" s="1" t="s">
        <v>14338</v>
      </c>
      <c r="D35099" s="22" t="str">
        <f>HYPERLINK("https://rhld.insurance.arkansas.gov/NPILookup?Npi=1093009292","1093009292")</f>
        <v>1093009292</v>
      </c>
      <c r="E35099" s="1" t="s">
        <v>14421</v>
      </c>
      <c r="F35099" s="62"/>
      <c r="G35099" s="2">
        <v>54321</v>
      </c>
      <c r="H35099" s="62"/>
    </row>
    <row r="35100" spans="2:8" x14ac:dyDescent="0.25">
      <c r="B35100" s="1" t="s">
        <v>14337</v>
      </c>
      <c r="C35100" s="1" t="s">
        <v>14338</v>
      </c>
      <c r="D35100" s="22" t="str">
        <f>HYPERLINK("https://rhld.insurance.arkansas.gov/NPILookup?Npi=1093046500","1093046500")</f>
        <v>1093046500</v>
      </c>
      <c r="E35100" s="1" t="s">
        <v>14422</v>
      </c>
      <c r="F35100" s="62"/>
      <c r="G35100" s="2">
        <v>54321</v>
      </c>
      <c r="H35100" s="62"/>
    </row>
    <row r="35101" spans="2:8" x14ac:dyDescent="0.25">
      <c r="B35101" s="1" t="s">
        <v>14337</v>
      </c>
      <c r="C35101" s="1" t="s">
        <v>14338</v>
      </c>
      <c r="D35101" s="22" t="str">
        <f>HYPERLINK("https://rhld.insurance.arkansas.gov/NPILookup?Npi=1093118945","1093118945")</f>
        <v>1093118945</v>
      </c>
      <c r="E35101" s="1" t="s">
        <v>14423</v>
      </c>
      <c r="F35101" s="62"/>
      <c r="G35101" s="2">
        <v>54321</v>
      </c>
      <c r="H35101" s="62"/>
    </row>
    <row r="35102" spans="2:8" x14ac:dyDescent="0.25">
      <c r="B35102" s="1" t="s">
        <v>14337</v>
      </c>
      <c r="C35102" s="1" t="s">
        <v>14338</v>
      </c>
      <c r="D35102" s="22" t="str">
        <f>HYPERLINK("https://rhld.insurance.arkansas.gov/NPILookup?Npi=1093257420","1093257420")</f>
        <v>1093257420</v>
      </c>
      <c r="E35102" s="1" t="s">
        <v>14424</v>
      </c>
      <c r="F35102" s="62"/>
      <c r="G35102" s="2">
        <v>54321</v>
      </c>
      <c r="H35102" s="62"/>
    </row>
    <row r="35103" spans="2:8" x14ac:dyDescent="0.25">
      <c r="B35103" s="1" t="s">
        <v>14337</v>
      </c>
      <c r="C35103" s="1" t="s">
        <v>14338</v>
      </c>
      <c r="D35103" s="22" t="str">
        <f>HYPERLINK("https://rhld.insurance.arkansas.gov/NPILookup?Npi=1093271728","1093271728")</f>
        <v>1093271728</v>
      </c>
      <c r="E35103" s="1" t="s">
        <v>14425</v>
      </c>
      <c r="F35103" s="62"/>
      <c r="G35103" s="2">
        <v>54321</v>
      </c>
      <c r="H35103" s="62"/>
    </row>
    <row r="35104" spans="2:8" x14ac:dyDescent="0.25">
      <c r="B35104" s="1" t="s">
        <v>14337</v>
      </c>
      <c r="C35104" s="1" t="s">
        <v>14338</v>
      </c>
      <c r="D35104" s="22" t="str">
        <f>HYPERLINK("https://rhld.insurance.arkansas.gov/NPILookup?Npi=1093279044","1093279044")</f>
        <v>1093279044</v>
      </c>
      <c r="E35104" s="1" t="s">
        <v>14426</v>
      </c>
      <c r="F35104" s="62"/>
      <c r="G35104" s="2">
        <v>54321</v>
      </c>
      <c r="H35104" s="62"/>
    </row>
    <row r="35105" spans="2:8" x14ac:dyDescent="0.25">
      <c r="B35105" s="1" t="s">
        <v>14337</v>
      </c>
      <c r="C35105" s="1" t="s">
        <v>14338</v>
      </c>
      <c r="D35105" s="22" t="str">
        <f>HYPERLINK("https://rhld.insurance.arkansas.gov/NPILookup?Npi=1093321812","1093321812")</f>
        <v>1093321812</v>
      </c>
      <c r="E35105" s="1" t="s">
        <v>14427</v>
      </c>
      <c r="F35105" s="62"/>
      <c r="G35105" s="2">
        <v>54321</v>
      </c>
      <c r="H35105" s="62"/>
    </row>
    <row r="35106" spans="2:8" x14ac:dyDescent="0.25">
      <c r="B35106" s="1" t="s">
        <v>14337</v>
      </c>
      <c r="C35106" s="1" t="s">
        <v>14338</v>
      </c>
      <c r="D35106" s="22" t="str">
        <f>HYPERLINK("https://rhld.insurance.arkansas.gov/NPILookup?Npi=1093720096","1093720096")</f>
        <v>1093720096</v>
      </c>
      <c r="E35106" s="1" t="s">
        <v>14343</v>
      </c>
      <c r="F35106" s="62"/>
      <c r="G35106" s="2">
        <v>54321</v>
      </c>
      <c r="H35106" s="62"/>
    </row>
    <row r="35107" spans="2:8" x14ac:dyDescent="0.25">
      <c r="B35107" s="1" t="s">
        <v>14337</v>
      </c>
      <c r="C35107" s="1" t="s">
        <v>14338</v>
      </c>
      <c r="D35107" s="22" t="str">
        <f>HYPERLINK("https://rhld.insurance.arkansas.gov/NPILookup?Npi=1093720351","1093720351")</f>
        <v>1093720351</v>
      </c>
      <c r="E35107" s="1" t="s">
        <v>14428</v>
      </c>
      <c r="F35107" s="62"/>
      <c r="G35107" s="2">
        <v>54321</v>
      </c>
      <c r="H35107" s="62"/>
    </row>
    <row r="35108" spans="2:8" x14ac:dyDescent="0.25">
      <c r="B35108" s="1" t="s">
        <v>14337</v>
      </c>
      <c r="C35108" s="1" t="s">
        <v>14338</v>
      </c>
      <c r="D35108" s="22" t="str">
        <f>HYPERLINK("https://rhld.insurance.arkansas.gov/NPILookup?Npi=1093720617","1093720617")</f>
        <v>1093720617</v>
      </c>
      <c r="E35108" s="1" t="s">
        <v>14429</v>
      </c>
      <c r="F35108" s="62"/>
      <c r="G35108" s="2">
        <v>54321</v>
      </c>
      <c r="H35108" s="62"/>
    </row>
    <row r="35109" spans="2:8" x14ac:dyDescent="0.25">
      <c r="B35109" s="1" t="s">
        <v>14337</v>
      </c>
      <c r="C35109" s="1" t="s">
        <v>14338</v>
      </c>
      <c r="D35109" s="22" t="str">
        <f>HYPERLINK("https://rhld.insurance.arkansas.gov/NPILookup?Npi=1093730715","1093730715")</f>
        <v>1093730715</v>
      </c>
      <c r="E35109" s="1" t="s">
        <v>14344</v>
      </c>
      <c r="F35109" s="62"/>
      <c r="G35109" s="2">
        <v>54321</v>
      </c>
      <c r="H35109" s="62"/>
    </row>
    <row r="35110" spans="2:8" x14ac:dyDescent="0.25">
      <c r="B35110" s="1" t="s">
        <v>14337</v>
      </c>
      <c r="C35110" s="1" t="s">
        <v>14338</v>
      </c>
      <c r="D35110" s="22" t="str">
        <f>HYPERLINK("https://rhld.insurance.arkansas.gov/NPILookup?Npi=1093861825","1093861825")</f>
        <v>1093861825</v>
      </c>
      <c r="E35110" s="1" t="s">
        <v>14430</v>
      </c>
      <c r="F35110" s="62"/>
      <c r="G35110" s="2">
        <v>54321</v>
      </c>
      <c r="H35110" s="62"/>
    </row>
    <row r="35111" spans="2:8" x14ac:dyDescent="0.25">
      <c r="B35111" s="1" t="s">
        <v>14337</v>
      </c>
      <c r="C35111" s="1" t="s">
        <v>14338</v>
      </c>
      <c r="D35111" s="22" t="str">
        <f>HYPERLINK("https://rhld.insurance.arkansas.gov/NPILookup?Npi=1093863037","1093863037")</f>
        <v>1093863037</v>
      </c>
      <c r="E35111" s="1" t="s">
        <v>14431</v>
      </c>
      <c r="F35111" s="62"/>
      <c r="G35111" s="2">
        <v>54321</v>
      </c>
      <c r="H35111" s="62"/>
    </row>
    <row r="35112" spans="2:8" x14ac:dyDescent="0.25">
      <c r="B35112" s="1" t="s">
        <v>14337</v>
      </c>
      <c r="C35112" s="1" t="s">
        <v>14338</v>
      </c>
      <c r="D35112" s="22" t="str">
        <f>HYPERLINK("https://rhld.insurance.arkansas.gov/NPILookup?Npi=1104117878","1104117878")</f>
        <v>1104117878</v>
      </c>
      <c r="E35112" s="1" t="s">
        <v>14432</v>
      </c>
      <c r="F35112" s="62"/>
      <c r="G35112" s="2">
        <v>54321</v>
      </c>
      <c r="H35112" s="62"/>
    </row>
    <row r="35113" spans="2:8" x14ac:dyDescent="0.25">
      <c r="B35113" s="1" t="s">
        <v>14337</v>
      </c>
      <c r="C35113" s="1" t="s">
        <v>14338</v>
      </c>
      <c r="D35113" s="22" t="str">
        <f>HYPERLINK("https://rhld.insurance.arkansas.gov/NPILookup?Npi=1104179274","1104179274")</f>
        <v>1104179274</v>
      </c>
      <c r="E35113" s="1" t="s">
        <v>14433</v>
      </c>
      <c r="F35113" s="62"/>
      <c r="G35113" s="2">
        <v>54321</v>
      </c>
      <c r="H35113" s="62"/>
    </row>
    <row r="35114" spans="2:8" x14ac:dyDescent="0.25">
      <c r="B35114" s="1" t="s">
        <v>14337</v>
      </c>
      <c r="C35114" s="1" t="s">
        <v>14338</v>
      </c>
      <c r="D35114" s="22" t="str">
        <f>HYPERLINK("https://rhld.insurance.arkansas.gov/NPILookup?Npi=1104184332","1104184332")</f>
        <v>1104184332</v>
      </c>
      <c r="E35114" s="1" t="s">
        <v>14434</v>
      </c>
      <c r="F35114" s="62"/>
      <c r="G35114" s="2">
        <v>54321</v>
      </c>
      <c r="H35114" s="62"/>
    </row>
    <row r="35115" spans="2:8" x14ac:dyDescent="0.25">
      <c r="B35115" s="1" t="s">
        <v>14337</v>
      </c>
      <c r="C35115" s="1" t="s">
        <v>14338</v>
      </c>
      <c r="D35115" s="22" t="str">
        <f>HYPERLINK("https://rhld.insurance.arkansas.gov/NPILookup?Npi=1104274315","1104274315")</f>
        <v>1104274315</v>
      </c>
      <c r="E35115" s="1" t="s">
        <v>14355</v>
      </c>
      <c r="F35115" s="62"/>
      <c r="G35115" s="2">
        <v>54321</v>
      </c>
      <c r="H35115" s="62"/>
    </row>
    <row r="35116" spans="2:8" x14ac:dyDescent="0.25">
      <c r="B35116" s="1" t="s">
        <v>14337</v>
      </c>
      <c r="C35116" s="1" t="s">
        <v>14338</v>
      </c>
      <c r="D35116" s="22" t="str">
        <f>HYPERLINK("https://rhld.insurance.arkansas.gov/NPILookup?Npi=1104297753","1104297753")</f>
        <v>1104297753</v>
      </c>
      <c r="E35116" s="1" t="s">
        <v>14355</v>
      </c>
      <c r="F35116" s="62"/>
      <c r="G35116" s="2">
        <v>54321</v>
      </c>
      <c r="H35116" s="62"/>
    </row>
    <row r="35117" spans="2:8" x14ac:dyDescent="0.25">
      <c r="B35117" s="1" t="s">
        <v>14337</v>
      </c>
      <c r="C35117" s="1" t="s">
        <v>14338</v>
      </c>
      <c r="D35117" s="22" t="str">
        <f>HYPERLINK("https://rhld.insurance.arkansas.gov/NPILookup?Npi=1104461532","1104461532")</f>
        <v>1104461532</v>
      </c>
      <c r="E35117" s="1" t="s">
        <v>14435</v>
      </c>
      <c r="F35117" s="62"/>
      <c r="G35117" s="2">
        <v>54321</v>
      </c>
      <c r="H35117" s="62"/>
    </row>
    <row r="35118" spans="2:8" x14ac:dyDescent="0.25">
      <c r="B35118" s="1" t="s">
        <v>14337</v>
      </c>
      <c r="C35118" s="1" t="s">
        <v>14338</v>
      </c>
      <c r="D35118" s="22" t="str">
        <f>HYPERLINK("https://rhld.insurance.arkansas.gov/NPILookup?Npi=1104811173","1104811173")</f>
        <v>1104811173</v>
      </c>
      <c r="E35118" s="1" t="s">
        <v>14436</v>
      </c>
      <c r="F35118" s="62"/>
      <c r="G35118" s="2">
        <v>54321</v>
      </c>
      <c r="H35118" s="62"/>
    </row>
    <row r="35119" spans="2:8" x14ac:dyDescent="0.25">
      <c r="B35119" s="1" t="s">
        <v>14337</v>
      </c>
      <c r="C35119" s="1" t="s">
        <v>14338</v>
      </c>
      <c r="D35119" s="22" t="str">
        <f>HYPERLINK("https://rhld.insurance.arkansas.gov/NPILookup?Npi=1104833169","1104833169")</f>
        <v>1104833169</v>
      </c>
      <c r="E35119" s="1" t="s">
        <v>14343</v>
      </c>
      <c r="F35119" s="62"/>
      <c r="G35119" s="2">
        <v>54321</v>
      </c>
      <c r="H35119" s="62"/>
    </row>
    <row r="35120" spans="2:8" x14ac:dyDescent="0.25">
      <c r="B35120" s="1" t="s">
        <v>14337</v>
      </c>
      <c r="C35120" s="1" t="s">
        <v>14338</v>
      </c>
      <c r="D35120" s="22" t="str">
        <f>HYPERLINK("https://rhld.insurance.arkansas.gov/NPILookup?Npi=1104847151","1104847151")</f>
        <v>1104847151</v>
      </c>
      <c r="E35120" s="1" t="s">
        <v>14437</v>
      </c>
      <c r="F35120" s="62"/>
      <c r="G35120" s="2">
        <v>54321</v>
      </c>
      <c r="H35120" s="62"/>
    </row>
    <row r="35121" spans="2:8" x14ac:dyDescent="0.25">
      <c r="B35121" s="1" t="s">
        <v>14337</v>
      </c>
      <c r="C35121" s="1" t="s">
        <v>14338</v>
      </c>
      <c r="D35121" s="22" t="str">
        <f>HYPERLINK("https://rhld.insurance.arkansas.gov/NPILookup?Npi=1104850981","1104850981")</f>
        <v>1104850981</v>
      </c>
      <c r="E35121" s="1" t="s">
        <v>14344</v>
      </c>
      <c r="F35121" s="62"/>
      <c r="G35121" s="2">
        <v>54321</v>
      </c>
      <c r="H35121" s="62"/>
    </row>
    <row r="35122" spans="2:8" x14ac:dyDescent="0.25">
      <c r="B35122" s="1" t="s">
        <v>14337</v>
      </c>
      <c r="C35122" s="1" t="s">
        <v>14338</v>
      </c>
      <c r="D35122" s="22" t="str">
        <f>HYPERLINK("https://rhld.insurance.arkansas.gov/NPILookup?Npi=1104954585","1104954585")</f>
        <v>1104954585</v>
      </c>
      <c r="E35122" s="1" t="s">
        <v>14438</v>
      </c>
      <c r="F35122" s="62"/>
      <c r="G35122" s="2">
        <v>54321</v>
      </c>
      <c r="H35122" s="62"/>
    </row>
    <row r="35123" spans="2:8" x14ac:dyDescent="0.25">
      <c r="B35123" s="1" t="s">
        <v>14337</v>
      </c>
      <c r="C35123" s="1" t="s">
        <v>14338</v>
      </c>
      <c r="D35123" s="22" t="str">
        <f>HYPERLINK("https://rhld.insurance.arkansas.gov/NPILookup?Npi=1114164597","1114164597")</f>
        <v>1114164597</v>
      </c>
      <c r="E35123" s="1" t="s">
        <v>14359</v>
      </c>
      <c r="F35123" s="62"/>
      <c r="G35123" s="2">
        <v>54321</v>
      </c>
      <c r="H35123" s="62"/>
    </row>
    <row r="35124" spans="2:8" x14ac:dyDescent="0.25">
      <c r="B35124" s="1" t="s">
        <v>14337</v>
      </c>
      <c r="C35124" s="1" t="s">
        <v>14338</v>
      </c>
      <c r="D35124" s="22" t="str">
        <f>HYPERLINK("https://rhld.insurance.arkansas.gov/NPILookup?Npi=1114290590","1114290590")</f>
        <v>1114290590</v>
      </c>
      <c r="E35124" s="1" t="s">
        <v>14439</v>
      </c>
      <c r="F35124" s="62"/>
      <c r="G35124" s="2">
        <v>54321</v>
      </c>
      <c r="H35124" s="62"/>
    </row>
    <row r="35125" spans="2:8" x14ac:dyDescent="0.25">
      <c r="B35125" s="1" t="s">
        <v>14337</v>
      </c>
      <c r="C35125" s="1" t="s">
        <v>14338</v>
      </c>
      <c r="D35125" s="22" t="str">
        <f>HYPERLINK("https://rhld.insurance.arkansas.gov/NPILookup?Npi=1114464211","1114464211")</f>
        <v>1114464211</v>
      </c>
      <c r="E35125" s="1" t="s">
        <v>14440</v>
      </c>
      <c r="F35125" s="62"/>
      <c r="G35125" s="2">
        <v>54321</v>
      </c>
      <c r="H35125" s="62"/>
    </row>
    <row r="35126" spans="2:8" x14ac:dyDescent="0.25">
      <c r="B35126" s="1" t="s">
        <v>14337</v>
      </c>
      <c r="C35126" s="1" t="s">
        <v>14338</v>
      </c>
      <c r="D35126" s="22" t="str">
        <f>HYPERLINK("https://rhld.insurance.arkansas.gov/NPILookup?Npi=1114744075","1114744075")</f>
        <v>1114744075</v>
      </c>
      <c r="E35126" s="1" t="s">
        <v>14441</v>
      </c>
      <c r="F35126" s="62"/>
      <c r="G35126" s="2">
        <v>54321</v>
      </c>
      <c r="H35126" s="62"/>
    </row>
    <row r="35127" spans="2:8" x14ac:dyDescent="0.25">
      <c r="B35127" s="1" t="s">
        <v>14337</v>
      </c>
      <c r="C35127" s="1" t="s">
        <v>14338</v>
      </c>
      <c r="D35127" s="22" t="str">
        <f>HYPERLINK("https://rhld.insurance.arkansas.gov/NPILookup?Npi=1114926524","1114926524")</f>
        <v>1114926524</v>
      </c>
      <c r="E35127" s="1" t="s">
        <v>14442</v>
      </c>
      <c r="F35127" s="62"/>
      <c r="G35127" s="2">
        <v>54321</v>
      </c>
      <c r="H35127" s="62"/>
    </row>
    <row r="35128" spans="2:8" x14ac:dyDescent="0.25">
      <c r="B35128" s="1" t="s">
        <v>14337</v>
      </c>
      <c r="C35128" s="1" t="s">
        <v>14338</v>
      </c>
      <c r="D35128" s="22" t="str">
        <f>HYPERLINK("https://rhld.insurance.arkansas.gov/NPILookup?Npi=1124045232","1124045232")</f>
        <v>1124045232</v>
      </c>
      <c r="E35128" s="1" t="s">
        <v>14355</v>
      </c>
      <c r="F35128" s="62"/>
      <c r="G35128" s="2">
        <v>54321</v>
      </c>
      <c r="H35128" s="62"/>
    </row>
    <row r="35129" spans="2:8" x14ac:dyDescent="0.25">
      <c r="B35129" s="1" t="s">
        <v>14337</v>
      </c>
      <c r="C35129" s="1" t="s">
        <v>14338</v>
      </c>
      <c r="D35129" s="22" t="str">
        <f>HYPERLINK("https://rhld.insurance.arkansas.gov/NPILookup?Npi=1124045372","1124045372")</f>
        <v>1124045372</v>
      </c>
      <c r="E35129" s="1" t="s">
        <v>14355</v>
      </c>
      <c r="F35129" s="62"/>
      <c r="G35129" s="2">
        <v>54321</v>
      </c>
      <c r="H35129" s="62"/>
    </row>
    <row r="35130" spans="2:8" x14ac:dyDescent="0.25">
      <c r="B35130" s="1" t="s">
        <v>14337</v>
      </c>
      <c r="C35130" s="1" t="s">
        <v>14338</v>
      </c>
      <c r="D35130" s="22" t="str">
        <f>HYPERLINK("https://rhld.insurance.arkansas.gov/NPILookup?Npi=1124095070","1124095070")</f>
        <v>1124095070</v>
      </c>
      <c r="E35130" s="1" t="s">
        <v>14443</v>
      </c>
      <c r="F35130" s="62"/>
      <c r="G35130" s="2">
        <v>54321</v>
      </c>
      <c r="H35130" s="62"/>
    </row>
    <row r="35131" spans="2:8" x14ac:dyDescent="0.25">
      <c r="B35131" s="1" t="s">
        <v>14337</v>
      </c>
      <c r="C35131" s="1" t="s">
        <v>14338</v>
      </c>
      <c r="D35131" s="22" t="str">
        <f>HYPERLINK("https://rhld.insurance.arkansas.gov/NPILookup?Npi=1124102264","1124102264")</f>
        <v>1124102264</v>
      </c>
      <c r="E35131" s="1" t="s">
        <v>14343</v>
      </c>
      <c r="F35131" s="62"/>
      <c r="G35131" s="2">
        <v>54321</v>
      </c>
      <c r="H35131" s="62"/>
    </row>
    <row r="35132" spans="2:8" x14ac:dyDescent="0.25">
      <c r="B35132" s="1" t="s">
        <v>14337</v>
      </c>
      <c r="C35132" s="1" t="s">
        <v>14338</v>
      </c>
      <c r="D35132" s="22" t="str">
        <f>HYPERLINK("https://rhld.insurance.arkansas.gov/NPILookup?Npi=1124198221","1124198221")</f>
        <v>1124198221</v>
      </c>
      <c r="E35132" s="1" t="s">
        <v>14444</v>
      </c>
      <c r="F35132" s="62"/>
      <c r="G35132" s="2">
        <v>54321</v>
      </c>
      <c r="H35132" s="62"/>
    </row>
    <row r="35133" spans="2:8" x14ac:dyDescent="0.25">
      <c r="B35133" s="1" t="s">
        <v>14337</v>
      </c>
      <c r="C35133" s="1" t="s">
        <v>14338</v>
      </c>
      <c r="D35133" s="22" t="str">
        <f>HYPERLINK("https://rhld.insurance.arkansas.gov/NPILookup?Npi=1124223243","1124223243")</f>
        <v>1124223243</v>
      </c>
      <c r="E35133" s="1" t="s">
        <v>14445</v>
      </c>
      <c r="F35133" s="62"/>
      <c r="G35133" s="2">
        <v>54321</v>
      </c>
      <c r="H35133" s="62"/>
    </row>
    <row r="35134" spans="2:8" x14ac:dyDescent="0.25">
      <c r="B35134" s="1" t="s">
        <v>14337</v>
      </c>
      <c r="C35134" s="1" t="s">
        <v>14338</v>
      </c>
      <c r="D35134" s="22" t="str">
        <f>HYPERLINK("https://rhld.insurance.arkansas.gov/NPILookup?Npi=1124313267","1124313267")</f>
        <v>1124313267</v>
      </c>
      <c r="E35134" s="1" t="s">
        <v>14446</v>
      </c>
      <c r="F35134" s="62"/>
      <c r="G35134" s="2">
        <v>54321</v>
      </c>
      <c r="H35134" s="62"/>
    </row>
    <row r="35135" spans="2:8" x14ac:dyDescent="0.25">
      <c r="B35135" s="1" t="s">
        <v>14337</v>
      </c>
      <c r="C35135" s="1" t="s">
        <v>14338</v>
      </c>
      <c r="D35135" s="22" t="str">
        <f>HYPERLINK("https://rhld.insurance.arkansas.gov/NPILookup?Npi=1124372636","1124372636")</f>
        <v>1124372636</v>
      </c>
      <c r="E35135" s="1" t="s">
        <v>14447</v>
      </c>
      <c r="F35135" s="62"/>
      <c r="G35135" s="2">
        <v>54321</v>
      </c>
      <c r="H35135" s="62"/>
    </row>
    <row r="35136" spans="2:8" x14ac:dyDescent="0.25">
      <c r="B35136" s="1" t="s">
        <v>14337</v>
      </c>
      <c r="C35136" s="1" t="s">
        <v>14338</v>
      </c>
      <c r="D35136" s="22" t="str">
        <f>HYPERLINK("https://rhld.insurance.arkansas.gov/NPILookup?Npi=1124377437","1124377437")</f>
        <v>1124377437</v>
      </c>
      <c r="E35136" s="1" t="s">
        <v>14352</v>
      </c>
      <c r="F35136" s="62"/>
      <c r="G35136" s="2">
        <v>54321</v>
      </c>
      <c r="H35136" s="62"/>
    </row>
    <row r="35137" spans="2:8" x14ac:dyDescent="0.25">
      <c r="B35137" s="1" t="s">
        <v>14337</v>
      </c>
      <c r="C35137" s="1" t="s">
        <v>14338</v>
      </c>
      <c r="D35137" s="22" t="str">
        <f>HYPERLINK("https://rhld.insurance.arkansas.gov/NPILookup?Npi=1124634555","1124634555")</f>
        <v>1124634555</v>
      </c>
      <c r="E35137" s="1" t="s">
        <v>14448</v>
      </c>
      <c r="F35137" s="62"/>
      <c r="G35137" s="2">
        <v>54321</v>
      </c>
      <c r="H35137" s="62"/>
    </row>
    <row r="35138" spans="2:8" x14ac:dyDescent="0.25">
      <c r="B35138" s="1" t="s">
        <v>14337</v>
      </c>
      <c r="C35138" s="1" t="s">
        <v>14338</v>
      </c>
      <c r="D35138" s="22" t="str">
        <f>HYPERLINK("https://rhld.insurance.arkansas.gov/NPILookup?Npi=1124658141","1124658141")</f>
        <v>1124658141</v>
      </c>
      <c r="E35138" s="1" t="s">
        <v>14449</v>
      </c>
      <c r="F35138" s="62"/>
      <c r="G35138" s="2">
        <v>54321</v>
      </c>
      <c r="H35138" s="62"/>
    </row>
    <row r="35139" spans="2:8" x14ac:dyDescent="0.25">
      <c r="B35139" s="1" t="s">
        <v>14337</v>
      </c>
      <c r="C35139" s="1" t="s">
        <v>14338</v>
      </c>
      <c r="D35139" s="22" t="str">
        <f>HYPERLINK("https://rhld.insurance.arkansas.gov/NPILookup?Npi=1124802582","1124802582")</f>
        <v>1124802582</v>
      </c>
      <c r="E35139" s="1" t="s">
        <v>14450</v>
      </c>
      <c r="F35139" s="62"/>
      <c r="G35139" s="2">
        <v>54321</v>
      </c>
      <c r="H35139" s="62"/>
    </row>
    <row r="35140" spans="2:8" x14ac:dyDescent="0.25">
      <c r="B35140" s="1" t="s">
        <v>14337</v>
      </c>
      <c r="C35140" s="1" t="s">
        <v>14338</v>
      </c>
      <c r="D35140" s="22" t="str">
        <f>HYPERLINK("https://rhld.insurance.arkansas.gov/NPILookup?Npi=1134101009","1134101009")</f>
        <v>1134101009</v>
      </c>
      <c r="E35140" s="1" t="s">
        <v>14451</v>
      </c>
      <c r="F35140" s="62"/>
      <c r="G35140" s="2">
        <v>54321</v>
      </c>
      <c r="H35140" s="62"/>
    </row>
    <row r="35141" spans="2:8" x14ac:dyDescent="0.25">
      <c r="B35141" s="1" t="s">
        <v>14337</v>
      </c>
      <c r="C35141" s="1" t="s">
        <v>14338</v>
      </c>
      <c r="D35141" s="22" t="str">
        <f>HYPERLINK("https://rhld.insurance.arkansas.gov/NPILookup?Npi=1134122740","1134122740")</f>
        <v>1134122740</v>
      </c>
      <c r="E35141" s="1" t="s">
        <v>14452</v>
      </c>
      <c r="F35141" s="62"/>
      <c r="G35141" s="2">
        <v>54321</v>
      </c>
      <c r="H35141" s="62"/>
    </row>
    <row r="35142" spans="2:8" x14ac:dyDescent="0.25">
      <c r="B35142" s="1" t="s">
        <v>14337</v>
      </c>
      <c r="C35142" s="1" t="s">
        <v>14338</v>
      </c>
      <c r="D35142" s="22" t="str">
        <f>HYPERLINK("https://rhld.insurance.arkansas.gov/NPILookup?Npi=1134136146","1134136146")</f>
        <v>1134136146</v>
      </c>
      <c r="E35142" s="1" t="s">
        <v>14343</v>
      </c>
      <c r="F35142" s="62" t="s">
        <v>1</v>
      </c>
      <c r="G35142" s="2">
        <v>54321</v>
      </c>
      <c r="H35142" s="62" t="s">
        <v>37378</v>
      </c>
    </row>
    <row r="35143" spans="2:8" x14ac:dyDescent="0.25">
      <c r="B35143" s="1" t="s">
        <v>14337</v>
      </c>
      <c r="C35143" s="1" t="s">
        <v>14338</v>
      </c>
      <c r="D35143" s="22" t="str">
        <f>HYPERLINK("https://rhld.insurance.arkansas.gov/NPILookup?Npi=1134141005","1134141005")</f>
        <v>1134141005</v>
      </c>
      <c r="E35143" s="1" t="s">
        <v>14453</v>
      </c>
      <c r="F35143" s="62"/>
      <c r="G35143" s="2">
        <v>54321</v>
      </c>
      <c r="H35143" s="62"/>
    </row>
    <row r="35144" spans="2:8" x14ac:dyDescent="0.25">
      <c r="B35144" s="1" t="s">
        <v>14337</v>
      </c>
      <c r="C35144" s="1" t="s">
        <v>14338</v>
      </c>
      <c r="D35144" s="22" t="str">
        <f>HYPERLINK("https://rhld.insurance.arkansas.gov/NPILookup?Npi=1134146533","1134146533")</f>
        <v>1134146533</v>
      </c>
      <c r="E35144" s="1" t="s">
        <v>14352</v>
      </c>
      <c r="F35144" s="62"/>
      <c r="G35144" s="2">
        <v>54321</v>
      </c>
      <c r="H35144" s="62"/>
    </row>
    <row r="35145" spans="2:8" x14ac:dyDescent="0.25">
      <c r="B35145" s="1" t="s">
        <v>14337</v>
      </c>
      <c r="C35145" s="1" t="s">
        <v>14338</v>
      </c>
      <c r="D35145" s="22" t="str">
        <f>HYPERLINK("https://rhld.insurance.arkansas.gov/NPILookup?Npi=1134153984","1134153984")</f>
        <v>1134153984</v>
      </c>
      <c r="E35145" s="1" t="s">
        <v>14344</v>
      </c>
      <c r="F35145" s="62"/>
      <c r="G35145" s="2">
        <v>54321</v>
      </c>
      <c r="H35145" s="62"/>
    </row>
    <row r="35146" spans="2:8" x14ac:dyDescent="0.25">
      <c r="B35146" s="1" t="s">
        <v>14337</v>
      </c>
      <c r="C35146" s="1" t="s">
        <v>14338</v>
      </c>
      <c r="D35146" s="22" t="str">
        <f>HYPERLINK("https://rhld.insurance.arkansas.gov/NPILookup?Npi=1134155831","1134155831")</f>
        <v>1134155831</v>
      </c>
      <c r="E35146" s="1" t="s">
        <v>683</v>
      </c>
      <c r="F35146" s="62"/>
      <c r="G35146" s="2">
        <v>54321</v>
      </c>
      <c r="H35146" s="62"/>
    </row>
    <row r="35147" spans="2:8" x14ac:dyDescent="0.25">
      <c r="B35147" s="1" t="s">
        <v>14337</v>
      </c>
      <c r="C35147" s="1" t="s">
        <v>14338</v>
      </c>
      <c r="D35147" s="22" t="str">
        <f>HYPERLINK("https://rhld.insurance.arkansas.gov/NPILookup?Npi=1134229453","1134229453")</f>
        <v>1134229453</v>
      </c>
      <c r="E35147" s="1" t="s">
        <v>14454</v>
      </c>
      <c r="F35147" s="62"/>
      <c r="G35147" s="2">
        <v>54321</v>
      </c>
      <c r="H35147" s="62"/>
    </row>
    <row r="35148" spans="2:8" x14ac:dyDescent="0.25">
      <c r="B35148" s="1" t="s">
        <v>14337</v>
      </c>
      <c r="C35148" s="1" t="s">
        <v>14338</v>
      </c>
      <c r="D35148" s="22" t="str">
        <f>HYPERLINK("https://rhld.insurance.arkansas.gov/NPILookup?Npi=1134258882","1134258882")</f>
        <v>1134258882</v>
      </c>
      <c r="E35148" s="1" t="s">
        <v>14455</v>
      </c>
      <c r="F35148" s="62"/>
      <c r="G35148" s="2">
        <v>54321</v>
      </c>
      <c r="H35148" s="62"/>
    </row>
    <row r="35149" spans="2:8" x14ac:dyDescent="0.25">
      <c r="B35149" s="1" t="s">
        <v>14337</v>
      </c>
      <c r="C35149" s="1" t="s">
        <v>14338</v>
      </c>
      <c r="D35149" s="22" t="str">
        <f>HYPERLINK("https://rhld.insurance.arkansas.gov/NPILookup?Npi=1134309602","1134309602")</f>
        <v>1134309602</v>
      </c>
      <c r="E35149" s="1" t="s">
        <v>14456</v>
      </c>
      <c r="F35149" s="62"/>
      <c r="G35149" s="2">
        <v>54321</v>
      </c>
      <c r="H35149" s="62"/>
    </row>
    <row r="35150" spans="2:8" x14ac:dyDescent="0.25">
      <c r="B35150" s="1" t="s">
        <v>14337</v>
      </c>
      <c r="C35150" s="1" t="s">
        <v>14338</v>
      </c>
      <c r="D35150" s="22" t="str">
        <f>HYPERLINK("https://rhld.insurance.arkansas.gov/NPILookup?Npi=1134364003","1134364003")</f>
        <v>1134364003</v>
      </c>
      <c r="E35150" s="1" t="s">
        <v>14343</v>
      </c>
      <c r="F35150" s="62"/>
      <c r="G35150" s="2">
        <v>54321</v>
      </c>
      <c r="H35150" s="62"/>
    </row>
    <row r="35151" spans="2:8" x14ac:dyDescent="0.25">
      <c r="B35151" s="1" t="s">
        <v>14337</v>
      </c>
      <c r="C35151" s="1" t="s">
        <v>14338</v>
      </c>
      <c r="D35151" s="22" t="str">
        <f>HYPERLINK("https://rhld.insurance.arkansas.gov/NPILookup?Npi=1134617301","1134617301")</f>
        <v>1134617301</v>
      </c>
      <c r="E35151" s="1" t="s">
        <v>14422</v>
      </c>
      <c r="F35151" s="62"/>
      <c r="G35151" s="2">
        <v>54321</v>
      </c>
      <c r="H35151" s="62"/>
    </row>
    <row r="35152" spans="2:8" x14ac:dyDescent="0.25">
      <c r="B35152" s="1" t="s">
        <v>14337</v>
      </c>
      <c r="C35152" s="1" t="s">
        <v>14338</v>
      </c>
      <c r="D35152" s="22" t="str">
        <f>HYPERLINK("https://rhld.insurance.arkansas.gov/NPILookup?Npi=1144247537","1144247537")</f>
        <v>1144247537</v>
      </c>
      <c r="E35152" s="1" t="s">
        <v>14352</v>
      </c>
      <c r="F35152" s="62"/>
      <c r="G35152" s="2">
        <v>54321</v>
      </c>
      <c r="H35152" s="62"/>
    </row>
    <row r="35153" spans="2:8" x14ac:dyDescent="0.25">
      <c r="B35153" s="1" t="s">
        <v>14337</v>
      </c>
      <c r="C35153" s="1" t="s">
        <v>14338</v>
      </c>
      <c r="D35153" s="22" t="str">
        <f>HYPERLINK("https://rhld.insurance.arkansas.gov/NPILookup?Npi=1144247545","1144247545")</f>
        <v>1144247545</v>
      </c>
      <c r="E35153" s="1" t="s">
        <v>14352</v>
      </c>
      <c r="F35153" s="62"/>
      <c r="G35153" s="2">
        <v>54321</v>
      </c>
      <c r="H35153" s="62"/>
    </row>
    <row r="35154" spans="2:8" x14ac:dyDescent="0.25">
      <c r="B35154" s="1" t="s">
        <v>14337</v>
      </c>
      <c r="C35154" s="1" t="s">
        <v>14338</v>
      </c>
      <c r="D35154" s="22" t="str">
        <f>HYPERLINK("https://rhld.insurance.arkansas.gov/NPILookup?Npi=1144248998","1144248998")</f>
        <v>1144248998</v>
      </c>
      <c r="E35154" s="1" t="s">
        <v>14457</v>
      </c>
      <c r="F35154" s="62"/>
      <c r="G35154" s="2">
        <v>54321</v>
      </c>
      <c r="H35154" s="62"/>
    </row>
    <row r="35155" spans="2:8" x14ac:dyDescent="0.25">
      <c r="B35155" s="1" t="s">
        <v>14337</v>
      </c>
      <c r="C35155" s="1" t="s">
        <v>14338</v>
      </c>
      <c r="D35155" s="22" t="str">
        <f>HYPERLINK("https://rhld.insurance.arkansas.gov/NPILookup?Npi=1144254996","1144254996")</f>
        <v>1144254996</v>
      </c>
      <c r="E35155" s="1" t="s">
        <v>14344</v>
      </c>
      <c r="F35155" s="62"/>
      <c r="G35155" s="2">
        <v>54321</v>
      </c>
      <c r="H35155" s="62"/>
    </row>
    <row r="35156" spans="2:8" x14ac:dyDescent="0.25">
      <c r="B35156" s="1" t="s">
        <v>14337</v>
      </c>
      <c r="C35156" s="1" t="s">
        <v>14338</v>
      </c>
      <c r="D35156" s="22" t="str">
        <f>HYPERLINK("https://rhld.insurance.arkansas.gov/NPILookup?Npi=1144320466","1144320466")</f>
        <v>1144320466</v>
      </c>
      <c r="E35156" s="1" t="s">
        <v>14458</v>
      </c>
      <c r="F35156" s="62"/>
      <c r="G35156" s="2">
        <v>54321</v>
      </c>
      <c r="H35156" s="62"/>
    </row>
    <row r="35157" spans="2:8" x14ac:dyDescent="0.25">
      <c r="B35157" s="1" t="s">
        <v>14337</v>
      </c>
      <c r="C35157" s="1" t="s">
        <v>14338</v>
      </c>
      <c r="D35157" s="22" t="str">
        <f>HYPERLINK("https://rhld.insurance.arkansas.gov/NPILookup?Npi=1144372145","1144372145")</f>
        <v>1144372145</v>
      </c>
      <c r="E35157" s="1" t="s">
        <v>14459</v>
      </c>
      <c r="F35157" s="62"/>
      <c r="G35157" s="2">
        <v>54321</v>
      </c>
      <c r="H35157" s="62"/>
    </row>
    <row r="35158" spans="2:8" x14ac:dyDescent="0.25">
      <c r="B35158" s="1" t="s">
        <v>14337</v>
      </c>
      <c r="C35158" s="1" t="s">
        <v>14338</v>
      </c>
      <c r="D35158" s="22" t="str">
        <f>HYPERLINK("https://rhld.insurance.arkansas.gov/NPILookup?Npi=1144426974","1144426974")</f>
        <v>1144426974</v>
      </c>
      <c r="E35158" s="1" t="s">
        <v>14445</v>
      </c>
      <c r="F35158" s="62"/>
      <c r="G35158" s="2">
        <v>54321</v>
      </c>
      <c r="H35158" s="62"/>
    </row>
    <row r="35159" spans="2:8" x14ac:dyDescent="0.25">
      <c r="B35159" s="1" t="s">
        <v>14337</v>
      </c>
      <c r="C35159" s="1" t="s">
        <v>14338</v>
      </c>
      <c r="D35159" s="22" t="str">
        <f>HYPERLINK("https://rhld.insurance.arkansas.gov/NPILookup?Npi=1144566811","1144566811")</f>
        <v>1144566811</v>
      </c>
      <c r="E35159" s="1" t="s">
        <v>14460</v>
      </c>
      <c r="F35159" s="62"/>
      <c r="G35159" s="2">
        <v>54321</v>
      </c>
      <c r="H35159" s="62"/>
    </row>
    <row r="35160" spans="2:8" x14ac:dyDescent="0.25">
      <c r="B35160" s="1" t="s">
        <v>14337</v>
      </c>
      <c r="C35160" s="1" t="s">
        <v>14338</v>
      </c>
      <c r="D35160" s="22" t="str">
        <f>HYPERLINK("https://rhld.insurance.arkansas.gov/NPILookup?Npi=1144588278","1144588278")</f>
        <v>1144588278</v>
      </c>
      <c r="E35160" s="1" t="s">
        <v>14461</v>
      </c>
      <c r="F35160" s="62"/>
      <c r="G35160" s="2">
        <v>54321</v>
      </c>
      <c r="H35160" s="62"/>
    </row>
    <row r="35161" spans="2:8" x14ac:dyDescent="0.25">
      <c r="B35161" s="1" t="s">
        <v>14337</v>
      </c>
      <c r="C35161" s="1" t="s">
        <v>14338</v>
      </c>
      <c r="D35161" s="22" t="str">
        <f>HYPERLINK("https://rhld.insurance.arkansas.gov/NPILookup?Npi=1144932591","1144932591")</f>
        <v>1144932591</v>
      </c>
      <c r="E35161" s="1" t="s">
        <v>14462</v>
      </c>
      <c r="F35161" s="62"/>
      <c r="G35161" s="2">
        <v>54321</v>
      </c>
      <c r="H35161" s="62"/>
    </row>
    <row r="35162" spans="2:8" x14ac:dyDescent="0.25">
      <c r="B35162" s="1" t="s">
        <v>14337</v>
      </c>
      <c r="C35162" s="1" t="s">
        <v>14338</v>
      </c>
      <c r="D35162" s="22" t="str">
        <f>HYPERLINK("https://rhld.insurance.arkansas.gov/NPILookup?Npi=1154009496","1154009496")</f>
        <v>1154009496</v>
      </c>
      <c r="E35162" s="1" t="s">
        <v>14463</v>
      </c>
      <c r="F35162" s="62"/>
      <c r="G35162" s="2">
        <v>54321</v>
      </c>
      <c r="H35162" s="62"/>
    </row>
    <row r="35163" spans="2:8" x14ac:dyDescent="0.25">
      <c r="B35163" s="1" t="s">
        <v>14337</v>
      </c>
      <c r="C35163" s="1" t="s">
        <v>14338</v>
      </c>
      <c r="D35163" s="22" t="str">
        <f>HYPERLINK("https://rhld.insurance.arkansas.gov/NPILookup?Npi=1154170637","1154170637")</f>
        <v>1154170637</v>
      </c>
      <c r="E35163" s="1" t="s">
        <v>14464</v>
      </c>
      <c r="F35163" s="62"/>
      <c r="G35163" s="2">
        <v>54321</v>
      </c>
      <c r="H35163" s="62"/>
    </row>
    <row r="35164" spans="2:8" x14ac:dyDescent="0.25">
      <c r="B35164" s="1" t="s">
        <v>14337</v>
      </c>
      <c r="C35164" s="1" t="s">
        <v>14338</v>
      </c>
      <c r="D35164" s="22" t="str">
        <f>HYPERLINK("https://rhld.insurance.arkansas.gov/NPILookup?Npi=1154336428","1154336428")</f>
        <v>1154336428</v>
      </c>
      <c r="E35164" s="1" t="s">
        <v>14465</v>
      </c>
      <c r="F35164" s="62"/>
      <c r="G35164" s="2">
        <v>54321</v>
      </c>
      <c r="H35164" s="62"/>
    </row>
    <row r="35165" spans="2:8" x14ac:dyDescent="0.25">
      <c r="B35165" s="1" t="s">
        <v>14337</v>
      </c>
      <c r="C35165" s="1" t="s">
        <v>14338</v>
      </c>
      <c r="D35165" s="22" t="str">
        <f>HYPERLINK("https://rhld.insurance.arkansas.gov/NPILookup?Npi=1154348415","1154348415")</f>
        <v>1154348415</v>
      </c>
      <c r="E35165" s="1" t="s">
        <v>14355</v>
      </c>
      <c r="F35165" s="62"/>
      <c r="G35165" s="2">
        <v>54321</v>
      </c>
      <c r="H35165" s="62"/>
    </row>
    <row r="35166" spans="2:8" x14ac:dyDescent="0.25">
      <c r="B35166" s="1" t="s">
        <v>14337</v>
      </c>
      <c r="C35166" s="1" t="s">
        <v>14338</v>
      </c>
      <c r="D35166" s="22" t="str">
        <f>HYPERLINK("https://rhld.insurance.arkansas.gov/NPILookup?Npi=1154348530","1154348530")</f>
        <v>1154348530</v>
      </c>
      <c r="E35166" s="1" t="s">
        <v>14352</v>
      </c>
      <c r="F35166" s="62"/>
      <c r="G35166" s="2">
        <v>54321</v>
      </c>
      <c r="H35166" s="62"/>
    </row>
    <row r="35167" spans="2:8" x14ac:dyDescent="0.25">
      <c r="B35167" s="1" t="s">
        <v>14337</v>
      </c>
      <c r="C35167" s="1" t="s">
        <v>14338</v>
      </c>
      <c r="D35167" s="22" t="str">
        <f>HYPERLINK("https://rhld.insurance.arkansas.gov/NPILookup?Npi=1154348548","1154348548")</f>
        <v>1154348548</v>
      </c>
      <c r="E35167" s="1" t="s">
        <v>14352</v>
      </c>
      <c r="F35167" s="62"/>
      <c r="G35167" s="2">
        <v>54321</v>
      </c>
      <c r="H35167" s="62"/>
    </row>
    <row r="35168" spans="2:8" x14ac:dyDescent="0.25">
      <c r="B35168" s="1" t="s">
        <v>14337</v>
      </c>
      <c r="C35168" s="1" t="s">
        <v>14338</v>
      </c>
      <c r="D35168" s="22" t="str">
        <f>HYPERLINK("https://rhld.insurance.arkansas.gov/NPILookup?Npi=1154435121","1154435121")</f>
        <v>1154435121</v>
      </c>
      <c r="E35168" s="1" t="s">
        <v>14466</v>
      </c>
      <c r="F35168" s="62"/>
      <c r="G35168" s="2">
        <v>54321</v>
      </c>
      <c r="H35168" s="62"/>
    </row>
    <row r="35169" spans="2:8" x14ac:dyDescent="0.25">
      <c r="B35169" s="1" t="s">
        <v>14337</v>
      </c>
      <c r="C35169" s="1" t="s">
        <v>14338</v>
      </c>
      <c r="D35169" s="22" t="str">
        <f>HYPERLINK("https://rhld.insurance.arkansas.gov/NPILookup?Npi=1154725067","1154725067")</f>
        <v>1154725067</v>
      </c>
      <c r="E35169" s="1" t="s">
        <v>14467</v>
      </c>
      <c r="F35169" s="62"/>
      <c r="G35169" s="2">
        <v>54321</v>
      </c>
      <c r="H35169" s="62"/>
    </row>
    <row r="35170" spans="2:8" x14ac:dyDescent="0.25">
      <c r="B35170" s="1" t="s">
        <v>14337</v>
      </c>
      <c r="C35170" s="1" t="s">
        <v>14338</v>
      </c>
      <c r="D35170" s="22" t="str">
        <f>HYPERLINK("https://rhld.insurance.arkansas.gov/NPILookup?Npi=1154734085","1154734085")</f>
        <v>1154734085</v>
      </c>
      <c r="E35170" s="1" t="s">
        <v>14355</v>
      </c>
      <c r="F35170" s="62"/>
      <c r="G35170" s="2">
        <v>54321</v>
      </c>
      <c r="H35170" s="62"/>
    </row>
    <row r="35171" spans="2:8" x14ac:dyDescent="0.25">
      <c r="B35171" s="1" t="s">
        <v>14337</v>
      </c>
      <c r="C35171" s="1" t="s">
        <v>14338</v>
      </c>
      <c r="D35171" s="22" t="str">
        <f>HYPERLINK("https://rhld.insurance.arkansas.gov/NPILookup?Npi=1154806123","1154806123")</f>
        <v>1154806123</v>
      </c>
      <c r="E35171" s="1" t="s">
        <v>14445</v>
      </c>
      <c r="F35171" s="62"/>
      <c r="G35171" s="2">
        <v>54321</v>
      </c>
      <c r="H35171" s="62"/>
    </row>
    <row r="35172" spans="2:8" x14ac:dyDescent="0.25">
      <c r="B35172" s="1" t="s">
        <v>14337</v>
      </c>
      <c r="C35172" s="1" t="s">
        <v>14338</v>
      </c>
      <c r="D35172" s="22" t="str">
        <f>HYPERLINK("https://rhld.insurance.arkansas.gov/NPILookup?Npi=1164056206","1164056206")</f>
        <v>1164056206</v>
      </c>
      <c r="E35172" s="1" t="s">
        <v>14468</v>
      </c>
      <c r="F35172" s="62"/>
      <c r="G35172" s="2">
        <v>54321</v>
      </c>
      <c r="H35172" s="62"/>
    </row>
    <row r="35173" spans="2:8" x14ac:dyDescent="0.25">
      <c r="B35173" s="1" t="s">
        <v>14337</v>
      </c>
      <c r="C35173" s="1" t="s">
        <v>14338</v>
      </c>
      <c r="D35173" s="22" t="str">
        <f>HYPERLINK("https://rhld.insurance.arkansas.gov/NPILookup?Npi=1164081071","1164081071")</f>
        <v>1164081071</v>
      </c>
      <c r="E35173" s="1" t="s">
        <v>14469</v>
      </c>
      <c r="F35173" s="62"/>
      <c r="G35173" s="2">
        <v>54321</v>
      </c>
      <c r="H35173" s="62"/>
    </row>
    <row r="35174" spans="2:8" x14ac:dyDescent="0.25">
      <c r="B35174" s="1" t="s">
        <v>14337</v>
      </c>
      <c r="C35174" s="1" t="s">
        <v>14338</v>
      </c>
      <c r="D35174" s="22" t="str">
        <f>HYPERLINK("https://rhld.insurance.arkansas.gov/NPILookup?Npi=1164405858","1164405858")</f>
        <v>1164405858</v>
      </c>
      <c r="E35174" s="1" t="s">
        <v>14470</v>
      </c>
      <c r="F35174" s="62"/>
      <c r="G35174" s="2">
        <v>54321</v>
      </c>
      <c r="H35174" s="62"/>
    </row>
    <row r="35175" spans="2:8" x14ac:dyDescent="0.25">
      <c r="B35175" s="1" t="s">
        <v>14337</v>
      </c>
      <c r="C35175" s="1" t="s">
        <v>14338</v>
      </c>
      <c r="D35175" s="22" t="str">
        <f>HYPERLINK("https://rhld.insurance.arkansas.gov/NPILookup?Npi=1164449542","1164449542")</f>
        <v>1164449542</v>
      </c>
      <c r="E35175" s="1" t="s">
        <v>14352</v>
      </c>
      <c r="F35175" s="62"/>
      <c r="G35175" s="2">
        <v>54321</v>
      </c>
      <c r="H35175" s="62"/>
    </row>
    <row r="35176" spans="2:8" x14ac:dyDescent="0.25">
      <c r="B35176" s="1" t="s">
        <v>14337</v>
      </c>
      <c r="C35176" s="1" t="s">
        <v>14338</v>
      </c>
      <c r="D35176" s="22" t="str">
        <f>HYPERLINK("https://rhld.insurance.arkansas.gov/NPILookup?Npi=1164449559","1164449559")</f>
        <v>1164449559</v>
      </c>
      <c r="E35176" s="1" t="s">
        <v>14352</v>
      </c>
      <c r="F35176" s="62"/>
      <c r="G35176" s="2">
        <v>54321</v>
      </c>
      <c r="H35176" s="62"/>
    </row>
    <row r="35177" spans="2:8" x14ac:dyDescent="0.25">
      <c r="B35177" s="1" t="s">
        <v>14337</v>
      </c>
      <c r="C35177" s="1" t="s">
        <v>14338</v>
      </c>
      <c r="D35177" s="22" t="str">
        <f>HYPERLINK("https://rhld.insurance.arkansas.gov/NPILookup?Npi=1164449583","1164449583")</f>
        <v>1164449583</v>
      </c>
      <c r="E35177" s="1" t="s">
        <v>14355</v>
      </c>
      <c r="F35177" s="62"/>
      <c r="G35177" s="2">
        <v>54321</v>
      </c>
      <c r="H35177" s="62"/>
    </row>
    <row r="35178" spans="2:8" x14ac:dyDescent="0.25">
      <c r="B35178" s="1" t="s">
        <v>14337</v>
      </c>
      <c r="C35178" s="1" t="s">
        <v>14338</v>
      </c>
      <c r="D35178" s="22" t="str">
        <f>HYPERLINK("https://rhld.insurance.arkansas.gov/NPILookup?Npi=1164449591","1164449591")</f>
        <v>1164449591</v>
      </c>
      <c r="E35178" s="1" t="s">
        <v>14471</v>
      </c>
      <c r="F35178" s="62"/>
      <c r="G35178" s="2">
        <v>54321</v>
      </c>
      <c r="H35178" s="62"/>
    </row>
    <row r="35179" spans="2:8" x14ac:dyDescent="0.25">
      <c r="B35179" s="1" t="s">
        <v>14337</v>
      </c>
      <c r="C35179" s="1" t="s">
        <v>14338</v>
      </c>
      <c r="D35179" s="22" t="str">
        <f>HYPERLINK("https://rhld.insurance.arkansas.gov/NPILookup?Npi=1164456893","1164456893")</f>
        <v>1164456893</v>
      </c>
      <c r="E35179" s="1" t="s">
        <v>14344</v>
      </c>
      <c r="F35179" s="62"/>
      <c r="G35179" s="2">
        <v>54321</v>
      </c>
      <c r="H35179" s="62"/>
    </row>
    <row r="35180" spans="2:8" x14ac:dyDescent="0.25">
      <c r="B35180" s="1" t="s">
        <v>14337</v>
      </c>
      <c r="C35180" s="1" t="s">
        <v>14338</v>
      </c>
      <c r="D35180" s="22" t="str">
        <f>HYPERLINK("https://rhld.insurance.arkansas.gov/NPILookup?Npi=1164563136","1164563136")</f>
        <v>1164563136</v>
      </c>
      <c r="E35180" s="1" t="s">
        <v>14472</v>
      </c>
      <c r="F35180" s="62" t="s">
        <v>1</v>
      </c>
      <c r="G35180" s="2">
        <v>54321</v>
      </c>
      <c r="H35180" s="62" t="s">
        <v>37378</v>
      </c>
    </row>
    <row r="35181" spans="2:8" x14ac:dyDescent="0.25">
      <c r="B35181" s="1" t="s">
        <v>14337</v>
      </c>
      <c r="C35181" s="1" t="s">
        <v>14338</v>
      </c>
      <c r="D35181" s="22" t="str">
        <f>HYPERLINK("https://rhld.insurance.arkansas.gov/NPILookup?Npi=1164588380","1164588380")</f>
        <v>1164588380</v>
      </c>
      <c r="E35181" s="1" t="s">
        <v>14473</v>
      </c>
      <c r="F35181" s="62"/>
      <c r="G35181" s="2">
        <v>54321</v>
      </c>
      <c r="H35181" s="62"/>
    </row>
    <row r="35182" spans="2:8" x14ac:dyDescent="0.25">
      <c r="B35182" s="1" t="s">
        <v>14337</v>
      </c>
      <c r="C35182" s="1" t="s">
        <v>14338</v>
      </c>
      <c r="D35182" s="22" t="str">
        <f>HYPERLINK("https://rhld.insurance.arkansas.gov/NPILookup?Npi=1164763157","1164763157")</f>
        <v>1164763157</v>
      </c>
      <c r="E35182" s="1" t="s">
        <v>14352</v>
      </c>
      <c r="F35182" s="62"/>
      <c r="G35182" s="2">
        <v>54321</v>
      </c>
      <c r="H35182" s="62"/>
    </row>
    <row r="35183" spans="2:8" x14ac:dyDescent="0.25">
      <c r="B35183" s="1" t="s">
        <v>14337</v>
      </c>
      <c r="C35183" s="1" t="s">
        <v>14338</v>
      </c>
      <c r="D35183" s="22" t="str">
        <f>HYPERLINK("https://rhld.insurance.arkansas.gov/NPILookup?Npi=1164998498","1164998498")</f>
        <v>1164998498</v>
      </c>
      <c r="E35183" s="1" t="s">
        <v>14474</v>
      </c>
      <c r="F35183" s="62"/>
      <c r="G35183" s="2">
        <v>54321</v>
      </c>
      <c r="H35183" s="62"/>
    </row>
    <row r="35184" spans="2:8" x14ac:dyDescent="0.25">
      <c r="B35184" s="1" t="s">
        <v>14337</v>
      </c>
      <c r="C35184" s="1" t="s">
        <v>14338</v>
      </c>
      <c r="D35184" s="22" t="str">
        <f>HYPERLINK("https://rhld.insurance.arkansas.gov/NPILookup?Npi=1174087324","1174087324")</f>
        <v>1174087324</v>
      </c>
      <c r="E35184" s="1" t="s">
        <v>14475</v>
      </c>
      <c r="F35184" s="62"/>
      <c r="G35184" s="2">
        <v>54321</v>
      </c>
      <c r="H35184" s="62"/>
    </row>
    <row r="35185" spans="2:8" x14ac:dyDescent="0.25">
      <c r="B35185" s="1" t="s">
        <v>14337</v>
      </c>
      <c r="C35185" s="1" t="s">
        <v>14338</v>
      </c>
      <c r="D35185" s="22" t="str">
        <f>HYPERLINK("https://rhld.insurance.arkansas.gov/NPILookup?Npi=1174097828","1174097828")</f>
        <v>1174097828</v>
      </c>
      <c r="E35185" s="1" t="s">
        <v>14476</v>
      </c>
      <c r="F35185" s="62"/>
      <c r="G35185" s="2">
        <v>54321</v>
      </c>
      <c r="H35185" s="62"/>
    </row>
    <row r="35186" spans="2:8" x14ac:dyDescent="0.25">
      <c r="B35186" s="1" t="s">
        <v>14337</v>
      </c>
      <c r="C35186" s="1" t="s">
        <v>14338</v>
      </c>
      <c r="D35186" s="22" t="str">
        <f>HYPERLINK("https://rhld.insurance.arkansas.gov/NPILookup?Npi=1174098941","1174098941")</f>
        <v>1174098941</v>
      </c>
      <c r="E35186" s="1" t="s">
        <v>14477</v>
      </c>
      <c r="F35186" s="62"/>
      <c r="G35186" s="2">
        <v>54321</v>
      </c>
      <c r="H35186" s="62"/>
    </row>
    <row r="35187" spans="2:8" x14ac:dyDescent="0.25">
      <c r="B35187" s="1" t="s">
        <v>14337</v>
      </c>
      <c r="C35187" s="1" t="s">
        <v>14338</v>
      </c>
      <c r="D35187" s="22" t="str">
        <f>HYPERLINK("https://rhld.insurance.arkansas.gov/NPILookup?Npi=1174530174","1174530174")</f>
        <v>1174530174</v>
      </c>
      <c r="E35187" s="1" t="s">
        <v>14343</v>
      </c>
      <c r="F35187" s="62"/>
      <c r="G35187" s="2">
        <v>54321</v>
      </c>
      <c r="H35187" s="62"/>
    </row>
    <row r="35188" spans="2:8" x14ac:dyDescent="0.25">
      <c r="B35188" s="1" t="s">
        <v>14337</v>
      </c>
      <c r="C35188" s="1" t="s">
        <v>14338</v>
      </c>
      <c r="D35188" s="22" t="str">
        <f>HYPERLINK("https://rhld.insurance.arkansas.gov/NPILookup?Npi=1174534705","1174534705")</f>
        <v>1174534705</v>
      </c>
      <c r="E35188" s="1" t="s">
        <v>14478</v>
      </c>
      <c r="F35188" s="62"/>
      <c r="G35188" s="2">
        <v>54321</v>
      </c>
      <c r="H35188" s="62"/>
    </row>
    <row r="35189" spans="2:8" x14ac:dyDescent="0.25">
      <c r="B35189" s="1" t="s">
        <v>14337</v>
      </c>
      <c r="C35189" s="1" t="s">
        <v>14338</v>
      </c>
      <c r="D35189" s="22" t="str">
        <f>HYPERLINK("https://rhld.insurance.arkansas.gov/NPILookup?Npi=1174540363","1174540363")</f>
        <v>1174540363</v>
      </c>
      <c r="E35189" s="1" t="s">
        <v>14479</v>
      </c>
      <c r="F35189" s="62"/>
      <c r="G35189" s="2">
        <v>54321</v>
      </c>
      <c r="H35189" s="62"/>
    </row>
    <row r="35190" spans="2:8" x14ac:dyDescent="0.25">
      <c r="B35190" s="1" t="s">
        <v>14337</v>
      </c>
      <c r="C35190" s="1" t="s">
        <v>14338</v>
      </c>
      <c r="D35190" s="22" t="str">
        <f>HYPERLINK("https://rhld.insurance.arkansas.gov/NPILookup?Npi=1174540371","1174540371")</f>
        <v>1174540371</v>
      </c>
      <c r="E35190" s="1" t="s">
        <v>14480</v>
      </c>
      <c r="F35190" s="62"/>
      <c r="G35190" s="2">
        <v>54321</v>
      </c>
      <c r="H35190" s="62"/>
    </row>
    <row r="35191" spans="2:8" x14ac:dyDescent="0.25">
      <c r="B35191" s="1" t="s">
        <v>14337</v>
      </c>
      <c r="C35191" s="1" t="s">
        <v>14338</v>
      </c>
      <c r="D35191" s="22" t="str">
        <f>HYPERLINK("https://rhld.insurance.arkansas.gov/NPILookup?Npi=1174623912","1174623912")</f>
        <v>1174623912</v>
      </c>
      <c r="E35191" s="1" t="s">
        <v>14481</v>
      </c>
      <c r="F35191" s="62"/>
      <c r="G35191" s="2">
        <v>54321</v>
      </c>
      <c r="H35191" s="62"/>
    </row>
    <row r="35192" spans="2:8" x14ac:dyDescent="0.25">
      <c r="B35192" s="1" t="s">
        <v>14337</v>
      </c>
      <c r="C35192" s="1" t="s">
        <v>14338</v>
      </c>
      <c r="D35192" s="22" t="str">
        <f>HYPERLINK("https://rhld.insurance.arkansas.gov/NPILookup?Npi=1174683304","1174683304")</f>
        <v>1174683304</v>
      </c>
      <c r="E35192" s="1" t="s">
        <v>14344</v>
      </c>
      <c r="F35192" s="62"/>
      <c r="G35192" s="2">
        <v>54321</v>
      </c>
      <c r="H35192" s="62"/>
    </row>
    <row r="35193" spans="2:8" x14ac:dyDescent="0.25">
      <c r="B35193" s="1" t="s">
        <v>14337</v>
      </c>
      <c r="C35193" s="1" t="s">
        <v>14338</v>
      </c>
      <c r="D35193" s="22" t="str">
        <f>HYPERLINK("https://rhld.insurance.arkansas.gov/NPILookup?Npi=1174798417","1174798417")</f>
        <v>1174798417</v>
      </c>
      <c r="E35193" s="1" t="s">
        <v>14422</v>
      </c>
      <c r="F35193" s="62"/>
      <c r="G35193" s="2">
        <v>54321</v>
      </c>
      <c r="H35193" s="62"/>
    </row>
    <row r="35194" spans="2:8" x14ac:dyDescent="0.25">
      <c r="B35194" s="1" t="s">
        <v>14337</v>
      </c>
      <c r="C35194" s="1" t="s">
        <v>14338</v>
      </c>
      <c r="D35194" s="22" t="str">
        <f>HYPERLINK("https://rhld.insurance.arkansas.gov/NPILookup?Npi=1174824395","1174824395")</f>
        <v>1174824395</v>
      </c>
      <c r="E35194" s="1" t="s">
        <v>14482</v>
      </c>
      <c r="F35194" s="62"/>
      <c r="G35194" s="2">
        <v>54321</v>
      </c>
      <c r="H35194" s="62"/>
    </row>
    <row r="35195" spans="2:8" x14ac:dyDescent="0.25">
      <c r="B35195" s="1" t="s">
        <v>14337</v>
      </c>
      <c r="C35195" s="1" t="s">
        <v>14338</v>
      </c>
      <c r="D35195" s="22" t="str">
        <f>HYPERLINK("https://rhld.insurance.arkansas.gov/NPILookup?Npi=1174871057","1174871057")</f>
        <v>1174871057</v>
      </c>
      <c r="E35195" s="1" t="s">
        <v>14483</v>
      </c>
      <c r="F35195" s="62"/>
      <c r="G35195" s="2">
        <v>54321</v>
      </c>
      <c r="H35195" s="62"/>
    </row>
    <row r="35196" spans="2:8" x14ac:dyDescent="0.25">
      <c r="B35196" s="1" t="s">
        <v>14337</v>
      </c>
      <c r="C35196" s="1" t="s">
        <v>14338</v>
      </c>
      <c r="D35196" s="22" t="str">
        <f>HYPERLINK("https://rhld.insurance.arkansas.gov/NPILookup?Npi=1184008377","1184008377")</f>
        <v>1184008377</v>
      </c>
      <c r="E35196" s="1" t="s">
        <v>14484</v>
      </c>
      <c r="F35196" s="62"/>
      <c r="G35196" s="2">
        <v>54321</v>
      </c>
      <c r="H35196" s="62"/>
    </row>
    <row r="35197" spans="2:8" x14ac:dyDescent="0.25">
      <c r="B35197" s="1" t="s">
        <v>14337</v>
      </c>
      <c r="C35197" s="1" t="s">
        <v>14338</v>
      </c>
      <c r="D35197" s="22" t="str">
        <f>HYPERLINK("https://rhld.insurance.arkansas.gov/NPILookup?Npi=1184027211","1184027211")</f>
        <v>1184027211</v>
      </c>
      <c r="E35197" s="1" t="s">
        <v>14355</v>
      </c>
      <c r="F35197" s="62"/>
      <c r="G35197" s="2">
        <v>54321</v>
      </c>
      <c r="H35197" s="62"/>
    </row>
    <row r="35198" spans="2:8" x14ac:dyDescent="0.25">
      <c r="B35198" s="1" t="s">
        <v>14337</v>
      </c>
      <c r="C35198" s="1" t="s">
        <v>14338</v>
      </c>
      <c r="D35198" s="22" t="str">
        <f>HYPERLINK("https://rhld.insurance.arkansas.gov/NPILookup?Npi=1184053571","1184053571")</f>
        <v>1184053571</v>
      </c>
      <c r="E35198" s="1" t="s">
        <v>14441</v>
      </c>
      <c r="F35198" s="62"/>
      <c r="G35198" s="2">
        <v>54321</v>
      </c>
      <c r="H35198" s="62"/>
    </row>
    <row r="35199" spans="2:8" x14ac:dyDescent="0.25">
      <c r="B35199" s="1" t="s">
        <v>14337</v>
      </c>
      <c r="C35199" s="1" t="s">
        <v>14338</v>
      </c>
      <c r="D35199" s="22" t="str">
        <f>HYPERLINK("https://rhld.insurance.arkansas.gov/NPILookup?Npi=1184199606","1184199606")</f>
        <v>1184199606</v>
      </c>
      <c r="E35199" s="1" t="s">
        <v>14485</v>
      </c>
      <c r="F35199" s="62"/>
      <c r="G35199" s="2">
        <v>54321</v>
      </c>
      <c r="H35199" s="62"/>
    </row>
    <row r="35200" spans="2:8" x14ac:dyDescent="0.25">
      <c r="B35200" s="1" t="s">
        <v>14337</v>
      </c>
      <c r="C35200" s="1" t="s">
        <v>14338</v>
      </c>
      <c r="D35200" s="22" t="str">
        <f>HYPERLINK("https://rhld.insurance.arkansas.gov/NPILookup?Npi=1184222473","1184222473")</f>
        <v>1184222473</v>
      </c>
      <c r="E35200" s="1" t="s">
        <v>14486</v>
      </c>
      <c r="F35200" s="62"/>
      <c r="G35200" s="2">
        <v>54321</v>
      </c>
      <c r="H35200" s="62"/>
    </row>
    <row r="35201" spans="2:8" x14ac:dyDescent="0.25">
      <c r="B35201" s="1" t="s">
        <v>14337</v>
      </c>
      <c r="C35201" s="1" t="s">
        <v>14338</v>
      </c>
      <c r="D35201" s="22" t="str">
        <f>HYPERLINK("https://rhld.insurance.arkansas.gov/NPILookup?Npi=1184481814","1184481814")</f>
        <v>1184481814</v>
      </c>
      <c r="E35201" s="1" t="s">
        <v>14487</v>
      </c>
      <c r="F35201" s="62"/>
      <c r="G35201" s="2">
        <v>54321</v>
      </c>
      <c r="H35201" s="62"/>
    </row>
    <row r="35202" spans="2:8" x14ac:dyDescent="0.25">
      <c r="B35202" s="1" t="s">
        <v>14337</v>
      </c>
      <c r="C35202" s="1" t="s">
        <v>14338</v>
      </c>
      <c r="D35202" s="22" t="str">
        <f>HYPERLINK("https://rhld.insurance.arkansas.gov/NPILookup?Npi=1184497711","1184497711")</f>
        <v>1184497711</v>
      </c>
      <c r="E35202" s="1" t="s">
        <v>14488</v>
      </c>
      <c r="F35202" s="62"/>
      <c r="G35202" s="2">
        <v>54321</v>
      </c>
      <c r="H35202" s="62"/>
    </row>
    <row r="35203" spans="2:8" x14ac:dyDescent="0.25">
      <c r="B35203" s="1" t="s">
        <v>14337</v>
      </c>
      <c r="C35203" s="1" t="s">
        <v>14338</v>
      </c>
      <c r="D35203" s="22" t="str">
        <f>HYPERLINK("https://rhld.insurance.arkansas.gov/NPILookup?Npi=1184625808","1184625808")</f>
        <v>1184625808</v>
      </c>
      <c r="E35203" s="1" t="s">
        <v>14489</v>
      </c>
      <c r="F35203" s="62"/>
      <c r="G35203" s="2">
        <v>54321</v>
      </c>
      <c r="H35203" s="62"/>
    </row>
    <row r="35204" spans="2:8" x14ac:dyDescent="0.25">
      <c r="B35204" s="1" t="s">
        <v>14337</v>
      </c>
      <c r="C35204" s="1" t="s">
        <v>14338</v>
      </c>
      <c r="D35204" s="22" t="str">
        <f>HYPERLINK("https://rhld.insurance.arkansas.gov/NPILookup?Npi=1184635765","1184635765")</f>
        <v>1184635765</v>
      </c>
      <c r="E35204" s="1" t="s">
        <v>14490</v>
      </c>
      <c r="F35204" s="62"/>
      <c r="G35204" s="2">
        <v>54321</v>
      </c>
      <c r="H35204" s="62"/>
    </row>
    <row r="35205" spans="2:8" x14ac:dyDescent="0.25">
      <c r="B35205" s="1" t="s">
        <v>14337</v>
      </c>
      <c r="C35205" s="1" t="s">
        <v>14338</v>
      </c>
      <c r="D35205" s="22" t="str">
        <f>HYPERLINK("https://rhld.insurance.arkansas.gov/NPILookup?Npi=1184658817","1184658817")</f>
        <v>1184658817</v>
      </c>
      <c r="E35205" s="1" t="s">
        <v>14344</v>
      </c>
      <c r="F35205" s="62"/>
      <c r="G35205" s="2">
        <v>54321</v>
      </c>
      <c r="H35205" s="62"/>
    </row>
    <row r="35206" spans="2:8" x14ac:dyDescent="0.25">
      <c r="B35206" s="1" t="s">
        <v>14337</v>
      </c>
      <c r="C35206" s="1" t="s">
        <v>14338</v>
      </c>
      <c r="D35206" s="22" t="str">
        <f>HYPERLINK("https://rhld.insurance.arkansas.gov/NPILookup?Npi=1184794265","1184794265")</f>
        <v>1184794265</v>
      </c>
      <c r="E35206" s="1" t="s">
        <v>14491</v>
      </c>
      <c r="F35206" s="62"/>
      <c r="G35206" s="2">
        <v>54321</v>
      </c>
      <c r="H35206" s="62"/>
    </row>
    <row r="35207" spans="2:8" x14ac:dyDescent="0.25">
      <c r="B35207" s="1" t="s">
        <v>14337</v>
      </c>
      <c r="C35207" s="1" t="s">
        <v>14338</v>
      </c>
      <c r="D35207" s="22" t="str">
        <f>HYPERLINK("https://rhld.insurance.arkansas.gov/NPILookup?Npi=1184936106","1184936106")</f>
        <v>1184936106</v>
      </c>
      <c r="E35207" s="1" t="s">
        <v>14447</v>
      </c>
      <c r="F35207" s="62"/>
      <c r="G35207" s="2">
        <v>54321</v>
      </c>
      <c r="H35207" s="62"/>
    </row>
    <row r="35208" spans="2:8" x14ac:dyDescent="0.25">
      <c r="B35208" s="1" t="s">
        <v>14337</v>
      </c>
      <c r="C35208" s="1" t="s">
        <v>14338</v>
      </c>
      <c r="D35208" s="22" t="str">
        <f>HYPERLINK("https://rhld.insurance.arkansas.gov/NPILookup?Npi=1184980575","1184980575")</f>
        <v>1184980575</v>
      </c>
      <c r="E35208" s="1" t="s">
        <v>14492</v>
      </c>
      <c r="F35208" s="62"/>
      <c r="G35208" s="2">
        <v>54321</v>
      </c>
      <c r="H35208" s="62"/>
    </row>
    <row r="35209" spans="2:8" x14ac:dyDescent="0.25">
      <c r="B35209" s="1" t="s">
        <v>14337</v>
      </c>
      <c r="C35209" s="1" t="s">
        <v>14338</v>
      </c>
      <c r="D35209" s="22" t="str">
        <f>HYPERLINK("https://rhld.insurance.arkansas.gov/NPILookup?Npi=1194005629","1194005629")</f>
        <v>1194005629</v>
      </c>
      <c r="E35209" s="1" t="s">
        <v>14493</v>
      </c>
      <c r="F35209" s="62"/>
      <c r="G35209" s="2">
        <v>54321</v>
      </c>
      <c r="H35209" s="62"/>
    </row>
    <row r="35210" spans="2:8" x14ac:dyDescent="0.25">
      <c r="B35210" s="1" t="s">
        <v>14337</v>
      </c>
      <c r="C35210" s="1" t="s">
        <v>14338</v>
      </c>
      <c r="D35210" s="22" t="str">
        <f>HYPERLINK("https://rhld.insurance.arkansas.gov/NPILookup?Npi=1194010421","1194010421")</f>
        <v>1194010421</v>
      </c>
      <c r="E35210" s="1" t="s">
        <v>14494</v>
      </c>
      <c r="F35210" s="62"/>
      <c r="G35210" s="2">
        <v>54321</v>
      </c>
      <c r="H35210" s="62"/>
    </row>
    <row r="35211" spans="2:8" x14ac:dyDescent="0.25">
      <c r="B35211" s="1" t="s">
        <v>14337</v>
      </c>
      <c r="C35211" s="1" t="s">
        <v>14338</v>
      </c>
      <c r="D35211" s="22" t="str">
        <f>HYPERLINK("https://rhld.insurance.arkansas.gov/NPILookup?Npi=1194182485","1194182485")</f>
        <v>1194182485</v>
      </c>
      <c r="E35211" s="1" t="s">
        <v>14495</v>
      </c>
      <c r="F35211" s="62"/>
      <c r="G35211" s="2">
        <v>54321</v>
      </c>
      <c r="H35211" s="62"/>
    </row>
    <row r="35212" spans="2:8" x14ac:dyDescent="0.25">
      <c r="B35212" s="1" t="s">
        <v>14337</v>
      </c>
      <c r="C35212" s="1" t="s">
        <v>14338</v>
      </c>
      <c r="D35212" s="22" t="str">
        <f>HYPERLINK("https://rhld.insurance.arkansas.gov/NPILookup?Npi=1194331579","1194331579")</f>
        <v>1194331579</v>
      </c>
      <c r="E35212" s="1" t="s">
        <v>14496</v>
      </c>
      <c r="F35212" s="62"/>
      <c r="G35212" s="2">
        <v>54321</v>
      </c>
      <c r="H35212" s="62"/>
    </row>
    <row r="35213" spans="2:8" x14ac:dyDescent="0.25">
      <c r="B35213" s="1" t="s">
        <v>14337</v>
      </c>
      <c r="C35213" s="1" t="s">
        <v>14338</v>
      </c>
      <c r="D35213" s="22" t="str">
        <f>HYPERLINK("https://rhld.insurance.arkansas.gov/NPILookup?Npi=1194718411","1194718411")</f>
        <v>1194718411</v>
      </c>
      <c r="E35213" s="1" t="s">
        <v>14497</v>
      </c>
      <c r="F35213" s="62"/>
      <c r="G35213" s="2">
        <v>54321</v>
      </c>
      <c r="H35213" s="62"/>
    </row>
    <row r="35214" spans="2:8" x14ac:dyDescent="0.25">
      <c r="B35214" s="1" t="s">
        <v>14337</v>
      </c>
      <c r="C35214" s="1" t="s">
        <v>14338</v>
      </c>
      <c r="D35214" s="22" t="str">
        <f>HYPERLINK("https://rhld.insurance.arkansas.gov/NPILookup?Npi=1194724880","1194724880")</f>
        <v>1194724880</v>
      </c>
      <c r="E35214" s="1" t="s">
        <v>14498</v>
      </c>
      <c r="F35214" s="62"/>
      <c r="G35214" s="2">
        <v>54321</v>
      </c>
      <c r="H35214" s="62"/>
    </row>
    <row r="35215" spans="2:8" x14ac:dyDescent="0.25">
      <c r="B35215" s="1" t="s">
        <v>14337</v>
      </c>
      <c r="C35215" s="1" t="s">
        <v>14338</v>
      </c>
      <c r="D35215" s="22" t="str">
        <f>HYPERLINK("https://rhld.insurance.arkansas.gov/NPILookup?Npi=1194730457","1194730457")</f>
        <v>1194730457</v>
      </c>
      <c r="E35215" s="1" t="s">
        <v>14499</v>
      </c>
      <c r="F35215" s="62" t="s">
        <v>1</v>
      </c>
      <c r="G35215" s="2">
        <v>54321</v>
      </c>
      <c r="H35215" s="62" t="s">
        <v>37378</v>
      </c>
    </row>
    <row r="35216" spans="2:8" x14ac:dyDescent="0.25">
      <c r="B35216" s="1" t="s">
        <v>14337</v>
      </c>
      <c r="C35216" s="1" t="s">
        <v>14338</v>
      </c>
      <c r="D35216" s="22" t="str">
        <f>HYPERLINK("https://rhld.insurance.arkansas.gov/NPILookup?Npi=1194732198","1194732198")</f>
        <v>1194732198</v>
      </c>
      <c r="E35216" s="1" t="s">
        <v>14343</v>
      </c>
      <c r="F35216" s="62"/>
      <c r="G35216" s="2">
        <v>54321</v>
      </c>
      <c r="H35216" s="62"/>
    </row>
    <row r="35217" spans="2:8" x14ac:dyDescent="0.25">
      <c r="B35217" s="1" t="s">
        <v>14337</v>
      </c>
      <c r="C35217" s="1" t="s">
        <v>14338</v>
      </c>
      <c r="D35217" s="22" t="str">
        <f>HYPERLINK("https://rhld.insurance.arkansas.gov/NPILookup?Npi=1194740894","1194740894")</f>
        <v>1194740894</v>
      </c>
      <c r="E35217" s="1" t="s">
        <v>14344</v>
      </c>
      <c r="F35217" s="62"/>
      <c r="G35217" s="2">
        <v>54321</v>
      </c>
      <c r="H35217" s="62"/>
    </row>
    <row r="35218" spans="2:8" x14ac:dyDescent="0.25">
      <c r="B35218" s="1" t="s">
        <v>14337</v>
      </c>
      <c r="C35218" s="1" t="s">
        <v>14338</v>
      </c>
      <c r="D35218" s="22" t="str">
        <f>HYPERLINK("https://rhld.insurance.arkansas.gov/NPILookup?Npi=1194744771","1194744771")</f>
        <v>1194744771</v>
      </c>
      <c r="E35218" s="1" t="s">
        <v>14500</v>
      </c>
      <c r="F35218" s="62"/>
      <c r="G35218" s="2">
        <v>54321</v>
      </c>
      <c r="H35218" s="62"/>
    </row>
    <row r="35219" spans="2:8" x14ac:dyDescent="0.25">
      <c r="B35219" s="1" t="s">
        <v>14337</v>
      </c>
      <c r="C35219" s="1" t="s">
        <v>14338</v>
      </c>
      <c r="D35219" s="22" t="str">
        <f>HYPERLINK("https://rhld.insurance.arkansas.gov/NPILookup?Npi=1194746552","1194746552")</f>
        <v>1194746552</v>
      </c>
      <c r="E35219" s="1" t="s">
        <v>14501</v>
      </c>
      <c r="F35219" s="62"/>
      <c r="G35219" s="2">
        <v>54321</v>
      </c>
      <c r="H35219" s="62"/>
    </row>
    <row r="35220" spans="2:8" x14ac:dyDescent="0.25">
      <c r="B35220" s="1" t="s">
        <v>14337</v>
      </c>
      <c r="C35220" s="1" t="s">
        <v>14338</v>
      </c>
      <c r="D35220" s="22" t="str">
        <f>HYPERLINK("https://rhld.insurance.arkansas.gov/NPILookup?Npi=1194783753","1194783753")</f>
        <v>1194783753</v>
      </c>
      <c r="E35220" s="1" t="s">
        <v>14502</v>
      </c>
      <c r="F35220" s="62"/>
      <c r="G35220" s="2">
        <v>54321</v>
      </c>
      <c r="H35220" s="62"/>
    </row>
    <row r="35221" spans="2:8" x14ac:dyDescent="0.25">
      <c r="B35221" s="1" t="s">
        <v>14337</v>
      </c>
      <c r="C35221" s="1" t="s">
        <v>14338</v>
      </c>
      <c r="D35221" s="22" t="str">
        <f>HYPERLINK("https://rhld.insurance.arkansas.gov/NPILookup?Npi=1194804591","1194804591")</f>
        <v>1194804591</v>
      </c>
      <c r="E35221" s="1" t="s">
        <v>14503</v>
      </c>
      <c r="F35221" s="62"/>
      <c r="G35221" s="2">
        <v>54321</v>
      </c>
      <c r="H35221" s="62"/>
    </row>
    <row r="35222" spans="2:8" x14ac:dyDescent="0.25">
      <c r="B35222" s="1" t="s">
        <v>14337</v>
      </c>
      <c r="C35222" s="1" t="s">
        <v>14338</v>
      </c>
      <c r="D35222" s="22" t="str">
        <f>HYPERLINK("https://rhld.insurance.arkansas.gov/NPILookup?Npi=1194992149","1194992149")</f>
        <v>1194992149</v>
      </c>
      <c r="E35222" s="1" t="s">
        <v>14504</v>
      </c>
      <c r="F35222" s="62"/>
      <c r="G35222" s="2">
        <v>54321</v>
      </c>
      <c r="H35222" s="62"/>
    </row>
    <row r="35223" spans="2:8" x14ac:dyDescent="0.25">
      <c r="B35223" s="1" t="s">
        <v>14337</v>
      </c>
      <c r="C35223" s="1" t="s">
        <v>14338</v>
      </c>
      <c r="D35223" s="22" t="str">
        <f>HYPERLINK("https://rhld.insurance.arkansas.gov/NPILookup?Npi=1205091568","1205091568")</f>
        <v>1205091568</v>
      </c>
      <c r="E35223" s="1" t="s">
        <v>14343</v>
      </c>
      <c r="F35223" s="62"/>
      <c r="G35223" s="2">
        <v>54321</v>
      </c>
      <c r="H35223" s="62"/>
    </row>
    <row r="35224" spans="2:8" x14ac:dyDescent="0.25">
      <c r="B35224" s="1" t="s">
        <v>14337</v>
      </c>
      <c r="C35224" s="1" t="s">
        <v>14338</v>
      </c>
      <c r="D35224" s="22" t="str">
        <f>HYPERLINK("https://rhld.insurance.arkansas.gov/NPILookup?Npi=1205307642","1205307642")</f>
        <v>1205307642</v>
      </c>
      <c r="E35224" s="1" t="s">
        <v>14505</v>
      </c>
      <c r="F35224" s="62"/>
      <c r="G35224" s="2">
        <v>54321</v>
      </c>
      <c r="H35224" s="62"/>
    </row>
    <row r="35225" spans="2:8" x14ac:dyDescent="0.25">
      <c r="B35225" s="1" t="s">
        <v>14337</v>
      </c>
      <c r="C35225" s="1" t="s">
        <v>14338</v>
      </c>
      <c r="D35225" s="22" t="str">
        <f>HYPERLINK("https://rhld.insurance.arkansas.gov/NPILookup?Npi=1205448255","1205448255")</f>
        <v>1205448255</v>
      </c>
      <c r="E35225" s="1" t="s">
        <v>14506</v>
      </c>
      <c r="F35225" s="62"/>
      <c r="G35225" s="2">
        <v>54321</v>
      </c>
      <c r="H35225" s="62"/>
    </row>
    <row r="35226" spans="2:8" x14ac:dyDescent="0.25">
      <c r="B35226" s="1" t="s">
        <v>14337</v>
      </c>
      <c r="C35226" s="1" t="s">
        <v>14338</v>
      </c>
      <c r="D35226" s="22" t="str">
        <f>HYPERLINK("https://rhld.insurance.arkansas.gov/NPILookup?Npi=1205591054","1205591054")</f>
        <v>1205591054</v>
      </c>
      <c r="E35226" s="1" t="s">
        <v>14507</v>
      </c>
      <c r="F35226" s="62"/>
      <c r="G35226" s="2">
        <v>54321</v>
      </c>
      <c r="H35226" s="62"/>
    </row>
    <row r="35227" spans="2:8" x14ac:dyDescent="0.25">
      <c r="B35227" s="1" t="s">
        <v>14337</v>
      </c>
      <c r="C35227" s="1" t="s">
        <v>14338</v>
      </c>
      <c r="D35227" s="22" t="str">
        <f>HYPERLINK("https://rhld.insurance.arkansas.gov/NPILookup?Npi=1205841236","1205841236")</f>
        <v>1205841236</v>
      </c>
      <c r="E35227" s="1" t="s">
        <v>14343</v>
      </c>
      <c r="F35227" s="62"/>
      <c r="G35227" s="2">
        <v>54321</v>
      </c>
      <c r="H35227" s="62"/>
    </row>
    <row r="35228" spans="2:8" x14ac:dyDescent="0.25">
      <c r="B35228" s="1" t="s">
        <v>14337</v>
      </c>
      <c r="C35228" s="1" t="s">
        <v>14338</v>
      </c>
      <c r="D35228" s="22" t="str">
        <f>HYPERLINK("https://rhld.insurance.arkansas.gov/NPILookup?Npi=1205857273","1205857273")</f>
        <v>1205857273</v>
      </c>
      <c r="E35228" s="1" t="s">
        <v>14508</v>
      </c>
      <c r="F35228" s="62"/>
      <c r="G35228" s="2">
        <v>54321</v>
      </c>
      <c r="H35228" s="62"/>
    </row>
    <row r="35229" spans="2:8" x14ac:dyDescent="0.25">
      <c r="B35229" s="1" t="s">
        <v>14337</v>
      </c>
      <c r="C35229" s="1" t="s">
        <v>14338</v>
      </c>
      <c r="D35229" s="22" t="str">
        <f>HYPERLINK("https://rhld.insurance.arkansas.gov/NPILookup?Npi=1205909785","1205909785")</f>
        <v>1205909785</v>
      </c>
      <c r="E35229" s="1" t="s">
        <v>14509</v>
      </c>
      <c r="F35229" s="62" t="s">
        <v>1</v>
      </c>
      <c r="G35229" s="2">
        <v>54321</v>
      </c>
      <c r="H35229" s="62" t="s">
        <v>37380</v>
      </c>
    </row>
    <row r="35230" spans="2:8" x14ac:dyDescent="0.25">
      <c r="B35230" s="1" t="s">
        <v>14337</v>
      </c>
      <c r="C35230" s="1" t="s">
        <v>14338</v>
      </c>
      <c r="D35230" s="22" t="str">
        <f>HYPERLINK("https://rhld.insurance.arkansas.gov/NPILookup?Npi=1205940285","1205940285")</f>
        <v>1205940285</v>
      </c>
      <c r="E35230" s="1" t="s">
        <v>14510</v>
      </c>
      <c r="F35230" s="62"/>
      <c r="G35230" s="2">
        <v>54321</v>
      </c>
      <c r="H35230" s="62"/>
    </row>
    <row r="35231" spans="2:8" x14ac:dyDescent="0.25">
      <c r="B35231" s="1" t="s">
        <v>14337</v>
      </c>
      <c r="C35231" s="1" t="s">
        <v>14338</v>
      </c>
      <c r="D35231" s="22" t="str">
        <f>HYPERLINK("https://rhld.insurance.arkansas.gov/NPILookup?Npi=1215007497","1215007497")</f>
        <v>1215007497</v>
      </c>
      <c r="E35231" s="1" t="s">
        <v>14511</v>
      </c>
      <c r="F35231" s="62"/>
      <c r="G35231" s="2">
        <v>54321</v>
      </c>
      <c r="H35231" s="62"/>
    </row>
    <row r="35232" spans="2:8" x14ac:dyDescent="0.25">
      <c r="B35232" s="1" t="s">
        <v>14337</v>
      </c>
      <c r="C35232" s="1" t="s">
        <v>14338</v>
      </c>
      <c r="D35232" s="22" t="str">
        <f>HYPERLINK("https://rhld.insurance.arkansas.gov/NPILookup?Npi=1215557905","1215557905")</f>
        <v>1215557905</v>
      </c>
      <c r="E35232" s="1" t="s">
        <v>14512</v>
      </c>
      <c r="F35232" s="62"/>
      <c r="G35232" s="2">
        <v>54321</v>
      </c>
      <c r="H35232" s="62"/>
    </row>
    <row r="35233" spans="2:8" x14ac:dyDescent="0.25">
      <c r="B35233" s="1" t="s">
        <v>14337</v>
      </c>
      <c r="C35233" s="1" t="s">
        <v>14338</v>
      </c>
      <c r="D35233" s="22" t="str">
        <f>HYPERLINK("https://rhld.insurance.arkansas.gov/NPILookup?Npi=1215664115","1215664115")</f>
        <v>1215664115</v>
      </c>
      <c r="E35233" s="1" t="s">
        <v>32576</v>
      </c>
      <c r="F35233" s="62"/>
      <c r="G35233" s="2">
        <v>54321</v>
      </c>
      <c r="H35233" s="62"/>
    </row>
    <row r="35234" spans="2:8" x14ac:dyDescent="0.25">
      <c r="B35234" s="1" t="s">
        <v>14337</v>
      </c>
      <c r="C35234" s="1" t="s">
        <v>14338</v>
      </c>
      <c r="D35234" s="22" t="str">
        <f>HYPERLINK("https://rhld.insurance.arkansas.gov/NPILookup?Npi=1215943964","1215943964")</f>
        <v>1215943964</v>
      </c>
      <c r="E35234" s="1" t="s">
        <v>14513</v>
      </c>
      <c r="F35234" s="62"/>
      <c r="G35234" s="2">
        <v>54321</v>
      </c>
      <c r="H35234" s="62"/>
    </row>
    <row r="35235" spans="2:8" x14ac:dyDescent="0.25">
      <c r="B35235" s="1" t="s">
        <v>14337</v>
      </c>
      <c r="C35235" s="1" t="s">
        <v>14338</v>
      </c>
      <c r="D35235" s="22" t="str">
        <f>HYPERLINK("https://rhld.insurance.arkansas.gov/NPILookup?Npi=1215961941","1215961941")</f>
        <v>1215961941</v>
      </c>
      <c r="E35235" s="1" t="s">
        <v>14344</v>
      </c>
      <c r="F35235" s="62"/>
      <c r="G35235" s="2">
        <v>54321</v>
      </c>
      <c r="H35235" s="62"/>
    </row>
    <row r="35236" spans="2:8" x14ac:dyDescent="0.25">
      <c r="B35236" s="1" t="s">
        <v>14337</v>
      </c>
      <c r="C35236" s="1" t="s">
        <v>14338</v>
      </c>
      <c r="D35236" s="22" t="str">
        <f>HYPERLINK("https://rhld.insurance.arkansas.gov/NPILookup?Npi=1225020811","1225020811")</f>
        <v>1225020811</v>
      </c>
      <c r="E35236" s="1" t="s">
        <v>14514</v>
      </c>
      <c r="F35236" s="62"/>
      <c r="G35236" s="2">
        <v>54321</v>
      </c>
      <c r="H35236" s="62"/>
    </row>
    <row r="35237" spans="2:8" x14ac:dyDescent="0.25">
      <c r="B35237" s="1" t="s">
        <v>14337</v>
      </c>
      <c r="C35237" s="1" t="s">
        <v>14338</v>
      </c>
      <c r="D35237" s="22" t="str">
        <f>HYPERLINK("https://rhld.insurance.arkansas.gov/NPILookup?Npi=1225025232","1225025232")</f>
        <v>1225025232</v>
      </c>
      <c r="E35237" s="1" t="s">
        <v>14515</v>
      </c>
      <c r="F35237" s="62"/>
      <c r="G35237" s="2">
        <v>54321</v>
      </c>
      <c r="H35237" s="62"/>
    </row>
    <row r="35238" spans="2:8" x14ac:dyDescent="0.25">
      <c r="B35238" s="1" t="s">
        <v>14337</v>
      </c>
      <c r="C35238" s="1" t="s">
        <v>14338</v>
      </c>
      <c r="D35238" s="22" t="str">
        <f>HYPERLINK("https://rhld.insurance.arkansas.gov/NPILookup?Npi=1225050008","1225050008")</f>
        <v>1225050008</v>
      </c>
      <c r="E35238" s="1" t="s">
        <v>14359</v>
      </c>
      <c r="F35238" s="62"/>
      <c r="G35238" s="2">
        <v>54321</v>
      </c>
      <c r="H35238" s="62"/>
    </row>
    <row r="35239" spans="2:8" x14ac:dyDescent="0.25">
      <c r="B35239" s="1" t="s">
        <v>14337</v>
      </c>
      <c r="C35239" s="1" t="s">
        <v>14338</v>
      </c>
      <c r="D35239" s="22" t="str">
        <f>HYPERLINK("https://rhld.insurance.arkansas.gov/NPILookup?Npi=1225053986","1225053986")</f>
        <v>1225053986</v>
      </c>
      <c r="E35239" s="1" t="s">
        <v>14516</v>
      </c>
      <c r="F35239" s="62"/>
      <c r="G35239" s="2">
        <v>54321</v>
      </c>
      <c r="H35239" s="62"/>
    </row>
    <row r="35240" spans="2:8" x14ac:dyDescent="0.25">
      <c r="B35240" s="1" t="s">
        <v>14337</v>
      </c>
      <c r="C35240" s="1" t="s">
        <v>14338</v>
      </c>
      <c r="D35240" s="22" t="str">
        <f>HYPERLINK("https://rhld.insurance.arkansas.gov/NPILookup?Npi=1225055585","1225055585")</f>
        <v>1225055585</v>
      </c>
      <c r="E35240" s="1" t="s">
        <v>14355</v>
      </c>
      <c r="F35240" s="62"/>
      <c r="G35240" s="2">
        <v>54321</v>
      </c>
      <c r="H35240" s="62"/>
    </row>
    <row r="35241" spans="2:8" x14ac:dyDescent="0.25">
      <c r="B35241" s="1" t="s">
        <v>14337</v>
      </c>
      <c r="C35241" s="1" t="s">
        <v>14338</v>
      </c>
      <c r="D35241" s="22" t="str">
        <f>HYPERLINK("https://rhld.insurance.arkansas.gov/NPILookup?Npi=1225055627","1225055627")</f>
        <v>1225055627</v>
      </c>
      <c r="E35241" s="1" t="s">
        <v>14352</v>
      </c>
      <c r="F35241" s="62"/>
      <c r="G35241" s="2">
        <v>54321</v>
      </c>
      <c r="H35241" s="62"/>
    </row>
    <row r="35242" spans="2:8" x14ac:dyDescent="0.25">
      <c r="B35242" s="1" t="s">
        <v>14337</v>
      </c>
      <c r="C35242" s="1" t="s">
        <v>14338</v>
      </c>
      <c r="D35242" s="22" t="str">
        <f>HYPERLINK("https://rhld.insurance.arkansas.gov/NPILookup?Npi=1225130628","1225130628")</f>
        <v>1225130628</v>
      </c>
      <c r="E35242" s="1" t="s">
        <v>14509</v>
      </c>
      <c r="F35242" s="62"/>
      <c r="G35242" s="2">
        <v>54321</v>
      </c>
      <c r="H35242" s="62"/>
    </row>
    <row r="35243" spans="2:8" x14ac:dyDescent="0.25">
      <c r="B35243" s="1" t="s">
        <v>14337</v>
      </c>
      <c r="C35243" s="1" t="s">
        <v>14338</v>
      </c>
      <c r="D35243" s="22" t="str">
        <f>HYPERLINK("https://rhld.insurance.arkansas.gov/NPILookup?Npi=1225238447","1225238447")</f>
        <v>1225238447</v>
      </c>
      <c r="E35243" s="1" t="s">
        <v>14517</v>
      </c>
      <c r="F35243" s="62"/>
      <c r="G35243" s="2">
        <v>54321</v>
      </c>
      <c r="H35243" s="62"/>
    </row>
    <row r="35244" spans="2:8" x14ac:dyDescent="0.25">
      <c r="B35244" s="1" t="s">
        <v>14337</v>
      </c>
      <c r="C35244" s="1" t="s">
        <v>14338</v>
      </c>
      <c r="D35244" s="22" t="str">
        <f>HYPERLINK("https://rhld.insurance.arkansas.gov/NPILookup?Npi=1225360027","1225360027")</f>
        <v>1225360027</v>
      </c>
      <c r="E35244" s="1" t="s">
        <v>14518</v>
      </c>
      <c r="F35244" s="62"/>
      <c r="G35244" s="2">
        <v>54321</v>
      </c>
      <c r="H35244" s="62"/>
    </row>
    <row r="35245" spans="2:8" x14ac:dyDescent="0.25">
      <c r="B35245" s="1" t="s">
        <v>14337</v>
      </c>
      <c r="C35245" s="1" t="s">
        <v>14338</v>
      </c>
      <c r="D35245" s="22" t="str">
        <f>HYPERLINK("https://rhld.insurance.arkansas.gov/NPILookup?Npi=1225443104","1225443104")</f>
        <v>1225443104</v>
      </c>
      <c r="E35245" s="1" t="s">
        <v>14519</v>
      </c>
      <c r="F35245" s="62"/>
      <c r="G35245" s="2">
        <v>54321</v>
      </c>
      <c r="H35245" s="62"/>
    </row>
    <row r="35246" spans="2:8" x14ac:dyDescent="0.25">
      <c r="B35246" s="1" t="s">
        <v>14337</v>
      </c>
      <c r="C35246" s="1" t="s">
        <v>14338</v>
      </c>
      <c r="D35246" s="22" t="str">
        <f>HYPERLINK("https://rhld.insurance.arkansas.gov/NPILookup?Npi=1225499619","1225499619")</f>
        <v>1225499619</v>
      </c>
      <c r="E35246" s="1" t="s">
        <v>14520</v>
      </c>
      <c r="F35246" s="62"/>
      <c r="G35246" s="2">
        <v>54321</v>
      </c>
      <c r="H35246" s="62"/>
    </row>
    <row r="35247" spans="2:8" x14ac:dyDescent="0.25">
      <c r="B35247" s="1" t="s">
        <v>14337</v>
      </c>
      <c r="C35247" s="1" t="s">
        <v>14338</v>
      </c>
      <c r="D35247" s="22" t="str">
        <f>HYPERLINK("https://rhld.insurance.arkansas.gov/NPILookup?Npi=1225715071","1225715071")</f>
        <v>1225715071</v>
      </c>
      <c r="E35247" s="1" t="s">
        <v>14463</v>
      </c>
      <c r="F35247" s="62"/>
      <c r="G35247" s="2">
        <v>54321</v>
      </c>
      <c r="H35247" s="62"/>
    </row>
    <row r="35248" spans="2:8" x14ac:dyDescent="0.25">
      <c r="B35248" s="1" t="s">
        <v>14337</v>
      </c>
      <c r="C35248" s="1" t="s">
        <v>14338</v>
      </c>
      <c r="D35248" s="22" t="str">
        <f>HYPERLINK("https://rhld.insurance.arkansas.gov/NPILookup?Npi=1225723133","1225723133")</f>
        <v>1225723133</v>
      </c>
      <c r="E35248" s="1" t="s">
        <v>14521</v>
      </c>
      <c r="F35248" s="62"/>
      <c r="G35248" s="2">
        <v>54321</v>
      </c>
      <c r="H35248" s="62"/>
    </row>
    <row r="35249" spans="2:8" x14ac:dyDescent="0.25">
      <c r="B35249" s="1" t="s">
        <v>14337</v>
      </c>
      <c r="C35249" s="1" t="s">
        <v>14338</v>
      </c>
      <c r="D35249" s="22" t="str">
        <f>HYPERLINK("https://rhld.insurance.arkansas.gov/NPILookup?Npi=1225759640","1225759640")</f>
        <v>1225759640</v>
      </c>
      <c r="E35249" s="1" t="s">
        <v>14522</v>
      </c>
      <c r="F35249" s="62"/>
      <c r="G35249" s="2">
        <v>54321</v>
      </c>
      <c r="H35249" s="62"/>
    </row>
    <row r="35250" spans="2:8" x14ac:dyDescent="0.25">
      <c r="B35250" s="1" t="s">
        <v>14337</v>
      </c>
      <c r="C35250" s="1" t="s">
        <v>14338</v>
      </c>
      <c r="D35250" s="22" t="str">
        <f>HYPERLINK("https://rhld.insurance.arkansas.gov/NPILookup?Npi=1225783608","1225783608")</f>
        <v>1225783608</v>
      </c>
      <c r="E35250" s="1" t="s">
        <v>14523</v>
      </c>
      <c r="F35250" s="62"/>
      <c r="G35250" s="2">
        <v>54321</v>
      </c>
      <c r="H35250" s="62"/>
    </row>
    <row r="35251" spans="2:8" x14ac:dyDescent="0.25">
      <c r="B35251" s="1" t="s">
        <v>14337</v>
      </c>
      <c r="C35251" s="1" t="s">
        <v>14338</v>
      </c>
      <c r="D35251" s="22" t="str">
        <f>HYPERLINK("https://rhld.insurance.arkansas.gov/NPILookup?Npi=1235138637","1235138637")</f>
        <v>1235138637</v>
      </c>
      <c r="E35251" s="1" t="s">
        <v>14524</v>
      </c>
      <c r="F35251" s="62"/>
      <c r="G35251" s="2">
        <v>54321</v>
      </c>
      <c r="H35251" s="62"/>
    </row>
    <row r="35252" spans="2:8" x14ac:dyDescent="0.25">
      <c r="B35252" s="1" t="s">
        <v>14337</v>
      </c>
      <c r="C35252" s="1" t="s">
        <v>14338</v>
      </c>
      <c r="D35252" s="22" t="str">
        <f>HYPERLINK("https://rhld.insurance.arkansas.gov/NPILookup?Npi=1235146234","1235146234")</f>
        <v>1235146234</v>
      </c>
      <c r="E35252" s="1" t="s">
        <v>14343</v>
      </c>
      <c r="F35252" s="62"/>
      <c r="G35252" s="2">
        <v>54321</v>
      </c>
      <c r="H35252" s="62"/>
    </row>
    <row r="35253" spans="2:8" x14ac:dyDescent="0.25">
      <c r="B35253" s="1" t="s">
        <v>14337</v>
      </c>
      <c r="C35253" s="1" t="s">
        <v>14338</v>
      </c>
      <c r="D35253" s="22" t="str">
        <f>HYPERLINK("https://rhld.insurance.arkansas.gov/NPILookup?Npi=1235156365","1235156365")</f>
        <v>1235156365</v>
      </c>
      <c r="E35253" s="1" t="s">
        <v>14355</v>
      </c>
      <c r="F35253" s="62"/>
      <c r="G35253" s="2">
        <v>54321</v>
      </c>
      <c r="H35253" s="62"/>
    </row>
    <row r="35254" spans="2:8" x14ac:dyDescent="0.25">
      <c r="B35254" s="1" t="s">
        <v>14337</v>
      </c>
      <c r="C35254" s="1" t="s">
        <v>14338</v>
      </c>
      <c r="D35254" s="22" t="str">
        <f>HYPERLINK("https://rhld.insurance.arkansas.gov/NPILookup?Npi=1235156555","1235156555")</f>
        <v>1235156555</v>
      </c>
      <c r="E35254" s="1" t="s">
        <v>14355</v>
      </c>
      <c r="F35254" s="62"/>
      <c r="G35254" s="2">
        <v>54321</v>
      </c>
      <c r="H35254" s="62"/>
    </row>
    <row r="35255" spans="2:8" x14ac:dyDescent="0.25">
      <c r="B35255" s="1" t="s">
        <v>14337</v>
      </c>
      <c r="C35255" s="1" t="s">
        <v>14338</v>
      </c>
      <c r="D35255" s="22" t="str">
        <f>HYPERLINK("https://rhld.insurance.arkansas.gov/NPILookup?Npi=1235156621","1235156621")</f>
        <v>1235156621</v>
      </c>
      <c r="E35255" s="1" t="s">
        <v>14352</v>
      </c>
      <c r="F35255" s="62"/>
      <c r="G35255" s="2">
        <v>54321</v>
      </c>
      <c r="H35255" s="62"/>
    </row>
    <row r="35256" spans="2:8" x14ac:dyDescent="0.25">
      <c r="B35256" s="1" t="s">
        <v>14337</v>
      </c>
      <c r="C35256" s="1" t="s">
        <v>14338</v>
      </c>
      <c r="D35256" s="22" t="str">
        <f>HYPERLINK("https://rhld.insurance.arkansas.gov/NPILookup?Npi=1235156639","1235156639")</f>
        <v>1235156639</v>
      </c>
      <c r="E35256" s="1" t="s">
        <v>14352</v>
      </c>
      <c r="F35256" s="62"/>
      <c r="G35256" s="2">
        <v>54321</v>
      </c>
      <c r="H35256" s="62"/>
    </row>
    <row r="35257" spans="2:8" x14ac:dyDescent="0.25">
      <c r="B35257" s="1" t="s">
        <v>14337</v>
      </c>
      <c r="C35257" s="1" t="s">
        <v>14338</v>
      </c>
      <c r="D35257" s="22" t="str">
        <f>HYPERLINK("https://rhld.insurance.arkansas.gov/NPILookup?Npi=1235163080","1235163080")</f>
        <v>1235163080</v>
      </c>
      <c r="E35257" s="1" t="s">
        <v>14344</v>
      </c>
      <c r="F35257" s="62"/>
      <c r="G35257" s="2">
        <v>54321</v>
      </c>
      <c r="H35257" s="62"/>
    </row>
    <row r="35258" spans="2:8" x14ac:dyDescent="0.25">
      <c r="B35258" s="1" t="s">
        <v>14337</v>
      </c>
      <c r="C35258" s="1" t="s">
        <v>14338</v>
      </c>
      <c r="D35258" s="22" t="str">
        <f>HYPERLINK("https://rhld.insurance.arkansas.gov/NPILookup?Npi=1235175100","1235175100")</f>
        <v>1235175100</v>
      </c>
      <c r="E35258" s="1" t="s">
        <v>14525</v>
      </c>
      <c r="F35258" s="62"/>
      <c r="G35258" s="2">
        <v>54321</v>
      </c>
      <c r="H35258" s="62"/>
    </row>
    <row r="35259" spans="2:8" x14ac:dyDescent="0.25">
      <c r="B35259" s="1" t="s">
        <v>14337</v>
      </c>
      <c r="C35259" s="1" t="s">
        <v>14338</v>
      </c>
      <c r="D35259" s="22" t="str">
        <f>HYPERLINK("https://rhld.insurance.arkansas.gov/NPILookup?Npi=1235207242","1235207242")</f>
        <v>1235207242</v>
      </c>
      <c r="E35259" s="1" t="s">
        <v>14343</v>
      </c>
      <c r="F35259" s="62"/>
      <c r="G35259" s="2">
        <v>54321</v>
      </c>
      <c r="H35259" s="62"/>
    </row>
    <row r="35260" spans="2:8" x14ac:dyDescent="0.25">
      <c r="B35260" s="1" t="s">
        <v>14337</v>
      </c>
      <c r="C35260" s="1" t="s">
        <v>14338</v>
      </c>
      <c r="D35260" s="22" t="str">
        <f>HYPERLINK("https://rhld.insurance.arkansas.gov/NPILookup?Npi=1235239559","1235239559")</f>
        <v>1235239559</v>
      </c>
      <c r="E35260" s="1" t="s">
        <v>14526</v>
      </c>
      <c r="F35260" s="62"/>
      <c r="G35260" s="2">
        <v>54321</v>
      </c>
      <c r="H35260" s="62"/>
    </row>
    <row r="35261" spans="2:8" x14ac:dyDescent="0.25">
      <c r="B35261" s="1" t="s">
        <v>14337</v>
      </c>
      <c r="C35261" s="1" t="s">
        <v>14338</v>
      </c>
      <c r="D35261" s="22" t="str">
        <f>HYPERLINK("https://rhld.insurance.arkansas.gov/NPILookup?Npi=1235321332","1235321332")</f>
        <v>1235321332</v>
      </c>
      <c r="E35261" s="1" t="s">
        <v>14527</v>
      </c>
      <c r="F35261" s="62"/>
      <c r="G35261" s="2">
        <v>54321</v>
      </c>
      <c r="H35261" s="62"/>
    </row>
    <row r="35262" spans="2:8" x14ac:dyDescent="0.25">
      <c r="B35262" s="1" t="s">
        <v>14337</v>
      </c>
      <c r="C35262" s="1" t="s">
        <v>14338</v>
      </c>
      <c r="D35262" s="22" t="str">
        <f>HYPERLINK("https://rhld.insurance.arkansas.gov/NPILookup?Npi=1235475427","1235475427")</f>
        <v>1235475427</v>
      </c>
      <c r="E35262" s="1" t="s">
        <v>14528</v>
      </c>
      <c r="F35262" s="62"/>
      <c r="G35262" s="2">
        <v>54321</v>
      </c>
      <c r="H35262" s="62"/>
    </row>
    <row r="35263" spans="2:8" x14ac:dyDescent="0.25">
      <c r="B35263" s="1" t="s">
        <v>14337</v>
      </c>
      <c r="C35263" s="1" t="s">
        <v>14338</v>
      </c>
      <c r="D35263" s="22" t="str">
        <f>HYPERLINK("https://rhld.insurance.arkansas.gov/NPILookup?Npi=1235525262","1235525262")</f>
        <v>1235525262</v>
      </c>
      <c r="E35263" s="1" t="s">
        <v>14529</v>
      </c>
      <c r="F35263" s="62"/>
      <c r="G35263" s="2">
        <v>54321</v>
      </c>
      <c r="H35263" s="62"/>
    </row>
    <row r="35264" spans="2:8" x14ac:dyDescent="0.25">
      <c r="B35264" s="1" t="s">
        <v>14337</v>
      </c>
      <c r="C35264" s="1" t="s">
        <v>14338</v>
      </c>
      <c r="D35264" s="22" t="str">
        <f>HYPERLINK("https://rhld.insurance.arkansas.gov/NPILookup?Npi=1235570334","1235570334")</f>
        <v>1235570334</v>
      </c>
      <c r="E35264" s="1" t="s">
        <v>14530</v>
      </c>
      <c r="F35264" s="62"/>
      <c r="G35264" s="2">
        <v>54321</v>
      </c>
      <c r="H35264" s="62"/>
    </row>
    <row r="35265" spans="2:8" x14ac:dyDescent="0.25">
      <c r="B35265" s="1" t="s">
        <v>14337</v>
      </c>
      <c r="C35265" s="1" t="s">
        <v>14338</v>
      </c>
      <c r="D35265" s="22" t="str">
        <f>HYPERLINK("https://rhld.insurance.arkansas.gov/NPILookup?Npi=1235614421","1235614421")</f>
        <v>1235614421</v>
      </c>
      <c r="E35265" s="1" t="s">
        <v>14531</v>
      </c>
      <c r="F35265" s="62"/>
      <c r="G35265" s="2">
        <v>54321</v>
      </c>
      <c r="H35265" s="62"/>
    </row>
    <row r="35266" spans="2:8" x14ac:dyDescent="0.25">
      <c r="B35266" s="1" t="s">
        <v>14337</v>
      </c>
      <c r="C35266" s="1" t="s">
        <v>14338</v>
      </c>
      <c r="D35266" s="22" t="str">
        <f>HYPERLINK("https://rhld.insurance.arkansas.gov/NPILookup?Npi=1235850421","1235850421")</f>
        <v>1235850421</v>
      </c>
      <c r="E35266" s="1" t="s">
        <v>14532</v>
      </c>
      <c r="F35266" s="62"/>
      <c r="G35266" s="2">
        <v>54321</v>
      </c>
      <c r="H35266" s="62"/>
    </row>
    <row r="35267" spans="2:8" x14ac:dyDescent="0.25">
      <c r="B35267" s="1" t="s">
        <v>14337</v>
      </c>
      <c r="C35267" s="1" t="s">
        <v>14338</v>
      </c>
      <c r="D35267" s="22" t="str">
        <f>HYPERLINK("https://rhld.insurance.arkansas.gov/NPILookup?Npi=1245035260","1245035260")</f>
        <v>1245035260</v>
      </c>
      <c r="E35267" s="1" t="s">
        <v>32577</v>
      </c>
      <c r="F35267" s="62"/>
      <c r="G35267" s="2">
        <v>54321</v>
      </c>
      <c r="H35267" s="62"/>
    </row>
    <row r="35268" spans="2:8" x14ac:dyDescent="0.25">
      <c r="B35268" s="1" t="s">
        <v>14337</v>
      </c>
      <c r="C35268" s="1" t="s">
        <v>14338</v>
      </c>
      <c r="D35268" s="22" t="str">
        <f>HYPERLINK("https://rhld.insurance.arkansas.gov/NPILookup?Npi=1245064815","1245064815")</f>
        <v>1245064815</v>
      </c>
      <c r="E35268" s="1" t="s">
        <v>14533</v>
      </c>
      <c r="F35268" s="62"/>
      <c r="G35268" s="2">
        <v>54321</v>
      </c>
      <c r="H35268" s="62"/>
    </row>
    <row r="35269" spans="2:8" x14ac:dyDescent="0.25">
      <c r="B35269" s="1" t="s">
        <v>14337</v>
      </c>
      <c r="C35269" s="1" t="s">
        <v>14338</v>
      </c>
      <c r="D35269" s="22" t="str">
        <f>HYPERLINK("https://rhld.insurance.arkansas.gov/NPILookup?Npi=1245228824","1245228824")</f>
        <v>1245228824</v>
      </c>
      <c r="E35269" s="1" t="s">
        <v>14534</v>
      </c>
      <c r="F35269" s="62"/>
      <c r="G35269" s="2">
        <v>54321</v>
      </c>
      <c r="H35269" s="62"/>
    </row>
    <row r="35270" spans="2:8" x14ac:dyDescent="0.25">
      <c r="B35270" s="1" t="s">
        <v>14337</v>
      </c>
      <c r="C35270" s="1" t="s">
        <v>14338</v>
      </c>
      <c r="D35270" s="22" t="str">
        <f>HYPERLINK("https://rhld.insurance.arkansas.gov/NPILookup?Npi=1245240746","1245240746")</f>
        <v>1245240746</v>
      </c>
      <c r="E35270" s="1" t="s">
        <v>14535</v>
      </c>
      <c r="F35270" s="62"/>
      <c r="G35270" s="2">
        <v>54321</v>
      </c>
      <c r="H35270" s="62"/>
    </row>
    <row r="35271" spans="2:8" x14ac:dyDescent="0.25">
      <c r="B35271" s="1" t="s">
        <v>14337</v>
      </c>
      <c r="C35271" s="1" t="s">
        <v>14338</v>
      </c>
      <c r="D35271" s="22" t="str">
        <f>HYPERLINK("https://rhld.insurance.arkansas.gov/NPILookup?Npi=1245245513","1245245513")</f>
        <v>1245245513</v>
      </c>
      <c r="E35271" s="1" t="s">
        <v>14536</v>
      </c>
      <c r="F35271" s="62"/>
      <c r="G35271" s="2">
        <v>54321</v>
      </c>
      <c r="H35271" s="62"/>
    </row>
    <row r="35272" spans="2:8" x14ac:dyDescent="0.25">
      <c r="B35272" s="1" t="s">
        <v>14337</v>
      </c>
      <c r="C35272" s="1" t="s">
        <v>14338</v>
      </c>
      <c r="D35272" s="22" t="str">
        <f>HYPERLINK("https://rhld.insurance.arkansas.gov/NPILookup?Npi=1245246610","1245246610")</f>
        <v>1245246610</v>
      </c>
      <c r="E35272" s="1" t="s">
        <v>14537</v>
      </c>
      <c r="F35272" s="62"/>
      <c r="G35272" s="2">
        <v>54321</v>
      </c>
      <c r="H35272" s="62"/>
    </row>
    <row r="35273" spans="2:8" x14ac:dyDescent="0.25">
      <c r="B35273" s="1" t="s">
        <v>14337</v>
      </c>
      <c r="C35273" s="1" t="s">
        <v>14338</v>
      </c>
      <c r="D35273" s="22" t="str">
        <f>HYPERLINK("https://rhld.insurance.arkansas.gov/NPILookup?Npi=1245246719","1245246719")</f>
        <v>1245246719</v>
      </c>
      <c r="E35273" s="1" t="s">
        <v>14343</v>
      </c>
      <c r="F35273" s="62"/>
      <c r="G35273" s="2">
        <v>54321</v>
      </c>
      <c r="H35273" s="62"/>
    </row>
    <row r="35274" spans="2:8" x14ac:dyDescent="0.25">
      <c r="B35274" s="1" t="s">
        <v>14337</v>
      </c>
      <c r="C35274" s="1" t="s">
        <v>14338</v>
      </c>
      <c r="D35274" s="22" t="str">
        <f>HYPERLINK("https://rhld.insurance.arkansas.gov/NPILookup?Npi=1245257625","1245257625")</f>
        <v>1245257625</v>
      </c>
      <c r="E35274" s="1" t="s">
        <v>14352</v>
      </c>
      <c r="F35274" s="62"/>
      <c r="G35274" s="2">
        <v>54321</v>
      </c>
      <c r="H35274" s="62"/>
    </row>
    <row r="35275" spans="2:8" x14ac:dyDescent="0.25">
      <c r="B35275" s="1" t="s">
        <v>14337</v>
      </c>
      <c r="C35275" s="1" t="s">
        <v>14338</v>
      </c>
      <c r="D35275" s="22" t="str">
        <f>HYPERLINK("https://rhld.insurance.arkansas.gov/NPILookup?Npi=1245257633","1245257633")</f>
        <v>1245257633</v>
      </c>
      <c r="E35275" s="1" t="s">
        <v>14352</v>
      </c>
      <c r="F35275" s="62"/>
      <c r="G35275" s="2">
        <v>54321</v>
      </c>
      <c r="H35275" s="62"/>
    </row>
    <row r="35276" spans="2:8" x14ac:dyDescent="0.25">
      <c r="B35276" s="1" t="s">
        <v>14337</v>
      </c>
      <c r="C35276" s="1" t="s">
        <v>14338</v>
      </c>
      <c r="D35276" s="22" t="str">
        <f>HYPERLINK("https://rhld.insurance.arkansas.gov/NPILookup?Npi=1245264092","1245264092")</f>
        <v>1245264092</v>
      </c>
      <c r="E35276" s="1" t="s">
        <v>14344</v>
      </c>
      <c r="F35276" s="62"/>
      <c r="G35276" s="2">
        <v>54321</v>
      </c>
      <c r="H35276" s="62"/>
    </row>
    <row r="35277" spans="2:8" x14ac:dyDescent="0.25">
      <c r="B35277" s="1" t="s">
        <v>14337</v>
      </c>
      <c r="C35277" s="1" t="s">
        <v>14338</v>
      </c>
      <c r="D35277" s="22" t="str">
        <f>HYPERLINK("https://rhld.insurance.arkansas.gov/NPILookup?Npi=1245264985","1245264985")</f>
        <v>1245264985</v>
      </c>
      <c r="E35277" s="1" t="s">
        <v>14344</v>
      </c>
      <c r="F35277" s="62"/>
      <c r="G35277" s="2">
        <v>54321</v>
      </c>
      <c r="H35277" s="62"/>
    </row>
    <row r="35278" spans="2:8" x14ac:dyDescent="0.25">
      <c r="B35278" s="1" t="s">
        <v>14337</v>
      </c>
      <c r="C35278" s="1" t="s">
        <v>14338</v>
      </c>
      <c r="D35278" s="22" t="str">
        <f>HYPERLINK("https://rhld.insurance.arkansas.gov/NPILookup?Npi=1245311844","1245311844")</f>
        <v>1245311844</v>
      </c>
      <c r="E35278" s="1" t="s">
        <v>14538</v>
      </c>
      <c r="F35278" s="62"/>
      <c r="G35278" s="2">
        <v>54321</v>
      </c>
      <c r="H35278" s="62"/>
    </row>
    <row r="35279" spans="2:8" x14ac:dyDescent="0.25">
      <c r="B35279" s="1" t="s">
        <v>14337</v>
      </c>
      <c r="C35279" s="1" t="s">
        <v>14338</v>
      </c>
      <c r="D35279" s="22" t="str">
        <f>HYPERLINK("https://rhld.insurance.arkansas.gov/NPILookup?Npi=1245314988","1245314988")</f>
        <v>1245314988</v>
      </c>
      <c r="E35279" s="1" t="s">
        <v>14539</v>
      </c>
      <c r="F35279" s="62"/>
      <c r="G35279" s="2">
        <v>54321</v>
      </c>
      <c r="H35279" s="62"/>
    </row>
    <row r="35280" spans="2:8" x14ac:dyDescent="0.25">
      <c r="B35280" s="1" t="s">
        <v>14337</v>
      </c>
      <c r="C35280" s="1" t="s">
        <v>14338</v>
      </c>
      <c r="D35280" s="22" t="str">
        <f>HYPERLINK("https://rhld.insurance.arkansas.gov/NPILookup?Npi=1245335959","1245335959")</f>
        <v>1245335959</v>
      </c>
      <c r="E35280" s="1" t="s">
        <v>14540</v>
      </c>
      <c r="F35280" s="62"/>
      <c r="G35280" s="2">
        <v>54321</v>
      </c>
      <c r="H35280" s="62"/>
    </row>
    <row r="35281" spans="2:8" x14ac:dyDescent="0.25">
      <c r="B35281" s="1" t="s">
        <v>14337</v>
      </c>
      <c r="C35281" s="1" t="s">
        <v>14338</v>
      </c>
      <c r="D35281" s="22" t="str">
        <f>HYPERLINK("https://rhld.insurance.arkansas.gov/NPILookup?Npi=1245992668","1245992668")</f>
        <v>1245992668</v>
      </c>
      <c r="E35281" s="1" t="s">
        <v>14541</v>
      </c>
      <c r="F35281" s="62"/>
      <c r="G35281" s="2">
        <v>54321</v>
      </c>
      <c r="H35281" s="62"/>
    </row>
    <row r="35282" spans="2:8" x14ac:dyDescent="0.25">
      <c r="B35282" s="1" t="s">
        <v>14337</v>
      </c>
      <c r="C35282" s="1" t="s">
        <v>14338</v>
      </c>
      <c r="D35282" s="22" t="str">
        <f>HYPERLINK("https://rhld.insurance.arkansas.gov/NPILookup?Npi=1255346359","1255346359")</f>
        <v>1255346359</v>
      </c>
      <c r="E35282" s="1" t="s">
        <v>14343</v>
      </c>
      <c r="F35282" s="62"/>
      <c r="G35282" s="2">
        <v>54321</v>
      </c>
      <c r="H35282" s="62"/>
    </row>
    <row r="35283" spans="2:8" x14ac:dyDescent="0.25">
      <c r="B35283" s="1" t="s">
        <v>14337</v>
      </c>
      <c r="C35283" s="1" t="s">
        <v>14338</v>
      </c>
      <c r="D35283" s="22" t="str">
        <f>HYPERLINK("https://rhld.insurance.arkansas.gov/NPILookup?Npi=1255358636","1255358636")</f>
        <v>1255358636</v>
      </c>
      <c r="E35283" s="1" t="s">
        <v>14352</v>
      </c>
      <c r="F35283" s="62"/>
      <c r="G35283" s="2">
        <v>54321</v>
      </c>
      <c r="H35283" s="62"/>
    </row>
    <row r="35284" spans="2:8" x14ac:dyDescent="0.25">
      <c r="B35284" s="1" t="s">
        <v>14337</v>
      </c>
      <c r="C35284" s="1" t="s">
        <v>14338</v>
      </c>
      <c r="D35284" s="22" t="str">
        <f>HYPERLINK("https://rhld.insurance.arkansas.gov/NPILookup?Npi=1255358644","1255358644")</f>
        <v>1255358644</v>
      </c>
      <c r="E35284" s="1" t="s">
        <v>14352</v>
      </c>
      <c r="F35284" s="62"/>
      <c r="G35284" s="2">
        <v>54321</v>
      </c>
      <c r="H35284" s="62"/>
    </row>
    <row r="35285" spans="2:8" x14ac:dyDescent="0.25">
      <c r="B35285" s="1" t="s">
        <v>14337</v>
      </c>
      <c r="C35285" s="1" t="s">
        <v>14338</v>
      </c>
      <c r="D35285" s="22" t="str">
        <f>HYPERLINK("https://rhld.insurance.arkansas.gov/NPILookup?Npi=1255359006","1255359006")</f>
        <v>1255359006</v>
      </c>
      <c r="E35285" s="1" t="s">
        <v>14542</v>
      </c>
      <c r="F35285" s="62"/>
      <c r="G35285" s="2">
        <v>54321</v>
      </c>
      <c r="H35285" s="62"/>
    </row>
    <row r="35286" spans="2:8" x14ac:dyDescent="0.25">
      <c r="B35286" s="1" t="s">
        <v>14337</v>
      </c>
      <c r="C35286" s="1" t="s">
        <v>14338</v>
      </c>
      <c r="D35286" s="22" t="str">
        <f>HYPERLINK("https://rhld.insurance.arkansas.gov/NPILookup?Npi=1255410999","1255410999")</f>
        <v>1255410999</v>
      </c>
      <c r="E35286" s="1" t="s">
        <v>14543</v>
      </c>
      <c r="F35286" s="62"/>
      <c r="G35286" s="2">
        <v>54321</v>
      </c>
      <c r="H35286" s="62"/>
    </row>
    <row r="35287" spans="2:8" x14ac:dyDescent="0.25">
      <c r="B35287" s="1" t="s">
        <v>14337</v>
      </c>
      <c r="C35287" s="1" t="s">
        <v>14338</v>
      </c>
      <c r="D35287" s="22" t="str">
        <f>HYPERLINK("https://rhld.insurance.arkansas.gov/NPILookup?Npi=1255416244","1255416244")</f>
        <v>1255416244</v>
      </c>
      <c r="E35287" s="1" t="s">
        <v>14544</v>
      </c>
      <c r="F35287" s="62"/>
      <c r="G35287" s="2">
        <v>54321</v>
      </c>
      <c r="H35287" s="62"/>
    </row>
    <row r="35288" spans="2:8" x14ac:dyDescent="0.25">
      <c r="B35288" s="1" t="s">
        <v>14337</v>
      </c>
      <c r="C35288" s="1" t="s">
        <v>14338</v>
      </c>
      <c r="D35288" s="22" t="str">
        <f>HYPERLINK("https://rhld.insurance.arkansas.gov/NPILookup?Npi=1255449831","1255449831")</f>
        <v>1255449831</v>
      </c>
      <c r="E35288" s="1" t="s">
        <v>14545</v>
      </c>
      <c r="F35288" s="62"/>
      <c r="G35288" s="2">
        <v>54321</v>
      </c>
      <c r="H35288" s="62"/>
    </row>
    <row r="35289" spans="2:8" x14ac:dyDescent="0.25">
      <c r="B35289" s="1" t="s">
        <v>14337</v>
      </c>
      <c r="C35289" s="1" t="s">
        <v>14338</v>
      </c>
      <c r="D35289" s="22" t="str">
        <f>HYPERLINK("https://rhld.insurance.arkansas.gov/NPILookup?Npi=1255537064","1255537064")</f>
        <v>1255537064</v>
      </c>
      <c r="E35289" s="1" t="s">
        <v>14546</v>
      </c>
      <c r="F35289" s="62"/>
      <c r="G35289" s="2">
        <v>54321</v>
      </c>
      <c r="H35289" s="62"/>
    </row>
    <row r="35290" spans="2:8" x14ac:dyDescent="0.25">
      <c r="B35290" s="1" t="s">
        <v>14337</v>
      </c>
      <c r="C35290" s="1" t="s">
        <v>14338</v>
      </c>
      <c r="D35290" s="22" t="str">
        <f>HYPERLINK("https://rhld.insurance.arkansas.gov/NPILookup?Npi=1255561916","1255561916")</f>
        <v>1255561916</v>
      </c>
      <c r="E35290" s="1" t="s">
        <v>14422</v>
      </c>
      <c r="F35290" s="62"/>
      <c r="G35290" s="2">
        <v>54321</v>
      </c>
      <c r="H35290" s="62"/>
    </row>
    <row r="35291" spans="2:8" x14ac:dyDescent="0.25">
      <c r="B35291" s="1" t="s">
        <v>14337</v>
      </c>
      <c r="C35291" s="1" t="s">
        <v>14338</v>
      </c>
      <c r="D35291" s="22" t="str">
        <f>HYPERLINK("https://rhld.insurance.arkansas.gov/NPILookup?Npi=1255623625","1255623625")</f>
        <v>1255623625</v>
      </c>
      <c r="E35291" s="1" t="s">
        <v>14547</v>
      </c>
      <c r="F35291" s="62"/>
      <c r="G35291" s="2">
        <v>54321</v>
      </c>
      <c r="H35291" s="62"/>
    </row>
    <row r="35292" spans="2:8" x14ac:dyDescent="0.25">
      <c r="B35292" s="1" t="s">
        <v>14337</v>
      </c>
      <c r="C35292" s="1" t="s">
        <v>14338</v>
      </c>
      <c r="D35292" s="22" t="str">
        <f>HYPERLINK("https://rhld.insurance.arkansas.gov/NPILookup?Npi=1255750717","1255750717")</f>
        <v>1255750717</v>
      </c>
      <c r="E35292" s="1" t="s">
        <v>14548</v>
      </c>
      <c r="F35292" s="62"/>
      <c r="G35292" s="2">
        <v>54321</v>
      </c>
      <c r="H35292" s="62"/>
    </row>
    <row r="35293" spans="2:8" x14ac:dyDescent="0.25">
      <c r="B35293" s="1" t="s">
        <v>14337</v>
      </c>
      <c r="C35293" s="1" t="s">
        <v>14338</v>
      </c>
      <c r="D35293" s="22" t="str">
        <f>HYPERLINK("https://rhld.insurance.arkansas.gov/NPILookup?Npi=1265028120","1265028120")</f>
        <v>1265028120</v>
      </c>
      <c r="E35293" s="1" t="s">
        <v>14549</v>
      </c>
      <c r="F35293" s="62"/>
      <c r="G35293" s="2">
        <v>54321</v>
      </c>
      <c r="H35293" s="62"/>
    </row>
    <row r="35294" spans="2:8" x14ac:dyDescent="0.25">
      <c r="B35294" s="1" t="s">
        <v>14337</v>
      </c>
      <c r="C35294" s="1" t="s">
        <v>14338</v>
      </c>
      <c r="D35294" s="22" t="str">
        <f>HYPERLINK("https://rhld.insurance.arkansas.gov/NPILookup?Npi=1265297493","1265297493")</f>
        <v>1265297493</v>
      </c>
      <c r="E35294" s="1" t="s">
        <v>14550</v>
      </c>
      <c r="F35294" s="62"/>
      <c r="G35294" s="2">
        <v>54321</v>
      </c>
      <c r="H35294" s="62"/>
    </row>
    <row r="35295" spans="2:8" x14ac:dyDescent="0.25">
      <c r="B35295" s="1" t="s">
        <v>14337</v>
      </c>
      <c r="C35295" s="1" t="s">
        <v>14338</v>
      </c>
      <c r="D35295" s="22" t="str">
        <f>HYPERLINK("https://rhld.insurance.arkansas.gov/NPILookup?Npi=1265447361","1265447361")</f>
        <v>1265447361</v>
      </c>
      <c r="E35295" s="1" t="s">
        <v>14343</v>
      </c>
      <c r="F35295" s="62"/>
      <c r="G35295" s="2">
        <v>54321</v>
      </c>
      <c r="H35295" s="62"/>
    </row>
    <row r="35296" spans="2:8" x14ac:dyDescent="0.25">
      <c r="B35296" s="1" t="s">
        <v>14337</v>
      </c>
      <c r="C35296" s="1" t="s">
        <v>14338</v>
      </c>
      <c r="D35296" s="22" t="str">
        <f>HYPERLINK("https://rhld.insurance.arkansas.gov/NPILookup?Npi=1265449268","1265449268")</f>
        <v>1265449268</v>
      </c>
      <c r="E35296" s="1" t="s">
        <v>14343</v>
      </c>
      <c r="F35296" s="62"/>
      <c r="G35296" s="2">
        <v>54321</v>
      </c>
      <c r="H35296" s="62"/>
    </row>
    <row r="35297" spans="2:8" x14ac:dyDescent="0.25">
      <c r="B35297" s="1" t="s">
        <v>14337</v>
      </c>
      <c r="C35297" s="1" t="s">
        <v>14338</v>
      </c>
      <c r="D35297" s="22" t="str">
        <f>HYPERLINK("https://rhld.insurance.arkansas.gov/NPILookup?Npi=1265515670","1265515670")</f>
        <v>1265515670</v>
      </c>
      <c r="E35297" s="1" t="s">
        <v>14343</v>
      </c>
      <c r="F35297" s="62"/>
      <c r="G35297" s="2">
        <v>54321</v>
      </c>
      <c r="H35297" s="62"/>
    </row>
    <row r="35298" spans="2:8" x14ac:dyDescent="0.25">
      <c r="B35298" s="1" t="s">
        <v>14337</v>
      </c>
      <c r="C35298" s="1" t="s">
        <v>14338</v>
      </c>
      <c r="D35298" s="22" t="str">
        <f>HYPERLINK("https://rhld.insurance.arkansas.gov/NPILookup?Npi=1265576995","1265576995")</f>
        <v>1265576995</v>
      </c>
      <c r="E35298" s="1" t="s">
        <v>14551</v>
      </c>
      <c r="F35298" s="62" t="s">
        <v>1</v>
      </c>
      <c r="G35298" s="2">
        <v>54321</v>
      </c>
      <c r="H35298" s="62" t="s">
        <v>37381</v>
      </c>
    </row>
    <row r="35299" spans="2:8" x14ac:dyDescent="0.25">
      <c r="B35299" s="1" t="s">
        <v>14337</v>
      </c>
      <c r="C35299" s="1" t="s">
        <v>14338</v>
      </c>
      <c r="D35299" s="22" t="str">
        <f>HYPERLINK("https://rhld.insurance.arkansas.gov/NPILookup?Npi=1265577605","1265577605")</f>
        <v>1265577605</v>
      </c>
      <c r="E35299" s="1" t="s">
        <v>14552</v>
      </c>
      <c r="F35299" s="62"/>
      <c r="G35299" s="2">
        <v>54321</v>
      </c>
      <c r="H35299" s="62"/>
    </row>
    <row r="35300" spans="2:8" x14ac:dyDescent="0.25">
      <c r="B35300" s="1" t="s">
        <v>14337</v>
      </c>
      <c r="C35300" s="1" t="s">
        <v>14338</v>
      </c>
      <c r="D35300" s="22" t="str">
        <f>HYPERLINK("https://rhld.insurance.arkansas.gov/NPILookup?Npi=1265592497","1265592497")</f>
        <v>1265592497</v>
      </c>
      <c r="E35300" s="1" t="s">
        <v>14344</v>
      </c>
      <c r="F35300" s="62"/>
      <c r="G35300" s="2">
        <v>54321</v>
      </c>
      <c r="H35300" s="62"/>
    </row>
    <row r="35301" spans="2:8" x14ac:dyDescent="0.25">
      <c r="B35301" s="1" t="s">
        <v>14337</v>
      </c>
      <c r="C35301" s="1" t="s">
        <v>14338</v>
      </c>
      <c r="D35301" s="22" t="str">
        <f>HYPERLINK("https://rhld.insurance.arkansas.gov/NPILookup?Npi=1265605687","1265605687")</f>
        <v>1265605687</v>
      </c>
      <c r="E35301" s="1" t="s">
        <v>14553</v>
      </c>
      <c r="F35301" s="62"/>
      <c r="G35301" s="2">
        <v>54321</v>
      </c>
      <c r="H35301" s="62"/>
    </row>
    <row r="35302" spans="2:8" x14ac:dyDescent="0.25">
      <c r="B35302" s="1" t="s">
        <v>14337</v>
      </c>
      <c r="C35302" s="1" t="s">
        <v>14338</v>
      </c>
      <c r="D35302" s="22" t="str">
        <f>HYPERLINK("https://rhld.insurance.arkansas.gov/NPILookup?Npi=1265661987","1265661987")</f>
        <v>1265661987</v>
      </c>
      <c r="E35302" s="1" t="s">
        <v>14343</v>
      </c>
      <c r="F35302" s="62" t="s">
        <v>1</v>
      </c>
      <c r="G35302" s="2">
        <v>54321</v>
      </c>
      <c r="H35302" s="62" t="s">
        <v>37378</v>
      </c>
    </row>
    <row r="35303" spans="2:8" x14ac:dyDescent="0.25">
      <c r="B35303" s="1" t="s">
        <v>14337</v>
      </c>
      <c r="C35303" s="1" t="s">
        <v>14338</v>
      </c>
      <c r="D35303" s="22" t="str">
        <f>HYPERLINK("https://rhld.insurance.arkansas.gov/NPILookup?Npi=1265929087","1265929087")</f>
        <v>1265929087</v>
      </c>
      <c r="E35303" s="1" t="s">
        <v>14554</v>
      </c>
      <c r="F35303" s="62"/>
      <c r="G35303" s="2">
        <v>54321</v>
      </c>
      <c r="H35303" s="62"/>
    </row>
    <row r="35304" spans="2:8" x14ac:dyDescent="0.25">
      <c r="B35304" s="1" t="s">
        <v>14337</v>
      </c>
      <c r="C35304" s="1" t="s">
        <v>14338</v>
      </c>
      <c r="D35304" s="22" t="str">
        <f>HYPERLINK("https://rhld.insurance.arkansas.gov/NPILookup?Npi=1275074189","1275074189")</f>
        <v>1275074189</v>
      </c>
      <c r="E35304" s="1" t="s">
        <v>14555</v>
      </c>
      <c r="F35304" s="62"/>
      <c r="G35304" s="2">
        <v>54321</v>
      </c>
      <c r="H35304" s="62"/>
    </row>
    <row r="35305" spans="2:8" x14ac:dyDescent="0.25">
      <c r="B35305" s="1" t="s">
        <v>14337</v>
      </c>
      <c r="C35305" s="1" t="s">
        <v>14338</v>
      </c>
      <c r="D35305" s="22" t="str">
        <f>HYPERLINK("https://rhld.insurance.arkansas.gov/NPILookup?Npi=1275084865","1275084865")</f>
        <v>1275084865</v>
      </c>
      <c r="E35305" s="1" t="s">
        <v>14556</v>
      </c>
      <c r="F35305" s="62"/>
      <c r="G35305" s="2">
        <v>54321</v>
      </c>
      <c r="H35305" s="62"/>
    </row>
    <row r="35306" spans="2:8" x14ac:dyDescent="0.25">
      <c r="B35306" s="1" t="s">
        <v>14337</v>
      </c>
      <c r="C35306" s="1" t="s">
        <v>14338</v>
      </c>
      <c r="D35306" s="22" t="str">
        <f>HYPERLINK("https://rhld.insurance.arkansas.gov/NPILookup?Npi=1275528069","1275528069")</f>
        <v>1275528069</v>
      </c>
      <c r="E35306" s="1" t="s">
        <v>14557</v>
      </c>
      <c r="F35306" s="62"/>
      <c r="G35306" s="2">
        <v>54321</v>
      </c>
      <c r="H35306" s="62"/>
    </row>
    <row r="35307" spans="2:8" x14ac:dyDescent="0.25">
      <c r="B35307" s="1" t="s">
        <v>14337</v>
      </c>
      <c r="C35307" s="1" t="s">
        <v>14338</v>
      </c>
      <c r="D35307" s="22" t="str">
        <f>HYPERLINK("https://rhld.insurance.arkansas.gov/NPILookup?Npi=1275528390","1275528390")</f>
        <v>1275528390</v>
      </c>
      <c r="E35307" s="1" t="s">
        <v>14558</v>
      </c>
      <c r="F35307" s="62"/>
      <c r="G35307" s="2">
        <v>54321</v>
      </c>
      <c r="H35307" s="62"/>
    </row>
    <row r="35308" spans="2:8" x14ac:dyDescent="0.25">
      <c r="B35308" s="1" t="s">
        <v>14337</v>
      </c>
      <c r="C35308" s="1" t="s">
        <v>14338</v>
      </c>
      <c r="D35308" s="22" t="str">
        <f>HYPERLINK("https://rhld.insurance.arkansas.gov/NPILookup?Npi=1275534513","1275534513")</f>
        <v>1275534513</v>
      </c>
      <c r="E35308" s="1" t="s">
        <v>14559</v>
      </c>
      <c r="F35308" s="62"/>
      <c r="G35308" s="2">
        <v>54321</v>
      </c>
      <c r="H35308" s="62"/>
    </row>
    <row r="35309" spans="2:8" x14ac:dyDescent="0.25">
      <c r="B35309" s="1" t="s">
        <v>14337</v>
      </c>
      <c r="C35309" s="1" t="s">
        <v>14338</v>
      </c>
      <c r="D35309" s="22" t="str">
        <f>HYPERLINK("https://rhld.insurance.arkansas.gov/NPILookup?Npi=1275548828","1275548828")</f>
        <v>1275548828</v>
      </c>
      <c r="E35309" s="1" t="s">
        <v>14560</v>
      </c>
      <c r="F35309" s="62"/>
      <c r="G35309" s="2">
        <v>54321</v>
      </c>
      <c r="H35309" s="62"/>
    </row>
    <row r="35310" spans="2:8" x14ac:dyDescent="0.25">
      <c r="B35310" s="1" t="s">
        <v>14337</v>
      </c>
      <c r="C35310" s="1" t="s">
        <v>14338</v>
      </c>
      <c r="D35310" s="22" t="str">
        <f>HYPERLINK("https://rhld.insurance.arkansas.gov/NPILookup?Npi=1275567042","1275567042")</f>
        <v>1275567042</v>
      </c>
      <c r="E35310" s="1" t="s">
        <v>14344</v>
      </c>
      <c r="F35310" s="62"/>
      <c r="G35310" s="2">
        <v>54321</v>
      </c>
      <c r="H35310" s="62"/>
    </row>
    <row r="35311" spans="2:8" x14ac:dyDescent="0.25">
      <c r="B35311" s="1" t="s">
        <v>14337</v>
      </c>
      <c r="C35311" s="1" t="s">
        <v>14338</v>
      </c>
      <c r="D35311" s="22" t="str">
        <f>HYPERLINK("https://rhld.insurance.arkansas.gov/NPILookup?Npi=1275606907","1275606907")</f>
        <v>1275606907</v>
      </c>
      <c r="E35311" s="1" t="s">
        <v>14402</v>
      </c>
      <c r="F35311" s="62"/>
      <c r="G35311" s="2">
        <v>54321</v>
      </c>
      <c r="H35311" s="62"/>
    </row>
    <row r="35312" spans="2:8" x14ac:dyDescent="0.25">
      <c r="B35312" s="1" t="s">
        <v>14337</v>
      </c>
      <c r="C35312" s="1" t="s">
        <v>14338</v>
      </c>
      <c r="D35312" s="22" t="str">
        <f>HYPERLINK("https://rhld.insurance.arkansas.gov/NPILookup?Npi=1275612947","1275612947")</f>
        <v>1275612947</v>
      </c>
      <c r="E35312" s="1" t="s">
        <v>14561</v>
      </c>
      <c r="F35312" s="62"/>
      <c r="G35312" s="2">
        <v>54321</v>
      </c>
      <c r="H35312" s="62"/>
    </row>
    <row r="35313" spans="2:8" x14ac:dyDescent="0.25">
      <c r="B35313" s="1" t="s">
        <v>14337</v>
      </c>
      <c r="C35313" s="1" t="s">
        <v>14338</v>
      </c>
      <c r="D35313" s="22" t="str">
        <f>HYPERLINK("https://rhld.insurance.arkansas.gov/NPILookup?Npi=1275645269","1275645269")</f>
        <v>1275645269</v>
      </c>
      <c r="E35313" s="1" t="s">
        <v>14562</v>
      </c>
      <c r="F35313" s="62"/>
      <c r="G35313" s="2">
        <v>54321</v>
      </c>
      <c r="H35313" s="62"/>
    </row>
    <row r="35314" spans="2:8" x14ac:dyDescent="0.25">
      <c r="B35314" s="1" t="s">
        <v>14337</v>
      </c>
      <c r="C35314" s="1" t="s">
        <v>14338</v>
      </c>
      <c r="D35314" s="22" t="str">
        <f>HYPERLINK("https://rhld.insurance.arkansas.gov/NPILookup?Npi=1275755696","1275755696")</f>
        <v>1275755696</v>
      </c>
      <c r="E35314" s="1" t="s">
        <v>14563</v>
      </c>
      <c r="F35314" s="62"/>
      <c r="G35314" s="2">
        <v>54321</v>
      </c>
      <c r="H35314" s="62"/>
    </row>
    <row r="35315" spans="2:8" x14ac:dyDescent="0.25">
      <c r="B35315" s="1" t="s">
        <v>14337</v>
      </c>
      <c r="C35315" s="1" t="s">
        <v>14338</v>
      </c>
      <c r="D35315" s="22" t="str">
        <f>HYPERLINK("https://rhld.insurance.arkansas.gov/NPILookup?Npi=1275868234","1275868234")</f>
        <v>1275868234</v>
      </c>
      <c r="E35315" s="1" t="s">
        <v>14564</v>
      </c>
      <c r="F35315" s="62"/>
      <c r="G35315" s="2">
        <v>54321</v>
      </c>
      <c r="H35315" s="62"/>
    </row>
    <row r="35316" spans="2:8" x14ac:dyDescent="0.25">
      <c r="B35316" s="1" t="s">
        <v>14337</v>
      </c>
      <c r="C35316" s="1" t="s">
        <v>14338</v>
      </c>
      <c r="D35316" s="22" t="str">
        <f>HYPERLINK("https://rhld.insurance.arkansas.gov/NPILookup?Npi=1275879389","1275879389")</f>
        <v>1275879389</v>
      </c>
      <c r="E35316" s="1" t="s">
        <v>14565</v>
      </c>
      <c r="F35316" s="62"/>
      <c r="G35316" s="2">
        <v>54321</v>
      </c>
      <c r="H35316" s="62"/>
    </row>
    <row r="35317" spans="2:8" x14ac:dyDescent="0.25">
      <c r="B35317" s="1" t="s">
        <v>14337</v>
      </c>
      <c r="C35317" s="1" t="s">
        <v>14338</v>
      </c>
      <c r="D35317" s="22" t="str">
        <f>HYPERLINK("https://rhld.insurance.arkansas.gov/NPILookup?Npi=1285070409","1285070409")</f>
        <v>1285070409</v>
      </c>
      <c r="E35317" s="1" t="s">
        <v>14566</v>
      </c>
      <c r="F35317" s="62"/>
      <c r="G35317" s="2">
        <v>54321</v>
      </c>
      <c r="H35317" s="62"/>
    </row>
    <row r="35318" spans="2:8" x14ac:dyDescent="0.25">
      <c r="B35318" s="1" t="s">
        <v>14337</v>
      </c>
      <c r="C35318" s="1" t="s">
        <v>14338</v>
      </c>
      <c r="D35318" s="22" t="str">
        <f>HYPERLINK("https://rhld.insurance.arkansas.gov/NPILookup?Npi=1285167502","1285167502")</f>
        <v>1285167502</v>
      </c>
      <c r="E35318" s="1" t="s">
        <v>14567</v>
      </c>
      <c r="F35318" s="62"/>
      <c r="G35318" s="2">
        <v>54321</v>
      </c>
      <c r="H35318" s="62"/>
    </row>
    <row r="35319" spans="2:8" x14ac:dyDescent="0.25">
      <c r="B35319" s="1" t="s">
        <v>14337</v>
      </c>
      <c r="C35319" s="1" t="s">
        <v>14338</v>
      </c>
      <c r="D35319" s="22" t="str">
        <f>HYPERLINK("https://rhld.insurance.arkansas.gov/NPILookup?Npi=1285230201","1285230201")</f>
        <v>1285230201</v>
      </c>
      <c r="E35319" s="1" t="s">
        <v>14568</v>
      </c>
      <c r="F35319" s="62" t="s">
        <v>1</v>
      </c>
      <c r="G35319" s="2">
        <v>54321</v>
      </c>
      <c r="H35319" s="62" t="s">
        <v>37378</v>
      </c>
    </row>
    <row r="35320" spans="2:8" x14ac:dyDescent="0.25">
      <c r="B35320" s="1" t="s">
        <v>14337</v>
      </c>
      <c r="C35320" s="1" t="s">
        <v>14338</v>
      </c>
      <c r="D35320" s="22" t="str">
        <f>HYPERLINK("https://rhld.insurance.arkansas.gov/NPILookup?Npi=1285283507","1285283507")</f>
        <v>1285283507</v>
      </c>
      <c r="E35320" s="1" t="s">
        <v>14569</v>
      </c>
      <c r="F35320" s="62"/>
      <c r="G35320" s="2">
        <v>54321</v>
      </c>
      <c r="H35320" s="62"/>
    </row>
    <row r="35321" spans="2:8" x14ac:dyDescent="0.25">
      <c r="B35321" s="1" t="s">
        <v>14337</v>
      </c>
      <c r="C35321" s="1" t="s">
        <v>14338</v>
      </c>
      <c r="D35321" s="22" t="str">
        <f>HYPERLINK("https://rhld.insurance.arkansas.gov/NPILookup?Npi=1285349530","1285349530")</f>
        <v>1285349530</v>
      </c>
      <c r="E35321" s="1" t="s">
        <v>14570</v>
      </c>
      <c r="F35321" s="62"/>
      <c r="G35321" s="2">
        <v>54321</v>
      </c>
      <c r="H35321" s="62"/>
    </row>
    <row r="35322" spans="2:8" x14ac:dyDescent="0.25">
      <c r="B35322" s="1" t="s">
        <v>14337</v>
      </c>
      <c r="C35322" s="1" t="s">
        <v>14338</v>
      </c>
      <c r="D35322" s="22" t="str">
        <f>HYPERLINK("https://rhld.insurance.arkansas.gov/NPILookup?Npi=1285641282","1285641282")</f>
        <v>1285641282</v>
      </c>
      <c r="E35322" s="1" t="s">
        <v>14343</v>
      </c>
      <c r="F35322" s="62"/>
      <c r="G35322" s="2">
        <v>54321</v>
      </c>
      <c r="H35322" s="62"/>
    </row>
    <row r="35323" spans="2:8" x14ac:dyDescent="0.25">
      <c r="B35323" s="1" t="s">
        <v>14337</v>
      </c>
      <c r="C35323" s="1" t="s">
        <v>14338</v>
      </c>
      <c r="D35323" s="22" t="str">
        <f>HYPERLINK("https://rhld.insurance.arkansas.gov/NPILookup?Npi=1285649285","1285649285")</f>
        <v>1285649285</v>
      </c>
      <c r="E35323" s="1" t="s">
        <v>14343</v>
      </c>
      <c r="F35323" s="62"/>
      <c r="G35323" s="2">
        <v>54321</v>
      </c>
      <c r="H35323" s="62"/>
    </row>
    <row r="35324" spans="2:8" x14ac:dyDescent="0.25">
      <c r="B35324" s="1" t="s">
        <v>14337</v>
      </c>
      <c r="C35324" s="1" t="s">
        <v>14338</v>
      </c>
      <c r="D35324" s="22" t="str">
        <f>HYPERLINK("https://rhld.insurance.arkansas.gov/NPILookup?Npi=1285649541","1285649541")</f>
        <v>1285649541</v>
      </c>
      <c r="E35324" s="1" t="s">
        <v>14571</v>
      </c>
      <c r="F35324" s="62"/>
      <c r="G35324" s="2">
        <v>54321</v>
      </c>
      <c r="H35324" s="62"/>
    </row>
    <row r="35325" spans="2:8" x14ac:dyDescent="0.25">
      <c r="B35325" s="1" t="s">
        <v>14337</v>
      </c>
      <c r="C35325" s="1" t="s">
        <v>14338</v>
      </c>
      <c r="D35325" s="22" t="str">
        <f>HYPERLINK("https://rhld.insurance.arkansas.gov/NPILookup?Npi=1285653261","1285653261")</f>
        <v>1285653261</v>
      </c>
      <c r="E35325" s="1" t="s">
        <v>14352</v>
      </c>
      <c r="F35325" s="62"/>
      <c r="G35325" s="2">
        <v>54321</v>
      </c>
      <c r="H35325" s="62"/>
    </row>
    <row r="35326" spans="2:8" x14ac:dyDescent="0.25">
      <c r="B35326" s="1" t="s">
        <v>14337</v>
      </c>
      <c r="C35326" s="1" t="s">
        <v>14338</v>
      </c>
      <c r="D35326" s="22" t="str">
        <f>HYPERLINK("https://rhld.insurance.arkansas.gov/NPILookup?Npi=1285668913","1285668913")</f>
        <v>1285668913</v>
      </c>
      <c r="E35326" s="1" t="s">
        <v>14344</v>
      </c>
      <c r="F35326" s="62"/>
      <c r="G35326" s="2">
        <v>54321</v>
      </c>
      <c r="H35326" s="62"/>
    </row>
    <row r="35327" spans="2:8" x14ac:dyDescent="0.25">
      <c r="B35327" s="1" t="s">
        <v>14337</v>
      </c>
      <c r="C35327" s="1" t="s">
        <v>14338</v>
      </c>
      <c r="D35327" s="22" t="str">
        <f>HYPERLINK("https://rhld.insurance.arkansas.gov/NPILookup?Npi=1285706069","1285706069")</f>
        <v>1285706069</v>
      </c>
      <c r="E35327" s="1" t="s">
        <v>14540</v>
      </c>
      <c r="F35327" s="62"/>
      <c r="G35327" s="2">
        <v>54321</v>
      </c>
      <c r="H35327" s="62"/>
    </row>
    <row r="35328" spans="2:8" x14ac:dyDescent="0.25">
      <c r="B35328" s="1" t="s">
        <v>14337</v>
      </c>
      <c r="C35328" s="1" t="s">
        <v>14338</v>
      </c>
      <c r="D35328" s="22" t="str">
        <f>HYPERLINK("https://rhld.insurance.arkansas.gov/NPILookup?Npi=1285734954","1285734954")</f>
        <v>1285734954</v>
      </c>
      <c r="E35328" s="1" t="s">
        <v>14572</v>
      </c>
      <c r="F35328" s="62"/>
      <c r="G35328" s="2">
        <v>54321</v>
      </c>
      <c r="H35328" s="62"/>
    </row>
    <row r="35329" spans="2:8" x14ac:dyDescent="0.25">
      <c r="B35329" s="1" t="s">
        <v>14337</v>
      </c>
      <c r="C35329" s="1" t="s">
        <v>14338</v>
      </c>
      <c r="D35329" s="22" t="str">
        <f>HYPERLINK("https://rhld.insurance.arkansas.gov/NPILookup?Npi=1295035327","1295035327")</f>
        <v>1295035327</v>
      </c>
      <c r="E35329" s="1" t="s">
        <v>14573</v>
      </c>
      <c r="F35329" s="62"/>
      <c r="G35329" s="2">
        <v>54321</v>
      </c>
      <c r="H35329" s="62"/>
    </row>
    <row r="35330" spans="2:8" x14ac:dyDescent="0.25">
      <c r="B35330" s="1" t="s">
        <v>14337</v>
      </c>
      <c r="C35330" s="1" t="s">
        <v>14338</v>
      </c>
      <c r="D35330" s="22" t="str">
        <f>HYPERLINK("https://rhld.insurance.arkansas.gov/NPILookup?Npi=1295173946","1295173946")</f>
        <v>1295173946</v>
      </c>
      <c r="E35330" s="1" t="s">
        <v>14422</v>
      </c>
      <c r="F35330" s="62"/>
      <c r="G35330" s="2">
        <v>54321</v>
      </c>
      <c r="H35330" s="62"/>
    </row>
    <row r="35331" spans="2:8" x14ac:dyDescent="0.25">
      <c r="B35331" s="1" t="s">
        <v>14337</v>
      </c>
      <c r="C35331" s="1" t="s">
        <v>14338</v>
      </c>
      <c r="D35331" s="22" t="str">
        <f>HYPERLINK("https://rhld.insurance.arkansas.gov/NPILookup?Npi=1295296614","1295296614")</f>
        <v>1295296614</v>
      </c>
      <c r="E35331" s="1" t="s">
        <v>14574</v>
      </c>
      <c r="F35331" s="62" t="s">
        <v>1</v>
      </c>
      <c r="G35331" s="2">
        <v>54321</v>
      </c>
      <c r="H35331" s="62" t="s">
        <v>37380</v>
      </c>
    </row>
    <row r="35332" spans="2:8" x14ac:dyDescent="0.25">
      <c r="B35332" s="1" t="s">
        <v>14337</v>
      </c>
      <c r="C35332" s="1" t="s">
        <v>14338</v>
      </c>
      <c r="D35332" s="22" t="str">
        <f>HYPERLINK("https://rhld.insurance.arkansas.gov/NPILookup?Npi=1295318418","1295318418")</f>
        <v>1295318418</v>
      </c>
      <c r="E35332" s="1" t="s">
        <v>14575</v>
      </c>
      <c r="F35332" s="62"/>
      <c r="G35332" s="2">
        <v>54321</v>
      </c>
      <c r="H35332" s="62"/>
    </row>
    <row r="35333" spans="2:8" x14ac:dyDescent="0.25">
      <c r="B35333" s="1" t="s">
        <v>14337</v>
      </c>
      <c r="C35333" s="1" t="s">
        <v>14338</v>
      </c>
      <c r="D35333" s="22" t="str">
        <f>HYPERLINK("https://rhld.insurance.arkansas.gov/NPILookup?Npi=1295447712","1295447712")</f>
        <v>1295447712</v>
      </c>
      <c r="E35333" s="1" t="s">
        <v>14576</v>
      </c>
      <c r="F35333" s="62"/>
      <c r="G35333" s="2">
        <v>54321</v>
      </c>
      <c r="H35333" s="62"/>
    </row>
    <row r="35334" spans="2:8" x14ac:dyDescent="0.25">
      <c r="B35334" s="1" t="s">
        <v>14337</v>
      </c>
      <c r="C35334" s="1" t="s">
        <v>14338</v>
      </c>
      <c r="D35334" s="22" t="str">
        <f>HYPERLINK("https://rhld.insurance.arkansas.gov/NPILookup?Npi=1295732717","1295732717")</f>
        <v>1295732717</v>
      </c>
      <c r="E35334" s="1" t="s">
        <v>14577</v>
      </c>
      <c r="F35334" s="62"/>
      <c r="G35334" s="2">
        <v>54321</v>
      </c>
      <c r="H35334" s="62"/>
    </row>
    <row r="35335" spans="2:8" x14ac:dyDescent="0.25">
      <c r="B35335" s="1" t="s">
        <v>14337</v>
      </c>
      <c r="C35335" s="1" t="s">
        <v>14338</v>
      </c>
      <c r="D35335" s="22" t="str">
        <f>HYPERLINK("https://rhld.insurance.arkansas.gov/NPILookup?Npi=1295769925","1295769925")</f>
        <v>1295769925</v>
      </c>
      <c r="E35335" s="1" t="s">
        <v>14344</v>
      </c>
      <c r="F35335" s="62"/>
      <c r="G35335" s="2">
        <v>54321</v>
      </c>
      <c r="H35335" s="62"/>
    </row>
    <row r="35336" spans="2:8" x14ac:dyDescent="0.25">
      <c r="B35336" s="1" t="s">
        <v>14337</v>
      </c>
      <c r="C35336" s="1" t="s">
        <v>14338</v>
      </c>
      <c r="D35336" s="22" t="str">
        <f>HYPERLINK("https://rhld.insurance.arkansas.gov/NPILookup?Npi=1295831899","1295831899")</f>
        <v>1295831899</v>
      </c>
      <c r="E35336" s="1" t="s">
        <v>14578</v>
      </c>
      <c r="F35336" s="62"/>
      <c r="G35336" s="2">
        <v>54321</v>
      </c>
      <c r="H35336" s="62"/>
    </row>
    <row r="35337" spans="2:8" x14ac:dyDescent="0.25">
      <c r="B35337" s="1" t="s">
        <v>14337</v>
      </c>
      <c r="C35337" s="1" t="s">
        <v>14338</v>
      </c>
      <c r="D35337" s="22" t="str">
        <f>HYPERLINK("https://rhld.insurance.arkansas.gov/NPILookup?Npi=1295875029","1295875029")</f>
        <v>1295875029</v>
      </c>
      <c r="E35337" s="1" t="s">
        <v>14579</v>
      </c>
      <c r="F35337" s="62"/>
      <c r="G35337" s="2">
        <v>54321</v>
      </c>
      <c r="H35337" s="62"/>
    </row>
    <row r="35338" spans="2:8" x14ac:dyDescent="0.25">
      <c r="B35338" s="1" t="s">
        <v>14337</v>
      </c>
      <c r="C35338" s="1" t="s">
        <v>14338</v>
      </c>
      <c r="D35338" s="22" t="str">
        <f>HYPERLINK("https://rhld.insurance.arkansas.gov/NPILookup?Npi=1295895274","1295895274")</f>
        <v>1295895274</v>
      </c>
      <c r="E35338" s="1" t="s">
        <v>14344</v>
      </c>
      <c r="F35338" s="62"/>
      <c r="G35338" s="2">
        <v>54321</v>
      </c>
      <c r="H35338" s="62"/>
    </row>
    <row r="35339" spans="2:8" x14ac:dyDescent="0.25">
      <c r="B35339" s="1" t="s">
        <v>14337</v>
      </c>
      <c r="C35339" s="1" t="s">
        <v>14338</v>
      </c>
      <c r="D35339" s="22" t="str">
        <f>HYPERLINK("https://rhld.insurance.arkansas.gov/NPILookup?Npi=1295952182","1295952182")</f>
        <v>1295952182</v>
      </c>
      <c r="E35339" s="1" t="s">
        <v>14580</v>
      </c>
      <c r="F35339" s="62"/>
      <c r="G35339" s="2">
        <v>54321</v>
      </c>
      <c r="H35339" s="62"/>
    </row>
    <row r="35340" spans="2:8" x14ac:dyDescent="0.25">
      <c r="B35340" s="1" t="s">
        <v>14337</v>
      </c>
      <c r="C35340" s="1" t="s">
        <v>14338</v>
      </c>
      <c r="D35340" s="22" t="str">
        <f>HYPERLINK("https://rhld.insurance.arkansas.gov/NPILookup?Npi=1295964047","1295964047")</f>
        <v>1295964047</v>
      </c>
      <c r="E35340" s="1" t="s">
        <v>14581</v>
      </c>
      <c r="F35340" s="62"/>
      <c r="G35340" s="2">
        <v>54321</v>
      </c>
      <c r="H35340" s="62"/>
    </row>
    <row r="35341" spans="2:8" x14ac:dyDescent="0.25">
      <c r="B35341" s="1" t="s">
        <v>14337</v>
      </c>
      <c r="C35341" s="1" t="s">
        <v>14338</v>
      </c>
      <c r="D35341" s="22" t="str">
        <f>HYPERLINK("https://rhld.insurance.arkansas.gov/NPILookup?Npi=1306096615","1306096615")</f>
        <v>1306096615</v>
      </c>
      <c r="E35341" s="1" t="s">
        <v>14359</v>
      </c>
      <c r="F35341" s="62"/>
      <c r="G35341" s="2">
        <v>54321</v>
      </c>
      <c r="H35341" s="62"/>
    </row>
    <row r="35342" spans="2:8" x14ac:dyDescent="0.25">
      <c r="B35342" s="1" t="s">
        <v>14337</v>
      </c>
      <c r="C35342" s="1" t="s">
        <v>14338</v>
      </c>
      <c r="D35342" s="22" t="str">
        <f>HYPERLINK("https://rhld.insurance.arkansas.gov/NPILookup?Npi=1306418363","1306418363")</f>
        <v>1306418363</v>
      </c>
      <c r="E35342" s="1" t="s">
        <v>14582</v>
      </c>
      <c r="F35342" s="62"/>
      <c r="G35342" s="2">
        <v>54321</v>
      </c>
      <c r="H35342" s="62"/>
    </row>
    <row r="35343" spans="2:8" x14ac:dyDescent="0.25">
      <c r="B35343" s="1" t="s">
        <v>14337</v>
      </c>
      <c r="C35343" s="1" t="s">
        <v>14338</v>
      </c>
      <c r="D35343" s="22" t="str">
        <f>HYPERLINK("https://rhld.insurance.arkansas.gov/NPILookup?Npi=1306824990","1306824990")</f>
        <v>1306824990</v>
      </c>
      <c r="E35343" s="1" t="s">
        <v>14583</v>
      </c>
      <c r="F35343" s="62"/>
      <c r="G35343" s="2">
        <v>54321</v>
      </c>
      <c r="H35343" s="62"/>
    </row>
    <row r="35344" spans="2:8" x14ac:dyDescent="0.25">
      <c r="B35344" s="1" t="s">
        <v>14337</v>
      </c>
      <c r="C35344" s="1" t="s">
        <v>14338</v>
      </c>
      <c r="D35344" s="22" t="str">
        <f>HYPERLINK("https://rhld.insurance.arkansas.gov/NPILookup?Npi=1306852058","1306852058")</f>
        <v>1306852058</v>
      </c>
      <c r="E35344" s="1" t="s">
        <v>14584</v>
      </c>
      <c r="F35344" s="62" t="s">
        <v>1</v>
      </c>
      <c r="G35344" s="2">
        <v>54321</v>
      </c>
      <c r="H35344" s="62" t="s">
        <v>37378</v>
      </c>
    </row>
    <row r="35345" spans="2:8" x14ac:dyDescent="0.25">
      <c r="B35345" s="1" t="s">
        <v>14337</v>
      </c>
      <c r="C35345" s="1" t="s">
        <v>14338</v>
      </c>
      <c r="D35345" s="22" t="str">
        <f>HYPERLINK("https://rhld.insurance.arkansas.gov/NPILookup?Npi=1306863410","1306863410")</f>
        <v>1306863410</v>
      </c>
      <c r="E35345" s="1" t="s">
        <v>14355</v>
      </c>
      <c r="F35345" s="62"/>
      <c r="G35345" s="2">
        <v>54321</v>
      </c>
      <c r="H35345" s="62"/>
    </row>
    <row r="35346" spans="2:8" x14ac:dyDescent="0.25">
      <c r="B35346" s="1" t="s">
        <v>14337</v>
      </c>
      <c r="C35346" s="1" t="s">
        <v>14338</v>
      </c>
      <c r="D35346" s="22" t="str">
        <f>HYPERLINK("https://rhld.insurance.arkansas.gov/NPILookup?Npi=1306901731","1306901731")</f>
        <v>1306901731</v>
      </c>
      <c r="E35346" s="1" t="s">
        <v>14585</v>
      </c>
      <c r="F35346" s="62"/>
      <c r="G35346" s="2">
        <v>54321</v>
      </c>
      <c r="H35346" s="62"/>
    </row>
    <row r="35347" spans="2:8" x14ac:dyDescent="0.25">
      <c r="B35347" s="1" t="s">
        <v>14337</v>
      </c>
      <c r="C35347" s="1" t="s">
        <v>14338</v>
      </c>
      <c r="D35347" s="22" t="str">
        <f>HYPERLINK("https://rhld.insurance.arkansas.gov/NPILookup?Npi=1306946744","1306946744")</f>
        <v>1306946744</v>
      </c>
      <c r="E35347" s="1" t="s">
        <v>14422</v>
      </c>
      <c r="F35347" s="62"/>
      <c r="G35347" s="2">
        <v>54321</v>
      </c>
      <c r="H35347" s="62"/>
    </row>
    <row r="35348" spans="2:8" x14ac:dyDescent="0.25">
      <c r="B35348" s="1" t="s">
        <v>14337</v>
      </c>
      <c r="C35348" s="1" t="s">
        <v>14338</v>
      </c>
      <c r="D35348" s="22" t="str">
        <f>HYPERLINK("https://rhld.insurance.arkansas.gov/NPILookup?Npi=1306965512","1306965512")</f>
        <v>1306965512</v>
      </c>
      <c r="E35348" s="1" t="s">
        <v>14586</v>
      </c>
      <c r="F35348" s="62"/>
      <c r="G35348" s="2">
        <v>54321</v>
      </c>
      <c r="H35348" s="62"/>
    </row>
    <row r="35349" spans="2:8" x14ac:dyDescent="0.25">
      <c r="B35349" s="1" t="s">
        <v>14337</v>
      </c>
      <c r="C35349" s="1" t="s">
        <v>14338</v>
      </c>
      <c r="D35349" s="22" t="str">
        <f>HYPERLINK("https://rhld.insurance.arkansas.gov/NPILookup?Npi=1316037237","1316037237")</f>
        <v>1316037237</v>
      </c>
      <c r="E35349" s="1" t="s">
        <v>14587</v>
      </c>
      <c r="F35349" s="62"/>
      <c r="G35349" s="2">
        <v>54321</v>
      </c>
      <c r="H35349" s="62"/>
    </row>
    <row r="35350" spans="2:8" x14ac:dyDescent="0.25">
      <c r="B35350" s="1" t="s">
        <v>14337</v>
      </c>
      <c r="C35350" s="1" t="s">
        <v>14338</v>
      </c>
      <c r="D35350" s="22" t="str">
        <f>HYPERLINK("https://rhld.insurance.arkansas.gov/NPILookup?Npi=1316051386","1316051386")</f>
        <v>1316051386</v>
      </c>
      <c r="E35350" s="1" t="s">
        <v>14501</v>
      </c>
      <c r="F35350" s="62"/>
      <c r="G35350" s="2">
        <v>54321</v>
      </c>
      <c r="H35350" s="62"/>
    </row>
    <row r="35351" spans="2:8" x14ac:dyDescent="0.25">
      <c r="B35351" s="1" t="s">
        <v>14337</v>
      </c>
      <c r="C35351" s="1" t="s">
        <v>14338</v>
      </c>
      <c r="D35351" s="22" t="str">
        <f>HYPERLINK("https://rhld.insurance.arkansas.gov/NPILookup?Npi=1316073059","1316073059")</f>
        <v>1316073059</v>
      </c>
      <c r="E35351" s="1" t="s">
        <v>14588</v>
      </c>
      <c r="F35351" s="62"/>
      <c r="G35351" s="2">
        <v>54321</v>
      </c>
      <c r="H35351" s="62"/>
    </row>
    <row r="35352" spans="2:8" x14ac:dyDescent="0.25">
      <c r="B35352" s="1" t="s">
        <v>14337</v>
      </c>
      <c r="C35352" s="1" t="s">
        <v>14338</v>
      </c>
      <c r="D35352" s="22" t="str">
        <f>HYPERLINK("https://rhld.insurance.arkansas.gov/NPILookup?Npi=1316251432","1316251432")</f>
        <v>1316251432</v>
      </c>
      <c r="E35352" s="1" t="s">
        <v>14589</v>
      </c>
      <c r="F35352" s="62"/>
      <c r="G35352" s="2">
        <v>54321</v>
      </c>
      <c r="H35352" s="62"/>
    </row>
    <row r="35353" spans="2:8" x14ac:dyDescent="0.25">
      <c r="B35353" s="1" t="s">
        <v>14337</v>
      </c>
      <c r="C35353" s="1" t="s">
        <v>14338</v>
      </c>
      <c r="D35353" s="22" t="str">
        <f>HYPERLINK("https://rhld.insurance.arkansas.gov/NPILookup?Npi=1316315674","1316315674")</f>
        <v>1316315674</v>
      </c>
      <c r="E35353" s="1" t="s">
        <v>14590</v>
      </c>
      <c r="F35353" s="62"/>
      <c r="G35353" s="2">
        <v>54321</v>
      </c>
      <c r="H35353" s="62"/>
    </row>
    <row r="35354" spans="2:8" x14ac:dyDescent="0.25">
      <c r="B35354" s="1" t="s">
        <v>14337</v>
      </c>
      <c r="C35354" s="1" t="s">
        <v>14338</v>
      </c>
      <c r="D35354" s="22" t="str">
        <f>HYPERLINK("https://rhld.insurance.arkansas.gov/NPILookup?Npi=1316472384","1316472384")</f>
        <v>1316472384</v>
      </c>
      <c r="E35354" s="1" t="s">
        <v>14591</v>
      </c>
      <c r="F35354" s="62"/>
      <c r="G35354" s="2">
        <v>54321</v>
      </c>
      <c r="H35354" s="62"/>
    </row>
    <row r="35355" spans="2:8" x14ac:dyDescent="0.25">
      <c r="B35355" s="1" t="s">
        <v>14337</v>
      </c>
      <c r="C35355" s="1" t="s">
        <v>14338</v>
      </c>
      <c r="D35355" s="22" t="str">
        <f>HYPERLINK("https://rhld.insurance.arkansas.gov/NPILookup?Npi=1316902414","1316902414")</f>
        <v>1316902414</v>
      </c>
      <c r="E35355" s="1" t="s">
        <v>15153</v>
      </c>
      <c r="F35355" s="62" t="s">
        <v>1</v>
      </c>
      <c r="G35355" s="2">
        <v>54321</v>
      </c>
      <c r="H35355" s="62" t="s">
        <v>37379</v>
      </c>
    </row>
    <row r="35356" spans="2:8" x14ac:dyDescent="0.25">
      <c r="B35356" s="1" t="s">
        <v>14337</v>
      </c>
      <c r="C35356" s="1" t="s">
        <v>14338</v>
      </c>
      <c r="D35356" s="22" t="str">
        <f>HYPERLINK("https://rhld.insurance.arkansas.gov/NPILookup?Npi=1316922487","1316922487")</f>
        <v>1316922487</v>
      </c>
      <c r="E35356" s="1" t="s">
        <v>14592</v>
      </c>
      <c r="F35356" s="62"/>
      <c r="G35356" s="2">
        <v>54321</v>
      </c>
      <c r="H35356" s="62"/>
    </row>
    <row r="35357" spans="2:8" x14ac:dyDescent="0.25">
      <c r="B35357" s="1" t="s">
        <v>14337</v>
      </c>
      <c r="C35357" s="1" t="s">
        <v>14338</v>
      </c>
      <c r="D35357" s="22" t="str">
        <f>HYPERLINK("https://rhld.insurance.arkansas.gov/NPILookup?Npi=1316954324","1316954324")</f>
        <v>1316954324</v>
      </c>
      <c r="E35357" s="1" t="s">
        <v>14343</v>
      </c>
      <c r="F35357" s="62"/>
      <c r="G35357" s="2">
        <v>54321</v>
      </c>
      <c r="H35357" s="62"/>
    </row>
    <row r="35358" spans="2:8" x14ac:dyDescent="0.25">
      <c r="B35358" s="1" t="s">
        <v>14337</v>
      </c>
      <c r="C35358" s="1" t="s">
        <v>14338</v>
      </c>
      <c r="D35358" s="22" t="str">
        <f>HYPERLINK("https://rhld.insurance.arkansas.gov/NPILookup?Npi=1316964711","1316964711")</f>
        <v>1316964711</v>
      </c>
      <c r="E35358" s="1" t="s">
        <v>14352</v>
      </c>
      <c r="F35358" s="62"/>
      <c r="G35358" s="2">
        <v>54321</v>
      </c>
      <c r="H35358" s="62"/>
    </row>
    <row r="35359" spans="2:8" x14ac:dyDescent="0.25">
      <c r="B35359" s="1" t="s">
        <v>14337</v>
      </c>
      <c r="C35359" s="1" t="s">
        <v>14338</v>
      </c>
      <c r="D35359" s="22" t="str">
        <f>HYPERLINK("https://rhld.insurance.arkansas.gov/NPILookup?Npi=1316969199","1316969199")</f>
        <v>1316969199</v>
      </c>
      <c r="E35359" s="1" t="s">
        <v>14359</v>
      </c>
      <c r="F35359" s="62"/>
      <c r="G35359" s="2">
        <v>54321</v>
      </c>
      <c r="H35359" s="62"/>
    </row>
    <row r="35360" spans="2:8" x14ac:dyDescent="0.25">
      <c r="B35360" s="1" t="s">
        <v>14337</v>
      </c>
      <c r="C35360" s="1" t="s">
        <v>14338</v>
      </c>
      <c r="D35360" s="22" t="str">
        <f>HYPERLINK("https://rhld.insurance.arkansas.gov/NPILookup?Npi=1316971161","1316971161")</f>
        <v>1316971161</v>
      </c>
      <c r="E35360" s="1" t="s">
        <v>14344</v>
      </c>
      <c r="F35360" s="62"/>
      <c r="G35360" s="2">
        <v>54321</v>
      </c>
      <c r="H35360" s="62"/>
    </row>
    <row r="35361" spans="2:8" x14ac:dyDescent="0.25">
      <c r="B35361" s="1" t="s">
        <v>14337</v>
      </c>
      <c r="C35361" s="1" t="s">
        <v>14338</v>
      </c>
      <c r="D35361" s="22" t="str">
        <f>HYPERLINK("https://rhld.insurance.arkansas.gov/NPILookup?Npi=1326015371","1326015371")</f>
        <v>1326015371</v>
      </c>
      <c r="E35361" s="1" t="s">
        <v>14593</v>
      </c>
      <c r="F35361" s="62"/>
      <c r="G35361" s="2">
        <v>54321</v>
      </c>
      <c r="H35361" s="62"/>
    </row>
    <row r="35362" spans="2:8" x14ac:dyDescent="0.25">
      <c r="B35362" s="1" t="s">
        <v>14337</v>
      </c>
      <c r="C35362" s="1" t="s">
        <v>14338</v>
      </c>
      <c r="D35362" s="22" t="str">
        <f>HYPERLINK("https://rhld.insurance.arkansas.gov/NPILookup?Npi=1326065715","1326065715")</f>
        <v>1326065715</v>
      </c>
      <c r="E35362" s="1" t="s">
        <v>14352</v>
      </c>
      <c r="F35362" s="62"/>
      <c r="G35362" s="2">
        <v>54321</v>
      </c>
      <c r="H35362" s="62"/>
    </row>
    <row r="35363" spans="2:8" x14ac:dyDescent="0.25">
      <c r="B35363" s="1" t="s">
        <v>14337</v>
      </c>
      <c r="C35363" s="1" t="s">
        <v>14338</v>
      </c>
      <c r="D35363" s="22" t="str">
        <f>HYPERLINK("https://rhld.insurance.arkansas.gov/NPILookup?Npi=1326065723","1326065723")</f>
        <v>1326065723</v>
      </c>
      <c r="E35363" s="1" t="s">
        <v>14352</v>
      </c>
      <c r="F35363" s="62"/>
      <c r="G35363" s="2">
        <v>54321</v>
      </c>
      <c r="H35363" s="62"/>
    </row>
    <row r="35364" spans="2:8" x14ac:dyDescent="0.25">
      <c r="B35364" s="1" t="s">
        <v>14337</v>
      </c>
      <c r="C35364" s="1" t="s">
        <v>14338</v>
      </c>
      <c r="D35364" s="22" t="str">
        <f>HYPERLINK("https://rhld.insurance.arkansas.gov/NPILookup?Npi=1326072174","1326072174")</f>
        <v>1326072174</v>
      </c>
      <c r="E35364" s="1" t="s">
        <v>14344</v>
      </c>
      <c r="F35364" s="62"/>
      <c r="G35364" s="2">
        <v>54321</v>
      </c>
      <c r="H35364" s="62"/>
    </row>
    <row r="35365" spans="2:8" x14ac:dyDescent="0.25">
      <c r="B35365" s="1" t="s">
        <v>14337</v>
      </c>
      <c r="C35365" s="1" t="s">
        <v>14338</v>
      </c>
      <c r="D35365" s="22" t="str">
        <f>HYPERLINK("https://rhld.insurance.arkansas.gov/NPILookup?Npi=1326148644","1326148644")</f>
        <v>1326148644</v>
      </c>
      <c r="E35365" s="1" t="s">
        <v>14594</v>
      </c>
      <c r="F35365" s="62"/>
      <c r="G35365" s="2">
        <v>54321</v>
      </c>
      <c r="H35365" s="62"/>
    </row>
    <row r="35366" spans="2:8" x14ac:dyDescent="0.25">
      <c r="B35366" s="1" t="s">
        <v>14337</v>
      </c>
      <c r="C35366" s="1" t="s">
        <v>14338</v>
      </c>
      <c r="D35366" s="22" t="str">
        <f>HYPERLINK("https://rhld.insurance.arkansas.gov/NPILookup?Npi=1326408196","1326408196")</f>
        <v>1326408196</v>
      </c>
      <c r="E35366" s="1" t="s">
        <v>14355</v>
      </c>
      <c r="F35366" s="62"/>
      <c r="G35366" s="2">
        <v>54321</v>
      </c>
      <c r="H35366" s="62"/>
    </row>
    <row r="35367" spans="2:8" x14ac:dyDescent="0.25">
      <c r="B35367" s="1" t="s">
        <v>14337</v>
      </c>
      <c r="C35367" s="1" t="s">
        <v>14338</v>
      </c>
      <c r="D35367" s="22" t="str">
        <f>HYPERLINK("https://rhld.insurance.arkansas.gov/NPILookup?Npi=1326426768","1326426768")</f>
        <v>1326426768</v>
      </c>
      <c r="E35367" s="1" t="s">
        <v>14355</v>
      </c>
      <c r="F35367" s="62"/>
      <c r="G35367" s="2">
        <v>54321</v>
      </c>
      <c r="H35367" s="62"/>
    </row>
    <row r="35368" spans="2:8" x14ac:dyDescent="0.25">
      <c r="B35368" s="1" t="s">
        <v>14337</v>
      </c>
      <c r="C35368" s="1" t="s">
        <v>14338</v>
      </c>
      <c r="D35368" s="22" t="str">
        <f>HYPERLINK("https://rhld.insurance.arkansas.gov/NPILookup?Npi=1326674870","1326674870")</f>
        <v>1326674870</v>
      </c>
      <c r="E35368" s="1" t="s">
        <v>14595</v>
      </c>
      <c r="F35368" s="62"/>
      <c r="G35368" s="2">
        <v>54321</v>
      </c>
      <c r="H35368" s="62"/>
    </row>
    <row r="35369" spans="2:8" x14ac:dyDescent="0.25">
      <c r="B35369" s="1" t="s">
        <v>14337</v>
      </c>
      <c r="C35369" s="1" t="s">
        <v>14338</v>
      </c>
      <c r="D35369" s="22" t="str">
        <f>HYPERLINK("https://rhld.insurance.arkansas.gov/NPILookup?Npi=1326739749","1326739749")</f>
        <v>1326739749</v>
      </c>
      <c r="E35369" s="1" t="s">
        <v>14596</v>
      </c>
      <c r="F35369" s="62"/>
      <c r="G35369" s="2">
        <v>54321</v>
      </c>
      <c r="H35369" s="62"/>
    </row>
    <row r="35370" spans="2:8" x14ac:dyDescent="0.25">
      <c r="B35370" s="1" t="s">
        <v>14337</v>
      </c>
      <c r="C35370" s="1" t="s">
        <v>14338</v>
      </c>
      <c r="D35370" s="22" t="str">
        <f>HYPERLINK("https://rhld.insurance.arkansas.gov/NPILookup?Npi=1326793118","1326793118")</f>
        <v>1326793118</v>
      </c>
      <c r="E35370" s="1" t="s">
        <v>14597</v>
      </c>
      <c r="F35370" s="62"/>
      <c r="G35370" s="2">
        <v>54321</v>
      </c>
      <c r="H35370" s="62"/>
    </row>
    <row r="35371" spans="2:8" x14ac:dyDescent="0.25">
      <c r="B35371" s="1" t="s">
        <v>14337</v>
      </c>
      <c r="C35371" s="1" t="s">
        <v>14338</v>
      </c>
      <c r="D35371" s="22" t="str">
        <f>HYPERLINK("https://rhld.insurance.arkansas.gov/NPILookup?Npi=1336154434","1336154434")</f>
        <v>1336154434</v>
      </c>
      <c r="E35371" s="1" t="s">
        <v>14343</v>
      </c>
      <c r="F35371" s="62"/>
      <c r="G35371" s="2">
        <v>54321</v>
      </c>
      <c r="H35371" s="62"/>
    </row>
    <row r="35372" spans="2:8" x14ac:dyDescent="0.25">
      <c r="B35372" s="1" t="s">
        <v>14337</v>
      </c>
      <c r="C35372" s="1" t="s">
        <v>14338</v>
      </c>
      <c r="D35372" s="22" t="str">
        <f>HYPERLINK("https://rhld.insurance.arkansas.gov/NPILookup?Npi=1336166719","1336166719")</f>
        <v>1336166719</v>
      </c>
      <c r="E35372" s="1" t="s">
        <v>14352</v>
      </c>
      <c r="F35372" s="62"/>
      <c r="G35372" s="2">
        <v>54321</v>
      </c>
      <c r="H35372" s="62"/>
    </row>
    <row r="35373" spans="2:8" x14ac:dyDescent="0.25">
      <c r="B35373" s="1" t="s">
        <v>14337</v>
      </c>
      <c r="C35373" s="1" t="s">
        <v>14338</v>
      </c>
      <c r="D35373" s="22" t="str">
        <f>HYPERLINK("https://rhld.insurance.arkansas.gov/NPILookup?Npi=1336166727","1336166727")</f>
        <v>1336166727</v>
      </c>
      <c r="E35373" s="1" t="s">
        <v>14352</v>
      </c>
      <c r="F35373" s="62"/>
      <c r="G35373" s="2">
        <v>54321</v>
      </c>
      <c r="H35373" s="62"/>
    </row>
    <row r="35374" spans="2:8" x14ac:dyDescent="0.25">
      <c r="B35374" s="1" t="s">
        <v>14337</v>
      </c>
      <c r="C35374" s="1" t="s">
        <v>14338</v>
      </c>
      <c r="D35374" s="22" t="str">
        <f>HYPERLINK("https://rhld.insurance.arkansas.gov/NPILookup?Npi=1336166834","1336166834")</f>
        <v>1336166834</v>
      </c>
      <c r="E35374" s="1" t="s">
        <v>14352</v>
      </c>
      <c r="F35374" s="62"/>
      <c r="G35374" s="2">
        <v>54321</v>
      </c>
      <c r="H35374" s="62"/>
    </row>
    <row r="35375" spans="2:8" x14ac:dyDescent="0.25">
      <c r="B35375" s="1" t="s">
        <v>14337</v>
      </c>
      <c r="C35375" s="1" t="s">
        <v>14338</v>
      </c>
      <c r="D35375" s="22" t="str">
        <f>HYPERLINK("https://rhld.insurance.arkansas.gov/NPILookup?Npi=1336173186","1336173186")</f>
        <v>1336173186</v>
      </c>
      <c r="E35375" s="1" t="s">
        <v>14344</v>
      </c>
      <c r="F35375" s="62"/>
      <c r="G35375" s="2">
        <v>54321</v>
      </c>
      <c r="H35375" s="62"/>
    </row>
    <row r="35376" spans="2:8" x14ac:dyDescent="0.25">
      <c r="B35376" s="1" t="s">
        <v>14337</v>
      </c>
      <c r="C35376" s="1" t="s">
        <v>14338</v>
      </c>
      <c r="D35376" s="22" t="str">
        <f>HYPERLINK("https://rhld.insurance.arkansas.gov/NPILookup?Npi=1336253301","1336253301")</f>
        <v>1336253301</v>
      </c>
      <c r="E35376" s="1" t="s">
        <v>14598</v>
      </c>
      <c r="F35376" s="62"/>
      <c r="G35376" s="2">
        <v>54321</v>
      </c>
      <c r="H35376" s="62"/>
    </row>
    <row r="35377" spans="2:8" x14ac:dyDescent="0.25">
      <c r="B35377" s="1" t="s">
        <v>14337</v>
      </c>
      <c r="C35377" s="1" t="s">
        <v>14338</v>
      </c>
      <c r="D35377" s="22" t="str">
        <f>HYPERLINK("https://rhld.insurance.arkansas.gov/NPILookup?Npi=1336285121","1336285121")</f>
        <v>1336285121</v>
      </c>
      <c r="E35377" s="1" t="s">
        <v>14599</v>
      </c>
      <c r="F35377" s="62"/>
      <c r="G35377" s="2">
        <v>54321</v>
      </c>
      <c r="H35377" s="62"/>
    </row>
    <row r="35378" spans="2:8" x14ac:dyDescent="0.25">
      <c r="B35378" s="1" t="s">
        <v>14337</v>
      </c>
      <c r="C35378" s="1" t="s">
        <v>14338</v>
      </c>
      <c r="D35378" s="22" t="str">
        <f>HYPERLINK("https://rhld.insurance.arkansas.gov/NPILookup?Npi=1336375252","1336375252")</f>
        <v>1336375252</v>
      </c>
      <c r="E35378" s="1" t="s">
        <v>14600</v>
      </c>
      <c r="F35378" s="62"/>
      <c r="G35378" s="2">
        <v>54321</v>
      </c>
      <c r="H35378" s="62"/>
    </row>
    <row r="35379" spans="2:8" x14ac:dyDescent="0.25">
      <c r="B35379" s="1" t="s">
        <v>14337</v>
      </c>
      <c r="C35379" s="1" t="s">
        <v>14338</v>
      </c>
      <c r="D35379" s="22" t="str">
        <f>HYPERLINK("https://rhld.insurance.arkansas.gov/NPILookup?Npi=1336691856","1336691856")</f>
        <v>1336691856</v>
      </c>
      <c r="E35379" s="1" t="s">
        <v>14601</v>
      </c>
      <c r="F35379" s="62"/>
      <c r="G35379" s="2">
        <v>54321</v>
      </c>
      <c r="H35379" s="62"/>
    </row>
    <row r="35380" spans="2:8" x14ac:dyDescent="0.25">
      <c r="B35380" s="1" t="s">
        <v>14337</v>
      </c>
      <c r="C35380" s="1" t="s">
        <v>14338</v>
      </c>
      <c r="D35380" s="22" t="str">
        <f>HYPERLINK("https://rhld.insurance.arkansas.gov/NPILookup?Npi=1336768985","1336768985")</f>
        <v>1336768985</v>
      </c>
      <c r="E35380" s="1" t="s">
        <v>14602</v>
      </c>
      <c r="F35380" s="62"/>
      <c r="G35380" s="2">
        <v>54321</v>
      </c>
      <c r="H35380" s="62"/>
    </row>
    <row r="35381" spans="2:8" x14ac:dyDescent="0.25">
      <c r="B35381" s="1" t="s">
        <v>14337</v>
      </c>
      <c r="C35381" s="1" t="s">
        <v>14338</v>
      </c>
      <c r="D35381" s="22" t="str">
        <f>HYPERLINK("https://rhld.insurance.arkansas.gov/NPILookup?Npi=1336823228","1336823228")</f>
        <v>1336823228</v>
      </c>
      <c r="E35381" s="1" t="s">
        <v>14603</v>
      </c>
      <c r="F35381" s="62"/>
      <c r="G35381" s="2">
        <v>54321</v>
      </c>
      <c r="H35381" s="62"/>
    </row>
    <row r="35382" spans="2:8" x14ac:dyDescent="0.25">
      <c r="B35382" s="1" t="s">
        <v>14337</v>
      </c>
      <c r="C35382" s="1" t="s">
        <v>14338</v>
      </c>
      <c r="D35382" s="22" t="str">
        <f>HYPERLINK("https://rhld.insurance.arkansas.gov/NPILookup?Npi=1336995109","1336995109")</f>
        <v>1336995109</v>
      </c>
      <c r="E35382" s="1" t="s">
        <v>14604</v>
      </c>
      <c r="F35382" s="62"/>
      <c r="G35382" s="2">
        <v>54321</v>
      </c>
      <c r="H35382" s="62"/>
    </row>
    <row r="35383" spans="2:8" x14ac:dyDescent="0.25">
      <c r="B35383" s="1" t="s">
        <v>14337</v>
      </c>
      <c r="C35383" s="1" t="s">
        <v>14338</v>
      </c>
      <c r="D35383" s="22" t="str">
        <f>HYPERLINK("https://rhld.insurance.arkansas.gov/NPILookup?Npi=1346208949","1346208949")</f>
        <v>1346208949</v>
      </c>
      <c r="E35383" s="1" t="s">
        <v>14605</v>
      </c>
      <c r="F35383" s="62"/>
      <c r="G35383" s="2">
        <v>54321</v>
      </c>
      <c r="H35383" s="62"/>
    </row>
    <row r="35384" spans="2:8" x14ac:dyDescent="0.25">
      <c r="B35384" s="1" t="s">
        <v>14337</v>
      </c>
      <c r="C35384" s="1" t="s">
        <v>14338</v>
      </c>
      <c r="D35384" s="22" t="str">
        <f>HYPERLINK("https://rhld.insurance.arkansas.gov/NPILookup?Npi=1346267531","1346267531")</f>
        <v>1346267531</v>
      </c>
      <c r="E35384" s="1" t="s">
        <v>14384</v>
      </c>
      <c r="F35384" s="62"/>
      <c r="G35384" s="2">
        <v>54321</v>
      </c>
      <c r="H35384" s="62"/>
    </row>
    <row r="35385" spans="2:8" x14ac:dyDescent="0.25">
      <c r="B35385" s="1" t="s">
        <v>14337</v>
      </c>
      <c r="C35385" s="1" t="s">
        <v>14338</v>
      </c>
      <c r="D35385" s="22" t="str">
        <f>HYPERLINK("https://rhld.insurance.arkansas.gov/NPILookup?Npi=1346267721","1346267721")</f>
        <v>1346267721</v>
      </c>
      <c r="E35385" s="1" t="s">
        <v>14352</v>
      </c>
      <c r="F35385" s="62"/>
      <c r="G35385" s="2">
        <v>54321</v>
      </c>
      <c r="H35385" s="62"/>
    </row>
    <row r="35386" spans="2:8" x14ac:dyDescent="0.25">
      <c r="B35386" s="1" t="s">
        <v>14337</v>
      </c>
      <c r="C35386" s="1" t="s">
        <v>14338</v>
      </c>
      <c r="D35386" s="22" t="str">
        <f>HYPERLINK("https://rhld.insurance.arkansas.gov/NPILookup?Npi=1346323755","1346323755")</f>
        <v>1346323755</v>
      </c>
      <c r="E35386" s="1" t="s">
        <v>14343</v>
      </c>
      <c r="F35386" s="62"/>
      <c r="G35386" s="2">
        <v>54321</v>
      </c>
      <c r="H35386" s="62"/>
    </row>
    <row r="35387" spans="2:8" x14ac:dyDescent="0.25">
      <c r="B35387" s="1" t="s">
        <v>14337</v>
      </c>
      <c r="C35387" s="1" t="s">
        <v>14338</v>
      </c>
      <c r="D35387" s="22" t="str">
        <f>HYPERLINK("https://rhld.insurance.arkansas.gov/NPILookup?Npi=1346544921","1346544921")</f>
        <v>1346544921</v>
      </c>
      <c r="E35387" s="1" t="s">
        <v>14606</v>
      </c>
      <c r="F35387" s="62"/>
      <c r="G35387" s="2">
        <v>54321</v>
      </c>
      <c r="H35387" s="62"/>
    </row>
    <row r="35388" spans="2:8" x14ac:dyDescent="0.25">
      <c r="B35388" s="1" t="s">
        <v>14337</v>
      </c>
      <c r="C35388" s="1" t="s">
        <v>14338</v>
      </c>
      <c r="D35388" s="22" t="str">
        <f>HYPERLINK("https://rhld.insurance.arkansas.gov/NPILookup?Npi=1346558830","1346558830")</f>
        <v>1346558830</v>
      </c>
      <c r="E35388" s="1" t="s">
        <v>14607</v>
      </c>
      <c r="F35388" s="62"/>
      <c r="G35388" s="2">
        <v>54321</v>
      </c>
      <c r="H35388" s="62"/>
    </row>
    <row r="35389" spans="2:8" x14ac:dyDescent="0.25">
      <c r="B35389" s="1" t="s">
        <v>14337</v>
      </c>
      <c r="C35389" s="1" t="s">
        <v>14338</v>
      </c>
      <c r="D35389" s="22" t="str">
        <f>HYPERLINK("https://rhld.insurance.arkansas.gov/NPILookup?Npi=1346571106","1346571106")</f>
        <v>1346571106</v>
      </c>
      <c r="E35389" s="1" t="s">
        <v>14608</v>
      </c>
      <c r="F35389" s="62"/>
      <c r="G35389" s="2">
        <v>54321</v>
      </c>
      <c r="H35389" s="62"/>
    </row>
    <row r="35390" spans="2:8" x14ac:dyDescent="0.25">
      <c r="B35390" s="1" t="s">
        <v>14337</v>
      </c>
      <c r="C35390" s="1" t="s">
        <v>14338</v>
      </c>
      <c r="D35390" s="22" t="str">
        <f>HYPERLINK("https://rhld.insurance.arkansas.gov/NPILookup?Npi=1356079396","1356079396")</f>
        <v>1356079396</v>
      </c>
      <c r="E35390" s="1" t="s">
        <v>14609</v>
      </c>
      <c r="F35390" s="62"/>
      <c r="G35390" s="2">
        <v>54321</v>
      </c>
      <c r="H35390" s="62"/>
    </row>
    <row r="35391" spans="2:8" x14ac:dyDescent="0.25">
      <c r="B35391" s="1" t="s">
        <v>14337</v>
      </c>
      <c r="C35391" s="1" t="s">
        <v>14338</v>
      </c>
      <c r="D35391" s="22" t="str">
        <f>HYPERLINK("https://rhld.insurance.arkansas.gov/NPILookup?Npi=1356199350","1356199350")</f>
        <v>1356199350</v>
      </c>
      <c r="E35391" s="1" t="s">
        <v>14610</v>
      </c>
      <c r="F35391" s="62"/>
      <c r="G35391" s="2">
        <v>54321</v>
      </c>
      <c r="H35391" s="62"/>
    </row>
    <row r="35392" spans="2:8" x14ac:dyDescent="0.25">
      <c r="B35392" s="1" t="s">
        <v>14337</v>
      </c>
      <c r="C35392" s="1" t="s">
        <v>14338</v>
      </c>
      <c r="D35392" s="22" t="str">
        <f>HYPERLINK("https://rhld.insurance.arkansas.gov/NPILookup?Npi=1356335566","1356335566")</f>
        <v>1356335566</v>
      </c>
      <c r="E35392" s="1" t="s">
        <v>14611</v>
      </c>
      <c r="F35392" s="62"/>
      <c r="G35392" s="2">
        <v>54321</v>
      </c>
      <c r="H35392" s="62"/>
    </row>
    <row r="35393" spans="2:8" x14ac:dyDescent="0.25">
      <c r="B35393" s="1" t="s">
        <v>14337</v>
      </c>
      <c r="C35393" s="1" t="s">
        <v>14338</v>
      </c>
      <c r="D35393" s="22" t="str">
        <f>HYPERLINK("https://rhld.insurance.arkansas.gov/NPILookup?Npi=1356338669","1356338669")</f>
        <v>1356338669</v>
      </c>
      <c r="E35393" s="1" t="s">
        <v>14612</v>
      </c>
      <c r="F35393" s="62"/>
      <c r="G35393" s="2">
        <v>54321</v>
      </c>
      <c r="H35393" s="62"/>
    </row>
    <row r="35394" spans="2:8" x14ac:dyDescent="0.25">
      <c r="B35394" s="1" t="s">
        <v>14337</v>
      </c>
      <c r="C35394" s="1" t="s">
        <v>14338</v>
      </c>
      <c r="D35394" s="22" t="str">
        <f>HYPERLINK("https://rhld.insurance.arkansas.gov/NPILookup?Npi=1356356455","1356356455")</f>
        <v>1356356455</v>
      </c>
      <c r="E35394" s="1" t="s">
        <v>14343</v>
      </c>
      <c r="F35394" s="62"/>
      <c r="G35394" s="2">
        <v>54321</v>
      </c>
      <c r="H35394" s="62"/>
    </row>
    <row r="35395" spans="2:8" x14ac:dyDescent="0.25">
      <c r="B35395" s="1" t="s">
        <v>14337</v>
      </c>
      <c r="C35395" s="1" t="s">
        <v>14338</v>
      </c>
      <c r="D35395" s="22" t="str">
        <f>HYPERLINK("https://rhld.insurance.arkansas.gov/NPILookup?Npi=1356364418","1356364418")</f>
        <v>1356364418</v>
      </c>
      <c r="E35395" s="1" t="s">
        <v>14384</v>
      </c>
      <c r="F35395" s="62"/>
      <c r="G35395" s="2">
        <v>54321</v>
      </c>
      <c r="H35395" s="62"/>
    </row>
    <row r="35396" spans="2:8" x14ac:dyDescent="0.25">
      <c r="B35396" s="1" t="s">
        <v>14337</v>
      </c>
      <c r="C35396" s="1" t="s">
        <v>14338</v>
      </c>
      <c r="D35396" s="22" t="str">
        <f>HYPERLINK("https://rhld.insurance.arkansas.gov/NPILookup?Npi=1356445290","1356445290")</f>
        <v>1356445290</v>
      </c>
      <c r="E35396" s="1" t="s">
        <v>14422</v>
      </c>
      <c r="F35396" s="62"/>
      <c r="G35396" s="2">
        <v>54321</v>
      </c>
      <c r="H35396" s="62"/>
    </row>
    <row r="35397" spans="2:8" x14ac:dyDescent="0.25">
      <c r="B35397" s="1" t="s">
        <v>14337</v>
      </c>
      <c r="C35397" s="1" t="s">
        <v>14338</v>
      </c>
      <c r="D35397" s="22" t="str">
        <f>HYPERLINK("https://rhld.insurance.arkansas.gov/NPILookup?Npi=1356450563","1356450563")</f>
        <v>1356450563</v>
      </c>
      <c r="E35397" s="1" t="s">
        <v>14613</v>
      </c>
      <c r="F35397" s="62"/>
      <c r="G35397" s="2">
        <v>54321</v>
      </c>
      <c r="H35397" s="62"/>
    </row>
    <row r="35398" spans="2:8" x14ac:dyDescent="0.25">
      <c r="B35398" s="1" t="s">
        <v>14337</v>
      </c>
      <c r="C35398" s="1" t="s">
        <v>14338</v>
      </c>
      <c r="D35398" s="22" t="str">
        <f>HYPERLINK("https://rhld.insurance.arkansas.gov/NPILookup?Npi=1356455323","1356455323")</f>
        <v>1356455323</v>
      </c>
      <c r="E35398" s="1" t="s">
        <v>14614</v>
      </c>
      <c r="F35398" s="62"/>
      <c r="G35398" s="2">
        <v>54321</v>
      </c>
      <c r="H35398" s="62"/>
    </row>
    <row r="35399" spans="2:8" x14ac:dyDescent="0.25">
      <c r="B35399" s="1" t="s">
        <v>14337</v>
      </c>
      <c r="C35399" s="1" t="s">
        <v>14338</v>
      </c>
      <c r="D35399" s="22" t="str">
        <f>HYPERLINK("https://rhld.insurance.arkansas.gov/NPILookup?Npi=1356455778","1356455778")</f>
        <v>1356455778</v>
      </c>
      <c r="E35399" s="1" t="s">
        <v>14615</v>
      </c>
      <c r="F35399" s="62"/>
      <c r="G35399" s="2">
        <v>54321</v>
      </c>
      <c r="H35399" s="62"/>
    </row>
    <row r="35400" spans="2:8" x14ac:dyDescent="0.25">
      <c r="B35400" s="1" t="s">
        <v>14337</v>
      </c>
      <c r="C35400" s="1" t="s">
        <v>14338</v>
      </c>
      <c r="D35400" s="22" t="str">
        <f>HYPERLINK("https://rhld.insurance.arkansas.gov/NPILookup?Npi=1356474449","1356474449")</f>
        <v>1356474449</v>
      </c>
      <c r="E35400" s="1" t="s">
        <v>14616</v>
      </c>
      <c r="F35400" s="62"/>
      <c r="G35400" s="2">
        <v>54321</v>
      </c>
      <c r="H35400" s="62"/>
    </row>
    <row r="35401" spans="2:8" x14ac:dyDescent="0.25">
      <c r="B35401" s="1" t="s">
        <v>14337</v>
      </c>
      <c r="C35401" s="1" t="s">
        <v>14338</v>
      </c>
      <c r="D35401" s="22" t="str">
        <f>HYPERLINK("https://rhld.insurance.arkansas.gov/NPILookup?Npi=1356485684","1356485684")</f>
        <v>1356485684</v>
      </c>
      <c r="E35401" s="1" t="s">
        <v>14617</v>
      </c>
      <c r="F35401" s="62"/>
      <c r="G35401" s="2">
        <v>54321</v>
      </c>
      <c r="H35401" s="62"/>
    </row>
    <row r="35402" spans="2:8" x14ac:dyDescent="0.25">
      <c r="B35402" s="1" t="s">
        <v>14337</v>
      </c>
      <c r="C35402" s="1" t="s">
        <v>14338</v>
      </c>
      <c r="D35402" s="22" t="str">
        <f>HYPERLINK("https://rhld.insurance.arkansas.gov/NPILookup?Npi=1356487912","1356487912")</f>
        <v>1356487912</v>
      </c>
      <c r="E35402" s="1" t="s">
        <v>14618</v>
      </c>
      <c r="F35402" s="62"/>
      <c r="G35402" s="2">
        <v>54321</v>
      </c>
      <c r="H35402" s="62"/>
    </row>
    <row r="35403" spans="2:8" x14ac:dyDescent="0.25">
      <c r="B35403" s="1" t="s">
        <v>14337</v>
      </c>
      <c r="C35403" s="1" t="s">
        <v>14338</v>
      </c>
      <c r="D35403" s="22" t="str">
        <f>HYPERLINK("https://rhld.insurance.arkansas.gov/NPILookup?Npi=1356555080","1356555080")</f>
        <v>1356555080</v>
      </c>
      <c r="E35403" s="1" t="s">
        <v>14619</v>
      </c>
      <c r="F35403" s="62"/>
      <c r="G35403" s="2">
        <v>54321</v>
      </c>
      <c r="H35403" s="62"/>
    </row>
    <row r="35404" spans="2:8" x14ac:dyDescent="0.25">
      <c r="B35404" s="1" t="s">
        <v>14337</v>
      </c>
      <c r="C35404" s="1" t="s">
        <v>14338</v>
      </c>
      <c r="D35404" s="22" t="str">
        <f>HYPERLINK("https://rhld.insurance.arkansas.gov/NPILookup?Npi=1356693519","1356693519")</f>
        <v>1356693519</v>
      </c>
      <c r="E35404" s="1" t="s">
        <v>32578</v>
      </c>
      <c r="F35404" s="62"/>
      <c r="G35404" s="2">
        <v>54321</v>
      </c>
      <c r="H35404" s="62"/>
    </row>
    <row r="35405" spans="2:8" x14ac:dyDescent="0.25">
      <c r="B35405" s="1" t="s">
        <v>14337</v>
      </c>
      <c r="C35405" s="1" t="s">
        <v>14338</v>
      </c>
      <c r="D35405" s="22" t="str">
        <f>HYPERLINK("https://rhld.insurance.arkansas.gov/NPILookup?Npi=1356749915","1356749915")</f>
        <v>1356749915</v>
      </c>
      <c r="E35405" s="1" t="s">
        <v>14620</v>
      </c>
      <c r="F35405" s="62"/>
      <c r="G35405" s="2">
        <v>54321</v>
      </c>
      <c r="H35405" s="62"/>
    </row>
    <row r="35406" spans="2:8" x14ac:dyDescent="0.25">
      <c r="B35406" s="1" t="s">
        <v>14337</v>
      </c>
      <c r="C35406" s="1" t="s">
        <v>14338</v>
      </c>
      <c r="D35406" s="22" t="str">
        <f>HYPERLINK("https://rhld.insurance.arkansas.gov/NPILookup?Npi=1366064511","1366064511")</f>
        <v>1366064511</v>
      </c>
      <c r="E35406" s="1" t="s">
        <v>14621</v>
      </c>
      <c r="F35406" s="62"/>
      <c r="G35406" s="2">
        <v>54321</v>
      </c>
      <c r="H35406" s="62"/>
    </row>
    <row r="35407" spans="2:8" x14ac:dyDescent="0.25">
      <c r="B35407" s="1" t="s">
        <v>14337</v>
      </c>
      <c r="C35407" s="1" t="s">
        <v>14338</v>
      </c>
      <c r="D35407" s="22" t="str">
        <f>HYPERLINK("https://rhld.insurance.arkansas.gov/NPILookup?Npi=1366069965","1366069965")</f>
        <v>1366069965</v>
      </c>
      <c r="E35407" s="1" t="s">
        <v>14622</v>
      </c>
      <c r="F35407" s="62"/>
      <c r="G35407" s="2">
        <v>54321</v>
      </c>
      <c r="H35407" s="62"/>
    </row>
    <row r="35408" spans="2:8" x14ac:dyDescent="0.25">
      <c r="B35408" s="1" t="s">
        <v>14337</v>
      </c>
      <c r="C35408" s="1" t="s">
        <v>14338</v>
      </c>
      <c r="D35408" s="22" t="str">
        <f>HYPERLINK("https://rhld.insurance.arkansas.gov/NPILookup?Npi=1366211625","1366211625")</f>
        <v>1366211625</v>
      </c>
      <c r="E35408" s="1" t="s">
        <v>14623</v>
      </c>
      <c r="F35408" s="62"/>
      <c r="G35408" s="2">
        <v>54321</v>
      </c>
      <c r="H35408" s="62"/>
    </row>
    <row r="35409" spans="2:8" x14ac:dyDescent="0.25">
      <c r="B35409" s="1" t="s">
        <v>14337</v>
      </c>
      <c r="C35409" s="1" t="s">
        <v>14338</v>
      </c>
      <c r="D35409" s="22" t="str">
        <f>HYPERLINK("https://rhld.insurance.arkansas.gov/NPILookup?Npi=1366453946","1366453946")</f>
        <v>1366453946</v>
      </c>
      <c r="E35409" s="1" t="s">
        <v>14624</v>
      </c>
      <c r="F35409" s="62"/>
      <c r="G35409" s="2">
        <v>54321</v>
      </c>
      <c r="H35409" s="62"/>
    </row>
    <row r="35410" spans="2:8" x14ac:dyDescent="0.25">
      <c r="B35410" s="1" t="s">
        <v>14337</v>
      </c>
      <c r="C35410" s="1" t="s">
        <v>14338</v>
      </c>
      <c r="D35410" s="22" t="str">
        <f>HYPERLINK("https://rhld.insurance.arkansas.gov/NPILookup?Npi=1366457525","1366457525")</f>
        <v>1366457525</v>
      </c>
      <c r="E35410" s="1" t="s">
        <v>14343</v>
      </c>
      <c r="F35410" s="62"/>
      <c r="G35410" s="2">
        <v>54321</v>
      </c>
      <c r="H35410" s="62"/>
    </row>
    <row r="35411" spans="2:8" x14ac:dyDescent="0.25">
      <c r="B35411" s="1" t="s">
        <v>14337</v>
      </c>
      <c r="C35411" s="1" t="s">
        <v>14338</v>
      </c>
      <c r="D35411" s="22" t="str">
        <f>HYPERLINK("https://rhld.insurance.arkansas.gov/NPILookup?Npi=1366469868","1366469868")</f>
        <v>1366469868</v>
      </c>
      <c r="E35411" s="1" t="s">
        <v>14352</v>
      </c>
      <c r="F35411" s="62"/>
      <c r="G35411" s="2">
        <v>54321</v>
      </c>
      <c r="H35411" s="62"/>
    </row>
    <row r="35412" spans="2:8" x14ac:dyDescent="0.25">
      <c r="B35412" s="1" t="s">
        <v>14337</v>
      </c>
      <c r="C35412" s="1" t="s">
        <v>14338</v>
      </c>
      <c r="D35412" s="22" t="str">
        <f>HYPERLINK("https://rhld.insurance.arkansas.gov/NPILookup?Npi=1366544702","1366544702")</f>
        <v>1366544702</v>
      </c>
      <c r="E35412" s="1" t="s">
        <v>14625</v>
      </c>
      <c r="F35412" s="62"/>
      <c r="G35412" s="2">
        <v>54321</v>
      </c>
      <c r="H35412" s="62"/>
    </row>
    <row r="35413" spans="2:8" x14ac:dyDescent="0.25">
      <c r="B35413" s="1" t="s">
        <v>14337</v>
      </c>
      <c r="C35413" s="1" t="s">
        <v>14338</v>
      </c>
      <c r="D35413" s="22" t="str">
        <f>HYPERLINK("https://rhld.insurance.arkansas.gov/NPILookup?Npi=1366706244","1366706244")</f>
        <v>1366706244</v>
      </c>
      <c r="E35413" s="1" t="s">
        <v>14626</v>
      </c>
      <c r="F35413" s="62"/>
      <c r="G35413" s="2">
        <v>54321</v>
      </c>
      <c r="H35413" s="62"/>
    </row>
    <row r="35414" spans="2:8" x14ac:dyDescent="0.25">
      <c r="B35414" s="1" t="s">
        <v>14337</v>
      </c>
      <c r="C35414" s="1" t="s">
        <v>14338</v>
      </c>
      <c r="D35414" s="22" t="str">
        <f>HYPERLINK("https://rhld.insurance.arkansas.gov/NPILookup?Npi=1376048124","1376048124")</f>
        <v>1376048124</v>
      </c>
      <c r="E35414" s="1" t="s">
        <v>14627</v>
      </c>
      <c r="F35414" s="62"/>
      <c r="G35414" s="2">
        <v>54321</v>
      </c>
      <c r="H35414" s="62"/>
    </row>
    <row r="35415" spans="2:8" x14ac:dyDescent="0.25">
      <c r="B35415" s="1" t="s">
        <v>14337</v>
      </c>
      <c r="C35415" s="1" t="s">
        <v>14338</v>
      </c>
      <c r="D35415" s="22" t="str">
        <f>HYPERLINK("https://rhld.insurance.arkansas.gov/NPILookup?Npi=1376530659","1376530659")</f>
        <v>1376530659</v>
      </c>
      <c r="E35415" s="1" t="s">
        <v>14628</v>
      </c>
      <c r="F35415" s="62"/>
      <c r="G35415" s="2">
        <v>54321</v>
      </c>
      <c r="H35415" s="62"/>
    </row>
    <row r="35416" spans="2:8" x14ac:dyDescent="0.25">
      <c r="B35416" s="1" t="s">
        <v>14337</v>
      </c>
      <c r="C35416" s="1" t="s">
        <v>14338</v>
      </c>
      <c r="D35416" s="22" t="str">
        <f>HYPERLINK("https://rhld.insurance.arkansas.gov/NPILookup?Npi=1376558379","1376558379")</f>
        <v>1376558379</v>
      </c>
      <c r="E35416" s="1" t="s">
        <v>14343</v>
      </c>
      <c r="F35416" s="62"/>
      <c r="G35416" s="2">
        <v>54321</v>
      </c>
      <c r="H35416" s="62"/>
    </row>
    <row r="35417" spans="2:8" x14ac:dyDescent="0.25">
      <c r="B35417" s="1" t="s">
        <v>14337</v>
      </c>
      <c r="C35417" s="1" t="s">
        <v>14338</v>
      </c>
      <c r="D35417" s="22" t="str">
        <f>HYPERLINK("https://rhld.insurance.arkansas.gov/NPILookup?Npi=1376558635","1376558635")</f>
        <v>1376558635</v>
      </c>
      <c r="E35417" s="1" t="s">
        <v>14629</v>
      </c>
      <c r="F35417" s="62"/>
      <c r="G35417" s="2">
        <v>54321</v>
      </c>
      <c r="H35417" s="62"/>
    </row>
    <row r="35418" spans="2:8" x14ac:dyDescent="0.25">
      <c r="B35418" s="1" t="s">
        <v>14337</v>
      </c>
      <c r="C35418" s="1" t="s">
        <v>14338</v>
      </c>
      <c r="D35418" s="22" t="str">
        <f>HYPERLINK("https://rhld.insurance.arkansas.gov/NPILookup?Npi=1376559765","1376559765")</f>
        <v>1376559765</v>
      </c>
      <c r="E35418" s="1" t="s">
        <v>14630</v>
      </c>
      <c r="F35418" s="62"/>
      <c r="G35418" s="2">
        <v>54321</v>
      </c>
      <c r="H35418" s="62"/>
    </row>
    <row r="35419" spans="2:8" x14ac:dyDescent="0.25">
      <c r="B35419" s="1" t="s">
        <v>14337</v>
      </c>
      <c r="C35419" s="1" t="s">
        <v>14338</v>
      </c>
      <c r="D35419" s="22" t="str">
        <f>HYPERLINK("https://rhld.insurance.arkansas.gov/NPILookup?Npi=1376562355","1376562355")</f>
        <v>1376562355</v>
      </c>
      <c r="E35419" s="1" t="s">
        <v>14352</v>
      </c>
      <c r="F35419" s="62"/>
      <c r="G35419" s="2">
        <v>54321</v>
      </c>
      <c r="H35419" s="62"/>
    </row>
    <row r="35420" spans="2:8" x14ac:dyDescent="0.25">
      <c r="B35420" s="1" t="s">
        <v>14337</v>
      </c>
      <c r="C35420" s="1" t="s">
        <v>14338</v>
      </c>
      <c r="D35420" s="22" t="str">
        <f>HYPERLINK("https://rhld.insurance.arkansas.gov/NPILookup?Npi=1376577155","1376577155")</f>
        <v>1376577155</v>
      </c>
      <c r="E35420" s="1" t="s">
        <v>14344</v>
      </c>
      <c r="F35420" s="62"/>
      <c r="G35420" s="2">
        <v>54321</v>
      </c>
      <c r="H35420" s="62"/>
    </row>
    <row r="35421" spans="2:8" x14ac:dyDescent="0.25">
      <c r="B35421" s="1" t="s">
        <v>14337</v>
      </c>
      <c r="C35421" s="1" t="s">
        <v>14338</v>
      </c>
      <c r="D35421" s="22" t="str">
        <f>HYPERLINK("https://rhld.insurance.arkansas.gov/NPILookup?Npi=1376646752","1376646752")</f>
        <v>1376646752</v>
      </c>
      <c r="E35421" s="1" t="s">
        <v>14631</v>
      </c>
      <c r="F35421" s="62"/>
      <c r="G35421" s="2">
        <v>54321</v>
      </c>
      <c r="H35421" s="62"/>
    </row>
    <row r="35422" spans="2:8" x14ac:dyDescent="0.25">
      <c r="B35422" s="1" t="s">
        <v>14337</v>
      </c>
      <c r="C35422" s="1" t="s">
        <v>14338</v>
      </c>
      <c r="D35422" s="22" t="str">
        <f>HYPERLINK("https://rhld.insurance.arkansas.gov/NPILookup?Npi=1376930149","1376930149")</f>
        <v>1376930149</v>
      </c>
      <c r="E35422" s="1" t="s">
        <v>14632</v>
      </c>
      <c r="F35422" s="62"/>
      <c r="G35422" s="2">
        <v>54321</v>
      </c>
      <c r="H35422" s="62"/>
    </row>
    <row r="35423" spans="2:8" x14ac:dyDescent="0.25">
      <c r="B35423" s="1" t="s">
        <v>14337</v>
      </c>
      <c r="C35423" s="1" t="s">
        <v>14338</v>
      </c>
      <c r="D35423" s="22" t="str">
        <f>HYPERLINK("https://rhld.insurance.arkansas.gov/NPILookup?Npi=1386102796","1386102796")</f>
        <v>1386102796</v>
      </c>
      <c r="E35423" s="1" t="s">
        <v>14633</v>
      </c>
      <c r="F35423" s="62"/>
      <c r="G35423" s="2">
        <v>54321</v>
      </c>
      <c r="H35423" s="62"/>
    </row>
    <row r="35424" spans="2:8" x14ac:dyDescent="0.25">
      <c r="B35424" s="1" t="s">
        <v>14337</v>
      </c>
      <c r="C35424" s="1" t="s">
        <v>14338</v>
      </c>
      <c r="D35424" s="22" t="str">
        <f>HYPERLINK("https://rhld.insurance.arkansas.gov/NPILookup?Npi=1386182640","1386182640")</f>
        <v>1386182640</v>
      </c>
      <c r="E35424" s="1" t="s">
        <v>14634</v>
      </c>
      <c r="F35424" s="62"/>
      <c r="G35424" s="2">
        <v>54321</v>
      </c>
      <c r="H35424" s="62"/>
    </row>
    <row r="35425" spans="2:8" x14ac:dyDescent="0.25">
      <c r="B35425" s="1" t="s">
        <v>14337</v>
      </c>
      <c r="C35425" s="1" t="s">
        <v>14338</v>
      </c>
      <c r="D35425" s="22" t="str">
        <f>HYPERLINK("https://rhld.insurance.arkansas.gov/NPILookup?Npi=1386293041","1386293041")</f>
        <v>1386293041</v>
      </c>
      <c r="E35425" s="1" t="s">
        <v>14635</v>
      </c>
      <c r="F35425" s="62"/>
      <c r="G35425" s="2">
        <v>54321</v>
      </c>
      <c r="H35425" s="62"/>
    </row>
    <row r="35426" spans="2:8" x14ac:dyDescent="0.25">
      <c r="B35426" s="1" t="s">
        <v>14337</v>
      </c>
      <c r="C35426" s="1" t="s">
        <v>14338</v>
      </c>
      <c r="D35426" s="22" t="str">
        <f>HYPERLINK("https://rhld.insurance.arkansas.gov/NPILookup?Npi=1386659647","1386659647")</f>
        <v>1386659647</v>
      </c>
      <c r="E35426" s="1" t="s">
        <v>14636</v>
      </c>
      <c r="F35426" s="62"/>
      <c r="G35426" s="2">
        <v>54321</v>
      </c>
      <c r="H35426" s="62"/>
    </row>
    <row r="35427" spans="2:8" x14ac:dyDescent="0.25">
      <c r="B35427" s="1" t="s">
        <v>14337</v>
      </c>
      <c r="C35427" s="1" t="s">
        <v>14338</v>
      </c>
      <c r="D35427" s="22" t="str">
        <f>HYPERLINK("https://rhld.insurance.arkansas.gov/NPILookup?Npi=1386669083","1386669083")</f>
        <v>1386669083</v>
      </c>
      <c r="E35427" s="1" t="s">
        <v>14344</v>
      </c>
      <c r="F35427" s="62"/>
      <c r="G35427" s="2">
        <v>54321</v>
      </c>
      <c r="H35427" s="62"/>
    </row>
    <row r="35428" spans="2:8" x14ac:dyDescent="0.25">
      <c r="B35428" s="1" t="s">
        <v>14337</v>
      </c>
      <c r="C35428" s="1" t="s">
        <v>14338</v>
      </c>
      <c r="D35428" s="22" t="str">
        <f>HYPERLINK("https://rhld.insurance.arkansas.gov/NPILookup?Npi=1386678167","1386678167")</f>
        <v>1386678167</v>
      </c>
      <c r="E35428" s="1" t="s">
        <v>14344</v>
      </c>
      <c r="F35428" s="62"/>
      <c r="G35428" s="2">
        <v>54321</v>
      </c>
      <c r="H35428" s="62"/>
    </row>
    <row r="35429" spans="2:8" x14ac:dyDescent="0.25">
      <c r="B35429" s="1" t="s">
        <v>14337</v>
      </c>
      <c r="C35429" s="1" t="s">
        <v>14338</v>
      </c>
      <c r="D35429" s="22" t="str">
        <f>HYPERLINK("https://rhld.insurance.arkansas.gov/NPILookup?Npi=1386707107","1386707107")</f>
        <v>1386707107</v>
      </c>
      <c r="E35429" s="1" t="s">
        <v>14637</v>
      </c>
      <c r="F35429" s="62"/>
      <c r="G35429" s="2">
        <v>54321</v>
      </c>
      <c r="H35429" s="62"/>
    </row>
    <row r="35430" spans="2:8" x14ac:dyDescent="0.25">
      <c r="B35430" s="1" t="s">
        <v>14337</v>
      </c>
      <c r="C35430" s="1" t="s">
        <v>14338</v>
      </c>
      <c r="D35430" s="22" t="str">
        <f>HYPERLINK("https://rhld.insurance.arkansas.gov/NPILookup?Npi=1386761757","1386761757")</f>
        <v>1386761757</v>
      </c>
      <c r="E35430" s="1" t="s">
        <v>14638</v>
      </c>
      <c r="F35430" s="62"/>
      <c r="G35430" s="2">
        <v>54321</v>
      </c>
      <c r="H35430" s="62"/>
    </row>
    <row r="35431" spans="2:8" x14ac:dyDescent="0.25">
      <c r="B35431" s="1" t="s">
        <v>14337</v>
      </c>
      <c r="C35431" s="1" t="s">
        <v>14338</v>
      </c>
      <c r="D35431" s="22" t="str">
        <f>HYPERLINK("https://rhld.insurance.arkansas.gov/NPILookup?Npi=1386800035","1386800035")</f>
        <v>1386800035</v>
      </c>
      <c r="E35431" s="1" t="s">
        <v>14343</v>
      </c>
      <c r="F35431" s="62"/>
      <c r="G35431" s="2">
        <v>54321</v>
      </c>
      <c r="H35431" s="62"/>
    </row>
    <row r="35432" spans="2:8" x14ac:dyDescent="0.25">
      <c r="B35432" s="1" t="s">
        <v>14337</v>
      </c>
      <c r="C35432" s="1" t="s">
        <v>14338</v>
      </c>
      <c r="D35432" s="22" t="str">
        <f>HYPERLINK("https://rhld.insurance.arkansas.gov/NPILookup?Npi=1396117735","1396117735")</f>
        <v>1396117735</v>
      </c>
      <c r="E35432" s="1" t="s">
        <v>14355</v>
      </c>
      <c r="F35432" s="62"/>
      <c r="G35432" s="2">
        <v>54321</v>
      </c>
      <c r="H35432" s="62"/>
    </row>
    <row r="35433" spans="2:8" x14ac:dyDescent="0.25">
      <c r="B35433" s="1" t="s">
        <v>14337</v>
      </c>
      <c r="C35433" s="1" t="s">
        <v>14338</v>
      </c>
      <c r="D35433" s="22" t="str">
        <f>HYPERLINK("https://rhld.insurance.arkansas.gov/NPILookup?Npi=1396143103","1396143103")</f>
        <v>1396143103</v>
      </c>
      <c r="E35433" s="1" t="s">
        <v>14639</v>
      </c>
      <c r="F35433" s="62"/>
      <c r="G35433" s="2">
        <v>54321</v>
      </c>
      <c r="H35433" s="62"/>
    </row>
    <row r="35434" spans="2:8" x14ac:dyDescent="0.25">
      <c r="B35434" s="1" t="s">
        <v>14337</v>
      </c>
      <c r="C35434" s="1" t="s">
        <v>14338</v>
      </c>
      <c r="D35434" s="22" t="str">
        <f>HYPERLINK("https://rhld.insurance.arkansas.gov/NPILookup?Npi=1396151403","1396151403")</f>
        <v>1396151403</v>
      </c>
      <c r="E35434" s="1" t="s">
        <v>14640</v>
      </c>
      <c r="F35434" s="62"/>
      <c r="G35434" s="2">
        <v>54321</v>
      </c>
      <c r="H35434" s="62"/>
    </row>
    <row r="35435" spans="2:8" x14ac:dyDescent="0.25">
      <c r="B35435" s="1" t="s">
        <v>14337</v>
      </c>
      <c r="C35435" s="1" t="s">
        <v>14338</v>
      </c>
      <c r="D35435" s="22" t="str">
        <f>HYPERLINK("https://rhld.insurance.arkansas.gov/NPILookup?Npi=1396218483","1396218483")</f>
        <v>1396218483</v>
      </c>
      <c r="E35435" s="1" t="s">
        <v>14641</v>
      </c>
      <c r="F35435" s="62"/>
      <c r="G35435" s="2">
        <v>54321</v>
      </c>
      <c r="H35435" s="62"/>
    </row>
    <row r="35436" spans="2:8" x14ac:dyDescent="0.25">
      <c r="B35436" s="1" t="s">
        <v>14337</v>
      </c>
      <c r="C35436" s="1" t="s">
        <v>14338</v>
      </c>
      <c r="D35436" s="22" t="str">
        <f>HYPERLINK("https://rhld.insurance.arkansas.gov/NPILookup?Npi=1396219309","1396219309")</f>
        <v>1396219309</v>
      </c>
      <c r="E35436" s="1" t="s">
        <v>14445</v>
      </c>
      <c r="F35436" s="62"/>
      <c r="G35436" s="2">
        <v>54321</v>
      </c>
      <c r="H35436" s="62"/>
    </row>
    <row r="35437" spans="2:8" x14ac:dyDescent="0.25">
      <c r="B35437" s="1" t="s">
        <v>14337</v>
      </c>
      <c r="C35437" s="1" t="s">
        <v>14338</v>
      </c>
      <c r="D35437" s="22" t="str">
        <f>HYPERLINK("https://rhld.insurance.arkansas.gov/NPILookup?Npi=1396750998","1396750998")</f>
        <v>1396750998</v>
      </c>
      <c r="E35437" s="1" t="s">
        <v>14642</v>
      </c>
      <c r="F35437" s="62"/>
      <c r="G35437" s="2">
        <v>54321</v>
      </c>
      <c r="H35437" s="62"/>
    </row>
    <row r="35438" spans="2:8" x14ac:dyDescent="0.25">
      <c r="B35438" s="1" t="s">
        <v>14337</v>
      </c>
      <c r="C35438" s="1" t="s">
        <v>14338</v>
      </c>
      <c r="D35438" s="22" t="str">
        <f>HYPERLINK("https://rhld.insurance.arkansas.gov/NPILookup?Npi=1396762829","1396762829")</f>
        <v>1396762829</v>
      </c>
      <c r="E35438" s="1" t="s">
        <v>14355</v>
      </c>
      <c r="F35438" s="62"/>
      <c r="G35438" s="2">
        <v>54321</v>
      </c>
      <c r="H35438" s="62"/>
    </row>
    <row r="35439" spans="2:8" x14ac:dyDescent="0.25">
      <c r="B35439" s="1" t="s">
        <v>14337</v>
      </c>
      <c r="C35439" s="1" t="s">
        <v>14338</v>
      </c>
      <c r="D35439" s="22" t="str">
        <f>HYPERLINK("https://rhld.insurance.arkansas.gov/NPILookup?Npi=1396832101","1396832101")</f>
        <v>1396832101</v>
      </c>
      <c r="E35439" s="1" t="s">
        <v>14643</v>
      </c>
      <c r="F35439" s="62"/>
      <c r="G35439" s="2">
        <v>54321</v>
      </c>
      <c r="H35439" s="62"/>
    </row>
    <row r="35440" spans="2:8" x14ac:dyDescent="0.25">
      <c r="B35440" s="1" t="s">
        <v>14337</v>
      </c>
      <c r="C35440" s="1" t="s">
        <v>14338</v>
      </c>
      <c r="D35440" s="22" t="str">
        <f>HYPERLINK("https://rhld.insurance.arkansas.gov/NPILookup?Npi=1396866687","1396866687")</f>
        <v>1396866687</v>
      </c>
      <c r="E35440" s="1" t="s">
        <v>14644</v>
      </c>
      <c r="F35440" s="62"/>
      <c r="G35440" s="2">
        <v>54321</v>
      </c>
      <c r="H35440" s="62"/>
    </row>
    <row r="35441" spans="2:8" x14ac:dyDescent="0.25">
      <c r="B35441" s="1" t="s">
        <v>14337</v>
      </c>
      <c r="C35441" s="1" t="s">
        <v>14338</v>
      </c>
      <c r="D35441" s="22" t="str">
        <f>HYPERLINK("https://rhld.insurance.arkansas.gov/NPILookup?Npi=1396878468","1396878468")</f>
        <v>1396878468</v>
      </c>
      <c r="E35441" s="1" t="s">
        <v>14645</v>
      </c>
      <c r="F35441" s="62"/>
      <c r="G35441" s="2">
        <v>54321</v>
      </c>
      <c r="H35441" s="62"/>
    </row>
    <row r="35442" spans="2:8" x14ac:dyDescent="0.25">
      <c r="B35442" s="1" t="s">
        <v>14337</v>
      </c>
      <c r="C35442" s="1" t="s">
        <v>14338</v>
      </c>
      <c r="D35442" s="22" t="str">
        <f>HYPERLINK("https://rhld.insurance.arkansas.gov/NPILookup?Npi=1396984498","1396984498")</f>
        <v>1396984498</v>
      </c>
      <c r="E35442" s="1" t="s">
        <v>14646</v>
      </c>
      <c r="F35442" s="62"/>
      <c r="G35442" s="2">
        <v>54321</v>
      </c>
      <c r="H35442" s="62"/>
    </row>
    <row r="35443" spans="2:8" x14ac:dyDescent="0.25">
      <c r="B35443" s="1" t="s">
        <v>14337</v>
      </c>
      <c r="C35443" s="1" t="s">
        <v>14338</v>
      </c>
      <c r="D35443" s="22" t="str">
        <f>HYPERLINK("https://rhld.insurance.arkansas.gov/NPILookup?Npi=1407343023","1407343023")</f>
        <v>1407343023</v>
      </c>
      <c r="E35443" s="1" t="s">
        <v>14647</v>
      </c>
      <c r="F35443" s="62"/>
      <c r="G35443" s="2">
        <v>54321</v>
      </c>
      <c r="H35443" s="62"/>
    </row>
    <row r="35444" spans="2:8" x14ac:dyDescent="0.25">
      <c r="B35444" s="1" t="s">
        <v>14337</v>
      </c>
      <c r="C35444" s="1" t="s">
        <v>14338</v>
      </c>
      <c r="D35444" s="22" t="str">
        <f>HYPERLINK("https://rhld.insurance.arkansas.gov/NPILookup?Npi=1407358484","1407358484")</f>
        <v>1407358484</v>
      </c>
      <c r="E35444" s="1" t="s">
        <v>14648</v>
      </c>
      <c r="F35444" s="62"/>
      <c r="G35444" s="2">
        <v>54321</v>
      </c>
      <c r="H35444" s="62"/>
    </row>
    <row r="35445" spans="2:8" x14ac:dyDescent="0.25">
      <c r="B35445" s="1" t="s">
        <v>14337</v>
      </c>
      <c r="C35445" s="1" t="s">
        <v>14338</v>
      </c>
      <c r="D35445" s="22" t="str">
        <f>HYPERLINK("https://rhld.insurance.arkansas.gov/NPILookup?Npi=1407492184","1407492184")</f>
        <v>1407492184</v>
      </c>
      <c r="E35445" s="1" t="s">
        <v>14649</v>
      </c>
      <c r="F35445" s="62"/>
      <c r="G35445" s="2">
        <v>54321</v>
      </c>
      <c r="H35445" s="62"/>
    </row>
    <row r="35446" spans="2:8" x14ac:dyDescent="0.25">
      <c r="B35446" s="1" t="s">
        <v>14337</v>
      </c>
      <c r="C35446" s="1" t="s">
        <v>14338</v>
      </c>
      <c r="D35446" s="22" t="str">
        <f>HYPERLINK("https://rhld.insurance.arkansas.gov/NPILookup?Npi=1407508765","1407508765")</f>
        <v>1407508765</v>
      </c>
      <c r="E35446" s="1" t="s">
        <v>14650</v>
      </c>
      <c r="F35446" s="62"/>
      <c r="G35446" s="2">
        <v>54321</v>
      </c>
      <c r="H35446" s="62"/>
    </row>
    <row r="35447" spans="2:8" x14ac:dyDescent="0.25">
      <c r="B35447" s="1" t="s">
        <v>14337</v>
      </c>
      <c r="C35447" s="1" t="s">
        <v>14338</v>
      </c>
      <c r="D35447" s="22" t="str">
        <f>HYPERLINK("https://rhld.insurance.arkansas.gov/NPILookup?Npi=1407532732","1407532732")</f>
        <v>1407532732</v>
      </c>
      <c r="E35447" s="1" t="s">
        <v>14651</v>
      </c>
      <c r="F35447" s="62"/>
      <c r="G35447" s="2">
        <v>54321</v>
      </c>
      <c r="H35447" s="62"/>
    </row>
    <row r="35448" spans="2:8" x14ac:dyDescent="0.25">
      <c r="B35448" s="1" t="s">
        <v>14337</v>
      </c>
      <c r="C35448" s="1" t="s">
        <v>14338</v>
      </c>
      <c r="D35448" s="22" t="str">
        <f>HYPERLINK("https://rhld.insurance.arkansas.gov/NPILookup?Npi=1407544364","1407544364")</f>
        <v>1407544364</v>
      </c>
      <c r="E35448" s="1" t="s">
        <v>14652</v>
      </c>
      <c r="F35448" s="62"/>
      <c r="G35448" s="2">
        <v>54321</v>
      </c>
      <c r="H35448" s="62"/>
    </row>
    <row r="35449" spans="2:8" x14ac:dyDescent="0.25">
      <c r="B35449" s="1" t="s">
        <v>14337</v>
      </c>
      <c r="C35449" s="1" t="s">
        <v>14338</v>
      </c>
      <c r="D35449" s="22" t="str">
        <f>HYPERLINK("https://rhld.insurance.arkansas.gov/NPILookup?Npi=1407556608","1407556608")</f>
        <v>1407556608</v>
      </c>
      <c r="E35449" s="1" t="s">
        <v>14653</v>
      </c>
      <c r="F35449" s="62"/>
      <c r="G35449" s="2">
        <v>54321</v>
      </c>
      <c r="H35449" s="62"/>
    </row>
    <row r="35450" spans="2:8" x14ac:dyDescent="0.25">
      <c r="B35450" s="1" t="s">
        <v>14337</v>
      </c>
      <c r="C35450" s="1" t="s">
        <v>14338</v>
      </c>
      <c r="D35450" s="22" t="str">
        <f>HYPERLINK("https://rhld.insurance.arkansas.gov/NPILookup?Npi=1407635592","1407635592")</f>
        <v>1407635592</v>
      </c>
      <c r="E35450" s="1" t="s">
        <v>14654</v>
      </c>
      <c r="F35450" s="62"/>
      <c r="G35450" s="2">
        <v>54321</v>
      </c>
      <c r="H35450" s="62"/>
    </row>
    <row r="35451" spans="2:8" x14ac:dyDescent="0.25">
      <c r="B35451" s="1" t="s">
        <v>14337</v>
      </c>
      <c r="C35451" s="1" t="s">
        <v>14338</v>
      </c>
      <c r="D35451" s="22" t="str">
        <f>HYPERLINK("https://rhld.insurance.arkansas.gov/NPILookup?Npi=1407844855","1407844855")</f>
        <v>1407844855</v>
      </c>
      <c r="E35451" s="1" t="s">
        <v>14655</v>
      </c>
      <c r="F35451" s="62"/>
      <c r="G35451" s="2">
        <v>54321</v>
      </c>
      <c r="H35451" s="62"/>
    </row>
    <row r="35452" spans="2:8" x14ac:dyDescent="0.25">
      <c r="B35452" s="1" t="s">
        <v>14337</v>
      </c>
      <c r="C35452" s="1" t="s">
        <v>14338</v>
      </c>
      <c r="D35452" s="22" t="str">
        <f>HYPERLINK("https://rhld.insurance.arkansas.gov/NPILookup?Npi=1407873805","1407873805")</f>
        <v>1407873805</v>
      </c>
      <c r="E35452" s="1" t="s">
        <v>14371</v>
      </c>
      <c r="F35452" s="62"/>
      <c r="G35452" s="2">
        <v>54321</v>
      </c>
      <c r="H35452" s="62"/>
    </row>
    <row r="35453" spans="2:8" x14ac:dyDescent="0.25">
      <c r="B35453" s="1" t="s">
        <v>14337</v>
      </c>
      <c r="C35453" s="1" t="s">
        <v>14338</v>
      </c>
      <c r="D35453" s="22" t="str">
        <f>HYPERLINK("https://rhld.insurance.arkansas.gov/NPILookup?Npi=1407878283","1407878283")</f>
        <v>1407878283</v>
      </c>
      <c r="E35453" s="1" t="s">
        <v>14359</v>
      </c>
      <c r="F35453" s="62"/>
      <c r="G35453" s="2">
        <v>54321</v>
      </c>
      <c r="H35453" s="62"/>
    </row>
    <row r="35454" spans="2:8" x14ac:dyDescent="0.25">
      <c r="B35454" s="1" t="s">
        <v>14337</v>
      </c>
      <c r="C35454" s="1" t="s">
        <v>14338</v>
      </c>
      <c r="D35454" s="22" t="str">
        <f>HYPERLINK("https://rhld.insurance.arkansas.gov/NPILookup?Npi=1407880255","1407880255")</f>
        <v>1407880255</v>
      </c>
      <c r="E35454" s="1" t="s">
        <v>14344</v>
      </c>
      <c r="F35454" s="62"/>
      <c r="G35454" s="2">
        <v>54321</v>
      </c>
      <c r="H35454" s="62"/>
    </row>
    <row r="35455" spans="2:8" x14ac:dyDescent="0.25">
      <c r="B35455" s="1" t="s">
        <v>14337</v>
      </c>
      <c r="C35455" s="1" t="s">
        <v>14338</v>
      </c>
      <c r="D35455" s="22" t="str">
        <f>HYPERLINK("https://rhld.insurance.arkansas.gov/NPILookup?Npi=1407881360","1407881360")</f>
        <v>1407881360</v>
      </c>
      <c r="E35455" s="1" t="s">
        <v>14656</v>
      </c>
      <c r="F35455" s="62"/>
      <c r="G35455" s="2">
        <v>54321</v>
      </c>
      <c r="H35455" s="62"/>
    </row>
    <row r="35456" spans="2:8" x14ac:dyDescent="0.25">
      <c r="B35456" s="1" t="s">
        <v>14337</v>
      </c>
      <c r="C35456" s="1" t="s">
        <v>14338</v>
      </c>
      <c r="D35456" s="22" t="str">
        <f>HYPERLINK("https://rhld.insurance.arkansas.gov/NPILookup?Npi=1417039298","1417039298")</f>
        <v>1417039298</v>
      </c>
      <c r="E35456" s="1" t="s">
        <v>14657</v>
      </c>
      <c r="F35456" s="62"/>
      <c r="G35456" s="2">
        <v>54321</v>
      </c>
      <c r="H35456" s="62"/>
    </row>
    <row r="35457" spans="2:8" x14ac:dyDescent="0.25">
      <c r="B35457" s="1" t="s">
        <v>14337</v>
      </c>
      <c r="C35457" s="1" t="s">
        <v>14338</v>
      </c>
      <c r="D35457" s="22" t="str">
        <f>HYPERLINK("https://rhld.insurance.arkansas.gov/NPILookup?Npi=1417039884","1417039884")</f>
        <v>1417039884</v>
      </c>
      <c r="E35457" s="1" t="s">
        <v>14359</v>
      </c>
      <c r="F35457" s="62"/>
      <c r="G35457" s="2">
        <v>54321</v>
      </c>
      <c r="H35457" s="62"/>
    </row>
    <row r="35458" spans="2:8" x14ac:dyDescent="0.25">
      <c r="B35458" s="1" t="s">
        <v>14337</v>
      </c>
      <c r="C35458" s="1" t="s">
        <v>14338</v>
      </c>
      <c r="D35458" s="22" t="str">
        <f>HYPERLINK("https://rhld.insurance.arkansas.gov/NPILookup?Npi=1417057738","1417057738")</f>
        <v>1417057738</v>
      </c>
      <c r="E35458" s="1" t="s">
        <v>14658</v>
      </c>
      <c r="F35458" s="62"/>
      <c r="G35458" s="2">
        <v>54321</v>
      </c>
      <c r="H35458" s="62"/>
    </row>
    <row r="35459" spans="2:8" x14ac:dyDescent="0.25">
      <c r="B35459" s="1" t="s">
        <v>14337</v>
      </c>
      <c r="C35459" s="1" t="s">
        <v>14338</v>
      </c>
      <c r="D35459" s="22" t="str">
        <f>HYPERLINK("https://rhld.insurance.arkansas.gov/NPILookup?Npi=1417092032","1417092032")</f>
        <v>1417092032</v>
      </c>
      <c r="E35459" s="1" t="s">
        <v>14659</v>
      </c>
      <c r="F35459" s="62"/>
      <c r="G35459" s="2">
        <v>54321</v>
      </c>
      <c r="H35459" s="62"/>
    </row>
    <row r="35460" spans="2:8" x14ac:dyDescent="0.25">
      <c r="B35460" s="1" t="s">
        <v>14337</v>
      </c>
      <c r="C35460" s="1" t="s">
        <v>14338</v>
      </c>
      <c r="D35460" s="22" t="str">
        <f>HYPERLINK("https://rhld.insurance.arkansas.gov/NPILookup?Npi=1417289166","1417289166")</f>
        <v>1417289166</v>
      </c>
      <c r="E35460" s="1" t="s">
        <v>14660</v>
      </c>
      <c r="F35460" s="62"/>
      <c r="G35460" s="2">
        <v>54321</v>
      </c>
      <c r="H35460" s="62"/>
    </row>
    <row r="35461" spans="2:8" x14ac:dyDescent="0.25">
      <c r="B35461" s="1" t="s">
        <v>14337</v>
      </c>
      <c r="C35461" s="1" t="s">
        <v>14338</v>
      </c>
      <c r="D35461" s="22" t="str">
        <f>HYPERLINK("https://rhld.insurance.arkansas.gov/NPILookup?Npi=1417374794","1417374794")</f>
        <v>1417374794</v>
      </c>
      <c r="E35461" s="1" t="s">
        <v>14661</v>
      </c>
      <c r="F35461" s="62"/>
      <c r="G35461" s="2">
        <v>54321</v>
      </c>
      <c r="H35461" s="62"/>
    </row>
    <row r="35462" spans="2:8" x14ac:dyDescent="0.25">
      <c r="B35462" s="1" t="s">
        <v>14337</v>
      </c>
      <c r="C35462" s="1" t="s">
        <v>14338</v>
      </c>
      <c r="D35462" s="22" t="str">
        <f>HYPERLINK("https://rhld.insurance.arkansas.gov/NPILookup?Npi=1417481300","1417481300")</f>
        <v>1417481300</v>
      </c>
      <c r="E35462" s="1" t="s">
        <v>14662</v>
      </c>
      <c r="F35462" s="62"/>
      <c r="G35462" s="2">
        <v>54321</v>
      </c>
      <c r="H35462" s="62"/>
    </row>
    <row r="35463" spans="2:8" x14ac:dyDescent="0.25">
      <c r="B35463" s="1" t="s">
        <v>14337</v>
      </c>
      <c r="C35463" s="1" t="s">
        <v>14338</v>
      </c>
      <c r="D35463" s="22" t="str">
        <f>HYPERLINK("https://rhld.insurance.arkansas.gov/NPILookup?Npi=1417544958","1417544958")</f>
        <v>1417544958</v>
      </c>
      <c r="E35463" s="1" t="s">
        <v>14663</v>
      </c>
      <c r="F35463" s="62"/>
      <c r="G35463" s="2">
        <v>54321</v>
      </c>
      <c r="H35463" s="62"/>
    </row>
    <row r="35464" spans="2:8" x14ac:dyDescent="0.25">
      <c r="B35464" s="1" t="s">
        <v>14337</v>
      </c>
      <c r="C35464" s="1" t="s">
        <v>14338</v>
      </c>
      <c r="D35464" s="22" t="str">
        <f>HYPERLINK("https://rhld.insurance.arkansas.gov/NPILookup?Npi=1417631888","1417631888")</f>
        <v>1417631888</v>
      </c>
      <c r="E35464" s="1" t="s">
        <v>14664</v>
      </c>
      <c r="F35464" s="62"/>
      <c r="G35464" s="2">
        <v>54321</v>
      </c>
      <c r="H35464" s="62"/>
    </row>
    <row r="35465" spans="2:8" x14ac:dyDescent="0.25">
      <c r="B35465" s="1" t="s">
        <v>14337</v>
      </c>
      <c r="C35465" s="1" t="s">
        <v>14338</v>
      </c>
      <c r="D35465" s="22" t="str">
        <f>HYPERLINK("https://rhld.insurance.arkansas.gov/NPILookup?Npi=1417719972","1417719972")</f>
        <v>1417719972</v>
      </c>
      <c r="E35465" s="1" t="s">
        <v>14665</v>
      </c>
      <c r="F35465" s="62"/>
      <c r="G35465" s="2">
        <v>54321</v>
      </c>
      <c r="H35465" s="62"/>
    </row>
    <row r="35466" spans="2:8" x14ac:dyDescent="0.25">
      <c r="B35466" s="1" t="s">
        <v>14337</v>
      </c>
      <c r="C35466" s="1" t="s">
        <v>14338</v>
      </c>
      <c r="D35466" s="22" t="str">
        <f>HYPERLINK("https://rhld.insurance.arkansas.gov/NPILookup?Npi=1417974767","1417974767")</f>
        <v>1417974767</v>
      </c>
      <c r="E35466" s="1" t="s">
        <v>14355</v>
      </c>
      <c r="F35466" s="62"/>
      <c r="G35466" s="2">
        <v>54321</v>
      </c>
      <c r="H35466" s="62"/>
    </row>
    <row r="35467" spans="2:8" x14ac:dyDescent="0.25">
      <c r="B35467" s="1" t="s">
        <v>14337</v>
      </c>
      <c r="C35467" s="1" t="s">
        <v>14338</v>
      </c>
      <c r="D35467" s="22" t="str">
        <f>HYPERLINK("https://rhld.insurance.arkansas.gov/NPILookup?Npi=1417974809","1417974809")</f>
        <v>1417974809</v>
      </c>
      <c r="E35467" s="1" t="s">
        <v>14352</v>
      </c>
      <c r="F35467" s="62"/>
      <c r="G35467" s="2">
        <v>54321</v>
      </c>
      <c r="H35467" s="62"/>
    </row>
    <row r="35468" spans="2:8" x14ac:dyDescent="0.25">
      <c r="B35468" s="1" t="s">
        <v>14337</v>
      </c>
      <c r="C35468" s="1" t="s">
        <v>14338</v>
      </c>
      <c r="D35468" s="22" t="str">
        <f>HYPERLINK("https://rhld.insurance.arkansas.gov/NPILookup?Npi=1417974817","1417974817")</f>
        <v>1417974817</v>
      </c>
      <c r="E35468" s="1" t="s">
        <v>14352</v>
      </c>
      <c r="F35468" s="62"/>
      <c r="G35468" s="2">
        <v>54321</v>
      </c>
      <c r="H35468" s="62"/>
    </row>
    <row r="35469" spans="2:8" x14ac:dyDescent="0.25">
      <c r="B35469" s="1" t="s">
        <v>14337</v>
      </c>
      <c r="C35469" s="1" t="s">
        <v>14338</v>
      </c>
      <c r="D35469" s="22" t="str">
        <f>HYPERLINK("https://rhld.insurance.arkansas.gov/NPILookup?Npi=1417981150","1417981150")</f>
        <v>1417981150</v>
      </c>
      <c r="E35469" s="1" t="s">
        <v>14344</v>
      </c>
      <c r="F35469" s="62"/>
      <c r="G35469" s="2">
        <v>54321</v>
      </c>
      <c r="H35469" s="62"/>
    </row>
    <row r="35470" spans="2:8" x14ac:dyDescent="0.25">
      <c r="B35470" s="1" t="s">
        <v>14337</v>
      </c>
      <c r="C35470" s="1" t="s">
        <v>14338</v>
      </c>
      <c r="D35470" s="22" t="str">
        <f>HYPERLINK("https://rhld.insurance.arkansas.gov/NPILookup?Npi=1427043413","1427043413")</f>
        <v>1427043413</v>
      </c>
      <c r="E35470" s="1" t="s">
        <v>14666</v>
      </c>
      <c r="F35470" s="62"/>
      <c r="G35470" s="2">
        <v>54321</v>
      </c>
      <c r="H35470" s="62"/>
    </row>
    <row r="35471" spans="2:8" x14ac:dyDescent="0.25">
      <c r="B35471" s="1" t="s">
        <v>14337</v>
      </c>
      <c r="C35471" s="1" t="s">
        <v>14338</v>
      </c>
      <c r="D35471" s="22" t="str">
        <f>HYPERLINK("https://rhld.insurance.arkansas.gov/NPILookup?Npi=1427052000","1427052000")</f>
        <v>1427052000</v>
      </c>
      <c r="E35471" s="1" t="s">
        <v>14667</v>
      </c>
      <c r="F35471" s="62"/>
      <c r="G35471" s="2">
        <v>54321</v>
      </c>
      <c r="H35471" s="62"/>
    </row>
    <row r="35472" spans="2:8" x14ac:dyDescent="0.25">
      <c r="B35472" s="1" t="s">
        <v>14337</v>
      </c>
      <c r="C35472" s="1" t="s">
        <v>14338</v>
      </c>
      <c r="D35472" s="22" t="str">
        <f>HYPERLINK("https://rhld.insurance.arkansas.gov/NPILookup?Npi=1427058593","1427058593")</f>
        <v>1427058593</v>
      </c>
      <c r="E35472" s="1" t="s">
        <v>14668</v>
      </c>
      <c r="F35472" s="62"/>
      <c r="G35472" s="2">
        <v>54321</v>
      </c>
      <c r="H35472" s="62"/>
    </row>
    <row r="35473" spans="2:8" x14ac:dyDescent="0.25">
      <c r="B35473" s="1" t="s">
        <v>14337</v>
      </c>
      <c r="C35473" s="1" t="s">
        <v>14338</v>
      </c>
      <c r="D35473" s="22" t="str">
        <f>HYPERLINK("https://rhld.insurance.arkansas.gov/NPILookup?Npi=1427075803","1427075803")</f>
        <v>1427075803</v>
      </c>
      <c r="E35473" s="1" t="s">
        <v>14352</v>
      </c>
      <c r="F35473" s="62"/>
      <c r="G35473" s="2">
        <v>54321</v>
      </c>
      <c r="H35473" s="62"/>
    </row>
    <row r="35474" spans="2:8" x14ac:dyDescent="0.25">
      <c r="B35474" s="1" t="s">
        <v>14337</v>
      </c>
      <c r="C35474" s="1" t="s">
        <v>14338</v>
      </c>
      <c r="D35474" s="22" t="str">
        <f>HYPERLINK("https://rhld.insurance.arkansas.gov/NPILookup?Npi=1427075811","1427075811")</f>
        <v>1427075811</v>
      </c>
      <c r="E35474" s="1" t="s">
        <v>14352</v>
      </c>
      <c r="F35474" s="62"/>
      <c r="G35474" s="2">
        <v>54321</v>
      </c>
      <c r="H35474" s="62"/>
    </row>
    <row r="35475" spans="2:8" x14ac:dyDescent="0.25">
      <c r="B35475" s="1" t="s">
        <v>14337</v>
      </c>
      <c r="C35475" s="1" t="s">
        <v>14338</v>
      </c>
      <c r="D35475" s="22" t="str">
        <f>HYPERLINK("https://rhld.insurance.arkansas.gov/NPILookup?Npi=1427075829","1427075829")</f>
        <v>1427075829</v>
      </c>
      <c r="E35475" s="1" t="s">
        <v>14355</v>
      </c>
      <c r="F35475" s="62"/>
      <c r="G35475" s="2">
        <v>54321</v>
      </c>
      <c r="H35475" s="62"/>
    </row>
    <row r="35476" spans="2:8" x14ac:dyDescent="0.25">
      <c r="B35476" s="1" t="s">
        <v>14337</v>
      </c>
      <c r="C35476" s="1" t="s">
        <v>14338</v>
      </c>
      <c r="D35476" s="22" t="str">
        <f>HYPERLINK("https://rhld.insurance.arkansas.gov/NPILookup?Npi=1427075837","1427075837")</f>
        <v>1427075837</v>
      </c>
      <c r="E35476" s="1" t="s">
        <v>14352</v>
      </c>
      <c r="F35476" s="62"/>
      <c r="G35476" s="2">
        <v>54321</v>
      </c>
      <c r="H35476" s="62"/>
    </row>
    <row r="35477" spans="2:8" x14ac:dyDescent="0.25">
      <c r="B35477" s="1" t="s">
        <v>14337</v>
      </c>
      <c r="C35477" s="1" t="s">
        <v>14338</v>
      </c>
      <c r="D35477" s="22" t="str">
        <f>HYPERLINK("https://rhld.insurance.arkansas.gov/NPILookup?Npi=1427082270","1427082270")</f>
        <v>1427082270</v>
      </c>
      <c r="E35477" s="1" t="s">
        <v>14344</v>
      </c>
      <c r="F35477" s="62"/>
      <c r="G35477" s="2">
        <v>54321</v>
      </c>
      <c r="H35477" s="62"/>
    </row>
    <row r="35478" spans="2:8" x14ac:dyDescent="0.25">
      <c r="B35478" s="1" t="s">
        <v>14337</v>
      </c>
      <c r="C35478" s="1" t="s">
        <v>14338</v>
      </c>
      <c r="D35478" s="22" t="str">
        <f>HYPERLINK("https://rhld.insurance.arkansas.gov/NPILookup?Npi=1427170901","1427170901")</f>
        <v>1427170901</v>
      </c>
      <c r="E35478" s="1" t="s">
        <v>14669</v>
      </c>
      <c r="F35478" s="62"/>
      <c r="G35478" s="2">
        <v>54321</v>
      </c>
      <c r="H35478" s="62"/>
    </row>
    <row r="35479" spans="2:8" x14ac:dyDescent="0.25">
      <c r="B35479" s="1" t="s">
        <v>14337</v>
      </c>
      <c r="C35479" s="1" t="s">
        <v>14338</v>
      </c>
      <c r="D35479" s="22" t="str">
        <f>HYPERLINK("https://rhld.insurance.arkansas.gov/NPILookup?Npi=1427191154","1427191154")</f>
        <v>1427191154</v>
      </c>
      <c r="E35479" s="1" t="s">
        <v>14670</v>
      </c>
      <c r="F35479" s="62"/>
      <c r="G35479" s="2">
        <v>54321</v>
      </c>
      <c r="H35479" s="62"/>
    </row>
    <row r="35480" spans="2:8" x14ac:dyDescent="0.25">
      <c r="B35480" s="1" t="s">
        <v>14337</v>
      </c>
      <c r="C35480" s="1" t="s">
        <v>14338</v>
      </c>
      <c r="D35480" s="22" t="str">
        <f>HYPERLINK("https://rhld.insurance.arkansas.gov/NPILookup?Npi=1427305572","1427305572")</f>
        <v>1427305572</v>
      </c>
      <c r="E35480" s="1" t="s">
        <v>14671</v>
      </c>
      <c r="F35480" s="62"/>
      <c r="G35480" s="2">
        <v>54321</v>
      </c>
      <c r="H35480" s="62"/>
    </row>
    <row r="35481" spans="2:8" x14ac:dyDescent="0.25">
      <c r="B35481" s="1" t="s">
        <v>14337</v>
      </c>
      <c r="C35481" s="1" t="s">
        <v>14338</v>
      </c>
      <c r="D35481" s="22" t="str">
        <f>HYPERLINK("https://rhld.insurance.arkansas.gov/NPILookup?Npi=1427432558","1427432558")</f>
        <v>1427432558</v>
      </c>
      <c r="E35481" s="1" t="s">
        <v>14672</v>
      </c>
      <c r="F35481" s="62"/>
      <c r="G35481" s="2">
        <v>54321</v>
      </c>
      <c r="H35481" s="62"/>
    </row>
    <row r="35482" spans="2:8" x14ac:dyDescent="0.25">
      <c r="B35482" s="1" t="s">
        <v>14337</v>
      </c>
      <c r="C35482" s="1" t="s">
        <v>14338</v>
      </c>
      <c r="D35482" s="22" t="str">
        <f>HYPERLINK("https://rhld.insurance.arkansas.gov/NPILookup?Npi=1427452168","1427452168")</f>
        <v>1427452168</v>
      </c>
      <c r="E35482" s="1" t="s">
        <v>14673</v>
      </c>
      <c r="F35482" s="62"/>
      <c r="G35482" s="2">
        <v>54321</v>
      </c>
      <c r="H35482" s="62"/>
    </row>
    <row r="35483" spans="2:8" x14ac:dyDescent="0.25">
      <c r="B35483" s="1" t="s">
        <v>14337</v>
      </c>
      <c r="C35483" s="1" t="s">
        <v>14338</v>
      </c>
      <c r="D35483" s="22" t="str">
        <f>HYPERLINK("https://rhld.insurance.arkansas.gov/NPILookup?Npi=1427473925","1427473925")</f>
        <v>1427473925</v>
      </c>
      <c r="E35483" s="1" t="s">
        <v>14491</v>
      </c>
      <c r="F35483" s="62"/>
      <c r="G35483" s="2">
        <v>54321</v>
      </c>
      <c r="H35483" s="62"/>
    </row>
    <row r="35484" spans="2:8" x14ac:dyDescent="0.25">
      <c r="B35484" s="1" t="s">
        <v>14337</v>
      </c>
      <c r="C35484" s="1" t="s">
        <v>14338</v>
      </c>
      <c r="D35484" s="22" t="str">
        <f>HYPERLINK("https://rhld.insurance.arkansas.gov/NPILookup?Npi=1427493659","1427493659")</f>
        <v>1427493659</v>
      </c>
      <c r="E35484" s="1" t="s">
        <v>14674</v>
      </c>
      <c r="F35484" s="62"/>
      <c r="G35484" s="2">
        <v>54321</v>
      </c>
      <c r="H35484" s="62"/>
    </row>
    <row r="35485" spans="2:8" x14ac:dyDescent="0.25">
      <c r="B35485" s="1" t="s">
        <v>14337</v>
      </c>
      <c r="C35485" s="1" t="s">
        <v>14338</v>
      </c>
      <c r="D35485" s="22" t="str">
        <f>HYPERLINK("https://rhld.insurance.arkansas.gov/NPILookup?Npi=1427736966","1427736966")</f>
        <v>1427736966</v>
      </c>
      <c r="E35485" s="1" t="s">
        <v>14463</v>
      </c>
      <c r="F35485" s="62"/>
      <c r="G35485" s="2">
        <v>54321</v>
      </c>
      <c r="H35485" s="62"/>
    </row>
    <row r="35486" spans="2:8" x14ac:dyDescent="0.25">
      <c r="B35486" s="1" t="s">
        <v>14337</v>
      </c>
      <c r="C35486" s="1" t="s">
        <v>14338</v>
      </c>
      <c r="D35486" s="22" t="str">
        <f>HYPERLINK("https://rhld.insurance.arkansas.gov/NPILookup?Npi=1437164530","1437164530")</f>
        <v>1437164530</v>
      </c>
      <c r="E35486" s="1" t="s">
        <v>14343</v>
      </c>
      <c r="F35486" s="62"/>
      <c r="G35486" s="2">
        <v>54321</v>
      </c>
      <c r="H35486" s="62"/>
    </row>
    <row r="35487" spans="2:8" x14ac:dyDescent="0.25">
      <c r="B35487" s="1" t="s">
        <v>14337</v>
      </c>
      <c r="C35487" s="1" t="s">
        <v>14338</v>
      </c>
      <c r="D35487" s="22" t="str">
        <f>HYPERLINK("https://rhld.insurance.arkansas.gov/NPILookup?Npi=1437176815","1437176815")</f>
        <v>1437176815</v>
      </c>
      <c r="E35487" s="1" t="s">
        <v>14352</v>
      </c>
      <c r="F35487" s="62"/>
      <c r="G35487" s="2">
        <v>54321</v>
      </c>
      <c r="H35487" s="62"/>
    </row>
    <row r="35488" spans="2:8" x14ac:dyDescent="0.25">
      <c r="B35488" s="1" t="s">
        <v>14337</v>
      </c>
      <c r="C35488" s="1" t="s">
        <v>14338</v>
      </c>
      <c r="D35488" s="22" t="str">
        <f>HYPERLINK("https://rhld.insurance.arkansas.gov/NPILookup?Npi=1437216694","1437216694")</f>
        <v>1437216694</v>
      </c>
      <c r="E35488" s="1" t="s">
        <v>14675</v>
      </c>
      <c r="F35488" s="62"/>
      <c r="G35488" s="2">
        <v>54321</v>
      </c>
      <c r="H35488" s="62"/>
    </row>
    <row r="35489" spans="2:8" x14ac:dyDescent="0.25">
      <c r="B35489" s="1" t="s">
        <v>14337</v>
      </c>
      <c r="C35489" s="1" t="s">
        <v>14338</v>
      </c>
      <c r="D35489" s="22" t="str">
        <f>HYPERLINK("https://rhld.insurance.arkansas.gov/NPILookup?Npi=1437228756","1437228756")</f>
        <v>1437228756</v>
      </c>
      <c r="E35489" s="1" t="s">
        <v>14676</v>
      </c>
      <c r="F35489" s="62"/>
      <c r="G35489" s="2">
        <v>54321</v>
      </c>
      <c r="H35489" s="62"/>
    </row>
    <row r="35490" spans="2:8" x14ac:dyDescent="0.25">
      <c r="B35490" s="1" t="s">
        <v>14337</v>
      </c>
      <c r="C35490" s="1" t="s">
        <v>14338</v>
      </c>
      <c r="D35490" s="22" t="str">
        <f>HYPERLINK("https://rhld.insurance.arkansas.gov/NPILookup?Npi=1437249661","1437249661")</f>
        <v>1437249661</v>
      </c>
      <c r="E35490" s="1" t="s">
        <v>14677</v>
      </c>
      <c r="F35490" s="62"/>
      <c r="G35490" s="2">
        <v>54321</v>
      </c>
      <c r="H35490" s="62"/>
    </row>
    <row r="35491" spans="2:8" x14ac:dyDescent="0.25">
      <c r="B35491" s="1" t="s">
        <v>14337</v>
      </c>
      <c r="C35491" s="1" t="s">
        <v>14338</v>
      </c>
      <c r="D35491" s="22" t="str">
        <f>HYPERLINK("https://rhld.insurance.arkansas.gov/NPILookup?Npi=1437278017","1437278017")</f>
        <v>1437278017</v>
      </c>
      <c r="E35491" s="1" t="s">
        <v>14678</v>
      </c>
      <c r="F35491" s="62"/>
      <c r="G35491" s="2">
        <v>54321</v>
      </c>
      <c r="H35491" s="62"/>
    </row>
    <row r="35492" spans="2:8" x14ac:dyDescent="0.25">
      <c r="B35492" s="1" t="s">
        <v>14337</v>
      </c>
      <c r="C35492" s="1" t="s">
        <v>14338</v>
      </c>
      <c r="D35492" s="22" t="str">
        <f>HYPERLINK("https://rhld.insurance.arkansas.gov/NPILookup?Npi=1437316213","1437316213")</f>
        <v>1437316213</v>
      </c>
      <c r="E35492" s="1" t="s">
        <v>14355</v>
      </c>
      <c r="F35492" s="62"/>
      <c r="G35492" s="2">
        <v>54321</v>
      </c>
      <c r="H35492" s="62"/>
    </row>
    <row r="35493" spans="2:8" x14ac:dyDescent="0.25">
      <c r="B35493" s="1" t="s">
        <v>14337</v>
      </c>
      <c r="C35493" s="1" t="s">
        <v>14338</v>
      </c>
      <c r="D35493" s="22" t="str">
        <f>HYPERLINK("https://rhld.insurance.arkansas.gov/NPILookup?Npi=1437393311","1437393311")</f>
        <v>1437393311</v>
      </c>
      <c r="E35493" s="1" t="s">
        <v>14422</v>
      </c>
      <c r="F35493" s="62"/>
      <c r="G35493" s="2">
        <v>54321</v>
      </c>
      <c r="H35493" s="62"/>
    </row>
    <row r="35494" spans="2:8" x14ac:dyDescent="0.25">
      <c r="B35494" s="1" t="s">
        <v>14337</v>
      </c>
      <c r="C35494" s="1" t="s">
        <v>14338</v>
      </c>
      <c r="D35494" s="22" t="str">
        <f>HYPERLINK("https://rhld.insurance.arkansas.gov/NPILookup?Npi=1437530250","1437530250")</f>
        <v>1437530250</v>
      </c>
      <c r="E35494" s="1" t="s">
        <v>14679</v>
      </c>
      <c r="F35494" s="62"/>
      <c r="G35494" s="2">
        <v>54321</v>
      </c>
      <c r="H35494" s="62"/>
    </row>
    <row r="35495" spans="2:8" x14ac:dyDescent="0.25">
      <c r="B35495" s="1" t="s">
        <v>14337</v>
      </c>
      <c r="C35495" s="1" t="s">
        <v>14338</v>
      </c>
      <c r="D35495" s="22" t="str">
        <f>HYPERLINK("https://rhld.insurance.arkansas.gov/NPILookup?Npi=1437591294","1437591294")</f>
        <v>1437591294</v>
      </c>
      <c r="E35495" s="1" t="s">
        <v>14680</v>
      </c>
      <c r="F35495" s="62"/>
      <c r="G35495" s="2">
        <v>54321</v>
      </c>
      <c r="H35495" s="62"/>
    </row>
    <row r="35496" spans="2:8" x14ac:dyDescent="0.25">
      <c r="B35496" s="1" t="s">
        <v>14337</v>
      </c>
      <c r="C35496" s="1" t="s">
        <v>14338</v>
      </c>
      <c r="D35496" s="22" t="str">
        <f>HYPERLINK("https://rhld.insurance.arkansas.gov/NPILookup?Npi=1437609369","1437609369")</f>
        <v>1437609369</v>
      </c>
      <c r="E35496" s="1" t="s">
        <v>14422</v>
      </c>
      <c r="F35496" s="62"/>
      <c r="G35496" s="2">
        <v>54321</v>
      </c>
      <c r="H35496" s="62"/>
    </row>
    <row r="35497" spans="2:8" x14ac:dyDescent="0.25">
      <c r="B35497" s="1" t="s">
        <v>14337</v>
      </c>
      <c r="C35497" s="1" t="s">
        <v>14338</v>
      </c>
      <c r="D35497" s="22" t="str">
        <f>HYPERLINK("https://rhld.insurance.arkansas.gov/NPILookup?Npi=1437749850","1437749850")</f>
        <v>1437749850</v>
      </c>
      <c r="E35497" s="1" t="s">
        <v>14681</v>
      </c>
      <c r="F35497" s="62"/>
      <c r="G35497" s="2">
        <v>54321</v>
      </c>
      <c r="H35497" s="62"/>
    </row>
    <row r="35498" spans="2:8" x14ac:dyDescent="0.25">
      <c r="B35498" s="1" t="s">
        <v>14337</v>
      </c>
      <c r="C35498" s="1" t="s">
        <v>14338</v>
      </c>
      <c r="D35498" s="22" t="str">
        <f>HYPERLINK("https://rhld.insurance.arkansas.gov/NPILookup?Npi=1447265541","1447265541")</f>
        <v>1447265541</v>
      </c>
      <c r="E35498" s="1" t="s">
        <v>14343</v>
      </c>
      <c r="F35498" s="62"/>
      <c r="G35498" s="2">
        <v>54321</v>
      </c>
      <c r="H35498" s="62"/>
    </row>
    <row r="35499" spans="2:8" x14ac:dyDescent="0.25">
      <c r="B35499" s="1" t="s">
        <v>14337</v>
      </c>
      <c r="C35499" s="1" t="s">
        <v>14338</v>
      </c>
      <c r="D35499" s="22" t="str">
        <f>HYPERLINK("https://rhld.insurance.arkansas.gov/NPILookup?Npi=1447267448","1447267448")</f>
        <v>1447267448</v>
      </c>
      <c r="E35499" s="1" t="s">
        <v>14343</v>
      </c>
      <c r="F35499" s="62"/>
      <c r="G35499" s="2">
        <v>54321</v>
      </c>
      <c r="H35499" s="62"/>
    </row>
    <row r="35500" spans="2:8" x14ac:dyDescent="0.25">
      <c r="B35500" s="1" t="s">
        <v>14337</v>
      </c>
      <c r="C35500" s="1" t="s">
        <v>14338</v>
      </c>
      <c r="D35500" s="22" t="str">
        <f>HYPERLINK("https://rhld.insurance.arkansas.gov/NPILookup?Npi=1447272190","1447272190")</f>
        <v>1447272190</v>
      </c>
      <c r="E35500" s="1" t="s">
        <v>14359</v>
      </c>
      <c r="F35500" s="62"/>
      <c r="G35500" s="2">
        <v>54321</v>
      </c>
      <c r="H35500" s="62"/>
    </row>
    <row r="35501" spans="2:8" x14ac:dyDescent="0.25">
      <c r="B35501" s="1" t="s">
        <v>14337</v>
      </c>
      <c r="C35501" s="1" t="s">
        <v>14338</v>
      </c>
      <c r="D35501" s="22" t="str">
        <f>HYPERLINK("https://rhld.insurance.arkansas.gov/NPILookup?Npi=1447273503","1447273503")</f>
        <v>1447273503</v>
      </c>
      <c r="E35501" s="1" t="s">
        <v>14352</v>
      </c>
      <c r="F35501" s="62"/>
      <c r="G35501" s="2">
        <v>54321</v>
      </c>
      <c r="H35501" s="62"/>
    </row>
    <row r="35502" spans="2:8" x14ac:dyDescent="0.25">
      <c r="B35502" s="1" t="s">
        <v>14337</v>
      </c>
      <c r="C35502" s="1" t="s">
        <v>14338</v>
      </c>
      <c r="D35502" s="22" t="str">
        <f>HYPERLINK("https://rhld.insurance.arkansas.gov/NPILookup?Npi=1447307590","1447307590")</f>
        <v>1447307590</v>
      </c>
      <c r="E35502" s="1" t="s">
        <v>14682</v>
      </c>
      <c r="F35502" s="62"/>
      <c r="G35502" s="2">
        <v>54321</v>
      </c>
      <c r="H35502" s="62"/>
    </row>
    <row r="35503" spans="2:8" x14ac:dyDescent="0.25">
      <c r="B35503" s="1" t="s">
        <v>14337</v>
      </c>
      <c r="C35503" s="1" t="s">
        <v>14338</v>
      </c>
      <c r="D35503" s="22" t="str">
        <f>HYPERLINK("https://rhld.insurance.arkansas.gov/NPILookup?Npi=1447317714","1447317714")</f>
        <v>1447317714</v>
      </c>
      <c r="E35503" s="1" t="s">
        <v>14683</v>
      </c>
      <c r="F35503" s="62"/>
      <c r="G35503" s="2">
        <v>54321</v>
      </c>
      <c r="H35503" s="62"/>
    </row>
    <row r="35504" spans="2:8" x14ac:dyDescent="0.25">
      <c r="B35504" s="1" t="s">
        <v>14337</v>
      </c>
      <c r="C35504" s="1" t="s">
        <v>14338</v>
      </c>
      <c r="D35504" s="22" t="str">
        <f>HYPERLINK("https://rhld.insurance.arkansas.gov/NPILookup?Npi=1447320502","1447320502")</f>
        <v>1447320502</v>
      </c>
      <c r="E35504" s="1" t="s">
        <v>14684</v>
      </c>
      <c r="F35504" s="62"/>
      <c r="G35504" s="2">
        <v>54321</v>
      </c>
      <c r="H35504" s="62"/>
    </row>
    <row r="35505" spans="2:8" x14ac:dyDescent="0.25">
      <c r="B35505" s="1" t="s">
        <v>14337</v>
      </c>
      <c r="C35505" s="1" t="s">
        <v>14338</v>
      </c>
      <c r="D35505" s="22" t="str">
        <f>HYPERLINK("https://rhld.insurance.arkansas.gov/NPILookup?Npi=1447364419","1447364419")</f>
        <v>1447364419</v>
      </c>
      <c r="E35505" s="1" t="s">
        <v>14509</v>
      </c>
      <c r="F35505" s="62"/>
      <c r="G35505" s="2">
        <v>54321</v>
      </c>
      <c r="H35505" s="62"/>
    </row>
    <row r="35506" spans="2:8" x14ac:dyDescent="0.25">
      <c r="B35506" s="1" t="s">
        <v>14337</v>
      </c>
      <c r="C35506" s="1" t="s">
        <v>14338</v>
      </c>
      <c r="D35506" s="22" t="str">
        <f>HYPERLINK("https://rhld.insurance.arkansas.gov/NPILookup?Npi=1447498555","1447498555")</f>
        <v>1447498555</v>
      </c>
      <c r="E35506" s="1" t="s">
        <v>14685</v>
      </c>
      <c r="F35506" s="62"/>
      <c r="G35506" s="2">
        <v>54321</v>
      </c>
      <c r="H35506" s="62"/>
    </row>
    <row r="35507" spans="2:8" x14ac:dyDescent="0.25">
      <c r="B35507" s="1" t="s">
        <v>14337</v>
      </c>
      <c r="C35507" s="1" t="s">
        <v>14338</v>
      </c>
      <c r="D35507" s="22" t="str">
        <f>HYPERLINK("https://rhld.insurance.arkansas.gov/NPILookup?Npi=1447503941","1447503941")</f>
        <v>1447503941</v>
      </c>
      <c r="E35507" s="1" t="s">
        <v>14686</v>
      </c>
      <c r="F35507" s="62"/>
      <c r="G35507" s="2">
        <v>54321</v>
      </c>
      <c r="H35507" s="62"/>
    </row>
    <row r="35508" spans="2:8" x14ac:dyDescent="0.25">
      <c r="B35508" s="1" t="s">
        <v>14337</v>
      </c>
      <c r="C35508" s="1" t="s">
        <v>14338</v>
      </c>
      <c r="D35508" s="22" t="str">
        <f>HYPERLINK("https://rhld.insurance.arkansas.gov/NPILookup?Npi=1447590146","1447590146")</f>
        <v>1447590146</v>
      </c>
      <c r="E35508" s="1" t="s">
        <v>14687</v>
      </c>
      <c r="F35508" s="62"/>
      <c r="G35508" s="2">
        <v>54321</v>
      </c>
      <c r="H35508" s="62"/>
    </row>
    <row r="35509" spans="2:8" x14ac:dyDescent="0.25">
      <c r="B35509" s="1" t="s">
        <v>14337</v>
      </c>
      <c r="C35509" s="1" t="s">
        <v>14338</v>
      </c>
      <c r="D35509" s="22" t="str">
        <f>HYPERLINK("https://rhld.insurance.arkansas.gov/NPILookup?Npi=1447619572","1447619572")</f>
        <v>1447619572</v>
      </c>
      <c r="E35509" s="1" t="s">
        <v>14688</v>
      </c>
      <c r="F35509" s="62"/>
      <c r="G35509" s="2">
        <v>54321</v>
      </c>
      <c r="H35509" s="62"/>
    </row>
    <row r="35510" spans="2:8" x14ac:dyDescent="0.25">
      <c r="B35510" s="1" t="s">
        <v>14337</v>
      </c>
      <c r="C35510" s="1" t="s">
        <v>14338</v>
      </c>
      <c r="D35510" s="22" t="str">
        <f>HYPERLINK("https://rhld.insurance.arkansas.gov/NPILookup?Npi=1447622873","1447622873")</f>
        <v>1447622873</v>
      </c>
      <c r="E35510" s="1" t="s">
        <v>14689</v>
      </c>
      <c r="F35510" s="62"/>
      <c r="G35510" s="2">
        <v>54321</v>
      </c>
      <c r="H35510" s="62"/>
    </row>
    <row r="35511" spans="2:8" x14ac:dyDescent="0.25">
      <c r="B35511" s="1" t="s">
        <v>14337</v>
      </c>
      <c r="C35511" s="1" t="s">
        <v>14338</v>
      </c>
      <c r="D35511" s="22" t="str">
        <f>HYPERLINK("https://rhld.insurance.arkansas.gov/NPILookup?Npi=1457119398","1457119398")</f>
        <v>1457119398</v>
      </c>
      <c r="E35511" s="1" t="s">
        <v>14690</v>
      </c>
      <c r="F35511" s="62"/>
      <c r="G35511" s="2">
        <v>54321</v>
      </c>
      <c r="H35511" s="62"/>
    </row>
    <row r="35512" spans="2:8" x14ac:dyDescent="0.25">
      <c r="B35512" s="1" t="s">
        <v>14337</v>
      </c>
      <c r="C35512" s="1" t="s">
        <v>14338</v>
      </c>
      <c r="D35512" s="22" t="str">
        <f>HYPERLINK("https://rhld.insurance.arkansas.gov/NPILookup?Npi=1457309148","1457309148")</f>
        <v>1457309148</v>
      </c>
      <c r="E35512" s="1" t="s">
        <v>14691</v>
      </c>
      <c r="F35512" s="62"/>
      <c r="G35512" s="2">
        <v>54321</v>
      </c>
      <c r="H35512" s="62"/>
    </row>
    <row r="35513" spans="2:8" x14ac:dyDescent="0.25">
      <c r="B35513" s="1" t="s">
        <v>14337</v>
      </c>
      <c r="C35513" s="1" t="s">
        <v>14338</v>
      </c>
      <c r="D35513" s="22" t="str">
        <f>HYPERLINK("https://rhld.insurance.arkansas.gov/NPILookup?Npi=1457482788","1457482788")</f>
        <v>1457482788</v>
      </c>
      <c r="E35513" s="1" t="s">
        <v>14692</v>
      </c>
      <c r="F35513" s="62"/>
      <c r="G35513" s="2">
        <v>54321</v>
      </c>
      <c r="H35513" s="62"/>
    </row>
    <row r="35514" spans="2:8" x14ac:dyDescent="0.25">
      <c r="B35514" s="1" t="s">
        <v>14337</v>
      </c>
      <c r="C35514" s="1" t="s">
        <v>14338</v>
      </c>
      <c r="D35514" s="22" t="str">
        <f>HYPERLINK("https://rhld.insurance.arkansas.gov/NPILookup?Npi=1457523581","1457523581")</f>
        <v>1457523581</v>
      </c>
      <c r="E35514" s="1" t="s">
        <v>14343</v>
      </c>
      <c r="F35514" s="62"/>
      <c r="G35514" s="2">
        <v>54321</v>
      </c>
      <c r="H35514" s="62"/>
    </row>
    <row r="35515" spans="2:8" x14ac:dyDescent="0.25">
      <c r="B35515" s="1" t="s">
        <v>14337</v>
      </c>
      <c r="C35515" s="1" t="s">
        <v>14338</v>
      </c>
      <c r="D35515" s="22" t="str">
        <f>HYPERLINK("https://rhld.insurance.arkansas.gov/NPILookup?Npi=1457565400","1457565400")</f>
        <v>1457565400</v>
      </c>
      <c r="E35515" s="1" t="s">
        <v>32579</v>
      </c>
      <c r="F35515" s="62"/>
      <c r="G35515" s="2">
        <v>54321</v>
      </c>
      <c r="H35515" s="62"/>
    </row>
    <row r="35516" spans="2:8" x14ac:dyDescent="0.25">
      <c r="B35516" s="1" t="s">
        <v>14337</v>
      </c>
      <c r="C35516" s="1" t="s">
        <v>14338</v>
      </c>
      <c r="D35516" s="22" t="str">
        <f>HYPERLINK("https://rhld.insurance.arkansas.gov/NPILookup?Npi=1457596587","1457596587")</f>
        <v>1457596587</v>
      </c>
      <c r="E35516" s="1" t="s">
        <v>14352</v>
      </c>
      <c r="F35516" s="62"/>
      <c r="G35516" s="2">
        <v>54321</v>
      </c>
      <c r="H35516" s="62"/>
    </row>
    <row r="35517" spans="2:8" x14ac:dyDescent="0.25">
      <c r="B35517" s="1" t="s">
        <v>14337</v>
      </c>
      <c r="C35517" s="1" t="s">
        <v>14338</v>
      </c>
      <c r="D35517" s="22" t="str">
        <f>HYPERLINK("https://rhld.insurance.arkansas.gov/NPILookup?Npi=1457608598","1457608598")</f>
        <v>1457608598</v>
      </c>
      <c r="E35517" s="1" t="s">
        <v>14693</v>
      </c>
      <c r="F35517" s="62"/>
      <c r="G35517" s="2">
        <v>54321</v>
      </c>
      <c r="H35517" s="62"/>
    </row>
    <row r="35518" spans="2:8" x14ac:dyDescent="0.25">
      <c r="B35518" s="1" t="s">
        <v>14337</v>
      </c>
      <c r="C35518" s="1" t="s">
        <v>14338</v>
      </c>
      <c r="D35518" s="22" t="str">
        <f>HYPERLINK("https://rhld.insurance.arkansas.gov/NPILookup?Npi=1457735458","1457735458")</f>
        <v>1457735458</v>
      </c>
      <c r="E35518" s="1" t="s">
        <v>14694</v>
      </c>
      <c r="F35518" s="62" t="s">
        <v>1</v>
      </c>
      <c r="G35518" s="2">
        <v>54321</v>
      </c>
      <c r="H35518" s="62" t="s">
        <v>37382</v>
      </c>
    </row>
    <row r="35519" spans="2:8" x14ac:dyDescent="0.25">
      <c r="B35519" s="1" t="s">
        <v>14337</v>
      </c>
      <c r="C35519" s="1" t="s">
        <v>14338</v>
      </c>
      <c r="D35519" s="22" t="str">
        <f>HYPERLINK("https://rhld.insurance.arkansas.gov/NPILookup?Npi=1467130906","1467130906")</f>
        <v>1467130906</v>
      </c>
      <c r="E35519" s="1" t="s">
        <v>14463</v>
      </c>
      <c r="F35519" s="62"/>
      <c r="G35519" s="2">
        <v>54321</v>
      </c>
      <c r="H35519" s="62"/>
    </row>
    <row r="35520" spans="2:8" x14ac:dyDescent="0.25">
      <c r="B35520" s="1" t="s">
        <v>14337</v>
      </c>
      <c r="C35520" s="1" t="s">
        <v>14338</v>
      </c>
      <c r="D35520" s="22" t="str">
        <f>HYPERLINK("https://rhld.insurance.arkansas.gov/NPILookup?Npi=1467467720","1467467720")</f>
        <v>1467467720</v>
      </c>
      <c r="E35520" s="1" t="s">
        <v>14695</v>
      </c>
      <c r="F35520" s="62"/>
      <c r="G35520" s="2">
        <v>54321</v>
      </c>
      <c r="H35520" s="62"/>
    </row>
    <row r="35521" spans="2:8" x14ac:dyDescent="0.25">
      <c r="B35521" s="1" t="s">
        <v>14337</v>
      </c>
      <c r="C35521" s="1" t="s">
        <v>14338</v>
      </c>
      <c r="D35521" s="22" t="str">
        <f>HYPERLINK("https://rhld.insurance.arkansas.gov/NPILookup?Npi=1467469346","1467469346")</f>
        <v>1467469346</v>
      </c>
      <c r="E35521" s="1" t="s">
        <v>14343</v>
      </c>
      <c r="F35521" s="62"/>
      <c r="G35521" s="2">
        <v>54321</v>
      </c>
      <c r="H35521" s="62"/>
    </row>
    <row r="35522" spans="2:8" x14ac:dyDescent="0.25">
      <c r="B35522" s="1" t="s">
        <v>14337</v>
      </c>
      <c r="C35522" s="1" t="s">
        <v>14338</v>
      </c>
      <c r="D35522" s="22" t="str">
        <f>HYPERLINK("https://rhld.insurance.arkansas.gov/NPILookup?Npi=1467469478","1467469478")</f>
        <v>1467469478</v>
      </c>
      <c r="E35522" s="1" t="s">
        <v>14343</v>
      </c>
      <c r="F35522" s="62"/>
      <c r="G35522" s="2">
        <v>54321</v>
      </c>
      <c r="H35522" s="62"/>
    </row>
    <row r="35523" spans="2:8" x14ac:dyDescent="0.25">
      <c r="B35523" s="1" t="s">
        <v>14337</v>
      </c>
      <c r="C35523" s="1" t="s">
        <v>14338</v>
      </c>
      <c r="D35523" s="22" t="str">
        <f>HYPERLINK("https://rhld.insurance.arkansas.gov/NPILookup?Npi=1467471441","1467471441")</f>
        <v>1467471441</v>
      </c>
      <c r="E35523" s="1" t="s">
        <v>14352</v>
      </c>
      <c r="F35523" s="62"/>
      <c r="G35523" s="2">
        <v>54321</v>
      </c>
      <c r="H35523" s="62"/>
    </row>
    <row r="35524" spans="2:8" x14ac:dyDescent="0.25">
      <c r="B35524" s="1" t="s">
        <v>14337</v>
      </c>
      <c r="C35524" s="1" t="s">
        <v>14338</v>
      </c>
      <c r="D35524" s="22" t="str">
        <f>HYPERLINK("https://rhld.insurance.arkansas.gov/NPILookup?Npi=1467506923","1467506923")</f>
        <v>1467506923</v>
      </c>
      <c r="E35524" s="1" t="s">
        <v>14696</v>
      </c>
      <c r="F35524" s="62"/>
      <c r="G35524" s="2">
        <v>54321</v>
      </c>
      <c r="H35524" s="62"/>
    </row>
    <row r="35525" spans="2:8" x14ac:dyDescent="0.25">
      <c r="B35525" s="1" t="s">
        <v>14337</v>
      </c>
      <c r="C35525" s="1" t="s">
        <v>14338</v>
      </c>
      <c r="D35525" s="22" t="str">
        <f>HYPERLINK("https://rhld.insurance.arkansas.gov/NPILookup?Npi=1467591396","1467591396")</f>
        <v>1467591396</v>
      </c>
      <c r="E35525" s="1" t="s">
        <v>14697</v>
      </c>
      <c r="F35525" s="62"/>
      <c r="G35525" s="2">
        <v>54321</v>
      </c>
      <c r="H35525" s="62"/>
    </row>
    <row r="35526" spans="2:8" x14ac:dyDescent="0.25">
      <c r="B35526" s="1" t="s">
        <v>14337</v>
      </c>
      <c r="C35526" s="1" t="s">
        <v>14338</v>
      </c>
      <c r="D35526" s="22" t="str">
        <f>HYPERLINK("https://rhld.insurance.arkansas.gov/NPILookup?Npi=1477002012","1477002012")</f>
        <v>1477002012</v>
      </c>
      <c r="E35526" s="1" t="s">
        <v>32580</v>
      </c>
      <c r="F35526" s="62"/>
      <c r="G35526" s="2">
        <v>54321</v>
      </c>
      <c r="H35526" s="62"/>
    </row>
    <row r="35527" spans="2:8" x14ac:dyDescent="0.25">
      <c r="B35527" s="1" t="s">
        <v>14337</v>
      </c>
      <c r="C35527" s="1" t="s">
        <v>14338</v>
      </c>
      <c r="D35527" s="22" t="str">
        <f>HYPERLINK("https://rhld.insurance.arkansas.gov/NPILookup?Npi=1477556926","1477556926")</f>
        <v>1477556926</v>
      </c>
      <c r="E35527" s="1" t="s">
        <v>14698</v>
      </c>
      <c r="F35527" s="62"/>
      <c r="G35527" s="2">
        <v>54321</v>
      </c>
      <c r="H35527" s="62"/>
    </row>
    <row r="35528" spans="2:8" x14ac:dyDescent="0.25">
      <c r="B35528" s="1" t="s">
        <v>14337</v>
      </c>
      <c r="C35528" s="1" t="s">
        <v>14338</v>
      </c>
      <c r="D35528" s="22" t="str">
        <f>HYPERLINK("https://rhld.insurance.arkansas.gov/NPILookup?Npi=1477560472","1477560472")</f>
        <v>1477560472</v>
      </c>
      <c r="E35528" s="1" t="s">
        <v>14343</v>
      </c>
      <c r="F35528" s="62"/>
      <c r="G35528" s="2">
        <v>54321</v>
      </c>
      <c r="H35528" s="62"/>
    </row>
    <row r="35529" spans="2:8" x14ac:dyDescent="0.25">
      <c r="B35529" s="1" t="s">
        <v>14337</v>
      </c>
      <c r="C35529" s="1" t="s">
        <v>14338</v>
      </c>
      <c r="D35529" s="22" t="str">
        <f>HYPERLINK("https://rhld.insurance.arkansas.gov/NPILookup?Npi=1477568731","1477568731")</f>
        <v>1477568731</v>
      </c>
      <c r="E35529" s="1" t="s">
        <v>14699</v>
      </c>
      <c r="F35529" s="62"/>
      <c r="G35529" s="2">
        <v>54321</v>
      </c>
      <c r="H35529" s="62"/>
    </row>
    <row r="35530" spans="2:8" x14ac:dyDescent="0.25">
      <c r="B35530" s="1" t="s">
        <v>14337</v>
      </c>
      <c r="C35530" s="1" t="s">
        <v>14338</v>
      </c>
      <c r="D35530" s="22" t="str">
        <f>HYPERLINK("https://rhld.insurance.arkansas.gov/NPILookup?Npi=1477570976","1477570976")</f>
        <v>1477570976</v>
      </c>
      <c r="E35530" s="1" t="s">
        <v>14352</v>
      </c>
      <c r="F35530" s="62"/>
      <c r="G35530" s="2">
        <v>54321</v>
      </c>
      <c r="H35530" s="62"/>
    </row>
    <row r="35531" spans="2:8" x14ac:dyDescent="0.25">
      <c r="B35531" s="1" t="s">
        <v>14337</v>
      </c>
      <c r="C35531" s="1" t="s">
        <v>14338</v>
      </c>
      <c r="D35531" s="22" t="str">
        <f>HYPERLINK("https://rhld.insurance.arkansas.gov/NPILookup?Npi=1477618809","1477618809")</f>
        <v>1477618809</v>
      </c>
      <c r="E35531" s="1" t="s">
        <v>14700</v>
      </c>
      <c r="F35531" s="62"/>
      <c r="G35531" s="2">
        <v>54321</v>
      </c>
      <c r="H35531" s="62"/>
    </row>
    <row r="35532" spans="2:8" x14ac:dyDescent="0.25">
      <c r="B35532" s="1" t="s">
        <v>14337</v>
      </c>
      <c r="C35532" s="1" t="s">
        <v>14338</v>
      </c>
      <c r="D35532" s="22" t="str">
        <f>HYPERLINK("https://rhld.insurance.arkansas.gov/NPILookup?Npi=1477688463","1477688463")</f>
        <v>1477688463</v>
      </c>
      <c r="E35532" s="1" t="s">
        <v>14701</v>
      </c>
      <c r="F35532" s="62"/>
      <c r="G35532" s="2">
        <v>54321</v>
      </c>
      <c r="H35532" s="62"/>
    </row>
    <row r="35533" spans="2:8" x14ac:dyDescent="0.25">
      <c r="B35533" s="1" t="s">
        <v>14337</v>
      </c>
      <c r="C35533" s="1" t="s">
        <v>14338</v>
      </c>
      <c r="D35533" s="22" t="str">
        <f>HYPERLINK("https://rhld.insurance.arkansas.gov/NPILookup?Npi=1477893949","1477893949")</f>
        <v>1477893949</v>
      </c>
      <c r="E35533" s="1" t="s">
        <v>14702</v>
      </c>
      <c r="F35533" s="62"/>
      <c r="G35533" s="2">
        <v>54321</v>
      </c>
      <c r="H35533" s="62"/>
    </row>
    <row r="35534" spans="2:8" x14ac:dyDescent="0.25">
      <c r="B35534" s="1" t="s">
        <v>14337</v>
      </c>
      <c r="C35534" s="1" t="s">
        <v>14338</v>
      </c>
      <c r="D35534" s="22" t="str">
        <f>HYPERLINK("https://rhld.insurance.arkansas.gov/NPILookup?Npi=1477915940","1477915940")</f>
        <v>1477915940</v>
      </c>
      <c r="E35534" s="1" t="s">
        <v>14355</v>
      </c>
      <c r="F35534" s="62"/>
      <c r="G35534" s="2">
        <v>54321</v>
      </c>
      <c r="H35534" s="62"/>
    </row>
    <row r="35535" spans="2:8" x14ac:dyDescent="0.25">
      <c r="B35535" s="1" t="s">
        <v>14337</v>
      </c>
      <c r="C35535" s="1" t="s">
        <v>14338</v>
      </c>
      <c r="D35535" s="22" t="str">
        <f>HYPERLINK("https://rhld.insurance.arkansas.gov/NPILookup?Npi=1487100475","1487100475")</f>
        <v>1487100475</v>
      </c>
      <c r="E35535" s="1" t="s">
        <v>14703</v>
      </c>
      <c r="F35535" s="62"/>
      <c r="G35535" s="2">
        <v>54321</v>
      </c>
      <c r="H35535" s="62"/>
    </row>
    <row r="35536" spans="2:8" x14ac:dyDescent="0.25">
      <c r="B35536" s="1" t="s">
        <v>14337</v>
      </c>
      <c r="C35536" s="1" t="s">
        <v>14338</v>
      </c>
      <c r="D35536" s="22" t="str">
        <f>HYPERLINK("https://rhld.insurance.arkansas.gov/NPILookup?Npi=1487119079","1487119079")</f>
        <v>1487119079</v>
      </c>
      <c r="E35536" s="1" t="s">
        <v>14555</v>
      </c>
      <c r="F35536" s="62"/>
      <c r="G35536" s="2">
        <v>54321</v>
      </c>
      <c r="H35536" s="62"/>
    </row>
    <row r="35537" spans="2:8" x14ac:dyDescent="0.25">
      <c r="B35537" s="1" t="s">
        <v>14337</v>
      </c>
      <c r="C35537" s="1" t="s">
        <v>14338</v>
      </c>
      <c r="D35537" s="22" t="str">
        <f>HYPERLINK("https://rhld.insurance.arkansas.gov/NPILookup?Npi=1487159299","1487159299")</f>
        <v>1487159299</v>
      </c>
      <c r="E35537" s="1" t="s">
        <v>14704</v>
      </c>
      <c r="F35537" s="62"/>
      <c r="G35537" s="2">
        <v>54321</v>
      </c>
      <c r="H35537" s="62"/>
    </row>
    <row r="35538" spans="2:8" x14ac:dyDescent="0.25">
      <c r="B35538" s="1" t="s">
        <v>14337</v>
      </c>
      <c r="C35538" s="1" t="s">
        <v>14338</v>
      </c>
      <c r="D35538" s="22" t="str">
        <f>HYPERLINK("https://rhld.insurance.arkansas.gov/NPILookup?Npi=1487250015","1487250015")</f>
        <v>1487250015</v>
      </c>
      <c r="E35538" s="1" t="s">
        <v>14705</v>
      </c>
      <c r="F35538" s="62"/>
      <c r="G35538" s="2">
        <v>54321</v>
      </c>
      <c r="H35538" s="62"/>
    </row>
    <row r="35539" spans="2:8" x14ac:dyDescent="0.25">
      <c r="B35539" s="1" t="s">
        <v>14337</v>
      </c>
      <c r="C35539" s="1" t="s">
        <v>14338</v>
      </c>
      <c r="D35539" s="22" t="str">
        <f>HYPERLINK("https://rhld.insurance.arkansas.gov/NPILookup?Npi=1487373197","1487373197")</f>
        <v>1487373197</v>
      </c>
      <c r="E35539" s="1" t="s">
        <v>14706</v>
      </c>
      <c r="F35539" s="62"/>
      <c r="G35539" s="2">
        <v>54321</v>
      </c>
      <c r="H35539" s="62"/>
    </row>
    <row r="35540" spans="2:8" x14ac:dyDescent="0.25">
      <c r="B35540" s="1" t="s">
        <v>14337</v>
      </c>
      <c r="C35540" s="1" t="s">
        <v>14338</v>
      </c>
      <c r="D35540" s="22" t="str">
        <f>HYPERLINK("https://rhld.insurance.arkansas.gov/NPILookup?Npi=1487640579","1487640579")</f>
        <v>1487640579</v>
      </c>
      <c r="E35540" s="1" t="s">
        <v>14707</v>
      </c>
      <c r="F35540" s="62"/>
      <c r="G35540" s="2">
        <v>54321</v>
      </c>
      <c r="H35540" s="62"/>
    </row>
    <row r="35541" spans="2:8" x14ac:dyDescent="0.25">
      <c r="B35541" s="1" t="s">
        <v>14337</v>
      </c>
      <c r="C35541" s="1" t="s">
        <v>14338</v>
      </c>
      <c r="D35541" s="22" t="str">
        <f>HYPERLINK("https://rhld.insurance.arkansas.gov/NPILookup?Npi=1487661443","1487661443")</f>
        <v>1487661443</v>
      </c>
      <c r="E35541" s="1" t="s">
        <v>14343</v>
      </c>
      <c r="F35541" s="62"/>
      <c r="G35541" s="2">
        <v>54321</v>
      </c>
      <c r="H35541" s="62"/>
    </row>
    <row r="35542" spans="2:8" x14ac:dyDescent="0.25">
      <c r="B35542" s="1" t="s">
        <v>14337</v>
      </c>
      <c r="C35542" s="1" t="s">
        <v>14338</v>
      </c>
      <c r="D35542" s="22" t="str">
        <f>HYPERLINK("https://rhld.insurance.arkansas.gov/NPILookup?Npi=1487661583","1487661583")</f>
        <v>1487661583</v>
      </c>
      <c r="E35542" s="1" t="s">
        <v>14708</v>
      </c>
      <c r="F35542" s="62"/>
      <c r="G35542" s="2">
        <v>54321</v>
      </c>
      <c r="H35542" s="62"/>
    </row>
    <row r="35543" spans="2:8" x14ac:dyDescent="0.25">
      <c r="B35543" s="1" t="s">
        <v>14337</v>
      </c>
      <c r="C35543" s="1" t="s">
        <v>14338</v>
      </c>
      <c r="D35543" s="22" t="str">
        <f>HYPERLINK("https://rhld.insurance.arkansas.gov/NPILookup?Npi=1487669404","1487669404")</f>
        <v>1487669404</v>
      </c>
      <c r="E35543" s="1" t="s">
        <v>14343</v>
      </c>
      <c r="F35543" s="62"/>
      <c r="G35543" s="2">
        <v>54321</v>
      </c>
      <c r="H35543" s="62"/>
    </row>
    <row r="35544" spans="2:8" x14ac:dyDescent="0.25">
      <c r="B35544" s="1" t="s">
        <v>14337</v>
      </c>
      <c r="C35544" s="1" t="s">
        <v>14338</v>
      </c>
      <c r="D35544" s="22" t="str">
        <f>HYPERLINK("https://rhld.insurance.arkansas.gov/NPILookup?Npi=1487675310","1487675310")</f>
        <v>1487675310</v>
      </c>
      <c r="E35544" s="1" t="s">
        <v>14709</v>
      </c>
      <c r="F35544" s="62"/>
      <c r="G35544" s="2">
        <v>54321</v>
      </c>
      <c r="H35544" s="62"/>
    </row>
    <row r="35545" spans="2:8" x14ac:dyDescent="0.25">
      <c r="B35545" s="1" t="s">
        <v>14337</v>
      </c>
      <c r="C35545" s="1" t="s">
        <v>14338</v>
      </c>
      <c r="D35545" s="22" t="str">
        <f>HYPERLINK("https://rhld.insurance.arkansas.gov/NPILookup?Npi=1487688263","1487688263")</f>
        <v>1487688263</v>
      </c>
      <c r="E35545" s="1" t="s">
        <v>14344</v>
      </c>
      <c r="F35545" s="62"/>
      <c r="G35545" s="2">
        <v>54321</v>
      </c>
      <c r="H35545" s="62"/>
    </row>
    <row r="35546" spans="2:8" x14ac:dyDescent="0.25">
      <c r="B35546" s="1" t="s">
        <v>14337</v>
      </c>
      <c r="C35546" s="1" t="s">
        <v>14338</v>
      </c>
      <c r="D35546" s="22" t="str">
        <f>HYPERLINK("https://rhld.insurance.arkansas.gov/NPILookup?Npi=1487714739","1487714739")</f>
        <v>1487714739</v>
      </c>
      <c r="E35546" s="1" t="s">
        <v>14710</v>
      </c>
      <c r="F35546" s="62"/>
      <c r="G35546" s="2">
        <v>54321</v>
      </c>
      <c r="H35546" s="62"/>
    </row>
    <row r="35547" spans="2:8" x14ac:dyDescent="0.25">
      <c r="B35547" s="1" t="s">
        <v>14337</v>
      </c>
      <c r="C35547" s="1" t="s">
        <v>14338</v>
      </c>
      <c r="D35547" s="22" t="str">
        <f>HYPERLINK("https://rhld.insurance.arkansas.gov/NPILookup?Npi=1487733747","1487733747")</f>
        <v>1487733747</v>
      </c>
      <c r="E35547" s="1" t="s">
        <v>14343</v>
      </c>
      <c r="F35547" s="62"/>
      <c r="G35547" s="2">
        <v>54321</v>
      </c>
      <c r="H35547" s="62"/>
    </row>
    <row r="35548" spans="2:8" x14ac:dyDescent="0.25">
      <c r="B35548" s="1" t="s">
        <v>14337</v>
      </c>
      <c r="C35548" s="1" t="s">
        <v>14338</v>
      </c>
      <c r="D35548" s="22" t="str">
        <f>HYPERLINK("https://rhld.insurance.arkansas.gov/NPILookup?Npi=1487748166","1487748166")</f>
        <v>1487748166</v>
      </c>
      <c r="E35548" s="1" t="s">
        <v>14711</v>
      </c>
      <c r="F35548" s="62"/>
      <c r="G35548" s="2">
        <v>54321</v>
      </c>
      <c r="H35548" s="62"/>
    </row>
    <row r="35549" spans="2:8" x14ac:dyDescent="0.25">
      <c r="B35549" s="1" t="s">
        <v>14337</v>
      </c>
      <c r="C35549" s="1" t="s">
        <v>14338</v>
      </c>
      <c r="D35549" s="22" t="str">
        <f>HYPERLINK("https://rhld.insurance.arkansas.gov/NPILookup?Npi=1487764510","1487764510")</f>
        <v>1487764510</v>
      </c>
      <c r="E35549" s="1" t="s">
        <v>14712</v>
      </c>
      <c r="F35549" s="62"/>
      <c r="G35549" s="2">
        <v>54321</v>
      </c>
      <c r="H35549" s="62"/>
    </row>
    <row r="35550" spans="2:8" x14ac:dyDescent="0.25">
      <c r="B35550" s="1" t="s">
        <v>14337</v>
      </c>
      <c r="C35550" s="1" t="s">
        <v>14338</v>
      </c>
      <c r="D35550" s="22" t="str">
        <f>HYPERLINK("https://rhld.insurance.arkansas.gov/NPILookup?Npi=1487789400","1487789400")</f>
        <v>1487789400</v>
      </c>
      <c r="E35550" s="1" t="s">
        <v>14713</v>
      </c>
      <c r="F35550" s="62"/>
      <c r="G35550" s="2">
        <v>54321</v>
      </c>
      <c r="H35550" s="62"/>
    </row>
    <row r="35551" spans="2:8" x14ac:dyDescent="0.25">
      <c r="B35551" s="1" t="s">
        <v>14337</v>
      </c>
      <c r="C35551" s="1" t="s">
        <v>14338</v>
      </c>
      <c r="D35551" s="22" t="str">
        <f>HYPERLINK("https://rhld.insurance.arkansas.gov/NPILookup?Npi=1487793097","1487793097")</f>
        <v>1487793097</v>
      </c>
      <c r="E35551" s="1" t="s">
        <v>14714</v>
      </c>
      <c r="F35551" s="62"/>
      <c r="G35551" s="2">
        <v>54321</v>
      </c>
      <c r="H35551" s="62"/>
    </row>
    <row r="35552" spans="2:8" x14ac:dyDescent="0.25">
      <c r="B35552" s="1" t="s">
        <v>14337</v>
      </c>
      <c r="C35552" s="1" t="s">
        <v>14338</v>
      </c>
      <c r="D35552" s="22" t="str">
        <f>HYPERLINK("https://rhld.insurance.arkansas.gov/NPILookup?Npi=1487806121","1487806121")</f>
        <v>1487806121</v>
      </c>
      <c r="E35552" s="1" t="s">
        <v>14715</v>
      </c>
      <c r="F35552" s="62"/>
      <c r="G35552" s="2">
        <v>54321</v>
      </c>
      <c r="H35552" s="62"/>
    </row>
    <row r="35553" spans="2:8" x14ac:dyDescent="0.25">
      <c r="B35553" s="1" t="s">
        <v>14337</v>
      </c>
      <c r="C35553" s="1" t="s">
        <v>14338</v>
      </c>
      <c r="D35553" s="22" t="str">
        <f>HYPERLINK("https://rhld.insurance.arkansas.gov/NPILookup?Npi=1497174825","1497174825")</f>
        <v>1497174825</v>
      </c>
      <c r="E35553" s="1" t="s">
        <v>14716</v>
      </c>
      <c r="F35553" s="62"/>
      <c r="G35553" s="2">
        <v>54321</v>
      </c>
      <c r="H35553" s="62"/>
    </row>
    <row r="35554" spans="2:8" x14ac:dyDescent="0.25">
      <c r="B35554" s="1" t="s">
        <v>14337</v>
      </c>
      <c r="C35554" s="1" t="s">
        <v>14338</v>
      </c>
      <c r="D35554" s="22" t="str">
        <f>HYPERLINK("https://rhld.insurance.arkansas.gov/NPILookup?Npi=1497186340","1497186340")</f>
        <v>1497186340</v>
      </c>
      <c r="E35554" s="1" t="s">
        <v>14717</v>
      </c>
      <c r="F35554" s="62"/>
      <c r="G35554" s="2">
        <v>54321</v>
      </c>
      <c r="H35554" s="62"/>
    </row>
    <row r="35555" spans="2:8" x14ac:dyDescent="0.25">
      <c r="B35555" s="1" t="s">
        <v>14337</v>
      </c>
      <c r="C35555" s="1" t="s">
        <v>14338</v>
      </c>
      <c r="D35555" s="22" t="str">
        <f>HYPERLINK("https://rhld.insurance.arkansas.gov/NPILookup?Npi=1497210355","1497210355")</f>
        <v>1497210355</v>
      </c>
      <c r="E35555" s="1" t="s">
        <v>14718</v>
      </c>
      <c r="F35555" s="62"/>
      <c r="G35555" s="2">
        <v>54321</v>
      </c>
      <c r="H35555" s="62"/>
    </row>
    <row r="35556" spans="2:8" x14ac:dyDescent="0.25">
      <c r="B35556" s="1" t="s">
        <v>14337</v>
      </c>
      <c r="C35556" s="1" t="s">
        <v>14338</v>
      </c>
      <c r="D35556" s="22" t="str">
        <f>HYPERLINK("https://rhld.insurance.arkansas.gov/NPILookup?Npi=1497458988","1497458988")</f>
        <v>1497458988</v>
      </c>
      <c r="E35556" s="1" t="s">
        <v>14719</v>
      </c>
      <c r="F35556" s="62"/>
      <c r="G35556" s="2">
        <v>54321</v>
      </c>
      <c r="H35556" s="62"/>
    </row>
    <row r="35557" spans="2:8" x14ac:dyDescent="0.25">
      <c r="B35557" s="1" t="s">
        <v>14337</v>
      </c>
      <c r="C35557" s="1" t="s">
        <v>14338</v>
      </c>
      <c r="D35557" s="22" t="str">
        <f>HYPERLINK("https://rhld.insurance.arkansas.gov/NPILookup?Npi=1497755946","1497755946")</f>
        <v>1497755946</v>
      </c>
      <c r="E35557" s="1" t="s">
        <v>14720</v>
      </c>
      <c r="F35557" s="62"/>
      <c r="G35557" s="2">
        <v>54321</v>
      </c>
      <c r="H35557" s="62"/>
    </row>
    <row r="35558" spans="2:8" x14ac:dyDescent="0.25">
      <c r="B35558" s="1" t="s">
        <v>14337</v>
      </c>
      <c r="C35558" s="1" t="s">
        <v>14338</v>
      </c>
      <c r="D35558" s="22" t="str">
        <f>HYPERLINK("https://rhld.insurance.arkansas.gov/NPILookup?Npi=1497766604","1497766604")</f>
        <v>1497766604</v>
      </c>
      <c r="E35558" s="1" t="s">
        <v>14721</v>
      </c>
      <c r="F35558" s="62"/>
      <c r="G35558" s="2">
        <v>54321</v>
      </c>
      <c r="H35558" s="62"/>
    </row>
    <row r="35559" spans="2:8" x14ac:dyDescent="0.25">
      <c r="B35559" s="1" t="s">
        <v>14337</v>
      </c>
      <c r="C35559" s="1" t="s">
        <v>14338</v>
      </c>
      <c r="D35559" s="22" t="str">
        <f>HYPERLINK("https://rhld.insurance.arkansas.gov/NPILookup?Npi=1497790968","1497790968")</f>
        <v>1497790968</v>
      </c>
      <c r="E35559" s="1" t="s">
        <v>14722</v>
      </c>
      <c r="F35559" s="62"/>
      <c r="G35559" s="2">
        <v>54321</v>
      </c>
      <c r="H35559" s="62"/>
    </row>
    <row r="35560" spans="2:8" x14ac:dyDescent="0.25">
      <c r="B35560" s="1" t="s">
        <v>14337</v>
      </c>
      <c r="C35560" s="1" t="s">
        <v>14338</v>
      </c>
      <c r="D35560" s="22" t="str">
        <f>HYPERLINK("https://rhld.insurance.arkansas.gov/NPILookup?Npi=1497818967","1497818967")</f>
        <v>1497818967</v>
      </c>
      <c r="E35560" s="1" t="s">
        <v>14723</v>
      </c>
      <c r="F35560" s="62"/>
      <c r="G35560" s="2">
        <v>54321</v>
      </c>
      <c r="H35560" s="62"/>
    </row>
    <row r="35561" spans="2:8" x14ac:dyDescent="0.25">
      <c r="B35561" s="1" t="s">
        <v>14337</v>
      </c>
      <c r="C35561" s="1" t="s">
        <v>14338</v>
      </c>
      <c r="D35561" s="22" t="str">
        <f>HYPERLINK("https://rhld.insurance.arkansas.gov/NPILookup?Npi=1497869697","1497869697")</f>
        <v>1497869697</v>
      </c>
      <c r="E35561" s="1" t="s">
        <v>14724</v>
      </c>
      <c r="F35561" s="62"/>
      <c r="G35561" s="2">
        <v>54321</v>
      </c>
      <c r="H35561" s="62"/>
    </row>
    <row r="35562" spans="2:8" x14ac:dyDescent="0.25">
      <c r="B35562" s="1" t="s">
        <v>14337</v>
      </c>
      <c r="C35562" s="1" t="s">
        <v>14338</v>
      </c>
      <c r="D35562" s="22" t="str">
        <f>HYPERLINK("https://rhld.insurance.arkansas.gov/NPILookup?Npi=1497897995","1497897995")</f>
        <v>1497897995</v>
      </c>
      <c r="E35562" s="1" t="s">
        <v>14725</v>
      </c>
      <c r="F35562" s="62"/>
      <c r="G35562" s="2">
        <v>54321</v>
      </c>
      <c r="H35562" s="62"/>
    </row>
    <row r="35563" spans="2:8" x14ac:dyDescent="0.25">
      <c r="B35563" s="1" t="s">
        <v>14337</v>
      </c>
      <c r="C35563" s="1" t="s">
        <v>14338</v>
      </c>
      <c r="D35563" s="22" t="str">
        <f>HYPERLINK("https://rhld.insurance.arkansas.gov/NPILookup?Npi=1497962088","1497962088")</f>
        <v>1497962088</v>
      </c>
      <c r="E35563" s="1" t="s">
        <v>14726</v>
      </c>
      <c r="F35563" s="62"/>
      <c r="G35563" s="2">
        <v>54321</v>
      </c>
      <c r="H35563" s="62"/>
    </row>
    <row r="35564" spans="2:8" x14ac:dyDescent="0.25">
      <c r="B35564" s="1" t="s">
        <v>14337</v>
      </c>
      <c r="C35564" s="1" t="s">
        <v>14338</v>
      </c>
      <c r="D35564" s="22" t="str">
        <f>HYPERLINK("https://rhld.insurance.arkansas.gov/NPILookup?Npi=1508097379","1508097379")</f>
        <v>1508097379</v>
      </c>
      <c r="E35564" s="1" t="s">
        <v>14727</v>
      </c>
      <c r="F35564" s="62"/>
      <c r="G35564" s="2">
        <v>54321</v>
      </c>
      <c r="H35564" s="62"/>
    </row>
    <row r="35565" spans="2:8" x14ac:dyDescent="0.25">
      <c r="B35565" s="1" t="s">
        <v>14337</v>
      </c>
      <c r="C35565" s="1" t="s">
        <v>14338</v>
      </c>
      <c r="D35565" s="22" t="str">
        <f>HYPERLINK("https://rhld.insurance.arkansas.gov/NPILookup?Npi=1508413592","1508413592")</f>
        <v>1508413592</v>
      </c>
      <c r="E35565" s="1" t="s">
        <v>14728</v>
      </c>
      <c r="F35565" s="62"/>
      <c r="G35565" s="2">
        <v>54321</v>
      </c>
      <c r="H35565" s="62"/>
    </row>
    <row r="35566" spans="2:8" x14ac:dyDescent="0.25">
      <c r="B35566" s="1" t="s">
        <v>14337</v>
      </c>
      <c r="C35566" s="1" t="s">
        <v>14338</v>
      </c>
      <c r="D35566" s="22" t="str">
        <f>HYPERLINK("https://rhld.insurance.arkansas.gov/NPILookup?Npi=1508585795","1508585795")</f>
        <v>1508585795</v>
      </c>
      <c r="E35566" s="1" t="s">
        <v>14729</v>
      </c>
      <c r="F35566" s="62"/>
      <c r="G35566" s="2">
        <v>54321</v>
      </c>
      <c r="H35566" s="62"/>
    </row>
    <row r="35567" spans="2:8" x14ac:dyDescent="0.25">
      <c r="B35567" s="1" t="s">
        <v>14337</v>
      </c>
      <c r="C35567" s="1" t="s">
        <v>14338</v>
      </c>
      <c r="D35567" s="22" t="str">
        <f>HYPERLINK("https://rhld.insurance.arkansas.gov/NPILookup?Npi=1508859737","1508859737")</f>
        <v>1508859737</v>
      </c>
      <c r="E35567" s="1" t="s">
        <v>14730</v>
      </c>
      <c r="F35567" s="62"/>
      <c r="G35567" s="2">
        <v>54321</v>
      </c>
      <c r="H35567" s="62"/>
    </row>
    <row r="35568" spans="2:8" x14ac:dyDescent="0.25">
      <c r="B35568" s="1" t="s">
        <v>14337</v>
      </c>
      <c r="C35568" s="1" t="s">
        <v>14338</v>
      </c>
      <c r="D35568" s="22" t="str">
        <f>HYPERLINK("https://rhld.insurance.arkansas.gov/NPILookup?Npi=1508873514","1508873514")</f>
        <v>1508873514</v>
      </c>
      <c r="E35568" s="1" t="s">
        <v>14343</v>
      </c>
      <c r="F35568" s="62"/>
      <c r="G35568" s="2">
        <v>54321</v>
      </c>
      <c r="H35568" s="62"/>
    </row>
    <row r="35569" spans="2:8" x14ac:dyDescent="0.25">
      <c r="B35569" s="1" t="s">
        <v>14337</v>
      </c>
      <c r="C35569" s="1" t="s">
        <v>14338</v>
      </c>
      <c r="D35569" s="22" t="str">
        <f>HYPERLINK("https://rhld.insurance.arkansas.gov/NPILookup?Npi=1508883901","1508883901")</f>
        <v>1508883901</v>
      </c>
      <c r="E35569" s="1" t="s">
        <v>14352</v>
      </c>
      <c r="F35569" s="62"/>
      <c r="G35569" s="2">
        <v>54321</v>
      </c>
      <c r="H35569" s="62"/>
    </row>
    <row r="35570" spans="2:8" x14ac:dyDescent="0.25">
      <c r="B35570" s="1" t="s">
        <v>14337</v>
      </c>
      <c r="C35570" s="1" t="s">
        <v>14338</v>
      </c>
      <c r="D35570" s="22" t="str">
        <f>HYPERLINK("https://rhld.insurance.arkansas.gov/NPILookup?Npi=1508883927","1508883927")</f>
        <v>1508883927</v>
      </c>
      <c r="E35570" s="1" t="s">
        <v>14355</v>
      </c>
      <c r="F35570" s="62"/>
      <c r="G35570" s="2">
        <v>54321</v>
      </c>
      <c r="H35570" s="62"/>
    </row>
    <row r="35571" spans="2:8" x14ac:dyDescent="0.25">
      <c r="B35571" s="1" t="s">
        <v>14337</v>
      </c>
      <c r="C35571" s="1" t="s">
        <v>14338</v>
      </c>
      <c r="D35571" s="22" t="str">
        <f>HYPERLINK("https://rhld.insurance.arkansas.gov/NPILookup?Npi=1508883992","1508883992")</f>
        <v>1508883992</v>
      </c>
      <c r="E35571" s="1" t="s">
        <v>14352</v>
      </c>
      <c r="F35571" s="62"/>
      <c r="G35571" s="2">
        <v>54321</v>
      </c>
      <c r="H35571" s="62"/>
    </row>
    <row r="35572" spans="2:8" x14ac:dyDescent="0.25">
      <c r="B35572" s="1" t="s">
        <v>14337</v>
      </c>
      <c r="C35572" s="1" t="s">
        <v>14338</v>
      </c>
      <c r="D35572" s="22" t="str">
        <f>HYPERLINK("https://rhld.insurance.arkansas.gov/NPILookup?Npi=1508890245","1508890245")</f>
        <v>1508890245</v>
      </c>
      <c r="E35572" s="1" t="s">
        <v>14344</v>
      </c>
      <c r="F35572" s="62"/>
      <c r="G35572" s="2">
        <v>54321</v>
      </c>
      <c r="H35572" s="62"/>
    </row>
    <row r="35573" spans="2:8" x14ac:dyDescent="0.25">
      <c r="B35573" s="1" t="s">
        <v>14337</v>
      </c>
      <c r="C35573" s="1" t="s">
        <v>14338</v>
      </c>
      <c r="D35573" s="22" t="str">
        <f>HYPERLINK("https://rhld.insurance.arkansas.gov/NPILookup?Npi=1508950916","1508950916")</f>
        <v>1508950916</v>
      </c>
      <c r="E35573" s="1" t="s">
        <v>14379</v>
      </c>
      <c r="F35573" s="62" t="s">
        <v>1</v>
      </c>
      <c r="G35573" s="2">
        <v>54321</v>
      </c>
      <c r="H35573" s="62" t="s">
        <v>37383</v>
      </c>
    </row>
    <row r="35574" spans="2:8" x14ac:dyDescent="0.25">
      <c r="B35574" s="1" t="s">
        <v>14337</v>
      </c>
      <c r="C35574" s="1" t="s">
        <v>14338</v>
      </c>
      <c r="D35574" s="22" t="str">
        <f>HYPERLINK("https://rhld.insurance.arkansas.gov/NPILookup?Npi=1508966821","1508966821")</f>
        <v>1508966821</v>
      </c>
      <c r="E35574" s="1" t="s">
        <v>14731</v>
      </c>
      <c r="F35574" s="62"/>
      <c r="G35574" s="2">
        <v>54321</v>
      </c>
      <c r="H35574" s="62"/>
    </row>
    <row r="35575" spans="2:8" x14ac:dyDescent="0.25">
      <c r="B35575" s="1" t="s">
        <v>14337</v>
      </c>
      <c r="C35575" s="1" t="s">
        <v>14338</v>
      </c>
      <c r="D35575" s="22" t="str">
        <f>HYPERLINK("https://rhld.insurance.arkansas.gov/NPILookup?Npi=1508970393","1508970393")</f>
        <v>1508970393</v>
      </c>
      <c r="E35575" s="1" t="s">
        <v>14732</v>
      </c>
      <c r="F35575" s="62"/>
      <c r="G35575" s="2">
        <v>54321</v>
      </c>
      <c r="H35575" s="62"/>
    </row>
    <row r="35576" spans="2:8" x14ac:dyDescent="0.25">
      <c r="B35576" s="1" t="s">
        <v>14337</v>
      </c>
      <c r="C35576" s="1" t="s">
        <v>14338</v>
      </c>
      <c r="D35576" s="22" t="str">
        <f>HYPERLINK("https://rhld.insurance.arkansas.gov/NPILookup?Npi=1508972167","1508972167")</f>
        <v>1508972167</v>
      </c>
      <c r="E35576" s="1" t="s">
        <v>14416</v>
      </c>
      <c r="F35576" s="62"/>
      <c r="G35576" s="2">
        <v>54321</v>
      </c>
      <c r="H35576" s="62"/>
    </row>
    <row r="35577" spans="2:8" x14ac:dyDescent="0.25">
      <c r="B35577" s="1" t="s">
        <v>14337</v>
      </c>
      <c r="C35577" s="1" t="s">
        <v>14338</v>
      </c>
      <c r="D35577" s="22" t="str">
        <f>HYPERLINK("https://rhld.insurance.arkansas.gov/NPILookup?Npi=1518001296","1518001296")</f>
        <v>1518001296</v>
      </c>
      <c r="E35577" s="1" t="s">
        <v>14733</v>
      </c>
      <c r="F35577" s="62"/>
      <c r="G35577" s="2">
        <v>54321</v>
      </c>
      <c r="H35577" s="62"/>
    </row>
    <row r="35578" spans="2:8" x14ac:dyDescent="0.25">
      <c r="B35578" s="1" t="s">
        <v>14337</v>
      </c>
      <c r="C35578" s="1" t="s">
        <v>14338</v>
      </c>
      <c r="D35578" s="22" t="str">
        <f>HYPERLINK("https://rhld.insurance.arkansas.gov/NPILookup?Npi=1518048164","1518048164")</f>
        <v>1518048164</v>
      </c>
      <c r="E35578" s="1" t="s">
        <v>14734</v>
      </c>
      <c r="F35578" s="62"/>
      <c r="G35578" s="2">
        <v>54321</v>
      </c>
      <c r="H35578" s="62"/>
    </row>
    <row r="35579" spans="2:8" x14ac:dyDescent="0.25">
      <c r="B35579" s="1" t="s">
        <v>14337</v>
      </c>
      <c r="C35579" s="1" t="s">
        <v>14338</v>
      </c>
      <c r="D35579" s="22" t="str">
        <f>HYPERLINK("https://rhld.insurance.arkansas.gov/NPILookup?Npi=1518069004","1518069004")</f>
        <v>1518069004</v>
      </c>
      <c r="E35579" s="1" t="s">
        <v>14396</v>
      </c>
      <c r="F35579" s="62"/>
      <c r="G35579" s="2">
        <v>54321</v>
      </c>
      <c r="H35579" s="62"/>
    </row>
    <row r="35580" spans="2:8" x14ac:dyDescent="0.25">
      <c r="B35580" s="1" t="s">
        <v>14337</v>
      </c>
      <c r="C35580" s="1" t="s">
        <v>14338</v>
      </c>
      <c r="D35580" s="22" t="str">
        <f>HYPERLINK("https://rhld.insurance.arkansas.gov/NPILookup?Npi=1518271139","1518271139")</f>
        <v>1518271139</v>
      </c>
      <c r="E35580" s="1" t="s">
        <v>14735</v>
      </c>
      <c r="F35580" s="62"/>
      <c r="G35580" s="2">
        <v>54321</v>
      </c>
      <c r="H35580" s="62"/>
    </row>
    <row r="35581" spans="2:8" x14ac:dyDescent="0.25">
      <c r="B35581" s="1" t="s">
        <v>14337</v>
      </c>
      <c r="C35581" s="1" t="s">
        <v>14338</v>
      </c>
      <c r="D35581" s="22" t="str">
        <f>HYPERLINK("https://rhld.insurance.arkansas.gov/NPILookup?Npi=1518442706","1518442706")</f>
        <v>1518442706</v>
      </c>
      <c r="E35581" s="1" t="s">
        <v>14445</v>
      </c>
      <c r="F35581" s="62"/>
      <c r="G35581" s="2">
        <v>54321</v>
      </c>
      <c r="H35581" s="62"/>
    </row>
    <row r="35582" spans="2:8" x14ac:dyDescent="0.25">
      <c r="B35582" s="1" t="s">
        <v>14337</v>
      </c>
      <c r="C35582" s="1" t="s">
        <v>14338</v>
      </c>
      <c r="D35582" s="22" t="str">
        <f>HYPERLINK("https://rhld.insurance.arkansas.gov/NPILookup?Npi=1518470970","1518470970")</f>
        <v>1518470970</v>
      </c>
      <c r="E35582" s="1" t="s">
        <v>14736</v>
      </c>
      <c r="F35582" s="62" t="s">
        <v>1</v>
      </c>
      <c r="G35582" s="2">
        <v>54321</v>
      </c>
      <c r="H35582" s="62" t="s">
        <v>37383</v>
      </c>
    </row>
    <row r="35583" spans="2:8" x14ac:dyDescent="0.25">
      <c r="B35583" s="1" t="s">
        <v>14337</v>
      </c>
      <c r="C35583" s="1" t="s">
        <v>14338</v>
      </c>
      <c r="D35583" s="22" t="str">
        <f>HYPERLINK("https://rhld.insurance.arkansas.gov/NPILookup?Npi=1518479831","1518479831")</f>
        <v>1518479831</v>
      </c>
      <c r="E35583" s="1" t="s">
        <v>14737</v>
      </c>
      <c r="F35583" s="62"/>
      <c r="G35583" s="2">
        <v>54321</v>
      </c>
      <c r="H35583" s="62"/>
    </row>
    <row r="35584" spans="2:8" x14ac:dyDescent="0.25">
      <c r="B35584" s="1" t="s">
        <v>14337</v>
      </c>
      <c r="C35584" s="1" t="s">
        <v>14338</v>
      </c>
      <c r="D35584" s="22" t="str">
        <f>HYPERLINK("https://rhld.insurance.arkansas.gov/NPILookup?Npi=1518482447","1518482447")</f>
        <v>1518482447</v>
      </c>
      <c r="E35584" s="1" t="s">
        <v>14738</v>
      </c>
      <c r="F35584" s="62"/>
      <c r="G35584" s="2">
        <v>54321</v>
      </c>
      <c r="H35584" s="62"/>
    </row>
    <row r="35585" spans="2:8" x14ac:dyDescent="0.25">
      <c r="B35585" s="1" t="s">
        <v>14337</v>
      </c>
      <c r="C35585" s="1" t="s">
        <v>14338</v>
      </c>
      <c r="D35585" s="22" t="str">
        <f>HYPERLINK("https://rhld.insurance.arkansas.gov/NPILookup?Npi=1518760982","1518760982")</f>
        <v>1518760982</v>
      </c>
      <c r="E35585" s="1" t="s">
        <v>32581</v>
      </c>
      <c r="F35585" s="62"/>
      <c r="G35585" s="2">
        <v>54321</v>
      </c>
      <c r="H35585" s="62"/>
    </row>
    <row r="35586" spans="2:8" x14ac:dyDescent="0.25">
      <c r="B35586" s="1" t="s">
        <v>14337</v>
      </c>
      <c r="C35586" s="1" t="s">
        <v>14338</v>
      </c>
      <c r="D35586" s="22" t="str">
        <f>HYPERLINK("https://rhld.insurance.arkansas.gov/NPILookup?Npi=1518923887","1518923887")</f>
        <v>1518923887</v>
      </c>
      <c r="E35586" s="1" t="s">
        <v>14739</v>
      </c>
      <c r="F35586" s="62"/>
      <c r="G35586" s="2">
        <v>54321</v>
      </c>
      <c r="H35586" s="62"/>
    </row>
    <row r="35587" spans="2:8" x14ac:dyDescent="0.25">
      <c r="B35587" s="1" t="s">
        <v>14337</v>
      </c>
      <c r="C35587" s="1" t="s">
        <v>14338</v>
      </c>
      <c r="D35587" s="22" t="str">
        <f>HYPERLINK("https://rhld.insurance.arkansas.gov/NPILookup?Npi=1518980986","1518980986")</f>
        <v>1518980986</v>
      </c>
      <c r="E35587" s="1" t="s">
        <v>14622</v>
      </c>
      <c r="F35587" s="62"/>
      <c r="G35587" s="2">
        <v>54321</v>
      </c>
      <c r="H35587" s="62"/>
    </row>
    <row r="35588" spans="2:8" x14ac:dyDescent="0.25">
      <c r="B35588" s="1" t="s">
        <v>14337</v>
      </c>
      <c r="C35588" s="1" t="s">
        <v>14338</v>
      </c>
      <c r="D35588" s="22" t="str">
        <f>HYPERLINK("https://rhld.insurance.arkansas.gov/NPILookup?Npi=1518984871","1518984871")</f>
        <v>1518984871</v>
      </c>
      <c r="E35588" s="1" t="s">
        <v>14355</v>
      </c>
      <c r="F35588" s="62"/>
      <c r="G35588" s="2">
        <v>54321</v>
      </c>
      <c r="H35588" s="62"/>
    </row>
    <row r="35589" spans="2:8" x14ac:dyDescent="0.25">
      <c r="B35589" s="1" t="s">
        <v>14337</v>
      </c>
      <c r="C35589" s="1" t="s">
        <v>14338</v>
      </c>
      <c r="D35589" s="22" t="str">
        <f>HYPERLINK("https://rhld.insurance.arkansas.gov/NPILookup?Npi=1518984905","1518984905")</f>
        <v>1518984905</v>
      </c>
      <c r="E35589" s="1" t="s">
        <v>14352</v>
      </c>
      <c r="F35589" s="62"/>
      <c r="G35589" s="2">
        <v>54321</v>
      </c>
      <c r="H35589" s="62"/>
    </row>
    <row r="35590" spans="2:8" x14ac:dyDescent="0.25">
      <c r="B35590" s="1" t="s">
        <v>14337</v>
      </c>
      <c r="C35590" s="1" t="s">
        <v>14338</v>
      </c>
      <c r="D35590" s="22" t="str">
        <f>HYPERLINK("https://rhld.insurance.arkansas.gov/NPILookup?Npi=1518984921","1518984921")</f>
        <v>1518984921</v>
      </c>
      <c r="E35590" s="1" t="s">
        <v>14352</v>
      </c>
      <c r="F35590" s="62"/>
      <c r="G35590" s="2">
        <v>54321</v>
      </c>
      <c r="H35590" s="62"/>
    </row>
    <row r="35591" spans="2:8" x14ac:dyDescent="0.25">
      <c r="B35591" s="1" t="s">
        <v>14337</v>
      </c>
      <c r="C35591" s="1" t="s">
        <v>14338</v>
      </c>
      <c r="D35591" s="22" t="str">
        <f>HYPERLINK("https://rhld.insurance.arkansas.gov/NPILookup?Npi=1518984996","1518984996")</f>
        <v>1518984996</v>
      </c>
      <c r="E35591" s="1" t="s">
        <v>14352</v>
      </c>
      <c r="F35591" s="62"/>
      <c r="G35591" s="2">
        <v>54321</v>
      </c>
      <c r="H35591" s="62"/>
    </row>
    <row r="35592" spans="2:8" x14ac:dyDescent="0.25">
      <c r="B35592" s="1" t="s">
        <v>14337</v>
      </c>
      <c r="C35592" s="1" t="s">
        <v>14338</v>
      </c>
      <c r="D35592" s="22" t="str">
        <f>HYPERLINK("https://rhld.insurance.arkansas.gov/NPILookup?Npi=1518985357","1518985357")</f>
        <v>1518985357</v>
      </c>
      <c r="E35592" s="1" t="s">
        <v>14384</v>
      </c>
      <c r="F35592" s="62"/>
      <c r="G35592" s="2">
        <v>54321</v>
      </c>
      <c r="H35592" s="62"/>
    </row>
    <row r="35593" spans="2:8" x14ac:dyDescent="0.25">
      <c r="B35593" s="1" t="s">
        <v>14337</v>
      </c>
      <c r="C35593" s="1" t="s">
        <v>14338</v>
      </c>
      <c r="D35593" s="22" t="str">
        <f>HYPERLINK("https://rhld.insurance.arkansas.gov/NPILookup?Npi=1528073624","1528073624")</f>
        <v>1528073624</v>
      </c>
      <c r="E35593" s="1" t="s">
        <v>14343</v>
      </c>
      <c r="F35593" s="62"/>
      <c r="G35593" s="2">
        <v>54321</v>
      </c>
      <c r="H35593" s="62"/>
    </row>
    <row r="35594" spans="2:8" x14ac:dyDescent="0.25">
      <c r="B35594" s="1" t="s">
        <v>14337</v>
      </c>
      <c r="C35594" s="1" t="s">
        <v>14338</v>
      </c>
      <c r="D35594" s="22" t="str">
        <f>HYPERLINK("https://rhld.insurance.arkansas.gov/NPILookup?Npi=1528085727","1528085727")</f>
        <v>1528085727</v>
      </c>
      <c r="E35594" s="1" t="s">
        <v>14740</v>
      </c>
      <c r="F35594" s="62"/>
      <c r="G35594" s="2">
        <v>54321</v>
      </c>
      <c r="H35594" s="62"/>
    </row>
    <row r="35595" spans="2:8" x14ac:dyDescent="0.25">
      <c r="B35595" s="1" t="s">
        <v>14337</v>
      </c>
      <c r="C35595" s="1" t="s">
        <v>14338</v>
      </c>
      <c r="D35595" s="22" t="str">
        <f>HYPERLINK("https://rhld.insurance.arkansas.gov/NPILookup?Npi=1528085933","1528085933")</f>
        <v>1528085933</v>
      </c>
      <c r="E35595" s="1" t="s">
        <v>14355</v>
      </c>
      <c r="F35595" s="62"/>
      <c r="G35595" s="2">
        <v>54321</v>
      </c>
      <c r="H35595" s="62"/>
    </row>
    <row r="35596" spans="2:8" x14ac:dyDescent="0.25">
      <c r="B35596" s="1" t="s">
        <v>14337</v>
      </c>
      <c r="C35596" s="1" t="s">
        <v>14338</v>
      </c>
      <c r="D35596" s="22" t="str">
        <f>HYPERLINK("https://rhld.insurance.arkansas.gov/NPILookup?Npi=1528085941","1528085941")</f>
        <v>1528085941</v>
      </c>
      <c r="E35596" s="1" t="s">
        <v>14741</v>
      </c>
      <c r="F35596" s="62"/>
      <c r="G35596" s="2">
        <v>54321</v>
      </c>
      <c r="H35596" s="62"/>
    </row>
    <row r="35597" spans="2:8" x14ac:dyDescent="0.25">
      <c r="B35597" s="1" t="s">
        <v>14337</v>
      </c>
      <c r="C35597" s="1" t="s">
        <v>14338</v>
      </c>
      <c r="D35597" s="22" t="str">
        <f>HYPERLINK("https://rhld.insurance.arkansas.gov/NPILookup?Npi=1528092236","1528092236")</f>
        <v>1528092236</v>
      </c>
      <c r="E35597" s="1" t="s">
        <v>14344</v>
      </c>
      <c r="F35597" s="62"/>
      <c r="G35597" s="2">
        <v>54321</v>
      </c>
      <c r="H35597" s="62"/>
    </row>
    <row r="35598" spans="2:8" x14ac:dyDescent="0.25">
      <c r="B35598" s="1" t="s">
        <v>14337</v>
      </c>
      <c r="C35598" s="1" t="s">
        <v>14338</v>
      </c>
      <c r="D35598" s="22" t="str">
        <f>HYPERLINK("https://rhld.insurance.arkansas.gov/NPILookup?Npi=1528092251","1528092251")</f>
        <v>1528092251</v>
      </c>
      <c r="E35598" s="1" t="s">
        <v>14344</v>
      </c>
      <c r="F35598" s="62"/>
      <c r="G35598" s="2">
        <v>54321</v>
      </c>
      <c r="H35598" s="62"/>
    </row>
    <row r="35599" spans="2:8" x14ac:dyDescent="0.25">
      <c r="B35599" s="1" t="s">
        <v>14337</v>
      </c>
      <c r="C35599" s="1" t="s">
        <v>14338</v>
      </c>
      <c r="D35599" s="22" t="str">
        <f>HYPERLINK("https://rhld.insurance.arkansas.gov/NPILookup?Npi=1528136470","1528136470")</f>
        <v>1528136470</v>
      </c>
      <c r="E35599" s="1" t="s">
        <v>14742</v>
      </c>
      <c r="F35599" s="62"/>
      <c r="G35599" s="2">
        <v>54321</v>
      </c>
      <c r="H35599" s="62"/>
    </row>
    <row r="35600" spans="2:8" x14ac:dyDescent="0.25">
      <c r="B35600" s="1" t="s">
        <v>14337</v>
      </c>
      <c r="C35600" s="1" t="s">
        <v>14338</v>
      </c>
      <c r="D35600" s="22" t="str">
        <f>HYPERLINK("https://rhld.insurance.arkansas.gov/NPILookup?Npi=1528229614","1528229614")</f>
        <v>1528229614</v>
      </c>
      <c r="E35600" s="1" t="s">
        <v>14359</v>
      </c>
      <c r="F35600" s="62"/>
      <c r="G35600" s="2">
        <v>54321</v>
      </c>
      <c r="H35600" s="62"/>
    </row>
    <row r="35601" spans="2:8" x14ac:dyDescent="0.25">
      <c r="B35601" s="1" t="s">
        <v>14337</v>
      </c>
      <c r="C35601" s="1" t="s">
        <v>14338</v>
      </c>
      <c r="D35601" s="22" t="str">
        <f>HYPERLINK("https://rhld.insurance.arkansas.gov/NPILookup?Npi=1528514734","1528514734")</f>
        <v>1528514734</v>
      </c>
      <c r="E35601" s="1" t="s">
        <v>14743</v>
      </c>
      <c r="F35601" s="62"/>
      <c r="G35601" s="2">
        <v>54321</v>
      </c>
      <c r="H35601" s="62"/>
    </row>
    <row r="35602" spans="2:8" x14ac:dyDescent="0.25">
      <c r="B35602" s="1" t="s">
        <v>14337</v>
      </c>
      <c r="C35602" s="1" t="s">
        <v>14338</v>
      </c>
      <c r="D35602" s="22" t="str">
        <f>HYPERLINK("https://rhld.insurance.arkansas.gov/NPILookup?Npi=1528616992","1528616992")</f>
        <v>1528616992</v>
      </c>
      <c r="E35602" s="1" t="s">
        <v>14744</v>
      </c>
      <c r="F35602" s="62"/>
      <c r="G35602" s="2">
        <v>54321</v>
      </c>
      <c r="H35602" s="62"/>
    </row>
    <row r="35603" spans="2:8" x14ac:dyDescent="0.25">
      <c r="B35603" s="1" t="s">
        <v>14337</v>
      </c>
      <c r="C35603" s="1" t="s">
        <v>14338</v>
      </c>
      <c r="D35603" s="22" t="str">
        <f>HYPERLINK("https://rhld.insurance.arkansas.gov/NPILookup?Npi=1528681335","1528681335")</f>
        <v>1528681335</v>
      </c>
      <c r="E35603" s="1" t="s">
        <v>14745</v>
      </c>
      <c r="F35603" s="62" t="s">
        <v>1</v>
      </c>
      <c r="G35603" s="2">
        <v>54321</v>
      </c>
      <c r="H35603" s="62" t="s">
        <v>37384</v>
      </c>
    </row>
    <row r="35604" spans="2:8" x14ac:dyDescent="0.25">
      <c r="B35604" s="1" t="s">
        <v>14337</v>
      </c>
      <c r="C35604" s="1" t="s">
        <v>14338</v>
      </c>
      <c r="D35604" s="22" t="str">
        <f>HYPERLINK("https://rhld.insurance.arkansas.gov/NPILookup?Npi=1538193263","1538193263")</f>
        <v>1538193263</v>
      </c>
      <c r="E35604" s="1" t="s">
        <v>14344</v>
      </c>
      <c r="F35604" s="62"/>
      <c r="G35604" s="2">
        <v>54321</v>
      </c>
      <c r="H35604" s="62"/>
    </row>
    <row r="35605" spans="2:8" x14ac:dyDescent="0.25">
      <c r="B35605" s="1" t="s">
        <v>14337</v>
      </c>
      <c r="C35605" s="1" t="s">
        <v>14338</v>
      </c>
      <c r="D35605" s="22" t="str">
        <f>HYPERLINK("https://rhld.insurance.arkansas.gov/NPILookup?Npi=1538193313","1538193313")</f>
        <v>1538193313</v>
      </c>
      <c r="E35605" s="1" t="s">
        <v>14344</v>
      </c>
      <c r="F35605" s="62"/>
      <c r="G35605" s="2">
        <v>54321</v>
      </c>
      <c r="H35605" s="62"/>
    </row>
    <row r="35606" spans="2:8" x14ac:dyDescent="0.25">
      <c r="B35606" s="1" t="s">
        <v>14337</v>
      </c>
      <c r="C35606" s="1" t="s">
        <v>14338</v>
      </c>
      <c r="D35606" s="22" t="str">
        <f>HYPERLINK("https://rhld.insurance.arkansas.gov/NPILookup?Npi=1538288113","1538288113")</f>
        <v>1538288113</v>
      </c>
      <c r="E35606" s="1" t="s">
        <v>14746</v>
      </c>
      <c r="F35606" s="62"/>
      <c r="G35606" s="2">
        <v>54321</v>
      </c>
      <c r="H35606" s="62"/>
    </row>
    <row r="35607" spans="2:8" x14ac:dyDescent="0.25">
      <c r="B35607" s="1" t="s">
        <v>14337</v>
      </c>
      <c r="C35607" s="1" t="s">
        <v>14338</v>
      </c>
      <c r="D35607" s="22" t="str">
        <f>HYPERLINK("https://rhld.insurance.arkansas.gov/NPILookup?Npi=1538317987","1538317987")</f>
        <v>1538317987</v>
      </c>
      <c r="E35607" s="1" t="s">
        <v>14359</v>
      </c>
      <c r="F35607" s="62"/>
      <c r="G35607" s="2">
        <v>54321</v>
      </c>
      <c r="H35607" s="62"/>
    </row>
    <row r="35608" spans="2:8" x14ac:dyDescent="0.25">
      <c r="B35608" s="1" t="s">
        <v>14337</v>
      </c>
      <c r="C35608" s="1" t="s">
        <v>14338</v>
      </c>
      <c r="D35608" s="22" t="str">
        <f>HYPERLINK("https://rhld.insurance.arkansas.gov/NPILookup?Npi=1538457528","1538457528")</f>
        <v>1538457528</v>
      </c>
      <c r="E35608" s="1" t="s">
        <v>14747</v>
      </c>
      <c r="F35608" s="62"/>
      <c r="G35608" s="2">
        <v>54321</v>
      </c>
      <c r="H35608" s="62"/>
    </row>
    <row r="35609" spans="2:8" x14ac:dyDescent="0.25">
      <c r="B35609" s="1" t="s">
        <v>14337</v>
      </c>
      <c r="C35609" s="1" t="s">
        <v>14338</v>
      </c>
      <c r="D35609" s="22" t="str">
        <f>HYPERLINK("https://rhld.insurance.arkansas.gov/NPILookup?Npi=1538527569","1538527569")</f>
        <v>1538527569</v>
      </c>
      <c r="E35609" s="1" t="s">
        <v>14748</v>
      </c>
      <c r="F35609" s="62"/>
      <c r="G35609" s="2">
        <v>54321</v>
      </c>
      <c r="H35609" s="62"/>
    </row>
    <row r="35610" spans="2:8" x14ac:dyDescent="0.25">
      <c r="B35610" s="1" t="s">
        <v>14337</v>
      </c>
      <c r="C35610" s="1" t="s">
        <v>14338</v>
      </c>
      <c r="D35610" s="22" t="str">
        <f>HYPERLINK("https://rhld.insurance.arkansas.gov/NPILookup?Npi=1538858394","1538858394")</f>
        <v>1538858394</v>
      </c>
      <c r="E35610" s="1" t="s">
        <v>14749</v>
      </c>
      <c r="F35610" s="62"/>
      <c r="G35610" s="2">
        <v>54321</v>
      </c>
      <c r="H35610" s="62"/>
    </row>
    <row r="35611" spans="2:8" x14ac:dyDescent="0.25">
      <c r="B35611" s="1" t="s">
        <v>14337</v>
      </c>
      <c r="C35611" s="1" t="s">
        <v>14338</v>
      </c>
      <c r="D35611" s="22" t="str">
        <f>HYPERLINK("https://rhld.insurance.arkansas.gov/NPILookup?Npi=1538884499","1538884499")</f>
        <v>1538884499</v>
      </c>
      <c r="E35611" s="1" t="s">
        <v>32576</v>
      </c>
      <c r="F35611" s="62"/>
      <c r="G35611" s="2">
        <v>54321</v>
      </c>
      <c r="H35611" s="62"/>
    </row>
    <row r="35612" spans="2:8" x14ac:dyDescent="0.25">
      <c r="B35612" s="1" t="s">
        <v>14337</v>
      </c>
      <c r="C35612" s="1" t="s">
        <v>14338</v>
      </c>
      <c r="D35612" s="22" t="str">
        <f>HYPERLINK("https://rhld.insurance.arkansas.gov/NPILookup?Npi=1548271125","1548271125")</f>
        <v>1548271125</v>
      </c>
      <c r="E35612" s="1" t="s">
        <v>14750</v>
      </c>
      <c r="F35612" s="62"/>
      <c r="G35612" s="2">
        <v>54321</v>
      </c>
      <c r="H35612" s="62"/>
    </row>
    <row r="35613" spans="2:8" x14ac:dyDescent="0.25">
      <c r="B35613" s="1" t="s">
        <v>14337</v>
      </c>
      <c r="C35613" s="1" t="s">
        <v>14338</v>
      </c>
      <c r="D35613" s="22" t="str">
        <f>HYPERLINK("https://rhld.insurance.arkansas.gov/NPILookup?Npi=1548277551","1548277551")</f>
        <v>1548277551</v>
      </c>
      <c r="E35613" s="1" t="s">
        <v>14343</v>
      </c>
      <c r="F35613" s="62"/>
      <c r="G35613" s="2">
        <v>54321</v>
      </c>
      <c r="H35613" s="62"/>
    </row>
    <row r="35614" spans="2:8" x14ac:dyDescent="0.25">
      <c r="B35614" s="1" t="s">
        <v>14337</v>
      </c>
      <c r="C35614" s="1" t="s">
        <v>14338</v>
      </c>
      <c r="D35614" s="22" t="str">
        <f>HYPERLINK("https://rhld.insurance.arkansas.gov/NPILookup?Npi=1548287741","1548287741")</f>
        <v>1548287741</v>
      </c>
      <c r="E35614" s="1" t="s">
        <v>14355</v>
      </c>
      <c r="F35614" s="62"/>
      <c r="G35614" s="2">
        <v>54321</v>
      </c>
      <c r="H35614" s="62"/>
    </row>
    <row r="35615" spans="2:8" x14ac:dyDescent="0.25">
      <c r="B35615" s="1" t="s">
        <v>14337</v>
      </c>
      <c r="C35615" s="1" t="s">
        <v>14338</v>
      </c>
      <c r="D35615" s="22" t="str">
        <f>HYPERLINK("https://rhld.insurance.arkansas.gov/NPILookup?Npi=1548321805","1548321805")</f>
        <v>1548321805</v>
      </c>
      <c r="E35615" s="1" t="s">
        <v>14751</v>
      </c>
      <c r="F35615" s="62"/>
      <c r="G35615" s="2">
        <v>54321</v>
      </c>
      <c r="H35615" s="62"/>
    </row>
    <row r="35616" spans="2:8" x14ac:dyDescent="0.25">
      <c r="B35616" s="1" t="s">
        <v>14337</v>
      </c>
      <c r="C35616" s="1" t="s">
        <v>14338</v>
      </c>
      <c r="D35616" s="22" t="str">
        <f>HYPERLINK("https://rhld.insurance.arkansas.gov/NPILookup?Npi=1548337025","1548337025")</f>
        <v>1548337025</v>
      </c>
      <c r="E35616" s="1" t="s">
        <v>14752</v>
      </c>
      <c r="F35616" s="62"/>
      <c r="G35616" s="2">
        <v>54321</v>
      </c>
      <c r="H35616" s="62"/>
    </row>
    <row r="35617" spans="2:8" x14ac:dyDescent="0.25">
      <c r="B35617" s="1" t="s">
        <v>14337</v>
      </c>
      <c r="C35617" s="1" t="s">
        <v>14338</v>
      </c>
      <c r="D35617" s="22" t="str">
        <f>HYPERLINK("https://rhld.insurance.arkansas.gov/NPILookup?Npi=1548349715","1548349715")</f>
        <v>1548349715</v>
      </c>
      <c r="E35617" s="1" t="s">
        <v>14753</v>
      </c>
      <c r="F35617" s="62"/>
      <c r="G35617" s="2">
        <v>54321</v>
      </c>
      <c r="H35617" s="62"/>
    </row>
    <row r="35618" spans="2:8" x14ac:dyDescent="0.25">
      <c r="B35618" s="1" t="s">
        <v>14337</v>
      </c>
      <c r="C35618" s="1" t="s">
        <v>14338</v>
      </c>
      <c r="D35618" s="22" t="str">
        <f>HYPERLINK("https://rhld.insurance.arkansas.gov/NPILookup?Npi=1548395825","1548395825")</f>
        <v>1548395825</v>
      </c>
      <c r="E35618" s="1" t="s">
        <v>14754</v>
      </c>
      <c r="F35618" s="62"/>
      <c r="G35618" s="2">
        <v>54321</v>
      </c>
      <c r="H35618" s="62"/>
    </row>
    <row r="35619" spans="2:8" x14ac:dyDescent="0.25">
      <c r="B35619" s="1" t="s">
        <v>14337</v>
      </c>
      <c r="C35619" s="1" t="s">
        <v>14338</v>
      </c>
      <c r="D35619" s="22" t="str">
        <f>HYPERLINK("https://rhld.insurance.arkansas.gov/NPILookup?Npi=1548527757","1548527757")</f>
        <v>1548527757</v>
      </c>
      <c r="E35619" s="1" t="s">
        <v>14755</v>
      </c>
      <c r="F35619" s="62"/>
      <c r="G35619" s="2">
        <v>54321</v>
      </c>
      <c r="H35619" s="62"/>
    </row>
    <row r="35620" spans="2:8" x14ac:dyDescent="0.25">
      <c r="B35620" s="1" t="s">
        <v>14337</v>
      </c>
      <c r="C35620" s="1" t="s">
        <v>14338</v>
      </c>
      <c r="D35620" s="22" t="str">
        <f>HYPERLINK("https://rhld.insurance.arkansas.gov/NPILookup?Npi=1548528268","1548528268")</f>
        <v>1548528268</v>
      </c>
      <c r="E35620" s="1" t="s">
        <v>32578</v>
      </c>
      <c r="F35620" s="62"/>
      <c r="G35620" s="2">
        <v>54321</v>
      </c>
      <c r="H35620" s="62"/>
    </row>
    <row r="35621" spans="2:8" x14ac:dyDescent="0.25">
      <c r="B35621" s="1" t="s">
        <v>14337</v>
      </c>
      <c r="C35621" s="1" t="s">
        <v>14338</v>
      </c>
      <c r="D35621" s="22" t="str">
        <f>HYPERLINK("https://rhld.insurance.arkansas.gov/NPILookup?Npi=1548575814","1548575814")</f>
        <v>1548575814</v>
      </c>
      <c r="E35621" s="1" t="s">
        <v>14359</v>
      </c>
      <c r="F35621" s="62"/>
      <c r="G35621" s="2">
        <v>54321</v>
      </c>
      <c r="H35621" s="62"/>
    </row>
    <row r="35622" spans="2:8" x14ac:dyDescent="0.25">
      <c r="B35622" s="1" t="s">
        <v>14337</v>
      </c>
      <c r="C35622" s="1" t="s">
        <v>14338</v>
      </c>
      <c r="D35622" s="22" t="str">
        <f>HYPERLINK("https://rhld.insurance.arkansas.gov/NPILookup?Npi=1548671407","1548671407")</f>
        <v>1548671407</v>
      </c>
      <c r="E35622" s="1" t="s">
        <v>14756</v>
      </c>
      <c r="F35622" s="62"/>
      <c r="G35622" s="2">
        <v>54321</v>
      </c>
      <c r="H35622" s="62"/>
    </row>
    <row r="35623" spans="2:8" x14ac:dyDescent="0.25">
      <c r="B35623" s="1" t="s">
        <v>14337</v>
      </c>
      <c r="C35623" s="1" t="s">
        <v>14338</v>
      </c>
      <c r="D35623" s="22" t="str">
        <f>HYPERLINK("https://rhld.insurance.arkansas.gov/NPILookup?Npi=1548735558","1548735558")</f>
        <v>1548735558</v>
      </c>
      <c r="E35623" s="1" t="s">
        <v>14485</v>
      </c>
      <c r="F35623" s="62"/>
      <c r="G35623" s="2">
        <v>54321</v>
      </c>
      <c r="H35623" s="62"/>
    </row>
    <row r="35624" spans="2:8" x14ac:dyDescent="0.25">
      <c r="B35624" s="1" t="s">
        <v>14337</v>
      </c>
      <c r="C35624" s="1" t="s">
        <v>14338</v>
      </c>
      <c r="D35624" s="22" t="str">
        <f>HYPERLINK("https://rhld.insurance.arkansas.gov/NPILookup?Npi=1548999436","1548999436")</f>
        <v>1548999436</v>
      </c>
      <c r="E35624" s="1" t="s">
        <v>14757</v>
      </c>
      <c r="F35624" s="62"/>
      <c r="G35624" s="2">
        <v>54321</v>
      </c>
      <c r="H35624" s="62"/>
    </row>
    <row r="35625" spans="2:8" x14ac:dyDescent="0.25">
      <c r="B35625" s="1" t="s">
        <v>14337</v>
      </c>
      <c r="C35625" s="1" t="s">
        <v>14338</v>
      </c>
      <c r="D35625" s="22" t="str">
        <f>HYPERLINK("https://rhld.insurance.arkansas.gov/NPILookup?Npi=1558038653","1558038653")</f>
        <v>1558038653</v>
      </c>
      <c r="E35625" s="1" t="s">
        <v>14758</v>
      </c>
      <c r="F35625" s="62"/>
      <c r="G35625" s="2">
        <v>54321</v>
      </c>
      <c r="H35625" s="62"/>
    </row>
    <row r="35626" spans="2:8" x14ac:dyDescent="0.25">
      <c r="B35626" s="1" t="s">
        <v>14337</v>
      </c>
      <c r="C35626" s="1" t="s">
        <v>14338</v>
      </c>
      <c r="D35626" s="22" t="str">
        <f>HYPERLINK("https://rhld.insurance.arkansas.gov/NPILookup?Npi=1558086561","1558086561")</f>
        <v>1558086561</v>
      </c>
      <c r="E35626" s="1" t="s">
        <v>14759</v>
      </c>
      <c r="F35626" s="62"/>
      <c r="G35626" s="2">
        <v>54321</v>
      </c>
      <c r="H35626" s="62"/>
    </row>
    <row r="35627" spans="2:8" x14ac:dyDescent="0.25">
      <c r="B35627" s="1" t="s">
        <v>14337</v>
      </c>
      <c r="C35627" s="1" t="s">
        <v>14338</v>
      </c>
      <c r="D35627" s="22" t="str">
        <f>HYPERLINK("https://rhld.insurance.arkansas.gov/NPILookup?Npi=1558376558","1558376558")</f>
        <v>1558376558</v>
      </c>
      <c r="E35627" s="1" t="s">
        <v>14343</v>
      </c>
      <c r="F35627" s="62" t="s">
        <v>1</v>
      </c>
      <c r="G35627" s="2">
        <v>54321</v>
      </c>
      <c r="H35627" s="62" t="s">
        <v>37378</v>
      </c>
    </row>
    <row r="35628" spans="2:8" x14ac:dyDescent="0.25">
      <c r="B35628" s="1" t="s">
        <v>14337</v>
      </c>
      <c r="C35628" s="1" t="s">
        <v>14338</v>
      </c>
      <c r="D35628" s="22" t="str">
        <f>HYPERLINK("https://rhld.insurance.arkansas.gov/NPILookup?Npi=1558376814","1558376814")</f>
        <v>1558376814</v>
      </c>
      <c r="E35628" s="1" t="s">
        <v>14760</v>
      </c>
      <c r="F35628" s="62"/>
      <c r="G35628" s="2">
        <v>54321</v>
      </c>
      <c r="H35628" s="62"/>
    </row>
    <row r="35629" spans="2:8" x14ac:dyDescent="0.25">
      <c r="B35629" s="1" t="s">
        <v>14337</v>
      </c>
      <c r="C35629" s="1" t="s">
        <v>14338</v>
      </c>
      <c r="D35629" s="22" t="str">
        <f>HYPERLINK("https://rhld.insurance.arkansas.gov/NPILookup?Npi=1558378562","1558378562")</f>
        <v>1558378562</v>
      </c>
      <c r="E35629" s="1" t="s">
        <v>14343</v>
      </c>
      <c r="F35629" s="62"/>
      <c r="G35629" s="2">
        <v>54321</v>
      </c>
      <c r="H35629" s="62"/>
    </row>
    <row r="35630" spans="2:8" x14ac:dyDescent="0.25">
      <c r="B35630" s="1" t="s">
        <v>14337</v>
      </c>
      <c r="C35630" s="1" t="s">
        <v>14338</v>
      </c>
      <c r="D35630" s="22" t="str">
        <f>HYPERLINK("https://rhld.insurance.arkansas.gov/NPILookup?Npi=1558380535","1558380535")</f>
        <v>1558380535</v>
      </c>
      <c r="E35630" s="1" t="s">
        <v>14352</v>
      </c>
      <c r="F35630" s="62"/>
      <c r="G35630" s="2">
        <v>54321</v>
      </c>
      <c r="H35630" s="62"/>
    </row>
    <row r="35631" spans="2:8" x14ac:dyDescent="0.25">
      <c r="B35631" s="1" t="s">
        <v>14337</v>
      </c>
      <c r="C35631" s="1" t="s">
        <v>14338</v>
      </c>
      <c r="D35631" s="22" t="str">
        <f>HYPERLINK("https://rhld.insurance.arkansas.gov/NPILookup?Npi=1558390633","1558390633")</f>
        <v>1558390633</v>
      </c>
      <c r="E35631" s="1" t="s">
        <v>14761</v>
      </c>
      <c r="F35631" s="62"/>
      <c r="G35631" s="2">
        <v>54321</v>
      </c>
      <c r="H35631" s="62"/>
    </row>
    <row r="35632" spans="2:8" x14ac:dyDescent="0.25">
      <c r="B35632" s="1" t="s">
        <v>14337</v>
      </c>
      <c r="C35632" s="1" t="s">
        <v>14338</v>
      </c>
      <c r="D35632" s="22" t="str">
        <f>HYPERLINK("https://rhld.insurance.arkansas.gov/NPILookup?Npi=1558447763","1558447763")</f>
        <v>1558447763</v>
      </c>
      <c r="E35632" s="1" t="s">
        <v>14762</v>
      </c>
      <c r="F35632" s="62"/>
      <c r="G35632" s="2">
        <v>54321</v>
      </c>
      <c r="H35632" s="62"/>
    </row>
    <row r="35633" spans="2:8" x14ac:dyDescent="0.25">
      <c r="B35633" s="1" t="s">
        <v>14337</v>
      </c>
      <c r="C35633" s="1" t="s">
        <v>14338</v>
      </c>
      <c r="D35633" s="22" t="str">
        <f>HYPERLINK("https://rhld.insurance.arkansas.gov/NPILookup?Npi=1558455907","1558455907")</f>
        <v>1558455907</v>
      </c>
      <c r="E35633" s="1" t="s">
        <v>14763</v>
      </c>
      <c r="F35633" s="62"/>
      <c r="G35633" s="2">
        <v>54321</v>
      </c>
      <c r="H35633" s="62"/>
    </row>
    <row r="35634" spans="2:8" x14ac:dyDescent="0.25">
      <c r="B35634" s="1" t="s">
        <v>14337</v>
      </c>
      <c r="C35634" s="1" t="s">
        <v>14338</v>
      </c>
      <c r="D35634" s="22" t="str">
        <f>HYPERLINK("https://rhld.insurance.arkansas.gov/NPILookup?Npi=1558471185","1558471185")</f>
        <v>1558471185</v>
      </c>
      <c r="E35634" s="1" t="s">
        <v>14764</v>
      </c>
      <c r="F35634" s="62"/>
      <c r="G35634" s="2">
        <v>54321</v>
      </c>
      <c r="H35634" s="62"/>
    </row>
    <row r="35635" spans="2:8" x14ac:dyDescent="0.25">
      <c r="B35635" s="1" t="s">
        <v>14337</v>
      </c>
      <c r="C35635" s="1" t="s">
        <v>14338</v>
      </c>
      <c r="D35635" s="22" t="str">
        <f>HYPERLINK("https://rhld.insurance.arkansas.gov/NPILookup?Npi=1558568741","1558568741")</f>
        <v>1558568741</v>
      </c>
      <c r="E35635" s="1" t="s">
        <v>14343</v>
      </c>
      <c r="F35635" s="62"/>
      <c r="G35635" s="2">
        <v>54321</v>
      </c>
      <c r="H35635" s="62"/>
    </row>
    <row r="35636" spans="2:8" x14ac:dyDescent="0.25">
      <c r="B35636" s="1" t="s">
        <v>14337</v>
      </c>
      <c r="C35636" s="1" t="s">
        <v>14338</v>
      </c>
      <c r="D35636" s="22" t="str">
        <f>HYPERLINK("https://rhld.insurance.arkansas.gov/NPILookup?Npi=1558641084","1558641084")</f>
        <v>1558641084</v>
      </c>
      <c r="E35636" s="1" t="s">
        <v>14344</v>
      </c>
      <c r="F35636" s="62"/>
      <c r="G35636" s="2">
        <v>54321</v>
      </c>
      <c r="H35636" s="62"/>
    </row>
    <row r="35637" spans="2:8" x14ac:dyDescent="0.25">
      <c r="B35637" s="1" t="s">
        <v>14337</v>
      </c>
      <c r="C35637" s="1" t="s">
        <v>14338</v>
      </c>
      <c r="D35637" s="22" t="str">
        <f>HYPERLINK("https://rhld.insurance.arkansas.gov/NPILookup?Npi=1558741611","1558741611")</f>
        <v>1558741611</v>
      </c>
      <c r="E35637" s="1" t="s">
        <v>14765</v>
      </c>
      <c r="F35637" s="62"/>
      <c r="G35637" s="2">
        <v>54321</v>
      </c>
      <c r="H35637" s="62"/>
    </row>
    <row r="35638" spans="2:8" x14ac:dyDescent="0.25">
      <c r="B35638" s="1" t="s">
        <v>14337</v>
      </c>
      <c r="C35638" s="1" t="s">
        <v>14338</v>
      </c>
      <c r="D35638" s="22" t="str">
        <f>HYPERLINK("https://rhld.insurance.arkansas.gov/NPILookup?Npi=1558772400","1558772400")</f>
        <v>1558772400</v>
      </c>
      <c r="E35638" s="1" t="s">
        <v>14766</v>
      </c>
      <c r="F35638" s="62"/>
      <c r="G35638" s="2">
        <v>54321</v>
      </c>
      <c r="H35638" s="62"/>
    </row>
    <row r="35639" spans="2:8" x14ac:dyDescent="0.25">
      <c r="B35639" s="1" t="s">
        <v>14337</v>
      </c>
      <c r="C35639" s="1" t="s">
        <v>14338</v>
      </c>
      <c r="D35639" s="22" t="str">
        <f>HYPERLINK("https://rhld.insurance.arkansas.gov/NPILookup?Npi=1558797613","1558797613")</f>
        <v>1558797613</v>
      </c>
      <c r="E35639" s="1" t="s">
        <v>14767</v>
      </c>
      <c r="F35639" s="62"/>
      <c r="G35639" s="2">
        <v>54321</v>
      </c>
      <c r="H35639" s="62"/>
    </row>
    <row r="35640" spans="2:8" x14ac:dyDescent="0.25">
      <c r="B35640" s="1" t="s">
        <v>14337</v>
      </c>
      <c r="C35640" s="1" t="s">
        <v>14338</v>
      </c>
      <c r="D35640" s="22" t="str">
        <f>HYPERLINK("https://rhld.insurance.arkansas.gov/NPILookup?Npi=1558897751","1558897751")</f>
        <v>1558897751</v>
      </c>
      <c r="E35640" s="1" t="s">
        <v>14445</v>
      </c>
      <c r="F35640" s="62"/>
      <c r="G35640" s="2">
        <v>54321</v>
      </c>
      <c r="H35640" s="62"/>
    </row>
    <row r="35641" spans="2:8" x14ac:dyDescent="0.25">
      <c r="B35641" s="1" t="s">
        <v>14337</v>
      </c>
      <c r="C35641" s="1" t="s">
        <v>14338</v>
      </c>
      <c r="D35641" s="22" t="str">
        <f>HYPERLINK("https://rhld.insurance.arkansas.gov/NPILookup?Npi=1558968958","1558968958")</f>
        <v>1558968958</v>
      </c>
      <c r="E35641" s="1" t="s">
        <v>14768</v>
      </c>
      <c r="F35641" s="62"/>
      <c r="G35641" s="2">
        <v>54321</v>
      </c>
      <c r="H35641" s="62"/>
    </row>
    <row r="35642" spans="2:8" x14ac:dyDescent="0.25">
      <c r="B35642" s="1" t="s">
        <v>14337</v>
      </c>
      <c r="C35642" s="1" t="s">
        <v>14338</v>
      </c>
      <c r="D35642" s="22" t="str">
        <f>HYPERLINK("https://rhld.insurance.arkansas.gov/NPILookup?Npi=1568042992","1568042992")</f>
        <v>1568042992</v>
      </c>
      <c r="E35642" s="1" t="s">
        <v>14769</v>
      </c>
      <c r="F35642" s="62"/>
      <c r="G35642" s="2">
        <v>54321</v>
      </c>
      <c r="H35642" s="62"/>
    </row>
    <row r="35643" spans="2:8" x14ac:dyDescent="0.25">
      <c r="B35643" s="1" t="s">
        <v>14337</v>
      </c>
      <c r="C35643" s="1" t="s">
        <v>14338</v>
      </c>
      <c r="D35643" s="22" t="str">
        <f>HYPERLINK("https://rhld.insurance.arkansas.gov/NPILookup?Npi=1568413128","1568413128")</f>
        <v>1568413128</v>
      </c>
      <c r="E35643" s="1" t="s">
        <v>14770</v>
      </c>
      <c r="F35643" s="62"/>
      <c r="G35643" s="2">
        <v>54321</v>
      </c>
      <c r="H35643" s="62"/>
    </row>
    <row r="35644" spans="2:8" x14ac:dyDescent="0.25">
      <c r="B35644" s="1" t="s">
        <v>14337</v>
      </c>
      <c r="C35644" s="1" t="s">
        <v>14338</v>
      </c>
      <c r="D35644" s="22" t="str">
        <f>HYPERLINK("https://rhld.insurance.arkansas.gov/NPILookup?Npi=1568477198","1568477198")</f>
        <v>1568477198</v>
      </c>
      <c r="E35644" s="1" t="s">
        <v>14771</v>
      </c>
      <c r="F35644" s="62"/>
      <c r="G35644" s="2">
        <v>54321</v>
      </c>
      <c r="H35644" s="62"/>
    </row>
    <row r="35645" spans="2:8" x14ac:dyDescent="0.25">
      <c r="B35645" s="1" t="s">
        <v>14337</v>
      </c>
      <c r="C35645" s="1" t="s">
        <v>14338</v>
      </c>
      <c r="D35645" s="22" t="str">
        <f>HYPERLINK("https://rhld.insurance.arkansas.gov/NPILookup?Npi=1568477826","1568477826")</f>
        <v>1568477826</v>
      </c>
      <c r="E35645" s="1" t="s">
        <v>14772</v>
      </c>
      <c r="F35645" s="62"/>
      <c r="G35645" s="2">
        <v>54321</v>
      </c>
      <c r="H35645" s="62"/>
    </row>
    <row r="35646" spans="2:8" x14ac:dyDescent="0.25">
      <c r="B35646" s="1" t="s">
        <v>14337</v>
      </c>
      <c r="C35646" s="1" t="s">
        <v>14338</v>
      </c>
      <c r="D35646" s="22" t="str">
        <f>HYPERLINK("https://rhld.insurance.arkansas.gov/NPILookup?Npi=1568479566","1568479566")</f>
        <v>1568479566</v>
      </c>
      <c r="E35646" s="1" t="s">
        <v>14343</v>
      </c>
      <c r="F35646" s="62"/>
      <c r="G35646" s="2">
        <v>54321</v>
      </c>
      <c r="H35646" s="62"/>
    </row>
    <row r="35647" spans="2:8" x14ac:dyDescent="0.25">
      <c r="B35647" s="1" t="s">
        <v>14337</v>
      </c>
      <c r="C35647" s="1" t="s">
        <v>14338</v>
      </c>
      <c r="D35647" s="22" t="str">
        <f>HYPERLINK("https://rhld.insurance.arkansas.gov/NPILookup?Npi=1568489060","1568489060")</f>
        <v>1568489060</v>
      </c>
      <c r="E35647" s="1" t="s">
        <v>14352</v>
      </c>
      <c r="F35647" s="62"/>
      <c r="G35647" s="2">
        <v>54321</v>
      </c>
      <c r="H35647" s="62"/>
    </row>
    <row r="35648" spans="2:8" x14ac:dyDescent="0.25">
      <c r="B35648" s="1" t="s">
        <v>14337</v>
      </c>
      <c r="C35648" s="1" t="s">
        <v>14338</v>
      </c>
      <c r="D35648" s="22" t="str">
        <f>HYPERLINK("https://rhld.insurance.arkansas.gov/NPILookup?Npi=1568496347","1568496347")</f>
        <v>1568496347</v>
      </c>
      <c r="E35648" s="1" t="s">
        <v>14344</v>
      </c>
      <c r="F35648" s="62"/>
      <c r="G35648" s="2">
        <v>54321</v>
      </c>
      <c r="H35648" s="62"/>
    </row>
    <row r="35649" spans="2:8" x14ac:dyDescent="0.25">
      <c r="B35649" s="1" t="s">
        <v>14337</v>
      </c>
      <c r="C35649" s="1" t="s">
        <v>14338</v>
      </c>
      <c r="D35649" s="22" t="str">
        <f>HYPERLINK("https://rhld.insurance.arkansas.gov/NPILookup?Npi=1568501914","1568501914")</f>
        <v>1568501914</v>
      </c>
      <c r="E35649" s="1" t="s">
        <v>14732</v>
      </c>
      <c r="F35649" s="62"/>
      <c r="G35649" s="2">
        <v>54321</v>
      </c>
      <c r="H35649" s="62"/>
    </row>
    <row r="35650" spans="2:8" x14ac:dyDescent="0.25">
      <c r="B35650" s="1" t="s">
        <v>14337</v>
      </c>
      <c r="C35650" s="1" t="s">
        <v>14338</v>
      </c>
      <c r="D35650" s="22" t="str">
        <f>HYPERLINK("https://rhld.insurance.arkansas.gov/NPILookup?Npi=1568892164","1568892164")</f>
        <v>1568892164</v>
      </c>
      <c r="E35650" s="1" t="s">
        <v>14773</v>
      </c>
      <c r="F35650" s="62"/>
      <c r="G35650" s="2">
        <v>54321</v>
      </c>
      <c r="H35650" s="62"/>
    </row>
    <row r="35651" spans="2:8" x14ac:dyDescent="0.25">
      <c r="B35651" s="1" t="s">
        <v>14337</v>
      </c>
      <c r="C35651" s="1" t="s">
        <v>14338</v>
      </c>
      <c r="D35651" s="22" t="str">
        <f>HYPERLINK("https://rhld.insurance.arkansas.gov/NPILookup?Npi=1568895761","1568895761")</f>
        <v>1568895761</v>
      </c>
      <c r="E35651" s="1" t="s">
        <v>14422</v>
      </c>
      <c r="F35651" s="62"/>
      <c r="G35651" s="2">
        <v>54321</v>
      </c>
      <c r="H35651" s="62"/>
    </row>
    <row r="35652" spans="2:8" x14ac:dyDescent="0.25">
      <c r="B35652" s="1" t="s">
        <v>14337</v>
      </c>
      <c r="C35652" s="1" t="s">
        <v>14338</v>
      </c>
      <c r="D35652" s="22" t="str">
        <f>HYPERLINK("https://rhld.insurance.arkansas.gov/NPILookup?Npi=1568939759","1568939759")</f>
        <v>1568939759</v>
      </c>
      <c r="E35652" s="1" t="s">
        <v>14774</v>
      </c>
      <c r="F35652" s="62"/>
      <c r="G35652" s="2">
        <v>54321</v>
      </c>
      <c r="H35652" s="62"/>
    </row>
    <row r="35653" spans="2:8" x14ac:dyDescent="0.25">
      <c r="B35653" s="1" t="s">
        <v>14337</v>
      </c>
      <c r="C35653" s="1" t="s">
        <v>14338</v>
      </c>
      <c r="D35653" s="22" t="str">
        <f>HYPERLINK("https://rhld.insurance.arkansas.gov/NPILookup?Npi=1578274106","1578274106")</f>
        <v>1578274106</v>
      </c>
      <c r="E35653" s="1" t="s">
        <v>14775</v>
      </c>
      <c r="F35653" s="62"/>
      <c r="G35653" s="2">
        <v>54321</v>
      </c>
      <c r="H35653" s="62"/>
    </row>
    <row r="35654" spans="2:8" x14ac:dyDescent="0.25">
      <c r="B35654" s="1" t="s">
        <v>14337</v>
      </c>
      <c r="C35654" s="1" t="s">
        <v>14338</v>
      </c>
      <c r="D35654" s="22" t="str">
        <f>HYPERLINK("https://rhld.insurance.arkansas.gov/NPILookup?Npi=1578347449","1578347449")</f>
        <v>1578347449</v>
      </c>
      <c r="E35654" s="1" t="s">
        <v>32578</v>
      </c>
      <c r="F35654" s="62"/>
      <c r="G35654" s="2">
        <v>54321</v>
      </c>
      <c r="H35654" s="62"/>
    </row>
    <row r="35655" spans="2:8" x14ac:dyDescent="0.25">
      <c r="B35655" s="1" t="s">
        <v>14337</v>
      </c>
      <c r="C35655" s="1" t="s">
        <v>14338</v>
      </c>
      <c r="D35655" s="22" t="str">
        <f>HYPERLINK("https://rhld.insurance.arkansas.gov/NPILookup?Npi=1578563060","1578563060")</f>
        <v>1578563060</v>
      </c>
      <c r="E35655" s="1" t="s">
        <v>14776</v>
      </c>
      <c r="F35655" s="62"/>
      <c r="G35655" s="2">
        <v>54321</v>
      </c>
      <c r="H35655" s="62"/>
    </row>
    <row r="35656" spans="2:8" x14ac:dyDescent="0.25">
      <c r="B35656" s="1" t="s">
        <v>14337</v>
      </c>
      <c r="C35656" s="1" t="s">
        <v>14338</v>
      </c>
      <c r="D35656" s="22" t="str">
        <f>HYPERLINK("https://rhld.insurance.arkansas.gov/NPILookup?Npi=1578578738","1578578738")</f>
        <v>1578578738</v>
      </c>
      <c r="E35656" s="1" t="s">
        <v>14343</v>
      </c>
      <c r="F35656" s="62"/>
      <c r="G35656" s="2">
        <v>54321</v>
      </c>
      <c r="H35656" s="62"/>
    </row>
    <row r="35657" spans="2:8" x14ac:dyDescent="0.25">
      <c r="B35657" s="1" t="s">
        <v>14337</v>
      </c>
      <c r="C35657" s="1" t="s">
        <v>14338</v>
      </c>
      <c r="D35657" s="22" t="str">
        <f>HYPERLINK("https://rhld.insurance.arkansas.gov/NPILookup?Npi=1578584538","1578584538")</f>
        <v>1578584538</v>
      </c>
      <c r="E35657" s="1" t="s">
        <v>14777</v>
      </c>
      <c r="F35657" s="62"/>
      <c r="G35657" s="2">
        <v>54321</v>
      </c>
      <c r="H35657" s="62"/>
    </row>
    <row r="35658" spans="2:8" x14ac:dyDescent="0.25">
      <c r="B35658" s="1" t="s">
        <v>14337</v>
      </c>
      <c r="C35658" s="1" t="s">
        <v>14338</v>
      </c>
      <c r="D35658" s="22" t="str">
        <f>HYPERLINK("https://rhld.insurance.arkansas.gov/NPILookup?Npi=1578669701","1578669701")</f>
        <v>1578669701</v>
      </c>
      <c r="E35658" s="1" t="s">
        <v>14778</v>
      </c>
      <c r="F35658" s="62"/>
      <c r="G35658" s="2">
        <v>54321</v>
      </c>
      <c r="H35658" s="62"/>
    </row>
    <row r="35659" spans="2:8" x14ac:dyDescent="0.25">
      <c r="B35659" s="1" t="s">
        <v>14337</v>
      </c>
      <c r="C35659" s="1" t="s">
        <v>14338</v>
      </c>
      <c r="D35659" s="22" t="str">
        <f>HYPERLINK("https://rhld.insurance.arkansas.gov/NPILookup?Npi=1578681755","1578681755")</f>
        <v>1578681755</v>
      </c>
      <c r="E35659" s="1" t="s">
        <v>14779</v>
      </c>
      <c r="F35659" s="62"/>
      <c r="G35659" s="2">
        <v>54321</v>
      </c>
      <c r="H35659" s="62"/>
    </row>
    <row r="35660" spans="2:8" x14ac:dyDescent="0.25">
      <c r="B35660" s="1" t="s">
        <v>14337</v>
      </c>
      <c r="C35660" s="1" t="s">
        <v>14338</v>
      </c>
      <c r="D35660" s="22" t="str">
        <f>HYPERLINK("https://rhld.insurance.arkansas.gov/NPILookup?Npi=1578754701","1578754701")</f>
        <v>1578754701</v>
      </c>
      <c r="E35660" s="1" t="s">
        <v>14780</v>
      </c>
      <c r="F35660" s="62"/>
      <c r="G35660" s="2">
        <v>54321</v>
      </c>
      <c r="H35660" s="62"/>
    </row>
    <row r="35661" spans="2:8" x14ac:dyDescent="0.25">
      <c r="B35661" s="1" t="s">
        <v>14337</v>
      </c>
      <c r="C35661" s="1" t="s">
        <v>14338</v>
      </c>
      <c r="D35661" s="22" t="str">
        <f>HYPERLINK("https://rhld.insurance.arkansas.gov/NPILookup?Npi=1578995007","1578995007")</f>
        <v>1578995007</v>
      </c>
      <c r="E35661" s="1" t="s">
        <v>14781</v>
      </c>
      <c r="F35661" s="62"/>
      <c r="G35661" s="2">
        <v>54321</v>
      </c>
      <c r="H35661" s="62"/>
    </row>
    <row r="35662" spans="2:8" x14ac:dyDescent="0.25">
      <c r="B35662" s="1" t="s">
        <v>14337</v>
      </c>
      <c r="C35662" s="1" t="s">
        <v>14338</v>
      </c>
      <c r="D35662" s="22" t="str">
        <f>HYPERLINK("https://rhld.insurance.arkansas.gov/NPILookup?Npi=1588015713","1588015713")</f>
        <v>1588015713</v>
      </c>
      <c r="E35662" s="1" t="s">
        <v>9654</v>
      </c>
      <c r="F35662" s="62" t="s">
        <v>1</v>
      </c>
      <c r="G35662" s="2">
        <v>54321</v>
      </c>
      <c r="H35662" s="62" t="s">
        <v>37381</v>
      </c>
    </row>
    <row r="35663" spans="2:8" x14ac:dyDescent="0.25">
      <c r="B35663" s="1" t="s">
        <v>14337</v>
      </c>
      <c r="C35663" s="1" t="s">
        <v>14338</v>
      </c>
      <c r="D35663" s="22" t="str">
        <f>HYPERLINK("https://rhld.insurance.arkansas.gov/NPILookup?Npi=1588077283","1588077283")</f>
        <v>1588077283</v>
      </c>
      <c r="E35663" s="1" t="s">
        <v>14782</v>
      </c>
      <c r="F35663" s="62"/>
      <c r="G35663" s="2">
        <v>54321</v>
      </c>
      <c r="H35663" s="62"/>
    </row>
    <row r="35664" spans="2:8" x14ac:dyDescent="0.25">
      <c r="B35664" s="1" t="s">
        <v>14337</v>
      </c>
      <c r="C35664" s="1" t="s">
        <v>14338</v>
      </c>
      <c r="D35664" s="22" t="str">
        <f>HYPERLINK("https://rhld.insurance.arkansas.gov/NPILookup?Npi=1588091201","1588091201")</f>
        <v>1588091201</v>
      </c>
      <c r="E35664" s="1" t="s">
        <v>14783</v>
      </c>
      <c r="F35664" s="62"/>
      <c r="G35664" s="2">
        <v>54321</v>
      </c>
      <c r="H35664" s="62"/>
    </row>
    <row r="35665" spans="2:8" x14ac:dyDescent="0.25">
      <c r="B35665" s="1" t="s">
        <v>14337</v>
      </c>
      <c r="C35665" s="1" t="s">
        <v>14338</v>
      </c>
      <c r="D35665" s="22" t="str">
        <f>HYPERLINK("https://rhld.insurance.arkansas.gov/NPILookup?Npi=1588115877","1588115877")</f>
        <v>1588115877</v>
      </c>
      <c r="E35665" s="1" t="s">
        <v>14784</v>
      </c>
      <c r="F35665" s="62"/>
      <c r="G35665" s="2">
        <v>54321</v>
      </c>
      <c r="H35665" s="62"/>
    </row>
    <row r="35666" spans="2:8" x14ac:dyDescent="0.25">
      <c r="B35666" s="1" t="s">
        <v>14337</v>
      </c>
      <c r="C35666" s="1" t="s">
        <v>14338</v>
      </c>
      <c r="D35666" s="22" t="str">
        <f>HYPERLINK("https://rhld.insurance.arkansas.gov/NPILookup?Npi=1588681019","1588681019")</f>
        <v>1588681019</v>
      </c>
      <c r="E35666" s="1" t="s">
        <v>14355</v>
      </c>
      <c r="F35666" s="62"/>
      <c r="G35666" s="2">
        <v>54321</v>
      </c>
      <c r="H35666" s="62"/>
    </row>
    <row r="35667" spans="2:8" x14ac:dyDescent="0.25">
      <c r="B35667" s="1" t="s">
        <v>14337</v>
      </c>
      <c r="C35667" s="1" t="s">
        <v>14338</v>
      </c>
      <c r="D35667" s="22" t="str">
        <f>HYPERLINK("https://rhld.insurance.arkansas.gov/NPILookup?Npi=1588701692","1588701692")</f>
        <v>1588701692</v>
      </c>
      <c r="E35667" s="1" t="s">
        <v>14785</v>
      </c>
      <c r="F35667" s="62"/>
      <c r="G35667" s="2">
        <v>54321</v>
      </c>
      <c r="H35667" s="62"/>
    </row>
    <row r="35668" spans="2:8" x14ac:dyDescent="0.25">
      <c r="B35668" s="1" t="s">
        <v>14337</v>
      </c>
      <c r="C35668" s="1" t="s">
        <v>14338</v>
      </c>
      <c r="D35668" s="22" t="str">
        <f>HYPERLINK("https://rhld.insurance.arkansas.gov/NPILookup?Npi=1588779136","1588779136")</f>
        <v>1588779136</v>
      </c>
      <c r="E35668" s="1" t="s">
        <v>14761</v>
      </c>
      <c r="F35668" s="62"/>
      <c r="G35668" s="2">
        <v>54321</v>
      </c>
      <c r="H35668" s="62"/>
    </row>
    <row r="35669" spans="2:8" x14ac:dyDescent="0.25">
      <c r="B35669" s="1" t="s">
        <v>14337</v>
      </c>
      <c r="C35669" s="1" t="s">
        <v>14338</v>
      </c>
      <c r="D35669" s="22" t="str">
        <f>HYPERLINK("https://rhld.insurance.arkansas.gov/NPILookup?Npi=1598047953","1598047953")</f>
        <v>1598047953</v>
      </c>
      <c r="E35669" s="1" t="s">
        <v>14786</v>
      </c>
      <c r="F35669" s="62"/>
      <c r="G35669" s="2">
        <v>54321</v>
      </c>
      <c r="H35669" s="62"/>
    </row>
    <row r="35670" spans="2:8" x14ac:dyDescent="0.25">
      <c r="B35670" s="1" t="s">
        <v>14337</v>
      </c>
      <c r="C35670" s="1" t="s">
        <v>14338</v>
      </c>
      <c r="D35670" s="22" t="str">
        <f>HYPERLINK("https://rhld.insurance.arkansas.gov/NPILookup?Npi=1598167280","1598167280")</f>
        <v>1598167280</v>
      </c>
      <c r="E35670" s="1" t="s">
        <v>14787</v>
      </c>
      <c r="F35670" s="62"/>
      <c r="G35670" s="2">
        <v>54321</v>
      </c>
      <c r="H35670" s="62"/>
    </row>
    <row r="35671" spans="2:8" x14ac:dyDescent="0.25">
      <c r="B35671" s="1" t="s">
        <v>14337</v>
      </c>
      <c r="C35671" s="1" t="s">
        <v>14338</v>
      </c>
      <c r="D35671" s="22" t="str">
        <f>HYPERLINK("https://rhld.insurance.arkansas.gov/NPILookup?Npi=1598235913","1598235913")</f>
        <v>1598235913</v>
      </c>
      <c r="E35671" s="1" t="s">
        <v>14788</v>
      </c>
      <c r="F35671" s="62"/>
      <c r="G35671" s="2">
        <v>54321</v>
      </c>
      <c r="H35671" s="62"/>
    </row>
    <row r="35672" spans="2:8" x14ac:dyDescent="0.25">
      <c r="B35672" s="1" t="s">
        <v>14337</v>
      </c>
      <c r="C35672" s="1" t="s">
        <v>14338</v>
      </c>
      <c r="D35672" s="22" t="str">
        <f>HYPERLINK("https://rhld.insurance.arkansas.gov/NPILookup?Npi=1598393605","1598393605")</f>
        <v>1598393605</v>
      </c>
      <c r="E35672" s="1" t="s">
        <v>14789</v>
      </c>
      <c r="F35672" s="62"/>
      <c r="G35672" s="2">
        <v>54321</v>
      </c>
      <c r="H35672" s="62"/>
    </row>
    <row r="35673" spans="2:8" x14ac:dyDescent="0.25">
      <c r="B35673" s="1" t="s">
        <v>14337</v>
      </c>
      <c r="C35673" s="1" t="s">
        <v>14338</v>
      </c>
      <c r="D35673" s="22" t="str">
        <f>HYPERLINK("https://rhld.insurance.arkansas.gov/NPILookup?Npi=1598444028","1598444028")</f>
        <v>1598444028</v>
      </c>
      <c r="E35673" s="1" t="s">
        <v>14463</v>
      </c>
      <c r="F35673" s="62"/>
      <c r="G35673" s="2">
        <v>54321</v>
      </c>
      <c r="H35673" s="62"/>
    </row>
    <row r="35674" spans="2:8" x14ac:dyDescent="0.25">
      <c r="B35674" s="1" t="s">
        <v>14337</v>
      </c>
      <c r="C35674" s="1" t="s">
        <v>14338</v>
      </c>
      <c r="D35674" s="22" t="str">
        <f>HYPERLINK("https://rhld.insurance.arkansas.gov/NPILookup?Npi=1598751562","1598751562")</f>
        <v>1598751562</v>
      </c>
      <c r="E35674" s="1" t="s">
        <v>14790</v>
      </c>
      <c r="F35674" s="62"/>
      <c r="G35674" s="2">
        <v>54321</v>
      </c>
      <c r="H35674" s="62"/>
    </row>
    <row r="35675" spans="2:8" x14ac:dyDescent="0.25">
      <c r="B35675" s="1" t="s">
        <v>14337</v>
      </c>
      <c r="C35675" s="1" t="s">
        <v>14338</v>
      </c>
      <c r="D35675" s="22" t="str">
        <f>HYPERLINK("https://rhld.insurance.arkansas.gov/NPILookup?Npi=1598776163","1598776163")</f>
        <v>1598776163</v>
      </c>
      <c r="E35675" s="1" t="s">
        <v>14791</v>
      </c>
      <c r="F35675" s="62"/>
      <c r="G35675" s="2">
        <v>54321</v>
      </c>
      <c r="H35675" s="62"/>
    </row>
    <row r="35676" spans="2:8" x14ac:dyDescent="0.25">
      <c r="B35676" s="1" t="s">
        <v>14337</v>
      </c>
      <c r="C35676" s="1" t="s">
        <v>14338</v>
      </c>
      <c r="D35676" s="22" t="str">
        <f>HYPERLINK("https://rhld.insurance.arkansas.gov/NPILookup?Npi=1598782815","1598782815")</f>
        <v>1598782815</v>
      </c>
      <c r="E35676" s="1" t="s">
        <v>14355</v>
      </c>
      <c r="F35676" s="62"/>
      <c r="G35676" s="2">
        <v>54321</v>
      </c>
      <c r="H35676" s="62"/>
    </row>
    <row r="35677" spans="2:8" x14ac:dyDescent="0.25">
      <c r="B35677" s="1" t="s">
        <v>14337</v>
      </c>
      <c r="C35677" s="1" t="s">
        <v>14338</v>
      </c>
      <c r="D35677" s="22" t="str">
        <f>HYPERLINK("https://rhld.insurance.arkansas.gov/NPILookup?Npi=1598782989","1598782989")</f>
        <v>1598782989</v>
      </c>
      <c r="E35677" s="1" t="s">
        <v>14352</v>
      </c>
      <c r="F35677" s="62"/>
      <c r="G35677" s="2">
        <v>54321</v>
      </c>
      <c r="H35677" s="62"/>
    </row>
    <row r="35678" spans="2:8" x14ac:dyDescent="0.25">
      <c r="B35678" s="1" t="s">
        <v>14337</v>
      </c>
      <c r="C35678" s="1" t="s">
        <v>14338</v>
      </c>
      <c r="D35678" s="22" t="str">
        <f>HYPERLINK("https://rhld.insurance.arkansas.gov/NPILookup?Npi=1598782997","1598782997")</f>
        <v>1598782997</v>
      </c>
      <c r="E35678" s="1" t="s">
        <v>14352</v>
      </c>
      <c r="F35678" s="62"/>
      <c r="G35678" s="2">
        <v>54321</v>
      </c>
      <c r="H35678" s="62"/>
    </row>
    <row r="35679" spans="2:8" x14ac:dyDescent="0.25">
      <c r="B35679" s="1" t="s">
        <v>14337</v>
      </c>
      <c r="C35679" s="1" t="s">
        <v>14338</v>
      </c>
      <c r="D35679" s="22" t="str">
        <f>HYPERLINK("https://rhld.insurance.arkansas.gov/NPILookup?Npi=1598799348","1598799348")</f>
        <v>1598799348</v>
      </c>
      <c r="E35679" s="1" t="s">
        <v>14344</v>
      </c>
      <c r="F35679" s="62"/>
      <c r="G35679" s="2">
        <v>54321</v>
      </c>
      <c r="H35679" s="62"/>
    </row>
    <row r="35680" spans="2:8" x14ac:dyDescent="0.25">
      <c r="B35680" s="1" t="s">
        <v>14337</v>
      </c>
      <c r="C35680" s="1" t="s">
        <v>14338</v>
      </c>
      <c r="D35680" s="22" t="str">
        <f>HYPERLINK("https://rhld.insurance.arkansas.gov/NPILookup?Npi=1609044528","1609044528")</f>
        <v>1609044528</v>
      </c>
      <c r="E35680" s="1" t="s">
        <v>14792</v>
      </c>
      <c r="F35680" s="62" t="s">
        <v>1</v>
      </c>
      <c r="G35680" s="2">
        <v>54321</v>
      </c>
      <c r="H35680" s="62" t="s">
        <v>37378</v>
      </c>
    </row>
    <row r="35681" spans="2:8" x14ac:dyDescent="0.25">
      <c r="B35681" s="1" t="s">
        <v>14337</v>
      </c>
      <c r="C35681" s="1" t="s">
        <v>14338</v>
      </c>
      <c r="D35681" s="22" t="str">
        <f>HYPERLINK("https://rhld.insurance.arkansas.gov/NPILookup?Npi=1609248913","1609248913")</f>
        <v>1609248913</v>
      </c>
      <c r="E35681" s="1" t="s">
        <v>14793</v>
      </c>
      <c r="F35681" s="62"/>
      <c r="G35681" s="2">
        <v>54321</v>
      </c>
      <c r="H35681" s="62"/>
    </row>
    <row r="35682" spans="2:8" x14ac:dyDescent="0.25">
      <c r="B35682" s="1" t="s">
        <v>14337</v>
      </c>
      <c r="C35682" s="1" t="s">
        <v>14338</v>
      </c>
      <c r="D35682" s="22" t="str">
        <f>HYPERLINK("https://rhld.insurance.arkansas.gov/NPILookup?Npi=1609267889","1609267889")</f>
        <v>1609267889</v>
      </c>
      <c r="E35682" s="1" t="s">
        <v>14794</v>
      </c>
      <c r="F35682" s="62"/>
      <c r="G35682" s="2">
        <v>54321</v>
      </c>
      <c r="H35682" s="62"/>
    </row>
    <row r="35683" spans="2:8" x14ac:dyDescent="0.25">
      <c r="B35683" s="1" t="s">
        <v>14337</v>
      </c>
      <c r="C35683" s="1" t="s">
        <v>14338</v>
      </c>
      <c r="D35683" s="22" t="str">
        <f>HYPERLINK("https://rhld.insurance.arkansas.gov/NPILookup?Npi=1609352566","1609352566")</f>
        <v>1609352566</v>
      </c>
      <c r="E35683" s="1" t="s">
        <v>14795</v>
      </c>
      <c r="F35683" s="62"/>
      <c r="G35683" s="2">
        <v>54321</v>
      </c>
      <c r="H35683" s="62"/>
    </row>
    <row r="35684" spans="2:8" x14ac:dyDescent="0.25">
      <c r="B35684" s="1" t="s">
        <v>14337</v>
      </c>
      <c r="C35684" s="1" t="s">
        <v>14338</v>
      </c>
      <c r="D35684" s="22" t="str">
        <f>HYPERLINK("https://rhld.insurance.arkansas.gov/NPILookup?Npi=1609800457","1609800457")</f>
        <v>1609800457</v>
      </c>
      <c r="E35684" s="1" t="s">
        <v>14344</v>
      </c>
      <c r="F35684" s="62"/>
      <c r="G35684" s="2">
        <v>54321</v>
      </c>
      <c r="H35684" s="62"/>
    </row>
    <row r="35685" spans="2:8" x14ac:dyDescent="0.25">
      <c r="B35685" s="1" t="s">
        <v>14337</v>
      </c>
      <c r="C35685" s="1" t="s">
        <v>14338</v>
      </c>
      <c r="D35685" s="22" t="str">
        <f>HYPERLINK("https://rhld.insurance.arkansas.gov/NPILookup?Npi=1609827302","1609827302")</f>
        <v>1609827302</v>
      </c>
      <c r="E35685" s="1" t="s">
        <v>14796</v>
      </c>
      <c r="F35685" s="62"/>
      <c r="G35685" s="2">
        <v>54321</v>
      </c>
      <c r="H35685" s="62"/>
    </row>
    <row r="35686" spans="2:8" x14ac:dyDescent="0.25">
      <c r="B35686" s="1" t="s">
        <v>14337</v>
      </c>
      <c r="C35686" s="1" t="s">
        <v>14338</v>
      </c>
      <c r="D35686" s="22" t="str">
        <f>HYPERLINK("https://rhld.insurance.arkansas.gov/NPILookup?Npi=1609877414","1609877414")</f>
        <v>1609877414</v>
      </c>
      <c r="E35686" s="1" t="s">
        <v>14797</v>
      </c>
      <c r="F35686" s="62"/>
      <c r="G35686" s="2">
        <v>54321</v>
      </c>
      <c r="H35686" s="62"/>
    </row>
    <row r="35687" spans="2:8" x14ac:dyDescent="0.25">
      <c r="B35687" s="1" t="s">
        <v>14337</v>
      </c>
      <c r="C35687" s="1" t="s">
        <v>14338</v>
      </c>
      <c r="D35687" s="22" t="str">
        <f>HYPERLINK("https://rhld.insurance.arkansas.gov/NPILookup?Npi=1609881705","1609881705")</f>
        <v>1609881705</v>
      </c>
      <c r="E35687" s="1" t="s">
        <v>14343</v>
      </c>
      <c r="F35687" s="62"/>
      <c r="G35687" s="2">
        <v>54321</v>
      </c>
      <c r="H35687" s="62"/>
    </row>
    <row r="35688" spans="2:8" x14ac:dyDescent="0.25">
      <c r="B35688" s="1" t="s">
        <v>14337</v>
      </c>
      <c r="C35688" s="1" t="s">
        <v>14338</v>
      </c>
      <c r="D35688" s="22" t="str">
        <f>HYPERLINK("https://rhld.insurance.arkansas.gov/NPILookup?Npi=1609893015","1609893015")</f>
        <v>1609893015</v>
      </c>
      <c r="E35688" s="1" t="s">
        <v>14352</v>
      </c>
      <c r="F35688" s="62"/>
      <c r="G35688" s="2">
        <v>54321</v>
      </c>
      <c r="H35688" s="62"/>
    </row>
    <row r="35689" spans="2:8" x14ac:dyDescent="0.25">
      <c r="B35689" s="1" t="s">
        <v>14337</v>
      </c>
      <c r="C35689" s="1" t="s">
        <v>14338</v>
      </c>
      <c r="D35689" s="22" t="str">
        <f>HYPERLINK("https://rhld.insurance.arkansas.gov/NPILookup?Npi=1609893080","1609893080")</f>
        <v>1609893080</v>
      </c>
      <c r="E35689" s="1" t="s">
        <v>14352</v>
      </c>
      <c r="F35689" s="62"/>
      <c r="G35689" s="2">
        <v>54321</v>
      </c>
      <c r="H35689" s="62"/>
    </row>
    <row r="35690" spans="2:8" x14ac:dyDescent="0.25">
      <c r="B35690" s="1" t="s">
        <v>14337</v>
      </c>
      <c r="C35690" s="1" t="s">
        <v>14338</v>
      </c>
      <c r="D35690" s="22" t="str">
        <f>HYPERLINK("https://rhld.insurance.arkansas.gov/NPILookup?Npi=1609893098","1609893098")</f>
        <v>1609893098</v>
      </c>
      <c r="E35690" s="1" t="s">
        <v>14352</v>
      </c>
      <c r="F35690" s="62"/>
      <c r="G35690" s="2">
        <v>54321</v>
      </c>
      <c r="H35690" s="62"/>
    </row>
    <row r="35691" spans="2:8" x14ac:dyDescent="0.25">
      <c r="B35691" s="1" t="s">
        <v>14337</v>
      </c>
      <c r="C35691" s="1" t="s">
        <v>14338</v>
      </c>
      <c r="D35691" s="22" t="str">
        <f>HYPERLINK("https://rhld.insurance.arkansas.gov/NPILookup?Npi=1609893890","1609893890")</f>
        <v>1609893890</v>
      </c>
      <c r="E35691" s="1" t="s">
        <v>14355</v>
      </c>
      <c r="F35691" s="62"/>
      <c r="G35691" s="2">
        <v>54321</v>
      </c>
      <c r="H35691" s="62"/>
    </row>
    <row r="35692" spans="2:8" x14ac:dyDescent="0.25">
      <c r="B35692" s="1" t="s">
        <v>14337</v>
      </c>
      <c r="C35692" s="1" t="s">
        <v>14338</v>
      </c>
      <c r="D35692" s="22" t="str">
        <f>HYPERLINK("https://rhld.insurance.arkansas.gov/NPILookup?Npi=1609949163","1609949163")</f>
        <v>1609949163</v>
      </c>
      <c r="E35692" s="1" t="s">
        <v>14798</v>
      </c>
      <c r="F35692" s="62"/>
      <c r="G35692" s="2">
        <v>54321</v>
      </c>
      <c r="H35692" s="62"/>
    </row>
    <row r="35693" spans="2:8" x14ac:dyDescent="0.25">
      <c r="B35693" s="1" t="s">
        <v>14337</v>
      </c>
      <c r="C35693" s="1" t="s">
        <v>14338</v>
      </c>
      <c r="D35693" s="22" t="str">
        <f>HYPERLINK("https://rhld.insurance.arkansas.gov/NPILookup?Npi=1609980028","1609980028")</f>
        <v>1609980028</v>
      </c>
      <c r="E35693" s="1" t="s">
        <v>14799</v>
      </c>
      <c r="F35693" s="62"/>
      <c r="G35693" s="2">
        <v>54321</v>
      </c>
      <c r="H35693" s="62"/>
    </row>
    <row r="35694" spans="2:8" x14ac:dyDescent="0.25">
      <c r="B35694" s="1" t="s">
        <v>14337</v>
      </c>
      <c r="C35694" s="1" t="s">
        <v>14338</v>
      </c>
      <c r="D35694" s="22" t="str">
        <f>HYPERLINK("https://rhld.insurance.arkansas.gov/NPILookup?Npi=1619082658","1619082658")</f>
        <v>1619082658</v>
      </c>
      <c r="E35694" s="1" t="s">
        <v>14800</v>
      </c>
      <c r="F35694" s="62"/>
      <c r="G35694" s="2">
        <v>54321</v>
      </c>
      <c r="H35694" s="62"/>
    </row>
    <row r="35695" spans="2:8" x14ac:dyDescent="0.25">
      <c r="B35695" s="1" t="s">
        <v>14337</v>
      </c>
      <c r="C35695" s="1" t="s">
        <v>14338</v>
      </c>
      <c r="D35695" s="22" t="str">
        <f>HYPERLINK("https://rhld.insurance.arkansas.gov/NPILookup?Npi=1619246493","1619246493")</f>
        <v>1619246493</v>
      </c>
      <c r="E35695" s="1" t="s">
        <v>14801</v>
      </c>
      <c r="F35695" s="62"/>
      <c r="G35695" s="2">
        <v>54321</v>
      </c>
      <c r="H35695" s="62"/>
    </row>
    <row r="35696" spans="2:8" x14ac:dyDescent="0.25">
      <c r="B35696" s="1" t="s">
        <v>14337</v>
      </c>
      <c r="C35696" s="1" t="s">
        <v>14338</v>
      </c>
      <c r="D35696" s="22" t="str">
        <f>HYPERLINK("https://rhld.insurance.arkansas.gov/NPILookup?Npi=1619290186","1619290186")</f>
        <v>1619290186</v>
      </c>
      <c r="E35696" s="1" t="s">
        <v>14802</v>
      </c>
      <c r="F35696" s="62"/>
      <c r="G35696" s="2">
        <v>54321</v>
      </c>
      <c r="H35696" s="62"/>
    </row>
    <row r="35697" spans="2:8" x14ac:dyDescent="0.25">
      <c r="B35697" s="1" t="s">
        <v>14337</v>
      </c>
      <c r="C35697" s="1" t="s">
        <v>14338</v>
      </c>
      <c r="D35697" s="22" t="str">
        <f>HYPERLINK("https://rhld.insurance.arkansas.gov/NPILookup?Npi=1619336013","1619336013")</f>
        <v>1619336013</v>
      </c>
      <c r="E35697" s="1" t="s">
        <v>14803</v>
      </c>
      <c r="F35697" s="62"/>
      <c r="G35697" s="2">
        <v>54321</v>
      </c>
      <c r="H35697" s="62"/>
    </row>
    <row r="35698" spans="2:8" x14ac:dyDescent="0.25">
      <c r="B35698" s="1" t="s">
        <v>14337</v>
      </c>
      <c r="C35698" s="1" t="s">
        <v>14338</v>
      </c>
      <c r="D35698" s="22" t="str">
        <f>HYPERLINK("https://rhld.insurance.arkansas.gov/NPILookup?Npi=1619368792","1619368792")</f>
        <v>1619368792</v>
      </c>
      <c r="E35698" s="1" t="s">
        <v>14804</v>
      </c>
      <c r="F35698" s="62"/>
      <c r="G35698" s="2">
        <v>54321</v>
      </c>
      <c r="H35698" s="62"/>
    </row>
    <row r="35699" spans="2:8" x14ac:dyDescent="0.25">
      <c r="B35699" s="1" t="s">
        <v>14337</v>
      </c>
      <c r="C35699" s="1" t="s">
        <v>14338</v>
      </c>
      <c r="D35699" s="22" t="str">
        <f>HYPERLINK("https://rhld.insurance.arkansas.gov/NPILookup?Npi=1619596731","1619596731")</f>
        <v>1619596731</v>
      </c>
      <c r="E35699" s="1" t="s">
        <v>14805</v>
      </c>
      <c r="F35699" s="62"/>
      <c r="G35699" s="2">
        <v>54321</v>
      </c>
      <c r="H35699" s="62"/>
    </row>
    <row r="35700" spans="2:8" x14ac:dyDescent="0.25">
      <c r="B35700" s="1" t="s">
        <v>14337</v>
      </c>
      <c r="C35700" s="1" t="s">
        <v>14338</v>
      </c>
      <c r="D35700" s="22" t="str">
        <f>HYPERLINK("https://rhld.insurance.arkansas.gov/NPILookup?Npi=1619751542","1619751542")</f>
        <v>1619751542</v>
      </c>
      <c r="E35700" s="1" t="s">
        <v>14806</v>
      </c>
      <c r="F35700" s="62"/>
      <c r="G35700" s="2">
        <v>54321</v>
      </c>
      <c r="H35700" s="62"/>
    </row>
    <row r="35701" spans="2:8" x14ac:dyDescent="0.25">
      <c r="B35701" s="1" t="s">
        <v>14337</v>
      </c>
      <c r="C35701" s="1" t="s">
        <v>14338</v>
      </c>
      <c r="D35701" s="22" t="str">
        <f>HYPERLINK("https://rhld.insurance.arkansas.gov/NPILookup?Npi=1619982717","1619982717")</f>
        <v>1619982717</v>
      </c>
      <c r="E35701" s="1" t="s">
        <v>14343</v>
      </c>
      <c r="F35701" s="62" t="s">
        <v>1</v>
      </c>
      <c r="G35701" s="2">
        <v>54321</v>
      </c>
      <c r="H35701" s="62" t="s">
        <v>37385</v>
      </c>
    </row>
    <row r="35702" spans="2:8" x14ac:dyDescent="0.25">
      <c r="B35702" s="1" t="s">
        <v>14337</v>
      </c>
      <c r="C35702" s="1" t="s">
        <v>14338</v>
      </c>
      <c r="D35702" s="22" t="str">
        <f>HYPERLINK("https://rhld.insurance.arkansas.gov/NPILookup?Npi=1619991767","1619991767")</f>
        <v>1619991767</v>
      </c>
      <c r="E35702" s="1" t="s">
        <v>14807</v>
      </c>
      <c r="F35702" s="62"/>
      <c r="G35702" s="2">
        <v>54321</v>
      </c>
      <c r="H35702" s="62"/>
    </row>
    <row r="35703" spans="2:8" x14ac:dyDescent="0.25">
      <c r="B35703" s="1" t="s">
        <v>14337</v>
      </c>
      <c r="C35703" s="1" t="s">
        <v>14338</v>
      </c>
      <c r="D35703" s="22" t="str">
        <f>HYPERLINK("https://rhld.insurance.arkansas.gov/NPILookup?Npi=1619994951","1619994951")</f>
        <v>1619994951</v>
      </c>
      <c r="E35703" s="1" t="s">
        <v>14355</v>
      </c>
      <c r="F35703" s="62"/>
      <c r="G35703" s="2">
        <v>54321</v>
      </c>
      <c r="H35703" s="62"/>
    </row>
    <row r="35704" spans="2:8" x14ac:dyDescent="0.25">
      <c r="B35704" s="1" t="s">
        <v>14337</v>
      </c>
      <c r="C35704" s="1" t="s">
        <v>14338</v>
      </c>
      <c r="D35704" s="22" t="str">
        <f>HYPERLINK("https://rhld.insurance.arkansas.gov/NPILookup?Npi=1629002357","1629002357")</f>
        <v>1629002357</v>
      </c>
      <c r="E35704" s="1" t="s">
        <v>14344</v>
      </c>
      <c r="F35704" s="62"/>
      <c r="G35704" s="2">
        <v>54321</v>
      </c>
      <c r="H35704" s="62"/>
    </row>
    <row r="35705" spans="2:8" x14ac:dyDescent="0.25">
      <c r="B35705" s="1" t="s">
        <v>14337</v>
      </c>
      <c r="C35705" s="1" t="s">
        <v>14338</v>
      </c>
      <c r="D35705" s="22" t="str">
        <f>HYPERLINK("https://rhld.insurance.arkansas.gov/NPILookup?Npi=1629083720","1629083720")</f>
        <v>1629083720</v>
      </c>
      <c r="E35705" s="1" t="s">
        <v>14343</v>
      </c>
      <c r="F35705" s="62"/>
      <c r="G35705" s="2">
        <v>54321</v>
      </c>
      <c r="H35705" s="62"/>
    </row>
    <row r="35706" spans="2:8" x14ac:dyDescent="0.25">
      <c r="B35706" s="1" t="s">
        <v>14337</v>
      </c>
      <c r="C35706" s="1" t="s">
        <v>14338</v>
      </c>
      <c r="D35706" s="22" t="str">
        <f>HYPERLINK("https://rhld.insurance.arkansas.gov/NPILookup?Npi=1629182696","1629182696")</f>
        <v>1629182696</v>
      </c>
      <c r="E35706" s="1" t="s">
        <v>14808</v>
      </c>
      <c r="F35706" s="62"/>
      <c r="G35706" s="2">
        <v>54321</v>
      </c>
      <c r="H35706" s="62"/>
    </row>
    <row r="35707" spans="2:8" x14ac:dyDescent="0.25">
      <c r="B35707" s="1" t="s">
        <v>14337</v>
      </c>
      <c r="C35707" s="1" t="s">
        <v>14338</v>
      </c>
      <c r="D35707" s="22" t="str">
        <f>HYPERLINK("https://rhld.insurance.arkansas.gov/NPILookup?Npi=1629377742","1629377742")</f>
        <v>1629377742</v>
      </c>
      <c r="E35707" s="1" t="s">
        <v>14809</v>
      </c>
      <c r="F35707" s="62"/>
      <c r="G35707" s="2">
        <v>54321</v>
      </c>
      <c r="H35707" s="62"/>
    </row>
    <row r="35708" spans="2:8" x14ac:dyDescent="0.25">
      <c r="B35708" s="1" t="s">
        <v>14337</v>
      </c>
      <c r="C35708" s="1" t="s">
        <v>14338</v>
      </c>
      <c r="D35708" s="22" t="str">
        <f>HYPERLINK("https://rhld.insurance.arkansas.gov/NPILookup?Npi=1629481395","1629481395")</f>
        <v>1629481395</v>
      </c>
      <c r="E35708" s="1" t="s">
        <v>14355</v>
      </c>
      <c r="F35708" s="62"/>
      <c r="G35708" s="2">
        <v>54321</v>
      </c>
      <c r="H35708" s="62"/>
    </row>
    <row r="35709" spans="2:8" x14ac:dyDescent="0.25">
      <c r="B35709" s="1" t="s">
        <v>14337</v>
      </c>
      <c r="C35709" s="1" t="s">
        <v>14338</v>
      </c>
      <c r="D35709" s="22" t="str">
        <f>HYPERLINK("https://rhld.insurance.arkansas.gov/NPILookup?Npi=1629519301","1629519301")</f>
        <v>1629519301</v>
      </c>
      <c r="E35709" s="1" t="s">
        <v>14810</v>
      </c>
      <c r="F35709" s="62"/>
      <c r="G35709" s="2">
        <v>54321</v>
      </c>
      <c r="H35709" s="62"/>
    </row>
    <row r="35710" spans="2:8" x14ac:dyDescent="0.25">
      <c r="B35710" s="1" t="s">
        <v>14337</v>
      </c>
      <c r="C35710" s="1" t="s">
        <v>14338</v>
      </c>
      <c r="D35710" s="22" t="str">
        <f>HYPERLINK("https://rhld.insurance.arkansas.gov/NPILookup?Npi=1629755442","1629755442")</f>
        <v>1629755442</v>
      </c>
      <c r="E35710" s="1" t="s">
        <v>14811</v>
      </c>
      <c r="F35710" s="62"/>
      <c r="G35710" s="2">
        <v>54321</v>
      </c>
      <c r="H35710" s="62"/>
    </row>
    <row r="35711" spans="2:8" x14ac:dyDescent="0.25">
      <c r="B35711" s="1" t="s">
        <v>14337</v>
      </c>
      <c r="C35711" s="1" t="s">
        <v>14338</v>
      </c>
      <c r="D35711" s="22" t="str">
        <f>HYPERLINK("https://rhld.insurance.arkansas.gov/NPILookup?Npi=1629755988","1629755988")</f>
        <v>1629755988</v>
      </c>
      <c r="E35711" s="1" t="s">
        <v>14761</v>
      </c>
      <c r="F35711" s="62"/>
      <c r="G35711" s="2">
        <v>54321</v>
      </c>
      <c r="H35711" s="62"/>
    </row>
    <row r="35712" spans="2:8" x14ac:dyDescent="0.25">
      <c r="B35712" s="1" t="s">
        <v>14337</v>
      </c>
      <c r="C35712" s="1" t="s">
        <v>14338</v>
      </c>
      <c r="D35712" s="22" t="str">
        <f>HYPERLINK("https://rhld.insurance.arkansas.gov/NPILookup?Npi=1629769393","1629769393")</f>
        <v>1629769393</v>
      </c>
      <c r="E35712" s="1" t="s">
        <v>14812</v>
      </c>
      <c r="F35712" s="62"/>
      <c r="G35712" s="2">
        <v>54321</v>
      </c>
      <c r="H35712" s="62"/>
    </row>
    <row r="35713" spans="2:8" x14ac:dyDescent="0.25">
      <c r="B35713" s="1" t="s">
        <v>14337</v>
      </c>
      <c r="C35713" s="1" t="s">
        <v>14338</v>
      </c>
      <c r="D35713" s="22" t="str">
        <f>HYPERLINK("https://rhld.insurance.arkansas.gov/NPILookup?Npi=1629809827","1629809827")</f>
        <v>1629809827</v>
      </c>
      <c r="E35713" s="1" t="s">
        <v>14813</v>
      </c>
      <c r="F35713" s="62"/>
      <c r="G35713" s="2">
        <v>54321</v>
      </c>
      <c r="H35713" s="62"/>
    </row>
    <row r="35714" spans="2:8" x14ac:dyDescent="0.25">
      <c r="B35714" s="1" t="s">
        <v>14337</v>
      </c>
      <c r="C35714" s="1" t="s">
        <v>14338</v>
      </c>
      <c r="D35714" s="22" t="str">
        <f>HYPERLINK("https://rhld.insurance.arkansas.gov/NPILookup?Npi=1629858741","1629858741")</f>
        <v>1629858741</v>
      </c>
      <c r="E35714" s="1" t="s">
        <v>14814</v>
      </c>
      <c r="F35714" s="62"/>
      <c r="G35714" s="2">
        <v>54321</v>
      </c>
      <c r="H35714" s="62"/>
    </row>
    <row r="35715" spans="2:8" x14ac:dyDescent="0.25">
      <c r="B35715" s="1" t="s">
        <v>14337</v>
      </c>
      <c r="C35715" s="1" t="s">
        <v>14338</v>
      </c>
      <c r="D35715" s="22" t="str">
        <f>HYPERLINK("https://rhld.insurance.arkansas.gov/NPILookup?Npi=1639157092","1639157092")</f>
        <v>1639157092</v>
      </c>
      <c r="E35715" s="1" t="s">
        <v>14343</v>
      </c>
      <c r="F35715" s="62"/>
      <c r="G35715" s="2">
        <v>54321</v>
      </c>
      <c r="H35715" s="62"/>
    </row>
    <row r="35716" spans="2:8" x14ac:dyDescent="0.25">
      <c r="B35716" s="1" t="s">
        <v>14337</v>
      </c>
      <c r="C35716" s="1" t="s">
        <v>14338</v>
      </c>
      <c r="D35716" s="22" t="str">
        <f>HYPERLINK("https://rhld.insurance.arkansas.gov/NPILookup?Npi=1639180219","1639180219")</f>
        <v>1639180219</v>
      </c>
      <c r="E35716" s="1" t="s">
        <v>14622</v>
      </c>
      <c r="F35716" s="62"/>
      <c r="G35716" s="2">
        <v>54321</v>
      </c>
      <c r="H35716" s="62"/>
    </row>
    <row r="35717" spans="2:8" x14ac:dyDescent="0.25">
      <c r="B35717" s="1" t="s">
        <v>14337</v>
      </c>
      <c r="C35717" s="1" t="s">
        <v>14338</v>
      </c>
      <c r="D35717" s="22" t="str">
        <f>HYPERLINK("https://rhld.insurance.arkansas.gov/NPILookup?Npi=1639184674","1639184674")</f>
        <v>1639184674</v>
      </c>
      <c r="E35717" s="1" t="s">
        <v>14343</v>
      </c>
      <c r="F35717" s="62"/>
      <c r="G35717" s="2">
        <v>54321</v>
      </c>
      <c r="H35717" s="62"/>
    </row>
    <row r="35718" spans="2:8" x14ac:dyDescent="0.25">
      <c r="B35718" s="1" t="s">
        <v>14337</v>
      </c>
      <c r="C35718" s="1" t="s">
        <v>14338</v>
      </c>
      <c r="D35718" s="22" t="str">
        <f>HYPERLINK("https://rhld.insurance.arkansas.gov/NPILookup?Npi=1639191398","1639191398")</f>
        <v>1639191398</v>
      </c>
      <c r="E35718" s="1" t="s">
        <v>14359</v>
      </c>
      <c r="F35718" s="62"/>
      <c r="G35718" s="2">
        <v>54321</v>
      </c>
      <c r="H35718" s="62"/>
    </row>
    <row r="35719" spans="2:8" x14ac:dyDescent="0.25">
      <c r="B35719" s="1" t="s">
        <v>14337</v>
      </c>
      <c r="C35719" s="1" t="s">
        <v>14338</v>
      </c>
      <c r="D35719" s="22" t="str">
        <f>HYPERLINK("https://rhld.insurance.arkansas.gov/NPILookup?Npi=1639194350","1639194350")</f>
        <v>1639194350</v>
      </c>
      <c r="E35719" s="1" t="s">
        <v>14344</v>
      </c>
      <c r="F35719" s="62"/>
      <c r="G35719" s="2">
        <v>54321</v>
      </c>
      <c r="H35719" s="62"/>
    </row>
    <row r="35720" spans="2:8" x14ac:dyDescent="0.25">
      <c r="B35720" s="1" t="s">
        <v>14337</v>
      </c>
      <c r="C35720" s="1" t="s">
        <v>14338</v>
      </c>
      <c r="D35720" s="22" t="str">
        <f>HYPERLINK("https://rhld.insurance.arkansas.gov/NPILookup?Npi=1639197163","1639197163")</f>
        <v>1639197163</v>
      </c>
      <c r="E35720" s="1" t="s">
        <v>14355</v>
      </c>
      <c r="F35720" s="62"/>
      <c r="G35720" s="2">
        <v>54321</v>
      </c>
      <c r="H35720" s="62"/>
    </row>
    <row r="35721" spans="2:8" x14ac:dyDescent="0.25">
      <c r="B35721" s="1" t="s">
        <v>14337</v>
      </c>
      <c r="C35721" s="1" t="s">
        <v>14338</v>
      </c>
      <c r="D35721" s="22" t="str">
        <f>HYPERLINK("https://rhld.insurance.arkansas.gov/NPILookup?Npi=1639252257","1639252257")</f>
        <v>1639252257</v>
      </c>
      <c r="E35721" s="1" t="s">
        <v>14343</v>
      </c>
      <c r="F35721" s="62"/>
      <c r="G35721" s="2">
        <v>54321</v>
      </c>
      <c r="H35721" s="62"/>
    </row>
    <row r="35722" spans="2:8" x14ac:dyDescent="0.25">
      <c r="B35722" s="1" t="s">
        <v>14337</v>
      </c>
      <c r="C35722" s="1" t="s">
        <v>14338</v>
      </c>
      <c r="D35722" s="22" t="str">
        <f>HYPERLINK("https://rhld.insurance.arkansas.gov/NPILookup?Npi=1639273733","1639273733")</f>
        <v>1639273733</v>
      </c>
      <c r="E35722" s="1" t="s">
        <v>14344</v>
      </c>
      <c r="F35722" s="62"/>
      <c r="G35722" s="2">
        <v>54321</v>
      </c>
      <c r="H35722" s="62"/>
    </row>
    <row r="35723" spans="2:8" x14ac:dyDescent="0.25">
      <c r="B35723" s="1" t="s">
        <v>14337</v>
      </c>
      <c r="C35723" s="1" t="s">
        <v>14338</v>
      </c>
      <c r="D35723" s="22" t="str">
        <f>HYPERLINK("https://rhld.insurance.arkansas.gov/NPILookup?Npi=1639302730","1639302730")</f>
        <v>1639302730</v>
      </c>
      <c r="E35723" s="1" t="s">
        <v>14815</v>
      </c>
      <c r="F35723" s="62"/>
      <c r="G35723" s="2">
        <v>54321</v>
      </c>
      <c r="H35723" s="62"/>
    </row>
    <row r="35724" spans="2:8" x14ac:dyDescent="0.25">
      <c r="B35724" s="1" t="s">
        <v>14337</v>
      </c>
      <c r="C35724" s="1" t="s">
        <v>14338</v>
      </c>
      <c r="D35724" s="22" t="str">
        <f>HYPERLINK("https://rhld.insurance.arkansas.gov/NPILookup?Npi=1639560444","1639560444")</f>
        <v>1639560444</v>
      </c>
      <c r="E35724" s="1" t="s">
        <v>14816</v>
      </c>
      <c r="F35724" s="62"/>
      <c r="G35724" s="2">
        <v>54321</v>
      </c>
      <c r="H35724" s="62"/>
    </row>
    <row r="35725" spans="2:8" x14ac:dyDescent="0.25">
      <c r="B35725" s="1" t="s">
        <v>14337</v>
      </c>
      <c r="C35725" s="1" t="s">
        <v>14338</v>
      </c>
      <c r="D35725" s="22" t="str">
        <f>HYPERLINK("https://rhld.insurance.arkansas.gov/NPILookup?Npi=1639592330","1639592330")</f>
        <v>1639592330</v>
      </c>
      <c r="E35725" s="1" t="s">
        <v>14817</v>
      </c>
      <c r="F35725" s="62"/>
      <c r="G35725" s="2">
        <v>54321</v>
      </c>
      <c r="H35725" s="62"/>
    </row>
    <row r="35726" spans="2:8" x14ac:dyDescent="0.25">
      <c r="B35726" s="1" t="s">
        <v>14337</v>
      </c>
      <c r="C35726" s="1" t="s">
        <v>14338</v>
      </c>
      <c r="D35726" s="22" t="str">
        <f>HYPERLINK("https://rhld.insurance.arkansas.gov/NPILookup?Npi=1639609381","1639609381")</f>
        <v>1639609381</v>
      </c>
      <c r="E35726" s="1" t="s">
        <v>14445</v>
      </c>
      <c r="F35726" s="62"/>
      <c r="G35726" s="2">
        <v>54321</v>
      </c>
      <c r="H35726" s="62"/>
    </row>
    <row r="35727" spans="2:8" x14ac:dyDescent="0.25">
      <c r="B35727" s="1" t="s">
        <v>14337</v>
      </c>
      <c r="C35727" s="1" t="s">
        <v>14338</v>
      </c>
      <c r="D35727" s="22" t="str">
        <f>HYPERLINK("https://rhld.insurance.arkansas.gov/NPILookup?Npi=1639976467","1639976467")</f>
        <v>1639976467</v>
      </c>
      <c r="E35727" s="1" t="s">
        <v>14550</v>
      </c>
      <c r="F35727" s="62"/>
      <c r="G35727" s="2">
        <v>54321</v>
      </c>
      <c r="H35727" s="62"/>
    </row>
    <row r="35728" spans="2:8" x14ac:dyDescent="0.25">
      <c r="B35728" s="1" t="s">
        <v>14337</v>
      </c>
      <c r="C35728" s="1" t="s">
        <v>14338</v>
      </c>
      <c r="D35728" s="22" t="str">
        <f>HYPERLINK("https://rhld.insurance.arkansas.gov/NPILookup?Npi=1649212242","1649212242")</f>
        <v>1649212242</v>
      </c>
      <c r="E35728" s="1" t="s">
        <v>14818</v>
      </c>
      <c r="F35728" s="62"/>
      <c r="G35728" s="2">
        <v>54321</v>
      </c>
      <c r="H35728" s="62"/>
    </row>
    <row r="35729" spans="2:8" x14ac:dyDescent="0.25">
      <c r="B35729" s="1" t="s">
        <v>14337</v>
      </c>
      <c r="C35729" s="1" t="s">
        <v>14338</v>
      </c>
      <c r="D35729" s="22" t="str">
        <f>HYPERLINK("https://rhld.insurance.arkansas.gov/NPILookup?Npi=1649280389","1649280389")</f>
        <v>1649280389</v>
      </c>
      <c r="E35729" s="1" t="s">
        <v>14819</v>
      </c>
      <c r="F35729" s="62"/>
      <c r="G35729" s="2">
        <v>54321</v>
      </c>
      <c r="H35729" s="62"/>
    </row>
    <row r="35730" spans="2:8" x14ac:dyDescent="0.25">
      <c r="B35730" s="1" t="s">
        <v>14337</v>
      </c>
      <c r="C35730" s="1" t="s">
        <v>14338</v>
      </c>
      <c r="D35730" s="22" t="str">
        <f>HYPERLINK("https://rhld.insurance.arkansas.gov/NPILookup?Npi=1649285644","1649285644")</f>
        <v>1649285644</v>
      </c>
      <c r="E35730" s="1" t="s">
        <v>14343</v>
      </c>
      <c r="F35730" s="62"/>
      <c r="G35730" s="2">
        <v>54321</v>
      </c>
      <c r="H35730" s="62"/>
    </row>
    <row r="35731" spans="2:8" x14ac:dyDescent="0.25">
      <c r="B35731" s="1" t="s">
        <v>14337</v>
      </c>
      <c r="C35731" s="1" t="s">
        <v>14338</v>
      </c>
      <c r="D35731" s="22" t="str">
        <f>HYPERLINK("https://rhld.insurance.arkansas.gov/NPILookup?Npi=1649285909","1649285909")</f>
        <v>1649285909</v>
      </c>
      <c r="E35731" s="1" t="s">
        <v>14820</v>
      </c>
      <c r="F35731" s="62"/>
      <c r="G35731" s="2">
        <v>54321</v>
      </c>
      <c r="H35731" s="62"/>
    </row>
    <row r="35732" spans="2:8" x14ac:dyDescent="0.25">
      <c r="B35732" s="1" t="s">
        <v>14337</v>
      </c>
      <c r="C35732" s="1" t="s">
        <v>14338</v>
      </c>
      <c r="D35732" s="22" t="str">
        <f>HYPERLINK("https://rhld.insurance.arkansas.gov/NPILookup?Npi=1649310038","1649310038")</f>
        <v>1649310038</v>
      </c>
      <c r="E35732" s="1" t="s">
        <v>14440</v>
      </c>
      <c r="F35732" s="62"/>
      <c r="G35732" s="2">
        <v>54321</v>
      </c>
      <c r="H35732" s="62"/>
    </row>
    <row r="35733" spans="2:8" x14ac:dyDescent="0.25">
      <c r="B35733" s="1" t="s">
        <v>14337</v>
      </c>
      <c r="C35733" s="1" t="s">
        <v>14338</v>
      </c>
      <c r="D35733" s="22" t="str">
        <f>HYPERLINK("https://rhld.insurance.arkansas.gov/NPILookup?Npi=1649332511","1649332511")</f>
        <v>1649332511</v>
      </c>
      <c r="E35733" s="1" t="s">
        <v>14821</v>
      </c>
      <c r="F35733" s="62"/>
      <c r="G35733" s="2">
        <v>54321</v>
      </c>
      <c r="H35733" s="62"/>
    </row>
    <row r="35734" spans="2:8" x14ac:dyDescent="0.25">
      <c r="B35734" s="1" t="s">
        <v>14337</v>
      </c>
      <c r="C35734" s="1" t="s">
        <v>14338</v>
      </c>
      <c r="D35734" s="22" t="str">
        <f>HYPERLINK("https://rhld.insurance.arkansas.gov/NPILookup?Npi=1649377920","1649377920")</f>
        <v>1649377920</v>
      </c>
      <c r="E35734" s="1" t="s">
        <v>14822</v>
      </c>
      <c r="F35734" s="62"/>
      <c r="G35734" s="2">
        <v>54321</v>
      </c>
      <c r="H35734" s="62"/>
    </row>
    <row r="35735" spans="2:8" x14ac:dyDescent="0.25">
      <c r="B35735" s="1" t="s">
        <v>14337</v>
      </c>
      <c r="C35735" s="1" t="s">
        <v>14338</v>
      </c>
      <c r="D35735" s="22" t="str">
        <f>HYPERLINK("https://rhld.insurance.arkansas.gov/NPILookup?Npi=1649380270","1649380270")</f>
        <v>1649380270</v>
      </c>
      <c r="E35735" s="1" t="s">
        <v>14764</v>
      </c>
      <c r="F35735" s="62"/>
      <c r="G35735" s="2">
        <v>54321</v>
      </c>
      <c r="H35735" s="62"/>
    </row>
    <row r="35736" spans="2:8" x14ac:dyDescent="0.25">
      <c r="B35736" s="1" t="s">
        <v>14337</v>
      </c>
      <c r="C35736" s="1" t="s">
        <v>14338</v>
      </c>
      <c r="D35736" s="22" t="str">
        <f>HYPERLINK("https://rhld.insurance.arkansas.gov/NPILookup?Npi=1649515941","1649515941")</f>
        <v>1649515941</v>
      </c>
      <c r="E35736" s="1" t="s">
        <v>14823</v>
      </c>
      <c r="F35736" s="62"/>
      <c r="G35736" s="2">
        <v>54321</v>
      </c>
      <c r="H35736" s="62"/>
    </row>
    <row r="35737" spans="2:8" x14ac:dyDescent="0.25">
      <c r="B35737" s="1" t="s">
        <v>14337</v>
      </c>
      <c r="C35737" s="1" t="s">
        <v>14338</v>
      </c>
      <c r="D35737" s="22" t="str">
        <f>HYPERLINK("https://rhld.insurance.arkansas.gov/NPILookup?Npi=1649635459","1649635459")</f>
        <v>1649635459</v>
      </c>
      <c r="E35737" s="1" t="s">
        <v>14824</v>
      </c>
      <c r="F35737" s="62"/>
      <c r="G35737" s="2">
        <v>54321</v>
      </c>
      <c r="H35737" s="62"/>
    </row>
    <row r="35738" spans="2:8" x14ac:dyDescent="0.25">
      <c r="B35738" s="1" t="s">
        <v>14337</v>
      </c>
      <c r="C35738" s="1" t="s">
        <v>14338</v>
      </c>
      <c r="D35738" s="22" t="str">
        <f>HYPERLINK("https://rhld.insurance.arkansas.gov/NPILookup?Npi=1649740739","1649740739")</f>
        <v>1649740739</v>
      </c>
      <c r="E35738" s="1" t="s">
        <v>14825</v>
      </c>
      <c r="F35738" s="62"/>
      <c r="G35738" s="2">
        <v>54321</v>
      </c>
      <c r="H35738" s="62"/>
    </row>
    <row r="35739" spans="2:8" x14ac:dyDescent="0.25">
      <c r="B35739" s="1" t="s">
        <v>14337</v>
      </c>
      <c r="C35739" s="1" t="s">
        <v>14338</v>
      </c>
      <c r="D35739" s="22" t="str">
        <f>HYPERLINK("https://rhld.insurance.arkansas.gov/NPILookup?Npi=1659063246","1659063246")</f>
        <v>1659063246</v>
      </c>
      <c r="E35739" s="1" t="s">
        <v>14826</v>
      </c>
      <c r="F35739" s="62"/>
      <c r="G35739" s="2">
        <v>54321</v>
      </c>
      <c r="H35739" s="62"/>
    </row>
    <row r="35740" spans="2:8" x14ac:dyDescent="0.25">
      <c r="B35740" s="1" t="s">
        <v>14337</v>
      </c>
      <c r="C35740" s="1" t="s">
        <v>14338</v>
      </c>
      <c r="D35740" s="22" t="str">
        <f>HYPERLINK("https://rhld.insurance.arkansas.gov/NPILookup?Npi=1659069656","1659069656")</f>
        <v>1659069656</v>
      </c>
      <c r="E35740" s="1" t="s">
        <v>14827</v>
      </c>
      <c r="F35740" s="62"/>
      <c r="G35740" s="2">
        <v>54321</v>
      </c>
      <c r="H35740" s="62"/>
    </row>
    <row r="35741" spans="2:8" x14ac:dyDescent="0.25">
      <c r="B35741" s="1" t="s">
        <v>14337</v>
      </c>
      <c r="C35741" s="1" t="s">
        <v>14338</v>
      </c>
      <c r="D35741" s="22" t="str">
        <f>HYPERLINK("https://rhld.insurance.arkansas.gov/NPILookup?Npi=1659386910","1659386910")</f>
        <v>1659386910</v>
      </c>
      <c r="E35741" s="1" t="s">
        <v>14828</v>
      </c>
      <c r="F35741" s="62"/>
      <c r="G35741" s="2">
        <v>54321</v>
      </c>
      <c r="H35741" s="62"/>
    </row>
    <row r="35742" spans="2:8" x14ac:dyDescent="0.25">
      <c r="B35742" s="1" t="s">
        <v>14337</v>
      </c>
      <c r="C35742" s="1" t="s">
        <v>14338</v>
      </c>
      <c r="D35742" s="22" t="str">
        <f>HYPERLINK("https://rhld.insurance.arkansas.gov/NPILookup?Npi=1659398154","1659398154")</f>
        <v>1659398154</v>
      </c>
      <c r="E35742" s="1" t="s">
        <v>14352</v>
      </c>
      <c r="F35742" s="62"/>
      <c r="G35742" s="2">
        <v>54321</v>
      </c>
      <c r="H35742" s="62"/>
    </row>
    <row r="35743" spans="2:8" x14ac:dyDescent="0.25">
      <c r="B35743" s="1" t="s">
        <v>14337</v>
      </c>
      <c r="C35743" s="1" t="s">
        <v>14338</v>
      </c>
      <c r="D35743" s="22" t="str">
        <f>HYPERLINK("https://rhld.insurance.arkansas.gov/NPILookup?Npi=1659416972","1659416972")</f>
        <v>1659416972</v>
      </c>
      <c r="E35743" s="1" t="s">
        <v>14829</v>
      </c>
      <c r="F35743" s="62"/>
      <c r="G35743" s="2">
        <v>54321</v>
      </c>
      <c r="H35743" s="62"/>
    </row>
    <row r="35744" spans="2:8" x14ac:dyDescent="0.25">
      <c r="B35744" s="1" t="s">
        <v>14337</v>
      </c>
      <c r="C35744" s="1" t="s">
        <v>14338</v>
      </c>
      <c r="D35744" s="22" t="str">
        <f>HYPERLINK("https://rhld.insurance.arkansas.gov/NPILookup?Npi=1659541936","1659541936")</f>
        <v>1659541936</v>
      </c>
      <c r="E35744" s="1" t="s">
        <v>14343</v>
      </c>
      <c r="F35744" s="62"/>
      <c r="G35744" s="2">
        <v>54321</v>
      </c>
      <c r="H35744" s="62"/>
    </row>
    <row r="35745" spans="2:8" x14ac:dyDescent="0.25">
      <c r="B35745" s="1" t="s">
        <v>14337</v>
      </c>
      <c r="C35745" s="1" t="s">
        <v>14338</v>
      </c>
      <c r="D35745" s="22" t="str">
        <f>HYPERLINK("https://rhld.insurance.arkansas.gov/NPILookup?Npi=1659619120","1659619120")</f>
        <v>1659619120</v>
      </c>
      <c r="E35745" s="1" t="s">
        <v>14830</v>
      </c>
      <c r="F35745" s="62"/>
      <c r="G35745" s="2">
        <v>54321</v>
      </c>
      <c r="H35745" s="62"/>
    </row>
    <row r="35746" spans="2:8" x14ac:dyDescent="0.25">
      <c r="B35746" s="1" t="s">
        <v>14337</v>
      </c>
      <c r="C35746" s="1" t="s">
        <v>14338</v>
      </c>
      <c r="D35746" s="22" t="str">
        <f>HYPERLINK("https://rhld.insurance.arkansas.gov/NPILookup?Npi=1659628212","1659628212")</f>
        <v>1659628212</v>
      </c>
      <c r="E35746" s="1" t="s">
        <v>14343</v>
      </c>
      <c r="F35746" s="62"/>
      <c r="G35746" s="2">
        <v>54321</v>
      </c>
      <c r="H35746" s="62"/>
    </row>
    <row r="35747" spans="2:8" x14ac:dyDescent="0.25">
      <c r="B35747" s="1" t="s">
        <v>14337</v>
      </c>
      <c r="C35747" s="1" t="s">
        <v>14338</v>
      </c>
      <c r="D35747" s="22" t="str">
        <f>HYPERLINK("https://rhld.insurance.arkansas.gov/NPILookup?Npi=1659629152","1659629152")</f>
        <v>1659629152</v>
      </c>
      <c r="E35747" s="1" t="s">
        <v>14831</v>
      </c>
      <c r="F35747" s="62"/>
      <c r="G35747" s="2">
        <v>54321</v>
      </c>
      <c r="H35747" s="62"/>
    </row>
    <row r="35748" spans="2:8" x14ac:dyDescent="0.25">
      <c r="B35748" s="1" t="s">
        <v>14337</v>
      </c>
      <c r="C35748" s="1" t="s">
        <v>14338</v>
      </c>
      <c r="D35748" s="22" t="str">
        <f>HYPERLINK("https://rhld.insurance.arkansas.gov/NPILookup?Npi=1659648285","1659648285")</f>
        <v>1659648285</v>
      </c>
      <c r="E35748" s="1" t="s">
        <v>14832</v>
      </c>
      <c r="F35748" s="62"/>
      <c r="G35748" s="2">
        <v>54321</v>
      </c>
      <c r="H35748" s="62"/>
    </row>
    <row r="35749" spans="2:8" x14ac:dyDescent="0.25">
      <c r="B35749" s="1" t="s">
        <v>14337</v>
      </c>
      <c r="C35749" s="1" t="s">
        <v>14338</v>
      </c>
      <c r="D35749" s="22" t="str">
        <f>HYPERLINK("https://rhld.insurance.arkansas.gov/NPILookup?Npi=1659703411","1659703411")</f>
        <v>1659703411</v>
      </c>
      <c r="E35749" s="1" t="s">
        <v>14833</v>
      </c>
      <c r="F35749" s="62"/>
      <c r="G35749" s="2">
        <v>54321</v>
      </c>
      <c r="H35749" s="62"/>
    </row>
    <row r="35750" spans="2:8" x14ac:dyDescent="0.25">
      <c r="B35750" s="1" t="s">
        <v>14337</v>
      </c>
      <c r="C35750" s="1" t="s">
        <v>14338</v>
      </c>
      <c r="D35750" s="22" t="str">
        <f>HYPERLINK("https://rhld.insurance.arkansas.gov/NPILookup?Npi=1659746584","1659746584")</f>
        <v>1659746584</v>
      </c>
      <c r="E35750" s="1" t="s">
        <v>14834</v>
      </c>
      <c r="F35750" s="62"/>
      <c r="G35750" s="2">
        <v>54321</v>
      </c>
      <c r="H35750" s="62"/>
    </row>
    <row r="35751" spans="2:8" x14ac:dyDescent="0.25">
      <c r="B35751" s="1" t="s">
        <v>14337</v>
      </c>
      <c r="C35751" s="1" t="s">
        <v>14338</v>
      </c>
      <c r="D35751" s="22" t="str">
        <f>HYPERLINK("https://rhld.insurance.arkansas.gov/NPILookup?Npi=1659756104","1659756104")</f>
        <v>1659756104</v>
      </c>
      <c r="E35751" s="1" t="s">
        <v>14835</v>
      </c>
      <c r="F35751" s="62"/>
      <c r="G35751" s="2">
        <v>54321</v>
      </c>
      <c r="H35751" s="62"/>
    </row>
    <row r="35752" spans="2:8" x14ac:dyDescent="0.25">
      <c r="B35752" s="1" t="s">
        <v>14337</v>
      </c>
      <c r="C35752" s="1" t="s">
        <v>14338</v>
      </c>
      <c r="D35752" s="22" t="str">
        <f>HYPERLINK("https://rhld.insurance.arkansas.gov/NPILookup?Npi=1659866341","1659866341")</f>
        <v>1659866341</v>
      </c>
      <c r="E35752" s="1" t="s">
        <v>14836</v>
      </c>
      <c r="F35752" s="62"/>
      <c r="G35752" s="2">
        <v>54321</v>
      </c>
      <c r="H35752" s="62"/>
    </row>
    <row r="35753" spans="2:8" x14ac:dyDescent="0.25">
      <c r="B35753" s="1" t="s">
        <v>14337</v>
      </c>
      <c r="C35753" s="1" t="s">
        <v>14338</v>
      </c>
      <c r="D35753" s="22" t="str">
        <f>HYPERLINK("https://rhld.insurance.arkansas.gov/NPILookup?Npi=1669159471","1669159471")</f>
        <v>1669159471</v>
      </c>
      <c r="E35753" s="1" t="s">
        <v>14837</v>
      </c>
      <c r="F35753" s="62" t="s">
        <v>1</v>
      </c>
      <c r="G35753" s="2">
        <v>54321</v>
      </c>
      <c r="H35753" s="62" t="s">
        <v>37378</v>
      </c>
    </row>
    <row r="35754" spans="2:8" x14ac:dyDescent="0.25">
      <c r="B35754" s="1" t="s">
        <v>14337</v>
      </c>
      <c r="C35754" s="1" t="s">
        <v>14338</v>
      </c>
      <c r="D35754" s="22" t="str">
        <f>HYPERLINK("https://rhld.insurance.arkansas.gov/NPILookup?Npi=1669252664","1669252664")</f>
        <v>1669252664</v>
      </c>
      <c r="E35754" s="1" t="s">
        <v>14838</v>
      </c>
      <c r="F35754" s="62"/>
      <c r="G35754" s="2">
        <v>54321</v>
      </c>
      <c r="H35754" s="62"/>
    </row>
    <row r="35755" spans="2:8" x14ac:dyDescent="0.25">
      <c r="B35755" s="1" t="s">
        <v>14337</v>
      </c>
      <c r="C35755" s="1" t="s">
        <v>14338</v>
      </c>
      <c r="D35755" s="22" t="str">
        <f>HYPERLINK("https://rhld.insurance.arkansas.gov/NPILookup?Npi=1669423810","1669423810")</f>
        <v>1669423810</v>
      </c>
      <c r="E35755" s="1" t="s">
        <v>14839</v>
      </c>
      <c r="F35755" s="62"/>
      <c r="G35755" s="2">
        <v>54321</v>
      </c>
      <c r="H35755" s="62"/>
    </row>
    <row r="35756" spans="2:8" x14ac:dyDescent="0.25">
      <c r="B35756" s="1" t="s">
        <v>14337</v>
      </c>
      <c r="C35756" s="1" t="s">
        <v>14338</v>
      </c>
      <c r="D35756" s="22" t="str">
        <f>HYPERLINK("https://rhld.insurance.arkansas.gov/NPILookup?Npi=1669487294","1669487294")</f>
        <v>1669487294</v>
      </c>
      <c r="E35756" s="1" t="s">
        <v>14840</v>
      </c>
      <c r="F35756" s="62"/>
      <c r="G35756" s="2">
        <v>54321</v>
      </c>
      <c r="H35756" s="62"/>
    </row>
    <row r="35757" spans="2:8" x14ac:dyDescent="0.25">
      <c r="B35757" s="1" t="s">
        <v>14337</v>
      </c>
      <c r="C35757" s="1" t="s">
        <v>14338</v>
      </c>
      <c r="D35757" s="22" t="str">
        <f>HYPERLINK("https://rhld.insurance.arkansas.gov/NPILookup?Npi=1669487690","1669487690")</f>
        <v>1669487690</v>
      </c>
      <c r="E35757" s="1" t="s">
        <v>14343</v>
      </c>
      <c r="F35757" s="62"/>
      <c r="G35757" s="2">
        <v>54321</v>
      </c>
      <c r="H35757" s="62"/>
    </row>
    <row r="35758" spans="2:8" x14ac:dyDescent="0.25">
      <c r="B35758" s="1" t="s">
        <v>14337</v>
      </c>
      <c r="C35758" s="1" t="s">
        <v>14338</v>
      </c>
      <c r="D35758" s="22" t="str">
        <f>HYPERLINK("https://rhld.insurance.arkansas.gov/NPILookup?Npi=1669491643","1669491643")</f>
        <v>1669491643</v>
      </c>
      <c r="E35758" s="1" t="s">
        <v>14352</v>
      </c>
      <c r="F35758" s="62"/>
      <c r="G35758" s="2">
        <v>54321</v>
      </c>
      <c r="H35758" s="62"/>
    </row>
    <row r="35759" spans="2:8" x14ac:dyDescent="0.25">
      <c r="B35759" s="1" t="s">
        <v>14337</v>
      </c>
      <c r="C35759" s="1" t="s">
        <v>14338</v>
      </c>
      <c r="D35759" s="22" t="str">
        <f>HYPERLINK("https://rhld.insurance.arkansas.gov/NPILookup?Npi=1669555710","1669555710")</f>
        <v>1669555710</v>
      </c>
      <c r="E35759" s="1" t="s">
        <v>14841</v>
      </c>
      <c r="F35759" s="62"/>
      <c r="G35759" s="2">
        <v>54321</v>
      </c>
      <c r="H35759" s="62"/>
    </row>
    <row r="35760" spans="2:8" x14ac:dyDescent="0.25">
      <c r="B35760" s="1" t="s">
        <v>14337</v>
      </c>
      <c r="C35760" s="1" t="s">
        <v>14338</v>
      </c>
      <c r="D35760" s="22" t="str">
        <f>HYPERLINK("https://rhld.insurance.arkansas.gov/NPILookup?Npi=1669712428","1669712428")</f>
        <v>1669712428</v>
      </c>
      <c r="E35760" s="1" t="s">
        <v>14842</v>
      </c>
      <c r="F35760" s="62"/>
      <c r="G35760" s="2">
        <v>54321</v>
      </c>
      <c r="H35760" s="62"/>
    </row>
    <row r="35761" spans="2:8" x14ac:dyDescent="0.25">
      <c r="B35761" s="1" t="s">
        <v>14337</v>
      </c>
      <c r="C35761" s="1" t="s">
        <v>14338</v>
      </c>
      <c r="D35761" s="22" t="str">
        <f>HYPERLINK("https://rhld.insurance.arkansas.gov/NPILookup?Npi=1669816146","1669816146")</f>
        <v>1669816146</v>
      </c>
      <c r="E35761" s="1" t="s">
        <v>14843</v>
      </c>
      <c r="F35761" s="62"/>
      <c r="G35761" s="2">
        <v>54321</v>
      </c>
      <c r="H35761" s="62"/>
    </row>
    <row r="35762" spans="2:8" x14ac:dyDescent="0.25">
      <c r="B35762" s="1" t="s">
        <v>14337</v>
      </c>
      <c r="C35762" s="1" t="s">
        <v>14338</v>
      </c>
      <c r="D35762" s="22" t="str">
        <f>HYPERLINK("https://rhld.insurance.arkansas.gov/NPILookup?Npi=1669835484","1669835484")</f>
        <v>1669835484</v>
      </c>
      <c r="E35762" s="1" t="s">
        <v>14844</v>
      </c>
      <c r="F35762" s="62"/>
      <c r="G35762" s="2">
        <v>54321</v>
      </c>
      <c r="H35762" s="62"/>
    </row>
    <row r="35763" spans="2:8" x14ac:dyDescent="0.25">
      <c r="B35763" s="1" t="s">
        <v>14337</v>
      </c>
      <c r="C35763" s="1" t="s">
        <v>14338</v>
      </c>
      <c r="D35763" s="22" t="str">
        <f>HYPERLINK("https://rhld.insurance.arkansas.gov/NPILookup?Npi=1679137053","1679137053")</f>
        <v>1679137053</v>
      </c>
      <c r="E35763" s="1" t="s">
        <v>14845</v>
      </c>
      <c r="F35763" s="62"/>
      <c r="G35763" s="2">
        <v>54321</v>
      </c>
      <c r="H35763" s="62"/>
    </row>
    <row r="35764" spans="2:8" x14ac:dyDescent="0.25">
      <c r="B35764" s="1" t="s">
        <v>14337</v>
      </c>
      <c r="C35764" s="1" t="s">
        <v>14338</v>
      </c>
      <c r="D35764" s="22" t="str">
        <f>HYPERLINK("https://rhld.insurance.arkansas.gov/NPILookup?Npi=1679563712","1679563712")</f>
        <v>1679563712</v>
      </c>
      <c r="E35764" s="1" t="s">
        <v>14846</v>
      </c>
      <c r="F35764" s="62"/>
      <c r="G35764" s="2">
        <v>54321</v>
      </c>
      <c r="H35764" s="62"/>
    </row>
    <row r="35765" spans="2:8" x14ac:dyDescent="0.25">
      <c r="B35765" s="1" t="s">
        <v>14337</v>
      </c>
      <c r="C35765" s="1" t="s">
        <v>14338</v>
      </c>
      <c r="D35765" s="22" t="str">
        <f>HYPERLINK("https://rhld.insurance.arkansas.gov/NPILookup?Npi=1679568729","1679568729")</f>
        <v>1679568729</v>
      </c>
      <c r="E35765" s="1" t="s">
        <v>14847</v>
      </c>
      <c r="F35765" s="62"/>
      <c r="G35765" s="2">
        <v>54321</v>
      </c>
      <c r="H35765" s="62"/>
    </row>
    <row r="35766" spans="2:8" x14ac:dyDescent="0.25">
      <c r="B35766" s="1" t="s">
        <v>14337</v>
      </c>
      <c r="C35766" s="1" t="s">
        <v>14338</v>
      </c>
      <c r="D35766" s="22" t="str">
        <f>HYPERLINK("https://rhld.insurance.arkansas.gov/NPILookup?Npi=1679588693","1679588693")</f>
        <v>1679588693</v>
      </c>
      <c r="E35766" s="1" t="s">
        <v>14343</v>
      </c>
      <c r="F35766" s="62"/>
      <c r="G35766" s="2">
        <v>54321</v>
      </c>
      <c r="H35766" s="62"/>
    </row>
    <row r="35767" spans="2:8" x14ac:dyDescent="0.25">
      <c r="B35767" s="1" t="s">
        <v>14337</v>
      </c>
      <c r="C35767" s="1" t="s">
        <v>14338</v>
      </c>
      <c r="D35767" s="22" t="str">
        <f>HYPERLINK("https://rhld.insurance.arkansas.gov/NPILookup?Npi=1679649339","1679649339")</f>
        <v>1679649339</v>
      </c>
      <c r="E35767" s="1" t="s">
        <v>14848</v>
      </c>
      <c r="F35767" s="62"/>
      <c r="G35767" s="2">
        <v>54321</v>
      </c>
      <c r="H35767" s="62"/>
    </row>
    <row r="35768" spans="2:8" x14ac:dyDescent="0.25">
      <c r="B35768" s="1" t="s">
        <v>14337</v>
      </c>
      <c r="C35768" s="1" t="s">
        <v>14338</v>
      </c>
      <c r="D35768" s="22" t="str">
        <f>HYPERLINK("https://rhld.insurance.arkansas.gov/NPILookup?Npi=1679676662","1679676662")</f>
        <v>1679676662</v>
      </c>
      <c r="E35768" s="1" t="s">
        <v>14343</v>
      </c>
      <c r="F35768" s="62"/>
      <c r="G35768" s="2">
        <v>54321</v>
      </c>
      <c r="H35768" s="62"/>
    </row>
    <row r="35769" spans="2:8" x14ac:dyDescent="0.25">
      <c r="B35769" s="1" t="s">
        <v>14337</v>
      </c>
      <c r="C35769" s="1" t="s">
        <v>14338</v>
      </c>
      <c r="D35769" s="22" t="str">
        <f>HYPERLINK("https://rhld.insurance.arkansas.gov/NPILookup?Npi=1679906226","1679906226")</f>
        <v>1679906226</v>
      </c>
      <c r="E35769" s="1" t="s">
        <v>14422</v>
      </c>
      <c r="F35769" s="62"/>
      <c r="G35769" s="2">
        <v>54321</v>
      </c>
      <c r="H35769" s="62"/>
    </row>
    <row r="35770" spans="2:8" x14ac:dyDescent="0.25">
      <c r="B35770" s="1" t="s">
        <v>14337</v>
      </c>
      <c r="C35770" s="1" t="s">
        <v>14338</v>
      </c>
      <c r="D35770" s="22" t="str">
        <f>HYPERLINK("https://rhld.insurance.arkansas.gov/NPILookup?Npi=1689113136","1689113136")</f>
        <v>1689113136</v>
      </c>
      <c r="E35770" s="1" t="s">
        <v>14849</v>
      </c>
      <c r="F35770" s="62"/>
      <c r="G35770" s="2">
        <v>54321</v>
      </c>
      <c r="H35770" s="62"/>
    </row>
    <row r="35771" spans="2:8" x14ac:dyDescent="0.25">
      <c r="B35771" s="1" t="s">
        <v>14337</v>
      </c>
      <c r="C35771" s="1" t="s">
        <v>14338</v>
      </c>
      <c r="D35771" s="22" t="str">
        <f>HYPERLINK("https://rhld.insurance.arkansas.gov/NPILookup?Npi=1689382822","1689382822")</f>
        <v>1689382822</v>
      </c>
      <c r="E35771" s="1" t="s">
        <v>14540</v>
      </c>
      <c r="F35771" s="62" t="s">
        <v>1</v>
      </c>
      <c r="G35771" s="2">
        <v>54321</v>
      </c>
      <c r="H35771" s="62" t="s">
        <v>37383</v>
      </c>
    </row>
    <row r="35772" spans="2:8" x14ac:dyDescent="0.25">
      <c r="B35772" s="1" t="s">
        <v>14337</v>
      </c>
      <c r="C35772" s="1" t="s">
        <v>14338</v>
      </c>
      <c r="D35772" s="22" t="str">
        <f>HYPERLINK("https://rhld.insurance.arkansas.gov/NPILookup?Npi=1689492936","1689492936")</f>
        <v>1689492936</v>
      </c>
      <c r="E35772" s="1" t="s">
        <v>14850</v>
      </c>
      <c r="F35772" s="62"/>
      <c r="G35772" s="2">
        <v>54321</v>
      </c>
      <c r="H35772" s="62"/>
    </row>
    <row r="35773" spans="2:8" x14ac:dyDescent="0.25">
      <c r="B35773" s="1" t="s">
        <v>14337</v>
      </c>
      <c r="C35773" s="1" t="s">
        <v>14338</v>
      </c>
      <c r="D35773" s="22" t="str">
        <f>HYPERLINK("https://rhld.insurance.arkansas.gov/NPILookup?Npi=1689662819","1689662819")</f>
        <v>1689662819</v>
      </c>
      <c r="E35773" s="1" t="s">
        <v>14851</v>
      </c>
      <c r="F35773" s="62"/>
      <c r="G35773" s="2">
        <v>54321</v>
      </c>
      <c r="H35773" s="62"/>
    </row>
    <row r="35774" spans="2:8" x14ac:dyDescent="0.25">
      <c r="B35774" s="1" t="s">
        <v>14337</v>
      </c>
      <c r="C35774" s="1" t="s">
        <v>14338</v>
      </c>
      <c r="D35774" s="22" t="str">
        <f>HYPERLINK("https://rhld.insurance.arkansas.gov/NPILookup?Npi=1689673832","1689673832")</f>
        <v>1689673832</v>
      </c>
      <c r="E35774" s="1" t="s">
        <v>14852</v>
      </c>
      <c r="F35774" s="62"/>
      <c r="G35774" s="2">
        <v>54321</v>
      </c>
      <c r="H35774" s="62"/>
    </row>
    <row r="35775" spans="2:8" x14ac:dyDescent="0.25">
      <c r="B35775" s="1" t="s">
        <v>14337</v>
      </c>
      <c r="C35775" s="1" t="s">
        <v>14338</v>
      </c>
      <c r="D35775" s="22" t="str">
        <f>HYPERLINK("https://rhld.insurance.arkansas.gov/NPILookup?Npi=1689685109","1689685109")</f>
        <v>1689685109</v>
      </c>
      <c r="E35775" s="1" t="s">
        <v>14371</v>
      </c>
      <c r="F35775" s="62"/>
      <c r="G35775" s="2">
        <v>54321</v>
      </c>
      <c r="H35775" s="62"/>
    </row>
    <row r="35776" spans="2:8" x14ac:dyDescent="0.25">
      <c r="B35776" s="1" t="s">
        <v>14337</v>
      </c>
      <c r="C35776" s="1" t="s">
        <v>14338</v>
      </c>
      <c r="D35776" s="22" t="str">
        <f>HYPERLINK("https://rhld.insurance.arkansas.gov/NPILookup?Npi=1689689614","1689689614")</f>
        <v>1689689614</v>
      </c>
      <c r="E35776" s="1" t="s">
        <v>14343</v>
      </c>
      <c r="F35776" s="62" t="s">
        <v>1</v>
      </c>
      <c r="G35776" s="2">
        <v>54321</v>
      </c>
      <c r="H35776" s="62" t="s">
        <v>37378</v>
      </c>
    </row>
    <row r="35777" spans="2:8" x14ac:dyDescent="0.25">
      <c r="B35777" s="1" t="s">
        <v>14337</v>
      </c>
      <c r="C35777" s="1" t="s">
        <v>14338</v>
      </c>
      <c r="D35777" s="22" t="str">
        <f>HYPERLINK("https://rhld.insurance.arkansas.gov/NPILookup?Npi=1689691081","1689691081")</f>
        <v>1689691081</v>
      </c>
      <c r="E35777" s="1" t="s">
        <v>14853</v>
      </c>
      <c r="F35777" s="62"/>
      <c r="G35777" s="2">
        <v>54321</v>
      </c>
      <c r="H35777" s="62"/>
    </row>
    <row r="35778" spans="2:8" x14ac:dyDescent="0.25">
      <c r="B35778" s="1" t="s">
        <v>14337</v>
      </c>
      <c r="C35778" s="1" t="s">
        <v>14338</v>
      </c>
      <c r="D35778" s="22" t="str">
        <f>HYPERLINK("https://rhld.insurance.arkansas.gov/NPILookup?Npi=1689774903","1689774903")</f>
        <v>1689774903</v>
      </c>
      <c r="E35778" s="1" t="s">
        <v>14854</v>
      </c>
      <c r="F35778" s="62"/>
      <c r="G35778" s="2">
        <v>54321</v>
      </c>
      <c r="H35778" s="62"/>
    </row>
    <row r="35779" spans="2:8" x14ac:dyDescent="0.25">
      <c r="B35779" s="1" t="s">
        <v>14337</v>
      </c>
      <c r="C35779" s="1" t="s">
        <v>14338</v>
      </c>
      <c r="D35779" s="22" t="str">
        <f>HYPERLINK("https://rhld.insurance.arkansas.gov/NPILookup?Npi=1689861023","1689861023")</f>
        <v>1689861023</v>
      </c>
      <c r="E35779" s="1" t="s">
        <v>14343</v>
      </c>
      <c r="F35779" s="62"/>
      <c r="G35779" s="2">
        <v>54321</v>
      </c>
      <c r="H35779" s="62"/>
    </row>
    <row r="35780" spans="2:8" x14ac:dyDescent="0.25">
      <c r="B35780" s="1" t="s">
        <v>14337</v>
      </c>
      <c r="C35780" s="1" t="s">
        <v>14338</v>
      </c>
      <c r="D35780" s="22" t="str">
        <f>HYPERLINK("https://rhld.insurance.arkansas.gov/NPILookup?Npi=1689866089","1689866089")</f>
        <v>1689866089</v>
      </c>
      <c r="E35780" s="1" t="s">
        <v>14855</v>
      </c>
      <c r="F35780" s="62"/>
      <c r="G35780" s="2">
        <v>54321</v>
      </c>
      <c r="H35780" s="62"/>
    </row>
    <row r="35781" spans="2:8" x14ac:dyDescent="0.25">
      <c r="B35781" s="1" t="s">
        <v>14337</v>
      </c>
      <c r="C35781" s="1" t="s">
        <v>14338</v>
      </c>
      <c r="D35781" s="22" t="str">
        <f>HYPERLINK("https://rhld.insurance.arkansas.gov/NPILookup?Npi=1689927782","1689927782")</f>
        <v>1689927782</v>
      </c>
      <c r="E35781" s="1" t="s">
        <v>14856</v>
      </c>
      <c r="F35781" s="62"/>
      <c r="G35781" s="2">
        <v>54321</v>
      </c>
      <c r="H35781" s="62"/>
    </row>
    <row r="35782" spans="2:8" x14ac:dyDescent="0.25">
      <c r="B35782" s="1" t="s">
        <v>14337</v>
      </c>
      <c r="C35782" s="1" t="s">
        <v>14338</v>
      </c>
      <c r="D35782" s="22" t="str">
        <f>HYPERLINK("https://rhld.insurance.arkansas.gov/NPILookup?Npi=1699176743","1699176743")</f>
        <v>1699176743</v>
      </c>
      <c r="E35782" s="1" t="s">
        <v>14355</v>
      </c>
      <c r="F35782" s="62"/>
      <c r="G35782" s="2">
        <v>54321</v>
      </c>
      <c r="H35782" s="62"/>
    </row>
    <row r="35783" spans="2:8" x14ac:dyDescent="0.25">
      <c r="B35783" s="1" t="s">
        <v>14337</v>
      </c>
      <c r="C35783" s="1" t="s">
        <v>14338</v>
      </c>
      <c r="D35783" s="22" t="str">
        <f>HYPERLINK("https://rhld.insurance.arkansas.gov/NPILookup?Npi=1699260828","1699260828")</f>
        <v>1699260828</v>
      </c>
      <c r="E35783" s="1" t="s">
        <v>14857</v>
      </c>
      <c r="F35783" s="62"/>
      <c r="G35783" s="2">
        <v>54321</v>
      </c>
      <c r="H35783" s="62"/>
    </row>
    <row r="35784" spans="2:8" x14ac:dyDescent="0.25">
      <c r="B35784" s="1" t="s">
        <v>14337</v>
      </c>
      <c r="C35784" s="1" t="s">
        <v>14338</v>
      </c>
      <c r="D35784" s="22" t="str">
        <f>HYPERLINK("https://rhld.insurance.arkansas.gov/NPILookup?Npi=1699398602","1699398602")</f>
        <v>1699398602</v>
      </c>
      <c r="E35784" s="1" t="s">
        <v>14858</v>
      </c>
      <c r="F35784" s="62"/>
      <c r="G35784" s="2">
        <v>54321</v>
      </c>
      <c r="H35784" s="62"/>
    </row>
    <row r="35785" spans="2:8" x14ac:dyDescent="0.25">
      <c r="B35785" s="1" t="s">
        <v>14337</v>
      </c>
      <c r="C35785" s="1" t="s">
        <v>14338</v>
      </c>
      <c r="D35785" s="22" t="str">
        <f>HYPERLINK("https://rhld.insurance.arkansas.gov/NPILookup?Npi=1699542035","1699542035")</f>
        <v>1699542035</v>
      </c>
      <c r="E35785" s="1" t="s">
        <v>14859</v>
      </c>
      <c r="F35785" s="62"/>
      <c r="G35785" s="2">
        <v>54321</v>
      </c>
      <c r="H35785" s="62"/>
    </row>
    <row r="35786" spans="2:8" x14ac:dyDescent="0.25">
      <c r="B35786" s="1" t="s">
        <v>14337</v>
      </c>
      <c r="C35786" s="1" t="s">
        <v>14338</v>
      </c>
      <c r="D35786" s="22" t="str">
        <f>HYPERLINK("https://rhld.insurance.arkansas.gov/NPILookup?Npi=1699556167","1699556167")</f>
        <v>1699556167</v>
      </c>
      <c r="E35786" s="1" t="s">
        <v>14860</v>
      </c>
      <c r="F35786" s="62"/>
      <c r="G35786" s="2">
        <v>54321</v>
      </c>
      <c r="H35786" s="62"/>
    </row>
    <row r="35787" spans="2:8" x14ac:dyDescent="0.25">
      <c r="B35787" s="1" t="s">
        <v>14337</v>
      </c>
      <c r="C35787" s="1" t="s">
        <v>14338</v>
      </c>
      <c r="D35787" s="22" t="str">
        <f>HYPERLINK("https://rhld.insurance.arkansas.gov/NPILookup?Npi=1699556753","1699556753")</f>
        <v>1699556753</v>
      </c>
      <c r="E35787" s="1" t="s">
        <v>14861</v>
      </c>
      <c r="F35787" s="62"/>
      <c r="G35787" s="2">
        <v>54321</v>
      </c>
      <c r="H35787" s="62"/>
    </row>
    <row r="35788" spans="2:8" x14ac:dyDescent="0.25">
      <c r="B35788" s="1" t="s">
        <v>14337</v>
      </c>
      <c r="C35788" s="1" t="s">
        <v>14338</v>
      </c>
      <c r="D35788" s="22" t="str">
        <f>HYPERLINK("https://rhld.insurance.arkansas.gov/NPILookup?Npi=1699709337","1699709337")</f>
        <v>1699709337</v>
      </c>
      <c r="E35788" s="1" t="s">
        <v>14344</v>
      </c>
      <c r="F35788" s="62"/>
      <c r="G35788" s="2">
        <v>54321</v>
      </c>
      <c r="H35788" s="62"/>
    </row>
    <row r="35789" spans="2:8" x14ac:dyDescent="0.25">
      <c r="B35789" s="1" t="s">
        <v>14337</v>
      </c>
      <c r="C35789" s="1" t="s">
        <v>14338</v>
      </c>
      <c r="D35789" s="22" t="str">
        <f>HYPERLINK("https://rhld.insurance.arkansas.gov/NPILookup?Npi=1699774208","1699774208")</f>
        <v>1699774208</v>
      </c>
      <c r="E35789" s="1" t="s">
        <v>14862</v>
      </c>
      <c r="F35789" s="62"/>
      <c r="G35789" s="2">
        <v>54321</v>
      </c>
      <c r="H35789" s="62"/>
    </row>
    <row r="35790" spans="2:8" x14ac:dyDescent="0.25">
      <c r="B35790" s="1" t="s">
        <v>14337</v>
      </c>
      <c r="C35790" s="1" t="s">
        <v>14338</v>
      </c>
      <c r="D35790" s="22" t="str">
        <f>HYPERLINK("https://rhld.insurance.arkansas.gov/NPILookup?Npi=1699789545","1699789545")</f>
        <v>1699789545</v>
      </c>
      <c r="E35790" s="1" t="s">
        <v>14863</v>
      </c>
      <c r="F35790" s="62"/>
      <c r="G35790" s="2">
        <v>54321</v>
      </c>
      <c r="H35790" s="62"/>
    </row>
    <row r="35791" spans="2:8" x14ac:dyDescent="0.25">
      <c r="B35791" s="1" t="s">
        <v>14337</v>
      </c>
      <c r="C35791" s="1" t="s">
        <v>14338</v>
      </c>
      <c r="D35791" s="22" t="str">
        <f>HYPERLINK("https://rhld.insurance.arkansas.gov/NPILookup?Npi=1699792085","1699792085")</f>
        <v>1699792085</v>
      </c>
      <c r="E35791" s="1" t="s">
        <v>14352</v>
      </c>
      <c r="F35791" s="62"/>
      <c r="G35791" s="2">
        <v>54321</v>
      </c>
      <c r="H35791" s="62"/>
    </row>
    <row r="35792" spans="2:8" x14ac:dyDescent="0.25">
      <c r="B35792" s="1" t="s">
        <v>14337</v>
      </c>
      <c r="C35792" s="1" t="s">
        <v>14338</v>
      </c>
      <c r="D35792" s="22" t="str">
        <f>HYPERLINK("https://rhld.insurance.arkansas.gov/NPILookup?Npi=1699792093","1699792093")</f>
        <v>1699792093</v>
      </c>
      <c r="E35792" s="1" t="s">
        <v>14352</v>
      </c>
      <c r="F35792" s="62"/>
      <c r="G35792" s="2">
        <v>54321</v>
      </c>
      <c r="H35792" s="62"/>
    </row>
    <row r="35793" spans="2:8" x14ac:dyDescent="0.25">
      <c r="B35793" s="1" t="s">
        <v>14337</v>
      </c>
      <c r="C35793" s="1" t="s">
        <v>14338</v>
      </c>
      <c r="D35793" s="22" t="str">
        <f>HYPERLINK("https://rhld.insurance.arkansas.gov/NPILookup?Npi=1699792721","1699792721")</f>
        <v>1699792721</v>
      </c>
      <c r="E35793" s="1" t="s">
        <v>14355</v>
      </c>
      <c r="F35793" s="62"/>
      <c r="G35793" s="2">
        <v>54321</v>
      </c>
      <c r="H35793" s="62"/>
    </row>
    <row r="35794" spans="2:8" x14ac:dyDescent="0.25">
      <c r="B35794" s="1" t="s">
        <v>14337</v>
      </c>
      <c r="C35794" s="1" t="s">
        <v>14338</v>
      </c>
      <c r="D35794" s="22" t="str">
        <f>HYPERLINK("https://rhld.insurance.arkansas.gov/NPILookup?Npi=1699841353","1699841353")</f>
        <v>1699841353</v>
      </c>
      <c r="E35794" s="1" t="s">
        <v>14864</v>
      </c>
      <c r="F35794" s="62"/>
      <c r="G35794" s="2">
        <v>54321</v>
      </c>
      <c r="H35794" s="62"/>
    </row>
    <row r="35795" spans="2:8" x14ac:dyDescent="0.25">
      <c r="B35795" s="1" t="s">
        <v>14337</v>
      </c>
      <c r="C35795" s="1" t="s">
        <v>14338</v>
      </c>
      <c r="D35795" s="22" t="str">
        <f>HYPERLINK("https://rhld.insurance.arkansas.gov/NPILookup?Npi=1699858217","1699858217")</f>
        <v>1699858217</v>
      </c>
      <c r="E35795" s="1" t="s">
        <v>14343</v>
      </c>
      <c r="F35795" s="62"/>
      <c r="G35795" s="2">
        <v>54321</v>
      </c>
      <c r="H35795" s="62"/>
    </row>
    <row r="35796" spans="2:8" x14ac:dyDescent="0.25">
      <c r="B35796" s="1" t="s">
        <v>14337</v>
      </c>
      <c r="C35796" s="1" t="s">
        <v>14338</v>
      </c>
      <c r="D35796" s="22" t="str">
        <f>HYPERLINK("https://rhld.insurance.arkansas.gov/NPILookup?Npi=1700334455","1700334455")</f>
        <v>1700334455</v>
      </c>
      <c r="E35796" s="1" t="s">
        <v>14422</v>
      </c>
      <c r="F35796" s="62"/>
      <c r="G35796" s="2">
        <v>54321</v>
      </c>
      <c r="H35796" s="62"/>
    </row>
    <row r="35797" spans="2:8" x14ac:dyDescent="0.25">
      <c r="B35797" s="1" t="s">
        <v>14337</v>
      </c>
      <c r="C35797" s="1" t="s">
        <v>14338</v>
      </c>
      <c r="D35797" s="22" t="str">
        <f>HYPERLINK("https://rhld.insurance.arkansas.gov/NPILookup?Npi=1700432200","1700432200")</f>
        <v>1700432200</v>
      </c>
      <c r="E35797" s="1" t="s">
        <v>14865</v>
      </c>
      <c r="F35797" s="62"/>
      <c r="G35797" s="2">
        <v>54321</v>
      </c>
      <c r="H35797" s="62"/>
    </row>
    <row r="35798" spans="2:8" x14ac:dyDescent="0.25">
      <c r="B35798" s="1" t="s">
        <v>14337</v>
      </c>
      <c r="C35798" s="1" t="s">
        <v>14338</v>
      </c>
      <c r="D35798" s="22" t="str">
        <f>HYPERLINK("https://rhld.insurance.arkansas.gov/NPILookup?Npi=1700436706","1700436706")</f>
        <v>1700436706</v>
      </c>
      <c r="E35798" s="1" t="s">
        <v>14866</v>
      </c>
      <c r="F35798" s="62"/>
      <c r="G35798" s="2">
        <v>54321</v>
      </c>
      <c r="H35798" s="62"/>
    </row>
    <row r="35799" spans="2:8" x14ac:dyDescent="0.25">
      <c r="B35799" s="1" t="s">
        <v>14337</v>
      </c>
      <c r="C35799" s="1" t="s">
        <v>14338</v>
      </c>
      <c r="D35799" s="22" t="str">
        <f>HYPERLINK("https://rhld.insurance.arkansas.gov/NPILookup?Npi=1700524774","1700524774")</f>
        <v>1700524774</v>
      </c>
      <c r="E35799" s="1" t="s">
        <v>14867</v>
      </c>
      <c r="F35799" s="62"/>
      <c r="G35799" s="2">
        <v>54321</v>
      </c>
      <c r="H35799" s="62"/>
    </row>
    <row r="35800" spans="2:8" x14ac:dyDescent="0.25">
      <c r="B35800" s="1" t="s">
        <v>14337</v>
      </c>
      <c r="C35800" s="1" t="s">
        <v>14338</v>
      </c>
      <c r="D35800" s="22" t="str">
        <f>HYPERLINK("https://rhld.insurance.arkansas.gov/NPILookup?Npi=1700639853","1700639853")</f>
        <v>1700639853</v>
      </c>
      <c r="E35800" s="1" t="s">
        <v>32576</v>
      </c>
      <c r="F35800" s="62"/>
      <c r="G35800" s="2">
        <v>54321</v>
      </c>
      <c r="H35800" s="62"/>
    </row>
    <row r="35801" spans="2:8" x14ac:dyDescent="0.25">
      <c r="B35801" s="1" t="s">
        <v>14337</v>
      </c>
      <c r="C35801" s="1" t="s">
        <v>14338</v>
      </c>
      <c r="D35801" s="22" t="str">
        <f>HYPERLINK("https://rhld.insurance.arkansas.gov/NPILookup?Npi=1700803111","1700803111")</f>
        <v>1700803111</v>
      </c>
      <c r="E35801" s="1" t="s">
        <v>14355</v>
      </c>
      <c r="F35801" s="62"/>
      <c r="G35801" s="2">
        <v>54321</v>
      </c>
      <c r="H35801" s="62"/>
    </row>
    <row r="35802" spans="2:8" x14ac:dyDescent="0.25">
      <c r="B35802" s="1" t="s">
        <v>14337</v>
      </c>
      <c r="C35802" s="1" t="s">
        <v>14338</v>
      </c>
      <c r="D35802" s="22" t="str">
        <f>HYPERLINK("https://rhld.insurance.arkansas.gov/NPILookup?Npi=1700810439","1700810439")</f>
        <v>1700810439</v>
      </c>
      <c r="E35802" s="1" t="s">
        <v>14344</v>
      </c>
      <c r="F35802" s="62"/>
      <c r="G35802" s="2">
        <v>54321</v>
      </c>
      <c r="H35802" s="62"/>
    </row>
    <row r="35803" spans="2:8" x14ac:dyDescent="0.25">
      <c r="B35803" s="1" t="s">
        <v>14337</v>
      </c>
      <c r="C35803" s="1" t="s">
        <v>14338</v>
      </c>
      <c r="D35803" s="22" t="str">
        <f>HYPERLINK("https://rhld.insurance.arkansas.gov/NPILookup?Npi=1700898798","1700898798")</f>
        <v>1700898798</v>
      </c>
      <c r="E35803" s="1" t="s">
        <v>14868</v>
      </c>
      <c r="F35803" s="62"/>
      <c r="G35803" s="2">
        <v>54321</v>
      </c>
      <c r="H35803" s="62"/>
    </row>
    <row r="35804" spans="2:8" x14ac:dyDescent="0.25">
      <c r="B35804" s="1" t="s">
        <v>14337</v>
      </c>
      <c r="C35804" s="1" t="s">
        <v>14338</v>
      </c>
      <c r="D35804" s="22" t="str">
        <f>HYPERLINK("https://rhld.insurance.arkansas.gov/NPILookup?Npi=1700947272","1700947272")</f>
        <v>1700947272</v>
      </c>
      <c r="E35804" s="1" t="s">
        <v>14869</v>
      </c>
      <c r="F35804" s="62"/>
      <c r="G35804" s="2">
        <v>54321</v>
      </c>
      <c r="H35804" s="62"/>
    </row>
    <row r="35805" spans="2:8" x14ac:dyDescent="0.25">
      <c r="B35805" s="1" t="s">
        <v>14337</v>
      </c>
      <c r="C35805" s="1" t="s">
        <v>14338</v>
      </c>
      <c r="D35805" s="22" t="str">
        <f>HYPERLINK("https://rhld.insurance.arkansas.gov/NPILookup?Npi=1710060124","1710060124")</f>
        <v>1710060124</v>
      </c>
      <c r="E35805" s="1" t="s">
        <v>14343</v>
      </c>
      <c r="F35805" s="62"/>
      <c r="G35805" s="2">
        <v>54321</v>
      </c>
      <c r="H35805" s="62"/>
    </row>
    <row r="35806" spans="2:8" x14ac:dyDescent="0.25">
      <c r="B35806" s="1" t="s">
        <v>14337</v>
      </c>
      <c r="C35806" s="1" t="s">
        <v>14338</v>
      </c>
      <c r="D35806" s="22" t="str">
        <f>HYPERLINK("https://rhld.insurance.arkansas.gov/NPILookup?Npi=1710099668","1710099668")</f>
        <v>1710099668</v>
      </c>
      <c r="E35806" s="1" t="s">
        <v>14870</v>
      </c>
      <c r="F35806" s="62"/>
      <c r="G35806" s="2">
        <v>54321</v>
      </c>
      <c r="H35806" s="62"/>
    </row>
    <row r="35807" spans="2:8" x14ac:dyDescent="0.25">
      <c r="B35807" s="1" t="s">
        <v>14337</v>
      </c>
      <c r="C35807" s="1" t="s">
        <v>14338</v>
      </c>
      <c r="D35807" s="22" t="str">
        <f>HYPERLINK("https://rhld.insurance.arkansas.gov/NPILookup?Npi=1710223722","1710223722")</f>
        <v>1710223722</v>
      </c>
      <c r="E35807" s="1" t="s">
        <v>14352</v>
      </c>
      <c r="F35807" s="62"/>
      <c r="G35807" s="2">
        <v>54321</v>
      </c>
      <c r="H35807" s="62"/>
    </row>
    <row r="35808" spans="2:8" x14ac:dyDescent="0.25">
      <c r="B35808" s="1" t="s">
        <v>14337</v>
      </c>
      <c r="C35808" s="1" t="s">
        <v>14338</v>
      </c>
      <c r="D35808" s="22" t="str">
        <f>HYPERLINK("https://rhld.insurance.arkansas.gov/NPILookup?Npi=1710267240","1710267240")</f>
        <v>1710267240</v>
      </c>
      <c r="E35808" s="1" t="s">
        <v>14871</v>
      </c>
      <c r="F35808" s="62"/>
      <c r="G35808" s="2">
        <v>54321</v>
      </c>
      <c r="H35808" s="62"/>
    </row>
    <row r="35809" spans="2:8" x14ac:dyDescent="0.25">
      <c r="B35809" s="1" t="s">
        <v>14337</v>
      </c>
      <c r="C35809" s="1" t="s">
        <v>14338</v>
      </c>
      <c r="D35809" s="22" t="str">
        <f>HYPERLINK("https://rhld.insurance.arkansas.gov/NPILookup?Npi=1710355243","1710355243")</f>
        <v>1710355243</v>
      </c>
      <c r="E35809" s="1" t="s">
        <v>14872</v>
      </c>
      <c r="F35809" s="62"/>
      <c r="G35809" s="2">
        <v>54321</v>
      </c>
      <c r="H35809" s="62"/>
    </row>
    <row r="35810" spans="2:8" x14ac:dyDescent="0.25">
      <c r="B35810" s="1" t="s">
        <v>14337</v>
      </c>
      <c r="C35810" s="1" t="s">
        <v>14338</v>
      </c>
      <c r="D35810" s="22" t="str">
        <f>HYPERLINK("https://rhld.insurance.arkansas.gov/NPILookup?Npi=1710597778","1710597778")</f>
        <v>1710597778</v>
      </c>
      <c r="E35810" s="1" t="s">
        <v>14873</v>
      </c>
      <c r="F35810" s="62"/>
      <c r="G35810" s="2">
        <v>54321</v>
      </c>
      <c r="H35810" s="62"/>
    </row>
    <row r="35811" spans="2:8" x14ac:dyDescent="0.25">
      <c r="B35811" s="1" t="s">
        <v>14337</v>
      </c>
      <c r="C35811" s="1" t="s">
        <v>14338</v>
      </c>
      <c r="D35811" s="22" t="str">
        <f>HYPERLINK("https://rhld.insurance.arkansas.gov/NPILookup?Npi=1710666854","1710666854")</f>
        <v>1710666854</v>
      </c>
      <c r="E35811" s="1" t="s">
        <v>14874</v>
      </c>
      <c r="F35811" s="62"/>
      <c r="G35811" s="2">
        <v>54321</v>
      </c>
      <c r="H35811" s="62"/>
    </row>
    <row r="35812" spans="2:8" x14ac:dyDescent="0.25">
      <c r="B35812" s="1" t="s">
        <v>14337</v>
      </c>
      <c r="C35812" s="1" t="s">
        <v>14338</v>
      </c>
      <c r="D35812" s="22" t="str">
        <f>HYPERLINK("https://rhld.insurance.arkansas.gov/NPILookup?Npi=1710902432","1710902432")</f>
        <v>1710902432</v>
      </c>
      <c r="E35812" s="1" t="s">
        <v>14344</v>
      </c>
      <c r="F35812" s="62"/>
      <c r="G35812" s="2">
        <v>54321</v>
      </c>
      <c r="H35812" s="62"/>
    </row>
    <row r="35813" spans="2:8" x14ac:dyDescent="0.25">
      <c r="B35813" s="1" t="s">
        <v>14337</v>
      </c>
      <c r="C35813" s="1" t="s">
        <v>14338</v>
      </c>
      <c r="D35813" s="22" t="str">
        <f>HYPERLINK("https://rhld.insurance.arkansas.gov/NPILookup?Npi=1710904917","1710904917")</f>
        <v>1710904917</v>
      </c>
      <c r="E35813" s="1" t="s">
        <v>14875</v>
      </c>
      <c r="F35813" s="62"/>
      <c r="G35813" s="2">
        <v>54321</v>
      </c>
      <c r="H35813" s="62"/>
    </row>
    <row r="35814" spans="2:8" x14ac:dyDescent="0.25">
      <c r="B35814" s="1" t="s">
        <v>14337</v>
      </c>
      <c r="C35814" s="1" t="s">
        <v>14338</v>
      </c>
      <c r="D35814" s="22" t="str">
        <f>HYPERLINK("https://rhld.insurance.arkansas.gov/NPILookup?Npi=1710909460","1710909460")</f>
        <v>1710909460</v>
      </c>
      <c r="E35814" s="1" t="s">
        <v>14359</v>
      </c>
      <c r="F35814" s="62"/>
      <c r="G35814" s="2">
        <v>54321</v>
      </c>
      <c r="H35814" s="62"/>
    </row>
    <row r="35815" spans="2:8" x14ac:dyDescent="0.25">
      <c r="B35815" s="1" t="s">
        <v>14337</v>
      </c>
      <c r="C35815" s="1" t="s">
        <v>14338</v>
      </c>
      <c r="D35815" s="22" t="str">
        <f>HYPERLINK("https://rhld.insurance.arkansas.gov/NPILookup?Npi=1710992813","1710992813")</f>
        <v>1710992813</v>
      </c>
      <c r="E35815" s="1" t="s">
        <v>14343</v>
      </c>
      <c r="F35815" s="62"/>
      <c r="G35815" s="2">
        <v>54321</v>
      </c>
      <c r="H35815" s="62"/>
    </row>
    <row r="35816" spans="2:8" x14ac:dyDescent="0.25">
      <c r="B35816" s="1" t="s">
        <v>14337</v>
      </c>
      <c r="C35816" s="1" t="s">
        <v>14338</v>
      </c>
      <c r="D35816" s="22" t="str">
        <f>HYPERLINK("https://rhld.insurance.arkansas.gov/NPILookup?Npi=1720005218","1720005218")</f>
        <v>1720005218</v>
      </c>
      <c r="E35816" s="1" t="s">
        <v>14352</v>
      </c>
      <c r="F35816" s="62"/>
      <c r="G35816" s="2">
        <v>54321</v>
      </c>
      <c r="H35816" s="62"/>
    </row>
    <row r="35817" spans="2:8" x14ac:dyDescent="0.25">
      <c r="B35817" s="1" t="s">
        <v>14337</v>
      </c>
      <c r="C35817" s="1" t="s">
        <v>14338</v>
      </c>
      <c r="D35817" s="22" t="str">
        <f>HYPERLINK("https://rhld.insurance.arkansas.gov/NPILookup?Npi=1720005226","1720005226")</f>
        <v>1720005226</v>
      </c>
      <c r="E35817" s="1" t="s">
        <v>14352</v>
      </c>
      <c r="F35817" s="62"/>
      <c r="G35817" s="2">
        <v>54321</v>
      </c>
      <c r="H35817" s="62"/>
    </row>
    <row r="35818" spans="2:8" x14ac:dyDescent="0.25">
      <c r="B35818" s="1" t="s">
        <v>14337</v>
      </c>
      <c r="C35818" s="1" t="s">
        <v>14338</v>
      </c>
      <c r="D35818" s="22" t="str">
        <f>HYPERLINK("https://rhld.insurance.arkansas.gov/NPILookup?Npi=1720012453","1720012453")</f>
        <v>1720012453</v>
      </c>
      <c r="E35818" s="1" t="s">
        <v>14344</v>
      </c>
      <c r="F35818" s="62"/>
      <c r="G35818" s="2">
        <v>54321</v>
      </c>
      <c r="H35818" s="62"/>
    </row>
    <row r="35819" spans="2:8" x14ac:dyDescent="0.25">
      <c r="B35819" s="1" t="s">
        <v>14337</v>
      </c>
      <c r="C35819" s="1" t="s">
        <v>14338</v>
      </c>
      <c r="D35819" s="22" t="str">
        <f>HYPERLINK("https://rhld.insurance.arkansas.gov/NPILookup?Npi=1720094105","1720094105")</f>
        <v>1720094105</v>
      </c>
      <c r="E35819" s="1" t="s">
        <v>14343</v>
      </c>
      <c r="F35819" s="62"/>
      <c r="G35819" s="2">
        <v>54321</v>
      </c>
      <c r="H35819" s="62"/>
    </row>
    <row r="35820" spans="2:8" x14ac:dyDescent="0.25">
      <c r="B35820" s="1" t="s">
        <v>14337</v>
      </c>
      <c r="C35820" s="1" t="s">
        <v>14338</v>
      </c>
      <c r="D35820" s="22" t="str">
        <f>HYPERLINK("https://rhld.insurance.arkansas.gov/NPILookup?Npi=1720140346","1720140346")</f>
        <v>1720140346</v>
      </c>
      <c r="E35820" s="1" t="s">
        <v>14876</v>
      </c>
      <c r="F35820" s="62"/>
      <c r="G35820" s="2">
        <v>54321</v>
      </c>
      <c r="H35820" s="62"/>
    </row>
    <row r="35821" spans="2:8" x14ac:dyDescent="0.25">
      <c r="B35821" s="1" t="s">
        <v>14337</v>
      </c>
      <c r="C35821" s="1" t="s">
        <v>14338</v>
      </c>
      <c r="D35821" s="22" t="str">
        <f>HYPERLINK("https://rhld.insurance.arkansas.gov/NPILookup?Npi=1720215643","1720215643")</f>
        <v>1720215643</v>
      </c>
      <c r="E35821" s="1" t="s">
        <v>14877</v>
      </c>
      <c r="F35821" s="62"/>
      <c r="G35821" s="2">
        <v>54321</v>
      </c>
      <c r="H35821" s="62"/>
    </row>
    <row r="35822" spans="2:8" x14ac:dyDescent="0.25">
      <c r="B35822" s="1" t="s">
        <v>14337</v>
      </c>
      <c r="C35822" s="1" t="s">
        <v>14338</v>
      </c>
      <c r="D35822" s="22" t="str">
        <f>HYPERLINK("https://rhld.insurance.arkansas.gov/NPILookup?Npi=1720268378","1720268378")</f>
        <v>1720268378</v>
      </c>
      <c r="E35822" s="1" t="s">
        <v>14878</v>
      </c>
      <c r="F35822" s="62"/>
      <c r="G35822" s="2">
        <v>54321</v>
      </c>
      <c r="H35822" s="62"/>
    </row>
    <row r="35823" spans="2:8" x14ac:dyDescent="0.25">
      <c r="B35823" s="1" t="s">
        <v>14337</v>
      </c>
      <c r="C35823" s="1" t="s">
        <v>14338</v>
      </c>
      <c r="D35823" s="22" t="str">
        <f>HYPERLINK("https://rhld.insurance.arkansas.gov/NPILookup?Npi=1720410467","1720410467")</f>
        <v>1720410467</v>
      </c>
      <c r="E35823" s="1" t="s">
        <v>14879</v>
      </c>
      <c r="F35823" s="62"/>
      <c r="G35823" s="2">
        <v>54321</v>
      </c>
      <c r="H35823" s="62"/>
    </row>
    <row r="35824" spans="2:8" x14ac:dyDescent="0.25">
      <c r="B35824" s="1" t="s">
        <v>14337</v>
      </c>
      <c r="C35824" s="1" t="s">
        <v>14338</v>
      </c>
      <c r="D35824" s="22" t="str">
        <f>HYPERLINK("https://rhld.insurance.arkansas.gov/NPILookup?Npi=1720415128","1720415128")</f>
        <v>1720415128</v>
      </c>
      <c r="E35824" s="1" t="s">
        <v>14343</v>
      </c>
      <c r="F35824" s="62"/>
      <c r="G35824" s="2">
        <v>54321</v>
      </c>
      <c r="H35824" s="62"/>
    </row>
    <row r="35825" spans="2:8" x14ac:dyDescent="0.25">
      <c r="B35825" s="1" t="s">
        <v>14337</v>
      </c>
      <c r="C35825" s="1" t="s">
        <v>14338</v>
      </c>
      <c r="D35825" s="22" t="str">
        <f>HYPERLINK("https://rhld.insurance.arkansas.gov/NPILookup?Npi=1720492564","1720492564")</f>
        <v>1720492564</v>
      </c>
      <c r="E35825" s="1" t="s">
        <v>14355</v>
      </c>
      <c r="F35825" s="62"/>
      <c r="G35825" s="2">
        <v>54321</v>
      </c>
      <c r="H35825" s="62"/>
    </row>
    <row r="35826" spans="2:8" x14ac:dyDescent="0.25">
      <c r="B35826" s="1" t="s">
        <v>14337</v>
      </c>
      <c r="C35826" s="1" t="s">
        <v>14338</v>
      </c>
      <c r="D35826" s="22" t="str">
        <f>HYPERLINK("https://rhld.insurance.arkansas.gov/NPILookup?Npi=1720519747","1720519747")</f>
        <v>1720519747</v>
      </c>
      <c r="E35826" s="1" t="s">
        <v>14880</v>
      </c>
      <c r="F35826" s="62"/>
      <c r="G35826" s="2">
        <v>54321</v>
      </c>
      <c r="H35826" s="62"/>
    </row>
    <row r="35827" spans="2:8" x14ac:dyDescent="0.25">
      <c r="B35827" s="1" t="s">
        <v>14337</v>
      </c>
      <c r="C35827" s="1" t="s">
        <v>14338</v>
      </c>
      <c r="D35827" s="22" t="str">
        <f>HYPERLINK("https://rhld.insurance.arkansas.gov/NPILookup?Npi=1730121336","1730121336")</f>
        <v>1730121336</v>
      </c>
      <c r="E35827" s="1" t="s">
        <v>14881</v>
      </c>
      <c r="F35827" s="62"/>
      <c r="G35827" s="2">
        <v>54321</v>
      </c>
      <c r="H35827" s="62"/>
    </row>
    <row r="35828" spans="2:8" x14ac:dyDescent="0.25">
      <c r="B35828" s="1" t="s">
        <v>14337</v>
      </c>
      <c r="C35828" s="1" t="s">
        <v>14338</v>
      </c>
      <c r="D35828" s="22" t="str">
        <f>HYPERLINK("https://rhld.insurance.arkansas.gov/NPILookup?Npi=1730173600","1730173600")</f>
        <v>1730173600</v>
      </c>
      <c r="E35828" s="1" t="s">
        <v>14882</v>
      </c>
      <c r="F35828" s="62"/>
      <c r="G35828" s="2">
        <v>54321</v>
      </c>
      <c r="H35828" s="62"/>
    </row>
    <row r="35829" spans="2:8" x14ac:dyDescent="0.25">
      <c r="B35829" s="1" t="s">
        <v>14337</v>
      </c>
      <c r="C35829" s="1" t="s">
        <v>14338</v>
      </c>
      <c r="D35829" s="22" t="str">
        <f>HYPERLINK("https://rhld.insurance.arkansas.gov/NPILookup?Npi=1730194093","1730194093")</f>
        <v>1730194093</v>
      </c>
      <c r="E35829" s="1" t="s">
        <v>14883</v>
      </c>
      <c r="F35829" s="62"/>
      <c r="G35829" s="2">
        <v>54321</v>
      </c>
      <c r="H35829" s="62"/>
    </row>
    <row r="35830" spans="2:8" x14ac:dyDescent="0.25">
      <c r="B35830" s="1" t="s">
        <v>14337</v>
      </c>
      <c r="C35830" s="1" t="s">
        <v>14338</v>
      </c>
      <c r="D35830" s="22" t="str">
        <f>HYPERLINK("https://rhld.insurance.arkansas.gov/NPILookup?Npi=1730194341","1730194341")</f>
        <v>1730194341</v>
      </c>
      <c r="E35830" s="1" t="s">
        <v>14884</v>
      </c>
      <c r="F35830" s="62"/>
      <c r="G35830" s="2">
        <v>54321</v>
      </c>
      <c r="H35830" s="62"/>
    </row>
    <row r="35831" spans="2:8" x14ac:dyDescent="0.25">
      <c r="B35831" s="1" t="s">
        <v>14337</v>
      </c>
      <c r="C35831" s="1" t="s">
        <v>14338</v>
      </c>
      <c r="D35831" s="22" t="str">
        <f>HYPERLINK("https://rhld.insurance.arkansas.gov/NPILookup?Npi=1730196734","1730196734")</f>
        <v>1730196734</v>
      </c>
      <c r="E35831" s="1" t="s">
        <v>14343</v>
      </c>
      <c r="F35831" s="62"/>
      <c r="G35831" s="2">
        <v>54321</v>
      </c>
      <c r="H35831" s="62"/>
    </row>
    <row r="35832" spans="2:8" x14ac:dyDescent="0.25">
      <c r="B35832" s="1" t="s">
        <v>14337</v>
      </c>
      <c r="C35832" s="1" t="s">
        <v>14338</v>
      </c>
      <c r="D35832" s="22" t="str">
        <f>HYPERLINK("https://rhld.insurance.arkansas.gov/NPILookup?Npi=1730196742","1730196742")</f>
        <v>1730196742</v>
      </c>
      <c r="E35832" s="1" t="s">
        <v>14343</v>
      </c>
      <c r="F35832" s="62"/>
      <c r="G35832" s="2">
        <v>54321</v>
      </c>
      <c r="H35832" s="62"/>
    </row>
    <row r="35833" spans="2:8" x14ac:dyDescent="0.25">
      <c r="B35833" s="1" t="s">
        <v>14337</v>
      </c>
      <c r="C35833" s="1" t="s">
        <v>14338</v>
      </c>
      <c r="D35833" s="22" t="str">
        <f>HYPERLINK("https://rhld.insurance.arkansas.gov/NPILookup?Npi=1730222738","1730222738")</f>
        <v>1730222738</v>
      </c>
      <c r="E35833" s="1" t="s">
        <v>14885</v>
      </c>
      <c r="F35833" s="62"/>
      <c r="G35833" s="2">
        <v>54321</v>
      </c>
      <c r="H35833" s="62"/>
    </row>
    <row r="35834" spans="2:8" x14ac:dyDescent="0.25">
      <c r="B35834" s="1" t="s">
        <v>14337</v>
      </c>
      <c r="C35834" s="1" t="s">
        <v>14338</v>
      </c>
      <c r="D35834" s="22" t="str">
        <f>HYPERLINK("https://rhld.insurance.arkansas.gov/NPILookup?Npi=1730249475","1730249475")</f>
        <v>1730249475</v>
      </c>
      <c r="E35834" s="1" t="s">
        <v>14886</v>
      </c>
      <c r="F35834" s="62" t="s">
        <v>1</v>
      </c>
      <c r="G35834" s="2">
        <v>54321</v>
      </c>
      <c r="H35834" s="62" t="s">
        <v>37378</v>
      </c>
    </row>
    <row r="35835" spans="2:8" x14ac:dyDescent="0.25">
      <c r="B35835" s="1" t="s">
        <v>14337</v>
      </c>
      <c r="C35835" s="1" t="s">
        <v>14338</v>
      </c>
      <c r="D35835" s="22" t="str">
        <f>HYPERLINK("https://rhld.insurance.arkansas.gov/NPILookup?Npi=1730427840","1730427840")</f>
        <v>1730427840</v>
      </c>
      <c r="E35835" s="1" t="s">
        <v>14887</v>
      </c>
      <c r="F35835" s="62"/>
      <c r="G35835" s="2">
        <v>54321</v>
      </c>
      <c r="H35835" s="62"/>
    </row>
    <row r="35836" spans="2:8" x14ac:dyDescent="0.25">
      <c r="B35836" s="1" t="s">
        <v>14337</v>
      </c>
      <c r="C35836" s="1" t="s">
        <v>14338</v>
      </c>
      <c r="D35836" s="22" t="str">
        <f>HYPERLINK("https://rhld.insurance.arkansas.gov/NPILookup?Npi=1730460338","1730460338")</f>
        <v>1730460338</v>
      </c>
      <c r="E35836" s="1" t="s">
        <v>14888</v>
      </c>
      <c r="F35836" s="62"/>
      <c r="G35836" s="2">
        <v>54321</v>
      </c>
      <c r="H35836" s="62"/>
    </row>
    <row r="35837" spans="2:8" x14ac:dyDescent="0.25">
      <c r="B35837" s="1" t="s">
        <v>14337</v>
      </c>
      <c r="C35837" s="1" t="s">
        <v>14338</v>
      </c>
      <c r="D35837" s="22" t="str">
        <f>HYPERLINK("https://rhld.insurance.arkansas.gov/NPILookup?Npi=1730651373","1730651373")</f>
        <v>1730651373</v>
      </c>
      <c r="E35837" s="1" t="s">
        <v>14889</v>
      </c>
      <c r="F35837" s="62"/>
      <c r="G35837" s="2">
        <v>54321</v>
      </c>
      <c r="H35837" s="62"/>
    </row>
    <row r="35838" spans="2:8" x14ac:dyDescent="0.25">
      <c r="B35838" s="1" t="s">
        <v>14337</v>
      </c>
      <c r="C35838" s="1" t="s">
        <v>14338</v>
      </c>
      <c r="D35838" s="22" t="str">
        <f>HYPERLINK("https://rhld.insurance.arkansas.gov/NPILookup?Npi=1730653155","1730653155")</f>
        <v>1730653155</v>
      </c>
      <c r="E35838" s="1" t="s">
        <v>14890</v>
      </c>
      <c r="F35838" s="62"/>
      <c r="G35838" s="2">
        <v>54321</v>
      </c>
      <c r="H35838" s="62"/>
    </row>
    <row r="35839" spans="2:8" x14ac:dyDescent="0.25">
      <c r="B35839" s="1" t="s">
        <v>14337</v>
      </c>
      <c r="C35839" s="1" t="s">
        <v>14338</v>
      </c>
      <c r="D35839" s="22" t="str">
        <f>HYPERLINK("https://rhld.insurance.arkansas.gov/NPILookup?Npi=1740013507","1740013507")</f>
        <v>1740013507</v>
      </c>
      <c r="E35839" s="1" t="s">
        <v>14891</v>
      </c>
      <c r="F35839" s="62"/>
      <c r="G35839" s="2">
        <v>54321</v>
      </c>
      <c r="H35839" s="62"/>
    </row>
    <row r="35840" spans="2:8" x14ac:dyDescent="0.25">
      <c r="B35840" s="1" t="s">
        <v>14337</v>
      </c>
      <c r="C35840" s="1" t="s">
        <v>14338</v>
      </c>
      <c r="D35840" s="22" t="str">
        <f>HYPERLINK("https://rhld.insurance.arkansas.gov/NPILookup?Npi=1740207240","1740207240")</f>
        <v>1740207240</v>
      </c>
      <c r="E35840" s="1" t="s">
        <v>14384</v>
      </c>
      <c r="F35840" s="62"/>
      <c r="G35840" s="2">
        <v>54321</v>
      </c>
      <c r="H35840" s="62"/>
    </row>
    <row r="35841" spans="2:8" x14ac:dyDescent="0.25">
      <c r="B35841" s="1" t="s">
        <v>14337</v>
      </c>
      <c r="C35841" s="1" t="s">
        <v>14338</v>
      </c>
      <c r="D35841" s="22" t="str">
        <f>HYPERLINK("https://rhld.insurance.arkansas.gov/NPILookup?Npi=1740295740","1740295740")</f>
        <v>1740295740</v>
      </c>
      <c r="E35841" s="1" t="s">
        <v>14343</v>
      </c>
      <c r="F35841" s="62"/>
      <c r="G35841" s="2">
        <v>54321</v>
      </c>
      <c r="H35841" s="62"/>
    </row>
    <row r="35842" spans="2:8" x14ac:dyDescent="0.25">
      <c r="B35842" s="1" t="s">
        <v>14337</v>
      </c>
      <c r="C35842" s="1" t="s">
        <v>14338</v>
      </c>
      <c r="D35842" s="22" t="str">
        <f>HYPERLINK("https://rhld.insurance.arkansas.gov/NPILookup?Npi=1740334184","1740334184")</f>
        <v>1740334184</v>
      </c>
      <c r="E35842" s="1" t="s">
        <v>14892</v>
      </c>
      <c r="F35842" s="62"/>
      <c r="G35842" s="2">
        <v>54321</v>
      </c>
      <c r="H35842" s="62"/>
    </row>
    <row r="35843" spans="2:8" x14ac:dyDescent="0.25">
      <c r="B35843" s="1" t="s">
        <v>14337</v>
      </c>
      <c r="C35843" s="1" t="s">
        <v>14338</v>
      </c>
      <c r="D35843" s="22" t="str">
        <f>HYPERLINK("https://rhld.insurance.arkansas.gov/NPILookup?Npi=1740342385","1740342385")</f>
        <v>1740342385</v>
      </c>
      <c r="E35843" s="1" t="s">
        <v>14893</v>
      </c>
      <c r="F35843" s="62"/>
      <c r="G35843" s="2">
        <v>54321</v>
      </c>
      <c r="H35843" s="62"/>
    </row>
    <row r="35844" spans="2:8" x14ac:dyDescent="0.25">
      <c r="B35844" s="1" t="s">
        <v>14337</v>
      </c>
      <c r="C35844" s="1" t="s">
        <v>14338</v>
      </c>
      <c r="D35844" s="22" t="str">
        <f>HYPERLINK("https://rhld.insurance.arkansas.gov/NPILookup?Npi=1740361500","1740361500")</f>
        <v>1740361500</v>
      </c>
      <c r="E35844" s="1" t="s">
        <v>14894</v>
      </c>
      <c r="F35844" s="62"/>
      <c r="G35844" s="2">
        <v>54321</v>
      </c>
      <c r="H35844" s="62"/>
    </row>
    <row r="35845" spans="2:8" x14ac:dyDescent="0.25">
      <c r="B35845" s="1" t="s">
        <v>14337</v>
      </c>
      <c r="C35845" s="1" t="s">
        <v>14338</v>
      </c>
      <c r="D35845" s="22" t="str">
        <f>HYPERLINK("https://rhld.insurance.arkansas.gov/NPILookup?Npi=1740371475","1740371475")</f>
        <v>1740371475</v>
      </c>
      <c r="E35845" s="1" t="s">
        <v>14895</v>
      </c>
      <c r="F35845" s="62"/>
      <c r="G35845" s="2">
        <v>54321</v>
      </c>
      <c r="H35845" s="62"/>
    </row>
    <row r="35846" spans="2:8" x14ac:dyDescent="0.25">
      <c r="B35846" s="1" t="s">
        <v>14337</v>
      </c>
      <c r="C35846" s="1" t="s">
        <v>14338</v>
      </c>
      <c r="D35846" s="22" t="str">
        <f>HYPERLINK("https://rhld.insurance.arkansas.gov/NPILookup?Npi=1740420157","1740420157")</f>
        <v>1740420157</v>
      </c>
      <c r="E35846" s="1" t="s">
        <v>14896</v>
      </c>
      <c r="F35846" s="62"/>
      <c r="G35846" s="2">
        <v>54321</v>
      </c>
      <c r="H35846" s="62"/>
    </row>
    <row r="35847" spans="2:8" x14ac:dyDescent="0.25">
      <c r="B35847" s="1" t="s">
        <v>14337</v>
      </c>
      <c r="C35847" s="1" t="s">
        <v>14338</v>
      </c>
      <c r="D35847" s="22" t="str">
        <f>HYPERLINK("https://rhld.insurance.arkansas.gov/NPILookup?Npi=1740560192","1740560192")</f>
        <v>1740560192</v>
      </c>
      <c r="E35847" s="1" t="s">
        <v>14897</v>
      </c>
      <c r="F35847" s="62" t="s">
        <v>1</v>
      </c>
      <c r="G35847" s="2">
        <v>54321</v>
      </c>
      <c r="H35847" s="62" t="s">
        <v>37378</v>
      </c>
    </row>
    <row r="35848" spans="2:8" x14ac:dyDescent="0.25">
      <c r="B35848" s="1" t="s">
        <v>14337</v>
      </c>
      <c r="C35848" s="1" t="s">
        <v>14338</v>
      </c>
      <c r="D35848" s="22" t="str">
        <f>HYPERLINK("https://rhld.insurance.arkansas.gov/NPILookup?Npi=1740594704","1740594704")</f>
        <v>1740594704</v>
      </c>
      <c r="E35848" s="1" t="s">
        <v>14898</v>
      </c>
      <c r="F35848" s="62"/>
      <c r="G35848" s="2">
        <v>54321</v>
      </c>
      <c r="H35848" s="62"/>
    </row>
    <row r="35849" spans="2:8" x14ac:dyDescent="0.25">
      <c r="B35849" s="1" t="s">
        <v>14337</v>
      </c>
      <c r="C35849" s="1" t="s">
        <v>14338</v>
      </c>
      <c r="D35849" s="22" t="str">
        <f>HYPERLINK("https://rhld.insurance.arkansas.gov/NPILookup?Npi=1740825363","1740825363")</f>
        <v>1740825363</v>
      </c>
      <c r="E35849" s="1" t="s">
        <v>14899</v>
      </c>
      <c r="F35849" s="62"/>
      <c r="G35849" s="2">
        <v>54321</v>
      </c>
      <c r="H35849" s="62"/>
    </row>
    <row r="35850" spans="2:8" x14ac:dyDescent="0.25">
      <c r="B35850" s="1" t="s">
        <v>14337</v>
      </c>
      <c r="C35850" s="1" t="s">
        <v>14338</v>
      </c>
      <c r="D35850" s="22" t="str">
        <f>HYPERLINK("https://rhld.insurance.arkansas.gov/NPILookup?Npi=1740831072","1740831072")</f>
        <v>1740831072</v>
      </c>
      <c r="E35850" s="1" t="s">
        <v>14900</v>
      </c>
      <c r="F35850" s="62"/>
      <c r="G35850" s="2">
        <v>54321</v>
      </c>
      <c r="H35850" s="62"/>
    </row>
    <row r="35851" spans="2:8" x14ac:dyDescent="0.25">
      <c r="B35851" s="1" t="s">
        <v>14337</v>
      </c>
      <c r="C35851" s="1" t="s">
        <v>14338</v>
      </c>
      <c r="D35851" s="22" t="str">
        <f>HYPERLINK("https://rhld.insurance.arkansas.gov/NPILookup?Npi=1750396743","1750396743")</f>
        <v>1750396743</v>
      </c>
      <c r="E35851" s="1" t="s">
        <v>14343</v>
      </c>
      <c r="F35851" s="62"/>
      <c r="G35851" s="2">
        <v>54321</v>
      </c>
      <c r="H35851" s="62"/>
    </row>
    <row r="35852" spans="2:8" x14ac:dyDescent="0.25">
      <c r="B35852" s="1" t="s">
        <v>14337</v>
      </c>
      <c r="C35852" s="1" t="s">
        <v>14338</v>
      </c>
      <c r="D35852" s="22" t="str">
        <f>HYPERLINK("https://rhld.insurance.arkansas.gov/NPILookup?Npi=1750421079","1750421079")</f>
        <v>1750421079</v>
      </c>
      <c r="E35852" s="1" t="s">
        <v>14901</v>
      </c>
      <c r="F35852" s="62" t="s">
        <v>1</v>
      </c>
      <c r="G35852" s="2">
        <v>54321</v>
      </c>
      <c r="H35852" s="62" t="s">
        <v>37383</v>
      </c>
    </row>
    <row r="35853" spans="2:8" x14ac:dyDescent="0.25">
      <c r="B35853" s="1" t="s">
        <v>14337</v>
      </c>
      <c r="C35853" s="1" t="s">
        <v>14338</v>
      </c>
      <c r="D35853" s="22" t="str">
        <f>HYPERLINK("https://rhld.insurance.arkansas.gov/NPILookup?Npi=1750450607","1750450607")</f>
        <v>1750450607</v>
      </c>
      <c r="E35853" s="1" t="s">
        <v>14902</v>
      </c>
      <c r="F35853" s="62"/>
      <c r="G35853" s="2">
        <v>54321</v>
      </c>
      <c r="H35853" s="62"/>
    </row>
    <row r="35854" spans="2:8" x14ac:dyDescent="0.25">
      <c r="B35854" s="1" t="s">
        <v>14337</v>
      </c>
      <c r="C35854" s="1" t="s">
        <v>14338</v>
      </c>
      <c r="D35854" s="22" t="str">
        <f>HYPERLINK("https://rhld.insurance.arkansas.gov/NPILookup?Npi=1750464806","1750464806")</f>
        <v>1750464806</v>
      </c>
      <c r="E35854" s="1" t="s">
        <v>14903</v>
      </c>
      <c r="F35854" s="62"/>
      <c r="G35854" s="2">
        <v>54321</v>
      </c>
      <c r="H35854" s="62"/>
    </row>
    <row r="35855" spans="2:8" x14ac:dyDescent="0.25">
      <c r="B35855" s="1" t="s">
        <v>14337</v>
      </c>
      <c r="C35855" s="1" t="s">
        <v>14338</v>
      </c>
      <c r="D35855" s="22" t="str">
        <f>HYPERLINK("https://rhld.insurance.arkansas.gov/NPILookup?Npi=1750470449","1750470449")</f>
        <v>1750470449</v>
      </c>
      <c r="E35855" s="1" t="s">
        <v>14904</v>
      </c>
      <c r="F35855" s="62"/>
      <c r="G35855" s="2">
        <v>54321</v>
      </c>
      <c r="H35855" s="62"/>
    </row>
    <row r="35856" spans="2:8" x14ac:dyDescent="0.25">
      <c r="B35856" s="1" t="s">
        <v>14337</v>
      </c>
      <c r="C35856" s="1" t="s">
        <v>14338</v>
      </c>
      <c r="D35856" s="22" t="str">
        <f>HYPERLINK("https://rhld.insurance.arkansas.gov/NPILookup?Npi=1750515631","1750515631")</f>
        <v>1750515631</v>
      </c>
      <c r="E35856" s="1" t="s">
        <v>14352</v>
      </c>
      <c r="F35856" s="62"/>
      <c r="G35856" s="2">
        <v>54321</v>
      </c>
      <c r="H35856" s="62"/>
    </row>
    <row r="35857" spans="2:8" x14ac:dyDescent="0.25">
      <c r="B35857" s="1" t="s">
        <v>14337</v>
      </c>
      <c r="C35857" s="1" t="s">
        <v>14338</v>
      </c>
      <c r="D35857" s="22" t="str">
        <f>HYPERLINK("https://rhld.insurance.arkansas.gov/NPILookup?Npi=1750533816","1750533816")</f>
        <v>1750533816</v>
      </c>
      <c r="E35857" s="1" t="s">
        <v>14905</v>
      </c>
      <c r="F35857" s="62"/>
      <c r="G35857" s="2">
        <v>54321</v>
      </c>
      <c r="H35857" s="62"/>
    </row>
    <row r="35858" spans="2:8" x14ac:dyDescent="0.25">
      <c r="B35858" s="1" t="s">
        <v>14337</v>
      </c>
      <c r="C35858" s="1" t="s">
        <v>14338</v>
      </c>
      <c r="D35858" s="22" t="str">
        <f>HYPERLINK("https://rhld.insurance.arkansas.gov/NPILookup?Npi=1750663100","1750663100")</f>
        <v>1750663100</v>
      </c>
      <c r="E35858" s="1" t="s">
        <v>14906</v>
      </c>
      <c r="F35858" s="62"/>
      <c r="G35858" s="2">
        <v>54321</v>
      </c>
      <c r="H35858" s="62"/>
    </row>
    <row r="35859" spans="2:8" x14ac:dyDescent="0.25">
      <c r="B35859" s="1" t="s">
        <v>14337</v>
      </c>
      <c r="C35859" s="1" t="s">
        <v>14338</v>
      </c>
      <c r="D35859" s="22" t="str">
        <f>HYPERLINK("https://rhld.insurance.arkansas.gov/NPILookup?Npi=1750859195","1750859195")</f>
        <v>1750859195</v>
      </c>
      <c r="E35859" s="1" t="s">
        <v>14907</v>
      </c>
      <c r="F35859" s="62"/>
      <c r="G35859" s="2">
        <v>54321</v>
      </c>
      <c r="H35859" s="62"/>
    </row>
    <row r="35860" spans="2:8" x14ac:dyDescent="0.25">
      <c r="B35860" s="1" t="s">
        <v>14337</v>
      </c>
      <c r="C35860" s="1" t="s">
        <v>14338</v>
      </c>
      <c r="D35860" s="22" t="str">
        <f>HYPERLINK("https://rhld.insurance.arkansas.gov/NPILookup?Npi=1750934287","1750934287")</f>
        <v>1750934287</v>
      </c>
      <c r="E35860" s="1" t="s">
        <v>14908</v>
      </c>
      <c r="F35860" s="62"/>
      <c r="G35860" s="2">
        <v>54321</v>
      </c>
      <c r="H35860" s="62"/>
    </row>
    <row r="35861" spans="2:8" x14ac:dyDescent="0.25">
      <c r="B35861" s="1" t="s">
        <v>14337</v>
      </c>
      <c r="C35861" s="1" t="s">
        <v>14338</v>
      </c>
      <c r="D35861" s="22" t="str">
        <f>HYPERLINK("https://rhld.insurance.arkansas.gov/NPILookup?Npi=1760576011","1760576011")</f>
        <v>1760576011</v>
      </c>
      <c r="E35861" s="1" t="s">
        <v>14909</v>
      </c>
      <c r="F35861" s="62"/>
      <c r="G35861" s="2">
        <v>54321</v>
      </c>
      <c r="H35861" s="62"/>
    </row>
    <row r="35862" spans="2:8" x14ac:dyDescent="0.25">
      <c r="B35862" s="1" t="s">
        <v>14337</v>
      </c>
      <c r="C35862" s="1" t="s">
        <v>14338</v>
      </c>
      <c r="D35862" s="22" t="str">
        <f>HYPERLINK("https://rhld.insurance.arkansas.gov/NPILookup?Npi=1760603104","1760603104")</f>
        <v>1760603104</v>
      </c>
      <c r="E35862" s="1" t="s">
        <v>14910</v>
      </c>
      <c r="F35862" s="62"/>
      <c r="G35862" s="2">
        <v>54321</v>
      </c>
      <c r="H35862" s="62"/>
    </row>
    <row r="35863" spans="2:8" x14ac:dyDescent="0.25">
      <c r="B35863" s="1" t="s">
        <v>14337</v>
      </c>
      <c r="C35863" s="1" t="s">
        <v>14338</v>
      </c>
      <c r="D35863" s="22" t="str">
        <f>HYPERLINK("https://rhld.insurance.arkansas.gov/NPILookup?Npi=1760640585","1760640585")</f>
        <v>1760640585</v>
      </c>
      <c r="E35863" s="1" t="s">
        <v>14343</v>
      </c>
      <c r="F35863" s="62"/>
      <c r="G35863" s="2">
        <v>54321</v>
      </c>
      <c r="H35863" s="62"/>
    </row>
    <row r="35864" spans="2:8" x14ac:dyDescent="0.25">
      <c r="B35864" s="1" t="s">
        <v>14337</v>
      </c>
      <c r="C35864" s="1" t="s">
        <v>14338</v>
      </c>
      <c r="D35864" s="22" t="str">
        <f>HYPERLINK("https://rhld.insurance.arkansas.gov/NPILookup?Npi=1760710370","1760710370")</f>
        <v>1760710370</v>
      </c>
      <c r="E35864" s="1" t="s">
        <v>14911</v>
      </c>
      <c r="F35864" s="62"/>
      <c r="G35864" s="2">
        <v>54321</v>
      </c>
      <c r="H35864" s="62"/>
    </row>
    <row r="35865" spans="2:8" x14ac:dyDescent="0.25">
      <c r="B35865" s="1" t="s">
        <v>14337</v>
      </c>
      <c r="C35865" s="1" t="s">
        <v>14338</v>
      </c>
      <c r="D35865" s="22" t="str">
        <f>HYPERLINK("https://rhld.insurance.arkansas.gov/NPILookup?Npi=1760783641","1760783641")</f>
        <v>1760783641</v>
      </c>
      <c r="E35865" s="1" t="s">
        <v>14912</v>
      </c>
      <c r="F35865" s="62"/>
      <c r="G35865" s="2">
        <v>54321</v>
      </c>
      <c r="H35865" s="62"/>
    </row>
    <row r="35866" spans="2:8" x14ac:dyDescent="0.25">
      <c r="B35866" s="1" t="s">
        <v>14337</v>
      </c>
      <c r="C35866" s="1" t="s">
        <v>14338</v>
      </c>
      <c r="D35866" s="22" t="str">
        <f>HYPERLINK("https://rhld.insurance.arkansas.gov/NPILookup?Npi=1760803035","1760803035")</f>
        <v>1760803035</v>
      </c>
      <c r="E35866" s="1" t="s">
        <v>14343</v>
      </c>
      <c r="F35866" s="62"/>
      <c r="G35866" s="2">
        <v>54321</v>
      </c>
      <c r="H35866" s="62"/>
    </row>
    <row r="35867" spans="2:8" x14ac:dyDescent="0.25">
      <c r="B35867" s="1" t="s">
        <v>14337</v>
      </c>
      <c r="C35867" s="1" t="s">
        <v>14338</v>
      </c>
      <c r="D35867" s="22" t="str">
        <f>HYPERLINK("https://rhld.insurance.arkansas.gov/NPILookup?Npi=1760924088","1760924088")</f>
        <v>1760924088</v>
      </c>
      <c r="E35867" s="1" t="s">
        <v>32582</v>
      </c>
      <c r="F35867" s="62"/>
      <c r="G35867" s="2">
        <v>54321</v>
      </c>
      <c r="H35867" s="62"/>
    </row>
    <row r="35868" spans="2:8" x14ac:dyDescent="0.25">
      <c r="B35868" s="1" t="s">
        <v>14337</v>
      </c>
      <c r="C35868" s="1" t="s">
        <v>14338</v>
      </c>
      <c r="D35868" s="22" t="str">
        <f>HYPERLINK("https://rhld.insurance.arkansas.gov/NPILookup?Npi=1760951602","1760951602")</f>
        <v>1760951602</v>
      </c>
      <c r="E35868" s="1" t="s">
        <v>14422</v>
      </c>
      <c r="F35868" s="62"/>
      <c r="G35868" s="2">
        <v>54321</v>
      </c>
      <c r="H35868" s="62"/>
    </row>
    <row r="35869" spans="2:8" x14ac:dyDescent="0.25">
      <c r="B35869" s="1" t="s">
        <v>14337</v>
      </c>
      <c r="C35869" s="1" t="s">
        <v>14338</v>
      </c>
      <c r="D35869" s="22" t="str">
        <f>HYPERLINK("https://rhld.insurance.arkansas.gov/NPILookup?Npi=1770055923","1770055923")</f>
        <v>1770055923</v>
      </c>
      <c r="E35869" s="1" t="s">
        <v>14913</v>
      </c>
      <c r="F35869" s="62"/>
      <c r="G35869" s="2">
        <v>54321</v>
      </c>
      <c r="H35869" s="62"/>
    </row>
    <row r="35870" spans="2:8" x14ac:dyDescent="0.25">
      <c r="B35870" s="1" t="s">
        <v>14337</v>
      </c>
      <c r="C35870" s="1" t="s">
        <v>14338</v>
      </c>
      <c r="D35870" s="22" t="str">
        <f>HYPERLINK("https://rhld.insurance.arkansas.gov/NPILookup?Npi=1770134611","1770134611")</f>
        <v>1770134611</v>
      </c>
      <c r="E35870" s="1" t="s">
        <v>14914</v>
      </c>
      <c r="F35870" s="62"/>
      <c r="G35870" s="2">
        <v>54321</v>
      </c>
      <c r="H35870" s="62"/>
    </row>
    <row r="35871" spans="2:8" x14ac:dyDescent="0.25">
      <c r="B35871" s="1" t="s">
        <v>14337</v>
      </c>
      <c r="C35871" s="1" t="s">
        <v>14338</v>
      </c>
      <c r="D35871" s="22" t="str">
        <f>HYPERLINK("https://rhld.insurance.arkansas.gov/NPILookup?Npi=1770500035","1770500035")</f>
        <v>1770500035</v>
      </c>
      <c r="E35871" s="1" t="s">
        <v>14355</v>
      </c>
      <c r="F35871" s="62"/>
      <c r="G35871" s="2">
        <v>54321</v>
      </c>
      <c r="H35871" s="62"/>
    </row>
    <row r="35872" spans="2:8" x14ac:dyDescent="0.25">
      <c r="B35872" s="1" t="s">
        <v>14337</v>
      </c>
      <c r="C35872" s="1" t="s">
        <v>14338</v>
      </c>
      <c r="D35872" s="22" t="str">
        <f>HYPERLINK("https://rhld.insurance.arkansas.gov/NPILookup?Npi=1770500175","1770500175")</f>
        <v>1770500175</v>
      </c>
      <c r="E35872" s="1" t="s">
        <v>14352</v>
      </c>
      <c r="F35872" s="62"/>
      <c r="G35872" s="2">
        <v>54321</v>
      </c>
      <c r="H35872" s="62"/>
    </row>
    <row r="35873" spans="2:8" x14ac:dyDescent="0.25">
      <c r="B35873" s="1" t="s">
        <v>14337</v>
      </c>
      <c r="C35873" s="1" t="s">
        <v>14338</v>
      </c>
      <c r="D35873" s="22" t="str">
        <f>HYPERLINK("https://rhld.insurance.arkansas.gov/NPILookup?Npi=1770505471","1770505471")</f>
        <v>1770505471</v>
      </c>
      <c r="E35873" s="1" t="s">
        <v>14359</v>
      </c>
      <c r="F35873" s="62"/>
      <c r="G35873" s="2">
        <v>54321</v>
      </c>
      <c r="H35873" s="62"/>
    </row>
    <row r="35874" spans="2:8" x14ac:dyDescent="0.25">
      <c r="B35874" s="1" t="s">
        <v>14337</v>
      </c>
      <c r="C35874" s="1" t="s">
        <v>14338</v>
      </c>
      <c r="D35874" s="22" t="str">
        <f>HYPERLINK("https://rhld.insurance.arkansas.gov/NPILookup?Npi=1770657793","1770657793")</f>
        <v>1770657793</v>
      </c>
      <c r="E35874" s="1" t="s">
        <v>14915</v>
      </c>
      <c r="F35874" s="62"/>
      <c r="G35874" s="2">
        <v>54321</v>
      </c>
      <c r="H35874" s="62"/>
    </row>
    <row r="35875" spans="2:8" x14ac:dyDescent="0.25">
      <c r="B35875" s="1" t="s">
        <v>14337</v>
      </c>
      <c r="C35875" s="1" t="s">
        <v>14338</v>
      </c>
      <c r="D35875" s="22" t="str">
        <f>HYPERLINK("https://rhld.insurance.arkansas.gov/NPILookup?Npi=1770683096","1770683096")</f>
        <v>1770683096</v>
      </c>
      <c r="E35875" s="1" t="s">
        <v>14916</v>
      </c>
      <c r="F35875" s="62"/>
      <c r="G35875" s="2">
        <v>54321</v>
      </c>
      <c r="H35875" s="62"/>
    </row>
    <row r="35876" spans="2:8" x14ac:dyDescent="0.25">
      <c r="B35876" s="1" t="s">
        <v>14337</v>
      </c>
      <c r="C35876" s="1" t="s">
        <v>14338</v>
      </c>
      <c r="D35876" s="22" t="str">
        <f>HYPERLINK("https://rhld.insurance.arkansas.gov/NPILookup?Npi=1770772014","1770772014")</f>
        <v>1770772014</v>
      </c>
      <c r="E35876" s="1" t="s">
        <v>14343</v>
      </c>
      <c r="F35876" s="62" t="s">
        <v>1</v>
      </c>
      <c r="G35876" s="2">
        <v>54321</v>
      </c>
      <c r="H35876" s="62" t="s">
        <v>37386</v>
      </c>
    </row>
    <row r="35877" spans="2:8" x14ac:dyDescent="0.25">
      <c r="B35877" s="1" t="s">
        <v>14337</v>
      </c>
      <c r="C35877" s="1" t="s">
        <v>14338</v>
      </c>
      <c r="D35877" s="22" t="str">
        <f>HYPERLINK("https://rhld.insurance.arkansas.gov/NPILookup?Npi=1770838518","1770838518")</f>
        <v>1770838518</v>
      </c>
      <c r="E35877" s="1" t="s">
        <v>14343</v>
      </c>
      <c r="F35877" s="62"/>
      <c r="G35877" s="2">
        <v>54321</v>
      </c>
      <c r="H35877" s="62"/>
    </row>
    <row r="35878" spans="2:8" x14ac:dyDescent="0.25">
      <c r="B35878" s="1" t="s">
        <v>14337</v>
      </c>
      <c r="C35878" s="1" t="s">
        <v>14338</v>
      </c>
      <c r="D35878" s="22" t="str">
        <f>HYPERLINK("https://rhld.insurance.arkansas.gov/NPILookup?Npi=1780084491","1780084491")</f>
        <v>1780084491</v>
      </c>
      <c r="E35878" s="1" t="s">
        <v>14445</v>
      </c>
      <c r="F35878" s="62"/>
      <c r="G35878" s="2">
        <v>54321</v>
      </c>
      <c r="H35878" s="62"/>
    </row>
    <row r="35879" spans="2:8" x14ac:dyDescent="0.25">
      <c r="B35879" s="1" t="s">
        <v>14337</v>
      </c>
      <c r="C35879" s="1" t="s">
        <v>14338</v>
      </c>
      <c r="D35879" s="22" t="str">
        <f>HYPERLINK("https://rhld.insurance.arkansas.gov/NPILookup?Npi=1780120691","1780120691")</f>
        <v>1780120691</v>
      </c>
      <c r="E35879" s="1" t="s">
        <v>14917</v>
      </c>
      <c r="F35879" s="62"/>
      <c r="G35879" s="2">
        <v>54321</v>
      </c>
      <c r="H35879" s="62"/>
    </row>
    <row r="35880" spans="2:8" x14ac:dyDescent="0.25">
      <c r="B35880" s="1" t="s">
        <v>14337</v>
      </c>
      <c r="C35880" s="1" t="s">
        <v>14338</v>
      </c>
      <c r="D35880" s="22" t="str">
        <f>HYPERLINK("https://rhld.insurance.arkansas.gov/NPILookup?Npi=1780139154","1780139154")</f>
        <v>1780139154</v>
      </c>
      <c r="E35880" s="1" t="s">
        <v>14344</v>
      </c>
      <c r="F35880" s="62"/>
      <c r="G35880" s="2">
        <v>54321</v>
      </c>
      <c r="H35880" s="62"/>
    </row>
    <row r="35881" spans="2:8" x14ac:dyDescent="0.25">
      <c r="B35881" s="1" t="s">
        <v>14337</v>
      </c>
      <c r="C35881" s="1" t="s">
        <v>14338</v>
      </c>
      <c r="D35881" s="22" t="str">
        <f>HYPERLINK("https://rhld.insurance.arkansas.gov/NPILookup?Npi=1780601179","1780601179")</f>
        <v>1780601179</v>
      </c>
      <c r="E35881" s="1" t="s">
        <v>14384</v>
      </c>
      <c r="F35881" s="62"/>
      <c r="G35881" s="2">
        <v>54321</v>
      </c>
      <c r="H35881" s="62"/>
    </row>
    <row r="35882" spans="2:8" x14ac:dyDescent="0.25">
      <c r="B35882" s="1" t="s">
        <v>14337</v>
      </c>
      <c r="C35882" s="1" t="s">
        <v>14338</v>
      </c>
      <c r="D35882" s="22" t="str">
        <f>HYPERLINK("https://rhld.insurance.arkansas.gov/NPILookup?Npi=1780601187","1780601187")</f>
        <v>1780601187</v>
      </c>
      <c r="E35882" s="1" t="s">
        <v>14352</v>
      </c>
      <c r="F35882" s="62"/>
      <c r="G35882" s="2">
        <v>54321</v>
      </c>
      <c r="H35882" s="62"/>
    </row>
    <row r="35883" spans="2:8" x14ac:dyDescent="0.25">
      <c r="B35883" s="1" t="s">
        <v>14337</v>
      </c>
      <c r="C35883" s="1" t="s">
        <v>14338</v>
      </c>
      <c r="D35883" s="22" t="str">
        <f>HYPERLINK("https://rhld.insurance.arkansas.gov/NPILookup?Npi=1780602524","1780602524")</f>
        <v>1780602524</v>
      </c>
      <c r="E35883" s="1" t="s">
        <v>14355</v>
      </c>
      <c r="F35883" s="62"/>
      <c r="G35883" s="2">
        <v>54321</v>
      </c>
      <c r="H35883" s="62"/>
    </row>
    <row r="35884" spans="2:8" x14ac:dyDescent="0.25">
      <c r="B35884" s="1" t="s">
        <v>14337</v>
      </c>
      <c r="C35884" s="1" t="s">
        <v>14338</v>
      </c>
      <c r="D35884" s="22" t="str">
        <f>HYPERLINK("https://rhld.insurance.arkansas.gov/NPILookup?Npi=1780681932","1780681932")</f>
        <v>1780681932</v>
      </c>
      <c r="E35884" s="1" t="s">
        <v>14918</v>
      </c>
      <c r="F35884" s="62"/>
      <c r="G35884" s="2">
        <v>54321</v>
      </c>
      <c r="H35884" s="62"/>
    </row>
    <row r="35885" spans="2:8" x14ac:dyDescent="0.25">
      <c r="B35885" s="1" t="s">
        <v>14337</v>
      </c>
      <c r="C35885" s="1" t="s">
        <v>14338</v>
      </c>
      <c r="D35885" s="22" t="str">
        <f>HYPERLINK("https://rhld.insurance.arkansas.gov/NPILookup?Npi=1780959684","1780959684")</f>
        <v>1780959684</v>
      </c>
      <c r="E35885" s="1" t="s">
        <v>14919</v>
      </c>
      <c r="F35885" s="62"/>
      <c r="G35885" s="2">
        <v>54321</v>
      </c>
      <c r="H35885" s="62"/>
    </row>
    <row r="35886" spans="2:8" x14ac:dyDescent="0.25">
      <c r="B35886" s="1" t="s">
        <v>14337</v>
      </c>
      <c r="C35886" s="1" t="s">
        <v>14338</v>
      </c>
      <c r="D35886" s="22" t="str">
        <f>HYPERLINK("https://rhld.insurance.arkansas.gov/NPILookup?Npi=1780973693","1780973693")</f>
        <v>1780973693</v>
      </c>
      <c r="E35886" s="1" t="s">
        <v>14352</v>
      </c>
      <c r="F35886" s="62"/>
      <c r="G35886" s="2">
        <v>54321</v>
      </c>
      <c r="H35886" s="62"/>
    </row>
    <row r="35887" spans="2:8" x14ac:dyDescent="0.25">
      <c r="B35887" s="1" t="s">
        <v>14337</v>
      </c>
      <c r="C35887" s="1" t="s">
        <v>14338</v>
      </c>
      <c r="D35887" s="22" t="str">
        <f>HYPERLINK("https://rhld.insurance.arkansas.gov/NPILookup?Npi=1780989616","1780989616")</f>
        <v>1780989616</v>
      </c>
      <c r="E35887" s="1" t="s">
        <v>14422</v>
      </c>
      <c r="F35887" s="62"/>
      <c r="G35887" s="2">
        <v>54321</v>
      </c>
      <c r="H35887" s="62"/>
    </row>
    <row r="35888" spans="2:8" x14ac:dyDescent="0.25">
      <c r="B35888" s="1" t="s">
        <v>14337</v>
      </c>
      <c r="C35888" s="1" t="s">
        <v>14338</v>
      </c>
      <c r="D35888" s="22" t="str">
        <f>HYPERLINK("https://rhld.insurance.arkansas.gov/NPILookup?Npi=1790027449","1790027449")</f>
        <v>1790027449</v>
      </c>
      <c r="E35888" s="1" t="s">
        <v>14920</v>
      </c>
      <c r="F35888" s="62"/>
      <c r="G35888" s="2">
        <v>54321</v>
      </c>
      <c r="H35888" s="62"/>
    </row>
    <row r="35889" spans="2:8" x14ac:dyDescent="0.25">
      <c r="B35889" s="1" t="s">
        <v>14337</v>
      </c>
      <c r="C35889" s="1" t="s">
        <v>14338</v>
      </c>
      <c r="D35889" s="22" t="str">
        <f>HYPERLINK("https://rhld.insurance.arkansas.gov/NPILookup?Npi=1790116523","1790116523")</f>
        <v>1790116523</v>
      </c>
      <c r="E35889" s="1" t="s">
        <v>14921</v>
      </c>
      <c r="F35889" s="62"/>
      <c r="G35889" s="2">
        <v>54321</v>
      </c>
      <c r="H35889" s="62"/>
    </row>
    <row r="35890" spans="2:8" x14ac:dyDescent="0.25">
      <c r="B35890" s="1" t="s">
        <v>14337</v>
      </c>
      <c r="C35890" s="1" t="s">
        <v>14338</v>
      </c>
      <c r="D35890" s="22" t="str">
        <f>HYPERLINK("https://rhld.insurance.arkansas.gov/NPILookup?Npi=1790135309","1790135309")</f>
        <v>1790135309</v>
      </c>
      <c r="E35890" s="1" t="s">
        <v>14540</v>
      </c>
      <c r="F35890" s="62"/>
      <c r="G35890" s="2">
        <v>54321</v>
      </c>
      <c r="H35890" s="62"/>
    </row>
    <row r="35891" spans="2:8" x14ac:dyDescent="0.25">
      <c r="B35891" s="1" t="s">
        <v>14337</v>
      </c>
      <c r="C35891" s="1" t="s">
        <v>14338</v>
      </c>
      <c r="D35891" s="22" t="str">
        <f>HYPERLINK("https://rhld.insurance.arkansas.gov/NPILookup?Npi=1790139111","1790139111")</f>
        <v>1790139111</v>
      </c>
      <c r="E35891" s="1" t="s">
        <v>14922</v>
      </c>
      <c r="F35891" s="62"/>
      <c r="G35891" s="2">
        <v>54321</v>
      </c>
      <c r="H35891" s="62"/>
    </row>
    <row r="35892" spans="2:8" x14ac:dyDescent="0.25">
      <c r="B35892" s="1" t="s">
        <v>14337</v>
      </c>
      <c r="C35892" s="1" t="s">
        <v>14338</v>
      </c>
      <c r="D35892" s="22" t="str">
        <f>HYPERLINK("https://rhld.insurance.arkansas.gov/NPILookup?Npi=1790306124","1790306124")</f>
        <v>1790306124</v>
      </c>
      <c r="E35892" s="1" t="s">
        <v>14923</v>
      </c>
      <c r="F35892" s="62"/>
      <c r="G35892" s="2">
        <v>54321</v>
      </c>
      <c r="H35892" s="62"/>
    </row>
    <row r="35893" spans="2:8" x14ac:dyDescent="0.25">
      <c r="B35893" s="1" t="s">
        <v>14337</v>
      </c>
      <c r="C35893" s="1" t="s">
        <v>14338</v>
      </c>
      <c r="D35893" s="22" t="str">
        <f>HYPERLINK("https://rhld.insurance.arkansas.gov/NPILookup?Npi=1790461077","1790461077")</f>
        <v>1790461077</v>
      </c>
      <c r="E35893" s="1" t="s">
        <v>14463</v>
      </c>
      <c r="F35893" s="62"/>
      <c r="G35893" s="2">
        <v>54321</v>
      </c>
      <c r="H35893" s="62"/>
    </row>
    <row r="35894" spans="2:8" x14ac:dyDescent="0.25">
      <c r="B35894" s="1" t="s">
        <v>14337</v>
      </c>
      <c r="C35894" s="1" t="s">
        <v>14338</v>
      </c>
      <c r="D35894" s="22" t="str">
        <f>HYPERLINK("https://rhld.insurance.arkansas.gov/NPILookup?Npi=1790479087","1790479087")</f>
        <v>1790479087</v>
      </c>
      <c r="E35894" s="1" t="s">
        <v>14924</v>
      </c>
      <c r="F35894" s="62"/>
      <c r="G35894" s="2">
        <v>54321</v>
      </c>
      <c r="H35894" s="62"/>
    </row>
    <row r="35895" spans="2:8" x14ac:dyDescent="0.25">
      <c r="B35895" s="1" t="s">
        <v>14337</v>
      </c>
      <c r="C35895" s="1" t="s">
        <v>14338</v>
      </c>
      <c r="D35895" s="22" t="str">
        <f>HYPERLINK("https://rhld.insurance.arkansas.gov/NPILookup?Npi=1790553014","1790553014")</f>
        <v>1790553014</v>
      </c>
      <c r="E35895" s="1" t="s">
        <v>14738</v>
      </c>
      <c r="F35895" s="62"/>
      <c r="G35895" s="2">
        <v>54321</v>
      </c>
      <c r="H35895" s="62"/>
    </row>
    <row r="35896" spans="2:8" x14ac:dyDescent="0.25">
      <c r="B35896" s="1" t="s">
        <v>14337</v>
      </c>
      <c r="C35896" s="1" t="s">
        <v>14338</v>
      </c>
      <c r="D35896" s="22" t="str">
        <f>HYPERLINK("https://rhld.insurance.arkansas.gov/NPILookup?Npi=1790702041","1790702041")</f>
        <v>1790702041</v>
      </c>
      <c r="E35896" s="1" t="s">
        <v>14355</v>
      </c>
      <c r="F35896" s="62"/>
      <c r="G35896" s="2">
        <v>54321</v>
      </c>
      <c r="H35896" s="62"/>
    </row>
    <row r="35897" spans="2:8" x14ac:dyDescent="0.25">
      <c r="B35897" s="1" t="s">
        <v>14337</v>
      </c>
      <c r="C35897" s="1" t="s">
        <v>14338</v>
      </c>
      <c r="D35897" s="22" t="str">
        <f>HYPERLINK("https://rhld.insurance.arkansas.gov/NPILookup?Npi=1790702108","1790702108")</f>
        <v>1790702108</v>
      </c>
      <c r="E35897" s="1" t="s">
        <v>14352</v>
      </c>
      <c r="F35897" s="62"/>
      <c r="G35897" s="2">
        <v>54321</v>
      </c>
      <c r="H35897" s="62"/>
    </row>
    <row r="35898" spans="2:8" x14ac:dyDescent="0.25">
      <c r="B35898" s="1" t="s">
        <v>14337</v>
      </c>
      <c r="C35898" s="1" t="s">
        <v>14338</v>
      </c>
      <c r="D35898" s="22" t="str">
        <f>HYPERLINK("https://rhld.insurance.arkansas.gov/NPILookup?Npi=1790702116","1790702116")</f>
        <v>1790702116</v>
      </c>
      <c r="E35898" s="1" t="s">
        <v>14355</v>
      </c>
      <c r="F35898" s="62"/>
      <c r="G35898" s="2">
        <v>54321</v>
      </c>
      <c r="H35898" s="62"/>
    </row>
    <row r="35899" spans="2:8" x14ac:dyDescent="0.25">
      <c r="B35899" s="1" t="s">
        <v>14337</v>
      </c>
      <c r="C35899" s="1" t="s">
        <v>14338</v>
      </c>
      <c r="D35899" s="22" t="str">
        <f>HYPERLINK("https://rhld.insurance.arkansas.gov/NPILookup?Npi=1790702173","1790702173")</f>
        <v>1790702173</v>
      </c>
      <c r="E35899" s="1" t="s">
        <v>14352</v>
      </c>
      <c r="F35899" s="62"/>
      <c r="G35899" s="2">
        <v>54321</v>
      </c>
      <c r="H35899" s="62"/>
    </row>
    <row r="35900" spans="2:8" x14ac:dyDescent="0.25">
      <c r="B35900" s="1" t="s">
        <v>14337</v>
      </c>
      <c r="C35900" s="1" t="s">
        <v>14338</v>
      </c>
      <c r="D35900" s="22" t="str">
        <f>HYPERLINK("https://rhld.insurance.arkansas.gov/NPILookup?Npi=1790702181","1790702181")</f>
        <v>1790702181</v>
      </c>
      <c r="E35900" s="1" t="s">
        <v>14352</v>
      </c>
      <c r="F35900" s="62"/>
      <c r="G35900" s="2">
        <v>54321</v>
      </c>
      <c r="H35900" s="62"/>
    </row>
    <row r="35901" spans="2:8" x14ac:dyDescent="0.25">
      <c r="B35901" s="1" t="s">
        <v>14337</v>
      </c>
      <c r="C35901" s="1" t="s">
        <v>14338</v>
      </c>
      <c r="D35901" s="22" t="str">
        <f>HYPERLINK("https://rhld.insurance.arkansas.gov/NPILookup?Npi=1790790061","1790790061")</f>
        <v>1790790061</v>
      </c>
      <c r="E35901" s="1" t="s">
        <v>14925</v>
      </c>
      <c r="F35901" s="62"/>
      <c r="G35901" s="2">
        <v>54321</v>
      </c>
      <c r="H35901" s="62"/>
    </row>
    <row r="35902" spans="2:8" x14ac:dyDescent="0.25">
      <c r="B35902" s="1" t="s">
        <v>14337</v>
      </c>
      <c r="C35902" s="1" t="s">
        <v>14338</v>
      </c>
      <c r="D35902" s="22" t="str">
        <f>HYPERLINK("https://rhld.insurance.arkansas.gov/NPILookup?Npi=1790854271","1790854271")</f>
        <v>1790854271</v>
      </c>
      <c r="E35902" s="1" t="s">
        <v>14926</v>
      </c>
      <c r="F35902" s="62"/>
      <c r="G35902" s="2">
        <v>54321</v>
      </c>
      <c r="H35902" s="62"/>
    </row>
    <row r="35903" spans="2:8" x14ac:dyDescent="0.25">
      <c r="B35903" s="1" t="s">
        <v>14337</v>
      </c>
      <c r="C35903" s="1" t="s">
        <v>14338</v>
      </c>
      <c r="D35903" s="22" t="str">
        <f>HYPERLINK("https://rhld.insurance.arkansas.gov/NPILookup?Npi=1790868107","1790868107")</f>
        <v>1790868107</v>
      </c>
      <c r="E35903" s="1" t="s">
        <v>14343</v>
      </c>
      <c r="F35903" s="62"/>
      <c r="G35903" s="2">
        <v>54321</v>
      </c>
      <c r="H35903" s="62"/>
    </row>
    <row r="35904" spans="2:8" x14ac:dyDescent="0.25">
      <c r="B35904" s="1" t="s">
        <v>14337</v>
      </c>
      <c r="C35904" s="1" t="s">
        <v>14338</v>
      </c>
      <c r="D35904" s="22" t="str">
        <f>HYPERLINK("https://rhld.insurance.arkansas.gov/NPILookup?Npi=1790890713","1790890713")</f>
        <v>1790890713</v>
      </c>
      <c r="E35904" s="1" t="s">
        <v>14540</v>
      </c>
      <c r="F35904" s="62"/>
      <c r="G35904" s="2">
        <v>54321</v>
      </c>
      <c r="H35904" s="62"/>
    </row>
    <row r="35905" spans="2:8" x14ac:dyDescent="0.25">
      <c r="B35905" s="1" t="s">
        <v>14337</v>
      </c>
      <c r="C35905" s="1" t="s">
        <v>14338</v>
      </c>
      <c r="D35905" s="22" t="str">
        <f>HYPERLINK("https://rhld.insurance.arkansas.gov/NPILookup?Npi=1801446380","1801446380")</f>
        <v>1801446380</v>
      </c>
      <c r="E35905" s="1" t="s">
        <v>14927</v>
      </c>
      <c r="F35905" s="62"/>
      <c r="G35905" s="2">
        <v>54321</v>
      </c>
      <c r="H35905" s="62"/>
    </row>
    <row r="35906" spans="2:8" x14ac:dyDescent="0.25">
      <c r="B35906" s="1" t="s">
        <v>14337</v>
      </c>
      <c r="C35906" s="1" t="s">
        <v>14338</v>
      </c>
      <c r="D35906" s="22" t="str">
        <f>HYPERLINK("https://rhld.insurance.arkansas.gov/NPILookup?Npi=1801447214","1801447214")</f>
        <v>1801447214</v>
      </c>
      <c r="E35906" s="1" t="s">
        <v>14379</v>
      </c>
      <c r="F35906" s="62"/>
      <c r="G35906" s="2">
        <v>54321</v>
      </c>
      <c r="H35906" s="62"/>
    </row>
    <row r="35907" spans="2:8" x14ac:dyDescent="0.25">
      <c r="B35907" s="1" t="s">
        <v>14337</v>
      </c>
      <c r="C35907" s="1" t="s">
        <v>14338</v>
      </c>
      <c r="D35907" s="22" t="str">
        <f>HYPERLINK("https://rhld.insurance.arkansas.gov/NPILookup?Npi=1801484217","1801484217")</f>
        <v>1801484217</v>
      </c>
      <c r="E35907" s="1" t="s">
        <v>14928</v>
      </c>
      <c r="F35907" s="62"/>
      <c r="G35907" s="2">
        <v>54321</v>
      </c>
      <c r="H35907" s="62"/>
    </row>
    <row r="35908" spans="2:8" x14ac:dyDescent="0.25">
      <c r="B35908" s="1" t="s">
        <v>14337</v>
      </c>
      <c r="C35908" s="1" t="s">
        <v>14338</v>
      </c>
      <c r="D35908" s="22" t="str">
        <f>HYPERLINK("https://rhld.insurance.arkansas.gov/NPILookup?Npi=1801801907","1801801907")</f>
        <v>1801801907</v>
      </c>
      <c r="E35908" s="1" t="s">
        <v>14343</v>
      </c>
      <c r="F35908" s="62"/>
      <c r="G35908" s="2">
        <v>54321</v>
      </c>
      <c r="H35908" s="62"/>
    </row>
    <row r="35909" spans="2:8" x14ac:dyDescent="0.25">
      <c r="B35909" s="1" t="s">
        <v>14337</v>
      </c>
      <c r="C35909" s="1" t="s">
        <v>14338</v>
      </c>
      <c r="D35909" s="22" t="str">
        <f>HYPERLINK("https://rhld.insurance.arkansas.gov/NPILookup?Npi=1801818554","1801818554")</f>
        <v>1801818554</v>
      </c>
      <c r="E35909" s="1" t="s">
        <v>14359</v>
      </c>
      <c r="F35909" s="62"/>
      <c r="G35909" s="2">
        <v>54321</v>
      </c>
      <c r="H35909" s="62"/>
    </row>
    <row r="35910" spans="2:8" x14ac:dyDescent="0.25">
      <c r="B35910" s="1" t="s">
        <v>14337</v>
      </c>
      <c r="C35910" s="1" t="s">
        <v>14338</v>
      </c>
      <c r="D35910" s="22" t="str">
        <f>HYPERLINK("https://rhld.insurance.arkansas.gov/NPILookup?Npi=1801819818","1801819818")</f>
        <v>1801819818</v>
      </c>
      <c r="E35910" s="1" t="s">
        <v>14929</v>
      </c>
      <c r="F35910" s="62"/>
      <c r="G35910" s="2">
        <v>54321</v>
      </c>
      <c r="H35910" s="62"/>
    </row>
    <row r="35911" spans="2:8" x14ac:dyDescent="0.25">
      <c r="B35911" s="1" t="s">
        <v>14337</v>
      </c>
      <c r="C35911" s="1" t="s">
        <v>14338</v>
      </c>
      <c r="D35911" s="22" t="str">
        <f>HYPERLINK("https://rhld.insurance.arkansas.gov/NPILookup?Npi=1801885041","1801885041")</f>
        <v>1801885041</v>
      </c>
      <c r="E35911" s="1" t="s">
        <v>14930</v>
      </c>
      <c r="F35911" s="62"/>
      <c r="G35911" s="2">
        <v>54321</v>
      </c>
      <c r="H35911" s="62"/>
    </row>
    <row r="35912" spans="2:8" x14ac:dyDescent="0.25">
      <c r="B35912" s="1" t="s">
        <v>14337</v>
      </c>
      <c r="C35912" s="1" t="s">
        <v>14338</v>
      </c>
      <c r="D35912" s="22" t="str">
        <f>HYPERLINK("https://rhld.insurance.arkansas.gov/NPILookup?Npi=1801908892","1801908892")</f>
        <v>1801908892</v>
      </c>
      <c r="E35912" s="1" t="s">
        <v>14931</v>
      </c>
      <c r="F35912" s="62"/>
      <c r="G35912" s="2">
        <v>54321</v>
      </c>
      <c r="H35912" s="62"/>
    </row>
    <row r="35913" spans="2:8" x14ac:dyDescent="0.25">
      <c r="B35913" s="1" t="s">
        <v>14337</v>
      </c>
      <c r="C35913" s="1" t="s">
        <v>14338</v>
      </c>
      <c r="D35913" s="22" t="str">
        <f>HYPERLINK("https://rhld.insurance.arkansas.gov/NPILookup?Npi=1801922216","1801922216")</f>
        <v>1801922216</v>
      </c>
      <c r="E35913" s="1" t="s">
        <v>14379</v>
      </c>
      <c r="F35913" s="62"/>
      <c r="G35913" s="2">
        <v>54321</v>
      </c>
      <c r="H35913" s="62"/>
    </row>
    <row r="35914" spans="2:8" x14ac:dyDescent="0.25">
      <c r="B35914" s="1" t="s">
        <v>14337</v>
      </c>
      <c r="C35914" s="1" t="s">
        <v>14338</v>
      </c>
      <c r="D35914" s="22" t="str">
        <f>HYPERLINK("https://rhld.insurance.arkansas.gov/NPILookup?Npi=1801970413","1801970413")</f>
        <v>1801970413</v>
      </c>
      <c r="E35914" s="1" t="s">
        <v>14932</v>
      </c>
      <c r="F35914" s="62"/>
      <c r="G35914" s="2">
        <v>54321</v>
      </c>
      <c r="H35914" s="62"/>
    </row>
    <row r="35915" spans="2:8" x14ac:dyDescent="0.25">
      <c r="B35915" s="1" t="s">
        <v>14337</v>
      </c>
      <c r="C35915" s="1" t="s">
        <v>14338</v>
      </c>
      <c r="D35915" s="22" t="str">
        <f>HYPERLINK("https://rhld.insurance.arkansas.gov/NPILookup?Npi=1801985452","1801985452")</f>
        <v>1801985452</v>
      </c>
      <c r="E35915" s="1" t="s">
        <v>14933</v>
      </c>
      <c r="F35915" s="62"/>
      <c r="G35915" s="2">
        <v>54321</v>
      </c>
      <c r="H35915" s="62"/>
    </row>
    <row r="35916" spans="2:8" x14ac:dyDescent="0.25">
      <c r="B35916" s="1" t="s">
        <v>14337</v>
      </c>
      <c r="C35916" s="1" t="s">
        <v>14338</v>
      </c>
      <c r="D35916" s="22" t="str">
        <f>HYPERLINK("https://rhld.insurance.arkansas.gov/NPILookup?Npi=1811026156","1811026156")</f>
        <v>1811026156</v>
      </c>
      <c r="E35916" s="1" t="s">
        <v>14934</v>
      </c>
      <c r="F35916" s="62"/>
      <c r="G35916" s="2">
        <v>54321</v>
      </c>
      <c r="H35916" s="62"/>
    </row>
    <row r="35917" spans="2:8" x14ac:dyDescent="0.25">
      <c r="B35917" s="1" t="s">
        <v>14337</v>
      </c>
      <c r="C35917" s="1" t="s">
        <v>14338</v>
      </c>
      <c r="D35917" s="22" t="str">
        <f>HYPERLINK("https://rhld.insurance.arkansas.gov/NPILookup?Npi=1811237316","1811237316")</f>
        <v>1811237316</v>
      </c>
      <c r="E35917" s="1" t="s">
        <v>14935</v>
      </c>
      <c r="F35917" s="62"/>
      <c r="G35917" s="2">
        <v>54321</v>
      </c>
      <c r="H35917" s="62"/>
    </row>
    <row r="35918" spans="2:8" x14ac:dyDescent="0.25">
      <c r="B35918" s="1" t="s">
        <v>14337</v>
      </c>
      <c r="C35918" s="1" t="s">
        <v>14338</v>
      </c>
      <c r="D35918" s="22" t="str">
        <f>HYPERLINK("https://rhld.insurance.arkansas.gov/NPILookup?Npi=1811375454","1811375454")</f>
        <v>1811375454</v>
      </c>
      <c r="E35918" s="1" t="s">
        <v>14936</v>
      </c>
      <c r="F35918" s="62"/>
      <c r="G35918" s="2">
        <v>54321</v>
      </c>
      <c r="H35918" s="62"/>
    </row>
    <row r="35919" spans="2:8" x14ac:dyDescent="0.25">
      <c r="B35919" s="1" t="s">
        <v>14337</v>
      </c>
      <c r="C35919" s="1" t="s">
        <v>14338</v>
      </c>
      <c r="D35919" s="22" t="str">
        <f>HYPERLINK("https://rhld.insurance.arkansas.gov/NPILookup?Npi=1811414972","1811414972")</f>
        <v>1811414972</v>
      </c>
      <c r="E35919" s="1" t="s">
        <v>32578</v>
      </c>
      <c r="F35919" s="62"/>
      <c r="G35919" s="2">
        <v>54321</v>
      </c>
      <c r="H35919" s="62"/>
    </row>
    <row r="35920" spans="2:8" x14ac:dyDescent="0.25">
      <c r="B35920" s="1" t="s">
        <v>14337</v>
      </c>
      <c r="C35920" s="1" t="s">
        <v>14338</v>
      </c>
      <c r="D35920" s="22" t="str">
        <f>HYPERLINK("https://rhld.insurance.arkansas.gov/NPILookup?Npi=1811546021","1811546021")</f>
        <v>1811546021</v>
      </c>
      <c r="E35920" s="1" t="s">
        <v>14937</v>
      </c>
      <c r="F35920" s="62"/>
      <c r="G35920" s="2">
        <v>54321</v>
      </c>
      <c r="H35920" s="62"/>
    </row>
    <row r="35921" spans="2:8" x14ac:dyDescent="0.25">
      <c r="B35921" s="1" t="s">
        <v>14337</v>
      </c>
      <c r="C35921" s="1" t="s">
        <v>14338</v>
      </c>
      <c r="D35921" s="22" t="str">
        <f>HYPERLINK("https://rhld.insurance.arkansas.gov/NPILookup?Npi=1811553100","1811553100")</f>
        <v>1811553100</v>
      </c>
      <c r="E35921" s="1" t="s">
        <v>14938</v>
      </c>
      <c r="F35921" s="62"/>
      <c r="G35921" s="2">
        <v>54321</v>
      </c>
      <c r="H35921" s="62"/>
    </row>
    <row r="35922" spans="2:8" x14ac:dyDescent="0.25">
      <c r="B35922" s="1" t="s">
        <v>14337</v>
      </c>
      <c r="C35922" s="1" t="s">
        <v>14338</v>
      </c>
      <c r="D35922" s="22" t="str">
        <f>HYPERLINK("https://rhld.insurance.arkansas.gov/NPILookup?Npi=1811741358","1811741358")</f>
        <v>1811741358</v>
      </c>
      <c r="E35922" s="1" t="s">
        <v>14939</v>
      </c>
      <c r="F35922" s="62"/>
      <c r="G35922" s="2">
        <v>54321</v>
      </c>
      <c r="H35922" s="62"/>
    </row>
    <row r="35923" spans="2:8" x14ac:dyDescent="0.25">
      <c r="B35923" s="1" t="s">
        <v>14337</v>
      </c>
      <c r="C35923" s="1" t="s">
        <v>14338</v>
      </c>
      <c r="D35923" s="22" t="str">
        <f>HYPERLINK("https://rhld.insurance.arkansas.gov/NPILookup?Npi=1811763378","1811763378")</f>
        <v>1811763378</v>
      </c>
      <c r="E35923" s="1" t="s">
        <v>14940</v>
      </c>
      <c r="F35923" s="62"/>
      <c r="G35923" s="2">
        <v>54321</v>
      </c>
      <c r="H35923" s="62"/>
    </row>
    <row r="35924" spans="2:8" x14ac:dyDescent="0.25">
      <c r="B35924" s="1" t="s">
        <v>14337</v>
      </c>
      <c r="C35924" s="1" t="s">
        <v>14338</v>
      </c>
      <c r="D35924" s="22" t="str">
        <f>HYPERLINK("https://rhld.insurance.arkansas.gov/NPILookup?Npi=1811902091","1811902091")</f>
        <v>1811902091</v>
      </c>
      <c r="E35924" s="1" t="s">
        <v>14941</v>
      </c>
      <c r="F35924" s="62"/>
      <c r="G35924" s="2">
        <v>54321</v>
      </c>
      <c r="H35924" s="62"/>
    </row>
    <row r="35925" spans="2:8" x14ac:dyDescent="0.25">
      <c r="B35925" s="1" t="s">
        <v>14337</v>
      </c>
      <c r="C35925" s="1" t="s">
        <v>14338</v>
      </c>
      <c r="D35925" s="22" t="str">
        <f>HYPERLINK("https://rhld.insurance.arkansas.gov/NPILookup?Npi=1811902174","1811902174")</f>
        <v>1811902174</v>
      </c>
      <c r="E35925" s="1" t="s">
        <v>14942</v>
      </c>
      <c r="F35925" s="62"/>
      <c r="G35925" s="2">
        <v>54321</v>
      </c>
      <c r="H35925" s="62"/>
    </row>
    <row r="35926" spans="2:8" x14ac:dyDescent="0.25">
      <c r="B35926" s="1" t="s">
        <v>14337</v>
      </c>
      <c r="C35926" s="1" t="s">
        <v>14338</v>
      </c>
      <c r="D35926" s="22" t="str">
        <f>HYPERLINK("https://rhld.insurance.arkansas.gov/NPILookup?Npi=1811914302","1811914302")</f>
        <v>1811914302</v>
      </c>
      <c r="E35926" s="1" t="s">
        <v>14352</v>
      </c>
      <c r="F35926" s="62"/>
      <c r="G35926" s="2">
        <v>54321</v>
      </c>
      <c r="H35926" s="62"/>
    </row>
    <row r="35927" spans="2:8" x14ac:dyDescent="0.25">
      <c r="B35927" s="1" t="s">
        <v>14337</v>
      </c>
      <c r="C35927" s="1" t="s">
        <v>14338</v>
      </c>
      <c r="D35927" s="22" t="str">
        <f>HYPERLINK("https://rhld.insurance.arkansas.gov/NPILookup?Npi=1811915390","1811915390")</f>
        <v>1811915390</v>
      </c>
      <c r="E35927" s="1" t="s">
        <v>14355</v>
      </c>
      <c r="F35927" s="62"/>
      <c r="G35927" s="2">
        <v>54321</v>
      </c>
      <c r="H35927" s="62"/>
    </row>
    <row r="35928" spans="2:8" x14ac:dyDescent="0.25">
      <c r="B35928" s="1" t="s">
        <v>14337</v>
      </c>
      <c r="C35928" s="1" t="s">
        <v>14338</v>
      </c>
      <c r="D35928" s="22" t="str">
        <f>HYPERLINK("https://rhld.insurance.arkansas.gov/NPILookup?Npi=1811983406","1811983406")</f>
        <v>1811983406</v>
      </c>
      <c r="E35928" s="1" t="s">
        <v>14943</v>
      </c>
      <c r="F35928" s="62"/>
      <c r="G35928" s="2">
        <v>54321</v>
      </c>
      <c r="H35928" s="62"/>
    </row>
    <row r="35929" spans="2:8" x14ac:dyDescent="0.25">
      <c r="B35929" s="1" t="s">
        <v>14337</v>
      </c>
      <c r="C35929" s="1" t="s">
        <v>14338</v>
      </c>
      <c r="D35929" s="22" t="str">
        <f>HYPERLINK("https://rhld.insurance.arkansas.gov/NPILookup?Npi=1821003088","1821003088")</f>
        <v>1821003088</v>
      </c>
      <c r="E35929" s="1" t="s">
        <v>14343</v>
      </c>
      <c r="F35929" s="62"/>
      <c r="G35929" s="2">
        <v>54321</v>
      </c>
      <c r="H35929" s="62"/>
    </row>
    <row r="35930" spans="2:8" x14ac:dyDescent="0.25">
      <c r="B35930" s="1" t="s">
        <v>14337</v>
      </c>
      <c r="C35930" s="1" t="s">
        <v>14338</v>
      </c>
      <c r="D35930" s="22" t="str">
        <f>HYPERLINK("https://rhld.insurance.arkansas.gov/NPILookup?Npi=1821003187","1821003187")</f>
        <v>1821003187</v>
      </c>
      <c r="E35930" s="1" t="s">
        <v>14944</v>
      </c>
      <c r="F35930" s="62"/>
      <c r="G35930" s="2">
        <v>54321</v>
      </c>
      <c r="H35930" s="62"/>
    </row>
    <row r="35931" spans="2:8" x14ac:dyDescent="0.25">
      <c r="B35931" s="1" t="s">
        <v>14337</v>
      </c>
      <c r="C35931" s="1" t="s">
        <v>14338</v>
      </c>
      <c r="D35931" s="22" t="str">
        <f>HYPERLINK("https://rhld.insurance.arkansas.gov/NPILookup?Npi=1821003435","1821003435")</f>
        <v>1821003435</v>
      </c>
      <c r="E35931" s="1" t="s">
        <v>14945</v>
      </c>
      <c r="F35931" s="62"/>
      <c r="G35931" s="2">
        <v>54321</v>
      </c>
      <c r="H35931" s="62"/>
    </row>
    <row r="35932" spans="2:8" x14ac:dyDescent="0.25">
      <c r="B35932" s="1" t="s">
        <v>14337</v>
      </c>
      <c r="C35932" s="1" t="s">
        <v>14338</v>
      </c>
      <c r="D35932" s="22" t="str">
        <f>HYPERLINK("https://rhld.insurance.arkansas.gov/NPILookup?Npi=1821005836","1821005836")</f>
        <v>1821005836</v>
      </c>
      <c r="E35932" s="1" t="s">
        <v>14343</v>
      </c>
      <c r="F35932" s="62"/>
      <c r="G35932" s="2">
        <v>54321</v>
      </c>
      <c r="H35932" s="62"/>
    </row>
    <row r="35933" spans="2:8" x14ac:dyDescent="0.25">
      <c r="B35933" s="1" t="s">
        <v>14337</v>
      </c>
      <c r="C35933" s="1" t="s">
        <v>14338</v>
      </c>
      <c r="D35933" s="22" t="str">
        <f>HYPERLINK("https://rhld.insurance.arkansas.gov/NPILookup?Npi=1821015066","1821015066")</f>
        <v>1821015066</v>
      </c>
      <c r="E35933" s="1" t="s">
        <v>14946</v>
      </c>
      <c r="F35933" s="62"/>
      <c r="G35933" s="2">
        <v>54321</v>
      </c>
      <c r="H35933" s="62"/>
    </row>
    <row r="35934" spans="2:8" x14ac:dyDescent="0.25">
      <c r="B35934" s="1" t="s">
        <v>14337</v>
      </c>
      <c r="C35934" s="1" t="s">
        <v>14338</v>
      </c>
      <c r="D35934" s="22" t="str">
        <f>HYPERLINK("https://rhld.insurance.arkansas.gov/NPILookup?Npi=1821016304","1821016304")</f>
        <v>1821016304</v>
      </c>
      <c r="E35934" s="1" t="s">
        <v>14355</v>
      </c>
      <c r="F35934" s="62"/>
      <c r="G35934" s="2">
        <v>54321</v>
      </c>
      <c r="H35934" s="62"/>
    </row>
    <row r="35935" spans="2:8" x14ac:dyDescent="0.25">
      <c r="B35935" s="1" t="s">
        <v>14337</v>
      </c>
      <c r="C35935" s="1" t="s">
        <v>14338</v>
      </c>
      <c r="D35935" s="22" t="str">
        <f>HYPERLINK("https://rhld.insurance.arkansas.gov/NPILookup?Npi=1821083619","1821083619")</f>
        <v>1821083619</v>
      </c>
      <c r="E35935" s="1" t="s">
        <v>14343</v>
      </c>
      <c r="F35935" s="62"/>
      <c r="G35935" s="2">
        <v>54321</v>
      </c>
      <c r="H35935" s="62"/>
    </row>
    <row r="35936" spans="2:8" x14ac:dyDescent="0.25">
      <c r="B35936" s="1" t="s">
        <v>14337</v>
      </c>
      <c r="C35936" s="1" t="s">
        <v>14338</v>
      </c>
      <c r="D35936" s="22" t="str">
        <f>HYPERLINK("https://rhld.insurance.arkansas.gov/NPILookup?Npi=1821102815","1821102815")</f>
        <v>1821102815</v>
      </c>
      <c r="E35936" s="1" t="s">
        <v>14947</v>
      </c>
      <c r="F35936" s="62"/>
      <c r="G35936" s="2">
        <v>54321</v>
      </c>
      <c r="H35936" s="62"/>
    </row>
    <row r="35937" spans="2:8" x14ac:dyDescent="0.25">
      <c r="B35937" s="1" t="s">
        <v>14337</v>
      </c>
      <c r="C35937" s="1" t="s">
        <v>14338</v>
      </c>
      <c r="D35937" s="22" t="str">
        <f>HYPERLINK("https://rhld.insurance.arkansas.gov/NPILookup?Npi=1821181264","1821181264")</f>
        <v>1821181264</v>
      </c>
      <c r="E35937" s="1" t="s">
        <v>14948</v>
      </c>
      <c r="F35937" s="62" t="s">
        <v>1</v>
      </c>
      <c r="G35937" s="2">
        <v>54321</v>
      </c>
      <c r="H35937" s="62" t="s">
        <v>37387</v>
      </c>
    </row>
    <row r="35938" spans="2:8" x14ac:dyDescent="0.25">
      <c r="B35938" s="1" t="s">
        <v>14337</v>
      </c>
      <c r="C35938" s="1" t="s">
        <v>14338</v>
      </c>
      <c r="D35938" s="22" t="str">
        <f>HYPERLINK("https://rhld.insurance.arkansas.gov/NPILookup?Npi=1821255977","1821255977")</f>
        <v>1821255977</v>
      </c>
      <c r="E35938" s="1" t="s">
        <v>14949</v>
      </c>
      <c r="F35938" s="62"/>
      <c r="G35938" s="2">
        <v>54321</v>
      </c>
      <c r="H35938" s="62"/>
    </row>
    <row r="35939" spans="2:8" x14ac:dyDescent="0.25">
      <c r="B35939" s="1" t="s">
        <v>14337</v>
      </c>
      <c r="C35939" s="1" t="s">
        <v>14338</v>
      </c>
      <c r="D35939" s="22" t="str">
        <f>HYPERLINK("https://rhld.insurance.arkansas.gov/NPILookup?Npi=1821335845","1821335845")</f>
        <v>1821335845</v>
      </c>
      <c r="E35939" s="1" t="s">
        <v>14950</v>
      </c>
      <c r="F35939" s="62"/>
      <c r="G35939" s="2">
        <v>54321</v>
      </c>
      <c r="H35939" s="62"/>
    </row>
    <row r="35940" spans="2:8" x14ac:dyDescent="0.25">
      <c r="B35940" s="1" t="s">
        <v>14337</v>
      </c>
      <c r="C35940" s="1" t="s">
        <v>14338</v>
      </c>
      <c r="D35940" s="22" t="str">
        <f>HYPERLINK("https://rhld.insurance.arkansas.gov/NPILookup?Npi=1821404468","1821404468")</f>
        <v>1821404468</v>
      </c>
      <c r="E35940" s="1" t="s">
        <v>14355</v>
      </c>
      <c r="F35940" s="62"/>
      <c r="G35940" s="2">
        <v>54321</v>
      </c>
      <c r="H35940" s="62"/>
    </row>
    <row r="35941" spans="2:8" x14ac:dyDescent="0.25">
      <c r="B35941" s="1" t="s">
        <v>14337</v>
      </c>
      <c r="C35941" s="1" t="s">
        <v>14338</v>
      </c>
      <c r="D35941" s="22" t="str">
        <f>HYPERLINK("https://rhld.insurance.arkansas.gov/NPILookup?Npi=1821421520","1821421520")</f>
        <v>1821421520</v>
      </c>
      <c r="E35941" s="1" t="s">
        <v>14447</v>
      </c>
      <c r="F35941" s="62"/>
      <c r="G35941" s="2">
        <v>54321</v>
      </c>
      <c r="H35941" s="62"/>
    </row>
    <row r="35942" spans="2:8" x14ac:dyDescent="0.25">
      <c r="B35942" s="1" t="s">
        <v>14337</v>
      </c>
      <c r="C35942" s="1" t="s">
        <v>14338</v>
      </c>
      <c r="D35942" s="22" t="str">
        <f>HYPERLINK("https://rhld.insurance.arkansas.gov/NPILookup?Npi=1821460163","1821460163")</f>
        <v>1821460163</v>
      </c>
      <c r="E35942" s="1" t="s">
        <v>14951</v>
      </c>
      <c r="F35942" s="62"/>
      <c r="G35942" s="2">
        <v>54321</v>
      </c>
      <c r="H35942" s="62"/>
    </row>
    <row r="35943" spans="2:8" x14ac:dyDescent="0.25">
      <c r="B35943" s="1" t="s">
        <v>14337</v>
      </c>
      <c r="C35943" s="1" t="s">
        <v>14338</v>
      </c>
      <c r="D35943" s="22" t="str">
        <f>HYPERLINK("https://rhld.insurance.arkansas.gov/NPILookup?Npi=1821475195","1821475195")</f>
        <v>1821475195</v>
      </c>
      <c r="E35943" s="1" t="s">
        <v>14952</v>
      </c>
      <c r="F35943" s="62"/>
      <c r="G35943" s="2">
        <v>54321</v>
      </c>
      <c r="H35943" s="62"/>
    </row>
    <row r="35944" spans="2:8" x14ac:dyDescent="0.25">
      <c r="B35944" s="1" t="s">
        <v>14337</v>
      </c>
      <c r="C35944" s="1" t="s">
        <v>14338</v>
      </c>
      <c r="D35944" s="22" t="str">
        <f>HYPERLINK("https://rhld.insurance.arkansas.gov/NPILookup?Npi=1821537929","1821537929")</f>
        <v>1821537929</v>
      </c>
      <c r="E35944" s="1" t="s">
        <v>14953</v>
      </c>
      <c r="F35944" s="62"/>
      <c r="G35944" s="2">
        <v>54321</v>
      </c>
      <c r="H35944" s="62"/>
    </row>
    <row r="35945" spans="2:8" x14ac:dyDescent="0.25">
      <c r="B35945" s="1" t="s">
        <v>14337</v>
      </c>
      <c r="C35945" s="1" t="s">
        <v>14338</v>
      </c>
      <c r="D35945" s="22" t="str">
        <f>HYPERLINK("https://rhld.insurance.arkansas.gov/NPILookup?Npi=1821612326","1821612326")</f>
        <v>1821612326</v>
      </c>
      <c r="E35945" s="1" t="s">
        <v>14954</v>
      </c>
      <c r="F35945" s="62"/>
      <c r="G35945" s="2">
        <v>54321</v>
      </c>
      <c r="H35945" s="62"/>
    </row>
    <row r="35946" spans="2:8" x14ac:dyDescent="0.25">
      <c r="B35946" s="1" t="s">
        <v>14337</v>
      </c>
      <c r="C35946" s="1" t="s">
        <v>14338</v>
      </c>
      <c r="D35946" s="22" t="str">
        <f>HYPERLINK("https://rhld.insurance.arkansas.gov/NPILookup?Npi=1821714072","1821714072")</f>
        <v>1821714072</v>
      </c>
      <c r="E35946" s="1" t="s">
        <v>14955</v>
      </c>
      <c r="F35946" s="62" t="s">
        <v>1</v>
      </c>
      <c r="G35946" s="2">
        <v>54321</v>
      </c>
      <c r="H35946" s="62" t="s">
        <v>37386</v>
      </c>
    </row>
    <row r="35947" spans="2:8" x14ac:dyDescent="0.25">
      <c r="B35947" s="1" t="s">
        <v>14337</v>
      </c>
      <c r="C35947" s="1" t="s">
        <v>14338</v>
      </c>
      <c r="D35947" s="22" t="str">
        <f>HYPERLINK("https://rhld.insurance.arkansas.gov/NPILookup?Npi=1831116334","1831116334")</f>
        <v>1831116334</v>
      </c>
      <c r="E35947" s="1" t="s">
        <v>14352</v>
      </c>
      <c r="F35947" s="62"/>
      <c r="G35947" s="2">
        <v>54321</v>
      </c>
      <c r="H35947" s="62"/>
    </row>
    <row r="35948" spans="2:8" x14ac:dyDescent="0.25">
      <c r="B35948" s="1" t="s">
        <v>14337</v>
      </c>
      <c r="C35948" s="1" t="s">
        <v>14338</v>
      </c>
      <c r="D35948" s="22" t="str">
        <f>HYPERLINK("https://rhld.insurance.arkansas.gov/NPILookup?Npi=1831194703","1831194703")</f>
        <v>1831194703</v>
      </c>
      <c r="E35948" s="1" t="s">
        <v>14956</v>
      </c>
      <c r="F35948" s="62"/>
      <c r="G35948" s="2">
        <v>54321</v>
      </c>
      <c r="H35948" s="62"/>
    </row>
    <row r="35949" spans="2:8" x14ac:dyDescent="0.25">
      <c r="B35949" s="1" t="s">
        <v>14337</v>
      </c>
      <c r="C35949" s="1" t="s">
        <v>14338</v>
      </c>
      <c r="D35949" s="22" t="str">
        <f>HYPERLINK("https://rhld.insurance.arkansas.gov/NPILookup?Npi=1831274125","1831274125")</f>
        <v>1831274125</v>
      </c>
      <c r="E35949" s="1" t="s">
        <v>14957</v>
      </c>
      <c r="F35949" s="62"/>
      <c r="G35949" s="2">
        <v>54321</v>
      </c>
      <c r="H35949" s="62"/>
    </row>
    <row r="35950" spans="2:8" x14ac:dyDescent="0.25">
      <c r="B35950" s="1" t="s">
        <v>14337</v>
      </c>
      <c r="C35950" s="1" t="s">
        <v>14338</v>
      </c>
      <c r="D35950" s="22" t="str">
        <f>HYPERLINK("https://rhld.insurance.arkansas.gov/NPILookup?Npi=1831280742","1831280742")</f>
        <v>1831280742</v>
      </c>
      <c r="E35950" s="1" t="s">
        <v>14958</v>
      </c>
      <c r="F35950" s="62"/>
      <c r="G35950" s="2">
        <v>54321</v>
      </c>
      <c r="H35950" s="62"/>
    </row>
    <row r="35951" spans="2:8" x14ac:dyDescent="0.25">
      <c r="B35951" s="1" t="s">
        <v>14337</v>
      </c>
      <c r="C35951" s="1" t="s">
        <v>14338</v>
      </c>
      <c r="D35951" s="22" t="str">
        <f>HYPERLINK("https://rhld.insurance.arkansas.gov/NPILookup?Npi=1831435452","1831435452")</f>
        <v>1831435452</v>
      </c>
      <c r="E35951" s="1" t="s">
        <v>14959</v>
      </c>
      <c r="F35951" s="62"/>
      <c r="G35951" s="2">
        <v>54321</v>
      </c>
      <c r="H35951" s="62"/>
    </row>
    <row r="35952" spans="2:8" x14ac:dyDescent="0.25">
      <c r="B35952" s="1" t="s">
        <v>14337</v>
      </c>
      <c r="C35952" s="1" t="s">
        <v>14338</v>
      </c>
      <c r="D35952" s="22" t="str">
        <f>HYPERLINK("https://rhld.insurance.arkansas.gov/NPILookup?Npi=1831504257","1831504257")</f>
        <v>1831504257</v>
      </c>
      <c r="E35952" s="1" t="s">
        <v>14960</v>
      </c>
      <c r="F35952" s="62"/>
      <c r="G35952" s="2">
        <v>54321</v>
      </c>
      <c r="H35952" s="62"/>
    </row>
    <row r="35953" spans="2:8" x14ac:dyDescent="0.25">
      <c r="B35953" s="1" t="s">
        <v>14337</v>
      </c>
      <c r="C35953" s="1" t="s">
        <v>14338</v>
      </c>
      <c r="D35953" s="22" t="str">
        <f>HYPERLINK("https://rhld.insurance.arkansas.gov/NPILookup?Npi=1831536283","1831536283")</f>
        <v>1831536283</v>
      </c>
      <c r="E35953" s="1" t="s">
        <v>14961</v>
      </c>
      <c r="F35953" s="62"/>
      <c r="G35953" s="2">
        <v>54321</v>
      </c>
      <c r="H35953" s="62"/>
    </row>
    <row r="35954" spans="2:8" x14ac:dyDescent="0.25">
      <c r="B35954" s="1" t="s">
        <v>14337</v>
      </c>
      <c r="C35954" s="1" t="s">
        <v>14338</v>
      </c>
      <c r="D35954" s="22" t="str">
        <f>HYPERLINK("https://rhld.insurance.arkansas.gov/NPILookup?Npi=1831599489","1831599489")</f>
        <v>1831599489</v>
      </c>
      <c r="E35954" s="1" t="s">
        <v>14343</v>
      </c>
      <c r="F35954" s="62"/>
      <c r="G35954" s="2">
        <v>54321</v>
      </c>
      <c r="H35954" s="62"/>
    </row>
    <row r="35955" spans="2:8" x14ac:dyDescent="0.25">
      <c r="B35955" s="1" t="s">
        <v>14337</v>
      </c>
      <c r="C35955" s="1" t="s">
        <v>14338</v>
      </c>
      <c r="D35955" s="22" t="str">
        <f>HYPERLINK("https://rhld.insurance.arkansas.gov/NPILookup?Npi=1831664564","1831664564")</f>
        <v>1831664564</v>
      </c>
      <c r="E35955" s="1" t="s">
        <v>14962</v>
      </c>
      <c r="F35955" s="62"/>
      <c r="G35955" s="2">
        <v>54321</v>
      </c>
      <c r="H35955" s="62"/>
    </row>
    <row r="35956" spans="2:8" x14ac:dyDescent="0.25">
      <c r="B35956" s="1" t="s">
        <v>14337</v>
      </c>
      <c r="C35956" s="1" t="s">
        <v>14338</v>
      </c>
      <c r="D35956" s="22" t="str">
        <f>HYPERLINK("https://rhld.insurance.arkansas.gov/NPILookup?Npi=1831907021","1831907021")</f>
        <v>1831907021</v>
      </c>
      <c r="E35956" s="1" t="s">
        <v>14550</v>
      </c>
      <c r="F35956" s="62"/>
      <c r="G35956" s="2">
        <v>54321</v>
      </c>
      <c r="H35956" s="62"/>
    </row>
    <row r="35957" spans="2:8" x14ac:dyDescent="0.25">
      <c r="B35957" s="1" t="s">
        <v>14337</v>
      </c>
      <c r="C35957" s="1" t="s">
        <v>14338</v>
      </c>
      <c r="D35957" s="22" t="str">
        <f>HYPERLINK("https://rhld.insurance.arkansas.gov/NPILookup?Npi=1841282662","1841282662")</f>
        <v>1841282662</v>
      </c>
      <c r="E35957" s="1" t="s">
        <v>14963</v>
      </c>
      <c r="F35957" s="62"/>
      <c r="G35957" s="2">
        <v>54321</v>
      </c>
      <c r="H35957" s="62"/>
    </row>
    <row r="35958" spans="2:8" x14ac:dyDescent="0.25">
      <c r="B35958" s="1" t="s">
        <v>14337</v>
      </c>
      <c r="C35958" s="1" t="s">
        <v>14338</v>
      </c>
      <c r="D35958" s="22" t="str">
        <f>HYPERLINK("https://rhld.insurance.arkansas.gov/NPILookup?Npi=1841291150","1841291150")</f>
        <v>1841291150</v>
      </c>
      <c r="E35958" s="1" t="s">
        <v>14835</v>
      </c>
      <c r="F35958" s="62"/>
      <c r="G35958" s="2">
        <v>54321</v>
      </c>
      <c r="H35958" s="62"/>
    </row>
    <row r="35959" spans="2:8" x14ac:dyDescent="0.25">
      <c r="B35959" s="1" t="s">
        <v>14337</v>
      </c>
      <c r="C35959" s="1" t="s">
        <v>14338</v>
      </c>
      <c r="D35959" s="22" t="str">
        <f>HYPERLINK("https://rhld.insurance.arkansas.gov/NPILookup?Npi=1841321940","1841321940")</f>
        <v>1841321940</v>
      </c>
      <c r="E35959" s="1" t="s">
        <v>14964</v>
      </c>
      <c r="F35959" s="62"/>
      <c r="G35959" s="2">
        <v>54321</v>
      </c>
      <c r="H35959" s="62"/>
    </row>
    <row r="35960" spans="2:8" x14ac:dyDescent="0.25">
      <c r="B35960" s="1" t="s">
        <v>14337</v>
      </c>
      <c r="C35960" s="1" t="s">
        <v>14338</v>
      </c>
      <c r="D35960" s="22" t="str">
        <f>HYPERLINK("https://rhld.insurance.arkansas.gov/NPILookup?Npi=1841332798","1841332798")</f>
        <v>1841332798</v>
      </c>
      <c r="E35960" s="1" t="s">
        <v>14965</v>
      </c>
      <c r="F35960" s="62" t="s">
        <v>1</v>
      </c>
      <c r="G35960" s="2">
        <v>54321</v>
      </c>
      <c r="H35960" s="62" t="s">
        <v>37378</v>
      </c>
    </row>
    <row r="35961" spans="2:8" x14ac:dyDescent="0.25">
      <c r="B35961" s="1" t="s">
        <v>14337</v>
      </c>
      <c r="C35961" s="1" t="s">
        <v>14338</v>
      </c>
      <c r="D35961" s="22" t="str">
        <f>HYPERLINK("https://rhld.insurance.arkansas.gov/NPILookup?Npi=1841339645","1841339645")</f>
        <v>1841339645</v>
      </c>
      <c r="E35961" s="1" t="s">
        <v>14966</v>
      </c>
      <c r="F35961" s="62"/>
      <c r="G35961" s="2">
        <v>54321</v>
      </c>
      <c r="H35961" s="62"/>
    </row>
    <row r="35962" spans="2:8" x14ac:dyDescent="0.25">
      <c r="B35962" s="1" t="s">
        <v>14337</v>
      </c>
      <c r="C35962" s="1" t="s">
        <v>14338</v>
      </c>
      <c r="D35962" s="22" t="str">
        <f>HYPERLINK("https://rhld.insurance.arkansas.gov/NPILookup?Npi=1841351731","1841351731")</f>
        <v>1841351731</v>
      </c>
      <c r="E35962" s="1" t="s">
        <v>14501</v>
      </c>
      <c r="F35962" s="62"/>
      <c r="G35962" s="2">
        <v>54321</v>
      </c>
      <c r="H35962" s="62"/>
    </row>
    <row r="35963" spans="2:8" x14ac:dyDescent="0.25">
      <c r="B35963" s="1" t="s">
        <v>14337</v>
      </c>
      <c r="C35963" s="1" t="s">
        <v>14338</v>
      </c>
      <c r="D35963" s="22" t="str">
        <f>HYPERLINK("https://rhld.insurance.arkansas.gov/NPILookup?Npi=1841356870","1841356870")</f>
        <v>1841356870</v>
      </c>
      <c r="E35963" s="1" t="s">
        <v>14967</v>
      </c>
      <c r="F35963" s="62"/>
      <c r="G35963" s="2">
        <v>54321</v>
      </c>
      <c r="H35963" s="62"/>
    </row>
    <row r="35964" spans="2:8" x14ac:dyDescent="0.25">
      <c r="B35964" s="1" t="s">
        <v>14337</v>
      </c>
      <c r="C35964" s="1" t="s">
        <v>14338</v>
      </c>
      <c r="D35964" s="22" t="str">
        <f>HYPERLINK("https://rhld.insurance.arkansas.gov/NPILookup?Npi=1841534674","1841534674")</f>
        <v>1841534674</v>
      </c>
      <c r="E35964" s="1" t="s">
        <v>14968</v>
      </c>
      <c r="F35964" s="62"/>
      <c r="G35964" s="2">
        <v>54321</v>
      </c>
      <c r="H35964" s="62"/>
    </row>
    <row r="35965" spans="2:8" x14ac:dyDescent="0.25">
      <c r="B35965" s="1" t="s">
        <v>14337</v>
      </c>
      <c r="C35965" s="1" t="s">
        <v>14338</v>
      </c>
      <c r="D35965" s="22" t="str">
        <f>HYPERLINK("https://rhld.insurance.arkansas.gov/NPILookup?Npi=1841542701","1841542701")</f>
        <v>1841542701</v>
      </c>
      <c r="E35965" s="1" t="s">
        <v>14969</v>
      </c>
      <c r="F35965" s="62"/>
      <c r="G35965" s="2">
        <v>54321</v>
      </c>
      <c r="H35965" s="62"/>
    </row>
    <row r="35966" spans="2:8" x14ac:dyDescent="0.25">
      <c r="B35966" s="1" t="s">
        <v>14337</v>
      </c>
      <c r="C35966" s="1" t="s">
        <v>14338</v>
      </c>
      <c r="D35966" s="22" t="str">
        <f>HYPERLINK("https://rhld.insurance.arkansas.gov/NPILookup?Npi=1841676269","1841676269")</f>
        <v>1841676269</v>
      </c>
      <c r="E35966" s="1" t="s">
        <v>14970</v>
      </c>
      <c r="F35966" s="62"/>
      <c r="G35966" s="2">
        <v>54321</v>
      </c>
      <c r="H35966" s="62"/>
    </row>
    <row r="35967" spans="2:8" x14ac:dyDescent="0.25">
      <c r="B35967" s="1" t="s">
        <v>14337</v>
      </c>
      <c r="C35967" s="1" t="s">
        <v>14338</v>
      </c>
      <c r="D35967" s="22" t="str">
        <f>HYPERLINK("https://rhld.insurance.arkansas.gov/NPILookup?Npi=1851421861","1851421861")</f>
        <v>1851421861</v>
      </c>
      <c r="E35967" s="1" t="s">
        <v>14971</v>
      </c>
      <c r="F35967" s="62"/>
      <c r="G35967" s="2">
        <v>54321</v>
      </c>
      <c r="H35967" s="62"/>
    </row>
    <row r="35968" spans="2:8" x14ac:dyDescent="0.25">
      <c r="B35968" s="1" t="s">
        <v>14337</v>
      </c>
      <c r="C35968" s="1" t="s">
        <v>14338</v>
      </c>
      <c r="D35968" s="22" t="str">
        <f>HYPERLINK("https://rhld.insurance.arkansas.gov/NPILookup?Npi=1851433858","1851433858")</f>
        <v>1851433858</v>
      </c>
      <c r="E35968" s="1" t="s">
        <v>14972</v>
      </c>
      <c r="F35968" s="62"/>
      <c r="G35968" s="2">
        <v>54321</v>
      </c>
      <c r="H35968" s="62"/>
    </row>
    <row r="35969" spans="2:8" x14ac:dyDescent="0.25">
      <c r="B35969" s="1" t="s">
        <v>14337</v>
      </c>
      <c r="C35969" s="1" t="s">
        <v>14338</v>
      </c>
      <c r="D35969" s="22" t="str">
        <f>HYPERLINK("https://rhld.insurance.arkansas.gov/NPILookup?Npi=1851443774","1851443774")</f>
        <v>1851443774</v>
      </c>
      <c r="E35969" s="1" t="s">
        <v>14973</v>
      </c>
      <c r="F35969" s="62"/>
      <c r="G35969" s="2">
        <v>54321</v>
      </c>
      <c r="H35969" s="62"/>
    </row>
    <row r="35970" spans="2:8" x14ac:dyDescent="0.25">
      <c r="B35970" s="1" t="s">
        <v>14337</v>
      </c>
      <c r="C35970" s="1" t="s">
        <v>14338</v>
      </c>
      <c r="D35970" s="22" t="str">
        <f>HYPERLINK("https://rhld.insurance.arkansas.gov/NPILookup?Npi=1851471155","1851471155")</f>
        <v>1851471155</v>
      </c>
      <c r="E35970" s="1" t="s">
        <v>14974</v>
      </c>
      <c r="F35970" s="62" t="s">
        <v>1</v>
      </c>
      <c r="G35970" s="2">
        <v>54321</v>
      </c>
      <c r="H35970" s="62" t="s">
        <v>37380</v>
      </c>
    </row>
    <row r="35971" spans="2:8" x14ac:dyDescent="0.25">
      <c r="B35971" s="1" t="s">
        <v>14337</v>
      </c>
      <c r="C35971" s="1" t="s">
        <v>14338</v>
      </c>
      <c r="D35971" s="22" t="str">
        <f>HYPERLINK("https://rhld.insurance.arkansas.gov/NPILookup?Npi=1851475990","1851475990")</f>
        <v>1851475990</v>
      </c>
      <c r="E35971" s="1" t="s">
        <v>14343</v>
      </c>
      <c r="F35971" s="62"/>
      <c r="G35971" s="2">
        <v>54321</v>
      </c>
      <c r="H35971" s="62"/>
    </row>
    <row r="35972" spans="2:8" x14ac:dyDescent="0.25">
      <c r="B35972" s="1" t="s">
        <v>14337</v>
      </c>
      <c r="C35972" s="1" t="s">
        <v>14338</v>
      </c>
      <c r="D35972" s="22" t="str">
        <f>HYPERLINK("https://rhld.insurance.arkansas.gov/NPILookup?Npi=1851480537","1851480537")</f>
        <v>1851480537</v>
      </c>
      <c r="E35972" s="1" t="s">
        <v>14975</v>
      </c>
      <c r="F35972" s="62"/>
      <c r="G35972" s="2">
        <v>54321</v>
      </c>
      <c r="H35972" s="62"/>
    </row>
    <row r="35973" spans="2:8" x14ac:dyDescent="0.25">
      <c r="B35973" s="1" t="s">
        <v>14337</v>
      </c>
      <c r="C35973" s="1" t="s">
        <v>14338</v>
      </c>
      <c r="D35973" s="22" t="str">
        <f>HYPERLINK("https://rhld.insurance.arkansas.gov/NPILookup?Npi=1851485809","1851485809")</f>
        <v>1851485809</v>
      </c>
      <c r="E35973" s="1" t="s">
        <v>14976</v>
      </c>
      <c r="F35973" s="62"/>
      <c r="G35973" s="2">
        <v>54321</v>
      </c>
      <c r="H35973" s="62"/>
    </row>
    <row r="35974" spans="2:8" x14ac:dyDescent="0.25">
      <c r="B35974" s="1" t="s">
        <v>14337</v>
      </c>
      <c r="C35974" s="1" t="s">
        <v>14338</v>
      </c>
      <c r="D35974" s="22" t="str">
        <f>HYPERLINK("https://rhld.insurance.arkansas.gov/NPILookup?Npi=1851530240","1851530240")</f>
        <v>1851530240</v>
      </c>
      <c r="E35974" s="1" t="s">
        <v>14977</v>
      </c>
      <c r="F35974" s="62"/>
      <c r="G35974" s="2">
        <v>54321</v>
      </c>
      <c r="H35974" s="62"/>
    </row>
    <row r="35975" spans="2:8" x14ac:dyDescent="0.25">
      <c r="B35975" s="1" t="s">
        <v>14337</v>
      </c>
      <c r="C35975" s="1" t="s">
        <v>14338</v>
      </c>
      <c r="D35975" s="22" t="str">
        <f>HYPERLINK("https://rhld.insurance.arkansas.gov/NPILookup?Npi=1861408247","1861408247")</f>
        <v>1861408247</v>
      </c>
      <c r="E35975" s="1" t="s">
        <v>14978</v>
      </c>
      <c r="F35975" s="62"/>
      <c r="G35975" s="2">
        <v>54321</v>
      </c>
      <c r="H35975" s="62"/>
    </row>
    <row r="35976" spans="2:8" x14ac:dyDescent="0.25">
      <c r="B35976" s="1" t="s">
        <v>14337</v>
      </c>
      <c r="C35976" s="1" t="s">
        <v>14338</v>
      </c>
      <c r="D35976" s="22" t="str">
        <f>HYPERLINK("https://rhld.insurance.arkansas.gov/NPILookup?Npi=1861419269","1861419269")</f>
        <v>1861419269</v>
      </c>
      <c r="E35976" s="1" t="s">
        <v>14352</v>
      </c>
      <c r="F35976" s="62"/>
      <c r="G35976" s="2">
        <v>54321</v>
      </c>
      <c r="H35976" s="62"/>
    </row>
    <row r="35977" spans="2:8" x14ac:dyDescent="0.25">
      <c r="B35977" s="1" t="s">
        <v>14337</v>
      </c>
      <c r="C35977" s="1" t="s">
        <v>14338</v>
      </c>
      <c r="D35977" s="22" t="str">
        <f>HYPERLINK("https://rhld.insurance.arkansas.gov/NPILookup?Npi=1861426504","1861426504")</f>
        <v>1861426504</v>
      </c>
      <c r="E35977" s="1" t="s">
        <v>14344</v>
      </c>
      <c r="F35977" s="62"/>
      <c r="G35977" s="2">
        <v>54321</v>
      </c>
      <c r="H35977" s="62"/>
    </row>
    <row r="35978" spans="2:8" x14ac:dyDescent="0.25">
      <c r="B35978" s="1" t="s">
        <v>14337</v>
      </c>
      <c r="C35978" s="1" t="s">
        <v>14338</v>
      </c>
      <c r="D35978" s="22" t="str">
        <f>HYPERLINK("https://rhld.insurance.arkansas.gov/NPILookup?Npi=1861528267","1861528267")</f>
        <v>1861528267</v>
      </c>
      <c r="E35978" s="1" t="s">
        <v>14979</v>
      </c>
      <c r="F35978" s="62"/>
      <c r="G35978" s="2">
        <v>54321</v>
      </c>
      <c r="H35978" s="62"/>
    </row>
    <row r="35979" spans="2:8" x14ac:dyDescent="0.25">
      <c r="B35979" s="1" t="s">
        <v>14337</v>
      </c>
      <c r="C35979" s="1" t="s">
        <v>14338</v>
      </c>
      <c r="D35979" s="22" t="str">
        <f>HYPERLINK("https://rhld.insurance.arkansas.gov/NPILookup?Npi=1861573016","1861573016")</f>
        <v>1861573016</v>
      </c>
      <c r="E35979" s="1" t="s">
        <v>14980</v>
      </c>
      <c r="F35979" s="62"/>
      <c r="G35979" s="2">
        <v>54321</v>
      </c>
      <c r="H35979" s="62"/>
    </row>
    <row r="35980" spans="2:8" x14ac:dyDescent="0.25">
      <c r="B35980" s="1" t="s">
        <v>14337</v>
      </c>
      <c r="C35980" s="1" t="s">
        <v>14338</v>
      </c>
      <c r="D35980" s="22" t="str">
        <f>HYPERLINK("https://rhld.insurance.arkansas.gov/NPILookup?Npi=1861587669","1861587669")</f>
        <v>1861587669</v>
      </c>
      <c r="E35980" s="1" t="s">
        <v>14981</v>
      </c>
      <c r="F35980" s="62"/>
      <c r="G35980" s="2">
        <v>54321</v>
      </c>
      <c r="H35980" s="62"/>
    </row>
    <row r="35981" spans="2:8" x14ac:dyDescent="0.25">
      <c r="B35981" s="1" t="s">
        <v>14337</v>
      </c>
      <c r="C35981" s="1" t="s">
        <v>14338</v>
      </c>
      <c r="D35981" s="22" t="str">
        <f>HYPERLINK("https://rhld.insurance.arkansas.gov/NPILookup?Npi=1861592180","1861592180")</f>
        <v>1861592180</v>
      </c>
      <c r="E35981" s="1" t="s">
        <v>14982</v>
      </c>
      <c r="F35981" s="62"/>
      <c r="G35981" s="2">
        <v>54321</v>
      </c>
      <c r="H35981" s="62"/>
    </row>
    <row r="35982" spans="2:8" x14ac:dyDescent="0.25">
      <c r="B35982" s="1" t="s">
        <v>14337</v>
      </c>
      <c r="C35982" s="1" t="s">
        <v>14338</v>
      </c>
      <c r="D35982" s="22" t="str">
        <f>HYPERLINK("https://rhld.insurance.arkansas.gov/NPILookup?Npi=1861662173","1861662173")</f>
        <v>1861662173</v>
      </c>
      <c r="E35982" s="1" t="s">
        <v>14343</v>
      </c>
      <c r="F35982" s="62"/>
      <c r="G35982" s="2">
        <v>54321</v>
      </c>
      <c r="H35982" s="62"/>
    </row>
    <row r="35983" spans="2:8" x14ac:dyDescent="0.25">
      <c r="B35983" s="1" t="s">
        <v>14337</v>
      </c>
      <c r="C35983" s="1" t="s">
        <v>14338</v>
      </c>
      <c r="D35983" s="22" t="str">
        <f>HYPERLINK("https://rhld.insurance.arkansas.gov/NPILookup?Npi=1861673915","1861673915")</f>
        <v>1861673915</v>
      </c>
      <c r="E35983" s="1" t="s">
        <v>14983</v>
      </c>
      <c r="F35983" s="62" t="s">
        <v>1</v>
      </c>
      <c r="G35983" s="2">
        <v>54321</v>
      </c>
      <c r="H35983" s="62" t="s">
        <v>37378</v>
      </c>
    </row>
    <row r="35984" spans="2:8" x14ac:dyDescent="0.25">
      <c r="B35984" s="1" t="s">
        <v>14337</v>
      </c>
      <c r="C35984" s="1" t="s">
        <v>14338</v>
      </c>
      <c r="D35984" s="22" t="str">
        <f>HYPERLINK("https://rhld.insurance.arkansas.gov/NPILookup?Npi=1861743130","1861743130")</f>
        <v>1861743130</v>
      </c>
      <c r="E35984" s="1" t="s">
        <v>14984</v>
      </c>
      <c r="F35984" s="62"/>
      <c r="G35984" s="2">
        <v>54321</v>
      </c>
      <c r="H35984" s="62"/>
    </row>
    <row r="35985" spans="2:8" x14ac:dyDescent="0.25">
      <c r="B35985" s="1" t="s">
        <v>14337</v>
      </c>
      <c r="C35985" s="1" t="s">
        <v>14338</v>
      </c>
      <c r="D35985" s="22" t="str">
        <f>HYPERLINK("https://rhld.insurance.arkansas.gov/NPILookup?Npi=1861797813","1861797813")</f>
        <v>1861797813</v>
      </c>
      <c r="E35985" s="1" t="s">
        <v>14985</v>
      </c>
      <c r="F35985" s="62"/>
      <c r="G35985" s="2">
        <v>54321</v>
      </c>
      <c r="H35985" s="62"/>
    </row>
    <row r="35986" spans="2:8" x14ac:dyDescent="0.25">
      <c r="B35986" s="1" t="s">
        <v>14337</v>
      </c>
      <c r="C35986" s="1" t="s">
        <v>14338</v>
      </c>
      <c r="D35986" s="22" t="str">
        <f>HYPERLINK("https://rhld.insurance.arkansas.gov/NPILookup?Npi=1871354175","1871354175")</f>
        <v>1871354175</v>
      </c>
      <c r="E35986" s="1" t="s">
        <v>14986</v>
      </c>
      <c r="F35986" s="62"/>
      <c r="G35986" s="2">
        <v>54321</v>
      </c>
      <c r="H35986" s="62"/>
    </row>
    <row r="35987" spans="2:8" x14ac:dyDescent="0.25">
      <c r="B35987" s="1" t="s">
        <v>14337</v>
      </c>
      <c r="C35987" s="1" t="s">
        <v>14338</v>
      </c>
      <c r="D35987" s="22" t="str">
        <f>HYPERLINK("https://rhld.insurance.arkansas.gov/NPILookup?Npi=1871508812","1871508812")</f>
        <v>1871508812</v>
      </c>
      <c r="E35987" s="1" t="s">
        <v>14343</v>
      </c>
      <c r="F35987" s="62"/>
      <c r="G35987" s="2">
        <v>54321</v>
      </c>
      <c r="H35987" s="62"/>
    </row>
    <row r="35988" spans="2:8" x14ac:dyDescent="0.25">
      <c r="B35988" s="1" t="s">
        <v>14337</v>
      </c>
      <c r="C35988" s="1" t="s">
        <v>14338</v>
      </c>
      <c r="D35988" s="22" t="str">
        <f>HYPERLINK("https://rhld.insurance.arkansas.gov/NPILookup?Npi=1871510057","1871510057")</f>
        <v>1871510057</v>
      </c>
      <c r="E35988" s="1" t="s">
        <v>14987</v>
      </c>
      <c r="F35988" s="62"/>
      <c r="G35988" s="2">
        <v>54321</v>
      </c>
      <c r="H35988" s="62"/>
    </row>
    <row r="35989" spans="2:8" x14ac:dyDescent="0.25">
      <c r="B35989" s="1" t="s">
        <v>14337</v>
      </c>
      <c r="C35989" s="1" t="s">
        <v>14338</v>
      </c>
      <c r="D35989" s="22" t="str">
        <f>HYPERLINK("https://rhld.insurance.arkansas.gov/NPILookup?Npi=1871510263","1871510263")</f>
        <v>1871510263</v>
      </c>
      <c r="E35989" s="1" t="s">
        <v>14352</v>
      </c>
      <c r="F35989" s="62"/>
      <c r="G35989" s="2">
        <v>54321</v>
      </c>
      <c r="H35989" s="62"/>
    </row>
    <row r="35990" spans="2:8" x14ac:dyDescent="0.25">
      <c r="B35990" s="1" t="s">
        <v>14337</v>
      </c>
      <c r="C35990" s="1" t="s">
        <v>14338</v>
      </c>
      <c r="D35990" s="22" t="str">
        <f>HYPERLINK("https://rhld.insurance.arkansas.gov/NPILookup?Npi=1871510271","1871510271")</f>
        <v>1871510271</v>
      </c>
      <c r="E35990" s="1" t="s">
        <v>14352</v>
      </c>
      <c r="F35990" s="62"/>
      <c r="G35990" s="2">
        <v>54321</v>
      </c>
      <c r="H35990" s="62"/>
    </row>
    <row r="35991" spans="2:8" x14ac:dyDescent="0.25">
      <c r="B35991" s="1" t="s">
        <v>14337</v>
      </c>
      <c r="C35991" s="1" t="s">
        <v>14338</v>
      </c>
      <c r="D35991" s="22" t="str">
        <f>HYPERLINK("https://rhld.insurance.arkansas.gov/NPILookup?Npi=1871527622","1871527622")</f>
        <v>1871527622</v>
      </c>
      <c r="E35991" s="1" t="s">
        <v>14344</v>
      </c>
      <c r="F35991" s="62"/>
      <c r="G35991" s="2">
        <v>54321</v>
      </c>
      <c r="H35991" s="62"/>
    </row>
    <row r="35992" spans="2:8" x14ac:dyDescent="0.25">
      <c r="B35992" s="1" t="s">
        <v>14337</v>
      </c>
      <c r="C35992" s="1" t="s">
        <v>14338</v>
      </c>
      <c r="D35992" s="22" t="str">
        <f>HYPERLINK("https://rhld.insurance.arkansas.gov/NPILookup?Npi=1871530204","1871530204")</f>
        <v>1871530204</v>
      </c>
      <c r="E35992" s="1" t="s">
        <v>14353</v>
      </c>
      <c r="F35992" s="62"/>
      <c r="G35992" s="2">
        <v>54321</v>
      </c>
      <c r="H35992" s="62"/>
    </row>
    <row r="35993" spans="2:8" x14ac:dyDescent="0.25">
      <c r="B35993" s="1" t="s">
        <v>14337</v>
      </c>
      <c r="C35993" s="1" t="s">
        <v>14338</v>
      </c>
      <c r="D35993" s="22" t="str">
        <f>HYPERLINK("https://rhld.insurance.arkansas.gov/NPILookup?Npi=1871669416","1871669416")</f>
        <v>1871669416</v>
      </c>
      <c r="E35993" s="1" t="s">
        <v>14988</v>
      </c>
      <c r="F35993" s="62"/>
      <c r="G35993" s="2">
        <v>54321</v>
      </c>
      <c r="H35993" s="62"/>
    </row>
    <row r="35994" spans="2:8" x14ac:dyDescent="0.25">
      <c r="B35994" s="1" t="s">
        <v>14337</v>
      </c>
      <c r="C35994" s="1" t="s">
        <v>14338</v>
      </c>
      <c r="D35994" s="22" t="str">
        <f>HYPERLINK("https://rhld.insurance.arkansas.gov/NPILookup?Npi=1871694513","1871694513")</f>
        <v>1871694513</v>
      </c>
      <c r="E35994" s="1" t="s">
        <v>14989</v>
      </c>
      <c r="F35994" s="62"/>
      <c r="G35994" s="2">
        <v>54321</v>
      </c>
      <c r="H35994" s="62"/>
    </row>
    <row r="35995" spans="2:8" x14ac:dyDescent="0.25">
      <c r="B35995" s="1" t="s">
        <v>14337</v>
      </c>
      <c r="C35995" s="1" t="s">
        <v>14338</v>
      </c>
      <c r="D35995" s="22" t="str">
        <f>HYPERLINK("https://rhld.insurance.arkansas.gov/NPILookup?Npi=1871944827","1871944827")</f>
        <v>1871944827</v>
      </c>
      <c r="E35995" s="1" t="s">
        <v>14990</v>
      </c>
      <c r="F35995" s="62"/>
      <c r="G35995" s="2">
        <v>54321</v>
      </c>
      <c r="H35995" s="62"/>
    </row>
    <row r="35996" spans="2:8" x14ac:dyDescent="0.25">
      <c r="B35996" s="1" t="s">
        <v>14337</v>
      </c>
      <c r="C35996" s="1" t="s">
        <v>14338</v>
      </c>
      <c r="D35996" s="22" t="str">
        <f>HYPERLINK("https://rhld.insurance.arkansas.gov/NPILookup?Npi=1881001501","1881001501")</f>
        <v>1881001501</v>
      </c>
      <c r="E35996" s="1" t="s">
        <v>14991</v>
      </c>
      <c r="F35996" s="62"/>
      <c r="G35996" s="2">
        <v>54321</v>
      </c>
      <c r="H35996" s="62"/>
    </row>
    <row r="35997" spans="2:8" x14ac:dyDescent="0.25">
      <c r="B35997" s="1" t="s">
        <v>14337</v>
      </c>
      <c r="C35997" s="1" t="s">
        <v>14338</v>
      </c>
      <c r="D35997" s="22" t="str">
        <f>HYPERLINK("https://rhld.insurance.arkansas.gov/NPILookup?Npi=1881098499","1881098499")</f>
        <v>1881098499</v>
      </c>
      <c r="E35997" s="1" t="s">
        <v>14992</v>
      </c>
      <c r="F35997" s="62"/>
      <c r="G35997" s="2">
        <v>54321</v>
      </c>
      <c r="H35997" s="62"/>
    </row>
    <row r="35998" spans="2:8" x14ac:dyDescent="0.25">
      <c r="B35998" s="1" t="s">
        <v>14337</v>
      </c>
      <c r="C35998" s="1" t="s">
        <v>14338</v>
      </c>
      <c r="D35998" s="22" t="str">
        <f>HYPERLINK("https://rhld.insurance.arkansas.gov/NPILookup?Npi=1881437275","1881437275")</f>
        <v>1881437275</v>
      </c>
      <c r="E35998" s="1" t="s">
        <v>14891</v>
      </c>
      <c r="F35998" s="62"/>
      <c r="G35998" s="2">
        <v>54321</v>
      </c>
      <c r="H35998" s="62"/>
    </row>
    <row r="35999" spans="2:8" x14ac:dyDescent="0.25">
      <c r="B35999" s="1" t="s">
        <v>14337</v>
      </c>
      <c r="C35999" s="1" t="s">
        <v>14338</v>
      </c>
      <c r="D35999" s="22" t="str">
        <f>HYPERLINK("https://rhld.insurance.arkansas.gov/NPILookup?Npi=1881609147","1881609147")</f>
        <v>1881609147</v>
      </c>
      <c r="E35999" s="1" t="s">
        <v>14993</v>
      </c>
      <c r="F35999" s="62"/>
      <c r="G35999" s="2">
        <v>54321</v>
      </c>
      <c r="H35999" s="62"/>
    </row>
    <row r="36000" spans="2:8" x14ac:dyDescent="0.25">
      <c r="B36000" s="1" t="s">
        <v>14337</v>
      </c>
      <c r="C36000" s="1" t="s">
        <v>14338</v>
      </c>
      <c r="D36000" s="22" t="str">
        <f>HYPERLINK("https://rhld.insurance.arkansas.gov/NPILookup?Npi=1881609899","1881609899")</f>
        <v>1881609899</v>
      </c>
      <c r="E36000" s="1" t="s">
        <v>14994</v>
      </c>
      <c r="F36000" s="62"/>
      <c r="G36000" s="2">
        <v>54321</v>
      </c>
      <c r="H36000" s="62"/>
    </row>
    <row r="36001" spans="2:8" x14ac:dyDescent="0.25">
      <c r="B36001" s="1" t="s">
        <v>14337</v>
      </c>
      <c r="C36001" s="1" t="s">
        <v>14338</v>
      </c>
      <c r="D36001" s="22" t="str">
        <f>HYPERLINK("https://rhld.insurance.arkansas.gov/NPILookup?Npi=1881611267","1881611267")</f>
        <v>1881611267</v>
      </c>
      <c r="E36001" s="1" t="s">
        <v>14352</v>
      </c>
      <c r="F36001" s="62"/>
      <c r="G36001" s="2">
        <v>54321</v>
      </c>
      <c r="H36001" s="62"/>
    </row>
    <row r="36002" spans="2:8" x14ac:dyDescent="0.25">
      <c r="B36002" s="1" t="s">
        <v>14337</v>
      </c>
      <c r="C36002" s="1" t="s">
        <v>14338</v>
      </c>
      <c r="D36002" s="22" t="str">
        <f>HYPERLINK("https://rhld.insurance.arkansas.gov/NPILookup?Npi=1881611275","1881611275")</f>
        <v>1881611275</v>
      </c>
      <c r="E36002" s="1" t="s">
        <v>14352</v>
      </c>
      <c r="F36002" s="62"/>
      <c r="G36002" s="2">
        <v>54321</v>
      </c>
      <c r="H36002" s="62"/>
    </row>
    <row r="36003" spans="2:8" x14ac:dyDescent="0.25">
      <c r="B36003" s="1" t="s">
        <v>14337</v>
      </c>
      <c r="C36003" s="1" t="s">
        <v>14338</v>
      </c>
      <c r="D36003" s="22" t="str">
        <f>HYPERLINK("https://rhld.insurance.arkansas.gov/NPILookup?Npi=1881611283","1881611283")</f>
        <v>1881611283</v>
      </c>
      <c r="E36003" s="1" t="s">
        <v>14384</v>
      </c>
      <c r="F36003" s="62"/>
      <c r="G36003" s="2">
        <v>54321</v>
      </c>
      <c r="H36003" s="62"/>
    </row>
    <row r="36004" spans="2:8" x14ac:dyDescent="0.25">
      <c r="B36004" s="1" t="s">
        <v>14337</v>
      </c>
      <c r="C36004" s="1" t="s">
        <v>14338</v>
      </c>
      <c r="D36004" s="22" t="str">
        <f>HYPERLINK("https://rhld.insurance.arkansas.gov/NPILookup?Npi=1881628626","1881628626")</f>
        <v>1881628626</v>
      </c>
      <c r="E36004" s="1" t="s">
        <v>14344</v>
      </c>
      <c r="F36004" s="62"/>
      <c r="G36004" s="2">
        <v>54321</v>
      </c>
      <c r="H36004" s="62"/>
    </row>
    <row r="36005" spans="2:8" x14ac:dyDescent="0.25">
      <c r="B36005" s="1" t="s">
        <v>14337</v>
      </c>
      <c r="C36005" s="1" t="s">
        <v>14338</v>
      </c>
      <c r="D36005" s="22" t="str">
        <f>HYPERLINK("https://rhld.insurance.arkansas.gov/NPILookup?Npi=1881670818","1881670818")</f>
        <v>1881670818</v>
      </c>
      <c r="E36005" s="1" t="s">
        <v>14995</v>
      </c>
      <c r="F36005" s="62"/>
      <c r="G36005" s="2">
        <v>54321</v>
      </c>
      <c r="H36005" s="62"/>
    </row>
    <row r="36006" spans="2:8" x14ac:dyDescent="0.25">
      <c r="B36006" s="1" t="s">
        <v>14337</v>
      </c>
      <c r="C36006" s="1" t="s">
        <v>14338</v>
      </c>
      <c r="D36006" s="22" t="str">
        <f>HYPERLINK("https://rhld.insurance.arkansas.gov/NPILookup?Npi=1881703379","1881703379")</f>
        <v>1881703379</v>
      </c>
      <c r="E36006" s="1" t="s">
        <v>14996</v>
      </c>
      <c r="F36006" s="62"/>
      <c r="G36006" s="2">
        <v>54321</v>
      </c>
      <c r="H36006" s="62"/>
    </row>
    <row r="36007" spans="2:8" x14ac:dyDescent="0.25">
      <c r="B36007" s="1" t="s">
        <v>14337</v>
      </c>
      <c r="C36007" s="1" t="s">
        <v>14338</v>
      </c>
      <c r="D36007" s="22" t="str">
        <f>HYPERLINK("https://rhld.insurance.arkansas.gov/NPILookup?Npi=1881909638","1881909638")</f>
        <v>1881909638</v>
      </c>
      <c r="E36007" s="1" t="s">
        <v>14997</v>
      </c>
      <c r="F36007" s="62"/>
      <c r="G36007" s="2">
        <v>54321</v>
      </c>
      <c r="H36007" s="62"/>
    </row>
    <row r="36008" spans="2:8" x14ac:dyDescent="0.25">
      <c r="B36008" s="1" t="s">
        <v>14337</v>
      </c>
      <c r="C36008" s="1" t="s">
        <v>14338</v>
      </c>
      <c r="D36008" s="22" t="str">
        <f>HYPERLINK("https://rhld.insurance.arkansas.gov/NPILookup?Npi=1881949063","1881949063")</f>
        <v>1881949063</v>
      </c>
      <c r="E36008" s="1" t="s">
        <v>14998</v>
      </c>
      <c r="F36008" s="62"/>
      <c r="G36008" s="2">
        <v>54321</v>
      </c>
      <c r="H36008" s="62"/>
    </row>
    <row r="36009" spans="2:8" x14ac:dyDescent="0.25">
      <c r="B36009" s="1" t="s">
        <v>14337</v>
      </c>
      <c r="C36009" s="1" t="s">
        <v>14338</v>
      </c>
      <c r="D36009" s="22" t="str">
        <f>HYPERLINK("https://rhld.insurance.arkansas.gov/NPILookup?Npi=1891123675","1891123675")</f>
        <v>1891123675</v>
      </c>
      <c r="E36009" s="1" t="s">
        <v>14999</v>
      </c>
      <c r="F36009" s="62"/>
      <c r="G36009" s="2">
        <v>54321</v>
      </c>
      <c r="H36009" s="62"/>
    </row>
    <row r="36010" spans="2:8" x14ac:dyDescent="0.25">
      <c r="B36010" s="1" t="s">
        <v>14337</v>
      </c>
      <c r="C36010" s="1" t="s">
        <v>14338</v>
      </c>
      <c r="D36010" s="22" t="str">
        <f>HYPERLINK("https://rhld.insurance.arkansas.gov/NPILookup?Npi=1891143020","1891143020")</f>
        <v>1891143020</v>
      </c>
      <c r="E36010" s="1" t="s">
        <v>14355</v>
      </c>
      <c r="F36010" s="62"/>
      <c r="G36010" s="2">
        <v>54321</v>
      </c>
      <c r="H36010" s="62"/>
    </row>
    <row r="36011" spans="2:8" x14ac:dyDescent="0.25">
      <c r="B36011" s="1" t="s">
        <v>14337</v>
      </c>
      <c r="C36011" s="1" t="s">
        <v>14338</v>
      </c>
      <c r="D36011" s="22" t="str">
        <f>HYPERLINK("https://rhld.insurance.arkansas.gov/NPILookup?Npi=1891729521","1891729521")</f>
        <v>1891729521</v>
      </c>
      <c r="E36011" s="1" t="s">
        <v>14344</v>
      </c>
      <c r="F36011" s="62"/>
      <c r="G36011" s="2">
        <v>54321</v>
      </c>
      <c r="H36011" s="62"/>
    </row>
    <row r="36012" spans="2:8" x14ac:dyDescent="0.25">
      <c r="B36012" s="1" t="s">
        <v>14337</v>
      </c>
      <c r="C36012" s="1" t="s">
        <v>14338</v>
      </c>
      <c r="D36012" s="22" t="str">
        <f>HYPERLINK("https://rhld.insurance.arkansas.gov/NPILookup?Npi=1891789574","1891789574")</f>
        <v>1891789574</v>
      </c>
      <c r="E36012" s="1" t="s">
        <v>14881</v>
      </c>
      <c r="F36012" s="62"/>
      <c r="G36012" s="2">
        <v>54321</v>
      </c>
      <c r="H36012" s="62"/>
    </row>
    <row r="36013" spans="2:8" x14ac:dyDescent="0.25">
      <c r="B36013" s="1" t="s">
        <v>14337</v>
      </c>
      <c r="C36013" s="1" t="s">
        <v>14338</v>
      </c>
      <c r="D36013" s="22" t="str">
        <f>HYPERLINK("https://rhld.insurance.arkansas.gov/NPILookup?Npi=1891789715","1891789715")</f>
        <v>1891789715</v>
      </c>
      <c r="E36013" s="1" t="s">
        <v>15000</v>
      </c>
      <c r="F36013" s="62"/>
      <c r="G36013" s="2">
        <v>54321</v>
      </c>
      <c r="H36013" s="62"/>
    </row>
    <row r="36014" spans="2:8" x14ac:dyDescent="0.25">
      <c r="B36014" s="1" t="s">
        <v>14337</v>
      </c>
      <c r="C36014" s="1" t="s">
        <v>14338</v>
      </c>
      <c r="D36014" s="22" t="str">
        <f>HYPERLINK("https://rhld.insurance.arkansas.gov/NPILookup?Npi=1891835757","1891835757")</f>
        <v>1891835757</v>
      </c>
      <c r="E36014" s="1" t="s">
        <v>15001</v>
      </c>
      <c r="F36014" s="62"/>
      <c r="G36014" s="2">
        <v>54321</v>
      </c>
      <c r="H36014" s="62"/>
    </row>
    <row r="36015" spans="2:8" x14ac:dyDescent="0.25">
      <c r="B36015" s="1" t="s">
        <v>14337</v>
      </c>
      <c r="C36015" s="1" t="s">
        <v>14338</v>
      </c>
      <c r="D36015" s="22" t="str">
        <f>HYPERLINK("https://rhld.insurance.arkansas.gov/NPILookup?Npi=1891837290","1891837290")</f>
        <v>1891837290</v>
      </c>
      <c r="E36015" s="1" t="s">
        <v>15002</v>
      </c>
      <c r="F36015" s="62"/>
      <c r="G36015" s="2">
        <v>54321</v>
      </c>
      <c r="H36015" s="62"/>
    </row>
    <row r="36016" spans="2:8" x14ac:dyDescent="0.25">
      <c r="B36016" s="1" t="s">
        <v>14337</v>
      </c>
      <c r="C36016" s="1" t="s">
        <v>14338</v>
      </c>
      <c r="D36016" s="22" t="str">
        <f>HYPERLINK("https://rhld.insurance.arkansas.gov/NPILookup?Npi=1902052285","1902052285")</f>
        <v>1902052285</v>
      </c>
      <c r="E36016" s="1" t="s">
        <v>15003</v>
      </c>
      <c r="F36016" s="62"/>
      <c r="G36016" s="2">
        <v>54321</v>
      </c>
      <c r="H36016" s="62"/>
    </row>
    <row r="36017" spans="2:8" x14ac:dyDescent="0.25">
      <c r="B36017" s="1" t="s">
        <v>14337</v>
      </c>
      <c r="C36017" s="1" t="s">
        <v>14338</v>
      </c>
      <c r="D36017" s="22" t="str">
        <f>HYPERLINK("https://rhld.insurance.arkansas.gov/NPILookup?Npi=1902121338","1902121338")</f>
        <v>1902121338</v>
      </c>
      <c r="E36017" s="1" t="s">
        <v>15004</v>
      </c>
      <c r="F36017" s="62"/>
      <c r="G36017" s="2">
        <v>54321</v>
      </c>
      <c r="H36017" s="62"/>
    </row>
    <row r="36018" spans="2:8" x14ac:dyDescent="0.25">
      <c r="B36018" s="1" t="s">
        <v>14337</v>
      </c>
      <c r="C36018" s="1" t="s">
        <v>14338</v>
      </c>
      <c r="D36018" s="22" t="str">
        <f>HYPERLINK("https://rhld.insurance.arkansas.gov/NPILookup?Npi=1902191067","1902191067")</f>
        <v>1902191067</v>
      </c>
      <c r="E36018" s="1" t="s">
        <v>14371</v>
      </c>
      <c r="F36018" s="62"/>
      <c r="G36018" s="2">
        <v>54321</v>
      </c>
      <c r="H36018" s="62"/>
    </row>
    <row r="36019" spans="2:8" x14ac:dyDescent="0.25">
      <c r="B36019" s="1" t="s">
        <v>14337</v>
      </c>
      <c r="C36019" s="1" t="s">
        <v>14338</v>
      </c>
      <c r="D36019" s="22" t="str">
        <f>HYPERLINK("https://rhld.insurance.arkansas.gov/NPILookup?Npi=1902299571","1902299571")</f>
        <v>1902299571</v>
      </c>
      <c r="E36019" s="1" t="s">
        <v>32583</v>
      </c>
      <c r="F36019" s="62"/>
      <c r="G36019" s="2">
        <v>54321</v>
      </c>
      <c r="H36019" s="62"/>
    </row>
    <row r="36020" spans="2:8" x14ac:dyDescent="0.25">
      <c r="B36020" s="1" t="s">
        <v>14337</v>
      </c>
      <c r="C36020" s="1" t="s">
        <v>14338</v>
      </c>
      <c r="D36020" s="22" t="str">
        <f>HYPERLINK("https://rhld.insurance.arkansas.gov/NPILookup?Npi=1902359342","1902359342")</f>
        <v>1902359342</v>
      </c>
      <c r="E36020" s="1" t="s">
        <v>15005</v>
      </c>
      <c r="F36020" s="62"/>
      <c r="G36020" s="2">
        <v>54321</v>
      </c>
      <c r="H36020" s="62"/>
    </row>
    <row r="36021" spans="2:8" x14ac:dyDescent="0.25">
      <c r="B36021" s="1" t="s">
        <v>14337</v>
      </c>
      <c r="C36021" s="1" t="s">
        <v>14338</v>
      </c>
      <c r="D36021" s="22" t="str">
        <f>HYPERLINK("https://rhld.insurance.arkansas.gov/NPILookup?Npi=1902803042","1902803042")</f>
        <v>1902803042</v>
      </c>
      <c r="E36021" s="1" t="s">
        <v>15006</v>
      </c>
      <c r="F36021" s="62"/>
      <c r="G36021" s="2">
        <v>54321</v>
      </c>
      <c r="H36021" s="62"/>
    </row>
    <row r="36022" spans="2:8" x14ac:dyDescent="0.25">
      <c r="B36022" s="1" t="s">
        <v>14337</v>
      </c>
      <c r="C36022" s="1" t="s">
        <v>14338</v>
      </c>
      <c r="D36022" s="22" t="str">
        <f>HYPERLINK("https://rhld.insurance.arkansas.gov/NPILookup?Npi=1902811268","1902811268")</f>
        <v>1902811268</v>
      </c>
      <c r="E36022" s="1" t="s">
        <v>15007</v>
      </c>
      <c r="F36022" s="62"/>
      <c r="G36022" s="2">
        <v>54321</v>
      </c>
      <c r="H36022" s="62"/>
    </row>
    <row r="36023" spans="2:8" x14ac:dyDescent="0.25">
      <c r="B36023" s="1" t="s">
        <v>14337</v>
      </c>
      <c r="C36023" s="1" t="s">
        <v>14338</v>
      </c>
      <c r="D36023" s="22" t="str">
        <f>HYPERLINK("https://rhld.insurance.arkansas.gov/NPILookup?Npi=1902821622","1902821622")</f>
        <v>1902821622</v>
      </c>
      <c r="E36023" s="1" t="s">
        <v>14344</v>
      </c>
      <c r="F36023" s="62"/>
      <c r="G36023" s="2">
        <v>54321</v>
      </c>
      <c r="H36023" s="62"/>
    </row>
    <row r="36024" spans="2:8" x14ac:dyDescent="0.25">
      <c r="B36024" s="1" t="s">
        <v>14337</v>
      </c>
      <c r="C36024" s="1" t="s">
        <v>14338</v>
      </c>
      <c r="D36024" s="22" t="str">
        <f>HYPERLINK("https://rhld.insurance.arkansas.gov/NPILookup?Npi=1902823495","1902823495")</f>
        <v>1902823495</v>
      </c>
      <c r="E36024" s="1" t="s">
        <v>14352</v>
      </c>
      <c r="F36024" s="62"/>
      <c r="G36024" s="2">
        <v>54321</v>
      </c>
      <c r="H36024" s="62"/>
    </row>
    <row r="36025" spans="2:8" x14ac:dyDescent="0.25">
      <c r="B36025" s="1" t="s">
        <v>14337</v>
      </c>
      <c r="C36025" s="1" t="s">
        <v>14338</v>
      </c>
      <c r="D36025" s="22" t="str">
        <f>HYPERLINK("https://rhld.insurance.arkansas.gov/NPILookup?Npi=1902838949","1902838949")</f>
        <v>1902838949</v>
      </c>
      <c r="E36025" s="1" t="s">
        <v>15008</v>
      </c>
      <c r="F36025" s="62"/>
      <c r="G36025" s="2">
        <v>54321</v>
      </c>
      <c r="H36025" s="62"/>
    </row>
    <row r="36026" spans="2:8" x14ac:dyDescent="0.25">
      <c r="B36026" s="1" t="s">
        <v>14337</v>
      </c>
      <c r="C36026" s="1" t="s">
        <v>14338</v>
      </c>
      <c r="D36026" s="22" t="str">
        <f>HYPERLINK("https://rhld.insurance.arkansas.gov/NPILookup?Npi=1902946668","1902946668")</f>
        <v>1902946668</v>
      </c>
      <c r="E36026" s="1" t="s">
        <v>15009</v>
      </c>
      <c r="F36026" s="62"/>
      <c r="G36026" s="2">
        <v>54321</v>
      </c>
      <c r="H36026" s="62"/>
    </row>
    <row r="36027" spans="2:8" x14ac:dyDescent="0.25">
      <c r="B36027" s="1" t="s">
        <v>14337</v>
      </c>
      <c r="C36027" s="1" t="s">
        <v>14338</v>
      </c>
      <c r="D36027" s="22" t="str">
        <f>HYPERLINK("https://rhld.insurance.arkansas.gov/NPILookup?Npi=1902954969","1902954969")</f>
        <v>1902954969</v>
      </c>
      <c r="E36027" s="1" t="s">
        <v>15010</v>
      </c>
      <c r="F36027" s="62"/>
      <c r="G36027" s="2">
        <v>54321</v>
      </c>
      <c r="H36027" s="62"/>
    </row>
    <row r="36028" spans="2:8" x14ac:dyDescent="0.25">
      <c r="B36028" s="1" t="s">
        <v>14337</v>
      </c>
      <c r="C36028" s="1" t="s">
        <v>14338</v>
      </c>
      <c r="D36028" s="22" t="str">
        <f>HYPERLINK("https://rhld.insurance.arkansas.gov/NPILookup?Npi=1912049073","1912049073")</f>
        <v>1912049073</v>
      </c>
      <c r="E36028" s="1" t="s">
        <v>15011</v>
      </c>
      <c r="F36028" s="62" t="s">
        <v>1</v>
      </c>
      <c r="G36028" s="2">
        <v>54321</v>
      </c>
      <c r="H36028" s="62" t="s">
        <v>37381</v>
      </c>
    </row>
    <row r="36029" spans="2:8" x14ac:dyDescent="0.25">
      <c r="B36029" s="1" t="s">
        <v>14337</v>
      </c>
      <c r="C36029" s="1" t="s">
        <v>14338</v>
      </c>
      <c r="D36029" s="22" t="str">
        <f>HYPERLINK("https://rhld.insurance.arkansas.gov/NPILookup?Npi=1912248436","1912248436")</f>
        <v>1912248436</v>
      </c>
      <c r="E36029" s="1" t="s">
        <v>15012</v>
      </c>
      <c r="F36029" s="62"/>
      <c r="G36029" s="2">
        <v>54321</v>
      </c>
      <c r="H36029" s="62"/>
    </row>
    <row r="36030" spans="2:8" x14ac:dyDescent="0.25">
      <c r="B36030" s="1" t="s">
        <v>14337</v>
      </c>
      <c r="C36030" s="1" t="s">
        <v>14338</v>
      </c>
      <c r="D36030" s="22" t="str">
        <f>HYPERLINK("https://rhld.insurance.arkansas.gov/NPILookup?Npi=1912306036","1912306036")</f>
        <v>1912306036</v>
      </c>
      <c r="E36030" s="1" t="s">
        <v>15013</v>
      </c>
      <c r="F36030" s="62"/>
      <c r="G36030" s="2">
        <v>54321</v>
      </c>
      <c r="H36030" s="62"/>
    </row>
    <row r="36031" spans="2:8" x14ac:dyDescent="0.25">
      <c r="B36031" s="1" t="s">
        <v>14337</v>
      </c>
      <c r="C36031" s="1" t="s">
        <v>14338</v>
      </c>
      <c r="D36031" s="22" t="str">
        <f>HYPERLINK("https://rhld.insurance.arkansas.gov/NPILookup?Npi=1912381609","1912381609")</f>
        <v>1912381609</v>
      </c>
      <c r="E36031" s="1" t="s">
        <v>15014</v>
      </c>
      <c r="F36031" s="62" t="s">
        <v>1</v>
      </c>
      <c r="G36031" s="2">
        <v>54321</v>
      </c>
      <c r="H36031" s="62" t="s">
        <v>37381</v>
      </c>
    </row>
    <row r="36032" spans="2:8" x14ac:dyDescent="0.25">
      <c r="B36032" s="1" t="s">
        <v>14337</v>
      </c>
      <c r="C36032" s="1" t="s">
        <v>14338</v>
      </c>
      <c r="D36032" s="22" t="str">
        <f>HYPERLINK("https://rhld.insurance.arkansas.gov/NPILookup?Npi=1912447806","1912447806")</f>
        <v>1912447806</v>
      </c>
      <c r="E36032" s="1" t="s">
        <v>15015</v>
      </c>
      <c r="F36032" s="62"/>
      <c r="G36032" s="2">
        <v>54321</v>
      </c>
      <c r="H36032" s="62"/>
    </row>
    <row r="36033" spans="2:8" x14ac:dyDescent="0.25">
      <c r="B36033" s="1" t="s">
        <v>14337</v>
      </c>
      <c r="C36033" s="1" t="s">
        <v>14338</v>
      </c>
      <c r="D36033" s="22" t="str">
        <f>HYPERLINK("https://rhld.insurance.arkansas.gov/NPILookup?Npi=1912525692","1912525692")</f>
        <v>1912525692</v>
      </c>
      <c r="E36033" s="1" t="s">
        <v>15016</v>
      </c>
      <c r="F36033" s="62"/>
      <c r="G36033" s="2">
        <v>54321</v>
      </c>
      <c r="H36033" s="62"/>
    </row>
    <row r="36034" spans="2:8" x14ac:dyDescent="0.25">
      <c r="B36034" s="1" t="s">
        <v>14337</v>
      </c>
      <c r="C36034" s="1" t="s">
        <v>14338</v>
      </c>
      <c r="D36034" s="22" t="str">
        <f>HYPERLINK("https://rhld.insurance.arkansas.gov/NPILookup?Npi=1912540329","1912540329")</f>
        <v>1912540329</v>
      </c>
      <c r="E36034" s="1" t="s">
        <v>15017</v>
      </c>
      <c r="F36034" s="62"/>
      <c r="G36034" s="2">
        <v>54321</v>
      </c>
      <c r="H36034" s="62"/>
    </row>
    <row r="36035" spans="2:8" x14ac:dyDescent="0.25">
      <c r="B36035" s="1" t="s">
        <v>14337</v>
      </c>
      <c r="C36035" s="1" t="s">
        <v>14338</v>
      </c>
      <c r="D36035" s="22" t="str">
        <f>HYPERLINK("https://rhld.insurance.arkansas.gov/NPILookup?Npi=1912567850","1912567850")</f>
        <v>1912567850</v>
      </c>
      <c r="E36035" s="1" t="s">
        <v>15018</v>
      </c>
      <c r="F36035" s="62"/>
      <c r="G36035" s="2">
        <v>54321</v>
      </c>
      <c r="H36035" s="62"/>
    </row>
    <row r="36036" spans="2:8" x14ac:dyDescent="0.25">
      <c r="B36036" s="60" t="s">
        <v>14337</v>
      </c>
      <c r="C36036" s="60" t="s">
        <v>14338</v>
      </c>
      <c r="D36036" s="22" t="str">
        <f>HYPERLINK("https://rhld.insurance.arkansas.gov/NPILookup?Npi=1912912163","1912912163")</f>
        <v>1912912163</v>
      </c>
      <c r="E36036" s="60" t="s">
        <v>14343</v>
      </c>
      <c r="F36036" s="62"/>
      <c r="G36036" s="2">
        <v>54321</v>
      </c>
      <c r="H36036" s="62"/>
    </row>
    <row r="36037" spans="2:8" x14ac:dyDescent="0.25">
      <c r="B36037" s="60" t="s">
        <v>14337</v>
      </c>
      <c r="C36037" s="60" t="s">
        <v>14338</v>
      </c>
      <c r="D36037" s="22" t="str">
        <f>HYPERLINK("https://rhld.insurance.arkansas.gov/NPILookup?Npi=1922025022","1922025022")</f>
        <v>1922025022</v>
      </c>
      <c r="E36037" s="60" t="s">
        <v>15019</v>
      </c>
      <c r="F36037" s="62"/>
      <c r="G36037" s="2">
        <v>54321</v>
      </c>
      <c r="H36037" s="62"/>
    </row>
    <row r="36038" spans="2:8" x14ac:dyDescent="0.25">
      <c r="B36038" s="60" t="s">
        <v>14337</v>
      </c>
      <c r="C36038" s="60" t="s">
        <v>14338</v>
      </c>
      <c r="D36038" s="22" t="str">
        <f>HYPERLINK("https://rhld.insurance.arkansas.gov/NPILookup?Npi=1922025428","1922025428")</f>
        <v>1922025428</v>
      </c>
      <c r="E36038" s="60" t="s">
        <v>14352</v>
      </c>
      <c r="F36038" s="62"/>
      <c r="G36038" s="2">
        <v>54321</v>
      </c>
      <c r="H36038" s="62"/>
    </row>
    <row r="36039" spans="2:8" x14ac:dyDescent="0.25">
      <c r="B36039" s="60" t="s">
        <v>14337</v>
      </c>
      <c r="C36039" s="60" t="s">
        <v>14338</v>
      </c>
      <c r="D36039" s="22" t="str">
        <f>HYPERLINK("https://rhld.insurance.arkansas.gov/NPILookup?Npi=1922142025","1922142025")</f>
        <v>1922142025</v>
      </c>
      <c r="E36039" s="60" t="s">
        <v>15020</v>
      </c>
      <c r="F36039" s="62"/>
      <c r="G36039" s="2">
        <v>54321</v>
      </c>
      <c r="H36039" s="62"/>
    </row>
    <row r="36040" spans="2:8" x14ac:dyDescent="0.25">
      <c r="B36040" s="60" t="s">
        <v>14337</v>
      </c>
      <c r="C36040" s="60" t="s">
        <v>14338</v>
      </c>
      <c r="D36040" s="22" t="str">
        <f>HYPERLINK("https://rhld.insurance.arkansas.gov/NPILookup?Npi=1922349901","1922349901")</f>
        <v>1922349901</v>
      </c>
      <c r="E36040" s="60" t="s">
        <v>14352</v>
      </c>
      <c r="F36040" s="62"/>
      <c r="G36040" s="2">
        <v>54321</v>
      </c>
      <c r="H36040" s="62"/>
    </row>
    <row r="36041" spans="2:8" x14ac:dyDescent="0.25">
      <c r="B36041" s="60" t="s">
        <v>14337</v>
      </c>
      <c r="C36041" s="60" t="s">
        <v>14338</v>
      </c>
      <c r="D36041" s="22" t="str">
        <f>HYPERLINK("https://rhld.insurance.arkansas.gov/NPILookup?Npi=1922410067","1922410067")</f>
        <v>1922410067</v>
      </c>
      <c r="E36041" s="60" t="s">
        <v>15021</v>
      </c>
      <c r="F36041" s="62"/>
      <c r="G36041" s="2">
        <v>54321</v>
      </c>
      <c r="H36041" s="62"/>
    </row>
    <row r="36042" spans="2:8" x14ac:dyDescent="0.25">
      <c r="B36042" s="60" t="s">
        <v>14337</v>
      </c>
      <c r="C36042" s="60" t="s">
        <v>14338</v>
      </c>
      <c r="D36042" s="22" t="str">
        <f>HYPERLINK("https://rhld.insurance.arkansas.gov/NPILookup?Npi=1922418615","1922418615")</f>
        <v>1922418615</v>
      </c>
      <c r="E36042" s="60" t="s">
        <v>15022</v>
      </c>
      <c r="F36042" s="62"/>
      <c r="G36042" s="2">
        <v>54321</v>
      </c>
      <c r="H36042" s="62"/>
    </row>
    <row r="36043" spans="2:8" x14ac:dyDescent="0.25">
      <c r="B36043" s="60" t="s">
        <v>14337</v>
      </c>
      <c r="C36043" s="60" t="s">
        <v>14338</v>
      </c>
      <c r="D36043" s="22" t="str">
        <f>HYPERLINK("https://rhld.insurance.arkansas.gov/NPILookup?Npi=1922559343","1922559343")</f>
        <v>1922559343</v>
      </c>
      <c r="E36043" s="60" t="s">
        <v>14741</v>
      </c>
      <c r="F36043" s="62"/>
      <c r="G36043" s="2">
        <v>54321</v>
      </c>
      <c r="H36043" s="62"/>
    </row>
    <row r="36044" spans="2:8" x14ac:dyDescent="0.25">
      <c r="B36044" s="60" t="s">
        <v>14337</v>
      </c>
      <c r="C36044" s="60" t="s">
        <v>14338</v>
      </c>
      <c r="D36044" s="22" t="str">
        <f>HYPERLINK("https://rhld.insurance.arkansas.gov/NPILookup?Npi=1922620483","1922620483")</f>
        <v>1922620483</v>
      </c>
      <c r="E36044" s="60" t="s">
        <v>15023</v>
      </c>
      <c r="F36044" s="62"/>
      <c r="G36044" s="2">
        <v>54321</v>
      </c>
      <c r="H36044" s="62"/>
    </row>
    <row r="36045" spans="2:8" x14ac:dyDescent="0.25">
      <c r="B36045" s="60" t="s">
        <v>14337</v>
      </c>
      <c r="C36045" s="60" t="s">
        <v>14338</v>
      </c>
      <c r="D36045" s="22" t="str">
        <f>HYPERLINK("https://rhld.insurance.arkansas.gov/NPILookup?Npi=1922643006","1922643006")</f>
        <v>1922643006</v>
      </c>
      <c r="E36045" s="60" t="s">
        <v>15024</v>
      </c>
      <c r="F36045" s="62"/>
      <c r="G36045" s="2">
        <v>54321</v>
      </c>
      <c r="H36045" s="62"/>
    </row>
    <row r="36046" spans="2:8" x14ac:dyDescent="0.25">
      <c r="B36046" s="60" t="s">
        <v>14337</v>
      </c>
      <c r="C36046" s="60" t="s">
        <v>14338</v>
      </c>
      <c r="D36046" s="22" t="str">
        <f>HYPERLINK("https://rhld.insurance.arkansas.gov/NPILookup?Npi=1922656222","1922656222")</f>
        <v>1922656222</v>
      </c>
      <c r="E36046" s="60" t="s">
        <v>15025</v>
      </c>
      <c r="F36046" s="62"/>
      <c r="G36046" s="2">
        <v>54321</v>
      </c>
      <c r="H36046" s="62"/>
    </row>
    <row r="36047" spans="2:8" x14ac:dyDescent="0.25">
      <c r="B36047" s="60" t="s">
        <v>14337</v>
      </c>
      <c r="C36047" s="60" t="s">
        <v>14338</v>
      </c>
      <c r="D36047" s="22" t="str">
        <f>HYPERLINK("https://rhld.insurance.arkansas.gov/NPILookup?Npi=1922680677","1922680677")</f>
        <v>1922680677</v>
      </c>
      <c r="E36047" s="60" t="s">
        <v>15026</v>
      </c>
      <c r="F36047" s="62"/>
      <c r="G36047" s="2">
        <v>54321</v>
      </c>
      <c r="H36047" s="62"/>
    </row>
    <row r="36048" spans="2:8" x14ac:dyDescent="0.25">
      <c r="B36048" s="60" t="s">
        <v>14337</v>
      </c>
      <c r="C36048" s="60" t="s">
        <v>14338</v>
      </c>
      <c r="D36048" s="22" t="str">
        <f>HYPERLINK("https://rhld.insurance.arkansas.gov/NPILookup?Npi=1922737964","1922737964")</f>
        <v>1922737964</v>
      </c>
      <c r="E36048" s="60" t="s">
        <v>15027</v>
      </c>
      <c r="F36048" s="62"/>
      <c r="G36048" s="2">
        <v>54321</v>
      </c>
      <c r="H36048" s="62"/>
    </row>
    <row r="36049" spans="2:8" x14ac:dyDescent="0.25">
      <c r="B36049" s="60" t="s">
        <v>14337</v>
      </c>
      <c r="C36049" s="60" t="s">
        <v>14338</v>
      </c>
      <c r="D36049" s="22" t="str">
        <f>HYPERLINK("https://rhld.insurance.arkansas.gov/NPILookup?Npi=1932114170","1932114170")</f>
        <v>1932114170</v>
      </c>
      <c r="E36049" s="60" t="s">
        <v>14343</v>
      </c>
      <c r="F36049" s="62"/>
      <c r="G36049" s="2">
        <v>54321</v>
      </c>
      <c r="H36049" s="62"/>
    </row>
    <row r="36050" spans="2:8" x14ac:dyDescent="0.25">
      <c r="B36050" s="60" t="s">
        <v>14337</v>
      </c>
      <c r="C36050" s="60" t="s">
        <v>14338</v>
      </c>
      <c r="D36050" s="22" t="str">
        <f>HYPERLINK("https://rhld.insurance.arkansas.gov/NPILookup?Npi=1932114964","1932114964")</f>
        <v>1932114964</v>
      </c>
      <c r="E36050" s="60" t="s">
        <v>14343</v>
      </c>
      <c r="F36050" s="62"/>
      <c r="G36050" s="2">
        <v>54321</v>
      </c>
      <c r="H36050" s="62"/>
    </row>
    <row r="36051" spans="2:8" x14ac:dyDescent="0.25">
      <c r="B36051" s="60" t="s">
        <v>14337</v>
      </c>
      <c r="C36051" s="60" t="s">
        <v>14338</v>
      </c>
      <c r="D36051" s="22" t="str">
        <f>HYPERLINK("https://rhld.insurance.arkansas.gov/NPILookup?Npi=1932126117","1932126117")</f>
        <v>1932126117</v>
      </c>
      <c r="E36051" s="60" t="s">
        <v>14352</v>
      </c>
      <c r="F36051" s="62"/>
      <c r="G36051" s="2">
        <v>54321</v>
      </c>
      <c r="H36051" s="62"/>
    </row>
    <row r="36052" spans="2:8" x14ac:dyDescent="0.25">
      <c r="B36052" s="60" t="s">
        <v>14337</v>
      </c>
      <c r="C36052" s="60" t="s">
        <v>14338</v>
      </c>
      <c r="D36052" s="22" t="str">
        <f>HYPERLINK("https://rhld.insurance.arkansas.gov/NPILookup?Npi=1932128915","1932128915")</f>
        <v>1932128915</v>
      </c>
      <c r="E36052" s="60" t="s">
        <v>14352</v>
      </c>
      <c r="F36052" s="62"/>
      <c r="G36052" s="2">
        <v>54321</v>
      </c>
      <c r="H36052" s="62"/>
    </row>
    <row r="36053" spans="2:8" x14ac:dyDescent="0.25">
      <c r="B36053" s="60" t="s">
        <v>14337</v>
      </c>
      <c r="C36053" s="60" t="s">
        <v>14338</v>
      </c>
      <c r="D36053" s="22" t="str">
        <f>HYPERLINK("https://rhld.insurance.arkansas.gov/NPILookup?Npi=1932215415","1932215415")</f>
        <v>1932215415</v>
      </c>
      <c r="E36053" s="60" t="s">
        <v>15028</v>
      </c>
      <c r="F36053" s="62"/>
      <c r="G36053" s="2">
        <v>54321</v>
      </c>
      <c r="H36053" s="62"/>
    </row>
    <row r="36054" spans="2:8" x14ac:dyDescent="0.25">
      <c r="B36054" s="60" t="s">
        <v>14337</v>
      </c>
      <c r="C36054" s="60" t="s">
        <v>14338</v>
      </c>
      <c r="D36054" s="22" t="str">
        <f>HYPERLINK("https://rhld.insurance.arkansas.gov/NPILookup?Npi=1932271590","1932271590")</f>
        <v>1932271590</v>
      </c>
      <c r="E36054" s="60" t="s">
        <v>15029</v>
      </c>
      <c r="F36054" s="62"/>
      <c r="G36054" s="2">
        <v>54321</v>
      </c>
      <c r="H36054" s="62"/>
    </row>
    <row r="36055" spans="2:8" x14ac:dyDescent="0.25">
      <c r="B36055" s="60" t="s">
        <v>14337</v>
      </c>
      <c r="C36055" s="60" t="s">
        <v>14338</v>
      </c>
      <c r="D36055" s="22" t="str">
        <f>HYPERLINK("https://rhld.insurance.arkansas.gov/NPILookup?Npi=1932274362","1932274362")</f>
        <v>1932274362</v>
      </c>
      <c r="E36055" s="60" t="s">
        <v>15030</v>
      </c>
      <c r="F36055" s="62"/>
      <c r="G36055" s="2">
        <v>54321</v>
      </c>
      <c r="H36055" s="62"/>
    </row>
    <row r="36056" spans="2:8" x14ac:dyDescent="0.25">
      <c r="B36056" s="60" t="s">
        <v>14337</v>
      </c>
      <c r="C36056" s="60" t="s">
        <v>14338</v>
      </c>
      <c r="D36056" s="22" t="str">
        <f>HYPERLINK("https://rhld.insurance.arkansas.gov/NPILookup?Npi=1932338779","1932338779")</f>
        <v>1932338779</v>
      </c>
      <c r="E36056" s="60" t="s">
        <v>15031</v>
      </c>
      <c r="F36056" s="62"/>
      <c r="G36056" s="2">
        <v>54321</v>
      </c>
      <c r="H36056" s="62"/>
    </row>
    <row r="36057" spans="2:8" x14ac:dyDescent="0.25">
      <c r="B36057" s="60" t="s">
        <v>14337</v>
      </c>
      <c r="C36057" s="60" t="s">
        <v>14338</v>
      </c>
      <c r="D36057" s="22" t="str">
        <f>HYPERLINK("https://rhld.insurance.arkansas.gov/NPILookup?Npi=1932566650","1932566650")</f>
        <v>1932566650</v>
      </c>
      <c r="E36057" s="60" t="s">
        <v>15032</v>
      </c>
      <c r="F36057" s="62"/>
      <c r="G36057" s="2">
        <v>54321</v>
      </c>
      <c r="H36057" s="62"/>
    </row>
    <row r="36058" spans="2:8" x14ac:dyDescent="0.25">
      <c r="B36058" s="60" t="s">
        <v>14337</v>
      </c>
      <c r="C36058" s="60" t="s">
        <v>14338</v>
      </c>
      <c r="D36058" s="22" t="str">
        <f>HYPERLINK("https://rhld.insurance.arkansas.gov/NPILookup?Npi=1932705944","1932705944")</f>
        <v>1932705944</v>
      </c>
      <c r="E36058" s="60" t="s">
        <v>15033</v>
      </c>
      <c r="F36058" s="62"/>
      <c r="G36058" s="2">
        <v>54321</v>
      </c>
      <c r="H36058" s="62"/>
    </row>
    <row r="36059" spans="2:8" x14ac:dyDescent="0.25">
      <c r="B36059" s="60" t="s">
        <v>14337</v>
      </c>
      <c r="C36059" s="60" t="s">
        <v>14338</v>
      </c>
      <c r="D36059" s="22" t="str">
        <f>HYPERLINK("https://rhld.insurance.arkansas.gov/NPILookup?Npi=1942215371","1942215371")</f>
        <v>1942215371</v>
      </c>
      <c r="E36059" s="60" t="s">
        <v>14343</v>
      </c>
      <c r="F36059" s="62"/>
      <c r="G36059" s="2">
        <v>54321</v>
      </c>
      <c r="H36059" s="62"/>
    </row>
    <row r="36060" spans="2:8" x14ac:dyDescent="0.25">
      <c r="B36060" s="60" t="s">
        <v>14337</v>
      </c>
      <c r="C36060" s="60" t="s">
        <v>14338</v>
      </c>
      <c r="D36060" s="22" t="str">
        <f>HYPERLINK("https://rhld.insurance.arkansas.gov/NPILookup?Npi=1942234679","1942234679")</f>
        <v>1942234679</v>
      </c>
      <c r="E36060" s="60" t="s">
        <v>14344</v>
      </c>
      <c r="F36060" s="62"/>
      <c r="G36060" s="2">
        <v>54321</v>
      </c>
      <c r="H36060" s="62"/>
    </row>
    <row r="36061" spans="2:8" x14ac:dyDescent="0.25">
      <c r="B36061" s="60" t="s">
        <v>14337</v>
      </c>
      <c r="C36061" s="60" t="s">
        <v>14338</v>
      </c>
      <c r="D36061" s="22" t="str">
        <f>HYPERLINK("https://rhld.insurance.arkansas.gov/NPILookup?Npi=1942337811","1942337811")</f>
        <v>1942337811</v>
      </c>
      <c r="E36061" s="60" t="s">
        <v>15034</v>
      </c>
      <c r="F36061" s="62"/>
      <c r="G36061" s="2">
        <v>54321</v>
      </c>
      <c r="H36061" s="62"/>
    </row>
    <row r="36062" spans="2:8" x14ac:dyDescent="0.25">
      <c r="B36062" s="60" t="s">
        <v>14337</v>
      </c>
      <c r="C36062" s="60" t="s">
        <v>14338</v>
      </c>
      <c r="D36062" s="22" t="str">
        <f>HYPERLINK("https://rhld.insurance.arkansas.gov/NPILookup?Npi=1942348024","1942348024")</f>
        <v>1942348024</v>
      </c>
      <c r="E36062" s="60" t="s">
        <v>15035</v>
      </c>
      <c r="F36062" s="62"/>
      <c r="G36062" s="2">
        <v>54321</v>
      </c>
      <c r="H36062" s="62"/>
    </row>
    <row r="36063" spans="2:8" x14ac:dyDescent="0.25">
      <c r="B36063" s="60" t="s">
        <v>14337</v>
      </c>
      <c r="C36063" s="60" t="s">
        <v>14338</v>
      </c>
      <c r="D36063" s="22" t="str">
        <f>HYPERLINK("https://rhld.insurance.arkansas.gov/NPILookup?Npi=1942384748","1942384748")</f>
        <v>1942384748</v>
      </c>
      <c r="E36063" s="60" t="s">
        <v>15036</v>
      </c>
      <c r="F36063" s="62"/>
      <c r="G36063" s="2">
        <v>54321</v>
      </c>
      <c r="H36063" s="62"/>
    </row>
    <row r="36064" spans="2:8" x14ac:dyDescent="0.25">
      <c r="B36064" s="60" t="s">
        <v>14337</v>
      </c>
      <c r="C36064" s="60" t="s">
        <v>14338</v>
      </c>
      <c r="D36064" s="22" t="str">
        <f>HYPERLINK("https://rhld.insurance.arkansas.gov/NPILookup?Npi=1942453220","1942453220")</f>
        <v>1942453220</v>
      </c>
      <c r="E36064" s="60" t="s">
        <v>15037</v>
      </c>
      <c r="F36064" s="62"/>
      <c r="G36064" s="2">
        <v>54321</v>
      </c>
      <c r="H36064" s="62"/>
    </row>
    <row r="36065" spans="2:8" x14ac:dyDescent="0.25">
      <c r="B36065" s="60" t="s">
        <v>14337</v>
      </c>
      <c r="C36065" s="60" t="s">
        <v>14338</v>
      </c>
      <c r="D36065" s="22" t="str">
        <f>HYPERLINK("https://rhld.insurance.arkansas.gov/NPILookup?Npi=1942486576","1942486576")</f>
        <v>1942486576</v>
      </c>
      <c r="E36065" s="60" t="s">
        <v>14445</v>
      </c>
      <c r="F36065" s="62"/>
      <c r="G36065" s="2">
        <v>54321</v>
      </c>
      <c r="H36065" s="62"/>
    </row>
    <row r="36066" spans="2:8" x14ac:dyDescent="0.25">
      <c r="B36066" s="60" t="s">
        <v>14337</v>
      </c>
      <c r="C36066" s="60" t="s">
        <v>14338</v>
      </c>
      <c r="D36066" s="22" t="str">
        <f>HYPERLINK("https://rhld.insurance.arkansas.gov/NPILookup?Npi=1942540026","1942540026")</f>
        <v>1942540026</v>
      </c>
      <c r="E36066" s="60" t="s">
        <v>15038</v>
      </c>
      <c r="F36066" s="62"/>
      <c r="G36066" s="2">
        <v>54321</v>
      </c>
      <c r="H36066" s="62"/>
    </row>
    <row r="36067" spans="2:8" x14ac:dyDescent="0.25">
      <c r="B36067" s="60" t="s">
        <v>14337</v>
      </c>
      <c r="C36067" s="60" t="s">
        <v>14338</v>
      </c>
      <c r="D36067" s="22" t="str">
        <f>HYPERLINK("https://rhld.insurance.arkansas.gov/NPILookup?Npi=1942606306","1942606306")</f>
        <v>1942606306</v>
      </c>
      <c r="E36067" s="60" t="s">
        <v>15039</v>
      </c>
      <c r="F36067" s="62"/>
      <c r="G36067" s="2">
        <v>54321</v>
      </c>
      <c r="H36067" s="62"/>
    </row>
    <row r="36068" spans="2:8" x14ac:dyDescent="0.25">
      <c r="B36068" s="60" t="s">
        <v>14337</v>
      </c>
      <c r="C36068" s="60" t="s">
        <v>14338</v>
      </c>
      <c r="D36068" s="22" t="str">
        <f>HYPERLINK("https://rhld.insurance.arkansas.gov/NPILookup?Npi=1942611504","1942611504")</f>
        <v>1942611504</v>
      </c>
      <c r="E36068" s="60" t="s">
        <v>15040</v>
      </c>
      <c r="F36068" s="62"/>
      <c r="G36068" s="2">
        <v>54321</v>
      </c>
      <c r="H36068" s="62"/>
    </row>
    <row r="36069" spans="2:8" x14ac:dyDescent="0.25">
      <c r="B36069" s="60" t="s">
        <v>14337</v>
      </c>
      <c r="C36069" s="60" t="s">
        <v>14338</v>
      </c>
      <c r="D36069" s="22" t="str">
        <f>HYPERLINK("https://rhld.insurance.arkansas.gov/NPILookup?Npi=1942645569","1942645569")</f>
        <v>1942645569</v>
      </c>
      <c r="E36069" s="60" t="s">
        <v>15041</v>
      </c>
      <c r="F36069" s="62"/>
      <c r="G36069" s="2">
        <v>54321</v>
      </c>
      <c r="H36069" s="62"/>
    </row>
    <row r="36070" spans="2:8" x14ac:dyDescent="0.25">
      <c r="B36070" s="60" t="s">
        <v>14337</v>
      </c>
      <c r="C36070" s="60" t="s">
        <v>14338</v>
      </c>
      <c r="D36070" s="22" t="str">
        <f>HYPERLINK("https://rhld.insurance.arkansas.gov/NPILookup?Npi=1942756465","1942756465")</f>
        <v>1942756465</v>
      </c>
      <c r="E36070" s="60" t="s">
        <v>15042</v>
      </c>
      <c r="F36070" s="62"/>
      <c r="G36070" s="2">
        <v>54321</v>
      </c>
      <c r="H36070" s="62"/>
    </row>
    <row r="36071" spans="2:8" x14ac:dyDescent="0.25">
      <c r="B36071" s="60" t="s">
        <v>14337</v>
      </c>
      <c r="C36071" s="60" t="s">
        <v>14338</v>
      </c>
      <c r="D36071" s="22" t="str">
        <f>HYPERLINK("https://rhld.insurance.arkansas.gov/NPILookup?Npi=1942881578","1942881578")</f>
        <v>1942881578</v>
      </c>
      <c r="E36071" s="60" t="s">
        <v>14764</v>
      </c>
      <c r="F36071" s="62"/>
      <c r="G36071" s="2">
        <v>54321</v>
      </c>
      <c r="H36071" s="62"/>
    </row>
    <row r="36072" spans="2:8" x14ac:dyDescent="0.25">
      <c r="B36072" s="60" t="s">
        <v>14337</v>
      </c>
      <c r="C36072" s="60" t="s">
        <v>14338</v>
      </c>
      <c r="D36072" s="22" t="str">
        <f>HYPERLINK("https://rhld.insurance.arkansas.gov/NPILookup?Npi=1952071813","1952071813")</f>
        <v>1952071813</v>
      </c>
      <c r="E36072" s="60" t="s">
        <v>15043</v>
      </c>
      <c r="F36072" s="62"/>
      <c r="G36072" s="2">
        <v>54321</v>
      </c>
      <c r="H36072" s="62"/>
    </row>
    <row r="36073" spans="2:8" x14ac:dyDescent="0.25">
      <c r="B36073" s="60" t="s">
        <v>14337</v>
      </c>
      <c r="C36073" s="60" t="s">
        <v>14338</v>
      </c>
      <c r="D36073" s="22" t="str">
        <f>HYPERLINK("https://rhld.insurance.arkansas.gov/NPILookup?Npi=1952078123","1952078123")</f>
        <v>1952078123</v>
      </c>
      <c r="E36073" s="60" t="s">
        <v>15044</v>
      </c>
      <c r="F36073" s="62"/>
      <c r="G36073" s="2">
        <v>54321</v>
      </c>
      <c r="H36073" s="62"/>
    </row>
    <row r="36074" spans="2:8" x14ac:dyDescent="0.25">
      <c r="B36074" s="60" t="s">
        <v>14337</v>
      </c>
      <c r="C36074" s="60" t="s">
        <v>14338</v>
      </c>
      <c r="D36074" s="22" t="str">
        <f>HYPERLINK("https://rhld.insurance.arkansas.gov/NPILookup?Npi=1952168239","1952168239")</f>
        <v>1952168239</v>
      </c>
      <c r="E36074" s="60" t="s">
        <v>15045</v>
      </c>
      <c r="F36074" s="62"/>
      <c r="G36074" s="2">
        <v>54321</v>
      </c>
      <c r="H36074" s="62"/>
    </row>
    <row r="36075" spans="2:8" x14ac:dyDescent="0.25">
      <c r="B36075" s="60" t="s">
        <v>14337</v>
      </c>
      <c r="C36075" s="60" t="s">
        <v>14338</v>
      </c>
      <c r="D36075" s="22" t="str">
        <f>HYPERLINK("https://rhld.insurance.arkansas.gov/NPILookup?Npi=1952317331","1952317331")</f>
        <v>1952317331</v>
      </c>
      <c r="E36075" s="60" t="s">
        <v>15046</v>
      </c>
      <c r="F36075" s="62"/>
      <c r="G36075" s="2">
        <v>54321</v>
      </c>
      <c r="H36075" s="62"/>
    </row>
    <row r="36076" spans="2:8" x14ac:dyDescent="0.25">
      <c r="B36076" s="60" t="s">
        <v>14337</v>
      </c>
      <c r="C36076" s="60" t="s">
        <v>14338</v>
      </c>
      <c r="D36076" s="22" t="str">
        <f>HYPERLINK("https://rhld.insurance.arkansas.gov/NPILookup?Npi=1952328213","1952328213")</f>
        <v>1952328213</v>
      </c>
      <c r="E36076" s="60" t="s">
        <v>14355</v>
      </c>
      <c r="F36076" s="62"/>
      <c r="G36076" s="2">
        <v>54321</v>
      </c>
      <c r="H36076" s="62"/>
    </row>
    <row r="36077" spans="2:8" x14ac:dyDescent="0.25">
      <c r="B36077" s="60" t="s">
        <v>14337</v>
      </c>
      <c r="C36077" s="60" t="s">
        <v>14338</v>
      </c>
      <c r="D36077" s="22" t="str">
        <f>HYPERLINK("https://rhld.insurance.arkansas.gov/NPILookup?Npi=1952328353","1952328353")</f>
        <v>1952328353</v>
      </c>
      <c r="E36077" s="60" t="s">
        <v>15047</v>
      </c>
      <c r="F36077" s="62"/>
      <c r="G36077" s="2">
        <v>54321</v>
      </c>
      <c r="H36077" s="62"/>
    </row>
    <row r="36078" spans="2:8" x14ac:dyDescent="0.25">
      <c r="B36078" s="60" t="s">
        <v>14337</v>
      </c>
      <c r="C36078" s="60" t="s">
        <v>14338</v>
      </c>
      <c r="D36078" s="22" t="str">
        <f>HYPERLINK("https://rhld.insurance.arkansas.gov/NPILookup?Npi=1952335697","1952335697")</f>
        <v>1952335697</v>
      </c>
      <c r="E36078" s="60" t="s">
        <v>14344</v>
      </c>
      <c r="F36078" s="62"/>
      <c r="G36078" s="2">
        <v>54321</v>
      </c>
      <c r="H36078" s="62"/>
    </row>
    <row r="36079" spans="2:8" x14ac:dyDescent="0.25">
      <c r="B36079" s="60" t="s">
        <v>14337</v>
      </c>
      <c r="C36079" s="60" t="s">
        <v>14338</v>
      </c>
      <c r="D36079" s="22" t="str">
        <f>HYPERLINK("https://rhld.insurance.arkansas.gov/NPILookup?Npi=1952401275","1952401275")</f>
        <v>1952401275</v>
      </c>
      <c r="E36079" s="60" t="s">
        <v>15048</v>
      </c>
      <c r="F36079" s="62"/>
      <c r="G36079" s="2">
        <v>54321</v>
      </c>
      <c r="H36079" s="62"/>
    </row>
    <row r="36080" spans="2:8" x14ac:dyDescent="0.25">
      <c r="B36080" s="60" t="s">
        <v>14337</v>
      </c>
      <c r="C36080" s="60" t="s">
        <v>14338</v>
      </c>
      <c r="D36080" s="22" t="str">
        <f>HYPERLINK("https://rhld.insurance.arkansas.gov/NPILookup?Npi=1952473332","1952473332")</f>
        <v>1952473332</v>
      </c>
      <c r="E36080" s="60" t="s">
        <v>15049</v>
      </c>
      <c r="F36080" s="62"/>
      <c r="G36080" s="2">
        <v>54321</v>
      </c>
      <c r="H36080" s="62"/>
    </row>
    <row r="36081" spans="2:8" x14ac:dyDescent="0.25">
      <c r="B36081" s="60" t="s">
        <v>14337</v>
      </c>
      <c r="C36081" s="60" t="s">
        <v>14338</v>
      </c>
      <c r="D36081" s="22" t="str">
        <f>HYPERLINK("https://rhld.insurance.arkansas.gov/NPILookup?Npi=1952530248","1952530248")</f>
        <v>1952530248</v>
      </c>
      <c r="E36081" s="60" t="s">
        <v>15050</v>
      </c>
      <c r="F36081" s="62"/>
      <c r="G36081" s="2">
        <v>54321</v>
      </c>
      <c r="H36081" s="62"/>
    </row>
    <row r="36082" spans="2:8" x14ac:dyDescent="0.25">
      <c r="B36082" s="60" t="s">
        <v>14337</v>
      </c>
      <c r="C36082" s="60" t="s">
        <v>14338</v>
      </c>
      <c r="D36082" s="22" t="str">
        <f>HYPERLINK("https://rhld.insurance.arkansas.gov/NPILookup?Npi=1952564205","1952564205")</f>
        <v>1952564205</v>
      </c>
      <c r="E36082" s="60" t="s">
        <v>15051</v>
      </c>
      <c r="F36082" s="62" t="s">
        <v>1</v>
      </c>
      <c r="G36082" s="2">
        <v>54321</v>
      </c>
      <c r="H36082" s="62" t="s">
        <v>37378</v>
      </c>
    </row>
    <row r="36083" spans="2:8" x14ac:dyDescent="0.25">
      <c r="B36083" s="60" t="s">
        <v>14337</v>
      </c>
      <c r="C36083" s="60" t="s">
        <v>14338</v>
      </c>
      <c r="D36083" s="22" t="str">
        <f>HYPERLINK("https://rhld.insurance.arkansas.gov/NPILookup?Npi=1952647943","1952647943")</f>
        <v>1952647943</v>
      </c>
      <c r="E36083" s="60" t="s">
        <v>15052</v>
      </c>
      <c r="F36083" s="62"/>
      <c r="G36083" s="2">
        <v>54321</v>
      </c>
      <c r="H36083" s="62"/>
    </row>
    <row r="36084" spans="2:8" x14ac:dyDescent="0.25">
      <c r="B36084" s="60" t="s">
        <v>14337</v>
      </c>
      <c r="C36084" s="60" t="s">
        <v>14338</v>
      </c>
      <c r="D36084" s="22" t="str">
        <f>HYPERLINK("https://rhld.insurance.arkansas.gov/NPILookup?Npi=1962026583","1962026583")</f>
        <v>1962026583</v>
      </c>
      <c r="E36084" s="60" t="s">
        <v>15053</v>
      </c>
      <c r="F36084" s="62"/>
      <c r="G36084" s="2">
        <v>54321</v>
      </c>
      <c r="H36084" s="62"/>
    </row>
    <row r="36085" spans="2:8" x14ac:dyDescent="0.25">
      <c r="B36085" s="60" t="s">
        <v>14337</v>
      </c>
      <c r="C36085" s="60" t="s">
        <v>14338</v>
      </c>
      <c r="D36085" s="22" t="str">
        <f>HYPERLINK("https://rhld.insurance.arkansas.gov/NPILookup?Npi=1962053843","1962053843")</f>
        <v>1962053843</v>
      </c>
      <c r="E36085" s="60" t="s">
        <v>15054</v>
      </c>
      <c r="F36085" s="62"/>
      <c r="G36085" s="2">
        <v>54321</v>
      </c>
      <c r="H36085" s="62"/>
    </row>
    <row r="36086" spans="2:8" x14ac:dyDescent="0.25">
      <c r="B36086" s="60" t="s">
        <v>14337</v>
      </c>
      <c r="C36086" s="60" t="s">
        <v>14338</v>
      </c>
      <c r="D36086" s="22" t="str">
        <f>HYPERLINK("https://rhld.insurance.arkansas.gov/NPILookup?Npi=1962421974","1962421974")</f>
        <v>1962421974</v>
      </c>
      <c r="E36086" s="60" t="s">
        <v>15055</v>
      </c>
      <c r="F36086" s="62"/>
      <c r="G36086" s="2">
        <v>54321</v>
      </c>
      <c r="H36086" s="62"/>
    </row>
    <row r="36087" spans="2:8" x14ac:dyDescent="0.25">
      <c r="B36087" s="60" t="s">
        <v>14337</v>
      </c>
      <c r="C36087" s="60" t="s">
        <v>14338</v>
      </c>
      <c r="D36087" s="22" t="str">
        <f>HYPERLINK("https://rhld.insurance.arkansas.gov/NPILookup?Npi=1962429217","1962429217")</f>
        <v>1962429217</v>
      </c>
      <c r="E36087" s="60" t="s">
        <v>14355</v>
      </c>
      <c r="F36087" s="62"/>
      <c r="G36087" s="2">
        <v>54321</v>
      </c>
      <c r="H36087" s="62"/>
    </row>
    <row r="36088" spans="2:8" x14ac:dyDescent="0.25">
      <c r="B36088" s="60" t="s">
        <v>14337</v>
      </c>
      <c r="C36088" s="60" t="s">
        <v>14338</v>
      </c>
      <c r="D36088" s="22" t="str">
        <f>HYPERLINK("https://rhld.insurance.arkansas.gov/NPILookup?Npi=1962429357","1962429357")</f>
        <v>1962429357</v>
      </c>
      <c r="E36088" s="60" t="s">
        <v>14352</v>
      </c>
      <c r="F36088" s="62"/>
      <c r="G36088" s="2">
        <v>54321</v>
      </c>
      <c r="H36088" s="62"/>
    </row>
    <row r="36089" spans="2:8" x14ac:dyDescent="0.25">
      <c r="B36089" s="60" t="s">
        <v>14337</v>
      </c>
      <c r="C36089" s="60" t="s">
        <v>14338</v>
      </c>
      <c r="D36089" s="22" t="str">
        <f>HYPERLINK("https://rhld.insurance.arkansas.gov/NPILookup?Npi=1962436717","1962436717")</f>
        <v>1962436717</v>
      </c>
      <c r="E36089" s="60" t="s">
        <v>14344</v>
      </c>
      <c r="F36089" s="62"/>
      <c r="G36089" s="2">
        <v>54321</v>
      </c>
      <c r="H36089" s="62"/>
    </row>
    <row r="36090" spans="2:8" x14ac:dyDescent="0.25">
      <c r="B36090" s="60" t="s">
        <v>14337</v>
      </c>
      <c r="C36090" s="60" t="s">
        <v>14338</v>
      </c>
      <c r="D36090" s="22" t="str">
        <f>HYPERLINK("https://rhld.insurance.arkansas.gov/NPILookup?Npi=1962502286","1962502286")</f>
        <v>1962502286</v>
      </c>
      <c r="E36090" s="60" t="s">
        <v>15056</v>
      </c>
      <c r="F36090" s="62"/>
      <c r="G36090" s="2">
        <v>54321</v>
      </c>
      <c r="H36090" s="62"/>
    </row>
    <row r="36091" spans="2:8" x14ac:dyDescent="0.25">
      <c r="B36091" s="60" t="s">
        <v>14337</v>
      </c>
      <c r="C36091" s="60" t="s">
        <v>14338</v>
      </c>
      <c r="D36091" s="22" t="str">
        <f>HYPERLINK("https://rhld.insurance.arkansas.gov/NPILookup?Npi=1962553404","1962553404")</f>
        <v>1962553404</v>
      </c>
      <c r="E36091" s="60" t="s">
        <v>15057</v>
      </c>
      <c r="F36091" s="62"/>
      <c r="G36091" s="2">
        <v>54321</v>
      </c>
      <c r="H36091" s="62"/>
    </row>
    <row r="36092" spans="2:8" x14ac:dyDescent="0.25">
      <c r="B36092" s="60" t="s">
        <v>14337</v>
      </c>
      <c r="C36092" s="60" t="s">
        <v>14338</v>
      </c>
      <c r="D36092" s="22" t="str">
        <f>HYPERLINK("https://rhld.insurance.arkansas.gov/NPILookup?Npi=1962636829","1962636829")</f>
        <v>1962636829</v>
      </c>
      <c r="E36092" s="60" t="s">
        <v>14687</v>
      </c>
      <c r="F36092" s="62"/>
      <c r="G36092" s="2">
        <v>54321</v>
      </c>
      <c r="H36092" s="62"/>
    </row>
    <row r="36093" spans="2:8" x14ac:dyDescent="0.25">
      <c r="B36093" s="60" t="s">
        <v>14337</v>
      </c>
      <c r="C36093" s="60" t="s">
        <v>14338</v>
      </c>
      <c r="D36093" s="22" t="str">
        <f>HYPERLINK("https://rhld.insurance.arkansas.gov/NPILookup?Npi=1962652552","1962652552")</f>
        <v>1962652552</v>
      </c>
      <c r="E36093" s="60" t="s">
        <v>15058</v>
      </c>
      <c r="F36093" s="62"/>
      <c r="G36093" s="2">
        <v>54321</v>
      </c>
      <c r="H36093" s="62"/>
    </row>
    <row r="36094" spans="2:8" x14ac:dyDescent="0.25">
      <c r="B36094" s="60" t="s">
        <v>14337</v>
      </c>
      <c r="C36094" s="60" t="s">
        <v>14338</v>
      </c>
      <c r="D36094" s="22" t="str">
        <f>HYPERLINK("https://rhld.insurance.arkansas.gov/NPILookup?Npi=1962721464","1962721464")</f>
        <v>1962721464</v>
      </c>
      <c r="E36094" s="60" t="s">
        <v>15059</v>
      </c>
      <c r="F36094" s="62"/>
      <c r="G36094" s="2">
        <v>54321</v>
      </c>
      <c r="H36094" s="62"/>
    </row>
    <row r="36095" spans="2:8" x14ac:dyDescent="0.25">
      <c r="B36095" s="60" t="s">
        <v>14337</v>
      </c>
      <c r="C36095" s="60" t="s">
        <v>14338</v>
      </c>
      <c r="D36095" s="22" t="str">
        <f>HYPERLINK("https://rhld.insurance.arkansas.gov/NPILookup?Npi=1962746990","1962746990")</f>
        <v>1962746990</v>
      </c>
      <c r="E36095" s="60" t="s">
        <v>15060</v>
      </c>
      <c r="F36095" s="62"/>
      <c r="G36095" s="2">
        <v>54321</v>
      </c>
      <c r="H36095" s="62"/>
    </row>
    <row r="36096" spans="2:8" x14ac:dyDescent="0.25">
      <c r="B36096" s="60" t="s">
        <v>14337</v>
      </c>
      <c r="C36096" s="60" t="s">
        <v>14338</v>
      </c>
      <c r="D36096" s="22" t="str">
        <f>HYPERLINK("https://rhld.insurance.arkansas.gov/NPILookup?Npi=1962791483","1962791483")</f>
        <v>1962791483</v>
      </c>
      <c r="E36096" s="60" t="s">
        <v>15012</v>
      </c>
      <c r="F36096" s="62"/>
      <c r="G36096" s="2">
        <v>54321</v>
      </c>
      <c r="H36096" s="62"/>
    </row>
    <row r="36097" spans="2:8" x14ac:dyDescent="0.25">
      <c r="B36097" s="60" t="s">
        <v>14337</v>
      </c>
      <c r="C36097" s="60" t="s">
        <v>14338</v>
      </c>
      <c r="D36097" s="22" t="str">
        <f>HYPERLINK("https://rhld.insurance.arkansas.gov/NPILookup?Npi=1962806620","1962806620")</f>
        <v>1962806620</v>
      </c>
      <c r="E36097" s="60" t="s">
        <v>15061</v>
      </c>
      <c r="F36097" s="62"/>
      <c r="G36097" s="2">
        <v>54321</v>
      </c>
      <c r="H36097" s="62"/>
    </row>
    <row r="36098" spans="2:8" x14ac:dyDescent="0.25">
      <c r="B36098" s="60" t="s">
        <v>14337</v>
      </c>
      <c r="C36098" s="60" t="s">
        <v>14338</v>
      </c>
      <c r="D36098" s="22" t="str">
        <f>HYPERLINK("https://rhld.insurance.arkansas.gov/NPILookup?Npi=1962852954","1962852954")</f>
        <v>1962852954</v>
      </c>
      <c r="E36098" s="60" t="s">
        <v>14422</v>
      </c>
      <c r="F36098" s="62"/>
      <c r="G36098" s="2">
        <v>54321</v>
      </c>
      <c r="H36098" s="62"/>
    </row>
    <row r="36099" spans="2:8" x14ac:dyDescent="0.25">
      <c r="B36099" s="60" t="s">
        <v>14337</v>
      </c>
      <c r="C36099" s="60" t="s">
        <v>14338</v>
      </c>
      <c r="D36099" s="22" t="str">
        <f>HYPERLINK("https://rhld.insurance.arkansas.gov/NPILookup?Npi=1962960344","1962960344")</f>
        <v>1962960344</v>
      </c>
      <c r="E36099" s="60" t="s">
        <v>15062</v>
      </c>
      <c r="F36099" s="62"/>
      <c r="G36099" s="2">
        <v>54321</v>
      </c>
      <c r="H36099" s="62"/>
    </row>
    <row r="36100" spans="2:8" x14ac:dyDescent="0.25">
      <c r="B36100" s="60" t="s">
        <v>14337</v>
      </c>
      <c r="C36100" s="60" t="s">
        <v>14338</v>
      </c>
      <c r="D36100" s="22" t="str">
        <f>HYPERLINK("https://rhld.insurance.arkansas.gov/NPILookup?Npi=1972202067","1972202067")</f>
        <v>1972202067</v>
      </c>
      <c r="E36100" s="60" t="s">
        <v>15063</v>
      </c>
      <c r="F36100" s="62"/>
      <c r="G36100" s="2">
        <v>54321</v>
      </c>
      <c r="H36100" s="62"/>
    </row>
    <row r="36101" spans="2:8" x14ac:dyDescent="0.25">
      <c r="B36101" s="60" t="s">
        <v>14337</v>
      </c>
      <c r="C36101" s="60" t="s">
        <v>14338</v>
      </c>
      <c r="D36101" s="22" t="str">
        <f>HYPERLINK("https://rhld.insurance.arkansas.gov/NPILookup?Npi=1972518231","1972518231")</f>
        <v>1972518231</v>
      </c>
      <c r="E36101" s="60" t="s">
        <v>15064</v>
      </c>
      <c r="F36101" s="62"/>
      <c r="G36101" s="2">
        <v>54321</v>
      </c>
      <c r="H36101" s="62"/>
    </row>
    <row r="36102" spans="2:8" x14ac:dyDescent="0.25">
      <c r="B36102" s="60" t="s">
        <v>14337</v>
      </c>
      <c r="C36102" s="60" t="s">
        <v>14338</v>
      </c>
      <c r="D36102" s="22" t="str">
        <f>HYPERLINK("https://rhld.insurance.arkansas.gov/NPILookup?Npi=1972518249","1972518249")</f>
        <v>1972518249</v>
      </c>
      <c r="E36102" s="60" t="s">
        <v>15065</v>
      </c>
      <c r="F36102" s="62"/>
      <c r="G36102" s="2">
        <v>54321</v>
      </c>
      <c r="H36102" s="62"/>
    </row>
    <row r="36103" spans="2:8" x14ac:dyDescent="0.25">
      <c r="B36103" s="60" t="s">
        <v>14337</v>
      </c>
      <c r="C36103" s="60" t="s">
        <v>14338</v>
      </c>
      <c r="D36103" s="22" t="str">
        <f>HYPERLINK("https://rhld.insurance.arkansas.gov/NPILookup?Npi=1972519445","1972519445")</f>
        <v>1972519445</v>
      </c>
      <c r="E36103" s="60" t="s">
        <v>14343</v>
      </c>
      <c r="F36103" s="62"/>
      <c r="G36103" s="2">
        <v>54321</v>
      </c>
      <c r="H36103" s="62"/>
    </row>
    <row r="36104" spans="2:8" x14ac:dyDescent="0.25">
      <c r="B36104" s="60" t="s">
        <v>14337</v>
      </c>
      <c r="C36104" s="60" t="s">
        <v>14338</v>
      </c>
      <c r="D36104" s="22" t="str">
        <f>HYPERLINK("https://rhld.insurance.arkansas.gov/NPILookup?Npi=1972520294","1972520294")</f>
        <v>1972520294</v>
      </c>
      <c r="E36104" s="60" t="s">
        <v>14355</v>
      </c>
      <c r="F36104" s="62"/>
      <c r="G36104" s="2">
        <v>54321</v>
      </c>
      <c r="H36104" s="62"/>
    </row>
    <row r="36105" spans="2:8" x14ac:dyDescent="0.25">
      <c r="B36105" s="60" t="s">
        <v>14337</v>
      </c>
      <c r="C36105" s="60" t="s">
        <v>14338</v>
      </c>
      <c r="D36105" s="22" t="str">
        <f>HYPERLINK("https://rhld.insurance.arkansas.gov/NPILookup?Npi=1972520351","1972520351")</f>
        <v>1972520351</v>
      </c>
      <c r="E36105" s="60" t="s">
        <v>14352</v>
      </c>
      <c r="F36105" s="62"/>
      <c r="G36105" s="2">
        <v>54321</v>
      </c>
      <c r="H36105" s="62"/>
    </row>
    <row r="36106" spans="2:8" x14ac:dyDescent="0.25">
      <c r="B36106" s="60" t="s">
        <v>14337</v>
      </c>
      <c r="C36106" s="60" t="s">
        <v>14338</v>
      </c>
      <c r="D36106" s="22" t="str">
        <f>HYPERLINK("https://rhld.insurance.arkansas.gov/NPILookup?Npi=1972520369","1972520369")</f>
        <v>1972520369</v>
      </c>
      <c r="E36106" s="60" t="s">
        <v>14352</v>
      </c>
      <c r="F36106" s="62"/>
      <c r="G36106" s="2">
        <v>54321</v>
      </c>
      <c r="H36106" s="62"/>
    </row>
    <row r="36107" spans="2:8" x14ac:dyDescent="0.25">
      <c r="B36107" s="60" t="s">
        <v>14337</v>
      </c>
      <c r="C36107" s="60" t="s">
        <v>14338</v>
      </c>
      <c r="D36107" s="22" t="str">
        <f>HYPERLINK("https://rhld.insurance.arkansas.gov/NPILookup?Npi=1972520377","1972520377")</f>
        <v>1972520377</v>
      </c>
      <c r="E36107" s="60" t="s">
        <v>14352</v>
      </c>
      <c r="F36107" s="62"/>
      <c r="G36107" s="2">
        <v>54321</v>
      </c>
      <c r="H36107" s="62"/>
    </row>
    <row r="36108" spans="2:8" x14ac:dyDescent="0.25">
      <c r="B36108" s="60" t="s">
        <v>14337</v>
      </c>
      <c r="C36108" s="60" t="s">
        <v>14338</v>
      </c>
      <c r="D36108" s="22" t="str">
        <f>HYPERLINK("https://rhld.insurance.arkansas.gov/NPILookup?Npi=1972537710","1972537710")</f>
        <v>1972537710</v>
      </c>
      <c r="E36108" s="60" t="s">
        <v>14344</v>
      </c>
      <c r="F36108" s="62"/>
      <c r="G36108" s="2">
        <v>54321</v>
      </c>
      <c r="H36108" s="62"/>
    </row>
    <row r="36109" spans="2:8" x14ac:dyDescent="0.25">
      <c r="B36109" s="60" t="s">
        <v>14337</v>
      </c>
      <c r="C36109" s="60" t="s">
        <v>14338</v>
      </c>
      <c r="D36109" s="22" t="str">
        <f>HYPERLINK("https://rhld.insurance.arkansas.gov/NPILookup?Npi=1972544393","1972544393")</f>
        <v>1972544393</v>
      </c>
      <c r="E36109" s="60" t="s">
        <v>15066</v>
      </c>
      <c r="F36109" s="62"/>
      <c r="G36109" s="2">
        <v>54321</v>
      </c>
      <c r="H36109" s="62"/>
    </row>
    <row r="36110" spans="2:8" x14ac:dyDescent="0.25">
      <c r="B36110" s="60" t="s">
        <v>14337</v>
      </c>
      <c r="C36110" s="60" t="s">
        <v>14338</v>
      </c>
      <c r="D36110" s="22" t="str">
        <f>HYPERLINK("https://rhld.insurance.arkansas.gov/NPILookup?Npi=1972616126","1972616126")</f>
        <v>1972616126</v>
      </c>
      <c r="E36110" s="60" t="s">
        <v>15067</v>
      </c>
      <c r="F36110" s="62"/>
      <c r="G36110" s="2">
        <v>54321</v>
      </c>
      <c r="H36110" s="62"/>
    </row>
    <row r="36111" spans="2:8" x14ac:dyDescent="0.25">
      <c r="B36111" s="60" t="s">
        <v>14337</v>
      </c>
      <c r="C36111" s="60" t="s">
        <v>14338</v>
      </c>
      <c r="D36111" s="22" t="str">
        <f>HYPERLINK("https://rhld.insurance.arkansas.gov/NPILookup?Npi=1972693950","1972693950")</f>
        <v>1972693950</v>
      </c>
      <c r="E36111" s="60" t="s">
        <v>15068</v>
      </c>
      <c r="F36111" s="62"/>
      <c r="G36111" s="2">
        <v>54321</v>
      </c>
      <c r="H36111" s="62"/>
    </row>
    <row r="36112" spans="2:8" x14ac:dyDescent="0.25">
      <c r="B36112" s="60" t="s">
        <v>14337</v>
      </c>
      <c r="C36112" s="60" t="s">
        <v>14338</v>
      </c>
      <c r="D36112" s="22" t="str">
        <f>HYPERLINK("https://rhld.insurance.arkansas.gov/NPILookup?Npi=1972895670","1972895670")</f>
        <v>1972895670</v>
      </c>
      <c r="E36112" s="60" t="s">
        <v>15069</v>
      </c>
      <c r="F36112" s="62"/>
      <c r="G36112" s="2">
        <v>54321</v>
      </c>
      <c r="H36112" s="62"/>
    </row>
    <row r="36113" spans="2:8" x14ac:dyDescent="0.25">
      <c r="B36113" s="60" t="s">
        <v>14337</v>
      </c>
      <c r="C36113" s="60" t="s">
        <v>14338</v>
      </c>
      <c r="D36113" s="22" t="str">
        <f>HYPERLINK("https://rhld.insurance.arkansas.gov/NPILookup?Npi=1972904811","1972904811")</f>
        <v>1972904811</v>
      </c>
      <c r="E36113" s="60" t="s">
        <v>15070</v>
      </c>
      <c r="F36113" s="62"/>
      <c r="G36113" s="2">
        <v>54321</v>
      </c>
      <c r="H36113" s="62"/>
    </row>
    <row r="36114" spans="2:8" x14ac:dyDescent="0.25">
      <c r="B36114" s="60" t="s">
        <v>14337</v>
      </c>
      <c r="C36114" s="60" t="s">
        <v>14338</v>
      </c>
      <c r="D36114" s="22" t="str">
        <f>HYPERLINK("https://rhld.insurance.arkansas.gov/NPILookup?Npi=1972907582","1972907582")</f>
        <v>1972907582</v>
      </c>
      <c r="E36114" s="60" t="s">
        <v>15071</v>
      </c>
      <c r="F36114" s="62"/>
      <c r="G36114" s="2">
        <v>54321</v>
      </c>
      <c r="H36114" s="62"/>
    </row>
    <row r="36115" spans="2:8" x14ac:dyDescent="0.25">
      <c r="B36115" s="60" t="s">
        <v>14337</v>
      </c>
      <c r="C36115" s="60" t="s">
        <v>14338</v>
      </c>
      <c r="D36115" s="22" t="str">
        <f>HYPERLINK("https://rhld.insurance.arkansas.gov/NPILookup?Npi=1972972529","1972972529")</f>
        <v>1972972529</v>
      </c>
      <c r="E36115" s="60" t="s">
        <v>15072</v>
      </c>
      <c r="F36115" s="62"/>
      <c r="G36115" s="2">
        <v>54321</v>
      </c>
      <c r="H36115" s="62"/>
    </row>
    <row r="36116" spans="2:8" x14ac:dyDescent="0.25">
      <c r="B36116" s="60" t="s">
        <v>14337</v>
      </c>
      <c r="C36116" s="60" t="s">
        <v>14338</v>
      </c>
      <c r="D36116" s="22" t="str">
        <f>HYPERLINK("https://rhld.insurance.arkansas.gov/NPILookup?Npi=1982078887","1982078887")</f>
        <v>1982078887</v>
      </c>
      <c r="E36116" s="60" t="s">
        <v>15073</v>
      </c>
      <c r="F36116" s="62"/>
      <c r="G36116" s="2">
        <v>54321</v>
      </c>
      <c r="H36116" s="62"/>
    </row>
    <row r="36117" spans="2:8" x14ac:dyDescent="0.25">
      <c r="B36117" s="60" t="s">
        <v>14337</v>
      </c>
      <c r="C36117" s="60" t="s">
        <v>14338</v>
      </c>
      <c r="D36117" s="22" t="str">
        <f>HYPERLINK("https://rhld.insurance.arkansas.gov/NPILookup?Npi=1982194106","1982194106")</f>
        <v>1982194106</v>
      </c>
      <c r="E36117" s="60" t="s">
        <v>15074</v>
      </c>
      <c r="F36117" s="62"/>
      <c r="G36117" s="2">
        <v>54321</v>
      </c>
      <c r="H36117" s="62"/>
    </row>
    <row r="36118" spans="2:8" x14ac:dyDescent="0.25">
      <c r="B36118" s="60" t="s">
        <v>14337</v>
      </c>
      <c r="C36118" s="60" t="s">
        <v>14338</v>
      </c>
      <c r="D36118" s="22" t="str">
        <f>HYPERLINK("https://rhld.insurance.arkansas.gov/NPILookup?Npi=1982198388","1982198388")</f>
        <v>1982198388</v>
      </c>
      <c r="E36118" s="60" t="s">
        <v>14977</v>
      </c>
      <c r="F36118" s="62"/>
      <c r="G36118" s="2">
        <v>54321</v>
      </c>
      <c r="H36118" s="62"/>
    </row>
    <row r="36119" spans="2:8" x14ac:dyDescent="0.25">
      <c r="B36119" s="60" t="s">
        <v>14337</v>
      </c>
      <c r="C36119" s="60" t="s">
        <v>14338</v>
      </c>
      <c r="D36119" s="22" t="str">
        <f>HYPERLINK("https://rhld.insurance.arkansas.gov/NPILookup?Npi=1982214151","1982214151")</f>
        <v>1982214151</v>
      </c>
      <c r="E36119" s="60" t="s">
        <v>15075</v>
      </c>
      <c r="F36119" s="62"/>
      <c r="G36119" s="2">
        <v>54321</v>
      </c>
      <c r="H36119" s="62"/>
    </row>
    <row r="36120" spans="2:8" x14ac:dyDescent="0.25">
      <c r="B36120" s="60" t="s">
        <v>14337</v>
      </c>
      <c r="C36120" s="60" t="s">
        <v>14338</v>
      </c>
      <c r="D36120" s="22" t="str">
        <f>HYPERLINK("https://rhld.insurance.arkansas.gov/NPILookup?Npi=1982254082","1982254082")</f>
        <v>1982254082</v>
      </c>
      <c r="E36120" s="60" t="s">
        <v>15076</v>
      </c>
      <c r="F36120" s="62"/>
      <c r="G36120" s="2">
        <v>54321</v>
      </c>
      <c r="H36120" s="62"/>
    </row>
    <row r="36121" spans="2:8" x14ac:dyDescent="0.25">
      <c r="B36121" s="60" t="s">
        <v>14337</v>
      </c>
      <c r="C36121" s="60" t="s">
        <v>14338</v>
      </c>
      <c r="D36121" s="22" t="str">
        <f>HYPERLINK("https://rhld.insurance.arkansas.gov/NPILookup?Npi=1982621256","1982621256")</f>
        <v>1982621256</v>
      </c>
      <c r="E36121" s="60" t="s">
        <v>14355</v>
      </c>
      <c r="F36121" s="62"/>
      <c r="G36121" s="2">
        <v>54321</v>
      </c>
      <c r="H36121" s="62"/>
    </row>
    <row r="36122" spans="2:8" x14ac:dyDescent="0.25">
      <c r="B36122" s="60" t="s">
        <v>14337</v>
      </c>
      <c r="C36122" s="60" t="s">
        <v>14338</v>
      </c>
      <c r="D36122" s="22" t="str">
        <f>HYPERLINK("https://rhld.insurance.arkansas.gov/NPILookup?Npi=1982621363","1982621363")</f>
        <v>1982621363</v>
      </c>
      <c r="E36122" s="60" t="s">
        <v>14352</v>
      </c>
      <c r="F36122" s="62"/>
      <c r="G36122" s="2">
        <v>54321</v>
      </c>
      <c r="H36122" s="62"/>
    </row>
    <row r="36123" spans="2:8" x14ac:dyDescent="0.25">
      <c r="B36123" s="60" t="s">
        <v>14337</v>
      </c>
      <c r="C36123" s="60" t="s">
        <v>14338</v>
      </c>
      <c r="D36123" s="22" t="str">
        <f>HYPERLINK("https://rhld.insurance.arkansas.gov/NPILookup?Npi=1982621371","1982621371")</f>
        <v>1982621371</v>
      </c>
      <c r="E36123" s="60" t="s">
        <v>14352</v>
      </c>
      <c r="F36123" s="62"/>
      <c r="G36123" s="2">
        <v>54321</v>
      </c>
      <c r="H36123" s="62"/>
    </row>
    <row r="36124" spans="2:8" x14ac:dyDescent="0.25">
      <c r="B36124" s="60" t="s">
        <v>14337</v>
      </c>
      <c r="C36124" s="60" t="s">
        <v>14338</v>
      </c>
      <c r="D36124" s="22" t="str">
        <f>HYPERLINK("https://rhld.insurance.arkansas.gov/NPILookup?Npi=1982698981","1982698981")</f>
        <v>1982698981</v>
      </c>
      <c r="E36124" s="60" t="s">
        <v>15077</v>
      </c>
      <c r="F36124" s="62"/>
      <c r="G36124" s="2">
        <v>54321</v>
      </c>
      <c r="H36124" s="62"/>
    </row>
    <row r="36125" spans="2:8" x14ac:dyDescent="0.25">
      <c r="B36125" s="60" t="s">
        <v>14337</v>
      </c>
      <c r="C36125" s="60" t="s">
        <v>14338</v>
      </c>
      <c r="D36125" s="22" t="str">
        <f>HYPERLINK("https://rhld.insurance.arkansas.gov/NPILookup?Npi=1982719902","1982719902")</f>
        <v>1982719902</v>
      </c>
      <c r="E36125" s="60" t="s">
        <v>14835</v>
      </c>
      <c r="F36125" s="62"/>
      <c r="G36125" s="2">
        <v>54321</v>
      </c>
      <c r="H36125" s="62"/>
    </row>
    <row r="36126" spans="2:8" x14ac:dyDescent="0.25">
      <c r="B36126" s="60" t="s">
        <v>14337</v>
      </c>
      <c r="C36126" s="60" t="s">
        <v>14338</v>
      </c>
      <c r="D36126" s="22" t="str">
        <f>HYPERLINK("https://rhld.insurance.arkansas.gov/NPILookup?Npi=1982787396","1982787396")</f>
        <v>1982787396</v>
      </c>
      <c r="E36126" s="60" t="s">
        <v>14343</v>
      </c>
      <c r="F36126" s="62"/>
      <c r="G36126" s="2">
        <v>54321</v>
      </c>
      <c r="H36126" s="62"/>
    </row>
    <row r="36127" spans="2:8" x14ac:dyDescent="0.25">
      <c r="B36127" s="60" t="s">
        <v>14337</v>
      </c>
      <c r="C36127" s="60" t="s">
        <v>14338</v>
      </c>
      <c r="D36127" s="22" t="str">
        <f>HYPERLINK("https://rhld.insurance.arkansas.gov/NPILookup?Npi=1982855763","1982855763")</f>
        <v>1982855763</v>
      </c>
      <c r="E36127" s="60" t="s">
        <v>15078</v>
      </c>
      <c r="F36127" s="62"/>
      <c r="G36127" s="2">
        <v>54321</v>
      </c>
      <c r="H36127" s="62"/>
    </row>
    <row r="36128" spans="2:8" x14ac:dyDescent="0.25">
      <c r="B36128" s="60" t="s">
        <v>14337</v>
      </c>
      <c r="C36128" s="60" t="s">
        <v>14338</v>
      </c>
      <c r="D36128" s="22" t="str">
        <f>HYPERLINK("https://rhld.insurance.arkansas.gov/NPILookup?Npi=1982958484","1982958484")</f>
        <v>1982958484</v>
      </c>
      <c r="E36128" s="60" t="s">
        <v>15079</v>
      </c>
      <c r="F36128" s="62"/>
      <c r="G36128" s="2">
        <v>54321</v>
      </c>
      <c r="H36128" s="62"/>
    </row>
    <row r="36129" spans="2:8" x14ac:dyDescent="0.25">
      <c r="B36129" s="60" t="s">
        <v>14337</v>
      </c>
      <c r="C36129" s="60" t="s">
        <v>14338</v>
      </c>
      <c r="D36129" s="22" t="str">
        <f>HYPERLINK("https://rhld.insurance.arkansas.gov/NPILookup?Npi=1992122808","1992122808")</f>
        <v>1992122808</v>
      </c>
      <c r="E36129" s="60" t="s">
        <v>15080</v>
      </c>
      <c r="F36129" s="62"/>
      <c r="G36129" s="2">
        <v>54321</v>
      </c>
      <c r="H36129" s="62"/>
    </row>
    <row r="36130" spans="2:8" x14ac:dyDescent="0.25">
      <c r="B36130" s="60" t="s">
        <v>14337</v>
      </c>
      <c r="C36130" s="60" t="s">
        <v>14338</v>
      </c>
      <c r="D36130" s="22" t="str">
        <f>HYPERLINK("https://rhld.insurance.arkansas.gov/NPILookup?Npi=1992134381","1992134381")</f>
        <v>1992134381</v>
      </c>
      <c r="E36130" s="60" t="s">
        <v>15081</v>
      </c>
      <c r="F36130" s="62"/>
      <c r="G36130" s="2">
        <v>54321</v>
      </c>
      <c r="H36130" s="62"/>
    </row>
    <row r="36131" spans="2:8" x14ac:dyDescent="0.25">
      <c r="B36131" s="60" t="s">
        <v>14337</v>
      </c>
      <c r="C36131" s="60" t="s">
        <v>14338</v>
      </c>
      <c r="D36131" s="22" t="str">
        <f>HYPERLINK("https://rhld.insurance.arkansas.gov/NPILookup?Npi=1992221287","1992221287")</f>
        <v>1992221287</v>
      </c>
      <c r="E36131" s="60" t="s">
        <v>14486</v>
      </c>
      <c r="F36131" s="62"/>
      <c r="G36131" s="2">
        <v>54321</v>
      </c>
      <c r="H36131" s="62"/>
    </row>
    <row r="36132" spans="2:8" x14ac:dyDescent="0.25">
      <c r="B36132" s="60" t="s">
        <v>14337</v>
      </c>
      <c r="C36132" s="60" t="s">
        <v>14338</v>
      </c>
      <c r="D36132" s="22" t="str">
        <f>HYPERLINK("https://rhld.insurance.arkansas.gov/NPILookup?Npi=1992248702","1992248702")</f>
        <v>1992248702</v>
      </c>
      <c r="E36132" s="60" t="s">
        <v>14977</v>
      </c>
      <c r="F36132" s="62" t="s">
        <v>1</v>
      </c>
      <c r="G36132" s="2">
        <v>54321</v>
      </c>
      <c r="H36132" s="62" t="s">
        <v>37386</v>
      </c>
    </row>
    <row r="36133" spans="2:8" x14ac:dyDescent="0.25">
      <c r="B36133" s="60" t="s">
        <v>14337</v>
      </c>
      <c r="C36133" s="60" t="s">
        <v>14338</v>
      </c>
      <c r="D36133" s="22" t="str">
        <f>HYPERLINK("https://rhld.insurance.arkansas.gov/NPILookup?Npi=1992703243","1992703243")</f>
        <v>1992703243</v>
      </c>
      <c r="E36133" s="60" t="s">
        <v>15082</v>
      </c>
      <c r="F36133" s="62"/>
      <c r="G36133" s="2">
        <v>54321</v>
      </c>
      <c r="H36133" s="62"/>
    </row>
    <row r="36134" spans="2:8" x14ac:dyDescent="0.25">
      <c r="B36134" s="60" t="s">
        <v>14337</v>
      </c>
      <c r="C36134" s="60" t="s">
        <v>14338</v>
      </c>
      <c r="D36134" s="22" t="str">
        <f>HYPERLINK("https://rhld.insurance.arkansas.gov/NPILookup?Npi=1992875074","1992875074")</f>
        <v>1992875074</v>
      </c>
      <c r="E36134" s="60" t="s">
        <v>14491</v>
      </c>
      <c r="F36134" s="62"/>
      <c r="G36134" s="2">
        <v>54321</v>
      </c>
      <c r="H36134" s="62"/>
    </row>
    <row r="36135" spans="2:8" x14ac:dyDescent="0.25">
      <c r="B36135" s="60" t="s">
        <v>14337</v>
      </c>
      <c r="C36135" s="60" t="s">
        <v>14338</v>
      </c>
      <c r="D36135" s="22" t="str">
        <f>HYPERLINK("https://rhld.insurance.arkansas.gov/NPILookup?Npi=1992981336","1992981336")</f>
        <v>1992981336</v>
      </c>
      <c r="E36135" s="60" t="s">
        <v>14352</v>
      </c>
      <c r="F36135" s="62"/>
      <c r="G36135" s="2">
        <v>54321</v>
      </c>
      <c r="H36135" s="6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9637-6708-43C4-AB82-35DC37FF75E1}">
  <sheetPr>
    <tabColor theme="9" tint="0.39997558519241921"/>
  </sheetPr>
  <dimension ref="A1:G255"/>
  <sheetViews>
    <sheetView zoomScale="85" zoomScaleNormal="85" workbookViewId="0">
      <pane ySplit="6" topLeftCell="A7" activePane="bottomLeft" state="frozen"/>
      <selection pane="bottomLeft" activeCell="A225" sqref="A225"/>
    </sheetView>
  </sheetViews>
  <sheetFormatPr defaultRowHeight="15" x14ac:dyDescent="0.25"/>
  <cols>
    <col min="1" max="1" width="13.85546875" style="32" customWidth="1"/>
    <col min="2" max="2" width="11.42578125" customWidth="1"/>
    <col min="3" max="3" width="56.5703125" customWidth="1"/>
    <col min="4" max="4" width="10.7109375" style="33" customWidth="1"/>
    <col min="5" max="5" width="57.140625" customWidth="1"/>
    <col min="6" max="6" width="14.28515625" style="32" customWidth="1"/>
    <col min="7" max="7" width="71.28515625" customWidth="1"/>
  </cols>
  <sheetData>
    <row r="1" spans="1:7" ht="17.25" customHeight="1" x14ac:dyDescent="0.25">
      <c r="A1" s="73" t="s">
        <v>31283</v>
      </c>
      <c r="B1" s="74"/>
      <c r="C1" s="74"/>
      <c r="D1" s="74"/>
      <c r="E1" s="74"/>
      <c r="F1" s="74"/>
      <c r="G1" s="75"/>
    </row>
    <row r="2" spans="1:7" ht="17.25" customHeight="1" x14ac:dyDescent="0.25">
      <c r="A2" s="76" t="s">
        <v>31284</v>
      </c>
      <c r="B2" s="76"/>
      <c r="C2" s="76"/>
      <c r="D2" s="24">
        <v>0</v>
      </c>
      <c r="E2" s="42" t="s">
        <v>31285</v>
      </c>
      <c r="F2" s="23" t="s">
        <v>31286</v>
      </c>
      <c r="G2" s="43" t="s">
        <v>31287</v>
      </c>
    </row>
    <row r="3" spans="1:7" ht="17.25" customHeight="1" x14ac:dyDescent="0.25">
      <c r="A3" s="77" t="s">
        <v>31288</v>
      </c>
      <c r="B3" s="77"/>
      <c r="C3" s="77"/>
      <c r="D3" s="44">
        <v>0</v>
      </c>
      <c r="E3" s="45" t="s">
        <v>31289</v>
      </c>
      <c r="F3" s="46" t="s">
        <v>31290</v>
      </c>
      <c r="G3" s="45" t="s">
        <v>31291</v>
      </c>
    </row>
    <row r="4" spans="1:7" ht="17.25" customHeight="1" x14ac:dyDescent="0.25">
      <c r="A4" s="77" t="s">
        <v>31292</v>
      </c>
      <c r="B4" s="77"/>
      <c r="C4" s="77"/>
      <c r="D4" s="47">
        <v>0</v>
      </c>
      <c r="E4" s="48" t="s">
        <v>31293</v>
      </c>
      <c r="F4" s="49" t="s">
        <v>31294</v>
      </c>
      <c r="G4" s="48" t="s">
        <v>31295</v>
      </c>
    </row>
    <row r="5" spans="1:7" ht="12.75" customHeight="1" x14ac:dyDescent="0.25">
      <c r="A5" s="50"/>
      <c r="B5" s="50"/>
      <c r="C5" s="50"/>
      <c r="D5" s="51"/>
      <c r="E5" s="52"/>
      <c r="F5" s="53"/>
      <c r="G5" s="52"/>
    </row>
    <row r="6" spans="1:7" x14ac:dyDescent="0.25">
      <c r="A6" s="54" t="s">
        <v>9620</v>
      </c>
      <c r="B6" s="54" t="s">
        <v>9154</v>
      </c>
      <c r="C6" s="54" t="s">
        <v>9621</v>
      </c>
      <c r="D6" s="54" t="s">
        <v>9155</v>
      </c>
      <c r="E6" s="54" t="s">
        <v>9156</v>
      </c>
      <c r="F6" s="54" t="s">
        <v>9157</v>
      </c>
      <c r="G6" s="54" t="s">
        <v>9158</v>
      </c>
    </row>
    <row r="7" spans="1:7" x14ac:dyDescent="0.25">
      <c r="A7" s="23" t="s">
        <v>9170</v>
      </c>
      <c r="B7" s="20" t="s">
        <v>9169</v>
      </c>
      <c r="C7" s="20" t="s">
        <v>8886</v>
      </c>
      <c r="D7" s="24">
        <v>40</v>
      </c>
      <c r="E7" s="25" t="s">
        <v>9171</v>
      </c>
      <c r="F7" s="23" t="s">
        <v>9172</v>
      </c>
      <c r="G7" s="20" t="s">
        <v>9173</v>
      </c>
    </row>
    <row r="8" spans="1:7" x14ac:dyDescent="0.25">
      <c r="A8" s="23" t="s">
        <v>9174</v>
      </c>
      <c r="B8" s="20" t="s">
        <v>9169</v>
      </c>
      <c r="C8" s="20" t="s">
        <v>8902</v>
      </c>
      <c r="D8" s="24">
        <v>42</v>
      </c>
      <c r="E8" s="20" t="s">
        <v>8902</v>
      </c>
      <c r="F8" s="23" t="s">
        <v>9172</v>
      </c>
      <c r="G8" s="20" t="s">
        <v>9173</v>
      </c>
    </row>
    <row r="9" spans="1:7" x14ac:dyDescent="0.25">
      <c r="A9" s="26" t="s">
        <v>9175</v>
      </c>
      <c r="B9" s="20" t="s">
        <v>9169</v>
      </c>
      <c r="C9" s="20" t="s">
        <v>8906</v>
      </c>
      <c r="D9" s="27">
        <v>41</v>
      </c>
      <c r="E9" s="25" t="s">
        <v>8906</v>
      </c>
      <c r="F9" s="26" t="s">
        <v>9172</v>
      </c>
      <c r="G9" s="20" t="s">
        <v>9173</v>
      </c>
    </row>
    <row r="10" spans="1:7" x14ac:dyDescent="0.25">
      <c r="A10" s="26" t="s">
        <v>9176</v>
      </c>
      <c r="B10" s="25" t="s">
        <v>9169</v>
      </c>
      <c r="C10" s="25" t="s">
        <v>8908</v>
      </c>
      <c r="D10" s="27">
        <v>43</v>
      </c>
      <c r="E10" s="25" t="s">
        <v>9177</v>
      </c>
      <c r="F10" s="26" t="s">
        <v>9172</v>
      </c>
      <c r="G10" s="20" t="s">
        <v>9173</v>
      </c>
    </row>
    <row r="11" spans="1:7" x14ac:dyDescent="0.25">
      <c r="A11" s="23" t="s">
        <v>9178</v>
      </c>
      <c r="B11" s="20" t="s">
        <v>9169</v>
      </c>
      <c r="C11" s="20" t="s">
        <v>8917</v>
      </c>
      <c r="D11" s="24">
        <v>47</v>
      </c>
      <c r="E11" s="20" t="s">
        <v>9179</v>
      </c>
      <c r="F11" s="23" t="s">
        <v>9180</v>
      </c>
      <c r="G11" s="20" t="s">
        <v>9181</v>
      </c>
    </row>
    <row r="12" spans="1:7" x14ac:dyDescent="0.25">
      <c r="A12" s="23" t="s">
        <v>9178</v>
      </c>
      <c r="B12" s="20" t="s">
        <v>9169</v>
      </c>
      <c r="C12" s="20" t="s">
        <v>8917</v>
      </c>
      <c r="D12" s="24">
        <v>47</v>
      </c>
      <c r="E12" s="20" t="s">
        <v>9179</v>
      </c>
      <c r="F12" s="23" t="s">
        <v>9182</v>
      </c>
      <c r="G12" s="20" t="s">
        <v>9183</v>
      </c>
    </row>
    <row r="13" spans="1:7" x14ac:dyDescent="0.25">
      <c r="A13" s="23" t="s">
        <v>9184</v>
      </c>
      <c r="B13" s="20" t="s">
        <v>9169</v>
      </c>
      <c r="C13" s="20" t="s">
        <v>8963</v>
      </c>
      <c r="D13" s="24">
        <v>52</v>
      </c>
      <c r="E13" s="20" t="s">
        <v>9185</v>
      </c>
      <c r="F13" s="23" t="s">
        <v>30</v>
      </c>
      <c r="G13" s="20" t="s">
        <v>9186</v>
      </c>
    </row>
    <row r="14" spans="1:7" x14ac:dyDescent="0.25">
      <c r="A14" s="26" t="s">
        <v>9184</v>
      </c>
      <c r="B14" s="25" t="s">
        <v>9169</v>
      </c>
      <c r="C14" s="25" t="s">
        <v>8963</v>
      </c>
      <c r="D14" s="27">
        <v>52</v>
      </c>
      <c r="E14" s="25" t="s">
        <v>9185</v>
      </c>
      <c r="F14" s="26" t="s">
        <v>31</v>
      </c>
      <c r="G14" s="20" t="s">
        <v>9187</v>
      </c>
    </row>
    <row r="15" spans="1:7" x14ac:dyDescent="0.25">
      <c r="A15" s="26" t="s">
        <v>9184</v>
      </c>
      <c r="B15" s="25" t="s">
        <v>9169</v>
      </c>
      <c r="C15" s="25" t="s">
        <v>8963</v>
      </c>
      <c r="D15" s="27">
        <v>72</v>
      </c>
      <c r="E15" s="25" t="s">
        <v>9188</v>
      </c>
      <c r="F15" s="26" t="s">
        <v>614</v>
      </c>
      <c r="G15" s="20" t="s">
        <v>9189</v>
      </c>
    </row>
    <row r="16" spans="1:7" x14ac:dyDescent="0.25">
      <c r="A16" s="26" t="s">
        <v>9184</v>
      </c>
      <c r="B16" s="25" t="s">
        <v>9169</v>
      </c>
      <c r="C16" s="25" t="s">
        <v>8963</v>
      </c>
      <c r="D16" s="27">
        <v>72</v>
      </c>
      <c r="E16" s="25" t="s">
        <v>9188</v>
      </c>
      <c r="F16" s="26" t="s">
        <v>32</v>
      </c>
      <c r="G16" s="20" t="s">
        <v>9188</v>
      </c>
    </row>
    <row r="17" spans="1:7" x14ac:dyDescent="0.25">
      <c r="A17" s="26" t="s">
        <v>9184</v>
      </c>
      <c r="B17" s="25" t="s">
        <v>9169</v>
      </c>
      <c r="C17" s="25" t="s">
        <v>8963</v>
      </c>
      <c r="D17" s="27">
        <v>76</v>
      </c>
      <c r="E17" s="25" t="s">
        <v>9190</v>
      </c>
      <c r="F17" s="26" t="s">
        <v>615</v>
      </c>
      <c r="G17" s="20" t="s">
        <v>9191</v>
      </c>
    </row>
    <row r="18" spans="1:7" x14ac:dyDescent="0.25">
      <c r="A18" s="26" t="s">
        <v>9184</v>
      </c>
      <c r="B18" s="25" t="s">
        <v>9169</v>
      </c>
      <c r="C18" s="25" t="s">
        <v>8963</v>
      </c>
      <c r="D18" s="27" t="s">
        <v>9192</v>
      </c>
      <c r="E18" s="25" t="s">
        <v>9193</v>
      </c>
      <c r="F18" s="26" t="s">
        <v>616</v>
      </c>
      <c r="G18" s="20" t="s">
        <v>9194</v>
      </c>
    </row>
    <row r="19" spans="1:7" x14ac:dyDescent="0.25">
      <c r="A19" s="26" t="s">
        <v>9184</v>
      </c>
      <c r="B19" s="25" t="s">
        <v>9169</v>
      </c>
      <c r="C19" s="25" t="s">
        <v>8963</v>
      </c>
      <c r="D19" s="27" t="s">
        <v>9195</v>
      </c>
      <c r="E19" s="25" t="s">
        <v>9196</v>
      </c>
      <c r="F19" s="26" t="s">
        <v>34</v>
      </c>
      <c r="G19" s="20" t="s">
        <v>9197</v>
      </c>
    </row>
    <row r="20" spans="1:7" x14ac:dyDescent="0.25">
      <c r="A20" s="23" t="s">
        <v>9184</v>
      </c>
      <c r="B20" s="20" t="s">
        <v>9169</v>
      </c>
      <c r="C20" s="20" t="s">
        <v>8963</v>
      </c>
      <c r="D20" s="24" t="s">
        <v>9195</v>
      </c>
      <c r="E20" s="20" t="s">
        <v>9196</v>
      </c>
      <c r="F20" s="23" t="s">
        <v>33</v>
      </c>
      <c r="G20" s="20" t="s">
        <v>9198</v>
      </c>
    </row>
    <row r="21" spans="1:7" x14ac:dyDescent="0.25">
      <c r="A21" s="26" t="s">
        <v>9199</v>
      </c>
      <c r="B21" s="25" t="s">
        <v>9169</v>
      </c>
      <c r="C21" s="25" t="s">
        <v>8990</v>
      </c>
      <c r="D21" s="27">
        <v>48</v>
      </c>
      <c r="E21" s="25" t="s">
        <v>8990</v>
      </c>
      <c r="F21" s="26" t="s">
        <v>9200</v>
      </c>
      <c r="G21" s="20" t="s">
        <v>9201</v>
      </c>
    </row>
    <row r="22" spans="1:7" x14ac:dyDescent="0.25">
      <c r="A22" s="23" t="s">
        <v>9202</v>
      </c>
      <c r="B22" s="20" t="s">
        <v>9169</v>
      </c>
      <c r="C22" s="20" t="s">
        <v>8992</v>
      </c>
      <c r="D22" s="24">
        <v>57</v>
      </c>
      <c r="E22" s="20" t="s">
        <v>9203</v>
      </c>
      <c r="F22" s="23" t="s">
        <v>9204</v>
      </c>
      <c r="G22" s="20" t="s">
        <v>9205</v>
      </c>
    </row>
    <row r="23" spans="1:7" x14ac:dyDescent="0.25">
      <c r="A23" s="26" t="s">
        <v>9202</v>
      </c>
      <c r="B23" s="25" t="s">
        <v>9169</v>
      </c>
      <c r="C23" s="25" t="s">
        <v>8992</v>
      </c>
      <c r="D23" s="27">
        <v>57</v>
      </c>
      <c r="E23" s="25" t="s">
        <v>9203</v>
      </c>
      <c r="F23" s="26" t="s">
        <v>9206</v>
      </c>
      <c r="G23" s="20" t="s">
        <v>9207</v>
      </c>
    </row>
    <row r="24" spans="1:7" x14ac:dyDescent="0.25">
      <c r="A24" s="26" t="s">
        <v>9202</v>
      </c>
      <c r="B24" s="25" t="s">
        <v>9169</v>
      </c>
      <c r="C24" s="25" t="s">
        <v>8992</v>
      </c>
      <c r="D24" s="27">
        <v>57</v>
      </c>
      <c r="E24" s="25" t="s">
        <v>9203</v>
      </c>
      <c r="F24" s="26" t="s">
        <v>9208</v>
      </c>
      <c r="G24" s="20" t="s">
        <v>9209</v>
      </c>
    </row>
    <row r="25" spans="1:7" x14ac:dyDescent="0.25">
      <c r="A25" s="26" t="s">
        <v>9210</v>
      </c>
      <c r="B25" s="25" t="s">
        <v>9169</v>
      </c>
      <c r="C25" s="25" t="s">
        <v>9011</v>
      </c>
      <c r="D25" s="27">
        <v>46</v>
      </c>
      <c r="E25" s="25" t="s">
        <v>9011</v>
      </c>
      <c r="F25" s="26" t="s">
        <v>74</v>
      </c>
      <c r="G25" s="20" t="s">
        <v>9211</v>
      </c>
    </row>
    <row r="26" spans="1:7" x14ac:dyDescent="0.25">
      <c r="A26" s="26" t="s">
        <v>9210</v>
      </c>
      <c r="B26" s="25" t="s">
        <v>9169</v>
      </c>
      <c r="C26" s="25" t="s">
        <v>9011</v>
      </c>
      <c r="D26" s="27">
        <v>46</v>
      </c>
      <c r="E26" s="25" t="s">
        <v>9011</v>
      </c>
      <c r="F26" s="26" t="s">
        <v>620</v>
      </c>
      <c r="G26" s="20" t="s">
        <v>9212</v>
      </c>
    </row>
    <row r="27" spans="1:7" x14ac:dyDescent="0.25">
      <c r="A27" s="26" t="s">
        <v>9213</v>
      </c>
      <c r="B27" s="25" t="s">
        <v>9169</v>
      </c>
      <c r="C27" s="25" t="s">
        <v>9047</v>
      </c>
      <c r="D27" s="27">
        <v>45</v>
      </c>
      <c r="E27" s="25" t="s">
        <v>9214</v>
      </c>
      <c r="F27" s="26" t="s">
        <v>9215</v>
      </c>
      <c r="G27" s="20" t="s">
        <v>9216</v>
      </c>
    </row>
    <row r="28" spans="1:7" x14ac:dyDescent="0.25">
      <c r="A28" s="26" t="s">
        <v>9213</v>
      </c>
      <c r="B28" s="25" t="s">
        <v>9169</v>
      </c>
      <c r="C28" s="25" t="s">
        <v>9047</v>
      </c>
      <c r="D28" s="27">
        <v>45</v>
      </c>
      <c r="E28" s="25" t="s">
        <v>9214</v>
      </c>
      <c r="F28" s="26" t="s">
        <v>9217</v>
      </c>
      <c r="G28" s="20" t="s">
        <v>9218</v>
      </c>
    </row>
    <row r="29" spans="1:7" x14ac:dyDescent="0.25">
      <c r="A29" s="26" t="s">
        <v>9219</v>
      </c>
      <c r="B29" s="25" t="s">
        <v>9169</v>
      </c>
      <c r="C29" s="25" t="s">
        <v>9135</v>
      </c>
      <c r="D29" s="27">
        <v>80</v>
      </c>
      <c r="E29" s="25" t="s">
        <v>9135</v>
      </c>
      <c r="F29" s="26" t="s">
        <v>9220</v>
      </c>
      <c r="G29" s="20" t="s">
        <v>9221</v>
      </c>
    </row>
    <row r="30" spans="1:7" x14ac:dyDescent="0.25">
      <c r="A30" s="26" t="s">
        <v>9222</v>
      </c>
      <c r="B30" s="25" t="s">
        <v>9159</v>
      </c>
      <c r="C30" s="25" t="s">
        <v>3737</v>
      </c>
      <c r="D30" s="27">
        <v>7</v>
      </c>
      <c r="E30" s="25" t="s">
        <v>3737</v>
      </c>
      <c r="F30" s="26" t="s">
        <v>9223</v>
      </c>
      <c r="G30" s="20" t="s">
        <v>9224</v>
      </c>
    </row>
    <row r="31" spans="1:7" x14ac:dyDescent="0.25">
      <c r="A31" s="28" t="s">
        <v>9222</v>
      </c>
      <c r="B31" s="29" t="s">
        <v>9159</v>
      </c>
      <c r="C31" s="29" t="s">
        <v>3737</v>
      </c>
      <c r="D31" s="30">
        <v>7</v>
      </c>
      <c r="E31" s="29" t="s">
        <v>3737</v>
      </c>
      <c r="F31" s="28" t="s">
        <v>9225</v>
      </c>
      <c r="G31" s="20" t="s">
        <v>9226</v>
      </c>
    </row>
    <row r="32" spans="1:7" x14ac:dyDescent="0.25">
      <c r="A32" s="28" t="s">
        <v>9222</v>
      </c>
      <c r="B32" s="29" t="s">
        <v>9159</v>
      </c>
      <c r="C32" s="29" t="s">
        <v>3737</v>
      </c>
      <c r="D32" s="30">
        <v>7</v>
      </c>
      <c r="E32" s="29" t="s">
        <v>3737</v>
      </c>
      <c r="F32" s="28" t="s">
        <v>9227</v>
      </c>
      <c r="G32" s="20" t="s">
        <v>9228</v>
      </c>
    </row>
    <row r="33" spans="1:7" x14ac:dyDescent="0.25">
      <c r="A33" s="28" t="s">
        <v>9222</v>
      </c>
      <c r="B33" s="29" t="s">
        <v>9159</v>
      </c>
      <c r="C33" s="29" t="s">
        <v>3737</v>
      </c>
      <c r="D33" s="30">
        <v>7</v>
      </c>
      <c r="E33" s="29" t="s">
        <v>3737</v>
      </c>
      <c r="F33" s="28" t="s">
        <v>9229</v>
      </c>
      <c r="G33" s="20" t="s">
        <v>9230</v>
      </c>
    </row>
    <row r="34" spans="1:7" x14ac:dyDescent="0.25">
      <c r="A34" s="28" t="s">
        <v>9222</v>
      </c>
      <c r="B34" s="29" t="s">
        <v>9159</v>
      </c>
      <c r="C34" s="29" t="s">
        <v>3737</v>
      </c>
      <c r="D34" s="30">
        <v>7</v>
      </c>
      <c r="E34" s="29" t="s">
        <v>3737</v>
      </c>
      <c r="F34" s="28" t="s">
        <v>9231</v>
      </c>
      <c r="G34" s="20" t="s">
        <v>9232</v>
      </c>
    </row>
    <row r="35" spans="1:7" x14ac:dyDescent="0.25">
      <c r="A35" s="28" t="s">
        <v>9222</v>
      </c>
      <c r="B35" s="29" t="s">
        <v>9159</v>
      </c>
      <c r="C35" s="29" t="s">
        <v>3737</v>
      </c>
      <c r="D35" s="30">
        <v>7</v>
      </c>
      <c r="E35" s="29" t="s">
        <v>3737</v>
      </c>
      <c r="F35" s="28" t="s">
        <v>9233</v>
      </c>
      <c r="G35" s="20" t="s">
        <v>9234</v>
      </c>
    </row>
    <row r="36" spans="1:7" x14ac:dyDescent="0.25">
      <c r="A36" s="28" t="s">
        <v>9235</v>
      </c>
      <c r="B36" s="29" t="s">
        <v>9159</v>
      </c>
      <c r="C36" s="29" t="s">
        <v>3755</v>
      </c>
      <c r="D36" s="30">
        <v>8</v>
      </c>
      <c r="E36" s="29" t="s">
        <v>9236</v>
      </c>
      <c r="F36" s="28" t="s">
        <v>621</v>
      </c>
      <c r="G36" s="20" t="s">
        <v>9237</v>
      </c>
    </row>
    <row r="37" spans="1:7" x14ac:dyDescent="0.25">
      <c r="A37" s="28" t="s">
        <v>9235</v>
      </c>
      <c r="B37" s="29" t="s">
        <v>9159</v>
      </c>
      <c r="C37" s="29" t="s">
        <v>3755</v>
      </c>
      <c r="D37" s="30">
        <v>8</v>
      </c>
      <c r="E37" s="29" t="s">
        <v>9236</v>
      </c>
      <c r="F37" s="28" t="s">
        <v>9238</v>
      </c>
      <c r="G37" s="20" t="s">
        <v>9239</v>
      </c>
    </row>
    <row r="38" spans="1:7" x14ac:dyDescent="0.25">
      <c r="A38" s="28" t="s">
        <v>9235</v>
      </c>
      <c r="B38" s="29" t="s">
        <v>9159</v>
      </c>
      <c r="C38" s="29" t="s">
        <v>3755</v>
      </c>
      <c r="D38" s="30">
        <v>8</v>
      </c>
      <c r="E38" s="29" t="s">
        <v>9236</v>
      </c>
      <c r="F38" s="28" t="s">
        <v>75</v>
      </c>
      <c r="G38" s="20" t="s">
        <v>9240</v>
      </c>
    </row>
    <row r="39" spans="1:7" x14ac:dyDescent="0.25">
      <c r="A39" s="28" t="s">
        <v>9235</v>
      </c>
      <c r="B39" s="29" t="s">
        <v>9159</v>
      </c>
      <c r="C39" s="29" t="s">
        <v>3755</v>
      </c>
      <c r="D39" s="30">
        <v>8</v>
      </c>
      <c r="E39" s="29" t="s">
        <v>9236</v>
      </c>
      <c r="F39" s="28" t="s">
        <v>77</v>
      </c>
      <c r="G39" s="20" t="s">
        <v>9241</v>
      </c>
    </row>
    <row r="40" spans="1:7" x14ac:dyDescent="0.25">
      <c r="A40" s="28" t="s">
        <v>9235</v>
      </c>
      <c r="B40" s="29" t="s">
        <v>9159</v>
      </c>
      <c r="C40" s="29" t="s">
        <v>3755</v>
      </c>
      <c r="D40" s="30">
        <v>8</v>
      </c>
      <c r="E40" s="29" t="s">
        <v>9236</v>
      </c>
      <c r="F40" s="28" t="s">
        <v>76</v>
      </c>
      <c r="G40" s="20" t="s">
        <v>9242</v>
      </c>
    </row>
    <row r="41" spans="1:7" x14ac:dyDescent="0.25">
      <c r="A41" s="28" t="s">
        <v>9243</v>
      </c>
      <c r="B41" s="29" t="s">
        <v>9159</v>
      </c>
      <c r="C41" s="29" t="s">
        <v>3855</v>
      </c>
      <c r="D41" s="30">
        <v>35</v>
      </c>
      <c r="E41" s="29" t="s">
        <v>3855</v>
      </c>
      <c r="F41" s="28" t="s">
        <v>9244</v>
      </c>
      <c r="G41" s="20" t="s">
        <v>9245</v>
      </c>
    </row>
    <row r="42" spans="1:7" x14ac:dyDescent="0.25">
      <c r="A42" s="28" t="s">
        <v>9246</v>
      </c>
      <c r="B42" s="29" t="s">
        <v>9159</v>
      </c>
      <c r="C42" s="29" t="s">
        <v>3877</v>
      </c>
      <c r="D42" s="30">
        <v>10</v>
      </c>
      <c r="E42" s="29" t="s">
        <v>9247</v>
      </c>
      <c r="F42" s="28" t="s">
        <v>9248</v>
      </c>
      <c r="G42" s="20" t="s">
        <v>3877</v>
      </c>
    </row>
    <row r="43" spans="1:7" x14ac:dyDescent="0.25">
      <c r="A43" s="23" t="s">
        <v>9246</v>
      </c>
      <c r="B43" s="20" t="s">
        <v>9159</v>
      </c>
      <c r="C43" s="20" t="s">
        <v>3877</v>
      </c>
      <c r="D43" s="24">
        <v>10</v>
      </c>
      <c r="E43" s="20" t="s">
        <v>9247</v>
      </c>
      <c r="F43" s="23" t="s">
        <v>9249</v>
      </c>
      <c r="G43" s="20" t="s">
        <v>9250</v>
      </c>
    </row>
    <row r="44" spans="1:7" x14ac:dyDescent="0.25">
      <c r="A44" s="23" t="s">
        <v>9246</v>
      </c>
      <c r="B44" s="20" t="s">
        <v>9159</v>
      </c>
      <c r="C44" s="20" t="s">
        <v>3877</v>
      </c>
      <c r="D44" s="24">
        <v>10</v>
      </c>
      <c r="E44" s="20" t="s">
        <v>9247</v>
      </c>
      <c r="F44" s="23" t="s">
        <v>9251</v>
      </c>
      <c r="G44" s="20" t="s">
        <v>9252</v>
      </c>
    </row>
    <row r="45" spans="1:7" x14ac:dyDescent="0.25">
      <c r="A45" s="23" t="s">
        <v>9246</v>
      </c>
      <c r="B45" s="20" t="s">
        <v>9159</v>
      </c>
      <c r="C45" s="20" t="s">
        <v>3877</v>
      </c>
      <c r="D45" s="24">
        <v>10</v>
      </c>
      <c r="E45" s="20" t="s">
        <v>9247</v>
      </c>
      <c r="F45" s="23" t="s">
        <v>9253</v>
      </c>
      <c r="G45" s="20" t="s">
        <v>9254</v>
      </c>
    </row>
    <row r="46" spans="1:7" x14ac:dyDescent="0.25">
      <c r="A46" s="23" t="s">
        <v>9246</v>
      </c>
      <c r="B46" s="20" t="s">
        <v>9159</v>
      </c>
      <c r="C46" s="20" t="s">
        <v>3877</v>
      </c>
      <c r="D46" s="24">
        <v>10</v>
      </c>
      <c r="E46" s="20" t="s">
        <v>9247</v>
      </c>
      <c r="F46" s="23" t="s">
        <v>9255</v>
      </c>
      <c r="G46" s="20" t="s">
        <v>9256</v>
      </c>
    </row>
    <row r="47" spans="1:7" x14ac:dyDescent="0.25">
      <c r="A47" s="23" t="s">
        <v>9246</v>
      </c>
      <c r="B47" s="20" t="s">
        <v>9159</v>
      </c>
      <c r="C47" s="20" t="s">
        <v>3877</v>
      </c>
      <c r="D47" s="24">
        <v>10</v>
      </c>
      <c r="E47" s="20" t="s">
        <v>9247</v>
      </c>
      <c r="F47" s="23" t="s">
        <v>9257</v>
      </c>
      <c r="G47" s="20" t="s">
        <v>9258</v>
      </c>
    </row>
    <row r="48" spans="1:7" x14ac:dyDescent="0.25">
      <c r="A48" s="23" t="s">
        <v>9246</v>
      </c>
      <c r="B48" s="20" t="s">
        <v>9159</v>
      </c>
      <c r="C48" s="20" t="s">
        <v>3877</v>
      </c>
      <c r="D48" s="24">
        <v>10</v>
      </c>
      <c r="E48" s="20" t="s">
        <v>9247</v>
      </c>
      <c r="F48" s="23" t="s">
        <v>9259</v>
      </c>
      <c r="G48" s="20" t="s">
        <v>9260</v>
      </c>
    </row>
    <row r="49" spans="1:7" x14ac:dyDescent="0.25">
      <c r="A49" s="23" t="s">
        <v>9246</v>
      </c>
      <c r="B49" s="20" t="s">
        <v>9159</v>
      </c>
      <c r="C49" s="20" t="s">
        <v>3877</v>
      </c>
      <c r="D49" s="24">
        <v>10</v>
      </c>
      <c r="E49" s="20" t="s">
        <v>9247</v>
      </c>
      <c r="F49" s="23" t="s">
        <v>9261</v>
      </c>
      <c r="G49" s="20" t="s">
        <v>9262</v>
      </c>
    </row>
    <row r="50" spans="1:7" x14ac:dyDescent="0.25">
      <c r="A50" s="46" t="s">
        <v>9246</v>
      </c>
      <c r="B50" s="45" t="s">
        <v>9159</v>
      </c>
      <c r="C50" s="45" t="s">
        <v>3877</v>
      </c>
      <c r="D50" s="44">
        <v>10</v>
      </c>
      <c r="E50" s="45" t="s">
        <v>9247</v>
      </c>
      <c r="F50" s="46" t="s">
        <v>9263</v>
      </c>
      <c r="G50" s="45" t="s">
        <v>9264</v>
      </c>
    </row>
    <row r="51" spans="1:7" x14ac:dyDescent="0.25">
      <c r="A51" s="23" t="s">
        <v>9246</v>
      </c>
      <c r="B51" s="20" t="s">
        <v>9159</v>
      </c>
      <c r="C51" s="20" t="s">
        <v>3877</v>
      </c>
      <c r="D51" s="24">
        <v>10</v>
      </c>
      <c r="E51" s="20" t="s">
        <v>9247</v>
      </c>
      <c r="F51" s="23" t="s">
        <v>9265</v>
      </c>
      <c r="G51" s="20" t="s">
        <v>9266</v>
      </c>
    </row>
    <row r="52" spans="1:7" x14ac:dyDescent="0.25">
      <c r="A52" s="23" t="s">
        <v>9246</v>
      </c>
      <c r="B52" s="20" t="s">
        <v>9159</v>
      </c>
      <c r="C52" s="20" t="s">
        <v>3877</v>
      </c>
      <c r="D52" s="24">
        <v>10</v>
      </c>
      <c r="E52" s="20" t="s">
        <v>9247</v>
      </c>
      <c r="F52" s="23" t="s">
        <v>9267</v>
      </c>
      <c r="G52" s="20" t="s">
        <v>9268</v>
      </c>
    </row>
    <row r="53" spans="1:7" x14ac:dyDescent="0.25">
      <c r="A53" s="23" t="s">
        <v>9269</v>
      </c>
      <c r="B53" s="20" t="s">
        <v>9159</v>
      </c>
      <c r="C53" s="20" t="s">
        <v>4040</v>
      </c>
      <c r="D53" s="24">
        <v>201</v>
      </c>
      <c r="E53" s="20" t="s">
        <v>9270</v>
      </c>
      <c r="F53" s="23" t="s">
        <v>486</v>
      </c>
      <c r="G53" s="20" t="s">
        <v>9271</v>
      </c>
    </row>
    <row r="54" spans="1:7" x14ac:dyDescent="0.25">
      <c r="A54" s="23" t="s">
        <v>9269</v>
      </c>
      <c r="B54" s="20" t="s">
        <v>9159</v>
      </c>
      <c r="C54" s="20" t="s">
        <v>4040</v>
      </c>
      <c r="D54" s="24">
        <v>201</v>
      </c>
      <c r="E54" s="20" t="s">
        <v>9270</v>
      </c>
      <c r="F54" s="23" t="s">
        <v>505</v>
      </c>
      <c r="G54" s="20" t="s">
        <v>9272</v>
      </c>
    </row>
    <row r="55" spans="1:7" x14ac:dyDescent="0.25">
      <c r="A55" s="23" t="s">
        <v>9269</v>
      </c>
      <c r="B55" s="20" t="s">
        <v>9159</v>
      </c>
      <c r="C55" s="20" t="s">
        <v>4040</v>
      </c>
      <c r="D55" s="24">
        <v>202</v>
      </c>
      <c r="E55" s="20" t="s">
        <v>9273</v>
      </c>
      <c r="F55" s="23" t="s">
        <v>606</v>
      </c>
      <c r="G55" s="20" t="s">
        <v>9274</v>
      </c>
    </row>
    <row r="56" spans="1:7" x14ac:dyDescent="0.25">
      <c r="A56" s="26" t="s">
        <v>9269</v>
      </c>
      <c r="B56" s="25" t="s">
        <v>9159</v>
      </c>
      <c r="C56" s="25" t="s">
        <v>4040</v>
      </c>
      <c r="D56" s="27">
        <v>203</v>
      </c>
      <c r="E56" s="25" t="s">
        <v>9275</v>
      </c>
      <c r="F56" s="26" t="s">
        <v>605</v>
      </c>
      <c r="G56" s="20" t="s">
        <v>9276</v>
      </c>
    </row>
    <row r="57" spans="1:7" x14ac:dyDescent="0.25">
      <c r="A57" s="26" t="s">
        <v>9269</v>
      </c>
      <c r="B57" s="25" t="s">
        <v>9159</v>
      </c>
      <c r="C57" s="25" t="s">
        <v>4040</v>
      </c>
      <c r="D57" s="27">
        <v>204</v>
      </c>
      <c r="E57" s="25" t="s">
        <v>9277</v>
      </c>
      <c r="F57" s="26" t="s">
        <v>602</v>
      </c>
      <c r="G57" s="20" t="s">
        <v>9278</v>
      </c>
    </row>
    <row r="58" spans="1:7" x14ac:dyDescent="0.25">
      <c r="A58" s="26" t="s">
        <v>9269</v>
      </c>
      <c r="B58" s="25" t="s">
        <v>9159</v>
      </c>
      <c r="C58" s="25" t="s">
        <v>4040</v>
      </c>
      <c r="D58" s="27">
        <v>206</v>
      </c>
      <c r="E58" s="25" t="s">
        <v>9279</v>
      </c>
      <c r="F58" s="26" t="s">
        <v>9280</v>
      </c>
      <c r="G58" s="20" t="s">
        <v>9281</v>
      </c>
    </row>
    <row r="59" spans="1:7" x14ac:dyDescent="0.25">
      <c r="A59" s="26" t="s">
        <v>9269</v>
      </c>
      <c r="B59" s="25" t="s">
        <v>9159</v>
      </c>
      <c r="C59" s="25" t="s">
        <v>4040</v>
      </c>
      <c r="D59" s="27" t="s">
        <v>9282</v>
      </c>
      <c r="E59" s="25" t="s">
        <v>9283</v>
      </c>
      <c r="F59" s="26" t="s">
        <v>539</v>
      </c>
      <c r="G59" s="20" t="s">
        <v>9284</v>
      </c>
    </row>
    <row r="60" spans="1:7" x14ac:dyDescent="0.25">
      <c r="A60" s="23" t="s">
        <v>9285</v>
      </c>
      <c r="B60" s="20" t="s">
        <v>9159</v>
      </c>
      <c r="C60" s="20" t="s">
        <v>4149</v>
      </c>
      <c r="D60" s="24">
        <v>11</v>
      </c>
      <c r="E60" s="20" t="s">
        <v>4149</v>
      </c>
      <c r="F60" s="23" t="s">
        <v>9286</v>
      </c>
      <c r="G60" s="20" t="s">
        <v>9287</v>
      </c>
    </row>
    <row r="61" spans="1:7" x14ac:dyDescent="0.25">
      <c r="A61" s="23" t="s">
        <v>9285</v>
      </c>
      <c r="B61" s="20" t="s">
        <v>9159</v>
      </c>
      <c r="C61" s="20" t="s">
        <v>4149</v>
      </c>
      <c r="D61" s="24">
        <v>11</v>
      </c>
      <c r="E61" s="20" t="s">
        <v>4149</v>
      </c>
      <c r="F61" s="23" t="s">
        <v>9288</v>
      </c>
      <c r="G61" s="20" t="s">
        <v>9289</v>
      </c>
    </row>
    <row r="62" spans="1:7" x14ac:dyDescent="0.25">
      <c r="A62" s="23" t="s">
        <v>9285</v>
      </c>
      <c r="B62" s="20" t="s">
        <v>9159</v>
      </c>
      <c r="C62" s="20" t="s">
        <v>4149</v>
      </c>
      <c r="D62" s="24">
        <v>11</v>
      </c>
      <c r="E62" s="20" t="s">
        <v>4149</v>
      </c>
      <c r="F62" s="23" t="s">
        <v>9290</v>
      </c>
      <c r="G62" s="20" t="s">
        <v>9291</v>
      </c>
    </row>
    <row r="63" spans="1:7" x14ac:dyDescent="0.25">
      <c r="A63" s="23" t="s">
        <v>9285</v>
      </c>
      <c r="B63" s="20" t="s">
        <v>9159</v>
      </c>
      <c r="C63" s="20" t="s">
        <v>4149</v>
      </c>
      <c r="D63" s="24">
        <v>11</v>
      </c>
      <c r="E63" s="20" t="s">
        <v>4149</v>
      </c>
      <c r="F63" s="23" t="s">
        <v>9292</v>
      </c>
      <c r="G63" s="20" t="s">
        <v>9293</v>
      </c>
    </row>
    <row r="64" spans="1:7" x14ac:dyDescent="0.25">
      <c r="A64" s="23" t="s">
        <v>9285</v>
      </c>
      <c r="B64" s="20" t="s">
        <v>9159</v>
      </c>
      <c r="C64" s="20" t="s">
        <v>4149</v>
      </c>
      <c r="D64" s="24">
        <v>11</v>
      </c>
      <c r="E64" s="20" t="s">
        <v>4149</v>
      </c>
      <c r="F64" s="23" t="s">
        <v>9294</v>
      </c>
      <c r="G64" s="20" t="s">
        <v>9295</v>
      </c>
    </row>
    <row r="65" spans="1:7" x14ac:dyDescent="0.25">
      <c r="A65" s="23" t="s">
        <v>9285</v>
      </c>
      <c r="B65" s="20" t="s">
        <v>9159</v>
      </c>
      <c r="C65" s="20" t="s">
        <v>4149</v>
      </c>
      <c r="D65" s="24">
        <v>11</v>
      </c>
      <c r="E65" s="20" t="s">
        <v>4149</v>
      </c>
      <c r="F65" s="23" t="s">
        <v>9296</v>
      </c>
      <c r="G65" s="20" t="s">
        <v>9297</v>
      </c>
    </row>
    <row r="66" spans="1:7" x14ac:dyDescent="0.25">
      <c r="A66" s="26" t="s">
        <v>9298</v>
      </c>
      <c r="B66" s="25" t="s">
        <v>9159</v>
      </c>
      <c r="C66" s="25" t="s">
        <v>4203</v>
      </c>
      <c r="D66" s="27">
        <v>37</v>
      </c>
      <c r="E66" s="25" t="s">
        <v>4203</v>
      </c>
      <c r="F66" s="26" t="s">
        <v>9299</v>
      </c>
      <c r="G66" s="20" t="s">
        <v>9300</v>
      </c>
    </row>
    <row r="67" spans="1:7" x14ac:dyDescent="0.25">
      <c r="A67" s="23" t="s">
        <v>9298</v>
      </c>
      <c r="B67" s="20" t="s">
        <v>9159</v>
      </c>
      <c r="C67" s="20" t="s">
        <v>4203</v>
      </c>
      <c r="D67" s="24">
        <v>37</v>
      </c>
      <c r="E67" s="20" t="s">
        <v>4203</v>
      </c>
      <c r="F67" s="23" t="s">
        <v>9301</v>
      </c>
      <c r="G67" s="20" t="s">
        <v>9302</v>
      </c>
    </row>
    <row r="68" spans="1:7" x14ac:dyDescent="0.25">
      <c r="A68" s="23" t="s">
        <v>9298</v>
      </c>
      <c r="B68" s="20" t="s">
        <v>9159</v>
      </c>
      <c r="C68" s="20" t="s">
        <v>4203</v>
      </c>
      <c r="D68" s="24">
        <v>37</v>
      </c>
      <c r="E68" s="20" t="s">
        <v>4203</v>
      </c>
      <c r="F68" s="23" t="s">
        <v>9303</v>
      </c>
      <c r="G68" s="20" t="s">
        <v>9304</v>
      </c>
    </row>
    <row r="69" spans="1:7" x14ac:dyDescent="0.25">
      <c r="A69" s="23" t="s">
        <v>9298</v>
      </c>
      <c r="B69" s="20" t="s">
        <v>9159</v>
      </c>
      <c r="C69" s="20" t="s">
        <v>4203</v>
      </c>
      <c r="D69" s="24">
        <v>37</v>
      </c>
      <c r="E69" s="20" t="s">
        <v>4203</v>
      </c>
      <c r="F69" s="23" t="s">
        <v>9305</v>
      </c>
      <c r="G69" s="20" t="s">
        <v>9306</v>
      </c>
    </row>
    <row r="70" spans="1:7" x14ac:dyDescent="0.25">
      <c r="A70" s="23" t="s">
        <v>9298</v>
      </c>
      <c r="B70" s="20" t="s">
        <v>9159</v>
      </c>
      <c r="C70" s="20" t="s">
        <v>4203</v>
      </c>
      <c r="D70" s="24">
        <v>37</v>
      </c>
      <c r="E70" s="20" t="s">
        <v>4203</v>
      </c>
      <c r="F70" s="23" t="s">
        <v>9307</v>
      </c>
      <c r="G70" s="20" t="s">
        <v>9308</v>
      </c>
    </row>
    <row r="71" spans="1:7" x14ac:dyDescent="0.25">
      <c r="A71" s="26" t="s">
        <v>9298</v>
      </c>
      <c r="B71" s="25" t="s">
        <v>9159</v>
      </c>
      <c r="C71" s="25" t="s">
        <v>4203</v>
      </c>
      <c r="D71" s="27">
        <v>37</v>
      </c>
      <c r="E71" s="25" t="s">
        <v>4203</v>
      </c>
      <c r="F71" s="26" t="s">
        <v>9309</v>
      </c>
      <c r="G71" s="20" t="s">
        <v>9310</v>
      </c>
    </row>
    <row r="72" spans="1:7" x14ac:dyDescent="0.25">
      <c r="A72" s="23" t="s">
        <v>9298</v>
      </c>
      <c r="B72" s="20" t="s">
        <v>9159</v>
      </c>
      <c r="C72" s="20" t="s">
        <v>4203</v>
      </c>
      <c r="D72" s="24">
        <v>37</v>
      </c>
      <c r="E72" s="20" t="s">
        <v>4203</v>
      </c>
      <c r="F72" s="23" t="s">
        <v>9311</v>
      </c>
      <c r="G72" s="20" t="s">
        <v>9312</v>
      </c>
    </row>
    <row r="73" spans="1:7" x14ac:dyDescent="0.25">
      <c r="A73" s="23" t="s">
        <v>9313</v>
      </c>
      <c r="B73" s="20" t="s">
        <v>9159</v>
      </c>
      <c r="C73" s="20" t="s">
        <v>4564</v>
      </c>
      <c r="D73" s="24">
        <v>12</v>
      </c>
      <c r="E73" s="20" t="s">
        <v>4564</v>
      </c>
      <c r="F73" s="23" t="s">
        <v>86</v>
      </c>
      <c r="G73" s="20" t="s">
        <v>9314</v>
      </c>
    </row>
    <row r="74" spans="1:7" x14ac:dyDescent="0.25">
      <c r="A74" s="23" t="s">
        <v>9313</v>
      </c>
      <c r="B74" s="20" t="s">
        <v>9159</v>
      </c>
      <c r="C74" s="20" t="s">
        <v>4564</v>
      </c>
      <c r="D74" s="24">
        <v>12</v>
      </c>
      <c r="E74" s="20" t="s">
        <v>4564</v>
      </c>
      <c r="F74" s="23" t="s">
        <v>87</v>
      </c>
      <c r="G74" s="20" t="s">
        <v>9315</v>
      </c>
    </row>
    <row r="75" spans="1:7" x14ac:dyDescent="0.25">
      <c r="A75" s="26" t="s">
        <v>9316</v>
      </c>
      <c r="B75" s="25" t="s">
        <v>9159</v>
      </c>
      <c r="C75" s="25" t="s">
        <v>4579</v>
      </c>
      <c r="D75" s="27">
        <v>13</v>
      </c>
      <c r="E75" s="25" t="s">
        <v>4579</v>
      </c>
      <c r="F75" s="26" t="s">
        <v>9317</v>
      </c>
      <c r="G75" s="20" t="s">
        <v>9318</v>
      </c>
    </row>
    <row r="76" spans="1:7" x14ac:dyDescent="0.25">
      <c r="A76" s="23" t="s">
        <v>9316</v>
      </c>
      <c r="B76" s="20" t="s">
        <v>9159</v>
      </c>
      <c r="C76" s="20" t="s">
        <v>4579</v>
      </c>
      <c r="D76" s="24">
        <v>13</v>
      </c>
      <c r="E76" s="20" t="s">
        <v>4579</v>
      </c>
      <c r="F76" s="23" t="s">
        <v>9319</v>
      </c>
      <c r="G76" s="20" t="s">
        <v>9320</v>
      </c>
    </row>
    <row r="77" spans="1:7" x14ac:dyDescent="0.25">
      <c r="A77" s="23" t="s">
        <v>9316</v>
      </c>
      <c r="B77" s="20" t="s">
        <v>9159</v>
      </c>
      <c r="C77" s="20" t="s">
        <v>4579</v>
      </c>
      <c r="D77" s="24">
        <v>13</v>
      </c>
      <c r="E77" s="20" t="s">
        <v>4579</v>
      </c>
      <c r="F77" s="23" t="s">
        <v>9321</v>
      </c>
      <c r="G77" s="20" t="s">
        <v>9322</v>
      </c>
    </row>
    <row r="78" spans="1:7" x14ac:dyDescent="0.25">
      <c r="A78" s="26" t="s">
        <v>9316</v>
      </c>
      <c r="B78" s="25" t="s">
        <v>9159</v>
      </c>
      <c r="C78" s="25" t="s">
        <v>4579</v>
      </c>
      <c r="D78" s="27">
        <v>13</v>
      </c>
      <c r="E78" s="25" t="s">
        <v>4579</v>
      </c>
      <c r="F78" s="26" t="s">
        <v>9323</v>
      </c>
      <c r="G78" s="20" t="s">
        <v>9324</v>
      </c>
    </row>
    <row r="79" spans="1:7" x14ac:dyDescent="0.25">
      <c r="A79" s="26" t="s">
        <v>9316</v>
      </c>
      <c r="B79" s="25" t="s">
        <v>9159</v>
      </c>
      <c r="C79" s="25" t="s">
        <v>4579</v>
      </c>
      <c r="D79" s="27">
        <v>13</v>
      </c>
      <c r="E79" s="25" t="s">
        <v>4579</v>
      </c>
      <c r="F79" s="26" t="s">
        <v>9325</v>
      </c>
      <c r="G79" s="20" t="s">
        <v>9326</v>
      </c>
    </row>
    <row r="80" spans="1:7" x14ac:dyDescent="0.25">
      <c r="A80" s="23" t="s">
        <v>9316</v>
      </c>
      <c r="B80" s="20" t="s">
        <v>9159</v>
      </c>
      <c r="C80" s="20" t="s">
        <v>4579</v>
      </c>
      <c r="D80" s="24">
        <v>13</v>
      </c>
      <c r="E80" s="20" t="s">
        <v>4579</v>
      </c>
      <c r="F80" s="23" t="s">
        <v>9327</v>
      </c>
      <c r="G80" s="20" t="s">
        <v>9328</v>
      </c>
    </row>
    <row r="81" spans="1:7" x14ac:dyDescent="0.25">
      <c r="A81" s="26" t="s">
        <v>9316</v>
      </c>
      <c r="B81" s="25" t="s">
        <v>9159</v>
      </c>
      <c r="C81" s="25" t="s">
        <v>4579</v>
      </c>
      <c r="D81" s="27">
        <v>13</v>
      </c>
      <c r="E81" s="25" t="s">
        <v>4579</v>
      </c>
      <c r="F81" s="26" t="s">
        <v>9329</v>
      </c>
      <c r="G81" s="20" t="s">
        <v>9330</v>
      </c>
    </row>
    <row r="82" spans="1:7" x14ac:dyDescent="0.25">
      <c r="A82" s="26" t="s">
        <v>9316</v>
      </c>
      <c r="B82" s="25" t="s">
        <v>9159</v>
      </c>
      <c r="C82" s="25" t="s">
        <v>4579</v>
      </c>
      <c r="D82" s="27">
        <v>13</v>
      </c>
      <c r="E82" s="25" t="s">
        <v>4579</v>
      </c>
      <c r="F82" s="26" t="s">
        <v>9331</v>
      </c>
      <c r="G82" s="20" t="s">
        <v>9332</v>
      </c>
    </row>
    <row r="83" spans="1:7" x14ac:dyDescent="0.25">
      <c r="A83" s="23" t="s">
        <v>9333</v>
      </c>
      <c r="B83" s="20" t="s">
        <v>9159</v>
      </c>
      <c r="C83" s="20" t="s">
        <v>4610</v>
      </c>
      <c r="D83" s="24">
        <v>14</v>
      </c>
      <c r="E83" s="20" t="s">
        <v>4610</v>
      </c>
      <c r="F83" s="23" t="s">
        <v>9334</v>
      </c>
      <c r="G83" s="20" t="s">
        <v>9335</v>
      </c>
    </row>
    <row r="84" spans="1:7" x14ac:dyDescent="0.25">
      <c r="A84" s="26" t="s">
        <v>9333</v>
      </c>
      <c r="B84" s="25" t="s">
        <v>9159</v>
      </c>
      <c r="C84" s="25" t="s">
        <v>4610</v>
      </c>
      <c r="D84" s="27">
        <v>14</v>
      </c>
      <c r="E84" s="25" t="s">
        <v>4610</v>
      </c>
      <c r="F84" s="26" t="s">
        <v>9336</v>
      </c>
      <c r="G84" s="20" t="s">
        <v>9337</v>
      </c>
    </row>
    <row r="85" spans="1:7" x14ac:dyDescent="0.25">
      <c r="A85" s="26" t="s">
        <v>9338</v>
      </c>
      <c r="B85" s="25" t="s">
        <v>9159</v>
      </c>
      <c r="C85" s="25" t="s">
        <v>4689</v>
      </c>
      <c r="D85" s="27">
        <v>15</v>
      </c>
      <c r="E85" s="25" t="s">
        <v>4689</v>
      </c>
      <c r="F85" s="26" t="s">
        <v>9339</v>
      </c>
      <c r="G85" s="20" t="s">
        <v>9340</v>
      </c>
    </row>
    <row r="86" spans="1:7" x14ac:dyDescent="0.25">
      <c r="A86" s="26" t="s">
        <v>9338</v>
      </c>
      <c r="B86" s="25" t="s">
        <v>9159</v>
      </c>
      <c r="C86" s="25" t="s">
        <v>4689</v>
      </c>
      <c r="D86" s="27">
        <v>15</v>
      </c>
      <c r="E86" s="25" t="s">
        <v>4689</v>
      </c>
      <c r="F86" s="26" t="s">
        <v>9341</v>
      </c>
      <c r="G86" s="20" t="s">
        <v>9342</v>
      </c>
    </row>
    <row r="87" spans="1:7" x14ac:dyDescent="0.25">
      <c r="A87" s="23" t="s">
        <v>9338</v>
      </c>
      <c r="B87" s="20" t="s">
        <v>9159</v>
      </c>
      <c r="C87" s="20" t="s">
        <v>4689</v>
      </c>
      <c r="D87" s="24">
        <v>15</v>
      </c>
      <c r="E87" s="20" t="s">
        <v>4689</v>
      </c>
      <c r="F87" s="23" t="s">
        <v>9343</v>
      </c>
      <c r="G87" s="20" t="s">
        <v>9344</v>
      </c>
    </row>
    <row r="88" spans="1:7" x14ac:dyDescent="0.25">
      <c r="A88" s="26" t="s">
        <v>9338</v>
      </c>
      <c r="B88" s="25" t="s">
        <v>9159</v>
      </c>
      <c r="C88" s="25" t="s">
        <v>4689</v>
      </c>
      <c r="D88" s="27">
        <v>15</v>
      </c>
      <c r="E88" s="25" t="s">
        <v>4689</v>
      </c>
      <c r="F88" s="26" t="s">
        <v>9345</v>
      </c>
      <c r="G88" s="20" t="s">
        <v>9346</v>
      </c>
    </row>
    <row r="89" spans="1:7" x14ac:dyDescent="0.25">
      <c r="A89" s="26" t="s">
        <v>9338</v>
      </c>
      <c r="B89" s="25" t="s">
        <v>9159</v>
      </c>
      <c r="C89" s="25" t="s">
        <v>4689</v>
      </c>
      <c r="D89" s="27">
        <v>15</v>
      </c>
      <c r="E89" s="25" t="s">
        <v>4689</v>
      </c>
      <c r="F89" s="26" t="s">
        <v>9347</v>
      </c>
      <c r="G89" s="20" t="s">
        <v>9348</v>
      </c>
    </row>
    <row r="90" spans="1:7" x14ac:dyDescent="0.25">
      <c r="A90" s="26" t="s">
        <v>9338</v>
      </c>
      <c r="B90" s="25" t="s">
        <v>9159</v>
      </c>
      <c r="C90" s="25" t="s">
        <v>4689</v>
      </c>
      <c r="D90" s="27">
        <v>15</v>
      </c>
      <c r="E90" s="25" t="s">
        <v>4689</v>
      </c>
      <c r="F90" s="26" t="s">
        <v>9349</v>
      </c>
      <c r="G90" s="20" t="s">
        <v>9350</v>
      </c>
    </row>
    <row r="91" spans="1:7" x14ac:dyDescent="0.25">
      <c r="A91" s="26" t="s">
        <v>9338</v>
      </c>
      <c r="B91" s="25" t="s">
        <v>9159</v>
      </c>
      <c r="C91" s="25" t="s">
        <v>4689</v>
      </c>
      <c r="D91" s="27">
        <v>15</v>
      </c>
      <c r="E91" s="25" t="s">
        <v>4689</v>
      </c>
      <c r="F91" s="26" t="s">
        <v>9351</v>
      </c>
      <c r="G91" s="20" t="s">
        <v>9352</v>
      </c>
    </row>
    <row r="92" spans="1:7" x14ac:dyDescent="0.25">
      <c r="A92" s="26" t="s">
        <v>9353</v>
      </c>
      <c r="B92" s="25" t="s">
        <v>9159</v>
      </c>
      <c r="C92" s="25" t="s">
        <v>4824</v>
      </c>
      <c r="D92" s="27">
        <v>16</v>
      </c>
      <c r="E92" s="25" t="s">
        <v>9354</v>
      </c>
      <c r="F92" s="26" t="s">
        <v>79</v>
      </c>
      <c r="G92" s="20" t="s">
        <v>9355</v>
      </c>
    </row>
    <row r="93" spans="1:7" x14ac:dyDescent="0.25">
      <c r="A93" s="26" t="s">
        <v>9353</v>
      </c>
      <c r="B93" s="25" t="s">
        <v>9159</v>
      </c>
      <c r="C93" s="25" t="s">
        <v>4824</v>
      </c>
      <c r="D93" s="27">
        <v>16</v>
      </c>
      <c r="E93" s="25" t="s">
        <v>9354</v>
      </c>
      <c r="F93" s="26" t="s">
        <v>9356</v>
      </c>
      <c r="G93" s="20" t="s">
        <v>9357</v>
      </c>
    </row>
    <row r="94" spans="1:7" x14ac:dyDescent="0.25">
      <c r="A94" s="26" t="s">
        <v>9353</v>
      </c>
      <c r="B94" s="25" t="s">
        <v>9159</v>
      </c>
      <c r="C94" s="25" t="s">
        <v>4824</v>
      </c>
      <c r="D94" s="27">
        <v>16</v>
      </c>
      <c r="E94" s="25" t="s">
        <v>9354</v>
      </c>
      <c r="F94" s="26" t="s">
        <v>9358</v>
      </c>
      <c r="G94" s="20" t="s">
        <v>9359</v>
      </c>
    </row>
    <row r="95" spans="1:7" x14ac:dyDescent="0.25">
      <c r="A95" s="26" t="s">
        <v>9353</v>
      </c>
      <c r="B95" s="25" t="s">
        <v>9159</v>
      </c>
      <c r="C95" s="25" t="s">
        <v>4824</v>
      </c>
      <c r="D95" s="27">
        <v>16</v>
      </c>
      <c r="E95" s="25" t="s">
        <v>9354</v>
      </c>
      <c r="F95" s="26" t="s">
        <v>82</v>
      </c>
      <c r="G95" s="20" t="s">
        <v>9360</v>
      </c>
    </row>
    <row r="96" spans="1:7" x14ac:dyDescent="0.25">
      <c r="A96" s="26" t="s">
        <v>9353</v>
      </c>
      <c r="B96" s="25" t="s">
        <v>9159</v>
      </c>
      <c r="C96" s="25" t="s">
        <v>4824</v>
      </c>
      <c r="D96" s="27">
        <v>16</v>
      </c>
      <c r="E96" s="25" t="s">
        <v>9354</v>
      </c>
      <c r="F96" s="26" t="s">
        <v>83</v>
      </c>
      <c r="G96" s="20" t="s">
        <v>9361</v>
      </c>
    </row>
    <row r="97" spans="1:7" x14ac:dyDescent="0.25">
      <c r="A97" s="26" t="s">
        <v>9353</v>
      </c>
      <c r="B97" s="25" t="s">
        <v>9159</v>
      </c>
      <c r="C97" s="25" t="s">
        <v>4824</v>
      </c>
      <c r="D97" s="27">
        <v>16</v>
      </c>
      <c r="E97" s="25" t="s">
        <v>9354</v>
      </c>
      <c r="F97" s="26" t="s">
        <v>80</v>
      </c>
      <c r="G97" s="20" t="s">
        <v>9362</v>
      </c>
    </row>
    <row r="98" spans="1:7" x14ac:dyDescent="0.25">
      <c r="A98" s="26" t="s">
        <v>9353</v>
      </c>
      <c r="B98" s="25" t="s">
        <v>9159</v>
      </c>
      <c r="C98" s="25" t="s">
        <v>4824</v>
      </c>
      <c r="D98" s="27">
        <v>16</v>
      </c>
      <c r="E98" s="25" t="s">
        <v>9354</v>
      </c>
      <c r="F98" s="26" t="s">
        <v>622</v>
      </c>
      <c r="G98" s="20" t="s">
        <v>9363</v>
      </c>
    </row>
    <row r="99" spans="1:7" x14ac:dyDescent="0.25">
      <c r="A99" s="26" t="s">
        <v>9353</v>
      </c>
      <c r="B99" s="25" t="s">
        <v>9159</v>
      </c>
      <c r="C99" s="25" t="s">
        <v>4824</v>
      </c>
      <c r="D99" s="27">
        <v>16</v>
      </c>
      <c r="E99" s="25" t="s">
        <v>9354</v>
      </c>
      <c r="F99" s="26" t="s">
        <v>81</v>
      </c>
      <c r="G99" s="20" t="s">
        <v>9364</v>
      </c>
    </row>
    <row r="100" spans="1:7" x14ac:dyDescent="0.25">
      <c r="A100" s="26" t="s">
        <v>9353</v>
      </c>
      <c r="B100" s="25" t="s">
        <v>9159</v>
      </c>
      <c r="C100" s="25" t="s">
        <v>4824</v>
      </c>
      <c r="D100" s="27">
        <v>16</v>
      </c>
      <c r="E100" s="25" t="s">
        <v>9354</v>
      </c>
      <c r="F100" s="26" t="s">
        <v>78</v>
      </c>
      <c r="G100" s="20" t="s">
        <v>9365</v>
      </c>
    </row>
    <row r="101" spans="1:7" x14ac:dyDescent="0.25">
      <c r="A101" s="26" t="s">
        <v>9353</v>
      </c>
      <c r="B101" s="25" t="s">
        <v>9159</v>
      </c>
      <c r="C101" s="25" t="s">
        <v>4824</v>
      </c>
      <c r="D101" s="27">
        <v>16</v>
      </c>
      <c r="E101" s="25" t="s">
        <v>9354</v>
      </c>
      <c r="F101" s="26" t="s">
        <v>71</v>
      </c>
      <c r="G101" s="20" t="s">
        <v>9366</v>
      </c>
    </row>
    <row r="102" spans="1:7" x14ac:dyDescent="0.25">
      <c r="A102" s="26" t="s">
        <v>9367</v>
      </c>
      <c r="B102" s="25" t="s">
        <v>9159</v>
      </c>
      <c r="C102" s="25" t="s">
        <v>4911</v>
      </c>
      <c r="D102" s="27">
        <v>17</v>
      </c>
      <c r="E102" s="25" t="s">
        <v>4911</v>
      </c>
      <c r="F102" s="26" t="s">
        <v>9368</v>
      </c>
      <c r="G102" s="20" t="s">
        <v>9369</v>
      </c>
    </row>
    <row r="103" spans="1:7" x14ac:dyDescent="0.25">
      <c r="A103" s="23" t="s">
        <v>9367</v>
      </c>
      <c r="B103" s="20" t="s">
        <v>9159</v>
      </c>
      <c r="C103" s="20" t="s">
        <v>4911</v>
      </c>
      <c r="D103" s="24">
        <v>17</v>
      </c>
      <c r="E103" s="20" t="s">
        <v>4911</v>
      </c>
      <c r="F103" s="23" t="s">
        <v>9370</v>
      </c>
      <c r="G103" s="20" t="s">
        <v>9371</v>
      </c>
    </row>
    <row r="104" spans="1:7" x14ac:dyDescent="0.25">
      <c r="A104" s="23" t="s">
        <v>9372</v>
      </c>
      <c r="B104" s="20" t="s">
        <v>9159</v>
      </c>
      <c r="C104" s="20" t="s">
        <v>4945</v>
      </c>
      <c r="D104" s="24">
        <v>18</v>
      </c>
      <c r="E104" s="20" t="s">
        <v>4945</v>
      </c>
      <c r="F104" s="23" t="s">
        <v>9373</v>
      </c>
      <c r="G104" s="20" t="s">
        <v>9374</v>
      </c>
    </row>
    <row r="105" spans="1:7" x14ac:dyDescent="0.25">
      <c r="A105" s="23" t="s">
        <v>9372</v>
      </c>
      <c r="B105" s="20" t="s">
        <v>9159</v>
      </c>
      <c r="C105" s="20" t="s">
        <v>4945</v>
      </c>
      <c r="D105" s="24">
        <v>18</v>
      </c>
      <c r="E105" s="20" t="s">
        <v>4945</v>
      </c>
      <c r="F105" s="23" t="s">
        <v>9375</v>
      </c>
      <c r="G105" s="20" t="s">
        <v>9376</v>
      </c>
    </row>
    <row r="106" spans="1:7" x14ac:dyDescent="0.25">
      <c r="A106" s="23" t="s">
        <v>9377</v>
      </c>
      <c r="B106" s="20" t="s">
        <v>9159</v>
      </c>
      <c r="C106" s="20" t="s">
        <v>4998</v>
      </c>
      <c r="D106" s="24">
        <v>19</v>
      </c>
      <c r="E106" s="20" t="s">
        <v>4998</v>
      </c>
      <c r="F106" s="23" t="s">
        <v>9378</v>
      </c>
      <c r="G106" s="20" t="s">
        <v>9379</v>
      </c>
    </row>
    <row r="107" spans="1:7" x14ac:dyDescent="0.25">
      <c r="A107" s="23" t="s">
        <v>9377</v>
      </c>
      <c r="B107" s="20" t="s">
        <v>9159</v>
      </c>
      <c r="C107" s="20" t="s">
        <v>4998</v>
      </c>
      <c r="D107" s="24">
        <v>19</v>
      </c>
      <c r="E107" s="20" t="s">
        <v>4998</v>
      </c>
      <c r="F107" s="23" t="s">
        <v>9380</v>
      </c>
      <c r="G107" s="20" t="s">
        <v>9381</v>
      </c>
    </row>
    <row r="108" spans="1:7" x14ac:dyDescent="0.25">
      <c r="A108" s="23" t="s">
        <v>9377</v>
      </c>
      <c r="B108" s="20" t="s">
        <v>9159</v>
      </c>
      <c r="C108" s="20" t="s">
        <v>4998</v>
      </c>
      <c r="D108" s="24">
        <v>19</v>
      </c>
      <c r="E108" s="20" t="s">
        <v>4998</v>
      </c>
      <c r="F108" s="23" t="s">
        <v>9382</v>
      </c>
      <c r="G108" s="20" t="s">
        <v>9383</v>
      </c>
    </row>
    <row r="109" spans="1:7" x14ac:dyDescent="0.25">
      <c r="A109" s="26" t="s">
        <v>9377</v>
      </c>
      <c r="B109" s="25" t="s">
        <v>9159</v>
      </c>
      <c r="C109" s="25" t="s">
        <v>4998</v>
      </c>
      <c r="D109" s="27">
        <v>19</v>
      </c>
      <c r="E109" s="25" t="s">
        <v>4998</v>
      </c>
      <c r="F109" s="26" t="s">
        <v>9384</v>
      </c>
      <c r="G109" s="20" t="s">
        <v>9385</v>
      </c>
    </row>
    <row r="110" spans="1:7" x14ac:dyDescent="0.25">
      <c r="A110" s="26" t="s">
        <v>9377</v>
      </c>
      <c r="B110" s="25" t="s">
        <v>9159</v>
      </c>
      <c r="C110" s="25" t="s">
        <v>4998</v>
      </c>
      <c r="D110" s="27">
        <v>19</v>
      </c>
      <c r="E110" s="25" t="s">
        <v>4998</v>
      </c>
      <c r="F110" s="26" t="s">
        <v>9386</v>
      </c>
      <c r="G110" s="20" t="s">
        <v>9387</v>
      </c>
    </row>
    <row r="111" spans="1:7" x14ac:dyDescent="0.25">
      <c r="A111" s="26" t="s">
        <v>9377</v>
      </c>
      <c r="B111" s="25" t="s">
        <v>9159</v>
      </c>
      <c r="C111" s="25" t="s">
        <v>4998</v>
      </c>
      <c r="D111" s="27">
        <v>19</v>
      </c>
      <c r="E111" s="25" t="s">
        <v>4998</v>
      </c>
      <c r="F111" s="26" t="s">
        <v>9388</v>
      </c>
      <c r="G111" s="20" t="s">
        <v>9389</v>
      </c>
    </row>
    <row r="112" spans="1:7" x14ac:dyDescent="0.25">
      <c r="A112" s="26" t="s">
        <v>9377</v>
      </c>
      <c r="B112" s="25" t="s">
        <v>9159</v>
      </c>
      <c r="C112" s="25" t="s">
        <v>4998</v>
      </c>
      <c r="D112" s="27">
        <v>19</v>
      </c>
      <c r="E112" s="25" t="s">
        <v>4998</v>
      </c>
      <c r="F112" s="26" t="s">
        <v>9390</v>
      </c>
      <c r="G112" s="20" t="s">
        <v>9391</v>
      </c>
    </row>
    <row r="113" spans="1:7" x14ac:dyDescent="0.25">
      <c r="A113" s="23" t="s">
        <v>9377</v>
      </c>
      <c r="B113" s="20" t="s">
        <v>9159</v>
      </c>
      <c r="C113" s="20" t="s">
        <v>4998</v>
      </c>
      <c r="D113" s="24">
        <v>19</v>
      </c>
      <c r="E113" s="20" t="s">
        <v>4998</v>
      </c>
      <c r="F113" s="23" t="s">
        <v>9392</v>
      </c>
      <c r="G113" s="20" t="s">
        <v>9393</v>
      </c>
    </row>
    <row r="114" spans="1:7" x14ac:dyDescent="0.25">
      <c r="A114" s="23" t="s">
        <v>9394</v>
      </c>
      <c r="B114" s="20" t="s">
        <v>9159</v>
      </c>
      <c r="C114" s="20" t="s">
        <v>5125</v>
      </c>
      <c r="D114" s="24">
        <v>20</v>
      </c>
      <c r="E114" s="20" t="s">
        <v>5125</v>
      </c>
      <c r="F114" s="23" t="s">
        <v>9395</v>
      </c>
      <c r="G114" s="20" t="s">
        <v>9396</v>
      </c>
    </row>
    <row r="115" spans="1:7" x14ac:dyDescent="0.25">
      <c r="A115" s="26" t="s">
        <v>9397</v>
      </c>
      <c r="B115" s="25" t="s">
        <v>9159</v>
      </c>
      <c r="C115" s="25" t="s">
        <v>5162</v>
      </c>
      <c r="D115" s="27">
        <v>50</v>
      </c>
      <c r="E115" s="25" t="s">
        <v>9398</v>
      </c>
      <c r="F115" s="26" t="s">
        <v>9399</v>
      </c>
      <c r="G115" s="20" t="s">
        <v>9398</v>
      </c>
    </row>
    <row r="116" spans="1:7" x14ac:dyDescent="0.25">
      <c r="A116" s="23" t="s">
        <v>9397</v>
      </c>
      <c r="B116" s="20" t="s">
        <v>9159</v>
      </c>
      <c r="C116" s="20" t="s">
        <v>5162</v>
      </c>
      <c r="D116" s="24">
        <v>50</v>
      </c>
      <c r="E116" s="20" t="s">
        <v>9398</v>
      </c>
      <c r="F116" s="23" t="s">
        <v>9400</v>
      </c>
      <c r="G116" s="20" t="s">
        <v>9401</v>
      </c>
    </row>
    <row r="117" spans="1:7" x14ac:dyDescent="0.25">
      <c r="A117" s="26" t="s">
        <v>9397</v>
      </c>
      <c r="B117" s="25" t="s">
        <v>9159</v>
      </c>
      <c r="C117" s="25" t="s">
        <v>5162</v>
      </c>
      <c r="D117" s="27">
        <v>50</v>
      </c>
      <c r="E117" s="25" t="s">
        <v>9398</v>
      </c>
      <c r="F117" s="26" t="s">
        <v>9402</v>
      </c>
      <c r="G117" s="20" t="s">
        <v>9403</v>
      </c>
    </row>
    <row r="118" spans="1:7" x14ac:dyDescent="0.25">
      <c r="A118" s="23" t="s">
        <v>9397</v>
      </c>
      <c r="B118" s="20" t="s">
        <v>9159</v>
      </c>
      <c r="C118" s="20" t="s">
        <v>5162</v>
      </c>
      <c r="D118" s="24">
        <v>50</v>
      </c>
      <c r="E118" s="20" t="s">
        <v>9398</v>
      </c>
      <c r="F118" s="23" t="s">
        <v>9404</v>
      </c>
      <c r="G118" s="20" t="s">
        <v>9405</v>
      </c>
    </row>
    <row r="119" spans="1:7" x14ac:dyDescent="0.25">
      <c r="A119" s="23" t="s">
        <v>9397</v>
      </c>
      <c r="B119" s="20" t="s">
        <v>9159</v>
      </c>
      <c r="C119" s="20" t="s">
        <v>5162</v>
      </c>
      <c r="D119" s="24">
        <v>50</v>
      </c>
      <c r="E119" s="20" t="s">
        <v>9398</v>
      </c>
      <c r="F119" s="23" t="s">
        <v>9406</v>
      </c>
      <c r="G119" s="20" t="s">
        <v>9407</v>
      </c>
    </row>
    <row r="120" spans="1:7" x14ac:dyDescent="0.25">
      <c r="A120" s="23" t="s">
        <v>9397</v>
      </c>
      <c r="B120" s="20" t="s">
        <v>9159</v>
      </c>
      <c r="C120" s="20" t="s">
        <v>5162</v>
      </c>
      <c r="D120" s="24">
        <v>50</v>
      </c>
      <c r="E120" s="20" t="s">
        <v>9398</v>
      </c>
      <c r="F120" s="23" t="s">
        <v>9408</v>
      </c>
      <c r="G120" s="20" t="s">
        <v>9409</v>
      </c>
    </row>
    <row r="121" spans="1:7" x14ac:dyDescent="0.25">
      <c r="A121" s="26" t="s">
        <v>9397</v>
      </c>
      <c r="B121" s="25" t="s">
        <v>9159</v>
      </c>
      <c r="C121" s="25" t="s">
        <v>5162</v>
      </c>
      <c r="D121" s="27">
        <v>50</v>
      </c>
      <c r="E121" s="25" t="s">
        <v>9398</v>
      </c>
      <c r="F121" s="26" t="s">
        <v>9410</v>
      </c>
      <c r="G121" s="20" t="s">
        <v>9411</v>
      </c>
    </row>
    <row r="122" spans="1:7" x14ac:dyDescent="0.25">
      <c r="A122" s="23" t="s">
        <v>9397</v>
      </c>
      <c r="B122" s="20" t="s">
        <v>9159</v>
      </c>
      <c r="C122" s="20" t="s">
        <v>5162</v>
      </c>
      <c r="D122" s="24">
        <v>50</v>
      </c>
      <c r="E122" s="20" t="s">
        <v>9398</v>
      </c>
      <c r="F122" s="23" t="s">
        <v>9412</v>
      </c>
      <c r="G122" s="20" t="s">
        <v>9413</v>
      </c>
    </row>
    <row r="123" spans="1:7" x14ac:dyDescent="0.25">
      <c r="A123" s="23" t="s">
        <v>9397</v>
      </c>
      <c r="B123" s="20" t="s">
        <v>9159</v>
      </c>
      <c r="C123" s="20" t="s">
        <v>5162</v>
      </c>
      <c r="D123" s="24">
        <v>50</v>
      </c>
      <c r="E123" s="20" t="s">
        <v>9398</v>
      </c>
      <c r="F123" s="23" t="s">
        <v>9414</v>
      </c>
      <c r="G123" s="20" t="s">
        <v>9415</v>
      </c>
    </row>
    <row r="124" spans="1:7" x14ac:dyDescent="0.25">
      <c r="A124" s="23" t="s">
        <v>9397</v>
      </c>
      <c r="B124" s="20" t="s">
        <v>9159</v>
      </c>
      <c r="C124" s="20" t="s">
        <v>5162</v>
      </c>
      <c r="D124" s="24">
        <v>50</v>
      </c>
      <c r="E124" s="20" t="s">
        <v>9398</v>
      </c>
      <c r="F124" s="23" t="s">
        <v>9416</v>
      </c>
      <c r="G124" s="20" t="s">
        <v>9417</v>
      </c>
    </row>
    <row r="125" spans="1:7" x14ac:dyDescent="0.25">
      <c r="A125" s="23" t="s">
        <v>9397</v>
      </c>
      <c r="B125" s="20" t="s">
        <v>9159</v>
      </c>
      <c r="C125" s="20" t="s">
        <v>5162</v>
      </c>
      <c r="D125" s="24">
        <v>50</v>
      </c>
      <c r="E125" s="20" t="s">
        <v>9398</v>
      </c>
      <c r="F125" s="23" t="s">
        <v>9418</v>
      </c>
      <c r="G125" s="20" t="s">
        <v>9419</v>
      </c>
    </row>
    <row r="126" spans="1:7" x14ac:dyDescent="0.25">
      <c r="A126" s="23" t="s">
        <v>9397</v>
      </c>
      <c r="B126" s="20" t="s">
        <v>9159</v>
      </c>
      <c r="C126" s="20" t="s">
        <v>5162</v>
      </c>
      <c r="D126" s="24">
        <v>50</v>
      </c>
      <c r="E126" s="20" t="s">
        <v>9398</v>
      </c>
      <c r="F126" s="23" t="s">
        <v>9420</v>
      </c>
      <c r="G126" s="20" t="s">
        <v>9421</v>
      </c>
    </row>
    <row r="127" spans="1:7" x14ac:dyDescent="0.25">
      <c r="A127" s="23" t="s">
        <v>9397</v>
      </c>
      <c r="B127" s="20" t="s">
        <v>9159</v>
      </c>
      <c r="C127" s="20" t="s">
        <v>5162</v>
      </c>
      <c r="D127" s="24">
        <v>50</v>
      </c>
      <c r="E127" s="20" t="s">
        <v>9398</v>
      </c>
      <c r="F127" s="23" t="s">
        <v>9422</v>
      </c>
      <c r="G127" s="20" t="s">
        <v>9423</v>
      </c>
    </row>
    <row r="128" spans="1:7" x14ac:dyDescent="0.25">
      <c r="A128" s="23" t="s">
        <v>9424</v>
      </c>
      <c r="B128" s="20" t="s">
        <v>9159</v>
      </c>
      <c r="C128" s="20" t="s">
        <v>5527</v>
      </c>
      <c r="D128" s="24">
        <v>21</v>
      </c>
      <c r="E128" s="20" t="s">
        <v>9425</v>
      </c>
      <c r="F128" s="23" t="s">
        <v>70</v>
      </c>
      <c r="G128" s="20" t="s">
        <v>9426</v>
      </c>
    </row>
    <row r="129" spans="1:7" x14ac:dyDescent="0.25">
      <c r="A129" s="26" t="s">
        <v>9424</v>
      </c>
      <c r="B129" s="25" t="s">
        <v>9159</v>
      </c>
      <c r="C129" s="25" t="s">
        <v>5527</v>
      </c>
      <c r="D129" s="27">
        <v>21</v>
      </c>
      <c r="E129" s="25" t="s">
        <v>9425</v>
      </c>
      <c r="F129" s="26" t="s">
        <v>68</v>
      </c>
      <c r="G129" s="20" t="s">
        <v>9427</v>
      </c>
    </row>
    <row r="130" spans="1:7" x14ac:dyDescent="0.25">
      <c r="A130" s="23" t="s">
        <v>9424</v>
      </c>
      <c r="B130" s="20" t="s">
        <v>9159</v>
      </c>
      <c r="C130" s="20" t="s">
        <v>5527</v>
      </c>
      <c r="D130" s="24">
        <v>21</v>
      </c>
      <c r="E130" s="20" t="s">
        <v>9425</v>
      </c>
      <c r="F130" s="23" t="s">
        <v>71</v>
      </c>
      <c r="G130" s="20" t="s">
        <v>9366</v>
      </c>
    </row>
    <row r="131" spans="1:7" x14ac:dyDescent="0.25">
      <c r="A131" s="26" t="s">
        <v>9424</v>
      </c>
      <c r="B131" s="25" t="s">
        <v>9159</v>
      </c>
      <c r="C131" s="25" t="s">
        <v>5527</v>
      </c>
      <c r="D131" s="27">
        <v>21</v>
      </c>
      <c r="E131" s="25" t="s">
        <v>9425</v>
      </c>
      <c r="F131" s="26" t="s">
        <v>72</v>
      </c>
      <c r="G131" s="20" t="s">
        <v>9428</v>
      </c>
    </row>
    <row r="132" spans="1:7" x14ac:dyDescent="0.25">
      <c r="A132" s="28" t="s">
        <v>9424</v>
      </c>
      <c r="B132" s="29" t="s">
        <v>9159</v>
      </c>
      <c r="C132" s="29" t="s">
        <v>5527</v>
      </c>
      <c r="D132" s="30">
        <v>21</v>
      </c>
      <c r="E132" s="29" t="s">
        <v>9425</v>
      </c>
      <c r="F132" s="28" t="s">
        <v>73</v>
      </c>
      <c r="G132" s="20" t="s">
        <v>9429</v>
      </c>
    </row>
    <row r="133" spans="1:7" x14ac:dyDescent="0.25">
      <c r="A133" s="26" t="s">
        <v>9430</v>
      </c>
      <c r="B133" s="25" t="s">
        <v>9159</v>
      </c>
      <c r="C133" s="25" t="s">
        <v>5574</v>
      </c>
      <c r="D133" s="27">
        <v>22</v>
      </c>
      <c r="E133" s="25" t="s">
        <v>5574</v>
      </c>
      <c r="F133" s="26" t="s">
        <v>69</v>
      </c>
      <c r="G133" s="20" t="s">
        <v>9431</v>
      </c>
    </row>
    <row r="134" spans="1:7" x14ac:dyDescent="0.25">
      <c r="A134" s="23" t="s">
        <v>9432</v>
      </c>
      <c r="B134" s="20" t="s">
        <v>9159</v>
      </c>
      <c r="C134" s="20" t="s">
        <v>5615</v>
      </c>
      <c r="D134" s="24">
        <v>23</v>
      </c>
      <c r="E134" s="20" t="s">
        <v>5615</v>
      </c>
      <c r="F134" s="23" t="s">
        <v>90</v>
      </c>
      <c r="G134" s="20" t="s">
        <v>9433</v>
      </c>
    </row>
    <row r="135" spans="1:7" x14ac:dyDescent="0.25">
      <c r="A135" s="23" t="s">
        <v>9432</v>
      </c>
      <c r="B135" s="20" t="s">
        <v>9159</v>
      </c>
      <c r="C135" s="20" t="s">
        <v>5615</v>
      </c>
      <c r="D135" s="24">
        <v>23</v>
      </c>
      <c r="E135" s="20" t="s">
        <v>5615</v>
      </c>
      <c r="F135" s="23" t="s">
        <v>9434</v>
      </c>
      <c r="G135" s="20" t="s">
        <v>9435</v>
      </c>
    </row>
    <row r="136" spans="1:7" x14ac:dyDescent="0.25">
      <c r="A136" s="23" t="s">
        <v>9432</v>
      </c>
      <c r="B136" s="20" t="s">
        <v>9159</v>
      </c>
      <c r="C136" s="20" t="s">
        <v>5615</v>
      </c>
      <c r="D136" s="24">
        <v>23</v>
      </c>
      <c r="E136" s="20" t="s">
        <v>5615</v>
      </c>
      <c r="F136" s="23" t="s">
        <v>9436</v>
      </c>
      <c r="G136" s="20" t="s">
        <v>9437</v>
      </c>
    </row>
    <row r="137" spans="1:7" x14ac:dyDescent="0.25">
      <c r="A137" s="23" t="s">
        <v>9432</v>
      </c>
      <c r="B137" s="20" t="s">
        <v>9159</v>
      </c>
      <c r="C137" s="20" t="s">
        <v>5615</v>
      </c>
      <c r="D137" s="24">
        <v>23</v>
      </c>
      <c r="E137" s="20" t="s">
        <v>5615</v>
      </c>
      <c r="F137" s="23" t="s">
        <v>9438</v>
      </c>
      <c r="G137" s="20" t="s">
        <v>9439</v>
      </c>
    </row>
    <row r="138" spans="1:7" x14ac:dyDescent="0.25">
      <c r="A138" s="23" t="s">
        <v>9432</v>
      </c>
      <c r="B138" s="20" t="s">
        <v>9159</v>
      </c>
      <c r="C138" s="20" t="s">
        <v>5615</v>
      </c>
      <c r="D138" s="24">
        <v>23</v>
      </c>
      <c r="E138" s="20" t="s">
        <v>5615</v>
      </c>
      <c r="F138" s="23" t="s">
        <v>9440</v>
      </c>
      <c r="G138" s="20" t="s">
        <v>9441</v>
      </c>
    </row>
    <row r="139" spans="1:7" x14ac:dyDescent="0.25">
      <c r="A139" s="23" t="s">
        <v>9432</v>
      </c>
      <c r="B139" s="20" t="s">
        <v>9159</v>
      </c>
      <c r="C139" s="20" t="s">
        <v>5615</v>
      </c>
      <c r="D139" s="24">
        <v>23</v>
      </c>
      <c r="E139" s="20" t="s">
        <v>5615</v>
      </c>
      <c r="F139" s="23" t="s">
        <v>9442</v>
      </c>
      <c r="G139" s="20" t="s">
        <v>9443</v>
      </c>
    </row>
    <row r="140" spans="1:7" x14ac:dyDescent="0.25">
      <c r="A140" s="23" t="s">
        <v>9432</v>
      </c>
      <c r="B140" s="20" t="s">
        <v>9159</v>
      </c>
      <c r="C140" s="20" t="s">
        <v>5615</v>
      </c>
      <c r="D140" s="24">
        <v>23</v>
      </c>
      <c r="E140" s="20" t="s">
        <v>5615</v>
      </c>
      <c r="F140" s="23" t="s">
        <v>9444</v>
      </c>
      <c r="G140" s="20" t="s">
        <v>9445</v>
      </c>
    </row>
    <row r="141" spans="1:7" x14ac:dyDescent="0.25">
      <c r="A141" s="23" t="s">
        <v>9432</v>
      </c>
      <c r="B141" s="20" t="s">
        <v>9159</v>
      </c>
      <c r="C141" s="20" t="s">
        <v>5615</v>
      </c>
      <c r="D141" s="24">
        <v>23</v>
      </c>
      <c r="E141" s="20" t="s">
        <v>5615</v>
      </c>
      <c r="F141" s="23" t="s">
        <v>9446</v>
      </c>
      <c r="G141" s="20" t="s">
        <v>9447</v>
      </c>
    </row>
    <row r="142" spans="1:7" x14ac:dyDescent="0.25">
      <c r="A142" s="23" t="s">
        <v>9448</v>
      </c>
      <c r="B142" s="20" t="s">
        <v>9159</v>
      </c>
      <c r="C142" s="20" t="s">
        <v>5677</v>
      </c>
      <c r="D142" s="24">
        <v>25</v>
      </c>
      <c r="E142" s="20" t="s">
        <v>5677</v>
      </c>
      <c r="F142" s="23" t="s">
        <v>9449</v>
      </c>
      <c r="G142" s="20" t="s">
        <v>9450</v>
      </c>
    </row>
    <row r="143" spans="1:7" x14ac:dyDescent="0.25">
      <c r="A143" s="23" t="s">
        <v>9448</v>
      </c>
      <c r="B143" s="20" t="s">
        <v>9159</v>
      </c>
      <c r="C143" s="20" t="s">
        <v>5677</v>
      </c>
      <c r="D143" s="24">
        <v>25</v>
      </c>
      <c r="E143" s="20" t="s">
        <v>5677</v>
      </c>
      <c r="F143" s="23" t="s">
        <v>9451</v>
      </c>
      <c r="G143" s="20" t="s">
        <v>9452</v>
      </c>
    </row>
    <row r="144" spans="1:7" x14ac:dyDescent="0.25">
      <c r="A144" s="23" t="s">
        <v>9448</v>
      </c>
      <c r="B144" s="20" t="s">
        <v>9159</v>
      </c>
      <c r="C144" s="20" t="s">
        <v>5677</v>
      </c>
      <c r="D144" s="24">
        <v>25</v>
      </c>
      <c r="E144" s="20" t="s">
        <v>5677</v>
      </c>
      <c r="F144" s="23" t="s">
        <v>9453</v>
      </c>
      <c r="G144" s="20" t="s">
        <v>9454</v>
      </c>
    </row>
    <row r="145" spans="1:7" x14ac:dyDescent="0.25">
      <c r="A145" s="23" t="s">
        <v>9448</v>
      </c>
      <c r="B145" s="20" t="s">
        <v>9159</v>
      </c>
      <c r="C145" s="20" t="s">
        <v>5677</v>
      </c>
      <c r="D145" s="24">
        <v>25</v>
      </c>
      <c r="E145" s="20" t="s">
        <v>5677</v>
      </c>
      <c r="F145" s="23" t="s">
        <v>9455</v>
      </c>
      <c r="G145" s="20" t="s">
        <v>9456</v>
      </c>
    </row>
    <row r="146" spans="1:7" x14ac:dyDescent="0.25">
      <c r="A146" s="23" t="s">
        <v>9448</v>
      </c>
      <c r="B146" s="20" t="s">
        <v>9159</v>
      </c>
      <c r="C146" s="20" t="s">
        <v>5677</v>
      </c>
      <c r="D146" s="24">
        <v>25</v>
      </c>
      <c r="E146" s="20" t="s">
        <v>5677</v>
      </c>
      <c r="F146" s="23" t="s">
        <v>9457</v>
      </c>
      <c r="G146" s="20" t="s">
        <v>9458</v>
      </c>
    </row>
    <row r="147" spans="1:7" x14ac:dyDescent="0.25">
      <c r="A147" s="23" t="s">
        <v>9448</v>
      </c>
      <c r="B147" s="20" t="s">
        <v>9159</v>
      </c>
      <c r="C147" s="20" t="s">
        <v>5677</v>
      </c>
      <c r="D147" s="24">
        <v>25</v>
      </c>
      <c r="E147" s="20" t="s">
        <v>5677</v>
      </c>
      <c r="F147" s="23" t="s">
        <v>9459</v>
      </c>
      <c r="G147" s="20" t="s">
        <v>9460</v>
      </c>
    </row>
    <row r="148" spans="1:7" x14ac:dyDescent="0.25">
      <c r="A148" s="23" t="s">
        <v>9448</v>
      </c>
      <c r="B148" s="20" t="s">
        <v>9159</v>
      </c>
      <c r="C148" s="20" t="s">
        <v>5677</v>
      </c>
      <c r="D148" s="24">
        <v>25</v>
      </c>
      <c r="E148" s="20" t="s">
        <v>5677</v>
      </c>
      <c r="F148" s="23" t="s">
        <v>9461</v>
      </c>
      <c r="G148" s="20" t="s">
        <v>9462</v>
      </c>
    </row>
    <row r="149" spans="1:7" x14ac:dyDescent="0.25">
      <c r="A149" s="23" t="s">
        <v>9448</v>
      </c>
      <c r="B149" s="20" t="s">
        <v>9159</v>
      </c>
      <c r="C149" s="20" t="s">
        <v>5677</v>
      </c>
      <c r="D149" s="24">
        <v>25</v>
      </c>
      <c r="E149" s="20" t="s">
        <v>5677</v>
      </c>
      <c r="F149" s="23" t="s">
        <v>9463</v>
      </c>
      <c r="G149" s="20" t="s">
        <v>9464</v>
      </c>
    </row>
    <row r="150" spans="1:7" x14ac:dyDescent="0.25">
      <c r="A150" s="23" t="s">
        <v>9465</v>
      </c>
      <c r="B150" s="20" t="s">
        <v>9159</v>
      </c>
      <c r="C150" s="20" t="s">
        <v>5783</v>
      </c>
      <c r="D150" s="24">
        <v>102</v>
      </c>
      <c r="E150" s="20" t="s">
        <v>9466</v>
      </c>
      <c r="F150" s="23" t="s">
        <v>36</v>
      </c>
      <c r="G150" s="20" t="s">
        <v>9467</v>
      </c>
    </row>
    <row r="151" spans="1:7" x14ac:dyDescent="0.25">
      <c r="A151" s="23" t="s">
        <v>9465</v>
      </c>
      <c r="B151" s="20" t="s">
        <v>9159</v>
      </c>
      <c r="C151" s="20" t="s">
        <v>5783</v>
      </c>
      <c r="D151" s="24">
        <v>102</v>
      </c>
      <c r="E151" s="20" t="s">
        <v>9466</v>
      </c>
      <c r="F151" s="23" t="s">
        <v>37</v>
      </c>
      <c r="G151" s="20" t="s">
        <v>9468</v>
      </c>
    </row>
    <row r="152" spans="1:7" x14ac:dyDescent="0.25">
      <c r="A152" s="23" t="s">
        <v>9465</v>
      </c>
      <c r="B152" s="20" t="s">
        <v>9159</v>
      </c>
      <c r="C152" s="20" t="s">
        <v>5783</v>
      </c>
      <c r="D152" s="24">
        <v>102</v>
      </c>
      <c r="E152" s="20" t="s">
        <v>9466</v>
      </c>
      <c r="F152" s="23" t="s">
        <v>56</v>
      </c>
      <c r="G152" s="20" t="s">
        <v>9469</v>
      </c>
    </row>
    <row r="153" spans="1:7" x14ac:dyDescent="0.25">
      <c r="A153" s="23" t="s">
        <v>9465</v>
      </c>
      <c r="B153" s="20" t="s">
        <v>9159</v>
      </c>
      <c r="C153" s="20" t="s">
        <v>5783</v>
      </c>
      <c r="D153" s="24">
        <v>103</v>
      </c>
      <c r="E153" s="20" t="s">
        <v>9470</v>
      </c>
      <c r="F153" s="23" t="s">
        <v>42</v>
      </c>
      <c r="G153" s="20" t="s">
        <v>9471</v>
      </c>
    </row>
    <row r="154" spans="1:7" x14ac:dyDescent="0.25">
      <c r="A154" s="23" t="s">
        <v>9465</v>
      </c>
      <c r="B154" s="20" t="s">
        <v>9159</v>
      </c>
      <c r="C154" s="20" t="s">
        <v>5783</v>
      </c>
      <c r="D154" s="24">
        <v>103</v>
      </c>
      <c r="E154" s="20" t="s">
        <v>9470</v>
      </c>
      <c r="F154" s="23" t="s">
        <v>66</v>
      </c>
      <c r="G154" s="20" t="s">
        <v>9472</v>
      </c>
    </row>
    <row r="155" spans="1:7" x14ac:dyDescent="0.25">
      <c r="A155" s="23" t="s">
        <v>9465</v>
      </c>
      <c r="B155" s="20" t="s">
        <v>9159</v>
      </c>
      <c r="C155" s="20" t="s">
        <v>5783</v>
      </c>
      <c r="D155" s="24">
        <v>103</v>
      </c>
      <c r="E155" s="20" t="s">
        <v>9470</v>
      </c>
      <c r="F155" s="23" t="s">
        <v>51</v>
      </c>
      <c r="G155" s="20" t="s">
        <v>9473</v>
      </c>
    </row>
    <row r="156" spans="1:7" x14ac:dyDescent="0.25">
      <c r="A156" s="23" t="s">
        <v>9465</v>
      </c>
      <c r="B156" s="20" t="s">
        <v>9159</v>
      </c>
      <c r="C156" s="20" t="s">
        <v>5783</v>
      </c>
      <c r="D156" s="24">
        <v>103</v>
      </c>
      <c r="E156" s="20" t="s">
        <v>9470</v>
      </c>
      <c r="F156" s="23" t="s">
        <v>54</v>
      </c>
      <c r="G156" s="20" t="s">
        <v>9474</v>
      </c>
    </row>
    <row r="157" spans="1:7" x14ac:dyDescent="0.25">
      <c r="A157" s="23" t="s">
        <v>9465</v>
      </c>
      <c r="B157" s="20" t="s">
        <v>9159</v>
      </c>
      <c r="C157" s="20" t="s">
        <v>5783</v>
      </c>
      <c r="D157" s="24">
        <v>103</v>
      </c>
      <c r="E157" s="20" t="s">
        <v>9470</v>
      </c>
      <c r="F157" s="23" t="s">
        <v>44</v>
      </c>
      <c r="G157" s="20" t="s">
        <v>9475</v>
      </c>
    </row>
    <row r="158" spans="1:7" x14ac:dyDescent="0.25">
      <c r="A158" s="23" t="s">
        <v>9465</v>
      </c>
      <c r="B158" s="20" t="s">
        <v>9159</v>
      </c>
      <c r="C158" s="20" t="s">
        <v>5783</v>
      </c>
      <c r="D158" s="24">
        <v>103</v>
      </c>
      <c r="E158" s="20" t="s">
        <v>9470</v>
      </c>
      <c r="F158" s="23" t="s">
        <v>49</v>
      </c>
      <c r="G158" s="20" t="s">
        <v>9476</v>
      </c>
    </row>
    <row r="159" spans="1:7" x14ac:dyDescent="0.25">
      <c r="A159" s="23" t="s">
        <v>9465</v>
      </c>
      <c r="B159" s="20" t="s">
        <v>9159</v>
      </c>
      <c r="C159" s="20" t="s">
        <v>5783</v>
      </c>
      <c r="D159" s="24">
        <v>103</v>
      </c>
      <c r="E159" s="20" t="s">
        <v>9470</v>
      </c>
      <c r="F159" s="23" t="s">
        <v>43</v>
      </c>
      <c r="G159" s="20" t="s">
        <v>9477</v>
      </c>
    </row>
    <row r="160" spans="1:7" x14ac:dyDescent="0.25">
      <c r="A160" s="23" t="s">
        <v>9465</v>
      </c>
      <c r="B160" s="20" t="s">
        <v>9159</v>
      </c>
      <c r="C160" s="20" t="s">
        <v>5783</v>
      </c>
      <c r="D160" s="24">
        <v>103</v>
      </c>
      <c r="E160" s="20" t="s">
        <v>9470</v>
      </c>
      <c r="F160" s="23" t="s">
        <v>617</v>
      </c>
      <c r="G160" s="20" t="s">
        <v>9478</v>
      </c>
    </row>
    <row r="161" spans="1:7" x14ac:dyDescent="0.25">
      <c r="A161" s="23" t="s">
        <v>9465</v>
      </c>
      <c r="B161" s="20" t="s">
        <v>9159</v>
      </c>
      <c r="C161" s="20" t="s">
        <v>5783</v>
      </c>
      <c r="D161" s="24">
        <v>103</v>
      </c>
      <c r="E161" s="20" t="s">
        <v>9470</v>
      </c>
      <c r="F161" s="23" t="s">
        <v>58</v>
      </c>
      <c r="G161" s="20" t="s">
        <v>9479</v>
      </c>
    </row>
    <row r="162" spans="1:7" x14ac:dyDescent="0.25">
      <c r="A162" s="23" t="s">
        <v>9465</v>
      </c>
      <c r="B162" s="20" t="s">
        <v>9159</v>
      </c>
      <c r="C162" s="20" t="s">
        <v>5783</v>
      </c>
      <c r="D162" s="24">
        <v>103</v>
      </c>
      <c r="E162" s="20" t="s">
        <v>9470</v>
      </c>
      <c r="F162" s="23" t="s">
        <v>9480</v>
      </c>
      <c r="G162" s="20" t="s">
        <v>9481</v>
      </c>
    </row>
    <row r="163" spans="1:7" x14ac:dyDescent="0.25">
      <c r="A163" s="23" t="s">
        <v>9465</v>
      </c>
      <c r="B163" s="20" t="s">
        <v>9159</v>
      </c>
      <c r="C163" s="20" t="s">
        <v>5783</v>
      </c>
      <c r="D163" s="24">
        <v>103</v>
      </c>
      <c r="E163" s="20" t="s">
        <v>9470</v>
      </c>
      <c r="F163" s="23" t="s">
        <v>53</v>
      </c>
      <c r="G163" s="20" t="s">
        <v>9482</v>
      </c>
    </row>
    <row r="164" spans="1:7" x14ac:dyDescent="0.25">
      <c r="A164" s="23" t="s">
        <v>9465</v>
      </c>
      <c r="B164" s="20" t="s">
        <v>9159</v>
      </c>
      <c r="C164" s="20" t="s">
        <v>5783</v>
      </c>
      <c r="D164" s="24">
        <v>103</v>
      </c>
      <c r="E164" s="20" t="s">
        <v>9470</v>
      </c>
      <c r="F164" s="23" t="s">
        <v>55</v>
      </c>
      <c r="G164" s="20" t="s">
        <v>9483</v>
      </c>
    </row>
    <row r="165" spans="1:7" x14ac:dyDescent="0.25">
      <c r="A165" s="23" t="s">
        <v>9465</v>
      </c>
      <c r="B165" s="20" t="s">
        <v>9159</v>
      </c>
      <c r="C165" s="20" t="s">
        <v>5783</v>
      </c>
      <c r="D165" s="24">
        <v>103</v>
      </c>
      <c r="E165" s="20" t="s">
        <v>9470</v>
      </c>
      <c r="F165" s="23" t="s">
        <v>57</v>
      </c>
      <c r="G165" s="20" t="s">
        <v>9484</v>
      </c>
    </row>
    <row r="166" spans="1:7" x14ac:dyDescent="0.25">
      <c r="A166" s="23" t="s">
        <v>9465</v>
      </c>
      <c r="B166" s="20" t="s">
        <v>9159</v>
      </c>
      <c r="C166" s="20" t="s">
        <v>5783</v>
      </c>
      <c r="D166" s="24">
        <v>103</v>
      </c>
      <c r="E166" s="20" t="s">
        <v>9470</v>
      </c>
      <c r="F166" s="23" t="s">
        <v>60</v>
      </c>
      <c r="G166" s="20" t="s">
        <v>9485</v>
      </c>
    </row>
    <row r="167" spans="1:7" x14ac:dyDescent="0.25">
      <c r="A167" s="23" t="s">
        <v>9465</v>
      </c>
      <c r="B167" s="20" t="s">
        <v>9159</v>
      </c>
      <c r="C167" s="20" t="s">
        <v>5783</v>
      </c>
      <c r="D167" s="24">
        <v>103</v>
      </c>
      <c r="E167" s="20" t="s">
        <v>9470</v>
      </c>
      <c r="F167" s="23" t="s">
        <v>61</v>
      </c>
      <c r="G167" s="20" t="s">
        <v>9486</v>
      </c>
    </row>
    <row r="168" spans="1:7" x14ac:dyDescent="0.25">
      <c r="A168" s="23" t="s">
        <v>9465</v>
      </c>
      <c r="B168" s="20" t="s">
        <v>9159</v>
      </c>
      <c r="C168" s="20" t="s">
        <v>5783</v>
      </c>
      <c r="D168" s="24">
        <v>103</v>
      </c>
      <c r="E168" s="20" t="s">
        <v>9470</v>
      </c>
      <c r="F168" s="23" t="s">
        <v>59</v>
      </c>
      <c r="G168" s="20" t="s">
        <v>9487</v>
      </c>
    </row>
    <row r="169" spans="1:7" x14ac:dyDescent="0.25">
      <c r="A169" s="23" t="s">
        <v>9465</v>
      </c>
      <c r="B169" s="20" t="s">
        <v>9159</v>
      </c>
      <c r="C169" s="20" t="s">
        <v>5783</v>
      </c>
      <c r="D169" s="24">
        <v>103</v>
      </c>
      <c r="E169" s="20" t="s">
        <v>9470</v>
      </c>
      <c r="F169" s="23" t="s">
        <v>65</v>
      </c>
      <c r="G169" s="20" t="s">
        <v>9488</v>
      </c>
    </row>
    <row r="170" spans="1:7" x14ac:dyDescent="0.25">
      <c r="A170" s="23" t="s">
        <v>9465</v>
      </c>
      <c r="B170" s="20" t="s">
        <v>9159</v>
      </c>
      <c r="C170" s="20" t="s">
        <v>5783</v>
      </c>
      <c r="D170" s="24">
        <v>103</v>
      </c>
      <c r="E170" s="20" t="s">
        <v>9470</v>
      </c>
      <c r="F170" s="23" t="s">
        <v>46</v>
      </c>
      <c r="G170" s="20" t="s">
        <v>9489</v>
      </c>
    </row>
    <row r="171" spans="1:7" x14ac:dyDescent="0.25">
      <c r="A171" s="23" t="s">
        <v>9465</v>
      </c>
      <c r="B171" s="20" t="s">
        <v>9159</v>
      </c>
      <c r="C171" s="20" t="s">
        <v>5783</v>
      </c>
      <c r="D171" s="24">
        <v>105</v>
      </c>
      <c r="E171" s="20" t="s">
        <v>9490</v>
      </c>
      <c r="F171" s="23" t="s">
        <v>9491</v>
      </c>
      <c r="G171" s="20" t="s">
        <v>9492</v>
      </c>
    </row>
    <row r="172" spans="1:7" x14ac:dyDescent="0.25">
      <c r="A172" s="23" t="s">
        <v>9465</v>
      </c>
      <c r="B172" s="20" t="s">
        <v>9159</v>
      </c>
      <c r="C172" s="20" t="s">
        <v>5783</v>
      </c>
      <c r="D172" s="24">
        <v>106</v>
      </c>
      <c r="E172" s="20" t="s">
        <v>9160</v>
      </c>
      <c r="F172" s="23" t="s">
        <v>62</v>
      </c>
      <c r="G172" s="20" t="s">
        <v>9161</v>
      </c>
    </row>
    <row r="173" spans="1:7" x14ac:dyDescent="0.25">
      <c r="A173" s="23" t="s">
        <v>9465</v>
      </c>
      <c r="B173" s="20" t="s">
        <v>9159</v>
      </c>
      <c r="C173" s="20" t="s">
        <v>5783</v>
      </c>
      <c r="D173" s="24">
        <v>107</v>
      </c>
      <c r="E173" s="20" t="s">
        <v>9493</v>
      </c>
      <c r="F173" s="23" t="s">
        <v>39</v>
      </c>
      <c r="G173" s="20" t="s">
        <v>9494</v>
      </c>
    </row>
    <row r="174" spans="1:7" x14ac:dyDescent="0.25">
      <c r="A174" s="23" t="s">
        <v>9465</v>
      </c>
      <c r="B174" s="20" t="s">
        <v>9159</v>
      </c>
      <c r="C174" s="20" t="s">
        <v>5783</v>
      </c>
      <c r="D174" s="24">
        <v>107</v>
      </c>
      <c r="E174" s="20" t="s">
        <v>9493</v>
      </c>
      <c r="F174" s="23" t="s">
        <v>40</v>
      </c>
      <c r="G174" s="20" t="s">
        <v>9495</v>
      </c>
    </row>
    <row r="175" spans="1:7" x14ac:dyDescent="0.25">
      <c r="A175" s="23" t="s">
        <v>9465</v>
      </c>
      <c r="B175" s="20" t="s">
        <v>9159</v>
      </c>
      <c r="C175" s="20" t="s">
        <v>5783</v>
      </c>
      <c r="D175" s="24">
        <v>107</v>
      </c>
      <c r="E175" s="20" t="s">
        <v>9493</v>
      </c>
      <c r="F175" s="23" t="s">
        <v>41</v>
      </c>
      <c r="G175" s="20" t="s">
        <v>9496</v>
      </c>
    </row>
    <row r="176" spans="1:7" x14ac:dyDescent="0.25">
      <c r="A176" s="23" t="s">
        <v>9465</v>
      </c>
      <c r="B176" s="20" t="s">
        <v>9159</v>
      </c>
      <c r="C176" s="20" t="s">
        <v>5783</v>
      </c>
      <c r="D176" s="24">
        <v>108</v>
      </c>
      <c r="E176" s="20" t="s">
        <v>9497</v>
      </c>
      <c r="F176" s="23" t="s">
        <v>45</v>
      </c>
      <c r="G176" s="20" t="s">
        <v>9498</v>
      </c>
    </row>
    <row r="177" spans="1:7" x14ac:dyDescent="0.25">
      <c r="A177" s="23" t="s">
        <v>9465</v>
      </c>
      <c r="B177" s="20" t="s">
        <v>9159</v>
      </c>
      <c r="C177" s="20" t="s">
        <v>5783</v>
      </c>
      <c r="D177" s="24">
        <v>108</v>
      </c>
      <c r="E177" s="20" t="s">
        <v>9497</v>
      </c>
      <c r="F177" s="23" t="s">
        <v>52</v>
      </c>
      <c r="G177" s="20" t="s">
        <v>9499</v>
      </c>
    </row>
    <row r="178" spans="1:7" x14ac:dyDescent="0.25">
      <c r="A178" s="23" t="s">
        <v>9465</v>
      </c>
      <c r="B178" s="20" t="s">
        <v>9159</v>
      </c>
      <c r="C178" s="20" t="s">
        <v>5783</v>
      </c>
      <c r="D178" s="24">
        <v>800</v>
      </c>
      <c r="E178" s="20" t="s">
        <v>9162</v>
      </c>
      <c r="F178" s="23" t="s">
        <v>9163</v>
      </c>
      <c r="G178" s="20" t="s">
        <v>9164</v>
      </c>
    </row>
    <row r="179" spans="1:7" x14ac:dyDescent="0.25">
      <c r="A179" s="23" t="s">
        <v>9465</v>
      </c>
      <c r="B179" s="20" t="s">
        <v>9159</v>
      </c>
      <c r="C179" s="20" t="s">
        <v>5783</v>
      </c>
      <c r="D179" s="24">
        <v>800</v>
      </c>
      <c r="E179" s="20" t="s">
        <v>9162</v>
      </c>
      <c r="F179" s="23" t="s">
        <v>67</v>
      </c>
      <c r="G179" s="20" t="s">
        <v>9165</v>
      </c>
    </row>
    <row r="180" spans="1:7" x14ac:dyDescent="0.25">
      <c r="A180" s="23" t="s">
        <v>9465</v>
      </c>
      <c r="B180" s="20" t="s">
        <v>9159</v>
      </c>
      <c r="C180" s="20" t="s">
        <v>5783</v>
      </c>
      <c r="D180" s="24">
        <v>800</v>
      </c>
      <c r="E180" s="20" t="s">
        <v>9162</v>
      </c>
      <c r="F180" s="23" t="s">
        <v>63</v>
      </c>
      <c r="G180" s="20" t="s">
        <v>9166</v>
      </c>
    </row>
    <row r="181" spans="1:7" x14ac:dyDescent="0.25">
      <c r="A181" s="23" t="s">
        <v>9465</v>
      </c>
      <c r="B181" s="20" t="s">
        <v>9159</v>
      </c>
      <c r="C181" s="20" t="s">
        <v>5783</v>
      </c>
      <c r="D181" s="24">
        <v>800</v>
      </c>
      <c r="E181" s="20" t="s">
        <v>9162</v>
      </c>
      <c r="F181" s="23" t="s">
        <v>9167</v>
      </c>
      <c r="G181" s="20" t="s">
        <v>9168</v>
      </c>
    </row>
    <row r="182" spans="1:7" x14ac:dyDescent="0.25">
      <c r="A182" s="23" t="s">
        <v>9465</v>
      </c>
      <c r="B182" s="20" t="s">
        <v>9159</v>
      </c>
      <c r="C182" s="20" t="s">
        <v>5783</v>
      </c>
      <c r="D182" s="24">
        <v>801</v>
      </c>
      <c r="E182" s="20" t="s">
        <v>9500</v>
      </c>
      <c r="F182" s="23" t="s">
        <v>50</v>
      </c>
      <c r="G182" s="20" t="s">
        <v>9501</v>
      </c>
    </row>
    <row r="183" spans="1:7" x14ac:dyDescent="0.25">
      <c r="A183" s="23" t="s">
        <v>9502</v>
      </c>
      <c r="B183" s="20" t="s">
        <v>9159</v>
      </c>
      <c r="C183" s="20" t="s">
        <v>6838</v>
      </c>
      <c r="D183" s="24">
        <v>26</v>
      </c>
      <c r="E183" s="20" t="s">
        <v>9503</v>
      </c>
      <c r="F183" s="23" t="s">
        <v>9504</v>
      </c>
      <c r="G183" s="20" t="s">
        <v>9505</v>
      </c>
    </row>
    <row r="184" spans="1:7" x14ac:dyDescent="0.25">
      <c r="A184" s="23" t="s">
        <v>9502</v>
      </c>
      <c r="B184" s="20" t="s">
        <v>9159</v>
      </c>
      <c r="C184" s="20" t="s">
        <v>6838</v>
      </c>
      <c r="D184" s="24">
        <v>26</v>
      </c>
      <c r="E184" s="20" t="s">
        <v>9503</v>
      </c>
      <c r="F184" s="23" t="s">
        <v>9506</v>
      </c>
      <c r="G184" s="20" t="s">
        <v>9507</v>
      </c>
    </row>
    <row r="185" spans="1:7" x14ac:dyDescent="0.25">
      <c r="A185" s="23" t="s">
        <v>9502</v>
      </c>
      <c r="B185" s="20" t="s">
        <v>9159</v>
      </c>
      <c r="C185" s="20" t="s">
        <v>6838</v>
      </c>
      <c r="D185" s="24">
        <v>26</v>
      </c>
      <c r="E185" s="20" t="s">
        <v>9503</v>
      </c>
      <c r="F185" s="23" t="s">
        <v>9508</v>
      </c>
      <c r="G185" s="20" t="s">
        <v>9509</v>
      </c>
    </row>
    <row r="186" spans="1:7" x14ac:dyDescent="0.25">
      <c r="A186" s="23" t="s">
        <v>9502</v>
      </c>
      <c r="B186" s="20" t="s">
        <v>9159</v>
      </c>
      <c r="C186" s="20" t="s">
        <v>6838</v>
      </c>
      <c r="D186" s="24">
        <v>26</v>
      </c>
      <c r="E186" s="20" t="s">
        <v>9503</v>
      </c>
      <c r="F186" s="23" t="s">
        <v>9510</v>
      </c>
      <c r="G186" s="20" t="s">
        <v>9511</v>
      </c>
    </row>
    <row r="187" spans="1:7" x14ac:dyDescent="0.25">
      <c r="A187" s="23" t="s">
        <v>9502</v>
      </c>
      <c r="B187" s="20" t="s">
        <v>9159</v>
      </c>
      <c r="C187" s="20" t="s">
        <v>6838</v>
      </c>
      <c r="D187" s="24">
        <v>26</v>
      </c>
      <c r="E187" s="20" t="s">
        <v>9503</v>
      </c>
      <c r="F187" s="23" t="s">
        <v>9512</v>
      </c>
      <c r="G187" s="20" t="s">
        <v>9513</v>
      </c>
    </row>
    <row r="188" spans="1:7" x14ac:dyDescent="0.25">
      <c r="A188" s="23" t="s">
        <v>9502</v>
      </c>
      <c r="B188" s="20" t="s">
        <v>9159</v>
      </c>
      <c r="C188" s="20" t="s">
        <v>6838</v>
      </c>
      <c r="D188" s="24">
        <v>26</v>
      </c>
      <c r="E188" s="20" t="s">
        <v>9503</v>
      </c>
      <c r="F188" s="23" t="s">
        <v>9514</v>
      </c>
      <c r="G188" s="20" t="s">
        <v>9515</v>
      </c>
    </row>
    <row r="189" spans="1:7" x14ac:dyDescent="0.25">
      <c r="A189" s="23" t="s">
        <v>9502</v>
      </c>
      <c r="B189" s="20" t="s">
        <v>9159</v>
      </c>
      <c r="C189" s="20" t="s">
        <v>6838</v>
      </c>
      <c r="D189" s="24">
        <v>26</v>
      </c>
      <c r="E189" s="20" t="s">
        <v>9503</v>
      </c>
      <c r="F189" s="23" t="s">
        <v>9516</v>
      </c>
      <c r="G189" s="20" t="s">
        <v>9517</v>
      </c>
    </row>
    <row r="190" spans="1:7" x14ac:dyDescent="0.25">
      <c r="A190" s="23" t="s">
        <v>9502</v>
      </c>
      <c r="B190" s="20" t="s">
        <v>9159</v>
      </c>
      <c r="C190" s="20" t="s">
        <v>6838</v>
      </c>
      <c r="D190" s="24">
        <v>26</v>
      </c>
      <c r="E190" s="20" t="s">
        <v>9503</v>
      </c>
      <c r="F190" s="23" t="s">
        <v>9518</v>
      </c>
      <c r="G190" s="20" t="s">
        <v>9519</v>
      </c>
    </row>
    <row r="191" spans="1:7" x14ac:dyDescent="0.25">
      <c r="A191" s="23" t="s">
        <v>9520</v>
      </c>
      <c r="B191" s="20" t="s">
        <v>9159</v>
      </c>
      <c r="C191" s="20" t="s">
        <v>6863</v>
      </c>
      <c r="D191" s="24">
        <v>49</v>
      </c>
      <c r="E191" s="20" t="s">
        <v>9521</v>
      </c>
      <c r="F191" s="23" t="s">
        <v>9522</v>
      </c>
      <c r="G191" s="20" t="s">
        <v>9523</v>
      </c>
    </row>
    <row r="192" spans="1:7" x14ac:dyDescent="0.25">
      <c r="A192" s="23" t="s">
        <v>9520</v>
      </c>
      <c r="B192" s="20" t="s">
        <v>9159</v>
      </c>
      <c r="C192" s="20" t="s">
        <v>6863</v>
      </c>
      <c r="D192" s="24">
        <v>49</v>
      </c>
      <c r="E192" s="20" t="s">
        <v>9521</v>
      </c>
      <c r="F192" s="23" t="s">
        <v>9524</v>
      </c>
      <c r="G192" s="20" t="s">
        <v>9525</v>
      </c>
    </row>
    <row r="193" spans="1:7" x14ac:dyDescent="0.25">
      <c r="A193" s="23" t="s">
        <v>9520</v>
      </c>
      <c r="B193" s="20" t="s">
        <v>9159</v>
      </c>
      <c r="C193" s="20" t="s">
        <v>6863</v>
      </c>
      <c r="D193" s="24">
        <v>49</v>
      </c>
      <c r="E193" s="20" t="s">
        <v>9521</v>
      </c>
      <c r="F193" s="31" t="s">
        <v>9526</v>
      </c>
      <c r="G193" s="20" t="s">
        <v>9527</v>
      </c>
    </row>
    <row r="194" spans="1:7" x14ac:dyDescent="0.25">
      <c r="A194" s="23" t="s">
        <v>9520</v>
      </c>
      <c r="B194" s="20" t="s">
        <v>9159</v>
      </c>
      <c r="C194" s="20" t="s">
        <v>6863</v>
      </c>
      <c r="D194" s="24">
        <v>49</v>
      </c>
      <c r="E194" s="20" t="s">
        <v>9521</v>
      </c>
      <c r="F194" s="31" t="s">
        <v>9528</v>
      </c>
      <c r="G194" s="20" t="s">
        <v>9529</v>
      </c>
    </row>
    <row r="195" spans="1:7" x14ac:dyDescent="0.25">
      <c r="A195" s="23" t="s">
        <v>9520</v>
      </c>
      <c r="B195" s="20" t="s">
        <v>9159</v>
      </c>
      <c r="C195" s="20" t="s">
        <v>6863</v>
      </c>
      <c r="D195" s="24">
        <v>49</v>
      </c>
      <c r="E195" s="20" t="s">
        <v>9521</v>
      </c>
      <c r="F195" s="23" t="s">
        <v>9530</v>
      </c>
      <c r="G195" s="20" t="s">
        <v>9531</v>
      </c>
    </row>
    <row r="196" spans="1:7" x14ac:dyDescent="0.25">
      <c r="A196" s="23" t="s">
        <v>9520</v>
      </c>
      <c r="B196" s="20" t="s">
        <v>9159</v>
      </c>
      <c r="C196" s="20" t="s">
        <v>6863</v>
      </c>
      <c r="D196" s="24">
        <v>49</v>
      </c>
      <c r="E196" s="20" t="s">
        <v>9521</v>
      </c>
      <c r="F196" s="23" t="s">
        <v>9532</v>
      </c>
      <c r="G196" s="20" t="s">
        <v>9533</v>
      </c>
    </row>
    <row r="197" spans="1:7" x14ac:dyDescent="0.25">
      <c r="A197" s="23" t="s">
        <v>9520</v>
      </c>
      <c r="B197" s="20" t="s">
        <v>9159</v>
      </c>
      <c r="C197" s="20" t="s">
        <v>6863</v>
      </c>
      <c r="D197" s="24">
        <v>49</v>
      </c>
      <c r="E197" s="20" t="s">
        <v>9521</v>
      </c>
      <c r="F197" s="23" t="s">
        <v>9534</v>
      </c>
      <c r="G197" s="20" t="s">
        <v>9535</v>
      </c>
    </row>
    <row r="198" spans="1:7" x14ac:dyDescent="0.25">
      <c r="A198" s="23" t="s">
        <v>9520</v>
      </c>
      <c r="B198" s="20" t="s">
        <v>9159</v>
      </c>
      <c r="C198" s="20" t="s">
        <v>6863</v>
      </c>
      <c r="D198" s="24">
        <v>49</v>
      </c>
      <c r="E198" s="20" t="s">
        <v>9521</v>
      </c>
      <c r="F198" s="23" t="s">
        <v>9536</v>
      </c>
      <c r="G198" s="20" t="s">
        <v>9537</v>
      </c>
    </row>
    <row r="199" spans="1:7" x14ac:dyDescent="0.25">
      <c r="A199" s="23" t="s">
        <v>9520</v>
      </c>
      <c r="B199" s="20" t="s">
        <v>9159</v>
      </c>
      <c r="C199" s="20" t="s">
        <v>6863</v>
      </c>
      <c r="D199" s="24">
        <v>49</v>
      </c>
      <c r="E199" s="20" t="s">
        <v>9521</v>
      </c>
      <c r="F199" s="23" t="s">
        <v>9538</v>
      </c>
      <c r="G199" s="20" t="s">
        <v>9539</v>
      </c>
    </row>
    <row r="200" spans="1:7" x14ac:dyDescent="0.25">
      <c r="A200" s="23" t="s">
        <v>9520</v>
      </c>
      <c r="B200" s="20" t="s">
        <v>9159</v>
      </c>
      <c r="C200" s="20" t="s">
        <v>6863</v>
      </c>
      <c r="D200" s="24">
        <v>49</v>
      </c>
      <c r="E200" s="20" t="s">
        <v>9521</v>
      </c>
      <c r="F200" s="23" t="s">
        <v>9540</v>
      </c>
      <c r="G200" s="20" t="s">
        <v>9541</v>
      </c>
    </row>
    <row r="201" spans="1:7" x14ac:dyDescent="0.25">
      <c r="A201" s="23" t="s">
        <v>9520</v>
      </c>
      <c r="B201" s="20" t="s">
        <v>9159</v>
      </c>
      <c r="C201" s="20" t="s">
        <v>6863</v>
      </c>
      <c r="D201" s="24">
        <v>49</v>
      </c>
      <c r="E201" s="20" t="s">
        <v>9521</v>
      </c>
      <c r="F201" s="23" t="s">
        <v>9542</v>
      </c>
      <c r="G201" s="20" t="s">
        <v>9543</v>
      </c>
    </row>
    <row r="202" spans="1:7" x14ac:dyDescent="0.25">
      <c r="A202" s="23" t="s">
        <v>9544</v>
      </c>
      <c r="B202" s="20" t="s">
        <v>9159</v>
      </c>
      <c r="C202" s="20" t="s">
        <v>7278</v>
      </c>
      <c r="D202" s="24">
        <v>27</v>
      </c>
      <c r="E202" s="20" t="s">
        <v>7278</v>
      </c>
      <c r="F202" s="23" t="s">
        <v>9545</v>
      </c>
      <c r="G202" s="20" t="s">
        <v>9546</v>
      </c>
    </row>
    <row r="203" spans="1:7" x14ac:dyDescent="0.25">
      <c r="A203" s="23" t="s">
        <v>9544</v>
      </c>
      <c r="B203" s="20" t="s">
        <v>9159</v>
      </c>
      <c r="C203" s="20" t="s">
        <v>7278</v>
      </c>
      <c r="D203" s="24">
        <v>27</v>
      </c>
      <c r="E203" s="20" t="s">
        <v>7278</v>
      </c>
      <c r="F203" s="23" t="s">
        <v>9547</v>
      </c>
      <c r="G203" s="20" t="s">
        <v>9548</v>
      </c>
    </row>
    <row r="204" spans="1:7" x14ac:dyDescent="0.25">
      <c r="A204" s="23" t="s">
        <v>9544</v>
      </c>
      <c r="B204" s="20" t="s">
        <v>9159</v>
      </c>
      <c r="C204" s="20" t="s">
        <v>7278</v>
      </c>
      <c r="D204" s="24">
        <v>27</v>
      </c>
      <c r="E204" s="20" t="s">
        <v>7278</v>
      </c>
      <c r="F204" s="23" t="s">
        <v>9549</v>
      </c>
      <c r="G204" s="20" t="s">
        <v>9550</v>
      </c>
    </row>
    <row r="205" spans="1:7" x14ac:dyDescent="0.25">
      <c r="A205" s="23" t="s">
        <v>9544</v>
      </c>
      <c r="B205" s="20" t="s">
        <v>9159</v>
      </c>
      <c r="C205" s="20" t="s">
        <v>7278</v>
      </c>
      <c r="D205" s="24">
        <v>27</v>
      </c>
      <c r="E205" s="20" t="s">
        <v>7278</v>
      </c>
      <c r="F205" s="23" t="s">
        <v>9551</v>
      </c>
      <c r="G205" s="20" t="s">
        <v>9552</v>
      </c>
    </row>
    <row r="206" spans="1:7" x14ac:dyDescent="0.25">
      <c r="A206" s="23" t="s">
        <v>9553</v>
      </c>
      <c r="B206" s="20" t="s">
        <v>9159</v>
      </c>
      <c r="C206" s="20" t="s">
        <v>7286</v>
      </c>
      <c r="D206" s="24">
        <v>28</v>
      </c>
      <c r="E206" s="20" t="s">
        <v>7286</v>
      </c>
      <c r="F206" s="23" t="s">
        <v>9554</v>
      </c>
      <c r="G206" s="20" t="s">
        <v>9555</v>
      </c>
    </row>
    <row r="207" spans="1:7" x14ac:dyDescent="0.25">
      <c r="A207" s="23" t="s">
        <v>9553</v>
      </c>
      <c r="B207" s="20" t="s">
        <v>9159</v>
      </c>
      <c r="C207" s="20" t="s">
        <v>7286</v>
      </c>
      <c r="D207" s="24">
        <v>28</v>
      </c>
      <c r="E207" s="20" t="s">
        <v>7286</v>
      </c>
      <c r="F207" s="23" t="s">
        <v>9556</v>
      </c>
      <c r="G207" s="20" t="s">
        <v>9557</v>
      </c>
    </row>
    <row r="208" spans="1:7" x14ac:dyDescent="0.25">
      <c r="A208" s="23" t="s">
        <v>9553</v>
      </c>
      <c r="B208" s="20" t="s">
        <v>9159</v>
      </c>
      <c r="C208" s="20" t="s">
        <v>7286</v>
      </c>
      <c r="D208" s="24">
        <v>28</v>
      </c>
      <c r="E208" s="20" t="s">
        <v>7286</v>
      </c>
      <c r="F208" s="23" t="s">
        <v>9558</v>
      </c>
      <c r="G208" s="20" t="s">
        <v>9559</v>
      </c>
    </row>
    <row r="209" spans="1:7" x14ac:dyDescent="0.25">
      <c r="A209" s="23" t="s">
        <v>9553</v>
      </c>
      <c r="B209" s="20" t="s">
        <v>9159</v>
      </c>
      <c r="C209" s="20" t="s">
        <v>7286</v>
      </c>
      <c r="D209" s="24">
        <v>28</v>
      </c>
      <c r="E209" s="20" t="s">
        <v>7286</v>
      </c>
      <c r="F209" s="23" t="s">
        <v>9560</v>
      </c>
      <c r="G209" s="20" t="s">
        <v>9561</v>
      </c>
    </row>
    <row r="210" spans="1:7" x14ac:dyDescent="0.25">
      <c r="A210" s="23" t="s">
        <v>9553</v>
      </c>
      <c r="B210" s="20" t="s">
        <v>9159</v>
      </c>
      <c r="C210" s="20" t="s">
        <v>7286</v>
      </c>
      <c r="D210" s="24">
        <v>28</v>
      </c>
      <c r="E210" s="20" t="s">
        <v>7286</v>
      </c>
      <c r="F210" s="23" t="s">
        <v>9562</v>
      </c>
      <c r="G210" s="20" t="s">
        <v>9563</v>
      </c>
    </row>
    <row r="211" spans="1:7" x14ac:dyDescent="0.25">
      <c r="A211" s="23" t="s">
        <v>9553</v>
      </c>
      <c r="B211" s="20" t="s">
        <v>9159</v>
      </c>
      <c r="C211" s="20" t="s">
        <v>7286</v>
      </c>
      <c r="D211" s="24">
        <v>28</v>
      </c>
      <c r="E211" s="20" t="s">
        <v>7286</v>
      </c>
      <c r="F211" s="23" t="s">
        <v>9564</v>
      </c>
      <c r="G211" s="20" t="s">
        <v>9565</v>
      </c>
    </row>
    <row r="212" spans="1:7" x14ac:dyDescent="0.25">
      <c r="A212" s="23" t="s">
        <v>9553</v>
      </c>
      <c r="B212" s="20" t="s">
        <v>9159</v>
      </c>
      <c r="C212" s="20" t="s">
        <v>7286</v>
      </c>
      <c r="D212" s="24">
        <v>28</v>
      </c>
      <c r="E212" s="20" t="s">
        <v>7286</v>
      </c>
      <c r="F212" s="23" t="s">
        <v>9566</v>
      </c>
      <c r="G212" s="20" t="s">
        <v>9567</v>
      </c>
    </row>
    <row r="213" spans="1:7" x14ac:dyDescent="0.25">
      <c r="A213" s="23" t="s">
        <v>9568</v>
      </c>
      <c r="B213" s="20" t="s">
        <v>9159</v>
      </c>
      <c r="C213" s="20" t="s">
        <v>7329</v>
      </c>
      <c r="D213" s="24">
        <v>1</v>
      </c>
      <c r="E213" s="20" t="s">
        <v>9569</v>
      </c>
      <c r="F213" s="23" t="s">
        <v>23</v>
      </c>
      <c r="G213" s="20" t="s">
        <v>9570</v>
      </c>
    </row>
    <row r="214" spans="1:7" x14ac:dyDescent="0.25">
      <c r="A214" s="23" t="s">
        <v>9568</v>
      </c>
      <c r="B214" s="20" t="s">
        <v>9159</v>
      </c>
      <c r="C214" s="20" t="s">
        <v>7329</v>
      </c>
      <c r="D214" s="24">
        <v>2</v>
      </c>
      <c r="E214" s="20" t="s">
        <v>9571</v>
      </c>
      <c r="F214" s="23" t="s">
        <v>16</v>
      </c>
      <c r="G214" s="20" t="s">
        <v>9572</v>
      </c>
    </row>
    <row r="215" spans="1:7" x14ac:dyDescent="0.25">
      <c r="A215" s="23" t="s">
        <v>9568</v>
      </c>
      <c r="B215" s="20" t="s">
        <v>9159</v>
      </c>
      <c r="C215" s="20" t="s">
        <v>7329</v>
      </c>
      <c r="D215" s="24">
        <v>2</v>
      </c>
      <c r="E215" s="20" t="s">
        <v>9571</v>
      </c>
      <c r="F215" s="23" t="s">
        <v>0</v>
      </c>
      <c r="G215" s="20" t="s">
        <v>9573</v>
      </c>
    </row>
    <row r="216" spans="1:7" x14ac:dyDescent="0.25">
      <c r="A216" s="46" t="s">
        <v>9568</v>
      </c>
      <c r="B216" s="45" t="s">
        <v>9159</v>
      </c>
      <c r="C216" s="45" t="s">
        <v>7329</v>
      </c>
      <c r="D216" s="44">
        <v>2</v>
      </c>
      <c r="E216" s="45" t="s">
        <v>9571</v>
      </c>
      <c r="F216" s="46" t="s">
        <v>22</v>
      </c>
      <c r="G216" s="45" t="s">
        <v>9574</v>
      </c>
    </row>
    <row r="217" spans="1:7" x14ac:dyDescent="0.25">
      <c r="A217" s="23" t="s">
        <v>9568</v>
      </c>
      <c r="B217" s="20" t="s">
        <v>9159</v>
      </c>
      <c r="C217" s="20" t="s">
        <v>7329</v>
      </c>
      <c r="D217" s="24">
        <v>2</v>
      </c>
      <c r="E217" s="20" t="s">
        <v>9571</v>
      </c>
      <c r="F217" s="23" t="s">
        <v>9575</v>
      </c>
      <c r="G217" s="20" t="s">
        <v>9576</v>
      </c>
    </row>
    <row r="218" spans="1:7" x14ac:dyDescent="0.25">
      <c r="A218" s="45" t="s">
        <v>9568</v>
      </c>
      <c r="B218" s="45" t="s">
        <v>9159</v>
      </c>
      <c r="C218" s="45" t="s">
        <v>7329</v>
      </c>
      <c r="D218" s="44">
        <v>3</v>
      </c>
      <c r="E218" s="45" t="s">
        <v>9577</v>
      </c>
      <c r="F218" s="45" t="s">
        <v>17</v>
      </c>
      <c r="G218" s="45" t="s">
        <v>9578</v>
      </c>
    </row>
    <row r="219" spans="1:7" x14ac:dyDescent="0.25">
      <c r="A219" s="45" t="s">
        <v>9568</v>
      </c>
      <c r="B219" s="45" t="s">
        <v>9159</v>
      </c>
      <c r="C219" s="45" t="s">
        <v>7329</v>
      </c>
      <c r="D219" s="44">
        <v>3</v>
      </c>
      <c r="E219" s="45" t="s">
        <v>9577</v>
      </c>
      <c r="F219" s="45" t="s">
        <v>29</v>
      </c>
      <c r="G219" s="45" t="s">
        <v>9579</v>
      </c>
    </row>
    <row r="220" spans="1:7" x14ac:dyDescent="0.25">
      <c r="A220" s="45" t="s">
        <v>9568</v>
      </c>
      <c r="B220" s="45" t="s">
        <v>9159</v>
      </c>
      <c r="C220" s="45" t="s">
        <v>7329</v>
      </c>
      <c r="D220" s="44">
        <v>3</v>
      </c>
      <c r="E220" s="45" t="s">
        <v>9577</v>
      </c>
      <c r="F220" s="45" t="s">
        <v>9580</v>
      </c>
      <c r="G220" s="45" t="s">
        <v>9581</v>
      </c>
    </row>
    <row r="221" spans="1:7" x14ac:dyDescent="0.25">
      <c r="A221" s="23" t="s">
        <v>9568</v>
      </c>
      <c r="B221" s="20" t="s">
        <v>9159</v>
      </c>
      <c r="C221" s="20" t="s">
        <v>7329</v>
      </c>
      <c r="D221" s="24">
        <v>4</v>
      </c>
      <c r="E221" s="20" t="s">
        <v>9582</v>
      </c>
      <c r="F221" s="23" t="s">
        <v>25</v>
      </c>
      <c r="G221" s="20" t="s">
        <v>9583</v>
      </c>
    </row>
    <row r="222" spans="1:7" x14ac:dyDescent="0.25">
      <c r="A222" s="23" t="s">
        <v>9568</v>
      </c>
      <c r="B222" s="20" t="s">
        <v>9159</v>
      </c>
      <c r="C222" s="20" t="s">
        <v>7329</v>
      </c>
      <c r="D222" s="24">
        <v>4</v>
      </c>
      <c r="E222" s="20" t="s">
        <v>9582</v>
      </c>
      <c r="F222" s="23" t="s">
        <v>21</v>
      </c>
      <c r="G222" s="20" t="s">
        <v>9584</v>
      </c>
    </row>
    <row r="223" spans="1:7" x14ac:dyDescent="0.25">
      <c r="A223" s="23" t="s">
        <v>9568</v>
      </c>
      <c r="B223" s="20" t="s">
        <v>9159</v>
      </c>
      <c r="C223" s="20" t="s">
        <v>7329</v>
      </c>
      <c r="D223" s="24">
        <v>5</v>
      </c>
      <c r="E223" s="20" t="s">
        <v>9585</v>
      </c>
      <c r="F223" s="23" t="s">
        <v>19</v>
      </c>
      <c r="G223" s="20" t="s">
        <v>9586</v>
      </c>
    </row>
    <row r="224" spans="1:7" x14ac:dyDescent="0.25">
      <c r="A224" s="23" t="s">
        <v>9568</v>
      </c>
      <c r="B224" s="20" t="s">
        <v>9159</v>
      </c>
      <c r="C224" s="20" t="s">
        <v>7329</v>
      </c>
      <c r="D224" s="24">
        <v>5</v>
      </c>
      <c r="E224" s="20" t="s">
        <v>9585</v>
      </c>
      <c r="F224" s="23" t="s">
        <v>24</v>
      </c>
      <c r="G224" s="20" t="s">
        <v>9587</v>
      </c>
    </row>
    <row r="225" spans="1:7" x14ac:dyDescent="0.25">
      <c r="A225" s="23" t="s">
        <v>9568</v>
      </c>
      <c r="B225" s="20" t="s">
        <v>9159</v>
      </c>
      <c r="C225" s="20" t="s">
        <v>7329</v>
      </c>
      <c r="D225" s="24" t="s">
        <v>31296</v>
      </c>
      <c r="E225" s="20" t="s">
        <v>31297</v>
      </c>
      <c r="F225" s="23" t="s">
        <v>20</v>
      </c>
      <c r="G225" s="20" t="s">
        <v>9589</v>
      </c>
    </row>
    <row r="226" spans="1:7" x14ac:dyDescent="0.25">
      <c r="A226" s="23" t="s">
        <v>9568</v>
      </c>
      <c r="B226" s="20" t="s">
        <v>9159</v>
      </c>
      <c r="C226" s="20" t="s">
        <v>7329</v>
      </c>
      <c r="D226" s="24">
        <v>6</v>
      </c>
      <c r="E226" s="20" t="s">
        <v>9588</v>
      </c>
      <c r="F226" s="23" t="s">
        <v>18</v>
      </c>
      <c r="G226" s="20" t="s">
        <v>9590</v>
      </c>
    </row>
    <row r="227" spans="1:7" x14ac:dyDescent="0.25">
      <c r="A227" s="23" t="s">
        <v>9568</v>
      </c>
      <c r="B227" s="20" t="s">
        <v>9159</v>
      </c>
      <c r="C227" s="20" t="s">
        <v>7329</v>
      </c>
      <c r="D227" s="24">
        <v>6</v>
      </c>
      <c r="E227" s="20" t="s">
        <v>9588</v>
      </c>
      <c r="F227" s="23" t="s">
        <v>26</v>
      </c>
      <c r="G227" s="20" t="s">
        <v>9591</v>
      </c>
    </row>
    <row r="228" spans="1:7" x14ac:dyDescent="0.25">
      <c r="A228" s="49" t="s">
        <v>8275</v>
      </c>
      <c r="B228" s="48" t="s">
        <v>9159</v>
      </c>
      <c r="C228" s="48" t="s">
        <v>8276</v>
      </c>
      <c r="D228" s="24">
        <v>2</v>
      </c>
      <c r="E228" s="48" t="s">
        <v>9571</v>
      </c>
      <c r="F228" s="49" t="s">
        <v>16</v>
      </c>
      <c r="G228" s="48" t="s">
        <v>9572</v>
      </c>
    </row>
    <row r="229" spans="1:7" x14ac:dyDescent="0.25">
      <c r="A229" s="49" t="s">
        <v>8275</v>
      </c>
      <c r="B229" s="48" t="s">
        <v>9159</v>
      </c>
      <c r="C229" s="48" t="s">
        <v>8276</v>
      </c>
      <c r="D229" s="24">
        <v>2</v>
      </c>
      <c r="E229" s="48" t="s">
        <v>9571</v>
      </c>
      <c r="F229" s="49" t="s">
        <v>0</v>
      </c>
      <c r="G229" s="48" t="s">
        <v>9573</v>
      </c>
    </row>
    <row r="230" spans="1:7" x14ac:dyDescent="0.25">
      <c r="A230" s="49" t="s">
        <v>8275</v>
      </c>
      <c r="B230" s="48" t="s">
        <v>9159</v>
      </c>
      <c r="C230" s="48" t="s">
        <v>8276</v>
      </c>
      <c r="D230" s="24">
        <v>2</v>
      </c>
      <c r="E230" s="48" t="s">
        <v>9571</v>
      </c>
      <c r="F230" s="49" t="s">
        <v>9575</v>
      </c>
      <c r="G230" s="48" t="s">
        <v>9576</v>
      </c>
    </row>
    <row r="231" spans="1:7" x14ac:dyDescent="0.25">
      <c r="A231" s="49" t="s">
        <v>8275</v>
      </c>
      <c r="B231" s="48" t="s">
        <v>9159</v>
      </c>
      <c r="C231" s="48" t="s">
        <v>8276</v>
      </c>
      <c r="D231" s="24">
        <v>2</v>
      </c>
      <c r="E231" s="48" t="s">
        <v>9571</v>
      </c>
      <c r="F231" s="49" t="s">
        <v>29</v>
      </c>
      <c r="G231" s="48" t="s">
        <v>9579</v>
      </c>
    </row>
    <row r="232" spans="1:7" x14ac:dyDescent="0.25">
      <c r="A232" s="49" t="s">
        <v>8275</v>
      </c>
      <c r="B232" s="48" t="s">
        <v>9159</v>
      </c>
      <c r="C232" s="48" t="s">
        <v>8276</v>
      </c>
      <c r="D232" s="24">
        <v>5</v>
      </c>
      <c r="E232" s="48" t="s">
        <v>9585</v>
      </c>
      <c r="F232" s="49" t="s">
        <v>19</v>
      </c>
      <c r="G232" s="48" t="s">
        <v>9586</v>
      </c>
    </row>
    <row r="233" spans="1:7" x14ac:dyDescent="0.25">
      <c r="A233" s="49" t="s">
        <v>8275</v>
      </c>
      <c r="B233" s="48" t="s">
        <v>9159</v>
      </c>
      <c r="C233" s="48" t="s">
        <v>8276</v>
      </c>
      <c r="D233" s="24">
        <v>5</v>
      </c>
      <c r="E233" s="48" t="s">
        <v>9585</v>
      </c>
      <c r="F233" s="49" t="s">
        <v>24</v>
      </c>
      <c r="G233" s="48" t="s">
        <v>9587</v>
      </c>
    </row>
    <row r="234" spans="1:7" x14ac:dyDescent="0.25">
      <c r="A234" s="49" t="s">
        <v>8275</v>
      </c>
      <c r="B234" s="48" t="s">
        <v>9159</v>
      </c>
      <c r="C234" s="48" t="s">
        <v>8276</v>
      </c>
      <c r="D234" s="24">
        <v>6</v>
      </c>
      <c r="E234" s="48" t="s">
        <v>31298</v>
      </c>
      <c r="F234" s="49" t="s">
        <v>18</v>
      </c>
      <c r="G234" s="48" t="s">
        <v>9590</v>
      </c>
    </row>
    <row r="235" spans="1:7" x14ac:dyDescent="0.25">
      <c r="A235" s="49" t="s">
        <v>8275</v>
      </c>
      <c r="B235" s="48" t="s">
        <v>9159</v>
      </c>
      <c r="C235" s="48" t="s">
        <v>8276</v>
      </c>
      <c r="D235" s="24">
        <v>6</v>
      </c>
      <c r="E235" s="48" t="s">
        <v>31298</v>
      </c>
      <c r="F235" s="49" t="s">
        <v>26</v>
      </c>
      <c r="G235" s="48" t="s">
        <v>9591</v>
      </c>
    </row>
    <row r="236" spans="1:7" x14ac:dyDescent="0.25">
      <c r="A236" s="23" t="s">
        <v>8275</v>
      </c>
      <c r="B236" s="20" t="s">
        <v>9159</v>
      </c>
      <c r="C236" s="20" t="s">
        <v>8276</v>
      </c>
      <c r="D236" s="24">
        <v>101</v>
      </c>
      <c r="E236" s="20" t="s">
        <v>9592</v>
      </c>
      <c r="F236" s="23" t="s">
        <v>27</v>
      </c>
      <c r="G236" s="20" t="s">
        <v>9593</v>
      </c>
    </row>
    <row r="237" spans="1:7" x14ac:dyDescent="0.25">
      <c r="A237" s="23" t="s">
        <v>8275</v>
      </c>
      <c r="B237" s="20" t="s">
        <v>9159</v>
      </c>
      <c r="C237" s="20" t="s">
        <v>8276</v>
      </c>
      <c r="D237" s="24">
        <v>101</v>
      </c>
      <c r="E237" s="20" t="s">
        <v>9592</v>
      </c>
      <c r="F237" s="23" t="s">
        <v>28</v>
      </c>
      <c r="G237" s="20" t="s">
        <v>9594</v>
      </c>
    </row>
    <row r="238" spans="1:7" x14ac:dyDescent="0.25">
      <c r="A238" s="49" t="s">
        <v>8275</v>
      </c>
      <c r="B238" s="48" t="s">
        <v>9159</v>
      </c>
      <c r="C238" s="48" t="s">
        <v>8276</v>
      </c>
      <c r="D238" s="49" t="s">
        <v>31299</v>
      </c>
      <c r="E238" s="48" t="s">
        <v>31300</v>
      </c>
      <c r="F238" s="49" t="s">
        <v>31301</v>
      </c>
      <c r="G238" s="48" t="s">
        <v>31302</v>
      </c>
    </row>
    <row r="239" spans="1:7" x14ac:dyDescent="0.25">
      <c r="A239" s="23" t="s">
        <v>9595</v>
      </c>
      <c r="B239" s="20" t="s">
        <v>9159</v>
      </c>
      <c r="C239" s="20" t="s">
        <v>8343</v>
      </c>
      <c r="D239" s="24">
        <v>29</v>
      </c>
      <c r="E239" s="20" t="s">
        <v>8343</v>
      </c>
      <c r="F239" s="23" t="s">
        <v>64</v>
      </c>
      <c r="G239" s="20" t="s">
        <v>9596</v>
      </c>
    </row>
    <row r="240" spans="1:7" x14ac:dyDescent="0.25">
      <c r="A240" s="23" t="s">
        <v>9595</v>
      </c>
      <c r="B240" s="20" t="s">
        <v>9159</v>
      </c>
      <c r="C240" s="20" t="s">
        <v>8343</v>
      </c>
      <c r="D240" s="24">
        <v>29</v>
      </c>
      <c r="E240" s="20" t="s">
        <v>8343</v>
      </c>
      <c r="F240" s="23" t="s">
        <v>47</v>
      </c>
      <c r="G240" s="20" t="s">
        <v>9597</v>
      </c>
    </row>
    <row r="241" spans="1:7" x14ac:dyDescent="0.25">
      <c r="A241" s="23" t="s">
        <v>9595</v>
      </c>
      <c r="B241" s="20" t="s">
        <v>9159</v>
      </c>
      <c r="C241" s="20" t="s">
        <v>8343</v>
      </c>
      <c r="D241" s="24">
        <v>29</v>
      </c>
      <c r="E241" s="20" t="s">
        <v>8343</v>
      </c>
      <c r="F241" s="23" t="s">
        <v>38</v>
      </c>
      <c r="G241" s="20" t="s">
        <v>9598</v>
      </c>
    </row>
    <row r="242" spans="1:7" x14ac:dyDescent="0.25">
      <c r="A242" s="23" t="s">
        <v>9595</v>
      </c>
      <c r="B242" s="20" t="s">
        <v>9159</v>
      </c>
      <c r="C242" s="20" t="s">
        <v>8343</v>
      </c>
      <c r="D242" s="24">
        <v>29</v>
      </c>
      <c r="E242" s="20" t="s">
        <v>8343</v>
      </c>
      <c r="F242" s="23" t="s">
        <v>48</v>
      </c>
      <c r="G242" s="20" t="s">
        <v>9599</v>
      </c>
    </row>
    <row r="243" spans="1:7" x14ac:dyDescent="0.25">
      <c r="A243" s="23" t="s">
        <v>9595</v>
      </c>
      <c r="B243" s="20" t="s">
        <v>9159</v>
      </c>
      <c r="C243" s="20" t="s">
        <v>8343</v>
      </c>
      <c r="D243" s="24">
        <v>29</v>
      </c>
      <c r="E243" s="20" t="s">
        <v>8343</v>
      </c>
      <c r="F243" s="23" t="s">
        <v>35</v>
      </c>
      <c r="G243" s="20" t="s">
        <v>9600</v>
      </c>
    </row>
    <row r="244" spans="1:7" x14ac:dyDescent="0.25">
      <c r="A244" s="23" t="s">
        <v>9601</v>
      </c>
      <c r="B244" s="20" t="s">
        <v>9159</v>
      </c>
      <c r="C244" s="20" t="s">
        <v>8391</v>
      </c>
      <c r="D244" s="24">
        <v>30</v>
      </c>
      <c r="E244" s="20" t="s">
        <v>8391</v>
      </c>
      <c r="F244" s="23" t="s">
        <v>84</v>
      </c>
      <c r="G244" s="20" t="s">
        <v>9602</v>
      </c>
    </row>
    <row r="245" spans="1:7" x14ac:dyDescent="0.25">
      <c r="A245" s="23" t="s">
        <v>9601</v>
      </c>
      <c r="B245" s="20" t="s">
        <v>9159</v>
      </c>
      <c r="C245" s="20" t="s">
        <v>8391</v>
      </c>
      <c r="D245" s="24">
        <v>30</v>
      </c>
      <c r="E245" s="20" t="s">
        <v>8391</v>
      </c>
      <c r="F245" s="23" t="s">
        <v>85</v>
      </c>
      <c r="G245" s="20" t="s">
        <v>9603</v>
      </c>
    </row>
    <row r="246" spans="1:7" x14ac:dyDescent="0.25">
      <c r="A246" s="23" t="s">
        <v>9604</v>
      </c>
      <c r="B246" s="20" t="s">
        <v>9159</v>
      </c>
      <c r="C246" s="20" t="s">
        <v>8411</v>
      </c>
      <c r="D246" s="24">
        <v>31</v>
      </c>
      <c r="E246" s="20" t="s">
        <v>8411</v>
      </c>
      <c r="F246" s="23" t="s">
        <v>88</v>
      </c>
      <c r="G246" s="20" t="s">
        <v>9605</v>
      </c>
    </row>
    <row r="247" spans="1:7" x14ac:dyDescent="0.25">
      <c r="A247" s="23" t="s">
        <v>9604</v>
      </c>
      <c r="B247" s="20" t="s">
        <v>9159</v>
      </c>
      <c r="C247" s="20" t="s">
        <v>8411</v>
      </c>
      <c r="D247" s="24">
        <v>31</v>
      </c>
      <c r="E247" s="20" t="s">
        <v>8411</v>
      </c>
      <c r="F247" s="23" t="s">
        <v>89</v>
      </c>
      <c r="G247" s="20" t="s">
        <v>9606</v>
      </c>
    </row>
    <row r="248" spans="1:7" x14ac:dyDescent="0.25">
      <c r="A248" s="23" t="s">
        <v>9607</v>
      </c>
      <c r="B248" s="20" t="s">
        <v>9159</v>
      </c>
      <c r="C248" s="20" t="s">
        <v>8419</v>
      </c>
      <c r="D248" s="24">
        <v>51</v>
      </c>
      <c r="E248" s="20" t="s">
        <v>8419</v>
      </c>
      <c r="F248" s="23" t="s">
        <v>9608</v>
      </c>
      <c r="G248" s="20" t="s">
        <v>9609</v>
      </c>
    </row>
    <row r="249" spans="1:7" x14ac:dyDescent="0.25">
      <c r="A249" s="23" t="s">
        <v>9607</v>
      </c>
      <c r="B249" s="20" t="s">
        <v>9159</v>
      </c>
      <c r="C249" s="20" t="s">
        <v>8419</v>
      </c>
      <c r="D249" s="24">
        <v>51</v>
      </c>
      <c r="E249" s="20" t="s">
        <v>8419</v>
      </c>
      <c r="F249" s="23" t="s">
        <v>9610</v>
      </c>
      <c r="G249" s="20" t="s">
        <v>9611</v>
      </c>
    </row>
    <row r="250" spans="1:7" x14ac:dyDescent="0.25">
      <c r="A250" s="23" t="s">
        <v>9612</v>
      </c>
      <c r="B250" s="20" t="s">
        <v>9159</v>
      </c>
      <c r="C250" s="20" t="s">
        <v>8865</v>
      </c>
      <c r="D250" s="24">
        <v>33</v>
      </c>
      <c r="E250" s="20" t="s">
        <v>8865</v>
      </c>
      <c r="F250" s="23" t="s">
        <v>91</v>
      </c>
      <c r="G250" s="20" t="s">
        <v>9613</v>
      </c>
    </row>
    <row r="251" spans="1:7" x14ac:dyDescent="0.25">
      <c r="A251" s="23" t="s">
        <v>9612</v>
      </c>
      <c r="B251" s="20" t="s">
        <v>9159</v>
      </c>
      <c r="C251" s="20" t="s">
        <v>8865</v>
      </c>
      <c r="D251" s="24">
        <v>33</v>
      </c>
      <c r="E251" s="20" t="s">
        <v>8865</v>
      </c>
      <c r="F251" s="23" t="s">
        <v>9614</v>
      </c>
      <c r="G251" s="20" t="s">
        <v>9615</v>
      </c>
    </row>
    <row r="252" spans="1:7" x14ac:dyDescent="0.25">
      <c r="A252" s="23" t="s">
        <v>9612</v>
      </c>
      <c r="B252" s="20" t="s">
        <v>9159</v>
      </c>
      <c r="C252" s="20" t="s">
        <v>8865</v>
      </c>
      <c r="D252" s="24">
        <v>33</v>
      </c>
      <c r="E252" s="20" t="s">
        <v>8865</v>
      </c>
      <c r="F252" s="23" t="s">
        <v>92</v>
      </c>
      <c r="G252" s="20" t="s">
        <v>9616</v>
      </c>
    </row>
    <row r="253" spans="1:7" x14ac:dyDescent="0.25">
      <c r="A253" s="23" t="s">
        <v>9617</v>
      </c>
      <c r="B253" s="20" t="s">
        <v>9159</v>
      </c>
      <c r="C253" s="20" t="s">
        <v>8880</v>
      </c>
      <c r="D253" s="24">
        <v>34</v>
      </c>
      <c r="E253" s="20" t="s">
        <v>8880</v>
      </c>
      <c r="F253" s="23" t="s">
        <v>9618</v>
      </c>
      <c r="G253" s="20" t="s">
        <v>9619</v>
      </c>
    </row>
    <row r="254" spans="1:7" x14ac:dyDescent="0.25">
      <c r="A254" s="49" t="s">
        <v>14337</v>
      </c>
      <c r="B254" s="48" t="s">
        <v>9169</v>
      </c>
      <c r="C254" s="48" t="s">
        <v>14338</v>
      </c>
      <c r="D254" s="49" t="s">
        <v>31303</v>
      </c>
      <c r="E254" s="48" t="s">
        <v>14338</v>
      </c>
      <c r="F254" s="49" t="s">
        <v>31304</v>
      </c>
      <c r="G254" s="48" t="s">
        <v>14338</v>
      </c>
    </row>
    <row r="255" spans="1:7" x14ac:dyDescent="0.25">
      <c r="A255" s="49" t="s">
        <v>14337</v>
      </c>
      <c r="B255" s="48" t="s">
        <v>9169</v>
      </c>
      <c r="C255" s="48" t="s">
        <v>14338</v>
      </c>
      <c r="D255" s="49" t="s">
        <v>31303</v>
      </c>
      <c r="E255" s="48" t="s">
        <v>14338</v>
      </c>
      <c r="F255" s="49" t="s">
        <v>31305</v>
      </c>
      <c r="G255" s="48" t="s">
        <v>31306</v>
      </c>
    </row>
  </sheetData>
  <autoFilter ref="A6:G255" xr:uid="{00000000-0009-0000-0000-000000000000}"/>
  <mergeCells count="4">
    <mergeCell ref="A1:G1"/>
    <mergeCell ref="A2:C2"/>
    <mergeCell ref="A3:C3"/>
    <mergeCell ref="A4:C4"/>
  </mergeCells>
  <phoneticPr fontId="25" type="noConversion"/>
  <pageMargins left="0.7" right="0.7" top="0.75" bottom="0.75" header="0.3" footer="0.3"/>
  <pageSetup orientation="portrait" verticalDpi="597"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6829-62FA-47AF-BAA1-E647AC23042C}">
  <sheetPr>
    <tabColor theme="9" tint="0.39997558519241921"/>
  </sheetPr>
  <dimension ref="A1:O8234"/>
  <sheetViews>
    <sheetView zoomScale="78" zoomScaleNormal="78" workbookViewId="0">
      <selection sqref="A1:O1"/>
    </sheetView>
  </sheetViews>
  <sheetFormatPr defaultRowHeight="15" x14ac:dyDescent="0.25"/>
  <cols>
    <col min="1" max="1" width="7.85546875" customWidth="1"/>
    <col min="2" max="2" width="38.140625" customWidth="1"/>
    <col min="3" max="3" width="13.5703125" customWidth="1"/>
    <col min="4" max="4" width="12.140625" customWidth="1"/>
    <col min="5" max="9" width="15.7109375" customWidth="1"/>
    <col min="10" max="10" width="55" customWidth="1"/>
    <col min="11" max="11" width="18" style="39" customWidth="1"/>
    <col min="12" max="12" width="33.28515625" style="39" customWidth="1"/>
    <col min="13" max="13" width="14.42578125" customWidth="1"/>
    <col min="14" max="14" width="13.28515625" customWidth="1"/>
    <col min="15" max="15" width="103.42578125" customWidth="1"/>
  </cols>
  <sheetData>
    <row r="1" spans="1:15" ht="18.75" x14ac:dyDescent="0.3">
      <c r="A1" s="78" t="s">
        <v>14317</v>
      </c>
      <c r="B1" s="78"/>
      <c r="C1" s="78"/>
      <c r="D1" s="78"/>
      <c r="E1" s="78"/>
      <c r="F1" s="78"/>
      <c r="G1" s="78"/>
      <c r="H1" s="78"/>
      <c r="I1" s="78"/>
      <c r="J1" s="78"/>
      <c r="K1" s="78"/>
      <c r="L1" s="78"/>
      <c r="M1" s="78"/>
      <c r="N1" s="78"/>
      <c r="O1" s="78"/>
    </row>
    <row r="2" spans="1:15" s="34" customFormat="1" ht="76.5" customHeight="1" x14ac:dyDescent="0.25">
      <c r="A2" s="55" t="s">
        <v>1467</v>
      </c>
      <c r="B2" s="56" t="s">
        <v>1468</v>
      </c>
      <c r="C2" s="56" t="s">
        <v>1469</v>
      </c>
      <c r="D2" s="56" t="s">
        <v>14318</v>
      </c>
      <c r="E2" s="56" t="s">
        <v>14319</v>
      </c>
      <c r="F2" s="56" t="s">
        <v>14320</v>
      </c>
      <c r="G2" s="56" t="s">
        <v>14321</v>
      </c>
      <c r="H2" s="56" t="s">
        <v>14322</v>
      </c>
      <c r="I2" s="57" t="s">
        <v>14323</v>
      </c>
      <c r="J2" s="56" t="s">
        <v>14324</v>
      </c>
      <c r="K2" s="56" t="s">
        <v>14325</v>
      </c>
      <c r="L2" s="56" t="s">
        <v>14326</v>
      </c>
      <c r="M2" s="58" t="s">
        <v>14327</v>
      </c>
      <c r="N2" s="58" t="s">
        <v>14328</v>
      </c>
      <c r="O2" s="58" t="s">
        <v>14329</v>
      </c>
    </row>
    <row r="3" spans="1:15" x14ac:dyDescent="0.25">
      <c r="A3" s="35" t="s">
        <v>14337</v>
      </c>
      <c r="B3" s="36" t="s">
        <v>14338</v>
      </c>
      <c r="C3" s="36" t="str">
        <f>HYPERLINK("https://rhld.insurance.arkansas.gov/NPILookup?Npi=1003823006","1003823006")</f>
        <v>1003823006</v>
      </c>
      <c r="D3" s="36" t="s">
        <v>32584</v>
      </c>
      <c r="E3" s="36" t="s">
        <v>1</v>
      </c>
      <c r="F3" s="36">
        <v>1</v>
      </c>
      <c r="G3" s="36">
        <v>2</v>
      </c>
      <c r="H3" s="36">
        <v>1</v>
      </c>
      <c r="I3" s="37">
        <v>0</v>
      </c>
      <c r="J3" s="36" t="s">
        <v>32585</v>
      </c>
      <c r="K3" s="36" t="s">
        <v>14330</v>
      </c>
      <c r="L3" s="36" t="s">
        <v>32586</v>
      </c>
      <c r="M3">
        <v>1</v>
      </c>
      <c r="N3" t="s">
        <v>14332</v>
      </c>
      <c r="O3" t="s">
        <v>32587</v>
      </c>
    </row>
    <row r="4" spans="1:15" x14ac:dyDescent="0.25">
      <c r="A4" s="35" t="s">
        <v>14337</v>
      </c>
      <c r="B4" s="36" t="s">
        <v>14338</v>
      </c>
      <c r="C4" s="36" t="str">
        <f>HYPERLINK("https://rhld.insurance.arkansas.gov/NPILookup?Npi=1013589514","1013589514")</f>
        <v>1013589514</v>
      </c>
      <c r="D4" s="36" t="s">
        <v>32588</v>
      </c>
      <c r="E4" s="36" t="s">
        <v>1</v>
      </c>
      <c r="F4" s="36">
        <v>1</v>
      </c>
      <c r="G4" s="36">
        <v>2</v>
      </c>
      <c r="H4" s="36">
        <v>1</v>
      </c>
      <c r="I4" s="37">
        <v>0</v>
      </c>
      <c r="J4" s="36" t="s">
        <v>32589</v>
      </c>
      <c r="K4" s="36" t="s">
        <v>14330</v>
      </c>
      <c r="L4" s="36" t="s">
        <v>32590</v>
      </c>
      <c r="M4">
        <v>1</v>
      </c>
      <c r="N4" t="s">
        <v>14332</v>
      </c>
      <c r="O4" t="s">
        <v>32591</v>
      </c>
    </row>
    <row r="5" spans="1:15" x14ac:dyDescent="0.25">
      <c r="A5" s="35" t="s">
        <v>14337</v>
      </c>
      <c r="B5" s="36" t="s">
        <v>14338</v>
      </c>
      <c r="C5" s="36" t="str">
        <f>HYPERLINK("https://rhld.insurance.arkansas.gov/NPILookup?Npi=1013922541","1013922541")</f>
        <v>1013922541</v>
      </c>
      <c r="D5" s="36" t="s">
        <v>32592</v>
      </c>
      <c r="E5" s="36" t="s">
        <v>1</v>
      </c>
      <c r="F5" s="36">
        <v>1</v>
      </c>
      <c r="G5" s="36">
        <v>2</v>
      </c>
      <c r="H5" s="36">
        <v>1</v>
      </c>
      <c r="I5" s="37">
        <v>0</v>
      </c>
      <c r="J5" s="36" t="s">
        <v>32593</v>
      </c>
      <c r="K5" s="36" t="s">
        <v>14330</v>
      </c>
      <c r="L5" s="36" t="s">
        <v>32594</v>
      </c>
      <c r="M5">
        <v>1</v>
      </c>
      <c r="N5" t="s">
        <v>14332</v>
      </c>
      <c r="O5" t="s">
        <v>32595</v>
      </c>
    </row>
    <row r="6" spans="1:15" x14ac:dyDescent="0.25">
      <c r="A6" s="35" t="s">
        <v>14337</v>
      </c>
      <c r="B6" s="36" t="s">
        <v>14338</v>
      </c>
      <c r="C6" s="36" t="str">
        <f>HYPERLINK("https://rhld.insurance.arkansas.gov/NPILookup?Npi=1023423423","1023423423")</f>
        <v>1023423423</v>
      </c>
      <c r="D6" s="36" t="s">
        <v>32596</v>
      </c>
      <c r="E6" s="36" t="s">
        <v>1</v>
      </c>
      <c r="F6" s="36">
        <v>1</v>
      </c>
      <c r="G6" s="36">
        <v>2</v>
      </c>
      <c r="H6" s="36">
        <v>1</v>
      </c>
      <c r="I6" s="37">
        <v>0</v>
      </c>
      <c r="J6" s="36" t="s">
        <v>32589</v>
      </c>
      <c r="K6" s="36" t="s">
        <v>14330</v>
      </c>
      <c r="L6" s="36" t="s">
        <v>32590</v>
      </c>
      <c r="M6">
        <v>2</v>
      </c>
      <c r="N6" t="s">
        <v>14332</v>
      </c>
      <c r="O6" t="s">
        <v>32597</v>
      </c>
    </row>
    <row r="7" spans="1:15" x14ac:dyDescent="0.25">
      <c r="A7" s="35" t="s">
        <v>14337</v>
      </c>
      <c r="B7" s="36" t="s">
        <v>14338</v>
      </c>
      <c r="C7" s="36" t="str">
        <f>HYPERLINK("https://rhld.insurance.arkansas.gov/NPILookup?Npi=1023535655","1023535655")</f>
        <v>1023535655</v>
      </c>
      <c r="D7" s="36" t="s">
        <v>32598</v>
      </c>
      <c r="E7" s="36" t="s">
        <v>2</v>
      </c>
      <c r="F7" s="36">
        <v>1</v>
      </c>
      <c r="G7" s="36">
        <v>2</v>
      </c>
      <c r="H7" s="36">
        <v>0</v>
      </c>
      <c r="I7" s="37">
        <v>0</v>
      </c>
      <c r="J7" s="36" t="s">
        <v>32599</v>
      </c>
      <c r="K7" s="36" t="s">
        <v>14330</v>
      </c>
      <c r="L7" s="36" t="s">
        <v>14330</v>
      </c>
      <c r="M7">
        <v>0</v>
      </c>
      <c r="N7" t="s">
        <v>14332</v>
      </c>
      <c r="O7" t="s">
        <v>32600</v>
      </c>
    </row>
    <row r="8" spans="1:15" x14ac:dyDescent="0.25">
      <c r="A8" s="35" t="s">
        <v>14337</v>
      </c>
      <c r="B8" s="36" t="s">
        <v>14338</v>
      </c>
      <c r="C8" s="36" t="str">
        <f>HYPERLINK("https://rhld.insurance.arkansas.gov/NPILookup?Npi=1093720443","1093720443")</f>
        <v>1093720443</v>
      </c>
      <c r="D8" s="36" t="s">
        <v>32601</v>
      </c>
      <c r="E8" s="36" t="s">
        <v>2</v>
      </c>
      <c r="F8" s="36">
        <v>1</v>
      </c>
      <c r="G8" s="36">
        <v>0</v>
      </c>
      <c r="H8" s="36">
        <v>0</v>
      </c>
      <c r="I8" s="37">
        <v>0</v>
      </c>
      <c r="J8" s="36" t="s">
        <v>32602</v>
      </c>
      <c r="K8" s="36" t="s">
        <v>14330</v>
      </c>
      <c r="L8" s="36" t="s">
        <v>14330</v>
      </c>
      <c r="M8">
        <v>0</v>
      </c>
      <c r="N8" t="s">
        <v>14332</v>
      </c>
      <c r="O8" t="s">
        <v>32603</v>
      </c>
    </row>
    <row r="9" spans="1:15" x14ac:dyDescent="0.25">
      <c r="A9" s="35" t="s">
        <v>14337</v>
      </c>
      <c r="B9" s="36" t="s">
        <v>14338</v>
      </c>
      <c r="C9" s="36" t="str">
        <f>HYPERLINK("https://rhld.insurance.arkansas.gov/NPILookup?Npi=1134993348","1134993348")</f>
        <v>1134993348</v>
      </c>
      <c r="D9" s="36" t="s">
        <v>32604</v>
      </c>
      <c r="E9" s="36" t="s">
        <v>2</v>
      </c>
      <c r="F9" s="36">
        <v>1</v>
      </c>
      <c r="G9" s="36">
        <v>0</v>
      </c>
      <c r="H9" s="36">
        <v>0</v>
      </c>
      <c r="I9" s="37">
        <v>0</v>
      </c>
      <c r="J9" s="36" t="s">
        <v>32602</v>
      </c>
      <c r="K9" s="36" t="s">
        <v>14330</v>
      </c>
      <c r="L9" s="36" t="s">
        <v>14330</v>
      </c>
      <c r="M9">
        <v>0</v>
      </c>
      <c r="N9" t="s">
        <v>14332</v>
      </c>
      <c r="O9" t="s">
        <v>32605</v>
      </c>
    </row>
    <row r="10" spans="1:15" x14ac:dyDescent="0.25">
      <c r="A10" s="35" t="s">
        <v>14337</v>
      </c>
      <c r="B10" s="36" t="s">
        <v>14338</v>
      </c>
      <c r="C10" s="36" t="str">
        <f>HYPERLINK("https://rhld.insurance.arkansas.gov/NPILookup?Npi=1215664115","1215664115")</f>
        <v>1215664115</v>
      </c>
      <c r="D10" s="36" t="s">
        <v>32606</v>
      </c>
      <c r="E10" s="36" t="s">
        <v>2</v>
      </c>
      <c r="F10" s="36">
        <v>1</v>
      </c>
      <c r="G10" s="36">
        <v>0</v>
      </c>
      <c r="H10" s="36">
        <v>0</v>
      </c>
      <c r="I10" s="37">
        <v>0</v>
      </c>
      <c r="J10" s="36" t="s">
        <v>32602</v>
      </c>
      <c r="K10" s="36" t="s">
        <v>14330</v>
      </c>
      <c r="L10" s="36" t="s">
        <v>14330</v>
      </c>
      <c r="M10">
        <v>0</v>
      </c>
      <c r="N10" t="s">
        <v>14331</v>
      </c>
      <c r="O10" t="s">
        <v>32607</v>
      </c>
    </row>
    <row r="11" spans="1:15" x14ac:dyDescent="0.25">
      <c r="A11" s="35" t="s">
        <v>14337</v>
      </c>
      <c r="B11" s="36" t="s">
        <v>14338</v>
      </c>
      <c r="C11" s="36" t="str">
        <f>HYPERLINK("https://rhld.insurance.arkansas.gov/NPILookup?Npi=1245035260","1245035260")</f>
        <v>1245035260</v>
      </c>
      <c r="D11" s="36" t="s">
        <v>32608</v>
      </c>
      <c r="E11" s="36" t="s">
        <v>2</v>
      </c>
      <c r="F11" s="36">
        <v>1</v>
      </c>
      <c r="G11" s="36">
        <v>0</v>
      </c>
      <c r="H11" s="36">
        <v>0</v>
      </c>
      <c r="I11" s="37">
        <v>0</v>
      </c>
      <c r="J11" s="36" t="s">
        <v>32602</v>
      </c>
      <c r="K11" s="36" t="s">
        <v>14330</v>
      </c>
      <c r="L11" s="36" t="s">
        <v>14330</v>
      </c>
      <c r="M11">
        <v>0</v>
      </c>
      <c r="N11" t="s">
        <v>14331</v>
      </c>
      <c r="O11" t="s">
        <v>32607</v>
      </c>
    </row>
    <row r="12" spans="1:15" x14ac:dyDescent="0.25">
      <c r="A12" s="35" t="s">
        <v>14337</v>
      </c>
      <c r="B12" s="36" t="s">
        <v>14338</v>
      </c>
      <c r="C12" s="36" t="str">
        <f>HYPERLINK("https://rhld.insurance.arkansas.gov/NPILookup?Npi=1316902414","1316902414")</f>
        <v>1316902414</v>
      </c>
      <c r="D12" s="36" t="s">
        <v>32609</v>
      </c>
      <c r="E12" s="36" t="s">
        <v>2</v>
      </c>
      <c r="F12" s="36">
        <v>1</v>
      </c>
      <c r="G12" s="36">
        <v>0</v>
      </c>
      <c r="H12" s="36">
        <v>0</v>
      </c>
      <c r="I12" s="37">
        <v>0</v>
      </c>
      <c r="J12" s="36" t="s">
        <v>32602</v>
      </c>
      <c r="K12" s="36" t="s">
        <v>14330</v>
      </c>
      <c r="L12" s="36" t="s">
        <v>14330</v>
      </c>
      <c r="M12">
        <v>0</v>
      </c>
      <c r="N12" t="s">
        <v>14331</v>
      </c>
      <c r="O12" t="s">
        <v>32610</v>
      </c>
    </row>
    <row r="13" spans="1:15" x14ac:dyDescent="0.25">
      <c r="A13" s="35" t="s">
        <v>14337</v>
      </c>
      <c r="B13" s="36" t="s">
        <v>14338</v>
      </c>
      <c r="C13" s="36" t="str">
        <f>HYPERLINK("https://rhld.insurance.arkansas.gov/NPILookup?Npi=1356693519","1356693519")</f>
        <v>1356693519</v>
      </c>
      <c r="D13" s="36" t="s">
        <v>32606</v>
      </c>
      <c r="E13" s="36" t="s">
        <v>2</v>
      </c>
      <c r="F13" s="36">
        <v>1</v>
      </c>
      <c r="G13" s="36">
        <v>0</v>
      </c>
      <c r="H13" s="36">
        <v>0</v>
      </c>
      <c r="I13" s="37">
        <v>0</v>
      </c>
      <c r="J13" s="36" t="s">
        <v>32602</v>
      </c>
      <c r="K13" s="36" t="s">
        <v>14330</v>
      </c>
      <c r="L13" s="36" t="s">
        <v>14330</v>
      </c>
      <c r="M13">
        <v>0</v>
      </c>
      <c r="N13" t="s">
        <v>14331</v>
      </c>
      <c r="O13" t="s">
        <v>32607</v>
      </c>
    </row>
    <row r="14" spans="1:15" x14ac:dyDescent="0.25">
      <c r="A14" s="35" t="s">
        <v>14337</v>
      </c>
      <c r="B14" s="36" t="s">
        <v>14338</v>
      </c>
      <c r="C14" s="36" t="str">
        <f>HYPERLINK("https://rhld.insurance.arkansas.gov/NPILookup?Npi=1376845412","1376845412")</f>
        <v>1376845412</v>
      </c>
      <c r="D14" s="36" t="s">
        <v>32611</v>
      </c>
      <c r="E14" s="36" t="s">
        <v>2</v>
      </c>
      <c r="F14" s="36">
        <v>1</v>
      </c>
      <c r="G14" s="36">
        <v>0</v>
      </c>
      <c r="H14" s="36">
        <v>0</v>
      </c>
      <c r="I14" s="37">
        <v>0</v>
      </c>
      <c r="J14" s="36" t="s">
        <v>32602</v>
      </c>
      <c r="K14" s="36" t="s">
        <v>14330</v>
      </c>
      <c r="L14" s="36" t="s">
        <v>14330</v>
      </c>
      <c r="M14">
        <v>0</v>
      </c>
      <c r="N14" t="s">
        <v>14332</v>
      </c>
      <c r="O14" t="s">
        <v>32612</v>
      </c>
    </row>
    <row r="15" spans="1:15" x14ac:dyDescent="0.25">
      <c r="A15" s="35" t="s">
        <v>14337</v>
      </c>
      <c r="B15" s="36" t="s">
        <v>14338</v>
      </c>
      <c r="C15" s="36" t="str">
        <f>HYPERLINK("https://rhld.insurance.arkansas.gov/NPILookup?Npi=1427269091","1427269091")</f>
        <v>1427269091</v>
      </c>
      <c r="D15" s="36" t="s">
        <v>32613</v>
      </c>
      <c r="E15" s="36" t="s">
        <v>2</v>
      </c>
      <c r="F15" s="36">
        <v>1</v>
      </c>
      <c r="G15" s="36">
        <v>0</v>
      </c>
      <c r="H15" s="36">
        <v>0</v>
      </c>
      <c r="I15" s="37">
        <v>0</v>
      </c>
      <c r="J15" s="36" t="s">
        <v>32602</v>
      </c>
      <c r="K15" s="36" t="s">
        <v>14330</v>
      </c>
      <c r="L15" s="36" t="s">
        <v>14330</v>
      </c>
      <c r="M15">
        <v>0</v>
      </c>
      <c r="N15" t="s">
        <v>14332</v>
      </c>
      <c r="O15" t="s">
        <v>32614</v>
      </c>
    </row>
    <row r="16" spans="1:15" x14ac:dyDescent="0.25">
      <c r="A16" s="35" t="s">
        <v>14337</v>
      </c>
      <c r="B16" s="36" t="s">
        <v>14338</v>
      </c>
      <c r="C16" s="36" t="str">
        <f>HYPERLINK("https://rhld.insurance.arkansas.gov/NPILookup?Npi=1457565400","1457565400")</f>
        <v>1457565400</v>
      </c>
      <c r="D16" s="36" t="s">
        <v>32615</v>
      </c>
      <c r="E16" s="36" t="s">
        <v>2</v>
      </c>
      <c r="F16" s="36">
        <v>1</v>
      </c>
      <c r="G16" s="36">
        <v>0</v>
      </c>
      <c r="H16" s="36">
        <v>0</v>
      </c>
      <c r="I16" s="37">
        <v>0</v>
      </c>
      <c r="J16" s="36" t="s">
        <v>32602</v>
      </c>
      <c r="K16" s="36" t="s">
        <v>14330</v>
      </c>
      <c r="L16" s="36" t="s">
        <v>14330</v>
      </c>
      <c r="M16">
        <v>0</v>
      </c>
      <c r="N16" t="s">
        <v>14331</v>
      </c>
      <c r="O16" t="s">
        <v>32616</v>
      </c>
    </row>
    <row r="17" spans="1:15" x14ac:dyDescent="0.25">
      <c r="A17" s="35" t="s">
        <v>14337</v>
      </c>
      <c r="B17" s="36" t="s">
        <v>14338</v>
      </c>
      <c r="C17" s="36" t="str">
        <f>HYPERLINK("https://rhld.insurance.arkansas.gov/NPILookup?Npi=1477002012","1477002012")</f>
        <v>1477002012</v>
      </c>
      <c r="D17" s="36" t="s">
        <v>32606</v>
      </c>
      <c r="E17" s="36" t="s">
        <v>2</v>
      </c>
      <c r="F17" s="36">
        <v>1</v>
      </c>
      <c r="G17" s="36">
        <v>0</v>
      </c>
      <c r="H17" s="36">
        <v>0</v>
      </c>
      <c r="I17" s="37">
        <v>0</v>
      </c>
      <c r="J17" s="36" t="s">
        <v>32602</v>
      </c>
      <c r="K17" s="36" t="s">
        <v>14330</v>
      </c>
      <c r="L17" s="36" t="s">
        <v>14330</v>
      </c>
      <c r="M17">
        <v>0</v>
      </c>
      <c r="N17" t="s">
        <v>14331</v>
      </c>
      <c r="O17" t="s">
        <v>32607</v>
      </c>
    </row>
    <row r="18" spans="1:15" x14ac:dyDescent="0.25">
      <c r="A18" s="35" t="s">
        <v>14337</v>
      </c>
      <c r="B18" s="36" t="s">
        <v>14338</v>
      </c>
      <c r="C18" s="36" t="str">
        <f>HYPERLINK("https://rhld.insurance.arkansas.gov/NPILookup?Npi=1518760982","1518760982")</f>
        <v>1518760982</v>
      </c>
      <c r="D18" s="36" t="s">
        <v>32617</v>
      </c>
      <c r="E18" s="36" t="s">
        <v>2</v>
      </c>
      <c r="F18" s="36">
        <v>1</v>
      </c>
      <c r="G18" s="36">
        <v>0</v>
      </c>
      <c r="H18" s="36">
        <v>0</v>
      </c>
      <c r="I18" s="37">
        <v>0</v>
      </c>
      <c r="J18" s="36" t="s">
        <v>32602</v>
      </c>
      <c r="K18" s="36" t="s">
        <v>14330</v>
      </c>
      <c r="L18" s="36" t="s">
        <v>14330</v>
      </c>
      <c r="M18">
        <v>0</v>
      </c>
      <c r="N18" t="s">
        <v>14331</v>
      </c>
      <c r="O18" t="s">
        <v>32607</v>
      </c>
    </row>
    <row r="19" spans="1:15" x14ac:dyDescent="0.25">
      <c r="A19" s="35" t="s">
        <v>14337</v>
      </c>
      <c r="B19" s="36" t="s">
        <v>14338</v>
      </c>
      <c r="C19" s="36" t="str">
        <f>HYPERLINK("https://rhld.insurance.arkansas.gov/NPILookup?Npi=1528451648","1528451648")</f>
        <v>1528451648</v>
      </c>
      <c r="D19" s="36" t="s">
        <v>32618</v>
      </c>
      <c r="E19" s="36" t="s">
        <v>2</v>
      </c>
      <c r="F19" s="36">
        <v>1</v>
      </c>
      <c r="G19" s="36">
        <v>0</v>
      </c>
      <c r="H19" s="36">
        <v>0</v>
      </c>
      <c r="I19" s="37">
        <v>0</v>
      </c>
      <c r="J19" s="36" t="s">
        <v>32602</v>
      </c>
      <c r="K19" s="36" t="s">
        <v>14330</v>
      </c>
      <c r="L19" s="36" t="s">
        <v>14330</v>
      </c>
      <c r="M19">
        <v>0</v>
      </c>
      <c r="N19" t="s">
        <v>14332</v>
      </c>
      <c r="O19" t="s">
        <v>32619</v>
      </c>
    </row>
    <row r="20" spans="1:15" x14ac:dyDescent="0.25">
      <c r="A20" s="35" t="s">
        <v>14337</v>
      </c>
      <c r="B20" s="36" t="s">
        <v>14338</v>
      </c>
      <c r="C20" s="36" t="str">
        <f>HYPERLINK("https://rhld.insurance.arkansas.gov/NPILookup?Npi=1538884499","1538884499")</f>
        <v>1538884499</v>
      </c>
      <c r="D20" s="36" t="s">
        <v>32606</v>
      </c>
      <c r="E20" s="36" t="s">
        <v>2</v>
      </c>
      <c r="F20" s="36">
        <v>1</v>
      </c>
      <c r="G20" s="36">
        <v>0</v>
      </c>
      <c r="H20" s="36">
        <v>0</v>
      </c>
      <c r="I20" s="37">
        <v>0</v>
      </c>
      <c r="J20" s="36" t="s">
        <v>32602</v>
      </c>
      <c r="K20" s="36" t="s">
        <v>14330</v>
      </c>
      <c r="L20" s="36" t="s">
        <v>14330</v>
      </c>
      <c r="M20">
        <v>0</v>
      </c>
      <c r="N20" t="s">
        <v>14331</v>
      </c>
      <c r="O20" t="s">
        <v>32607</v>
      </c>
    </row>
    <row r="21" spans="1:15" x14ac:dyDescent="0.25">
      <c r="A21" s="35" t="s">
        <v>14337</v>
      </c>
      <c r="B21" s="36" t="s">
        <v>14338</v>
      </c>
      <c r="C21" s="36" t="str">
        <f>HYPERLINK("https://rhld.insurance.arkansas.gov/NPILookup?Npi=1548528268","1548528268")</f>
        <v>1548528268</v>
      </c>
      <c r="D21" s="36" t="s">
        <v>32598</v>
      </c>
      <c r="E21" s="36" t="s">
        <v>2</v>
      </c>
      <c r="F21" s="36">
        <v>1</v>
      </c>
      <c r="G21" s="36">
        <v>0</v>
      </c>
      <c r="H21" s="36">
        <v>0</v>
      </c>
      <c r="I21" s="37">
        <v>0</v>
      </c>
      <c r="J21" s="36" t="s">
        <v>32602</v>
      </c>
      <c r="K21" s="36" t="s">
        <v>14330</v>
      </c>
      <c r="L21" s="36" t="s">
        <v>14330</v>
      </c>
      <c r="M21">
        <v>0</v>
      </c>
      <c r="N21" t="s">
        <v>14331</v>
      </c>
      <c r="O21" t="s">
        <v>32607</v>
      </c>
    </row>
    <row r="22" spans="1:15" x14ac:dyDescent="0.25">
      <c r="A22" s="35" t="s">
        <v>14337</v>
      </c>
      <c r="B22" s="36" t="s">
        <v>14338</v>
      </c>
      <c r="C22" s="36" t="str">
        <f>HYPERLINK("https://rhld.insurance.arkansas.gov/NPILookup?Npi=1578347449","1578347449")</f>
        <v>1578347449</v>
      </c>
      <c r="D22" s="36" t="s">
        <v>32606</v>
      </c>
      <c r="E22" s="36" t="s">
        <v>2</v>
      </c>
      <c r="F22" s="36">
        <v>1</v>
      </c>
      <c r="G22" s="36">
        <v>0</v>
      </c>
      <c r="H22" s="36">
        <v>0</v>
      </c>
      <c r="I22" s="37">
        <v>0</v>
      </c>
      <c r="J22" s="36" t="s">
        <v>32602</v>
      </c>
      <c r="K22" s="36" t="s">
        <v>14330</v>
      </c>
      <c r="L22" s="36" t="s">
        <v>14330</v>
      </c>
      <c r="M22">
        <v>0</v>
      </c>
      <c r="N22" t="s">
        <v>14331</v>
      </c>
      <c r="O22" t="s">
        <v>32607</v>
      </c>
    </row>
    <row r="23" spans="1:15" x14ac:dyDescent="0.25">
      <c r="A23" s="35" t="s">
        <v>14337</v>
      </c>
      <c r="B23" s="36" t="s">
        <v>14338</v>
      </c>
      <c r="C23" s="36" t="str">
        <f>HYPERLINK("https://rhld.insurance.arkansas.gov/NPILookup?Npi=1639976467","1639976467")</f>
        <v>1639976467</v>
      </c>
      <c r="D23" s="36" t="s">
        <v>32620</v>
      </c>
      <c r="E23" s="36" t="s">
        <v>2</v>
      </c>
      <c r="F23" s="36">
        <v>1</v>
      </c>
      <c r="G23" s="36">
        <v>0</v>
      </c>
      <c r="H23" s="36">
        <v>0</v>
      </c>
      <c r="I23" s="37">
        <v>0</v>
      </c>
      <c r="J23" s="36" t="s">
        <v>32602</v>
      </c>
      <c r="K23" s="36" t="s">
        <v>14330</v>
      </c>
      <c r="L23" s="36" t="s">
        <v>14330</v>
      </c>
      <c r="M23">
        <v>0</v>
      </c>
      <c r="N23" t="s">
        <v>14331</v>
      </c>
      <c r="O23" t="s">
        <v>32621</v>
      </c>
    </row>
    <row r="24" spans="1:15" x14ac:dyDescent="0.25">
      <c r="A24" s="35" t="s">
        <v>14337</v>
      </c>
      <c r="B24" s="36" t="s">
        <v>14338</v>
      </c>
      <c r="C24" s="36" t="str">
        <f>HYPERLINK("https://rhld.insurance.arkansas.gov/NPILookup?Npi=1679654818","1679654818")</f>
        <v>1679654818</v>
      </c>
      <c r="D24" s="36" t="s">
        <v>32622</v>
      </c>
      <c r="E24" s="36" t="s">
        <v>2</v>
      </c>
      <c r="F24" s="36">
        <v>1</v>
      </c>
      <c r="G24" s="36">
        <v>0</v>
      </c>
      <c r="H24" s="36">
        <v>0</v>
      </c>
      <c r="I24" s="37">
        <v>0</v>
      </c>
      <c r="J24" s="36" t="s">
        <v>32602</v>
      </c>
      <c r="K24" s="36" t="s">
        <v>14330</v>
      </c>
      <c r="L24" s="36" t="s">
        <v>14330</v>
      </c>
      <c r="M24">
        <v>0</v>
      </c>
      <c r="N24" t="s">
        <v>14332</v>
      </c>
      <c r="O24" t="s">
        <v>32623</v>
      </c>
    </row>
    <row r="25" spans="1:15" x14ac:dyDescent="0.25">
      <c r="A25" s="35" t="s">
        <v>14337</v>
      </c>
      <c r="B25" s="36" t="s">
        <v>14338</v>
      </c>
      <c r="C25" s="36" t="str">
        <f>HYPERLINK("https://rhld.insurance.arkansas.gov/NPILookup?Npi=1700639853","1700639853")</f>
        <v>1700639853</v>
      </c>
      <c r="D25" s="36" t="s">
        <v>32606</v>
      </c>
      <c r="E25" s="36" t="s">
        <v>2</v>
      </c>
      <c r="F25" s="36">
        <v>1</v>
      </c>
      <c r="G25" s="36">
        <v>0</v>
      </c>
      <c r="H25" s="36">
        <v>0</v>
      </c>
      <c r="I25" s="37">
        <v>0</v>
      </c>
      <c r="J25" s="36" t="s">
        <v>32602</v>
      </c>
      <c r="K25" s="36" t="s">
        <v>14330</v>
      </c>
      <c r="L25" s="36" t="s">
        <v>14330</v>
      </c>
      <c r="M25">
        <v>0</v>
      </c>
      <c r="N25" t="s">
        <v>14331</v>
      </c>
      <c r="O25" t="s">
        <v>32607</v>
      </c>
    </row>
    <row r="26" spans="1:15" x14ac:dyDescent="0.25">
      <c r="A26" s="35" t="s">
        <v>14337</v>
      </c>
      <c r="B26" s="36" t="s">
        <v>14338</v>
      </c>
      <c r="C26" s="36" t="str">
        <f>HYPERLINK("https://rhld.insurance.arkansas.gov/NPILookup?Npi=1760924088","1760924088")</f>
        <v>1760924088</v>
      </c>
      <c r="D26" s="36" t="s">
        <v>32624</v>
      </c>
      <c r="E26" s="36" t="s">
        <v>2</v>
      </c>
      <c r="F26" s="36">
        <v>1</v>
      </c>
      <c r="G26" s="36">
        <v>0</v>
      </c>
      <c r="H26" s="36">
        <v>0</v>
      </c>
      <c r="I26" s="37">
        <v>0</v>
      </c>
      <c r="J26" s="36" t="s">
        <v>32602</v>
      </c>
      <c r="K26" s="36" t="s">
        <v>14330</v>
      </c>
      <c r="L26" s="36" t="s">
        <v>14330</v>
      </c>
      <c r="M26">
        <v>0</v>
      </c>
      <c r="N26" t="s">
        <v>14331</v>
      </c>
      <c r="O26" t="s">
        <v>32607</v>
      </c>
    </row>
    <row r="27" spans="1:15" x14ac:dyDescent="0.25">
      <c r="A27" s="35" t="s">
        <v>14337</v>
      </c>
      <c r="B27" s="36" t="s">
        <v>14338</v>
      </c>
      <c r="C27" s="36" t="str">
        <f>HYPERLINK("https://rhld.insurance.arkansas.gov/NPILookup?Npi=1790849560","1790849560")</f>
        <v>1790849560</v>
      </c>
      <c r="D27" s="36" t="s">
        <v>32625</v>
      </c>
      <c r="E27" s="36" t="s">
        <v>2</v>
      </c>
      <c r="F27" s="36">
        <v>1</v>
      </c>
      <c r="G27" s="36">
        <v>0</v>
      </c>
      <c r="H27" s="36">
        <v>0</v>
      </c>
      <c r="I27" s="37">
        <v>0</v>
      </c>
      <c r="J27" s="36" t="s">
        <v>32602</v>
      </c>
      <c r="K27" s="36" t="s">
        <v>14330</v>
      </c>
      <c r="L27" s="36" t="s">
        <v>14330</v>
      </c>
      <c r="M27">
        <v>0</v>
      </c>
      <c r="N27" t="s">
        <v>14332</v>
      </c>
      <c r="O27" t="s">
        <v>32626</v>
      </c>
    </row>
    <row r="28" spans="1:15" x14ac:dyDescent="0.25">
      <c r="A28" s="35" t="s">
        <v>14337</v>
      </c>
      <c r="B28" s="36" t="s">
        <v>14338</v>
      </c>
      <c r="C28" s="36" t="str">
        <f>HYPERLINK("https://rhld.insurance.arkansas.gov/NPILookup?Npi=1811414972","1811414972")</f>
        <v>1811414972</v>
      </c>
      <c r="D28" s="36" t="s">
        <v>32598</v>
      </c>
      <c r="E28" s="36" t="s">
        <v>2</v>
      </c>
      <c r="F28" s="36">
        <v>1</v>
      </c>
      <c r="G28" s="36">
        <v>0</v>
      </c>
      <c r="H28" s="36">
        <v>0</v>
      </c>
      <c r="I28" s="37">
        <v>0</v>
      </c>
      <c r="J28" s="36" t="s">
        <v>32602</v>
      </c>
      <c r="K28" s="36" t="s">
        <v>14330</v>
      </c>
      <c r="L28" s="36" t="s">
        <v>14330</v>
      </c>
      <c r="M28">
        <v>0</v>
      </c>
      <c r="N28" t="s">
        <v>14331</v>
      </c>
      <c r="O28" t="s">
        <v>32607</v>
      </c>
    </row>
    <row r="29" spans="1:15" x14ac:dyDescent="0.25">
      <c r="A29" s="35" t="s">
        <v>14337</v>
      </c>
      <c r="B29" s="36" t="s">
        <v>14338</v>
      </c>
      <c r="C29" s="36" t="str">
        <f>HYPERLINK("https://rhld.insurance.arkansas.gov/NPILookup?Npi=1821371261","1821371261")</f>
        <v>1821371261</v>
      </c>
      <c r="D29" s="36" t="s">
        <v>32627</v>
      </c>
      <c r="E29" s="36" t="s">
        <v>2</v>
      </c>
      <c r="F29" s="36">
        <v>1</v>
      </c>
      <c r="G29" s="36">
        <v>0</v>
      </c>
      <c r="H29" s="36">
        <v>0</v>
      </c>
      <c r="I29" s="37">
        <v>0</v>
      </c>
      <c r="J29" s="36" t="s">
        <v>32602</v>
      </c>
      <c r="K29" s="36" t="s">
        <v>14330</v>
      </c>
      <c r="L29" s="36" t="s">
        <v>14330</v>
      </c>
      <c r="M29">
        <v>0</v>
      </c>
      <c r="N29" t="s">
        <v>14332</v>
      </c>
      <c r="O29" t="s">
        <v>32607</v>
      </c>
    </row>
    <row r="30" spans="1:15" x14ac:dyDescent="0.25">
      <c r="A30" s="35" t="s">
        <v>14337</v>
      </c>
      <c r="B30" s="36" t="s">
        <v>14338</v>
      </c>
      <c r="C30" s="36" t="str">
        <f>HYPERLINK("https://rhld.insurance.arkansas.gov/NPILookup?Npi=1831907021","1831907021")</f>
        <v>1831907021</v>
      </c>
      <c r="D30" s="36" t="s">
        <v>32620</v>
      </c>
      <c r="E30" s="36" t="s">
        <v>2</v>
      </c>
      <c r="F30" s="36">
        <v>1</v>
      </c>
      <c r="G30" s="36">
        <v>0</v>
      </c>
      <c r="H30" s="36">
        <v>0</v>
      </c>
      <c r="I30" s="37">
        <v>0</v>
      </c>
      <c r="J30" s="36" t="s">
        <v>32602</v>
      </c>
      <c r="K30" s="36" t="s">
        <v>14330</v>
      </c>
      <c r="L30" s="36" t="s">
        <v>14330</v>
      </c>
      <c r="M30">
        <v>0</v>
      </c>
      <c r="N30" t="s">
        <v>14331</v>
      </c>
      <c r="O30" t="s">
        <v>32628</v>
      </c>
    </row>
    <row r="31" spans="1:15" x14ac:dyDescent="0.25">
      <c r="A31" s="35" t="s">
        <v>14337</v>
      </c>
      <c r="B31" s="36" t="s">
        <v>14338</v>
      </c>
      <c r="C31" s="36" t="str">
        <f>HYPERLINK("https://rhld.insurance.arkansas.gov/NPILookup?Npi=1861188062","1861188062")</f>
        <v>1861188062</v>
      </c>
      <c r="D31" s="36" t="s">
        <v>32629</v>
      </c>
      <c r="E31" s="36" t="s">
        <v>2</v>
      </c>
      <c r="F31" s="36">
        <v>1</v>
      </c>
      <c r="G31" s="36">
        <v>0</v>
      </c>
      <c r="H31" s="36">
        <v>0</v>
      </c>
      <c r="I31" s="37">
        <v>0</v>
      </c>
      <c r="J31" s="36" t="s">
        <v>32602</v>
      </c>
      <c r="K31" s="36" t="s">
        <v>14330</v>
      </c>
      <c r="L31" s="36" t="s">
        <v>14330</v>
      </c>
      <c r="M31">
        <v>0</v>
      </c>
      <c r="N31" t="s">
        <v>14332</v>
      </c>
      <c r="O31" t="s">
        <v>32630</v>
      </c>
    </row>
    <row r="32" spans="1:15" x14ac:dyDescent="0.25">
      <c r="A32" s="35" t="s">
        <v>14337</v>
      </c>
      <c r="B32" s="36" t="s">
        <v>14338</v>
      </c>
      <c r="C32" s="36" t="str">
        <f>HYPERLINK("https://rhld.insurance.arkansas.gov/NPILookup?Npi=1902299571","1902299571")</f>
        <v>1902299571</v>
      </c>
      <c r="D32" s="36" t="s">
        <v>32606</v>
      </c>
      <c r="E32" s="36" t="s">
        <v>2</v>
      </c>
      <c r="F32" s="36">
        <v>1</v>
      </c>
      <c r="G32" s="36">
        <v>0</v>
      </c>
      <c r="H32" s="36">
        <v>0</v>
      </c>
      <c r="I32" s="37">
        <v>0</v>
      </c>
      <c r="J32" s="36" t="s">
        <v>32602</v>
      </c>
      <c r="K32" s="36" t="s">
        <v>14330</v>
      </c>
      <c r="L32" s="36" t="s">
        <v>14330</v>
      </c>
      <c r="M32">
        <v>4</v>
      </c>
      <c r="N32" t="s">
        <v>14331</v>
      </c>
      <c r="O32" t="s">
        <v>32607</v>
      </c>
    </row>
    <row r="33" spans="1:15" x14ac:dyDescent="0.25">
      <c r="A33" s="35" t="s">
        <v>8901</v>
      </c>
      <c r="B33" s="36" t="s">
        <v>8902</v>
      </c>
      <c r="C33" s="36" t="str">
        <f>HYPERLINK("https://rhld.insurance.arkansas.gov/NPILookup?Npi=1346623352","1346623352")</f>
        <v>1346623352</v>
      </c>
      <c r="D33" s="36" t="s">
        <v>32631</v>
      </c>
      <c r="E33" s="36" t="s">
        <v>1</v>
      </c>
      <c r="F33" s="36">
        <v>1</v>
      </c>
      <c r="G33" s="36">
        <v>4</v>
      </c>
      <c r="H33" s="36">
        <v>0</v>
      </c>
      <c r="I33" s="37">
        <v>0</v>
      </c>
      <c r="J33" s="36" t="s">
        <v>32632</v>
      </c>
      <c r="K33" s="36" t="s">
        <v>14330</v>
      </c>
      <c r="L33" s="36" t="s">
        <v>14330</v>
      </c>
      <c r="M33">
        <v>4</v>
      </c>
      <c r="N33" t="s">
        <v>14331</v>
      </c>
      <c r="O33" t="s">
        <v>32633</v>
      </c>
    </row>
    <row r="34" spans="1:15" x14ac:dyDescent="0.25">
      <c r="A34" s="35" t="s">
        <v>8901</v>
      </c>
      <c r="B34" s="36" t="s">
        <v>8902</v>
      </c>
      <c r="C34" s="36" t="str">
        <f>HYPERLINK("https://rhld.insurance.arkansas.gov/NPILookup?Npi=1477201937","1477201937")</f>
        <v>1477201937</v>
      </c>
      <c r="D34" s="36" t="s">
        <v>32634</v>
      </c>
      <c r="E34" s="36" t="s">
        <v>1</v>
      </c>
      <c r="F34" s="36">
        <v>1</v>
      </c>
      <c r="G34" s="36">
        <v>4</v>
      </c>
      <c r="H34" s="36">
        <v>0</v>
      </c>
      <c r="I34" s="37">
        <v>0</v>
      </c>
      <c r="J34" s="36" t="s">
        <v>32635</v>
      </c>
      <c r="K34" s="36" t="s">
        <v>14330</v>
      </c>
      <c r="L34" s="36" t="s">
        <v>14330</v>
      </c>
      <c r="M34">
        <v>4</v>
      </c>
      <c r="N34" t="s">
        <v>14331</v>
      </c>
      <c r="O34" t="s">
        <v>32633</v>
      </c>
    </row>
    <row r="35" spans="1:15" x14ac:dyDescent="0.25">
      <c r="A35" s="35" t="s">
        <v>8901</v>
      </c>
      <c r="B35" s="36" t="s">
        <v>8902</v>
      </c>
      <c r="C35" s="36" t="str">
        <f>HYPERLINK("https://rhld.insurance.arkansas.gov/NPILookup?Npi=1639346687","1639346687")</f>
        <v>1639346687</v>
      </c>
      <c r="D35" s="36" t="s">
        <v>32636</v>
      </c>
      <c r="E35" s="36" t="s">
        <v>1</v>
      </c>
      <c r="F35" s="36">
        <v>1</v>
      </c>
      <c r="G35" s="36">
        <v>4</v>
      </c>
      <c r="H35" s="36">
        <v>0</v>
      </c>
      <c r="I35" s="37">
        <v>0</v>
      </c>
      <c r="J35" s="36" t="s">
        <v>32637</v>
      </c>
      <c r="K35" s="36" t="s">
        <v>32638</v>
      </c>
      <c r="L35" s="36" t="s">
        <v>14330</v>
      </c>
      <c r="M35">
        <v>4</v>
      </c>
      <c r="N35" t="s">
        <v>14331</v>
      </c>
      <c r="O35" t="s">
        <v>32633</v>
      </c>
    </row>
    <row r="36" spans="1:15" x14ac:dyDescent="0.25">
      <c r="A36" s="35" t="s">
        <v>8905</v>
      </c>
      <c r="B36" s="36" t="s">
        <v>8906</v>
      </c>
      <c r="C36" s="36" t="str">
        <f>HYPERLINK("https://rhld.insurance.arkansas.gov/NPILookup?Npi=1346623352","1346623352")</f>
        <v>1346623352</v>
      </c>
      <c r="D36" s="36" t="s">
        <v>32631</v>
      </c>
      <c r="E36" s="36" t="s">
        <v>1</v>
      </c>
      <c r="F36" s="36">
        <v>1</v>
      </c>
      <c r="G36" s="36">
        <v>4</v>
      </c>
      <c r="H36" s="36">
        <v>0</v>
      </c>
      <c r="I36" s="37">
        <v>0</v>
      </c>
      <c r="J36" s="36" t="s">
        <v>32639</v>
      </c>
      <c r="K36" s="36" t="s">
        <v>14330</v>
      </c>
      <c r="L36" s="36" t="s">
        <v>14330</v>
      </c>
      <c r="M36">
        <v>4</v>
      </c>
      <c r="N36" t="s">
        <v>14331</v>
      </c>
      <c r="O36" t="s">
        <v>32633</v>
      </c>
    </row>
    <row r="37" spans="1:15" x14ac:dyDescent="0.25">
      <c r="A37" s="35" t="s">
        <v>8905</v>
      </c>
      <c r="B37" s="36" t="s">
        <v>8906</v>
      </c>
      <c r="C37" s="36" t="str">
        <f>HYPERLINK("https://rhld.insurance.arkansas.gov/NPILookup?Npi=1477201937","1477201937")</f>
        <v>1477201937</v>
      </c>
      <c r="D37" s="36" t="s">
        <v>32634</v>
      </c>
      <c r="E37" s="36" t="s">
        <v>1</v>
      </c>
      <c r="F37" s="36">
        <v>1</v>
      </c>
      <c r="G37" s="36">
        <v>4</v>
      </c>
      <c r="H37" s="36">
        <v>0</v>
      </c>
      <c r="I37" s="37">
        <v>0</v>
      </c>
      <c r="J37" s="36" t="s">
        <v>32640</v>
      </c>
      <c r="K37" s="36" t="s">
        <v>14330</v>
      </c>
      <c r="L37" s="36" t="s">
        <v>14330</v>
      </c>
      <c r="M37">
        <v>4</v>
      </c>
      <c r="N37" t="s">
        <v>14331</v>
      </c>
      <c r="O37" t="s">
        <v>32633</v>
      </c>
    </row>
    <row r="38" spans="1:15" x14ac:dyDescent="0.25">
      <c r="A38" s="35" t="s">
        <v>8905</v>
      </c>
      <c r="B38" s="36" t="s">
        <v>8906</v>
      </c>
      <c r="C38" s="36" t="str">
        <f>HYPERLINK("https://rhld.insurance.arkansas.gov/NPILookup?Npi=1639346687","1639346687")</f>
        <v>1639346687</v>
      </c>
      <c r="D38" s="36" t="s">
        <v>32636</v>
      </c>
      <c r="E38" s="36" t="s">
        <v>1</v>
      </c>
      <c r="F38" s="36">
        <v>1</v>
      </c>
      <c r="G38" s="36">
        <v>4</v>
      </c>
      <c r="H38" s="36">
        <v>0</v>
      </c>
      <c r="I38" s="37">
        <v>0</v>
      </c>
      <c r="J38" s="36" t="s">
        <v>32637</v>
      </c>
      <c r="K38" s="36" t="s">
        <v>32638</v>
      </c>
      <c r="L38" s="36" t="s">
        <v>14330</v>
      </c>
      <c r="M38">
        <v>1</v>
      </c>
      <c r="N38" t="s">
        <v>14331</v>
      </c>
      <c r="O38" t="s">
        <v>32633</v>
      </c>
    </row>
    <row r="39" spans="1:15" x14ac:dyDescent="0.25">
      <c r="A39" s="35" t="s">
        <v>8962</v>
      </c>
      <c r="B39" s="36" t="s">
        <v>8963</v>
      </c>
      <c r="C39" s="36" t="str">
        <f>HYPERLINK("https://rhld.insurance.arkansas.gov/NPILookup?Npi=1578091104","1578091104")</f>
        <v>1578091104</v>
      </c>
      <c r="D39" s="36" t="s">
        <v>32641</v>
      </c>
      <c r="E39" s="36" t="s">
        <v>2</v>
      </c>
      <c r="F39" s="36">
        <v>1</v>
      </c>
      <c r="G39" s="36">
        <v>2</v>
      </c>
      <c r="H39" s="36">
        <v>1</v>
      </c>
      <c r="I39" s="37">
        <v>0</v>
      </c>
      <c r="J39" s="36"/>
      <c r="K39" s="36" t="s">
        <v>14330</v>
      </c>
      <c r="L39" s="36" t="s">
        <v>32642</v>
      </c>
      <c r="M39">
        <v>4</v>
      </c>
      <c r="N39" t="s">
        <v>14332</v>
      </c>
      <c r="O39" t="s">
        <v>32643</v>
      </c>
    </row>
    <row r="40" spans="1:15" x14ac:dyDescent="0.25">
      <c r="A40" s="35" t="s">
        <v>8989</v>
      </c>
      <c r="B40" s="36" t="s">
        <v>8990</v>
      </c>
      <c r="C40" s="36" t="str">
        <f>HYPERLINK("https://rhld.insurance.arkansas.gov/NPILookup?Npi=1346623352","1346623352")</f>
        <v>1346623352</v>
      </c>
      <c r="D40" s="36" t="s">
        <v>32631</v>
      </c>
      <c r="E40" s="36" t="s">
        <v>1</v>
      </c>
      <c r="F40" s="36">
        <v>1</v>
      </c>
      <c r="G40" s="36">
        <v>4</v>
      </c>
      <c r="H40" s="36">
        <v>0</v>
      </c>
      <c r="I40" s="37">
        <v>0</v>
      </c>
      <c r="J40" s="36" t="s">
        <v>32644</v>
      </c>
      <c r="K40" s="36" t="s">
        <v>14330</v>
      </c>
      <c r="L40" s="36" t="s">
        <v>14330</v>
      </c>
      <c r="M40">
        <v>4</v>
      </c>
      <c r="N40" t="s">
        <v>14331</v>
      </c>
      <c r="O40" t="s">
        <v>32633</v>
      </c>
    </row>
    <row r="41" spans="1:15" x14ac:dyDescent="0.25">
      <c r="A41" s="35" t="s">
        <v>8989</v>
      </c>
      <c r="B41" s="36" t="s">
        <v>8990</v>
      </c>
      <c r="C41" s="36" t="str">
        <f>HYPERLINK("https://rhld.insurance.arkansas.gov/NPILookup?Npi=1477039782","1477039782")</f>
        <v>1477039782</v>
      </c>
      <c r="D41" s="36" t="s">
        <v>32645</v>
      </c>
      <c r="E41" s="36" t="s">
        <v>1</v>
      </c>
      <c r="F41" s="36">
        <v>1</v>
      </c>
      <c r="G41" s="36">
        <v>4</v>
      </c>
      <c r="H41" s="36">
        <v>0</v>
      </c>
      <c r="I41" s="37">
        <v>0</v>
      </c>
      <c r="J41" s="36" t="s">
        <v>32646</v>
      </c>
      <c r="K41" s="36" t="s">
        <v>32647</v>
      </c>
      <c r="L41" s="36" t="s">
        <v>14330</v>
      </c>
      <c r="M41">
        <v>4</v>
      </c>
      <c r="N41" t="s">
        <v>14331</v>
      </c>
      <c r="O41" t="s">
        <v>32633</v>
      </c>
    </row>
    <row r="42" spans="1:15" x14ac:dyDescent="0.25">
      <c r="A42" s="35" t="s">
        <v>8989</v>
      </c>
      <c r="B42" s="36" t="s">
        <v>8990</v>
      </c>
      <c r="C42" s="36" t="str">
        <f>HYPERLINK("https://rhld.insurance.arkansas.gov/NPILookup?Npi=1477201937","1477201937")</f>
        <v>1477201937</v>
      </c>
      <c r="D42" s="36" t="s">
        <v>32634</v>
      </c>
      <c r="E42" s="36" t="s">
        <v>1</v>
      </c>
      <c r="F42" s="36">
        <v>1</v>
      </c>
      <c r="G42" s="36">
        <v>4</v>
      </c>
      <c r="H42" s="36">
        <v>0</v>
      </c>
      <c r="I42" s="37">
        <v>0</v>
      </c>
      <c r="J42" s="36" t="s">
        <v>32646</v>
      </c>
      <c r="K42" s="36" t="s">
        <v>14330</v>
      </c>
      <c r="L42" s="36" t="s">
        <v>14330</v>
      </c>
      <c r="M42">
        <v>4</v>
      </c>
      <c r="N42" t="s">
        <v>14331</v>
      </c>
      <c r="O42" t="s">
        <v>32633</v>
      </c>
    </row>
    <row r="43" spans="1:15" x14ac:dyDescent="0.25">
      <c r="A43" s="35" t="s">
        <v>8989</v>
      </c>
      <c r="B43" s="36" t="s">
        <v>8990</v>
      </c>
      <c r="C43" s="36" t="str">
        <f>HYPERLINK("https://rhld.insurance.arkansas.gov/NPILookup?Npi=1639346687","1639346687")</f>
        <v>1639346687</v>
      </c>
      <c r="D43" s="36" t="s">
        <v>32636</v>
      </c>
      <c r="E43" s="36" t="s">
        <v>1</v>
      </c>
      <c r="F43" s="36">
        <v>1</v>
      </c>
      <c r="G43" s="36">
        <v>4</v>
      </c>
      <c r="H43" s="36">
        <v>0</v>
      </c>
      <c r="I43" s="37">
        <v>0</v>
      </c>
      <c r="J43" s="36" t="s">
        <v>32648</v>
      </c>
      <c r="K43" s="36" t="s">
        <v>32638</v>
      </c>
      <c r="L43" s="36" t="s">
        <v>14330</v>
      </c>
      <c r="M43">
        <v>4</v>
      </c>
      <c r="N43" t="s">
        <v>14331</v>
      </c>
      <c r="O43" t="s">
        <v>32633</v>
      </c>
    </row>
    <row r="44" spans="1:15" x14ac:dyDescent="0.25">
      <c r="A44" s="35" t="s">
        <v>9046</v>
      </c>
      <c r="B44" s="36" t="s">
        <v>9047</v>
      </c>
      <c r="C44" s="36" t="str">
        <f>HYPERLINK("https://rhld.insurance.arkansas.gov/NPILookup?Npi=1639346687","1639346687")</f>
        <v>1639346687</v>
      </c>
      <c r="D44" s="36" t="s">
        <v>32636</v>
      </c>
      <c r="E44" s="36" t="s">
        <v>1</v>
      </c>
      <c r="F44" s="36">
        <v>1</v>
      </c>
      <c r="G44" s="36">
        <v>4</v>
      </c>
      <c r="H44" s="36">
        <v>0</v>
      </c>
      <c r="I44" s="37">
        <v>0</v>
      </c>
      <c r="J44" s="36" t="s">
        <v>32649</v>
      </c>
      <c r="K44" s="36" t="s">
        <v>32638</v>
      </c>
      <c r="L44" s="36" t="s">
        <v>14330</v>
      </c>
      <c r="M44">
        <v>4</v>
      </c>
      <c r="N44" t="s">
        <v>14331</v>
      </c>
      <c r="O44" t="s">
        <v>32633</v>
      </c>
    </row>
    <row r="45" spans="1:15" x14ac:dyDescent="0.25">
      <c r="A45" s="35" t="s">
        <v>9134</v>
      </c>
      <c r="B45" s="36" t="s">
        <v>9135</v>
      </c>
      <c r="C45" s="36" t="str">
        <f>HYPERLINK("https://rhld.insurance.arkansas.gov/NPILookup?Npi=1861449639","1861449639")</f>
        <v>1861449639</v>
      </c>
      <c r="D45" s="36" t="s">
        <v>32650</v>
      </c>
      <c r="E45" s="36" t="s">
        <v>1</v>
      </c>
      <c r="F45" s="36">
        <v>1</v>
      </c>
      <c r="G45" s="36">
        <v>4</v>
      </c>
      <c r="H45" s="36">
        <v>0</v>
      </c>
      <c r="I45" s="37">
        <v>0</v>
      </c>
      <c r="J45" s="36" t="s">
        <v>32651</v>
      </c>
      <c r="K45" s="36" t="s">
        <v>32652</v>
      </c>
      <c r="L45" s="36" t="s">
        <v>14330</v>
      </c>
      <c r="M45">
        <v>4</v>
      </c>
      <c r="N45" t="s">
        <v>14331</v>
      </c>
      <c r="O45" t="s">
        <v>32633</v>
      </c>
    </row>
    <row r="46" spans="1:15" x14ac:dyDescent="0.25">
      <c r="A46" s="35" t="s">
        <v>3736</v>
      </c>
      <c r="B46" s="36" t="s">
        <v>3737</v>
      </c>
      <c r="C46" s="36" t="str">
        <f>HYPERLINK("https://rhld.insurance.arkansas.gov/NPILookup?Npi=1255359931","1255359931")</f>
        <v>1255359931</v>
      </c>
      <c r="D46" s="36" t="s">
        <v>32653</v>
      </c>
      <c r="E46" s="36" t="s">
        <v>1</v>
      </c>
      <c r="F46" s="36">
        <v>1</v>
      </c>
      <c r="G46" s="36">
        <v>4</v>
      </c>
      <c r="H46" s="36">
        <v>0</v>
      </c>
      <c r="I46" s="37">
        <v>0</v>
      </c>
      <c r="J46" s="36" t="s">
        <v>32654</v>
      </c>
      <c r="K46" s="36" t="s">
        <v>32655</v>
      </c>
      <c r="L46" s="36" t="s">
        <v>14330</v>
      </c>
      <c r="M46">
        <v>4</v>
      </c>
      <c r="N46" t="s">
        <v>14331</v>
      </c>
      <c r="O46" t="s">
        <v>32633</v>
      </c>
    </row>
    <row r="47" spans="1:15" x14ac:dyDescent="0.25">
      <c r="A47" s="35" t="s">
        <v>3736</v>
      </c>
      <c r="B47" s="36" t="s">
        <v>3737</v>
      </c>
      <c r="C47" s="36" t="str">
        <f>HYPERLINK("https://rhld.insurance.arkansas.gov/NPILookup?Npi=1285724757","1285724757")</f>
        <v>1285724757</v>
      </c>
      <c r="D47" s="36" t="s">
        <v>32656</v>
      </c>
      <c r="E47" s="36" t="s">
        <v>1</v>
      </c>
      <c r="F47" s="36">
        <v>2</v>
      </c>
      <c r="G47" s="36">
        <v>4</v>
      </c>
      <c r="H47" s="36">
        <v>0</v>
      </c>
      <c r="I47" s="37">
        <v>0</v>
      </c>
      <c r="J47" s="36" t="s">
        <v>32657</v>
      </c>
      <c r="K47" s="36" t="s">
        <v>32658</v>
      </c>
      <c r="L47" s="36" t="s">
        <v>14330</v>
      </c>
      <c r="M47">
        <v>4</v>
      </c>
      <c r="N47" t="s">
        <v>14331</v>
      </c>
      <c r="O47" t="s">
        <v>32633</v>
      </c>
    </row>
    <row r="48" spans="1:15" x14ac:dyDescent="0.25">
      <c r="A48" s="35" t="s">
        <v>3736</v>
      </c>
      <c r="B48" s="36" t="s">
        <v>3737</v>
      </c>
      <c r="C48" s="36" t="str">
        <f>HYPERLINK("https://rhld.insurance.arkansas.gov/NPILookup?Npi=1356761696","1356761696")</f>
        <v>1356761696</v>
      </c>
      <c r="D48" s="36" t="s">
        <v>32659</v>
      </c>
      <c r="E48" s="36" t="s">
        <v>1</v>
      </c>
      <c r="F48" s="36">
        <v>1</v>
      </c>
      <c r="G48" s="36">
        <v>4</v>
      </c>
      <c r="H48" s="36">
        <v>0</v>
      </c>
      <c r="I48" s="37">
        <v>0</v>
      </c>
      <c r="J48" s="36" t="s">
        <v>32654</v>
      </c>
      <c r="K48" s="36" t="s">
        <v>32660</v>
      </c>
      <c r="L48" s="36" t="s">
        <v>14330</v>
      </c>
      <c r="M48">
        <v>4</v>
      </c>
      <c r="N48" t="s">
        <v>14331</v>
      </c>
      <c r="O48" t="s">
        <v>32633</v>
      </c>
    </row>
    <row r="49" spans="1:15" x14ac:dyDescent="0.25">
      <c r="A49" s="35" t="s">
        <v>3736</v>
      </c>
      <c r="B49" s="36" t="s">
        <v>3737</v>
      </c>
      <c r="C49" s="36" t="str">
        <f>HYPERLINK("https://rhld.insurance.arkansas.gov/NPILookup?Npi=1447222880","1447222880")</f>
        <v>1447222880</v>
      </c>
      <c r="D49" s="36" t="s">
        <v>32661</v>
      </c>
      <c r="E49" s="36" t="s">
        <v>1</v>
      </c>
      <c r="F49" s="36">
        <v>1</v>
      </c>
      <c r="G49" s="36">
        <v>4</v>
      </c>
      <c r="H49" s="36">
        <v>0</v>
      </c>
      <c r="I49" s="37">
        <v>0</v>
      </c>
      <c r="J49" s="36" t="s">
        <v>32654</v>
      </c>
      <c r="K49" s="36" t="s">
        <v>32662</v>
      </c>
      <c r="L49" s="36" t="s">
        <v>14330</v>
      </c>
      <c r="M49">
        <v>4</v>
      </c>
      <c r="N49" t="s">
        <v>14331</v>
      </c>
      <c r="O49" t="s">
        <v>32633</v>
      </c>
    </row>
    <row r="50" spans="1:15" x14ac:dyDescent="0.25">
      <c r="A50" s="35" t="s">
        <v>3736</v>
      </c>
      <c r="B50" s="36" t="s">
        <v>3737</v>
      </c>
      <c r="C50" s="36" t="str">
        <f>HYPERLINK("https://rhld.insurance.arkansas.gov/NPILookup?Npi=1487601712","1487601712")</f>
        <v>1487601712</v>
      </c>
      <c r="D50" s="36" t="s">
        <v>32663</v>
      </c>
      <c r="E50" s="36" t="s">
        <v>1</v>
      </c>
      <c r="F50" s="36">
        <v>1</v>
      </c>
      <c r="G50" s="36">
        <v>4</v>
      </c>
      <c r="H50" s="36">
        <v>0</v>
      </c>
      <c r="I50" s="37">
        <v>0</v>
      </c>
      <c r="J50" s="36" t="s">
        <v>32654</v>
      </c>
      <c r="K50" s="36" t="s">
        <v>32664</v>
      </c>
      <c r="L50" s="36" t="s">
        <v>14330</v>
      </c>
      <c r="M50">
        <v>4</v>
      </c>
      <c r="N50" t="s">
        <v>14331</v>
      </c>
      <c r="O50" t="s">
        <v>32633</v>
      </c>
    </row>
    <row r="51" spans="1:15" x14ac:dyDescent="0.25">
      <c r="A51" s="35" t="s">
        <v>3736</v>
      </c>
      <c r="B51" s="36" t="s">
        <v>3737</v>
      </c>
      <c r="C51" s="36" t="str">
        <f>HYPERLINK("https://rhld.insurance.arkansas.gov/NPILookup?Npi=1508956160","1508956160")</f>
        <v>1508956160</v>
      </c>
      <c r="D51" s="36" t="s">
        <v>32665</v>
      </c>
      <c r="E51" s="36" t="s">
        <v>1</v>
      </c>
      <c r="F51" s="36">
        <v>1</v>
      </c>
      <c r="G51" s="36">
        <v>4</v>
      </c>
      <c r="H51" s="36">
        <v>0</v>
      </c>
      <c r="I51" s="37">
        <v>0</v>
      </c>
      <c r="J51" s="36" t="s">
        <v>32654</v>
      </c>
      <c r="K51" s="36" t="s">
        <v>32666</v>
      </c>
      <c r="L51" s="36" t="s">
        <v>14330</v>
      </c>
      <c r="M51">
        <v>3</v>
      </c>
      <c r="N51" t="s">
        <v>14331</v>
      </c>
      <c r="O51" t="s">
        <v>32633</v>
      </c>
    </row>
    <row r="52" spans="1:15" x14ac:dyDescent="0.25">
      <c r="A52" s="35" t="s">
        <v>3736</v>
      </c>
      <c r="B52" s="36" t="s">
        <v>3737</v>
      </c>
      <c r="C52" s="36" t="str">
        <f>HYPERLINK("https://rhld.insurance.arkansas.gov/NPILookup?Npi=1609031558","1609031558")</f>
        <v>1609031558</v>
      </c>
      <c r="D52" s="36" t="s">
        <v>32667</v>
      </c>
      <c r="E52" s="36" t="s">
        <v>1</v>
      </c>
      <c r="F52" s="36">
        <v>1</v>
      </c>
      <c r="G52" s="36">
        <v>3</v>
      </c>
      <c r="H52" s="36">
        <v>0</v>
      </c>
      <c r="I52" s="37">
        <v>0</v>
      </c>
      <c r="J52" s="36" t="s">
        <v>32654</v>
      </c>
      <c r="K52" s="36" t="s">
        <v>14330</v>
      </c>
      <c r="L52" s="36" t="s">
        <v>14330</v>
      </c>
      <c r="M52">
        <v>4</v>
      </c>
      <c r="N52" t="s">
        <v>14331</v>
      </c>
      <c r="O52" t="s">
        <v>32633</v>
      </c>
    </row>
    <row r="53" spans="1:15" x14ac:dyDescent="0.25">
      <c r="A53" s="35" t="s">
        <v>3736</v>
      </c>
      <c r="B53" s="36" t="s">
        <v>3737</v>
      </c>
      <c r="C53" s="36" t="str">
        <f>HYPERLINK("https://rhld.insurance.arkansas.gov/NPILookup?Npi=1639143829","1639143829")</f>
        <v>1639143829</v>
      </c>
      <c r="D53" s="36" t="s">
        <v>32668</v>
      </c>
      <c r="E53" s="36" t="s">
        <v>1</v>
      </c>
      <c r="F53" s="36">
        <v>1</v>
      </c>
      <c r="G53" s="36">
        <v>4</v>
      </c>
      <c r="H53" s="36">
        <v>0</v>
      </c>
      <c r="I53" s="37">
        <v>0</v>
      </c>
      <c r="J53" s="36" t="s">
        <v>32669</v>
      </c>
      <c r="K53" s="36" t="s">
        <v>32670</v>
      </c>
      <c r="L53" s="36" t="s">
        <v>14330</v>
      </c>
      <c r="M53">
        <v>4</v>
      </c>
      <c r="N53" t="s">
        <v>14331</v>
      </c>
      <c r="O53" t="s">
        <v>32633</v>
      </c>
    </row>
    <row r="54" spans="1:15" x14ac:dyDescent="0.25">
      <c r="A54" s="35" t="s">
        <v>3736</v>
      </c>
      <c r="B54" s="36" t="s">
        <v>3737</v>
      </c>
      <c r="C54" s="36" t="str">
        <f>HYPERLINK("https://rhld.insurance.arkansas.gov/NPILookup?Npi=1679577233","1679577233")</f>
        <v>1679577233</v>
      </c>
      <c r="D54" s="36" t="s">
        <v>32671</v>
      </c>
      <c r="E54" s="36" t="s">
        <v>1</v>
      </c>
      <c r="F54" s="36">
        <v>1</v>
      </c>
      <c r="G54" s="36">
        <v>4</v>
      </c>
      <c r="H54" s="36">
        <v>0</v>
      </c>
      <c r="I54" s="37">
        <v>0</v>
      </c>
      <c r="J54" s="36" t="s">
        <v>32654</v>
      </c>
      <c r="K54" s="36" t="s">
        <v>32672</v>
      </c>
      <c r="L54" s="36" t="s">
        <v>14330</v>
      </c>
      <c r="M54">
        <v>4</v>
      </c>
      <c r="N54" t="s">
        <v>14331</v>
      </c>
      <c r="O54" t="s">
        <v>32633</v>
      </c>
    </row>
    <row r="55" spans="1:15" x14ac:dyDescent="0.25">
      <c r="A55" s="35" t="s">
        <v>3754</v>
      </c>
      <c r="B55" s="36" t="s">
        <v>3755</v>
      </c>
      <c r="C55" s="36" t="str">
        <f>HYPERLINK("https://rhld.insurance.arkansas.gov/NPILookup?Npi=1013259100","1013259100")</f>
        <v>1013259100</v>
      </c>
      <c r="D55" s="36" t="s">
        <v>32673</v>
      </c>
      <c r="E55" s="36" t="s">
        <v>1</v>
      </c>
      <c r="F55" s="36">
        <v>2</v>
      </c>
      <c r="G55" s="36">
        <v>4</v>
      </c>
      <c r="H55" s="36">
        <v>0</v>
      </c>
      <c r="I55" s="37">
        <v>0</v>
      </c>
      <c r="J55" s="36" t="s">
        <v>32674</v>
      </c>
      <c r="K55" s="36" t="s">
        <v>32675</v>
      </c>
      <c r="L55" s="36" t="s">
        <v>14330</v>
      </c>
      <c r="M55">
        <v>3</v>
      </c>
      <c r="N55" t="s">
        <v>14331</v>
      </c>
      <c r="O55" t="s">
        <v>32633</v>
      </c>
    </row>
    <row r="56" spans="1:15" x14ac:dyDescent="0.25">
      <c r="A56" s="35" t="s">
        <v>3754</v>
      </c>
      <c r="B56" s="36" t="s">
        <v>3755</v>
      </c>
      <c r="C56" s="36" t="str">
        <f>HYPERLINK("https://rhld.insurance.arkansas.gov/NPILookup?Npi=1013353150","1013353150")</f>
        <v>1013353150</v>
      </c>
      <c r="D56" s="36" t="s">
        <v>32676</v>
      </c>
      <c r="E56" s="36" t="s">
        <v>1</v>
      </c>
      <c r="F56" s="36">
        <v>1</v>
      </c>
      <c r="G56" s="36">
        <v>3</v>
      </c>
      <c r="H56" s="36">
        <v>0</v>
      </c>
      <c r="I56" s="37">
        <v>0</v>
      </c>
      <c r="J56" s="36" t="s">
        <v>32654</v>
      </c>
      <c r="K56" s="36" t="s">
        <v>14330</v>
      </c>
      <c r="L56" s="36" t="s">
        <v>14330</v>
      </c>
      <c r="M56">
        <v>3</v>
      </c>
      <c r="N56" t="s">
        <v>14331</v>
      </c>
      <c r="O56" t="s">
        <v>32633</v>
      </c>
    </row>
    <row r="57" spans="1:15" x14ac:dyDescent="0.25">
      <c r="A57" s="35" t="s">
        <v>3754</v>
      </c>
      <c r="B57" s="36" t="s">
        <v>3755</v>
      </c>
      <c r="C57" s="36" t="str">
        <f>HYPERLINK("https://rhld.insurance.arkansas.gov/NPILookup?Npi=1033100433","1033100433")</f>
        <v>1033100433</v>
      </c>
      <c r="D57" s="36" t="s">
        <v>32677</v>
      </c>
      <c r="E57" s="36" t="s">
        <v>1</v>
      </c>
      <c r="F57" s="36">
        <v>1</v>
      </c>
      <c r="G57" s="36">
        <v>3</v>
      </c>
      <c r="H57" s="36">
        <v>0</v>
      </c>
      <c r="I57" s="37">
        <v>0</v>
      </c>
      <c r="J57" s="36" t="s">
        <v>32654</v>
      </c>
      <c r="K57" s="36" t="s">
        <v>14330</v>
      </c>
      <c r="L57" s="36" t="s">
        <v>14330</v>
      </c>
      <c r="M57">
        <v>2</v>
      </c>
      <c r="N57" t="s">
        <v>14331</v>
      </c>
      <c r="O57" t="s">
        <v>32633</v>
      </c>
    </row>
    <row r="58" spans="1:15" x14ac:dyDescent="0.25">
      <c r="A58" s="35" t="s">
        <v>3754</v>
      </c>
      <c r="B58" s="36" t="s">
        <v>3755</v>
      </c>
      <c r="C58" s="36" t="str">
        <f>HYPERLINK("https://rhld.insurance.arkansas.gov/NPILookup?Npi=1033313671","1033313671")</f>
        <v>1033313671</v>
      </c>
      <c r="D58" s="36" t="s">
        <v>32678</v>
      </c>
      <c r="E58" s="36" t="s">
        <v>2</v>
      </c>
      <c r="F58" s="36">
        <v>1</v>
      </c>
      <c r="G58" s="36">
        <v>2</v>
      </c>
      <c r="H58" s="36">
        <v>0</v>
      </c>
      <c r="I58" s="37">
        <v>0</v>
      </c>
      <c r="J58" s="36" t="s">
        <v>32679</v>
      </c>
      <c r="K58" s="36" t="s">
        <v>14330</v>
      </c>
      <c r="L58" s="36" t="s">
        <v>14330</v>
      </c>
      <c r="M58">
        <v>1</v>
      </c>
      <c r="N58" t="s">
        <v>14331</v>
      </c>
      <c r="O58" t="s">
        <v>14333</v>
      </c>
    </row>
    <row r="59" spans="1:15" x14ac:dyDescent="0.25">
      <c r="A59" s="35" t="s">
        <v>3754</v>
      </c>
      <c r="B59" s="36" t="s">
        <v>3755</v>
      </c>
      <c r="C59" s="36" t="str">
        <f>HYPERLINK("https://rhld.insurance.arkansas.gov/NPILookup?Npi=1043236730","1043236730")</f>
        <v>1043236730</v>
      </c>
      <c r="D59" s="36" t="s">
        <v>32680</v>
      </c>
      <c r="E59" s="36" t="s">
        <v>2</v>
      </c>
      <c r="F59" s="36">
        <v>1</v>
      </c>
      <c r="G59" s="36">
        <v>1</v>
      </c>
      <c r="H59" s="36">
        <v>0</v>
      </c>
      <c r="I59" s="37">
        <v>0</v>
      </c>
      <c r="J59" s="36" t="s">
        <v>32679</v>
      </c>
      <c r="K59" s="36" t="s">
        <v>14330</v>
      </c>
      <c r="L59" s="36" t="s">
        <v>14330</v>
      </c>
      <c r="M59">
        <v>0</v>
      </c>
      <c r="N59" t="s">
        <v>14332</v>
      </c>
      <c r="O59" t="s">
        <v>32681</v>
      </c>
    </row>
    <row r="60" spans="1:15" x14ac:dyDescent="0.25">
      <c r="A60" s="35" t="s">
        <v>3754</v>
      </c>
      <c r="B60" s="36" t="s">
        <v>3755</v>
      </c>
      <c r="C60" s="36" t="str">
        <f>HYPERLINK("https://rhld.insurance.arkansas.gov/NPILookup?Npi=1063532828","1063532828")</f>
        <v>1063532828</v>
      </c>
      <c r="D60" s="36" t="s">
        <v>32682</v>
      </c>
      <c r="E60" s="36" t="s">
        <v>2</v>
      </c>
      <c r="F60" s="36">
        <v>1</v>
      </c>
      <c r="G60" s="36">
        <v>0</v>
      </c>
      <c r="H60" s="36">
        <v>0</v>
      </c>
      <c r="I60" s="37">
        <v>0</v>
      </c>
      <c r="J60" s="36" t="s">
        <v>32679</v>
      </c>
      <c r="K60" s="36" t="s">
        <v>14330</v>
      </c>
      <c r="L60" s="36" t="s">
        <v>14330</v>
      </c>
      <c r="M60">
        <v>2</v>
      </c>
      <c r="N60" t="s">
        <v>14331</v>
      </c>
      <c r="O60" t="s">
        <v>32633</v>
      </c>
    </row>
    <row r="61" spans="1:15" x14ac:dyDescent="0.25">
      <c r="A61" s="35" t="s">
        <v>3754</v>
      </c>
      <c r="B61" s="36" t="s">
        <v>3755</v>
      </c>
      <c r="C61" s="36" t="str">
        <f>HYPERLINK("https://rhld.insurance.arkansas.gov/NPILookup?Npi=1104476720","1104476720")</f>
        <v>1104476720</v>
      </c>
      <c r="D61" s="36" t="s">
        <v>32683</v>
      </c>
      <c r="E61" s="36" t="s">
        <v>1</v>
      </c>
      <c r="F61" s="36">
        <v>1</v>
      </c>
      <c r="G61" s="36">
        <v>2</v>
      </c>
      <c r="H61" s="36">
        <v>0</v>
      </c>
      <c r="I61" s="37">
        <v>0</v>
      </c>
      <c r="J61" s="36" t="s">
        <v>32654</v>
      </c>
      <c r="K61" s="36" t="s">
        <v>14330</v>
      </c>
      <c r="L61" s="36" t="s">
        <v>14330</v>
      </c>
      <c r="M61">
        <v>2</v>
      </c>
      <c r="N61" t="s">
        <v>14331</v>
      </c>
      <c r="O61" t="s">
        <v>32633</v>
      </c>
    </row>
    <row r="62" spans="1:15" x14ac:dyDescent="0.25">
      <c r="A62" s="35" t="s">
        <v>3754</v>
      </c>
      <c r="B62" s="36" t="s">
        <v>3755</v>
      </c>
      <c r="C62" s="36" t="str">
        <f>HYPERLINK("https://rhld.insurance.arkansas.gov/NPILookup?Npi=1114241619","1114241619")</f>
        <v>1114241619</v>
      </c>
      <c r="D62" s="36" t="s">
        <v>32684</v>
      </c>
      <c r="E62" s="36" t="s">
        <v>2</v>
      </c>
      <c r="F62" s="36">
        <v>1</v>
      </c>
      <c r="G62" s="36">
        <v>2</v>
      </c>
      <c r="H62" s="36">
        <v>0</v>
      </c>
      <c r="I62" s="37">
        <v>0</v>
      </c>
      <c r="J62" s="36" t="s">
        <v>32679</v>
      </c>
      <c r="K62" s="36" t="s">
        <v>14330</v>
      </c>
      <c r="L62" s="36" t="s">
        <v>14330</v>
      </c>
      <c r="M62">
        <v>3</v>
      </c>
      <c r="N62" t="s">
        <v>14331</v>
      </c>
      <c r="O62" t="s">
        <v>14333</v>
      </c>
    </row>
    <row r="63" spans="1:15" x14ac:dyDescent="0.25">
      <c r="A63" s="35" t="s">
        <v>3754</v>
      </c>
      <c r="B63" s="36" t="s">
        <v>3755</v>
      </c>
      <c r="C63" s="36" t="str">
        <f>HYPERLINK("https://rhld.insurance.arkansas.gov/NPILookup?Npi=1124505730","1124505730")</f>
        <v>1124505730</v>
      </c>
      <c r="D63" s="36" t="s">
        <v>32685</v>
      </c>
      <c r="E63" s="36" t="s">
        <v>1</v>
      </c>
      <c r="F63" s="36">
        <v>1</v>
      </c>
      <c r="G63" s="36">
        <v>3</v>
      </c>
      <c r="H63" s="36">
        <v>0</v>
      </c>
      <c r="I63" s="37">
        <v>0</v>
      </c>
      <c r="J63" s="36" t="s">
        <v>32654</v>
      </c>
      <c r="K63" s="36" t="s">
        <v>14330</v>
      </c>
      <c r="L63" s="36" t="s">
        <v>14330</v>
      </c>
      <c r="M63">
        <v>3</v>
      </c>
      <c r="N63" t="s">
        <v>14331</v>
      </c>
      <c r="O63" t="s">
        <v>32633</v>
      </c>
    </row>
    <row r="64" spans="1:15" x14ac:dyDescent="0.25">
      <c r="A64" s="35" t="s">
        <v>3754</v>
      </c>
      <c r="B64" s="36" t="s">
        <v>3755</v>
      </c>
      <c r="C64" s="36" t="str">
        <f>HYPERLINK("https://rhld.insurance.arkansas.gov/NPILookup?Npi=1225095094","1225095094")</f>
        <v>1225095094</v>
      </c>
      <c r="D64" s="36" t="s">
        <v>32686</v>
      </c>
      <c r="E64" s="36" t="s">
        <v>1</v>
      </c>
      <c r="F64" s="36">
        <v>1</v>
      </c>
      <c r="G64" s="36">
        <v>3</v>
      </c>
      <c r="H64" s="36">
        <v>0</v>
      </c>
      <c r="I64" s="37">
        <v>0</v>
      </c>
      <c r="J64" s="36" t="s">
        <v>32654</v>
      </c>
      <c r="K64" s="36" t="s">
        <v>14330</v>
      </c>
      <c r="L64" s="36" t="s">
        <v>14330</v>
      </c>
      <c r="M64">
        <v>3</v>
      </c>
      <c r="N64" t="s">
        <v>14331</v>
      </c>
      <c r="O64" t="s">
        <v>32633</v>
      </c>
    </row>
    <row r="65" spans="1:15" x14ac:dyDescent="0.25">
      <c r="A65" s="35" t="s">
        <v>3754</v>
      </c>
      <c r="B65" s="36" t="s">
        <v>3755</v>
      </c>
      <c r="C65" s="36" t="str">
        <f>HYPERLINK("https://rhld.insurance.arkansas.gov/NPILookup?Npi=1255330957","1255330957")</f>
        <v>1255330957</v>
      </c>
      <c r="D65" s="36" t="s">
        <v>32687</v>
      </c>
      <c r="E65" s="36" t="s">
        <v>1</v>
      </c>
      <c r="F65" s="36">
        <v>1</v>
      </c>
      <c r="G65" s="36">
        <v>3</v>
      </c>
      <c r="H65" s="36">
        <v>0</v>
      </c>
      <c r="I65" s="37">
        <v>0</v>
      </c>
      <c r="J65" s="36" t="s">
        <v>32654</v>
      </c>
      <c r="K65" s="36" t="s">
        <v>14330</v>
      </c>
      <c r="L65" s="36" t="s">
        <v>14330</v>
      </c>
      <c r="M65">
        <v>2</v>
      </c>
      <c r="N65" t="s">
        <v>14331</v>
      </c>
      <c r="O65" t="s">
        <v>32633</v>
      </c>
    </row>
    <row r="66" spans="1:15" x14ac:dyDescent="0.25">
      <c r="A66" s="35" t="s">
        <v>3754</v>
      </c>
      <c r="B66" s="36" t="s">
        <v>3755</v>
      </c>
      <c r="C66" s="36" t="str">
        <f>HYPERLINK("https://rhld.insurance.arkansas.gov/NPILookup?Npi=1255336194","1255336194")</f>
        <v>1255336194</v>
      </c>
      <c r="D66" s="36" t="s">
        <v>32688</v>
      </c>
      <c r="E66" s="36" t="s">
        <v>2</v>
      </c>
      <c r="F66" s="36">
        <v>1</v>
      </c>
      <c r="G66" s="36">
        <v>2</v>
      </c>
      <c r="H66" s="36">
        <v>0</v>
      </c>
      <c r="I66" s="37">
        <v>0</v>
      </c>
      <c r="J66" s="36" t="s">
        <v>32679</v>
      </c>
      <c r="K66" s="36" t="s">
        <v>14330</v>
      </c>
      <c r="L66" s="36" t="s">
        <v>14330</v>
      </c>
      <c r="M66">
        <v>2</v>
      </c>
      <c r="N66" t="s">
        <v>14331</v>
      </c>
      <c r="O66" t="s">
        <v>14333</v>
      </c>
    </row>
    <row r="67" spans="1:15" x14ac:dyDescent="0.25">
      <c r="A67" s="35" t="s">
        <v>3754</v>
      </c>
      <c r="B67" s="36" t="s">
        <v>3755</v>
      </c>
      <c r="C67" s="36" t="str">
        <f>HYPERLINK("https://rhld.insurance.arkansas.gov/NPILookup?Npi=1285936625","1285936625")</f>
        <v>1285936625</v>
      </c>
      <c r="D67" s="36" t="s">
        <v>32689</v>
      </c>
      <c r="E67" s="36" t="s">
        <v>2</v>
      </c>
      <c r="F67" s="36">
        <v>1</v>
      </c>
      <c r="G67" s="36">
        <v>2</v>
      </c>
      <c r="H67" s="36">
        <v>0</v>
      </c>
      <c r="I67" s="37">
        <v>0</v>
      </c>
      <c r="J67" s="36" t="s">
        <v>32679</v>
      </c>
      <c r="K67" s="36" t="s">
        <v>14330</v>
      </c>
      <c r="L67" s="36" t="s">
        <v>14330</v>
      </c>
      <c r="M67">
        <v>3</v>
      </c>
      <c r="N67" t="s">
        <v>14331</v>
      </c>
      <c r="O67" t="s">
        <v>14333</v>
      </c>
    </row>
    <row r="68" spans="1:15" x14ac:dyDescent="0.25">
      <c r="A68" s="35" t="s">
        <v>3754</v>
      </c>
      <c r="B68" s="36" t="s">
        <v>3755</v>
      </c>
      <c r="C68" s="36" t="str">
        <f>HYPERLINK("https://rhld.insurance.arkansas.gov/NPILookup?Npi=1346311404","1346311404")</f>
        <v>1346311404</v>
      </c>
      <c r="D68" s="36" t="s">
        <v>32690</v>
      </c>
      <c r="E68" s="36" t="s">
        <v>1</v>
      </c>
      <c r="F68" s="36">
        <v>1</v>
      </c>
      <c r="G68" s="36">
        <v>3</v>
      </c>
      <c r="H68" s="36">
        <v>0</v>
      </c>
      <c r="I68" s="37">
        <v>0</v>
      </c>
      <c r="J68" s="36" t="s">
        <v>32654</v>
      </c>
      <c r="K68" s="36" t="s">
        <v>14330</v>
      </c>
      <c r="L68" s="36" t="s">
        <v>14330</v>
      </c>
      <c r="M68">
        <v>3</v>
      </c>
      <c r="N68" t="s">
        <v>14331</v>
      </c>
      <c r="O68" t="s">
        <v>32633</v>
      </c>
    </row>
    <row r="69" spans="1:15" x14ac:dyDescent="0.25">
      <c r="A69" s="35" t="s">
        <v>3754</v>
      </c>
      <c r="B69" s="36" t="s">
        <v>3755</v>
      </c>
      <c r="C69" s="36" t="str">
        <f>HYPERLINK("https://rhld.insurance.arkansas.gov/NPILookup?Npi=1366421653","1366421653")</f>
        <v>1366421653</v>
      </c>
      <c r="D69" s="36" t="s">
        <v>32691</v>
      </c>
      <c r="E69" s="36" t="s">
        <v>1</v>
      </c>
      <c r="F69" s="36">
        <v>1</v>
      </c>
      <c r="G69" s="36">
        <v>3</v>
      </c>
      <c r="H69" s="36">
        <v>0</v>
      </c>
      <c r="I69" s="37">
        <v>0</v>
      </c>
      <c r="J69" s="36" t="s">
        <v>32654</v>
      </c>
      <c r="K69" s="36" t="s">
        <v>14330</v>
      </c>
      <c r="L69" s="36" t="s">
        <v>14330</v>
      </c>
      <c r="M69">
        <v>1</v>
      </c>
      <c r="N69" t="s">
        <v>14331</v>
      </c>
      <c r="O69" t="s">
        <v>32633</v>
      </c>
    </row>
    <row r="70" spans="1:15" x14ac:dyDescent="0.25">
      <c r="A70" s="35" t="s">
        <v>3754</v>
      </c>
      <c r="B70" s="36" t="s">
        <v>3755</v>
      </c>
      <c r="C70" s="36" t="str">
        <f>HYPERLINK("https://rhld.insurance.arkansas.gov/NPILookup?Npi=1366443640","1366443640")</f>
        <v>1366443640</v>
      </c>
      <c r="D70" s="36" t="s">
        <v>32692</v>
      </c>
      <c r="E70" s="36" t="s">
        <v>2</v>
      </c>
      <c r="F70" s="36">
        <v>1</v>
      </c>
      <c r="G70" s="36">
        <v>1</v>
      </c>
      <c r="H70" s="36">
        <v>0</v>
      </c>
      <c r="I70" s="37">
        <v>0</v>
      </c>
      <c r="J70" s="36" t="s">
        <v>32679</v>
      </c>
      <c r="K70" s="36" t="s">
        <v>14330</v>
      </c>
      <c r="L70" s="36" t="s">
        <v>14330</v>
      </c>
      <c r="M70">
        <v>3</v>
      </c>
      <c r="N70" t="s">
        <v>14332</v>
      </c>
      <c r="O70" t="s">
        <v>32693</v>
      </c>
    </row>
    <row r="71" spans="1:15" x14ac:dyDescent="0.25">
      <c r="A71" s="35" t="s">
        <v>3754</v>
      </c>
      <c r="B71" s="36" t="s">
        <v>3755</v>
      </c>
      <c r="C71" s="36" t="str">
        <f>HYPERLINK("https://rhld.insurance.arkansas.gov/NPILookup?Npi=1366486821","1366486821")</f>
        <v>1366486821</v>
      </c>
      <c r="D71" s="36" t="s">
        <v>32694</v>
      </c>
      <c r="E71" s="36" t="s">
        <v>1</v>
      </c>
      <c r="F71" s="36">
        <v>1</v>
      </c>
      <c r="G71" s="36">
        <v>3</v>
      </c>
      <c r="H71" s="36">
        <v>0</v>
      </c>
      <c r="I71" s="37">
        <v>0</v>
      </c>
      <c r="J71" s="36" t="s">
        <v>32654</v>
      </c>
      <c r="K71" s="36" t="s">
        <v>14330</v>
      </c>
      <c r="L71" s="36" t="s">
        <v>14330</v>
      </c>
      <c r="M71">
        <v>2</v>
      </c>
      <c r="N71" t="s">
        <v>14331</v>
      </c>
      <c r="O71" t="s">
        <v>32633</v>
      </c>
    </row>
    <row r="72" spans="1:15" x14ac:dyDescent="0.25">
      <c r="A72" s="35" t="s">
        <v>3754</v>
      </c>
      <c r="B72" s="36" t="s">
        <v>3755</v>
      </c>
      <c r="C72" s="36" t="str">
        <f>HYPERLINK("https://rhld.insurance.arkansas.gov/NPILookup?Npi=1366691552","1366691552")</f>
        <v>1366691552</v>
      </c>
      <c r="D72" s="36" t="s">
        <v>32695</v>
      </c>
      <c r="E72" s="36" t="s">
        <v>2</v>
      </c>
      <c r="F72" s="36">
        <v>1</v>
      </c>
      <c r="G72" s="36">
        <v>2</v>
      </c>
      <c r="H72" s="36">
        <v>0</v>
      </c>
      <c r="I72" s="37">
        <v>0</v>
      </c>
      <c r="J72" s="36" t="s">
        <v>32679</v>
      </c>
      <c r="K72" s="36" t="s">
        <v>14330</v>
      </c>
      <c r="L72" s="36" t="s">
        <v>14330</v>
      </c>
      <c r="M72">
        <v>0</v>
      </c>
      <c r="N72" t="s">
        <v>14331</v>
      </c>
      <c r="O72" t="s">
        <v>14333</v>
      </c>
    </row>
    <row r="73" spans="1:15" x14ac:dyDescent="0.25">
      <c r="A73" s="35" t="s">
        <v>3754</v>
      </c>
      <c r="B73" s="36" t="s">
        <v>3755</v>
      </c>
      <c r="C73" s="36" t="str">
        <f>HYPERLINK("https://rhld.insurance.arkansas.gov/NPILookup?Npi=1437342797","1437342797")</f>
        <v>1437342797</v>
      </c>
      <c r="D73" s="36" t="s">
        <v>31282</v>
      </c>
      <c r="E73" s="36" t="s">
        <v>2</v>
      </c>
      <c r="F73" s="36">
        <v>1</v>
      </c>
      <c r="G73" s="36">
        <v>1</v>
      </c>
      <c r="H73" s="36">
        <v>1</v>
      </c>
      <c r="I73" s="37">
        <v>0</v>
      </c>
      <c r="J73" s="36" t="s">
        <v>32679</v>
      </c>
      <c r="K73" s="36" t="s">
        <v>14330</v>
      </c>
      <c r="L73" s="36" t="s">
        <v>32696</v>
      </c>
      <c r="M73">
        <v>3</v>
      </c>
      <c r="N73" t="s">
        <v>14332</v>
      </c>
      <c r="O73" t="s">
        <v>32591</v>
      </c>
    </row>
    <row r="74" spans="1:15" x14ac:dyDescent="0.25">
      <c r="A74" s="35" t="s">
        <v>3754</v>
      </c>
      <c r="B74" s="36" t="s">
        <v>3755</v>
      </c>
      <c r="C74" s="36" t="str">
        <f>HYPERLINK("https://rhld.insurance.arkansas.gov/NPILookup?Npi=1457352106","1457352106")</f>
        <v>1457352106</v>
      </c>
      <c r="D74" s="36" t="s">
        <v>32697</v>
      </c>
      <c r="E74" s="36" t="s">
        <v>1</v>
      </c>
      <c r="F74" s="36">
        <v>1</v>
      </c>
      <c r="G74" s="36">
        <v>3</v>
      </c>
      <c r="H74" s="36">
        <v>0</v>
      </c>
      <c r="I74" s="37">
        <v>0</v>
      </c>
      <c r="J74" s="36" t="s">
        <v>32654</v>
      </c>
      <c r="K74" s="36" t="s">
        <v>14330</v>
      </c>
      <c r="L74" s="36" t="s">
        <v>14330</v>
      </c>
      <c r="M74">
        <v>3</v>
      </c>
      <c r="N74" t="s">
        <v>14331</v>
      </c>
      <c r="O74" t="s">
        <v>32633</v>
      </c>
    </row>
    <row r="75" spans="1:15" x14ac:dyDescent="0.25">
      <c r="A75" s="35" t="s">
        <v>3754</v>
      </c>
      <c r="B75" s="36" t="s">
        <v>3755</v>
      </c>
      <c r="C75" s="36" t="str">
        <f>HYPERLINK("https://rhld.insurance.arkansas.gov/NPILookup?Npi=1477558955","1477558955")</f>
        <v>1477558955</v>
      </c>
      <c r="D75" s="36" t="s">
        <v>32698</v>
      </c>
      <c r="E75" s="36" t="s">
        <v>1</v>
      </c>
      <c r="F75" s="36">
        <v>1</v>
      </c>
      <c r="G75" s="36">
        <v>3</v>
      </c>
      <c r="H75" s="36">
        <v>0</v>
      </c>
      <c r="I75" s="37">
        <v>0</v>
      </c>
      <c r="J75" s="36" t="s">
        <v>32654</v>
      </c>
      <c r="K75" s="36" t="s">
        <v>14330</v>
      </c>
      <c r="L75" s="36" t="s">
        <v>14330</v>
      </c>
      <c r="M75">
        <v>3</v>
      </c>
      <c r="N75" t="s">
        <v>14331</v>
      </c>
      <c r="O75" t="s">
        <v>32633</v>
      </c>
    </row>
    <row r="76" spans="1:15" x14ac:dyDescent="0.25">
      <c r="A76" s="35" t="s">
        <v>3754</v>
      </c>
      <c r="B76" s="36" t="s">
        <v>3755</v>
      </c>
      <c r="C76" s="36" t="str">
        <f>HYPERLINK("https://rhld.insurance.arkansas.gov/NPILookup?Npi=1487690186","1487690186")</f>
        <v>1487690186</v>
      </c>
      <c r="D76" s="36" t="s">
        <v>32699</v>
      </c>
      <c r="E76" s="36" t="s">
        <v>1</v>
      </c>
      <c r="F76" s="36">
        <v>1</v>
      </c>
      <c r="G76" s="36">
        <v>3</v>
      </c>
      <c r="H76" s="36">
        <v>0</v>
      </c>
      <c r="I76" s="37">
        <v>0</v>
      </c>
      <c r="J76" s="36" t="s">
        <v>32654</v>
      </c>
      <c r="K76" s="36" t="s">
        <v>14330</v>
      </c>
      <c r="L76" s="36" t="s">
        <v>14330</v>
      </c>
      <c r="M76">
        <v>3</v>
      </c>
      <c r="N76" t="s">
        <v>14331</v>
      </c>
      <c r="O76" t="s">
        <v>32633</v>
      </c>
    </row>
    <row r="77" spans="1:15" x14ac:dyDescent="0.25">
      <c r="A77" s="35" t="s">
        <v>3754</v>
      </c>
      <c r="B77" s="36" t="s">
        <v>3755</v>
      </c>
      <c r="C77" s="36" t="str">
        <f>HYPERLINK("https://rhld.insurance.arkansas.gov/NPILookup?Npi=1487814273","1487814273")</f>
        <v>1487814273</v>
      </c>
      <c r="D77" s="36" t="s">
        <v>32700</v>
      </c>
      <c r="E77" s="36" t="s">
        <v>1</v>
      </c>
      <c r="F77" s="36">
        <v>1</v>
      </c>
      <c r="G77" s="36">
        <v>3</v>
      </c>
      <c r="H77" s="36">
        <v>0</v>
      </c>
      <c r="I77" s="37">
        <v>0</v>
      </c>
      <c r="J77" s="36" t="s">
        <v>32654</v>
      </c>
      <c r="K77" s="36" t="s">
        <v>14330</v>
      </c>
      <c r="L77" s="36" t="s">
        <v>14330</v>
      </c>
      <c r="M77">
        <v>2</v>
      </c>
      <c r="N77" t="s">
        <v>14331</v>
      </c>
      <c r="O77" t="s">
        <v>32633</v>
      </c>
    </row>
    <row r="78" spans="1:15" x14ac:dyDescent="0.25">
      <c r="A78" s="35" t="s">
        <v>3754</v>
      </c>
      <c r="B78" s="36" t="s">
        <v>3755</v>
      </c>
      <c r="C78" s="36" t="str">
        <f>HYPERLINK("https://rhld.insurance.arkansas.gov/NPILookup?Npi=1487829156","1487829156")</f>
        <v>1487829156</v>
      </c>
      <c r="D78" s="36" t="s">
        <v>32701</v>
      </c>
      <c r="E78" s="36" t="s">
        <v>2</v>
      </c>
      <c r="F78" s="36">
        <v>1</v>
      </c>
      <c r="G78" s="36">
        <v>2</v>
      </c>
      <c r="H78" s="36">
        <v>0</v>
      </c>
      <c r="I78" s="37">
        <v>0</v>
      </c>
      <c r="J78" s="36"/>
      <c r="K78" s="36" t="s">
        <v>14330</v>
      </c>
      <c r="L78" s="36" t="s">
        <v>14330</v>
      </c>
      <c r="M78">
        <v>1</v>
      </c>
      <c r="N78" t="s">
        <v>14331</v>
      </c>
      <c r="O78" t="s">
        <v>14333</v>
      </c>
    </row>
    <row r="79" spans="1:15" x14ac:dyDescent="0.25">
      <c r="A79" s="35" t="s">
        <v>3754</v>
      </c>
      <c r="B79" s="36" t="s">
        <v>3755</v>
      </c>
      <c r="C79" s="36" t="str">
        <f>HYPERLINK("https://rhld.insurance.arkansas.gov/NPILookup?Npi=1487852422","1487852422")</f>
        <v>1487852422</v>
      </c>
      <c r="D79" s="36" t="s">
        <v>32702</v>
      </c>
      <c r="E79" s="36" t="s">
        <v>1</v>
      </c>
      <c r="F79" s="36">
        <v>1</v>
      </c>
      <c r="G79" s="36">
        <v>1</v>
      </c>
      <c r="H79" s="36">
        <v>0</v>
      </c>
      <c r="I79" s="37">
        <v>0</v>
      </c>
      <c r="J79" s="36" t="s">
        <v>32654</v>
      </c>
      <c r="K79" s="36" t="s">
        <v>14330</v>
      </c>
      <c r="L79" s="36" t="s">
        <v>14330</v>
      </c>
      <c r="M79">
        <v>3</v>
      </c>
      <c r="N79" t="s">
        <v>14331</v>
      </c>
      <c r="O79" t="s">
        <v>32633</v>
      </c>
    </row>
    <row r="80" spans="1:15" x14ac:dyDescent="0.25">
      <c r="A80" s="35" t="s">
        <v>3754</v>
      </c>
      <c r="B80" s="36" t="s">
        <v>3755</v>
      </c>
      <c r="C80" s="36" t="str">
        <f>HYPERLINK("https://rhld.insurance.arkansas.gov/NPILookup?Npi=1508837006","1508837006")</f>
        <v>1508837006</v>
      </c>
      <c r="D80" s="36" t="s">
        <v>32703</v>
      </c>
      <c r="E80" s="36" t="s">
        <v>1</v>
      </c>
      <c r="F80" s="36">
        <v>1</v>
      </c>
      <c r="G80" s="36">
        <v>3</v>
      </c>
      <c r="H80" s="36">
        <v>0</v>
      </c>
      <c r="I80" s="37">
        <v>0</v>
      </c>
      <c r="J80" s="36" t="s">
        <v>32654</v>
      </c>
      <c r="K80" s="36" t="s">
        <v>14330</v>
      </c>
      <c r="L80" s="36" t="s">
        <v>14330</v>
      </c>
      <c r="M80">
        <v>2</v>
      </c>
      <c r="N80" t="s">
        <v>14331</v>
      </c>
      <c r="O80" t="s">
        <v>32633</v>
      </c>
    </row>
    <row r="81" spans="1:15" x14ac:dyDescent="0.25">
      <c r="A81" s="35" t="s">
        <v>3754</v>
      </c>
      <c r="B81" s="36" t="s">
        <v>3755</v>
      </c>
      <c r="C81" s="36" t="str">
        <f>HYPERLINK("https://rhld.insurance.arkansas.gov/NPILookup?Npi=1518225762","1518225762")</f>
        <v>1518225762</v>
      </c>
      <c r="D81" s="36" t="s">
        <v>32704</v>
      </c>
      <c r="E81" s="36" t="s">
        <v>1</v>
      </c>
      <c r="F81" s="36">
        <v>1</v>
      </c>
      <c r="G81" s="36">
        <v>2</v>
      </c>
      <c r="H81" s="36">
        <v>0</v>
      </c>
      <c r="I81" s="37">
        <v>0</v>
      </c>
      <c r="J81" s="36" t="s">
        <v>32654</v>
      </c>
      <c r="K81" s="36" t="s">
        <v>14330</v>
      </c>
      <c r="L81" s="36" t="s">
        <v>14330</v>
      </c>
      <c r="M81">
        <v>1</v>
      </c>
      <c r="N81" t="s">
        <v>14331</v>
      </c>
      <c r="O81" t="s">
        <v>32633</v>
      </c>
    </row>
    <row r="82" spans="1:15" x14ac:dyDescent="0.25">
      <c r="A82" s="35" t="s">
        <v>3754</v>
      </c>
      <c r="B82" s="36" t="s">
        <v>3755</v>
      </c>
      <c r="C82" s="36" t="str">
        <f>HYPERLINK("https://rhld.insurance.arkansas.gov/NPILookup?Npi=1518261171","1518261171")</f>
        <v>1518261171</v>
      </c>
      <c r="D82" s="36" t="s">
        <v>32705</v>
      </c>
      <c r="E82" s="36" t="s">
        <v>2</v>
      </c>
      <c r="F82" s="36">
        <v>1</v>
      </c>
      <c r="G82" s="36">
        <v>1</v>
      </c>
      <c r="H82" s="36">
        <v>0</v>
      </c>
      <c r="I82" s="37">
        <v>0</v>
      </c>
      <c r="J82" s="36" t="s">
        <v>32679</v>
      </c>
      <c r="K82" s="36" t="s">
        <v>14330</v>
      </c>
      <c r="L82" s="36" t="s">
        <v>14330</v>
      </c>
      <c r="M82">
        <v>2</v>
      </c>
      <c r="N82" t="s">
        <v>14331</v>
      </c>
      <c r="O82" t="s">
        <v>32706</v>
      </c>
    </row>
    <row r="83" spans="1:15" x14ac:dyDescent="0.25">
      <c r="A83" s="35" t="s">
        <v>3754</v>
      </c>
      <c r="B83" s="36" t="s">
        <v>3755</v>
      </c>
      <c r="C83" s="36" t="str">
        <f>HYPERLINK("https://rhld.insurance.arkansas.gov/NPILookup?Npi=1528220639","1528220639")</f>
        <v>1528220639</v>
      </c>
      <c r="D83" s="36" t="s">
        <v>32707</v>
      </c>
      <c r="E83" s="36" t="s">
        <v>1</v>
      </c>
      <c r="F83" s="36">
        <v>1</v>
      </c>
      <c r="G83" s="36">
        <v>2</v>
      </c>
      <c r="H83" s="36">
        <v>0</v>
      </c>
      <c r="I83" s="37">
        <v>0</v>
      </c>
      <c r="J83" s="36" t="s">
        <v>32654</v>
      </c>
      <c r="K83" s="36" t="s">
        <v>14330</v>
      </c>
      <c r="L83" s="36" t="s">
        <v>14330</v>
      </c>
      <c r="M83">
        <v>3</v>
      </c>
      <c r="N83" t="s">
        <v>14331</v>
      </c>
      <c r="O83" t="s">
        <v>32633</v>
      </c>
    </row>
    <row r="84" spans="1:15" x14ac:dyDescent="0.25">
      <c r="A84" s="35" t="s">
        <v>3754</v>
      </c>
      <c r="B84" s="36" t="s">
        <v>3755</v>
      </c>
      <c r="C84" s="36" t="str">
        <f>HYPERLINK("https://rhld.insurance.arkansas.gov/NPILookup?Npi=1538543632","1538543632")</f>
        <v>1538543632</v>
      </c>
      <c r="D84" s="36" t="s">
        <v>32708</v>
      </c>
      <c r="E84" s="36" t="s">
        <v>1</v>
      </c>
      <c r="F84" s="36">
        <v>1</v>
      </c>
      <c r="G84" s="36">
        <v>3</v>
      </c>
      <c r="H84" s="36">
        <v>0</v>
      </c>
      <c r="I84" s="37">
        <v>0</v>
      </c>
      <c r="J84" s="36" t="s">
        <v>32654</v>
      </c>
      <c r="K84" s="36" t="s">
        <v>14330</v>
      </c>
      <c r="L84" s="36" t="s">
        <v>14330</v>
      </c>
      <c r="M84">
        <v>3</v>
      </c>
      <c r="N84" t="s">
        <v>14331</v>
      </c>
      <c r="O84" t="s">
        <v>32633</v>
      </c>
    </row>
    <row r="85" spans="1:15" x14ac:dyDescent="0.25">
      <c r="A85" s="35" t="s">
        <v>3754</v>
      </c>
      <c r="B85" s="36" t="s">
        <v>3755</v>
      </c>
      <c r="C85" s="36" t="str">
        <f>HYPERLINK("https://rhld.insurance.arkansas.gov/NPILookup?Npi=1568605905","1568605905")</f>
        <v>1568605905</v>
      </c>
      <c r="D85" s="36" t="s">
        <v>32709</v>
      </c>
      <c r="E85" s="36" t="s">
        <v>1</v>
      </c>
      <c r="F85" s="36">
        <v>1</v>
      </c>
      <c r="G85" s="36">
        <v>3</v>
      </c>
      <c r="H85" s="36">
        <v>0</v>
      </c>
      <c r="I85" s="37">
        <v>0</v>
      </c>
      <c r="J85" s="36" t="s">
        <v>32654</v>
      </c>
      <c r="K85" s="36" t="s">
        <v>14330</v>
      </c>
      <c r="L85" s="36" t="s">
        <v>14330</v>
      </c>
      <c r="M85">
        <v>2</v>
      </c>
      <c r="N85" t="s">
        <v>14331</v>
      </c>
      <c r="O85" t="s">
        <v>32633</v>
      </c>
    </row>
    <row r="86" spans="1:15" x14ac:dyDescent="0.25">
      <c r="A86" s="35" t="s">
        <v>3754</v>
      </c>
      <c r="B86" s="36" t="s">
        <v>3755</v>
      </c>
      <c r="C86" s="36" t="str">
        <f>HYPERLINK("https://rhld.insurance.arkansas.gov/NPILookup?Npi=1578507661","1578507661")</f>
        <v>1578507661</v>
      </c>
      <c r="D86" s="36" t="s">
        <v>32710</v>
      </c>
      <c r="E86" s="36" t="s">
        <v>1</v>
      </c>
      <c r="F86" s="36">
        <v>1</v>
      </c>
      <c r="G86" s="36">
        <v>2</v>
      </c>
      <c r="H86" s="36">
        <v>0</v>
      </c>
      <c r="I86" s="37">
        <v>0</v>
      </c>
      <c r="J86" s="36" t="s">
        <v>32654</v>
      </c>
      <c r="K86" s="36" t="s">
        <v>14330</v>
      </c>
      <c r="L86" s="36" t="s">
        <v>14330</v>
      </c>
      <c r="M86">
        <v>2</v>
      </c>
      <c r="N86" t="s">
        <v>14331</v>
      </c>
      <c r="O86" t="s">
        <v>32633</v>
      </c>
    </row>
    <row r="87" spans="1:15" x14ac:dyDescent="0.25">
      <c r="A87" s="35" t="s">
        <v>3754</v>
      </c>
      <c r="B87" s="36" t="s">
        <v>3755</v>
      </c>
      <c r="C87" s="36" t="str">
        <f>HYPERLINK("https://rhld.insurance.arkansas.gov/NPILookup?Npi=1619075363","1619075363")</f>
        <v>1619075363</v>
      </c>
      <c r="D87" s="36" t="s">
        <v>32711</v>
      </c>
      <c r="E87" s="36" t="s">
        <v>2</v>
      </c>
      <c r="F87" s="36">
        <v>1</v>
      </c>
      <c r="G87" s="36">
        <v>2</v>
      </c>
      <c r="H87" s="36">
        <v>0</v>
      </c>
      <c r="I87" s="37">
        <v>0</v>
      </c>
      <c r="J87" s="36" t="s">
        <v>32679</v>
      </c>
      <c r="K87" s="36" t="s">
        <v>14330</v>
      </c>
      <c r="L87" s="36" t="s">
        <v>14330</v>
      </c>
      <c r="M87">
        <v>2</v>
      </c>
      <c r="N87" t="s">
        <v>14331</v>
      </c>
      <c r="O87" t="s">
        <v>14333</v>
      </c>
    </row>
    <row r="88" spans="1:15" x14ac:dyDescent="0.25">
      <c r="A88" s="35" t="s">
        <v>3754</v>
      </c>
      <c r="B88" s="36" t="s">
        <v>3755</v>
      </c>
      <c r="C88" s="36" t="str">
        <f>HYPERLINK("https://rhld.insurance.arkansas.gov/NPILookup?Npi=1639186406","1639186406")</f>
        <v>1639186406</v>
      </c>
      <c r="D88" s="36" t="s">
        <v>32712</v>
      </c>
      <c r="E88" s="36" t="s">
        <v>2</v>
      </c>
      <c r="F88" s="36">
        <v>1</v>
      </c>
      <c r="G88" s="36">
        <v>2</v>
      </c>
      <c r="H88" s="36">
        <v>0</v>
      </c>
      <c r="I88" s="37">
        <v>0</v>
      </c>
      <c r="J88" s="36" t="s">
        <v>32679</v>
      </c>
      <c r="K88" s="36" t="s">
        <v>14330</v>
      </c>
      <c r="L88" s="36" t="s">
        <v>14330</v>
      </c>
      <c r="M88">
        <v>2</v>
      </c>
      <c r="N88" t="s">
        <v>14331</v>
      </c>
      <c r="O88" t="s">
        <v>14333</v>
      </c>
    </row>
    <row r="89" spans="1:15" x14ac:dyDescent="0.25">
      <c r="A89" s="35" t="s">
        <v>3754</v>
      </c>
      <c r="B89" s="36" t="s">
        <v>3755</v>
      </c>
      <c r="C89" s="36" t="str">
        <f>HYPERLINK("https://rhld.insurance.arkansas.gov/NPILookup?Npi=1669471157","1669471157")</f>
        <v>1669471157</v>
      </c>
      <c r="D89" s="36" t="s">
        <v>32713</v>
      </c>
      <c r="E89" s="36" t="s">
        <v>1</v>
      </c>
      <c r="F89" s="36">
        <v>1</v>
      </c>
      <c r="G89" s="36">
        <v>2</v>
      </c>
      <c r="H89" s="36">
        <v>0</v>
      </c>
      <c r="I89" s="37">
        <v>0</v>
      </c>
      <c r="J89" s="36" t="s">
        <v>32654</v>
      </c>
      <c r="K89" s="36" t="s">
        <v>14330</v>
      </c>
      <c r="L89" s="36" t="s">
        <v>14330</v>
      </c>
      <c r="M89">
        <v>1</v>
      </c>
      <c r="N89" t="s">
        <v>14331</v>
      </c>
      <c r="O89" t="s">
        <v>32633</v>
      </c>
    </row>
    <row r="90" spans="1:15" x14ac:dyDescent="0.25">
      <c r="A90" s="35" t="s">
        <v>3754</v>
      </c>
      <c r="B90" s="36" t="s">
        <v>3755</v>
      </c>
      <c r="C90" s="36" t="str">
        <f>HYPERLINK("https://rhld.insurance.arkansas.gov/NPILookup?Npi=1669764106","1669764106")</f>
        <v>1669764106</v>
      </c>
      <c r="D90" s="36" t="s">
        <v>32714</v>
      </c>
      <c r="E90" s="36" t="s">
        <v>2</v>
      </c>
      <c r="F90" s="36">
        <v>1</v>
      </c>
      <c r="G90" s="36">
        <v>1</v>
      </c>
      <c r="H90" s="36">
        <v>0</v>
      </c>
      <c r="I90" s="37">
        <v>0</v>
      </c>
      <c r="J90" s="36" t="s">
        <v>32679</v>
      </c>
      <c r="K90" s="36" t="s">
        <v>14330</v>
      </c>
      <c r="L90" s="36" t="s">
        <v>14330</v>
      </c>
      <c r="M90">
        <v>2</v>
      </c>
      <c r="N90" t="s">
        <v>14331</v>
      </c>
      <c r="O90" t="s">
        <v>32706</v>
      </c>
    </row>
    <row r="91" spans="1:15" x14ac:dyDescent="0.25">
      <c r="A91" s="35" t="s">
        <v>3754</v>
      </c>
      <c r="B91" s="36" t="s">
        <v>3755</v>
      </c>
      <c r="C91" s="36" t="str">
        <f>HYPERLINK("https://rhld.insurance.arkansas.gov/NPILookup?Npi=1689614828","1689614828")</f>
        <v>1689614828</v>
      </c>
      <c r="D91" s="36" t="s">
        <v>32715</v>
      </c>
      <c r="E91" s="36" t="s">
        <v>1</v>
      </c>
      <c r="F91" s="36">
        <v>1</v>
      </c>
      <c r="G91" s="36">
        <v>2</v>
      </c>
      <c r="H91" s="36">
        <v>0</v>
      </c>
      <c r="I91" s="37">
        <v>0</v>
      </c>
      <c r="J91" s="36" t="s">
        <v>32654</v>
      </c>
      <c r="K91" s="36" t="s">
        <v>14330</v>
      </c>
      <c r="L91" s="36" t="s">
        <v>14330</v>
      </c>
      <c r="M91">
        <v>2</v>
      </c>
      <c r="N91" t="s">
        <v>14331</v>
      </c>
      <c r="O91" t="s">
        <v>32633</v>
      </c>
    </row>
    <row r="92" spans="1:15" x14ac:dyDescent="0.25">
      <c r="A92" s="35" t="s">
        <v>3754</v>
      </c>
      <c r="B92" s="36" t="s">
        <v>3755</v>
      </c>
      <c r="C92" s="36" t="str">
        <f>HYPERLINK("https://rhld.insurance.arkansas.gov/NPILookup?Npi=1750461620","1750461620")</f>
        <v>1750461620</v>
      </c>
      <c r="D92" s="36" t="s">
        <v>32716</v>
      </c>
      <c r="E92" s="36" t="s">
        <v>2</v>
      </c>
      <c r="F92" s="36">
        <v>1</v>
      </c>
      <c r="G92" s="36">
        <v>2</v>
      </c>
      <c r="H92" s="36">
        <v>0</v>
      </c>
      <c r="I92" s="37">
        <v>0</v>
      </c>
      <c r="J92" s="36" t="s">
        <v>32679</v>
      </c>
      <c r="K92" s="36" t="s">
        <v>14330</v>
      </c>
      <c r="L92" s="36" t="s">
        <v>14330</v>
      </c>
      <c r="M92">
        <v>3</v>
      </c>
      <c r="N92" t="s">
        <v>14331</v>
      </c>
      <c r="O92" t="s">
        <v>14333</v>
      </c>
    </row>
    <row r="93" spans="1:15" x14ac:dyDescent="0.25">
      <c r="A93" s="35" t="s">
        <v>3754</v>
      </c>
      <c r="B93" s="36" t="s">
        <v>3755</v>
      </c>
      <c r="C93" s="36" t="str">
        <f>HYPERLINK("https://rhld.insurance.arkansas.gov/NPILookup?Npi=1760491989","1760491989")</f>
        <v>1760491989</v>
      </c>
      <c r="D93" s="36" t="s">
        <v>32717</v>
      </c>
      <c r="E93" s="36" t="s">
        <v>1</v>
      </c>
      <c r="F93" s="36">
        <v>1</v>
      </c>
      <c r="G93" s="36">
        <v>3</v>
      </c>
      <c r="H93" s="36">
        <v>0</v>
      </c>
      <c r="I93" s="37">
        <v>0</v>
      </c>
      <c r="J93" s="36" t="s">
        <v>32654</v>
      </c>
      <c r="K93" s="36" t="s">
        <v>14330</v>
      </c>
      <c r="L93" s="36" t="s">
        <v>14330</v>
      </c>
      <c r="M93">
        <v>3</v>
      </c>
      <c r="N93" t="s">
        <v>14331</v>
      </c>
      <c r="O93" t="s">
        <v>32633</v>
      </c>
    </row>
    <row r="94" spans="1:15" x14ac:dyDescent="0.25">
      <c r="A94" s="35" t="s">
        <v>3754</v>
      </c>
      <c r="B94" s="36" t="s">
        <v>3755</v>
      </c>
      <c r="C94" s="36" t="str">
        <f>HYPERLINK("https://rhld.insurance.arkansas.gov/NPILookup?Npi=1801101431","1801101431")</f>
        <v>1801101431</v>
      </c>
      <c r="D94" s="36" t="s">
        <v>32718</v>
      </c>
      <c r="E94" s="36" t="s">
        <v>1</v>
      </c>
      <c r="F94" s="36">
        <v>1</v>
      </c>
      <c r="G94" s="36">
        <v>3</v>
      </c>
      <c r="H94" s="36">
        <v>0</v>
      </c>
      <c r="I94" s="37">
        <v>0</v>
      </c>
      <c r="J94" s="36" t="s">
        <v>32654</v>
      </c>
      <c r="K94" s="36" t="s">
        <v>14330</v>
      </c>
      <c r="L94" s="36" t="s">
        <v>14330</v>
      </c>
      <c r="M94">
        <v>3</v>
      </c>
      <c r="N94" t="s">
        <v>14331</v>
      </c>
      <c r="O94" t="s">
        <v>32633</v>
      </c>
    </row>
    <row r="95" spans="1:15" x14ac:dyDescent="0.25">
      <c r="A95" s="35" t="s">
        <v>3754</v>
      </c>
      <c r="B95" s="36" t="s">
        <v>3755</v>
      </c>
      <c r="C95" s="36" t="str">
        <f>HYPERLINK("https://rhld.insurance.arkansas.gov/NPILookup?Npi=1871943852","1871943852")</f>
        <v>1871943852</v>
      </c>
      <c r="D95" s="36" t="s">
        <v>31237</v>
      </c>
      <c r="E95" s="36" t="s">
        <v>1</v>
      </c>
      <c r="F95" s="36">
        <v>1</v>
      </c>
      <c r="G95" s="36">
        <v>3</v>
      </c>
      <c r="H95" s="36">
        <v>0</v>
      </c>
      <c r="I95" s="37">
        <v>0</v>
      </c>
      <c r="J95" s="36" t="s">
        <v>32719</v>
      </c>
      <c r="K95" s="36" t="s">
        <v>14330</v>
      </c>
      <c r="L95" s="36" t="s">
        <v>14330</v>
      </c>
      <c r="M95">
        <v>1</v>
      </c>
      <c r="N95" t="s">
        <v>14331</v>
      </c>
      <c r="O95" t="s">
        <v>32633</v>
      </c>
    </row>
    <row r="96" spans="1:15" x14ac:dyDescent="0.25">
      <c r="A96" s="35" t="s">
        <v>3754</v>
      </c>
      <c r="B96" s="36" t="s">
        <v>3755</v>
      </c>
      <c r="C96" s="36" t="str">
        <f>HYPERLINK("https://rhld.insurance.arkansas.gov/NPILookup?Npi=1891051348","1891051348")</f>
        <v>1891051348</v>
      </c>
      <c r="D96" s="36" t="s">
        <v>32720</v>
      </c>
      <c r="E96" s="36" t="s">
        <v>2</v>
      </c>
      <c r="F96" s="36">
        <v>1</v>
      </c>
      <c r="G96" s="36">
        <v>1</v>
      </c>
      <c r="H96" s="36">
        <v>0</v>
      </c>
      <c r="I96" s="37">
        <v>0</v>
      </c>
      <c r="J96" s="36" t="s">
        <v>32679</v>
      </c>
      <c r="K96" s="36" t="s">
        <v>14330</v>
      </c>
      <c r="L96" s="36" t="s">
        <v>14330</v>
      </c>
      <c r="M96">
        <v>1</v>
      </c>
      <c r="N96" t="s">
        <v>14332</v>
      </c>
      <c r="O96" t="s">
        <v>32721</v>
      </c>
    </row>
    <row r="97" spans="1:15" x14ac:dyDescent="0.25">
      <c r="A97" s="35" t="s">
        <v>3754</v>
      </c>
      <c r="B97" s="36" t="s">
        <v>3755</v>
      </c>
      <c r="C97" s="36" t="str">
        <f>HYPERLINK("https://rhld.insurance.arkansas.gov/NPILookup?Npi=1972009991","1972009991")</f>
        <v>1972009991</v>
      </c>
      <c r="D97" s="36" t="s">
        <v>32722</v>
      </c>
      <c r="E97" s="36" t="s">
        <v>1</v>
      </c>
      <c r="F97" s="36">
        <v>1</v>
      </c>
      <c r="G97" s="36">
        <v>1</v>
      </c>
      <c r="H97" s="36">
        <v>0</v>
      </c>
      <c r="I97" s="37">
        <v>0</v>
      </c>
      <c r="J97" s="36" t="s">
        <v>32723</v>
      </c>
      <c r="K97" s="36" t="s">
        <v>14330</v>
      </c>
      <c r="L97" s="36" t="s">
        <v>14330</v>
      </c>
      <c r="M97">
        <v>3</v>
      </c>
      <c r="N97" t="s">
        <v>14331</v>
      </c>
      <c r="O97" t="s">
        <v>32724</v>
      </c>
    </row>
    <row r="98" spans="1:15" x14ac:dyDescent="0.25">
      <c r="A98" s="35" t="s">
        <v>3754</v>
      </c>
      <c r="B98" s="36" t="s">
        <v>3755</v>
      </c>
      <c r="C98" s="36" t="str">
        <f>HYPERLINK("https://rhld.insurance.arkansas.gov/NPILookup?Npi=1972572097","1972572097")</f>
        <v>1972572097</v>
      </c>
      <c r="D98" s="36" t="s">
        <v>32725</v>
      </c>
      <c r="E98" s="36" t="s">
        <v>1</v>
      </c>
      <c r="F98" s="36">
        <v>1</v>
      </c>
      <c r="G98" s="36">
        <v>3</v>
      </c>
      <c r="H98" s="36">
        <v>0</v>
      </c>
      <c r="I98" s="37">
        <v>0</v>
      </c>
      <c r="J98" s="36" t="s">
        <v>14335</v>
      </c>
      <c r="K98" s="36" t="s">
        <v>14330</v>
      </c>
      <c r="L98" s="36" t="s">
        <v>14330</v>
      </c>
      <c r="M98">
        <v>2</v>
      </c>
      <c r="N98" t="s">
        <v>14331</v>
      </c>
      <c r="O98" t="s">
        <v>32633</v>
      </c>
    </row>
    <row r="99" spans="1:15" x14ac:dyDescent="0.25">
      <c r="A99" s="35" t="s">
        <v>3754</v>
      </c>
      <c r="B99" s="36" t="s">
        <v>3755</v>
      </c>
      <c r="C99" s="36" t="str">
        <f>HYPERLINK("https://rhld.insurance.arkansas.gov/NPILookup?Npi=1972613487","1972613487")</f>
        <v>1972613487</v>
      </c>
      <c r="D99" s="36" t="s">
        <v>32726</v>
      </c>
      <c r="E99" s="36" t="s">
        <v>2</v>
      </c>
      <c r="F99" s="36">
        <v>1</v>
      </c>
      <c r="G99" s="36">
        <v>2</v>
      </c>
      <c r="H99" s="36">
        <v>0</v>
      </c>
      <c r="I99" s="37">
        <v>0</v>
      </c>
      <c r="J99" s="36" t="s">
        <v>32679</v>
      </c>
      <c r="K99" s="36" t="s">
        <v>14330</v>
      </c>
      <c r="L99" s="36" t="s">
        <v>14330</v>
      </c>
      <c r="M99">
        <v>3</v>
      </c>
      <c r="N99" t="s">
        <v>14331</v>
      </c>
      <c r="O99" t="s">
        <v>14333</v>
      </c>
    </row>
    <row r="100" spans="1:15" x14ac:dyDescent="0.25">
      <c r="A100" s="35" t="s">
        <v>3754</v>
      </c>
      <c r="B100" s="36" t="s">
        <v>3755</v>
      </c>
      <c r="C100" s="36" t="str">
        <f>HYPERLINK("https://rhld.insurance.arkansas.gov/NPILookup?Npi=1982846101","1982846101")</f>
        <v>1982846101</v>
      </c>
      <c r="D100" s="36" t="s">
        <v>32727</v>
      </c>
      <c r="E100" s="36" t="s">
        <v>1</v>
      </c>
      <c r="F100" s="36">
        <v>1</v>
      </c>
      <c r="G100" s="36">
        <v>3</v>
      </c>
      <c r="H100" s="36">
        <v>0</v>
      </c>
      <c r="I100" s="37">
        <v>0</v>
      </c>
      <c r="J100" s="36" t="s">
        <v>32654</v>
      </c>
      <c r="K100" s="36" t="s">
        <v>14330</v>
      </c>
      <c r="L100" s="36" t="s">
        <v>14330</v>
      </c>
      <c r="M100">
        <v>0</v>
      </c>
      <c r="N100" t="s">
        <v>14331</v>
      </c>
      <c r="O100" t="s">
        <v>32633</v>
      </c>
    </row>
    <row r="101" spans="1:15" x14ac:dyDescent="0.25">
      <c r="A101" s="35" t="s">
        <v>3754</v>
      </c>
      <c r="B101" s="36" t="s">
        <v>3755</v>
      </c>
      <c r="C101" s="36" t="str">
        <f>HYPERLINK("https://rhld.insurance.arkansas.gov/NPILookup?Npi=1992733224","1992733224")</f>
        <v>1992733224</v>
      </c>
      <c r="D101" s="36" t="s">
        <v>32728</v>
      </c>
      <c r="E101" s="36" t="s">
        <v>2</v>
      </c>
      <c r="F101" s="36">
        <v>1</v>
      </c>
      <c r="G101" s="36">
        <v>1</v>
      </c>
      <c r="H101" s="36">
        <v>1</v>
      </c>
      <c r="I101" s="37">
        <v>0</v>
      </c>
      <c r="J101" s="36" t="s">
        <v>32679</v>
      </c>
      <c r="K101" s="36" t="s">
        <v>14330</v>
      </c>
      <c r="L101" s="36" t="s">
        <v>32729</v>
      </c>
      <c r="M101">
        <v>3</v>
      </c>
      <c r="N101" t="s">
        <v>14332</v>
      </c>
      <c r="O101" t="s">
        <v>32591</v>
      </c>
    </row>
    <row r="102" spans="1:15" x14ac:dyDescent="0.25">
      <c r="A102" s="35" t="s">
        <v>3754</v>
      </c>
      <c r="B102" s="36" t="s">
        <v>3755</v>
      </c>
      <c r="C102" s="36" t="str">
        <f>HYPERLINK("https://rhld.insurance.arkansas.gov/NPILookup?Npi=1992735922","1992735922")</f>
        <v>1992735922</v>
      </c>
      <c r="D102" s="36" t="s">
        <v>32730</v>
      </c>
      <c r="E102" s="36" t="s">
        <v>1</v>
      </c>
      <c r="F102" s="36">
        <v>1</v>
      </c>
      <c r="G102" s="36">
        <v>3</v>
      </c>
      <c r="H102" s="36">
        <v>0</v>
      </c>
      <c r="I102" s="37">
        <v>0</v>
      </c>
      <c r="J102" s="36" t="s">
        <v>32654</v>
      </c>
      <c r="K102" s="36" t="s">
        <v>14330</v>
      </c>
      <c r="L102" s="36" t="s">
        <v>14330</v>
      </c>
      <c r="M102">
        <v>3</v>
      </c>
      <c r="N102" t="s">
        <v>14331</v>
      </c>
      <c r="O102" t="s">
        <v>32633</v>
      </c>
    </row>
    <row r="103" spans="1:15" x14ac:dyDescent="0.25">
      <c r="A103" s="35" t="s">
        <v>3854</v>
      </c>
      <c r="B103" s="36" t="s">
        <v>3855</v>
      </c>
      <c r="C103" s="36" t="str">
        <f>HYPERLINK("https://rhld.insurance.arkansas.gov/NPILookup?Npi=1083608889","1083608889")</f>
        <v>1083608889</v>
      </c>
      <c r="D103" s="36" t="s">
        <v>32731</v>
      </c>
      <c r="E103" s="36" t="s">
        <v>1</v>
      </c>
      <c r="F103" s="36">
        <v>1</v>
      </c>
      <c r="G103" s="36">
        <v>3</v>
      </c>
      <c r="H103" s="36">
        <v>0</v>
      </c>
      <c r="I103" s="37">
        <v>0</v>
      </c>
      <c r="J103" s="36" t="s">
        <v>32654</v>
      </c>
      <c r="K103" s="36" t="s">
        <v>14330</v>
      </c>
      <c r="L103" s="36" t="s">
        <v>14330</v>
      </c>
      <c r="M103">
        <v>3</v>
      </c>
      <c r="N103" t="s">
        <v>14331</v>
      </c>
      <c r="O103" t="s">
        <v>32633</v>
      </c>
    </row>
    <row r="104" spans="1:15" x14ac:dyDescent="0.25">
      <c r="A104" s="35" t="s">
        <v>3854</v>
      </c>
      <c r="B104" s="36" t="s">
        <v>3855</v>
      </c>
      <c r="C104" s="36" t="str">
        <f>HYPERLINK("https://rhld.insurance.arkansas.gov/NPILookup?Npi=1093805657","1093805657")</f>
        <v>1093805657</v>
      </c>
      <c r="D104" s="36" t="s">
        <v>32732</v>
      </c>
      <c r="E104" s="36" t="s">
        <v>1</v>
      </c>
      <c r="F104" s="36">
        <v>1</v>
      </c>
      <c r="G104" s="36">
        <v>3</v>
      </c>
      <c r="H104" s="36">
        <v>0</v>
      </c>
      <c r="I104" s="37">
        <v>0</v>
      </c>
      <c r="J104" s="36" t="s">
        <v>32654</v>
      </c>
      <c r="K104" s="36" t="s">
        <v>14330</v>
      </c>
      <c r="L104" s="36" t="s">
        <v>14330</v>
      </c>
      <c r="M104">
        <v>3</v>
      </c>
      <c r="N104" t="s">
        <v>14331</v>
      </c>
      <c r="O104" t="s">
        <v>32633</v>
      </c>
    </row>
    <row r="105" spans="1:15" x14ac:dyDescent="0.25">
      <c r="A105" s="35" t="s">
        <v>3854</v>
      </c>
      <c r="B105" s="36" t="s">
        <v>3855</v>
      </c>
      <c r="C105" s="36" t="str">
        <f>HYPERLINK("https://rhld.insurance.arkansas.gov/NPILookup?Npi=1104874957","1104874957")</f>
        <v>1104874957</v>
      </c>
      <c r="D105" s="36" t="s">
        <v>32733</v>
      </c>
      <c r="E105" s="36" t="s">
        <v>1</v>
      </c>
      <c r="F105" s="36">
        <v>1</v>
      </c>
      <c r="G105" s="36">
        <v>3</v>
      </c>
      <c r="H105" s="36">
        <v>0</v>
      </c>
      <c r="I105" s="37">
        <v>0</v>
      </c>
      <c r="J105" s="36" t="s">
        <v>32654</v>
      </c>
      <c r="K105" s="36" t="s">
        <v>14330</v>
      </c>
      <c r="L105" s="36" t="s">
        <v>14330</v>
      </c>
      <c r="M105">
        <v>3</v>
      </c>
      <c r="N105" t="s">
        <v>14331</v>
      </c>
      <c r="O105" t="s">
        <v>32633</v>
      </c>
    </row>
    <row r="106" spans="1:15" x14ac:dyDescent="0.25">
      <c r="A106" s="35" t="s">
        <v>3854</v>
      </c>
      <c r="B106" s="36" t="s">
        <v>3855</v>
      </c>
      <c r="C106" s="36" t="str">
        <f>HYPERLINK("https://rhld.insurance.arkansas.gov/NPILookup?Npi=1104916600","1104916600")</f>
        <v>1104916600</v>
      </c>
      <c r="D106" s="36" t="s">
        <v>32734</v>
      </c>
      <c r="E106" s="36" t="s">
        <v>1</v>
      </c>
      <c r="F106" s="36">
        <v>1</v>
      </c>
      <c r="G106" s="36">
        <v>3</v>
      </c>
      <c r="H106" s="36">
        <v>0</v>
      </c>
      <c r="I106" s="37">
        <v>0</v>
      </c>
      <c r="J106" s="36" t="s">
        <v>32654</v>
      </c>
      <c r="K106" s="36" t="s">
        <v>14330</v>
      </c>
      <c r="L106" s="36" t="s">
        <v>14330</v>
      </c>
      <c r="M106">
        <v>3</v>
      </c>
      <c r="N106" t="s">
        <v>14331</v>
      </c>
      <c r="O106" t="s">
        <v>32633</v>
      </c>
    </row>
    <row r="107" spans="1:15" x14ac:dyDescent="0.25">
      <c r="A107" s="35" t="s">
        <v>3854</v>
      </c>
      <c r="B107" s="36" t="s">
        <v>3855</v>
      </c>
      <c r="C107" s="36" t="str">
        <f>HYPERLINK("https://rhld.insurance.arkansas.gov/NPILookup?Npi=1134219280","1134219280")</f>
        <v>1134219280</v>
      </c>
      <c r="D107" s="36" t="s">
        <v>32735</v>
      </c>
      <c r="E107" s="36" t="s">
        <v>1</v>
      </c>
      <c r="F107" s="36">
        <v>1</v>
      </c>
      <c r="G107" s="36">
        <v>3</v>
      </c>
      <c r="H107" s="36">
        <v>0</v>
      </c>
      <c r="I107" s="37">
        <v>0</v>
      </c>
      <c r="J107" s="36" t="s">
        <v>32654</v>
      </c>
      <c r="K107" s="36" t="s">
        <v>14330</v>
      </c>
      <c r="L107" s="36" t="s">
        <v>14330</v>
      </c>
      <c r="M107">
        <v>2</v>
      </c>
      <c r="N107" t="s">
        <v>14331</v>
      </c>
      <c r="O107" t="s">
        <v>32633</v>
      </c>
    </row>
    <row r="108" spans="1:15" x14ac:dyDescent="0.25">
      <c r="A108" s="35" t="s">
        <v>3854</v>
      </c>
      <c r="B108" s="36" t="s">
        <v>3855</v>
      </c>
      <c r="C108" s="36" t="str">
        <f>HYPERLINK("https://rhld.insurance.arkansas.gov/NPILookup?Npi=1194704387","1194704387")</f>
        <v>1194704387</v>
      </c>
      <c r="D108" s="36" t="s">
        <v>32736</v>
      </c>
      <c r="E108" s="36" t="s">
        <v>2</v>
      </c>
      <c r="F108" s="36">
        <v>1</v>
      </c>
      <c r="G108" s="36">
        <v>2</v>
      </c>
      <c r="H108" s="36">
        <v>0</v>
      </c>
      <c r="I108" s="37">
        <v>0</v>
      </c>
      <c r="J108" s="36" t="s">
        <v>32679</v>
      </c>
      <c r="K108" s="36" t="s">
        <v>14330</v>
      </c>
      <c r="L108" s="36" t="s">
        <v>14330</v>
      </c>
      <c r="M108">
        <v>1</v>
      </c>
      <c r="N108" t="s">
        <v>14331</v>
      </c>
      <c r="O108" t="s">
        <v>14333</v>
      </c>
    </row>
    <row r="109" spans="1:15" x14ac:dyDescent="0.25">
      <c r="A109" s="35" t="s">
        <v>3854</v>
      </c>
      <c r="B109" s="36" t="s">
        <v>3855</v>
      </c>
      <c r="C109" s="41" t="str">
        <f>HYPERLINK("https://rhld.insurance.arkansas.gov/NPILookup?Npi=1235779349","1235779349")</f>
        <v>1235779349</v>
      </c>
      <c r="D109" s="36" t="s">
        <v>32737</v>
      </c>
      <c r="E109" s="36" t="s">
        <v>2</v>
      </c>
      <c r="F109" s="36">
        <v>1</v>
      </c>
      <c r="G109" s="36">
        <v>1</v>
      </c>
      <c r="H109" s="36">
        <v>0</v>
      </c>
      <c r="I109" s="37">
        <v>0</v>
      </c>
      <c r="J109" s="36" t="s">
        <v>32679</v>
      </c>
      <c r="K109" s="36" t="s">
        <v>14330</v>
      </c>
      <c r="L109" s="36" t="s">
        <v>14330</v>
      </c>
      <c r="M109">
        <v>2</v>
      </c>
      <c r="N109" t="s">
        <v>14332</v>
      </c>
      <c r="O109" t="s">
        <v>32738</v>
      </c>
    </row>
    <row r="110" spans="1:15" x14ac:dyDescent="0.25">
      <c r="A110" s="35" t="s">
        <v>3854</v>
      </c>
      <c r="B110" s="36" t="s">
        <v>3855</v>
      </c>
      <c r="C110" s="36" t="str">
        <f>HYPERLINK("https://rhld.insurance.arkansas.gov/NPILookup?Npi=1245421247","1245421247")</f>
        <v>1245421247</v>
      </c>
      <c r="D110" s="36" t="s">
        <v>32739</v>
      </c>
      <c r="E110" s="36" t="s">
        <v>2</v>
      </c>
      <c r="F110" s="36">
        <v>1</v>
      </c>
      <c r="G110" s="36">
        <v>2</v>
      </c>
      <c r="H110" s="36">
        <v>0</v>
      </c>
      <c r="I110" s="37">
        <v>0</v>
      </c>
      <c r="J110" s="36" t="s">
        <v>32679</v>
      </c>
      <c r="K110" s="36" t="s">
        <v>14330</v>
      </c>
      <c r="L110" s="36" t="s">
        <v>14330</v>
      </c>
      <c r="M110">
        <v>3</v>
      </c>
      <c r="N110" t="s">
        <v>14331</v>
      </c>
      <c r="O110" t="s">
        <v>14333</v>
      </c>
    </row>
    <row r="111" spans="1:15" x14ac:dyDescent="0.25">
      <c r="A111" s="35" t="s">
        <v>3854</v>
      </c>
      <c r="B111" s="36" t="s">
        <v>3855</v>
      </c>
      <c r="C111" s="36" t="str">
        <f>HYPERLINK("https://rhld.insurance.arkansas.gov/NPILookup?Npi=1285640003","1285640003")</f>
        <v>1285640003</v>
      </c>
      <c r="D111" s="36" t="s">
        <v>32740</v>
      </c>
      <c r="E111" s="36" t="s">
        <v>1</v>
      </c>
      <c r="F111" s="36">
        <v>1</v>
      </c>
      <c r="G111" s="36">
        <v>3</v>
      </c>
      <c r="H111" s="36">
        <v>0</v>
      </c>
      <c r="I111" s="37">
        <v>0</v>
      </c>
      <c r="J111" s="36" t="s">
        <v>32654</v>
      </c>
      <c r="K111" s="36" t="s">
        <v>14330</v>
      </c>
      <c r="L111" s="36" t="s">
        <v>14330</v>
      </c>
      <c r="M111">
        <v>3</v>
      </c>
      <c r="N111" t="s">
        <v>14331</v>
      </c>
      <c r="O111" t="s">
        <v>32633</v>
      </c>
    </row>
    <row r="112" spans="1:15" x14ac:dyDescent="0.25">
      <c r="A112" s="35" t="s">
        <v>3854</v>
      </c>
      <c r="B112" s="36" t="s">
        <v>3855</v>
      </c>
      <c r="C112" s="36" t="str">
        <f>HYPERLINK("https://rhld.insurance.arkansas.gov/NPILookup?Npi=1285724849","1285724849")</f>
        <v>1285724849</v>
      </c>
      <c r="D112" s="36" t="s">
        <v>32741</v>
      </c>
      <c r="E112" s="36" t="s">
        <v>1</v>
      </c>
      <c r="F112" s="36">
        <v>1</v>
      </c>
      <c r="G112" s="36">
        <v>3</v>
      </c>
      <c r="H112" s="36">
        <v>0</v>
      </c>
      <c r="I112" s="37">
        <v>0</v>
      </c>
      <c r="J112" s="36" t="s">
        <v>32654</v>
      </c>
      <c r="K112" s="36" t="s">
        <v>14330</v>
      </c>
      <c r="L112" s="36" t="s">
        <v>14330</v>
      </c>
      <c r="M112">
        <v>3</v>
      </c>
      <c r="N112" t="s">
        <v>14331</v>
      </c>
      <c r="O112" t="s">
        <v>32633</v>
      </c>
    </row>
    <row r="113" spans="1:15" x14ac:dyDescent="0.25">
      <c r="A113" s="35" t="s">
        <v>3854</v>
      </c>
      <c r="B113" s="36" t="s">
        <v>3855</v>
      </c>
      <c r="C113" s="36" t="str">
        <f>HYPERLINK("https://rhld.insurance.arkansas.gov/NPILookup?Npi=1295700904","1295700904")</f>
        <v>1295700904</v>
      </c>
      <c r="D113" s="36" t="s">
        <v>32742</v>
      </c>
      <c r="E113" s="36" t="s">
        <v>1</v>
      </c>
      <c r="F113" s="36">
        <v>1</v>
      </c>
      <c r="G113" s="36">
        <v>3</v>
      </c>
      <c r="H113" s="36">
        <v>0</v>
      </c>
      <c r="I113" s="37">
        <v>0</v>
      </c>
      <c r="J113" s="36" t="s">
        <v>32654</v>
      </c>
      <c r="K113" s="36" t="s">
        <v>14330</v>
      </c>
      <c r="L113" s="36" t="s">
        <v>14330</v>
      </c>
      <c r="M113">
        <v>3</v>
      </c>
      <c r="N113" t="s">
        <v>14331</v>
      </c>
      <c r="O113" t="s">
        <v>32633</v>
      </c>
    </row>
    <row r="114" spans="1:15" x14ac:dyDescent="0.25">
      <c r="A114" s="35" t="s">
        <v>3854</v>
      </c>
      <c r="B114" s="36" t="s">
        <v>3855</v>
      </c>
      <c r="C114" s="36" t="str">
        <f>HYPERLINK("https://rhld.insurance.arkansas.gov/NPILookup?Npi=1326022534","1326022534")</f>
        <v>1326022534</v>
      </c>
      <c r="D114" s="36" t="s">
        <v>32743</v>
      </c>
      <c r="E114" s="36" t="s">
        <v>1</v>
      </c>
      <c r="F114" s="36">
        <v>1</v>
      </c>
      <c r="G114" s="36">
        <v>3</v>
      </c>
      <c r="H114" s="36">
        <v>0</v>
      </c>
      <c r="I114" s="37">
        <v>0</v>
      </c>
      <c r="J114" s="36" t="s">
        <v>32654</v>
      </c>
      <c r="K114" s="36" t="s">
        <v>14330</v>
      </c>
      <c r="L114" s="36" t="s">
        <v>14330</v>
      </c>
      <c r="M114">
        <v>1</v>
      </c>
      <c r="N114" t="s">
        <v>14331</v>
      </c>
      <c r="O114" t="s">
        <v>32633</v>
      </c>
    </row>
    <row r="115" spans="1:15" x14ac:dyDescent="0.25">
      <c r="A115" s="35" t="s">
        <v>3854</v>
      </c>
      <c r="B115" s="36" t="s">
        <v>3855</v>
      </c>
      <c r="C115" s="36" t="str">
        <f>HYPERLINK("https://rhld.insurance.arkansas.gov/NPILookup?Npi=1407053036","1407053036")</f>
        <v>1407053036</v>
      </c>
      <c r="D115" s="36" t="s">
        <v>32744</v>
      </c>
      <c r="E115" s="36" t="s">
        <v>2</v>
      </c>
      <c r="F115" s="36">
        <v>1</v>
      </c>
      <c r="G115" s="36">
        <v>1</v>
      </c>
      <c r="H115" s="36">
        <v>0</v>
      </c>
      <c r="I115" s="37">
        <v>0</v>
      </c>
      <c r="J115" s="36" t="s">
        <v>32679</v>
      </c>
      <c r="K115" s="36" t="s">
        <v>14330</v>
      </c>
      <c r="L115" s="36" t="s">
        <v>14330</v>
      </c>
      <c r="M115">
        <v>2</v>
      </c>
      <c r="N115" t="s">
        <v>14331</v>
      </c>
      <c r="O115" t="s">
        <v>32745</v>
      </c>
    </row>
    <row r="116" spans="1:15" x14ac:dyDescent="0.25">
      <c r="A116" s="35" t="s">
        <v>3854</v>
      </c>
      <c r="B116" s="36" t="s">
        <v>3855</v>
      </c>
      <c r="C116" s="36" t="str">
        <f>HYPERLINK("https://rhld.insurance.arkansas.gov/NPILookup?Npi=1417928912","1417928912")</f>
        <v>1417928912</v>
      </c>
      <c r="D116" s="36" t="s">
        <v>32746</v>
      </c>
      <c r="E116" s="36" t="s">
        <v>1</v>
      </c>
      <c r="F116" s="36">
        <v>1</v>
      </c>
      <c r="G116" s="36">
        <v>2</v>
      </c>
      <c r="H116" s="36">
        <v>0</v>
      </c>
      <c r="I116" s="37">
        <v>0</v>
      </c>
      <c r="J116" s="36" t="s">
        <v>32654</v>
      </c>
      <c r="K116" s="36" t="s">
        <v>14330</v>
      </c>
      <c r="L116" s="36" t="s">
        <v>14330</v>
      </c>
      <c r="M116">
        <v>3</v>
      </c>
      <c r="N116" t="s">
        <v>14331</v>
      </c>
      <c r="O116" t="s">
        <v>32633</v>
      </c>
    </row>
    <row r="117" spans="1:15" x14ac:dyDescent="0.25">
      <c r="A117" s="35" t="s">
        <v>3854</v>
      </c>
      <c r="B117" s="36" t="s">
        <v>3855</v>
      </c>
      <c r="C117" s="36" t="str">
        <f>HYPERLINK("https://rhld.insurance.arkansas.gov/NPILookup?Npi=1447216270","1447216270")</f>
        <v>1447216270</v>
      </c>
      <c r="D117" s="36" t="s">
        <v>32747</v>
      </c>
      <c r="E117" s="36" t="s">
        <v>1</v>
      </c>
      <c r="F117" s="36">
        <v>1</v>
      </c>
      <c r="G117" s="36">
        <v>3</v>
      </c>
      <c r="H117" s="36">
        <v>0</v>
      </c>
      <c r="I117" s="37">
        <v>0</v>
      </c>
      <c r="J117" s="36" t="s">
        <v>32654</v>
      </c>
      <c r="K117" s="36" t="s">
        <v>14330</v>
      </c>
      <c r="L117" s="36" t="s">
        <v>14330</v>
      </c>
      <c r="M117">
        <v>2</v>
      </c>
      <c r="N117" t="s">
        <v>14331</v>
      </c>
      <c r="O117" t="s">
        <v>32633</v>
      </c>
    </row>
    <row r="118" spans="1:15" x14ac:dyDescent="0.25">
      <c r="A118" s="35" t="s">
        <v>3854</v>
      </c>
      <c r="B118" s="36" t="s">
        <v>3855</v>
      </c>
      <c r="C118" s="36" t="str">
        <f>HYPERLINK("https://rhld.insurance.arkansas.gov/NPILookup?Npi=1467820928","1467820928")</f>
        <v>1467820928</v>
      </c>
      <c r="D118" s="36" t="s">
        <v>32748</v>
      </c>
      <c r="E118" s="36" t="s">
        <v>1</v>
      </c>
      <c r="F118" s="36">
        <v>1</v>
      </c>
      <c r="G118" s="36">
        <v>2</v>
      </c>
      <c r="H118" s="36">
        <v>0</v>
      </c>
      <c r="I118" s="37">
        <v>0</v>
      </c>
      <c r="J118" s="36" t="s">
        <v>32654</v>
      </c>
      <c r="K118" s="36" t="s">
        <v>14330</v>
      </c>
      <c r="L118" s="36" t="s">
        <v>14330</v>
      </c>
      <c r="M118">
        <v>3</v>
      </c>
      <c r="N118" t="s">
        <v>14331</v>
      </c>
      <c r="O118" t="s">
        <v>32633</v>
      </c>
    </row>
    <row r="119" spans="1:15" x14ac:dyDescent="0.25">
      <c r="A119" s="35" t="s">
        <v>3854</v>
      </c>
      <c r="B119" s="36" t="s">
        <v>3855</v>
      </c>
      <c r="C119" s="36" t="str">
        <f>HYPERLINK("https://rhld.insurance.arkansas.gov/NPILookup?Npi=1508837006","1508837006")</f>
        <v>1508837006</v>
      </c>
      <c r="D119" s="36" t="s">
        <v>32703</v>
      </c>
      <c r="E119" s="36" t="s">
        <v>1</v>
      </c>
      <c r="F119" s="36">
        <v>1</v>
      </c>
      <c r="G119" s="36">
        <v>3</v>
      </c>
      <c r="H119" s="36">
        <v>0</v>
      </c>
      <c r="I119" s="37">
        <v>0</v>
      </c>
      <c r="J119" s="36" t="s">
        <v>32654</v>
      </c>
      <c r="K119" s="36" t="s">
        <v>14330</v>
      </c>
      <c r="L119" s="36" t="s">
        <v>14330</v>
      </c>
      <c r="M119">
        <v>3</v>
      </c>
      <c r="N119" t="s">
        <v>14331</v>
      </c>
      <c r="O119" t="s">
        <v>32633</v>
      </c>
    </row>
    <row r="120" spans="1:15" x14ac:dyDescent="0.25">
      <c r="A120" s="35" t="s">
        <v>3854</v>
      </c>
      <c r="B120" s="36" t="s">
        <v>3855</v>
      </c>
      <c r="C120" s="36" t="str">
        <f>HYPERLINK("https://rhld.insurance.arkansas.gov/NPILookup?Npi=1528289808","1528289808")</f>
        <v>1528289808</v>
      </c>
      <c r="D120" s="36" t="s">
        <v>32749</v>
      </c>
      <c r="E120" s="36" t="s">
        <v>1</v>
      </c>
      <c r="F120" s="36">
        <v>1</v>
      </c>
      <c r="G120" s="36">
        <v>3</v>
      </c>
      <c r="H120" s="36">
        <v>0</v>
      </c>
      <c r="I120" s="37">
        <v>0</v>
      </c>
      <c r="J120" s="36" t="s">
        <v>32654</v>
      </c>
      <c r="K120" s="36" t="s">
        <v>14330</v>
      </c>
      <c r="L120" s="36" t="s">
        <v>14330</v>
      </c>
      <c r="M120">
        <v>3</v>
      </c>
      <c r="N120" t="s">
        <v>14331</v>
      </c>
      <c r="O120" t="s">
        <v>32633</v>
      </c>
    </row>
    <row r="121" spans="1:15" x14ac:dyDescent="0.25">
      <c r="A121" s="35" t="s">
        <v>3854</v>
      </c>
      <c r="B121" s="36" t="s">
        <v>3855</v>
      </c>
      <c r="C121" s="36" t="str">
        <f>HYPERLINK("https://rhld.insurance.arkansas.gov/NPILookup?Npi=1558366443","1558366443")</f>
        <v>1558366443</v>
      </c>
      <c r="D121" s="36" t="s">
        <v>32750</v>
      </c>
      <c r="E121" s="36" t="s">
        <v>1</v>
      </c>
      <c r="F121" s="36">
        <v>1</v>
      </c>
      <c r="G121" s="36">
        <v>3</v>
      </c>
      <c r="H121" s="36">
        <v>0</v>
      </c>
      <c r="I121" s="37">
        <v>0</v>
      </c>
      <c r="J121" s="36" t="s">
        <v>32654</v>
      </c>
      <c r="K121" s="36" t="s">
        <v>14330</v>
      </c>
      <c r="L121" s="36" t="s">
        <v>14330</v>
      </c>
      <c r="M121">
        <v>3</v>
      </c>
      <c r="N121" t="s">
        <v>14331</v>
      </c>
      <c r="O121" t="s">
        <v>32633</v>
      </c>
    </row>
    <row r="122" spans="1:15" x14ac:dyDescent="0.25">
      <c r="A122" s="35" t="s">
        <v>3854</v>
      </c>
      <c r="B122" s="36" t="s">
        <v>3855</v>
      </c>
      <c r="C122" s="36" t="str">
        <f>HYPERLINK("https://rhld.insurance.arkansas.gov/NPILookup?Npi=1558576041","1558576041")</f>
        <v>1558576041</v>
      </c>
      <c r="D122" s="36" t="s">
        <v>32751</v>
      </c>
      <c r="E122" s="36" t="s">
        <v>1</v>
      </c>
      <c r="F122" s="36">
        <v>1</v>
      </c>
      <c r="G122" s="36">
        <v>3</v>
      </c>
      <c r="H122" s="36">
        <v>0</v>
      </c>
      <c r="I122" s="37">
        <v>0</v>
      </c>
      <c r="J122" s="36" t="s">
        <v>32654</v>
      </c>
      <c r="K122" s="36" t="s">
        <v>14330</v>
      </c>
      <c r="L122" s="36" t="s">
        <v>14330</v>
      </c>
      <c r="M122">
        <v>2</v>
      </c>
      <c r="N122" t="s">
        <v>14331</v>
      </c>
      <c r="O122" t="s">
        <v>32633</v>
      </c>
    </row>
    <row r="123" spans="1:15" x14ac:dyDescent="0.25">
      <c r="A123" s="35" t="s">
        <v>3854</v>
      </c>
      <c r="B123" s="36" t="s">
        <v>3855</v>
      </c>
      <c r="C123" s="36" t="str">
        <f>HYPERLINK("https://rhld.insurance.arkansas.gov/NPILookup?Npi=1578529970","1578529970")</f>
        <v>1578529970</v>
      </c>
      <c r="D123" s="36" t="s">
        <v>32752</v>
      </c>
      <c r="E123" s="36" t="s">
        <v>1</v>
      </c>
      <c r="F123" s="36">
        <v>1</v>
      </c>
      <c r="G123" s="36">
        <v>2</v>
      </c>
      <c r="H123" s="36">
        <v>0</v>
      </c>
      <c r="I123" s="37">
        <v>0</v>
      </c>
      <c r="J123" s="36" t="s">
        <v>32654</v>
      </c>
      <c r="K123" s="36" t="s">
        <v>14330</v>
      </c>
      <c r="L123" s="36" t="s">
        <v>14330</v>
      </c>
      <c r="M123">
        <v>3</v>
      </c>
      <c r="N123" t="s">
        <v>14331</v>
      </c>
      <c r="O123" t="s">
        <v>32633</v>
      </c>
    </row>
    <row r="124" spans="1:15" x14ac:dyDescent="0.25">
      <c r="A124" s="35" t="s">
        <v>3854</v>
      </c>
      <c r="B124" s="36" t="s">
        <v>3855</v>
      </c>
      <c r="C124" s="36" t="str">
        <f>HYPERLINK("https://rhld.insurance.arkansas.gov/NPILookup?Npi=1578653077","1578653077")</f>
        <v>1578653077</v>
      </c>
      <c r="D124" s="36" t="s">
        <v>32753</v>
      </c>
      <c r="E124" s="36" t="s">
        <v>1</v>
      </c>
      <c r="F124" s="36">
        <v>1</v>
      </c>
      <c r="G124" s="36">
        <v>3</v>
      </c>
      <c r="H124" s="36">
        <v>0</v>
      </c>
      <c r="I124" s="37">
        <v>0</v>
      </c>
      <c r="J124" s="36" t="s">
        <v>32654</v>
      </c>
      <c r="K124" s="36" t="s">
        <v>14330</v>
      </c>
      <c r="L124" s="36" t="s">
        <v>14330</v>
      </c>
      <c r="M124">
        <v>3</v>
      </c>
      <c r="N124" t="s">
        <v>14331</v>
      </c>
      <c r="O124" t="s">
        <v>32633</v>
      </c>
    </row>
    <row r="125" spans="1:15" x14ac:dyDescent="0.25">
      <c r="A125" s="35" t="s">
        <v>3854</v>
      </c>
      <c r="B125" s="36" t="s">
        <v>3855</v>
      </c>
      <c r="C125" s="36" t="str">
        <f>HYPERLINK("https://rhld.insurance.arkansas.gov/NPILookup?Npi=1588005078","1588005078")</f>
        <v>1588005078</v>
      </c>
      <c r="D125" s="36" t="s">
        <v>32754</v>
      </c>
      <c r="E125" s="36" t="s">
        <v>1</v>
      </c>
      <c r="F125" s="36">
        <v>1</v>
      </c>
      <c r="G125" s="36">
        <v>3</v>
      </c>
      <c r="H125" s="36">
        <v>0</v>
      </c>
      <c r="I125" s="37">
        <v>0</v>
      </c>
      <c r="J125" s="36" t="s">
        <v>32654</v>
      </c>
      <c r="K125" s="36" t="s">
        <v>14330</v>
      </c>
      <c r="L125" s="36" t="s">
        <v>14330</v>
      </c>
      <c r="M125">
        <v>3</v>
      </c>
      <c r="N125" t="s">
        <v>14331</v>
      </c>
      <c r="O125" t="s">
        <v>32633</v>
      </c>
    </row>
    <row r="126" spans="1:15" x14ac:dyDescent="0.25">
      <c r="A126" s="35" t="s">
        <v>3854</v>
      </c>
      <c r="B126" s="36" t="s">
        <v>3855</v>
      </c>
      <c r="C126" s="36" t="str">
        <f>HYPERLINK("https://rhld.insurance.arkansas.gov/NPILookup?Npi=1609072842","1609072842")</f>
        <v>1609072842</v>
      </c>
      <c r="D126" s="36" t="s">
        <v>32755</v>
      </c>
      <c r="E126" s="36" t="s">
        <v>1</v>
      </c>
      <c r="F126" s="36">
        <v>1</v>
      </c>
      <c r="G126" s="36">
        <v>3</v>
      </c>
      <c r="H126" s="36">
        <v>0</v>
      </c>
      <c r="I126" s="37">
        <v>0</v>
      </c>
      <c r="J126" s="36" t="s">
        <v>32654</v>
      </c>
      <c r="K126" s="36" t="s">
        <v>14330</v>
      </c>
      <c r="L126" s="36" t="s">
        <v>14330</v>
      </c>
      <c r="M126">
        <v>2</v>
      </c>
      <c r="N126" t="s">
        <v>14331</v>
      </c>
      <c r="O126" t="s">
        <v>32633</v>
      </c>
    </row>
    <row r="127" spans="1:15" x14ac:dyDescent="0.25">
      <c r="A127" s="35" t="s">
        <v>3854</v>
      </c>
      <c r="B127" s="36" t="s">
        <v>3855</v>
      </c>
      <c r="C127" s="36" t="str">
        <f>HYPERLINK("https://rhld.insurance.arkansas.gov/NPILookup?Npi=1629491246","1629491246")</f>
        <v>1629491246</v>
      </c>
      <c r="D127" s="36" t="s">
        <v>32756</v>
      </c>
      <c r="E127" s="36" t="s">
        <v>2</v>
      </c>
      <c r="F127" s="36">
        <v>1</v>
      </c>
      <c r="G127" s="36">
        <v>2</v>
      </c>
      <c r="H127" s="36">
        <v>0</v>
      </c>
      <c r="I127" s="37">
        <v>0</v>
      </c>
      <c r="J127" s="36" t="s">
        <v>32679</v>
      </c>
      <c r="K127" s="36" t="s">
        <v>14330</v>
      </c>
      <c r="L127" s="36" t="s">
        <v>14330</v>
      </c>
      <c r="M127">
        <v>3</v>
      </c>
      <c r="N127" t="s">
        <v>14331</v>
      </c>
      <c r="O127" t="s">
        <v>14333</v>
      </c>
    </row>
    <row r="128" spans="1:15" x14ac:dyDescent="0.25">
      <c r="A128" s="35" t="s">
        <v>3854</v>
      </c>
      <c r="B128" s="36" t="s">
        <v>3855</v>
      </c>
      <c r="C128" s="36" t="str">
        <f>HYPERLINK("https://rhld.insurance.arkansas.gov/NPILookup?Npi=1649583923","1649583923")</f>
        <v>1649583923</v>
      </c>
      <c r="D128" s="36" t="s">
        <v>32757</v>
      </c>
      <c r="E128" s="36" t="s">
        <v>1</v>
      </c>
      <c r="F128" s="36">
        <v>1</v>
      </c>
      <c r="G128" s="36">
        <v>3</v>
      </c>
      <c r="H128" s="36">
        <v>0</v>
      </c>
      <c r="I128" s="37">
        <v>0</v>
      </c>
      <c r="J128" s="36" t="s">
        <v>32654</v>
      </c>
      <c r="K128" s="36" t="s">
        <v>14330</v>
      </c>
      <c r="L128" s="36" t="s">
        <v>14330</v>
      </c>
      <c r="M128">
        <v>3</v>
      </c>
      <c r="N128" t="s">
        <v>14331</v>
      </c>
      <c r="O128" t="s">
        <v>32633</v>
      </c>
    </row>
    <row r="129" spans="1:15" x14ac:dyDescent="0.25">
      <c r="A129" s="35" t="s">
        <v>3854</v>
      </c>
      <c r="B129" s="36" t="s">
        <v>3855</v>
      </c>
      <c r="C129" s="36" t="str">
        <f>HYPERLINK("https://rhld.insurance.arkansas.gov/NPILookup?Npi=1689026726","1689026726")</f>
        <v>1689026726</v>
      </c>
      <c r="D129" s="36" t="s">
        <v>32758</v>
      </c>
      <c r="E129" s="36" t="s">
        <v>1</v>
      </c>
      <c r="F129" s="36">
        <v>1</v>
      </c>
      <c r="G129" s="36">
        <v>3</v>
      </c>
      <c r="H129" s="36">
        <v>0</v>
      </c>
      <c r="I129" s="37">
        <v>0</v>
      </c>
      <c r="J129" s="36" t="s">
        <v>32723</v>
      </c>
      <c r="K129" s="36" t="s">
        <v>14330</v>
      </c>
      <c r="L129" s="36" t="s">
        <v>14330</v>
      </c>
      <c r="M129">
        <v>3</v>
      </c>
      <c r="N129" t="s">
        <v>14331</v>
      </c>
      <c r="O129" t="s">
        <v>32724</v>
      </c>
    </row>
    <row r="130" spans="1:15" x14ac:dyDescent="0.25">
      <c r="A130" s="35" t="s">
        <v>3854</v>
      </c>
      <c r="B130" s="36" t="s">
        <v>3855</v>
      </c>
      <c r="C130" s="36" t="str">
        <f>HYPERLINK("https://rhld.insurance.arkansas.gov/NPILookup?Npi=1851459697","1851459697")</f>
        <v>1851459697</v>
      </c>
      <c r="D130" s="36" t="s">
        <v>32759</v>
      </c>
      <c r="E130" s="36" t="s">
        <v>1</v>
      </c>
      <c r="F130" s="36">
        <v>1</v>
      </c>
      <c r="G130" s="36">
        <v>3</v>
      </c>
      <c r="H130" s="36">
        <v>0</v>
      </c>
      <c r="I130" s="37">
        <v>0</v>
      </c>
      <c r="J130" s="36" t="s">
        <v>32654</v>
      </c>
      <c r="K130" s="36" t="s">
        <v>14330</v>
      </c>
      <c r="L130" s="36" t="s">
        <v>14330</v>
      </c>
      <c r="M130">
        <v>3</v>
      </c>
      <c r="N130" t="s">
        <v>14331</v>
      </c>
      <c r="O130" t="s">
        <v>32633</v>
      </c>
    </row>
    <row r="131" spans="1:15" x14ac:dyDescent="0.25">
      <c r="A131" s="35" t="s">
        <v>3854</v>
      </c>
      <c r="B131" s="36" t="s">
        <v>3855</v>
      </c>
      <c r="C131" s="36" t="str">
        <f>HYPERLINK("https://rhld.insurance.arkansas.gov/NPILookup?Npi=1871504126","1871504126")</f>
        <v>1871504126</v>
      </c>
      <c r="D131" s="36" t="s">
        <v>32760</v>
      </c>
      <c r="E131" s="36" t="s">
        <v>1</v>
      </c>
      <c r="F131" s="36">
        <v>1</v>
      </c>
      <c r="G131" s="36">
        <v>3</v>
      </c>
      <c r="H131" s="36">
        <v>0</v>
      </c>
      <c r="I131" s="37">
        <v>0</v>
      </c>
      <c r="J131" s="36" t="s">
        <v>32654</v>
      </c>
      <c r="K131" s="36" t="s">
        <v>14330</v>
      </c>
      <c r="L131" s="36" t="s">
        <v>14330</v>
      </c>
      <c r="M131">
        <v>3</v>
      </c>
      <c r="N131" t="s">
        <v>14331</v>
      </c>
      <c r="O131" t="s">
        <v>32633</v>
      </c>
    </row>
    <row r="132" spans="1:15" x14ac:dyDescent="0.25">
      <c r="A132" s="35" t="s">
        <v>3854</v>
      </c>
      <c r="B132" s="36" t="s">
        <v>3855</v>
      </c>
      <c r="C132" s="36" t="str">
        <f>HYPERLINK("https://rhld.insurance.arkansas.gov/NPILookup?Npi=1932589850","1932589850")</f>
        <v>1932589850</v>
      </c>
      <c r="D132" s="36" t="s">
        <v>32761</v>
      </c>
      <c r="E132" s="36" t="s">
        <v>1</v>
      </c>
      <c r="F132" s="36">
        <v>1</v>
      </c>
      <c r="G132" s="36">
        <v>3</v>
      </c>
      <c r="H132" s="36">
        <v>0</v>
      </c>
      <c r="I132" s="37">
        <v>0</v>
      </c>
      <c r="J132" s="36" t="s">
        <v>32654</v>
      </c>
      <c r="K132" s="36" t="s">
        <v>14330</v>
      </c>
      <c r="L132" s="36" t="s">
        <v>14330</v>
      </c>
      <c r="M132">
        <v>3</v>
      </c>
      <c r="N132" t="s">
        <v>14331</v>
      </c>
      <c r="O132" t="s">
        <v>32633</v>
      </c>
    </row>
    <row r="133" spans="1:15" x14ac:dyDescent="0.25">
      <c r="A133" s="35" t="s">
        <v>3854</v>
      </c>
      <c r="B133" s="36" t="s">
        <v>3855</v>
      </c>
      <c r="C133" s="36" t="str">
        <f>HYPERLINK("https://rhld.insurance.arkansas.gov/NPILookup?Npi=1942390513","1942390513")</f>
        <v>1942390513</v>
      </c>
      <c r="D133" s="36" t="s">
        <v>32762</v>
      </c>
      <c r="E133" s="36" t="s">
        <v>1</v>
      </c>
      <c r="F133" s="36">
        <v>1</v>
      </c>
      <c r="G133" s="36">
        <v>3</v>
      </c>
      <c r="H133" s="36">
        <v>0</v>
      </c>
      <c r="I133" s="37">
        <v>0</v>
      </c>
      <c r="J133" s="36" t="s">
        <v>32654</v>
      </c>
      <c r="K133" s="36" t="s">
        <v>14330</v>
      </c>
      <c r="L133" s="36" t="s">
        <v>14330</v>
      </c>
      <c r="M133">
        <v>2</v>
      </c>
      <c r="N133" t="s">
        <v>14331</v>
      </c>
      <c r="O133" t="s">
        <v>32633</v>
      </c>
    </row>
    <row r="134" spans="1:15" x14ac:dyDescent="0.25">
      <c r="A134" s="35" t="s">
        <v>3854</v>
      </c>
      <c r="B134" s="36" t="s">
        <v>3855</v>
      </c>
      <c r="C134" s="36" t="str">
        <f>HYPERLINK("https://rhld.insurance.arkansas.gov/NPILookup?Npi=1992733224","1992733224")</f>
        <v>1992733224</v>
      </c>
      <c r="D134" s="36" t="s">
        <v>32728</v>
      </c>
      <c r="E134" s="36" t="s">
        <v>2</v>
      </c>
      <c r="F134" s="36">
        <v>1</v>
      </c>
      <c r="G134" s="36">
        <v>2</v>
      </c>
      <c r="H134" s="36">
        <v>0</v>
      </c>
      <c r="I134" s="37">
        <v>0</v>
      </c>
      <c r="J134" s="36"/>
      <c r="K134" s="36" t="s">
        <v>14330</v>
      </c>
      <c r="L134" s="36" t="s">
        <v>14330</v>
      </c>
      <c r="M134">
        <v>3</v>
      </c>
      <c r="N134" t="s">
        <v>14331</v>
      </c>
      <c r="O134" t="s">
        <v>14333</v>
      </c>
    </row>
    <row r="135" spans="1:15" x14ac:dyDescent="0.25">
      <c r="A135" s="35" t="s">
        <v>3854</v>
      </c>
      <c r="B135" s="36" t="s">
        <v>3855</v>
      </c>
      <c r="C135" s="36" t="str">
        <f>HYPERLINK("https://rhld.insurance.arkansas.gov/NPILookup?Npi=1992857106","1992857106")</f>
        <v>1992857106</v>
      </c>
      <c r="D135" s="36" t="s">
        <v>32763</v>
      </c>
      <c r="E135" s="36" t="s">
        <v>1</v>
      </c>
      <c r="F135" s="36">
        <v>1</v>
      </c>
      <c r="G135" s="36">
        <v>3</v>
      </c>
      <c r="H135" s="36">
        <v>0</v>
      </c>
      <c r="I135" s="37">
        <v>0</v>
      </c>
      <c r="J135" s="36" t="s">
        <v>32654</v>
      </c>
      <c r="K135" s="36" t="s">
        <v>14330</v>
      </c>
      <c r="L135" s="36" t="s">
        <v>14330</v>
      </c>
      <c r="M135">
        <v>2</v>
      </c>
      <c r="N135" t="s">
        <v>14331</v>
      </c>
      <c r="O135" t="s">
        <v>32633</v>
      </c>
    </row>
    <row r="136" spans="1:15" x14ac:dyDescent="0.25">
      <c r="A136" s="35" t="s">
        <v>3876</v>
      </c>
      <c r="B136" s="36" t="s">
        <v>3877</v>
      </c>
      <c r="C136" s="36" t="str">
        <f>HYPERLINK("https://rhld.insurance.arkansas.gov/NPILookup?Npi=1043819303","1043819303")</f>
        <v>1043819303</v>
      </c>
      <c r="D136" s="36" t="s">
        <v>32764</v>
      </c>
      <c r="E136" s="36" t="s">
        <v>2</v>
      </c>
      <c r="F136" s="36">
        <v>1</v>
      </c>
      <c r="G136" s="36">
        <v>2</v>
      </c>
      <c r="H136" s="36">
        <v>0</v>
      </c>
      <c r="I136" s="37">
        <v>0</v>
      </c>
      <c r="J136" s="36"/>
      <c r="K136" s="36" t="s">
        <v>14330</v>
      </c>
      <c r="L136" s="36" t="s">
        <v>14330</v>
      </c>
      <c r="M136">
        <v>1</v>
      </c>
      <c r="N136" t="s">
        <v>14331</v>
      </c>
      <c r="O136" t="s">
        <v>14333</v>
      </c>
    </row>
    <row r="137" spans="1:15" x14ac:dyDescent="0.25">
      <c r="A137" s="35" t="s">
        <v>3876</v>
      </c>
      <c r="B137" s="36" t="s">
        <v>3877</v>
      </c>
      <c r="C137" s="36" t="str">
        <f>HYPERLINK("https://rhld.insurance.arkansas.gov/NPILookup?Npi=1053107185","1053107185")</f>
        <v>1053107185</v>
      </c>
      <c r="D137" s="36" t="s">
        <v>32765</v>
      </c>
      <c r="E137" s="36" t="s">
        <v>2</v>
      </c>
      <c r="F137" s="36">
        <v>1</v>
      </c>
      <c r="G137" s="36">
        <v>1</v>
      </c>
      <c r="H137" s="36">
        <v>0</v>
      </c>
      <c r="I137" s="37">
        <v>0</v>
      </c>
      <c r="J137" s="36"/>
      <c r="K137" s="36" t="s">
        <v>14330</v>
      </c>
      <c r="L137" s="36" t="s">
        <v>14330</v>
      </c>
      <c r="M137">
        <v>1</v>
      </c>
      <c r="N137" t="s">
        <v>14331</v>
      </c>
      <c r="O137" t="s">
        <v>32745</v>
      </c>
    </row>
    <row r="138" spans="1:15" x14ac:dyDescent="0.25">
      <c r="A138" s="35" t="s">
        <v>3876</v>
      </c>
      <c r="B138" s="36" t="s">
        <v>3877</v>
      </c>
      <c r="C138" s="36" t="str">
        <f>HYPERLINK("https://rhld.insurance.arkansas.gov/NPILookup?Npi=1093510760","1093510760")</f>
        <v>1093510760</v>
      </c>
      <c r="D138" s="36" t="s">
        <v>32766</v>
      </c>
      <c r="E138" s="36" t="s">
        <v>2</v>
      </c>
      <c r="F138" s="36">
        <v>1</v>
      </c>
      <c r="G138" s="36">
        <v>1</v>
      </c>
      <c r="H138" s="36">
        <v>0</v>
      </c>
      <c r="I138" s="37">
        <v>0</v>
      </c>
      <c r="J138" s="36"/>
      <c r="K138" s="36" t="s">
        <v>14330</v>
      </c>
      <c r="L138" s="36" t="s">
        <v>14330</v>
      </c>
      <c r="M138">
        <v>1</v>
      </c>
      <c r="N138" t="s">
        <v>14331</v>
      </c>
      <c r="O138" t="s">
        <v>32745</v>
      </c>
    </row>
    <row r="139" spans="1:15" x14ac:dyDescent="0.25">
      <c r="A139" s="35" t="s">
        <v>3876</v>
      </c>
      <c r="B139" s="36" t="s">
        <v>3877</v>
      </c>
      <c r="C139" s="36" t="str">
        <f>HYPERLINK("https://rhld.insurance.arkansas.gov/NPILookup?Npi=1144950502","1144950502")</f>
        <v>1144950502</v>
      </c>
      <c r="D139" s="36" t="s">
        <v>32767</v>
      </c>
      <c r="E139" s="36" t="s">
        <v>2</v>
      </c>
      <c r="F139" s="36">
        <v>1</v>
      </c>
      <c r="G139" s="36">
        <v>1</v>
      </c>
      <c r="H139" s="36">
        <v>0</v>
      </c>
      <c r="I139" s="37">
        <v>0</v>
      </c>
      <c r="J139" s="36"/>
      <c r="K139" s="36" t="s">
        <v>14330</v>
      </c>
      <c r="L139" s="36" t="s">
        <v>14330</v>
      </c>
      <c r="M139">
        <v>1</v>
      </c>
      <c r="N139" t="s">
        <v>14331</v>
      </c>
      <c r="O139" t="s">
        <v>32745</v>
      </c>
    </row>
    <row r="140" spans="1:15" x14ac:dyDescent="0.25">
      <c r="A140" s="35" t="s">
        <v>3876</v>
      </c>
      <c r="B140" s="36" t="s">
        <v>3877</v>
      </c>
      <c r="C140" s="36" t="str">
        <f>HYPERLINK("https://rhld.insurance.arkansas.gov/NPILookup?Npi=1215765854","1215765854")</f>
        <v>1215765854</v>
      </c>
      <c r="D140" s="36" t="s">
        <v>32768</v>
      </c>
      <c r="E140" s="36" t="s">
        <v>2</v>
      </c>
      <c r="F140" s="36">
        <v>1</v>
      </c>
      <c r="G140" s="36">
        <v>1</v>
      </c>
      <c r="H140" s="36">
        <v>0</v>
      </c>
      <c r="I140" s="37">
        <v>0</v>
      </c>
      <c r="J140" s="36"/>
      <c r="K140" s="36" t="s">
        <v>14330</v>
      </c>
      <c r="L140" s="36" t="s">
        <v>14330</v>
      </c>
      <c r="M140">
        <v>1</v>
      </c>
      <c r="N140" t="s">
        <v>14331</v>
      </c>
      <c r="O140" t="s">
        <v>32745</v>
      </c>
    </row>
    <row r="141" spans="1:15" x14ac:dyDescent="0.25">
      <c r="A141" s="35" t="s">
        <v>3876</v>
      </c>
      <c r="B141" s="36" t="s">
        <v>3877</v>
      </c>
      <c r="C141" s="36" t="str">
        <f>HYPERLINK("https://rhld.insurance.arkansas.gov/NPILookup?Npi=1245203298","1245203298")</f>
        <v>1245203298</v>
      </c>
      <c r="D141" s="36" t="s">
        <v>32769</v>
      </c>
      <c r="E141" s="36" t="s">
        <v>1</v>
      </c>
      <c r="F141" s="36">
        <v>1</v>
      </c>
      <c r="G141" s="36">
        <v>1</v>
      </c>
      <c r="H141" s="36">
        <v>0</v>
      </c>
      <c r="I141" s="37">
        <v>0</v>
      </c>
      <c r="J141" s="36" t="s">
        <v>14335</v>
      </c>
      <c r="K141" s="36" t="s">
        <v>14330</v>
      </c>
      <c r="L141" s="36" t="s">
        <v>14330</v>
      </c>
      <c r="M141">
        <v>2</v>
      </c>
      <c r="N141" t="s">
        <v>14331</v>
      </c>
      <c r="O141" t="s">
        <v>32633</v>
      </c>
    </row>
    <row r="142" spans="1:15" x14ac:dyDescent="0.25">
      <c r="A142" s="35" t="s">
        <v>3876</v>
      </c>
      <c r="B142" s="36" t="s">
        <v>3877</v>
      </c>
      <c r="C142" s="36" t="str">
        <f>HYPERLINK("https://rhld.insurance.arkansas.gov/NPILookup?Npi=1306657127","1306657127")</f>
        <v>1306657127</v>
      </c>
      <c r="D142" s="36" t="s">
        <v>32770</v>
      </c>
      <c r="E142" s="36" t="s">
        <v>2</v>
      </c>
      <c r="F142" s="36">
        <v>1</v>
      </c>
      <c r="G142" s="36">
        <v>2</v>
      </c>
      <c r="H142" s="36">
        <v>0</v>
      </c>
      <c r="I142" s="37">
        <v>0</v>
      </c>
      <c r="J142" s="36"/>
      <c r="K142" s="36" t="s">
        <v>14330</v>
      </c>
      <c r="L142" s="36" t="s">
        <v>14330</v>
      </c>
      <c r="M142">
        <v>1</v>
      </c>
      <c r="N142" t="s">
        <v>14331</v>
      </c>
      <c r="O142" t="s">
        <v>14333</v>
      </c>
    </row>
    <row r="143" spans="1:15" x14ac:dyDescent="0.25">
      <c r="A143" s="35" t="s">
        <v>3876</v>
      </c>
      <c r="B143" s="36" t="s">
        <v>3877</v>
      </c>
      <c r="C143" s="36" t="str">
        <f>HYPERLINK("https://rhld.insurance.arkansas.gov/NPILookup?Npi=1376375915","1376375915")</f>
        <v>1376375915</v>
      </c>
      <c r="D143" s="36" t="s">
        <v>32771</v>
      </c>
      <c r="E143" s="36" t="s">
        <v>2</v>
      </c>
      <c r="F143" s="36">
        <v>1</v>
      </c>
      <c r="G143" s="36">
        <v>1</v>
      </c>
      <c r="H143" s="36">
        <v>0</v>
      </c>
      <c r="I143" s="37">
        <v>0</v>
      </c>
      <c r="J143" s="36"/>
      <c r="K143" s="36" t="s">
        <v>14330</v>
      </c>
      <c r="L143" s="36" t="s">
        <v>14330</v>
      </c>
      <c r="M143">
        <v>1</v>
      </c>
      <c r="N143" t="s">
        <v>14331</v>
      </c>
      <c r="O143" t="s">
        <v>32745</v>
      </c>
    </row>
    <row r="144" spans="1:15" x14ac:dyDescent="0.25">
      <c r="A144" s="35" t="s">
        <v>3876</v>
      </c>
      <c r="B144" s="36" t="s">
        <v>3877</v>
      </c>
      <c r="C144" s="36" t="str">
        <f>HYPERLINK("https://rhld.insurance.arkansas.gov/NPILookup?Npi=1386311199","1386311199")</f>
        <v>1386311199</v>
      </c>
      <c r="D144" s="36" t="s">
        <v>32772</v>
      </c>
      <c r="E144" s="36" t="s">
        <v>2</v>
      </c>
      <c r="F144" s="36">
        <v>1</v>
      </c>
      <c r="G144" s="36">
        <v>1</v>
      </c>
      <c r="H144" s="36">
        <v>0</v>
      </c>
      <c r="I144" s="37">
        <v>0</v>
      </c>
      <c r="J144" s="36"/>
      <c r="K144" s="36" t="s">
        <v>14330</v>
      </c>
      <c r="L144" s="36" t="s">
        <v>14330</v>
      </c>
      <c r="M144">
        <v>1</v>
      </c>
      <c r="N144" t="s">
        <v>14331</v>
      </c>
      <c r="O144" t="s">
        <v>32745</v>
      </c>
    </row>
    <row r="145" spans="1:15" x14ac:dyDescent="0.25">
      <c r="A145" s="35" t="s">
        <v>3876</v>
      </c>
      <c r="B145" s="36" t="s">
        <v>3877</v>
      </c>
      <c r="C145" s="36" t="str">
        <f>HYPERLINK("https://rhld.insurance.arkansas.gov/NPILookup?Npi=1396566675","1396566675")</f>
        <v>1396566675</v>
      </c>
      <c r="D145" s="36" t="s">
        <v>32773</v>
      </c>
      <c r="E145" s="36" t="s">
        <v>2</v>
      </c>
      <c r="F145" s="36">
        <v>1</v>
      </c>
      <c r="G145" s="36">
        <v>1</v>
      </c>
      <c r="H145" s="36">
        <v>0</v>
      </c>
      <c r="I145" s="37">
        <v>0</v>
      </c>
      <c r="J145" s="36"/>
      <c r="K145" s="36" t="s">
        <v>14330</v>
      </c>
      <c r="L145" s="36" t="s">
        <v>14330</v>
      </c>
      <c r="M145">
        <v>1</v>
      </c>
      <c r="N145" t="s">
        <v>14331</v>
      </c>
      <c r="O145" t="s">
        <v>32745</v>
      </c>
    </row>
    <row r="146" spans="1:15" x14ac:dyDescent="0.25">
      <c r="A146" s="35" t="s">
        <v>3876</v>
      </c>
      <c r="B146" s="36" t="s">
        <v>3877</v>
      </c>
      <c r="C146" s="36" t="str">
        <f>HYPERLINK("https://rhld.insurance.arkansas.gov/NPILookup?Npi=1417785296","1417785296")</f>
        <v>1417785296</v>
      </c>
      <c r="D146" s="36" t="s">
        <v>32774</v>
      </c>
      <c r="E146" s="36" t="s">
        <v>2</v>
      </c>
      <c r="F146" s="36">
        <v>1</v>
      </c>
      <c r="G146" s="36">
        <v>1</v>
      </c>
      <c r="H146" s="36">
        <v>0</v>
      </c>
      <c r="I146" s="37">
        <v>0</v>
      </c>
      <c r="J146" s="36"/>
      <c r="K146" s="36" t="s">
        <v>14330</v>
      </c>
      <c r="L146" s="36" t="s">
        <v>14330</v>
      </c>
      <c r="M146">
        <v>1</v>
      </c>
      <c r="N146" t="s">
        <v>14331</v>
      </c>
      <c r="O146" t="s">
        <v>32745</v>
      </c>
    </row>
    <row r="147" spans="1:15" x14ac:dyDescent="0.25">
      <c r="A147" s="35" t="s">
        <v>3876</v>
      </c>
      <c r="B147" s="36" t="s">
        <v>3877</v>
      </c>
      <c r="C147" s="36" t="str">
        <f>HYPERLINK("https://rhld.insurance.arkansas.gov/NPILookup?Npi=1457832743","1457832743")</f>
        <v>1457832743</v>
      </c>
      <c r="D147" s="36" t="s">
        <v>32775</v>
      </c>
      <c r="E147" s="36" t="s">
        <v>2</v>
      </c>
      <c r="F147" s="36">
        <v>1</v>
      </c>
      <c r="G147" s="36">
        <v>1</v>
      </c>
      <c r="H147" s="36">
        <v>0</v>
      </c>
      <c r="I147" s="37">
        <v>0</v>
      </c>
      <c r="J147" s="36"/>
      <c r="K147" s="36" t="s">
        <v>14330</v>
      </c>
      <c r="L147" s="36" t="s">
        <v>14330</v>
      </c>
      <c r="M147">
        <v>1</v>
      </c>
      <c r="N147" t="s">
        <v>14331</v>
      </c>
      <c r="O147" t="s">
        <v>32745</v>
      </c>
    </row>
    <row r="148" spans="1:15" x14ac:dyDescent="0.25">
      <c r="A148" s="35" t="s">
        <v>3876</v>
      </c>
      <c r="B148" s="36" t="s">
        <v>3877</v>
      </c>
      <c r="C148" s="36" t="str">
        <f>HYPERLINK("https://rhld.insurance.arkansas.gov/NPILookup?Npi=1487466959","1487466959")</f>
        <v>1487466959</v>
      </c>
      <c r="D148" s="36" t="s">
        <v>32776</v>
      </c>
      <c r="E148" s="36" t="s">
        <v>2</v>
      </c>
      <c r="F148" s="36">
        <v>1</v>
      </c>
      <c r="G148" s="36">
        <v>1</v>
      </c>
      <c r="H148" s="36">
        <v>0</v>
      </c>
      <c r="I148" s="37">
        <v>0</v>
      </c>
      <c r="J148" s="36"/>
      <c r="K148" s="36" t="s">
        <v>14330</v>
      </c>
      <c r="L148" s="36" t="s">
        <v>14330</v>
      </c>
      <c r="M148">
        <v>1</v>
      </c>
      <c r="N148" t="s">
        <v>14331</v>
      </c>
      <c r="O148" t="s">
        <v>32745</v>
      </c>
    </row>
    <row r="149" spans="1:15" x14ac:dyDescent="0.25">
      <c r="A149" s="35" t="s">
        <v>3876</v>
      </c>
      <c r="B149" s="36" t="s">
        <v>3877</v>
      </c>
      <c r="C149" s="36" t="str">
        <f>HYPERLINK("https://rhld.insurance.arkansas.gov/NPILookup?Npi=1649002213","1649002213")</f>
        <v>1649002213</v>
      </c>
      <c r="D149" s="36" t="s">
        <v>32777</v>
      </c>
      <c r="E149" s="36" t="s">
        <v>2</v>
      </c>
      <c r="F149" s="36">
        <v>1</v>
      </c>
      <c r="G149" s="36">
        <v>1</v>
      </c>
      <c r="H149" s="36">
        <v>0</v>
      </c>
      <c r="I149" s="37">
        <v>0</v>
      </c>
      <c r="J149" s="36"/>
      <c r="K149" s="36" t="s">
        <v>14330</v>
      </c>
      <c r="L149" s="36" t="s">
        <v>14330</v>
      </c>
      <c r="M149">
        <v>1</v>
      </c>
      <c r="N149" t="s">
        <v>14331</v>
      </c>
      <c r="O149" t="s">
        <v>32745</v>
      </c>
    </row>
    <row r="150" spans="1:15" x14ac:dyDescent="0.25">
      <c r="A150" s="35" t="s">
        <v>3876</v>
      </c>
      <c r="B150" s="36" t="s">
        <v>3877</v>
      </c>
      <c r="C150" s="36" t="str">
        <f>HYPERLINK("https://rhld.insurance.arkansas.gov/NPILookup?Npi=1669283354","1669283354")</f>
        <v>1669283354</v>
      </c>
      <c r="D150" s="36" t="s">
        <v>32778</v>
      </c>
      <c r="E150" s="36" t="s">
        <v>2</v>
      </c>
      <c r="F150" s="36">
        <v>1</v>
      </c>
      <c r="G150" s="36">
        <v>1</v>
      </c>
      <c r="H150" s="36">
        <v>0</v>
      </c>
      <c r="I150" s="37">
        <v>0</v>
      </c>
      <c r="J150" s="36"/>
      <c r="K150" s="36" t="s">
        <v>14330</v>
      </c>
      <c r="L150" s="36" t="s">
        <v>14330</v>
      </c>
      <c r="M150">
        <v>1</v>
      </c>
      <c r="N150" t="s">
        <v>14331</v>
      </c>
      <c r="O150" t="s">
        <v>32745</v>
      </c>
    </row>
    <row r="151" spans="1:15" x14ac:dyDescent="0.25">
      <c r="A151" s="35" t="s">
        <v>3876</v>
      </c>
      <c r="B151" s="36" t="s">
        <v>3877</v>
      </c>
      <c r="C151" s="36" t="str">
        <f>HYPERLINK("https://rhld.insurance.arkansas.gov/NPILookup?Npi=1720486699","1720486699")</f>
        <v>1720486699</v>
      </c>
      <c r="D151" s="36" t="s">
        <v>32779</v>
      </c>
      <c r="E151" s="36" t="s">
        <v>2</v>
      </c>
      <c r="F151" s="36">
        <v>1</v>
      </c>
      <c r="G151" s="36">
        <v>1</v>
      </c>
      <c r="H151" s="36">
        <v>0</v>
      </c>
      <c r="I151" s="37">
        <v>0</v>
      </c>
      <c r="J151" s="36"/>
      <c r="K151" s="36" t="s">
        <v>14330</v>
      </c>
      <c r="L151" s="36" t="s">
        <v>14330</v>
      </c>
      <c r="M151">
        <v>1</v>
      </c>
      <c r="N151" t="s">
        <v>14331</v>
      </c>
      <c r="O151" t="s">
        <v>32745</v>
      </c>
    </row>
    <row r="152" spans="1:15" x14ac:dyDescent="0.25">
      <c r="A152" s="35" t="s">
        <v>3876</v>
      </c>
      <c r="B152" s="36" t="s">
        <v>3877</v>
      </c>
      <c r="C152" s="36" t="str">
        <f>HYPERLINK("https://rhld.insurance.arkansas.gov/NPILookup?Npi=1811009285","1811009285")</f>
        <v>1811009285</v>
      </c>
      <c r="D152" s="36" t="s">
        <v>32780</v>
      </c>
      <c r="E152" s="36" t="s">
        <v>1</v>
      </c>
      <c r="F152" s="36">
        <v>1</v>
      </c>
      <c r="G152" s="36">
        <v>1</v>
      </c>
      <c r="H152" s="36">
        <v>0</v>
      </c>
      <c r="I152" s="37">
        <v>0</v>
      </c>
      <c r="J152" s="36" t="s">
        <v>14335</v>
      </c>
      <c r="K152" s="36" t="s">
        <v>14330</v>
      </c>
      <c r="L152" s="36" t="s">
        <v>14330</v>
      </c>
      <c r="M152">
        <v>2</v>
      </c>
      <c r="N152" t="s">
        <v>14331</v>
      </c>
      <c r="O152" t="s">
        <v>32633</v>
      </c>
    </row>
    <row r="153" spans="1:15" x14ac:dyDescent="0.25">
      <c r="A153" s="35" t="s">
        <v>3876</v>
      </c>
      <c r="B153" s="36" t="s">
        <v>3877</v>
      </c>
      <c r="C153" s="36" t="str">
        <f>HYPERLINK("https://rhld.insurance.arkansas.gov/NPILookup?Npi=1881423721","1881423721")</f>
        <v>1881423721</v>
      </c>
      <c r="D153" s="36" t="s">
        <v>32781</v>
      </c>
      <c r="E153" s="36" t="s">
        <v>2</v>
      </c>
      <c r="F153" s="36">
        <v>1</v>
      </c>
      <c r="G153" s="36">
        <v>2</v>
      </c>
      <c r="H153" s="36">
        <v>0</v>
      </c>
      <c r="I153" s="37">
        <v>0</v>
      </c>
      <c r="J153" s="36"/>
      <c r="K153" s="36" t="s">
        <v>14330</v>
      </c>
      <c r="L153" s="36" t="s">
        <v>14330</v>
      </c>
      <c r="M153">
        <v>1</v>
      </c>
      <c r="N153" t="s">
        <v>14331</v>
      </c>
      <c r="O153" t="s">
        <v>14333</v>
      </c>
    </row>
    <row r="154" spans="1:15" x14ac:dyDescent="0.25">
      <c r="A154" s="35" t="s">
        <v>3876</v>
      </c>
      <c r="B154" s="36" t="s">
        <v>3877</v>
      </c>
      <c r="C154" s="36" t="str">
        <f>HYPERLINK("https://rhld.insurance.arkansas.gov/NPILookup?Npi=1942896998","1942896998")</f>
        <v>1942896998</v>
      </c>
      <c r="D154" s="36" t="s">
        <v>32782</v>
      </c>
      <c r="E154" s="36" t="s">
        <v>2</v>
      </c>
      <c r="F154" s="36">
        <v>1</v>
      </c>
      <c r="G154" s="36">
        <v>1</v>
      </c>
      <c r="H154" s="36">
        <v>0</v>
      </c>
      <c r="I154" s="37">
        <v>0</v>
      </c>
      <c r="J154" s="36"/>
      <c r="K154" s="36" t="s">
        <v>14330</v>
      </c>
      <c r="L154" s="36" t="s">
        <v>14330</v>
      </c>
      <c r="M154">
        <v>-2</v>
      </c>
      <c r="N154" t="s">
        <v>14331</v>
      </c>
      <c r="O154" t="s">
        <v>32633</v>
      </c>
    </row>
    <row r="155" spans="1:15" x14ac:dyDescent="0.25">
      <c r="A155" s="35" t="s">
        <v>4039</v>
      </c>
      <c r="B155" s="36" t="s">
        <v>4040</v>
      </c>
      <c r="C155" s="36" t="str">
        <f>HYPERLINK("https://rhld.insurance.arkansas.gov/NPILookup?Npi=1033121512","1033121512")</f>
        <v>1033121512</v>
      </c>
      <c r="D155" s="36" t="s">
        <v>32783</v>
      </c>
      <c r="E155" s="36" t="s">
        <v>1</v>
      </c>
      <c r="F155" s="36">
        <v>1</v>
      </c>
      <c r="G155" s="36">
        <v>0</v>
      </c>
      <c r="H155" s="36">
        <v>2</v>
      </c>
      <c r="I155" s="37">
        <v>1</v>
      </c>
      <c r="J155" s="36" t="s">
        <v>32784</v>
      </c>
      <c r="K155" s="36" t="s">
        <v>14330</v>
      </c>
      <c r="L155" s="36" t="s">
        <v>32785</v>
      </c>
      <c r="M155">
        <v>3</v>
      </c>
      <c r="N155" t="s">
        <v>14332</v>
      </c>
      <c r="O155" s="59" t="s">
        <v>32786</v>
      </c>
    </row>
    <row r="156" spans="1:15" x14ac:dyDescent="0.25">
      <c r="A156" s="35" t="s">
        <v>4039</v>
      </c>
      <c r="B156" s="36" t="s">
        <v>4040</v>
      </c>
      <c r="C156" s="36" t="str">
        <f>HYPERLINK("https://rhld.insurance.arkansas.gov/NPILookup?Npi=1043320831","1043320831")</f>
        <v>1043320831</v>
      </c>
      <c r="D156" s="36" t="s">
        <v>32787</v>
      </c>
      <c r="E156" s="36" t="s">
        <v>1</v>
      </c>
      <c r="F156" s="36">
        <v>1</v>
      </c>
      <c r="G156" s="36">
        <v>3</v>
      </c>
      <c r="H156" s="36">
        <v>0</v>
      </c>
      <c r="I156" s="37">
        <v>0</v>
      </c>
      <c r="J156" s="36" t="s">
        <v>32788</v>
      </c>
      <c r="K156" s="36" t="s">
        <v>14330</v>
      </c>
      <c r="L156" s="36" t="s">
        <v>14330</v>
      </c>
      <c r="M156">
        <v>2</v>
      </c>
      <c r="N156" t="s">
        <v>14331</v>
      </c>
      <c r="O156" t="s">
        <v>32633</v>
      </c>
    </row>
    <row r="157" spans="1:15" x14ac:dyDescent="0.25">
      <c r="A157" s="35" t="s">
        <v>4039</v>
      </c>
      <c r="B157" s="36" t="s">
        <v>4040</v>
      </c>
      <c r="C157" s="36" t="str">
        <f>HYPERLINK("https://rhld.insurance.arkansas.gov/NPILookup?Npi=1053000885","1053000885")</f>
        <v>1053000885</v>
      </c>
      <c r="D157" s="36" t="s">
        <v>32789</v>
      </c>
      <c r="E157" s="36" t="s">
        <v>2</v>
      </c>
      <c r="F157" s="36">
        <v>1</v>
      </c>
      <c r="G157" s="36">
        <v>2</v>
      </c>
      <c r="H157" s="36">
        <v>0</v>
      </c>
      <c r="I157" s="37">
        <v>0</v>
      </c>
      <c r="J157" s="36" t="s">
        <v>14334</v>
      </c>
      <c r="K157" s="36" t="s">
        <v>14330</v>
      </c>
      <c r="L157" s="36" t="s">
        <v>14330</v>
      </c>
      <c r="M157">
        <v>2</v>
      </c>
      <c r="N157" t="s">
        <v>14331</v>
      </c>
      <c r="O157" t="s">
        <v>14333</v>
      </c>
    </row>
    <row r="158" spans="1:15" x14ac:dyDescent="0.25">
      <c r="A158" s="35" t="s">
        <v>4039</v>
      </c>
      <c r="B158" s="36" t="s">
        <v>4040</v>
      </c>
      <c r="C158" s="36" t="str">
        <f>HYPERLINK("https://rhld.insurance.arkansas.gov/NPILookup?Npi=1063190734","1063190734")</f>
        <v>1063190734</v>
      </c>
      <c r="D158" s="36" t="s">
        <v>32790</v>
      </c>
      <c r="E158" s="36" t="s">
        <v>2</v>
      </c>
      <c r="F158" s="36">
        <v>1</v>
      </c>
      <c r="G158" s="36">
        <v>2</v>
      </c>
      <c r="H158" s="36">
        <v>0</v>
      </c>
      <c r="I158" s="37">
        <v>0</v>
      </c>
      <c r="J158" s="36" t="s">
        <v>14334</v>
      </c>
      <c r="K158" s="36" t="s">
        <v>14330</v>
      </c>
      <c r="L158" s="36" t="s">
        <v>14330</v>
      </c>
      <c r="M158">
        <v>3</v>
      </c>
      <c r="N158" t="s">
        <v>14331</v>
      </c>
      <c r="O158" t="s">
        <v>14333</v>
      </c>
    </row>
    <row r="159" spans="1:15" x14ac:dyDescent="0.25">
      <c r="A159" s="35" t="s">
        <v>4039</v>
      </c>
      <c r="B159" s="36" t="s">
        <v>4040</v>
      </c>
      <c r="C159" s="36" t="str">
        <f>HYPERLINK("https://rhld.insurance.arkansas.gov/NPILookup?Npi=1083771638","1083771638")</f>
        <v>1083771638</v>
      </c>
      <c r="D159" s="36" t="s">
        <v>32791</v>
      </c>
      <c r="E159" s="36" t="s">
        <v>2</v>
      </c>
      <c r="F159" s="36">
        <v>1</v>
      </c>
      <c r="G159" s="36">
        <v>3</v>
      </c>
      <c r="H159" s="36">
        <v>0</v>
      </c>
      <c r="I159" s="37">
        <v>0</v>
      </c>
      <c r="J159" s="36" t="s">
        <v>14334</v>
      </c>
      <c r="K159" s="36" t="s">
        <v>14330</v>
      </c>
      <c r="L159" s="36" t="s">
        <v>14330</v>
      </c>
      <c r="M159">
        <v>2</v>
      </c>
      <c r="N159" t="s">
        <v>14331</v>
      </c>
      <c r="O159" t="s">
        <v>14333</v>
      </c>
    </row>
    <row r="160" spans="1:15" x14ac:dyDescent="0.25">
      <c r="A160" s="35" t="s">
        <v>4039</v>
      </c>
      <c r="B160" s="36" t="s">
        <v>4040</v>
      </c>
      <c r="C160" s="36" t="str">
        <f>HYPERLINK("https://rhld.insurance.arkansas.gov/NPILookup?Npi=1104712579","1104712579")</f>
        <v>1104712579</v>
      </c>
      <c r="D160" s="36" t="s">
        <v>32792</v>
      </c>
      <c r="E160" s="36" t="s">
        <v>2</v>
      </c>
      <c r="F160" s="36">
        <v>1</v>
      </c>
      <c r="G160" s="36">
        <v>2</v>
      </c>
      <c r="H160" s="36">
        <v>0</v>
      </c>
      <c r="I160" s="37">
        <v>0</v>
      </c>
      <c r="J160" s="36" t="s">
        <v>14334</v>
      </c>
      <c r="K160" s="36" t="s">
        <v>14330</v>
      </c>
      <c r="L160" s="36" t="s">
        <v>14330</v>
      </c>
      <c r="M160">
        <v>2</v>
      </c>
      <c r="N160" t="s">
        <v>14331</v>
      </c>
      <c r="O160" t="s">
        <v>14333</v>
      </c>
    </row>
    <row r="161" spans="1:15" x14ac:dyDescent="0.25">
      <c r="A161" s="35" t="s">
        <v>4039</v>
      </c>
      <c r="B161" s="36" t="s">
        <v>4040</v>
      </c>
      <c r="C161" s="36" t="str">
        <f>HYPERLINK("https://rhld.insurance.arkansas.gov/NPILookup?Npi=1114447216","1114447216")</f>
        <v>1114447216</v>
      </c>
      <c r="D161" s="36" t="s">
        <v>32793</v>
      </c>
      <c r="E161" s="36" t="s">
        <v>2</v>
      </c>
      <c r="F161" s="36">
        <v>1</v>
      </c>
      <c r="G161" s="36">
        <v>2</v>
      </c>
      <c r="H161" s="36">
        <v>0</v>
      </c>
      <c r="I161" s="37">
        <v>0</v>
      </c>
      <c r="J161" s="36" t="s">
        <v>14334</v>
      </c>
      <c r="K161" s="36" t="s">
        <v>14330</v>
      </c>
      <c r="L161" s="36" t="s">
        <v>14330</v>
      </c>
      <c r="M161">
        <v>3</v>
      </c>
      <c r="N161" t="s">
        <v>14331</v>
      </c>
      <c r="O161" t="s">
        <v>14333</v>
      </c>
    </row>
    <row r="162" spans="1:15" x14ac:dyDescent="0.25">
      <c r="A162" s="35" t="s">
        <v>4039</v>
      </c>
      <c r="B162" s="36" t="s">
        <v>4040</v>
      </c>
      <c r="C162" s="36" t="str">
        <f>HYPERLINK("https://rhld.insurance.arkansas.gov/NPILookup?Npi=1124717327","1124717327")</f>
        <v>1124717327</v>
      </c>
      <c r="D162" s="36" t="s">
        <v>32794</v>
      </c>
      <c r="E162" s="36" t="s">
        <v>2</v>
      </c>
      <c r="F162" s="36">
        <v>2</v>
      </c>
      <c r="G162" s="36">
        <v>3</v>
      </c>
      <c r="H162" s="36">
        <v>0</v>
      </c>
      <c r="I162" s="37">
        <v>0</v>
      </c>
      <c r="J162" s="36" t="s">
        <v>32795</v>
      </c>
      <c r="K162" s="36" t="s">
        <v>14330</v>
      </c>
      <c r="L162" s="36" t="s">
        <v>14330</v>
      </c>
      <c r="M162">
        <v>3</v>
      </c>
      <c r="N162" t="s">
        <v>14331</v>
      </c>
      <c r="O162" t="s">
        <v>14333</v>
      </c>
    </row>
    <row r="163" spans="1:15" x14ac:dyDescent="0.25">
      <c r="A163" s="35" t="s">
        <v>4039</v>
      </c>
      <c r="B163" s="36" t="s">
        <v>4040</v>
      </c>
      <c r="C163" s="36" t="str">
        <f>HYPERLINK("https://rhld.insurance.arkansas.gov/NPILookup?Npi=1144853946","1144853946")</f>
        <v>1144853946</v>
      </c>
      <c r="D163" s="36" t="s">
        <v>32796</v>
      </c>
      <c r="E163" s="36" t="s">
        <v>1</v>
      </c>
      <c r="F163" s="36">
        <v>1</v>
      </c>
      <c r="G163" s="36">
        <v>3</v>
      </c>
      <c r="H163" s="36">
        <v>0</v>
      </c>
      <c r="I163" s="37">
        <v>0</v>
      </c>
      <c r="J163" s="36" t="s">
        <v>32788</v>
      </c>
      <c r="K163" s="36" t="s">
        <v>14330</v>
      </c>
      <c r="L163" s="36" t="s">
        <v>14330</v>
      </c>
      <c r="M163">
        <v>3</v>
      </c>
      <c r="N163" t="s">
        <v>14331</v>
      </c>
      <c r="O163" t="s">
        <v>32633</v>
      </c>
    </row>
    <row r="164" spans="1:15" x14ac:dyDescent="0.25">
      <c r="A164" s="35" t="s">
        <v>4039</v>
      </c>
      <c r="B164" s="36" t="s">
        <v>4040</v>
      </c>
      <c r="C164" s="36" t="str">
        <f>HYPERLINK("https://rhld.insurance.arkansas.gov/NPILookup?Npi=1154214294","1154214294")</f>
        <v>1154214294</v>
      </c>
      <c r="D164" s="36" t="s">
        <v>32797</v>
      </c>
      <c r="E164" s="36" t="s">
        <v>2</v>
      </c>
      <c r="F164" s="36">
        <v>1</v>
      </c>
      <c r="G164" s="36">
        <v>3</v>
      </c>
      <c r="H164" s="36">
        <v>0</v>
      </c>
      <c r="I164" s="37">
        <v>0</v>
      </c>
      <c r="J164" s="36" t="s">
        <v>14334</v>
      </c>
      <c r="K164" s="36" t="s">
        <v>14330</v>
      </c>
      <c r="L164" s="36" t="s">
        <v>14330</v>
      </c>
      <c r="M164">
        <v>3</v>
      </c>
      <c r="N164" t="s">
        <v>14331</v>
      </c>
      <c r="O164" t="s">
        <v>14333</v>
      </c>
    </row>
    <row r="165" spans="1:15" x14ac:dyDescent="0.25">
      <c r="A165" s="35" t="s">
        <v>4039</v>
      </c>
      <c r="B165" s="36" t="s">
        <v>4040</v>
      </c>
      <c r="C165" s="36" t="str">
        <f>HYPERLINK("https://rhld.insurance.arkansas.gov/NPILookup?Npi=1164001533","1164001533")</f>
        <v>1164001533</v>
      </c>
      <c r="D165" s="36" t="s">
        <v>32798</v>
      </c>
      <c r="E165" s="36" t="s">
        <v>2</v>
      </c>
      <c r="F165" s="36">
        <v>2</v>
      </c>
      <c r="G165" s="36">
        <v>3</v>
      </c>
      <c r="H165" s="36">
        <v>0</v>
      </c>
      <c r="I165" s="37">
        <v>0</v>
      </c>
      <c r="J165" s="36" t="s">
        <v>32795</v>
      </c>
      <c r="K165" s="36" t="s">
        <v>14330</v>
      </c>
      <c r="L165" s="36" t="s">
        <v>14330</v>
      </c>
      <c r="M165">
        <v>3</v>
      </c>
      <c r="N165" t="s">
        <v>14331</v>
      </c>
      <c r="O165" t="s">
        <v>14333</v>
      </c>
    </row>
    <row r="166" spans="1:15" x14ac:dyDescent="0.25">
      <c r="A166" s="35" t="s">
        <v>4039</v>
      </c>
      <c r="B166" s="36" t="s">
        <v>4040</v>
      </c>
      <c r="C166" s="36" t="str">
        <f>HYPERLINK("https://rhld.insurance.arkansas.gov/NPILookup?Npi=1194463679","1194463679")</f>
        <v>1194463679</v>
      </c>
      <c r="D166" s="36" t="s">
        <v>32799</v>
      </c>
      <c r="E166" s="36" t="s">
        <v>2</v>
      </c>
      <c r="F166" s="36">
        <v>1</v>
      </c>
      <c r="G166" s="36">
        <v>3</v>
      </c>
      <c r="H166" s="36">
        <v>0</v>
      </c>
      <c r="I166" s="37">
        <v>0</v>
      </c>
      <c r="J166" s="36"/>
      <c r="K166" s="36" t="s">
        <v>14330</v>
      </c>
      <c r="L166" s="36" t="s">
        <v>14330</v>
      </c>
      <c r="M166">
        <v>4</v>
      </c>
      <c r="N166" t="s">
        <v>14331</v>
      </c>
      <c r="O166" t="s">
        <v>14333</v>
      </c>
    </row>
    <row r="167" spans="1:15" x14ac:dyDescent="0.25">
      <c r="A167" s="35" t="s">
        <v>4039</v>
      </c>
      <c r="B167" s="36" t="s">
        <v>4040</v>
      </c>
      <c r="C167" s="36" t="str">
        <f>HYPERLINK("https://rhld.insurance.arkansas.gov/NPILookup?Npi=1225057029","1225057029")</f>
        <v>1225057029</v>
      </c>
      <c r="D167" s="36" t="s">
        <v>32800</v>
      </c>
      <c r="E167" s="36" t="s">
        <v>1</v>
      </c>
      <c r="F167" s="36">
        <v>1</v>
      </c>
      <c r="G167" s="36">
        <v>4</v>
      </c>
      <c r="H167" s="36">
        <v>0</v>
      </c>
      <c r="I167" s="37">
        <v>0</v>
      </c>
      <c r="J167" s="36" t="s">
        <v>32801</v>
      </c>
      <c r="K167" s="36" t="s">
        <v>14330</v>
      </c>
      <c r="L167" s="36" t="s">
        <v>14330</v>
      </c>
      <c r="M167">
        <v>3</v>
      </c>
      <c r="N167" t="s">
        <v>14331</v>
      </c>
      <c r="O167" t="s">
        <v>32633</v>
      </c>
    </row>
    <row r="168" spans="1:15" x14ac:dyDescent="0.25">
      <c r="A168" s="35" t="s">
        <v>4039</v>
      </c>
      <c r="B168" s="36" t="s">
        <v>4040</v>
      </c>
      <c r="C168" s="36" t="str">
        <f>HYPERLINK("https://rhld.insurance.arkansas.gov/NPILookup?Npi=1225820632","1225820632")</f>
        <v>1225820632</v>
      </c>
      <c r="D168" s="36" t="s">
        <v>32802</v>
      </c>
      <c r="E168" s="36" t="s">
        <v>2</v>
      </c>
      <c r="F168" s="36">
        <v>2</v>
      </c>
      <c r="G168" s="36">
        <v>3</v>
      </c>
      <c r="H168" s="36">
        <v>0</v>
      </c>
      <c r="I168" s="37">
        <v>0</v>
      </c>
      <c r="J168" s="36" t="s">
        <v>32795</v>
      </c>
      <c r="K168" s="36" t="s">
        <v>14330</v>
      </c>
      <c r="L168" s="36" t="s">
        <v>14330</v>
      </c>
      <c r="M168">
        <v>3</v>
      </c>
      <c r="N168" t="s">
        <v>14331</v>
      </c>
      <c r="O168" t="s">
        <v>14333</v>
      </c>
    </row>
    <row r="169" spans="1:15" x14ac:dyDescent="0.25">
      <c r="A169" s="35" t="s">
        <v>4039</v>
      </c>
      <c r="B169" s="36" t="s">
        <v>4040</v>
      </c>
      <c r="C169" s="36" t="str">
        <f>HYPERLINK("https://rhld.insurance.arkansas.gov/NPILookup?Npi=1245086958","1245086958")</f>
        <v>1245086958</v>
      </c>
      <c r="D169" s="36" t="s">
        <v>32803</v>
      </c>
      <c r="E169" s="36" t="s">
        <v>2</v>
      </c>
      <c r="F169" s="36">
        <v>2</v>
      </c>
      <c r="G169" s="36">
        <v>3</v>
      </c>
      <c r="H169" s="36">
        <v>0</v>
      </c>
      <c r="I169" s="37">
        <v>0</v>
      </c>
      <c r="J169" s="36" t="s">
        <v>32795</v>
      </c>
      <c r="K169" s="36" t="s">
        <v>14330</v>
      </c>
      <c r="L169" s="36" t="s">
        <v>14330</v>
      </c>
      <c r="M169">
        <v>3</v>
      </c>
      <c r="N169" t="s">
        <v>14331</v>
      </c>
      <c r="O169" t="s">
        <v>14333</v>
      </c>
    </row>
    <row r="170" spans="1:15" x14ac:dyDescent="0.25">
      <c r="A170" s="35" t="s">
        <v>4039</v>
      </c>
      <c r="B170" s="36" t="s">
        <v>4040</v>
      </c>
      <c r="C170" s="36" t="str">
        <f>HYPERLINK("https://rhld.insurance.arkansas.gov/NPILookup?Npi=1245935451","1245935451")</f>
        <v>1245935451</v>
      </c>
      <c r="D170" s="36" t="s">
        <v>32804</v>
      </c>
      <c r="E170" s="36" t="s">
        <v>2</v>
      </c>
      <c r="F170" s="36">
        <v>2</v>
      </c>
      <c r="G170" s="36">
        <v>3</v>
      </c>
      <c r="H170" s="36">
        <v>0</v>
      </c>
      <c r="I170" s="37">
        <v>0</v>
      </c>
      <c r="J170" s="36" t="s">
        <v>32795</v>
      </c>
      <c r="K170" s="36" t="s">
        <v>14330</v>
      </c>
      <c r="L170" s="36" t="s">
        <v>14330</v>
      </c>
      <c r="M170">
        <v>3</v>
      </c>
      <c r="N170" t="s">
        <v>14331</v>
      </c>
      <c r="O170" t="s">
        <v>14333</v>
      </c>
    </row>
    <row r="171" spans="1:15" x14ac:dyDescent="0.25">
      <c r="A171" s="35" t="s">
        <v>4039</v>
      </c>
      <c r="B171" s="36" t="s">
        <v>4040</v>
      </c>
      <c r="C171" s="36" t="str">
        <f>HYPERLINK("https://rhld.insurance.arkansas.gov/NPILookup?Npi=1255227609","1255227609")</f>
        <v>1255227609</v>
      </c>
      <c r="D171" s="36" t="s">
        <v>32805</v>
      </c>
      <c r="E171" s="36" t="s">
        <v>2</v>
      </c>
      <c r="F171" s="36">
        <v>2</v>
      </c>
      <c r="G171" s="36">
        <v>3</v>
      </c>
      <c r="H171" s="36">
        <v>0</v>
      </c>
      <c r="I171" s="37">
        <v>0</v>
      </c>
      <c r="J171" s="36" t="s">
        <v>32795</v>
      </c>
      <c r="K171" s="36" t="s">
        <v>14330</v>
      </c>
      <c r="L171" s="36" t="s">
        <v>14330</v>
      </c>
      <c r="M171">
        <v>3</v>
      </c>
      <c r="N171" t="s">
        <v>14331</v>
      </c>
      <c r="O171" t="s">
        <v>14333</v>
      </c>
    </row>
    <row r="172" spans="1:15" x14ac:dyDescent="0.25">
      <c r="A172" s="35" t="s">
        <v>4039</v>
      </c>
      <c r="B172" s="36" t="s">
        <v>4040</v>
      </c>
      <c r="C172" s="36" t="str">
        <f>HYPERLINK("https://rhld.insurance.arkansas.gov/NPILookup?Npi=1265327407","1265327407")</f>
        <v>1265327407</v>
      </c>
      <c r="D172" s="36" t="s">
        <v>32806</v>
      </c>
      <c r="E172" s="36" t="s">
        <v>2</v>
      </c>
      <c r="F172" s="36">
        <v>2</v>
      </c>
      <c r="G172" s="36">
        <v>3</v>
      </c>
      <c r="H172" s="36">
        <v>0</v>
      </c>
      <c r="I172" s="37">
        <v>0</v>
      </c>
      <c r="J172" s="36" t="s">
        <v>32795</v>
      </c>
      <c r="K172" s="36" t="s">
        <v>14330</v>
      </c>
      <c r="L172" s="36" t="s">
        <v>14330</v>
      </c>
      <c r="M172">
        <v>3</v>
      </c>
      <c r="N172" t="s">
        <v>14331</v>
      </c>
      <c r="O172" t="s">
        <v>14333</v>
      </c>
    </row>
    <row r="173" spans="1:15" x14ac:dyDescent="0.25">
      <c r="A173" s="35" t="s">
        <v>4039</v>
      </c>
      <c r="B173" s="36" t="s">
        <v>4040</v>
      </c>
      <c r="C173" s="36" t="str">
        <f>HYPERLINK("https://rhld.insurance.arkansas.gov/NPILookup?Npi=1295584092","1295584092")</f>
        <v>1295584092</v>
      </c>
      <c r="D173" s="36" t="s">
        <v>32807</v>
      </c>
      <c r="E173" s="36" t="s">
        <v>2</v>
      </c>
      <c r="F173" s="36">
        <v>2</v>
      </c>
      <c r="G173" s="36">
        <v>3</v>
      </c>
      <c r="H173" s="36">
        <v>0</v>
      </c>
      <c r="I173" s="37">
        <v>0</v>
      </c>
      <c r="J173" s="36" t="s">
        <v>32795</v>
      </c>
      <c r="K173" s="36" t="s">
        <v>14330</v>
      </c>
      <c r="L173" s="36" t="s">
        <v>14330</v>
      </c>
      <c r="M173">
        <v>0</v>
      </c>
      <c r="N173" t="s">
        <v>14331</v>
      </c>
      <c r="O173" t="s">
        <v>14333</v>
      </c>
    </row>
    <row r="174" spans="1:15" x14ac:dyDescent="0.25">
      <c r="A174" s="35" t="s">
        <v>4039</v>
      </c>
      <c r="B174" s="36" t="s">
        <v>4040</v>
      </c>
      <c r="C174" s="36" t="str">
        <f>HYPERLINK("https://rhld.insurance.arkansas.gov/NPILookup?Npi=1295806768","1295806768")</f>
        <v>1295806768</v>
      </c>
      <c r="D174" s="36" t="s">
        <v>32808</v>
      </c>
      <c r="E174" s="36" t="s">
        <v>1</v>
      </c>
      <c r="F174" s="36">
        <v>1</v>
      </c>
      <c r="G174" s="36">
        <v>1</v>
      </c>
      <c r="H174" s="36">
        <v>1</v>
      </c>
      <c r="I174" s="37">
        <v>0</v>
      </c>
      <c r="J174" s="36" t="s">
        <v>14</v>
      </c>
      <c r="K174" s="36" t="s">
        <v>14330</v>
      </c>
      <c r="L174" s="36" t="s">
        <v>32809</v>
      </c>
      <c r="M174">
        <v>0</v>
      </c>
      <c r="N174" t="s">
        <v>14332</v>
      </c>
      <c r="O174" t="s">
        <v>32591</v>
      </c>
    </row>
    <row r="175" spans="1:15" x14ac:dyDescent="0.25">
      <c r="A175" s="35" t="s">
        <v>4039</v>
      </c>
      <c r="B175" s="36" t="s">
        <v>4040</v>
      </c>
      <c r="C175" s="36" t="str">
        <f>HYPERLINK("https://rhld.insurance.arkansas.gov/NPILookup?Npi=1316992688","1316992688")</f>
        <v>1316992688</v>
      </c>
      <c r="D175" s="36" t="s">
        <v>32810</v>
      </c>
      <c r="E175" s="36" t="s">
        <v>1</v>
      </c>
      <c r="F175" s="36">
        <v>1</v>
      </c>
      <c r="G175" s="36">
        <v>1</v>
      </c>
      <c r="H175" s="36">
        <v>1</v>
      </c>
      <c r="I175" s="37">
        <v>0</v>
      </c>
      <c r="J175" s="36" t="s">
        <v>14</v>
      </c>
      <c r="K175" s="36" t="s">
        <v>14330</v>
      </c>
      <c r="L175" s="36" t="s">
        <v>32809</v>
      </c>
      <c r="M175">
        <v>3</v>
      </c>
      <c r="N175" t="s">
        <v>14332</v>
      </c>
      <c r="O175" t="s">
        <v>32591</v>
      </c>
    </row>
    <row r="176" spans="1:15" x14ac:dyDescent="0.25">
      <c r="A176" s="35" t="s">
        <v>4039</v>
      </c>
      <c r="B176" s="36" t="s">
        <v>4040</v>
      </c>
      <c r="C176" s="36" t="str">
        <f>HYPERLINK("https://rhld.insurance.arkansas.gov/NPILookup?Npi=1336839075","1336839075")</f>
        <v>1336839075</v>
      </c>
      <c r="D176" s="36" t="s">
        <v>32811</v>
      </c>
      <c r="E176" s="36" t="s">
        <v>2</v>
      </c>
      <c r="F176" s="36">
        <v>1</v>
      </c>
      <c r="G176" s="36">
        <v>3</v>
      </c>
      <c r="H176" s="36">
        <v>0</v>
      </c>
      <c r="I176" s="37">
        <v>0</v>
      </c>
      <c r="J176" s="36" t="s">
        <v>14334</v>
      </c>
      <c r="K176" s="36" t="s">
        <v>14330</v>
      </c>
      <c r="L176" s="36" t="s">
        <v>14330</v>
      </c>
      <c r="M176">
        <v>3</v>
      </c>
      <c r="N176" t="s">
        <v>14331</v>
      </c>
      <c r="O176" t="s">
        <v>14333</v>
      </c>
    </row>
    <row r="177" spans="1:15" x14ac:dyDescent="0.25">
      <c r="A177" s="35" t="s">
        <v>4039</v>
      </c>
      <c r="B177" s="36" t="s">
        <v>4040</v>
      </c>
      <c r="C177" s="36" t="str">
        <f>HYPERLINK("https://rhld.insurance.arkansas.gov/NPILookup?Npi=1346137791","1346137791")</f>
        <v>1346137791</v>
      </c>
      <c r="D177" s="36" t="s">
        <v>32812</v>
      </c>
      <c r="E177" s="36" t="s">
        <v>2</v>
      </c>
      <c r="F177" s="36">
        <v>1</v>
      </c>
      <c r="G177" s="36">
        <v>3</v>
      </c>
      <c r="H177" s="36">
        <v>0</v>
      </c>
      <c r="I177" s="37">
        <v>0</v>
      </c>
      <c r="J177" s="36"/>
      <c r="K177" s="36" t="s">
        <v>14330</v>
      </c>
      <c r="L177" s="36" t="s">
        <v>14330</v>
      </c>
      <c r="M177">
        <v>3</v>
      </c>
      <c r="N177" t="s">
        <v>14331</v>
      </c>
      <c r="O177" t="s">
        <v>14333</v>
      </c>
    </row>
    <row r="178" spans="1:15" x14ac:dyDescent="0.25">
      <c r="A178" s="35" t="s">
        <v>4039</v>
      </c>
      <c r="B178" s="36" t="s">
        <v>4040</v>
      </c>
      <c r="C178" s="36" t="str">
        <f>HYPERLINK("https://rhld.insurance.arkansas.gov/NPILookup?Npi=1346989316","1346989316")</f>
        <v>1346989316</v>
      </c>
      <c r="D178" s="36" t="s">
        <v>32813</v>
      </c>
      <c r="E178" s="36" t="s">
        <v>1</v>
      </c>
      <c r="F178" s="36">
        <v>1</v>
      </c>
      <c r="G178" s="36">
        <v>3</v>
      </c>
      <c r="H178" s="36">
        <v>0</v>
      </c>
      <c r="I178" s="37">
        <v>0</v>
      </c>
      <c r="J178" s="36" t="s">
        <v>32788</v>
      </c>
      <c r="K178" s="36" t="s">
        <v>14330</v>
      </c>
      <c r="L178" s="36" t="s">
        <v>14330</v>
      </c>
      <c r="M178">
        <v>0</v>
      </c>
      <c r="N178" t="s">
        <v>14331</v>
      </c>
      <c r="O178" t="s">
        <v>32633</v>
      </c>
    </row>
    <row r="179" spans="1:15" x14ac:dyDescent="0.25">
      <c r="A179" s="35" t="s">
        <v>4039</v>
      </c>
      <c r="B179" s="36" t="s">
        <v>4040</v>
      </c>
      <c r="C179" s="36" t="str">
        <f>HYPERLINK("https://rhld.insurance.arkansas.gov/NPILookup?Npi=1356809677","1356809677")</f>
        <v>1356809677</v>
      </c>
      <c r="D179" s="36" t="s">
        <v>32814</v>
      </c>
      <c r="E179" s="36" t="s">
        <v>1</v>
      </c>
      <c r="F179" s="36">
        <v>1</v>
      </c>
      <c r="G179" s="36">
        <v>1</v>
      </c>
      <c r="H179" s="36">
        <v>1</v>
      </c>
      <c r="I179" s="37">
        <v>0</v>
      </c>
      <c r="J179" s="36" t="s">
        <v>32788</v>
      </c>
      <c r="K179" s="36" t="s">
        <v>14330</v>
      </c>
      <c r="L179" s="36" t="s">
        <v>32815</v>
      </c>
      <c r="M179">
        <v>3</v>
      </c>
      <c r="N179" t="s">
        <v>14332</v>
      </c>
      <c r="O179" t="s">
        <v>32591</v>
      </c>
    </row>
    <row r="180" spans="1:15" x14ac:dyDescent="0.25">
      <c r="A180" s="35" t="s">
        <v>4039</v>
      </c>
      <c r="B180" s="36" t="s">
        <v>4040</v>
      </c>
      <c r="C180" s="36" t="str">
        <f>HYPERLINK("https://rhld.insurance.arkansas.gov/NPILookup?Npi=1366252371","1366252371")</f>
        <v>1366252371</v>
      </c>
      <c r="D180" s="36" t="s">
        <v>32816</v>
      </c>
      <c r="E180" s="36" t="s">
        <v>2</v>
      </c>
      <c r="F180" s="36">
        <v>1</v>
      </c>
      <c r="G180" s="36">
        <v>3</v>
      </c>
      <c r="H180" s="36">
        <v>0</v>
      </c>
      <c r="I180" s="37">
        <v>0</v>
      </c>
      <c r="J180" s="36" t="s">
        <v>14334</v>
      </c>
      <c r="K180" s="36" t="s">
        <v>14330</v>
      </c>
      <c r="L180" s="36" t="s">
        <v>14330</v>
      </c>
      <c r="M180">
        <v>1</v>
      </c>
      <c r="N180" t="s">
        <v>14331</v>
      </c>
      <c r="O180" t="s">
        <v>14333</v>
      </c>
    </row>
    <row r="181" spans="1:15" x14ac:dyDescent="0.25">
      <c r="A181" s="35" t="s">
        <v>4039</v>
      </c>
      <c r="B181" s="36" t="s">
        <v>4040</v>
      </c>
      <c r="C181" s="36" t="str">
        <f>HYPERLINK("https://rhld.insurance.arkansas.gov/NPILookup?Npi=1366772287","1366772287")</f>
        <v>1366772287</v>
      </c>
      <c r="D181" s="36" t="s">
        <v>32817</v>
      </c>
      <c r="E181" s="36" t="s">
        <v>1</v>
      </c>
      <c r="F181" s="36">
        <v>1</v>
      </c>
      <c r="G181" s="36">
        <v>2</v>
      </c>
      <c r="H181" s="36">
        <v>1</v>
      </c>
      <c r="I181" s="37">
        <v>0</v>
      </c>
      <c r="J181" s="36" t="s">
        <v>32788</v>
      </c>
      <c r="K181" s="36" t="s">
        <v>14330</v>
      </c>
      <c r="L181" s="36" t="s">
        <v>32818</v>
      </c>
      <c r="M181">
        <v>3</v>
      </c>
      <c r="N181" t="s">
        <v>14332</v>
      </c>
      <c r="O181" t="s">
        <v>32591</v>
      </c>
    </row>
    <row r="182" spans="1:15" x14ac:dyDescent="0.25">
      <c r="A182" s="35" t="s">
        <v>4039</v>
      </c>
      <c r="B182" s="36" t="s">
        <v>4040</v>
      </c>
      <c r="C182" s="36" t="str">
        <f>HYPERLINK("https://rhld.insurance.arkansas.gov/NPILookup?Npi=1376657502","1376657502")</f>
        <v>1376657502</v>
      </c>
      <c r="D182" s="36" t="s">
        <v>32819</v>
      </c>
      <c r="E182" s="36" t="s">
        <v>1</v>
      </c>
      <c r="F182" s="36">
        <v>1</v>
      </c>
      <c r="G182" s="36">
        <v>3</v>
      </c>
      <c r="H182" s="36">
        <v>0</v>
      </c>
      <c r="I182" s="37">
        <v>0</v>
      </c>
      <c r="J182" s="36" t="s">
        <v>32788</v>
      </c>
      <c r="K182" s="36" t="s">
        <v>14330</v>
      </c>
      <c r="L182" s="36" t="s">
        <v>14330</v>
      </c>
      <c r="M182">
        <v>3</v>
      </c>
      <c r="N182" t="s">
        <v>14331</v>
      </c>
      <c r="O182" t="s">
        <v>32633</v>
      </c>
    </row>
    <row r="183" spans="1:15" x14ac:dyDescent="0.25">
      <c r="A183" s="35" t="s">
        <v>4039</v>
      </c>
      <c r="B183" s="36" t="s">
        <v>4040</v>
      </c>
      <c r="C183" s="36" t="str">
        <f>HYPERLINK("https://rhld.insurance.arkansas.gov/NPILookup?Npi=1386706224","1386706224")</f>
        <v>1386706224</v>
      </c>
      <c r="D183" s="36" t="s">
        <v>32820</v>
      </c>
      <c r="E183" s="36" t="s">
        <v>1</v>
      </c>
      <c r="F183" s="36">
        <v>1</v>
      </c>
      <c r="G183" s="36">
        <v>3</v>
      </c>
      <c r="H183" s="36">
        <v>0</v>
      </c>
      <c r="I183" s="37">
        <v>0</v>
      </c>
      <c r="J183" s="36" t="s">
        <v>32788</v>
      </c>
      <c r="K183" s="36" t="s">
        <v>14330</v>
      </c>
      <c r="L183" s="36" t="s">
        <v>14330</v>
      </c>
      <c r="M183">
        <v>3</v>
      </c>
      <c r="N183" t="s">
        <v>14331</v>
      </c>
      <c r="O183" t="s">
        <v>32633</v>
      </c>
    </row>
    <row r="184" spans="1:15" x14ac:dyDescent="0.25">
      <c r="A184" s="35" t="s">
        <v>4039</v>
      </c>
      <c r="B184" s="36" t="s">
        <v>4040</v>
      </c>
      <c r="C184" s="36" t="str">
        <f>HYPERLINK("https://rhld.insurance.arkansas.gov/NPILookup?Npi=1386726362","1386726362")</f>
        <v>1386726362</v>
      </c>
      <c r="D184" s="36" t="s">
        <v>32821</v>
      </c>
      <c r="E184" s="36" t="s">
        <v>1</v>
      </c>
      <c r="F184" s="36">
        <v>1</v>
      </c>
      <c r="G184" s="36">
        <v>3</v>
      </c>
      <c r="H184" s="36">
        <v>0</v>
      </c>
      <c r="I184" s="37">
        <v>0</v>
      </c>
      <c r="J184" s="36" t="s">
        <v>32788</v>
      </c>
      <c r="K184" s="36" t="s">
        <v>14330</v>
      </c>
      <c r="L184" s="36" t="s">
        <v>14330</v>
      </c>
      <c r="M184">
        <v>2</v>
      </c>
      <c r="N184" t="s">
        <v>14331</v>
      </c>
      <c r="O184" t="s">
        <v>32633</v>
      </c>
    </row>
    <row r="185" spans="1:15" x14ac:dyDescent="0.25">
      <c r="A185" s="35" t="s">
        <v>4039</v>
      </c>
      <c r="B185" s="36" t="s">
        <v>4040</v>
      </c>
      <c r="C185" s="36" t="str">
        <f>HYPERLINK("https://rhld.insurance.arkansas.gov/NPILookup?Npi=1396188116","1396188116")</f>
        <v>1396188116</v>
      </c>
      <c r="D185" s="36" t="s">
        <v>32822</v>
      </c>
      <c r="E185" s="36" t="s">
        <v>2</v>
      </c>
      <c r="F185" s="36">
        <v>1</v>
      </c>
      <c r="G185" s="36">
        <v>2</v>
      </c>
      <c r="H185" s="36">
        <v>0</v>
      </c>
      <c r="I185" s="37">
        <v>0</v>
      </c>
      <c r="J185" s="36" t="s">
        <v>14334</v>
      </c>
      <c r="K185" s="36" t="s">
        <v>14330</v>
      </c>
      <c r="L185" s="36" t="s">
        <v>14330</v>
      </c>
      <c r="M185">
        <v>0</v>
      </c>
      <c r="N185" t="s">
        <v>14331</v>
      </c>
      <c r="O185" t="s">
        <v>14333</v>
      </c>
    </row>
    <row r="186" spans="1:15" x14ac:dyDescent="0.25">
      <c r="A186" s="35" t="s">
        <v>4039</v>
      </c>
      <c r="B186" s="36" t="s">
        <v>4040</v>
      </c>
      <c r="C186" s="41" t="str">
        <f>HYPERLINK("https://rhld.insurance.arkansas.gov/NPILookup?Npi=1396474011","1396474011")</f>
        <v>1396474011</v>
      </c>
      <c r="D186" s="36" t="s">
        <v>32823</v>
      </c>
      <c r="E186" s="36" t="s">
        <v>1</v>
      </c>
      <c r="F186" s="36">
        <v>1</v>
      </c>
      <c r="G186" s="36">
        <v>1</v>
      </c>
      <c r="H186" s="36">
        <v>1</v>
      </c>
      <c r="I186" s="37">
        <v>0</v>
      </c>
      <c r="J186" s="36" t="s">
        <v>32788</v>
      </c>
      <c r="K186" s="36" t="s">
        <v>14330</v>
      </c>
      <c r="L186" s="36" t="s">
        <v>32815</v>
      </c>
      <c r="M186">
        <v>3</v>
      </c>
      <c r="N186" t="s">
        <v>14332</v>
      </c>
      <c r="O186" t="s">
        <v>32591</v>
      </c>
    </row>
    <row r="187" spans="1:15" x14ac:dyDescent="0.25">
      <c r="A187" s="35" t="s">
        <v>4039</v>
      </c>
      <c r="B187" s="36" t="s">
        <v>4040</v>
      </c>
      <c r="C187" s="36" t="str">
        <f>HYPERLINK("https://rhld.insurance.arkansas.gov/NPILookup?Npi=1407238090","1407238090")</f>
        <v>1407238090</v>
      </c>
      <c r="D187" s="36" t="s">
        <v>32824</v>
      </c>
      <c r="E187" s="36" t="s">
        <v>1</v>
      </c>
      <c r="F187" s="36">
        <v>1</v>
      </c>
      <c r="G187" s="36">
        <v>3</v>
      </c>
      <c r="H187" s="36">
        <v>0</v>
      </c>
      <c r="I187" s="37">
        <v>0</v>
      </c>
      <c r="J187" s="36" t="s">
        <v>32788</v>
      </c>
      <c r="K187" s="36" t="s">
        <v>14330</v>
      </c>
      <c r="L187" s="36" t="s">
        <v>14330</v>
      </c>
      <c r="M187">
        <v>3</v>
      </c>
      <c r="N187" t="s">
        <v>14331</v>
      </c>
      <c r="O187" t="s">
        <v>32633</v>
      </c>
    </row>
    <row r="188" spans="1:15" x14ac:dyDescent="0.25">
      <c r="A188" s="35" t="s">
        <v>4039</v>
      </c>
      <c r="B188" s="36" t="s">
        <v>4040</v>
      </c>
      <c r="C188" s="36" t="str">
        <f>HYPERLINK("https://rhld.insurance.arkansas.gov/NPILookup?Npi=1407917800","1407917800")</f>
        <v>1407917800</v>
      </c>
      <c r="D188" s="36" t="s">
        <v>31239</v>
      </c>
      <c r="E188" s="36" t="s">
        <v>1</v>
      </c>
      <c r="F188" s="36">
        <v>1</v>
      </c>
      <c r="G188" s="36">
        <v>3</v>
      </c>
      <c r="H188" s="36">
        <v>0</v>
      </c>
      <c r="I188" s="37">
        <v>0</v>
      </c>
      <c r="J188" s="36" t="s">
        <v>32788</v>
      </c>
      <c r="K188" s="36" t="s">
        <v>14330</v>
      </c>
      <c r="L188" s="36" t="s">
        <v>14330</v>
      </c>
      <c r="M188">
        <v>1</v>
      </c>
      <c r="N188" t="s">
        <v>14331</v>
      </c>
      <c r="O188" t="s">
        <v>32633</v>
      </c>
    </row>
    <row r="189" spans="1:15" x14ac:dyDescent="0.25">
      <c r="A189" s="35" t="s">
        <v>4039</v>
      </c>
      <c r="B189" s="36" t="s">
        <v>4040</v>
      </c>
      <c r="C189" s="36" t="str">
        <f>HYPERLINK("https://rhld.insurance.arkansas.gov/NPILookup?Npi=1417565482","1417565482")</f>
        <v>1417565482</v>
      </c>
      <c r="D189" s="36" t="s">
        <v>32825</v>
      </c>
      <c r="E189" s="36" t="s">
        <v>1</v>
      </c>
      <c r="F189" s="36">
        <v>1</v>
      </c>
      <c r="G189" s="36">
        <v>2</v>
      </c>
      <c r="H189" s="36">
        <v>1</v>
      </c>
      <c r="I189" s="37">
        <v>0</v>
      </c>
      <c r="J189" s="36" t="s">
        <v>32788</v>
      </c>
      <c r="K189" s="36" t="s">
        <v>14330</v>
      </c>
      <c r="L189" s="36" t="s">
        <v>32826</v>
      </c>
      <c r="M189">
        <v>3</v>
      </c>
      <c r="N189" t="s">
        <v>14332</v>
      </c>
      <c r="O189" t="s">
        <v>32591</v>
      </c>
    </row>
    <row r="190" spans="1:15" x14ac:dyDescent="0.25">
      <c r="A190" s="35" t="s">
        <v>4039</v>
      </c>
      <c r="B190" s="36" t="s">
        <v>4040</v>
      </c>
      <c r="C190" s="36" t="str">
        <f>HYPERLINK("https://rhld.insurance.arkansas.gov/NPILookup?Npi=1417792839","1417792839")</f>
        <v>1417792839</v>
      </c>
      <c r="D190" s="36" t="s">
        <v>32827</v>
      </c>
      <c r="E190" s="36" t="s">
        <v>2</v>
      </c>
      <c r="F190" s="36">
        <v>1</v>
      </c>
      <c r="G190" s="36">
        <v>3</v>
      </c>
      <c r="H190" s="36">
        <v>0</v>
      </c>
      <c r="I190" s="37">
        <v>0</v>
      </c>
      <c r="J190" s="36"/>
      <c r="K190" s="36" t="s">
        <v>14330</v>
      </c>
      <c r="L190" s="36" t="s">
        <v>14330</v>
      </c>
      <c r="M190">
        <v>2</v>
      </c>
      <c r="N190" t="s">
        <v>14331</v>
      </c>
      <c r="O190" t="s">
        <v>14333</v>
      </c>
    </row>
    <row r="191" spans="1:15" x14ac:dyDescent="0.25">
      <c r="A191" s="35" t="s">
        <v>4039</v>
      </c>
      <c r="B191" s="36" t="s">
        <v>4040</v>
      </c>
      <c r="C191" s="36" t="str">
        <f>HYPERLINK("https://rhld.insurance.arkansas.gov/NPILookup?Npi=1427060979","1427060979")</f>
        <v>1427060979</v>
      </c>
      <c r="D191" s="36" t="s">
        <v>32828</v>
      </c>
      <c r="E191" s="36" t="s">
        <v>1</v>
      </c>
      <c r="F191" s="36">
        <v>1</v>
      </c>
      <c r="G191" s="36">
        <v>2</v>
      </c>
      <c r="H191" s="36">
        <v>0</v>
      </c>
      <c r="I191" s="37">
        <v>0</v>
      </c>
      <c r="J191" s="36" t="s">
        <v>32788</v>
      </c>
      <c r="K191" s="36" t="s">
        <v>14330</v>
      </c>
      <c r="L191" s="36" t="s">
        <v>14330</v>
      </c>
      <c r="M191">
        <v>3</v>
      </c>
      <c r="N191" t="s">
        <v>14331</v>
      </c>
      <c r="O191" t="s">
        <v>32633</v>
      </c>
    </row>
    <row r="192" spans="1:15" x14ac:dyDescent="0.25">
      <c r="A192" s="35" t="s">
        <v>4039</v>
      </c>
      <c r="B192" s="36" t="s">
        <v>4040</v>
      </c>
      <c r="C192" s="36" t="str">
        <f>HYPERLINK("https://rhld.insurance.arkansas.gov/NPILookup?Npi=1427431261","1427431261")</f>
        <v>1427431261</v>
      </c>
      <c r="D192" s="36" t="s">
        <v>32829</v>
      </c>
      <c r="E192" s="36" t="s">
        <v>1</v>
      </c>
      <c r="F192" s="36">
        <v>1</v>
      </c>
      <c r="G192" s="36">
        <v>3</v>
      </c>
      <c r="H192" s="36">
        <v>0</v>
      </c>
      <c r="I192" s="37">
        <v>0</v>
      </c>
      <c r="J192" s="36" t="s">
        <v>32788</v>
      </c>
      <c r="K192" s="36" t="s">
        <v>14330</v>
      </c>
      <c r="L192" s="36" t="s">
        <v>14330</v>
      </c>
      <c r="M192">
        <v>1</v>
      </c>
      <c r="N192" t="s">
        <v>14331</v>
      </c>
      <c r="O192" t="s">
        <v>32633</v>
      </c>
    </row>
    <row r="193" spans="1:15" x14ac:dyDescent="0.25">
      <c r="A193" s="35" t="s">
        <v>4039</v>
      </c>
      <c r="B193" s="36" t="s">
        <v>4040</v>
      </c>
      <c r="C193" s="36" t="str">
        <f>HYPERLINK("https://rhld.insurance.arkansas.gov/NPILookup?Npi=1427476191","1427476191")</f>
        <v>1427476191</v>
      </c>
      <c r="D193" s="36" t="s">
        <v>32830</v>
      </c>
      <c r="E193" s="36" t="s">
        <v>1</v>
      </c>
      <c r="F193" s="36">
        <v>1</v>
      </c>
      <c r="G193" s="36">
        <v>2</v>
      </c>
      <c r="H193" s="36">
        <v>1</v>
      </c>
      <c r="I193" s="37">
        <v>0</v>
      </c>
      <c r="J193" s="36" t="s">
        <v>32788</v>
      </c>
      <c r="K193" s="36" t="s">
        <v>14330</v>
      </c>
      <c r="L193" s="36" t="s">
        <v>32818</v>
      </c>
      <c r="M193">
        <v>3</v>
      </c>
      <c r="N193" t="s">
        <v>14332</v>
      </c>
      <c r="O193" t="s">
        <v>32591</v>
      </c>
    </row>
    <row r="194" spans="1:15" x14ac:dyDescent="0.25">
      <c r="A194" s="35" t="s">
        <v>4039</v>
      </c>
      <c r="B194" s="36" t="s">
        <v>4040</v>
      </c>
      <c r="C194" s="36" t="str">
        <f>HYPERLINK("https://rhld.insurance.arkansas.gov/NPILookup?Npi=1437144458","1437144458")</f>
        <v>1437144458</v>
      </c>
      <c r="D194" s="36" t="s">
        <v>31240</v>
      </c>
      <c r="E194" s="36" t="s">
        <v>1</v>
      </c>
      <c r="F194" s="36">
        <v>1</v>
      </c>
      <c r="G194" s="36">
        <v>3</v>
      </c>
      <c r="H194" s="36">
        <v>0</v>
      </c>
      <c r="I194" s="37">
        <v>0</v>
      </c>
      <c r="J194" s="36" t="s">
        <v>32788</v>
      </c>
      <c r="K194" s="36" t="s">
        <v>14330</v>
      </c>
      <c r="L194" s="36" t="s">
        <v>14330</v>
      </c>
      <c r="M194">
        <v>3</v>
      </c>
      <c r="N194" t="s">
        <v>14331</v>
      </c>
      <c r="O194" t="s">
        <v>32633</v>
      </c>
    </row>
    <row r="195" spans="1:15" x14ac:dyDescent="0.25">
      <c r="A195" s="35" t="s">
        <v>4039</v>
      </c>
      <c r="B195" s="36" t="s">
        <v>4040</v>
      </c>
      <c r="C195" s="36" t="str">
        <f>HYPERLINK("https://rhld.insurance.arkansas.gov/NPILookup?Npi=1437739018","1437739018")</f>
        <v>1437739018</v>
      </c>
      <c r="D195" s="36" t="s">
        <v>32831</v>
      </c>
      <c r="E195" s="36" t="s">
        <v>1</v>
      </c>
      <c r="F195" s="36">
        <v>1</v>
      </c>
      <c r="G195" s="36">
        <v>3</v>
      </c>
      <c r="H195" s="36">
        <v>0</v>
      </c>
      <c r="I195" s="37">
        <v>0</v>
      </c>
      <c r="J195" s="36" t="s">
        <v>32788</v>
      </c>
      <c r="K195" s="36" t="s">
        <v>14330</v>
      </c>
      <c r="L195" s="36" t="s">
        <v>14330</v>
      </c>
      <c r="M195">
        <v>3</v>
      </c>
      <c r="N195" t="s">
        <v>14331</v>
      </c>
      <c r="O195" t="s">
        <v>32633</v>
      </c>
    </row>
    <row r="196" spans="1:15" x14ac:dyDescent="0.25">
      <c r="A196" s="35" t="s">
        <v>4039</v>
      </c>
      <c r="B196" s="36" t="s">
        <v>4040</v>
      </c>
      <c r="C196" s="36" t="str">
        <f>HYPERLINK("https://rhld.insurance.arkansas.gov/NPILookup?Npi=1447217369","1447217369")</f>
        <v>1447217369</v>
      </c>
      <c r="D196" s="36" t="s">
        <v>32832</v>
      </c>
      <c r="E196" s="36" t="s">
        <v>1</v>
      </c>
      <c r="F196" s="36">
        <v>1</v>
      </c>
      <c r="G196" s="36">
        <v>3</v>
      </c>
      <c r="H196" s="36">
        <v>0</v>
      </c>
      <c r="I196" s="37">
        <v>0</v>
      </c>
      <c r="J196" s="36" t="s">
        <v>32788</v>
      </c>
      <c r="K196" s="36" t="s">
        <v>14330</v>
      </c>
      <c r="L196" s="36" t="s">
        <v>14330</v>
      </c>
      <c r="M196">
        <v>3</v>
      </c>
      <c r="N196" t="s">
        <v>14331</v>
      </c>
      <c r="O196" t="s">
        <v>32633</v>
      </c>
    </row>
    <row r="197" spans="1:15" x14ac:dyDescent="0.25">
      <c r="A197" s="35" t="s">
        <v>4039</v>
      </c>
      <c r="B197" s="36" t="s">
        <v>4040</v>
      </c>
      <c r="C197" s="36" t="str">
        <f>HYPERLINK("https://rhld.insurance.arkansas.gov/NPILookup?Npi=1447357264","1447357264")</f>
        <v>1447357264</v>
      </c>
      <c r="D197" s="36" t="s">
        <v>32833</v>
      </c>
      <c r="E197" s="36" t="s">
        <v>1</v>
      </c>
      <c r="F197" s="36">
        <v>1</v>
      </c>
      <c r="G197" s="36">
        <v>3</v>
      </c>
      <c r="H197" s="36">
        <v>0</v>
      </c>
      <c r="I197" s="37">
        <v>0</v>
      </c>
      <c r="J197" s="36" t="s">
        <v>32788</v>
      </c>
      <c r="K197" s="36" t="s">
        <v>14330</v>
      </c>
      <c r="L197" s="36" t="s">
        <v>14330</v>
      </c>
      <c r="M197">
        <v>3</v>
      </c>
      <c r="N197" t="s">
        <v>14331</v>
      </c>
      <c r="O197" t="s">
        <v>32633</v>
      </c>
    </row>
    <row r="198" spans="1:15" x14ac:dyDescent="0.25">
      <c r="A198" s="35" t="s">
        <v>4039</v>
      </c>
      <c r="B198" s="36" t="s">
        <v>4040</v>
      </c>
      <c r="C198" s="36" t="str">
        <f>HYPERLINK("https://rhld.insurance.arkansas.gov/NPILookup?Npi=1447383567","1447383567")</f>
        <v>1447383567</v>
      </c>
      <c r="D198" s="36" t="s">
        <v>32834</v>
      </c>
      <c r="E198" s="36" t="s">
        <v>1</v>
      </c>
      <c r="F198" s="36">
        <v>1</v>
      </c>
      <c r="G198" s="36">
        <v>3</v>
      </c>
      <c r="H198" s="36">
        <v>0</v>
      </c>
      <c r="I198" s="37">
        <v>0</v>
      </c>
      <c r="J198" s="36" t="s">
        <v>32788</v>
      </c>
      <c r="K198" s="36" t="s">
        <v>14330</v>
      </c>
      <c r="L198" s="36" t="s">
        <v>14330</v>
      </c>
      <c r="M198">
        <v>2</v>
      </c>
      <c r="N198" t="s">
        <v>14331</v>
      </c>
      <c r="O198" t="s">
        <v>32633</v>
      </c>
    </row>
    <row r="199" spans="1:15" x14ac:dyDescent="0.25">
      <c r="A199" s="35" t="s">
        <v>4039</v>
      </c>
      <c r="B199" s="36" t="s">
        <v>4040</v>
      </c>
      <c r="C199" s="36" t="str">
        <f>HYPERLINK("https://rhld.insurance.arkansas.gov/NPILookup?Npi=1457960239","1457960239")</f>
        <v>1457960239</v>
      </c>
      <c r="D199" s="36" t="s">
        <v>32835</v>
      </c>
      <c r="E199" s="36" t="s">
        <v>1</v>
      </c>
      <c r="F199" s="36">
        <v>1</v>
      </c>
      <c r="G199" s="36">
        <v>2</v>
      </c>
      <c r="H199" s="36">
        <v>0</v>
      </c>
      <c r="I199" s="37">
        <v>0</v>
      </c>
      <c r="J199" s="36" t="s">
        <v>32788</v>
      </c>
      <c r="K199" s="36" t="s">
        <v>14330</v>
      </c>
      <c r="L199" s="36" t="s">
        <v>14330</v>
      </c>
      <c r="M199">
        <v>3</v>
      </c>
      <c r="N199" t="s">
        <v>14331</v>
      </c>
      <c r="O199" t="s">
        <v>32633</v>
      </c>
    </row>
    <row r="200" spans="1:15" x14ac:dyDescent="0.25">
      <c r="A200" s="35" t="s">
        <v>4039</v>
      </c>
      <c r="B200" s="36" t="s">
        <v>4040</v>
      </c>
      <c r="C200" s="36" t="str">
        <f>HYPERLINK("https://rhld.insurance.arkansas.gov/NPILookup?Npi=1467474791","1467474791")</f>
        <v>1467474791</v>
      </c>
      <c r="D200" s="36" t="s">
        <v>32836</v>
      </c>
      <c r="E200" s="36" t="s">
        <v>2</v>
      </c>
      <c r="F200" s="36">
        <v>2</v>
      </c>
      <c r="G200" s="36">
        <v>3</v>
      </c>
      <c r="H200" s="36">
        <v>0</v>
      </c>
      <c r="I200" s="37">
        <v>0</v>
      </c>
      <c r="J200" s="36" t="s">
        <v>32795</v>
      </c>
      <c r="K200" s="36" t="s">
        <v>14330</v>
      </c>
      <c r="L200" s="36" t="s">
        <v>14330</v>
      </c>
      <c r="M200">
        <v>3</v>
      </c>
      <c r="N200" t="s">
        <v>14331</v>
      </c>
      <c r="O200" t="s">
        <v>14333</v>
      </c>
    </row>
    <row r="201" spans="1:15" x14ac:dyDescent="0.25">
      <c r="A201" s="35" t="s">
        <v>4039</v>
      </c>
      <c r="B201" s="36" t="s">
        <v>4040</v>
      </c>
      <c r="C201" s="36" t="str">
        <f>HYPERLINK("https://rhld.insurance.arkansas.gov/NPILookup?Npi=1487130969","1487130969")</f>
        <v>1487130969</v>
      </c>
      <c r="D201" s="36" t="s">
        <v>32837</v>
      </c>
      <c r="E201" s="36" t="s">
        <v>2</v>
      </c>
      <c r="F201" s="36">
        <v>1</v>
      </c>
      <c r="G201" s="36">
        <v>3</v>
      </c>
      <c r="H201" s="36">
        <v>0</v>
      </c>
      <c r="I201" s="37">
        <v>0</v>
      </c>
      <c r="J201" s="36" t="s">
        <v>14334</v>
      </c>
      <c r="K201" s="36" t="s">
        <v>14330</v>
      </c>
      <c r="L201" s="36" t="s">
        <v>14330</v>
      </c>
      <c r="M201">
        <v>3</v>
      </c>
      <c r="N201" t="s">
        <v>14331</v>
      </c>
      <c r="O201" t="s">
        <v>14333</v>
      </c>
    </row>
    <row r="202" spans="1:15" x14ac:dyDescent="0.25">
      <c r="A202" s="35" t="s">
        <v>4039</v>
      </c>
      <c r="B202" s="36" t="s">
        <v>4040</v>
      </c>
      <c r="C202" s="36" t="str">
        <f>HYPERLINK("https://rhld.insurance.arkansas.gov/NPILookup?Npi=1487829420","1487829420")</f>
        <v>1487829420</v>
      </c>
      <c r="D202" s="36" t="s">
        <v>32838</v>
      </c>
      <c r="E202" s="36" t="s">
        <v>1</v>
      </c>
      <c r="F202" s="36">
        <v>1</v>
      </c>
      <c r="G202" s="36">
        <v>3</v>
      </c>
      <c r="H202" s="36">
        <v>0</v>
      </c>
      <c r="I202" s="37">
        <v>0</v>
      </c>
      <c r="J202" s="36" t="s">
        <v>32788</v>
      </c>
      <c r="K202" s="36" t="s">
        <v>14330</v>
      </c>
      <c r="L202" s="36" t="s">
        <v>14330</v>
      </c>
      <c r="M202">
        <v>3</v>
      </c>
      <c r="N202" t="s">
        <v>14331</v>
      </c>
      <c r="O202" t="s">
        <v>32633</v>
      </c>
    </row>
    <row r="203" spans="1:15" x14ac:dyDescent="0.25">
      <c r="A203" s="35" t="s">
        <v>4039</v>
      </c>
      <c r="B203" s="36" t="s">
        <v>4040</v>
      </c>
      <c r="C203" s="36" t="str">
        <f>HYPERLINK("https://rhld.insurance.arkansas.gov/NPILookup?Npi=1497826366","1497826366")</f>
        <v>1497826366</v>
      </c>
      <c r="D203" s="36" t="s">
        <v>32839</v>
      </c>
      <c r="E203" s="36" t="s">
        <v>1</v>
      </c>
      <c r="F203" s="36">
        <v>1</v>
      </c>
      <c r="G203" s="36">
        <v>3</v>
      </c>
      <c r="H203" s="36">
        <v>0</v>
      </c>
      <c r="I203" s="37">
        <v>0</v>
      </c>
      <c r="J203" s="36" t="s">
        <v>32788</v>
      </c>
      <c r="K203" s="36" t="s">
        <v>14330</v>
      </c>
      <c r="L203" s="36" t="s">
        <v>14330</v>
      </c>
      <c r="M203">
        <v>3</v>
      </c>
      <c r="N203" t="s">
        <v>14331</v>
      </c>
      <c r="O203" t="s">
        <v>32633</v>
      </c>
    </row>
    <row r="204" spans="1:15" x14ac:dyDescent="0.25">
      <c r="A204" s="35" t="s">
        <v>4039</v>
      </c>
      <c r="B204" s="36" t="s">
        <v>4040</v>
      </c>
      <c r="C204" s="36" t="str">
        <f>HYPERLINK("https://rhld.insurance.arkansas.gov/NPILookup?Npi=1508434515","1508434515")</f>
        <v>1508434515</v>
      </c>
      <c r="D204" s="36" t="s">
        <v>32840</v>
      </c>
      <c r="E204" s="36" t="s">
        <v>1</v>
      </c>
      <c r="F204" s="36">
        <v>1</v>
      </c>
      <c r="G204" s="36">
        <v>3</v>
      </c>
      <c r="H204" s="36">
        <v>0</v>
      </c>
      <c r="I204" s="37">
        <v>0</v>
      </c>
      <c r="J204" s="36" t="s">
        <v>32788</v>
      </c>
      <c r="K204" s="36" t="s">
        <v>14330</v>
      </c>
      <c r="L204" s="36" t="s">
        <v>14330</v>
      </c>
      <c r="M204">
        <v>3</v>
      </c>
      <c r="N204" t="s">
        <v>14331</v>
      </c>
      <c r="O204" t="s">
        <v>32633</v>
      </c>
    </row>
    <row r="205" spans="1:15" x14ac:dyDescent="0.25">
      <c r="A205" s="35" t="s">
        <v>4039</v>
      </c>
      <c r="B205" s="36" t="s">
        <v>4040</v>
      </c>
      <c r="C205" s="36" t="str">
        <f>HYPERLINK("https://rhld.insurance.arkansas.gov/NPILookup?Npi=1508564774","1508564774")</f>
        <v>1508564774</v>
      </c>
      <c r="D205" s="36" t="s">
        <v>32841</v>
      </c>
      <c r="E205" s="36" t="s">
        <v>2</v>
      </c>
      <c r="F205" s="36">
        <v>2</v>
      </c>
      <c r="G205" s="36">
        <v>3</v>
      </c>
      <c r="H205" s="36">
        <v>0</v>
      </c>
      <c r="I205" s="37">
        <v>0</v>
      </c>
      <c r="J205" s="36" t="s">
        <v>32795</v>
      </c>
      <c r="K205" s="36" t="s">
        <v>14330</v>
      </c>
      <c r="L205" s="36" t="s">
        <v>14330</v>
      </c>
      <c r="M205">
        <v>3</v>
      </c>
      <c r="N205" t="s">
        <v>14331</v>
      </c>
      <c r="O205" t="s">
        <v>14333</v>
      </c>
    </row>
    <row r="206" spans="1:15" x14ac:dyDescent="0.25">
      <c r="A206" s="35" t="s">
        <v>4039</v>
      </c>
      <c r="B206" s="36" t="s">
        <v>4040</v>
      </c>
      <c r="C206" s="36" t="str">
        <f>HYPERLINK("https://rhld.insurance.arkansas.gov/NPILookup?Npi=1518434398","1518434398")</f>
        <v>1518434398</v>
      </c>
      <c r="D206" s="36" t="s">
        <v>32842</v>
      </c>
      <c r="E206" s="36" t="s">
        <v>1</v>
      </c>
      <c r="F206" s="36">
        <v>1</v>
      </c>
      <c r="G206" s="36">
        <v>3</v>
      </c>
      <c r="H206" s="36">
        <v>0</v>
      </c>
      <c r="I206" s="37">
        <v>0</v>
      </c>
      <c r="J206" s="36" t="s">
        <v>32788</v>
      </c>
      <c r="K206" s="36" t="s">
        <v>14330</v>
      </c>
      <c r="L206" s="36" t="s">
        <v>14330</v>
      </c>
      <c r="M206">
        <v>3</v>
      </c>
      <c r="N206" t="s">
        <v>14331</v>
      </c>
      <c r="O206" t="s">
        <v>32633</v>
      </c>
    </row>
    <row r="207" spans="1:15" x14ac:dyDescent="0.25">
      <c r="A207" s="35" t="s">
        <v>4039</v>
      </c>
      <c r="B207" s="36" t="s">
        <v>4040</v>
      </c>
      <c r="C207" s="36" t="str">
        <f>HYPERLINK("https://rhld.insurance.arkansas.gov/NPILookup?Npi=1528086352","1528086352")</f>
        <v>1528086352</v>
      </c>
      <c r="D207" s="36" t="s">
        <v>32843</v>
      </c>
      <c r="E207" s="36" t="s">
        <v>1</v>
      </c>
      <c r="F207" s="36">
        <v>1</v>
      </c>
      <c r="G207" s="36">
        <v>3</v>
      </c>
      <c r="H207" s="36">
        <v>0</v>
      </c>
      <c r="I207" s="37">
        <v>0</v>
      </c>
      <c r="J207" s="36" t="s">
        <v>32788</v>
      </c>
      <c r="K207" s="36" t="s">
        <v>14330</v>
      </c>
      <c r="L207" s="36" t="s">
        <v>14330</v>
      </c>
      <c r="M207">
        <v>3</v>
      </c>
      <c r="N207" t="s">
        <v>14331</v>
      </c>
      <c r="O207" t="s">
        <v>32633</v>
      </c>
    </row>
    <row r="208" spans="1:15" x14ac:dyDescent="0.25">
      <c r="A208" s="35" t="s">
        <v>4039</v>
      </c>
      <c r="B208" s="36" t="s">
        <v>4040</v>
      </c>
      <c r="C208" s="36" t="str">
        <f>HYPERLINK("https://rhld.insurance.arkansas.gov/NPILookup?Npi=1548060593","1548060593")</f>
        <v>1548060593</v>
      </c>
      <c r="D208" s="36" t="s">
        <v>32844</v>
      </c>
      <c r="E208" s="36" t="s">
        <v>2</v>
      </c>
      <c r="F208" s="36">
        <v>1</v>
      </c>
      <c r="G208" s="36">
        <v>3</v>
      </c>
      <c r="H208" s="36">
        <v>0</v>
      </c>
      <c r="I208" s="37">
        <v>0</v>
      </c>
      <c r="J208" s="36" t="s">
        <v>14334</v>
      </c>
      <c r="K208" s="36" t="s">
        <v>14330</v>
      </c>
      <c r="L208" s="36" t="s">
        <v>14330</v>
      </c>
      <c r="M208">
        <v>3</v>
      </c>
      <c r="N208" t="s">
        <v>14331</v>
      </c>
      <c r="O208" t="s">
        <v>14333</v>
      </c>
    </row>
    <row r="209" spans="1:15" x14ac:dyDescent="0.25">
      <c r="A209" s="35" t="s">
        <v>4039</v>
      </c>
      <c r="B209" s="36" t="s">
        <v>4040</v>
      </c>
      <c r="C209" s="36" t="str">
        <f>HYPERLINK("https://rhld.insurance.arkansas.gov/NPILookup?Npi=1548249089","1548249089")</f>
        <v>1548249089</v>
      </c>
      <c r="D209" s="36" t="s">
        <v>32845</v>
      </c>
      <c r="E209" s="36" t="s">
        <v>1</v>
      </c>
      <c r="F209" s="36">
        <v>1</v>
      </c>
      <c r="G209" s="36">
        <v>3</v>
      </c>
      <c r="H209" s="36">
        <v>0</v>
      </c>
      <c r="I209" s="37">
        <v>0</v>
      </c>
      <c r="J209" s="36" t="s">
        <v>32788</v>
      </c>
      <c r="K209" s="36" t="s">
        <v>14330</v>
      </c>
      <c r="L209" s="36" t="s">
        <v>14330</v>
      </c>
      <c r="M209">
        <v>1</v>
      </c>
      <c r="N209" t="s">
        <v>14331</v>
      </c>
      <c r="O209" t="s">
        <v>32633</v>
      </c>
    </row>
    <row r="210" spans="1:15" x14ac:dyDescent="0.25">
      <c r="A210" s="35" t="s">
        <v>4039</v>
      </c>
      <c r="B210" s="36" t="s">
        <v>4040</v>
      </c>
      <c r="C210" s="36" t="str">
        <f>HYPERLINK("https://rhld.insurance.arkansas.gov/NPILookup?Npi=1548296445","1548296445")</f>
        <v>1548296445</v>
      </c>
      <c r="D210" s="36" t="s">
        <v>32846</v>
      </c>
      <c r="E210" s="36" t="s">
        <v>1</v>
      </c>
      <c r="F210" s="36">
        <v>1</v>
      </c>
      <c r="G210" s="36">
        <v>2</v>
      </c>
      <c r="H210" s="36">
        <v>1</v>
      </c>
      <c r="I210" s="37">
        <v>0</v>
      </c>
      <c r="J210" s="36" t="s">
        <v>32788</v>
      </c>
      <c r="K210" s="36" t="s">
        <v>14330</v>
      </c>
      <c r="L210" s="36" t="s">
        <v>32818</v>
      </c>
      <c r="M210">
        <v>1</v>
      </c>
      <c r="N210" t="s">
        <v>14332</v>
      </c>
      <c r="O210" t="s">
        <v>32591</v>
      </c>
    </row>
    <row r="211" spans="1:15" x14ac:dyDescent="0.25">
      <c r="A211" s="35" t="s">
        <v>4039</v>
      </c>
      <c r="B211" s="36" t="s">
        <v>4040</v>
      </c>
      <c r="C211" s="36" t="str">
        <f>HYPERLINK("https://rhld.insurance.arkansas.gov/NPILookup?Npi=1558051797","1558051797")</f>
        <v>1558051797</v>
      </c>
      <c r="D211" s="36" t="s">
        <v>32847</v>
      </c>
      <c r="E211" s="36" t="s">
        <v>2</v>
      </c>
      <c r="F211" s="36">
        <v>1</v>
      </c>
      <c r="G211" s="36">
        <v>2</v>
      </c>
      <c r="H211" s="36">
        <v>1</v>
      </c>
      <c r="I211" s="37">
        <v>0</v>
      </c>
      <c r="J211" s="36"/>
      <c r="K211" s="36" t="s">
        <v>14330</v>
      </c>
      <c r="L211" s="36" t="s">
        <v>31238</v>
      </c>
      <c r="M211">
        <v>2</v>
      </c>
      <c r="N211" t="s">
        <v>14331</v>
      </c>
      <c r="O211" t="s">
        <v>14333</v>
      </c>
    </row>
    <row r="212" spans="1:15" x14ac:dyDescent="0.25">
      <c r="A212" s="35" t="s">
        <v>4039</v>
      </c>
      <c r="B212" s="36" t="s">
        <v>4040</v>
      </c>
      <c r="C212" s="36" t="str">
        <f>HYPERLINK("https://rhld.insurance.arkansas.gov/NPILookup?Npi=1558556027","1558556027")</f>
        <v>1558556027</v>
      </c>
      <c r="D212" s="36" t="s">
        <v>32848</v>
      </c>
      <c r="E212" s="36" t="s">
        <v>1</v>
      </c>
      <c r="F212" s="36">
        <v>1</v>
      </c>
      <c r="G212" s="36">
        <v>2</v>
      </c>
      <c r="H212" s="36">
        <v>0</v>
      </c>
      <c r="I212" s="37">
        <v>0</v>
      </c>
      <c r="J212" s="36" t="s">
        <v>32788</v>
      </c>
      <c r="K212" s="36" t="s">
        <v>14330</v>
      </c>
      <c r="L212" s="36" t="s">
        <v>14330</v>
      </c>
      <c r="M212">
        <v>2</v>
      </c>
      <c r="N212" t="s">
        <v>14331</v>
      </c>
      <c r="O212" t="s">
        <v>32633</v>
      </c>
    </row>
    <row r="213" spans="1:15" x14ac:dyDescent="0.25">
      <c r="A213" s="35" t="s">
        <v>4039</v>
      </c>
      <c r="B213" s="36" t="s">
        <v>4040</v>
      </c>
      <c r="C213" s="36" t="str">
        <f>HYPERLINK("https://rhld.insurance.arkansas.gov/NPILookup?Npi=1558884197","1558884197")</f>
        <v>1558884197</v>
      </c>
      <c r="D213" s="36" t="s">
        <v>32849</v>
      </c>
      <c r="E213" s="36" t="s">
        <v>1</v>
      </c>
      <c r="F213" s="36">
        <v>1</v>
      </c>
      <c r="G213" s="36">
        <v>2</v>
      </c>
      <c r="H213" s="36">
        <v>0</v>
      </c>
      <c r="I213" s="37">
        <v>0</v>
      </c>
      <c r="J213" s="36" t="s">
        <v>32788</v>
      </c>
      <c r="K213" s="36" t="s">
        <v>14330</v>
      </c>
      <c r="L213" s="36" t="s">
        <v>14330</v>
      </c>
      <c r="M213">
        <v>3</v>
      </c>
      <c r="N213" t="s">
        <v>14331</v>
      </c>
      <c r="O213" t="s">
        <v>32633</v>
      </c>
    </row>
    <row r="214" spans="1:15" x14ac:dyDescent="0.25">
      <c r="A214" s="35" t="s">
        <v>4039</v>
      </c>
      <c r="B214" s="36" t="s">
        <v>4040</v>
      </c>
      <c r="C214" s="36" t="str">
        <f>HYPERLINK("https://rhld.insurance.arkansas.gov/NPILookup?Npi=1558918722","1558918722")</f>
        <v>1558918722</v>
      </c>
      <c r="D214" s="36" t="s">
        <v>32850</v>
      </c>
      <c r="E214" s="36" t="s">
        <v>1</v>
      </c>
      <c r="F214" s="36">
        <v>1</v>
      </c>
      <c r="G214" s="36">
        <v>3</v>
      </c>
      <c r="H214" s="36">
        <v>0</v>
      </c>
      <c r="I214" s="37">
        <v>0</v>
      </c>
      <c r="J214" s="36" t="s">
        <v>32788</v>
      </c>
      <c r="K214" s="36" t="s">
        <v>14330</v>
      </c>
      <c r="L214" s="36" t="s">
        <v>14330</v>
      </c>
      <c r="M214">
        <v>3</v>
      </c>
      <c r="N214" t="s">
        <v>14331</v>
      </c>
      <c r="O214" t="s">
        <v>32633</v>
      </c>
    </row>
    <row r="215" spans="1:15" x14ac:dyDescent="0.25">
      <c r="A215" s="35" t="s">
        <v>4039</v>
      </c>
      <c r="B215" s="36" t="s">
        <v>4040</v>
      </c>
      <c r="C215" s="36" t="str">
        <f>HYPERLINK("https://rhld.insurance.arkansas.gov/NPILookup?Npi=1568782274","1568782274")</f>
        <v>1568782274</v>
      </c>
      <c r="D215" s="36" t="s">
        <v>32851</v>
      </c>
      <c r="E215" s="36" t="s">
        <v>1</v>
      </c>
      <c r="F215" s="36">
        <v>1</v>
      </c>
      <c r="G215" s="36">
        <v>3</v>
      </c>
      <c r="H215" s="36">
        <v>0</v>
      </c>
      <c r="I215" s="37">
        <v>0</v>
      </c>
      <c r="J215" s="36" t="s">
        <v>32788</v>
      </c>
      <c r="K215" s="36" t="s">
        <v>14330</v>
      </c>
      <c r="L215" s="36" t="s">
        <v>14330</v>
      </c>
      <c r="M215">
        <v>3</v>
      </c>
      <c r="N215" t="s">
        <v>14331</v>
      </c>
      <c r="O215" t="s">
        <v>32633</v>
      </c>
    </row>
    <row r="216" spans="1:15" x14ac:dyDescent="0.25">
      <c r="A216" s="35" t="s">
        <v>4039</v>
      </c>
      <c r="B216" s="36" t="s">
        <v>4040</v>
      </c>
      <c r="C216" s="36" t="str">
        <f>HYPERLINK("https://rhld.insurance.arkansas.gov/NPILookup?Npi=1578213252","1578213252")</f>
        <v>1578213252</v>
      </c>
      <c r="D216" s="36" t="s">
        <v>32852</v>
      </c>
      <c r="E216" s="36" t="s">
        <v>1</v>
      </c>
      <c r="F216" s="36">
        <v>1</v>
      </c>
      <c r="G216" s="36">
        <v>3</v>
      </c>
      <c r="H216" s="36">
        <v>0</v>
      </c>
      <c r="I216" s="37">
        <v>0</v>
      </c>
      <c r="J216" s="36" t="s">
        <v>32788</v>
      </c>
      <c r="K216" s="36" t="s">
        <v>14330</v>
      </c>
      <c r="L216" s="36" t="s">
        <v>14330</v>
      </c>
      <c r="M216">
        <v>3</v>
      </c>
      <c r="N216" t="s">
        <v>14331</v>
      </c>
      <c r="O216" t="s">
        <v>32633</v>
      </c>
    </row>
    <row r="217" spans="1:15" x14ac:dyDescent="0.25">
      <c r="A217" s="35" t="s">
        <v>4039</v>
      </c>
      <c r="B217" s="36" t="s">
        <v>4040</v>
      </c>
      <c r="C217" s="36" t="str">
        <f>HYPERLINK("https://rhld.insurance.arkansas.gov/NPILookup?Npi=1578458675","1578458675")</f>
        <v>1578458675</v>
      </c>
      <c r="D217" s="36" t="s">
        <v>32853</v>
      </c>
      <c r="E217" s="36" t="s">
        <v>2</v>
      </c>
      <c r="F217" s="36">
        <v>1</v>
      </c>
      <c r="G217" s="36">
        <v>3</v>
      </c>
      <c r="H217" s="36">
        <v>0</v>
      </c>
      <c r="I217" s="37">
        <v>0</v>
      </c>
      <c r="J217" s="36" t="s">
        <v>14334</v>
      </c>
      <c r="K217" s="36" t="s">
        <v>14330</v>
      </c>
      <c r="L217" s="36" t="s">
        <v>14330</v>
      </c>
      <c r="M217">
        <v>1</v>
      </c>
      <c r="N217" t="s">
        <v>14331</v>
      </c>
      <c r="O217" t="s">
        <v>14333</v>
      </c>
    </row>
    <row r="218" spans="1:15" x14ac:dyDescent="0.25">
      <c r="A218" s="35" t="s">
        <v>4039</v>
      </c>
      <c r="B218" s="36" t="s">
        <v>4040</v>
      </c>
      <c r="C218" s="36" t="str">
        <f>HYPERLINK("https://rhld.insurance.arkansas.gov/NPILookup?Npi=1578655742","1578655742")</f>
        <v>1578655742</v>
      </c>
      <c r="D218" s="36" t="s">
        <v>32854</v>
      </c>
      <c r="E218" s="36" t="s">
        <v>1</v>
      </c>
      <c r="F218" s="36">
        <v>1</v>
      </c>
      <c r="G218" s="36">
        <v>2</v>
      </c>
      <c r="H218" s="36">
        <v>1</v>
      </c>
      <c r="I218" s="37">
        <v>0</v>
      </c>
      <c r="J218" s="36" t="s">
        <v>32788</v>
      </c>
      <c r="K218" s="36" t="s">
        <v>14330</v>
      </c>
      <c r="L218" s="36" t="s">
        <v>32818</v>
      </c>
      <c r="M218">
        <v>3</v>
      </c>
      <c r="N218" t="s">
        <v>14332</v>
      </c>
      <c r="O218" t="s">
        <v>32591</v>
      </c>
    </row>
    <row r="219" spans="1:15" x14ac:dyDescent="0.25">
      <c r="A219" s="35" t="s">
        <v>4039</v>
      </c>
      <c r="B219" s="36" t="s">
        <v>4040</v>
      </c>
      <c r="C219" s="36" t="str">
        <f>HYPERLINK("https://rhld.insurance.arkansas.gov/NPILookup?Npi=1578867636","1578867636")</f>
        <v>1578867636</v>
      </c>
      <c r="D219" s="36" t="s">
        <v>32855</v>
      </c>
      <c r="E219" s="36" t="s">
        <v>1</v>
      </c>
      <c r="F219" s="36">
        <v>1</v>
      </c>
      <c r="G219" s="36">
        <v>3</v>
      </c>
      <c r="H219" s="36">
        <v>0</v>
      </c>
      <c r="I219" s="37">
        <v>0</v>
      </c>
      <c r="J219" s="36" t="s">
        <v>32788</v>
      </c>
      <c r="K219" s="36" t="s">
        <v>14330</v>
      </c>
      <c r="L219" s="36" t="s">
        <v>14330</v>
      </c>
      <c r="M219">
        <v>1</v>
      </c>
      <c r="N219" t="s">
        <v>14331</v>
      </c>
      <c r="O219" t="s">
        <v>32633</v>
      </c>
    </row>
    <row r="220" spans="1:15" x14ac:dyDescent="0.25">
      <c r="A220" s="35" t="s">
        <v>4039</v>
      </c>
      <c r="B220" s="36" t="s">
        <v>4040</v>
      </c>
      <c r="C220" s="36" t="str">
        <f>HYPERLINK("https://rhld.insurance.arkansas.gov/NPILookup?Npi=1588683700","1588683700")</f>
        <v>1588683700</v>
      </c>
      <c r="D220" s="36" t="s">
        <v>32856</v>
      </c>
      <c r="E220" s="36" t="s">
        <v>1</v>
      </c>
      <c r="F220" s="36">
        <v>1</v>
      </c>
      <c r="G220" s="36">
        <v>2</v>
      </c>
      <c r="H220" s="36">
        <v>1</v>
      </c>
      <c r="I220" s="37">
        <v>0</v>
      </c>
      <c r="J220" s="36" t="s">
        <v>32788</v>
      </c>
      <c r="K220" s="36" t="s">
        <v>14330</v>
      </c>
      <c r="L220" s="36" t="s">
        <v>32818</v>
      </c>
      <c r="M220">
        <v>3</v>
      </c>
      <c r="N220" t="s">
        <v>14332</v>
      </c>
      <c r="O220" t="s">
        <v>32591</v>
      </c>
    </row>
    <row r="221" spans="1:15" x14ac:dyDescent="0.25">
      <c r="A221" s="35" t="s">
        <v>4039</v>
      </c>
      <c r="B221" s="36" t="s">
        <v>4040</v>
      </c>
      <c r="C221" s="36" t="str">
        <f>HYPERLINK("https://rhld.insurance.arkansas.gov/NPILookup?Npi=1588984843","1588984843")</f>
        <v>1588984843</v>
      </c>
      <c r="D221" s="36" t="s">
        <v>32857</v>
      </c>
      <c r="E221" s="36" t="s">
        <v>1</v>
      </c>
      <c r="F221" s="36">
        <v>1</v>
      </c>
      <c r="G221" s="36">
        <v>3</v>
      </c>
      <c r="H221" s="36">
        <v>0</v>
      </c>
      <c r="I221" s="37">
        <v>0</v>
      </c>
      <c r="J221" s="36" t="s">
        <v>32788</v>
      </c>
      <c r="K221" s="36" t="s">
        <v>14330</v>
      </c>
      <c r="L221" s="36" t="s">
        <v>14330</v>
      </c>
      <c r="M221">
        <v>3</v>
      </c>
      <c r="N221" t="s">
        <v>14331</v>
      </c>
      <c r="O221" t="s">
        <v>32633</v>
      </c>
    </row>
    <row r="222" spans="1:15" x14ac:dyDescent="0.25">
      <c r="A222" s="35" t="s">
        <v>4039</v>
      </c>
      <c r="B222" s="36" t="s">
        <v>4040</v>
      </c>
      <c r="C222" s="36" t="str">
        <f>HYPERLINK("https://rhld.insurance.arkansas.gov/NPILookup?Npi=1598128886","1598128886")</f>
        <v>1598128886</v>
      </c>
      <c r="D222" s="36" t="s">
        <v>31241</v>
      </c>
      <c r="E222" s="36" t="s">
        <v>1</v>
      </c>
      <c r="F222" s="36">
        <v>1</v>
      </c>
      <c r="G222" s="36">
        <v>3</v>
      </c>
      <c r="H222" s="36">
        <v>0</v>
      </c>
      <c r="I222" s="37">
        <v>0</v>
      </c>
      <c r="J222" s="36" t="s">
        <v>32788</v>
      </c>
      <c r="K222" s="36" t="s">
        <v>14330</v>
      </c>
      <c r="L222" s="36" t="s">
        <v>14330</v>
      </c>
      <c r="M222">
        <v>3</v>
      </c>
      <c r="N222" t="s">
        <v>14331</v>
      </c>
      <c r="O222" t="s">
        <v>32633</v>
      </c>
    </row>
    <row r="223" spans="1:15" x14ac:dyDescent="0.25">
      <c r="A223" s="35" t="s">
        <v>4039</v>
      </c>
      <c r="B223" s="36" t="s">
        <v>4040</v>
      </c>
      <c r="C223" s="36" t="str">
        <f>HYPERLINK("https://rhld.insurance.arkansas.gov/NPILookup?Npi=1598217069","1598217069")</f>
        <v>1598217069</v>
      </c>
      <c r="D223" s="36" t="s">
        <v>32858</v>
      </c>
      <c r="E223" s="36" t="s">
        <v>2</v>
      </c>
      <c r="F223" s="36">
        <v>2</v>
      </c>
      <c r="G223" s="36">
        <v>3</v>
      </c>
      <c r="H223" s="36">
        <v>0</v>
      </c>
      <c r="I223" s="37">
        <v>0</v>
      </c>
      <c r="J223" s="36" t="s">
        <v>32795</v>
      </c>
      <c r="K223" s="36" t="s">
        <v>14330</v>
      </c>
      <c r="L223" s="36" t="s">
        <v>14330</v>
      </c>
      <c r="M223">
        <v>0</v>
      </c>
      <c r="N223" t="s">
        <v>14331</v>
      </c>
      <c r="O223" t="s">
        <v>14333</v>
      </c>
    </row>
    <row r="224" spans="1:15" x14ac:dyDescent="0.25">
      <c r="A224" s="35" t="s">
        <v>4039</v>
      </c>
      <c r="B224" s="36" t="s">
        <v>4040</v>
      </c>
      <c r="C224" s="36" t="str">
        <f>HYPERLINK("https://rhld.insurance.arkansas.gov/NPILookup?Npi=1609191352","1609191352")</f>
        <v>1609191352</v>
      </c>
      <c r="D224" s="36" t="s">
        <v>32859</v>
      </c>
      <c r="E224" s="36" t="s">
        <v>1</v>
      </c>
      <c r="F224" s="36">
        <v>1</v>
      </c>
      <c r="G224" s="36">
        <v>1</v>
      </c>
      <c r="H224" s="36">
        <v>1</v>
      </c>
      <c r="I224" s="37">
        <v>0</v>
      </c>
      <c r="J224" s="36" t="s">
        <v>32788</v>
      </c>
      <c r="K224" s="36" t="s">
        <v>14330</v>
      </c>
      <c r="L224" s="36" t="s">
        <v>32818</v>
      </c>
      <c r="M224">
        <v>3</v>
      </c>
      <c r="N224" t="s">
        <v>14332</v>
      </c>
      <c r="O224" t="s">
        <v>32860</v>
      </c>
    </row>
    <row r="225" spans="1:15" x14ac:dyDescent="0.25">
      <c r="A225" s="35" t="s">
        <v>4039</v>
      </c>
      <c r="B225" s="36" t="s">
        <v>4040</v>
      </c>
      <c r="C225" s="36" t="str">
        <f>HYPERLINK("https://rhld.insurance.arkansas.gov/NPILookup?Npi=1609567486","1609567486")</f>
        <v>1609567486</v>
      </c>
      <c r="D225" s="36" t="s">
        <v>32861</v>
      </c>
      <c r="E225" s="36" t="s">
        <v>2</v>
      </c>
      <c r="F225" s="36">
        <v>1</v>
      </c>
      <c r="G225" s="36">
        <v>3</v>
      </c>
      <c r="H225" s="36">
        <v>0</v>
      </c>
      <c r="I225" s="37">
        <v>0</v>
      </c>
      <c r="J225" s="36" t="s">
        <v>14334</v>
      </c>
      <c r="K225" s="36" t="s">
        <v>14330</v>
      </c>
      <c r="L225" s="36" t="s">
        <v>14330</v>
      </c>
      <c r="M225">
        <v>1</v>
      </c>
      <c r="N225" t="s">
        <v>14331</v>
      </c>
      <c r="O225" t="s">
        <v>14333</v>
      </c>
    </row>
    <row r="226" spans="1:15" x14ac:dyDescent="0.25">
      <c r="A226" s="35" t="s">
        <v>4039</v>
      </c>
      <c r="B226" s="36" t="s">
        <v>4040</v>
      </c>
      <c r="C226" s="36" t="str">
        <f>HYPERLINK("https://rhld.insurance.arkansas.gov/NPILookup?Npi=1619151248","1619151248")</f>
        <v>1619151248</v>
      </c>
      <c r="D226" s="36" t="s">
        <v>32862</v>
      </c>
      <c r="E226" s="36" t="s">
        <v>2</v>
      </c>
      <c r="F226" s="36">
        <v>1</v>
      </c>
      <c r="G226" s="36">
        <v>2</v>
      </c>
      <c r="H226" s="36">
        <v>1</v>
      </c>
      <c r="I226" s="37">
        <v>0</v>
      </c>
      <c r="J226" s="36" t="s">
        <v>14334</v>
      </c>
      <c r="K226" s="36" t="s">
        <v>14330</v>
      </c>
      <c r="L226" s="36" t="s">
        <v>31238</v>
      </c>
      <c r="M226">
        <v>3</v>
      </c>
      <c r="N226" t="s">
        <v>14331</v>
      </c>
      <c r="O226" t="s">
        <v>14333</v>
      </c>
    </row>
    <row r="227" spans="1:15" x14ac:dyDescent="0.25">
      <c r="A227" s="35" t="s">
        <v>4039</v>
      </c>
      <c r="B227" s="36" t="s">
        <v>4040</v>
      </c>
      <c r="C227" s="36" t="str">
        <f>HYPERLINK("https://rhld.insurance.arkansas.gov/NPILookup?Npi=1619866910","1619866910")</f>
        <v>1619866910</v>
      </c>
      <c r="D227" s="36" t="s">
        <v>32863</v>
      </c>
      <c r="E227" s="36" t="s">
        <v>2</v>
      </c>
      <c r="F227" s="36">
        <v>1</v>
      </c>
      <c r="G227" s="36">
        <v>3</v>
      </c>
      <c r="H227" s="36">
        <v>0</v>
      </c>
      <c r="I227" s="37">
        <v>0</v>
      </c>
      <c r="J227" s="36" t="s">
        <v>14334</v>
      </c>
      <c r="K227" s="36" t="s">
        <v>14330</v>
      </c>
      <c r="L227" s="36" t="s">
        <v>14330</v>
      </c>
      <c r="M227">
        <v>3</v>
      </c>
      <c r="N227" t="s">
        <v>14331</v>
      </c>
      <c r="O227" t="s">
        <v>14333</v>
      </c>
    </row>
    <row r="228" spans="1:15" x14ac:dyDescent="0.25">
      <c r="A228" s="35" t="s">
        <v>4039</v>
      </c>
      <c r="B228" s="36" t="s">
        <v>4040</v>
      </c>
      <c r="C228" s="36" t="str">
        <f>HYPERLINK("https://rhld.insurance.arkansas.gov/NPILookup?Npi=1629639448","1629639448")</f>
        <v>1629639448</v>
      </c>
      <c r="D228" s="36" t="s">
        <v>32864</v>
      </c>
      <c r="E228" s="36" t="s">
        <v>1</v>
      </c>
      <c r="F228" s="36">
        <v>1</v>
      </c>
      <c r="G228" s="36">
        <v>3</v>
      </c>
      <c r="H228" s="36">
        <v>0</v>
      </c>
      <c r="I228" s="37">
        <v>0</v>
      </c>
      <c r="J228" s="36" t="s">
        <v>32788</v>
      </c>
      <c r="K228" s="36" t="s">
        <v>14330</v>
      </c>
      <c r="L228" s="36" t="s">
        <v>14330</v>
      </c>
      <c r="M228">
        <v>3</v>
      </c>
      <c r="N228" t="s">
        <v>14331</v>
      </c>
      <c r="O228" t="s">
        <v>32633</v>
      </c>
    </row>
    <row r="229" spans="1:15" x14ac:dyDescent="0.25">
      <c r="A229" s="35" t="s">
        <v>4039</v>
      </c>
      <c r="B229" s="36" t="s">
        <v>4040</v>
      </c>
      <c r="C229" s="36" t="str">
        <f>HYPERLINK("https://rhld.insurance.arkansas.gov/NPILookup?Npi=1639064454","1639064454")</f>
        <v>1639064454</v>
      </c>
      <c r="D229" s="36" t="s">
        <v>32865</v>
      </c>
      <c r="E229" s="36" t="s">
        <v>2</v>
      </c>
      <c r="F229" s="36">
        <v>1</v>
      </c>
      <c r="G229" s="36">
        <v>3</v>
      </c>
      <c r="H229" s="36">
        <v>0</v>
      </c>
      <c r="I229" s="37">
        <v>0</v>
      </c>
      <c r="J229" s="36" t="s">
        <v>14334</v>
      </c>
      <c r="K229" s="36" t="s">
        <v>14330</v>
      </c>
      <c r="L229" s="36" t="s">
        <v>14330</v>
      </c>
      <c r="M229">
        <v>3</v>
      </c>
      <c r="N229" t="s">
        <v>14331</v>
      </c>
      <c r="O229" t="s">
        <v>14333</v>
      </c>
    </row>
    <row r="230" spans="1:15" x14ac:dyDescent="0.25">
      <c r="A230" s="35" t="s">
        <v>4039</v>
      </c>
      <c r="B230" s="36" t="s">
        <v>4040</v>
      </c>
      <c r="C230" s="36" t="str">
        <f>HYPERLINK("https://rhld.insurance.arkansas.gov/NPILookup?Npi=1659028652","1659028652")</f>
        <v>1659028652</v>
      </c>
      <c r="D230" s="36" t="s">
        <v>32866</v>
      </c>
      <c r="E230" s="36" t="s">
        <v>1</v>
      </c>
      <c r="F230" s="36">
        <v>1</v>
      </c>
      <c r="G230" s="36">
        <v>3</v>
      </c>
      <c r="H230" s="36">
        <v>0</v>
      </c>
      <c r="I230" s="37">
        <v>0</v>
      </c>
      <c r="J230" s="36" t="s">
        <v>32788</v>
      </c>
      <c r="K230" s="36" t="s">
        <v>14330</v>
      </c>
      <c r="L230" s="36" t="s">
        <v>14330</v>
      </c>
      <c r="M230">
        <v>3</v>
      </c>
      <c r="N230" t="s">
        <v>14331</v>
      </c>
      <c r="O230" t="s">
        <v>32633</v>
      </c>
    </row>
    <row r="231" spans="1:15" x14ac:dyDescent="0.25">
      <c r="A231" s="35" t="s">
        <v>4039</v>
      </c>
      <c r="B231" s="36" t="s">
        <v>4040</v>
      </c>
      <c r="C231" s="36" t="str">
        <f>HYPERLINK("https://rhld.insurance.arkansas.gov/NPILookup?Npi=1659444602","1659444602")</f>
        <v>1659444602</v>
      </c>
      <c r="D231" s="36" t="s">
        <v>32867</v>
      </c>
      <c r="E231" s="36" t="s">
        <v>1</v>
      </c>
      <c r="F231" s="36">
        <v>1</v>
      </c>
      <c r="G231" s="36">
        <v>3</v>
      </c>
      <c r="H231" s="36">
        <v>0</v>
      </c>
      <c r="I231" s="37">
        <v>0</v>
      </c>
      <c r="J231" s="36" t="s">
        <v>32788</v>
      </c>
      <c r="K231" s="36" t="s">
        <v>14330</v>
      </c>
      <c r="L231" s="36" t="s">
        <v>14330</v>
      </c>
      <c r="M231">
        <v>2</v>
      </c>
      <c r="N231" t="s">
        <v>14331</v>
      </c>
      <c r="O231" t="s">
        <v>32633</v>
      </c>
    </row>
    <row r="232" spans="1:15" x14ac:dyDescent="0.25">
      <c r="A232" s="35" t="s">
        <v>4039</v>
      </c>
      <c r="B232" s="36" t="s">
        <v>4040</v>
      </c>
      <c r="C232" s="36" t="str">
        <f>HYPERLINK("https://rhld.insurance.arkansas.gov/NPILookup?Npi=1659533479","1659533479")</f>
        <v>1659533479</v>
      </c>
      <c r="D232" s="36" t="s">
        <v>32868</v>
      </c>
      <c r="E232" s="36" t="s">
        <v>1</v>
      </c>
      <c r="F232" s="36">
        <v>1</v>
      </c>
      <c r="G232" s="36">
        <v>2</v>
      </c>
      <c r="H232" s="36">
        <v>0</v>
      </c>
      <c r="I232" s="37">
        <v>0</v>
      </c>
      <c r="J232" s="36" t="s">
        <v>32788</v>
      </c>
      <c r="K232" s="36" t="s">
        <v>14330</v>
      </c>
      <c r="L232" s="36" t="s">
        <v>14330</v>
      </c>
      <c r="M232">
        <v>3</v>
      </c>
      <c r="N232" t="s">
        <v>14331</v>
      </c>
      <c r="O232" t="s">
        <v>32633</v>
      </c>
    </row>
    <row r="233" spans="1:15" x14ac:dyDescent="0.25">
      <c r="A233" s="35" t="s">
        <v>4039</v>
      </c>
      <c r="B233" s="36" t="s">
        <v>4040</v>
      </c>
      <c r="C233" s="36" t="str">
        <f>HYPERLINK("https://rhld.insurance.arkansas.gov/NPILookup?Npi=1669677506","1669677506")</f>
        <v>1669677506</v>
      </c>
      <c r="D233" s="36" t="s">
        <v>32869</v>
      </c>
      <c r="E233" s="36" t="s">
        <v>2</v>
      </c>
      <c r="F233" s="36">
        <v>1</v>
      </c>
      <c r="G233" s="36">
        <v>3</v>
      </c>
      <c r="H233" s="36">
        <v>0</v>
      </c>
      <c r="I233" s="37">
        <v>0</v>
      </c>
      <c r="J233" s="36" t="s">
        <v>14334</v>
      </c>
      <c r="K233" s="36" t="s">
        <v>14330</v>
      </c>
      <c r="L233" s="36" t="s">
        <v>14330</v>
      </c>
      <c r="M233">
        <v>3</v>
      </c>
      <c r="N233" t="s">
        <v>14331</v>
      </c>
      <c r="O233" t="s">
        <v>14333</v>
      </c>
    </row>
    <row r="234" spans="1:15" x14ac:dyDescent="0.25">
      <c r="A234" s="35" t="s">
        <v>4039</v>
      </c>
      <c r="B234" s="36" t="s">
        <v>4040</v>
      </c>
      <c r="C234" s="36" t="str">
        <f>HYPERLINK("https://rhld.insurance.arkansas.gov/NPILookup?Npi=1689424509","1689424509")</f>
        <v>1689424509</v>
      </c>
      <c r="D234" s="36" t="s">
        <v>32870</v>
      </c>
      <c r="E234" s="36" t="s">
        <v>2</v>
      </c>
      <c r="F234" s="36">
        <v>2</v>
      </c>
      <c r="G234" s="36">
        <v>3</v>
      </c>
      <c r="H234" s="36">
        <v>0</v>
      </c>
      <c r="I234" s="37">
        <v>0</v>
      </c>
      <c r="J234" s="36" t="s">
        <v>32795</v>
      </c>
      <c r="K234" s="36" t="s">
        <v>14330</v>
      </c>
      <c r="L234" s="36" t="s">
        <v>14330</v>
      </c>
      <c r="M234">
        <v>2</v>
      </c>
      <c r="N234" t="s">
        <v>14331</v>
      </c>
      <c r="O234" t="s">
        <v>14333</v>
      </c>
    </row>
    <row r="235" spans="1:15" x14ac:dyDescent="0.25">
      <c r="A235" s="35" t="s">
        <v>4039</v>
      </c>
      <c r="B235" s="36" t="s">
        <v>4040</v>
      </c>
      <c r="C235" s="36" t="str">
        <f>HYPERLINK("https://rhld.insurance.arkansas.gov/NPILookup?Npi=1689569139","1689569139")</f>
        <v>1689569139</v>
      </c>
      <c r="D235" s="36" t="s">
        <v>32871</v>
      </c>
      <c r="E235" s="36" t="s">
        <v>2</v>
      </c>
      <c r="F235" s="36">
        <v>1</v>
      </c>
      <c r="G235" s="36">
        <v>2</v>
      </c>
      <c r="H235" s="36">
        <v>0</v>
      </c>
      <c r="I235" s="37">
        <v>0</v>
      </c>
      <c r="J235" s="36" t="s">
        <v>14334</v>
      </c>
      <c r="K235" s="36" t="s">
        <v>14330</v>
      </c>
      <c r="L235" s="36" t="s">
        <v>14330</v>
      </c>
      <c r="M235">
        <v>3</v>
      </c>
      <c r="N235" t="s">
        <v>14331</v>
      </c>
      <c r="O235" t="s">
        <v>14333</v>
      </c>
    </row>
    <row r="236" spans="1:15" x14ac:dyDescent="0.25">
      <c r="A236" s="35" t="s">
        <v>4039</v>
      </c>
      <c r="B236" s="36" t="s">
        <v>4040</v>
      </c>
      <c r="C236" s="36" t="str">
        <f>HYPERLINK("https://rhld.insurance.arkansas.gov/NPILookup?Npi=1700048345","1700048345")</f>
        <v>1700048345</v>
      </c>
      <c r="D236" s="36" t="s">
        <v>32872</v>
      </c>
      <c r="E236" s="36" t="s">
        <v>1</v>
      </c>
      <c r="F236" s="36">
        <v>1</v>
      </c>
      <c r="G236" s="36">
        <v>3</v>
      </c>
      <c r="H236" s="36">
        <v>0</v>
      </c>
      <c r="I236" s="37">
        <v>0</v>
      </c>
      <c r="J236" s="36" t="s">
        <v>32801</v>
      </c>
      <c r="K236" s="36" t="s">
        <v>14330</v>
      </c>
      <c r="L236" s="36" t="s">
        <v>14330</v>
      </c>
      <c r="M236">
        <v>2</v>
      </c>
      <c r="N236" t="s">
        <v>14331</v>
      </c>
      <c r="O236" t="s">
        <v>32633</v>
      </c>
    </row>
    <row r="237" spans="1:15" x14ac:dyDescent="0.25">
      <c r="A237" s="35" t="s">
        <v>4039</v>
      </c>
      <c r="B237" s="36" t="s">
        <v>4040</v>
      </c>
      <c r="C237" s="36" t="str">
        <f>HYPERLINK("https://rhld.insurance.arkansas.gov/NPILookup?Npi=1720816788","1720816788")</f>
        <v>1720816788</v>
      </c>
      <c r="D237" s="36" t="s">
        <v>32873</v>
      </c>
      <c r="E237" s="36" t="s">
        <v>2</v>
      </c>
      <c r="F237" s="36">
        <v>1</v>
      </c>
      <c r="G237" s="36">
        <v>2</v>
      </c>
      <c r="H237" s="36">
        <v>0</v>
      </c>
      <c r="I237" s="37">
        <v>0</v>
      </c>
      <c r="J237" s="36" t="s">
        <v>14334</v>
      </c>
      <c r="K237" s="36" t="s">
        <v>14330</v>
      </c>
      <c r="L237" s="36" t="s">
        <v>14330</v>
      </c>
      <c r="M237">
        <v>3</v>
      </c>
      <c r="N237" t="s">
        <v>14331</v>
      </c>
      <c r="O237" t="s">
        <v>14333</v>
      </c>
    </row>
    <row r="238" spans="1:15" x14ac:dyDescent="0.25">
      <c r="A238" s="35" t="s">
        <v>4039</v>
      </c>
      <c r="B238" s="36" t="s">
        <v>4040</v>
      </c>
      <c r="C238" s="36" t="str">
        <f>HYPERLINK("https://rhld.insurance.arkansas.gov/NPILookup?Npi=1750125399","1750125399")</f>
        <v>1750125399</v>
      </c>
      <c r="D238" s="36" t="s">
        <v>32874</v>
      </c>
      <c r="E238" s="36" t="s">
        <v>2</v>
      </c>
      <c r="F238" s="36">
        <v>1</v>
      </c>
      <c r="G238" s="36">
        <v>3</v>
      </c>
      <c r="H238" s="36">
        <v>0</v>
      </c>
      <c r="I238" s="37">
        <v>0</v>
      </c>
      <c r="J238" s="36"/>
      <c r="K238" s="36" t="s">
        <v>14330</v>
      </c>
      <c r="L238" s="36" t="s">
        <v>14330</v>
      </c>
      <c r="M238">
        <v>3</v>
      </c>
      <c r="N238" t="s">
        <v>14331</v>
      </c>
      <c r="O238" t="s">
        <v>14333</v>
      </c>
    </row>
    <row r="239" spans="1:15" x14ac:dyDescent="0.25">
      <c r="A239" s="35" t="s">
        <v>4039</v>
      </c>
      <c r="B239" s="36" t="s">
        <v>4040</v>
      </c>
      <c r="C239" s="36" t="str">
        <f>HYPERLINK("https://rhld.insurance.arkansas.gov/NPILookup?Npi=1760737209","1760737209")</f>
        <v>1760737209</v>
      </c>
      <c r="D239" s="36" t="s">
        <v>32875</v>
      </c>
      <c r="E239" s="36" t="s">
        <v>2</v>
      </c>
      <c r="F239" s="36">
        <v>1</v>
      </c>
      <c r="G239" s="36">
        <v>3</v>
      </c>
      <c r="H239" s="36">
        <v>0</v>
      </c>
      <c r="I239" s="37">
        <v>0</v>
      </c>
      <c r="J239" s="36" t="s">
        <v>14334</v>
      </c>
      <c r="K239" s="36" t="s">
        <v>14330</v>
      </c>
      <c r="L239" s="36" t="s">
        <v>14330</v>
      </c>
      <c r="M239">
        <v>3</v>
      </c>
      <c r="N239" t="s">
        <v>14331</v>
      </c>
      <c r="O239" t="s">
        <v>14333</v>
      </c>
    </row>
    <row r="240" spans="1:15" x14ac:dyDescent="0.25">
      <c r="A240" s="35" t="s">
        <v>4039</v>
      </c>
      <c r="B240" s="36" t="s">
        <v>4040</v>
      </c>
      <c r="C240" s="36" t="str">
        <f>HYPERLINK("https://rhld.insurance.arkansas.gov/NPILookup?Npi=1790462653","1790462653")</f>
        <v>1790462653</v>
      </c>
      <c r="D240" s="36" t="s">
        <v>32876</v>
      </c>
      <c r="E240" s="36" t="s">
        <v>2</v>
      </c>
      <c r="F240" s="36">
        <v>2</v>
      </c>
      <c r="G240" s="36">
        <v>3</v>
      </c>
      <c r="H240" s="36">
        <v>0</v>
      </c>
      <c r="I240" s="37">
        <v>0</v>
      </c>
      <c r="J240" s="36" t="s">
        <v>32795</v>
      </c>
      <c r="K240" s="36" t="s">
        <v>14330</v>
      </c>
      <c r="L240" s="36" t="s">
        <v>14330</v>
      </c>
      <c r="M240">
        <v>3</v>
      </c>
      <c r="N240" t="s">
        <v>14331</v>
      </c>
      <c r="O240" t="s">
        <v>14333</v>
      </c>
    </row>
    <row r="241" spans="1:15" x14ac:dyDescent="0.25">
      <c r="A241" s="35" t="s">
        <v>4039</v>
      </c>
      <c r="B241" s="36" t="s">
        <v>4040</v>
      </c>
      <c r="C241" s="36" t="str">
        <f>HYPERLINK("https://rhld.insurance.arkansas.gov/NPILookup?Npi=1790529337","1790529337")</f>
        <v>1790529337</v>
      </c>
      <c r="D241" s="36" t="s">
        <v>32877</v>
      </c>
      <c r="E241" s="36" t="s">
        <v>2</v>
      </c>
      <c r="F241" s="36">
        <v>2</v>
      </c>
      <c r="G241" s="36">
        <v>3</v>
      </c>
      <c r="H241" s="36">
        <v>0</v>
      </c>
      <c r="I241" s="37">
        <v>0</v>
      </c>
      <c r="J241" s="36" t="s">
        <v>32795</v>
      </c>
      <c r="K241" s="36" t="s">
        <v>14330</v>
      </c>
      <c r="L241" s="36" t="s">
        <v>14330</v>
      </c>
      <c r="M241">
        <v>4</v>
      </c>
      <c r="N241" t="s">
        <v>14331</v>
      </c>
      <c r="O241" t="s">
        <v>14333</v>
      </c>
    </row>
    <row r="242" spans="1:15" x14ac:dyDescent="0.25">
      <c r="A242" s="35" t="s">
        <v>4039</v>
      </c>
      <c r="B242" s="36" t="s">
        <v>4040</v>
      </c>
      <c r="C242" s="36" t="str">
        <f>HYPERLINK("https://rhld.insurance.arkansas.gov/NPILookup?Npi=1811154842","1811154842")</f>
        <v>1811154842</v>
      </c>
      <c r="D242" s="36" t="s">
        <v>32878</v>
      </c>
      <c r="E242" s="36" t="s">
        <v>1</v>
      </c>
      <c r="F242" s="36">
        <v>1</v>
      </c>
      <c r="G242" s="36">
        <v>4</v>
      </c>
      <c r="H242" s="36">
        <v>0</v>
      </c>
      <c r="I242" s="37">
        <v>0</v>
      </c>
      <c r="J242" s="36" t="s">
        <v>32801</v>
      </c>
      <c r="K242" s="36" t="s">
        <v>14330</v>
      </c>
      <c r="L242" s="36" t="s">
        <v>14330</v>
      </c>
      <c r="M242">
        <v>3</v>
      </c>
      <c r="N242" t="s">
        <v>14331</v>
      </c>
      <c r="O242" t="s">
        <v>32633</v>
      </c>
    </row>
    <row r="243" spans="1:15" x14ac:dyDescent="0.25">
      <c r="A243" s="35" t="s">
        <v>4039</v>
      </c>
      <c r="B243" s="36" t="s">
        <v>4040</v>
      </c>
      <c r="C243" s="36" t="str">
        <f>HYPERLINK("https://rhld.insurance.arkansas.gov/NPILookup?Npi=1811474703","1811474703")</f>
        <v>1811474703</v>
      </c>
      <c r="D243" s="36" t="s">
        <v>32879</v>
      </c>
      <c r="E243" s="36" t="s">
        <v>2</v>
      </c>
      <c r="F243" s="36">
        <v>1</v>
      </c>
      <c r="G243" s="36">
        <v>3</v>
      </c>
      <c r="H243" s="36">
        <v>0</v>
      </c>
      <c r="I243" s="37">
        <v>0</v>
      </c>
      <c r="J243" s="36"/>
      <c r="K243" s="36" t="s">
        <v>14330</v>
      </c>
      <c r="L243" s="36" t="s">
        <v>14330</v>
      </c>
      <c r="M243">
        <v>3</v>
      </c>
      <c r="N243" t="s">
        <v>14331</v>
      </c>
      <c r="O243" t="s">
        <v>14333</v>
      </c>
    </row>
    <row r="244" spans="1:15" x14ac:dyDescent="0.25">
      <c r="A244" s="35" t="s">
        <v>4039</v>
      </c>
      <c r="B244" s="36" t="s">
        <v>4040</v>
      </c>
      <c r="C244" s="36" t="str">
        <f>HYPERLINK("https://rhld.insurance.arkansas.gov/NPILookup?Npi=1821984402","1821984402")</f>
        <v>1821984402</v>
      </c>
      <c r="D244" s="36" t="s">
        <v>32880</v>
      </c>
      <c r="E244" s="36" t="s">
        <v>2</v>
      </c>
      <c r="F244" s="36">
        <v>1</v>
      </c>
      <c r="G244" s="36">
        <v>3</v>
      </c>
      <c r="H244" s="36">
        <v>0</v>
      </c>
      <c r="I244" s="37">
        <v>0</v>
      </c>
      <c r="J244" s="36" t="s">
        <v>14334</v>
      </c>
      <c r="K244" s="36" t="s">
        <v>14330</v>
      </c>
      <c r="L244" s="36" t="s">
        <v>14330</v>
      </c>
      <c r="M244">
        <v>3</v>
      </c>
      <c r="N244" t="s">
        <v>14331</v>
      </c>
      <c r="O244" t="s">
        <v>14333</v>
      </c>
    </row>
    <row r="245" spans="1:15" x14ac:dyDescent="0.25">
      <c r="A245" s="35" t="s">
        <v>4039</v>
      </c>
      <c r="B245" s="36" t="s">
        <v>4040</v>
      </c>
      <c r="C245" s="36" t="str">
        <f>HYPERLINK("https://rhld.insurance.arkansas.gov/NPILookup?Npi=1831694629","1831694629")</f>
        <v>1831694629</v>
      </c>
      <c r="D245" s="36" t="s">
        <v>32881</v>
      </c>
      <c r="E245" s="36" t="s">
        <v>1</v>
      </c>
      <c r="F245" s="36">
        <v>1</v>
      </c>
      <c r="G245" s="36">
        <v>3</v>
      </c>
      <c r="H245" s="36">
        <v>0</v>
      </c>
      <c r="I245" s="37">
        <v>0</v>
      </c>
      <c r="J245" s="36" t="s">
        <v>32788</v>
      </c>
      <c r="K245" s="36" t="s">
        <v>14330</v>
      </c>
      <c r="L245" s="36" t="s">
        <v>14330</v>
      </c>
      <c r="M245">
        <v>2</v>
      </c>
      <c r="N245" t="s">
        <v>14331</v>
      </c>
      <c r="O245" t="s">
        <v>32633</v>
      </c>
    </row>
    <row r="246" spans="1:15" x14ac:dyDescent="0.25">
      <c r="A246" s="35" t="s">
        <v>4039</v>
      </c>
      <c r="B246" s="36" t="s">
        <v>4040</v>
      </c>
      <c r="C246" s="36" t="str">
        <f>HYPERLINK("https://rhld.insurance.arkansas.gov/NPILookup?Npi=1831930452","1831930452")</f>
        <v>1831930452</v>
      </c>
      <c r="D246" s="36" t="s">
        <v>32882</v>
      </c>
      <c r="E246" s="36" t="s">
        <v>2</v>
      </c>
      <c r="F246" s="36">
        <v>1</v>
      </c>
      <c r="G246" s="36">
        <v>2</v>
      </c>
      <c r="H246" s="36">
        <v>0</v>
      </c>
      <c r="I246" s="37">
        <v>0</v>
      </c>
      <c r="J246" s="36" t="s">
        <v>14334</v>
      </c>
      <c r="K246" s="36" t="s">
        <v>14330</v>
      </c>
      <c r="L246" s="36" t="s">
        <v>14330</v>
      </c>
      <c r="M246">
        <v>3</v>
      </c>
      <c r="N246" t="s">
        <v>14331</v>
      </c>
      <c r="O246" t="s">
        <v>14333</v>
      </c>
    </row>
    <row r="247" spans="1:15" x14ac:dyDescent="0.25">
      <c r="A247" s="35" t="s">
        <v>4039</v>
      </c>
      <c r="B247" s="36" t="s">
        <v>4040</v>
      </c>
      <c r="C247" s="36" t="str">
        <f>HYPERLINK("https://rhld.insurance.arkansas.gov/NPILookup?Npi=1841049236","1841049236")</f>
        <v>1841049236</v>
      </c>
      <c r="D247" s="36" t="s">
        <v>32883</v>
      </c>
      <c r="E247" s="36" t="s">
        <v>2</v>
      </c>
      <c r="F247" s="36">
        <v>2</v>
      </c>
      <c r="G247" s="36">
        <v>3</v>
      </c>
      <c r="H247" s="36">
        <v>0</v>
      </c>
      <c r="I247" s="37">
        <v>0</v>
      </c>
      <c r="J247" s="36" t="s">
        <v>32795</v>
      </c>
      <c r="K247" s="36" t="s">
        <v>14330</v>
      </c>
      <c r="L247" s="36" t="s">
        <v>14330</v>
      </c>
      <c r="M247">
        <v>3</v>
      </c>
      <c r="N247" t="s">
        <v>14331</v>
      </c>
      <c r="O247" t="s">
        <v>14333</v>
      </c>
    </row>
    <row r="248" spans="1:15" x14ac:dyDescent="0.25">
      <c r="A248" s="35" t="s">
        <v>4039</v>
      </c>
      <c r="B248" s="36" t="s">
        <v>4040</v>
      </c>
      <c r="C248" s="36" t="str">
        <f>HYPERLINK("https://rhld.insurance.arkansas.gov/NPILookup?Npi=1861198251","1861198251")</f>
        <v>1861198251</v>
      </c>
      <c r="D248" s="36" t="s">
        <v>32884</v>
      </c>
      <c r="E248" s="36" t="s">
        <v>2</v>
      </c>
      <c r="F248" s="36">
        <v>2</v>
      </c>
      <c r="G248" s="36">
        <v>3</v>
      </c>
      <c r="H248" s="36">
        <v>0</v>
      </c>
      <c r="I248" s="37">
        <v>0</v>
      </c>
      <c r="J248" s="36" t="s">
        <v>32795</v>
      </c>
      <c r="K248" s="36" t="s">
        <v>14330</v>
      </c>
      <c r="L248" s="36" t="s">
        <v>14330</v>
      </c>
      <c r="M248">
        <v>3</v>
      </c>
      <c r="N248" t="s">
        <v>14331</v>
      </c>
      <c r="O248" t="s">
        <v>14333</v>
      </c>
    </row>
    <row r="249" spans="1:15" x14ac:dyDescent="0.25">
      <c r="A249" s="35" t="s">
        <v>4039</v>
      </c>
      <c r="B249" s="36" t="s">
        <v>4040</v>
      </c>
      <c r="C249" s="36" t="str">
        <f>HYPERLINK("https://rhld.insurance.arkansas.gov/NPILookup?Npi=1861242778","1861242778")</f>
        <v>1861242778</v>
      </c>
      <c r="D249" s="36" t="s">
        <v>32885</v>
      </c>
      <c r="E249" s="36" t="s">
        <v>2</v>
      </c>
      <c r="F249" s="36">
        <v>1</v>
      </c>
      <c r="G249" s="36">
        <v>3</v>
      </c>
      <c r="H249" s="36">
        <v>0</v>
      </c>
      <c r="I249" s="37">
        <v>0</v>
      </c>
      <c r="J249" s="36" t="s">
        <v>14334</v>
      </c>
      <c r="K249" s="36" t="s">
        <v>14330</v>
      </c>
      <c r="L249" s="36" t="s">
        <v>14330</v>
      </c>
      <c r="M249">
        <v>3</v>
      </c>
      <c r="N249" t="s">
        <v>14331</v>
      </c>
      <c r="O249" t="s">
        <v>14333</v>
      </c>
    </row>
    <row r="250" spans="1:15" x14ac:dyDescent="0.25">
      <c r="A250" s="35" t="s">
        <v>4039</v>
      </c>
      <c r="B250" s="36" t="s">
        <v>4040</v>
      </c>
      <c r="C250" s="36" t="str">
        <f>HYPERLINK("https://rhld.insurance.arkansas.gov/NPILookup?Npi=1861496267","1861496267")</f>
        <v>1861496267</v>
      </c>
      <c r="D250" s="36" t="s">
        <v>32886</v>
      </c>
      <c r="E250" s="36" t="s">
        <v>1</v>
      </c>
      <c r="F250" s="36">
        <v>1</v>
      </c>
      <c r="G250" s="36">
        <v>3</v>
      </c>
      <c r="H250" s="36">
        <v>0</v>
      </c>
      <c r="I250" s="37">
        <v>0</v>
      </c>
      <c r="J250" s="36" t="s">
        <v>32788</v>
      </c>
      <c r="K250" s="36" t="s">
        <v>14330</v>
      </c>
      <c r="L250" s="36" t="s">
        <v>14330</v>
      </c>
      <c r="M250">
        <v>3</v>
      </c>
      <c r="N250" t="s">
        <v>14331</v>
      </c>
      <c r="O250" t="s">
        <v>32633</v>
      </c>
    </row>
    <row r="251" spans="1:15" x14ac:dyDescent="0.25">
      <c r="A251" s="35" t="s">
        <v>4039</v>
      </c>
      <c r="B251" s="36" t="s">
        <v>4040</v>
      </c>
      <c r="C251" s="36" t="str">
        <f>HYPERLINK("https://rhld.insurance.arkansas.gov/NPILookup?Npi=1861665515","1861665515")</f>
        <v>1861665515</v>
      </c>
      <c r="D251" s="36" t="s">
        <v>31243</v>
      </c>
      <c r="E251" s="36" t="s">
        <v>1</v>
      </c>
      <c r="F251" s="36">
        <v>1</v>
      </c>
      <c r="G251" s="36">
        <v>3</v>
      </c>
      <c r="H251" s="36">
        <v>0</v>
      </c>
      <c r="I251" s="37">
        <v>0</v>
      </c>
      <c r="J251" s="36" t="s">
        <v>32788</v>
      </c>
      <c r="K251" s="36" t="s">
        <v>14330</v>
      </c>
      <c r="L251" s="36" t="s">
        <v>14330</v>
      </c>
      <c r="M251">
        <v>3</v>
      </c>
      <c r="N251" t="s">
        <v>14331</v>
      </c>
      <c r="O251" t="s">
        <v>32633</v>
      </c>
    </row>
    <row r="252" spans="1:15" x14ac:dyDescent="0.25">
      <c r="A252" s="35" t="s">
        <v>4039</v>
      </c>
      <c r="B252" s="36" t="s">
        <v>4040</v>
      </c>
      <c r="C252" s="36" t="str">
        <f>HYPERLINK("https://rhld.insurance.arkansas.gov/NPILookup?Npi=1871046078","1871046078")</f>
        <v>1871046078</v>
      </c>
      <c r="D252" s="36" t="s">
        <v>32887</v>
      </c>
      <c r="E252" s="36" t="s">
        <v>1</v>
      </c>
      <c r="F252" s="36">
        <v>1</v>
      </c>
      <c r="G252" s="36">
        <v>3</v>
      </c>
      <c r="H252" s="36">
        <v>0</v>
      </c>
      <c r="I252" s="37">
        <v>0</v>
      </c>
      <c r="J252" s="36" t="s">
        <v>32788</v>
      </c>
      <c r="K252" s="36" t="s">
        <v>14330</v>
      </c>
      <c r="L252" s="36" t="s">
        <v>14330</v>
      </c>
      <c r="M252">
        <v>3</v>
      </c>
      <c r="N252" t="s">
        <v>14331</v>
      </c>
      <c r="O252" t="s">
        <v>32633</v>
      </c>
    </row>
    <row r="253" spans="1:15" x14ac:dyDescent="0.25">
      <c r="A253" s="35" t="s">
        <v>4039</v>
      </c>
      <c r="B253" s="36" t="s">
        <v>4040</v>
      </c>
      <c r="C253" s="36" t="str">
        <f>HYPERLINK("https://rhld.insurance.arkansas.gov/NPILookup?Npi=1891507737","1891507737")</f>
        <v>1891507737</v>
      </c>
      <c r="D253" s="36" t="s">
        <v>32888</v>
      </c>
      <c r="E253" s="36" t="s">
        <v>2</v>
      </c>
      <c r="F253" s="36">
        <v>1</v>
      </c>
      <c r="G253" s="36">
        <v>3</v>
      </c>
      <c r="H253" s="36">
        <v>0</v>
      </c>
      <c r="I253" s="37">
        <v>0</v>
      </c>
      <c r="J253" s="36" t="s">
        <v>14334</v>
      </c>
      <c r="K253" s="36" t="s">
        <v>14330</v>
      </c>
      <c r="L253" s="36" t="s">
        <v>14330</v>
      </c>
      <c r="M253">
        <v>3</v>
      </c>
      <c r="N253" t="s">
        <v>14331</v>
      </c>
      <c r="O253" t="s">
        <v>14333</v>
      </c>
    </row>
    <row r="254" spans="1:15" x14ac:dyDescent="0.25">
      <c r="A254" s="35" t="s">
        <v>4039</v>
      </c>
      <c r="B254" s="36" t="s">
        <v>4040</v>
      </c>
      <c r="C254" s="36" t="str">
        <f>HYPERLINK("https://rhld.insurance.arkansas.gov/NPILookup?Npi=1891893582","1891893582")</f>
        <v>1891893582</v>
      </c>
      <c r="D254" s="36" t="s">
        <v>31244</v>
      </c>
      <c r="E254" s="36" t="s">
        <v>1</v>
      </c>
      <c r="F254" s="36">
        <v>1</v>
      </c>
      <c r="G254" s="36">
        <v>3</v>
      </c>
      <c r="H254" s="36">
        <v>0</v>
      </c>
      <c r="I254" s="37">
        <v>0</v>
      </c>
      <c r="J254" s="36" t="s">
        <v>32788</v>
      </c>
      <c r="K254" s="36" t="s">
        <v>14330</v>
      </c>
      <c r="L254" s="36" t="s">
        <v>14330</v>
      </c>
      <c r="M254">
        <v>3</v>
      </c>
      <c r="N254" t="s">
        <v>14331</v>
      </c>
      <c r="O254" t="s">
        <v>32633</v>
      </c>
    </row>
    <row r="255" spans="1:15" x14ac:dyDescent="0.25">
      <c r="A255" s="35" t="s">
        <v>4039</v>
      </c>
      <c r="B255" s="36" t="s">
        <v>4040</v>
      </c>
      <c r="C255" s="36" t="str">
        <f>HYPERLINK("https://rhld.insurance.arkansas.gov/NPILookup?Npi=1902557176","1902557176")</f>
        <v>1902557176</v>
      </c>
      <c r="D255" s="36" t="s">
        <v>32889</v>
      </c>
      <c r="E255" s="36" t="s">
        <v>2</v>
      </c>
      <c r="F255" s="36">
        <v>2</v>
      </c>
      <c r="G255" s="36">
        <v>3</v>
      </c>
      <c r="H255" s="36">
        <v>0</v>
      </c>
      <c r="I255" s="37">
        <v>0</v>
      </c>
      <c r="J255" s="36" t="s">
        <v>32795</v>
      </c>
      <c r="K255" s="36" t="s">
        <v>14330</v>
      </c>
      <c r="L255" s="36" t="s">
        <v>14330</v>
      </c>
      <c r="M255">
        <v>3</v>
      </c>
      <c r="N255" t="s">
        <v>14331</v>
      </c>
      <c r="O255" t="s">
        <v>14333</v>
      </c>
    </row>
    <row r="256" spans="1:15" x14ac:dyDescent="0.25">
      <c r="A256" s="35" t="s">
        <v>4039</v>
      </c>
      <c r="B256" s="36" t="s">
        <v>4040</v>
      </c>
      <c r="C256" s="36" t="str">
        <f>HYPERLINK("https://rhld.insurance.arkansas.gov/NPILookup?Npi=1912900390","1912900390")</f>
        <v>1912900390</v>
      </c>
      <c r="D256" s="36" t="s">
        <v>32890</v>
      </c>
      <c r="E256" s="36" t="s">
        <v>2</v>
      </c>
      <c r="F256" s="36">
        <v>1</v>
      </c>
      <c r="G256" s="36">
        <v>3</v>
      </c>
      <c r="H256" s="36">
        <v>0</v>
      </c>
      <c r="I256" s="37">
        <v>0</v>
      </c>
      <c r="J256" s="36" t="s">
        <v>14334</v>
      </c>
      <c r="K256" s="36" t="s">
        <v>14330</v>
      </c>
      <c r="L256" s="36" t="s">
        <v>14330</v>
      </c>
      <c r="M256">
        <v>3</v>
      </c>
      <c r="N256" t="s">
        <v>14331</v>
      </c>
      <c r="O256" t="s">
        <v>14333</v>
      </c>
    </row>
    <row r="257" spans="1:15" x14ac:dyDescent="0.25">
      <c r="A257" s="35" t="s">
        <v>4039</v>
      </c>
      <c r="B257" s="36" t="s">
        <v>4040</v>
      </c>
      <c r="C257" s="36" t="str">
        <f>HYPERLINK("https://rhld.insurance.arkansas.gov/NPILookup?Npi=1922102300","1922102300")</f>
        <v>1922102300</v>
      </c>
      <c r="D257" s="36" t="s">
        <v>31245</v>
      </c>
      <c r="E257" s="36" t="s">
        <v>1</v>
      </c>
      <c r="F257" s="36">
        <v>1</v>
      </c>
      <c r="G257" s="36">
        <v>3</v>
      </c>
      <c r="H257" s="36">
        <v>0</v>
      </c>
      <c r="I257" s="37">
        <v>0</v>
      </c>
      <c r="J257" s="36" t="s">
        <v>32788</v>
      </c>
      <c r="K257" s="36" t="s">
        <v>14330</v>
      </c>
      <c r="L257" s="36" t="s">
        <v>14330</v>
      </c>
      <c r="M257">
        <v>3</v>
      </c>
      <c r="N257" t="s">
        <v>14331</v>
      </c>
      <c r="O257" t="s">
        <v>32633</v>
      </c>
    </row>
    <row r="258" spans="1:15" x14ac:dyDescent="0.25">
      <c r="A258" s="35" t="s">
        <v>4039</v>
      </c>
      <c r="B258" s="36" t="s">
        <v>4040</v>
      </c>
      <c r="C258" s="36" t="str">
        <f>HYPERLINK("https://rhld.insurance.arkansas.gov/NPILookup?Npi=1922193697","1922193697")</f>
        <v>1922193697</v>
      </c>
      <c r="D258" s="36" t="s">
        <v>32891</v>
      </c>
      <c r="E258" s="36" t="s">
        <v>1</v>
      </c>
      <c r="F258" s="36">
        <v>1</v>
      </c>
      <c r="G258" s="36">
        <v>3</v>
      </c>
      <c r="H258" s="36">
        <v>0</v>
      </c>
      <c r="I258" s="37">
        <v>0</v>
      </c>
      <c r="J258" s="36" t="s">
        <v>32788</v>
      </c>
      <c r="K258" s="36" t="s">
        <v>14330</v>
      </c>
      <c r="L258" s="36" t="s">
        <v>14330</v>
      </c>
      <c r="M258">
        <v>3</v>
      </c>
      <c r="N258" t="s">
        <v>14331</v>
      </c>
      <c r="O258" t="s">
        <v>32633</v>
      </c>
    </row>
    <row r="259" spans="1:15" x14ac:dyDescent="0.25">
      <c r="A259" s="35" t="s">
        <v>4039</v>
      </c>
      <c r="B259" s="36" t="s">
        <v>4040</v>
      </c>
      <c r="C259" s="36" t="str">
        <f>HYPERLINK("https://rhld.insurance.arkansas.gov/NPILookup?Npi=1922799865","1922799865")</f>
        <v>1922799865</v>
      </c>
      <c r="D259" s="36" t="s">
        <v>32892</v>
      </c>
      <c r="E259" s="36" t="s">
        <v>2</v>
      </c>
      <c r="F259" s="36">
        <v>2</v>
      </c>
      <c r="G259" s="36">
        <v>3</v>
      </c>
      <c r="H259" s="36">
        <v>0</v>
      </c>
      <c r="I259" s="37">
        <v>0</v>
      </c>
      <c r="J259" s="36" t="s">
        <v>32795</v>
      </c>
      <c r="K259" s="36" t="s">
        <v>14330</v>
      </c>
      <c r="L259" s="36" t="s">
        <v>14330</v>
      </c>
      <c r="M259">
        <v>3</v>
      </c>
      <c r="N259" t="s">
        <v>14331</v>
      </c>
      <c r="O259" t="s">
        <v>14333</v>
      </c>
    </row>
    <row r="260" spans="1:15" x14ac:dyDescent="0.25">
      <c r="A260" s="35" t="s">
        <v>4039</v>
      </c>
      <c r="B260" s="36" t="s">
        <v>4040</v>
      </c>
      <c r="C260" s="36" t="str">
        <f>HYPERLINK("https://rhld.insurance.arkansas.gov/NPILookup?Npi=1932093572","1932093572")</f>
        <v>1932093572</v>
      </c>
      <c r="D260" s="36" t="s">
        <v>32893</v>
      </c>
      <c r="E260" s="36" t="s">
        <v>2</v>
      </c>
      <c r="F260" s="36">
        <v>1</v>
      </c>
      <c r="G260" s="36">
        <v>3</v>
      </c>
      <c r="H260" s="36">
        <v>0</v>
      </c>
      <c r="I260" s="37">
        <v>0</v>
      </c>
      <c r="J260" s="36" t="s">
        <v>14334</v>
      </c>
      <c r="K260" s="36" t="s">
        <v>14330</v>
      </c>
      <c r="L260" s="36" t="s">
        <v>14330</v>
      </c>
      <c r="M260">
        <v>3</v>
      </c>
      <c r="N260" t="s">
        <v>14331</v>
      </c>
      <c r="O260" t="s">
        <v>14333</v>
      </c>
    </row>
    <row r="261" spans="1:15" x14ac:dyDescent="0.25">
      <c r="A261" s="35" t="s">
        <v>4039</v>
      </c>
      <c r="B261" s="36" t="s">
        <v>4040</v>
      </c>
      <c r="C261" s="36" t="str">
        <f>HYPERLINK("https://rhld.insurance.arkansas.gov/NPILookup?Npi=1932165248","1932165248")</f>
        <v>1932165248</v>
      </c>
      <c r="D261" s="36" t="s">
        <v>14336</v>
      </c>
      <c r="E261" s="36" t="s">
        <v>1</v>
      </c>
      <c r="F261" s="36">
        <v>1</v>
      </c>
      <c r="G261" s="36">
        <v>3</v>
      </c>
      <c r="H261" s="36">
        <v>0</v>
      </c>
      <c r="I261" s="37">
        <v>0</v>
      </c>
      <c r="J261" s="36" t="s">
        <v>32788</v>
      </c>
      <c r="K261" s="36" t="s">
        <v>14330</v>
      </c>
      <c r="L261" s="36" t="s">
        <v>14330</v>
      </c>
      <c r="M261">
        <v>3</v>
      </c>
      <c r="N261" t="s">
        <v>14331</v>
      </c>
      <c r="O261" t="s">
        <v>32633</v>
      </c>
    </row>
    <row r="262" spans="1:15" x14ac:dyDescent="0.25">
      <c r="A262" s="35" t="s">
        <v>4039</v>
      </c>
      <c r="B262" s="36" t="s">
        <v>4040</v>
      </c>
      <c r="C262" s="36" t="str">
        <f>HYPERLINK("https://rhld.insurance.arkansas.gov/NPILookup?Npi=1932166139","1932166139")</f>
        <v>1932166139</v>
      </c>
      <c r="D262" s="36" t="s">
        <v>31246</v>
      </c>
      <c r="E262" s="36" t="s">
        <v>1</v>
      </c>
      <c r="F262" s="36">
        <v>1</v>
      </c>
      <c r="G262" s="36">
        <v>3</v>
      </c>
      <c r="H262" s="36">
        <v>0</v>
      </c>
      <c r="I262" s="37">
        <v>0</v>
      </c>
      <c r="J262" s="36" t="s">
        <v>32788</v>
      </c>
      <c r="K262" s="36" t="s">
        <v>14330</v>
      </c>
      <c r="L262" s="36" t="s">
        <v>14330</v>
      </c>
      <c r="M262">
        <v>3</v>
      </c>
      <c r="N262" t="s">
        <v>14331</v>
      </c>
      <c r="O262" t="s">
        <v>32633</v>
      </c>
    </row>
    <row r="263" spans="1:15" x14ac:dyDescent="0.25">
      <c r="A263" s="35" t="s">
        <v>4039</v>
      </c>
      <c r="B263" s="36" t="s">
        <v>4040</v>
      </c>
      <c r="C263" s="36" t="str">
        <f>HYPERLINK("https://rhld.insurance.arkansas.gov/NPILookup?Npi=1932859105","1932859105")</f>
        <v>1932859105</v>
      </c>
      <c r="D263" s="36" t="s">
        <v>32894</v>
      </c>
      <c r="E263" s="36" t="s">
        <v>1</v>
      </c>
      <c r="F263" s="36">
        <v>1</v>
      </c>
      <c r="G263" s="36">
        <v>3</v>
      </c>
      <c r="H263" s="36">
        <v>0</v>
      </c>
      <c r="I263" s="37">
        <v>0</v>
      </c>
      <c r="J263" s="36" t="s">
        <v>32788</v>
      </c>
      <c r="K263" s="36" t="s">
        <v>14330</v>
      </c>
      <c r="L263" s="36" t="s">
        <v>14330</v>
      </c>
      <c r="M263">
        <v>3</v>
      </c>
      <c r="N263" t="s">
        <v>14331</v>
      </c>
      <c r="O263" t="s">
        <v>32633</v>
      </c>
    </row>
    <row r="264" spans="1:15" x14ac:dyDescent="0.25">
      <c r="A264" s="35" t="s">
        <v>4039</v>
      </c>
      <c r="B264" s="36" t="s">
        <v>4040</v>
      </c>
      <c r="C264" s="36" t="str">
        <f>HYPERLINK("https://rhld.insurance.arkansas.gov/NPILookup?Npi=1932890886","1932890886")</f>
        <v>1932890886</v>
      </c>
      <c r="D264" s="36" t="s">
        <v>32895</v>
      </c>
      <c r="E264" s="36" t="s">
        <v>2</v>
      </c>
      <c r="F264" s="36">
        <v>2</v>
      </c>
      <c r="G264" s="36">
        <v>3</v>
      </c>
      <c r="H264" s="36">
        <v>0</v>
      </c>
      <c r="I264" s="37">
        <v>0</v>
      </c>
      <c r="J264" s="36" t="s">
        <v>32795</v>
      </c>
      <c r="K264" s="36" t="s">
        <v>14330</v>
      </c>
      <c r="L264" s="36" t="s">
        <v>14330</v>
      </c>
      <c r="M264">
        <v>3</v>
      </c>
      <c r="N264" t="s">
        <v>14331</v>
      </c>
      <c r="O264" t="s">
        <v>14333</v>
      </c>
    </row>
    <row r="265" spans="1:15" x14ac:dyDescent="0.25">
      <c r="A265" s="35" t="s">
        <v>4039</v>
      </c>
      <c r="B265" s="36" t="s">
        <v>4040</v>
      </c>
      <c r="C265" s="36" t="str">
        <f>HYPERLINK("https://rhld.insurance.arkansas.gov/NPILookup?Npi=1942312228","1942312228")</f>
        <v>1942312228</v>
      </c>
      <c r="D265" s="36" t="s">
        <v>32896</v>
      </c>
      <c r="E265" s="36" t="s">
        <v>1</v>
      </c>
      <c r="F265" s="36">
        <v>1</v>
      </c>
      <c r="G265" s="36">
        <v>3</v>
      </c>
      <c r="H265" s="36">
        <v>0</v>
      </c>
      <c r="I265" s="37">
        <v>0</v>
      </c>
      <c r="J265" s="36" t="s">
        <v>32788</v>
      </c>
      <c r="K265" s="36" t="s">
        <v>14330</v>
      </c>
      <c r="L265" s="36" t="s">
        <v>14330</v>
      </c>
      <c r="M265">
        <v>3</v>
      </c>
      <c r="N265" t="s">
        <v>14331</v>
      </c>
      <c r="O265" t="s">
        <v>32633</v>
      </c>
    </row>
    <row r="266" spans="1:15" x14ac:dyDescent="0.25">
      <c r="A266" s="35" t="s">
        <v>4039</v>
      </c>
      <c r="B266" s="36" t="s">
        <v>4040</v>
      </c>
      <c r="C266" s="36" t="str">
        <f>HYPERLINK("https://rhld.insurance.arkansas.gov/NPILookup?Npi=1942795216","1942795216")</f>
        <v>1942795216</v>
      </c>
      <c r="D266" s="36" t="s">
        <v>32897</v>
      </c>
      <c r="E266" s="36" t="s">
        <v>1</v>
      </c>
      <c r="F266" s="36">
        <v>1</v>
      </c>
      <c r="G266" s="36">
        <v>3</v>
      </c>
      <c r="H266" s="36">
        <v>0</v>
      </c>
      <c r="I266" s="37">
        <v>0</v>
      </c>
      <c r="J266" s="36" t="s">
        <v>32788</v>
      </c>
      <c r="K266" s="36" t="s">
        <v>14330</v>
      </c>
      <c r="L266" s="36" t="s">
        <v>14330</v>
      </c>
      <c r="M266">
        <v>3</v>
      </c>
      <c r="N266" t="s">
        <v>14331</v>
      </c>
      <c r="O266" t="s">
        <v>32633</v>
      </c>
    </row>
    <row r="267" spans="1:15" x14ac:dyDescent="0.25">
      <c r="A267" s="35" t="s">
        <v>4039</v>
      </c>
      <c r="B267" s="36" t="s">
        <v>4040</v>
      </c>
      <c r="C267" s="36" t="str">
        <f>HYPERLINK("https://rhld.insurance.arkansas.gov/NPILookup?Npi=1952411019","1952411019")</f>
        <v>1952411019</v>
      </c>
      <c r="D267" s="36" t="s">
        <v>32898</v>
      </c>
      <c r="E267" s="36" t="s">
        <v>1</v>
      </c>
      <c r="F267" s="36">
        <v>1</v>
      </c>
      <c r="G267" s="36">
        <v>3</v>
      </c>
      <c r="H267" s="36">
        <v>0</v>
      </c>
      <c r="I267" s="37">
        <v>0</v>
      </c>
      <c r="J267" s="36" t="s">
        <v>32788</v>
      </c>
      <c r="K267" s="36" t="s">
        <v>14330</v>
      </c>
      <c r="L267" s="36" t="s">
        <v>14330</v>
      </c>
      <c r="M267">
        <v>3</v>
      </c>
      <c r="N267" t="s">
        <v>14331</v>
      </c>
      <c r="O267" t="s">
        <v>32633</v>
      </c>
    </row>
    <row r="268" spans="1:15" x14ac:dyDescent="0.25">
      <c r="A268" s="35" t="s">
        <v>4039</v>
      </c>
      <c r="B268" s="36" t="s">
        <v>4040</v>
      </c>
      <c r="C268" s="36" t="str">
        <f>HYPERLINK("https://rhld.insurance.arkansas.gov/NPILookup?Npi=1952930281","1952930281")</f>
        <v>1952930281</v>
      </c>
      <c r="D268" s="36" t="s">
        <v>32899</v>
      </c>
      <c r="E268" s="36" t="s">
        <v>1</v>
      </c>
      <c r="F268" s="36">
        <v>1</v>
      </c>
      <c r="G268" s="36">
        <v>3</v>
      </c>
      <c r="H268" s="36">
        <v>0</v>
      </c>
      <c r="I268" s="37">
        <v>0</v>
      </c>
      <c r="J268" s="36" t="s">
        <v>32788</v>
      </c>
      <c r="K268" s="36" t="s">
        <v>14330</v>
      </c>
      <c r="L268" s="36" t="s">
        <v>14330</v>
      </c>
      <c r="M268">
        <v>3</v>
      </c>
      <c r="N268" t="s">
        <v>14331</v>
      </c>
      <c r="O268" t="s">
        <v>32633</v>
      </c>
    </row>
    <row r="269" spans="1:15" x14ac:dyDescent="0.25">
      <c r="A269" s="35" t="s">
        <v>4039</v>
      </c>
      <c r="B269" s="36" t="s">
        <v>4040</v>
      </c>
      <c r="C269" s="36" t="str">
        <f>HYPERLINK("https://rhld.insurance.arkansas.gov/NPILookup?Npi=1962072314","1962072314")</f>
        <v>1962072314</v>
      </c>
      <c r="D269" s="36" t="s">
        <v>32900</v>
      </c>
      <c r="E269" s="36" t="s">
        <v>1</v>
      </c>
      <c r="F269" s="36">
        <v>1</v>
      </c>
      <c r="G269" s="36">
        <v>3</v>
      </c>
      <c r="H269" s="36">
        <v>0</v>
      </c>
      <c r="I269" s="37">
        <v>0</v>
      </c>
      <c r="J269" s="36" t="s">
        <v>32788</v>
      </c>
      <c r="K269" s="36" t="s">
        <v>14330</v>
      </c>
      <c r="L269" s="36" t="s">
        <v>14330</v>
      </c>
      <c r="M269">
        <v>3</v>
      </c>
      <c r="N269" t="s">
        <v>14331</v>
      </c>
      <c r="O269" t="s">
        <v>32633</v>
      </c>
    </row>
    <row r="270" spans="1:15" x14ac:dyDescent="0.25">
      <c r="A270" s="35" t="s">
        <v>4039</v>
      </c>
      <c r="B270" s="36" t="s">
        <v>4040</v>
      </c>
      <c r="C270" s="36" t="str">
        <f>HYPERLINK("https://rhld.insurance.arkansas.gov/NPILookup?Npi=1972005908","1972005908")</f>
        <v>1972005908</v>
      </c>
      <c r="D270" s="36" t="s">
        <v>32901</v>
      </c>
      <c r="E270" s="36" t="s">
        <v>1</v>
      </c>
      <c r="F270" s="36">
        <v>1</v>
      </c>
      <c r="G270" s="36">
        <v>3</v>
      </c>
      <c r="H270" s="36">
        <v>0</v>
      </c>
      <c r="I270" s="37">
        <v>0</v>
      </c>
      <c r="J270" s="36" t="s">
        <v>32788</v>
      </c>
      <c r="K270" s="36" t="s">
        <v>14330</v>
      </c>
      <c r="L270" s="36" t="s">
        <v>14330</v>
      </c>
      <c r="M270">
        <v>3</v>
      </c>
      <c r="N270" t="s">
        <v>14331</v>
      </c>
      <c r="O270" t="s">
        <v>32633</v>
      </c>
    </row>
    <row r="271" spans="1:15" x14ac:dyDescent="0.25">
      <c r="A271" s="35" t="s">
        <v>4039</v>
      </c>
      <c r="B271" s="36" t="s">
        <v>4040</v>
      </c>
      <c r="C271" s="36" t="str">
        <f>HYPERLINK("https://rhld.insurance.arkansas.gov/NPILookup?Npi=1972597276","1972597276")</f>
        <v>1972597276</v>
      </c>
      <c r="D271" s="36" t="s">
        <v>32902</v>
      </c>
      <c r="E271" s="36" t="s">
        <v>1</v>
      </c>
      <c r="F271" s="36">
        <v>1</v>
      </c>
      <c r="G271" s="36">
        <v>3</v>
      </c>
      <c r="H271" s="36">
        <v>0</v>
      </c>
      <c r="I271" s="37">
        <v>0</v>
      </c>
      <c r="J271" s="36" t="s">
        <v>32788</v>
      </c>
      <c r="K271" s="36" t="s">
        <v>14330</v>
      </c>
      <c r="L271" s="36" t="s">
        <v>14330</v>
      </c>
      <c r="M271">
        <v>3</v>
      </c>
      <c r="N271" t="s">
        <v>14331</v>
      </c>
      <c r="O271" t="s">
        <v>32633</v>
      </c>
    </row>
    <row r="272" spans="1:15" x14ac:dyDescent="0.25">
      <c r="A272" s="35" t="s">
        <v>4039</v>
      </c>
      <c r="B272" s="36" t="s">
        <v>4040</v>
      </c>
      <c r="C272" s="36" t="str">
        <f>HYPERLINK("https://rhld.insurance.arkansas.gov/NPILookup?Npi=1982756391","1982756391")</f>
        <v>1982756391</v>
      </c>
      <c r="D272" s="36" t="s">
        <v>32903</v>
      </c>
      <c r="E272" s="36" t="s">
        <v>1</v>
      </c>
      <c r="F272" s="36">
        <v>1</v>
      </c>
      <c r="G272" s="36">
        <v>3</v>
      </c>
      <c r="H272" s="36">
        <v>0</v>
      </c>
      <c r="I272" s="37">
        <v>0</v>
      </c>
      <c r="J272" s="36" t="s">
        <v>32788</v>
      </c>
      <c r="K272" s="36" t="s">
        <v>14330</v>
      </c>
      <c r="L272" s="36" t="s">
        <v>14330</v>
      </c>
      <c r="M272">
        <v>3</v>
      </c>
      <c r="N272" t="s">
        <v>14331</v>
      </c>
      <c r="O272" t="s">
        <v>32633</v>
      </c>
    </row>
    <row r="273" spans="1:15" x14ac:dyDescent="0.25">
      <c r="A273" s="35" t="s">
        <v>4039</v>
      </c>
      <c r="B273" s="36" t="s">
        <v>4040</v>
      </c>
      <c r="C273" s="36" t="str">
        <f>HYPERLINK("https://rhld.insurance.arkansas.gov/NPILookup?Npi=1992362784","1992362784")</f>
        <v>1992362784</v>
      </c>
      <c r="D273" s="36" t="s">
        <v>32904</v>
      </c>
      <c r="E273" s="36" t="s">
        <v>2</v>
      </c>
      <c r="F273" s="36">
        <v>1</v>
      </c>
      <c r="G273" s="36">
        <v>3</v>
      </c>
      <c r="H273" s="36">
        <v>0</v>
      </c>
      <c r="I273" s="37">
        <v>0</v>
      </c>
      <c r="J273" s="36" t="s">
        <v>14334</v>
      </c>
      <c r="K273" s="36" t="s">
        <v>14330</v>
      </c>
      <c r="L273" s="36" t="s">
        <v>14330</v>
      </c>
      <c r="M273">
        <v>1</v>
      </c>
      <c r="N273" t="s">
        <v>14331</v>
      </c>
      <c r="O273" t="s">
        <v>14333</v>
      </c>
    </row>
    <row r="274" spans="1:15" x14ac:dyDescent="0.25">
      <c r="A274" s="35" t="s">
        <v>4148</v>
      </c>
      <c r="B274" s="36" t="s">
        <v>4149</v>
      </c>
      <c r="C274" s="36" t="str">
        <f>HYPERLINK("https://rhld.insurance.arkansas.gov/NPILookup?Npi=1013904176","1013904176")</f>
        <v>1013904176</v>
      </c>
      <c r="D274" s="36" t="s">
        <v>32905</v>
      </c>
      <c r="E274" s="36" t="s">
        <v>1</v>
      </c>
      <c r="F274" s="36">
        <v>1</v>
      </c>
      <c r="G274" s="36">
        <v>1</v>
      </c>
      <c r="H274" s="36">
        <v>0</v>
      </c>
      <c r="I274" s="37">
        <v>0</v>
      </c>
      <c r="J274" s="36" t="s">
        <v>14335</v>
      </c>
      <c r="K274" s="36" t="s">
        <v>14330</v>
      </c>
      <c r="L274" s="36" t="s">
        <v>14330</v>
      </c>
      <c r="M274">
        <v>2</v>
      </c>
      <c r="N274" t="s">
        <v>14331</v>
      </c>
      <c r="O274" t="s">
        <v>32633</v>
      </c>
    </row>
    <row r="275" spans="1:15" x14ac:dyDescent="0.25">
      <c r="A275" s="35" t="s">
        <v>4148</v>
      </c>
      <c r="B275" s="36" t="s">
        <v>4149</v>
      </c>
      <c r="C275" s="36" t="str">
        <f>HYPERLINK("https://rhld.insurance.arkansas.gov/NPILookup?Npi=1134474661","1134474661")</f>
        <v>1134474661</v>
      </c>
      <c r="D275" s="36" t="s">
        <v>32906</v>
      </c>
      <c r="E275" s="36" t="s">
        <v>1</v>
      </c>
      <c r="F275" s="36">
        <v>1</v>
      </c>
      <c r="G275" s="36">
        <v>2</v>
      </c>
      <c r="H275" s="36">
        <v>0</v>
      </c>
      <c r="I275" s="37">
        <v>0</v>
      </c>
      <c r="J275" s="36" t="s">
        <v>32654</v>
      </c>
      <c r="K275" s="36" t="s">
        <v>14330</v>
      </c>
      <c r="L275" s="36" t="s">
        <v>14330</v>
      </c>
      <c r="M275">
        <v>2</v>
      </c>
      <c r="N275" t="s">
        <v>14331</v>
      </c>
      <c r="O275" t="s">
        <v>32633</v>
      </c>
    </row>
    <row r="276" spans="1:15" x14ac:dyDescent="0.25">
      <c r="A276" s="35" t="s">
        <v>4148</v>
      </c>
      <c r="B276" s="36" t="s">
        <v>4149</v>
      </c>
      <c r="C276" s="36" t="str">
        <f>HYPERLINK("https://rhld.insurance.arkansas.gov/NPILookup?Npi=1164534491","1164534491")</f>
        <v>1164534491</v>
      </c>
      <c r="D276" s="36" t="s">
        <v>32907</v>
      </c>
      <c r="E276" s="36" t="s">
        <v>1</v>
      </c>
      <c r="F276" s="36">
        <v>1</v>
      </c>
      <c r="G276" s="36">
        <v>2</v>
      </c>
      <c r="H276" s="36">
        <v>0</v>
      </c>
      <c r="I276" s="37">
        <v>0</v>
      </c>
      <c r="J276" s="36" t="s">
        <v>32654</v>
      </c>
      <c r="K276" s="36" t="s">
        <v>14330</v>
      </c>
      <c r="L276" s="36" t="s">
        <v>14330</v>
      </c>
      <c r="M276">
        <v>2</v>
      </c>
      <c r="N276" t="s">
        <v>14331</v>
      </c>
      <c r="O276" t="s">
        <v>32633</v>
      </c>
    </row>
    <row r="277" spans="1:15" x14ac:dyDescent="0.25">
      <c r="A277" s="35" t="s">
        <v>4148</v>
      </c>
      <c r="B277" s="36" t="s">
        <v>4149</v>
      </c>
      <c r="C277" s="36" t="str">
        <f>HYPERLINK("https://rhld.insurance.arkansas.gov/NPILookup?Npi=1164675518","1164675518")</f>
        <v>1164675518</v>
      </c>
      <c r="D277" s="36" t="s">
        <v>32908</v>
      </c>
      <c r="E277" s="36" t="s">
        <v>1</v>
      </c>
      <c r="F277" s="36">
        <v>1</v>
      </c>
      <c r="G277" s="36">
        <v>2</v>
      </c>
      <c r="H277" s="36">
        <v>0</v>
      </c>
      <c r="I277" s="37">
        <v>0</v>
      </c>
      <c r="J277" s="36" t="s">
        <v>32654</v>
      </c>
      <c r="K277" s="36" t="s">
        <v>14330</v>
      </c>
      <c r="L277" s="36" t="s">
        <v>14330</v>
      </c>
      <c r="M277">
        <v>2</v>
      </c>
      <c r="N277" t="s">
        <v>14331</v>
      </c>
      <c r="O277" t="s">
        <v>32633</v>
      </c>
    </row>
    <row r="278" spans="1:15" x14ac:dyDescent="0.25">
      <c r="A278" s="35" t="s">
        <v>4148</v>
      </c>
      <c r="B278" s="36" t="s">
        <v>4149</v>
      </c>
      <c r="C278" s="36" t="str">
        <f>HYPERLINK("https://rhld.insurance.arkansas.gov/NPILookup?Npi=1184292880","1184292880")</f>
        <v>1184292880</v>
      </c>
      <c r="D278" s="36" t="s">
        <v>32909</v>
      </c>
      <c r="E278" s="36" t="s">
        <v>1</v>
      </c>
      <c r="F278" s="36">
        <v>1</v>
      </c>
      <c r="G278" s="36">
        <v>2</v>
      </c>
      <c r="H278" s="36">
        <v>0</v>
      </c>
      <c r="I278" s="37">
        <v>0</v>
      </c>
      <c r="J278" s="36" t="s">
        <v>32654</v>
      </c>
      <c r="K278" s="36" t="s">
        <v>14330</v>
      </c>
      <c r="L278" s="36" t="s">
        <v>14330</v>
      </c>
      <c r="M278">
        <v>2</v>
      </c>
      <c r="N278" t="s">
        <v>14331</v>
      </c>
      <c r="O278" t="s">
        <v>32633</v>
      </c>
    </row>
    <row r="279" spans="1:15" x14ac:dyDescent="0.25">
      <c r="A279" s="35" t="s">
        <v>4148</v>
      </c>
      <c r="B279" s="36" t="s">
        <v>4149</v>
      </c>
      <c r="C279" s="36" t="str">
        <f>HYPERLINK("https://rhld.insurance.arkansas.gov/NPILookup?Npi=1295007342","1295007342")</f>
        <v>1295007342</v>
      </c>
      <c r="D279" s="36" t="s">
        <v>32910</v>
      </c>
      <c r="E279" s="36" t="s">
        <v>1</v>
      </c>
      <c r="F279" s="36">
        <v>1</v>
      </c>
      <c r="G279" s="36">
        <v>2</v>
      </c>
      <c r="H279" s="36">
        <v>0</v>
      </c>
      <c r="I279" s="37">
        <v>0</v>
      </c>
      <c r="J279" s="36" t="s">
        <v>32654</v>
      </c>
      <c r="K279" s="36" t="s">
        <v>14330</v>
      </c>
      <c r="L279" s="36" t="s">
        <v>14330</v>
      </c>
      <c r="M279">
        <v>3</v>
      </c>
      <c r="N279" t="s">
        <v>14331</v>
      </c>
      <c r="O279" t="s">
        <v>32633</v>
      </c>
    </row>
    <row r="280" spans="1:15" x14ac:dyDescent="0.25">
      <c r="A280" s="35" t="s">
        <v>4148</v>
      </c>
      <c r="B280" s="36" t="s">
        <v>4149</v>
      </c>
      <c r="C280" s="36" t="str">
        <f>HYPERLINK("https://rhld.insurance.arkansas.gov/NPILookup?Npi=1346213311","1346213311")</f>
        <v>1346213311</v>
      </c>
      <c r="D280" s="36" t="s">
        <v>32911</v>
      </c>
      <c r="E280" s="36" t="s">
        <v>1</v>
      </c>
      <c r="F280" s="36">
        <v>1</v>
      </c>
      <c r="G280" s="36">
        <v>3</v>
      </c>
      <c r="H280" s="36">
        <v>0</v>
      </c>
      <c r="I280" s="37">
        <v>0</v>
      </c>
      <c r="J280" s="36" t="s">
        <v>32654</v>
      </c>
      <c r="K280" s="36" t="s">
        <v>14330</v>
      </c>
      <c r="L280" s="36" t="s">
        <v>14330</v>
      </c>
      <c r="M280">
        <v>2</v>
      </c>
      <c r="N280" t="s">
        <v>14331</v>
      </c>
      <c r="O280" t="s">
        <v>32633</v>
      </c>
    </row>
    <row r="281" spans="1:15" x14ac:dyDescent="0.25">
      <c r="A281" s="35" t="s">
        <v>4148</v>
      </c>
      <c r="B281" s="36" t="s">
        <v>4149</v>
      </c>
      <c r="C281" s="36" t="str">
        <f>HYPERLINK("https://rhld.insurance.arkansas.gov/NPILookup?Npi=1427109552","1427109552")</f>
        <v>1427109552</v>
      </c>
      <c r="D281" s="36" t="s">
        <v>32912</v>
      </c>
      <c r="E281" s="36" t="s">
        <v>1</v>
      </c>
      <c r="F281" s="36">
        <v>1</v>
      </c>
      <c r="G281" s="36">
        <v>2</v>
      </c>
      <c r="H281" s="36">
        <v>0</v>
      </c>
      <c r="I281" s="37">
        <v>0</v>
      </c>
      <c r="J281" s="36" t="s">
        <v>32654</v>
      </c>
      <c r="K281" s="36" t="s">
        <v>14330</v>
      </c>
      <c r="L281" s="36" t="s">
        <v>14330</v>
      </c>
      <c r="M281">
        <v>4</v>
      </c>
      <c r="N281" t="s">
        <v>14331</v>
      </c>
      <c r="O281" t="s">
        <v>32633</v>
      </c>
    </row>
    <row r="282" spans="1:15" x14ac:dyDescent="0.25">
      <c r="A282" s="35" t="s">
        <v>4148</v>
      </c>
      <c r="B282" s="36" t="s">
        <v>4149</v>
      </c>
      <c r="C282" s="36" t="str">
        <f>HYPERLINK("https://rhld.insurance.arkansas.gov/NPILookup?Npi=1467654715","1467654715")</f>
        <v>1467654715</v>
      </c>
      <c r="D282" s="36" t="s">
        <v>32913</v>
      </c>
      <c r="E282" s="36" t="s">
        <v>1</v>
      </c>
      <c r="F282" s="36">
        <v>1</v>
      </c>
      <c r="G282" s="36">
        <v>4</v>
      </c>
      <c r="H282" s="36">
        <v>0</v>
      </c>
      <c r="I282" s="37">
        <v>0</v>
      </c>
      <c r="J282" s="36" t="s">
        <v>32654</v>
      </c>
      <c r="K282" s="36" t="s">
        <v>32914</v>
      </c>
      <c r="L282" s="36" t="s">
        <v>14330</v>
      </c>
      <c r="M282">
        <v>3</v>
      </c>
      <c r="N282" t="s">
        <v>14331</v>
      </c>
      <c r="O282" t="s">
        <v>32633</v>
      </c>
    </row>
    <row r="283" spans="1:15" x14ac:dyDescent="0.25">
      <c r="A283" s="35" t="s">
        <v>4148</v>
      </c>
      <c r="B283" s="36" t="s">
        <v>4149</v>
      </c>
      <c r="C283" s="36" t="str">
        <f>HYPERLINK("https://rhld.insurance.arkansas.gov/NPILookup?Npi=1952555666","1952555666")</f>
        <v>1952555666</v>
      </c>
      <c r="D283" s="36" t="s">
        <v>32915</v>
      </c>
      <c r="E283" s="36" t="s">
        <v>1</v>
      </c>
      <c r="F283" s="36">
        <v>1</v>
      </c>
      <c r="G283" s="36">
        <v>3</v>
      </c>
      <c r="H283" s="36">
        <v>0</v>
      </c>
      <c r="I283" s="37">
        <v>0</v>
      </c>
      <c r="J283" s="36" t="s">
        <v>32654</v>
      </c>
      <c r="K283" s="36" t="s">
        <v>14330</v>
      </c>
      <c r="L283" s="36" t="s">
        <v>14330</v>
      </c>
      <c r="M283">
        <v>1</v>
      </c>
      <c r="N283" t="s">
        <v>14331</v>
      </c>
      <c r="O283" t="s">
        <v>32633</v>
      </c>
    </row>
    <row r="284" spans="1:15" x14ac:dyDescent="0.25">
      <c r="A284" s="35" t="s">
        <v>4148</v>
      </c>
      <c r="B284" s="36" t="s">
        <v>4149</v>
      </c>
      <c r="C284" s="36" t="str">
        <f>HYPERLINK("https://rhld.insurance.arkansas.gov/NPILookup?Npi=1962862557","1962862557")</f>
        <v>1962862557</v>
      </c>
      <c r="D284" s="36" t="s">
        <v>32916</v>
      </c>
      <c r="E284" s="36" t="s">
        <v>1</v>
      </c>
      <c r="F284" s="36">
        <v>1</v>
      </c>
      <c r="G284" s="36">
        <v>2</v>
      </c>
      <c r="H284" s="36">
        <v>1</v>
      </c>
      <c r="I284" s="37">
        <v>0</v>
      </c>
      <c r="J284" s="36" t="s">
        <v>32654</v>
      </c>
      <c r="K284" s="36" t="s">
        <v>14330</v>
      </c>
      <c r="L284" s="36" t="s">
        <v>32917</v>
      </c>
      <c r="M284">
        <v>2</v>
      </c>
      <c r="N284" t="s">
        <v>14331</v>
      </c>
      <c r="O284" t="s">
        <v>32918</v>
      </c>
    </row>
    <row r="285" spans="1:15" x14ac:dyDescent="0.25">
      <c r="A285" s="35" t="s">
        <v>4148</v>
      </c>
      <c r="B285" s="36" t="s">
        <v>4149</v>
      </c>
      <c r="C285" s="36" t="str">
        <f>HYPERLINK("https://rhld.insurance.arkansas.gov/NPILookup?Npi=1972838621","1972838621")</f>
        <v>1972838621</v>
      </c>
      <c r="D285" s="36" t="s">
        <v>32919</v>
      </c>
      <c r="E285" s="36" t="s">
        <v>1</v>
      </c>
      <c r="F285" s="36">
        <v>1</v>
      </c>
      <c r="G285" s="36">
        <v>2</v>
      </c>
      <c r="H285" s="36">
        <v>0</v>
      </c>
      <c r="I285" s="37">
        <v>0</v>
      </c>
      <c r="J285" s="36" t="s">
        <v>32654</v>
      </c>
      <c r="K285" s="36" t="s">
        <v>14330</v>
      </c>
      <c r="L285" s="36" t="s">
        <v>14330</v>
      </c>
      <c r="M285">
        <v>3</v>
      </c>
      <c r="N285" t="s">
        <v>14331</v>
      </c>
      <c r="O285" t="s">
        <v>32633</v>
      </c>
    </row>
    <row r="286" spans="1:15" x14ac:dyDescent="0.25">
      <c r="A286" s="35" t="s">
        <v>4202</v>
      </c>
      <c r="B286" s="36" t="s">
        <v>4203</v>
      </c>
      <c r="C286" s="36" t="str">
        <f>HYPERLINK("https://rhld.insurance.arkansas.gov/NPILookup?Npi=1003066846","1003066846")</f>
        <v>1003066846</v>
      </c>
      <c r="D286" s="36" t="s">
        <v>32920</v>
      </c>
      <c r="E286" s="36" t="s">
        <v>1</v>
      </c>
      <c r="F286" s="36">
        <v>1</v>
      </c>
      <c r="G286" s="36">
        <v>3</v>
      </c>
      <c r="H286" s="36">
        <v>0</v>
      </c>
      <c r="I286" s="37">
        <v>0</v>
      </c>
      <c r="J286" s="36" t="s">
        <v>32654</v>
      </c>
      <c r="K286" s="36" t="s">
        <v>14330</v>
      </c>
      <c r="L286" s="36" t="s">
        <v>14330</v>
      </c>
      <c r="M286">
        <v>3</v>
      </c>
      <c r="N286" t="s">
        <v>14331</v>
      </c>
      <c r="O286" t="s">
        <v>32633</v>
      </c>
    </row>
    <row r="287" spans="1:15" x14ac:dyDescent="0.25">
      <c r="A287" s="35" t="s">
        <v>4202</v>
      </c>
      <c r="B287" s="36" t="s">
        <v>4203</v>
      </c>
      <c r="C287" s="36" t="str">
        <f>HYPERLINK("https://rhld.insurance.arkansas.gov/NPILookup?Npi=1003227166","1003227166")</f>
        <v>1003227166</v>
      </c>
      <c r="D287" s="36" t="s">
        <v>32921</v>
      </c>
      <c r="E287" s="36" t="s">
        <v>1</v>
      </c>
      <c r="F287" s="36">
        <v>1</v>
      </c>
      <c r="G287" s="36">
        <v>3</v>
      </c>
      <c r="H287" s="36">
        <v>0</v>
      </c>
      <c r="I287" s="37">
        <v>0</v>
      </c>
      <c r="J287" s="36" t="s">
        <v>32654</v>
      </c>
      <c r="K287" s="36" t="s">
        <v>14330</v>
      </c>
      <c r="L287" s="36" t="s">
        <v>14330</v>
      </c>
      <c r="M287">
        <v>3</v>
      </c>
      <c r="N287" t="s">
        <v>14331</v>
      </c>
      <c r="O287" t="s">
        <v>32633</v>
      </c>
    </row>
    <row r="288" spans="1:15" x14ac:dyDescent="0.25">
      <c r="A288" s="35" t="s">
        <v>4202</v>
      </c>
      <c r="B288" s="36" t="s">
        <v>4203</v>
      </c>
      <c r="C288" s="36" t="str">
        <f>HYPERLINK("https://rhld.insurance.arkansas.gov/NPILookup?Npi=1003802828","1003802828")</f>
        <v>1003802828</v>
      </c>
      <c r="D288" s="36" t="s">
        <v>32922</v>
      </c>
      <c r="E288" s="36" t="s">
        <v>1</v>
      </c>
      <c r="F288" s="36">
        <v>1</v>
      </c>
      <c r="G288" s="36">
        <v>3</v>
      </c>
      <c r="H288" s="36">
        <v>0</v>
      </c>
      <c r="I288" s="37">
        <v>0</v>
      </c>
      <c r="J288" s="36" t="s">
        <v>32654</v>
      </c>
      <c r="K288" s="36" t="s">
        <v>14330</v>
      </c>
      <c r="L288" s="36" t="s">
        <v>14330</v>
      </c>
      <c r="M288">
        <v>2</v>
      </c>
      <c r="N288" t="s">
        <v>14331</v>
      </c>
      <c r="O288" t="s">
        <v>32633</v>
      </c>
    </row>
    <row r="289" spans="1:15" x14ac:dyDescent="0.25">
      <c r="A289" s="35" t="s">
        <v>4202</v>
      </c>
      <c r="B289" s="36" t="s">
        <v>4203</v>
      </c>
      <c r="C289" s="36" t="str">
        <f>HYPERLINK("https://rhld.insurance.arkansas.gov/NPILookup?Npi=1003875501","1003875501")</f>
        <v>1003875501</v>
      </c>
      <c r="D289" s="36" t="s">
        <v>32923</v>
      </c>
      <c r="E289" s="36" t="s">
        <v>1</v>
      </c>
      <c r="F289" s="36">
        <v>1</v>
      </c>
      <c r="G289" s="36">
        <v>2</v>
      </c>
      <c r="H289" s="36">
        <v>0</v>
      </c>
      <c r="I289" s="37">
        <v>0</v>
      </c>
      <c r="J289" s="36" t="s">
        <v>32654</v>
      </c>
      <c r="K289" s="36" t="s">
        <v>14330</v>
      </c>
      <c r="L289" s="36" t="s">
        <v>14330</v>
      </c>
      <c r="M289">
        <v>3</v>
      </c>
      <c r="N289" t="s">
        <v>14331</v>
      </c>
      <c r="O289" t="s">
        <v>32633</v>
      </c>
    </row>
    <row r="290" spans="1:15" x14ac:dyDescent="0.25">
      <c r="A290" s="35" t="s">
        <v>4202</v>
      </c>
      <c r="B290" s="36" t="s">
        <v>4203</v>
      </c>
      <c r="C290" s="36" t="str">
        <f>HYPERLINK("https://rhld.insurance.arkansas.gov/NPILookup?Npi=1003963208","1003963208")</f>
        <v>1003963208</v>
      </c>
      <c r="D290" s="36" t="s">
        <v>32924</v>
      </c>
      <c r="E290" s="36" t="s">
        <v>1</v>
      </c>
      <c r="F290" s="36">
        <v>1</v>
      </c>
      <c r="G290" s="36">
        <v>3</v>
      </c>
      <c r="H290" s="36">
        <v>0</v>
      </c>
      <c r="I290" s="37">
        <v>0</v>
      </c>
      <c r="J290" s="36" t="s">
        <v>32654</v>
      </c>
      <c r="K290" s="36" t="s">
        <v>14330</v>
      </c>
      <c r="L290" s="36" t="s">
        <v>14330</v>
      </c>
      <c r="M290">
        <v>2</v>
      </c>
      <c r="N290" t="s">
        <v>14331</v>
      </c>
      <c r="O290" t="s">
        <v>32633</v>
      </c>
    </row>
    <row r="291" spans="1:15" x14ac:dyDescent="0.25">
      <c r="A291" s="35" t="s">
        <v>4202</v>
      </c>
      <c r="B291" s="36" t="s">
        <v>4203</v>
      </c>
      <c r="C291" s="36" t="str">
        <f>HYPERLINK("https://rhld.insurance.arkansas.gov/NPILookup?Npi=1013075977","1013075977")</f>
        <v>1013075977</v>
      </c>
      <c r="D291" s="36" t="s">
        <v>32925</v>
      </c>
      <c r="E291" s="36" t="s">
        <v>2</v>
      </c>
      <c r="F291" s="36">
        <v>1</v>
      </c>
      <c r="G291" s="36">
        <v>2</v>
      </c>
      <c r="H291" s="36">
        <v>0</v>
      </c>
      <c r="I291" s="37">
        <v>0</v>
      </c>
      <c r="J291" s="36" t="s">
        <v>32679</v>
      </c>
      <c r="K291" s="36" t="s">
        <v>14330</v>
      </c>
      <c r="L291" s="36" t="s">
        <v>14330</v>
      </c>
      <c r="M291">
        <v>3</v>
      </c>
      <c r="N291" t="s">
        <v>14331</v>
      </c>
      <c r="O291" t="s">
        <v>14333</v>
      </c>
    </row>
    <row r="292" spans="1:15" x14ac:dyDescent="0.25">
      <c r="A292" s="35" t="s">
        <v>4202</v>
      </c>
      <c r="B292" s="36" t="s">
        <v>4203</v>
      </c>
      <c r="C292" s="36" t="str">
        <f>HYPERLINK("https://rhld.insurance.arkansas.gov/NPILookup?Npi=1013103449","1013103449")</f>
        <v>1013103449</v>
      </c>
      <c r="D292" s="36" t="s">
        <v>32926</v>
      </c>
      <c r="E292" s="36" t="s">
        <v>1</v>
      </c>
      <c r="F292" s="36">
        <v>1</v>
      </c>
      <c r="G292" s="36">
        <v>3</v>
      </c>
      <c r="H292" s="36">
        <v>0</v>
      </c>
      <c r="I292" s="37">
        <v>0</v>
      </c>
      <c r="J292" s="36" t="s">
        <v>32654</v>
      </c>
      <c r="K292" s="36" t="s">
        <v>14330</v>
      </c>
      <c r="L292" s="36" t="s">
        <v>14330</v>
      </c>
      <c r="M292">
        <v>3</v>
      </c>
      <c r="N292" t="s">
        <v>14331</v>
      </c>
      <c r="O292" t="s">
        <v>32633</v>
      </c>
    </row>
    <row r="293" spans="1:15" x14ac:dyDescent="0.25">
      <c r="A293" s="35" t="s">
        <v>4202</v>
      </c>
      <c r="B293" s="36" t="s">
        <v>4203</v>
      </c>
      <c r="C293" s="36" t="str">
        <f>HYPERLINK("https://rhld.insurance.arkansas.gov/NPILookup?Npi=1013141621","1013141621")</f>
        <v>1013141621</v>
      </c>
      <c r="D293" s="36" t="s">
        <v>32927</v>
      </c>
      <c r="E293" s="36" t="s">
        <v>1</v>
      </c>
      <c r="F293" s="36">
        <v>1</v>
      </c>
      <c r="G293" s="36">
        <v>3</v>
      </c>
      <c r="H293" s="36">
        <v>0</v>
      </c>
      <c r="I293" s="37">
        <v>0</v>
      </c>
      <c r="J293" s="36" t="s">
        <v>32654</v>
      </c>
      <c r="K293" s="36" t="s">
        <v>14330</v>
      </c>
      <c r="L293" s="36" t="s">
        <v>14330</v>
      </c>
      <c r="M293">
        <v>2</v>
      </c>
      <c r="N293" t="s">
        <v>14331</v>
      </c>
      <c r="O293" t="s">
        <v>32633</v>
      </c>
    </row>
    <row r="294" spans="1:15" x14ac:dyDescent="0.25">
      <c r="A294" s="35" t="s">
        <v>4202</v>
      </c>
      <c r="B294" s="36" t="s">
        <v>4203</v>
      </c>
      <c r="C294" s="36" t="str">
        <f>HYPERLINK("https://rhld.insurance.arkansas.gov/NPILookup?Npi=1013148832","1013148832")</f>
        <v>1013148832</v>
      </c>
      <c r="D294" s="36" t="s">
        <v>32928</v>
      </c>
      <c r="E294" s="36" t="s">
        <v>1</v>
      </c>
      <c r="F294" s="36">
        <v>1</v>
      </c>
      <c r="G294" s="36">
        <v>2</v>
      </c>
      <c r="H294" s="36">
        <v>0</v>
      </c>
      <c r="I294" s="37">
        <v>0</v>
      </c>
      <c r="J294" s="36" t="s">
        <v>32654</v>
      </c>
      <c r="K294" s="36" t="s">
        <v>14330</v>
      </c>
      <c r="L294" s="36" t="s">
        <v>14330</v>
      </c>
      <c r="M294">
        <v>3</v>
      </c>
      <c r="N294" t="s">
        <v>14331</v>
      </c>
      <c r="O294" t="s">
        <v>32633</v>
      </c>
    </row>
    <row r="295" spans="1:15" x14ac:dyDescent="0.25">
      <c r="A295" s="35" t="s">
        <v>4202</v>
      </c>
      <c r="B295" s="36" t="s">
        <v>4203</v>
      </c>
      <c r="C295" s="36" t="str">
        <f>HYPERLINK("https://rhld.insurance.arkansas.gov/NPILookup?Npi=1013250182","1013250182")</f>
        <v>1013250182</v>
      </c>
      <c r="D295" s="36" t="s">
        <v>32929</v>
      </c>
      <c r="E295" s="36" t="s">
        <v>1</v>
      </c>
      <c r="F295" s="36">
        <v>1</v>
      </c>
      <c r="G295" s="36">
        <v>3</v>
      </c>
      <c r="H295" s="36">
        <v>0</v>
      </c>
      <c r="I295" s="37">
        <v>0</v>
      </c>
      <c r="J295" s="36" t="s">
        <v>32654</v>
      </c>
      <c r="K295" s="36" t="s">
        <v>14330</v>
      </c>
      <c r="L295" s="36" t="s">
        <v>14330</v>
      </c>
      <c r="M295">
        <v>2</v>
      </c>
      <c r="N295" t="s">
        <v>14331</v>
      </c>
      <c r="O295" t="s">
        <v>32633</v>
      </c>
    </row>
    <row r="296" spans="1:15" x14ac:dyDescent="0.25">
      <c r="A296" s="35" t="s">
        <v>4202</v>
      </c>
      <c r="B296" s="36" t="s">
        <v>4203</v>
      </c>
      <c r="C296" s="36" t="str">
        <f>HYPERLINK("https://rhld.insurance.arkansas.gov/NPILookup?Npi=1013491224","1013491224")</f>
        <v>1013491224</v>
      </c>
      <c r="D296" s="36" t="s">
        <v>32930</v>
      </c>
      <c r="E296" s="36" t="s">
        <v>2</v>
      </c>
      <c r="F296" s="36">
        <v>1</v>
      </c>
      <c r="G296" s="36">
        <v>2</v>
      </c>
      <c r="H296" s="36">
        <v>0</v>
      </c>
      <c r="I296" s="37">
        <v>0</v>
      </c>
      <c r="J296" s="36"/>
      <c r="K296" s="36" t="s">
        <v>14330</v>
      </c>
      <c r="L296" s="36" t="s">
        <v>14330</v>
      </c>
      <c r="M296">
        <v>1</v>
      </c>
      <c r="N296" t="s">
        <v>14332</v>
      </c>
      <c r="O296" t="s">
        <v>32931</v>
      </c>
    </row>
    <row r="297" spans="1:15" x14ac:dyDescent="0.25">
      <c r="A297" s="35" t="s">
        <v>4202</v>
      </c>
      <c r="B297" s="36" t="s">
        <v>4203</v>
      </c>
      <c r="C297" s="36" t="str">
        <f>HYPERLINK("https://rhld.insurance.arkansas.gov/NPILookup?Npi=1013954320","1013954320")</f>
        <v>1013954320</v>
      </c>
      <c r="D297" s="36" t="s">
        <v>32932</v>
      </c>
      <c r="E297" s="36" t="s">
        <v>1</v>
      </c>
      <c r="F297" s="36">
        <v>1</v>
      </c>
      <c r="G297" s="36">
        <v>1</v>
      </c>
      <c r="H297" s="36">
        <v>0</v>
      </c>
      <c r="I297" s="37">
        <v>0</v>
      </c>
      <c r="J297" s="36" t="s">
        <v>32654</v>
      </c>
      <c r="K297" s="36" t="s">
        <v>14330</v>
      </c>
      <c r="L297" s="36" t="s">
        <v>14330</v>
      </c>
      <c r="M297">
        <v>3</v>
      </c>
      <c r="N297" t="s">
        <v>14331</v>
      </c>
      <c r="O297" t="s">
        <v>32633</v>
      </c>
    </row>
    <row r="298" spans="1:15" x14ac:dyDescent="0.25">
      <c r="A298" s="35" t="s">
        <v>4202</v>
      </c>
      <c r="B298" s="36" t="s">
        <v>4203</v>
      </c>
      <c r="C298" s="36" t="str">
        <f>HYPERLINK("https://rhld.insurance.arkansas.gov/NPILookup?Npi=1013958909","1013958909")</f>
        <v>1013958909</v>
      </c>
      <c r="D298" s="36" t="s">
        <v>32933</v>
      </c>
      <c r="E298" s="36" t="s">
        <v>1</v>
      </c>
      <c r="F298" s="36">
        <v>1</v>
      </c>
      <c r="G298" s="36">
        <v>3</v>
      </c>
      <c r="H298" s="36">
        <v>0</v>
      </c>
      <c r="I298" s="37">
        <v>0</v>
      </c>
      <c r="J298" s="36" t="s">
        <v>32654</v>
      </c>
      <c r="K298" s="36" t="s">
        <v>14330</v>
      </c>
      <c r="L298" s="36" t="s">
        <v>14330</v>
      </c>
      <c r="M298">
        <v>2</v>
      </c>
      <c r="N298" t="s">
        <v>14331</v>
      </c>
      <c r="O298" t="s">
        <v>32633</v>
      </c>
    </row>
    <row r="299" spans="1:15" x14ac:dyDescent="0.25">
      <c r="A299" s="35" t="s">
        <v>4202</v>
      </c>
      <c r="B299" s="36" t="s">
        <v>4203</v>
      </c>
      <c r="C299" s="36" t="str">
        <f>HYPERLINK("https://rhld.insurance.arkansas.gov/NPILookup?Npi=1013967835","1013967835")</f>
        <v>1013967835</v>
      </c>
      <c r="D299" s="36" t="s">
        <v>32934</v>
      </c>
      <c r="E299" s="36" t="s">
        <v>1</v>
      </c>
      <c r="F299" s="36">
        <v>1</v>
      </c>
      <c r="G299" s="36">
        <v>2</v>
      </c>
      <c r="H299" s="36">
        <v>0</v>
      </c>
      <c r="I299" s="37">
        <v>0</v>
      </c>
      <c r="J299" s="36" t="s">
        <v>32654</v>
      </c>
      <c r="K299" s="36" t="s">
        <v>14330</v>
      </c>
      <c r="L299" s="36" t="s">
        <v>14330</v>
      </c>
      <c r="M299">
        <v>2</v>
      </c>
      <c r="N299" t="s">
        <v>14331</v>
      </c>
      <c r="O299" t="s">
        <v>32633</v>
      </c>
    </row>
    <row r="300" spans="1:15" x14ac:dyDescent="0.25">
      <c r="A300" s="35" t="s">
        <v>4202</v>
      </c>
      <c r="B300" s="36" t="s">
        <v>4203</v>
      </c>
      <c r="C300" s="36" t="str">
        <f>HYPERLINK("https://rhld.insurance.arkansas.gov/NPILookup?Npi=1013974468","1013974468")</f>
        <v>1013974468</v>
      </c>
      <c r="D300" s="36" t="s">
        <v>32935</v>
      </c>
      <c r="E300" s="36" t="s">
        <v>2</v>
      </c>
      <c r="F300" s="36">
        <v>1</v>
      </c>
      <c r="G300" s="36">
        <v>2</v>
      </c>
      <c r="H300" s="36">
        <v>0</v>
      </c>
      <c r="I300" s="37">
        <v>0</v>
      </c>
      <c r="J300" s="36" t="s">
        <v>32679</v>
      </c>
      <c r="K300" s="36" t="s">
        <v>14330</v>
      </c>
      <c r="L300" s="36" t="s">
        <v>14330</v>
      </c>
      <c r="M300">
        <v>2</v>
      </c>
      <c r="N300" t="s">
        <v>14331</v>
      </c>
      <c r="O300" t="s">
        <v>14333</v>
      </c>
    </row>
    <row r="301" spans="1:15" x14ac:dyDescent="0.25">
      <c r="A301" s="35" t="s">
        <v>4202</v>
      </c>
      <c r="B301" s="36" t="s">
        <v>4203</v>
      </c>
      <c r="C301" s="36" t="str">
        <f>HYPERLINK("https://rhld.insurance.arkansas.gov/NPILookup?Npi=1023019668","1023019668")</f>
        <v>1023019668</v>
      </c>
      <c r="D301" s="36" t="s">
        <v>32936</v>
      </c>
      <c r="E301" s="36" t="s">
        <v>1</v>
      </c>
      <c r="F301" s="36">
        <v>1</v>
      </c>
      <c r="G301" s="36">
        <v>2</v>
      </c>
      <c r="H301" s="36">
        <v>0</v>
      </c>
      <c r="I301" s="37">
        <v>0</v>
      </c>
      <c r="J301" s="36" t="s">
        <v>32654</v>
      </c>
      <c r="K301" s="36" t="s">
        <v>14330</v>
      </c>
      <c r="L301" s="36" t="s">
        <v>14330</v>
      </c>
      <c r="M301">
        <v>3</v>
      </c>
      <c r="N301" t="s">
        <v>14331</v>
      </c>
      <c r="O301" t="s">
        <v>32633</v>
      </c>
    </row>
    <row r="302" spans="1:15" x14ac:dyDescent="0.25">
      <c r="A302" s="35" t="s">
        <v>4202</v>
      </c>
      <c r="B302" s="36" t="s">
        <v>4203</v>
      </c>
      <c r="C302" s="36" t="str">
        <f>HYPERLINK("https://rhld.insurance.arkansas.gov/NPILookup?Npi=1023040581","1023040581")</f>
        <v>1023040581</v>
      </c>
      <c r="D302" s="36" t="s">
        <v>32937</v>
      </c>
      <c r="E302" s="36" t="s">
        <v>1</v>
      </c>
      <c r="F302" s="36">
        <v>1</v>
      </c>
      <c r="G302" s="36">
        <v>3</v>
      </c>
      <c r="H302" s="36">
        <v>0</v>
      </c>
      <c r="I302" s="37">
        <v>0</v>
      </c>
      <c r="J302" s="36" t="s">
        <v>32654</v>
      </c>
      <c r="K302" s="36" t="s">
        <v>14330</v>
      </c>
      <c r="L302" s="36" t="s">
        <v>14330</v>
      </c>
      <c r="M302">
        <v>2</v>
      </c>
      <c r="N302" t="s">
        <v>14331</v>
      </c>
      <c r="O302" t="s">
        <v>32633</v>
      </c>
    </row>
    <row r="303" spans="1:15" x14ac:dyDescent="0.25">
      <c r="A303" s="35" t="s">
        <v>4202</v>
      </c>
      <c r="B303" s="36" t="s">
        <v>4203</v>
      </c>
      <c r="C303" s="36" t="str">
        <f>HYPERLINK("https://rhld.insurance.arkansas.gov/NPILookup?Npi=1023072105","1023072105")</f>
        <v>1023072105</v>
      </c>
      <c r="D303" s="36" t="s">
        <v>32938</v>
      </c>
      <c r="E303" s="36" t="s">
        <v>1</v>
      </c>
      <c r="F303" s="36">
        <v>1</v>
      </c>
      <c r="G303" s="36">
        <v>2</v>
      </c>
      <c r="H303" s="36">
        <v>0</v>
      </c>
      <c r="I303" s="37">
        <v>0</v>
      </c>
      <c r="J303" s="36" t="s">
        <v>32723</v>
      </c>
      <c r="K303" s="36" t="s">
        <v>14330</v>
      </c>
      <c r="L303" s="36" t="s">
        <v>14330</v>
      </c>
      <c r="M303">
        <v>2</v>
      </c>
      <c r="N303" t="s">
        <v>14331</v>
      </c>
      <c r="O303" t="s">
        <v>32724</v>
      </c>
    </row>
    <row r="304" spans="1:15" x14ac:dyDescent="0.25">
      <c r="A304" s="35" t="s">
        <v>4202</v>
      </c>
      <c r="B304" s="36" t="s">
        <v>4203</v>
      </c>
      <c r="C304" s="36" t="str">
        <f>HYPERLINK("https://rhld.insurance.arkansas.gov/NPILookup?Npi=1023086931","1023086931")</f>
        <v>1023086931</v>
      </c>
      <c r="D304" s="36" t="s">
        <v>32939</v>
      </c>
      <c r="E304" s="36" t="s">
        <v>1</v>
      </c>
      <c r="F304" s="36">
        <v>1</v>
      </c>
      <c r="G304" s="36">
        <v>2</v>
      </c>
      <c r="H304" s="36">
        <v>0</v>
      </c>
      <c r="I304" s="37">
        <v>0</v>
      </c>
      <c r="J304" s="36" t="s">
        <v>32654</v>
      </c>
      <c r="K304" s="36" t="s">
        <v>14330</v>
      </c>
      <c r="L304" s="36" t="s">
        <v>14330</v>
      </c>
      <c r="M304">
        <v>2</v>
      </c>
      <c r="N304" t="s">
        <v>14331</v>
      </c>
      <c r="O304" t="s">
        <v>32633</v>
      </c>
    </row>
    <row r="305" spans="1:15" x14ac:dyDescent="0.25">
      <c r="A305" s="35" t="s">
        <v>4202</v>
      </c>
      <c r="B305" s="36" t="s">
        <v>4203</v>
      </c>
      <c r="C305" s="36" t="str">
        <f>HYPERLINK("https://rhld.insurance.arkansas.gov/NPILookup?Npi=1023116373","1023116373")</f>
        <v>1023116373</v>
      </c>
      <c r="D305" s="36" t="s">
        <v>32940</v>
      </c>
      <c r="E305" s="36" t="s">
        <v>2</v>
      </c>
      <c r="F305" s="36">
        <v>1</v>
      </c>
      <c r="G305" s="36">
        <v>2</v>
      </c>
      <c r="H305" s="36">
        <v>0</v>
      </c>
      <c r="I305" s="37">
        <v>0</v>
      </c>
      <c r="J305" s="36" t="s">
        <v>32679</v>
      </c>
      <c r="K305" s="36" t="s">
        <v>14330</v>
      </c>
      <c r="L305" s="36" t="s">
        <v>14330</v>
      </c>
      <c r="M305">
        <v>3</v>
      </c>
      <c r="N305" t="s">
        <v>14331</v>
      </c>
      <c r="O305" t="s">
        <v>14333</v>
      </c>
    </row>
    <row r="306" spans="1:15" x14ac:dyDescent="0.25">
      <c r="A306" s="35" t="s">
        <v>4202</v>
      </c>
      <c r="B306" s="36" t="s">
        <v>4203</v>
      </c>
      <c r="C306" s="36" t="str">
        <f>HYPERLINK("https://rhld.insurance.arkansas.gov/NPILookup?Npi=1023209012","1023209012")</f>
        <v>1023209012</v>
      </c>
      <c r="D306" s="36" t="s">
        <v>32941</v>
      </c>
      <c r="E306" s="36" t="s">
        <v>1</v>
      </c>
      <c r="F306" s="36">
        <v>1</v>
      </c>
      <c r="G306" s="36">
        <v>3</v>
      </c>
      <c r="H306" s="36">
        <v>0</v>
      </c>
      <c r="I306" s="37">
        <v>0</v>
      </c>
      <c r="J306" s="36" t="s">
        <v>32654</v>
      </c>
      <c r="K306" s="36" t="s">
        <v>14330</v>
      </c>
      <c r="L306" s="36" t="s">
        <v>14330</v>
      </c>
      <c r="M306">
        <v>3</v>
      </c>
      <c r="N306" t="s">
        <v>14331</v>
      </c>
      <c r="O306" t="s">
        <v>32633</v>
      </c>
    </row>
    <row r="307" spans="1:15" x14ac:dyDescent="0.25">
      <c r="A307" s="35" t="s">
        <v>4202</v>
      </c>
      <c r="B307" s="36" t="s">
        <v>4203</v>
      </c>
      <c r="C307" s="36" t="str">
        <f>HYPERLINK("https://rhld.insurance.arkansas.gov/NPILookup?Npi=1023214574","1023214574")</f>
        <v>1023214574</v>
      </c>
      <c r="D307" s="36" t="s">
        <v>32942</v>
      </c>
      <c r="E307" s="36" t="s">
        <v>1</v>
      </c>
      <c r="F307" s="36">
        <v>1</v>
      </c>
      <c r="G307" s="36">
        <v>3</v>
      </c>
      <c r="H307" s="36">
        <v>0</v>
      </c>
      <c r="I307" s="37">
        <v>0</v>
      </c>
      <c r="J307" s="36" t="s">
        <v>32654</v>
      </c>
      <c r="K307" s="36" t="s">
        <v>14330</v>
      </c>
      <c r="L307" s="36" t="s">
        <v>14330</v>
      </c>
      <c r="M307">
        <v>3</v>
      </c>
      <c r="N307" t="s">
        <v>14331</v>
      </c>
      <c r="O307" t="s">
        <v>32633</v>
      </c>
    </row>
    <row r="308" spans="1:15" x14ac:dyDescent="0.25">
      <c r="A308" s="35" t="s">
        <v>4202</v>
      </c>
      <c r="B308" s="36" t="s">
        <v>4203</v>
      </c>
      <c r="C308" s="36" t="str">
        <f>HYPERLINK("https://rhld.insurance.arkansas.gov/NPILookup?Npi=1023232287","1023232287")</f>
        <v>1023232287</v>
      </c>
      <c r="D308" s="36" t="s">
        <v>32943</v>
      </c>
      <c r="E308" s="36" t="s">
        <v>1</v>
      </c>
      <c r="F308" s="36">
        <v>1</v>
      </c>
      <c r="G308" s="36">
        <v>3</v>
      </c>
      <c r="H308" s="36">
        <v>0</v>
      </c>
      <c r="I308" s="37">
        <v>0</v>
      </c>
      <c r="J308" s="36" t="s">
        <v>32654</v>
      </c>
      <c r="K308" s="36" t="s">
        <v>14330</v>
      </c>
      <c r="L308" s="36" t="s">
        <v>14330</v>
      </c>
      <c r="M308">
        <v>2</v>
      </c>
      <c r="N308" t="s">
        <v>14331</v>
      </c>
      <c r="O308" t="s">
        <v>32633</v>
      </c>
    </row>
    <row r="309" spans="1:15" x14ac:dyDescent="0.25">
      <c r="A309" s="35" t="s">
        <v>4202</v>
      </c>
      <c r="B309" s="36" t="s">
        <v>4203</v>
      </c>
      <c r="C309" s="36" t="str">
        <f>HYPERLINK("https://rhld.insurance.arkansas.gov/NPILookup?Npi=1023306578","1023306578")</f>
        <v>1023306578</v>
      </c>
      <c r="D309" s="36" t="s">
        <v>32944</v>
      </c>
      <c r="E309" s="36" t="s">
        <v>1</v>
      </c>
      <c r="F309" s="36">
        <v>1</v>
      </c>
      <c r="G309" s="36">
        <v>2</v>
      </c>
      <c r="H309" s="36">
        <v>0</v>
      </c>
      <c r="I309" s="37">
        <v>0</v>
      </c>
      <c r="J309" s="36" t="s">
        <v>32723</v>
      </c>
      <c r="K309" s="36" t="s">
        <v>14330</v>
      </c>
      <c r="L309" s="36" t="s">
        <v>14330</v>
      </c>
      <c r="M309">
        <v>2</v>
      </c>
      <c r="N309" t="s">
        <v>14331</v>
      </c>
      <c r="O309" t="s">
        <v>32724</v>
      </c>
    </row>
    <row r="310" spans="1:15" x14ac:dyDescent="0.25">
      <c r="A310" s="35" t="s">
        <v>4202</v>
      </c>
      <c r="B310" s="36" t="s">
        <v>4203</v>
      </c>
      <c r="C310" s="36" t="str">
        <f>HYPERLINK("https://rhld.insurance.arkansas.gov/NPILookup?Npi=1023405198","1023405198")</f>
        <v>1023405198</v>
      </c>
      <c r="D310" s="36" t="s">
        <v>32945</v>
      </c>
      <c r="E310" s="36" t="s">
        <v>1</v>
      </c>
      <c r="F310" s="36">
        <v>1</v>
      </c>
      <c r="G310" s="36">
        <v>2</v>
      </c>
      <c r="H310" s="36">
        <v>0</v>
      </c>
      <c r="I310" s="37">
        <v>0</v>
      </c>
      <c r="J310" s="36" t="s">
        <v>32654</v>
      </c>
      <c r="K310" s="36" t="s">
        <v>14330</v>
      </c>
      <c r="L310" s="36" t="s">
        <v>14330</v>
      </c>
      <c r="M310">
        <v>3</v>
      </c>
      <c r="N310" t="s">
        <v>14331</v>
      </c>
      <c r="O310" t="s">
        <v>32633</v>
      </c>
    </row>
    <row r="311" spans="1:15" x14ac:dyDescent="0.25">
      <c r="A311" s="35" t="s">
        <v>4202</v>
      </c>
      <c r="B311" s="36" t="s">
        <v>4203</v>
      </c>
      <c r="C311" s="36" t="str">
        <f>HYPERLINK("https://rhld.insurance.arkansas.gov/NPILookup?Npi=1033102637","1033102637")</f>
        <v>1033102637</v>
      </c>
      <c r="D311" s="36" t="s">
        <v>32946</v>
      </c>
      <c r="E311" s="36" t="s">
        <v>1</v>
      </c>
      <c r="F311" s="36">
        <v>1</v>
      </c>
      <c r="G311" s="36">
        <v>3</v>
      </c>
      <c r="H311" s="36">
        <v>0</v>
      </c>
      <c r="I311" s="37">
        <v>0</v>
      </c>
      <c r="J311" s="36" t="s">
        <v>32654</v>
      </c>
      <c r="K311" s="36" t="s">
        <v>14330</v>
      </c>
      <c r="L311" s="36" t="s">
        <v>14330</v>
      </c>
      <c r="M311">
        <v>2</v>
      </c>
      <c r="N311" t="s">
        <v>14331</v>
      </c>
      <c r="O311" t="s">
        <v>32633</v>
      </c>
    </row>
    <row r="312" spans="1:15" x14ac:dyDescent="0.25">
      <c r="A312" s="35" t="s">
        <v>4202</v>
      </c>
      <c r="B312" s="36" t="s">
        <v>4203</v>
      </c>
      <c r="C312" s="36" t="str">
        <f>HYPERLINK("https://rhld.insurance.arkansas.gov/NPILookup?Npi=1033160544","1033160544")</f>
        <v>1033160544</v>
      </c>
      <c r="D312" s="36" t="s">
        <v>32947</v>
      </c>
      <c r="E312" s="36" t="s">
        <v>1</v>
      </c>
      <c r="F312" s="36">
        <v>1</v>
      </c>
      <c r="G312" s="36">
        <v>2</v>
      </c>
      <c r="H312" s="36">
        <v>0</v>
      </c>
      <c r="I312" s="37">
        <v>0</v>
      </c>
      <c r="J312" s="36" t="s">
        <v>32654</v>
      </c>
      <c r="K312" s="36" t="s">
        <v>14330</v>
      </c>
      <c r="L312" s="36" t="s">
        <v>14330</v>
      </c>
      <c r="M312">
        <v>3</v>
      </c>
      <c r="N312" t="s">
        <v>14331</v>
      </c>
      <c r="O312" t="s">
        <v>32633</v>
      </c>
    </row>
    <row r="313" spans="1:15" x14ac:dyDescent="0.25">
      <c r="A313" s="35" t="s">
        <v>4202</v>
      </c>
      <c r="B313" s="36" t="s">
        <v>4203</v>
      </c>
      <c r="C313" s="36" t="str">
        <f>HYPERLINK("https://rhld.insurance.arkansas.gov/NPILookup?Npi=1033176250","1033176250")</f>
        <v>1033176250</v>
      </c>
      <c r="D313" s="36" t="s">
        <v>32948</v>
      </c>
      <c r="E313" s="36" t="s">
        <v>1</v>
      </c>
      <c r="F313" s="36">
        <v>1</v>
      </c>
      <c r="G313" s="36">
        <v>3</v>
      </c>
      <c r="H313" s="36">
        <v>0</v>
      </c>
      <c r="I313" s="37">
        <v>0</v>
      </c>
      <c r="J313" s="36" t="s">
        <v>32654</v>
      </c>
      <c r="K313" s="36" t="s">
        <v>14330</v>
      </c>
      <c r="L313" s="36" t="s">
        <v>14330</v>
      </c>
      <c r="M313">
        <v>2</v>
      </c>
      <c r="N313" t="s">
        <v>14331</v>
      </c>
      <c r="O313" t="s">
        <v>32633</v>
      </c>
    </row>
    <row r="314" spans="1:15" x14ac:dyDescent="0.25">
      <c r="A314" s="35" t="s">
        <v>4202</v>
      </c>
      <c r="B314" s="36" t="s">
        <v>4203</v>
      </c>
      <c r="C314" s="36" t="str">
        <f>HYPERLINK("https://rhld.insurance.arkansas.gov/NPILookup?Npi=1033258249","1033258249")</f>
        <v>1033258249</v>
      </c>
      <c r="D314" s="36" t="s">
        <v>32949</v>
      </c>
      <c r="E314" s="36" t="s">
        <v>2</v>
      </c>
      <c r="F314" s="36">
        <v>1</v>
      </c>
      <c r="G314" s="36">
        <v>2</v>
      </c>
      <c r="H314" s="36">
        <v>0</v>
      </c>
      <c r="I314" s="37">
        <v>0</v>
      </c>
      <c r="J314" s="36" t="s">
        <v>32679</v>
      </c>
      <c r="K314" s="36" t="s">
        <v>14330</v>
      </c>
      <c r="L314" s="36" t="s">
        <v>14330</v>
      </c>
      <c r="M314">
        <v>3</v>
      </c>
      <c r="N314" t="s">
        <v>14331</v>
      </c>
      <c r="O314" t="s">
        <v>14333</v>
      </c>
    </row>
    <row r="315" spans="1:15" x14ac:dyDescent="0.25">
      <c r="A315" s="35" t="s">
        <v>4202</v>
      </c>
      <c r="B315" s="36" t="s">
        <v>4203</v>
      </c>
      <c r="C315" s="36" t="str">
        <f>HYPERLINK("https://rhld.insurance.arkansas.gov/NPILookup?Npi=1033283155","1033283155")</f>
        <v>1033283155</v>
      </c>
      <c r="D315" s="36" t="s">
        <v>32950</v>
      </c>
      <c r="E315" s="36" t="s">
        <v>1</v>
      </c>
      <c r="F315" s="36">
        <v>1</v>
      </c>
      <c r="G315" s="36">
        <v>3</v>
      </c>
      <c r="H315" s="36">
        <v>0</v>
      </c>
      <c r="I315" s="37">
        <v>0</v>
      </c>
      <c r="J315" s="36" t="s">
        <v>32654</v>
      </c>
      <c r="K315" s="36" t="s">
        <v>14330</v>
      </c>
      <c r="L315" s="36" t="s">
        <v>14330</v>
      </c>
      <c r="M315">
        <v>2</v>
      </c>
      <c r="N315" t="s">
        <v>14331</v>
      </c>
      <c r="O315" t="s">
        <v>32633</v>
      </c>
    </row>
    <row r="316" spans="1:15" x14ac:dyDescent="0.25">
      <c r="A316" s="35" t="s">
        <v>4202</v>
      </c>
      <c r="B316" s="36" t="s">
        <v>4203</v>
      </c>
      <c r="C316" s="36" t="str">
        <f>HYPERLINK("https://rhld.insurance.arkansas.gov/NPILookup?Npi=1033311980","1033311980")</f>
        <v>1033311980</v>
      </c>
      <c r="D316" s="36" t="s">
        <v>32951</v>
      </c>
      <c r="E316" s="36" t="s">
        <v>2</v>
      </c>
      <c r="F316" s="36">
        <v>1</v>
      </c>
      <c r="G316" s="36">
        <v>2</v>
      </c>
      <c r="H316" s="36">
        <v>0</v>
      </c>
      <c r="I316" s="37">
        <v>0</v>
      </c>
      <c r="J316" s="36" t="s">
        <v>32679</v>
      </c>
      <c r="K316" s="36" t="s">
        <v>14330</v>
      </c>
      <c r="L316" s="36" t="s">
        <v>14330</v>
      </c>
      <c r="M316">
        <v>2</v>
      </c>
      <c r="N316" t="s">
        <v>14331</v>
      </c>
      <c r="O316" t="s">
        <v>14333</v>
      </c>
    </row>
    <row r="317" spans="1:15" x14ac:dyDescent="0.25">
      <c r="A317" s="35" t="s">
        <v>4202</v>
      </c>
      <c r="B317" s="36" t="s">
        <v>4203</v>
      </c>
      <c r="C317" s="36" t="str">
        <f>HYPERLINK("https://rhld.insurance.arkansas.gov/NPILookup?Npi=1033587860","1033587860")</f>
        <v>1033587860</v>
      </c>
      <c r="D317" s="36" t="s">
        <v>32952</v>
      </c>
      <c r="E317" s="36" t="s">
        <v>1</v>
      </c>
      <c r="F317" s="36">
        <v>1</v>
      </c>
      <c r="G317" s="36">
        <v>2</v>
      </c>
      <c r="H317" s="36">
        <v>0</v>
      </c>
      <c r="I317" s="37">
        <v>0</v>
      </c>
      <c r="J317" s="36" t="s">
        <v>32654</v>
      </c>
      <c r="K317" s="36" t="s">
        <v>14330</v>
      </c>
      <c r="L317" s="36" t="s">
        <v>14330</v>
      </c>
      <c r="M317">
        <v>1</v>
      </c>
      <c r="N317" t="s">
        <v>14331</v>
      </c>
      <c r="O317" t="s">
        <v>32633</v>
      </c>
    </row>
    <row r="318" spans="1:15" x14ac:dyDescent="0.25">
      <c r="A318" s="35" t="s">
        <v>4202</v>
      </c>
      <c r="B318" s="36" t="s">
        <v>4203</v>
      </c>
      <c r="C318" s="36" t="str">
        <f>HYPERLINK("https://rhld.insurance.arkansas.gov/NPILookup?Npi=1043499437","1043499437")</f>
        <v>1043499437</v>
      </c>
      <c r="D318" s="36" t="s">
        <v>32953</v>
      </c>
      <c r="E318" s="36" t="s">
        <v>2</v>
      </c>
      <c r="F318" s="36">
        <v>1</v>
      </c>
      <c r="G318" s="36">
        <v>1</v>
      </c>
      <c r="H318" s="36">
        <v>0</v>
      </c>
      <c r="I318" s="37">
        <v>0</v>
      </c>
      <c r="J318" s="36" t="s">
        <v>32679</v>
      </c>
      <c r="K318" s="36" t="s">
        <v>14330</v>
      </c>
      <c r="L318" s="36" t="s">
        <v>14330</v>
      </c>
      <c r="M318">
        <v>2</v>
      </c>
      <c r="N318" t="s">
        <v>14331</v>
      </c>
      <c r="O318" t="s">
        <v>32633</v>
      </c>
    </row>
    <row r="319" spans="1:15" x14ac:dyDescent="0.25">
      <c r="A319" s="35" t="s">
        <v>4202</v>
      </c>
      <c r="B319" s="36" t="s">
        <v>4203</v>
      </c>
      <c r="C319" s="36" t="str">
        <f>HYPERLINK("https://rhld.insurance.arkansas.gov/NPILookup?Npi=1043553167","1043553167")</f>
        <v>1043553167</v>
      </c>
      <c r="D319" s="36" t="s">
        <v>32954</v>
      </c>
      <c r="E319" s="36" t="s">
        <v>1</v>
      </c>
      <c r="F319" s="36">
        <v>1</v>
      </c>
      <c r="G319" s="36">
        <v>2</v>
      </c>
      <c r="H319" s="36">
        <v>0</v>
      </c>
      <c r="I319" s="37">
        <v>0</v>
      </c>
      <c r="J319" s="36" t="s">
        <v>32654</v>
      </c>
      <c r="K319" s="36" t="s">
        <v>14330</v>
      </c>
      <c r="L319" s="36" t="s">
        <v>14330</v>
      </c>
      <c r="M319">
        <v>2</v>
      </c>
      <c r="N319" t="s">
        <v>14331</v>
      </c>
      <c r="O319" t="s">
        <v>32633</v>
      </c>
    </row>
    <row r="320" spans="1:15" x14ac:dyDescent="0.25">
      <c r="A320" s="35" t="s">
        <v>4202</v>
      </c>
      <c r="B320" s="36" t="s">
        <v>4203</v>
      </c>
      <c r="C320" s="36" t="str">
        <f>HYPERLINK("https://rhld.insurance.arkansas.gov/NPILookup?Npi=1043878051","1043878051")</f>
        <v>1043878051</v>
      </c>
      <c r="D320" s="36" t="s">
        <v>32955</v>
      </c>
      <c r="E320" s="36" t="s">
        <v>1</v>
      </c>
      <c r="F320" s="36">
        <v>1</v>
      </c>
      <c r="G320" s="36">
        <v>2</v>
      </c>
      <c r="H320" s="36">
        <v>0</v>
      </c>
      <c r="I320" s="37">
        <v>0</v>
      </c>
      <c r="J320" s="36" t="s">
        <v>32654</v>
      </c>
      <c r="K320" s="36" t="s">
        <v>14330</v>
      </c>
      <c r="L320" s="36" t="s">
        <v>14330</v>
      </c>
      <c r="M320">
        <v>3</v>
      </c>
      <c r="N320" t="s">
        <v>14331</v>
      </c>
      <c r="O320" t="s">
        <v>32633</v>
      </c>
    </row>
    <row r="321" spans="1:15" x14ac:dyDescent="0.25">
      <c r="A321" s="35" t="s">
        <v>4202</v>
      </c>
      <c r="B321" s="36" t="s">
        <v>4203</v>
      </c>
      <c r="C321" s="36" t="str">
        <f>HYPERLINK("https://rhld.insurance.arkansas.gov/NPILookup?Npi=1053379149","1053379149")</f>
        <v>1053379149</v>
      </c>
      <c r="D321" s="36" t="s">
        <v>32956</v>
      </c>
      <c r="E321" s="36" t="s">
        <v>1</v>
      </c>
      <c r="F321" s="36">
        <v>1</v>
      </c>
      <c r="G321" s="36">
        <v>3</v>
      </c>
      <c r="H321" s="36">
        <v>0</v>
      </c>
      <c r="I321" s="37">
        <v>0</v>
      </c>
      <c r="J321" s="36" t="s">
        <v>32723</v>
      </c>
      <c r="K321" s="36" t="s">
        <v>14330</v>
      </c>
      <c r="L321" s="36" t="s">
        <v>14330</v>
      </c>
      <c r="M321">
        <v>2</v>
      </c>
      <c r="N321" t="s">
        <v>14331</v>
      </c>
      <c r="O321" t="s">
        <v>32724</v>
      </c>
    </row>
    <row r="322" spans="1:15" x14ac:dyDescent="0.25">
      <c r="A322" s="35" t="s">
        <v>4202</v>
      </c>
      <c r="B322" s="36" t="s">
        <v>4203</v>
      </c>
      <c r="C322" s="36" t="str">
        <f>HYPERLINK("https://rhld.insurance.arkansas.gov/NPILookup?Npi=1053393785","1053393785")</f>
        <v>1053393785</v>
      </c>
      <c r="D322" s="36" t="s">
        <v>31257</v>
      </c>
      <c r="E322" s="36" t="s">
        <v>1</v>
      </c>
      <c r="F322" s="36">
        <v>1</v>
      </c>
      <c r="G322" s="36">
        <v>2</v>
      </c>
      <c r="H322" s="36">
        <v>0</v>
      </c>
      <c r="I322" s="37">
        <v>0</v>
      </c>
      <c r="J322" s="36" t="s">
        <v>32654</v>
      </c>
      <c r="K322" s="36" t="s">
        <v>14330</v>
      </c>
      <c r="L322" s="36" t="s">
        <v>14330</v>
      </c>
      <c r="M322">
        <v>3</v>
      </c>
      <c r="N322" t="s">
        <v>14331</v>
      </c>
      <c r="O322" t="s">
        <v>32633</v>
      </c>
    </row>
    <row r="323" spans="1:15" x14ac:dyDescent="0.25">
      <c r="A323" s="35" t="s">
        <v>4202</v>
      </c>
      <c r="B323" s="36" t="s">
        <v>4203</v>
      </c>
      <c r="C323" s="36" t="str">
        <f>HYPERLINK("https://rhld.insurance.arkansas.gov/NPILookup?Npi=1053411942","1053411942")</f>
        <v>1053411942</v>
      </c>
      <c r="D323" s="36" t="s">
        <v>32957</v>
      </c>
      <c r="E323" s="36" t="s">
        <v>1</v>
      </c>
      <c r="F323" s="36">
        <v>1</v>
      </c>
      <c r="G323" s="36">
        <v>3</v>
      </c>
      <c r="H323" s="36">
        <v>0</v>
      </c>
      <c r="I323" s="37">
        <v>0</v>
      </c>
      <c r="J323" s="36" t="s">
        <v>32654</v>
      </c>
      <c r="K323" s="36" t="s">
        <v>14330</v>
      </c>
      <c r="L323" s="36" t="s">
        <v>14330</v>
      </c>
      <c r="M323">
        <v>0</v>
      </c>
      <c r="N323" t="s">
        <v>14331</v>
      </c>
      <c r="O323" t="s">
        <v>32633</v>
      </c>
    </row>
    <row r="324" spans="1:15" x14ac:dyDescent="0.25">
      <c r="A324" s="35" t="s">
        <v>4202</v>
      </c>
      <c r="B324" s="36" t="s">
        <v>4203</v>
      </c>
      <c r="C324" s="36" t="str">
        <f>HYPERLINK("https://rhld.insurance.arkansas.gov/NPILookup?Npi=1053493122","1053493122")</f>
        <v>1053493122</v>
      </c>
      <c r="D324" s="36" t="s">
        <v>32958</v>
      </c>
      <c r="E324" s="36" t="s">
        <v>2</v>
      </c>
      <c r="F324" s="36">
        <v>1</v>
      </c>
      <c r="G324" s="36">
        <v>1</v>
      </c>
      <c r="H324" s="36">
        <v>1</v>
      </c>
      <c r="I324" s="37">
        <v>0</v>
      </c>
      <c r="J324" s="36" t="s">
        <v>32679</v>
      </c>
      <c r="K324" s="36" t="s">
        <v>14330</v>
      </c>
      <c r="L324" s="36" t="s">
        <v>32959</v>
      </c>
      <c r="M324">
        <v>3</v>
      </c>
      <c r="N324" t="s">
        <v>14332</v>
      </c>
      <c r="O324" t="s">
        <v>32591</v>
      </c>
    </row>
    <row r="325" spans="1:15" x14ac:dyDescent="0.25">
      <c r="A325" s="35" t="s">
        <v>4202</v>
      </c>
      <c r="B325" s="36" t="s">
        <v>4203</v>
      </c>
      <c r="C325" s="36" t="str">
        <f>HYPERLINK("https://rhld.insurance.arkansas.gov/NPILookup?Npi=1053536060","1053536060")</f>
        <v>1053536060</v>
      </c>
      <c r="D325" s="36" t="s">
        <v>32960</v>
      </c>
      <c r="E325" s="36" t="s">
        <v>1</v>
      </c>
      <c r="F325" s="36">
        <v>1</v>
      </c>
      <c r="G325" s="36">
        <v>3</v>
      </c>
      <c r="H325" s="36">
        <v>0</v>
      </c>
      <c r="I325" s="37">
        <v>0</v>
      </c>
      <c r="J325" s="36" t="s">
        <v>32654</v>
      </c>
      <c r="K325" s="36" t="s">
        <v>14330</v>
      </c>
      <c r="L325" s="36" t="s">
        <v>14330</v>
      </c>
      <c r="M325">
        <v>3</v>
      </c>
      <c r="N325" t="s">
        <v>14331</v>
      </c>
      <c r="O325" t="s">
        <v>32633</v>
      </c>
    </row>
    <row r="326" spans="1:15" x14ac:dyDescent="0.25">
      <c r="A326" s="35" t="s">
        <v>4202</v>
      </c>
      <c r="B326" s="36" t="s">
        <v>4203</v>
      </c>
      <c r="C326" s="36" t="str">
        <f>HYPERLINK("https://rhld.insurance.arkansas.gov/NPILookup?Npi=1063408409","1063408409")</f>
        <v>1063408409</v>
      </c>
      <c r="D326" s="36" t="s">
        <v>32961</v>
      </c>
      <c r="E326" s="36" t="s">
        <v>1</v>
      </c>
      <c r="F326" s="36">
        <v>1</v>
      </c>
      <c r="G326" s="36">
        <v>3</v>
      </c>
      <c r="H326" s="36">
        <v>0</v>
      </c>
      <c r="I326" s="37">
        <v>0</v>
      </c>
      <c r="J326" s="36" t="s">
        <v>32654</v>
      </c>
      <c r="K326" s="36" t="s">
        <v>14330</v>
      </c>
      <c r="L326" s="36" t="s">
        <v>14330</v>
      </c>
      <c r="M326">
        <v>1</v>
      </c>
      <c r="N326" t="s">
        <v>14331</v>
      </c>
      <c r="O326" t="s">
        <v>32633</v>
      </c>
    </row>
    <row r="327" spans="1:15" x14ac:dyDescent="0.25">
      <c r="A327" s="35" t="s">
        <v>4202</v>
      </c>
      <c r="B327" s="36" t="s">
        <v>4203</v>
      </c>
      <c r="C327" s="36" t="str">
        <f>HYPERLINK("https://rhld.insurance.arkansas.gov/NPILookup?Npi=1063445500","1063445500")</f>
        <v>1063445500</v>
      </c>
      <c r="D327" s="36" t="s">
        <v>32962</v>
      </c>
      <c r="E327" s="36" t="s">
        <v>2</v>
      </c>
      <c r="F327" s="36">
        <v>1</v>
      </c>
      <c r="G327" s="36">
        <v>1</v>
      </c>
      <c r="H327" s="36">
        <v>0</v>
      </c>
      <c r="I327" s="37">
        <v>0</v>
      </c>
      <c r="J327" s="36" t="s">
        <v>32679</v>
      </c>
      <c r="K327" s="36" t="s">
        <v>14330</v>
      </c>
      <c r="L327" s="36" t="s">
        <v>14330</v>
      </c>
      <c r="M327">
        <v>2</v>
      </c>
      <c r="N327" t="s">
        <v>14331</v>
      </c>
      <c r="O327" t="s">
        <v>32633</v>
      </c>
    </row>
    <row r="328" spans="1:15" x14ac:dyDescent="0.25">
      <c r="A328" s="35" t="s">
        <v>4202</v>
      </c>
      <c r="B328" s="36" t="s">
        <v>4203</v>
      </c>
      <c r="C328" s="36" t="str">
        <f>HYPERLINK("https://rhld.insurance.arkansas.gov/NPILookup?Npi=1063526606","1063526606")</f>
        <v>1063526606</v>
      </c>
      <c r="D328" s="36" t="s">
        <v>32963</v>
      </c>
      <c r="E328" s="36" t="s">
        <v>1</v>
      </c>
      <c r="F328" s="36">
        <v>1</v>
      </c>
      <c r="G328" s="36">
        <v>2</v>
      </c>
      <c r="H328" s="36">
        <v>0</v>
      </c>
      <c r="I328" s="37">
        <v>0</v>
      </c>
      <c r="J328" s="36" t="s">
        <v>32723</v>
      </c>
      <c r="K328" s="36" t="s">
        <v>14330</v>
      </c>
      <c r="L328" s="36" t="s">
        <v>14330</v>
      </c>
      <c r="M328">
        <v>3</v>
      </c>
      <c r="N328" t="s">
        <v>14331</v>
      </c>
      <c r="O328" t="s">
        <v>32724</v>
      </c>
    </row>
    <row r="329" spans="1:15" x14ac:dyDescent="0.25">
      <c r="A329" s="35" t="s">
        <v>4202</v>
      </c>
      <c r="B329" s="36" t="s">
        <v>4203</v>
      </c>
      <c r="C329" s="36" t="str">
        <f>HYPERLINK("https://rhld.insurance.arkansas.gov/NPILookup?Npi=1063526614","1063526614")</f>
        <v>1063526614</v>
      </c>
      <c r="D329" s="36" t="s">
        <v>32964</v>
      </c>
      <c r="E329" s="36" t="s">
        <v>1</v>
      </c>
      <c r="F329" s="36">
        <v>1</v>
      </c>
      <c r="G329" s="36">
        <v>3</v>
      </c>
      <c r="H329" s="36">
        <v>0</v>
      </c>
      <c r="I329" s="37">
        <v>0</v>
      </c>
      <c r="J329" s="36" t="s">
        <v>32654</v>
      </c>
      <c r="K329" s="36" t="s">
        <v>14330</v>
      </c>
      <c r="L329" s="36" t="s">
        <v>14330</v>
      </c>
      <c r="M329">
        <v>2</v>
      </c>
      <c r="N329" t="s">
        <v>14331</v>
      </c>
      <c r="O329" t="s">
        <v>32633</v>
      </c>
    </row>
    <row r="330" spans="1:15" x14ac:dyDescent="0.25">
      <c r="A330" s="35" t="s">
        <v>4202</v>
      </c>
      <c r="B330" s="36" t="s">
        <v>4203</v>
      </c>
      <c r="C330" s="36" t="str">
        <f>HYPERLINK("https://rhld.insurance.arkansas.gov/NPILookup?Npi=1063540615","1063540615")</f>
        <v>1063540615</v>
      </c>
      <c r="D330" s="36" t="s">
        <v>32965</v>
      </c>
      <c r="E330" s="36" t="s">
        <v>1</v>
      </c>
      <c r="F330" s="36">
        <v>1</v>
      </c>
      <c r="G330" s="36">
        <v>2</v>
      </c>
      <c r="H330" s="36">
        <v>0</v>
      </c>
      <c r="I330" s="37">
        <v>0</v>
      </c>
      <c r="J330" s="36" t="s">
        <v>32723</v>
      </c>
      <c r="K330" s="36" t="s">
        <v>14330</v>
      </c>
      <c r="L330" s="36" t="s">
        <v>14330</v>
      </c>
      <c r="M330">
        <v>2</v>
      </c>
      <c r="N330" t="s">
        <v>14331</v>
      </c>
      <c r="O330" t="s">
        <v>32724</v>
      </c>
    </row>
    <row r="331" spans="1:15" x14ac:dyDescent="0.25">
      <c r="A331" s="35" t="s">
        <v>4202</v>
      </c>
      <c r="B331" s="36" t="s">
        <v>4203</v>
      </c>
      <c r="C331" s="36" t="str">
        <f>HYPERLINK("https://rhld.insurance.arkansas.gov/NPILookup?Npi=1063585164","1063585164")</f>
        <v>1063585164</v>
      </c>
      <c r="D331" s="36" t="s">
        <v>32966</v>
      </c>
      <c r="E331" s="36" t="s">
        <v>1</v>
      </c>
      <c r="F331" s="36">
        <v>1</v>
      </c>
      <c r="G331" s="36">
        <v>2</v>
      </c>
      <c r="H331" s="36">
        <v>0</v>
      </c>
      <c r="I331" s="37">
        <v>0</v>
      </c>
      <c r="J331" s="36" t="s">
        <v>32654</v>
      </c>
      <c r="K331" s="36" t="s">
        <v>14330</v>
      </c>
      <c r="L331" s="36" t="s">
        <v>14330</v>
      </c>
      <c r="M331">
        <v>2</v>
      </c>
      <c r="N331" t="s">
        <v>14331</v>
      </c>
      <c r="O331" t="s">
        <v>32633</v>
      </c>
    </row>
    <row r="332" spans="1:15" x14ac:dyDescent="0.25">
      <c r="A332" s="35" t="s">
        <v>4202</v>
      </c>
      <c r="B332" s="36" t="s">
        <v>4203</v>
      </c>
      <c r="C332" s="36" t="str">
        <f>HYPERLINK("https://rhld.insurance.arkansas.gov/NPILookup?Npi=1063675650","1063675650")</f>
        <v>1063675650</v>
      </c>
      <c r="D332" s="36" t="s">
        <v>32967</v>
      </c>
      <c r="E332" s="36" t="s">
        <v>1</v>
      </c>
      <c r="F332" s="36">
        <v>1</v>
      </c>
      <c r="G332" s="36">
        <v>2</v>
      </c>
      <c r="H332" s="36">
        <v>0</v>
      </c>
      <c r="I332" s="37">
        <v>0</v>
      </c>
      <c r="J332" s="36" t="s">
        <v>32654</v>
      </c>
      <c r="K332" s="36" t="s">
        <v>14330</v>
      </c>
      <c r="L332" s="36" t="s">
        <v>14330</v>
      </c>
      <c r="M332">
        <v>2</v>
      </c>
      <c r="N332" t="s">
        <v>14331</v>
      </c>
      <c r="O332" t="s">
        <v>32633</v>
      </c>
    </row>
    <row r="333" spans="1:15" x14ac:dyDescent="0.25">
      <c r="A333" s="35" t="s">
        <v>4202</v>
      </c>
      <c r="B333" s="36" t="s">
        <v>4203</v>
      </c>
      <c r="C333" s="36" t="str">
        <f>HYPERLINK("https://rhld.insurance.arkansas.gov/NPILookup?Npi=1063684702","1063684702")</f>
        <v>1063684702</v>
      </c>
      <c r="D333" s="36" t="s">
        <v>32968</v>
      </c>
      <c r="E333" s="36" t="s">
        <v>1</v>
      </c>
      <c r="F333" s="36">
        <v>1</v>
      </c>
      <c r="G333" s="36">
        <v>2</v>
      </c>
      <c r="H333" s="36">
        <v>0</v>
      </c>
      <c r="I333" s="37">
        <v>0</v>
      </c>
      <c r="J333" s="36" t="s">
        <v>32654</v>
      </c>
      <c r="K333" s="36" t="s">
        <v>14330</v>
      </c>
      <c r="L333" s="36" t="s">
        <v>14330</v>
      </c>
      <c r="M333">
        <v>3</v>
      </c>
      <c r="N333" t="s">
        <v>14331</v>
      </c>
      <c r="O333" t="s">
        <v>32633</v>
      </c>
    </row>
    <row r="334" spans="1:15" x14ac:dyDescent="0.25">
      <c r="A334" s="35" t="s">
        <v>4202</v>
      </c>
      <c r="B334" s="36" t="s">
        <v>4203</v>
      </c>
      <c r="C334" s="36" t="str">
        <f>HYPERLINK("https://rhld.insurance.arkansas.gov/NPILookup?Npi=1063855302","1063855302")</f>
        <v>1063855302</v>
      </c>
      <c r="D334" s="36" t="s">
        <v>32969</v>
      </c>
      <c r="E334" s="36" t="s">
        <v>1</v>
      </c>
      <c r="F334" s="36">
        <v>1</v>
      </c>
      <c r="G334" s="36">
        <v>3</v>
      </c>
      <c r="H334" s="36">
        <v>0</v>
      </c>
      <c r="I334" s="37">
        <v>0</v>
      </c>
      <c r="J334" s="36" t="s">
        <v>32654</v>
      </c>
      <c r="K334" s="36" t="s">
        <v>14330</v>
      </c>
      <c r="L334" s="36" t="s">
        <v>14330</v>
      </c>
      <c r="M334">
        <v>2</v>
      </c>
      <c r="N334" t="s">
        <v>14331</v>
      </c>
      <c r="O334" t="s">
        <v>32633</v>
      </c>
    </row>
    <row r="335" spans="1:15" x14ac:dyDescent="0.25">
      <c r="A335" s="35" t="s">
        <v>4202</v>
      </c>
      <c r="B335" s="36" t="s">
        <v>4203</v>
      </c>
      <c r="C335" s="36" t="str">
        <f>HYPERLINK("https://rhld.insurance.arkansas.gov/NPILookup?Npi=1063876357","1063876357")</f>
        <v>1063876357</v>
      </c>
      <c r="D335" s="36" t="s">
        <v>32970</v>
      </c>
      <c r="E335" s="36" t="s">
        <v>2</v>
      </c>
      <c r="F335" s="36">
        <v>1</v>
      </c>
      <c r="G335" s="36">
        <v>2</v>
      </c>
      <c r="H335" s="36">
        <v>0</v>
      </c>
      <c r="I335" s="37">
        <v>0</v>
      </c>
      <c r="J335" s="36"/>
      <c r="K335" s="36" t="s">
        <v>14330</v>
      </c>
      <c r="L335" s="36" t="s">
        <v>14330</v>
      </c>
      <c r="M335">
        <v>1</v>
      </c>
      <c r="N335" t="s">
        <v>14332</v>
      </c>
      <c r="O335" t="s">
        <v>32931</v>
      </c>
    </row>
    <row r="336" spans="1:15" x14ac:dyDescent="0.25">
      <c r="A336" s="35" t="s">
        <v>4202</v>
      </c>
      <c r="B336" s="36" t="s">
        <v>4203</v>
      </c>
      <c r="C336" s="36" t="str">
        <f>HYPERLINK("https://rhld.insurance.arkansas.gov/NPILookup?Npi=1063892529","1063892529")</f>
        <v>1063892529</v>
      </c>
      <c r="D336" s="36" t="s">
        <v>32971</v>
      </c>
      <c r="E336" s="36" t="s">
        <v>1</v>
      </c>
      <c r="F336" s="36">
        <v>1</v>
      </c>
      <c r="G336" s="36">
        <v>1</v>
      </c>
      <c r="H336" s="36">
        <v>0</v>
      </c>
      <c r="I336" s="37">
        <v>0</v>
      </c>
      <c r="J336" s="36" t="s">
        <v>32654</v>
      </c>
      <c r="K336" s="36" t="s">
        <v>14330</v>
      </c>
      <c r="L336" s="36" t="s">
        <v>14330</v>
      </c>
      <c r="M336">
        <v>2</v>
      </c>
      <c r="N336" t="s">
        <v>14331</v>
      </c>
      <c r="O336" t="s">
        <v>32633</v>
      </c>
    </row>
    <row r="337" spans="1:15" x14ac:dyDescent="0.25">
      <c r="A337" s="35" t="s">
        <v>4202</v>
      </c>
      <c r="B337" s="36" t="s">
        <v>4203</v>
      </c>
      <c r="C337" s="36" t="str">
        <f>HYPERLINK("https://rhld.insurance.arkansas.gov/NPILookup?Npi=1073019758","1073019758")</f>
        <v>1073019758</v>
      </c>
      <c r="D337" s="36" t="s">
        <v>32972</v>
      </c>
      <c r="E337" s="36" t="s">
        <v>2</v>
      </c>
      <c r="F337" s="36">
        <v>1</v>
      </c>
      <c r="G337" s="36">
        <v>2</v>
      </c>
      <c r="H337" s="36">
        <v>0</v>
      </c>
      <c r="I337" s="37">
        <v>0</v>
      </c>
      <c r="J337" s="36" t="s">
        <v>32679</v>
      </c>
      <c r="K337" s="36" t="s">
        <v>14330</v>
      </c>
      <c r="L337" s="36" t="s">
        <v>14330</v>
      </c>
      <c r="M337">
        <v>2</v>
      </c>
      <c r="N337" t="s">
        <v>14331</v>
      </c>
      <c r="O337" t="s">
        <v>32633</v>
      </c>
    </row>
    <row r="338" spans="1:15" x14ac:dyDescent="0.25">
      <c r="A338" s="35" t="s">
        <v>4202</v>
      </c>
      <c r="B338" s="36" t="s">
        <v>4203</v>
      </c>
      <c r="C338" s="36" t="str">
        <f>HYPERLINK("https://rhld.insurance.arkansas.gov/NPILookup?Npi=1073133179","1073133179")</f>
        <v>1073133179</v>
      </c>
      <c r="D338" s="36" t="s">
        <v>32973</v>
      </c>
      <c r="E338" s="36" t="s">
        <v>1</v>
      </c>
      <c r="F338" s="36">
        <v>1</v>
      </c>
      <c r="G338" s="36">
        <v>2</v>
      </c>
      <c r="H338" s="36">
        <v>0</v>
      </c>
      <c r="I338" s="37">
        <v>0</v>
      </c>
      <c r="J338" s="36" t="s">
        <v>32723</v>
      </c>
      <c r="K338" s="36" t="s">
        <v>14330</v>
      </c>
      <c r="L338" s="36" t="s">
        <v>14330</v>
      </c>
      <c r="M338">
        <v>4</v>
      </c>
      <c r="N338" t="s">
        <v>14331</v>
      </c>
      <c r="O338" t="s">
        <v>32724</v>
      </c>
    </row>
    <row r="339" spans="1:15" x14ac:dyDescent="0.25">
      <c r="A339" s="35" t="s">
        <v>4202</v>
      </c>
      <c r="B339" s="36" t="s">
        <v>4203</v>
      </c>
      <c r="C339" s="36" t="str">
        <f>HYPERLINK("https://rhld.insurance.arkansas.gov/NPILookup?Npi=1073512828","1073512828")</f>
        <v>1073512828</v>
      </c>
      <c r="D339" s="36" t="s">
        <v>32974</v>
      </c>
      <c r="E339" s="36" t="s">
        <v>1</v>
      </c>
      <c r="F339" s="36">
        <v>1</v>
      </c>
      <c r="G339" s="36">
        <v>4</v>
      </c>
      <c r="H339" s="36">
        <v>0</v>
      </c>
      <c r="I339" s="37">
        <v>0</v>
      </c>
      <c r="J339" s="36" t="s">
        <v>32654</v>
      </c>
      <c r="K339" s="36" t="s">
        <v>14330</v>
      </c>
      <c r="L339" s="36" t="s">
        <v>14330</v>
      </c>
      <c r="M339">
        <v>3</v>
      </c>
      <c r="N339" t="s">
        <v>14331</v>
      </c>
      <c r="O339" t="s">
        <v>32633</v>
      </c>
    </row>
    <row r="340" spans="1:15" x14ac:dyDescent="0.25">
      <c r="A340" s="35" t="s">
        <v>4202</v>
      </c>
      <c r="B340" s="36" t="s">
        <v>4203</v>
      </c>
      <c r="C340" s="36" t="str">
        <f>HYPERLINK("https://rhld.insurance.arkansas.gov/NPILookup?Npi=1073521282","1073521282")</f>
        <v>1073521282</v>
      </c>
      <c r="D340" s="36" t="s">
        <v>32975</v>
      </c>
      <c r="E340" s="36" t="s">
        <v>1</v>
      </c>
      <c r="F340" s="36">
        <v>1</v>
      </c>
      <c r="G340" s="36">
        <v>3</v>
      </c>
      <c r="H340" s="36">
        <v>0</v>
      </c>
      <c r="I340" s="37">
        <v>0</v>
      </c>
      <c r="J340" s="36" t="s">
        <v>32654</v>
      </c>
      <c r="K340" s="36" t="s">
        <v>14330</v>
      </c>
      <c r="L340" s="36" t="s">
        <v>14330</v>
      </c>
      <c r="M340">
        <v>3</v>
      </c>
      <c r="N340" t="s">
        <v>14331</v>
      </c>
      <c r="O340" t="s">
        <v>32633</v>
      </c>
    </row>
    <row r="341" spans="1:15" x14ac:dyDescent="0.25">
      <c r="A341" s="35" t="s">
        <v>4202</v>
      </c>
      <c r="B341" s="36" t="s">
        <v>4203</v>
      </c>
      <c r="C341" s="36" t="str">
        <f>HYPERLINK("https://rhld.insurance.arkansas.gov/NPILookup?Npi=1073533956","1073533956")</f>
        <v>1073533956</v>
      </c>
      <c r="D341" s="36" t="s">
        <v>32976</v>
      </c>
      <c r="E341" s="36" t="s">
        <v>1</v>
      </c>
      <c r="F341" s="36">
        <v>1</v>
      </c>
      <c r="G341" s="36">
        <v>3</v>
      </c>
      <c r="H341" s="36">
        <v>0</v>
      </c>
      <c r="I341" s="37">
        <v>0</v>
      </c>
      <c r="J341" s="36" t="s">
        <v>32654</v>
      </c>
      <c r="K341" s="36" t="s">
        <v>14330</v>
      </c>
      <c r="L341" s="36" t="s">
        <v>14330</v>
      </c>
      <c r="M341">
        <v>3</v>
      </c>
      <c r="N341" t="s">
        <v>14331</v>
      </c>
      <c r="O341" t="s">
        <v>32633</v>
      </c>
    </row>
    <row r="342" spans="1:15" x14ac:dyDescent="0.25">
      <c r="A342" s="35" t="s">
        <v>4202</v>
      </c>
      <c r="B342" s="36" t="s">
        <v>4203</v>
      </c>
      <c r="C342" s="36" t="str">
        <f>HYPERLINK("https://rhld.insurance.arkansas.gov/NPILookup?Npi=1073687505","1073687505")</f>
        <v>1073687505</v>
      </c>
      <c r="D342" s="36" t="s">
        <v>32977</v>
      </c>
      <c r="E342" s="36" t="s">
        <v>1</v>
      </c>
      <c r="F342" s="36">
        <v>1</v>
      </c>
      <c r="G342" s="36">
        <v>3</v>
      </c>
      <c r="H342" s="36">
        <v>0</v>
      </c>
      <c r="I342" s="37">
        <v>0</v>
      </c>
      <c r="J342" s="36" t="s">
        <v>32654</v>
      </c>
      <c r="K342" s="36" t="s">
        <v>14330</v>
      </c>
      <c r="L342" s="36" t="s">
        <v>14330</v>
      </c>
      <c r="M342">
        <v>2</v>
      </c>
      <c r="N342" t="s">
        <v>14331</v>
      </c>
      <c r="O342" t="s">
        <v>32633</v>
      </c>
    </row>
    <row r="343" spans="1:15" x14ac:dyDescent="0.25">
      <c r="A343" s="35" t="s">
        <v>4202</v>
      </c>
      <c r="B343" s="36" t="s">
        <v>4203</v>
      </c>
      <c r="C343" s="36" t="str">
        <f>HYPERLINK("https://rhld.insurance.arkansas.gov/NPILookup?Npi=1073967246","1073967246")</f>
        <v>1073967246</v>
      </c>
      <c r="D343" s="36" t="s">
        <v>32978</v>
      </c>
      <c r="E343" s="36" t="s">
        <v>2</v>
      </c>
      <c r="F343" s="36">
        <v>1</v>
      </c>
      <c r="G343" s="36">
        <v>2</v>
      </c>
      <c r="H343" s="36">
        <v>0</v>
      </c>
      <c r="I343" s="37">
        <v>0</v>
      </c>
      <c r="J343" s="36"/>
      <c r="K343" s="36" t="s">
        <v>14330</v>
      </c>
      <c r="L343" s="36" t="s">
        <v>14330</v>
      </c>
      <c r="M343">
        <v>1</v>
      </c>
      <c r="N343" t="s">
        <v>14332</v>
      </c>
      <c r="O343" t="s">
        <v>32931</v>
      </c>
    </row>
    <row r="344" spans="1:15" x14ac:dyDescent="0.25">
      <c r="A344" s="35" t="s">
        <v>4202</v>
      </c>
      <c r="B344" s="36" t="s">
        <v>4203</v>
      </c>
      <c r="C344" s="36" t="str">
        <f>HYPERLINK("https://rhld.insurance.arkansas.gov/NPILookup?Npi=1083174502","1083174502")</f>
        <v>1083174502</v>
      </c>
      <c r="D344" s="36" t="s">
        <v>32979</v>
      </c>
      <c r="E344" s="36" t="s">
        <v>1</v>
      </c>
      <c r="F344" s="36">
        <v>1</v>
      </c>
      <c r="G344" s="36">
        <v>1</v>
      </c>
      <c r="H344" s="36">
        <v>0</v>
      </c>
      <c r="I344" s="37">
        <v>0</v>
      </c>
      <c r="J344" s="36" t="s">
        <v>32723</v>
      </c>
      <c r="K344" s="36" t="s">
        <v>14330</v>
      </c>
      <c r="L344" s="36" t="s">
        <v>14330</v>
      </c>
      <c r="M344">
        <v>3</v>
      </c>
      <c r="N344" t="s">
        <v>14331</v>
      </c>
      <c r="O344" t="s">
        <v>32724</v>
      </c>
    </row>
    <row r="345" spans="1:15" x14ac:dyDescent="0.25">
      <c r="A345" s="35" t="s">
        <v>4202</v>
      </c>
      <c r="B345" s="36" t="s">
        <v>4203</v>
      </c>
      <c r="C345" s="36" t="str">
        <f>HYPERLINK("https://rhld.insurance.arkansas.gov/NPILookup?Npi=1083235113","1083235113")</f>
        <v>1083235113</v>
      </c>
      <c r="D345" s="36" t="s">
        <v>32980</v>
      </c>
      <c r="E345" s="36" t="s">
        <v>1</v>
      </c>
      <c r="F345" s="36">
        <v>1</v>
      </c>
      <c r="G345" s="36">
        <v>3</v>
      </c>
      <c r="H345" s="36">
        <v>0</v>
      </c>
      <c r="I345" s="37">
        <v>0</v>
      </c>
      <c r="J345" s="36" t="s">
        <v>32723</v>
      </c>
      <c r="K345" s="36" t="s">
        <v>14330</v>
      </c>
      <c r="L345" s="36" t="s">
        <v>14330</v>
      </c>
      <c r="M345">
        <v>2</v>
      </c>
      <c r="N345" t="s">
        <v>14331</v>
      </c>
      <c r="O345" t="s">
        <v>32724</v>
      </c>
    </row>
    <row r="346" spans="1:15" x14ac:dyDescent="0.25">
      <c r="A346" s="35" t="s">
        <v>4202</v>
      </c>
      <c r="B346" s="36" t="s">
        <v>4203</v>
      </c>
      <c r="C346" s="36" t="str">
        <f>HYPERLINK("https://rhld.insurance.arkansas.gov/NPILookup?Npi=1083675284","1083675284")</f>
        <v>1083675284</v>
      </c>
      <c r="D346" s="36" t="s">
        <v>32981</v>
      </c>
      <c r="E346" s="36" t="s">
        <v>1</v>
      </c>
      <c r="F346" s="36">
        <v>1</v>
      </c>
      <c r="G346" s="36">
        <v>2</v>
      </c>
      <c r="H346" s="36">
        <v>0</v>
      </c>
      <c r="I346" s="37">
        <v>0</v>
      </c>
      <c r="J346" s="36" t="s">
        <v>32723</v>
      </c>
      <c r="K346" s="36" t="s">
        <v>14330</v>
      </c>
      <c r="L346" s="36" t="s">
        <v>14330</v>
      </c>
      <c r="M346">
        <v>4</v>
      </c>
      <c r="N346" t="s">
        <v>14331</v>
      </c>
      <c r="O346" t="s">
        <v>32724</v>
      </c>
    </row>
    <row r="347" spans="1:15" x14ac:dyDescent="0.25">
      <c r="A347" s="35" t="s">
        <v>4202</v>
      </c>
      <c r="B347" s="36" t="s">
        <v>4203</v>
      </c>
      <c r="C347" s="36" t="str">
        <f>HYPERLINK("https://rhld.insurance.arkansas.gov/NPILookup?Npi=1083689855","1083689855")</f>
        <v>1083689855</v>
      </c>
      <c r="D347" s="36" t="s">
        <v>32982</v>
      </c>
      <c r="E347" s="36" t="s">
        <v>1</v>
      </c>
      <c r="F347" s="36">
        <v>1</v>
      </c>
      <c r="G347" s="36">
        <v>4</v>
      </c>
      <c r="H347" s="36">
        <v>0</v>
      </c>
      <c r="I347" s="37">
        <v>0</v>
      </c>
      <c r="J347" s="36" t="s">
        <v>32654</v>
      </c>
      <c r="K347" s="36" t="s">
        <v>14330</v>
      </c>
      <c r="L347" s="36" t="s">
        <v>14330</v>
      </c>
      <c r="M347">
        <v>2</v>
      </c>
      <c r="N347" t="s">
        <v>14331</v>
      </c>
      <c r="O347" t="s">
        <v>32633</v>
      </c>
    </row>
    <row r="348" spans="1:15" x14ac:dyDescent="0.25">
      <c r="A348" s="35" t="s">
        <v>4202</v>
      </c>
      <c r="B348" s="36" t="s">
        <v>4203</v>
      </c>
      <c r="C348" s="36" t="str">
        <f>HYPERLINK("https://rhld.insurance.arkansas.gov/NPILookup?Npi=1093037632","1093037632")</f>
        <v>1093037632</v>
      </c>
      <c r="D348" s="36" t="s">
        <v>32983</v>
      </c>
      <c r="E348" s="36" t="s">
        <v>1</v>
      </c>
      <c r="F348" s="36">
        <v>1</v>
      </c>
      <c r="G348" s="36">
        <v>2</v>
      </c>
      <c r="H348" s="36">
        <v>0</v>
      </c>
      <c r="I348" s="37">
        <v>0</v>
      </c>
      <c r="J348" s="36" t="s">
        <v>32723</v>
      </c>
      <c r="K348" s="36" t="s">
        <v>14330</v>
      </c>
      <c r="L348" s="36" t="s">
        <v>14330</v>
      </c>
      <c r="M348">
        <v>3</v>
      </c>
      <c r="N348" t="s">
        <v>14331</v>
      </c>
      <c r="O348" t="s">
        <v>32724</v>
      </c>
    </row>
    <row r="349" spans="1:15" x14ac:dyDescent="0.25">
      <c r="A349" s="35" t="s">
        <v>4202</v>
      </c>
      <c r="B349" s="36" t="s">
        <v>4203</v>
      </c>
      <c r="C349" s="36" t="str">
        <f>HYPERLINK("https://rhld.insurance.arkansas.gov/NPILookup?Npi=1093104895","1093104895")</f>
        <v>1093104895</v>
      </c>
      <c r="D349" s="36" t="s">
        <v>32984</v>
      </c>
      <c r="E349" s="36" t="s">
        <v>1</v>
      </c>
      <c r="F349" s="36">
        <v>1</v>
      </c>
      <c r="G349" s="36">
        <v>3</v>
      </c>
      <c r="H349" s="36">
        <v>0</v>
      </c>
      <c r="I349" s="37">
        <v>0</v>
      </c>
      <c r="J349" s="36" t="s">
        <v>32654</v>
      </c>
      <c r="K349" s="36" t="s">
        <v>14330</v>
      </c>
      <c r="L349" s="36" t="s">
        <v>14330</v>
      </c>
      <c r="M349">
        <v>3</v>
      </c>
      <c r="N349" t="s">
        <v>14331</v>
      </c>
      <c r="O349" t="s">
        <v>32633</v>
      </c>
    </row>
    <row r="350" spans="1:15" x14ac:dyDescent="0.25">
      <c r="A350" s="35" t="s">
        <v>4202</v>
      </c>
      <c r="B350" s="36" t="s">
        <v>4203</v>
      </c>
      <c r="C350" s="36" t="str">
        <f>HYPERLINK("https://rhld.insurance.arkansas.gov/NPILookup?Npi=1093745648","1093745648")</f>
        <v>1093745648</v>
      </c>
      <c r="D350" s="36" t="s">
        <v>32985</v>
      </c>
      <c r="E350" s="36" t="s">
        <v>1</v>
      </c>
      <c r="F350" s="36">
        <v>1</v>
      </c>
      <c r="G350" s="36">
        <v>3</v>
      </c>
      <c r="H350" s="36">
        <v>0</v>
      </c>
      <c r="I350" s="37">
        <v>0</v>
      </c>
      <c r="J350" s="36" t="s">
        <v>32723</v>
      </c>
      <c r="K350" s="36" t="s">
        <v>14330</v>
      </c>
      <c r="L350" s="36" t="s">
        <v>14330</v>
      </c>
      <c r="M350">
        <v>3</v>
      </c>
      <c r="N350" t="s">
        <v>14331</v>
      </c>
      <c r="O350" t="s">
        <v>32724</v>
      </c>
    </row>
    <row r="351" spans="1:15" x14ac:dyDescent="0.25">
      <c r="A351" s="35" t="s">
        <v>4202</v>
      </c>
      <c r="B351" s="36" t="s">
        <v>4203</v>
      </c>
      <c r="C351" s="36" t="str">
        <f>HYPERLINK("https://rhld.insurance.arkansas.gov/NPILookup?Npi=1093779415","1093779415")</f>
        <v>1093779415</v>
      </c>
      <c r="D351" s="36" t="s">
        <v>32986</v>
      </c>
      <c r="E351" s="36" t="s">
        <v>1</v>
      </c>
      <c r="F351" s="36">
        <v>1</v>
      </c>
      <c r="G351" s="36">
        <v>3</v>
      </c>
      <c r="H351" s="36">
        <v>0</v>
      </c>
      <c r="I351" s="37">
        <v>0</v>
      </c>
      <c r="J351" s="36" t="s">
        <v>32654</v>
      </c>
      <c r="K351" s="36" t="s">
        <v>14330</v>
      </c>
      <c r="L351" s="36" t="s">
        <v>14330</v>
      </c>
      <c r="M351">
        <v>2</v>
      </c>
      <c r="N351" t="s">
        <v>14331</v>
      </c>
      <c r="O351" t="s">
        <v>32633</v>
      </c>
    </row>
    <row r="352" spans="1:15" x14ac:dyDescent="0.25">
      <c r="A352" s="35" t="s">
        <v>4202</v>
      </c>
      <c r="B352" s="36" t="s">
        <v>4203</v>
      </c>
      <c r="C352" s="36" t="str">
        <f>HYPERLINK("https://rhld.insurance.arkansas.gov/NPILookup?Npi=1093831042","1093831042")</f>
        <v>1093831042</v>
      </c>
      <c r="D352" s="36" t="s">
        <v>32987</v>
      </c>
      <c r="E352" s="36" t="s">
        <v>2</v>
      </c>
      <c r="F352" s="36">
        <v>1</v>
      </c>
      <c r="G352" s="36">
        <v>2</v>
      </c>
      <c r="H352" s="36">
        <v>0</v>
      </c>
      <c r="I352" s="37">
        <v>0</v>
      </c>
      <c r="J352" s="36" t="s">
        <v>32679</v>
      </c>
      <c r="K352" s="36" t="s">
        <v>14330</v>
      </c>
      <c r="L352" s="36" t="s">
        <v>14330</v>
      </c>
      <c r="M352">
        <v>3</v>
      </c>
      <c r="N352" t="s">
        <v>14331</v>
      </c>
      <c r="O352" t="s">
        <v>32633</v>
      </c>
    </row>
    <row r="353" spans="1:15" x14ac:dyDescent="0.25">
      <c r="A353" s="35" t="s">
        <v>4202</v>
      </c>
      <c r="B353" s="36" t="s">
        <v>4203</v>
      </c>
      <c r="C353" s="36" t="str">
        <f>HYPERLINK("https://rhld.insurance.arkansas.gov/NPILookup?Npi=1093858581","1093858581")</f>
        <v>1093858581</v>
      </c>
      <c r="D353" s="36" t="s">
        <v>32988</v>
      </c>
      <c r="E353" s="36" t="s">
        <v>1</v>
      </c>
      <c r="F353" s="36">
        <v>1</v>
      </c>
      <c r="G353" s="36">
        <v>3</v>
      </c>
      <c r="H353" s="36">
        <v>0</v>
      </c>
      <c r="I353" s="37">
        <v>0</v>
      </c>
      <c r="J353" s="36" t="s">
        <v>32654</v>
      </c>
      <c r="K353" s="36" t="s">
        <v>14330</v>
      </c>
      <c r="L353" s="36" t="s">
        <v>14330</v>
      </c>
      <c r="M353">
        <v>2</v>
      </c>
      <c r="N353" t="s">
        <v>14331</v>
      </c>
      <c r="O353" t="s">
        <v>32633</v>
      </c>
    </row>
    <row r="354" spans="1:15" x14ac:dyDescent="0.25">
      <c r="A354" s="35" t="s">
        <v>4202</v>
      </c>
      <c r="B354" s="36" t="s">
        <v>4203</v>
      </c>
      <c r="C354" s="36" t="str">
        <f>HYPERLINK("https://rhld.insurance.arkansas.gov/NPILookup?Npi=1093933285","1093933285")</f>
        <v>1093933285</v>
      </c>
      <c r="D354" s="36" t="s">
        <v>32989</v>
      </c>
      <c r="E354" s="36" t="s">
        <v>2</v>
      </c>
      <c r="F354" s="36">
        <v>1</v>
      </c>
      <c r="G354" s="36">
        <v>2</v>
      </c>
      <c r="H354" s="36">
        <v>0</v>
      </c>
      <c r="I354" s="37">
        <v>0</v>
      </c>
      <c r="J354" s="36" t="s">
        <v>32679</v>
      </c>
      <c r="K354" s="36" t="s">
        <v>14330</v>
      </c>
      <c r="L354" s="36" t="s">
        <v>14330</v>
      </c>
      <c r="M354">
        <v>2</v>
      </c>
      <c r="N354" t="s">
        <v>14331</v>
      </c>
      <c r="O354" t="s">
        <v>32633</v>
      </c>
    </row>
    <row r="355" spans="1:15" x14ac:dyDescent="0.25">
      <c r="A355" s="35" t="s">
        <v>4202</v>
      </c>
      <c r="B355" s="36" t="s">
        <v>4203</v>
      </c>
      <c r="C355" s="36" t="str">
        <f>HYPERLINK("https://rhld.insurance.arkansas.gov/NPILookup?Npi=1104076439","1104076439")</f>
        <v>1104076439</v>
      </c>
      <c r="D355" s="36" t="s">
        <v>32990</v>
      </c>
      <c r="E355" s="36" t="s">
        <v>1</v>
      </c>
      <c r="F355" s="36">
        <v>1</v>
      </c>
      <c r="G355" s="36">
        <v>2</v>
      </c>
      <c r="H355" s="36">
        <v>0</v>
      </c>
      <c r="I355" s="37">
        <v>0</v>
      </c>
      <c r="J355" s="36" t="s">
        <v>32654</v>
      </c>
      <c r="K355" s="36" t="s">
        <v>14330</v>
      </c>
      <c r="L355" s="36" t="s">
        <v>14330</v>
      </c>
      <c r="M355">
        <v>2</v>
      </c>
      <c r="N355" t="s">
        <v>14331</v>
      </c>
      <c r="O355" t="s">
        <v>32633</v>
      </c>
    </row>
    <row r="356" spans="1:15" x14ac:dyDescent="0.25">
      <c r="A356" s="35" t="s">
        <v>4202</v>
      </c>
      <c r="B356" s="36" t="s">
        <v>4203</v>
      </c>
      <c r="C356" s="36" t="str">
        <f>HYPERLINK("https://rhld.insurance.arkansas.gov/NPILookup?Npi=1104184241","1104184241")</f>
        <v>1104184241</v>
      </c>
      <c r="D356" s="36" t="s">
        <v>32991</v>
      </c>
      <c r="E356" s="36" t="s">
        <v>2</v>
      </c>
      <c r="F356" s="36">
        <v>1</v>
      </c>
      <c r="G356" s="36">
        <v>2</v>
      </c>
      <c r="H356" s="36">
        <v>0</v>
      </c>
      <c r="I356" s="37">
        <v>0</v>
      </c>
      <c r="J356" s="36" t="s">
        <v>32679</v>
      </c>
      <c r="K356" s="36" t="s">
        <v>14330</v>
      </c>
      <c r="L356" s="36" t="s">
        <v>14330</v>
      </c>
      <c r="M356">
        <v>2</v>
      </c>
      <c r="N356" t="s">
        <v>14331</v>
      </c>
      <c r="O356" t="s">
        <v>32633</v>
      </c>
    </row>
    <row r="357" spans="1:15" x14ac:dyDescent="0.25">
      <c r="A357" s="35" t="s">
        <v>4202</v>
      </c>
      <c r="B357" s="36" t="s">
        <v>4203</v>
      </c>
      <c r="C357" s="36" t="str">
        <f>HYPERLINK("https://rhld.insurance.arkansas.gov/NPILookup?Npi=1104262625","1104262625")</f>
        <v>1104262625</v>
      </c>
      <c r="D357" s="36" t="s">
        <v>32992</v>
      </c>
      <c r="E357" s="36" t="s">
        <v>1</v>
      </c>
      <c r="F357" s="36">
        <v>1</v>
      </c>
      <c r="G357" s="36">
        <v>2</v>
      </c>
      <c r="H357" s="36">
        <v>0</v>
      </c>
      <c r="I357" s="37">
        <v>0</v>
      </c>
      <c r="J357" s="36" t="s">
        <v>32723</v>
      </c>
      <c r="K357" s="36" t="s">
        <v>14330</v>
      </c>
      <c r="L357" s="36" t="s">
        <v>14330</v>
      </c>
      <c r="M357">
        <v>3</v>
      </c>
      <c r="N357" t="s">
        <v>14331</v>
      </c>
      <c r="O357" t="s">
        <v>32724</v>
      </c>
    </row>
    <row r="358" spans="1:15" x14ac:dyDescent="0.25">
      <c r="A358" s="35" t="s">
        <v>4202</v>
      </c>
      <c r="B358" s="36" t="s">
        <v>4203</v>
      </c>
      <c r="C358" s="36" t="str">
        <f>HYPERLINK("https://rhld.insurance.arkansas.gov/NPILookup?Npi=1104320225","1104320225")</f>
        <v>1104320225</v>
      </c>
      <c r="D358" s="36" t="s">
        <v>32993</v>
      </c>
      <c r="E358" s="36" t="s">
        <v>1</v>
      </c>
      <c r="F358" s="36">
        <v>1</v>
      </c>
      <c r="G358" s="36">
        <v>3</v>
      </c>
      <c r="H358" s="36">
        <v>0</v>
      </c>
      <c r="I358" s="37">
        <v>0</v>
      </c>
      <c r="J358" s="36" t="s">
        <v>32654</v>
      </c>
      <c r="K358" s="36" t="s">
        <v>14330</v>
      </c>
      <c r="L358" s="36" t="s">
        <v>14330</v>
      </c>
      <c r="M358">
        <v>2</v>
      </c>
      <c r="N358" t="s">
        <v>14331</v>
      </c>
      <c r="O358" t="s">
        <v>32633</v>
      </c>
    </row>
    <row r="359" spans="1:15" x14ac:dyDescent="0.25">
      <c r="A359" s="35" t="s">
        <v>4202</v>
      </c>
      <c r="B359" s="36" t="s">
        <v>4203</v>
      </c>
      <c r="C359" s="36" t="str">
        <f>HYPERLINK("https://rhld.insurance.arkansas.gov/NPILookup?Npi=1104446103","1104446103")</f>
        <v>1104446103</v>
      </c>
      <c r="D359" s="36" t="s">
        <v>32994</v>
      </c>
      <c r="E359" s="36" t="s">
        <v>1</v>
      </c>
      <c r="F359" s="36">
        <v>1</v>
      </c>
      <c r="G359" s="36">
        <v>2</v>
      </c>
      <c r="H359" s="36">
        <v>0</v>
      </c>
      <c r="I359" s="37">
        <v>0</v>
      </c>
      <c r="J359" s="36" t="s">
        <v>32723</v>
      </c>
      <c r="K359" s="36" t="s">
        <v>14330</v>
      </c>
      <c r="L359" s="36" t="s">
        <v>14330</v>
      </c>
      <c r="M359">
        <v>2</v>
      </c>
      <c r="N359" t="s">
        <v>14331</v>
      </c>
      <c r="O359" t="s">
        <v>32724</v>
      </c>
    </row>
    <row r="360" spans="1:15" x14ac:dyDescent="0.25">
      <c r="A360" s="35" t="s">
        <v>4202</v>
      </c>
      <c r="B360" s="36" t="s">
        <v>4203</v>
      </c>
      <c r="C360" s="36" t="str">
        <f>HYPERLINK("https://rhld.insurance.arkansas.gov/NPILookup?Npi=1114330552","1114330552")</f>
        <v>1114330552</v>
      </c>
      <c r="D360" s="36" t="s">
        <v>32995</v>
      </c>
      <c r="E360" s="36" t="s">
        <v>1</v>
      </c>
      <c r="F360" s="36">
        <v>1</v>
      </c>
      <c r="G360" s="36">
        <v>2</v>
      </c>
      <c r="H360" s="36">
        <v>0</v>
      </c>
      <c r="I360" s="37">
        <v>0</v>
      </c>
      <c r="J360" s="36" t="s">
        <v>32723</v>
      </c>
      <c r="K360" s="36" t="s">
        <v>14330</v>
      </c>
      <c r="L360" s="36" t="s">
        <v>14330</v>
      </c>
      <c r="M360">
        <v>2</v>
      </c>
      <c r="N360" t="s">
        <v>14331</v>
      </c>
      <c r="O360" t="s">
        <v>32724</v>
      </c>
    </row>
    <row r="361" spans="1:15" x14ac:dyDescent="0.25">
      <c r="A361" s="35" t="s">
        <v>4202</v>
      </c>
      <c r="B361" s="36" t="s">
        <v>4203</v>
      </c>
      <c r="C361" s="36" t="str">
        <f>HYPERLINK("https://rhld.insurance.arkansas.gov/NPILookup?Npi=1114371119","1114371119")</f>
        <v>1114371119</v>
      </c>
      <c r="D361" s="36" t="s">
        <v>32996</v>
      </c>
      <c r="E361" s="36" t="s">
        <v>1</v>
      </c>
      <c r="F361" s="36">
        <v>1</v>
      </c>
      <c r="G361" s="36">
        <v>2</v>
      </c>
      <c r="H361" s="36">
        <v>0</v>
      </c>
      <c r="I361" s="37">
        <v>0</v>
      </c>
      <c r="J361" s="36" t="s">
        <v>32654</v>
      </c>
      <c r="K361" s="36" t="s">
        <v>14330</v>
      </c>
      <c r="L361" s="36" t="s">
        <v>14330</v>
      </c>
      <c r="M361">
        <v>0</v>
      </c>
      <c r="N361" t="s">
        <v>14331</v>
      </c>
      <c r="O361" t="s">
        <v>32633</v>
      </c>
    </row>
    <row r="362" spans="1:15" x14ac:dyDescent="0.25">
      <c r="A362" s="35" t="s">
        <v>4202</v>
      </c>
      <c r="B362" s="36" t="s">
        <v>4203</v>
      </c>
      <c r="C362" s="36" t="str">
        <f>HYPERLINK("https://rhld.insurance.arkansas.gov/NPILookup?Npi=1114556594","1114556594")</f>
        <v>1114556594</v>
      </c>
      <c r="D362" s="36" t="s">
        <v>32997</v>
      </c>
      <c r="E362" s="36" t="s">
        <v>2</v>
      </c>
      <c r="F362" s="36">
        <v>1</v>
      </c>
      <c r="G362" s="36">
        <v>1</v>
      </c>
      <c r="H362" s="36">
        <v>1</v>
      </c>
      <c r="I362" s="37">
        <v>0</v>
      </c>
      <c r="J362" s="36" t="s">
        <v>32679</v>
      </c>
      <c r="K362" s="36" t="s">
        <v>14330</v>
      </c>
      <c r="L362" s="36" t="s">
        <v>32959</v>
      </c>
      <c r="M362">
        <v>3</v>
      </c>
      <c r="N362" t="s">
        <v>14331</v>
      </c>
      <c r="O362" t="s">
        <v>32633</v>
      </c>
    </row>
    <row r="363" spans="1:15" x14ac:dyDescent="0.25">
      <c r="A363" s="35" t="s">
        <v>4202</v>
      </c>
      <c r="B363" s="36" t="s">
        <v>4203</v>
      </c>
      <c r="C363" s="36" t="str">
        <f>HYPERLINK("https://rhld.insurance.arkansas.gov/NPILookup?Npi=1114992732","1114992732")</f>
        <v>1114992732</v>
      </c>
      <c r="D363" s="36" t="s">
        <v>32998</v>
      </c>
      <c r="E363" s="36" t="s">
        <v>1</v>
      </c>
      <c r="F363" s="36">
        <v>1</v>
      </c>
      <c r="G363" s="36">
        <v>3</v>
      </c>
      <c r="H363" s="36">
        <v>0</v>
      </c>
      <c r="I363" s="37">
        <v>0</v>
      </c>
      <c r="J363" s="36" t="s">
        <v>32654</v>
      </c>
      <c r="K363" s="36" t="s">
        <v>14330</v>
      </c>
      <c r="L363" s="36" t="s">
        <v>14330</v>
      </c>
      <c r="M363">
        <v>3</v>
      </c>
      <c r="N363" t="s">
        <v>14331</v>
      </c>
      <c r="O363" t="s">
        <v>32633</v>
      </c>
    </row>
    <row r="364" spans="1:15" x14ac:dyDescent="0.25">
      <c r="A364" s="35" t="s">
        <v>4202</v>
      </c>
      <c r="B364" s="36" t="s">
        <v>4203</v>
      </c>
      <c r="C364" s="36" t="str">
        <f>HYPERLINK("https://rhld.insurance.arkansas.gov/NPILookup?Npi=1124231816","1124231816")</f>
        <v>1124231816</v>
      </c>
      <c r="D364" s="36" t="s">
        <v>32999</v>
      </c>
      <c r="E364" s="36" t="s">
        <v>1</v>
      </c>
      <c r="F364" s="36">
        <v>1</v>
      </c>
      <c r="G364" s="36">
        <v>3</v>
      </c>
      <c r="H364" s="36">
        <v>0</v>
      </c>
      <c r="I364" s="37">
        <v>0</v>
      </c>
      <c r="J364" s="36" t="s">
        <v>32654</v>
      </c>
      <c r="K364" s="36" t="s">
        <v>14330</v>
      </c>
      <c r="L364" s="36" t="s">
        <v>14330</v>
      </c>
      <c r="M364">
        <v>2</v>
      </c>
      <c r="N364" t="s">
        <v>14331</v>
      </c>
      <c r="O364" t="s">
        <v>32633</v>
      </c>
    </row>
    <row r="365" spans="1:15" x14ac:dyDescent="0.25">
      <c r="A365" s="35" t="s">
        <v>4202</v>
      </c>
      <c r="B365" s="36" t="s">
        <v>4203</v>
      </c>
      <c r="C365" s="36" t="str">
        <f>HYPERLINK("https://rhld.insurance.arkansas.gov/NPILookup?Npi=1124258553","1124258553")</f>
        <v>1124258553</v>
      </c>
      <c r="D365" s="36" t="s">
        <v>33000</v>
      </c>
      <c r="E365" s="36" t="s">
        <v>1</v>
      </c>
      <c r="F365" s="36">
        <v>1</v>
      </c>
      <c r="G365" s="36">
        <v>2</v>
      </c>
      <c r="H365" s="36">
        <v>0</v>
      </c>
      <c r="I365" s="37">
        <v>0</v>
      </c>
      <c r="J365" s="36" t="s">
        <v>32654</v>
      </c>
      <c r="K365" s="36" t="s">
        <v>14330</v>
      </c>
      <c r="L365" s="36" t="s">
        <v>14330</v>
      </c>
      <c r="M365">
        <v>2</v>
      </c>
      <c r="N365" t="s">
        <v>14331</v>
      </c>
      <c r="O365" t="s">
        <v>32633</v>
      </c>
    </row>
    <row r="366" spans="1:15" x14ac:dyDescent="0.25">
      <c r="A366" s="35" t="s">
        <v>4202</v>
      </c>
      <c r="B366" s="36" t="s">
        <v>4203</v>
      </c>
      <c r="C366" s="36" t="str">
        <f>HYPERLINK("https://rhld.insurance.arkansas.gov/NPILookup?Npi=1124687157","1124687157")</f>
        <v>1124687157</v>
      </c>
      <c r="D366" s="36" t="s">
        <v>33001</v>
      </c>
      <c r="E366" s="36" t="s">
        <v>1</v>
      </c>
      <c r="F366" s="36">
        <v>1</v>
      </c>
      <c r="G366" s="36">
        <v>2</v>
      </c>
      <c r="H366" s="36">
        <v>0</v>
      </c>
      <c r="I366" s="37">
        <v>0</v>
      </c>
      <c r="J366" s="36" t="s">
        <v>32654</v>
      </c>
      <c r="K366" s="36" t="s">
        <v>14330</v>
      </c>
      <c r="L366" s="36" t="s">
        <v>14330</v>
      </c>
      <c r="M366">
        <v>2</v>
      </c>
      <c r="N366" t="s">
        <v>14331</v>
      </c>
      <c r="O366" t="s">
        <v>32633</v>
      </c>
    </row>
    <row r="367" spans="1:15" x14ac:dyDescent="0.25">
      <c r="A367" s="35" t="s">
        <v>4202</v>
      </c>
      <c r="B367" s="36" t="s">
        <v>4203</v>
      </c>
      <c r="C367" s="36" t="str">
        <f>HYPERLINK("https://rhld.insurance.arkansas.gov/NPILookup?Npi=1134180938","1134180938")</f>
        <v>1134180938</v>
      </c>
      <c r="D367" s="36" t="s">
        <v>33002</v>
      </c>
      <c r="E367" s="36" t="s">
        <v>2</v>
      </c>
      <c r="F367" s="36">
        <v>1</v>
      </c>
      <c r="G367" s="36">
        <v>2</v>
      </c>
      <c r="H367" s="36">
        <v>0</v>
      </c>
      <c r="I367" s="37">
        <v>0</v>
      </c>
      <c r="J367" s="36" t="s">
        <v>32679</v>
      </c>
      <c r="K367" s="36" t="s">
        <v>14330</v>
      </c>
      <c r="L367" s="36" t="s">
        <v>14330</v>
      </c>
      <c r="M367">
        <v>2</v>
      </c>
      <c r="N367" t="s">
        <v>14331</v>
      </c>
      <c r="O367" t="s">
        <v>32633</v>
      </c>
    </row>
    <row r="368" spans="1:15" x14ac:dyDescent="0.25">
      <c r="A368" s="35" t="s">
        <v>4202</v>
      </c>
      <c r="B368" s="36" t="s">
        <v>4203</v>
      </c>
      <c r="C368" s="36" t="str">
        <f>HYPERLINK("https://rhld.insurance.arkansas.gov/NPILookup?Npi=1134539885","1134539885")</f>
        <v>1134539885</v>
      </c>
      <c r="D368" s="36" t="s">
        <v>33003</v>
      </c>
      <c r="E368" s="36" t="s">
        <v>2</v>
      </c>
      <c r="F368" s="36">
        <v>2</v>
      </c>
      <c r="G368" s="36">
        <v>2</v>
      </c>
      <c r="H368" s="36">
        <v>0</v>
      </c>
      <c r="I368" s="37">
        <v>0</v>
      </c>
      <c r="J368" s="36" t="s">
        <v>33004</v>
      </c>
      <c r="K368" s="36" t="s">
        <v>14330</v>
      </c>
      <c r="L368" s="36" t="s">
        <v>14330</v>
      </c>
      <c r="M368">
        <v>2</v>
      </c>
      <c r="N368" t="s">
        <v>14331</v>
      </c>
      <c r="O368" t="s">
        <v>32633</v>
      </c>
    </row>
    <row r="369" spans="1:15" x14ac:dyDescent="0.25">
      <c r="A369" s="35" t="s">
        <v>4202</v>
      </c>
      <c r="B369" s="36" t="s">
        <v>4203</v>
      </c>
      <c r="C369" s="36" t="str">
        <f>HYPERLINK("https://rhld.insurance.arkansas.gov/NPILookup?Npi=1134577612","1134577612")</f>
        <v>1134577612</v>
      </c>
      <c r="D369" s="36" t="s">
        <v>33005</v>
      </c>
      <c r="E369" s="36" t="s">
        <v>2</v>
      </c>
      <c r="F369" s="36">
        <v>1</v>
      </c>
      <c r="G369" s="36">
        <v>2</v>
      </c>
      <c r="H369" s="36">
        <v>0</v>
      </c>
      <c r="I369" s="37">
        <v>0</v>
      </c>
      <c r="J369" s="36" t="s">
        <v>32679</v>
      </c>
      <c r="K369" s="36" t="s">
        <v>14330</v>
      </c>
      <c r="L369" s="36" t="s">
        <v>14330</v>
      </c>
      <c r="M369">
        <v>2</v>
      </c>
      <c r="N369" t="s">
        <v>14331</v>
      </c>
      <c r="O369" t="s">
        <v>32633</v>
      </c>
    </row>
    <row r="370" spans="1:15" x14ac:dyDescent="0.25">
      <c r="A370" s="35" t="s">
        <v>4202</v>
      </c>
      <c r="B370" s="36" t="s">
        <v>4203</v>
      </c>
      <c r="C370" s="36" t="str">
        <f>HYPERLINK("https://rhld.insurance.arkansas.gov/NPILookup?Npi=1134879513","1134879513")</f>
        <v>1134879513</v>
      </c>
      <c r="D370" s="36" t="s">
        <v>33006</v>
      </c>
      <c r="E370" s="36" t="s">
        <v>2</v>
      </c>
      <c r="F370" s="36">
        <v>1</v>
      </c>
      <c r="G370" s="36">
        <v>2</v>
      </c>
      <c r="H370" s="36">
        <v>0</v>
      </c>
      <c r="I370" s="37">
        <v>0</v>
      </c>
      <c r="J370" s="36"/>
      <c r="K370" s="36" t="s">
        <v>14330</v>
      </c>
      <c r="L370" s="36" t="s">
        <v>14330</v>
      </c>
      <c r="M370">
        <v>3</v>
      </c>
      <c r="N370" t="s">
        <v>14331</v>
      </c>
      <c r="O370" t="s">
        <v>32633</v>
      </c>
    </row>
    <row r="371" spans="1:15" x14ac:dyDescent="0.25">
      <c r="A371" s="35" t="s">
        <v>4202</v>
      </c>
      <c r="B371" s="36" t="s">
        <v>4203</v>
      </c>
      <c r="C371" s="36" t="str">
        <f>HYPERLINK("https://rhld.insurance.arkansas.gov/NPILookup?Npi=1144225020","1144225020")</f>
        <v>1144225020</v>
      </c>
      <c r="D371" s="36" t="s">
        <v>33007</v>
      </c>
      <c r="E371" s="36" t="s">
        <v>1</v>
      </c>
      <c r="F371" s="36">
        <v>1</v>
      </c>
      <c r="G371" s="36">
        <v>3</v>
      </c>
      <c r="H371" s="36">
        <v>0</v>
      </c>
      <c r="I371" s="37">
        <v>0</v>
      </c>
      <c r="J371" s="36" t="s">
        <v>32654</v>
      </c>
      <c r="K371" s="36" t="s">
        <v>14330</v>
      </c>
      <c r="L371" s="36" t="s">
        <v>14330</v>
      </c>
      <c r="M371">
        <v>2</v>
      </c>
      <c r="N371" t="s">
        <v>14331</v>
      </c>
      <c r="O371" t="s">
        <v>32633</v>
      </c>
    </row>
    <row r="372" spans="1:15" x14ac:dyDescent="0.25">
      <c r="A372" s="35" t="s">
        <v>4202</v>
      </c>
      <c r="B372" s="36" t="s">
        <v>4203</v>
      </c>
      <c r="C372" s="36" t="str">
        <f>HYPERLINK("https://rhld.insurance.arkansas.gov/NPILookup?Npi=1144287947","1144287947")</f>
        <v>1144287947</v>
      </c>
      <c r="D372" s="36" t="s">
        <v>33008</v>
      </c>
      <c r="E372" s="36" t="s">
        <v>1</v>
      </c>
      <c r="F372" s="36">
        <v>1</v>
      </c>
      <c r="G372" s="36">
        <v>2</v>
      </c>
      <c r="H372" s="36">
        <v>0</v>
      </c>
      <c r="I372" s="37">
        <v>0</v>
      </c>
      <c r="J372" s="36" t="s">
        <v>32654</v>
      </c>
      <c r="K372" s="36" t="s">
        <v>14330</v>
      </c>
      <c r="L372" s="36" t="s">
        <v>14330</v>
      </c>
      <c r="M372">
        <v>2</v>
      </c>
      <c r="N372" t="s">
        <v>14331</v>
      </c>
      <c r="O372" t="s">
        <v>32633</v>
      </c>
    </row>
    <row r="373" spans="1:15" x14ac:dyDescent="0.25">
      <c r="A373" s="35" t="s">
        <v>4202</v>
      </c>
      <c r="B373" s="36" t="s">
        <v>4203</v>
      </c>
      <c r="C373" s="36" t="str">
        <f>HYPERLINK("https://rhld.insurance.arkansas.gov/NPILookup?Npi=1144623356","1144623356")</f>
        <v>1144623356</v>
      </c>
      <c r="D373" s="36" t="s">
        <v>33009</v>
      </c>
      <c r="E373" s="36" t="s">
        <v>1</v>
      </c>
      <c r="F373" s="36">
        <v>1</v>
      </c>
      <c r="G373" s="36">
        <v>2</v>
      </c>
      <c r="H373" s="36">
        <v>0</v>
      </c>
      <c r="I373" s="37">
        <v>0</v>
      </c>
      <c r="J373" s="36" t="s">
        <v>32723</v>
      </c>
      <c r="K373" s="36" t="s">
        <v>14330</v>
      </c>
      <c r="L373" s="36" t="s">
        <v>14330</v>
      </c>
      <c r="M373">
        <v>2</v>
      </c>
      <c r="N373" t="s">
        <v>14331</v>
      </c>
      <c r="O373" t="s">
        <v>32724</v>
      </c>
    </row>
    <row r="374" spans="1:15" x14ac:dyDescent="0.25">
      <c r="A374" s="35" t="s">
        <v>4202</v>
      </c>
      <c r="B374" s="36" t="s">
        <v>4203</v>
      </c>
      <c r="C374" s="36" t="str">
        <f>HYPERLINK("https://rhld.insurance.arkansas.gov/NPILookup?Npi=1144630955","1144630955")</f>
        <v>1144630955</v>
      </c>
      <c r="D374" s="36" t="s">
        <v>33010</v>
      </c>
      <c r="E374" s="36" t="s">
        <v>1</v>
      </c>
      <c r="F374" s="36">
        <v>1</v>
      </c>
      <c r="G374" s="36">
        <v>2</v>
      </c>
      <c r="H374" s="36">
        <v>0</v>
      </c>
      <c r="I374" s="37">
        <v>0</v>
      </c>
      <c r="J374" s="36" t="s">
        <v>32654</v>
      </c>
      <c r="K374" s="36" t="s">
        <v>14330</v>
      </c>
      <c r="L374" s="36" t="s">
        <v>14330</v>
      </c>
      <c r="M374">
        <v>2</v>
      </c>
      <c r="N374" t="s">
        <v>14331</v>
      </c>
      <c r="O374" t="s">
        <v>32633</v>
      </c>
    </row>
    <row r="375" spans="1:15" x14ac:dyDescent="0.25">
      <c r="A375" s="35" t="s">
        <v>4202</v>
      </c>
      <c r="B375" s="36" t="s">
        <v>4203</v>
      </c>
      <c r="C375" s="36" t="str">
        <f>HYPERLINK("https://rhld.insurance.arkansas.gov/NPILookup?Npi=1154311595","1154311595")</f>
        <v>1154311595</v>
      </c>
      <c r="D375" s="36" t="s">
        <v>33011</v>
      </c>
      <c r="E375" s="36" t="s">
        <v>1</v>
      </c>
      <c r="F375" s="36">
        <v>1</v>
      </c>
      <c r="G375" s="36">
        <v>2</v>
      </c>
      <c r="H375" s="36">
        <v>0</v>
      </c>
      <c r="I375" s="37">
        <v>0</v>
      </c>
      <c r="J375" s="36" t="s">
        <v>32654</v>
      </c>
      <c r="K375" s="36" t="s">
        <v>14330</v>
      </c>
      <c r="L375" s="36" t="s">
        <v>14330</v>
      </c>
      <c r="M375">
        <v>3</v>
      </c>
      <c r="N375" t="s">
        <v>14331</v>
      </c>
      <c r="O375" t="s">
        <v>32633</v>
      </c>
    </row>
    <row r="376" spans="1:15" x14ac:dyDescent="0.25">
      <c r="A376" s="35" t="s">
        <v>4202</v>
      </c>
      <c r="B376" s="36" t="s">
        <v>4203</v>
      </c>
      <c r="C376" s="36" t="str">
        <f>HYPERLINK("https://rhld.insurance.arkansas.gov/NPILookup?Npi=1154388056","1154388056")</f>
        <v>1154388056</v>
      </c>
      <c r="D376" s="36" t="s">
        <v>33012</v>
      </c>
      <c r="E376" s="36" t="s">
        <v>1</v>
      </c>
      <c r="F376" s="36">
        <v>1</v>
      </c>
      <c r="G376" s="36">
        <v>3</v>
      </c>
      <c r="H376" s="36">
        <v>0</v>
      </c>
      <c r="I376" s="37">
        <v>0</v>
      </c>
      <c r="J376" s="36" t="s">
        <v>32654</v>
      </c>
      <c r="K376" s="36" t="s">
        <v>14330</v>
      </c>
      <c r="L376" s="36" t="s">
        <v>14330</v>
      </c>
      <c r="M376">
        <v>3</v>
      </c>
      <c r="N376" t="s">
        <v>14331</v>
      </c>
      <c r="O376" t="s">
        <v>32633</v>
      </c>
    </row>
    <row r="377" spans="1:15" x14ac:dyDescent="0.25">
      <c r="A377" s="35" t="s">
        <v>4202</v>
      </c>
      <c r="B377" s="36" t="s">
        <v>4203</v>
      </c>
      <c r="C377" s="36" t="str">
        <f>HYPERLINK("https://rhld.insurance.arkansas.gov/NPILookup?Npi=1154684355","1154684355")</f>
        <v>1154684355</v>
      </c>
      <c r="D377" s="36" t="s">
        <v>33013</v>
      </c>
      <c r="E377" s="36" t="s">
        <v>1</v>
      </c>
      <c r="F377" s="36">
        <v>1</v>
      </c>
      <c r="G377" s="36">
        <v>3</v>
      </c>
      <c r="H377" s="36">
        <v>0</v>
      </c>
      <c r="I377" s="37">
        <v>0</v>
      </c>
      <c r="J377" s="36" t="s">
        <v>32654</v>
      </c>
      <c r="K377" s="36" t="s">
        <v>14330</v>
      </c>
      <c r="L377" s="36" t="s">
        <v>14330</v>
      </c>
      <c r="M377">
        <v>2</v>
      </c>
      <c r="N377" t="s">
        <v>14331</v>
      </c>
      <c r="O377" t="s">
        <v>32633</v>
      </c>
    </row>
    <row r="378" spans="1:15" x14ac:dyDescent="0.25">
      <c r="A378" s="35" t="s">
        <v>4202</v>
      </c>
      <c r="B378" s="36" t="s">
        <v>4203</v>
      </c>
      <c r="C378" s="36" t="str">
        <f>HYPERLINK("https://rhld.insurance.arkansas.gov/NPILookup?Npi=1154981710","1154981710")</f>
        <v>1154981710</v>
      </c>
      <c r="D378" s="36" t="s">
        <v>33014</v>
      </c>
      <c r="E378" s="36" t="s">
        <v>1</v>
      </c>
      <c r="F378" s="36">
        <v>1</v>
      </c>
      <c r="G378" s="36">
        <v>2</v>
      </c>
      <c r="H378" s="36">
        <v>0</v>
      </c>
      <c r="I378" s="37">
        <v>0</v>
      </c>
      <c r="J378" s="36" t="s">
        <v>32723</v>
      </c>
      <c r="K378" s="36" t="s">
        <v>14330</v>
      </c>
      <c r="L378" s="36" t="s">
        <v>14330</v>
      </c>
      <c r="M378">
        <v>1</v>
      </c>
      <c r="N378" t="s">
        <v>14331</v>
      </c>
      <c r="O378" t="s">
        <v>32724</v>
      </c>
    </row>
    <row r="379" spans="1:15" x14ac:dyDescent="0.25">
      <c r="A379" s="35" t="s">
        <v>4202</v>
      </c>
      <c r="B379" s="36" t="s">
        <v>4203</v>
      </c>
      <c r="C379" s="36" t="str">
        <f>HYPERLINK("https://rhld.insurance.arkansas.gov/NPILookup?Npi=1164009841","1164009841")</f>
        <v>1164009841</v>
      </c>
      <c r="D379" s="36" t="s">
        <v>33015</v>
      </c>
      <c r="E379" s="36" t="s">
        <v>2</v>
      </c>
      <c r="F379" s="36">
        <v>1</v>
      </c>
      <c r="G379" s="36">
        <v>1</v>
      </c>
      <c r="H379" s="36">
        <v>0</v>
      </c>
      <c r="I379" s="37">
        <v>0</v>
      </c>
      <c r="J379" s="36" t="s">
        <v>32679</v>
      </c>
      <c r="K379" s="36" t="s">
        <v>14330</v>
      </c>
      <c r="L379" s="36" t="s">
        <v>14330</v>
      </c>
      <c r="M379">
        <v>-1</v>
      </c>
      <c r="N379" t="s">
        <v>14331</v>
      </c>
      <c r="O379" t="s">
        <v>32633</v>
      </c>
    </row>
    <row r="380" spans="1:15" x14ac:dyDescent="0.25">
      <c r="A380" s="35" t="s">
        <v>4202</v>
      </c>
      <c r="B380" s="36" t="s">
        <v>4203</v>
      </c>
      <c r="C380" s="36" t="str">
        <f>HYPERLINK("https://rhld.insurance.arkansas.gov/NPILookup?Npi=1164166179","1164166179")</f>
        <v>1164166179</v>
      </c>
      <c r="D380" s="36" t="s">
        <v>33016</v>
      </c>
      <c r="E380" s="36" t="s">
        <v>2</v>
      </c>
      <c r="F380" s="36">
        <v>1</v>
      </c>
      <c r="G380" s="36">
        <v>0</v>
      </c>
      <c r="H380" s="36">
        <v>1</v>
      </c>
      <c r="I380" s="37">
        <v>0</v>
      </c>
      <c r="J380" s="36" t="s">
        <v>32679</v>
      </c>
      <c r="K380" s="36" t="s">
        <v>14330</v>
      </c>
      <c r="L380" s="36" t="s">
        <v>32959</v>
      </c>
      <c r="M380">
        <v>2</v>
      </c>
      <c r="N380" t="s">
        <v>14332</v>
      </c>
      <c r="O380" t="s">
        <v>33017</v>
      </c>
    </row>
    <row r="381" spans="1:15" x14ac:dyDescent="0.25">
      <c r="A381" s="35" t="s">
        <v>4202</v>
      </c>
      <c r="B381" s="36" t="s">
        <v>4203</v>
      </c>
      <c r="C381" s="36" t="str">
        <f>HYPERLINK("https://rhld.insurance.arkansas.gov/NPILookup?Npi=1164482162","1164482162")</f>
        <v>1164482162</v>
      </c>
      <c r="D381" s="36" t="s">
        <v>33018</v>
      </c>
      <c r="E381" s="36" t="s">
        <v>1</v>
      </c>
      <c r="F381" s="36">
        <v>1</v>
      </c>
      <c r="G381" s="36">
        <v>2</v>
      </c>
      <c r="H381" s="36">
        <v>0</v>
      </c>
      <c r="I381" s="37">
        <v>0</v>
      </c>
      <c r="J381" s="36" t="s">
        <v>32723</v>
      </c>
      <c r="K381" s="36" t="s">
        <v>14330</v>
      </c>
      <c r="L381" s="36" t="s">
        <v>14330</v>
      </c>
      <c r="M381">
        <v>3</v>
      </c>
      <c r="N381" t="s">
        <v>14331</v>
      </c>
      <c r="O381" t="s">
        <v>32724</v>
      </c>
    </row>
    <row r="382" spans="1:15" x14ac:dyDescent="0.25">
      <c r="A382" s="35" t="s">
        <v>4202</v>
      </c>
      <c r="B382" s="36" t="s">
        <v>4203</v>
      </c>
      <c r="C382" s="36" t="str">
        <f>HYPERLINK("https://rhld.insurance.arkansas.gov/NPILookup?Npi=1164491270","1164491270")</f>
        <v>1164491270</v>
      </c>
      <c r="D382" s="36" t="s">
        <v>33019</v>
      </c>
      <c r="E382" s="36" t="s">
        <v>1</v>
      </c>
      <c r="F382" s="36">
        <v>1</v>
      </c>
      <c r="G382" s="36">
        <v>3</v>
      </c>
      <c r="H382" s="36">
        <v>0</v>
      </c>
      <c r="I382" s="37">
        <v>0</v>
      </c>
      <c r="J382" s="36" t="s">
        <v>32654</v>
      </c>
      <c r="K382" s="36" t="s">
        <v>14330</v>
      </c>
      <c r="L382" s="36" t="s">
        <v>14330</v>
      </c>
      <c r="M382">
        <v>3</v>
      </c>
      <c r="N382" t="s">
        <v>14331</v>
      </c>
      <c r="O382" t="s">
        <v>32633</v>
      </c>
    </row>
    <row r="383" spans="1:15" x14ac:dyDescent="0.25">
      <c r="A383" s="35" t="s">
        <v>4202</v>
      </c>
      <c r="B383" s="36" t="s">
        <v>4203</v>
      </c>
      <c r="C383" s="36" t="str">
        <f>HYPERLINK("https://rhld.insurance.arkansas.gov/NPILookup?Npi=1164962726","1164962726")</f>
        <v>1164962726</v>
      </c>
      <c r="D383" s="36" t="s">
        <v>33020</v>
      </c>
      <c r="E383" s="36" t="s">
        <v>1</v>
      </c>
      <c r="F383" s="36">
        <v>1</v>
      </c>
      <c r="G383" s="36">
        <v>3</v>
      </c>
      <c r="H383" s="36">
        <v>0</v>
      </c>
      <c r="I383" s="37">
        <v>0</v>
      </c>
      <c r="J383" s="36" t="s">
        <v>32654</v>
      </c>
      <c r="K383" s="36" t="s">
        <v>14330</v>
      </c>
      <c r="L383" s="36" t="s">
        <v>14330</v>
      </c>
      <c r="M383">
        <v>2</v>
      </c>
      <c r="N383" t="s">
        <v>14331</v>
      </c>
      <c r="O383" t="s">
        <v>32633</v>
      </c>
    </row>
    <row r="384" spans="1:15" x14ac:dyDescent="0.25">
      <c r="A384" s="35" t="s">
        <v>4202</v>
      </c>
      <c r="B384" s="36" t="s">
        <v>4203</v>
      </c>
      <c r="C384" s="36" t="str">
        <f>HYPERLINK("https://rhld.insurance.arkansas.gov/NPILookup?Npi=1174872485","1174872485")</f>
        <v>1174872485</v>
      </c>
      <c r="D384" s="36" t="s">
        <v>33021</v>
      </c>
      <c r="E384" s="36" t="s">
        <v>2</v>
      </c>
      <c r="F384" s="36">
        <v>1</v>
      </c>
      <c r="G384" s="36">
        <v>2</v>
      </c>
      <c r="H384" s="36">
        <v>0</v>
      </c>
      <c r="I384" s="37">
        <v>0</v>
      </c>
      <c r="J384" s="36" t="s">
        <v>32679</v>
      </c>
      <c r="K384" s="36" t="s">
        <v>14330</v>
      </c>
      <c r="L384" s="36" t="s">
        <v>14330</v>
      </c>
      <c r="M384">
        <v>2</v>
      </c>
      <c r="N384" t="s">
        <v>14331</v>
      </c>
      <c r="O384" t="s">
        <v>32633</v>
      </c>
    </row>
    <row r="385" spans="1:15" x14ac:dyDescent="0.25">
      <c r="A385" s="35" t="s">
        <v>4202</v>
      </c>
      <c r="B385" s="36" t="s">
        <v>4203</v>
      </c>
      <c r="C385" s="36" t="str">
        <f>HYPERLINK("https://rhld.insurance.arkansas.gov/NPILookup?Npi=1184038598","1184038598")</f>
        <v>1184038598</v>
      </c>
      <c r="D385" s="36" t="s">
        <v>33022</v>
      </c>
      <c r="E385" s="36" t="s">
        <v>1</v>
      </c>
      <c r="F385" s="36">
        <v>1</v>
      </c>
      <c r="G385" s="36">
        <v>2</v>
      </c>
      <c r="H385" s="36">
        <v>0</v>
      </c>
      <c r="I385" s="37">
        <v>0</v>
      </c>
      <c r="J385" s="36" t="s">
        <v>32654</v>
      </c>
      <c r="K385" s="36" t="s">
        <v>14330</v>
      </c>
      <c r="L385" s="36" t="s">
        <v>14330</v>
      </c>
      <c r="M385">
        <v>2</v>
      </c>
      <c r="N385" t="s">
        <v>14331</v>
      </c>
      <c r="O385" t="s">
        <v>32633</v>
      </c>
    </row>
    <row r="386" spans="1:15" x14ac:dyDescent="0.25">
      <c r="A386" s="35" t="s">
        <v>4202</v>
      </c>
      <c r="B386" s="36" t="s">
        <v>4203</v>
      </c>
      <c r="C386" s="36" t="str">
        <f>HYPERLINK("https://rhld.insurance.arkansas.gov/NPILookup?Npi=1184118051","1184118051")</f>
        <v>1184118051</v>
      </c>
      <c r="D386" s="36" t="s">
        <v>33023</v>
      </c>
      <c r="E386" s="36" t="s">
        <v>1</v>
      </c>
      <c r="F386" s="36">
        <v>1</v>
      </c>
      <c r="G386" s="36">
        <v>2</v>
      </c>
      <c r="H386" s="36">
        <v>0</v>
      </c>
      <c r="I386" s="37">
        <v>0</v>
      </c>
      <c r="J386" s="36" t="s">
        <v>32723</v>
      </c>
      <c r="K386" s="36" t="s">
        <v>14330</v>
      </c>
      <c r="L386" s="36" t="s">
        <v>14330</v>
      </c>
      <c r="M386">
        <v>2</v>
      </c>
      <c r="N386" t="s">
        <v>14331</v>
      </c>
      <c r="O386" t="s">
        <v>32724</v>
      </c>
    </row>
    <row r="387" spans="1:15" x14ac:dyDescent="0.25">
      <c r="A387" s="35" t="s">
        <v>4202</v>
      </c>
      <c r="B387" s="36" t="s">
        <v>4203</v>
      </c>
      <c r="C387" s="36" t="str">
        <f>HYPERLINK("https://rhld.insurance.arkansas.gov/NPILookup?Npi=1184203648","1184203648")</f>
        <v>1184203648</v>
      </c>
      <c r="D387" s="36" t="s">
        <v>33024</v>
      </c>
      <c r="E387" s="36" t="s">
        <v>2</v>
      </c>
      <c r="F387" s="36">
        <v>1</v>
      </c>
      <c r="G387" s="36">
        <v>2</v>
      </c>
      <c r="H387" s="36">
        <v>0</v>
      </c>
      <c r="I387" s="37">
        <v>0</v>
      </c>
      <c r="J387" s="36"/>
      <c r="K387" s="36" t="s">
        <v>14330</v>
      </c>
      <c r="L387" s="36" t="s">
        <v>14330</v>
      </c>
      <c r="M387">
        <v>1</v>
      </c>
      <c r="N387" t="s">
        <v>14331</v>
      </c>
      <c r="O387" t="s">
        <v>32633</v>
      </c>
    </row>
    <row r="388" spans="1:15" x14ac:dyDescent="0.25">
      <c r="A388" s="35" t="s">
        <v>4202</v>
      </c>
      <c r="B388" s="36" t="s">
        <v>4203</v>
      </c>
      <c r="C388" s="36" t="str">
        <f>HYPERLINK("https://rhld.insurance.arkansas.gov/NPILookup?Npi=1184290587","1184290587")</f>
        <v>1184290587</v>
      </c>
      <c r="D388" s="36" t="s">
        <v>33025</v>
      </c>
      <c r="E388" s="36" t="s">
        <v>2</v>
      </c>
      <c r="F388" s="36">
        <v>2</v>
      </c>
      <c r="G388" s="36">
        <v>1</v>
      </c>
      <c r="H388" s="36">
        <v>0</v>
      </c>
      <c r="I388" s="37">
        <v>0</v>
      </c>
      <c r="J388" s="36" t="s">
        <v>33004</v>
      </c>
      <c r="K388" s="36" t="s">
        <v>14330</v>
      </c>
      <c r="L388" s="36" t="s">
        <v>14330</v>
      </c>
      <c r="M388">
        <v>2</v>
      </c>
      <c r="N388" t="s">
        <v>14331</v>
      </c>
      <c r="O388" t="s">
        <v>32633</v>
      </c>
    </row>
    <row r="389" spans="1:15" x14ac:dyDescent="0.25">
      <c r="A389" s="35" t="s">
        <v>4202</v>
      </c>
      <c r="B389" s="36" t="s">
        <v>4203</v>
      </c>
      <c r="C389" s="36" t="str">
        <f>HYPERLINK("https://rhld.insurance.arkansas.gov/NPILookup?Npi=1184650616","1184650616")</f>
        <v>1184650616</v>
      </c>
      <c r="D389" s="36" t="s">
        <v>33026</v>
      </c>
      <c r="E389" s="36" t="s">
        <v>1</v>
      </c>
      <c r="F389" s="36">
        <v>1</v>
      </c>
      <c r="G389" s="36">
        <v>2</v>
      </c>
      <c r="H389" s="36">
        <v>0</v>
      </c>
      <c r="I389" s="37">
        <v>0</v>
      </c>
      <c r="J389" s="36" t="s">
        <v>32654</v>
      </c>
      <c r="K389" s="36" t="s">
        <v>14330</v>
      </c>
      <c r="L389" s="36" t="s">
        <v>14330</v>
      </c>
      <c r="M389">
        <v>2</v>
      </c>
      <c r="N389" t="s">
        <v>14331</v>
      </c>
      <c r="O389" t="s">
        <v>32633</v>
      </c>
    </row>
    <row r="390" spans="1:15" x14ac:dyDescent="0.25">
      <c r="A390" s="35" t="s">
        <v>4202</v>
      </c>
      <c r="B390" s="36" t="s">
        <v>4203</v>
      </c>
      <c r="C390" s="36" t="str">
        <f>HYPERLINK("https://rhld.insurance.arkansas.gov/NPILookup?Npi=1184669137","1184669137")</f>
        <v>1184669137</v>
      </c>
      <c r="D390" s="36" t="s">
        <v>33027</v>
      </c>
      <c r="E390" s="36" t="s">
        <v>2</v>
      </c>
      <c r="F390" s="36">
        <v>1</v>
      </c>
      <c r="G390" s="36">
        <v>2</v>
      </c>
      <c r="H390" s="36">
        <v>0</v>
      </c>
      <c r="I390" s="37">
        <v>0</v>
      </c>
      <c r="J390" s="36" t="s">
        <v>32679</v>
      </c>
      <c r="K390" s="36" t="s">
        <v>14330</v>
      </c>
      <c r="L390" s="36" t="s">
        <v>14330</v>
      </c>
      <c r="M390">
        <v>2</v>
      </c>
      <c r="N390" t="s">
        <v>14331</v>
      </c>
      <c r="O390" t="s">
        <v>32633</v>
      </c>
    </row>
    <row r="391" spans="1:15" x14ac:dyDescent="0.25">
      <c r="A391" s="35" t="s">
        <v>4202</v>
      </c>
      <c r="B391" s="36" t="s">
        <v>4203</v>
      </c>
      <c r="C391" s="36" t="str">
        <f>HYPERLINK("https://rhld.insurance.arkansas.gov/NPILookup?Npi=1184843419","1184843419")</f>
        <v>1184843419</v>
      </c>
      <c r="D391" s="36" t="s">
        <v>33028</v>
      </c>
      <c r="E391" s="36" t="s">
        <v>1</v>
      </c>
      <c r="F391" s="36">
        <v>1</v>
      </c>
      <c r="G391" s="36">
        <v>2</v>
      </c>
      <c r="H391" s="36">
        <v>0</v>
      </c>
      <c r="I391" s="37">
        <v>0</v>
      </c>
      <c r="J391" s="36" t="s">
        <v>32723</v>
      </c>
      <c r="K391" s="36" t="s">
        <v>14330</v>
      </c>
      <c r="L391" s="36" t="s">
        <v>14330</v>
      </c>
      <c r="M391">
        <v>3</v>
      </c>
      <c r="N391" t="s">
        <v>14331</v>
      </c>
      <c r="O391" t="s">
        <v>32724</v>
      </c>
    </row>
    <row r="392" spans="1:15" x14ac:dyDescent="0.25">
      <c r="A392" s="35" t="s">
        <v>4202</v>
      </c>
      <c r="B392" s="36" t="s">
        <v>4203</v>
      </c>
      <c r="C392" s="36" t="str">
        <f>HYPERLINK("https://rhld.insurance.arkansas.gov/NPILookup?Npi=1184882383","1184882383")</f>
        <v>1184882383</v>
      </c>
      <c r="D392" s="36" t="s">
        <v>33029</v>
      </c>
      <c r="E392" s="36" t="s">
        <v>1</v>
      </c>
      <c r="F392" s="36">
        <v>1</v>
      </c>
      <c r="G392" s="36">
        <v>3</v>
      </c>
      <c r="H392" s="36">
        <v>0</v>
      </c>
      <c r="I392" s="37">
        <v>0</v>
      </c>
      <c r="J392" s="36" t="s">
        <v>32654</v>
      </c>
      <c r="K392" s="36" t="s">
        <v>14330</v>
      </c>
      <c r="L392" s="36" t="s">
        <v>14330</v>
      </c>
      <c r="M392">
        <v>3</v>
      </c>
      <c r="N392" t="s">
        <v>14331</v>
      </c>
      <c r="O392" t="s">
        <v>32633</v>
      </c>
    </row>
    <row r="393" spans="1:15" x14ac:dyDescent="0.25">
      <c r="A393" s="35" t="s">
        <v>4202</v>
      </c>
      <c r="B393" s="36" t="s">
        <v>4203</v>
      </c>
      <c r="C393" s="36" t="str">
        <f>HYPERLINK("https://rhld.insurance.arkansas.gov/NPILookup?Npi=1194040865","1194040865")</f>
        <v>1194040865</v>
      </c>
      <c r="D393" s="36" t="s">
        <v>33030</v>
      </c>
      <c r="E393" s="36" t="s">
        <v>1</v>
      </c>
      <c r="F393" s="36">
        <v>1</v>
      </c>
      <c r="G393" s="36">
        <v>3</v>
      </c>
      <c r="H393" s="36">
        <v>0</v>
      </c>
      <c r="I393" s="37">
        <v>0</v>
      </c>
      <c r="J393" s="36" t="s">
        <v>32654</v>
      </c>
      <c r="K393" s="36" t="s">
        <v>14330</v>
      </c>
      <c r="L393" s="36" t="s">
        <v>14330</v>
      </c>
      <c r="M393">
        <v>3</v>
      </c>
      <c r="N393" t="s">
        <v>14331</v>
      </c>
      <c r="O393" t="s">
        <v>32633</v>
      </c>
    </row>
    <row r="394" spans="1:15" x14ac:dyDescent="0.25">
      <c r="A394" s="35" t="s">
        <v>4202</v>
      </c>
      <c r="B394" s="36" t="s">
        <v>4203</v>
      </c>
      <c r="C394" s="36" t="str">
        <f>HYPERLINK("https://rhld.insurance.arkansas.gov/NPILookup?Npi=1194086926","1194086926")</f>
        <v>1194086926</v>
      </c>
      <c r="D394" s="36" t="s">
        <v>33031</v>
      </c>
      <c r="E394" s="36" t="s">
        <v>1</v>
      </c>
      <c r="F394" s="36">
        <v>1</v>
      </c>
      <c r="G394" s="36">
        <v>3</v>
      </c>
      <c r="H394" s="36">
        <v>0</v>
      </c>
      <c r="I394" s="37">
        <v>0</v>
      </c>
      <c r="J394" s="36" t="s">
        <v>32654</v>
      </c>
      <c r="K394" s="36" t="s">
        <v>14330</v>
      </c>
      <c r="L394" s="36" t="s">
        <v>14330</v>
      </c>
      <c r="M394">
        <v>2</v>
      </c>
      <c r="N394" t="s">
        <v>14331</v>
      </c>
      <c r="O394" t="s">
        <v>32633</v>
      </c>
    </row>
    <row r="395" spans="1:15" x14ac:dyDescent="0.25">
      <c r="A395" s="35" t="s">
        <v>4202</v>
      </c>
      <c r="B395" s="36" t="s">
        <v>4203</v>
      </c>
      <c r="C395" s="36" t="str">
        <f>HYPERLINK("https://rhld.insurance.arkansas.gov/NPILookup?Npi=1194220186","1194220186")</f>
        <v>1194220186</v>
      </c>
      <c r="D395" s="36" t="s">
        <v>33032</v>
      </c>
      <c r="E395" s="36" t="s">
        <v>1</v>
      </c>
      <c r="F395" s="36">
        <v>1</v>
      </c>
      <c r="G395" s="36">
        <v>2</v>
      </c>
      <c r="H395" s="36">
        <v>0</v>
      </c>
      <c r="I395" s="37">
        <v>0</v>
      </c>
      <c r="J395" s="36" t="s">
        <v>32654</v>
      </c>
      <c r="K395" s="36" t="s">
        <v>14330</v>
      </c>
      <c r="L395" s="36" t="s">
        <v>14330</v>
      </c>
      <c r="M395">
        <v>3</v>
      </c>
      <c r="N395" t="s">
        <v>14331</v>
      </c>
      <c r="O395" t="s">
        <v>32633</v>
      </c>
    </row>
    <row r="396" spans="1:15" x14ac:dyDescent="0.25">
      <c r="A396" s="35" t="s">
        <v>4202</v>
      </c>
      <c r="B396" s="36" t="s">
        <v>4203</v>
      </c>
      <c r="C396" s="36" t="str">
        <f>HYPERLINK("https://rhld.insurance.arkansas.gov/NPILookup?Npi=1194285478","1194285478")</f>
        <v>1194285478</v>
      </c>
      <c r="D396" s="36" t="s">
        <v>33033</v>
      </c>
      <c r="E396" s="36" t="s">
        <v>1</v>
      </c>
      <c r="F396" s="36">
        <v>1</v>
      </c>
      <c r="G396" s="36">
        <v>3</v>
      </c>
      <c r="H396" s="36">
        <v>0</v>
      </c>
      <c r="I396" s="37">
        <v>0</v>
      </c>
      <c r="J396" s="36" t="s">
        <v>32723</v>
      </c>
      <c r="K396" s="36" t="s">
        <v>14330</v>
      </c>
      <c r="L396" s="36" t="s">
        <v>14330</v>
      </c>
      <c r="M396">
        <v>3</v>
      </c>
      <c r="N396" t="s">
        <v>14331</v>
      </c>
      <c r="O396" t="s">
        <v>32724</v>
      </c>
    </row>
    <row r="397" spans="1:15" x14ac:dyDescent="0.25">
      <c r="A397" s="35" t="s">
        <v>4202</v>
      </c>
      <c r="B397" s="36" t="s">
        <v>4203</v>
      </c>
      <c r="C397" s="36" t="str">
        <f>HYPERLINK("https://rhld.insurance.arkansas.gov/NPILookup?Npi=1194746602","1194746602")</f>
        <v>1194746602</v>
      </c>
      <c r="D397" s="36" t="s">
        <v>33034</v>
      </c>
      <c r="E397" s="36" t="s">
        <v>1</v>
      </c>
      <c r="F397" s="36">
        <v>1</v>
      </c>
      <c r="G397" s="36">
        <v>3</v>
      </c>
      <c r="H397" s="36">
        <v>0</v>
      </c>
      <c r="I397" s="37">
        <v>0</v>
      </c>
      <c r="J397" s="36" t="s">
        <v>32654</v>
      </c>
      <c r="K397" s="36" t="s">
        <v>14330</v>
      </c>
      <c r="L397" s="36" t="s">
        <v>14330</v>
      </c>
      <c r="M397">
        <v>3</v>
      </c>
      <c r="N397" t="s">
        <v>14331</v>
      </c>
      <c r="O397" t="s">
        <v>32633</v>
      </c>
    </row>
    <row r="398" spans="1:15" x14ac:dyDescent="0.25">
      <c r="A398" s="35" t="s">
        <v>4202</v>
      </c>
      <c r="B398" s="36" t="s">
        <v>4203</v>
      </c>
      <c r="C398" s="36" t="str">
        <f>HYPERLINK("https://rhld.insurance.arkansas.gov/NPILookup?Npi=1194789685","1194789685")</f>
        <v>1194789685</v>
      </c>
      <c r="D398" s="36" t="s">
        <v>33035</v>
      </c>
      <c r="E398" s="36" t="s">
        <v>1</v>
      </c>
      <c r="F398" s="36">
        <v>1</v>
      </c>
      <c r="G398" s="36">
        <v>3</v>
      </c>
      <c r="H398" s="36">
        <v>0</v>
      </c>
      <c r="I398" s="37">
        <v>0</v>
      </c>
      <c r="J398" s="36" t="s">
        <v>32654</v>
      </c>
      <c r="K398" s="36" t="s">
        <v>14330</v>
      </c>
      <c r="L398" s="36" t="s">
        <v>14330</v>
      </c>
      <c r="M398">
        <v>3</v>
      </c>
      <c r="N398" t="s">
        <v>14331</v>
      </c>
      <c r="O398" t="s">
        <v>32633</v>
      </c>
    </row>
    <row r="399" spans="1:15" x14ac:dyDescent="0.25">
      <c r="A399" s="35" t="s">
        <v>4202</v>
      </c>
      <c r="B399" s="36" t="s">
        <v>4203</v>
      </c>
      <c r="C399" s="36" t="str">
        <f>HYPERLINK("https://rhld.insurance.arkansas.gov/NPILookup?Npi=1194921635","1194921635")</f>
        <v>1194921635</v>
      </c>
      <c r="D399" s="36" t="s">
        <v>33036</v>
      </c>
      <c r="E399" s="36" t="s">
        <v>1</v>
      </c>
      <c r="F399" s="36">
        <v>1</v>
      </c>
      <c r="G399" s="36">
        <v>3</v>
      </c>
      <c r="H399" s="36">
        <v>0</v>
      </c>
      <c r="I399" s="37">
        <v>0</v>
      </c>
      <c r="J399" s="36" t="s">
        <v>32654</v>
      </c>
      <c r="K399" s="36" t="s">
        <v>14330</v>
      </c>
      <c r="L399" s="36" t="s">
        <v>14330</v>
      </c>
      <c r="M399">
        <v>3</v>
      </c>
      <c r="N399" t="s">
        <v>14331</v>
      </c>
      <c r="O399" t="s">
        <v>32633</v>
      </c>
    </row>
    <row r="400" spans="1:15" x14ac:dyDescent="0.25">
      <c r="A400" s="35" t="s">
        <v>4202</v>
      </c>
      <c r="B400" s="36" t="s">
        <v>4203</v>
      </c>
      <c r="C400" s="36" t="str">
        <f>HYPERLINK("https://rhld.insurance.arkansas.gov/NPILookup?Npi=1194967414","1194967414")</f>
        <v>1194967414</v>
      </c>
      <c r="D400" s="36" t="s">
        <v>33037</v>
      </c>
      <c r="E400" s="36" t="s">
        <v>1</v>
      </c>
      <c r="F400" s="36">
        <v>1</v>
      </c>
      <c r="G400" s="36">
        <v>3</v>
      </c>
      <c r="H400" s="36">
        <v>0</v>
      </c>
      <c r="I400" s="37">
        <v>0</v>
      </c>
      <c r="J400" s="36" t="s">
        <v>32654</v>
      </c>
      <c r="K400" s="36" t="s">
        <v>14330</v>
      </c>
      <c r="L400" s="36" t="s">
        <v>14330</v>
      </c>
      <c r="M400">
        <v>1</v>
      </c>
      <c r="N400" t="s">
        <v>14331</v>
      </c>
      <c r="O400" t="s">
        <v>32633</v>
      </c>
    </row>
    <row r="401" spans="1:15" x14ac:dyDescent="0.25">
      <c r="A401" s="35" t="s">
        <v>4202</v>
      </c>
      <c r="B401" s="36" t="s">
        <v>4203</v>
      </c>
      <c r="C401" s="36" t="str">
        <f>HYPERLINK("https://rhld.insurance.arkansas.gov/NPILookup?Npi=1205220654","1205220654")</f>
        <v>1205220654</v>
      </c>
      <c r="D401" s="36" t="s">
        <v>33038</v>
      </c>
      <c r="E401" s="36" t="s">
        <v>1</v>
      </c>
      <c r="F401" s="36">
        <v>1</v>
      </c>
      <c r="G401" s="36">
        <v>2</v>
      </c>
      <c r="H401" s="36">
        <v>1</v>
      </c>
      <c r="I401" s="37">
        <v>0</v>
      </c>
      <c r="J401" s="36" t="s">
        <v>32654</v>
      </c>
      <c r="K401" s="36" t="s">
        <v>14330</v>
      </c>
      <c r="L401" s="36" t="s">
        <v>33039</v>
      </c>
      <c r="M401">
        <v>1</v>
      </c>
      <c r="N401" t="s">
        <v>14331</v>
      </c>
      <c r="O401" t="s">
        <v>33040</v>
      </c>
    </row>
    <row r="402" spans="1:15" x14ac:dyDescent="0.25">
      <c r="A402" s="35" t="s">
        <v>4202</v>
      </c>
      <c r="B402" s="36" t="s">
        <v>4203</v>
      </c>
      <c r="C402" s="36" t="str">
        <f>HYPERLINK("https://rhld.insurance.arkansas.gov/NPILookup?Npi=1205397304","1205397304")</f>
        <v>1205397304</v>
      </c>
      <c r="D402" s="36" t="s">
        <v>33041</v>
      </c>
      <c r="E402" s="36" t="s">
        <v>1</v>
      </c>
      <c r="F402" s="36">
        <v>1</v>
      </c>
      <c r="G402" s="36">
        <v>2</v>
      </c>
      <c r="H402" s="36">
        <v>1</v>
      </c>
      <c r="I402" s="37">
        <v>0</v>
      </c>
      <c r="J402" s="36" t="s">
        <v>32654</v>
      </c>
      <c r="K402" s="36" t="s">
        <v>14330</v>
      </c>
      <c r="L402" s="36" t="s">
        <v>33039</v>
      </c>
      <c r="M402">
        <v>2</v>
      </c>
      <c r="N402" t="s">
        <v>14332</v>
      </c>
      <c r="O402" t="s">
        <v>33042</v>
      </c>
    </row>
    <row r="403" spans="1:15" x14ac:dyDescent="0.25">
      <c r="A403" s="35" t="s">
        <v>4202</v>
      </c>
      <c r="B403" s="36" t="s">
        <v>4203</v>
      </c>
      <c r="C403" s="36" t="str">
        <f>HYPERLINK("https://rhld.insurance.arkansas.gov/NPILookup?Npi=1205806585","1205806585")</f>
        <v>1205806585</v>
      </c>
      <c r="D403" s="36" t="s">
        <v>33043</v>
      </c>
      <c r="E403" s="36" t="s">
        <v>2</v>
      </c>
      <c r="F403" s="36">
        <v>1</v>
      </c>
      <c r="G403" s="36">
        <v>2</v>
      </c>
      <c r="H403" s="36">
        <v>0</v>
      </c>
      <c r="I403" s="37">
        <v>0</v>
      </c>
      <c r="J403" s="36" t="s">
        <v>32679</v>
      </c>
      <c r="K403" s="36" t="s">
        <v>14330</v>
      </c>
      <c r="L403" s="36" t="s">
        <v>14330</v>
      </c>
      <c r="M403">
        <v>2</v>
      </c>
      <c r="N403" t="s">
        <v>14331</v>
      </c>
      <c r="O403" t="s">
        <v>32633</v>
      </c>
    </row>
    <row r="404" spans="1:15" x14ac:dyDescent="0.25">
      <c r="A404" s="35" t="s">
        <v>4202</v>
      </c>
      <c r="B404" s="36" t="s">
        <v>4203</v>
      </c>
      <c r="C404" s="36" t="str">
        <f>HYPERLINK("https://rhld.insurance.arkansas.gov/NPILookup?Npi=1205896347","1205896347")</f>
        <v>1205896347</v>
      </c>
      <c r="D404" s="36" t="s">
        <v>33044</v>
      </c>
      <c r="E404" s="36" t="s">
        <v>1</v>
      </c>
      <c r="F404" s="36">
        <v>1</v>
      </c>
      <c r="G404" s="36">
        <v>2</v>
      </c>
      <c r="H404" s="36">
        <v>0</v>
      </c>
      <c r="I404" s="37">
        <v>0</v>
      </c>
      <c r="J404" s="36" t="s">
        <v>32654</v>
      </c>
      <c r="K404" s="36" t="s">
        <v>14330</v>
      </c>
      <c r="L404" s="36" t="s">
        <v>14330</v>
      </c>
      <c r="M404">
        <v>4</v>
      </c>
      <c r="N404" t="s">
        <v>14331</v>
      </c>
      <c r="O404" t="s">
        <v>32633</v>
      </c>
    </row>
    <row r="405" spans="1:15" x14ac:dyDescent="0.25">
      <c r="A405" s="35" t="s">
        <v>4202</v>
      </c>
      <c r="B405" s="36" t="s">
        <v>4203</v>
      </c>
      <c r="C405" s="36" t="str">
        <f>HYPERLINK("https://rhld.insurance.arkansas.gov/NPILookup?Npi=1205948247","1205948247")</f>
        <v>1205948247</v>
      </c>
      <c r="D405" s="36" t="s">
        <v>33045</v>
      </c>
      <c r="E405" s="36" t="s">
        <v>1</v>
      </c>
      <c r="F405" s="36">
        <v>1</v>
      </c>
      <c r="G405" s="36">
        <v>4</v>
      </c>
      <c r="H405" s="36">
        <v>0</v>
      </c>
      <c r="I405" s="37">
        <v>0</v>
      </c>
      <c r="J405" s="36" t="s">
        <v>32654</v>
      </c>
      <c r="K405" s="36" t="s">
        <v>14330</v>
      </c>
      <c r="L405" s="36" t="s">
        <v>14330</v>
      </c>
      <c r="M405">
        <v>2</v>
      </c>
      <c r="N405" t="s">
        <v>14331</v>
      </c>
      <c r="O405" t="s">
        <v>32633</v>
      </c>
    </row>
    <row r="406" spans="1:15" x14ac:dyDescent="0.25">
      <c r="A406" s="35" t="s">
        <v>4202</v>
      </c>
      <c r="B406" s="36" t="s">
        <v>4203</v>
      </c>
      <c r="C406" s="36" t="str">
        <f>HYPERLINK("https://rhld.insurance.arkansas.gov/NPILookup?Npi=1215310503","1215310503")</f>
        <v>1215310503</v>
      </c>
      <c r="D406" s="36" t="s">
        <v>33046</v>
      </c>
      <c r="E406" s="36" t="s">
        <v>1</v>
      </c>
      <c r="F406" s="36">
        <v>1</v>
      </c>
      <c r="G406" s="36">
        <v>2</v>
      </c>
      <c r="H406" s="36">
        <v>0</v>
      </c>
      <c r="I406" s="37">
        <v>0</v>
      </c>
      <c r="J406" s="36" t="s">
        <v>32654</v>
      </c>
      <c r="K406" s="36" t="s">
        <v>14330</v>
      </c>
      <c r="L406" s="36" t="s">
        <v>14330</v>
      </c>
      <c r="M406">
        <v>3</v>
      </c>
      <c r="N406" t="s">
        <v>14331</v>
      </c>
      <c r="O406" t="s">
        <v>32633</v>
      </c>
    </row>
    <row r="407" spans="1:15" x14ac:dyDescent="0.25">
      <c r="A407" s="35" t="s">
        <v>4202</v>
      </c>
      <c r="B407" s="36" t="s">
        <v>4203</v>
      </c>
      <c r="C407" s="36" t="str">
        <f>HYPERLINK("https://rhld.insurance.arkansas.gov/NPILookup?Npi=1215932488","1215932488")</f>
        <v>1215932488</v>
      </c>
      <c r="D407" s="36" t="s">
        <v>33047</v>
      </c>
      <c r="E407" s="36" t="s">
        <v>1</v>
      </c>
      <c r="F407" s="36">
        <v>1</v>
      </c>
      <c r="G407" s="36">
        <v>3</v>
      </c>
      <c r="H407" s="36">
        <v>0</v>
      </c>
      <c r="I407" s="37">
        <v>0</v>
      </c>
      <c r="J407" s="36" t="s">
        <v>32654</v>
      </c>
      <c r="K407" s="36" t="s">
        <v>14330</v>
      </c>
      <c r="L407" s="36" t="s">
        <v>14330</v>
      </c>
      <c r="M407">
        <v>2</v>
      </c>
      <c r="N407" t="s">
        <v>14331</v>
      </c>
      <c r="O407" t="s">
        <v>32633</v>
      </c>
    </row>
    <row r="408" spans="1:15" x14ac:dyDescent="0.25">
      <c r="A408" s="35" t="s">
        <v>4202</v>
      </c>
      <c r="B408" s="36" t="s">
        <v>4203</v>
      </c>
      <c r="C408" s="36" t="str">
        <f>HYPERLINK("https://rhld.insurance.arkansas.gov/NPILookup?Npi=1215968599","1215968599")</f>
        <v>1215968599</v>
      </c>
      <c r="D408" s="36" t="s">
        <v>33048</v>
      </c>
      <c r="E408" s="36" t="s">
        <v>1</v>
      </c>
      <c r="F408" s="36">
        <v>1</v>
      </c>
      <c r="G408" s="36">
        <v>2</v>
      </c>
      <c r="H408" s="36">
        <v>0</v>
      </c>
      <c r="I408" s="37">
        <v>0</v>
      </c>
      <c r="J408" s="36" t="s">
        <v>32723</v>
      </c>
      <c r="K408" s="36" t="s">
        <v>14330</v>
      </c>
      <c r="L408" s="36" t="s">
        <v>14330</v>
      </c>
      <c r="M408">
        <v>2</v>
      </c>
      <c r="N408" t="s">
        <v>14331</v>
      </c>
      <c r="O408" t="s">
        <v>32724</v>
      </c>
    </row>
    <row r="409" spans="1:15" x14ac:dyDescent="0.25">
      <c r="A409" s="35" t="s">
        <v>4202</v>
      </c>
      <c r="B409" s="36" t="s">
        <v>4203</v>
      </c>
      <c r="C409" s="36" t="str">
        <f>HYPERLINK("https://rhld.insurance.arkansas.gov/NPILookup?Npi=1215991435","1215991435")</f>
        <v>1215991435</v>
      </c>
      <c r="D409" s="36" t="s">
        <v>33049</v>
      </c>
      <c r="E409" s="36" t="s">
        <v>2</v>
      </c>
      <c r="F409" s="36">
        <v>1</v>
      </c>
      <c r="G409" s="36">
        <v>2</v>
      </c>
      <c r="H409" s="36">
        <v>0</v>
      </c>
      <c r="I409" s="37">
        <v>0</v>
      </c>
      <c r="J409" s="36" t="s">
        <v>32679</v>
      </c>
      <c r="K409" s="36" t="s">
        <v>14330</v>
      </c>
      <c r="L409" s="36" t="s">
        <v>14330</v>
      </c>
      <c r="M409">
        <v>3</v>
      </c>
      <c r="N409" t="s">
        <v>14331</v>
      </c>
      <c r="O409" t="s">
        <v>32633</v>
      </c>
    </row>
    <row r="410" spans="1:15" x14ac:dyDescent="0.25">
      <c r="A410" s="35" t="s">
        <v>4202</v>
      </c>
      <c r="B410" s="36" t="s">
        <v>4203</v>
      </c>
      <c r="C410" s="36" t="str">
        <f>HYPERLINK("https://rhld.insurance.arkansas.gov/NPILookup?Npi=1215999016","1215999016")</f>
        <v>1215999016</v>
      </c>
      <c r="D410" s="36" t="s">
        <v>33050</v>
      </c>
      <c r="E410" s="36" t="s">
        <v>1</v>
      </c>
      <c r="F410" s="36">
        <v>1</v>
      </c>
      <c r="G410" s="36">
        <v>3</v>
      </c>
      <c r="H410" s="36">
        <v>0</v>
      </c>
      <c r="I410" s="37">
        <v>0</v>
      </c>
      <c r="J410" s="36" t="s">
        <v>32654</v>
      </c>
      <c r="K410" s="36" t="s">
        <v>14330</v>
      </c>
      <c r="L410" s="36" t="s">
        <v>14330</v>
      </c>
      <c r="M410">
        <v>3</v>
      </c>
      <c r="N410" t="s">
        <v>14331</v>
      </c>
      <c r="O410" t="s">
        <v>32633</v>
      </c>
    </row>
    <row r="411" spans="1:15" x14ac:dyDescent="0.25">
      <c r="A411" s="35" t="s">
        <v>4202</v>
      </c>
      <c r="B411" s="36" t="s">
        <v>4203</v>
      </c>
      <c r="C411" s="36" t="str">
        <f>HYPERLINK("https://rhld.insurance.arkansas.gov/NPILookup?Npi=1225007966","1225007966")</f>
        <v>1225007966</v>
      </c>
      <c r="D411" s="36" t="s">
        <v>33051</v>
      </c>
      <c r="E411" s="36" t="s">
        <v>1</v>
      </c>
      <c r="F411" s="36">
        <v>1</v>
      </c>
      <c r="G411" s="36">
        <v>3</v>
      </c>
      <c r="H411" s="36">
        <v>0</v>
      </c>
      <c r="I411" s="37">
        <v>0</v>
      </c>
      <c r="J411" s="36" t="s">
        <v>32654</v>
      </c>
      <c r="K411" s="36" t="s">
        <v>14330</v>
      </c>
      <c r="L411" s="36" t="s">
        <v>14330</v>
      </c>
      <c r="M411">
        <v>3</v>
      </c>
      <c r="N411" t="s">
        <v>14331</v>
      </c>
      <c r="O411" t="s">
        <v>32633</v>
      </c>
    </row>
    <row r="412" spans="1:15" x14ac:dyDescent="0.25">
      <c r="A412" s="35" t="s">
        <v>4202</v>
      </c>
      <c r="B412" s="36" t="s">
        <v>4203</v>
      </c>
      <c r="C412" s="36" t="str">
        <f>HYPERLINK("https://rhld.insurance.arkansas.gov/NPILookup?Npi=1225018518","1225018518")</f>
        <v>1225018518</v>
      </c>
      <c r="D412" s="36" t="s">
        <v>33052</v>
      </c>
      <c r="E412" s="36" t="s">
        <v>1</v>
      </c>
      <c r="F412" s="36">
        <v>1</v>
      </c>
      <c r="G412" s="36">
        <v>3</v>
      </c>
      <c r="H412" s="36">
        <v>0</v>
      </c>
      <c r="I412" s="37">
        <v>0</v>
      </c>
      <c r="J412" s="36" t="s">
        <v>32654</v>
      </c>
      <c r="K412" s="36" t="s">
        <v>14330</v>
      </c>
      <c r="L412" s="36" t="s">
        <v>14330</v>
      </c>
      <c r="M412">
        <v>3</v>
      </c>
      <c r="N412" t="s">
        <v>14331</v>
      </c>
      <c r="O412" t="s">
        <v>32633</v>
      </c>
    </row>
    <row r="413" spans="1:15" x14ac:dyDescent="0.25">
      <c r="A413" s="35" t="s">
        <v>4202</v>
      </c>
      <c r="B413" s="36" t="s">
        <v>4203</v>
      </c>
      <c r="C413" s="36" t="str">
        <f>HYPERLINK("https://rhld.insurance.arkansas.gov/NPILookup?Npi=1225214463","1225214463")</f>
        <v>1225214463</v>
      </c>
      <c r="D413" s="36" t="s">
        <v>33053</v>
      </c>
      <c r="E413" s="36" t="s">
        <v>1</v>
      </c>
      <c r="F413" s="36">
        <v>1</v>
      </c>
      <c r="G413" s="36">
        <v>3</v>
      </c>
      <c r="H413" s="36">
        <v>0</v>
      </c>
      <c r="I413" s="37">
        <v>0</v>
      </c>
      <c r="J413" s="36" t="s">
        <v>32654</v>
      </c>
      <c r="K413" s="36" t="s">
        <v>14330</v>
      </c>
      <c r="L413" s="36" t="s">
        <v>14330</v>
      </c>
      <c r="M413">
        <v>3</v>
      </c>
      <c r="N413" t="s">
        <v>14331</v>
      </c>
      <c r="O413" t="s">
        <v>32633</v>
      </c>
    </row>
    <row r="414" spans="1:15" x14ac:dyDescent="0.25">
      <c r="A414" s="35" t="s">
        <v>4202</v>
      </c>
      <c r="B414" s="36" t="s">
        <v>4203</v>
      </c>
      <c r="C414" s="36" t="str">
        <f>HYPERLINK("https://rhld.insurance.arkansas.gov/NPILookup?Npi=1225418445","1225418445")</f>
        <v>1225418445</v>
      </c>
      <c r="D414" s="36" t="s">
        <v>33054</v>
      </c>
      <c r="E414" s="36" t="s">
        <v>1</v>
      </c>
      <c r="F414" s="36">
        <v>1</v>
      </c>
      <c r="G414" s="36">
        <v>3</v>
      </c>
      <c r="H414" s="36">
        <v>0</v>
      </c>
      <c r="I414" s="37">
        <v>0</v>
      </c>
      <c r="J414" s="36" t="s">
        <v>32654</v>
      </c>
      <c r="K414" s="36" t="s">
        <v>14330</v>
      </c>
      <c r="L414" s="36" t="s">
        <v>14330</v>
      </c>
      <c r="M414">
        <v>3</v>
      </c>
      <c r="N414" t="s">
        <v>14331</v>
      </c>
      <c r="O414" t="s">
        <v>32633</v>
      </c>
    </row>
    <row r="415" spans="1:15" x14ac:dyDescent="0.25">
      <c r="A415" s="35" t="s">
        <v>4202</v>
      </c>
      <c r="B415" s="36" t="s">
        <v>4203</v>
      </c>
      <c r="C415" s="36" t="str">
        <f>HYPERLINK("https://rhld.insurance.arkansas.gov/NPILookup?Npi=1225492531","1225492531")</f>
        <v>1225492531</v>
      </c>
      <c r="D415" s="36" t="s">
        <v>33055</v>
      </c>
      <c r="E415" s="36" t="s">
        <v>1</v>
      </c>
      <c r="F415" s="36">
        <v>1</v>
      </c>
      <c r="G415" s="36">
        <v>3</v>
      </c>
      <c r="H415" s="36">
        <v>0</v>
      </c>
      <c r="I415" s="37">
        <v>0</v>
      </c>
      <c r="J415" s="36" t="s">
        <v>32654</v>
      </c>
      <c r="K415" s="36" t="s">
        <v>14330</v>
      </c>
      <c r="L415" s="36" t="s">
        <v>14330</v>
      </c>
      <c r="M415">
        <v>2</v>
      </c>
      <c r="N415" t="s">
        <v>14331</v>
      </c>
      <c r="O415" t="s">
        <v>32633</v>
      </c>
    </row>
    <row r="416" spans="1:15" x14ac:dyDescent="0.25">
      <c r="A416" s="35" t="s">
        <v>4202</v>
      </c>
      <c r="B416" s="36" t="s">
        <v>4203</v>
      </c>
      <c r="C416" s="36" t="str">
        <f>HYPERLINK("https://rhld.insurance.arkansas.gov/NPILookup?Npi=1225528540","1225528540")</f>
        <v>1225528540</v>
      </c>
      <c r="D416" s="36" t="s">
        <v>33056</v>
      </c>
      <c r="E416" s="36" t="s">
        <v>1</v>
      </c>
      <c r="F416" s="36">
        <v>1</v>
      </c>
      <c r="G416" s="36">
        <v>2</v>
      </c>
      <c r="H416" s="36">
        <v>0</v>
      </c>
      <c r="I416" s="37">
        <v>0</v>
      </c>
      <c r="J416" s="36" t="s">
        <v>32654</v>
      </c>
      <c r="K416" s="36" t="s">
        <v>14330</v>
      </c>
      <c r="L416" s="36" t="s">
        <v>14330</v>
      </c>
      <c r="M416">
        <v>2</v>
      </c>
      <c r="N416" t="s">
        <v>14331</v>
      </c>
      <c r="O416" t="s">
        <v>32633</v>
      </c>
    </row>
    <row r="417" spans="1:15" x14ac:dyDescent="0.25">
      <c r="A417" s="35" t="s">
        <v>4202</v>
      </c>
      <c r="B417" s="36" t="s">
        <v>4203</v>
      </c>
      <c r="C417" s="36" t="str">
        <f>HYPERLINK("https://rhld.insurance.arkansas.gov/NPILookup?Npi=1225615784","1225615784")</f>
        <v>1225615784</v>
      </c>
      <c r="D417" s="36" t="s">
        <v>33057</v>
      </c>
      <c r="E417" s="36" t="s">
        <v>1</v>
      </c>
      <c r="F417" s="36">
        <v>1</v>
      </c>
      <c r="G417" s="36">
        <v>2</v>
      </c>
      <c r="H417" s="36">
        <v>0</v>
      </c>
      <c r="I417" s="37">
        <v>0</v>
      </c>
      <c r="J417" s="36" t="s">
        <v>32723</v>
      </c>
      <c r="K417" s="36" t="s">
        <v>14330</v>
      </c>
      <c r="L417" s="36" t="s">
        <v>14330</v>
      </c>
      <c r="M417">
        <v>2</v>
      </c>
      <c r="N417" t="s">
        <v>14331</v>
      </c>
      <c r="O417" t="s">
        <v>32724</v>
      </c>
    </row>
    <row r="418" spans="1:15" x14ac:dyDescent="0.25">
      <c r="A418" s="35" t="s">
        <v>4202</v>
      </c>
      <c r="B418" s="36" t="s">
        <v>4203</v>
      </c>
      <c r="C418" s="36" t="str">
        <f>HYPERLINK("https://rhld.insurance.arkansas.gov/NPILookup?Npi=1235371758","1235371758")</f>
        <v>1235371758</v>
      </c>
      <c r="D418" s="36" t="s">
        <v>33058</v>
      </c>
      <c r="E418" s="36" t="s">
        <v>1</v>
      </c>
      <c r="F418" s="36">
        <v>1</v>
      </c>
      <c r="G418" s="36">
        <v>2</v>
      </c>
      <c r="H418" s="36">
        <v>0</v>
      </c>
      <c r="I418" s="37">
        <v>0</v>
      </c>
      <c r="J418" s="36" t="s">
        <v>32723</v>
      </c>
      <c r="K418" s="36" t="s">
        <v>14330</v>
      </c>
      <c r="L418" s="36" t="s">
        <v>14330</v>
      </c>
      <c r="M418">
        <v>3</v>
      </c>
      <c r="N418" t="s">
        <v>14331</v>
      </c>
      <c r="O418" t="s">
        <v>32724</v>
      </c>
    </row>
    <row r="419" spans="1:15" x14ac:dyDescent="0.25">
      <c r="A419" s="35" t="s">
        <v>4202</v>
      </c>
      <c r="B419" s="36" t="s">
        <v>4203</v>
      </c>
      <c r="C419" s="36" t="str">
        <f>HYPERLINK("https://rhld.insurance.arkansas.gov/NPILookup?Npi=1235457789","1235457789")</f>
        <v>1235457789</v>
      </c>
      <c r="D419" s="36" t="s">
        <v>33059</v>
      </c>
      <c r="E419" s="36" t="s">
        <v>1</v>
      </c>
      <c r="F419" s="36">
        <v>1</v>
      </c>
      <c r="G419" s="36">
        <v>3</v>
      </c>
      <c r="H419" s="36">
        <v>0</v>
      </c>
      <c r="I419" s="37">
        <v>0</v>
      </c>
      <c r="J419" s="36" t="s">
        <v>32654</v>
      </c>
      <c r="K419" s="36" t="s">
        <v>14330</v>
      </c>
      <c r="L419" s="36" t="s">
        <v>14330</v>
      </c>
      <c r="M419">
        <v>2</v>
      </c>
      <c r="N419" t="s">
        <v>14331</v>
      </c>
      <c r="O419" t="s">
        <v>32633</v>
      </c>
    </row>
    <row r="420" spans="1:15" x14ac:dyDescent="0.25">
      <c r="A420" s="35" t="s">
        <v>4202</v>
      </c>
      <c r="B420" s="36" t="s">
        <v>4203</v>
      </c>
      <c r="C420" s="36" t="str">
        <f>HYPERLINK("https://rhld.insurance.arkansas.gov/NPILookup?Npi=1245247535","1245247535")</f>
        <v>1245247535</v>
      </c>
      <c r="D420" s="36" t="s">
        <v>33060</v>
      </c>
      <c r="E420" s="36" t="s">
        <v>2</v>
      </c>
      <c r="F420" s="36">
        <v>1</v>
      </c>
      <c r="G420" s="36">
        <v>2</v>
      </c>
      <c r="H420" s="36">
        <v>0</v>
      </c>
      <c r="I420" s="37">
        <v>0</v>
      </c>
      <c r="J420" s="36" t="s">
        <v>32679</v>
      </c>
      <c r="K420" s="36" t="s">
        <v>14330</v>
      </c>
      <c r="L420" s="36" t="s">
        <v>14330</v>
      </c>
      <c r="M420">
        <v>2</v>
      </c>
      <c r="N420" t="s">
        <v>14331</v>
      </c>
      <c r="O420" t="s">
        <v>32633</v>
      </c>
    </row>
    <row r="421" spans="1:15" x14ac:dyDescent="0.25">
      <c r="A421" s="35" t="s">
        <v>4202</v>
      </c>
      <c r="B421" s="36" t="s">
        <v>4203</v>
      </c>
      <c r="C421" s="36" t="str">
        <f>HYPERLINK("https://rhld.insurance.arkansas.gov/NPILookup?Npi=1245286442","1245286442")</f>
        <v>1245286442</v>
      </c>
      <c r="D421" s="36" t="s">
        <v>33061</v>
      </c>
      <c r="E421" s="36" t="s">
        <v>1</v>
      </c>
      <c r="F421" s="36">
        <v>1</v>
      </c>
      <c r="G421" s="36">
        <v>2</v>
      </c>
      <c r="H421" s="36">
        <v>0</v>
      </c>
      <c r="I421" s="37">
        <v>0</v>
      </c>
      <c r="J421" s="36" t="s">
        <v>32654</v>
      </c>
      <c r="K421" s="36" t="s">
        <v>14330</v>
      </c>
      <c r="L421" s="36" t="s">
        <v>14330</v>
      </c>
      <c r="M421">
        <v>2</v>
      </c>
      <c r="N421" t="s">
        <v>14331</v>
      </c>
      <c r="O421" t="s">
        <v>32633</v>
      </c>
    </row>
    <row r="422" spans="1:15" x14ac:dyDescent="0.25">
      <c r="A422" s="35" t="s">
        <v>4202</v>
      </c>
      <c r="B422" s="36" t="s">
        <v>4203</v>
      </c>
      <c r="C422" s="36" t="str">
        <f>HYPERLINK("https://rhld.insurance.arkansas.gov/NPILookup?Npi=1245658376","1245658376")</f>
        <v>1245658376</v>
      </c>
      <c r="D422" s="36" t="s">
        <v>33062</v>
      </c>
      <c r="E422" s="36" t="s">
        <v>1</v>
      </c>
      <c r="F422" s="36">
        <v>1</v>
      </c>
      <c r="G422" s="36">
        <v>2</v>
      </c>
      <c r="H422" s="36">
        <v>0</v>
      </c>
      <c r="I422" s="37">
        <v>0</v>
      </c>
      <c r="J422" s="36" t="s">
        <v>32654</v>
      </c>
      <c r="K422" s="36" t="s">
        <v>14330</v>
      </c>
      <c r="L422" s="36" t="s">
        <v>14330</v>
      </c>
      <c r="M422">
        <v>2</v>
      </c>
      <c r="N422" t="s">
        <v>14331</v>
      </c>
      <c r="O422" t="s">
        <v>32633</v>
      </c>
    </row>
    <row r="423" spans="1:15" x14ac:dyDescent="0.25">
      <c r="A423" s="35" t="s">
        <v>4202</v>
      </c>
      <c r="B423" s="36" t="s">
        <v>4203</v>
      </c>
      <c r="C423" s="36" t="str">
        <f>HYPERLINK("https://rhld.insurance.arkansas.gov/NPILookup?Npi=1245741735","1245741735")</f>
        <v>1245741735</v>
      </c>
      <c r="D423" s="36" t="s">
        <v>33063</v>
      </c>
      <c r="E423" s="36" t="s">
        <v>1</v>
      </c>
      <c r="F423" s="36">
        <v>1</v>
      </c>
      <c r="G423" s="36">
        <v>2</v>
      </c>
      <c r="H423" s="36">
        <v>0</v>
      </c>
      <c r="I423" s="37">
        <v>0</v>
      </c>
      <c r="J423" s="36" t="s">
        <v>32723</v>
      </c>
      <c r="K423" s="36" t="s">
        <v>14330</v>
      </c>
      <c r="L423" s="36" t="s">
        <v>14330</v>
      </c>
      <c r="M423">
        <v>2</v>
      </c>
      <c r="N423" t="s">
        <v>14331</v>
      </c>
      <c r="O423" t="s">
        <v>32724</v>
      </c>
    </row>
    <row r="424" spans="1:15" x14ac:dyDescent="0.25">
      <c r="A424" s="35" t="s">
        <v>4202</v>
      </c>
      <c r="B424" s="36" t="s">
        <v>4203</v>
      </c>
      <c r="C424" s="36" t="str">
        <f>HYPERLINK("https://rhld.insurance.arkansas.gov/NPILookup?Npi=1255369286","1255369286")</f>
        <v>1255369286</v>
      </c>
      <c r="D424" s="36" t="s">
        <v>33064</v>
      </c>
      <c r="E424" s="36" t="s">
        <v>1</v>
      </c>
      <c r="F424" s="36">
        <v>1</v>
      </c>
      <c r="G424" s="36">
        <v>2</v>
      </c>
      <c r="H424" s="36">
        <v>0</v>
      </c>
      <c r="I424" s="37">
        <v>0</v>
      </c>
      <c r="J424" s="36" t="s">
        <v>32723</v>
      </c>
      <c r="K424" s="36" t="s">
        <v>14330</v>
      </c>
      <c r="L424" s="36" t="s">
        <v>14330</v>
      </c>
      <c r="M424">
        <v>3</v>
      </c>
      <c r="N424" t="s">
        <v>14331</v>
      </c>
      <c r="O424" t="s">
        <v>32724</v>
      </c>
    </row>
    <row r="425" spans="1:15" x14ac:dyDescent="0.25">
      <c r="A425" s="35" t="s">
        <v>4202</v>
      </c>
      <c r="B425" s="36" t="s">
        <v>4203</v>
      </c>
      <c r="C425" s="36" t="str">
        <f>HYPERLINK("https://rhld.insurance.arkansas.gov/NPILookup?Npi=1255397006","1255397006")</f>
        <v>1255397006</v>
      </c>
      <c r="D425" s="36" t="s">
        <v>33065</v>
      </c>
      <c r="E425" s="36" t="s">
        <v>1</v>
      </c>
      <c r="F425" s="36">
        <v>1</v>
      </c>
      <c r="G425" s="36">
        <v>3</v>
      </c>
      <c r="H425" s="36">
        <v>0</v>
      </c>
      <c r="I425" s="37">
        <v>0</v>
      </c>
      <c r="J425" s="36" t="s">
        <v>32654</v>
      </c>
      <c r="K425" s="36" t="s">
        <v>14330</v>
      </c>
      <c r="L425" s="36" t="s">
        <v>14330</v>
      </c>
      <c r="M425">
        <v>2</v>
      </c>
      <c r="N425" t="s">
        <v>14331</v>
      </c>
      <c r="O425" t="s">
        <v>32633</v>
      </c>
    </row>
    <row r="426" spans="1:15" x14ac:dyDescent="0.25">
      <c r="A426" s="35" t="s">
        <v>4202</v>
      </c>
      <c r="B426" s="36" t="s">
        <v>4203</v>
      </c>
      <c r="C426" s="36" t="str">
        <f>HYPERLINK("https://rhld.insurance.arkansas.gov/NPILookup?Npi=1255412417","1255412417")</f>
        <v>1255412417</v>
      </c>
      <c r="D426" s="36" t="s">
        <v>33066</v>
      </c>
      <c r="E426" s="36" t="s">
        <v>1</v>
      </c>
      <c r="F426" s="36">
        <v>1</v>
      </c>
      <c r="G426" s="36">
        <v>2</v>
      </c>
      <c r="H426" s="36">
        <v>0</v>
      </c>
      <c r="I426" s="37">
        <v>0</v>
      </c>
      <c r="J426" s="36" t="s">
        <v>32654</v>
      </c>
      <c r="K426" s="36" t="s">
        <v>14330</v>
      </c>
      <c r="L426" s="36" t="s">
        <v>14330</v>
      </c>
      <c r="M426">
        <v>2</v>
      </c>
      <c r="N426" t="s">
        <v>14331</v>
      </c>
      <c r="O426" t="s">
        <v>32633</v>
      </c>
    </row>
    <row r="427" spans="1:15" x14ac:dyDescent="0.25">
      <c r="A427" s="35" t="s">
        <v>4202</v>
      </c>
      <c r="B427" s="36" t="s">
        <v>4203</v>
      </c>
      <c r="C427" s="36" t="str">
        <f>HYPERLINK("https://rhld.insurance.arkansas.gov/NPILookup?Npi=1255449245","1255449245")</f>
        <v>1255449245</v>
      </c>
      <c r="D427" s="36" t="s">
        <v>33067</v>
      </c>
      <c r="E427" s="36" t="s">
        <v>1</v>
      </c>
      <c r="F427" s="36">
        <v>1</v>
      </c>
      <c r="G427" s="36">
        <v>2</v>
      </c>
      <c r="H427" s="36">
        <v>0</v>
      </c>
      <c r="I427" s="37">
        <v>0</v>
      </c>
      <c r="J427" s="36" t="s">
        <v>32723</v>
      </c>
      <c r="K427" s="36" t="s">
        <v>14330</v>
      </c>
      <c r="L427" s="36" t="s">
        <v>14330</v>
      </c>
      <c r="M427">
        <v>2</v>
      </c>
      <c r="N427" t="s">
        <v>14331</v>
      </c>
      <c r="O427" t="s">
        <v>32724</v>
      </c>
    </row>
    <row r="428" spans="1:15" x14ac:dyDescent="0.25">
      <c r="A428" s="35" t="s">
        <v>4202</v>
      </c>
      <c r="B428" s="36" t="s">
        <v>4203</v>
      </c>
      <c r="C428" s="36" t="str">
        <f>HYPERLINK("https://rhld.insurance.arkansas.gov/NPILookup?Npi=1255918157","1255918157")</f>
        <v>1255918157</v>
      </c>
      <c r="D428" s="36" t="s">
        <v>33068</v>
      </c>
      <c r="E428" s="36" t="s">
        <v>1</v>
      </c>
      <c r="F428" s="36">
        <v>1</v>
      </c>
      <c r="G428" s="36">
        <v>2</v>
      </c>
      <c r="H428" s="36">
        <v>0</v>
      </c>
      <c r="I428" s="37">
        <v>0</v>
      </c>
      <c r="J428" s="36" t="s">
        <v>32654</v>
      </c>
      <c r="K428" s="36" t="s">
        <v>14330</v>
      </c>
      <c r="L428" s="36" t="s">
        <v>14330</v>
      </c>
      <c r="M428">
        <v>3</v>
      </c>
      <c r="N428" t="s">
        <v>14331</v>
      </c>
      <c r="O428" t="s">
        <v>32633</v>
      </c>
    </row>
    <row r="429" spans="1:15" x14ac:dyDescent="0.25">
      <c r="A429" s="35" t="s">
        <v>4202</v>
      </c>
      <c r="B429" s="36" t="s">
        <v>4203</v>
      </c>
      <c r="C429" s="36" t="str">
        <f>HYPERLINK("https://rhld.insurance.arkansas.gov/NPILookup?Npi=1265430201","1265430201")</f>
        <v>1265430201</v>
      </c>
      <c r="D429" s="36" t="s">
        <v>33069</v>
      </c>
      <c r="E429" s="36" t="s">
        <v>1</v>
      </c>
      <c r="F429" s="36">
        <v>1</v>
      </c>
      <c r="G429" s="36">
        <v>3</v>
      </c>
      <c r="H429" s="36">
        <v>0</v>
      </c>
      <c r="I429" s="37">
        <v>0</v>
      </c>
      <c r="J429" s="36" t="s">
        <v>32654</v>
      </c>
      <c r="K429" s="36" t="s">
        <v>14330</v>
      </c>
      <c r="L429" s="36" t="s">
        <v>14330</v>
      </c>
      <c r="M429">
        <v>3</v>
      </c>
      <c r="N429" t="s">
        <v>14331</v>
      </c>
      <c r="O429" t="s">
        <v>32633</v>
      </c>
    </row>
    <row r="430" spans="1:15" x14ac:dyDescent="0.25">
      <c r="A430" s="35" t="s">
        <v>4202</v>
      </c>
      <c r="B430" s="36" t="s">
        <v>4203</v>
      </c>
      <c r="C430" s="36" t="str">
        <f>HYPERLINK("https://rhld.insurance.arkansas.gov/NPILookup?Npi=1265489421","1265489421")</f>
        <v>1265489421</v>
      </c>
      <c r="D430" s="36" t="s">
        <v>33070</v>
      </c>
      <c r="E430" s="36" t="s">
        <v>1</v>
      </c>
      <c r="F430" s="36">
        <v>1</v>
      </c>
      <c r="G430" s="36">
        <v>3</v>
      </c>
      <c r="H430" s="36">
        <v>0</v>
      </c>
      <c r="I430" s="37">
        <v>0</v>
      </c>
      <c r="J430" s="36" t="s">
        <v>32654</v>
      </c>
      <c r="K430" s="36" t="s">
        <v>14330</v>
      </c>
      <c r="L430" s="36" t="s">
        <v>14330</v>
      </c>
      <c r="M430">
        <v>3</v>
      </c>
      <c r="N430" t="s">
        <v>14331</v>
      </c>
      <c r="O430" t="s">
        <v>32633</v>
      </c>
    </row>
    <row r="431" spans="1:15" x14ac:dyDescent="0.25">
      <c r="A431" s="35" t="s">
        <v>4202</v>
      </c>
      <c r="B431" s="36" t="s">
        <v>4203</v>
      </c>
      <c r="C431" s="36" t="str">
        <f>HYPERLINK("https://rhld.insurance.arkansas.gov/NPILookup?Npi=1265497242","1265497242")</f>
        <v>1265497242</v>
      </c>
      <c r="D431" s="36" t="s">
        <v>33071</v>
      </c>
      <c r="E431" s="36" t="s">
        <v>1</v>
      </c>
      <c r="F431" s="36">
        <v>1</v>
      </c>
      <c r="G431" s="36">
        <v>3</v>
      </c>
      <c r="H431" s="36">
        <v>0</v>
      </c>
      <c r="I431" s="37">
        <v>0</v>
      </c>
      <c r="J431" s="36" t="s">
        <v>32654</v>
      </c>
      <c r="K431" s="36" t="s">
        <v>14330</v>
      </c>
      <c r="L431" s="36" t="s">
        <v>14330</v>
      </c>
      <c r="M431">
        <v>3</v>
      </c>
      <c r="N431" t="s">
        <v>14331</v>
      </c>
      <c r="O431" t="s">
        <v>32633</v>
      </c>
    </row>
    <row r="432" spans="1:15" x14ac:dyDescent="0.25">
      <c r="A432" s="35" t="s">
        <v>4202</v>
      </c>
      <c r="B432" s="36" t="s">
        <v>4203</v>
      </c>
      <c r="C432" s="36" t="str">
        <f>HYPERLINK("https://rhld.insurance.arkansas.gov/NPILookup?Npi=1265524300","1265524300")</f>
        <v>1265524300</v>
      </c>
      <c r="D432" s="36" t="s">
        <v>33072</v>
      </c>
      <c r="E432" s="36" t="s">
        <v>1</v>
      </c>
      <c r="F432" s="36">
        <v>1</v>
      </c>
      <c r="G432" s="36">
        <v>3</v>
      </c>
      <c r="H432" s="36">
        <v>0</v>
      </c>
      <c r="I432" s="37">
        <v>0</v>
      </c>
      <c r="J432" s="36" t="s">
        <v>32654</v>
      </c>
      <c r="K432" s="36" t="s">
        <v>14330</v>
      </c>
      <c r="L432" s="36" t="s">
        <v>14330</v>
      </c>
      <c r="M432">
        <v>3</v>
      </c>
      <c r="N432" t="s">
        <v>14331</v>
      </c>
      <c r="O432" t="s">
        <v>32633</v>
      </c>
    </row>
    <row r="433" spans="1:15" x14ac:dyDescent="0.25">
      <c r="A433" s="35" t="s">
        <v>4202</v>
      </c>
      <c r="B433" s="36" t="s">
        <v>4203</v>
      </c>
      <c r="C433" s="36" t="str">
        <f>HYPERLINK("https://rhld.insurance.arkansas.gov/NPILookup?Npi=1265624621","1265624621")</f>
        <v>1265624621</v>
      </c>
      <c r="D433" s="36" t="s">
        <v>33073</v>
      </c>
      <c r="E433" s="36" t="s">
        <v>1</v>
      </c>
      <c r="F433" s="36">
        <v>1</v>
      </c>
      <c r="G433" s="36">
        <v>3</v>
      </c>
      <c r="H433" s="36">
        <v>0</v>
      </c>
      <c r="I433" s="37">
        <v>0</v>
      </c>
      <c r="J433" s="36" t="s">
        <v>32654</v>
      </c>
      <c r="K433" s="36" t="s">
        <v>14330</v>
      </c>
      <c r="L433" s="36" t="s">
        <v>14330</v>
      </c>
      <c r="M433">
        <v>2</v>
      </c>
      <c r="N433" t="s">
        <v>14331</v>
      </c>
      <c r="O433" t="s">
        <v>32633</v>
      </c>
    </row>
    <row r="434" spans="1:15" x14ac:dyDescent="0.25">
      <c r="A434" s="35" t="s">
        <v>4202</v>
      </c>
      <c r="B434" s="36" t="s">
        <v>4203</v>
      </c>
      <c r="C434" s="36" t="str">
        <f>HYPERLINK("https://rhld.insurance.arkansas.gov/NPILookup?Npi=1265724900","1265724900")</f>
        <v>1265724900</v>
      </c>
      <c r="D434" s="36" t="s">
        <v>33074</v>
      </c>
      <c r="E434" s="36" t="s">
        <v>1</v>
      </c>
      <c r="F434" s="36">
        <v>1</v>
      </c>
      <c r="G434" s="36">
        <v>2</v>
      </c>
      <c r="H434" s="36">
        <v>0</v>
      </c>
      <c r="I434" s="37">
        <v>0</v>
      </c>
      <c r="J434" s="36" t="s">
        <v>32654</v>
      </c>
      <c r="K434" s="36" t="s">
        <v>14330</v>
      </c>
      <c r="L434" s="36" t="s">
        <v>14330</v>
      </c>
      <c r="M434">
        <v>2</v>
      </c>
      <c r="N434" t="s">
        <v>14331</v>
      </c>
      <c r="O434" t="s">
        <v>32633</v>
      </c>
    </row>
    <row r="435" spans="1:15" x14ac:dyDescent="0.25">
      <c r="A435" s="35" t="s">
        <v>4202</v>
      </c>
      <c r="B435" s="36" t="s">
        <v>4203</v>
      </c>
      <c r="C435" s="36" t="str">
        <f>HYPERLINK("https://rhld.insurance.arkansas.gov/NPILookup?Npi=1265727200","1265727200")</f>
        <v>1265727200</v>
      </c>
      <c r="D435" s="36" t="s">
        <v>33075</v>
      </c>
      <c r="E435" s="36" t="s">
        <v>2</v>
      </c>
      <c r="F435" s="36">
        <v>1</v>
      </c>
      <c r="G435" s="36">
        <v>2</v>
      </c>
      <c r="H435" s="36">
        <v>0</v>
      </c>
      <c r="I435" s="37">
        <v>0</v>
      </c>
      <c r="J435" s="36" t="s">
        <v>32679</v>
      </c>
      <c r="K435" s="36" t="s">
        <v>14330</v>
      </c>
      <c r="L435" s="36" t="s">
        <v>14330</v>
      </c>
      <c r="M435">
        <v>2</v>
      </c>
      <c r="N435" t="s">
        <v>14331</v>
      </c>
      <c r="O435" t="s">
        <v>32633</v>
      </c>
    </row>
    <row r="436" spans="1:15" x14ac:dyDescent="0.25">
      <c r="A436" s="35" t="s">
        <v>4202</v>
      </c>
      <c r="B436" s="36" t="s">
        <v>4203</v>
      </c>
      <c r="C436" s="36" t="str">
        <f>HYPERLINK("https://rhld.insurance.arkansas.gov/NPILookup?Npi=1265751101","1265751101")</f>
        <v>1265751101</v>
      </c>
      <c r="D436" s="36" t="s">
        <v>33076</v>
      </c>
      <c r="E436" s="36" t="s">
        <v>1</v>
      </c>
      <c r="F436" s="36">
        <v>1</v>
      </c>
      <c r="G436" s="36">
        <v>2</v>
      </c>
      <c r="H436" s="36">
        <v>0</v>
      </c>
      <c r="I436" s="37">
        <v>0</v>
      </c>
      <c r="J436" s="36" t="s">
        <v>32654</v>
      </c>
      <c r="K436" s="36" t="s">
        <v>14330</v>
      </c>
      <c r="L436" s="36" t="s">
        <v>14330</v>
      </c>
      <c r="M436">
        <v>1</v>
      </c>
      <c r="N436" t="s">
        <v>14331</v>
      </c>
      <c r="O436" t="s">
        <v>32633</v>
      </c>
    </row>
    <row r="437" spans="1:15" x14ac:dyDescent="0.25">
      <c r="A437" s="35" t="s">
        <v>4202</v>
      </c>
      <c r="B437" s="36" t="s">
        <v>4203</v>
      </c>
      <c r="C437" s="36" t="str">
        <f>HYPERLINK("https://rhld.insurance.arkansas.gov/NPILookup?Npi=1265811590","1265811590")</f>
        <v>1265811590</v>
      </c>
      <c r="D437" s="36" t="s">
        <v>33077</v>
      </c>
      <c r="E437" s="36" t="s">
        <v>2</v>
      </c>
      <c r="F437" s="36">
        <v>1</v>
      </c>
      <c r="G437" s="36">
        <v>1</v>
      </c>
      <c r="H437" s="36">
        <v>0</v>
      </c>
      <c r="I437" s="37">
        <v>0</v>
      </c>
      <c r="J437" s="36" t="s">
        <v>32679</v>
      </c>
      <c r="K437" s="36" t="s">
        <v>14330</v>
      </c>
      <c r="L437" s="36" t="s">
        <v>14330</v>
      </c>
      <c r="M437">
        <v>2</v>
      </c>
      <c r="N437" t="s">
        <v>14331</v>
      </c>
      <c r="O437" t="s">
        <v>32633</v>
      </c>
    </row>
    <row r="438" spans="1:15" x14ac:dyDescent="0.25">
      <c r="A438" s="35" t="s">
        <v>4202</v>
      </c>
      <c r="B438" s="36" t="s">
        <v>4203</v>
      </c>
      <c r="C438" s="36" t="str">
        <f>HYPERLINK("https://rhld.insurance.arkansas.gov/NPILookup?Npi=1265814529","1265814529")</f>
        <v>1265814529</v>
      </c>
      <c r="D438" s="36" t="s">
        <v>33078</v>
      </c>
      <c r="E438" s="36" t="s">
        <v>1</v>
      </c>
      <c r="F438" s="36">
        <v>1</v>
      </c>
      <c r="G438" s="36">
        <v>2</v>
      </c>
      <c r="H438" s="36">
        <v>0</v>
      </c>
      <c r="I438" s="37">
        <v>0</v>
      </c>
      <c r="J438" s="36" t="s">
        <v>32654</v>
      </c>
      <c r="K438" s="36" t="s">
        <v>14330</v>
      </c>
      <c r="L438" s="36" t="s">
        <v>14330</v>
      </c>
      <c r="M438">
        <v>2</v>
      </c>
      <c r="N438" t="s">
        <v>14331</v>
      </c>
      <c r="O438" t="s">
        <v>32633</v>
      </c>
    </row>
    <row r="439" spans="1:15" x14ac:dyDescent="0.25">
      <c r="A439" s="35" t="s">
        <v>4202</v>
      </c>
      <c r="B439" s="36" t="s">
        <v>4203</v>
      </c>
      <c r="C439" s="36" t="str">
        <f>HYPERLINK("https://rhld.insurance.arkansas.gov/NPILookup?Npi=1275509069","1275509069")</f>
        <v>1275509069</v>
      </c>
      <c r="D439" s="36" t="s">
        <v>33079</v>
      </c>
      <c r="E439" s="36" t="s">
        <v>1</v>
      </c>
      <c r="F439" s="36">
        <v>1</v>
      </c>
      <c r="G439" s="36">
        <v>2</v>
      </c>
      <c r="H439" s="36">
        <v>0</v>
      </c>
      <c r="I439" s="37">
        <v>0</v>
      </c>
      <c r="J439" s="36" t="s">
        <v>32654</v>
      </c>
      <c r="K439" s="36" t="s">
        <v>14330</v>
      </c>
      <c r="L439" s="36" t="s">
        <v>14330</v>
      </c>
      <c r="M439">
        <v>3</v>
      </c>
      <c r="N439" t="s">
        <v>14331</v>
      </c>
      <c r="O439" t="s">
        <v>32633</v>
      </c>
    </row>
    <row r="440" spans="1:15" x14ac:dyDescent="0.25">
      <c r="A440" s="35" t="s">
        <v>4202</v>
      </c>
      <c r="B440" s="36" t="s">
        <v>4203</v>
      </c>
      <c r="C440" s="36" t="str">
        <f>HYPERLINK("https://rhld.insurance.arkansas.gov/NPILookup?Npi=1275533580","1275533580")</f>
        <v>1275533580</v>
      </c>
      <c r="D440" s="36" t="s">
        <v>33080</v>
      </c>
      <c r="E440" s="36" t="s">
        <v>1</v>
      </c>
      <c r="F440" s="36">
        <v>1</v>
      </c>
      <c r="G440" s="36">
        <v>3</v>
      </c>
      <c r="H440" s="36">
        <v>0</v>
      </c>
      <c r="I440" s="37">
        <v>0</v>
      </c>
      <c r="J440" s="36" t="s">
        <v>32654</v>
      </c>
      <c r="K440" s="36" t="s">
        <v>14330</v>
      </c>
      <c r="L440" s="36" t="s">
        <v>14330</v>
      </c>
      <c r="M440">
        <v>3</v>
      </c>
      <c r="N440" t="s">
        <v>14331</v>
      </c>
      <c r="O440" t="s">
        <v>32633</v>
      </c>
    </row>
    <row r="441" spans="1:15" x14ac:dyDescent="0.25">
      <c r="A441" s="35" t="s">
        <v>4202</v>
      </c>
      <c r="B441" s="36" t="s">
        <v>4203</v>
      </c>
      <c r="C441" s="36" t="str">
        <f>HYPERLINK("https://rhld.insurance.arkansas.gov/NPILookup?Npi=1275583056","1275583056")</f>
        <v>1275583056</v>
      </c>
      <c r="D441" s="36" t="s">
        <v>33081</v>
      </c>
      <c r="E441" s="36" t="s">
        <v>1</v>
      </c>
      <c r="F441" s="36">
        <v>1</v>
      </c>
      <c r="G441" s="36">
        <v>3</v>
      </c>
      <c r="H441" s="36">
        <v>0</v>
      </c>
      <c r="I441" s="37">
        <v>0</v>
      </c>
      <c r="J441" s="36" t="s">
        <v>32654</v>
      </c>
      <c r="K441" s="36" t="s">
        <v>14330</v>
      </c>
      <c r="L441" s="36" t="s">
        <v>14330</v>
      </c>
      <c r="M441">
        <v>3</v>
      </c>
      <c r="N441" t="s">
        <v>14331</v>
      </c>
      <c r="O441" t="s">
        <v>32633</v>
      </c>
    </row>
    <row r="442" spans="1:15" x14ac:dyDescent="0.25">
      <c r="A442" s="35" t="s">
        <v>4202</v>
      </c>
      <c r="B442" s="36" t="s">
        <v>4203</v>
      </c>
      <c r="C442" s="36" t="str">
        <f>HYPERLINK("https://rhld.insurance.arkansas.gov/NPILookup?Npi=1275583908","1275583908")</f>
        <v>1275583908</v>
      </c>
      <c r="D442" s="36" t="s">
        <v>33082</v>
      </c>
      <c r="E442" s="36" t="s">
        <v>1</v>
      </c>
      <c r="F442" s="36">
        <v>1</v>
      </c>
      <c r="G442" s="36">
        <v>3</v>
      </c>
      <c r="H442" s="36">
        <v>0</v>
      </c>
      <c r="I442" s="37">
        <v>0</v>
      </c>
      <c r="J442" s="36" t="s">
        <v>32654</v>
      </c>
      <c r="K442" s="36" t="s">
        <v>14330</v>
      </c>
      <c r="L442" s="36" t="s">
        <v>14330</v>
      </c>
      <c r="M442">
        <v>2</v>
      </c>
      <c r="N442" t="s">
        <v>14331</v>
      </c>
      <c r="O442" t="s">
        <v>32633</v>
      </c>
    </row>
    <row r="443" spans="1:15" x14ac:dyDescent="0.25">
      <c r="A443" s="35" t="s">
        <v>4202</v>
      </c>
      <c r="B443" s="36" t="s">
        <v>4203</v>
      </c>
      <c r="C443" s="36" t="str">
        <f>HYPERLINK("https://rhld.insurance.arkansas.gov/NPILookup?Npi=1275597171","1275597171")</f>
        <v>1275597171</v>
      </c>
      <c r="D443" s="36" t="s">
        <v>33083</v>
      </c>
      <c r="E443" s="36" t="s">
        <v>2</v>
      </c>
      <c r="F443" s="36">
        <v>1</v>
      </c>
      <c r="G443" s="36">
        <v>2</v>
      </c>
      <c r="H443" s="36">
        <v>0</v>
      </c>
      <c r="I443" s="37">
        <v>0</v>
      </c>
      <c r="J443" s="36"/>
      <c r="K443" s="36" t="s">
        <v>14330</v>
      </c>
      <c r="L443" s="36" t="s">
        <v>14330</v>
      </c>
      <c r="M443">
        <v>1</v>
      </c>
      <c r="N443" t="s">
        <v>14331</v>
      </c>
      <c r="O443" t="s">
        <v>32633</v>
      </c>
    </row>
    <row r="444" spans="1:15" x14ac:dyDescent="0.25">
      <c r="A444" s="35" t="s">
        <v>4202</v>
      </c>
      <c r="B444" s="36" t="s">
        <v>4203</v>
      </c>
      <c r="C444" s="36" t="str">
        <f>HYPERLINK("https://rhld.insurance.arkansas.gov/NPILookup?Npi=1275632903","1275632903")</f>
        <v>1275632903</v>
      </c>
      <c r="D444" s="36" t="s">
        <v>33084</v>
      </c>
      <c r="E444" s="36" t="s">
        <v>1</v>
      </c>
      <c r="F444" s="36">
        <v>1</v>
      </c>
      <c r="G444" s="36">
        <v>1</v>
      </c>
      <c r="H444" s="36">
        <v>0</v>
      </c>
      <c r="I444" s="37">
        <v>0</v>
      </c>
      <c r="J444" s="36" t="s">
        <v>32654</v>
      </c>
      <c r="K444" s="36" t="s">
        <v>14330</v>
      </c>
      <c r="L444" s="36" t="s">
        <v>14330</v>
      </c>
      <c r="M444">
        <v>3</v>
      </c>
      <c r="N444" t="s">
        <v>14331</v>
      </c>
      <c r="O444" t="s">
        <v>32633</v>
      </c>
    </row>
    <row r="445" spans="1:15" x14ac:dyDescent="0.25">
      <c r="A445" s="35" t="s">
        <v>4202</v>
      </c>
      <c r="B445" s="36" t="s">
        <v>4203</v>
      </c>
      <c r="C445" s="36" t="str">
        <f>HYPERLINK("https://rhld.insurance.arkansas.gov/NPILookup?Npi=1275734543","1275734543")</f>
        <v>1275734543</v>
      </c>
      <c r="D445" s="36" t="s">
        <v>33085</v>
      </c>
      <c r="E445" s="36" t="s">
        <v>1</v>
      </c>
      <c r="F445" s="36">
        <v>1</v>
      </c>
      <c r="G445" s="36">
        <v>3</v>
      </c>
      <c r="H445" s="36">
        <v>0</v>
      </c>
      <c r="I445" s="37">
        <v>0</v>
      </c>
      <c r="J445" s="36" t="s">
        <v>32654</v>
      </c>
      <c r="K445" s="36" t="s">
        <v>14330</v>
      </c>
      <c r="L445" s="36" t="s">
        <v>14330</v>
      </c>
      <c r="M445">
        <v>2</v>
      </c>
      <c r="N445" t="s">
        <v>14331</v>
      </c>
      <c r="O445" t="s">
        <v>32633</v>
      </c>
    </row>
    <row r="446" spans="1:15" x14ac:dyDescent="0.25">
      <c r="A446" s="35" t="s">
        <v>4202</v>
      </c>
      <c r="B446" s="36" t="s">
        <v>4203</v>
      </c>
      <c r="C446" s="36" t="str">
        <f>HYPERLINK("https://rhld.insurance.arkansas.gov/NPILookup?Npi=1275980237","1275980237")</f>
        <v>1275980237</v>
      </c>
      <c r="D446" s="36" t="s">
        <v>33086</v>
      </c>
      <c r="E446" s="36" t="s">
        <v>2</v>
      </c>
      <c r="F446" s="36">
        <v>1</v>
      </c>
      <c r="G446" s="36">
        <v>2</v>
      </c>
      <c r="H446" s="36">
        <v>0</v>
      </c>
      <c r="I446" s="37">
        <v>0</v>
      </c>
      <c r="J446" s="36" t="s">
        <v>32679</v>
      </c>
      <c r="K446" s="36" t="s">
        <v>14330</v>
      </c>
      <c r="L446" s="36" t="s">
        <v>14330</v>
      </c>
      <c r="M446">
        <v>0</v>
      </c>
      <c r="N446" t="s">
        <v>14331</v>
      </c>
      <c r="O446" t="s">
        <v>32633</v>
      </c>
    </row>
    <row r="447" spans="1:15" x14ac:dyDescent="0.25">
      <c r="A447" s="35" t="s">
        <v>4202</v>
      </c>
      <c r="B447" s="36" t="s">
        <v>4203</v>
      </c>
      <c r="C447" s="36" t="str">
        <f>HYPERLINK("https://rhld.insurance.arkansas.gov/NPILookup?Npi=1285214346","1285214346")</f>
        <v>1285214346</v>
      </c>
      <c r="D447" s="36" t="s">
        <v>33087</v>
      </c>
      <c r="E447" s="36" t="s">
        <v>2</v>
      </c>
      <c r="F447" s="36">
        <v>1</v>
      </c>
      <c r="G447" s="36">
        <v>1</v>
      </c>
      <c r="H447" s="36">
        <v>1</v>
      </c>
      <c r="I447" s="37">
        <v>0</v>
      </c>
      <c r="J447" s="36" t="s">
        <v>32679</v>
      </c>
      <c r="K447" s="36" t="s">
        <v>14330</v>
      </c>
      <c r="L447" s="36" t="s">
        <v>32959</v>
      </c>
      <c r="M447">
        <v>3</v>
      </c>
      <c r="N447" t="s">
        <v>14331</v>
      </c>
      <c r="O447" t="s">
        <v>32633</v>
      </c>
    </row>
    <row r="448" spans="1:15" x14ac:dyDescent="0.25">
      <c r="A448" s="35" t="s">
        <v>4202</v>
      </c>
      <c r="B448" s="36" t="s">
        <v>4203</v>
      </c>
      <c r="C448" s="36" t="str">
        <f>HYPERLINK("https://rhld.insurance.arkansas.gov/NPILookup?Npi=1285631473","1285631473")</f>
        <v>1285631473</v>
      </c>
      <c r="D448" s="36" t="s">
        <v>33088</v>
      </c>
      <c r="E448" s="36" t="s">
        <v>1</v>
      </c>
      <c r="F448" s="36">
        <v>1</v>
      </c>
      <c r="G448" s="36">
        <v>3</v>
      </c>
      <c r="H448" s="36">
        <v>0</v>
      </c>
      <c r="I448" s="37">
        <v>0</v>
      </c>
      <c r="J448" s="36" t="s">
        <v>32654</v>
      </c>
      <c r="K448" s="36" t="s">
        <v>14330</v>
      </c>
      <c r="L448" s="36" t="s">
        <v>14330</v>
      </c>
      <c r="M448">
        <v>2</v>
      </c>
      <c r="N448" t="s">
        <v>14331</v>
      </c>
      <c r="O448" t="s">
        <v>32633</v>
      </c>
    </row>
    <row r="449" spans="1:15" x14ac:dyDescent="0.25">
      <c r="A449" s="35" t="s">
        <v>4202</v>
      </c>
      <c r="B449" s="36" t="s">
        <v>4203</v>
      </c>
      <c r="C449" s="36" t="str">
        <f>HYPERLINK("https://rhld.insurance.arkansas.gov/NPILookup?Npi=1285662791","1285662791")</f>
        <v>1285662791</v>
      </c>
      <c r="D449" s="36" t="s">
        <v>33089</v>
      </c>
      <c r="E449" s="36" t="s">
        <v>1</v>
      </c>
      <c r="F449" s="36">
        <v>1</v>
      </c>
      <c r="G449" s="36">
        <v>2</v>
      </c>
      <c r="H449" s="36">
        <v>0</v>
      </c>
      <c r="I449" s="37">
        <v>0</v>
      </c>
      <c r="J449" s="36" t="s">
        <v>32654</v>
      </c>
      <c r="K449" s="36" t="s">
        <v>14330</v>
      </c>
      <c r="L449" s="36" t="s">
        <v>14330</v>
      </c>
      <c r="M449">
        <v>2</v>
      </c>
      <c r="N449" t="s">
        <v>14331</v>
      </c>
      <c r="O449" t="s">
        <v>32633</v>
      </c>
    </row>
    <row r="450" spans="1:15" x14ac:dyDescent="0.25">
      <c r="A450" s="35" t="s">
        <v>4202</v>
      </c>
      <c r="B450" s="36" t="s">
        <v>4203</v>
      </c>
      <c r="C450" s="36" t="str">
        <f>HYPERLINK("https://rhld.insurance.arkansas.gov/NPILookup?Npi=1285690255","1285690255")</f>
        <v>1285690255</v>
      </c>
      <c r="D450" s="36" t="s">
        <v>33090</v>
      </c>
      <c r="E450" s="36" t="s">
        <v>2</v>
      </c>
      <c r="F450" s="36">
        <v>1</v>
      </c>
      <c r="G450" s="36">
        <v>2</v>
      </c>
      <c r="H450" s="36">
        <v>0</v>
      </c>
      <c r="I450" s="37">
        <v>0</v>
      </c>
      <c r="J450" s="36" t="s">
        <v>32679</v>
      </c>
      <c r="K450" s="36" t="s">
        <v>14330</v>
      </c>
      <c r="L450" s="36" t="s">
        <v>14330</v>
      </c>
      <c r="M450">
        <v>2</v>
      </c>
      <c r="N450" t="s">
        <v>14331</v>
      </c>
      <c r="O450" t="s">
        <v>32633</v>
      </c>
    </row>
    <row r="451" spans="1:15" x14ac:dyDescent="0.25">
      <c r="A451" s="35" t="s">
        <v>4202</v>
      </c>
      <c r="B451" s="36" t="s">
        <v>4203</v>
      </c>
      <c r="C451" s="36" t="str">
        <f>HYPERLINK("https://rhld.insurance.arkansas.gov/NPILookup?Npi=1285734814","1285734814")</f>
        <v>1285734814</v>
      </c>
      <c r="D451" s="36" t="s">
        <v>33091</v>
      </c>
      <c r="E451" s="36" t="s">
        <v>2</v>
      </c>
      <c r="F451" s="36">
        <v>1</v>
      </c>
      <c r="G451" s="36">
        <v>2</v>
      </c>
      <c r="H451" s="36">
        <v>0</v>
      </c>
      <c r="I451" s="37">
        <v>0</v>
      </c>
      <c r="J451" s="36" t="s">
        <v>32679</v>
      </c>
      <c r="K451" s="36" t="s">
        <v>14330</v>
      </c>
      <c r="L451" s="36" t="s">
        <v>14330</v>
      </c>
      <c r="M451">
        <v>2</v>
      </c>
      <c r="N451" t="s">
        <v>14331</v>
      </c>
      <c r="O451" t="s">
        <v>32633</v>
      </c>
    </row>
    <row r="452" spans="1:15" x14ac:dyDescent="0.25">
      <c r="A452" s="35" t="s">
        <v>4202</v>
      </c>
      <c r="B452" s="36" t="s">
        <v>4203</v>
      </c>
      <c r="C452" s="36" t="str">
        <f>HYPERLINK("https://rhld.insurance.arkansas.gov/NPILookup?Npi=1285849927","1285849927")</f>
        <v>1285849927</v>
      </c>
      <c r="D452" s="36" t="s">
        <v>33092</v>
      </c>
      <c r="E452" s="36" t="s">
        <v>1</v>
      </c>
      <c r="F452" s="36">
        <v>1</v>
      </c>
      <c r="G452" s="36">
        <v>2</v>
      </c>
      <c r="H452" s="36">
        <v>0</v>
      </c>
      <c r="I452" s="37">
        <v>0</v>
      </c>
      <c r="J452" s="36" t="s">
        <v>32723</v>
      </c>
      <c r="K452" s="36" t="s">
        <v>14330</v>
      </c>
      <c r="L452" s="36" t="s">
        <v>14330</v>
      </c>
      <c r="M452">
        <v>3</v>
      </c>
      <c r="N452" t="s">
        <v>14331</v>
      </c>
      <c r="O452" t="s">
        <v>32724</v>
      </c>
    </row>
    <row r="453" spans="1:15" x14ac:dyDescent="0.25">
      <c r="A453" s="35" t="s">
        <v>4202</v>
      </c>
      <c r="B453" s="36" t="s">
        <v>4203</v>
      </c>
      <c r="C453" s="36" t="str">
        <f>HYPERLINK("https://rhld.insurance.arkansas.gov/NPILookup?Npi=1295708485","1295708485")</f>
        <v>1295708485</v>
      </c>
      <c r="D453" s="36" t="s">
        <v>33093</v>
      </c>
      <c r="E453" s="36" t="s">
        <v>1</v>
      </c>
      <c r="F453" s="36">
        <v>1</v>
      </c>
      <c r="G453" s="36">
        <v>3</v>
      </c>
      <c r="H453" s="36">
        <v>0</v>
      </c>
      <c r="I453" s="37">
        <v>0</v>
      </c>
      <c r="J453" s="36" t="s">
        <v>32654</v>
      </c>
      <c r="K453" s="36" t="s">
        <v>14330</v>
      </c>
      <c r="L453" s="36" t="s">
        <v>14330</v>
      </c>
      <c r="M453">
        <v>2</v>
      </c>
      <c r="N453" t="s">
        <v>14331</v>
      </c>
      <c r="O453" t="s">
        <v>32633</v>
      </c>
    </row>
    <row r="454" spans="1:15" x14ac:dyDescent="0.25">
      <c r="A454" s="35" t="s">
        <v>4202</v>
      </c>
      <c r="B454" s="36" t="s">
        <v>4203</v>
      </c>
      <c r="C454" s="36" t="str">
        <f>HYPERLINK("https://rhld.insurance.arkansas.gov/NPILookup?Npi=1295718294","1295718294")</f>
        <v>1295718294</v>
      </c>
      <c r="D454" s="36" t="s">
        <v>33094</v>
      </c>
      <c r="E454" s="36" t="s">
        <v>2</v>
      </c>
      <c r="F454" s="36">
        <v>1</v>
      </c>
      <c r="G454" s="36">
        <v>2</v>
      </c>
      <c r="H454" s="36">
        <v>0</v>
      </c>
      <c r="I454" s="37">
        <v>0</v>
      </c>
      <c r="J454" s="36" t="s">
        <v>32679</v>
      </c>
      <c r="K454" s="36" t="s">
        <v>14330</v>
      </c>
      <c r="L454" s="36" t="s">
        <v>14330</v>
      </c>
      <c r="M454">
        <v>2</v>
      </c>
      <c r="N454" t="s">
        <v>14331</v>
      </c>
      <c r="O454" t="s">
        <v>32633</v>
      </c>
    </row>
    <row r="455" spans="1:15" x14ac:dyDescent="0.25">
      <c r="A455" s="35" t="s">
        <v>4202</v>
      </c>
      <c r="B455" s="36" t="s">
        <v>4203</v>
      </c>
      <c r="C455" s="36" t="str">
        <f>HYPERLINK("https://rhld.insurance.arkansas.gov/NPILookup?Npi=1295747566","1295747566")</f>
        <v>1295747566</v>
      </c>
      <c r="D455" s="36" t="s">
        <v>33095</v>
      </c>
      <c r="E455" s="36" t="s">
        <v>1</v>
      </c>
      <c r="F455" s="36">
        <v>1</v>
      </c>
      <c r="G455" s="36">
        <v>2</v>
      </c>
      <c r="H455" s="36">
        <v>0</v>
      </c>
      <c r="I455" s="37">
        <v>0</v>
      </c>
      <c r="J455" s="36" t="s">
        <v>32654</v>
      </c>
      <c r="K455" s="36" t="s">
        <v>14330</v>
      </c>
      <c r="L455" s="36" t="s">
        <v>14330</v>
      </c>
      <c r="M455">
        <v>3</v>
      </c>
      <c r="N455" t="s">
        <v>14331</v>
      </c>
      <c r="O455" t="s">
        <v>32633</v>
      </c>
    </row>
    <row r="456" spans="1:15" x14ac:dyDescent="0.25">
      <c r="A456" s="35" t="s">
        <v>4202</v>
      </c>
      <c r="B456" s="36" t="s">
        <v>4203</v>
      </c>
      <c r="C456" s="36" t="str">
        <f>HYPERLINK("https://rhld.insurance.arkansas.gov/NPILookup?Npi=1295754075","1295754075")</f>
        <v>1295754075</v>
      </c>
      <c r="D456" s="36" t="s">
        <v>33096</v>
      </c>
      <c r="E456" s="36" t="s">
        <v>1</v>
      </c>
      <c r="F456" s="36">
        <v>1</v>
      </c>
      <c r="G456" s="36">
        <v>3</v>
      </c>
      <c r="H456" s="36">
        <v>0</v>
      </c>
      <c r="I456" s="37">
        <v>0</v>
      </c>
      <c r="J456" s="36" t="s">
        <v>32654</v>
      </c>
      <c r="K456" s="36" t="s">
        <v>14330</v>
      </c>
      <c r="L456" s="36" t="s">
        <v>14330</v>
      </c>
      <c r="M456">
        <v>0</v>
      </c>
      <c r="N456" t="s">
        <v>14331</v>
      </c>
      <c r="O456" t="s">
        <v>32633</v>
      </c>
    </row>
    <row r="457" spans="1:15" x14ac:dyDescent="0.25">
      <c r="A457" s="35" t="s">
        <v>4202</v>
      </c>
      <c r="B457" s="36" t="s">
        <v>4203</v>
      </c>
      <c r="C457" s="36" t="str">
        <f>HYPERLINK("https://rhld.insurance.arkansas.gov/NPILookup?Npi=1295772226","1295772226")</f>
        <v>1295772226</v>
      </c>
      <c r="D457" s="36" t="s">
        <v>33097</v>
      </c>
      <c r="E457" s="36" t="s">
        <v>2</v>
      </c>
      <c r="F457" s="36">
        <v>1</v>
      </c>
      <c r="G457" s="36">
        <v>1</v>
      </c>
      <c r="H457" s="36">
        <v>1</v>
      </c>
      <c r="I457" s="37">
        <v>0</v>
      </c>
      <c r="J457" s="36" t="s">
        <v>32679</v>
      </c>
      <c r="K457" s="36" t="s">
        <v>14330</v>
      </c>
      <c r="L457" s="36" t="s">
        <v>32959</v>
      </c>
      <c r="M457">
        <v>2</v>
      </c>
      <c r="N457" t="s">
        <v>14331</v>
      </c>
      <c r="O457" t="s">
        <v>32633</v>
      </c>
    </row>
    <row r="458" spans="1:15" x14ac:dyDescent="0.25">
      <c r="A458" s="35" t="s">
        <v>4202</v>
      </c>
      <c r="B458" s="36" t="s">
        <v>4203</v>
      </c>
      <c r="C458" s="36" t="str">
        <f>HYPERLINK("https://rhld.insurance.arkansas.gov/NPILookup?Npi=1295781987","1295781987")</f>
        <v>1295781987</v>
      </c>
      <c r="D458" s="36" t="s">
        <v>33098</v>
      </c>
      <c r="E458" s="36" t="s">
        <v>1</v>
      </c>
      <c r="F458" s="36">
        <v>1</v>
      </c>
      <c r="G458" s="36">
        <v>2</v>
      </c>
      <c r="H458" s="36">
        <v>0</v>
      </c>
      <c r="I458" s="37">
        <v>0</v>
      </c>
      <c r="J458" s="36" t="s">
        <v>32723</v>
      </c>
      <c r="K458" s="36" t="s">
        <v>14330</v>
      </c>
      <c r="L458" s="36" t="s">
        <v>14330</v>
      </c>
      <c r="M458">
        <v>2</v>
      </c>
      <c r="N458" t="s">
        <v>14331</v>
      </c>
      <c r="O458" t="s">
        <v>32724</v>
      </c>
    </row>
    <row r="459" spans="1:15" x14ac:dyDescent="0.25">
      <c r="A459" s="35" t="s">
        <v>4202</v>
      </c>
      <c r="B459" s="36" t="s">
        <v>4203</v>
      </c>
      <c r="C459" s="36" t="str">
        <f>HYPERLINK("https://rhld.insurance.arkansas.gov/NPILookup?Npi=1295796720","1295796720")</f>
        <v>1295796720</v>
      </c>
      <c r="D459" s="36" t="s">
        <v>33099</v>
      </c>
      <c r="E459" s="36" t="s">
        <v>1</v>
      </c>
      <c r="F459" s="36">
        <v>1</v>
      </c>
      <c r="G459" s="36">
        <v>2</v>
      </c>
      <c r="H459" s="36">
        <v>0</v>
      </c>
      <c r="I459" s="37">
        <v>0</v>
      </c>
      <c r="J459" s="36" t="s">
        <v>32723</v>
      </c>
      <c r="K459" s="36" t="s">
        <v>14330</v>
      </c>
      <c r="L459" s="36" t="s">
        <v>14330</v>
      </c>
      <c r="M459">
        <v>3</v>
      </c>
      <c r="N459" t="s">
        <v>14331</v>
      </c>
      <c r="O459" t="s">
        <v>32724</v>
      </c>
    </row>
    <row r="460" spans="1:15" x14ac:dyDescent="0.25">
      <c r="A460" s="35" t="s">
        <v>4202</v>
      </c>
      <c r="B460" s="36" t="s">
        <v>4203</v>
      </c>
      <c r="C460" s="36" t="str">
        <f>HYPERLINK("https://rhld.insurance.arkansas.gov/NPILookup?Npi=1295839397","1295839397")</f>
        <v>1295839397</v>
      </c>
      <c r="D460" s="36" t="s">
        <v>33100</v>
      </c>
      <c r="E460" s="36" t="s">
        <v>1</v>
      </c>
      <c r="F460" s="36">
        <v>1</v>
      </c>
      <c r="G460" s="36">
        <v>3</v>
      </c>
      <c r="H460" s="36">
        <v>0</v>
      </c>
      <c r="I460" s="37">
        <v>0</v>
      </c>
      <c r="J460" s="36" t="s">
        <v>32654</v>
      </c>
      <c r="K460" s="36" t="s">
        <v>14330</v>
      </c>
      <c r="L460" s="36" t="s">
        <v>14330</v>
      </c>
      <c r="M460">
        <v>2</v>
      </c>
      <c r="N460" t="s">
        <v>14331</v>
      </c>
      <c r="O460" t="s">
        <v>32633</v>
      </c>
    </row>
    <row r="461" spans="1:15" x14ac:dyDescent="0.25">
      <c r="A461" s="35" t="s">
        <v>4202</v>
      </c>
      <c r="B461" s="36" t="s">
        <v>4203</v>
      </c>
      <c r="C461" s="36" t="str">
        <f>HYPERLINK("https://rhld.insurance.arkansas.gov/NPILookup?Npi=1295848323","1295848323")</f>
        <v>1295848323</v>
      </c>
      <c r="D461" s="36" t="s">
        <v>33101</v>
      </c>
      <c r="E461" s="36" t="s">
        <v>2</v>
      </c>
      <c r="F461" s="36">
        <v>1</v>
      </c>
      <c r="G461" s="36">
        <v>2</v>
      </c>
      <c r="H461" s="36">
        <v>0</v>
      </c>
      <c r="I461" s="37">
        <v>0</v>
      </c>
      <c r="J461" s="36" t="s">
        <v>32679</v>
      </c>
      <c r="K461" s="36" t="s">
        <v>14330</v>
      </c>
      <c r="L461" s="36" t="s">
        <v>14330</v>
      </c>
      <c r="M461">
        <v>2</v>
      </c>
      <c r="N461" t="s">
        <v>14331</v>
      </c>
      <c r="O461" t="s">
        <v>32633</v>
      </c>
    </row>
    <row r="462" spans="1:15" x14ac:dyDescent="0.25">
      <c r="A462" s="35" t="s">
        <v>4202</v>
      </c>
      <c r="B462" s="36" t="s">
        <v>4203</v>
      </c>
      <c r="C462" s="36" t="str">
        <f>HYPERLINK("https://rhld.insurance.arkansas.gov/NPILookup?Npi=1295894442","1295894442")</f>
        <v>1295894442</v>
      </c>
      <c r="D462" s="36" t="s">
        <v>33102</v>
      </c>
      <c r="E462" s="36" t="s">
        <v>1</v>
      </c>
      <c r="F462" s="36">
        <v>1</v>
      </c>
      <c r="G462" s="36">
        <v>2</v>
      </c>
      <c r="H462" s="36">
        <v>0</v>
      </c>
      <c r="I462" s="37">
        <v>0</v>
      </c>
      <c r="J462" s="36" t="s">
        <v>32654</v>
      </c>
      <c r="K462" s="36" t="s">
        <v>14330</v>
      </c>
      <c r="L462" s="36" t="s">
        <v>14330</v>
      </c>
      <c r="M462">
        <v>3</v>
      </c>
      <c r="N462" t="s">
        <v>14331</v>
      </c>
      <c r="O462" t="s">
        <v>32633</v>
      </c>
    </row>
    <row r="463" spans="1:15" x14ac:dyDescent="0.25">
      <c r="A463" s="35" t="s">
        <v>4202</v>
      </c>
      <c r="B463" s="36" t="s">
        <v>4203</v>
      </c>
      <c r="C463" s="36" t="str">
        <f>HYPERLINK("https://rhld.insurance.arkansas.gov/NPILookup?Npi=1295956472","1295956472")</f>
        <v>1295956472</v>
      </c>
      <c r="D463" s="36" t="s">
        <v>33103</v>
      </c>
      <c r="E463" s="36" t="s">
        <v>1</v>
      </c>
      <c r="F463" s="36">
        <v>1</v>
      </c>
      <c r="G463" s="36">
        <v>3</v>
      </c>
      <c r="H463" s="36">
        <v>0</v>
      </c>
      <c r="I463" s="37">
        <v>0</v>
      </c>
      <c r="J463" s="36" t="s">
        <v>32654</v>
      </c>
      <c r="K463" s="36" t="s">
        <v>14330</v>
      </c>
      <c r="L463" s="36" t="s">
        <v>14330</v>
      </c>
      <c r="M463">
        <v>3</v>
      </c>
      <c r="N463" t="s">
        <v>14331</v>
      </c>
      <c r="O463" t="s">
        <v>32633</v>
      </c>
    </row>
    <row r="464" spans="1:15" x14ac:dyDescent="0.25">
      <c r="A464" s="35" t="s">
        <v>4202</v>
      </c>
      <c r="B464" s="36" t="s">
        <v>4203</v>
      </c>
      <c r="C464" s="36" t="str">
        <f>HYPERLINK("https://rhld.insurance.arkansas.gov/NPILookup?Npi=1306230586","1306230586")</f>
        <v>1306230586</v>
      </c>
      <c r="D464" s="36" t="s">
        <v>33104</v>
      </c>
      <c r="E464" s="36" t="s">
        <v>1</v>
      </c>
      <c r="F464" s="36">
        <v>1</v>
      </c>
      <c r="G464" s="36">
        <v>3</v>
      </c>
      <c r="H464" s="36">
        <v>0</v>
      </c>
      <c r="I464" s="37">
        <v>0</v>
      </c>
      <c r="J464" s="36" t="s">
        <v>32654</v>
      </c>
      <c r="K464" s="36" t="s">
        <v>14330</v>
      </c>
      <c r="L464" s="36" t="s">
        <v>14330</v>
      </c>
      <c r="M464">
        <v>2</v>
      </c>
      <c r="N464" t="s">
        <v>14331</v>
      </c>
      <c r="O464" t="s">
        <v>32633</v>
      </c>
    </row>
    <row r="465" spans="1:15" x14ac:dyDescent="0.25">
      <c r="A465" s="35" t="s">
        <v>4202</v>
      </c>
      <c r="B465" s="36" t="s">
        <v>4203</v>
      </c>
      <c r="C465" s="36" t="str">
        <f>HYPERLINK("https://rhld.insurance.arkansas.gov/NPILookup?Npi=1306289608","1306289608")</f>
        <v>1306289608</v>
      </c>
      <c r="D465" s="36" t="s">
        <v>33105</v>
      </c>
      <c r="E465" s="36" t="s">
        <v>1</v>
      </c>
      <c r="F465" s="36">
        <v>1</v>
      </c>
      <c r="G465" s="36">
        <v>2</v>
      </c>
      <c r="H465" s="36">
        <v>0</v>
      </c>
      <c r="I465" s="37">
        <v>0</v>
      </c>
      <c r="J465" s="36" t="s">
        <v>32654</v>
      </c>
      <c r="K465" s="36" t="s">
        <v>14330</v>
      </c>
      <c r="L465" s="36" t="s">
        <v>14330</v>
      </c>
      <c r="M465">
        <v>3</v>
      </c>
      <c r="N465" t="s">
        <v>14331</v>
      </c>
      <c r="O465" t="s">
        <v>32633</v>
      </c>
    </row>
    <row r="466" spans="1:15" x14ac:dyDescent="0.25">
      <c r="A466" s="35" t="s">
        <v>4202</v>
      </c>
      <c r="B466" s="36" t="s">
        <v>4203</v>
      </c>
      <c r="C466" s="36" t="str">
        <f>HYPERLINK("https://rhld.insurance.arkansas.gov/NPILookup?Npi=1306815626","1306815626")</f>
        <v>1306815626</v>
      </c>
      <c r="D466" s="36" t="s">
        <v>33106</v>
      </c>
      <c r="E466" s="36" t="s">
        <v>1</v>
      </c>
      <c r="F466" s="36">
        <v>1</v>
      </c>
      <c r="G466" s="36">
        <v>3</v>
      </c>
      <c r="H466" s="36">
        <v>0</v>
      </c>
      <c r="I466" s="37">
        <v>0</v>
      </c>
      <c r="J466" s="36" t="s">
        <v>32654</v>
      </c>
      <c r="K466" s="36" t="s">
        <v>14330</v>
      </c>
      <c r="L466" s="36" t="s">
        <v>14330</v>
      </c>
      <c r="M466">
        <v>2</v>
      </c>
      <c r="N466" t="s">
        <v>14331</v>
      </c>
      <c r="O466" t="s">
        <v>32633</v>
      </c>
    </row>
    <row r="467" spans="1:15" x14ac:dyDescent="0.25">
      <c r="A467" s="35" t="s">
        <v>4202</v>
      </c>
      <c r="B467" s="36" t="s">
        <v>4203</v>
      </c>
      <c r="C467" s="36" t="str">
        <f>HYPERLINK("https://rhld.insurance.arkansas.gov/NPILookup?Npi=1306870068","1306870068")</f>
        <v>1306870068</v>
      </c>
      <c r="D467" s="36" t="s">
        <v>33107</v>
      </c>
      <c r="E467" s="36" t="s">
        <v>1</v>
      </c>
      <c r="F467" s="36">
        <v>1</v>
      </c>
      <c r="G467" s="36">
        <v>2</v>
      </c>
      <c r="H467" s="36">
        <v>0</v>
      </c>
      <c r="I467" s="37">
        <v>0</v>
      </c>
      <c r="J467" s="36" t="s">
        <v>32654</v>
      </c>
      <c r="K467" s="36" t="s">
        <v>14330</v>
      </c>
      <c r="L467" s="36" t="s">
        <v>14330</v>
      </c>
      <c r="M467">
        <v>2</v>
      </c>
      <c r="N467" t="s">
        <v>14331</v>
      </c>
      <c r="O467" t="s">
        <v>32633</v>
      </c>
    </row>
    <row r="468" spans="1:15" x14ac:dyDescent="0.25">
      <c r="A468" s="35" t="s">
        <v>4202</v>
      </c>
      <c r="B468" s="36" t="s">
        <v>4203</v>
      </c>
      <c r="C468" s="36" t="str">
        <f>HYPERLINK("https://rhld.insurance.arkansas.gov/NPILookup?Npi=1306942297","1306942297")</f>
        <v>1306942297</v>
      </c>
      <c r="D468" s="36" t="s">
        <v>33108</v>
      </c>
      <c r="E468" s="36" t="s">
        <v>1</v>
      </c>
      <c r="F468" s="36">
        <v>1</v>
      </c>
      <c r="G468" s="36">
        <v>2</v>
      </c>
      <c r="H468" s="36">
        <v>0</v>
      </c>
      <c r="I468" s="37">
        <v>0</v>
      </c>
      <c r="J468" s="36" t="s">
        <v>32723</v>
      </c>
      <c r="K468" s="36" t="s">
        <v>14330</v>
      </c>
      <c r="L468" s="36" t="s">
        <v>14330</v>
      </c>
      <c r="M468">
        <v>3</v>
      </c>
      <c r="N468" t="s">
        <v>14331</v>
      </c>
      <c r="O468" t="s">
        <v>32724</v>
      </c>
    </row>
    <row r="469" spans="1:15" x14ac:dyDescent="0.25">
      <c r="A469" s="35" t="s">
        <v>4202</v>
      </c>
      <c r="B469" s="36" t="s">
        <v>4203</v>
      </c>
      <c r="C469" s="36" t="str">
        <f>HYPERLINK("https://rhld.insurance.arkansas.gov/NPILookup?Npi=1306995527","1306995527")</f>
        <v>1306995527</v>
      </c>
      <c r="D469" s="36" t="s">
        <v>33109</v>
      </c>
      <c r="E469" s="36" t="s">
        <v>1</v>
      </c>
      <c r="F469" s="36">
        <v>1</v>
      </c>
      <c r="G469" s="36">
        <v>3</v>
      </c>
      <c r="H469" s="36">
        <v>0</v>
      </c>
      <c r="I469" s="37">
        <v>0</v>
      </c>
      <c r="J469" s="36" t="s">
        <v>32654</v>
      </c>
      <c r="K469" s="36" t="s">
        <v>14330</v>
      </c>
      <c r="L469" s="36" t="s">
        <v>14330</v>
      </c>
      <c r="M469">
        <v>2</v>
      </c>
      <c r="N469" t="s">
        <v>14331</v>
      </c>
      <c r="O469" t="s">
        <v>32633</v>
      </c>
    </row>
    <row r="470" spans="1:15" x14ac:dyDescent="0.25">
      <c r="A470" s="35" t="s">
        <v>4202</v>
      </c>
      <c r="B470" s="36" t="s">
        <v>4203</v>
      </c>
      <c r="C470" s="36" t="str">
        <f>HYPERLINK("https://rhld.insurance.arkansas.gov/NPILookup?Npi=1316110927","1316110927")</f>
        <v>1316110927</v>
      </c>
      <c r="D470" s="36" t="s">
        <v>33110</v>
      </c>
      <c r="E470" s="36" t="s">
        <v>1</v>
      </c>
      <c r="F470" s="36">
        <v>1</v>
      </c>
      <c r="G470" s="36">
        <v>2</v>
      </c>
      <c r="H470" s="36">
        <v>0</v>
      </c>
      <c r="I470" s="37">
        <v>0</v>
      </c>
      <c r="J470" s="36" t="s">
        <v>32654</v>
      </c>
      <c r="K470" s="36" t="s">
        <v>14330</v>
      </c>
      <c r="L470" s="36" t="s">
        <v>14330</v>
      </c>
      <c r="M470">
        <v>3</v>
      </c>
      <c r="N470" t="s">
        <v>14331</v>
      </c>
      <c r="O470" t="s">
        <v>32633</v>
      </c>
    </row>
    <row r="471" spans="1:15" x14ac:dyDescent="0.25">
      <c r="A471" s="35" t="s">
        <v>4202</v>
      </c>
      <c r="B471" s="36" t="s">
        <v>4203</v>
      </c>
      <c r="C471" s="36" t="str">
        <f>HYPERLINK("https://rhld.insurance.arkansas.gov/NPILookup?Npi=1316155914","1316155914")</f>
        <v>1316155914</v>
      </c>
      <c r="D471" s="36" t="s">
        <v>33111</v>
      </c>
      <c r="E471" s="36" t="s">
        <v>1</v>
      </c>
      <c r="F471" s="36">
        <v>1</v>
      </c>
      <c r="G471" s="36">
        <v>3</v>
      </c>
      <c r="H471" s="36">
        <v>0</v>
      </c>
      <c r="I471" s="37">
        <v>0</v>
      </c>
      <c r="J471" s="36" t="s">
        <v>32654</v>
      </c>
      <c r="K471" s="36" t="s">
        <v>14330</v>
      </c>
      <c r="L471" s="36" t="s">
        <v>14330</v>
      </c>
      <c r="M471">
        <v>2</v>
      </c>
      <c r="N471" t="s">
        <v>14331</v>
      </c>
      <c r="O471" t="s">
        <v>32633</v>
      </c>
    </row>
    <row r="472" spans="1:15" x14ac:dyDescent="0.25">
      <c r="A472" s="35" t="s">
        <v>4202</v>
      </c>
      <c r="B472" s="36" t="s">
        <v>4203</v>
      </c>
      <c r="C472" s="36" t="str">
        <f>HYPERLINK("https://rhld.insurance.arkansas.gov/NPILookup?Npi=1316220049","1316220049")</f>
        <v>1316220049</v>
      </c>
      <c r="D472" s="36" t="s">
        <v>33112</v>
      </c>
      <c r="E472" s="36" t="s">
        <v>1</v>
      </c>
      <c r="F472" s="36">
        <v>1</v>
      </c>
      <c r="G472" s="36">
        <v>2</v>
      </c>
      <c r="H472" s="36">
        <v>0</v>
      </c>
      <c r="I472" s="37">
        <v>0</v>
      </c>
      <c r="J472" s="36" t="s">
        <v>32654</v>
      </c>
      <c r="K472" s="36" t="s">
        <v>14330</v>
      </c>
      <c r="L472" s="36" t="s">
        <v>14330</v>
      </c>
      <c r="M472">
        <v>3</v>
      </c>
      <c r="N472" t="s">
        <v>14331</v>
      </c>
      <c r="O472" t="s">
        <v>32633</v>
      </c>
    </row>
    <row r="473" spans="1:15" x14ac:dyDescent="0.25">
      <c r="A473" s="35" t="s">
        <v>4202</v>
      </c>
      <c r="B473" s="36" t="s">
        <v>4203</v>
      </c>
      <c r="C473" s="36" t="str">
        <f>HYPERLINK("https://rhld.insurance.arkansas.gov/NPILookup?Npi=1316232648","1316232648")</f>
        <v>1316232648</v>
      </c>
      <c r="D473" s="36" t="s">
        <v>33113</v>
      </c>
      <c r="E473" s="36" t="s">
        <v>1</v>
      </c>
      <c r="F473" s="36">
        <v>1</v>
      </c>
      <c r="G473" s="36">
        <v>3</v>
      </c>
      <c r="H473" s="36">
        <v>0</v>
      </c>
      <c r="I473" s="37">
        <v>0</v>
      </c>
      <c r="J473" s="36" t="s">
        <v>32654</v>
      </c>
      <c r="K473" s="36" t="s">
        <v>14330</v>
      </c>
      <c r="L473" s="36" t="s">
        <v>14330</v>
      </c>
      <c r="M473">
        <v>3</v>
      </c>
      <c r="N473" t="s">
        <v>14331</v>
      </c>
      <c r="O473" t="s">
        <v>32633</v>
      </c>
    </row>
    <row r="474" spans="1:15" x14ac:dyDescent="0.25">
      <c r="A474" s="35" t="s">
        <v>4202</v>
      </c>
      <c r="B474" s="36" t="s">
        <v>4203</v>
      </c>
      <c r="C474" s="36" t="str">
        <f>HYPERLINK("https://rhld.insurance.arkansas.gov/NPILookup?Npi=1316943632","1316943632")</f>
        <v>1316943632</v>
      </c>
      <c r="D474" s="36" t="s">
        <v>33114</v>
      </c>
      <c r="E474" s="36" t="s">
        <v>1</v>
      </c>
      <c r="F474" s="36">
        <v>1</v>
      </c>
      <c r="G474" s="36">
        <v>3</v>
      </c>
      <c r="H474" s="36">
        <v>0</v>
      </c>
      <c r="I474" s="37">
        <v>0</v>
      </c>
      <c r="J474" s="36" t="s">
        <v>32654</v>
      </c>
      <c r="K474" s="36" t="s">
        <v>14330</v>
      </c>
      <c r="L474" s="36" t="s">
        <v>14330</v>
      </c>
      <c r="M474">
        <v>2</v>
      </c>
      <c r="N474" t="s">
        <v>14331</v>
      </c>
      <c r="O474" t="s">
        <v>32633</v>
      </c>
    </row>
    <row r="475" spans="1:15" x14ac:dyDescent="0.25">
      <c r="A475" s="35" t="s">
        <v>4202</v>
      </c>
      <c r="B475" s="36" t="s">
        <v>4203</v>
      </c>
      <c r="C475" s="36" t="str">
        <f>HYPERLINK("https://rhld.insurance.arkansas.gov/NPILookup?Npi=1316954860","1316954860")</f>
        <v>1316954860</v>
      </c>
      <c r="D475" s="36" t="s">
        <v>33115</v>
      </c>
      <c r="E475" s="36" t="s">
        <v>1</v>
      </c>
      <c r="F475" s="36">
        <v>1</v>
      </c>
      <c r="G475" s="36">
        <v>2</v>
      </c>
      <c r="H475" s="36">
        <v>0</v>
      </c>
      <c r="I475" s="37">
        <v>0</v>
      </c>
      <c r="J475" s="36" t="s">
        <v>32654</v>
      </c>
      <c r="K475" s="36" t="s">
        <v>14330</v>
      </c>
      <c r="L475" s="36" t="s">
        <v>14330</v>
      </c>
      <c r="M475">
        <v>3</v>
      </c>
      <c r="N475" t="s">
        <v>14331</v>
      </c>
      <c r="O475" t="s">
        <v>32633</v>
      </c>
    </row>
    <row r="476" spans="1:15" x14ac:dyDescent="0.25">
      <c r="A476" s="35" t="s">
        <v>4202</v>
      </c>
      <c r="B476" s="36" t="s">
        <v>4203</v>
      </c>
      <c r="C476" s="36" t="str">
        <f>HYPERLINK("https://rhld.insurance.arkansas.gov/NPILookup?Npi=1326063900","1326063900")</f>
        <v>1326063900</v>
      </c>
      <c r="D476" s="36" t="s">
        <v>33116</v>
      </c>
      <c r="E476" s="36" t="s">
        <v>1</v>
      </c>
      <c r="F476" s="36">
        <v>1</v>
      </c>
      <c r="G476" s="36">
        <v>3</v>
      </c>
      <c r="H476" s="36">
        <v>0</v>
      </c>
      <c r="I476" s="37">
        <v>0</v>
      </c>
      <c r="J476" s="36" t="s">
        <v>32654</v>
      </c>
      <c r="K476" s="36" t="s">
        <v>14330</v>
      </c>
      <c r="L476" s="36" t="s">
        <v>14330</v>
      </c>
      <c r="M476">
        <v>2</v>
      </c>
      <c r="N476" t="s">
        <v>14331</v>
      </c>
      <c r="O476" t="s">
        <v>32633</v>
      </c>
    </row>
    <row r="477" spans="1:15" x14ac:dyDescent="0.25">
      <c r="A477" s="35" t="s">
        <v>4202</v>
      </c>
      <c r="B477" s="36" t="s">
        <v>4203</v>
      </c>
      <c r="C477" s="36" t="str">
        <f>HYPERLINK("https://rhld.insurance.arkansas.gov/NPILookup?Npi=1326381468","1326381468")</f>
        <v>1326381468</v>
      </c>
      <c r="D477" s="36" t="s">
        <v>33117</v>
      </c>
      <c r="E477" s="36" t="s">
        <v>1</v>
      </c>
      <c r="F477" s="36">
        <v>1</v>
      </c>
      <c r="G477" s="36">
        <v>2</v>
      </c>
      <c r="H477" s="36">
        <v>0</v>
      </c>
      <c r="I477" s="37">
        <v>0</v>
      </c>
      <c r="J477" s="36" t="s">
        <v>32654</v>
      </c>
      <c r="K477" s="36" t="s">
        <v>14330</v>
      </c>
      <c r="L477" s="36" t="s">
        <v>14330</v>
      </c>
      <c r="M477">
        <v>3</v>
      </c>
      <c r="N477" t="s">
        <v>14331</v>
      </c>
      <c r="O477" t="s">
        <v>32633</v>
      </c>
    </row>
    <row r="478" spans="1:15" x14ac:dyDescent="0.25">
      <c r="A478" s="35" t="s">
        <v>4202</v>
      </c>
      <c r="B478" s="36" t="s">
        <v>4203</v>
      </c>
      <c r="C478" s="36" t="str">
        <f>HYPERLINK("https://rhld.insurance.arkansas.gov/NPILookup?Npi=1326500406","1326500406")</f>
        <v>1326500406</v>
      </c>
      <c r="D478" s="36" t="s">
        <v>33118</v>
      </c>
      <c r="E478" s="36" t="s">
        <v>1</v>
      </c>
      <c r="F478" s="36">
        <v>1</v>
      </c>
      <c r="G478" s="36">
        <v>3</v>
      </c>
      <c r="H478" s="36">
        <v>0</v>
      </c>
      <c r="I478" s="37">
        <v>0</v>
      </c>
      <c r="J478" s="36" t="s">
        <v>32654</v>
      </c>
      <c r="K478" s="36" t="s">
        <v>14330</v>
      </c>
      <c r="L478" s="36" t="s">
        <v>14330</v>
      </c>
      <c r="M478">
        <v>2</v>
      </c>
      <c r="N478" t="s">
        <v>14331</v>
      </c>
      <c r="O478" t="s">
        <v>32633</v>
      </c>
    </row>
    <row r="479" spans="1:15" x14ac:dyDescent="0.25">
      <c r="A479" s="35" t="s">
        <v>4202</v>
      </c>
      <c r="B479" s="36" t="s">
        <v>4203</v>
      </c>
      <c r="C479" s="36" t="str">
        <f>HYPERLINK("https://rhld.insurance.arkansas.gov/NPILookup?Npi=1326571779","1326571779")</f>
        <v>1326571779</v>
      </c>
      <c r="D479" s="36" t="s">
        <v>33119</v>
      </c>
      <c r="E479" s="36" t="s">
        <v>1</v>
      </c>
      <c r="F479" s="36">
        <v>1</v>
      </c>
      <c r="G479" s="36">
        <v>2</v>
      </c>
      <c r="H479" s="36">
        <v>0</v>
      </c>
      <c r="I479" s="37">
        <v>0</v>
      </c>
      <c r="J479" s="36" t="s">
        <v>32723</v>
      </c>
      <c r="K479" s="36" t="s">
        <v>14330</v>
      </c>
      <c r="L479" s="36" t="s">
        <v>14330</v>
      </c>
      <c r="M479">
        <v>2</v>
      </c>
      <c r="N479" t="s">
        <v>14331</v>
      </c>
      <c r="O479" t="s">
        <v>32724</v>
      </c>
    </row>
    <row r="480" spans="1:15" x14ac:dyDescent="0.25">
      <c r="A480" s="35" t="s">
        <v>4202</v>
      </c>
      <c r="B480" s="36" t="s">
        <v>4203</v>
      </c>
      <c r="C480" s="36" t="str">
        <f>HYPERLINK("https://rhld.insurance.arkansas.gov/NPILookup?Npi=1326572934","1326572934")</f>
        <v>1326572934</v>
      </c>
      <c r="D480" s="36" t="s">
        <v>33120</v>
      </c>
      <c r="E480" s="36" t="s">
        <v>1</v>
      </c>
      <c r="F480" s="36">
        <v>1</v>
      </c>
      <c r="G480" s="36">
        <v>2</v>
      </c>
      <c r="H480" s="36">
        <v>0</v>
      </c>
      <c r="I480" s="37">
        <v>0</v>
      </c>
      <c r="J480" s="36" t="s">
        <v>32654</v>
      </c>
      <c r="K480" s="36" t="s">
        <v>14330</v>
      </c>
      <c r="L480" s="36" t="s">
        <v>14330</v>
      </c>
      <c r="M480">
        <v>2</v>
      </c>
      <c r="N480" t="s">
        <v>14331</v>
      </c>
      <c r="O480" t="s">
        <v>32633</v>
      </c>
    </row>
    <row r="481" spans="1:15" x14ac:dyDescent="0.25">
      <c r="A481" s="35" t="s">
        <v>4202</v>
      </c>
      <c r="B481" s="36" t="s">
        <v>4203</v>
      </c>
      <c r="C481" s="36" t="str">
        <f>HYPERLINK("https://rhld.insurance.arkansas.gov/NPILookup?Npi=1326674458","1326674458")</f>
        <v>1326674458</v>
      </c>
      <c r="D481" s="36" t="s">
        <v>33121</v>
      </c>
      <c r="E481" s="36" t="s">
        <v>1</v>
      </c>
      <c r="F481" s="36">
        <v>1</v>
      </c>
      <c r="G481" s="36">
        <v>2</v>
      </c>
      <c r="H481" s="36">
        <v>0</v>
      </c>
      <c r="I481" s="37">
        <v>0</v>
      </c>
      <c r="J481" s="36" t="s">
        <v>32723</v>
      </c>
      <c r="K481" s="36" t="s">
        <v>14330</v>
      </c>
      <c r="L481" s="36" t="s">
        <v>14330</v>
      </c>
      <c r="M481">
        <v>2</v>
      </c>
      <c r="N481" t="s">
        <v>14331</v>
      </c>
      <c r="O481" t="s">
        <v>32724</v>
      </c>
    </row>
    <row r="482" spans="1:15" x14ac:dyDescent="0.25">
      <c r="A482" s="35" t="s">
        <v>4202</v>
      </c>
      <c r="B482" s="36" t="s">
        <v>4203</v>
      </c>
      <c r="C482" s="36" t="str">
        <f>HYPERLINK("https://rhld.insurance.arkansas.gov/NPILookup?Npi=1336118314","1336118314")</f>
        <v>1336118314</v>
      </c>
      <c r="D482" s="36" t="s">
        <v>33122</v>
      </c>
      <c r="E482" s="36" t="s">
        <v>1</v>
      </c>
      <c r="F482" s="36">
        <v>1</v>
      </c>
      <c r="G482" s="36">
        <v>2</v>
      </c>
      <c r="H482" s="36">
        <v>0</v>
      </c>
      <c r="I482" s="37">
        <v>0</v>
      </c>
      <c r="J482" s="36" t="s">
        <v>32654</v>
      </c>
      <c r="K482" s="36" t="s">
        <v>14330</v>
      </c>
      <c r="L482" s="36" t="s">
        <v>14330</v>
      </c>
      <c r="M482">
        <v>3</v>
      </c>
      <c r="N482" t="s">
        <v>14331</v>
      </c>
      <c r="O482" t="s">
        <v>32633</v>
      </c>
    </row>
    <row r="483" spans="1:15" x14ac:dyDescent="0.25">
      <c r="A483" s="35" t="s">
        <v>4202</v>
      </c>
      <c r="B483" s="36" t="s">
        <v>4203</v>
      </c>
      <c r="C483" s="36" t="str">
        <f>HYPERLINK("https://rhld.insurance.arkansas.gov/NPILookup?Npi=1336129758","1336129758")</f>
        <v>1336129758</v>
      </c>
      <c r="D483" s="36" t="s">
        <v>33123</v>
      </c>
      <c r="E483" s="36" t="s">
        <v>1</v>
      </c>
      <c r="F483" s="36">
        <v>1</v>
      </c>
      <c r="G483" s="36">
        <v>3</v>
      </c>
      <c r="H483" s="36">
        <v>0</v>
      </c>
      <c r="I483" s="37">
        <v>0</v>
      </c>
      <c r="J483" s="36" t="s">
        <v>32654</v>
      </c>
      <c r="K483" s="36" t="s">
        <v>14330</v>
      </c>
      <c r="L483" s="36" t="s">
        <v>14330</v>
      </c>
      <c r="M483">
        <v>2</v>
      </c>
      <c r="N483" t="s">
        <v>14331</v>
      </c>
      <c r="O483" t="s">
        <v>32633</v>
      </c>
    </row>
    <row r="484" spans="1:15" x14ac:dyDescent="0.25">
      <c r="A484" s="35" t="s">
        <v>4202</v>
      </c>
      <c r="B484" s="36" t="s">
        <v>4203</v>
      </c>
      <c r="C484" s="36" t="str">
        <f>HYPERLINK("https://rhld.insurance.arkansas.gov/NPILookup?Npi=1336552348","1336552348")</f>
        <v>1336552348</v>
      </c>
      <c r="D484" s="36" t="s">
        <v>33124</v>
      </c>
      <c r="E484" s="36" t="s">
        <v>1</v>
      </c>
      <c r="F484" s="36">
        <v>1</v>
      </c>
      <c r="G484" s="36">
        <v>2</v>
      </c>
      <c r="H484" s="36">
        <v>0</v>
      </c>
      <c r="I484" s="37">
        <v>0</v>
      </c>
      <c r="J484" s="36" t="s">
        <v>32654</v>
      </c>
      <c r="K484" s="36" t="s">
        <v>14330</v>
      </c>
      <c r="L484" s="36" t="s">
        <v>14330</v>
      </c>
      <c r="M484">
        <v>4</v>
      </c>
      <c r="N484" t="s">
        <v>14331</v>
      </c>
      <c r="O484" t="s">
        <v>32633</v>
      </c>
    </row>
    <row r="485" spans="1:15" x14ac:dyDescent="0.25">
      <c r="A485" s="35" t="s">
        <v>4202</v>
      </c>
      <c r="B485" s="36" t="s">
        <v>4203</v>
      </c>
      <c r="C485" s="36" t="str">
        <f>HYPERLINK("https://rhld.insurance.arkansas.gov/NPILookup?Npi=1336581727","1336581727")</f>
        <v>1336581727</v>
      </c>
      <c r="D485" s="36" t="s">
        <v>33125</v>
      </c>
      <c r="E485" s="36" t="s">
        <v>1</v>
      </c>
      <c r="F485" s="36">
        <v>1</v>
      </c>
      <c r="G485" s="36">
        <v>4</v>
      </c>
      <c r="H485" s="36">
        <v>0</v>
      </c>
      <c r="I485" s="37">
        <v>0</v>
      </c>
      <c r="J485" s="36" t="s">
        <v>32654</v>
      </c>
      <c r="K485" s="36" t="s">
        <v>14330</v>
      </c>
      <c r="L485" s="36" t="s">
        <v>14330</v>
      </c>
      <c r="M485">
        <v>3</v>
      </c>
      <c r="N485" t="s">
        <v>14331</v>
      </c>
      <c r="O485" t="s">
        <v>32633</v>
      </c>
    </row>
    <row r="486" spans="1:15" x14ac:dyDescent="0.25">
      <c r="A486" s="35" t="s">
        <v>4202</v>
      </c>
      <c r="B486" s="36" t="s">
        <v>4203</v>
      </c>
      <c r="C486" s="36" t="str">
        <f>HYPERLINK("https://rhld.insurance.arkansas.gov/NPILookup?Npi=1336585926","1336585926")</f>
        <v>1336585926</v>
      </c>
      <c r="D486" s="36" t="s">
        <v>33126</v>
      </c>
      <c r="E486" s="36" t="s">
        <v>1</v>
      </c>
      <c r="F486" s="36">
        <v>1</v>
      </c>
      <c r="G486" s="36">
        <v>3</v>
      </c>
      <c r="H486" s="36">
        <v>0</v>
      </c>
      <c r="I486" s="37">
        <v>0</v>
      </c>
      <c r="J486" s="36" t="s">
        <v>32654</v>
      </c>
      <c r="K486" s="36" t="s">
        <v>14330</v>
      </c>
      <c r="L486" s="36" t="s">
        <v>14330</v>
      </c>
      <c r="M486">
        <v>2</v>
      </c>
      <c r="N486" t="s">
        <v>14331</v>
      </c>
      <c r="O486" t="s">
        <v>32633</v>
      </c>
    </row>
    <row r="487" spans="1:15" x14ac:dyDescent="0.25">
      <c r="A487" s="35" t="s">
        <v>4202</v>
      </c>
      <c r="B487" s="36" t="s">
        <v>4203</v>
      </c>
      <c r="C487" s="36" t="str">
        <f>HYPERLINK("https://rhld.insurance.arkansas.gov/NPILookup?Npi=1336675123","1336675123")</f>
        <v>1336675123</v>
      </c>
      <c r="D487" s="36" t="s">
        <v>33127</v>
      </c>
      <c r="E487" s="36" t="s">
        <v>1</v>
      </c>
      <c r="F487" s="36">
        <v>1</v>
      </c>
      <c r="G487" s="36">
        <v>2</v>
      </c>
      <c r="H487" s="36">
        <v>0</v>
      </c>
      <c r="I487" s="37">
        <v>0</v>
      </c>
      <c r="J487" s="36" t="s">
        <v>32723</v>
      </c>
      <c r="K487" s="36" t="s">
        <v>14330</v>
      </c>
      <c r="L487" s="36" t="s">
        <v>14330</v>
      </c>
      <c r="M487">
        <v>3</v>
      </c>
      <c r="N487" t="s">
        <v>14331</v>
      </c>
      <c r="O487" t="s">
        <v>32724</v>
      </c>
    </row>
    <row r="488" spans="1:15" x14ac:dyDescent="0.25">
      <c r="A488" s="35" t="s">
        <v>4202</v>
      </c>
      <c r="B488" s="36" t="s">
        <v>4203</v>
      </c>
      <c r="C488" s="36" t="str">
        <f>HYPERLINK("https://rhld.insurance.arkansas.gov/NPILookup?Npi=1346252681","1346252681")</f>
        <v>1346252681</v>
      </c>
      <c r="D488" s="36" t="s">
        <v>33128</v>
      </c>
      <c r="E488" s="36" t="s">
        <v>1</v>
      </c>
      <c r="F488" s="36">
        <v>1</v>
      </c>
      <c r="G488" s="36">
        <v>3</v>
      </c>
      <c r="H488" s="36">
        <v>0</v>
      </c>
      <c r="I488" s="37">
        <v>0</v>
      </c>
      <c r="J488" s="36" t="s">
        <v>32654</v>
      </c>
      <c r="K488" s="36" t="s">
        <v>14330</v>
      </c>
      <c r="L488" s="36" t="s">
        <v>14330</v>
      </c>
      <c r="M488">
        <v>3</v>
      </c>
      <c r="N488" t="s">
        <v>14331</v>
      </c>
      <c r="O488" t="s">
        <v>32633</v>
      </c>
    </row>
    <row r="489" spans="1:15" x14ac:dyDescent="0.25">
      <c r="A489" s="35" t="s">
        <v>4202</v>
      </c>
      <c r="B489" s="36" t="s">
        <v>4203</v>
      </c>
      <c r="C489" s="36" t="str">
        <f>HYPERLINK("https://rhld.insurance.arkansas.gov/NPILookup?Npi=1346300969","1346300969")</f>
        <v>1346300969</v>
      </c>
      <c r="D489" s="36" t="s">
        <v>33129</v>
      </c>
      <c r="E489" s="36" t="s">
        <v>1</v>
      </c>
      <c r="F489" s="36">
        <v>1</v>
      </c>
      <c r="G489" s="36">
        <v>3</v>
      </c>
      <c r="H489" s="36">
        <v>0</v>
      </c>
      <c r="I489" s="37">
        <v>0</v>
      </c>
      <c r="J489" s="36" t="s">
        <v>32654</v>
      </c>
      <c r="K489" s="36" t="s">
        <v>14330</v>
      </c>
      <c r="L489" s="36" t="s">
        <v>14330</v>
      </c>
      <c r="M489">
        <v>2</v>
      </c>
      <c r="N489" t="s">
        <v>14331</v>
      </c>
      <c r="O489" t="s">
        <v>32633</v>
      </c>
    </row>
    <row r="490" spans="1:15" x14ac:dyDescent="0.25">
      <c r="A490" s="35" t="s">
        <v>4202</v>
      </c>
      <c r="B490" s="36" t="s">
        <v>4203</v>
      </c>
      <c r="C490" s="36" t="str">
        <f>HYPERLINK("https://rhld.insurance.arkansas.gov/NPILookup?Npi=1346878717","1346878717")</f>
        <v>1346878717</v>
      </c>
      <c r="D490" s="36" t="s">
        <v>33130</v>
      </c>
      <c r="E490" s="36" t="s">
        <v>1</v>
      </c>
      <c r="F490" s="36">
        <v>1</v>
      </c>
      <c r="G490" s="36">
        <v>2</v>
      </c>
      <c r="H490" s="36">
        <v>0</v>
      </c>
      <c r="I490" s="37">
        <v>0</v>
      </c>
      <c r="J490" s="36" t="s">
        <v>32723</v>
      </c>
      <c r="K490" s="36" t="s">
        <v>14330</v>
      </c>
      <c r="L490" s="36" t="s">
        <v>14330</v>
      </c>
      <c r="M490">
        <v>0</v>
      </c>
      <c r="N490" t="s">
        <v>14331</v>
      </c>
      <c r="O490" t="s">
        <v>32724</v>
      </c>
    </row>
    <row r="491" spans="1:15" x14ac:dyDescent="0.25">
      <c r="A491" s="35" t="s">
        <v>4202</v>
      </c>
      <c r="B491" s="36" t="s">
        <v>4203</v>
      </c>
      <c r="C491" s="36" t="str">
        <f>HYPERLINK("https://rhld.insurance.arkansas.gov/NPILookup?Npi=1356371272","1356371272")</f>
        <v>1356371272</v>
      </c>
      <c r="D491" s="36" t="s">
        <v>33131</v>
      </c>
      <c r="E491" s="36" t="s">
        <v>2</v>
      </c>
      <c r="F491" s="36">
        <v>1</v>
      </c>
      <c r="G491" s="36">
        <v>1</v>
      </c>
      <c r="H491" s="36">
        <v>1</v>
      </c>
      <c r="I491" s="37">
        <v>0</v>
      </c>
      <c r="J491" s="36" t="s">
        <v>32679</v>
      </c>
      <c r="K491" s="36" t="s">
        <v>14330</v>
      </c>
      <c r="L491" s="36" t="s">
        <v>32959</v>
      </c>
      <c r="M491">
        <v>3</v>
      </c>
      <c r="N491" t="s">
        <v>14331</v>
      </c>
      <c r="O491" t="s">
        <v>32633</v>
      </c>
    </row>
    <row r="492" spans="1:15" x14ac:dyDescent="0.25">
      <c r="A492" s="35" t="s">
        <v>4202</v>
      </c>
      <c r="B492" s="36" t="s">
        <v>4203</v>
      </c>
      <c r="C492" s="36" t="str">
        <f>HYPERLINK("https://rhld.insurance.arkansas.gov/NPILookup?Npi=1356431936","1356431936")</f>
        <v>1356431936</v>
      </c>
      <c r="D492" s="36" t="s">
        <v>33132</v>
      </c>
      <c r="E492" s="36" t="s">
        <v>1</v>
      </c>
      <c r="F492" s="36">
        <v>1</v>
      </c>
      <c r="G492" s="36">
        <v>3</v>
      </c>
      <c r="H492" s="36">
        <v>0</v>
      </c>
      <c r="I492" s="37">
        <v>0</v>
      </c>
      <c r="J492" s="36" t="s">
        <v>32654</v>
      </c>
      <c r="K492" s="36" t="s">
        <v>14330</v>
      </c>
      <c r="L492" s="36" t="s">
        <v>14330</v>
      </c>
      <c r="M492">
        <v>4</v>
      </c>
      <c r="N492" t="s">
        <v>14331</v>
      </c>
      <c r="O492" t="s">
        <v>32633</v>
      </c>
    </row>
    <row r="493" spans="1:15" x14ac:dyDescent="0.25">
      <c r="A493" s="35" t="s">
        <v>4202</v>
      </c>
      <c r="B493" s="36" t="s">
        <v>4203</v>
      </c>
      <c r="C493" s="36" t="str">
        <f>HYPERLINK("https://rhld.insurance.arkansas.gov/NPILookup?Npi=1366403479","1366403479")</f>
        <v>1366403479</v>
      </c>
      <c r="D493" s="36" t="s">
        <v>33133</v>
      </c>
      <c r="E493" s="36" t="s">
        <v>1</v>
      </c>
      <c r="F493" s="36">
        <v>1</v>
      </c>
      <c r="G493" s="36">
        <v>4</v>
      </c>
      <c r="H493" s="36">
        <v>0</v>
      </c>
      <c r="I493" s="37">
        <v>0</v>
      </c>
      <c r="J493" s="36" t="s">
        <v>32654</v>
      </c>
      <c r="K493" s="36" t="s">
        <v>14330</v>
      </c>
      <c r="L493" s="36" t="s">
        <v>14330</v>
      </c>
      <c r="M493">
        <v>2</v>
      </c>
      <c r="N493" t="s">
        <v>14331</v>
      </c>
      <c r="O493" t="s">
        <v>32633</v>
      </c>
    </row>
    <row r="494" spans="1:15" x14ac:dyDescent="0.25">
      <c r="A494" s="35" t="s">
        <v>4202</v>
      </c>
      <c r="B494" s="36" t="s">
        <v>4203</v>
      </c>
      <c r="C494" s="36" t="str">
        <f>HYPERLINK("https://rhld.insurance.arkansas.gov/NPILookup?Npi=1366409930","1366409930")</f>
        <v>1366409930</v>
      </c>
      <c r="D494" s="36" t="s">
        <v>33134</v>
      </c>
      <c r="E494" s="36" t="s">
        <v>1</v>
      </c>
      <c r="F494" s="36">
        <v>1</v>
      </c>
      <c r="G494" s="36">
        <v>2</v>
      </c>
      <c r="H494" s="36">
        <v>0</v>
      </c>
      <c r="I494" s="37">
        <v>0</v>
      </c>
      <c r="J494" s="36" t="s">
        <v>32654</v>
      </c>
      <c r="K494" s="36" t="s">
        <v>14330</v>
      </c>
      <c r="L494" s="36" t="s">
        <v>14330</v>
      </c>
      <c r="M494">
        <v>3</v>
      </c>
      <c r="N494" t="s">
        <v>14331</v>
      </c>
      <c r="O494" t="s">
        <v>32633</v>
      </c>
    </row>
    <row r="495" spans="1:15" x14ac:dyDescent="0.25">
      <c r="A495" s="35" t="s">
        <v>4202</v>
      </c>
      <c r="B495" s="36" t="s">
        <v>4203</v>
      </c>
      <c r="C495" s="36" t="str">
        <f>HYPERLINK("https://rhld.insurance.arkansas.gov/NPILookup?Npi=1366432247","1366432247")</f>
        <v>1366432247</v>
      </c>
      <c r="D495" s="36" t="s">
        <v>33135</v>
      </c>
      <c r="E495" s="36" t="s">
        <v>1</v>
      </c>
      <c r="F495" s="36">
        <v>1</v>
      </c>
      <c r="G495" s="36">
        <v>3</v>
      </c>
      <c r="H495" s="36">
        <v>0</v>
      </c>
      <c r="I495" s="37">
        <v>0</v>
      </c>
      <c r="J495" s="36" t="s">
        <v>32654</v>
      </c>
      <c r="K495" s="36" t="s">
        <v>14330</v>
      </c>
      <c r="L495" s="36" t="s">
        <v>14330</v>
      </c>
      <c r="M495">
        <v>3</v>
      </c>
      <c r="N495" t="s">
        <v>14331</v>
      </c>
      <c r="O495" t="s">
        <v>32633</v>
      </c>
    </row>
    <row r="496" spans="1:15" x14ac:dyDescent="0.25">
      <c r="A496" s="35" t="s">
        <v>4202</v>
      </c>
      <c r="B496" s="36" t="s">
        <v>4203</v>
      </c>
      <c r="C496" s="36" t="str">
        <f>HYPERLINK("https://rhld.insurance.arkansas.gov/NPILookup?Npi=1366438384","1366438384")</f>
        <v>1366438384</v>
      </c>
      <c r="D496" s="36" t="s">
        <v>33136</v>
      </c>
      <c r="E496" s="36" t="s">
        <v>1</v>
      </c>
      <c r="F496" s="36">
        <v>1</v>
      </c>
      <c r="G496" s="36">
        <v>3</v>
      </c>
      <c r="H496" s="36">
        <v>0</v>
      </c>
      <c r="I496" s="37">
        <v>0</v>
      </c>
      <c r="J496" s="36" t="s">
        <v>32654</v>
      </c>
      <c r="K496" s="36" t="s">
        <v>14330</v>
      </c>
      <c r="L496" s="36" t="s">
        <v>14330</v>
      </c>
      <c r="M496">
        <v>2</v>
      </c>
      <c r="N496" t="s">
        <v>14331</v>
      </c>
      <c r="O496" t="s">
        <v>32633</v>
      </c>
    </row>
    <row r="497" spans="1:15" x14ac:dyDescent="0.25">
      <c r="A497" s="35" t="s">
        <v>4202</v>
      </c>
      <c r="B497" s="36" t="s">
        <v>4203</v>
      </c>
      <c r="C497" s="36" t="str">
        <f>HYPERLINK("https://rhld.insurance.arkansas.gov/NPILookup?Npi=1366485393","1366485393")</f>
        <v>1366485393</v>
      </c>
      <c r="D497" s="36" t="s">
        <v>33137</v>
      </c>
      <c r="E497" s="36" t="s">
        <v>1</v>
      </c>
      <c r="F497" s="36">
        <v>1</v>
      </c>
      <c r="G497" s="36">
        <v>2</v>
      </c>
      <c r="H497" s="36">
        <v>0</v>
      </c>
      <c r="I497" s="37">
        <v>0</v>
      </c>
      <c r="J497" s="36" t="s">
        <v>32654</v>
      </c>
      <c r="K497" s="36" t="s">
        <v>14330</v>
      </c>
      <c r="L497" s="36" t="s">
        <v>14330</v>
      </c>
      <c r="M497">
        <v>1</v>
      </c>
      <c r="N497" t="s">
        <v>14331</v>
      </c>
      <c r="O497" t="s">
        <v>32633</v>
      </c>
    </row>
    <row r="498" spans="1:15" x14ac:dyDescent="0.25">
      <c r="A498" s="35" t="s">
        <v>4202</v>
      </c>
      <c r="B498" s="36" t="s">
        <v>4203</v>
      </c>
      <c r="C498" s="36" t="str">
        <f>HYPERLINK("https://rhld.insurance.arkansas.gov/NPILookup?Npi=1366622508","1366622508")</f>
        <v>1366622508</v>
      </c>
      <c r="D498" s="36" t="s">
        <v>33138</v>
      </c>
      <c r="E498" s="36" t="s">
        <v>1</v>
      </c>
      <c r="F498" s="36">
        <v>1</v>
      </c>
      <c r="G498" s="36">
        <v>1</v>
      </c>
      <c r="H498" s="36">
        <v>0</v>
      </c>
      <c r="I498" s="37">
        <v>0</v>
      </c>
      <c r="J498" s="36" t="s">
        <v>32723</v>
      </c>
      <c r="K498" s="36" t="s">
        <v>14330</v>
      </c>
      <c r="L498" s="36" t="s">
        <v>14330</v>
      </c>
      <c r="M498">
        <v>2</v>
      </c>
      <c r="N498" t="s">
        <v>14331</v>
      </c>
      <c r="O498" t="s">
        <v>32724</v>
      </c>
    </row>
    <row r="499" spans="1:15" x14ac:dyDescent="0.25">
      <c r="A499" s="35" t="s">
        <v>4202</v>
      </c>
      <c r="B499" s="36" t="s">
        <v>4203</v>
      </c>
      <c r="C499" s="36" t="str">
        <f>HYPERLINK("https://rhld.insurance.arkansas.gov/NPILookup?Npi=1366973786","1366973786")</f>
        <v>1366973786</v>
      </c>
      <c r="D499" s="36" t="s">
        <v>33139</v>
      </c>
      <c r="E499" s="36" t="s">
        <v>2</v>
      </c>
      <c r="F499" s="36">
        <v>2</v>
      </c>
      <c r="G499" s="36">
        <v>2</v>
      </c>
      <c r="H499" s="36">
        <v>0</v>
      </c>
      <c r="I499" s="37">
        <v>0</v>
      </c>
      <c r="J499" s="36" t="s">
        <v>33004</v>
      </c>
      <c r="K499" s="36" t="s">
        <v>14330</v>
      </c>
      <c r="L499" s="36" t="s">
        <v>14330</v>
      </c>
      <c r="M499">
        <v>2</v>
      </c>
      <c r="N499" t="s">
        <v>14331</v>
      </c>
      <c r="O499" t="s">
        <v>32633</v>
      </c>
    </row>
    <row r="500" spans="1:15" x14ac:dyDescent="0.25">
      <c r="A500" s="35" t="s">
        <v>4202</v>
      </c>
      <c r="B500" s="36" t="s">
        <v>4203</v>
      </c>
      <c r="C500" s="36" t="str">
        <f>HYPERLINK("https://rhld.insurance.arkansas.gov/NPILookup?Npi=1376122358","1376122358")</f>
        <v>1376122358</v>
      </c>
      <c r="D500" s="36" t="s">
        <v>33140</v>
      </c>
      <c r="E500" s="36" t="s">
        <v>2</v>
      </c>
      <c r="F500" s="36">
        <v>2</v>
      </c>
      <c r="G500" s="36">
        <v>2</v>
      </c>
      <c r="H500" s="36">
        <v>0</v>
      </c>
      <c r="I500" s="37">
        <v>0</v>
      </c>
      <c r="J500" s="36" t="s">
        <v>33004</v>
      </c>
      <c r="K500" s="36" t="s">
        <v>14330</v>
      </c>
      <c r="L500" s="36" t="s">
        <v>14330</v>
      </c>
      <c r="M500">
        <v>2</v>
      </c>
      <c r="N500" t="s">
        <v>14331</v>
      </c>
      <c r="O500" t="s">
        <v>32633</v>
      </c>
    </row>
    <row r="501" spans="1:15" x14ac:dyDescent="0.25">
      <c r="A501" s="35" t="s">
        <v>4202</v>
      </c>
      <c r="B501" s="36" t="s">
        <v>4203</v>
      </c>
      <c r="C501" s="36" t="str">
        <f>HYPERLINK("https://rhld.insurance.arkansas.gov/NPILookup?Npi=1376562132","1376562132")</f>
        <v>1376562132</v>
      </c>
      <c r="D501" s="36" t="s">
        <v>33141</v>
      </c>
      <c r="E501" s="36" t="s">
        <v>1</v>
      </c>
      <c r="F501" s="36">
        <v>1</v>
      </c>
      <c r="G501" s="36">
        <v>2</v>
      </c>
      <c r="H501" s="36">
        <v>0</v>
      </c>
      <c r="I501" s="37">
        <v>0</v>
      </c>
      <c r="J501" s="36" t="s">
        <v>32654</v>
      </c>
      <c r="K501" s="36" t="s">
        <v>14330</v>
      </c>
      <c r="L501" s="36" t="s">
        <v>14330</v>
      </c>
      <c r="M501">
        <v>2</v>
      </c>
      <c r="N501" t="s">
        <v>14331</v>
      </c>
      <c r="O501" t="s">
        <v>32633</v>
      </c>
    </row>
    <row r="502" spans="1:15" x14ac:dyDescent="0.25">
      <c r="A502" s="35" t="s">
        <v>4202</v>
      </c>
      <c r="B502" s="36" t="s">
        <v>4203</v>
      </c>
      <c r="C502" s="36" t="str">
        <f>HYPERLINK("https://rhld.insurance.arkansas.gov/NPILookup?Npi=1376583393","1376583393")</f>
        <v>1376583393</v>
      </c>
      <c r="D502" s="36" t="s">
        <v>33142</v>
      </c>
      <c r="E502" s="36" t="s">
        <v>2</v>
      </c>
      <c r="F502" s="36">
        <v>1</v>
      </c>
      <c r="G502" s="36">
        <v>2</v>
      </c>
      <c r="H502" s="36">
        <v>0</v>
      </c>
      <c r="I502" s="37">
        <v>0</v>
      </c>
      <c r="J502" s="36" t="s">
        <v>32679</v>
      </c>
      <c r="K502" s="36" t="s">
        <v>14330</v>
      </c>
      <c r="L502" s="36" t="s">
        <v>14330</v>
      </c>
      <c r="M502">
        <v>4</v>
      </c>
      <c r="N502" t="s">
        <v>14331</v>
      </c>
      <c r="O502" t="s">
        <v>32633</v>
      </c>
    </row>
    <row r="503" spans="1:15" x14ac:dyDescent="0.25">
      <c r="A503" s="35" t="s">
        <v>4202</v>
      </c>
      <c r="B503" s="36" t="s">
        <v>4203</v>
      </c>
      <c r="C503" s="36" t="str">
        <f>HYPERLINK("https://rhld.insurance.arkansas.gov/NPILookup?Npi=1376589754","1376589754")</f>
        <v>1376589754</v>
      </c>
      <c r="D503" s="36" t="s">
        <v>33143</v>
      </c>
      <c r="E503" s="36" t="s">
        <v>1</v>
      </c>
      <c r="F503" s="36">
        <v>1</v>
      </c>
      <c r="G503" s="36">
        <v>4</v>
      </c>
      <c r="H503" s="36">
        <v>0</v>
      </c>
      <c r="I503" s="37">
        <v>0</v>
      </c>
      <c r="J503" s="36" t="s">
        <v>32654</v>
      </c>
      <c r="K503" s="36" t="s">
        <v>14330</v>
      </c>
      <c r="L503" s="36" t="s">
        <v>14330</v>
      </c>
      <c r="M503">
        <v>2</v>
      </c>
      <c r="N503" t="s">
        <v>14331</v>
      </c>
      <c r="O503" t="s">
        <v>32633</v>
      </c>
    </row>
    <row r="504" spans="1:15" x14ac:dyDescent="0.25">
      <c r="A504" s="35" t="s">
        <v>4202</v>
      </c>
      <c r="B504" s="36" t="s">
        <v>4203</v>
      </c>
      <c r="C504" s="36" t="str">
        <f>HYPERLINK("https://rhld.insurance.arkansas.gov/NPILookup?Npi=1376740092","1376740092")</f>
        <v>1376740092</v>
      </c>
      <c r="D504" s="36" t="s">
        <v>33144</v>
      </c>
      <c r="E504" s="36" t="s">
        <v>2</v>
      </c>
      <c r="F504" s="36">
        <v>1</v>
      </c>
      <c r="G504" s="36">
        <v>2</v>
      </c>
      <c r="H504" s="36">
        <v>0</v>
      </c>
      <c r="I504" s="37">
        <v>0</v>
      </c>
      <c r="J504" s="36"/>
      <c r="K504" s="36" t="s">
        <v>14330</v>
      </c>
      <c r="L504" s="36" t="s">
        <v>14330</v>
      </c>
      <c r="M504">
        <v>1</v>
      </c>
      <c r="N504" t="s">
        <v>14331</v>
      </c>
      <c r="O504" t="s">
        <v>32633</v>
      </c>
    </row>
    <row r="505" spans="1:15" x14ac:dyDescent="0.25">
      <c r="A505" s="35" t="s">
        <v>4202</v>
      </c>
      <c r="B505" s="36" t="s">
        <v>4203</v>
      </c>
      <c r="C505" s="36" t="str">
        <f>HYPERLINK("https://rhld.insurance.arkansas.gov/NPILookup?Npi=1386026862","1386026862")</f>
        <v>1386026862</v>
      </c>
      <c r="D505" s="36" t="s">
        <v>33145</v>
      </c>
      <c r="E505" s="36" t="s">
        <v>1</v>
      </c>
      <c r="F505" s="36">
        <v>1</v>
      </c>
      <c r="G505" s="36">
        <v>1</v>
      </c>
      <c r="H505" s="36">
        <v>0</v>
      </c>
      <c r="I505" s="37">
        <v>0</v>
      </c>
      <c r="J505" s="36" t="s">
        <v>32654</v>
      </c>
      <c r="K505" s="36" t="s">
        <v>14330</v>
      </c>
      <c r="L505" s="36" t="s">
        <v>14330</v>
      </c>
      <c r="M505">
        <v>2</v>
      </c>
      <c r="N505" t="s">
        <v>14331</v>
      </c>
      <c r="O505" t="s">
        <v>32633</v>
      </c>
    </row>
    <row r="506" spans="1:15" x14ac:dyDescent="0.25">
      <c r="A506" s="35" t="s">
        <v>4202</v>
      </c>
      <c r="B506" s="36" t="s">
        <v>4203</v>
      </c>
      <c r="C506" s="36" t="str">
        <f>HYPERLINK("https://rhld.insurance.arkansas.gov/NPILookup?Npi=1386703619","1386703619")</f>
        <v>1386703619</v>
      </c>
      <c r="D506" s="36" t="s">
        <v>33146</v>
      </c>
      <c r="E506" s="36" t="s">
        <v>1</v>
      </c>
      <c r="F506" s="36">
        <v>1</v>
      </c>
      <c r="G506" s="36">
        <v>2</v>
      </c>
      <c r="H506" s="36">
        <v>0</v>
      </c>
      <c r="I506" s="37">
        <v>0</v>
      </c>
      <c r="J506" s="36" t="s">
        <v>32654</v>
      </c>
      <c r="K506" s="36" t="s">
        <v>14330</v>
      </c>
      <c r="L506" s="36" t="s">
        <v>14330</v>
      </c>
      <c r="M506">
        <v>2</v>
      </c>
      <c r="N506" t="s">
        <v>14331</v>
      </c>
      <c r="O506" t="s">
        <v>32633</v>
      </c>
    </row>
    <row r="507" spans="1:15" x14ac:dyDescent="0.25">
      <c r="A507" s="35" t="s">
        <v>4202</v>
      </c>
      <c r="B507" s="36" t="s">
        <v>4203</v>
      </c>
      <c r="C507" s="36" t="str">
        <f>HYPERLINK("https://rhld.insurance.arkansas.gov/NPILookup?Npi=1386953487","1386953487")</f>
        <v>1386953487</v>
      </c>
      <c r="D507" s="36" t="s">
        <v>33147</v>
      </c>
      <c r="E507" s="36" t="s">
        <v>1</v>
      </c>
      <c r="F507" s="36">
        <v>1</v>
      </c>
      <c r="G507" s="36">
        <v>2</v>
      </c>
      <c r="H507" s="36">
        <v>0</v>
      </c>
      <c r="I507" s="37">
        <v>0</v>
      </c>
      <c r="J507" s="36" t="s">
        <v>32654</v>
      </c>
      <c r="K507" s="36" t="s">
        <v>14330</v>
      </c>
      <c r="L507" s="36" t="s">
        <v>14330</v>
      </c>
      <c r="M507">
        <v>0</v>
      </c>
      <c r="N507" t="s">
        <v>14331</v>
      </c>
      <c r="O507" t="s">
        <v>32633</v>
      </c>
    </row>
    <row r="508" spans="1:15" x14ac:dyDescent="0.25">
      <c r="A508" s="35" t="s">
        <v>4202</v>
      </c>
      <c r="B508" s="36" t="s">
        <v>4203</v>
      </c>
      <c r="C508" s="36" t="str">
        <f>HYPERLINK("https://rhld.insurance.arkansas.gov/NPILookup?Npi=1396776761","1396776761")</f>
        <v>1396776761</v>
      </c>
      <c r="D508" s="36" t="s">
        <v>33148</v>
      </c>
      <c r="E508" s="36" t="s">
        <v>1</v>
      </c>
      <c r="F508" s="36">
        <v>1</v>
      </c>
      <c r="G508" s="36">
        <v>1</v>
      </c>
      <c r="H508" s="36">
        <v>1</v>
      </c>
      <c r="I508" s="37">
        <v>0</v>
      </c>
      <c r="J508" s="36" t="s">
        <v>32723</v>
      </c>
      <c r="K508" s="36" t="s">
        <v>14330</v>
      </c>
      <c r="L508" s="36" t="s">
        <v>33149</v>
      </c>
      <c r="M508">
        <v>3</v>
      </c>
      <c r="N508" t="s">
        <v>14332</v>
      </c>
      <c r="O508" t="s">
        <v>32591</v>
      </c>
    </row>
    <row r="509" spans="1:15" x14ac:dyDescent="0.25">
      <c r="A509" s="35" t="s">
        <v>4202</v>
      </c>
      <c r="B509" s="36" t="s">
        <v>4203</v>
      </c>
      <c r="C509" s="36" t="str">
        <f>HYPERLINK("https://rhld.insurance.arkansas.gov/NPILookup?Npi=1396935466","1396935466")</f>
        <v>1396935466</v>
      </c>
      <c r="D509" s="36" t="s">
        <v>33150</v>
      </c>
      <c r="E509" s="36" t="s">
        <v>1</v>
      </c>
      <c r="F509" s="36">
        <v>1</v>
      </c>
      <c r="G509" s="36">
        <v>3</v>
      </c>
      <c r="H509" s="36">
        <v>0</v>
      </c>
      <c r="I509" s="37">
        <v>0</v>
      </c>
      <c r="J509" s="36" t="s">
        <v>32654</v>
      </c>
      <c r="K509" s="36" t="s">
        <v>14330</v>
      </c>
      <c r="L509" s="36" t="s">
        <v>14330</v>
      </c>
      <c r="M509">
        <v>3</v>
      </c>
      <c r="N509" t="s">
        <v>14331</v>
      </c>
      <c r="O509" t="s">
        <v>32633</v>
      </c>
    </row>
    <row r="510" spans="1:15" x14ac:dyDescent="0.25">
      <c r="A510" s="35" t="s">
        <v>4202</v>
      </c>
      <c r="B510" s="36" t="s">
        <v>4203</v>
      </c>
      <c r="C510" s="36" t="str">
        <f>HYPERLINK("https://rhld.insurance.arkansas.gov/NPILookup?Npi=1396951687","1396951687")</f>
        <v>1396951687</v>
      </c>
      <c r="D510" s="36" t="s">
        <v>33151</v>
      </c>
      <c r="E510" s="36" t="s">
        <v>1</v>
      </c>
      <c r="F510" s="36">
        <v>1</v>
      </c>
      <c r="G510" s="36">
        <v>3</v>
      </c>
      <c r="H510" s="36">
        <v>0</v>
      </c>
      <c r="I510" s="37">
        <v>0</v>
      </c>
      <c r="J510" s="36" t="s">
        <v>32723</v>
      </c>
      <c r="K510" s="36" t="s">
        <v>14330</v>
      </c>
      <c r="L510" s="36" t="s">
        <v>14330</v>
      </c>
      <c r="M510">
        <v>3</v>
      </c>
      <c r="N510" t="s">
        <v>14331</v>
      </c>
      <c r="O510" t="s">
        <v>32724</v>
      </c>
    </row>
    <row r="511" spans="1:15" x14ac:dyDescent="0.25">
      <c r="A511" s="35" t="s">
        <v>4202</v>
      </c>
      <c r="B511" s="36" t="s">
        <v>4203</v>
      </c>
      <c r="C511" s="36" t="str">
        <f>HYPERLINK("https://rhld.insurance.arkansas.gov/NPILookup?Npi=1407046600","1407046600")</f>
        <v>1407046600</v>
      </c>
      <c r="D511" s="36" t="s">
        <v>33152</v>
      </c>
      <c r="E511" s="36" t="s">
        <v>1</v>
      </c>
      <c r="F511" s="36">
        <v>1</v>
      </c>
      <c r="G511" s="36">
        <v>3</v>
      </c>
      <c r="H511" s="36">
        <v>0</v>
      </c>
      <c r="I511" s="37">
        <v>0</v>
      </c>
      <c r="J511" s="36" t="s">
        <v>32654</v>
      </c>
      <c r="K511" s="36" t="s">
        <v>14330</v>
      </c>
      <c r="L511" s="36" t="s">
        <v>14330</v>
      </c>
      <c r="M511">
        <v>3</v>
      </c>
      <c r="N511" t="s">
        <v>14331</v>
      </c>
      <c r="O511" t="s">
        <v>32633</v>
      </c>
    </row>
    <row r="512" spans="1:15" x14ac:dyDescent="0.25">
      <c r="A512" s="35" t="s">
        <v>4202</v>
      </c>
      <c r="B512" s="36" t="s">
        <v>4203</v>
      </c>
      <c r="C512" s="36" t="str">
        <f>HYPERLINK("https://rhld.insurance.arkansas.gov/NPILookup?Npi=1407197684","1407197684")</f>
        <v>1407197684</v>
      </c>
      <c r="D512" s="36" t="s">
        <v>33153</v>
      </c>
      <c r="E512" s="36" t="s">
        <v>1</v>
      </c>
      <c r="F512" s="36">
        <v>1</v>
      </c>
      <c r="G512" s="36">
        <v>3</v>
      </c>
      <c r="H512" s="36">
        <v>0</v>
      </c>
      <c r="I512" s="37">
        <v>0</v>
      </c>
      <c r="J512" s="36" t="s">
        <v>32654</v>
      </c>
      <c r="K512" s="36" t="s">
        <v>14330</v>
      </c>
      <c r="L512" s="36" t="s">
        <v>14330</v>
      </c>
      <c r="M512">
        <v>2</v>
      </c>
      <c r="N512" t="s">
        <v>14331</v>
      </c>
      <c r="O512" t="s">
        <v>32633</v>
      </c>
    </row>
    <row r="513" spans="1:15" x14ac:dyDescent="0.25">
      <c r="A513" s="35" t="s">
        <v>4202</v>
      </c>
      <c r="B513" s="36" t="s">
        <v>4203</v>
      </c>
      <c r="C513" s="36" t="str">
        <f>HYPERLINK("https://rhld.insurance.arkansas.gov/NPILookup?Npi=1407218779","1407218779")</f>
        <v>1407218779</v>
      </c>
      <c r="D513" s="36" t="s">
        <v>33154</v>
      </c>
      <c r="E513" s="36" t="s">
        <v>1</v>
      </c>
      <c r="F513" s="36">
        <v>1</v>
      </c>
      <c r="G513" s="36">
        <v>2</v>
      </c>
      <c r="H513" s="36">
        <v>0</v>
      </c>
      <c r="I513" s="37">
        <v>0</v>
      </c>
      <c r="J513" s="36" t="s">
        <v>32723</v>
      </c>
      <c r="K513" s="36" t="s">
        <v>14330</v>
      </c>
      <c r="L513" s="36" t="s">
        <v>14330</v>
      </c>
      <c r="M513">
        <v>3</v>
      </c>
      <c r="N513" t="s">
        <v>14331</v>
      </c>
      <c r="O513" t="s">
        <v>32724</v>
      </c>
    </row>
    <row r="514" spans="1:15" x14ac:dyDescent="0.25">
      <c r="A514" s="35" t="s">
        <v>4202</v>
      </c>
      <c r="B514" s="36" t="s">
        <v>4203</v>
      </c>
      <c r="C514" s="36" t="str">
        <f>HYPERLINK("https://rhld.insurance.arkansas.gov/NPILookup?Npi=1407380082","1407380082")</f>
        <v>1407380082</v>
      </c>
      <c r="D514" s="36" t="s">
        <v>33155</v>
      </c>
      <c r="E514" s="36" t="s">
        <v>1</v>
      </c>
      <c r="F514" s="36">
        <v>1</v>
      </c>
      <c r="G514" s="36">
        <v>3</v>
      </c>
      <c r="H514" s="36">
        <v>0</v>
      </c>
      <c r="I514" s="37">
        <v>0</v>
      </c>
      <c r="J514" s="36" t="s">
        <v>32654</v>
      </c>
      <c r="K514" s="36" t="s">
        <v>14330</v>
      </c>
      <c r="L514" s="36" t="s">
        <v>14330</v>
      </c>
      <c r="M514">
        <v>2</v>
      </c>
      <c r="N514" t="s">
        <v>14331</v>
      </c>
      <c r="O514" t="s">
        <v>32633</v>
      </c>
    </row>
    <row r="515" spans="1:15" x14ac:dyDescent="0.25">
      <c r="A515" s="35" t="s">
        <v>4202</v>
      </c>
      <c r="B515" s="36" t="s">
        <v>4203</v>
      </c>
      <c r="C515" s="36" t="str">
        <f>HYPERLINK("https://rhld.insurance.arkansas.gov/NPILookup?Npi=1407389208","1407389208")</f>
        <v>1407389208</v>
      </c>
      <c r="D515" s="36" t="s">
        <v>33156</v>
      </c>
      <c r="E515" s="36" t="s">
        <v>1</v>
      </c>
      <c r="F515" s="36">
        <v>1</v>
      </c>
      <c r="G515" s="36">
        <v>2</v>
      </c>
      <c r="H515" s="36">
        <v>0</v>
      </c>
      <c r="I515" s="37">
        <v>0</v>
      </c>
      <c r="J515" s="36" t="s">
        <v>32723</v>
      </c>
      <c r="K515" s="36" t="s">
        <v>14330</v>
      </c>
      <c r="L515" s="36" t="s">
        <v>14330</v>
      </c>
      <c r="M515">
        <v>3</v>
      </c>
      <c r="N515" t="s">
        <v>14331</v>
      </c>
      <c r="O515" t="s">
        <v>32724</v>
      </c>
    </row>
    <row r="516" spans="1:15" x14ac:dyDescent="0.25">
      <c r="A516" s="35" t="s">
        <v>4202</v>
      </c>
      <c r="B516" s="36" t="s">
        <v>4203</v>
      </c>
      <c r="C516" s="36" t="str">
        <f>HYPERLINK("https://rhld.insurance.arkansas.gov/NPILookup?Npi=1407898588","1407898588")</f>
        <v>1407898588</v>
      </c>
      <c r="D516" s="36" t="s">
        <v>33157</v>
      </c>
      <c r="E516" s="36" t="s">
        <v>1</v>
      </c>
      <c r="F516" s="36">
        <v>1</v>
      </c>
      <c r="G516" s="36">
        <v>3</v>
      </c>
      <c r="H516" s="36">
        <v>0</v>
      </c>
      <c r="I516" s="37">
        <v>0</v>
      </c>
      <c r="J516" s="36" t="s">
        <v>32654</v>
      </c>
      <c r="K516" s="36" t="s">
        <v>14330</v>
      </c>
      <c r="L516" s="36" t="s">
        <v>14330</v>
      </c>
      <c r="M516">
        <v>2</v>
      </c>
      <c r="N516" t="s">
        <v>14331</v>
      </c>
      <c r="O516" t="s">
        <v>32633</v>
      </c>
    </row>
    <row r="517" spans="1:15" x14ac:dyDescent="0.25">
      <c r="A517" s="35" t="s">
        <v>4202</v>
      </c>
      <c r="B517" s="36" t="s">
        <v>4203</v>
      </c>
      <c r="C517" s="36" t="str">
        <f>HYPERLINK("https://rhld.insurance.arkansas.gov/NPILookup?Npi=1417057159","1417057159")</f>
        <v>1417057159</v>
      </c>
      <c r="D517" s="36" t="s">
        <v>33158</v>
      </c>
      <c r="E517" s="36" t="s">
        <v>2</v>
      </c>
      <c r="F517" s="36">
        <v>1</v>
      </c>
      <c r="G517" s="36">
        <v>2</v>
      </c>
      <c r="H517" s="36">
        <v>0</v>
      </c>
      <c r="I517" s="37">
        <v>0</v>
      </c>
      <c r="J517" s="36" t="s">
        <v>32679</v>
      </c>
      <c r="K517" s="36" t="s">
        <v>14330</v>
      </c>
      <c r="L517" s="36" t="s">
        <v>14330</v>
      </c>
      <c r="M517">
        <v>1</v>
      </c>
      <c r="N517" t="s">
        <v>14331</v>
      </c>
      <c r="O517" t="s">
        <v>32633</v>
      </c>
    </row>
    <row r="518" spans="1:15" x14ac:dyDescent="0.25">
      <c r="A518" s="35" t="s">
        <v>4202</v>
      </c>
      <c r="B518" s="36" t="s">
        <v>4203</v>
      </c>
      <c r="C518" s="36" t="str">
        <f>HYPERLINK("https://rhld.insurance.arkansas.gov/NPILookup?Npi=1417111964","1417111964")</f>
        <v>1417111964</v>
      </c>
      <c r="D518" s="36" t="s">
        <v>33159</v>
      </c>
      <c r="E518" s="36" t="s">
        <v>2</v>
      </c>
      <c r="F518" s="36">
        <v>1</v>
      </c>
      <c r="G518" s="36">
        <v>1</v>
      </c>
      <c r="H518" s="36">
        <v>0</v>
      </c>
      <c r="I518" s="37">
        <v>0</v>
      </c>
      <c r="J518" s="36" t="s">
        <v>32679</v>
      </c>
      <c r="K518" s="36" t="s">
        <v>14330</v>
      </c>
      <c r="L518" s="36" t="s">
        <v>14330</v>
      </c>
      <c r="M518">
        <v>2</v>
      </c>
      <c r="N518" t="s">
        <v>14331</v>
      </c>
      <c r="O518" t="s">
        <v>32633</v>
      </c>
    </row>
    <row r="519" spans="1:15" x14ac:dyDescent="0.25">
      <c r="A519" s="35" t="s">
        <v>4202</v>
      </c>
      <c r="B519" s="36" t="s">
        <v>4203</v>
      </c>
      <c r="C519" s="36" t="str">
        <f>HYPERLINK("https://rhld.insurance.arkansas.gov/NPILookup?Npi=1417155078","1417155078")</f>
        <v>1417155078</v>
      </c>
      <c r="D519" s="36" t="s">
        <v>33160</v>
      </c>
      <c r="E519" s="36" t="s">
        <v>1</v>
      </c>
      <c r="F519" s="36">
        <v>1</v>
      </c>
      <c r="G519" s="36">
        <v>2</v>
      </c>
      <c r="H519" s="36">
        <v>0</v>
      </c>
      <c r="I519" s="37">
        <v>0</v>
      </c>
      <c r="J519" s="36" t="s">
        <v>32654</v>
      </c>
      <c r="K519" s="36" t="s">
        <v>14330</v>
      </c>
      <c r="L519" s="36" t="s">
        <v>14330</v>
      </c>
      <c r="M519">
        <v>2</v>
      </c>
      <c r="N519" t="s">
        <v>14331</v>
      </c>
      <c r="O519" t="s">
        <v>32633</v>
      </c>
    </row>
    <row r="520" spans="1:15" x14ac:dyDescent="0.25">
      <c r="A520" s="35" t="s">
        <v>4202</v>
      </c>
      <c r="B520" s="36" t="s">
        <v>4203</v>
      </c>
      <c r="C520" s="36" t="str">
        <f>HYPERLINK("https://rhld.insurance.arkansas.gov/NPILookup?Npi=1417299413","1417299413")</f>
        <v>1417299413</v>
      </c>
      <c r="D520" s="36" t="s">
        <v>33161</v>
      </c>
      <c r="E520" s="36" t="s">
        <v>2</v>
      </c>
      <c r="F520" s="36">
        <v>1</v>
      </c>
      <c r="G520" s="36">
        <v>2</v>
      </c>
      <c r="H520" s="36">
        <v>0</v>
      </c>
      <c r="I520" s="37">
        <v>0</v>
      </c>
      <c r="J520" s="36" t="s">
        <v>32679</v>
      </c>
      <c r="K520" s="36" t="s">
        <v>14330</v>
      </c>
      <c r="L520" s="36" t="s">
        <v>14330</v>
      </c>
      <c r="M520">
        <v>2</v>
      </c>
      <c r="N520" t="s">
        <v>14331</v>
      </c>
      <c r="O520" t="s">
        <v>32633</v>
      </c>
    </row>
    <row r="521" spans="1:15" x14ac:dyDescent="0.25">
      <c r="A521" s="35" t="s">
        <v>4202</v>
      </c>
      <c r="B521" s="36" t="s">
        <v>4203</v>
      </c>
      <c r="C521" s="36" t="str">
        <f>HYPERLINK("https://rhld.insurance.arkansas.gov/NPILookup?Npi=1417343724","1417343724")</f>
        <v>1417343724</v>
      </c>
      <c r="D521" s="36" t="s">
        <v>33162</v>
      </c>
      <c r="E521" s="36" t="s">
        <v>2</v>
      </c>
      <c r="F521" s="36">
        <v>1</v>
      </c>
      <c r="G521" s="36">
        <v>2</v>
      </c>
      <c r="H521" s="36">
        <v>0</v>
      </c>
      <c r="I521" s="37">
        <v>0</v>
      </c>
      <c r="J521" s="36" t="s">
        <v>32679</v>
      </c>
      <c r="K521" s="36" t="s">
        <v>14330</v>
      </c>
      <c r="L521" s="36" t="s">
        <v>14330</v>
      </c>
      <c r="M521">
        <v>2</v>
      </c>
      <c r="N521" t="s">
        <v>14331</v>
      </c>
      <c r="O521" t="s">
        <v>32633</v>
      </c>
    </row>
    <row r="522" spans="1:15" x14ac:dyDescent="0.25">
      <c r="A522" s="35" t="s">
        <v>4202</v>
      </c>
      <c r="B522" s="36" t="s">
        <v>4203</v>
      </c>
      <c r="C522" s="36" t="str">
        <f>HYPERLINK("https://rhld.insurance.arkansas.gov/NPILookup?Npi=1417925314","1417925314")</f>
        <v>1417925314</v>
      </c>
      <c r="D522" s="36" t="s">
        <v>33163</v>
      </c>
      <c r="E522" s="36" t="s">
        <v>1</v>
      </c>
      <c r="F522" s="36">
        <v>1</v>
      </c>
      <c r="G522" s="36">
        <v>2</v>
      </c>
      <c r="H522" s="36">
        <v>0</v>
      </c>
      <c r="I522" s="37">
        <v>0</v>
      </c>
      <c r="J522" s="36" t="s">
        <v>32654</v>
      </c>
      <c r="K522" s="36" t="s">
        <v>14330</v>
      </c>
      <c r="L522" s="36" t="s">
        <v>14330</v>
      </c>
      <c r="M522">
        <v>2</v>
      </c>
      <c r="N522" t="s">
        <v>14331</v>
      </c>
      <c r="O522" t="s">
        <v>32633</v>
      </c>
    </row>
    <row r="523" spans="1:15" x14ac:dyDescent="0.25">
      <c r="A523" s="35" t="s">
        <v>4202</v>
      </c>
      <c r="B523" s="36" t="s">
        <v>4203</v>
      </c>
      <c r="C523" s="36" t="str">
        <f>HYPERLINK("https://rhld.insurance.arkansas.gov/NPILookup?Npi=1427004829","1427004829")</f>
        <v>1427004829</v>
      </c>
      <c r="D523" s="36" t="s">
        <v>33164</v>
      </c>
      <c r="E523" s="36" t="s">
        <v>2</v>
      </c>
      <c r="F523" s="36">
        <v>1</v>
      </c>
      <c r="G523" s="36">
        <v>2</v>
      </c>
      <c r="H523" s="36">
        <v>0</v>
      </c>
      <c r="I523" s="37">
        <v>0</v>
      </c>
      <c r="J523" s="36" t="s">
        <v>32679</v>
      </c>
      <c r="K523" s="36" t="s">
        <v>14330</v>
      </c>
      <c r="L523" s="36" t="s">
        <v>14330</v>
      </c>
      <c r="M523">
        <v>2</v>
      </c>
      <c r="N523" t="s">
        <v>14331</v>
      </c>
      <c r="O523" t="s">
        <v>32633</v>
      </c>
    </row>
    <row r="524" spans="1:15" x14ac:dyDescent="0.25">
      <c r="A524" s="35" t="s">
        <v>4202</v>
      </c>
      <c r="B524" s="36" t="s">
        <v>4203</v>
      </c>
      <c r="C524" s="36" t="str">
        <f>HYPERLINK("https://rhld.insurance.arkansas.gov/NPILookup?Npi=1427011030","1427011030")</f>
        <v>1427011030</v>
      </c>
      <c r="D524" s="36" t="s">
        <v>33165</v>
      </c>
      <c r="E524" s="36" t="s">
        <v>1</v>
      </c>
      <c r="F524" s="36">
        <v>1</v>
      </c>
      <c r="G524" s="36">
        <v>2</v>
      </c>
      <c r="H524" s="36">
        <v>0</v>
      </c>
      <c r="I524" s="37">
        <v>0</v>
      </c>
      <c r="J524" s="36" t="s">
        <v>32654</v>
      </c>
      <c r="K524" s="36" t="s">
        <v>14330</v>
      </c>
      <c r="L524" s="36" t="s">
        <v>14330</v>
      </c>
      <c r="M524">
        <v>3</v>
      </c>
      <c r="N524" t="s">
        <v>14331</v>
      </c>
      <c r="O524" t="s">
        <v>32633</v>
      </c>
    </row>
    <row r="525" spans="1:15" x14ac:dyDescent="0.25">
      <c r="A525" s="35" t="s">
        <v>4202</v>
      </c>
      <c r="B525" s="36" t="s">
        <v>4203</v>
      </c>
      <c r="C525" s="36" t="str">
        <f>HYPERLINK("https://rhld.insurance.arkansas.gov/NPILookup?Npi=1427011410","1427011410")</f>
        <v>1427011410</v>
      </c>
      <c r="D525" s="36" t="s">
        <v>33166</v>
      </c>
      <c r="E525" s="36" t="s">
        <v>1</v>
      </c>
      <c r="F525" s="36">
        <v>1</v>
      </c>
      <c r="G525" s="36">
        <v>3</v>
      </c>
      <c r="H525" s="36">
        <v>0</v>
      </c>
      <c r="I525" s="37">
        <v>0</v>
      </c>
      <c r="J525" s="36" t="s">
        <v>32654</v>
      </c>
      <c r="K525" s="36" t="s">
        <v>14330</v>
      </c>
      <c r="L525" s="36" t="s">
        <v>14330</v>
      </c>
      <c r="M525">
        <v>2</v>
      </c>
      <c r="N525" t="s">
        <v>14331</v>
      </c>
      <c r="O525" t="s">
        <v>32633</v>
      </c>
    </row>
    <row r="526" spans="1:15" x14ac:dyDescent="0.25">
      <c r="A526" s="35" t="s">
        <v>4202</v>
      </c>
      <c r="B526" s="36" t="s">
        <v>4203</v>
      </c>
      <c r="C526" s="36" t="str">
        <f>HYPERLINK("https://rhld.insurance.arkansas.gov/NPILookup?Npi=1427070606","1427070606")</f>
        <v>1427070606</v>
      </c>
      <c r="D526" s="36" t="s">
        <v>33167</v>
      </c>
      <c r="E526" s="36" t="s">
        <v>1</v>
      </c>
      <c r="F526" s="36">
        <v>1</v>
      </c>
      <c r="G526" s="36">
        <v>2</v>
      </c>
      <c r="H526" s="36">
        <v>0</v>
      </c>
      <c r="I526" s="37">
        <v>0</v>
      </c>
      <c r="J526" s="36" t="s">
        <v>32654</v>
      </c>
      <c r="K526" s="36" t="s">
        <v>14330</v>
      </c>
      <c r="L526" s="36" t="s">
        <v>14330</v>
      </c>
      <c r="M526">
        <v>2</v>
      </c>
      <c r="N526" t="s">
        <v>14331</v>
      </c>
      <c r="O526" t="s">
        <v>32633</v>
      </c>
    </row>
    <row r="527" spans="1:15" x14ac:dyDescent="0.25">
      <c r="A527" s="35" t="s">
        <v>4202</v>
      </c>
      <c r="B527" s="36" t="s">
        <v>4203</v>
      </c>
      <c r="C527" s="36" t="str">
        <f>HYPERLINK("https://rhld.insurance.arkansas.gov/NPILookup?Npi=1427589811","1427589811")</f>
        <v>1427589811</v>
      </c>
      <c r="D527" s="36" t="s">
        <v>33168</v>
      </c>
      <c r="E527" s="36" t="s">
        <v>1</v>
      </c>
      <c r="F527" s="36">
        <v>1</v>
      </c>
      <c r="G527" s="36">
        <v>2</v>
      </c>
      <c r="H527" s="36">
        <v>0</v>
      </c>
      <c r="I527" s="37">
        <v>0</v>
      </c>
      <c r="J527" s="36" t="s">
        <v>32654</v>
      </c>
      <c r="K527" s="36" t="s">
        <v>14330</v>
      </c>
      <c r="L527" s="36" t="s">
        <v>14330</v>
      </c>
      <c r="M527">
        <v>3</v>
      </c>
      <c r="N527" t="s">
        <v>14331</v>
      </c>
      <c r="O527" t="s">
        <v>32633</v>
      </c>
    </row>
    <row r="528" spans="1:15" x14ac:dyDescent="0.25">
      <c r="A528" s="35" t="s">
        <v>4202</v>
      </c>
      <c r="B528" s="36" t="s">
        <v>4203</v>
      </c>
      <c r="C528" s="36" t="str">
        <f>HYPERLINK("https://rhld.insurance.arkansas.gov/NPILookup?Npi=1437107703","1437107703")</f>
        <v>1437107703</v>
      </c>
      <c r="D528" s="36" t="s">
        <v>33169</v>
      </c>
      <c r="E528" s="36" t="s">
        <v>1</v>
      </c>
      <c r="F528" s="36">
        <v>1</v>
      </c>
      <c r="G528" s="36">
        <v>3</v>
      </c>
      <c r="H528" s="36">
        <v>0</v>
      </c>
      <c r="I528" s="37">
        <v>0</v>
      </c>
      <c r="J528" s="36" t="s">
        <v>32654</v>
      </c>
      <c r="K528" s="36" t="s">
        <v>14330</v>
      </c>
      <c r="L528" s="36" t="s">
        <v>14330</v>
      </c>
      <c r="M528">
        <v>3</v>
      </c>
      <c r="N528" t="s">
        <v>14331</v>
      </c>
      <c r="O528" t="s">
        <v>32633</v>
      </c>
    </row>
    <row r="529" spans="1:15" x14ac:dyDescent="0.25">
      <c r="A529" s="35" t="s">
        <v>4202</v>
      </c>
      <c r="B529" s="36" t="s">
        <v>4203</v>
      </c>
      <c r="C529" s="36" t="str">
        <f>HYPERLINK("https://rhld.insurance.arkansas.gov/NPILookup?Npi=1437189255","1437189255")</f>
        <v>1437189255</v>
      </c>
      <c r="D529" s="36" t="s">
        <v>33170</v>
      </c>
      <c r="E529" s="36" t="s">
        <v>1</v>
      </c>
      <c r="F529" s="36">
        <v>1</v>
      </c>
      <c r="G529" s="36">
        <v>3</v>
      </c>
      <c r="H529" s="36">
        <v>0</v>
      </c>
      <c r="I529" s="37">
        <v>0</v>
      </c>
      <c r="J529" s="36" t="s">
        <v>32654</v>
      </c>
      <c r="K529" s="36" t="s">
        <v>14330</v>
      </c>
      <c r="L529" s="36" t="s">
        <v>14330</v>
      </c>
      <c r="M529">
        <v>2</v>
      </c>
      <c r="N529" t="s">
        <v>14331</v>
      </c>
      <c r="O529" t="s">
        <v>32633</v>
      </c>
    </row>
    <row r="530" spans="1:15" x14ac:dyDescent="0.25">
      <c r="A530" s="35" t="s">
        <v>4202</v>
      </c>
      <c r="B530" s="36" t="s">
        <v>4203</v>
      </c>
      <c r="C530" s="36" t="str">
        <f>HYPERLINK("https://rhld.insurance.arkansas.gov/NPILookup?Npi=1437223146","1437223146")</f>
        <v>1437223146</v>
      </c>
      <c r="D530" s="36" t="s">
        <v>33171</v>
      </c>
      <c r="E530" s="36" t="s">
        <v>2</v>
      </c>
      <c r="F530" s="36">
        <v>1</v>
      </c>
      <c r="G530" s="36">
        <v>2</v>
      </c>
      <c r="H530" s="36">
        <v>0</v>
      </c>
      <c r="I530" s="37">
        <v>0</v>
      </c>
      <c r="J530" s="36" t="s">
        <v>32679</v>
      </c>
      <c r="K530" s="36" t="s">
        <v>14330</v>
      </c>
      <c r="L530" s="36" t="s">
        <v>14330</v>
      </c>
      <c r="M530">
        <v>2</v>
      </c>
      <c r="N530" t="s">
        <v>14331</v>
      </c>
      <c r="O530" t="s">
        <v>32633</v>
      </c>
    </row>
    <row r="531" spans="1:15" x14ac:dyDescent="0.25">
      <c r="A531" s="35" t="s">
        <v>4202</v>
      </c>
      <c r="B531" s="36" t="s">
        <v>4203</v>
      </c>
      <c r="C531" s="36" t="str">
        <f>HYPERLINK("https://rhld.insurance.arkansas.gov/NPILookup?Npi=1437252657","1437252657")</f>
        <v>1437252657</v>
      </c>
      <c r="D531" s="36" t="s">
        <v>33172</v>
      </c>
      <c r="E531" s="36" t="s">
        <v>2</v>
      </c>
      <c r="F531" s="36">
        <v>2</v>
      </c>
      <c r="G531" s="36">
        <v>2</v>
      </c>
      <c r="H531" s="36">
        <v>0</v>
      </c>
      <c r="I531" s="37">
        <v>0</v>
      </c>
      <c r="J531" s="36" t="s">
        <v>33004</v>
      </c>
      <c r="K531" s="36" t="s">
        <v>14330</v>
      </c>
      <c r="L531" s="36" t="s">
        <v>14330</v>
      </c>
      <c r="M531">
        <v>2</v>
      </c>
      <c r="N531" t="s">
        <v>14331</v>
      </c>
      <c r="O531" t="s">
        <v>32633</v>
      </c>
    </row>
    <row r="532" spans="1:15" x14ac:dyDescent="0.25">
      <c r="A532" s="35" t="s">
        <v>4202</v>
      </c>
      <c r="B532" s="36" t="s">
        <v>4203</v>
      </c>
      <c r="C532" s="36" t="str">
        <f>HYPERLINK("https://rhld.insurance.arkansas.gov/NPILookup?Npi=1437350600","1437350600")</f>
        <v>1437350600</v>
      </c>
      <c r="D532" s="36" t="s">
        <v>33173</v>
      </c>
      <c r="E532" s="36" t="s">
        <v>1</v>
      </c>
      <c r="F532" s="36">
        <v>1</v>
      </c>
      <c r="G532" s="36">
        <v>2</v>
      </c>
      <c r="H532" s="36">
        <v>0</v>
      </c>
      <c r="I532" s="37">
        <v>0</v>
      </c>
      <c r="J532" s="36" t="s">
        <v>32654</v>
      </c>
      <c r="K532" s="36" t="s">
        <v>14330</v>
      </c>
      <c r="L532" s="36" t="s">
        <v>14330</v>
      </c>
      <c r="M532">
        <v>3</v>
      </c>
      <c r="N532" t="s">
        <v>14331</v>
      </c>
      <c r="O532" t="s">
        <v>32633</v>
      </c>
    </row>
    <row r="533" spans="1:15" x14ac:dyDescent="0.25">
      <c r="A533" s="35" t="s">
        <v>4202</v>
      </c>
      <c r="B533" s="36" t="s">
        <v>4203</v>
      </c>
      <c r="C533" s="36" t="str">
        <f>HYPERLINK("https://rhld.insurance.arkansas.gov/NPILookup?Npi=1437376548","1437376548")</f>
        <v>1437376548</v>
      </c>
      <c r="D533" s="36" t="s">
        <v>33174</v>
      </c>
      <c r="E533" s="36" t="s">
        <v>1</v>
      </c>
      <c r="F533" s="36">
        <v>1</v>
      </c>
      <c r="G533" s="36">
        <v>3</v>
      </c>
      <c r="H533" s="36">
        <v>0</v>
      </c>
      <c r="I533" s="37">
        <v>0</v>
      </c>
      <c r="J533" s="36" t="s">
        <v>32654</v>
      </c>
      <c r="K533" s="36" t="s">
        <v>14330</v>
      </c>
      <c r="L533" s="36" t="s">
        <v>14330</v>
      </c>
      <c r="M533">
        <v>2</v>
      </c>
      <c r="N533" t="s">
        <v>14331</v>
      </c>
      <c r="O533" t="s">
        <v>32633</v>
      </c>
    </row>
    <row r="534" spans="1:15" x14ac:dyDescent="0.25">
      <c r="A534" s="35" t="s">
        <v>4202</v>
      </c>
      <c r="B534" s="36" t="s">
        <v>4203</v>
      </c>
      <c r="C534" s="36" t="str">
        <f>HYPERLINK("https://rhld.insurance.arkansas.gov/NPILookup?Npi=1437504040","1437504040")</f>
        <v>1437504040</v>
      </c>
      <c r="D534" s="36" t="s">
        <v>33175</v>
      </c>
      <c r="E534" s="36" t="s">
        <v>1</v>
      </c>
      <c r="F534" s="36">
        <v>1</v>
      </c>
      <c r="G534" s="36">
        <v>2</v>
      </c>
      <c r="H534" s="36">
        <v>0</v>
      </c>
      <c r="I534" s="37">
        <v>0</v>
      </c>
      <c r="J534" s="36" t="s">
        <v>32654</v>
      </c>
      <c r="K534" s="36" t="s">
        <v>14330</v>
      </c>
      <c r="L534" s="36" t="s">
        <v>14330</v>
      </c>
      <c r="M534">
        <v>2</v>
      </c>
      <c r="N534" t="s">
        <v>14331</v>
      </c>
      <c r="O534" t="s">
        <v>32633</v>
      </c>
    </row>
    <row r="535" spans="1:15" x14ac:dyDescent="0.25">
      <c r="A535" s="35" t="s">
        <v>4202</v>
      </c>
      <c r="B535" s="36" t="s">
        <v>4203</v>
      </c>
      <c r="C535" s="36" t="str">
        <f>HYPERLINK("https://rhld.insurance.arkansas.gov/NPILookup?Npi=1437693389","1437693389")</f>
        <v>1437693389</v>
      </c>
      <c r="D535" s="36" t="s">
        <v>33176</v>
      </c>
      <c r="E535" s="36" t="s">
        <v>1</v>
      </c>
      <c r="F535" s="36">
        <v>1</v>
      </c>
      <c r="G535" s="36">
        <v>2</v>
      </c>
      <c r="H535" s="36">
        <v>0</v>
      </c>
      <c r="I535" s="37">
        <v>0</v>
      </c>
      <c r="J535" s="36" t="s">
        <v>32654</v>
      </c>
      <c r="K535" s="36" t="s">
        <v>14330</v>
      </c>
      <c r="L535" s="36" t="s">
        <v>14330</v>
      </c>
      <c r="M535">
        <v>2</v>
      </c>
      <c r="N535" t="s">
        <v>14331</v>
      </c>
      <c r="O535" t="s">
        <v>32633</v>
      </c>
    </row>
    <row r="536" spans="1:15" x14ac:dyDescent="0.25">
      <c r="A536" s="35" t="s">
        <v>4202</v>
      </c>
      <c r="B536" s="36" t="s">
        <v>4203</v>
      </c>
      <c r="C536" s="36" t="str">
        <f>HYPERLINK("https://rhld.insurance.arkansas.gov/NPILookup?Npi=1447223060","1447223060")</f>
        <v>1447223060</v>
      </c>
      <c r="D536" s="36" t="s">
        <v>33177</v>
      </c>
      <c r="E536" s="36" t="s">
        <v>1</v>
      </c>
      <c r="F536" s="36">
        <v>1</v>
      </c>
      <c r="G536" s="36">
        <v>2</v>
      </c>
      <c r="H536" s="36">
        <v>0</v>
      </c>
      <c r="I536" s="37">
        <v>0</v>
      </c>
      <c r="J536" s="36" t="s">
        <v>32654</v>
      </c>
      <c r="K536" s="36" t="s">
        <v>14330</v>
      </c>
      <c r="L536" s="36" t="s">
        <v>14330</v>
      </c>
      <c r="M536">
        <v>3</v>
      </c>
      <c r="N536" t="s">
        <v>14331</v>
      </c>
      <c r="O536" t="s">
        <v>32633</v>
      </c>
    </row>
    <row r="537" spans="1:15" x14ac:dyDescent="0.25">
      <c r="A537" s="35" t="s">
        <v>4202</v>
      </c>
      <c r="B537" s="36" t="s">
        <v>4203</v>
      </c>
      <c r="C537" s="36" t="str">
        <f>HYPERLINK("https://rhld.insurance.arkansas.gov/NPILookup?Npi=1447240080","1447240080")</f>
        <v>1447240080</v>
      </c>
      <c r="D537" s="36" t="s">
        <v>33178</v>
      </c>
      <c r="E537" s="36" t="s">
        <v>1</v>
      </c>
      <c r="F537" s="36">
        <v>1</v>
      </c>
      <c r="G537" s="36">
        <v>3</v>
      </c>
      <c r="H537" s="36">
        <v>0</v>
      </c>
      <c r="I537" s="37">
        <v>0</v>
      </c>
      <c r="J537" s="36" t="s">
        <v>32654</v>
      </c>
      <c r="K537" s="36" t="s">
        <v>14330</v>
      </c>
      <c r="L537" s="36" t="s">
        <v>14330</v>
      </c>
      <c r="M537">
        <v>2</v>
      </c>
      <c r="N537" t="s">
        <v>14331</v>
      </c>
      <c r="O537" t="s">
        <v>32633</v>
      </c>
    </row>
    <row r="538" spans="1:15" x14ac:dyDescent="0.25">
      <c r="A538" s="35" t="s">
        <v>4202</v>
      </c>
      <c r="B538" s="36" t="s">
        <v>4203</v>
      </c>
      <c r="C538" s="36" t="str">
        <f>HYPERLINK("https://rhld.insurance.arkansas.gov/NPILookup?Npi=1447275656","1447275656")</f>
        <v>1447275656</v>
      </c>
      <c r="D538" s="36" t="s">
        <v>33179</v>
      </c>
      <c r="E538" s="36" t="s">
        <v>1</v>
      </c>
      <c r="F538" s="36">
        <v>1</v>
      </c>
      <c r="G538" s="36">
        <v>2</v>
      </c>
      <c r="H538" s="36">
        <v>0</v>
      </c>
      <c r="I538" s="37">
        <v>0</v>
      </c>
      <c r="J538" s="36" t="s">
        <v>32654</v>
      </c>
      <c r="K538" s="36" t="s">
        <v>14330</v>
      </c>
      <c r="L538" s="36" t="s">
        <v>14330</v>
      </c>
      <c r="M538">
        <v>2</v>
      </c>
      <c r="N538" t="s">
        <v>14331</v>
      </c>
      <c r="O538" t="s">
        <v>32633</v>
      </c>
    </row>
    <row r="539" spans="1:15" x14ac:dyDescent="0.25">
      <c r="A539" s="35" t="s">
        <v>4202</v>
      </c>
      <c r="B539" s="36" t="s">
        <v>4203</v>
      </c>
      <c r="C539" s="36" t="str">
        <f>HYPERLINK("https://rhld.insurance.arkansas.gov/NPILookup?Npi=1447340005","1447340005")</f>
        <v>1447340005</v>
      </c>
      <c r="D539" s="36" t="s">
        <v>33180</v>
      </c>
      <c r="E539" s="36" t="s">
        <v>2</v>
      </c>
      <c r="F539" s="36">
        <v>1</v>
      </c>
      <c r="G539" s="36">
        <v>2</v>
      </c>
      <c r="H539" s="36">
        <v>0</v>
      </c>
      <c r="I539" s="37">
        <v>0</v>
      </c>
      <c r="J539" s="36" t="s">
        <v>32679</v>
      </c>
      <c r="K539" s="36" t="s">
        <v>14330</v>
      </c>
      <c r="L539" s="36" t="s">
        <v>14330</v>
      </c>
      <c r="M539">
        <v>2</v>
      </c>
      <c r="N539" t="s">
        <v>14331</v>
      </c>
      <c r="O539" t="s">
        <v>32633</v>
      </c>
    </row>
    <row r="540" spans="1:15" x14ac:dyDescent="0.25">
      <c r="A540" s="35" t="s">
        <v>4202</v>
      </c>
      <c r="B540" s="36" t="s">
        <v>4203</v>
      </c>
      <c r="C540" s="36" t="str">
        <f>HYPERLINK("https://rhld.insurance.arkansas.gov/NPILookup?Npi=1447363833","1447363833")</f>
        <v>1447363833</v>
      </c>
      <c r="D540" s="36" t="s">
        <v>33181</v>
      </c>
      <c r="E540" s="36" t="s">
        <v>1</v>
      </c>
      <c r="F540" s="36">
        <v>1</v>
      </c>
      <c r="G540" s="36">
        <v>2</v>
      </c>
      <c r="H540" s="36">
        <v>0</v>
      </c>
      <c r="I540" s="37">
        <v>0</v>
      </c>
      <c r="J540" s="36" t="s">
        <v>32723</v>
      </c>
      <c r="K540" s="36" t="s">
        <v>14330</v>
      </c>
      <c r="L540" s="36" t="s">
        <v>14330</v>
      </c>
      <c r="M540">
        <v>2</v>
      </c>
      <c r="N540" t="s">
        <v>14331</v>
      </c>
      <c r="O540" t="s">
        <v>32724</v>
      </c>
    </row>
    <row r="541" spans="1:15" x14ac:dyDescent="0.25">
      <c r="A541" s="35" t="s">
        <v>4202</v>
      </c>
      <c r="B541" s="36" t="s">
        <v>4203</v>
      </c>
      <c r="C541" s="36" t="str">
        <f>HYPERLINK("https://rhld.insurance.arkansas.gov/NPILookup?Npi=1447579073","1447579073")</f>
        <v>1447579073</v>
      </c>
      <c r="D541" s="36" t="s">
        <v>33182</v>
      </c>
      <c r="E541" s="36" t="s">
        <v>1</v>
      </c>
      <c r="F541" s="36">
        <v>1</v>
      </c>
      <c r="G541" s="36">
        <v>2</v>
      </c>
      <c r="H541" s="36">
        <v>0</v>
      </c>
      <c r="I541" s="37">
        <v>0</v>
      </c>
      <c r="J541" s="36" t="s">
        <v>32654</v>
      </c>
      <c r="K541" s="36" t="s">
        <v>14330</v>
      </c>
      <c r="L541" s="36" t="s">
        <v>14330</v>
      </c>
      <c r="M541">
        <v>3</v>
      </c>
      <c r="N541" t="s">
        <v>14331</v>
      </c>
      <c r="O541" t="s">
        <v>32633</v>
      </c>
    </row>
    <row r="542" spans="1:15" x14ac:dyDescent="0.25">
      <c r="A542" s="35" t="s">
        <v>4202</v>
      </c>
      <c r="B542" s="36" t="s">
        <v>4203</v>
      </c>
      <c r="C542" s="36" t="str">
        <f>HYPERLINK("https://rhld.insurance.arkansas.gov/NPILookup?Npi=1447791645","1447791645")</f>
        <v>1447791645</v>
      </c>
      <c r="D542" s="36" t="s">
        <v>33183</v>
      </c>
      <c r="E542" s="36" t="s">
        <v>1</v>
      </c>
      <c r="F542" s="36">
        <v>1</v>
      </c>
      <c r="G542" s="36">
        <v>3</v>
      </c>
      <c r="H542" s="36">
        <v>0</v>
      </c>
      <c r="I542" s="37">
        <v>0</v>
      </c>
      <c r="J542" s="36" t="s">
        <v>32723</v>
      </c>
      <c r="K542" s="36" t="s">
        <v>14330</v>
      </c>
      <c r="L542" s="36" t="s">
        <v>14330</v>
      </c>
      <c r="M542">
        <v>2</v>
      </c>
      <c r="N542" t="s">
        <v>14331</v>
      </c>
      <c r="O542" t="s">
        <v>32724</v>
      </c>
    </row>
    <row r="543" spans="1:15" x14ac:dyDescent="0.25">
      <c r="A543" s="35" t="s">
        <v>4202</v>
      </c>
      <c r="B543" s="36" t="s">
        <v>4203</v>
      </c>
      <c r="C543" s="36" t="str">
        <f>HYPERLINK("https://rhld.insurance.arkansas.gov/NPILookup?Npi=1457413858","1457413858")</f>
        <v>1457413858</v>
      </c>
      <c r="D543" s="36" t="s">
        <v>33184</v>
      </c>
      <c r="E543" s="36" t="s">
        <v>1</v>
      </c>
      <c r="F543" s="36">
        <v>1</v>
      </c>
      <c r="G543" s="36">
        <v>2</v>
      </c>
      <c r="H543" s="36">
        <v>0</v>
      </c>
      <c r="I543" s="37">
        <v>0</v>
      </c>
      <c r="J543" s="36" t="s">
        <v>32723</v>
      </c>
      <c r="K543" s="36" t="s">
        <v>14330</v>
      </c>
      <c r="L543" s="36" t="s">
        <v>14330</v>
      </c>
      <c r="M543">
        <v>2</v>
      </c>
      <c r="N543" t="s">
        <v>14331</v>
      </c>
      <c r="O543" t="s">
        <v>32724</v>
      </c>
    </row>
    <row r="544" spans="1:15" x14ac:dyDescent="0.25">
      <c r="A544" s="35" t="s">
        <v>4202</v>
      </c>
      <c r="B544" s="36" t="s">
        <v>4203</v>
      </c>
      <c r="C544" s="36" t="str">
        <f>HYPERLINK("https://rhld.insurance.arkansas.gov/NPILookup?Npi=1457555294","1457555294")</f>
        <v>1457555294</v>
      </c>
      <c r="D544" s="36" t="s">
        <v>33185</v>
      </c>
      <c r="E544" s="36" t="s">
        <v>1</v>
      </c>
      <c r="F544" s="36">
        <v>1</v>
      </c>
      <c r="G544" s="36">
        <v>2</v>
      </c>
      <c r="H544" s="36">
        <v>0</v>
      </c>
      <c r="I544" s="37">
        <v>0</v>
      </c>
      <c r="J544" s="36" t="s">
        <v>32723</v>
      </c>
      <c r="K544" s="36" t="s">
        <v>14330</v>
      </c>
      <c r="L544" s="36" t="s">
        <v>14330</v>
      </c>
      <c r="M544">
        <v>3</v>
      </c>
      <c r="N544" t="s">
        <v>14331</v>
      </c>
      <c r="O544" t="s">
        <v>32724</v>
      </c>
    </row>
    <row r="545" spans="1:15" x14ac:dyDescent="0.25">
      <c r="A545" s="35" t="s">
        <v>4202</v>
      </c>
      <c r="B545" s="36" t="s">
        <v>4203</v>
      </c>
      <c r="C545" s="36" t="str">
        <f>HYPERLINK("https://rhld.insurance.arkansas.gov/NPILookup?Npi=1457585739","1457585739")</f>
        <v>1457585739</v>
      </c>
      <c r="D545" s="36" t="s">
        <v>33186</v>
      </c>
      <c r="E545" s="36" t="s">
        <v>1</v>
      </c>
      <c r="F545" s="36">
        <v>1</v>
      </c>
      <c r="G545" s="36">
        <v>3</v>
      </c>
      <c r="H545" s="36">
        <v>0</v>
      </c>
      <c r="I545" s="37">
        <v>0</v>
      </c>
      <c r="J545" s="36" t="s">
        <v>32654</v>
      </c>
      <c r="K545" s="36" t="s">
        <v>14330</v>
      </c>
      <c r="L545" s="36" t="s">
        <v>14330</v>
      </c>
      <c r="M545">
        <v>2</v>
      </c>
      <c r="N545" t="s">
        <v>14331</v>
      </c>
      <c r="O545" t="s">
        <v>32633</v>
      </c>
    </row>
    <row r="546" spans="1:15" x14ac:dyDescent="0.25">
      <c r="A546" s="35" t="s">
        <v>4202</v>
      </c>
      <c r="B546" s="36" t="s">
        <v>4203</v>
      </c>
      <c r="C546" s="36" t="str">
        <f>HYPERLINK("https://rhld.insurance.arkansas.gov/NPILookup?Npi=1457645830","1457645830")</f>
        <v>1457645830</v>
      </c>
      <c r="D546" s="36" t="s">
        <v>33187</v>
      </c>
      <c r="E546" s="36" t="s">
        <v>1</v>
      </c>
      <c r="F546" s="36">
        <v>1</v>
      </c>
      <c r="G546" s="36">
        <v>2</v>
      </c>
      <c r="H546" s="36">
        <v>0</v>
      </c>
      <c r="I546" s="37">
        <v>0</v>
      </c>
      <c r="J546" s="36" t="s">
        <v>32654</v>
      </c>
      <c r="K546" s="36" t="s">
        <v>14330</v>
      </c>
      <c r="L546" s="36" t="s">
        <v>14330</v>
      </c>
      <c r="M546">
        <v>3</v>
      </c>
      <c r="N546" t="s">
        <v>14331</v>
      </c>
      <c r="O546" t="s">
        <v>32633</v>
      </c>
    </row>
    <row r="547" spans="1:15" x14ac:dyDescent="0.25">
      <c r="A547" s="35" t="s">
        <v>4202</v>
      </c>
      <c r="B547" s="36" t="s">
        <v>4203</v>
      </c>
      <c r="C547" s="36" t="str">
        <f>HYPERLINK("https://rhld.insurance.arkansas.gov/NPILookup?Npi=1457716813","1457716813")</f>
        <v>1457716813</v>
      </c>
      <c r="D547" s="36" t="s">
        <v>33188</v>
      </c>
      <c r="E547" s="36" t="s">
        <v>1</v>
      </c>
      <c r="F547" s="36">
        <v>1</v>
      </c>
      <c r="G547" s="36">
        <v>3</v>
      </c>
      <c r="H547" s="36">
        <v>0</v>
      </c>
      <c r="I547" s="37">
        <v>0</v>
      </c>
      <c r="J547" s="36" t="s">
        <v>32654</v>
      </c>
      <c r="K547" s="36" t="s">
        <v>14330</v>
      </c>
      <c r="L547" s="36" t="s">
        <v>14330</v>
      </c>
      <c r="M547">
        <v>3</v>
      </c>
      <c r="N547" t="s">
        <v>14331</v>
      </c>
      <c r="O547" t="s">
        <v>32633</v>
      </c>
    </row>
    <row r="548" spans="1:15" x14ac:dyDescent="0.25">
      <c r="A548" s="35" t="s">
        <v>4202</v>
      </c>
      <c r="B548" s="36" t="s">
        <v>4203</v>
      </c>
      <c r="C548" s="36" t="str">
        <f>HYPERLINK("https://rhld.insurance.arkansas.gov/NPILookup?Npi=1467436758","1467436758")</f>
        <v>1467436758</v>
      </c>
      <c r="D548" s="36" t="s">
        <v>33189</v>
      </c>
      <c r="E548" s="36" t="s">
        <v>1</v>
      </c>
      <c r="F548" s="36">
        <v>1</v>
      </c>
      <c r="G548" s="36">
        <v>3</v>
      </c>
      <c r="H548" s="36">
        <v>0</v>
      </c>
      <c r="I548" s="37">
        <v>0</v>
      </c>
      <c r="J548" s="36" t="s">
        <v>32654</v>
      </c>
      <c r="K548" s="36" t="s">
        <v>14330</v>
      </c>
      <c r="L548" s="36" t="s">
        <v>14330</v>
      </c>
      <c r="M548">
        <v>2</v>
      </c>
      <c r="N548" t="s">
        <v>14331</v>
      </c>
      <c r="O548" t="s">
        <v>32633</v>
      </c>
    </row>
    <row r="549" spans="1:15" x14ac:dyDescent="0.25">
      <c r="A549" s="35" t="s">
        <v>4202</v>
      </c>
      <c r="B549" s="36" t="s">
        <v>4203</v>
      </c>
      <c r="C549" s="36" t="str">
        <f>HYPERLINK("https://rhld.insurance.arkansas.gov/NPILookup?Npi=1467488791","1467488791")</f>
        <v>1467488791</v>
      </c>
      <c r="D549" s="36" t="s">
        <v>33190</v>
      </c>
      <c r="E549" s="36" t="s">
        <v>1</v>
      </c>
      <c r="F549" s="36">
        <v>1</v>
      </c>
      <c r="G549" s="36">
        <v>2</v>
      </c>
      <c r="H549" s="36">
        <v>0</v>
      </c>
      <c r="I549" s="37">
        <v>0</v>
      </c>
      <c r="J549" s="36" t="s">
        <v>32654</v>
      </c>
      <c r="K549" s="36" t="s">
        <v>14330</v>
      </c>
      <c r="L549" s="36" t="s">
        <v>14330</v>
      </c>
      <c r="M549">
        <v>2</v>
      </c>
      <c r="N549" t="s">
        <v>14331</v>
      </c>
      <c r="O549" t="s">
        <v>32633</v>
      </c>
    </row>
    <row r="550" spans="1:15" x14ac:dyDescent="0.25">
      <c r="A550" s="35" t="s">
        <v>4202</v>
      </c>
      <c r="B550" s="36" t="s">
        <v>4203</v>
      </c>
      <c r="C550" s="36" t="str">
        <f>HYPERLINK("https://rhld.insurance.arkansas.gov/NPILookup?Npi=1467498154","1467498154")</f>
        <v>1467498154</v>
      </c>
      <c r="D550" s="36" t="s">
        <v>33191</v>
      </c>
      <c r="E550" s="36" t="s">
        <v>1</v>
      </c>
      <c r="F550" s="36">
        <v>1</v>
      </c>
      <c r="G550" s="36">
        <v>2</v>
      </c>
      <c r="H550" s="36">
        <v>0</v>
      </c>
      <c r="I550" s="37">
        <v>0</v>
      </c>
      <c r="J550" s="36" t="s">
        <v>32723</v>
      </c>
      <c r="K550" s="36" t="s">
        <v>14330</v>
      </c>
      <c r="L550" s="36" t="s">
        <v>14330</v>
      </c>
      <c r="M550">
        <v>3</v>
      </c>
      <c r="N550" t="s">
        <v>14331</v>
      </c>
      <c r="O550" t="s">
        <v>32724</v>
      </c>
    </row>
    <row r="551" spans="1:15" x14ac:dyDescent="0.25">
      <c r="A551" s="35" t="s">
        <v>4202</v>
      </c>
      <c r="B551" s="36" t="s">
        <v>4203</v>
      </c>
      <c r="C551" s="36" t="str">
        <f>HYPERLINK("https://rhld.insurance.arkansas.gov/NPILookup?Npi=1467715656","1467715656")</f>
        <v>1467715656</v>
      </c>
      <c r="D551" s="36" t="s">
        <v>33192</v>
      </c>
      <c r="E551" s="36" t="s">
        <v>1</v>
      </c>
      <c r="F551" s="36">
        <v>1</v>
      </c>
      <c r="G551" s="36">
        <v>3</v>
      </c>
      <c r="H551" s="36">
        <v>0</v>
      </c>
      <c r="I551" s="37">
        <v>0</v>
      </c>
      <c r="J551" s="36" t="s">
        <v>32654</v>
      </c>
      <c r="K551" s="36" t="s">
        <v>14330</v>
      </c>
      <c r="L551" s="36" t="s">
        <v>14330</v>
      </c>
      <c r="M551">
        <v>2</v>
      </c>
      <c r="N551" t="s">
        <v>14331</v>
      </c>
      <c r="O551" t="s">
        <v>32633</v>
      </c>
    </row>
    <row r="552" spans="1:15" x14ac:dyDescent="0.25">
      <c r="A552" s="35" t="s">
        <v>4202</v>
      </c>
      <c r="B552" s="36" t="s">
        <v>4203</v>
      </c>
      <c r="C552" s="36" t="str">
        <f>HYPERLINK("https://rhld.insurance.arkansas.gov/NPILookup?Npi=1477085728","1477085728")</f>
        <v>1477085728</v>
      </c>
      <c r="D552" s="36" t="s">
        <v>33193</v>
      </c>
      <c r="E552" s="36" t="s">
        <v>1</v>
      </c>
      <c r="F552" s="36">
        <v>1</v>
      </c>
      <c r="G552" s="36">
        <v>2</v>
      </c>
      <c r="H552" s="36">
        <v>0</v>
      </c>
      <c r="I552" s="37">
        <v>0</v>
      </c>
      <c r="J552" s="36" t="s">
        <v>32654</v>
      </c>
      <c r="K552" s="36" t="s">
        <v>14330</v>
      </c>
      <c r="L552" s="36" t="s">
        <v>14330</v>
      </c>
      <c r="M552">
        <v>3</v>
      </c>
      <c r="N552" t="s">
        <v>14331</v>
      </c>
      <c r="O552" t="s">
        <v>32633</v>
      </c>
    </row>
    <row r="553" spans="1:15" x14ac:dyDescent="0.25">
      <c r="A553" s="35" t="s">
        <v>4202</v>
      </c>
      <c r="B553" s="36" t="s">
        <v>4203</v>
      </c>
      <c r="C553" s="36" t="str">
        <f>HYPERLINK("https://rhld.insurance.arkansas.gov/NPILookup?Npi=1477660637","1477660637")</f>
        <v>1477660637</v>
      </c>
      <c r="D553" s="36" t="s">
        <v>33194</v>
      </c>
      <c r="E553" s="36" t="s">
        <v>1</v>
      </c>
      <c r="F553" s="36">
        <v>1</v>
      </c>
      <c r="G553" s="36">
        <v>3</v>
      </c>
      <c r="H553" s="36">
        <v>0</v>
      </c>
      <c r="I553" s="37">
        <v>0</v>
      </c>
      <c r="J553" s="36" t="s">
        <v>32654</v>
      </c>
      <c r="K553" s="36" t="s">
        <v>14330</v>
      </c>
      <c r="L553" s="36" t="s">
        <v>14330</v>
      </c>
      <c r="M553">
        <v>2</v>
      </c>
      <c r="N553" t="s">
        <v>14331</v>
      </c>
      <c r="O553" t="s">
        <v>32633</v>
      </c>
    </row>
    <row r="554" spans="1:15" x14ac:dyDescent="0.25">
      <c r="A554" s="35" t="s">
        <v>4202</v>
      </c>
      <c r="B554" s="36" t="s">
        <v>4203</v>
      </c>
      <c r="C554" s="36" t="str">
        <f>HYPERLINK("https://rhld.insurance.arkansas.gov/NPILookup?Npi=1477738342","1477738342")</f>
        <v>1477738342</v>
      </c>
      <c r="D554" s="36" t="s">
        <v>33195</v>
      </c>
      <c r="E554" s="36" t="s">
        <v>1</v>
      </c>
      <c r="F554" s="36">
        <v>1</v>
      </c>
      <c r="G554" s="36">
        <v>2</v>
      </c>
      <c r="H554" s="36">
        <v>0</v>
      </c>
      <c r="I554" s="37">
        <v>0</v>
      </c>
      <c r="J554" s="36" t="s">
        <v>32654</v>
      </c>
      <c r="K554" s="36" t="s">
        <v>14330</v>
      </c>
      <c r="L554" s="36" t="s">
        <v>14330</v>
      </c>
      <c r="M554">
        <v>2</v>
      </c>
      <c r="N554" t="s">
        <v>14331</v>
      </c>
      <c r="O554" t="s">
        <v>32633</v>
      </c>
    </row>
    <row r="555" spans="1:15" x14ac:dyDescent="0.25">
      <c r="A555" s="35" t="s">
        <v>4202</v>
      </c>
      <c r="B555" s="36" t="s">
        <v>4203</v>
      </c>
      <c r="C555" s="36" t="str">
        <f>HYPERLINK("https://rhld.insurance.arkansas.gov/NPILookup?Npi=1477915593","1477915593")</f>
        <v>1477915593</v>
      </c>
      <c r="D555" s="36" t="s">
        <v>33196</v>
      </c>
      <c r="E555" s="36" t="s">
        <v>1</v>
      </c>
      <c r="F555" s="36">
        <v>1</v>
      </c>
      <c r="G555" s="36">
        <v>2</v>
      </c>
      <c r="H555" s="36">
        <v>0</v>
      </c>
      <c r="I555" s="37">
        <v>0</v>
      </c>
      <c r="J555" s="36" t="s">
        <v>32654</v>
      </c>
      <c r="K555" s="36" t="s">
        <v>14330</v>
      </c>
      <c r="L555" s="36" t="s">
        <v>14330</v>
      </c>
      <c r="M555">
        <v>2</v>
      </c>
      <c r="N555" t="s">
        <v>14331</v>
      </c>
      <c r="O555" t="s">
        <v>32633</v>
      </c>
    </row>
    <row r="556" spans="1:15" x14ac:dyDescent="0.25">
      <c r="A556" s="35" t="s">
        <v>4202</v>
      </c>
      <c r="B556" s="36" t="s">
        <v>4203</v>
      </c>
      <c r="C556" s="36" t="str">
        <f>HYPERLINK("https://rhld.insurance.arkansas.gov/NPILookup?Npi=1487114997","1487114997")</f>
        <v>1487114997</v>
      </c>
      <c r="D556" s="36" t="s">
        <v>33197</v>
      </c>
      <c r="E556" s="36" t="s">
        <v>1</v>
      </c>
      <c r="F556" s="36">
        <v>1</v>
      </c>
      <c r="G556" s="36">
        <v>2</v>
      </c>
      <c r="H556" s="36">
        <v>0</v>
      </c>
      <c r="I556" s="37">
        <v>0</v>
      </c>
      <c r="J556" s="36" t="s">
        <v>32723</v>
      </c>
      <c r="K556" s="36" t="s">
        <v>14330</v>
      </c>
      <c r="L556" s="36" t="s">
        <v>14330</v>
      </c>
      <c r="M556">
        <v>2</v>
      </c>
      <c r="N556" t="s">
        <v>14331</v>
      </c>
      <c r="O556" t="s">
        <v>32724</v>
      </c>
    </row>
    <row r="557" spans="1:15" x14ac:dyDescent="0.25">
      <c r="A557" s="35" t="s">
        <v>4202</v>
      </c>
      <c r="B557" s="36" t="s">
        <v>4203</v>
      </c>
      <c r="C557" s="36" t="str">
        <f>HYPERLINK("https://rhld.insurance.arkansas.gov/NPILookup?Npi=1487815387","1487815387")</f>
        <v>1487815387</v>
      </c>
      <c r="D557" s="36" t="s">
        <v>33198</v>
      </c>
      <c r="E557" s="36" t="s">
        <v>1</v>
      </c>
      <c r="F557" s="36">
        <v>1</v>
      </c>
      <c r="G557" s="36">
        <v>2</v>
      </c>
      <c r="H557" s="36">
        <v>0</v>
      </c>
      <c r="I557" s="37">
        <v>0</v>
      </c>
      <c r="J557" s="36" t="s">
        <v>32654</v>
      </c>
      <c r="K557" s="36" t="s">
        <v>14330</v>
      </c>
      <c r="L557" s="36" t="s">
        <v>14330</v>
      </c>
      <c r="M557">
        <v>3</v>
      </c>
      <c r="N557" t="s">
        <v>14331</v>
      </c>
      <c r="O557" t="s">
        <v>32633</v>
      </c>
    </row>
    <row r="558" spans="1:15" x14ac:dyDescent="0.25">
      <c r="A558" s="35" t="s">
        <v>4202</v>
      </c>
      <c r="B558" s="36" t="s">
        <v>4203</v>
      </c>
      <c r="C558" s="36" t="str">
        <f>HYPERLINK("https://rhld.insurance.arkansas.gov/NPILookup?Npi=1487850053","1487850053")</f>
        <v>1487850053</v>
      </c>
      <c r="D558" s="36" t="s">
        <v>33199</v>
      </c>
      <c r="E558" s="36" t="s">
        <v>1</v>
      </c>
      <c r="F558" s="36">
        <v>1</v>
      </c>
      <c r="G558" s="36">
        <v>3</v>
      </c>
      <c r="H558" s="36">
        <v>0</v>
      </c>
      <c r="I558" s="37">
        <v>0</v>
      </c>
      <c r="J558" s="36" t="s">
        <v>32654</v>
      </c>
      <c r="K558" s="36" t="s">
        <v>14330</v>
      </c>
      <c r="L558" s="36" t="s">
        <v>14330</v>
      </c>
      <c r="M558">
        <v>3</v>
      </c>
      <c r="N558" t="s">
        <v>14331</v>
      </c>
      <c r="O558" t="s">
        <v>32633</v>
      </c>
    </row>
    <row r="559" spans="1:15" x14ac:dyDescent="0.25">
      <c r="A559" s="35" t="s">
        <v>4202</v>
      </c>
      <c r="B559" s="36" t="s">
        <v>4203</v>
      </c>
      <c r="C559" s="36" t="str">
        <f>HYPERLINK("https://rhld.insurance.arkansas.gov/NPILookup?Npi=1487881892","1487881892")</f>
        <v>1487881892</v>
      </c>
      <c r="D559" s="36" t="s">
        <v>33200</v>
      </c>
      <c r="E559" s="36" t="s">
        <v>1</v>
      </c>
      <c r="F559" s="36">
        <v>1</v>
      </c>
      <c r="G559" s="36">
        <v>3</v>
      </c>
      <c r="H559" s="36">
        <v>0</v>
      </c>
      <c r="I559" s="37">
        <v>0</v>
      </c>
      <c r="J559" s="36" t="s">
        <v>32654</v>
      </c>
      <c r="K559" s="36" t="s">
        <v>14330</v>
      </c>
      <c r="L559" s="36" t="s">
        <v>14330</v>
      </c>
      <c r="M559">
        <v>2</v>
      </c>
      <c r="N559" t="s">
        <v>14331</v>
      </c>
      <c r="O559" t="s">
        <v>32633</v>
      </c>
    </row>
    <row r="560" spans="1:15" x14ac:dyDescent="0.25">
      <c r="A560" s="35" t="s">
        <v>4202</v>
      </c>
      <c r="B560" s="36" t="s">
        <v>4203</v>
      </c>
      <c r="C560" s="36" t="str">
        <f>HYPERLINK("https://rhld.insurance.arkansas.gov/NPILookup?Npi=1487897401","1487897401")</f>
        <v>1487897401</v>
      </c>
      <c r="D560" s="36" t="s">
        <v>33201</v>
      </c>
      <c r="E560" s="36" t="s">
        <v>1</v>
      </c>
      <c r="F560" s="36">
        <v>1</v>
      </c>
      <c r="G560" s="36">
        <v>2</v>
      </c>
      <c r="H560" s="36">
        <v>0</v>
      </c>
      <c r="I560" s="37">
        <v>0</v>
      </c>
      <c r="J560" s="36" t="s">
        <v>32654</v>
      </c>
      <c r="K560" s="36" t="s">
        <v>14330</v>
      </c>
      <c r="L560" s="36" t="s">
        <v>14330</v>
      </c>
      <c r="M560">
        <v>3</v>
      </c>
      <c r="N560" t="s">
        <v>14331</v>
      </c>
      <c r="O560" t="s">
        <v>32633</v>
      </c>
    </row>
    <row r="561" spans="1:15" x14ac:dyDescent="0.25">
      <c r="A561" s="35" t="s">
        <v>4202</v>
      </c>
      <c r="B561" s="36" t="s">
        <v>4203</v>
      </c>
      <c r="C561" s="36" t="str">
        <f>HYPERLINK("https://rhld.insurance.arkansas.gov/NPILookup?Npi=1487917811","1487917811")</f>
        <v>1487917811</v>
      </c>
      <c r="D561" s="36" t="s">
        <v>33202</v>
      </c>
      <c r="E561" s="36" t="s">
        <v>1</v>
      </c>
      <c r="F561" s="36">
        <v>1</v>
      </c>
      <c r="G561" s="36">
        <v>3</v>
      </c>
      <c r="H561" s="36">
        <v>0</v>
      </c>
      <c r="I561" s="37">
        <v>0</v>
      </c>
      <c r="J561" s="36" t="s">
        <v>32654</v>
      </c>
      <c r="K561" s="36" t="s">
        <v>14330</v>
      </c>
      <c r="L561" s="36" t="s">
        <v>14330</v>
      </c>
      <c r="M561">
        <v>3</v>
      </c>
      <c r="N561" t="s">
        <v>14331</v>
      </c>
      <c r="O561" t="s">
        <v>32633</v>
      </c>
    </row>
    <row r="562" spans="1:15" x14ac:dyDescent="0.25">
      <c r="A562" s="35" t="s">
        <v>4202</v>
      </c>
      <c r="B562" s="36" t="s">
        <v>4203</v>
      </c>
      <c r="C562" s="36" t="str">
        <f>HYPERLINK("https://rhld.insurance.arkansas.gov/NPILookup?Npi=1497046015","1497046015")</f>
        <v>1497046015</v>
      </c>
      <c r="D562" s="36" t="s">
        <v>33203</v>
      </c>
      <c r="E562" s="36" t="s">
        <v>1</v>
      </c>
      <c r="F562" s="36">
        <v>1</v>
      </c>
      <c r="G562" s="36">
        <v>3</v>
      </c>
      <c r="H562" s="36">
        <v>0</v>
      </c>
      <c r="I562" s="37">
        <v>0</v>
      </c>
      <c r="J562" s="36" t="s">
        <v>32654</v>
      </c>
      <c r="K562" s="36" t="s">
        <v>14330</v>
      </c>
      <c r="L562" s="36" t="s">
        <v>14330</v>
      </c>
      <c r="M562">
        <v>3</v>
      </c>
      <c r="N562" t="s">
        <v>14331</v>
      </c>
      <c r="O562" t="s">
        <v>32633</v>
      </c>
    </row>
    <row r="563" spans="1:15" x14ac:dyDescent="0.25">
      <c r="A563" s="35" t="s">
        <v>4202</v>
      </c>
      <c r="B563" s="36" t="s">
        <v>4203</v>
      </c>
      <c r="C563" s="36" t="str">
        <f>HYPERLINK("https://rhld.insurance.arkansas.gov/NPILookup?Npi=1497263222","1497263222")</f>
        <v>1497263222</v>
      </c>
      <c r="D563" s="36" t="s">
        <v>33204</v>
      </c>
      <c r="E563" s="36" t="s">
        <v>1</v>
      </c>
      <c r="F563" s="36">
        <v>1</v>
      </c>
      <c r="G563" s="36">
        <v>3</v>
      </c>
      <c r="H563" s="36">
        <v>0</v>
      </c>
      <c r="I563" s="37">
        <v>0</v>
      </c>
      <c r="J563" s="36" t="s">
        <v>32654</v>
      </c>
      <c r="K563" s="36" t="s">
        <v>14330</v>
      </c>
      <c r="L563" s="36" t="s">
        <v>14330</v>
      </c>
      <c r="M563">
        <v>2</v>
      </c>
      <c r="N563" t="s">
        <v>14331</v>
      </c>
      <c r="O563" t="s">
        <v>32633</v>
      </c>
    </row>
    <row r="564" spans="1:15" x14ac:dyDescent="0.25">
      <c r="A564" s="35" t="s">
        <v>4202</v>
      </c>
      <c r="B564" s="36" t="s">
        <v>4203</v>
      </c>
      <c r="C564" s="36" t="str">
        <f>HYPERLINK("https://rhld.insurance.arkansas.gov/NPILookup?Npi=1497336770","1497336770")</f>
        <v>1497336770</v>
      </c>
      <c r="D564" s="36" t="s">
        <v>33205</v>
      </c>
      <c r="E564" s="36" t="s">
        <v>1</v>
      </c>
      <c r="F564" s="36">
        <v>1</v>
      </c>
      <c r="G564" s="36">
        <v>2</v>
      </c>
      <c r="H564" s="36">
        <v>0</v>
      </c>
      <c r="I564" s="37">
        <v>0</v>
      </c>
      <c r="J564" s="36" t="s">
        <v>32654</v>
      </c>
      <c r="K564" s="36" t="s">
        <v>14330</v>
      </c>
      <c r="L564" s="36" t="s">
        <v>14330</v>
      </c>
      <c r="M564">
        <v>2</v>
      </c>
      <c r="N564" t="s">
        <v>14331</v>
      </c>
      <c r="O564" t="s">
        <v>32633</v>
      </c>
    </row>
    <row r="565" spans="1:15" x14ac:dyDescent="0.25">
      <c r="A565" s="35" t="s">
        <v>4202</v>
      </c>
      <c r="B565" s="36" t="s">
        <v>4203</v>
      </c>
      <c r="C565" s="36" t="str">
        <f>HYPERLINK("https://rhld.insurance.arkansas.gov/NPILookup?Npi=1497745830","1497745830")</f>
        <v>1497745830</v>
      </c>
      <c r="D565" s="36" t="s">
        <v>33206</v>
      </c>
      <c r="E565" s="36" t="s">
        <v>1</v>
      </c>
      <c r="F565" s="36">
        <v>1</v>
      </c>
      <c r="G565" s="36">
        <v>2</v>
      </c>
      <c r="H565" s="36">
        <v>0</v>
      </c>
      <c r="I565" s="37">
        <v>0</v>
      </c>
      <c r="J565" s="36" t="s">
        <v>32654</v>
      </c>
      <c r="K565" s="36" t="s">
        <v>14330</v>
      </c>
      <c r="L565" s="36" t="s">
        <v>14330</v>
      </c>
      <c r="M565">
        <v>4</v>
      </c>
      <c r="N565" t="s">
        <v>14331</v>
      </c>
      <c r="O565" t="s">
        <v>32633</v>
      </c>
    </row>
    <row r="566" spans="1:15" x14ac:dyDescent="0.25">
      <c r="A566" s="35" t="s">
        <v>4202</v>
      </c>
      <c r="B566" s="36" t="s">
        <v>4203</v>
      </c>
      <c r="C566" s="36" t="str">
        <f>HYPERLINK("https://rhld.insurance.arkansas.gov/NPILookup?Npi=1497781298","1497781298")</f>
        <v>1497781298</v>
      </c>
      <c r="D566" s="36" t="s">
        <v>33207</v>
      </c>
      <c r="E566" s="36" t="s">
        <v>1</v>
      </c>
      <c r="F566" s="36">
        <v>1</v>
      </c>
      <c r="G566" s="36">
        <v>4</v>
      </c>
      <c r="H566" s="36">
        <v>0</v>
      </c>
      <c r="I566" s="37">
        <v>0</v>
      </c>
      <c r="J566" s="36" t="s">
        <v>32654</v>
      </c>
      <c r="K566" s="36" t="s">
        <v>14330</v>
      </c>
      <c r="L566" s="36" t="s">
        <v>14330</v>
      </c>
      <c r="M566">
        <v>3</v>
      </c>
      <c r="N566" t="s">
        <v>14331</v>
      </c>
      <c r="O566" t="s">
        <v>32633</v>
      </c>
    </row>
    <row r="567" spans="1:15" x14ac:dyDescent="0.25">
      <c r="A567" s="35" t="s">
        <v>4202</v>
      </c>
      <c r="B567" s="36" t="s">
        <v>4203</v>
      </c>
      <c r="C567" s="36" t="str">
        <f>HYPERLINK("https://rhld.insurance.arkansas.gov/NPILookup?Npi=1497833610","1497833610")</f>
        <v>1497833610</v>
      </c>
      <c r="D567" s="36" t="s">
        <v>33208</v>
      </c>
      <c r="E567" s="36" t="s">
        <v>1</v>
      </c>
      <c r="F567" s="36">
        <v>1</v>
      </c>
      <c r="G567" s="36">
        <v>3</v>
      </c>
      <c r="H567" s="36">
        <v>0</v>
      </c>
      <c r="I567" s="37">
        <v>0</v>
      </c>
      <c r="J567" s="36" t="s">
        <v>32654</v>
      </c>
      <c r="K567" s="36" t="s">
        <v>14330</v>
      </c>
      <c r="L567" s="36" t="s">
        <v>14330</v>
      </c>
      <c r="M567">
        <v>3</v>
      </c>
      <c r="N567" t="s">
        <v>14331</v>
      </c>
      <c r="O567" t="s">
        <v>32633</v>
      </c>
    </row>
    <row r="568" spans="1:15" x14ac:dyDescent="0.25">
      <c r="A568" s="35" t="s">
        <v>4202</v>
      </c>
      <c r="B568" s="36" t="s">
        <v>4203</v>
      </c>
      <c r="C568" s="36" t="str">
        <f>HYPERLINK("https://rhld.insurance.arkansas.gov/NPILookup?Npi=1497866149","1497866149")</f>
        <v>1497866149</v>
      </c>
      <c r="D568" s="36" t="s">
        <v>33209</v>
      </c>
      <c r="E568" s="36" t="s">
        <v>1</v>
      </c>
      <c r="F568" s="36">
        <v>1</v>
      </c>
      <c r="G568" s="36">
        <v>3</v>
      </c>
      <c r="H568" s="36">
        <v>0</v>
      </c>
      <c r="I568" s="37">
        <v>0</v>
      </c>
      <c r="J568" s="36" t="s">
        <v>32654</v>
      </c>
      <c r="K568" s="36" t="s">
        <v>14330</v>
      </c>
      <c r="L568" s="36" t="s">
        <v>14330</v>
      </c>
      <c r="M568">
        <v>3</v>
      </c>
      <c r="N568" t="s">
        <v>14331</v>
      </c>
      <c r="O568" t="s">
        <v>32633</v>
      </c>
    </row>
    <row r="569" spans="1:15" x14ac:dyDescent="0.25">
      <c r="A569" s="35" t="s">
        <v>4202</v>
      </c>
      <c r="B569" s="36" t="s">
        <v>4203</v>
      </c>
      <c r="C569" s="36" t="str">
        <f>HYPERLINK("https://rhld.insurance.arkansas.gov/NPILookup?Npi=1508213984","1508213984")</f>
        <v>1508213984</v>
      </c>
      <c r="D569" s="36" t="s">
        <v>33210</v>
      </c>
      <c r="E569" s="36" t="s">
        <v>1</v>
      </c>
      <c r="F569" s="36">
        <v>1</v>
      </c>
      <c r="G569" s="36">
        <v>3</v>
      </c>
      <c r="H569" s="36">
        <v>0</v>
      </c>
      <c r="I569" s="37">
        <v>0</v>
      </c>
      <c r="J569" s="36" t="s">
        <v>32654</v>
      </c>
      <c r="K569" s="36" t="s">
        <v>14330</v>
      </c>
      <c r="L569" s="36" t="s">
        <v>14330</v>
      </c>
      <c r="M569">
        <v>3</v>
      </c>
      <c r="N569" t="s">
        <v>14331</v>
      </c>
      <c r="O569" t="s">
        <v>32633</v>
      </c>
    </row>
    <row r="570" spans="1:15" x14ac:dyDescent="0.25">
      <c r="A570" s="35" t="s">
        <v>4202</v>
      </c>
      <c r="B570" s="36" t="s">
        <v>4203</v>
      </c>
      <c r="C570" s="36" t="str">
        <f>HYPERLINK("https://rhld.insurance.arkansas.gov/NPILookup?Npi=1508800707","1508800707")</f>
        <v>1508800707</v>
      </c>
      <c r="D570" s="36" t="s">
        <v>33211</v>
      </c>
      <c r="E570" s="36" t="s">
        <v>1</v>
      </c>
      <c r="F570" s="36">
        <v>1</v>
      </c>
      <c r="G570" s="36">
        <v>3</v>
      </c>
      <c r="H570" s="36">
        <v>0</v>
      </c>
      <c r="I570" s="37">
        <v>0</v>
      </c>
      <c r="J570" s="36" t="s">
        <v>32654</v>
      </c>
      <c r="K570" s="36" t="s">
        <v>14330</v>
      </c>
      <c r="L570" s="36" t="s">
        <v>14330</v>
      </c>
      <c r="M570">
        <v>3</v>
      </c>
      <c r="N570" t="s">
        <v>14331</v>
      </c>
      <c r="O570" t="s">
        <v>32633</v>
      </c>
    </row>
    <row r="571" spans="1:15" x14ac:dyDescent="0.25">
      <c r="A571" s="35" t="s">
        <v>4202</v>
      </c>
      <c r="B571" s="36" t="s">
        <v>4203</v>
      </c>
      <c r="C571" s="36" t="str">
        <f>HYPERLINK("https://rhld.insurance.arkansas.gov/NPILookup?Npi=1508810375","1508810375")</f>
        <v>1508810375</v>
      </c>
      <c r="D571" s="36" t="s">
        <v>33212</v>
      </c>
      <c r="E571" s="36" t="s">
        <v>1</v>
      </c>
      <c r="F571" s="36">
        <v>1</v>
      </c>
      <c r="G571" s="36">
        <v>3</v>
      </c>
      <c r="H571" s="36">
        <v>0</v>
      </c>
      <c r="I571" s="37">
        <v>0</v>
      </c>
      <c r="J571" s="36" t="s">
        <v>32654</v>
      </c>
      <c r="K571" s="36" t="s">
        <v>14330</v>
      </c>
      <c r="L571" s="36" t="s">
        <v>14330</v>
      </c>
      <c r="M571">
        <v>2</v>
      </c>
      <c r="N571" t="s">
        <v>14331</v>
      </c>
      <c r="O571" t="s">
        <v>32633</v>
      </c>
    </row>
    <row r="572" spans="1:15" x14ac:dyDescent="0.25">
      <c r="A572" s="35" t="s">
        <v>4202</v>
      </c>
      <c r="B572" s="36" t="s">
        <v>4203</v>
      </c>
      <c r="C572" s="36" t="str">
        <f>HYPERLINK("https://rhld.insurance.arkansas.gov/NPILookup?Npi=1508814617","1508814617")</f>
        <v>1508814617</v>
      </c>
      <c r="D572" s="36" t="s">
        <v>33213</v>
      </c>
      <c r="E572" s="36" t="s">
        <v>1</v>
      </c>
      <c r="F572" s="36">
        <v>1</v>
      </c>
      <c r="G572" s="36">
        <v>2</v>
      </c>
      <c r="H572" s="36">
        <v>0</v>
      </c>
      <c r="I572" s="37">
        <v>0</v>
      </c>
      <c r="J572" s="36" t="s">
        <v>32654</v>
      </c>
      <c r="K572" s="36" t="s">
        <v>14330</v>
      </c>
      <c r="L572" s="36" t="s">
        <v>14330</v>
      </c>
      <c r="M572">
        <v>2</v>
      </c>
      <c r="N572" t="s">
        <v>14331</v>
      </c>
      <c r="O572" t="s">
        <v>32633</v>
      </c>
    </row>
    <row r="573" spans="1:15" x14ac:dyDescent="0.25">
      <c r="A573" s="35" t="s">
        <v>4202</v>
      </c>
      <c r="B573" s="36" t="s">
        <v>4203</v>
      </c>
      <c r="C573" s="36" t="str">
        <f>HYPERLINK("https://rhld.insurance.arkansas.gov/NPILookup?Npi=1508824871","1508824871")</f>
        <v>1508824871</v>
      </c>
      <c r="D573" s="36" t="s">
        <v>33214</v>
      </c>
      <c r="E573" s="36" t="s">
        <v>1</v>
      </c>
      <c r="F573" s="36">
        <v>1</v>
      </c>
      <c r="G573" s="36">
        <v>2</v>
      </c>
      <c r="H573" s="36">
        <v>0</v>
      </c>
      <c r="I573" s="37">
        <v>0</v>
      </c>
      <c r="J573" s="36" t="s">
        <v>32654</v>
      </c>
      <c r="K573" s="36" t="s">
        <v>14330</v>
      </c>
      <c r="L573" s="36" t="s">
        <v>14330</v>
      </c>
      <c r="M573">
        <v>4</v>
      </c>
      <c r="N573" t="s">
        <v>14331</v>
      </c>
      <c r="O573" t="s">
        <v>32633</v>
      </c>
    </row>
    <row r="574" spans="1:15" x14ac:dyDescent="0.25">
      <c r="A574" s="35" t="s">
        <v>4202</v>
      </c>
      <c r="B574" s="36" t="s">
        <v>4203</v>
      </c>
      <c r="C574" s="36" t="str">
        <f>HYPERLINK("https://rhld.insurance.arkansas.gov/NPILookup?Npi=1508827700","1508827700")</f>
        <v>1508827700</v>
      </c>
      <c r="D574" s="36" t="s">
        <v>33215</v>
      </c>
      <c r="E574" s="36" t="s">
        <v>1</v>
      </c>
      <c r="F574" s="36">
        <v>1</v>
      </c>
      <c r="G574" s="36">
        <v>4</v>
      </c>
      <c r="H574" s="36">
        <v>0</v>
      </c>
      <c r="I574" s="37">
        <v>0</v>
      </c>
      <c r="J574" s="36" t="s">
        <v>32654</v>
      </c>
      <c r="K574" s="36" t="s">
        <v>14330</v>
      </c>
      <c r="L574" s="36" t="s">
        <v>14330</v>
      </c>
      <c r="M574">
        <v>4</v>
      </c>
      <c r="N574" t="s">
        <v>14331</v>
      </c>
      <c r="O574" t="s">
        <v>32633</v>
      </c>
    </row>
    <row r="575" spans="1:15" x14ac:dyDescent="0.25">
      <c r="A575" s="35" t="s">
        <v>4202</v>
      </c>
      <c r="B575" s="36" t="s">
        <v>4203</v>
      </c>
      <c r="C575" s="36" t="str">
        <f>HYPERLINK("https://rhld.insurance.arkansas.gov/NPILookup?Npi=1508863267","1508863267")</f>
        <v>1508863267</v>
      </c>
      <c r="D575" s="36" t="s">
        <v>33216</v>
      </c>
      <c r="E575" s="36" t="s">
        <v>1</v>
      </c>
      <c r="F575" s="36">
        <v>2</v>
      </c>
      <c r="G575" s="36">
        <v>4</v>
      </c>
      <c r="H575" s="36">
        <v>0</v>
      </c>
      <c r="I575" s="37">
        <v>0</v>
      </c>
      <c r="J575" s="36" t="s">
        <v>33217</v>
      </c>
      <c r="K575" s="36" t="s">
        <v>33218</v>
      </c>
      <c r="L575" s="36" t="s">
        <v>14330</v>
      </c>
      <c r="M575">
        <v>2</v>
      </c>
      <c r="N575" t="s">
        <v>14331</v>
      </c>
      <c r="O575" t="s">
        <v>32633</v>
      </c>
    </row>
    <row r="576" spans="1:15" x14ac:dyDescent="0.25">
      <c r="A576" s="35" t="s">
        <v>4202</v>
      </c>
      <c r="B576" s="36" t="s">
        <v>4203</v>
      </c>
      <c r="C576" s="36" t="str">
        <f>HYPERLINK("https://rhld.insurance.arkansas.gov/NPILookup?Npi=1508990730","1508990730")</f>
        <v>1508990730</v>
      </c>
      <c r="D576" s="36" t="s">
        <v>33219</v>
      </c>
      <c r="E576" s="36" t="s">
        <v>1</v>
      </c>
      <c r="F576" s="36">
        <v>1</v>
      </c>
      <c r="G576" s="36">
        <v>2</v>
      </c>
      <c r="H576" s="36">
        <v>0</v>
      </c>
      <c r="I576" s="37">
        <v>0</v>
      </c>
      <c r="J576" s="36" t="s">
        <v>32654</v>
      </c>
      <c r="K576" s="36" t="s">
        <v>14330</v>
      </c>
      <c r="L576" s="36" t="s">
        <v>14330</v>
      </c>
      <c r="M576">
        <v>3</v>
      </c>
      <c r="N576" t="s">
        <v>14331</v>
      </c>
      <c r="O576" t="s">
        <v>32633</v>
      </c>
    </row>
    <row r="577" spans="1:15" x14ac:dyDescent="0.25">
      <c r="A577" s="35" t="s">
        <v>4202</v>
      </c>
      <c r="B577" s="36" t="s">
        <v>4203</v>
      </c>
      <c r="C577" s="36" t="str">
        <f>HYPERLINK("https://rhld.insurance.arkansas.gov/NPILookup?Npi=1518190370","1518190370")</f>
        <v>1518190370</v>
      </c>
      <c r="D577" s="36" t="s">
        <v>33220</v>
      </c>
      <c r="E577" s="36" t="s">
        <v>1</v>
      </c>
      <c r="F577" s="36">
        <v>1</v>
      </c>
      <c r="G577" s="36">
        <v>3</v>
      </c>
      <c r="H577" s="36">
        <v>0</v>
      </c>
      <c r="I577" s="37">
        <v>0</v>
      </c>
      <c r="J577" s="36" t="s">
        <v>32654</v>
      </c>
      <c r="K577" s="36" t="s">
        <v>14330</v>
      </c>
      <c r="L577" s="36" t="s">
        <v>14330</v>
      </c>
      <c r="M577">
        <v>2</v>
      </c>
      <c r="N577" t="s">
        <v>14331</v>
      </c>
      <c r="O577" t="s">
        <v>32633</v>
      </c>
    </row>
    <row r="578" spans="1:15" x14ac:dyDescent="0.25">
      <c r="A578" s="35" t="s">
        <v>4202</v>
      </c>
      <c r="B578" s="36" t="s">
        <v>4203</v>
      </c>
      <c r="C578" s="36" t="str">
        <f>HYPERLINK("https://rhld.insurance.arkansas.gov/NPILookup?Npi=1518313667","1518313667")</f>
        <v>1518313667</v>
      </c>
      <c r="D578" s="36" t="s">
        <v>33221</v>
      </c>
      <c r="E578" s="36" t="s">
        <v>1</v>
      </c>
      <c r="F578" s="36">
        <v>1</v>
      </c>
      <c r="G578" s="36">
        <v>2</v>
      </c>
      <c r="H578" s="36">
        <v>0</v>
      </c>
      <c r="I578" s="37">
        <v>0</v>
      </c>
      <c r="J578" s="36" t="s">
        <v>32654</v>
      </c>
      <c r="K578" s="36" t="s">
        <v>14330</v>
      </c>
      <c r="L578" s="36" t="s">
        <v>14330</v>
      </c>
      <c r="M578">
        <v>3</v>
      </c>
      <c r="N578" t="s">
        <v>14331</v>
      </c>
      <c r="O578" t="s">
        <v>32633</v>
      </c>
    </row>
    <row r="579" spans="1:15" x14ac:dyDescent="0.25">
      <c r="A579" s="35" t="s">
        <v>4202</v>
      </c>
      <c r="B579" s="36" t="s">
        <v>4203</v>
      </c>
      <c r="C579" s="36" t="str">
        <f>HYPERLINK("https://rhld.insurance.arkansas.gov/NPILookup?Npi=1518491182","1518491182")</f>
        <v>1518491182</v>
      </c>
      <c r="D579" s="36" t="s">
        <v>33222</v>
      </c>
      <c r="E579" s="36" t="s">
        <v>1</v>
      </c>
      <c r="F579" s="36">
        <v>1</v>
      </c>
      <c r="G579" s="36">
        <v>3</v>
      </c>
      <c r="H579" s="36">
        <v>0</v>
      </c>
      <c r="I579" s="37">
        <v>0</v>
      </c>
      <c r="J579" s="36" t="s">
        <v>32654</v>
      </c>
      <c r="K579" s="36" t="s">
        <v>14330</v>
      </c>
      <c r="L579" s="36" t="s">
        <v>14330</v>
      </c>
      <c r="M579">
        <v>2</v>
      </c>
      <c r="N579" t="s">
        <v>14331</v>
      </c>
      <c r="O579" t="s">
        <v>32633</v>
      </c>
    </row>
    <row r="580" spans="1:15" x14ac:dyDescent="0.25">
      <c r="A580" s="35" t="s">
        <v>4202</v>
      </c>
      <c r="B580" s="36" t="s">
        <v>4203</v>
      </c>
      <c r="C580" s="36" t="str">
        <f>HYPERLINK("https://rhld.insurance.arkansas.gov/NPILookup?Npi=1518499888","1518499888")</f>
        <v>1518499888</v>
      </c>
      <c r="D580" s="36" t="s">
        <v>33223</v>
      </c>
      <c r="E580" s="36" t="s">
        <v>1</v>
      </c>
      <c r="F580" s="36">
        <v>1</v>
      </c>
      <c r="G580" s="36">
        <v>2</v>
      </c>
      <c r="H580" s="36">
        <v>0</v>
      </c>
      <c r="I580" s="37">
        <v>0</v>
      </c>
      <c r="J580" s="36" t="s">
        <v>32654</v>
      </c>
      <c r="K580" s="36" t="s">
        <v>14330</v>
      </c>
      <c r="L580" s="36" t="s">
        <v>14330</v>
      </c>
      <c r="M580">
        <v>2</v>
      </c>
      <c r="N580" t="s">
        <v>14331</v>
      </c>
      <c r="O580" t="s">
        <v>32633</v>
      </c>
    </row>
    <row r="581" spans="1:15" x14ac:dyDescent="0.25">
      <c r="A581" s="35" t="s">
        <v>4202</v>
      </c>
      <c r="B581" s="36" t="s">
        <v>4203</v>
      </c>
      <c r="C581" s="36" t="str">
        <f>HYPERLINK("https://rhld.insurance.arkansas.gov/NPILookup?Npi=1518908375","1518908375")</f>
        <v>1518908375</v>
      </c>
      <c r="D581" s="36" t="s">
        <v>33224</v>
      </c>
      <c r="E581" s="36" t="s">
        <v>2</v>
      </c>
      <c r="F581" s="36">
        <v>1</v>
      </c>
      <c r="G581" s="36">
        <v>2</v>
      </c>
      <c r="H581" s="36">
        <v>0</v>
      </c>
      <c r="I581" s="37">
        <v>0</v>
      </c>
      <c r="J581" s="36" t="s">
        <v>32679</v>
      </c>
      <c r="K581" s="36" t="s">
        <v>14330</v>
      </c>
      <c r="L581" s="36" t="s">
        <v>14330</v>
      </c>
      <c r="M581">
        <v>2</v>
      </c>
      <c r="N581" t="s">
        <v>14331</v>
      </c>
      <c r="O581" t="s">
        <v>32633</v>
      </c>
    </row>
    <row r="582" spans="1:15" x14ac:dyDescent="0.25">
      <c r="A582" s="35" t="s">
        <v>4202</v>
      </c>
      <c r="B582" s="36" t="s">
        <v>4203</v>
      </c>
      <c r="C582" s="36" t="str">
        <f>HYPERLINK("https://rhld.insurance.arkansas.gov/NPILookup?Npi=1518908417","1518908417")</f>
        <v>1518908417</v>
      </c>
      <c r="D582" s="36" t="s">
        <v>33225</v>
      </c>
      <c r="E582" s="36" t="s">
        <v>1</v>
      </c>
      <c r="F582" s="36">
        <v>1</v>
      </c>
      <c r="G582" s="36">
        <v>2</v>
      </c>
      <c r="H582" s="36">
        <v>0</v>
      </c>
      <c r="I582" s="37">
        <v>0</v>
      </c>
      <c r="J582" s="36" t="s">
        <v>32654</v>
      </c>
      <c r="K582" s="36" t="s">
        <v>14330</v>
      </c>
      <c r="L582" s="36" t="s">
        <v>14330</v>
      </c>
      <c r="M582">
        <v>2</v>
      </c>
      <c r="N582" t="s">
        <v>14331</v>
      </c>
      <c r="O582" t="s">
        <v>32633</v>
      </c>
    </row>
    <row r="583" spans="1:15" x14ac:dyDescent="0.25">
      <c r="A583" s="35" t="s">
        <v>4202</v>
      </c>
      <c r="B583" s="36" t="s">
        <v>4203</v>
      </c>
      <c r="C583" s="36" t="str">
        <f>HYPERLINK("https://rhld.insurance.arkansas.gov/NPILookup?Npi=1518949429","1518949429")</f>
        <v>1518949429</v>
      </c>
      <c r="D583" s="36" t="s">
        <v>33226</v>
      </c>
      <c r="E583" s="36" t="s">
        <v>1</v>
      </c>
      <c r="F583" s="36">
        <v>1</v>
      </c>
      <c r="G583" s="36">
        <v>2</v>
      </c>
      <c r="H583" s="36">
        <v>0</v>
      </c>
      <c r="I583" s="37">
        <v>0</v>
      </c>
      <c r="J583" s="36" t="s">
        <v>32654</v>
      </c>
      <c r="K583" s="36" t="s">
        <v>14330</v>
      </c>
      <c r="L583" s="36" t="s">
        <v>14330</v>
      </c>
      <c r="M583">
        <v>3</v>
      </c>
      <c r="N583" t="s">
        <v>14331</v>
      </c>
      <c r="O583" t="s">
        <v>32633</v>
      </c>
    </row>
    <row r="584" spans="1:15" x14ac:dyDescent="0.25">
      <c r="A584" s="35" t="s">
        <v>4202</v>
      </c>
      <c r="B584" s="36" t="s">
        <v>4203</v>
      </c>
      <c r="C584" s="36" t="str">
        <f>HYPERLINK("https://rhld.insurance.arkansas.gov/NPILookup?Npi=1518985753","1518985753")</f>
        <v>1518985753</v>
      </c>
      <c r="D584" s="36" t="s">
        <v>33227</v>
      </c>
      <c r="E584" s="36" t="s">
        <v>1</v>
      </c>
      <c r="F584" s="36">
        <v>1</v>
      </c>
      <c r="G584" s="36">
        <v>3</v>
      </c>
      <c r="H584" s="36">
        <v>0</v>
      </c>
      <c r="I584" s="37">
        <v>0</v>
      </c>
      <c r="J584" s="36" t="s">
        <v>32654</v>
      </c>
      <c r="K584" s="36" t="s">
        <v>14330</v>
      </c>
      <c r="L584" s="36" t="s">
        <v>14330</v>
      </c>
      <c r="M584">
        <v>2</v>
      </c>
      <c r="N584" t="s">
        <v>14331</v>
      </c>
      <c r="O584" t="s">
        <v>32633</v>
      </c>
    </row>
    <row r="585" spans="1:15" x14ac:dyDescent="0.25">
      <c r="A585" s="35" t="s">
        <v>4202</v>
      </c>
      <c r="B585" s="36" t="s">
        <v>4203</v>
      </c>
      <c r="C585" s="36" t="str">
        <f>HYPERLINK("https://rhld.insurance.arkansas.gov/NPILookup?Npi=1518994250","1518994250")</f>
        <v>1518994250</v>
      </c>
      <c r="D585" s="36" t="s">
        <v>33228</v>
      </c>
      <c r="E585" s="36" t="s">
        <v>1</v>
      </c>
      <c r="F585" s="36">
        <v>1</v>
      </c>
      <c r="G585" s="36">
        <v>2</v>
      </c>
      <c r="H585" s="36">
        <v>0</v>
      </c>
      <c r="I585" s="37">
        <v>0</v>
      </c>
      <c r="J585" s="36" t="s">
        <v>32654</v>
      </c>
      <c r="K585" s="36" t="s">
        <v>14330</v>
      </c>
      <c r="L585" s="36" t="s">
        <v>14330</v>
      </c>
      <c r="M585">
        <v>2</v>
      </c>
      <c r="N585" t="s">
        <v>14331</v>
      </c>
      <c r="O585" t="s">
        <v>32633</v>
      </c>
    </row>
    <row r="586" spans="1:15" x14ac:dyDescent="0.25">
      <c r="A586" s="35" t="s">
        <v>4202</v>
      </c>
      <c r="B586" s="36" t="s">
        <v>4203</v>
      </c>
      <c r="C586" s="36" t="str">
        <f>HYPERLINK("https://rhld.insurance.arkansas.gov/NPILookup?Npi=1528013851","1528013851")</f>
        <v>1528013851</v>
      </c>
      <c r="D586" s="36" t="s">
        <v>33229</v>
      </c>
      <c r="E586" s="36" t="s">
        <v>1</v>
      </c>
      <c r="F586" s="36">
        <v>1</v>
      </c>
      <c r="G586" s="36">
        <v>2</v>
      </c>
      <c r="H586" s="36">
        <v>0</v>
      </c>
      <c r="I586" s="37">
        <v>0</v>
      </c>
      <c r="J586" s="36" t="s">
        <v>32654</v>
      </c>
      <c r="K586" s="36" t="s">
        <v>14330</v>
      </c>
      <c r="L586" s="36" t="s">
        <v>14330</v>
      </c>
      <c r="M586">
        <v>2</v>
      </c>
      <c r="N586" t="s">
        <v>14331</v>
      </c>
      <c r="O586" t="s">
        <v>32633</v>
      </c>
    </row>
    <row r="587" spans="1:15" x14ac:dyDescent="0.25">
      <c r="A587" s="35" t="s">
        <v>4202</v>
      </c>
      <c r="B587" s="36" t="s">
        <v>4203</v>
      </c>
      <c r="C587" s="36" t="str">
        <f>HYPERLINK("https://rhld.insurance.arkansas.gov/NPILookup?Npi=1528261617","1528261617")</f>
        <v>1528261617</v>
      </c>
      <c r="D587" s="36" t="s">
        <v>33230</v>
      </c>
      <c r="E587" s="36" t="s">
        <v>1</v>
      </c>
      <c r="F587" s="36">
        <v>1</v>
      </c>
      <c r="G587" s="36">
        <v>2</v>
      </c>
      <c r="H587" s="36">
        <v>0</v>
      </c>
      <c r="I587" s="37">
        <v>0</v>
      </c>
      <c r="J587" s="36" t="s">
        <v>32654</v>
      </c>
      <c r="K587" s="36" t="s">
        <v>14330</v>
      </c>
      <c r="L587" s="36" t="s">
        <v>14330</v>
      </c>
      <c r="M587">
        <v>2</v>
      </c>
      <c r="N587" t="s">
        <v>14331</v>
      </c>
      <c r="O587" t="s">
        <v>32633</v>
      </c>
    </row>
    <row r="588" spans="1:15" x14ac:dyDescent="0.25">
      <c r="A588" s="35" t="s">
        <v>4202</v>
      </c>
      <c r="B588" s="36" t="s">
        <v>4203</v>
      </c>
      <c r="C588" s="36" t="str">
        <f>HYPERLINK("https://rhld.insurance.arkansas.gov/NPILookup?Npi=1528415999","1528415999")</f>
        <v>1528415999</v>
      </c>
      <c r="D588" s="36" t="s">
        <v>33231</v>
      </c>
      <c r="E588" s="36" t="s">
        <v>1</v>
      </c>
      <c r="F588" s="36">
        <v>1</v>
      </c>
      <c r="G588" s="36">
        <v>2</v>
      </c>
      <c r="H588" s="36">
        <v>0</v>
      </c>
      <c r="I588" s="37">
        <v>0</v>
      </c>
      <c r="J588" s="36" t="s">
        <v>32654</v>
      </c>
      <c r="K588" s="36" t="s">
        <v>14330</v>
      </c>
      <c r="L588" s="36" t="s">
        <v>14330</v>
      </c>
      <c r="M588">
        <v>3</v>
      </c>
      <c r="N588" t="s">
        <v>14331</v>
      </c>
      <c r="O588" t="s">
        <v>32633</v>
      </c>
    </row>
    <row r="589" spans="1:15" x14ac:dyDescent="0.25">
      <c r="A589" s="35" t="s">
        <v>4202</v>
      </c>
      <c r="B589" s="36" t="s">
        <v>4203</v>
      </c>
      <c r="C589" s="36" t="str">
        <f>HYPERLINK("https://rhld.insurance.arkansas.gov/NPILookup?Npi=1528446283","1528446283")</f>
        <v>1528446283</v>
      </c>
      <c r="D589" s="36" t="s">
        <v>33232</v>
      </c>
      <c r="E589" s="36" t="s">
        <v>1</v>
      </c>
      <c r="F589" s="36">
        <v>1</v>
      </c>
      <c r="G589" s="36">
        <v>3</v>
      </c>
      <c r="H589" s="36">
        <v>0</v>
      </c>
      <c r="I589" s="37">
        <v>0</v>
      </c>
      <c r="J589" s="36" t="s">
        <v>32654</v>
      </c>
      <c r="K589" s="36" t="s">
        <v>14330</v>
      </c>
      <c r="L589" s="36" t="s">
        <v>14330</v>
      </c>
      <c r="M589">
        <v>3</v>
      </c>
      <c r="N589" t="s">
        <v>14331</v>
      </c>
      <c r="O589" t="s">
        <v>32633</v>
      </c>
    </row>
    <row r="590" spans="1:15" x14ac:dyDescent="0.25">
      <c r="A590" s="35" t="s">
        <v>4202</v>
      </c>
      <c r="B590" s="36" t="s">
        <v>4203</v>
      </c>
      <c r="C590" s="36" t="str">
        <f>HYPERLINK("https://rhld.insurance.arkansas.gov/NPILookup?Npi=1528528809","1528528809")</f>
        <v>1528528809</v>
      </c>
      <c r="D590" s="36" t="s">
        <v>33233</v>
      </c>
      <c r="E590" s="36" t="s">
        <v>1</v>
      </c>
      <c r="F590" s="36">
        <v>1</v>
      </c>
      <c r="G590" s="36">
        <v>3</v>
      </c>
      <c r="H590" s="36">
        <v>0</v>
      </c>
      <c r="I590" s="37">
        <v>0</v>
      </c>
      <c r="J590" s="36" t="s">
        <v>32654</v>
      </c>
      <c r="K590" s="36" t="s">
        <v>14330</v>
      </c>
      <c r="L590" s="36" t="s">
        <v>14330</v>
      </c>
      <c r="M590">
        <v>2</v>
      </c>
      <c r="N590" t="s">
        <v>14331</v>
      </c>
      <c r="O590" t="s">
        <v>32633</v>
      </c>
    </row>
    <row r="591" spans="1:15" x14ac:dyDescent="0.25">
      <c r="A591" s="35" t="s">
        <v>4202</v>
      </c>
      <c r="B591" s="36" t="s">
        <v>4203</v>
      </c>
      <c r="C591" s="36" t="str">
        <f>HYPERLINK("https://rhld.insurance.arkansas.gov/NPILookup?Npi=1538123757","1538123757")</f>
        <v>1538123757</v>
      </c>
      <c r="D591" s="36" t="s">
        <v>33234</v>
      </c>
      <c r="E591" s="36" t="s">
        <v>2</v>
      </c>
      <c r="F591" s="36">
        <v>1</v>
      </c>
      <c r="G591" s="36">
        <v>2</v>
      </c>
      <c r="H591" s="36">
        <v>0</v>
      </c>
      <c r="I591" s="37">
        <v>0</v>
      </c>
      <c r="J591" s="36" t="s">
        <v>32679</v>
      </c>
      <c r="K591" s="36" t="s">
        <v>14330</v>
      </c>
      <c r="L591" s="36" t="s">
        <v>14330</v>
      </c>
      <c r="M591">
        <v>3</v>
      </c>
      <c r="N591" t="s">
        <v>14331</v>
      </c>
      <c r="O591" t="s">
        <v>32633</v>
      </c>
    </row>
    <row r="592" spans="1:15" x14ac:dyDescent="0.25">
      <c r="A592" s="35" t="s">
        <v>4202</v>
      </c>
      <c r="B592" s="36" t="s">
        <v>4203</v>
      </c>
      <c r="C592" s="36" t="str">
        <f>HYPERLINK("https://rhld.insurance.arkansas.gov/NPILookup?Npi=1538134200","1538134200")</f>
        <v>1538134200</v>
      </c>
      <c r="D592" s="36" t="s">
        <v>33235</v>
      </c>
      <c r="E592" s="36" t="s">
        <v>1</v>
      </c>
      <c r="F592" s="36">
        <v>1</v>
      </c>
      <c r="G592" s="36">
        <v>3</v>
      </c>
      <c r="H592" s="36">
        <v>0</v>
      </c>
      <c r="I592" s="37">
        <v>0</v>
      </c>
      <c r="J592" s="36" t="s">
        <v>32654</v>
      </c>
      <c r="K592" s="36" t="s">
        <v>14330</v>
      </c>
      <c r="L592" s="36" t="s">
        <v>14330</v>
      </c>
      <c r="M592">
        <v>2</v>
      </c>
      <c r="N592" t="s">
        <v>14331</v>
      </c>
      <c r="O592" t="s">
        <v>32633</v>
      </c>
    </row>
    <row r="593" spans="1:15" x14ac:dyDescent="0.25">
      <c r="A593" s="35" t="s">
        <v>4202</v>
      </c>
      <c r="B593" s="36" t="s">
        <v>4203</v>
      </c>
      <c r="C593" s="36" t="str">
        <f>HYPERLINK("https://rhld.insurance.arkansas.gov/NPILookup?Npi=1538137633","1538137633")</f>
        <v>1538137633</v>
      </c>
      <c r="D593" s="36" t="s">
        <v>33236</v>
      </c>
      <c r="E593" s="36" t="s">
        <v>1</v>
      </c>
      <c r="F593" s="36">
        <v>1</v>
      </c>
      <c r="G593" s="36">
        <v>2</v>
      </c>
      <c r="H593" s="36">
        <v>0</v>
      </c>
      <c r="I593" s="37">
        <v>0</v>
      </c>
      <c r="J593" s="36" t="s">
        <v>32654</v>
      </c>
      <c r="K593" s="36" t="s">
        <v>14330</v>
      </c>
      <c r="L593" s="36" t="s">
        <v>14330</v>
      </c>
      <c r="M593">
        <v>2</v>
      </c>
      <c r="N593" t="s">
        <v>14331</v>
      </c>
      <c r="O593" t="s">
        <v>32633</v>
      </c>
    </row>
    <row r="594" spans="1:15" x14ac:dyDescent="0.25">
      <c r="A594" s="35" t="s">
        <v>4202</v>
      </c>
      <c r="B594" s="36" t="s">
        <v>4203</v>
      </c>
      <c r="C594" s="36" t="str">
        <f>HYPERLINK("https://rhld.insurance.arkansas.gov/NPILookup?Npi=1538168505","1538168505")</f>
        <v>1538168505</v>
      </c>
      <c r="D594" s="36" t="s">
        <v>33237</v>
      </c>
      <c r="E594" s="36" t="s">
        <v>1</v>
      </c>
      <c r="F594" s="36">
        <v>1</v>
      </c>
      <c r="G594" s="36">
        <v>2</v>
      </c>
      <c r="H594" s="36">
        <v>0</v>
      </c>
      <c r="I594" s="37">
        <v>0</v>
      </c>
      <c r="J594" s="36" t="s">
        <v>32654</v>
      </c>
      <c r="K594" s="36" t="s">
        <v>14330</v>
      </c>
      <c r="L594" s="36" t="s">
        <v>14330</v>
      </c>
      <c r="M594">
        <v>3</v>
      </c>
      <c r="N594" t="s">
        <v>14331</v>
      </c>
      <c r="O594" t="s">
        <v>32633</v>
      </c>
    </row>
    <row r="595" spans="1:15" x14ac:dyDescent="0.25">
      <c r="A595" s="35" t="s">
        <v>4202</v>
      </c>
      <c r="B595" s="36" t="s">
        <v>4203</v>
      </c>
      <c r="C595" s="36" t="str">
        <f>HYPERLINK("https://rhld.insurance.arkansas.gov/NPILookup?Npi=1538187190","1538187190")</f>
        <v>1538187190</v>
      </c>
      <c r="D595" s="36" t="s">
        <v>33238</v>
      </c>
      <c r="E595" s="36" t="s">
        <v>1</v>
      </c>
      <c r="F595" s="36">
        <v>1</v>
      </c>
      <c r="G595" s="36">
        <v>3</v>
      </c>
      <c r="H595" s="36">
        <v>0</v>
      </c>
      <c r="I595" s="37">
        <v>0</v>
      </c>
      <c r="J595" s="36" t="s">
        <v>32654</v>
      </c>
      <c r="K595" s="36" t="s">
        <v>14330</v>
      </c>
      <c r="L595" s="36" t="s">
        <v>14330</v>
      </c>
      <c r="M595">
        <v>2</v>
      </c>
      <c r="N595" t="s">
        <v>14331</v>
      </c>
      <c r="O595" t="s">
        <v>32633</v>
      </c>
    </row>
    <row r="596" spans="1:15" x14ac:dyDescent="0.25">
      <c r="A596" s="35" t="s">
        <v>4202</v>
      </c>
      <c r="B596" s="36" t="s">
        <v>4203</v>
      </c>
      <c r="C596" s="36" t="str">
        <f>HYPERLINK("https://rhld.insurance.arkansas.gov/NPILookup?Npi=1538363577","1538363577")</f>
        <v>1538363577</v>
      </c>
      <c r="D596" s="36" t="s">
        <v>33239</v>
      </c>
      <c r="E596" s="36" t="s">
        <v>1</v>
      </c>
      <c r="F596" s="36">
        <v>1</v>
      </c>
      <c r="G596" s="36">
        <v>2</v>
      </c>
      <c r="H596" s="36">
        <v>0</v>
      </c>
      <c r="I596" s="37">
        <v>0</v>
      </c>
      <c r="J596" s="36" t="s">
        <v>32654</v>
      </c>
      <c r="K596" s="36" t="s">
        <v>14330</v>
      </c>
      <c r="L596" s="36" t="s">
        <v>14330</v>
      </c>
      <c r="M596">
        <v>2</v>
      </c>
      <c r="N596" t="s">
        <v>14331</v>
      </c>
      <c r="O596" t="s">
        <v>32633</v>
      </c>
    </row>
    <row r="597" spans="1:15" x14ac:dyDescent="0.25">
      <c r="A597" s="35" t="s">
        <v>4202</v>
      </c>
      <c r="B597" s="36" t="s">
        <v>4203</v>
      </c>
      <c r="C597" s="36" t="str">
        <f>HYPERLINK("https://rhld.insurance.arkansas.gov/NPILookup?Npi=1538393103","1538393103")</f>
        <v>1538393103</v>
      </c>
      <c r="D597" s="36" t="s">
        <v>33240</v>
      </c>
      <c r="E597" s="36" t="s">
        <v>1</v>
      </c>
      <c r="F597" s="36">
        <v>1</v>
      </c>
      <c r="G597" s="36">
        <v>2</v>
      </c>
      <c r="H597" s="36">
        <v>0</v>
      </c>
      <c r="I597" s="37">
        <v>0</v>
      </c>
      <c r="J597" s="36" t="s">
        <v>32723</v>
      </c>
      <c r="K597" s="36" t="s">
        <v>14330</v>
      </c>
      <c r="L597" s="36" t="s">
        <v>14330</v>
      </c>
      <c r="M597">
        <v>2</v>
      </c>
      <c r="N597" t="s">
        <v>14331</v>
      </c>
      <c r="O597" t="s">
        <v>32724</v>
      </c>
    </row>
    <row r="598" spans="1:15" x14ac:dyDescent="0.25">
      <c r="A598" s="35" t="s">
        <v>4202</v>
      </c>
      <c r="B598" s="36" t="s">
        <v>4203</v>
      </c>
      <c r="C598" s="36" t="str">
        <f>HYPERLINK("https://rhld.insurance.arkansas.gov/NPILookup?Npi=1538558812","1538558812")</f>
        <v>1538558812</v>
      </c>
      <c r="D598" s="36" t="s">
        <v>33241</v>
      </c>
      <c r="E598" s="36" t="s">
        <v>1</v>
      </c>
      <c r="F598" s="36">
        <v>1</v>
      </c>
      <c r="G598" s="36">
        <v>2</v>
      </c>
      <c r="H598" s="36">
        <v>0</v>
      </c>
      <c r="I598" s="37">
        <v>0</v>
      </c>
      <c r="J598" s="36" t="s">
        <v>32654</v>
      </c>
      <c r="K598" s="36" t="s">
        <v>14330</v>
      </c>
      <c r="L598" s="36" t="s">
        <v>14330</v>
      </c>
      <c r="M598">
        <v>2</v>
      </c>
      <c r="N598" t="s">
        <v>14331</v>
      </c>
      <c r="O598" t="s">
        <v>32633</v>
      </c>
    </row>
    <row r="599" spans="1:15" x14ac:dyDescent="0.25">
      <c r="A599" s="35" t="s">
        <v>4202</v>
      </c>
      <c r="B599" s="36" t="s">
        <v>4203</v>
      </c>
      <c r="C599" s="36" t="str">
        <f>HYPERLINK("https://rhld.insurance.arkansas.gov/NPILookup?Npi=1538664388","1538664388")</f>
        <v>1538664388</v>
      </c>
      <c r="D599" s="36" t="s">
        <v>33242</v>
      </c>
      <c r="E599" s="36" t="s">
        <v>2</v>
      </c>
      <c r="F599" s="36">
        <v>1</v>
      </c>
      <c r="G599" s="36">
        <v>2</v>
      </c>
      <c r="H599" s="36">
        <v>0</v>
      </c>
      <c r="I599" s="37">
        <v>0</v>
      </c>
      <c r="J599" s="36" t="s">
        <v>32679</v>
      </c>
      <c r="K599" s="36" t="s">
        <v>14330</v>
      </c>
      <c r="L599" s="36" t="s">
        <v>14330</v>
      </c>
      <c r="M599">
        <v>2</v>
      </c>
      <c r="N599" t="s">
        <v>14331</v>
      </c>
      <c r="O599" t="s">
        <v>32633</v>
      </c>
    </row>
    <row r="600" spans="1:15" x14ac:dyDescent="0.25">
      <c r="A600" s="35" t="s">
        <v>4202</v>
      </c>
      <c r="B600" s="36" t="s">
        <v>4203</v>
      </c>
      <c r="C600" s="36" t="str">
        <f>HYPERLINK("https://rhld.insurance.arkansas.gov/NPILookup?Npi=1548580236","1548580236")</f>
        <v>1548580236</v>
      </c>
      <c r="D600" s="36" t="s">
        <v>33243</v>
      </c>
      <c r="E600" s="36" t="s">
        <v>1</v>
      </c>
      <c r="F600" s="36">
        <v>1</v>
      </c>
      <c r="G600" s="36">
        <v>2</v>
      </c>
      <c r="H600" s="36">
        <v>0</v>
      </c>
      <c r="I600" s="37">
        <v>0</v>
      </c>
      <c r="J600" s="36" t="s">
        <v>32654</v>
      </c>
      <c r="K600" s="36" t="s">
        <v>14330</v>
      </c>
      <c r="L600" s="36" t="s">
        <v>14330</v>
      </c>
      <c r="M600">
        <v>3</v>
      </c>
      <c r="N600" t="s">
        <v>14331</v>
      </c>
      <c r="O600" t="s">
        <v>32633</v>
      </c>
    </row>
    <row r="601" spans="1:15" x14ac:dyDescent="0.25">
      <c r="A601" s="35" t="s">
        <v>4202</v>
      </c>
      <c r="B601" s="36" t="s">
        <v>4203</v>
      </c>
      <c r="C601" s="36" t="str">
        <f>HYPERLINK("https://rhld.insurance.arkansas.gov/NPILookup?Npi=1548669823","1548669823")</f>
        <v>1548669823</v>
      </c>
      <c r="D601" s="36" t="s">
        <v>33244</v>
      </c>
      <c r="E601" s="36" t="s">
        <v>1</v>
      </c>
      <c r="F601" s="36">
        <v>1</v>
      </c>
      <c r="G601" s="36">
        <v>3</v>
      </c>
      <c r="H601" s="36">
        <v>0</v>
      </c>
      <c r="I601" s="37">
        <v>0</v>
      </c>
      <c r="J601" s="36" t="s">
        <v>32654</v>
      </c>
      <c r="K601" s="36" t="s">
        <v>14330</v>
      </c>
      <c r="L601" s="36" t="s">
        <v>14330</v>
      </c>
      <c r="M601">
        <v>3</v>
      </c>
      <c r="N601" t="s">
        <v>14331</v>
      </c>
      <c r="O601" t="s">
        <v>32633</v>
      </c>
    </row>
    <row r="602" spans="1:15" x14ac:dyDescent="0.25">
      <c r="A602" s="35" t="s">
        <v>4202</v>
      </c>
      <c r="B602" s="36" t="s">
        <v>4203</v>
      </c>
      <c r="C602" s="36" t="str">
        <f>HYPERLINK("https://rhld.insurance.arkansas.gov/NPILookup?Npi=1548847197","1548847197")</f>
        <v>1548847197</v>
      </c>
      <c r="D602" s="36" t="s">
        <v>33245</v>
      </c>
      <c r="E602" s="36" t="s">
        <v>1</v>
      </c>
      <c r="F602" s="36">
        <v>1</v>
      </c>
      <c r="G602" s="36">
        <v>3</v>
      </c>
      <c r="H602" s="36">
        <v>0</v>
      </c>
      <c r="I602" s="37">
        <v>0</v>
      </c>
      <c r="J602" s="36" t="s">
        <v>32654</v>
      </c>
      <c r="K602" s="36" t="s">
        <v>14330</v>
      </c>
      <c r="L602" s="36" t="s">
        <v>14330</v>
      </c>
      <c r="M602">
        <v>3</v>
      </c>
      <c r="N602" t="s">
        <v>14331</v>
      </c>
      <c r="O602" t="s">
        <v>32633</v>
      </c>
    </row>
    <row r="603" spans="1:15" x14ac:dyDescent="0.25">
      <c r="A603" s="35" t="s">
        <v>4202</v>
      </c>
      <c r="B603" s="36" t="s">
        <v>4203</v>
      </c>
      <c r="C603" s="36" t="str">
        <f>HYPERLINK("https://rhld.insurance.arkansas.gov/NPILookup?Npi=1558321612","1558321612")</f>
        <v>1558321612</v>
      </c>
      <c r="D603" s="36" t="s">
        <v>33246</v>
      </c>
      <c r="E603" s="36" t="s">
        <v>1</v>
      </c>
      <c r="F603" s="36">
        <v>1</v>
      </c>
      <c r="G603" s="36">
        <v>3</v>
      </c>
      <c r="H603" s="36">
        <v>0</v>
      </c>
      <c r="I603" s="37">
        <v>0</v>
      </c>
      <c r="J603" s="36" t="s">
        <v>32654</v>
      </c>
      <c r="K603" s="36" t="s">
        <v>14330</v>
      </c>
      <c r="L603" s="36" t="s">
        <v>14330</v>
      </c>
      <c r="M603">
        <v>3</v>
      </c>
      <c r="N603" t="s">
        <v>14331</v>
      </c>
      <c r="O603" t="s">
        <v>32633</v>
      </c>
    </row>
    <row r="604" spans="1:15" x14ac:dyDescent="0.25">
      <c r="A604" s="35" t="s">
        <v>4202</v>
      </c>
      <c r="B604" s="36" t="s">
        <v>4203</v>
      </c>
      <c r="C604" s="36" t="str">
        <f>HYPERLINK("https://rhld.insurance.arkansas.gov/NPILookup?Npi=1558362194","1558362194")</f>
        <v>1558362194</v>
      </c>
      <c r="D604" s="36" t="s">
        <v>33247</v>
      </c>
      <c r="E604" s="36" t="s">
        <v>1</v>
      </c>
      <c r="F604" s="36">
        <v>1</v>
      </c>
      <c r="G604" s="36">
        <v>3</v>
      </c>
      <c r="H604" s="36">
        <v>0</v>
      </c>
      <c r="I604" s="37">
        <v>0</v>
      </c>
      <c r="J604" s="36" t="s">
        <v>32654</v>
      </c>
      <c r="K604" s="36" t="s">
        <v>14330</v>
      </c>
      <c r="L604" s="36" t="s">
        <v>14330</v>
      </c>
      <c r="M604">
        <v>3</v>
      </c>
      <c r="N604" t="s">
        <v>14331</v>
      </c>
      <c r="O604" t="s">
        <v>32633</v>
      </c>
    </row>
    <row r="605" spans="1:15" x14ac:dyDescent="0.25">
      <c r="A605" s="35" t="s">
        <v>4202</v>
      </c>
      <c r="B605" s="36" t="s">
        <v>4203</v>
      </c>
      <c r="C605" s="36" t="str">
        <f>HYPERLINK("https://rhld.insurance.arkansas.gov/NPILookup?Npi=1558473058","1558473058")</f>
        <v>1558473058</v>
      </c>
      <c r="D605" s="36" t="s">
        <v>33248</v>
      </c>
      <c r="E605" s="36" t="s">
        <v>1</v>
      </c>
      <c r="F605" s="36">
        <v>1</v>
      </c>
      <c r="G605" s="36">
        <v>3</v>
      </c>
      <c r="H605" s="36">
        <v>0</v>
      </c>
      <c r="I605" s="37">
        <v>0</v>
      </c>
      <c r="J605" s="36" t="s">
        <v>32654</v>
      </c>
      <c r="K605" s="36" t="s">
        <v>14330</v>
      </c>
      <c r="L605" s="36" t="s">
        <v>14330</v>
      </c>
      <c r="M605">
        <v>2</v>
      </c>
      <c r="N605" t="s">
        <v>14331</v>
      </c>
      <c r="O605" t="s">
        <v>32633</v>
      </c>
    </row>
    <row r="606" spans="1:15" x14ac:dyDescent="0.25">
      <c r="A606" s="35" t="s">
        <v>4202</v>
      </c>
      <c r="B606" s="36" t="s">
        <v>4203</v>
      </c>
      <c r="C606" s="36" t="str">
        <f>HYPERLINK("https://rhld.insurance.arkansas.gov/NPILookup?Npi=1558477455","1558477455")</f>
        <v>1558477455</v>
      </c>
      <c r="D606" s="36" t="s">
        <v>33249</v>
      </c>
      <c r="E606" s="36" t="s">
        <v>1</v>
      </c>
      <c r="F606" s="36">
        <v>1</v>
      </c>
      <c r="G606" s="36">
        <v>2</v>
      </c>
      <c r="H606" s="36">
        <v>0</v>
      </c>
      <c r="I606" s="37">
        <v>0</v>
      </c>
      <c r="J606" s="36" t="s">
        <v>32723</v>
      </c>
      <c r="K606" s="36" t="s">
        <v>14330</v>
      </c>
      <c r="L606" s="36" t="s">
        <v>14330</v>
      </c>
      <c r="M606">
        <v>2</v>
      </c>
      <c r="N606" t="s">
        <v>14331</v>
      </c>
      <c r="O606" t="s">
        <v>32724</v>
      </c>
    </row>
    <row r="607" spans="1:15" x14ac:dyDescent="0.25">
      <c r="A607" s="35" t="s">
        <v>4202</v>
      </c>
      <c r="B607" s="36" t="s">
        <v>4203</v>
      </c>
      <c r="C607" s="36" t="str">
        <f>HYPERLINK("https://rhld.insurance.arkansas.gov/NPILookup?Npi=1558657635","1558657635")</f>
        <v>1558657635</v>
      </c>
      <c r="D607" s="36" t="s">
        <v>33250</v>
      </c>
      <c r="E607" s="36" t="s">
        <v>1</v>
      </c>
      <c r="F607" s="36">
        <v>1</v>
      </c>
      <c r="G607" s="36">
        <v>2</v>
      </c>
      <c r="H607" s="36">
        <v>0</v>
      </c>
      <c r="I607" s="37">
        <v>0</v>
      </c>
      <c r="J607" s="36" t="s">
        <v>32654</v>
      </c>
      <c r="K607" s="36" t="s">
        <v>14330</v>
      </c>
      <c r="L607" s="36" t="s">
        <v>14330</v>
      </c>
      <c r="M607">
        <v>2</v>
      </c>
      <c r="N607" t="s">
        <v>14331</v>
      </c>
      <c r="O607" t="s">
        <v>32633</v>
      </c>
    </row>
    <row r="608" spans="1:15" x14ac:dyDescent="0.25">
      <c r="A608" s="35" t="s">
        <v>4202</v>
      </c>
      <c r="B608" s="36" t="s">
        <v>4203</v>
      </c>
      <c r="C608" s="36" t="str">
        <f>HYPERLINK("https://rhld.insurance.arkansas.gov/NPILookup?Npi=1558781740","1558781740")</f>
        <v>1558781740</v>
      </c>
      <c r="D608" s="36" t="s">
        <v>33251</v>
      </c>
      <c r="E608" s="36" t="s">
        <v>1</v>
      </c>
      <c r="F608" s="36">
        <v>1</v>
      </c>
      <c r="G608" s="36">
        <v>2</v>
      </c>
      <c r="H608" s="36">
        <v>0</v>
      </c>
      <c r="I608" s="37">
        <v>0</v>
      </c>
      <c r="J608" s="36" t="s">
        <v>32654</v>
      </c>
      <c r="K608" s="36" t="s">
        <v>14330</v>
      </c>
      <c r="L608" s="36" t="s">
        <v>14330</v>
      </c>
      <c r="M608">
        <v>3</v>
      </c>
      <c r="N608" t="s">
        <v>14331</v>
      </c>
      <c r="O608" t="s">
        <v>32633</v>
      </c>
    </row>
    <row r="609" spans="1:15" x14ac:dyDescent="0.25">
      <c r="A609" s="35" t="s">
        <v>4202</v>
      </c>
      <c r="B609" s="36" t="s">
        <v>4203</v>
      </c>
      <c r="C609" s="36" t="str">
        <f>HYPERLINK("https://rhld.insurance.arkansas.gov/NPILookup?Npi=1558865014","1558865014")</f>
        <v>1558865014</v>
      </c>
      <c r="D609" s="36" t="s">
        <v>33252</v>
      </c>
      <c r="E609" s="36" t="s">
        <v>1</v>
      </c>
      <c r="F609" s="36">
        <v>1</v>
      </c>
      <c r="G609" s="36">
        <v>3</v>
      </c>
      <c r="H609" s="36">
        <v>0</v>
      </c>
      <c r="I609" s="37">
        <v>0</v>
      </c>
      <c r="J609" s="36" t="s">
        <v>32654</v>
      </c>
      <c r="K609" s="36" t="s">
        <v>14330</v>
      </c>
      <c r="L609" s="36" t="s">
        <v>14330</v>
      </c>
      <c r="M609">
        <v>2</v>
      </c>
      <c r="N609" t="s">
        <v>14331</v>
      </c>
      <c r="O609" t="s">
        <v>32633</v>
      </c>
    </row>
    <row r="610" spans="1:15" x14ac:dyDescent="0.25">
      <c r="A610" s="35" t="s">
        <v>4202</v>
      </c>
      <c r="B610" s="36" t="s">
        <v>4203</v>
      </c>
      <c r="C610" s="36" t="str">
        <f>HYPERLINK("https://rhld.insurance.arkansas.gov/NPILookup?Npi=1568441616","1568441616")</f>
        <v>1568441616</v>
      </c>
      <c r="D610" s="36" t="s">
        <v>33253</v>
      </c>
      <c r="E610" s="36" t="s">
        <v>1</v>
      </c>
      <c r="F610" s="36">
        <v>1</v>
      </c>
      <c r="G610" s="36">
        <v>2</v>
      </c>
      <c r="H610" s="36">
        <v>0</v>
      </c>
      <c r="I610" s="37">
        <v>0</v>
      </c>
      <c r="J610" s="36" t="s">
        <v>32723</v>
      </c>
      <c r="K610" s="36" t="s">
        <v>14330</v>
      </c>
      <c r="L610" s="36" t="s">
        <v>14330</v>
      </c>
      <c r="M610">
        <v>2</v>
      </c>
      <c r="N610" t="s">
        <v>14331</v>
      </c>
      <c r="O610" t="s">
        <v>32724</v>
      </c>
    </row>
    <row r="611" spans="1:15" x14ac:dyDescent="0.25">
      <c r="A611" s="35" t="s">
        <v>4202</v>
      </c>
      <c r="B611" s="36" t="s">
        <v>4203</v>
      </c>
      <c r="C611" s="36" t="str">
        <f>HYPERLINK("https://rhld.insurance.arkansas.gov/NPILookup?Npi=1568490621","1568490621")</f>
        <v>1568490621</v>
      </c>
      <c r="D611" s="36" t="s">
        <v>33254</v>
      </c>
      <c r="E611" s="36" t="s">
        <v>2</v>
      </c>
      <c r="F611" s="36">
        <v>1</v>
      </c>
      <c r="G611" s="36">
        <v>2</v>
      </c>
      <c r="H611" s="36">
        <v>0</v>
      </c>
      <c r="I611" s="37">
        <v>0</v>
      </c>
      <c r="J611" s="36" t="s">
        <v>32679</v>
      </c>
      <c r="K611" s="36" t="s">
        <v>14330</v>
      </c>
      <c r="L611" s="36" t="s">
        <v>14330</v>
      </c>
      <c r="M611">
        <v>2</v>
      </c>
      <c r="N611" t="s">
        <v>14331</v>
      </c>
      <c r="O611" t="s">
        <v>32633</v>
      </c>
    </row>
    <row r="612" spans="1:15" x14ac:dyDescent="0.25">
      <c r="A612" s="35" t="s">
        <v>4202</v>
      </c>
      <c r="B612" s="36" t="s">
        <v>4203</v>
      </c>
      <c r="C612" s="36" t="str">
        <f>HYPERLINK("https://rhld.insurance.arkansas.gov/NPILookup?Npi=1568495638","1568495638")</f>
        <v>1568495638</v>
      </c>
      <c r="D612" s="36" t="s">
        <v>33255</v>
      </c>
      <c r="E612" s="36" t="s">
        <v>2</v>
      </c>
      <c r="F612" s="36">
        <v>1</v>
      </c>
      <c r="G612" s="36">
        <v>2</v>
      </c>
      <c r="H612" s="36">
        <v>0</v>
      </c>
      <c r="I612" s="37">
        <v>0</v>
      </c>
      <c r="J612" s="36" t="s">
        <v>32679</v>
      </c>
      <c r="K612" s="36" t="s">
        <v>14330</v>
      </c>
      <c r="L612" s="36" t="s">
        <v>14330</v>
      </c>
      <c r="M612">
        <v>3</v>
      </c>
      <c r="N612" t="s">
        <v>14331</v>
      </c>
      <c r="O612" t="s">
        <v>32633</v>
      </c>
    </row>
    <row r="613" spans="1:15" x14ac:dyDescent="0.25">
      <c r="A613" s="35" t="s">
        <v>4202</v>
      </c>
      <c r="B613" s="36" t="s">
        <v>4203</v>
      </c>
      <c r="C613" s="36" t="str">
        <f>HYPERLINK("https://rhld.insurance.arkansas.gov/NPILookup?Npi=1568499986","1568499986")</f>
        <v>1568499986</v>
      </c>
      <c r="D613" s="36" t="s">
        <v>33256</v>
      </c>
      <c r="E613" s="36" t="s">
        <v>1</v>
      </c>
      <c r="F613" s="36">
        <v>1</v>
      </c>
      <c r="G613" s="36">
        <v>3</v>
      </c>
      <c r="H613" s="36">
        <v>0</v>
      </c>
      <c r="I613" s="37">
        <v>0</v>
      </c>
      <c r="J613" s="36" t="s">
        <v>32654</v>
      </c>
      <c r="K613" s="36" t="s">
        <v>14330</v>
      </c>
      <c r="L613" s="36" t="s">
        <v>14330</v>
      </c>
      <c r="M613">
        <v>2</v>
      </c>
      <c r="N613" t="s">
        <v>14331</v>
      </c>
      <c r="O613" t="s">
        <v>32633</v>
      </c>
    </row>
    <row r="614" spans="1:15" x14ac:dyDescent="0.25">
      <c r="A614" s="35" t="s">
        <v>4202</v>
      </c>
      <c r="B614" s="36" t="s">
        <v>4203</v>
      </c>
      <c r="C614" s="36" t="str">
        <f>HYPERLINK("https://rhld.insurance.arkansas.gov/NPILookup?Npi=1568753481","1568753481")</f>
        <v>1568753481</v>
      </c>
      <c r="D614" s="36" t="s">
        <v>33257</v>
      </c>
      <c r="E614" s="36" t="s">
        <v>1</v>
      </c>
      <c r="F614" s="36">
        <v>1</v>
      </c>
      <c r="G614" s="36">
        <v>2</v>
      </c>
      <c r="H614" s="36">
        <v>0</v>
      </c>
      <c r="I614" s="37">
        <v>0</v>
      </c>
      <c r="J614" s="36" t="s">
        <v>32654</v>
      </c>
      <c r="K614" s="36" t="s">
        <v>14330</v>
      </c>
      <c r="L614" s="36" t="s">
        <v>14330</v>
      </c>
      <c r="M614">
        <v>3</v>
      </c>
      <c r="N614" t="s">
        <v>14331</v>
      </c>
      <c r="O614" t="s">
        <v>32633</v>
      </c>
    </row>
    <row r="615" spans="1:15" x14ac:dyDescent="0.25">
      <c r="A615" s="35" t="s">
        <v>4202</v>
      </c>
      <c r="B615" s="36" t="s">
        <v>4203</v>
      </c>
      <c r="C615" s="36" t="str">
        <f>HYPERLINK("https://rhld.insurance.arkansas.gov/NPILookup?Npi=1568757730","1568757730")</f>
        <v>1568757730</v>
      </c>
      <c r="D615" s="36" t="s">
        <v>33258</v>
      </c>
      <c r="E615" s="36" t="s">
        <v>1</v>
      </c>
      <c r="F615" s="36">
        <v>1</v>
      </c>
      <c r="G615" s="36">
        <v>3</v>
      </c>
      <c r="H615" s="36">
        <v>0</v>
      </c>
      <c r="I615" s="37">
        <v>0</v>
      </c>
      <c r="J615" s="36" t="s">
        <v>32654</v>
      </c>
      <c r="K615" s="36" t="s">
        <v>14330</v>
      </c>
      <c r="L615" s="36" t="s">
        <v>14330</v>
      </c>
      <c r="M615">
        <v>3</v>
      </c>
      <c r="N615" t="s">
        <v>14331</v>
      </c>
      <c r="O615" t="s">
        <v>32633</v>
      </c>
    </row>
    <row r="616" spans="1:15" x14ac:dyDescent="0.25">
      <c r="A616" s="35" t="s">
        <v>4202</v>
      </c>
      <c r="B616" s="36" t="s">
        <v>4203</v>
      </c>
      <c r="C616" s="36" t="str">
        <f>HYPERLINK("https://rhld.insurance.arkansas.gov/NPILookup?Npi=1568809044","1568809044")</f>
        <v>1568809044</v>
      </c>
      <c r="D616" s="36" t="s">
        <v>33259</v>
      </c>
      <c r="E616" s="36" t="s">
        <v>1</v>
      </c>
      <c r="F616" s="36">
        <v>1</v>
      </c>
      <c r="G616" s="36">
        <v>3</v>
      </c>
      <c r="H616" s="36">
        <v>0</v>
      </c>
      <c r="I616" s="37">
        <v>0</v>
      </c>
      <c r="J616" s="36" t="s">
        <v>32654</v>
      </c>
      <c r="K616" s="36" t="s">
        <v>14330</v>
      </c>
      <c r="L616" s="36" t="s">
        <v>14330</v>
      </c>
      <c r="M616">
        <v>2</v>
      </c>
      <c r="N616" t="s">
        <v>14331</v>
      </c>
      <c r="O616" t="s">
        <v>32633</v>
      </c>
    </row>
    <row r="617" spans="1:15" x14ac:dyDescent="0.25">
      <c r="A617" s="35" t="s">
        <v>4202</v>
      </c>
      <c r="B617" s="36" t="s">
        <v>4203</v>
      </c>
      <c r="C617" s="36" t="str">
        <f>HYPERLINK("https://rhld.insurance.arkansas.gov/NPILookup?Npi=1568959674","1568959674")</f>
        <v>1568959674</v>
      </c>
      <c r="D617" s="36" t="s">
        <v>33260</v>
      </c>
      <c r="E617" s="36" t="s">
        <v>1</v>
      </c>
      <c r="F617" s="36">
        <v>1</v>
      </c>
      <c r="G617" s="36">
        <v>2</v>
      </c>
      <c r="H617" s="36">
        <v>0</v>
      </c>
      <c r="I617" s="37">
        <v>0</v>
      </c>
      <c r="J617" s="36" t="s">
        <v>32723</v>
      </c>
      <c r="K617" s="36" t="s">
        <v>14330</v>
      </c>
      <c r="L617" s="36" t="s">
        <v>14330</v>
      </c>
      <c r="M617">
        <v>2</v>
      </c>
      <c r="N617" t="s">
        <v>14331</v>
      </c>
      <c r="O617" t="s">
        <v>32724</v>
      </c>
    </row>
    <row r="618" spans="1:15" x14ac:dyDescent="0.25">
      <c r="A618" s="35" t="s">
        <v>4202</v>
      </c>
      <c r="B618" s="36" t="s">
        <v>4203</v>
      </c>
      <c r="C618" s="36" t="str">
        <f>HYPERLINK("https://rhld.insurance.arkansas.gov/NPILookup?Npi=1578183653","1578183653")</f>
        <v>1578183653</v>
      </c>
      <c r="D618" s="36" t="s">
        <v>33261</v>
      </c>
      <c r="E618" s="36" t="s">
        <v>1</v>
      </c>
      <c r="F618" s="36">
        <v>1</v>
      </c>
      <c r="G618" s="36">
        <v>2</v>
      </c>
      <c r="H618" s="36">
        <v>0</v>
      </c>
      <c r="I618" s="37">
        <v>0</v>
      </c>
      <c r="J618" s="36" t="s">
        <v>32654</v>
      </c>
      <c r="K618" s="36" t="s">
        <v>14330</v>
      </c>
      <c r="L618" s="36" t="s">
        <v>14330</v>
      </c>
      <c r="M618">
        <v>3</v>
      </c>
      <c r="N618" t="s">
        <v>14331</v>
      </c>
      <c r="O618" t="s">
        <v>32633</v>
      </c>
    </row>
    <row r="619" spans="1:15" x14ac:dyDescent="0.25">
      <c r="A619" s="35" t="s">
        <v>4202</v>
      </c>
      <c r="B619" s="36" t="s">
        <v>4203</v>
      </c>
      <c r="C619" s="36" t="str">
        <f>HYPERLINK("https://rhld.insurance.arkansas.gov/NPILookup?Npi=1578517504","1578517504")</f>
        <v>1578517504</v>
      </c>
      <c r="D619" s="36" t="s">
        <v>33262</v>
      </c>
      <c r="E619" s="36" t="s">
        <v>1</v>
      </c>
      <c r="F619" s="36">
        <v>1</v>
      </c>
      <c r="G619" s="36">
        <v>3</v>
      </c>
      <c r="H619" s="36">
        <v>0</v>
      </c>
      <c r="I619" s="37">
        <v>0</v>
      </c>
      <c r="J619" s="36" t="s">
        <v>32654</v>
      </c>
      <c r="K619" s="36" t="s">
        <v>14330</v>
      </c>
      <c r="L619" s="36" t="s">
        <v>14330</v>
      </c>
      <c r="M619">
        <v>2</v>
      </c>
      <c r="N619" t="s">
        <v>14331</v>
      </c>
      <c r="O619" t="s">
        <v>32633</v>
      </c>
    </row>
    <row r="620" spans="1:15" x14ac:dyDescent="0.25">
      <c r="A620" s="35" t="s">
        <v>4202</v>
      </c>
      <c r="B620" s="36" t="s">
        <v>4203</v>
      </c>
      <c r="C620" s="36" t="str">
        <f>HYPERLINK("https://rhld.insurance.arkansas.gov/NPILookup?Npi=1578527792","1578527792")</f>
        <v>1578527792</v>
      </c>
      <c r="D620" s="36" t="s">
        <v>33263</v>
      </c>
      <c r="E620" s="36" t="s">
        <v>2</v>
      </c>
      <c r="F620" s="36">
        <v>1</v>
      </c>
      <c r="G620" s="36">
        <v>2</v>
      </c>
      <c r="H620" s="36">
        <v>0</v>
      </c>
      <c r="I620" s="37">
        <v>0</v>
      </c>
      <c r="J620" s="36" t="s">
        <v>32679</v>
      </c>
      <c r="K620" s="36" t="s">
        <v>14330</v>
      </c>
      <c r="L620" s="36" t="s">
        <v>14330</v>
      </c>
      <c r="M620">
        <v>2</v>
      </c>
      <c r="N620" t="s">
        <v>14331</v>
      </c>
      <c r="O620" t="s">
        <v>32633</v>
      </c>
    </row>
    <row r="621" spans="1:15" x14ac:dyDescent="0.25">
      <c r="A621" s="35" t="s">
        <v>4202</v>
      </c>
      <c r="B621" s="36" t="s">
        <v>4203</v>
      </c>
      <c r="C621" s="36" t="str">
        <f>HYPERLINK("https://rhld.insurance.arkansas.gov/NPILookup?Npi=1578768644","1578768644")</f>
        <v>1578768644</v>
      </c>
      <c r="D621" s="36" t="s">
        <v>33264</v>
      </c>
      <c r="E621" s="36" t="s">
        <v>1</v>
      </c>
      <c r="F621" s="36">
        <v>1</v>
      </c>
      <c r="G621" s="36">
        <v>2</v>
      </c>
      <c r="H621" s="36">
        <v>0</v>
      </c>
      <c r="I621" s="37">
        <v>0</v>
      </c>
      <c r="J621" s="36" t="s">
        <v>32654</v>
      </c>
      <c r="K621" s="36" t="s">
        <v>14330</v>
      </c>
      <c r="L621" s="36" t="s">
        <v>14330</v>
      </c>
      <c r="M621">
        <v>2</v>
      </c>
      <c r="N621" t="s">
        <v>14331</v>
      </c>
      <c r="O621" t="s">
        <v>32633</v>
      </c>
    </row>
    <row r="622" spans="1:15" x14ac:dyDescent="0.25">
      <c r="A622" s="35" t="s">
        <v>4202</v>
      </c>
      <c r="B622" s="36" t="s">
        <v>4203</v>
      </c>
      <c r="C622" s="36" t="str">
        <f>HYPERLINK("https://rhld.insurance.arkansas.gov/NPILookup?Npi=1578793469","1578793469")</f>
        <v>1578793469</v>
      </c>
      <c r="D622" s="36" t="s">
        <v>33265</v>
      </c>
      <c r="E622" s="36" t="s">
        <v>1</v>
      </c>
      <c r="F622" s="36">
        <v>1</v>
      </c>
      <c r="G622" s="36">
        <v>2</v>
      </c>
      <c r="H622" s="36">
        <v>0</v>
      </c>
      <c r="I622" s="37">
        <v>0</v>
      </c>
      <c r="J622" s="36" t="s">
        <v>32654</v>
      </c>
      <c r="K622" s="36" t="s">
        <v>14330</v>
      </c>
      <c r="L622" s="36" t="s">
        <v>14330</v>
      </c>
      <c r="M622">
        <v>2</v>
      </c>
      <c r="N622" t="s">
        <v>14331</v>
      </c>
      <c r="O622" t="s">
        <v>32633</v>
      </c>
    </row>
    <row r="623" spans="1:15" x14ac:dyDescent="0.25">
      <c r="A623" s="35" t="s">
        <v>4202</v>
      </c>
      <c r="B623" s="36" t="s">
        <v>4203</v>
      </c>
      <c r="C623" s="36" t="str">
        <f>HYPERLINK("https://rhld.insurance.arkansas.gov/NPILookup?Npi=1578976908","1578976908")</f>
        <v>1578976908</v>
      </c>
      <c r="D623" s="36" t="s">
        <v>33266</v>
      </c>
      <c r="E623" s="36" t="s">
        <v>1</v>
      </c>
      <c r="F623" s="36">
        <v>1</v>
      </c>
      <c r="G623" s="36">
        <v>2</v>
      </c>
      <c r="H623" s="36">
        <v>0</v>
      </c>
      <c r="I623" s="37">
        <v>0</v>
      </c>
      <c r="J623" s="36" t="s">
        <v>32723</v>
      </c>
      <c r="K623" s="36" t="s">
        <v>14330</v>
      </c>
      <c r="L623" s="36" t="s">
        <v>14330</v>
      </c>
      <c r="M623">
        <v>2</v>
      </c>
      <c r="N623" t="s">
        <v>14331</v>
      </c>
      <c r="O623" t="s">
        <v>32724</v>
      </c>
    </row>
    <row r="624" spans="1:15" x14ac:dyDescent="0.25">
      <c r="A624" s="35" t="s">
        <v>4202</v>
      </c>
      <c r="B624" s="36" t="s">
        <v>4203</v>
      </c>
      <c r="C624" s="36" t="str">
        <f>HYPERLINK("https://rhld.insurance.arkansas.gov/NPILookup?Npi=1588016646","1588016646")</f>
        <v>1588016646</v>
      </c>
      <c r="D624" s="36" t="s">
        <v>33267</v>
      </c>
      <c r="E624" s="36" t="s">
        <v>1</v>
      </c>
      <c r="F624" s="36">
        <v>1</v>
      </c>
      <c r="G624" s="36">
        <v>2</v>
      </c>
      <c r="H624" s="36">
        <v>0</v>
      </c>
      <c r="I624" s="37">
        <v>0</v>
      </c>
      <c r="J624" s="36" t="s">
        <v>32654</v>
      </c>
      <c r="K624" s="36" t="s">
        <v>14330</v>
      </c>
      <c r="L624" s="36" t="s">
        <v>14330</v>
      </c>
      <c r="M624">
        <v>2</v>
      </c>
      <c r="N624" t="s">
        <v>14331</v>
      </c>
      <c r="O624" t="s">
        <v>32633</v>
      </c>
    </row>
    <row r="625" spans="1:15" x14ac:dyDescent="0.25">
      <c r="A625" s="35" t="s">
        <v>4202</v>
      </c>
      <c r="B625" s="36" t="s">
        <v>4203</v>
      </c>
      <c r="C625" s="36" t="str">
        <f>HYPERLINK("https://rhld.insurance.arkansas.gov/NPILookup?Npi=1588027148","1588027148")</f>
        <v>1588027148</v>
      </c>
      <c r="D625" s="36" t="s">
        <v>33268</v>
      </c>
      <c r="E625" s="36" t="s">
        <v>1</v>
      </c>
      <c r="F625" s="36">
        <v>1</v>
      </c>
      <c r="G625" s="36">
        <v>2</v>
      </c>
      <c r="H625" s="36">
        <v>0</v>
      </c>
      <c r="I625" s="37">
        <v>0</v>
      </c>
      <c r="J625" s="36" t="s">
        <v>32654</v>
      </c>
      <c r="K625" s="36" t="s">
        <v>14330</v>
      </c>
      <c r="L625" s="36" t="s">
        <v>14330</v>
      </c>
      <c r="M625">
        <v>2</v>
      </c>
      <c r="N625" t="s">
        <v>14331</v>
      </c>
      <c r="O625" t="s">
        <v>32633</v>
      </c>
    </row>
    <row r="626" spans="1:15" x14ac:dyDescent="0.25">
      <c r="A626" s="35" t="s">
        <v>4202</v>
      </c>
      <c r="B626" s="36" t="s">
        <v>4203</v>
      </c>
      <c r="C626" s="36" t="str">
        <f>HYPERLINK("https://rhld.insurance.arkansas.gov/NPILookup?Npi=1588047443","1588047443")</f>
        <v>1588047443</v>
      </c>
      <c r="D626" s="36" t="s">
        <v>33269</v>
      </c>
      <c r="E626" s="36" t="s">
        <v>1</v>
      </c>
      <c r="F626" s="36">
        <v>1</v>
      </c>
      <c r="G626" s="36">
        <v>2</v>
      </c>
      <c r="H626" s="36">
        <v>0</v>
      </c>
      <c r="I626" s="37">
        <v>0</v>
      </c>
      <c r="J626" s="36" t="s">
        <v>32723</v>
      </c>
      <c r="K626" s="36" t="s">
        <v>14330</v>
      </c>
      <c r="L626" s="36" t="s">
        <v>14330</v>
      </c>
      <c r="M626">
        <v>2</v>
      </c>
      <c r="N626" t="s">
        <v>14331</v>
      </c>
      <c r="O626" t="s">
        <v>32724</v>
      </c>
    </row>
    <row r="627" spans="1:15" x14ac:dyDescent="0.25">
      <c r="A627" s="35" t="s">
        <v>4202</v>
      </c>
      <c r="B627" s="36" t="s">
        <v>4203</v>
      </c>
      <c r="C627" s="36" t="str">
        <f>HYPERLINK("https://rhld.insurance.arkansas.gov/NPILookup?Npi=1588649396","1588649396")</f>
        <v>1588649396</v>
      </c>
      <c r="D627" s="36" t="s">
        <v>33270</v>
      </c>
      <c r="E627" s="36" t="s">
        <v>1</v>
      </c>
      <c r="F627" s="36">
        <v>1</v>
      </c>
      <c r="G627" s="36">
        <v>2</v>
      </c>
      <c r="H627" s="36">
        <v>0</v>
      </c>
      <c r="I627" s="37">
        <v>0</v>
      </c>
      <c r="J627" s="36" t="s">
        <v>32654</v>
      </c>
      <c r="K627" s="36" t="s">
        <v>14330</v>
      </c>
      <c r="L627" s="36" t="s">
        <v>14330</v>
      </c>
      <c r="M627">
        <v>2</v>
      </c>
      <c r="N627" t="s">
        <v>14331</v>
      </c>
      <c r="O627" t="s">
        <v>32633</v>
      </c>
    </row>
    <row r="628" spans="1:15" x14ac:dyDescent="0.25">
      <c r="A628" s="35" t="s">
        <v>4202</v>
      </c>
      <c r="B628" s="36" t="s">
        <v>4203</v>
      </c>
      <c r="C628" s="36" t="str">
        <f>HYPERLINK("https://rhld.insurance.arkansas.gov/NPILookup?Npi=1588656730","1588656730")</f>
        <v>1588656730</v>
      </c>
      <c r="D628" s="36" t="s">
        <v>33271</v>
      </c>
      <c r="E628" s="36" t="s">
        <v>1</v>
      </c>
      <c r="F628" s="36">
        <v>1</v>
      </c>
      <c r="G628" s="36">
        <v>2</v>
      </c>
      <c r="H628" s="36">
        <v>0</v>
      </c>
      <c r="I628" s="37">
        <v>0</v>
      </c>
      <c r="J628" s="36" t="s">
        <v>32723</v>
      </c>
      <c r="K628" s="36" t="s">
        <v>14330</v>
      </c>
      <c r="L628" s="36" t="s">
        <v>14330</v>
      </c>
      <c r="M628">
        <v>2</v>
      </c>
      <c r="N628" t="s">
        <v>14331</v>
      </c>
      <c r="O628" t="s">
        <v>32724</v>
      </c>
    </row>
    <row r="629" spans="1:15" x14ac:dyDescent="0.25">
      <c r="A629" s="35" t="s">
        <v>4202</v>
      </c>
      <c r="B629" s="36" t="s">
        <v>4203</v>
      </c>
      <c r="C629" s="36" t="str">
        <f>HYPERLINK("https://rhld.insurance.arkansas.gov/NPILookup?Npi=1588682785","1588682785")</f>
        <v>1588682785</v>
      </c>
      <c r="D629" s="36" t="s">
        <v>33272</v>
      </c>
      <c r="E629" s="36" t="s">
        <v>1</v>
      </c>
      <c r="F629" s="36">
        <v>1</v>
      </c>
      <c r="G629" s="36">
        <v>2</v>
      </c>
      <c r="H629" s="36">
        <v>0</v>
      </c>
      <c r="I629" s="37">
        <v>0</v>
      </c>
      <c r="J629" s="36" t="s">
        <v>32723</v>
      </c>
      <c r="K629" s="36" t="s">
        <v>14330</v>
      </c>
      <c r="L629" s="36" t="s">
        <v>14330</v>
      </c>
      <c r="M629">
        <v>2</v>
      </c>
      <c r="N629" t="s">
        <v>14331</v>
      </c>
      <c r="O629" t="s">
        <v>32724</v>
      </c>
    </row>
    <row r="630" spans="1:15" x14ac:dyDescent="0.25">
      <c r="A630" s="35" t="s">
        <v>4202</v>
      </c>
      <c r="B630" s="36" t="s">
        <v>4203</v>
      </c>
      <c r="C630" s="36" t="str">
        <f>HYPERLINK("https://rhld.insurance.arkansas.gov/NPILookup?Npi=1588684492","1588684492")</f>
        <v>1588684492</v>
      </c>
      <c r="D630" s="36" t="s">
        <v>33273</v>
      </c>
      <c r="E630" s="36" t="s">
        <v>1</v>
      </c>
      <c r="F630" s="36">
        <v>1</v>
      </c>
      <c r="G630" s="36">
        <v>2</v>
      </c>
      <c r="H630" s="36">
        <v>0</v>
      </c>
      <c r="I630" s="37">
        <v>0</v>
      </c>
      <c r="J630" s="36" t="s">
        <v>32654</v>
      </c>
      <c r="K630" s="36" t="s">
        <v>14330</v>
      </c>
      <c r="L630" s="36" t="s">
        <v>14330</v>
      </c>
      <c r="M630">
        <v>3</v>
      </c>
      <c r="N630" t="s">
        <v>14331</v>
      </c>
      <c r="O630" t="s">
        <v>32633</v>
      </c>
    </row>
    <row r="631" spans="1:15" x14ac:dyDescent="0.25">
      <c r="A631" s="35" t="s">
        <v>4202</v>
      </c>
      <c r="B631" s="36" t="s">
        <v>4203</v>
      </c>
      <c r="C631" s="36" t="str">
        <f>HYPERLINK("https://rhld.insurance.arkansas.gov/NPILookup?Npi=1588692719","1588692719")</f>
        <v>1588692719</v>
      </c>
      <c r="D631" s="36" t="s">
        <v>33274</v>
      </c>
      <c r="E631" s="36" t="s">
        <v>1</v>
      </c>
      <c r="F631" s="36">
        <v>1</v>
      </c>
      <c r="G631" s="36">
        <v>3</v>
      </c>
      <c r="H631" s="36">
        <v>0</v>
      </c>
      <c r="I631" s="37">
        <v>0</v>
      </c>
      <c r="J631" s="36" t="s">
        <v>32654</v>
      </c>
      <c r="K631" s="36" t="s">
        <v>14330</v>
      </c>
      <c r="L631" s="36" t="s">
        <v>14330</v>
      </c>
      <c r="M631">
        <v>3</v>
      </c>
      <c r="N631" t="s">
        <v>14331</v>
      </c>
      <c r="O631" t="s">
        <v>32633</v>
      </c>
    </row>
    <row r="632" spans="1:15" x14ac:dyDescent="0.25">
      <c r="A632" s="35" t="s">
        <v>4202</v>
      </c>
      <c r="B632" s="36" t="s">
        <v>4203</v>
      </c>
      <c r="C632" s="36" t="str">
        <f>HYPERLINK("https://rhld.insurance.arkansas.gov/NPILookup?Npi=1588692826","1588692826")</f>
        <v>1588692826</v>
      </c>
      <c r="D632" s="36" t="s">
        <v>33275</v>
      </c>
      <c r="E632" s="36" t="s">
        <v>1</v>
      </c>
      <c r="F632" s="36">
        <v>1</v>
      </c>
      <c r="G632" s="36">
        <v>3</v>
      </c>
      <c r="H632" s="36">
        <v>0</v>
      </c>
      <c r="I632" s="37">
        <v>0</v>
      </c>
      <c r="J632" s="36" t="s">
        <v>32654</v>
      </c>
      <c r="K632" s="36" t="s">
        <v>14330</v>
      </c>
      <c r="L632" s="36" t="s">
        <v>14330</v>
      </c>
      <c r="M632">
        <v>3</v>
      </c>
      <c r="N632" t="s">
        <v>14331</v>
      </c>
      <c r="O632" t="s">
        <v>32633</v>
      </c>
    </row>
    <row r="633" spans="1:15" x14ac:dyDescent="0.25">
      <c r="A633" s="35" t="s">
        <v>4202</v>
      </c>
      <c r="B633" s="36" t="s">
        <v>4203</v>
      </c>
      <c r="C633" s="36" t="str">
        <f>HYPERLINK("https://rhld.insurance.arkansas.gov/NPILookup?Npi=1588928436","1588928436")</f>
        <v>1588928436</v>
      </c>
      <c r="D633" s="36" t="s">
        <v>33276</v>
      </c>
      <c r="E633" s="36" t="s">
        <v>1</v>
      </c>
      <c r="F633" s="36">
        <v>1</v>
      </c>
      <c r="G633" s="36">
        <v>3</v>
      </c>
      <c r="H633" s="36">
        <v>0</v>
      </c>
      <c r="I633" s="37">
        <v>0</v>
      </c>
      <c r="J633" s="36" t="s">
        <v>32654</v>
      </c>
      <c r="K633" s="36" t="s">
        <v>14330</v>
      </c>
      <c r="L633" s="36" t="s">
        <v>14330</v>
      </c>
      <c r="M633">
        <v>2</v>
      </c>
      <c r="N633" t="s">
        <v>14331</v>
      </c>
      <c r="O633" t="s">
        <v>32633</v>
      </c>
    </row>
    <row r="634" spans="1:15" x14ac:dyDescent="0.25">
      <c r="A634" s="35" t="s">
        <v>4202</v>
      </c>
      <c r="B634" s="36" t="s">
        <v>4203</v>
      </c>
      <c r="C634" s="36" t="str">
        <f>HYPERLINK("https://rhld.insurance.arkansas.gov/NPILookup?Npi=1598705683","1598705683")</f>
        <v>1598705683</v>
      </c>
      <c r="D634" s="36" t="s">
        <v>33277</v>
      </c>
      <c r="E634" s="36" t="s">
        <v>1</v>
      </c>
      <c r="F634" s="36">
        <v>1</v>
      </c>
      <c r="G634" s="36">
        <v>2</v>
      </c>
      <c r="H634" s="36">
        <v>0</v>
      </c>
      <c r="I634" s="37">
        <v>0</v>
      </c>
      <c r="J634" s="36" t="s">
        <v>32654</v>
      </c>
      <c r="K634" s="36" t="s">
        <v>14330</v>
      </c>
      <c r="L634" s="36" t="s">
        <v>14330</v>
      </c>
      <c r="M634">
        <v>2</v>
      </c>
      <c r="N634" t="s">
        <v>14331</v>
      </c>
      <c r="O634" t="s">
        <v>32633</v>
      </c>
    </row>
    <row r="635" spans="1:15" x14ac:dyDescent="0.25">
      <c r="A635" s="35" t="s">
        <v>4202</v>
      </c>
      <c r="B635" s="36" t="s">
        <v>4203</v>
      </c>
      <c r="C635" s="36" t="str">
        <f>HYPERLINK("https://rhld.insurance.arkansas.gov/NPILookup?Npi=1598728222","1598728222")</f>
        <v>1598728222</v>
      </c>
      <c r="D635" s="36" t="s">
        <v>33278</v>
      </c>
      <c r="E635" s="36" t="s">
        <v>2</v>
      </c>
      <c r="F635" s="36">
        <v>1</v>
      </c>
      <c r="G635" s="36">
        <v>2</v>
      </c>
      <c r="H635" s="36">
        <v>0</v>
      </c>
      <c r="I635" s="37">
        <v>0</v>
      </c>
      <c r="J635" s="36" t="s">
        <v>32679</v>
      </c>
      <c r="K635" s="36" t="s">
        <v>14330</v>
      </c>
      <c r="L635" s="36" t="s">
        <v>14330</v>
      </c>
      <c r="M635">
        <v>3</v>
      </c>
      <c r="N635" t="s">
        <v>14331</v>
      </c>
      <c r="O635" t="s">
        <v>32633</v>
      </c>
    </row>
    <row r="636" spans="1:15" x14ac:dyDescent="0.25">
      <c r="A636" s="35" t="s">
        <v>4202</v>
      </c>
      <c r="B636" s="36" t="s">
        <v>4203</v>
      </c>
      <c r="C636" s="36" t="str">
        <f>HYPERLINK("https://rhld.insurance.arkansas.gov/NPILookup?Npi=1609315951","1609315951")</f>
        <v>1609315951</v>
      </c>
      <c r="D636" s="36" t="s">
        <v>33279</v>
      </c>
      <c r="E636" s="36" t="s">
        <v>1</v>
      </c>
      <c r="F636" s="36">
        <v>1</v>
      </c>
      <c r="G636" s="36">
        <v>3</v>
      </c>
      <c r="H636" s="36">
        <v>0</v>
      </c>
      <c r="I636" s="37">
        <v>0</v>
      </c>
      <c r="J636" s="36" t="s">
        <v>32654</v>
      </c>
      <c r="K636" s="36" t="s">
        <v>14330</v>
      </c>
      <c r="L636" s="36" t="s">
        <v>14330</v>
      </c>
      <c r="M636">
        <v>3</v>
      </c>
      <c r="N636" t="s">
        <v>14331</v>
      </c>
      <c r="O636" t="s">
        <v>32633</v>
      </c>
    </row>
    <row r="637" spans="1:15" x14ac:dyDescent="0.25">
      <c r="A637" s="35" t="s">
        <v>4202</v>
      </c>
      <c r="B637" s="36" t="s">
        <v>4203</v>
      </c>
      <c r="C637" s="36" t="str">
        <f>HYPERLINK("https://rhld.insurance.arkansas.gov/NPILookup?Npi=1619105277","1619105277")</f>
        <v>1619105277</v>
      </c>
      <c r="D637" s="36" t="s">
        <v>33280</v>
      </c>
      <c r="E637" s="36" t="s">
        <v>1</v>
      </c>
      <c r="F637" s="36">
        <v>1</v>
      </c>
      <c r="G637" s="36">
        <v>3</v>
      </c>
      <c r="H637" s="36">
        <v>0</v>
      </c>
      <c r="I637" s="37">
        <v>0</v>
      </c>
      <c r="J637" s="36" t="s">
        <v>32654</v>
      </c>
      <c r="K637" s="36" t="s">
        <v>14330</v>
      </c>
      <c r="L637" s="36" t="s">
        <v>14330</v>
      </c>
      <c r="M637">
        <v>2</v>
      </c>
      <c r="N637" t="s">
        <v>14331</v>
      </c>
      <c r="O637" t="s">
        <v>32633</v>
      </c>
    </row>
    <row r="638" spans="1:15" x14ac:dyDescent="0.25">
      <c r="A638" s="35" t="s">
        <v>4202</v>
      </c>
      <c r="B638" s="36" t="s">
        <v>4203</v>
      </c>
      <c r="C638" s="36" t="str">
        <f>HYPERLINK("https://rhld.insurance.arkansas.gov/NPILookup?Npi=1619128360","1619128360")</f>
        <v>1619128360</v>
      </c>
      <c r="D638" s="36" t="s">
        <v>33281</v>
      </c>
      <c r="E638" s="36" t="s">
        <v>1</v>
      </c>
      <c r="F638" s="36">
        <v>1</v>
      </c>
      <c r="G638" s="36">
        <v>2</v>
      </c>
      <c r="H638" s="36">
        <v>0</v>
      </c>
      <c r="I638" s="37">
        <v>0</v>
      </c>
      <c r="J638" s="36" t="s">
        <v>32654</v>
      </c>
      <c r="K638" s="36" t="s">
        <v>14330</v>
      </c>
      <c r="L638" s="36" t="s">
        <v>14330</v>
      </c>
      <c r="M638">
        <v>3</v>
      </c>
      <c r="N638" t="s">
        <v>14331</v>
      </c>
      <c r="O638" t="s">
        <v>32633</v>
      </c>
    </row>
    <row r="639" spans="1:15" x14ac:dyDescent="0.25">
      <c r="A639" s="35" t="s">
        <v>4202</v>
      </c>
      <c r="B639" s="36" t="s">
        <v>4203</v>
      </c>
      <c r="C639" s="36" t="str">
        <f>HYPERLINK("https://rhld.insurance.arkansas.gov/NPILookup?Npi=1619236981","1619236981")</f>
        <v>1619236981</v>
      </c>
      <c r="D639" s="36" t="s">
        <v>33282</v>
      </c>
      <c r="E639" s="36" t="s">
        <v>1</v>
      </c>
      <c r="F639" s="36">
        <v>1</v>
      </c>
      <c r="G639" s="36">
        <v>3</v>
      </c>
      <c r="H639" s="36">
        <v>0</v>
      </c>
      <c r="I639" s="37">
        <v>0</v>
      </c>
      <c r="J639" s="36" t="s">
        <v>32654</v>
      </c>
      <c r="K639" s="36" t="s">
        <v>14330</v>
      </c>
      <c r="L639" s="36" t="s">
        <v>14330</v>
      </c>
      <c r="M639">
        <v>2</v>
      </c>
      <c r="N639" t="s">
        <v>14331</v>
      </c>
      <c r="O639" t="s">
        <v>32633</v>
      </c>
    </row>
    <row r="640" spans="1:15" x14ac:dyDescent="0.25">
      <c r="A640" s="35" t="s">
        <v>4202</v>
      </c>
      <c r="B640" s="36" t="s">
        <v>4203</v>
      </c>
      <c r="C640" s="36" t="str">
        <f>HYPERLINK("https://rhld.insurance.arkansas.gov/NPILookup?Npi=1619994761","1619994761")</f>
        <v>1619994761</v>
      </c>
      <c r="D640" s="36" t="s">
        <v>33283</v>
      </c>
      <c r="E640" s="36" t="s">
        <v>2</v>
      </c>
      <c r="F640" s="36">
        <v>1</v>
      </c>
      <c r="G640" s="36">
        <v>2</v>
      </c>
      <c r="H640" s="36">
        <v>0</v>
      </c>
      <c r="I640" s="37">
        <v>0</v>
      </c>
      <c r="J640" s="36" t="s">
        <v>32679</v>
      </c>
      <c r="K640" s="36" t="s">
        <v>14330</v>
      </c>
      <c r="L640" s="36" t="s">
        <v>14330</v>
      </c>
      <c r="M640">
        <v>2</v>
      </c>
      <c r="N640" t="s">
        <v>14331</v>
      </c>
      <c r="O640" t="s">
        <v>32633</v>
      </c>
    </row>
    <row r="641" spans="1:15" x14ac:dyDescent="0.25">
      <c r="A641" s="35" t="s">
        <v>4202</v>
      </c>
      <c r="B641" s="36" t="s">
        <v>4203</v>
      </c>
      <c r="C641" s="36" t="str">
        <f>HYPERLINK("https://rhld.insurance.arkansas.gov/NPILookup?Npi=1629095328","1629095328")</f>
        <v>1629095328</v>
      </c>
      <c r="D641" s="36" t="s">
        <v>33284</v>
      </c>
      <c r="E641" s="36" t="s">
        <v>1</v>
      </c>
      <c r="F641" s="36">
        <v>1</v>
      </c>
      <c r="G641" s="36">
        <v>2</v>
      </c>
      <c r="H641" s="36">
        <v>0</v>
      </c>
      <c r="I641" s="37">
        <v>0</v>
      </c>
      <c r="J641" s="36" t="s">
        <v>32654</v>
      </c>
      <c r="K641" s="36" t="s">
        <v>14330</v>
      </c>
      <c r="L641" s="36" t="s">
        <v>14330</v>
      </c>
      <c r="M641">
        <v>2</v>
      </c>
      <c r="N641" t="s">
        <v>14331</v>
      </c>
      <c r="O641" t="s">
        <v>32633</v>
      </c>
    </row>
    <row r="642" spans="1:15" x14ac:dyDescent="0.25">
      <c r="A642" s="35" t="s">
        <v>4202</v>
      </c>
      <c r="B642" s="36" t="s">
        <v>4203</v>
      </c>
      <c r="C642" s="36" t="str">
        <f>HYPERLINK("https://rhld.insurance.arkansas.gov/NPILookup?Npi=1629139969","1629139969")</f>
        <v>1629139969</v>
      </c>
      <c r="D642" s="36" t="s">
        <v>33285</v>
      </c>
      <c r="E642" s="36" t="s">
        <v>2</v>
      </c>
      <c r="F642" s="36">
        <v>1</v>
      </c>
      <c r="G642" s="36">
        <v>2</v>
      </c>
      <c r="H642" s="36">
        <v>0</v>
      </c>
      <c r="I642" s="37">
        <v>0</v>
      </c>
      <c r="J642" s="36"/>
      <c r="K642" s="36" t="s">
        <v>14330</v>
      </c>
      <c r="L642" s="36" t="s">
        <v>14330</v>
      </c>
      <c r="M642">
        <v>1</v>
      </c>
      <c r="N642" t="s">
        <v>14331</v>
      </c>
      <c r="O642" t="s">
        <v>32633</v>
      </c>
    </row>
    <row r="643" spans="1:15" x14ac:dyDescent="0.25">
      <c r="A643" s="35" t="s">
        <v>4202</v>
      </c>
      <c r="B643" s="36" t="s">
        <v>4203</v>
      </c>
      <c r="C643" s="36" t="str">
        <f>HYPERLINK("https://rhld.insurance.arkansas.gov/NPILookup?Npi=1629157359","1629157359")</f>
        <v>1629157359</v>
      </c>
      <c r="D643" s="36" t="s">
        <v>33286</v>
      </c>
      <c r="E643" s="36" t="s">
        <v>1</v>
      </c>
      <c r="F643" s="36">
        <v>1</v>
      </c>
      <c r="G643" s="36">
        <v>1</v>
      </c>
      <c r="H643" s="36">
        <v>0</v>
      </c>
      <c r="I643" s="37">
        <v>0</v>
      </c>
      <c r="J643" s="36" t="s">
        <v>32723</v>
      </c>
      <c r="K643" s="36" t="s">
        <v>14330</v>
      </c>
      <c r="L643" s="36" t="s">
        <v>14330</v>
      </c>
      <c r="M643">
        <v>3</v>
      </c>
      <c r="N643" t="s">
        <v>14331</v>
      </c>
      <c r="O643" t="s">
        <v>32724</v>
      </c>
    </row>
    <row r="644" spans="1:15" x14ac:dyDescent="0.25">
      <c r="A644" s="35" t="s">
        <v>4202</v>
      </c>
      <c r="B644" s="36" t="s">
        <v>4203</v>
      </c>
      <c r="C644" s="36" t="str">
        <f>HYPERLINK("https://rhld.insurance.arkansas.gov/NPILookup?Npi=1629207386","1629207386")</f>
        <v>1629207386</v>
      </c>
      <c r="D644" s="36" t="s">
        <v>33287</v>
      </c>
      <c r="E644" s="36" t="s">
        <v>1</v>
      </c>
      <c r="F644" s="36">
        <v>1</v>
      </c>
      <c r="G644" s="36">
        <v>3</v>
      </c>
      <c r="H644" s="36">
        <v>0</v>
      </c>
      <c r="I644" s="37">
        <v>0</v>
      </c>
      <c r="J644" s="36" t="s">
        <v>32654</v>
      </c>
      <c r="K644" s="36" t="s">
        <v>14330</v>
      </c>
      <c r="L644" s="36" t="s">
        <v>14330</v>
      </c>
      <c r="M644">
        <v>2</v>
      </c>
      <c r="N644" t="s">
        <v>14331</v>
      </c>
      <c r="O644" t="s">
        <v>32633</v>
      </c>
    </row>
    <row r="645" spans="1:15" x14ac:dyDescent="0.25">
      <c r="A645" s="35" t="s">
        <v>4202</v>
      </c>
      <c r="B645" s="36" t="s">
        <v>4203</v>
      </c>
      <c r="C645" s="36" t="str">
        <f>HYPERLINK("https://rhld.insurance.arkansas.gov/NPILookup?Npi=1629398268","1629398268")</f>
        <v>1629398268</v>
      </c>
      <c r="D645" s="36" t="s">
        <v>33288</v>
      </c>
      <c r="E645" s="36" t="s">
        <v>1</v>
      </c>
      <c r="F645" s="36">
        <v>1</v>
      </c>
      <c r="G645" s="36">
        <v>2</v>
      </c>
      <c r="H645" s="36">
        <v>0</v>
      </c>
      <c r="I645" s="37">
        <v>0</v>
      </c>
      <c r="J645" s="36" t="s">
        <v>32654</v>
      </c>
      <c r="K645" s="36" t="s">
        <v>14330</v>
      </c>
      <c r="L645" s="36" t="s">
        <v>14330</v>
      </c>
      <c r="M645">
        <v>2</v>
      </c>
      <c r="N645" t="s">
        <v>14331</v>
      </c>
      <c r="O645" t="s">
        <v>32633</v>
      </c>
    </row>
    <row r="646" spans="1:15" x14ac:dyDescent="0.25">
      <c r="A646" s="35" t="s">
        <v>4202</v>
      </c>
      <c r="B646" s="36" t="s">
        <v>4203</v>
      </c>
      <c r="C646" s="36" t="str">
        <f>HYPERLINK("https://rhld.insurance.arkansas.gov/NPILookup?Npi=1629425913","1629425913")</f>
        <v>1629425913</v>
      </c>
      <c r="D646" s="36" t="s">
        <v>33289</v>
      </c>
      <c r="E646" s="36" t="s">
        <v>1</v>
      </c>
      <c r="F646" s="36">
        <v>1</v>
      </c>
      <c r="G646" s="36">
        <v>2</v>
      </c>
      <c r="H646" s="36">
        <v>0</v>
      </c>
      <c r="I646" s="37">
        <v>0</v>
      </c>
      <c r="J646" s="36" t="s">
        <v>32654</v>
      </c>
      <c r="K646" s="36" t="s">
        <v>14330</v>
      </c>
      <c r="L646" s="36" t="s">
        <v>14330</v>
      </c>
      <c r="M646">
        <v>2</v>
      </c>
      <c r="N646" t="s">
        <v>14331</v>
      </c>
      <c r="O646" t="s">
        <v>32633</v>
      </c>
    </row>
    <row r="647" spans="1:15" x14ac:dyDescent="0.25">
      <c r="A647" s="35" t="s">
        <v>4202</v>
      </c>
      <c r="B647" s="36" t="s">
        <v>4203</v>
      </c>
      <c r="C647" s="36" t="str">
        <f>HYPERLINK("https://rhld.insurance.arkansas.gov/NPILookup?Npi=1629428826","1629428826")</f>
        <v>1629428826</v>
      </c>
      <c r="D647" s="36" t="s">
        <v>33290</v>
      </c>
      <c r="E647" s="36" t="s">
        <v>1</v>
      </c>
      <c r="F647" s="36">
        <v>1</v>
      </c>
      <c r="G647" s="36">
        <v>2</v>
      </c>
      <c r="H647" s="36">
        <v>0</v>
      </c>
      <c r="I647" s="37">
        <v>0</v>
      </c>
      <c r="J647" s="36" t="s">
        <v>32654</v>
      </c>
      <c r="K647" s="36" t="s">
        <v>14330</v>
      </c>
      <c r="L647" s="36" t="s">
        <v>14330</v>
      </c>
      <c r="M647">
        <v>2</v>
      </c>
      <c r="N647" t="s">
        <v>14331</v>
      </c>
      <c r="O647" t="s">
        <v>32633</v>
      </c>
    </row>
    <row r="648" spans="1:15" x14ac:dyDescent="0.25">
      <c r="A648" s="35" t="s">
        <v>4202</v>
      </c>
      <c r="B648" s="36" t="s">
        <v>4203</v>
      </c>
      <c r="C648" s="36" t="str">
        <f>HYPERLINK("https://rhld.insurance.arkansas.gov/NPILookup?Npi=1629561808","1629561808")</f>
        <v>1629561808</v>
      </c>
      <c r="D648" s="36" t="s">
        <v>33291</v>
      </c>
      <c r="E648" s="36" t="s">
        <v>1</v>
      </c>
      <c r="F648" s="36">
        <v>1</v>
      </c>
      <c r="G648" s="36">
        <v>2</v>
      </c>
      <c r="H648" s="36">
        <v>0</v>
      </c>
      <c r="I648" s="37">
        <v>0</v>
      </c>
      <c r="J648" s="36" t="s">
        <v>32654</v>
      </c>
      <c r="K648" s="36" t="s">
        <v>14330</v>
      </c>
      <c r="L648" s="36" t="s">
        <v>14330</v>
      </c>
      <c r="M648">
        <v>3</v>
      </c>
      <c r="N648" t="s">
        <v>14331</v>
      </c>
      <c r="O648" t="s">
        <v>32633</v>
      </c>
    </row>
    <row r="649" spans="1:15" x14ac:dyDescent="0.25">
      <c r="A649" s="35" t="s">
        <v>4202</v>
      </c>
      <c r="B649" s="36" t="s">
        <v>4203</v>
      </c>
      <c r="C649" s="36" t="str">
        <f>HYPERLINK("https://rhld.insurance.arkansas.gov/NPILookup?Npi=1639143829","1639143829")</f>
        <v>1639143829</v>
      </c>
      <c r="D649" s="36" t="s">
        <v>32668</v>
      </c>
      <c r="E649" s="36" t="s">
        <v>1</v>
      </c>
      <c r="F649" s="36">
        <v>1</v>
      </c>
      <c r="G649" s="36">
        <v>3</v>
      </c>
      <c r="H649" s="36">
        <v>0</v>
      </c>
      <c r="I649" s="37">
        <v>0</v>
      </c>
      <c r="J649" s="36" t="s">
        <v>32669</v>
      </c>
      <c r="K649" s="36" t="s">
        <v>32669</v>
      </c>
      <c r="L649" s="36" t="s">
        <v>14330</v>
      </c>
      <c r="M649">
        <v>2</v>
      </c>
      <c r="N649" t="s">
        <v>14331</v>
      </c>
      <c r="O649" t="s">
        <v>32633</v>
      </c>
    </row>
    <row r="650" spans="1:15" x14ac:dyDescent="0.25">
      <c r="A650" s="35" t="s">
        <v>4202</v>
      </c>
      <c r="B650" s="36" t="s">
        <v>4203</v>
      </c>
      <c r="C650" s="36" t="str">
        <f>HYPERLINK("https://rhld.insurance.arkansas.gov/NPILookup?Npi=1639177959","1639177959")</f>
        <v>1639177959</v>
      </c>
      <c r="D650" s="36" t="s">
        <v>33292</v>
      </c>
      <c r="E650" s="36" t="s">
        <v>1</v>
      </c>
      <c r="F650" s="36">
        <v>1</v>
      </c>
      <c r="G650" s="36">
        <v>2</v>
      </c>
      <c r="H650" s="36">
        <v>0</v>
      </c>
      <c r="I650" s="37">
        <v>0</v>
      </c>
      <c r="J650" s="36" t="s">
        <v>32654</v>
      </c>
      <c r="K650" s="36" t="s">
        <v>14330</v>
      </c>
      <c r="L650" s="36" t="s">
        <v>14330</v>
      </c>
      <c r="M650">
        <v>2</v>
      </c>
      <c r="N650" t="s">
        <v>14331</v>
      </c>
      <c r="O650" t="s">
        <v>32633</v>
      </c>
    </row>
    <row r="651" spans="1:15" x14ac:dyDescent="0.25">
      <c r="A651" s="35" t="s">
        <v>4202</v>
      </c>
      <c r="B651" s="36" t="s">
        <v>4203</v>
      </c>
      <c r="C651" s="36" t="str">
        <f>HYPERLINK("https://rhld.insurance.arkansas.gov/NPILookup?Npi=1639790983","1639790983")</f>
        <v>1639790983</v>
      </c>
      <c r="D651" s="36" t="s">
        <v>33293</v>
      </c>
      <c r="E651" s="36" t="s">
        <v>1</v>
      </c>
      <c r="F651" s="36">
        <v>1</v>
      </c>
      <c r="G651" s="36">
        <v>2</v>
      </c>
      <c r="H651" s="36">
        <v>0</v>
      </c>
      <c r="I651" s="37">
        <v>0</v>
      </c>
      <c r="J651" s="36" t="s">
        <v>32723</v>
      </c>
      <c r="K651" s="36" t="s">
        <v>14330</v>
      </c>
      <c r="L651" s="36" t="s">
        <v>14330</v>
      </c>
      <c r="M651">
        <v>2</v>
      </c>
      <c r="N651" t="s">
        <v>14331</v>
      </c>
      <c r="O651" t="s">
        <v>32724</v>
      </c>
    </row>
    <row r="652" spans="1:15" x14ac:dyDescent="0.25">
      <c r="A652" s="35" t="s">
        <v>4202</v>
      </c>
      <c r="B652" s="36" t="s">
        <v>4203</v>
      </c>
      <c r="C652" s="36" t="str">
        <f>HYPERLINK("https://rhld.insurance.arkansas.gov/NPILookup?Npi=1639829559","1639829559")</f>
        <v>1639829559</v>
      </c>
      <c r="D652" s="36" t="s">
        <v>33294</v>
      </c>
      <c r="E652" s="36" t="s">
        <v>2</v>
      </c>
      <c r="F652" s="36">
        <v>1</v>
      </c>
      <c r="G652" s="36">
        <v>2</v>
      </c>
      <c r="H652" s="36">
        <v>0</v>
      </c>
      <c r="I652" s="37">
        <v>0</v>
      </c>
      <c r="J652" s="36" t="s">
        <v>32679</v>
      </c>
      <c r="K652" s="36" t="s">
        <v>14330</v>
      </c>
      <c r="L652" s="36" t="s">
        <v>14330</v>
      </c>
      <c r="M652">
        <v>3</v>
      </c>
      <c r="N652" t="s">
        <v>14331</v>
      </c>
      <c r="O652" t="s">
        <v>32633</v>
      </c>
    </row>
    <row r="653" spans="1:15" x14ac:dyDescent="0.25">
      <c r="A653" s="35" t="s">
        <v>4202</v>
      </c>
      <c r="B653" s="36" t="s">
        <v>4203</v>
      </c>
      <c r="C653" s="36" t="str">
        <f>HYPERLINK("https://rhld.insurance.arkansas.gov/NPILookup?Npi=1649304114","1649304114")</f>
        <v>1649304114</v>
      </c>
      <c r="D653" s="36" t="s">
        <v>33295</v>
      </c>
      <c r="E653" s="36" t="s">
        <v>1</v>
      </c>
      <c r="F653" s="36">
        <v>1</v>
      </c>
      <c r="G653" s="36">
        <v>3</v>
      </c>
      <c r="H653" s="36">
        <v>0</v>
      </c>
      <c r="I653" s="37">
        <v>0</v>
      </c>
      <c r="J653" s="36" t="s">
        <v>32723</v>
      </c>
      <c r="K653" s="36" t="s">
        <v>14330</v>
      </c>
      <c r="L653" s="36" t="s">
        <v>14330</v>
      </c>
      <c r="M653">
        <v>3</v>
      </c>
      <c r="N653" t="s">
        <v>14331</v>
      </c>
      <c r="O653" t="s">
        <v>32724</v>
      </c>
    </row>
    <row r="654" spans="1:15" x14ac:dyDescent="0.25">
      <c r="A654" s="35" t="s">
        <v>4202</v>
      </c>
      <c r="B654" s="36" t="s">
        <v>4203</v>
      </c>
      <c r="C654" s="36" t="str">
        <f>HYPERLINK("https://rhld.insurance.arkansas.gov/NPILookup?Npi=1649440900","1649440900")</f>
        <v>1649440900</v>
      </c>
      <c r="D654" s="36" t="s">
        <v>33296</v>
      </c>
      <c r="E654" s="36" t="s">
        <v>1</v>
      </c>
      <c r="F654" s="36">
        <v>1</v>
      </c>
      <c r="G654" s="36">
        <v>3</v>
      </c>
      <c r="H654" s="36">
        <v>0</v>
      </c>
      <c r="I654" s="37">
        <v>0</v>
      </c>
      <c r="J654" s="36" t="s">
        <v>32723</v>
      </c>
      <c r="K654" s="36" t="s">
        <v>14330</v>
      </c>
      <c r="L654" s="36" t="s">
        <v>14330</v>
      </c>
      <c r="M654">
        <v>2</v>
      </c>
      <c r="N654" t="s">
        <v>14331</v>
      </c>
      <c r="O654" t="s">
        <v>32724</v>
      </c>
    </row>
    <row r="655" spans="1:15" x14ac:dyDescent="0.25">
      <c r="A655" s="35" t="s">
        <v>4202</v>
      </c>
      <c r="B655" s="36" t="s">
        <v>4203</v>
      </c>
      <c r="C655" s="36" t="str">
        <f>HYPERLINK("https://rhld.insurance.arkansas.gov/NPILookup?Npi=1649508474","1649508474")</f>
        <v>1649508474</v>
      </c>
      <c r="D655" s="36" t="s">
        <v>33297</v>
      </c>
      <c r="E655" s="36" t="s">
        <v>1</v>
      </c>
      <c r="F655" s="36">
        <v>1</v>
      </c>
      <c r="G655" s="36">
        <v>2</v>
      </c>
      <c r="H655" s="36">
        <v>0</v>
      </c>
      <c r="I655" s="37">
        <v>0</v>
      </c>
      <c r="J655" s="36" t="s">
        <v>32654</v>
      </c>
      <c r="K655" s="36" t="s">
        <v>14330</v>
      </c>
      <c r="L655" s="36" t="s">
        <v>14330</v>
      </c>
      <c r="M655">
        <v>3</v>
      </c>
      <c r="N655" t="s">
        <v>14331</v>
      </c>
      <c r="O655" t="s">
        <v>32633</v>
      </c>
    </row>
    <row r="656" spans="1:15" x14ac:dyDescent="0.25">
      <c r="A656" s="35" t="s">
        <v>4202</v>
      </c>
      <c r="B656" s="36" t="s">
        <v>4203</v>
      </c>
      <c r="C656" s="36" t="str">
        <f>HYPERLINK("https://rhld.insurance.arkansas.gov/NPILookup?Npi=1649632886","1649632886")</f>
        <v>1649632886</v>
      </c>
      <c r="D656" s="36" t="s">
        <v>33298</v>
      </c>
      <c r="E656" s="36" t="s">
        <v>1</v>
      </c>
      <c r="F656" s="36">
        <v>1</v>
      </c>
      <c r="G656" s="36">
        <v>3</v>
      </c>
      <c r="H656" s="36">
        <v>0</v>
      </c>
      <c r="I656" s="37">
        <v>0</v>
      </c>
      <c r="J656" s="36" t="s">
        <v>32654</v>
      </c>
      <c r="K656" s="36" t="s">
        <v>14330</v>
      </c>
      <c r="L656" s="36" t="s">
        <v>14330</v>
      </c>
      <c r="M656">
        <v>3</v>
      </c>
      <c r="N656" t="s">
        <v>14331</v>
      </c>
      <c r="O656" t="s">
        <v>32633</v>
      </c>
    </row>
    <row r="657" spans="1:15" x14ac:dyDescent="0.25">
      <c r="A657" s="35" t="s">
        <v>4202</v>
      </c>
      <c r="B657" s="36" t="s">
        <v>4203</v>
      </c>
      <c r="C657" s="36" t="str">
        <f>HYPERLINK("https://rhld.insurance.arkansas.gov/NPILookup?Npi=1649634601","1649634601")</f>
        <v>1649634601</v>
      </c>
      <c r="D657" s="36" t="s">
        <v>33299</v>
      </c>
      <c r="E657" s="36" t="s">
        <v>1</v>
      </c>
      <c r="F657" s="36">
        <v>1</v>
      </c>
      <c r="G657" s="36">
        <v>3</v>
      </c>
      <c r="H657" s="36">
        <v>0</v>
      </c>
      <c r="I657" s="37">
        <v>0</v>
      </c>
      <c r="J657" s="36" t="s">
        <v>32654</v>
      </c>
      <c r="K657" s="36" t="s">
        <v>14330</v>
      </c>
      <c r="L657" s="36" t="s">
        <v>14330</v>
      </c>
      <c r="M657">
        <v>2</v>
      </c>
      <c r="N657" t="s">
        <v>14331</v>
      </c>
      <c r="O657" t="s">
        <v>32633</v>
      </c>
    </row>
    <row r="658" spans="1:15" x14ac:dyDescent="0.25">
      <c r="A658" s="35" t="s">
        <v>4202</v>
      </c>
      <c r="B658" s="36" t="s">
        <v>4203</v>
      </c>
      <c r="C658" s="36" t="str">
        <f>HYPERLINK("https://rhld.insurance.arkansas.gov/NPILookup?Npi=1649700337","1649700337")</f>
        <v>1649700337</v>
      </c>
      <c r="D658" s="36" t="s">
        <v>33300</v>
      </c>
      <c r="E658" s="36" t="s">
        <v>1</v>
      </c>
      <c r="F658" s="36">
        <v>1</v>
      </c>
      <c r="G658" s="36">
        <v>2</v>
      </c>
      <c r="H658" s="36">
        <v>0</v>
      </c>
      <c r="I658" s="37">
        <v>0</v>
      </c>
      <c r="J658" s="36" t="s">
        <v>32654</v>
      </c>
      <c r="K658" s="36" t="s">
        <v>14330</v>
      </c>
      <c r="L658" s="36" t="s">
        <v>14330</v>
      </c>
      <c r="M658">
        <v>2</v>
      </c>
      <c r="N658" t="s">
        <v>14331</v>
      </c>
      <c r="O658" t="s">
        <v>32633</v>
      </c>
    </row>
    <row r="659" spans="1:15" x14ac:dyDescent="0.25">
      <c r="A659" s="35" t="s">
        <v>4202</v>
      </c>
      <c r="B659" s="36" t="s">
        <v>4203</v>
      </c>
      <c r="C659" s="36" t="str">
        <f>HYPERLINK("https://rhld.insurance.arkansas.gov/NPILookup?Npi=1649733478","1649733478")</f>
        <v>1649733478</v>
      </c>
      <c r="D659" s="36" t="s">
        <v>33301</v>
      </c>
      <c r="E659" s="36" t="s">
        <v>1</v>
      </c>
      <c r="F659" s="36">
        <v>1</v>
      </c>
      <c r="G659" s="36">
        <v>2</v>
      </c>
      <c r="H659" s="36">
        <v>0</v>
      </c>
      <c r="I659" s="37">
        <v>0</v>
      </c>
      <c r="J659" s="36" t="s">
        <v>32654</v>
      </c>
      <c r="K659" s="36" t="s">
        <v>14330</v>
      </c>
      <c r="L659" s="36" t="s">
        <v>14330</v>
      </c>
      <c r="M659">
        <v>3</v>
      </c>
      <c r="N659" t="s">
        <v>14331</v>
      </c>
      <c r="O659" t="s">
        <v>32633</v>
      </c>
    </row>
    <row r="660" spans="1:15" x14ac:dyDescent="0.25">
      <c r="A660" s="35" t="s">
        <v>4202</v>
      </c>
      <c r="B660" s="36" t="s">
        <v>4203</v>
      </c>
      <c r="C660" s="36" t="str">
        <f>HYPERLINK("https://rhld.insurance.arkansas.gov/NPILookup?Npi=1659319879","1659319879")</f>
        <v>1659319879</v>
      </c>
      <c r="D660" s="36" t="s">
        <v>33302</v>
      </c>
      <c r="E660" s="36" t="s">
        <v>1</v>
      </c>
      <c r="F660" s="36">
        <v>1</v>
      </c>
      <c r="G660" s="36">
        <v>3</v>
      </c>
      <c r="H660" s="36">
        <v>0</v>
      </c>
      <c r="I660" s="37">
        <v>0</v>
      </c>
      <c r="J660" s="36" t="s">
        <v>32654</v>
      </c>
      <c r="K660" s="36" t="s">
        <v>14330</v>
      </c>
      <c r="L660" s="36" t="s">
        <v>14330</v>
      </c>
      <c r="M660">
        <v>1</v>
      </c>
      <c r="N660" t="s">
        <v>14331</v>
      </c>
      <c r="O660" t="s">
        <v>32633</v>
      </c>
    </row>
    <row r="661" spans="1:15" x14ac:dyDescent="0.25">
      <c r="A661" s="35" t="s">
        <v>4202</v>
      </c>
      <c r="B661" s="36" t="s">
        <v>4203</v>
      </c>
      <c r="C661" s="36" t="str">
        <f>HYPERLINK("https://rhld.insurance.arkansas.gov/NPILookup?Npi=1659327765","1659327765")</f>
        <v>1659327765</v>
      </c>
      <c r="D661" s="36" t="s">
        <v>33303</v>
      </c>
      <c r="E661" s="36" t="s">
        <v>1</v>
      </c>
      <c r="F661" s="36">
        <v>1</v>
      </c>
      <c r="G661" s="36">
        <v>1</v>
      </c>
      <c r="H661" s="36">
        <v>0</v>
      </c>
      <c r="I661" s="37">
        <v>0</v>
      </c>
      <c r="J661" s="36" t="s">
        <v>32723</v>
      </c>
      <c r="K661" s="36" t="s">
        <v>14330</v>
      </c>
      <c r="L661" s="36" t="s">
        <v>14330</v>
      </c>
      <c r="M661">
        <v>2</v>
      </c>
      <c r="N661" t="s">
        <v>14331</v>
      </c>
      <c r="O661" t="s">
        <v>32724</v>
      </c>
    </row>
    <row r="662" spans="1:15" x14ac:dyDescent="0.25">
      <c r="A662" s="35" t="s">
        <v>4202</v>
      </c>
      <c r="B662" s="36" t="s">
        <v>4203</v>
      </c>
      <c r="C662" s="36" t="str">
        <f>HYPERLINK("https://rhld.insurance.arkansas.gov/NPILookup?Npi=1659395960","1659395960")</f>
        <v>1659395960</v>
      </c>
      <c r="D662" s="36" t="s">
        <v>33304</v>
      </c>
      <c r="E662" s="36" t="s">
        <v>1</v>
      </c>
      <c r="F662" s="36">
        <v>1</v>
      </c>
      <c r="G662" s="36">
        <v>2</v>
      </c>
      <c r="H662" s="36">
        <v>0</v>
      </c>
      <c r="I662" s="37">
        <v>0</v>
      </c>
      <c r="J662" s="36" t="s">
        <v>32654</v>
      </c>
      <c r="K662" s="36" t="s">
        <v>14330</v>
      </c>
      <c r="L662" s="36" t="s">
        <v>14330</v>
      </c>
      <c r="M662">
        <v>3</v>
      </c>
      <c r="N662" t="s">
        <v>14331</v>
      </c>
      <c r="O662" t="s">
        <v>32633</v>
      </c>
    </row>
    <row r="663" spans="1:15" x14ac:dyDescent="0.25">
      <c r="A663" s="35" t="s">
        <v>4202</v>
      </c>
      <c r="B663" s="36" t="s">
        <v>4203</v>
      </c>
      <c r="C663" s="36" t="str">
        <f>HYPERLINK("https://rhld.insurance.arkansas.gov/NPILookup?Npi=1659523124","1659523124")</f>
        <v>1659523124</v>
      </c>
      <c r="D663" s="36" t="s">
        <v>33305</v>
      </c>
      <c r="E663" s="36" t="s">
        <v>1</v>
      </c>
      <c r="F663" s="36">
        <v>1</v>
      </c>
      <c r="G663" s="36">
        <v>3</v>
      </c>
      <c r="H663" s="36">
        <v>0</v>
      </c>
      <c r="I663" s="37">
        <v>0</v>
      </c>
      <c r="J663" s="36" t="s">
        <v>32654</v>
      </c>
      <c r="K663" s="36" t="s">
        <v>14330</v>
      </c>
      <c r="L663" s="36" t="s">
        <v>14330</v>
      </c>
      <c r="M663">
        <v>3</v>
      </c>
      <c r="N663" t="s">
        <v>14331</v>
      </c>
      <c r="O663" t="s">
        <v>32633</v>
      </c>
    </row>
    <row r="664" spans="1:15" x14ac:dyDescent="0.25">
      <c r="A664" s="35" t="s">
        <v>4202</v>
      </c>
      <c r="B664" s="36" t="s">
        <v>4203</v>
      </c>
      <c r="C664" s="36" t="str">
        <f>HYPERLINK("https://rhld.insurance.arkansas.gov/NPILookup?Npi=1659634277","1659634277")</f>
        <v>1659634277</v>
      </c>
      <c r="D664" s="36" t="s">
        <v>33306</v>
      </c>
      <c r="E664" s="36" t="s">
        <v>1</v>
      </c>
      <c r="F664" s="36">
        <v>1</v>
      </c>
      <c r="G664" s="36">
        <v>3</v>
      </c>
      <c r="H664" s="36">
        <v>0</v>
      </c>
      <c r="I664" s="37">
        <v>0</v>
      </c>
      <c r="J664" s="36" t="s">
        <v>32654</v>
      </c>
      <c r="K664" s="36" t="s">
        <v>14330</v>
      </c>
      <c r="L664" s="36" t="s">
        <v>14330</v>
      </c>
      <c r="M664">
        <v>3</v>
      </c>
      <c r="N664" t="s">
        <v>14331</v>
      </c>
      <c r="O664" t="s">
        <v>32633</v>
      </c>
    </row>
    <row r="665" spans="1:15" x14ac:dyDescent="0.25">
      <c r="A665" s="35" t="s">
        <v>4202</v>
      </c>
      <c r="B665" s="36" t="s">
        <v>4203</v>
      </c>
      <c r="C665" s="36" t="str">
        <f>HYPERLINK("https://rhld.insurance.arkansas.gov/NPILookup?Npi=1659660314","1659660314")</f>
        <v>1659660314</v>
      </c>
      <c r="D665" s="36" t="s">
        <v>33307</v>
      </c>
      <c r="E665" s="36" t="s">
        <v>1</v>
      </c>
      <c r="F665" s="36">
        <v>1</v>
      </c>
      <c r="G665" s="36">
        <v>3</v>
      </c>
      <c r="H665" s="36">
        <v>0</v>
      </c>
      <c r="I665" s="37">
        <v>0</v>
      </c>
      <c r="J665" s="36" t="s">
        <v>32654</v>
      </c>
      <c r="K665" s="36" t="s">
        <v>14330</v>
      </c>
      <c r="L665" s="36" t="s">
        <v>14330</v>
      </c>
      <c r="M665">
        <v>2</v>
      </c>
      <c r="N665" t="s">
        <v>14331</v>
      </c>
      <c r="O665" t="s">
        <v>32633</v>
      </c>
    </row>
    <row r="666" spans="1:15" x14ac:dyDescent="0.25">
      <c r="A666" s="35" t="s">
        <v>4202</v>
      </c>
      <c r="B666" s="36" t="s">
        <v>4203</v>
      </c>
      <c r="C666" s="36" t="str">
        <f>HYPERLINK("https://rhld.insurance.arkansas.gov/NPILookup?Npi=1659697555","1659697555")</f>
        <v>1659697555</v>
      </c>
      <c r="D666" s="36" t="s">
        <v>33308</v>
      </c>
      <c r="E666" s="36" t="s">
        <v>1</v>
      </c>
      <c r="F666" s="36">
        <v>1</v>
      </c>
      <c r="G666" s="36">
        <v>2</v>
      </c>
      <c r="H666" s="36">
        <v>0</v>
      </c>
      <c r="I666" s="37">
        <v>0</v>
      </c>
      <c r="J666" s="36" t="s">
        <v>32723</v>
      </c>
      <c r="K666" s="36" t="s">
        <v>14330</v>
      </c>
      <c r="L666" s="36" t="s">
        <v>14330</v>
      </c>
      <c r="M666">
        <v>2</v>
      </c>
      <c r="N666" t="s">
        <v>14331</v>
      </c>
      <c r="O666" t="s">
        <v>32724</v>
      </c>
    </row>
    <row r="667" spans="1:15" x14ac:dyDescent="0.25">
      <c r="A667" s="35" t="s">
        <v>4202</v>
      </c>
      <c r="B667" s="36" t="s">
        <v>4203</v>
      </c>
      <c r="C667" s="36" t="str">
        <f>HYPERLINK("https://rhld.insurance.arkansas.gov/NPILookup?Npi=1659710531","1659710531")</f>
        <v>1659710531</v>
      </c>
      <c r="D667" s="36" t="s">
        <v>33309</v>
      </c>
      <c r="E667" s="36" t="s">
        <v>1</v>
      </c>
      <c r="F667" s="36">
        <v>1</v>
      </c>
      <c r="G667" s="36">
        <v>2</v>
      </c>
      <c r="H667" s="36">
        <v>0</v>
      </c>
      <c r="I667" s="37">
        <v>0</v>
      </c>
      <c r="J667" s="36" t="s">
        <v>32654</v>
      </c>
      <c r="K667" s="36" t="s">
        <v>14330</v>
      </c>
      <c r="L667" s="36" t="s">
        <v>14330</v>
      </c>
      <c r="M667">
        <v>2</v>
      </c>
      <c r="N667" t="s">
        <v>14331</v>
      </c>
      <c r="O667" t="s">
        <v>32633</v>
      </c>
    </row>
    <row r="668" spans="1:15" x14ac:dyDescent="0.25">
      <c r="A668" s="35" t="s">
        <v>4202</v>
      </c>
      <c r="B668" s="36" t="s">
        <v>4203</v>
      </c>
      <c r="C668" s="36" t="str">
        <f>HYPERLINK("https://rhld.insurance.arkansas.gov/NPILookup?Npi=1659734846","1659734846")</f>
        <v>1659734846</v>
      </c>
      <c r="D668" s="36" t="s">
        <v>33310</v>
      </c>
      <c r="E668" s="36" t="s">
        <v>1</v>
      </c>
      <c r="F668" s="36">
        <v>1</v>
      </c>
      <c r="G668" s="36">
        <v>2</v>
      </c>
      <c r="H668" s="36">
        <v>0</v>
      </c>
      <c r="I668" s="37">
        <v>0</v>
      </c>
      <c r="J668" s="36" t="s">
        <v>32654</v>
      </c>
      <c r="K668" s="36" t="s">
        <v>14330</v>
      </c>
      <c r="L668" s="36" t="s">
        <v>14330</v>
      </c>
      <c r="M668">
        <v>0</v>
      </c>
      <c r="N668" t="s">
        <v>14331</v>
      </c>
      <c r="O668" t="s">
        <v>32633</v>
      </c>
    </row>
    <row r="669" spans="1:15" x14ac:dyDescent="0.25">
      <c r="A669" s="35" t="s">
        <v>4202</v>
      </c>
      <c r="B669" s="36" t="s">
        <v>4203</v>
      </c>
      <c r="C669" s="36" t="str">
        <f>HYPERLINK("https://rhld.insurance.arkansas.gov/NPILookup?Npi=1669122990","1669122990")</f>
        <v>1669122990</v>
      </c>
      <c r="D669" s="36" t="s">
        <v>33311</v>
      </c>
      <c r="E669" s="36" t="s">
        <v>2</v>
      </c>
      <c r="F669" s="36">
        <v>1</v>
      </c>
      <c r="G669" s="36">
        <v>1</v>
      </c>
      <c r="H669" s="36">
        <v>1</v>
      </c>
      <c r="I669" s="37">
        <v>0</v>
      </c>
      <c r="J669" s="36" t="s">
        <v>32679</v>
      </c>
      <c r="K669" s="36" t="s">
        <v>14330</v>
      </c>
      <c r="L669" s="36" t="s">
        <v>32959</v>
      </c>
      <c r="M669">
        <v>3</v>
      </c>
      <c r="N669" t="s">
        <v>14331</v>
      </c>
      <c r="O669" t="s">
        <v>32633</v>
      </c>
    </row>
    <row r="670" spans="1:15" x14ac:dyDescent="0.25">
      <c r="A670" s="35" t="s">
        <v>4202</v>
      </c>
      <c r="B670" s="36" t="s">
        <v>4203</v>
      </c>
      <c r="C670" s="36" t="str">
        <f>HYPERLINK("https://rhld.insurance.arkansas.gov/NPILookup?Npi=1669545711","1669545711")</f>
        <v>1669545711</v>
      </c>
      <c r="D670" s="36" t="s">
        <v>33312</v>
      </c>
      <c r="E670" s="36" t="s">
        <v>1</v>
      </c>
      <c r="F670" s="36">
        <v>1</v>
      </c>
      <c r="G670" s="36">
        <v>3</v>
      </c>
      <c r="H670" s="36">
        <v>0</v>
      </c>
      <c r="I670" s="37">
        <v>0</v>
      </c>
      <c r="J670" s="36" t="s">
        <v>32654</v>
      </c>
      <c r="K670" s="36" t="s">
        <v>14330</v>
      </c>
      <c r="L670" s="36" t="s">
        <v>14330</v>
      </c>
      <c r="M670">
        <v>3</v>
      </c>
      <c r="N670" t="s">
        <v>14331</v>
      </c>
      <c r="O670" t="s">
        <v>32633</v>
      </c>
    </row>
    <row r="671" spans="1:15" x14ac:dyDescent="0.25">
      <c r="A671" s="35" t="s">
        <v>4202</v>
      </c>
      <c r="B671" s="36" t="s">
        <v>4203</v>
      </c>
      <c r="C671" s="36" t="str">
        <f>HYPERLINK("https://rhld.insurance.arkansas.gov/NPILookup?Npi=1679515522","1679515522")</f>
        <v>1679515522</v>
      </c>
      <c r="D671" s="36" t="s">
        <v>33313</v>
      </c>
      <c r="E671" s="36" t="s">
        <v>1</v>
      </c>
      <c r="F671" s="36">
        <v>1</v>
      </c>
      <c r="G671" s="36">
        <v>3</v>
      </c>
      <c r="H671" s="36">
        <v>0</v>
      </c>
      <c r="I671" s="37">
        <v>0</v>
      </c>
      <c r="J671" s="36" t="s">
        <v>32654</v>
      </c>
      <c r="K671" s="36" t="s">
        <v>14330</v>
      </c>
      <c r="L671" s="36" t="s">
        <v>14330</v>
      </c>
      <c r="M671">
        <v>3</v>
      </c>
      <c r="N671" t="s">
        <v>14331</v>
      </c>
      <c r="O671" t="s">
        <v>32633</v>
      </c>
    </row>
    <row r="672" spans="1:15" x14ac:dyDescent="0.25">
      <c r="A672" s="35" t="s">
        <v>4202</v>
      </c>
      <c r="B672" s="36" t="s">
        <v>4203</v>
      </c>
      <c r="C672" s="36" t="str">
        <f>HYPERLINK("https://rhld.insurance.arkansas.gov/NPILookup?Npi=1679542302","1679542302")</f>
        <v>1679542302</v>
      </c>
      <c r="D672" s="36" t="s">
        <v>33314</v>
      </c>
      <c r="E672" s="36" t="s">
        <v>1</v>
      </c>
      <c r="F672" s="36">
        <v>1</v>
      </c>
      <c r="G672" s="36">
        <v>3</v>
      </c>
      <c r="H672" s="36">
        <v>0</v>
      </c>
      <c r="I672" s="37">
        <v>0</v>
      </c>
      <c r="J672" s="36" t="s">
        <v>32654</v>
      </c>
      <c r="K672" s="36" t="s">
        <v>14330</v>
      </c>
      <c r="L672" s="36" t="s">
        <v>14330</v>
      </c>
      <c r="M672">
        <v>2</v>
      </c>
      <c r="N672" t="s">
        <v>14331</v>
      </c>
      <c r="O672" t="s">
        <v>32633</v>
      </c>
    </row>
    <row r="673" spans="1:15" x14ac:dyDescent="0.25">
      <c r="A673" s="35" t="s">
        <v>4202</v>
      </c>
      <c r="B673" s="36" t="s">
        <v>4203</v>
      </c>
      <c r="C673" s="36" t="str">
        <f>HYPERLINK("https://rhld.insurance.arkansas.gov/NPILookup?Npi=1679571863","1679571863")</f>
        <v>1679571863</v>
      </c>
      <c r="D673" s="36" t="s">
        <v>33315</v>
      </c>
      <c r="E673" s="36" t="s">
        <v>1</v>
      </c>
      <c r="F673" s="36">
        <v>1</v>
      </c>
      <c r="G673" s="36">
        <v>2</v>
      </c>
      <c r="H673" s="36">
        <v>0</v>
      </c>
      <c r="I673" s="37">
        <v>0</v>
      </c>
      <c r="J673" s="36" t="s">
        <v>32654</v>
      </c>
      <c r="K673" s="36" t="s">
        <v>14330</v>
      </c>
      <c r="L673" s="36" t="s">
        <v>14330</v>
      </c>
      <c r="M673">
        <v>2</v>
      </c>
      <c r="N673" t="s">
        <v>14331</v>
      </c>
      <c r="O673" t="s">
        <v>32633</v>
      </c>
    </row>
    <row r="674" spans="1:15" x14ac:dyDescent="0.25">
      <c r="A674" s="35" t="s">
        <v>4202</v>
      </c>
      <c r="B674" s="36" t="s">
        <v>4203</v>
      </c>
      <c r="C674" s="36" t="str">
        <f>HYPERLINK("https://rhld.insurance.arkansas.gov/NPILookup?Npi=1679576631","1679576631")</f>
        <v>1679576631</v>
      </c>
      <c r="D674" s="36" t="s">
        <v>33316</v>
      </c>
      <c r="E674" s="36" t="s">
        <v>1</v>
      </c>
      <c r="F674" s="36">
        <v>1</v>
      </c>
      <c r="G674" s="36">
        <v>2</v>
      </c>
      <c r="H674" s="36">
        <v>0</v>
      </c>
      <c r="I674" s="37">
        <v>0</v>
      </c>
      <c r="J674" s="36" t="s">
        <v>32654</v>
      </c>
      <c r="K674" s="36" t="s">
        <v>14330</v>
      </c>
      <c r="L674" s="36" t="s">
        <v>14330</v>
      </c>
      <c r="M674">
        <v>2</v>
      </c>
      <c r="N674" t="s">
        <v>14331</v>
      </c>
      <c r="O674" t="s">
        <v>32633</v>
      </c>
    </row>
    <row r="675" spans="1:15" x14ac:dyDescent="0.25">
      <c r="A675" s="35" t="s">
        <v>4202</v>
      </c>
      <c r="B675" s="36" t="s">
        <v>4203</v>
      </c>
      <c r="C675" s="36" t="str">
        <f>HYPERLINK("https://rhld.insurance.arkansas.gov/NPILookup?Npi=1679668925","1679668925")</f>
        <v>1679668925</v>
      </c>
      <c r="D675" s="36" t="s">
        <v>33317</v>
      </c>
      <c r="E675" s="36" t="s">
        <v>1</v>
      </c>
      <c r="F675" s="36">
        <v>1</v>
      </c>
      <c r="G675" s="36">
        <v>2</v>
      </c>
      <c r="H675" s="36">
        <v>0</v>
      </c>
      <c r="I675" s="37">
        <v>0</v>
      </c>
      <c r="J675" s="36" t="s">
        <v>32654</v>
      </c>
      <c r="K675" s="36" t="s">
        <v>14330</v>
      </c>
      <c r="L675" s="36" t="s">
        <v>14330</v>
      </c>
      <c r="M675">
        <v>2</v>
      </c>
      <c r="N675" t="s">
        <v>14331</v>
      </c>
      <c r="O675" t="s">
        <v>32633</v>
      </c>
    </row>
    <row r="676" spans="1:15" x14ac:dyDescent="0.25">
      <c r="A676" s="35" t="s">
        <v>4202</v>
      </c>
      <c r="B676" s="36" t="s">
        <v>4203</v>
      </c>
      <c r="C676" s="36" t="str">
        <f>HYPERLINK("https://rhld.insurance.arkansas.gov/NPILookup?Npi=1679746622","1679746622")</f>
        <v>1679746622</v>
      </c>
      <c r="D676" s="36" t="s">
        <v>33318</v>
      </c>
      <c r="E676" s="36" t="s">
        <v>1</v>
      </c>
      <c r="F676" s="36">
        <v>1</v>
      </c>
      <c r="G676" s="36">
        <v>2</v>
      </c>
      <c r="H676" s="36">
        <v>0</v>
      </c>
      <c r="I676" s="37">
        <v>0</v>
      </c>
      <c r="J676" s="36" t="s">
        <v>32654</v>
      </c>
      <c r="K676" s="36" t="s">
        <v>14330</v>
      </c>
      <c r="L676" s="36" t="s">
        <v>14330</v>
      </c>
      <c r="M676">
        <v>2</v>
      </c>
      <c r="N676" t="s">
        <v>14331</v>
      </c>
      <c r="O676" t="s">
        <v>32633</v>
      </c>
    </row>
    <row r="677" spans="1:15" x14ac:dyDescent="0.25">
      <c r="A677" s="35" t="s">
        <v>4202</v>
      </c>
      <c r="B677" s="36" t="s">
        <v>4203</v>
      </c>
      <c r="C677" s="36" t="str">
        <f>HYPERLINK("https://rhld.insurance.arkansas.gov/NPILookup?Npi=1679836530","1679836530")</f>
        <v>1679836530</v>
      </c>
      <c r="D677" s="36" t="s">
        <v>33319</v>
      </c>
      <c r="E677" s="36" t="s">
        <v>2</v>
      </c>
      <c r="F677" s="36">
        <v>1</v>
      </c>
      <c r="G677" s="36">
        <v>2</v>
      </c>
      <c r="H677" s="36">
        <v>0</v>
      </c>
      <c r="I677" s="37">
        <v>0</v>
      </c>
      <c r="J677" s="36"/>
      <c r="K677" s="36" t="s">
        <v>14330</v>
      </c>
      <c r="L677" s="36" t="s">
        <v>14330</v>
      </c>
      <c r="M677">
        <v>2</v>
      </c>
      <c r="N677" t="s">
        <v>14331</v>
      </c>
      <c r="O677" t="s">
        <v>32633</v>
      </c>
    </row>
    <row r="678" spans="1:15" x14ac:dyDescent="0.25">
      <c r="A678" s="35" t="s">
        <v>4202</v>
      </c>
      <c r="B678" s="36" t="s">
        <v>4203</v>
      </c>
      <c r="C678" s="36" t="str">
        <f>HYPERLINK("https://rhld.insurance.arkansas.gov/NPILookup?Npi=1679862023","1679862023")</f>
        <v>1679862023</v>
      </c>
      <c r="D678" s="36" t="s">
        <v>33320</v>
      </c>
      <c r="E678" s="36" t="s">
        <v>1</v>
      </c>
      <c r="F678" s="36">
        <v>1</v>
      </c>
      <c r="G678" s="36">
        <v>2</v>
      </c>
      <c r="H678" s="36">
        <v>0</v>
      </c>
      <c r="I678" s="37">
        <v>0</v>
      </c>
      <c r="J678" s="36" t="s">
        <v>32654</v>
      </c>
      <c r="K678" s="36" t="s">
        <v>14330</v>
      </c>
      <c r="L678" s="36" t="s">
        <v>14330</v>
      </c>
      <c r="M678">
        <v>3</v>
      </c>
      <c r="N678" t="s">
        <v>14331</v>
      </c>
      <c r="O678" t="s">
        <v>32633</v>
      </c>
    </row>
    <row r="679" spans="1:15" x14ac:dyDescent="0.25">
      <c r="A679" s="35" t="s">
        <v>4202</v>
      </c>
      <c r="B679" s="36" t="s">
        <v>4203</v>
      </c>
      <c r="C679" s="36" t="str">
        <f>HYPERLINK("https://rhld.insurance.arkansas.gov/NPILookup?Npi=1689191108","1689191108")</f>
        <v>1689191108</v>
      </c>
      <c r="D679" s="36" t="s">
        <v>33321</v>
      </c>
      <c r="E679" s="36" t="s">
        <v>1</v>
      </c>
      <c r="F679" s="36">
        <v>1</v>
      </c>
      <c r="G679" s="36">
        <v>3</v>
      </c>
      <c r="H679" s="36">
        <v>0</v>
      </c>
      <c r="I679" s="37">
        <v>0</v>
      </c>
      <c r="J679" s="36" t="s">
        <v>32654</v>
      </c>
      <c r="K679" s="36" t="s">
        <v>14330</v>
      </c>
      <c r="L679" s="36" t="s">
        <v>14330</v>
      </c>
      <c r="M679">
        <v>4</v>
      </c>
      <c r="N679" t="s">
        <v>14331</v>
      </c>
      <c r="O679" t="s">
        <v>32633</v>
      </c>
    </row>
    <row r="680" spans="1:15" x14ac:dyDescent="0.25">
      <c r="A680" s="35" t="s">
        <v>4202</v>
      </c>
      <c r="B680" s="36" t="s">
        <v>4203</v>
      </c>
      <c r="C680" s="36" t="str">
        <f>HYPERLINK("https://rhld.insurance.arkansas.gov/NPILookup?Npi=1689628323","1689628323")</f>
        <v>1689628323</v>
      </c>
      <c r="D680" s="36" t="s">
        <v>33322</v>
      </c>
      <c r="E680" s="36" t="s">
        <v>1</v>
      </c>
      <c r="F680" s="36">
        <v>1</v>
      </c>
      <c r="G680" s="36">
        <v>4</v>
      </c>
      <c r="H680" s="36">
        <v>0</v>
      </c>
      <c r="I680" s="37">
        <v>0</v>
      </c>
      <c r="J680" s="36" t="s">
        <v>32654</v>
      </c>
      <c r="K680" s="36" t="s">
        <v>14330</v>
      </c>
      <c r="L680" s="36" t="s">
        <v>14330</v>
      </c>
      <c r="M680">
        <v>2</v>
      </c>
      <c r="N680" t="s">
        <v>14331</v>
      </c>
      <c r="O680" t="s">
        <v>32633</v>
      </c>
    </row>
    <row r="681" spans="1:15" x14ac:dyDescent="0.25">
      <c r="A681" s="35" t="s">
        <v>4202</v>
      </c>
      <c r="B681" s="36" t="s">
        <v>4203</v>
      </c>
      <c r="C681" s="36" t="str">
        <f>HYPERLINK("https://rhld.insurance.arkansas.gov/NPILookup?Npi=1689884439","1689884439")</f>
        <v>1689884439</v>
      </c>
      <c r="D681" s="36" t="s">
        <v>33323</v>
      </c>
      <c r="E681" s="36" t="s">
        <v>1</v>
      </c>
      <c r="F681" s="36">
        <v>1</v>
      </c>
      <c r="G681" s="36">
        <v>2</v>
      </c>
      <c r="H681" s="36">
        <v>0</v>
      </c>
      <c r="I681" s="37">
        <v>0</v>
      </c>
      <c r="J681" s="36" t="s">
        <v>32723</v>
      </c>
      <c r="K681" s="36" t="s">
        <v>14330</v>
      </c>
      <c r="L681" s="36" t="s">
        <v>14330</v>
      </c>
      <c r="M681">
        <v>1</v>
      </c>
      <c r="N681" t="s">
        <v>14331</v>
      </c>
      <c r="O681" t="s">
        <v>32724</v>
      </c>
    </row>
    <row r="682" spans="1:15" x14ac:dyDescent="0.25">
      <c r="A682" s="35" t="s">
        <v>4202</v>
      </c>
      <c r="B682" s="36" t="s">
        <v>4203</v>
      </c>
      <c r="C682" s="36" t="str">
        <f>HYPERLINK("https://rhld.insurance.arkansas.gov/NPILookup?Npi=1689962409","1689962409")</f>
        <v>1689962409</v>
      </c>
      <c r="D682" s="36" t="s">
        <v>33324</v>
      </c>
      <c r="E682" s="36" t="s">
        <v>1</v>
      </c>
      <c r="F682" s="36">
        <v>1</v>
      </c>
      <c r="G682" s="36">
        <v>1</v>
      </c>
      <c r="H682" s="36">
        <v>0</v>
      </c>
      <c r="I682" s="37">
        <v>0</v>
      </c>
      <c r="J682" s="36" t="s">
        <v>32723</v>
      </c>
      <c r="K682" s="36" t="s">
        <v>14330</v>
      </c>
      <c r="L682" s="36" t="s">
        <v>14330</v>
      </c>
      <c r="M682">
        <v>3</v>
      </c>
      <c r="N682" t="s">
        <v>14331</v>
      </c>
      <c r="O682" t="s">
        <v>32724</v>
      </c>
    </row>
    <row r="683" spans="1:15" x14ac:dyDescent="0.25">
      <c r="A683" s="35" t="s">
        <v>4202</v>
      </c>
      <c r="B683" s="36" t="s">
        <v>4203</v>
      </c>
      <c r="C683" s="36" t="str">
        <f>HYPERLINK("https://rhld.insurance.arkansas.gov/NPILookup?Npi=1689971749","1689971749")</f>
        <v>1689971749</v>
      </c>
      <c r="D683" s="36" t="s">
        <v>33325</v>
      </c>
      <c r="E683" s="36" t="s">
        <v>1</v>
      </c>
      <c r="F683" s="36">
        <v>1</v>
      </c>
      <c r="G683" s="36">
        <v>3</v>
      </c>
      <c r="H683" s="36">
        <v>0</v>
      </c>
      <c r="I683" s="37">
        <v>0</v>
      </c>
      <c r="J683" s="36" t="s">
        <v>32654</v>
      </c>
      <c r="K683" s="36" t="s">
        <v>14330</v>
      </c>
      <c r="L683" s="36" t="s">
        <v>14330</v>
      </c>
      <c r="M683">
        <v>3</v>
      </c>
      <c r="N683" t="s">
        <v>14331</v>
      </c>
      <c r="O683" t="s">
        <v>32633</v>
      </c>
    </row>
    <row r="684" spans="1:15" x14ac:dyDescent="0.25">
      <c r="A684" s="35" t="s">
        <v>4202</v>
      </c>
      <c r="B684" s="36" t="s">
        <v>4203</v>
      </c>
      <c r="C684" s="36" t="str">
        <f>HYPERLINK("https://rhld.insurance.arkansas.gov/NPILookup?Npi=1699040618","1699040618")</f>
        <v>1699040618</v>
      </c>
      <c r="D684" s="36" t="s">
        <v>33326</v>
      </c>
      <c r="E684" s="36" t="s">
        <v>1</v>
      </c>
      <c r="F684" s="36">
        <v>1</v>
      </c>
      <c r="G684" s="36">
        <v>3</v>
      </c>
      <c r="H684" s="36">
        <v>0</v>
      </c>
      <c r="I684" s="37">
        <v>0</v>
      </c>
      <c r="J684" s="36" t="s">
        <v>32654</v>
      </c>
      <c r="K684" s="36" t="s">
        <v>14330</v>
      </c>
      <c r="L684" s="36" t="s">
        <v>14330</v>
      </c>
      <c r="M684">
        <v>2</v>
      </c>
      <c r="N684" t="s">
        <v>14331</v>
      </c>
      <c r="O684" t="s">
        <v>32633</v>
      </c>
    </row>
    <row r="685" spans="1:15" x14ac:dyDescent="0.25">
      <c r="A685" s="35" t="s">
        <v>4202</v>
      </c>
      <c r="B685" s="36" t="s">
        <v>4203</v>
      </c>
      <c r="C685" s="36" t="str">
        <f>HYPERLINK("https://rhld.insurance.arkansas.gov/NPILookup?Npi=1699153338","1699153338")</f>
        <v>1699153338</v>
      </c>
      <c r="D685" s="36" t="s">
        <v>33327</v>
      </c>
      <c r="E685" s="36" t="s">
        <v>1</v>
      </c>
      <c r="F685" s="36">
        <v>1</v>
      </c>
      <c r="G685" s="36">
        <v>2</v>
      </c>
      <c r="H685" s="36">
        <v>0</v>
      </c>
      <c r="I685" s="37">
        <v>0</v>
      </c>
      <c r="J685" s="36" t="s">
        <v>32723</v>
      </c>
      <c r="K685" s="36" t="s">
        <v>14330</v>
      </c>
      <c r="L685" s="36" t="s">
        <v>14330</v>
      </c>
      <c r="M685">
        <v>3</v>
      </c>
      <c r="N685" t="s">
        <v>14331</v>
      </c>
      <c r="O685" t="s">
        <v>32724</v>
      </c>
    </row>
    <row r="686" spans="1:15" x14ac:dyDescent="0.25">
      <c r="A686" s="35" t="s">
        <v>4202</v>
      </c>
      <c r="B686" s="36" t="s">
        <v>4203</v>
      </c>
      <c r="C686" s="36" t="str">
        <f>HYPERLINK("https://rhld.insurance.arkansas.gov/NPILookup?Npi=1699221853","1699221853")</f>
        <v>1699221853</v>
      </c>
      <c r="D686" s="36" t="s">
        <v>33328</v>
      </c>
      <c r="E686" s="36" t="s">
        <v>1</v>
      </c>
      <c r="F686" s="36">
        <v>1</v>
      </c>
      <c r="G686" s="36">
        <v>3</v>
      </c>
      <c r="H686" s="36">
        <v>0</v>
      </c>
      <c r="I686" s="37">
        <v>0</v>
      </c>
      <c r="J686" s="36" t="s">
        <v>32723</v>
      </c>
      <c r="K686" s="36" t="s">
        <v>14330</v>
      </c>
      <c r="L686" s="36" t="s">
        <v>14330</v>
      </c>
      <c r="M686">
        <v>3</v>
      </c>
      <c r="N686" t="s">
        <v>14331</v>
      </c>
      <c r="O686" t="s">
        <v>32724</v>
      </c>
    </row>
    <row r="687" spans="1:15" x14ac:dyDescent="0.25">
      <c r="A687" s="35" t="s">
        <v>4202</v>
      </c>
      <c r="B687" s="36" t="s">
        <v>4203</v>
      </c>
      <c r="C687" s="36" t="str">
        <f>HYPERLINK("https://rhld.insurance.arkansas.gov/NPILookup?Npi=1699738195","1699738195")</f>
        <v>1699738195</v>
      </c>
      <c r="D687" s="36" t="s">
        <v>33329</v>
      </c>
      <c r="E687" s="36" t="s">
        <v>1</v>
      </c>
      <c r="F687" s="36">
        <v>1</v>
      </c>
      <c r="G687" s="36">
        <v>3</v>
      </c>
      <c r="H687" s="36">
        <v>0</v>
      </c>
      <c r="I687" s="37">
        <v>0</v>
      </c>
      <c r="J687" s="36" t="s">
        <v>32654</v>
      </c>
      <c r="K687" s="36" t="s">
        <v>14330</v>
      </c>
      <c r="L687" s="36" t="s">
        <v>14330</v>
      </c>
      <c r="M687">
        <v>2</v>
      </c>
      <c r="N687" t="s">
        <v>14331</v>
      </c>
      <c r="O687" t="s">
        <v>32633</v>
      </c>
    </row>
    <row r="688" spans="1:15" x14ac:dyDescent="0.25">
      <c r="A688" s="35" t="s">
        <v>4202</v>
      </c>
      <c r="B688" s="36" t="s">
        <v>4203</v>
      </c>
      <c r="C688" s="36" t="str">
        <f>HYPERLINK("https://rhld.insurance.arkansas.gov/NPILookup?Npi=1699777409","1699777409")</f>
        <v>1699777409</v>
      </c>
      <c r="D688" s="36" t="s">
        <v>33330</v>
      </c>
      <c r="E688" s="36" t="s">
        <v>1</v>
      </c>
      <c r="F688" s="36">
        <v>1</v>
      </c>
      <c r="G688" s="36">
        <v>2</v>
      </c>
      <c r="H688" s="36">
        <v>0</v>
      </c>
      <c r="I688" s="37">
        <v>0</v>
      </c>
      <c r="J688" s="36" t="s">
        <v>32654</v>
      </c>
      <c r="K688" s="36" t="s">
        <v>14330</v>
      </c>
      <c r="L688" s="36" t="s">
        <v>14330</v>
      </c>
      <c r="M688">
        <v>2</v>
      </c>
      <c r="N688" t="s">
        <v>14331</v>
      </c>
      <c r="O688" t="s">
        <v>32633</v>
      </c>
    </row>
    <row r="689" spans="1:15" x14ac:dyDescent="0.25">
      <c r="A689" s="35" t="s">
        <v>4202</v>
      </c>
      <c r="B689" s="36" t="s">
        <v>4203</v>
      </c>
      <c r="C689" s="36" t="str">
        <f>HYPERLINK("https://rhld.insurance.arkansas.gov/NPILookup?Npi=1699939223","1699939223")</f>
        <v>1699939223</v>
      </c>
      <c r="D689" s="36" t="s">
        <v>33331</v>
      </c>
      <c r="E689" s="36" t="s">
        <v>1</v>
      </c>
      <c r="F689" s="36">
        <v>1</v>
      </c>
      <c r="G689" s="36">
        <v>2</v>
      </c>
      <c r="H689" s="36">
        <v>0</v>
      </c>
      <c r="I689" s="37">
        <v>0</v>
      </c>
      <c r="J689" s="36" t="s">
        <v>32723</v>
      </c>
      <c r="K689" s="36" t="s">
        <v>14330</v>
      </c>
      <c r="L689" s="36" t="s">
        <v>14330</v>
      </c>
      <c r="M689">
        <v>3</v>
      </c>
      <c r="N689" t="s">
        <v>14331</v>
      </c>
      <c r="O689" t="s">
        <v>32724</v>
      </c>
    </row>
    <row r="690" spans="1:15" x14ac:dyDescent="0.25">
      <c r="A690" s="35" t="s">
        <v>4202</v>
      </c>
      <c r="B690" s="36" t="s">
        <v>4203</v>
      </c>
      <c r="C690" s="36" t="str">
        <f>HYPERLINK("https://rhld.insurance.arkansas.gov/NPILookup?Npi=1699983635","1699983635")</f>
        <v>1699983635</v>
      </c>
      <c r="D690" s="36" t="s">
        <v>33332</v>
      </c>
      <c r="E690" s="36" t="s">
        <v>1</v>
      </c>
      <c r="F690" s="36">
        <v>1</v>
      </c>
      <c r="G690" s="36">
        <v>3</v>
      </c>
      <c r="H690" s="36">
        <v>0</v>
      </c>
      <c r="I690" s="37">
        <v>0</v>
      </c>
      <c r="J690" s="36" t="s">
        <v>32654</v>
      </c>
      <c r="K690" s="36" t="s">
        <v>14330</v>
      </c>
      <c r="L690" s="36" t="s">
        <v>14330</v>
      </c>
      <c r="M690">
        <v>2</v>
      </c>
      <c r="N690" t="s">
        <v>14331</v>
      </c>
      <c r="O690" t="s">
        <v>32633</v>
      </c>
    </row>
    <row r="691" spans="1:15" x14ac:dyDescent="0.25">
      <c r="A691" s="35" t="s">
        <v>4202</v>
      </c>
      <c r="B691" s="36" t="s">
        <v>4203</v>
      </c>
      <c r="C691" s="36" t="str">
        <f>HYPERLINK("https://rhld.insurance.arkansas.gov/NPILookup?Npi=1700172145","1700172145")</f>
        <v>1700172145</v>
      </c>
      <c r="D691" s="36" t="s">
        <v>33333</v>
      </c>
      <c r="E691" s="36" t="s">
        <v>1</v>
      </c>
      <c r="F691" s="36">
        <v>1</v>
      </c>
      <c r="G691" s="36">
        <v>2</v>
      </c>
      <c r="H691" s="36">
        <v>0</v>
      </c>
      <c r="I691" s="37">
        <v>0</v>
      </c>
      <c r="J691" s="36" t="s">
        <v>32654</v>
      </c>
      <c r="K691" s="36" t="s">
        <v>14330</v>
      </c>
      <c r="L691" s="36" t="s">
        <v>14330</v>
      </c>
      <c r="M691">
        <v>3</v>
      </c>
      <c r="N691" t="s">
        <v>14331</v>
      </c>
      <c r="O691" t="s">
        <v>32633</v>
      </c>
    </row>
    <row r="692" spans="1:15" x14ac:dyDescent="0.25">
      <c r="A692" s="35" t="s">
        <v>4202</v>
      </c>
      <c r="B692" s="36" t="s">
        <v>4203</v>
      </c>
      <c r="C692" s="36" t="str">
        <f>HYPERLINK("https://rhld.insurance.arkansas.gov/NPILookup?Npi=1700845740","1700845740")</f>
        <v>1700845740</v>
      </c>
      <c r="D692" s="36" t="s">
        <v>33334</v>
      </c>
      <c r="E692" s="36" t="s">
        <v>1</v>
      </c>
      <c r="F692" s="36">
        <v>1</v>
      </c>
      <c r="G692" s="36">
        <v>3</v>
      </c>
      <c r="H692" s="36">
        <v>0</v>
      </c>
      <c r="I692" s="37">
        <v>0</v>
      </c>
      <c r="J692" s="36" t="s">
        <v>32654</v>
      </c>
      <c r="K692" s="36" t="s">
        <v>14330</v>
      </c>
      <c r="L692" s="36" t="s">
        <v>14330</v>
      </c>
      <c r="M692">
        <v>3</v>
      </c>
      <c r="N692" t="s">
        <v>14331</v>
      </c>
      <c r="O692" t="s">
        <v>32633</v>
      </c>
    </row>
    <row r="693" spans="1:15" x14ac:dyDescent="0.25">
      <c r="A693" s="35" t="s">
        <v>4202</v>
      </c>
      <c r="B693" s="36" t="s">
        <v>4203</v>
      </c>
      <c r="C693" s="36" t="str">
        <f>HYPERLINK("https://rhld.insurance.arkansas.gov/NPILookup?Npi=1700846045","1700846045")</f>
        <v>1700846045</v>
      </c>
      <c r="D693" s="36" t="s">
        <v>33335</v>
      </c>
      <c r="E693" s="36" t="s">
        <v>1</v>
      </c>
      <c r="F693" s="36">
        <v>1</v>
      </c>
      <c r="G693" s="36">
        <v>3</v>
      </c>
      <c r="H693" s="36">
        <v>0</v>
      </c>
      <c r="I693" s="37">
        <v>0</v>
      </c>
      <c r="J693" s="36" t="s">
        <v>32654</v>
      </c>
      <c r="K693" s="36" t="s">
        <v>14330</v>
      </c>
      <c r="L693" s="36" t="s">
        <v>14330</v>
      </c>
      <c r="M693">
        <v>2</v>
      </c>
      <c r="N693" t="s">
        <v>14331</v>
      </c>
      <c r="O693" t="s">
        <v>32633</v>
      </c>
    </row>
    <row r="694" spans="1:15" x14ac:dyDescent="0.25">
      <c r="A694" s="35" t="s">
        <v>4202</v>
      </c>
      <c r="B694" s="36" t="s">
        <v>4203</v>
      </c>
      <c r="C694" s="36" t="str">
        <f>HYPERLINK("https://rhld.insurance.arkansas.gov/NPILookup?Npi=1710049283","1710049283")</f>
        <v>1710049283</v>
      </c>
      <c r="D694" s="36" t="s">
        <v>33336</v>
      </c>
      <c r="E694" s="36" t="s">
        <v>1</v>
      </c>
      <c r="F694" s="36">
        <v>1</v>
      </c>
      <c r="G694" s="36">
        <v>2</v>
      </c>
      <c r="H694" s="36">
        <v>0</v>
      </c>
      <c r="I694" s="37">
        <v>0</v>
      </c>
      <c r="J694" s="36" t="s">
        <v>32654</v>
      </c>
      <c r="K694" s="36" t="s">
        <v>14330</v>
      </c>
      <c r="L694" s="36" t="s">
        <v>14330</v>
      </c>
      <c r="M694">
        <v>3</v>
      </c>
      <c r="N694" t="s">
        <v>14331</v>
      </c>
      <c r="O694" t="s">
        <v>32633</v>
      </c>
    </row>
    <row r="695" spans="1:15" x14ac:dyDescent="0.25">
      <c r="A695" s="35" t="s">
        <v>4202</v>
      </c>
      <c r="B695" s="36" t="s">
        <v>4203</v>
      </c>
      <c r="C695" s="36" t="str">
        <f>HYPERLINK("https://rhld.insurance.arkansas.gov/NPILookup?Npi=1710116801","1710116801")</f>
        <v>1710116801</v>
      </c>
      <c r="D695" s="36" t="s">
        <v>33337</v>
      </c>
      <c r="E695" s="36" t="s">
        <v>1</v>
      </c>
      <c r="F695" s="36">
        <v>1</v>
      </c>
      <c r="G695" s="36">
        <v>3</v>
      </c>
      <c r="H695" s="36">
        <v>0</v>
      </c>
      <c r="I695" s="37">
        <v>0</v>
      </c>
      <c r="J695" s="36" t="s">
        <v>32654</v>
      </c>
      <c r="K695" s="36" t="s">
        <v>14330</v>
      </c>
      <c r="L695" s="36" t="s">
        <v>14330</v>
      </c>
      <c r="M695">
        <v>3</v>
      </c>
      <c r="N695" t="s">
        <v>14331</v>
      </c>
      <c r="O695" t="s">
        <v>32633</v>
      </c>
    </row>
    <row r="696" spans="1:15" x14ac:dyDescent="0.25">
      <c r="A696" s="35" t="s">
        <v>4202</v>
      </c>
      <c r="B696" s="36" t="s">
        <v>4203</v>
      </c>
      <c r="C696" s="36" t="str">
        <f>HYPERLINK("https://rhld.insurance.arkansas.gov/NPILookup?Npi=1710253208","1710253208")</f>
        <v>1710253208</v>
      </c>
      <c r="D696" s="36" t="s">
        <v>33338</v>
      </c>
      <c r="E696" s="36" t="s">
        <v>1</v>
      </c>
      <c r="F696" s="36">
        <v>1</v>
      </c>
      <c r="G696" s="36">
        <v>3</v>
      </c>
      <c r="H696" s="36">
        <v>0</v>
      </c>
      <c r="I696" s="37">
        <v>0</v>
      </c>
      <c r="J696" s="36" t="s">
        <v>32654</v>
      </c>
      <c r="K696" s="36" t="s">
        <v>14330</v>
      </c>
      <c r="L696" s="36" t="s">
        <v>14330</v>
      </c>
      <c r="M696">
        <v>3</v>
      </c>
      <c r="N696" t="s">
        <v>14331</v>
      </c>
      <c r="O696" t="s">
        <v>32633</v>
      </c>
    </row>
    <row r="697" spans="1:15" x14ac:dyDescent="0.25">
      <c r="A697" s="35" t="s">
        <v>4202</v>
      </c>
      <c r="B697" s="36" t="s">
        <v>4203</v>
      </c>
      <c r="C697" s="36" t="str">
        <f>HYPERLINK("https://rhld.insurance.arkansas.gov/NPILookup?Npi=1710273891","1710273891")</f>
        <v>1710273891</v>
      </c>
      <c r="D697" s="36" t="s">
        <v>33339</v>
      </c>
      <c r="E697" s="36" t="s">
        <v>1</v>
      </c>
      <c r="F697" s="36">
        <v>1</v>
      </c>
      <c r="G697" s="36">
        <v>3</v>
      </c>
      <c r="H697" s="36">
        <v>0</v>
      </c>
      <c r="I697" s="37">
        <v>0</v>
      </c>
      <c r="J697" s="36" t="s">
        <v>32654</v>
      </c>
      <c r="K697" s="36" t="s">
        <v>14330</v>
      </c>
      <c r="L697" s="36" t="s">
        <v>14330</v>
      </c>
      <c r="M697">
        <v>0</v>
      </c>
      <c r="N697" t="s">
        <v>14331</v>
      </c>
      <c r="O697" t="s">
        <v>32633</v>
      </c>
    </row>
    <row r="698" spans="1:15" x14ac:dyDescent="0.25">
      <c r="A698" s="35" t="s">
        <v>4202</v>
      </c>
      <c r="B698" s="36" t="s">
        <v>4203</v>
      </c>
      <c r="C698" s="36" t="str">
        <f>HYPERLINK("https://rhld.insurance.arkansas.gov/NPILookup?Npi=1710941299","1710941299")</f>
        <v>1710941299</v>
      </c>
      <c r="D698" s="36" t="s">
        <v>33340</v>
      </c>
      <c r="E698" s="36" t="s">
        <v>2</v>
      </c>
      <c r="F698" s="36">
        <v>1</v>
      </c>
      <c r="G698" s="36">
        <v>1</v>
      </c>
      <c r="H698" s="36">
        <v>1</v>
      </c>
      <c r="I698" s="37">
        <v>0</v>
      </c>
      <c r="J698" s="36" t="s">
        <v>32679</v>
      </c>
      <c r="K698" s="36" t="s">
        <v>14330</v>
      </c>
      <c r="L698" s="36" t="s">
        <v>32959</v>
      </c>
      <c r="M698">
        <v>2</v>
      </c>
      <c r="N698" t="s">
        <v>14331</v>
      </c>
      <c r="O698" t="s">
        <v>32633</v>
      </c>
    </row>
    <row r="699" spans="1:15" x14ac:dyDescent="0.25">
      <c r="A699" s="35" t="s">
        <v>4202</v>
      </c>
      <c r="B699" s="36" t="s">
        <v>4203</v>
      </c>
      <c r="C699" s="36" t="str">
        <f>HYPERLINK("https://rhld.insurance.arkansas.gov/NPILookup?Npi=1710962485","1710962485")</f>
        <v>1710962485</v>
      </c>
      <c r="D699" s="36" t="s">
        <v>33341</v>
      </c>
      <c r="E699" s="36" t="s">
        <v>1</v>
      </c>
      <c r="F699" s="36">
        <v>1</v>
      </c>
      <c r="G699" s="36">
        <v>2</v>
      </c>
      <c r="H699" s="36">
        <v>0</v>
      </c>
      <c r="I699" s="37">
        <v>0</v>
      </c>
      <c r="J699" s="36" t="s">
        <v>32723</v>
      </c>
      <c r="K699" s="36" t="s">
        <v>14330</v>
      </c>
      <c r="L699" s="36" t="s">
        <v>14330</v>
      </c>
      <c r="M699">
        <v>3</v>
      </c>
      <c r="N699" t="s">
        <v>14331</v>
      </c>
      <c r="O699" t="s">
        <v>32724</v>
      </c>
    </row>
    <row r="700" spans="1:15" x14ac:dyDescent="0.25">
      <c r="A700" s="35" t="s">
        <v>4202</v>
      </c>
      <c r="B700" s="36" t="s">
        <v>4203</v>
      </c>
      <c r="C700" s="36" t="str">
        <f>HYPERLINK("https://rhld.insurance.arkansas.gov/NPILookup?Npi=1710972575","1710972575")</f>
        <v>1710972575</v>
      </c>
      <c r="D700" s="36" t="s">
        <v>33342</v>
      </c>
      <c r="E700" s="36" t="s">
        <v>1</v>
      </c>
      <c r="F700" s="36">
        <v>1</v>
      </c>
      <c r="G700" s="36">
        <v>3</v>
      </c>
      <c r="H700" s="36">
        <v>0</v>
      </c>
      <c r="I700" s="37">
        <v>0</v>
      </c>
      <c r="J700" s="36" t="s">
        <v>32654</v>
      </c>
      <c r="K700" s="36" t="s">
        <v>14330</v>
      </c>
      <c r="L700" s="36" t="s">
        <v>14330</v>
      </c>
      <c r="M700">
        <v>4</v>
      </c>
      <c r="N700" t="s">
        <v>14331</v>
      </c>
      <c r="O700" t="s">
        <v>32633</v>
      </c>
    </row>
    <row r="701" spans="1:15" x14ac:dyDescent="0.25">
      <c r="A701" s="35" t="s">
        <v>4202</v>
      </c>
      <c r="B701" s="36" t="s">
        <v>4203</v>
      </c>
      <c r="C701" s="36" t="str">
        <f>HYPERLINK("https://rhld.insurance.arkansas.gov/NPILookup?Npi=1710982871","1710982871")</f>
        <v>1710982871</v>
      </c>
      <c r="D701" s="36" t="s">
        <v>33343</v>
      </c>
      <c r="E701" s="36" t="s">
        <v>1</v>
      </c>
      <c r="F701" s="36">
        <v>1</v>
      </c>
      <c r="G701" s="36">
        <v>4</v>
      </c>
      <c r="H701" s="36">
        <v>0</v>
      </c>
      <c r="I701" s="37">
        <v>0</v>
      </c>
      <c r="J701" s="36" t="s">
        <v>32654</v>
      </c>
      <c r="K701" s="36" t="s">
        <v>14330</v>
      </c>
      <c r="L701" s="36" t="s">
        <v>14330</v>
      </c>
      <c r="M701">
        <v>1</v>
      </c>
      <c r="N701" t="s">
        <v>14331</v>
      </c>
      <c r="O701" t="s">
        <v>32633</v>
      </c>
    </row>
    <row r="702" spans="1:15" x14ac:dyDescent="0.25">
      <c r="A702" s="35" t="s">
        <v>4202</v>
      </c>
      <c r="B702" s="36" t="s">
        <v>4203</v>
      </c>
      <c r="C702" s="36" t="str">
        <f>HYPERLINK("https://rhld.insurance.arkansas.gov/NPILookup?Npi=1710985858","1710985858")</f>
        <v>1710985858</v>
      </c>
      <c r="D702" s="36" t="s">
        <v>33344</v>
      </c>
      <c r="E702" s="36" t="s">
        <v>1</v>
      </c>
      <c r="F702" s="36">
        <v>1</v>
      </c>
      <c r="G702" s="36">
        <v>1</v>
      </c>
      <c r="H702" s="36">
        <v>0</v>
      </c>
      <c r="I702" s="37">
        <v>0</v>
      </c>
      <c r="J702" s="36" t="s">
        <v>32654</v>
      </c>
      <c r="K702" s="36" t="s">
        <v>14330</v>
      </c>
      <c r="L702" s="36" t="s">
        <v>14330</v>
      </c>
      <c r="M702">
        <v>3</v>
      </c>
      <c r="N702" t="s">
        <v>14331</v>
      </c>
      <c r="O702" t="s">
        <v>32633</v>
      </c>
    </row>
    <row r="703" spans="1:15" x14ac:dyDescent="0.25">
      <c r="A703" s="35" t="s">
        <v>4202</v>
      </c>
      <c r="B703" s="36" t="s">
        <v>4203</v>
      </c>
      <c r="C703" s="36" t="str">
        <f>HYPERLINK("https://rhld.insurance.arkansas.gov/NPILookup?Npi=1720095599","1720095599")</f>
        <v>1720095599</v>
      </c>
      <c r="D703" s="36" t="s">
        <v>33345</v>
      </c>
      <c r="E703" s="36" t="s">
        <v>1</v>
      </c>
      <c r="F703" s="36">
        <v>1</v>
      </c>
      <c r="G703" s="36">
        <v>3</v>
      </c>
      <c r="H703" s="36">
        <v>0</v>
      </c>
      <c r="I703" s="37">
        <v>0</v>
      </c>
      <c r="J703" s="36" t="s">
        <v>32654</v>
      </c>
      <c r="K703" s="36" t="s">
        <v>14330</v>
      </c>
      <c r="L703" s="36" t="s">
        <v>14330</v>
      </c>
      <c r="M703">
        <v>3</v>
      </c>
      <c r="N703" t="s">
        <v>14331</v>
      </c>
      <c r="O703" t="s">
        <v>32633</v>
      </c>
    </row>
    <row r="704" spans="1:15" x14ac:dyDescent="0.25">
      <c r="A704" s="35" t="s">
        <v>4202</v>
      </c>
      <c r="B704" s="36" t="s">
        <v>4203</v>
      </c>
      <c r="C704" s="36" t="str">
        <f>HYPERLINK("https://rhld.insurance.arkansas.gov/NPILookup?Npi=1720321060","1720321060")</f>
        <v>1720321060</v>
      </c>
      <c r="D704" s="36" t="s">
        <v>33346</v>
      </c>
      <c r="E704" s="36" t="s">
        <v>1</v>
      </c>
      <c r="F704" s="36">
        <v>1</v>
      </c>
      <c r="G704" s="36">
        <v>3</v>
      </c>
      <c r="H704" s="36">
        <v>0</v>
      </c>
      <c r="I704" s="37">
        <v>0</v>
      </c>
      <c r="J704" s="36" t="s">
        <v>32654</v>
      </c>
      <c r="K704" s="36" t="s">
        <v>14330</v>
      </c>
      <c r="L704" s="36" t="s">
        <v>14330</v>
      </c>
      <c r="M704">
        <v>2</v>
      </c>
      <c r="N704" t="s">
        <v>14331</v>
      </c>
      <c r="O704" t="s">
        <v>32633</v>
      </c>
    </row>
    <row r="705" spans="1:15" x14ac:dyDescent="0.25">
      <c r="A705" s="35" t="s">
        <v>4202</v>
      </c>
      <c r="B705" s="36" t="s">
        <v>4203</v>
      </c>
      <c r="C705" s="36" t="str">
        <f>HYPERLINK("https://rhld.insurance.arkansas.gov/NPILookup?Npi=1720492242","1720492242")</f>
        <v>1720492242</v>
      </c>
      <c r="D705" s="36" t="s">
        <v>33347</v>
      </c>
      <c r="E705" s="36" t="s">
        <v>2</v>
      </c>
      <c r="F705" s="36">
        <v>1</v>
      </c>
      <c r="G705" s="36">
        <v>2</v>
      </c>
      <c r="H705" s="36">
        <v>0</v>
      </c>
      <c r="I705" s="37">
        <v>0</v>
      </c>
      <c r="J705" s="36"/>
      <c r="K705" s="36" t="s">
        <v>14330</v>
      </c>
      <c r="L705" s="36" t="s">
        <v>14330</v>
      </c>
      <c r="M705">
        <v>3</v>
      </c>
      <c r="N705" t="s">
        <v>14331</v>
      </c>
      <c r="O705" t="s">
        <v>32633</v>
      </c>
    </row>
    <row r="706" spans="1:15" x14ac:dyDescent="0.25">
      <c r="A706" s="35" t="s">
        <v>4202</v>
      </c>
      <c r="B706" s="36" t="s">
        <v>4203</v>
      </c>
      <c r="C706" s="36" t="str">
        <f>HYPERLINK("https://rhld.insurance.arkansas.gov/NPILookup?Npi=1720571102","1720571102")</f>
        <v>1720571102</v>
      </c>
      <c r="D706" s="36" t="s">
        <v>33348</v>
      </c>
      <c r="E706" s="36" t="s">
        <v>1</v>
      </c>
      <c r="F706" s="36">
        <v>1</v>
      </c>
      <c r="G706" s="36">
        <v>3</v>
      </c>
      <c r="H706" s="36">
        <v>0</v>
      </c>
      <c r="I706" s="37">
        <v>0</v>
      </c>
      <c r="J706" s="36" t="s">
        <v>32723</v>
      </c>
      <c r="K706" s="36" t="s">
        <v>14330</v>
      </c>
      <c r="L706" s="36" t="s">
        <v>14330</v>
      </c>
      <c r="M706">
        <v>2</v>
      </c>
      <c r="N706" t="s">
        <v>14331</v>
      </c>
      <c r="O706" t="s">
        <v>32724</v>
      </c>
    </row>
    <row r="707" spans="1:15" x14ac:dyDescent="0.25">
      <c r="A707" s="35" t="s">
        <v>4202</v>
      </c>
      <c r="B707" s="36" t="s">
        <v>4203</v>
      </c>
      <c r="C707" s="36" t="str">
        <f>HYPERLINK("https://rhld.insurance.arkansas.gov/NPILookup?Npi=1730146507","1730146507")</f>
        <v>1730146507</v>
      </c>
      <c r="D707" s="36" t="s">
        <v>33349</v>
      </c>
      <c r="E707" s="36" t="s">
        <v>1</v>
      </c>
      <c r="F707" s="36">
        <v>1</v>
      </c>
      <c r="G707" s="36">
        <v>2</v>
      </c>
      <c r="H707" s="36">
        <v>0</v>
      </c>
      <c r="I707" s="37">
        <v>0</v>
      </c>
      <c r="J707" s="36" t="s">
        <v>32654</v>
      </c>
      <c r="K707" s="36" t="s">
        <v>14330</v>
      </c>
      <c r="L707" s="36" t="s">
        <v>14330</v>
      </c>
      <c r="M707">
        <v>3</v>
      </c>
      <c r="N707" t="s">
        <v>14331</v>
      </c>
      <c r="O707" t="s">
        <v>32633</v>
      </c>
    </row>
    <row r="708" spans="1:15" x14ac:dyDescent="0.25">
      <c r="A708" s="35" t="s">
        <v>4202</v>
      </c>
      <c r="B708" s="36" t="s">
        <v>4203</v>
      </c>
      <c r="C708" s="36" t="str">
        <f>HYPERLINK("https://rhld.insurance.arkansas.gov/NPILookup?Npi=1730188053","1730188053")</f>
        <v>1730188053</v>
      </c>
      <c r="D708" s="36" t="s">
        <v>33350</v>
      </c>
      <c r="E708" s="36" t="s">
        <v>1</v>
      </c>
      <c r="F708" s="36">
        <v>1</v>
      </c>
      <c r="G708" s="36">
        <v>3</v>
      </c>
      <c r="H708" s="36">
        <v>0</v>
      </c>
      <c r="I708" s="37">
        <v>0</v>
      </c>
      <c r="J708" s="36" t="s">
        <v>32654</v>
      </c>
      <c r="K708" s="36" t="s">
        <v>14330</v>
      </c>
      <c r="L708" s="36" t="s">
        <v>14330</v>
      </c>
      <c r="M708">
        <v>2</v>
      </c>
      <c r="N708" t="s">
        <v>14331</v>
      </c>
      <c r="O708" t="s">
        <v>32633</v>
      </c>
    </row>
    <row r="709" spans="1:15" x14ac:dyDescent="0.25">
      <c r="A709" s="35" t="s">
        <v>4202</v>
      </c>
      <c r="B709" s="36" t="s">
        <v>4203</v>
      </c>
      <c r="C709" s="36" t="str">
        <f>HYPERLINK("https://rhld.insurance.arkansas.gov/NPILookup?Npi=1730332511","1730332511")</f>
        <v>1730332511</v>
      </c>
      <c r="D709" s="36" t="s">
        <v>33351</v>
      </c>
      <c r="E709" s="36" t="s">
        <v>1</v>
      </c>
      <c r="F709" s="36">
        <v>1</v>
      </c>
      <c r="G709" s="36">
        <v>2</v>
      </c>
      <c r="H709" s="36">
        <v>0</v>
      </c>
      <c r="I709" s="37">
        <v>0</v>
      </c>
      <c r="J709" s="36" t="s">
        <v>32654</v>
      </c>
      <c r="K709" s="36" t="s">
        <v>14330</v>
      </c>
      <c r="L709" s="36" t="s">
        <v>14330</v>
      </c>
      <c r="M709">
        <v>3</v>
      </c>
      <c r="N709" t="s">
        <v>14331</v>
      </c>
      <c r="O709" t="s">
        <v>32633</v>
      </c>
    </row>
    <row r="710" spans="1:15" x14ac:dyDescent="0.25">
      <c r="A710" s="35" t="s">
        <v>4202</v>
      </c>
      <c r="B710" s="36" t="s">
        <v>4203</v>
      </c>
      <c r="C710" s="36" t="str">
        <f>HYPERLINK("https://rhld.insurance.arkansas.gov/NPILookup?Npi=1730403262","1730403262")</f>
        <v>1730403262</v>
      </c>
      <c r="D710" s="36" t="s">
        <v>33352</v>
      </c>
      <c r="E710" s="36" t="s">
        <v>1</v>
      </c>
      <c r="F710" s="36">
        <v>1</v>
      </c>
      <c r="G710" s="36">
        <v>3</v>
      </c>
      <c r="H710" s="36">
        <v>0</v>
      </c>
      <c r="I710" s="37">
        <v>0</v>
      </c>
      <c r="J710" s="36" t="s">
        <v>32654</v>
      </c>
      <c r="K710" s="36" t="s">
        <v>14330</v>
      </c>
      <c r="L710" s="36" t="s">
        <v>14330</v>
      </c>
      <c r="M710">
        <v>2</v>
      </c>
      <c r="N710" t="s">
        <v>14331</v>
      </c>
      <c r="O710" t="s">
        <v>32633</v>
      </c>
    </row>
    <row r="711" spans="1:15" x14ac:dyDescent="0.25">
      <c r="A711" s="35" t="s">
        <v>4202</v>
      </c>
      <c r="B711" s="36" t="s">
        <v>4203</v>
      </c>
      <c r="C711" s="36" t="str">
        <f>HYPERLINK("https://rhld.insurance.arkansas.gov/NPILookup?Npi=1730766627","1730766627")</f>
        <v>1730766627</v>
      </c>
      <c r="D711" s="36" t="s">
        <v>33353</v>
      </c>
      <c r="E711" s="36" t="s">
        <v>1</v>
      </c>
      <c r="F711" s="36">
        <v>1</v>
      </c>
      <c r="G711" s="36">
        <v>2</v>
      </c>
      <c r="H711" s="36">
        <v>0</v>
      </c>
      <c r="I711" s="37">
        <v>0</v>
      </c>
      <c r="J711" s="36" t="s">
        <v>32723</v>
      </c>
      <c r="K711" s="36" t="s">
        <v>14330</v>
      </c>
      <c r="L711" s="36" t="s">
        <v>14330</v>
      </c>
      <c r="M711">
        <v>2</v>
      </c>
      <c r="N711" t="s">
        <v>14331</v>
      </c>
      <c r="O711" t="s">
        <v>32724</v>
      </c>
    </row>
    <row r="712" spans="1:15" x14ac:dyDescent="0.25">
      <c r="A712" s="35" t="s">
        <v>4202</v>
      </c>
      <c r="B712" s="36" t="s">
        <v>4203</v>
      </c>
      <c r="C712" s="36" t="str">
        <f>HYPERLINK("https://rhld.insurance.arkansas.gov/NPILookup?Npi=1740326610","1740326610")</f>
        <v>1740326610</v>
      </c>
      <c r="D712" s="36" t="s">
        <v>33354</v>
      </c>
      <c r="E712" s="36" t="s">
        <v>1</v>
      </c>
      <c r="F712" s="36">
        <v>1</v>
      </c>
      <c r="G712" s="36">
        <v>2</v>
      </c>
      <c r="H712" s="36">
        <v>0</v>
      </c>
      <c r="I712" s="37">
        <v>0</v>
      </c>
      <c r="J712" s="36" t="s">
        <v>32654</v>
      </c>
      <c r="K712" s="36" t="s">
        <v>14330</v>
      </c>
      <c r="L712" s="36" t="s">
        <v>14330</v>
      </c>
      <c r="M712">
        <v>3</v>
      </c>
      <c r="N712" t="s">
        <v>14331</v>
      </c>
      <c r="O712" t="s">
        <v>32633</v>
      </c>
    </row>
    <row r="713" spans="1:15" x14ac:dyDescent="0.25">
      <c r="A713" s="35" t="s">
        <v>4202</v>
      </c>
      <c r="B713" s="36" t="s">
        <v>4203</v>
      </c>
      <c r="C713" s="36" t="str">
        <f>HYPERLINK("https://rhld.insurance.arkansas.gov/NPILookup?Npi=1740442284","1740442284")</f>
        <v>1740442284</v>
      </c>
      <c r="D713" s="36" t="s">
        <v>33355</v>
      </c>
      <c r="E713" s="36" t="s">
        <v>1</v>
      </c>
      <c r="F713" s="36">
        <v>1</v>
      </c>
      <c r="G713" s="36">
        <v>3</v>
      </c>
      <c r="H713" s="36">
        <v>0</v>
      </c>
      <c r="I713" s="37">
        <v>0</v>
      </c>
      <c r="J713" s="36" t="s">
        <v>32654</v>
      </c>
      <c r="K713" s="36" t="s">
        <v>14330</v>
      </c>
      <c r="L713" s="36" t="s">
        <v>14330</v>
      </c>
      <c r="M713">
        <v>2</v>
      </c>
      <c r="N713" t="s">
        <v>14331</v>
      </c>
      <c r="O713" t="s">
        <v>32633</v>
      </c>
    </row>
    <row r="714" spans="1:15" x14ac:dyDescent="0.25">
      <c r="A714" s="35" t="s">
        <v>4202</v>
      </c>
      <c r="B714" s="36" t="s">
        <v>4203</v>
      </c>
      <c r="C714" s="36" t="str">
        <f>HYPERLINK("https://rhld.insurance.arkansas.gov/NPILookup?Npi=1740543347","1740543347")</f>
        <v>1740543347</v>
      </c>
      <c r="D714" s="36" t="s">
        <v>33356</v>
      </c>
      <c r="E714" s="36" t="s">
        <v>1</v>
      </c>
      <c r="F714" s="36">
        <v>1</v>
      </c>
      <c r="G714" s="36">
        <v>2</v>
      </c>
      <c r="H714" s="36">
        <v>0</v>
      </c>
      <c r="I714" s="37">
        <v>0</v>
      </c>
      <c r="J714" s="36" t="s">
        <v>32654</v>
      </c>
      <c r="K714" s="36" t="s">
        <v>14330</v>
      </c>
      <c r="L714" s="36" t="s">
        <v>14330</v>
      </c>
      <c r="M714">
        <v>2</v>
      </c>
      <c r="N714" t="s">
        <v>14331</v>
      </c>
      <c r="O714" t="s">
        <v>32633</v>
      </c>
    </row>
    <row r="715" spans="1:15" x14ac:dyDescent="0.25">
      <c r="A715" s="35" t="s">
        <v>4202</v>
      </c>
      <c r="B715" s="36" t="s">
        <v>4203</v>
      </c>
      <c r="C715" s="36" t="str">
        <f>HYPERLINK("https://rhld.insurance.arkansas.gov/NPILookup?Npi=1740693183","1740693183")</f>
        <v>1740693183</v>
      </c>
      <c r="D715" s="36" t="s">
        <v>33357</v>
      </c>
      <c r="E715" s="36" t="s">
        <v>1</v>
      </c>
      <c r="F715" s="36">
        <v>1</v>
      </c>
      <c r="G715" s="36">
        <v>2</v>
      </c>
      <c r="H715" s="36">
        <v>0</v>
      </c>
      <c r="I715" s="37">
        <v>0</v>
      </c>
      <c r="J715" s="36" t="s">
        <v>32654</v>
      </c>
      <c r="K715" s="36" t="s">
        <v>14330</v>
      </c>
      <c r="L715" s="36" t="s">
        <v>14330</v>
      </c>
      <c r="M715">
        <v>3</v>
      </c>
      <c r="N715" t="s">
        <v>14331</v>
      </c>
      <c r="O715" t="s">
        <v>32633</v>
      </c>
    </row>
    <row r="716" spans="1:15" x14ac:dyDescent="0.25">
      <c r="A716" s="35" t="s">
        <v>4202</v>
      </c>
      <c r="B716" s="36" t="s">
        <v>4203</v>
      </c>
      <c r="C716" s="36" t="str">
        <f>HYPERLINK("https://rhld.insurance.arkansas.gov/NPILookup?Npi=1750342804","1750342804")</f>
        <v>1750342804</v>
      </c>
      <c r="D716" s="36" t="s">
        <v>33358</v>
      </c>
      <c r="E716" s="36" t="s">
        <v>1</v>
      </c>
      <c r="F716" s="36">
        <v>1</v>
      </c>
      <c r="G716" s="36">
        <v>3</v>
      </c>
      <c r="H716" s="36">
        <v>0</v>
      </c>
      <c r="I716" s="37">
        <v>0</v>
      </c>
      <c r="J716" s="36" t="s">
        <v>32654</v>
      </c>
      <c r="K716" s="36" t="s">
        <v>14330</v>
      </c>
      <c r="L716" s="36" t="s">
        <v>14330</v>
      </c>
      <c r="M716">
        <v>3</v>
      </c>
      <c r="N716" t="s">
        <v>14331</v>
      </c>
      <c r="O716" t="s">
        <v>32633</v>
      </c>
    </row>
    <row r="717" spans="1:15" x14ac:dyDescent="0.25">
      <c r="A717" s="35" t="s">
        <v>4202</v>
      </c>
      <c r="B717" s="36" t="s">
        <v>4203</v>
      </c>
      <c r="C717" s="36" t="str">
        <f>HYPERLINK("https://rhld.insurance.arkansas.gov/NPILookup?Npi=1750367199","1750367199")</f>
        <v>1750367199</v>
      </c>
      <c r="D717" s="36" t="s">
        <v>33359</v>
      </c>
      <c r="E717" s="36" t="s">
        <v>1</v>
      </c>
      <c r="F717" s="36">
        <v>1</v>
      </c>
      <c r="G717" s="36">
        <v>3</v>
      </c>
      <c r="H717" s="36">
        <v>0</v>
      </c>
      <c r="I717" s="37">
        <v>0</v>
      </c>
      <c r="J717" s="36" t="s">
        <v>32654</v>
      </c>
      <c r="K717" s="36" t="s">
        <v>14330</v>
      </c>
      <c r="L717" s="36" t="s">
        <v>14330</v>
      </c>
      <c r="M717">
        <v>2</v>
      </c>
      <c r="N717" t="s">
        <v>14331</v>
      </c>
      <c r="O717" t="s">
        <v>32633</v>
      </c>
    </row>
    <row r="718" spans="1:15" x14ac:dyDescent="0.25">
      <c r="A718" s="35" t="s">
        <v>4202</v>
      </c>
      <c r="B718" s="36" t="s">
        <v>4203</v>
      </c>
      <c r="C718" s="36" t="str">
        <f>HYPERLINK("https://rhld.insurance.arkansas.gov/NPILookup?Npi=1760426670","1760426670")</f>
        <v>1760426670</v>
      </c>
      <c r="D718" s="36" t="s">
        <v>33360</v>
      </c>
      <c r="E718" s="36" t="s">
        <v>1</v>
      </c>
      <c r="F718" s="36">
        <v>1</v>
      </c>
      <c r="G718" s="36">
        <v>2</v>
      </c>
      <c r="H718" s="36">
        <v>0</v>
      </c>
      <c r="I718" s="37">
        <v>0</v>
      </c>
      <c r="J718" s="36" t="s">
        <v>32654</v>
      </c>
      <c r="K718" s="36" t="s">
        <v>14330</v>
      </c>
      <c r="L718" s="36" t="s">
        <v>14330</v>
      </c>
      <c r="M718">
        <v>3</v>
      </c>
      <c r="N718" t="s">
        <v>14331</v>
      </c>
      <c r="O718" t="s">
        <v>32633</v>
      </c>
    </row>
    <row r="719" spans="1:15" x14ac:dyDescent="0.25">
      <c r="A719" s="35" t="s">
        <v>4202</v>
      </c>
      <c r="B719" s="36" t="s">
        <v>4203</v>
      </c>
      <c r="C719" s="36" t="str">
        <f>HYPERLINK("https://rhld.insurance.arkansas.gov/NPILookup?Npi=1760442370","1760442370")</f>
        <v>1760442370</v>
      </c>
      <c r="D719" s="36" t="s">
        <v>33361</v>
      </c>
      <c r="E719" s="36" t="s">
        <v>1</v>
      </c>
      <c r="F719" s="36">
        <v>1</v>
      </c>
      <c r="G719" s="36">
        <v>3</v>
      </c>
      <c r="H719" s="36">
        <v>0</v>
      </c>
      <c r="I719" s="37">
        <v>0</v>
      </c>
      <c r="J719" s="36" t="s">
        <v>32654</v>
      </c>
      <c r="K719" s="36" t="s">
        <v>14330</v>
      </c>
      <c r="L719" s="36" t="s">
        <v>14330</v>
      </c>
      <c r="M719">
        <v>2</v>
      </c>
      <c r="N719" t="s">
        <v>14331</v>
      </c>
      <c r="O719" t="s">
        <v>32633</v>
      </c>
    </row>
    <row r="720" spans="1:15" x14ac:dyDescent="0.25">
      <c r="A720" s="35" t="s">
        <v>4202</v>
      </c>
      <c r="B720" s="36" t="s">
        <v>4203</v>
      </c>
      <c r="C720" s="36" t="str">
        <f>HYPERLINK("https://rhld.insurance.arkansas.gov/NPILookup?Npi=1760447676","1760447676")</f>
        <v>1760447676</v>
      </c>
      <c r="D720" s="36" t="s">
        <v>33362</v>
      </c>
      <c r="E720" s="36" t="s">
        <v>2</v>
      </c>
      <c r="F720" s="36">
        <v>1</v>
      </c>
      <c r="G720" s="36">
        <v>2</v>
      </c>
      <c r="H720" s="36">
        <v>0</v>
      </c>
      <c r="I720" s="37">
        <v>0</v>
      </c>
      <c r="J720" s="36" t="s">
        <v>32679</v>
      </c>
      <c r="K720" s="36" t="s">
        <v>14330</v>
      </c>
      <c r="L720" s="36" t="s">
        <v>14330</v>
      </c>
      <c r="M720">
        <v>4</v>
      </c>
      <c r="N720" t="s">
        <v>14331</v>
      </c>
      <c r="O720" t="s">
        <v>32633</v>
      </c>
    </row>
    <row r="721" spans="1:15" x14ac:dyDescent="0.25">
      <c r="A721" s="35" t="s">
        <v>4202</v>
      </c>
      <c r="B721" s="36" t="s">
        <v>4203</v>
      </c>
      <c r="C721" s="36" t="str">
        <f>HYPERLINK("https://rhld.insurance.arkansas.gov/NPILookup?Npi=1760451876","1760451876")</f>
        <v>1760451876</v>
      </c>
      <c r="D721" s="36" t="s">
        <v>33363</v>
      </c>
      <c r="E721" s="36" t="s">
        <v>1</v>
      </c>
      <c r="F721" s="36">
        <v>1</v>
      </c>
      <c r="G721" s="36">
        <v>4</v>
      </c>
      <c r="H721" s="36">
        <v>0</v>
      </c>
      <c r="I721" s="37">
        <v>0</v>
      </c>
      <c r="J721" s="36" t="s">
        <v>32654</v>
      </c>
      <c r="K721" s="36" t="s">
        <v>14330</v>
      </c>
      <c r="L721" s="36" t="s">
        <v>14330</v>
      </c>
      <c r="M721">
        <v>3</v>
      </c>
      <c r="N721" t="s">
        <v>14331</v>
      </c>
      <c r="O721" t="s">
        <v>32633</v>
      </c>
    </row>
    <row r="722" spans="1:15" x14ac:dyDescent="0.25">
      <c r="A722" s="35" t="s">
        <v>4202</v>
      </c>
      <c r="B722" s="36" t="s">
        <v>4203</v>
      </c>
      <c r="C722" s="36" t="str">
        <f>HYPERLINK("https://rhld.insurance.arkansas.gov/NPILookup?Npi=1760472021","1760472021")</f>
        <v>1760472021</v>
      </c>
      <c r="D722" s="36" t="s">
        <v>33364</v>
      </c>
      <c r="E722" s="36" t="s">
        <v>1</v>
      </c>
      <c r="F722" s="36">
        <v>1</v>
      </c>
      <c r="G722" s="36">
        <v>3</v>
      </c>
      <c r="H722" s="36">
        <v>0</v>
      </c>
      <c r="I722" s="37">
        <v>0</v>
      </c>
      <c r="J722" s="36" t="s">
        <v>32654</v>
      </c>
      <c r="K722" s="36" t="s">
        <v>14330</v>
      </c>
      <c r="L722" s="36" t="s">
        <v>14330</v>
      </c>
      <c r="M722">
        <v>4</v>
      </c>
      <c r="N722" t="s">
        <v>14331</v>
      </c>
      <c r="O722" t="s">
        <v>32633</v>
      </c>
    </row>
    <row r="723" spans="1:15" x14ac:dyDescent="0.25">
      <c r="A723" s="35" t="s">
        <v>4202</v>
      </c>
      <c r="B723" s="36" t="s">
        <v>4203</v>
      </c>
      <c r="C723" s="36" t="str">
        <f>HYPERLINK("https://rhld.insurance.arkansas.gov/NPILookup?Npi=1760521777","1760521777")</f>
        <v>1760521777</v>
      </c>
      <c r="D723" s="36" t="s">
        <v>33365</v>
      </c>
      <c r="E723" s="36" t="s">
        <v>1</v>
      </c>
      <c r="F723" s="36">
        <v>1</v>
      </c>
      <c r="G723" s="36">
        <v>4</v>
      </c>
      <c r="H723" s="36">
        <v>0</v>
      </c>
      <c r="I723" s="37">
        <v>0</v>
      </c>
      <c r="J723" s="36" t="s">
        <v>32654</v>
      </c>
      <c r="K723" s="36" t="s">
        <v>14330</v>
      </c>
      <c r="L723" s="36" t="s">
        <v>14330</v>
      </c>
      <c r="M723">
        <v>3</v>
      </c>
      <c r="N723" t="s">
        <v>14331</v>
      </c>
      <c r="O723" t="s">
        <v>32633</v>
      </c>
    </row>
    <row r="724" spans="1:15" x14ac:dyDescent="0.25">
      <c r="A724" s="35" t="s">
        <v>4202</v>
      </c>
      <c r="B724" s="36" t="s">
        <v>4203</v>
      </c>
      <c r="C724" s="36" t="str">
        <f>HYPERLINK("https://rhld.insurance.arkansas.gov/NPILookup?Npi=1760639579","1760639579")</f>
        <v>1760639579</v>
      </c>
      <c r="D724" s="36" t="s">
        <v>33366</v>
      </c>
      <c r="E724" s="36" t="s">
        <v>1</v>
      </c>
      <c r="F724" s="36">
        <v>1</v>
      </c>
      <c r="G724" s="36">
        <v>3</v>
      </c>
      <c r="H724" s="36">
        <v>0</v>
      </c>
      <c r="I724" s="37">
        <v>0</v>
      </c>
      <c r="J724" s="36" t="s">
        <v>32654</v>
      </c>
      <c r="K724" s="36" t="s">
        <v>14330</v>
      </c>
      <c r="L724" s="36" t="s">
        <v>14330</v>
      </c>
      <c r="M724">
        <v>3</v>
      </c>
      <c r="N724" t="s">
        <v>14331</v>
      </c>
      <c r="O724" t="s">
        <v>32633</v>
      </c>
    </row>
    <row r="725" spans="1:15" x14ac:dyDescent="0.25">
      <c r="A725" s="35" t="s">
        <v>4202</v>
      </c>
      <c r="B725" s="36" t="s">
        <v>4203</v>
      </c>
      <c r="C725" s="36" t="str">
        <f>HYPERLINK("https://rhld.insurance.arkansas.gov/NPILookup?Npi=1760839120","1760839120")</f>
        <v>1760839120</v>
      </c>
      <c r="D725" s="36" t="s">
        <v>33367</v>
      </c>
      <c r="E725" s="36" t="s">
        <v>1</v>
      </c>
      <c r="F725" s="36">
        <v>1</v>
      </c>
      <c r="G725" s="36">
        <v>3</v>
      </c>
      <c r="H725" s="36">
        <v>0</v>
      </c>
      <c r="I725" s="37">
        <v>0</v>
      </c>
      <c r="J725" s="36" t="s">
        <v>32654</v>
      </c>
      <c r="K725" s="36" t="s">
        <v>14330</v>
      </c>
      <c r="L725" s="36" t="s">
        <v>14330</v>
      </c>
      <c r="M725">
        <v>2</v>
      </c>
      <c r="N725" t="s">
        <v>14331</v>
      </c>
      <c r="O725" t="s">
        <v>32633</v>
      </c>
    </row>
    <row r="726" spans="1:15" x14ac:dyDescent="0.25">
      <c r="A726" s="35" t="s">
        <v>4202</v>
      </c>
      <c r="B726" s="36" t="s">
        <v>4203</v>
      </c>
      <c r="C726" s="36" t="str">
        <f>HYPERLINK("https://rhld.insurance.arkansas.gov/NPILookup?Npi=1760916365","1760916365")</f>
        <v>1760916365</v>
      </c>
      <c r="D726" s="36" t="s">
        <v>33368</v>
      </c>
      <c r="E726" s="36" t="s">
        <v>1</v>
      </c>
      <c r="F726" s="36">
        <v>1</v>
      </c>
      <c r="G726" s="36">
        <v>2</v>
      </c>
      <c r="H726" s="36">
        <v>0</v>
      </c>
      <c r="I726" s="37">
        <v>0</v>
      </c>
      <c r="J726" s="36" t="s">
        <v>32654</v>
      </c>
      <c r="K726" s="36" t="s">
        <v>14330</v>
      </c>
      <c r="L726" s="36" t="s">
        <v>14330</v>
      </c>
      <c r="M726">
        <v>2</v>
      </c>
      <c r="N726" t="s">
        <v>14331</v>
      </c>
      <c r="O726" t="s">
        <v>32633</v>
      </c>
    </row>
    <row r="727" spans="1:15" x14ac:dyDescent="0.25">
      <c r="A727" s="35" t="s">
        <v>4202</v>
      </c>
      <c r="B727" s="36" t="s">
        <v>4203</v>
      </c>
      <c r="C727" s="36" t="str">
        <f>HYPERLINK("https://rhld.insurance.arkansas.gov/NPILookup?Npi=1770105967","1770105967")</f>
        <v>1770105967</v>
      </c>
      <c r="D727" s="36" t="s">
        <v>33369</v>
      </c>
      <c r="E727" s="36" t="s">
        <v>1</v>
      </c>
      <c r="F727" s="36">
        <v>1</v>
      </c>
      <c r="G727" s="36">
        <v>2</v>
      </c>
      <c r="H727" s="36">
        <v>0</v>
      </c>
      <c r="I727" s="37">
        <v>0</v>
      </c>
      <c r="J727" s="36" t="s">
        <v>32654</v>
      </c>
      <c r="K727" s="36" t="s">
        <v>14330</v>
      </c>
      <c r="L727" s="36" t="s">
        <v>14330</v>
      </c>
      <c r="M727">
        <v>2</v>
      </c>
      <c r="N727" t="s">
        <v>14331</v>
      </c>
      <c r="O727" t="s">
        <v>32633</v>
      </c>
    </row>
    <row r="728" spans="1:15" x14ac:dyDescent="0.25">
      <c r="A728" s="35" t="s">
        <v>4202</v>
      </c>
      <c r="B728" s="36" t="s">
        <v>4203</v>
      </c>
      <c r="C728" s="36" t="str">
        <f>HYPERLINK("https://rhld.insurance.arkansas.gov/NPILookup?Npi=1770531766","1770531766")</f>
        <v>1770531766</v>
      </c>
      <c r="D728" s="36" t="s">
        <v>33370</v>
      </c>
      <c r="E728" s="36" t="s">
        <v>1</v>
      </c>
      <c r="F728" s="36">
        <v>1</v>
      </c>
      <c r="G728" s="36">
        <v>2</v>
      </c>
      <c r="H728" s="36">
        <v>0</v>
      </c>
      <c r="I728" s="37">
        <v>0</v>
      </c>
      <c r="J728" s="36" t="s">
        <v>32654</v>
      </c>
      <c r="K728" s="36" t="s">
        <v>14330</v>
      </c>
      <c r="L728" s="36" t="s">
        <v>14330</v>
      </c>
      <c r="M728">
        <v>2</v>
      </c>
      <c r="N728" t="s">
        <v>14331</v>
      </c>
      <c r="O728" t="s">
        <v>32633</v>
      </c>
    </row>
    <row r="729" spans="1:15" x14ac:dyDescent="0.25">
      <c r="A729" s="35" t="s">
        <v>4202</v>
      </c>
      <c r="B729" s="36" t="s">
        <v>4203</v>
      </c>
      <c r="C729" s="36" t="str">
        <f>HYPERLINK("https://rhld.insurance.arkansas.gov/NPILookup?Npi=1770593436","1770593436")</f>
        <v>1770593436</v>
      </c>
      <c r="D729" s="36" t="s">
        <v>33371</v>
      </c>
      <c r="E729" s="36" t="s">
        <v>1</v>
      </c>
      <c r="F729" s="36">
        <v>1</v>
      </c>
      <c r="G729" s="36">
        <v>2</v>
      </c>
      <c r="H729" s="36">
        <v>0</v>
      </c>
      <c r="I729" s="37">
        <v>0</v>
      </c>
      <c r="J729" s="36" t="s">
        <v>32654</v>
      </c>
      <c r="K729" s="36" t="s">
        <v>14330</v>
      </c>
      <c r="L729" s="36" t="s">
        <v>14330</v>
      </c>
      <c r="M729">
        <v>2</v>
      </c>
      <c r="N729" t="s">
        <v>14331</v>
      </c>
      <c r="O729" t="s">
        <v>32633</v>
      </c>
    </row>
    <row r="730" spans="1:15" x14ac:dyDescent="0.25">
      <c r="A730" s="35" t="s">
        <v>4202</v>
      </c>
      <c r="B730" s="36" t="s">
        <v>4203</v>
      </c>
      <c r="C730" s="36" t="str">
        <f>HYPERLINK("https://rhld.insurance.arkansas.gov/NPILookup?Npi=1770698052","1770698052")</f>
        <v>1770698052</v>
      </c>
      <c r="D730" s="36" t="s">
        <v>33372</v>
      </c>
      <c r="E730" s="36" t="s">
        <v>2</v>
      </c>
      <c r="F730" s="36">
        <v>1</v>
      </c>
      <c r="G730" s="36">
        <v>2</v>
      </c>
      <c r="H730" s="36">
        <v>0</v>
      </c>
      <c r="I730" s="37">
        <v>0</v>
      </c>
      <c r="J730" s="36"/>
      <c r="K730" s="36" t="s">
        <v>14330</v>
      </c>
      <c r="L730" s="36" t="s">
        <v>14330</v>
      </c>
      <c r="M730">
        <v>2</v>
      </c>
      <c r="N730" t="s">
        <v>14331</v>
      </c>
      <c r="O730" t="s">
        <v>32633</v>
      </c>
    </row>
    <row r="731" spans="1:15" x14ac:dyDescent="0.25">
      <c r="A731" s="35" t="s">
        <v>4202</v>
      </c>
      <c r="B731" s="36" t="s">
        <v>4203</v>
      </c>
      <c r="C731" s="36" t="str">
        <f>HYPERLINK("https://rhld.insurance.arkansas.gov/NPILookup?Npi=1770903882","1770903882")</f>
        <v>1770903882</v>
      </c>
      <c r="D731" s="36" t="s">
        <v>33373</v>
      </c>
      <c r="E731" s="36" t="s">
        <v>1</v>
      </c>
      <c r="F731" s="36">
        <v>1</v>
      </c>
      <c r="G731" s="36">
        <v>2</v>
      </c>
      <c r="H731" s="36">
        <v>0</v>
      </c>
      <c r="I731" s="37">
        <v>0</v>
      </c>
      <c r="J731" s="36" t="s">
        <v>32654</v>
      </c>
      <c r="K731" s="36" t="s">
        <v>14330</v>
      </c>
      <c r="L731" s="36" t="s">
        <v>14330</v>
      </c>
      <c r="M731">
        <v>1</v>
      </c>
      <c r="N731" t="s">
        <v>14331</v>
      </c>
      <c r="O731" t="s">
        <v>32633</v>
      </c>
    </row>
    <row r="732" spans="1:15" x14ac:dyDescent="0.25">
      <c r="A732" s="35" t="s">
        <v>4202</v>
      </c>
      <c r="B732" s="36" t="s">
        <v>4203</v>
      </c>
      <c r="C732" s="36" t="str">
        <f>HYPERLINK("https://rhld.insurance.arkansas.gov/NPILookup?Npi=1770961211","1770961211")</f>
        <v>1770961211</v>
      </c>
      <c r="D732" s="36" t="s">
        <v>33374</v>
      </c>
      <c r="E732" s="36" t="s">
        <v>2</v>
      </c>
      <c r="F732" s="36">
        <v>1</v>
      </c>
      <c r="G732" s="36">
        <v>1</v>
      </c>
      <c r="H732" s="36">
        <v>0</v>
      </c>
      <c r="I732" s="37">
        <v>0</v>
      </c>
      <c r="J732" s="36" t="s">
        <v>32679</v>
      </c>
      <c r="K732" s="36" t="s">
        <v>14330</v>
      </c>
      <c r="L732" s="36" t="s">
        <v>14330</v>
      </c>
      <c r="M732">
        <v>2</v>
      </c>
      <c r="N732" t="s">
        <v>14331</v>
      </c>
      <c r="O732" t="s">
        <v>32633</v>
      </c>
    </row>
    <row r="733" spans="1:15" x14ac:dyDescent="0.25">
      <c r="A733" s="35" t="s">
        <v>4202</v>
      </c>
      <c r="B733" s="36" t="s">
        <v>4203</v>
      </c>
      <c r="C733" s="36" t="str">
        <f>HYPERLINK("https://rhld.insurance.arkansas.gov/NPILookup?Npi=1780038083","1780038083")</f>
        <v>1780038083</v>
      </c>
      <c r="D733" s="36" t="s">
        <v>33375</v>
      </c>
      <c r="E733" s="36" t="s">
        <v>1</v>
      </c>
      <c r="F733" s="36">
        <v>1</v>
      </c>
      <c r="G733" s="36">
        <v>2</v>
      </c>
      <c r="H733" s="36">
        <v>0</v>
      </c>
      <c r="I733" s="37">
        <v>0</v>
      </c>
      <c r="J733" s="36" t="s">
        <v>32723</v>
      </c>
      <c r="K733" s="36" t="s">
        <v>14330</v>
      </c>
      <c r="L733" s="36" t="s">
        <v>14330</v>
      </c>
      <c r="M733">
        <v>2</v>
      </c>
      <c r="N733" t="s">
        <v>14331</v>
      </c>
      <c r="O733" t="s">
        <v>32724</v>
      </c>
    </row>
    <row r="734" spans="1:15" x14ac:dyDescent="0.25">
      <c r="A734" s="35" t="s">
        <v>4202</v>
      </c>
      <c r="B734" s="36" t="s">
        <v>4203</v>
      </c>
      <c r="C734" s="36" t="str">
        <f>HYPERLINK("https://rhld.insurance.arkansas.gov/NPILookup?Npi=1780065599","1780065599")</f>
        <v>1780065599</v>
      </c>
      <c r="D734" s="36" t="s">
        <v>33376</v>
      </c>
      <c r="E734" s="36" t="s">
        <v>1</v>
      </c>
      <c r="F734" s="36">
        <v>1</v>
      </c>
      <c r="G734" s="36">
        <v>2</v>
      </c>
      <c r="H734" s="36">
        <v>0</v>
      </c>
      <c r="I734" s="37">
        <v>0</v>
      </c>
      <c r="J734" s="36" t="s">
        <v>32654</v>
      </c>
      <c r="K734" s="36" t="s">
        <v>14330</v>
      </c>
      <c r="L734" s="36" t="s">
        <v>14330</v>
      </c>
      <c r="M734">
        <v>2</v>
      </c>
      <c r="N734" t="s">
        <v>14331</v>
      </c>
      <c r="O734" t="s">
        <v>32633</v>
      </c>
    </row>
    <row r="735" spans="1:15" x14ac:dyDescent="0.25">
      <c r="A735" s="35" t="s">
        <v>4202</v>
      </c>
      <c r="B735" s="36" t="s">
        <v>4203</v>
      </c>
      <c r="C735" s="36" t="str">
        <f>HYPERLINK("https://rhld.insurance.arkansas.gov/NPILookup?Npi=1780734830","1780734830")</f>
        <v>1780734830</v>
      </c>
      <c r="D735" s="36" t="s">
        <v>33377</v>
      </c>
      <c r="E735" s="36" t="s">
        <v>1</v>
      </c>
      <c r="F735" s="36">
        <v>1</v>
      </c>
      <c r="G735" s="36">
        <v>2</v>
      </c>
      <c r="H735" s="36">
        <v>0</v>
      </c>
      <c r="I735" s="37">
        <v>0</v>
      </c>
      <c r="J735" s="36" t="s">
        <v>32654</v>
      </c>
      <c r="K735" s="36" t="s">
        <v>14330</v>
      </c>
      <c r="L735" s="36" t="s">
        <v>14330</v>
      </c>
      <c r="M735">
        <v>2</v>
      </c>
      <c r="N735" t="s">
        <v>14331</v>
      </c>
      <c r="O735" t="s">
        <v>32633</v>
      </c>
    </row>
    <row r="736" spans="1:15" x14ac:dyDescent="0.25">
      <c r="A736" s="35" t="s">
        <v>4202</v>
      </c>
      <c r="B736" s="36" t="s">
        <v>4203</v>
      </c>
      <c r="C736" s="36" t="str">
        <f>HYPERLINK("https://rhld.insurance.arkansas.gov/NPILookup?Npi=1780938951","1780938951")</f>
        <v>1780938951</v>
      </c>
      <c r="D736" s="36" t="s">
        <v>33378</v>
      </c>
      <c r="E736" s="36" t="s">
        <v>1</v>
      </c>
      <c r="F736" s="36">
        <v>1</v>
      </c>
      <c r="G736" s="36">
        <v>2</v>
      </c>
      <c r="H736" s="36">
        <v>0</v>
      </c>
      <c r="I736" s="37">
        <v>0</v>
      </c>
      <c r="J736" s="36" t="s">
        <v>32654</v>
      </c>
      <c r="K736" s="36" t="s">
        <v>14330</v>
      </c>
      <c r="L736" s="36" t="s">
        <v>14330</v>
      </c>
      <c r="M736">
        <v>2</v>
      </c>
      <c r="N736" t="s">
        <v>14331</v>
      </c>
      <c r="O736" t="s">
        <v>32633</v>
      </c>
    </row>
    <row r="737" spans="1:15" x14ac:dyDescent="0.25">
      <c r="A737" s="35" t="s">
        <v>4202</v>
      </c>
      <c r="B737" s="36" t="s">
        <v>4203</v>
      </c>
      <c r="C737" s="36" t="str">
        <f>HYPERLINK("https://rhld.insurance.arkansas.gov/NPILookup?Npi=1790043131","1790043131")</f>
        <v>1790043131</v>
      </c>
      <c r="D737" s="36" t="s">
        <v>33379</v>
      </c>
      <c r="E737" s="36" t="s">
        <v>1</v>
      </c>
      <c r="F737" s="36">
        <v>1</v>
      </c>
      <c r="G737" s="36">
        <v>2</v>
      </c>
      <c r="H737" s="36">
        <v>0</v>
      </c>
      <c r="I737" s="37">
        <v>0</v>
      </c>
      <c r="J737" s="36" t="s">
        <v>32723</v>
      </c>
      <c r="K737" s="36" t="s">
        <v>14330</v>
      </c>
      <c r="L737" s="36" t="s">
        <v>14330</v>
      </c>
      <c r="M737">
        <v>3</v>
      </c>
      <c r="N737" t="s">
        <v>14331</v>
      </c>
      <c r="O737" t="s">
        <v>32724</v>
      </c>
    </row>
    <row r="738" spans="1:15" x14ac:dyDescent="0.25">
      <c r="A738" s="35" t="s">
        <v>4202</v>
      </c>
      <c r="B738" s="36" t="s">
        <v>4203</v>
      </c>
      <c r="C738" s="36" t="str">
        <f>HYPERLINK("https://rhld.insurance.arkansas.gov/NPILookup?Npi=1790198133","1790198133")</f>
        <v>1790198133</v>
      </c>
      <c r="D738" s="36" t="s">
        <v>33380</v>
      </c>
      <c r="E738" s="36" t="s">
        <v>1</v>
      </c>
      <c r="F738" s="36">
        <v>1</v>
      </c>
      <c r="G738" s="36">
        <v>3</v>
      </c>
      <c r="H738" s="36">
        <v>0</v>
      </c>
      <c r="I738" s="37">
        <v>0</v>
      </c>
      <c r="J738" s="36" t="s">
        <v>32654</v>
      </c>
      <c r="K738" s="36" t="s">
        <v>14330</v>
      </c>
      <c r="L738" s="36" t="s">
        <v>14330</v>
      </c>
      <c r="M738">
        <v>3</v>
      </c>
      <c r="N738" t="s">
        <v>14331</v>
      </c>
      <c r="O738" t="s">
        <v>32633</v>
      </c>
    </row>
    <row r="739" spans="1:15" x14ac:dyDescent="0.25">
      <c r="A739" s="35" t="s">
        <v>4202</v>
      </c>
      <c r="B739" s="36" t="s">
        <v>4203</v>
      </c>
      <c r="C739" s="36" t="str">
        <f>HYPERLINK("https://rhld.insurance.arkansas.gov/NPILookup?Npi=1790751329","1790751329")</f>
        <v>1790751329</v>
      </c>
      <c r="D739" s="36" t="s">
        <v>33381</v>
      </c>
      <c r="E739" s="36" t="s">
        <v>1</v>
      </c>
      <c r="F739" s="36">
        <v>1</v>
      </c>
      <c r="G739" s="36">
        <v>3</v>
      </c>
      <c r="H739" s="36">
        <v>0</v>
      </c>
      <c r="I739" s="37">
        <v>0</v>
      </c>
      <c r="J739" s="36" t="s">
        <v>32654</v>
      </c>
      <c r="K739" s="36" t="s">
        <v>14330</v>
      </c>
      <c r="L739" s="36" t="s">
        <v>14330</v>
      </c>
      <c r="M739">
        <v>2</v>
      </c>
      <c r="N739" t="s">
        <v>14331</v>
      </c>
      <c r="O739" t="s">
        <v>32633</v>
      </c>
    </row>
    <row r="740" spans="1:15" x14ac:dyDescent="0.25">
      <c r="A740" s="35" t="s">
        <v>4202</v>
      </c>
      <c r="B740" s="36" t="s">
        <v>4203</v>
      </c>
      <c r="C740" s="36" t="str">
        <f>HYPERLINK("https://rhld.insurance.arkansas.gov/NPILookup?Npi=1790894830","1790894830")</f>
        <v>1790894830</v>
      </c>
      <c r="D740" s="36" t="s">
        <v>33382</v>
      </c>
      <c r="E740" s="36" t="s">
        <v>2</v>
      </c>
      <c r="F740" s="36">
        <v>1</v>
      </c>
      <c r="G740" s="36">
        <v>2</v>
      </c>
      <c r="H740" s="36">
        <v>0</v>
      </c>
      <c r="I740" s="37">
        <v>0</v>
      </c>
      <c r="J740" s="36" t="s">
        <v>32679</v>
      </c>
      <c r="K740" s="36" t="s">
        <v>14330</v>
      </c>
      <c r="L740" s="36" t="s">
        <v>14330</v>
      </c>
      <c r="M740">
        <v>2</v>
      </c>
      <c r="N740" t="s">
        <v>14331</v>
      </c>
      <c r="O740" t="s">
        <v>32633</v>
      </c>
    </row>
    <row r="741" spans="1:15" x14ac:dyDescent="0.25">
      <c r="A741" s="35" t="s">
        <v>4202</v>
      </c>
      <c r="B741" s="36" t="s">
        <v>4203</v>
      </c>
      <c r="C741" s="36" t="str">
        <f>HYPERLINK("https://rhld.insurance.arkansas.gov/NPILookup?Npi=1801048558","1801048558")</f>
        <v>1801048558</v>
      </c>
      <c r="D741" s="36" t="s">
        <v>33383</v>
      </c>
      <c r="E741" s="36" t="s">
        <v>1</v>
      </c>
      <c r="F741" s="36">
        <v>1</v>
      </c>
      <c r="G741" s="36">
        <v>2</v>
      </c>
      <c r="H741" s="36">
        <v>0</v>
      </c>
      <c r="I741" s="37">
        <v>0</v>
      </c>
      <c r="J741" s="36" t="s">
        <v>32654</v>
      </c>
      <c r="K741" s="36" t="s">
        <v>14330</v>
      </c>
      <c r="L741" s="36" t="s">
        <v>14330</v>
      </c>
      <c r="M741">
        <v>3</v>
      </c>
      <c r="N741" t="s">
        <v>14331</v>
      </c>
      <c r="O741" t="s">
        <v>32633</v>
      </c>
    </row>
    <row r="742" spans="1:15" x14ac:dyDescent="0.25">
      <c r="A742" s="35" t="s">
        <v>4202</v>
      </c>
      <c r="B742" s="36" t="s">
        <v>4203</v>
      </c>
      <c r="C742" s="36" t="str">
        <f>HYPERLINK("https://rhld.insurance.arkansas.gov/NPILookup?Npi=1801235783","1801235783")</f>
        <v>1801235783</v>
      </c>
      <c r="D742" s="36" t="s">
        <v>33384</v>
      </c>
      <c r="E742" s="36" t="s">
        <v>1</v>
      </c>
      <c r="F742" s="36">
        <v>1</v>
      </c>
      <c r="G742" s="36">
        <v>3</v>
      </c>
      <c r="H742" s="36">
        <v>0</v>
      </c>
      <c r="I742" s="37">
        <v>0</v>
      </c>
      <c r="J742" s="36" t="s">
        <v>32654</v>
      </c>
      <c r="K742" s="36" t="s">
        <v>14330</v>
      </c>
      <c r="L742" s="36" t="s">
        <v>14330</v>
      </c>
      <c r="M742">
        <v>2</v>
      </c>
      <c r="N742" t="s">
        <v>14331</v>
      </c>
      <c r="O742" t="s">
        <v>32633</v>
      </c>
    </row>
    <row r="743" spans="1:15" x14ac:dyDescent="0.25">
      <c r="A743" s="35" t="s">
        <v>4202</v>
      </c>
      <c r="B743" s="36" t="s">
        <v>4203</v>
      </c>
      <c r="C743" s="36" t="str">
        <f>HYPERLINK("https://rhld.insurance.arkansas.gov/NPILookup?Npi=1801410527","1801410527")</f>
        <v>1801410527</v>
      </c>
      <c r="D743" s="36" t="s">
        <v>33385</v>
      </c>
      <c r="E743" s="36" t="s">
        <v>1</v>
      </c>
      <c r="F743" s="36">
        <v>1</v>
      </c>
      <c r="G743" s="36">
        <v>2</v>
      </c>
      <c r="H743" s="36">
        <v>0</v>
      </c>
      <c r="I743" s="37">
        <v>0</v>
      </c>
      <c r="J743" s="36" t="s">
        <v>32654</v>
      </c>
      <c r="K743" s="36" t="s">
        <v>14330</v>
      </c>
      <c r="L743" s="36" t="s">
        <v>14330</v>
      </c>
      <c r="M743">
        <v>2</v>
      </c>
      <c r="N743" t="s">
        <v>14331</v>
      </c>
      <c r="O743" t="s">
        <v>32633</v>
      </c>
    </row>
    <row r="744" spans="1:15" x14ac:dyDescent="0.25">
      <c r="A744" s="35" t="s">
        <v>4202</v>
      </c>
      <c r="B744" s="36" t="s">
        <v>4203</v>
      </c>
      <c r="C744" s="36" t="str">
        <f>HYPERLINK("https://rhld.insurance.arkansas.gov/NPILookup?Npi=1801478094","1801478094")</f>
        <v>1801478094</v>
      </c>
      <c r="D744" s="36" t="s">
        <v>33386</v>
      </c>
      <c r="E744" s="36" t="s">
        <v>2</v>
      </c>
      <c r="F744" s="36">
        <v>1</v>
      </c>
      <c r="G744" s="36">
        <v>2</v>
      </c>
      <c r="H744" s="36">
        <v>0</v>
      </c>
      <c r="I744" s="37">
        <v>0</v>
      </c>
      <c r="J744" s="36"/>
      <c r="K744" s="36" t="s">
        <v>14330</v>
      </c>
      <c r="L744" s="36" t="s">
        <v>14330</v>
      </c>
      <c r="M744">
        <v>1</v>
      </c>
      <c r="N744" t="s">
        <v>14331</v>
      </c>
      <c r="O744" t="s">
        <v>32633</v>
      </c>
    </row>
    <row r="745" spans="1:15" x14ac:dyDescent="0.25">
      <c r="A745" s="35" t="s">
        <v>4202</v>
      </c>
      <c r="B745" s="36" t="s">
        <v>4203</v>
      </c>
      <c r="C745" s="36" t="str">
        <f>HYPERLINK("https://rhld.insurance.arkansas.gov/NPILookup?Npi=1801878897","1801878897")</f>
        <v>1801878897</v>
      </c>
      <c r="D745" s="36" t="s">
        <v>33387</v>
      </c>
      <c r="E745" s="36" t="s">
        <v>1</v>
      </c>
      <c r="F745" s="36">
        <v>1</v>
      </c>
      <c r="G745" s="36">
        <v>1</v>
      </c>
      <c r="H745" s="36">
        <v>0</v>
      </c>
      <c r="I745" s="37">
        <v>0</v>
      </c>
      <c r="J745" s="36" t="s">
        <v>32654</v>
      </c>
      <c r="K745" s="36" t="s">
        <v>14330</v>
      </c>
      <c r="L745" s="36" t="s">
        <v>14330</v>
      </c>
      <c r="M745">
        <v>2</v>
      </c>
      <c r="N745" t="s">
        <v>14331</v>
      </c>
      <c r="O745" t="s">
        <v>32633</v>
      </c>
    </row>
    <row r="746" spans="1:15" x14ac:dyDescent="0.25">
      <c r="A746" s="35" t="s">
        <v>4202</v>
      </c>
      <c r="B746" s="36" t="s">
        <v>4203</v>
      </c>
      <c r="C746" s="36" t="str">
        <f>HYPERLINK("https://rhld.insurance.arkansas.gov/NPILookup?Npi=1801908108","1801908108")</f>
        <v>1801908108</v>
      </c>
      <c r="D746" s="36" t="s">
        <v>33388</v>
      </c>
      <c r="E746" s="36" t="s">
        <v>1</v>
      </c>
      <c r="F746" s="36">
        <v>1</v>
      </c>
      <c r="G746" s="36">
        <v>2</v>
      </c>
      <c r="H746" s="36">
        <v>0</v>
      </c>
      <c r="I746" s="37">
        <v>0</v>
      </c>
      <c r="J746" s="36" t="s">
        <v>32654</v>
      </c>
      <c r="K746" s="36" t="s">
        <v>14330</v>
      </c>
      <c r="L746" s="36" t="s">
        <v>14330</v>
      </c>
      <c r="M746">
        <v>3</v>
      </c>
      <c r="N746" t="s">
        <v>14331</v>
      </c>
      <c r="O746" t="s">
        <v>32633</v>
      </c>
    </row>
    <row r="747" spans="1:15" x14ac:dyDescent="0.25">
      <c r="A747" s="35" t="s">
        <v>4202</v>
      </c>
      <c r="B747" s="36" t="s">
        <v>4203</v>
      </c>
      <c r="C747" s="36" t="str">
        <f>HYPERLINK("https://rhld.insurance.arkansas.gov/NPILookup?Npi=1811494974","1811494974")</f>
        <v>1811494974</v>
      </c>
      <c r="D747" s="36" t="s">
        <v>33389</v>
      </c>
      <c r="E747" s="36" t="s">
        <v>1</v>
      </c>
      <c r="F747" s="36">
        <v>1</v>
      </c>
      <c r="G747" s="36">
        <v>3</v>
      </c>
      <c r="H747" s="36">
        <v>0</v>
      </c>
      <c r="I747" s="37">
        <v>0</v>
      </c>
      <c r="J747" s="36" t="s">
        <v>32654</v>
      </c>
      <c r="K747" s="36" t="s">
        <v>14330</v>
      </c>
      <c r="L747" s="36" t="s">
        <v>14330</v>
      </c>
      <c r="M747">
        <v>3</v>
      </c>
      <c r="N747" t="s">
        <v>14331</v>
      </c>
      <c r="O747" t="s">
        <v>32633</v>
      </c>
    </row>
    <row r="748" spans="1:15" x14ac:dyDescent="0.25">
      <c r="A748" s="35" t="s">
        <v>4202</v>
      </c>
      <c r="B748" s="36" t="s">
        <v>4203</v>
      </c>
      <c r="C748" s="36" t="str">
        <f>HYPERLINK("https://rhld.insurance.arkansas.gov/NPILookup?Npi=1811525017","1811525017")</f>
        <v>1811525017</v>
      </c>
      <c r="D748" s="36" t="s">
        <v>33390</v>
      </c>
      <c r="E748" s="36" t="s">
        <v>1</v>
      </c>
      <c r="F748" s="36">
        <v>1</v>
      </c>
      <c r="G748" s="36">
        <v>3</v>
      </c>
      <c r="H748" s="36">
        <v>0</v>
      </c>
      <c r="I748" s="37">
        <v>0</v>
      </c>
      <c r="J748" s="36" t="s">
        <v>32654</v>
      </c>
      <c r="K748" s="36" t="s">
        <v>14330</v>
      </c>
      <c r="L748" s="36" t="s">
        <v>14330</v>
      </c>
      <c r="M748">
        <v>2</v>
      </c>
      <c r="N748" t="s">
        <v>14331</v>
      </c>
      <c r="O748" t="s">
        <v>32633</v>
      </c>
    </row>
    <row r="749" spans="1:15" x14ac:dyDescent="0.25">
      <c r="A749" s="35" t="s">
        <v>4202</v>
      </c>
      <c r="B749" s="36" t="s">
        <v>4203</v>
      </c>
      <c r="C749" s="36" t="str">
        <f>HYPERLINK("https://rhld.insurance.arkansas.gov/NPILookup?Npi=1811931397","1811931397")</f>
        <v>1811931397</v>
      </c>
      <c r="D749" s="36" t="s">
        <v>33391</v>
      </c>
      <c r="E749" s="36" t="s">
        <v>1</v>
      </c>
      <c r="F749" s="36">
        <v>1</v>
      </c>
      <c r="G749" s="36">
        <v>2</v>
      </c>
      <c r="H749" s="36">
        <v>0</v>
      </c>
      <c r="I749" s="37">
        <v>0</v>
      </c>
      <c r="J749" s="36" t="s">
        <v>32654</v>
      </c>
      <c r="K749" s="36" t="s">
        <v>14330</v>
      </c>
      <c r="L749" s="36" t="s">
        <v>14330</v>
      </c>
      <c r="M749">
        <v>0</v>
      </c>
      <c r="N749" t="s">
        <v>14331</v>
      </c>
      <c r="O749" t="s">
        <v>32633</v>
      </c>
    </row>
    <row r="750" spans="1:15" x14ac:dyDescent="0.25">
      <c r="A750" s="35" t="s">
        <v>4202</v>
      </c>
      <c r="B750" s="36" t="s">
        <v>4203</v>
      </c>
      <c r="C750" s="36" t="str">
        <f>HYPERLINK("https://rhld.insurance.arkansas.gov/NPILookup?Npi=1821016361","1821016361")</f>
        <v>1821016361</v>
      </c>
      <c r="D750" s="36" t="s">
        <v>33392</v>
      </c>
      <c r="E750" s="36" t="s">
        <v>2</v>
      </c>
      <c r="F750" s="36">
        <v>1</v>
      </c>
      <c r="G750" s="36">
        <v>1</v>
      </c>
      <c r="H750" s="36">
        <v>1</v>
      </c>
      <c r="I750" s="37">
        <v>0</v>
      </c>
      <c r="J750" s="36" t="s">
        <v>32679</v>
      </c>
      <c r="K750" s="36" t="s">
        <v>14330</v>
      </c>
      <c r="L750" s="36" t="s">
        <v>32959</v>
      </c>
      <c r="M750">
        <v>2</v>
      </c>
      <c r="N750" t="s">
        <v>14331</v>
      </c>
      <c r="O750" t="s">
        <v>32633</v>
      </c>
    </row>
    <row r="751" spans="1:15" x14ac:dyDescent="0.25">
      <c r="A751" s="35" t="s">
        <v>4202</v>
      </c>
      <c r="B751" s="36" t="s">
        <v>4203</v>
      </c>
      <c r="C751" s="36" t="str">
        <f>HYPERLINK("https://rhld.insurance.arkansas.gov/NPILookup?Npi=1821024803","1821024803")</f>
        <v>1821024803</v>
      </c>
      <c r="D751" s="36" t="s">
        <v>33393</v>
      </c>
      <c r="E751" s="36" t="s">
        <v>2</v>
      </c>
      <c r="F751" s="36">
        <v>1</v>
      </c>
      <c r="G751" s="36">
        <v>2</v>
      </c>
      <c r="H751" s="36">
        <v>0</v>
      </c>
      <c r="I751" s="37">
        <v>0</v>
      </c>
      <c r="J751" s="36" t="s">
        <v>32679</v>
      </c>
      <c r="K751" s="36" t="s">
        <v>14330</v>
      </c>
      <c r="L751" s="36" t="s">
        <v>14330</v>
      </c>
      <c r="M751">
        <v>3</v>
      </c>
      <c r="N751" t="s">
        <v>14331</v>
      </c>
      <c r="O751" t="s">
        <v>32633</v>
      </c>
    </row>
    <row r="752" spans="1:15" x14ac:dyDescent="0.25">
      <c r="A752" s="35" t="s">
        <v>4202</v>
      </c>
      <c r="B752" s="36" t="s">
        <v>4203</v>
      </c>
      <c r="C752" s="36" t="str">
        <f>HYPERLINK("https://rhld.insurance.arkansas.gov/NPILookup?Npi=1821058991","1821058991")</f>
        <v>1821058991</v>
      </c>
      <c r="D752" s="36" t="s">
        <v>33394</v>
      </c>
      <c r="E752" s="36" t="s">
        <v>1</v>
      </c>
      <c r="F752" s="36">
        <v>1</v>
      </c>
      <c r="G752" s="36">
        <v>3</v>
      </c>
      <c r="H752" s="36">
        <v>0</v>
      </c>
      <c r="I752" s="37">
        <v>0</v>
      </c>
      <c r="J752" s="36" t="s">
        <v>32654</v>
      </c>
      <c r="K752" s="36" t="s">
        <v>14330</v>
      </c>
      <c r="L752" s="36" t="s">
        <v>14330</v>
      </c>
      <c r="M752">
        <v>2</v>
      </c>
      <c r="N752" t="s">
        <v>14331</v>
      </c>
      <c r="O752" t="s">
        <v>32633</v>
      </c>
    </row>
    <row r="753" spans="1:15" x14ac:dyDescent="0.25">
      <c r="A753" s="35" t="s">
        <v>4202</v>
      </c>
      <c r="B753" s="36" t="s">
        <v>4203</v>
      </c>
      <c r="C753" s="36" t="str">
        <f>HYPERLINK("https://rhld.insurance.arkansas.gov/NPILookup?Npi=1821135690","1821135690")</f>
        <v>1821135690</v>
      </c>
      <c r="D753" s="36" t="s">
        <v>33395</v>
      </c>
      <c r="E753" s="36" t="s">
        <v>1</v>
      </c>
      <c r="F753" s="36">
        <v>1</v>
      </c>
      <c r="G753" s="36">
        <v>2</v>
      </c>
      <c r="H753" s="36">
        <v>0</v>
      </c>
      <c r="I753" s="37">
        <v>0</v>
      </c>
      <c r="J753" s="36" t="s">
        <v>32654</v>
      </c>
      <c r="K753" s="36" t="s">
        <v>14330</v>
      </c>
      <c r="L753" s="36" t="s">
        <v>14330</v>
      </c>
      <c r="M753">
        <v>2</v>
      </c>
      <c r="N753" t="s">
        <v>14331</v>
      </c>
      <c r="O753" t="s">
        <v>32633</v>
      </c>
    </row>
    <row r="754" spans="1:15" x14ac:dyDescent="0.25">
      <c r="A754" s="35" t="s">
        <v>4202</v>
      </c>
      <c r="B754" s="36" t="s">
        <v>4203</v>
      </c>
      <c r="C754" s="36" t="str">
        <f>HYPERLINK("https://rhld.insurance.arkansas.gov/NPILookup?Npi=1821223595","1821223595")</f>
        <v>1821223595</v>
      </c>
      <c r="D754" s="36" t="s">
        <v>33396</v>
      </c>
      <c r="E754" s="36" t="s">
        <v>2</v>
      </c>
      <c r="F754" s="36">
        <v>1</v>
      </c>
      <c r="G754" s="36">
        <v>2</v>
      </c>
      <c r="H754" s="36">
        <v>0</v>
      </c>
      <c r="I754" s="37">
        <v>0</v>
      </c>
      <c r="J754" s="36"/>
      <c r="K754" s="36" t="s">
        <v>14330</v>
      </c>
      <c r="L754" s="36" t="s">
        <v>14330</v>
      </c>
      <c r="M754">
        <v>1</v>
      </c>
      <c r="N754" t="s">
        <v>14331</v>
      </c>
      <c r="O754" t="s">
        <v>32633</v>
      </c>
    </row>
    <row r="755" spans="1:15" x14ac:dyDescent="0.25">
      <c r="A755" s="35" t="s">
        <v>4202</v>
      </c>
      <c r="B755" s="36" t="s">
        <v>4203</v>
      </c>
      <c r="C755" s="36" t="str">
        <f>HYPERLINK("https://rhld.insurance.arkansas.gov/NPILookup?Npi=1821458605","1821458605")</f>
        <v>1821458605</v>
      </c>
      <c r="D755" s="36" t="s">
        <v>33397</v>
      </c>
      <c r="E755" s="36" t="s">
        <v>1</v>
      </c>
      <c r="F755" s="36">
        <v>1</v>
      </c>
      <c r="G755" s="36">
        <v>1</v>
      </c>
      <c r="H755" s="36">
        <v>0</v>
      </c>
      <c r="I755" s="37">
        <v>0</v>
      </c>
      <c r="J755" s="36" t="s">
        <v>32654</v>
      </c>
      <c r="K755" s="36" t="s">
        <v>14330</v>
      </c>
      <c r="L755" s="36" t="s">
        <v>14330</v>
      </c>
      <c r="M755">
        <v>2</v>
      </c>
      <c r="N755" t="s">
        <v>14331</v>
      </c>
      <c r="O755" t="s">
        <v>32633</v>
      </c>
    </row>
    <row r="756" spans="1:15" x14ac:dyDescent="0.25">
      <c r="A756" s="35" t="s">
        <v>4202</v>
      </c>
      <c r="B756" s="36" t="s">
        <v>4203</v>
      </c>
      <c r="C756" s="36" t="str">
        <f>HYPERLINK("https://rhld.insurance.arkansas.gov/NPILookup?Npi=1831178524","1831178524")</f>
        <v>1831178524</v>
      </c>
      <c r="D756" s="36" t="s">
        <v>33398</v>
      </c>
      <c r="E756" s="36" t="s">
        <v>1</v>
      </c>
      <c r="F756" s="36">
        <v>1</v>
      </c>
      <c r="G756" s="36">
        <v>2</v>
      </c>
      <c r="H756" s="36">
        <v>0</v>
      </c>
      <c r="I756" s="37">
        <v>0</v>
      </c>
      <c r="J756" s="36" t="s">
        <v>32654</v>
      </c>
      <c r="K756" s="36" t="s">
        <v>14330</v>
      </c>
      <c r="L756" s="36" t="s">
        <v>14330</v>
      </c>
      <c r="M756">
        <v>2</v>
      </c>
      <c r="N756" t="s">
        <v>14331</v>
      </c>
      <c r="O756" t="s">
        <v>32633</v>
      </c>
    </row>
    <row r="757" spans="1:15" x14ac:dyDescent="0.25">
      <c r="A757" s="35" t="s">
        <v>4202</v>
      </c>
      <c r="B757" s="36" t="s">
        <v>4203</v>
      </c>
      <c r="C757" s="36" t="str">
        <f>HYPERLINK("https://rhld.insurance.arkansas.gov/NPILookup?Npi=1831181247","1831181247")</f>
        <v>1831181247</v>
      </c>
      <c r="D757" s="36" t="s">
        <v>33399</v>
      </c>
      <c r="E757" s="36" t="s">
        <v>1</v>
      </c>
      <c r="F757" s="36">
        <v>1</v>
      </c>
      <c r="G757" s="36">
        <v>2</v>
      </c>
      <c r="H757" s="36">
        <v>0</v>
      </c>
      <c r="I757" s="37">
        <v>0</v>
      </c>
      <c r="J757" s="36" t="s">
        <v>32654</v>
      </c>
      <c r="K757" s="36" t="s">
        <v>14330</v>
      </c>
      <c r="L757" s="36" t="s">
        <v>14330</v>
      </c>
      <c r="M757">
        <v>2</v>
      </c>
      <c r="N757" t="s">
        <v>14331</v>
      </c>
      <c r="O757" t="s">
        <v>32633</v>
      </c>
    </row>
    <row r="758" spans="1:15" x14ac:dyDescent="0.25">
      <c r="A758" s="35" t="s">
        <v>4202</v>
      </c>
      <c r="B758" s="36" t="s">
        <v>4203</v>
      </c>
      <c r="C758" s="36" t="str">
        <f>HYPERLINK("https://rhld.insurance.arkansas.gov/NPILookup?Npi=1831400852","1831400852")</f>
        <v>1831400852</v>
      </c>
      <c r="D758" s="36" t="s">
        <v>33400</v>
      </c>
      <c r="E758" s="36" t="s">
        <v>1</v>
      </c>
      <c r="F758" s="36">
        <v>1</v>
      </c>
      <c r="G758" s="36">
        <v>2</v>
      </c>
      <c r="H758" s="36">
        <v>0</v>
      </c>
      <c r="I758" s="37">
        <v>0</v>
      </c>
      <c r="J758" s="36" t="s">
        <v>32654</v>
      </c>
      <c r="K758" s="36" t="s">
        <v>14330</v>
      </c>
      <c r="L758" s="36" t="s">
        <v>14330</v>
      </c>
      <c r="M758">
        <v>3</v>
      </c>
      <c r="N758" t="s">
        <v>14331</v>
      </c>
      <c r="O758" t="s">
        <v>32633</v>
      </c>
    </row>
    <row r="759" spans="1:15" x14ac:dyDescent="0.25">
      <c r="A759" s="35" t="s">
        <v>4202</v>
      </c>
      <c r="B759" s="36" t="s">
        <v>4203</v>
      </c>
      <c r="C759" s="36" t="str">
        <f>HYPERLINK("https://rhld.insurance.arkansas.gov/NPILookup?Npi=1831487396","1831487396")</f>
        <v>1831487396</v>
      </c>
      <c r="D759" s="36" t="s">
        <v>33401</v>
      </c>
      <c r="E759" s="36" t="s">
        <v>1</v>
      </c>
      <c r="F759" s="36">
        <v>1</v>
      </c>
      <c r="G759" s="36">
        <v>3</v>
      </c>
      <c r="H759" s="36">
        <v>0</v>
      </c>
      <c r="I759" s="37">
        <v>0</v>
      </c>
      <c r="J759" s="36" t="s">
        <v>32654</v>
      </c>
      <c r="K759" s="36" t="s">
        <v>14330</v>
      </c>
      <c r="L759" s="36" t="s">
        <v>14330</v>
      </c>
      <c r="M759">
        <v>3</v>
      </c>
      <c r="N759" t="s">
        <v>14331</v>
      </c>
      <c r="O759" t="s">
        <v>32633</v>
      </c>
    </row>
    <row r="760" spans="1:15" x14ac:dyDescent="0.25">
      <c r="A760" s="35" t="s">
        <v>4202</v>
      </c>
      <c r="B760" s="36" t="s">
        <v>4203</v>
      </c>
      <c r="C760" s="36" t="str">
        <f>HYPERLINK("https://rhld.insurance.arkansas.gov/NPILookup?Npi=1841227071","1841227071")</f>
        <v>1841227071</v>
      </c>
      <c r="D760" s="36" t="s">
        <v>33402</v>
      </c>
      <c r="E760" s="36" t="s">
        <v>1</v>
      </c>
      <c r="F760" s="36">
        <v>1</v>
      </c>
      <c r="G760" s="36">
        <v>3</v>
      </c>
      <c r="H760" s="36">
        <v>0</v>
      </c>
      <c r="I760" s="37">
        <v>0</v>
      </c>
      <c r="J760" s="36" t="s">
        <v>32654</v>
      </c>
      <c r="K760" s="36" t="s">
        <v>14330</v>
      </c>
      <c r="L760" s="36" t="s">
        <v>14330</v>
      </c>
      <c r="M760">
        <v>2</v>
      </c>
      <c r="N760" t="s">
        <v>14331</v>
      </c>
      <c r="O760" t="s">
        <v>32633</v>
      </c>
    </row>
    <row r="761" spans="1:15" x14ac:dyDescent="0.25">
      <c r="A761" s="35" t="s">
        <v>4202</v>
      </c>
      <c r="B761" s="36" t="s">
        <v>4203</v>
      </c>
      <c r="C761" s="36" t="str">
        <f>HYPERLINK("https://rhld.insurance.arkansas.gov/NPILookup?Npi=1841243144","1841243144")</f>
        <v>1841243144</v>
      </c>
      <c r="D761" s="36" t="s">
        <v>33403</v>
      </c>
      <c r="E761" s="36" t="s">
        <v>2</v>
      </c>
      <c r="F761" s="36">
        <v>1</v>
      </c>
      <c r="G761" s="36">
        <v>2</v>
      </c>
      <c r="H761" s="36">
        <v>0</v>
      </c>
      <c r="I761" s="37">
        <v>0</v>
      </c>
      <c r="J761" s="36" t="s">
        <v>32679</v>
      </c>
      <c r="K761" s="36" t="s">
        <v>14330</v>
      </c>
      <c r="L761" s="36" t="s">
        <v>14330</v>
      </c>
      <c r="M761">
        <v>1</v>
      </c>
      <c r="N761" t="s">
        <v>14331</v>
      </c>
      <c r="O761" t="s">
        <v>32633</v>
      </c>
    </row>
    <row r="762" spans="1:15" x14ac:dyDescent="0.25">
      <c r="A762" s="35" t="s">
        <v>4202</v>
      </c>
      <c r="B762" s="36" t="s">
        <v>4203</v>
      </c>
      <c r="C762" s="36" t="str">
        <f>HYPERLINK("https://rhld.insurance.arkansas.gov/NPILookup?Npi=1841291762","1841291762")</f>
        <v>1841291762</v>
      </c>
      <c r="D762" s="36" t="s">
        <v>33404</v>
      </c>
      <c r="E762" s="36" t="s">
        <v>1</v>
      </c>
      <c r="F762" s="36">
        <v>1</v>
      </c>
      <c r="G762" s="36">
        <v>1</v>
      </c>
      <c r="H762" s="36">
        <v>0</v>
      </c>
      <c r="I762" s="37">
        <v>0</v>
      </c>
      <c r="J762" s="36" t="s">
        <v>32654</v>
      </c>
      <c r="K762" s="36" t="s">
        <v>14330</v>
      </c>
      <c r="L762" s="36" t="s">
        <v>14330</v>
      </c>
      <c r="M762">
        <v>2</v>
      </c>
      <c r="N762" t="s">
        <v>14331</v>
      </c>
      <c r="O762" t="s">
        <v>32633</v>
      </c>
    </row>
    <row r="763" spans="1:15" x14ac:dyDescent="0.25">
      <c r="A763" s="35" t="s">
        <v>4202</v>
      </c>
      <c r="B763" s="36" t="s">
        <v>4203</v>
      </c>
      <c r="C763" s="36" t="str">
        <f>HYPERLINK("https://rhld.insurance.arkansas.gov/NPILookup?Npi=1841684073","1841684073")</f>
        <v>1841684073</v>
      </c>
      <c r="D763" s="36" t="s">
        <v>33405</v>
      </c>
      <c r="E763" s="36" t="s">
        <v>1</v>
      </c>
      <c r="F763" s="36">
        <v>1</v>
      </c>
      <c r="G763" s="36">
        <v>2</v>
      </c>
      <c r="H763" s="36">
        <v>0</v>
      </c>
      <c r="I763" s="37">
        <v>0</v>
      </c>
      <c r="J763" s="36" t="s">
        <v>32654</v>
      </c>
      <c r="K763" s="36" t="s">
        <v>14330</v>
      </c>
      <c r="L763" s="36" t="s">
        <v>14330</v>
      </c>
      <c r="M763">
        <v>3</v>
      </c>
      <c r="N763" t="s">
        <v>14331</v>
      </c>
      <c r="O763" t="s">
        <v>32633</v>
      </c>
    </row>
    <row r="764" spans="1:15" x14ac:dyDescent="0.25">
      <c r="A764" s="35" t="s">
        <v>4202</v>
      </c>
      <c r="B764" s="36" t="s">
        <v>4203</v>
      </c>
      <c r="C764" s="36" t="str">
        <f>HYPERLINK("https://rhld.insurance.arkansas.gov/NPILookup?Npi=1851403422","1851403422")</f>
        <v>1851403422</v>
      </c>
      <c r="D764" s="36" t="s">
        <v>33406</v>
      </c>
      <c r="E764" s="36" t="s">
        <v>1</v>
      </c>
      <c r="F764" s="36">
        <v>1</v>
      </c>
      <c r="G764" s="36">
        <v>3</v>
      </c>
      <c r="H764" s="36">
        <v>0</v>
      </c>
      <c r="I764" s="37">
        <v>0</v>
      </c>
      <c r="J764" s="36" t="s">
        <v>32654</v>
      </c>
      <c r="K764" s="36" t="s">
        <v>14330</v>
      </c>
      <c r="L764" s="36" t="s">
        <v>14330</v>
      </c>
      <c r="M764">
        <v>3</v>
      </c>
      <c r="N764" t="s">
        <v>14331</v>
      </c>
      <c r="O764" t="s">
        <v>32633</v>
      </c>
    </row>
    <row r="765" spans="1:15" x14ac:dyDescent="0.25">
      <c r="A765" s="35" t="s">
        <v>4202</v>
      </c>
      <c r="B765" s="36" t="s">
        <v>4203</v>
      </c>
      <c r="C765" s="36" t="str">
        <f>HYPERLINK("https://rhld.insurance.arkansas.gov/NPILookup?Npi=1851470140","1851470140")</f>
        <v>1851470140</v>
      </c>
      <c r="D765" s="36" t="s">
        <v>33407</v>
      </c>
      <c r="E765" s="36" t="s">
        <v>1</v>
      </c>
      <c r="F765" s="36">
        <v>1</v>
      </c>
      <c r="G765" s="36">
        <v>3</v>
      </c>
      <c r="H765" s="36">
        <v>0</v>
      </c>
      <c r="I765" s="37">
        <v>0</v>
      </c>
      <c r="J765" s="36" t="s">
        <v>32654</v>
      </c>
      <c r="K765" s="36" t="s">
        <v>14330</v>
      </c>
      <c r="L765" s="36" t="s">
        <v>14330</v>
      </c>
      <c r="M765">
        <v>2</v>
      </c>
      <c r="N765" t="s">
        <v>14331</v>
      </c>
      <c r="O765" t="s">
        <v>32633</v>
      </c>
    </row>
    <row r="766" spans="1:15" x14ac:dyDescent="0.25">
      <c r="A766" s="35" t="s">
        <v>4202</v>
      </c>
      <c r="B766" s="36" t="s">
        <v>4203</v>
      </c>
      <c r="C766" s="36" t="str">
        <f>HYPERLINK("https://rhld.insurance.arkansas.gov/NPILookup?Npi=1851505358","1851505358")</f>
        <v>1851505358</v>
      </c>
      <c r="D766" s="36" t="s">
        <v>33408</v>
      </c>
      <c r="E766" s="36" t="s">
        <v>1</v>
      </c>
      <c r="F766" s="36">
        <v>1</v>
      </c>
      <c r="G766" s="36">
        <v>2</v>
      </c>
      <c r="H766" s="36">
        <v>0</v>
      </c>
      <c r="I766" s="37">
        <v>0</v>
      </c>
      <c r="J766" s="36" t="s">
        <v>32654</v>
      </c>
      <c r="K766" s="36" t="s">
        <v>14330</v>
      </c>
      <c r="L766" s="36" t="s">
        <v>14330</v>
      </c>
      <c r="M766">
        <v>3</v>
      </c>
      <c r="N766" t="s">
        <v>14331</v>
      </c>
      <c r="O766" t="s">
        <v>32633</v>
      </c>
    </row>
    <row r="767" spans="1:15" x14ac:dyDescent="0.25">
      <c r="A767" s="35" t="s">
        <v>4202</v>
      </c>
      <c r="B767" s="36" t="s">
        <v>4203</v>
      </c>
      <c r="C767" s="36" t="str">
        <f>HYPERLINK("https://rhld.insurance.arkansas.gov/NPILookup?Npi=1851682694","1851682694")</f>
        <v>1851682694</v>
      </c>
      <c r="D767" s="36" t="s">
        <v>33409</v>
      </c>
      <c r="E767" s="36" t="s">
        <v>1</v>
      </c>
      <c r="F767" s="36">
        <v>1</v>
      </c>
      <c r="G767" s="36">
        <v>3</v>
      </c>
      <c r="H767" s="36">
        <v>0</v>
      </c>
      <c r="I767" s="37">
        <v>0</v>
      </c>
      <c r="J767" s="36" t="s">
        <v>32654</v>
      </c>
      <c r="K767" s="36" t="s">
        <v>14330</v>
      </c>
      <c r="L767" s="36" t="s">
        <v>14330</v>
      </c>
      <c r="M767">
        <v>0</v>
      </c>
      <c r="N767" t="s">
        <v>14331</v>
      </c>
      <c r="O767" t="s">
        <v>32633</v>
      </c>
    </row>
    <row r="768" spans="1:15" x14ac:dyDescent="0.25">
      <c r="A768" s="35" t="s">
        <v>4202</v>
      </c>
      <c r="B768" s="36" t="s">
        <v>4203</v>
      </c>
      <c r="C768" s="36" t="str">
        <f>HYPERLINK("https://rhld.insurance.arkansas.gov/NPILookup?Npi=1861029506","1861029506")</f>
        <v>1861029506</v>
      </c>
      <c r="D768" s="36" t="s">
        <v>33410</v>
      </c>
      <c r="E768" s="36" t="s">
        <v>2</v>
      </c>
      <c r="F768" s="36">
        <v>1</v>
      </c>
      <c r="G768" s="36">
        <v>1</v>
      </c>
      <c r="H768" s="36">
        <v>1</v>
      </c>
      <c r="I768" s="37">
        <v>0</v>
      </c>
      <c r="J768" s="36" t="s">
        <v>32679</v>
      </c>
      <c r="K768" s="36" t="s">
        <v>14330</v>
      </c>
      <c r="L768" s="36" t="s">
        <v>33411</v>
      </c>
      <c r="M768">
        <v>3</v>
      </c>
      <c r="N768" t="s">
        <v>14331</v>
      </c>
      <c r="O768" t="s">
        <v>32633</v>
      </c>
    </row>
    <row r="769" spans="1:15" x14ac:dyDescent="0.25">
      <c r="A769" s="35" t="s">
        <v>4202</v>
      </c>
      <c r="B769" s="36" t="s">
        <v>4203</v>
      </c>
      <c r="C769" s="36" t="str">
        <f>HYPERLINK("https://rhld.insurance.arkansas.gov/NPILookup?Npi=1861683435","1861683435")</f>
        <v>1861683435</v>
      </c>
      <c r="D769" s="36" t="s">
        <v>33412</v>
      </c>
      <c r="E769" s="36" t="s">
        <v>1</v>
      </c>
      <c r="F769" s="36">
        <v>1</v>
      </c>
      <c r="G769" s="36">
        <v>3</v>
      </c>
      <c r="H769" s="36">
        <v>0</v>
      </c>
      <c r="I769" s="37">
        <v>0</v>
      </c>
      <c r="J769" s="36" t="s">
        <v>32654</v>
      </c>
      <c r="K769" s="36" t="s">
        <v>14330</v>
      </c>
      <c r="L769" s="36" t="s">
        <v>14330</v>
      </c>
      <c r="M769">
        <v>1</v>
      </c>
      <c r="N769" t="s">
        <v>14331</v>
      </c>
      <c r="O769" t="s">
        <v>32633</v>
      </c>
    </row>
    <row r="770" spans="1:15" x14ac:dyDescent="0.25">
      <c r="A770" s="35" t="s">
        <v>4202</v>
      </c>
      <c r="B770" s="36" t="s">
        <v>4203</v>
      </c>
      <c r="C770" s="36" t="str">
        <f>HYPERLINK("https://rhld.insurance.arkansas.gov/NPILookup?Npi=1861686354","1861686354")</f>
        <v>1861686354</v>
      </c>
      <c r="D770" s="36" t="s">
        <v>33413</v>
      </c>
      <c r="E770" s="36" t="s">
        <v>1</v>
      </c>
      <c r="F770" s="36">
        <v>1</v>
      </c>
      <c r="G770" s="36">
        <v>1</v>
      </c>
      <c r="H770" s="36">
        <v>0</v>
      </c>
      <c r="I770" s="37">
        <v>0</v>
      </c>
      <c r="J770" s="36" t="s">
        <v>32654</v>
      </c>
      <c r="K770" s="36" t="s">
        <v>14330</v>
      </c>
      <c r="L770" s="36" t="s">
        <v>14330</v>
      </c>
      <c r="M770">
        <v>3</v>
      </c>
      <c r="N770" t="s">
        <v>14331</v>
      </c>
      <c r="O770" t="s">
        <v>32633</v>
      </c>
    </row>
    <row r="771" spans="1:15" x14ac:dyDescent="0.25">
      <c r="A771" s="35" t="s">
        <v>4202</v>
      </c>
      <c r="B771" s="36" t="s">
        <v>4203</v>
      </c>
      <c r="C771" s="36" t="str">
        <f>HYPERLINK("https://rhld.insurance.arkansas.gov/NPILookup?Npi=1861710550","1861710550")</f>
        <v>1861710550</v>
      </c>
      <c r="D771" s="36" t="s">
        <v>33414</v>
      </c>
      <c r="E771" s="36" t="s">
        <v>1</v>
      </c>
      <c r="F771" s="36">
        <v>1</v>
      </c>
      <c r="G771" s="36">
        <v>3</v>
      </c>
      <c r="H771" s="36">
        <v>0</v>
      </c>
      <c r="I771" s="37">
        <v>0</v>
      </c>
      <c r="J771" s="36" t="s">
        <v>32654</v>
      </c>
      <c r="K771" s="36" t="s">
        <v>14330</v>
      </c>
      <c r="L771" s="36" t="s">
        <v>14330</v>
      </c>
      <c r="M771">
        <v>2</v>
      </c>
      <c r="N771" t="s">
        <v>14331</v>
      </c>
      <c r="O771" t="s">
        <v>32633</v>
      </c>
    </row>
    <row r="772" spans="1:15" x14ac:dyDescent="0.25">
      <c r="A772" s="35" t="s">
        <v>4202</v>
      </c>
      <c r="B772" s="36" t="s">
        <v>4203</v>
      </c>
      <c r="C772" s="36" t="str">
        <f>HYPERLINK("https://rhld.insurance.arkansas.gov/NPILookup?Npi=1861835670","1861835670")</f>
        <v>1861835670</v>
      </c>
      <c r="D772" s="36" t="s">
        <v>33415</v>
      </c>
      <c r="E772" s="36" t="s">
        <v>1</v>
      </c>
      <c r="F772" s="36">
        <v>1</v>
      </c>
      <c r="G772" s="36">
        <v>2</v>
      </c>
      <c r="H772" s="36">
        <v>0</v>
      </c>
      <c r="I772" s="37">
        <v>0</v>
      </c>
      <c r="J772" s="36" t="s">
        <v>32654</v>
      </c>
      <c r="K772" s="36" t="s">
        <v>14330</v>
      </c>
      <c r="L772" s="36" t="s">
        <v>14330</v>
      </c>
      <c r="M772">
        <v>2</v>
      </c>
      <c r="N772" t="s">
        <v>14331</v>
      </c>
      <c r="O772" t="s">
        <v>32633</v>
      </c>
    </row>
    <row r="773" spans="1:15" x14ac:dyDescent="0.25">
      <c r="A773" s="35" t="s">
        <v>4202</v>
      </c>
      <c r="B773" s="36" t="s">
        <v>4203</v>
      </c>
      <c r="C773" s="36" t="str">
        <f>HYPERLINK("https://rhld.insurance.arkansas.gov/NPILookup?Npi=1871556639","1871556639")</f>
        <v>1871556639</v>
      </c>
      <c r="D773" s="36" t="s">
        <v>33416</v>
      </c>
      <c r="E773" s="36" t="s">
        <v>1</v>
      </c>
      <c r="F773" s="36">
        <v>1</v>
      </c>
      <c r="G773" s="36">
        <v>2</v>
      </c>
      <c r="H773" s="36">
        <v>0</v>
      </c>
      <c r="I773" s="37">
        <v>0</v>
      </c>
      <c r="J773" s="36" t="s">
        <v>32654</v>
      </c>
      <c r="K773" s="36" t="s">
        <v>14330</v>
      </c>
      <c r="L773" s="36" t="s">
        <v>14330</v>
      </c>
      <c r="M773">
        <v>3</v>
      </c>
      <c r="N773" t="s">
        <v>14331</v>
      </c>
      <c r="O773" t="s">
        <v>32633</v>
      </c>
    </row>
    <row r="774" spans="1:15" x14ac:dyDescent="0.25">
      <c r="A774" s="35" t="s">
        <v>4202</v>
      </c>
      <c r="B774" s="36" t="s">
        <v>4203</v>
      </c>
      <c r="C774" s="36" t="str">
        <f>HYPERLINK("https://rhld.insurance.arkansas.gov/NPILookup?Npi=1871578500","1871578500")</f>
        <v>1871578500</v>
      </c>
      <c r="D774" s="36" t="s">
        <v>33417</v>
      </c>
      <c r="E774" s="36" t="s">
        <v>1</v>
      </c>
      <c r="F774" s="36">
        <v>1</v>
      </c>
      <c r="G774" s="36">
        <v>3</v>
      </c>
      <c r="H774" s="36">
        <v>0</v>
      </c>
      <c r="I774" s="37">
        <v>0</v>
      </c>
      <c r="J774" s="36" t="s">
        <v>32654</v>
      </c>
      <c r="K774" s="36" t="s">
        <v>14330</v>
      </c>
      <c r="L774" s="36" t="s">
        <v>14330</v>
      </c>
      <c r="M774">
        <v>3</v>
      </c>
      <c r="N774" t="s">
        <v>14331</v>
      </c>
      <c r="O774" t="s">
        <v>32633</v>
      </c>
    </row>
    <row r="775" spans="1:15" x14ac:dyDescent="0.25">
      <c r="A775" s="35" t="s">
        <v>4202</v>
      </c>
      <c r="B775" s="36" t="s">
        <v>4203</v>
      </c>
      <c r="C775" s="36" t="str">
        <f>HYPERLINK("https://rhld.insurance.arkansas.gov/NPILookup?Npi=1871594663","1871594663")</f>
        <v>1871594663</v>
      </c>
      <c r="D775" s="36" t="s">
        <v>33418</v>
      </c>
      <c r="E775" s="36" t="s">
        <v>1</v>
      </c>
      <c r="F775" s="36">
        <v>1</v>
      </c>
      <c r="G775" s="36">
        <v>3</v>
      </c>
      <c r="H775" s="36">
        <v>0</v>
      </c>
      <c r="I775" s="37">
        <v>0</v>
      </c>
      <c r="J775" s="36" t="s">
        <v>32654</v>
      </c>
      <c r="K775" s="36" t="s">
        <v>14330</v>
      </c>
      <c r="L775" s="36" t="s">
        <v>14330</v>
      </c>
      <c r="M775">
        <v>2</v>
      </c>
      <c r="N775" t="s">
        <v>14331</v>
      </c>
      <c r="O775" t="s">
        <v>32633</v>
      </c>
    </row>
    <row r="776" spans="1:15" x14ac:dyDescent="0.25">
      <c r="A776" s="35" t="s">
        <v>4202</v>
      </c>
      <c r="B776" s="36" t="s">
        <v>4203</v>
      </c>
      <c r="C776" s="36" t="str">
        <f>HYPERLINK("https://rhld.insurance.arkansas.gov/NPILookup?Npi=1871622969","1871622969")</f>
        <v>1871622969</v>
      </c>
      <c r="D776" s="36" t="s">
        <v>33419</v>
      </c>
      <c r="E776" s="36" t="s">
        <v>1</v>
      </c>
      <c r="F776" s="36">
        <v>1</v>
      </c>
      <c r="G776" s="36">
        <v>2</v>
      </c>
      <c r="H776" s="36">
        <v>0</v>
      </c>
      <c r="I776" s="37">
        <v>0</v>
      </c>
      <c r="J776" s="36" t="s">
        <v>32654</v>
      </c>
      <c r="K776" s="36" t="s">
        <v>14330</v>
      </c>
      <c r="L776" s="36" t="s">
        <v>14330</v>
      </c>
      <c r="M776">
        <v>3</v>
      </c>
      <c r="N776" t="s">
        <v>14331</v>
      </c>
      <c r="O776" t="s">
        <v>32633</v>
      </c>
    </row>
    <row r="777" spans="1:15" x14ac:dyDescent="0.25">
      <c r="A777" s="35" t="s">
        <v>4202</v>
      </c>
      <c r="B777" s="36" t="s">
        <v>4203</v>
      </c>
      <c r="C777" s="36" t="str">
        <f>HYPERLINK("https://rhld.insurance.arkansas.gov/NPILookup?Npi=1871760629","1871760629")</f>
        <v>1871760629</v>
      </c>
      <c r="D777" s="36" t="s">
        <v>33420</v>
      </c>
      <c r="E777" s="36" t="s">
        <v>1</v>
      </c>
      <c r="F777" s="36">
        <v>1</v>
      </c>
      <c r="G777" s="36">
        <v>3</v>
      </c>
      <c r="H777" s="36">
        <v>0</v>
      </c>
      <c r="I777" s="37">
        <v>0</v>
      </c>
      <c r="J777" s="36" t="s">
        <v>32654</v>
      </c>
      <c r="K777" s="36" t="s">
        <v>14330</v>
      </c>
      <c r="L777" s="36" t="s">
        <v>14330</v>
      </c>
      <c r="M777">
        <v>2</v>
      </c>
      <c r="N777" t="s">
        <v>14331</v>
      </c>
      <c r="O777" t="s">
        <v>32633</v>
      </c>
    </row>
    <row r="778" spans="1:15" x14ac:dyDescent="0.25">
      <c r="A778" s="35" t="s">
        <v>4202</v>
      </c>
      <c r="B778" s="36" t="s">
        <v>4203</v>
      </c>
      <c r="C778" s="36" t="str">
        <f>HYPERLINK("https://rhld.insurance.arkansas.gov/NPILookup?Npi=1881035244","1881035244")</f>
        <v>1881035244</v>
      </c>
      <c r="D778" s="36" t="s">
        <v>33421</v>
      </c>
      <c r="E778" s="36" t="s">
        <v>1</v>
      </c>
      <c r="F778" s="36">
        <v>1</v>
      </c>
      <c r="G778" s="36">
        <v>2</v>
      </c>
      <c r="H778" s="36">
        <v>0</v>
      </c>
      <c r="I778" s="37">
        <v>0</v>
      </c>
      <c r="J778" s="36" t="s">
        <v>32723</v>
      </c>
      <c r="K778" s="36" t="s">
        <v>14330</v>
      </c>
      <c r="L778" s="36" t="s">
        <v>14330</v>
      </c>
      <c r="M778">
        <v>3</v>
      </c>
      <c r="N778" t="s">
        <v>14331</v>
      </c>
      <c r="O778" t="s">
        <v>32724</v>
      </c>
    </row>
    <row r="779" spans="1:15" x14ac:dyDescent="0.25">
      <c r="A779" s="35" t="s">
        <v>4202</v>
      </c>
      <c r="B779" s="36" t="s">
        <v>4203</v>
      </c>
      <c r="C779" s="36" t="str">
        <f>HYPERLINK("https://rhld.insurance.arkansas.gov/NPILookup?Npi=1881072544","1881072544")</f>
        <v>1881072544</v>
      </c>
      <c r="D779" s="36" t="s">
        <v>33422</v>
      </c>
      <c r="E779" s="36" t="s">
        <v>1</v>
      </c>
      <c r="F779" s="36">
        <v>1</v>
      </c>
      <c r="G779" s="36">
        <v>3</v>
      </c>
      <c r="H779" s="36">
        <v>0</v>
      </c>
      <c r="I779" s="37">
        <v>0</v>
      </c>
      <c r="J779" s="36" t="s">
        <v>32654</v>
      </c>
      <c r="K779" s="36" t="s">
        <v>14330</v>
      </c>
      <c r="L779" s="36" t="s">
        <v>14330</v>
      </c>
      <c r="M779">
        <v>2</v>
      </c>
      <c r="N779" t="s">
        <v>14331</v>
      </c>
      <c r="O779" t="s">
        <v>32633</v>
      </c>
    </row>
    <row r="780" spans="1:15" x14ac:dyDescent="0.25">
      <c r="A780" s="35" t="s">
        <v>4202</v>
      </c>
      <c r="B780" s="36" t="s">
        <v>4203</v>
      </c>
      <c r="C780" s="36" t="str">
        <f>HYPERLINK("https://rhld.insurance.arkansas.gov/NPILookup?Npi=1881330850","1881330850")</f>
        <v>1881330850</v>
      </c>
      <c r="D780" s="36" t="s">
        <v>33423</v>
      </c>
      <c r="E780" s="36" t="s">
        <v>2</v>
      </c>
      <c r="F780" s="36">
        <v>1</v>
      </c>
      <c r="G780" s="36">
        <v>2</v>
      </c>
      <c r="H780" s="36">
        <v>0</v>
      </c>
      <c r="I780" s="37">
        <v>0</v>
      </c>
      <c r="J780" s="36"/>
      <c r="K780" s="36" t="s">
        <v>14330</v>
      </c>
      <c r="L780" s="36" t="s">
        <v>14330</v>
      </c>
      <c r="M780">
        <v>2</v>
      </c>
      <c r="N780" t="s">
        <v>14331</v>
      </c>
      <c r="O780" t="s">
        <v>32633</v>
      </c>
    </row>
    <row r="781" spans="1:15" x14ac:dyDescent="0.25">
      <c r="A781" s="35" t="s">
        <v>4202</v>
      </c>
      <c r="B781" s="36" t="s">
        <v>4203</v>
      </c>
      <c r="C781" s="36" t="str">
        <f>HYPERLINK("https://rhld.insurance.arkansas.gov/NPILookup?Npi=1881784445","1881784445")</f>
        <v>1881784445</v>
      </c>
      <c r="D781" s="36" t="s">
        <v>33424</v>
      </c>
      <c r="E781" s="36" t="s">
        <v>1</v>
      </c>
      <c r="F781" s="36">
        <v>1</v>
      </c>
      <c r="G781" s="36">
        <v>2</v>
      </c>
      <c r="H781" s="36">
        <v>0</v>
      </c>
      <c r="I781" s="37">
        <v>0</v>
      </c>
      <c r="J781" s="36" t="s">
        <v>32654</v>
      </c>
      <c r="K781" s="36" t="s">
        <v>14330</v>
      </c>
      <c r="L781" s="36" t="s">
        <v>14330</v>
      </c>
      <c r="M781">
        <v>2</v>
      </c>
      <c r="N781" t="s">
        <v>14331</v>
      </c>
      <c r="O781" t="s">
        <v>32633</v>
      </c>
    </row>
    <row r="782" spans="1:15" x14ac:dyDescent="0.25">
      <c r="A782" s="35" t="s">
        <v>4202</v>
      </c>
      <c r="B782" s="36" t="s">
        <v>4203</v>
      </c>
      <c r="C782" s="36" t="str">
        <f>HYPERLINK("https://rhld.insurance.arkansas.gov/NPILookup?Npi=1881936797","1881936797")</f>
        <v>1881936797</v>
      </c>
      <c r="D782" s="36" t="s">
        <v>33425</v>
      </c>
      <c r="E782" s="36" t="s">
        <v>1</v>
      </c>
      <c r="F782" s="36">
        <v>1</v>
      </c>
      <c r="G782" s="36">
        <v>2</v>
      </c>
      <c r="H782" s="36">
        <v>0</v>
      </c>
      <c r="I782" s="37">
        <v>0</v>
      </c>
      <c r="J782" s="36" t="s">
        <v>32654</v>
      </c>
      <c r="K782" s="36" t="s">
        <v>14330</v>
      </c>
      <c r="L782" s="36" t="s">
        <v>14330</v>
      </c>
      <c r="M782">
        <v>2</v>
      </c>
      <c r="N782" t="s">
        <v>14331</v>
      </c>
      <c r="O782" t="s">
        <v>32633</v>
      </c>
    </row>
    <row r="783" spans="1:15" x14ac:dyDescent="0.25">
      <c r="A783" s="35" t="s">
        <v>4202</v>
      </c>
      <c r="B783" s="36" t="s">
        <v>4203</v>
      </c>
      <c r="C783" s="36" t="str">
        <f>HYPERLINK("https://rhld.insurance.arkansas.gov/NPILookup?Npi=1891131157","1891131157")</f>
        <v>1891131157</v>
      </c>
      <c r="D783" s="36" t="s">
        <v>33426</v>
      </c>
      <c r="E783" s="36" t="s">
        <v>1</v>
      </c>
      <c r="F783" s="36">
        <v>1</v>
      </c>
      <c r="G783" s="36">
        <v>2</v>
      </c>
      <c r="H783" s="36">
        <v>0</v>
      </c>
      <c r="I783" s="37">
        <v>0</v>
      </c>
      <c r="J783" s="36" t="s">
        <v>32723</v>
      </c>
      <c r="K783" s="36" t="s">
        <v>14330</v>
      </c>
      <c r="L783" s="36" t="s">
        <v>14330</v>
      </c>
      <c r="M783">
        <v>2</v>
      </c>
      <c r="N783" t="s">
        <v>14331</v>
      </c>
      <c r="O783" t="s">
        <v>32724</v>
      </c>
    </row>
    <row r="784" spans="1:15" x14ac:dyDescent="0.25">
      <c r="A784" s="35" t="s">
        <v>4202</v>
      </c>
      <c r="B784" s="36" t="s">
        <v>4203</v>
      </c>
      <c r="C784" s="36" t="str">
        <f>HYPERLINK("https://rhld.insurance.arkansas.gov/NPILookup?Npi=1891170676","1891170676")</f>
        <v>1891170676</v>
      </c>
      <c r="D784" s="36" t="s">
        <v>33427</v>
      </c>
      <c r="E784" s="36" t="s">
        <v>1</v>
      </c>
      <c r="F784" s="36">
        <v>1</v>
      </c>
      <c r="G784" s="36">
        <v>2</v>
      </c>
      <c r="H784" s="36">
        <v>0</v>
      </c>
      <c r="I784" s="37">
        <v>0</v>
      </c>
      <c r="J784" s="36" t="s">
        <v>32654</v>
      </c>
      <c r="K784" s="36" t="s">
        <v>14330</v>
      </c>
      <c r="L784" s="36" t="s">
        <v>14330</v>
      </c>
      <c r="M784">
        <v>4</v>
      </c>
      <c r="N784" t="s">
        <v>14331</v>
      </c>
      <c r="O784" t="s">
        <v>32633</v>
      </c>
    </row>
    <row r="785" spans="1:15" x14ac:dyDescent="0.25">
      <c r="A785" s="35" t="s">
        <v>4202</v>
      </c>
      <c r="B785" s="36" t="s">
        <v>4203</v>
      </c>
      <c r="C785" s="36" t="str">
        <f>HYPERLINK("https://rhld.insurance.arkansas.gov/NPILookup?Npi=1891880555","1891880555")</f>
        <v>1891880555</v>
      </c>
      <c r="D785" s="36" t="s">
        <v>33428</v>
      </c>
      <c r="E785" s="36" t="s">
        <v>1</v>
      </c>
      <c r="F785" s="36">
        <v>1</v>
      </c>
      <c r="G785" s="36">
        <v>4</v>
      </c>
      <c r="H785" s="36">
        <v>0</v>
      </c>
      <c r="I785" s="37">
        <v>0</v>
      </c>
      <c r="J785" s="36" t="s">
        <v>32654</v>
      </c>
      <c r="K785" s="36" t="s">
        <v>14330</v>
      </c>
      <c r="L785" s="36" t="s">
        <v>14330</v>
      </c>
      <c r="M785">
        <v>3</v>
      </c>
      <c r="N785" t="s">
        <v>14331</v>
      </c>
      <c r="O785" t="s">
        <v>32633</v>
      </c>
    </row>
    <row r="786" spans="1:15" x14ac:dyDescent="0.25">
      <c r="A786" s="35" t="s">
        <v>4202</v>
      </c>
      <c r="B786" s="36" t="s">
        <v>4203</v>
      </c>
      <c r="C786" s="36" t="str">
        <f>HYPERLINK("https://rhld.insurance.arkansas.gov/NPILookup?Npi=1902245889","1902245889")</f>
        <v>1902245889</v>
      </c>
      <c r="D786" s="36" t="s">
        <v>33429</v>
      </c>
      <c r="E786" s="36" t="s">
        <v>1</v>
      </c>
      <c r="F786" s="36">
        <v>1</v>
      </c>
      <c r="G786" s="36">
        <v>3</v>
      </c>
      <c r="H786" s="36">
        <v>0</v>
      </c>
      <c r="I786" s="37">
        <v>0</v>
      </c>
      <c r="J786" s="36" t="s">
        <v>32654</v>
      </c>
      <c r="K786" s="36" t="s">
        <v>14330</v>
      </c>
      <c r="L786" s="36" t="s">
        <v>14330</v>
      </c>
      <c r="M786">
        <v>0</v>
      </c>
      <c r="N786" t="s">
        <v>14331</v>
      </c>
      <c r="O786" t="s">
        <v>32633</v>
      </c>
    </row>
    <row r="787" spans="1:15" x14ac:dyDescent="0.25">
      <c r="A787" s="35" t="s">
        <v>4202</v>
      </c>
      <c r="B787" s="36" t="s">
        <v>4203</v>
      </c>
      <c r="C787" s="36" t="str">
        <f>HYPERLINK("https://rhld.insurance.arkansas.gov/NPILookup?Npi=1902820004","1902820004")</f>
        <v>1902820004</v>
      </c>
      <c r="D787" s="36" t="s">
        <v>33430</v>
      </c>
      <c r="E787" s="36" t="s">
        <v>2</v>
      </c>
      <c r="F787" s="36">
        <v>1</v>
      </c>
      <c r="G787" s="36">
        <v>1</v>
      </c>
      <c r="H787" s="36">
        <v>1</v>
      </c>
      <c r="I787" s="37">
        <v>0</v>
      </c>
      <c r="J787" s="36" t="s">
        <v>32679</v>
      </c>
      <c r="K787" s="36" t="s">
        <v>14330</v>
      </c>
      <c r="L787" s="36" t="s">
        <v>33431</v>
      </c>
      <c r="M787">
        <v>3</v>
      </c>
      <c r="N787" t="s">
        <v>14331</v>
      </c>
      <c r="O787" t="s">
        <v>32633</v>
      </c>
    </row>
    <row r="788" spans="1:15" x14ac:dyDescent="0.25">
      <c r="A788" s="35" t="s">
        <v>4202</v>
      </c>
      <c r="B788" s="36" t="s">
        <v>4203</v>
      </c>
      <c r="C788" s="36" t="str">
        <f>HYPERLINK("https://rhld.insurance.arkansas.gov/NPILookup?Npi=1912208067","1912208067")</f>
        <v>1912208067</v>
      </c>
      <c r="D788" s="36" t="s">
        <v>33432</v>
      </c>
      <c r="E788" s="36" t="s">
        <v>1</v>
      </c>
      <c r="F788" s="36">
        <v>1</v>
      </c>
      <c r="G788" s="36">
        <v>3</v>
      </c>
      <c r="H788" s="36">
        <v>0</v>
      </c>
      <c r="I788" s="37">
        <v>0</v>
      </c>
      <c r="J788" s="36" t="s">
        <v>32654</v>
      </c>
      <c r="K788" s="36" t="s">
        <v>14330</v>
      </c>
      <c r="L788" s="36" t="s">
        <v>14330</v>
      </c>
      <c r="M788">
        <v>2</v>
      </c>
      <c r="N788" t="s">
        <v>14331</v>
      </c>
      <c r="O788" t="s">
        <v>32633</v>
      </c>
    </row>
    <row r="789" spans="1:15" x14ac:dyDescent="0.25">
      <c r="A789" s="35" t="s">
        <v>4202</v>
      </c>
      <c r="B789" s="36" t="s">
        <v>4203</v>
      </c>
      <c r="C789" s="36" t="str">
        <f>HYPERLINK("https://rhld.insurance.arkansas.gov/NPILookup?Npi=1912529090","1912529090")</f>
        <v>1912529090</v>
      </c>
      <c r="D789" s="36" t="s">
        <v>33433</v>
      </c>
      <c r="E789" s="36" t="s">
        <v>1</v>
      </c>
      <c r="F789" s="36">
        <v>1</v>
      </c>
      <c r="G789" s="36">
        <v>2</v>
      </c>
      <c r="H789" s="36">
        <v>0</v>
      </c>
      <c r="I789" s="37">
        <v>0</v>
      </c>
      <c r="J789" s="36" t="s">
        <v>32654</v>
      </c>
      <c r="K789" s="36" t="s">
        <v>14330</v>
      </c>
      <c r="L789" s="36" t="s">
        <v>14330</v>
      </c>
      <c r="M789">
        <v>2</v>
      </c>
      <c r="N789" t="s">
        <v>14331</v>
      </c>
      <c r="O789" t="s">
        <v>32633</v>
      </c>
    </row>
    <row r="790" spans="1:15" x14ac:dyDescent="0.25">
      <c r="A790" s="35" t="s">
        <v>4202</v>
      </c>
      <c r="B790" s="36" t="s">
        <v>4203</v>
      </c>
      <c r="C790" s="36" t="str">
        <f>HYPERLINK("https://rhld.insurance.arkansas.gov/NPILookup?Npi=1912946021","1912946021")</f>
        <v>1912946021</v>
      </c>
      <c r="D790" s="36" t="s">
        <v>33434</v>
      </c>
      <c r="E790" s="36" t="s">
        <v>2</v>
      </c>
      <c r="F790" s="36">
        <v>1</v>
      </c>
      <c r="G790" s="36">
        <v>2</v>
      </c>
      <c r="H790" s="36">
        <v>0</v>
      </c>
      <c r="I790" s="37">
        <v>0</v>
      </c>
      <c r="J790" s="36" t="s">
        <v>32679</v>
      </c>
      <c r="K790" s="36" t="s">
        <v>14330</v>
      </c>
      <c r="L790" s="36" t="s">
        <v>14330</v>
      </c>
      <c r="M790">
        <v>2</v>
      </c>
      <c r="N790" t="s">
        <v>14331</v>
      </c>
      <c r="O790" t="s">
        <v>32633</v>
      </c>
    </row>
    <row r="791" spans="1:15" x14ac:dyDescent="0.25">
      <c r="A791" s="35" t="s">
        <v>4202</v>
      </c>
      <c r="B791" s="36" t="s">
        <v>4203</v>
      </c>
      <c r="C791" s="36" t="str">
        <f>HYPERLINK("https://rhld.insurance.arkansas.gov/NPILookup?Npi=1912948902","1912948902")</f>
        <v>1912948902</v>
      </c>
      <c r="D791" s="36" t="s">
        <v>33435</v>
      </c>
      <c r="E791" s="36" t="s">
        <v>1</v>
      </c>
      <c r="F791" s="36">
        <v>1</v>
      </c>
      <c r="G791" s="36">
        <v>2</v>
      </c>
      <c r="H791" s="36">
        <v>0</v>
      </c>
      <c r="I791" s="37">
        <v>0</v>
      </c>
      <c r="J791" s="36" t="s">
        <v>32654</v>
      </c>
      <c r="K791" s="36" t="s">
        <v>14330</v>
      </c>
      <c r="L791" s="36" t="s">
        <v>14330</v>
      </c>
      <c r="M791">
        <v>2</v>
      </c>
      <c r="N791" t="s">
        <v>14331</v>
      </c>
      <c r="O791" t="s">
        <v>32633</v>
      </c>
    </row>
    <row r="792" spans="1:15" x14ac:dyDescent="0.25">
      <c r="A792" s="35" t="s">
        <v>4202</v>
      </c>
      <c r="B792" s="36" t="s">
        <v>4203</v>
      </c>
      <c r="C792" s="36" t="str">
        <f>HYPERLINK("https://rhld.insurance.arkansas.gov/NPILookup?Npi=1922036268","1922036268")</f>
        <v>1922036268</v>
      </c>
      <c r="D792" s="36" t="s">
        <v>33436</v>
      </c>
      <c r="E792" s="36" t="s">
        <v>2</v>
      </c>
      <c r="F792" s="36">
        <v>1</v>
      </c>
      <c r="G792" s="36">
        <v>2</v>
      </c>
      <c r="H792" s="36">
        <v>0</v>
      </c>
      <c r="I792" s="37">
        <v>0</v>
      </c>
      <c r="J792" s="36" t="s">
        <v>32679</v>
      </c>
      <c r="K792" s="36" t="s">
        <v>14330</v>
      </c>
      <c r="L792" s="36" t="s">
        <v>14330</v>
      </c>
      <c r="M792">
        <v>3</v>
      </c>
      <c r="N792" t="s">
        <v>14331</v>
      </c>
      <c r="O792" t="s">
        <v>32633</v>
      </c>
    </row>
    <row r="793" spans="1:15" x14ac:dyDescent="0.25">
      <c r="A793" s="35" t="s">
        <v>4202</v>
      </c>
      <c r="B793" s="36" t="s">
        <v>4203</v>
      </c>
      <c r="C793" s="36" t="str">
        <f>HYPERLINK("https://rhld.insurance.arkansas.gov/NPILookup?Npi=1922090836","1922090836")</f>
        <v>1922090836</v>
      </c>
      <c r="D793" s="36" t="s">
        <v>33437</v>
      </c>
      <c r="E793" s="36" t="s">
        <v>1</v>
      </c>
      <c r="F793" s="36">
        <v>1</v>
      </c>
      <c r="G793" s="36">
        <v>3</v>
      </c>
      <c r="H793" s="36">
        <v>0</v>
      </c>
      <c r="I793" s="37">
        <v>0</v>
      </c>
      <c r="J793" s="36" t="s">
        <v>32654</v>
      </c>
      <c r="K793" s="36" t="s">
        <v>14330</v>
      </c>
      <c r="L793" s="36" t="s">
        <v>14330</v>
      </c>
      <c r="M793">
        <v>0</v>
      </c>
      <c r="N793" t="s">
        <v>14331</v>
      </c>
      <c r="O793" t="s">
        <v>32633</v>
      </c>
    </row>
    <row r="794" spans="1:15" x14ac:dyDescent="0.25">
      <c r="A794" s="35" t="s">
        <v>4202</v>
      </c>
      <c r="B794" s="36" t="s">
        <v>4203</v>
      </c>
      <c r="C794" s="36" t="str">
        <f>HYPERLINK("https://rhld.insurance.arkansas.gov/NPILookup?Npi=1922094432","1922094432")</f>
        <v>1922094432</v>
      </c>
      <c r="D794" s="36" t="s">
        <v>33438</v>
      </c>
      <c r="E794" s="36" t="s">
        <v>2</v>
      </c>
      <c r="F794" s="36">
        <v>1</v>
      </c>
      <c r="G794" s="36">
        <v>1</v>
      </c>
      <c r="H794" s="36">
        <v>1</v>
      </c>
      <c r="I794" s="37">
        <v>0</v>
      </c>
      <c r="J794" s="36" t="s">
        <v>32679</v>
      </c>
      <c r="K794" s="36" t="s">
        <v>14330</v>
      </c>
      <c r="L794" s="36" t="s">
        <v>33439</v>
      </c>
      <c r="M794">
        <v>3</v>
      </c>
      <c r="N794" t="s">
        <v>14331</v>
      </c>
      <c r="O794" t="s">
        <v>32633</v>
      </c>
    </row>
    <row r="795" spans="1:15" x14ac:dyDescent="0.25">
      <c r="A795" s="35" t="s">
        <v>4202</v>
      </c>
      <c r="B795" s="36" t="s">
        <v>4203</v>
      </c>
      <c r="C795" s="36" t="str">
        <f>HYPERLINK("https://rhld.insurance.arkansas.gov/NPILookup?Npi=1922268911","1922268911")</f>
        <v>1922268911</v>
      </c>
      <c r="D795" s="36" t="s">
        <v>33440</v>
      </c>
      <c r="E795" s="36" t="s">
        <v>1</v>
      </c>
      <c r="F795" s="36">
        <v>1</v>
      </c>
      <c r="G795" s="36">
        <v>3</v>
      </c>
      <c r="H795" s="36">
        <v>0</v>
      </c>
      <c r="I795" s="37">
        <v>0</v>
      </c>
      <c r="J795" s="36" t="s">
        <v>32654</v>
      </c>
      <c r="K795" s="36" t="s">
        <v>14330</v>
      </c>
      <c r="L795" s="36" t="s">
        <v>14330</v>
      </c>
      <c r="M795">
        <v>0</v>
      </c>
      <c r="N795" t="s">
        <v>14331</v>
      </c>
      <c r="O795" t="s">
        <v>32633</v>
      </c>
    </row>
    <row r="796" spans="1:15" x14ac:dyDescent="0.25">
      <c r="A796" s="35" t="s">
        <v>4202</v>
      </c>
      <c r="B796" s="36" t="s">
        <v>4203</v>
      </c>
      <c r="C796" s="36" t="str">
        <f>HYPERLINK("https://rhld.insurance.arkansas.gov/NPILookup?Npi=1922442813","1922442813")</f>
        <v>1922442813</v>
      </c>
      <c r="D796" s="36" t="s">
        <v>33441</v>
      </c>
      <c r="E796" s="36" t="s">
        <v>2</v>
      </c>
      <c r="F796" s="36">
        <v>1</v>
      </c>
      <c r="G796" s="36">
        <v>1</v>
      </c>
      <c r="H796" s="36">
        <v>1</v>
      </c>
      <c r="I796" s="37">
        <v>0</v>
      </c>
      <c r="J796" s="36" t="s">
        <v>32679</v>
      </c>
      <c r="K796" s="36" t="s">
        <v>14330</v>
      </c>
      <c r="L796" s="36" t="s">
        <v>32959</v>
      </c>
      <c r="M796">
        <v>1</v>
      </c>
      <c r="N796" t="s">
        <v>14331</v>
      </c>
      <c r="O796" t="s">
        <v>32633</v>
      </c>
    </row>
    <row r="797" spans="1:15" x14ac:dyDescent="0.25">
      <c r="A797" s="35" t="s">
        <v>4202</v>
      </c>
      <c r="B797" s="36" t="s">
        <v>4203</v>
      </c>
      <c r="C797" s="36" t="str">
        <f>HYPERLINK("https://rhld.insurance.arkansas.gov/NPILookup?Npi=1932173259","1932173259")</f>
        <v>1932173259</v>
      </c>
      <c r="D797" s="36" t="s">
        <v>33442</v>
      </c>
      <c r="E797" s="36" t="s">
        <v>1</v>
      </c>
      <c r="F797" s="36">
        <v>1</v>
      </c>
      <c r="G797" s="36">
        <v>1</v>
      </c>
      <c r="H797" s="36">
        <v>0</v>
      </c>
      <c r="I797" s="37">
        <v>0</v>
      </c>
      <c r="J797" s="36" t="s">
        <v>32654</v>
      </c>
      <c r="K797" s="36" t="s">
        <v>14330</v>
      </c>
      <c r="L797" s="36" t="s">
        <v>14330</v>
      </c>
      <c r="M797">
        <v>2</v>
      </c>
      <c r="N797" t="s">
        <v>14331</v>
      </c>
      <c r="O797" t="s">
        <v>32633</v>
      </c>
    </row>
    <row r="798" spans="1:15" x14ac:dyDescent="0.25">
      <c r="A798" s="35" t="s">
        <v>4202</v>
      </c>
      <c r="B798" s="36" t="s">
        <v>4203</v>
      </c>
      <c r="C798" s="36" t="str">
        <f>HYPERLINK("https://rhld.insurance.arkansas.gov/NPILookup?Npi=1932193687","1932193687")</f>
        <v>1932193687</v>
      </c>
      <c r="D798" s="36" t="s">
        <v>33443</v>
      </c>
      <c r="E798" s="36" t="s">
        <v>1</v>
      </c>
      <c r="F798" s="36">
        <v>1</v>
      </c>
      <c r="G798" s="36">
        <v>2</v>
      </c>
      <c r="H798" s="36">
        <v>0</v>
      </c>
      <c r="I798" s="37">
        <v>0</v>
      </c>
      <c r="J798" s="36" t="s">
        <v>32654</v>
      </c>
      <c r="K798" s="36" t="s">
        <v>14330</v>
      </c>
      <c r="L798" s="36" t="s">
        <v>14330</v>
      </c>
      <c r="M798">
        <v>3</v>
      </c>
      <c r="N798" t="s">
        <v>14331</v>
      </c>
      <c r="O798" t="s">
        <v>32633</v>
      </c>
    </row>
    <row r="799" spans="1:15" x14ac:dyDescent="0.25">
      <c r="A799" s="35" t="s">
        <v>4202</v>
      </c>
      <c r="B799" s="36" t="s">
        <v>4203</v>
      </c>
      <c r="C799" s="36" t="str">
        <f>HYPERLINK("https://rhld.insurance.arkansas.gov/NPILookup?Npi=1932197241","1932197241")</f>
        <v>1932197241</v>
      </c>
      <c r="D799" s="36" t="s">
        <v>33444</v>
      </c>
      <c r="E799" s="36" t="s">
        <v>1</v>
      </c>
      <c r="F799" s="36">
        <v>1</v>
      </c>
      <c r="G799" s="36">
        <v>3</v>
      </c>
      <c r="H799" s="36">
        <v>0</v>
      </c>
      <c r="I799" s="37">
        <v>0</v>
      </c>
      <c r="J799" s="36" t="s">
        <v>32654</v>
      </c>
      <c r="K799" s="36" t="s">
        <v>14330</v>
      </c>
      <c r="L799" s="36" t="s">
        <v>14330</v>
      </c>
      <c r="M799">
        <v>2</v>
      </c>
      <c r="N799" t="s">
        <v>14331</v>
      </c>
      <c r="O799" t="s">
        <v>32633</v>
      </c>
    </row>
    <row r="800" spans="1:15" x14ac:dyDescent="0.25">
      <c r="A800" s="35" t="s">
        <v>4202</v>
      </c>
      <c r="B800" s="36" t="s">
        <v>4203</v>
      </c>
      <c r="C800" s="36" t="str">
        <f>HYPERLINK("https://rhld.insurance.arkansas.gov/NPILookup?Npi=1932249521","1932249521")</f>
        <v>1932249521</v>
      </c>
      <c r="D800" s="36" t="s">
        <v>33445</v>
      </c>
      <c r="E800" s="36" t="s">
        <v>2</v>
      </c>
      <c r="F800" s="36">
        <v>2</v>
      </c>
      <c r="G800" s="36">
        <v>2</v>
      </c>
      <c r="H800" s="36">
        <v>0</v>
      </c>
      <c r="I800" s="37">
        <v>0</v>
      </c>
      <c r="J800" s="36" t="s">
        <v>33004</v>
      </c>
      <c r="K800" s="36" t="s">
        <v>14330</v>
      </c>
      <c r="L800" s="36" t="s">
        <v>14330</v>
      </c>
      <c r="M800">
        <v>2</v>
      </c>
      <c r="N800" t="s">
        <v>14331</v>
      </c>
      <c r="O800" t="s">
        <v>32633</v>
      </c>
    </row>
    <row r="801" spans="1:15" x14ac:dyDescent="0.25">
      <c r="A801" s="35" t="s">
        <v>4202</v>
      </c>
      <c r="B801" s="36" t="s">
        <v>4203</v>
      </c>
      <c r="C801" s="36" t="str">
        <f>HYPERLINK("https://rhld.insurance.arkansas.gov/NPILookup?Npi=1932476132","1932476132")</f>
        <v>1932476132</v>
      </c>
      <c r="D801" s="36" t="s">
        <v>33446</v>
      </c>
      <c r="E801" s="36" t="s">
        <v>1</v>
      </c>
      <c r="F801" s="36">
        <v>1</v>
      </c>
      <c r="G801" s="36">
        <v>2</v>
      </c>
      <c r="H801" s="36">
        <v>0</v>
      </c>
      <c r="I801" s="37">
        <v>0</v>
      </c>
      <c r="J801" s="36" t="s">
        <v>32654</v>
      </c>
      <c r="K801" s="36" t="s">
        <v>14330</v>
      </c>
      <c r="L801" s="36" t="s">
        <v>14330</v>
      </c>
      <c r="M801">
        <v>3</v>
      </c>
      <c r="N801" t="s">
        <v>14331</v>
      </c>
      <c r="O801" t="s">
        <v>32633</v>
      </c>
    </row>
    <row r="802" spans="1:15" x14ac:dyDescent="0.25">
      <c r="A802" s="35" t="s">
        <v>4202</v>
      </c>
      <c r="B802" s="36" t="s">
        <v>4203</v>
      </c>
      <c r="C802" s="36" t="str">
        <f>HYPERLINK("https://rhld.insurance.arkansas.gov/NPILookup?Npi=1932561636","1932561636")</f>
        <v>1932561636</v>
      </c>
      <c r="D802" s="36" t="s">
        <v>33447</v>
      </c>
      <c r="E802" s="36" t="s">
        <v>1</v>
      </c>
      <c r="F802" s="36">
        <v>1</v>
      </c>
      <c r="G802" s="36">
        <v>3</v>
      </c>
      <c r="H802" s="36">
        <v>0</v>
      </c>
      <c r="I802" s="37">
        <v>0</v>
      </c>
      <c r="J802" s="36" t="s">
        <v>32654</v>
      </c>
      <c r="K802" s="36" t="s">
        <v>14330</v>
      </c>
      <c r="L802" s="36" t="s">
        <v>14330</v>
      </c>
      <c r="M802">
        <v>2</v>
      </c>
      <c r="N802" t="s">
        <v>14331</v>
      </c>
      <c r="O802" t="s">
        <v>32633</v>
      </c>
    </row>
    <row r="803" spans="1:15" x14ac:dyDescent="0.25">
      <c r="A803" s="35" t="s">
        <v>4202</v>
      </c>
      <c r="B803" s="36" t="s">
        <v>4203</v>
      </c>
      <c r="C803" s="36" t="str">
        <f>HYPERLINK("https://rhld.insurance.arkansas.gov/NPILookup?Npi=1932631439","1932631439")</f>
        <v>1932631439</v>
      </c>
      <c r="D803" s="36" t="s">
        <v>33448</v>
      </c>
      <c r="E803" s="36" t="s">
        <v>1</v>
      </c>
      <c r="F803" s="36">
        <v>1</v>
      </c>
      <c r="G803" s="36">
        <v>2</v>
      </c>
      <c r="H803" s="36">
        <v>0</v>
      </c>
      <c r="I803" s="37">
        <v>0</v>
      </c>
      <c r="J803" s="36" t="s">
        <v>32723</v>
      </c>
      <c r="K803" s="36" t="s">
        <v>14330</v>
      </c>
      <c r="L803" s="36" t="s">
        <v>14330</v>
      </c>
      <c r="M803">
        <v>2</v>
      </c>
      <c r="N803" t="s">
        <v>14331</v>
      </c>
      <c r="O803" t="s">
        <v>32724</v>
      </c>
    </row>
    <row r="804" spans="1:15" x14ac:dyDescent="0.25">
      <c r="A804" s="35" t="s">
        <v>4202</v>
      </c>
      <c r="B804" s="36" t="s">
        <v>4203</v>
      </c>
      <c r="C804" s="36" t="str">
        <f>HYPERLINK("https://rhld.insurance.arkansas.gov/NPILookup?Npi=1932788718","1932788718")</f>
        <v>1932788718</v>
      </c>
      <c r="D804" s="36" t="s">
        <v>33449</v>
      </c>
      <c r="E804" s="36" t="s">
        <v>1</v>
      </c>
      <c r="F804" s="36">
        <v>1</v>
      </c>
      <c r="G804" s="36">
        <v>2</v>
      </c>
      <c r="H804" s="36">
        <v>0</v>
      </c>
      <c r="I804" s="37">
        <v>0</v>
      </c>
      <c r="J804" s="36" t="s">
        <v>32723</v>
      </c>
      <c r="K804" s="36" t="s">
        <v>14330</v>
      </c>
      <c r="L804" s="36" t="s">
        <v>14330</v>
      </c>
      <c r="M804">
        <v>3</v>
      </c>
      <c r="N804" t="s">
        <v>14331</v>
      </c>
      <c r="O804" t="s">
        <v>32724</v>
      </c>
    </row>
    <row r="805" spans="1:15" x14ac:dyDescent="0.25">
      <c r="A805" s="35" t="s">
        <v>4202</v>
      </c>
      <c r="B805" s="36" t="s">
        <v>4203</v>
      </c>
      <c r="C805" s="36" t="str">
        <f>HYPERLINK("https://rhld.insurance.arkansas.gov/NPILookup?Npi=1942225131","1942225131")</f>
        <v>1942225131</v>
      </c>
      <c r="D805" s="36" t="s">
        <v>33450</v>
      </c>
      <c r="E805" s="36" t="s">
        <v>1</v>
      </c>
      <c r="F805" s="36">
        <v>1</v>
      </c>
      <c r="G805" s="36">
        <v>3</v>
      </c>
      <c r="H805" s="36">
        <v>0</v>
      </c>
      <c r="I805" s="37">
        <v>0</v>
      </c>
      <c r="J805" s="36" t="s">
        <v>32654</v>
      </c>
      <c r="K805" s="36" t="s">
        <v>14330</v>
      </c>
      <c r="L805" s="36" t="s">
        <v>14330</v>
      </c>
      <c r="M805">
        <v>3</v>
      </c>
      <c r="N805" t="s">
        <v>14331</v>
      </c>
      <c r="O805" t="s">
        <v>32633</v>
      </c>
    </row>
    <row r="806" spans="1:15" x14ac:dyDescent="0.25">
      <c r="A806" s="35" t="s">
        <v>4202</v>
      </c>
      <c r="B806" s="36" t="s">
        <v>4203</v>
      </c>
      <c r="C806" s="36" t="str">
        <f>HYPERLINK("https://rhld.insurance.arkansas.gov/NPILookup?Npi=1942422696","1942422696")</f>
        <v>1942422696</v>
      </c>
      <c r="D806" s="36" t="s">
        <v>33451</v>
      </c>
      <c r="E806" s="36" t="s">
        <v>1</v>
      </c>
      <c r="F806" s="36">
        <v>1</v>
      </c>
      <c r="G806" s="36">
        <v>3</v>
      </c>
      <c r="H806" s="36">
        <v>0</v>
      </c>
      <c r="I806" s="37">
        <v>0</v>
      </c>
      <c r="J806" s="36" t="s">
        <v>32654</v>
      </c>
      <c r="K806" s="36" t="s">
        <v>14330</v>
      </c>
      <c r="L806" s="36" t="s">
        <v>14330</v>
      </c>
      <c r="M806">
        <v>2</v>
      </c>
      <c r="N806" t="s">
        <v>14331</v>
      </c>
      <c r="O806" t="s">
        <v>32633</v>
      </c>
    </row>
    <row r="807" spans="1:15" x14ac:dyDescent="0.25">
      <c r="A807" s="35" t="s">
        <v>4202</v>
      </c>
      <c r="B807" s="36" t="s">
        <v>4203</v>
      </c>
      <c r="C807" s="36" t="str">
        <f>HYPERLINK("https://rhld.insurance.arkansas.gov/NPILookup?Npi=1942452883","1942452883")</f>
        <v>1942452883</v>
      </c>
      <c r="D807" s="36" t="s">
        <v>33452</v>
      </c>
      <c r="E807" s="36" t="s">
        <v>1</v>
      </c>
      <c r="F807" s="36">
        <v>1</v>
      </c>
      <c r="G807" s="36">
        <v>2</v>
      </c>
      <c r="H807" s="36">
        <v>0</v>
      </c>
      <c r="I807" s="37">
        <v>0</v>
      </c>
      <c r="J807" s="36" t="s">
        <v>32654</v>
      </c>
      <c r="K807" s="36" t="s">
        <v>14330</v>
      </c>
      <c r="L807" s="36" t="s">
        <v>14330</v>
      </c>
      <c r="M807">
        <v>2</v>
      </c>
      <c r="N807" t="s">
        <v>14331</v>
      </c>
      <c r="O807" t="s">
        <v>32633</v>
      </c>
    </row>
    <row r="808" spans="1:15" x14ac:dyDescent="0.25">
      <c r="A808" s="35" t="s">
        <v>4202</v>
      </c>
      <c r="B808" s="36" t="s">
        <v>4203</v>
      </c>
      <c r="C808" s="36" t="str">
        <f>HYPERLINK("https://rhld.insurance.arkansas.gov/NPILookup?Npi=1942757158","1942757158")</f>
        <v>1942757158</v>
      </c>
      <c r="D808" s="36" t="s">
        <v>33453</v>
      </c>
      <c r="E808" s="36" t="s">
        <v>1</v>
      </c>
      <c r="F808" s="36">
        <v>1</v>
      </c>
      <c r="G808" s="36">
        <v>2</v>
      </c>
      <c r="H808" s="36">
        <v>0</v>
      </c>
      <c r="I808" s="37">
        <v>0</v>
      </c>
      <c r="J808" s="36" t="s">
        <v>32654</v>
      </c>
      <c r="K808" s="36" t="s">
        <v>14330</v>
      </c>
      <c r="L808" s="36" t="s">
        <v>14330</v>
      </c>
      <c r="M808">
        <v>2</v>
      </c>
      <c r="N808" t="s">
        <v>14331</v>
      </c>
      <c r="O808" t="s">
        <v>32633</v>
      </c>
    </row>
    <row r="809" spans="1:15" x14ac:dyDescent="0.25">
      <c r="A809" s="35" t="s">
        <v>4202</v>
      </c>
      <c r="B809" s="36" t="s">
        <v>4203</v>
      </c>
      <c r="C809" s="36" t="str">
        <f>HYPERLINK("https://rhld.insurance.arkansas.gov/NPILookup?Npi=1952352213","1952352213")</f>
        <v>1952352213</v>
      </c>
      <c r="D809" s="36" t="s">
        <v>33454</v>
      </c>
      <c r="E809" s="36" t="s">
        <v>1</v>
      </c>
      <c r="F809" s="36">
        <v>1</v>
      </c>
      <c r="G809" s="36">
        <v>2</v>
      </c>
      <c r="H809" s="36">
        <v>0</v>
      </c>
      <c r="I809" s="37">
        <v>0</v>
      </c>
      <c r="J809" s="36" t="s">
        <v>32654</v>
      </c>
      <c r="K809" s="36" t="s">
        <v>14330</v>
      </c>
      <c r="L809" s="36" t="s">
        <v>14330</v>
      </c>
      <c r="M809">
        <v>2</v>
      </c>
      <c r="N809" t="s">
        <v>14331</v>
      </c>
      <c r="O809" t="s">
        <v>32633</v>
      </c>
    </row>
    <row r="810" spans="1:15" x14ac:dyDescent="0.25">
      <c r="A810" s="35" t="s">
        <v>4202</v>
      </c>
      <c r="B810" s="36" t="s">
        <v>4203</v>
      </c>
      <c r="C810" s="36" t="str">
        <f>HYPERLINK("https://rhld.insurance.arkansas.gov/NPILookup?Npi=1952352510","1952352510")</f>
        <v>1952352510</v>
      </c>
      <c r="D810" s="36" t="s">
        <v>33455</v>
      </c>
      <c r="E810" s="36" t="s">
        <v>1</v>
      </c>
      <c r="F810" s="36">
        <v>1</v>
      </c>
      <c r="G810" s="36">
        <v>2</v>
      </c>
      <c r="H810" s="36">
        <v>0</v>
      </c>
      <c r="I810" s="37">
        <v>0</v>
      </c>
      <c r="J810" s="36" t="s">
        <v>32654</v>
      </c>
      <c r="K810" s="36" t="s">
        <v>14330</v>
      </c>
      <c r="L810" s="36" t="s">
        <v>14330</v>
      </c>
      <c r="M810">
        <v>4</v>
      </c>
      <c r="N810" t="s">
        <v>14331</v>
      </c>
      <c r="O810" t="s">
        <v>32633</v>
      </c>
    </row>
    <row r="811" spans="1:15" x14ac:dyDescent="0.25">
      <c r="A811" s="35" t="s">
        <v>4202</v>
      </c>
      <c r="B811" s="36" t="s">
        <v>4203</v>
      </c>
      <c r="C811" s="36" t="str">
        <f>HYPERLINK("https://rhld.insurance.arkansas.gov/NPILookup?Npi=1952380651","1952380651")</f>
        <v>1952380651</v>
      </c>
      <c r="D811" s="36" t="s">
        <v>33456</v>
      </c>
      <c r="E811" s="36" t="s">
        <v>1</v>
      </c>
      <c r="F811" s="36">
        <v>1</v>
      </c>
      <c r="G811" s="36">
        <v>4</v>
      </c>
      <c r="H811" s="36">
        <v>0</v>
      </c>
      <c r="I811" s="37">
        <v>0</v>
      </c>
      <c r="J811" s="36" t="s">
        <v>32654</v>
      </c>
      <c r="K811" s="36" t="s">
        <v>14330</v>
      </c>
      <c r="L811" s="36" t="s">
        <v>14330</v>
      </c>
      <c r="M811">
        <v>2</v>
      </c>
      <c r="N811" t="s">
        <v>14331</v>
      </c>
      <c r="O811" t="s">
        <v>32633</v>
      </c>
    </row>
    <row r="812" spans="1:15" x14ac:dyDescent="0.25">
      <c r="A812" s="35" t="s">
        <v>4202</v>
      </c>
      <c r="B812" s="36" t="s">
        <v>4203</v>
      </c>
      <c r="C812" s="36" t="str">
        <f>HYPERLINK("https://rhld.insurance.arkansas.gov/NPILookup?Npi=1952492969","1952492969")</f>
        <v>1952492969</v>
      </c>
      <c r="D812" s="36" t="s">
        <v>33457</v>
      </c>
      <c r="E812" s="36" t="s">
        <v>2</v>
      </c>
      <c r="F812" s="36">
        <v>1</v>
      </c>
      <c r="G812" s="36">
        <v>2</v>
      </c>
      <c r="H812" s="36">
        <v>0</v>
      </c>
      <c r="I812" s="37">
        <v>0</v>
      </c>
      <c r="J812" s="36" t="s">
        <v>32679</v>
      </c>
      <c r="K812" s="36" t="s">
        <v>14330</v>
      </c>
      <c r="L812" s="36" t="s">
        <v>14330</v>
      </c>
      <c r="M812">
        <v>3</v>
      </c>
      <c r="N812" t="s">
        <v>14331</v>
      </c>
      <c r="O812" t="s">
        <v>32633</v>
      </c>
    </row>
    <row r="813" spans="1:15" x14ac:dyDescent="0.25">
      <c r="A813" s="35" t="s">
        <v>4202</v>
      </c>
      <c r="B813" s="36" t="s">
        <v>4203</v>
      </c>
      <c r="C813" s="36" t="str">
        <f>HYPERLINK("https://rhld.insurance.arkansas.gov/NPILookup?Npi=1962407940","1962407940")</f>
        <v>1962407940</v>
      </c>
      <c r="D813" s="36" t="s">
        <v>33458</v>
      </c>
      <c r="E813" s="36" t="s">
        <v>1</v>
      </c>
      <c r="F813" s="36">
        <v>1</v>
      </c>
      <c r="G813" s="36">
        <v>3</v>
      </c>
      <c r="H813" s="36">
        <v>0</v>
      </c>
      <c r="I813" s="37">
        <v>0</v>
      </c>
      <c r="J813" s="36" t="s">
        <v>32654</v>
      </c>
      <c r="K813" s="36" t="s">
        <v>14330</v>
      </c>
      <c r="L813" s="36" t="s">
        <v>14330</v>
      </c>
      <c r="M813">
        <v>2</v>
      </c>
      <c r="N813" t="s">
        <v>14331</v>
      </c>
      <c r="O813" t="s">
        <v>32633</v>
      </c>
    </row>
    <row r="814" spans="1:15" x14ac:dyDescent="0.25">
      <c r="A814" s="35" t="s">
        <v>4202</v>
      </c>
      <c r="B814" s="36" t="s">
        <v>4203</v>
      </c>
      <c r="C814" s="36" t="str">
        <f>HYPERLINK("https://rhld.insurance.arkansas.gov/NPILookup?Npi=1962455212","1962455212")</f>
        <v>1962455212</v>
      </c>
      <c r="D814" s="36" t="s">
        <v>33459</v>
      </c>
      <c r="E814" s="36" t="s">
        <v>1</v>
      </c>
      <c r="F814" s="36">
        <v>1</v>
      </c>
      <c r="G814" s="36">
        <v>2</v>
      </c>
      <c r="H814" s="36">
        <v>0</v>
      </c>
      <c r="I814" s="37">
        <v>0</v>
      </c>
      <c r="J814" s="36" t="s">
        <v>32654</v>
      </c>
      <c r="K814" s="36" t="s">
        <v>14330</v>
      </c>
      <c r="L814" s="36" t="s">
        <v>14330</v>
      </c>
      <c r="M814">
        <v>2</v>
      </c>
      <c r="N814" t="s">
        <v>14331</v>
      </c>
      <c r="O814" t="s">
        <v>32633</v>
      </c>
    </row>
    <row r="815" spans="1:15" x14ac:dyDescent="0.25">
      <c r="A815" s="35" t="s">
        <v>4202</v>
      </c>
      <c r="B815" s="36" t="s">
        <v>4203</v>
      </c>
      <c r="C815" s="36" t="str">
        <f>HYPERLINK("https://rhld.insurance.arkansas.gov/NPILookup?Npi=1962460519","1962460519")</f>
        <v>1962460519</v>
      </c>
      <c r="D815" s="36" t="s">
        <v>33460</v>
      </c>
      <c r="E815" s="36" t="s">
        <v>1</v>
      </c>
      <c r="F815" s="36">
        <v>1</v>
      </c>
      <c r="G815" s="36">
        <v>2</v>
      </c>
      <c r="H815" s="36">
        <v>0</v>
      </c>
      <c r="I815" s="37">
        <v>0</v>
      </c>
      <c r="J815" s="36" t="s">
        <v>32654</v>
      </c>
      <c r="K815" s="36" t="s">
        <v>14330</v>
      </c>
      <c r="L815" s="36" t="s">
        <v>14330</v>
      </c>
      <c r="M815">
        <v>3</v>
      </c>
      <c r="N815" t="s">
        <v>14331</v>
      </c>
      <c r="O815" t="s">
        <v>32633</v>
      </c>
    </row>
    <row r="816" spans="1:15" x14ac:dyDescent="0.25">
      <c r="A816" s="35" t="s">
        <v>4202</v>
      </c>
      <c r="B816" s="36" t="s">
        <v>4203</v>
      </c>
      <c r="C816" s="36" t="str">
        <f>HYPERLINK("https://rhld.insurance.arkansas.gov/NPILookup?Npi=1972094225","1972094225")</f>
        <v>1972094225</v>
      </c>
      <c r="D816" s="36" t="s">
        <v>33461</v>
      </c>
      <c r="E816" s="36" t="s">
        <v>1</v>
      </c>
      <c r="F816" s="36">
        <v>1</v>
      </c>
      <c r="G816" s="36">
        <v>3</v>
      </c>
      <c r="H816" s="36">
        <v>0</v>
      </c>
      <c r="I816" s="37">
        <v>0</v>
      </c>
      <c r="J816" s="36" t="s">
        <v>32654</v>
      </c>
      <c r="K816" s="36" t="s">
        <v>14330</v>
      </c>
      <c r="L816" s="36" t="s">
        <v>14330</v>
      </c>
      <c r="M816">
        <v>2</v>
      </c>
      <c r="N816" t="s">
        <v>14331</v>
      </c>
      <c r="O816" t="s">
        <v>32633</v>
      </c>
    </row>
    <row r="817" spans="1:15" x14ac:dyDescent="0.25">
      <c r="A817" s="35" t="s">
        <v>4202</v>
      </c>
      <c r="B817" s="36" t="s">
        <v>4203</v>
      </c>
      <c r="C817" s="36" t="str">
        <f>HYPERLINK("https://rhld.insurance.arkansas.gov/NPILookup?Npi=1972180438","1972180438")</f>
        <v>1972180438</v>
      </c>
      <c r="D817" s="36" t="s">
        <v>33462</v>
      </c>
      <c r="E817" s="36" t="s">
        <v>1</v>
      </c>
      <c r="F817" s="36">
        <v>1</v>
      </c>
      <c r="G817" s="36">
        <v>2</v>
      </c>
      <c r="H817" s="36">
        <v>0</v>
      </c>
      <c r="I817" s="37">
        <v>0</v>
      </c>
      <c r="J817" s="36" t="s">
        <v>32723</v>
      </c>
      <c r="K817" s="36" t="s">
        <v>14330</v>
      </c>
      <c r="L817" s="36" t="s">
        <v>14330</v>
      </c>
      <c r="M817">
        <v>2</v>
      </c>
      <c r="N817" t="s">
        <v>14331</v>
      </c>
      <c r="O817" t="s">
        <v>32724</v>
      </c>
    </row>
    <row r="818" spans="1:15" x14ac:dyDescent="0.25">
      <c r="A818" s="35" t="s">
        <v>4202</v>
      </c>
      <c r="B818" s="36" t="s">
        <v>4203</v>
      </c>
      <c r="C818" s="36" t="str">
        <f>HYPERLINK("https://rhld.insurance.arkansas.gov/NPILookup?Npi=1972530921","1972530921")</f>
        <v>1972530921</v>
      </c>
      <c r="D818" s="36" t="s">
        <v>33463</v>
      </c>
      <c r="E818" s="36" t="s">
        <v>2</v>
      </c>
      <c r="F818" s="36">
        <v>1</v>
      </c>
      <c r="G818" s="36">
        <v>2</v>
      </c>
      <c r="H818" s="36">
        <v>0</v>
      </c>
      <c r="I818" s="37">
        <v>0</v>
      </c>
      <c r="J818" s="36" t="s">
        <v>32679</v>
      </c>
      <c r="K818" s="36" t="s">
        <v>14330</v>
      </c>
      <c r="L818" s="36" t="s">
        <v>14330</v>
      </c>
      <c r="M818">
        <v>2</v>
      </c>
      <c r="N818" t="s">
        <v>14331</v>
      </c>
      <c r="O818" t="s">
        <v>32633</v>
      </c>
    </row>
    <row r="819" spans="1:15" x14ac:dyDescent="0.25">
      <c r="A819" s="35" t="s">
        <v>4202</v>
      </c>
      <c r="B819" s="36" t="s">
        <v>4203</v>
      </c>
      <c r="C819" s="36" t="str">
        <f>HYPERLINK("https://rhld.insurance.arkansas.gov/NPILookup?Npi=1972563773","1972563773")</f>
        <v>1972563773</v>
      </c>
      <c r="D819" s="36" t="s">
        <v>33464</v>
      </c>
      <c r="E819" s="36" t="s">
        <v>1</v>
      </c>
      <c r="F819" s="36">
        <v>1</v>
      </c>
      <c r="G819" s="36">
        <v>2</v>
      </c>
      <c r="H819" s="36">
        <v>0</v>
      </c>
      <c r="I819" s="37">
        <v>0</v>
      </c>
      <c r="J819" s="36" t="s">
        <v>32654</v>
      </c>
      <c r="K819" s="36" t="s">
        <v>14330</v>
      </c>
      <c r="L819" s="36" t="s">
        <v>14330</v>
      </c>
      <c r="M819">
        <v>2</v>
      </c>
      <c r="N819" t="s">
        <v>14331</v>
      </c>
      <c r="O819" t="s">
        <v>32633</v>
      </c>
    </row>
    <row r="820" spans="1:15" x14ac:dyDescent="0.25">
      <c r="A820" s="35" t="s">
        <v>4202</v>
      </c>
      <c r="B820" s="36" t="s">
        <v>4203</v>
      </c>
      <c r="C820" s="36" t="str">
        <f>HYPERLINK("https://rhld.insurance.arkansas.gov/NPILookup?Npi=1972588457","1972588457")</f>
        <v>1972588457</v>
      </c>
      <c r="D820" s="36" t="s">
        <v>33465</v>
      </c>
      <c r="E820" s="36" t="s">
        <v>1</v>
      </c>
      <c r="F820" s="36">
        <v>1</v>
      </c>
      <c r="G820" s="36">
        <v>2</v>
      </c>
      <c r="H820" s="36">
        <v>0</v>
      </c>
      <c r="I820" s="37">
        <v>0</v>
      </c>
      <c r="J820" s="36" t="s">
        <v>32654</v>
      </c>
      <c r="K820" s="36" t="s">
        <v>14330</v>
      </c>
      <c r="L820" s="36" t="s">
        <v>14330</v>
      </c>
      <c r="M820">
        <v>2</v>
      </c>
      <c r="N820" t="s">
        <v>14331</v>
      </c>
      <c r="O820" t="s">
        <v>32633</v>
      </c>
    </row>
    <row r="821" spans="1:15" x14ac:dyDescent="0.25">
      <c r="A821" s="35" t="s">
        <v>4202</v>
      </c>
      <c r="B821" s="36" t="s">
        <v>4203</v>
      </c>
      <c r="C821" s="36" t="str">
        <f>HYPERLINK("https://rhld.insurance.arkansas.gov/NPILookup?Npi=1972659241","1972659241")</f>
        <v>1972659241</v>
      </c>
      <c r="D821" s="36" t="s">
        <v>33466</v>
      </c>
      <c r="E821" s="36" t="s">
        <v>1</v>
      </c>
      <c r="F821" s="36">
        <v>1</v>
      </c>
      <c r="G821" s="36">
        <v>2</v>
      </c>
      <c r="H821" s="36">
        <v>0</v>
      </c>
      <c r="I821" s="37">
        <v>0</v>
      </c>
      <c r="J821" s="36" t="s">
        <v>32654</v>
      </c>
      <c r="K821" s="36" t="s">
        <v>14330</v>
      </c>
      <c r="L821" s="36" t="s">
        <v>14330</v>
      </c>
      <c r="M821">
        <v>2</v>
      </c>
      <c r="N821" t="s">
        <v>14331</v>
      </c>
      <c r="O821" t="s">
        <v>32633</v>
      </c>
    </row>
    <row r="822" spans="1:15" x14ac:dyDescent="0.25">
      <c r="A822" s="35" t="s">
        <v>4202</v>
      </c>
      <c r="B822" s="36" t="s">
        <v>4203</v>
      </c>
      <c r="C822" s="36" t="str">
        <f>HYPERLINK("https://rhld.insurance.arkansas.gov/NPILookup?Npi=1972987824","1972987824")</f>
        <v>1972987824</v>
      </c>
      <c r="D822" s="36" t="s">
        <v>33467</v>
      </c>
      <c r="E822" s="36" t="s">
        <v>1</v>
      </c>
      <c r="F822" s="36">
        <v>1</v>
      </c>
      <c r="G822" s="36">
        <v>2</v>
      </c>
      <c r="H822" s="36">
        <v>0</v>
      </c>
      <c r="I822" s="37">
        <v>0</v>
      </c>
      <c r="J822" s="36" t="s">
        <v>32654</v>
      </c>
      <c r="K822" s="36" t="s">
        <v>14330</v>
      </c>
      <c r="L822" s="36" t="s">
        <v>14330</v>
      </c>
      <c r="M822">
        <v>3</v>
      </c>
      <c r="N822" t="s">
        <v>14331</v>
      </c>
      <c r="O822" t="s">
        <v>32633</v>
      </c>
    </row>
    <row r="823" spans="1:15" x14ac:dyDescent="0.25">
      <c r="A823" s="35" t="s">
        <v>4202</v>
      </c>
      <c r="B823" s="36" t="s">
        <v>4203</v>
      </c>
      <c r="C823" s="36" t="str">
        <f>HYPERLINK("https://rhld.insurance.arkansas.gov/NPILookup?Npi=1982650925","1982650925")</f>
        <v>1982650925</v>
      </c>
      <c r="D823" s="36" t="s">
        <v>33468</v>
      </c>
      <c r="E823" s="36" t="s">
        <v>1</v>
      </c>
      <c r="F823" s="36">
        <v>1</v>
      </c>
      <c r="G823" s="36">
        <v>3</v>
      </c>
      <c r="H823" s="36">
        <v>0</v>
      </c>
      <c r="I823" s="37">
        <v>0</v>
      </c>
      <c r="J823" s="36" t="s">
        <v>32654</v>
      </c>
      <c r="K823" s="36" t="s">
        <v>14330</v>
      </c>
      <c r="L823" s="36" t="s">
        <v>14330</v>
      </c>
      <c r="M823">
        <v>2</v>
      </c>
      <c r="N823" t="s">
        <v>14331</v>
      </c>
      <c r="O823" t="s">
        <v>32633</v>
      </c>
    </row>
    <row r="824" spans="1:15" x14ac:dyDescent="0.25">
      <c r="A824" s="35" t="s">
        <v>4202</v>
      </c>
      <c r="B824" s="36" t="s">
        <v>4203</v>
      </c>
      <c r="C824" s="36" t="str">
        <f>HYPERLINK("https://rhld.insurance.arkansas.gov/NPILookup?Npi=1982661757","1982661757")</f>
        <v>1982661757</v>
      </c>
      <c r="D824" s="36" t="s">
        <v>33469</v>
      </c>
      <c r="E824" s="36" t="s">
        <v>1</v>
      </c>
      <c r="F824" s="36">
        <v>1</v>
      </c>
      <c r="G824" s="36">
        <v>2</v>
      </c>
      <c r="H824" s="36">
        <v>0</v>
      </c>
      <c r="I824" s="37">
        <v>0</v>
      </c>
      <c r="J824" s="36" t="s">
        <v>32723</v>
      </c>
      <c r="K824" s="36" t="s">
        <v>14330</v>
      </c>
      <c r="L824" s="36" t="s">
        <v>14330</v>
      </c>
      <c r="M824">
        <v>2</v>
      </c>
      <c r="N824" t="s">
        <v>14331</v>
      </c>
      <c r="O824" t="s">
        <v>32724</v>
      </c>
    </row>
    <row r="825" spans="1:15" x14ac:dyDescent="0.25">
      <c r="A825" s="35" t="s">
        <v>4202</v>
      </c>
      <c r="B825" s="36" t="s">
        <v>4203</v>
      </c>
      <c r="C825" s="36" t="str">
        <f>HYPERLINK("https://rhld.insurance.arkansas.gov/NPILookup?Npi=1982684122","1982684122")</f>
        <v>1982684122</v>
      </c>
      <c r="D825" s="36" t="s">
        <v>33470</v>
      </c>
      <c r="E825" s="36" t="s">
        <v>2</v>
      </c>
      <c r="F825" s="36">
        <v>2</v>
      </c>
      <c r="G825" s="36">
        <v>2</v>
      </c>
      <c r="H825" s="36">
        <v>0</v>
      </c>
      <c r="I825" s="37">
        <v>0</v>
      </c>
      <c r="J825" s="36" t="s">
        <v>33004</v>
      </c>
      <c r="K825" s="36" t="s">
        <v>14330</v>
      </c>
      <c r="L825" s="36" t="s">
        <v>14330</v>
      </c>
      <c r="M825">
        <v>0</v>
      </c>
      <c r="N825" t="s">
        <v>14331</v>
      </c>
      <c r="O825" t="s">
        <v>32633</v>
      </c>
    </row>
    <row r="826" spans="1:15" x14ac:dyDescent="0.25">
      <c r="A826" s="35" t="s">
        <v>4202</v>
      </c>
      <c r="B826" s="36" t="s">
        <v>4203</v>
      </c>
      <c r="C826" s="36" t="str">
        <f>HYPERLINK("https://rhld.insurance.arkansas.gov/NPILookup?Npi=1982866935","1982866935")</f>
        <v>1982866935</v>
      </c>
      <c r="D826" s="36" t="s">
        <v>33471</v>
      </c>
      <c r="E826" s="36" t="s">
        <v>2</v>
      </c>
      <c r="F826" s="36">
        <v>1</v>
      </c>
      <c r="G826" s="36">
        <v>1</v>
      </c>
      <c r="H826" s="36">
        <v>1</v>
      </c>
      <c r="I826" s="37">
        <v>0</v>
      </c>
      <c r="J826" s="36" t="s">
        <v>32679</v>
      </c>
      <c r="K826" s="36" t="s">
        <v>14330</v>
      </c>
      <c r="L826" s="36" t="s">
        <v>32959</v>
      </c>
      <c r="M826">
        <v>2</v>
      </c>
      <c r="N826" t="s">
        <v>14331</v>
      </c>
      <c r="O826" t="s">
        <v>32633</v>
      </c>
    </row>
    <row r="827" spans="1:15" x14ac:dyDescent="0.25">
      <c r="A827" s="35" t="s">
        <v>4202</v>
      </c>
      <c r="B827" s="36" t="s">
        <v>4203</v>
      </c>
      <c r="C827" s="36" t="str">
        <f>HYPERLINK("https://rhld.insurance.arkansas.gov/NPILookup?Npi=1982871976","1982871976")</f>
        <v>1982871976</v>
      </c>
      <c r="D827" s="36" t="s">
        <v>33472</v>
      </c>
      <c r="E827" s="36" t="s">
        <v>1</v>
      </c>
      <c r="F827" s="36">
        <v>1</v>
      </c>
      <c r="G827" s="36">
        <v>2</v>
      </c>
      <c r="H827" s="36">
        <v>0</v>
      </c>
      <c r="I827" s="37">
        <v>0</v>
      </c>
      <c r="J827" s="36" t="s">
        <v>32654</v>
      </c>
      <c r="K827" s="36" t="s">
        <v>14330</v>
      </c>
      <c r="L827" s="36" t="s">
        <v>14330</v>
      </c>
      <c r="M827">
        <v>2</v>
      </c>
      <c r="N827" t="s">
        <v>14331</v>
      </c>
      <c r="O827" t="s">
        <v>32633</v>
      </c>
    </row>
    <row r="828" spans="1:15" x14ac:dyDescent="0.25">
      <c r="A828" s="35" t="s">
        <v>4202</v>
      </c>
      <c r="B828" s="36" t="s">
        <v>4203</v>
      </c>
      <c r="C828" s="36" t="str">
        <f>HYPERLINK("https://rhld.insurance.arkansas.gov/NPILookup?Npi=1982940516","1982940516")</f>
        <v>1982940516</v>
      </c>
      <c r="D828" s="36" t="s">
        <v>33473</v>
      </c>
      <c r="E828" s="36" t="s">
        <v>1</v>
      </c>
      <c r="F828" s="36">
        <v>1</v>
      </c>
      <c r="G828" s="36">
        <v>2</v>
      </c>
      <c r="H828" s="36">
        <v>0</v>
      </c>
      <c r="I828" s="37">
        <v>0</v>
      </c>
      <c r="J828" s="36" t="s">
        <v>32654</v>
      </c>
      <c r="K828" s="36" t="s">
        <v>14330</v>
      </c>
      <c r="L828" s="36" t="s">
        <v>14330</v>
      </c>
      <c r="M828">
        <v>3</v>
      </c>
      <c r="N828" t="s">
        <v>14331</v>
      </c>
      <c r="O828" t="s">
        <v>32633</v>
      </c>
    </row>
    <row r="829" spans="1:15" x14ac:dyDescent="0.25">
      <c r="A829" s="35" t="s">
        <v>4202</v>
      </c>
      <c r="B829" s="36" t="s">
        <v>4203</v>
      </c>
      <c r="C829" s="36" t="str">
        <f>HYPERLINK("https://rhld.insurance.arkansas.gov/NPILookup?Npi=1992016638","1992016638")</f>
        <v>1992016638</v>
      </c>
      <c r="D829" s="36" t="s">
        <v>33474</v>
      </c>
      <c r="E829" s="36" t="s">
        <v>1</v>
      </c>
      <c r="F829" s="36">
        <v>1</v>
      </c>
      <c r="G829" s="36">
        <v>3</v>
      </c>
      <c r="H829" s="36">
        <v>0</v>
      </c>
      <c r="I829" s="37">
        <v>0</v>
      </c>
      <c r="J829" s="36" t="s">
        <v>32654</v>
      </c>
      <c r="K829" s="36" t="s">
        <v>14330</v>
      </c>
      <c r="L829" s="36" t="s">
        <v>14330</v>
      </c>
      <c r="M829">
        <v>2</v>
      </c>
      <c r="N829" t="s">
        <v>14331</v>
      </c>
      <c r="O829" t="s">
        <v>32633</v>
      </c>
    </row>
    <row r="830" spans="1:15" x14ac:dyDescent="0.25">
      <c r="A830" s="35" t="s">
        <v>4202</v>
      </c>
      <c r="B830" s="36" t="s">
        <v>4203</v>
      </c>
      <c r="C830" s="36" t="str">
        <f>HYPERLINK("https://rhld.insurance.arkansas.gov/NPILookup?Npi=1992116396","1992116396")</f>
        <v>1992116396</v>
      </c>
      <c r="D830" s="36" t="s">
        <v>33475</v>
      </c>
      <c r="E830" s="36" t="s">
        <v>1</v>
      </c>
      <c r="F830" s="36">
        <v>1</v>
      </c>
      <c r="G830" s="36">
        <v>2</v>
      </c>
      <c r="H830" s="36">
        <v>0</v>
      </c>
      <c r="I830" s="37">
        <v>0</v>
      </c>
      <c r="J830" s="36" t="s">
        <v>32654</v>
      </c>
      <c r="K830" s="36" t="s">
        <v>14330</v>
      </c>
      <c r="L830" s="36" t="s">
        <v>14330</v>
      </c>
      <c r="M830">
        <v>4</v>
      </c>
      <c r="N830" t="s">
        <v>14331</v>
      </c>
      <c r="O830" t="s">
        <v>32633</v>
      </c>
    </row>
    <row r="831" spans="1:15" x14ac:dyDescent="0.25">
      <c r="A831" s="35" t="s">
        <v>4202</v>
      </c>
      <c r="B831" s="36" t="s">
        <v>4203</v>
      </c>
      <c r="C831" s="36" t="str">
        <f>HYPERLINK("https://rhld.insurance.arkansas.gov/NPILookup?Npi=1992733422","1992733422")</f>
        <v>1992733422</v>
      </c>
      <c r="D831" s="36" t="s">
        <v>33476</v>
      </c>
      <c r="E831" s="36" t="s">
        <v>1</v>
      </c>
      <c r="F831" s="36">
        <v>1</v>
      </c>
      <c r="G831" s="36">
        <v>4</v>
      </c>
      <c r="H831" s="36">
        <v>0</v>
      </c>
      <c r="I831" s="37">
        <v>0</v>
      </c>
      <c r="J831" s="36" t="s">
        <v>32654</v>
      </c>
      <c r="K831" s="36" t="s">
        <v>14330</v>
      </c>
      <c r="L831" s="36" t="s">
        <v>14330</v>
      </c>
      <c r="M831">
        <v>3</v>
      </c>
      <c r="N831" t="s">
        <v>14331</v>
      </c>
      <c r="O831" t="s">
        <v>32633</v>
      </c>
    </row>
    <row r="832" spans="1:15" x14ac:dyDescent="0.25">
      <c r="A832" s="35" t="s">
        <v>4202</v>
      </c>
      <c r="B832" s="36" t="s">
        <v>4203</v>
      </c>
      <c r="C832" s="36" t="str">
        <f>HYPERLINK("https://rhld.insurance.arkansas.gov/NPILookup?Npi=1992933584","1992933584")</f>
        <v>1992933584</v>
      </c>
      <c r="D832" s="36" t="s">
        <v>33477</v>
      </c>
      <c r="E832" s="36" t="s">
        <v>1</v>
      </c>
      <c r="F832" s="36">
        <v>1</v>
      </c>
      <c r="G832" s="36">
        <v>3</v>
      </c>
      <c r="H832" s="36">
        <v>0</v>
      </c>
      <c r="I832" s="37">
        <v>0</v>
      </c>
      <c r="J832" s="36" t="s">
        <v>32654</v>
      </c>
      <c r="K832" s="36" t="s">
        <v>14330</v>
      </c>
      <c r="L832" s="36" t="s">
        <v>14330</v>
      </c>
      <c r="M832">
        <v>0</v>
      </c>
      <c r="N832" t="s">
        <v>14331</v>
      </c>
      <c r="O832" t="s">
        <v>32633</v>
      </c>
    </row>
    <row r="833" spans="1:15" x14ac:dyDescent="0.25">
      <c r="A833" s="35" t="s">
        <v>4563</v>
      </c>
      <c r="B833" s="36" t="s">
        <v>4564</v>
      </c>
      <c r="C833" s="36" t="str">
        <f>HYPERLINK("https://rhld.insurance.arkansas.gov/NPILookup?Npi=1043740368","1043740368")</f>
        <v>1043740368</v>
      </c>
      <c r="D833" s="36" t="s">
        <v>33478</v>
      </c>
      <c r="E833" s="36" t="s">
        <v>1</v>
      </c>
      <c r="F833" s="36">
        <v>1</v>
      </c>
      <c r="G833" s="36">
        <v>2</v>
      </c>
      <c r="H833" s="36">
        <v>2</v>
      </c>
      <c r="I833" s="37">
        <v>0</v>
      </c>
      <c r="J833" s="36" t="s">
        <v>32654</v>
      </c>
      <c r="K833" s="36" t="s">
        <v>14330</v>
      </c>
      <c r="L833" s="36" t="s">
        <v>33479</v>
      </c>
      <c r="M833">
        <v>1</v>
      </c>
      <c r="N833" t="s">
        <v>14332</v>
      </c>
      <c r="O833" t="s">
        <v>32591</v>
      </c>
    </row>
    <row r="834" spans="1:15" x14ac:dyDescent="0.25">
      <c r="A834" s="35" t="s">
        <v>4563</v>
      </c>
      <c r="B834" s="36" t="s">
        <v>4564</v>
      </c>
      <c r="C834" s="36" t="str">
        <f>HYPERLINK("https://rhld.insurance.arkansas.gov/NPILookup?Npi=1346201639","1346201639")</f>
        <v>1346201639</v>
      </c>
      <c r="D834" s="36" t="s">
        <v>33480</v>
      </c>
      <c r="E834" s="36" t="s">
        <v>2</v>
      </c>
      <c r="F834" s="36">
        <v>1</v>
      </c>
      <c r="G834" s="36">
        <v>2</v>
      </c>
      <c r="H834" s="36">
        <v>1</v>
      </c>
      <c r="I834" s="37">
        <v>0</v>
      </c>
      <c r="J834" s="36" t="s">
        <v>32679</v>
      </c>
      <c r="K834" s="36" t="s">
        <v>14330</v>
      </c>
      <c r="L834" s="36" t="s">
        <v>33481</v>
      </c>
      <c r="M834">
        <v>3</v>
      </c>
      <c r="N834" t="s">
        <v>14331</v>
      </c>
      <c r="O834" t="s">
        <v>32633</v>
      </c>
    </row>
    <row r="835" spans="1:15" x14ac:dyDescent="0.25">
      <c r="A835" s="35" t="s">
        <v>4563</v>
      </c>
      <c r="B835" s="36" t="s">
        <v>4564</v>
      </c>
      <c r="C835" s="36" t="str">
        <f>HYPERLINK("https://rhld.insurance.arkansas.gov/NPILookup?Npi=1346400751","1346400751")</f>
        <v>1346400751</v>
      </c>
      <c r="D835" s="36" t="s">
        <v>33482</v>
      </c>
      <c r="E835" s="36" t="s">
        <v>2</v>
      </c>
      <c r="F835" s="36">
        <v>1</v>
      </c>
      <c r="G835" s="36">
        <v>3</v>
      </c>
      <c r="H835" s="36">
        <v>0</v>
      </c>
      <c r="I835" s="37">
        <v>0</v>
      </c>
      <c r="J835" s="36"/>
      <c r="K835" s="36" t="s">
        <v>33483</v>
      </c>
      <c r="L835" s="36" t="s">
        <v>14330</v>
      </c>
      <c r="M835">
        <v>3</v>
      </c>
      <c r="N835" t="s">
        <v>14331</v>
      </c>
      <c r="O835" t="s">
        <v>32633</v>
      </c>
    </row>
    <row r="836" spans="1:15" x14ac:dyDescent="0.25">
      <c r="A836" s="35" t="s">
        <v>4563</v>
      </c>
      <c r="B836" s="36" t="s">
        <v>4564</v>
      </c>
      <c r="C836" s="36" t="str">
        <f>HYPERLINK("https://rhld.insurance.arkansas.gov/NPILookup?Npi=1346703279","1346703279")</f>
        <v>1346703279</v>
      </c>
      <c r="D836" s="36" t="s">
        <v>33484</v>
      </c>
      <c r="E836" s="36" t="s">
        <v>2</v>
      </c>
      <c r="F836" s="36">
        <v>2</v>
      </c>
      <c r="G836" s="36">
        <v>3</v>
      </c>
      <c r="H836" s="36">
        <v>0</v>
      </c>
      <c r="I836" s="37">
        <v>0</v>
      </c>
      <c r="J836" s="36" t="s">
        <v>33004</v>
      </c>
      <c r="K836" s="36" t="s">
        <v>33485</v>
      </c>
      <c r="L836" s="36" t="s">
        <v>14330</v>
      </c>
      <c r="M836">
        <v>3</v>
      </c>
      <c r="N836" t="s">
        <v>14331</v>
      </c>
      <c r="O836" t="s">
        <v>32633</v>
      </c>
    </row>
    <row r="837" spans="1:15" x14ac:dyDescent="0.25">
      <c r="A837" s="35" t="s">
        <v>4563</v>
      </c>
      <c r="B837" s="36" t="s">
        <v>4564</v>
      </c>
      <c r="C837" s="36" t="str">
        <f>HYPERLINK("https://rhld.insurance.arkansas.gov/NPILookup?Npi=1356312904","1356312904")</f>
        <v>1356312904</v>
      </c>
      <c r="D837" s="36" t="s">
        <v>33486</v>
      </c>
      <c r="E837" s="36" t="s">
        <v>1</v>
      </c>
      <c r="F837" s="36">
        <v>1</v>
      </c>
      <c r="G837" s="36">
        <v>3</v>
      </c>
      <c r="H837" s="36">
        <v>0</v>
      </c>
      <c r="I837" s="37">
        <v>0</v>
      </c>
      <c r="J837" s="36" t="s">
        <v>32654</v>
      </c>
      <c r="K837" s="36" t="s">
        <v>14330</v>
      </c>
      <c r="L837" s="36" t="s">
        <v>14330</v>
      </c>
      <c r="M837">
        <v>3</v>
      </c>
      <c r="N837" t="s">
        <v>14331</v>
      </c>
      <c r="O837" t="s">
        <v>32633</v>
      </c>
    </row>
    <row r="838" spans="1:15" x14ac:dyDescent="0.25">
      <c r="A838" s="35" t="s">
        <v>4563</v>
      </c>
      <c r="B838" s="36" t="s">
        <v>4564</v>
      </c>
      <c r="C838" s="36" t="str">
        <f>HYPERLINK("https://rhld.insurance.arkansas.gov/NPILookup?Npi=1376552315","1376552315")</f>
        <v>1376552315</v>
      </c>
      <c r="D838" s="36" t="s">
        <v>33487</v>
      </c>
      <c r="E838" s="36" t="s">
        <v>1</v>
      </c>
      <c r="F838" s="36">
        <v>1</v>
      </c>
      <c r="G838" s="36">
        <v>3</v>
      </c>
      <c r="H838" s="36">
        <v>0</v>
      </c>
      <c r="I838" s="37">
        <v>0</v>
      </c>
      <c r="J838" s="36" t="s">
        <v>32654</v>
      </c>
      <c r="K838" s="36" t="s">
        <v>14330</v>
      </c>
      <c r="L838" s="36" t="s">
        <v>14330</v>
      </c>
      <c r="M838">
        <v>3</v>
      </c>
      <c r="N838" t="s">
        <v>14331</v>
      </c>
      <c r="O838" t="s">
        <v>32633</v>
      </c>
    </row>
    <row r="839" spans="1:15" x14ac:dyDescent="0.25">
      <c r="A839" s="35" t="s">
        <v>4563</v>
      </c>
      <c r="B839" s="36" t="s">
        <v>4564</v>
      </c>
      <c r="C839" s="36" t="str">
        <f>HYPERLINK("https://rhld.insurance.arkansas.gov/NPILookup?Npi=1659573558","1659573558")</f>
        <v>1659573558</v>
      </c>
      <c r="D839" s="36" t="s">
        <v>33488</v>
      </c>
      <c r="E839" s="36" t="s">
        <v>1</v>
      </c>
      <c r="F839" s="36">
        <v>1</v>
      </c>
      <c r="G839" s="36">
        <v>3</v>
      </c>
      <c r="H839" s="36">
        <v>0</v>
      </c>
      <c r="I839" s="37">
        <v>0</v>
      </c>
      <c r="J839" s="36" t="s">
        <v>32723</v>
      </c>
      <c r="K839" s="36" t="s">
        <v>14330</v>
      </c>
      <c r="L839" s="36" t="s">
        <v>14330</v>
      </c>
      <c r="M839">
        <v>3</v>
      </c>
      <c r="N839" t="s">
        <v>14331</v>
      </c>
      <c r="O839" t="s">
        <v>32724</v>
      </c>
    </row>
    <row r="840" spans="1:15" x14ac:dyDescent="0.25">
      <c r="A840" s="35" t="s">
        <v>4563</v>
      </c>
      <c r="B840" s="36" t="s">
        <v>4564</v>
      </c>
      <c r="C840" s="36" t="str">
        <f>HYPERLINK("https://rhld.insurance.arkansas.gov/NPILookup?Npi=1710082987","1710082987")</f>
        <v>1710082987</v>
      </c>
      <c r="D840" s="36" t="s">
        <v>33489</v>
      </c>
      <c r="E840" s="36" t="s">
        <v>1</v>
      </c>
      <c r="F840" s="36">
        <v>1</v>
      </c>
      <c r="G840" s="36">
        <v>3</v>
      </c>
      <c r="H840" s="36">
        <v>0</v>
      </c>
      <c r="I840" s="37">
        <v>0</v>
      </c>
      <c r="J840" s="36" t="s">
        <v>32723</v>
      </c>
      <c r="K840" s="36" t="s">
        <v>14330</v>
      </c>
      <c r="L840" s="36" t="s">
        <v>14330</v>
      </c>
      <c r="M840">
        <v>3</v>
      </c>
      <c r="N840" t="s">
        <v>14331</v>
      </c>
      <c r="O840" t="s">
        <v>32724</v>
      </c>
    </row>
    <row r="841" spans="1:15" x14ac:dyDescent="0.25">
      <c r="A841" s="35" t="s">
        <v>4563</v>
      </c>
      <c r="B841" s="36" t="s">
        <v>4564</v>
      </c>
      <c r="C841" s="36" t="str">
        <f>HYPERLINK("https://rhld.insurance.arkansas.gov/NPILookup?Npi=1790880896","1790880896")</f>
        <v>1790880896</v>
      </c>
      <c r="D841" s="36" t="s">
        <v>33490</v>
      </c>
      <c r="E841" s="36" t="s">
        <v>1</v>
      </c>
      <c r="F841" s="36">
        <v>1</v>
      </c>
      <c r="G841" s="36">
        <v>3</v>
      </c>
      <c r="H841" s="36">
        <v>0</v>
      </c>
      <c r="I841" s="37">
        <v>0</v>
      </c>
      <c r="J841" s="36" t="s">
        <v>32723</v>
      </c>
      <c r="K841" s="36" t="s">
        <v>14330</v>
      </c>
      <c r="L841" s="36" t="s">
        <v>14330</v>
      </c>
      <c r="M841">
        <v>3</v>
      </c>
      <c r="N841" t="s">
        <v>14331</v>
      </c>
      <c r="O841" t="s">
        <v>32724</v>
      </c>
    </row>
    <row r="842" spans="1:15" x14ac:dyDescent="0.25">
      <c r="A842" s="35" t="s">
        <v>4563</v>
      </c>
      <c r="B842" s="36" t="s">
        <v>4564</v>
      </c>
      <c r="C842" s="36" t="str">
        <f>HYPERLINK("https://rhld.insurance.arkansas.gov/NPILookup?Npi=1821055278","1821055278")</f>
        <v>1821055278</v>
      </c>
      <c r="D842" s="36" t="s">
        <v>33491</v>
      </c>
      <c r="E842" s="36" t="s">
        <v>1</v>
      </c>
      <c r="F842" s="36">
        <v>1</v>
      </c>
      <c r="G842" s="36">
        <v>3</v>
      </c>
      <c r="H842" s="36">
        <v>0</v>
      </c>
      <c r="I842" s="37">
        <v>0</v>
      </c>
      <c r="J842" s="36" t="s">
        <v>32654</v>
      </c>
      <c r="K842" s="36" t="s">
        <v>33492</v>
      </c>
      <c r="L842" s="36" t="s">
        <v>14330</v>
      </c>
      <c r="M842">
        <v>2</v>
      </c>
      <c r="N842" t="s">
        <v>14331</v>
      </c>
      <c r="O842" t="s">
        <v>32633</v>
      </c>
    </row>
    <row r="843" spans="1:15" x14ac:dyDescent="0.25">
      <c r="A843" s="35" t="s">
        <v>4578</v>
      </c>
      <c r="B843" s="36" t="s">
        <v>4579</v>
      </c>
      <c r="C843" s="36" t="str">
        <f>HYPERLINK("https://rhld.insurance.arkansas.gov/NPILookup?Npi=1013924752","1013924752")</f>
        <v>1013924752</v>
      </c>
      <c r="D843" s="36" t="s">
        <v>33493</v>
      </c>
      <c r="E843" s="36" t="s">
        <v>1</v>
      </c>
      <c r="F843" s="36">
        <v>1</v>
      </c>
      <c r="G843" s="36">
        <v>2</v>
      </c>
      <c r="H843" s="36">
        <v>0</v>
      </c>
      <c r="I843" s="37">
        <v>0</v>
      </c>
      <c r="J843" s="36" t="s">
        <v>32654</v>
      </c>
      <c r="K843" s="36" t="s">
        <v>14330</v>
      </c>
      <c r="L843" s="36" t="s">
        <v>14330</v>
      </c>
      <c r="M843">
        <v>2</v>
      </c>
      <c r="N843" t="s">
        <v>14331</v>
      </c>
      <c r="O843" t="s">
        <v>32633</v>
      </c>
    </row>
    <row r="844" spans="1:15" x14ac:dyDescent="0.25">
      <c r="A844" s="35" t="s">
        <v>4578</v>
      </c>
      <c r="B844" s="36" t="s">
        <v>4579</v>
      </c>
      <c r="C844" s="36" t="str">
        <f>HYPERLINK("https://rhld.insurance.arkansas.gov/NPILookup?Npi=1023075637","1023075637")</f>
        <v>1023075637</v>
      </c>
      <c r="D844" s="36" t="s">
        <v>33494</v>
      </c>
      <c r="E844" s="36" t="s">
        <v>1</v>
      </c>
      <c r="F844" s="36">
        <v>1</v>
      </c>
      <c r="G844" s="36">
        <v>2</v>
      </c>
      <c r="H844" s="36">
        <v>0</v>
      </c>
      <c r="I844" s="37">
        <v>0</v>
      </c>
      <c r="J844" s="36" t="s">
        <v>32654</v>
      </c>
      <c r="K844" s="36" t="s">
        <v>14330</v>
      </c>
      <c r="L844" s="36" t="s">
        <v>14330</v>
      </c>
      <c r="M844">
        <v>2</v>
      </c>
      <c r="N844" t="s">
        <v>14331</v>
      </c>
      <c r="O844" t="s">
        <v>32633</v>
      </c>
    </row>
    <row r="845" spans="1:15" x14ac:dyDescent="0.25">
      <c r="A845" s="35" t="s">
        <v>4578</v>
      </c>
      <c r="B845" s="36" t="s">
        <v>4579</v>
      </c>
      <c r="C845" s="36" t="str">
        <f>HYPERLINK("https://rhld.insurance.arkansas.gov/NPILookup?Npi=1043848906","1043848906")</f>
        <v>1043848906</v>
      </c>
      <c r="D845" s="36" t="s">
        <v>33495</v>
      </c>
      <c r="E845" s="36" t="s">
        <v>2</v>
      </c>
      <c r="F845" s="36">
        <v>1</v>
      </c>
      <c r="G845" s="36">
        <v>2</v>
      </c>
      <c r="H845" s="36">
        <v>0</v>
      </c>
      <c r="I845" s="37">
        <v>0</v>
      </c>
      <c r="J845" s="36"/>
      <c r="K845" s="36" t="s">
        <v>14330</v>
      </c>
      <c r="L845" s="36" t="s">
        <v>14330</v>
      </c>
      <c r="M845">
        <v>2</v>
      </c>
      <c r="N845" t="s">
        <v>14331</v>
      </c>
      <c r="O845" t="s">
        <v>32633</v>
      </c>
    </row>
    <row r="846" spans="1:15" x14ac:dyDescent="0.25">
      <c r="A846" s="35" t="s">
        <v>4578</v>
      </c>
      <c r="B846" s="36" t="s">
        <v>4579</v>
      </c>
      <c r="C846" s="36" t="str">
        <f>HYPERLINK("https://rhld.insurance.arkansas.gov/NPILookup?Npi=1073967949","1073967949")</f>
        <v>1073967949</v>
      </c>
      <c r="D846" s="36" t="s">
        <v>33496</v>
      </c>
      <c r="E846" s="36" t="s">
        <v>2</v>
      </c>
      <c r="F846" s="36">
        <v>1</v>
      </c>
      <c r="G846" s="36">
        <v>2</v>
      </c>
      <c r="H846" s="36">
        <v>0</v>
      </c>
      <c r="I846" s="37">
        <v>0</v>
      </c>
      <c r="J846" s="36"/>
      <c r="K846" s="36" t="s">
        <v>14330</v>
      </c>
      <c r="L846" s="36" t="s">
        <v>14330</v>
      </c>
      <c r="M846">
        <v>1</v>
      </c>
      <c r="N846" t="s">
        <v>14331</v>
      </c>
      <c r="O846" t="s">
        <v>32633</v>
      </c>
    </row>
    <row r="847" spans="1:15" x14ac:dyDescent="0.25">
      <c r="A847" s="35" t="s">
        <v>4578</v>
      </c>
      <c r="B847" s="36" t="s">
        <v>4579</v>
      </c>
      <c r="C847" s="36" t="str">
        <f>HYPERLINK("https://rhld.insurance.arkansas.gov/NPILookup?Npi=1144756545","1144756545")</f>
        <v>1144756545</v>
      </c>
      <c r="D847" s="36" t="s">
        <v>33497</v>
      </c>
      <c r="E847" s="36" t="s">
        <v>1</v>
      </c>
      <c r="F847" s="36">
        <v>1</v>
      </c>
      <c r="G847" s="36">
        <v>1</v>
      </c>
      <c r="H847" s="36">
        <v>0</v>
      </c>
      <c r="I847" s="37">
        <v>0</v>
      </c>
      <c r="J847" s="36" t="s">
        <v>32654</v>
      </c>
      <c r="K847" s="36" t="s">
        <v>14330</v>
      </c>
      <c r="L847" s="36" t="s">
        <v>14330</v>
      </c>
      <c r="M847">
        <v>2</v>
      </c>
      <c r="N847" t="s">
        <v>14331</v>
      </c>
      <c r="O847" t="s">
        <v>32633</v>
      </c>
    </row>
    <row r="848" spans="1:15" x14ac:dyDescent="0.25">
      <c r="A848" s="35" t="s">
        <v>4578</v>
      </c>
      <c r="B848" s="36" t="s">
        <v>4579</v>
      </c>
      <c r="C848" s="36" t="str">
        <f>HYPERLINK("https://rhld.insurance.arkansas.gov/NPILookup?Npi=1225856966","1225856966")</f>
        <v>1225856966</v>
      </c>
      <c r="D848" s="36" t="s">
        <v>33498</v>
      </c>
      <c r="E848" s="36" t="s">
        <v>2</v>
      </c>
      <c r="F848" s="36">
        <v>1</v>
      </c>
      <c r="G848" s="36">
        <v>2</v>
      </c>
      <c r="H848" s="36">
        <v>0</v>
      </c>
      <c r="I848" s="37">
        <v>0</v>
      </c>
      <c r="J848" s="36"/>
      <c r="K848" s="36" t="s">
        <v>14330</v>
      </c>
      <c r="L848" s="36" t="s">
        <v>14330</v>
      </c>
      <c r="M848">
        <v>1</v>
      </c>
      <c r="N848" t="s">
        <v>14331</v>
      </c>
      <c r="O848" t="s">
        <v>32633</v>
      </c>
    </row>
    <row r="849" spans="1:15" x14ac:dyDescent="0.25">
      <c r="A849" s="35" t="s">
        <v>4578</v>
      </c>
      <c r="B849" s="36" t="s">
        <v>4579</v>
      </c>
      <c r="C849" s="36" t="str">
        <f>HYPERLINK("https://rhld.insurance.arkansas.gov/NPILookup?Npi=1285392084","1285392084")</f>
        <v>1285392084</v>
      </c>
      <c r="D849" s="36" t="s">
        <v>33499</v>
      </c>
      <c r="E849" s="36" t="s">
        <v>1</v>
      </c>
      <c r="F849" s="36">
        <v>1</v>
      </c>
      <c r="G849" s="36">
        <v>1</v>
      </c>
      <c r="H849" s="36">
        <v>0</v>
      </c>
      <c r="I849" s="37">
        <v>0</v>
      </c>
      <c r="J849" s="36" t="s">
        <v>32723</v>
      </c>
      <c r="K849" s="36" t="s">
        <v>14330</v>
      </c>
      <c r="L849" s="36" t="s">
        <v>14330</v>
      </c>
      <c r="M849">
        <v>2</v>
      </c>
      <c r="N849" t="s">
        <v>14331</v>
      </c>
      <c r="O849" t="s">
        <v>32724</v>
      </c>
    </row>
    <row r="850" spans="1:15" x14ac:dyDescent="0.25">
      <c r="A850" s="35" t="s">
        <v>4578</v>
      </c>
      <c r="B850" s="36" t="s">
        <v>4579</v>
      </c>
      <c r="C850" s="36" t="str">
        <f>HYPERLINK("https://rhld.insurance.arkansas.gov/NPILookup?Npi=1326003179","1326003179")</f>
        <v>1326003179</v>
      </c>
      <c r="D850" s="36" t="s">
        <v>33500</v>
      </c>
      <c r="E850" s="36" t="s">
        <v>1</v>
      </c>
      <c r="F850" s="36">
        <v>1</v>
      </c>
      <c r="G850" s="36">
        <v>2</v>
      </c>
      <c r="H850" s="36">
        <v>0</v>
      </c>
      <c r="I850" s="37">
        <v>0</v>
      </c>
      <c r="J850" s="36" t="s">
        <v>32654</v>
      </c>
      <c r="K850" s="36" t="s">
        <v>14330</v>
      </c>
      <c r="L850" s="36" t="s">
        <v>14330</v>
      </c>
      <c r="M850">
        <v>3</v>
      </c>
      <c r="N850" t="s">
        <v>14331</v>
      </c>
      <c r="O850" t="s">
        <v>32633</v>
      </c>
    </row>
    <row r="851" spans="1:15" x14ac:dyDescent="0.25">
      <c r="A851" s="35" t="s">
        <v>4578</v>
      </c>
      <c r="B851" s="36" t="s">
        <v>4579</v>
      </c>
      <c r="C851" s="36" t="str">
        <f>HYPERLINK("https://rhld.insurance.arkansas.gov/NPILookup?Npi=1346459765","1346459765")</f>
        <v>1346459765</v>
      </c>
      <c r="D851" s="36" t="s">
        <v>33501</v>
      </c>
      <c r="E851" s="36" t="s">
        <v>1</v>
      </c>
      <c r="F851" s="36">
        <v>1</v>
      </c>
      <c r="G851" s="36">
        <v>3</v>
      </c>
      <c r="H851" s="36">
        <v>0</v>
      </c>
      <c r="I851" s="37">
        <v>0</v>
      </c>
      <c r="J851" s="36" t="s">
        <v>32654</v>
      </c>
      <c r="K851" s="36" t="s">
        <v>14330</v>
      </c>
      <c r="L851" s="36" t="s">
        <v>14330</v>
      </c>
      <c r="M851">
        <v>2</v>
      </c>
      <c r="N851" t="s">
        <v>14331</v>
      </c>
      <c r="O851" t="s">
        <v>32633</v>
      </c>
    </row>
    <row r="852" spans="1:15" x14ac:dyDescent="0.25">
      <c r="A852" s="35" t="s">
        <v>4578</v>
      </c>
      <c r="B852" s="36" t="s">
        <v>4579</v>
      </c>
      <c r="C852" s="36" t="str">
        <f>HYPERLINK("https://rhld.insurance.arkansas.gov/NPILookup?Npi=1457357907","1457357907")</f>
        <v>1457357907</v>
      </c>
      <c r="D852" s="36" t="s">
        <v>33502</v>
      </c>
      <c r="E852" s="36" t="s">
        <v>2</v>
      </c>
      <c r="F852" s="36">
        <v>1</v>
      </c>
      <c r="G852" s="36">
        <v>2</v>
      </c>
      <c r="H852" s="36">
        <v>0</v>
      </c>
      <c r="I852" s="37">
        <v>0</v>
      </c>
      <c r="J852" s="36" t="s">
        <v>32679</v>
      </c>
      <c r="K852" s="36" t="s">
        <v>14330</v>
      </c>
      <c r="L852" s="36" t="s">
        <v>14330</v>
      </c>
      <c r="M852">
        <v>1</v>
      </c>
      <c r="N852" t="s">
        <v>14331</v>
      </c>
      <c r="O852" t="s">
        <v>32633</v>
      </c>
    </row>
    <row r="853" spans="1:15" x14ac:dyDescent="0.25">
      <c r="A853" s="35" t="s">
        <v>4578</v>
      </c>
      <c r="B853" s="36" t="s">
        <v>4579</v>
      </c>
      <c r="C853" s="36" t="str">
        <f>HYPERLINK("https://rhld.insurance.arkansas.gov/NPILookup?Npi=1659875425","1659875425")</f>
        <v>1659875425</v>
      </c>
      <c r="D853" s="36" t="s">
        <v>33503</v>
      </c>
      <c r="E853" s="36" t="s">
        <v>2</v>
      </c>
      <c r="F853" s="36">
        <v>1</v>
      </c>
      <c r="G853" s="36">
        <v>1</v>
      </c>
      <c r="H853" s="36">
        <v>0</v>
      </c>
      <c r="I853" s="37">
        <v>0</v>
      </c>
      <c r="J853" s="36"/>
      <c r="K853" s="36" t="s">
        <v>14330</v>
      </c>
      <c r="L853" s="36" t="s">
        <v>14330</v>
      </c>
      <c r="M853">
        <v>1</v>
      </c>
      <c r="N853" t="s">
        <v>14331</v>
      </c>
      <c r="O853" t="s">
        <v>32633</v>
      </c>
    </row>
    <row r="854" spans="1:15" x14ac:dyDescent="0.25">
      <c r="A854" s="35" t="s">
        <v>4578</v>
      </c>
      <c r="B854" s="36" t="s">
        <v>4579</v>
      </c>
      <c r="C854" s="36" t="str">
        <f>HYPERLINK("https://rhld.insurance.arkansas.gov/NPILookup?Npi=1699804138","1699804138")</f>
        <v>1699804138</v>
      </c>
      <c r="D854" s="36" t="s">
        <v>33504</v>
      </c>
      <c r="E854" s="36" t="s">
        <v>1</v>
      </c>
      <c r="F854" s="36">
        <v>1</v>
      </c>
      <c r="G854" s="36">
        <v>2</v>
      </c>
      <c r="H854" s="36">
        <v>1</v>
      </c>
      <c r="I854" s="37">
        <v>0</v>
      </c>
      <c r="J854" s="36" t="s">
        <v>32654</v>
      </c>
      <c r="K854" s="36" t="s">
        <v>14330</v>
      </c>
      <c r="L854" s="36" t="s">
        <v>33505</v>
      </c>
      <c r="M854">
        <v>2</v>
      </c>
      <c r="N854" t="s">
        <v>14331</v>
      </c>
      <c r="O854" t="s">
        <v>33506</v>
      </c>
    </row>
    <row r="855" spans="1:15" x14ac:dyDescent="0.25">
      <c r="A855" s="35" t="s">
        <v>4578</v>
      </c>
      <c r="B855" s="36" t="s">
        <v>4579</v>
      </c>
      <c r="C855" s="36" t="str">
        <f>HYPERLINK("https://rhld.insurance.arkansas.gov/NPILookup?Npi=1760011977","1760011977")</f>
        <v>1760011977</v>
      </c>
      <c r="D855" s="36" t="s">
        <v>33507</v>
      </c>
      <c r="E855" s="36" t="s">
        <v>2</v>
      </c>
      <c r="F855" s="36">
        <v>1</v>
      </c>
      <c r="G855" s="36">
        <v>2</v>
      </c>
      <c r="H855" s="36">
        <v>0</v>
      </c>
      <c r="I855" s="37">
        <v>0</v>
      </c>
      <c r="J855" s="36"/>
      <c r="K855" s="36" t="s">
        <v>14330</v>
      </c>
      <c r="L855" s="36" t="s">
        <v>14330</v>
      </c>
      <c r="M855">
        <v>1</v>
      </c>
      <c r="N855" t="s">
        <v>14331</v>
      </c>
      <c r="O855" t="s">
        <v>32633</v>
      </c>
    </row>
    <row r="856" spans="1:15" x14ac:dyDescent="0.25">
      <c r="A856" s="35" t="s">
        <v>4578</v>
      </c>
      <c r="B856" s="36" t="s">
        <v>4579</v>
      </c>
      <c r="C856" s="36" t="str">
        <f>HYPERLINK("https://rhld.insurance.arkansas.gov/NPILookup?Npi=1982660015","1982660015")</f>
        <v>1982660015</v>
      </c>
      <c r="D856" s="36" t="s">
        <v>33508</v>
      </c>
      <c r="E856" s="36" t="s">
        <v>2</v>
      </c>
      <c r="F856" s="36">
        <v>1</v>
      </c>
      <c r="G856" s="36">
        <v>1</v>
      </c>
      <c r="H856" s="36">
        <v>0</v>
      </c>
      <c r="I856" s="37">
        <v>0</v>
      </c>
      <c r="J856" s="36" t="s">
        <v>32679</v>
      </c>
      <c r="K856" s="36" t="s">
        <v>14330</v>
      </c>
      <c r="L856" s="36" t="s">
        <v>14330</v>
      </c>
      <c r="M856">
        <v>1</v>
      </c>
      <c r="N856" t="s">
        <v>14331</v>
      </c>
      <c r="O856" t="s">
        <v>32633</v>
      </c>
    </row>
    <row r="857" spans="1:15" x14ac:dyDescent="0.25">
      <c r="A857" s="35" t="s">
        <v>4609</v>
      </c>
      <c r="B857" s="36" t="s">
        <v>4610</v>
      </c>
      <c r="C857" s="36" t="str">
        <f>HYPERLINK("https://rhld.insurance.arkansas.gov/NPILookup?Npi=1083640072","1083640072")</f>
        <v>1083640072</v>
      </c>
      <c r="D857" s="36" t="s">
        <v>33509</v>
      </c>
      <c r="E857" s="36" t="s">
        <v>1</v>
      </c>
      <c r="F857" s="36">
        <v>1</v>
      </c>
      <c r="G857" s="36">
        <v>1</v>
      </c>
      <c r="H857" s="36">
        <v>0</v>
      </c>
      <c r="I857" s="37">
        <v>0</v>
      </c>
      <c r="J857" s="36" t="s">
        <v>14335</v>
      </c>
      <c r="K857" s="36" t="s">
        <v>14330</v>
      </c>
      <c r="L857" s="36" t="s">
        <v>14330</v>
      </c>
      <c r="M857">
        <v>3</v>
      </c>
      <c r="N857" t="s">
        <v>14331</v>
      </c>
      <c r="O857" t="s">
        <v>32633</v>
      </c>
    </row>
    <row r="858" spans="1:15" x14ac:dyDescent="0.25">
      <c r="A858" s="35" t="s">
        <v>4609</v>
      </c>
      <c r="B858" s="36" t="s">
        <v>4610</v>
      </c>
      <c r="C858" s="36" t="str">
        <f>HYPERLINK("https://rhld.insurance.arkansas.gov/NPILookup?Npi=1124025374","1124025374")</f>
        <v>1124025374</v>
      </c>
      <c r="D858" s="36" t="s">
        <v>33510</v>
      </c>
      <c r="E858" s="36" t="s">
        <v>2</v>
      </c>
      <c r="F858" s="36">
        <v>2</v>
      </c>
      <c r="G858" s="36">
        <v>3</v>
      </c>
      <c r="H858" s="36">
        <v>0</v>
      </c>
      <c r="I858" s="37">
        <v>0</v>
      </c>
      <c r="J858" s="36" t="s">
        <v>33004</v>
      </c>
      <c r="K858" s="36" t="s">
        <v>14330</v>
      </c>
      <c r="L858" s="36" t="s">
        <v>14330</v>
      </c>
      <c r="M858">
        <v>3</v>
      </c>
      <c r="N858" t="s">
        <v>14331</v>
      </c>
      <c r="O858" t="s">
        <v>14333</v>
      </c>
    </row>
    <row r="859" spans="1:15" x14ac:dyDescent="0.25">
      <c r="A859" s="35" t="s">
        <v>4609</v>
      </c>
      <c r="B859" s="36" t="s">
        <v>4610</v>
      </c>
      <c r="C859" s="36" t="str">
        <f>HYPERLINK("https://rhld.insurance.arkansas.gov/NPILookup?Npi=1134149339","1134149339")</f>
        <v>1134149339</v>
      </c>
      <c r="D859" s="36" t="s">
        <v>33511</v>
      </c>
      <c r="E859" s="36" t="s">
        <v>1</v>
      </c>
      <c r="F859" s="36">
        <v>2</v>
      </c>
      <c r="G859" s="36">
        <v>3</v>
      </c>
      <c r="H859" s="36">
        <v>0</v>
      </c>
      <c r="I859" s="37">
        <v>0</v>
      </c>
      <c r="J859" s="36" t="s">
        <v>33512</v>
      </c>
      <c r="K859" s="36" t="s">
        <v>33513</v>
      </c>
      <c r="L859" s="36" t="s">
        <v>14330</v>
      </c>
      <c r="M859">
        <v>2</v>
      </c>
      <c r="N859" t="s">
        <v>14331</v>
      </c>
      <c r="O859" t="s">
        <v>32633</v>
      </c>
    </row>
    <row r="860" spans="1:15" x14ac:dyDescent="0.25">
      <c r="A860" s="35" t="s">
        <v>4609</v>
      </c>
      <c r="B860" s="36" t="s">
        <v>4610</v>
      </c>
      <c r="C860" s="36" t="str">
        <f>HYPERLINK("https://rhld.insurance.arkansas.gov/NPILookup?Npi=1154399590","1154399590")</f>
        <v>1154399590</v>
      </c>
      <c r="D860" s="36" t="s">
        <v>33514</v>
      </c>
      <c r="E860" s="36" t="s">
        <v>1</v>
      </c>
      <c r="F860" s="36">
        <v>1</v>
      </c>
      <c r="G860" s="36">
        <v>2</v>
      </c>
      <c r="H860" s="36">
        <v>0</v>
      </c>
      <c r="I860" s="37">
        <v>0</v>
      </c>
      <c r="J860" s="36" t="s">
        <v>32654</v>
      </c>
      <c r="K860" s="36" t="s">
        <v>14330</v>
      </c>
      <c r="L860" s="36" t="s">
        <v>14330</v>
      </c>
      <c r="M860">
        <v>3</v>
      </c>
      <c r="N860" t="s">
        <v>14331</v>
      </c>
      <c r="O860" t="s">
        <v>32633</v>
      </c>
    </row>
    <row r="861" spans="1:15" x14ac:dyDescent="0.25">
      <c r="A861" s="35" t="s">
        <v>4609</v>
      </c>
      <c r="B861" s="36" t="s">
        <v>4610</v>
      </c>
      <c r="C861" s="36" t="str">
        <f>HYPERLINK("https://rhld.insurance.arkansas.gov/NPILookup?Npi=1316947195","1316947195")</f>
        <v>1316947195</v>
      </c>
      <c r="D861" s="36" t="s">
        <v>33515</v>
      </c>
      <c r="E861" s="36" t="s">
        <v>1</v>
      </c>
      <c r="F861" s="36">
        <v>1</v>
      </c>
      <c r="G861" s="36">
        <v>3</v>
      </c>
      <c r="H861" s="36">
        <v>0</v>
      </c>
      <c r="I861" s="37">
        <v>0</v>
      </c>
      <c r="J861" s="36" t="s">
        <v>33516</v>
      </c>
      <c r="K861" s="36" t="s">
        <v>14330</v>
      </c>
      <c r="L861" s="36" t="s">
        <v>14330</v>
      </c>
      <c r="M861">
        <v>2</v>
      </c>
      <c r="N861" t="s">
        <v>14331</v>
      </c>
      <c r="O861" t="s">
        <v>32633</v>
      </c>
    </row>
    <row r="862" spans="1:15" x14ac:dyDescent="0.25">
      <c r="A862" s="35" t="s">
        <v>4609</v>
      </c>
      <c r="B862" s="36" t="s">
        <v>4610</v>
      </c>
      <c r="C862" s="36" t="str">
        <f>HYPERLINK("https://rhld.insurance.arkansas.gov/NPILookup?Npi=1346579364","1346579364")</f>
        <v>1346579364</v>
      </c>
      <c r="D862" s="36" t="s">
        <v>33517</v>
      </c>
      <c r="E862" s="36" t="s">
        <v>2</v>
      </c>
      <c r="F862" s="36">
        <v>1</v>
      </c>
      <c r="G862" s="36">
        <v>2</v>
      </c>
      <c r="H862" s="36">
        <v>0</v>
      </c>
      <c r="I862" s="37">
        <v>0</v>
      </c>
      <c r="J862" s="36" t="s">
        <v>32679</v>
      </c>
      <c r="K862" s="36" t="s">
        <v>14330</v>
      </c>
      <c r="L862" s="36" t="s">
        <v>14330</v>
      </c>
      <c r="M862">
        <v>2</v>
      </c>
      <c r="N862" t="s">
        <v>14331</v>
      </c>
      <c r="O862" t="s">
        <v>14333</v>
      </c>
    </row>
    <row r="863" spans="1:15" x14ac:dyDescent="0.25">
      <c r="A863" s="35" t="s">
        <v>4609</v>
      </c>
      <c r="B863" s="36" t="s">
        <v>4610</v>
      </c>
      <c r="C863" s="36" t="str">
        <f>HYPERLINK("https://rhld.insurance.arkansas.gov/NPILookup?Npi=1366464497","1366464497")</f>
        <v>1366464497</v>
      </c>
      <c r="D863" s="36" t="s">
        <v>33518</v>
      </c>
      <c r="E863" s="36" t="s">
        <v>2</v>
      </c>
      <c r="F863" s="36">
        <v>1</v>
      </c>
      <c r="G863" s="36">
        <v>2</v>
      </c>
      <c r="H863" s="36">
        <v>0</v>
      </c>
      <c r="I863" s="37">
        <v>0</v>
      </c>
      <c r="J863" s="36" t="s">
        <v>32679</v>
      </c>
      <c r="K863" s="36" t="s">
        <v>14330</v>
      </c>
      <c r="L863" s="36" t="s">
        <v>14330</v>
      </c>
      <c r="M863">
        <v>2</v>
      </c>
      <c r="N863" t="s">
        <v>14331</v>
      </c>
      <c r="O863" t="s">
        <v>14333</v>
      </c>
    </row>
    <row r="864" spans="1:15" x14ac:dyDescent="0.25">
      <c r="A864" s="35" t="s">
        <v>4609</v>
      </c>
      <c r="B864" s="36" t="s">
        <v>4610</v>
      </c>
      <c r="C864" s="36" t="str">
        <f>HYPERLINK("https://rhld.insurance.arkansas.gov/NPILookup?Npi=1528086048","1528086048")</f>
        <v>1528086048</v>
      </c>
      <c r="D864" s="36" t="s">
        <v>33519</v>
      </c>
      <c r="E864" s="36" t="s">
        <v>2</v>
      </c>
      <c r="F864" s="36">
        <v>1</v>
      </c>
      <c r="G864" s="36">
        <v>2</v>
      </c>
      <c r="H864" s="36">
        <v>0</v>
      </c>
      <c r="I864" s="37">
        <v>0</v>
      </c>
      <c r="J864" s="36" t="s">
        <v>32679</v>
      </c>
      <c r="K864" s="36" t="s">
        <v>14330</v>
      </c>
      <c r="L864" s="36" t="s">
        <v>14330</v>
      </c>
      <c r="M864">
        <v>1</v>
      </c>
      <c r="N864" t="s">
        <v>14331</v>
      </c>
      <c r="O864" t="s">
        <v>14333</v>
      </c>
    </row>
    <row r="865" spans="1:15" x14ac:dyDescent="0.25">
      <c r="A865" s="35" t="s">
        <v>4609</v>
      </c>
      <c r="B865" s="36" t="s">
        <v>4610</v>
      </c>
      <c r="C865" s="36" t="str">
        <f>HYPERLINK("https://rhld.insurance.arkansas.gov/NPILookup?Npi=1619949690","1619949690")</f>
        <v>1619949690</v>
      </c>
      <c r="D865" s="36" t="s">
        <v>33520</v>
      </c>
      <c r="E865" s="36" t="s">
        <v>2</v>
      </c>
      <c r="F865" s="36">
        <v>1</v>
      </c>
      <c r="G865" s="36">
        <v>1</v>
      </c>
      <c r="H865" s="36">
        <v>0</v>
      </c>
      <c r="I865" s="37">
        <v>0</v>
      </c>
      <c r="J865" s="36" t="s">
        <v>32679</v>
      </c>
      <c r="K865" s="36" t="s">
        <v>14330</v>
      </c>
      <c r="L865" s="36" t="s">
        <v>14330</v>
      </c>
      <c r="M865">
        <v>1</v>
      </c>
      <c r="N865" t="s">
        <v>14331</v>
      </c>
      <c r="O865" t="s">
        <v>32633</v>
      </c>
    </row>
    <row r="866" spans="1:15" x14ac:dyDescent="0.25">
      <c r="A866" s="35" t="s">
        <v>4609</v>
      </c>
      <c r="B866" s="36" t="s">
        <v>4610</v>
      </c>
      <c r="C866" s="36" t="str">
        <f>HYPERLINK("https://rhld.insurance.arkansas.gov/NPILookup?Npi=1659832772","1659832772")</f>
        <v>1659832772</v>
      </c>
      <c r="D866" s="36" t="s">
        <v>33521</v>
      </c>
      <c r="E866" s="36" t="s">
        <v>2</v>
      </c>
      <c r="F866" s="36">
        <v>1</v>
      </c>
      <c r="G866" s="36">
        <v>1</v>
      </c>
      <c r="H866" s="36">
        <v>0</v>
      </c>
      <c r="I866" s="37">
        <v>0</v>
      </c>
      <c r="J866" s="36"/>
      <c r="K866" s="36" t="s">
        <v>14330</v>
      </c>
      <c r="L866" s="36" t="s">
        <v>14330</v>
      </c>
      <c r="M866">
        <v>2</v>
      </c>
      <c r="N866" t="s">
        <v>14331</v>
      </c>
      <c r="O866" t="s">
        <v>32633</v>
      </c>
    </row>
    <row r="867" spans="1:15" x14ac:dyDescent="0.25">
      <c r="A867" s="35" t="s">
        <v>4609</v>
      </c>
      <c r="B867" s="36" t="s">
        <v>4610</v>
      </c>
      <c r="C867" s="36" t="str">
        <f>HYPERLINK("https://rhld.insurance.arkansas.gov/NPILookup?Npi=1851644256","1851644256")</f>
        <v>1851644256</v>
      </c>
      <c r="D867" s="36" t="s">
        <v>33522</v>
      </c>
      <c r="E867" s="36" t="s">
        <v>1</v>
      </c>
      <c r="F867" s="36">
        <v>1</v>
      </c>
      <c r="G867" s="36">
        <v>2</v>
      </c>
      <c r="H867" s="36">
        <v>0</v>
      </c>
      <c r="I867" s="37">
        <v>0</v>
      </c>
      <c r="J867" s="36" t="s">
        <v>32654</v>
      </c>
      <c r="K867" s="36" t="s">
        <v>14330</v>
      </c>
      <c r="L867" s="36" t="s">
        <v>14330</v>
      </c>
      <c r="M867">
        <v>1</v>
      </c>
      <c r="N867" t="s">
        <v>14331</v>
      </c>
      <c r="O867" t="s">
        <v>32633</v>
      </c>
    </row>
    <row r="868" spans="1:15" x14ac:dyDescent="0.25">
      <c r="A868" s="35" t="s">
        <v>4609</v>
      </c>
      <c r="B868" s="36" t="s">
        <v>4610</v>
      </c>
      <c r="C868" s="36" t="str">
        <f>HYPERLINK("https://rhld.insurance.arkansas.gov/NPILookup?Npi=1861564304","1861564304")</f>
        <v>1861564304</v>
      </c>
      <c r="D868" s="36" t="s">
        <v>33523</v>
      </c>
      <c r="E868" s="36" t="s">
        <v>2</v>
      </c>
      <c r="F868" s="36">
        <v>1</v>
      </c>
      <c r="G868" s="36">
        <v>1</v>
      </c>
      <c r="H868" s="36">
        <v>0</v>
      </c>
      <c r="I868" s="37">
        <v>0</v>
      </c>
      <c r="J868" s="36" t="s">
        <v>32679</v>
      </c>
      <c r="K868" s="36" t="s">
        <v>14330</v>
      </c>
      <c r="L868" s="36" t="s">
        <v>14330</v>
      </c>
      <c r="M868">
        <v>2</v>
      </c>
      <c r="N868" t="s">
        <v>14331</v>
      </c>
      <c r="O868" t="s">
        <v>32633</v>
      </c>
    </row>
    <row r="869" spans="1:15" x14ac:dyDescent="0.25">
      <c r="A869" s="35" t="s">
        <v>4609</v>
      </c>
      <c r="B869" s="36" t="s">
        <v>4610</v>
      </c>
      <c r="C869" s="36" t="str">
        <f>HYPERLINK("https://rhld.insurance.arkansas.gov/NPILookup?Npi=1962627984","1962627984")</f>
        <v>1962627984</v>
      </c>
      <c r="D869" s="36" t="s">
        <v>33524</v>
      </c>
      <c r="E869" s="36" t="s">
        <v>1</v>
      </c>
      <c r="F869" s="36">
        <v>1</v>
      </c>
      <c r="G869" s="36">
        <v>2</v>
      </c>
      <c r="H869" s="36">
        <v>0</v>
      </c>
      <c r="I869" s="37">
        <v>0</v>
      </c>
      <c r="J869" s="36" t="s">
        <v>32723</v>
      </c>
      <c r="K869" s="36" t="s">
        <v>14330</v>
      </c>
      <c r="L869" s="36" t="s">
        <v>14330</v>
      </c>
      <c r="M869">
        <v>2</v>
      </c>
      <c r="N869" t="s">
        <v>14331</v>
      </c>
      <c r="O869" t="s">
        <v>32724</v>
      </c>
    </row>
    <row r="870" spans="1:15" x14ac:dyDescent="0.25">
      <c r="A870" s="35" t="s">
        <v>4688</v>
      </c>
      <c r="B870" s="36" t="s">
        <v>4689</v>
      </c>
      <c r="C870" s="36" t="str">
        <f>HYPERLINK("https://rhld.insurance.arkansas.gov/NPILookup?Npi=1003820036","1003820036")</f>
        <v>1003820036</v>
      </c>
      <c r="D870" s="36" t="s">
        <v>33525</v>
      </c>
      <c r="E870" s="36" t="s">
        <v>1</v>
      </c>
      <c r="F870" s="36">
        <v>1</v>
      </c>
      <c r="G870" s="36">
        <v>2</v>
      </c>
      <c r="H870" s="36">
        <v>0</v>
      </c>
      <c r="I870" s="37">
        <v>0</v>
      </c>
      <c r="J870" s="36" t="s">
        <v>32654</v>
      </c>
      <c r="K870" s="36" t="s">
        <v>14330</v>
      </c>
      <c r="L870" s="36" t="s">
        <v>14330</v>
      </c>
      <c r="M870">
        <v>4</v>
      </c>
      <c r="N870" t="s">
        <v>14331</v>
      </c>
      <c r="O870" t="s">
        <v>32633</v>
      </c>
    </row>
    <row r="871" spans="1:15" x14ac:dyDescent="0.25">
      <c r="A871" s="35" t="s">
        <v>4688</v>
      </c>
      <c r="B871" s="36" t="s">
        <v>4689</v>
      </c>
      <c r="C871" s="36" t="str">
        <f>HYPERLINK("https://rhld.insurance.arkansas.gov/NPILookup?Npi=1013259100","1013259100")</f>
        <v>1013259100</v>
      </c>
      <c r="D871" s="36" t="s">
        <v>32673</v>
      </c>
      <c r="E871" s="36" t="s">
        <v>1</v>
      </c>
      <c r="F871" s="36">
        <v>2</v>
      </c>
      <c r="G871" s="36">
        <v>4</v>
      </c>
      <c r="H871" s="36">
        <v>0</v>
      </c>
      <c r="I871" s="37">
        <v>0</v>
      </c>
      <c r="J871" s="36" t="s">
        <v>32674</v>
      </c>
      <c r="K871" s="36" t="s">
        <v>32675</v>
      </c>
      <c r="L871" s="36" t="s">
        <v>14330</v>
      </c>
      <c r="M871">
        <v>2</v>
      </c>
      <c r="N871" t="s">
        <v>14331</v>
      </c>
      <c r="O871" t="s">
        <v>32633</v>
      </c>
    </row>
    <row r="872" spans="1:15" x14ac:dyDescent="0.25">
      <c r="A872" s="35" t="s">
        <v>4688</v>
      </c>
      <c r="B872" s="36" t="s">
        <v>4689</v>
      </c>
      <c r="C872" s="36" t="str">
        <f>HYPERLINK("https://rhld.insurance.arkansas.gov/NPILookup?Npi=1013962935","1013962935")</f>
        <v>1013962935</v>
      </c>
      <c r="D872" s="36" t="s">
        <v>33526</v>
      </c>
      <c r="E872" s="36" t="s">
        <v>1</v>
      </c>
      <c r="F872" s="36">
        <v>1</v>
      </c>
      <c r="G872" s="36">
        <v>2</v>
      </c>
      <c r="H872" s="36">
        <v>0</v>
      </c>
      <c r="I872" s="37">
        <v>0</v>
      </c>
      <c r="J872" s="36" t="s">
        <v>32654</v>
      </c>
      <c r="K872" s="36" t="s">
        <v>14330</v>
      </c>
      <c r="L872" s="36" t="s">
        <v>14330</v>
      </c>
      <c r="M872">
        <v>3</v>
      </c>
      <c r="N872" t="s">
        <v>14331</v>
      </c>
      <c r="O872" t="s">
        <v>32633</v>
      </c>
    </row>
    <row r="873" spans="1:15" x14ac:dyDescent="0.25">
      <c r="A873" s="35" t="s">
        <v>4688</v>
      </c>
      <c r="B873" s="36" t="s">
        <v>4689</v>
      </c>
      <c r="C873" s="36" t="str">
        <f>HYPERLINK("https://rhld.insurance.arkansas.gov/NPILookup?Npi=1013984517","1013984517")</f>
        <v>1013984517</v>
      </c>
      <c r="D873" s="36" t="s">
        <v>33527</v>
      </c>
      <c r="E873" s="36" t="s">
        <v>1</v>
      </c>
      <c r="F873" s="36">
        <v>1</v>
      </c>
      <c r="G873" s="36">
        <v>3</v>
      </c>
      <c r="H873" s="36">
        <v>0</v>
      </c>
      <c r="I873" s="37">
        <v>0</v>
      </c>
      <c r="J873" s="36" t="s">
        <v>32654</v>
      </c>
      <c r="K873" s="36" t="s">
        <v>14330</v>
      </c>
      <c r="L873" s="36" t="s">
        <v>14330</v>
      </c>
      <c r="M873">
        <v>2</v>
      </c>
      <c r="N873" t="s">
        <v>14331</v>
      </c>
      <c r="O873" t="s">
        <v>32633</v>
      </c>
    </row>
    <row r="874" spans="1:15" x14ac:dyDescent="0.25">
      <c r="A874" s="35" t="s">
        <v>4688</v>
      </c>
      <c r="B874" s="36" t="s">
        <v>4689</v>
      </c>
      <c r="C874" s="36" t="str">
        <f>HYPERLINK("https://rhld.insurance.arkansas.gov/NPILookup?Npi=1023049335","1023049335")</f>
        <v>1023049335</v>
      </c>
      <c r="D874" s="36" t="s">
        <v>33528</v>
      </c>
      <c r="E874" s="36" t="s">
        <v>2</v>
      </c>
      <c r="F874" s="36">
        <v>1</v>
      </c>
      <c r="G874" s="36">
        <v>2</v>
      </c>
      <c r="H874" s="36">
        <v>0</v>
      </c>
      <c r="I874" s="37">
        <v>0</v>
      </c>
      <c r="J874" s="36"/>
      <c r="K874" s="36" t="s">
        <v>14330</v>
      </c>
      <c r="L874" s="36" t="s">
        <v>14330</v>
      </c>
      <c r="M874">
        <v>2</v>
      </c>
      <c r="N874" t="s">
        <v>14331</v>
      </c>
      <c r="O874" t="s">
        <v>14333</v>
      </c>
    </row>
    <row r="875" spans="1:15" x14ac:dyDescent="0.25">
      <c r="A875" s="35" t="s">
        <v>4688</v>
      </c>
      <c r="B875" s="36" t="s">
        <v>4689</v>
      </c>
      <c r="C875" s="36" t="str">
        <f>HYPERLINK("https://rhld.insurance.arkansas.gov/NPILookup?Npi=1023075637","1023075637")</f>
        <v>1023075637</v>
      </c>
      <c r="D875" s="36" t="s">
        <v>33494</v>
      </c>
      <c r="E875" s="36" t="s">
        <v>1</v>
      </c>
      <c r="F875" s="36">
        <v>1</v>
      </c>
      <c r="G875" s="36">
        <v>2</v>
      </c>
      <c r="H875" s="36">
        <v>0</v>
      </c>
      <c r="I875" s="37">
        <v>0</v>
      </c>
      <c r="J875" s="36" t="s">
        <v>32654</v>
      </c>
      <c r="K875" s="36" t="s">
        <v>14330</v>
      </c>
      <c r="L875" s="36" t="s">
        <v>14330</v>
      </c>
      <c r="M875">
        <v>2</v>
      </c>
      <c r="N875" t="s">
        <v>14331</v>
      </c>
      <c r="O875" t="s">
        <v>32633</v>
      </c>
    </row>
    <row r="876" spans="1:15" x14ac:dyDescent="0.25">
      <c r="A876" s="35" t="s">
        <v>4688</v>
      </c>
      <c r="B876" s="36" t="s">
        <v>4689</v>
      </c>
      <c r="C876" s="36" t="str">
        <f>HYPERLINK("https://rhld.insurance.arkansas.gov/NPILookup?Npi=1023087764","1023087764")</f>
        <v>1023087764</v>
      </c>
      <c r="D876" s="36" t="s">
        <v>33529</v>
      </c>
      <c r="E876" s="36" t="s">
        <v>1</v>
      </c>
      <c r="F876" s="36">
        <v>1</v>
      </c>
      <c r="G876" s="36">
        <v>2</v>
      </c>
      <c r="H876" s="36">
        <v>0</v>
      </c>
      <c r="I876" s="37">
        <v>0</v>
      </c>
      <c r="J876" s="36" t="s">
        <v>32654</v>
      </c>
      <c r="K876" s="36" t="s">
        <v>14330</v>
      </c>
      <c r="L876" s="36" t="s">
        <v>14330</v>
      </c>
      <c r="M876">
        <v>1</v>
      </c>
      <c r="N876" t="s">
        <v>14331</v>
      </c>
      <c r="O876" t="s">
        <v>32633</v>
      </c>
    </row>
    <row r="877" spans="1:15" x14ac:dyDescent="0.25">
      <c r="A877" s="35" t="s">
        <v>4688</v>
      </c>
      <c r="B877" s="36" t="s">
        <v>4689</v>
      </c>
      <c r="C877" s="36" t="str">
        <f>HYPERLINK("https://rhld.insurance.arkansas.gov/NPILookup?Npi=1023239720","1023239720")</f>
        <v>1023239720</v>
      </c>
      <c r="D877" s="36" t="s">
        <v>33530</v>
      </c>
      <c r="E877" s="36" t="s">
        <v>2</v>
      </c>
      <c r="F877" s="36">
        <v>1</v>
      </c>
      <c r="G877" s="36">
        <v>1</v>
      </c>
      <c r="H877" s="36">
        <v>0</v>
      </c>
      <c r="I877" s="37">
        <v>0</v>
      </c>
      <c r="J877" s="36" t="s">
        <v>32679</v>
      </c>
      <c r="K877" s="36" t="s">
        <v>14330</v>
      </c>
      <c r="L877" s="36" t="s">
        <v>14330</v>
      </c>
      <c r="M877">
        <v>2</v>
      </c>
      <c r="N877" t="s">
        <v>14331</v>
      </c>
      <c r="O877" t="s">
        <v>32633</v>
      </c>
    </row>
    <row r="878" spans="1:15" x14ac:dyDescent="0.25">
      <c r="A878" s="35" t="s">
        <v>4688</v>
      </c>
      <c r="B878" s="36" t="s">
        <v>4689</v>
      </c>
      <c r="C878" s="36" t="str">
        <f>HYPERLINK("https://rhld.insurance.arkansas.gov/NPILookup?Npi=1043310006","1043310006")</f>
        <v>1043310006</v>
      </c>
      <c r="D878" s="36" t="s">
        <v>33531</v>
      </c>
      <c r="E878" s="36" t="s">
        <v>1</v>
      </c>
      <c r="F878" s="36">
        <v>1</v>
      </c>
      <c r="G878" s="36">
        <v>2</v>
      </c>
      <c r="H878" s="36">
        <v>0</v>
      </c>
      <c r="I878" s="37">
        <v>0</v>
      </c>
      <c r="J878" s="36" t="s">
        <v>32654</v>
      </c>
      <c r="K878" s="36" t="s">
        <v>14330</v>
      </c>
      <c r="L878" s="36" t="s">
        <v>14330</v>
      </c>
      <c r="M878">
        <v>2</v>
      </c>
      <c r="N878" t="s">
        <v>14331</v>
      </c>
      <c r="O878" t="s">
        <v>32633</v>
      </c>
    </row>
    <row r="879" spans="1:15" x14ac:dyDescent="0.25">
      <c r="A879" s="35" t="s">
        <v>4688</v>
      </c>
      <c r="B879" s="36" t="s">
        <v>4689</v>
      </c>
      <c r="C879" s="36" t="str">
        <f>HYPERLINK("https://rhld.insurance.arkansas.gov/NPILookup?Npi=1053374496","1053374496")</f>
        <v>1053374496</v>
      </c>
      <c r="D879" s="36" t="s">
        <v>33532</v>
      </c>
      <c r="E879" s="36" t="s">
        <v>1</v>
      </c>
      <c r="F879" s="36">
        <v>1</v>
      </c>
      <c r="G879" s="36">
        <v>2</v>
      </c>
      <c r="H879" s="36">
        <v>0</v>
      </c>
      <c r="I879" s="37">
        <v>0</v>
      </c>
      <c r="J879" s="36" t="s">
        <v>32723</v>
      </c>
      <c r="K879" s="36" t="s">
        <v>14330</v>
      </c>
      <c r="L879" s="36" t="s">
        <v>14330</v>
      </c>
      <c r="M879">
        <v>2</v>
      </c>
      <c r="N879" t="s">
        <v>14331</v>
      </c>
      <c r="O879" t="s">
        <v>32724</v>
      </c>
    </row>
    <row r="880" spans="1:15" x14ac:dyDescent="0.25">
      <c r="A880" s="35" t="s">
        <v>4688</v>
      </c>
      <c r="B880" s="36" t="s">
        <v>4689</v>
      </c>
      <c r="C880" s="36" t="str">
        <f>HYPERLINK("https://rhld.insurance.arkansas.gov/NPILookup?Npi=1053381467","1053381467")</f>
        <v>1053381467</v>
      </c>
      <c r="D880" s="36" t="s">
        <v>33533</v>
      </c>
      <c r="E880" s="36" t="s">
        <v>1</v>
      </c>
      <c r="F880" s="36">
        <v>1</v>
      </c>
      <c r="G880" s="36">
        <v>2</v>
      </c>
      <c r="H880" s="36">
        <v>0</v>
      </c>
      <c r="I880" s="37">
        <v>0</v>
      </c>
      <c r="J880" s="36" t="s">
        <v>32654</v>
      </c>
      <c r="K880" s="36" t="s">
        <v>14330</v>
      </c>
      <c r="L880" s="36" t="s">
        <v>14330</v>
      </c>
      <c r="M880">
        <v>2</v>
      </c>
      <c r="N880" t="s">
        <v>14331</v>
      </c>
      <c r="O880" t="s">
        <v>32633</v>
      </c>
    </row>
    <row r="881" spans="1:15" x14ac:dyDescent="0.25">
      <c r="A881" s="35" t="s">
        <v>4688</v>
      </c>
      <c r="B881" s="36" t="s">
        <v>4689</v>
      </c>
      <c r="C881" s="36" t="str">
        <f>HYPERLINK("https://rhld.insurance.arkansas.gov/NPILookup?Npi=1063048817","1063048817")</f>
        <v>1063048817</v>
      </c>
      <c r="D881" s="36" t="s">
        <v>33534</v>
      </c>
      <c r="E881" s="36" t="s">
        <v>1</v>
      </c>
      <c r="F881" s="36">
        <v>1</v>
      </c>
      <c r="G881" s="36">
        <v>2</v>
      </c>
      <c r="H881" s="36">
        <v>0</v>
      </c>
      <c r="I881" s="37">
        <v>0</v>
      </c>
      <c r="J881" s="36" t="s">
        <v>32654</v>
      </c>
      <c r="K881" s="36" t="s">
        <v>14330</v>
      </c>
      <c r="L881" s="36" t="s">
        <v>14330</v>
      </c>
      <c r="M881">
        <v>2</v>
      </c>
      <c r="N881" t="s">
        <v>14331</v>
      </c>
      <c r="O881" t="s">
        <v>32633</v>
      </c>
    </row>
    <row r="882" spans="1:15" x14ac:dyDescent="0.25">
      <c r="A882" s="35" t="s">
        <v>4688</v>
      </c>
      <c r="B882" s="36" t="s">
        <v>4689</v>
      </c>
      <c r="C882" s="36" t="str">
        <f>HYPERLINK("https://rhld.insurance.arkansas.gov/NPILookup?Npi=1063638104","1063638104")</f>
        <v>1063638104</v>
      </c>
      <c r="D882" s="36" t="s">
        <v>33535</v>
      </c>
      <c r="E882" s="36" t="s">
        <v>1</v>
      </c>
      <c r="F882" s="36">
        <v>1</v>
      </c>
      <c r="G882" s="36">
        <v>2</v>
      </c>
      <c r="H882" s="36">
        <v>0</v>
      </c>
      <c r="I882" s="37">
        <v>0</v>
      </c>
      <c r="J882" s="36" t="s">
        <v>32654</v>
      </c>
      <c r="K882" s="36" t="s">
        <v>14330</v>
      </c>
      <c r="L882" s="36" t="s">
        <v>14330</v>
      </c>
      <c r="M882">
        <v>2</v>
      </c>
      <c r="N882" t="s">
        <v>14331</v>
      </c>
      <c r="O882" t="s">
        <v>32633</v>
      </c>
    </row>
    <row r="883" spans="1:15" x14ac:dyDescent="0.25">
      <c r="A883" s="35" t="s">
        <v>4688</v>
      </c>
      <c r="B883" s="36" t="s">
        <v>4689</v>
      </c>
      <c r="C883" s="36" t="str">
        <f>HYPERLINK("https://rhld.insurance.arkansas.gov/NPILookup?Npi=1083624365","1083624365")</f>
        <v>1083624365</v>
      </c>
      <c r="D883" s="36" t="s">
        <v>33536</v>
      </c>
      <c r="E883" s="36" t="s">
        <v>2</v>
      </c>
      <c r="F883" s="36">
        <v>1</v>
      </c>
      <c r="G883" s="36">
        <v>2</v>
      </c>
      <c r="H883" s="36">
        <v>0</v>
      </c>
      <c r="I883" s="37">
        <v>0</v>
      </c>
      <c r="J883" s="36" t="s">
        <v>32679</v>
      </c>
      <c r="K883" s="36" t="s">
        <v>14330</v>
      </c>
      <c r="L883" s="36" t="s">
        <v>14330</v>
      </c>
      <c r="M883">
        <v>2</v>
      </c>
      <c r="N883" t="s">
        <v>14331</v>
      </c>
      <c r="O883" t="s">
        <v>14333</v>
      </c>
    </row>
    <row r="884" spans="1:15" x14ac:dyDescent="0.25">
      <c r="A884" s="35" t="s">
        <v>4688</v>
      </c>
      <c r="B884" s="36" t="s">
        <v>4689</v>
      </c>
      <c r="C884" s="36" t="str">
        <f>HYPERLINK("https://rhld.insurance.arkansas.gov/NPILookup?Npi=1093236564","1093236564")</f>
        <v>1093236564</v>
      </c>
      <c r="D884" s="36" t="s">
        <v>33537</v>
      </c>
      <c r="E884" s="36" t="s">
        <v>2</v>
      </c>
      <c r="F884" s="36">
        <v>1</v>
      </c>
      <c r="G884" s="36">
        <v>2</v>
      </c>
      <c r="H884" s="36">
        <v>0</v>
      </c>
      <c r="I884" s="37">
        <v>0</v>
      </c>
      <c r="J884" s="36" t="s">
        <v>32679</v>
      </c>
      <c r="K884" s="36" t="s">
        <v>14330</v>
      </c>
      <c r="L884" s="36" t="s">
        <v>14330</v>
      </c>
      <c r="M884">
        <v>3</v>
      </c>
      <c r="N884" t="s">
        <v>14331</v>
      </c>
      <c r="O884" t="s">
        <v>14333</v>
      </c>
    </row>
    <row r="885" spans="1:15" x14ac:dyDescent="0.25">
      <c r="A885" s="35" t="s">
        <v>4688</v>
      </c>
      <c r="B885" s="36" t="s">
        <v>4689</v>
      </c>
      <c r="C885" s="36" t="str">
        <f>HYPERLINK("https://rhld.insurance.arkansas.gov/NPILookup?Npi=1093858581","1093858581")</f>
        <v>1093858581</v>
      </c>
      <c r="D885" s="36" t="s">
        <v>32988</v>
      </c>
      <c r="E885" s="36" t="s">
        <v>1</v>
      </c>
      <c r="F885" s="36">
        <v>1</v>
      </c>
      <c r="G885" s="36">
        <v>3</v>
      </c>
      <c r="H885" s="36">
        <v>0</v>
      </c>
      <c r="I885" s="37">
        <v>0</v>
      </c>
      <c r="J885" s="36" t="s">
        <v>32654</v>
      </c>
      <c r="K885" s="36" t="s">
        <v>14330</v>
      </c>
      <c r="L885" s="36" t="s">
        <v>14330</v>
      </c>
      <c r="M885">
        <v>2</v>
      </c>
      <c r="N885" t="s">
        <v>14331</v>
      </c>
      <c r="O885" t="s">
        <v>32633</v>
      </c>
    </row>
    <row r="886" spans="1:15" x14ac:dyDescent="0.25">
      <c r="A886" s="35" t="s">
        <v>4688</v>
      </c>
      <c r="B886" s="36" t="s">
        <v>4689</v>
      </c>
      <c r="C886" s="36" t="str">
        <f>HYPERLINK("https://rhld.insurance.arkansas.gov/NPILookup?Npi=1104805498","1104805498")</f>
        <v>1104805498</v>
      </c>
      <c r="D886" s="36" t="s">
        <v>33538</v>
      </c>
      <c r="E886" s="36" t="s">
        <v>1</v>
      </c>
      <c r="F886" s="36">
        <v>1</v>
      </c>
      <c r="G886" s="36">
        <v>2</v>
      </c>
      <c r="H886" s="36">
        <v>0</v>
      </c>
      <c r="I886" s="37">
        <v>0</v>
      </c>
      <c r="J886" s="36" t="s">
        <v>32654</v>
      </c>
      <c r="K886" s="36" t="s">
        <v>14330</v>
      </c>
      <c r="L886" s="36" t="s">
        <v>14330</v>
      </c>
      <c r="M886">
        <v>2</v>
      </c>
      <c r="N886" t="s">
        <v>14331</v>
      </c>
      <c r="O886" t="s">
        <v>32633</v>
      </c>
    </row>
    <row r="887" spans="1:15" x14ac:dyDescent="0.25">
      <c r="A887" s="35" t="s">
        <v>4688</v>
      </c>
      <c r="B887" s="36" t="s">
        <v>4689</v>
      </c>
      <c r="C887" s="36" t="str">
        <f>HYPERLINK("https://rhld.insurance.arkansas.gov/NPILookup?Npi=1124219381","1124219381")</f>
        <v>1124219381</v>
      </c>
      <c r="D887" s="36" t="s">
        <v>33539</v>
      </c>
      <c r="E887" s="36" t="s">
        <v>2</v>
      </c>
      <c r="F887" s="36">
        <v>2</v>
      </c>
      <c r="G887" s="36">
        <v>2</v>
      </c>
      <c r="H887" s="36">
        <v>0</v>
      </c>
      <c r="I887" s="37">
        <v>0</v>
      </c>
      <c r="J887" s="36" t="s">
        <v>33004</v>
      </c>
      <c r="K887" s="36" t="s">
        <v>14330</v>
      </c>
      <c r="L887" s="36" t="s">
        <v>14330</v>
      </c>
      <c r="M887">
        <v>3</v>
      </c>
      <c r="N887" t="s">
        <v>14331</v>
      </c>
      <c r="O887" t="s">
        <v>14333</v>
      </c>
    </row>
    <row r="888" spans="1:15" x14ac:dyDescent="0.25">
      <c r="A888" s="35" t="s">
        <v>4688</v>
      </c>
      <c r="B888" s="36" t="s">
        <v>4689</v>
      </c>
      <c r="C888" s="36" t="str">
        <f>HYPERLINK("https://rhld.insurance.arkansas.gov/NPILookup?Npi=1124398847","1124398847")</f>
        <v>1124398847</v>
      </c>
      <c r="D888" s="36" t="s">
        <v>33540</v>
      </c>
      <c r="E888" s="36" t="s">
        <v>1</v>
      </c>
      <c r="F888" s="36">
        <v>1</v>
      </c>
      <c r="G888" s="36">
        <v>3</v>
      </c>
      <c r="H888" s="36">
        <v>0</v>
      </c>
      <c r="I888" s="37">
        <v>0</v>
      </c>
      <c r="J888" s="36" t="s">
        <v>32654</v>
      </c>
      <c r="K888" s="36" t="s">
        <v>14330</v>
      </c>
      <c r="L888" s="36" t="s">
        <v>14330</v>
      </c>
      <c r="M888">
        <v>2</v>
      </c>
      <c r="N888" t="s">
        <v>14331</v>
      </c>
      <c r="O888" t="s">
        <v>32633</v>
      </c>
    </row>
    <row r="889" spans="1:15" x14ac:dyDescent="0.25">
      <c r="A889" s="35" t="s">
        <v>4688</v>
      </c>
      <c r="B889" s="36" t="s">
        <v>4689</v>
      </c>
      <c r="C889" s="36" t="str">
        <f>HYPERLINK("https://rhld.insurance.arkansas.gov/NPILookup?Npi=1134209273","1134209273")</f>
        <v>1134209273</v>
      </c>
      <c r="D889" s="36" t="s">
        <v>33541</v>
      </c>
      <c r="E889" s="36" t="s">
        <v>1</v>
      </c>
      <c r="F889" s="36">
        <v>1</v>
      </c>
      <c r="G889" s="36">
        <v>2</v>
      </c>
      <c r="H889" s="36">
        <v>0</v>
      </c>
      <c r="I889" s="37">
        <v>0</v>
      </c>
      <c r="J889" s="36" t="s">
        <v>32654</v>
      </c>
      <c r="K889" s="36" t="s">
        <v>14330</v>
      </c>
      <c r="L889" s="36" t="s">
        <v>14330</v>
      </c>
      <c r="M889">
        <v>2</v>
      </c>
      <c r="N889" t="s">
        <v>14331</v>
      </c>
      <c r="O889" t="s">
        <v>32633</v>
      </c>
    </row>
    <row r="890" spans="1:15" x14ac:dyDescent="0.25">
      <c r="A890" s="35" t="s">
        <v>4688</v>
      </c>
      <c r="B890" s="36" t="s">
        <v>4689</v>
      </c>
      <c r="C890" s="36" t="str">
        <f>HYPERLINK("https://rhld.insurance.arkansas.gov/NPILookup?Npi=1154497717","1154497717")</f>
        <v>1154497717</v>
      </c>
      <c r="D890" s="36" t="s">
        <v>33542</v>
      </c>
      <c r="E890" s="36" t="s">
        <v>1</v>
      </c>
      <c r="F890" s="36">
        <v>1</v>
      </c>
      <c r="G890" s="36">
        <v>2</v>
      </c>
      <c r="H890" s="36">
        <v>0</v>
      </c>
      <c r="I890" s="37">
        <v>0</v>
      </c>
      <c r="J890" s="36" t="s">
        <v>32654</v>
      </c>
      <c r="K890" s="36" t="s">
        <v>14330</v>
      </c>
      <c r="L890" s="36" t="s">
        <v>14330</v>
      </c>
      <c r="M890">
        <v>2</v>
      </c>
      <c r="N890" t="s">
        <v>14331</v>
      </c>
      <c r="O890" t="s">
        <v>32633</v>
      </c>
    </row>
    <row r="891" spans="1:15" x14ac:dyDescent="0.25">
      <c r="A891" s="35" t="s">
        <v>4688</v>
      </c>
      <c r="B891" s="36" t="s">
        <v>4689</v>
      </c>
      <c r="C891" s="36" t="str">
        <f>HYPERLINK("https://rhld.insurance.arkansas.gov/NPILookup?Npi=1164413928","1164413928")</f>
        <v>1164413928</v>
      </c>
      <c r="D891" s="36" t="s">
        <v>33543</v>
      </c>
      <c r="E891" s="36" t="s">
        <v>1</v>
      </c>
      <c r="F891" s="36">
        <v>1</v>
      </c>
      <c r="G891" s="36">
        <v>2</v>
      </c>
      <c r="H891" s="36">
        <v>0</v>
      </c>
      <c r="I891" s="37">
        <v>0</v>
      </c>
      <c r="J891" s="36" t="s">
        <v>32654</v>
      </c>
      <c r="K891" s="36" t="s">
        <v>14330</v>
      </c>
      <c r="L891" s="36" t="s">
        <v>14330</v>
      </c>
      <c r="M891">
        <v>3</v>
      </c>
      <c r="N891" t="s">
        <v>14331</v>
      </c>
      <c r="O891" t="s">
        <v>32633</v>
      </c>
    </row>
    <row r="892" spans="1:15" x14ac:dyDescent="0.25">
      <c r="A892" s="35" t="s">
        <v>4688</v>
      </c>
      <c r="B892" s="36" t="s">
        <v>4689</v>
      </c>
      <c r="C892" s="36" t="str">
        <f>HYPERLINK("https://rhld.insurance.arkansas.gov/NPILookup?Npi=1164472072","1164472072")</f>
        <v>1164472072</v>
      </c>
      <c r="D892" s="36" t="s">
        <v>33544</v>
      </c>
      <c r="E892" s="36" t="s">
        <v>1</v>
      </c>
      <c r="F892" s="36">
        <v>1</v>
      </c>
      <c r="G892" s="36">
        <v>3</v>
      </c>
      <c r="H892" s="36">
        <v>0</v>
      </c>
      <c r="I892" s="37">
        <v>0</v>
      </c>
      <c r="J892" s="36" t="s">
        <v>32654</v>
      </c>
      <c r="K892" s="36" t="s">
        <v>14330</v>
      </c>
      <c r="L892" s="36" t="s">
        <v>14330</v>
      </c>
      <c r="M892">
        <v>2</v>
      </c>
      <c r="N892" t="s">
        <v>14331</v>
      </c>
      <c r="O892" t="s">
        <v>32633</v>
      </c>
    </row>
    <row r="893" spans="1:15" x14ac:dyDescent="0.25">
      <c r="A893" s="35" t="s">
        <v>4688</v>
      </c>
      <c r="B893" s="36" t="s">
        <v>4689</v>
      </c>
      <c r="C893" s="36" t="str">
        <f>HYPERLINK("https://rhld.insurance.arkansas.gov/NPILookup?Npi=1164515318","1164515318")</f>
        <v>1164515318</v>
      </c>
      <c r="D893" s="36" t="s">
        <v>33545</v>
      </c>
      <c r="E893" s="36" t="s">
        <v>1</v>
      </c>
      <c r="F893" s="36">
        <v>1</v>
      </c>
      <c r="G893" s="36">
        <v>2</v>
      </c>
      <c r="H893" s="36">
        <v>0</v>
      </c>
      <c r="I893" s="37">
        <v>0</v>
      </c>
      <c r="J893" s="36" t="s">
        <v>32654</v>
      </c>
      <c r="K893" s="36" t="s">
        <v>14330</v>
      </c>
      <c r="L893" s="36" t="s">
        <v>14330</v>
      </c>
      <c r="M893">
        <v>0</v>
      </c>
      <c r="N893" t="s">
        <v>14331</v>
      </c>
      <c r="O893" t="s">
        <v>32633</v>
      </c>
    </row>
    <row r="894" spans="1:15" x14ac:dyDescent="0.25">
      <c r="A894" s="35" t="s">
        <v>4688</v>
      </c>
      <c r="B894" s="36" t="s">
        <v>4689</v>
      </c>
      <c r="C894" s="36" t="str">
        <f>HYPERLINK("https://rhld.insurance.arkansas.gov/NPILookup?Npi=1164635272","1164635272")</f>
        <v>1164635272</v>
      </c>
      <c r="D894" s="36" t="s">
        <v>33546</v>
      </c>
      <c r="E894" s="36" t="s">
        <v>1</v>
      </c>
      <c r="F894" s="36">
        <v>1</v>
      </c>
      <c r="G894" s="36">
        <v>1</v>
      </c>
      <c r="H894" s="36">
        <v>1</v>
      </c>
      <c r="I894" s="37">
        <v>0</v>
      </c>
      <c r="J894" s="36" t="s">
        <v>32654</v>
      </c>
      <c r="K894" s="36" t="s">
        <v>14330</v>
      </c>
      <c r="L894" s="36" t="s">
        <v>33547</v>
      </c>
      <c r="M894">
        <v>2</v>
      </c>
      <c r="N894" t="s">
        <v>14332</v>
      </c>
      <c r="O894" t="s">
        <v>32591</v>
      </c>
    </row>
    <row r="895" spans="1:15" x14ac:dyDescent="0.25">
      <c r="A895" s="35" t="s">
        <v>4688</v>
      </c>
      <c r="B895" s="36" t="s">
        <v>4689</v>
      </c>
      <c r="C895" s="36" t="str">
        <f>HYPERLINK("https://rhld.insurance.arkansas.gov/NPILookup?Npi=1164772323","1164772323")</f>
        <v>1164772323</v>
      </c>
      <c r="D895" s="36" t="s">
        <v>33548</v>
      </c>
      <c r="E895" s="36" t="s">
        <v>2</v>
      </c>
      <c r="F895" s="36">
        <v>1</v>
      </c>
      <c r="G895" s="36">
        <v>2</v>
      </c>
      <c r="H895" s="36">
        <v>0</v>
      </c>
      <c r="I895" s="37">
        <v>0</v>
      </c>
      <c r="J895" s="36" t="s">
        <v>32679</v>
      </c>
      <c r="K895" s="36" t="s">
        <v>14330</v>
      </c>
      <c r="L895" s="36" t="s">
        <v>14330</v>
      </c>
      <c r="M895">
        <v>2</v>
      </c>
      <c r="N895" t="s">
        <v>14331</v>
      </c>
      <c r="O895" t="s">
        <v>14333</v>
      </c>
    </row>
    <row r="896" spans="1:15" x14ac:dyDescent="0.25">
      <c r="A896" s="35" t="s">
        <v>4688</v>
      </c>
      <c r="B896" s="36" t="s">
        <v>4689</v>
      </c>
      <c r="C896" s="36" t="str">
        <f>HYPERLINK("https://rhld.insurance.arkansas.gov/NPILookup?Npi=1174513774","1174513774")</f>
        <v>1174513774</v>
      </c>
      <c r="D896" s="36" t="s">
        <v>33549</v>
      </c>
      <c r="E896" s="36" t="s">
        <v>2</v>
      </c>
      <c r="F896" s="36">
        <v>1</v>
      </c>
      <c r="G896" s="36">
        <v>2</v>
      </c>
      <c r="H896" s="36">
        <v>0</v>
      </c>
      <c r="I896" s="37">
        <v>0</v>
      </c>
      <c r="J896" s="36" t="s">
        <v>32679</v>
      </c>
      <c r="K896" s="36" t="s">
        <v>14330</v>
      </c>
      <c r="L896" s="36" t="s">
        <v>14330</v>
      </c>
      <c r="M896">
        <v>1</v>
      </c>
      <c r="N896" t="s">
        <v>14331</v>
      </c>
      <c r="O896" t="s">
        <v>14333</v>
      </c>
    </row>
    <row r="897" spans="1:15" x14ac:dyDescent="0.25">
      <c r="A897" s="35" t="s">
        <v>4688</v>
      </c>
      <c r="B897" s="36" t="s">
        <v>4689</v>
      </c>
      <c r="C897" s="36" t="str">
        <f>HYPERLINK("https://rhld.insurance.arkansas.gov/NPILookup?Npi=1174517460","1174517460")</f>
        <v>1174517460</v>
      </c>
      <c r="D897" s="36" t="s">
        <v>33550</v>
      </c>
      <c r="E897" s="36" t="s">
        <v>1</v>
      </c>
      <c r="F897" s="36">
        <v>1</v>
      </c>
      <c r="G897" s="36">
        <v>2</v>
      </c>
      <c r="H897" s="36">
        <v>1</v>
      </c>
      <c r="I897" s="37">
        <v>0</v>
      </c>
      <c r="J897" s="36" t="s">
        <v>32654</v>
      </c>
      <c r="K897" s="36" t="s">
        <v>14330</v>
      </c>
      <c r="L897" s="36" t="s">
        <v>33547</v>
      </c>
      <c r="M897">
        <v>2</v>
      </c>
      <c r="N897" t="s">
        <v>14332</v>
      </c>
      <c r="O897" t="s">
        <v>32591</v>
      </c>
    </row>
    <row r="898" spans="1:15" x14ac:dyDescent="0.25">
      <c r="A898" s="35" t="s">
        <v>4688</v>
      </c>
      <c r="B898" s="36" t="s">
        <v>4689</v>
      </c>
      <c r="C898" s="36" t="str">
        <f>HYPERLINK("https://rhld.insurance.arkansas.gov/NPILookup?Npi=1174558001","1174558001")</f>
        <v>1174558001</v>
      </c>
      <c r="D898" s="36" t="s">
        <v>33551</v>
      </c>
      <c r="E898" s="36" t="s">
        <v>1</v>
      </c>
      <c r="F898" s="36">
        <v>1</v>
      </c>
      <c r="G898" s="36">
        <v>2</v>
      </c>
      <c r="H898" s="36">
        <v>0</v>
      </c>
      <c r="I898" s="37">
        <v>0</v>
      </c>
      <c r="J898" s="36" t="s">
        <v>32654</v>
      </c>
      <c r="K898" s="36" t="s">
        <v>14330</v>
      </c>
      <c r="L898" s="36" t="s">
        <v>14330</v>
      </c>
      <c r="M898">
        <v>2</v>
      </c>
      <c r="N898" t="s">
        <v>14331</v>
      </c>
      <c r="O898" t="s">
        <v>32633</v>
      </c>
    </row>
    <row r="899" spans="1:15" x14ac:dyDescent="0.25">
      <c r="A899" s="35" t="s">
        <v>4688</v>
      </c>
      <c r="B899" s="36" t="s">
        <v>4689</v>
      </c>
      <c r="C899" s="36" t="str">
        <f>HYPERLINK("https://rhld.insurance.arkansas.gov/NPILookup?Npi=1174589980","1174589980")</f>
        <v>1174589980</v>
      </c>
      <c r="D899" s="36" t="s">
        <v>33552</v>
      </c>
      <c r="E899" s="36" t="s">
        <v>2</v>
      </c>
      <c r="F899" s="36">
        <v>1</v>
      </c>
      <c r="G899" s="36">
        <v>2</v>
      </c>
      <c r="H899" s="36">
        <v>0</v>
      </c>
      <c r="I899" s="37">
        <v>0</v>
      </c>
      <c r="J899" s="36" t="s">
        <v>32679</v>
      </c>
      <c r="K899" s="36" t="s">
        <v>14330</v>
      </c>
      <c r="L899" s="36" t="s">
        <v>14330</v>
      </c>
      <c r="M899">
        <v>1</v>
      </c>
      <c r="N899" t="s">
        <v>14331</v>
      </c>
      <c r="O899" t="s">
        <v>14333</v>
      </c>
    </row>
    <row r="900" spans="1:15" x14ac:dyDescent="0.25">
      <c r="A900" s="35" t="s">
        <v>4688</v>
      </c>
      <c r="B900" s="36" t="s">
        <v>4689</v>
      </c>
      <c r="C900" s="36" t="str">
        <f>HYPERLINK("https://rhld.insurance.arkansas.gov/NPILookup?Npi=1174780605","1174780605")</f>
        <v>1174780605</v>
      </c>
      <c r="D900" s="36" t="s">
        <v>33553</v>
      </c>
      <c r="E900" s="36" t="s">
        <v>2</v>
      </c>
      <c r="F900" s="36">
        <v>1</v>
      </c>
      <c r="G900" s="36">
        <v>1</v>
      </c>
      <c r="H900" s="36">
        <v>0</v>
      </c>
      <c r="I900" s="37">
        <v>0</v>
      </c>
      <c r="J900" s="36" t="s">
        <v>32679</v>
      </c>
      <c r="K900" s="36" t="s">
        <v>14330</v>
      </c>
      <c r="L900" s="36" t="s">
        <v>14330</v>
      </c>
      <c r="M900">
        <v>2</v>
      </c>
      <c r="N900" t="s">
        <v>14331</v>
      </c>
      <c r="O900" t="s">
        <v>32633</v>
      </c>
    </row>
    <row r="901" spans="1:15" x14ac:dyDescent="0.25">
      <c r="A901" s="35" t="s">
        <v>4688</v>
      </c>
      <c r="B901" s="36" t="s">
        <v>4689</v>
      </c>
      <c r="C901" s="36" t="str">
        <f>HYPERLINK("https://rhld.insurance.arkansas.gov/NPILookup?Npi=1194921486","1194921486")</f>
        <v>1194921486</v>
      </c>
      <c r="D901" s="36" t="s">
        <v>33554</v>
      </c>
      <c r="E901" s="36" t="s">
        <v>1</v>
      </c>
      <c r="F901" s="36">
        <v>1</v>
      </c>
      <c r="G901" s="36">
        <v>2</v>
      </c>
      <c r="H901" s="36">
        <v>0</v>
      </c>
      <c r="I901" s="37">
        <v>0</v>
      </c>
      <c r="J901" s="36" t="s">
        <v>32654</v>
      </c>
      <c r="K901" s="36" t="s">
        <v>14330</v>
      </c>
      <c r="L901" s="36" t="s">
        <v>14330</v>
      </c>
      <c r="M901">
        <v>2</v>
      </c>
      <c r="N901" t="s">
        <v>14331</v>
      </c>
      <c r="O901" t="s">
        <v>32633</v>
      </c>
    </row>
    <row r="902" spans="1:15" x14ac:dyDescent="0.25">
      <c r="A902" s="35" t="s">
        <v>4688</v>
      </c>
      <c r="B902" s="36" t="s">
        <v>4689</v>
      </c>
      <c r="C902" s="36" t="str">
        <f>HYPERLINK("https://rhld.insurance.arkansas.gov/NPILookup?Npi=1205830684","1205830684")</f>
        <v>1205830684</v>
      </c>
      <c r="D902" s="36" t="s">
        <v>33555</v>
      </c>
      <c r="E902" s="36" t="s">
        <v>2</v>
      </c>
      <c r="F902" s="36">
        <v>1</v>
      </c>
      <c r="G902" s="36">
        <v>2</v>
      </c>
      <c r="H902" s="36">
        <v>0</v>
      </c>
      <c r="I902" s="37">
        <v>0</v>
      </c>
      <c r="J902" s="36" t="s">
        <v>32679</v>
      </c>
      <c r="K902" s="36" t="s">
        <v>14330</v>
      </c>
      <c r="L902" s="36" t="s">
        <v>14330</v>
      </c>
      <c r="M902">
        <v>2</v>
      </c>
      <c r="N902" t="s">
        <v>14331</v>
      </c>
      <c r="O902" t="s">
        <v>14333</v>
      </c>
    </row>
    <row r="903" spans="1:15" x14ac:dyDescent="0.25">
      <c r="A903" s="35" t="s">
        <v>4688</v>
      </c>
      <c r="B903" s="36" t="s">
        <v>4689</v>
      </c>
      <c r="C903" s="36" t="str">
        <f>HYPERLINK("https://rhld.insurance.arkansas.gov/NPILookup?Npi=1205834074","1205834074")</f>
        <v>1205834074</v>
      </c>
      <c r="D903" s="36" t="s">
        <v>33556</v>
      </c>
      <c r="E903" s="36" t="s">
        <v>1</v>
      </c>
      <c r="F903" s="36">
        <v>1</v>
      </c>
      <c r="G903" s="36">
        <v>2</v>
      </c>
      <c r="H903" s="36">
        <v>0</v>
      </c>
      <c r="I903" s="37">
        <v>0</v>
      </c>
      <c r="J903" s="36" t="s">
        <v>32654</v>
      </c>
      <c r="K903" s="36" t="s">
        <v>14330</v>
      </c>
      <c r="L903" s="36" t="s">
        <v>14330</v>
      </c>
      <c r="M903">
        <v>3</v>
      </c>
      <c r="N903" t="s">
        <v>14331</v>
      </c>
      <c r="O903" t="s">
        <v>32633</v>
      </c>
    </row>
    <row r="904" spans="1:15" x14ac:dyDescent="0.25">
      <c r="A904" s="35" t="s">
        <v>4688</v>
      </c>
      <c r="B904" s="36" t="s">
        <v>4689</v>
      </c>
      <c r="C904" s="36" t="str">
        <f>HYPERLINK("https://rhld.insurance.arkansas.gov/NPILookup?Npi=1205977634","1205977634")</f>
        <v>1205977634</v>
      </c>
      <c r="D904" s="36" t="s">
        <v>33557</v>
      </c>
      <c r="E904" s="36" t="s">
        <v>1</v>
      </c>
      <c r="F904" s="36">
        <v>1</v>
      </c>
      <c r="G904" s="36">
        <v>3</v>
      </c>
      <c r="H904" s="36">
        <v>0</v>
      </c>
      <c r="I904" s="37">
        <v>0</v>
      </c>
      <c r="J904" s="36" t="s">
        <v>32654</v>
      </c>
      <c r="K904" s="36" t="s">
        <v>14330</v>
      </c>
      <c r="L904" s="36" t="s">
        <v>14330</v>
      </c>
      <c r="M904">
        <v>3</v>
      </c>
      <c r="N904" t="s">
        <v>14331</v>
      </c>
      <c r="O904" t="s">
        <v>32633</v>
      </c>
    </row>
    <row r="905" spans="1:15" x14ac:dyDescent="0.25">
      <c r="A905" s="35" t="s">
        <v>4688</v>
      </c>
      <c r="B905" s="36" t="s">
        <v>4689</v>
      </c>
      <c r="C905" s="36" t="str">
        <f>HYPERLINK("https://rhld.insurance.arkansas.gov/NPILookup?Npi=1215127832","1215127832")</f>
        <v>1215127832</v>
      </c>
      <c r="D905" s="36" t="s">
        <v>33558</v>
      </c>
      <c r="E905" s="36" t="s">
        <v>1</v>
      </c>
      <c r="F905" s="36">
        <v>1</v>
      </c>
      <c r="G905" s="36">
        <v>3</v>
      </c>
      <c r="H905" s="36">
        <v>0</v>
      </c>
      <c r="I905" s="37">
        <v>0</v>
      </c>
      <c r="J905" s="36" t="s">
        <v>32654</v>
      </c>
      <c r="K905" s="36" t="s">
        <v>14330</v>
      </c>
      <c r="L905" s="36" t="s">
        <v>14330</v>
      </c>
      <c r="M905">
        <v>2</v>
      </c>
      <c r="N905" t="s">
        <v>14331</v>
      </c>
      <c r="O905" t="s">
        <v>32633</v>
      </c>
    </row>
    <row r="906" spans="1:15" x14ac:dyDescent="0.25">
      <c r="A906" s="35" t="s">
        <v>4688</v>
      </c>
      <c r="B906" s="36" t="s">
        <v>4689</v>
      </c>
      <c r="C906" s="36" t="str">
        <f>HYPERLINK("https://rhld.insurance.arkansas.gov/NPILookup?Npi=1215215371","1215215371")</f>
        <v>1215215371</v>
      </c>
      <c r="D906" s="36" t="s">
        <v>33559</v>
      </c>
      <c r="E906" s="36" t="s">
        <v>1</v>
      </c>
      <c r="F906" s="36">
        <v>1</v>
      </c>
      <c r="G906" s="36">
        <v>2</v>
      </c>
      <c r="H906" s="36">
        <v>0</v>
      </c>
      <c r="I906" s="37">
        <v>0</v>
      </c>
      <c r="J906" s="36" t="s">
        <v>32654</v>
      </c>
      <c r="K906" s="36" t="s">
        <v>14330</v>
      </c>
      <c r="L906" s="36" t="s">
        <v>14330</v>
      </c>
      <c r="M906">
        <v>2</v>
      </c>
      <c r="N906" t="s">
        <v>14331</v>
      </c>
      <c r="O906" t="s">
        <v>32633</v>
      </c>
    </row>
    <row r="907" spans="1:15" x14ac:dyDescent="0.25">
      <c r="A907" s="35" t="s">
        <v>4688</v>
      </c>
      <c r="B907" s="36" t="s">
        <v>4689</v>
      </c>
      <c r="C907" s="36" t="str">
        <f>HYPERLINK("https://rhld.insurance.arkansas.gov/NPILookup?Npi=1225017155","1225017155")</f>
        <v>1225017155</v>
      </c>
      <c r="D907" s="36" t="s">
        <v>33560</v>
      </c>
      <c r="E907" s="36" t="s">
        <v>2</v>
      </c>
      <c r="F907" s="36">
        <v>1</v>
      </c>
      <c r="G907" s="36">
        <v>2</v>
      </c>
      <c r="H907" s="36">
        <v>0</v>
      </c>
      <c r="I907" s="37">
        <v>0</v>
      </c>
      <c r="J907" s="36" t="s">
        <v>32679</v>
      </c>
      <c r="K907" s="36" t="s">
        <v>14330</v>
      </c>
      <c r="L907" s="36" t="s">
        <v>14330</v>
      </c>
      <c r="M907">
        <v>2</v>
      </c>
      <c r="N907" t="s">
        <v>14331</v>
      </c>
      <c r="O907" t="s">
        <v>14333</v>
      </c>
    </row>
    <row r="908" spans="1:15" x14ac:dyDescent="0.25">
      <c r="A908" s="35" t="s">
        <v>4688</v>
      </c>
      <c r="B908" s="36" t="s">
        <v>4689</v>
      </c>
      <c r="C908" s="36" t="str">
        <f>HYPERLINK("https://rhld.insurance.arkansas.gov/NPILookup?Npi=1225040447","1225040447")</f>
        <v>1225040447</v>
      </c>
      <c r="D908" s="36" t="s">
        <v>33561</v>
      </c>
      <c r="E908" s="36" t="s">
        <v>1</v>
      </c>
      <c r="F908" s="36">
        <v>1</v>
      </c>
      <c r="G908" s="36">
        <v>2</v>
      </c>
      <c r="H908" s="36">
        <v>0</v>
      </c>
      <c r="I908" s="37">
        <v>0</v>
      </c>
      <c r="J908" s="36" t="s">
        <v>32654</v>
      </c>
      <c r="K908" s="36" t="s">
        <v>14330</v>
      </c>
      <c r="L908" s="36" t="s">
        <v>14330</v>
      </c>
      <c r="M908">
        <v>3</v>
      </c>
      <c r="N908" t="s">
        <v>14331</v>
      </c>
      <c r="O908" t="s">
        <v>32633</v>
      </c>
    </row>
    <row r="909" spans="1:15" x14ac:dyDescent="0.25">
      <c r="A909" s="35" t="s">
        <v>4688</v>
      </c>
      <c r="B909" s="36" t="s">
        <v>4689</v>
      </c>
      <c r="C909" s="36" t="str">
        <f>HYPERLINK("https://rhld.insurance.arkansas.gov/NPILookup?Npi=1225042377","1225042377")</f>
        <v>1225042377</v>
      </c>
      <c r="D909" s="36" t="s">
        <v>33562</v>
      </c>
      <c r="E909" s="36" t="s">
        <v>1</v>
      </c>
      <c r="F909" s="36">
        <v>1</v>
      </c>
      <c r="G909" s="36">
        <v>3</v>
      </c>
      <c r="H909" s="36">
        <v>0</v>
      </c>
      <c r="I909" s="37">
        <v>0</v>
      </c>
      <c r="J909" s="36" t="s">
        <v>32654</v>
      </c>
      <c r="K909" s="36" t="s">
        <v>14330</v>
      </c>
      <c r="L909" s="36" t="s">
        <v>14330</v>
      </c>
      <c r="M909">
        <v>2</v>
      </c>
      <c r="N909" t="s">
        <v>14331</v>
      </c>
      <c r="O909" t="s">
        <v>32633</v>
      </c>
    </row>
    <row r="910" spans="1:15" x14ac:dyDescent="0.25">
      <c r="A910" s="35" t="s">
        <v>4688</v>
      </c>
      <c r="B910" s="36" t="s">
        <v>4689</v>
      </c>
      <c r="C910" s="36" t="str">
        <f>HYPERLINK("https://rhld.insurance.arkansas.gov/NPILookup?Npi=1225095094","1225095094")</f>
        <v>1225095094</v>
      </c>
      <c r="D910" s="36" t="s">
        <v>32686</v>
      </c>
      <c r="E910" s="36" t="s">
        <v>1</v>
      </c>
      <c r="F910" s="36">
        <v>1</v>
      </c>
      <c r="G910" s="36">
        <v>2</v>
      </c>
      <c r="H910" s="36">
        <v>0</v>
      </c>
      <c r="I910" s="37">
        <v>0</v>
      </c>
      <c r="J910" s="36" t="s">
        <v>32654</v>
      </c>
      <c r="K910" s="36" t="s">
        <v>14330</v>
      </c>
      <c r="L910" s="36" t="s">
        <v>14330</v>
      </c>
      <c r="M910">
        <v>2</v>
      </c>
      <c r="N910" t="s">
        <v>14331</v>
      </c>
      <c r="O910" t="s">
        <v>32633</v>
      </c>
    </row>
    <row r="911" spans="1:15" x14ac:dyDescent="0.25">
      <c r="A911" s="35" t="s">
        <v>4688</v>
      </c>
      <c r="B911" s="36" t="s">
        <v>4689</v>
      </c>
      <c r="C911" s="36" t="str">
        <f>HYPERLINK("https://rhld.insurance.arkansas.gov/NPILookup?Npi=1255330957","1255330957")</f>
        <v>1255330957</v>
      </c>
      <c r="D911" s="36" t="s">
        <v>32687</v>
      </c>
      <c r="E911" s="36" t="s">
        <v>1</v>
      </c>
      <c r="F911" s="36">
        <v>1</v>
      </c>
      <c r="G911" s="36">
        <v>2</v>
      </c>
      <c r="H911" s="36">
        <v>0</v>
      </c>
      <c r="I911" s="37">
        <v>0</v>
      </c>
      <c r="J911" s="36" t="s">
        <v>32654</v>
      </c>
      <c r="K911" s="36" t="s">
        <v>14330</v>
      </c>
      <c r="L911" s="36" t="s">
        <v>14330</v>
      </c>
      <c r="M911">
        <v>2</v>
      </c>
      <c r="N911" t="s">
        <v>14331</v>
      </c>
      <c r="O911" t="s">
        <v>32633</v>
      </c>
    </row>
    <row r="912" spans="1:15" x14ac:dyDescent="0.25">
      <c r="A912" s="35" t="s">
        <v>4688</v>
      </c>
      <c r="B912" s="36" t="s">
        <v>4689</v>
      </c>
      <c r="C912" s="36" t="str">
        <f>HYPERLINK("https://rhld.insurance.arkansas.gov/NPILookup?Npi=1255446191","1255446191")</f>
        <v>1255446191</v>
      </c>
      <c r="D912" s="36" t="s">
        <v>33563</v>
      </c>
      <c r="E912" s="36" t="s">
        <v>1</v>
      </c>
      <c r="F912" s="36">
        <v>1</v>
      </c>
      <c r="G912" s="36">
        <v>2</v>
      </c>
      <c r="H912" s="36">
        <v>0</v>
      </c>
      <c r="I912" s="37">
        <v>0</v>
      </c>
      <c r="J912" s="36" t="s">
        <v>32654</v>
      </c>
      <c r="K912" s="36" t="s">
        <v>14330</v>
      </c>
      <c r="L912" s="36" t="s">
        <v>14330</v>
      </c>
      <c r="M912">
        <v>3</v>
      </c>
      <c r="N912" t="s">
        <v>14331</v>
      </c>
      <c r="O912" t="s">
        <v>32633</v>
      </c>
    </row>
    <row r="913" spans="1:15" x14ac:dyDescent="0.25">
      <c r="A913" s="35" t="s">
        <v>4688</v>
      </c>
      <c r="B913" s="36" t="s">
        <v>4689</v>
      </c>
      <c r="C913" s="36" t="str">
        <f>HYPERLINK("https://rhld.insurance.arkansas.gov/NPILookup?Npi=1255621009","1255621009")</f>
        <v>1255621009</v>
      </c>
      <c r="D913" s="36" t="s">
        <v>33564</v>
      </c>
      <c r="E913" s="36" t="s">
        <v>1</v>
      </c>
      <c r="F913" s="36">
        <v>1</v>
      </c>
      <c r="G913" s="36">
        <v>3</v>
      </c>
      <c r="H913" s="36">
        <v>0</v>
      </c>
      <c r="I913" s="37">
        <v>0</v>
      </c>
      <c r="J913" s="36" t="s">
        <v>32654</v>
      </c>
      <c r="K913" s="36" t="s">
        <v>14330</v>
      </c>
      <c r="L913" s="36" t="s">
        <v>14330</v>
      </c>
      <c r="M913">
        <v>2</v>
      </c>
      <c r="N913" t="s">
        <v>14331</v>
      </c>
      <c r="O913" t="s">
        <v>32633</v>
      </c>
    </row>
    <row r="914" spans="1:15" x14ac:dyDescent="0.25">
      <c r="A914" s="35" t="s">
        <v>4688</v>
      </c>
      <c r="B914" s="36" t="s">
        <v>4689</v>
      </c>
      <c r="C914" s="36" t="str">
        <f>HYPERLINK("https://rhld.insurance.arkansas.gov/NPILookup?Npi=1255690871","1255690871")</f>
        <v>1255690871</v>
      </c>
      <c r="D914" s="36" t="s">
        <v>33565</v>
      </c>
      <c r="E914" s="36" t="s">
        <v>1</v>
      </c>
      <c r="F914" s="36">
        <v>1</v>
      </c>
      <c r="G914" s="36">
        <v>2</v>
      </c>
      <c r="H914" s="36">
        <v>0</v>
      </c>
      <c r="I914" s="37">
        <v>0</v>
      </c>
      <c r="J914" s="36" t="s">
        <v>32654</v>
      </c>
      <c r="K914" s="36" t="s">
        <v>14330</v>
      </c>
      <c r="L914" s="36" t="s">
        <v>14330</v>
      </c>
      <c r="M914">
        <v>1</v>
      </c>
      <c r="N914" t="s">
        <v>14331</v>
      </c>
      <c r="O914" t="s">
        <v>32633</v>
      </c>
    </row>
    <row r="915" spans="1:15" x14ac:dyDescent="0.25">
      <c r="A915" s="35" t="s">
        <v>4688</v>
      </c>
      <c r="B915" s="36" t="s">
        <v>4689</v>
      </c>
      <c r="C915" s="36" t="str">
        <f>HYPERLINK("https://rhld.insurance.arkansas.gov/NPILookup?Npi=1265437222","1265437222")</f>
        <v>1265437222</v>
      </c>
      <c r="D915" s="36" t="s">
        <v>33566</v>
      </c>
      <c r="E915" s="36" t="s">
        <v>1</v>
      </c>
      <c r="F915" s="36">
        <v>1</v>
      </c>
      <c r="G915" s="36">
        <v>2</v>
      </c>
      <c r="H915" s="36">
        <v>1</v>
      </c>
      <c r="I915" s="37">
        <v>0</v>
      </c>
      <c r="J915" s="36" t="s">
        <v>32654</v>
      </c>
      <c r="K915" s="36" t="s">
        <v>14330</v>
      </c>
      <c r="L915" s="36" t="s">
        <v>33547</v>
      </c>
      <c r="M915">
        <v>3</v>
      </c>
      <c r="N915" t="s">
        <v>14332</v>
      </c>
      <c r="O915" t="s">
        <v>32591</v>
      </c>
    </row>
    <row r="916" spans="1:15" x14ac:dyDescent="0.25">
      <c r="A916" s="35" t="s">
        <v>4688</v>
      </c>
      <c r="B916" s="36" t="s">
        <v>4689</v>
      </c>
      <c r="C916" s="36" t="str">
        <f>HYPERLINK("https://rhld.insurance.arkansas.gov/NPILookup?Npi=1265690580","1265690580")</f>
        <v>1265690580</v>
      </c>
      <c r="D916" s="36" t="s">
        <v>33567</v>
      </c>
      <c r="E916" s="36" t="s">
        <v>1</v>
      </c>
      <c r="F916" s="36">
        <v>1</v>
      </c>
      <c r="G916" s="36">
        <v>3</v>
      </c>
      <c r="H916" s="36">
        <v>0</v>
      </c>
      <c r="I916" s="37">
        <v>0</v>
      </c>
      <c r="J916" s="36" t="s">
        <v>32654</v>
      </c>
      <c r="K916" s="36" t="s">
        <v>14330</v>
      </c>
      <c r="L916" s="36" t="s">
        <v>14330</v>
      </c>
      <c r="M916">
        <v>2</v>
      </c>
      <c r="N916" t="s">
        <v>14331</v>
      </c>
      <c r="O916" t="s">
        <v>32633</v>
      </c>
    </row>
    <row r="917" spans="1:15" x14ac:dyDescent="0.25">
      <c r="A917" s="35" t="s">
        <v>4688</v>
      </c>
      <c r="B917" s="36" t="s">
        <v>4689</v>
      </c>
      <c r="C917" s="36" t="str">
        <f>HYPERLINK("https://rhld.insurance.arkansas.gov/NPILookup?Npi=1275206435","1275206435")</f>
        <v>1275206435</v>
      </c>
      <c r="D917" s="36" t="s">
        <v>33568</v>
      </c>
      <c r="E917" s="36" t="s">
        <v>2</v>
      </c>
      <c r="F917" s="36">
        <v>2</v>
      </c>
      <c r="G917" s="36">
        <v>2</v>
      </c>
      <c r="H917" s="36">
        <v>0</v>
      </c>
      <c r="I917" s="37">
        <v>0</v>
      </c>
      <c r="J917" s="36" t="s">
        <v>33004</v>
      </c>
      <c r="K917" s="36" t="s">
        <v>14330</v>
      </c>
      <c r="L917" s="36" t="s">
        <v>14330</v>
      </c>
      <c r="M917">
        <v>2</v>
      </c>
      <c r="N917" t="s">
        <v>14331</v>
      </c>
      <c r="O917" t="s">
        <v>14333</v>
      </c>
    </row>
    <row r="918" spans="1:15" x14ac:dyDescent="0.25">
      <c r="A918" s="35" t="s">
        <v>4688</v>
      </c>
      <c r="B918" s="36" t="s">
        <v>4689</v>
      </c>
      <c r="C918" s="36" t="str">
        <f>HYPERLINK("https://rhld.insurance.arkansas.gov/NPILookup?Npi=1275508897","1275508897")</f>
        <v>1275508897</v>
      </c>
      <c r="D918" s="36" t="s">
        <v>33569</v>
      </c>
      <c r="E918" s="36" t="s">
        <v>1</v>
      </c>
      <c r="F918" s="36">
        <v>1</v>
      </c>
      <c r="G918" s="36">
        <v>2</v>
      </c>
      <c r="H918" s="36">
        <v>0</v>
      </c>
      <c r="I918" s="37">
        <v>0</v>
      </c>
      <c r="J918" s="36" t="s">
        <v>32654</v>
      </c>
      <c r="K918" s="36" t="s">
        <v>14330</v>
      </c>
      <c r="L918" s="36" t="s">
        <v>14330</v>
      </c>
      <c r="M918">
        <v>2</v>
      </c>
      <c r="N918" t="s">
        <v>14331</v>
      </c>
      <c r="O918" t="s">
        <v>32633</v>
      </c>
    </row>
    <row r="919" spans="1:15" x14ac:dyDescent="0.25">
      <c r="A919" s="35" t="s">
        <v>4688</v>
      </c>
      <c r="B919" s="36" t="s">
        <v>4689</v>
      </c>
      <c r="C919" s="36" t="str">
        <f>HYPERLINK("https://rhld.insurance.arkansas.gov/NPILookup?Npi=1275542581","1275542581")</f>
        <v>1275542581</v>
      </c>
      <c r="D919" s="36" t="s">
        <v>33570</v>
      </c>
      <c r="E919" s="36" t="s">
        <v>1</v>
      </c>
      <c r="F919" s="36">
        <v>1</v>
      </c>
      <c r="G919" s="36">
        <v>2</v>
      </c>
      <c r="H919" s="36">
        <v>0</v>
      </c>
      <c r="I919" s="37">
        <v>0</v>
      </c>
      <c r="J919" s="36" t="s">
        <v>32654</v>
      </c>
      <c r="K919" s="36" t="s">
        <v>14330</v>
      </c>
      <c r="L919" s="36" t="s">
        <v>14330</v>
      </c>
      <c r="M919">
        <v>2</v>
      </c>
      <c r="N919" t="s">
        <v>14331</v>
      </c>
      <c r="O919" t="s">
        <v>32633</v>
      </c>
    </row>
    <row r="920" spans="1:15" x14ac:dyDescent="0.25">
      <c r="A920" s="35" t="s">
        <v>4688</v>
      </c>
      <c r="B920" s="36" t="s">
        <v>4689</v>
      </c>
      <c r="C920" s="36" t="str">
        <f>HYPERLINK("https://rhld.insurance.arkansas.gov/NPILookup?Npi=1275586570","1275586570")</f>
        <v>1275586570</v>
      </c>
      <c r="D920" s="36" t="s">
        <v>33571</v>
      </c>
      <c r="E920" s="36" t="s">
        <v>2</v>
      </c>
      <c r="F920" s="36">
        <v>1</v>
      </c>
      <c r="G920" s="36">
        <v>2</v>
      </c>
      <c r="H920" s="36">
        <v>0</v>
      </c>
      <c r="I920" s="37">
        <v>0</v>
      </c>
      <c r="J920" s="36" t="s">
        <v>32679</v>
      </c>
      <c r="K920" s="36" t="s">
        <v>14330</v>
      </c>
      <c r="L920" s="36" t="s">
        <v>14330</v>
      </c>
      <c r="M920">
        <v>1</v>
      </c>
      <c r="N920" t="s">
        <v>14331</v>
      </c>
      <c r="O920" t="s">
        <v>14333</v>
      </c>
    </row>
    <row r="921" spans="1:15" x14ac:dyDescent="0.25">
      <c r="A921" s="35" t="s">
        <v>4688</v>
      </c>
      <c r="B921" s="36" t="s">
        <v>4689</v>
      </c>
      <c r="C921" s="36" t="str">
        <f>HYPERLINK("https://rhld.insurance.arkansas.gov/NPILookup?Npi=1295702934","1295702934")</f>
        <v>1295702934</v>
      </c>
      <c r="D921" s="36" t="s">
        <v>33572</v>
      </c>
      <c r="E921" s="36" t="s">
        <v>1</v>
      </c>
      <c r="F921" s="36">
        <v>1</v>
      </c>
      <c r="G921" s="36">
        <v>1</v>
      </c>
      <c r="H921" s="36">
        <v>0</v>
      </c>
      <c r="I921" s="37">
        <v>0</v>
      </c>
      <c r="J921" s="36" t="s">
        <v>32723</v>
      </c>
      <c r="K921" s="36" t="s">
        <v>14330</v>
      </c>
      <c r="L921" s="36" t="s">
        <v>14330</v>
      </c>
      <c r="M921">
        <v>2</v>
      </c>
      <c r="N921" t="s">
        <v>14331</v>
      </c>
      <c r="O921" t="s">
        <v>32724</v>
      </c>
    </row>
    <row r="922" spans="1:15" x14ac:dyDescent="0.25">
      <c r="A922" s="35" t="s">
        <v>4688</v>
      </c>
      <c r="B922" s="36" t="s">
        <v>4689</v>
      </c>
      <c r="C922" s="36" t="str">
        <f>HYPERLINK("https://rhld.insurance.arkansas.gov/NPILookup?Npi=1295840510","1295840510")</f>
        <v>1295840510</v>
      </c>
      <c r="D922" s="36" t="s">
        <v>33573</v>
      </c>
      <c r="E922" s="36" t="s">
        <v>1</v>
      </c>
      <c r="F922" s="36">
        <v>1</v>
      </c>
      <c r="G922" s="36">
        <v>2</v>
      </c>
      <c r="H922" s="36">
        <v>0</v>
      </c>
      <c r="I922" s="37">
        <v>0</v>
      </c>
      <c r="J922" s="36" t="s">
        <v>32654</v>
      </c>
      <c r="K922" s="36" t="s">
        <v>14330</v>
      </c>
      <c r="L922" s="36" t="s">
        <v>14330</v>
      </c>
      <c r="M922">
        <v>2</v>
      </c>
      <c r="N922" t="s">
        <v>14331</v>
      </c>
      <c r="O922" t="s">
        <v>32633</v>
      </c>
    </row>
    <row r="923" spans="1:15" x14ac:dyDescent="0.25">
      <c r="A923" s="35" t="s">
        <v>4688</v>
      </c>
      <c r="B923" s="36" t="s">
        <v>4689</v>
      </c>
      <c r="C923" s="36" t="str">
        <f>HYPERLINK("https://rhld.insurance.arkansas.gov/NPILookup?Npi=1306005905","1306005905")</f>
        <v>1306005905</v>
      </c>
      <c r="D923" s="36" t="s">
        <v>33574</v>
      </c>
      <c r="E923" s="36" t="s">
        <v>2</v>
      </c>
      <c r="F923" s="36">
        <v>1</v>
      </c>
      <c r="G923" s="36">
        <v>2</v>
      </c>
      <c r="H923" s="36">
        <v>0</v>
      </c>
      <c r="I923" s="37">
        <v>0</v>
      </c>
      <c r="J923" s="36" t="s">
        <v>32679</v>
      </c>
      <c r="K923" s="36" t="s">
        <v>14330</v>
      </c>
      <c r="L923" s="36" t="s">
        <v>14330</v>
      </c>
      <c r="M923">
        <v>1</v>
      </c>
      <c r="N923" t="s">
        <v>14331</v>
      </c>
      <c r="O923" t="s">
        <v>14333</v>
      </c>
    </row>
    <row r="924" spans="1:15" x14ac:dyDescent="0.25">
      <c r="A924" s="35" t="s">
        <v>4688</v>
      </c>
      <c r="B924" s="36" t="s">
        <v>4689</v>
      </c>
      <c r="C924" s="36" t="str">
        <f>HYPERLINK("https://rhld.insurance.arkansas.gov/NPILookup?Npi=1306937271","1306937271")</f>
        <v>1306937271</v>
      </c>
      <c r="D924" s="36" t="s">
        <v>33575</v>
      </c>
      <c r="E924" s="36" t="s">
        <v>1</v>
      </c>
      <c r="F924" s="36">
        <v>1</v>
      </c>
      <c r="G924" s="36">
        <v>1</v>
      </c>
      <c r="H924" s="36">
        <v>0</v>
      </c>
      <c r="I924" s="37">
        <v>0</v>
      </c>
      <c r="J924" s="36" t="s">
        <v>32723</v>
      </c>
      <c r="K924" s="36" t="s">
        <v>14330</v>
      </c>
      <c r="L924" s="36" t="s">
        <v>14330</v>
      </c>
      <c r="M924">
        <v>3</v>
      </c>
      <c r="N924" t="s">
        <v>14331</v>
      </c>
      <c r="O924" t="s">
        <v>32724</v>
      </c>
    </row>
    <row r="925" spans="1:15" x14ac:dyDescent="0.25">
      <c r="A925" s="35" t="s">
        <v>4688</v>
      </c>
      <c r="B925" s="36" t="s">
        <v>4689</v>
      </c>
      <c r="C925" s="36" t="str">
        <f>HYPERLINK("https://rhld.insurance.arkansas.gov/NPILookup?Npi=1316263866","1316263866")</f>
        <v>1316263866</v>
      </c>
      <c r="D925" s="36" t="s">
        <v>33576</v>
      </c>
      <c r="E925" s="36" t="s">
        <v>1</v>
      </c>
      <c r="F925" s="36">
        <v>1</v>
      </c>
      <c r="G925" s="36">
        <v>3</v>
      </c>
      <c r="H925" s="36">
        <v>0</v>
      </c>
      <c r="I925" s="37">
        <v>0</v>
      </c>
      <c r="J925" s="36" t="s">
        <v>32654</v>
      </c>
      <c r="K925" s="36" t="s">
        <v>14330</v>
      </c>
      <c r="L925" s="36" t="s">
        <v>14330</v>
      </c>
      <c r="M925">
        <v>2</v>
      </c>
      <c r="N925" t="s">
        <v>14331</v>
      </c>
      <c r="O925" t="s">
        <v>32633</v>
      </c>
    </row>
    <row r="926" spans="1:15" x14ac:dyDescent="0.25">
      <c r="A926" s="35" t="s">
        <v>4688</v>
      </c>
      <c r="B926" s="36" t="s">
        <v>4689</v>
      </c>
      <c r="C926" s="36" t="str">
        <f>HYPERLINK("https://rhld.insurance.arkansas.gov/NPILookup?Npi=1316280563","1316280563")</f>
        <v>1316280563</v>
      </c>
      <c r="D926" s="36" t="s">
        <v>33577</v>
      </c>
      <c r="E926" s="36" t="s">
        <v>1</v>
      </c>
      <c r="F926" s="36">
        <v>1</v>
      </c>
      <c r="G926" s="36">
        <v>2</v>
      </c>
      <c r="H926" s="36">
        <v>0</v>
      </c>
      <c r="I926" s="37">
        <v>0</v>
      </c>
      <c r="J926" s="36" t="s">
        <v>32654</v>
      </c>
      <c r="K926" s="36" t="s">
        <v>14330</v>
      </c>
      <c r="L926" s="36" t="s">
        <v>14330</v>
      </c>
      <c r="M926">
        <v>2</v>
      </c>
      <c r="N926" t="s">
        <v>14331</v>
      </c>
      <c r="O926" t="s">
        <v>32633</v>
      </c>
    </row>
    <row r="927" spans="1:15" x14ac:dyDescent="0.25">
      <c r="A927" s="35" t="s">
        <v>4688</v>
      </c>
      <c r="B927" s="36" t="s">
        <v>4689</v>
      </c>
      <c r="C927" s="36" t="str">
        <f>HYPERLINK("https://rhld.insurance.arkansas.gov/NPILookup?Npi=1336313170","1336313170")</f>
        <v>1336313170</v>
      </c>
      <c r="D927" s="36" t="s">
        <v>33578</v>
      </c>
      <c r="E927" s="36" t="s">
        <v>1</v>
      </c>
      <c r="F927" s="36">
        <v>1</v>
      </c>
      <c r="G927" s="36">
        <v>2</v>
      </c>
      <c r="H927" s="36">
        <v>0</v>
      </c>
      <c r="I927" s="37">
        <v>0</v>
      </c>
      <c r="J927" s="36" t="s">
        <v>32654</v>
      </c>
      <c r="K927" s="36" t="s">
        <v>14330</v>
      </c>
      <c r="L927" s="36" t="s">
        <v>14330</v>
      </c>
      <c r="M927">
        <v>3</v>
      </c>
      <c r="N927" t="s">
        <v>14331</v>
      </c>
      <c r="O927" t="s">
        <v>32633</v>
      </c>
    </row>
    <row r="928" spans="1:15" x14ac:dyDescent="0.25">
      <c r="A928" s="35" t="s">
        <v>4688</v>
      </c>
      <c r="B928" s="36" t="s">
        <v>4689</v>
      </c>
      <c r="C928" s="36" t="str">
        <f>HYPERLINK("https://rhld.insurance.arkansas.gov/NPILookup?Npi=1346311404","1346311404")</f>
        <v>1346311404</v>
      </c>
      <c r="D928" s="36" t="s">
        <v>32690</v>
      </c>
      <c r="E928" s="36" t="s">
        <v>1</v>
      </c>
      <c r="F928" s="36">
        <v>1</v>
      </c>
      <c r="G928" s="36">
        <v>3</v>
      </c>
      <c r="H928" s="36">
        <v>0</v>
      </c>
      <c r="I928" s="37">
        <v>0</v>
      </c>
      <c r="J928" s="36" t="s">
        <v>32654</v>
      </c>
      <c r="K928" s="36" t="s">
        <v>14330</v>
      </c>
      <c r="L928" s="36" t="s">
        <v>14330</v>
      </c>
      <c r="M928">
        <v>2</v>
      </c>
      <c r="N928" t="s">
        <v>14331</v>
      </c>
      <c r="O928" t="s">
        <v>32633</v>
      </c>
    </row>
    <row r="929" spans="1:15" x14ac:dyDescent="0.25">
      <c r="A929" s="35" t="s">
        <v>4688</v>
      </c>
      <c r="B929" s="36" t="s">
        <v>4689</v>
      </c>
      <c r="C929" s="36" t="str">
        <f>HYPERLINK("https://rhld.insurance.arkansas.gov/NPILookup?Npi=1346635117","1346635117")</f>
        <v>1346635117</v>
      </c>
      <c r="D929" s="36" t="s">
        <v>33579</v>
      </c>
      <c r="E929" s="36" t="s">
        <v>2</v>
      </c>
      <c r="F929" s="36">
        <v>1</v>
      </c>
      <c r="G929" s="36">
        <v>2</v>
      </c>
      <c r="H929" s="36">
        <v>0</v>
      </c>
      <c r="I929" s="37">
        <v>0</v>
      </c>
      <c r="J929" s="36"/>
      <c r="K929" s="36" t="s">
        <v>14330</v>
      </c>
      <c r="L929" s="36" t="s">
        <v>14330</v>
      </c>
      <c r="M929">
        <v>2</v>
      </c>
      <c r="N929" t="s">
        <v>14331</v>
      </c>
      <c r="O929" t="s">
        <v>14333</v>
      </c>
    </row>
    <row r="930" spans="1:15" x14ac:dyDescent="0.25">
      <c r="A930" s="35" t="s">
        <v>4688</v>
      </c>
      <c r="B930" s="36" t="s">
        <v>4689</v>
      </c>
      <c r="C930" s="36" t="str">
        <f>HYPERLINK("https://rhld.insurance.arkansas.gov/NPILookup?Npi=1366470544","1366470544")</f>
        <v>1366470544</v>
      </c>
      <c r="D930" s="36" t="s">
        <v>33580</v>
      </c>
      <c r="E930" s="36" t="s">
        <v>1</v>
      </c>
      <c r="F930" s="36">
        <v>1</v>
      </c>
      <c r="G930" s="36">
        <v>2</v>
      </c>
      <c r="H930" s="36">
        <v>0</v>
      </c>
      <c r="I930" s="37">
        <v>0</v>
      </c>
      <c r="J930" s="36" t="s">
        <v>32654</v>
      </c>
      <c r="K930" s="36" t="s">
        <v>14330</v>
      </c>
      <c r="L930" s="36" t="s">
        <v>14330</v>
      </c>
      <c r="M930">
        <v>2</v>
      </c>
      <c r="N930" t="s">
        <v>14331</v>
      </c>
      <c r="O930" t="s">
        <v>32633</v>
      </c>
    </row>
    <row r="931" spans="1:15" x14ac:dyDescent="0.25">
      <c r="A931" s="35" t="s">
        <v>4688</v>
      </c>
      <c r="B931" s="36" t="s">
        <v>4689</v>
      </c>
      <c r="C931" s="36" t="str">
        <f>HYPERLINK("https://rhld.insurance.arkansas.gov/NPILookup?Npi=1386872695","1386872695")</f>
        <v>1386872695</v>
      </c>
      <c r="D931" s="36" t="s">
        <v>33581</v>
      </c>
      <c r="E931" s="36" t="s">
        <v>1</v>
      </c>
      <c r="F931" s="36">
        <v>1</v>
      </c>
      <c r="G931" s="36">
        <v>2</v>
      </c>
      <c r="H931" s="36">
        <v>0</v>
      </c>
      <c r="I931" s="37">
        <v>0</v>
      </c>
      <c r="J931" s="36" t="s">
        <v>32654</v>
      </c>
      <c r="K931" s="36" t="s">
        <v>14330</v>
      </c>
      <c r="L931" s="36" t="s">
        <v>14330</v>
      </c>
      <c r="M931">
        <v>2</v>
      </c>
      <c r="N931" t="s">
        <v>14331</v>
      </c>
      <c r="O931" t="s">
        <v>32633</v>
      </c>
    </row>
    <row r="932" spans="1:15" x14ac:dyDescent="0.25">
      <c r="A932" s="35" t="s">
        <v>4688</v>
      </c>
      <c r="B932" s="36" t="s">
        <v>4689</v>
      </c>
      <c r="C932" s="36" t="str">
        <f>HYPERLINK("https://rhld.insurance.arkansas.gov/NPILookup?Npi=1396722765","1396722765")</f>
        <v>1396722765</v>
      </c>
      <c r="D932" s="36" t="s">
        <v>33582</v>
      </c>
      <c r="E932" s="36" t="s">
        <v>1</v>
      </c>
      <c r="F932" s="36">
        <v>1</v>
      </c>
      <c r="G932" s="36">
        <v>2</v>
      </c>
      <c r="H932" s="36">
        <v>0</v>
      </c>
      <c r="I932" s="37">
        <v>0</v>
      </c>
      <c r="J932" s="36" t="s">
        <v>32654</v>
      </c>
      <c r="K932" s="36" t="s">
        <v>14330</v>
      </c>
      <c r="L932" s="36" t="s">
        <v>14330</v>
      </c>
      <c r="M932">
        <v>2</v>
      </c>
      <c r="N932" t="s">
        <v>14331</v>
      </c>
      <c r="O932" t="s">
        <v>32633</v>
      </c>
    </row>
    <row r="933" spans="1:15" x14ac:dyDescent="0.25">
      <c r="A933" s="35" t="s">
        <v>4688</v>
      </c>
      <c r="B933" s="36" t="s">
        <v>4689</v>
      </c>
      <c r="C933" s="36" t="str">
        <f>HYPERLINK("https://rhld.insurance.arkansas.gov/NPILookup?Npi=1396963658","1396963658")</f>
        <v>1396963658</v>
      </c>
      <c r="D933" s="36" t="s">
        <v>33583</v>
      </c>
      <c r="E933" s="36" t="s">
        <v>1</v>
      </c>
      <c r="F933" s="36">
        <v>1</v>
      </c>
      <c r="G933" s="36">
        <v>2</v>
      </c>
      <c r="H933" s="36">
        <v>0</v>
      </c>
      <c r="I933" s="37">
        <v>0</v>
      </c>
      <c r="J933" s="36" t="s">
        <v>32654</v>
      </c>
      <c r="K933" s="36" t="s">
        <v>14330</v>
      </c>
      <c r="L933" s="36" t="s">
        <v>14330</v>
      </c>
      <c r="M933">
        <v>0</v>
      </c>
      <c r="N933" t="s">
        <v>14331</v>
      </c>
      <c r="O933" t="s">
        <v>32633</v>
      </c>
    </row>
    <row r="934" spans="1:15" x14ac:dyDescent="0.25">
      <c r="A934" s="35" t="s">
        <v>4688</v>
      </c>
      <c r="B934" s="36" t="s">
        <v>4689</v>
      </c>
      <c r="C934" s="36" t="str">
        <f>HYPERLINK("https://rhld.insurance.arkansas.gov/NPILookup?Npi=1407141914","1407141914")</f>
        <v>1407141914</v>
      </c>
      <c r="D934" s="36" t="s">
        <v>33584</v>
      </c>
      <c r="E934" s="36" t="s">
        <v>2</v>
      </c>
      <c r="F934" s="36">
        <v>1</v>
      </c>
      <c r="G934" s="36">
        <v>1</v>
      </c>
      <c r="H934" s="36">
        <v>1</v>
      </c>
      <c r="I934" s="37">
        <v>0</v>
      </c>
      <c r="J934" s="36" t="s">
        <v>32679</v>
      </c>
      <c r="K934" s="36" t="s">
        <v>14330</v>
      </c>
      <c r="L934" s="36" t="s">
        <v>33585</v>
      </c>
      <c r="M934">
        <v>3</v>
      </c>
      <c r="N934" t="s">
        <v>14332</v>
      </c>
      <c r="O934" t="s">
        <v>32591</v>
      </c>
    </row>
    <row r="935" spans="1:15" x14ac:dyDescent="0.25">
      <c r="A935" s="35" t="s">
        <v>4688</v>
      </c>
      <c r="B935" s="36" t="s">
        <v>4689</v>
      </c>
      <c r="C935" s="36" t="str">
        <f>HYPERLINK("https://rhld.insurance.arkansas.gov/NPILookup?Npi=1407812126","1407812126")</f>
        <v>1407812126</v>
      </c>
      <c r="D935" s="36" t="s">
        <v>33586</v>
      </c>
      <c r="E935" s="36" t="s">
        <v>1</v>
      </c>
      <c r="F935" s="36">
        <v>1</v>
      </c>
      <c r="G935" s="36">
        <v>3</v>
      </c>
      <c r="H935" s="36">
        <v>0</v>
      </c>
      <c r="I935" s="37">
        <v>0</v>
      </c>
      <c r="J935" s="36" t="s">
        <v>32654</v>
      </c>
      <c r="K935" s="36" t="s">
        <v>14330</v>
      </c>
      <c r="L935" s="36" t="s">
        <v>14330</v>
      </c>
      <c r="M935">
        <v>2</v>
      </c>
      <c r="N935" t="s">
        <v>14331</v>
      </c>
      <c r="O935" t="s">
        <v>32633</v>
      </c>
    </row>
    <row r="936" spans="1:15" x14ac:dyDescent="0.25">
      <c r="A936" s="35" t="s">
        <v>4688</v>
      </c>
      <c r="B936" s="36" t="s">
        <v>4689</v>
      </c>
      <c r="C936" s="36" t="str">
        <f>HYPERLINK("https://rhld.insurance.arkansas.gov/NPILookup?Npi=1417453234","1417453234")</f>
        <v>1417453234</v>
      </c>
      <c r="D936" s="36" t="s">
        <v>33587</v>
      </c>
      <c r="E936" s="36" t="s">
        <v>1</v>
      </c>
      <c r="F936" s="36">
        <v>1</v>
      </c>
      <c r="G936" s="36">
        <v>2</v>
      </c>
      <c r="H936" s="36">
        <v>0</v>
      </c>
      <c r="I936" s="37">
        <v>0</v>
      </c>
      <c r="J936" s="36" t="s">
        <v>32654</v>
      </c>
      <c r="K936" s="36" t="s">
        <v>14330</v>
      </c>
      <c r="L936" s="36" t="s">
        <v>14330</v>
      </c>
      <c r="M936">
        <v>2</v>
      </c>
      <c r="N936" t="s">
        <v>14331</v>
      </c>
      <c r="O936" t="s">
        <v>32633</v>
      </c>
    </row>
    <row r="937" spans="1:15" x14ac:dyDescent="0.25">
      <c r="A937" s="35" t="s">
        <v>4688</v>
      </c>
      <c r="B937" s="36" t="s">
        <v>4689</v>
      </c>
      <c r="C937" s="36" t="str">
        <f>HYPERLINK("https://rhld.insurance.arkansas.gov/NPILookup?Npi=1447220264","1447220264")</f>
        <v>1447220264</v>
      </c>
      <c r="D937" s="36" t="s">
        <v>33588</v>
      </c>
      <c r="E937" s="36" t="s">
        <v>1</v>
      </c>
      <c r="F937" s="36">
        <v>1</v>
      </c>
      <c r="G937" s="36">
        <v>2</v>
      </c>
      <c r="H937" s="36">
        <v>0</v>
      </c>
      <c r="I937" s="37">
        <v>0</v>
      </c>
      <c r="J937" s="36" t="s">
        <v>32654</v>
      </c>
      <c r="K937" s="36" t="s">
        <v>14330</v>
      </c>
      <c r="L937" s="36" t="s">
        <v>14330</v>
      </c>
      <c r="M937">
        <v>3</v>
      </c>
      <c r="N937" t="s">
        <v>14331</v>
      </c>
      <c r="O937" t="s">
        <v>32633</v>
      </c>
    </row>
    <row r="938" spans="1:15" x14ac:dyDescent="0.25">
      <c r="A938" s="35" t="s">
        <v>4688</v>
      </c>
      <c r="B938" s="36" t="s">
        <v>4689</v>
      </c>
      <c r="C938" s="36" t="str">
        <f>HYPERLINK("https://rhld.insurance.arkansas.gov/NPILookup?Npi=1447239702","1447239702")</f>
        <v>1447239702</v>
      </c>
      <c r="D938" s="36" t="s">
        <v>33589</v>
      </c>
      <c r="E938" s="36" t="s">
        <v>1</v>
      </c>
      <c r="F938" s="36">
        <v>1</v>
      </c>
      <c r="G938" s="36">
        <v>3</v>
      </c>
      <c r="H938" s="36">
        <v>0</v>
      </c>
      <c r="I938" s="37">
        <v>0</v>
      </c>
      <c r="J938" s="36" t="s">
        <v>32654</v>
      </c>
      <c r="K938" s="36" t="s">
        <v>14330</v>
      </c>
      <c r="L938" s="36" t="s">
        <v>14330</v>
      </c>
      <c r="M938">
        <v>2</v>
      </c>
      <c r="N938" t="s">
        <v>14331</v>
      </c>
      <c r="O938" t="s">
        <v>32633</v>
      </c>
    </row>
    <row r="939" spans="1:15" x14ac:dyDescent="0.25">
      <c r="A939" s="35" t="s">
        <v>4688</v>
      </c>
      <c r="B939" s="36" t="s">
        <v>4689</v>
      </c>
      <c r="C939" s="36" t="str">
        <f>HYPERLINK("https://rhld.insurance.arkansas.gov/NPILookup?Npi=1447255229","1447255229")</f>
        <v>1447255229</v>
      </c>
      <c r="D939" s="36" t="s">
        <v>33590</v>
      </c>
      <c r="E939" s="36" t="s">
        <v>1</v>
      </c>
      <c r="F939" s="36">
        <v>1</v>
      </c>
      <c r="G939" s="36">
        <v>2</v>
      </c>
      <c r="H939" s="36">
        <v>0</v>
      </c>
      <c r="I939" s="37">
        <v>0</v>
      </c>
      <c r="J939" s="36" t="s">
        <v>32654</v>
      </c>
      <c r="K939" s="36" t="s">
        <v>14330</v>
      </c>
      <c r="L939" s="36" t="s">
        <v>14330</v>
      </c>
      <c r="M939">
        <v>3</v>
      </c>
      <c r="N939" t="s">
        <v>14331</v>
      </c>
      <c r="O939" t="s">
        <v>32633</v>
      </c>
    </row>
    <row r="940" spans="1:15" x14ac:dyDescent="0.25">
      <c r="A940" s="35" t="s">
        <v>4688</v>
      </c>
      <c r="B940" s="36" t="s">
        <v>4689</v>
      </c>
      <c r="C940" s="36" t="str">
        <f>HYPERLINK("https://rhld.insurance.arkansas.gov/NPILookup?Npi=1467891705","1467891705")</f>
        <v>1467891705</v>
      </c>
      <c r="D940" s="36" t="s">
        <v>33591</v>
      </c>
      <c r="E940" s="36" t="s">
        <v>1</v>
      </c>
      <c r="F940" s="36">
        <v>1</v>
      </c>
      <c r="G940" s="36">
        <v>3</v>
      </c>
      <c r="H940" s="36">
        <v>0</v>
      </c>
      <c r="I940" s="37">
        <v>0</v>
      </c>
      <c r="J940" s="36" t="s">
        <v>32654</v>
      </c>
      <c r="K940" s="36" t="s">
        <v>14330</v>
      </c>
      <c r="L940" s="36" t="s">
        <v>14330</v>
      </c>
      <c r="M940">
        <v>2</v>
      </c>
      <c r="N940" t="s">
        <v>14331</v>
      </c>
      <c r="O940" t="s">
        <v>32633</v>
      </c>
    </row>
    <row r="941" spans="1:15" x14ac:dyDescent="0.25">
      <c r="A941" s="35" t="s">
        <v>4688</v>
      </c>
      <c r="B941" s="36" t="s">
        <v>4689</v>
      </c>
      <c r="C941" s="36" t="str">
        <f>HYPERLINK("https://rhld.insurance.arkansas.gov/NPILookup?Npi=1477513778","1477513778")</f>
        <v>1477513778</v>
      </c>
      <c r="D941" s="36" t="s">
        <v>33592</v>
      </c>
      <c r="E941" s="36" t="s">
        <v>1</v>
      </c>
      <c r="F941" s="36">
        <v>1</v>
      </c>
      <c r="G941" s="36">
        <v>2</v>
      </c>
      <c r="H941" s="36">
        <v>0</v>
      </c>
      <c r="I941" s="37">
        <v>0</v>
      </c>
      <c r="J941" s="36" t="s">
        <v>32654</v>
      </c>
      <c r="K941" s="36" t="s">
        <v>14330</v>
      </c>
      <c r="L941" s="36" t="s">
        <v>14330</v>
      </c>
      <c r="M941">
        <v>2</v>
      </c>
      <c r="N941" t="s">
        <v>14331</v>
      </c>
      <c r="O941" t="s">
        <v>32633</v>
      </c>
    </row>
    <row r="942" spans="1:15" x14ac:dyDescent="0.25">
      <c r="A942" s="35" t="s">
        <v>4688</v>
      </c>
      <c r="B942" s="36" t="s">
        <v>4689</v>
      </c>
      <c r="C942" s="36" t="str">
        <f>HYPERLINK("https://rhld.insurance.arkansas.gov/NPILookup?Npi=1477558955","1477558955")</f>
        <v>1477558955</v>
      </c>
      <c r="D942" s="36" t="s">
        <v>32698</v>
      </c>
      <c r="E942" s="36" t="s">
        <v>1</v>
      </c>
      <c r="F942" s="36">
        <v>1</v>
      </c>
      <c r="G942" s="36">
        <v>2</v>
      </c>
      <c r="H942" s="36">
        <v>0</v>
      </c>
      <c r="I942" s="37">
        <v>0</v>
      </c>
      <c r="J942" s="36" t="s">
        <v>32654</v>
      </c>
      <c r="K942" s="36" t="s">
        <v>14330</v>
      </c>
      <c r="L942" s="36" t="s">
        <v>14330</v>
      </c>
      <c r="M942">
        <v>3</v>
      </c>
      <c r="N942" t="s">
        <v>14331</v>
      </c>
      <c r="O942" t="s">
        <v>32633</v>
      </c>
    </row>
    <row r="943" spans="1:15" x14ac:dyDescent="0.25">
      <c r="A943" s="35" t="s">
        <v>4688</v>
      </c>
      <c r="B943" s="36" t="s">
        <v>4689</v>
      </c>
      <c r="C943" s="36" t="str">
        <f>HYPERLINK("https://rhld.insurance.arkansas.gov/NPILookup?Npi=1487690186","1487690186")</f>
        <v>1487690186</v>
      </c>
      <c r="D943" s="36" t="s">
        <v>32699</v>
      </c>
      <c r="E943" s="36" t="s">
        <v>1</v>
      </c>
      <c r="F943" s="36">
        <v>1</v>
      </c>
      <c r="G943" s="36">
        <v>3</v>
      </c>
      <c r="H943" s="36">
        <v>0</v>
      </c>
      <c r="I943" s="37">
        <v>0</v>
      </c>
      <c r="J943" s="36" t="s">
        <v>32654</v>
      </c>
      <c r="K943" s="36" t="s">
        <v>14330</v>
      </c>
      <c r="L943" s="36" t="s">
        <v>14330</v>
      </c>
      <c r="M943">
        <v>3</v>
      </c>
      <c r="N943" t="s">
        <v>14331</v>
      </c>
      <c r="O943" t="s">
        <v>32633</v>
      </c>
    </row>
    <row r="944" spans="1:15" x14ac:dyDescent="0.25">
      <c r="A944" s="35" t="s">
        <v>4688</v>
      </c>
      <c r="B944" s="36" t="s">
        <v>4689</v>
      </c>
      <c r="C944" s="36" t="str">
        <f>HYPERLINK("https://rhld.insurance.arkansas.gov/NPILookup?Npi=1487814273","1487814273")</f>
        <v>1487814273</v>
      </c>
      <c r="D944" s="36" t="s">
        <v>32700</v>
      </c>
      <c r="E944" s="36" t="s">
        <v>1</v>
      </c>
      <c r="F944" s="36">
        <v>1</v>
      </c>
      <c r="G944" s="36">
        <v>3</v>
      </c>
      <c r="H944" s="36">
        <v>0</v>
      </c>
      <c r="I944" s="37">
        <v>0</v>
      </c>
      <c r="J944" s="36" t="s">
        <v>32654</v>
      </c>
      <c r="K944" s="36" t="s">
        <v>14330</v>
      </c>
      <c r="L944" s="36" t="s">
        <v>14330</v>
      </c>
      <c r="M944">
        <v>2</v>
      </c>
      <c r="N944" t="s">
        <v>14331</v>
      </c>
      <c r="O944" t="s">
        <v>32633</v>
      </c>
    </row>
    <row r="945" spans="1:15" x14ac:dyDescent="0.25">
      <c r="A945" s="35" t="s">
        <v>4688</v>
      </c>
      <c r="B945" s="36" t="s">
        <v>4689</v>
      </c>
      <c r="C945" s="36" t="str">
        <f>HYPERLINK("https://rhld.insurance.arkansas.gov/NPILookup?Npi=1487848594","1487848594")</f>
        <v>1487848594</v>
      </c>
      <c r="D945" s="36" t="s">
        <v>33593</v>
      </c>
      <c r="E945" s="36" t="s">
        <v>2</v>
      </c>
      <c r="F945" s="36">
        <v>1</v>
      </c>
      <c r="G945" s="36">
        <v>2</v>
      </c>
      <c r="H945" s="36">
        <v>0</v>
      </c>
      <c r="I945" s="37">
        <v>0</v>
      </c>
      <c r="J945" s="36" t="s">
        <v>32679</v>
      </c>
      <c r="K945" s="36" t="s">
        <v>14330</v>
      </c>
      <c r="L945" s="36" t="s">
        <v>14330</v>
      </c>
      <c r="M945">
        <v>3</v>
      </c>
      <c r="N945" t="s">
        <v>14331</v>
      </c>
      <c r="O945" t="s">
        <v>14333</v>
      </c>
    </row>
    <row r="946" spans="1:15" x14ac:dyDescent="0.25">
      <c r="A946" s="35" t="s">
        <v>4688</v>
      </c>
      <c r="B946" s="36" t="s">
        <v>4689</v>
      </c>
      <c r="C946" s="36" t="str">
        <f>HYPERLINK("https://rhld.insurance.arkansas.gov/NPILookup?Npi=1497725493","1497725493")</f>
        <v>1497725493</v>
      </c>
      <c r="D946" s="36" t="s">
        <v>33594</v>
      </c>
      <c r="E946" s="36" t="s">
        <v>1</v>
      </c>
      <c r="F946" s="36">
        <v>1</v>
      </c>
      <c r="G946" s="36">
        <v>3</v>
      </c>
      <c r="H946" s="36">
        <v>0</v>
      </c>
      <c r="I946" s="37">
        <v>0</v>
      </c>
      <c r="J946" s="36" t="s">
        <v>32654</v>
      </c>
      <c r="K946" s="36" t="s">
        <v>14330</v>
      </c>
      <c r="L946" s="36" t="s">
        <v>14330</v>
      </c>
      <c r="M946">
        <v>3</v>
      </c>
      <c r="N946" t="s">
        <v>14331</v>
      </c>
      <c r="O946" t="s">
        <v>32633</v>
      </c>
    </row>
    <row r="947" spans="1:15" x14ac:dyDescent="0.25">
      <c r="A947" s="35" t="s">
        <v>4688</v>
      </c>
      <c r="B947" s="36" t="s">
        <v>4689</v>
      </c>
      <c r="C947" s="36" t="str">
        <f>HYPERLINK("https://rhld.insurance.arkansas.gov/NPILookup?Npi=1508956160","1508956160")</f>
        <v>1508956160</v>
      </c>
      <c r="D947" s="36" t="s">
        <v>32665</v>
      </c>
      <c r="E947" s="36" t="s">
        <v>1</v>
      </c>
      <c r="F947" s="36">
        <v>1</v>
      </c>
      <c r="G947" s="36">
        <v>3</v>
      </c>
      <c r="H947" s="36">
        <v>0</v>
      </c>
      <c r="I947" s="37">
        <v>0</v>
      </c>
      <c r="J947" s="36" t="s">
        <v>32654</v>
      </c>
      <c r="K947" s="36" t="s">
        <v>14330</v>
      </c>
      <c r="L947" s="36" t="s">
        <v>14330</v>
      </c>
      <c r="M947">
        <v>2</v>
      </c>
      <c r="N947" t="s">
        <v>14331</v>
      </c>
      <c r="O947" t="s">
        <v>32633</v>
      </c>
    </row>
    <row r="948" spans="1:15" x14ac:dyDescent="0.25">
      <c r="A948" s="35" t="s">
        <v>4688</v>
      </c>
      <c r="B948" s="36" t="s">
        <v>4689</v>
      </c>
      <c r="C948" s="36" t="str">
        <f>HYPERLINK("https://rhld.insurance.arkansas.gov/NPILookup?Npi=1518030535","1518030535")</f>
        <v>1518030535</v>
      </c>
      <c r="D948" s="36" t="s">
        <v>33595</v>
      </c>
      <c r="E948" s="36" t="s">
        <v>1</v>
      </c>
      <c r="F948" s="36">
        <v>1</v>
      </c>
      <c r="G948" s="36">
        <v>2</v>
      </c>
      <c r="H948" s="36">
        <v>0</v>
      </c>
      <c r="I948" s="37">
        <v>0</v>
      </c>
      <c r="J948" s="36" t="s">
        <v>32654</v>
      </c>
      <c r="K948" s="36" t="s">
        <v>14330</v>
      </c>
      <c r="L948" s="36" t="s">
        <v>14330</v>
      </c>
      <c r="M948">
        <v>2</v>
      </c>
      <c r="N948" t="s">
        <v>14331</v>
      </c>
      <c r="O948" t="s">
        <v>32633</v>
      </c>
    </row>
    <row r="949" spans="1:15" x14ac:dyDescent="0.25">
      <c r="A949" s="35" t="s">
        <v>4688</v>
      </c>
      <c r="B949" s="36" t="s">
        <v>4689</v>
      </c>
      <c r="C949" s="36" t="str">
        <f>HYPERLINK("https://rhld.insurance.arkansas.gov/NPILookup?Npi=1518920693","1518920693")</f>
        <v>1518920693</v>
      </c>
      <c r="D949" s="36" t="s">
        <v>33596</v>
      </c>
      <c r="E949" s="36" t="s">
        <v>2</v>
      </c>
      <c r="F949" s="36">
        <v>1</v>
      </c>
      <c r="G949" s="36">
        <v>2</v>
      </c>
      <c r="H949" s="36">
        <v>0</v>
      </c>
      <c r="I949" s="37">
        <v>0</v>
      </c>
      <c r="J949" s="36" t="s">
        <v>32679</v>
      </c>
      <c r="K949" s="36" t="s">
        <v>14330</v>
      </c>
      <c r="L949" s="36" t="s">
        <v>14330</v>
      </c>
      <c r="M949">
        <v>3</v>
      </c>
      <c r="N949" t="s">
        <v>14331</v>
      </c>
      <c r="O949" t="s">
        <v>14333</v>
      </c>
    </row>
    <row r="950" spans="1:15" x14ac:dyDescent="0.25">
      <c r="A950" s="35" t="s">
        <v>4688</v>
      </c>
      <c r="B950" s="36" t="s">
        <v>4689</v>
      </c>
      <c r="C950" s="36" t="str">
        <f>HYPERLINK("https://rhld.insurance.arkansas.gov/NPILookup?Npi=1528278322","1528278322")</f>
        <v>1528278322</v>
      </c>
      <c r="D950" s="36" t="s">
        <v>33597</v>
      </c>
      <c r="E950" s="36" t="s">
        <v>1</v>
      </c>
      <c r="F950" s="36">
        <v>1</v>
      </c>
      <c r="G950" s="36">
        <v>3</v>
      </c>
      <c r="H950" s="36">
        <v>0</v>
      </c>
      <c r="I950" s="37">
        <v>0</v>
      </c>
      <c r="J950" s="36" t="s">
        <v>32654</v>
      </c>
      <c r="K950" s="36" t="s">
        <v>14330</v>
      </c>
      <c r="L950" s="36" t="s">
        <v>14330</v>
      </c>
      <c r="M950">
        <v>3</v>
      </c>
      <c r="N950" t="s">
        <v>14331</v>
      </c>
      <c r="O950" t="s">
        <v>32633</v>
      </c>
    </row>
    <row r="951" spans="1:15" x14ac:dyDescent="0.25">
      <c r="A951" s="35" t="s">
        <v>4688</v>
      </c>
      <c r="B951" s="36" t="s">
        <v>4689</v>
      </c>
      <c r="C951" s="36" t="str">
        <f>HYPERLINK("https://rhld.insurance.arkansas.gov/NPILookup?Npi=1528289808","1528289808")</f>
        <v>1528289808</v>
      </c>
      <c r="D951" s="36" t="s">
        <v>32749</v>
      </c>
      <c r="E951" s="36" t="s">
        <v>1</v>
      </c>
      <c r="F951" s="36">
        <v>1</v>
      </c>
      <c r="G951" s="36">
        <v>3</v>
      </c>
      <c r="H951" s="36">
        <v>0</v>
      </c>
      <c r="I951" s="37">
        <v>0</v>
      </c>
      <c r="J951" s="36" t="s">
        <v>32654</v>
      </c>
      <c r="K951" s="36" t="s">
        <v>14330</v>
      </c>
      <c r="L951" s="36" t="s">
        <v>14330</v>
      </c>
      <c r="M951">
        <v>3</v>
      </c>
      <c r="N951" t="s">
        <v>14331</v>
      </c>
      <c r="O951" t="s">
        <v>32633</v>
      </c>
    </row>
    <row r="952" spans="1:15" x14ac:dyDescent="0.25">
      <c r="A952" s="35" t="s">
        <v>4688</v>
      </c>
      <c r="B952" s="36" t="s">
        <v>4689</v>
      </c>
      <c r="C952" s="36" t="str">
        <f>HYPERLINK("https://rhld.insurance.arkansas.gov/NPILookup?Npi=1538257894","1538257894")</f>
        <v>1538257894</v>
      </c>
      <c r="D952" s="36" t="s">
        <v>33598</v>
      </c>
      <c r="E952" s="36" t="s">
        <v>1</v>
      </c>
      <c r="F952" s="36">
        <v>1</v>
      </c>
      <c r="G952" s="36">
        <v>3</v>
      </c>
      <c r="H952" s="36">
        <v>0</v>
      </c>
      <c r="I952" s="37">
        <v>0</v>
      </c>
      <c r="J952" s="36" t="s">
        <v>32654</v>
      </c>
      <c r="K952" s="36" t="s">
        <v>14330</v>
      </c>
      <c r="L952" s="36" t="s">
        <v>14330</v>
      </c>
      <c r="M952">
        <v>2</v>
      </c>
      <c r="N952" t="s">
        <v>14331</v>
      </c>
      <c r="O952" t="s">
        <v>32633</v>
      </c>
    </row>
    <row r="953" spans="1:15" x14ac:dyDescent="0.25">
      <c r="A953" s="35" t="s">
        <v>4688</v>
      </c>
      <c r="B953" s="36" t="s">
        <v>4689</v>
      </c>
      <c r="C953" s="36" t="str">
        <f>HYPERLINK("https://rhld.insurance.arkansas.gov/NPILookup?Npi=1538363577","1538363577")</f>
        <v>1538363577</v>
      </c>
      <c r="D953" s="36" t="s">
        <v>33239</v>
      </c>
      <c r="E953" s="36" t="s">
        <v>1</v>
      </c>
      <c r="F953" s="36">
        <v>1</v>
      </c>
      <c r="G953" s="36">
        <v>2</v>
      </c>
      <c r="H953" s="36">
        <v>0</v>
      </c>
      <c r="I953" s="37">
        <v>0</v>
      </c>
      <c r="J953" s="36" t="s">
        <v>32654</v>
      </c>
      <c r="K953" s="36" t="s">
        <v>14330</v>
      </c>
      <c r="L953" s="36" t="s">
        <v>14330</v>
      </c>
      <c r="M953">
        <v>2</v>
      </c>
      <c r="N953" t="s">
        <v>14331</v>
      </c>
      <c r="O953" t="s">
        <v>32633</v>
      </c>
    </row>
    <row r="954" spans="1:15" x14ac:dyDescent="0.25">
      <c r="A954" s="35" t="s">
        <v>4688</v>
      </c>
      <c r="B954" s="36" t="s">
        <v>4689</v>
      </c>
      <c r="C954" s="36" t="str">
        <f>HYPERLINK("https://rhld.insurance.arkansas.gov/NPILookup?Npi=1578529970","1578529970")</f>
        <v>1578529970</v>
      </c>
      <c r="D954" s="36" t="s">
        <v>32752</v>
      </c>
      <c r="E954" s="36" t="s">
        <v>1</v>
      </c>
      <c r="F954" s="36">
        <v>1</v>
      </c>
      <c r="G954" s="36">
        <v>2</v>
      </c>
      <c r="H954" s="36">
        <v>0</v>
      </c>
      <c r="I954" s="37">
        <v>0</v>
      </c>
      <c r="J954" s="36" t="s">
        <v>32654</v>
      </c>
      <c r="K954" s="36" t="s">
        <v>14330</v>
      </c>
      <c r="L954" s="36" t="s">
        <v>14330</v>
      </c>
      <c r="M954">
        <v>2</v>
      </c>
      <c r="N954" t="s">
        <v>14331</v>
      </c>
      <c r="O954" t="s">
        <v>32633</v>
      </c>
    </row>
    <row r="955" spans="1:15" x14ac:dyDescent="0.25">
      <c r="A955" s="35" t="s">
        <v>4688</v>
      </c>
      <c r="B955" s="36" t="s">
        <v>4689</v>
      </c>
      <c r="C955" s="36" t="str">
        <f>HYPERLINK("https://rhld.insurance.arkansas.gov/NPILookup?Npi=1578635025","1578635025")</f>
        <v>1578635025</v>
      </c>
      <c r="D955" s="36" t="s">
        <v>33599</v>
      </c>
      <c r="E955" s="36" t="s">
        <v>2</v>
      </c>
      <c r="F955" s="36">
        <v>1</v>
      </c>
      <c r="G955" s="36">
        <v>2</v>
      </c>
      <c r="H955" s="36">
        <v>0</v>
      </c>
      <c r="I955" s="37">
        <v>0</v>
      </c>
      <c r="J955" s="36" t="s">
        <v>32679</v>
      </c>
      <c r="K955" s="36" t="s">
        <v>14330</v>
      </c>
      <c r="L955" s="36" t="s">
        <v>14330</v>
      </c>
      <c r="M955">
        <v>1</v>
      </c>
      <c r="N955" t="s">
        <v>14331</v>
      </c>
      <c r="O955" t="s">
        <v>14333</v>
      </c>
    </row>
    <row r="956" spans="1:15" x14ac:dyDescent="0.25">
      <c r="A956" s="35" t="s">
        <v>4688</v>
      </c>
      <c r="B956" s="36" t="s">
        <v>4689</v>
      </c>
      <c r="C956" s="36" t="str">
        <f>HYPERLINK("https://rhld.insurance.arkansas.gov/NPILookup?Npi=1588898761","1588898761")</f>
        <v>1588898761</v>
      </c>
      <c r="D956" s="36" t="s">
        <v>33600</v>
      </c>
      <c r="E956" s="36" t="s">
        <v>2</v>
      </c>
      <c r="F956" s="36">
        <v>1</v>
      </c>
      <c r="G956" s="36">
        <v>1</v>
      </c>
      <c r="H956" s="36">
        <v>0</v>
      </c>
      <c r="I956" s="37">
        <v>0</v>
      </c>
      <c r="J956" s="36" t="s">
        <v>32679</v>
      </c>
      <c r="K956" s="36" t="s">
        <v>14330</v>
      </c>
      <c r="L956" s="36" t="s">
        <v>14330</v>
      </c>
      <c r="M956">
        <v>2</v>
      </c>
      <c r="N956" t="s">
        <v>14331</v>
      </c>
      <c r="O956" t="s">
        <v>32633</v>
      </c>
    </row>
    <row r="957" spans="1:15" x14ac:dyDescent="0.25">
      <c r="A957" s="35" t="s">
        <v>4688</v>
      </c>
      <c r="B957" s="36" t="s">
        <v>4689</v>
      </c>
      <c r="C957" s="36" t="str">
        <f>HYPERLINK("https://rhld.insurance.arkansas.gov/NPILookup?Npi=1609211572","1609211572")</f>
        <v>1609211572</v>
      </c>
      <c r="D957" s="36" t="s">
        <v>33601</v>
      </c>
      <c r="E957" s="36" t="s">
        <v>1</v>
      </c>
      <c r="F957" s="36">
        <v>1</v>
      </c>
      <c r="G957" s="36">
        <v>2</v>
      </c>
      <c r="H957" s="36">
        <v>0</v>
      </c>
      <c r="I957" s="37">
        <v>0</v>
      </c>
      <c r="J957" s="36" t="s">
        <v>32654</v>
      </c>
      <c r="K957" s="36" t="s">
        <v>14330</v>
      </c>
      <c r="L957" s="36" t="s">
        <v>14330</v>
      </c>
      <c r="M957">
        <v>2</v>
      </c>
      <c r="N957" t="s">
        <v>14331</v>
      </c>
      <c r="O957" t="s">
        <v>32633</v>
      </c>
    </row>
    <row r="958" spans="1:15" x14ac:dyDescent="0.25">
      <c r="A958" s="35" t="s">
        <v>4688</v>
      </c>
      <c r="B958" s="36" t="s">
        <v>4689</v>
      </c>
      <c r="C958" s="36" t="str">
        <f>HYPERLINK("https://rhld.insurance.arkansas.gov/NPILookup?Npi=1619234366","1619234366")</f>
        <v>1619234366</v>
      </c>
      <c r="D958" s="36" t="s">
        <v>33602</v>
      </c>
      <c r="E958" s="36" t="s">
        <v>1</v>
      </c>
      <c r="F958" s="36">
        <v>1</v>
      </c>
      <c r="G958" s="36">
        <v>2</v>
      </c>
      <c r="H958" s="36">
        <v>0</v>
      </c>
      <c r="I958" s="37">
        <v>0</v>
      </c>
      <c r="J958" s="36" t="s">
        <v>32654</v>
      </c>
      <c r="K958" s="36" t="s">
        <v>14330</v>
      </c>
      <c r="L958" s="36" t="s">
        <v>14330</v>
      </c>
      <c r="M958">
        <v>2</v>
      </c>
      <c r="N958" t="s">
        <v>14331</v>
      </c>
      <c r="O958" t="s">
        <v>32633</v>
      </c>
    </row>
    <row r="959" spans="1:15" x14ac:dyDescent="0.25">
      <c r="A959" s="35" t="s">
        <v>4688</v>
      </c>
      <c r="B959" s="36" t="s">
        <v>4689</v>
      </c>
      <c r="C959" s="36" t="str">
        <f>HYPERLINK("https://rhld.insurance.arkansas.gov/NPILookup?Npi=1639530769","1639530769")</f>
        <v>1639530769</v>
      </c>
      <c r="D959" s="36" t="s">
        <v>33603</v>
      </c>
      <c r="E959" s="36" t="s">
        <v>1</v>
      </c>
      <c r="F959" s="36">
        <v>1</v>
      </c>
      <c r="G959" s="36">
        <v>2</v>
      </c>
      <c r="H959" s="36">
        <v>0</v>
      </c>
      <c r="I959" s="37">
        <v>0</v>
      </c>
      <c r="J959" s="36" t="s">
        <v>32654</v>
      </c>
      <c r="K959" s="36" t="s">
        <v>14330</v>
      </c>
      <c r="L959" s="36" t="s">
        <v>14330</v>
      </c>
      <c r="M959">
        <v>3</v>
      </c>
      <c r="N959" t="s">
        <v>14331</v>
      </c>
      <c r="O959" t="s">
        <v>32633</v>
      </c>
    </row>
    <row r="960" spans="1:15" x14ac:dyDescent="0.25">
      <c r="A960" s="35" t="s">
        <v>4688</v>
      </c>
      <c r="B960" s="36" t="s">
        <v>4689</v>
      </c>
      <c r="C960" s="36" t="str">
        <f>HYPERLINK("https://rhld.insurance.arkansas.gov/NPILookup?Npi=1649447806","1649447806")</f>
        <v>1649447806</v>
      </c>
      <c r="D960" s="36" t="s">
        <v>33604</v>
      </c>
      <c r="E960" s="36" t="s">
        <v>1</v>
      </c>
      <c r="F960" s="36">
        <v>1</v>
      </c>
      <c r="G960" s="36">
        <v>3</v>
      </c>
      <c r="H960" s="36">
        <v>0</v>
      </c>
      <c r="I960" s="37">
        <v>0</v>
      </c>
      <c r="J960" s="36" t="s">
        <v>32654</v>
      </c>
      <c r="K960" s="36" t="s">
        <v>14330</v>
      </c>
      <c r="L960" s="36" t="s">
        <v>14330</v>
      </c>
      <c r="M960">
        <v>2</v>
      </c>
      <c r="N960" t="s">
        <v>14331</v>
      </c>
      <c r="O960" t="s">
        <v>32633</v>
      </c>
    </row>
    <row r="961" spans="1:15" x14ac:dyDescent="0.25">
      <c r="A961" s="35" t="s">
        <v>4688</v>
      </c>
      <c r="B961" s="36" t="s">
        <v>4689</v>
      </c>
      <c r="C961" s="36" t="str">
        <f>HYPERLINK("https://rhld.insurance.arkansas.gov/NPILookup?Npi=1649699620","1649699620")</f>
        <v>1649699620</v>
      </c>
      <c r="D961" s="36" t="s">
        <v>33605</v>
      </c>
      <c r="E961" s="36" t="s">
        <v>2</v>
      </c>
      <c r="F961" s="36">
        <v>1</v>
      </c>
      <c r="G961" s="36">
        <v>2</v>
      </c>
      <c r="H961" s="36">
        <v>0</v>
      </c>
      <c r="I961" s="37">
        <v>0</v>
      </c>
      <c r="J961" s="36" t="s">
        <v>32679</v>
      </c>
      <c r="K961" s="36" t="s">
        <v>14330</v>
      </c>
      <c r="L961" s="36" t="s">
        <v>14330</v>
      </c>
      <c r="M961">
        <v>2</v>
      </c>
      <c r="N961" t="s">
        <v>14331</v>
      </c>
      <c r="O961" t="s">
        <v>14333</v>
      </c>
    </row>
    <row r="962" spans="1:15" x14ac:dyDescent="0.25">
      <c r="A962" s="35" t="s">
        <v>4688</v>
      </c>
      <c r="B962" s="36" t="s">
        <v>4689</v>
      </c>
      <c r="C962" s="36" t="str">
        <f>HYPERLINK("https://rhld.insurance.arkansas.gov/NPILookup?Npi=1669429049","1669429049")</f>
        <v>1669429049</v>
      </c>
      <c r="D962" s="36" t="s">
        <v>33606</v>
      </c>
      <c r="E962" s="36" t="s">
        <v>1</v>
      </c>
      <c r="F962" s="36">
        <v>1</v>
      </c>
      <c r="G962" s="36">
        <v>2</v>
      </c>
      <c r="H962" s="36">
        <v>0</v>
      </c>
      <c r="I962" s="37">
        <v>0</v>
      </c>
      <c r="J962" s="36" t="s">
        <v>32654</v>
      </c>
      <c r="K962" s="36" t="s">
        <v>14330</v>
      </c>
      <c r="L962" s="36" t="s">
        <v>14330</v>
      </c>
      <c r="M962">
        <v>2</v>
      </c>
      <c r="N962" t="s">
        <v>14331</v>
      </c>
      <c r="O962" t="s">
        <v>32633</v>
      </c>
    </row>
    <row r="963" spans="1:15" x14ac:dyDescent="0.25">
      <c r="A963" s="35" t="s">
        <v>4688</v>
      </c>
      <c r="B963" s="36" t="s">
        <v>4689</v>
      </c>
      <c r="C963" s="36" t="str">
        <f>HYPERLINK("https://rhld.insurance.arkansas.gov/NPILookup?Npi=1669471157","1669471157")</f>
        <v>1669471157</v>
      </c>
      <c r="D963" s="36" t="s">
        <v>32713</v>
      </c>
      <c r="E963" s="36" t="s">
        <v>1</v>
      </c>
      <c r="F963" s="36">
        <v>1</v>
      </c>
      <c r="G963" s="36">
        <v>2</v>
      </c>
      <c r="H963" s="36">
        <v>0</v>
      </c>
      <c r="I963" s="37">
        <v>0</v>
      </c>
      <c r="J963" s="36" t="s">
        <v>32654</v>
      </c>
      <c r="K963" s="36" t="s">
        <v>14330</v>
      </c>
      <c r="L963" s="36" t="s">
        <v>14330</v>
      </c>
      <c r="M963">
        <v>2</v>
      </c>
      <c r="N963" t="s">
        <v>14331</v>
      </c>
      <c r="O963" t="s">
        <v>32633</v>
      </c>
    </row>
    <row r="964" spans="1:15" x14ac:dyDescent="0.25">
      <c r="A964" s="35" t="s">
        <v>4688</v>
      </c>
      <c r="B964" s="36" t="s">
        <v>4689</v>
      </c>
      <c r="C964" s="36" t="str">
        <f>HYPERLINK("https://rhld.insurance.arkansas.gov/NPILookup?Npi=1679708960","1679708960")</f>
        <v>1679708960</v>
      </c>
      <c r="D964" s="36" t="s">
        <v>33607</v>
      </c>
      <c r="E964" s="36" t="s">
        <v>2</v>
      </c>
      <c r="F964" s="36">
        <v>1</v>
      </c>
      <c r="G964" s="36">
        <v>2</v>
      </c>
      <c r="H964" s="36">
        <v>0</v>
      </c>
      <c r="I964" s="37">
        <v>0</v>
      </c>
      <c r="J964" s="36" t="s">
        <v>32679</v>
      </c>
      <c r="K964" s="36" t="s">
        <v>14330</v>
      </c>
      <c r="L964" s="36" t="s">
        <v>14330</v>
      </c>
      <c r="M964">
        <v>2</v>
      </c>
      <c r="N964" t="s">
        <v>14331</v>
      </c>
      <c r="O964" t="s">
        <v>14333</v>
      </c>
    </row>
    <row r="965" spans="1:15" x14ac:dyDescent="0.25">
      <c r="A965" s="35" t="s">
        <v>4688</v>
      </c>
      <c r="B965" s="36" t="s">
        <v>4689</v>
      </c>
      <c r="C965" s="36" t="str">
        <f>HYPERLINK("https://rhld.insurance.arkansas.gov/NPILookup?Npi=1679991269","1679991269")</f>
        <v>1679991269</v>
      </c>
      <c r="D965" s="36" t="s">
        <v>33608</v>
      </c>
      <c r="E965" s="36" t="s">
        <v>2</v>
      </c>
      <c r="F965" s="36">
        <v>2</v>
      </c>
      <c r="G965" s="36">
        <v>2</v>
      </c>
      <c r="H965" s="36">
        <v>0</v>
      </c>
      <c r="I965" s="37">
        <v>0</v>
      </c>
      <c r="J965" s="36" t="s">
        <v>33004</v>
      </c>
      <c r="K965" s="36" t="s">
        <v>14330</v>
      </c>
      <c r="L965" s="36" t="s">
        <v>14330</v>
      </c>
      <c r="M965">
        <v>2</v>
      </c>
      <c r="N965" t="s">
        <v>14331</v>
      </c>
      <c r="O965" t="s">
        <v>14333</v>
      </c>
    </row>
    <row r="966" spans="1:15" x14ac:dyDescent="0.25">
      <c r="A966" s="35" t="s">
        <v>4688</v>
      </c>
      <c r="B966" s="36" t="s">
        <v>4689</v>
      </c>
      <c r="C966" s="36" t="str">
        <f>HYPERLINK("https://rhld.insurance.arkansas.gov/NPILookup?Npi=1689037186","1689037186")</f>
        <v>1689037186</v>
      </c>
      <c r="D966" s="36" t="s">
        <v>33609</v>
      </c>
      <c r="E966" s="36" t="s">
        <v>1</v>
      </c>
      <c r="F966" s="36">
        <v>1</v>
      </c>
      <c r="G966" s="36">
        <v>2</v>
      </c>
      <c r="H966" s="36">
        <v>0</v>
      </c>
      <c r="I966" s="37">
        <v>0</v>
      </c>
      <c r="J966" s="36" t="s">
        <v>32654</v>
      </c>
      <c r="K966" s="36" t="s">
        <v>14330</v>
      </c>
      <c r="L966" s="36" t="s">
        <v>14330</v>
      </c>
      <c r="M966">
        <v>3</v>
      </c>
      <c r="N966" t="s">
        <v>14331</v>
      </c>
      <c r="O966" t="s">
        <v>32633</v>
      </c>
    </row>
    <row r="967" spans="1:15" x14ac:dyDescent="0.25">
      <c r="A967" s="35" t="s">
        <v>4688</v>
      </c>
      <c r="B967" s="36" t="s">
        <v>4689</v>
      </c>
      <c r="C967" s="36" t="str">
        <f>HYPERLINK("https://rhld.insurance.arkansas.gov/NPILookup?Npi=1689614828","1689614828")</f>
        <v>1689614828</v>
      </c>
      <c r="D967" s="36" t="s">
        <v>32715</v>
      </c>
      <c r="E967" s="36" t="s">
        <v>1</v>
      </c>
      <c r="F967" s="36">
        <v>1</v>
      </c>
      <c r="G967" s="36">
        <v>3</v>
      </c>
      <c r="H967" s="36">
        <v>0</v>
      </c>
      <c r="I967" s="37">
        <v>0</v>
      </c>
      <c r="J967" s="36" t="s">
        <v>32654</v>
      </c>
      <c r="K967" s="36" t="s">
        <v>14330</v>
      </c>
      <c r="L967" s="36" t="s">
        <v>14330</v>
      </c>
      <c r="M967">
        <v>2</v>
      </c>
      <c r="N967" t="s">
        <v>14331</v>
      </c>
      <c r="O967" t="s">
        <v>32633</v>
      </c>
    </row>
    <row r="968" spans="1:15" x14ac:dyDescent="0.25">
      <c r="A968" s="35" t="s">
        <v>4688</v>
      </c>
      <c r="B968" s="36" t="s">
        <v>4689</v>
      </c>
      <c r="C968" s="36" t="str">
        <f>HYPERLINK("https://rhld.insurance.arkansas.gov/NPILookup?Npi=1689662090","1689662090")</f>
        <v>1689662090</v>
      </c>
      <c r="D968" s="36" t="s">
        <v>33610</v>
      </c>
      <c r="E968" s="36" t="s">
        <v>2</v>
      </c>
      <c r="F968" s="36">
        <v>1</v>
      </c>
      <c r="G968" s="36">
        <v>2</v>
      </c>
      <c r="H968" s="36">
        <v>0</v>
      </c>
      <c r="I968" s="37">
        <v>0</v>
      </c>
      <c r="J968" s="36" t="s">
        <v>32679</v>
      </c>
      <c r="K968" s="36" t="s">
        <v>14330</v>
      </c>
      <c r="L968" s="36" t="s">
        <v>14330</v>
      </c>
      <c r="M968">
        <v>3</v>
      </c>
      <c r="N968" t="s">
        <v>14331</v>
      </c>
      <c r="O968" t="s">
        <v>14333</v>
      </c>
    </row>
    <row r="969" spans="1:15" x14ac:dyDescent="0.25">
      <c r="A969" s="35" t="s">
        <v>4688</v>
      </c>
      <c r="B969" s="36" t="s">
        <v>4689</v>
      </c>
      <c r="C969" s="36" t="str">
        <f>HYPERLINK("https://rhld.insurance.arkansas.gov/NPILookup?Npi=1689800872","1689800872")</f>
        <v>1689800872</v>
      </c>
      <c r="D969" s="36" t="s">
        <v>33611</v>
      </c>
      <c r="E969" s="36" t="s">
        <v>1</v>
      </c>
      <c r="F969" s="36">
        <v>1</v>
      </c>
      <c r="G969" s="36">
        <v>3</v>
      </c>
      <c r="H969" s="36">
        <v>0</v>
      </c>
      <c r="I969" s="37">
        <v>0</v>
      </c>
      <c r="J969" s="36" t="s">
        <v>32654</v>
      </c>
      <c r="K969" s="36" t="s">
        <v>14330</v>
      </c>
      <c r="L969" s="36" t="s">
        <v>14330</v>
      </c>
      <c r="M969">
        <v>3</v>
      </c>
      <c r="N969" t="s">
        <v>14331</v>
      </c>
      <c r="O969" t="s">
        <v>32633</v>
      </c>
    </row>
    <row r="970" spans="1:15" x14ac:dyDescent="0.25">
      <c r="A970" s="35" t="s">
        <v>4688</v>
      </c>
      <c r="B970" s="36" t="s">
        <v>4689</v>
      </c>
      <c r="C970" s="36" t="str">
        <f>HYPERLINK("https://rhld.insurance.arkansas.gov/NPILookup?Npi=1689836652","1689836652")</f>
        <v>1689836652</v>
      </c>
      <c r="D970" s="36" t="s">
        <v>33612</v>
      </c>
      <c r="E970" s="36" t="s">
        <v>1</v>
      </c>
      <c r="F970" s="36">
        <v>1</v>
      </c>
      <c r="G970" s="36">
        <v>3</v>
      </c>
      <c r="H970" s="36">
        <v>0</v>
      </c>
      <c r="I970" s="37">
        <v>0</v>
      </c>
      <c r="J970" s="36" t="s">
        <v>32654</v>
      </c>
      <c r="K970" s="36" t="s">
        <v>14330</v>
      </c>
      <c r="L970" s="36" t="s">
        <v>14330</v>
      </c>
      <c r="M970">
        <v>2</v>
      </c>
      <c r="N970" t="s">
        <v>14331</v>
      </c>
      <c r="O970" t="s">
        <v>32633</v>
      </c>
    </row>
    <row r="971" spans="1:15" x14ac:dyDescent="0.25">
      <c r="A971" s="35" t="s">
        <v>4688</v>
      </c>
      <c r="B971" s="36" t="s">
        <v>4689</v>
      </c>
      <c r="C971" s="36" t="str">
        <f>HYPERLINK("https://rhld.insurance.arkansas.gov/NPILookup?Npi=1699851436","1699851436")</f>
        <v>1699851436</v>
      </c>
      <c r="D971" s="36" t="s">
        <v>33613</v>
      </c>
      <c r="E971" s="36" t="s">
        <v>1</v>
      </c>
      <c r="F971" s="36">
        <v>1</v>
      </c>
      <c r="G971" s="36">
        <v>2</v>
      </c>
      <c r="H971" s="36">
        <v>0</v>
      </c>
      <c r="I971" s="37">
        <v>0</v>
      </c>
      <c r="J971" s="36" t="s">
        <v>32654</v>
      </c>
      <c r="K971" s="36" t="s">
        <v>14330</v>
      </c>
      <c r="L971" s="36" t="s">
        <v>14330</v>
      </c>
      <c r="M971">
        <v>2</v>
      </c>
      <c r="N971" t="s">
        <v>14331</v>
      </c>
      <c r="O971" t="s">
        <v>32633</v>
      </c>
    </row>
    <row r="972" spans="1:15" x14ac:dyDescent="0.25">
      <c r="A972" s="35" t="s">
        <v>4688</v>
      </c>
      <c r="B972" s="36" t="s">
        <v>4689</v>
      </c>
      <c r="C972" s="36" t="str">
        <f>HYPERLINK("https://rhld.insurance.arkansas.gov/NPILookup?Npi=1700045689","1700045689")</f>
        <v>1700045689</v>
      </c>
      <c r="D972" s="36" t="s">
        <v>33614</v>
      </c>
      <c r="E972" s="36" t="s">
        <v>1</v>
      </c>
      <c r="F972" s="36">
        <v>1</v>
      </c>
      <c r="G972" s="36">
        <v>2</v>
      </c>
      <c r="H972" s="36">
        <v>0</v>
      </c>
      <c r="I972" s="37">
        <v>0</v>
      </c>
      <c r="J972" s="36" t="s">
        <v>32723</v>
      </c>
      <c r="K972" s="36" t="s">
        <v>14330</v>
      </c>
      <c r="L972" s="36" t="s">
        <v>14330</v>
      </c>
      <c r="M972">
        <v>2</v>
      </c>
      <c r="N972" t="s">
        <v>14331</v>
      </c>
      <c r="O972" t="s">
        <v>32724</v>
      </c>
    </row>
    <row r="973" spans="1:15" x14ac:dyDescent="0.25">
      <c r="A973" s="35" t="s">
        <v>4688</v>
      </c>
      <c r="B973" s="36" t="s">
        <v>4689</v>
      </c>
      <c r="C973" s="36" t="str">
        <f>HYPERLINK("https://rhld.insurance.arkansas.gov/NPILookup?Npi=1700204997","1700204997")</f>
        <v>1700204997</v>
      </c>
      <c r="D973" s="36" t="s">
        <v>33615</v>
      </c>
      <c r="E973" s="36" t="s">
        <v>1</v>
      </c>
      <c r="F973" s="36">
        <v>1</v>
      </c>
      <c r="G973" s="36">
        <v>2</v>
      </c>
      <c r="H973" s="36">
        <v>0</v>
      </c>
      <c r="I973" s="37">
        <v>0</v>
      </c>
      <c r="J973" s="36" t="s">
        <v>32654</v>
      </c>
      <c r="K973" s="36" t="s">
        <v>14330</v>
      </c>
      <c r="L973" s="36" t="s">
        <v>14330</v>
      </c>
      <c r="M973">
        <v>2</v>
      </c>
      <c r="N973" t="s">
        <v>14331</v>
      </c>
      <c r="O973" t="s">
        <v>32633</v>
      </c>
    </row>
    <row r="974" spans="1:15" x14ac:dyDescent="0.25">
      <c r="A974" s="35" t="s">
        <v>4688</v>
      </c>
      <c r="B974" s="36" t="s">
        <v>4689</v>
      </c>
      <c r="C974" s="36" t="str">
        <f>HYPERLINK("https://rhld.insurance.arkansas.gov/NPILookup?Npi=1700849759","1700849759")</f>
        <v>1700849759</v>
      </c>
      <c r="D974" s="36" t="s">
        <v>33616</v>
      </c>
      <c r="E974" s="36" t="s">
        <v>2</v>
      </c>
      <c r="F974" s="36">
        <v>1</v>
      </c>
      <c r="G974" s="36">
        <v>2</v>
      </c>
      <c r="H974" s="36">
        <v>0</v>
      </c>
      <c r="I974" s="37">
        <v>0</v>
      </c>
      <c r="J974" s="36"/>
      <c r="K974" s="36" t="s">
        <v>14330</v>
      </c>
      <c r="L974" s="36" t="s">
        <v>14330</v>
      </c>
      <c r="M974">
        <v>1</v>
      </c>
      <c r="N974" t="s">
        <v>14331</v>
      </c>
      <c r="O974" t="s">
        <v>14333</v>
      </c>
    </row>
    <row r="975" spans="1:15" x14ac:dyDescent="0.25">
      <c r="A975" s="35" t="s">
        <v>4688</v>
      </c>
      <c r="B975" s="36" t="s">
        <v>4689</v>
      </c>
      <c r="C975" s="36" t="str">
        <f>HYPERLINK("https://rhld.insurance.arkansas.gov/NPILookup?Npi=1700952462","1700952462")</f>
        <v>1700952462</v>
      </c>
      <c r="D975" s="36" t="s">
        <v>33617</v>
      </c>
      <c r="E975" s="36" t="s">
        <v>1</v>
      </c>
      <c r="F975" s="36">
        <v>1</v>
      </c>
      <c r="G975" s="36">
        <v>1</v>
      </c>
      <c r="H975" s="36">
        <v>0</v>
      </c>
      <c r="I975" s="37">
        <v>0</v>
      </c>
      <c r="J975" s="36" t="s">
        <v>32654</v>
      </c>
      <c r="K975" s="36" t="s">
        <v>14330</v>
      </c>
      <c r="L975" s="36" t="s">
        <v>14330</v>
      </c>
      <c r="M975">
        <v>1</v>
      </c>
      <c r="N975" t="s">
        <v>14331</v>
      </c>
      <c r="O975" t="s">
        <v>32633</v>
      </c>
    </row>
    <row r="976" spans="1:15" x14ac:dyDescent="0.25">
      <c r="A976" s="35" t="s">
        <v>4688</v>
      </c>
      <c r="B976" s="36" t="s">
        <v>4689</v>
      </c>
      <c r="C976" s="36" t="str">
        <f>HYPERLINK("https://rhld.insurance.arkansas.gov/NPILookup?Npi=1710253117","1710253117")</f>
        <v>1710253117</v>
      </c>
      <c r="D976" s="36" t="s">
        <v>33618</v>
      </c>
      <c r="E976" s="36" t="s">
        <v>2</v>
      </c>
      <c r="F976" s="36">
        <v>1</v>
      </c>
      <c r="G976" s="36">
        <v>1</v>
      </c>
      <c r="H976" s="36">
        <v>0</v>
      </c>
      <c r="I976" s="37">
        <v>0</v>
      </c>
      <c r="J976" s="36" t="s">
        <v>32679</v>
      </c>
      <c r="K976" s="36" t="s">
        <v>14330</v>
      </c>
      <c r="L976" s="36" t="s">
        <v>14330</v>
      </c>
      <c r="M976">
        <v>1</v>
      </c>
      <c r="N976" t="s">
        <v>14331</v>
      </c>
      <c r="O976" t="s">
        <v>32633</v>
      </c>
    </row>
    <row r="977" spans="1:15" x14ac:dyDescent="0.25">
      <c r="A977" s="35" t="s">
        <v>4688</v>
      </c>
      <c r="B977" s="36" t="s">
        <v>4689</v>
      </c>
      <c r="C977" s="36" t="str">
        <f>HYPERLINK("https://rhld.insurance.arkansas.gov/NPILookup?Npi=1730322744","1730322744")</f>
        <v>1730322744</v>
      </c>
      <c r="D977" s="36" t="s">
        <v>33619</v>
      </c>
      <c r="E977" s="36" t="s">
        <v>1</v>
      </c>
      <c r="F977" s="36">
        <v>1</v>
      </c>
      <c r="G977" s="36">
        <v>1</v>
      </c>
      <c r="H977" s="36">
        <v>0</v>
      </c>
      <c r="I977" s="37">
        <v>0</v>
      </c>
      <c r="J977" s="36" t="s">
        <v>32654</v>
      </c>
      <c r="K977" s="36" t="s">
        <v>14330</v>
      </c>
      <c r="L977" s="36" t="s">
        <v>14330</v>
      </c>
      <c r="M977">
        <v>2</v>
      </c>
      <c r="N977" t="s">
        <v>14331</v>
      </c>
      <c r="O977" t="s">
        <v>32633</v>
      </c>
    </row>
    <row r="978" spans="1:15" x14ac:dyDescent="0.25">
      <c r="A978" s="35" t="s">
        <v>4688</v>
      </c>
      <c r="B978" s="36" t="s">
        <v>4689</v>
      </c>
      <c r="C978" s="36" t="str">
        <f>HYPERLINK("https://rhld.insurance.arkansas.gov/NPILookup?Npi=1740496686","1740496686")</f>
        <v>1740496686</v>
      </c>
      <c r="D978" s="36" t="s">
        <v>33620</v>
      </c>
      <c r="E978" s="36" t="s">
        <v>1</v>
      </c>
      <c r="F978" s="36">
        <v>1</v>
      </c>
      <c r="G978" s="36">
        <v>2</v>
      </c>
      <c r="H978" s="36">
        <v>0</v>
      </c>
      <c r="I978" s="37">
        <v>0</v>
      </c>
      <c r="J978" s="36" t="s">
        <v>32654</v>
      </c>
      <c r="K978" s="36" t="s">
        <v>14330</v>
      </c>
      <c r="L978" s="36" t="s">
        <v>14330</v>
      </c>
      <c r="M978">
        <v>2</v>
      </c>
      <c r="N978" t="s">
        <v>14331</v>
      </c>
      <c r="O978" t="s">
        <v>32633</v>
      </c>
    </row>
    <row r="979" spans="1:15" x14ac:dyDescent="0.25">
      <c r="A979" s="35" t="s">
        <v>4688</v>
      </c>
      <c r="B979" s="36" t="s">
        <v>4689</v>
      </c>
      <c r="C979" s="36" t="str">
        <f>HYPERLINK("https://rhld.insurance.arkansas.gov/NPILookup?Npi=1740619162","1740619162")</f>
        <v>1740619162</v>
      </c>
      <c r="D979" s="36" t="s">
        <v>33621</v>
      </c>
      <c r="E979" s="36" t="s">
        <v>1</v>
      </c>
      <c r="F979" s="36">
        <v>1</v>
      </c>
      <c r="G979" s="36">
        <v>2</v>
      </c>
      <c r="H979" s="36">
        <v>0</v>
      </c>
      <c r="I979" s="37">
        <v>0</v>
      </c>
      <c r="J979" s="36" t="s">
        <v>32654</v>
      </c>
      <c r="K979" s="36" t="s">
        <v>14330</v>
      </c>
      <c r="L979" s="36" t="s">
        <v>14330</v>
      </c>
      <c r="M979">
        <v>2</v>
      </c>
      <c r="N979" t="s">
        <v>14331</v>
      </c>
      <c r="O979" t="s">
        <v>32633</v>
      </c>
    </row>
    <row r="980" spans="1:15" x14ac:dyDescent="0.25">
      <c r="A980" s="35" t="s">
        <v>4688</v>
      </c>
      <c r="B980" s="36" t="s">
        <v>4689</v>
      </c>
      <c r="C980" s="36" t="str">
        <f>HYPERLINK("https://rhld.insurance.arkansas.gov/NPILookup?Npi=1750356614","1750356614")</f>
        <v>1750356614</v>
      </c>
      <c r="D980" s="36" t="s">
        <v>33622</v>
      </c>
      <c r="E980" s="36" t="s">
        <v>1</v>
      </c>
      <c r="F980" s="36">
        <v>1</v>
      </c>
      <c r="G980" s="36">
        <v>2</v>
      </c>
      <c r="H980" s="36">
        <v>0</v>
      </c>
      <c r="I980" s="37">
        <v>0</v>
      </c>
      <c r="J980" s="36" t="s">
        <v>32654</v>
      </c>
      <c r="K980" s="36" t="s">
        <v>14330</v>
      </c>
      <c r="L980" s="36" t="s">
        <v>14330</v>
      </c>
      <c r="M980">
        <v>3</v>
      </c>
      <c r="N980" t="s">
        <v>14331</v>
      </c>
      <c r="O980" t="s">
        <v>32633</v>
      </c>
    </row>
    <row r="981" spans="1:15" x14ac:dyDescent="0.25">
      <c r="A981" s="35" t="s">
        <v>4688</v>
      </c>
      <c r="B981" s="36" t="s">
        <v>4689</v>
      </c>
      <c r="C981" s="36" t="str">
        <f>HYPERLINK("https://rhld.insurance.arkansas.gov/NPILookup?Npi=1760472021","1760472021")</f>
        <v>1760472021</v>
      </c>
      <c r="D981" s="36" t="s">
        <v>33364</v>
      </c>
      <c r="E981" s="36" t="s">
        <v>1</v>
      </c>
      <c r="F981" s="36">
        <v>1</v>
      </c>
      <c r="G981" s="36">
        <v>3</v>
      </c>
      <c r="H981" s="36">
        <v>0</v>
      </c>
      <c r="I981" s="37">
        <v>0</v>
      </c>
      <c r="J981" s="36" t="s">
        <v>32654</v>
      </c>
      <c r="K981" s="36" t="s">
        <v>14330</v>
      </c>
      <c r="L981" s="36" t="s">
        <v>14330</v>
      </c>
      <c r="M981">
        <v>2</v>
      </c>
      <c r="N981" t="s">
        <v>14331</v>
      </c>
      <c r="O981" t="s">
        <v>32633</v>
      </c>
    </row>
    <row r="982" spans="1:15" x14ac:dyDescent="0.25">
      <c r="A982" s="35" t="s">
        <v>4688</v>
      </c>
      <c r="B982" s="36" t="s">
        <v>4689</v>
      </c>
      <c r="C982" s="36" t="str">
        <f>HYPERLINK("https://rhld.insurance.arkansas.gov/NPILookup?Npi=1760491989","1760491989")</f>
        <v>1760491989</v>
      </c>
      <c r="D982" s="36" t="s">
        <v>32717</v>
      </c>
      <c r="E982" s="36" t="s">
        <v>1</v>
      </c>
      <c r="F982" s="36">
        <v>1</v>
      </c>
      <c r="G982" s="36">
        <v>2</v>
      </c>
      <c r="H982" s="36">
        <v>0</v>
      </c>
      <c r="I982" s="37">
        <v>0</v>
      </c>
      <c r="J982" s="36" t="s">
        <v>32654</v>
      </c>
      <c r="K982" s="36" t="s">
        <v>14330</v>
      </c>
      <c r="L982" s="36" t="s">
        <v>14330</v>
      </c>
      <c r="M982">
        <v>2</v>
      </c>
      <c r="N982" t="s">
        <v>14331</v>
      </c>
      <c r="O982" t="s">
        <v>32633</v>
      </c>
    </row>
    <row r="983" spans="1:15" x14ac:dyDescent="0.25">
      <c r="A983" s="35" t="s">
        <v>4688</v>
      </c>
      <c r="B983" s="36" t="s">
        <v>4689</v>
      </c>
      <c r="C983" s="36" t="str">
        <f>HYPERLINK("https://rhld.insurance.arkansas.gov/NPILookup?Npi=1760697783","1760697783")</f>
        <v>1760697783</v>
      </c>
      <c r="D983" s="36" t="s">
        <v>33623</v>
      </c>
      <c r="E983" s="36" t="s">
        <v>1</v>
      </c>
      <c r="F983" s="36">
        <v>1</v>
      </c>
      <c r="G983" s="36">
        <v>2</v>
      </c>
      <c r="H983" s="36">
        <v>0</v>
      </c>
      <c r="I983" s="37">
        <v>0</v>
      </c>
      <c r="J983" s="36" t="s">
        <v>32654</v>
      </c>
      <c r="K983" s="36" t="s">
        <v>14330</v>
      </c>
      <c r="L983" s="36" t="s">
        <v>14330</v>
      </c>
      <c r="M983">
        <v>2</v>
      </c>
      <c r="N983" t="s">
        <v>14331</v>
      </c>
      <c r="O983" t="s">
        <v>32633</v>
      </c>
    </row>
    <row r="984" spans="1:15" x14ac:dyDescent="0.25">
      <c r="A984" s="35" t="s">
        <v>4688</v>
      </c>
      <c r="B984" s="36" t="s">
        <v>4689</v>
      </c>
      <c r="C984" s="36" t="str">
        <f>HYPERLINK("https://rhld.insurance.arkansas.gov/NPILookup?Npi=1801009089","1801009089")</f>
        <v>1801009089</v>
      </c>
      <c r="D984" s="36" t="s">
        <v>33624</v>
      </c>
      <c r="E984" s="36" t="s">
        <v>1</v>
      </c>
      <c r="F984" s="36">
        <v>1</v>
      </c>
      <c r="G984" s="36">
        <v>2</v>
      </c>
      <c r="H984" s="36">
        <v>0</v>
      </c>
      <c r="I984" s="37">
        <v>0</v>
      </c>
      <c r="J984" s="36" t="s">
        <v>32654</v>
      </c>
      <c r="K984" s="36" t="s">
        <v>14330</v>
      </c>
      <c r="L984" s="36" t="s">
        <v>14330</v>
      </c>
      <c r="M984">
        <v>3</v>
      </c>
      <c r="N984" t="s">
        <v>14331</v>
      </c>
      <c r="O984" t="s">
        <v>32633</v>
      </c>
    </row>
    <row r="985" spans="1:15" x14ac:dyDescent="0.25">
      <c r="A985" s="35" t="s">
        <v>4688</v>
      </c>
      <c r="B985" s="36" t="s">
        <v>4689</v>
      </c>
      <c r="C985" s="36" t="str">
        <f>HYPERLINK("https://rhld.insurance.arkansas.gov/NPILookup?Npi=1801811237","1801811237")</f>
        <v>1801811237</v>
      </c>
      <c r="D985" s="36" t="s">
        <v>33625</v>
      </c>
      <c r="E985" s="36" t="s">
        <v>1</v>
      </c>
      <c r="F985" s="36">
        <v>1</v>
      </c>
      <c r="G985" s="36">
        <v>3</v>
      </c>
      <c r="H985" s="36">
        <v>0</v>
      </c>
      <c r="I985" s="37">
        <v>0</v>
      </c>
      <c r="J985" s="36" t="s">
        <v>32654</v>
      </c>
      <c r="K985" s="36" t="s">
        <v>14330</v>
      </c>
      <c r="L985" s="36" t="s">
        <v>14330</v>
      </c>
      <c r="M985">
        <v>2</v>
      </c>
      <c r="N985" t="s">
        <v>14331</v>
      </c>
      <c r="O985" t="s">
        <v>32633</v>
      </c>
    </row>
    <row r="986" spans="1:15" x14ac:dyDescent="0.25">
      <c r="A986" s="35" t="s">
        <v>4688</v>
      </c>
      <c r="B986" s="36" t="s">
        <v>4689</v>
      </c>
      <c r="C986" s="36" t="str">
        <f>HYPERLINK("https://rhld.insurance.arkansas.gov/NPILookup?Npi=1801881958","1801881958")</f>
        <v>1801881958</v>
      </c>
      <c r="D986" s="36" t="s">
        <v>33626</v>
      </c>
      <c r="E986" s="36" t="s">
        <v>2</v>
      </c>
      <c r="F986" s="36">
        <v>1</v>
      </c>
      <c r="G986" s="36">
        <v>2</v>
      </c>
      <c r="H986" s="36">
        <v>0</v>
      </c>
      <c r="I986" s="37">
        <v>0</v>
      </c>
      <c r="J986" s="36" t="s">
        <v>32679</v>
      </c>
      <c r="K986" s="36" t="s">
        <v>14330</v>
      </c>
      <c r="L986" s="36" t="s">
        <v>14330</v>
      </c>
      <c r="M986">
        <v>3</v>
      </c>
      <c r="N986" t="s">
        <v>14331</v>
      </c>
      <c r="O986" t="s">
        <v>14333</v>
      </c>
    </row>
    <row r="987" spans="1:15" x14ac:dyDescent="0.25">
      <c r="A987" s="35" t="s">
        <v>4688</v>
      </c>
      <c r="B987" s="36" t="s">
        <v>4689</v>
      </c>
      <c r="C987" s="36" t="str">
        <f>HYPERLINK("https://rhld.insurance.arkansas.gov/NPILookup?Npi=1821050683","1821050683")</f>
        <v>1821050683</v>
      </c>
      <c r="D987" s="36" t="s">
        <v>33627</v>
      </c>
      <c r="E987" s="36" t="s">
        <v>1</v>
      </c>
      <c r="F987" s="36">
        <v>1</v>
      </c>
      <c r="G987" s="36">
        <v>3</v>
      </c>
      <c r="H987" s="36">
        <v>0</v>
      </c>
      <c r="I987" s="37">
        <v>0</v>
      </c>
      <c r="J987" s="36" t="s">
        <v>32654</v>
      </c>
      <c r="K987" s="36" t="s">
        <v>14330</v>
      </c>
      <c r="L987" s="36" t="s">
        <v>14330</v>
      </c>
      <c r="M987">
        <v>2</v>
      </c>
      <c r="N987" t="s">
        <v>14331</v>
      </c>
      <c r="O987" t="s">
        <v>32633</v>
      </c>
    </row>
    <row r="988" spans="1:15" x14ac:dyDescent="0.25">
      <c r="A988" s="35" t="s">
        <v>4688</v>
      </c>
      <c r="B988" s="36" t="s">
        <v>4689</v>
      </c>
      <c r="C988" s="36" t="str">
        <f>HYPERLINK("https://rhld.insurance.arkansas.gov/NPILookup?Npi=1821356601","1821356601")</f>
        <v>1821356601</v>
      </c>
      <c r="D988" s="36" t="s">
        <v>33628</v>
      </c>
      <c r="E988" s="36" t="s">
        <v>2</v>
      </c>
      <c r="F988" s="36">
        <v>1</v>
      </c>
      <c r="G988" s="36">
        <v>2</v>
      </c>
      <c r="H988" s="36">
        <v>0</v>
      </c>
      <c r="I988" s="37">
        <v>0</v>
      </c>
      <c r="J988" s="36" t="s">
        <v>32679</v>
      </c>
      <c r="K988" s="36" t="s">
        <v>14330</v>
      </c>
      <c r="L988" s="36" t="s">
        <v>14330</v>
      </c>
      <c r="M988">
        <v>2</v>
      </c>
      <c r="N988" t="s">
        <v>14331</v>
      </c>
      <c r="O988" t="s">
        <v>14333</v>
      </c>
    </row>
    <row r="989" spans="1:15" x14ac:dyDescent="0.25">
      <c r="A989" s="35" t="s">
        <v>4688</v>
      </c>
      <c r="B989" s="36" t="s">
        <v>4689</v>
      </c>
      <c r="C989" s="36" t="str">
        <f>HYPERLINK("https://rhld.insurance.arkansas.gov/NPILookup?Npi=1831125459","1831125459")</f>
        <v>1831125459</v>
      </c>
      <c r="D989" s="36" t="s">
        <v>33629</v>
      </c>
      <c r="E989" s="36" t="s">
        <v>1</v>
      </c>
      <c r="F989" s="36">
        <v>1</v>
      </c>
      <c r="G989" s="36">
        <v>2</v>
      </c>
      <c r="H989" s="36">
        <v>0</v>
      </c>
      <c r="I989" s="37">
        <v>0</v>
      </c>
      <c r="J989" s="36" t="s">
        <v>32654</v>
      </c>
      <c r="K989" s="36" t="s">
        <v>14330</v>
      </c>
      <c r="L989" s="36" t="s">
        <v>14330</v>
      </c>
      <c r="M989">
        <v>2</v>
      </c>
      <c r="N989" t="s">
        <v>14331</v>
      </c>
      <c r="O989" t="s">
        <v>32633</v>
      </c>
    </row>
    <row r="990" spans="1:15" x14ac:dyDescent="0.25">
      <c r="A990" s="35" t="s">
        <v>4688</v>
      </c>
      <c r="B990" s="36" t="s">
        <v>4689</v>
      </c>
      <c r="C990" s="36" t="str">
        <f>HYPERLINK("https://rhld.insurance.arkansas.gov/NPILookup?Npi=1831168913","1831168913")</f>
        <v>1831168913</v>
      </c>
      <c r="D990" s="36" t="s">
        <v>33630</v>
      </c>
      <c r="E990" s="36" t="s">
        <v>1</v>
      </c>
      <c r="F990" s="36">
        <v>1</v>
      </c>
      <c r="G990" s="36">
        <v>2</v>
      </c>
      <c r="H990" s="36">
        <v>0</v>
      </c>
      <c r="I990" s="37">
        <v>0</v>
      </c>
      <c r="J990" s="36" t="s">
        <v>32654</v>
      </c>
      <c r="K990" s="36" t="s">
        <v>14330</v>
      </c>
      <c r="L990" s="36" t="s">
        <v>14330</v>
      </c>
      <c r="M990">
        <v>1</v>
      </c>
      <c r="N990" t="s">
        <v>14331</v>
      </c>
      <c r="O990" t="s">
        <v>32633</v>
      </c>
    </row>
    <row r="991" spans="1:15" x14ac:dyDescent="0.25">
      <c r="A991" s="35" t="s">
        <v>4688</v>
      </c>
      <c r="B991" s="36" t="s">
        <v>4689</v>
      </c>
      <c r="C991" s="36" t="str">
        <f>HYPERLINK("https://rhld.insurance.arkansas.gov/NPILookup?Npi=1831218817","1831218817")</f>
        <v>1831218817</v>
      </c>
      <c r="D991" s="36" t="s">
        <v>33631</v>
      </c>
      <c r="E991" s="36" t="s">
        <v>2</v>
      </c>
      <c r="F991" s="36">
        <v>1</v>
      </c>
      <c r="G991" s="36">
        <v>1</v>
      </c>
      <c r="H991" s="36">
        <v>0</v>
      </c>
      <c r="I991" s="37">
        <v>0</v>
      </c>
      <c r="J991" s="36" t="s">
        <v>32679</v>
      </c>
      <c r="K991" s="36" t="s">
        <v>14330</v>
      </c>
      <c r="L991" s="36" t="s">
        <v>14330</v>
      </c>
      <c r="M991">
        <v>3</v>
      </c>
      <c r="N991" t="s">
        <v>14331</v>
      </c>
      <c r="O991" t="s">
        <v>32633</v>
      </c>
    </row>
    <row r="992" spans="1:15" x14ac:dyDescent="0.25">
      <c r="A992" s="35" t="s">
        <v>4688</v>
      </c>
      <c r="B992" s="36" t="s">
        <v>4689</v>
      </c>
      <c r="C992" s="36" t="str">
        <f>HYPERLINK("https://rhld.insurance.arkansas.gov/NPILookup?Npi=1831400621","1831400621")</f>
        <v>1831400621</v>
      </c>
      <c r="D992" s="36" t="s">
        <v>33632</v>
      </c>
      <c r="E992" s="36" t="s">
        <v>1</v>
      </c>
      <c r="F992" s="36">
        <v>1</v>
      </c>
      <c r="G992" s="36">
        <v>3</v>
      </c>
      <c r="H992" s="36">
        <v>0</v>
      </c>
      <c r="I992" s="37">
        <v>0</v>
      </c>
      <c r="J992" s="36" t="s">
        <v>32654</v>
      </c>
      <c r="K992" s="36" t="s">
        <v>14330</v>
      </c>
      <c r="L992" s="36" t="s">
        <v>14330</v>
      </c>
      <c r="M992">
        <v>3</v>
      </c>
      <c r="N992" t="s">
        <v>14331</v>
      </c>
      <c r="O992" t="s">
        <v>32633</v>
      </c>
    </row>
    <row r="993" spans="1:15" x14ac:dyDescent="0.25">
      <c r="A993" s="35" t="s">
        <v>4688</v>
      </c>
      <c r="B993" s="36" t="s">
        <v>4689</v>
      </c>
      <c r="C993" s="36" t="str">
        <f>HYPERLINK("https://rhld.insurance.arkansas.gov/NPILookup?Npi=1831577873","1831577873")</f>
        <v>1831577873</v>
      </c>
      <c r="D993" s="36" t="s">
        <v>33633</v>
      </c>
      <c r="E993" s="36" t="s">
        <v>1</v>
      </c>
      <c r="F993" s="36">
        <v>1</v>
      </c>
      <c r="G993" s="36">
        <v>3</v>
      </c>
      <c r="H993" s="36">
        <v>0</v>
      </c>
      <c r="I993" s="37">
        <v>0</v>
      </c>
      <c r="J993" s="36" t="s">
        <v>32654</v>
      </c>
      <c r="K993" s="36" t="s">
        <v>14330</v>
      </c>
      <c r="L993" s="36" t="s">
        <v>14330</v>
      </c>
      <c r="M993">
        <v>2</v>
      </c>
      <c r="N993" t="s">
        <v>14331</v>
      </c>
      <c r="O993" t="s">
        <v>32633</v>
      </c>
    </row>
    <row r="994" spans="1:15" x14ac:dyDescent="0.25">
      <c r="A994" s="35" t="s">
        <v>4688</v>
      </c>
      <c r="B994" s="36" t="s">
        <v>4689</v>
      </c>
      <c r="C994" s="36" t="str">
        <f>HYPERLINK("https://rhld.insurance.arkansas.gov/NPILookup?Npi=1841279866","1841279866")</f>
        <v>1841279866</v>
      </c>
      <c r="D994" s="36" t="s">
        <v>33634</v>
      </c>
      <c r="E994" s="36" t="s">
        <v>2</v>
      </c>
      <c r="F994" s="36">
        <v>1</v>
      </c>
      <c r="G994" s="36">
        <v>2</v>
      </c>
      <c r="H994" s="36">
        <v>0</v>
      </c>
      <c r="I994" s="37">
        <v>0</v>
      </c>
      <c r="J994" s="36" t="s">
        <v>32679</v>
      </c>
      <c r="K994" s="36" t="s">
        <v>14330</v>
      </c>
      <c r="L994" s="36" t="s">
        <v>14330</v>
      </c>
      <c r="M994">
        <v>2</v>
      </c>
      <c r="N994" t="s">
        <v>14331</v>
      </c>
      <c r="O994" t="s">
        <v>14333</v>
      </c>
    </row>
    <row r="995" spans="1:15" x14ac:dyDescent="0.25">
      <c r="A995" s="35" t="s">
        <v>4688</v>
      </c>
      <c r="B995" s="36" t="s">
        <v>4689</v>
      </c>
      <c r="C995" s="36" t="str">
        <f>HYPERLINK("https://rhld.insurance.arkansas.gov/NPILookup?Npi=1861440430","1861440430")</f>
        <v>1861440430</v>
      </c>
      <c r="D995" s="36" t="s">
        <v>33635</v>
      </c>
      <c r="E995" s="36" t="s">
        <v>1</v>
      </c>
      <c r="F995" s="36">
        <v>1</v>
      </c>
      <c r="G995" s="36">
        <v>2</v>
      </c>
      <c r="H995" s="36">
        <v>0</v>
      </c>
      <c r="I995" s="37">
        <v>0</v>
      </c>
      <c r="J995" s="36" t="s">
        <v>32654</v>
      </c>
      <c r="K995" s="36" t="s">
        <v>14330</v>
      </c>
      <c r="L995" s="36" t="s">
        <v>14330</v>
      </c>
      <c r="M995">
        <v>2</v>
      </c>
      <c r="N995" t="s">
        <v>14331</v>
      </c>
      <c r="O995" t="s">
        <v>32633</v>
      </c>
    </row>
    <row r="996" spans="1:15" x14ac:dyDescent="0.25">
      <c r="A996" s="35" t="s">
        <v>4688</v>
      </c>
      <c r="B996" s="36" t="s">
        <v>4689</v>
      </c>
      <c r="C996" s="36" t="str">
        <f>HYPERLINK("https://rhld.insurance.arkansas.gov/NPILookup?Npi=1861608192","1861608192")</f>
        <v>1861608192</v>
      </c>
      <c r="D996" s="36" t="s">
        <v>33636</v>
      </c>
      <c r="E996" s="36" t="s">
        <v>2</v>
      </c>
      <c r="F996" s="36">
        <v>1</v>
      </c>
      <c r="G996" s="36">
        <v>2</v>
      </c>
      <c r="H996" s="36">
        <v>0</v>
      </c>
      <c r="I996" s="37">
        <v>0</v>
      </c>
      <c r="J996" s="36" t="s">
        <v>32679</v>
      </c>
      <c r="K996" s="36" t="s">
        <v>14330</v>
      </c>
      <c r="L996" s="36" t="s">
        <v>14330</v>
      </c>
      <c r="M996">
        <v>3</v>
      </c>
      <c r="N996" t="s">
        <v>14331</v>
      </c>
      <c r="O996" t="s">
        <v>14333</v>
      </c>
    </row>
    <row r="997" spans="1:15" x14ac:dyDescent="0.25">
      <c r="A997" s="35" t="s">
        <v>4688</v>
      </c>
      <c r="B997" s="36" t="s">
        <v>4689</v>
      </c>
      <c r="C997" s="36" t="str">
        <f>HYPERLINK("https://rhld.insurance.arkansas.gov/NPILookup?Npi=1861697815","1861697815")</f>
        <v>1861697815</v>
      </c>
      <c r="D997" s="36" t="s">
        <v>33637</v>
      </c>
      <c r="E997" s="36" t="s">
        <v>1</v>
      </c>
      <c r="F997" s="36">
        <v>1</v>
      </c>
      <c r="G997" s="36">
        <v>3</v>
      </c>
      <c r="H997" s="36">
        <v>0</v>
      </c>
      <c r="I997" s="37">
        <v>0</v>
      </c>
      <c r="J997" s="36" t="s">
        <v>33638</v>
      </c>
      <c r="K997" s="36" t="s">
        <v>33638</v>
      </c>
      <c r="L997" s="36" t="s">
        <v>14330</v>
      </c>
      <c r="M997">
        <v>2</v>
      </c>
      <c r="N997" t="s">
        <v>14331</v>
      </c>
      <c r="O997" t="s">
        <v>32633</v>
      </c>
    </row>
    <row r="998" spans="1:15" x14ac:dyDescent="0.25">
      <c r="A998" s="35" t="s">
        <v>4688</v>
      </c>
      <c r="B998" s="36" t="s">
        <v>4689</v>
      </c>
      <c r="C998" s="36" t="str">
        <f>HYPERLINK("https://rhld.insurance.arkansas.gov/NPILookup?Npi=1902982754","1902982754")</f>
        <v>1902982754</v>
      </c>
      <c r="D998" s="36" t="s">
        <v>33639</v>
      </c>
      <c r="E998" s="36" t="s">
        <v>1</v>
      </c>
      <c r="F998" s="36">
        <v>1</v>
      </c>
      <c r="G998" s="36">
        <v>2</v>
      </c>
      <c r="H998" s="36">
        <v>0</v>
      </c>
      <c r="I998" s="37">
        <v>0</v>
      </c>
      <c r="J998" s="36" t="s">
        <v>32654</v>
      </c>
      <c r="K998" s="36" t="s">
        <v>14330</v>
      </c>
      <c r="L998" s="36" t="s">
        <v>14330</v>
      </c>
      <c r="M998">
        <v>2</v>
      </c>
      <c r="N998" t="s">
        <v>14331</v>
      </c>
      <c r="O998" t="s">
        <v>32633</v>
      </c>
    </row>
    <row r="999" spans="1:15" x14ac:dyDescent="0.25">
      <c r="A999" s="35" t="s">
        <v>4688</v>
      </c>
      <c r="B999" s="36" t="s">
        <v>4689</v>
      </c>
      <c r="C999" s="36" t="str">
        <f>HYPERLINK("https://rhld.insurance.arkansas.gov/NPILookup?Npi=1912299967","1912299967")</f>
        <v>1912299967</v>
      </c>
      <c r="D999" s="36" t="s">
        <v>33640</v>
      </c>
      <c r="E999" s="36" t="s">
        <v>1</v>
      </c>
      <c r="F999" s="36">
        <v>1</v>
      </c>
      <c r="G999" s="36">
        <v>2</v>
      </c>
      <c r="H999" s="36">
        <v>0</v>
      </c>
      <c r="I999" s="37">
        <v>0</v>
      </c>
      <c r="J999" s="36" t="s">
        <v>32654</v>
      </c>
      <c r="K999" s="36" t="s">
        <v>14330</v>
      </c>
      <c r="L999" s="36" t="s">
        <v>14330</v>
      </c>
      <c r="M999">
        <v>3</v>
      </c>
      <c r="N999" t="s">
        <v>14331</v>
      </c>
      <c r="O999" t="s">
        <v>32633</v>
      </c>
    </row>
    <row r="1000" spans="1:15" x14ac:dyDescent="0.25">
      <c r="A1000" s="35" t="s">
        <v>4688</v>
      </c>
      <c r="B1000" s="36" t="s">
        <v>4689</v>
      </c>
      <c r="C1000" s="36" t="str">
        <f>HYPERLINK("https://rhld.insurance.arkansas.gov/NPILookup?Npi=1912904251","1912904251")</f>
        <v>1912904251</v>
      </c>
      <c r="D1000" s="36" t="s">
        <v>33641</v>
      </c>
      <c r="E1000" s="36" t="s">
        <v>1</v>
      </c>
      <c r="F1000" s="36">
        <v>1</v>
      </c>
      <c r="G1000" s="36">
        <v>3</v>
      </c>
      <c r="H1000" s="36">
        <v>0</v>
      </c>
      <c r="I1000" s="37">
        <v>0</v>
      </c>
      <c r="J1000" s="36" t="s">
        <v>32654</v>
      </c>
      <c r="K1000" s="36" t="s">
        <v>14330</v>
      </c>
      <c r="L1000" s="36" t="s">
        <v>14330</v>
      </c>
      <c r="M1000">
        <v>3</v>
      </c>
      <c r="N1000" t="s">
        <v>14331</v>
      </c>
      <c r="O1000" t="s">
        <v>32633</v>
      </c>
    </row>
    <row r="1001" spans="1:15" x14ac:dyDescent="0.25">
      <c r="A1001" s="35" t="s">
        <v>4688</v>
      </c>
      <c r="B1001" s="36" t="s">
        <v>4689</v>
      </c>
      <c r="C1001" s="36" t="str">
        <f>HYPERLINK("https://rhld.insurance.arkansas.gov/NPILookup?Npi=1922311315","1922311315")</f>
        <v>1922311315</v>
      </c>
      <c r="D1001" s="36" t="s">
        <v>33642</v>
      </c>
      <c r="E1001" s="36" t="s">
        <v>1</v>
      </c>
      <c r="F1001" s="36">
        <v>1</v>
      </c>
      <c r="G1001" s="36">
        <v>3</v>
      </c>
      <c r="H1001" s="36">
        <v>0</v>
      </c>
      <c r="I1001" s="37">
        <v>0</v>
      </c>
      <c r="J1001" s="36" t="s">
        <v>32654</v>
      </c>
      <c r="K1001" s="36" t="s">
        <v>14330</v>
      </c>
      <c r="L1001" s="36" t="s">
        <v>14330</v>
      </c>
      <c r="M1001">
        <v>3</v>
      </c>
      <c r="N1001" t="s">
        <v>14331</v>
      </c>
      <c r="O1001" t="s">
        <v>32633</v>
      </c>
    </row>
    <row r="1002" spans="1:15" x14ac:dyDescent="0.25">
      <c r="A1002" s="35" t="s">
        <v>4688</v>
      </c>
      <c r="B1002" s="36" t="s">
        <v>4689</v>
      </c>
      <c r="C1002" s="36" t="str">
        <f>HYPERLINK("https://rhld.insurance.arkansas.gov/NPILookup?Npi=1942447149","1942447149")</f>
        <v>1942447149</v>
      </c>
      <c r="D1002" s="36" t="s">
        <v>33643</v>
      </c>
      <c r="E1002" s="36" t="s">
        <v>1</v>
      </c>
      <c r="F1002" s="36">
        <v>1</v>
      </c>
      <c r="G1002" s="36">
        <v>3</v>
      </c>
      <c r="H1002" s="36">
        <v>0</v>
      </c>
      <c r="I1002" s="37">
        <v>0</v>
      </c>
      <c r="J1002" s="36" t="s">
        <v>32654</v>
      </c>
      <c r="K1002" s="36" t="s">
        <v>14330</v>
      </c>
      <c r="L1002" s="36" t="s">
        <v>14330</v>
      </c>
      <c r="M1002">
        <v>2</v>
      </c>
      <c r="N1002" t="s">
        <v>14331</v>
      </c>
      <c r="O1002" t="s">
        <v>32633</v>
      </c>
    </row>
    <row r="1003" spans="1:15" x14ac:dyDescent="0.25">
      <c r="A1003" s="35" t="s">
        <v>4688</v>
      </c>
      <c r="B1003" s="36" t="s">
        <v>4689</v>
      </c>
      <c r="C1003" s="36" t="str">
        <f>HYPERLINK("https://rhld.insurance.arkansas.gov/NPILookup?Npi=1952319477","1952319477")</f>
        <v>1952319477</v>
      </c>
      <c r="D1003" s="36" t="s">
        <v>33644</v>
      </c>
      <c r="E1003" s="36" t="s">
        <v>1</v>
      </c>
      <c r="F1003" s="36">
        <v>1</v>
      </c>
      <c r="G1003" s="36">
        <v>2</v>
      </c>
      <c r="H1003" s="36">
        <v>0</v>
      </c>
      <c r="I1003" s="37">
        <v>0</v>
      </c>
      <c r="J1003" s="36" t="s">
        <v>32654</v>
      </c>
      <c r="K1003" s="36" t="s">
        <v>14330</v>
      </c>
      <c r="L1003" s="36" t="s">
        <v>14330</v>
      </c>
      <c r="M1003">
        <v>2</v>
      </c>
      <c r="N1003" t="s">
        <v>14331</v>
      </c>
      <c r="O1003" t="s">
        <v>32633</v>
      </c>
    </row>
    <row r="1004" spans="1:15" x14ac:dyDescent="0.25">
      <c r="A1004" s="35" t="s">
        <v>4688</v>
      </c>
      <c r="B1004" s="36" t="s">
        <v>4689</v>
      </c>
      <c r="C1004" s="36" t="str">
        <f>HYPERLINK("https://rhld.insurance.arkansas.gov/NPILookup?Npi=1952361818","1952361818")</f>
        <v>1952361818</v>
      </c>
      <c r="D1004" s="36" t="s">
        <v>33645</v>
      </c>
      <c r="E1004" s="36" t="s">
        <v>1</v>
      </c>
      <c r="F1004" s="36">
        <v>1</v>
      </c>
      <c r="G1004" s="36">
        <v>2</v>
      </c>
      <c r="H1004" s="36">
        <v>0</v>
      </c>
      <c r="I1004" s="37">
        <v>0</v>
      </c>
      <c r="J1004" s="36" t="s">
        <v>32654</v>
      </c>
      <c r="K1004" s="36" t="s">
        <v>14330</v>
      </c>
      <c r="L1004" s="36" t="s">
        <v>14330</v>
      </c>
      <c r="M1004">
        <v>2</v>
      </c>
      <c r="N1004" t="s">
        <v>14331</v>
      </c>
      <c r="O1004" t="s">
        <v>32633</v>
      </c>
    </row>
    <row r="1005" spans="1:15" x14ac:dyDescent="0.25">
      <c r="A1005" s="35" t="s">
        <v>4688</v>
      </c>
      <c r="B1005" s="36" t="s">
        <v>4689</v>
      </c>
      <c r="C1005" s="36" t="str">
        <f>HYPERLINK("https://rhld.insurance.arkansas.gov/NPILookup?Npi=1952555666","1952555666")</f>
        <v>1952555666</v>
      </c>
      <c r="D1005" s="36" t="s">
        <v>32915</v>
      </c>
      <c r="E1005" s="36" t="s">
        <v>1</v>
      </c>
      <c r="F1005" s="36">
        <v>1</v>
      </c>
      <c r="G1005" s="36">
        <v>2</v>
      </c>
      <c r="H1005" s="36">
        <v>0</v>
      </c>
      <c r="I1005" s="37">
        <v>0</v>
      </c>
      <c r="J1005" s="36" t="s">
        <v>32654</v>
      </c>
      <c r="K1005" s="36" t="s">
        <v>14330</v>
      </c>
      <c r="L1005" s="36" t="s">
        <v>14330</v>
      </c>
      <c r="M1005">
        <v>2</v>
      </c>
      <c r="N1005" t="s">
        <v>14331</v>
      </c>
      <c r="O1005" t="s">
        <v>32633</v>
      </c>
    </row>
    <row r="1006" spans="1:15" x14ac:dyDescent="0.25">
      <c r="A1006" s="35" t="s">
        <v>4688</v>
      </c>
      <c r="B1006" s="36" t="s">
        <v>4689</v>
      </c>
      <c r="C1006" s="36" t="str">
        <f>HYPERLINK("https://rhld.insurance.arkansas.gov/NPILookup?Npi=1972764496","1972764496")</f>
        <v>1972764496</v>
      </c>
      <c r="D1006" s="36" t="s">
        <v>33646</v>
      </c>
      <c r="E1006" s="36" t="s">
        <v>1</v>
      </c>
      <c r="F1006" s="36">
        <v>1</v>
      </c>
      <c r="G1006" s="36">
        <v>2</v>
      </c>
      <c r="H1006" s="36">
        <v>0</v>
      </c>
      <c r="I1006" s="37">
        <v>0</v>
      </c>
      <c r="J1006" s="36" t="s">
        <v>32654</v>
      </c>
      <c r="K1006" s="36" t="s">
        <v>14330</v>
      </c>
      <c r="L1006" s="36" t="s">
        <v>14330</v>
      </c>
      <c r="M1006">
        <v>3</v>
      </c>
      <c r="N1006" t="s">
        <v>14331</v>
      </c>
      <c r="O1006" t="s">
        <v>32633</v>
      </c>
    </row>
    <row r="1007" spans="1:15" x14ac:dyDescent="0.25">
      <c r="A1007" s="35" t="s">
        <v>4688</v>
      </c>
      <c r="B1007" s="36" t="s">
        <v>4689</v>
      </c>
      <c r="C1007" s="36" t="str">
        <f>HYPERLINK("https://rhld.insurance.arkansas.gov/NPILookup?Npi=1982704516","1982704516")</f>
        <v>1982704516</v>
      </c>
      <c r="D1007" s="36" t="s">
        <v>33647</v>
      </c>
      <c r="E1007" s="36" t="s">
        <v>1</v>
      </c>
      <c r="F1007" s="36">
        <v>1</v>
      </c>
      <c r="G1007" s="36">
        <v>3</v>
      </c>
      <c r="H1007" s="36">
        <v>0</v>
      </c>
      <c r="I1007" s="37">
        <v>0</v>
      </c>
      <c r="J1007" s="36" t="s">
        <v>32654</v>
      </c>
      <c r="K1007" s="36" t="s">
        <v>14330</v>
      </c>
      <c r="L1007" s="36" t="s">
        <v>14330</v>
      </c>
      <c r="M1007">
        <v>3</v>
      </c>
      <c r="N1007" t="s">
        <v>14331</v>
      </c>
      <c r="O1007" t="s">
        <v>32633</v>
      </c>
    </row>
    <row r="1008" spans="1:15" x14ac:dyDescent="0.25">
      <c r="A1008" s="35" t="s">
        <v>4688</v>
      </c>
      <c r="B1008" s="36" t="s">
        <v>4689</v>
      </c>
      <c r="C1008" s="36" t="str">
        <f>HYPERLINK("https://rhld.insurance.arkansas.gov/NPILookup?Npi=1992735922","1992735922")</f>
        <v>1992735922</v>
      </c>
      <c r="D1008" s="36" t="s">
        <v>32730</v>
      </c>
      <c r="E1008" s="36" t="s">
        <v>1</v>
      </c>
      <c r="F1008" s="36">
        <v>1</v>
      </c>
      <c r="G1008" s="36">
        <v>3</v>
      </c>
      <c r="H1008" s="36">
        <v>0</v>
      </c>
      <c r="I1008" s="37">
        <v>0</v>
      </c>
      <c r="J1008" s="36" t="s">
        <v>32654</v>
      </c>
      <c r="K1008" s="36" t="s">
        <v>14330</v>
      </c>
      <c r="L1008" s="36" t="s">
        <v>14330</v>
      </c>
      <c r="M1008">
        <v>2</v>
      </c>
      <c r="N1008" t="s">
        <v>14331</v>
      </c>
      <c r="O1008" t="s">
        <v>32633</v>
      </c>
    </row>
    <row r="1009" spans="1:15" x14ac:dyDescent="0.25">
      <c r="A1009" s="35" t="s">
        <v>4688</v>
      </c>
      <c r="B1009" s="36" t="s">
        <v>4689</v>
      </c>
      <c r="C1009" s="36" t="str">
        <f>HYPERLINK("https://rhld.insurance.arkansas.gov/NPILookup?Npi=1992765853","1992765853")</f>
        <v>1992765853</v>
      </c>
      <c r="D1009" s="36" t="s">
        <v>33648</v>
      </c>
      <c r="E1009" s="36" t="s">
        <v>2</v>
      </c>
      <c r="F1009" s="36">
        <v>1</v>
      </c>
      <c r="G1009" s="36">
        <v>2</v>
      </c>
      <c r="H1009" s="36">
        <v>0</v>
      </c>
      <c r="I1009" s="37">
        <v>0</v>
      </c>
      <c r="J1009" s="36" t="s">
        <v>32679</v>
      </c>
      <c r="K1009" s="36" t="s">
        <v>14330</v>
      </c>
      <c r="L1009" s="36" t="s">
        <v>14330</v>
      </c>
      <c r="M1009">
        <v>2</v>
      </c>
      <c r="N1009" t="s">
        <v>14331</v>
      </c>
      <c r="O1009" t="s">
        <v>14333</v>
      </c>
    </row>
    <row r="1010" spans="1:15" x14ac:dyDescent="0.25">
      <c r="A1010" s="35" t="s">
        <v>4823</v>
      </c>
      <c r="B1010" s="36" t="s">
        <v>4824</v>
      </c>
      <c r="C1010" s="36" t="str">
        <f>HYPERLINK("https://rhld.insurance.arkansas.gov/NPILookup?Npi=1023026739","1023026739")</f>
        <v>1023026739</v>
      </c>
      <c r="D1010" s="36" t="s">
        <v>33649</v>
      </c>
      <c r="E1010" s="36" t="s">
        <v>1</v>
      </c>
      <c r="F1010" s="36">
        <v>1</v>
      </c>
      <c r="G1010" s="36">
        <v>2</v>
      </c>
      <c r="H1010" s="36">
        <v>0</v>
      </c>
      <c r="I1010" s="37">
        <v>0</v>
      </c>
      <c r="J1010" s="36" t="s">
        <v>14335</v>
      </c>
      <c r="K1010" s="36" t="s">
        <v>14330</v>
      </c>
      <c r="L1010" s="36" t="s">
        <v>14330</v>
      </c>
      <c r="M1010">
        <v>2</v>
      </c>
      <c r="N1010" t="s">
        <v>14331</v>
      </c>
      <c r="O1010" t="s">
        <v>32633</v>
      </c>
    </row>
    <row r="1011" spans="1:15" x14ac:dyDescent="0.25">
      <c r="A1011" s="35" t="s">
        <v>4823</v>
      </c>
      <c r="B1011" s="36" t="s">
        <v>4824</v>
      </c>
      <c r="C1011" s="36" t="str">
        <f>HYPERLINK("https://rhld.insurance.arkansas.gov/NPILookup?Npi=1093772055","1093772055")</f>
        <v>1093772055</v>
      </c>
      <c r="D1011" s="36" t="s">
        <v>33650</v>
      </c>
      <c r="E1011" s="36" t="s">
        <v>2</v>
      </c>
      <c r="F1011" s="36">
        <v>1</v>
      </c>
      <c r="G1011" s="36">
        <v>2</v>
      </c>
      <c r="H1011" s="36">
        <v>0</v>
      </c>
      <c r="I1011" s="37">
        <v>0</v>
      </c>
      <c r="J1011" s="36" t="s">
        <v>32679</v>
      </c>
      <c r="K1011" s="36" t="s">
        <v>14330</v>
      </c>
      <c r="L1011" s="36" t="s">
        <v>14330</v>
      </c>
      <c r="M1011">
        <v>3</v>
      </c>
      <c r="N1011" t="s">
        <v>14331</v>
      </c>
      <c r="O1011" t="s">
        <v>14333</v>
      </c>
    </row>
    <row r="1012" spans="1:15" x14ac:dyDescent="0.25">
      <c r="A1012" s="35" t="s">
        <v>4823</v>
      </c>
      <c r="B1012" s="36" t="s">
        <v>4824</v>
      </c>
      <c r="C1012" s="36" t="str">
        <f>HYPERLINK("https://rhld.insurance.arkansas.gov/NPILookup?Npi=1114330420","1114330420")</f>
        <v>1114330420</v>
      </c>
      <c r="D1012" s="36" t="s">
        <v>33651</v>
      </c>
      <c r="E1012" s="36" t="s">
        <v>1</v>
      </c>
      <c r="F1012" s="36">
        <v>1</v>
      </c>
      <c r="G1012" s="36">
        <v>3</v>
      </c>
      <c r="H1012" s="36">
        <v>0</v>
      </c>
      <c r="I1012" s="37">
        <v>0</v>
      </c>
      <c r="J1012" s="36" t="s">
        <v>32654</v>
      </c>
      <c r="K1012" s="36" t="s">
        <v>14330</v>
      </c>
      <c r="L1012" s="36" t="s">
        <v>14330</v>
      </c>
      <c r="M1012">
        <v>2</v>
      </c>
      <c r="N1012" t="s">
        <v>14331</v>
      </c>
      <c r="O1012" t="s">
        <v>32633</v>
      </c>
    </row>
    <row r="1013" spans="1:15" x14ac:dyDescent="0.25">
      <c r="A1013" s="35" t="s">
        <v>4823</v>
      </c>
      <c r="B1013" s="36" t="s">
        <v>4824</v>
      </c>
      <c r="C1013" s="36" t="str">
        <f>HYPERLINK("https://rhld.insurance.arkansas.gov/NPILookup?Npi=1134685209","1134685209")</f>
        <v>1134685209</v>
      </c>
      <c r="D1013" s="36" t="s">
        <v>33652</v>
      </c>
      <c r="E1013" s="36" t="s">
        <v>1</v>
      </c>
      <c r="F1013" s="36">
        <v>1</v>
      </c>
      <c r="G1013" s="36">
        <v>2</v>
      </c>
      <c r="H1013" s="36">
        <v>0</v>
      </c>
      <c r="I1013" s="37">
        <v>0</v>
      </c>
      <c r="J1013" s="36" t="s">
        <v>32654</v>
      </c>
      <c r="K1013" s="36" t="s">
        <v>14330</v>
      </c>
      <c r="L1013" s="36" t="s">
        <v>14330</v>
      </c>
      <c r="M1013">
        <v>2</v>
      </c>
      <c r="N1013" t="s">
        <v>14331</v>
      </c>
      <c r="O1013" t="s">
        <v>32633</v>
      </c>
    </row>
    <row r="1014" spans="1:15" x14ac:dyDescent="0.25">
      <c r="A1014" s="35" t="s">
        <v>4823</v>
      </c>
      <c r="B1014" s="36" t="s">
        <v>4824</v>
      </c>
      <c r="C1014" s="36" t="str">
        <f>HYPERLINK("https://rhld.insurance.arkansas.gov/NPILookup?Npi=1144288127","1144288127")</f>
        <v>1144288127</v>
      </c>
      <c r="D1014" s="36" t="s">
        <v>33653</v>
      </c>
      <c r="E1014" s="36" t="s">
        <v>2</v>
      </c>
      <c r="F1014" s="36">
        <v>1</v>
      </c>
      <c r="G1014" s="36">
        <v>2</v>
      </c>
      <c r="H1014" s="36">
        <v>0</v>
      </c>
      <c r="I1014" s="37">
        <v>0</v>
      </c>
      <c r="J1014" s="36"/>
      <c r="K1014" s="36" t="s">
        <v>14330</v>
      </c>
      <c r="L1014" s="36" t="s">
        <v>14330</v>
      </c>
      <c r="M1014">
        <v>1</v>
      </c>
      <c r="N1014" t="s">
        <v>14331</v>
      </c>
      <c r="O1014" t="s">
        <v>14333</v>
      </c>
    </row>
    <row r="1015" spans="1:15" x14ac:dyDescent="0.25">
      <c r="A1015" s="35" t="s">
        <v>4823</v>
      </c>
      <c r="B1015" s="36" t="s">
        <v>4824</v>
      </c>
      <c r="C1015" s="36" t="str">
        <f>HYPERLINK("https://rhld.insurance.arkansas.gov/NPILookup?Npi=1194423327","1194423327")</f>
        <v>1194423327</v>
      </c>
      <c r="D1015" s="36" t="s">
        <v>33654</v>
      </c>
      <c r="E1015" s="36" t="s">
        <v>2</v>
      </c>
      <c r="F1015" s="36">
        <v>1</v>
      </c>
      <c r="G1015" s="36">
        <v>1</v>
      </c>
      <c r="H1015" s="36">
        <v>0</v>
      </c>
      <c r="I1015" s="37">
        <v>0</v>
      </c>
      <c r="J1015" s="36"/>
      <c r="K1015" s="36" t="s">
        <v>14330</v>
      </c>
      <c r="L1015" s="36" t="s">
        <v>14330</v>
      </c>
      <c r="M1015">
        <v>1</v>
      </c>
      <c r="N1015" t="s">
        <v>14332</v>
      </c>
      <c r="O1015" t="s">
        <v>32931</v>
      </c>
    </row>
    <row r="1016" spans="1:15" x14ac:dyDescent="0.25">
      <c r="A1016" s="35" t="s">
        <v>4823</v>
      </c>
      <c r="B1016" s="36" t="s">
        <v>4824</v>
      </c>
      <c r="C1016" s="36" t="str">
        <f>HYPERLINK("https://rhld.insurance.arkansas.gov/NPILookup?Npi=1194938381","1194938381")</f>
        <v>1194938381</v>
      </c>
      <c r="D1016" s="36" t="s">
        <v>33655</v>
      </c>
      <c r="E1016" s="36" t="s">
        <v>1</v>
      </c>
      <c r="F1016" s="36">
        <v>1</v>
      </c>
      <c r="G1016" s="36">
        <v>2</v>
      </c>
      <c r="H1016" s="36">
        <v>1</v>
      </c>
      <c r="I1016" s="37">
        <v>0</v>
      </c>
      <c r="J1016" s="36" t="s">
        <v>32654</v>
      </c>
      <c r="K1016" s="36" t="s">
        <v>14330</v>
      </c>
      <c r="L1016" s="36" t="s">
        <v>33656</v>
      </c>
      <c r="M1016">
        <v>0</v>
      </c>
      <c r="N1016" t="s">
        <v>14331</v>
      </c>
      <c r="O1016" t="s">
        <v>32931</v>
      </c>
    </row>
    <row r="1017" spans="1:15" x14ac:dyDescent="0.25">
      <c r="A1017" s="35" t="s">
        <v>4823</v>
      </c>
      <c r="B1017" s="36" t="s">
        <v>4824</v>
      </c>
      <c r="C1017" s="36" t="str">
        <f>HYPERLINK("https://rhld.insurance.arkansas.gov/NPILookup?Npi=1235189069","1235189069")</f>
        <v>1235189069</v>
      </c>
      <c r="D1017" s="36" t="s">
        <v>33657</v>
      </c>
      <c r="E1017" s="36" t="s">
        <v>1</v>
      </c>
      <c r="F1017" s="36">
        <v>1</v>
      </c>
      <c r="G1017" s="36">
        <v>1</v>
      </c>
      <c r="H1017" s="36">
        <v>1</v>
      </c>
      <c r="I1017" s="37">
        <v>0</v>
      </c>
      <c r="J1017" s="36" t="s">
        <v>32654</v>
      </c>
      <c r="K1017" s="36" t="s">
        <v>14330</v>
      </c>
      <c r="L1017" s="36" t="s">
        <v>33658</v>
      </c>
      <c r="M1017">
        <v>2</v>
      </c>
      <c r="N1017" t="s">
        <v>14332</v>
      </c>
      <c r="O1017" t="s">
        <v>32591</v>
      </c>
    </row>
    <row r="1018" spans="1:15" x14ac:dyDescent="0.25">
      <c r="A1018" s="35" t="s">
        <v>4823</v>
      </c>
      <c r="B1018" s="36" t="s">
        <v>4824</v>
      </c>
      <c r="C1018" s="36" t="str">
        <f>HYPERLINK("https://rhld.insurance.arkansas.gov/NPILookup?Npi=1275774887","1275774887")</f>
        <v>1275774887</v>
      </c>
      <c r="D1018" s="36" t="s">
        <v>33659</v>
      </c>
      <c r="E1018" s="36" t="s">
        <v>2</v>
      </c>
      <c r="F1018" s="36">
        <v>1</v>
      </c>
      <c r="G1018" s="36">
        <v>2</v>
      </c>
      <c r="H1018" s="36">
        <v>0</v>
      </c>
      <c r="I1018" s="37">
        <v>0</v>
      </c>
      <c r="J1018" s="36" t="s">
        <v>32679</v>
      </c>
      <c r="K1018" s="36" t="s">
        <v>14330</v>
      </c>
      <c r="L1018" s="36" t="s">
        <v>14330</v>
      </c>
      <c r="M1018">
        <v>2</v>
      </c>
      <c r="N1018" t="s">
        <v>14331</v>
      </c>
      <c r="O1018" t="s">
        <v>14333</v>
      </c>
    </row>
    <row r="1019" spans="1:15" x14ac:dyDescent="0.25">
      <c r="A1019" s="35" t="s">
        <v>4823</v>
      </c>
      <c r="B1019" s="36" t="s">
        <v>4824</v>
      </c>
      <c r="C1019" s="36" t="str">
        <f>HYPERLINK("https://rhld.insurance.arkansas.gov/NPILookup?Npi=1295143980","1295143980")</f>
        <v>1295143980</v>
      </c>
      <c r="D1019" s="36" t="s">
        <v>33660</v>
      </c>
      <c r="E1019" s="36" t="s">
        <v>1</v>
      </c>
      <c r="F1019" s="36">
        <v>1</v>
      </c>
      <c r="G1019" s="36">
        <v>2</v>
      </c>
      <c r="H1019" s="36">
        <v>0</v>
      </c>
      <c r="I1019" s="37">
        <v>0</v>
      </c>
      <c r="J1019" s="36" t="s">
        <v>32654</v>
      </c>
      <c r="K1019" s="36" t="s">
        <v>14330</v>
      </c>
      <c r="L1019" s="36" t="s">
        <v>14330</v>
      </c>
      <c r="M1019">
        <v>2</v>
      </c>
      <c r="N1019" t="s">
        <v>14331</v>
      </c>
      <c r="O1019" t="s">
        <v>32633</v>
      </c>
    </row>
    <row r="1020" spans="1:15" x14ac:dyDescent="0.25">
      <c r="A1020" s="35" t="s">
        <v>4823</v>
      </c>
      <c r="B1020" s="36" t="s">
        <v>4824</v>
      </c>
      <c r="C1020" s="36" t="str">
        <f>HYPERLINK("https://rhld.insurance.arkansas.gov/NPILookup?Npi=1306009204","1306009204")</f>
        <v>1306009204</v>
      </c>
      <c r="D1020" s="36" t="s">
        <v>33661</v>
      </c>
      <c r="E1020" s="36" t="s">
        <v>1</v>
      </c>
      <c r="F1020" s="36">
        <v>1</v>
      </c>
      <c r="G1020" s="36">
        <v>2</v>
      </c>
      <c r="H1020" s="36">
        <v>0</v>
      </c>
      <c r="I1020" s="37">
        <v>0</v>
      </c>
      <c r="J1020" s="36" t="s">
        <v>32654</v>
      </c>
      <c r="K1020" s="36" t="s">
        <v>14330</v>
      </c>
      <c r="L1020" s="36" t="s">
        <v>14330</v>
      </c>
      <c r="M1020">
        <v>2</v>
      </c>
      <c r="N1020" t="s">
        <v>14331</v>
      </c>
      <c r="O1020" t="s">
        <v>32633</v>
      </c>
    </row>
    <row r="1021" spans="1:15" x14ac:dyDescent="0.25">
      <c r="A1021" s="35" t="s">
        <v>4823</v>
      </c>
      <c r="B1021" s="36" t="s">
        <v>4824</v>
      </c>
      <c r="C1021" s="36" t="str">
        <f>HYPERLINK("https://rhld.insurance.arkansas.gov/NPILookup?Npi=1306936893","1306936893")</f>
        <v>1306936893</v>
      </c>
      <c r="D1021" s="36" t="s">
        <v>33662</v>
      </c>
      <c r="E1021" s="36" t="s">
        <v>2</v>
      </c>
      <c r="F1021" s="36">
        <v>1</v>
      </c>
      <c r="G1021" s="36">
        <v>2</v>
      </c>
      <c r="H1021" s="36">
        <v>0</v>
      </c>
      <c r="I1021" s="37">
        <v>0</v>
      </c>
      <c r="J1021" s="36" t="s">
        <v>32679</v>
      </c>
      <c r="K1021" s="36" t="s">
        <v>14330</v>
      </c>
      <c r="L1021" s="36" t="s">
        <v>14330</v>
      </c>
      <c r="M1021">
        <v>2</v>
      </c>
      <c r="N1021" t="s">
        <v>14331</v>
      </c>
      <c r="O1021" t="s">
        <v>14333</v>
      </c>
    </row>
    <row r="1022" spans="1:15" x14ac:dyDescent="0.25">
      <c r="A1022" s="35" t="s">
        <v>4823</v>
      </c>
      <c r="B1022" s="36" t="s">
        <v>4824</v>
      </c>
      <c r="C1022" s="36" t="str">
        <f>HYPERLINK("https://rhld.insurance.arkansas.gov/NPILookup?Npi=1316321078","1316321078")</f>
        <v>1316321078</v>
      </c>
      <c r="D1022" s="36" t="s">
        <v>33663</v>
      </c>
      <c r="E1022" s="36" t="s">
        <v>2</v>
      </c>
      <c r="F1022" s="36">
        <v>1</v>
      </c>
      <c r="G1022" s="36">
        <v>2</v>
      </c>
      <c r="H1022" s="36">
        <v>0</v>
      </c>
      <c r="I1022" s="37">
        <v>0</v>
      </c>
      <c r="J1022" s="36"/>
      <c r="K1022" s="36" t="s">
        <v>14330</v>
      </c>
      <c r="L1022" s="36" t="s">
        <v>14330</v>
      </c>
      <c r="M1022">
        <v>0</v>
      </c>
      <c r="N1022" t="s">
        <v>14331</v>
      </c>
      <c r="O1022" t="s">
        <v>14333</v>
      </c>
    </row>
    <row r="1023" spans="1:15" x14ac:dyDescent="0.25">
      <c r="A1023" s="35" t="s">
        <v>4823</v>
      </c>
      <c r="B1023" s="36" t="s">
        <v>4824</v>
      </c>
      <c r="C1023" s="36" t="str">
        <f>HYPERLINK("https://rhld.insurance.arkansas.gov/NPILookup?Npi=1386725042","1386725042")</f>
        <v>1386725042</v>
      </c>
      <c r="D1023" s="36" t="s">
        <v>33664</v>
      </c>
      <c r="E1023" s="36" t="s">
        <v>2</v>
      </c>
      <c r="F1023" s="36">
        <v>1</v>
      </c>
      <c r="G1023" s="36">
        <v>1</v>
      </c>
      <c r="H1023" s="36">
        <v>1</v>
      </c>
      <c r="I1023" s="37">
        <v>0</v>
      </c>
      <c r="J1023" s="36" t="s">
        <v>32679</v>
      </c>
      <c r="K1023" s="36" t="s">
        <v>14330</v>
      </c>
      <c r="L1023" s="36" t="s">
        <v>33665</v>
      </c>
      <c r="M1023">
        <v>3</v>
      </c>
      <c r="N1023" t="s">
        <v>14332</v>
      </c>
      <c r="O1023" t="s">
        <v>32591</v>
      </c>
    </row>
    <row r="1024" spans="1:15" x14ac:dyDescent="0.25">
      <c r="A1024" s="35" t="s">
        <v>4823</v>
      </c>
      <c r="B1024" s="36" t="s">
        <v>4824</v>
      </c>
      <c r="C1024" s="36" t="str">
        <f>HYPERLINK("https://rhld.insurance.arkansas.gov/NPILookup?Npi=1417589144","1417589144")</f>
        <v>1417589144</v>
      </c>
      <c r="D1024" s="36" t="s">
        <v>33666</v>
      </c>
      <c r="E1024" s="36" t="s">
        <v>1</v>
      </c>
      <c r="F1024" s="36">
        <v>1</v>
      </c>
      <c r="G1024" s="36">
        <v>3</v>
      </c>
      <c r="H1024" s="36">
        <v>0</v>
      </c>
      <c r="I1024" s="37">
        <v>0</v>
      </c>
      <c r="J1024" s="36" t="s">
        <v>32654</v>
      </c>
      <c r="K1024" s="36" t="s">
        <v>14330</v>
      </c>
      <c r="L1024" s="36" t="s">
        <v>14330</v>
      </c>
      <c r="M1024">
        <v>2</v>
      </c>
      <c r="N1024" t="s">
        <v>14331</v>
      </c>
      <c r="O1024" t="s">
        <v>32633</v>
      </c>
    </row>
    <row r="1025" spans="1:15" x14ac:dyDescent="0.25">
      <c r="A1025" s="35" t="s">
        <v>4823</v>
      </c>
      <c r="B1025" s="36" t="s">
        <v>4824</v>
      </c>
      <c r="C1025" s="36" t="str">
        <f>HYPERLINK("https://rhld.insurance.arkansas.gov/NPILookup?Npi=1427311935","1427311935")</f>
        <v>1427311935</v>
      </c>
      <c r="D1025" s="36" t="s">
        <v>33667</v>
      </c>
      <c r="E1025" s="36" t="s">
        <v>2</v>
      </c>
      <c r="F1025" s="36">
        <v>1</v>
      </c>
      <c r="G1025" s="36">
        <v>2</v>
      </c>
      <c r="H1025" s="36">
        <v>0</v>
      </c>
      <c r="I1025" s="37">
        <v>0</v>
      </c>
      <c r="J1025" s="36"/>
      <c r="K1025" s="36" t="s">
        <v>14330</v>
      </c>
      <c r="L1025" s="36" t="s">
        <v>14330</v>
      </c>
      <c r="M1025">
        <v>2</v>
      </c>
      <c r="N1025" t="s">
        <v>14331</v>
      </c>
      <c r="O1025" t="s">
        <v>14333</v>
      </c>
    </row>
    <row r="1026" spans="1:15" x14ac:dyDescent="0.25">
      <c r="A1026" s="35" t="s">
        <v>4823</v>
      </c>
      <c r="B1026" s="36" t="s">
        <v>4824</v>
      </c>
      <c r="C1026" s="36" t="str">
        <f>HYPERLINK("https://rhld.insurance.arkansas.gov/NPILookup?Npi=1447230461","1447230461")</f>
        <v>1447230461</v>
      </c>
      <c r="D1026" s="36" t="s">
        <v>33668</v>
      </c>
      <c r="E1026" s="36" t="s">
        <v>2</v>
      </c>
      <c r="F1026" s="36">
        <v>1</v>
      </c>
      <c r="G1026" s="36">
        <v>2</v>
      </c>
      <c r="H1026" s="36">
        <v>0</v>
      </c>
      <c r="I1026" s="37">
        <v>0</v>
      </c>
      <c r="J1026" s="36"/>
      <c r="K1026" s="36" t="s">
        <v>14330</v>
      </c>
      <c r="L1026" s="36" t="s">
        <v>14330</v>
      </c>
      <c r="M1026">
        <v>1</v>
      </c>
      <c r="N1026" t="s">
        <v>14331</v>
      </c>
      <c r="O1026" t="s">
        <v>14333</v>
      </c>
    </row>
    <row r="1027" spans="1:15" x14ac:dyDescent="0.25">
      <c r="A1027" s="35" t="s">
        <v>4823</v>
      </c>
      <c r="B1027" s="36" t="s">
        <v>4824</v>
      </c>
      <c r="C1027" s="36" t="str">
        <f>HYPERLINK("https://rhld.insurance.arkansas.gov/NPILookup?Npi=1467455808","1467455808")</f>
        <v>1467455808</v>
      </c>
      <c r="D1027" s="36" t="s">
        <v>33669</v>
      </c>
      <c r="E1027" s="36" t="s">
        <v>2</v>
      </c>
      <c r="F1027" s="36">
        <v>1</v>
      </c>
      <c r="G1027" s="36">
        <v>1</v>
      </c>
      <c r="H1027" s="36">
        <v>0</v>
      </c>
      <c r="I1027" s="37">
        <v>0</v>
      </c>
      <c r="J1027" s="36"/>
      <c r="K1027" s="36" t="s">
        <v>14330</v>
      </c>
      <c r="L1027" s="36" t="s">
        <v>14330</v>
      </c>
      <c r="M1027">
        <v>2</v>
      </c>
      <c r="N1027" t="s">
        <v>14331</v>
      </c>
      <c r="O1027" t="s">
        <v>32633</v>
      </c>
    </row>
    <row r="1028" spans="1:15" x14ac:dyDescent="0.25">
      <c r="A1028" s="35" t="s">
        <v>4823</v>
      </c>
      <c r="B1028" s="36" t="s">
        <v>4824</v>
      </c>
      <c r="C1028" s="36" t="str">
        <f>HYPERLINK("https://rhld.insurance.arkansas.gov/NPILookup?Npi=1487233177","1487233177")</f>
        <v>1487233177</v>
      </c>
      <c r="D1028" s="36" t="s">
        <v>33670</v>
      </c>
      <c r="E1028" s="36" t="s">
        <v>2</v>
      </c>
      <c r="F1028" s="36">
        <v>1</v>
      </c>
      <c r="G1028" s="36">
        <v>2</v>
      </c>
      <c r="H1028" s="36">
        <v>0</v>
      </c>
      <c r="I1028" s="37">
        <v>0</v>
      </c>
      <c r="J1028" s="36"/>
      <c r="K1028" s="36" t="s">
        <v>14330</v>
      </c>
      <c r="L1028" s="36" t="s">
        <v>14330</v>
      </c>
      <c r="M1028">
        <v>1</v>
      </c>
      <c r="N1028" t="s">
        <v>14331</v>
      </c>
      <c r="O1028" t="s">
        <v>14333</v>
      </c>
    </row>
    <row r="1029" spans="1:15" x14ac:dyDescent="0.25">
      <c r="A1029" s="35" t="s">
        <v>4823</v>
      </c>
      <c r="B1029" s="36" t="s">
        <v>4824</v>
      </c>
      <c r="C1029" s="36" t="str">
        <f>HYPERLINK("https://rhld.insurance.arkansas.gov/NPILookup?Npi=1508477563","1508477563")</f>
        <v>1508477563</v>
      </c>
      <c r="D1029" s="36" t="s">
        <v>33671</v>
      </c>
      <c r="E1029" s="36" t="s">
        <v>2</v>
      </c>
      <c r="F1029" s="36">
        <v>1</v>
      </c>
      <c r="G1029" s="36">
        <v>1</v>
      </c>
      <c r="H1029" s="36">
        <v>0</v>
      </c>
      <c r="I1029" s="37">
        <v>0</v>
      </c>
      <c r="J1029" s="36" t="s">
        <v>32679</v>
      </c>
      <c r="K1029" s="36" t="s">
        <v>14330</v>
      </c>
      <c r="L1029" s="36" t="s">
        <v>14330</v>
      </c>
      <c r="M1029">
        <v>2</v>
      </c>
      <c r="N1029" t="s">
        <v>14331</v>
      </c>
      <c r="O1029" t="s">
        <v>32633</v>
      </c>
    </row>
    <row r="1030" spans="1:15" x14ac:dyDescent="0.25">
      <c r="A1030" s="35" t="s">
        <v>4823</v>
      </c>
      <c r="B1030" s="36" t="s">
        <v>4824</v>
      </c>
      <c r="C1030" s="36" t="str">
        <f>HYPERLINK("https://rhld.insurance.arkansas.gov/NPILookup?Npi=1548727100","1548727100")</f>
        <v>1548727100</v>
      </c>
      <c r="D1030" s="36" t="s">
        <v>33672</v>
      </c>
      <c r="E1030" s="36" t="s">
        <v>1</v>
      </c>
      <c r="F1030" s="36">
        <v>1</v>
      </c>
      <c r="G1030" s="36">
        <v>2</v>
      </c>
      <c r="H1030" s="36">
        <v>0</v>
      </c>
      <c r="I1030" s="37">
        <v>0</v>
      </c>
      <c r="J1030" s="36" t="s">
        <v>32654</v>
      </c>
      <c r="K1030" s="36" t="s">
        <v>14330</v>
      </c>
      <c r="L1030" s="36" t="s">
        <v>14330</v>
      </c>
      <c r="M1030">
        <v>2</v>
      </c>
      <c r="N1030" t="s">
        <v>14331</v>
      </c>
      <c r="O1030" t="s">
        <v>32633</v>
      </c>
    </row>
    <row r="1031" spans="1:15" x14ac:dyDescent="0.25">
      <c r="A1031" s="35" t="s">
        <v>4823</v>
      </c>
      <c r="B1031" s="36" t="s">
        <v>4824</v>
      </c>
      <c r="C1031" s="36" t="str">
        <f>HYPERLINK("https://rhld.insurance.arkansas.gov/NPILookup?Npi=1619966371","1619966371")</f>
        <v>1619966371</v>
      </c>
      <c r="D1031" s="36" t="s">
        <v>33673</v>
      </c>
      <c r="E1031" s="36" t="s">
        <v>2</v>
      </c>
      <c r="F1031" s="36">
        <v>1</v>
      </c>
      <c r="G1031" s="36">
        <v>2</v>
      </c>
      <c r="H1031" s="36">
        <v>0</v>
      </c>
      <c r="I1031" s="37">
        <v>0</v>
      </c>
      <c r="J1031" s="36" t="s">
        <v>32679</v>
      </c>
      <c r="K1031" s="36" t="s">
        <v>14330</v>
      </c>
      <c r="L1031" s="36" t="s">
        <v>14330</v>
      </c>
      <c r="M1031">
        <v>2</v>
      </c>
      <c r="N1031" t="s">
        <v>14331</v>
      </c>
      <c r="O1031" t="s">
        <v>14333</v>
      </c>
    </row>
    <row r="1032" spans="1:15" x14ac:dyDescent="0.25">
      <c r="A1032" s="35" t="s">
        <v>4823</v>
      </c>
      <c r="B1032" s="36" t="s">
        <v>4824</v>
      </c>
      <c r="C1032" s="36" t="str">
        <f>HYPERLINK("https://rhld.insurance.arkansas.gov/NPILookup?Npi=1629008388","1629008388")</f>
        <v>1629008388</v>
      </c>
      <c r="D1032" s="36" t="s">
        <v>33674</v>
      </c>
      <c r="E1032" s="36" t="s">
        <v>2</v>
      </c>
      <c r="F1032" s="36">
        <v>1</v>
      </c>
      <c r="G1032" s="36">
        <v>2</v>
      </c>
      <c r="H1032" s="36">
        <v>0</v>
      </c>
      <c r="I1032" s="37">
        <v>0</v>
      </c>
      <c r="J1032" s="36"/>
      <c r="K1032" s="36" t="s">
        <v>14330</v>
      </c>
      <c r="L1032" s="36" t="s">
        <v>14330</v>
      </c>
      <c r="M1032">
        <v>2</v>
      </c>
      <c r="N1032" t="s">
        <v>14331</v>
      </c>
      <c r="O1032" t="s">
        <v>14333</v>
      </c>
    </row>
    <row r="1033" spans="1:15" x14ac:dyDescent="0.25">
      <c r="A1033" s="35" t="s">
        <v>4823</v>
      </c>
      <c r="B1033" s="36" t="s">
        <v>4824</v>
      </c>
      <c r="C1033" s="36" t="str">
        <f>HYPERLINK("https://rhld.insurance.arkansas.gov/NPILookup?Npi=1669731741","1669731741")</f>
        <v>1669731741</v>
      </c>
      <c r="D1033" s="36" t="s">
        <v>33675</v>
      </c>
      <c r="E1033" s="36" t="s">
        <v>1</v>
      </c>
      <c r="F1033" s="36">
        <v>1</v>
      </c>
      <c r="G1033" s="36">
        <v>2</v>
      </c>
      <c r="H1033" s="36">
        <v>0</v>
      </c>
      <c r="I1033" s="37">
        <v>0</v>
      </c>
      <c r="J1033" s="36" t="s">
        <v>32654</v>
      </c>
      <c r="K1033" s="36" t="s">
        <v>14330</v>
      </c>
      <c r="L1033" s="36" t="s">
        <v>14330</v>
      </c>
      <c r="M1033">
        <v>2</v>
      </c>
      <c r="N1033" t="s">
        <v>14331</v>
      </c>
      <c r="O1033" t="s">
        <v>32633</v>
      </c>
    </row>
    <row r="1034" spans="1:15" x14ac:dyDescent="0.25">
      <c r="A1034" s="35" t="s">
        <v>4823</v>
      </c>
      <c r="B1034" s="36" t="s">
        <v>4824</v>
      </c>
      <c r="C1034" s="36" t="str">
        <f>HYPERLINK("https://rhld.insurance.arkansas.gov/NPILookup?Npi=1679584734","1679584734")</f>
        <v>1679584734</v>
      </c>
      <c r="D1034" s="36" t="s">
        <v>33676</v>
      </c>
      <c r="E1034" s="36" t="s">
        <v>2</v>
      </c>
      <c r="F1034" s="36">
        <v>1</v>
      </c>
      <c r="G1034" s="36">
        <v>2</v>
      </c>
      <c r="H1034" s="36">
        <v>0</v>
      </c>
      <c r="I1034" s="37">
        <v>0</v>
      </c>
      <c r="J1034" s="36"/>
      <c r="K1034" s="36" t="s">
        <v>14330</v>
      </c>
      <c r="L1034" s="36" t="s">
        <v>14330</v>
      </c>
      <c r="M1034">
        <v>0</v>
      </c>
      <c r="N1034" t="s">
        <v>14331</v>
      </c>
      <c r="O1034" t="s">
        <v>14333</v>
      </c>
    </row>
    <row r="1035" spans="1:15" x14ac:dyDescent="0.25">
      <c r="A1035" s="35" t="s">
        <v>4823</v>
      </c>
      <c r="B1035" s="36" t="s">
        <v>4824</v>
      </c>
      <c r="C1035" s="36" t="str">
        <f>HYPERLINK("https://rhld.insurance.arkansas.gov/NPILookup?Npi=1710619085","1710619085")</f>
        <v>1710619085</v>
      </c>
      <c r="D1035" s="36" t="s">
        <v>33677</v>
      </c>
      <c r="E1035" s="36" t="s">
        <v>2</v>
      </c>
      <c r="F1035" s="36">
        <v>1</v>
      </c>
      <c r="G1035" s="36">
        <v>0</v>
      </c>
      <c r="H1035" s="36">
        <v>0</v>
      </c>
      <c r="I1035" s="37">
        <v>0</v>
      </c>
      <c r="J1035" s="36" t="s">
        <v>32679</v>
      </c>
      <c r="K1035" s="36" t="s">
        <v>14330</v>
      </c>
      <c r="L1035" s="36" t="s">
        <v>14330</v>
      </c>
      <c r="M1035">
        <v>2</v>
      </c>
      <c r="N1035" t="s">
        <v>14331</v>
      </c>
      <c r="O1035" t="s">
        <v>33678</v>
      </c>
    </row>
    <row r="1036" spans="1:15" x14ac:dyDescent="0.25">
      <c r="A1036" s="35" t="s">
        <v>4823</v>
      </c>
      <c r="B1036" s="36" t="s">
        <v>4824</v>
      </c>
      <c r="C1036" s="36" t="str">
        <f>HYPERLINK("https://rhld.insurance.arkansas.gov/NPILookup?Npi=1740852110","1740852110")</f>
        <v>1740852110</v>
      </c>
      <c r="D1036" s="36" t="s">
        <v>33679</v>
      </c>
      <c r="E1036" s="36" t="s">
        <v>1</v>
      </c>
      <c r="F1036" s="36">
        <v>1</v>
      </c>
      <c r="G1036" s="36">
        <v>2</v>
      </c>
      <c r="H1036" s="36">
        <v>0</v>
      </c>
      <c r="I1036" s="37">
        <v>0</v>
      </c>
      <c r="J1036" s="36" t="s">
        <v>32654</v>
      </c>
      <c r="K1036" s="36" t="s">
        <v>14330</v>
      </c>
      <c r="L1036" s="36" t="s">
        <v>14330</v>
      </c>
      <c r="M1036">
        <v>2</v>
      </c>
      <c r="N1036" t="s">
        <v>14331</v>
      </c>
      <c r="O1036" t="s">
        <v>32633</v>
      </c>
    </row>
    <row r="1037" spans="1:15" x14ac:dyDescent="0.25">
      <c r="A1037" s="35" t="s">
        <v>4823</v>
      </c>
      <c r="B1037" s="36" t="s">
        <v>4824</v>
      </c>
      <c r="C1037" s="36" t="str">
        <f>HYPERLINK("https://rhld.insurance.arkansas.gov/NPILookup?Npi=1750960787","1750960787")</f>
        <v>1750960787</v>
      </c>
      <c r="D1037" s="36" t="s">
        <v>33680</v>
      </c>
      <c r="E1037" s="36" t="s">
        <v>2</v>
      </c>
      <c r="F1037" s="36">
        <v>1</v>
      </c>
      <c r="G1037" s="36">
        <v>2</v>
      </c>
      <c r="H1037" s="36">
        <v>0</v>
      </c>
      <c r="I1037" s="37">
        <v>0</v>
      </c>
      <c r="J1037" s="36"/>
      <c r="K1037" s="36" t="s">
        <v>14330</v>
      </c>
      <c r="L1037" s="36" t="s">
        <v>14330</v>
      </c>
      <c r="M1037">
        <v>1</v>
      </c>
      <c r="N1037" t="s">
        <v>14331</v>
      </c>
      <c r="O1037" t="s">
        <v>14333</v>
      </c>
    </row>
    <row r="1038" spans="1:15" x14ac:dyDescent="0.25">
      <c r="A1038" s="35" t="s">
        <v>4823</v>
      </c>
      <c r="B1038" s="36" t="s">
        <v>4824</v>
      </c>
      <c r="C1038" s="36" t="str">
        <f>HYPERLINK("https://rhld.insurance.arkansas.gov/NPILookup?Npi=1811989098","1811989098")</f>
        <v>1811989098</v>
      </c>
      <c r="D1038" s="36" t="s">
        <v>33681</v>
      </c>
      <c r="E1038" s="36" t="s">
        <v>2</v>
      </c>
      <c r="F1038" s="36">
        <v>1</v>
      </c>
      <c r="G1038" s="36">
        <v>1</v>
      </c>
      <c r="H1038" s="36">
        <v>0</v>
      </c>
      <c r="I1038" s="37">
        <v>0</v>
      </c>
      <c r="J1038" s="36"/>
      <c r="K1038" s="36" t="s">
        <v>14330</v>
      </c>
      <c r="L1038" s="36" t="s">
        <v>14330</v>
      </c>
      <c r="M1038">
        <v>1</v>
      </c>
      <c r="N1038" t="s">
        <v>14331</v>
      </c>
      <c r="O1038" t="s">
        <v>32633</v>
      </c>
    </row>
    <row r="1039" spans="1:15" x14ac:dyDescent="0.25">
      <c r="A1039" s="35" t="s">
        <v>4823</v>
      </c>
      <c r="B1039" s="36" t="s">
        <v>4824</v>
      </c>
      <c r="C1039" s="36" t="str">
        <f>HYPERLINK("https://rhld.insurance.arkansas.gov/NPILookup?Npi=1871811794","1871811794")</f>
        <v>1871811794</v>
      </c>
      <c r="D1039" s="36" t="s">
        <v>33682</v>
      </c>
      <c r="E1039" s="36" t="s">
        <v>2</v>
      </c>
      <c r="F1039" s="36">
        <v>1</v>
      </c>
      <c r="G1039" s="36">
        <v>1</v>
      </c>
      <c r="H1039" s="36">
        <v>0</v>
      </c>
      <c r="I1039" s="37">
        <v>0</v>
      </c>
      <c r="J1039" s="36"/>
      <c r="K1039" s="36" t="s">
        <v>14330</v>
      </c>
      <c r="L1039" s="36" t="s">
        <v>14330</v>
      </c>
      <c r="M1039">
        <v>1</v>
      </c>
      <c r="N1039" t="s">
        <v>14331</v>
      </c>
      <c r="O1039" t="s">
        <v>32633</v>
      </c>
    </row>
    <row r="1040" spans="1:15" x14ac:dyDescent="0.25">
      <c r="A1040" s="35" t="s">
        <v>4823</v>
      </c>
      <c r="B1040" s="36" t="s">
        <v>4824</v>
      </c>
      <c r="C1040" s="36" t="str">
        <f>HYPERLINK("https://rhld.insurance.arkansas.gov/NPILookup?Npi=1922681782","1922681782")</f>
        <v>1922681782</v>
      </c>
      <c r="D1040" s="36" t="s">
        <v>33683</v>
      </c>
      <c r="E1040" s="36" t="s">
        <v>2</v>
      </c>
      <c r="F1040" s="36">
        <v>1</v>
      </c>
      <c r="G1040" s="36">
        <v>1</v>
      </c>
      <c r="H1040" s="36">
        <v>0</v>
      </c>
      <c r="I1040" s="37">
        <v>0</v>
      </c>
      <c r="J1040" s="36"/>
      <c r="K1040" s="36" t="s">
        <v>14330</v>
      </c>
      <c r="L1040" s="36" t="s">
        <v>14330</v>
      </c>
      <c r="M1040">
        <v>1</v>
      </c>
      <c r="N1040" t="s">
        <v>14331</v>
      </c>
      <c r="O1040" t="s">
        <v>32633</v>
      </c>
    </row>
    <row r="1041" spans="1:15" x14ac:dyDescent="0.25">
      <c r="A1041" s="35" t="s">
        <v>4823</v>
      </c>
      <c r="B1041" s="36" t="s">
        <v>4824</v>
      </c>
      <c r="C1041" s="36" t="str">
        <f>HYPERLINK("https://rhld.insurance.arkansas.gov/NPILookup?Npi=1932262995","1932262995")</f>
        <v>1932262995</v>
      </c>
      <c r="D1041" s="36" t="s">
        <v>33684</v>
      </c>
      <c r="E1041" s="36" t="s">
        <v>1</v>
      </c>
      <c r="F1041" s="36">
        <v>1</v>
      </c>
      <c r="G1041" s="36">
        <v>1</v>
      </c>
      <c r="H1041" s="36">
        <v>0</v>
      </c>
      <c r="I1041" s="37">
        <v>0</v>
      </c>
      <c r="J1041" s="36" t="s">
        <v>32654</v>
      </c>
      <c r="K1041" s="36" t="s">
        <v>14330</v>
      </c>
      <c r="L1041" s="36" t="s">
        <v>14330</v>
      </c>
      <c r="M1041">
        <v>0</v>
      </c>
      <c r="N1041" t="s">
        <v>14331</v>
      </c>
      <c r="O1041" t="s">
        <v>32633</v>
      </c>
    </row>
    <row r="1042" spans="1:15" x14ac:dyDescent="0.25">
      <c r="A1042" s="35" t="s">
        <v>4823</v>
      </c>
      <c r="B1042" s="36" t="s">
        <v>4824</v>
      </c>
      <c r="C1042" s="36" t="str">
        <f>HYPERLINK("https://rhld.insurance.arkansas.gov/NPILookup?Npi=1932562725","1932562725")</f>
        <v>1932562725</v>
      </c>
      <c r="D1042" s="36" t="s">
        <v>33685</v>
      </c>
      <c r="E1042" s="36" t="s">
        <v>1</v>
      </c>
      <c r="F1042" s="36">
        <v>1</v>
      </c>
      <c r="G1042" s="36">
        <v>1</v>
      </c>
      <c r="H1042" s="36">
        <v>1</v>
      </c>
      <c r="I1042" s="37">
        <v>0</v>
      </c>
      <c r="J1042" s="36" t="s">
        <v>32654</v>
      </c>
      <c r="K1042" s="36" t="s">
        <v>14330</v>
      </c>
      <c r="L1042" s="36" t="s">
        <v>33686</v>
      </c>
      <c r="M1042">
        <v>3</v>
      </c>
      <c r="N1042" t="s">
        <v>14332</v>
      </c>
      <c r="O1042" t="s">
        <v>32591</v>
      </c>
    </row>
    <row r="1043" spans="1:15" x14ac:dyDescent="0.25">
      <c r="A1043" s="35" t="s">
        <v>4823</v>
      </c>
      <c r="B1043" s="36" t="s">
        <v>4824</v>
      </c>
      <c r="C1043" s="36" t="str">
        <f>HYPERLINK("https://rhld.insurance.arkansas.gov/NPILookup?Npi=1952316366","1952316366")</f>
        <v>1952316366</v>
      </c>
      <c r="D1043" s="36" t="s">
        <v>33687</v>
      </c>
      <c r="E1043" s="36" t="s">
        <v>1</v>
      </c>
      <c r="F1043" s="36">
        <v>1</v>
      </c>
      <c r="G1043" s="36">
        <v>3</v>
      </c>
      <c r="H1043" s="36">
        <v>0</v>
      </c>
      <c r="I1043" s="37">
        <v>0</v>
      </c>
      <c r="J1043" s="36" t="s">
        <v>32654</v>
      </c>
      <c r="K1043" s="36" t="s">
        <v>14330</v>
      </c>
      <c r="L1043" s="36" t="s">
        <v>14330</v>
      </c>
      <c r="M1043">
        <v>2</v>
      </c>
      <c r="N1043" t="s">
        <v>14331</v>
      </c>
      <c r="O1043" t="s">
        <v>32633</v>
      </c>
    </row>
    <row r="1044" spans="1:15" x14ac:dyDescent="0.25">
      <c r="A1044" s="35" t="s">
        <v>4823</v>
      </c>
      <c r="B1044" s="36" t="s">
        <v>4824</v>
      </c>
      <c r="C1044" s="36" t="str">
        <f>HYPERLINK("https://rhld.insurance.arkansas.gov/NPILookup?Npi=1962632216","1962632216")</f>
        <v>1962632216</v>
      </c>
      <c r="D1044" s="36" t="s">
        <v>33688</v>
      </c>
      <c r="E1044" s="36" t="s">
        <v>2</v>
      </c>
      <c r="F1044" s="36">
        <v>1</v>
      </c>
      <c r="G1044" s="36">
        <v>2</v>
      </c>
      <c r="H1044" s="36">
        <v>0</v>
      </c>
      <c r="I1044" s="37">
        <v>0</v>
      </c>
      <c r="J1044" s="36" t="s">
        <v>32679</v>
      </c>
      <c r="K1044" s="36" t="s">
        <v>14330</v>
      </c>
      <c r="L1044" s="36" t="s">
        <v>14330</v>
      </c>
      <c r="M1044">
        <v>2</v>
      </c>
      <c r="N1044" t="s">
        <v>14331</v>
      </c>
      <c r="O1044" t="s">
        <v>14333</v>
      </c>
    </row>
    <row r="1045" spans="1:15" x14ac:dyDescent="0.25">
      <c r="A1045" s="35" t="s">
        <v>4823</v>
      </c>
      <c r="B1045" s="36" t="s">
        <v>4824</v>
      </c>
      <c r="C1045" s="36" t="str">
        <f>HYPERLINK("https://rhld.insurance.arkansas.gov/NPILookup?Npi=1972560845","1972560845")</f>
        <v>1972560845</v>
      </c>
      <c r="D1045" s="36" t="s">
        <v>33689</v>
      </c>
      <c r="E1045" s="36" t="s">
        <v>2</v>
      </c>
      <c r="F1045" s="36">
        <v>1</v>
      </c>
      <c r="G1045" s="36">
        <v>2</v>
      </c>
      <c r="H1045" s="36">
        <v>0</v>
      </c>
      <c r="I1045" s="37">
        <v>0</v>
      </c>
      <c r="J1045" s="36"/>
      <c r="K1045" s="36" t="s">
        <v>14330</v>
      </c>
      <c r="L1045" s="36" t="s">
        <v>14330</v>
      </c>
      <c r="M1045">
        <v>0</v>
      </c>
      <c r="N1045" t="s">
        <v>14331</v>
      </c>
      <c r="O1045" t="s">
        <v>14333</v>
      </c>
    </row>
    <row r="1046" spans="1:15" x14ac:dyDescent="0.25">
      <c r="A1046" s="35" t="s">
        <v>4823</v>
      </c>
      <c r="B1046" s="36" t="s">
        <v>4824</v>
      </c>
      <c r="C1046" s="36" t="str">
        <f>HYPERLINK("https://rhld.insurance.arkansas.gov/NPILookup?Npi=1992024491","1992024491")</f>
        <v>1992024491</v>
      </c>
      <c r="D1046" s="36" t="s">
        <v>33690</v>
      </c>
      <c r="E1046" s="36" t="s">
        <v>1</v>
      </c>
      <c r="F1046" s="36">
        <v>1</v>
      </c>
      <c r="G1046" s="36">
        <v>1</v>
      </c>
      <c r="H1046" s="36">
        <v>1</v>
      </c>
      <c r="I1046" s="37">
        <v>0</v>
      </c>
      <c r="J1046" s="36" t="s">
        <v>32654</v>
      </c>
      <c r="K1046" s="36" t="s">
        <v>14330</v>
      </c>
      <c r="L1046" s="36" t="s">
        <v>33691</v>
      </c>
      <c r="M1046">
        <v>2</v>
      </c>
      <c r="N1046" t="s">
        <v>14331</v>
      </c>
      <c r="O1046" t="s">
        <v>32931</v>
      </c>
    </row>
    <row r="1047" spans="1:15" x14ac:dyDescent="0.25">
      <c r="A1047" s="35" t="s">
        <v>4910</v>
      </c>
      <c r="B1047" s="36" t="s">
        <v>4911</v>
      </c>
      <c r="C1047" s="36" t="str">
        <f>HYPERLINK("https://rhld.insurance.arkansas.gov/NPILookup?Npi=1033452990","1033452990")</f>
        <v>1033452990</v>
      </c>
      <c r="D1047" s="36" t="s">
        <v>33692</v>
      </c>
      <c r="E1047" s="36" t="s">
        <v>1</v>
      </c>
      <c r="F1047" s="36">
        <v>2</v>
      </c>
      <c r="G1047" s="36">
        <v>3</v>
      </c>
      <c r="H1047" s="36">
        <v>1</v>
      </c>
      <c r="I1047" s="37">
        <v>0</v>
      </c>
      <c r="J1047" s="36" t="s">
        <v>33693</v>
      </c>
      <c r="K1047" s="36" t="s">
        <v>14330</v>
      </c>
      <c r="L1047" s="36" t="s">
        <v>33694</v>
      </c>
      <c r="M1047">
        <v>4</v>
      </c>
      <c r="N1047" t="s">
        <v>14332</v>
      </c>
      <c r="O1047" s="59" t="s">
        <v>33695</v>
      </c>
    </row>
    <row r="1048" spans="1:15" x14ac:dyDescent="0.25">
      <c r="A1048" s="35" t="s">
        <v>4910</v>
      </c>
      <c r="B1048" s="36" t="s">
        <v>4911</v>
      </c>
      <c r="C1048" s="36" t="str">
        <f>HYPERLINK("https://rhld.insurance.arkansas.gov/NPILookup?Npi=1063734069","1063734069")</f>
        <v>1063734069</v>
      </c>
      <c r="D1048" s="36" t="s">
        <v>33696</v>
      </c>
      <c r="E1048" s="36" t="s">
        <v>1</v>
      </c>
      <c r="F1048" s="36">
        <v>1</v>
      </c>
      <c r="G1048" s="36">
        <v>4</v>
      </c>
      <c r="H1048" s="36">
        <v>0</v>
      </c>
      <c r="I1048" s="37">
        <v>0</v>
      </c>
      <c r="J1048" s="36" t="s">
        <v>33697</v>
      </c>
      <c r="K1048" s="36" t="s">
        <v>14330</v>
      </c>
      <c r="L1048" s="36" t="s">
        <v>14330</v>
      </c>
      <c r="M1048">
        <v>4</v>
      </c>
      <c r="N1048" t="s">
        <v>14331</v>
      </c>
      <c r="O1048" t="s">
        <v>32633</v>
      </c>
    </row>
    <row r="1049" spans="1:15" x14ac:dyDescent="0.25">
      <c r="A1049" s="35" t="s">
        <v>4910</v>
      </c>
      <c r="B1049" s="36" t="s">
        <v>4911</v>
      </c>
      <c r="C1049" s="36" t="str">
        <f>HYPERLINK("https://rhld.insurance.arkansas.gov/NPILookup?Npi=1093395220","1093395220")</f>
        <v>1093395220</v>
      </c>
      <c r="D1049" s="36" t="s">
        <v>33698</v>
      </c>
      <c r="E1049" s="36" t="s">
        <v>1</v>
      </c>
      <c r="F1049" s="36">
        <v>1</v>
      </c>
      <c r="G1049" s="36">
        <v>4</v>
      </c>
      <c r="H1049" s="36">
        <v>0</v>
      </c>
      <c r="I1049" s="37">
        <v>0</v>
      </c>
      <c r="J1049" s="36" t="s">
        <v>32654</v>
      </c>
      <c r="K1049" s="36" t="s">
        <v>33699</v>
      </c>
      <c r="L1049" s="36" t="s">
        <v>14330</v>
      </c>
      <c r="M1049">
        <v>3</v>
      </c>
      <c r="N1049" t="s">
        <v>14331</v>
      </c>
      <c r="O1049" t="s">
        <v>32633</v>
      </c>
    </row>
    <row r="1050" spans="1:15" x14ac:dyDescent="0.25">
      <c r="A1050" s="35" t="s">
        <v>4910</v>
      </c>
      <c r="B1050" s="36" t="s">
        <v>4911</v>
      </c>
      <c r="C1050" s="36" t="str">
        <f>HYPERLINK("https://rhld.insurance.arkansas.gov/NPILookup?Npi=1306004577","1306004577")</f>
        <v>1306004577</v>
      </c>
      <c r="D1050" s="36" t="s">
        <v>33700</v>
      </c>
      <c r="E1050" s="36" t="s">
        <v>2</v>
      </c>
      <c r="F1050" s="36">
        <v>1</v>
      </c>
      <c r="G1050" s="36">
        <v>3</v>
      </c>
      <c r="H1050" s="36">
        <v>0</v>
      </c>
      <c r="I1050" s="37">
        <v>0</v>
      </c>
      <c r="J1050" s="36"/>
      <c r="K1050" s="36" t="s">
        <v>14330</v>
      </c>
      <c r="L1050" s="36" t="s">
        <v>14330</v>
      </c>
      <c r="M1050">
        <v>2</v>
      </c>
      <c r="N1050" t="s">
        <v>14331</v>
      </c>
      <c r="O1050" t="s">
        <v>14333</v>
      </c>
    </row>
    <row r="1051" spans="1:15" x14ac:dyDescent="0.25">
      <c r="A1051" s="35" t="s">
        <v>4910</v>
      </c>
      <c r="B1051" s="36" t="s">
        <v>4911</v>
      </c>
      <c r="C1051" s="36" t="str">
        <f>HYPERLINK("https://rhld.insurance.arkansas.gov/NPILookup?Npi=1407060569","1407060569")</f>
        <v>1407060569</v>
      </c>
      <c r="D1051" s="36" t="s">
        <v>33701</v>
      </c>
      <c r="E1051" s="36" t="s">
        <v>1</v>
      </c>
      <c r="F1051" s="36">
        <v>1</v>
      </c>
      <c r="G1051" s="36">
        <v>3</v>
      </c>
      <c r="H1051" s="36">
        <v>1</v>
      </c>
      <c r="I1051" s="37">
        <v>0</v>
      </c>
      <c r="J1051" s="36" t="s">
        <v>32654</v>
      </c>
      <c r="K1051" s="36" t="s">
        <v>33702</v>
      </c>
      <c r="L1051" s="36" t="s">
        <v>33703</v>
      </c>
      <c r="M1051">
        <v>3</v>
      </c>
      <c r="N1051" t="s">
        <v>14332</v>
      </c>
      <c r="O1051" t="s">
        <v>32591</v>
      </c>
    </row>
    <row r="1052" spans="1:15" x14ac:dyDescent="0.25">
      <c r="A1052" s="35" t="s">
        <v>4910</v>
      </c>
      <c r="B1052" s="36" t="s">
        <v>4911</v>
      </c>
      <c r="C1052" s="36" t="str">
        <f>HYPERLINK("https://rhld.insurance.arkansas.gov/NPILookup?Npi=1568459451","1568459451")</f>
        <v>1568459451</v>
      </c>
      <c r="D1052" s="36" t="s">
        <v>33704</v>
      </c>
      <c r="E1052" s="36" t="s">
        <v>2</v>
      </c>
      <c r="F1052" s="36">
        <v>1</v>
      </c>
      <c r="G1052" s="36">
        <v>3</v>
      </c>
      <c r="H1052" s="36">
        <v>0</v>
      </c>
      <c r="I1052" s="37">
        <v>0</v>
      </c>
      <c r="J1052" s="36" t="s">
        <v>32679</v>
      </c>
      <c r="K1052" s="36" t="s">
        <v>33705</v>
      </c>
      <c r="L1052" s="36" t="s">
        <v>14330</v>
      </c>
      <c r="M1052">
        <v>4</v>
      </c>
      <c r="N1052" t="s">
        <v>14331</v>
      </c>
      <c r="O1052" t="s">
        <v>14333</v>
      </c>
    </row>
    <row r="1053" spans="1:15" x14ac:dyDescent="0.25">
      <c r="A1053" s="35" t="s">
        <v>4910</v>
      </c>
      <c r="B1053" s="36" t="s">
        <v>4911</v>
      </c>
      <c r="C1053" s="36" t="str">
        <f>HYPERLINK("https://rhld.insurance.arkansas.gov/NPILookup?Npi=1619930591","1619930591")</f>
        <v>1619930591</v>
      </c>
      <c r="D1053" s="36" t="s">
        <v>33706</v>
      </c>
      <c r="E1053" s="36" t="s">
        <v>1</v>
      </c>
      <c r="F1053" s="36">
        <v>1</v>
      </c>
      <c r="G1053" s="36">
        <v>4</v>
      </c>
      <c r="H1053" s="36">
        <v>0</v>
      </c>
      <c r="I1053" s="37">
        <v>0</v>
      </c>
      <c r="J1053" s="36" t="s">
        <v>32654</v>
      </c>
      <c r="K1053" s="36" t="s">
        <v>33707</v>
      </c>
      <c r="L1053" s="36" t="s">
        <v>14330</v>
      </c>
      <c r="M1053">
        <v>2</v>
      </c>
      <c r="N1053" t="s">
        <v>14331</v>
      </c>
      <c r="O1053" t="s">
        <v>32633</v>
      </c>
    </row>
    <row r="1054" spans="1:15" x14ac:dyDescent="0.25">
      <c r="A1054" s="35" t="s">
        <v>4910</v>
      </c>
      <c r="B1054" s="36" t="s">
        <v>4911</v>
      </c>
      <c r="C1054" s="36" t="str">
        <f>HYPERLINK("https://rhld.insurance.arkansas.gov/NPILookup?Npi=1689672263","1689672263")</f>
        <v>1689672263</v>
      </c>
      <c r="D1054" s="36" t="s">
        <v>33708</v>
      </c>
      <c r="E1054" s="36" t="s">
        <v>2</v>
      </c>
      <c r="F1054" s="36">
        <v>1</v>
      </c>
      <c r="G1054" s="36">
        <v>2</v>
      </c>
      <c r="H1054" s="36">
        <v>0</v>
      </c>
      <c r="I1054" s="37">
        <v>0</v>
      </c>
      <c r="J1054" s="36" t="s">
        <v>32679</v>
      </c>
      <c r="K1054" s="36" t="s">
        <v>14330</v>
      </c>
      <c r="L1054" s="36" t="s">
        <v>14330</v>
      </c>
      <c r="M1054">
        <v>3</v>
      </c>
      <c r="N1054" t="s">
        <v>14331</v>
      </c>
      <c r="O1054" t="s">
        <v>14333</v>
      </c>
    </row>
    <row r="1055" spans="1:15" x14ac:dyDescent="0.25">
      <c r="A1055" s="35" t="s">
        <v>4910</v>
      </c>
      <c r="B1055" s="36" t="s">
        <v>4911</v>
      </c>
      <c r="C1055" s="36" t="str">
        <f>HYPERLINK("https://rhld.insurance.arkansas.gov/NPILookup?Npi=1730859414","1730859414")</f>
        <v>1730859414</v>
      </c>
      <c r="D1055" s="36" t="s">
        <v>33709</v>
      </c>
      <c r="E1055" s="36" t="s">
        <v>1</v>
      </c>
      <c r="F1055" s="36">
        <v>1</v>
      </c>
      <c r="G1055" s="36">
        <v>3</v>
      </c>
      <c r="H1055" s="36">
        <v>0</v>
      </c>
      <c r="I1055" s="37">
        <v>0</v>
      </c>
      <c r="J1055" s="36" t="s">
        <v>32723</v>
      </c>
      <c r="K1055" s="36" t="s">
        <v>33710</v>
      </c>
      <c r="L1055" s="36" t="s">
        <v>14330</v>
      </c>
      <c r="M1055">
        <v>4</v>
      </c>
      <c r="N1055" t="s">
        <v>14331</v>
      </c>
      <c r="O1055" t="s">
        <v>32724</v>
      </c>
    </row>
    <row r="1056" spans="1:15" x14ac:dyDescent="0.25">
      <c r="A1056" s="35" t="s">
        <v>4910</v>
      </c>
      <c r="B1056" s="36" t="s">
        <v>4911</v>
      </c>
      <c r="C1056" s="36" t="str">
        <f>HYPERLINK("https://rhld.insurance.arkansas.gov/NPILookup?Npi=1750813119","1750813119")</f>
        <v>1750813119</v>
      </c>
      <c r="D1056" s="36" t="s">
        <v>33711</v>
      </c>
      <c r="E1056" s="36" t="s">
        <v>1</v>
      </c>
      <c r="F1056" s="36">
        <v>1</v>
      </c>
      <c r="G1056" s="36">
        <v>4</v>
      </c>
      <c r="H1056" s="36">
        <v>0</v>
      </c>
      <c r="I1056" s="37">
        <v>0</v>
      </c>
      <c r="J1056" s="36" t="s">
        <v>32654</v>
      </c>
      <c r="K1056" s="36" t="s">
        <v>33712</v>
      </c>
      <c r="L1056" s="36" t="s">
        <v>14330</v>
      </c>
      <c r="M1056">
        <v>3</v>
      </c>
      <c r="N1056" t="s">
        <v>14331</v>
      </c>
      <c r="O1056" t="s">
        <v>32633</v>
      </c>
    </row>
    <row r="1057" spans="1:15" x14ac:dyDescent="0.25">
      <c r="A1057" s="35" t="s">
        <v>4944</v>
      </c>
      <c r="B1057" s="36" t="s">
        <v>4945</v>
      </c>
      <c r="C1057" s="36" t="str">
        <f>HYPERLINK("https://rhld.insurance.arkansas.gov/NPILookup?Npi=1023107935","1023107935")</f>
        <v>1023107935</v>
      </c>
      <c r="D1057" s="36" t="s">
        <v>33713</v>
      </c>
      <c r="E1057" s="36" t="s">
        <v>1</v>
      </c>
      <c r="F1057" s="36">
        <v>1</v>
      </c>
      <c r="G1057" s="36">
        <v>3</v>
      </c>
      <c r="H1057" s="36">
        <v>0</v>
      </c>
      <c r="I1057" s="37">
        <v>0</v>
      </c>
      <c r="J1057" s="36" t="s">
        <v>32654</v>
      </c>
      <c r="K1057" s="36" t="s">
        <v>14330</v>
      </c>
      <c r="L1057" s="36" t="s">
        <v>14330</v>
      </c>
      <c r="M1057">
        <v>2</v>
      </c>
      <c r="N1057" t="s">
        <v>14331</v>
      </c>
      <c r="O1057" t="s">
        <v>32633</v>
      </c>
    </row>
    <row r="1058" spans="1:15" x14ac:dyDescent="0.25">
      <c r="A1058" s="35" t="s">
        <v>4944</v>
      </c>
      <c r="B1058" s="36" t="s">
        <v>4945</v>
      </c>
      <c r="C1058" s="36" t="str">
        <f>HYPERLINK("https://rhld.insurance.arkansas.gov/NPILookup?Npi=1104172378","1104172378")</f>
        <v>1104172378</v>
      </c>
      <c r="D1058" s="36" t="s">
        <v>33714</v>
      </c>
      <c r="E1058" s="36" t="s">
        <v>2</v>
      </c>
      <c r="F1058" s="36">
        <v>1</v>
      </c>
      <c r="G1058" s="36">
        <v>2</v>
      </c>
      <c r="H1058" s="36">
        <v>0</v>
      </c>
      <c r="I1058" s="37">
        <v>0</v>
      </c>
      <c r="J1058" s="36"/>
      <c r="K1058" s="36" t="s">
        <v>14330</v>
      </c>
      <c r="L1058" s="36" t="s">
        <v>14330</v>
      </c>
      <c r="M1058">
        <v>2</v>
      </c>
      <c r="N1058" t="s">
        <v>14331</v>
      </c>
      <c r="O1058" t="s">
        <v>14333</v>
      </c>
    </row>
    <row r="1059" spans="1:15" x14ac:dyDescent="0.25">
      <c r="A1059" s="35" t="s">
        <v>4944</v>
      </c>
      <c r="B1059" s="36" t="s">
        <v>4945</v>
      </c>
      <c r="C1059" s="36" t="str">
        <f>HYPERLINK("https://rhld.insurance.arkansas.gov/NPILookup?Npi=1114314127","1114314127")</f>
        <v>1114314127</v>
      </c>
      <c r="D1059" s="36" t="s">
        <v>33715</v>
      </c>
      <c r="E1059" s="36" t="s">
        <v>1</v>
      </c>
      <c r="F1059" s="36">
        <v>1</v>
      </c>
      <c r="G1059" s="36">
        <v>2</v>
      </c>
      <c r="H1059" s="36">
        <v>0</v>
      </c>
      <c r="I1059" s="37">
        <v>0</v>
      </c>
      <c r="J1059" s="36" t="s">
        <v>32654</v>
      </c>
      <c r="K1059" s="36" t="s">
        <v>14330</v>
      </c>
      <c r="L1059" s="36" t="s">
        <v>14330</v>
      </c>
      <c r="M1059">
        <v>3</v>
      </c>
      <c r="N1059" t="s">
        <v>14331</v>
      </c>
      <c r="O1059" t="s">
        <v>32633</v>
      </c>
    </row>
    <row r="1060" spans="1:15" x14ac:dyDescent="0.25">
      <c r="A1060" s="35" t="s">
        <v>4944</v>
      </c>
      <c r="B1060" s="36" t="s">
        <v>4945</v>
      </c>
      <c r="C1060" s="36" t="str">
        <f>HYPERLINK("https://rhld.insurance.arkansas.gov/NPILookup?Npi=1235181710","1235181710")</f>
        <v>1235181710</v>
      </c>
      <c r="D1060" s="36" t="s">
        <v>33716</v>
      </c>
      <c r="E1060" s="36" t="s">
        <v>1</v>
      </c>
      <c r="F1060" s="36">
        <v>1</v>
      </c>
      <c r="G1060" s="36">
        <v>3</v>
      </c>
      <c r="H1060" s="36">
        <v>0</v>
      </c>
      <c r="I1060" s="37">
        <v>0</v>
      </c>
      <c r="J1060" s="36" t="s">
        <v>32654</v>
      </c>
      <c r="K1060" s="36" t="s">
        <v>14330</v>
      </c>
      <c r="L1060" s="36" t="s">
        <v>14330</v>
      </c>
      <c r="M1060">
        <v>2</v>
      </c>
      <c r="N1060" t="s">
        <v>14331</v>
      </c>
      <c r="O1060" t="s">
        <v>32633</v>
      </c>
    </row>
    <row r="1061" spans="1:15" x14ac:dyDescent="0.25">
      <c r="A1061" s="35" t="s">
        <v>4944</v>
      </c>
      <c r="B1061" s="36" t="s">
        <v>4945</v>
      </c>
      <c r="C1061" s="36" t="str">
        <f>HYPERLINK("https://rhld.insurance.arkansas.gov/NPILookup?Npi=1255852281","1255852281")</f>
        <v>1255852281</v>
      </c>
      <c r="D1061" s="36" t="s">
        <v>33717</v>
      </c>
      <c r="E1061" s="36" t="s">
        <v>1</v>
      </c>
      <c r="F1061" s="36">
        <v>1</v>
      </c>
      <c r="G1061" s="36">
        <v>2</v>
      </c>
      <c r="H1061" s="36">
        <v>0</v>
      </c>
      <c r="I1061" s="37">
        <v>0</v>
      </c>
      <c r="J1061" s="36" t="s">
        <v>32654</v>
      </c>
      <c r="K1061" s="36" t="s">
        <v>14330</v>
      </c>
      <c r="L1061" s="36" t="s">
        <v>14330</v>
      </c>
      <c r="M1061">
        <v>4</v>
      </c>
      <c r="N1061" t="s">
        <v>14331</v>
      </c>
      <c r="O1061" t="s">
        <v>32633</v>
      </c>
    </row>
    <row r="1062" spans="1:15" x14ac:dyDescent="0.25">
      <c r="A1062" s="35" t="s">
        <v>4944</v>
      </c>
      <c r="B1062" s="36" t="s">
        <v>4945</v>
      </c>
      <c r="C1062" s="36" t="str">
        <f>HYPERLINK("https://rhld.insurance.arkansas.gov/NPILookup?Npi=1356462329","1356462329")</f>
        <v>1356462329</v>
      </c>
      <c r="D1062" s="36" t="s">
        <v>33718</v>
      </c>
      <c r="E1062" s="36" t="s">
        <v>1</v>
      </c>
      <c r="F1062" s="36">
        <v>2</v>
      </c>
      <c r="G1062" s="36">
        <v>4</v>
      </c>
      <c r="H1062" s="36">
        <v>0</v>
      </c>
      <c r="I1062" s="37">
        <v>0</v>
      </c>
      <c r="J1062" s="36" t="s">
        <v>33719</v>
      </c>
      <c r="K1062" s="36" t="s">
        <v>14330</v>
      </c>
      <c r="L1062" s="36" t="s">
        <v>14330</v>
      </c>
      <c r="M1062">
        <v>2</v>
      </c>
      <c r="N1062" t="s">
        <v>14331</v>
      </c>
      <c r="O1062" t="s">
        <v>32633</v>
      </c>
    </row>
    <row r="1063" spans="1:15" x14ac:dyDescent="0.25">
      <c r="A1063" s="35" t="s">
        <v>4944</v>
      </c>
      <c r="B1063" s="36" t="s">
        <v>4945</v>
      </c>
      <c r="C1063" s="36" t="str">
        <f>HYPERLINK("https://rhld.insurance.arkansas.gov/NPILookup?Npi=1396449401","1396449401")</f>
        <v>1396449401</v>
      </c>
      <c r="D1063" s="36" t="s">
        <v>33720</v>
      </c>
      <c r="E1063" s="36" t="s">
        <v>2</v>
      </c>
      <c r="F1063" s="36">
        <v>1</v>
      </c>
      <c r="G1063" s="36">
        <v>2</v>
      </c>
      <c r="H1063" s="36">
        <v>0</v>
      </c>
      <c r="I1063" s="37">
        <v>0</v>
      </c>
      <c r="J1063" s="36" t="s">
        <v>32679</v>
      </c>
      <c r="K1063" s="36" t="s">
        <v>14330</v>
      </c>
      <c r="L1063" s="36" t="s">
        <v>14330</v>
      </c>
      <c r="M1063">
        <v>3</v>
      </c>
      <c r="N1063" t="s">
        <v>14331</v>
      </c>
      <c r="O1063" t="s">
        <v>14333</v>
      </c>
    </row>
    <row r="1064" spans="1:15" x14ac:dyDescent="0.25">
      <c r="A1064" s="35" t="s">
        <v>4944</v>
      </c>
      <c r="B1064" s="36" t="s">
        <v>4945</v>
      </c>
      <c r="C1064" s="36" t="str">
        <f>HYPERLINK("https://rhld.insurance.arkansas.gov/NPILookup?Npi=1447478896","1447478896")</f>
        <v>1447478896</v>
      </c>
      <c r="D1064" s="36" t="s">
        <v>33721</v>
      </c>
      <c r="E1064" s="36" t="s">
        <v>1</v>
      </c>
      <c r="F1064" s="36">
        <v>1</v>
      </c>
      <c r="G1064" s="36">
        <v>3</v>
      </c>
      <c r="H1064" s="36">
        <v>0</v>
      </c>
      <c r="I1064" s="37">
        <v>0</v>
      </c>
      <c r="J1064" s="36" t="s">
        <v>32654</v>
      </c>
      <c r="K1064" s="36" t="s">
        <v>14330</v>
      </c>
      <c r="L1064" s="36" t="s">
        <v>14330</v>
      </c>
      <c r="M1064">
        <v>3</v>
      </c>
      <c r="N1064" t="s">
        <v>14331</v>
      </c>
      <c r="O1064" t="s">
        <v>32633</v>
      </c>
    </row>
    <row r="1065" spans="1:15" x14ac:dyDescent="0.25">
      <c r="A1065" s="35" t="s">
        <v>4944</v>
      </c>
      <c r="B1065" s="36" t="s">
        <v>4945</v>
      </c>
      <c r="C1065" s="36" t="str">
        <f>HYPERLINK("https://rhld.insurance.arkansas.gov/NPILookup?Npi=1558673889","1558673889")</f>
        <v>1558673889</v>
      </c>
      <c r="D1065" s="36" t="s">
        <v>33722</v>
      </c>
      <c r="E1065" s="36" t="s">
        <v>1</v>
      </c>
      <c r="F1065" s="36">
        <v>1</v>
      </c>
      <c r="G1065" s="36">
        <v>3</v>
      </c>
      <c r="H1065" s="36">
        <v>0</v>
      </c>
      <c r="I1065" s="37">
        <v>0</v>
      </c>
      <c r="J1065" s="36" t="s">
        <v>32654</v>
      </c>
      <c r="K1065" s="36" t="s">
        <v>14330</v>
      </c>
      <c r="L1065" s="36" t="s">
        <v>14330</v>
      </c>
      <c r="M1065">
        <v>3</v>
      </c>
      <c r="N1065" t="s">
        <v>14331</v>
      </c>
      <c r="O1065" t="s">
        <v>32633</v>
      </c>
    </row>
    <row r="1066" spans="1:15" x14ac:dyDescent="0.25">
      <c r="A1066" s="35" t="s">
        <v>4944</v>
      </c>
      <c r="B1066" s="36" t="s">
        <v>4945</v>
      </c>
      <c r="C1066" s="36" t="str">
        <f>HYPERLINK("https://rhld.insurance.arkansas.gov/NPILookup?Npi=1568490118","1568490118")</f>
        <v>1568490118</v>
      </c>
      <c r="D1066" s="36" t="s">
        <v>33723</v>
      </c>
      <c r="E1066" s="36" t="s">
        <v>1</v>
      </c>
      <c r="F1066" s="36">
        <v>1</v>
      </c>
      <c r="G1066" s="36">
        <v>3</v>
      </c>
      <c r="H1066" s="36">
        <v>0</v>
      </c>
      <c r="I1066" s="37">
        <v>0</v>
      </c>
      <c r="J1066" s="36" t="s">
        <v>32654</v>
      </c>
      <c r="K1066" s="36" t="s">
        <v>14330</v>
      </c>
      <c r="L1066" s="36" t="s">
        <v>14330</v>
      </c>
      <c r="M1066">
        <v>2</v>
      </c>
      <c r="N1066" t="s">
        <v>14331</v>
      </c>
      <c r="O1066" t="s">
        <v>32633</v>
      </c>
    </row>
    <row r="1067" spans="1:15" x14ac:dyDescent="0.25">
      <c r="A1067" s="35" t="s">
        <v>4944</v>
      </c>
      <c r="B1067" s="36" t="s">
        <v>4945</v>
      </c>
      <c r="C1067" s="36" t="str">
        <f>HYPERLINK("https://rhld.insurance.arkansas.gov/NPILookup?Npi=1588154900","1588154900")</f>
        <v>1588154900</v>
      </c>
      <c r="D1067" s="36" t="s">
        <v>33724</v>
      </c>
      <c r="E1067" s="36" t="s">
        <v>2</v>
      </c>
      <c r="F1067" s="36">
        <v>1</v>
      </c>
      <c r="G1067" s="36">
        <v>2</v>
      </c>
      <c r="H1067" s="36">
        <v>0</v>
      </c>
      <c r="I1067" s="37">
        <v>0</v>
      </c>
      <c r="J1067" s="36"/>
      <c r="K1067" s="36" t="s">
        <v>14330</v>
      </c>
      <c r="L1067" s="36" t="s">
        <v>14330</v>
      </c>
      <c r="M1067">
        <v>3</v>
      </c>
      <c r="N1067" t="s">
        <v>14331</v>
      </c>
      <c r="O1067" t="s">
        <v>14333</v>
      </c>
    </row>
    <row r="1068" spans="1:15" x14ac:dyDescent="0.25">
      <c r="A1068" s="35" t="s">
        <v>4944</v>
      </c>
      <c r="B1068" s="36" t="s">
        <v>4945</v>
      </c>
      <c r="C1068" s="36" t="str">
        <f>HYPERLINK("https://rhld.insurance.arkansas.gov/NPILookup?Npi=1588807994","1588807994")</f>
        <v>1588807994</v>
      </c>
      <c r="D1068" s="36" t="s">
        <v>33725</v>
      </c>
      <c r="E1068" s="36" t="s">
        <v>1</v>
      </c>
      <c r="F1068" s="36">
        <v>1</v>
      </c>
      <c r="G1068" s="36">
        <v>3</v>
      </c>
      <c r="H1068" s="36">
        <v>0</v>
      </c>
      <c r="I1068" s="37">
        <v>0</v>
      </c>
      <c r="J1068" s="36" t="s">
        <v>32654</v>
      </c>
      <c r="K1068" s="36" t="s">
        <v>14330</v>
      </c>
      <c r="L1068" s="36" t="s">
        <v>14330</v>
      </c>
      <c r="M1068">
        <v>3</v>
      </c>
      <c r="N1068" t="s">
        <v>14331</v>
      </c>
      <c r="O1068" t="s">
        <v>32633</v>
      </c>
    </row>
    <row r="1069" spans="1:15" x14ac:dyDescent="0.25">
      <c r="A1069" s="35" t="s">
        <v>4944</v>
      </c>
      <c r="B1069" s="36" t="s">
        <v>4945</v>
      </c>
      <c r="C1069" s="36" t="str">
        <f>HYPERLINK("https://rhld.insurance.arkansas.gov/NPILookup?Npi=1629035969","1629035969")</f>
        <v>1629035969</v>
      </c>
      <c r="D1069" s="36" t="s">
        <v>33726</v>
      </c>
      <c r="E1069" s="36" t="s">
        <v>1</v>
      </c>
      <c r="F1069" s="36">
        <v>1</v>
      </c>
      <c r="G1069" s="36">
        <v>3</v>
      </c>
      <c r="H1069" s="36">
        <v>0</v>
      </c>
      <c r="I1069" s="37">
        <v>0</v>
      </c>
      <c r="J1069" s="36" t="s">
        <v>32654</v>
      </c>
      <c r="K1069" s="36" t="s">
        <v>14330</v>
      </c>
      <c r="L1069" s="36" t="s">
        <v>14330</v>
      </c>
      <c r="M1069">
        <v>1</v>
      </c>
      <c r="N1069" t="s">
        <v>14331</v>
      </c>
      <c r="O1069" t="s">
        <v>32633</v>
      </c>
    </row>
    <row r="1070" spans="1:15" x14ac:dyDescent="0.25">
      <c r="A1070" s="35" t="s">
        <v>4944</v>
      </c>
      <c r="B1070" s="36" t="s">
        <v>4945</v>
      </c>
      <c r="C1070" s="36" t="str">
        <f>HYPERLINK("https://rhld.insurance.arkansas.gov/NPILookup?Npi=1639256928","1639256928")</f>
        <v>1639256928</v>
      </c>
      <c r="D1070" s="36" t="s">
        <v>33727</v>
      </c>
      <c r="E1070" s="36" t="s">
        <v>2</v>
      </c>
      <c r="F1070" s="36">
        <v>1</v>
      </c>
      <c r="G1070" s="36">
        <v>1</v>
      </c>
      <c r="H1070" s="36">
        <v>0</v>
      </c>
      <c r="I1070" s="37">
        <v>0</v>
      </c>
      <c r="J1070" s="36" t="s">
        <v>32679</v>
      </c>
      <c r="K1070" s="36" t="s">
        <v>14330</v>
      </c>
      <c r="L1070" s="36" t="s">
        <v>14330</v>
      </c>
      <c r="M1070">
        <v>1</v>
      </c>
      <c r="N1070" t="s">
        <v>14331</v>
      </c>
      <c r="O1070" t="s">
        <v>32633</v>
      </c>
    </row>
    <row r="1071" spans="1:15" x14ac:dyDescent="0.25">
      <c r="A1071" s="35" t="s">
        <v>4944</v>
      </c>
      <c r="B1071" s="36" t="s">
        <v>4945</v>
      </c>
      <c r="C1071" s="36" t="str">
        <f>HYPERLINK("https://rhld.insurance.arkansas.gov/NPILookup?Npi=1720749740","1720749740")</f>
        <v>1720749740</v>
      </c>
      <c r="D1071" s="36" t="s">
        <v>33728</v>
      </c>
      <c r="E1071" s="36" t="s">
        <v>2</v>
      </c>
      <c r="F1071" s="36">
        <v>1</v>
      </c>
      <c r="G1071" s="36">
        <v>1</v>
      </c>
      <c r="H1071" s="36">
        <v>0</v>
      </c>
      <c r="I1071" s="37">
        <v>0</v>
      </c>
      <c r="J1071" s="36"/>
      <c r="K1071" s="36" t="s">
        <v>14330</v>
      </c>
      <c r="L1071" s="36" t="s">
        <v>14330</v>
      </c>
      <c r="M1071">
        <v>2</v>
      </c>
      <c r="N1071" t="s">
        <v>14331</v>
      </c>
      <c r="O1071" t="s">
        <v>32633</v>
      </c>
    </row>
    <row r="1072" spans="1:15" x14ac:dyDescent="0.25">
      <c r="A1072" s="35" t="s">
        <v>4944</v>
      </c>
      <c r="B1072" s="36" t="s">
        <v>4945</v>
      </c>
      <c r="C1072" s="36" t="str">
        <f>HYPERLINK("https://rhld.insurance.arkansas.gov/NPILookup?Npi=1770841314","1770841314")</f>
        <v>1770841314</v>
      </c>
      <c r="D1072" s="36" t="s">
        <v>33729</v>
      </c>
      <c r="E1072" s="36" t="s">
        <v>1</v>
      </c>
      <c r="F1072" s="36">
        <v>1</v>
      </c>
      <c r="G1072" s="36">
        <v>2</v>
      </c>
      <c r="H1072" s="36">
        <v>0</v>
      </c>
      <c r="I1072" s="37">
        <v>0</v>
      </c>
      <c r="J1072" s="36" t="s">
        <v>32654</v>
      </c>
      <c r="K1072" s="36" t="s">
        <v>14330</v>
      </c>
      <c r="L1072" s="36" t="s">
        <v>14330</v>
      </c>
      <c r="M1072">
        <v>1</v>
      </c>
      <c r="N1072" t="s">
        <v>14331</v>
      </c>
      <c r="O1072" t="s">
        <v>32633</v>
      </c>
    </row>
    <row r="1073" spans="1:15" x14ac:dyDescent="0.25">
      <c r="A1073" s="35" t="s">
        <v>4944</v>
      </c>
      <c r="B1073" s="36" t="s">
        <v>4945</v>
      </c>
      <c r="C1073" s="36" t="str">
        <f>HYPERLINK("https://rhld.insurance.arkansas.gov/NPILookup?Npi=1841270774","1841270774")</f>
        <v>1841270774</v>
      </c>
      <c r="D1073" s="36" t="s">
        <v>33730</v>
      </c>
      <c r="E1073" s="36" t="s">
        <v>1</v>
      </c>
      <c r="F1073" s="36">
        <v>1</v>
      </c>
      <c r="G1073" s="36">
        <v>1</v>
      </c>
      <c r="H1073" s="36">
        <v>0</v>
      </c>
      <c r="I1073" s="37">
        <v>0</v>
      </c>
      <c r="J1073" s="36" t="s">
        <v>32654</v>
      </c>
      <c r="K1073" s="36" t="s">
        <v>14330</v>
      </c>
      <c r="L1073" s="36" t="s">
        <v>14330</v>
      </c>
      <c r="M1073">
        <v>1</v>
      </c>
      <c r="N1073" t="s">
        <v>14331</v>
      </c>
      <c r="O1073" t="s">
        <v>32633</v>
      </c>
    </row>
    <row r="1074" spans="1:15" x14ac:dyDescent="0.25">
      <c r="A1074" s="35" t="s">
        <v>4944</v>
      </c>
      <c r="B1074" s="36" t="s">
        <v>4945</v>
      </c>
      <c r="C1074" s="36" t="str">
        <f>HYPERLINK("https://rhld.insurance.arkansas.gov/NPILookup?Npi=1912392986","1912392986")</f>
        <v>1912392986</v>
      </c>
      <c r="D1074" s="36" t="s">
        <v>33731</v>
      </c>
      <c r="E1074" s="36" t="s">
        <v>1</v>
      </c>
      <c r="F1074" s="36">
        <v>1</v>
      </c>
      <c r="G1074" s="36">
        <v>2</v>
      </c>
      <c r="H1074" s="36">
        <v>1</v>
      </c>
      <c r="I1074" s="37">
        <v>0</v>
      </c>
      <c r="J1074" s="36" t="s">
        <v>32654</v>
      </c>
      <c r="K1074" s="36" t="s">
        <v>14330</v>
      </c>
      <c r="L1074" s="36" t="s">
        <v>33732</v>
      </c>
      <c r="M1074">
        <v>2</v>
      </c>
      <c r="N1074" t="s">
        <v>14332</v>
      </c>
      <c r="O1074" t="s">
        <v>32591</v>
      </c>
    </row>
    <row r="1075" spans="1:15" x14ac:dyDescent="0.25">
      <c r="A1075" s="35" t="s">
        <v>4944</v>
      </c>
      <c r="B1075" s="36" t="s">
        <v>4945</v>
      </c>
      <c r="C1075" s="36" t="str">
        <f>HYPERLINK("https://rhld.insurance.arkansas.gov/NPILookup?Npi=1912995713","1912995713")</f>
        <v>1912995713</v>
      </c>
      <c r="D1075" s="36" t="s">
        <v>33733</v>
      </c>
      <c r="E1075" s="36" t="s">
        <v>1</v>
      </c>
      <c r="F1075" s="36">
        <v>1</v>
      </c>
      <c r="G1075" s="36">
        <v>2</v>
      </c>
      <c r="H1075" s="36">
        <v>0</v>
      </c>
      <c r="I1075" s="37">
        <v>0</v>
      </c>
      <c r="J1075" s="36" t="s">
        <v>14335</v>
      </c>
      <c r="K1075" s="36" t="s">
        <v>14330</v>
      </c>
      <c r="L1075" s="36" t="s">
        <v>14330</v>
      </c>
      <c r="M1075">
        <v>2</v>
      </c>
      <c r="N1075" t="s">
        <v>14331</v>
      </c>
      <c r="O1075" t="s">
        <v>32633</v>
      </c>
    </row>
    <row r="1076" spans="1:15" x14ac:dyDescent="0.25">
      <c r="A1076" s="35" t="s">
        <v>4944</v>
      </c>
      <c r="B1076" s="36" t="s">
        <v>4945</v>
      </c>
      <c r="C1076" s="36" t="str">
        <f>HYPERLINK("https://rhld.insurance.arkansas.gov/NPILookup?Npi=1932299591","1932299591")</f>
        <v>1932299591</v>
      </c>
      <c r="D1076" s="36" t="s">
        <v>33734</v>
      </c>
      <c r="E1076" s="36" t="s">
        <v>2</v>
      </c>
      <c r="F1076" s="36">
        <v>1</v>
      </c>
      <c r="G1076" s="36">
        <v>2</v>
      </c>
      <c r="H1076" s="36">
        <v>0</v>
      </c>
      <c r="I1076" s="37">
        <v>0</v>
      </c>
      <c r="J1076" s="36" t="s">
        <v>32679</v>
      </c>
      <c r="K1076" s="36" t="s">
        <v>14330</v>
      </c>
      <c r="L1076" s="36" t="s">
        <v>14330</v>
      </c>
      <c r="M1076">
        <v>0</v>
      </c>
      <c r="N1076" t="s">
        <v>14331</v>
      </c>
      <c r="O1076" t="s">
        <v>14333</v>
      </c>
    </row>
    <row r="1077" spans="1:15" x14ac:dyDescent="0.25">
      <c r="A1077" s="35" t="s">
        <v>4944</v>
      </c>
      <c r="B1077" s="36" t="s">
        <v>4945</v>
      </c>
      <c r="C1077" s="36" t="str">
        <f>HYPERLINK("https://rhld.insurance.arkansas.gov/NPILookup?Npi=1952352510","1952352510")</f>
        <v>1952352510</v>
      </c>
      <c r="D1077" s="36" t="s">
        <v>33455</v>
      </c>
      <c r="E1077" s="36" t="s">
        <v>1</v>
      </c>
      <c r="F1077" s="36">
        <v>1</v>
      </c>
      <c r="G1077" s="36">
        <v>1</v>
      </c>
      <c r="H1077" s="36">
        <v>1</v>
      </c>
      <c r="I1077" s="37">
        <v>0</v>
      </c>
      <c r="J1077" s="36" t="s">
        <v>32654</v>
      </c>
      <c r="K1077" s="36" t="s">
        <v>14330</v>
      </c>
      <c r="L1077" s="36" t="s">
        <v>33732</v>
      </c>
      <c r="M1077">
        <v>2</v>
      </c>
      <c r="N1077" t="s">
        <v>14332</v>
      </c>
      <c r="O1077" t="s">
        <v>32591</v>
      </c>
    </row>
    <row r="1078" spans="1:15" x14ac:dyDescent="0.25">
      <c r="A1078" s="35" t="s">
        <v>4944</v>
      </c>
      <c r="B1078" s="36" t="s">
        <v>4945</v>
      </c>
      <c r="C1078" s="36" t="str">
        <f>HYPERLINK("https://rhld.insurance.arkansas.gov/NPILookup?Npi=1992202899","1992202899")</f>
        <v>1992202899</v>
      </c>
      <c r="D1078" s="36" t="s">
        <v>33735</v>
      </c>
      <c r="E1078" s="36" t="s">
        <v>2</v>
      </c>
      <c r="F1078" s="36">
        <v>1</v>
      </c>
      <c r="G1078" s="36">
        <v>2</v>
      </c>
      <c r="H1078" s="36">
        <v>0</v>
      </c>
      <c r="I1078" s="37">
        <v>0</v>
      </c>
      <c r="J1078" s="36"/>
      <c r="K1078" s="36" t="s">
        <v>14330</v>
      </c>
      <c r="L1078" s="36" t="s">
        <v>14330</v>
      </c>
      <c r="M1078">
        <v>0</v>
      </c>
      <c r="N1078" t="s">
        <v>14331</v>
      </c>
      <c r="O1078" t="s">
        <v>14333</v>
      </c>
    </row>
    <row r="1079" spans="1:15" x14ac:dyDescent="0.25">
      <c r="A1079" s="35" t="s">
        <v>4944</v>
      </c>
      <c r="B1079" s="36" t="s">
        <v>4945</v>
      </c>
      <c r="C1079" s="36" t="str">
        <f>HYPERLINK("https://rhld.insurance.arkansas.gov/NPILookup?Npi=1992753263","1992753263")</f>
        <v>1992753263</v>
      </c>
      <c r="D1079" s="36" t="s">
        <v>33736</v>
      </c>
      <c r="E1079" s="36" t="s">
        <v>2</v>
      </c>
      <c r="F1079" s="36">
        <v>1</v>
      </c>
      <c r="G1079" s="36">
        <v>0</v>
      </c>
      <c r="H1079" s="36">
        <v>0</v>
      </c>
      <c r="I1079" s="37">
        <v>0</v>
      </c>
      <c r="J1079" s="36" t="s">
        <v>32679</v>
      </c>
      <c r="K1079" s="36" t="s">
        <v>14330</v>
      </c>
      <c r="L1079" s="36" t="s">
        <v>14330</v>
      </c>
      <c r="M1079">
        <v>1</v>
      </c>
      <c r="N1079" t="s">
        <v>14331</v>
      </c>
      <c r="O1079" t="s">
        <v>32633</v>
      </c>
    </row>
    <row r="1080" spans="1:15" x14ac:dyDescent="0.25">
      <c r="A1080" s="35" t="s">
        <v>4997</v>
      </c>
      <c r="B1080" s="36" t="s">
        <v>4998</v>
      </c>
      <c r="C1080" s="36" t="str">
        <f>HYPERLINK("https://rhld.insurance.arkansas.gov/NPILookup?Npi=1003017427","1003017427")</f>
        <v>1003017427</v>
      </c>
      <c r="D1080" s="36" t="s">
        <v>33737</v>
      </c>
      <c r="E1080" s="36" t="s">
        <v>2</v>
      </c>
      <c r="F1080" s="36">
        <v>1</v>
      </c>
      <c r="G1080" s="36">
        <v>1</v>
      </c>
      <c r="H1080" s="36">
        <v>0</v>
      </c>
      <c r="I1080" s="37">
        <v>0</v>
      </c>
      <c r="J1080" s="36" t="s">
        <v>32679</v>
      </c>
      <c r="K1080" s="36" t="s">
        <v>14330</v>
      </c>
      <c r="L1080" s="36" t="s">
        <v>14330</v>
      </c>
      <c r="M1080">
        <v>1</v>
      </c>
      <c r="N1080" t="s">
        <v>14331</v>
      </c>
      <c r="O1080" t="s">
        <v>32633</v>
      </c>
    </row>
    <row r="1081" spans="1:15" x14ac:dyDescent="0.25">
      <c r="A1081" s="35" t="s">
        <v>4997</v>
      </c>
      <c r="B1081" s="36" t="s">
        <v>4998</v>
      </c>
      <c r="C1081" s="36" t="str">
        <f>HYPERLINK("https://rhld.insurance.arkansas.gov/NPILookup?Npi=1003078692","1003078692")</f>
        <v>1003078692</v>
      </c>
      <c r="D1081" s="36" t="s">
        <v>33738</v>
      </c>
      <c r="E1081" s="36" t="s">
        <v>2</v>
      </c>
      <c r="F1081" s="36">
        <v>1</v>
      </c>
      <c r="G1081" s="36">
        <v>1</v>
      </c>
      <c r="H1081" s="36">
        <v>0</v>
      </c>
      <c r="I1081" s="37">
        <v>0</v>
      </c>
      <c r="J1081" s="36" t="s">
        <v>32679</v>
      </c>
      <c r="K1081" s="36" t="s">
        <v>14330</v>
      </c>
      <c r="L1081" s="36" t="s">
        <v>14330</v>
      </c>
      <c r="M1081">
        <v>1</v>
      </c>
      <c r="N1081" t="s">
        <v>14331</v>
      </c>
      <c r="O1081" t="s">
        <v>32633</v>
      </c>
    </row>
    <row r="1082" spans="1:15" x14ac:dyDescent="0.25">
      <c r="A1082" s="35" t="s">
        <v>4997</v>
      </c>
      <c r="B1082" s="36" t="s">
        <v>4998</v>
      </c>
      <c r="C1082" s="36" t="str">
        <f>HYPERLINK("https://rhld.insurance.arkansas.gov/NPILookup?Npi=1003253857","1003253857")</f>
        <v>1003253857</v>
      </c>
      <c r="D1082" s="36" t="s">
        <v>33739</v>
      </c>
      <c r="E1082" s="36" t="s">
        <v>2</v>
      </c>
      <c r="F1082" s="36">
        <v>1</v>
      </c>
      <c r="G1082" s="36">
        <v>1</v>
      </c>
      <c r="H1082" s="36">
        <v>0</v>
      </c>
      <c r="I1082" s="37">
        <v>0</v>
      </c>
      <c r="J1082" s="36" t="s">
        <v>32679</v>
      </c>
      <c r="K1082" s="36" t="s">
        <v>14330</v>
      </c>
      <c r="L1082" s="36" t="s">
        <v>14330</v>
      </c>
      <c r="M1082">
        <v>1</v>
      </c>
      <c r="N1082" t="s">
        <v>14331</v>
      </c>
      <c r="O1082" t="s">
        <v>32633</v>
      </c>
    </row>
    <row r="1083" spans="1:15" x14ac:dyDescent="0.25">
      <c r="A1083" s="35" t="s">
        <v>4997</v>
      </c>
      <c r="B1083" s="36" t="s">
        <v>4998</v>
      </c>
      <c r="C1083" s="36" t="str">
        <f>HYPERLINK("https://rhld.insurance.arkansas.gov/NPILookup?Npi=1003472366","1003472366")</f>
        <v>1003472366</v>
      </c>
      <c r="D1083" s="36" t="s">
        <v>33740</v>
      </c>
      <c r="E1083" s="36" t="s">
        <v>2</v>
      </c>
      <c r="F1083" s="36">
        <v>1</v>
      </c>
      <c r="G1083" s="36">
        <v>1</v>
      </c>
      <c r="H1083" s="36">
        <v>0</v>
      </c>
      <c r="I1083" s="37">
        <v>0</v>
      </c>
      <c r="J1083" s="36" t="s">
        <v>32679</v>
      </c>
      <c r="K1083" s="36" t="s">
        <v>14330</v>
      </c>
      <c r="L1083" s="36" t="s">
        <v>14330</v>
      </c>
      <c r="M1083">
        <v>0</v>
      </c>
      <c r="N1083" t="s">
        <v>14331</v>
      </c>
      <c r="O1083" t="s">
        <v>32633</v>
      </c>
    </row>
    <row r="1084" spans="1:15" x14ac:dyDescent="0.25">
      <c r="A1084" s="35" t="s">
        <v>4997</v>
      </c>
      <c r="B1084" s="36" t="s">
        <v>4998</v>
      </c>
      <c r="C1084" s="36" t="str">
        <f>HYPERLINK("https://rhld.insurance.arkansas.gov/NPILookup?Npi=1003850009","1003850009")</f>
        <v>1003850009</v>
      </c>
      <c r="D1084" s="36" t="s">
        <v>33741</v>
      </c>
      <c r="E1084" s="36" t="s">
        <v>1</v>
      </c>
      <c r="F1084" s="36">
        <v>1</v>
      </c>
      <c r="G1084" s="36">
        <v>1</v>
      </c>
      <c r="H1084" s="36">
        <v>1</v>
      </c>
      <c r="I1084" s="37">
        <v>0</v>
      </c>
      <c r="J1084" s="36" t="s">
        <v>32723</v>
      </c>
      <c r="K1084" s="36" t="s">
        <v>14330</v>
      </c>
      <c r="L1084" s="36" t="s">
        <v>33742</v>
      </c>
      <c r="M1084">
        <v>1</v>
      </c>
      <c r="N1084" t="s">
        <v>14332</v>
      </c>
      <c r="O1084" t="s">
        <v>32591</v>
      </c>
    </row>
    <row r="1085" spans="1:15" x14ac:dyDescent="0.25">
      <c r="A1085" s="35" t="s">
        <v>4997</v>
      </c>
      <c r="B1085" s="36" t="s">
        <v>4998</v>
      </c>
      <c r="C1085" s="36" t="str">
        <f>HYPERLINK("https://rhld.insurance.arkansas.gov/NPILookup?Npi=1023424306","1023424306")</f>
        <v>1023424306</v>
      </c>
      <c r="D1085" s="36" t="s">
        <v>33743</v>
      </c>
      <c r="E1085" s="36" t="s">
        <v>2</v>
      </c>
      <c r="F1085" s="36">
        <v>1</v>
      </c>
      <c r="G1085" s="36">
        <v>1</v>
      </c>
      <c r="H1085" s="36">
        <v>0</v>
      </c>
      <c r="I1085" s="37">
        <v>0</v>
      </c>
      <c r="J1085" s="36" t="s">
        <v>32679</v>
      </c>
      <c r="K1085" s="36" t="s">
        <v>14330</v>
      </c>
      <c r="L1085" s="36" t="s">
        <v>14330</v>
      </c>
      <c r="M1085">
        <v>1</v>
      </c>
      <c r="N1085" t="s">
        <v>14331</v>
      </c>
      <c r="O1085" t="s">
        <v>32633</v>
      </c>
    </row>
    <row r="1086" spans="1:15" x14ac:dyDescent="0.25">
      <c r="A1086" s="35" t="s">
        <v>4997</v>
      </c>
      <c r="B1086" s="36" t="s">
        <v>4998</v>
      </c>
      <c r="C1086" s="36" t="str">
        <f>HYPERLINK("https://rhld.insurance.arkansas.gov/NPILookup?Npi=1033343579","1033343579")</f>
        <v>1033343579</v>
      </c>
      <c r="D1086" s="36" t="s">
        <v>33744</v>
      </c>
      <c r="E1086" s="36" t="s">
        <v>2</v>
      </c>
      <c r="F1086" s="36">
        <v>1</v>
      </c>
      <c r="G1086" s="36">
        <v>1</v>
      </c>
      <c r="H1086" s="36">
        <v>0</v>
      </c>
      <c r="I1086" s="37">
        <v>0</v>
      </c>
      <c r="J1086" s="36" t="s">
        <v>32679</v>
      </c>
      <c r="K1086" s="36" t="s">
        <v>14330</v>
      </c>
      <c r="L1086" s="36" t="s">
        <v>14330</v>
      </c>
      <c r="M1086">
        <v>1</v>
      </c>
      <c r="N1086" t="s">
        <v>14331</v>
      </c>
      <c r="O1086" t="s">
        <v>32633</v>
      </c>
    </row>
    <row r="1087" spans="1:15" x14ac:dyDescent="0.25">
      <c r="A1087" s="35" t="s">
        <v>4997</v>
      </c>
      <c r="B1087" s="36" t="s">
        <v>4998</v>
      </c>
      <c r="C1087" s="36" t="str">
        <f>HYPERLINK("https://rhld.insurance.arkansas.gov/NPILookup?Npi=1033606660","1033606660")</f>
        <v>1033606660</v>
      </c>
      <c r="D1087" s="36" t="s">
        <v>33745</v>
      </c>
      <c r="E1087" s="36" t="s">
        <v>2</v>
      </c>
      <c r="F1087" s="36">
        <v>1</v>
      </c>
      <c r="G1087" s="36">
        <v>1</v>
      </c>
      <c r="H1087" s="36">
        <v>0</v>
      </c>
      <c r="I1087" s="37">
        <v>0</v>
      </c>
      <c r="J1087" s="36" t="s">
        <v>32679</v>
      </c>
      <c r="K1087" s="36" t="s">
        <v>14330</v>
      </c>
      <c r="L1087" s="36" t="s">
        <v>14330</v>
      </c>
      <c r="M1087">
        <v>2</v>
      </c>
      <c r="N1087" t="s">
        <v>14331</v>
      </c>
      <c r="O1087" t="s">
        <v>32633</v>
      </c>
    </row>
    <row r="1088" spans="1:15" x14ac:dyDescent="0.25">
      <c r="A1088" s="35" t="s">
        <v>4997</v>
      </c>
      <c r="B1088" s="36" t="s">
        <v>4998</v>
      </c>
      <c r="C1088" s="36" t="str">
        <f>HYPERLINK("https://rhld.insurance.arkansas.gov/NPILookup?Npi=1043227606","1043227606")</f>
        <v>1043227606</v>
      </c>
      <c r="D1088" s="36" t="s">
        <v>33746</v>
      </c>
      <c r="E1088" s="36" t="s">
        <v>1</v>
      </c>
      <c r="F1088" s="36">
        <v>1</v>
      </c>
      <c r="G1088" s="36">
        <v>2</v>
      </c>
      <c r="H1088" s="36">
        <v>0</v>
      </c>
      <c r="I1088" s="37">
        <v>0</v>
      </c>
      <c r="J1088" s="36" t="s">
        <v>32654</v>
      </c>
      <c r="K1088" s="36" t="s">
        <v>14330</v>
      </c>
      <c r="L1088" s="36" t="s">
        <v>14330</v>
      </c>
      <c r="M1088">
        <v>2</v>
      </c>
      <c r="N1088" t="s">
        <v>14331</v>
      </c>
      <c r="O1088" t="s">
        <v>32633</v>
      </c>
    </row>
    <row r="1089" spans="1:15" x14ac:dyDescent="0.25">
      <c r="A1089" s="35" t="s">
        <v>4997</v>
      </c>
      <c r="B1089" s="36" t="s">
        <v>4998</v>
      </c>
      <c r="C1089" s="36" t="str">
        <f>HYPERLINK("https://rhld.insurance.arkansas.gov/NPILookup?Npi=1043331010","1043331010")</f>
        <v>1043331010</v>
      </c>
      <c r="D1089" s="36" t="s">
        <v>33747</v>
      </c>
      <c r="E1089" s="36" t="s">
        <v>1</v>
      </c>
      <c r="F1089" s="36">
        <v>1</v>
      </c>
      <c r="G1089" s="36">
        <v>2</v>
      </c>
      <c r="H1089" s="36">
        <v>0</v>
      </c>
      <c r="I1089" s="37">
        <v>0</v>
      </c>
      <c r="J1089" s="36" t="s">
        <v>32654</v>
      </c>
      <c r="K1089" s="36" t="s">
        <v>14330</v>
      </c>
      <c r="L1089" s="36" t="s">
        <v>14330</v>
      </c>
      <c r="M1089">
        <v>2</v>
      </c>
      <c r="N1089" t="s">
        <v>14331</v>
      </c>
      <c r="O1089" t="s">
        <v>32633</v>
      </c>
    </row>
    <row r="1090" spans="1:15" x14ac:dyDescent="0.25">
      <c r="A1090" s="35" t="s">
        <v>4997</v>
      </c>
      <c r="B1090" s="36" t="s">
        <v>4998</v>
      </c>
      <c r="C1090" s="36" t="str">
        <f>HYPERLINK("https://rhld.insurance.arkansas.gov/NPILookup?Npi=1043547623","1043547623")</f>
        <v>1043547623</v>
      </c>
      <c r="D1090" s="36" t="s">
        <v>33748</v>
      </c>
      <c r="E1090" s="36" t="s">
        <v>1</v>
      </c>
      <c r="F1090" s="36">
        <v>1</v>
      </c>
      <c r="G1090" s="36">
        <v>2</v>
      </c>
      <c r="H1090" s="36">
        <v>0</v>
      </c>
      <c r="I1090" s="37">
        <v>0</v>
      </c>
      <c r="J1090" s="36" t="s">
        <v>32654</v>
      </c>
      <c r="K1090" s="36" t="s">
        <v>14330</v>
      </c>
      <c r="L1090" s="36" t="s">
        <v>14330</v>
      </c>
      <c r="M1090">
        <v>2</v>
      </c>
      <c r="N1090" t="s">
        <v>14331</v>
      </c>
      <c r="O1090" t="s">
        <v>32633</v>
      </c>
    </row>
    <row r="1091" spans="1:15" x14ac:dyDescent="0.25">
      <c r="A1091" s="35" t="s">
        <v>4997</v>
      </c>
      <c r="B1091" s="36" t="s">
        <v>4998</v>
      </c>
      <c r="C1091" s="36" t="str">
        <f>HYPERLINK("https://rhld.insurance.arkansas.gov/NPILookup?Npi=1063698967","1063698967")</f>
        <v>1063698967</v>
      </c>
      <c r="D1091" s="36" t="s">
        <v>33749</v>
      </c>
      <c r="E1091" s="36" t="s">
        <v>2</v>
      </c>
      <c r="F1091" s="36">
        <v>1</v>
      </c>
      <c r="G1091" s="36">
        <v>2</v>
      </c>
      <c r="H1091" s="36">
        <v>0</v>
      </c>
      <c r="I1091" s="37">
        <v>0</v>
      </c>
      <c r="J1091" s="36"/>
      <c r="K1091" s="36" t="s">
        <v>14330</v>
      </c>
      <c r="L1091" s="36" t="s">
        <v>14330</v>
      </c>
      <c r="M1091">
        <v>1</v>
      </c>
      <c r="N1091" t="s">
        <v>14331</v>
      </c>
      <c r="O1091" t="s">
        <v>14333</v>
      </c>
    </row>
    <row r="1092" spans="1:15" x14ac:dyDescent="0.25">
      <c r="A1092" s="35" t="s">
        <v>4997</v>
      </c>
      <c r="B1092" s="36" t="s">
        <v>4998</v>
      </c>
      <c r="C1092" s="36" t="str">
        <f>HYPERLINK("https://rhld.insurance.arkansas.gov/NPILookup?Npi=1063737302","1063737302")</f>
        <v>1063737302</v>
      </c>
      <c r="D1092" s="36" t="s">
        <v>33750</v>
      </c>
      <c r="E1092" s="36" t="s">
        <v>2</v>
      </c>
      <c r="F1092" s="36">
        <v>1</v>
      </c>
      <c r="G1092" s="36">
        <v>1</v>
      </c>
      <c r="H1092" s="36">
        <v>0</v>
      </c>
      <c r="I1092" s="37">
        <v>0</v>
      </c>
      <c r="J1092" s="36" t="s">
        <v>32679</v>
      </c>
      <c r="K1092" s="36" t="s">
        <v>14330</v>
      </c>
      <c r="L1092" s="36" t="s">
        <v>14330</v>
      </c>
      <c r="M1092">
        <v>1</v>
      </c>
      <c r="N1092" t="s">
        <v>14331</v>
      </c>
      <c r="O1092" t="s">
        <v>32633</v>
      </c>
    </row>
    <row r="1093" spans="1:15" x14ac:dyDescent="0.25">
      <c r="A1093" s="35" t="s">
        <v>4997</v>
      </c>
      <c r="B1093" s="36" t="s">
        <v>4998</v>
      </c>
      <c r="C1093" s="36" t="str">
        <f>HYPERLINK("https://rhld.insurance.arkansas.gov/NPILookup?Npi=1063774669","1063774669")</f>
        <v>1063774669</v>
      </c>
      <c r="D1093" s="36" t="s">
        <v>33751</v>
      </c>
      <c r="E1093" s="36" t="s">
        <v>2</v>
      </c>
      <c r="F1093" s="36">
        <v>1</v>
      </c>
      <c r="G1093" s="36">
        <v>1</v>
      </c>
      <c r="H1093" s="36">
        <v>0</v>
      </c>
      <c r="I1093" s="37">
        <v>0</v>
      </c>
      <c r="J1093" s="36" t="s">
        <v>32679</v>
      </c>
      <c r="K1093" s="36" t="s">
        <v>14330</v>
      </c>
      <c r="L1093" s="36" t="s">
        <v>14330</v>
      </c>
      <c r="M1093">
        <v>0</v>
      </c>
      <c r="N1093" t="s">
        <v>14331</v>
      </c>
      <c r="O1093" t="s">
        <v>32633</v>
      </c>
    </row>
    <row r="1094" spans="1:15" x14ac:dyDescent="0.25">
      <c r="A1094" s="35" t="s">
        <v>4997</v>
      </c>
      <c r="B1094" s="36" t="s">
        <v>4998</v>
      </c>
      <c r="C1094" s="36" t="str">
        <f>HYPERLINK("https://rhld.insurance.arkansas.gov/NPILookup?Npi=1063868677","1063868677")</f>
        <v>1063868677</v>
      </c>
      <c r="D1094" s="36" t="s">
        <v>33752</v>
      </c>
      <c r="E1094" s="36" t="s">
        <v>2</v>
      </c>
      <c r="F1094" s="36">
        <v>1</v>
      </c>
      <c r="G1094" s="36">
        <v>0</v>
      </c>
      <c r="H1094" s="36">
        <v>0</v>
      </c>
      <c r="I1094" s="37">
        <v>0</v>
      </c>
      <c r="J1094" s="36" t="s">
        <v>32679</v>
      </c>
      <c r="K1094" s="36" t="s">
        <v>14330</v>
      </c>
      <c r="L1094" s="36" t="s">
        <v>14330</v>
      </c>
      <c r="M1094">
        <v>1</v>
      </c>
      <c r="N1094" t="s">
        <v>14331</v>
      </c>
      <c r="O1094" t="s">
        <v>32633</v>
      </c>
    </row>
    <row r="1095" spans="1:15" x14ac:dyDescent="0.25">
      <c r="A1095" s="35" t="s">
        <v>4997</v>
      </c>
      <c r="B1095" s="36" t="s">
        <v>4998</v>
      </c>
      <c r="C1095" s="36" t="str">
        <f>HYPERLINK("https://rhld.insurance.arkansas.gov/NPILookup?Npi=1073599155","1073599155")</f>
        <v>1073599155</v>
      </c>
      <c r="D1095" s="36" t="s">
        <v>33753</v>
      </c>
      <c r="E1095" s="36" t="s">
        <v>2</v>
      </c>
      <c r="F1095" s="36">
        <v>1</v>
      </c>
      <c r="G1095" s="36">
        <v>1</v>
      </c>
      <c r="H1095" s="36">
        <v>0</v>
      </c>
      <c r="I1095" s="37">
        <v>0</v>
      </c>
      <c r="J1095" s="36" t="s">
        <v>32679</v>
      </c>
      <c r="K1095" s="36" t="s">
        <v>14330</v>
      </c>
      <c r="L1095" s="36" t="s">
        <v>14330</v>
      </c>
      <c r="M1095">
        <v>1</v>
      </c>
      <c r="N1095" t="s">
        <v>14331</v>
      </c>
      <c r="O1095" t="s">
        <v>32633</v>
      </c>
    </row>
    <row r="1096" spans="1:15" x14ac:dyDescent="0.25">
      <c r="A1096" s="35" t="s">
        <v>4997</v>
      </c>
      <c r="B1096" s="36" t="s">
        <v>4998</v>
      </c>
      <c r="C1096" s="36" t="str">
        <f>HYPERLINK("https://rhld.insurance.arkansas.gov/NPILookup?Npi=1073761789","1073761789")</f>
        <v>1073761789</v>
      </c>
      <c r="D1096" s="36" t="s">
        <v>33754</v>
      </c>
      <c r="E1096" s="36" t="s">
        <v>2</v>
      </c>
      <c r="F1096" s="36">
        <v>1</v>
      </c>
      <c r="G1096" s="36">
        <v>1</v>
      </c>
      <c r="H1096" s="36">
        <v>0</v>
      </c>
      <c r="I1096" s="37">
        <v>0</v>
      </c>
      <c r="J1096" s="36" t="s">
        <v>32679</v>
      </c>
      <c r="K1096" s="36" t="s">
        <v>14330</v>
      </c>
      <c r="L1096" s="36" t="s">
        <v>14330</v>
      </c>
      <c r="M1096">
        <v>1</v>
      </c>
      <c r="N1096" t="s">
        <v>14331</v>
      </c>
      <c r="O1096" t="s">
        <v>32633</v>
      </c>
    </row>
    <row r="1097" spans="1:15" x14ac:dyDescent="0.25">
      <c r="A1097" s="35" t="s">
        <v>4997</v>
      </c>
      <c r="B1097" s="36" t="s">
        <v>4998</v>
      </c>
      <c r="C1097" s="36" t="str">
        <f>HYPERLINK("https://rhld.insurance.arkansas.gov/NPILookup?Npi=1073953683","1073953683")</f>
        <v>1073953683</v>
      </c>
      <c r="D1097" s="36" t="s">
        <v>33755</v>
      </c>
      <c r="E1097" s="36" t="s">
        <v>2</v>
      </c>
      <c r="F1097" s="36">
        <v>1</v>
      </c>
      <c r="G1097" s="36">
        <v>1</v>
      </c>
      <c r="H1097" s="36">
        <v>0</v>
      </c>
      <c r="I1097" s="37">
        <v>0</v>
      </c>
      <c r="J1097" s="36" t="s">
        <v>32679</v>
      </c>
      <c r="K1097" s="36" t="s">
        <v>14330</v>
      </c>
      <c r="L1097" s="36" t="s">
        <v>14330</v>
      </c>
      <c r="M1097">
        <v>2</v>
      </c>
      <c r="N1097" t="s">
        <v>14331</v>
      </c>
      <c r="O1097" t="s">
        <v>32633</v>
      </c>
    </row>
    <row r="1098" spans="1:15" x14ac:dyDescent="0.25">
      <c r="A1098" s="35" t="s">
        <v>4997</v>
      </c>
      <c r="B1098" s="36" t="s">
        <v>4998</v>
      </c>
      <c r="C1098" s="36" t="str">
        <f>HYPERLINK("https://rhld.insurance.arkansas.gov/NPILookup?Npi=1073957254","1073957254")</f>
        <v>1073957254</v>
      </c>
      <c r="D1098" s="36" t="s">
        <v>33756</v>
      </c>
      <c r="E1098" s="36" t="s">
        <v>1</v>
      </c>
      <c r="F1098" s="36">
        <v>1</v>
      </c>
      <c r="G1098" s="36">
        <v>2</v>
      </c>
      <c r="H1098" s="36">
        <v>0</v>
      </c>
      <c r="I1098" s="37">
        <v>0</v>
      </c>
      <c r="J1098" s="36" t="s">
        <v>32654</v>
      </c>
      <c r="K1098" s="36" t="s">
        <v>14330</v>
      </c>
      <c r="L1098" s="36" t="s">
        <v>14330</v>
      </c>
      <c r="M1098">
        <v>2</v>
      </c>
      <c r="N1098" t="s">
        <v>14331</v>
      </c>
      <c r="O1098" t="s">
        <v>32633</v>
      </c>
    </row>
    <row r="1099" spans="1:15" x14ac:dyDescent="0.25">
      <c r="A1099" s="35" t="s">
        <v>4997</v>
      </c>
      <c r="B1099" s="36" t="s">
        <v>4998</v>
      </c>
      <c r="C1099" s="36" t="str">
        <f>HYPERLINK("https://rhld.insurance.arkansas.gov/NPILookup?Npi=1073969523","1073969523")</f>
        <v>1073969523</v>
      </c>
      <c r="D1099" s="36" t="s">
        <v>33757</v>
      </c>
      <c r="E1099" s="36" t="s">
        <v>2</v>
      </c>
      <c r="F1099" s="36">
        <v>1</v>
      </c>
      <c r="G1099" s="36">
        <v>2</v>
      </c>
      <c r="H1099" s="36">
        <v>0</v>
      </c>
      <c r="I1099" s="37">
        <v>0</v>
      </c>
      <c r="J1099" s="36"/>
      <c r="K1099" s="36" t="s">
        <v>14330</v>
      </c>
      <c r="L1099" s="36" t="s">
        <v>14330</v>
      </c>
      <c r="M1099">
        <v>1</v>
      </c>
      <c r="N1099" t="s">
        <v>14331</v>
      </c>
      <c r="O1099" t="s">
        <v>14333</v>
      </c>
    </row>
    <row r="1100" spans="1:15" x14ac:dyDescent="0.25">
      <c r="A1100" s="35" t="s">
        <v>4997</v>
      </c>
      <c r="B1100" s="36" t="s">
        <v>4998</v>
      </c>
      <c r="C1100" s="36" t="str">
        <f>HYPERLINK("https://rhld.insurance.arkansas.gov/NPILookup?Npi=1083619951","1083619951")</f>
        <v>1083619951</v>
      </c>
      <c r="D1100" s="36" t="s">
        <v>33758</v>
      </c>
      <c r="E1100" s="36" t="s">
        <v>1</v>
      </c>
      <c r="F1100" s="36">
        <v>1</v>
      </c>
      <c r="G1100" s="36">
        <v>1</v>
      </c>
      <c r="H1100" s="36">
        <v>0</v>
      </c>
      <c r="I1100" s="37">
        <v>0</v>
      </c>
      <c r="J1100" s="36" t="s">
        <v>32654</v>
      </c>
      <c r="K1100" s="36" t="s">
        <v>14330</v>
      </c>
      <c r="L1100" s="36" t="s">
        <v>14330</v>
      </c>
      <c r="M1100">
        <v>1</v>
      </c>
      <c r="N1100" t="s">
        <v>14331</v>
      </c>
      <c r="O1100" t="s">
        <v>32633</v>
      </c>
    </row>
    <row r="1101" spans="1:15" x14ac:dyDescent="0.25">
      <c r="A1101" s="35" t="s">
        <v>4997</v>
      </c>
      <c r="B1101" s="36" t="s">
        <v>4998</v>
      </c>
      <c r="C1101" s="36" t="str">
        <f>HYPERLINK("https://rhld.insurance.arkansas.gov/NPILookup?Npi=1093159444","1093159444")</f>
        <v>1093159444</v>
      </c>
      <c r="D1101" s="36" t="s">
        <v>33759</v>
      </c>
      <c r="E1101" s="36" t="s">
        <v>2</v>
      </c>
      <c r="F1101" s="36">
        <v>1</v>
      </c>
      <c r="G1101" s="36">
        <v>1</v>
      </c>
      <c r="H1101" s="36">
        <v>0</v>
      </c>
      <c r="I1101" s="37">
        <v>0</v>
      </c>
      <c r="J1101" s="36" t="s">
        <v>32679</v>
      </c>
      <c r="K1101" s="36" t="s">
        <v>14330</v>
      </c>
      <c r="L1101" s="36" t="s">
        <v>14330</v>
      </c>
      <c r="M1101">
        <v>3</v>
      </c>
      <c r="N1101" t="s">
        <v>14331</v>
      </c>
      <c r="O1101" t="s">
        <v>32633</v>
      </c>
    </row>
    <row r="1102" spans="1:15" x14ac:dyDescent="0.25">
      <c r="A1102" s="35" t="s">
        <v>4997</v>
      </c>
      <c r="B1102" s="36" t="s">
        <v>4998</v>
      </c>
      <c r="C1102" s="36" t="str">
        <f>HYPERLINK("https://rhld.insurance.arkansas.gov/NPILookup?Npi=1093929150","1093929150")</f>
        <v>1093929150</v>
      </c>
      <c r="D1102" s="36" t="s">
        <v>33760</v>
      </c>
      <c r="E1102" s="36" t="s">
        <v>1</v>
      </c>
      <c r="F1102" s="36">
        <v>1</v>
      </c>
      <c r="G1102" s="36">
        <v>3</v>
      </c>
      <c r="H1102" s="36">
        <v>0</v>
      </c>
      <c r="I1102" s="37">
        <v>0</v>
      </c>
      <c r="J1102" s="36" t="s">
        <v>32654</v>
      </c>
      <c r="K1102" s="36" t="s">
        <v>14330</v>
      </c>
      <c r="L1102" s="36" t="s">
        <v>14330</v>
      </c>
      <c r="M1102">
        <v>2</v>
      </c>
      <c r="N1102" t="s">
        <v>14331</v>
      </c>
      <c r="O1102" t="s">
        <v>32633</v>
      </c>
    </row>
    <row r="1103" spans="1:15" x14ac:dyDescent="0.25">
      <c r="A1103" s="35" t="s">
        <v>4997</v>
      </c>
      <c r="B1103" s="36" t="s">
        <v>4998</v>
      </c>
      <c r="C1103" s="36" t="str">
        <f>HYPERLINK("https://rhld.insurance.arkansas.gov/NPILookup?Npi=1104260819","1104260819")</f>
        <v>1104260819</v>
      </c>
      <c r="D1103" s="36" t="s">
        <v>33761</v>
      </c>
      <c r="E1103" s="36" t="s">
        <v>2</v>
      </c>
      <c r="F1103" s="36">
        <v>1</v>
      </c>
      <c r="G1103" s="36">
        <v>2</v>
      </c>
      <c r="H1103" s="36">
        <v>0</v>
      </c>
      <c r="I1103" s="37">
        <v>0</v>
      </c>
      <c r="J1103" s="36" t="s">
        <v>32679</v>
      </c>
      <c r="K1103" s="36" t="s">
        <v>14330</v>
      </c>
      <c r="L1103" s="36" t="s">
        <v>14330</v>
      </c>
      <c r="M1103">
        <v>2</v>
      </c>
      <c r="N1103" t="s">
        <v>14331</v>
      </c>
      <c r="O1103" t="s">
        <v>14333</v>
      </c>
    </row>
    <row r="1104" spans="1:15" x14ac:dyDescent="0.25">
      <c r="A1104" s="35" t="s">
        <v>4997</v>
      </c>
      <c r="B1104" s="36" t="s">
        <v>4998</v>
      </c>
      <c r="C1104" s="36" t="str">
        <f>HYPERLINK("https://rhld.insurance.arkansas.gov/NPILookup?Npi=1114971264","1114971264")</f>
        <v>1114971264</v>
      </c>
      <c r="D1104" s="36" t="s">
        <v>33762</v>
      </c>
      <c r="E1104" s="36" t="s">
        <v>1</v>
      </c>
      <c r="F1104" s="36">
        <v>1</v>
      </c>
      <c r="G1104" s="36">
        <v>2</v>
      </c>
      <c r="H1104" s="36">
        <v>0</v>
      </c>
      <c r="I1104" s="37">
        <v>0</v>
      </c>
      <c r="J1104" s="36" t="s">
        <v>32654</v>
      </c>
      <c r="K1104" s="36" t="s">
        <v>14330</v>
      </c>
      <c r="L1104" s="36" t="s">
        <v>14330</v>
      </c>
      <c r="M1104">
        <v>2</v>
      </c>
      <c r="N1104" t="s">
        <v>14331</v>
      </c>
      <c r="O1104" t="s">
        <v>32633</v>
      </c>
    </row>
    <row r="1105" spans="1:15" x14ac:dyDescent="0.25">
      <c r="A1105" s="35" t="s">
        <v>4997</v>
      </c>
      <c r="B1105" s="36" t="s">
        <v>4998</v>
      </c>
      <c r="C1105" s="36" t="str">
        <f>HYPERLINK("https://rhld.insurance.arkansas.gov/NPILookup?Npi=1124285630","1124285630")</f>
        <v>1124285630</v>
      </c>
      <c r="D1105" s="36" t="s">
        <v>33763</v>
      </c>
      <c r="E1105" s="36" t="s">
        <v>1</v>
      </c>
      <c r="F1105" s="36">
        <v>1</v>
      </c>
      <c r="G1105" s="36">
        <v>2</v>
      </c>
      <c r="H1105" s="36">
        <v>0</v>
      </c>
      <c r="I1105" s="37">
        <v>0</v>
      </c>
      <c r="J1105" s="36" t="s">
        <v>32654</v>
      </c>
      <c r="K1105" s="36" t="s">
        <v>14330</v>
      </c>
      <c r="L1105" s="36" t="s">
        <v>14330</v>
      </c>
      <c r="M1105">
        <v>1</v>
      </c>
      <c r="N1105" t="s">
        <v>14331</v>
      </c>
      <c r="O1105" t="s">
        <v>32633</v>
      </c>
    </row>
    <row r="1106" spans="1:15" x14ac:dyDescent="0.25">
      <c r="A1106" s="35" t="s">
        <v>4997</v>
      </c>
      <c r="B1106" s="36" t="s">
        <v>4998</v>
      </c>
      <c r="C1106" s="36" t="str">
        <f>HYPERLINK("https://rhld.insurance.arkansas.gov/NPILookup?Npi=1124589015","1124589015")</f>
        <v>1124589015</v>
      </c>
      <c r="D1106" s="36" t="s">
        <v>33764</v>
      </c>
      <c r="E1106" s="36" t="s">
        <v>2</v>
      </c>
      <c r="F1106" s="36">
        <v>1</v>
      </c>
      <c r="G1106" s="36">
        <v>1</v>
      </c>
      <c r="H1106" s="36">
        <v>0</v>
      </c>
      <c r="I1106" s="37">
        <v>0</v>
      </c>
      <c r="J1106" s="36" t="s">
        <v>32679</v>
      </c>
      <c r="K1106" s="36" t="s">
        <v>14330</v>
      </c>
      <c r="L1106" s="36" t="s">
        <v>14330</v>
      </c>
      <c r="M1106">
        <v>3</v>
      </c>
      <c r="N1106" t="s">
        <v>14331</v>
      </c>
      <c r="O1106" t="s">
        <v>32633</v>
      </c>
    </row>
    <row r="1107" spans="1:15" x14ac:dyDescent="0.25">
      <c r="A1107" s="35" t="s">
        <v>4997</v>
      </c>
      <c r="B1107" s="36" t="s">
        <v>4998</v>
      </c>
      <c r="C1107" s="36" t="str">
        <f>HYPERLINK("https://rhld.insurance.arkansas.gov/NPILookup?Npi=1134145592","1134145592")</f>
        <v>1134145592</v>
      </c>
      <c r="D1107" s="36" t="s">
        <v>33765</v>
      </c>
      <c r="E1107" s="36" t="s">
        <v>1</v>
      </c>
      <c r="F1107" s="36">
        <v>1</v>
      </c>
      <c r="G1107" s="36">
        <v>3</v>
      </c>
      <c r="H1107" s="36">
        <v>0</v>
      </c>
      <c r="I1107" s="37">
        <v>0</v>
      </c>
      <c r="J1107" s="36" t="s">
        <v>32654</v>
      </c>
      <c r="K1107" s="36" t="s">
        <v>14330</v>
      </c>
      <c r="L1107" s="36" t="s">
        <v>14330</v>
      </c>
      <c r="M1107">
        <v>1</v>
      </c>
      <c r="N1107" t="s">
        <v>14331</v>
      </c>
      <c r="O1107" t="s">
        <v>32633</v>
      </c>
    </row>
    <row r="1108" spans="1:15" x14ac:dyDescent="0.25">
      <c r="A1108" s="35" t="s">
        <v>4997</v>
      </c>
      <c r="B1108" s="36" t="s">
        <v>4998</v>
      </c>
      <c r="C1108" s="36" t="str">
        <f>HYPERLINK("https://rhld.insurance.arkansas.gov/NPILookup?Npi=1134210594","1134210594")</f>
        <v>1134210594</v>
      </c>
      <c r="D1108" s="36" t="s">
        <v>33766</v>
      </c>
      <c r="E1108" s="36" t="s">
        <v>2</v>
      </c>
      <c r="F1108" s="36">
        <v>1</v>
      </c>
      <c r="G1108" s="36">
        <v>1</v>
      </c>
      <c r="H1108" s="36">
        <v>0</v>
      </c>
      <c r="I1108" s="37">
        <v>0</v>
      </c>
      <c r="J1108" s="36" t="s">
        <v>32679</v>
      </c>
      <c r="K1108" s="36" t="s">
        <v>14330</v>
      </c>
      <c r="L1108" s="36" t="s">
        <v>14330</v>
      </c>
      <c r="M1108">
        <v>1</v>
      </c>
      <c r="N1108" t="s">
        <v>14331</v>
      </c>
      <c r="O1108" t="s">
        <v>32633</v>
      </c>
    </row>
    <row r="1109" spans="1:15" x14ac:dyDescent="0.25">
      <c r="A1109" s="35" t="s">
        <v>4997</v>
      </c>
      <c r="B1109" s="36" t="s">
        <v>4998</v>
      </c>
      <c r="C1109" s="36" t="str">
        <f>HYPERLINK("https://rhld.insurance.arkansas.gov/NPILookup?Npi=1134579006","1134579006")</f>
        <v>1134579006</v>
      </c>
      <c r="D1109" s="36" t="s">
        <v>33767</v>
      </c>
      <c r="E1109" s="36" t="s">
        <v>2</v>
      </c>
      <c r="F1109" s="36">
        <v>1</v>
      </c>
      <c r="G1109" s="36">
        <v>1</v>
      </c>
      <c r="H1109" s="36">
        <v>0</v>
      </c>
      <c r="I1109" s="37">
        <v>0</v>
      </c>
      <c r="J1109" s="36" t="s">
        <v>32679</v>
      </c>
      <c r="K1109" s="36" t="s">
        <v>14330</v>
      </c>
      <c r="L1109" s="36" t="s">
        <v>14330</v>
      </c>
      <c r="M1109">
        <v>2</v>
      </c>
      <c r="N1109" t="s">
        <v>14331</v>
      </c>
      <c r="O1109" t="s">
        <v>32633</v>
      </c>
    </row>
    <row r="1110" spans="1:15" x14ac:dyDescent="0.25">
      <c r="A1110" s="35" t="s">
        <v>4997</v>
      </c>
      <c r="B1110" s="36" t="s">
        <v>4998</v>
      </c>
      <c r="C1110" s="36" t="str">
        <f>HYPERLINK("https://rhld.insurance.arkansas.gov/NPILookup?Npi=1134626583","1134626583")</f>
        <v>1134626583</v>
      </c>
      <c r="D1110" s="36" t="s">
        <v>33768</v>
      </c>
      <c r="E1110" s="36" t="s">
        <v>1</v>
      </c>
      <c r="F1110" s="36">
        <v>1</v>
      </c>
      <c r="G1110" s="36">
        <v>2</v>
      </c>
      <c r="H1110" s="36">
        <v>0</v>
      </c>
      <c r="I1110" s="37">
        <v>0</v>
      </c>
      <c r="J1110" s="36" t="s">
        <v>32654</v>
      </c>
      <c r="K1110" s="36" t="s">
        <v>14330</v>
      </c>
      <c r="L1110" s="36" t="s">
        <v>14330</v>
      </c>
      <c r="M1110">
        <v>1</v>
      </c>
      <c r="N1110" t="s">
        <v>14331</v>
      </c>
      <c r="O1110" t="s">
        <v>32633</v>
      </c>
    </row>
    <row r="1111" spans="1:15" x14ac:dyDescent="0.25">
      <c r="A1111" s="35" t="s">
        <v>4997</v>
      </c>
      <c r="B1111" s="36" t="s">
        <v>4998</v>
      </c>
      <c r="C1111" s="36" t="str">
        <f>HYPERLINK("https://rhld.insurance.arkansas.gov/NPILookup?Npi=1134652134","1134652134")</f>
        <v>1134652134</v>
      </c>
      <c r="D1111" s="36" t="s">
        <v>33769</v>
      </c>
      <c r="E1111" s="36" t="s">
        <v>2</v>
      </c>
      <c r="F1111" s="36">
        <v>1</v>
      </c>
      <c r="G1111" s="36">
        <v>1</v>
      </c>
      <c r="H1111" s="36">
        <v>0</v>
      </c>
      <c r="I1111" s="37">
        <v>0</v>
      </c>
      <c r="J1111" s="36" t="s">
        <v>32679</v>
      </c>
      <c r="K1111" s="36" t="s">
        <v>14330</v>
      </c>
      <c r="L1111" s="36" t="s">
        <v>14330</v>
      </c>
      <c r="M1111">
        <v>1</v>
      </c>
      <c r="N1111" t="s">
        <v>14331</v>
      </c>
      <c r="O1111" t="s">
        <v>32633</v>
      </c>
    </row>
    <row r="1112" spans="1:15" x14ac:dyDescent="0.25">
      <c r="A1112" s="35" t="s">
        <v>4997</v>
      </c>
      <c r="B1112" s="36" t="s">
        <v>4998</v>
      </c>
      <c r="C1112" s="36" t="str">
        <f>HYPERLINK("https://rhld.insurance.arkansas.gov/NPILookup?Npi=1144232893","1144232893")</f>
        <v>1144232893</v>
      </c>
      <c r="D1112" s="36" t="s">
        <v>33770</v>
      </c>
      <c r="E1112" s="36" t="s">
        <v>2</v>
      </c>
      <c r="F1112" s="36">
        <v>1</v>
      </c>
      <c r="G1112" s="36">
        <v>1</v>
      </c>
      <c r="H1112" s="36">
        <v>0</v>
      </c>
      <c r="I1112" s="37">
        <v>0</v>
      </c>
      <c r="J1112" s="36" t="s">
        <v>32679</v>
      </c>
      <c r="K1112" s="36" t="s">
        <v>14330</v>
      </c>
      <c r="L1112" s="36" t="s">
        <v>14330</v>
      </c>
      <c r="M1112">
        <v>1</v>
      </c>
      <c r="N1112" t="s">
        <v>14331</v>
      </c>
      <c r="O1112" t="s">
        <v>32633</v>
      </c>
    </row>
    <row r="1113" spans="1:15" x14ac:dyDescent="0.25">
      <c r="A1113" s="35" t="s">
        <v>4997</v>
      </c>
      <c r="B1113" s="36" t="s">
        <v>4998</v>
      </c>
      <c r="C1113" s="36" t="str">
        <f>HYPERLINK("https://rhld.insurance.arkansas.gov/NPILookup?Npi=1144754979","1144754979")</f>
        <v>1144754979</v>
      </c>
      <c r="D1113" s="36" t="s">
        <v>33771</v>
      </c>
      <c r="E1113" s="36" t="s">
        <v>2</v>
      </c>
      <c r="F1113" s="36">
        <v>1</v>
      </c>
      <c r="G1113" s="36">
        <v>1</v>
      </c>
      <c r="H1113" s="36">
        <v>0</v>
      </c>
      <c r="I1113" s="37">
        <v>0</v>
      </c>
      <c r="J1113" s="36" t="s">
        <v>32679</v>
      </c>
      <c r="K1113" s="36" t="s">
        <v>14330</v>
      </c>
      <c r="L1113" s="36" t="s">
        <v>14330</v>
      </c>
      <c r="M1113">
        <v>1</v>
      </c>
      <c r="N1113" t="s">
        <v>14331</v>
      </c>
      <c r="O1113" t="s">
        <v>32633</v>
      </c>
    </row>
    <row r="1114" spans="1:15" x14ac:dyDescent="0.25">
      <c r="A1114" s="35" t="s">
        <v>4997</v>
      </c>
      <c r="B1114" s="36" t="s">
        <v>4998</v>
      </c>
      <c r="C1114" s="36" t="str">
        <f>HYPERLINK("https://rhld.insurance.arkansas.gov/NPILookup?Npi=1154347011","1154347011")</f>
        <v>1154347011</v>
      </c>
      <c r="D1114" s="36" t="s">
        <v>33772</v>
      </c>
      <c r="E1114" s="36" t="s">
        <v>2</v>
      </c>
      <c r="F1114" s="36">
        <v>1</v>
      </c>
      <c r="G1114" s="36">
        <v>1</v>
      </c>
      <c r="H1114" s="36">
        <v>0</v>
      </c>
      <c r="I1114" s="37">
        <v>0</v>
      </c>
      <c r="J1114" s="36" t="s">
        <v>32679</v>
      </c>
      <c r="K1114" s="36" t="s">
        <v>14330</v>
      </c>
      <c r="L1114" s="36" t="s">
        <v>14330</v>
      </c>
      <c r="M1114">
        <v>3</v>
      </c>
      <c r="N1114" t="s">
        <v>14331</v>
      </c>
      <c r="O1114" t="s">
        <v>32633</v>
      </c>
    </row>
    <row r="1115" spans="1:15" x14ac:dyDescent="0.25">
      <c r="A1115" s="35" t="s">
        <v>4997</v>
      </c>
      <c r="B1115" s="36" t="s">
        <v>4998</v>
      </c>
      <c r="C1115" s="36" t="str">
        <f>HYPERLINK("https://rhld.insurance.arkansas.gov/NPILookup?Npi=1154412815","1154412815")</f>
        <v>1154412815</v>
      </c>
      <c r="D1115" s="36" t="s">
        <v>33773</v>
      </c>
      <c r="E1115" s="36" t="s">
        <v>1</v>
      </c>
      <c r="F1115" s="36">
        <v>1</v>
      </c>
      <c r="G1115" s="36">
        <v>3</v>
      </c>
      <c r="H1115" s="36">
        <v>0</v>
      </c>
      <c r="I1115" s="37">
        <v>0</v>
      </c>
      <c r="J1115" s="36" t="s">
        <v>32654</v>
      </c>
      <c r="K1115" s="36" t="s">
        <v>14330</v>
      </c>
      <c r="L1115" s="36" t="s">
        <v>14330</v>
      </c>
      <c r="M1115">
        <v>1</v>
      </c>
      <c r="N1115" t="s">
        <v>14331</v>
      </c>
      <c r="O1115" t="s">
        <v>32633</v>
      </c>
    </row>
    <row r="1116" spans="1:15" x14ac:dyDescent="0.25">
      <c r="A1116" s="35" t="s">
        <v>4997</v>
      </c>
      <c r="B1116" s="36" t="s">
        <v>4998</v>
      </c>
      <c r="C1116" s="36" t="str">
        <f>HYPERLINK("https://rhld.insurance.arkansas.gov/NPILookup?Npi=1154461531","1154461531")</f>
        <v>1154461531</v>
      </c>
      <c r="D1116" s="36" t="s">
        <v>33774</v>
      </c>
      <c r="E1116" s="36" t="s">
        <v>2</v>
      </c>
      <c r="F1116" s="36">
        <v>1</v>
      </c>
      <c r="G1116" s="36">
        <v>1</v>
      </c>
      <c r="H1116" s="36">
        <v>0</v>
      </c>
      <c r="I1116" s="37">
        <v>0</v>
      </c>
      <c r="J1116" s="36" t="s">
        <v>32679</v>
      </c>
      <c r="K1116" s="36" t="s">
        <v>14330</v>
      </c>
      <c r="L1116" s="36" t="s">
        <v>14330</v>
      </c>
      <c r="M1116">
        <v>1</v>
      </c>
      <c r="N1116" t="s">
        <v>14331</v>
      </c>
      <c r="O1116" t="s">
        <v>32633</v>
      </c>
    </row>
    <row r="1117" spans="1:15" x14ac:dyDescent="0.25">
      <c r="A1117" s="35" t="s">
        <v>4997</v>
      </c>
      <c r="B1117" s="36" t="s">
        <v>4998</v>
      </c>
      <c r="C1117" s="36" t="str">
        <f>HYPERLINK("https://rhld.insurance.arkansas.gov/NPILookup?Npi=1154522696","1154522696")</f>
        <v>1154522696</v>
      </c>
      <c r="D1117" s="36" t="s">
        <v>33775</v>
      </c>
      <c r="E1117" s="36" t="s">
        <v>1</v>
      </c>
      <c r="F1117" s="36">
        <v>1</v>
      </c>
      <c r="G1117" s="36">
        <v>1</v>
      </c>
      <c r="H1117" s="36">
        <v>0</v>
      </c>
      <c r="I1117" s="37">
        <v>0</v>
      </c>
      <c r="J1117" s="36" t="s">
        <v>32654</v>
      </c>
      <c r="K1117" s="36" t="s">
        <v>14330</v>
      </c>
      <c r="L1117" s="36" t="s">
        <v>14330</v>
      </c>
      <c r="M1117">
        <v>1</v>
      </c>
      <c r="N1117" t="s">
        <v>14331</v>
      </c>
      <c r="O1117" t="s">
        <v>32633</v>
      </c>
    </row>
    <row r="1118" spans="1:15" x14ac:dyDescent="0.25">
      <c r="A1118" s="35" t="s">
        <v>4997</v>
      </c>
      <c r="B1118" s="36" t="s">
        <v>4998</v>
      </c>
      <c r="C1118" s="36" t="str">
        <f>HYPERLINK("https://rhld.insurance.arkansas.gov/NPILookup?Npi=1164050605","1164050605")</f>
        <v>1164050605</v>
      </c>
      <c r="D1118" s="36" t="s">
        <v>33776</v>
      </c>
      <c r="E1118" s="36" t="s">
        <v>2</v>
      </c>
      <c r="F1118" s="36">
        <v>1</v>
      </c>
      <c r="G1118" s="36">
        <v>1</v>
      </c>
      <c r="H1118" s="36">
        <v>0</v>
      </c>
      <c r="I1118" s="37">
        <v>0</v>
      </c>
      <c r="J1118" s="36" t="s">
        <v>32679</v>
      </c>
      <c r="K1118" s="36" t="s">
        <v>14330</v>
      </c>
      <c r="L1118" s="36" t="s">
        <v>14330</v>
      </c>
      <c r="M1118">
        <v>1</v>
      </c>
      <c r="N1118" t="s">
        <v>14331</v>
      </c>
      <c r="O1118" t="s">
        <v>32633</v>
      </c>
    </row>
    <row r="1119" spans="1:15" x14ac:dyDescent="0.25">
      <c r="A1119" s="35" t="s">
        <v>4997</v>
      </c>
      <c r="B1119" s="36" t="s">
        <v>4998</v>
      </c>
      <c r="C1119" s="36" t="str">
        <f>HYPERLINK("https://rhld.insurance.arkansas.gov/NPILookup?Npi=1164659546","1164659546")</f>
        <v>1164659546</v>
      </c>
      <c r="D1119" s="36" t="s">
        <v>33777</v>
      </c>
      <c r="E1119" s="36" t="s">
        <v>2</v>
      </c>
      <c r="F1119" s="36">
        <v>1</v>
      </c>
      <c r="G1119" s="36">
        <v>1</v>
      </c>
      <c r="H1119" s="36">
        <v>0</v>
      </c>
      <c r="I1119" s="37">
        <v>0</v>
      </c>
      <c r="J1119" s="36" t="s">
        <v>32679</v>
      </c>
      <c r="K1119" s="36" t="s">
        <v>14330</v>
      </c>
      <c r="L1119" s="36" t="s">
        <v>14330</v>
      </c>
      <c r="M1119">
        <v>2</v>
      </c>
      <c r="N1119" t="s">
        <v>14331</v>
      </c>
      <c r="O1119" t="s">
        <v>32633</v>
      </c>
    </row>
    <row r="1120" spans="1:15" x14ac:dyDescent="0.25">
      <c r="A1120" s="35" t="s">
        <v>4997</v>
      </c>
      <c r="B1120" s="36" t="s">
        <v>4998</v>
      </c>
      <c r="C1120" s="36" t="str">
        <f>HYPERLINK("https://rhld.insurance.arkansas.gov/NPILookup?Npi=1164693347","1164693347")</f>
        <v>1164693347</v>
      </c>
      <c r="D1120" s="36" t="s">
        <v>33778</v>
      </c>
      <c r="E1120" s="36" t="s">
        <v>1</v>
      </c>
      <c r="F1120" s="36">
        <v>1</v>
      </c>
      <c r="G1120" s="36">
        <v>2</v>
      </c>
      <c r="H1120" s="36">
        <v>0</v>
      </c>
      <c r="I1120" s="37">
        <v>0</v>
      </c>
      <c r="J1120" s="36" t="s">
        <v>32654</v>
      </c>
      <c r="K1120" s="36" t="s">
        <v>14330</v>
      </c>
      <c r="L1120" s="36" t="s">
        <v>14330</v>
      </c>
      <c r="M1120">
        <v>1</v>
      </c>
      <c r="N1120" t="s">
        <v>14331</v>
      </c>
      <c r="O1120" t="s">
        <v>32633</v>
      </c>
    </row>
    <row r="1121" spans="1:15" x14ac:dyDescent="0.25">
      <c r="A1121" s="35" t="s">
        <v>4997</v>
      </c>
      <c r="B1121" s="36" t="s">
        <v>4998</v>
      </c>
      <c r="C1121" s="36" t="str">
        <f>HYPERLINK("https://rhld.insurance.arkansas.gov/NPILookup?Npi=1164957452","1164957452")</f>
        <v>1164957452</v>
      </c>
      <c r="D1121" s="36" t="s">
        <v>33779</v>
      </c>
      <c r="E1121" s="36" t="s">
        <v>2</v>
      </c>
      <c r="F1121" s="36">
        <v>1</v>
      </c>
      <c r="G1121" s="36">
        <v>1</v>
      </c>
      <c r="H1121" s="36">
        <v>0</v>
      </c>
      <c r="I1121" s="37">
        <v>0</v>
      </c>
      <c r="J1121" s="36" t="s">
        <v>32679</v>
      </c>
      <c r="K1121" s="36" t="s">
        <v>14330</v>
      </c>
      <c r="L1121" s="36" t="s">
        <v>14330</v>
      </c>
      <c r="M1121">
        <v>1</v>
      </c>
      <c r="N1121" t="s">
        <v>14331</v>
      </c>
      <c r="O1121" t="s">
        <v>32633</v>
      </c>
    </row>
    <row r="1122" spans="1:15" x14ac:dyDescent="0.25">
      <c r="A1122" s="35" t="s">
        <v>4997</v>
      </c>
      <c r="B1122" s="36" t="s">
        <v>4998</v>
      </c>
      <c r="C1122" s="36" t="str">
        <f>HYPERLINK("https://rhld.insurance.arkansas.gov/NPILookup?Npi=1174750376","1174750376")</f>
        <v>1174750376</v>
      </c>
      <c r="D1122" s="36" t="s">
        <v>33780</v>
      </c>
      <c r="E1122" s="36" t="s">
        <v>2</v>
      </c>
      <c r="F1122" s="36">
        <v>1</v>
      </c>
      <c r="G1122" s="36">
        <v>1</v>
      </c>
      <c r="H1122" s="36">
        <v>0</v>
      </c>
      <c r="I1122" s="37">
        <v>0</v>
      </c>
      <c r="J1122" s="36" t="s">
        <v>32679</v>
      </c>
      <c r="K1122" s="36" t="s">
        <v>14330</v>
      </c>
      <c r="L1122" s="36" t="s">
        <v>14330</v>
      </c>
      <c r="M1122">
        <v>1</v>
      </c>
      <c r="N1122" t="s">
        <v>14331</v>
      </c>
      <c r="O1122" t="s">
        <v>32633</v>
      </c>
    </row>
    <row r="1123" spans="1:15" x14ac:dyDescent="0.25">
      <c r="A1123" s="35" t="s">
        <v>4997</v>
      </c>
      <c r="B1123" s="36" t="s">
        <v>4998</v>
      </c>
      <c r="C1123" s="36" t="str">
        <f>HYPERLINK("https://rhld.insurance.arkansas.gov/NPILookup?Npi=1174785513","1174785513")</f>
        <v>1174785513</v>
      </c>
      <c r="D1123" s="36" t="s">
        <v>33781</v>
      </c>
      <c r="E1123" s="36" t="s">
        <v>2</v>
      </c>
      <c r="F1123" s="36">
        <v>1</v>
      </c>
      <c r="G1123" s="36">
        <v>1</v>
      </c>
      <c r="H1123" s="36">
        <v>0</v>
      </c>
      <c r="I1123" s="37">
        <v>0</v>
      </c>
      <c r="J1123" s="36" t="s">
        <v>32679</v>
      </c>
      <c r="K1123" s="36" t="s">
        <v>14330</v>
      </c>
      <c r="L1123" s="36" t="s">
        <v>14330</v>
      </c>
      <c r="M1123">
        <v>2</v>
      </c>
      <c r="N1123" t="s">
        <v>14331</v>
      </c>
      <c r="O1123" t="s">
        <v>32633</v>
      </c>
    </row>
    <row r="1124" spans="1:15" x14ac:dyDescent="0.25">
      <c r="A1124" s="35" t="s">
        <v>4997</v>
      </c>
      <c r="B1124" s="36" t="s">
        <v>4998</v>
      </c>
      <c r="C1124" s="36" t="str">
        <f>HYPERLINK("https://rhld.insurance.arkansas.gov/NPILookup?Npi=1194729061","1194729061")</f>
        <v>1194729061</v>
      </c>
      <c r="D1124" s="36" t="s">
        <v>33782</v>
      </c>
      <c r="E1124" s="36" t="s">
        <v>1</v>
      </c>
      <c r="F1124" s="36">
        <v>1</v>
      </c>
      <c r="G1124" s="36">
        <v>2</v>
      </c>
      <c r="H1124" s="36">
        <v>0</v>
      </c>
      <c r="I1124" s="37">
        <v>0</v>
      </c>
      <c r="J1124" s="36" t="s">
        <v>32654</v>
      </c>
      <c r="K1124" s="36" t="s">
        <v>14330</v>
      </c>
      <c r="L1124" s="36" t="s">
        <v>14330</v>
      </c>
      <c r="M1124">
        <v>1</v>
      </c>
      <c r="N1124" t="s">
        <v>14331</v>
      </c>
      <c r="O1124" t="s">
        <v>32633</v>
      </c>
    </row>
    <row r="1125" spans="1:15" x14ac:dyDescent="0.25">
      <c r="A1125" s="35" t="s">
        <v>4997</v>
      </c>
      <c r="B1125" s="36" t="s">
        <v>4998</v>
      </c>
      <c r="C1125" s="36" t="str">
        <f>HYPERLINK("https://rhld.insurance.arkansas.gov/NPILookup?Npi=1205062361","1205062361")</f>
        <v>1205062361</v>
      </c>
      <c r="D1125" s="36" t="s">
        <v>33783</v>
      </c>
      <c r="E1125" s="36" t="s">
        <v>2</v>
      </c>
      <c r="F1125" s="36">
        <v>1</v>
      </c>
      <c r="G1125" s="36">
        <v>1</v>
      </c>
      <c r="H1125" s="36">
        <v>0</v>
      </c>
      <c r="I1125" s="37">
        <v>0</v>
      </c>
      <c r="J1125" s="36" t="s">
        <v>32679</v>
      </c>
      <c r="K1125" s="36" t="s">
        <v>14330</v>
      </c>
      <c r="L1125" s="36" t="s">
        <v>14330</v>
      </c>
      <c r="M1125">
        <v>1</v>
      </c>
      <c r="N1125" t="s">
        <v>14331</v>
      </c>
      <c r="O1125" t="s">
        <v>32633</v>
      </c>
    </row>
    <row r="1126" spans="1:15" x14ac:dyDescent="0.25">
      <c r="A1126" s="35" t="s">
        <v>4997</v>
      </c>
      <c r="B1126" s="36" t="s">
        <v>4998</v>
      </c>
      <c r="C1126" s="36" t="str">
        <f>HYPERLINK("https://rhld.insurance.arkansas.gov/NPILookup?Npi=1205192838","1205192838")</f>
        <v>1205192838</v>
      </c>
      <c r="D1126" s="36" t="s">
        <v>33784</v>
      </c>
      <c r="E1126" s="36" t="s">
        <v>2</v>
      </c>
      <c r="F1126" s="36">
        <v>1</v>
      </c>
      <c r="G1126" s="36">
        <v>1</v>
      </c>
      <c r="H1126" s="36">
        <v>0</v>
      </c>
      <c r="I1126" s="37">
        <v>0</v>
      </c>
      <c r="J1126" s="36" t="s">
        <v>32679</v>
      </c>
      <c r="K1126" s="36" t="s">
        <v>14330</v>
      </c>
      <c r="L1126" s="36" t="s">
        <v>14330</v>
      </c>
      <c r="M1126">
        <v>2</v>
      </c>
      <c r="N1126" t="s">
        <v>14331</v>
      </c>
      <c r="O1126" t="s">
        <v>32633</v>
      </c>
    </row>
    <row r="1127" spans="1:15" x14ac:dyDescent="0.25">
      <c r="A1127" s="35" t="s">
        <v>4997</v>
      </c>
      <c r="B1127" s="36" t="s">
        <v>4998</v>
      </c>
      <c r="C1127" s="36" t="str">
        <f>HYPERLINK("https://rhld.insurance.arkansas.gov/NPILookup?Npi=1215166426","1215166426")</f>
        <v>1215166426</v>
      </c>
      <c r="D1127" s="36" t="s">
        <v>33785</v>
      </c>
      <c r="E1127" s="36" t="s">
        <v>1</v>
      </c>
      <c r="F1127" s="36">
        <v>1</v>
      </c>
      <c r="G1127" s="36">
        <v>2</v>
      </c>
      <c r="H1127" s="36">
        <v>0</v>
      </c>
      <c r="I1127" s="37">
        <v>0</v>
      </c>
      <c r="J1127" s="36" t="s">
        <v>32654</v>
      </c>
      <c r="K1127" s="36" t="s">
        <v>14330</v>
      </c>
      <c r="L1127" s="36" t="s">
        <v>14330</v>
      </c>
      <c r="M1127">
        <v>3</v>
      </c>
      <c r="N1127" t="s">
        <v>14331</v>
      </c>
      <c r="O1127" t="s">
        <v>32633</v>
      </c>
    </row>
    <row r="1128" spans="1:15" x14ac:dyDescent="0.25">
      <c r="A1128" s="35" t="s">
        <v>4997</v>
      </c>
      <c r="B1128" s="36" t="s">
        <v>4998</v>
      </c>
      <c r="C1128" s="36" t="str">
        <f>HYPERLINK("https://rhld.insurance.arkansas.gov/NPILookup?Npi=1225212392","1225212392")</f>
        <v>1225212392</v>
      </c>
      <c r="D1128" s="36" t="s">
        <v>33786</v>
      </c>
      <c r="E1128" s="36" t="s">
        <v>1</v>
      </c>
      <c r="F1128" s="36">
        <v>1</v>
      </c>
      <c r="G1128" s="36">
        <v>3</v>
      </c>
      <c r="H1128" s="36">
        <v>0</v>
      </c>
      <c r="I1128" s="37">
        <v>0</v>
      </c>
      <c r="J1128" s="36" t="s">
        <v>32654</v>
      </c>
      <c r="K1128" s="36" t="s">
        <v>14330</v>
      </c>
      <c r="L1128" s="36" t="s">
        <v>14330</v>
      </c>
      <c r="M1128">
        <v>2</v>
      </c>
      <c r="N1128" t="s">
        <v>14331</v>
      </c>
      <c r="O1128" t="s">
        <v>32633</v>
      </c>
    </row>
    <row r="1129" spans="1:15" x14ac:dyDescent="0.25">
      <c r="A1129" s="35" t="s">
        <v>4997</v>
      </c>
      <c r="B1129" s="36" t="s">
        <v>4998</v>
      </c>
      <c r="C1129" s="36" t="str">
        <f>HYPERLINK("https://rhld.insurance.arkansas.gov/NPILookup?Npi=1225272941","1225272941")</f>
        <v>1225272941</v>
      </c>
      <c r="D1129" s="36" t="s">
        <v>33787</v>
      </c>
      <c r="E1129" s="36" t="s">
        <v>2</v>
      </c>
      <c r="F1129" s="36">
        <v>2</v>
      </c>
      <c r="G1129" s="36">
        <v>2</v>
      </c>
      <c r="H1129" s="36">
        <v>0</v>
      </c>
      <c r="I1129" s="37">
        <v>0</v>
      </c>
      <c r="J1129" s="36" t="s">
        <v>33004</v>
      </c>
      <c r="K1129" s="36" t="s">
        <v>14330</v>
      </c>
      <c r="L1129" s="36" t="s">
        <v>14330</v>
      </c>
      <c r="M1129">
        <v>2</v>
      </c>
      <c r="N1129" t="s">
        <v>14331</v>
      </c>
      <c r="O1129" t="s">
        <v>14333</v>
      </c>
    </row>
    <row r="1130" spans="1:15" x14ac:dyDescent="0.25">
      <c r="A1130" s="35" t="s">
        <v>4997</v>
      </c>
      <c r="B1130" s="36" t="s">
        <v>4998</v>
      </c>
      <c r="C1130" s="36" t="str">
        <f>HYPERLINK("https://rhld.insurance.arkansas.gov/NPILookup?Npi=1235247958","1235247958")</f>
        <v>1235247958</v>
      </c>
      <c r="D1130" s="36" t="s">
        <v>33788</v>
      </c>
      <c r="E1130" s="36" t="s">
        <v>1</v>
      </c>
      <c r="F1130" s="36">
        <v>1</v>
      </c>
      <c r="G1130" s="36">
        <v>2</v>
      </c>
      <c r="H1130" s="36">
        <v>0</v>
      </c>
      <c r="I1130" s="37">
        <v>0</v>
      </c>
      <c r="J1130" s="36" t="s">
        <v>32723</v>
      </c>
      <c r="K1130" s="36" t="s">
        <v>14330</v>
      </c>
      <c r="L1130" s="36" t="s">
        <v>14330</v>
      </c>
      <c r="M1130">
        <v>1</v>
      </c>
      <c r="N1130" t="s">
        <v>14331</v>
      </c>
      <c r="O1130" t="s">
        <v>32724</v>
      </c>
    </row>
    <row r="1131" spans="1:15" x14ac:dyDescent="0.25">
      <c r="A1131" s="35" t="s">
        <v>4997</v>
      </c>
      <c r="B1131" s="36" t="s">
        <v>4998</v>
      </c>
      <c r="C1131" s="36" t="str">
        <f>HYPERLINK("https://rhld.insurance.arkansas.gov/NPILookup?Npi=1245493402","1245493402")</f>
        <v>1245493402</v>
      </c>
      <c r="D1131" s="36" t="s">
        <v>33789</v>
      </c>
      <c r="E1131" s="36" t="s">
        <v>2</v>
      </c>
      <c r="F1131" s="36">
        <v>1</v>
      </c>
      <c r="G1131" s="36">
        <v>1</v>
      </c>
      <c r="H1131" s="36">
        <v>0</v>
      </c>
      <c r="I1131" s="37">
        <v>0</v>
      </c>
      <c r="J1131" s="36" t="s">
        <v>32679</v>
      </c>
      <c r="K1131" s="36" t="s">
        <v>14330</v>
      </c>
      <c r="L1131" s="36" t="s">
        <v>14330</v>
      </c>
      <c r="M1131">
        <v>2</v>
      </c>
      <c r="N1131" t="s">
        <v>14331</v>
      </c>
      <c r="O1131" t="s">
        <v>32633</v>
      </c>
    </row>
    <row r="1132" spans="1:15" x14ac:dyDescent="0.25">
      <c r="A1132" s="35" t="s">
        <v>4997</v>
      </c>
      <c r="B1132" s="36" t="s">
        <v>4998</v>
      </c>
      <c r="C1132" s="36" t="str">
        <f>HYPERLINK("https://rhld.insurance.arkansas.gov/NPILookup?Npi=1245498906","1245498906")</f>
        <v>1245498906</v>
      </c>
      <c r="D1132" s="36" t="s">
        <v>33790</v>
      </c>
      <c r="E1132" s="36" t="s">
        <v>1</v>
      </c>
      <c r="F1132" s="36">
        <v>1</v>
      </c>
      <c r="G1132" s="36">
        <v>2</v>
      </c>
      <c r="H1132" s="36">
        <v>0</v>
      </c>
      <c r="I1132" s="37">
        <v>0</v>
      </c>
      <c r="J1132" s="36" t="s">
        <v>32654</v>
      </c>
      <c r="K1132" s="36" t="s">
        <v>14330</v>
      </c>
      <c r="L1132" s="36" t="s">
        <v>14330</v>
      </c>
      <c r="M1132">
        <v>2</v>
      </c>
      <c r="N1132" t="s">
        <v>14331</v>
      </c>
      <c r="O1132" t="s">
        <v>32633</v>
      </c>
    </row>
    <row r="1133" spans="1:15" x14ac:dyDescent="0.25">
      <c r="A1133" s="35" t="s">
        <v>4997</v>
      </c>
      <c r="B1133" s="36" t="s">
        <v>4998</v>
      </c>
      <c r="C1133" s="36" t="str">
        <f>HYPERLINK("https://rhld.insurance.arkansas.gov/NPILookup?Npi=1275645400","1275645400")</f>
        <v>1275645400</v>
      </c>
      <c r="D1133" s="36" t="s">
        <v>33791</v>
      </c>
      <c r="E1133" s="36" t="s">
        <v>1</v>
      </c>
      <c r="F1133" s="36">
        <v>1</v>
      </c>
      <c r="G1133" s="36">
        <v>2</v>
      </c>
      <c r="H1133" s="36">
        <v>0</v>
      </c>
      <c r="I1133" s="37">
        <v>0</v>
      </c>
      <c r="J1133" s="36" t="s">
        <v>32654</v>
      </c>
      <c r="K1133" s="36" t="s">
        <v>14330</v>
      </c>
      <c r="L1133" s="36" t="s">
        <v>14330</v>
      </c>
      <c r="M1133">
        <v>2</v>
      </c>
      <c r="N1133" t="s">
        <v>14331</v>
      </c>
      <c r="O1133" t="s">
        <v>32633</v>
      </c>
    </row>
    <row r="1134" spans="1:15" x14ac:dyDescent="0.25">
      <c r="A1134" s="35" t="s">
        <v>4997</v>
      </c>
      <c r="B1134" s="36" t="s">
        <v>4998</v>
      </c>
      <c r="C1134" s="36" t="str">
        <f>HYPERLINK("https://rhld.insurance.arkansas.gov/NPILookup?Npi=1275709859","1275709859")</f>
        <v>1275709859</v>
      </c>
      <c r="D1134" s="36" t="s">
        <v>33792</v>
      </c>
      <c r="E1134" s="36" t="s">
        <v>1</v>
      </c>
      <c r="F1134" s="36">
        <v>1</v>
      </c>
      <c r="G1134" s="36">
        <v>2</v>
      </c>
      <c r="H1134" s="36">
        <v>0</v>
      </c>
      <c r="I1134" s="37">
        <v>0</v>
      </c>
      <c r="J1134" s="36" t="s">
        <v>32654</v>
      </c>
      <c r="K1134" s="36" t="s">
        <v>14330</v>
      </c>
      <c r="L1134" s="36" t="s">
        <v>14330</v>
      </c>
      <c r="M1134">
        <v>2</v>
      </c>
      <c r="N1134" t="s">
        <v>14331</v>
      </c>
      <c r="O1134" t="s">
        <v>32633</v>
      </c>
    </row>
    <row r="1135" spans="1:15" x14ac:dyDescent="0.25">
      <c r="A1135" s="35" t="s">
        <v>4997</v>
      </c>
      <c r="B1135" s="36" t="s">
        <v>4998</v>
      </c>
      <c r="C1135" s="36" t="str">
        <f>HYPERLINK("https://rhld.insurance.arkansas.gov/NPILookup?Npi=1285630095","1285630095")</f>
        <v>1285630095</v>
      </c>
      <c r="D1135" s="36" t="s">
        <v>33793</v>
      </c>
      <c r="E1135" s="36" t="s">
        <v>1</v>
      </c>
      <c r="F1135" s="36">
        <v>1</v>
      </c>
      <c r="G1135" s="36">
        <v>2</v>
      </c>
      <c r="H1135" s="36">
        <v>0</v>
      </c>
      <c r="I1135" s="37">
        <v>0</v>
      </c>
      <c r="J1135" s="36" t="s">
        <v>32654</v>
      </c>
      <c r="K1135" s="36" t="s">
        <v>14330</v>
      </c>
      <c r="L1135" s="36" t="s">
        <v>14330</v>
      </c>
      <c r="M1135">
        <v>1</v>
      </c>
      <c r="N1135" t="s">
        <v>14331</v>
      </c>
      <c r="O1135" t="s">
        <v>32633</v>
      </c>
    </row>
    <row r="1136" spans="1:15" x14ac:dyDescent="0.25">
      <c r="A1136" s="35" t="s">
        <v>4997</v>
      </c>
      <c r="B1136" s="36" t="s">
        <v>4998</v>
      </c>
      <c r="C1136" s="36" t="str">
        <f>HYPERLINK("https://rhld.insurance.arkansas.gov/NPILookup?Npi=1285780718","1285780718")</f>
        <v>1285780718</v>
      </c>
      <c r="D1136" s="36" t="s">
        <v>33794</v>
      </c>
      <c r="E1136" s="36" t="s">
        <v>2</v>
      </c>
      <c r="F1136" s="36">
        <v>1</v>
      </c>
      <c r="G1136" s="36">
        <v>1</v>
      </c>
      <c r="H1136" s="36">
        <v>0</v>
      </c>
      <c r="I1136" s="37">
        <v>0</v>
      </c>
      <c r="J1136" s="36" t="s">
        <v>32679</v>
      </c>
      <c r="K1136" s="36" t="s">
        <v>14330</v>
      </c>
      <c r="L1136" s="36" t="s">
        <v>14330</v>
      </c>
      <c r="M1136">
        <v>2</v>
      </c>
      <c r="N1136" t="s">
        <v>14331</v>
      </c>
      <c r="O1136" t="s">
        <v>32633</v>
      </c>
    </row>
    <row r="1137" spans="1:15" x14ac:dyDescent="0.25">
      <c r="A1137" s="35" t="s">
        <v>4997</v>
      </c>
      <c r="B1137" s="36" t="s">
        <v>4998</v>
      </c>
      <c r="C1137" s="36" t="str">
        <f>HYPERLINK("https://rhld.insurance.arkansas.gov/NPILookup?Npi=1306032438","1306032438")</f>
        <v>1306032438</v>
      </c>
      <c r="D1137" s="36" t="s">
        <v>33795</v>
      </c>
      <c r="E1137" s="36" t="s">
        <v>1</v>
      </c>
      <c r="F1137" s="36">
        <v>1</v>
      </c>
      <c r="G1137" s="36">
        <v>2</v>
      </c>
      <c r="H1137" s="36">
        <v>0</v>
      </c>
      <c r="I1137" s="37">
        <v>0</v>
      </c>
      <c r="J1137" s="36" t="s">
        <v>32654</v>
      </c>
      <c r="K1137" s="36" t="s">
        <v>14330</v>
      </c>
      <c r="L1137" s="36" t="s">
        <v>14330</v>
      </c>
      <c r="M1137">
        <v>1</v>
      </c>
      <c r="N1137" t="s">
        <v>14331</v>
      </c>
      <c r="O1137" t="s">
        <v>32633</v>
      </c>
    </row>
    <row r="1138" spans="1:15" x14ac:dyDescent="0.25">
      <c r="A1138" s="35" t="s">
        <v>4997</v>
      </c>
      <c r="B1138" s="36" t="s">
        <v>4998</v>
      </c>
      <c r="C1138" s="36" t="str">
        <f>HYPERLINK("https://rhld.insurance.arkansas.gov/NPILookup?Npi=1306898762","1306898762")</f>
        <v>1306898762</v>
      </c>
      <c r="D1138" s="36" t="s">
        <v>33796</v>
      </c>
      <c r="E1138" s="36" t="s">
        <v>2</v>
      </c>
      <c r="F1138" s="36">
        <v>1</v>
      </c>
      <c r="G1138" s="36">
        <v>1</v>
      </c>
      <c r="H1138" s="36">
        <v>0</v>
      </c>
      <c r="I1138" s="37">
        <v>0</v>
      </c>
      <c r="J1138" s="36" t="s">
        <v>32679</v>
      </c>
      <c r="K1138" s="36" t="s">
        <v>14330</v>
      </c>
      <c r="L1138" s="36" t="s">
        <v>14330</v>
      </c>
      <c r="M1138">
        <v>2</v>
      </c>
      <c r="N1138" t="s">
        <v>14331</v>
      </c>
      <c r="O1138" t="s">
        <v>32633</v>
      </c>
    </row>
    <row r="1139" spans="1:15" x14ac:dyDescent="0.25">
      <c r="A1139" s="35" t="s">
        <v>4997</v>
      </c>
      <c r="B1139" s="36" t="s">
        <v>4998</v>
      </c>
      <c r="C1139" s="36" t="str">
        <f>HYPERLINK("https://rhld.insurance.arkansas.gov/NPILookup?Npi=1316386915","1316386915")</f>
        <v>1316386915</v>
      </c>
      <c r="D1139" s="36" t="s">
        <v>33797</v>
      </c>
      <c r="E1139" s="36" t="s">
        <v>1</v>
      </c>
      <c r="F1139" s="36">
        <v>1</v>
      </c>
      <c r="G1139" s="36">
        <v>2</v>
      </c>
      <c r="H1139" s="36">
        <v>0</v>
      </c>
      <c r="I1139" s="37">
        <v>0</v>
      </c>
      <c r="J1139" s="36" t="s">
        <v>32654</v>
      </c>
      <c r="K1139" s="36" t="s">
        <v>14330</v>
      </c>
      <c r="L1139" s="36" t="s">
        <v>14330</v>
      </c>
      <c r="M1139">
        <v>1</v>
      </c>
      <c r="N1139" t="s">
        <v>14331</v>
      </c>
      <c r="O1139" t="s">
        <v>32633</v>
      </c>
    </row>
    <row r="1140" spans="1:15" x14ac:dyDescent="0.25">
      <c r="A1140" s="35" t="s">
        <v>4997</v>
      </c>
      <c r="B1140" s="36" t="s">
        <v>4998</v>
      </c>
      <c r="C1140" s="36" t="str">
        <f>HYPERLINK("https://rhld.insurance.arkansas.gov/NPILookup?Npi=1316443575","1316443575")</f>
        <v>1316443575</v>
      </c>
      <c r="D1140" s="36" t="s">
        <v>33798</v>
      </c>
      <c r="E1140" s="36" t="s">
        <v>2</v>
      </c>
      <c r="F1140" s="36">
        <v>1</v>
      </c>
      <c r="G1140" s="36">
        <v>1</v>
      </c>
      <c r="H1140" s="36">
        <v>0</v>
      </c>
      <c r="I1140" s="37">
        <v>0</v>
      </c>
      <c r="J1140" s="36" t="s">
        <v>32679</v>
      </c>
      <c r="K1140" s="36" t="s">
        <v>14330</v>
      </c>
      <c r="L1140" s="36" t="s">
        <v>14330</v>
      </c>
      <c r="M1140">
        <v>3</v>
      </c>
      <c r="N1140" t="s">
        <v>14331</v>
      </c>
      <c r="O1140" t="s">
        <v>32633</v>
      </c>
    </row>
    <row r="1141" spans="1:15" x14ac:dyDescent="0.25">
      <c r="A1141" s="35" t="s">
        <v>4997</v>
      </c>
      <c r="B1141" s="36" t="s">
        <v>4998</v>
      </c>
      <c r="C1141" s="36" t="str">
        <f>HYPERLINK("https://rhld.insurance.arkansas.gov/NPILookup?Npi=1326034547","1326034547")</f>
        <v>1326034547</v>
      </c>
      <c r="D1141" s="36" t="s">
        <v>33799</v>
      </c>
      <c r="E1141" s="36" t="s">
        <v>1</v>
      </c>
      <c r="F1141" s="36">
        <v>1</v>
      </c>
      <c r="G1141" s="36">
        <v>3</v>
      </c>
      <c r="H1141" s="36">
        <v>0</v>
      </c>
      <c r="I1141" s="37">
        <v>0</v>
      </c>
      <c r="J1141" s="36" t="s">
        <v>32654</v>
      </c>
      <c r="K1141" s="36" t="s">
        <v>14330</v>
      </c>
      <c r="L1141" s="36" t="s">
        <v>14330</v>
      </c>
      <c r="M1141">
        <v>3</v>
      </c>
      <c r="N1141" t="s">
        <v>14331</v>
      </c>
      <c r="O1141" t="s">
        <v>32633</v>
      </c>
    </row>
    <row r="1142" spans="1:15" x14ac:dyDescent="0.25">
      <c r="A1142" s="35" t="s">
        <v>4997</v>
      </c>
      <c r="B1142" s="36" t="s">
        <v>4998</v>
      </c>
      <c r="C1142" s="36" t="str">
        <f>HYPERLINK("https://rhld.insurance.arkansas.gov/NPILookup?Npi=1326255126","1326255126")</f>
        <v>1326255126</v>
      </c>
      <c r="D1142" s="36" t="s">
        <v>33800</v>
      </c>
      <c r="E1142" s="36" t="s">
        <v>1</v>
      </c>
      <c r="F1142" s="36">
        <v>1</v>
      </c>
      <c r="G1142" s="36">
        <v>3</v>
      </c>
      <c r="H1142" s="36">
        <v>0</v>
      </c>
      <c r="I1142" s="37">
        <v>0</v>
      </c>
      <c r="J1142" s="36" t="s">
        <v>32654</v>
      </c>
      <c r="K1142" s="36" t="s">
        <v>14330</v>
      </c>
      <c r="L1142" s="36" t="s">
        <v>14330</v>
      </c>
      <c r="M1142">
        <v>1</v>
      </c>
      <c r="N1142" t="s">
        <v>14331</v>
      </c>
      <c r="O1142" t="s">
        <v>32633</v>
      </c>
    </row>
    <row r="1143" spans="1:15" x14ac:dyDescent="0.25">
      <c r="A1143" s="35" t="s">
        <v>4997</v>
      </c>
      <c r="B1143" s="36" t="s">
        <v>4998</v>
      </c>
      <c r="C1143" s="36" t="str">
        <f>HYPERLINK("https://rhld.insurance.arkansas.gov/NPILookup?Npi=1326562257","1326562257")</f>
        <v>1326562257</v>
      </c>
      <c r="D1143" s="36" t="s">
        <v>33801</v>
      </c>
      <c r="E1143" s="36" t="s">
        <v>2</v>
      </c>
      <c r="F1143" s="36">
        <v>1</v>
      </c>
      <c r="G1143" s="36">
        <v>1</v>
      </c>
      <c r="H1143" s="36">
        <v>0</v>
      </c>
      <c r="I1143" s="37">
        <v>0</v>
      </c>
      <c r="J1143" s="36" t="s">
        <v>32679</v>
      </c>
      <c r="K1143" s="36" t="s">
        <v>14330</v>
      </c>
      <c r="L1143" s="36" t="s">
        <v>14330</v>
      </c>
      <c r="M1143">
        <v>3</v>
      </c>
      <c r="N1143" t="s">
        <v>14331</v>
      </c>
      <c r="O1143" t="s">
        <v>32633</v>
      </c>
    </row>
    <row r="1144" spans="1:15" x14ac:dyDescent="0.25">
      <c r="A1144" s="35" t="s">
        <v>4997</v>
      </c>
      <c r="B1144" s="36" t="s">
        <v>4998</v>
      </c>
      <c r="C1144" s="36" t="str">
        <f>HYPERLINK("https://rhld.insurance.arkansas.gov/NPILookup?Npi=1336127968","1336127968")</f>
        <v>1336127968</v>
      </c>
      <c r="D1144" s="36" t="s">
        <v>33802</v>
      </c>
      <c r="E1144" s="36" t="s">
        <v>1</v>
      </c>
      <c r="F1144" s="36">
        <v>1</v>
      </c>
      <c r="G1144" s="36">
        <v>3</v>
      </c>
      <c r="H1144" s="36">
        <v>0</v>
      </c>
      <c r="I1144" s="37">
        <v>0</v>
      </c>
      <c r="J1144" s="36" t="s">
        <v>32654</v>
      </c>
      <c r="K1144" s="36" t="s">
        <v>14330</v>
      </c>
      <c r="L1144" s="36" t="s">
        <v>14330</v>
      </c>
      <c r="M1144">
        <v>3</v>
      </c>
      <c r="N1144" t="s">
        <v>14331</v>
      </c>
      <c r="O1144" t="s">
        <v>32633</v>
      </c>
    </row>
    <row r="1145" spans="1:15" x14ac:dyDescent="0.25">
      <c r="A1145" s="35" t="s">
        <v>4997</v>
      </c>
      <c r="B1145" s="36" t="s">
        <v>4998</v>
      </c>
      <c r="C1145" s="36" t="str">
        <f>HYPERLINK("https://rhld.insurance.arkansas.gov/NPILookup?Npi=1336141902","1336141902")</f>
        <v>1336141902</v>
      </c>
      <c r="D1145" s="36" t="s">
        <v>33803</v>
      </c>
      <c r="E1145" s="36" t="s">
        <v>1</v>
      </c>
      <c r="F1145" s="36">
        <v>1</v>
      </c>
      <c r="G1145" s="36">
        <v>3</v>
      </c>
      <c r="H1145" s="36">
        <v>0</v>
      </c>
      <c r="I1145" s="37">
        <v>0</v>
      </c>
      <c r="J1145" s="36" t="s">
        <v>32654</v>
      </c>
      <c r="K1145" s="36" t="s">
        <v>14330</v>
      </c>
      <c r="L1145" s="36" t="s">
        <v>14330</v>
      </c>
      <c r="M1145">
        <v>1</v>
      </c>
      <c r="N1145" t="s">
        <v>14331</v>
      </c>
      <c r="O1145" t="s">
        <v>32633</v>
      </c>
    </row>
    <row r="1146" spans="1:15" x14ac:dyDescent="0.25">
      <c r="A1146" s="35" t="s">
        <v>4997</v>
      </c>
      <c r="B1146" s="36" t="s">
        <v>4998</v>
      </c>
      <c r="C1146" s="36" t="str">
        <f>HYPERLINK("https://rhld.insurance.arkansas.gov/NPILookup?Npi=1336300771","1336300771")</f>
        <v>1336300771</v>
      </c>
      <c r="D1146" s="36" t="s">
        <v>33804</v>
      </c>
      <c r="E1146" s="36" t="s">
        <v>2</v>
      </c>
      <c r="F1146" s="36">
        <v>1</v>
      </c>
      <c r="G1146" s="36">
        <v>1</v>
      </c>
      <c r="H1146" s="36">
        <v>0</v>
      </c>
      <c r="I1146" s="37">
        <v>0</v>
      </c>
      <c r="J1146" s="36" t="s">
        <v>32679</v>
      </c>
      <c r="K1146" s="36" t="s">
        <v>14330</v>
      </c>
      <c r="L1146" s="36" t="s">
        <v>14330</v>
      </c>
      <c r="M1146">
        <v>1</v>
      </c>
      <c r="N1146" t="s">
        <v>14331</v>
      </c>
      <c r="O1146" t="s">
        <v>32633</v>
      </c>
    </row>
    <row r="1147" spans="1:15" x14ac:dyDescent="0.25">
      <c r="A1147" s="35" t="s">
        <v>4997</v>
      </c>
      <c r="B1147" s="36" t="s">
        <v>4998</v>
      </c>
      <c r="C1147" s="36" t="str">
        <f>HYPERLINK("https://rhld.insurance.arkansas.gov/NPILookup?Npi=1336672476","1336672476")</f>
        <v>1336672476</v>
      </c>
      <c r="D1147" s="36" t="s">
        <v>33805</v>
      </c>
      <c r="E1147" s="36" t="s">
        <v>2</v>
      </c>
      <c r="F1147" s="36">
        <v>1</v>
      </c>
      <c r="G1147" s="36">
        <v>1</v>
      </c>
      <c r="H1147" s="36">
        <v>0</v>
      </c>
      <c r="I1147" s="37">
        <v>0</v>
      </c>
      <c r="J1147" s="36" t="s">
        <v>32679</v>
      </c>
      <c r="K1147" s="36" t="s">
        <v>14330</v>
      </c>
      <c r="L1147" s="36" t="s">
        <v>14330</v>
      </c>
      <c r="M1147">
        <v>0</v>
      </c>
      <c r="N1147" t="s">
        <v>14331</v>
      </c>
      <c r="O1147" t="s">
        <v>32633</v>
      </c>
    </row>
    <row r="1148" spans="1:15" x14ac:dyDescent="0.25">
      <c r="A1148" s="35" t="s">
        <v>4997</v>
      </c>
      <c r="B1148" s="36" t="s">
        <v>4998</v>
      </c>
      <c r="C1148" s="36" t="str">
        <f>HYPERLINK("https://rhld.insurance.arkansas.gov/NPILookup?Npi=1356436000","1356436000")</f>
        <v>1356436000</v>
      </c>
      <c r="D1148" s="36" t="s">
        <v>33806</v>
      </c>
      <c r="E1148" s="36" t="s">
        <v>2</v>
      </c>
      <c r="F1148" s="36">
        <v>1</v>
      </c>
      <c r="G1148" s="36">
        <v>0</v>
      </c>
      <c r="H1148" s="36">
        <v>0</v>
      </c>
      <c r="I1148" s="37">
        <v>0</v>
      </c>
      <c r="J1148" s="36" t="s">
        <v>32679</v>
      </c>
      <c r="K1148" s="36" t="s">
        <v>14330</v>
      </c>
      <c r="L1148" s="36" t="s">
        <v>14330</v>
      </c>
      <c r="M1148">
        <v>2</v>
      </c>
      <c r="N1148" t="s">
        <v>14331</v>
      </c>
      <c r="O1148" t="s">
        <v>32633</v>
      </c>
    </row>
    <row r="1149" spans="1:15" x14ac:dyDescent="0.25">
      <c r="A1149" s="35" t="s">
        <v>4997</v>
      </c>
      <c r="B1149" s="36" t="s">
        <v>4998</v>
      </c>
      <c r="C1149" s="36" t="str">
        <f>HYPERLINK("https://rhld.insurance.arkansas.gov/NPILookup?Npi=1366470544","1366470544")</f>
        <v>1366470544</v>
      </c>
      <c r="D1149" s="36" t="s">
        <v>33580</v>
      </c>
      <c r="E1149" s="36" t="s">
        <v>1</v>
      </c>
      <c r="F1149" s="36">
        <v>1</v>
      </c>
      <c r="G1149" s="36">
        <v>2</v>
      </c>
      <c r="H1149" s="36">
        <v>0</v>
      </c>
      <c r="I1149" s="37">
        <v>0</v>
      </c>
      <c r="J1149" s="36" t="s">
        <v>32654</v>
      </c>
      <c r="K1149" s="36" t="s">
        <v>14330</v>
      </c>
      <c r="L1149" s="36" t="s">
        <v>14330</v>
      </c>
      <c r="M1149">
        <v>1</v>
      </c>
      <c r="N1149" t="s">
        <v>14331</v>
      </c>
      <c r="O1149" t="s">
        <v>32633</v>
      </c>
    </row>
    <row r="1150" spans="1:15" x14ac:dyDescent="0.25">
      <c r="A1150" s="35" t="s">
        <v>4997</v>
      </c>
      <c r="B1150" s="36" t="s">
        <v>4998</v>
      </c>
      <c r="C1150" s="36" t="str">
        <f>HYPERLINK("https://rhld.insurance.arkansas.gov/NPILookup?Npi=1366647224","1366647224")</f>
        <v>1366647224</v>
      </c>
      <c r="D1150" s="36" t="s">
        <v>33807</v>
      </c>
      <c r="E1150" s="36" t="s">
        <v>1</v>
      </c>
      <c r="F1150" s="36">
        <v>1</v>
      </c>
      <c r="G1150" s="36">
        <v>1</v>
      </c>
      <c r="H1150" s="36">
        <v>0</v>
      </c>
      <c r="I1150" s="37">
        <v>0</v>
      </c>
      <c r="J1150" s="36" t="s">
        <v>32654</v>
      </c>
      <c r="K1150" s="36" t="s">
        <v>14330</v>
      </c>
      <c r="L1150" s="36" t="s">
        <v>14330</v>
      </c>
      <c r="M1150">
        <v>1</v>
      </c>
      <c r="N1150" t="s">
        <v>14331</v>
      </c>
      <c r="O1150" t="s">
        <v>32633</v>
      </c>
    </row>
    <row r="1151" spans="1:15" x14ac:dyDescent="0.25">
      <c r="A1151" s="35" t="s">
        <v>4997</v>
      </c>
      <c r="B1151" s="36" t="s">
        <v>4998</v>
      </c>
      <c r="C1151" s="36" t="str">
        <f>HYPERLINK("https://rhld.insurance.arkansas.gov/NPILookup?Npi=1366786451","1366786451")</f>
        <v>1366786451</v>
      </c>
      <c r="D1151" s="36" t="s">
        <v>33808</v>
      </c>
      <c r="E1151" s="36" t="s">
        <v>2</v>
      </c>
      <c r="F1151" s="36">
        <v>1</v>
      </c>
      <c r="G1151" s="36">
        <v>1</v>
      </c>
      <c r="H1151" s="36">
        <v>0</v>
      </c>
      <c r="I1151" s="37">
        <v>0</v>
      </c>
      <c r="J1151" s="36" t="s">
        <v>32679</v>
      </c>
      <c r="K1151" s="36" t="s">
        <v>14330</v>
      </c>
      <c r="L1151" s="36" t="s">
        <v>14330</v>
      </c>
      <c r="M1151">
        <v>2</v>
      </c>
      <c r="N1151" t="s">
        <v>14331</v>
      </c>
      <c r="O1151" t="s">
        <v>32633</v>
      </c>
    </row>
    <row r="1152" spans="1:15" x14ac:dyDescent="0.25">
      <c r="A1152" s="35" t="s">
        <v>4997</v>
      </c>
      <c r="B1152" s="36" t="s">
        <v>4998</v>
      </c>
      <c r="C1152" s="36" t="str">
        <f>HYPERLINK("https://rhld.insurance.arkansas.gov/NPILookup?Npi=1376749333","1376749333")</f>
        <v>1376749333</v>
      </c>
      <c r="D1152" s="36" t="s">
        <v>33809</v>
      </c>
      <c r="E1152" s="36" t="s">
        <v>1</v>
      </c>
      <c r="F1152" s="36">
        <v>1</v>
      </c>
      <c r="G1152" s="36">
        <v>2</v>
      </c>
      <c r="H1152" s="36">
        <v>0</v>
      </c>
      <c r="I1152" s="37">
        <v>0</v>
      </c>
      <c r="J1152" s="36" t="s">
        <v>32654</v>
      </c>
      <c r="K1152" s="36" t="s">
        <v>14330</v>
      </c>
      <c r="L1152" s="36" t="s">
        <v>14330</v>
      </c>
      <c r="M1152">
        <v>1</v>
      </c>
      <c r="N1152" t="s">
        <v>14331</v>
      </c>
      <c r="O1152" t="s">
        <v>32633</v>
      </c>
    </row>
    <row r="1153" spans="1:15" x14ac:dyDescent="0.25">
      <c r="A1153" s="35" t="s">
        <v>4997</v>
      </c>
      <c r="B1153" s="36" t="s">
        <v>4998</v>
      </c>
      <c r="C1153" s="36" t="str">
        <f>HYPERLINK("https://rhld.insurance.arkansas.gov/NPILookup?Npi=1386842284","1386842284")</f>
        <v>1386842284</v>
      </c>
      <c r="D1153" s="36" t="s">
        <v>33810</v>
      </c>
      <c r="E1153" s="36" t="s">
        <v>2</v>
      </c>
      <c r="F1153" s="36">
        <v>1</v>
      </c>
      <c r="G1153" s="36">
        <v>1</v>
      </c>
      <c r="H1153" s="36">
        <v>0</v>
      </c>
      <c r="I1153" s="37">
        <v>0</v>
      </c>
      <c r="J1153" s="36" t="s">
        <v>32679</v>
      </c>
      <c r="K1153" s="36" t="s">
        <v>14330</v>
      </c>
      <c r="L1153" s="36" t="s">
        <v>14330</v>
      </c>
      <c r="M1153">
        <v>2</v>
      </c>
      <c r="N1153" t="s">
        <v>14331</v>
      </c>
      <c r="O1153" t="s">
        <v>32633</v>
      </c>
    </row>
    <row r="1154" spans="1:15" x14ac:dyDescent="0.25">
      <c r="A1154" s="35" t="s">
        <v>4997</v>
      </c>
      <c r="B1154" s="36" t="s">
        <v>4998</v>
      </c>
      <c r="C1154" s="36" t="str">
        <f>HYPERLINK("https://rhld.insurance.arkansas.gov/NPILookup?Npi=1407111313","1407111313")</f>
        <v>1407111313</v>
      </c>
      <c r="D1154" s="36" t="s">
        <v>33811</v>
      </c>
      <c r="E1154" s="36" t="s">
        <v>2</v>
      </c>
      <c r="F1154" s="36">
        <v>2</v>
      </c>
      <c r="G1154" s="36">
        <v>2</v>
      </c>
      <c r="H1154" s="36">
        <v>0</v>
      </c>
      <c r="I1154" s="37">
        <v>0</v>
      </c>
      <c r="J1154" s="36" t="s">
        <v>33004</v>
      </c>
      <c r="K1154" s="36" t="s">
        <v>14330</v>
      </c>
      <c r="L1154" s="36" t="s">
        <v>14330</v>
      </c>
      <c r="M1154">
        <v>1</v>
      </c>
      <c r="N1154" t="s">
        <v>14331</v>
      </c>
      <c r="O1154" t="s">
        <v>14333</v>
      </c>
    </row>
    <row r="1155" spans="1:15" x14ac:dyDescent="0.25">
      <c r="A1155" s="35" t="s">
        <v>4997</v>
      </c>
      <c r="B1155" s="36" t="s">
        <v>4998</v>
      </c>
      <c r="C1155" s="36" t="str">
        <f>HYPERLINK("https://rhld.insurance.arkansas.gov/NPILookup?Npi=1407111461","1407111461")</f>
        <v>1407111461</v>
      </c>
      <c r="D1155" s="36" t="s">
        <v>33812</v>
      </c>
      <c r="E1155" s="36" t="s">
        <v>2</v>
      </c>
      <c r="F1155" s="36">
        <v>1</v>
      </c>
      <c r="G1155" s="36">
        <v>1</v>
      </c>
      <c r="H1155" s="36">
        <v>0</v>
      </c>
      <c r="I1155" s="37">
        <v>0</v>
      </c>
      <c r="J1155" s="36" t="s">
        <v>32679</v>
      </c>
      <c r="K1155" s="36" t="s">
        <v>14330</v>
      </c>
      <c r="L1155" s="36" t="s">
        <v>14330</v>
      </c>
      <c r="M1155">
        <v>1</v>
      </c>
      <c r="N1155" t="s">
        <v>14331</v>
      </c>
      <c r="O1155" t="s">
        <v>32633</v>
      </c>
    </row>
    <row r="1156" spans="1:15" x14ac:dyDescent="0.25">
      <c r="A1156" s="35" t="s">
        <v>4997</v>
      </c>
      <c r="B1156" s="36" t="s">
        <v>4998</v>
      </c>
      <c r="C1156" s="36" t="str">
        <f>HYPERLINK("https://rhld.insurance.arkansas.gov/NPILookup?Npi=1407901382","1407901382")</f>
        <v>1407901382</v>
      </c>
      <c r="D1156" s="36" t="s">
        <v>33813</v>
      </c>
      <c r="E1156" s="36" t="s">
        <v>2</v>
      </c>
      <c r="F1156" s="36">
        <v>1</v>
      </c>
      <c r="G1156" s="36">
        <v>1</v>
      </c>
      <c r="H1156" s="36">
        <v>0</v>
      </c>
      <c r="I1156" s="37">
        <v>0</v>
      </c>
      <c r="J1156" s="36" t="s">
        <v>32679</v>
      </c>
      <c r="K1156" s="36" t="s">
        <v>14330</v>
      </c>
      <c r="L1156" s="36" t="s">
        <v>14330</v>
      </c>
      <c r="M1156">
        <v>1</v>
      </c>
      <c r="N1156" t="s">
        <v>14331</v>
      </c>
      <c r="O1156" t="s">
        <v>32633</v>
      </c>
    </row>
    <row r="1157" spans="1:15" x14ac:dyDescent="0.25">
      <c r="A1157" s="35" t="s">
        <v>4997</v>
      </c>
      <c r="B1157" s="36" t="s">
        <v>4998</v>
      </c>
      <c r="C1157" s="36" t="str">
        <f>HYPERLINK("https://rhld.insurance.arkansas.gov/NPILookup?Npi=1417343922","1417343922")</f>
        <v>1417343922</v>
      </c>
      <c r="D1157" s="36" t="s">
        <v>33814</v>
      </c>
      <c r="E1157" s="36" t="s">
        <v>2</v>
      </c>
      <c r="F1157" s="36">
        <v>1</v>
      </c>
      <c r="G1157" s="36">
        <v>1</v>
      </c>
      <c r="H1157" s="36">
        <v>0</v>
      </c>
      <c r="I1157" s="37">
        <v>0</v>
      </c>
      <c r="J1157" s="36" t="s">
        <v>32679</v>
      </c>
      <c r="K1157" s="36" t="s">
        <v>14330</v>
      </c>
      <c r="L1157" s="36" t="s">
        <v>14330</v>
      </c>
      <c r="M1157">
        <v>1</v>
      </c>
      <c r="N1157" t="s">
        <v>14331</v>
      </c>
      <c r="O1157" t="s">
        <v>32633</v>
      </c>
    </row>
    <row r="1158" spans="1:15" x14ac:dyDescent="0.25">
      <c r="A1158" s="35" t="s">
        <v>4997</v>
      </c>
      <c r="B1158" s="36" t="s">
        <v>4998</v>
      </c>
      <c r="C1158" s="36" t="str">
        <f>HYPERLINK("https://rhld.insurance.arkansas.gov/NPILookup?Npi=1417445677","1417445677")</f>
        <v>1417445677</v>
      </c>
      <c r="D1158" s="36" t="s">
        <v>33815</v>
      </c>
      <c r="E1158" s="36" t="s">
        <v>2</v>
      </c>
      <c r="F1158" s="36">
        <v>1</v>
      </c>
      <c r="G1158" s="36">
        <v>1</v>
      </c>
      <c r="H1158" s="36">
        <v>0</v>
      </c>
      <c r="I1158" s="37">
        <v>0</v>
      </c>
      <c r="J1158" s="36" t="s">
        <v>32679</v>
      </c>
      <c r="K1158" s="36" t="s">
        <v>14330</v>
      </c>
      <c r="L1158" s="36" t="s">
        <v>14330</v>
      </c>
      <c r="M1158">
        <v>2</v>
      </c>
      <c r="N1158" t="s">
        <v>14331</v>
      </c>
      <c r="O1158" t="s">
        <v>32633</v>
      </c>
    </row>
    <row r="1159" spans="1:15" x14ac:dyDescent="0.25">
      <c r="A1159" s="35" t="s">
        <v>4997</v>
      </c>
      <c r="B1159" s="36" t="s">
        <v>4998</v>
      </c>
      <c r="C1159" s="36" t="str">
        <f>HYPERLINK("https://rhld.insurance.arkansas.gov/NPILookup?Npi=1427056894","1427056894")</f>
        <v>1427056894</v>
      </c>
      <c r="D1159" s="36" t="s">
        <v>33816</v>
      </c>
      <c r="E1159" s="36" t="s">
        <v>1</v>
      </c>
      <c r="F1159" s="36">
        <v>1</v>
      </c>
      <c r="G1159" s="36">
        <v>2</v>
      </c>
      <c r="H1159" s="36">
        <v>0</v>
      </c>
      <c r="I1159" s="37">
        <v>0</v>
      </c>
      <c r="J1159" s="36" t="s">
        <v>32654</v>
      </c>
      <c r="K1159" s="36" t="s">
        <v>14330</v>
      </c>
      <c r="L1159" s="36" t="s">
        <v>14330</v>
      </c>
      <c r="M1159">
        <v>3</v>
      </c>
      <c r="N1159" t="s">
        <v>14331</v>
      </c>
      <c r="O1159" t="s">
        <v>32633</v>
      </c>
    </row>
    <row r="1160" spans="1:15" x14ac:dyDescent="0.25">
      <c r="A1160" s="35" t="s">
        <v>4997</v>
      </c>
      <c r="B1160" s="36" t="s">
        <v>4998</v>
      </c>
      <c r="C1160" s="36" t="str">
        <f>HYPERLINK("https://rhld.insurance.arkansas.gov/NPILookup?Npi=1427061175","1427061175")</f>
        <v>1427061175</v>
      </c>
      <c r="D1160" s="36" t="s">
        <v>33817</v>
      </c>
      <c r="E1160" s="36" t="s">
        <v>1</v>
      </c>
      <c r="F1160" s="36">
        <v>1</v>
      </c>
      <c r="G1160" s="36">
        <v>3</v>
      </c>
      <c r="H1160" s="36">
        <v>0</v>
      </c>
      <c r="I1160" s="37">
        <v>0</v>
      </c>
      <c r="J1160" s="36" t="s">
        <v>32654</v>
      </c>
      <c r="K1160" s="36" t="s">
        <v>14330</v>
      </c>
      <c r="L1160" s="36" t="s">
        <v>14330</v>
      </c>
      <c r="M1160">
        <v>1</v>
      </c>
      <c r="N1160" t="s">
        <v>14331</v>
      </c>
      <c r="O1160" t="s">
        <v>32633</v>
      </c>
    </row>
    <row r="1161" spans="1:15" x14ac:dyDescent="0.25">
      <c r="A1161" s="35" t="s">
        <v>4997</v>
      </c>
      <c r="B1161" s="36" t="s">
        <v>4998</v>
      </c>
      <c r="C1161" s="36" t="str">
        <f>HYPERLINK("https://rhld.insurance.arkansas.gov/NPILookup?Npi=1427157270","1427157270")</f>
        <v>1427157270</v>
      </c>
      <c r="D1161" s="36" t="s">
        <v>33818</v>
      </c>
      <c r="E1161" s="36" t="s">
        <v>2</v>
      </c>
      <c r="F1161" s="36">
        <v>1</v>
      </c>
      <c r="G1161" s="36">
        <v>1</v>
      </c>
      <c r="H1161" s="36">
        <v>0</v>
      </c>
      <c r="I1161" s="37">
        <v>0</v>
      </c>
      <c r="J1161" s="36" t="s">
        <v>32679</v>
      </c>
      <c r="K1161" s="36" t="s">
        <v>14330</v>
      </c>
      <c r="L1161" s="36" t="s">
        <v>14330</v>
      </c>
      <c r="M1161">
        <v>2</v>
      </c>
      <c r="N1161" t="s">
        <v>14331</v>
      </c>
      <c r="O1161" t="s">
        <v>32633</v>
      </c>
    </row>
    <row r="1162" spans="1:15" x14ac:dyDescent="0.25">
      <c r="A1162" s="35" t="s">
        <v>4997</v>
      </c>
      <c r="B1162" s="36" t="s">
        <v>4998</v>
      </c>
      <c r="C1162" s="36" t="str">
        <f>HYPERLINK("https://rhld.insurance.arkansas.gov/NPILookup?Npi=1427276823","1427276823")</f>
        <v>1427276823</v>
      </c>
      <c r="D1162" s="36" t="s">
        <v>33819</v>
      </c>
      <c r="E1162" s="36" t="s">
        <v>1</v>
      </c>
      <c r="F1162" s="36">
        <v>1</v>
      </c>
      <c r="G1162" s="36">
        <v>2</v>
      </c>
      <c r="H1162" s="36">
        <v>0</v>
      </c>
      <c r="I1162" s="37">
        <v>0</v>
      </c>
      <c r="J1162" s="36" t="s">
        <v>32654</v>
      </c>
      <c r="K1162" s="36" t="s">
        <v>14330</v>
      </c>
      <c r="L1162" s="36" t="s">
        <v>14330</v>
      </c>
      <c r="M1162">
        <v>1</v>
      </c>
      <c r="N1162" t="s">
        <v>14331</v>
      </c>
      <c r="O1162" t="s">
        <v>32633</v>
      </c>
    </row>
    <row r="1163" spans="1:15" x14ac:dyDescent="0.25">
      <c r="A1163" s="35" t="s">
        <v>4997</v>
      </c>
      <c r="B1163" s="36" t="s">
        <v>4998</v>
      </c>
      <c r="C1163" s="36" t="str">
        <f>HYPERLINK("https://rhld.insurance.arkansas.gov/NPILookup?Npi=1427476456","1427476456")</f>
        <v>1427476456</v>
      </c>
      <c r="D1163" s="36" t="s">
        <v>33820</v>
      </c>
      <c r="E1163" s="36" t="s">
        <v>2</v>
      </c>
      <c r="F1163" s="36">
        <v>1</v>
      </c>
      <c r="G1163" s="36">
        <v>1</v>
      </c>
      <c r="H1163" s="36">
        <v>0</v>
      </c>
      <c r="I1163" s="37">
        <v>0</v>
      </c>
      <c r="J1163" s="36" t="s">
        <v>32679</v>
      </c>
      <c r="K1163" s="36" t="s">
        <v>14330</v>
      </c>
      <c r="L1163" s="36" t="s">
        <v>14330</v>
      </c>
      <c r="M1163">
        <v>3</v>
      </c>
      <c r="N1163" t="s">
        <v>14331</v>
      </c>
      <c r="O1163" t="s">
        <v>32633</v>
      </c>
    </row>
    <row r="1164" spans="1:15" x14ac:dyDescent="0.25">
      <c r="A1164" s="35" t="s">
        <v>4997</v>
      </c>
      <c r="B1164" s="36" t="s">
        <v>4998</v>
      </c>
      <c r="C1164" s="36" t="str">
        <f>HYPERLINK("https://rhld.insurance.arkansas.gov/NPILookup?Npi=1437418746","1437418746")</f>
        <v>1437418746</v>
      </c>
      <c r="D1164" s="36" t="s">
        <v>33821</v>
      </c>
      <c r="E1164" s="36" t="s">
        <v>1</v>
      </c>
      <c r="F1164" s="36">
        <v>1</v>
      </c>
      <c r="G1164" s="36">
        <v>3</v>
      </c>
      <c r="H1164" s="36">
        <v>0</v>
      </c>
      <c r="I1164" s="37">
        <v>0</v>
      </c>
      <c r="J1164" s="36" t="s">
        <v>32654</v>
      </c>
      <c r="K1164" s="36" t="s">
        <v>14330</v>
      </c>
      <c r="L1164" s="36" t="s">
        <v>14330</v>
      </c>
      <c r="M1164">
        <v>3</v>
      </c>
      <c r="N1164" t="s">
        <v>14331</v>
      </c>
      <c r="O1164" t="s">
        <v>32633</v>
      </c>
    </row>
    <row r="1165" spans="1:15" x14ac:dyDescent="0.25">
      <c r="A1165" s="35" t="s">
        <v>4997</v>
      </c>
      <c r="B1165" s="36" t="s">
        <v>4998</v>
      </c>
      <c r="C1165" s="36" t="str">
        <f>HYPERLINK("https://rhld.insurance.arkansas.gov/NPILookup?Npi=1477503597","1477503597")</f>
        <v>1477503597</v>
      </c>
      <c r="D1165" s="36" t="s">
        <v>33822</v>
      </c>
      <c r="E1165" s="36" t="s">
        <v>1</v>
      </c>
      <c r="F1165" s="36">
        <v>1</v>
      </c>
      <c r="G1165" s="36">
        <v>3</v>
      </c>
      <c r="H1165" s="36">
        <v>0</v>
      </c>
      <c r="I1165" s="37">
        <v>0</v>
      </c>
      <c r="J1165" s="36" t="s">
        <v>32654</v>
      </c>
      <c r="K1165" s="36" t="s">
        <v>14330</v>
      </c>
      <c r="L1165" s="36" t="s">
        <v>14330</v>
      </c>
      <c r="M1165">
        <v>3</v>
      </c>
      <c r="N1165" t="s">
        <v>14331</v>
      </c>
      <c r="O1165" t="s">
        <v>32633</v>
      </c>
    </row>
    <row r="1166" spans="1:15" x14ac:dyDescent="0.25">
      <c r="A1166" s="35" t="s">
        <v>4997</v>
      </c>
      <c r="B1166" s="36" t="s">
        <v>4998</v>
      </c>
      <c r="C1166" s="36" t="str">
        <f>HYPERLINK("https://rhld.insurance.arkansas.gov/NPILookup?Npi=1477747582","1477747582")</f>
        <v>1477747582</v>
      </c>
      <c r="D1166" s="36" t="s">
        <v>33823</v>
      </c>
      <c r="E1166" s="36" t="s">
        <v>1</v>
      </c>
      <c r="F1166" s="36">
        <v>1</v>
      </c>
      <c r="G1166" s="36">
        <v>3</v>
      </c>
      <c r="H1166" s="36">
        <v>0</v>
      </c>
      <c r="I1166" s="37">
        <v>0</v>
      </c>
      <c r="J1166" s="36" t="s">
        <v>32654</v>
      </c>
      <c r="K1166" s="36" t="s">
        <v>14330</v>
      </c>
      <c r="L1166" s="36" t="s">
        <v>14330</v>
      </c>
      <c r="M1166">
        <v>1</v>
      </c>
      <c r="N1166" t="s">
        <v>14331</v>
      </c>
      <c r="O1166" t="s">
        <v>32633</v>
      </c>
    </row>
    <row r="1167" spans="1:15" x14ac:dyDescent="0.25">
      <c r="A1167" s="35" t="s">
        <v>4997</v>
      </c>
      <c r="B1167" s="36" t="s">
        <v>4998</v>
      </c>
      <c r="C1167" s="36" t="str">
        <f>HYPERLINK("https://rhld.insurance.arkansas.gov/NPILookup?Npi=1477787067","1477787067")</f>
        <v>1477787067</v>
      </c>
      <c r="D1167" s="36" t="s">
        <v>33824</v>
      </c>
      <c r="E1167" s="36" t="s">
        <v>2</v>
      </c>
      <c r="F1167" s="36">
        <v>1</v>
      </c>
      <c r="G1167" s="36">
        <v>1</v>
      </c>
      <c r="H1167" s="36">
        <v>0</v>
      </c>
      <c r="I1167" s="37">
        <v>0</v>
      </c>
      <c r="J1167" s="36" t="s">
        <v>32679</v>
      </c>
      <c r="K1167" s="36" t="s">
        <v>14330</v>
      </c>
      <c r="L1167" s="36" t="s">
        <v>14330</v>
      </c>
      <c r="M1167">
        <v>3</v>
      </c>
      <c r="N1167" t="s">
        <v>14331</v>
      </c>
      <c r="O1167" t="s">
        <v>32633</v>
      </c>
    </row>
    <row r="1168" spans="1:15" x14ac:dyDescent="0.25">
      <c r="A1168" s="35" t="s">
        <v>4997</v>
      </c>
      <c r="B1168" s="36" t="s">
        <v>4998</v>
      </c>
      <c r="C1168" s="36" t="str">
        <f>HYPERLINK("https://rhld.insurance.arkansas.gov/NPILookup?Npi=1477796365","1477796365")</f>
        <v>1477796365</v>
      </c>
      <c r="D1168" s="36" t="s">
        <v>33825</v>
      </c>
      <c r="E1168" s="36" t="s">
        <v>1</v>
      </c>
      <c r="F1168" s="36">
        <v>1</v>
      </c>
      <c r="G1168" s="36">
        <v>3</v>
      </c>
      <c r="H1168" s="36">
        <v>0</v>
      </c>
      <c r="I1168" s="37">
        <v>0</v>
      </c>
      <c r="J1168" s="36" t="s">
        <v>32654</v>
      </c>
      <c r="K1168" s="36" t="s">
        <v>14330</v>
      </c>
      <c r="L1168" s="36" t="s">
        <v>14330</v>
      </c>
      <c r="M1168">
        <v>2</v>
      </c>
      <c r="N1168" t="s">
        <v>14331</v>
      </c>
      <c r="O1168" t="s">
        <v>32633</v>
      </c>
    </row>
    <row r="1169" spans="1:15" x14ac:dyDescent="0.25">
      <c r="A1169" s="35" t="s">
        <v>4997</v>
      </c>
      <c r="B1169" s="36" t="s">
        <v>4998</v>
      </c>
      <c r="C1169" s="36" t="str">
        <f>HYPERLINK("https://rhld.insurance.arkansas.gov/NPILookup?Npi=1477871424","1477871424")</f>
        <v>1477871424</v>
      </c>
      <c r="D1169" s="36" t="s">
        <v>33826</v>
      </c>
      <c r="E1169" s="36" t="s">
        <v>1</v>
      </c>
      <c r="F1169" s="36">
        <v>1</v>
      </c>
      <c r="G1169" s="36">
        <v>2</v>
      </c>
      <c r="H1169" s="36">
        <v>0</v>
      </c>
      <c r="I1169" s="37">
        <v>0</v>
      </c>
      <c r="J1169" s="36" t="s">
        <v>32654</v>
      </c>
      <c r="K1169" s="36" t="s">
        <v>14330</v>
      </c>
      <c r="L1169" s="36" t="s">
        <v>14330</v>
      </c>
      <c r="M1169">
        <v>2</v>
      </c>
      <c r="N1169" t="s">
        <v>14331</v>
      </c>
      <c r="O1169" t="s">
        <v>32633</v>
      </c>
    </row>
    <row r="1170" spans="1:15" x14ac:dyDescent="0.25">
      <c r="A1170" s="35" t="s">
        <v>4997</v>
      </c>
      <c r="B1170" s="36" t="s">
        <v>4998</v>
      </c>
      <c r="C1170" s="36" t="str">
        <f>HYPERLINK("https://rhld.insurance.arkansas.gov/NPILookup?Npi=1497701692","1497701692")</f>
        <v>1497701692</v>
      </c>
      <c r="D1170" s="36" t="s">
        <v>33827</v>
      </c>
      <c r="E1170" s="36" t="s">
        <v>1</v>
      </c>
      <c r="F1170" s="36">
        <v>1</v>
      </c>
      <c r="G1170" s="36">
        <v>2</v>
      </c>
      <c r="H1170" s="36">
        <v>0</v>
      </c>
      <c r="I1170" s="37">
        <v>0</v>
      </c>
      <c r="J1170" s="36" t="s">
        <v>32654</v>
      </c>
      <c r="K1170" s="36" t="s">
        <v>14330</v>
      </c>
      <c r="L1170" s="36" t="s">
        <v>14330</v>
      </c>
      <c r="M1170">
        <v>3</v>
      </c>
      <c r="N1170" t="s">
        <v>14331</v>
      </c>
      <c r="O1170" t="s">
        <v>32633</v>
      </c>
    </row>
    <row r="1171" spans="1:15" x14ac:dyDescent="0.25">
      <c r="A1171" s="35" t="s">
        <v>4997</v>
      </c>
      <c r="B1171" s="36" t="s">
        <v>4998</v>
      </c>
      <c r="C1171" s="36" t="str">
        <f>HYPERLINK("https://rhld.insurance.arkansas.gov/NPILookup?Npi=1508077884","1508077884")</f>
        <v>1508077884</v>
      </c>
      <c r="D1171" s="36" t="s">
        <v>33828</v>
      </c>
      <c r="E1171" s="36" t="s">
        <v>1</v>
      </c>
      <c r="F1171" s="36">
        <v>1</v>
      </c>
      <c r="G1171" s="36">
        <v>3</v>
      </c>
      <c r="H1171" s="36">
        <v>0</v>
      </c>
      <c r="I1171" s="37">
        <v>0</v>
      </c>
      <c r="J1171" s="36" t="s">
        <v>32654</v>
      </c>
      <c r="K1171" s="36" t="s">
        <v>14330</v>
      </c>
      <c r="L1171" s="36" t="s">
        <v>14330</v>
      </c>
      <c r="M1171">
        <v>1</v>
      </c>
      <c r="N1171" t="s">
        <v>14331</v>
      </c>
      <c r="O1171" t="s">
        <v>32633</v>
      </c>
    </row>
    <row r="1172" spans="1:15" x14ac:dyDescent="0.25">
      <c r="A1172" s="35" t="s">
        <v>4997</v>
      </c>
      <c r="B1172" s="36" t="s">
        <v>4998</v>
      </c>
      <c r="C1172" s="36" t="str">
        <f>HYPERLINK("https://rhld.insurance.arkansas.gov/NPILookup?Npi=1508138314","1508138314")</f>
        <v>1508138314</v>
      </c>
      <c r="D1172" s="36" t="s">
        <v>33829</v>
      </c>
      <c r="E1172" s="36" t="s">
        <v>2</v>
      </c>
      <c r="F1172" s="36">
        <v>1</v>
      </c>
      <c r="G1172" s="36">
        <v>1</v>
      </c>
      <c r="H1172" s="36">
        <v>0</v>
      </c>
      <c r="I1172" s="37">
        <v>0</v>
      </c>
      <c r="J1172" s="36" t="s">
        <v>32679</v>
      </c>
      <c r="K1172" s="36" t="s">
        <v>14330</v>
      </c>
      <c r="L1172" s="36" t="s">
        <v>14330</v>
      </c>
      <c r="M1172">
        <v>2</v>
      </c>
      <c r="N1172" t="s">
        <v>14331</v>
      </c>
      <c r="O1172" t="s">
        <v>32633</v>
      </c>
    </row>
    <row r="1173" spans="1:15" x14ac:dyDescent="0.25">
      <c r="A1173" s="35" t="s">
        <v>4997</v>
      </c>
      <c r="B1173" s="36" t="s">
        <v>4998</v>
      </c>
      <c r="C1173" s="36" t="str">
        <f>HYPERLINK("https://rhld.insurance.arkansas.gov/NPILookup?Npi=1508245572","1508245572")</f>
        <v>1508245572</v>
      </c>
      <c r="D1173" s="36" t="s">
        <v>33830</v>
      </c>
      <c r="E1173" s="36" t="s">
        <v>2</v>
      </c>
      <c r="F1173" s="36">
        <v>2</v>
      </c>
      <c r="G1173" s="36">
        <v>2</v>
      </c>
      <c r="H1173" s="36">
        <v>0</v>
      </c>
      <c r="I1173" s="37">
        <v>0</v>
      </c>
      <c r="J1173" s="36" t="s">
        <v>33004</v>
      </c>
      <c r="K1173" s="36" t="s">
        <v>14330</v>
      </c>
      <c r="L1173" s="36" t="s">
        <v>14330</v>
      </c>
      <c r="M1173">
        <v>2</v>
      </c>
      <c r="N1173" t="s">
        <v>14331</v>
      </c>
      <c r="O1173" t="s">
        <v>14333</v>
      </c>
    </row>
    <row r="1174" spans="1:15" x14ac:dyDescent="0.25">
      <c r="A1174" s="35" t="s">
        <v>4997</v>
      </c>
      <c r="B1174" s="36" t="s">
        <v>4998</v>
      </c>
      <c r="C1174" s="36" t="str">
        <f>HYPERLINK("https://rhld.insurance.arkansas.gov/NPILookup?Npi=1508419482","1508419482")</f>
        <v>1508419482</v>
      </c>
      <c r="D1174" s="36" t="s">
        <v>33831</v>
      </c>
      <c r="E1174" s="36" t="s">
        <v>2</v>
      </c>
      <c r="F1174" s="36">
        <v>2</v>
      </c>
      <c r="G1174" s="36">
        <v>2</v>
      </c>
      <c r="H1174" s="36">
        <v>0</v>
      </c>
      <c r="I1174" s="37">
        <v>0</v>
      </c>
      <c r="J1174" s="36" t="s">
        <v>33004</v>
      </c>
      <c r="K1174" s="36" t="s">
        <v>14330</v>
      </c>
      <c r="L1174" s="36" t="s">
        <v>14330</v>
      </c>
      <c r="M1174">
        <v>1</v>
      </c>
      <c r="N1174" t="s">
        <v>14331</v>
      </c>
      <c r="O1174" t="s">
        <v>14333</v>
      </c>
    </row>
    <row r="1175" spans="1:15" x14ac:dyDescent="0.25">
      <c r="A1175" s="35" t="s">
        <v>4997</v>
      </c>
      <c r="B1175" s="36" t="s">
        <v>4998</v>
      </c>
      <c r="C1175" s="36" t="str">
        <f>HYPERLINK("https://rhld.insurance.arkansas.gov/NPILookup?Npi=1508971920","1508971920")</f>
        <v>1508971920</v>
      </c>
      <c r="D1175" s="36" t="s">
        <v>33832</v>
      </c>
      <c r="E1175" s="36" t="s">
        <v>2</v>
      </c>
      <c r="F1175" s="36">
        <v>1</v>
      </c>
      <c r="G1175" s="36">
        <v>1</v>
      </c>
      <c r="H1175" s="36">
        <v>0</v>
      </c>
      <c r="I1175" s="37">
        <v>0</v>
      </c>
      <c r="J1175" s="36" t="s">
        <v>32679</v>
      </c>
      <c r="K1175" s="36" t="s">
        <v>14330</v>
      </c>
      <c r="L1175" s="36" t="s">
        <v>14330</v>
      </c>
      <c r="M1175">
        <v>2</v>
      </c>
      <c r="N1175" t="s">
        <v>14331</v>
      </c>
      <c r="O1175" t="s">
        <v>32633</v>
      </c>
    </row>
    <row r="1176" spans="1:15" x14ac:dyDescent="0.25">
      <c r="A1176" s="35" t="s">
        <v>4997</v>
      </c>
      <c r="B1176" s="36" t="s">
        <v>4998</v>
      </c>
      <c r="C1176" s="36" t="str">
        <f>HYPERLINK("https://rhld.insurance.arkansas.gov/NPILookup?Npi=1528051687","1528051687")</f>
        <v>1528051687</v>
      </c>
      <c r="D1176" s="36" t="s">
        <v>33833</v>
      </c>
      <c r="E1176" s="36" t="s">
        <v>1</v>
      </c>
      <c r="F1176" s="36">
        <v>1</v>
      </c>
      <c r="G1176" s="36">
        <v>2</v>
      </c>
      <c r="H1176" s="36">
        <v>0</v>
      </c>
      <c r="I1176" s="37">
        <v>0</v>
      </c>
      <c r="J1176" s="36" t="s">
        <v>32654</v>
      </c>
      <c r="K1176" s="36" t="s">
        <v>14330</v>
      </c>
      <c r="L1176" s="36" t="s">
        <v>14330</v>
      </c>
      <c r="M1176">
        <v>1</v>
      </c>
      <c r="N1176" t="s">
        <v>14331</v>
      </c>
      <c r="O1176" t="s">
        <v>32633</v>
      </c>
    </row>
    <row r="1177" spans="1:15" x14ac:dyDescent="0.25">
      <c r="A1177" s="35" t="s">
        <v>4997</v>
      </c>
      <c r="B1177" s="36" t="s">
        <v>4998</v>
      </c>
      <c r="C1177" s="36" t="str">
        <f>HYPERLINK("https://rhld.insurance.arkansas.gov/NPILookup?Npi=1528494689","1528494689")</f>
        <v>1528494689</v>
      </c>
      <c r="D1177" s="36" t="s">
        <v>33834</v>
      </c>
      <c r="E1177" s="36" t="s">
        <v>2</v>
      </c>
      <c r="F1177" s="36">
        <v>1</v>
      </c>
      <c r="G1177" s="36">
        <v>1</v>
      </c>
      <c r="H1177" s="36">
        <v>0</v>
      </c>
      <c r="I1177" s="37">
        <v>0</v>
      </c>
      <c r="J1177" s="36" t="s">
        <v>32679</v>
      </c>
      <c r="K1177" s="36" t="s">
        <v>14330</v>
      </c>
      <c r="L1177" s="36" t="s">
        <v>14330</v>
      </c>
      <c r="M1177">
        <v>1</v>
      </c>
      <c r="N1177" t="s">
        <v>14331</v>
      </c>
      <c r="O1177" t="s">
        <v>32633</v>
      </c>
    </row>
    <row r="1178" spans="1:15" x14ac:dyDescent="0.25">
      <c r="A1178" s="35" t="s">
        <v>4997</v>
      </c>
      <c r="B1178" s="36" t="s">
        <v>4998</v>
      </c>
      <c r="C1178" s="36" t="str">
        <f>HYPERLINK("https://rhld.insurance.arkansas.gov/NPILookup?Npi=1538503131","1538503131")</f>
        <v>1538503131</v>
      </c>
      <c r="D1178" s="36" t="s">
        <v>33835</v>
      </c>
      <c r="E1178" s="36" t="s">
        <v>2</v>
      </c>
      <c r="F1178" s="36">
        <v>1</v>
      </c>
      <c r="G1178" s="36">
        <v>1</v>
      </c>
      <c r="H1178" s="36">
        <v>0</v>
      </c>
      <c r="I1178" s="37">
        <v>0</v>
      </c>
      <c r="J1178" s="36" t="s">
        <v>32679</v>
      </c>
      <c r="K1178" s="36" t="s">
        <v>14330</v>
      </c>
      <c r="L1178" s="36" t="s">
        <v>14330</v>
      </c>
      <c r="M1178">
        <v>1</v>
      </c>
      <c r="N1178" t="s">
        <v>14331</v>
      </c>
      <c r="O1178" t="s">
        <v>32633</v>
      </c>
    </row>
    <row r="1179" spans="1:15" x14ac:dyDescent="0.25">
      <c r="A1179" s="35" t="s">
        <v>4997</v>
      </c>
      <c r="B1179" s="36" t="s">
        <v>4998</v>
      </c>
      <c r="C1179" s="36" t="str">
        <f>HYPERLINK("https://rhld.insurance.arkansas.gov/NPILookup?Npi=1538515465","1538515465")</f>
        <v>1538515465</v>
      </c>
      <c r="D1179" s="36" t="s">
        <v>33836</v>
      </c>
      <c r="E1179" s="36" t="s">
        <v>2</v>
      </c>
      <c r="F1179" s="36">
        <v>1</v>
      </c>
      <c r="G1179" s="36">
        <v>1</v>
      </c>
      <c r="H1179" s="36">
        <v>0</v>
      </c>
      <c r="I1179" s="37">
        <v>0</v>
      </c>
      <c r="J1179" s="36" t="s">
        <v>32679</v>
      </c>
      <c r="K1179" s="36" t="s">
        <v>14330</v>
      </c>
      <c r="L1179" s="36" t="s">
        <v>14330</v>
      </c>
      <c r="M1179">
        <v>1</v>
      </c>
      <c r="N1179" t="s">
        <v>14331</v>
      </c>
      <c r="O1179" t="s">
        <v>32633</v>
      </c>
    </row>
    <row r="1180" spans="1:15" x14ac:dyDescent="0.25">
      <c r="A1180" s="35" t="s">
        <v>4997</v>
      </c>
      <c r="B1180" s="36" t="s">
        <v>4998</v>
      </c>
      <c r="C1180" s="36" t="str">
        <f>HYPERLINK("https://rhld.insurance.arkansas.gov/NPILookup?Npi=1538621933","1538621933")</f>
        <v>1538621933</v>
      </c>
      <c r="D1180" s="36" t="s">
        <v>33837</v>
      </c>
      <c r="E1180" s="36" t="s">
        <v>1</v>
      </c>
      <c r="F1180" s="36">
        <v>1</v>
      </c>
      <c r="G1180" s="36">
        <v>1</v>
      </c>
      <c r="H1180" s="36">
        <v>0</v>
      </c>
      <c r="I1180" s="37">
        <v>0</v>
      </c>
      <c r="J1180" s="36" t="s">
        <v>32654</v>
      </c>
      <c r="K1180" s="36" t="s">
        <v>14330</v>
      </c>
      <c r="L1180" s="36" t="s">
        <v>14330</v>
      </c>
      <c r="M1180">
        <v>1</v>
      </c>
      <c r="N1180" t="s">
        <v>14331</v>
      </c>
      <c r="O1180" t="s">
        <v>32633</v>
      </c>
    </row>
    <row r="1181" spans="1:15" x14ac:dyDescent="0.25">
      <c r="A1181" s="35" t="s">
        <v>4997</v>
      </c>
      <c r="B1181" s="36" t="s">
        <v>4998</v>
      </c>
      <c r="C1181" s="36" t="str">
        <f>HYPERLINK("https://rhld.insurance.arkansas.gov/NPILookup?Npi=1548200116","1548200116")</f>
        <v>1548200116</v>
      </c>
      <c r="D1181" s="36" t="s">
        <v>33838</v>
      </c>
      <c r="E1181" s="36" t="s">
        <v>2</v>
      </c>
      <c r="F1181" s="36">
        <v>1</v>
      </c>
      <c r="G1181" s="36">
        <v>1</v>
      </c>
      <c r="H1181" s="36">
        <v>0</v>
      </c>
      <c r="I1181" s="37">
        <v>0</v>
      </c>
      <c r="J1181" s="36" t="s">
        <v>32679</v>
      </c>
      <c r="K1181" s="36" t="s">
        <v>14330</v>
      </c>
      <c r="L1181" s="36" t="s">
        <v>14330</v>
      </c>
      <c r="M1181">
        <v>1</v>
      </c>
      <c r="N1181" t="s">
        <v>14331</v>
      </c>
      <c r="O1181" t="s">
        <v>32633</v>
      </c>
    </row>
    <row r="1182" spans="1:15" x14ac:dyDescent="0.25">
      <c r="A1182" s="35" t="s">
        <v>4997</v>
      </c>
      <c r="B1182" s="36" t="s">
        <v>4998</v>
      </c>
      <c r="C1182" s="36" t="str">
        <f>HYPERLINK("https://rhld.insurance.arkansas.gov/NPILookup?Npi=1558724799","1558724799")</f>
        <v>1558724799</v>
      </c>
      <c r="D1182" s="36" t="s">
        <v>33839</v>
      </c>
      <c r="E1182" s="36" t="s">
        <v>2</v>
      </c>
      <c r="F1182" s="36">
        <v>1</v>
      </c>
      <c r="G1182" s="36">
        <v>1</v>
      </c>
      <c r="H1182" s="36">
        <v>0</v>
      </c>
      <c r="I1182" s="37">
        <v>0</v>
      </c>
      <c r="J1182" s="36" t="s">
        <v>32679</v>
      </c>
      <c r="K1182" s="36" t="s">
        <v>14330</v>
      </c>
      <c r="L1182" s="36" t="s">
        <v>14330</v>
      </c>
      <c r="M1182">
        <v>1</v>
      </c>
      <c r="N1182" t="s">
        <v>14331</v>
      </c>
      <c r="O1182" t="s">
        <v>32633</v>
      </c>
    </row>
    <row r="1183" spans="1:15" x14ac:dyDescent="0.25">
      <c r="A1183" s="35" t="s">
        <v>4997</v>
      </c>
      <c r="B1183" s="36" t="s">
        <v>4998</v>
      </c>
      <c r="C1183" s="36" t="str">
        <f>HYPERLINK("https://rhld.insurance.arkansas.gov/NPILookup?Npi=1568090058","1568090058")</f>
        <v>1568090058</v>
      </c>
      <c r="D1183" s="36" t="s">
        <v>33840</v>
      </c>
      <c r="E1183" s="36" t="s">
        <v>2</v>
      </c>
      <c r="F1183" s="36">
        <v>1</v>
      </c>
      <c r="G1183" s="36">
        <v>1</v>
      </c>
      <c r="H1183" s="36">
        <v>0</v>
      </c>
      <c r="I1183" s="37">
        <v>0</v>
      </c>
      <c r="J1183" s="36" t="s">
        <v>32679</v>
      </c>
      <c r="K1183" s="36" t="s">
        <v>14330</v>
      </c>
      <c r="L1183" s="36" t="s">
        <v>14330</v>
      </c>
      <c r="M1183">
        <v>2</v>
      </c>
      <c r="N1183" t="s">
        <v>14331</v>
      </c>
      <c r="O1183" t="s">
        <v>32633</v>
      </c>
    </row>
    <row r="1184" spans="1:15" x14ac:dyDescent="0.25">
      <c r="A1184" s="35" t="s">
        <v>4997</v>
      </c>
      <c r="B1184" s="36" t="s">
        <v>4998</v>
      </c>
      <c r="C1184" s="36" t="str">
        <f>HYPERLINK("https://rhld.insurance.arkansas.gov/NPILookup?Npi=1568591238","1568591238")</f>
        <v>1568591238</v>
      </c>
      <c r="D1184" s="36" t="s">
        <v>33841</v>
      </c>
      <c r="E1184" s="36" t="s">
        <v>1</v>
      </c>
      <c r="F1184" s="36">
        <v>1</v>
      </c>
      <c r="G1184" s="36">
        <v>2</v>
      </c>
      <c r="H1184" s="36">
        <v>0</v>
      </c>
      <c r="I1184" s="37">
        <v>0</v>
      </c>
      <c r="J1184" s="36" t="s">
        <v>32654</v>
      </c>
      <c r="K1184" s="36" t="s">
        <v>14330</v>
      </c>
      <c r="L1184" s="36" t="s">
        <v>14330</v>
      </c>
      <c r="M1184">
        <v>2</v>
      </c>
      <c r="N1184" t="s">
        <v>14331</v>
      </c>
      <c r="O1184" t="s">
        <v>32633</v>
      </c>
    </row>
    <row r="1185" spans="1:15" x14ac:dyDescent="0.25">
      <c r="A1185" s="35" t="s">
        <v>4997</v>
      </c>
      <c r="B1185" s="36" t="s">
        <v>4998</v>
      </c>
      <c r="C1185" s="36" t="str">
        <f>HYPERLINK("https://rhld.insurance.arkansas.gov/NPILookup?Npi=1568620136","1568620136")</f>
        <v>1568620136</v>
      </c>
      <c r="D1185" s="36" t="s">
        <v>33842</v>
      </c>
      <c r="E1185" s="36" t="s">
        <v>2</v>
      </c>
      <c r="F1185" s="36">
        <v>1</v>
      </c>
      <c r="G1185" s="36">
        <v>2</v>
      </c>
      <c r="H1185" s="36">
        <v>0</v>
      </c>
      <c r="I1185" s="37">
        <v>0</v>
      </c>
      <c r="J1185" s="36" t="s">
        <v>32679</v>
      </c>
      <c r="K1185" s="36" t="s">
        <v>14330</v>
      </c>
      <c r="L1185" s="36" t="s">
        <v>14330</v>
      </c>
      <c r="M1185">
        <v>1</v>
      </c>
      <c r="N1185" t="s">
        <v>14331</v>
      </c>
      <c r="O1185" t="s">
        <v>14333</v>
      </c>
    </row>
    <row r="1186" spans="1:15" x14ac:dyDescent="0.25">
      <c r="A1186" s="35" t="s">
        <v>4997</v>
      </c>
      <c r="B1186" s="36" t="s">
        <v>4998</v>
      </c>
      <c r="C1186" s="36" t="str">
        <f>HYPERLINK("https://rhld.insurance.arkansas.gov/NPILookup?Npi=1568921864","1568921864")</f>
        <v>1568921864</v>
      </c>
      <c r="D1186" s="36" t="s">
        <v>33843</v>
      </c>
      <c r="E1186" s="36" t="s">
        <v>2</v>
      </c>
      <c r="F1186" s="36">
        <v>1</v>
      </c>
      <c r="G1186" s="36">
        <v>1</v>
      </c>
      <c r="H1186" s="36">
        <v>0</v>
      </c>
      <c r="I1186" s="37">
        <v>0</v>
      </c>
      <c r="J1186" s="36" t="s">
        <v>32679</v>
      </c>
      <c r="K1186" s="36" t="s">
        <v>14330</v>
      </c>
      <c r="L1186" s="36" t="s">
        <v>14330</v>
      </c>
      <c r="M1186">
        <v>1</v>
      </c>
      <c r="N1186" t="s">
        <v>14331</v>
      </c>
      <c r="O1186" t="s">
        <v>32633</v>
      </c>
    </row>
    <row r="1187" spans="1:15" x14ac:dyDescent="0.25">
      <c r="A1187" s="35" t="s">
        <v>4997</v>
      </c>
      <c r="B1187" s="36" t="s">
        <v>4998</v>
      </c>
      <c r="C1187" s="36" t="str">
        <f>HYPERLINK("https://rhld.insurance.arkansas.gov/NPILookup?Npi=1578060075","1578060075")</f>
        <v>1578060075</v>
      </c>
      <c r="D1187" s="36" t="s">
        <v>33844</v>
      </c>
      <c r="E1187" s="36" t="s">
        <v>2</v>
      </c>
      <c r="F1187" s="36">
        <v>1</v>
      </c>
      <c r="G1187" s="36">
        <v>1</v>
      </c>
      <c r="H1187" s="36">
        <v>0</v>
      </c>
      <c r="I1187" s="37">
        <v>0</v>
      </c>
      <c r="J1187" s="36" t="s">
        <v>32679</v>
      </c>
      <c r="K1187" s="36" t="s">
        <v>14330</v>
      </c>
      <c r="L1187" s="36" t="s">
        <v>14330</v>
      </c>
      <c r="M1187">
        <v>2</v>
      </c>
      <c r="N1187" t="s">
        <v>14331</v>
      </c>
      <c r="O1187" t="s">
        <v>32633</v>
      </c>
    </row>
    <row r="1188" spans="1:15" x14ac:dyDescent="0.25">
      <c r="A1188" s="35" t="s">
        <v>4997</v>
      </c>
      <c r="B1188" s="36" t="s">
        <v>4998</v>
      </c>
      <c r="C1188" s="36" t="str">
        <f>HYPERLINK("https://rhld.insurance.arkansas.gov/NPILookup?Npi=1578510954","1578510954")</f>
        <v>1578510954</v>
      </c>
      <c r="D1188" s="36" t="s">
        <v>33845</v>
      </c>
      <c r="E1188" s="36" t="s">
        <v>1</v>
      </c>
      <c r="F1188" s="36">
        <v>1</v>
      </c>
      <c r="G1188" s="36">
        <v>2</v>
      </c>
      <c r="H1188" s="36">
        <v>0</v>
      </c>
      <c r="I1188" s="37">
        <v>0</v>
      </c>
      <c r="J1188" s="36" t="s">
        <v>32654</v>
      </c>
      <c r="K1188" s="36" t="s">
        <v>14330</v>
      </c>
      <c r="L1188" s="36" t="s">
        <v>14330</v>
      </c>
      <c r="M1188">
        <v>1</v>
      </c>
      <c r="N1188" t="s">
        <v>14331</v>
      </c>
      <c r="O1188" t="s">
        <v>32633</v>
      </c>
    </row>
    <row r="1189" spans="1:15" x14ac:dyDescent="0.25">
      <c r="A1189" s="35" t="s">
        <v>4997</v>
      </c>
      <c r="B1189" s="36" t="s">
        <v>4998</v>
      </c>
      <c r="C1189" s="36" t="str">
        <f>HYPERLINK("https://rhld.insurance.arkansas.gov/NPILookup?Npi=1578649224","1578649224")</f>
        <v>1578649224</v>
      </c>
      <c r="D1189" s="36" t="s">
        <v>33846</v>
      </c>
      <c r="E1189" s="36" t="s">
        <v>2</v>
      </c>
      <c r="F1189" s="36">
        <v>1</v>
      </c>
      <c r="G1189" s="36">
        <v>1</v>
      </c>
      <c r="H1189" s="36">
        <v>0</v>
      </c>
      <c r="I1189" s="37">
        <v>0</v>
      </c>
      <c r="J1189" s="36" t="s">
        <v>32679</v>
      </c>
      <c r="K1189" s="36" t="s">
        <v>14330</v>
      </c>
      <c r="L1189" s="36" t="s">
        <v>14330</v>
      </c>
      <c r="M1189">
        <v>1</v>
      </c>
      <c r="N1189" t="s">
        <v>14331</v>
      </c>
      <c r="O1189" t="s">
        <v>32633</v>
      </c>
    </row>
    <row r="1190" spans="1:15" x14ac:dyDescent="0.25">
      <c r="A1190" s="35" t="s">
        <v>4997</v>
      </c>
      <c r="B1190" s="36" t="s">
        <v>4998</v>
      </c>
      <c r="C1190" s="36" t="str">
        <f>HYPERLINK("https://rhld.insurance.arkansas.gov/NPILookup?Npi=1598086050","1598086050")</f>
        <v>1598086050</v>
      </c>
      <c r="D1190" s="36" t="s">
        <v>33847</v>
      </c>
      <c r="E1190" s="36" t="s">
        <v>1</v>
      </c>
      <c r="F1190" s="36">
        <v>1</v>
      </c>
      <c r="G1190" s="36">
        <v>1</v>
      </c>
      <c r="H1190" s="36">
        <v>0</v>
      </c>
      <c r="I1190" s="37">
        <v>0</v>
      </c>
      <c r="J1190" s="36" t="s">
        <v>32723</v>
      </c>
      <c r="K1190" s="36" t="s">
        <v>14330</v>
      </c>
      <c r="L1190" s="36" t="s">
        <v>14330</v>
      </c>
      <c r="M1190">
        <v>2</v>
      </c>
      <c r="N1190" t="s">
        <v>14331</v>
      </c>
      <c r="O1190" t="s">
        <v>32724</v>
      </c>
    </row>
    <row r="1191" spans="1:15" x14ac:dyDescent="0.25">
      <c r="A1191" s="35" t="s">
        <v>4997</v>
      </c>
      <c r="B1191" s="36" t="s">
        <v>4998</v>
      </c>
      <c r="C1191" s="36" t="str">
        <f>HYPERLINK("https://rhld.insurance.arkansas.gov/NPILookup?Npi=1598150955","1598150955")</f>
        <v>1598150955</v>
      </c>
      <c r="D1191" s="36" t="s">
        <v>33848</v>
      </c>
      <c r="E1191" s="36" t="s">
        <v>1</v>
      </c>
      <c r="F1191" s="36">
        <v>1</v>
      </c>
      <c r="G1191" s="36">
        <v>2</v>
      </c>
      <c r="H1191" s="36">
        <v>0</v>
      </c>
      <c r="I1191" s="37">
        <v>0</v>
      </c>
      <c r="J1191" s="36" t="s">
        <v>32654</v>
      </c>
      <c r="K1191" s="36" t="s">
        <v>14330</v>
      </c>
      <c r="L1191" s="36" t="s">
        <v>14330</v>
      </c>
      <c r="M1191">
        <v>1</v>
      </c>
      <c r="N1191" t="s">
        <v>14331</v>
      </c>
      <c r="O1191" t="s">
        <v>32633</v>
      </c>
    </row>
    <row r="1192" spans="1:15" x14ac:dyDescent="0.25">
      <c r="A1192" s="35" t="s">
        <v>4997</v>
      </c>
      <c r="B1192" s="36" t="s">
        <v>4998</v>
      </c>
      <c r="C1192" s="36" t="str">
        <f>HYPERLINK("https://rhld.insurance.arkansas.gov/NPILookup?Npi=1609223791","1609223791")</f>
        <v>1609223791</v>
      </c>
      <c r="D1192" s="36" t="s">
        <v>33849</v>
      </c>
      <c r="E1192" s="36" t="s">
        <v>1</v>
      </c>
      <c r="F1192" s="36">
        <v>1</v>
      </c>
      <c r="G1192" s="36">
        <v>1</v>
      </c>
      <c r="H1192" s="36">
        <v>0</v>
      </c>
      <c r="I1192" s="37">
        <v>0</v>
      </c>
      <c r="J1192" s="36" t="s">
        <v>32654</v>
      </c>
      <c r="K1192" s="36" t="s">
        <v>14330</v>
      </c>
      <c r="L1192" s="36" t="s">
        <v>14330</v>
      </c>
      <c r="M1192">
        <v>2</v>
      </c>
      <c r="N1192" t="s">
        <v>14331</v>
      </c>
      <c r="O1192" t="s">
        <v>32633</v>
      </c>
    </row>
    <row r="1193" spans="1:15" x14ac:dyDescent="0.25">
      <c r="A1193" s="35" t="s">
        <v>4997</v>
      </c>
      <c r="B1193" s="36" t="s">
        <v>4998</v>
      </c>
      <c r="C1193" s="36" t="str">
        <f>HYPERLINK("https://rhld.insurance.arkansas.gov/NPILookup?Npi=1619079753","1619079753")</f>
        <v>1619079753</v>
      </c>
      <c r="D1193" s="36" t="s">
        <v>33850</v>
      </c>
      <c r="E1193" s="36" t="s">
        <v>1</v>
      </c>
      <c r="F1193" s="36">
        <v>1</v>
      </c>
      <c r="G1193" s="36">
        <v>2</v>
      </c>
      <c r="H1193" s="36">
        <v>0</v>
      </c>
      <c r="I1193" s="37">
        <v>0</v>
      </c>
      <c r="J1193" s="36" t="s">
        <v>32654</v>
      </c>
      <c r="K1193" s="36" t="s">
        <v>14330</v>
      </c>
      <c r="L1193" s="36" t="s">
        <v>14330</v>
      </c>
      <c r="M1193">
        <v>1</v>
      </c>
      <c r="N1193" t="s">
        <v>14331</v>
      </c>
      <c r="O1193" t="s">
        <v>32633</v>
      </c>
    </row>
    <row r="1194" spans="1:15" x14ac:dyDescent="0.25">
      <c r="A1194" s="35" t="s">
        <v>4997</v>
      </c>
      <c r="B1194" s="36" t="s">
        <v>4998</v>
      </c>
      <c r="C1194" s="36" t="str">
        <f>HYPERLINK("https://rhld.insurance.arkansas.gov/NPILookup?Npi=1619314705","1619314705")</f>
        <v>1619314705</v>
      </c>
      <c r="D1194" s="36" t="s">
        <v>33851</v>
      </c>
      <c r="E1194" s="36" t="s">
        <v>2</v>
      </c>
      <c r="F1194" s="36">
        <v>1</v>
      </c>
      <c r="G1194" s="36">
        <v>1</v>
      </c>
      <c r="H1194" s="36">
        <v>0</v>
      </c>
      <c r="I1194" s="37">
        <v>0</v>
      </c>
      <c r="J1194" s="36" t="s">
        <v>32679</v>
      </c>
      <c r="K1194" s="36" t="s">
        <v>14330</v>
      </c>
      <c r="L1194" s="36" t="s">
        <v>14330</v>
      </c>
      <c r="M1194">
        <v>1</v>
      </c>
      <c r="N1194" t="s">
        <v>14331</v>
      </c>
      <c r="O1194" t="s">
        <v>32633</v>
      </c>
    </row>
    <row r="1195" spans="1:15" x14ac:dyDescent="0.25">
      <c r="A1195" s="35" t="s">
        <v>4997</v>
      </c>
      <c r="B1195" s="36" t="s">
        <v>4998</v>
      </c>
      <c r="C1195" s="36" t="str">
        <f>HYPERLINK("https://rhld.insurance.arkansas.gov/NPILookup?Npi=1619400520","1619400520")</f>
        <v>1619400520</v>
      </c>
      <c r="D1195" s="36" t="s">
        <v>33852</v>
      </c>
      <c r="E1195" s="36" t="s">
        <v>2</v>
      </c>
      <c r="F1195" s="36">
        <v>1</v>
      </c>
      <c r="G1195" s="36">
        <v>1</v>
      </c>
      <c r="H1195" s="36">
        <v>0</v>
      </c>
      <c r="I1195" s="37">
        <v>0</v>
      </c>
      <c r="J1195" s="36" t="s">
        <v>32679</v>
      </c>
      <c r="K1195" s="36" t="s">
        <v>14330</v>
      </c>
      <c r="L1195" s="36" t="s">
        <v>14330</v>
      </c>
      <c r="M1195">
        <v>1</v>
      </c>
      <c r="N1195" t="s">
        <v>14331</v>
      </c>
      <c r="O1195" t="s">
        <v>32633</v>
      </c>
    </row>
    <row r="1196" spans="1:15" x14ac:dyDescent="0.25">
      <c r="A1196" s="35" t="s">
        <v>4997</v>
      </c>
      <c r="B1196" s="36" t="s">
        <v>4998</v>
      </c>
      <c r="C1196" s="36" t="str">
        <f>HYPERLINK("https://rhld.insurance.arkansas.gov/NPILookup?Npi=1619436474","1619436474")</f>
        <v>1619436474</v>
      </c>
      <c r="D1196" s="36" t="s">
        <v>33853</v>
      </c>
      <c r="E1196" s="36" t="s">
        <v>2</v>
      </c>
      <c r="F1196" s="36">
        <v>1</v>
      </c>
      <c r="G1196" s="36">
        <v>1</v>
      </c>
      <c r="H1196" s="36">
        <v>0</v>
      </c>
      <c r="I1196" s="37">
        <v>0</v>
      </c>
      <c r="J1196" s="36" t="s">
        <v>32679</v>
      </c>
      <c r="K1196" s="36" t="s">
        <v>14330</v>
      </c>
      <c r="L1196" s="36" t="s">
        <v>14330</v>
      </c>
      <c r="M1196">
        <v>1</v>
      </c>
      <c r="N1196" t="s">
        <v>14331</v>
      </c>
      <c r="O1196" t="s">
        <v>32633</v>
      </c>
    </row>
    <row r="1197" spans="1:15" x14ac:dyDescent="0.25">
      <c r="A1197" s="35" t="s">
        <v>4997</v>
      </c>
      <c r="B1197" s="36" t="s">
        <v>4998</v>
      </c>
      <c r="C1197" s="36" t="str">
        <f>HYPERLINK("https://rhld.insurance.arkansas.gov/NPILookup?Npi=1629344882","1629344882")</f>
        <v>1629344882</v>
      </c>
      <c r="D1197" s="36" t="s">
        <v>33854</v>
      </c>
      <c r="E1197" s="36" t="s">
        <v>2</v>
      </c>
      <c r="F1197" s="36">
        <v>1</v>
      </c>
      <c r="G1197" s="36">
        <v>1</v>
      </c>
      <c r="H1197" s="36">
        <v>0</v>
      </c>
      <c r="I1197" s="37">
        <v>0</v>
      </c>
      <c r="J1197" s="36" t="s">
        <v>32679</v>
      </c>
      <c r="K1197" s="36" t="s">
        <v>14330</v>
      </c>
      <c r="L1197" s="36" t="s">
        <v>14330</v>
      </c>
      <c r="M1197">
        <v>1</v>
      </c>
      <c r="N1197" t="s">
        <v>14331</v>
      </c>
      <c r="O1197" t="s">
        <v>32633</v>
      </c>
    </row>
    <row r="1198" spans="1:15" x14ac:dyDescent="0.25">
      <c r="A1198" s="35" t="s">
        <v>4997</v>
      </c>
      <c r="B1198" s="36" t="s">
        <v>4998</v>
      </c>
      <c r="C1198" s="36" t="str">
        <f>HYPERLINK("https://rhld.insurance.arkansas.gov/NPILookup?Npi=1629424296","1629424296")</f>
        <v>1629424296</v>
      </c>
      <c r="D1198" s="36" t="s">
        <v>33855</v>
      </c>
      <c r="E1198" s="36" t="s">
        <v>1</v>
      </c>
      <c r="F1198" s="36">
        <v>1</v>
      </c>
      <c r="G1198" s="36">
        <v>1</v>
      </c>
      <c r="H1198" s="36">
        <v>0</v>
      </c>
      <c r="I1198" s="37">
        <v>0</v>
      </c>
      <c r="J1198" s="36" t="s">
        <v>32723</v>
      </c>
      <c r="K1198" s="36" t="s">
        <v>14330</v>
      </c>
      <c r="L1198" s="36" t="s">
        <v>14330</v>
      </c>
      <c r="M1198">
        <v>2</v>
      </c>
      <c r="N1198" t="s">
        <v>14331</v>
      </c>
      <c r="O1198" t="s">
        <v>32724</v>
      </c>
    </row>
    <row r="1199" spans="1:15" x14ac:dyDescent="0.25">
      <c r="A1199" s="35" t="s">
        <v>4997</v>
      </c>
      <c r="B1199" s="36" t="s">
        <v>4998</v>
      </c>
      <c r="C1199" s="36" t="str">
        <f>HYPERLINK("https://rhld.insurance.arkansas.gov/NPILookup?Npi=1639177884","1639177884")</f>
        <v>1639177884</v>
      </c>
      <c r="D1199" s="36" t="s">
        <v>33856</v>
      </c>
      <c r="E1199" s="36" t="s">
        <v>2</v>
      </c>
      <c r="F1199" s="36">
        <v>1</v>
      </c>
      <c r="G1199" s="36">
        <v>2</v>
      </c>
      <c r="H1199" s="36">
        <v>0</v>
      </c>
      <c r="I1199" s="37">
        <v>0</v>
      </c>
      <c r="J1199" s="36" t="s">
        <v>32679</v>
      </c>
      <c r="K1199" s="36" t="s">
        <v>14330</v>
      </c>
      <c r="L1199" s="36" t="s">
        <v>14330</v>
      </c>
      <c r="M1199">
        <v>0</v>
      </c>
      <c r="N1199" t="s">
        <v>14331</v>
      </c>
      <c r="O1199" t="s">
        <v>14333</v>
      </c>
    </row>
    <row r="1200" spans="1:15" x14ac:dyDescent="0.25">
      <c r="A1200" s="35" t="s">
        <v>4997</v>
      </c>
      <c r="B1200" s="36" t="s">
        <v>4998</v>
      </c>
      <c r="C1200" s="36" t="str">
        <f>HYPERLINK("https://rhld.insurance.arkansas.gov/NPILookup?Npi=1639437452","1639437452")</f>
        <v>1639437452</v>
      </c>
      <c r="D1200" s="36" t="s">
        <v>33857</v>
      </c>
      <c r="E1200" s="36" t="s">
        <v>2</v>
      </c>
      <c r="F1200" s="36">
        <v>1</v>
      </c>
      <c r="G1200" s="36">
        <v>0</v>
      </c>
      <c r="H1200" s="36">
        <v>0</v>
      </c>
      <c r="I1200" s="37">
        <v>0</v>
      </c>
      <c r="J1200" s="36" t="s">
        <v>32679</v>
      </c>
      <c r="K1200" s="36" t="s">
        <v>14330</v>
      </c>
      <c r="L1200" s="36" t="s">
        <v>14330</v>
      </c>
      <c r="M1200">
        <v>1</v>
      </c>
      <c r="N1200" t="s">
        <v>14331</v>
      </c>
      <c r="O1200" t="s">
        <v>32633</v>
      </c>
    </row>
    <row r="1201" spans="1:15" x14ac:dyDescent="0.25">
      <c r="A1201" s="35" t="s">
        <v>4997</v>
      </c>
      <c r="B1201" s="36" t="s">
        <v>4998</v>
      </c>
      <c r="C1201" s="36" t="str">
        <f>HYPERLINK("https://rhld.insurance.arkansas.gov/NPILookup?Npi=1649303108","1649303108")</f>
        <v>1649303108</v>
      </c>
      <c r="D1201" s="36" t="s">
        <v>33858</v>
      </c>
      <c r="E1201" s="36" t="s">
        <v>2</v>
      </c>
      <c r="F1201" s="36">
        <v>1</v>
      </c>
      <c r="G1201" s="36">
        <v>1</v>
      </c>
      <c r="H1201" s="36">
        <v>0</v>
      </c>
      <c r="I1201" s="37">
        <v>0</v>
      </c>
      <c r="J1201" s="36" t="s">
        <v>32679</v>
      </c>
      <c r="K1201" s="36" t="s">
        <v>14330</v>
      </c>
      <c r="L1201" s="36" t="s">
        <v>14330</v>
      </c>
      <c r="M1201">
        <v>1</v>
      </c>
      <c r="N1201" t="s">
        <v>14331</v>
      </c>
      <c r="O1201" t="s">
        <v>32633</v>
      </c>
    </row>
    <row r="1202" spans="1:15" x14ac:dyDescent="0.25">
      <c r="A1202" s="35" t="s">
        <v>4997</v>
      </c>
      <c r="B1202" s="36" t="s">
        <v>4998</v>
      </c>
      <c r="C1202" s="36" t="str">
        <f>HYPERLINK("https://rhld.insurance.arkansas.gov/NPILookup?Npi=1649320987","1649320987")</f>
        <v>1649320987</v>
      </c>
      <c r="D1202" s="36" t="s">
        <v>33859</v>
      </c>
      <c r="E1202" s="36" t="s">
        <v>2</v>
      </c>
      <c r="F1202" s="36">
        <v>1</v>
      </c>
      <c r="G1202" s="36">
        <v>1</v>
      </c>
      <c r="H1202" s="36">
        <v>0</v>
      </c>
      <c r="I1202" s="37">
        <v>0</v>
      </c>
      <c r="J1202" s="36" t="s">
        <v>32679</v>
      </c>
      <c r="K1202" s="36" t="s">
        <v>14330</v>
      </c>
      <c r="L1202" s="36" t="s">
        <v>14330</v>
      </c>
      <c r="M1202">
        <v>2</v>
      </c>
      <c r="N1202" t="s">
        <v>14331</v>
      </c>
      <c r="O1202" t="s">
        <v>32633</v>
      </c>
    </row>
    <row r="1203" spans="1:15" x14ac:dyDescent="0.25">
      <c r="A1203" s="35" t="s">
        <v>4997</v>
      </c>
      <c r="B1203" s="36" t="s">
        <v>4998</v>
      </c>
      <c r="C1203" s="36" t="str">
        <f>HYPERLINK("https://rhld.insurance.arkansas.gov/NPILookup?Npi=1649897687","1649897687")</f>
        <v>1649897687</v>
      </c>
      <c r="D1203" s="36" t="s">
        <v>33860</v>
      </c>
      <c r="E1203" s="36" t="s">
        <v>2</v>
      </c>
      <c r="F1203" s="36">
        <v>1</v>
      </c>
      <c r="G1203" s="36">
        <v>2</v>
      </c>
      <c r="H1203" s="36">
        <v>0</v>
      </c>
      <c r="I1203" s="37">
        <v>0</v>
      </c>
      <c r="J1203" s="36"/>
      <c r="K1203" s="36" t="s">
        <v>14330</v>
      </c>
      <c r="L1203" s="36" t="s">
        <v>14330</v>
      </c>
      <c r="M1203">
        <v>2</v>
      </c>
      <c r="N1203" t="s">
        <v>14331</v>
      </c>
      <c r="O1203" t="s">
        <v>14333</v>
      </c>
    </row>
    <row r="1204" spans="1:15" x14ac:dyDescent="0.25">
      <c r="A1204" s="35" t="s">
        <v>4997</v>
      </c>
      <c r="B1204" s="36" t="s">
        <v>4998</v>
      </c>
      <c r="C1204" s="36" t="str">
        <f>HYPERLINK("https://rhld.insurance.arkansas.gov/NPILookup?Npi=1659325785","1659325785")</f>
        <v>1659325785</v>
      </c>
      <c r="D1204" s="36" t="s">
        <v>33861</v>
      </c>
      <c r="E1204" s="36" t="s">
        <v>1</v>
      </c>
      <c r="F1204" s="36">
        <v>1</v>
      </c>
      <c r="G1204" s="36">
        <v>2</v>
      </c>
      <c r="H1204" s="36">
        <v>0</v>
      </c>
      <c r="I1204" s="37">
        <v>0</v>
      </c>
      <c r="J1204" s="36" t="s">
        <v>32654</v>
      </c>
      <c r="K1204" s="36" t="s">
        <v>14330</v>
      </c>
      <c r="L1204" s="36" t="s">
        <v>14330</v>
      </c>
      <c r="M1204">
        <v>2</v>
      </c>
      <c r="N1204" t="s">
        <v>14331</v>
      </c>
      <c r="O1204" t="s">
        <v>32633</v>
      </c>
    </row>
    <row r="1205" spans="1:15" x14ac:dyDescent="0.25">
      <c r="A1205" s="35" t="s">
        <v>4997</v>
      </c>
      <c r="B1205" s="36" t="s">
        <v>4998</v>
      </c>
      <c r="C1205" s="36" t="str">
        <f>HYPERLINK("https://rhld.insurance.arkansas.gov/NPILookup?Npi=1669572871","1669572871")</f>
        <v>1669572871</v>
      </c>
      <c r="D1205" s="36" t="s">
        <v>33862</v>
      </c>
      <c r="E1205" s="36" t="s">
        <v>1</v>
      </c>
      <c r="F1205" s="36">
        <v>1</v>
      </c>
      <c r="G1205" s="36">
        <v>2</v>
      </c>
      <c r="H1205" s="36">
        <v>0</v>
      </c>
      <c r="I1205" s="37">
        <v>0</v>
      </c>
      <c r="J1205" s="36" t="s">
        <v>32654</v>
      </c>
      <c r="K1205" s="36" t="s">
        <v>14330</v>
      </c>
      <c r="L1205" s="36" t="s">
        <v>14330</v>
      </c>
      <c r="M1205">
        <v>1</v>
      </c>
      <c r="N1205" t="s">
        <v>14331</v>
      </c>
      <c r="O1205" t="s">
        <v>32633</v>
      </c>
    </row>
    <row r="1206" spans="1:15" x14ac:dyDescent="0.25">
      <c r="A1206" s="35" t="s">
        <v>4997</v>
      </c>
      <c r="B1206" s="36" t="s">
        <v>4998</v>
      </c>
      <c r="C1206" s="36" t="str">
        <f>HYPERLINK("https://rhld.insurance.arkansas.gov/NPILookup?Npi=1669734620","1669734620")</f>
        <v>1669734620</v>
      </c>
      <c r="D1206" s="36" t="s">
        <v>33863</v>
      </c>
      <c r="E1206" s="36" t="s">
        <v>2</v>
      </c>
      <c r="F1206" s="36">
        <v>1</v>
      </c>
      <c r="G1206" s="36">
        <v>1</v>
      </c>
      <c r="H1206" s="36">
        <v>0</v>
      </c>
      <c r="I1206" s="37">
        <v>0</v>
      </c>
      <c r="J1206" s="36" t="s">
        <v>32679</v>
      </c>
      <c r="K1206" s="36" t="s">
        <v>14330</v>
      </c>
      <c r="L1206" s="36" t="s">
        <v>14330</v>
      </c>
      <c r="M1206">
        <v>1</v>
      </c>
      <c r="N1206" t="s">
        <v>14331</v>
      </c>
      <c r="O1206" t="s">
        <v>32633</v>
      </c>
    </row>
    <row r="1207" spans="1:15" x14ac:dyDescent="0.25">
      <c r="A1207" s="35" t="s">
        <v>4997</v>
      </c>
      <c r="B1207" s="36" t="s">
        <v>4998</v>
      </c>
      <c r="C1207" s="36" t="str">
        <f>HYPERLINK("https://rhld.insurance.arkansas.gov/NPILookup?Npi=1679531636","1679531636")</f>
        <v>1679531636</v>
      </c>
      <c r="D1207" s="36" t="s">
        <v>33864</v>
      </c>
      <c r="E1207" s="36" t="s">
        <v>2</v>
      </c>
      <c r="F1207" s="36">
        <v>1</v>
      </c>
      <c r="G1207" s="36">
        <v>1</v>
      </c>
      <c r="H1207" s="36">
        <v>0</v>
      </c>
      <c r="I1207" s="37">
        <v>0</v>
      </c>
      <c r="J1207" s="36" t="s">
        <v>32679</v>
      </c>
      <c r="K1207" s="36" t="s">
        <v>14330</v>
      </c>
      <c r="L1207" s="36" t="s">
        <v>14330</v>
      </c>
      <c r="M1207">
        <v>2</v>
      </c>
      <c r="N1207" t="s">
        <v>14331</v>
      </c>
      <c r="O1207" t="s">
        <v>32633</v>
      </c>
    </row>
    <row r="1208" spans="1:15" x14ac:dyDescent="0.25">
      <c r="A1208" s="35" t="s">
        <v>4997</v>
      </c>
      <c r="B1208" s="36" t="s">
        <v>4998</v>
      </c>
      <c r="C1208" s="36" t="str">
        <f>HYPERLINK("https://rhld.insurance.arkansas.gov/NPILookup?Npi=1679968937","1679968937")</f>
        <v>1679968937</v>
      </c>
      <c r="D1208" s="36" t="s">
        <v>33865</v>
      </c>
      <c r="E1208" s="36" t="s">
        <v>1</v>
      </c>
      <c r="F1208" s="36">
        <v>1</v>
      </c>
      <c r="G1208" s="36">
        <v>2</v>
      </c>
      <c r="H1208" s="36">
        <v>0</v>
      </c>
      <c r="I1208" s="37">
        <v>0</v>
      </c>
      <c r="J1208" s="36" t="s">
        <v>32654</v>
      </c>
      <c r="K1208" s="36" t="s">
        <v>14330</v>
      </c>
      <c r="L1208" s="36" t="s">
        <v>14330</v>
      </c>
      <c r="M1208">
        <v>2</v>
      </c>
      <c r="N1208" t="s">
        <v>14331</v>
      </c>
      <c r="O1208" t="s">
        <v>32633</v>
      </c>
    </row>
    <row r="1209" spans="1:15" x14ac:dyDescent="0.25">
      <c r="A1209" s="35" t="s">
        <v>4997</v>
      </c>
      <c r="B1209" s="36" t="s">
        <v>4998</v>
      </c>
      <c r="C1209" s="36" t="str">
        <f>HYPERLINK("https://rhld.insurance.arkansas.gov/NPILookup?Npi=1689017550","1689017550")</f>
        <v>1689017550</v>
      </c>
      <c r="D1209" s="36" t="s">
        <v>33866</v>
      </c>
      <c r="E1209" s="36" t="s">
        <v>1</v>
      </c>
      <c r="F1209" s="36">
        <v>1</v>
      </c>
      <c r="G1209" s="36">
        <v>2</v>
      </c>
      <c r="H1209" s="36">
        <v>0</v>
      </c>
      <c r="I1209" s="37">
        <v>0</v>
      </c>
      <c r="J1209" s="36" t="s">
        <v>32654</v>
      </c>
      <c r="K1209" s="36" t="s">
        <v>14330</v>
      </c>
      <c r="L1209" s="36" t="s">
        <v>14330</v>
      </c>
      <c r="M1209">
        <v>2</v>
      </c>
      <c r="N1209" t="s">
        <v>14331</v>
      </c>
      <c r="O1209" t="s">
        <v>32633</v>
      </c>
    </row>
    <row r="1210" spans="1:15" x14ac:dyDescent="0.25">
      <c r="A1210" s="35" t="s">
        <v>4997</v>
      </c>
      <c r="B1210" s="36" t="s">
        <v>4998</v>
      </c>
      <c r="C1210" s="36" t="str">
        <f>HYPERLINK("https://rhld.insurance.arkansas.gov/NPILookup?Npi=1689092678","1689092678")</f>
        <v>1689092678</v>
      </c>
      <c r="D1210" s="36" t="s">
        <v>33867</v>
      </c>
      <c r="E1210" s="36" t="s">
        <v>1</v>
      </c>
      <c r="F1210" s="36">
        <v>1</v>
      </c>
      <c r="G1210" s="36">
        <v>2</v>
      </c>
      <c r="H1210" s="36">
        <v>0</v>
      </c>
      <c r="I1210" s="37">
        <v>0</v>
      </c>
      <c r="J1210" s="36" t="s">
        <v>32654</v>
      </c>
      <c r="K1210" s="36" t="s">
        <v>14330</v>
      </c>
      <c r="L1210" s="36" t="s">
        <v>14330</v>
      </c>
      <c r="M1210">
        <v>2</v>
      </c>
      <c r="N1210" t="s">
        <v>14331</v>
      </c>
      <c r="O1210" t="s">
        <v>32633</v>
      </c>
    </row>
    <row r="1211" spans="1:15" x14ac:dyDescent="0.25">
      <c r="A1211" s="35" t="s">
        <v>4997</v>
      </c>
      <c r="B1211" s="36" t="s">
        <v>4998</v>
      </c>
      <c r="C1211" s="36" t="str">
        <f>HYPERLINK("https://rhld.insurance.arkansas.gov/NPILookup?Npi=1689171019","1689171019")</f>
        <v>1689171019</v>
      </c>
      <c r="D1211" s="36" t="s">
        <v>33868</v>
      </c>
      <c r="E1211" s="36" t="s">
        <v>1</v>
      </c>
      <c r="F1211" s="36">
        <v>1</v>
      </c>
      <c r="G1211" s="36">
        <v>2</v>
      </c>
      <c r="H1211" s="36">
        <v>0</v>
      </c>
      <c r="I1211" s="37">
        <v>0</v>
      </c>
      <c r="J1211" s="36" t="s">
        <v>32654</v>
      </c>
      <c r="K1211" s="36" t="s">
        <v>14330</v>
      </c>
      <c r="L1211" s="36" t="s">
        <v>14330</v>
      </c>
      <c r="M1211">
        <v>1</v>
      </c>
      <c r="N1211" t="s">
        <v>14331</v>
      </c>
      <c r="O1211" t="s">
        <v>32633</v>
      </c>
    </row>
    <row r="1212" spans="1:15" x14ac:dyDescent="0.25">
      <c r="A1212" s="35" t="s">
        <v>4997</v>
      </c>
      <c r="B1212" s="36" t="s">
        <v>4998</v>
      </c>
      <c r="C1212" s="36" t="str">
        <f>HYPERLINK("https://rhld.insurance.arkansas.gov/NPILookup?Npi=1699338798","1699338798")</f>
        <v>1699338798</v>
      </c>
      <c r="D1212" s="36" t="s">
        <v>33869</v>
      </c>
      <c r="E1212" s="36" t="s">
        <v>2</v>
      </c>
      <c r="F1212" s="36">
        <v>1</v>
      </c>
      <c r="G1212" s="36">
        <v>1</v>
      </c>
      <c r="H1212" s="36">
        <v>0</v>
      </c>
      <c r="I1212" s="37">
        <v>0</v>
      </c>
      <c r="J1212" s="36" t="s">
        <v>32679</v>
      </c>
      <c r="K1212" s="36" t="s">
        <v>14330</v>
      </c>
      <c r="L1212" s="36" t="s">
        <v>14330</v>
      </c>
      <c r="M1212">
        <v>1</v>
      </c>
      <c r="N1212" t="s">
        <v>14331</v>
      </c>
      <c r="O1212" t="s">
        <v>32633</v>
      </c>
    </row>
    <row r="1213" spans="1:15" x14ac:dyDescent="0.25">
      <c r="A1213" s="35" t="s">
        <v>4997</v>
      </c>
      <c r="B1213" s="36" t="s">
        <v>4998</v>
      </c>
      <c r="C1213" s="36" t="str">
        <f>HYPERLINK("https://rhld.insurance.arkansas.gov/NPILookup?Npi=1699719963","1699719963")</f>
        <v>1699719963</v>
      </c>
      <c r="D1213" s="36" t="s">
        <v>33870</v>
      </c>
      <c r="E1213" s="36" t="s">
        <v>1</v>
      </c>
      <c r="F1213" s="36">
        <v>1</v>
      </c>
      <c r="G1213" s="36">
        <v>1</v>
      </c>
      <c r="H1213" s="36">
        <v>0</v>
      </c>
      <c r="I1213" s="37">
        <v>0</v>
      </c>
      <c r="J1213" s="36" t="s">
        <v>32654</v>
      </c>
      <c r="K1213" s="36" t="s">
        <v>14330</v>
      </c>
      <c r="L1213" s="36" t="s">
        <v>14330</v>
      </c>
      <c r="M1213">
        <v>1</v>
      </c>
      <c r="N1213" t="s">
        <v>14331</v>
      </c>
      <c r="O1213" t="s">
        <v>32633</v>
      </c>
    </row>
    <row r="1214" spans="1:15" x14ac:dyDescent="0.25">
      <c r="A1214" s="35" t="s">
        <v>4997</v>
      </c>
      <c r="B1214" s="36" t="s">
        <v>4998</v>
      </c>
      <c r="C1214" s="36" t="str">
        <f>HYPERLINK("https://rhld.insurance.arkansas.gov/NPILookup?Npi=1700074796","1700074796")</f>
        <v>1700074796</v>
      </c>
      <c r="D1214" s="36" t="s">
        <v>33871</v>
      </c>
      <c r="E1214" s="36" t="s">
        <v>2</v>
      </c>
      <c r="F1214" s="36">
        <v>1</v>
      </c>
      <c r="G1214" s="36">
        <v>1</v>
      </c>
      <c r="H1214" s="36">
        <v>0</v>
      </c>
      <c r="I1214" s="37">
        <v>0</v>
      </c>
      <c r="J1214" s="36" t="s">
        <v>32679</v>
      </c>
      <c r="K1214" s="36" t="s">
        <v>14330</v>
      </c>
      <c r="L1214" s="36" t="s">
        <v>14330</v>
      </c>
      <c r="M1214">
        <v>1</v>
      </c>
      <c r="N1214" t="s">
        <v>14331</v>
      </c>
      <c r="O1214" t="s">
        <v>32633</v>
      </c>
    </row>
    <row r="1215" spans="1:15" x14ac:dyDescent="0.25">
      <c r="A1215" s="35" t="s">
        <v>4997</v>
      </c>
      <c r="B1215" s="36" t="s">
        <v>4998</v>
      </c>
      <c r="C1215" s="36" t="str">
        <f>HYPERLINK("https://rhld.insurance.arkansas.gov/NPILookup?Npi=1700142668","1700142668")</f>
        <v>1700142668</v>
      </c>
      <c r="D1215" s="36" t="s">
        <v>33872</v>
      </c>
      <c r="E1215" s="36" t="s">
        <v>2</v>
      </c>
      <c r="F1215" s="36">
        <v>1</v>
      </c>
      <c r="G1215" s="36">
        <v>1</v>
      </c>
      <c r="H1215" s="36">
        <v>0</v>
      </c>
      <c r="I1215" s="37">
        <v>0</v>
      </c>
      <c r="J1215" s="36" t="s">
        <v>32679</v>
      </c>
      <c r="K1215" s="36" t="s">
        <v>14330</v>
      </c>
      <c r="L1215" s="36" t="s">
        <v>14330</v>
      </c>
      <c r="M1215">
        <v>3</v>
      </c>
      <c r="N1215" t="s">
        <v>14331</v>
      </c>
      <c r="O1215" t="s">
        <v>32633</v>
      </c>
    </row>
    <row r="1216" spans="1:15" x14ac:dyDescent="0.25">
      <c r="A1216" s="35" t="s">
        <v>4997</v>
      </c>
      <c r="B1216" s="36" t="s">
        <v>4998</v>
      </c>
      <c r="C1216" s="36" t="str">
        <f>HYPERLINK("https://rhld.insurance.arkansas.gov/NPILookup?Npi=1710049283","1710049283")</f>
        <v>1710049283</v>
      </c>
      <c r="D1216" s="36" t="s">
        <v>33336</v>
      </c>
      <c r="E1216" s="36" t="s">
        <v>1</v>
      </c>
      <c r="F1216" s="36">
        <v>1</v>
      </c>
      <c r="G1216" s="36">
        <v>3</v>
      </c>
      <c r="H1216" s="36">
        <v>0</v>
      </c>
      <c r="I1216" s="37">
        <v>0</v>
      </c>
      <c r="J1216" s="36" t="s">
        <v>32654</v>
      </c>
      <c r="K1216" s="36" t="s">
        <v>14330</v>
      </c>
      <c r="L1216" s="36" t="s">
        <v>14330</v>
      </c>
      <c r="M1216">
        <v>1</v>
      </c>
      <c r="N1216" t="s">
        <v>14331</v>
      </c>
      <c r="O1216" t="s">
        <v>32633</v>
      </c>
    </row>
    <row r="1217" spans="1:15" x14ac:dyDescent="0.25">
      <c r="A1217" s="35" t="s">
        <v>4997</v>
      </c>
      <c r="B1217" s="36" t="s">
        <v>4998</v>
      </c>
      <c r="C1217" s="36" t="str">
        <f>HYPERLINK("https://rhld.insurance.arkansas.gov/NPILookup?Npi=1710488366","1710488366")</f>
        <v>1710488366</v>
      </c>
      <c r="D1217" s="36" t="s">
        <v>33873</v>
      </c>
      <c r="E1217" s="36" t="s">
        <v>2</v>
      </c>
      <c r="F1217" s="36">
        <v>1</v>
      </c>
      <c r="G1217" s="36">
        <v>1</v>
      </c>
      <c r="H1217" s="36">
        <v>0</v>
      </c>
      <c r="I1217" s="37">
        <v>0</v>
      </c>
      <c r="J1217" s="36" t="s">
        <v>32679</v>
      </c>
      <c r="K1217" s="36" t="s">
        <v>14330</v>
      </c>
      <c r="L1217" s="36" t="s">
        <v>14330</v>
      </c>
      <c r="M1217">
        <v>2</v>
      </c>
      <c r="N1217" t="s">
        <v>14331</v>
      </c>
      <c r="O1217" t="s">
        <v>32633</v>
      </c>
    </row>
    <row r="1218" spans="1:15" x14ac:dyDescent="0.25">
      <c r="A1218" s="35" t="s">
        <v>4997</v>
      </c>
      <c r="B1218" s="36" t="s">
        <v>4998</v>
      </c>
      <c r="C1218" s="36" t="str">
        <f>HYPERLINK("https://rhld.insurance.arkansas.gov/NPILookup?Npi=1730419771","1730419771")</f>
        <v>1730419771</v>
      </c>
      <c r="D1218" s="36" t="s">
        <v>33874</v>
      </c>
      <c r="E1218" s="36" t="s">
        <v>1</v>
      </c>
      <c r="F1218" s="36">
        <v>1</v>
      </c>
      <c r="G1218" s="36">
        <v>2</v>
      </c>
      <c r="H1218" s="36">
        <v>0</v>
      </c>
      <c r="I1218" s="37">
        <v>0</v>
      </c>
      <c r="J1218" s="36" t="s">
        <v>32654</v>
      </c>
      <c r="K1218" s="36" t="s">
        <v>14330</v>
      </c>
      <c r="L1218" s="36" t="s">
        <v>14330</v>
      </c>
      <c r="M1218">
        <v>2</v>
      </c>
      <c r="N1218" t="s">
        <v>14331</v>
      </c>
      <c r="O1218" t="s">
        <v>32633</v>
      </c>
    </row>
    <row r="1219" spans="1:15" x14ac:dyDescent="0.25">
      <c r="A1219" s="35" t="s">
        <v>4997</v>
      </c>
      <c r="B1219" s="36" t="s">
        <v>4998</v>
      </c>
      <c r="C1219" s="36" t="str">
        <f>HYPERLINK("https://rhld.insurance.arkansas.gov/NPILookup?Npi=1730576257","1730576257")</f>
        <v>1730576257</v>
      </c>
      <c r="D1219" s="36" t="s">
        <v>33875</v>
      </c>
      <c r="E1219" s="36" t="s">
        <v>1</v>
      </c>
      <c r="F1219" s="36">
        <v>1</v>
      </c>
      <c r="G1219" s="36">
        <v>2</v>
      </c>
      <c r="H1219" s="36">
        <v>0</v>
      </c>
      <c r="I1219" s="37">
        <v>0</v>
      </c>
      <c r="J1219" s="36" t="s">
        <v>32654</v>
      </c>
      <c r="K1219" s="36" t="s">
        <v>14330</v>
      </c>
      <c r="L1219" s="36" t="s">
        <v>14330</v>
      </c>
      <c r="M1219">
        <v>2</v>
      </c>
      <c r="N1219" t="s">
        <v>14331</v>
      </c>
      <c r="O1219" t="s">
        <v>32633</v>
      </c>
    </row>
    <row r="1220" spans="1:15" x14ac:dyDescent="0.25">
      <c r="A1220" s="35" t="s">
        <v>4997</v>
      </c>
      <c r="B1220" s="36" t="s">
        <v>4998</v>
      </c>
      <c r="C1220" s="36" t="str">
        <f>HYPERLINK("https://rhld.insurance.arkansas.gov/NPILookup?Npi=1730594011","1730594011")</f>
        <v>1730594011</v>
      </c>
      <c r="D1220" s="36" t="s">
        <v>33876</v>
      </c>
      <c r="E1220" s="36" t="s">
        <v>2</v>
      </c>
      <c r="F1220" s="36">
        <v>1</v>
      </c>
      <c r="G1220" s="36">
        <v>2</v>
      </c>
      <c r="H1220" s="36">
        <v>0</v>
      </c>
      <c r="I1220" s="37">
        <v>0</v>
      </c>
      <c r="J1220" s="36"/>
      <c r="K1220" s="36" t="s">
        <v>14330</v>
      </c>
      <c r="L1220" s="36" t="s">
        <v>14330</v>
      </c>
      <c r="M1220">
        <v>0</v>
      </c>
      <c r="N1220" t="s">
        <v>14331</v>
      </c>
      <c r="O1220" t="s">
        <v>14333</v>
      </c>
    </row>
    <row r="1221" spans="1:15" x14ac:dyDescent="0.25">
      <c r="A1221" s="35" t="s">
        <v>4997</v>
      </c>
      <c r="B1221" s="36" t="s">
        <v>4998</v>
      </c>
      <c r="C1221" s="36" t="str">
        <f>HYPERLINK("https://rhld.insurance.arkansas.gov/NPILookup?Npi=1730628579","1730628579")</f>
        <v>1730628579</v>
      </c>
      <c r="D1221" s="36" t="s">
        <v>33877</v>
      </c>
      <c r="E1221" s="36" t="s">
        <v>2</v>
      </c>
      <c r="F1221" s="36">
        <v>1</v>
      </c>
      <c r="G1221" s="36">
        <v>0</v>
      </c>
      <c r="H1221" s="36">
        <v>0</v>
      </c>
      <c r="I1221" s="37">
        <v>0</v>
      </c>
      <c r="J1221" s="36" t="s">
        <v>32679</v>
      </c>
      <c r="K1221" s="36" t="s">
        <v>14330</v>
      </c>
      <c r="L1221" s="36" t="s">
        <v>14330</v>
      </c>
      <c r="M1221">
        <v>1</v>
      </c>
      <c r="N1221" t="s">
        <v>14331</v>
      </c>
      <c r="O1221" t="s">
        <v>32633</v>
      </c>
    </row>
    <row r="1222" spans="1:15" x14ac:dyDescent="0.25">
      <c r="A1222" s="35" t="s">
        <v>4997</v>
      </c>
      <c r="B1222" s="36" t="s">
        <v>4998</v>
      </c>
      <c r="C1222" s="36" t="str">
        <f>HYPERLINK("https://rhld.insurance.arkansas.gov/NPILookup?Npi=1730746603","1730746603")</f>
        <v>1730746603</v>
      </c>
      <c r="D1222" s="36" t="s">
        <v>33878</v>
      </c>
      <c r="E1222" s="36" t="s">
        <v>2</v>
      </c>
      <c r="F1222" s="36">
        <v>1</v>
      </c>
      <c r="G1222" s="36">
        <v>1</v>
      </c>
      <c r="H1222" s="36">
        <v>0</v>
      </c>
      <c r="I1222" s="37">
        <v>0</v>
      </c>
      <c r="J1222" s="36" t="s">
        <v>32679</v>
      </c>
      <c r="K1222" s="36" t="s">
        <v>14330</v>
      </c>
      <c r="L1222" s="36" t="s">
        <v>14330</v>
      </c>
      <c r="M1222">
        <v>1</v>
      </c>
      <c r="N1222" t="s">
        <v>14331</v>
      </c>
      <c r="O1222" t="s">
        <v>32633</v>
      </c>
    </row>
    <row r="1223" spans="1:15" x14ac:dyDescent="0.25">
      <c r="A1223" s="35" t="s">
        <v>4997</v>
      </c>
      <c r="B1223" s="36" t="s">
        <v>4998</v>
      </c>
      <c r="C1223" s="36" t="str">
        <f>HYPERLINK("https://rhld.insurance.arkansas.gov/NPILookup?Npi=1740253822","1740253822")</f>
        <v>1740253822</v>
      </c>
      <c r="D1223" s="36" t="s">
        <v>33879</v>
      </c>
      <c r="E1223" s="36" t="s">
        <v>2</v>
      </c>
      <c r="F1223" s="36">
        <v>1</v>
      </c>
      <c r="G1223" s="36">
        <v>1</v>
      </c>
      <c r="H1223" s="36">
        <v>0</v>
      </c>
      <c r="I1223" s="37">
        <v>0</v>
      </c>
      <c r="J1223" s="36" t="s">
        <v>32679</v>
      </c>
      <c r="K1223" s="36" t="s">
        <v>14330</v>
      </c>
      <c r="L1223" s="36" t="s">
        <v>14330</v>
      </c>
      <c r="M1223">
        <v>2</v>
      </c>
      <c r="N1223" t="s">
        <v>14331</v>
      </c>
      <c r="O1223" t="s">
        <v>32633</v>
      </c>
    </row>
    <row r="1224" spans="1:15" x14ac:dyDescent="0.25">
      <c r="A1224" s="35" t="s">
        <v>4997</v>
      </c>
      <c r="B1224" s="36" t="s">
        <v>4998</v>
      </c>
      <c r="C1224" s="36" t="str">
        <f>HYPERLINK("https://rhld.insurance.arkansas.gov/NPILookup?Npi=1740392919","1740392919")</f>
        <v>1740392919</v>
      </c>
      <c r="D1224" s="36" t="s">
        <v>33880</v>
      </c>
      <c r="E1224" s="36" t="s">
        <v>1</v>
      </c>
      <c r="F1224" s="36">
        <v>1</v>
      </c>
      <c r="G1224" s="36">
        <v>2</v>
      </c>
      <c r="H1224" s="36">
        <v>0</v>
      </c>
      <c r="I1224" s="37">
        <v>0</v>
      </c>
      <c r="J1224" s="36" t="s">
        <v>32654</v>
      </c>
      <c r="K1224" s="36" t="s">
        <v>14330</v>
      </c>
      <c r="L1224" s="36" t="s">
        <v>14330</v>
      </c>
      <c r="M1224">
        <v>1</v>
      </c>
      <c r="N1224" t="s">
        <v>14331</v>
      </c>
      <c r="O1224" t="s">
        <v>32633</v>
      </c>
    </row>
    <row r="1225" spans="1:15" x14ac:dyDescent="0.25">
      <c r="A1225" s="35" t="s">
        <v>4997</v>
      </c>
      <c r="B1225" s="36" t="s">
        <v>4998</v>
      </c>
      <c r="C1225" s="36" t="str">
        <f>HYPERLINK("https://rhld.insurance.arkansas.gov/NPILookup?Npi=1740523935","1740523935")</f>
        <v>1740523935</v>
      </c>
      <c r="D1225" s="36" t="s">
        <v>33881</v>
      </c>
      <c r="E1225" s="36" t="s">
        <v>2</v>
      </c>
      <c r="F1225" s="36">
        <v>1</v>
      </c>
      <c r="G1225" s="36">
        <v>1</v>
      </c>
      <c r="H1225" s="36">
        <v>0</v>
      </c>
      <c r="I1225" s="37">
        <v>0</v>
      </c>
      <c r="J1225" s="36" t="s">
        <v>32679</v>
      </c>
      <c r="K1225" s="36" t="s">
        <v>14330</v>
      </c>
      <c r="L1225" s="36" t="s">
        <v>14330</v>
      </c>
      <c r="M1225">
        <v>2</v>
      </c>
      <c r="N1225" t="s">
        <v>14331</v>
      </c>
      <c r="O1225" t="s">
        <v>32633</v>
      </c>
    </row>
    <row r="1226" spans="1:15" x14ac:dyDescent="0.25">
      <c r="A1226" s="35" t="s">
        <v>4997</v>
      </c>
      <c r="B1226" s="36" t="s">
        <v>4998</v>
      </c>
      <c r="C1226" s="36" t="str">
        <f>HYPERLINK("https://rhld.insurance.arkansas.gov/NPILookup?Npi=1740806397","1740806397")</f>
        <v>1740806397</v>
      </c>
      <c r="D1226" s="36" t="s">
        <v>33882</v>
      </c>
      <c r="E1226" s="36" t="s">
        <v>2</v>
      </c>
      <c r="F1226" s="36">
        <v>1</v>
      </c>
      <c r="G1226" s="36">
        <v>2</v>
      </c>
      <c r="H1226" s="36">
        <v>0</v>
      </c>
      <c r="I1226" s="37">
        <v>0</v>
      </c>
      <c r="J1226" s="36"/>
      <c r="K1226" s="36" t="s">
        <v>14330</v>
      </c>
      <c r="L1226" s="36" t="s">
        <v>14330</v>
      </c>
      <c r="M1226">
        <v>1</v>
      </c>
      <c r="N1226" t="s">
        <v>14331</v>
      </c>
      <c r="O1226" t="s">
        <v>14333</v>
      </c>
    </row>
    <row r="1227" spans="1:15" x14ac:dyDescent="0.25">
      <c r="A1227" s="35" t="s">
        <v>4997</v>
      </c>
      <c r="B1227" s="36" t="s">
        <v>4998</v>
      </c>
      <c r="C1227" s="36" t="str">
        <f>HYPERLINK("https://rhld.insurance.arkansas.gov/NPILookup?Npi=1750357042","1750357042")</f>
        <v>1750357042</v>
      </c>
      <c r="D1227" s="36" t="s">
        <v>33883</v>
      </c>
      <c r="E1227" s="36" t="s">
        <v>2</v>
      </c>
      <c r="F1227" s="36">
        <v>2</v>
      </c>
      <c r="G1227" s="36">
        <v>1</v>
      </c>
      <c r="H1227" s="36">
        <v>0</v>
      </c>
      <c r="I1227" s="37">
        <v>0</v>
      </c>
      <c r="J1227" s="36" t="s">
        <v>33004</v>
      </c>
      <c r="K1227" s="36" t="s">
        <v>14330</v>
      </c>
      <c r="L1227" s="36" t="s">
        <v>14330</v>
      </c>
      <c r="M1227">
        <v>1</v>
      </c>
      <c r="N1227" t="s">
        <v>14331</v>
      </c>
      <c r="O1227" t="s">
        <v>32633</v>
      </c>
    </row>
    <row r="1228" spans="1:15" x14ac:dyDescent="0.25">
      <c r="A1228" s="35" t="s">
        <v>4997</v>
      </c>
      <c r="B1228" s="36" t="s">
        <v>4998</v>
      </c>
      <c r="C1228" s="36" t="str">
        <f>HYPERLINK("https://rhld.insurance.arkansas.gov/NPILookup?Npi=1750743621","1750743621")</f>
        <v>1750743621</v>
      </c>
      <c r="D1228" s="36" t="s">
        <v>33884</v>
      </c>
      <c r="E1228" s="36" t="s">
        <v>2</v>
      </c>
      <c r="F1228" s="36">
        <v>1</v>
      </c>
      <c r="G1228" s="36">
        <v>1</v>
      </c>
      <c r="H1228" s="36">
        <v>0</v>
      </c>
      <c r="I1228" s="37">
        <v>0</v>
      </c>
      <c r="J1228" s="36" t="s">
        <v>32679</v>
      </c>
      <c r="K1228" s="36" t="s">
        <v>14330</v>
      </c>
      <c r="L1228" s="36" t="s">
        <v>14330</v>
      </c>
      <c r="M1228">
        <v>1</v>
      </c>
      <c r="N1228" t="s">
        <v>14331</v>
      </c>
      <c r="O1228" t="s">
        <v>32633</v>
      </c>
    </row>
    <row r="1229" spans="1:15" x14ac:dyDescent="0.25">
      <c r="A1229" s="35" t="s">
        <v>4997</v>
      </c>
      <c r="B1229" s="36" t="s">
        <v>4998</v>
      </c>
      <c r="C1229" s="36" t="str">
        <f>HYPERLINK("https://rhld.insurance.arkansas.gov/NPILookup?Npi=1760801112","1760801112")</f>
        <v>1760801112</v>
      </c>
      <c r="D1229" s="36" t="s">
        <v>33885</v>
      </c>
      <c r="E1229" s="36" t="s">
        <v>2</v>
      </c>
      <c r="F1229" s="36">
        <v>1</v>
      </c>
      <c r="G1229" s="36">
        <v>1</v>
      </c>
      <c r="H1229" s="36">
        <v>0</v>
      </c>
      <c r="I1229" s="37">
        <v>0</v>
      </c>
      <c r="J1229" s="36" t="s">
        <v>32679</v>
      </c>
      <c r="K1229" s="36" t="s">
        <v>14330</v>
      </c>
      <c r="L1229" s="36" t="s">
        <v>14330</v>
      </c>
      <c r="M1229">
        <v>1</v>
      </c>
      <c r="N1229" t="s">
        <v>14331</v>
      </c>
      <c r="O1229" t="s">
        <v>32633</v>
      </c>
    </row>
    <row r="1230" spans="1:15" x14ac:dyDescent="0.25">
      <c r="A1230" s="35" t="s">
        <v>4997</v>
      </c>
      <c r="B1230" s="36" t="s">
        <v>4998</v>
      </c>
      <c r="C1230" s="36" t="str">
        <f>HYPERLINK("https://rhld.insurance.arkansas.gov/NPILookup?Npi=1760827778","1760827778")</f>
        <v>1760827778</v>
      </c>
      <c r="D1230" s="36" t="s">
        <v>33886</v>
      </c>
      <c r="E1230" s="36" t="s">
        <v>2</v>
      </c>
      <c r="F1230" s="36">
        <v>1</v>
      </c>
      <c r="G1230" s="36">
        <v>1</v>
      </c>
      <c r="H1230" s="36">
        <v>0</v>
      </c>
      <c r="I1230" s="37">
        <v>0</v>
      </c>
      <c r="J1230" s="36" t="s">
        <v>32679</v>
      </c>
      <c r="K1230" s="36" t="s">
        <v>14330</v>
      </c>
      <c r="L1230" s="36" t="s">
        <v>14330</v>
      </c>
      <c r="M1230">
        <v>1</v>
      </c>
      <c r="N1230" t="s">
        <v>14331</v>
      </c>
      <c r="O1230" t="s">
        <v>32633</v>
      </c>
    </row>
    <row r="1231" spans="1:15" x14ac:dyDescent="0.25">
      <c r="A1231" s="35" t="s">
        <v>4997</v>
      </c>
      <c r="B1231" s="36" t="s">
        <v>4998</v>
      </c>
      <c r="C1231" s="36" t="str">
        <f>HYPERLINK("https://rhld.insurance.arkansas.gov/NPILookup?Npi=1760877617","1760877617")</f>
        <v>1760877617</v>
      </c>
      <c r="D1231" s="36" t="s">
        <v>33887</v>
      </c>
      <c r="E1231" s="36" t="s">
        <v>2</v>
      </c>
      <c r="F1231" s="36">
        <v>1</v>
      </c>
      <c r="G1231" s="36">
        <v>1</v>
      </c>
      <c r="H1231" s="36">
        <v>0</v>
      </c>
      <c r="I1231" s="37">
        <v>0</v>
      </c>
      <c r="J1231" s="36" t="s">
        <v>32679</v>
      </c>
      <c r="K1231" s="36" t="s">
        <v>14330</v>
      </c>
      <c r="L1231" s="36" t="s">
        <v>14330</v>
      </c>
      <c r="M1231">
        <v>1</v>
      </c>
      <c r="N1231" t="s">
        <v>14331</v>
      </c>
      <c r="O1231" t="s">
        <v>32633</v>
      </c>
    </row>
    <row r="1232" spans="1:15" x14ac:dyDescent="0.25">
      <c r="A1232" s="35" t="s">
        <v>4997</v>
      </c>
      <c r="B1232" s="36" t="s">
        <v>4998</v>
      </c>
      <c r="C1232" s="36" t="str">
        <f>HYPERLINK("https://rhld.insurance.arkansas.gov/NPILookup?Npi=1770503526","1770503526")</f>
        <v>1770503526</v>
      </c>
      <c r="D1232" s="36" t="s">
        <v>33888</v>
      </c>
      <c r="E1232" s="36" t="s">
        <v>2</v>
      </c>
      <c r="F1232" s="36">
        <v>1</v>
      </c>
      <c r="G1232" s="36">
        <v>1</v>
      </c>
      <c r="H1232" s="36">
        <v>0</v>
      </c>
      <c r="I1232" s="37">
        <v>0</v>
      </c>
      <c r="J1232" s="36" t="s">
        <v>32679</v>
      </c>
      <c r="K1232" s="36" t="s">
        <v>14330</v>
      </c>
      <c r="L1232" s="36" t="s">
        <v>14330</v>
      </c>
      <c r="M1232">
        <v>1</v>
      </c>
      <c r="N1232" t="s">
        <v>14331</v>
      </c>
      <c r="O1232" t="s">
        <v>32633</v>
      </c>
    </row>
    <row r="1233" spans="1:15" x14ac:dyDescent="0.25">
      <c r="A1233" s="35" t="s">
        <v>4997</v>
      </c>
      <c r="B1233" s="36" t="s">
        <v>4998</v>
      </c>
      <c r="C1233" s="36" t="str">
        <f>HYPERLINK("https://rhld.insurance.arkansas.gov/NPILookup?Npi=1780237990","1780237990")</f>
        <v>1780237990</v>
      </c>
      <c r="D1233" s="36" t="s">
        <v>33889</v>
      </c>
      <c r="E1233" s="36" t="s">
        <v>2</v>
      </c>
      <c r="F1233" s="36">
        <v>1</v>
      </c>
      <c r="G1233" s="36">
        <v>1</v>
      </c>
      <c r="H1233" s="36">
        <v>0</v>
      </c>
      <c r="I1233" s="37">
        <v>0</v>
      </c>
      <c r="J1233" s="36" t="s">
        <v>32679</v>
      </c>
      <c r="K1233" s="36" t="s">
        <v>14330</v>
      </c>
      <c r="L1233" s="36" t="s">
        <v>14330</v>
      </c>
      <c r="M1233">
        <v>1</v>
      </c>
      <c r="N1233" t="s">
        <v>14331</v>
      </c>
      <c r="O1233" t="s">
        <v>32633</v>
      </c>
    </row>
    <row r="1234" spans="1:15" x14ac:dyDescent="0.25">
      <c r="A1234" s="35" t="s">
        <v>4997</v>
      </c>
      <c r="B1234" s="36" t="s">
        <v>4998</v>
      </c>
      <c r="C1234" s="36" t="str">
        <f>HYPERLINK("https://rhld.insurance.arkansas.gov/NPILookup?Npi=1780846303","1780846303")</f>
        <v>1780846303</v>
      </c>
      <c r="D1234" s="36" t="s">
        <v>33890</v>
      </c>
      <c r="E1234" s="36" t="s">
        <v>2</v>
      </c>
      <c r="F1234" s="36">
        <v>1</v>
      </c>
      <c r="G1234" s="36">
        <v>1</v>
      </c>
      <c r="H1234" s="36">
        <v>0</v>
      </c>
      <c r="I1234" s="37">
        <v>0</v>
      </c>
      <c r="J1234" s="36" t="s">
        <v>32679</v>
      </c>
      <c r="K1234" s="36" t="s">
        <v>14330</v>
      </c>
      <c r="L1234" s="36" t="s">
        <v>14330</v>
      </c>
      <c r="M1234">
        <v>1</v>
      </c>
      <c r="N1234" t="s">
        <v>14331</v>
      </c>
      <c r="O1234" t="s">
        <v>32633</v>
      </c>
    </row>
    <row r="1235" spans="1:15" x14ac:dyDescent="0.25">
      <c r="A1235" s="35" t="s">
        <v>4997</v>
      </c>
      <c r="B1235" s="36" t="s">
        <v>4998</v>
      </c>
      <c r="C1235" s="36" t="str">
        <f>HYPERLINK("https://rhld.insurance.arkansas.gov/NPILookup?Npi=1790292100","1790292100")</f>
        <v>1790292100</v>
      </c>
      <c r="D1235" s="36" t="s">
        <v>33891</v>
      </c>
      <c r="E1235" s="36" t="s">
        <v>2</v>
      </c>
      <c r="F1235" s="36">
        <v>1</v>
      </c>
      <c r="G1235" s="36">
        <v>1</v>
      </c>
      <c r="H1235" s="36">
        <v>0</v>
      </c>
      <c r="I1235" s="37">
        <v>0</v>
      </c>
      <c r="J1235" s="36" t="s">
        <v>32679</v>
      </c>
      <c r="K1235" s="36" t="s">
        <v>14330</v>
      </c>
      <c r="L1235" s="36" t="s">
        <v>14330</v>
      </c>
      <c r="M1235">
        <v>2</v>
      </c>
      <c r="N1235" t="s">
        <v>14331</v>
      </c>
      <c r="O1235" t="s">
        <v>32633</v>
      </c>
    </row>
    <row r="1236" spans="1:15" x14ac:dyDescent="0.25">
      <c r="A1236" s="35" t="s">
        <v>4997</v>
      </c>
      <c r="B1236" s="36" t="s">
        <v>4998</v>
      </c>
      <c r="C1236" s="36" t="str">
        <f>HYPERLINK("https://rhld.insurance.arkansas.gov/NPILookup?Npi=1790886356","1790886356")</f>
        <v>1790886356</v>
      </c>
      <c r="D1236" s="36" t="s">
        <v>33892</v>
      </c>
      <c r="E1236" s="36" t="s">
        <v>1</v>
      </c>
      <c r="F1236" s="36">
        <v>1</v>
      </c>
      <c r="G1236" s="36">
        <v>2</v>
      </c>
      <c r="H1236" s="36">
        <v>0</v>
      </c>
      <c r="I1236" s="37">
        <v>0</v>
      </c>
      <c r="J1236" s="36" t="s">
        <v>32723</v>
      </c>
      <c r="K1236" s="36" t="s">
        <v>14330</v>
      </c>
      <c r="L1236" s="36" t="s">
        <v>14330</v>
      </c>
      <c r="M1236">
        <v>1</v>
      </c>
      <c r="N1236" t="s">
        <v>14331</v>
      </c>
      <c r="O1236" t="s">
        <v>32724</v>
      </c>
    </row>
    <row r="1237" spans="1:15" x14ac:dyDescent="0.25">
      <c r="A1237" s="35" t="s">
        <v>4997</v>
      </c>
      <c r="B1237" s="36" t="s">
        <v>4998</v>
      </c>
      <c r="C1237" s="36" t="str">
        <f>HYPERLINK("https://rhld.insurance.arkansas.gov/NPILookup?Npi=1801021886","1801021886")</f>
        <v>1801021886</v>
      </c>
      <c r="D1237" s="36" t="s">
        <v>33893</v>
      </c>
      <c r="E1237" s="36" t="s">
        <v>2</v>
      </c>
      <c r="F1237" s="36">
        <v>1</v>
      </c>
      <c r="G1237" s="36">
        <v>1</v>
      </c>
      <c r="H1237" s="36">
        <v>0</v>
      </c>
      <c r="I1237" s="37">
        <v>0</v>
      </c>
      <c r="J1237" s="36" t="s">
        <v>32679</v>
      </c>
      <c r="K1237" s="36" t="s">
        <v>14330</v>
      </c>
      <c r="L1237" s="36" t="s">
        <v>14330</v>
      </c>
      <c r="M1237">
        <v>2</v>
      </c>
      <c r="N1237" t="s">
        <v>14331</v>
      </c>
      <c r="O1237" t="s">
        <v>32633</v>
      </c>
    </row>
    <row r="1238" spans="1:15" x14ac:dyDescent="0.25">
      <c r="A1238" s="35" t="s">
        <v>4997</v>
      </c>
      <c r="B1238" s="36" t="s">
        <v>4998</v>
      </c>
      <c r="C1238" s="36" t="str">
        <f>HYPERLINK("https://rhld.insurance.arkansas.gov/NPILookup?Npi=1801121355","1801121355")</f>
        <v>1801121355</v>
      </c>
      <c r="D1238" s="36" t="s">
        <v>33894</v>
      </c>
      <c r="E1238" s="36" t="s">
        <v>2</v>
      </c>
      <c r="F1238" s="36">
        <v>2</v>
      </c>
      <c r="G1238" s="36">
        <v>2</v>
      </c>
      <c r="H1238" s="36">
        <v>0</v>
      </c>
      <c r="I1238" s="37">
        <v>0</v>
      </c>
      <c r="J1238" s="36" t="s">
        <v>33004</v>
      </c>
      <c r="K1238" s="36" t="s">
        <v>14330</v>
      </c>
      <c r="L1238" s="36" t="s">
        <v>14330</v>
      </c>
      <c r="M1238">
        <v>1</v>
      </c>
      <c r="N1238" t="s">
        <v>14331</v>
      </c>
      <c r="O1238" t="s">
        <v>14333</v>
      </c>
    </row>
    <row r="1239" spans="1:15" x14ac:dyDescent="0.25">
      <c r="A1239" s="35" t="s">
        <v>4997</v>
      </c>
      <c r="B1239" s="36" t="s">
        <v>4998</v>
      </c>
      <c r="C1239" s="36" t="str">
        <f>HYPERLINK("https://rhld.insurance.arkansas.gov/NPILookup?Npi=1801241260","1801241260")</f>
        <v>1801241260</v>
      </c>
      <c r="D1239" s="36" t="s">
        <v>33895</v>
      </c>
      <c r="E1239" s="36" t="s">
        <v>2</v>
      </c>
      <c r="F1239" s="36">
        <v>1</v>
      </c>
      <c r="G1239" s="36">
        <v>1</v>
      </c>
      <c r="H1239" s="36">
        <v>0</v>
      </c>
      <c r="I1239" s="37">
        <v>0</v>
      </c>
      <c r="J1239" s="36" t="s">
        <v>32679</v>
      </c>
      <c r="K1239" s="36" t="s">
        <v>14330</v>
      </c>
      <c r="L1239" s="36" t="s">
        <v>14330</v>
      </c>
      <c r="M1239">
        <v>1</v>
      </c>
      <c r="N1239" t="s">
        <v>14331</v>
      </c>
      <c r="O1239" t="s">
        <v>32633</v>
      </c>
    </row>
    <row r="1240" spans="1:15" x14ac:dyDescent="0.25">
      <c r="A1240" s="35" t="s">
        <v>4997</v>
      </c>
      <c r="B1240" s="36" t="s">
        <v>4998</v>
      </c>
      <c r="C1240" s="36" t="str">
        <f>HYPERLINK("https://rhld.insurance.arkansas.gov/NPILookup?Npi=1801373089","1801373089")</f>
        <v>1801373089</v>
      </c>
      <c r="D1240" s="36" t="s">
        <v>33896</v>
      </c>
      <c r="E1240" s="36" t="s">
        <v>2</v>
      </c>
      <c r="F1240" s="36">
        <v>1</v>
      </c>
      <c r="G1240" s="36">
        <v>1</v>
      </c>
      <c r="H1240" s="36">
        <v>0</v>
      </c>
      <c r="I1240" s="37">
        <v>0</v>
      </c>
      <c r="J1240" s="36" t="s">
        <v>32679</v>
      </c>
      <c r="K1240" s="36" t="s">
        <v>14330</v>
      </c>
      <c r="L1240" s="36" t="s">
        <v>14330</v>
      </c>
      <c r="M1240">
        <v>2</v>
      </c>
      <c r="N1240" t="s">
        <v>14331</v>
      </c>
      <c r="O1240" t="s">
        <v>32633</v>
      </c>
    </row>
    <row r="1241" spans="1:15" x14ac:dyDescent="0.25">
      <c r="A1241" s="35" t="s">
        <v>4997</v>
      </c>
      <c r="B1241" s="36" t="s">
        <v>4998</v>
      </c>
      <c r="C1241" s="36" t="str">
        <f>HYPERLINK("https://rhld.insurance.arkansas.gov/NPILookup?Npi=1801385034","1801385034")</f>
        <v>1801385034</v>
      </c>
      <c r="D1241" s="36" t="s">
        <v>33897</v>
      </c>
      <c r="E1241" s="36" t="s">
        <v>2</v>
      </c>
      <c r="F1241" s="36">
        <v>2</v>
      </c>
      <c r="G1241" s="36">
        <v>2</v>
      </c>
      <c r="H1241" s="36">
        <v>0</v>
      </c>
      <c r="I1241" s="37">
        <v>0</v>
      </c>
      <c r="J1241" s="36" t="s">
        <v>33004</v>
      </c>
      <c r="K1241" s="36" t="s">
        <v>14330</v>
      </c>
      <c r="L1241" s="36" t="s">
        <v>14330</v>
      </c>
      <c r="M1241">
        <v>1</v>
      </c>
      <c r="N1241" t="s">
        <v>14331</v>
      </c>
      <c r="O1241" t="s">
        <v>14333</v>
      </c>
    </row>
    <row r="1242" spans="1:15" x14ac:dyDescent="0.25">
      <c r="A1242" s="35" t="s">
        <v>4997</v>
      </c>
      <c r="B1242" s="36" t="s">
        <v>4998</v>
      </c>
      <c r="C1242" s="36" t="str">
        <f>HYPERLINK("https://rhld.insurance.arkansas.gov/NPILookup?Npi=1811280100","1811280100")</f>
        <v>1811280100</v>
      </c>
      <c r="D1242" s="36" t="s">
        <v>33898</v>
      </c>
      <c r="E1242" s="36" t="s">
        <v>2</v>
      </c>
      <c r="F1242" s="36">
        <v>1</v>
      </c>
      <c r="G1242" s="36">
        <v>1</v>
      </c>
      <c r="H1242" s="36">
        <v>0</v>
      </c>
      <c r="I1242" s="37">
        <v>0</v>
      </c>
      <c r="J1242" s="36" t="s">
        <v>32679</v>
      </c>
      <c r="K1242" s="36" t="s">
        <v>14330</v>
      </c>
      <c r="L1242" s="36" t="s">
        <v>14330</v>
      </c>
      <c r="M1242">
        <v>2</v>
      </c>
      <c r="N1242" t="s">
        <v>14331</v>
      </c>
      <c r="O1242" t="s">
        <v>32633</v>
      </c>
    </row>
    <row r="1243" spans="1:15" x14ac:dyDescent="0.25">
      <c r="A1243" s="35" t="s">
        <v>4997</v>
      </c>
      <c r="B1243" s="36" t="s">
        <v>4998</v>
      </c>
      <c r="C1243" s="36" t="str">
        <f>HYPERLINK("https://rhld.insurance.arkansas.gov/NPILookup?Npi=1811965304","1811965304")</f>
        <v>1811965304</v>
      </c>
      <c r="D1243" s="36" t="s">
        <v>33899</v>
      </c>
      <c r="E1243" s="36" t="s">
        <v>2</v>
      </c>
      <c r="F1243" s="36">
        <v>1</v>
      </c>
      <c r="G1243" s="36">
        <v>2</v>
      </c>
      <c r="H1243" s="36">
        <v>0</v>
      </c>
      <c r="I1243" s="37">
        <v>0</v>
      </c>
      <c r="J1243" s="36" t="s">
        <v>32679</v>
      </c>
      <c r="K1243" s="36" t="s">
        <v>14330</v>
      </c>
      <c r="L1243" s="36" t="s">
        <v>14330</v>
      </c>
      <c r="M1243">
        <v>2</v>
      </c>
      <c r="N1243" t="s">
        <v>14331</v>
      </c>
      <c r="O1243" t="s">
        <v>14333</v>
      </c>
    </row>
    <row r="1244" spans="1:15" x14ac:dyDescent="0.25">
      <c r="A1244" s="35" t="s">
        <v>4997</v>
      </c>
      <c r="B1244" s="36" t="s">
        <v>4998</v>
      </c>
      <c r="C1244" s="36" t="str">
        <f>HYPERLINK("https://rhld.insurance.arkansas.gov/NPILookup?Npi=1821550245","1821550245")</f>
        <v>1821550245</v>
      </c>
      <c r="D1244" s="36" t="s">
        <v>33900</v>
      </c>
      <c r="E1244" s="36" t="s">
        <v>1</v>
      </c>
      <c r="F1244" s="36">
        <v>1</v>
      </c>
      <c r="G1244" s="36">
        <v>2</v>
      </c>
      <c r="H1244" s="36">
        <v>0</v>
      </c>
      <c r="I1244" s="37">
        <v>0</v>
      </c>
      <c r="J1244" s="36" t="s">
        <v>32654</v>
      </c>
      <c r="K1244" s="36" t="s">
        <v>14330</v>
      </c>
      <c r="L1244" s="36" t="s">
        <v>14330</v>
      </c>
      <c r="M1244">
        <v>1</v>
      </c>
      <c r="N1244" t="s">
        <v>14331</v>
      </c>
      <c r="O1244" t="s">
        <v>32633</v>
      </c>
    </row>
    <row r="1245" spans="1:15" x14ac:dyDescent="0.25">
      <c r="A1245" s="35" t="s">
        <v>4997</v>
      </c>
      <c r="B1245" s="36" t="s">
        <v>4998</v>
      </c>
      <c r="C1245" s="36" t="str">
        <f>HYPERLINK("https://rhld.insurance.arkansas.gov/NPILookup?Npi=1831115419","1831115419")</f>
        <v>1831115419</v>
      </c>
      <c r="D1245" s="36" t="s">
        <v>33901</v>
      </c>
      <c r="E1245" s="36" t="s">
        <v>1</v>
      </c>
      <c r="F1245" s="36">
        <v>1</v>
      </c>
      <c r="G1245" s="36">
        <v>1</v>
      </c>
      <c r="H1245" s="36">
        <v>0</v>
      </c>
      <c r="I1245" s="37">
        <v>0</v>
      </c>
      <c r="J1245" s="36" t="s">
        <v>32654</v>
      </c>
      <c r="K1245" s="36" t="s">
        <v>14330</v>
      </c>
      <c r="L1245" s="36" t="s">
        <v>14330</v>
      </c>
      <c r="M1245">
        <v>3</v>
      </c>
      <c r="N1245" t="s">
        <v>14331</v>
      </c>
      <c r="O1245" t="s">
        <v>32633</v>
      </c>
    </row>
    <row r="1246" spans="1:15" x14ac:dyDescent="0.25">
      <c r="A1246" s="35" t="s">
        <v>4997</v>
      </c>
      <c r="B1246" s="36" t="s">
        <v>4998</v>
      </c>
      <c r="C1246" s="36" t="str">
        <f>HYPERLINK("https://rhld.insurance.arkansas.gov/NPILookup?Npi=1831154004","1831154004")</f>
        <v>1831154004</v>
      </c>
      <c r="D1246" s="36" t="s">
        <v>33902</v>
      </c>
      <c r="E1246" s="36" t="s">
        <v>1</v>
      </c>
      <c r="F1246" s="36">
        <v>1</v>
      </c>
      <c r="G1246" s="36">
        <v>3</v>
      </c>
      <c r="H1246" s="36">
        <v>0</v>
      </c>
      <c r="I1246" s="37">
        <v>0</v>
      </c>
      <c r="J1246" s="36" t="s">
        <v>32654</v>
      </c>
      <c r="K1246" s="36" t="s">
        <v>14330</v>
      </c>
      <c r="L1246" s="36" t="s">
        <v>14330</v>
      </c>
      <c r="M1246">
        <v>3</v>
      </c>
      <c r="N1246" t="s">
        <v>14331</v>
      </c>
      <c r="O1246" t="s">
        <v>32633</v>
      </c>
    </row>
    <row r="1247" spans="1:15" x14ac:dyDescent="0.25">
      <c r="A1247" s="35" t="s">
        <v>4997</v>
      </c>
      <c r="B1247" s="36" t="s">
        <v>4998</v>
      </c>
      <c r="C1247" s="36" t="str">
        <f>HYPERLINK("https://rhld.insurance.arkansas.gov/NPILookup?Npi=1831400621","1831400621")</f>
        <v>1831400621</v>
      </c>
      <c r="D1247" s="36" t="s">
        <v>33632</v>
      </c>
      <c r="E1247" s="36" t="s">
        <v>1</v>
      </c>
      <c r="F1247" s="36">
        <v>1</v>
      </c>
      <c r="G1247" s="36">
        <v>3</v>
      </c>
      <c r="H1247" s="36">
        <v>0</v>
      </c>
      <c r="I1247" s="37">
        <v>0</v>
      </c>
      <c r="J1247" s="36" t="s">
        <v>32654</v>
      </c>
      <c r="K1247" s="36" t="s">
        <v>14330</v>
      </c>
      <c r="L1247" s="36" t="s">
        <v>14330</v>
      </c>
      <c r="M1247">
        <v>2</v>
      </c>
      <c r="N1247" t="s">
        <v>14331</v>
      </c>
      <c r="O1247" t="s">
        <v>32633</v>
      </c>
    </row>
    <row r="1248" spans="1:15" x14ac:dyDescent="0.25">
      <c r="A1248" s="35" t="s">
        <v>4997</v>
      </c>
      <c r="B1248" s="36" t="s">
        <v>4998</v>
      </c>
      <c r="C1248" s="36" t="str">
        <f>HYPERLINK("https://rhld.insurance.arkansas.gov/NPILookup?Npi=1841491925","1841491925")</f>
        <v>1841491925</v>
      </c>
      <c r="D1248" s="36" t="s">
        <v>33903</v>
      </c>
      <c r="E1248" s="36" t="s">
        <v>1</v>
      </c>
      <c r="F1248" s="36">
        <v>1</v>
      </c>
      <c r="G1248" s="36">
        <v>2</v>
      </c>
      <c r="H1248" s="36">
        <v>0</v>
      </c>
      <c r="I1248" s="37">
        <v>0</v>
      </c>
      <c r="J1248" s="36" t="s">
        <v>32654</v>
      </c>
      <c r="K1248" s="36" t="s">
        <v>14330</v>
      </c>
      <c r="L1248" s="36" t="s">
        <v>14330</v>
      </c>
      <c r="M1248">
        <v>1</v>
      </c>
      <c r="N1248" t="s">
        <v>14331</v>
      </c>
      <c r="O1248" t="s">
        <v>32633</v>
      </c>
    </row>
    <row r="1249" spans="1:15" x14ac:dyDescent="0.25">
      <c r="A1249" s="35" t="s">
        <v>4997</v>
      </c>
      <c r="B1249" s="36" t="s">
        <v>4998</v>
      </c>
      <c r="C1249" s="36" t="str">
        <f>HYPERLINK("https://rhld.insurance.arkansas.gov/NPILookup?Npi=1841635422","1841635422")</f>
        <v>1841635422</v>
      </c>
      <c r="D1249" s="36" t="s">
        <v>33904</v>
      </c>
      <c r="E1249" s="36" t="s">
        <v>2</v>
      </c>
      <c r="F1249" s="36">
        <v>1</v>
      </c>
      <c r="G1249" s="36">
        <v>1</v>
      </c>
      <c r="H1249" s="36">
        <v>0</v>
      </c>
      <c r="I1249" s="37">
        <v>0</v>
      </c>
      <c r="J1249" s="36" t="s">
        <v>32679</v>
      </c>
      <c r="K1249" s="36" t="s">
        <v>14330</v>
      </c>
      <c r="L1249" s="36" t="s">
        <v>14330</v>
      </c>
      <c r="M1249">
        <v>1</v>
      </c>
      <c r="N1249" t="s">
        <v>14331</v>
      </c>
      <c r="O1249" t="s">
        <v>32633</v>
      </c>
    </row>
    <row r="1250" spans="1:15" x14ac:dyDescent="0.25">
      <c r="A1250" s="35" t="s">
        <v>4997</v>
      </c>
      <c r="B1250" s="36" t="s">
        <v>4998</v>
      </c>
      <c r="C1250" s="36" t="str">
        <f>HYPERLINK("https://rhld.insurance.arkansas.gov/NPILookup?Npi=1851826309","1851826309")</f>
        <v>1851826309</v>
      </c>
      <c r="D1250" s="36" t="s">
        <v>33905</v>
      </c>
      <c r="E1250" s="36" t="s">
        <v>2</v>
      </c>
      <c r="F1250" s="36">
        <v>1</v>
      </c>
      <c r="G1250" s="36">
        <v>1</v>
      </c>
      <c r="H1250" s="36">
        <v>0</v>
      </c>
      <c r="I1250" s="37">
        <v>0</v>
      </c>
      <c r="J1250" s="36" t="s">
        <v>32679</v>
      </c>
      <c r="K1250" s="36" t="s">
        <v>14330</v>
      </c>
      <c r="L1250" s="36" t="s">
        <v>14330</v>
      </c>
      <c r="M1250">
        <v>3</v>
      </c>
      <c r="N1250" t="s">
        <v>14331</v>
      </c>
      <c r="O1250" t="s">
        <v>32633</v>
      </c>
    </row>
    <row r="1251" spans="1:15" x14ac:dyDescent="0.25">
      <c r="A1251" s="35" t="s">
        <v>4997</v>
      </c>
      <c r="B1251" s="36" t="s">
        <v>4998</v>
      </c>
      <c r="C1251" s="36" t="str">
        <f>HYPERLINK("https://rhld.insurance.arkansas.gov/NPILookup?Npi=1861550790","1861550790")</f>
        <v>1861550790</v>
      </c>
      <c r="D1251" s="36" t="s">
        <v>33906</v>
      </c>
      <c r="E1251" s="36" t="s">
        <v>1</v>
      </c>
      <c r="F1251" s="36">
        <v>1</v>
      </c>
      <c r="G1251" s="36">
        <v>3</v>
      </c>
      <c r="H1251" s="36">
        <v>0</v>
      </c>
      <c r="I1251" s="37">
        <v>0</v>
      </c>
      <c r="J1251" s="36" t="s">
        <v>32654</v>
      </c>
      <c r="K1251" s="36" t="s">
        <v>14330</v>
      </c>
      <c r="L1251" s="36" t="s">
        <v>14330</v>
      </c>
      <c r="M1251">
        <v>1</v>
      </c>
      <c r="N1251" t="s">
        <v>14331</v>
      </c>
      <c r="O1251" t="s">
        <v>32633</v>
      </c>
    </row>
    <row r="1252" spans="1:15" x14ac:dyDescent="0.25">
      <c r="A1252" s="35" t="s">
        <v>4997</v>
      </c>
      <c r="B1252" s="36" t="s">
        <v>4998</v>
      </c>
      <c r="C1252" s="36" t="str">
        <f>HYPERLINK("https://rhld.insurance.arkansas.gov/NPILookup?Npi=1871722520","1871722520")</f>
        <v>1871722520</v>
      </c>
      <c r="D1252" s="36" t="s">
        <v>33907</v>
      </c>
      <c r="E1252" s="36" t="s">
        <v>2</v>
      </c>
      <c r="F1252" s="36">
        <v>1</v>
      </c>
      <c r="G1252" s="36">
        <v>1</v>
      </c>
      <c r="H1252" s="36">
        <v>0</v>
      </c>
      <c r="I1252" s="37">
        <v>0</v>
      </c>
      <c r="J1252" s="36" t="s">
        <v>32679</v>
      </c>
      <c r="K1252" s="36" t="s">
        <v>14330</v>
      </c>
      <c r="L1252" s="36" t="s">
        <v>14330</v>
      </c>
      <c r="M1252">
        <v>1</v>
      </c>
      <c r="N1252" t="s">
        <v>14331</v>
      </c>
      <c r="O1252" t="s">
        <v>32633</v>
      </c>
    </row>
    <row r="1253" spans="1:15" x14ac:dyDescent="0.25">
      <c r="A1253" s="35" t="s">
        <v>4997</v>
      </c>
      <c r="B1253" s="36" t="s">
        <v>4998</v>
      </c>
      <c r="C1253" s="36" t="str">
        <f>HYPERLINK("https://rhld.insurance.arkansas.gov/NPILookup?Npi=1871988170","1871988170")</f>
        <v>1871988170</v>
      </c>
      <c r="D1253" s="36" t="s">
        <v>33908</v>
      </c>
      <c r="E1253" s="36" t="s">
        <v>2</v>
      </c>
      <c r="F1253" s="36">
        <v>1</v>
      </c>
      <c r="G1253" s="36">
        <v>1</v>
      </c>
      <c r="H1253" s="36">
        <v>0</v>
      </c>
      <c r="I1253" s="37">
        <v>0</v>
      </c>
      <c r="J1253" s="36" t="s">
        <v>32679</v>
      </c>
      <c r="K1253" s="36" t="s">
        <v>14330</v>
      </c>
      <c r="L1253" s="36" t="s">
        <v>14330</v>
      </c>
      <c r="M1253">
        <v>2</v>
      </c>
      <c r="N1253" t="s">
        <v>14331</v>
      </c>
      <c r="O1253" t="s">
        <v>32633</v>
      </c>
    </row>
    <row r="1254" spans="1:15" x14ac:dyDescent="0.25">
      <c r="A1254" s="35" t="s">
        <v>4997</v>
      </c>
      <c r="B1254" s="36" t="s">
        <v>4998</v>
      </c>
      <c r="C1254" s="36" t="str">
        <f>HYPERLINK("https://rhld.insurance.arkansas.gov/NPILookup?Npi=1891141644","1891141644")</f>
        <v>1891141644</v>
      </c>
      <c r="D1254" s="36" t="s">
        <v>33909</v>
      </c>
      <c r="E1254" s="36" t="s">
        <v>1</v>
      </c>
      <c r="F1254" s="36">
        <v>1</v>
      </c>
      <c r="G1254" s="36">
        <v>2</v>
      </c>
      <c r="H1254" s="36">
        <v>0</v>
      </c>
      <c r="I1254" s="37">
        <v>0</v>
      </c>
      <c r="J1254" s="36" t="s">
        <v>32654</v>
      </c>
      <c r="K1254" s="36" t="s">
        <v>14330</v>
      </c>
      <c r="L1254" s="36" t="s">
        <v>14330</v>
      </c>
      <c r="M1254">
        <v>2</v>
      </c>
      <c r="N1254" t="s">
        <v>14331</v>
      </c>
      <c r="O1254" t="s">
        <v>32633</v>
      </c>
    </row>
    <row r="1255" spans="1:15" x14ac:dyDescent="0.25">
      <c r="A1255" s="35" t="s">
        <v>4997</v>
      </c>
      <c r="B1255" s="36" t="s">
        <v>4998</v>
      </c>
      <c r="C1255" s="36" t="str">
        <f>HYPERLINK("https://rhld.insurance.arkansas.gov/NPILookup?Npi=1891144853","1891144853")</f>
        <v>1891144853</v>
      </c>
      <c r="D1255" s="36" t="s">
        <v>33910</v>
      </c>
      <c r="E1255" s="36" t="s">
        <v>2</v>
      </c>
      <c r="F1255" s="36">
        <v>2</v>
      </c>
      <c r="G1255" s="36">
        <v>2</v>
      </c>
      <c r="H1255" s="36">
        <v>0</v>
      </c>
      <c r="I1255" s="37">
        <v>0</v>
      </c>
      <c r="J1255" s="36" t="s">
        <v>33004</v>
      </c>
      <c r="K1255" s="36" t="s">
        <v>14330</v>
      </c>
      <c r="L1255" s="36" t="s">
        <v>14330</v>
      </c>
      <c r="M1255">
        <v>2</v>
      </c>
      <c r="N1255" t="s">
        <v>14331</v>
      </c>
      <c r="O1255" t="s">
        <v>14333</v>
      </c>
    </row>
    <row r="1256" spans="1:15" x14ac:dyDescent="0.25">
      <c r="A1256" s="35" t="s">
        <v>4997</v>
      </c>
      <c r="B1256" s="36" t="s">
        <v>4998</v>
      </c>
      <c r="C1256" s="36" t="str">
        <f>HYPERLINK("https://rhld.insurance.arkansas.gov/NPILookup?Npi=1891833505","1891833505")</f>
        <v>1891833505</v>
      </c>
      <c r="D1256" s="36" t="s">
        <v>33911</v>
      </c>
      <c r="E1256" s="36" t="s">
        <v>1</v>
      </c>
      <c r="F1256" s="36">
        <v>1</v>
      </c>
      <c r="G1256" s="36">
        <v>2</v>
      </c>
      <c r="H1256" s="36">
        <v>0</v>
      </c>
      <c r="I1256" s="37">
        <v>0</v>
      </c>
      <c r="J1256" s="36" t="s">
        <v>32654</v>
      </c>
      <c r="K1256" s="36" t="s">
        <v>14330</v>
      </c>
      <c r="L1256" s="36" t="s">
        <v>14330</v>
      </c>
      <c r="M1256">
        <v>3</v>
      </c>
      <c r="N1256" t="s">
        <v>14331</v>
      </c>
      <c r="O1256" t="s">
        <v>32633</v>
      </c>
    </row>
    <row r="1257" spans="1:15" x14ac:dyDescent="0.25">
      <c r="A1257" s="35" t="s">
        <v>4997</v>
      </c>
      <c r="B1257" s="36" t="s">
        <v>4998</v>
      </c>
      <c r="C1257" s="36" t="str">
        <f>HYPERLINK("https://rhld.insurance.arkansas.gov/NPILookup?Npi=1891880373","1891880373")</f>
        <v>1891880373</v>
      </c>
      <c r="D1257" s="36" t="s">
        <v>33912</v>
      </c>
      <c r="E1257" s="36" t="s">
        <v>1</v>
      </c>
      <c r="F1257" s="36">
        <v>1</v>
      </c>
      <c r="G1257" s="36">
        <v>3</v>
      </c>
      <c r="H1257" s="36">
        <v>0</v>
      </c>
      <c r="I1257" s="37">
        <v>0</v>
      </c>
      <c r="J1257" s="36" t="s">
        <v>32654</v>
      </c>
      <c r="K1257" s="36" t="s">
        <v>14330</v>
      </c>
      <c r="L1257" s="36" t="s">
        <v>14330</v>
      </c>
      <c r="M1257">
        <v>1</v>
      </c>
      <c r="N1257" t="s">
        <v>14331</v>
      </c>
      <c r="O1257" t="s">
        <v>32633</v>
      </c>
    </row>
    <row r="1258" spans="1:15" x14ac:dyDescent="0.25">
      <c r="A1258" s="35" t="s">
        <v>4997</v>
      </c>
      <c r="B1258" s="36" t="s">
        <v>4998</v>
      </c>
      <c r="C1258" s="36" t="str">
        <f>HYPERLINK("https://rhld.insurance.arkansas.gov/NPILookup?Npi=1891956678","1891956678")</f>
        <v>1891956678</v>
      </c>
      <c r="D1258" s="36" t="s">
        <v>33913</v>
      </c>
      <c r="E1258" s="36" t="s">
        <v>2</v>
      </c>
      <c r="F1258" s="36">
        <v>1</v>
      </c>
      <c r="G1258" s="36">
        <v>1</v>
      </c>
      <c r="H1258" s="36">
        <v>0</v>
      </c>
      <c r="I1258" s="37">
        <v>0</v>
      </c>
      <c r="J1258" s="36" t="s">
        <v>32679</v>
      </c>
      <c r="K1258" s="36" t="s">
        <v>14330</v>
      </c>
      <c r="L1258" s="36" t="s">
        <v>14330</v>
      </c>
      <c r="M1258">
        <v>1</v>
      </c>
      <c r="N1258" t="s">
        <v>14331</v>
      </c>
      <c r="O1258" t="s">
        <v>32633</v>
      </c>
    </row>
    <row r="1259" spans="1:15" x14ac:dyDescent="0.25">
      <c r="A1259" s="35" t="s">
        <v>4997</v>
      </c>
      <c r="B1259" s="36" t="s">
        <v>4998</v>
      </c>
      <c r="C1259" s="36" t="str">
        <f>HYPERLINK("https://rhld.insurance.arkansas.gov/NPILookup?Npi=1902268626","1902268626")</f>
        <v>1902268626</v>
      </c>
      <c r="D1259" s="36" t="s">
        <v>33914</v>
      </c>
      <c r="E1259" s="36" t="s">
        <v>2</v>
      </c>
      <c r="F1259" s="36">
        <v>1</v>
      </c>
      <c r="G1259" s="36">
        <v>1</v>
      </c>
      <c r="H1259" s="36">
        <v>0</v>
      </c>
      <c r="I1259" s="37">
        <v>0</v>
      </c>
      <c r="J1259" s="36" t="s">
        <v>32679</v>
      </c>
      <c r="K1259" s="36" t="s">
        <v>14330</v>
      </c>
      <c r="L1259" s="36" t="s">
        <v>14330</v>
      </c>
      <c r="M1259">
        <v>2</v>
      </c>
      <c r="N1259" t="s">
        <v>14331</v>
      </c>
      <c r="O1259" t="s">
        <v>32633</v>
      </c>
    </row>
    <row r="1260" spans="1:15" x14ac:dyDescent="0.25">
      <c r="A1260" s="35" t="s">
        <v>4997</v>
      </c>
      <c r="B1260" s="36" t="s">
        <v>4998</v>
      </c>
      <c r="C1260" s="36" t="str">
        <f>HYPERLINK("https://rhld.insurance.arkansas.gov/NPILookup?Npi=1902331747","1902331747")</f>
        <v>1902331747</v>
      </c>
      <c r="D1260" s="36" t="s">
        <v>33915</v>
      </c>
      <c r="E1260" s="36" t="s">
        <v>1</v>
      </c>
      <c r="F1260" s="36">
        <v>1</v>
      </c>
      <c r="G1260" s="36">
        <v>2</v>
      </c>
      <c r="H1260" s="36">
        <v>0</v>
      </c>
      <c r="I1260" s="37">
        <v>0</v>
      </c>
      <c r="J1260" s="36" t="s">
        <v>32654</v>
      </c>
      <c r="K1260" s="36" t="s">
        <v>14330</v>
      </c>
      <c r="L1260" s="36" t="s">
        <v>14330</v>
      </c>
      <c r="M1260">
        <v>1</v>
      </c>
      <c r="N1260" t="s">
        <v>14331</v>
      </c>
      <c r="O1260" t="s">
        <v>32633</v>
      </c>
    </row>
    <row r="1261" spans="1:15" x14ac:dyDescent="0.25">
      <c r="A1261" s="35" t="s">
        <v>4997</v>
      </c>
      <c r="B1261" s="36" t="s">
        <v>4998</v>
      </c>
      <c r="C1261" s="36" t="str">
        <f>HYPERLINK("https://rhld.insurance.arkansas.gov/NPILookup?Npi=1902366560","1902366560")</f>
        <v>1902366560</v>
      </c>
      <c r="D1261" s="36" t="s">
        <v>33916</v>
      </c>
      <c r="E1261" s="36" t="s">
        <v>2</v>
      </c>
      <c r="F1261" s="36">
        <v>1</v>
      </c>
      <c r="G1261" s="36">
        <v>1</v>
      </c>
      <c r="H1261" s="36">
        <v>0</v>
      </c>
      <c r="I1261" s="37">
        <v>0</v>
      </c>
      <c r="J1261" s="36" t="s">
        <v>32679</v>
      </c>
      <c r="K1261" s="36" t="s">
        <v>14330</v>
      </c>
      <c r="L1261" s="36" t="s">
        <v>14330</v>
      </c>
      <c r="M1261">
        <v>1</v>
      </c>
      <c r="N1261" t="s">
        <v>14331</v>
      </c>
      <c r="O1261" t="s">
        <v>32633</v>
      </c>
    </row>
    <row r="1262" spans="1:15" x14ac:dyDescent="0.25">
      <c r="A1262" s="35" t="s">
        <v>4997</v>
      </c>
      <c r="B1262" s="36" t="s">
        <v>4998</v>
      </c>
      <c r="C1262" s="36" t="str">
        <f>HYPERLINK("https://rhld.insurance.arkansas.gov/NPILookup?Npi=1902396559","1902396559")</f>
        <v>1902396559</v>
      </c>
      <c r="D1262" s="36" t="s">
        <v>33917</v>
      </c>
      <c r="E1262" s="36" t="s">
        <v>2</v>
      </c>
      <c r="F1262" s="36">
        <v>1</v>
      </c>
      <c r="G1262" s="36">
        <v>1</v>
      </c>
      <c r="H1262" s="36">
        <v>0</v>
      </c>
      <c r="I1262" s="37">
        <v>0</v>
      </c>
      <c r="J1262" s="36" t="s">
        <v>32679</v>
      </c>
      <c r="K1262" s="36" t="s">
        <v>14330</v>
      </c>
      <c r="L1262" s="36" t="s">
        <v>14330</v>
      </c>
      <c r="M1262">
        <v>1</v>
      </c>
      <c r="N1262" t="s">
        <v>14331</v>
      </c>
      <c r="O1262" t="s">
        <v>32633</v>
      </c>
    </row>
    <row r="1263" spans="1:15" x14ac:dyDescent="0.25">
      <c r="A1263" s="35" t="s">
        <v>4997</v>
      </c>
      <c r="B1263" s="36" t="s">
        <v>4998</v>
      </c>
      <c r="C1263" s="36" t="str">
        <f>HYPERLINK("https://rhld.insurance.arkansas.gov/NPILookup?Npi=1912165374","1912165374")</f>
        <v>1912165374</v>
      </c>
      <c r="D1263" s="36" t="s">
        <v>33918</v>
      </c>
      <c r="E1263" s="36" t="s">
        <v>2</v>
      </c>
      <c r="F1263" s="36">
        <v>1</v>
      </c>
      <c r="G1263" s="36">
        <v>1</v>
      </c>
      <c r="H1263" s="36">
        <v>0</v>
      </c>
      <c r="I1263" s="37">
        <v>0</v>
      </c>
      <c r="J1263" s="36" t="s">
        <v>32679</v>
      </c>
      <c r="K1263" s="36" t="s">
        <v>14330</v>
      </c>
      <c r="L1263" s="36" t="s">
        <v>14330</v>
      </c>
      <c r="M1263">
        <v>1</v>
      </c>
      <c r="N1263" t="s">
        <v>14331</v>
      </c>
      <c r="O1263" t="s">
        <v>32633</v>
      </c>
    </row>
    <row r="1264" spans="1:15" x14ac:dyDescent="0.25">
      <c r="A1264" s="35" t="s">
        <v>4997</v>
      </c>
      <c r="B1264" s="36" t="s">
        <v>4998</v>
      </c>
      <c r="C1264" s="36" t="str">
        <f>HYPERLINK("https://rhld.insurance.arkansas.gov/NPILookup?Npi=1912933409","1912933409")</f>
        <v>1912933409</v>
      </c>
      <c r="D1264" s="36" t="s">
        <v>33919</v>
      </c>
      <c r="E1264" s="36" t="s">
        <v>1</v>
      </c>
      <c r="F1264" s="36">
        <v>1</v>
      </c>
      <c r="G1264" s="36">
        <v>2</v>
      </c>
      <c r="H1264" s="36">
        <v>1</v>
      </c>
      <c r="I1264" s="37">
        <v>0</v>
      </c>
      <c r="J1264" s="36" t="s">
        <v>32654</v>
      </c>
      <c r="K1264" s="36" t="s">
        <v>14330</v>
      </c>
      <c r="L1264" s="36" t="s">
        <v>33920</v>
      </c>
      <c r="M1264">
        <v>1</v>
      </c>
      <c r="N1264" t="s">
        <v>14332</v>
      </c>
      <c r="O1264" t="s">
        <v>32591</v>
      </c>
    </row>
    <row r="1265" spans="1:15" x14ac:dyDescent="0.25">
      <c r="A1265" s="35" t="s">
        <v>4997</v>
      </c>
      <c r="B1265" s="36" t="s">
        <v>4998</v>
      </c>
      <c r="C1265" s="36" t="str">
        <f>HYPERLINK("https://rhld.insurance.arkansas.gov/NPILookup?Npi=1912936725","1912936725")</f>
        <v>1912936725</v>
      </c>
      <c r="D1265" s="36" t="s">
        <v>33921</v>
      </c>
      <c r="E1265" s="36" t="s">
        <v>2</v>
      </c>
      <c r="F1265" s="36">
        <v>1</v>
      </c>
      <c r="G1265" s="36">
        <v>1</v>
      </c>
      <c r="H1265" s="36">
        <v>0</v>
      </c>
      <c r="I1265" s="37">
        <v>0</v>
      </c>
      <c r="J1265" s="36" t="s">
        <v>32679</v>
      </c>
      <c r="K1265" s="36" t="s">
        <v>14330</v>
      </c>
      <c r="L1265" s="36" t="s">
        <v>14330</v>
      </c>
      <c r="M1265">
        <v>2</v>
      </c>
      <c r="N1265" t="s">
        <v>14331</v>
      </c>
      <c r="O1265" t="s">
        <v>32633</v>
      </c>
    </row>
    <row r="1266" spans="1:15" x14ac:dyDescent="0.25">
      <c r="A1266" s="35" t="s">
        <v>4997</v>
      </c>
      <c r="B1266" s="36" t="s">
        <v>4998</v>
      </c>
      <c r="C1266" s="36" t="str">
        <f>HYPERLINK("https://rhld.insurance.arkansas.gov/NPILookup?Npi=1922066232","1922066232")</f>
        <v>1922066232</v>
      </c>
      <c r="D1266" s="36" t="s">
        <v>33922</v>
      </c>
      <c r="E1266" s="36" t="s">
        <v>1</v>
      </c>
      <c r="F1266" s="36">
        <v>1</v>
      </c>
      <c r="G1266" s="36">
        <v>2</v>
      </c>
      <c r="H1266" s="36">
        <v>0</v>
      </c>
      <c r="I1266" s="37">
        <v>0</v>
      </c>
      <c r="J1266" s="36" t="s">
        <v>32654</v>
      </c>
      <c r="K1266" s="36" t="s">
        <v>14330</v>
      </c>
      <c r="L1266" s="36" t="s">
        <v>14330</v>
      </c>
      <c r="M1266">
        <v>2</v>
      </c>
      <c r="N1266" t="s">
        <v>14331</v>
      </c>
      <c r="O1266" t="s">
        <v>32633</v>
      </c>
    </row>
    <row r="1267" spans="1:15" x14ac:dyDescent="0.25">
      <c r="A1267" s="35" t="s">
        <v>4997</v>
      </c>
      <c r="B1267" s="36" t="s">
        <v>4998</v>
      </c>
      <c r="C1267" s="36" t="str">
        <f>HYPERLINK("https://rhld.insurance.arkansas.gov/NPILookup?Npi=1922453471","1922453471")</f>
        <v>1922453471</v>
      </c>
      <c r="D1267" s="36" t="s">
        <v>33923</v>
      </c>
      <c r="E1267" s="36" t="s">
        <v>2</v>
      </c>
      <c r="F1267" s="36">
        <v>1</v>
      </c>
      <c r="G1267" s="36">
        <v>2</v>
      </c>
      <c r="H1267" s="36">
        <v>0</v>
      </c>
      <c r="I1267" s="37">
        <v>0</v>
      </c>
      <c r="J1267" s="36"/>
      <c r="K1267" s="36" t="s">
        <v>14330</v>
      </c>
      <c r="L1267" s="36" t="s">
        <v>14330</v>
      </c>
      <c r="M1267">
        <v>1</v>
      </c>
      <c r="N1267" t="s">
        <v>14331</v>
      </c>
      <c r="O1267" t="s">
        <v>14333</v>
      </c>
    </row>
    <row r="1268" spans="1:15" x14ac:dyDescent="0.25">
      <c r="A1268" s="35" t="s">
        <v>4997</v>
      </c>
      <c r="B1268" s="36" t="s">
        <v>4998</v>
      </c>
      <c r="C1268" s="36" t="str">
        <f>HYPERLINK("https://rhld.insurance.arkansas.gov/NPILookup?Npi=1932181849","1932181849")</f>
        <v>1932181849</v>
      </c>
      <c r="D1268" s="36" t="s">
        <v>33924</v>
      </c>
      <c r="E1268" s="36" t="s">
        <v>2</v>
      </c>
      <c r="F1268" s="36">
        <v>1</v>
      </c>
      <c r="G1268" s="36">
        <v>1</v>
      </c>
      <c r="H1268" s="36">
        <v>0</v>
      </c>
      <c r="I1268" s="37">
        <v>0</v>
      </c>
      <c r="J1268" s="36" t="s">
        <v>32679</v>
      </c>
      <c r="K1268" s="36" t="s">
        <v>14330</v>
      </c>
      <c r="L1268" s="36" t="s">
        <v>14330</v>
      </c>
      <c r="M1268">
        <v>2</v>
      </c>
      <c r="N1268" t="s">
        <v>14331</v>
      </c>
      <c r="O1268" t="s">
        <v>32633</v>
      </c>
    </row>
    <row r="1269" spans="1:15" x14ac:dyDescent="0.25">
      <c r="A1269" s="35" t="s">
        <v>4997</v>
      </c>
      <c r="B1269" s="36" t="s">
        <v>4998</v>
      </c>
      <c r="C1269" s="36" t="str">
        <f>HYPERLINK("https://rhld.insurance.arkansas.gov/NPILookup?Npi=1932427218","1932427218")</f>
        <v>1932427218</v>
      </c>
      <c r="D1269" s="36" t="s">
        <v>33925</v>
      </c>
      <c r="E1269" s="36" t="s">
        <v>2</v>
      </c>
      <c r="F1269" s="36">
        <v>1</v>
      </c>
      <c r="G1269" s="36">
        <v>2</v>
      </c>
      <c r="H1269" s="36">
        <v>0</v>
      </c>
      <c r="I1269" s="37">
        <v>0</v>
      </c>
      <c r="J1269" s="36" t="s">
        <v>32679</v>
      </c>
      <c r="K1269" s="36" t="s">
        <v>14330</v>
      </c>
      <c r="L1269" s="36" t="s">
        <v>14330</v>
      </c>
      <c r="M1269">
        <v>1</v>
      </c>
      <c r="N1269" t="s">
        <v>14331</v>
      </c>
      <c r="O1269" t="s">
        <v>14333</v>
      </c>
    </row>
    <row r="1270" spans="1:15" x14ac:dyDescent="0.25">
      <c r="A1270" s="35" t="s">
        <v>4997</v>
      </c>
      <c r="B1270" s="36" t="s">
        <v>4998</v>
      </c>
      <c r="C1270" s="36" t="str">
        <f>HYPERLINK("https://rhld.insurance.arkansas.gov/NPILookup?Npi=1942290739","1942290739")</f>
        <v>1942290739</v>
      </c>
      <c r="D1270" s="36" t="s">
        <v>33926</v>
      </c>
      <c r="E1270" s="36" t="s">
        <v>1</v>
      </c>
      <c r="F1270" s="36">
        <v>1</v>
      </c>
      <c r="G1270" s="36">
        <v>1</v>
      </c>
      <c r="H1270" s="36">
        <v>0</v>
      </c>
      <c r="I1270" s="37">
        <v>0</v>
      </c>
      <c r="J1270" s="36" t="s">
        <v>32654</v>
      </c>
      <c r="K1270" s="36" t="s">
        <v>14330</v>
      </c>
      <c r="L1270" s="36" t="s">
        <v>14330</v>
      </c>
      <c r="M1270">
        <v>2</v>
      </c>
      <c r="N1270" t="s">
        <v>14331</v>
      </c>
      <c r="O1270" t="s">
        <v>32633</v>
      </c>
    </row>
    <row r="1271" spans="1:15" x14ac:dyDescent="0.25">
      <c r="A1271" s="35" t="s">
        <v>4997</v>
      </c>
      <c r="B1271" s="36" t="s">
        <v>4998</v>
      </c>
      <c r="C1271" s="36" t="str">
        <f>HYPERLINK("https://rhld.insurance.arkansas.gov/NPILookup?Npi=1942447149","1942447149")</f>
        <v>1942447149</v>
      </c>
      <c r="D1271" s="36" t="s">
        <v>33643</v>
      </c>
      <c r="E1271" s="36" t="s">
        <v>1</v>
      </c>
      <c r="F1271" s="36">
        <v>1</v>
      </c>
      <c r="G1271" s="36">
        <v>2</v>
      </c>
      <c r="H1271" s="36">
        <v>0</v>
      </c>
      <c r="I1271" s="37">
        <v>0</v>
      </c>
      <c r="J1271" s="36" t="s">
        <v>32654</v>
      </c>
      <c r="K1271" s="36" t="s">
        <v>14330</v>
      </c>
      <c r="L1271" s="36" t="s">
        <v>14330</v>
      </c>
      <c r="M1271">
        <v>3</v>
      </c>
      <c r="N1271" t="s">
        <v>14331</v>
      </c>
      <c r="O1271" t="s">
        <v>32633</v>
      </c>
    </row>
    <row r="1272" spans="1:15" x14ac:dyDescent="0.25">
      <c r="A1272" s="35" t="s">
        <v>4997</v>
      </c>
      <c r="B1272" s="36" t="s">
        <v>4998</v>
      </c>
      <c r="C1272" s="36" t="str">
        <f>HYPERLINK("https://rhld.insurance.arkansas.gov/NPILookup?Npi=1952613960","1952613960")</f>
        <v>1952613960</v>
      </c>
      <c r="D1272" s="36" t="s">
        <v>33927</v>
      </c>
      <c r="E1272" s="36" t="s">
        <v>1</v>
      </c>
      <c r="F1272" s="36">
        <v>1</v>
      </c>
      <c r="G1272" s="36">
        <v>3</v>
      </c>
      <c r="H1272" s="36">
        <v>0</v>
      </c>
      <c r="I1272" s="37">
        <v>0</v>
      </c>
      <c r="J1272" s="36" t="s">
        <v>32654</v>
      </c>
      <c r="K1272" s="36" t="s">
        <v>14330</v>
      </c>
      <c r="L1272" s="36" t="s">
        <v>14330</v>
      </c>
      <c r="M1272">
        <v>1</v>
      </c>
      <c r="N1272" t="s">
        <v>14331</v>
      </c>
      <c r="O1272" t="s">
        <v>32633</v>
      </c>
    </row>
    <row r="1273" spans="1:15" x14ac:dyDescent="0.25">
      <c r="A1273" s="35" t="s">
        <v>4997</v>
      </c>
      <c r="B1273" s="36" t="s">
        <v>4998</v>
      </c>
      <c r="C1273" s="36" t="str">
        <f>HYPERLINK("https://rhld.insurance.arkansas.gov/NPILookup?Npi=1952756058","1952756058")</f>
        <v>1952756058</v>
      </c>
      <c r="D1273" s="36" t="s">
        <v>33928</v>
      </c>
      <c r="E1273" s="36" t="s">
        <v>2</v>
      </c>
      <c r="F1273" s="36">
        <v>1</v>
      </c>
      <c r="G1273" s="36">
        <v>1</v>
      </c>
      <c r="H1273" s="36">
        <v>0</v>
      </c>
      <c r="I1273" s="37">
        <v>0</v>
      </c>
      <c r="J1273" s="36" t="s">
        <v>32679</v>
      </c>
      <c r="K1273" s="36" t="s">
        <v>14330</v>
      </c>
      <c r="L1273" s="36" t="s">
        <v>14330</v>
      </c>
      <c r="M1273">
        <v>1</v>
      </c>
      <c r="N1273" t="s">
        <v>14331</v>
      </c>
      <c r="O1273" t="s">
        <v>32633</v>
      </c>
    </row>
    <row r="1274" spans="1:15" x14ac:dyDescent="0.25">
      <c r="A1274" s="35" t="s">
        <v>4997</v>
      </c>
      <c r="B1274" s="36" t="s">
        <v>4998</v>
      </c>
      <c r="C1274" s="36" t="str">
        <f>HYPERLINK("https://rhld.insurance.arkansas.gov/NPILookup?Npi=1952780108","1952780108")</f>
        <v>1952780108</v>
      </c>
      <c r="D1274" s="36" t="s">
        <v>33929</v>
      </c>
      <c r="E1274" s="36" t="s">
        <v>2</v>
      </c>
      <c r="F1274" s="36">
        <v>1</v>
      </c>
      <c r="G1274" s="36">
        <v>1</v>
      </c>
      <c r="H1274" s="36">
        <v>0</v>
      </c>
      <c r="I1274" s="37">
        <v>0</v>
      </c>
      <c r="J1274" s="36" t="s">
        <v>32679</v>
      </c>
      <c r="K1274" s="36" t="s">
        <v>14330</v>
      </c>
      <c r="L1274" s="36" t="s">
        <v>14330</v>
      </c>
      <c r="M1274">
        <v>1</v>
      </c>
      <c r="N1274" t="s">
        <v>14331</v>
      </c>
      <c r="O1274" t="s">
        <v>32633</v>
      </c>
    </row>
    <row r="1275" spans="1:15" x14ac:dyDescent="0.25">
      <c r="A1275" s="35" t="s">
        <v>4997</v>
      </c>
      <c r="B1275" s="36" t="s">
        <v>4998</v>
      </c>
      <c r="C1275" s="36" t="str">
        <f>HYPERLINK("https://rhld.insurance.arkansas.gov/NPILookup?Npi=1952806390","1952806390")</f>
        <v>1952806390</v>
      </c>
      <c r="D1275" s="36" t="s">
        <v>33930</v>
      </c>
      <c r="E1275" s="36" t="s">
        <v>2</v>
      </c>
      <c r="F1275" s="36">
        <v>1</v>
      </c>
      <c r="G1275" s="36">
        <v>1</v>
      </c>
      <c r="H1275" s="36">
        <v>0</v>
      </c>
      <c r="I1275" s="37">
        <v>0</v>
      </c>
      <c r="J1275" s="36" t="s">
        <v>32679</v>
      </c>
      <c r="K1275" s="36" t="s">
        <v>14330</v>
      </c>
      <c r="L1275" s="36" t="s">
        <v>14330</v>
      </c>
      <c r="M1275">
        <v>1</v>
      </c>
      <c r="N1275" t="s">
        <v>14331</v>
      </c>
      <c r="O1275" t="s">
        <v>32633</v>
      </c>
    </row>
    <row r="1276" spans="1:15" x14ac:dyDescent="0.25">
      <c r="A1276" s="35" t="s">
        <v>4997</v>
      </c>
      <c r="B1276" s="36" t="s">
        <v>4998</v>
      </c>
      <c r="C1276" s="36" t="str">
        <f>HYPERLINK("https://rhld.insurance.arkansas.gov/NPILookup?Npi=1962842492","1962842492")</f>
        <v>1962842492</v>
      </c>
      <c r="D1276" s="36" t="s">
        <v>33931</v>
      </c>
      <c r="E1276" s="36" t="s">
        <v>2</v>
      </c>
      <c r="F1276" s="36">
        <v>1</v>
      </c>
      <c r="G1276" s="36">
        <v>1</v>
      </c>
      <c r="H1276" s="36">
        <v>0</v>
      </c>
      <c r="I1276" s="37">
        <v>0</v>
      </c>
      <c r="J1276" s="36" t="s">
        <v>32679</v>
      </c>
      <c r="K1276" s="36" t="s">
        <v>14330</v>
      </c>
      <c r="L1276" s="36" t="s">
        <v>14330</v>
      </c>
      <c r="M1276">
        <v>3</v>
      </c>
      <c r="N1276" t="s">
        <v>14331</v>
      </c>
      <c r="O1276" t="s">
        <v>32633</v>
      </c>
    </row>
    <row r="1277" spans="1:15" x14ac:dyDescent="0.25">
      <c r="A1277" s="35" t="s">
        <v>4997</v>
      </c>
      <c r="B1277" s="36" t="s">
        <v>4998</v>
      </c>
      <c r="C1277" s="36" t="str">
        <f>HYPERLINK("https://rhld.insurance.arkansas.gov/NPILookup?Npi=1962848010","1962848010")</f>
        <v>1962848010</v>
      </c>
      <c r="D1277" s="36" t="s">
        <v>33932</v>
      </c>
      <c r="E1277" s="36" t="s">
        <v>1</v>
      </c>
      <c r="F1277" s="36">
        <v>1</v>
      </c>
      <c r="G1277" s="36">
        <v>3</v>
      </c>
      <c r="H1277" s="36">
        <v>0</v>
      </c>
      <c r="I1277" s="37">
        <v>0</v>
      </c>
      <c r="J1277" s="36" t="s">
        <v>32654</v>
      </c>
      <c r="K1277" s="36" t="s">
        <v>14330</v>
      </c>
      <c r="L1277" s="36" t="s">
        <v>14330</v>
      </c>
      <c r="M1277">
        <v>2</v>
      </c>
      <c r="N1277" t="s">
        <v>14331</v>
      </c>
      <c r="O1277" t="s">
        <v>32633</v>
      </c>
    </row>
    <row r="1278" spans="1:15" x14ac:dyDescent="0.25">
      <c r="A1278" s="35" t="s">
        <v>4997</v>
      </c>
      <c r="B1278" s="36" t="s">
        <v>4998</v>
      </c>
      <c r="C1278" s="36" t="str">
        <f>HYPERLINK("https://rhld.insurance.arkansas.gov/NPILookup?Npi=1972544138","1972544138")</f>
        <v>1972544138</v>
      </c>
      <c r="D1278" s="36" t="s">
        <v>33933</v>
      </c>
      <c r="E1278" s="36" t="s">
        <v>1</v>
      </c>
      <c r="F1278" s="36">
        <v>1</v>
      </c>
      <c r="G1278" s="36">
        <v>2</v>
      </c>
      <c r="H1278" s="36">
        <v>0</v>
      </c>
      <c r="I1278" s="37">
        <v>0</v>
      </c>
      <c r="J1278" s="36" t="s">
        <v>32654</v>
      </c>
      <c r="K1278" s="36" t="s">
        <v>14330</v>
      </c>
      <c r="L1278" s="36" t="s">
        <v>14330</v>
      </c>
      <c r="M1278">
        <v>1</v>
      </c>
      <c r="N1278" t="s">
        <v>14331</v>
      </c>
      <c r="O1278" t="s">
        <v>32633</v>
      </c>
    </row>
    <row r="1279" spans="1:15" x14ac:dyDescent="0.25">
      <c r="A1279" s="35" t="s">
        <v>4997</v>
      </c>
      <c r="B1279" s="36" t="s">
        <v>4998</v>
      </c>
      <c r="C1279" s="36" t="str">
        <f>HYPERLINK("https://rhld.insurance.arkansas.gov/NPILookup?Npi=1982194239","1982194239")</f>
        <v>1982194239</v>
      </c>
      <c r="D1279" s="36" t="s">
        <v>33934</v>
      </c>
      <c r="E1279" s="36" t="s">
        <v>2</v>
      </c>
      <c r="F1279" s="36">
        <v>1</v>
      </c>
      <c r="G1279" s="36">
        <v>1</v>
      </c>
      <c r="H1279" s="36">
        <v>0</v>
      </c>
      <c r="I1279" s="37">
        <v>0</v>
      </c>
      <c r="J1279" s="36" t="s">
        <v>32679</v>
      </c>
      <c r="K1279" s="36" t="s">
        <v>14330</v>
      </c>
      <c r="L1279" s="36" t="s">
        <v>14330</v>
      </c>
      <c r="M1279">
        <v>1</v>
      </c>
      <c r="N1279" t="s">
        <v>14331</v>
      </c>
      <c r="O1279" t="s">
        <v>32633</v>
      </c>
    </row>
    <row r="1280" spans="1:15" x14ac:dyDescent="0.25">
      <c r="A1280" s="35" t="s">
        <v>4997</v>
      </c>
      <c r="B1280" s="36" t="s">
        <v>4998</v>
      </c>
      <c r="C1280" s="36" t="str">
        <f>HYPERLINK("https://rhld.insurance.arkansas.gov/NPILookup?Npi=1992713234","1992713234")</f>
        <v>1992713234</v>
      </c>
      <c r="D1280" s="36" t="s">
        <v>33935</v>
      </c>
      <c r="E1280" s="36" t="s">
        <v>2</v>
      </c>
      <c r="F1280" s="36">
        <v>1</v>
      </c>
      <c r="G1280" s="36">
        <v>1</v>
      </c>
      <c r="H1280" s="36">
        <v>0</v>
      </c>
      <c r="I1280" s="37">
        <v>0</v>
      </c>
      <c r="J1280" s="36" t="s">
        <v>32679</v>
      </c>
      <c r="K1280" s="36" t="s">
        <v>14330</v>
      </c>
      <c r="L1280" s="36" t="s">
        <v>14330</v>
      </c>
      <c r="M1280">
        <v>3</v>
      </c>
      <c r="N1280" t="s">
        <v>14331</v>
      </c>
      <c r="O1280" t="s">
        <v>32633</v>
      </c>
    </row>
    <row r="1281" spans="1:15" x14ac:dyDescent="0.25">
      <c r="A1281" s="35" t="s">
        <v>4997</v>
      </c>
      <c r="B1281" s="36" t="s">
        <v>4998</v>
      </c>
      <c r="C1281" s="36" t="str">
        <f>HYPERLINK("https://rhld.insurance.arkansas.gov/NPILookup?Npi=1992721880","1992721880")</f>
        <v>1992721880</v>
      </c>
      <c r="D1281" s="36" t="s">
        <v>33936</v>
      </c>
      <c r="E1281" s="36" t="s">
        <v>1</v>
      </c>
      <c r="F1281" s="36">
        <v>1</v>
      </c>
      <c r="G1281" s="36">
        <v>3</v>
      </c>
      <c r="H1281" s="36">
        <v>0</v>
      </c>
      <c r="I1281" s="37">
        <v>0</v>
      </c>
      <c r="J1281" s="36" t="s">
        <v>32654</v>
      </c>
      <c r="K1281" s="36" t="s">
        <v>14330</v>
      </c>
      <c r="L1281" s="36" t="s">
        <v>14330</v>
      </c>
      <c r="M1281">
        <v>2</v>
      </c>
      <c r="N1281" t="s">
        <v>14331</v>
      </c>
      <c r="O1281" t="s">
        <v>32633</v>
      </c>
    </row>
    <row r="1282" spans="1:15" x14ac:dyDescent="0.25">
      <c r="A1282" s="35" t="s">
        <v>4997</v>
      </c>
      <c r="B1282" s="36" t="s">
        <v>4998</v>
      </c>
      <c r="C1282" s="36" t="str">
        <f>HYPERLINK("https://rhld.insurance.arkansas.gov/NPILookup?Npi=1992740393","1992740393")</f>
        <v>1992740393</v>
      </c>
      <c r="D1282" s="36" t="s">
        <v>33937</v>
      </c>
      <c r="E1282" s="36" t="s">
        <v>1</v>
      </c>
      <c r="F1282" s="36">
        <v>1</v>
      </c>
      <c r="G1282" s="36">
        <v>2</v>
      </c>
      <c r="H1282" s="36">
        <v>0</v>
      </c>
      <c r="I1282" s="37">
        <v>0</v>
      </c>
      <c r="J1282" s="36" t="s">
        <v>32654</v>
      </c>
      <c r="K1282" s="36" t="s">
        <v>14330</v>
      </c>
      <c r="L1282" s="36" t="s">
        <v>14330</v>
      </c>
      <c r="M1282">
        <v>3</v>
      </c>
      <c r="N1282" t="s">
        <v>14331</v>
      </c>
      <c r="O1282" t="s">
        <v>32633</v>
      </c>
    </row>
    <row r="1283" spans="1:15" x14ac:dyDescent="0.25">
      <c r="A1283" s="35" t="s">
        <v>5124</v>
      </c>
      <c r="B1283" s="36" t="s">
        <v>5125</v>
      </c>
      <c r="C1283" s="36" t="str">
        <f>HYPERLINK("https://rhld.insurance.arkansas.gov/NPILookup?Npi=1013170067","1013170067")</f>
        <v>1013170067</v>
      </c>
      <c r="D1283" s="36" t="s">
        <v>33938</v>
      </c>
      <c r="E1283" s="36" t="s">
        <v>1</v>
      </c>
      <c r="F1283" s="36">
        <v>1</v>
      </c>
      <c r="G1283" s="36">
        <v>3</v>
      </c>
      <c r="H1283" s="36">
        <v>0</v>
      </c>
      <c r="I1283" s="37">
        <v>0</v>
      </c>
      <c r="J1283" s="36" t="s">
        <v>32654</v>
      </c>
      <c r="K1283" s="36" t="s">
        <v>14330</v>
      </c>
      <c r="L1283" s="36" t="s">
        <v>14330</v>
      </c>
      <c r="M1283">
        <v>2</v>
      </c>
      <c r="N1283" t="s">
        <v>14331</v>
      </c>
      <c r="O1283" t="s">
        <v>32633</v>
      </c>
    </row>
    <row r="1284" spans="1:15" x14ac:dyDescent="0.25">
      <c r="A1284" s="35" t="s">
        <v>5124</v>
      </c>
      <c r="B1284" s="36" t="s">
        <v>5125</v>
      </c>
      <c r="C1284" s="36" t="str">
        <f>HYPERLINK("https://rhld.insurance.arkansas.gov/NPILookup?Npi=1124016662","1124016662")</f>
        <v>1124016662</v>
      </c>
      <c r="D1284" s="36" t="s">
        <v>33939</v>
      </c>
      <c r="E1284" s="36" t="s">
        <v>2</v>
      </c>
      <c r="F1284" s="36">
        <v>1</v>
      </c>
      <c r="G1284" s="36">
        <v>2</v>
      </c>
      <c r="H1284" s="36">
        <v>0</v>
      </c>
      <c r="I1284" s="37">
        <v>0</v>
      </c>
      <c r="J1284" s="36" t="s">
        <v>32679</v>
      </c>
      <c r="K1284" s="36" t="s">
        <v>14330</v>
      </c>
      <c r="L1284" s="36" t="s">
        <v>14330</v>
      </c>
      <c r="M1284">
        <v>2</v>
      </c>
      <c r="N1284" t="s">
        <v>14331</v>
      </c>
      <c r="O1284" t="s">
        <v>14333</v>
      </c>
    </row>
    <row r="1285" spans="1:15" x14ac:dyDescent="0.25">
      <c r="A1285" s="35" t="s">
        <v>5124</v>
      </c>
      <c r="B1285" s="36" t="s">
        <v>5125</v>
      </c>
      <c r="C1285" s="36" t="str">
        <f>HYPERLINK("https://rhld.insurance.arkansas.gov/NPILookup?Npi=1134477037","1134477037")</f>
        <v>1134477037</v>
      </c>
      <c r="D1285" s="36" t="s">
        <v>33940</v>
      </c>
      <c r="E1285" s="36" t="s">
        <v>2</v>
      </c>
      <c r="F1285" s="36">
        <v>1</v>
      </c>
      <c r="G1285" s="36">
        <v>2</v>
      </c>
      <c r="H1285" s="36">
        <v>0</v>
      </c>
      <c r="I1285" s="37">
        <v>0</v>
      </c>
      <c r="J1285" s="36" t="s">
        <v>32679</v>
      </c>
      <c r="K1285" s="36" t="s">
        <v>14330</v>
      </c>
      <c r="L1285" s="36" t="s">
        <v>14330</v>
      </c>
      <c r="M1285">
        <v>2</v>
      </c>
      <c r="N1285" t="s">
        <v>14331</v>
      </c>
      <c r="O1285" t="s">
        <v>14333</v>
      </c>
    </row>
    <row r="1286" spans="1:15" x14ac:dyDescent="0.25">
      <c r="A1286" s="35" t="s">
        <v>5124</v>
      </c>
      <c r="B1286" s="36" t="s">
        <v>5125</v>
      </c>
      <c r="C1286" s="36" t="str">
        <f>HYPERLINK("https://rhld.insurance.arkansas.gov/NPILookup?Npi=1346263514","1346263514")</f>
        <v>1346263514</v>
      </c>
      <c r="D1286" s="36" t="s">
        <v>33941</v>
      </c>
      <c r="E1286" s="36" t="s">
        <v>2</v>
      </c>
      <c r="F1286" s="36">
        <v>1</v>
      </c>
      <c r="G1286" s="36">
        <v>2</v>
      </c>
      <c r="H1286" s="36">
        <v>0</v>
      </c>
      <c r="I1286" s="37">
        <v>0</v>
      </c>
      <c r="J1286" s="36" t="s">
        <v>32679</v>
      </c>
      <c r="K1286" s="36" t="s">
        <v>14330</v>
      </c>
      <c r="L1286" s="36" t="s">
        <v>14330</v>
      </c>
      <c r="M1286">
        <v>0</v>
      </c>
      <c r="N1286" t="s">
        <v>14331</v>
      </c>
      <c r="O1286" t="s">
        <v>14333</v>
      </c>
    </row>
    <row r="1287" spans="1:15" x14ac:dyDescent="0.25">
      <c r="A1287" s="35" t="s">
        <v>5124</v>
      </c>
      <c r="B1287" s="36" t="s">
        <v>5125</v>
      </c>
      <c r="C1287" s="36" t="str">
        <f>HYPERLINK("https://rhld.insurance.arkansas.gov/NPILookup?Npi=1396108692","1396108692")</f>
        <v>1396108692</v>
      </c>
      <c r="D1287" s="36" t="s">
        <v>33942</v>
      </c>
      <c r="E1287" s="36" t="s">
        <v>2</v>
      </c>
      <c r="F1287" s="36">
        <v>1</v>
      </c>
      <c r="G1287" s="36">
        <v>0</v>
      </c>
      <c r="H1287" s="36">
        <v>0</v>
      </c>
      <c r="I1287" s="37">
        <v>0</v>
      </c>
      <c r="J1287" s="36" t="s">
        <v>32679</v>
      </c>
      <c r="K1287" s="36" t="s">
        <v>14330</v>
      </c>
      <c r="L1287" s="36" t="s">
        <v>14330</v>
      </c>
      <c r="M1287">
        <v>2</v>
      </c>
      <c r="N1287" t="s">
        <v>14331</v>
      </c>
      <c r="O1287" t="s">
        <v>32633</v>
      </c>
    </row>
    <row r="1288" spans="1:15" x14ac:dyDescent="0.25">
      <c r="A1288" s="35" t="s">
        <v>5124</v>
      </c>
      <c r="B1288" s="36" t="s">
        <v>5125</v>
      </c>
      <c r="C1288" s="36" t="str">
        <f>HYPERLINK("https://rhld.insurance.arkansas.gov/NPILookup?Npi=1497716575","1497716575")</f>
        <v>1497716575</v>
      </c>
      <c r="D1288" s="36" t="s">
        <v>33943</v>
      </c>
      <c r="E1288" s="36" t="s">
        <v>1</v>
      </c>
      <c r="F1288" s="36">
        <v>1</v>
      </c>
      <c r="G1288" s="36">
        <v>2</v>
      </c>
      <c r="H1288" s="36">
        <v>0</v>
      </c>
      <c r="I1288" s="37">
        <v>0</v>
      </c>
      <c r="J1288" s="36" t="s">
        <v>32654</v>
      </c>
      <c r="K1288" s="36" t="s">
        <v>14330</v>
      </c>
      <c r="L1288" s="36" t="s">
        <v>14330</v>
      </c>
      <c r="M1288">
        <v>3</v>
      </c>
      <c r="N1288" t="s">
        <v>14331</v>
      </c>
      <c r="O1288" t="s">
        <v>32633</v>
      </c>
    </row>
    <row r="1289" spans="1:15" x14ac:dyDescent="0.25">
      <c r="A1289" s="35" t="s">
        <v>5124</v>
      </c>
      <c r="B1289" s="36" t="s">
        <v>5125</v>
      </c>
      <c r="C1289" s="36" t="str">
        <f>HYPERLINK("https://rhld.insurance.arkansas.gov/NPILookup?Npi=1518030535","1518030535")</f>
        <v>1518030535</v>
      </c>
      <c r="D1289" s="36" t="s">
        <v>33595</v>
      </c>
      <c r="E1289" s="36" t="s">
        <v>1</v>
      </c>
      <c r="F1289" s="36">
        <v>1</v>
      </c>
      <c r="G1289" s="36">
        <v>3</v>
      </c>
      <c r="H1289" s="36">
        <v>0</v>
      </c>
      <c r="I1289" s="37">
        <v>0</v>
      </c>
      <c r="J1289" s="36" t="s">
        <v>32654</v>
      </c>
      <c r="K1289" s="36" t="s">
        <v>14330</v>
      </c>
      <c r="L1289" s="36" t="s">
        <v>14330</v>
      </c>
      <c r="M1289">
        <v>3</v>
      </c>
      <c r="N1289" t="s">
        <v>14331</v>
      </c>
      <c r="O1289" t="s">
        <v>32633</v>
      </c>
    </row>
    <row r="1290" spans="1:15" x14ac:dyDescent="0.25">
      <c r="A1290" s="35" t="s">
        <v>5124</v>
      </c>
      <c r="B1290" s="36" t="s">
        <v>5125</v>
      </c>
      <c r="C1290" s="36" t="str">
        <f>HYPERLINK("https://rhld.insurance.arkansas.gov/NPILookup?Npi=1558758128","1558758128")</f>
        <v>1558758128</v>
      </c>
      <c r="D1290" s="36" t="s">
        <v>33944</v>
      </c>
      <c r="E1290" s="36" t="s">
        <v>1</v>
      </c>
      <c r="F1290" s="36">
        <v>1</v>
      </c>
      <c r="G1290" s="36">
        <v>3</v>
      </c>
      <c r="H1290" s="36">
        <v>0</v>
      </c>
      <c r="I1290" s="37">
        <v>0</v>
      </c>
      <c r="J1290" s="36" t="s">
        <v>32654</v>
      </c>
      <c r="K1290" s="36" t="s">
        <v>14330</v>
      </c>
      <c r="L1290" s="36" t="s">
        <v>14330</v>
      </c>
      <c r="M1290">
        <v>1</v>
      </c>
      <c r="N1290" t="s">
        <v>14331</v>
      </c>
      <c r="O1290" t="s">
        <v>32633</v>
      </c>
    </row>
    <row r="1291" spans="1:15" x14ac:dyDescent="0.25">
      <c r="A1291" s="35" t="s">
        <v>5124</v>
      </c>
      <c r="B1291" s="36" t="s">
        <v>5125</v>
      </c>
      <c r="C1291" s="36" t="str">
        <f>HYPERLINK("https://rhld.insurance.arkansas.gov/NPILookup?Npi=1588654370","1588654370")</f>
        <v>1588654370</v>
      </c>
      <c r="D1291" s="36" t="s">
        <v>33945</v>
      </c>
      <c r="E1291" s="36" t="s">
        <v>2</v>
      </c>
      <c r="F1291" s="36">
        <v>1</v>
      </c>
      <c r="G1291" s="36">
        <v>1</v>
      </c>
      <c r="H1291" s="36">
        <v>0</v>
      </c>
      <c r="I1291" s="37">
        <v>0</v>
      </c>
      <c r="J1291" s="36" t="s">
        <v>32679</v>
      </c>
      <c r="K1291" s="36" t="s">
        <v>14330</v>
      </c>
      <c r="L1291" s="36" t="s">
        <v>14330</v>
      </c>
      <c r="M1291">
        <v>2</v>
      </c>
      <c r="N1291" t="s">
        <v>14331</v>
      </c>
      <c r="O1291" t="s">
        <v>32633</v>
      </c>
    </row>
    <row r="1292" spans="1:15" x14ac:dyDescent="0.25">
      <c r="A1292" s="35" t="s">
        <v>5124</v>
      </c>
      <c r="B1292" s="36" t="s">
        <v>5125</v>
      </c>
      <c r="C1292" s="36" t="str">
        <f>HYPERLINK("https://rhld.insurance.arkansas.gov/NPILookup?Npi=1770553075","1770553075")</f>
        <v>1770553075</v>
      </c>
      <c r="D1292" s="36" t="s">
        <v>33946</v>
      </c>
      <c r="E1292" s="36" t="s">
        <v>1</v>
      </c>
      <c r="F1292" s="36">
        <v>1</v>
      </c>
      <c r="G1292" s="36">
        <v>2</v>
      </c>
      <c r="H1292" s="36">
        <v>0</v>
      </c>
      <c r="I1292" s="37">
        <v>0</v>
      </c>
      <c r="J1292" s="36" t="s">
        <v>32654</v>
      </c>
      <c r="K1292" s="36" t="s">
        <v>14330</v>
      </c>
      <c r="L1292" s="36" t="s">
        <v>14330</v>
      </c>
      <c r="M1292">
        <v>3</v>
      </c>
      <c r="N1292" t="s">
        <v>14331</v>
      </c>
      <c r="O1292" t="s">
        <v>32633</v>
      </c>
    </row>
    <row r="1293" spans="1:15" x14ac:dyDescent="0.25">
      <c r="A1293" s="35" t="s">
        <v>5124</v>
      </c>
      <c r="B1293" s="36" t="s">
        <v>5125</v>
      </c>
      <c r="C1293" s="36" t="str">
        <f>HYPERLINK("https://rhld.insurance.arkansas.gov/NPILookup?Npi=1851644256","1851644256")</f>
        <v>1851644256</v>
      </c>
      <c r="D1293" s="36" t="s">
        <v>33522</v>
      </c>
      <c r="E1293" s="36" t="s">
        <v>1</v>
      </c>
      <c r="F1293" s="36">
        <v>1</v>
      </c>
      <c r="G1293" s="36">
        <v>3</v>
      </c>
      <c r="H1293" s="36">
        <v>0</v>
      </c>
      <c r="I1293" s="37">
        <v>0</v>
      </c>
      <c r="J1293" s="36" t="s">
        <v>32654</v>
      </c>
      <c r="K1293" s="36" t="s">
        <v>14330</v>
      </c>
      <c r="L1293" s="36" t="s">
        <v>14330</v>
      </c>
      <c r="M1293">
        <v>2</v>
      </c>
      <c r="N1293" t="s">
        <v>14331</v>
      </c>
      <c r="O1293" t="s">
        <v>32633</v>
      </c>
    </row>
    <row r="1294" spans="1:15" x14ac:dyDescent="0.25">
      <c r="A1294" s="35" t="s">
        <v>5124</v>
      </c>
      <c r="B1294" s="36" t="s">
        <v>5125</v>
      </c>
      <c r="C1294" s="36" t="str">
        <f>HYPERLINK("https://rhld.insurance.arkansas.gov/NPILookup?Npi=1861464893","1861464893")</f>
        <v>1861464893</v>
      </c>
      <c r="D1294" s="36" t="s">
        <v>33947</v>
      </c>
      <c r="E1294" s="36" t="s">
        <v>2</v>
      </c>
      <c r="F1294" s="36">
        <v>1</v>
      </c>
      <c r="G1294" s="36">
        <v>2</v>
      </c>
      <c r="H1294" s="36">
        <v>0</v>
      </c>
      <c r="I1294" s="37">
        <v>0</v>
      </c>
      <c r="J1294" s="36" t="s">
        <v>32679</v>
      </c>
      <c r="K1294" s="36" t="s">
        <v>14330</v>
      </c>
      <c r="L1294" s="36" t="s">
        <v>14330</v>
      </c>
      <c r="M1294">
        <v>1</v>
      </c>
      <c r="N1294" t="s">
        <v>14331</v>
      </c>
      <c r="O1294" t="s">
        <v>14333</v>
      </c>
    </row>
    <row r="1295" spans="1:15" x14ac:dyDescent="0.25">
      <c r="A1295" s="35" t="s">
        <v>5124</v>
      </c>
      <c r="B1295" s="36" t="s">
        <v>5125</v>
      </c>
      <c r="C1295" s="36" t="str">
        <f>HYPERLINK("https://rhld.insurance.arkansas.gov/NPILookup?Npi=1871583054","1871583054")</f>
        <v>1871583054</v>
      </c>
      <c r="D1295" s="36" t="s">
        <v>33948</v>
      </c>
      <c r="E1295" s="36" t="s">
        <v>2</v>
      </c>
      <c r="F1295" s="36">
        <v>1</v>
      </c>
      <c r="G1295" s="36">
        <v>1</v>
      </c>
      <c r="H1295" s="36">
        <v>0</v>
      </c>
      <c r="I1295" s="37">
        <v>0</v>
      </c>
      <c r="J1295" s="36" t="s">
        <v>32679</v>
      </c>
      <c r="K1295" s="36" t="s">
        <v>14330</v>
      </c>
      <c r="L1295" s="36" t="s">
        <v>14330</v>
      </c>
      <c r="M1295">
        <v>0</v>
      </c>
      <c r="N1295" t="s">
        <v>14331</v>
      </c>
      <c r="O1295" t="s">
        <v>32633</v>
      </c>
    </row>
    <row r="1296" spans="1:15" x14ac:dyDescent="0.25">
      <c r="A1296" s="35" t="s">
        <v>5124</v>
      </c>
      <c r="B1296" s="36" t="s">
        <v>5125</v>
      </c>
      <c r="C1296" s="36" t="str">
        <f>HYPERLINK("https://rhld.insurance.arkansas.gov/NPILookup?Npi=1881128387","1881128387")</f>
        <v>1881128387</v>
      </c>
      <c r="D1296" s="36" t="s">
        <v>33949</v>
      </c>
      <c r="E1296" s="36" t="s">
        <v>1</v>
      </c>
      <c r="F1296" s="36">
        <v>1</v>
      </c>
      <c r="G1296" s="36">
        <v>0</v>
      </c>
      <c r="H1296" s="36">
        <v>0</v>
      </c>
      <c r="I1296" s="37">
        <v>0</v>
      </c>
      <c r="J1296" s="36" t="s">
        <v>32654</v>
      </c>
      <c r="K1296" s="36" t="s">
        <v>14330</v>
      </c>
      <c r="L1296" s="36" t="s">
        <v>14330</v>
      </c>
      <c r="M1296">
        <v>3</v>
      </c>
      <c r="N1296" t="s">
        <v>14331</v>
      </c>
      <c r="O1296" t="s">
        <v>32633</v>
      </c>
    </row>
    <row r="1297" spans="1:15" x14ac:dyDescent="0.25">
      <c r="A1297" s="35" t="s">
        <v>5124</v>
      </c>
      <c r="B1297" s="36" t="s">
        <v>5125</v>
      </c>
      <c r="C1297" s="36" t="str">
        <f>HYPERLINK("https://rhld.insurance.arkansas.gov/NPILookup?Npi=1881943256","1881943256")</f>
        <v>1881943256</v>
      </c>
      <c r="D1297" s="36" t="s">
        <v>33950</v>
      </c>
      <c r="E1297" s="36" t="s">
        <v>1</v>
      </c>
      <c r="F1297" s="36">
        <v>1</v>
      </c>
      <c r="G1297" s="36">
        <v>3</v>
      </c>
      <c r="H1297" s="36">
        <v>0</v>
      </c>
      <c r="I1297" s="37">
        <v>0</v>
      </c>
      <c r="J1297" s="36" t="s">
        <v>32654</v>
      </c>
      <c r="K1297" s="36" t="s">
        <v>14330</v>
      </c>
      <c r="L1297" s="36" t="s">
        <v>14330</v>
      </c>
      <c r="M1297">
        <v>3</v>
      </c>
      <c r="N1297" t="s">
        <v>14331</v>
      </c>
      <c r="O1297" t="s">
        <v>32633</v>
      </c>
    </row>
    <row r="1298" spans="1:15" x14ac:dyDescent="0.25">
      <c r="A1298" s="35" t="s">
        <v>5124</v>
      </c>
      <c r="B1298" s="36" t="s">
        <v>5125</v>
      </c>
      <c r="C1298" s="36" t="str">
        <f>HYPERLINK("https://rhld.insurance.arkansas.gov/NPILookup?Npi=1952523482","1952523482")</f>
        <v>1952523482</v>
      </c>
      <c r="D1298" s="36" t="s">
        <v>33951</v>
      </c>
      <c r="E1298" s="36" t="s">
        <v>1</v>
      </c>
      <c r="F1298" s="36">
        <v>1</v>
      </c>
      <c r="G1298" s="36">
        <v>3</v>
      </c>
      <c r="H1298" s="36">
        <v>0</v>
      </c>
      <c r="I1298" s="37">
        <v>0</v>
      </c>
      <c r="J1298" s="36" t="s">
        <v>32654</v>
      </c>
      <c r="K1298" s="36" t="s">
        <v>14330</v>
      </c>
      <c r="L1298" s="36" t="s">
        <v>14330</v>
      </c>
      <c r="M1298">
        <v>2</v>
      </c>
      <c r="N1298" t="s">
        <v>14331</v>
      </c>
      <c r="O1298" t="s">
        <v>32633</v>
      </c>
    </row>
    <row r="1299" spans="1:15" x14ac:dyDescent="0.25">
      <c r="A1299" s="35" t="s">
        <v>5161</v>
      </c>
      <c r="B1299" s="36" t="s">
        <v>5162</v>
      </c>
      <c r="C1299" s="36" t="str">
        <f>HYPERLINK("https://rhld.insurance.arkansas.gov/NPILookup?Npi=1023441250","1023441250")</f>
        <v>1023441250</v>
      </c>
      <c r="D1299" s="36" t="s">
        <v>33952</v>
      </c>
      <c r="E1299" s="36" t="s">
        <v>2</v>
      </c>
      <c r="F1299" s="36">
        <v>1</v>
      </c>
      <c r="G1299" s="36">
        <v>2</v>
      </c>
      <c r="H1299" s="36">
        <v>0</v>
      </c>
      <c r="I1299" s="37">
        <v>0</v>
      </c>
      <c r="J1299" s="36"/>
      <c r="K1299" s="36" t="s">
        <v>14330</v>
      </c>
      <c r="L1299" s="36" t="s">
        <v>14330</v>
      </c>
      <c r="M1299">
        <v>1</v>
      </c>
      <c r="N1299" t="s">
        <v>14331</v>
      </c>
      <c r="O1299" t="s">
        <v>14333</v>
      </c>
    </row>
    <row r="1300" spans="1:15" x14ac:dyDescent="0.25">
      <c r="A1300" s="35" t="s">
        <v>5161</v>
      </c>
      <c r="B1300" s="36" t="s">
        <v>5162</v>
      </c>
      <c r="C1300" s="36" t="str">
        <f>HYPERLINK("https://rhld.insurance.arkansas.gov/NPILookup?Npi=1043018757","1043018757")</f>
        <v>1043018757</v>
      </c>
      <c r="D1300" s="36" t="s">
        <v>33953</v>
      </c>
      <c r="E1300" s="36" t="s">
        <v>2</v>
      </c>
      <c r="F1300" s="36">
        <v>1</v>
      </c>
      <c r="G1300" s="36">
        <v>1</v>
      </c>
      <c r="H1300" s="36">
        <v>0</v>
      </c>
      <c r="I1300" s="37">
        <v>0</v>
      </c>
      <c r="J1300" s="36"/>
      <c r="K1300" s="36" t="s">
        <v>14330</v>
      </c>
      <c r="L1300" s="36" t="s">
        <v>14330</v>
      </c>
      <c r="M1300">
        <v>1</v>
      </c>
      <c r="N1300" t="s">
        <v>14331</v>
      </c>
      <c r="O1300" t="s">
        <v>32633</v>
      </c>
    </row>
    <row r="1301" spans="1:15" x14ac:dyDescent="0.25">
      <c r="A1301" s="35" t="s">
        <v>5161</v>
      </c>
      <c r="B1301" s="36" t="s">
        <v>5162</v>
      </c>
      <c r="C1301" s="36" t="str">
        <f>HYPERLINK("https://rhld.insurance.arkansas.gov/NPILookup?Npi=1063223865","1063223865")</f>
        <v>1063223865</v>
      </c>
      <c r="D1301" s="36" t="s">
        <v>33954</v>
      </c>
      <c r="E1301" s="36" t="s">
        <v>2</v>
      </c>
      <c r="F1301" s="36">
        <v>1</v>
      </c>
      <c r="G1301" s="36">
        <v>1</v>
      </c>
      <c r="H1301" s="36">
        <v>0</v>
      </c>
      <c r="I1301" s="37">
        <v>0</v>
      </c>
      <c r="J1301" s="36"/>
      <c r="K1301" s="36" t="s">
        <v>14330</v>
      </c>
      <c r="L1301" s="36" t="s">
        <v>14330</v>
      </c>
      <c r="M1301">
        <v>1</v>
      </c>
      <c r="N1301" t="s">
        <v>14331</v>
      </c>
      <c r="O1301" t="s">
        <v>32633</v>
      </c>
    </row>
    <row r="1302" spans="1:15" x14ac:dyDescent="0.25">
      <c r="A1302" s="35" t="s">
        <v>5161</v>
      </c>
      <c r="B1302" s="36" t="s">
        <v>5162</v>
      </c>
      <c r="C1302" s="36" t="str">
        <f>HYPERLINK("https://rhld.insurance.arkansas.gov/NPILookup?Npi=1063224954","1063224954")</f>
        <v>1063224954</v>
      </c>
      <c r="D1302" s="36" t="s">
        <v>33955</v>
      </c>
      <c r="E1302" s="36" t="s">
        <v>2</v>
      </c>
      <c r="F1302" s="36">
        <v>1</v>
      </c>
      <c r="G1302" s="36">
        <v>1</v>
      </c>
      <c r="H1302" s="36">
        <v>0</v>
      </c>
      <c r="I1302" s="37">
        <v>0</v>
      </c>
      <c r="J1302" s="36"/>
      <c r="K1302" s="36" t="s">
        <v>14330</v>
      </c>
      <c r="L1302" s="36" t="s">
        <v>14330</v>
      </c>
      <c r="M1302">
        <v>2</v>
      </c>
      <c r="N1302" t="s">
        <v>14331</v>
      </c>
      <c r="O1302" t="s">
        <v>32633</v>
      </c>
    </row>
    <row r="1303" spans="1:15" x14ac:dyDescent="0.25">
      <c r="A1303" s="35" t="s">
        <v>5161</v>
      </c>
      <c r="B1303" s="36" t="s">
        <v>5162</v>
      </c>
      <c r="C1303" s="36" t="str">
        <f>HYPERLINK("https://rhld.insurance.arkansas.gov/NPILookup?Npi=1073522546","1073522546")</f>
        <v>1073522546</v>
      </c>
      <c r="D1303" s="36" t="s">
        <v>33956</v>
      </c>
      <c r="E1303" s="36" t="s">
        <v>1</v>
      </c>
      <c r="F1303" s="36">
        <v>1</v>
      </c>
      <c r="G1303" s="36">
        <v>2</v>
      </c>
      <c r="H1303" s="36">
        <v>0</v>
      </c>
      <c r="I1303" s="37">
        <v>0</v>
      </c>
      <c r="J1303" s="36" t="s">
        <v>32654</v>
      </c>
      <c r="K1303" s="36" t="s">
        <v>14330</v>
      </c>
      <c r="L1303" s="36" t="s">
        <v>14330</v>
      </c>
      <c r="M1303">
        <v>2</v>
      </c>
      <c r="N1303" t="s">
        <v>14331</v>
      </c>
      <c r="O1303" t="s">
        <v>32633</v>
      </c>
    </row>
    <row r="1304" spans="1:15" x14ac:dyDescent="0.25">
      <c r="A1304" s="35" t="s">
        <v>5161</v>
      </c>
      <c r="B1304" s="36" t="s">
        <v>5162</v>
      </c>
      <c r="C1304" s="36" t="str">
        <f>HYPERLINK("https://rhld.insurance.arkansas.gov/NPILookup?Npi=1083436117","1083436117")</f>
        <v>1083436117</v>
      </c>
      <c r="D1304" s="36" t="s">
        <v>33957</v>
      </c>
      <c r="E1304" s="36" t="s">
        <v>2</v>
      </c>
      <c r="F1304" s="36">
        <v>1</v>
      </c>
      <c r="G1304" s="36">
        <v>2</v>
      </c>
      <c r="H1304" s="36">
        <v>0</v>
      </c>
      <c r="I1304" s="37">
        <v>0</v>
      </c>
      <c r="J1304" s="36"/>
      <c r="K1304" s="36" t="s">
        <v>14330</v>
      </c>
      <c r="L1304" s="36" t="s">
        <v>14330</v>
      </c>
      <c r="M1304">
        <v>1</v>
      </c>
      <c r="N1304" t="s">
        <v>14331</v>
      </c>
      <c r="O1304" t="s">
        <v>14333</v>
      </c>
    </row>
    <row r="1305" spans="1:15" x14ac:dyDescent="0.25">
      <c r="A1305" s="35" t="s">
        <v>5161</v>
      </c>
      <c r="B1305" s="36" t="s">
        <v>5162</v>
      </c>
      <c r="C1305" s="36" t="str">
        <f>HYPERLINK("https://rhld.insurance.arkansas.gov/NPILookup?Npi=1093537813","1093537813")</f>
        <v>1093537813</v>
      </c>
      <c r="D1305" s="36" t="s">
        <v>33958</v>
      </c>
      <c r="E1305" s="36" t="s">
        <v>2</v>
      </c>
      <c r="F1305" s="36">
        <v>1</v>
      </c>
      <c r="G1305" s="36">
        <v>1</v>
      </c>
      <c r="H1305" s="36">
        <v>0</v>
      </c>
      <c r="I1305" s="37">
        <v>0</v>
      </c>
      <c r="J1305" s="36"/>
      <c r="K1305" s="36" t="s">
        <v>14330</v>
      </c>
      <c r="L1305" s="36" t="s">
        <v>14330</v>
      </c>
      <c r="M1305">
        <v>1</v>
      </c>
      <c r="N1305" t="s">
        <v>14331</v>
      </c>
      <c r="O1305" t="s">
        <v>32633</v>
      </c>
    </row>
    <row r="1306" spans="1:15" x14ac:dyDescent="0.25">
      <c r="A1306" s="35" t="s">
        <v>5161</v>
      </c>
      <c r="B1306" s="36" t="s">
        <v>5162</v>
      </c>
      <c r="C1306" s="36" t="str">
        <f>HYPERLINK("https://rhld.insurance.arkansas.gov/NPILookup?Npi=1124836580","1124836580")</f>
        <v>1124836580</v>
      </c>
      <c r="D1306" s="36" t="s">
        <v>33959</v>
      </c>
      <c r="E1306" s="36" t="s">
        <v>2</v>
      </c>
      <c r="F1306" s="36">
        <v>1</v>
      </c>
      <c r="G1306" s="36">
        <v>1</v>
      </c>
      <c r="H1306" s="36">
        <v>0</v>
      </c>
      <c r="I1306" s="37">
        <v>0</v>
      </c>
      <c r="J1306" s="36"/>
      <c r="K1306" s="36" t="s">
        <v>14330</v>
      </c>
      <c r="L1306" s="36" t="s">
        <v>14330</v>
      </c>
      <c r="M1306">
        <v>1</v>
      </c>
      <c r="N1306" t="s">
        <v>14331</v>
      </c>
      <c r="O1306" t="s">
        <v>32633</v>
      </c>
    </row>
    <row r="1307" spans="1:15" x14ac:dyDescent="0.25">
      <c r="A1307" s="35" t="s">
        <v>5161</v>
      </c>
      <c r="B1307" s="36" t="s">
        <v>5162</v>
      </c>
      <c r="C1307" s="36" t="str">
        <f>HYPERLINK("https://rhld.insurance.arkansas.gov/NPILookup?Npi=1134479702","1134479702")</f>
        <v>1134479702</v>
      </c>
      <c r="D1307" s="36" t="s">
        <v>33960</v>
      </c>
      <c r="E1307" s="36" t="s">
        <v>2</v>
      </c>
      <c r="F1307" s="36">
        <v>1</v>
      </c>
      <c r="G1307" s="36">
        <v>1</v>
      </c>
      <c r="H1307" s="36">
        <v>0</v>
      </c>
      <c r="I1307" s="37">
        <v>0</v>
      </c>
      <c r="J1307" s="36"/>
      <c r="K1307" s="36" t="s">
        <v>14330</v>
      </c>
      <c r="L1307" s="36" t="s">
        <v>14330</v>
      </c>
      <c r="M1307">
        <v>1</v>
      </c>
      <c r="N1307" t="s">
        <v>14331</v>
      </c>
      <c r="O1307" t="s">
        <v>32633</v>
      </c>
    </row>
    <row r="1308" spans="1:15" x14ac:dyDescent="0.25">
      <c r="A1308" s="35" t="s">
        <v>5161</v>
      </c>
      <c r="B1308" s="36" t="s">
        <v>5162</v>
      </c>
      <c r="C1308" s="36" t="str">
        <f>HYPERLINK("https://rhld.insurance.arkansas.gov/NPILookup?Npi=1134942386","1134942386")</f>
        <v>1134942386</v>
      </c>
      <c r="D1308" s="36" t="s">
        <v>33961</v>
      </c>
      <c r="E1308" s="36" t="s">
        <v>2</v>
      </c>
      <c r="F1308" s="36">
        <v>1</v>
      </c>
      <c r="G1308" s="36">
        <v>1</v>
      </c>
      <c r="H1308" s="36">
        <v>0</v>
      </c>
      <c r="I1308" s="37">
        <v>0</v>
      </c>
      <c r="J1308" s="36"/>
      <c r="K1308" s="36" t="s">
        <v>14330</v>
      </c>
      <c r="L1308" s="36" t="s">
        <v>14330</v>
      </c>
      <c r="M1308">
        <v>1</v>
      </c>
      <c r="N1308" t="s">
        <v>14331</v>
      </c>
      <c r="O1308" t="s">
        <v>32633</v>
      </c>
    </row>
    <row r="1309" spans="1:15" x14ac:dyDescent="0.25">
      <c r="A1309" s="35" t="s">
        <v>5161</v>
      </c>
      <c r="B1309" s="36" t="s">
        <v>5162</v>
      </c>
      <c r="C1309" s="36" t="str">
        <f>HYPERLINK("https://rhld.insurance.arkansas.gov/NPILookup?Npi=1134993025","1134993025")</f>
        <v>1134993025</v>
      </c>
      <c r="D1309" s="36" t="s">
        <v>33962</v>
      </c>
      <c r="E1309" s="36" t="s">
        <v>2</v>
      </c>
      <c r="F1309" s="36">
        <v>1</v>
      </c>
      <c r="G1309" s="36">
        <v>1</v>
      </c>
      <c r="H1309" s="36">
        <v>0</v>
      </c>
      <c r="I1309" s="37">
        <v>0</v>
      </c>
      <c r="J1309" s="36"/>
      <c r="K1309" s="36" t="s">
        <v>14330</v>
      </c>
      <c r="L1309" s="36" t="s">
        <v>14330</v>
      </c>
      <c r="M1309">
        <v>2</v>
      </c>
      <c r="N1309" t="s">
        <v>14331</v>
      </c>
      <c r="O1309" t="s">
        <v>32633</v>
      </c>
    </row>
    <row r="1310" spans="1:15" x14ac:dyDescent="0.25">
      <c r="A1310" s="35" t="s">
        <v>5161</v>
      </c>
      <c r="B1310" s="36" t="s">
        <v>5162</v>
      </c>
      <c r="C1310" s="36" t="str">
        <f>HYPERLINK("https://rhld.insurance.arkansas.gov/NPILookup?Npi=1144932922","1144932922")</f>
        <v>1144932922</v>
      </c>
      <c r="D1310" s="36" t="s">
        <v>33963</v>
      </c>
      <c r="E1310" s="36" t="s">
        <v>1</v>
      </c>
      <c r="F1310" s="36">
        <v>1</v>
      </c>
      <c r="G1310" s="36">
        <v>2</v>
      </c>
      <c r="H1310" s="36">
        <v>0</v>
      </c>
      <c r="I1310" s="37">
        <v>0</v>
      </c>
      <c r="J1310" s="36" t="s">
        <v>32654</v>
      </c>
      <c r="K1310" s="36" t="s">
        <v>14330</v>
      </c>
      <c r="L1310" s="36" t="s">
        <v>14330</v>
      </c>
      <c r="M1310">
        <v>2</v>
      </c>
      <c r="N1310" t="s">
        <v>14331</v>
      </c>
      <c r="O1310" t="s">
        <v>32633</v>
      </c>
    </row>
    <row r="1311" spans="1:15" x14ac:dyDescent="0.25">
      <c r="A1311" s="35" t="s">
        <v>5161</v>
      </c>
      <c r="B1311" s="36" t="s">
        <v>5162</v>
      </c>
      <c r="C1311" s="36" t="str">
        <f>HYPERLINK("https://rhld.insurance.arkansas.gov/NPILookup?Npi=1164100905","1164100905")</f>
        <v>1164100905</v>
      </c>
      <c r="D1311" s="36" t="s">
        <v>33964</v>
      </c>
      <c r="E1311" s="36" t="s">
        <v>2</v>
      </c>
      <c r="F1311" s="36">
        <v>1</v>
      </c>
      <c r="G1311" s="36">
        <v>2</v>
      </c>
      <c r="H1311" s="36">
        <v>0</v>
      </c>
      <c r="I1311" s="37">
        <v>0</v>
      </c>
      <c r="J1311" s="36"/>
      <c r="K1311" s="36" t="s">
        <v>14330</v>
      </c>
      <c r="L1311" s="36" t="s">
        <v>14330</v>
      </c>
      <c r="M1311">
        <v>1</v>
      </c>
      <c r="N1311" t="s">
        <v>14331</v>
      </c>
      <c r="O1311" t="s">
        <v>14333</v>
      </c>
    </row>
    <row r="1312" spans="1:15" x14ac:dyDescent="0.25">
      <c r="A1312" s="35" t="s">
        <v>5161</v>
      </c>
      <c r="B1312" s="36" t="s">
        <v>5162</v>
      </c>
      <c r="C1312" s="36" t="str">
        <f>HYPERLINK("https://rhld.insurance.arkansas.gov/NPILookup?Npi=1164248183","1164248183")</f>
        <v>1164248183</v>
      </c>
      <c r="D1312" s="36" t="s">
        <v>33965</v>
      </c>
      <c r="E1312" s="36" t="s">
        <v>2</v>
      </c>
      <c r="F1312" s="36">
        <v>1</v>
      </c>
      <c r="G1312" s="36">
        <v>1</v>
      </c>
      <c r="H1312" s="36">
        <v>0</v>
      </c>
      <c r="I1312" s="37">
        <v>0</v>
      </c>
      <c r="J1312" s="36"/>
      <c r="K1312" s="36" t="s">
        <v>14330</v>
      </c>
      <c r="L1312" s="36" t="s">
        <v>14330</v>
      </c>
      <c r="M1312">
        <v>0</v>
      </c>
      <c r="N1312" t="s">
        <v>14331</v>
      </c>
      <c r="O1312" t="s">
        <v>32633</v>
      </c>
    </row>
    <row r="1313" spans="1:15" x14ac:dyDescent="0.25">
      <c r="A1313" s="35" t="s">
        <v>5161</v>
      </c>
      <c r="B1313" s="36" t="s">
        <v>5162</v>
      </c>
      <c r="C1313" s="36" t="str">
        <f>HYPERLINK("https://rhld.insurance.arkansas.gov/NPILookup?Npi=1164556296","1164556296")</f>
        <v>1164556296</v>
      </c>
      <c r="D1313" s="36" t="s">
        <v>33966</v>
      </c>
      <c r="E1313" s="36" t="s">
        <v>2</v>
      </c>
      <c r="F1313" s="36">
        <v>1</v>
      </c>
      <c r="G1313" s="36">
        <v>0</v>
      </c>
      <c r="H1313" s="36">
        <v>0</v>
      </c>
      <c r="I1313" s="37">
        <v>0</v>
      </c>
      <c r="J1313" s="36" t="s">
        <v>32679</v>
      </c>
      <c r="K1313" s="36" t="s">
        <v>14330</v>
      </c>
      <c r="L1313" s="36" t="s">
        <v>14330</v>
      </c>
      <c r="M1313">
        <v>2</v>
      </c>
      <c r="N1313" t="s">
        <v>14331</v>
      </c>
      <c r="O1313" t="s">
        <v>32633</v>
      </c>
    </row>
    <row r="1314" spans="1:15" x14ac:dyDescent="0.25">
      <c r="A1314" s="35" t="s">
        <v>5161</v>
      </c>
      <c r="B1314" s="36" t="s">
        <v>5162</v>
      </c>
      <c r="C1314" s="36" t="str">
        <f>HYPERLINK("https://rhld.insurance.arkansas.gov/NPILookup?Npi=1164727129","1164727129")</f>
        <v>1164727129</v>
      </c>
      <c r="D1314" s="36" t="s">
        <v>33967</v>
      </c>
      <c r="E1314" s="36" t="s">
        <v>2</v>
      </c>
      <c r="F1314" s="36">
        <v>1</v>
      </c>
      <c r="G1314" s="36">
        <v>2</v>
      </c>
      <c r="H1314" s="36">
        <v>0</v>
      </c>
      <c r="I1314" s="37">
        <v>0</v>
      </c>
      <c r="J1314" s="36"/>
      <c r="K1314" s="36" t="s">
        <v>14330</v>
      </c>
      <c r="L1314" s="36" t="s">
        <v>14330</v>
      </c>
      <c r="M1314">
        <v>1</v>
      </c>
      <c r="N1314" t="s">
        <v>14331</v>
      </c>
      <c r="O1314" t="s">
        <v>14333</v>
      </c>
    </row>
    <row r="1315" spans="1:15" x14ac:dyDescent="0.25">
      <c r="A1315" s="35" t="s">
        <v>5161</v>
      </c>
      <c r="B1315" s="36" t="s">
        <v>5162</v>
      </c>
      <c r="C1315" s="36" t="str">
        <f>HYPERLINK("https://rhld.insurance.arkansas.gov/NPILookup?Npi=1184343329","1184343329")</f>
        <v>1184343329</v>
      </c>
      <c r="D1315" s="36" t="s">
        <v>33968</v>
      </c>
      <c r="E1315" s="36" t="s">
        <v>2</v>
      </c>
      <c r="F1315" s="36">
        <v>1</v>
      </c>
      <c r="G1315" s="36">
        <v>1</v>
      </c>
      <c r="H1315" s="36">
        <v>0</v>
      </c>
      <c r="I1315" s="37">
        <v>0</v>
      </c>
      <c r="J1315" s="36" t="s">
        <v>32679</v>
      </c>
      <c r="K1315" s="36" t="s">
        <v>14330</v>
      </c>
      <c r="L1315" s="36" t="s">
        <v>14330</v>
      </c>
      <c r="M1315">
        <v>2</v>
      </c>
      <c r="N1315" t="s">
        <v>14331</v>
      </c>
      <c r="O1315" t="s">
        <v>32633</v>
      </c>
    </row>
    <row r="1316" spans="1:15" x14ac:dyDescent="0.25">
      <c r="A1316" s="35" t="s">
        <v>5161</v>
      </c>
      <c r="B1316" s="36" t="s">
        <v>5162</v>
      </c>
      <c r="C1316" s="36" t="str">
        <f>HYPERLINK("https://rhld.insurance.arkansas.gov/NPILookup?Npi=1205595949","1205595949")</f>
        <v>1205595949</v>
      </c>
      <c r="D1316" s="36" t="s">
        <v>33969</v>
      </c>
      <c r="E1316" s="36" t="s">
        <v>2</v>
      </c>
      <c r="F1316" s="36">
        <v>1</v>
      </c>
      <c r="G1316" s="36">
        <v>2</v>
      </c>
      <c r="H1316" s="36">
        <v>0</v>
      </c>
      <c r="I1316" s="37">
        <v>0</v>
      </c>
      <c r="J1316" s="36"/>
      <c r="K1316" s="36" t="s">
        <v>14330</v>
      </c>
      <c r="L1316" s="36" t="s">
        <v>14330</v>
      </c>
      <c r="M1316">
        <v>1</v>
      </c>
      <c r="N1316" t="s">
        <v>14331</v>
      </c>
      <c r="O1316" t="s">
        <v>14333</v>
      </c>
    </row>
    <row r="1317" spans="1:15" x14ac:dyDescent="0.25">
      <c r="A1317" s="35" t="s">
        <v>5161</v>
      </c>
      <c r="B1317" s="36" t="s">
        <v>5162</v>
      </c>
      <c r="C1317" s="36" t="str">
        <f>HYPERLINK("https://rhld.insurance.arkansas.gov/NPILookup?Npi=1215397484","1215397484")</f>
        <v>1215397484</v>
      </c>
      <c r="D1317" s="36" t="s">
        <v>33970</v>
      </c>
      <c r="E1317" s="36" t="s">
        <v>2</v>
      </c>
      <c r="F1317" s="36">
        <v>1</v>
      </c>
      <c r="G1317" s="36">
        <v>1</v>
      </c>
      <c r="H1317" s="36">
        <v>0</v>
      </c>
      <c r="I1317" s="37">
        <v>0</v>
      </c>
      <c r="J1317" s="36"/>
      <c r="K1317" s="36" t="s">
        <v>14330</v>
      </c>
      <c r="L1317" s="36" t="s">
        <v>14330</v>
      </c>
      <c r="M1317">
        <v>1</v>
      </c>
      <c r="N1317" t="s">
        <v>14331</v>
      </c>
      <c r="O1317" t="s">
        <v>32633</v>
      </c>
    </row>
    <row r="1318" spans="1:15" x14ac:dyDescent="0.25">
      <c r="A1318" s="35" t="s">
        <v>5161</v>
      </c>
      <c r="B1318" s="36" t="s">
        <v>5162</v>
      </c>
      <c r="C1318" s="36" t="str">
        <f>HYPERLINK("https://rhld.insurance.arkansas.gov/NPILookup?Npi=1215709647","1215709647")</f>
        <v>1215709647</v>
      </c>
      <c r="D1318" s="36" t="s">
        <v>33971</v>
      </c>
      <c r="E1318" s="36" t="s">
        <v>2</v>
      </c>
      <c r="F1318" s="36">
        <v>1</v>
      </c>
      <c r="G1318" s="36">
        <v>1</v>
      </c>
      <c r="H1318" s="36">
        <v>0</v>
      </c>
      <c r="I1318" s="37">
        <v>0</v>
      </c>
      <c r="J1318" s="36"/>
      <c r="K1318" s="36" t="s">
        <v>14330</v>
      </c>
      <c r="L1318" s="36" t="s">
        <v>14330</v>
      </c>
      <c r="M1318">
        <v>1</v>
      </c>
      <c r="N1318" t="s">
        <v>14331</v>
      </c>
      <c r="O1318" t="s">
        <v>32633</v>
      </c>
    </row>
    <row r="1319" spans="1:15" x14ac:dyDescent="0.25">
      <c r="A1319" s="35" t="s">
        <v>5161</v>
      </c>
      <c r="B1319" s="36" t="s">
        <v>5162</v>
      </c>
      <c r="C1319" s="36" t="str">
        <f>HYPERLINK("https://rhld.insurance.arkansas.gov/NPILookup?Npi=1245076736","1245076736")</f>
        <v>1245076736</v>
      </c>
      <c r="D1319" s="36" t="s">
        <v>33972</v>
      </c>
      <c r="E1319" s="36" t="s">
        <v>2</v>
      </c>
      <c r="F1319" s="36">
        <v>1</v>
      </c>
      <c r="G1319" s="36">
        <v>1</v>
      </c>
      <c r="H1319" s="36">
        <v>0</v>
      </c>
      <c r="I1319" s="37">
        <v>0</v>
      </c>
      <c r="J1319" s="36"/>
      <c r="K1319" s="36" t="s">
        <v>14330</v>
      </c>
      <c r="L1319" s="36" t="s">
        <v>14330</v>
      </c>
      <c r="M1319">
        <v>2</v>
      </c>
      <c r="N1319" t="s">
        <v>14331</v>
      </c>
      <c r="O1319" t="s">
        <v>32633</v>
      </c>
    </row>
    <row r="1320" spans="1:15" x14ac:dyDescent="0.25">
      <c r="A1320" s="35" t="s">
        <v>5161</v>
      </c>
      <c r="B1320" s="36" t="s">
        <v>5162</v>
      </c>
      <c r="C1320" s="36" t="str">
        <f>HYPERLINK("https://rhld.insurance.arkansas.gov/NPILookup?Npi=1255359931","1255359931")</f>
        <v>1255359931</v>
      </c>
      <c r="D1320" s="36" t="s">
        <v>32653</v>
      </c>
      <c r="E1320" s="36" t="s">
        <v>1</v>
      </c>
      <c r="F1320" s="36">
        <v>1</v>
      </c>
      <c r="G1320" s="36">
        <v>2</v>
      </c>
      <c r="H1320" s="36">
        <v>0</v>
      </c>
      <c r="I1320" s="37">
        <v>0</v>
      </c>
      <c r="J1320" s="36" t="s">
        <v>32654</v>
      </c>
      <c r="K1320" s="36" t="s">
        <v>14330</v>
      </c>
      <c r="L1320" s="36" t="s">
        <v>14330</v>
      </c>
      <c r="M1320">
        <v>2</v>
      </c>
      <c r="N1320" t="s">
        <v>14331</v>
      </c>
      <c r="O1320" t="s">
        <v>32633</v>
      </c>
    </row>
    <row r="1321" spans="1:15" x14ac:dyDescent="0.25">
      <c r="A1321" s="35" t="s">
        <v>5161</v>
      </c>
      <c r="B1321" s="36" t="s">
        <v>5162</v>
      </c>
      <c r="C1321" s="36" t="str">
        <f>HYPERLINK("https://rhld.insurance.arkansas.gov/NPILookup?Npi=1285146142","1285146142")</f>
        <v>1285146142</v>
      </c>
      <c r="D1321" s="36" t="s">
        <v>33973</v>
      </c>
      <c r="E1321" s="36" t="s">
        <v>1</v>
      </c>
      <c r="F1321" s="36">
        <v>1</v>
      </c>
      <c r="G1321" s="36">
        <v>2</v>
      </c>
      <c r="H1321" s="36">
        <v>0</v>
      </c>
      <c r="I1321" s="37">
        <v>0</v>
      </c>
      <c r="J1321" s="36" t="s">
        <v>32723</v>
      </c>
      <c r="K1321" s="36" t="s">
        <v>14330</v>
      </c>
      <c r="L1321" s="36" t="s">
        <v>14330</v>
      </c>
      <c r="M1321">
        <v>2</v>
      </c>
      <c r="N1321" t="s">
        <v>14331</v>
      </c>
      <c r="O1321" t="s">
        <v>32724</v>
      </c>
    </row>
    <row r="1322" spans="1:15" x14ac:dyDescent="0.25">
      <c r="A1322" s="35" t="s">
        <v>5161</v>
      </c>
      <c r="B1322" s="36" t="s">
        <v>5162</v>
      </c>
      <c r="C1322" s="36" t="str">
        <f>HYPERLINK("https://rhld.insurance.arkansas.gov/NPILookup?Npi=1295560522","1295560522")</f>
        <v>1295560522</v>
      </c>
      <c r="D1322" s="36" t="s">
        <v>33974</v>
      </c>
      <c r="E1322" s="36" t="s">
        <v>2</v>
      </c>
      <c r="F1322" s="36">
        <v>1</v>
      </c>
      <c r="G1322" s="36">
        <v>2</v>
      </c>
      <c r="H1322" s="36">
        <v>0</v>
      </c>
      <c r="I1322" s="37">
        <v>0</v>
      </c>
      <c r="J1322" s="36"/>
      <c r="K1322" s="36" t="s">
        <v>14330</v>
      </c>
      <c r="L1322" s="36" t="s">
        <v>14330</v>
      </c>
      <c r="M1322">
        <v>1</v>
      </c>
      <c r="N1322" t="s">
        <v>14331</v>
      </c>
      <c r="O1322" t="s">
        <v>14333</v>
      </c>
    </row>
    <row r="1323" spans="1:15" x14ac:dyDescent="0.25">
      <c r="A1323" s="35" t="s">
        <v>5161</v>
      </c>
      <c r="B1323" s="36" t="s">
        <v>5162</v>
      </c>
      <c r="C1323" s="36" t="str">
        <f>HYPERLINK("https://rhld.insurance.arkansas.gov/NPILookup?Npi=1295726941","1295726941")</f>
        <v>1295726941</v>
      </c>
      <c r="D1323" s="36" t="s">
        <v>33975</v>
      </c>
      <c r="E1323" s="36" t="s">
        <v>2</v>
      </c>
      <c r="F1323" s="36">
        <v>1</v>
      </c>
      <c r="G1323" s="36">
        <v>1</v>
      </c>
      <c r="H1323" s="36">
        <v>0</v>
      </c>
      <c r="I1323" s="37">
        <v>0</v>
      </c>
      <c r="J1323" s="36" t="s">
        <v>32679</v>
      </c>
      <c r="K1323" s="36" t="s">
        <v>14330</v>
      </c>
      <c r="L1323" s="36" t="s">
        <v>14330</v>
      </c>
      <c r="M1323">
        <v>2</v>
      </c>
      <c r="N1323" t="s">
        <v>14331</v>
      </c>
      <c r="O1323" t="s">
        <v>32633</v>
      </c>
    </row>
    <row r="1324" spans="1:15" x14ac:dyDescent="0.25">
      <c r="A1324" s="35" t="s">
        <v>5161</v>
      </c>
      <c r="B1324" s="36" t="s">
        <v>5162</v>
      </c>
      <c r="C1324" s="36" t="str">
        <f>HYPERLINK("https://rhld.insurance.arkansas.gov/NPILookup?Npi=1306669809","1306669809")</f>
        <v>1306669809</v>
      </c>
      <c r="D1324" s="36" t="s">
        <v>33976</v>
      </c>
      <c r="E1324" s="36" t="s">
        <v>2</v>
      </c>
      <c r="F1324" s="36">
        <v>1</v>
      </c>
      <c r="G1324" s="36">
        <v>2</v>
      </c>
      <c r="H1324" s="36">
        <v>0</v>
      </c>
      <c r="I1324" s="37">
        <v>0</v>
      </c>
      <c r="J1324" s="36"/>
      <c r="K1324" s="36" t="s">
        <v>14330</v>
      </c>
      <c r="L1324" s="36" t="s">
        <v>14330</v>
      </c>
      <c r="M1324">
        <v>1</v>
      </c>
      <c r="N1324" t="s">
        <v>14331</v>
      </c>
      <c r="O1324" t="s">
        <v>14333</v>
      </c>
    </row>
    <row r="1325" spans="1:15" x14ac:dyDescent="0.25">
      <c r="A1325" s="35" t="s">
        <v>5161</v>
      </c>
      <c r="B1325" s="36" t="s">
        <v>5162</v>
      </c>
      <c r="C1325" s="36" t="str">
        <f>HYPERLINK("https://rhld.insurance.arkansas.gov/NPILookup?Npi=1306676036","1306676036")</f>
        <v>1306676036</v>
      </c>
      <c r="D1325" s="36" t="s">
        <v>33977</v>
      </c>
      <c r="E1325" s="36" t="s">
        <v>2</v>
      </c>
      <c r="F1325" s="36">
        <v>1</v>
      </c>
      <c r="G1325" s="36">
        <v>1</v>
      </c>
      <c r="H1325" s="36">
        <v>0</v>
      </c>
      <c r="I1325" s="37">
        <v>0</v>
      </c>
      <c r="J1325" s="36"/>
      <c r="K1325" s="36" t="s">
        <v>14330</v>
      </c>
      <c r="L1325" s="36" t="s">
        <v>14330</v>
      </c>
      <c r="M1325">
        <v>1</v>
      </c>
      <c r="N1325" t="s">
        <v>14331</v>
      </c>
      <c r="O1325" t="s">
        <v>32633</v>
      </c>
    </row>
    <row r="1326" spans="1:15" x14ac:dyDescent="0.25">
      <c r="A1326" s="35" t="s">
        <v>5161</v>
      </c>
      <c r="B1326" s="36" t="s">
        <v>5162</v>
      </c>
      <c r="C1326" s="36" t="str">
        <f>HYPERLINK("https://rhld.insurance.arkansas.gov/NPILookup?Npi=1326931957","1326931957")</f>
        <v>1326931957</v>
      </c>
      <c r="D1326" s="36" t="s">
        <v>33978</v>
      </c>
      <c r="E1326" s="36" t="s">
        <v>2</v>
      </c>
      <c r="F1326" s="36">
        <v>1</v>
      </c>
      <c r="G1326" s="36">
        <v>1</v>
      </c>
      <c r="H1326" s="36">
        <v>0</v>
      </c>
      <c r="I1326" s="37">
        <v>0</v>
      </c>
      <c r="J1326" s="36"/>
      <c r="K1326" s="36" t="s">
        <v>14330</v>
      </c>
      <c r="L1326" s="36" t="s">
        <v>14330</v>
      </c>
      <c r="M1326">
        <v>1</v>
      </c>
      <c r="N1326" t="s">
        <v>14331</v>
      </c>
      <c r="O1326" t="s">
        <v>32633</v>
      </c>
    </row>
    <row r="1327" spans="1:15" x14ac:dyDescent="0.25">
      <c r="A1327" s="35" t="s">
        <v>5161</v>
      </c>
      <c r="B1327" s="36" t="s">
        <v>5162</v>
      </c>
      <c r="C1327" s="36" t="str">
        <f>HYPERLINK("https://rhld.insurance.arkansas.gov/NPILookup?Npi=1336975580","1336975580")</f>
        <v>1336975580</v>
      </c>
      <c r="D1327" s="36" t="s">
        <v>33979</v>
      </c>
      <c r="E1327" s="36" t="s">
        <v>2</v>
      </c>
      <c r="F1327" s="36">
        <v>2</v>
      </c>
      <c r="G1327" s="36">
        <v>1</v>
      </c>
      <c r="H1327" s="36">
        <v>0</v>
      </c>
      <c r="I1327" s="37">
        <v>0</v>
      </c>
      <c r="J1327" s="36" t="s">
        <v>33004</v>
      </c>
      <c r="K1327" s="36" t="s">
        <v>14330</v>
      </c>
      <c r="L1327" s="36" t="s">
        <v>14330</v>
      </c>
      <c r="M1327">
        <v>2</v>
      </c>
      <c r="N1327" t="s">
        <v>14331</v>
      </c>
      <c r="O1327" t="s">
        <v>32633</v>
      </c>
    </row>
    <row r="1328" spans="1:15" x14ac:dyDescent="0.25">
      <c r="A1328" s="35" t="s">
        <v>5161</v>
      </c>
      <c r="B1328" s="36" t="s">
        <v>5162</v>
      </c>
      <c r="C1328" s="36" t="str">
        <f>HYPERLINK("https://rhld.insurance.arkansas.gov/NPILookup?Npi=1356582464","1356582464")</f>
        <v>1356582464</v>
      </c>
      <c r="D1328" s="36" t="s">
        <v>33980</v>
      </c>
      <c r="E1328" s="36" t="s">
        <v>2</v>
      </c>
      <c r="F1328" s="36">
        <v>1</v>
      </c>
      <c r="G1328" s="36">
        <v>2</v>
      </c>
      <c r="H1328" s="36">
        <v>0</v>
      </c>
      <c r="I1328" s="37">
        <v>0</v>
      </c>
      <c r="J1328" s="36"/>
      <c r="K1328" s="36" t="s">
        <v>14330</v>
      </c>
      <c r="L1328" s="36" t="s">
        <v>14330</v>
      </c>
      <c r="M1328">
        <v>2</v>
      </c>
      <c r="N1328" t="s">
        <v>14331</v>
      </c>
      <c r="O1328" t="s">
        <v>14333</v>
      </c>
    </row>
    <row r="1329" spans="1:15" x14ac:dyDescent="0.25">
      <c r="A1329" s="35" t="s">
        <v>5161</v>
      </c>
      <c r="B1329" s="36" t="s">
        <v>5162</v>
      </c>
      <c r="C1329" s="36" t="str">
        <f>HYPERLINK("https://rhld.insurance.arkansas.gov/NPILookup?Npi=1366471211","1366471211")</f>
        <v>1366471211</v>
      </c>
      <c r="D1329" s="36" t="s">
        <v>33981</v>
      </c>
      <c r="E1329" s="36" t="s">
        <v>1</v>
      </c>
      <c r="F1329" s="36">
        <v>1</v>
      </c>
      <c r="G1329" s="36">
        <v>2</v>
      </c>
      <c r="H1329" s="36">
        <v>0</v>
      </c>
      <c r="I1329" s="37">
        <v>0</v>
      </c>
      <c r="J1329" s="36" t="s">
        <v>32654</v>
      </c>
      <c r="K1329" s="36" t="s">
        <v>14330</v>
      </c>
      <c r="L1329" s="36" t="s">
        <v>14330</v>
      </c>
      <c r="M1329">
        <v>2</v>
      </c>
      <c r="N1329" t="s">
        <v>14331</v>
      </c>
      <c r="O1329" t="s">
        <v>32633</v>
      </c>
    </row>
    <row r="1330" spans="1:15" x14ac:dyDescent="0.25">
      <c r="A1330" s="35" t="s">
        <v>5161</v>
      </c>
      <c r="B1330" s="36" t="s">
        <v>5162</v>
      </c>
      <c r="C1330" s="36" t="str">
        <f>HYPERLINK("https://rhld.insurance.arkansas.gov/NPILookup?Npi=1366828063","1366828063")</f>
        <v>1366828063</v>
      </c>
      <c r="D1330" s="36" t="s">
        <v>33982</v>
      </c>
      <c r="E1330" s="36" t="s">
        <v>1</v>
      </c>
      <c r="F1330" s="36">
        <v>1</v>
      </c>
      <c r="G1330" s="36">
        <v>2</v>
      </c>
      <c r="H1330" s="36">
        <v>0</v>
      </c>
      <c r="I1330" s="37">
        <v>0</v>
      </c>
      <c r="J1330" s="36" t="s">
        <v>32723</v>
      </c>
      <c r="K1330" s="36" t="s">
        <v>14330</v>
      </c>
      <c r="L1330" s="36" t="s">
        <v>14330</v>
      </c>
      <c r="M1330">
        <v>2</v>
      </c>
      <c r="N1330" t="s">
        <v>14331</v>
      </c>
      <c r="O1330" t="s">
        <v>32724</v>
      </c>
    </row>
    <row r="1331" spans="1:15" x14ac:dyDescent="0.25">
      <c r="A1331" s="35" t="s">
        <v>5161</v>
      </c>
      <c r="B1331" s="36" t="s">
        <v>5162</v>
      </c>
      <c r="C1331" s="36" t="str">
        <f>HYPERLINK("https://rhld.insurance.arkansas.gov/NPILookup?Npi=1376337097","1376337097")</f>
        <v>1376337097</v>
      </c>
      <c r="D1331" s="36" t="s">
        <v>33983</v>
      </c>
      <c r="E1331" s="36" t="s">
        <v>2</v>
      </c>
      <c r="F1331" s="36">
        <v>1</v>
      </c>
      <c r="G1331" s="36">
        <v>2</v>
      </c>
      <c r="H1331" s="36">
        <v>0</v>
      </c>
      <c r="I1331" s="37">
        <v>0</v>
      </c>
      <c r="J1331" s="36"/>
      <c r="K1331" s="36" t="s">
        <v>14330</v>
      </c>
      <c r="L1331" s="36" t="s">
        <v>14330</v>
      </c>
      <c r="M1331">
        <v>1</v>
      </c>
      <c r="N1331" t="s">
        <v>14331</v>
      </c>
      <c r="O1331" t="s">
        <v>14333</v>
      </c>
    </row>
    <row r="1332" spans="1:15" x14ac:dyDescent="0.25">
      <c r="A1332" s="35" t="s">
        <v>5161</v>
      </c>
      <c r="B1332" s="36" t="s">
        <v>5162</v>
      </c>
      <c r="C1332" s="36" t="str">
        <f>HYPERLINK("https://rhld.insurance.arkansas.gov/NPILookup?Npi=1386432979","1386432979")</f>
        <v>1386432979</v>
      </c>
      <c r="D1332" s="36" t="s">
        <v>33984</v>
      </c>
      <c r="E1332" s="36" t="s">
        <v>2</v>
      </c>
      <c r="F1332" s="36">
        <v>1</v>
      </c>
      <c r="G1332" s="36">
        <v>1</v>
      </c>
      <c r="H1332" s="36">
        <v>0</v>
      </c>
      <c r="I1332" s="37">
        <v>0</v>
      </c>
      <c r="J1332" s="36"/>
      <c r="K1332" s="36" t="s">
        <v>14330</v>
      </c>
      <c r="L1332" s="36" t="s">
        <v>14330</v>
      </c>
      <c r="M1332">
        <v>1</v>
      </c>
      <c r="N1332" t="s">
        <v>14331</v>
      </c>
      <c r="O1332" t="s">
        <v>32633</v>
      </c>
    </row>
    <row r="1333" spans="1:15" x14ac:dyDescent="0.25">
      <c r="A1333" s="35" t="s">
        <v>5161</v>
      </c>
      <c r="B1333" s="36" t="s">
        <v>5162</v>
      </c>
      <c r="C1333" s="36" t="str">
        <f>HYPERLINK("https://rhld.insurance.arkansas.gov/NPILookup?Npi=1396545455","1396545455")</f>
        <v>1396545455</v>
      </c>
      <c r="D1333" s="36" t="s">
        <v>33985</v>
      </c>
      <c r="E1333" s="36" t="s">
        <v>2</v>
      </c>
      <c r="F1333" s="36">
        <v>1</v>
      </c>
      <c r="G1333" s="36">
        <v>1</v>
      </c>
      <c r="H1333" s="36">
        <v>0</v>
      </c>
      <c r="I1333" s="37">
        <v>0</v>
      </c>
      <c r="J1333" s="36"/>
      <c r="K1333" s="36" t="s">
        <v>14330</v>
      </c>
      <c r="L1333" s="36" t="s">
        <v>14330</v>
      </c>
      <c r="M1333">
        <v>1</v>
      </c>
      <c r="N1333" t="s">
        <v>14331</v>
      </c>
      <c r="O1333" t="s">
        <v>32633</v>
      </c>
    </row>
    <row r="1334" spans="1:15" x14ac:dyDescent="0.25">
      <c r="A1334" s="35" t="s">
        <v>5161</v>
      </c>
      <c r="B1334" s="36" t="s">
        <v>5162</v>
      </c>
      <c r="C1334" s="36" t="str">
        <f>HYPERLINK("https://rhld.insurance.arkansas.gov/NPILookup?Npi=1396701488","1396701488")</f>
        <v>1396701488</v>
      </c>
      <c r="D1334" s="36" t="s">
        <v>33986</v>
      </c>
      <c r="E1334" s="36" t="s">
        <v>1</v>
      </c>
      <c r="F1334" s="36">
        <v>1</v>
      </c>
      <c r="G1334" s="36">
        <v>1</v>
      </c>
      <c r="H1334" s="36">
        <v>0</v>
      </c>
      <c r="I1334" s="37">
        <v>0</v>
      </c>
      <c r="J1334" s="36" t="s">
        <v>32654</v>
      </c>
      <c r="K1334" s="36" t="s">
        <v>14330</v>
      </c>
      <c r="L1334" s="36" t="s">
        <v>14330</v>
      </c>
      <c r="M1334">
        <v>3</v>
      </c>
      <c r="N1334" t="s">
        <v>14331</v>
      </c>
      <c r="O1334" t="s">
        <v>32633</v>
      </c>
    </row>
    <row r="1335" spans="1:15" x14ac:dyDescent="0.25">
      <c r="A1335" s="35" t="s">
        <v>5161</v>
      </c>
      <c r="B1335" s="36" t="s">
        <v>5162</v>
      </c>
      <c r="C1335" s="36" t="str">
        <f>HYPERLINK("https://rhld.insurance.arkansas.gov/NPILookup?Npi=1417094657","1417094657")</f>
        <v>1417094657</v>
      </c>
      <c r="D1335" s="36" t="s">
        <v>33987</v>
      </c>
      <c r="E1335" s="36" t="s">
        <v>1</v>
      </c>
      <c r="F1335" s="36">
        <v>1</v>
      </c>
      <c r="G1335" s="36">
        <v>3</v>
      </c>
      <c r="H1335" s="36">
        <v>0</v>
      </c>
      <c r="I1335" s="37">
        <v>0</v>
      </c>
      <c r="J1335" s="36" t="s">
        <v>32654</v>
      </c>
      <c r="K1335" s="36" t="s">
        <v>14330</v>
      </c>
      <c r="L1335" s="36" t="s">
        <v>14330</v>
      </c>
      <c r="M1335">
        <v>2</v>
      </c>
      <c r="N1335" t="s">
        <v>14331</v>
      </c>
      <c r="O1335" t="s">
        <v>32633</v>
      </c>
    </row>
    <row r="1336" spans="1:15" x14ac:dyDescent="0.25">
      <c r="A1336" s="35" t="s">
        <v>5161</v>
      </c>
      <c r="B1336" s="36" t="s">
        <v>5162</v>
      </c>
      <c r="C1336" s="36" t="str">
        <f>HYPERLINK("https://rhld.insurance.arkansas.gov/NPILookup?Npi=1427889484","1427889484")</f>
        <v>1427889484</v>
      </c>
      <c r="D1336" s="36" t="s">
        <v>33988</v>
      </c>
      <c r="E1336" s="36" t="s">
        <v>2</v>
      </c>
      <c r="F1336" s="36">
        <v>1</v>
      </c>
      <c r="G1336" s="36">
        <v>2</v>
      </c>
      <c r="H1336" s="36">
        <v>0</v>
      </c>
      <c r="I1336" s="37">
        <v>0</v>
      </c>
      <c r="J1336" s="36"/>
      <c r="K1336" s="36" t="s">
        <v>14330</v>
      </c>
      <c r="L1336" s="36" t="s">
        <v>14330</v>
      </c>
      <c r="M1336">
        <v>1</v>
      </c>
      <c r="N1336" t="s">
        <v>14331</v>
      </c>
      <c r="O1336" t="s">
        <v>14333</v>
      </c>
    </row>
    <row r="1337" spans="1:15" x14ac:dyDescent="0.25">
      <c r="A1337" s="35" t="s">
        <v>5161</v>
      </c>
      <c r="B1337" s="36" t="s">
        <v>5162</v>
      </c>
      <c r="C1337" s="36" t="str">
        <f>HYPERLINK("https://rhld.insurance.arkansas.gov/NPILookup?Npi=1447072053","1447072053")</f>
        <v>1447072053</v>
      </c>
      <c r="D1337" s="36" t="s">
        <v>33989</v>
      </c>
      <c r="E1337" s="36" t="s">
        <v>2</v>
      </c>
      <c r="F1337" s="36">
        <v>1</v>
      </c>
      <c r="G1337" s="36">
        <v>1</v>
      </c>
      <c r="H1337" s="36">
        <v>0</v>
      </c>
      <c r="I1337" s="37">
        <v>0</v>
      </c>
      <c r="J1337" s="36"/>
      <c r="K1337" s="36" t="s">
        <v>14330</v>
      </c>
      <c r="L1337" s="36" t="s">
        <v>14330</v>
      </c>
      <c r="M1337">
        <v>1</v>
      </c>
      <c r="N1337" t="s">
        <v>14331</v>
      </c>
      <c r="O1337" t="s">
        <v>32633</v>
      </c>
    </row>
    <row r="1338" spans="1:15" x14ac:dyDescent="0.25">
      <c r="A1338" s="35" t="s">
        <v>5161</v>
      </c>
      <c r="B1338" s="36" t="s">
        <v>5162</v>
      </c>
      <c r="C1338" s="36" t="str">
        <f>HYPERLINK("https://rhld.insurance.arkansas.gov/NPILookup?Npi=1477352599","1477352599")</f>
        <v>1477352599</v>
      </c>
      <c r="D1338" s="36" t="s">
        <v>33990</v>
      </c>
      <c r="E1338" s="36" t="s">
        <v>2</v>
      </c>
      <c r="F1338" s="36">
        <v>1</v>
      </c>
      <c r="G1338" s="36">
        <v>1</v>
      </c>
      <c r="H1338" s="36">
        <v>0</v>
      </c>
      <c r="I1338" s="37">
        <v>0</v>
      </c>
      <c r="J1338" s="36"/>
      <c r="K1338" s="36" t="s">
        <v>14330</v>
      </c>
      <c r="L1338" s="36" t="s">
        <v>14330</v>
      </c>
      <c r="M1338">
        <v>1</v>
      </c>
      <c r="N1338" t="s">
        <v>14331</v>
      </c>
      <c r="O1338" t="s">
        <v>32633</v>
      </c>
    </row>
    <row r="1339" spans="1:15" x14ac:dyDescent="0.25">
      <c r="A1339" s="35" t="s">
        <v>5161</v>
      </c>
      <c r="B1339" s="36" t="s">
        <v>5162</v>
      </c>
      <c r="C1339" s="36" t="str">
        <f>HYPERLINK("https://rhld.insurance.arkansas.gov/NPILookup?Npi=1497964894","1497964894")</f>
        <v>1497964894</v>
      </c>
      <c r="D1339" s="36" t="s">
        <v>33991</v>
      </c>
      <c r="E1339" s="36" t="s">
        <v>1</v>
      </c>
      <c r="F1339" s="36">
        <v>1</v>
      </c>
      <c r="G1339" s="36">
        <v>1</v>
      </c>
      <c r="H1339" s="36">
        <v>0</v>
      </c>
      <c r="I1339" s="37">
        <v>0</v>
      </c>
      <c r="J1339" s="36" t="s">
        <v>32723</v>
      </c>
      <c r="K1339" s="36" t="s">
        <v>14330</v>
      </c>
      <c r="L1339" s="36" t="s">
        <v>14330</v>
      </c>
      <c r="M1339">
        <v>2</v>
      </c>
      <c r="N1339" t="s">
        <v>14331</v>
      </c>
      <c r="O1339" t="s">
        <v>32724</v>
      </c>
    </row>
    <row r="1340" spans="1:15" x14ac:dyDescent="0.25">
      <c r="A1340" s="35" t="s">
        <v>5161</v>
      </c>
      <c r="B1340" s="36" t="s">
        <v>5162</v>
      </c>
      <c r="C1340" s="36" t="str">
        <f>HYPERLINK("https://rhld.insurance.arkansas.gov/NPILookup?Npi=1518479070","1518479070")</f>
        <v>1518479070</v>
      </c>
      <c r="D1340" s="36" t="s">
        <v>33992</v>
      </c>
      <c r="E1340" s="36" t="s">
        <v>2</v>
      </c>
      <c r="F1340" s="36">
        <v>1</v>
      </c>
      <c r="G1340" s="36">
        <v>2</v>
      </c>
      <c r="H1340" s="36">
        <v>0</v>
      </c>
      <c r="I1340" s="37">
        <v>0</v>
      </c>
      <c r="J1340" s="36" t="s">
        <v>32679</v>
      </c>
      <c r="K1340" s="36" t="s">
        <v>14330</v>
      </c>
      <c r="L1340" s="36" t="s">
        <v>14330</v>
      </c>
      <c r="M1340">
        <v>2</v>
      </c>
      <c r="N1340" t="s">
        <v>14331</v>
      </c>
      <c r="O1340" t="s">
        <v>14333</v>
      </c>
    </row>
    <row r="1341" spans="1:15" x14ac:dyDescent="0.25">
      <c r="A1341" s="35" t="s">
        <v>5161</v>
      </c>
      <c r="B1341" s="36" t="s">
        <v>5162</v>
      </c>
      <c r="C1341" s="36" t="str">
        <f>HYPERLINK("https://rhld.insurance.arkansas.gov/NPILookup?Npi=1528192192","1528192192")</f>
        <v>1528192192</v>
      </c>
      <c r="D1341" s="36" t="s">
        <v>33993</v>
      </c>
      <c r="E1341" s="36" t="s">
        <v>2</v>
      </c>
      <c r="F1341" s="36">
        <v>1</v>
      </c>
      <c r="G1341" s="36">
        <v>2</v>
      </c>
      <c r="H1341" s="36">
        <v>0</v>
      </c>
      <c r="I1341" s="37">
        <v>0</v>
      </c>
      <c r="J1341" s="36" t="s">
        <v>32679</v>
      </c>
      <c r="K1341" s="36" t="s">
        <v>14330</v>
      </c>
      <c r="L1341" s="36" t="s">
        <v>14330</v>
      </c>
      <c r="M1341">
        <v>2</v>
      </c>
      <c r="N1341" t="s">
        <v>14331</v>
      </c>
      <c r="O1341" t="s">
        <v>14333</v>
      </c>
    </row>
    <row r="1342" spans="1:15" x14ac:dyDescent="0.25">
      <c r="A1342" s="35" t="s">
        <v>5161</v>
      </c>
      <c r="B1342" s="36" t="s">
        <v>5162</v>
      </c>
      <c r="C1342" s="36" t="str">
        <f>HYPERLINK("https://rhld.insurance.arkansas.gov/NPILookup?Npi=1528599586","1528599586")</f>
        <v>1528599586</v>
      </c>
      <c r="D1342" s="36" t="s">
        <v>33994</v>
      </c>
      <c r="E1342" s="36" t="s">
        <v>2</v>
      </c>
      <c r="F1342" s="36">
        <v>1</v>
      </c>
      <c r="G1342" s="36">
        <v>2</v>
      </c>
      <c r="H1342" s="36">
        <v>0</v>
      </c>
      <c r="I1342" s="37">
        <v>0</v>
      </c>
      <c r="J1342" s="36"/>
      <c r="K1342" s="36" t="s">
        <v>14330</v>
      </c>
      <c r="L1342" s="36" t="s">
        <v>14330</v>
      </c>
      <c r="M1342">
        <v>1</v>
      </c>
      <c r="N1342" t="s">
        <v>14331</v>
      </c>
      <c r="O1342" t="s">
        <v>14333</v>
      </c>
    </row>
    <row r="1343" spans="1:15" x14ac:dyDescent="0.25">
      <c r="A1343" s="35" t="s">
        <v>5161</v>
      </c>
      <c r="B1343" s="36" t="s">
        <v>5162</v>
      </c>
      <c r="C1343" s="36" t="str">
        <f>HYPERLINK("https://rhld.insurance.arkansas.gov/NPILookup?Npi=1528869112","1528869112")</f>
        <v>1528869112</v>
      </c>
      <c r="D1343" s="36" t="s">
        <v>33995</v>
      </c>
      <c r="E1343" s="36" t="s">
        <v>2</v>
      </c>
      <c r="F1343" s="36">
        <v>1</v>
      </c>
      <c r="G1343" s="36">
        <v>1</v>
      </c>
      <c r="H1343" s="36">
        <v>0</v>
      </c>
      <c r="I1343" s="37">
        <v>0</v>
      </c>
      <c r="J1343" s="36"/>
      <c r="K1343" s="36" t="s">
        <v>14330</v>
      </c>
      <c r="L1343" s="36" t="s">
        <v>14330</v>
      </c>
      <c r="M1343">
        <v>1</v>
      </c>
      <c r="N1343" t="s">
        <v>14331</v>
      </c>
      <c r="O1343" t="s">
        <v>32633</v>
      </c>
    </row>
    <row r="1344" spans="1:15" x14ac:dyDescent="0.25">
      <c r="A1344" s="35" t="s">
        <v>5161</v>
      </c>
      <c r="B1344" s="36" t="s">
        <v>5162</v>
      </c>
      <c r="C1344" s="36" t="str">
        <f>HYPERLINK("https://rhld.insurance.arkansas.gov/NPILookup?Npi=1558168658","1558168658")</f>
        <v>1558168658</v>
      </c>
      <c r="D1344" s="36" t="s">
        <v>33996</v>
      </c>
      <c r="E1344" s="36" t="s">
        <v>2</v>
      </c>
      <c r="F1344" s="36">
        <v>1</v>
      </c>
      <c r="G1344" s="36">
        <v>1</v>
      </c>
      <c r="H1344" s="36">
        <v>0</v>
      </c>
      <c r="I1344" s="37">
        <v>0</v>
      </c>
      <c r="J1344" s="36"/>
      <c r="K1344" s="36" t="s">
        <v>14330</v>
      </c>
      <c r="L1344" s="36" t="s">
        <v>14330</v>
      </c>
      <c r="M1344">
        <v>1</v>
      </c>
      <c r="N1344" t="s">
        <v>14331</v>
      </c>
      <c r="O1344" t="s">
        <v>32633</v>
      </c>
    </row>
    <row r="1345" spans="1:15" x14ac:dyDescent="0.25">
      <c r="A1345" s="35" t="s">
        <v>5161</v>
      </c>
      <c r="B1345" s="36" t="s">
        <v>5162</v>
      </c>
      <c r="C1345" s="36" t="str">
        <f>HYPERLINK("https://rhld.insurance.arkansas.gov/NPILookup?Npi=1578305991","1578305991")</f>
        <v>1578305991</v>
      </c>
      <c r="D1345" s="36" t="s">
        <v>33997</v>
      </c>
      <c r="E1345" s="36" t="s">
        <v>2</v>
      </c>
      <c r="F1345" s="36">
        <v>1</v>
      </c>
      <c r="G1345" s="36">
        <v>1</v>
      </c>
      <c r="H1345" s="36">
        <v>0</v>
      </c>
      <c r="I1345" s="37">
        <v>0</v>
      </c>
      <c r="J1345" s="36"/>
      <c r="K1345" s="36" t="s">
        <v>14330</v>
      </c>
      <c r="L1345" s="36" t="s">
        <v>14330</v>
      </c>
      <c r="M1345">
        <v>1</v>
      </c>
      <c r="N1345" t="s">
        <v>14331</v>
      </c>
      <c r="O1345" t="s">
        <v>32633</v>
      </c>
    </row>
    <row r="1346" spans="1:15" x14ac:dyDescent="0.25">
      <c r="A1346" s="35" t="s">
        <v>5161</v>
      </c>
      <c r="B1346" s="36" t="s">
        <v>5162</v>
      </c>
      <c r="C1346" s="36" t="str">
        <f>HYPERLINK("https://rhld.insurance.arkansas.gov/NPILookup?Npi=1598565947","1598565947")</f>
        <v>1598565947</v>
      </c>
      <c r="D1346" s="36" t="s">
        <v>33998</v>
      </c>
      <c r="E1346" s="36" t="s">
        <v>2</v>
      </c>
      <c r="F1346" s="36">
        <v>1</v>
      </c>
      <c r="G1346" s="36">
        <v>1</v>
      </c>
      <c r="H1346" s="36">
        <v>0</v>
      </c>
      <c r="I1346" s="37">
        <v>0</v>
      </c>
      <c r="J1346" s="36"/>
      <c r="K1346" s="36" t="s">
        <v>14330</v>
      </c>
      <c r="L1346" s="36" t="s">
        <v>14330</v>
      </c>
      <c r="M1346">
        <v>1</v>
      </c>
      <c r="N1346" t="s">
        <v>14331</v>
      </c>
      <c r="O1346" t="s">
        <v>32633</v>
      </c>
    </row>
    <row r="1347" spans="1:15" x14ac:dyDescent="0.25">
      <c r="A1347" s="35" t="s">
        <v>5161</v>
      </c>
      <c r="B1347" s="36" t="s">
        <v>5162</v>
      </c>
      <c r="C1347" s="36" t="str">
        <f>HYPERLINK("https://rhld.insurance.arkansas.gov/NPILookup?Npi=1619779808","1619779808")</f>
        <v>1619779808</v>
      </c>
      <c r="D1347" s="36" t="s">
        <v>33999</v>
      </c>
      <c r="E1347" s="36" t="s">
        <v>2</v>
      </c>
      <c r="F1347" s="36">
        <v>1</v>
      </c>
      <c r="G1347" s="36">
        <v>1</v>
      </c>
      <c r="H1347" s="36">
        <v>0</v>
      </c>
      <c r="I1347" s="37">
        <v>0</v>
      </c>
      <c r="J1347" s="36"/>
      <c r="K1347" s="36" t="s">
        <v>14330</v>
      </c>
      <c r="L1347" s="36" t="s">
        <v>14330</v>
      </c>
      <c r="M1347">
        <v>1</v>
      </c>
      <c r="N1347" t="s">
        <v>14331</v>
      </c>
      <c r="O1347" t="s">
        <v>32633</v>
      </c>
    </row>
    <row r="1348" spans="1:15" x14ac:dyDescent="0.25">
      <c r="A1348" s="35" t="s">
        <v>5161</v>
      </c>
      <c r="B1348" s="36" t="s">
        <v>5162</v>
      </c>
      <c r="C1348" s="36" t="str">
        <f>HYPERLINK("https://rhld.insurance.arkansas.gov/NPILookup?Npi=1629896998","1629896998")</f>
        <v>1629896998</v>
      </c>
      <c r="D1348" s="36" t="s">
        <v>34000</v>
      </c>
      <c r="E1348" s="36" t="s">
        <v>2</v>
      </c>
      <c r="F1348" s="36">
        <v>2</v>
      </c>
      <c r="G1348" s="36">
        <v>1</v>
      </c>
      <c r="H1348" s="36">
        <v>0</v>
      </c>
      <c r="I1348" s="37">
        <v>0</v>
      </c>
      <c r="J1348" s="36" t="s">
        <v>33004</v>
      </c>
      <c r="K1348" s="36" t="s">
        <v>14330</v>
      </c>
      <c r="L1348" s="36" t="s">
        <v>14330</v>
      </c>
      <c r="M1348">
        <v>2</v>
      </c>
      <c r="N1348" t="s">
        <v>14331</v>
      </c>
      <c r="O1348" t="s">
        <v>32633</v>
      </c>
    </row>
    <row r="1349" spans="1:15" x14ac:dyDescent="0.25">
      <c r="A1349" s="35" t="s">
        <v>5161</v>
      </c>
      <c r="B1349" s="36" t="s">
        <v>5162</v>
      </c>
      <c r="C1349" s="36" t="str">
        <f>HYPERLINK("https://rhld.insurance.arkansas.gov/NPILookup?Npi=1669924155","1669924155")</f>
        <v>1669924155</v>
      </c>
      <c r="D1349" s="36" t="s">
        <v>34001</v>
      </c>
      <c r="E1349" s="36" t="s">
        <v>2</v>
      </c>
      <c r="F1349" s="36">
        <v>1</v>
      </c>
      <c r="G1349" s="36">
        <v>2</v>
      </c>
      <c r="H1349" s="36">
        <v>0</v>
      </c>
      <c r="I1349" s="37">
        <v>0</v>
      </c>
      <c r="J1349" s="36"/>
      <c r="K1349" s="36" t="s">
        <v>14330</v>
      </c>
      <c r="L1349" s="36" t="s">
        <v>14330</v>
      </c>
      <c r="M1349">
        <v>1</v>
      </c>
      <c r="N1349" t="s">
        <v>14331</v>
      </c>
      <c r="O1349" t="s">
        <v>14333</v>
      </c>
    </row>
    <row r="1350" spans="1:15" x14ac:dyDescent="0.25">
      <c r="A1350" s="35" t="s">
        <v>5161</v>
      </c>
      <c r="B1350" s="36" t="s">
        <v>5162</v>
      </c>
      <c r="C1350" s="36" t="str">
        <f>HYPERLINK("https://rhld.insurance.arkansas.gov/NPILookup?Npi=1700297397","1700297397")</f>
        <v>1700297397</v>
      </c>
      <c r="D1350" s="36" t="s">
        <v>34002</v>
      </c>
      <c r="E1350" s="36" t="s">
        <v>2</v>
      </c>
      <c r="F1350" s="36">
        <v>1</v>
      </c>
      <c r="G1350" s="36">
        <v>1</v>
      </c>
      <c r="H1350" s="36">
        <v>0</v>
      </c>
      <c r="I1350" s="37">
        <v>0</v>
      </c>
      <c r="J1350" s="36"/>
      <c r="K1350" s="36" t="s">
        <v>14330</v>
      </c>
      <c r="L1350" s="36" t="s">
        <v>14330</v>
      </c>
      <c r="M1350">
        <v>2</v>
      </c>
      <c r="N1350" t="s">
        <v>14331</v>
      </c>
      <c r="O1350" t="s">
        <v>32633</v>
      </c>
    </row>
    <row r="1351" spans="1:15" x14ac:dyDescent="0.25">
      <c r="A1351" s="35" t="s">
        <v>5161</v>
      </c>
      <c r="B1351" s="36" t="s">
        <v>5162</v>
      </c>
      <c r="C1351" s="36" t="str">
        <f>HYPERLINK("https://rhld.insurance.arkansas.gov/NPILookup?Npi=1740327808","1740327808")</f>
        <v>1740327808</v>
      </c>
      <c r="D1351" s="36" t="s">
        <v>34003</v>
      </c>
      <c r="E1351" s="36" t="s">
        <v>1</v>
      </c>
      <c r="F1351" s="36">
        <v>1</v>
      </c>
      <c r="G1351" s="36">
        <v>2</v>
      </c>
      <c r="H1351" s="36">
        <v>0</v>
      </c>
      <c r="I1351" s="37">
        <v>0</v>
      </c>
      <c r="J1351" s="36" t="s">
        <v>32654</v>
      </c>
      <c r="K1351" s="36" t="s">
        <v>14330</v>
      </c>
      <c r="L1351" s="36" t="s">
        <v>14330</v>
      </c>
      <c r="M1351">
        <v>3</v>
      </c>
      <c r="N1351" t="s">
        <v>14331</v>
      </c>
      <c r="O1351" t="s">
        <v>32633</v>
      </c>
    </row>
    <row r="1352" spans="1:15" x14ac:dyDescent="0.25">
      <c r="A1352" s="35" t="s">
        <v>5161</v>
      </c>
      <c r="B1352" s="36" t="s">
        <v>5162</v>
      </c>
      <c r="C1352" s="36" t="str">
        <f>HYPERLINK("https://rhld.insurance.arkansas.gov/NPILookup?Npi=1740408954","1740408954")</f>
        <v>1740408954</v>
      </c>
      <c r="D1352" s="36" t="s">
        <v>34004</v>
      </c>
      <c r="E1352" s="36" t="s">
        <v>1</v>
      </c>
      <c r="F1352" s="36">
        <v>1</v>
      </c>
      <c r="G1352" s="36">
        <v>3</v>
      </c>
      <c r="H1352" s="36">
        <v>0</v>
      </c>
      <c r="I1352" s="37">
        <v>0</v>
      </c>
      <c r="J1352" s="36" t="s">
        <v>32654</v>
      </c>
      <c r="K1352" s="36" t="s">
        <v>14330</v>
      </c>
      <c r="L1352" s="36" t="s">
        <v>14330</v>
      </c>
      <c r="M1352">
        <v>2</v>
      </c>
      <c r="N1352" t="s">
        <v>14331</v>
      </c>
      <c r="O1352" t="s">
        <v>32633</v>
      </c>
    </row>
    <row r="1353" spans="1:15" x14ac:dyDescent="0.25">
      <c r="A1353" s="35" t="s">
        <v>5161</v>
      </c>
      <c r="B1353" s="36" t="s">
        <v>5162</v>
      </c>
      <c r="C1353" s="36" t="str">
        <f>HYPERLINK("https://rhld.insurance.arkansas.gov/NPILookup?Npi=1760083125","1760083125")</f>
        <v>1760083125</v>
      </c>
      <c r="D1353" s="36" t="s">
        <v>34005</v>
      </c>
      <c r="E1353" s="36" t="s">
        <v>2</v>
      </c>
      <c r="F1353" s="36">
        <v>1</v>
      </c>
      <c r="G1353" s="36">
        <v>2</v>
      </c>
      <c r="H1353" s="36">
        <v>0</v>
      </c>
      <c r="I1353" s="37">
        <v>0</v>
      </c>
      <c r="J1353" s="36" t="s">
        <v>32679</v>
      </c>
      <c r="K1353" s="36" t="s">
        <v>14330</v>
      </c>
      <c r="L1353" s="36" t="s">
        <v>14330</v>
      </c>
      <c r="M1353">
        <v>2</v>
      </c>
      <c r="N1353" t="s">
        <v>14331</v>
      </c>
      <c r="O1353" t="s">
        <v>14333</v>
      </c>
    </row>
    <row r="1354" spans="1:15" x14ac:dyDescent="0.25">
      <c r="A1354" s="35" t="s">
        <v>5161</v>
      </c>
      <c r="B1354" s="36" t="s">
        <v>5162</v>
      </c>
      <c r="C1354" s="36" t="str">
        <f>HYPERLINK("https://rhld.insurance.arkansas.gov/NPILookup?Npi=1760165898","1760165898")</f>
        <v>1760165898</v>
      </c>
      <c r="D1354" s="36" t="s">
        <v>34006</v>
      </c>
      <c r="E1354" s="36" t="s">
        <v>2</v>
      </c>
      <c r="F1354" s="36">
        <v>1</v>
      </c>
      <c r="G1354" s="36">
        <v>2</v>
      </c>
      <c r="H1354" s="36">
        <v>0</v>
      </c>
      <c r="I1354" s="37">
        <v>0</v>
      </c>
      <c r="J1354" s="36"/>
      <c r="K1354" s="36" t="s">
        <v>14330</v>
      </c>
      <c r="L1354" s="36" t="s">
        <v>14330</v>
      </c>
      <c r="M1354">
        <v>1</v>
      </c>
      <c r="N1354" t="s">
        <v>14331</v>
      </c>
      <c r="O1354" t="s">
        <v>14333</v>
      </c>
    </row>
    <row r="1355" spans="1:15" x14ac:dyDescent="0.25">
      <c r="A1355" s="35" t="s">
        <v>5161</v>
      </c>
      <c r="B1355" s="36" t="s">
        <v>5162</v>
      </c>
      <c r="C1355" s="36" t="str">
        <f>HYPERLINK("https://rhld.insurance.arkansas.gov/NPILookup?Npi=1760169601","1760169601")</f>
        <v>1760169601</v>
      </c>
      <c r="D1355" s="36" t="s">
        <v>34007</v>
      </c>
      <c r="E1355" s="36" t="s">
        <v>2</v>
      </c>
      <c r="F1355" s="36">
        <v>1</v>
      </c>
      <c r="G1355" s="36">
        <v>1</v>
      </c>
      <c r="H1355" s="36">
        <v>0</v>
      </c>
      <c r="I1355" s="37">
        <v>0</v>
      </c>
      <c r="J1355" s="36"/>
      <c r="K1355" s="36" t="s">
        <v>14330</v>
      </c>
      <c r="L1355" s="36" t="s">
        <v>14330</v>
      </c>
      <c r="M1355">
        <v>1</v>
      </c>
      <c r="N1355" t="s">
        <v>14331</v>
      </c>
      <c r="O1355" t="s">
        <v>32633</v>
      </c>
    </row>
    <row r="1356" spans="1:15" x14ac:dyDescent="0.25">
      <c r="A1356" s="35" t="s">
        <v>5161</v>
      </c>
      <c r="B1356" s="36" t="s">
        <v>5162</v>
      </c>
      <c r="C1356" s="36" t="str">
        <f>HYPERLINK("https://rhld.insurance.arkansas.gov/NPILookup?Npi=1790077527","1790077527")</f>
        <v>1790077527</v>
      </c>
      <c r="D1356" s="36" t="s">
        <v>34008</v>
      </c>
      <c r="E1356" s="36" t="s">
        <v>2</v>
      </c>
      <c r="F1356" s="36">
        <v>1</v>
      </c>
      <c r="G1356" s="36">
        <v>1</v>
      </c>
      <c r="H1356" s="36">
        <v>0</v>
      </c>
      <c r="I1356" s="37">
        <v>0</v>
      </c>
      <c r="J1356" s="36" t="s">
        <v>32679</v>
      </c>
      <c r="K1356" s="36" t="s">
        <v>14330</v>
      </c>
      <c r="L1356" s="36" t="s">
        <v>14330</v>
      </c>
      <c r="M1356">
        <v>2</v>
      </c>
      <c r="N1356" t="s">
        <v>14331</v>
      </c>
      <c r="O1356" t="s">
        <v>32633</v>
      </c>
    </row>
    <row r="1357" spans="1:15" x14ac:dyDescent="0.25">
      <c r="A1357" s="35" t="s">
        <v>5161</v>
      </c>
      <c r="B1357" s="36" t="s">
        <v>5162</v>
      </c>
      <c r="C1357" s="36" t="str">
        <f>HYPERLINK("https://rhld.insurance.arkansas.gov/NPILookup?Npi=1821883372","1821883372")</f>
        <v>1821883372</v>
      </c>
      <c r="D1357" s="36" t="s">
        <v>34009</v>
      </c>
      <c r="E1357" s="36" t="s">
        <v>2</v>
      </c>
      <c r="F1357" s="36">
        <v>1</v>
      </c>
      <c r="G1357" s="36">
        <v>2</v>
      </c>
      <c r="H1357" s="36">
        <v>0</v>
      </c>
      <c r="I1357" s="37">
        <v>0</v>
      </c>
      <c r="J1357" s="36"/>
      <c r="K1357" s="36" t="s">
        <v>14330</v>
      </c>
      <c r="L1357" s="36" t="s">
        <v>14330</v>
      </c>
      <c r="M1357">
        <v>1</v>
      </c>
      <c r="N1357" t="s">
        <v>14331</v>
      </c>
      <c r="O1357" t="s">
        <v>14333</v>
      </c>
    </row>
    <row r="1358" spans="1:15" x14ac:dyDescent="0.25">
      <c r="A1358" s="35" t="s">
        <v>5161</v>
      </c>
      <c r="B1358" s="36" t="s">
        <v>5162</v>
      </c>
      <c r="C1358" s="36" t="str">
        <f>HYPERLINK("https://rhld.insurance.arkansas.gov/NPILookup?Npi=1841009677","1841009677")</f>
        <v>1841009677</v>
      </c>
      <c r="D1358" s="36" t="s">
        <v>34010</v>
      </c>
      <c r="E1358" s="36" t="s">
        <v>2</v>
      </c>
      <c r="F1358" s="36">
        <v>1</v>
      </c>
      <c r="G1358" s="36">
        <v>1</v>
      </c>
      <c r="H1358" s="36">
        <v>0</v>
      </c>
      <c r="I1358" s="37">
        <v>0</v>
      </c>
      <c r="J1358" s="36"/>
      <c r="K1358" s="36" t="s">
        <v>14330</v>
      </c>
      <c r="L1358" s="36" t="s">
        <v>14330</v>
      </c>
      <c r="M1358">
        <v>1</v>
      </c>
      <c r="N1358" t="s">
        <v>14331</v>
      </c>
      <c r="O1358" t="s">
        <v>32633</v>
      </c>
    </row>
    <row r="1359" spans="1:15" x14ac:dyDescent="0.25">
      <c r="A1359" s="35" t="s">
        <v>5161</v>
      </c>
      <c r="B1359" s="36" t="s">
        <v>5162</v>
      </c>
      <c r="C1359" s="36" t="str">
        <f>HYPERLINK("https://rhld.insurance.arkansas.gov/NPILookup?Npi=1841096435","1841096435")</f>
        <v>1841096435</v>
      </c>
      <c r="D1359" s="36" t="s">
        <v>34011</v>
      </c>
      <c r="E1359" s="36" t="s">
        <v>2</v>
      </c>
      <c r="F1359" s="36">
        <v>1</v>
      </c>
      <c r="G1359" s="36">
        <v>1</v>
      </c>
      <c r="H1359" s="36">
        <v>0</v>
      </c>
      <c r="I1359" s="37">
        <v>0</v>
      </c>
      <c r="J1359" s="36"/>
      <c r="K1359" s="36" t="s">
        <v>14330</v>
      </c>
      <c r="L1359" s="36" t="s">
        <v>14330</v>
      </c>
      <c r="M1359">
        <v>1</v>
      </c>
      <c r="N1359" t="s">
        <v>14331</v>
      </c>
      <c r="O1359" t="s">
        <v>32633</v>
      </c>
    </row>
    <row r="1360" spans="1:15" x14ac:dyDescent="0.25">
      <c r="A1360" s="35" t="s">
        <v>5161</v>
      </c>
      <c r="B1360" s="36" t="s">
        <v>5162</v>
      </c>
      <c r="C1360" s="36" t="str">
        <f>HYPERLINK("https://rhld.insurance.arkansas.gov/NPILookup?Npi=1851110597","1851110597")</f>
        <v>1851110597</v>
      </c>
      <c r="D1360" s="36" t="s">
        <v>34012</v>
      </c>
      <c r="E1360" s="36" t="s">
        <v>2</v>
      </c>
      <c r="F1360" s="36">
        <v>1</v>
      </c>
      <c r="G1360" s="36">
        <v>1</v>
      </c>
      <c r="H1360" s="36">
        <v>0</v>
      </c>
      <c r="I1360" s="37">
        <v>0</v>
      </c>
      <c r="J1360" s="36"/>
      <c r="K1360" s="36" t="s">
        <v>14330</v>
      </c>
      <c r="L1360" s="36" t="s">
        <v>14330</v>
      </c>
      <c r="M1360">
        <v>0</v>
      </c>
      <c r="N1360" t="s">
        <v>14331</v>
      </c>
      <c r="O1360" t="s">
        <v>32633</v>
      </c>
    </row>
    <row r="1361" spans="1:15" x14ac:dyDescent="0.25">
      <c r="A1361" s="35" t="s">
        <v>5161</v>
      </c>
      <c r="B1361" s="36" t="s">
        <v>5162</v>
      </c>
      <c r="C1361" s="36" t="str">
        <f>HYPERLINK("https://rhld.insurance.arkansas.gov/NPILookup?Npi=1861919664","1861919664")</f>
        <v>1861919664</v>
      </c>
      <c r="D1361" s="36" t="s">
        <v>34013</v>
      </c>
      <c r="E1361" s="36" t="s">
        <v>2</v>
      </c>
      <c r="F1361" s="36">
        <v>1</v>
      </c>
      <c r="G1361" s="36">
        <v>0</v>
      </c>
      <c r="H1361" s="36">
        <v>0</v>
      </c>
      <c r="I1361" s="37">
        <v>0</v>
      </c>
      <c r="J1361" s="36" t="s">
        <v>32679</v>
      </c>
      <c r="K1361" s="36" t="s">
        <v>14330</v>
      </c>
      <c r="L1361" s="36" t="s">
        <v>14330</v>
      </c>
      <c r="M1361">
        <v>2</v>
      </c>
      <c r="N1361" t="s">
        <v>14331</v>
      </c>
      <c r="O1361" t="s">
        <v>32633</v>
      </c>
    </row>
    <row r="1362" spans="1:15" x14ac:dyDescent="0.25">
      <c r="A1362" s="35" t="s">
        <v>5161</v>
      </c>
      <c r="B1362" s="36" t="s">
        <v>5162</v>
      </c>
      <c r="C1362" s="36" t="str">
        <f>HYPERLINK("https://rhld.insurance.arkansas.gov/NPILookup?Npi=1871821355","1871821355")</f>
        <v>1871821355</v>
      </c>
      <c r="D1362" s="36" t="s">
        <v>34014</v>
      </c>
      <c r="E1362" s="36" t="s">
        <v>2</v>
      </c>
      <c r="F1362" s="36">
        <v>1</v>
      </c>
      <c r="G1362" s="36">
        <v>2</v>
      </c>
      <c r="H1362" s="36">
        <v>0</v>
      </c>
      <c r="I1362" s="37">
        <v>0</v>
      </c>
      <c r="J1362" s="36"/>
      <c r="K1362" s="36" t="s">
        <v>14330</v>
      </c>
      <c r="L1362" s="36" t="s">
        <v>14330</v>
      </c>
      <c r="M1362">
        <v>1</v>
      </c>
      <c r="N1362" t="s">
        <v>14331</v>
      </c>
      <c r="O1362" t="s">
        <v>14333</v>
      </c>
    </row>
    <row r="1363" spans="1:15" x14ac:dyDescent="0.25">
      <c r="A1363" s="35" t="s">
        <v>5161</v>
      </c>
      <c r="B1363" s="36" t="s">
        <v>5162</v>
      </c>
      <c r="C1363" s="36" t="str">
        <f>HYPERLINK("https://rhld.insurance.arkansas.gov/NPILookup?Npi=1881418903","1881418903")</f>
        <v>1881418903</v>
      </c>
      <c r="D1363" s="36" t="s">
        <v>34015</v>
      </c>
      <c r="E1363" s="36" t="s">
        <v>2</v>
      </c>
      <c r="F1363" s="36">
        <v>1</v>
      </c>
      <c r="G1363" s="36">
        <v>1</v>
      </c>
      <c r="H1363" s="36">
        <v>0</v>
      </c>
      <c r="I1363" s="37">
        <v>0</v>
      </c>
      <c r="J1363" s="36"/>
      <c r="K1363" s="36" t="s">
        <v>14330</v>
      </c>
      <c r="L1363" s="36" t="s">
        <v>14330</v>
      </c>
      <c r="M1363">
        <v>1</v>
      </c>
      <c r="N1363" t="s">
        <v>14331</v>
      </c>
      <c r="O1363" t="s">
        <v>32633</v>
      </c>
    </row>
    <row r="1364" spans="1:15" x14ac:dyDescent="0.25">
      <c r="A1364" s="35" t="s">
        <v>5161</v>
      </c>
      <c r="B1364" s="36" t="s">
        <v>5162</v>
      </c>
      <c r="C1364" s="36" t="str">
        <f>HYPERLINK("https://rhld.insurance.arkansas.gov/NPILookup?Npi=1902064827","1902064827")</f>
        <v>1902064827</v>
      </c>
      <c r="D1364" s="36" t="s">
        <v>34016</v>
      </c>
      <c r="E1364" s="36" t="s">
        <v>2</v>
      </c>
      <c r="F1364" s="36">
        <v>1</v>
      </c>
      <c r="G1364" s="36">
        <v>1</v>
      </c>
      <c r="H1364" s="36">
        <v>0</v>
      </c>
      <c r="I1364" s="37">
        <v>0</v>
      </c>
      <c r="J1364" s="36"/>
      <c r="K1364" s="36" t="s">
        <v>14330</v>
      </c>
      <c r="L1364" s="36" t="s">
        <v>14330</v>
      </c>
      <c r="M1364">
        <v>1</v>
      </c>
      <c r="N1364" t="s">
        <v>14331</v>
      </c>
      <c r="O1364" t="s">
        <v>32633</v>
      </c>
    </row>
    <row r="1365" spans="1:15" x14ac:dyDescent="0.25">
      <c r="A1365" s="35" t="s">
        <v>5161</v>
      </c>
      <c r="B1365" s="36" t="s">
        <v>5162</v>
      </c>
      <c r="C1365" s="36" t="str">
        <f>HYPERLINK("https://rhld.insurance.arkansas.gov/NPILookup?Npi=1902317258","1902317258")</f>
        <v>1902317258</v>
      </c>
      <c r="D1365" s="36" t="s">
        <v>34017</v>
      </c>
      <c r="E1365" s="36" t="s">
        <v>2</v>
      </c>
      <c r="F1365" s="36">
        <v>1</v>
      </c>
      <c r="G1365" s="36">
        <v>1</v>
      </c>
      <c r="H1365" s="36">
        <v>0</v>
      </c>
      <c r="I1365" s="37">
        <v>0</v>
      </c>
      <c r="J1365" s="36"/>
      <c r="K1365" s="36" t="s">
        <v>14330</v>
      </c>
      <c r="L1365" s="36" t="s">
        <v>14330</v>
      </c>
      <c r="M1365">
        <v>1</v>
      </c>
      <c r="N1365" t="s">
        <v>14331</v>
      </c>
      <c r="O1365" t="s">
        <v>32633</v>
      </c>
    </row>
    <row r="1366" spans="1:15" x14ac:dyDescent="0.25">
      <c r="A1366" s="35" t="s">
        <v>5161</v>
      </c>
      <c r="B1366" s="36" t="s">
        <v>5162</v>
      </c>
      <c r="C1366" s="36" t="str">
        <f>HYPERLINK("https://rhld.insurance.arkansas.gov/NPILookup?Npi=1902628720","1902628720")</f>
        <v>1902628720</v>
      </c>
      <c r="D1366" s="36" t="s">
        <v>34018</v>
      </c>
      <c r="E1366" s="36" t="s">
        <v>2</v>
      </c>
      <c r="F1366" s="36">
        <v>1</v>
      </c>
      <c r="G1366" s="36">
        <v>1</v>
      </c>
      <c r="H1366" s="36">
        <v>0</v>
      </c>
      <c r="I1366" s="37">
        <v>0</v>
      </c>
      <c r="J1366" s="36"/>
      <c r="K1366" s="36" t="s">
        <v>14330</v>
      </c>
      <c r="L1366" s="36" t="s">
        <v>14330</v>
      </c>
      <c r="M1366">
        <v>1</v>
      </c>
      <c r="N1366" t="s">
        <v>14331</v>
      </c>
      <c r="O1366" t="s">
        <v>32633</v>
      </c>
    </row>
    <row r="1367" spans="1:15" x14ac:dyDescent="0.25">
      <c r="A1367" s="35" t="s">
        <v>5161</v>
      </c>
      <c r="B1367" s="36" t="s">
        <v>5162</v>
      </c>
      <c r="C1367" s="36" t="str">
        <f>HYPERLINK("https://rhld.insurance.arkansas.gov/NPILookup?Npi=1912513334","1912513334")</f>
        <v>1912513334</v>
      </c>
      <c r="D1367" s="36" t="s">
        <v>34019</v>
      </c>
      <c r="E1367" s="36" t="s">
        <v>2</v>
      </c>
      <c r="F1367" s="36">
        <v>1</v>
      </c>
      <c r="G1367" s="36">
        <v>1</v>
      </c>
      <c r="H1367" s="36">
        <v>0</v>
      </c>
      <c r="I1367" s="37">
        <v>0</v>
      </c>
      <c r="J1367" s="36"/>
      <c r="K1367" s="36" t="s">
        <v>14330</v>
      </c>
      <c r="L1367" s="36" t="s">
        <v>14330</v>
      </c>
      <c r="M1367">
        <v>1</v>
      </c>
      <c r="N1367" t="s">
        <v>14331</v>
      </c>
      <c r="O1367" t="s">
        <v>32633</v>
      </c>
    </row>
    <row r="1368" spans="1:15" x14ac:dyDescent="0.25">
      <c r="A1368" s="35" t="s">
        <v>5161</v>
      </c>
      <c r="B1368" s="36" t="s">
        <v>5162</v>
      </c>
      <c r="C1368" s="36" t="str">
        <f>HYPERLINK("https://rhld.insurance.arkansas.gov/NPILookup?Npi=1942433149","1942433149")</f>
        <v>1942433149</v>
      </c>
      <c r="D1368" s="36" t="s">
        <v>34020</v>
      </c>
      <c r="E1368" s="36" t="s">
        <v>2</v>
      </c>
      <c r="F1368" s="36">
        <v>1</v>
      </c>
      <c r="G1368" s="36">
        <v>1</v>
      </c>
      <c r="H1368" s="36">
        <v>0</v>
      </c>
      <c r="I1368" s="37">
        <v>0</v>
      </c>
      <c r="J1368" s="36" t="s">
        <v>32679</v>
      </c>
      <c r="K1368" s="36" t="s">
        <v>14330</v>
      </c>
      <c r="L1368" s="36" t="s">
        <v>14330</v>
      </c>
      <c r="M1368">
        <v>2</v>
      </c>
      <c r="N1368" t="s">
        <v>14331</v>
      </c>
      <c r="O1368" t="s">
        <v>32633</v>
      </c>
    </row>
    <row r="1369" spans="1:15" x14ac:dyDescent="0.25">
      <c r="A1369" s="35" t="s">
        <v>5161</v>
      </c>
      <c r="B1369" s="36" t="s">
        <v>5162</v>
      </c>
      <c r="C1369" s="36" t="str">
        <f>HYPERLINK("https://rhld.insurance.arkansas.gov/NPILookup?Npi=1942991161","1942991161")</f>
        <v>1942991161</v>
      </c>
      <c r="D1369" s="36" t="s">
        <v>34021</v>
      </c>
      <c r="E1369" s="36" t="s">
        <v>2</v>
      </c>
      <c r="F1369" s="36">
        <v>1</v>
      </c>
      <c r="G1369" s="36">
        <v>2</v>
      </c>
      <c r="H1369" s="36">
        <v>0</v>
      </c>
      <c r="I1369" s="37">
        <v>0</v>
      </c>
      <c r="J1369" s="36"/>
      <c r="K1369" s="36" t="s">
        <v>14330</v>
      </c>
      <c r="L1369" s="36" t="s">
        <v>14330</v>
      </c>
      <c r="M1369">
        <v>2</v>
      </c>
      <c r="N1369" t="s">
        <v>14331</v>
      </c>
      <c r="O1369" t="s">
        <v>14333</v>
      </c>
    </row>
    <row r="1370" spans="1:15" x14ac:dyDescent="0.25">
      <c r="A1370" s="35" t="s">
        <v>5161</v>
      </c>
      <c r="B1370" s="36" t="s">
        <v>5162</v>
      </c>
      <c r="C1370" s="36" t="str">
        <f>HYPERLINK("https://rhld.insurance.arkansas.gov/NPILookup?Npi=1952389504","1952389504")</f>
        <v>1952389504</v>
      </c>
      <c r="D1370" s="36" t="s">
        <v>34022</v>
      </c>
      <c r="E1370" s="36" t="s">
        <v>1</v>
      </c>
      <c r="F1370" s="36">
        <v>1</v>
      </c>
      <c r="G1370" s="36">
        <v>2</v>
      </c>
      <c r="H1370" s="36">
        <v>0</v>
      </c>
      <c r="I1370" s="37">
        <v>0</v>
      </c>
      <c r="J1370" s="36" t="s">
        <v>32654</v>
      </c>
      <c r="K1370" s="36" t="s">
        <v>14330</v>
      </c>
      <c r="L1370" s="36" t="s">
        <v>14330</v>
      </c>
      <c r="M1370">
        <v>2</v>
      </c>
      <c r="N1370" t="s">
        <v>14331</v>
      </c>
      <c r="O1370" t="s">
        <v>32633</v>
      </c>
    </row>
    <row r="1371" spans="1:15" x14ac:dyDescent="0.25">
      <c r="A1371" s="35" t="s">
        <v>5161</v>
      </c>
      <c r="B1371" s="36" t="s">
        <v>5162</v>
      </c>
      <c r="C1371" s="36" t="str">
        <f>HYPERLINK("https://rhld.insurance.arkansas.gov/NPILookup?Npi=1962182964","1962182964")</f>
        <v>1962182964</v>
      </c>
      <c r="D1371" s="36" t="s">
        <v>34023</v>
      </c>
      <c r="E1371" s="36" t="s">
        <v>2</v>
      </c>
      <c r="F1371" s="36">
        <v>2</v>
      </c>
      <c r="G1371" s="36">
        <v>2</v>
      </c>
      <c r="H1371" s="36">
        <v>0</v>
      </c>
      <c r="I1371" s="37">
        <v>0</v>
      </c>
      <c r="J1371" s="36" t="s">
        <v>33004</v>
      </c>
      <c r="K1371" s="36" t="s">
        <v>14330</v>
      </c>
      <c r="L1371" s="36" t="s">
        <v>14330</v>
      </c>
      <c r="M1371">
        <v>2</v>
      </c>
      <c r="N1371" t="s">
        <v>14331</v>
      </c>
      <c r="O1371" t="s">
        <v>14333</v>
      </c>
    </row>
    <row r="1372" spans="1:15" x14ac:dyDescent="0.25">
      <c r="A1372" s="35" t="s">
        <v>5161</v>
      </c>
      <c r="B1372" s="36" t="s">
        <v>5162</v>
      </c>
      <c r="C1372" s="36" t="str">
        <f>HYPERLINK("https://rhld.insurance.arkansas.gov/NPILookup?Npi=1972340214","1972340214")</f>
        <v>1972340214</v>
      </c>
      <c r="D1372" s="36" t="s">
        <v>34024</v>
      </c>
      <c r="E1372" s="36" t="s">
        <v>2</v>
      </c>
      <c r="F1372" s="36">
        <v>1</v>
      </c>
      <c r="G1372" s="36">
        <v>2</v>
      </c>
      <c r="H1372" s="36">
        <v>0</v>
      </c>
      <c r="I1372" s="37">
        <v>0</v>
      </c>
      <c r="J1372" s="36"/>
      <c r="K1372" s="36" t="s">
        <v>14330</v>
      </c>
      <c r="L1372" s="36" t="s">
        <v>14330</v>
      </c>
      <c r="M1372">
        <v>1</v>
      </c>
      <c r="N1372" t="s">
        <v>14331</v>
      </c>
      <c r="O1372" t="s">
        <v>14333</v>
      </c>
    </row>
    <row r="1373" spans="1:15" x14ac:dyDescent="0.25">
      <c r="A1373" s="35" t="s">
        <v>5161</v>
      </c>
      <c r="B1373" s="36" t="s">
        <v>5162</v>
      </c>
      <c r="C1373" s="36" t="str">
        <f>HYPERLINK("https://rhld.insurance.arkansas.gov/NPILookup?Npi=1982481842","1982481842")</f>
        <v>1982481842</v>
      </c>
      <c r="D1373" s="36" t="s">
        <v>34025</v>
      </c>
      <c r="E1373" s="36" t="s">
        <v>2</v>
      </c>
      <c r="F1373" s="36">
        <v>2</v>
      </c>
      <c r="G1373" s="36">
        <v>1</v>
      </c>
      <c r="H1373" s="36">
        <v>0</v>
      </c>
      <c r="I1373" s="37">
        <v>0</v>
      </c>
      <c r="J1373" s="36" t="s">
        <v>33004</v>
      </c>
      <c r="K1373" s="36" t="s">
        <v>14330</v>
      </c>
      <c r="L1373" s="36" t="s">
        <v>14330</v>
      </c>
      <c r="M1373">
        <v>2</v>
      </c>
      <c r="N1373" t="s">
        <v>14331</v>
      </c>
      <c r="O1373" t="s">
        <v>32633</v>
      </c>
    </row>
    <row r="1374" spans="1:15" x14ac:dyDescent="0.25">
      <c r="A1374" s="35" t="s">
        <v>5161</v>
      </c>
      <c r="B1374" s="36" t="s">
        <v>5162</v>
      </c>
      <c r="C1374" s="36" t="str">
        <f>HYPERLINK("https://rhld.insurance.arkansas.gov/NPILookup?Npi=1992523724","1992523724")</f>
        <v>1992523724</v>
      </c>
      <c r="D1374" s="36" t="s">
        <v>34026</v>
      </c>
      <c r="E1374" s="36" t="s">
        <v>2</v>
      </c>
      <c r="F1374" s="36">
        <v>1</v>
      </c>
      <c r="G1374" s="36">
        <v>2</v>
      </c>
      <c r="H1374" s="36">
        <v>0</v>
      </c>
      <c r="I1374" s="37">
        <v>0</v>
      </c>
      <c r="J1374" s="36"/>
      <c r="K1374" s="36" t="s">
        <v>14330</v>
      </c>
      <c r="L1374" s="36" t="s">
        <v>14330</v>
      </c>
      <c r="M1374">
        <v>2</v>
      </c>
      <c r="N1374" t="s">
        <v>14331</v>
      </c>
      <c r="O1374" t="s">
        <v>14333</v>
      </c>
    </row>
    <row r="1375" spans="1:15" x14ac:dyDescent="0.25">
      <c r="A1375" s="35" t="s">
        <v>5526</v>
      </c>
      <c r="B1375" s="36" t="s">
        <v>5527</v>
      </c>
      <c r="C1375" s="36" t="str">
        <f>HYPERLINK("https://rhld.insurance.arkansas.gov/NPILookup?Npi=1003097841","1003097841")</f>
        <v>1003097841</v>
      </c>
      <c r="D1375" s="36" t="s">
        <v>34027</v>
      </c>
      <c r="E1375" s="36" t="s">
        <v>1</v>
      </c>
      <c r="F1375" s="36">
        <v>1</v>
      </c>
      <c r="G1375" s="36">
        <v>2</v>
      </c>
      <c r="H1375" s="36">
        <v>0</v>
      </c>
      <c r="I1375" s="37">
        <v>0</v>
      </c>
      <c r="J1375" s="36" t="s">
        <v>32654</v>
      </c>
      <c r="K1375" s="36" t="s">
        <v>14330</v>
      </c>
      <c r="L1375" s="36" t="s">
        <v>14330</v>
      </c>
      <c r="M1375">
        <v>2</v>
      </c>
      <c r="N1375" t="s">
        <v>14331</v>
      </c>
      <c r="O1375" t="s">
        <v>32633</v>
      </c>
    </row>
    <row r="1376" spans="1:15" x14ac:dyDescent="0.25">
      <c r="A1376" s="35" t="s">
        <v>5526</v>
      </c>
      <c r="B1376" s="36" t="s">
        <v>5527</v>
      </c>
      <c r="C1376" s="36" t="str">
        <f>HYPERLINK("https://rhld.insurance.arkansas.gov/NPILookup?Npi=1033123195","1033123195")</f>
        <v>1033123195</v>
      </c>
      <c r="D1376" s="36" t="s">
        <v>34028</v>
      </c>
      <c r="E1376" s="36" t="s">
        <v>2</v>
      </c>
      <c r="F1376" s="36">
        <v>1</v>
      </c>
      <c r="G1376" s="36">
        <v>2</v>
      </c>
      <c r="H1376" s="36">
        <v>0</v>
      </c>
      <c r="I1376" s="37">
        <v>0</v>
      </c>
      <c r="J1376" s="36" t="s">
        <v>32679</v>
      </c>
      <c r="K1376" s="36" t="s">
        <v>14330</v>
      </c>
      <c r="L1376" s="36" t="s">
        <v>14330</v>
      </c>
      <c r="M1376">
        <v>1</v>
      </c>
      <c r="N1376" t="s">
        <v>14331</v>
      </c>
      <c r="O1376" t="s">
        <v>14333</v>
      </c>
    </row>
    <row r="1377" spans="1:15" x14ac:dyDescent="0.25">
      <c r="A1377" s="35" t="s">
        <v>5526</v>
      </c>
      <c r="B1377" s="36" t="s">
        <v>5527</v>
      </c>
      <c r="C1377" s="36" t="str">
        <f>HYPERLINK("https://rhld.insurance.arkansas.gov/NPILookup?Npi=1053393785","1053393785")</f>
        <v>1053393785</v>
      </c>
      <c r="D1377" s="36" t="s">
        <v>31257</v>
      </c>
      <c r="E1377" s="36" t="s">
        <v>1</v>
      </c>
      <c r="F1377" s="36">
        <v>1</v>
      </c>
      <c r="G1377" s="36">
        <v>1</v>
      </c>
      <c r="H1377" s="36">
        <v>0</v>
      </c>
      <c r="I1377" s="37">
        <v>0</v>
      </c>
      <c r="J1377" s="36" t="s">
        <v>32654</v>
      </c>
      <c r="K1377" s="36" t="s">
        <v>14330</v>
      </c>
      <c r="L1377" s="36" t="s">
        <v>14330</v>
      </c>
      <c r="M1377">
        <v>3</v>
      </c>
      <c r="N1377" t="s">
        <v>14331</v>
      </c>
      <c r="O1377" t="s">
        <v>32633</v>
      </c>
    </row>
    <row r="1378" spans="1:15" x14ac:dyDescent="0.25">
      <c r="A1378" s="35" t="s">
        <v>5526</v>
      </c>
      <c r="B1378" s="36" t="s">
        <v>5527</v>
      </c>
      <c r="C1378" s="36" t="str">
        <f>HYPERLINK("https://rhld.insurance.arkansas.gov/NPILookup?Npi=1053536060","1053536060")</f>
        <v>1053536060</v>
      </c>
      <c r="D1378" s="36" t="s">
        <v>32960</v>
      </c>
      <c r="E1378" s="36" t="s">
        <v>1</v>
      </c>
      <c r="F1378" s="36">
        <v>1</v>
      </c>
      <c r="G1378" s="36">
        <v>3</v>
      </c>
      <c r="H1378" s="36">
        <v>0</v>
      </c>
      <c r="I1378" s="37">
        <v>0</v>
      </c>
      <c r="J1378" s="36" t="s">
        <v>32654</v>
      </c>
      <c r="K1378" s="36" t="s">
        <v>14330</v>
      </c>
      <c r="L1378" s="36" t="s">
        <v>14330</v>
      </c>
      <c r="M1378">
        <v>2</v>
      </c>
      <c r="N1378" t="s">
        <v>14331</v>
      </c>
      <c r="O1378" t="s">
        <v>32633</v>
      </c>
    </row>
    <row r="1379" spans="1:15" x14ac:dyDescent="0.25">
      <c r="A1379" s="35" t="s">
        <v>5526</v>
      </c>
      <c r="B1379" s="36" t="s">
        <v>5527</v>
      </c>
      <c r="C1379" s="36" t="str">
        <f>HYPERLINK("https://rhld.insurance.arkansas.gov/NPILookup?Npi=1053846154","1053846154")</f>
        <v>1053846154</v>
      </c>
      <c r="D1379" s="36" t="s">
        <v>34029</v>
      </c>
      <c r="E1379" s="36" t="s">
        <v>1</v>
      </c>
      <c r="F1379" s="36">
        <v>1</v>
      </c>
      <c r="G1379" s="36">
        <v>2</v>
      </c>
      <c r="H1379" s="36">
        <v>0</v>
      </c>
      <c r="I1379" s="37">
        <v>0</v>
      </c>
      <c r="J1379" s="36" t="s">
        <v>32723</v>
      </c>
      <c r="K1379" s="36" t="s">
        <v>14330</v>
      </c>
      <c r="L1379" s="36" t="s">
        <v>14330</v>
      </c>
      <c r="M1379">
        <v>3</v>
      </c>
      <c r="N1379" t="s">
        <v>14331</v>
      </c>
      <c r="O1379" t="s">
        <v>32724</v>
      </c>
    </row>
    <row r="1380" spans="1:15" x14ac:dyDescent="0.25">
      <c r="A1380" s="35" t="s">
        <v>5526</v>
      </c>
      <c r="B1380" s="36" t="s">
        <v>5527</v>
      </c>
      <c r="C1380" s="36" t="str">
        <f>HYPERLINK("https://rhld.insurance.arkansas.gov/NPILookup?Npi=1053848457","1053848457")</f>
        <v>1053848457</v>
      </c>
      <c r="D1380" s="36" t="s">
        <v>34030</v>
      </c>
      <c r="E1380" s="36" t="s">
        <v>1</v>
      </c>
      <c r="F1380" s="36">
        <v>1</v>
      </c>
      <c r="G1380" s="36">
        <v>3</v>
      </c>
      <c r="H1380" s="36">
        <v>0</v>
      </c>
      <c r="I1380" s="37">
        <v>0</v>
      </c>
      <c r="J1380" s="36" t="s">
        <v>32654</v>
      </c>
      <c r="K1380" s="36" t="s">
        <v>14330</v>
      </c>
      <c r="L1380" s="36" t="s">
        <v>14330</v>
      </c>
      <c r="M1380">
        <v>1</v>
      </c>
      <c r="N1380" t="s">
        <v>14331</v>
      </c>
      <c r="O1380" t="s">
        <v>32633</v>
      </c>
    </row>
    <row r="1381" spans="1:15" x14ac:dyDescent="0.25">
      <c r="A1381" s="35" t="s">
        <v>5526</v>
      </c>
      <c r="B1381" s="36" t="s">
        <v>5527</v>
      </c>
      <c r="C1381" s="36" t="str">
        <f>HYPERLINK("https://rhld.insurance.arkansas.gov/NPILookup?Npi=1063582278","1063582278")</f>
        <v>1063582278</v>
      </c>
      <c r="D1381" s="36" t="s">
        <v>34031</v>
      </c>
      <c r="E1381" s="36" t="s">
        <v>2</v>
      </c>
      <c r="F1381" s="36">
        <v>1</v>
      </c>
      <c r="G1381" s="36">
        <v>1</v>
      </c>
      <c r="H1381" s="36">
        <v>0</v>
      </c>
      <c r="I1381" s="37">
        <v>0</v>
      </c>
      <c r="J1381" s="36" t="s">
        <v>32679</v>
      </c>
      <c r="K1381" s="36" t="s">
        <v>14330</v>
      </c>
      <c r="L1381" s="36" t="s">
        <v>14330</v>
      </c>
      <c r="M1381">
        <v>0</v>
      </c>
      <c r="N1381" t="s">
        <v>14331</v>
      </c>
      <c r="O1381" t="s">
        <v>32633</v>
      </c>
    </row>
    <row r="1382" spans="1:15" x14ac:dyDescent="0.25">
      <c r="A1382" s="35" t="s">
        <v>5526</v>
      </c>
      <c r="B1382" s="36" t="s">
        <v>5527</v>
      </c>
      <c r="C1382" s="36" t="str">
        <f>HYPERLINK("https://rhld.insurance.arkansas.gov/NPILookup?Npi=1063779213","1063779213")</f>
        <v>1063779213</v>
      </c>
      <c r="D1382" s="36" t="s">
        <v>34032</v>
      </c>
      <c r="E1382" s="36" t="s">
        <v>2</v>
      </c>
      <c r="F1382" s="36">
        <v>1</v>
      </c>
      <c r="G1382" s="36">
        <v>0</v>
      </c>
      <c r="H1382" s="36">
        <v>0</v>
      </c>
      <c r="I1382" s="37">
        <v>0</v>
      </c>
      <c r="J1382" s="36" t="s">
        <v>32679</v>
      </c>
      <c r="K1382" s="36" t="s">
        <v>14330</v>
      </c>
      <c r="L1382" s="36" t="s">
        <v>14330</v>
      </c>
      <c r="M1382">
        <v>1</v>
      </c>
      <c r="N1382" t="s">
        <v>14331</v>
      </c>
      <c r="O1382" t="s">
        <v>32633</v>
      </c>
    </row>
    <row r="1383" spans="1:15" x14ac:dyDescent="0.25">
      <c r="A1383" s="35" t="s">
        <v>5526</v>
      </c>
      <c r="B1383" s="36" t="s">
        <v>5527</v>
      </c>
      <c r="C1383" s="36" t="str">
        <f>HYPERLINK("https://rhld.insurance.arkansas.gov/NPILookup?Npi=1073036232","1073036232")</f>
        <v>1073036232</v>
      </c>
      <c r="D1383" s="36" t="s">
        <v>34033</v>
      </c>
      <c r="E1383" s="36" t="s">
        <v>2</v>
      </c>
      <c r="F1383" s="36">
        <v>1</v>
      </c>
      <c r="G1383" s="36">
        <v>1</v>
      </c>
      <c r="H1383" s="36">
        <v>0</v>
      </c>
      <c r="I1383" s="37">
        <v>0</v>
      </c>
      <c r="J1383" s="36" t="s">
        <v>32679</v>
      </c>
      <c r="K1383" s="36" t="s">
        <v>14330</v>
      </c>
      <c r="L1383" s="36" t="s">
        <v>14330</v>
      </c>
      <c r="M1383">
        <v>2</v>
      </c>
      <c r="N1383" t="s">
        <v>14331</v>
      </c>
      <c r="O1383" t="s">
        <v>32633</v>
      </c>
    </row>
    <row r="1384" spans="1:15" x14ac:dyDescent="0.25">
      <c r="A1384" s="35" t="s">
        <v>5526</v>
      </c>
      <c r="B1384" s="36" t="s">
        <v>5527</v>
      </c>
      <c r="C1384" s="36" t="str">
        <f>HYPERLINK("https://rhld.insurance.arkansas.gov/NPILookup?Npi=1083806210","1083806210")</f>
        <v>1083806210</v>
      </c>
      <c r="D1384" s="36" t="s">
        <v>34034</v>
      </c>
      <c r="E1384" s="36" t="s">
        <v>1</v>
      </c>
      <c r="F1384" s="36">
        <v>1</v>
      </c>
      <c r="G1384" s="36">
        <v>2</v>
      </c>
      <c r="H1384" s="36">
        <v>0</v>
      </c>
      <c r="I1384" s="37">
        <v>0</v>
      </c>
      <c r="J1384" s="36" t="s">
        <v>32654</v>
      </c>
      <c r="K1384" s="36" t="s">
        <v>14330</v>
      </c>
      <c r="L1384" s="36" t="s">
        <v>14330</v>
      </c>
      <c r="M1384">
        <v>3</v>
      </c>
      <c r="N1384" t="s">
        <v>14331</v>
      </c>
      <c r="O1384" t="s">
        <v>32633</v>
      </c>
    </row>
    <row r="1385" spans="1:15" x14ac:dyDescent="0.25">
      <c r="A1385" s="35" t="s">
        <v>5526</v>
      </c>
      <c r="B1385" s="36" t="s">
        <v>5527</v>
      </c>
      <c r="C1385" s="36" t="str">
        <f>HYPERLINK("https://rhld.insurance.arkansas.gov/NPILookup?Npi=1104842483","1104842483")</f>
        <v>1104842483</v>
      </c>
      <c r="D1385" s="36" t="s">
        <v>34035</v>
      </c>
      <c r="E1385" s="36" t="s">
        <v>1</v>
      </c>
      <c r="F1385" s="36">
        <v>1</v>
      </c>
      <c r="G1385" s="36">
        <v>3</v>
      </c>
      <c r="H1385" s="36">
        <v>0</v>
      </c>
      <c r="I1385" s="37">
        <v>0</v>
      </c>
      <c r="J1385" s="36" t="s">
        <v>32654</v>
      </c>
      <c r="K1385" s="36" t="s">
        <v>14330</v>
      </c>
      <c r="L1385" s="36" t="s">
        <v>14330</v>
      </c>
      <c r="M1385">
        <v>2</v>
      </c>
      <c r="N1385" t="s">
        <v>14331</v>
      </c>
      <c r="O1385" t="s">
        <v>32633</v>
      </c>
    </row>
    <row r="1386" spans="1:15" x14ac:dyDescent="0.25">
      <c r="A1386" s="35" t="s">
        <v>5526</v>
      </c>
      <c r="B1386" s="36" t="s">
        <v>5527</v>
      </c>
      <c r="C1386" s="36" t="str">
        <f>HYPERLINK("https://rhld.insurance.arkansas.gov/NPILookup?Npi=1134173024","1134173024")</f>
        <v>1134173024</v>
      </c>
      <c r="D1386" s="36" t="s">
        <v>34036</v>
      </c>
      <c r="E1386" s="36" t="s">
        <v>1</v>
      </c>
      <c r="F1386" s="36">
        <v>1</v>
      </c>
      <c r="G1386" s="36">
        <v>2</v>
      </c>
      <c r="H1386" s="36">
        <v>0</v>
      </c>
      <c r="I1386" s="37">
        <v>0</v>
      </c>
      <c r="J1386" s="36" t="s">
        <v>32654</v>
      </c>
      <c r="K1386" s="36" t="s">
        <v>14330</v>
      </c>
      <c r="L1386" s="36" t="s">
        <v>14330</v>
      </c>
      <c r="M1386">
        <v>3</v>
      </c>
      <c r="N1386" t="s">
        <v>14331</v>
      </c>
      <c r="O1386" t="s">
        <v>32633</v>
      </c>
    </row>
    <row r="1387" spans="1:15" x14ac:dyDescent="0.25">
      <c r="A1387" s="35" t="s">
        <v>5526</v>
      </c>
      <c r="B1387" s="36" t="s">
        <v>5527</v>
      </c>
      <c r="C1387" s="36" t="str">
        <f>HYPERLINK("https://rhld.insurance.arkansas.gov/NPILookup?Npi=1144586280","1144586280")</f>
        <v>1144586280</v>
      </c>
      <c r="D1387" s="36" t="s">
        <v>34037</v>
      </c>
      <c r="E1387" s="36" t="s">
        <v>1</v>
      </c>
      <c r="F1387" s="36">
        <v>1</v>
      </c>
      <c r="G1387" s="36">
        <v>3</v>
      </c>
      <c r="H1387" s="36">
        <v>0</v>
      </c>
      <c r="I1387" s="37">
        <v>0</v>
      </c>
      <c r="J1387" s="36" t="s">
        <v>32654</v>
      </c>
      <c r="K1387" s="36" t="s">
        <v>14330</v>
      </c>
      <c r="L1387" s="36" t="s">
        <v>14330</v>
      </c>
      <c r="M1387">
        <v>1</v>
      </c>
      <c r="N1387" t="s">
        <v>14331</v>
      </c>
      <c r="O1387" t="s">
        <v>32633</v>
      </c>
    </row>
    <row r="1388" spans="1:15" x14ac:dyDescent="0.25">
      <c r="A1388" s="35" t="s">
        <v>5526</v>
      </c>
      <c r="B1388" s="36" t="s">
        <v>5527</v>
      </c>
      <c r="C1388" s="36" t="str">
        <f>HYPERLINK("https://rhld.insurance.arkansas.gov/NPILookup?Npi=1174056121","1174056121")</f>
        <v>1174056121</v>
      </c>
      <c r="D1388" s="36" t="s">
        <v>34038</v>
      </c>
      <c r="E1388" s="36" t="s">
        <v>1</v>
      </c>
      <c r="F1388" s="36">
        <v>1</v>
      </c>
      <c r="G1388" s="36">
        <v>2</v>
      </c>
      <c r="H1388" s="36">
        <v>1</v>
      </c>
      <c r="I1388" s="37">
        <v>0</v>
      </c>
      <c r="J1388" s="36" t="s">
        <v>32654</v>
      </c>
      <c r="K1388" s="36" t="s">
        <v>14330</v>
      </c>
      <c r="L1388" s="36" t="s">
        <v>34039</v>
      </c>
      <c r="M1388">
        <v>2</v>
      </c>
      <c r="N1388" t="s">
        <v>14332</v>
      </c>
      <c r="O1388" t="s">
        <v>32591</v>
      </c>
    </row>
    <row r="1389" spans="1:15" x14ac:dyDescent="0.25">
      <c r="A1389" s="35" t="s">
        <v>5526</v>
      </c>
      <c r="B1389" s="36" t="s">
        <v>5527</v>
      </c>
      <c r="C1389" s="36" t="str">
        <f>HYPERLINK("https://rhld.insurance.arkansas.gov/NPILookup?Npi=1174532469","1174532469")</f>
        <v>1174532469</v>
      </c>
      <c r="D1389" s="36" t="s">
        <v>34040</v>
      </c>
      <c r="E1389" s="36" t="s">
        <v>2</v>
      </c>
      <c r="F1389" s="36">
        <v>1</v>
      </c>
      <c r="G1389" s="36">
        <v>2</v>
      </c>
      <c r="H1389" s="36">
        <v>0</v>
      </c>
      <c r="I1389" s="37">
        <v>0</v>
      </c>
      <c r="J1389" s="36" t="s">
        <v>32679</v>
      </c>
      <c r="K1389" s="36" t="s">
        <v>14330</v>
      </c>
      <c r="L1389" s="36" t="s">
        <v>14330</v>
      </c>
      <c r="M1389">
        <v>2</v>
      </c>
      <c r="N1389" t="s">
        <v>14331</v>
      </c>
      <c r="O1389" t="s">
        <v>14333</v>
      </c>
    </row>
    <row r="1390" spans="1:15" x14ac:dyDescent="0.25">
      <c r="A1390" s="35" t="s">
        <v>5526</v>
      </c>
      <c r="B1390" s="36" t="s">
        <v>5527</v>
      </c>
      <c r="C1390" s="36" t="str">
        <f>HYPERLINK("https://rhld.insurance.arkansas.gov/NPILookup?Npi=1184720807","1184720807")</f>
        <v>1184720807</v>
      </c>
      <c r="D1390" s="36" t="s">
        <v>34041</v>
      </c>
      <c r="E1390" s="36" t="s">
        <v>2</v>
      </c>
      <c r="F1390" s="36">
        <v>1</v>
      </c>
      <c r="G1390" s="36">
        <v>2</v>
      </c>
      <c r="H1390" s="36">
        <v>0</v>
      </c>
      <c r="I1390" s="37">
        <v>0</v>
      </c>
      <c r="J1390" s="36" t="s">
        <v>32679</v>
      </c>
      <c r="K1390" s="36" t="s">
        <v>14330</v>
      </c>
      <c r="L1390" s="36" t="s">
        <v>14330</v>
      </c>
      <c r="M1390">
        <v>1</v>
      </c>
      <c r="N1390" t="s">
        <v>14331</v>
      </c>
      <c r="O1390" t="s">
        <v>14333</v>
      </c>
    </row>
    <row r="1391" spans="1:15" x14ac:dyDescent="0.25">
      <c r="A1391" s="35" t="s">
        <v>5526</v>
      </c>
      <c r="B1391" s="36" t="s">
        <v>5527</v>
      </c>
      <c r="C1391" s="36" t="str">
        <f>HYPERLINK("https://rhld.insurance.arkansas.gov/NPILookup?Npi=1194954222","1194954222")</f>
        <v>1194954222</v>
      </c>
      <c r="D1391" s="36" t="s">
        <v>34042</v>
      </c>
      <c r="E1391" s="36" t="s">
        <v>1</v>
      </c>
      <c r="F1391" s="36">
        <v>1</v>
      </c>
      <c r="G1391" s="36">
        <v>2</v>
      </c>
      <c r="H1391" s="36">
        <v>1</v>
      </c>
      <c r="I1391" s="37">
        <v>0</v>
      </c>
      <c r="J1391" s="36" t="s">
        <v>32654</v>
      </c>
      <c r="K1391" s="36" t="s">
        <v>14330</v>
      </c>
      <c r="L1391" s="36" t="s">
        <v>33686</v>
      </c>
      <c r="M1391">
        <v>2</v>
      </c>
      <c r="N1391" t="s">
        <v>14332</v>
      </c>
      <c r="O1391" t="s">
        <v>32591</v>
      </c>
    </row>
    <row r="1392" spans="1:15" x14ac:dyDescent="0.25">
      <c r="A1392" s="35" t="s">
        <v>5526</v>
      </c>
      <c r="B1392" s="36" t="s">
        <v>5527</v>
      </c>
      <c r="C1392" s="36" t="str">
        <f>HYPERLINK("https://rhld.insurance.arkansas.gov/NPILookup?Npi=1205923471","1205923471")</f>
        <v>1205923471</v>
      </c>
      <c r="D1392" s="36" t="s">
        <v>34043</v>
      </c>
      <c r="E1392" s="36" t="s">
        <v>1</v>
      </c>
      <c r="F1392" s="36">
        <v>1</v>
      </c>
      <c r="G1392" s="36">
        <v>2</v>
      </c>
      <c r="H1392" s="36">
        <v>0</v>
      </c>
      <c r="I1392" s="37">
        <v>0</v>
      </c>
      <c r="J1392" s="36" t="s">
        <v>32723</v>
      </c>
      <c r="K1392" s="36" t="s">
        <v>14330</v>
      </c>
      <c r="L1392" s="36" t="s">
        <v>14330</v>
      </c>
      <c r="M1392">
        <v>3</v>
      </c>
      <c r="N1392" t="s">
        <v>14331</v>
      </c>
      <c r="O1392" t="s">
        <v>32724</v>
      </c>
    </row>
    <row r="1393" spans="1:15" x14ac:dyDescent="0.25">
      <c r="A1393" s="35" t="s">
        <v>5526</v>
      </c>
      <c r="B1393" s="36" t="s">
        <v>5527</v>
      </c>
      <c r="C1393" s="36" t="str">
        <f>HYPERLINK("https://rhld.insurance.arkansas.gov/NPILookup?Npi=1225418668","1225418668")</f>
        <v>1225418668</v>
      </c>
      <c r="D1393" s="36" t="s">
        <v>34044</v>
      </c>
      <c r="E1393" s="36" t="s">
        <v>1</v>
      </c>
      <c r="F1393" s="36">
        <v>1</v>
      </c>
      <c r="G1393" s="36">
        <v>3</v>
      </c>
      <c r="H1393" s="36">
        <v>0</v>
      </c>
      <c r="I1393" s="37">
        <v>0</v>
      </c>
      <c r="J1393" s="36" t="s">
        <v>32654</v>
      </c>
      <c r="K1393" s="36" t="s">
        <v>14330</v>
      </c>
      <c r="L1393" s="36" t="s">
        <v>14330</v>
      </c>
      <c r="M1393">
        <v>1</v>
      </c>
      <c r="N1393" t="s">
        <v>14331</v>
      </c>
      <c r="O1393" t="s">
        <v>32633</v>
      </c>
    </row>
    <row r="1394" spans="1:15" x14ac:dyDescent="0.25">
      <c r="A1394" s="35" t="s">
        <v>5526</v>
      </c>
      <c r="B1394" s="36" t="s">
        <v>5527</v>
      </c>
      <c r="C1394" s="36" t="str">
        <f>HYPERLINK("https://rhld.insurance.arkansas.gov/NPILookup?Npi=1245631902","1245631902")</f>
        <v>1245631902</v>
      </c>
      <c r="D1394" s="36" t="s">
        <v>34045</v>
      </c>
      <c r="E1394" s="36" t="s">
        <v>2</v>
      </c>
      <c r="F1394" s="36">
        <v>1</v>
      </c>
      <c r="G1394" s="36">
        <v>1</v>
      </c>
      <c r="H1394" s="36">
        <v>0</v>
      </c>
      <c r="I1394" s="37">
        <v>0</v>
      </c>
      <c r="J1394" s="36" t="s">
        <v>32679</v>
      </c>
      <c r="K1394" s="36" t="s">
        <v>14330</v>
      </c>
      <c r="L1394" s="36" t="s">
        <v>14330</v>
      </c>
      <c r="M1394">
        <v>3</v>
      </c>
      <c r="N1394" t="s">
        <v>14331</v>
      </c>
      <c r="O1394" t="s">
        <v>32633</v>
      </c>
    </row>
    <row r="1395" spans="1:15" x14ac:dyDescent="0.25">
      <c r="A1395" s="35" t="s">
        <v>5526</v>
      </c>
      <c r="B1395" s="36" t="s">
        <v>5527</v>
      </c>
      <c r="C1395" s="36" t="str">
        <f>HYPERLINK("https://rhld.insurance.arkansas.gov/NPILookup?Npi=1255323663","1255323663")</f>
        <v>1255323663</v>
      </c>
      <c r="D1395" s="36" t="s">
        <v>34046</v>
      </c>
      <c r="E1395" s="36" t="s">
        <v>1</v>
      </c>
      <c r="F1395" s="36">
        <v>1</v>
      </c>
      <c r="G1395" s="36">
        <v>3</v>
      </c>
      <c r="H1395" s="36">
        <v>0</v>
      </c>
      <c r="I1395" s="37">
        <v>0</v>
      </c>
      <c r="J1395" s="36" t="s">
        <v>32654</v>
      </c>
      <c r="K1395" s="36" t="s">
        <v>14330</v>
      </c>
      <c r="L1395" s="36" t="s">
        <v>14330</v>
      </c>
      <c r="M1395">
        <v>1</v>
      </c>
      <c r="N1395" t="s">
        <v>14331</v>
      </c>
      <c r="O1395" t="s">
        <v>32633</v>
      </c>
    </row>
    <row r="1396" spans="1:15" x14ac:dyDescent="0.25">
      <c r="A1396" s="35" t="s">
        <v>5526</v>
      </c>
      <c r="B1396" s="36" t="s">
        <v>5527</v>
      </c>
      <c r="C1396" s="36" t="str">
        <f>HYPERLINK("https://rhld.insurance.arkansas.gov/NPILookup?Npi=1275559924","1275559924")</f>
        <v>1275559924</v>
      </c>
      <c r="D1396" s="36" t="s">
        <v>34047</v>
      </c>
      <c r="E1396" s="36" t="s">
        <v>1</v>
      </c>
      <c r="F1396" s="36">
        <v>1</v>
      </c>
      <c r="G1396" s="36">
        <v>2</v>
      </c>
      <c r="H1396" s="36">
        <v>1</v>
      </c>
      <c r="I1396" s="37">
        <v>0</v>
      </c>
      <c r="J1396" s="36" t="s">
        <v>32654</v>
      </c>
      <c r="K1396" s="36" t="s">
        <v>14330</v>
      </c>
      <c r="L1396" s="36" t="s">
        <v>34048</v>
      </c>
      <c r="M1396">
        <v>2</v>
      </c>
      <c r="N1396" t="s">
        <v>14332</v>
      </c>
      <c r="O1396" t="s">
        <v>32591</v>
      </c>
    </row>
    <row r="1397" spans="1:15" x14ac:dyDescent="0.25">
      <c r="A1397" s="35" t="s">
        <v>5526</v>
      </c>
      <c r="B1397" s="36" t="s">
        <v>5527</v>
      </c>
      <c r="C1397" s="36" t="str">
        <f>HYPERLINK("https://rhld.insurance.arkansas.gov/NPILookup?Npi=1306288642","1306288642")</f>
        <v>1306288642</v>
      </c>
      <c r="D1397" s="36" t="s">
        <v>34049</v>
      </c>
      <c r="E1397" s="36" t="s">
        <v>2</v>
      </c>
      <c r="F1397" s="36">
        <v>1</v>
      </c>
      <c r="G1397" s="36">
        <v>2</v>
      </c>
      <c r="H1397" s="36">
        <v>0</v>
      </c>
      <c r="I1397" s="37">
        <v>0</v>
      </c>
      <c r="J1397" s="36" t="s">
        <v>32679</v>
      </c>
      <c r="K1397" s="36" t="s">
        <v>14330</v>
      </c>
      <c r="L1397" s="36" t="s">
        <v>14330</v>
      </c>
      <c r="M1397">
        <v>1</v>
      </c>
      <c r="N1397" t="s">
        <v>14331</v>
      </c>
      <c r="O1397" t="s">
        <v>14333</v>
      </c>
    </row>
    <row r="1398" spans="1:15" x14ac:dyDescent="0.25">
      <c r="A1398" s="35" t="s">
        <v>5526</v>
      </c>
      <c r="B1398" s="36" t="s">
        <v>5527</v>
      </c>
      <c r="C1398" s="36" t="str">
        <f>HYPERLINK("https://rhld.insurance.arkansas.gov/NPILookup?Npi=1306826250","1306826250")</f>
        <v>1306826250</v>
      </c>
      <c r="D1398" s="36" t="s">
        <v>34050</v>
      </c>
      <c r="E1398" s="36" t="s">
        <v>2</v>
      </c>
      <c r="F1398" s="36">
        <v>1</v>
      </c>
      <c r="G1398" s="36">
        <v>1</v>
      </c>
      <c r="H1398" s="36">
        <v>0</v>
      </c>
      <c r="I1398" s="37">
        <v>0</v>
      </c>
      <c r="J1398" s="36" t="s">
        <v>32679</v>
      </c>
      <c r="K1398" s="36" t="s">
        <v>14330</v>
      </c>
      <c r="L1398" s="36" t="s">
        <v>14330</v>
      </c>
      <c r="M1398">
        <v>2</v>
      </c>
      <c r="N1398" t="s">
        <v>14331</v>
      </c>
      <c r="O1398" t="s">
        <v>32633</v>
      </c>
    </row>
    <row r="1399" spans="1:15" x14ac:dyDescent="0.25">
      <c r="A1399" s="35" t="s">
        <v>5526</v>
      </c>
      <c r="B1399" s="36" t="s">
        <v>5527</v>
      </c>
      <c r="C1399" s="36" t="str">
        <f>HYPERLINK("https://rhld.insurance.arkansas.gov/NPILookup?Npi=1306936976","1306936976")</f>
        <v>1306936976</v>
      </c>
      <c r="D1399" s="36" t="s">
        <v>34051</v>
      </c>
      <c r="E1399" s="36" t="s">
        <v>1</v>
      </c>
      <c r="F1399" s="36">
        <v>1</v>
      </c>
      <c r="G1399" s="36">
        <v>2</v>
      </c>
      <c r="H1399" s="36">
        <v>0</v>
      </c>
      <c r="I1399" s="37">
        <v>0</v>
      </c>
      <c r="J1399" s="36" t="s">
        <v>32654</v>
      </c>
      <c r="K1399" s="36" t="s">
        <v>14330</v>
      </c>
      <c r="L1399" s="36" t="s">
        <v>14330</v>
      </c>
      <c r="M1399">
        <v>2</v>
      </c>
      <c r="N1399" t="s">
        <v>14331</v>
      </c>
      <c r="O1399" t="s">
        <v>32633</v>
      </c>
    </row>
    <row r="1400" spans="1:15" x14ac:dyDescent="0.25">
      <c r="A1400" s="35" t="s">
        <v>5526</v>
      </c>
      <c r="B1400" s="36" t="s">
        <v>5527</v>
      </c>
      <c r="C1400" s="36" t="str">
        <f>HYPERLINK("https://rhld.insurance.arkansas.gov/NPILookup?Npi=1316155914","1316155914")</f>
        <v>1316155914</v>
      </c>
      <c r="D1400" s="36" t="s">
        <v>33111</v>
      </c>
      <c r="E1400" s="36" t="s">
        <v>1</v>
      </c>
      <c r="F1400" s="36">
        <v>1</v>
      </c>
      <c r="G1400" s="36">
        <v>2</v>
      </c>
      <c r="H1400" s="36">
        <v>0</v>
      </c>
      <c r="I1400" s="37">
        <v>0</v>
      </c>
      <c r="J1400" s="36" t="s">
        <v>32654</v>
      </c>
      <c r="K1400" s="36" t="s">
        <v>14330</v>
      </c>
      <c r="L1400" s="36" t="s">
        <v>14330</v>
      </c>
      <c r="M1400">
        <v>1</v>
      </c>
      <c r="N1400" t="s">
        <v>14331</v>
      </c>
      <c r="O1400" t="s">
        <v>32633</v>
      </c>
    </row>
    <row r="1401" spans="1:15" x14ac:dyDescent="0.25">
      <c r="A1401" s="35" t="s">
        <v>5526</v>
      </c>
      <c r="B1401" s="36" t="s">
        <v>5527</v>
      </c>
      <c r="C1401" s="36" t="str">
        <f>HYPERLINK("https://rhld.insurance.arkansas.gov/NPILookup?Npi=1376539288","1376539288")</f>
        <v>1376539288</v>
      </c>
      <c r="D1401" s="36" t="s">
        <v>34052</v>
      </c>
      <c r="E1401" s="36" t="s">
        <v>1</v>
      </c>
      <c r="F1401" s="36">
        <v>1</v>
      </c>
      <c r="G1401" s="36">
        <v>2</v>
      </c>
      <c r="H1401" s="36">
        <v>1</v>
      </c>
      <c r="I1401" s="37">
        <v>0</v>
      </c>
      <c r="J1401" s="36" t="s">
        <v>32654</v>
      </c>
      <c r="K1401" s="36" t="s">
        <v>14330</v>
      </c>
      <c r="L1401" s="36" t="s">
        <v>34053</v>
      </c>
      <c r="M1401">
        <v>1</v>
      </c>
      <c r="N1401" t="s">
        <v>14332</v>
      </c>
      <c r="O1401" t="s">
        <v>32591</v>
      </c>
    </row>
    <row r="1402" spans="1:15" x14ac:dyDescent="0.25">
      <c r="A1402" s="35" t="s">
        <v>5526</v>
      </c>
      <c r="B1402" s="36" t="s">
        <v>5527</v>
      </c>
      <c r="C1402" s="36" t="str">
        <f>HYPERLINK("https://rhld.insurance.arkansas.gov/NPILookup?Npi=1386695674","1386695674")</f>
        <v>1386695674</v>
      </c>
      <c r="D1402" s="36" t="s">
        <v>34054</v>
      </c>
      <c r="E1402" s="36" t="s">
        <v>1</v>
      </c>
      <c r="F1402" s="36">
        <v>1</v>
      </c>
      <c r="G1402" s="36">
        <v>2</v>
      </c>
      <c r="H1402" s="36">
        <v>1</v>
      </c>
      <c r="I1402" s="37">
        <v>0</v>
      </c>
      <c r="J1402" s="36" t="s">
        <v>32654</v>
      </c>
      <c r="K1402" s="36" t="s">
        <v>14330</v>
      </c>
      <c r="L1402" s="36" t="s">
        <v>34048</v>
      </c>
      <c r="M1402">
        <v>3</v>
      </c>
      <c r="N1402" t="s">
        <v>14332</v>
      </c>
      <c r="O1402" t="s">
        <v>32591</v>
      </c>
    </row>
    <row r="1403" spans="1:15" x14ac:dyDescent="0.25">
      <c r="A1403" s="35" t="s">
        <v>5526</v>
      </c>
      <c r="B1403" s="36" t="s">
        <v>5527</v>
      </c>
      <c r="C1403" s="36" t="str">
        <f>HYPERLINK("https://rhld.insurance.arkansas.gov/NPILookup?Npi=1386987766","1386987766")</f>
        <v>1386987766</v>
      </c>
      <c r="D1403" s="36" t="s">
        <v>34055</v>
      </c>
      <c r="E1403" s="36" t="s">
        <v>1</v>
      </c>
      <c r="F1403" s="36">
        <v>1</v>
      </c>
      <c r="G1403" s="36">
        <v>3</v>
      </c>
      <c r="H1403" s="36">
        <v>0</v>
      </c>
      <c r="I1403" s="37">
        <v>0</v>
      </c>
      <c r="J1403" s="36" t="s">
        <v>32654</v>
      </c>
      <c r="K1403" s="36" t="s">
        <v>14330</v>
      </c>
      <c r="L1403" s="36" t="s">
        <v>14330</v>
      </c>
      <c r="M1403">
        <v>2</v>
      </c>
      <c r="N1403" t="s">
        <v>14331</v>
      </c>
      <c r="O1403" t="s">
        <v>32633</v>
      </c>
    </row>
    <row r="1404" spans="1:15" x14ac:dyDescent="0.25">
      <c r="A1404" s="35" t="s">
        <v>5526</v>
      </c>
      <c r="B1404" s="36" t="s">
        <v>5527</v>
      </c>
      <c r="C1404" s="36" t="str">
        <f>HYPERLINK("https://rhld.insurance.arkansas.gov/NPILookup?Npi=1437133352","1437133352")</f>
        <v>1437133352</v>
      </c>
      <c r="D1404" s="36" t="s">
        <v>34056</v>
      </c>
      <c r="E1404" s="36" t="s">
        <v>2</v>
      </c>
      <c r="F1404" s="36">
        <v>1</v>
      </c>
      <c r="G1404" s="36">
        <v>2</v>
      </c>
      <c r="H1404" s="36">
        <v>0</v>
      </c>
      <c r="I1404" s="37">
        <v>0</v>
      </c>
      <c r="J1404" s="36"/>
      <c r="K1404" s="36" t="s">
        <v>14330</v>
      </c>
      <c r="L1404" s="36" t="s">
        <v>14330</v>
      </c>
      <c r="M1404">
        <v>1</v>
      </c>
      <c r="N1404" t="s">
        <v>14331</v>
      </c>
      <c r="O1404" t="s">
        <v>14333</v>
      </c>
    </row>
    <row r="1405" spans="1:15" x14ac:dyDescent="0.25">
      <c r="A1405" s="35" t="s">
        <v>5526</v>
      </c>
      <c r="B1405" s="36" t="s">
        <v>5527</v>
      </c>
      <c r="C1405" s="36" t="str">
        <f>HYPERLINK("https://rhld.insurance.arkansas.gov/NPILookup?Npi=1437311297","1437311297")</f>
        <v>1437311297</v>
      </c>
      <c r="D1405" s="36" t="s">
        <v>34057</v>
      </c>
      <c r="E1405" s="36" t="s">
        <v>1</v>
      </c>
      <c r="F1405" s="36">
        <v>1</v>
      </c>
      <c r="G1405" s="36">
        <v>1</v>
      </c>
      <c r="H1405" s="36">
        <v>0</v>
      </c>
      <c r="I1405" s="37">
        <v>0</v>
      </c>
      <c r="J1405" s="36" t="s">
        <v>32723</v>
      </c>
      <c r="K1405" s="36" t="s">
        <v>14330</v>
      </c>
      <c r="L1405" s="36" t="s">
        <v>14330</v>
      </c>
      <c r="M1405">
        <v>3</v>
      </c>
      <c r="N1405" t="s">
        <v>14331</v>
      </c>
      <c r="O1405" t="s">
        <v>32724</v>
      </c>
    </row>
    <row r="1406" spans="1:15" x14ac:dyDescent="0.25">
      <c r="A1406" s="35" t="s">
        <v>5526</v>
      </c>
      <c r="B1406" s="36" t="s">
        <v>5527</v>
      </c>
      <c r="C1406" s="36" t="str">
        <f>HYPERLINK("https://rhld.insurance.arkansas.gov/NPILookup?Npi=1437590080","1437590080")</f>
        <v>1437590080</v>
      </c>
      <c r="D1406" s="36" t="s">
        <v>34058</v>
      </c>
      <c r="E1406" s="36" t="s">
        <v>1</v>
      </c>
      <c r="F1406" s="36">
        <v>1</v>
      </c>
      <c r="G1406" s="36">
        <v>3</v>
      </c>
      <c r="H1406" s="36">
        <v>0</v>
      </c>
      <c r="I1406" s="37">
        <v>0</v>
      </c>
      <c r="J1406" s="36" t="s">
        <v>32654</v>
      </c>
      <c r="K1406" s="36" t="s">
        <v>14330</v>
      </c>
      <c r="L1406" s="36" t="s">
        <v>14330</v>
      </c>
      <c r="M1406">
        <v>2</v>
      </c>
      <c r="N1406" t="s">
        <v>14331</v>
      </c>
      <c r="O1406" t="s">
        <v>32633</v>
      </c>
    </row>
    <row r="1407" spans="1:15" x14ac:dyDescent="0.25">
      <c r="A1407" s="35" t="s">
        <v>5526</v>
      </c>
      <c r="B1407" s="36" t="s">
        <v>5527</v>
      </c>
      <c r="C1407" s="36" t="str">
        <f>HYPERLINK("https://rhld.insurance.arkansas.gov/NPILookup?Npi=1447560719","1447560719")</f>
        <v>1447560719</v>
      </c>
      <c r="D1407" s="36" t="s">
        <v>34059</v>
      </c>
      <c r="E1407" s="36" t="s">
        <v>1</v>
      </c>
      <c r="F1407" s="36">
        <v>1</v>
      </c>
      <c r="G1407" s="36">
        <v>2</v>
      </c>
      <c r="H1407" s="36">
        <v>0</v>
      </c>
      <c r="I1407" s="37">
        <v>0</v>
      </c>
      <c r="J1407" s="36" t="s">
        <v>32654</v>
      </c>
      <c r="K1407" s="36" t="s">
        <v>14330</v>
      </c>
      <c r="L1407" s="36" t="s">
        <v>14330</v>
      </c>
      <c r="M1407">
        <v>2</v>
      </c>
      <c r="N1407" t="s">
        <v>14331</v>
      </c>
      <c r="O1407" t="s">
        <v>32633</v>
      </c>
    </row>
    <row r="1408" spans="1:15" x14ac:dyDescent="0.25">
      <c r="A1408" s="35" t="s">
        <v>5526</v>
      </c>
      <c r="B1408" s="36" t="s">
        <v>5527</v>
      </c>
      <c r="C1408" s="36" t="str">
        <f>HYPERLINK("https://rhld.insurance.arkansas.gov/NPILookup?Npi=1457524209","1457524209")</f>
        <v>1457524209</v>
      </c>
      <c r="D1408" s="36" t="s">
        <v>34060</v>
      </c>
      <c r="E1408" s="36" t="s">
        <v>1</v>
      </c>
      <c r="F1408" s="36">
        <v>1</v>
      </c>
      <c r="G1408" s="36">
        <v>2</v>
      </c>
      <c r="H1408" s="36">
        <v>0</v>
      </c>
      <c r="I1408" s="37">
        <v>0</v>
      </c>
      <c r="J1408" s="36" t="s">
        <v>32654</v>
      </c>
      <c r="K1408" s="36" t="s">
        <v>14330</v>
      </c>
      <c r="L1408" s="36" t="s">
        <v>14330</v>
      </c>
      <c r="M1408">
        <v>2</v>
      </c>
      <c r="N1408" t="s">
        <v>14331</v>
      </c>
      <c r="O1408" t="s">
        <v>32633</v>
      </c>
    </row>
    <row r="1409" spans="1:15" x14ac:dyDescent="0.25">
      <c r="A1409" s="35" t="s">
        <v>5526</v>
      </c>
      <c r="B1409" s="36" t="s">
        <v>5527</v>
      </c>
      <c r="C1409" s="36" t="str">
        <f>HYPERLINK("https://rhld.insurance.arkansas.gov/NPILookup?Npi=1477551380","1477551380")</f>
        <v>1477551380</v>
      </c>
      <c r="D1409" s="36" t="s">
        <v>34061</v>
      </c>
      <c r="E1409" s="36" t="s">
        <v>2</v>
      </c>
      <c r="F1409" s="36">
        <v>1</v>
      </c>
      <c r="G1409" s="36">
        <v>2</v>
      </c>
      <c r="H1409" s="36">
        <v>0</v>
      </c>
      <c r="I1409" s="37">
        <v>0</v>
      </c>
      <c r="J1409" s="36" t="s">
        <v>32679</v>
      </c>
      <c r="K1409" s="36" t="s">
        <v>14330</v>
      </c>
      <c r="L1409" s="36" t="s">
        <v>14330</v>
      </c>
      <c r="M1409">
        <v>0</v>
      </c>
      <c r="N1409" t="s">
        <v>14331</v>
      </c>
      <c r="O1409" t="s">
        <v>14333</v>
      </c>
    </row>
    <row r="1410" spans="1:15" x14ac:dyDescent="0.25">
      <c r="A1410" s="35" t="s">
        <v>5526</v>
      </c>
      <c r="B1410" s="36" t="s">
        <v>5527</v>
      </c>
      <c r="C1410" s="36" t="str">
        <f>HYPERLINK("https://rhld.insurance.arkansas.gov/NPILookup?Npi=1477585347","1477585347")</f>
        <v>1477585347</v>
      </c>
      <c r="D1410" s="36" t="s">
        <v>34062</v>
      </c>
      <c r="E1410" s="36" t="s">
        <v>1</v>
      </c>
      <c r="F1410" s="36">
        <v>1</v>
      </c>
      <c r="G1410" s="36">
        <v>1</v>
      </c>
      <c r="H1410" s="36">
        <v>1</v>
      </c>
      <c r="I1410" s="37">
        <v>0</v>
      </c>
      <c r="J1410" s="36" t="s">
        <v>32654</v>
      </c>
      <c r="K1410" s="36" t="s">
        <v>14330</v>
      </c>
      <c r="L1410" s="36" t="s">
        <v>33686</v>
      </c>
      <c r="M1410">
        <v>3</v>
      </c>
      <c r="N1410" t="s">
        <v>14332</v>
      </c>
      <c r="O1410" t="s">
        <v>32591</v>
      </c>
    </row>
    <row r="1411" spans="1:15" x14ac:dyDescent="0.25">
      <c r="A1411" s="35" t="s">
        <v>5526</v>
      </c>
      <c r="B1411" s="36" t="s">
        <v>5527</v>
      </c>
      <c r="C1411" s="36" t="str">
        <f>HYPERLINK("https://rhld.insurance.arkansas.gov/NPILookup?Npi=1508839572","1508839572")</f>
        <v>1508839572</v>
      </c>
      <c r="D1411" s="36" t="s">
        <v>34063</v>
      </c>
      <c r="E1411" s="36" t="s">
        <v>1</v>
      </c>
      <c r="F1411" s="36">
        <v>1</v>
      </c>
      <c r="G1411" s="36">
        <v>3</v>
      </c>
      <c r="H1411" s="36">
        <v>0</v>
      </c>
      <c r="I1411" s="37">
        <v>0</v>
      </c>
      <c r="J1411" s="36" t="s">
        <v>32654</v>
      </c>
      <c r="K1411" s="36" t="s">
        <v>14330</v>
      </c>
      <c r="L1411" s="36" t="s">
        <v>14330</v>
      </c>
      <c r="M1411">
        <v>3</v>
      </c>
      <c r="N1411" t="s">
        <v>14331</v>
      </c>
      <c r="O1411" t="s">
        <v>32633</v>
      </c>
    </row>
    <row r="1412" spans="1:15" x14ac:dyDescent="0.25">
      <c r="A1412" s="35" t="s">
        <v>5526</v>
      </c>
      <c r="B1412" s="36" t="s">
        <v>5527</v>
      </c>
      <c r="C1412" s="36" t="str">
        <f>HYPERLINK("https://rhld.insurance.arkansas.gov/NPILookup?Npi=1558562710","1558562710")</f>
        <v>1558562710</v>
      </c>
      <c r="D1412" s="36" t="s">
        <v>34064</v>
      </c>
      <c r="E1412" s="36" t="s">
        <v>1</v>
      </c>
      <c r="F1412" s="36">
        <v>1</v>
      </c>
      <c r="G1412" s="36">
        <v>3</v>
      </c>
      <c r="H1412" s="36">
        <v>0</v>
      </c>
      <c r="I1412" s="37">
        <v>0</v>
      </c>
      <c r="J1412" s="36" t="s">
        <v>32654</v>
      </c>
      <c r="K1412" s="36" t="s">
        <v>14330</v>
      </c>
      <c r="L1412" s="36" t="s">
        <v>14330</v>
      </c>
      <c r="M1412">
        <v>2</v>
      </c>
      <c r="N1412" t="s">
        <v>14331</v>
      </c>
      <c r="O1412" t="s">
        <v>32633</v>
      </c>
    </row>
    <row r="1413" spans="1:15" x14ac:dyDescent="0.25">
      <c r="A1413" s="35" t="s">
        <v>5526</v>
      </c>
      <c r="B1413" s="36" t="s">
        <v>5527</v>
      </c>
      <c r="C1413" s="36" t="str">
        <f>HYPERLINK("https://rhld.insurance.arkansas.gov/NPILookup?Npi=1568782811","1568782811")</f>
        <v>1568782811</v>
      </c>
      <c r="D1413" s="36" t="s">
        <v>34065</v>
      </c>
      <c r="E1413" s="36" t="s">
        <v>1</v>
      </c>
      <c r="F1413" s="36">
        <v>1</v>
      </c>
      <c r="G1413" s="36">
        <v>2</v>
      </c>
      <c r="H1413" s="36">
        <v>0</v>
      </c>
      <c r="I1413" s="37">
        <v>0</v>
      </c>
      <c r="J1413" s="36" t="s">
        <v>32654</v>
      </c>
      <c r="K1413" s="36" t="s">
        <v>14330</v>
      </c>
      <c r="L1413" s="36" t="s">
        <v>14330</v>
      </c>
      <c r="M1413">
        <v>3</v>
      </c>
      <c r="N1413" t="s">
        <v>14331</v>
      </c>
      <c r="O1413" t="s">
        <v>32633</v>
      </c>
    </row>
    <row r="1414" spans="1:15" x14ac:dyDescent="0.25">
      <c r="A1414" s="35" t="s">
        <v>5526</v>
      </c>
      <c r="B1414" s="36" t="s">
        <v>5527</v>
      </c>
      <c r="C1414" s="36" t="str">
        <f>HYPERLINK("https://rhld.insurance.arkansas.gov/NPILookup?Npi=1578958401","1578958401")</f>
        <v>1578958401</v>
      </c>
      <c r="D1414" s="36" t="s">
        <v>34066</v>
      </c>
      <c r="E1414" s="36" t="s">
        <v>1</v>
      </c>
      <c r="F1414" s="36">
        <v>1</v>
      </c>
      <c r="G1414" s="36">
        <v>3</v>
      </c>
      <c r="H1414" s="36">
        <v>0</v>
      </c>
      <c r="I1414" s="37">
        <v>0</v>
      </c>
      <c r="J1414" s="36" t="s">
        <v>32654</v>
      </c>
      <c r="K1414" s="36" t="s">
        <v>14330</v>
      </c>
      <c r="L1414" s="36" t="s">
        <v>14330</v>
      </c>
      <c r="M1414">
        <v>3</v>
      </c>
      <c r="N1414" t="s">
        <v>14331</v>
      </c>
      <c r="O1414" t="s">
        <v>32633</v>
      </c>
    </row>
    <row r="1415" spans="1:15" x14ac:dyDescent="0.25">
      <c r="A1415" s="35" t="s">
        <v>5526</v>
      </c>
      <c r="B1415" s="36" t="s">
        <v>5527</v>
      </c>
      <c r="C1415" s="36" t="str">
        <f>HYPERLINK("https://rhld.insurance.arkansas.gov/NPILookup?Npi=1588711469","1588711469")</f>
        <v>1588711469</v>
      </c>
      <c r="D1415" s="36" t="s">
        <v>34067</v>
      </c>
      <c r="E1415" s="36" t="s">
        <v>1</v>
      </c>
      <c r="F1415" s="36">
        <v>1</v>
      </c>
      <c r="G1415" s="36">
        <v>3</v>
      </c>
      <c r="H1415" s="36">
        <v>0</v>
      </c>
      <c r="I1415" s="37">
        <v>0</v>
      </c>
      <c r="J1415" s="36" t="s">
        <v>32654</v>
      </c>
      <c r="K1415" s="36" t="s">
        <v>14330</v>
      </c>
      <c r="L1415" s="36" t="s">
        <v>14330</v>
      </c>
      <c r="M1415">
        <v>3</v>
      </c>
      <c r="N1415" t="s">
        <v>14331</v>
      </c>
      <c r="O1415" t="s">
        <v>32633</v>
      </c>
    </row>
    <row r="1416" spans="1:15" x14ac:dyDescent="0.25">
      <c r="A1416" s="35" t="s">
        <v>5526</v>
      </c>
      <c r="B1416" s="36" t="s">
        <v>5527</v>
      </c>
      <c r="C1416" s="36" t="str">
        <f>HYPERLINK("https://rhld.insurance.arkansas.gov/NPILookup?Npi=1649267824","1649267824")</f>
        <v>1649267824</v>
      </c>
      <c r="D1416" s="36" t="s">
        <v>34068</v>
      </c>
      <c r="E1416" s="36" t="s">
        <v>1</v>
      </c>
      <c r="F1416" s="36">
        <v>1</v>
      </c>
      <c r="G1416" s="36">
        <v>3</v>
      </c>
      <c r="H1416" s="36">
        <v>0</v>
      </c>
      <c r="I1416" s="37">
        <v>0</v>
      </c>
      <c r="J1416" s="36" t="s">
        <v>32654</v>
      </c>
      <c r="K1416" s="36" t="s">
        <v>14330</v>
      </c>
      <c r="L1416" s="36" t="s">
        <v>14330</v>
      </c>
      <c r="M1416">
        <v>2</v>
      </c>
      <c r="N1416" t="s">
        <v>14331</v>
      </c>
      <c r="O1416" t="s">
        <v>32633</v>
      </c>
    </row>
    <row r="1417" spans="1:15" x14ac:dyDescent="0.25">
      <c r="A1417" s="35" t="s">
        <v>5526</v>
      </c>
      <c r="B1417" s="36" t="s">
        <v>5527</v>
      </c>
      <c r="C1417" s="36" t="str">
        <f>HYPERLINK("https://rhld.insurance.arkansas.gov/NPILookup?Npi=1679737969","1679737969")</f>
        <v>1679737969</v>
      </c>
      <c r="D1417" s="36" t="s">
        <v>34069</v>
      </c>
      <c r="E1417" s="36" t="s">
        <v>2</v>
      </c>
      <c r="F1417" s="36">
        <v>1</v>
      </c>
      <c r="G1417" s="36">
        <v>2</v>
      </c>
      <c r="H1417" s="36">
        <v>0</v>
      </c>
      <c r="I1417" s="37">
        <v>0</v>
      </c>
      <c r="J1417" s="36" t="s">
        <v>32679</v>
      </c>
      <c r="K1417" s="36" t="s">
        <v>14330</v>
      </c>
      <c r="L1417" s="36" t="s">
        <v>14330</v>
      </c>
      <c r="M1417">
        <v>2</v>
      </c>
      <c r="N1417" t="s">
        <v>14331</v>
      </c>
      <c r="O1417" t="s">
        <v>14333</v>
      </c>
    </row>
    <row r="1418" spans="1:15" x14ac:dyDescent="0.25">
      <c r="A1418" s="35" t="s">
        <v>5526</v>
      </c>
      <c r="B1418" s="36" t="s">
        <v>5527</v>
      </c>
      <c r="C1418" s="36" t="str">
        <f>HYPERLINK("https://rhld.insurance.arkansas.gov/NPILookup?Npi=1699206946","1699206946")</f>
        <v>1699206946</v>
      </c>
      <c r="D1418" s="36" t="s">
        <v>34070</v>
      </c>
      <c r="E1418" s="36" t="s">
        <v>2</v>
      </c>
      <c r="F1418" s="36">
        <v>1</v>
      </c>
      <c r="G1418" s="36">
        <v>2</v>
      </c>
      <c r="H1418" s="36">
        <v>0</v>
      </c>
      <c r="I1418" s="37">
        <v>0</v>
      </c>
      <c r="J1418" s="36" t="s">
        <v>32679</v>
      </c>
      <c r="K1418" s="36" t="s">
        <v>14330</v>
      </c>
      <c r="L1418" s="36" t="s">
        <v>14330</v>
      </c>
      <c r="M1418">
        <v>2</v>
      </c>
      <c r="N1418" t="s">
        <v>14331</v>
      </c>
      <c r="O1418" t="s">
        <v>14333</v>
      </c>
    </row>
    <row r="1419" spans="1:15" x14ac:dyDescent="0.25">
      <c r="A1419" s="35" t="s">
        <v>5526</v>
      </c>
      <c r="B1419" s="36" t="s">
        <v>5527</v>
      </c>
      <c r="C1419" s="36" t="str">
        <f>HYPERLINK("https://rhld.insurance.arkansas.gov/NPILookup?Npi=1700396777","1700396777")</f>
        <v>1700396777</v>
      </c>
      <c r="D1419" s="36" t="s">
        <v>34071</v>
      </c>
      <c r="E1419" s="36" t="s">
        <v>1</v>
      </c>
      <c r="F1419" s="36">
        <v>1</v>
      </c>
      <c r="G1419" s="36">
        <v>2</v>
      </c>
      <c r="H1419" s="36">
        <v>0</v>
      </c>
      <c r="I1419" s="37">
        <v>0</v>
      </c>
      <c r="J1419" s="36" t="s">
        <v>32723</v>
      </c>
      <c r="K1419" s="36" t="s">
        <v>14330</v>
      </c>
      <c r="L1419" s="36" t="s">
        <v>14330</v>
      </c>
      <c r="M1419">
        <v>1</v>
      </c>
      <c r="N1419" t="s">
        <v>14331</v>
      </c>
      <c r="O1419" t="s">
        <v>32724</v>
      </c>
    </row>
    <row r="1420" spans="1:15" x14ac:dyDescent="0.25">
      <c r="A1420" s="35" t="s">
        <v>5526</v>
      </c>
      <c r="B1420" s="36" t="s">
        <v>5527</v>
      </c>
      <c r="C1420" s="36" t="str">
        <f>HYPERLINK("https://rhld.insurance.arkansas.gov/NPILookup?Npi=1710188867","1710188867")</f>
        <v>1710188867</v>
      </c>
      <c r="D1420" s="36" t="s">
        <v>34072</v>
      </c>
      <c r="E1420" s="36" t="s">
        <v>2</v>
      </c>
      <c r="F1420" s="36">
        <v>1</v>
      </c>
      <c r="G1420" s="36">
        <v>1</v>
      </c>
      <c r="H1420" s="36">
        <v>0</v>
      </c>
      <c r="I1420" s="37">
        <v>0</v>
      </c>
      <c r="J1420" s="36" t="s">
        <v>32679</v>
      </c>
      <c r="K1420" s="36" t="s">
        <v>14330</v>
      </c>
      <c r="L1420" s="36" t="s">
        <v>14330</v>
      </c>
      <c r="M1420">
        <v>2</v>
      </c>
      <c r="N1420" t="s">
        <v>14331</v>
      </c>
      <c r="O1420" t="s">
        <v>32633</v>
      </c>
    </row>
    <row r="1421" spans="1:15" x14ac:dyDescent="0.25">
      <c r="A1421" s="35" t="s">
        <v>5526</v>
      </c>
      <c r="B1421" s="36" t="s">
        <v>5527</v>
      </c>
      <c r="C1421" s="36" t="str">
        <f>HYPERLINK("https://rhld.insurance.arkansas.gov/NPILookup?Npi=1720010648","1720010648")</f>
        <v>1720010648</v>
      </c>
      <c r="D1421" s="36" t="s">
        <v>34073</v>
      </c>
      <c r="E1421" s="36" t="s">
        <v>1</v>
      </c>
      <c r="F1421" s="36">
        <v>1</v>
      </c>
      <c r="G1421" s="36">
        <v>2</v>
      </c>
      <c r="H1421" s="36">
        <v>0</v>
      </c>
      <c r="I1421" s="37">
        <v>0</v>
      </c>
      <c r="J1421" s="36" t="s">
        <v>32654</v>
      </c>
      <c r="K1421" s="36" t="s">
        <v>14330</v>
      </c>
      <c r="L1421" s="36" t="s">
        <v>14330</v>
      </c>
      <c r="M1421">
        <v>3</v>
      </c>
      <c r="N1421" t="s">
        <v>14331</v>
      </c>
      <c r="O1421" t="s">
        <v>32633</v>
      </c>
    </row>
    <row r="1422" spans="1:15" x14ac:dyDescent="0.25">
      <c r="A1422" s="35" t="s">
        <v>5526</v>
      </c>
      <c r="B1422" s="36" t="s">
        <v>5527</v>
      </c>
      <c r="C1422" s="36" t="str">
        <f>HYPERLINK("https://rhld.insurance.arkansas.gov/NPILookup?Npi=1740272368","1740272368")</f>
        <v>1740272368</v>
      </c>
      <c r="D1422" s="36" t="s">
        <v>34074</v>
      </c>
      <c r="E1422" s="36" t="s">
        <v>1</v>
      </c>
      <c r="F1422" s="36">
        <v>1</v>
      </c>
      <c r="G1422" s="36">
        <v>3</v>
      </c>
      <c r="H1422" s="36">
        <v>0</v>
      </c>
      <c r="I1422" s="37">
        <v>0</v>
      </c>
      <c r="J1422" s="36" t="s">
        <v>32654</v>
      </c>
      <c r="K1422" s="36" t="s">
        <v>14330</v>
      </c>
      <c r="L1422" s="36" t="s">
        <v>14330</v>
      </c>
      <c r="M1422">
        <v>2</v>
      </c>
      <c r="N1422" t="s">
        <v>14331</v>
      </c>
      <c r="O1422" t="s">
        <v>32633</v>
      </c>
    </row>
    <row r="1423" spans="1:15" x14ac:dyDescent="0.25">
      <c r="A1423" s="35" t="s">
        <v>5526</v>
      </c>
      <c r="B1423" s="36" t="s">
        <v>5527</v>
      </c>
      <c r="C1423" s="36" t="str">
        <f>HYPERLINK("https://rhld.insurance.arkansas.gov/NPILookup?Npi=1770013567","1770013567")</f>
        <v>1770013567</v>
      </c>
      <c r="D1423" s="36" t="s">
        <v>34075</v>
      </c>
      <c r="E1423" s="36" t="s">
        <v>1</v>
      </c>
      <c r="F1423" s="36">
        <v>1</v>
      </c>
      <c r="G1423" s="36">
        <v>2</v>
      </c>
      <c r="H1423" s="36">
        <v>0</v>
      </c>
      <c r="I1423" s="37">
        <v>0</v>
      </c>
      <c r="J1423" s="36" t="s">
        <v>32654</v>
      </c>
      <c r="K1423" s="36" t="s">
        <v>14330</v>
      </c>
      <c r="L1423" s="36" t="s">
        <v>14330</v>
      </c>
      <c r="M1423">
        <v>2</v>
      </c>
      <c r="N1423" t="s">
        <v>14331</v>
      </c>
      <c r="O1423" t="s">
        <v>32633</v>
      </c>
    </row>
    <row r="1424" spans="1:15" x14ac:dyDescent="0.25">
      <c r="A1424" s="35" t="s">
        <v>5526</v>
      </c>
      <c r="B1424" s="36" t="s">
        <v>5527</v>
      </c>
      <c r="C1424" s="36" t="str">
        <f>HYPERLINK("https://rhld.insurance.arkansas.gov/NPILookup?Npi=1770926404","1770926404")</f>
        <v>1770926404</v>
      </c>
      <c r="D1424" s="36" t="s">
        <v>34076</v>
      </c>
      <c r="E1424" s="36" t="s">
        <v>1</v>
      </c>
      <c r="F1424" s="36">
        <v>1</v>
      </c>
      <c r="G1424" s="36">
        <v>2</v>
      </c>
      <c r="H1424" s="36">
        <v>0</v>
      </c>
      <c r="I1424" s="37">
        <v>0</v>
      </c>
      <c r="J1424" s="36" t="s">
        <v>32654</v>
      </c>
      <c r="K1424" s="36" t="s">
        <v>14330</v>
      </c>
      <c r="L1424" s="36" t="s">
        <v>14330</v>
      </c>
      <c r="M1424">
        <v>1</v>
      </c>
      <c r="N1424" t="s">
        <v>14331</v>
      </c>
      <c r="O1424" t="s">
        <v>32633</v>
      </c>
    </row>
    <row r="1425" spans="1:15" x14ac:dyDescent="0.25">
      <c r="A1425" s="35" t="s">
        <v>5526</v>
      </c>
      <c r="B1425" s="36" t="s">
        <v>5527</v>
      </c>
      <c r="C1425" s="36" t="str">
        <f>HYPERLINK("https://rhld.insurance.arkansas.gov/NPILookup?Npi=1780079780","1780079780")</f>
        <v>1780079780</v>
      </c>
      <c r="D1425" s="36" t="s">
        <v>34077</v>
      </c>
      <c r="E1425" s="36" t="s">
        <v>1</v>
      </c>
      <c r="F1425" s="36">
        <v>1</v>
      </c>
      <c r="G1425" s="36">
        <v>2</v>
      </c>
      <c r="H1425" s="36">
        <v>1</v>
      </c>
      <c r="I1425" s="37">
        <v>0</v>
      </c>
      <c r="J1425" s="36" t="s">
        <v>32654</v>
      </c>
      <c r="K1425" s="36" t="s">
        <v>14330</v>
      </c>
      <c r="L1425" s="36" t="s">
        <v>34048</v>
      </c>
      <c r="M1425">
        <v>3</v>
      </c>
      <c r="N1425" t="s">
        <v>14332</v>
      </c>
      <c r="O1425" t="s">
        <v>34078</v>
      </c>
    </row>
    <row r="1426" spans="1:15" x14ac:dyDescent="0.25">
      <c r="A1426" s="35" t="s">
        <v>5526</v>
      </c>
      <c r="B1426" s="36" t="s">
        <v>5527</v>
      </c>
      <c r="C1426" s="36" t="str">
        <f>HYPERLINK("https://rhld.insurance.arkansas.gov/NPILookup?Npi=1780927855","1780927855")</f>
        <v>1780927855</v>
      </c>
      <c r="D1426" s="36" t="s">
        <v>34079</v>
      </c>
      <c r="E1426" s="36" t="s">
        <v>1</v>
      </c>
      <c r="F1426" s="36">
        <v>1</v>
      </c>
      <c r="G1426" s="36">
        <v>3</v>
      </c>
      <c r="H1426" s="36">
        <v>0</v>
      </c>
      <c r="I1426" s="37">
        <v>0</v>
      </c>
      <c r="J1426" s="36" t="s">
        <v>32654</v>
      </c>
      <c r="K1426" s="36" t="s">
        <v>14330</v>
      </c>
      <c r="L1426" s="36" t="s">
        <v>14330</v>
      </c>
      <c r="M1426">
        <v>3</v>
      </c>
      <c r="N1426" t="s">
        <v>14331</v>
      </c>
      <c r="O1426" t="s">
        <v>32633</v>
      </c>
    </row>
    <row r="1427" spans="1:15" x14ac:dyDescent="0.25">
      <c r="A1427" s="35" t="s">
        <v>5526</v>
      </c>
      <c r="B1427" s="36" t="s">
        <v>5527</v>
      </c>
      <c r="C1427" s="36" t="str">
        <f>HYPERLINK("https://rhld.insurance.arkansas.gov/NPILookup?Npi=1881894673","1881894673")</f>
        <v>1881894673</v>
      </c>
      <c r="D1427" s="36" t="s">
        <v>34080</v>
      </c>
      <c r="E1427" s="36" t="s">
        <v>1</v>
      </c>
      <c r="F1427" s="36">
        <v>1</v>
      </c>
      <c r="G1427" s="36">
        <v>3</v>
      </c>
      <c r="H1427" s="36">
        <v>0</v>
      </c>
      <c r="I1427" s="37">
        <v>0</v>
      </c>
      <c r="J1427" s="36" t="s">
        <v>32654</v>
      </c>
      <c r="K1427" s="36" t="s">
        <v>14330</v>
      </c>
      <c r="L1427" s="36" t="s">
        <v>14330</v>
      </c>
      <c r="M1427">
        <v>2</v>
      </c>
      <c r="N1427" t="s">
        <v>14331</v>
      </c>
      <c r="O1427" t="s">
        <v>32633</v>
      </c>
    </row>
    <row r="1428" spans="1:15" x14ac:dyDescent="0.25">
      <c r="A1428" s="35" t="s">
        <v>5526</v>
      </c>
      <c r="B1428" s="36" t="s">
        <v>5527</v>
      </c>
      <c r="C1428" s="36" t="str">
        <f>HYPERLINK("https://rhld.insurance.arkansas.gov/NPILookup?Npi=1922441468","1922441468")</f>
        <v>1922441468</v>
      </c>
      <c r="D1428" s="36" t="s">
        <v>34081</v>
      </c>
      <c r="E1428" s="36" t="s">
        <v>2</v>
      </c>
      <c r="F1428" s="36">
        <v>1</v>
      </c>
      <c r="G1428" s="36">
        <v>2</v>
      </c>
      <c r="H1428" s="36">
        <v>0</v>
      </c>
      <c r="I1428" s="37">
        <v>0</v>
      </c>
      <c r="J1428" s="36"/>
      <c r="K1428" s="36" t="s">
        <v>14330</v>
      </c>
      <c r="L1428" s="36" t="s">
        <v>14330</v>
      </c>
      <c r="M1428">
        <v>2</v>
      </c>
      <c r="N1428" t="s">
        <v>14331</v>
      </c>
      <c r="O1428" t="s">
        <v>14333</v>
      </c>
    </row>
    <row r="1429" spans="1:15" x14ac:dyDescent="0.25">
      <c r="A1429" s="35" t="s">
        <v>5526</v>
      </c>
      <c r="B1429" s="36" t="s">
        <v>5527</v>
      </c>
      <c r="C1429" s="36" t="str">
        <f>HYPERLINK("https://rhld.insurance.arkansas.gov/NPILookup?Npi=1932350683","1932350683")</f>
        <v>1932350683</v>
      </c>
      <c r="D1429" s="36" t="s">
        <v>34082</v>
      </c>
      <c r="E1429" s="36" t="s">
        <v>1</v>
      </c>
      <c r="F1429" s="36">
        <v>1</v>
      </c>
      <c r="G1429" s="36">
        <v>2</v>
      </c>
      <c r="H1429" s="36">
        <v>0</v>
      </c>
      <c r="I1429" s="37">
        <v>0</v>
      </c>
      <c r="J1429" s="36" t="s">
        <v>32654</v>
      </c>
      <c r="K1429" s="36" t="s">
        <v>14330</v>
      </c>
      <c r="L1429" s="36" t="s">
        <v>14330</v>
      </c>
      <c r="M1429">
        <v>3</v>
      </c>
      <c r="N1429" t="s">
        <v>14331</v>
      </c>
      <c r="O1429" t="s">
        <v>32633</v>
      </c>
    </row>
    <row r="1430" spans="1:15" x14ac:dyDescent="0.25">
      <c r="A1430" s="35" t="s">
        <v>5526</v>
      </c>
      <c r="B1430" s="36" t="s">
        <v>5527</v>
      </c>
      <c r="C1430" s="36" t="str">
        <f>HYPERLINK("https://rhld.insurance.arkansas.gov/NPILookup?Npi=1932381530","1932381530")</f>
        <v>1932381530</v>
      </c>
      <c r="D1430" s="36" t="s">
        <v>34083</v>
      </c>
      <c r="E1430" s="36" t="s">
        <v>1</v>
      </c>
      <c r="F1430" s="36">
        <v>1</v>
      </c>
      <c r="G1430" s="36">
        <v>3</v>
      </c>
      <c r="H1430" s="36">
        <v>0</v>
      </c>
      <c r="I1430" s="37">
        <v>0</v>
      </c>
      <c r="J1430" s="36" t="s">
        <v>32654</v>
      </c>
      <c r="K1430" s="36" t="s">
        <v>14330</v>
      </c>
      <c r="L1430" s="36" t="s">
        <v>14330</v>
      </c>
      <c r="M1430">
        <v>2</v>
      </c>
      <c r="N1430" t="s">
        <v>14331</v>
      </c>
      <c r="O1430" t="s">
        <v>32633</v>
      </c>
    </row>
    <row r="1431" spans="1:15" x14ac:dyDescent="0.25">
      <c r="A1431" s="35" t="s">
        <v>5526</v>
      </c>
      <c r="B1431" s="36" t="s">
        <v>5527</v>
      </c>
      <c r="C1431" s="36" t="str">
        <f>HYPERLINK("https://rhld.insurance.arkansas.gov/NPILookup?Npi=1932587128","1932587128")</f>
        <v>1932587128</v>
      </c>
      <c r="D1431" s="36" t="s">
        <v>34084</v>
      </c>
      <c r="E1431" s="36" t="s">
        <v>1</v>
      </c>
      <c r="F1431" s="36">
        <v>1</v>
      </c>
      <c r="G1431" s="36">
        <v>2</v>
      </c>
      <c r="H1431" s="36">
        <v>0</v>
      </c>
      <c r="I1431" s="37">
        <v>0</v>
      </c>
      <c r="J1431" s="36" t="s">
        <v>32654</v>
      </c>
      <c r="K1431" s="36" t="s">
        <v>14330</v>
      </c>
      <c r="L1431" s="36" t="s">
        <v>14330</v>
      </c>
      <c r="M1431">
        <v>2</v>
      </c>
      <c r="N1431" t="s">
        <v>14331</v>
      </c>
      <c r="O1431" t="s">
        <v>32633</v>
      </c>
    </row>
    <row r="1432" spans="1:15" x14ac:dyDescent="0.25">
      <c r="A1432" s="35" t="s">
        <v>5526</v>
      </c>
      <c r="B1432" s="36" t="s">
        <v>5527</v>
      </c>
      <c r="C1432" s="36" t="str">
        <f>HYPERLINK("https://rhld.insurance.arkansas.gov/NPILookup?Npi=1972506046","1972506046")</f>
        <v>1972506046</v>
      </c>
      <c r="D1432" s="36" t="s">
        <v>34085</v>
      </c>
      <c r="E1432" s="36" t="s">
        <v>1</v>
      </c>
      <c r="F1432" s="36">
        <v>1</v>
      </c>
      <c r="G1432" s="36">
        <v>2</v>
      </c>
      <c r="H1432" s="36">
        <v>0</v>
      </c>
      <c r="I1432" s="37">
        <v>0</v>
      </c>
      <c r="J1432" s="36" t="s">
        <v>32723</v>
      </c>
      <c r="K1432" s="36" t="s">
        <v>14330</v>
      </c>
      <c r="L1432" s="36" t="s">
        <v>14330</v>
      </c>
      <c r="M1432">
        <v>3</v>
      </c>
      <c r="N1432" t="s">
        <v>14331</v>
      </c>
      <c r="O1432" t="s">
        <v>32724</v>
      </c>
    </row>
    <row r="1433" spans="1:15" x14ac:dyDescent="0.25">
      <c r="A1433" s="35" t="s">
        <v>5573</v>
      </c>
      <c r="B1433" s="36" t="s">
        <v>5574</v>
      </c>
      <c r="C1433" s="36" t="str">
        <f>HYPERLINK("https://rhld.insurance.arkansas.gov/NPILookup?Npi=1023190469","1023190469")</f>
        <v>1023190469</v>
      </c>
      <c r="D1433" s="36" t="s">
        <v>34086</v>
      </c>
      <c r="E1433" s="36" t="s">
        <v>1</v>
      </c>
      <c r="F1433" s="36">
        <v>1</v>
      </c>
      <c r="G1433" s="36">
        <v>3</v>
      </c>
      <c r="H1433" s="36">
        <v>0</v>
      </c>
      <c r="I1433" s="37">
        <v>0</v>
      </c>
      <c r="J1433" s="36" t="s">
        <v>32654</v>
      </c>
      <c r="K1433" s="36" t="s">
        <v>14330</v>
      </c>
      <c r="L1433" s="36" t="s">
        <v>14330</v>
      </c>
      <c r="M1433">
        <v>2</v>
      </c>
      <c r="N1433" t="s">
        <v>14331</v>
      </c>
      <c r="O1433" t="s">
        <v>32633</v>
      </c>
    </row>
    <row r="1434" spans="1:15" x14ac:dyDescent="0.25">
      <c r="A1434" s="35" t="s">
        <v>5573</v>
      </c>
      <c r="B1434" s="36" t="s">
        <v>5574</v>
      </c>
      <c r="C1434" s="36" t="str">
        <f>HYPERLINK("https://rhld.insurance.arkansas.gov/NPILookup?Npi=1104879964","1104879964")</f>
        <v>1104879964</v>
      </c>
      <c r="D1434" s="36" t="s">
        <v>34087</v>
      </c>
      <c r="E1434" s="36" t="s">
        <v>2</v>
      </c>
      <c r="F1434" s="36">
        <v>1</v>
      </c>
      <c r="G1434" s="36">
        <v>2</v>
      </c>
      <c r="H1434" s="36">
        <v>0</v>
      </c>
      <c r="I1434" s="37">
        <v>0</v>
      </c>
      <c r="J1434" s="36" t="s">
        <v>32679</v>
      </c>
      <c r="K1434" s="36" t="s">
        <v>14330</v>
      </c>
      <c r="L1434" s="36" t="s">
        <v>14330</v>
      </c>
      <c r="M1434">
        <v>3</v>
      </c>
      <c r="N1434" t="s">
        <v>14331</v>
      </c>
      <c r="O1434" t="s">
        <v>14333</v>
      </c>
    </row>
    <row r="1435" spans="1:15" x14ac:dyDescent="0.25">
      <c r="A1435" s="35" t="s">
        <v>5573</v>
      </c>
      <c r="B1435" s="36" t="s">
        <v>5574</v>
      </c>
      <c r="C1435" s="36" t="str">
        <f>HYPERLINK("https://rhld.insurance.arkansas.gov/NPILookup?Npi=1114158698","1114158698")</f>
        <v>1114158698</v>
      </c>
      <c r="D1435" s="36" t="s">
        <v>34088</v>
      </c>
      <c r="E1435" s="36" t="s">
        <v>1</v>
      </c>
      <c r="F1435" s="36">
        <v>1</v>
      </c>
      <c r="G1435" s="36">
        <v>3</v>
      </c>
      <c r="H1435" s="36">
        <v>0</v>
      </c>
      <c r="I1435" s="37">
        <v>0</v>
      </c>
      <c r="J1435" s="36" t="s">
        <v>32654</v>
      </c>
      <c r="K1435" s="36" t="s">
        <v>14330</v>
      </c>
      <c r="L1435" s="36" t="s">
        <v>14330</v>
      </c>
      <c r="M1435">
        <v>2</v>
      </c>
      <c r="N1435" t="s">
        <v>14331</v>
      </c>
      <c r="O1435" t="s">
        <v>32633</v>
      </c>
    </row>
    <row r="1436" spans="1:15" x14ac:dyDescent="0.25">
      <c r="A1436" s="35" t="s">
        <v>5573</v>
      </c>
      <c r="B1436" s="36" t="s">
        <v>5574</v>
      </c>
      <c r="C1436" s="36" t="str">
        <f>HYPERLINK("https://rhld.insurance.arkansas.gov/NPILookup?Npi=1154434264","1154434264")</f>
        <v>1154434264</v>
      </c>
      <c r="D1436" s="36" t="s">
        <v>34089</v>
      </c>
      <c r="E1436" s="36" t="s">
        <v>2</v>
      </c>
      <c r="F1436" s="36">
        <v>1</v>
      </c>
      <c r="G1436" s="36">
        <v>2</v>
      </c>
      <c r="H1436" s="36">
        <v>0</v>
      </c>
      <c r="I1436" s="37">
        <v>0</v>
      </c>
      <c r="J1436" s="36" t="s">
        <v>32679</v>
      </c>
      <c r="K1436" s="36" t="s">
        <v>14330</v>
      </c>
      <c r="L1436" s="36" t="s">
        <v>14330</v>
      </c>
      <c r="M1436">
        <v>3</v>
      </c>
      <c r="N1436" t="s">
        <v>14331</v>
      </c>
      <c r="O1436" t="s">
        <v>14333</v>
      </c>
    </row>
    <row r="1437" spans="1:15" x14ac:dyDescent="0.25">
      <c r="A1437" s="35" t="s">
        <v>5573</v>
      </c>
      <c r="B1437" s="36" t="s">
        <v>5574</v>
      </c>
      <c r="C1437" s="36" t="str">
        <f>HYPERLINK("https://rhld.insurance.arkansas.gov/NPILookup?Npi=1245450139","1245450139")</f>
        <v>1245450139</v>
      </c>
      <c r="D1437" s="36" t="s">
        <v>34090</v>
      </c>
      <c r="E1437" s="36" t="s">
        <v>1</v>
      </c>
      <c r="F1437" s="36">
        <v>1</v>
      </c>
      <c r="G1437" s="36">
        <v>3</v>
      </c>
      <c r="H1437" s="36">
        <v>0</v>
      </c>
      <c r="I1437" s="37">
        <v>0</v>
      </c>
      <c r="J1437" s="36" t="s">
        <v>32654</v>
      </c>
      <c r="K1437" s="36" t="s">
        <v>14330</v>
      </c>
      <c r="L1437" s="36" t="s">
        <v>14330</v>
      </c>
      <c r="M1437">
        <v>3</v>
      </c>
      <c r="N1437" t="s">
        <v>14331</v>
      </c>
      <c r="O1437" t="s">
        <v>32633</v>
      </c>
    </row>
    <row r="1438" spans="1:15" x14ac:dyDescent="0.25">
      <c r="A1438" s="35" t="s">
        <v>5573</v>
      </c>
      <c r="B1438" s="36" t="s">
        <v>5574</v>
      </c>
      <c r="C1438" s="36" t="str">
        <f>HYPERLINK("https://rhld.insurance.arkansas.gov/NPILookup?Npi=1285834630","1285834630")</f>
        <v>1285834630</v>
      </c>
      <c r="D1438" s="36" t="s">
        <v>34091</v>
      </c>
      <c r="E1438" s="36" t="s">
        <v>1</v>
      </c>
      <c r="F1438" s="36">
        <v>1</v>
      </c>
      <c r="G1438" s="36">
        <v>3</v>
      </c>
      <c r="H1438" s="36">
        <v>0</v>
      </c>
      <c r="I1438" s="37">
        <v>0</v>
      </c>
      <c r="J1438" s="36" t="s">
        <v>32654</v>
      </c>
      <c r="K1438" s="36" t="s">
        <v>14330</v>
      </c>
      <c r="L1438" s="36" t="s">
        <v>14330</v>
      </c>
      <c r="M1438">
        <v>3</v>
      </c>
      <c r="N1438" t="s">
        <v>14331</v>
      </c>
      <c r="O1438" t="s">
        <v>32633</v>
      </c>
    </row>
    <row r="1439" spans="1:15" x14ac:dyDescent="0.25">
      <c r="A1439" s="35" t="s">
        <v>5573</v>
      </c>
      <c r="B1439" s="36" t="s">
        <v>5574</v>
      </c>
      <c r="C1439" s="36" t="str">
        <f>HYPERLINK("https://rhld.insurance.arkansas.gov/NPILookup?Npi=1346602679","1346602679")</f>
        <v>1346602679</v>
      </c>
      <c r="D1439" s="36" t="s">
        <v>34092</v>
      </c>
      <c r="E1439" s="36" t="s">
        <v>1</v>
      </c>
      <c r="F1439" s="36">
        <v>1</v>
      </c>
      <c r="G1439" s="36">
        <v>3</v>
      </c>
      <c r="H1439" s="36">
        <v>0</v>
      </c>
      <c r="I1439" s="37">
        <v>0</v>
      </c>
      <c r="J1439" s="36" t="s">
        <v>32654</v>
      </c>
      <c r="K1439" s="36" t="s">
        <v>14330</v>
      </c>
      <c r="L1439" s="36" t="s">
        <v>14330</v>
      </c>
      <c r="M1439">
        <v>2</v>
      </c>
      <c r="N1439" t="s">
        <v>14331</v>
      </c>
      <c r="O1439" t="s">
        <v>32633</v>
      </c>
    </row>
    <row r="1440" spans="1:15" x14ac:dyDescent="0.25">
      <c r="A1440" s="35" t="s">
        <v>5573</v>
      </c>
      <c r="B1440" s="36" t="s">
        <v>5574</v>
      </c>
      <c r="C1440" s="36" t="str">
        <f>HYPERLINK("https://rhld.insurance.arkansas.gov/NPILookup?Npi=1457814774","1457814774")</f>
        <v>1457814774</v>
      </c>
      <c r="D1440" s="36" t="s">
        <v>34093</v>
      </c>
      <c r="E1440" s="36" t="s">
        <v>2</v>
      </c>
      <c r="F1440" s="36">
        <v>2</v>
      </c>
      <c r="G1440" s="36">
        <v>2</v>
      </c>
      <c r="H1440" s="36">
        <v>0</v>
      </c>
      <c r="I1440" s="37">
        <v>0</v>
      </c>
      <c r="J1440" s="36" t="s">
        <v>33004</v>
      </c>
      <c r="K1440" s="36" t="s">
        <v>14330</v>
      </c>
      <c r="L1440" s="36" t="s">
        <v>14330</v>
      </c>
      <c r="M1440">
        <v>2</v>
      </c>
      <c r="N1440" t="s">
        <v>14331</v>
      </c>
      <c r="O1440" t="s">
        <v>14333</v>
      </c>
    </row>
    <row r="1441" spans="1:15" x14ac:dyDescent="0.25">
      <c r="A1441" s="35" t="s">
        <v>5573</v>
      </c>
      <c r="B1441" s="36" t="s">
        <v>5574</v>
      </c>
      <c r="C1441" s="36" t="str">
        <f>HYPERLINK("https://rhld.insurance.arkansas.gov/NPILookup?Npi=1508887191","1508887191")</f>
        <v>1508887191</v>
      </c>
      <c r="D1441" s="36" t="s">
        <v>34094</v>
      </c>
      <c r="E1441" s="36" t="s">
        <v>1</v>
      </c>
      <c r="F1441" s="36">
        <v>1</v>
      </c>
      <c r="G1441" s="36">
        <v>2</v>
      </c>
      <c r="H1441" s="36">
        <v>0</v>
      </c>
      <c r="I1441" s="37">
        <v>0</v>
      </c>
      <c r="J1441" s="36" t="s">
        <v>32654</v>
      </c>
      <c r="K1441" s="36" t="s">
        <v>14330</v>
      </c>
      <c r="L1441" s="36" t="s">
        <v>14330</v>
      </c>
      <c r="M1441">
        <v>3</v>
      </c>
      <c r="N1441" t="s">
        <v>14331</v>
      </c>
      <c r="O1441" t="s">
        <v>32633</v>
      </c>
    </row>
    <row r="1442" spans="1:15" x14ac:dyDescent="0.25">
      <c r="A1442" s="35" t="s">
        <v>5573</v>
      </c>
      <c r="B1442" s="36" t="s">
        <v>5574</v>
      </c>
      <c r="C1442" s="36" t="str">
        <f>HYPERLINK("https://rhld.insurance.arkansas.gov/NPILookup?Npi=1548371289","1548371289")</f>
        <v>1548371289</v>
      </c>
      <c r="D1442" s="36" t="s">
        <v>34095</v>
      </c>
      <c r="E1442" s="36" t="s">
        <v>1</v>
      </c>
      <c r="F1442" s="36">
        <v>1</v>
      </c>
      <c r="G1442" s="36">
        <v>3</v>
      </c>
      <c r="H1442" s="36">
        <v>0</v>
      </c>
      <c r="I1442" s="37">
        <v>0</v>
      </c>
      <c r="J1442" s="36" t="s">
        <v>32654</v>
      </c>
      <c r="K1442" s="36" t="s">
        <v>14330</v>
      </c>
      <c r="L1442" s="36" t="s">
        <v>14330</v>
      </c>
      <c r="M1442">
        <v>3</v>
      </c>
      <c r="N1442" t="s">
        <v>14331</v>
      </c>
      <c r="O1442" t="s">
        <v>32633</v>
      </c>
    </row>
    <row r="1443" spans="1:15" x14ac:dyDescent="0.25">
      <c r="A1443" s="35" t="s">
        <v>5573</v>
      </c>
      <c r="B1443" s="36" t="s">
        <v>5574</v>
      </c>
      <c r="C1443" s="36" t="str">
        <f>HYPERLINK("https://rhld.insurance.arkansas.gov/NPILookup?Npi=1659494334","1659494334")</f>
        <v>1659494334</v>
      </c>
      <c r="D1443" s="36" t="s">
        <v>34096</v>
      </c>
      <c r="E1443" s="36" t="s">
        <v>1</v>
      </c>
      <c r="F1443" s="36">
        <v>1</v>
      </c>
      <c r="G1443" s="36">
        <v>3</v>
      </c>
      <c r="H1443" s="36">
        <v>0</v>
      </c>
      <c r="I1443" s="37">
        <v>0</v>
      </c>
      <c r="J1443" s="36" t="s">
        <v>32654</v>
      </c>
      <c r="K1443" s="36" t="s">
        <v>14330</v>
      </c>
      <c r="L1443" s="36" t="s">
        <v>14330</v>
      </c>
      <c r="M1443">
        <v>2</v>
      </c>
      <c r="N1443" t="s">
        <v>14331</v>
      </c>
      <c r="O1443" t="s">
        <v>32633</v>
      </c>
    </row>
    <row r="1444" spans="1:15" x14ac:dyDescent="0.25">
      <c r="A1444" s="35" t="s">
        <v>5573</v>
      </c>
      <c r="B1444" s="36" t="s">
        <v>5574</v>
      </c>
      <c r="C1444" s="36" t="str">
        <f>HYPERLINK("https://rhld.insurance.arkansas.gov/NPILookup?Npi=1710093166","1710093166")</f>
        <v>1710093166</v>
      </c>
      <c r="D1444" s="36" t="s">
        <v>34097</v>
      </c>
      <c r="E1444" s="36" t="s">
        <v>2</v>
      </c>
      <c r="F1444" s="36">
        <v>1</v>
      </c>
      <c r="G1444" s="36">
        <v>2</v>
      </c>
      <c r="H1444" s="36">
        <v>0</v>
      </c>
      <c r="I1444" s="37">
        <v>0</v>
      </c>
      <c r="J1444" s="36" t="s">
        <v>32679</v>
      </c>
      <c r="K1444" s="36" t="s">
        <v>14330</v>
      </c>
      <c r="L1444" s="36" t="s">
        <v>14330</v>
      </c>
      <c r="M1444">
        <v>2</v>
      </c>
      <c r="N1444" t="s">
        <v>14331</v>
      </c>
      <c r="O1444" t="s">
        <v>14333</v>
      </c>
    </row>
    <row r="1445" spans="1:15" x14ac:dyDescent="0.25">
      <c r="A1445" s="35" t="s">
        <v>5573</v>
      </c>
      <c r="B1445" s="36" t="s">
        <v>5574</v>
      </c>
      <c r="C1445" s="36" t="str">
        <f>HYPERLINK("https://rhld.insurance.arkansas.gov/NPILookup?Npi=1730717299","1730717299")</f>
        <v>1730717299</v>
      </c>
      <c r="D1445" s="36" t="s">
        <v>34098</v>
      </c>
      <c r="E1445" s="36" t="s">
        <v>2</v>
      </c>
      <c r="F1445" s="36">
        <v>1</v>
      </c>
      <c r="G1445" s="36">
        <v>2</v>
      </c>
      <c r="H1445" s="36">
        <v>0</v>
      </c>
      <c r="I1445" s="37">
        <v>0</v>
      </c>
      <c r="J1445" s="36"/>
      <c r="K1445" s="36" t="s">
        <v>14330</v>
      </c>
      <c r="L1445" s="36" t="s">
        <v>14330</v>
      </c>
      <c r="M1445">
        <v>3</v>
      </c>
      <c r="N1445" t="s">
        <v>14331</v>
      </c>
      <c r="O1445" t="s">
        <v>14333</v>
      </c>
    </row>
    <row r="1446" spans="1:15" x14ac:dyDescent="0.25">
      <c r="A1446" s="35" t="s">
        <v>5573</v>
      </c>
      <c r="B1446" s="36" t="s">
        <v>5574</v>
      </c>
      <c r="C1446" s="36" t="str">
        <f>HYPERLINK("https://rhld.insurance.arkansas.gov/NPILookup?Npi=1750480554","1750480554")</f>
        <v>1750480554</v>
      </c>
      <c r="D1446" s="36" t="s">
        <v>34099</v>
      </c>
      <c r="E1446" s="36" t="s">
        <v>1</v>
      </c>
      <c r="F1446" s="36">
        <v>1</v>
      </c>
      <c r="G1446" s="36">
        <v>3</v>
      </c>
      <c r="H1446" s="36">
        <v>0</v>
      </c>
      <c r="I1446" s="37">
        <v>0</v>
      </c>
      <c r="J1446" s="36" t="s">
        <v>32654</v>
      </c>
      <c r="K1446" s="36" t="s">
        <v>14330</v>
      </c>
      <c r="L1446" s="36" t="s">
        <v>14330</v>
      </c>
      <c r="M1446">
        <v>2</v>
      </c>
      <c r="N1446" t="s">
        <v>14331</v>
      </c>
      <c r="O1446" t="s">
        <v>32633</v>
      </c>
    </row>
    <row r="1447" spans="1:15" x14ac:dyDescent="0.25">
      <c r="A1447" s="35" t="s">
        <v>5573</v>
      </c>
      <c r="B1447" s="36" t="s">
        <v>5574</v>
      </c>
      <c r="C1447" s="36" t="str">
        <f>HYPERLINK("https://rhld.insurance.arkansas.gov/NPILookup?Npi=1891145538","1891145538")</f>
        <v>1891145538</v>
      </c>
      <c r="D1447" s="36" t="s">
        <v>34100</v>
      </c>
      <c r="E1447" s="36" t="s">
        <v>2</v>
      </c>
      <c r="F1447" s="36">
        <v>2</v>
      </c>
      <c r="G1447" s="36">
        <v>2</v>
      </c>
      <c r="H1447" s="36">
        <v>0</v>
      </c>
      <c r="I1447" s="37">
        <v>0</v>
      </c>
      <c r="J1447" s="36" t="s">
        <v>33004</v>
      </c>
      <c r="K1447" s="36" t="s">
        <v>14330</v>
      </c>
      <c r="L1447" s="36" t="s">
        <v>14330</v>
      </c>
      <c r="M1447">
        <v>3</v>
      </c>
      <c r="N1447" t="s">
        <v>14331</v>
      </c>
      <c r="O1447" t="s">
        <v>14333</v>
      </c>
    </row>
    <row r="1448" spans="1:15" x14ac:dyDescent="0.25">
      <c r="A1448" s="35" t="s">
        <v>5573</v>
      </c>
      <c r="B1448" s="36" t="s">
        <v>5574</v>
      </c>
      <c r="C1448" s="36" t="str">
        <f>HYPERLINK("https://rhld.insurance.arkansas.gov/NPILookup?Npi=1902000698","1902000698")</f>
        <v>1902000698</v>
      </c>
      <c r="D1448" s="36" t="s">
        <v>34101</v>
      </c>
      <c r="E1448" s="36" t="s">
        <v>1</v>
      </c>
      <c r="F1448" s="36">
        <v>1</v>
      </c>
      <c r="G1448" s="36">
        <v>3</v>
      </c>
      <c r="H1448" s="36">
        <v>0</v>
      </c>
      <c r="I1448" s="37">
        <v>0</v>
      </c>
      <c r="J1448" s="36" t="s">
        <v>32654</v>
      </c>
      <c r="K1448" s="36" t="s">
        <v>14330</v>
      </c>
      <c r="L1448" s="36" t="s">
        <v>14330</v>
      </c>
      <c r="M1448">
        <v>3</v>
      </c>
      <c r="N1448" t="s">
        <v>14331</v>
      </c>
      <c r="O1448" t="s">
        <v>32633</v>
      </c>
    </row>
    <row r="1449" spans="1:15" x14ac:dyDescent="0.25">
      <c r="A1449" s="35" t="s">
        <v>5573</v>
      </c>
      <c r="B1449" s="36" t="s">
        <v>5574</v>
      </c>
      <c r="C1449" s="36" t="str">
        <f>HYPERLINK("https://rhld.insurance.arkansas.gov/NPILookup?Npi=1992735922","1992735922")</f>
        <v>1992735922</v>
      </c>
      <c r="D1449" s="36" t="s">
        <v>32730</v>
      </c>
      <c r="E1449" s="36" t="s">
        <v>1</v>
      </c>
      <c r="F1449" s="36">
        <v>1</v>
      </c>
      <c r="G1449" s="36">
        <v>3</v>
      </c>
      <c r="H1449" s="36">
        <v>0</v>
      </c>
      <c r="I1449" s="37">
        <v>0</v>
      </c>
      <c r="J1449" s="36" t="s">
        <v>32654</v>
      </c>
      <c r="K1449" s="36" t="s">
        <v>14330</v>
      </c>
      <c r="L1449" s="36" t="s">
        <v>14330</v>
      </c>
      <c r="M1449">
        <v>2</v>
      </c>
      <c r="N1449" t="s">
        <v>14331</v>
      </c>
      <c r="O1449" t="s">
        <v>32633</v>
      </c>
    </row>
    <row r="1450" spans="1:15" x14ac:dyDescent="0.25">
      <c r="A1450" s="35" t="s">
        <v>5614</v>
      </c>
      <c r="B1450" s="36" t="s">
        <v>5615</v>
      </c>
      <c r="C1450" s="36" t="str">
        <f>HYPERLINK("https://rhld.insurance.arkansas.gov/NPILookup?Npi=1043056195","1043056195")</f>
        <v>1043056195</v>
      </c>
      <c r="D1450" s="36" t="s">
        <v>31247</v>
      </c>
      <c r="E1450" s="36" t="s">
        <v>1</v>
      </c>
      <c r="F1450" s="36">
        <v>1</v>
      </c>
      <c r="G1450" s="36">
        <v>2</v>
      </c>
      <c r="H1450" s="36">
        <v>0</v>
      </c>
      <c r="I1450" s="37">
        <v>0</v>
      </c>
      <c r="J1450" s="36" t="s">
        <v>34102</v>
      </c>
      <c r="K1450" s="36" t="s">
        <v>14330</v>
      </c>
      <c r="L1450" s="36" t="s">
        <v>14330</v>
      </c>
      <c r="M1450">
        <v>1</v>
      </c>
      <c r="N1450" t="s">
        <v>14331</v>
      </c>
      <c r="O1450" t="s">
        <v>32633</v>
      </c>
    </row>
    <row r="1451" spans="1:15" x14ac:dyDescent="0.25">
      <c r="A1451" s="35" t="s">
        <v>5614</v>
      </c>
      <c r="B1451" s="36" t="s">
        <v>5615</v>
      </c>
      <c r="C1451" s="36" t="str">
        <f>HYPERLINK("https://rhld.insurance.arkansas.gov/NPILookup?Npi=1205491461","1205491461")</f>
        <v>1205491461</v>
      </c>
      <c r="D1451" s="36" t="s">
        <v>34103</v>
      </c>
      <c r="E1451" s="36" t="s">
        <v>2</v>
      </c>
      <c r="F1451" s="36">
        <v>1</v>
      </c>
      <c r="G1451" s="36">
        <v>1</v>
      </c>
      <c r="H1451" s="36">
        <v>0</v>
      </c>
      <c r="I1451" s="37">
        <v>0</v>
      </c>
      <c r="J1451" s="36" t="s">
        <v>32679</v>
      </c>
      <c r="K1451" s="36" t="s">
        <v>14330</v>
      </c>
      <c r="L1451" s="36" t="s">
        <v>14330</v>
      </c>
      <c r="M1451">
        <v>1</v>
      </c>
      <c r="N1451" t="s">
        <v>14331</v>
      </c>
      <c r="O1451" t="s">
        <v>32633</v>
      </c>
    </row>
    <row r="1452" spans="1:15" x14ac:dyDescent="0.25">
      <c r="A1452" s="35" t="s">
        <v>5614</v>
      </c>
      <c r="B1452" s="36" t="s">
        <v>5615</v>
      </c>
      <c r="C1452" s="36" t="str">
        <f>HYPERLINK("https://rhld.insurance.arkansas.gov/NPILookup?Npi=1295571487","1295571487")</f>
        <v>1295571487</v>
      </c>
      <c r="D1452" s="36" t="s">
        <v>31248</v>
      </c>
      <c r="E1452" s="36" t="s">
        <v>1</v>
      </c>
      <c r="F1452" s="36">
        <v>1</v>
      </c>
      <c r="G1452" s="36">
        <v>1</v>
      </c>
      <c r="H1452" s="36">
        <v>0</v>
      </c>
      <c r="I1452" s="37">
        <v>0</v>
      </c>
      <c r="J1452" s="36" t="s">
        <v>34102</v>
      </c>
      <c r="K1452" s="36" t="s">
        <v>14330</v>
      </c>
      <c r="L1452" s="36" t="s">
        <v>14330</v>
      </c>
      <c r="M1452">
        <v>1</v>
      </c>
      <c r="N1452" t="s">
        <v>14331</v>
      </c>
      <c r="O1452" t="s">
        <v>32633</v>
      </c>
    </row>
    <row r="1453" spans="1:15" x14ac:dyDescent="0.25">
      <c r="A1453" s="35" t="s">
        <v>5614</v>
      </c>
      <c r="B1453" s="36" t="s">
        <v>5615</v>
      </c>
      <c r="C1453" s="36" t="str">
        <f>HYPERLINK("https://rhld.insurance.arkansas.gov/NPILookup?Npi=1295764108","1295764108")</f>
        <v>1295764108</v>
      </c>
      <c r="D1453" s="36" t="s">
        <v>34104</v>
      </c>
      <c r="E1453" s="36" t="s">
        <v>2</v>
      </c>
      <c r="F1453" s="36">
        <v>1</v>
      </c>
      <c r="G1453" s="36">
        <v>1</v>
      </c>
      <c r="H1453" s="36">
        <v>0</v>
      </c>
      <c r="I1453" s="37">
        <v>0</v>
      </c>
      <c r="J1453" s="36" t="s">
        <v>32679</v>
      </c>
      <c r="K1453" s="36" t="s">
        <v>14330</v>
      </c>
      <c r="L1453" s="36" t="s">
        <v>14330</v>
      </c>
      <c r="M1453">
        <v>2</v>
      </c>
      <c r="N1453" t="s">
        <v>14331</v>
      </c>
      <c r="O1453" t="s">
        <v>32633</v>
      </c>
    </row>
    <row r="1454" spans="1:15" x14ac:dyDescent="0.25">
      <c r="A1454" s="35" t="s">
        <v>5614</v>
      </c>
      <c r="B1454" s="36" t="s">
        <v>5615</v>
      </c>
      <c r="C1454" s="36" t="str">
        <f>HYPERLINK("https://rhld.insurance.arkansas.gov/NPILookup?Npi=1326064247","1326064247")</f>
        <v>1326064247</v>
      </c>
      <c r="D1454" s="36" t="s">
        <v>34105</v>
      </c>
      <c r="E1454" s="36" t="s">
        <v>1</v>
      </c>
      <c r="F1454" s="36">
        <v>1</v>
      </c>
      <c r="G1454" s="36">
        <v>2</v>
      </c>
      <c r="H1454" s="36">
        <v>0</v>
      </c>
      <c r="I1454" s="37">
        <v>0</v>
      </c>
      <c r="J1454" s="36" t="s">
        <v>14335</v>
      </c>
      <c r="K1454" s="36" t="s">
        <v>14330</v>
      </c>
      <c r="L1454" s="36" t="s">
        <v>14330</v>
      </c>
      <c r="M1454">
        <v>2</v>
      </c>
      <c r="N1454" t="s">
        <v>14331</v>
      </c>
      <c r="O1454" t="s">
        <v>32633</v>
      </c>
    </row>
    <row r="1455" spans="1:15" x14ac:dyDescent="0.25">
      <c r="A1455" s="35" t="s">
        <v>5614</v>
      </c>
      <c r="B1455" s="36" t="s">
        <v>5615</v>
      </c>
      <c r="C1455" s="36" t="str">
        <f>HYPERLINK("https://rhld.insurance.arkansas.gov/NPILookup?Npi=1366200909","1366200909")</f>
        <v>1366200909</v>
      </c>
      <c r="D1455" s="36" t="s">
        <v>31249</v>
      </c>
      <c r="E1455" s="36" t="s">
        <v>1</v>
      </c>
      <c r="F1455" s="36">
        <v>1</v>
      </c>
      <c r="G1455" s="36">
        <v>2</v>
      </c>
      <c r="H1455" s="36">
        <v>0</v>
      </c>
      <c r="I1455" s="37">
        <v>0</v>
      </c>
      <c r="J1455" s="36" t="s">
        <v>34102</v>
      </c>
      <c r="K1455" s="36" t="s">
        <v>14330</v>
      </c>
      <c r="L1455" s="36" t="s">
        <v>14330</v>
      </c>
      <c r="M1455">
        <v>2</v>
      </c>
      <c r="N1455" t="s">
        <v>14331</v>
      </c>
      <c r="O1455" t="s">
        <v>32633</v>
      </c>
    </row>
    <row r="1456" spans="1:15" x14ac:dyDescent="0.25">
      <c r="A1456" s="35" t="s">
        <v>5614</v>
      </c>
      <c r="B1456" s="36" t="s">
        <v>5615</v>
      </c>
      <c r="C1456" s="36" t="str">
        <f>HYPERLINK("https://rhld.insurance.arkansas.gov/NPILookup?Npi=1386734879","1386734879")</f>
        <v>1386734879</v>
      </c>
      <c r="D1456" s="36" t="s">
        <v>34106</v>
      </c>
      <c r="E1456" s="36" t="s">
        <v>2</v>
      </c>
      <c r="F1456" s="36">
        <v>1</v>
      </c>
      <c r="G1456" s="36">
        <v>2</v>
      </c>
      <c r="H1456" s="36">
        <v>0</v>
      </c>
      <c r="I1456" s="37">
        <v>0</v>
      </c>
      <c r="J1456" s="36" t="s">
        <v>32679</v>
      </c>
      <c r="K1456" s="36" t="s">
        <v>14330</v>
      </c>
      <c r="L1456" s="36" t="s">
        <v>14330</v>
      </c>
      <c r="M1456">
        <v>2</v>
      </c>
      <c r="N1456" t="s">
        <v>14331</v>
      </c>
      <c r="O1456" t="s">
        <v>14333</v>
      </c>
    </row>
    <row r="1457" spans="1:15" x14ac:dyDescent="0.25">
      <c r="A1457" s="35" t="s">
        <v>5614</v>
      </c>
      <c r="B1457" s="36" t="s">
        <v>5615</v>
      </c>
      <c r="C1457" s="36" t="str">
        <f>HYPERLINK("https://rhld.insurance.arkansas.gov/NPILookup?Npi=1497511810","1497511810")</f>
        <v>1497511810</v>
      </c>
      <c r="D1457" s="36" t="s">
        <v>31250</v>
      </c>
      <c r="E1457" s="36" t="s">
        <v>1</v>
      </c>
      <c r="F1457" s="36">
        <v>1</v>
      </c>
      <c r="G1457" s="36">
        <v>2</v>
      </c>
      <c r="H1457" s="36">
        <v>0</v>
      </c>
      <c r="I1457" s="37">
        <v>0</v>
      </c>
      <c r="J1457" s="36" t="s">
        <v>34102</v>
      </c>
      <c r="K1457" s="36" t="s">
        <v>14330</v>
      </c>
      <c r="L1457" s="36" t="s">
        <v>14330</v>
      </c>
      <c r="M1457">
        <v>3</v>
      </c>
      <c r="N1457" t="s">
        <v>14331</v>
      </c>
      <c r="O1457" t="s">
        <v>32633</v>
      </c>
    </row>
    <row r="1458" spans="1:15" x14ac:dyDescent="0.25">
      <c r="A1458" s="35" t="s">
        <v>5614</v>
      </c>
      <c r="B1458" s="36" t="s">
        <v>5615</v>
      </c>
      <c r="C1458" s="36" t="str">
        <f>HYPERLINK("https://rhld.insurance.arkansas.gov/NPILookup?Npi=1518071638","1518071638")</f>
        <v>1518071638</v>
      </c>
      <c r="D1458" s="36" t="s">
        <v>34107</v>
      </c>
      <c r="E1458" s="36" t="s">
        <v>1</v>
      </c>
      <c r="F1458" s="36">
        <v>1</v>
      </c>
      <c r="G1458" s="36">
        <v>3</v>
      </c>
      <c r="H1458" s="36">
        <v>0</v>
      </c>
      <c r="I1458" s="37">
        <v>0</v>
      </c>
      <c r="J1458" s="36" t="s">
        <v>32654</v>
      </c>
      <c r="K1458" s="36" t="s">
        <v>14330</v>
      </c>
      <c r="L1458" s="36" t="s">
        <v>14330</v>
      </c>
      <c r="M1458">
        <v>2</v>
      </c>
      <c r="N1458" t="s">
        <v>14331</v>
      </c>
      <c r="O1458" t="s">
        <v>32633</v>
      </c>
    </row>
    <row r="1459" spans="1:15" x14ac:dyDescent="0.25">
      <c r="A1459" s="35" t="s">
        <v>5614</v>
      </c>
      <c r="B1459" s="36" t="s">
        <v>5615</v>
      </c>
      <c r="C1459" s="36" t="str">
        <f>HYPERLINK("https://rhld.insurance.arkansas.gov/NPILookup?Npi=1578133484","1578133484")</f>
        <v>1578133484</v>
      </c>
      <c r="D1459" s="36" t="s">
        <v>34108</v>
      </c>
      <c r="E1459" s="36" t="s">
        <v>2</v>
      </c>
      <c r="F1459" s="36">
        <v>2</v>
      </c>
      <c r="G1459" s="36">
        <v>2</v>
      </c>
      <c r="H1459" s="36">
        <v>0</v>
      </c>
      <c r="I1459" s="37">
        <v>0</v>
      </c>
      <c r="J1459" s="36" t="s">
        <v>33004</v>
      </c>
      <c r="K1459" s="36" t="s">
        <v>14330</v>
      </c>
      <c r="L1459" s="36" t="s">
        <v>14330</v>
      </c>
      <c r="M1459">
        <v>2</v>
      </c>
      <c r="N1459" t="s">
        <v>14331</v>
      </c>
      <c r="O1459" t="s">
        <v>14333</v>
      </c>
    </row>
    <row r="1460" spans="1:15" x14ac:dyDescent="0.25">
      <c r="A1460" s="35" t="s">
        <v>5614</v>
      </c>
      <c r="B1460" s="36" t="s">
        <v>5615</v>
      </c>
      <c r="C1460" s="36" t="str">
        <f>HYPERLINK("https://rhld.insurance.arkansas.gov/NPILookup?Npi=1730328410","1730328410")</f>
        <v>1730328410</v>
      </c>
      <c r="D1460" s="36" t="s">
        <v>34109</v>
      </c>
      <c r="E1460" s="36" t="s">
        <v>2</v>
      </c>
      <c r="F1460" s="36">
        <v>1</v>
      </c>
      <c r="G1460" s="36">
        <v>2</v>
      </c>
      <c r="H1460" s="36">
        <v>0</v>
      </c>
      <c r="I1460" s="37">
        <v>0</v>
      </c>
      <c r="J1460" s="36"/>
      <c r="K1460" s="36" t="s">
        <v>14330</v>
      </c>
      <c r="L1460" s="36" t="s">
        <v>14330</v>
      </c>
      <c r="M1460">
        <v>1</v>
      </c>
      <c r="N1460" t="s">
        <v>14331</v>
      </c>
      <c r="O1460" t="s">
        <v>14333</v>
      </c>
    </row>
    <row r="1461" spans="1:15" x14ac:dyDescent="0.25">
      <c r="A1461" s="35" t="s">
        <v>5614</v>
      </c>
      <c r="B1461" s="36" t="s">
        <v>5615</v>
      </c>
      <c r="C1461" s="36" t="str">
        <f>HYPERLINK("https://rhld.insurance.arkansas.gov/NPILookup?Npi=1811995368","1811995368")</f>
        <v>1811995368</v>
      </c>
      <c r="D1461" s="36" t="s">
        <v>34110</v>
      </c>
      <c r="E1461" s="36" t="s">
        <v>1</v>
      </c>
      <c r="F1461" s="36">
        <v>1</v>
      </c>
      <c r="G1461" s="36">
        <v>1</v>
      </c>
      <c r="H1461" s="36">
        <v>0</v>
      </c>
      <c r="I1461" s="37">
        <v>0</v>
      </c>
      <c r="J1461" s="36" t="s">
        <v>14335</v>
      </c>
      <c r="K1461" s="36" t="s">
        <v>14330</v>
      </c>
      <c r="L1461" s="36" t="s">
        <v>14330</v>
      </c>
      <c r="M1461">
        <v>2</v>
      </c>
      <c r="N1461" t="s">
        <v>14331</v>
      </c>
      <c r="O1461" t="s">
        <v>32633</v>
      </c>
    </row>
    <row r="1462" spans="1:15" x14ac:dyDescent="0.25">
      <c r="A1462" s="35" t="s">
        <v>5614</v>
      </c>
      <c r="B1462" s="36" t="s">
        <v>5615</v>
      </c>
      <c r="C1462" s="36" t="str">
        <f>HYPERLINK("https://rhld.insurance.arkansas.gov/NPILookup?Npi=1821860354","1821860354")</f>
        <v>1821860354</v>
      </c>
      <c r="D1462" s="36" t="s">
        <v>34111</v>
      </c>
      <c r="E1462" s="36" t="s">
        <v>2</v>
      </c>
      <c r="F1462" s="36">
        <v>1</v>
      </c>
      <c r="G1462" s="36">
        <v>2</v>
      </c>
      <c r="H1462" s="36">
        <v>0</v>
      </c>
      <c r="I1462" s="37">
        <v>0</v>
      </c>
      <c r="J1462" s="36"/>
      <c r="K1462" s="36" t="s">
        <v>14330</v>
      </c>
      <c r="L1462" s="36" t="s">
        <v>14330</v>
      </c>
      <c r="M1462">
        <v>2</v>
      </c>
      <c r="N1462" t="s">
        <v>14331</v>
      </c>
      <c r="O1462" t="s">
        <v>14333</v>
      </c>
    </row>
    <row r="1463" spans="1:15" x14ac:dyDescent="0.25">
      <c r="A1463" s="35" t="s">
        <v>5614</v>
      </c>
      <c r="B1463" s="36" t="s">
        <v>5615</v>
      </c>
      <c r="C1463" s="36" t="str">
        <f>HYPERLINK("https://rhld.insurance.arkansas.gov/NPILookup?Npi=1861458531","1861458531")</f>
        <v>1861458531</v>
      </c>
      <c r="D1463" s="36" t="s">
        <v>34112</v>
      </c>
      <c r="E1463" s="36" t="s">
        <v>1</v>
      </c>
      <c r="F1463" s="36">
        <v>1</v>
      </c>
      <c r="G1463" s="36">
        <v>2</v>
      </c>
      <c r="H1463" s="36">
        <v>0</v>
      </c>
      <c r="I1463" s="37">
        <v>0</v>
      </c>
      <c r="J1463" s="36" t="s">
        <v>32654</v>
      </c>
      <c r="K1463" s="36" t="s">
        <v>14330</v>
      </c>
      <c r="L1463" s="36" t="s">
        <v>14330</v>
      </c>
      <c r="M1463">
        <v>2</v>
      </c>
      <c r="N1463" t="s">
        <v>14331</v>
      </c>
      <c r="O1463" t="s">
        <v>32633</v>
      </c>
    </row>
    <row r="1464" spans="1:15" x14ac:dyDescent="0.25">
      <c r="A1464" s="35" t="s">
        <v>5614</v>
      </c>
      <c r="B1464" s="36" t="s">
        <v>5615</v>
      </c>
      <c r="C1464" s="36" t="str">
        <f>HYPERLINK("https://rhld.insurance.arkansas.gov/NPILookup?Npi=1952308769","1952308769")</f>
        <v>1952308769</v>
      </c>
      <c r="D1464" s="36" t="s">
        <v>34113</v>
      </c>
      <c r="E1464" s="36" t="s">
        <v>2</v>
      </c>
      <c r="F1464" s="36">
        <v>1</v>
      </c>
      <c r="G1464" s="36">
        <v>2</v>
      </c>
      <c r="H1464" s="36">
        <v>0</v>
      </c>
      <c r="I1464" s="37">
        <v>0</v>
      </c>
      <c r="J1464" s="36" t="s">
        <v>32679</v>
      </c>
      <c r="K1464" s="36" t="s">
        <v>14330</v>
      </c>
      <c r="L1464" s="36" t="s">
        <v>14330</v>
      </c>
      <c r="M1464">
        <v>2</v>
      </c>
      <c r="N1464" t="s">
        <v>14331</v>
      </c>
      <c r="O1464" t="s">
        <v>14333</v>
      </c>
    </row>
    <row r="1465" spans="1:15" x14ac:dyDescent="0.25">
      <c r="A1465" s="35" t="s">
        <v>5614</v>
      </c>
      <c r="B1465" s="36" t="s">
        <v>5615</v>
      </c>
      <c r="C1465" s="36" t="str">
        <f>HYPERLINK("https://rhld.insurance.arkansas.gov/NPILookup?Npi=1972358992","1972358992")</f>
        <v>1972358992</v>
      </c>
      <c r="D1465" s="36" t="s">
        <v>31251</v>
      </c>
      <c r="E1465" s="36" t="s">
        <v>1</v>
      </c>
      <c r="F1465" s="36">
        <v>1</v>
      </c>
      <c r="G1465" s="36">
        <v>2</v>
      </c>
      <c r="H1465" s="36">
        <v>0</v>
      </c>
      <c r="I1465" s="37">
        <v>0</v>
      </c>
      <c r="J1465" s="36" t="s">
        <v>34102</v>
      </c>
      <c r="K1465" s="36" t="s">
        <v>14330</v>
      </c>
      <c r="L1465" s="36" t="s">
        <v>14330</v>
      </c>
      <c r="M1465">
        <v>2</v>
      </c>
      <c r="N1465" t="s">
        <v>14331</v>
      </c>
      <c r="O1465" t="s">
        <v>32633</v>
      </c>
    </row>
    <row r="1466" spans="1:15" x14ac:dyDescent="0.25">
      <c r="A1466" s="35" t="s">
        <v>5676</v>
      </c>
      <c r="B1466" s="36" t="s">
        <v>5677</v>
      </c>
      <c r="C1466" s="36" t="str">
        <f>HYPERLINK("https://rhld.insurance.arkansas.gov/NPILookup?Npi=1003348871","1003348871")</f>
        <v>1003348871</v>
      </c>
      <c r="D1466" s="36" t="s">
        <v>34114</v>
      </c>
      <c r="E1466" s="36" t="s">
        <v>1</v>
      </c>
      <c r="F1466" s="36">
        <v>1</v>
      </c>
      <c r="G1466" s="36">
        <v>2</v>
      </c>
      <c r="H1466" s="36">
        <v>0</v>
      </c>
      <c r="I1466" s="37">
        <v>0</v>
      </c>
      <c r="J1466" s="36" t="s">
        <v>32654</v>
      </c>
      <c r="K1466" s="36" t="s">
        <v>14330</v>
      </c>
      <c r="L1466" s="36" t="s">
        <v>14330</v>
      </c>
      <c r="M1466">
        <v>2</v>
      </c>
      <c r="N1466" t="s">
        <v>14331</v>
      </c>
      <c r="O1466" t="s">
        <v>32633</v>
      </c>
    </row>
    <row r="1467" spans="1:15" x14ac:dyDescent="0.25">
      <c r="A1467" s="35" t="s">
        <v>5676</v>
      </c>
      <c r="B1467" s="36" t="s">
        <v>5677</v>
      </c>
      <c r="C1467" s="36" t="str">
        <f>HYPERLINK("https://rhld.insurance.arkansas.gov/NPILookup?Npi=1003822016","1003822016")</f>
        <v>1003822016</v>
      </c>
      <c r="D1467" s="36" t="s">
        <v>34115</v>
      </c>
      <c r="E1467" s="36" t="s">
        <v>1</v>
      </c>
      <c r="F1467" s="36">
        <v>2</v>
      </c>
      <c r="G1467" s="36">
        <v>3</v>
      </c>
      <c r="H1467" s="36">
        <v>1</v>
      </c>
      <c r="I1467" s="37">
        <v>0</v>
      </c>
      <c r="J1467" s="36" t="s">
        <v>34116</v>
      </c>
      <c r="K1467" s="36" t="s">
        <v>14330</v>
      </c>
      <c r="L1467" s="36" t="s">
        <v>34117</v>
      </c>
      <c r="M1467">
        <v>0</v>
      </c>
      <c r="N1467" t="s">
        <v>14331</v>
      </c>
      <c r="O1467" t="s">
        <v>34118</v>
      </c>
    </row>
    <row r="1468" spans="1:15" x14ac:dyDescent="0.25">
      <c r="A1468" s="35" t="s">
        <v>5676</v>
      </c>
      <c r="B1468" s="36" t="s">
        <v>5677</v>
      </c>
      <c r="C1468" s="36" t="str">
        <f>HYPERLINK("https://rhld.insurance.arkansas.gov/NPILookup?Npi=1104818095","1104818095")</f>
        <v>1104818095</v>
      </c>
      <c r="D1468" s="36" t="s">
        <v>34119</v>
      </c>
      <c r="E1468" s="36" t="s">
        <v>2</v>
      </c>
      <c r="F1468" s="36">
        <v>1</v>
      </c>
      <c r="G1468" s="36">
        <v>1</v>
      </c>
      <c r="H1468" s="36">
        <v>1</v>
      </c>
      <c r="I1468" s="37">
        <v>0</v>
      </c>
      <c r="J1468" s="36" t="s">
        <v>32679</v>
      </c>
      <c r="K1468" s="36" t="s">
        <v>14330</v>
      </c>
      <c r="L1468" s="36" t="s">
        <v>34120</v>
      </c>
      <c r="M1468">
        <v>3</v>
      </c>
      <c r="N1468" t="s">
        <v>14332</v>
      </c>
      <c r="O1468" t="s">
        <v>34121</v>
      </c>
    </row>
    <row r="1469" spans="1:15" x14ac:dyDescent="0.25">
      <c r="A1469" s="35" t="s">
        <v>5676</v>
      </c>
      <c r="B1469" s="36" t="s">
        <v>5677</v>
      </c>
      <c r="C1469" s="36" t="str">
        <f>HYPERLINK("https://rhld.insurance.arkansas.gov/NPILookup?Npi=1124085469","1124085469")</f>
        <v>1124085469</v>
      </c>
      <c r="D1469" s="36" t="s">
        <v>34122</v>
      </c>
      <c r="E1469" s="36" t="s">
        <v>1</v>
      </c>
      <c r="F1469" s="36">
        <v>1</v>
      </c>
      <c r="G1469" s="36">
        <v>3</v>
      </c>
      <c r="H1469" s="36">
        <v>0</v>
      </c>
      <c r="I1469" s="37">
        <v>0</v>
      </c>
      <c r="J1469" s="36" t="s">
        <v>32654</v>
      </c>
      <c r="K1469" s="36" t="s">
        <v>14330</v>
      </c>
      <c r="L1469" s="36" t="s">
        <v>14330</v>
      </c>
      <c r="M1469">
        <v>2</v>
      </c>
      <c r="N1469" t="s">
        <v>14331</v>
      </c>
      <c r="O1469" t="s">
        <v>32633</v>
      </c>
    </row>
    <row r="1470" spans="1:15" x14ac:dyDescent="0.25">
      <c r="A1470" s="35" t="s">
        <v>5676</v>
      </c>
      <c r="B1470" s="36" t="s">
        <v>5677</v>
      </c>
      <c r="C1470" s="36" t="str">
        <f>HYPERLINK("https://rhld.insurance.arkansas.gov/NPILookup?Npi=1184076119","1184076119")</f>
        <v>1184076119</v>
      </c>
      <c r="D1470" s="36" t="s">
        <v>34123</v>
      </c>
      <c r="E1470" s="36" t="s">
        <v>1</v>
      </c>
      <c r="F1470" s="36">
        <v>1</v>
      </c>
      <c r="G1470" s="36">
        <v>2</v>
      </c>
      <c r="H1470" s="36">
        <v>0</v>
      </c>
      <c r="I1470" s="37">
        <v>0</v>
      </c>
      <c r="J1470" s="36" t="s">
        <v>32723</v>
      </c>
      <c r="K1470" s="36" t="s">
        <v>14330</v>
      </c>
      <c r="L1470" s="36" t="s">
        <v>14330</v>
      </c>
      <c r="M1470">
        <v>2</v>
      </c>
      <c r="N1470" t="s">
        <v>14331</v>
      </c>
      <c r="O1470" t="s">
        <v>32724</v>
      </c>
    </row>
    <row r="1471" spans="1:15" x14ac:dyDescent="0.25">
      <c r="A1471" s="35" t="s">
        <v>5676</v>
      </c>
      <c r="B1471" s="36" t="s">
        <v>5677</v>
      </c>
      <c r="C1471" s="36" t="str">
        <f>HYPERLINK("https://rhld.insurance.arkansas.gov/NPILookup?Npi=1205833142","1205833142")</f>
        <v>1205833142</v>
      </c>
      <c r="D1471" s="36" t="s">
        <v>34124</v>
      </c>
      <c r="E1471" s="36" t="s">
        <v>2</v>
      </c>
      <c r="F1471" s="36">
        <v>1</v>
      </c>
      <c r="G1471" s="36">
        <v>2</v>
      </c>
      <c r="H1471" s="36">
        <v>0</v>
      </c>
      <c r="I1471" s="37">
        <v>0</v>
      </c>
      <c r="J1471" s="36" t="s">
        <v>32679</v>
      </c>
      <c r="K1471" s="36" t="s">
        <v>14330</v>
      </c>
      <c r="L1471" s="36" t="s">
        <v>14330</v>
      </c>
      <c r="M1471">
        <v>1</v>
      </c>
      <c r="N1471" t="s">
        <v>14331</v>
      </c>
      <c r="O1471" t="s">
        <v>14333</v>
      </c>
    </row>
    <row r="1472" spans="1:15" x14ac:dyDescent="0.25">
      <c r="A1472" s="35" t="s">
        <v>5676</v>
      </c>
      <c r="B1472" s="36" t="s">
        <v>5677</v>
      </c>
      <c r="C1472" s="36" t="str">
        <f>HYPERLINK("https://rhld.insurance.arkansas.gov/NPILookup?Npi=1235651563","1235651563")</f>
        <v>1235651563</v>
      </c>
      <c r="D1472" s="36" t="s">
        <v>34125</v>
      </c>
      <c r="E1472" s="36" t="s">
        <v>1</v>
      </c>
      <c r="F1472" s="36">
        <v>1</v>
      </c>
      <c r="G1472" s="36">
        <v>1</v>
      </c>
      <c r="H1472" s="36">
        <v>0</v>
      </c>
      <c r="I1472" s="37">
        <v>0</v>
      </c>
      <c r="J1472" s="36" t="s">
        <v>32723</v>
      </c>
      <c r="K1472" s="36" t="s">
        <v>14330</v>
      </c>
      <c r="L1472" s="36" t="s">
        <v>14330</v>
      </c>
      <c r="M1472">
        <v>2</v>
      </c>
      <c r="N1472" t="s">
        <v>14331</v>
      </c>
      <c r="O1472" t="s">
        <v>32724</v>
      </c>
    </row>
    <row r="1473" spans="1:15" x14ac:dyDescent="0.25">
      <c r="A1473" s="35" t="s">
        <v>5676</v>
      </c>
      <c r="B1473" s="36" t="s">
        <v>5677</v>
      </c>
      <c r="C1473" s="36" t="str">
        <f>HYPERLINK("https://rhld.insurance.arkansas.gov/NPILookup?Npi=1275799025","1275799025")</f>
        <v>1275799025</v>
      </c>
      <c r="D1473" s="36" t="s">
        <v>34126</v>
      </c>
      <c r="E1473" s="36" t="s">
        <v>1</v>
      </c>
      <c r="F1473" s="36">
        <v>1</v>
      </c>
      <c r="G1473" s="36">
        <v>2</v>
      </c>
      <c r="H1473" s="36">
        <v>0</v>
      </c>
      <c r="I1473" s="37">
        <v>0</v>
      </c>
      <c r="J1473" s="36" t="s">
        <v>32654</v>
      </c>
      <c r="K1473" s="36" t="s">
        <v>14330</v>
      </c>
      <c r="L1473" s="36" t="s">
        <v>14330</v>
      </c>
      <c r="M1473">
        <v>3</v>
      </c>
      <c r="N1473" t="s">
        <v>14331</v>
      </c>
      <c r="O1473" t="s">
        <v>32633</v>
      </c>
    </row>
    <row r="1474" spans="1:15" x14ac:dyDescent="0.25">
      <c r="A1474" s="35" t="s">
        <v>5676</v>
      </c>
      <c r="B1474" s="36" t="s">
        <v>5677</v>
      </c>
      <c r="C1474" s="36" t="str">
        <f>HYPERLINK("https://rhld.insurance.arkansas.gov/NPILookup?Npi=1295295269","1295295269")</f>
        <v>1295295269</v>
      </c>
      <c r="D1474" s="36" t="s">
        <v>34127</v>
      </c>
      <c r="E1474" s="36" t="s">
        <v>1</v>
      </c>
      <c r="F1474" s="36">
        <v>1</v>
      </c>
      <c r="G1474" s="36">
        <v>3</v>
      </c>
      <c r="H1474" s="36">
        <v>0</v>
      </c>
      <c r="I1474" s="37">
        <v>0</v>
      </c>
      <c r="J1474" s="36" t="s">
        <v>32723</v>
      </c>
      <c r="K1474" s="36" t="s">
        <v>14330</v>
      </c>
      <c r="L1474" s="36" t="s">
        <v>14330</v>
      </c>
      <c r="M1474">
        <v>2</v>
      </c>
      <c r="N1474" t="s">
        <v>14331</v>
      </c>
      <c r="O1474" t="s">
        <v>32724</v>
      </c>
    </row>
    <row r="1475" spans="1:15" x14ac:dyDescent="0.25">
      <c r="A1475" s="35" t="s">
        <v>5676</v>
      </c>
      <c r="B1475" s="36" t="s">
        <v>5677</v>
      </c>
      <c r="C1475" s="36" t="str">
        <f>HYPERLINK("https://rhld.insurance.arkansas.gov/NPILookup?Npi=1316300486","1316300486")</f>
        <v>1316300486</v>
      </c>
      <c r="D1475" s="36" t="s">
        <v>34128</v>
      </c>
      <c r="E1475" s="36" t="s">
        <v>2</v>
      </c>
      <c r="F1475" s="36">
        <v>1</v>
      </c>
      <c r="G1475" s="36">
        <v>2</v>
      </c>
      <c r="H1475" s="36">
        <v>0</v>
      </c>
      <c r="I1475" s="37">
        <v>0</v>
      </c>
      <c r="J1475" s="36" t="s">
        <v>32679</v>
      </c>
      <c r="K1475" s="36" t="s">
        <v>14330</v>
      </c>
      <c r="L1475" s="36" t="s">
        <v>14330</v>
      </c>
      <c r="M1475">
        <v>1</v>
      </c>
      <c r="N1475" t="s">
        <v>14331</v>
      </c>
      <c r="O1475" t="s">
        <v>14333</v>
      </c>
    </row>
    <row r="1476" spans="1:15" x14ac:dyDescent="0.25">
      <c r="A1476" s="35" t="s">
        <v>5676</v>
      </c>
      <c r="B1476" s="36" t="s">
        <v>5677</v>
      </c>
      <c r="C1476" s="36" t="str">
        <f>HYPERLINK("https://rhld.insurance.arkansas.gov/NPILookup?Npi=1326029497","1326029497")</f>
        <v>1326029497</v>
      </c>
      <c r="D1476" s="36" t="s">
        <v>34129</v>
      </c>
      <c r="E1476" s="36" t="s">
        <v>2</v>
      </c>
      <c r="F1476" s="36">
        <v>1</v>
      </c>
      <c r="G1476" s="36">
        <v>1</v>
      </c>
      <c r="H1476" s="36">
        <v>0</v>
      </c>
      <c r="I1476" s="37">
        <v>0</v>
      </c>
      <c r="J1476" s="36" t="s">
        <v>32679</v>
      </c>
      <c r="K1476" s="36" t="s">
        <v>14330</v>
      </c>
      <c r="L1476" s="36" t="s">
        <v>14330</v>
      </c>
      <c r="M1476">
        <v>3</v>
      </c>
      <c r="N1476" t="s">
        <v>14331</v>
      </c>
      <c r="O1476" t="s">
        <v>32633</v>
      </c>
    </row>
    <row r="1477" spans="1:15" x14ac:dyDescent="0.25">
      <c r="A1477" s="35" t="s">
        <v>5676</v>
      </c>
      <c r="B1477" s="36" t="s">
        <v>5677</v>
      </c>
      <c r="C1477" s="36" t="str">
        <f>HYPERLINK("https://rhld.insurance.arkansas.gov/NPILookup?Npi=1356558357","1356558357")</f>
        <v>1356558357</v>
      </c>
      <c r="D1477" s="36" t="s">
        <v>34130</v>
      </c>
      <c r="E1477" s="36" t="s">
        <v>1</v>
      </c>
      <c r="F1477" s="36">
        <v>1</v>
      </c>
      <c r="G1477" s="36">
        <v>3</v>
      </c>
      <c r="H1477" s="36">
        <v>0</v>
      </c>
      <c r="I1477" s="37">
        <v>0</v>
      </c>
      <c r="J1477" s="36" t="s">
        <v>32654</v>
      </c>
      <c r="K1477" s="36" t="s">
        <v>14330</v>
      </c>
      <c r="L1477" s="36" t="s">
        <v>14330</v>
      </c>
      <c r="M1477">
        <v>2</v>
      </c>
      <c r="N1477" t="s">
        <v>14331</v>
      </c>
      <c r="O1477" t="s">
        <v>32633</v>
      </c>
    </row>
    <row r="1478" spans="1:15" x14ac:dyDescent="0.25">
      <c r="A1478" s="35" t="s">
        <v>5676</v>
      </c>
      <c r="B1478" s="36" t="s">
        <v>5677</v>
      </c>
      <c r="C1478" s="36" t="str">
        <f>HYPERLINK("https://rhld.insurance.arkansas.gov/NPILookup?Npi=1366767972","1366767972")</f>
        <v>1366767972</v>
      </c>
      <c r="D1478" s="36" t="s">
        <v>34131</v>
      </c>
      <c r="E1478" s="36" t="s">
        <v>1</v>
      </c>
      <c r="F1478" s="36">
        <v>1</v>
      </c>
      <c r="G1478" s="36">
        <v>2</v>
      </c>
      <c r="H1478" s="36">
        <v>0</v>
      </c>
      <c r="I1478" s="37">
        <v>0</v>
      </c>
      <c r="J1478" s="36" t="s">
        <v>32654</v>
      </c>
      <c r="K1478" s="36" t="s">
        <v>14330</v>
      </c>
      <c r="L1478" s="36" t="s">
        <v>14330</v>
      </c>
      <c r="M1478">
        <v>3</v>
      </c>
      <c r="N1478" t="s">
        <v>14331</v>
      </c>
      <c r="O1478" t="s">
        <v>32633</v>
      </c>
    </row>
    <row r="1479" spans="1:15" x14ac:dyDescent="0.25">
      <c r="A1479" s="35" t="s">
        <v>5676</v>
      </c>
      <c r="B1479" s="36" t="s">
        <v>5677</v>
      </c>
      <c r="C1479" s="36" t="str">
        <f>HYPERLINK("https://rhld.insurance.arkansas.gov/NPILookup?Npi=1366785016","1366785016")</f>
        <v>1366785016</v>
      </c>
      <c r="D1479" s="36" t="s">
        <v>34132</v>
      </c>
      <c r="E1479" s="36" t="s">
        <v>1</v>
      </c>
      <c r="F1479" s="36">
        <v>1</v>
      </c>
      <c r="G1479" s="36">
        <v>3</v>
      </c>
      <c r="H1479" s="36">
        <v>0</v>
      </c>
      <c r="I1479" s="37">
        <v>0</v>
      </c>
      <c r="J1479" s="36" t="s">
        <v>32654</v>
      </c>
      <c r="K1479" s="36" t="s">
        <v>14330</v>
      </c>
      <c r="L1479" s="36" t="s">
        <v>14330</v>
      </c>
      <c r="M1479">
        <v>3</v>
      </c>
      <c r="N1479" t="s">
        <v>14331</v>
      </c>
      <c r="O1479" t="s">
        <v>32633</v>
      </c>
    </row>
    <row r="1480" spans="1:15" x14ac:dyDescent="0.25">
      <c r="A1480" s="35" t="s">
        <v>5676</v>
      </c>
      <c r="B1480" s="36" t="s">
        <v>5677</v>
      </c>
      <c r="C1480" s="36" t="str">
        <f>HYPERLINK("https://rhld.insurance.arkansas.gov/NPILookup?Npi=1407812589","1407812589")</f>
        <v>1407812589</v>
      </c>
      <c r="D1480" s="36" t="s">
        <v>34133</v>
      </c>
      <c r="E1480" s="36" t="s">
        <v>1</v>
      </c>
      <c r="F1480" s="36">
        <v>1</v>
      </c>
      <c r="G1480" s="36">
        <v>3</v>
      </c>
      <c r="H1480" s="36">
        <v>0</v>
      </c>
      <c r="I1480" s="37">
        <v>0</v>
      </c>
      <c r="J1480" s="36" t="s">
        <v>32654</v>
      </c>
      <c r="K1480" s="36" t="s">
        <v>14330</v>
      </c>
      <c r="L1480" s="36" t="s">
        <v>14330</v>
      </c>
      <c r="M1480">
        <v>2</v>
      </c>
      <c r="N1480" t="s">
        <v>14331</v>
      </c>
      <c r="O1480" t="s">
        <v>32633</v>
      </c>
    </row>
    <row r="1481" spans="1:15" x14ac:dyDescent="0.25">
      <c r="A1481" s="35" t="s">
        <v>5676</v>
      </c>
      <c r="B1481" s="36" t="s">
        <v>5677</v>
      </c>
      <c r="C1481" s="36" t="str">
        <f>HYPERLINK("https://rhld.insurance.arkansas.gov/NPILookup?Npi=1427045111","1427045111")</f>
        <v>1427045111</v>
      </c>
      <c r="D1481" s="36" t="s">
        <v>34134</v>
      </c>
      <c r="E1481" s="36" t="s">
        <v>1</v>
      </c>
      <c r="F1481" s="36">
        <v>1</v>
      </c>
      <c r="G1481" s="36">
        <v>2</v>
      </c>
      <c r="H1481" s="36">
        <v>0</v>
      </c>
      <c r="I1481" s="37">
        <v>0</v>
      </c>
      <c r="J1481" s="36" t="s">
        <v>32654</v>
      </c>
      <c r="K1481" s="36" t="s">
        <v>14330</v>
      </c>
      <c r="L1481" s="36" t="s">
        <v>14330</v>
      </c>
      <c r="M1481">
        <v>2</v>
      </c>
      <c r="N1481" t="s">
        <v>14331</v>
      </c>
      <c r="O1481" t="s">
        <v>32633</v>
      </c>
    </row>
    <row r="1482" spans="1:15" x14ac:dyDescent="0.25">
      <c r="A1482" s="35" t="s">
        <v>5676</v>
      </c>
      <c r="B1482" s="36" t="s">
        <v>5677</v>
      </c>
      <c r="C1482" s="36" t="str">
        <f>HYPERLINK("https://rhld.insurance.arkansas.gov/NPILookup?Npi=1447221908","1447221908")</f>
        <v>1447221908</v>
      </c>
      <c r="D1482" s="36" t="s">
        <v>34135</v>
      </c>
      <c r="E1482" s="36" t="s">
        <v>2</v>
      </c>
      <c r="F1482" s="36">
        <v>1</v>
      </c>
      <c r="G1482" s="36">
        <v>2</v>
      </c>
      <c r="H1482" s="36">
        <v>0</v>
      </c>
      <c r="I1482" s="37">
        <v>0</v>
      </c>
      <c r="J1482" s="36" t="s">
        <v>32679</v>
      </c>
      <c r="K1482" s="36" t="s">
        <v>14330</v>
      </c>
      <c r="L1482" s="36" t="s">
        <v>14330</v>
      </c>
      <c r="M1482">
        <v>1</v>
      </c>
      <c r="N1482" t="s">
        <v>14331</v>
      </c>
      <c r="O1482" t="s">
        <v>14333</v>
      </c>
    </row>
    <row r="1483" spans="1:15" x14ac:dyDescent="0.25">
      <c r="A1483" s="35" t="s">
        <v>5676</v>
      </c>
      <c r="B1483" s="36" t="s">
        <v>5677</v>
      </c>
      <c r="C1483" s="36" t="str">
        <f>HYPERLINK("https://rhld.insurance.arkansas.gov/NPILookup?Npi=1487269080","1487269080")</f>
        <v>1487269080</v>
      </c>
      <c r="D1483" s="36" t="s">
        <v>34136</v>
      </c>
      <c r="E1483" s="36" t="s">
        <v>2</v>
      </c>
      <c r="F1483" s="36">
        <v>1</v>
      </c>
      <c r="G1483" s="36">
        <v>1</v>
      </c>
      <c r="H1483" s="36">
        <v>0</v>
      </c>
      <c r="I1483" s="37">
        <v>0</v>
      </c>
      <c r="J1483" s="36" t="s">
        <v>32679</v>
      </c>
      <c r="K1483" s="36" t="s">
        <v>14330</v>
      </c>
      <c r="L1483" s="36" t="s">
        <v>14330</v>
      </c>
      <c r="M1483">
        <v>3</v>
      </c>
      <c r="N1483" t="s">
        <v>14331</v>
      </c>
      <c r="O1483" t="s">
        <v>32633</v>
      </c>
    </row>
    <row r="1484" spans="1:15" x14ac:dyDescent="0.25">
      <c r="A1484" s="35" t="s">
        <v>5676</v>
      </c>
      <c r="B1484" s="36" t="s">
        <v>5677</v>
      </c>
      <c r="C1484" s="36" t="str">
        <f>HYPERLINK("https://rhld.insurance.arkansas.gov/NPILookup?Npi=1528278322","1528278322")</f>
        <v>1528278322</v>
      </c>
      <c r="D1484" s="36" t="s">
        <v>33597</v>
      </c>
      <c r="E1484" s="36" t="s">
        <v>1</v>
      </c>
      <c r="F1484" s="36">
        <v>1</v>
      </c>
      <c r="G1484" s="36">
        <v>3</v>
      </c>
      <c r="H1484" s="36">
        <v>0</v>
      </c>
      <c r="I1484" s="37">
        <v>0</v>
      </c>
      <c r="J1484" s="36" t="s">
        <v>32654</v>
      </c>
      <c r="K1484" s="36" t="s">
        <v>14330</v>
      </c>
      <c r="L1484" s="36" t="s">
        <v>14330</v>
      </c>
      <c r="M1484">
        <v>2</v>
      </c>
      <c r="N1484" t="s">
        <v>14331</v>
      </c>
      <c r="O1484" t="s">
        <v>32633</v>
      </c>
    </row>
    <row r="1485" spans="1:15" x14ac:dyDescent="0.25">
      <c r="A1485" s="35" t="s">
        <v>5676</v>
      </c>
      <c r="B1485" s="36" t="s">
        <v>5677</v>
      </c>
      <c r="C1485" s="36" t="str">
        <f>HYPERLINK("https://rhld.insurance.arkansas.gov/NPILookup?Npi=1528440922","1528440922")</f>
        <v>1528440922</v>
      </c>
      <c r="D1485" s="36" t="s">
        <v>34137</v>
      </c>
      <c r="E1485" s="36" t="s">
        <v>1</v>
      </c>
      <c r="F1485" s="36">
        <v>1</v>
      </c>
      <c r="G1485" s="36">
        <v>2</v>
      </c>
      <c r="H1485" s="36">
        <v>0</v>
      </c>
      <c r="I1485" s="37">
        <v>0</v>
      </c>
      <c r="J1485" s="36" t="s">
        <v>32723</v>
      </c>
      <c r="K1485" s="36" t="s">
        <v>14330</v>
      </c>
      <c r="L1485" s="36" t="s">
        <v>14330</v>
      </c>
      <c r="M1485">
        <v>3</v>
      </c>
      <c r="N1485" t="s">
        <v>14331</v>
      </c>
      <c r="O1485" t="s">
        <v>32724</v>
      </c>
    </row>
    <row r="1486" spans="1:15" x14ac:dyDescent="0.25">
      <c r="A1486" s="35" t="s">
        <v>5676</v>
      </c>
      <c r="B1486" s="36" t="s">
        <v>5677</v>
      </c>
      <c r="C1486" s="36" t="str">
        <f>HYPERLINK("https://rhld.insurance.arkansas.gov/NPILookup?Npi=1548263692","1548263692")</f>
        <v>1548263692</v>
      </c>
      <c r="D1486" s="36" t="s">
        <v>34138</v>
      </c>
      <c r="E1486" s="36" t="s">
        <v>1</v>
      </c>
      <c r="F1486" s="36">
        <v>1</v>
      </c>
      <c r="G1486" s="36">
        <v>3</v>
      </c>
      <c r="H1486" s="36">
        <v>0</v>
      </c>
      <c r="I1486" s="37">
        <v>0</v>
      </c>
      <c r="J1486" s="36" t="s">
        <v>32723</v>
      </c>
      <c r="K1486" s="36" t="s">
        <v>14330</v>
      </c>
      <c r="L1486" s="36" t="s">
        <v>14330</v>
      </c>
      <c r="M1486">
        <v>2</v>
      </c>
      <c r="N1486" t="s">
        <v>14331</v>
      </c>
      <c r="O1486" t="s">
        <v>32724</v>
      </c>
    </row>
    <row r="1487" spans="1:15" x14ac:dyDescent="0.25">
      <c r="A1487" s="35" t="s">
        <v>5676</v>
      </c>
      <c r="B1487" s="36" t="s">
        <v>5677</v>
      </c>
      <c r="C1487" s="36" t="str">
        <f>HYPERLINK("https://rhld.insurance.arkansas.gov/NPILookup?Npi=1689237869","1689237869")</f>
        <v>1689237869</v>
      </c>
      <c r="D1487" s="36" t="s">
        <v>34139</v>
      </c>
      <c r="E1487" s="36" t="s">
        <v>2</v>
      </c>
      <c r="F1487" s="36">
        <v>1</v>
      </c>
      <c r="G1487" s="36">
        <v>2</v>
      </c>
      <c r="H1487" s="36">
        <v>0</v>
      </c>
      <c r="I1487" s="37">
        <v>0</v>
      </c>
      <c r="J1487" s="36" t="s">
        <v>32679</v>
      </c>
      <c r="K1487" s="36" t="s">
        <v>14330</v>
      </c>
      <c r="L1487" s="36" t="s">
        <v>14330</v>
      </c>
      <c r="M1487">
        <v>3</v>
      </c>
      <c r="N1487" t="s">
        <v>14331</v>
      </c>
      <c r="O1487" t="s">
        <v>14333</v>
      </c>
    </row>
    <row r="1488" spans="1:15" x14ac:dyDescent="0.25">
      <c r="A1488" s="35" t="s">
        <v>5676</v>
      </c>
      <c r="B1488" s="36" t="s">
        <v>5677</v>
      </c>
      <c r="C1488" s="36" t="str">
        <f>HYPERLINK("https://rhld.insurance.arkansas.gov/NPILookup?Npi=1760470983","1760470983")</f>
        <v>1760470983</v>
      </c>
      <c r="D1488" s="36" t="s">
        <v>34140</v>
      </c>
      <c r="E1488" s="36" t="s">
        <v>1</v>
      </c>
      <c r="F1488" s="36">
        <v>1</v>
      </c>
      <c r="G1488" s="36">
        <v>3</v>
      </c>
      <c r="H1488" s="36">
        <v>0</v>
      </c>
      <c r="I1488" s="37">
        <v>0</v>
      </c>
      <c r="J1488" s="36" t="s">
        <v>32654</v>
      </c>
      <c r="K1488" s="36" t="s">
        <v>14330</v>
      </c>
      <c r="L1488" s="36" t="s">
        <v>14330</v>
      </c>
      <c r="M1488">
        <v>2</v>
      </c>
      <c r="N1488" t="s">
        <v>14331</v>
      </c>
      <c r="O1488" t="s">
        <v>32633</v>
      </c>
    </row>
    <row r="1489" spans="1:15" x14ac:dyDescent="0.25">
      <c r="A1489" s="35" t="s">
        <v>5676</v>
      </c>
      <c r="B1489" s="36" t="s">
        <v>5677</v>
      </c>
      <c r="C1489" s="36" t="str">
        <f>HYPERLINK("https://rhld.insurance.arkansas.gov/NPILookup?Npi=1770364093","1770364093")</f>
        <v>1770364093</v>
      </c>
      <c r="D1489" s="36" t="s">
        <v>34141</v>
      </c>
      <c r="E1489" s="36" t="s">
        <v>1</v>
      </c>
      <c r="F1489" s="36">
        <v>1</v>
      </c>
      <c r="G1489" s="36">
        <v>2</v>
      </c>
      <c r="H1489" s="36">
        <v>0</v>
      </c>
      <c r="I1489" s="37">
        <v>0</v>
      </c>
      <c r="J1489" s="36" t="s">
        <v>32654</v>
      </c>
      <c r="K1489" s="36" t="s">
        <v>14330</v>
      </c>
      <c r="L1489" s="36" t="s">
        <v>14330</v>
      </c>
      <c r="M1489">
        <v>2</v>
      </c>
      <c r="N1489" t="s">
        <v>14331</v>
      </c>
      <c r="O1489" t="s">
        <v>32633</v>
      </c>
    </row>
    <row r="1490" spans="1:15" x14ac:dyDescent="0.25">
      <c r="A1490" s="35" t="s">
        <v>5676</v>
      </c>
      <c r="B1490" s="36" t="s">
        <v>5677</v>
      </c>
      <c r="C1490" s="36" t="str">
        <f>HYPERLINK("https://rhld.insurance.arkansas.gov/NPILookup?Npi=1780224923","1780224923")</f>
        <v>1780224923</v>
      </c>
      <c r="D1490" s="36" t="s">
        <v>34142</v>
      </c>
      <c r="E1490" s="36" t="s">
        <v>1</v>
      </c>
      <c r="F1490" s="36">
        <v>1</v>
      </c>
      <c r="G1490" s="36">
        <v>2</v>
      </c>
      <c r="H1490" s="36">
        <v>0</v>
      </c>
      <c r="I1490" s="37">
        <v>0</v>
      </c>
      <c r="J1490" s="36" t="s">
        <v>32654</v>
      </c>
      <c r="K1490" s="36" t="s">
        <v>14330</v>
      </c>
      <c r="L1490" s="36" t="s">
        <v>14330</v>
      </c>
      <c r="M1490">
        <v>2</v>
      </c>
      <c r="N1490" t="s">
        <v>14331</v>
      </c>
      <c r="O1490" t="s">
        <v>32633</v>
      </c>
    </row>
    <row r="1491" spans="1:15" x14ac:dyDescent="0.25">
      <c r="A1491" s="35" t="s">
        <v>5676</v>
      </c>
      <c r="B1491" s="36" t="s">
        <v>5677</v>
      </c>
      <c r="C1491" s="36" t="str">
        <f>HYPERLINK("https://rhld.insurance.arkansas.gov/NPILookup?Npi=1790706505","1790706505")</f>
        <v>1790706505</v>
      </c>
      <c r="D1491" s="36" t="s">
        <v>34143</v>
      </c>
      <c r="E1491" s="36" t="s">
        <v>2</v>
      </c>
      <c r="F1491" s="36">
        <v>1</v>
      </c>
      <c r="G1491" s="36">
        <v>2</v>
      </c>
      <c r="H1491" s="36">
        <v>0</v>
      </c>
      <c r="I1491" s="37">
        <v>0</v>
      </c>
      <c r="J1491" s="36" t="s">
        <v>32679</v>
      </c>
      <c r="K1491" s="36" t="s">
        <v>14330</v>
      </c>
      <c r="L1491" s="36" t="s">
        <v>14330</v>
      </c>
      <c r="M1491">
        <v>2</v>
      </c>
      <c r="N1491" t="s">
        <v>14331</v>
      </c>
      <c r="O1491" t="s">
        <v>14333</v>
      </c>
    </row>
    <row r="1492" spans="1:15" x14ac:dyDescent="0.25">
      <c r="A1492" s="35" t="s">
        <v>5676</v>
      </c>
      <c r="B1492" s="36" t="s">
        <v>5677</v>
      </c>
      <c r="C1492" s="36" t="str">
        <f>HYPERLINK("https://rhld.insurance.arkansas.gov/NPILookup?Npi=1790772374","1790772374")</f>
        <v>1790772374</v>
      </c>
      <c r="D1492" s="36" t="s">
        <v>34144</v>
      </c>
      <c r="E1492" s="36" t="s">
        <v>2</v>
      </c>
      <c r="F1492" s="36">
        <v>1</v>
      </c>
      <c r="G1492" s="36">
        <v>2</v>
      </c>
      <c r="H1492" s="36">
        <v>0</v>
      </c>
      <c r="I1492" s="37">
        <v>0</v>
      </c>
      <c r="J1492" s="36" t="s">
        <v>32679</v>
      </c>
      <c r="K1492" s="36" t="s">
        <v>14330</v>
      </c>
      <c r="L1492" s="36" t="s">
        <v>14330</v>
      </c>
      <c r="M1492">
        <v>2</v>
      </c>
      <c r="N1492" t="s">
        <v>14331</v>
      </c>
      <c r="O1492" t="s">
        <v>14333</v>
      </c>
    </row>
    <row r="1493" spans="1:15" x14ac:dyDescent="0.25">
      <c r="A1493" s="35" t="s">
        <v>5676</v>
      </c>
      <c r="B1493" s="36" t="s">
        <v>5677</v>
      </c>
      <c r="C1493" s="36" t="str">
        <f>HYPERLINK("https://rhld.insurance.arkansas.gov/NPILookup?Npi=1801589395","1801589395")</f>
        <v>1801589395</v>
      </c>
      <c r="D1493" s="36" t="s">
        <v>34145</v>
      </c>
      <c r="E1493" s="36" t="s">
        <v>1</v>
      </c>
      <c r="F1493" s="36">
        <v>1</v>
      </c>
      <c r="G1493" s="36">
        <v>2</v>
      </c>
      <c r="H1493" s="36">
        <v>0</v>
      </c>
      <c r="I1493" s="37">
        <v>0</v>
      </c>
      <c r="J1493" s="36" t="s">
        <v>32654</v>
      </c>
      <c r="K1493" s="36" t="s">
        <v>14330</v>
      </c>
      <c r="L1493" s="36" t="s">
        <v>14330</v>
      </c>
      <c r="M1493">
        <v>3</v>
      </c>
      <c r="N1493" t="s">
        <v>14331</v>
      </c>
      <c r="O1493" t="s">
        <v>32633</v>
      </c>
    </row>
    <row r="1494" spans="1:15" x14ac:dyDescent="0.25">
      <c r="A1494" s="35" t="s">
        <v>5676</v>
      </c>
      <c r="B1494" s="36" t="s">
        <v>5677</v>
      </c>
      <c r="C1494" s="36" t="str">
        <f>HYPERLINK("https://rhld.insurance.arkansas.gov/NPILookup?Npi=1861503062","1861503062")</f>
        <v>1861503062</v>
      </c>
      <c r="D1494" s="36" t="s">
        <v>34146</v>
      </c>
      <c r="E1494" s="36" t="s">
        <v>1</v>
      </c>
      <c r="F1494" s="36">
        <v>1</v>
      </c>
      <c r="G1494" s="36">
        <v>3</v>
      </c>
      <c r="H1494" s="36">
        <v>0</v>
      </c>
      <c r="I1494" s="37">
        <v>0</v>
      </c>
      <c r="J1494" s="36" t="s">
        <v>32654</v>
      </c>
      <c r="K1494" s="36" t="s">
        <v>14330</v>
      </c>
      <c r="L1494" s="36" t="s">
        <v>14330</v>
      </c>
      <c r="M1494">
        <v>2</v>
      </c>
      <c r="N1494" t="s">
        <v>14331</v>
      </c>
      <c r="O1494" t="s">
        <v>32633</v>
      </c>
    </row>
    <row r="1495" spans="1:15" x14ac:dyDescent="0.25">
      <c r="A1495" s="35" t="s">
        <v>5676</v>
      </c>
      <c r="B1495" s="36" t="s">
        <v>5677</v>
      </c>
      <c r="C1495" s="36" t="str">
        <f>HYPERLINK("https://rhld.insurance.arkansas.gov/NPILookup?Npi=1871530386","1871530386")</f>
        <v>1871530386</v>
      </c>
      <c r="D1495" s="36" t="s">
        <v>34147</v>
      </c>
      <c r="E1495" s="36" t="s">
        <v>2</v>
      </c>
      <c r="F1495" s="36">
        <v>1</v>
      </c>
      <c r="G1495" s="36">
        <v>2</v>
      </c>
      <c r="H1495" s="36">
        <v>0</v>
      </c>
      <c r="I1495" s="37">
        <v>0</v>
      </c>
      <c r="J1495" s="36" t="s">
        <v>32679</v>
      </c>
      <c r="K1495" s="36" t="s">
        <v>14330</v>
      </c>
      <c r="L1495" s="36" t="s">
        <v>14330</v>
      </c>
      <c r="M1495">
        <v>2</v>
      </c>
      <c r="N1495" t="s">
        <v>14331</v>
      </c>
      <c r="O1495" t="s">
        <v>14333</v>
      </c>
    </row>
    <row r="1496" spans="1:15" x14ac:dyDescent="0.25">
      <c r="A1496" s="35" t="s">
        <v>5676</v>
      </c>
      <c r="B1496" s="36" t="s">
        <v>5677</v>
      </c>
      <c r="C1496" s="36" t="str">
        <f>HYPERLINK("https://rhld.insurance.arkansas.gov/NPILookup?Npi=1881663078","1881663078")</f>
        <v>1881663078</v>
      </c>
      <c r="D1496" s="36" t="s">
        <v>34148</v>
      </c>
      <c r="E1496" s="36" t="s">
        <v>2</v>
      </c>
      <c r="F1496" s="36">
        <v>1</v>
      </c>
      <c r="G1496" s="36">
        <v>2</v>
      </c>
      <c r="H1496" s="36">
        <v>0</v>
      </c>
      <c r="I1496" s="37">
        <v>0</v>
      </c>
      <c r="J1496" s="36" t="s">
        <v>32679</v>
      </c>
      <c r="K1496" s="36" t="s">
        <v>14330</v>
      </c>
      <c r="L1496" s="36" t="s">
        <v>14330</v>
      </c>
      <c r="M1496">
        <v>2</v>
      </c>
      <c r="N1496" t="s">
        <v>14331</v>
      </c>
      <c r="O1496" t="s">
        <v>14333</v>
      </c>
    </row>
    <row r="1497" spans="1:15" x14ac:dyDescent="0.25">
      <c r="A1497" s="35" t="s">
        <v>5676</v>
      </c>
      <c r="B1497" s="36" t="s">
        <v>5677</v>
      </c>
      <c r="C1497" s="36" t="str">
        <f>HYPERLINK("https://rhld.insurance.arkansas.gov/NPILookup?Npi=1922090471","1922090471")</f>
        <v>1922090471</v>
      </c>
      <c r="D1497" s="36" t="s">
        <v>34149</v>
      </c>
      <c r="E1497" s="36" t="s">
        <v>2</v>
      </c>
      <c r="F1497" s="36">
        <v>1</v>
      </c>
      <c r="G1497" s="36">
        <v>2</v>
      </c>
      <c r="H1497" s="36">
        <v>0</v>
      </c>
      <c r="I1497" s="37">
        <v>0</v>
      </c>
      <c r="J1497" s="36" t="s">
        <v>32679</v>
      </c>
      <c r="K1497" s="36" t="s">
        <v>14330</v>
      </c>
      <c r="L1497" s="36" t="s">
        <v>14330</v>
      </c>
      <c r="M1497">
        <v>2</v>
      </c>
      <c r="N1497" t="s">
        <v>14331</v>
      </c>
      <c r="O1497" t="s">
        <v>14333</v>
      </c>
    </row>
    <row r="1498" spans="1:15" x14ac:dyDescent="0.25">
      <c r="A1498" s="35" t="s">
        <v>5676</v>
      </c>
      <c r="B1498" s="36" t="s">
        <v>5677</v>
      </c>
      <c r="C1498" s="36" t="str">
        <f>HYPERLINK("https://rhld.insurance.arkansas.gov/NPILookup?Npi=1952374498","1952374498")</f>
        <v>1952374498</v>
      </c>
      <c r="D1498" s="36" t="s">
        <v>34150</v>
      </c>
      <c r="E1498" s="36" t="s">
        <v>2</v>
      </c>
      <c r="F1498" s="36">
        <v>1</v>
      </c>
      <c r="G1498" s="36">
        <v>2</v>
      </c>
      <c r="H1498" s="36">
        <v>0</v>
      </c>
      <c r="I1498" s="37">
        <v>0</v>
      </c>
      <c r="J1498" s="36" t="s">
        <v>32679</v>
      </c>
      <c r="K1498" s="36" t="s">
        <v>14330</v>
      </c>
      <c r="L1498" s="36" t="s">
        <v>14330</v>
      </c>
      <c r="M1498">
        <v>2</v>
      </c>
      <c r="N1498" t="s">
        <v>14331</v>
      </c>
      <c r="O1498" t="s">
        <v>14333</v>
      </c>
    </row>
    <row r="1499" spans="1:15" x14ac:dyDescent="0.25">
      <c r="A1499" s="35" t="s">
        <v>5676</v>
      </c>
      <c r="B1499" s="36" t="s">
        <v>5677</v>
      </c>
      <c r="C1499" s="36" t="str">
        <f>HYPERLINK("https://rhld.insurance.arkansas.gov/NPILookup?Npi=1952817587","1952817587")</f>
        <v>1952817587</v>
      </c>
      <c r="D1499" s="36" t="s">
        <v>34151</v>
      </c>
      <c r="E1499" s="36" t="s">
        <v>1</v>
      </c>
      <c r="F1499" s="36">
        <v>1</v>
      </c>
      <c r="G1499" s="36">
        <v>2</v>
      </c>
      <c r="H1499" s="36">
        <v>0</v>
      </c>
      <c r="I1499" s="37">
        <v>0</v>
      </c>
      <c r="J1499" s="36" t="s">
        <v>32654</v>
      </c>
      <c r="K1499" s="36" t="s">
        <v>14330</v>
      </c>
      <c r="L1499" s="36" t="s">
        <v>14330</v>
      </c>
      <c r="M1499">
        <v>3</v>
      </c>
      <c r="N1499" t="s">
        <v>14331</v>
      </c>
      <c r="O1499" t="s">
        <v>32633</v>
      </c>
    </row>
    <row r="1500" spans="1:15" x14ac:dyDescent="0.25">
      <c r="A1500" s="35" t="s">
        <v>5676</v>
      </c>
      <c r="B1500" s="36" t="s">
        <v>5677</v>
      </c>
      <c r="C1500" s="36" t="str">
        <f>HYPERLINK("https://rhld.insurance.arkansas.gov/NPILookup?Npi=1972584571","1972584571")</f>
        <v>1972584571</v>
      </c>
      <c r="D1500" s="36" t="s">
        <v>34152</v>
      </c>
      <c r="E1500" s="36" t="s">
        <v>1</v>
      </c>
      <c r="F1500" s="36">
        <v>1</v>
      </c>
      <c r="G1500" s="36">
        <v>3</v>
      </c>
      <c r="H1500" s="36">
        <v>0</v>
      </c>
      <c r="I1500" s="37">
        <v>0</v>
      </c>
      <c r="J1500" s="36" t="s">
        <v>32654</v>
      </c>
      <c r="K1500" s="36" t="s">
        <v>14330</v>
      </c>
      <c r="L1500" s="36" t="s">
        <v>14330</v>
      </c>
      <c r="M1500">
        <v>2</v>
      </c>
      <c r="N1500" t="s">
        <v>14331</v>
      </c>
      <c r="O1500" t="s">
        <v>32633</v>
      </c>
    </row>
    <row r="1501" spans="1:15" x14ac:dyDescent="0.25">
      <c r="A1501" s="35" t="s">
        <v>5676</v>
      </c>
      <c r="B1501" s="36" t="s">
        <v>5677</v>
      </c>
      <c r="C1501" s="36" t="str">
        <f>HYPERLINK("https://rhld.insurance.arkansas.gov/NPILookup?Npi=1972625853","1972625853")</f>
        <v>1972625853</v>
      </c>
      <c r="D1501" s="36" t="s">
        <v>34153</v>
      </c>
      <c r="E1501" s="36" t="s">
        <v>1</v>
      </c>
      <c r="F1501" s="36">
        <v>1</v>
      </c>
      <c r="G1501" s="36">
        <v>2</v>
      </c>
      <c r="H1501" s="36">
        <v>0</v>
      </c>
      <c r="I1501" s="37">
        <v>0</v>
      </c>
      <c r="J1501" s="36" t="s">
        <v>32723</v>
      </c>
      <c r="K1501" s="36" t="s">
        <v>14330</v>
      </c>
      <c r="L1501" s="36" t="s">
        <v>14330</v>
      </c>
      <c r="M1501">
        <v>2</v>
      </c>
      <c r="N1501" t="s">
        <v>14331</v>
      </c>
      <c r="O1501" t="s">
        <v>32724</v>
      </c>
    </row>
    <row r="1502" spans="1:15" x14ac:dyDescent="0.25">
      <c r="A1502" s="35" t="s">
        <v>5676</v>
      </c>
      <c r="B1502" s="36" t="s">
        <v>5677</v>
      </c>
      <c r="C1502" s="36" t="str">
        <f>HYPERLINK("https://rhld.insurance.arkansas.gov/NPILookup?Npi=1992117089","1992117089")</f>
        <v>1992117089</v>
      </c>
      <c r="D1502" s="36" t="s">
        <v>34154</v>
      </c>
      <c r="E1502" s="36" t="s">
        <v>2</v>
      </c>
      <c r="F1502" s="36">
        <v>1</v>
      </c>
      <c r="G1502" s="36">
        <v>2</v>
      </c>
      <c r="H1502" s="36">
        <v>0</v>
      </c>
      <c r="I1502" s="37">
        <v>0</v>
      </c>
      <c r="J1502" s="36"/>
      <c r="K1502" s="36" t="s">
        <v>14330</v>
      </c>
      <c r="L1502" s="36" t="s">
        <v>14330</v>
      </c>
      <c r="M1502">
        <v>1</v>
      </c>
      <c r="N1502" t="s">
        <v>14331</v>
      </c>
      <c r="O1502" t="s">
        <v>14333</v>
      </c>
    </row>
    <row r="1503" spans="1:15" x14ac:dyDescent="0.25">
      <c r="A1503" s="35" t="s">
        <v>5782</v>
      </c>
      <c r="B1503" s="36" t="s">
        <v>5783</v>
      </c>
      <c r="C1503" s="36" t="str">
        <f>HYPERLINK("https://rhld.insurance.arkansas.gov/NPILookup?Npi=1003355488","1003355488")</f>
        <v>1003355488</v>
      </c>
      <c r="D1503" s="36" t="s">
        <v>34155</v>
      </c>
      <c r="E1503" s="36" t="s">
        <v>2</v>
      </c>
      <c r="F1503" s="36">
        <v>1</v>
      </c>
      <c r="G1503" s="36">
        <v>1</v>
      </c>
      <c r="H1503" s="36">
        <v>0</v>
      </c>
      <c r="I1503" s="37">
        <v>0</v>
      </c>
      <c r="J1503" s="36" t="s">
        <v>32679</v>
      </c>
      <c r="K1503" s="36" t="s">
        <v>14330</v>
      </c>
      <c r="L1503" s="36" t="s">
        <v>14330</v>
      </c>
      <c r="M1503">
        <v>2</v>
      </c>
      <c r="N1503" t="s">
        <v>14331</v>
      </c>
      <c r="O1503" t="s">
        <v>32633</v>
      </c>
    </row>
    <row r="1504" spans="1:15" x14ac:dyDescent="0.25">
      <c r="A1504" s="35" t="s">
        <v>5782</v>
      </c>
      <c r="B1504" s="36" t="s">
        <v>5783</v>
      </c>
      <c r="C1504" s="36" t="str">
        <f>HYPERLINK("https://rhld.insurance.arkansas.gov/NPILookup?Npi=1003563032","1003563032")</f>
        <v>1003563032</v>
      </c>
      <c r="D1504" s="36" t="s">
        <v>34156</v>
      </c>
      <c r="E1504" s="36" t="s">
        <v>2</v>
      </c>
      <c r="F1504" s="36">
        <v>1</v>
      </c>
      <c r="G1504" s="36">
        <v>2</v>
      </c>
      <c r="H1504" s="36">
        <v>0</v>
      </c>
      <c r="I1504" s="37">
        <v>0</v>
      </c>
      <c r="J1504" s="36"/>
      <c r="K1504" s="36" t="s">
        <v>14330</v>
      </c>
      <c r="L1504" s="36" t="s">
        <v>14330</v>
      </c>
      <c r="M1504">
        <v>2</v>
      </c>
      <c r="N1504" t="s">
        <v>14331</v>
      </c>
      <c r="O1504" t="s">
        <v>14333</v>
      </c>
    </row>
    <row r="1505" spans="1:15" x14ac:dyDescent="0.25">
      <c r="A1505" s="35" t="s">
        <v>5782</v>
      </c>
      <c r="B1505" s="36" t="s">
        <v>5783</v>
      </c>
      <c r="C1505" s="36" t="str">
        <f>HYPERLINK("https://rhld.insurance.arkansas.gov/NPILookup?Npi=1013445055","1013445055")</f>
        <v>1013445055</v>
      </c>
      <c r="D1505" s="36" t="s">
        <v>34157</v>
      </c>
      <c r="E1505" s="36" t="s">
        <v>2</v>
      </c>
      <c r="F1505" s="36">
        <v>1</v>
      </c>
      <c r="G1505" s="36">
        <v>2</v>
      </c>
      <c r="H1505" s="36">
        <v>0</v>
      </c>
      <c r="I1505" s="37">
        <v>0</v>
      </c>
      <c r="J1505" s="36"/>
      <c r="K1505" s="36" t="s">
        <v>14330</v>
      </c>
      <c r="L1505" s="36" t="s">
        <v>14330</v>
      </c>
      <c r="M1505">
        <v>2</v>
      </c>
      <c r="N1505" t="s">
        <v>14331</v>
      </c>
      <c r="O1505" t="s">
        <v>14333</v>
      </c>
    </row>
    <row r="1506" spans="1:15" x14ac:dyDescent="0.25">
      <c r="A1506" s="35" t="s">
        <v>5782</v>
      </c>
      <c r="B1506" s="36" t="s">
        <v>5783</v>
      </c>
      <c r="C1506" s="36" t="str">
        <f>HYPERLINK("https://rhld.insurance.arkansas.gov/NPILookup?Npi=1013764588","1013764588")</f>
        <v>1013764588</v>
      </c>
      <c r="D1506" s="36" t="s">
        <v>34158</v>
      </c>
      <c r="E1506" s="36" t="s">
        <v>2</v>
      </c>
      <c r="F1506" s="36">
        <v>1</v>
      </c>
      <c r="G1506" s="36">
        <v>2</v>
      </c>
      <c r="H1506" s="36">
        <v>0</v>
      </c>
      <c r="I1506" s="37">
        <v>0</v>
      </c>
      <c r="J1506" s="36"/>
      <c r="K1506" s="36" t="s">
        <v>14330</v>
      </c>
      <c r="L1506" s="36" t="s">
        <v>14330</v>
      </c>
      <c r="M1506">
        <v>3</v>
      </c>
      <c r="N1506" t="s">
        <v>14331</v>
      </c>
      <c r="O1506" t="s">
        <v>14333</v>
      </c>
    </row>
    <row r="1507" spans="1:15" x14ac:dyDescent="0.25">
      <c r="A1507" s="35" t="s">
        <v>5782</v>
      </c>
      <c r="B1507" s="36" t="s">
        <v>5783</v>
      </c>
      <c r="C1507" s="36" t="str">
        <f>HYPERLINK("https://rhld.insurance.arkansas.gov/NPILookup?Npi=1023322567","1023322567")</f>
        <v>1023322567</v>
      </c>
      <c r="D1507" s="36" t="s">
        <v>34159</v>
      </c>
      <c r="E1507" s="36" t="s">
        <v>1</v>
      </c>
      <c r="F1507" s="36">
        <v>1</v>
      </c>
      <c r="G1507" s="36">
        <v>3</v>
      </c>
      <c r="H1507" s="36">
        <v>0</v>
      </c>
      <c r="I1507" s="37">
        <v>0</v>
      </c>
      <c r="J1507" s="36" t="s">
        <v>32654</v>
      </c>
      <c r="K1507" s="36" t="s">
        <v>14330</v>
      </c>
      <c r="L1507" s="36" t="s">
        <v>14330</v>
      </c>
      <c r="M1507">
        <v>3</v>
      </c>
      <c r="N1507" t="s">
        <v>14331</v>
      </c>
      <c r="O1507" t="s">
        <v>32633</v>
      </c>
    </row>
    <row r="1508" spans="1:15" x14ac:dyDescent="0.25">
      <c r="A1508" s="35" t="s">
        <v>5782</v>
      </c>
      <c r="B1508" s="36" t="s">
        <v>5783</v>
      </c>
      <c r="C1508" s="36" t="str">
        <f>HYPERLINK("https://rhld.insurance.arkansas.gov/NPILookup?Npi=1033329701","1033329701")</f>
        <v>1033329701</v>
      </c>
      <c r="D1508" s="36" t="s">
        <v>34160</v>
      </c>
      <c r="E1508" s="36" t="s">
        <v>1</v>
      </c>
      <c r="F1508" s="36">
        <v>1</v>
      </c>
      <c r="G1508" s="36">
        <v>3</v>
      </c>
      <c r="H1508" s="36">
        <v>0</v>
      </c>
      <c r="I1508" s="37">
        <v>0</v>
      </c>
      <c r="J1508" s="36" t="s">
        <v>32654</v>
      </c>
      <c r="K1508" s="36" t="s">
        <v>14330</v>
      </c>
      <c r="L1508" s="36" t="s">
        <v>14330</v>
      </c>
      <c r="M1508">
        <v>2</v>
      </c>
      <c r="N1508" t="s">
        <v>14331</v>
      </c>
      <c r="O1508" t="s">
        <v>32633</v>
      </c>
    </row>
    <row r="1509" spans="1:15" x14ac:dyDescent="0.25">
      <c r="A1509" s="35" t="s">
        <v>5782</v>
      </c>
      <c r="B1509" s="36" t="s">
        <v>5783</v>
      </c>
      <c r="C1509" s="36" t="str">
        <f>HYPERLINK("https://rhld.insurance.arkansas.gov/NPILookup?Npi=1033461629","1033461629")</f>
        <v>1033461629</v>
      </c>
      <c r="D1509" s="36" t="s">
        <v>34161</v>
      </c>
      <c r="E1509" s="36" t="s">
        <v>2</v>
      </c>
      <c r="F1509" s="36">
        <v>1</v>
      </c>
      <c r="G1509" s="36">
        <v>2</v>
      </c>
      <c r="H1509" s="36">
        <v>0</v>
      </c>
      <c r="I1509" s="37">
        <v>0</v>
      </c>
      <c r="J1509" s="36"/>
      <c r="K1509" s="36" t="s">
        <v>14330</v>
      </c>
      <c r="L1509" s="36" t="s">
        <v>14330</v>
      </c>
      <c r="M1509">
        <v>2</v>
      </c>
      <c r="N1509" t="s">
        <v>14331</v>
      </c>
      <c r="O1509" t="s">
        <v>14333</v>
      </c>
    </row>
    <row r="1510" spans="1:15" x14ac:dyDescent="0.25">
      <c r="A1510" s="35" t="s">
        <v>5782</v>
      </c>
      <c r="B1510" s="36" t="s">
        <v>5783</v>
      </c>
      <c r="C1510" s="36" t="str">
        <f>HYPERLINK("https://rhld.insurance.arkansas.gov/NPILookup?Npi=1033504956","1033504956")</f>
        <v>1033504956</v>
      </c>
      <c r="D1510" s="36" t="s">
        <v>34162</v>
      </c>
      <c r="E1510" s="36" t="s">
        <v>2</v>
      </c>
      <c r="F1510" s="36">
        <v>1</v>
      </c>
      <c r="G1510" s="36">
        <v>2</v>
      </c>
      <c r="H1510" s="36">
        <v>0</v>
      </c>
      <c r="I1510" s="37">
        <v>0</v>
      </c>
      <c r="J1510" s="36"/>
      <c r="K1510" s="36" t="s">
        <v>14330</v>
      </c>
      <c r="L1510" s="36" t="s">
        <v>14330</v>
      </c>
      <c r="M1510">
        <v>2</v>
      </c>
      <c r="N1510" t="s">
        <v>14331</v>
      </c>
      <c r="O1510" t="s">
        <v>14333</v>
      </c>
    </row>
    <row r="1511" spans="1:15" x14ac:dyDescent="0.25">
      <c r="A1511" s="35" t="s">
        <v>5782</v>
      </c>
      <c r="B1511" s="36" t="s">
        <v>5783</v>
      </c>
      <c r="C1511" s="36" t="str">
        <f>HYPERLINK("https://rhld.insurance.arkansas.gov/NPILookup?Npi=1033649892","1033649892")</f>
        <v>1033649892</v>
      </c>
      <c r="D1511" s="36" t="s">
        <v>34163</v>
      </c>
      <c r="E1511" s="36" t="s">
        <v>2</v>
      </c>
      <c r="F1511" s="36">
        <v>1</v>
      </c>
      <c r="G1511" s="36">
        <v>2</v>
      </c>
      <c r="H1511" s="36">
        <v>0</v>
      </c>
      <c r="I1511" s="37">
        <v>0</v>
      </c>
      <c r="J1511" s="36"/>
      <c r="K1511" s="36" t="s">
        <v>14330</v>
      </c>
      <c r="L1511" s="36" t="s">
        <v>14330</v>
      </c>
      <c r="M1511">
        <v>2</v>
      </c>
      <c r="N1511" t="s">
        <v>14331</v>
      </c>
      <c r="O1511" t="s">
        <v>14333</v>
      </c>
    </row>
    <row r="1512" spans="1:15" x14ac:dyDescent="0.25">
      <c r="A1512" s="35" t="s">
        <v>5782</v>
      </c>
      <c r="B1512" s="36" t="s">
        <v>5783</v>
      </c>
      <c r="C1512" s="36" t="str">
        <f>HYPERLINK("https://rhld.insurance.arkansas.gov/NPILookup?Npi=1033711205","1033711205")</f>
        <v>1033711205</v>
      </c>
      <c r="D1512" s="36" t="s">
        <v>34164</v>
      </c>
      <c r="E1512" s="36" t="s">
        <v>2</v>
      </c>
      <c r="F1512" s="36">
        <v>1</v>
      </c>
      <c r="G1512" s="36">
        <v>2</v>
      </c>
      <c r="H1512" s="36">
        <v>0</v>
      </c>
      <c r="I1512" s="37">
        <v>0</v>
      </c>
      <c r="J1512" s="36" t="s">
        <v>34165</v>
      </c>
      <c r="K1512" s="36" t="s">
        <v>14330</v>
      </c>
      <c r="L1512" s="36" t="s">
        <v>14330</v>
      </c>
      <c r="M1512">
        <v>3</v>
      </c>
      <c r="N1512" t="s">
        <v>14331</v>
      </c>
      <c r="O1512" t="s">
        <v>14333</v>
      </c>
    </row>
    <row r="1513" spans="1:15" x14ac:dyDescent="0.25">
      <c r="A1513" s="35" t="s">
        <v>5782</v>
      </c>
      <c r="B1513" s="36" t="s">
        <v>5783</v>
      </c>
      <c r="C1513" s="36" t="str">
        <f>HYPERLINK("https://rhld.insurance.arkansas.gov/NPILookup?Npi=1043699929","1043699929")</f>
        <v>1043699929</v>
      </c>
      <c r="D1513" s="36" t="s">
        <v>34166</v>
      </c>
      <c r="E1513" s="36" t="s">
        <v>1</v>
      </c>
      <c r="F1513" s="36">
        <v>1</v>
      </c>
      <c r="G1513" s="36">
        <v>3</v>
      </c>
      <c r="H1513" s="36">
        <v>0</v>
      </c>
      <c r="I1513" s="37">
        <v>0</v>
      </c>
      <c r="J1513" s="36" t="s">
        <v>32654</v>
      </c>
      <c r="K1513" s="36" t="s">
        <v>14330</v>
      </c>
      <c r="L1513" s="36" t="s">
        <v>14330</v>
      </c>
      <c r="M1513">
        <v>2</v>
      </c>
      <c r="N1513" t="s">
        <v>14331</v>
      </c>
      <c r="O1513" t="s">
        <v>32633</v>
      </c>
    </row>
    <row r="1514" spans="1:15" x14ac:dyDescent="0.25">
      <c r="A1514" s="35" t="s">
        <v>5782</v>
      </c>
      <c r="B1514" s="36" t="s">
        <v>5783</v>
      </c>
      <c r="C1514" s="36" t="str">
        <f>HYPERLINK("https://rhld.insurance.arkansas.gov/NPILookup?Npi=1043821598","1043821598")</f>
        <v>1043821598</v>
      </c>
      <c r="D1514" s="36" t="s">
        <v>34167</v>
      </c>
      <c r="E1514" s="36" t="s">
        <v>2</v>
      </c>
      <c r="F1514" s="36">
        <v>1</v>
      </c>
      <c r="G1514" s="36">
        <v>2</v>
      </c>
      <c r="H1514" s="36">
        <v>0</v>
      </c>
      <c r="I1514" s="37">
        <v>0</v>
      </c>
      <c r="J1514" s="36"/>
      <c r="K1514" s="36" t="s">
        <v>14330</v>
      </c>
      <c r="L1514" s="36" t="s">
        <v>14330</v>
      </c>
      <c r="M1514">
        <v>2</v>
      </c>
      <c r="N1514" t="s">
        <v>14331</v>
      </c>
      <c r="O1514" t="s">
        <v>14333</v>
      </c>
    </row>
    <row r="1515" spans="1:15" x14ac:dyDescent="0.25">
      <c r="A1515" s="35" t="s">
        <v>5782</v>
      </c>
      <c r="B1515" s="36" t="s">
        <v>5783</v>
      </c>
      <c r="C1515" s="36" t="str">
        <f>HYPERLINK("https://rhld.insurance.arkansas.gov/NPILookup?Npi=1043886393","1043886393")</f>
        <v>1043886393</v>
      </c>
      <c r="D1515" s="36" t="s">
        <v>34168</v>
      </c>
      <c r="E1515" s="36" t="s">
        <v>2</v>
      </c>
      <c r="F1515" s="36">
        <v>1</v>
      </c>
      <c r="G1515" s="36">
        <v>2</v>
      </c>
      <c r="H1515" s="36">
        <v>0</v>
      </c>
      <c r="I1515" s="37">
        <v>0</v>
      </c>
      <c r="J1515" s="36"/>
      <c r="K1515" s="36" t="s">
        <v>14330</v>
      </c>
      <c r="L1515" s="36" t="s">
        <v>14330</v>
      </c>
      <c r="M1515">
        <v>2</v>
      </c>
      <c r="N1515" t="s">
        <v>14331</v>
      </c>
      <c r="O1515" t="s">
        <v>14333</v>
      </c>
    </row>
    <row r="1516" spans="1:15" x14ac:dyDescent="0.25">
      <c r="A1516" s="35" t="s">
        <v>5782</v>
      </c>
      <c r="B1516" s="36" t="s">
        <v>5783</v>
      </c>
      <c r="C1516" s="36" t="str">
        <f>HYPERLINK("https://rhld.insurance.arkansas.gov/NPILookup?Npi=1043941867","1043941867")</f>
        <v>1043941867</v>
      </c>
      <c r="D1516" s="36" t="s">
        <v>34169</v>
      </c>
      <c r="E1516" s="36" t="s">
        <v>2</v>
      </c>
      <c r="F1516" s="36">
        <v>1</v>
      </c>
      <c r="G1516" s="36">
        <v>2</v>
      </c>
      <c r="H1516" s="36">
        <v>0</v>
      </c>
      <c r="I1516" s="37">
        <v>0</v>
      </c>
      <c r="J1516" s="36" t="s">
        <v>34165</v>
      </c>
      <c r="K1516" s="36" t="s">
        <v>14330</v>
      </c>
      <c r="L1516" s="36" t="s">
        <v>14330</v>
      </c>
      <c r="M1516">
        <v>0</v>
      </c>
      <c r="N1516" t="s">
        <v>14331</v>
      </c>
      <c r="O1516" t="s">
        <v>14333</v>
      </c>
    </row>
    <row r="1517" spans="1:15" x14ac:dyDescent="0.25">
      <c r="A1517" s="35" t="s">
        <v>5782</v>
      </c>
      <c r="B1517" s="36" t="s">
        <v>5783</v>
      </c>
      <c r="C1517" s="36" t="str">
        <f>HYPERLINK("https://rhld.insurance.arkansas.gov/NPILookup?Npi=1053843631","1053843631")</f>
        <v>1053843631</v>
      </c>
      <c r="D1517" s="36" t="s">
        <v>34170</v>
      </c>
      <c r="E1517" s="36" t="s">
        <v>1</v>
      </c>
      <c r="F1517" s="36">
        <v>1</v>
      </c>
      <c r="G1517" s="36">
        <v>1</v>
      </c>
      <c r="H1517" s="36">
        <v>1</v>
      </c>
      <c r="I1517" s="37">
        <v>0</v>
      </c>
      <c r="J1517" s="36" t="s">
        <v>32654</v>
      </c>
      <c r="K1517" s="36" t="s">
        <v>14330</v>
      </c>
      <c r="L1517" s="36" t="s">
        <v>34171</v>
      </c>
      <c r="M1517">
        <v>2</v>
      </c>
      <c r="N1517" t="s">
        <v>14332</v>
      </c>
      <c r="O1517" t="s">
        <v>34172</v>
      </c>
    </row>
    <row r="1518" spans="1:15" x14ac:dyDescent="0.25">
      <c r="A1518" s="35" t="s">
        <v>5782</v>
      </c>
      <c r="B1518" s="36" t="s">
        <v>5783</v>
      </c>
      <c r="C1518" s="36" t="str">
        <f>HYPERLINK("https://rhld.insurance.arkansas.gov/NPILookup?Npi=1063069326","1063069326")</f>
        <v>1063069326</v>
      </c>
      <c r="D1518" s="36" t="s">
        <v>34173</v>
      </c>
      <c r="E1518" s="36" t="s">
        <v>1</v>
      </c>
      <c r="F1518" s="36">
        <v>1</v>
      </c>
      <c r="G1518" s="36">
        <v>2</v>
      </c>
      <c r="H1518" s="36">
        <v>0</v>
      </c>
      <c r="I1518" s="37">
        <v>0</v>
      </c>
      <c r="J1518" s="36" t="s">
        <v>32654</v>
      </c>
      <c r="K1518" s="36" t="s">
        <v>14330</v>
      </c>
      <c r="L1518" s="36" t="s">
        <v>14330</v>
      </c>
      <c r="M1518">
        <v>2</v>
      </c>
      <c r="N1518" t="s">
        <v>14331</v>
      </c>
      <c r="O1518" t="s">
        <v>32633</v>
      </c>
    </row>
    <row r="1519" spans="1:15" x14ac:dyDescent="0.25">
      <c r="A1519" s="35" t="s">
        <v>5782</v>
      </c>
      <c r="B1519" s="36" t="s">
        <v>5783</v>
      </c>
      <c r="C1519" s="36" t="str">
        <f>HYPERLINK("https://rhld.insurance.arkansas.gov/NPILookup?Npi=1063210011","1063210011")</f>
        <v>1063210011</v>
      </c>
      <c r="D1519" s="36" t="s">
        <v>34174</v>
      </c>
      <c r="E1519" s="36" t="s">
        <v>2</v>
      </c>
      <c r="F1519" s="36">
        <v>1</v>
      </c>
      <c r="G1519" s="36">
        <v>2</v>
      </c>
      <c r="H1519" s="36">
        <v>0</v>
      </c>
      <c r="I1519" s="37">
        <v>0</v>
      </c>
      <c r="J1519" s="36"/>
      <c r="K1519" s="36" t="s">
        <v>14330</v>
      </c>
      <c r="L1519" s="36" t="s">
        <v>14330</v>
      </c>
      <c r="M1519">
        <v>3</v>
      </c>
      <c r="N1519" t="s">
        <v>14331</v>
      </c>
      <c r="O1519" t="s">
        <v>14333</v>
      </c>
    </row>
    <row r="1520" spans="1:15" x14ac:dyDescent="0.25">
      <c r="A1520" s="35" t="s">
        <v>5782</v>
      </c>
      <c r="B1520" s="36" t="s">
        <v>5783</v>
      </c>
      <c r="C1520" s="36" t="str">
        <f>HYPERLINK("https://rhld.insurance.arkansas.gov/NPILookup?Npi=1063748101","1063748101")</f>
        <v>1063748101</v>
      </c>
      <c r="D1520" s="36" t="s">
        <v>34175</v>
      </c>
      <c r="E1520" s="36" t="s">
        <v>1</v>
      </c>
      <c r="F1520" s="36">
        <v>1</v>
      </c>
      <c r="G1520" s="36">
        <v>3</v>
      </c>
      <c r="H1520" s="36">
        <v>0</v>
      </c>
      <c r="I1520" s="37">
        <v>0</v>
      </c>
      <c r="J1520" s="36" t="s">
        <v>32654</v>
      </c>
      <c r="K1520" s="36" t="s">
        <v>14330</v>
      </c>
      <c r="L1520" s="36" t="s">
        <v>14330</v>
      </c>
      <c r="M1520">
        <v>3</v>
      </c>
      <c r="N1520" t="s">
        <v>14331</v>
      </c>
      <c r="O1520" t="s">
        <v>32633</v>
      </c>
    </row>
    <row r="1521" spans="1:15" x14ac:dyDescent="0.25">
      <c r="A1521" s="35" t="s">
        <v>5782</v>
      </c>
      <c r="B1521" s="36" t="s">
        <v>5783</v>
      </c>
      <c r="C1521" s="36" t="str">
        <f>HYPERLINK("https://rhld.insurance.arkansas.gov/NPILookup?Npi=1073019873","1073019873")</f>
        <v>1073019873</v>
      </c>
      <c r="D1521" s="36" t="s">
        <v>34176</v>
      </c>
      <c r="E1521" s="36" t="s">
        <v>1</v>
      </c>
      <c r="F1521" s="36">
        <v>1</v>
      </c>
      <c r="G1521" s="36">
        <v>3</v>
      </c>
      <c r="H1521" s="36">
        <v>0</v>
      </c>
      <c r="I1521" s="37">
        <v>0</v>
      </c>
      <c r="J1521" s="36" t="s">
        <v>32654</v>
      </c>
      <c r="K1521" s="36" t="s">
        <v>14330</v>
      </c>
      <c r="L1521" s="36" t="s">
        <v>14330</v>
      </c>
      <c r="M1521">
        <v>2</v>
      </c>
      <c r="N1521" t="s">
        <v>14331</v>
      </c>
      <c r="O1521" t="s">
        <v>32633</v>
      </c>
    </row>
    <row r="1522" spans="1:15" x14ac:dyDescent="0.25">
      <c r="A1522" s="35" t="s">
        <v>5782</v>
      </c>
      <c r="B1522" s="36" t="s">
        <v>5783</v>
      </c>
      <c r="C1522" s="36" t="str">
        <f>HYPERLINK("https://rhld.insurance.arkansas.gov/NPILookup?Npi=1073072583","1073072583")</f>
        <v>1073072583</v>
      </c>
      <c r="D1522" s="36" t="s">
        <v>34177</v>
      </c>
      <c r="E1522" s="36" t="s">
        <v>2</v>
      </c>
      <c r="F1522" s="36">
        <v>1</v>
      </c>
      <c r="G1522" s="36">
        <v>2</v>
      </c>
      <c r="H1522" s="36">
        <v>0</v>
      </c>
      <c r="I1522" s="37">
        <v>0</v>
      </c>
      <c r="J1522" s="36"/>
      <c r="K1522" s="36" t="s">
        <v>14330</v>
      </c>
      <c r="L1522" s="36" t="s">
        <v>14330</v>
      </c>
      <c r="M1522">
        <v>4</v>
      </c>
      <c r="N1522" t="s">
        <v>14331</v>
      </c>
      <c r="O1522" t="s">
        <v>14333</v>
      </c>
    </row>
    <row r="1523" spans="1:15" x14ac:dyDescent="0.25">
      <c r="A1523" s="35" t="s">
        <v>5782</v>
      </c>
      <c r="B1523" s="36" t="s">
        <v>5783</v>
      </c>
      <c r="C1523" s="36" t="str">
        <f>HYPERLINK("https://rhld.insurance.arkansas.gov/NPILookup?Npi=1073184727","1073184727")</f>
        <v>1073184727</v>
      </c>
      <c r="D1523" s="36" t="s">
        <v>34178</v>
      </c>
      <c r="E1523" s="36" t="s">
        <v>1</v>
      </c>
      <c r="F1523" s="36">
        <v>2</v>
      </c>
      <c r="G1523" s="36">
        <v>4</v>
      </c>
      <c r="H1523" s="36">
        <v>0</v>
      </c>
      <c r="I1523" s="37">
        <v>0</v>
      </c>
      <c r="J1523" s="36" t="s">
        <v>34179</v>
      </c>
      <c r="K1523" s="36" t="s">
        <v>14330</v>
      </c>
      <c r="L1523" s="36" t="s">
        <v>14330</v>
      </c>
      <c r="M1523">
        <v>2</v>
      </c>
      <c r="N1523" t="s">
        <v>14331</v>
      </c>
      <c r="O1523" t="s">
        <v>32633</v>
      </c>
    </row>
    <row r="1524" spans="1:15" x14ac:dyDescent="0.25">
      <c r="A1524" s="35" t="s">
        <v>5782</v>
      </c>
      <c r="B1524" s="36" t="s">
        <v>5783</v>
      </c>
      <c r="C1524" s="36" t="str">
        <f>HYPERLINK("https://rhld.insurance.arkansas.gov/NPILookup?Npi=1073247433","1073247433")</f>
        <v>1073247433</v>
      </c>
      <c r="D1524" s="36" t="s">
        <v>34180</v>
      </c>
      <c r="E1524" s="36" t="s">
        <v>2</v>
      </c>
      <c r="F1524" s="36">
        <v>2</v>
      </c>
      <c r="G1524" s="36">
        <v>2</v>
      </c>
      <c r="H1524" s="36">
        <v>0</v>
      </c>
      <c r="I1524" s="37">
        <v>0</v>
      </c>
      <c r="J1524" s="36" t="s">
        <v>34181</v>
      </c>
      <c r="K1524" s="36" t="s">
        <v>14330</v>
      </c>
      <c r="L1524" s="36" t="s">
        <v>14330</v>
      </c>
      <c r="M1524">
        <v>2</v>
      </c>
      <c r="N1524" t="s">
        <v>14331</v>
      </c>
      <c r="O1524" t="s">
        <v>14333</v>
      </c>
    </row>
    <row r="1525" spans="1:15" x14ac:dyDescent="0.25">
      <c r="A1525" s="35" t="s">
        <v>5782</v>
      </c>
      <c r="B1525" s="36" t="s">
        <v>5783</v>
      </c>
      <c r="C1525" s="36" t="str">
        <f>HYPERLINK("https://rhld.insurance.arkansas.gov/NPILookup?Npi=1073745212","1073745212")</f>
        <v>1073745212</v>
      </c>
      <c r="D1525" s="36" t="s">
        <v>34182</v>
      </c>
      <c r="E1525" s="36" t="s">
        <v>2</v>
      </c>
      <c r="F1525" s="36">
        <v>1</v>
      </c>
      <c r="G1525" s="36">
        <v>2</v>
      </c>
      <c r="H1525" s="36">
        <v>0</v>
      </c>
      <c r="I1525" s="37">
        <v>0</v>
      </c>
      <c r="J1525" s="36" t="s">
        <v>34165</v>
      </c>
      <c r="K1525" s="36" t="s">
        <v>14330</v>
      </c>
      <c r="L1525" s="36" t="s">
        <v>14330</v>
      </c>
      <c r="M1525">
        <v>3</v>
      </c>
      <c r="N1525" t="s">
        <v>14331</v>
      </c>
      <c r="O1525" t="s">
        <v>14333</v>
      </c>
    </row>
    <row r="1526" spans="1:15" x14ac:dyDescent="0.25">
      <c r="A1526" s="35" t="s">
        <v>5782</v>
      </c>
      <c r="B1526" s="36" t="s">
        <v>5783</v>
      </c>
      <c r="C1526" s="36" t="str">
        <f>HYPERLINK("https://rhld.insurance.arkansas.gov/NPILookup?Npi=1073957254","1073957254")</f>
        <v>1073957254</v>
      </c>
      <c r="D1526" s="36" t="s">
        <v>33756</v>
      </c>
      <c r="E1526" s="36" t="s">
        <v>1</v>
      </c>
      <c r="F1526" s="36">
        <v>1</v>
      </c>
      <c r="G1526" s="36">
        <v>3</v>
      </c>
      <c r="H1526" s="36">
        <v>0</v>
      </c>
      <c r="I1526" s="37">
        <v>0</v>
      </c>
      <c r="J1526" s="36" t="s">
        <v>32654</v>
      </c>
      <c r="K1526" s="36" t="s">
        <v>14330</v>
      </c>
      <c r="L1526" s="36" t="s">
        <v>14330</v>
      </c>
      <c r="M1526">
        <v>2</v>
      </c>
      <c r="N1526" t="s">
        <v>14331</v>
      </c>
      <c r="O1526" t="s">
        <v>32633</v>
      </c>
    </row>
    <row r="1527" spans="1:15" x14ac:dyDescent="0.25">
      <c r="A1527" s="35" t="s">
        <v>5782</v>
      </c>
      <c r="B1527" s="36" t="s">
        <v>5783</v>
      </c>
      <c r="C1527" s="36" t="str">
        <f>HYPERLINK("https://rhld.insurance.arkansas.gov/NPILookup?Npi=1083344378","1083344378")</f>
        <v>1083344378</v>
      </c>
      <c r="D1527" s="36" t="s">
        <v>34183</v>
      </c>
      <c r="E1527" s="36" t="s">
        <v>2</v>
      </c>
      <c r="F1527" s="36">
        <v>1</v>
      </c>
      <c r="G1527" s="36">
        <v>2</v>
      </c>
      <c r="H1527" s="36">
        <v>0</v>
      </c>
      <c r="I1527" s="37">
        <v>0</v>
      </c>
      <c r="J1527" s="36"/>
      <c r="K1527" s="36" t="s">
        <v>14330</v>
      </c>
      <c r="L1527" s="36" t="s">
        <v>14330</v>
      </c>
      <c r="M1527">
        <v>3</v>
      </c>
      <c r="N1527" t="s">
        <v>14331</v>
      </c>
      <c r="O1527" t="s">
        <v>14333</v>
      </c>
    </row>
    <row r="1528" spans="1:15" x14ac:dyDescent="0.25">
      <c r="A1528" s="35" t="s">
        <v>5782</v>
      </c>
      <c r="B1528" s="36" t="s">
        <v>5783</v>
      </c>
      <c r="C1528" s="36" t="str">
        <f>HYPERLINK("https://rhld.insurance.arkansas.gov/NPILookup?Npi=1083675441","1083675441")</f>
        <v>1083675441</v>
      </c>
      <c r="D1528" s="36" t="s">
        <v>34184</v>
      </c>
      <c r="E1528" s="36" t="s">
        <v>1</v>
      </c>
      <c r="F1528" s="36">
        <v>1</v>
      </c>
      <c r="G1528" s="36">
        <v>3</v>
      </c>
      <c r="H1528" s="36">
        <v>0</v>
      </c>
      <c r="I1528" s="37">
        <v>0</v>
      </c>
      <c r="J1528" s="36" t="s">
        <v>32654</v>
      </c>
      <c r="K1528" s="36" t="s">
        <v>14330</v>
      </c>
      <c r="L1528" s="36" t="s">
        <v>14330</v>
      </c>
      <c r="M1528">
        <v>3</v>
      </c>
      <c r="N1528" t="s">
        <v>14331</v>
      </c>
      <c r="O1528" t="s">
        <v>32633</v>
      </c>
    </row>
    <row r="1529" spans="1:15" x14ac:dyDescent="0.25">
      <c r="A1529" s="35" t="s">
        <v>5782</v>
      </c>
      <c r="B1529" s="36" t="s">
        <v>5783</v>
      </c>
      <c r="C1529" s="36" t="str">
        <f>HYPERLINK("https://rhld.insurance.arkansas.gov/NPILookup?Npi=1083858427","1083858427")</f>
        <v>1083858427</v>
      </c>
      <c r="D1529" s="36" t="s">
        <v>34185</v>
      </c>
      <c r="E1529" s="36" t="s">
        <v>1</v>
      </c>
      <c r="F1529" s="36">
        <v>1</v>
      </c>
      <c r="G1529" s="36">
        <v>3</v>
      </c>
      <c r="H1529" s="36">
        <v>0</v>
      </c>
      <c r="I1529" s="37">
        <v>0</v>
      </c>
      <c r="J1529" s="36" t="s">
        <v>32654</v>
      </c>
      <c r="K1529" s="36" t="s">
        <v>14330</v>
      </c>
      <c r="L1529" s="36" t="s">
        <v>14330</v>
      </c>
      <c r="M1529">
        <v>2</v>
      </c>
      <c r="N1529" t="s">
        <v>14331</v>
      </c>
      <c r="O1529" t="s">
        <v>32633</v>
      </c>
    </row>
    <row r="1530" spans="1:15" x14ac:dyDescent="0.25">
      <c r="A1530" s="35" t="s">
        <v>5782</v>
      </c>
      <c r="B1530" s="36" t="s">
        <v>5783</v>
      </c>
      <c r="C1530" s="36" t="str">
        <f>HYPERLINK("https://rhld.insurance.arkansas.gov/NPILookup?Npi=1093550741","1093550741")</f>
        <v>1093550741</v>
      </c>
      <c r="D1530" s="36" t="s">
        <v>34186</v>
      </c>
      <c r="E1530" s="36" t="s">
        <v>2</v>
      </c>
      <c r="F1530" s="36">
        <v>1</v>
      </c>
      <c r="G1530" s="36">
        <v>2</v>
      </c>
      <c r="H1530" s="36">
        <v>0</v>
      </c>
      <c r="I1530" s="37">
        <v>0</v>
      </c>
      <c r="J1530" s="36" t="s">
        <v>32679</v>
      </c>
      <c r="K1530" s="36" t="s">
        <v>14330</v>
      </c>
      <c r="L1530" s="36" t="s">
        <v>14330</v>
      </c>
      <c r="M1530">
        <v>0</v>
      </c>
      <c r="N1530" t="s">
        <v>14331</v>
      </c>
      <c r="O1530" t="s">
        <v>14333</v>
      </c>
    </row>
    <row r="1531" spans="1:15" x14ac:dyDescent="0.25">
      <c r="A1531" s="35" t="s">
        <v>5782</v>
      </c>
      <c r="B1531" s="36" t="s">
        <v>5783</v>
      </c>
      <c r="C1531" s="36" t="str">
        <f>HYPERLINK("https://rhld.insurance.arkansas.gov/NPILookup?Npi=1104209329","1104209329")</f>
        <v>1104209329</v>
      </c>
      <c r="D1531" s="36" t="s">
        <v>34187</v>
      </c>
      <c r="E1531" s="36" t="s">
        <v>2</v>
      </c>
      <c r="F1531" s="36">
        <v>1</v>
      </c>
      <c r="G1531" s="36">
        <v>1</v>
      </c>
      <c r="H1531" s="36">
        <v>1</v>
      </c>
      <c r="I1531" s="37">
        <v>1</v>
      </c>
      <c r="J1531" s="36"/>
      <c r="K1531" s="36" t="s">
        <v>14330</v>
      </c>
      <c r="L1531" s="36" t="s">
        <v>34188</v>
      </c>
      <c r="M1531">
        <v>1</v>
      </c>
      <c r="N1531" t="s">
        <v>14331</v>
      </c>
      <c r="O1531" t="s">
        <v>34189</v>
      </c>
    </row>
    <row r="1532" spans="1:15" x14ac:dyDescent="0.25">
      <c r="A1532" s="35" t="s">
        <v>5782</v>
      </c>
      <c r="B1532" s="36" t="s">
        <v>5783</v>
      </c>
      <c r="C1532" s="36" t="str">
        <f>HYPERLINK("https://rhld.insurance.arkansas.gov/NPILookup?Npi=1104312420","1104312420")</f>
        <v>1104312420</v>
      </c>
      <c r="D1532" s="36" t="s">
        <v>34190</v>
      </c>
      <c r="E1532" s="36" t="s">
        <v>1</v>
      </c>
      <c r="F1532" s="36">
        <v>1</v>
      </c>
      <c r="G1532" s="36">
        <v>2</v>
      </c>
      <c r="H1532" s="36">
        <v>1</v>
      </c>
      <c r="I1532" s="37">
        <v>0</v>
      </c>
      <c r="J1532" s="36" t="s">
        <v>32654</v>
      </c>
      <c r="K1532" s="36" t="s">
        <v>14330</v>
      </c>
      <c r="L1532" s="36" t="s">
        <v>34171</v>
      </c>
      <c r="M1532">
        <v>2</v>
      </c>
      <c r="N1532" t="s">
        <v>14332</v>
      </c>
      <c r="O1532" t="s">
        <v>32591</v>
      </c>
    </row>
    <row r="1533" spans="1:15" x14ac:dyDescent="0.25">
      <c r="A1533" s="35" t="s">
        <v>5782</v>
      </c>
      <c r="B1533" s="36" t="s">
        <v>5783</v>
      </c>
      <c r="C1533" s="36" t="str">
        <f>HYPERLINK("https://rhld.insurance.arkansas.gov/NPILookup?Npi=1104419621","1104419621")</f>
        <v>1104419621</v>
      </c>
      <c r="D1533" s="36" t="s">
        <v>34191</v>
      </c>
      <c r="E1533" s="36" t="s">
        <v>2</v>
      </c>
      <c r="F1533" s="36">
        <v>1</v>
      </c>
      <c r="G1533" s="36">
        <v>2</v>
      </c>
      <c r="H1533" s="36">
        <v>0</v>
      </c>
      <c r="I1533" s="37">
        <v>0</v>
      </c>
      <c r="J1533" s="36"/>
      <c r="K1533" s="36" t="s">
        <v>14330</v>
      </c>
      <c r="L1533" s="36" t="s">
        <v>14330</v>
      </c>
      <c r="M1533">
        <v>2</v>
      </c>
      <c r="N1533" t="s">
        <v>14331</v>
      </c>
      <c r="O1533" t="s">
        <v>14333</v>
      </c>
    </row>
    <row r="1534" spans="1:15" x14ac:dyDescent="0.25">
      <c r="A1534" s="35" t="s">
        <v>5782</v>
      </c>
      <c r="B1534" s="36" t="s">
        <v>5783</v>
      </c>
      <c r="C1534" s="36" t="str">
        <f>HYPERLINK("https://rhld.insurance.arkansas.gov/NPILookup?Npi=1114523313","1114523313")</f>
        <v>1114523313</v>
      </c>
      <c r="D1534" s="36" t="s">
        <v>34192</v>
      </c>
      <c r="E1534" s="36" t="s">
        <v>2</v>
      </c>
      <c r="F1534" s="36">
        <v>1</v>
      </c>
      <c r="G1534" s="36">
        <v>2</v>
      </c>
      <c r="H1534" s="36">
        <v>0</v>
      </c>
      <c r="I1534" s="37">
        <v>0</v>
      </c>
      <c r="J1534" s="36"/>
      <c r="K1534" s="36" t="s">
        <v>14330</v>
      </c>
      <c r="L1534" s="36" t="s">
        <v>14330</v>
      </c>
      <c r="M1534">
        <v>0</v>
      </c>
      <c r="N1534" t="s">
        <v>14331</v>
      </c>
      <c r="O1534" t="s">
        <v>14333</v>
      </c>
    </row>
    <row r="1535" spans="1:15" x14ac:dyDescent="0.25">
      <c r="A1535" s="35" t="s">
        <v>5782</v>
      </c>
      <c r="B1535" s="36" t="s">
        <v>5783</v>
      </c>
      <c r="C1535" s="36" t="str">
        <f>HYPERLINK("https://rhld.insurance.arkansas.gov/NPILookup?Npi=1114556958","1114556958")</f>
        <v>1114556958</v>
      </c>
      <c r="D1535" s="36" t="s">
        <v>34193</v>
      </c>
      <c r="E1535" s="36" t="s">
        <v>2</v>
      </c>
      <c r="F1535" s="36">
        <v>1</v>
      </c>
      <c r="G1535" s="36">
        <v>1</v>
      </c>
      <c r="H1535" s="36">
        <v>1</v>
      </c>
      <c r="I1535" s="37">
        <v>1</v>
      </c>
      <c r="J1535" s="36"/>
      <c r="K1535" s="36" t="s">
        <v>14330</v>
      </c>
      <c r="L1535" s="36" t="s">
        <v>34188</v>
      </c>
      <c r="M1535">
        <v>3</v>
      </c>
      <c r="N1535" t="s">
        <v>14331</v>
      </c>
      <c r="O1535" t="s">
        <v>34189</v>
      </c>
    </row>
    <row r="1536" spans="1:15" x14ac:dyDescent="0.25">
      <c r="A1536" s="35" t="s">
        <v>5782</v>
      </c>
      <c r="B1536" s="36" t="s">
        <v>5783</v>
      </c>
      <c r="C1536" s="36" t="str">
        <f>HYPERLINK("https://rhld.insurance.arkansas.gov/NPILookup?Npi=1114995198","1114995198")</f>
        <v>1114995198</v>
      </c>
      <c r="D1536" s="36" t="s">
        <v>34194</v>
      </c>
      <c r="E1536" s="36" t="s">
        <v>1</v>
      </c>
      <c r="F1536" s="36">
        <v>1</v>
      </c>
      <c r="G1536" s="36">
        <v>3</v>
      </c>
      <c r="H1536" s="36">
        <v>0</v>
      </c>
      <c r="I1536" s="37">
        <v>0</v>
      </c>
      <c r="J1536" s="36" t="s">
        <v>32654</v>
      </c>
      <c r="K1536" s="36" t="s">
        <v>14330</v>
      </c>
      <c r="L1536" s="36" t="s">
        <v>14330</v>
      </c>
      <c r="M1536">
        <v>2</v>
      </c>
      <c r="N1536" t="s">
        <v>14331</v>
      </c>
      <c r="O1536" t="s">
        <v>32633</v>
      </c>
    </row>
    <row r="1537" spans="1:15" x14ac:dyDescent="0.25">
      <c r="A1537" s="35" t="s">
        <v>5782</v>
      </c>
      <c r="B1537" s="36" t="s">
        <v>5783</v>
      </c>
      <c r="C1537" s="36" t="str">
        <f>HYPERLINK("https://rhld.insurance.arkansas.gov/NPILookup?Npi=1124268065","1124268065")</f>
        <v>1124268065</v>
      </c>
      <c r="D1537" s="36" t="s">
        <v>34195</v>
      </c>
      <c r="E1537" s="36" t="s">
        <v>2</v>
      </c>
      <c r="F1537" s="36">
        <v>1</v>
      </c>
      <c r="G1537" s="36">
        <v>2</v>
      </c>
      <c r="H1537" s="36">
        <v>0</v>
      </c>
      <c r="I1537" s="37">
        <v>0</v>
      </c>
      <c r="J1537" s="36"/>
      <c r="K1537" s="36" t="s">
        <v>14330</v>
      </c>
      <c r="L1537" s="36" t="s">
        <v>14330</v>
      </c>
      <c r="M1537">
        <v>4</v>
      </c>
      <c r="N1537" t="s">
        <v>14331</v>
      </c>
      <c r="O1537" t="s">
        <v>14333</v>
      </c>
    </row>
    <row r="1538" spans="1:15" x14ac:dyDescent="0.25">
      <c r="A1538" s="35" t="s">
        <v>5782</v>
      </c>
      <c r="B1538" s="36" t="s">
        <v>5783</v>
      </c>
      <c r="C1538" s="36" t="str">
        <f>HYPERLINK("https://rhld.insurance.arkansas.gov/NPILookup?Npi=1124611439","1124611439")</f>
        <v>1124611439</v>
      </c>
      <c r="D1538" s="36" t="s">
        <v>34196</v>
      </c>
      <c r="E1538" s="36" t="s">
        <v>1</v>
      </c>
      <c r="F1538" s="36">
        <v>1</v>
      </c>
      <c r="G1538" s="36">
        <v>4</v>
      </c>
      <c r="H1538" s="36">
        <v>0</v>
      </c>
      <c r="I1538" s="37">
        <v>0</v>
      </c>
      <c r="J1538" s="36" t="s">
        <v>32654</v>
      </c>
      <c r="K1538" s="36" t="s">
        <v>14330</v>
      </c>
      <c r="L1538" s="36" t="s">
        <v>14330</v>
      </c>
      <c r="M1538">
        <v>2</v>
      </c>
      <c r="N1538" t="s">
        <v>14331</v>
      </c>
      <c r="O1538" t="s">
        <v>32633</v>
      </c>
    </row>
    <row r="1539" spans="1:15" x14ac:dyDescent="0.25">
      <c r="A1539" s="35" t="s">
        <v>5782</v>
      </c>
      <c r="B1539" s="36" t="s">
        <v>5783</v>
      </c>
      <c r="C1539" s="36" t="str">
        <f>HYPERLINK("https://rhld.insurance.arkansas.gov/NPILookup?Npi=1124725452","1124725452")</f>
        <v>1124725452</v>
      </c>
      <c r="D1539" s="36" t="s">
        <v>34197</v>
      </c>
      <c r="E1539" s="36" t="s">
        <v>2</v>
      </c>
      <c r="F1539" s="36">
        <v>1</v>
      </c>
      <c r="G1539" s="36">
        <v>2</v>
      </c>
      <c r="H1539" s="36">
        <v>0</v>
      </c>
      <c r="I1539" s="37">
        <v>0</v>
      </c>
      <c r="J1539" s="36" t="s">
        <v>34165</v>
      </c>
      <c r="K1539" s="36" t="s">
        <v>14330</v>
      </c>
      <c r="L1539" s="36" t="s">
        <v>14330</v>
      </c>
      <c r="M1539">
        <v>1</v>
      </c>
      <c r="N1539" t="s">
        <v>14331</v>
      </c>
      <c r="O1539" t="s">
        <v>14333</v>
      </c>
    </row>
    <row r="1540" spans="1:15" x14ac:dyDescent="0.25">
      <c r="A1540" s="35" t="s">
        <v>5782</v>
      </c>
      <c r="B1540" s="36" t="s">
        <v>5783</v>
      </c>
      <c r="C1540" s="36" t="str">
        <f>HYPERLINK("https://rhld.insurance.arkansas.gov/NPILookup?Npi=1134212947","1134212947")</f>
        <v>1134212947</v>
      </c>
      <c r="D1540" s="36" t="s">
        <v>34198</v>
      </c>
      <c r="E1540" s="36" t="s">
        <v>1</v>
      </c>
      <c r="F1540" s="36">
        <v>1</v>
      </c>
      <c r="G1540" s="36">
        <v>2</v>
      </c>
      <c r="H1540" s="36">
        <v>1</v>
      </c>
      <c r="I1540" s="37">
        <v>0</v>
      </c>
      <c r="J1540" s="36" t="s">
        <v>32654</v>
      </c>
      <c r="K1540" s="36" t="s">
        <v>14330</v>
      </c>
      <c r="L1540" s="36" t="s">
        <v>34171</v>
      </c>
      <c r="M1540">
        <v>3</v>
      </c>
      <c r="N1540" t="s">
        <v>14332</v>
      </c>
      <c r="O1540" t="s">
        <v>32591</v>
      </c>
    </row>
    <row r="1541" spans="1:15" x14ac:dyDescent="0.25">
      <c r="A1541" s="35" t="s">
        <v>5782</v>
      </c>
      <c r="B1541" s="36" t="s">
        <v>5783</v>
      </c>
      <c r="C1541" s="36" t="str">
        <f>HYPERLINK("https://rhld.insurance.arkansas.gov/NPILookup?Npi=1134233745","1134233745")</f>
        <v>1134233745</v>
      </c>
      <c r="D1541" s="36" t="s">
        <v>34199</v>
      </c>
      <c r="E1541" s="36" t="s">
        <v>1</v>
      </c>
      <c r="F1541" s="36">
        <v>1</v>
      </c>
      <c r="G1541" s="36">
        <v>3</v>
      </c>
      <c r="H1541" s="36">
        <v>0</v>
      </c>
      <c r="I1541" s="37">
        <v>0</v>
      </c>
      <c r="J1541" s="36" t="s">
        <v>32654</v>
      </c>
      <c r="K1541" s="36" t="s">
        <v>14330</v>
      </c>
      <c r="L1541" s="36" t="s">
        <v>14330</v>
      </c>
      <c r="M1541">
        <v>3</v>
      </c>
      <c r="N1541" t="s">
        <v>14331</v>
      </c>
      <c r="O1541" t="s">
        <v>32633</v>
      </c>
    </row>
    <row r="1542" spans="1:15" x14ac:dyDescent="0.25">
      <c r="A1542" s="35" t="s">
        <v>5782</v>
      </c>
      <c r="B1542" s="36" t="s">
        <v>5783</v>
      </c>
      <c r="C1542" s="36" t="str">
        <f>HYPERLINK("https://rhld.insurance.arkansas.gov/NPILookup?Npi=1134626583","1134626583")</f>
        <v>1134626583</v>
      </c>
      <c r="D1542" s="36" t="s">
        <v>33768</v>
      </c>
      <c r="E1542" s="36" t="s">
        <v>1</v>
      </c>
      <c r="F1542" s="36">
        <v>1</v>
      </c>
      <c r="G1542" s="36">
        <v>3</v>
      </c>
      <c r="H1542" s="36">
        <v>0</v>
      </c>
      <c r="I1542" s="37">
        <v>0</v>
      </c>
      <c r="J1542" s="36" t="s">
        <v>32654</v>
      </c>
      <c r="K1542" s="36" t="s">
        <v>14330</v>
      </c>
      <c r="L1542" s="36" t="s">
        <v>14330</v>
      </c>
      <c r="M1542">
        <v>3</v>
      </c>
      <c r="N1542" t="s">
        <v>14331</v>
      </c>
      <c r="O1542" t="s">
        <v>32633</v>
      </c>
    </row>
    <row r="1543" spans="1:15" x14ac:dyDescent="0.25">
      <c r="A1543" s="35" t="s">
        <v>5782</v>
      </c>
      <c r="B1543" s="36" t="s">
        <v>5783</v>
      </c>
      <c r="C1543" s="36" t="str">
        <f>HYPERLINK("https://rhld.insurance.arkansas.gov/NPILookup?Npi=1144424573","1144424573")</f>
        <v>1144424573</v>
      </c>
      <c r="D1543" s="36" t="s">
        <v>34200</v>
      </c>
      <c r="E1543" s="36" t="s">
        <v>1</v>
      </c>
      <c r="F1543" s="36">
        <v>1</v>
      </c>
      <c r="G1543" s="36">
        <v>3</v>
      </c>
      <c r="H1543" s="36">
        <v>0</v>
      </c>
      <c r="I1543" s="37">
        <v>0</v>
      </c>
      <c r="J1543" s="36" t="s">
        <v>32654</v>
      </c>
      <c r="K1543" s="36" t="s">
        <v>14330</v>
      </c>
      <c r="L1543" s="36" t="s">
        <v>14330</v>
      </c>
      <c r="M1543">
        <v>2</v>
      </c>
      <c r="N1543" t="s">
        <v>14331</v>
      </c>
      <c r="O1543" t="s">
        <v>32633</v>
      </c>
    </row>
    <row r="1544" spans="1:15" x14ac:dyDescent="0.25">
      <c r="A1544" s="35" t="s">
        <v>5782</v>
      </c>
      <c r="B1544" s="36" t="s">
        <v>5783</v>
      </c>
      <c r="C1544" s="36" t="str">
        <f>HYPERLINK("https://rhld.insurance.arkansas.gov/NPILookup?Npi=1144932872","1144932872")</f>
        <v>1144932872</v>
      </c>
      <c r="D1544" s="36" t="s">
        <v>34201</v>
      </c>
      <c r="E1544" s="36" t="s">
        <v>2</v>
      </c>
      <c r="F1544" s="36">
        <v>1</v>
      </c>
      <c r="G1544" s="36">
        <v>2</v>
      </c>
      <c r="H1544" s="36">
        <v>0</v>
      </c>
      <c r="I1544" s="37">
        <v>0</v>
      </c>
      <c r="J1544" s="36" t="s">
        <v>34165</v>
      </c>
      <c r="K1544" s="36" t="s">
        <v>14330</v>
      </c>
      <c r="L1544" s="36" t="s">
        <v>14330</v>
      </c>
      <c r="M1544">
        <v>2</v>
      </c>
      <c r="N1544" t="s">
        <v>14331</v>
      </c>
      <c r="O1544" t="s">
        <v>14333</v>
      </c>
    </row>
    <row r="1545" spans="1:15" x14ac:dyDescent="0.25">
      <c r="A1545" s="35" t="s">
        <v>5782</v>
      </c>
      <c r="B1545" s="36" t="s">
        <v>5783</v>
      </c>
      <c r="C1545" s="36" t="str">
        <f>HYPERLINK("https://rhld.insurance.arkansas.gov/NPILookup?Npi=1144990219","1144990219")</f>
        <v>1144990219</v>
      </c>
      <c r="D1545" s="36" t="s">
        <v>34202</v>
      </c>
      <c r="E1545" s="36" t="s">
        <v>2</v>
      </c>
      <c r="F1545" s="36">
        <v>1</v>
      </c>
      <c r="G1545" s="36">
        <v>2</v>
      </c>
      <c r="H1545" s="36">
        <v>0</v>
      </c>
      <c r="I1545" s="37">
        <v>0</v>
      </c>
      <c r="J1545" s="36" t="s">
        <v>34165</v>
      </c>
      <c r="K1545" s="36" t="s">
        <v>14330</v>
      </c>
      <c r="L1545" s="36" t="s">
        <v>14330</v>
      </c>
      <c r="M1545">
        <v>2</v>
      </c>
      <c r="N1545" t="s">
        <v>14331</v>
      </c>
      <c r="O1545" t="s">
        <v>14333</v>
      </c>
    </row>
    <row r="1546" spans="1:15" x14ac:dyDescent="0.25">
      <c r="A1546" s="35" t="s">
        <v>5782</v>
      </c>
      <c r="B1546" s="36" t="s">
        <v>5783</v>
      </c>
      <c r="C1546" s="36" t="str">
        <f>HYPERLINK("https://rhld.insurance.arkansas.gov/NPILookup?Npi=1154070803","1154070803")</f>
        <v>1154070803</v>
      </c>
      <c r="D1546" s="36" t="s">
        <v>34203</v>
      </c>
      <c r="E1546" s="36" t="s">
        <v>2</v>
      </c>
      <c r="F1546" s="36">
        <v>1</v>
      </c>
      <c r="G1546" s="36">
        <v>2</v>
      </c>
      <c r="H1546" s="36">
        <v>0</v>
      </c>
      <c r="I1546" s="37">
        <v>0</v>
      </c>
      <c r="J1546" s="36"/>
      <c r="K1546" s="36" t="s">
        <v>14330</v>
      </c>
      <c r="L1546" s="36" t="s">
        <v>14330</v>
      </c>
      <c r="M1546">
        <v>2</v>
      </c>
      <c r="N1546" t="s">
        <v>14331</v>
      </c>
      <c r="O1546" t="s">
        <v>14333</v>
      </c>
    </row>
    <row r="1547" spans="1:15" x14ac:dyDescent="0.25">
      <c r="A1547" s="35" t="s">
        <v>5782</v>
      </c>
      <c r="B1547" s="36" t="s">
        <v>5783</v>
      </c>
      <c r="C1547" s="36" t="str">
        <f>HYPERLINK("https://rhld.insurance.arkansas.gov/NPILookup?Npi=1154129427","1154129427")</f>
        <v>1154129427</v>
      </c>
      <c r="D1547" s="36" t="s">
        <v>34204</v>
      </c>
      <c r="E1547" s="36" t="s">
        <v>2</v>
      </c>
      <c r="F1547" s="36">
        <v>1</v>
      </c>
      <c r="G1547" s="36">
        <v>2</v>
      </c>
      <c r="H1547" s="36">
        <v>0</v>
      </c>
      <c r="I1547" s="37">
        <v>0</v>
      </c>
      <c r="J1547" s="36" t="s">
        <v>34165</v>
      </c>
      <c r="K1547" s="36" t="s">
        <v>14330</v>
      </c>
      <c r="L1547" s="36" t="s">
        <v>14330</v>
      </c>
      <c r="M1547">
        <v>2</v>
      </c>
      <c r="N1547" t="s">
        <v>14331</v>
      </c>
      <c r="O1547" t="s">
        <v>14333</v>
      </c>
    </row>
    <row r="1548" spans="1:15" x14ac:dyDescent="0.25">
      <c r="A1548" s="35" t="s">
        <v>5782</v>
      </c>
      <c r="B1548" s="36" t="s">
        <v>5783</v>
      </c>
      <c r="C1548" s="36" t="str">
        <f>HYPERLINK("https://rhld.insurance.arkansas.gov/NPILookup?Npi=1154141026","1154141026")</f>
        <v>1154141026</v>
      </c>
      <c r="D1548" s="36" t="s">
        <v>34205</v>
      </c>
      <c r="E1548" s="36" t="s">
        <v>2</v>
      </c>
      <c r="F1548" s="36">
        <v>1</v>
      </c>
      <c r="G1548" s="36">
        <v>2</v>
      </c>
      <c r="H1548" s="36">
        <v>0</v>
      </c>
      <c r="I1548" s="37">
        <v>0</v>
      </c>
      <c r="J1548" s="36"/>
      <c r="K1548" s="36" t="s">
        <v>14330</v>
      </c>
      <c r="L1548" s="36" t="s">
        <v>14330</v>
      </c>
      <c r="M1548">
        <v>1</v>
      </c>
      <c r="N1548" t="s">
        <v>14331</v>
      </c>
      <c r="O1548" t="s">
        <v>14333</v>
      </c>
    </row>
    <row r="1549" spans="1:15" x14ac:dyDescent="0.25">
      <c r="A1549" s="35" t="s">
        <v>5782</v>
      </c>
      <c r="B1549" s="36" t="s">
        <v>5783</v>
      </c>
      <c r="C1549" s="36" t="str">
        <f>HYPERLINK("https://rhld.insurance.arkansas.gov/NPILookup?Npi=1154158699","1154158699")</f>
        <v>1154158699</v>
      </c>
      <c r="D1549" s="36" t="s">
        <v>34206</v>
      </c>
      <c r="E1549" s="36" t="s">
        <v>2</v>
      </c>
      <c r="F1549" s="36">
        <v>1</v>
      </c>
      <c r="G1549" s="36">
        <v>1</v>
      </c>
      <c r="H1549" s="36">
        <v>0</v>
      </c>
      <c r="I1549" s="37">
        <v>0</v>
      </c>
      <c r="J1549" s="36" t="s">
        <v>32679</v>
      </c>
      <c r="K1549" s="36" t="s">
        <v>14330</v>
      </c>
      <c r="L1549" s="36" t="s">
        <v>14330</v>
      </c>
      <c r="M1549">
        <v>2</v>
      </c>
      <c r="N1549" t="s">
        <v>14331</v>
      </c>
      <c r="O1549" t="s">
        <v>32633</v>
      </c>
    </row>
    <row r="1550" spans="1:15" x14ac:dyDescent="0.25">
      <c r="A1550" s="35" t="s">
        <v>5782</v>
      </c>
      <c r="B1550" s="36" t="s">
        <v>5783</v>
      </c>
      <c r="C1550" s="36" t="str">
        <f>HYPERLINK("https://rhld.insurance.arkansas.gov/NPILookup?Npi=1154158764","1154158764")</f>
        <v>1154158764</v>
      </c>
      <c r="D1550" s="36" t="s">
        <v>34207</v>
      </c>
      <c r="E1550" s="36" t="s">
        <v>2</v>
      </c>
      <c r="F1550" s="36">
        <v>2</v>
      </c>
      <c r="G1550" s="36">
        <v>2</v>
      </c>
      <c r="H1550" s="36">
        <v>0</v>
      </c>
      <c r="I1550" s="37">
        <v>0</v>
      </c>
      <c r="J1550" s="36" t="s">
        <v>34181</v>
      </c>
      <c r="K1550" s="36" t="s">
        <v>14330</v>
      </c>
      <c r="L1550" s="36" t="s">
        <v>14330</v>
      </c>
      <c r="M1550">
        <v>2</v>
      </c>
      <c r="N1550" t="s">
        <v>14331</v>
      </c>
      <c r="O1550" t="s">
        <v>14333</v>
      </c>
    </row>
    <row r="1551" spans="1:15" x14ac:dyDescent="0.25">
      <c r="A1551" s="35" t="s">
        <v>5782</v>
      </c>
      <c r="B1551" s="36" t="s">
        <v>5783</v>
      </c>
      <c r="C1551" s="36" t="str">
        <f>HYPERLINK("https://rhld.insurance.arkansas.gov/NPILookup?Npi=1154382992","1154382992")</f>
        <v>1154382992</v>
      </c>
      <c r="D1551" s="36" t="s">
        <v>34208</v>
      </c>
      <c r="E1551" s="36" t="s">
        <v>1</v>
      </c>
      <c r="F1551" s="36">
        <v>1</v>
      </c>
      <c r="G1551" s="36">
        <v>2</v>
      </c>
      <c r="H1551" s="36">
        <v>0</v>
      </c>
      <c r="I1551" s="37">
        <v>0</v>
      </c>
      <c r="J1551" s="36" t="s">
        <v>32654</v>
      </c>
      <c r="K1551" s="36" t="s">
        <v>14330</v>
      </c>
      <c r="L1551" s="36" t="s">
        <v>14330</v>
      </c>
      <c r="M1551">
        <v>0</v>
      </c>
      <c r="N1551" t="s">
        <v>14331</v>
      </c>
      <c r="O1551" t="s">
        <v>32633</v>
      </c>
    </row>
    <row r="1552" spans="1:15" x14ac:dyDescent="0.25">
      <c r="A1552" s="35" t="s">
        <v>5782</v>
      </c>
      <c r="B1552" s="36" t="s">
        <v>5783</v>
      </c>
      <c r="C1552" s="36" t="str">
        <f>HYPERLINK("https://rhld.insurance.arkansas.gov/NPILookup?Npi=1154959161","1154959161")</f>
        <v>1154959161</v>
      </c>
      <c r="D1552" s="36" t="s">
        <v>34209</v>
      </c>
      <c r="E1552" s="36" t="s">
        <v>2</v>
      </c>
      <c r="F1552" s="36">
        <v>1</v>
      </c>
      <c r="G1552" s="36">
        <v>1</v>
      </c>
      <c r="H1552" s="36">
        <v>1</v>
      </c>
      <c r="I1552" s="37">
        <v>1</v>
      </c>
      <c r="J1552" s="36"/>
      <c r="K1552" s="36" t="s">
        <v>14330</v>
      </c>
      <c r="L1552" s="36" t="s">
        <v>34188</v>
      </c>
      <c r="M1552">
        <v>2</v>
      </c>
      <c r="N1552" t="s">
        <v>14331</v>
      </c>
      <c r="O1552" t="s">
        <v>34189</v>
      </c>
    </row>
    <row r="1553" spans="1:15" x14ac:dyDescent="0.25">
      <c r="A1553" s="35" t="s">
        <v>5782</v>
      </c>
      <c r="B1553" s="36" t="s">
        <v>5783</v>
      </c>
      <c r="C1553" s="36" t="str">
        <f>HYPERLINK("https://rhld.insurance.arkansas.gov/NPILookup?Npi=1154977577","1154977577")</f>
        <v>1154977577</v>
      </c>
      <c r="D1553" s="36" t="s">
        <v>34210</v>
      </c>
      <c r="E1553" s="36" t="s">
        <v>1</v>
      </c>
      <c r="F1553" s="36">
        <v>1</v>
      </c>
      <c r="G1553" s="36">
        <v>2</v>
      </c>
      <c r="H1553" s="36">
        <v>0</v>
      </c>
      <c r="I1553" s="37">
        <v>0</v>
      </c>
      <c r="J1553" s="36" t="s">
        <v>32723</v>
      </c>
      <c r="K1553" s="36" t="s">
        <v>14330</v>
      </c>
      <c r="L1553" s="36" t="s">
        <v>14330</v>
      </c>
      <c r="M1553">
        <v>3</v>
      </c>
      <c r="N1553" t="s">
        <v>14331</v>
      </c>
      <c r="O1553" t="s">
        <v>32724</v>
      </c>
    </row>
    <row r="1554" spans="1:15" x14ac:dyDescent="0.25">
      <c r="A1554" s="35" t="s">
        <v>5782</v>
      </c>
      <c r="B1554" s="36" t="s">
        <v>5783</v>
      </c>
      <c r="C1554" s="36" t="str">
        <f>HYPERLINK("https://rhld.insurance.arkansas.gov/NPILookup?Npi=1164208021","1164208021")</f>
        <v>1164208021</v>
      </c>
      <c r="D1554" s="36" t="s">
        <v>34211</v>
      </c>
      <c r="E1554" s="36" t="s">
        <v>1</v>
      </c>
      <c r="F1554" s="36">
        <v>1</v>
      </c>
      <c r="G1554" s="36">
        <v>3</v>
      </c>
      <c r="H1554" s="36">
        <v>0</v>
      </c>
      <c r="I1554" s="37">
        <v>0</v>
      </c>
      <c r="J1554" s="36" t="s">
        <v>32654</v>
      </c>
      <c r="K1554" s="36" t="s">
        <v>14330</v>
      </c>
      <c r="L1554" s="36" t="s">
        <v>14330</v>
      </c>
      <c r="M1554">
        <v>3</v>
      </c>
      <c r="N1554" t="s">
        <v>14331</v>
      </c>
      <c r="O1554" t="s">
        <v>32633</v>
      </c>
    </row>
    <row r="1555" spans="1:15" x14ac:dyDescent="0.25">
      <c r="A1555" s="35" t="s">
        <v>5782</v>
      </c>
      <c r="B1555" s="36" t="s">
        <v>5783</v>
      </c>
      <c r="C1555" s="36" t="str">
        <f>HYPERLINK("https://rhld.insurance.arkansas.gov/NPILookup?Npi=1164568598","1164568598")</f>
        <v>1164568598</v>
      </c>
      <c r="D1555" s="36" t="s">
        <v>34212</v>
      </c>
      <c r="E1555" s="36" t="s">
        <v>1</v>
      </c>
      <c r="F1555" s="36">
        <v>1</v>
      </c>
      <c r="G1555" s="36">
        <v>3</v>
      </c>
      <c r="H1555" s="36">
        <v>0</v>
      </c>
      <c r="I1555" s="37">
        <v>0</v>
      </c>
      <c r="J1555" s="36" t="s">
        <v>32654</v>
      </c>
      <c r="K1555" s="36" t="s">
        <v>14330</v>
      </c>
      <c r="L1555" s="36" t="s">
        <v>14330</v>
      </c>
      <c r="M1555">
        <v>0</v>
      </c>
      <c r="N1555" t="s">
        <v>14331</v>
      </c>
      <c r="O1555" t="s">
        <v>32633</v>
      </c>
    </row>
    <row r="1556" spans="1:15" x14ac:dyDescent="0.25">
      <c r="A1556" s="35" t="s">
        <v>5782</v>
      </c>
      <c r="B1556" s="36" t="s">
        <v>5783</v>
      </c>
      <c r="C1556" s="36" t="str">
        <f>HYPERLINK("https://rhld.insurance.arkansas.gov/NPILookup?Npi=1174501548","1174501548")</f>
        <v>1174501548</v>
      </c>
      <c r="D1556" s="36" t="s">
        <v>34213</v>
      </c>
      <c r="E1556" s="36" t="s">
        <v>2</v>
      </c>
      <c r="F1556" s="36">
        <v>1</v>
      </c>
      <c r="G1556" s="36">
        <v>1</v>
      </c>
      <c r="H1556" s="36">
        <v>1</v>
      </c>
      <c r="I1556" s="37">
        <v>1</v>
      </c>
      <c r="J1556" s="36"/>
      <c r="K1556" s="36" t="s">
        <v>14330</v>
      </c>
      <c r="L1556" s="36" t="s">
        <v>34188</v>
      </c>
      <c r="M1556">
        <v>2</v>
      </c>
      <c r="N1556" t="s">
        <v>14331</v>
      </c>
      <c r="O1556" t="s">
        <v>34189</v>
      </c>
    </row>
    <row r="1557" spans="1:15" x14ac:dyDescent="0.25">
      <c r="A1557" s="35" t="s">
        <v>5782</v>
      </c>
      <c r="B1557" s="36" t="s">
        <v>5783</v>
      </c>
      <c r="C1557" s="36" t="str">
        <f>HYPERLINK("https://rhld.insurance.arkansas.gov/NPILookup?Npi=1174679377","1174679377")</f>
        <v>1174679377</v>
      </c>
      <c r="D1557" s="36" t="s">
        <v>34214</v>
      </c>
      <c r="E1557" s="36" t="s">
        <v>1</v>
      </c>
      <c r="F1557" s="36">
        <v>1</v>
      </c>
      <c r="G1557" s="36">
        <v>2</v>
      </c>
      <c r="H1557" s="36">
        <v>0</v>
      </c>
      <c r="I1557" s="37">
        <v>0</v>
      </c>
      <c r="J1557" s="36" t="s">
        <v>32723</v>
      </c>
      <c r="K1557" s="36" t="s">
        <v>14330</v>
      </c>
      <c r="L1557" s="36" t="s">
        <v>14330</v>
      </c>
      <c r="M1557">
        <v>2</v>
      </c>
      <c r="N1557" t="s">
        <v>14331</v>
      </c>
      <c r="O1557" t="s">
        <v>32724</v>
      </c>
    </row>
    <row r="1558" spans="1:15" x14ac:dyDescent="0.25">
      <c r="A1558" s="35" t="s">
        <v>5782</v>
      </c>
      <c r="B1558" s="36" t="s">
        <v>5783</v>
      </c>
      <c r="C1558" s="36" t="str">
        <f>HYPERLINK("https://rhld.insurance.arkansas.gov/NPILookup?Npi=1174874077","1174874077")</f>
        <v>1174874077</v>
      </c>
      <c r="D1558" s="36" t="s">
        <v>34215</v>
      </c>
      <c r="E1558" s="36" t="s">
        <v>2</v>
      </c>
      <c r="F1558" s="36">
        <v>1</v>
      </c>
      <c r="G1558" s="36">
        <v>2</v>
      </c>
      <c r="H1558" s="36">
        <v>0</v>
      </c>
      <c r="I1558" s="37">
        <v>0</v>
      </c>
      <c r="J1558" s="36"/>
      <c r="K1558" s="36" t="s">
        <v>14330</v>
      </c>
      <c r="L1558" s="36" t="s">
        <v>14330</v>
      </c>
      <c r="M1558">
        <v>3</v>
      </c>
      <c r="N1558" t="s">
        <v>14331</v>
      </c>
      <c r="O1558" t="s">
        <v>14333</v>
      </c>
    </row>
    <row r="1559" spans="1:15" x14ac:dyDescent="0.25">
      <c r="A1559" s="35" t="s">
        <v>5782</v>
      </c>
      <c r="B1559" s="36" t="s">
        <v>5783</v>
      </c>
      <c r="C1559" s="36" t="str">
        <f>HYPERLINK("https://rhld.insurance.arkansas.gov/NPILookup?Npi=1174973879","1174973879")</f>
        <v>1174973879</v>
      </c>
      <c r="D1559" s="36" t="s">
        <v>34216</v>
      </c>
      <c r="E1559" s="36" t="s">
        <v>1</v>
      </c>
      <c r="F1559" s="36">
        <v>1</v>
      </c>
      <c r="G1559" s="36">
        <v>3</v>
      </c>
      <c r="H1559" s="36">
        <v>0</v>
      </c>
      <c r="I1559" s="37">
        <v>0</v>
      </c>
      <c r="J1559" s="36" t="s">
        <v>32654</v>
      </c>
      <c r="K1559" s="36" t="s">
        <v>14330</v>
      </c>
      <c r="L1559" s="36" t="s">
        <v>14330</v>
      </c>
      <c r="M1559">
        <v>2</v>
      </c>
      <c r="N1559" t="s">
        <v>14331</v>
      </c>
      <c r="O1559" t="s">
        <v>32633</v>
      </c>
    </row>
    <row r="1560" spans="1:15" x14ac:dyDescent="0.25">
      <c r="A1560" s="35" t="s">
        <v>5782</v>
      </c>
      <c r="B1560" s="36" t="s">
        <v>5783</v>
      </c>
      <c r="C1560" s="36" t="str">
        <f>HYPERLINK("https://rhld.insurance.arkansas.gov/NPILookup?Npi=1184237786","1184237786")</f>
        <v>1184237786</v>
      </c>
      <c r="D1560" s="36" t="s">
        <v>34217</v>
      </c>
      <c r="E1560" s="36" t="s">
        <v>1</v>
      </c>
      <c r="F1560" s="36">
        <v>1</v>
      </c>
      <c r="G1560" s="36">
        <v>2</v>
      </c>
      <c r="H1560" s="36">
        <v>0</v>
      </c>
      <c r="I1560" s="37">
        <v>0</v>
      </c>
      <c r="J1560" s="36" t="s">
        <v>32723</v>
      </c>
      <c r="K1560" s="36" t="s">
        <v>14330</v>
      </c>
      <c r="L1560" s="36" t="s">
        <v>14330</v>
      </c>
      <c r="M1560">
        <v>2</v>
      </c>
      <c r="N1560" t="s">
        <v>14331</v>
      </c>
      <c r="O1560" t="s">
        <v>32724</v>
      </c>
    </row>
    <row r="1561" spans="1:15" x14ac:dyDescent="0.25">
      <c r="A1561" s="35" t="s">
        <v>5782</v>
      </c>
      <c r="B1561" s="36" t="s">
        <v>5783</v>
      </c>
      <c r="C1561" s="36" t="str">
        <f>HYPERLINK("https://rhld.insurance.arkansas.gov/NPILookup?Npi=1184364515","1184364515")</f>
        <v>1184364515</v>
      </c>
      <c r="D1561" s="36" t="s">
        <v>34218</v>
      </c>
      <c r="E1561" s="36" t="s">
        <v>2</v>
      </c>
      <c r="F1561" s="36">
        <v>1</v>
      </c>
      <c r="G1561" s="36">
        <v>2</v>
      </c>
      <c r="H1561" s="36">
        <v>0</v>
      </c>
      <c r="I1561" s="37">
        <v>0</v>
      </c>
      <c r="J1561" s="36"/>
      <c r="K1561" s="36" t="s">
        <v>14330</v>
      </c>
      <c r="L1561" s="36" t="s">
        <v>14330</v>
      </c>
      <c r="M1561">
        <v>0</v>
      </c>
      <c r="N1561" t="s">
        <v>14331</v>
      </c>
      <c r="O1561" t="s">
        <v>14333</v>
      </c>
    </row>
    <row r="1562" spans="1:15" x14ac:dyDescent="0.25">
      <c r="A1562" s="35" t="s">
        <v>5782</v>
      </c>
      <c r="B1562" s="36" t="s">
        <v>5783</v>
      </c>
      <c r="C1562" s="36" t="str">
        <f>HYPERLINK("https://rhld.insurance.arkansas.gov/NPILookup?Npi=1184617995","1184617995")</f>
        <v>1184617995</v>
      </c>
      <c r="D1562" s="36" t="s">
        <v>34219</v>
      </c>
      <c r="E1562" s="36" t="s">
        <v>2</v>
      </c>
      <c r="F1562" s="36">
        <v>1</v>
      </c>
      <c r="G1562" s="36">
        <v>1</v>
      </c>
      <c r="H1562" s="36">
        <v>1</v>
      </c>
      <c r="I1562" s="37">
        <v>1</v>
      </c>
      <c r="J1562" s="36"/>
      <c r="K1562" s="36" t="s">
        <v>14330</v>
      </c>
      <c r="L1562" s="36" t="s">
        <v>34188</v>
      </c>
      <c r="M1562">
        <v>2</v>
      </c>
      <c r="N1562" t="s">
        <v>14331</v>
      </c>
      <c r="O1562" t="s">
        <v>34189</v>
      </c>
    </row>
    <row r="1563" spans="1:15" x14ac:dyDescent="0.25">
      <c r="A1563" s="35" t="s">
        <v>5782</v>
      </c>
      <c r="B1563" s="36" t="s">
        <v>5783</v>
      </c>
      <c r="C1563" s="36" t="str">
        <f>HYPERLINK("https://rhld.insurance.arkansas.gov/NPILookup?Npi=1194085779","1194085779")</f>
        <v>1194085779</v>
      </c>
      <c r="D1563" s="36" t="s">
        <v>34220</v>
      </c>
      <c r="E1563" s="36" t="s">
        <v>2</v>
      </c>
      <c r="F1563" s="36">
        <v>1</v>
      </c>
      <c r="G1563" s="36">
        <v>2</v>
      </c>
      <c r="H1563" s="36">
        <v>0</v>
      </c>
      <c r="I1563" s="37">
        <v>0</v>
      </c>
      <c r="J1563" s="36"/>
      <c r="K1563" s="36" t="s">
        <v>14330</v>
      </c>
      <c r="L1563" s="36" t="s">
        <v>14330</v>
      </c>
      <c r="M1563">
        <v>2</v>
      </c>
      <c r="N1563" t="s">
        <v>14331</v>
      </c>
      <c r="O1563" t="s">
        <v>14333</v>
      </c>
    </row>
    <row r="1564" spans="1:15" x14ac:dyDescent="0.25">
      <c r="A1564" s="35" t="s">
        <v>5782</v>
      </c>
      <c r="B1564" s="36" t="s">
        <v>5783</v>
      </c>
      <c r="C1564" s="36" t="str">
        <f>HYPERLINK("https://rhld.insurance.arkansas.gov/NPILookup?Npi=1194116715","1194116715")</f>
        <v>1194116715</v>
      </c>
      <c r="D1564" s="36" t="s">
        <v>34221</v>
      </c>
      <c r="E1564" s="36" t="s">
        <v>2</v>
      </c>
      <c r="F1564" s="36">
        <v>1</v>
      </c>
      <c r="G1564" s="36">
        <v>2</v>
      </c>
      <c r="H1564" s="36">
        <v>0</v>
      </c>
      <c r="I1564" s="37">
        <v>0</v>
      </c>
      <c r="J1564" s="36" t="s">
        <v>32679</v>
      </c>
      <c r="K1564" s="36" t="s">
        <v>14330</v>
      </c>
      <c r="L1564" s="36" t="s">
        <v>14330</v>
      </c>
      <c r="M1564">
        <v>2</v>
      </c>
      <c r="N1564" t="s">
        <v>14331</v>
      </c>
      <c r="O1564" t="s">
        <v>14333</v>
      </c>
    </row>
    <row r="1565" spans="1:15" x14ac:dyDescent="0.25">
      <c r="A1565" s="35" t="s">
        <v>5782</v>
      </c>
      <c r="B1565" s="36" t="s">
        <v>5783</v>
      </c>
      <c r="C1565" s="36" t="str">
        <f>HYPERLINK("https://rhld.insurance.arkansas.gov/NPILookup?Npi=1194223891","1194223891")</f>
        <v>1194223891</v>
      </c>
      <c r="D1565" s="36" t="s">
        <v>34222</v>
      </c>
      <c r="E1565" s="36" t="s">
        <v>1</v>
      </c>
      <c r="F1565" s="36">
        <v>1</v>
      </c>
      <c r="G1565" s="36">
        <v>2</v>
      </c>
      <c r="H1565" s="36">
        <v>0</v>
      </c>
      <c r="I1565" s="37">
        <v>0</v>
      </c>
      <c r="J1565" s="36" t="s">
        <v>32654</v>
      </c>
      <c r="K1565" s="36" t="s">
        <v>14330</v>
      </c>
      <c r="L1565" s="36" t="s">
        <v>14330</v>
      </c>
      <c r="M1565">
        <v>0</v>
      </c>
      <c r="N1565" t="s">
        <v>14331</v>
      </c>
      <c r="O1565" t="s">
        <v>32633</v>
      </c>
    </row>
    <row r="1566" spans="1:15" x14ac:dyDescent="0.25">
      <c r="A1566" s="35" t="s">
        <v>5782</v>
      </c>
      <c r="B1566" s="36" t="s">
        <v>5783</v>
      </c>
      <c r="C1566" s="36" t="str">
        <f>HYPERLINK("https://rhld.insurance.arkansas.gov/NPILookup?Npi=1194285569","1194285569")</f>
        <v>1194285569</v>
      </c>
      <c r="D1566" s="36" t="s">
        <v>34223</v>
      </c>
      <c r="E1566" s="36" t="s">
        <v>2</v>
      </c>
      <c r="F1566" s="36">
        <v>1</v>
      </c>
      <c r="G1566" s="36">
        <v>1</v>
      </c>
      <c r="H1566" s="36">
        <v>1</v>
      </c>
      <c r="I1566" s="37">
        <v>1</v>
      </c>
      <c r="J1566" s="36"/>
      <c r="K1566" s="36" t="s">
        <v>14330</v>
      </c>
      <c r="L1566" s="36" t="s">
        <v>34188</v>
      </c>
      <c r="M1566">
        <v>2</v>
      </c>
      <c r="N1566" t="s">
        <v>14331</v>
      </c>
      <c r="O1566" t="s">
        <v>34189</v>
      </c>
    </row>
    <row r="1567" spans="1:15" x14ac:dyDescent="0.25">
      <c r="A1567" s="35" t="s">
        <v>5782</v>
      </c>
      <c r="B1567" s="36" t="s">
        <v>5783</v>
      </c>
      <c r="C1567" s="36" t="str">
        <f>HYPERLINK("https://rhld.insurance.arkansas.gov/NPILookup?Npi=1194526996","1194526996")</f>
        <v>1194526996</v>
      </c>
      <c r="D1567" s="36" t="s">
        <v>34224</v>
      </c>
      <c r="E1567" s="36" t="s">
        <v>2</v>
      </c>
      <c r="F1567" s="36">
        <v>1</v>
      </c>
      <c r="G1567" s="36">
        <v>2</v>
      </c>
      <c r="H1567" s="36">
        <v>0</v>
      </c>
      <c r="I1567" s="37">
        <v>0</v>
      </c>
      <c r="J1567" s="36"/>
      <c r="K1567" s="36" t="s">
        <v>14330</v>
      </c>
      <c r="L1567" s="36" t="s">
        <v>14330</v>
      </c>
      <c r="M1567">
        <v>3</v>
      </c>
      <c r="N1567" t="s">
        <v>14331</v>
      </c>
      <c r="O1567" t="s">
        <v>14333</v>
      </c>
    </row>
    <row r="1568" spans="1:15" x14ac:dyDescent="0.25">
      <c r="A1568" s="35" t="s">
        <v>5782</v>
      </c>
      <c r="B1568" s="36" t="s">
        <v>5783</v>
      </c>
      <c r="C1568" s="36" t="str">
        <f>HYPERLINK("https://rhld.insurance.arkansas.gov/NPILookup?Npi=1194729061","1194729061")</f>
        <v>1194729061</v>
      </c>
      <c r="D1568" s="36" t="s">
        <v>33782</v>
      </c>
      <c r="E1568" s="36" t="s">
        <v>1</v>
      </c>
      <c r="F1568" s="36">
        <v>1</v>
      </c>
      <c r="G1568" s="36">
        <v>3</v>
      </c>
      <c r="H1568" s="36">
        <v>0</v>
      </c>
      <c r="I1568" s="37">
        <v>0</v>
      </c>
      <c r="J1568" s="36" t="s">
        <v>32654</v>
      </c>
      <c r="K1568" s="36" t="s">
        <v>14330</v>
      </c>
      <c r="L1568" s="36" t="s">
        <v>14330</v>
      </c>
      <c r="M1568">
        <v>1</v>
      </c>
      <c r="N1568" t="s">
        <v>14331</v>
      </c>
      <c r="O1568" t="s">
        <v>32633</v>
      </c>
    </row>
    <row r="1569" spans="1:15" x14ac:dyDescent="0.25">
      <c r="A1569" s="35" t="s">
        <v>5782</v>
      </c>
      <c r="B1569" s="36" t="s">
        <v>5783</v>
      </c>
      <c r="C1569" s="36" t="str">
        <f>HYPERLINK("https://rhld.insurance.arkansas.gov/NPILookup?Npi=1194910620","1194910620")</f>
        <v>1194910620</v>
      </c>
      <c r="D1569" s="36" t="s">
        <v>34225</v>
      </c>
      <c r="E1569" s="36" t="s">
        <v>1</v>
      </c>
      <c r="F1569" s="36">
        <v>1</v>
      </c>
      <c r="G1569" s="36">
        <v>2</v>
      </c>
      <c r="H1569" s="36">
        <v>1</v>
      </c>
      <c r="I1569" s="37">
        <v>0</v>
      </c>
      <c r="J1569" s="36" t="s">
        <v>32654</v>
      </c>
      <c r="K1569" s="36" t="s">
        <v>14330</v>
      </c>
      <c r="L1569" s="36" t="s">
        <v>34171</v>
      </c>
      <c r="M1569">
        <v>2</v>
      </c>
      <c r="N1569" t="s">
        <v>14332</v>
      </c>
      <c r="O1569" t="s">
        <v>32591</v>
      </c>
    </row>
    <row r="1570" spans="1:15" x14ac:dyDescent="0.25">
      <c r="A1570" s="35" t="s">
        <v>5782</v>
      </c>
      <c r="B1570" s="36" t="s">
        <v>5783</v>
      </c>
      <c r="C1570" s="36" t="str">
        <f>HYPERLINK("https://rhld.insurance.arkansas.gov/NPILookup?Npi=1194918912","1194918912")</f>
        <v>1194918912</v>
      </c>
      <c r="D1570" s="36" t="s">
        <v>34226</v>
      </c>
      <c r="E1570" s="36" t="s">
        <v>2</v>
      </c>
      <c r="F1570" s="36">
        <v>1</v>
      </c>
      <c r="G1570" s="36">
        <v>2</v>
      </c>
      <c r="H1570" s="36">
        <v>0</v>
      </c>
      <c r="I1570" s="37">
        <v>0</v>
      </c>
      <c r="J1570" s="36" t="s">
        <v>34165</v>
      </c>
      <c r="K1570" s="36" t="s">
        <v>14330</v>
      </c>
      <c r="L1570" s="36" t="s">
        <v>14330</v>
      </c>
      <c r="M1570">
        <v>2</v>
      </c>
      <c r="N1570" t="s">
        <v>14331</v>
      </c>
      <c r="O1570" t="s">
        <v>14333</v>
      </c>
    </row>
    <row r="1571" spans="1:15" x14ac:dyDescent="0.25">
      <c r="A1571" s="35" t="s">
        <v>5782</v>
      </c>
      <c r="B1571" s="36" t="s">
        <v>5783</v>
      </c>
      <c r="C1571" s="36" t="str">
        <f>HYPERLINK("https://rhld.insurance.arkansas.gov/NPILookup?Npi=1205376209","1205376209")</f>
        <v>1205376209</v>
      </c>
      <c r="D1571" s="36" t="s">
        <v>34227</v>
      </c>
      <c r="E1571" s="36" t="s">
        <v>2</v>
      </c>
      <c r="F1571" s="36">
        <v>1</v>
      </c>
      <c r="G1571" s="36">
        <v>2</v>
      </c>
      <c r="H1571" s="36">
        <v>0</v>
      </c>
      <c r="I1571" s="37">
        <v>0</v>
      </c>
      <c r="J1571" s="36"/>
      <c r="K1571" s="36" t="s">
        <v>14330</v>
      </c>
      <c r="L1571" s="36" t="s">
        <v>14330</v>
      </c>
      <c r="M1571">
        <v>2</v>
      </c>
      <c r="N1571" t="s">
        <v>14331</v>
      </c>
      <c r="O1571" t="s">
        <v>14333</v>
      </c>
    </row>
    <row r="1572" spans="1:15" x14ac:dyDescent="0.25">
      <c r="A1572" s="35" t="s">
        <v>5782</v>
      </c>
      <c r="B1572" s="36" t="s">
        <v>5783</v>
      </c>
      <c r="C1572" s="36" t="str">
        <f>HYPERLINK("https://rhld.insurance.arkansas.gov/NPILookup?Npi=1215503016","1215503016")</f>
        <v>1215503016</v>
      </c>
      <c r="D1572" s="36" t="s">
        <v>34228</v>
      </c>
      <c r="E1572" s="36" t="s">
        <v>2</v>
      </c>
      <c r="F1572" s="36">
        <v>1</v>
      </c>
      <c r="G1572" s="36">
        <v>2</v>
      </c>
      <c r="H1572" s="36">
        <v>0</v>
      </c>
      <c r="I1572" s="37">
        <v>0</v>
      </c>
      <c r="J1572" s="36"/>
      <c r="K1572" s="36" t="s">
        <v>14330</v>
      </c>
      <c r="L1572" s="36" t="s">
        <v>14330</v>
      </c>
      <c r="M1572">
        <v>0</v>
      </c>
      <c r="N1572" t="s">
        <v>14331</v>
      </c>
      <c r="O1572" t="s">
        <v>14333</v>
      </c>
    </row>
    <row r="1573" spans="1:15" x14ac:dyDescent="0.25">
      <c r="A1573" s="35" t="s">
        <v>5782</v>
      </c>
      <c r="B1573" s="36" t="s">
        <v>5783</v>
      </c>
      <c r="C1573" s="36" t="str">
        <f>HYPERLINK("https://rhld.insurance.arkansas.gov/NPILookup?Npi=1215564349","1215564349")</f>
        <v>1215564349</v>
      </c>
      <c r="D1573" s="36" t="s">
        <v>34229</v>
      </c>
      <c r="E1573" s="36" t="s">
        <v>2</v>
      </c>
      <c r="F1573" s="36">
        <v>1</v>
      </c>
      <c r="G1573" s="36">
        <v>1</v>
      </c>
      <c r="H1573" s="36">
        <v>1</v>
      </c>
      <c r="I1573" s="37">
        <v>1</v>
      </c>
      <c r="J1573" s="36"/>
      <c r="K1573" s="36" t="s">
        <v>14330</v>
      </c>
      <c r="L1573" s="36" t="s">
        <v>34188</v>
      </c>
      <c r="M1573">
        <v>2</v>
      </c>
      <c r="N1573" t="s">
        <v>14331</v>
      </c>
      <c r="O1573" t="s">
        <v>34189</v>
      </c>
    </row>
    <row r="1574" spans="1:15" x14ac:dyDescent="0.25">
      <c r="A1574" s="35" t="s">
        <v>5782</v>
      </c>
      <c r="B1574" s="36" t="s">
        <v>5783</v>
      </c>
      <c r="C1574" s="36" t="str">
        <f>HYPERLINK("https://rhld.insurance.arkansas.gov/NPILookup?Npi=1215701453","1215701453")</f>
        <v>1215701453</v>
      </c>
      <c r="D1574" s="36" t="s">
        <v>34230</v>
      </c>
      <c r="E1574" s="36" t="s">
        <v>2</v>
      </c>
      <c r="F1574" s="36">
        <v>1</v>
      </c>
      <c r="G1574" s="36">
        <v>2</v>
      </c>
      <c r="H1574" s="36">
        <v>0</v>
      </c>
      <c r="I1574" s="37">
        <v>0</v>
      </c>
      <c r="J1574" s="36"/>
      <c r="K1574" s="36" t="s">
        <v>14330</v>
      </c>
      <c r="L1574" s="36" t="s">
        <v>14330</v>
      </c>
      <c r="M1574">
        <v>3</v>
      </c>
      <c r="N1574" t="s">
        <v>14331</v>
      </c>
      <c r="O1574" t="s">
        <v>14333</v>
      </c>
    </row>
    <row r="1575" spans="1:15" x14ac:dyDescent="0.25">
      <c r="A1575" s="35" t="s">
        <v>5782</v>
      </c>
      <c r="B1575" s="36" t="s">
        <v>5783</v>
      </c>
      <c r="C1575" s="36" t="str">
        <f>HYPERLINK("https://rhld.insurance.arkansas.gov/NPILookup?Npi=1215932488","1215932488")</f>
        <v>1215932488</v>
      </c>
      <c r="D1575" s="36" t="s">
        <v>33047</v>
      </c>
      <c r="E1575" s="36" t="s">
        <v>1</v>
      </c>
      <c r="F1575" s="36">
        <v>1</v>
      </c>
      <c r="G1575" s="36">
        <v>3</v>
      </c>
      <c r="H1575" s="36">
        <v>0</v>
      </c>
      <c r="I1575" s="37">
        <v>0</v>
      </c>
      <c r="J1575" s="36" t="s">
        <v>32654</v>
      </c>
      <c r="K1575" s="36" t="s">
        <v>14330</v>
      </c>
      <c r="L1575" s="36" t="s">
        <v>14330</v>
      </c>
      <c r="M1575">
        <v>1</v>
      </c>
      <c r="N1575" t="s">
        <v>14331</v>
      </c>
      <c r="O1575" t="s">
        <v>32633</v>
      </c>
    </row>
    <row r="1576" spans="1:15" x14ac:dyDescent="0.25">
      <c r="A1576" s="35" t="s">
        <v>5782</v>
      </c>
      <c r="B1576" s="36" t="s">
        <v>5783</v>
      </c>
      <c r="C1576" s="36" t="str">
        <f>HYPERLINK("https://rhld.insurance.arkansas.gov/NPILookup?Npi=1225242043","1225242043")</f>
        <v>1225242043</v>
      </c>
      <c r="D1576" s="36" t="s">
        <v>34231</v>
      </c>
      <c r="E1576" s="36" t="s">
        <v>1</v>
      </c>
      <c r="F1576" s="36">
        <v>1</v>
      </c>
      <c r="G1576" s="36">
        <v>2</v>
      </c>
      <c r="H1576" s="36">
        <v>1</v>
      </c>
      <c r="I1576" s="37">
        <v>0</v>
      </c>
      <c r="J1576" s="36" t="s">
        <v>32654</v>
      </c>
      <c r="K1576" s="36" t="s">
        <v>14330</v>
      </c>
      <c r="L1576" s="36" t="s">
        <v>34171</v>
      </c>
      <c r="M1576">
        <v>1</v>
      </c>
      <c r="N1576" t="s">
        <v>14332</v>
      </c>
      <c r="O1576" t="s">
        <v>32591</v>
      </c>
    </row>
    <row r="1577" spans="1:15" x14ac:dyDescent="0.25">
      <c r="A1577" s="35" t="s">
        <v>5782</v>
      </c>
      <c r="B1577" s="36" t="s">
        <v>5783</v>
      </c>
      <c r="C1577" s="36" t="str">
        <f>HYPERLINK("https://rhld.insurance.arkansas.gov/NPILookup?Npi=1225320518","1225320518")</f>
        <v>1225320518</v>
      </c>
      <c r="D1577" s="36" t="s">
        <v>34232</v>
      </c>
      <c r="E1577" s="36" t="s">
        <v>1</v>
      </c>
      <c r="F1577" s="36">
        <v>1</v>
      </c>
      <c r="G1577" s="36">
        <v>2</v>
      </c>
      <c r="H1577" s="36">
        <v>1</v>
      </c>
      <c r="I1577" s="37">
        <v>0</v>
      </c>
      <c r="J1577" s="36" t="s">
        <v>32654</v>
      </c>
      <c r="K1577" s="36" t="s">
        <v>14330</v>
      </c>
      <c r="L1577" s="36" t="s">
        <v>34171</v>
      </c>
      <c r="M1577">
        <v>2</v>
      </c>
      <c r="N1577" t="s">
        <v>14332</v>
      </c>
      <c r="O1577" t="s">
        <v>32591</v>
      </c>
    </row>
    <row r="1578" spans="1:15" x14ac:dyDescent="0.25">
      <c r="A1578" s="35" t="s">
        <v>5782</v>
      </c>
      <c r="B1578" s="36" t="s">
        <v>5783</v>
      </c>
      <c r="C1578" s="36" t="str">
        <f>HYPERLINK("https://rhld.insurance.arkansas.gov/NPILookup?Npi=1225848864","1225848864")</f>
        <v>1225848864</v>
      </c>
      <c r="D1578" s="36" t="s">
        <v>34233</v>
      </c>
      <c r="E1578" s="36" t="s">
        <v>2</v>
      </c>
      <c r="F1578" s="36">
        <v>2</v>
      </c>
      <c r="G1578" s="36">
        <v>2</v>
      </c>
      <c r="H1578" s="36">
        <v>0</v>
      </c>
      <c r="I1578" s="37">
        <v>0</v>
      </c>
      <c r="J1578" s="36" t="s">
        <v>34181</v>
      </c>
      <c r="K1578" s="36" t="s">
        <v>14330</v>
      </c>
      <c r="L1578" s="36" t="s">
        <v>14330</v>
      </c>
      <c r="M1578">
        <v>2</v>
      </c>
      <c r="N1578" t="s">
        <v>14331</v>
      </c>
      <c r="O1578" t="s">
        <v>14333</v>
      </c>
    </row>
    <row r="1579" spans="1:15" x14ac:dyDescent="0.25">
      <c r="A1579" s="35" t="s">
        <v>5782</v>
      </c>
      <c r="B1579" s="36" t="s">
        <v>5783</v>
      </c>
      <c r="C1579" s="36" t="str">
        <f>HYPERLINK("https://rhld.insurance.arkansas.gov/NPILookup?Npi=1225862097","1225862097")</f>
        <v>1225862097</v>
      </c>
      <c r="D1579" s="36" t="s">
        <v>34234</v>
      </c>
      <c r="E1579" s="36" t="s">
        <v>2</v>
      </c>
      <c r="F1579" s="36">
        <v>1</v>
      </c>
      <c r="G1579" s="36">
        <v>2</v>
      </c>
      <c r="H1579" s="36">
        <v>0</v>
      </c>
      <c r="I1579" s="37">
        <v>0</v>
      </c>
      <c r="J1579" s="36"/>
      <c r="K1579" s="36" t="s">
        <v>14330</v>
      </c>
      <c r="L1579" s="36" t="s">
        <v>14330</v>
      </c>
      <c r="M1579">
        <v>2</v>
      </c>
      <c r="N1579" t="s">
        <v>14331</v>
      </c>
      <c r="O1579" t="s">
        <v>14333</v>
      </c>
    </row>
    <row r="1580" spans="1:15" x14ac:dyDescent="0.25">
      <c r="A1580" s="35" t="s">
        <v>5782</v>
      </c>
      <c r="B1580" s="36" t="s">
        <v>5783</v>
      </c>
      <c r="C1580" s="36" t="str">
        <f>HYPERLINK("https://rhld.insurance.arkansas.gov/NPILookup?Npi=1235372442","1235372442")</f>
        <v>1235372442</v>
      </c>
      <c r="D1580" s="36" t="s">
        <v>34235</v>
      </c>
      <c r="E1580" s="36" t="s">
        <v>2</v>
      </c>
      <c r="F1580" s="36">
        <v>1</v>
      </c>
      <c r="G1580" s="36">
        <v>2</v>
      </c>
      <c r="H1580" s="36">
        <v>0</v>
      </c>
      <c r="I1580" s="37">
        <v>0</v>
      </c>
      <c r="J1580" s="36" t="s">
        <v>34165</v>
      </c>
      <c r="K1580" s="36" t="s">
        <v>14330</v>
      </c>
      <c r="L1580" s="36" t="s">
        <v>14330</v>
      </c>
      <c r="M1580">
        <v>2</v>
      </c>
      <c r="N1580" t="s">
        <v>14331</v>
      </c>
      <c r="O1580" t="s">
        <v>14333</v>
      </c>
    </row>
    <row r="1581" spans="1:15" x14ac:dyDescent="0.25">
      <c r="A1581" s="35" t="s">
        <v>5782</v>
      </c>
      <c r="B1581" s="36" t="s">
        <v>5783</v>
      </c>
      <c r="C1581" s="36" t="str">
        <f>HYPERLINK("https://rhld.insurance.arkansas.gov/NPILookup?Npi=1235863135","1235863135")</f>
        <v>1235863135</v>
      </c>
      <c r="D1581" s="36" t="s">
        <v>34236</v>
      </c>
      <c r="E1581" s="36" t="s">
        <v>2</v>
      </c>
      <c r="F1581" s="36">
        <v>1</v>
      </c>
      <c r="G1581" s="36">
        <v>2</v>
      </c>
      <c r="H1581" s="36">
        <v>0</v>
      </c>
      <c r="I1581" s="37">
        <v>0</v>
      </c>
      <c r="J1581" s="36"/>
      <c r="K1581" s="36" t="s">
        <v>14330</v>
      </c>
      <c r="L1581" s="36" t="s">
        <v>14330</v>
      </c>
      <c r="M1581">
        <v>2</v>
      </c>
      <c r="N1581" t="s">
        <v>14331</v>
      </c>
      <c r="O1581" t="s">
        <v>14333</v>
      </c>
    </row>
    <row r="1582" spans="1:15" x14ac:dyDescent="0.25">
      <c r="A1582" s="35" t="s">
        <v>5782</v>
      </c>
      <c r="B1582" s="36" t="s">
        <v>5783</v>
      </c>
      <c r="C1582" s="36" t="str">
        <f>HYPERLINK("https://rhld.insurance.arkansas.gov/NPILookup?Npi=1235866658","1235866658")</f>
        <v>1235866658</v>
      </c>
      <c r="D1582" s="36" t="s">
        <v>34237</v>
      </c>
      <c r="E1582" s="36" t="s">
        <v>2</v>
      </c>
      <c r="F1582" s="36">
        <v>1</v>
      </c>
      <c r="G1582" s="36">
        <v>2</v>
      </c>
      <c r="H1582" s="36">
        <v>0</v>
      </c>
      <c r="I1582" s="37">
        <v>0</v>
      </c>
      <c r="J1582" s="36" t="s">
        <v>34165</v>
      </c>
      <c r="K1582" s="36" t="s">
        <v>14330</v>
      </c>
      <c r="L1582" s="36" t="s">
        <v>14330</v>
      </c>
      <c r="M1582">
        <v>2</v>
      </c>
      <c r="N1582" t="s">
        <v>14331</v>
      </c>
      <c r="O1582" t="s">
        <v>14333</v>
      </c>
    </row>
    <row r="1583" spans="1:15" x14ac:dyDescent="0.25">
      <c r="A1583" s="35" t="s">
        <v>5782</v>
      </c>
      <c r="B1583" s="36" t="s">
        <v>5783</v>
      </c>
      <c r="C1583" s="36" t="str">
        <f>HYPERLINK("https://rhld.insurance.arkansas.gov/NPILookup?Npi=1235867821","1235867821")</f>
        <v>1235867821</v>
      </c>
      <c r="D1583" s="36" t="s">
        <v>34238</v>
      </c>
      <c r="E1583" s="36" t="s">
        <v>1</v>
      </c>
      <c r="F1583" s="36">
        <v>1</v>
      </c>
      <c r="G1583" s="36">
        <v>2</v>
      </c>
      <c r="H1583" s="36">
        <v>0</v>
      </c>
      <c r="I1583" s="37">
        <v>0</v>
      </c>
      <c r="J1583" s="36" t="s">
        <v>32723</v>
      </c>
      <c r="K1583" s="36" t="s">
        <v>14330</v>
      </c>
      <c r="L1583" s="36" t="s">
        <v>14330</v>
      </c>
      <c r="M1583">
        <v>2</v>
      </c>
      <c r="N1583" t="s">
        <v>14331</v>
      </c>
      <c r="O1583" t="s">
        <v>32724</v>
      </c>
    </row>
    <row r="1584" spans="1:15" x14ac:dyDescent="0.25">
      <c r="A1584" s="35" t="s">
        <v>5782</v>
      </c>
      <c r="B1584" s="36" t="s">
        <v>5783</v>
      </c>
      <c r="C1584" s="36" t="str">
        <f>HYPERLINK("https://rhld.insurance.arkansas.gov/NPILookup?Npi=1235941097","1235941097")</f>
        <v>1235941097</v>
      </c>
      <c r="D1584" s="36" t="s">
        <v>34239</v>
      </c>
      <c r="E1584" s="36" t="s">
        <v>2</v>
      </c>
      <c r="F1584" s="36">
        <v>2</v>
      </c>
      <c r="G1584" s="36">
        <v>2</v>
      </c>
      <c r="H1584" s="36">
        <v>0</v>
      </c>
      <c r="I1584" s="37">
        <v>0</v>
      </c>
      <c r="J1584" s="36" t="s">
        <v>34181</v>
      </c>
      <c r="K1584" s="36" t="s">
        <v>14330</v>
      </c>
      <c r="L1584" s="36" t="s">
        <v>14330</v>
      </c>
      <c r="M1584">
        <v>2</v>
      </c>
      <c r="N1584" t="s">
        <v>14331</v>
      </c>
      <c r="O1584" t="s">
        <v>14333</v>
      </c>
    </row>
    <row r="1585" spans="1:15" x14ac:dyDescent="0.25">
      <c r="A1585" s="35" t="s">
        <v>5782</v>
      </c>
      <c r="B1585" s="36" t="s">
        <v>5783</v>
      </c>
      <c r="C1585" s="36" t="str">
        <f>HYPERLINK("https://rhld.insurance.arkansas.gov/NPILookup?Npi=1235942897","1235942897")</f>
        <v>1235942897</v>
      </c>
      <c r="D1585" s="36" t="s">
        <v>34240</v>
      </c>
      <c r="E1585" s="36" t="s">
        <v>2</v>
      </c>
      <c r="F1585" s="36">
        <v>2</v>
      </c>
      <c r="G1585" s="36">
        <v>2</v>
      </c>
      <c r="H1585" s="36">
        <v>0</v>
      </c>
      <c r="I1585" s="37">
        <v>0</v>
      </c>
      <c r="J1585" s="36" t="s">
        <v>34181</v>
      </c>
      <c r="K1585" s="36" t="s">
        <v>14330</v>
      </c>
      <c r="L1585" s="36" t="s">
        <v>14330</v>
      </c>
      <c r="M1585">
        <v>2</v>
      </c>
      <c r="N1585" t="s">
        <v>14331</v>
      </c>
      <c r="O1585" t="s">
        <v>14333</v>
      </c>
    </row>
    <row r="1586" spans="1:15" x14ac:dyDescent="0.25">
      <c r="A1586" s="35" t="s">
        <v>5782</v>
      </c>
      <c r="B1586" s="36" t="s">
        <v>5783</v>
      </c>
      <c r="C1586" s="36" t="str">
        <f>HYPERLINK("https://rhld.insurance.arkansas.gov/NPILookup?Npi=1245043017","1245043017")</f>
        <v>1245043017</v>
      </c>
      <c r="D1586" s="36" t="s">
        <v>34241</v>
      </c>
      <c r="E1586" s="36" t="s">
        <v>2</v>
      </c>
      <c r="F1586" s="36">
        <v>2</v>
      </c>
      <c r="G1586" s="36">
        <v>2</v>
      </c>
      <c r="H1586" s="36">
        <v>0</v>
      </c>
      <c r="I1586" s="37">
        <v>0</v>
      </c>
      <c r="J1586" s="36" t="s">
        <v>34181</v>
      </c>
      <c r="K1586" s="36" t="s">
        <v>14330</v>
      </c>
      <c r="L1586" s="36" t="s">
        <v>14330</v>
      </c>
      <c r="M1586">
        <v>2</v>
      </c>
      <c r="N1586" t="s">
        <v>14331</v>
      </c>
      <c r="O1586" t="s">
        <v>14333</v>
      </c>
    </row>
    <row r="1587" spans="1:15" x14ac:dyDescent="0.25">
      <c r="A1587" s="35" t="s">
        <v>5782</v>
      </c>
      <c r="B1587" s="36" t="s">
        <v>5783</v>
      </c>
      <c r="C1587" s="36" t="str">
        <f>HYPERLINK("https://rhld.insurance.arkansas.gov/NPILookup?Npi=1245586874","1245586874")</f>
        <v>1245586874</v>
      </c>
      <c r="D1587" s="36" t="s">
        <v>34242</v>
      </c>
      <c r="E1587" s="36" t="s">
        <v>1</v>
      </c>
      <c r="F1587" s="36">
        <v>1</v>
      </c>
      <c r="G1587" s="36">
        <v>2</v>
      </c>
      <c r="H1587" s="36">
        <v>0</v>
      </c>
      <c r="I1587" s="37">
        <v>0</v>
      </c>
      <c r="J1587" s="36" t="s">
        <v>32723</v>
      </c>
      <c r="K1587" s="36" t="s">
        <v>14330</v>
      </c>
      <c r="L1587" s="36" t="s">
        <v>14330</v>
      </c>
      <c r="M1587">
        <v>2</v>
      </c>
      <c r="N1587" t="s">
        <v>14331</v>
      </c>
      <c r="O1587" t="s">
        <v>32724</v>
      </c>
    </row>
    <row r="1588" spans="1:15" x14ac:dyDescent="0.25">
      <c r="A1588" s="35" t="s">
        <v>5782</v>
      </c>
      <c r="B1588" s="36" t="s">
        <v>5783</v>
      </c>
      <c r="C1588" s="36" t="str">
        <f>HYPERLINK("https://rhld.insurance.arkansas.gov/NPILookup?Npi=1245874528","1245874528")</f>
        <v>1245874528</v>
      </c>
      <c r="D1588" s="36" t="s">
        <v>34243</v>
      </c>
      <c r="E1588" s="36" t="s">
        <v>2</v>
      </c>
      <c r="F1588" s="36">
        <v>1</v>
      </c>
      <c r="G1588" s="36">
        <v>2</v>
      </c>
      <c r="H1588" s="36">
        <v>0</v>
      </c>
      <c r="I1588" s="37">
        <v>0</v>
      </c>
      <c r="J1588" s="36"/>
      <c r="K1588" s="36" t="s">
        <v>14330</v>
      </c>
      <c r="L1588" s="36" t="s">
        <v>14330</v>
      </c>
      <c r="M1588">
        <v>2</v>
      </c>
      <c r="N1588" t="s">
        <v>14331</v>
      </c>
      <c r="O1588" t="s">
        <v>14333</v>
      </c>
    </row>
    <row r="1589" spans="1:15" x14ac:dyDescent="0.25">
      <c r="A1589" s="35" t="s">
        <v>5782</v>
      </c>
      <c r="B1589" s="36" t="s">
        <v>5783</v>
      </c>
      <c r="C1589" s="36" t="str">
        <f>HYPERLINK("https://rhld.insurance.arkansas.gov/NPILookup?Npi=1245999036","1245999036")</f>
        <v>1245999036</v>
      </c>
      <c r="D1589" s="36" t="s">
        <v>34244</v>
      </c>
      <c r="E1589" s="36" t="s">
        <v>2</v>
      </c>
      <c r="F1589" s="36">
        <v>2</v>
      </c>
      <c r="G1589" s="36">
        <v>2</v>
      </c>
      <c r="H1589" s="36">
        <v>0</v>
      </c>
      <c r="I1589" s="37">
        <v>0</v>
      </c>
      <c r="J1589" s="36" t="s">
        <v>34181</v>
      </c>
      <c r="K1589" s="36" t="s">
        <v>14330</v>
      </c>
      <c r="L1589" s="36" t="s">
        <v>14330</v>
      </c>
      <c r="M1589">
        <v>2</v>
      </c>
      <c r="N1589" t="s">
        <v>14331</v>
      </c>
      <c r="O1589" t="s">
        <v>14333</v>
      </c>
    </row>
    <row r="1590" spans="1:15" x14ac:dyDescent="0.25">
      <c r="A1590" s="35" t="s">
        <v>5782</v>
      </c>
      <c r="B1590" s="36" t="s">
        <v>5783</v>
      </c>
      <c r="C1590" s="36" t="str">
        <f>HYPERLINK("https://rhld.insurance.arkansas.gov/NPILookup?Npi=1255153649","1255153649")</f>
        <v>1255153649</v>
      </c>
      <c r="D1590" s="36" t="s">
        <v>34245</v>
      </c>
      <c r="E1590" s="36" t="s">
        <v>2</v>
      </c>
      <c r="F1590" s="36">
        <v>1</v>
      </c>
      <c r="G1590" s="36">
        <v>2</v>
      </c>
      <c r="H1590" s="36">
        <v>0</v>
      </c>
      <c r="I1590" s="37">
        <v>0</v>
      </c>
      <c r="J1590" s="36"/>
      <c r="K1590" s="36" t="s">
        <v>14330</v>
      </c>
      <c r="L1590" s="36" t="s">
        <v>14330</v>
      </c>
      <c r="M1590">
        <v>2</v>
      </c>
      <c r="N1590" t="s">
        <v>14331</v>
      </c>
      <c r="O1590" t="s">
        <v>14333</v>
      </c>
    </row>
    <row r="1591" spans="1:15" x14ac:dyDescent="0.25">
      <c r="A1591" s="35" t="s">
        <v>5782</v>
      </c>
      <c r="B1591" s="36" t="s">
        <v>5783</v>
      </c>
      <c r="C1591" s="36" t="str">
        <f>HYPERLINK("https://rhld.insurance.arkansas.gov/NPILookup?Npi=1255788816","1255788816")</f>
        <v>1255788816</v>
      </c>
      <c r="D1591" s="36" t="s">
        <v>34246</v>
      </c>
      <c r="E1591" s="36" t="s">
        <v>2</v>
      </c>
      <c r="F1591" s="36">
        <v>1</v>
      </c>
      <c r="G1591" s="36">
        <v>2</v>
      </c>
      <c r="H1591" s="36">
        <v>0</v>
      </c>
      <c r="I1591" s="37">
        <v>0</v>
      </c>
      <c r="J1591" s="36"/>
      <c r="K1591" s="36" t="s">
        <v>14330</v>
      </c>
      <c r="L1591" s="36" t="s">
        <v>14330</v>
      </c>
      <c r="M1591">
        <v>0</v>
      </c>
      <c r="N1591" t="s">
        <v>14331</v>
      </c>
      <c r="O1591" t="s">
        <v>14333</v>
      </c>
    </row>
    <row r="1592" spans="1:15" x14ac:dyDescent="0.25">
      <c r="A1592" s="35" t="s">
        <v>5782</v>
      </c>
      <c r="B1592" s="36" t="s">
        <v>5783</v>
      </c>
      <c r="C1592" s="36" t="str">
        <f>HYPERLINK("https://rhld.insurance.arkansas.gov/NPILookup?Npi=1255960019","1255960019")</f>
        <v>1255960019</v>
      </c>
      <c r="D1592" s="36" t="s">
        <v>34247</v>
      </c>
      <c r="E1592" s="36" t="s">
        <v>2</v>
      </c>
      <c r="F1592" s="36">
        <v>1</v>
      </c>
      <c r="G1592" s="36">
        <v>1</v>
      </c>
      <c r="H1592" s="36">
        <v>1</v>
      </c>
      <c r="I1592" s="37">
        <v>1</v>
      </c>
      <c r="J1592" s="36"/>
      <c r="K1592" s="36" t="s">
        <v>14330</v>
      </c>
      <c r="L1592" s="36" t="s">
        <v>34188</v>
      </c>
      <c r="M1592">
        <v>2</v>
      </c>
      <c r="N1592" t="s">
        <v>14331</v>
      </c>
      <c r="O1592" t="s">
        <v>34189</v>
      </c>
    </row>
    <row r="1593" spans="1:15" x14ac:dyDescent="0.25">
      <c r="A1593" s="35" t="s">
        <v>5782</v>
      </c>
      <c r="B1593" s="36" t="s">
        <v>5783</v>
      </c>
      <c r="C1593" s="36" t="str">
        <f>HYPERLINK("https://rhld.insurance.arkansas.gov/NPILookup?Npi=1265064794","1265064794")</f>
        <v>1265064794</v>
      </c>
      <c r="D1593" s="36" t="s">
        <v>34248</v>
      </c>
      <c r="E1593" s="36" t="s">
        <v>2</v>
      </c>
      <c r="F1593" s="36">
        <v>2</v>
      </c>
      <c r="G1593" s="36">
        <v>2</v>
      </c>
      <c r="H1593" s="36">
        <v>0</v>
      </c>
      <c r="I1593" s="37">
        <v>0</v>
      </c>
      <c r="J1593" s="36" t="s">
        <v>34181</v>
      </c>
      <c r="K1593" s="36" t="s">
        <v>14330</v>
      </c>
      <c r="L1593" s="36" t="s">
        <v>14330</v>
      </c>
      <c r="M1593">
        <v>0</v>
      </c>
      <c r="N1593" t="s">
        <v>14331</v>
      </c>
      <c r="O1593" t="s">
        <v>14333</v>
      </c>
    </row>
    <row r="1594" spans="1:15" x14ac:dyDescent="0.25">
      <c r="A1594" s="35" t="s">
        <v>5782</v>
      </c>
      <c r="B1594" s="36" t="s">
        <v>5783</v>
      </c>
      <c r="C1594" s="36" t="str">
        <f>HYPERLINK("https://rhld.insurance.arkansas.gov/NPILookup?Npi=1265095277","1265095277")</f>
        <v>1265095277</v>
      </c>
      <c r="D1594" s="36" t="s">
        <v>34249</v>
      </c>
      <c r="E1594" s="36" t="s">
        <v>1</v>
      </c>
      <c r="F1594" s="36">
        <v>1</v>
      </c>
      <c r="G1594" s="36">
        <v>1</v>
      </c>
      <c r="H1594" s="36">
        <v>1</v>
      </c>
      <c r="I1594" s="37">
        <v>0</v>
      </c>
      <c r="J1594" s="36" t="s">
        <v>32654</v>
      </c>
      <c r="K1594" s="36" t="s">
        <v>14330</v>
      </c>
      <c r="L1594" s="36" t="s">
        <v>34171</v>
      </c>
      <c r="M1594">
        <v>2</v>
      </c>
      <c r="N1594" t="s">
        <v>14332</v>
      </c>
      <c r="O1594" t="s">
        <v>34250</v>
      </c>
    </row>
    <row r="1595" spans="1:15" x14ac:dyDescent="0.25">
      <c r="A1595" s="35" t="s">
        <v>5782</v>
      </c>
      <c r="B1595" s="36" t="s">
        <v>5783</v>
      </c>
      <c r="C1595" s="36" t="str">
        <f>HYPERLINK("https://rhld.insurance.arkansas.gov/NPILookup?Npi=1265162937","1265162937")</f>
        <v>1265162937</v>
      </c>
      <c r="D1595" s="36" t="s">
        <v>34251</v>
      </c>
      <c r="E1595" s="36" t="s">
        <v>2</v>
      </c>
      <c r="F1595" s="36">
        <v>1</v>
      </c>
      <c r="G1595" s="36">
        <v>2</v>
      </c>
      <c r="H1595" s="36">
        <v>0</v>
      </c>
      <c r="I1595" s="37">
        <v>0</v>
      </c>
      <c r="J1595" s="36"/>
      <c r="K1595" s="36" t="s">
        <v>14330</v>
      </c>
      <c r="L1595" s="36" t="s">
        <v>14330</v>
      </c>
      <c r="M1595">
        <v>3</v>
      </c>
      <c r="N1595" t="s">
        <v>14331</v>
      </c>
      <c r="O1595" t="s">
        <v>14333</v>
      </c>
    </row>
    <row r="1596" spans="1:15" x14ac:dyDescent="0.25">
      <c r="A1596" s="35" t="s">
        <v>5782</v>
      </c>
      <c r="B1596" s="36" t="s">
        <v>5783</v>
      </c>
      <c r="C1596" s="36" t="str">
        <f>HYPERLINK("https://rhld.insurance.arkansas.gov/NPILookup?Npi=1265540777","1265540777")</f>
        <v>1265540777</v>
      </c>
      <c r="D1596" s="36" t="s">
        <v>34252</v>
      </c>
      <c r="E1596" s="36" t="s">
        <v>1</v>
      </c>
      <c r="F1596" s="36">
        <v>1</v>
      </c>
      <c r="G1596" s="36">
        <v>3</v>
      </c>
      <c r="H1596" s="36">
        <v>0</v>
      </c>
      <c r="I1596" s="37">
        <v>0</v>
      </c>
      <c r="J1596" s="36" t="s">
        <v>32654</v>
      </c>
      <c r="K1596" s="36" t="s">
        <v>14330</v>
      </c>
      <c r="L1596" s="36" t="s">
        <v>14330</v>
      </c>
      <c r="M1596">
        <v>0</v>
      </c>
      <c r="N1596" t="s">
        <v>14331</v>
      </c>
      <c r="O1596" t="s">
        <v>32633</v>
      </c>
    </row>
    <row r="1597" spans="1:15" x14ac:dyDescent="0.25">
      <c r="A1597" s="35" t="s">
        <v>5782</v>
      </c>
      <c r="B1597" s="36" t="s">
        <v>5783</v>
      </c>
      <c r="C1597" s="36" t="str">
        <f>HYPERLINK("https://rhld.insurance.arkansas.gov/NPILookup?Npi=1265782601","1265782601")</f>
        <v>1265782601</v>
      </c>
      <c r="D1597" s="36" t="s">
        <v>34253</v>
      </c>
      <c r="E1597" s="36" t="s">
        <v>2</v>
      </c>
      <c r="F1597" s="36">
        <v>1</v>
      </c>
      <c r="G1597" s="36">
        <v>1</v>
      </c>
      <c r="H1597" s="36">
        <v>1</v>
      </c>
      <c r="I1597" s="37">
        <v>0</v>
      </c>
      <c r="J1597" s="36" t="s">
        <v>32679</v>
      </c>
      <c r="K1597" s="36" t="s">
        <v>14330</v>
      </c>
      <c r="L1597" s="36" t="s">
        <v>34254</v>
      </c>
      <c r="M1597">
        <v>2</v>
      </c>
      <c r="N1597" t="s">
        <v>14331</v>
      </c>
      <c r="O1597" t="s">
        <v>34189</v>
      </c>
    </row>
    <row r="1598" spans="1:15" x14ac:dyDescent="0.25">
      <c r="A1598" s="35" t="s">
        <v>5782</v>
      </c>
      <c r="B1598" s="36" t="s">
        <v>5783</v>
      </c>
      <c r="C1598" s="36" t="str">
        <f>HYPERLINK("https://rhld.insurance.arkansas.gov/NPILookup?Npi=1265808281","1265808281")</f>
        <v>1265808281</v>
      </c>
      <c r="D1598" s="36" t="s">
        <v>34255</v>
      </c>
      <c r="E1598" s="36" t="s">
        <v>2</v>
      </c>
      <c r="F1598" s="36">
        <v>1</v>
      </c>
      <c r="G1598" s="36">
        <v>2</v>
      </c>
      <c r="H1598" s="36">
        <v>0</v>
      </c>
      <c r="I1598" s="37">
        <v>0</v>
      </c>
      <c r="J1598" s="36"/>
      <c r="K1598" s="36" t="s">
        <v>14330</v>
      </c>
      <c r="L1598" s="36" t="s">
        <v>14330</v>
      </c>
      <c r="M1598">
        <v>2</v>
      </c>
      <c r="N1598" t="s">
        <v>14331</v>
      </c>
      <c r="O1598" t="s">
        <v>14333</v>
      </c>
    </row>
    <row r="1599" spans="1:15" x14ac:dyDescent="0.25">
      <c r="A1599" s="35" t="s">
        <v>5782</v>
      </c>
      <c r="B1599" s="36" t="s">
        <v>5783</v>
      </c>
      <c r="C1599" s="36" t="str">
        <f>HYPERLINK("https://rhld.insurance.arkansas.gov/NPILookup?Npi=1275001703","1275001703")</f>
        <v>1275001703</v>
      </c>
      <c r="D1599" s="36" t="s">
        <v>34256</v>
      </c>
      <c r="E1599" s="36" t="s">
        <v>2</v>
      </c>
      <c r="F1599" s="36">
        <v>1</v>
      </c>
      <c r="G1599" s="36">
        <v>2</v>
      </c>
      <c r="H1599" s="36">
        <v>0</v>
      </c>
      <c r="I1599" s="37">
        <v>0</v>
      </c>
      <c r="J1599" s="36"/>
      <c r="K1599" s="36" t="s">
        <v>14330</v>
      </c>
      <c r="L1599" s="36" t="s">
        <v>14330</v>
      </c>
      <c r="M1599">
        <v>2</v>
      </c>
      <c r="N1599" t="s">
        <v>14331</v>
      </c>
      <c r="O1599" t="s">
        <v>14333</v>
      </c>
    </row>
    <row r="1600" spans="1:15" x14ac:dyDescent="0.25">
      <c r="A1600" s="35" t="s">
        <v>5782</v>
      </c>
      <c r="B1600" s="36" t="s">
        <v>5783</v>
      </c>
      <c r="C1600" s="36" t="str">
        <f>HYPERLINK("https://rhld.insurance.arkansas.gov/NPILookup?Npi=1275347155","1275347155")</f>
        <v>1275347155</v>
      </c>
      <c r="D1600" s="36" t="s">
        <v>34257</v>
      </c>
      <c r="E1600" s="36" t="s">
        <v>2</v>
      </c>
      <c r="F1600" s="36">
        <v>2</v>
      </c>
      <c r="G1600" s="36">
        <v>2</v>
      </c>
      <c r="H1600" s="36">
        <v>0</v>
      </c>
      <c r="I1600" s="37">
        <v>0</v>
      </c>
      <c r="J1600" s="36" t="s">
        <v>34181</v>
      </c>
      <c r="K1600" s="36" t="s">
        <v>14330</v>
      </c>
      <c r="L1600" s="36" t="s">
        <v>14330</v>
      </c>
      <c r="M1600">
        <v>1</v>
      </c>
      <c r="N1600" t="s">
        <v>14331</v>
      </c>
      <c r="O1600" t="s">
        <v>14333</v>
      </c>
    </row>
    <row r="1601" spans="1:15" x14ac:dyDescent="0.25">
      <c r="A1601" s="35" t="s">
        <v>5782</v>
      </c>
      <c r="B1601" s="36" t="s">
        <v>5783</v>
      </c>
      <c r="C1601" s="36" t="str">
        <f>HYPERLINK("https://rhld.insurance.arkansas.gov/NPILookup?Npi=1275596678","1275596678")</f>
        <v>1275596678</v>
      </c>
      <c r="D1601" s="36" t="s">
        <v>34258</v>
      </c>
      <c r="E1601" s="36" t="s">
        <v>1</v>
      </c>
      <c r="F1601" s="36">
        <v>1</v>
      </c>
      <c r="G1601" s="36">
        <v>2</v>
      </c>
      <c r="H1601" s="36">
        <v>1</v>
      </c>
      <c r="I1601" s="37">
        <v>0</v>
      </c>
      <c r="J1601" s="36" t="s">
        <v>32654</v>
      </c>
      <c r="K1601" s="36" t="s">
        <v>14330</v>
      </c>
      <c r="L1601" s="36" t="s">
        <v>34171</v>
      </c>
      <c r="M1601">
        <v>1</v>
      </c>
      <c r="N1601" t="s">
        <v>14332</v>
      </c>
      <c r="O1601" t="s">
        <v>32591</v>
      </c>
    </row>
    <row r="1602" spans="1:15" x14ac:dyDescent="0.25">
      <c r="A1602" s="35" t="s">
        <v>5782</v>
      </c>
      <c r="B1602" s="36" t="s">
        <v>5783</v>
      </c>
      <c r="C1602" s="36" t="str">
        <f>HYPERLINK("https://rhld.insurance.arkansas.gov/NPILookup?Npi=1275709859","1275709859")</f>
        <v>1275709859</v>
      </c>
      <c r="D1602" s="36" t="s">
        <v>33792</v>
      </c>
      <c r="E1602" s="36" t="s">
        <v>1</v>
      </c>
      <c r="F1602" s="36">
        <v>1</v>
      </c>
      <c r="G1602" s="36">
        <v>2</v>
      </c>
      <c r="H1602" s="36">
        <v>1</v>
      </c>
      <c r="I1602" s="37">
        <v>0</v>
      </c>
      <c r="J1602" s="36" t="s">
        <v>32654</v>
      </c>
      <c r="K1602" s="36" t="s">
        <v>14330</v>
      </c>
      <c r="L1602" s="36" t="s">
        <v>34171</v>
      </c>
      <c r="M1602">
        <v>4</v>
      </c>
      <c r="N1602" t="s">
        <v>14332</v>
      </c>
      <c r="O1602" t="s">
        <v>32591</v>
      </c>
    </row>
    <row r="1603" spans="1:15" x14ac:dyDescent="0.25">
      <c r="A1603" s="35" t="s">
        <v>5782</v>
      </c>
      <c r="B1603" s="36" t="s">
        <v>5783</v>
      </c>
      <c r="C1603" s="36" t="str">
        <f>HYPERLINK("https://rhld.insurance.arkansas.gov/NPILookup?Npi=1285171876","1285171876")</f>
        <v>1285171876</v>
      </c>
      <c r="D1603" s="36" t="s">
        <v>34259</v>
      </c>
      <c r="E1603" s="36" t="s">
        <v>1</v>
      </c>
      <c r="F1603" s="36">
        <v>1</v>
      </c>
      <c r="G1603" s="36">
        <v>4</v>
      </c>
      <c r="H1603" s="36">
        <v>0</v>
      </c>
      <c r="I1603" s="37">
        <v>0</v>
      </c>
      <c r="J1603" s="36" t="s">
        <v>32654</v>
      </c>
      <c r="K1603" s="36" t="s">
        <v>14330</v>
      </c>
      <c r="L1603" s="36" t="s">
        <v>14330</v>
      </c>
      <c r="M1603">
        <v>2</v>
      </c>
      <c r="N1603" t="s">
        <v>14331</v>
      </c>
      <c r="O1603" t="s">
        <v>32633</v>
      </c>
    </row>
    <row r="1604" spans="1:15" x14ac:dyDescent="0.25">
      <c r="A1604" s="35" t="s">
        <v>5782</v>
      </c>
      <c r="B1604" s="36" t="s">
        <v>5783</v>
      </c>
      <c r="C1604" s="36" t="str">
        <f>HYPERLINK("https://rhld.insurance.arkansas.gov/NPILookup?Npi=1285302760","1285302760")</f>
        <v>1285302760</v>
      </c>
      <c r="D1604" s="36" t="s">
        <v>34260</v>
      </c>
      <c r="E1604" s="36" t="s">
        <v>2</v>
      </c>
      <c r="F1604" s="36">
        <v>2</v>
      </c>
      <c r="G1604" s="36">
        <v>2</v>
      </c>
      <c r="H1604" s="36">
        <v>0</v>
      </c>
      <c r="I1604" s="37">
        <v>0</v>
      </c>
      <c r="J1604" s="36" t="s">
        <v>34181</v>
      </c>
      <c r="K1604" s="36" t="s">
        <v>14330</v>
      </c>
      <c r="L1604" s="36" t="s">
        <v>14330</v>
      </c>
      <c r="M1604">
        <v>2</v>
      </c>
      <c r="N1604" t="s">
        <v>14331</v>
      </c>
      <c r="O1604" t="s">
        <v>14333</v>
      </c>
    </row>
    <row r="1605" spans="1:15" x14ac:dyDescent="0.25">
      <c r="A1605" s="35" t="s">
        <v>5782</v>
      </c>
      <c r="B1605" s="36" t="s">
        <v>5783</v>
      </c>
      <c r="C1605" s="36" t="str">
        <f>HYPERLINK("https://rhld.insurance.arkansas.gov/NPILookup?Npi=1285472381","1285472381")</f>
        <v>1285472381</v>
      </c>
      <c r="D1605" s="36" t="s">
        <v>34261</v>
      </c>
      <c r="E1605" s="36" t="s">
        <v>2</v>
      </c>
      <c r="F1605" s="36">
        <v>2</v>
      </c>
      <c r="G1605" s="36">
        <v>2</v>
      </c>
      <c r="H1605" s="36">
        <v>0</v>
      </c>
      <c r="I1605" s="37">
        <v>0</v>
      </c>
      <c r="J1605" s="36" t="s">
        <v>34181</v>
      </c>
      <c r="K1605" s="36" t="s">
        <v>14330</v>
      </c>
      <c r="L1605" s="36" t="s">
        <v>14330</v>
      </c>
      <c r="M1605">
        <v>1</v>
      </c>
      <c r="N1605" t="s">
        <v>14331</v>
      </c>
      <c r="O1605" t="s">
        <v>14333</v>
      </c>
    </row>
    <row r="1606" spans="1:15" x14ac:dyDescent="0.25">
      <c r="A1606" s="35" t="s">
        <v>5782</v>
      </c>
      <c r="B1606" s="36" t="s">
        <v>5783</v>
      </c>
      <c r="C1606" s="36" t="str">
        <f>HYPERLINK("https://rhld.insurance.arkansas.gov/NPILookup?Npi=1295171734","1295171734")</f>
        <v>1295171734</v>
      </c>
      <c r="D1606" s="36" t="s">
        <v>34262</v>
      </c>
      <c r="E1606" s="36" t="s">
        <v>1</v>
      </c>
      <c r="F1606" s="36">
        <v>1</v>
      </c>
      <c r="G1606" s="36">
        <v>2</v>
      </c>
      <c r="H1606" s="36">
        <v>1</v>
      </c>
      <c r="I1606" s="37">
        <v>0</v>
      </c>
      <c r="J1606" s="36" t="s">
        <v>32654</v>
      </c>
      <c r="K1606" s="36" t="s">
        <v>14330</v>
      </c>
      <c r="L1606" s="36" t="s">
        <v>34171</v>
      </c>
      <c r="M1606">
        <v>1</v>
      </c>
      <c r="N1606" t="s">
        <v>14332</v>
      </c>
      <c r="O1606" t="s">
        <v>32591</v>
      </c>
    </row>
    <row r="1607" spans="1:15" x14ac:dyDescent="0.25">
      <c r="A1607" s="35" t="s">
        <v>5782</v>
      </c>
      <c r="B1607" s="36" t="s">
        <v>5783</v>
      </c>
      <c r="C1607" s="36" t="str">
        <f>HYPERLINK("https://rhld.insurance.arkansas.gov/NPILookup?Npi=1295230845","1295230845")</f>
        <v>1295230845</v>
      </c>
      <c r="D1607" s="36" t="s">
        <v>34263</v>
      </c>
      <c r="E1607" s="36" t="s">
        <v>2</v>
      </c>
      <c r="F1607" s="36">
        <v>1</v>
      </c>
      <c r="G1607" s="36">
        <v>1</v>
      </c>
      <c r="H1607" s="36">
        <v>0</v>
      </c>
      <c r="I1607" s="37">
        <v>0</v>
      </c>
      <c r="J1607" s="36" t="s">
        <v>32679</v>
      </c>
      <c r="K1607" s="36" t="s">
        <v>14330</v>
      </c>
      <c r="L1607" s="36" t="s">
        <v>14330</v>
      </c>
      <c r="M1607">
        <v>2</v>
      </c>
      <c r="N1607" t="s">
        <v>14331</v>
      </c>
      <c r="O1607" t="s">
        <v>32633</v>
      </c>
    </row>
    <row r="1608" spans="1:15" x14ac:dyDescent="0.25">
      <c r="A1608" s="35" t="s">
        <v>5782</v>
      </c>
      <c r="B1608" s="36" t="s">
        <v>5783</v>
      </c>
      <c r="C1608" s="36" t="str">
        <f>HYPERLINK("https://rhld.insurance.arkansas.gov/NPILookup?Npi=1295245017","1295245017")</f>
        <v>1295245017</v>
      </c>
      <c r="D1608" s="36" t="s">
        <v>34264</v>
      </c>
      <c r="E1608" s="36" t="s">
        <v>2</v>
      </c>
      <c r="F1608" s="36">
        <v>1</v>
      </c>
      <c r="G1608" s="36">
        <v>2</v>
      </c>
      <c r="H1608" s="36">
        <v>0</v>
      </c>
      <c r="I1608" s="37">
        <v>0</v>
      </c>
      <c r="J1608" s="36" t="s">
        <v>34165</v>
      </c>
      <c r="K1608" s="36" t="s">
        <v>14330</v>
      </c>
      <c r="L1608" s="36" t="s">
        <v>14330</v>
      </c>
      <c r="M1608">
        <v>2</v>
      </c>
      <c r="N1608" t="s">
        <v>14331</v>
      </c>
      <c r="O1608" t="s">
        <v>14333</v>
      </c>
    </row>
    <row r="1609" spans="1:15" x14ac:dyDescent="0.25">
      <c r="A1609" s="35" t="s">
        <v>5782</v>
      </c>
      <c r="B1609" s="36" t="s">
        <v>5783</v>
      </c>
      <c r="C1609" s="36" t="str">
        <f>HYPERLINK("https://rhld.insurance.arkansas.gov/NPILookup?Npi=1295445443","1295445443")</f>
        <v>1295445443</v>
      </c>
      <c r="D1609" s="36" t="s">
        <v>34265</v>
      </c>
      <c r="E1609" s="36" t="s">
        <v>2</v>
      </c>
      <c r="F1609" s="36">
        <v>2</v>
      </c>
      <c r="G1609" s="36">
        <v>2</v>
      </c>
      <c r="H1609" s="36">
        <v>0</v>
      </c>
      <c r="I1609" s="37">
        <v>0</v>
      </c>
      <c r="J1609" s="36" t="s">
        <v>34181</v>
      </c>
      <c r="K1609" s="36" t="s">
        <v>14330</v>
      </c>
      <c r="L1609" s="36" t="s">
        <v>14330</v>
      </c>
      <c r="M1609">
        <v>2</v>
      </c>
      <c r="N1609" t="s">
        <v>14331</v>
      </c>
      <c r="O1609" t="s">
        <v>14333</v>
      </c>
    </row>
    <row r="1610" spans="1:15" x14ac:dyDescent="0.25">
      <c r="A1610" s="35" t="s">
        <v>5782</v>
      </c>
      <c r="B1610" s="36" t="s">
        <v>5783</v>
      </c>
      <c r="C1610" s="36" t="str">
        <f>HYPERLINK("https://rhld.insurance.arkansas.gov/NPILookup?Npi=1295536092","1295536092")</f>
        <v>1295536092</v>
      </c>
      <c r="D1610" s="36" t="s">
        <v>34266</v>
      </c>
      <c r="E1610" s="36" t="s">
        <v>2</v>
      </c>
      <c r="F1610" s="36">
        <v>1</v>
      </c>
      <c r="G1610" s="36">
        <v>2</v>
      </c>
      <c r="H1610" s="36">
        <v>0</v>
      </c>
      <c r="I1610" s="37">
        <v>0</v>
      </c>
      <c r="J1610" s="36"/>
      <c r="K1610" s="36" t="s">
        <v>14330</v>
      </c>
      <c r="L1610" s="36" t="s">
        <v>14330</v>
      </c>
      <c r="M1610">
        <v>2</v>
      </c>
      <c r="N1610" t="s">
        <v>14331</v>
      </c>
      <c r="O1610" t="s">
        <v>14333</v>
      </c>
    </row>
    <row r="1611" spans="1:15" x14ac:dyDescent="0.25">
      <c r="A1611" s="35" t="s">
        <v>5782</v>
      </c>
      <c r="B1611" s="36" t="s">
        <v>5783</v>
      </c>
      <c r="C1611" s="36" t="str">
        <f>HYPERLINK("https://rhld.insurance.arkansas.gov/NPILookup?Npi=1306289012","1306289012")</f>
        <v>1306289012</v>
      </c>
      <c r="D1611" s="36" t="s">
        <v>34267</v>
      </c>
      <c r="E1611" s="36" t="s">
        <v>1</v>
      </c>
      <c r="F1611" s="36">
        <v>1</v>
      </c>
      <c r="G1611" s="36">
        <v>2</v>
      </c>
      <c r="H1611" s="36">
        <v>0</v>
      </c>
      <c r="I1611" s="37">
        <v>0</v>
      </c>
      <c r="J1611" s="36" t="s">
        <v>32654</v>
      </c>
      <c r="K1611" s="36" t="s">
        <v>14330</v>
      </c>
      <c r="L1611" s="36" t="s">
        <v>14330</v>
      </c>
      <c r="M1611">
        <v>3</v>
      </c>
      <c r="N1611" t="s">
        <v>14331</v>
      </c>
      <c r="O1611" t="s">
        <v>32633</v>
      </c>
    </row>
    <row r="1612" spans="1:15" x14ac:dyDescent="0.25">
      <c r="A1612" s="35" t="s">
        <v>5782</v>
      </c>
      <c r="B1612" s="36" t="s">
        <v>5783</v>
      </c>
      <c r="C1612" s="36" t="str">
        <f>HYPERLINK("https://rhld.insurance.arkansas.gov/NPILookup?Npi=1306570346","1306570346")</f>
        <v>1306570346</v>
      </c>
      <c r="D1612" s="36" t="s">
        <v>34268</v>
      </c>
      <c r="E1612" s="36" t="s">
        <v>1</v>
      </c>
      <c r="F1612" s="36">
        <v>1</v>
      </c>
      <c r="G1612" s="36">
        <v>3</v>
      </c>
      <c r="H1612" s="36">
        <v>0</v>
      </c>
      <c r="I1612" s="37">
        <v>0</v>
      </c>
      <c r="J1612" s="36" t="s">
        <v>32654</v>
      </c>
      <c r="K1612" s="36" t="s">
        <v>14330</v>
      </c>
      <c r="L1612" s="36" t="s">
        <v>14330</v>
      </c>
      <c r="M1612">
        <v>2</v>
      </c>
      <c r="N1612" t="s">
        <v>14331</v>
      </c>
      <c r="O1612" t="s">
        <v>32633</v>
      </c>
    </row>
    <row r="1613" spans="1:15" x14ac:dyDescent="0.25">
      <c r="A1613" s="35" t="s">
        <v>5782</v>
      </c>
      <c r="B1613" s="36" t="s">
        <v>5783</v>
      </c>
      <c r="C1613" s="36" t="str">
        <f>HYPERLINK("https://rhld.insurance.arkansas.gov/NPILookup?Npi=1306572151","1306572151")</f>
        <v>1306572151</v>
      </c>
      <c r="D1613" s="36" t="s">
        <v>34269</v>
      </c>
      <c r="E1613" s="36" t="s">
        <v>2</v>
      </c>
      <c r="F1613" s="36">
        <v>2</v>
      </c>
      <c r="G1613" s="36">
        <v>2</v>
      </c>
      <c r="H1613" s="36">
        <v>0</v>
      </c>
      <c r="I1613" s="37">
        <v>0</v>
      </c>
      <c r="J1613" s="36" t="s">
        <v>34181</v>
      </c>
      <c r="K1613" s="36" t="s">
        <v>14330</v>
      </c>
      <c r="L1613" s="36" t="s">
        <v>14330</v>
      </c>
      <c r="M1613">
        <v>2</v>
      </c>
      <c r="N1613" t="s">
        <v>14331</v>
      </c>
      <c r="O1613" t="s">
        <v>14333</v>
      </c>
    </row>
    <row r="1614" spans="1:15" x14ac:dyDescent="0.25">
      <c r="A1614" s="35" t="s">
        <v>5782</v>
      </c>
      <c r="B1614" s="36" t="s">
        <v>5783</v>
      </c>
      <c r="C1614" s="36" t="str">
        <f>HYPERLINK("https://rhld.insurance.arkansas.gov/NPILookup?Npi=1306580030","1306580030")</f>
        <v>1306580030</v>
      </c>
      <c r="D1614" s="36" t="s">
        <v>34270</v>
      </c>
      <c r="E1614" s="36" t="s">
        <v>2</v>
      </c>
      <c r="F1614" s="36">
        <v>1</v>
      </c>
      <c r="G1614" s="36">
        <v>2</v>
      </c>
      <c r="H1614" s="36">
        <v>0</v>
      </c>
      <c r="I1614" s="37">
        <v>0</v>
      </c>
      <c r="J1614" s="36" t="s">
        <v>34165</v>
      </c>
      <c r="K1614" s="36" t="s">
        <v>14330</v>
      </c>
      <c r="L1614" s="36" t="s">
        <v>14330</v>
      </c>
      <c r="M1614">
        <v>2</v>
      </c>
      <c r="N1614" t="s">
        <v>14331</v>
      </c>
      <c r="O1614" t="s">
        <v>14333</v>
      </c>
    </row>
    <row r="1615" spans="1:15" x14ac:dyDescent="0.25">
      <c r="A1615" s="35" t="s">
        <v>5782</v>
      </c>
      <c r="B1615" s="36" t="s">
        <v>5783</v>
      </c>
      <c r="C1615" s="36" t="str">
        <f>HYPERLINK("https://rhld.insurance.arkansas.gov/NPILookup?Npi=1306660618","1306660618")</f>
        <v>1306660618</v>
      </c>
      <c r="D1615" s="36" t="s">
        <v>34271</v>
      </c>
      <c r="E1615" s="36" t="s">
        <v>2</v>
      </c>
      <c r="F1615" s="36">
        <v>1</v>
      </c>
      <c r="G1615" s="36">
        <v>2</v>
      </c>
      <c r="H1615" s="36">
        <v>0</v>
      </c>
      <c r="I1615" s="37">
        <v>0</v>
      </c>
      <c r="J1615" s="36"/>
      <c r="K1615" s="36" t="s">
        <v>14330</v>
      </c>
      <c r="L1615" s="36" t="s">
        <v>14330</v>
      </c>
      <c r="M1615">
        <v>2</v>
      </c>
      <c r="N1615" t="s">
        <v>14331</v>
      </c>
      <c r="O1615" t="s">
        <v>14333</v>
      </c>
    </row>
    <row r="1616" spans="1:15" x14ac:dyDescent="0.25">
      <c r="A1616" s="35" t="s">
        <v>5782</v>
      </c>
      <c r="B1616" s="36" t="s">
        <v>5783</v>
      </c>
      <c r="C1616" s="36" t="str">
        <f>HYPERLINK("https://rhld.insurance.arkansas.gov/NPILookup?Npi=1306919857","1306919857")</f>
        <v>1306919857</v>
      </c>
      <c r="D1616" s="36" t="s">
        <v>34272</v>
      </c>
      <c r="E1616" s="36" t="s">
        <v>1</v>
      </c>
      <c r="F1616" s="36">
        <v>1</v>
      </c>
      <c r="G1616" s="36">
        <v>2</v>
      </c>
      <c r="H1616" s="36">
        <v>0</v>
      </c>
      <c r="I1616" s="37">
        <v>0</v>
      </c>
      <c r="J1616" s="36" t="s">
        <v>32654</v>
      </c>
      <c r="K1616" s="36" t="s">
        <v>14330</v>
      </c>
      <c r="L1616" s="36" t="s">
        <v>14330</v>
      </c>
      <c r="M1616">
        <v>2</v>
      </c>
      <c r="N1616" t="s">
        <v>14331</v>
      </c>
      <c r="O1616" t="s">
        <v>32633</v>
      </c>
    </row>
    <row r="1617" spans="1:15" x14ac:dyDescent="0.25">
      <c r="A1617" s="35" t="s">
        <v>5782</v>
      </c>
      <c r="B1617" s="36" t="s">
        <v>5783</v>
      </c>
      <c r="C1617" s="36" t="str">
        <f>HYPERLINK("https://rhld.insurance.arkansas.gov/NPILookup?Npi=1316154792","1316154792")</f>
        <v>1316154792</v>
      </c>
      <c r="D1617" s="36" t="s">
        <v>34273</v>
      </c>
      <c r="E1617" s="36" t="s">
        <v>1</v>
      </c>
      <c r="F1617" s="36">
        <v>1</v>
      </c>
      <c r="G1617" s="36">
        <v>2</v>
      </c>
      <c r="H1617" s="36">
        <v>0</v>
      </c>
      <c r="I1617" s="37">
        <v>0</v>
      </c>
      <c r="J1617" s="36" t="s">
        <v>32654</v>
      </c>
      <c r="K1617" s="36" t="s">
        <v>14330</v>
      </c>
      <c r="L1617" s="36" t="s">
        <v>14330</v>
      </c>
      <c r="M1617">
        <v>2</v>
      </c>
      <c r="N1617" t="s">
        <v>14331</v>
      </c>
      <c r="O1617" t="s">
        <v>32633</v>
      </c>
    </row>
    <row r="1618" spans="1:15" x14ac:dyDescent="0.25">
      <c r="A1618" s="35" t="s">
        <v>5782</v>
      </c>
      <c r="B1618" s="36" t="s">
        <v>5783</v>
      </c>
      <c r="C1618" s="36" t="str">
        <f>HYPERLINK("https://rhld.insurance.arkansas.gov/NPILookup?Npi=1316159197","1316159197")</f>
        <v>1316159197</v>
      </c>
      <c r="D1618" s="36" t="s">
        <v>34274</v>
      </c>
      <c r="E1618" s="36" t="s">
        <v>1</v>
      </c>
      <c r="F1618" s="36">
        <v>1</v>
      </c>
      <c r="G1618" s="36">
        <v>2</v>
      </c>
      <c r="H1618" s="36">
        <v>0</v>
      </c>
      <c r="I1618" s="37">
        <v>0</v>
      </c>
      <c r="J1618" s="36" t="s">
        <v>32654</v>
      </c>
      <c r="K1618" s="36" t="s">
        <v>14330</v>
      </c>
      <c r="L1618" s="36" t="s">
        <v>14330</v>
      </c>
      <c r="M1618">
        <v>2</v>
      </c>
      <c r="N1618" t="s">
        <v>14331</v>
      </c>
      <c r="O1618" t="s">
        <v>32633</v>
      </c>
    </row>
    <row r="1619" spans="1:15" x14ac:dyDescent="0.25">
      <c r="A1619" s="35" t="s">
        <v>5782</v>
      </c>
      <c r="B1619" s="36" t="s">
        <v>5783</v>
      </c>
      <c r="C1619" s="36" t="str">
        <f>HYPERLINK("https://rhld.insurance.arkansas.gov/NPILookup?Npi=1316401433","1316401433")</f>
        <v>1316401433</v>
      </c>
      <c r="D1619" s="36" t="s">
        <v>34275</v>
      </c>
      <c r="E1619" s="36" t="s">
        <v>2</v>
      </c>
      <c r="F1619" s="36">
        <v>1</v>
      </c>
      <c r="G1619" s="36">
        <v>2</v>
      </c>
      <c r="H1619" s="36">
        <v>0</v>
      </c>
      <c r="I1619" s="37">
        <v>0</v>
      </c>
      <c r="J1619" s="36"/>
      <c r="K1619" s="36" t="s">
        <v>14330</v>
      </c>
      <c r="L1619" s="36" t="s">
        <v>14330</v>
      </c>
      <c r="M1619">
        <v>2</v>
      </c>
      <c r="N1619" t="s">
        <v>14331</v>
      </c>
      <c r="O1619" t="s">
        <v>14333</v>
      </c>
    </row>
    <row r="1620" spans="1:15" x14ac:dyDescent="0.25">
      <c r="A1620" s="35" t="s">
        <v>5782</v>
      </c>
      <c r="B1620" s="36" t="s">
        <v>5783</v>
      </c>
      <c r="C1620" s="36" t="str">
        <f>HYPERLINK("https://rhld.insurance.arkansas.gov/NPILookup?Npi=1316651326","1316651326")</f>
        <v>1316651326</v>
      </c>
      <c r="D1620" s="36" t="s">
        <v>34276</v>
      </c>
      <c r="E1620" s="36" t="s">
        <v>2</v>
      </c>
      <c r="F1620" s="36">
        <v>1</v>
      </c>
      <c r="G1620" s="36">
        <v>2</v>
      </c>
      <c r="H1620" s="36">
        <v>0</v>
      </c>
      <c r="I1620" s="37">
        <v>0</v>
      </c>
      <c r="J1620" s="36"/>
      <c r="K1620" s="36" t="s">
        <v>14330</v>
      </c>
      <c r="L1620" s="36" t="s">
        <v>14330</v>
      </c>
      <c r="M1620">
        <v>3</v>
      </c>
      <c r="N1620" t="s">
        <v>14331</v>
      </c>
      <c r="O1620" t="s">
        <v>14333</v>
      </c>
    </row>
    <row r="1621" spans="1:15" x14ac:dyDescent="0.25">
      <c r="A1621" s="35" t="s">
        <v>5782</v>
      </c>
      <c r="B1621" s="36" t="s">
        <v>5783</v>
      </c>
      <c r="C1621" s="36" t="str">
        <f>HYPERLINK("https://rhld.insurance.arkansas.gov/NPILookup?Npi=1326225640","1326225640")</f>
        <v>1326225640</v>
      </c>
      <c r="D1621" s="36" t="s">
        <v>34277</v>
      </c>
      <c r="E1621" s="36" t="s">
        <v>1</v>
      </c>
      <c r="F1621" s="36">
        <v>1</v>
      </c>
      <c r="G1621" s="36">
        <v>3</v>
      </c>
      <c r="H1621" s="36">
        <v>0</v>
      </c>
      <c r="I1621" s="37">
        <v>0</v>
      </c>
      <c r="J1621" s="36" t="s">
        <v>32654</v>
      </c>
      <c r="K1621" s="36" t="s">
        <v>14330</v>
      </c>
      <c r="L1621" s="36" t="s">
        <v>14330</v>
      </c>
      <c r="M1621">
        <v>2</v>
      </c>
      <c r="N1621" t="s">
        <v>14331</v>
      </c>
      <c r="O1621" t="s">
        <v>32633</v>
      </c>
    </row>
    <row r="1622" spans="1:15" x14ac:dyDescent="0.25">
      <c r="A1622" s="35" t="s">
        <v>5782</v>
      </c>
      <c r="B1622" s="36" t="s">
        <v>5783</v>
      </c>
      <c r="C1622" s="36" t="str">
        <f>HYPERLINK("https://rhld.insurance.arkansas.gov/NPILookup?Npi=1326296658","1326296658")</f>
        <v>1326296658</v>
      </c>
      <c r="D1622" s="36" t="s">
        <v>34278</v>
      </c>
      <c r="E1622" s="36" t="s">
        <v>1</v>
      </c>
      <c r="F1622" s="36">
        <v>1</v>
      </c>
      <c r="G1622" s="36">
        <v>2</v>
      </c>
      <c r="H1622" s="36">
        <v>0</v>
      </c>
      <c r="I1622" s="37">
        <v>0</v>
      </c>
      <c r="J1622" s="36" t="s">
        <v>32723</v>
      </c>
      <c r="K1622" s="36" t="s">
        <v>14330</v>
      </c>
      <c r="L1622" s="36" t="s">
        <v>14330</v>
      </c>
      <c r="M1622">
        <v>3</v>
      </c>
      <c r="N1622" t="s">
        <v>14331</v>
      </c>
      <c r="O1622" t="s">
        <v>32724</v>
      </c>
    </row>
    <row r="1623" spans="1:15" x14ac:dyDescent="0.25">
      <c r="A1623" s="35" t="s">
        <v>5782</v>
      </c>
      <c r="B1623" s="36" t="s">
        <v>5783</v>
      </c>
      <c r="C1623" s="36" t="str">
        <f>HYPERLINK("https://rhld.insurance.arkansas.gov/NPILookup?Npi=1326438466","1326438466")</f>
        <v>1326438466</v>
      </c>
      <c r="D1623" s="36" t="s">
        <v>34279</v>
      </c>
      <c r="E1623" s="36" t="s">
        <v>1</v>
      </c>
      <c r="F1623" s="36">
        <v>1</v>
      </c>
      <c r="G1623" s="36">
        <v>3</v>
      </c>
      <c r="H1623" s="36">
        <v>0</v>
      </c>
      <c r="I1623" s="37">
        <v>0</v>
      </c>
      <c r="J1623" s="36" t="s">
        <v>32654</v>
      </c>
      <c r="K1623" s="36" t="s">
        <v>14330</v>
      </c>
      <c r="L1623" s="36" t="s">
        <v>14330</v>
      </c>
      <c r="M1623">
        <v>2</v>
      </c>
      <c r="N1623" t="s">
        <v>14331</v>
      </c>
      <c r="O1623" t="s">
        <v>32633</v>
      </c>
    </row>
    <row r="1624" spans="1:15" x14ac:dyDescent="0.25">
      <c r="A1624" s="35" t="s">
        <v>5782</v>
      </c>
      <c r="B1624" s="36" t="s">
        <v>5783</v>
      </c>
      <c r="C1624" s="36" t="str">
        <f>HYPERLINK("https://rhld.insurance.arkansas.gov/NPILookup?Npi=1326687203","1326687203")</f>
        <v>1326687203</v>
      </c>
      <c r="D1624" s="36" t="s">
        <v>34280</v>
      </c>
      <c r="E1624" s="36" t="s">
        <v>1</v>
      </c>
      <c r="F1624" s="36">
        <v>1</v>
      </c>
      <c r="G1624" s="36">
        <v>2</v>
      </c>
      <c r="H1624" s="36">
        <v>0</v>
      </c>
      <c r="I1624" s="37">
        <v>0</v>
      </c>
      <c r="J1624" s="36" t="s">
        <v>32654</v>
      </c>
      <c r="K1624" s="36" t="s">
        <v>14330</v>
      </c>
      <c r="L1624" s="36" t="s">
        <v>14330</v>
      </c>
      <c r="M1624">
        <v>2</v>
      </c>
      <c r="N1624" t="s">
        <v>14331</v>
      </c>
      <c r="O1624" t="s">
        <v>32633</v>
      </c>
    </row>
    <row r="1625" spans="1:15" x14ac:dyDescent="0.25">
      <c r="A1625" s="35" t="s">
        <v>5782</v>
      </c>
      <c r="B1625" s="36" t="s">
        <v>5783</v>
      </c>
      <c r="C1625" s="36" t="str">
        <f>HYPERLINK("https://rhld.insurance.arkansas.gov/NPILookup?Npi=1326882028","1326882028")</f>
        <v>1326882028</v>
      </c>
      <c r="D1625" s="36" t="s">
        <v>34281</v>
      </c>
      <c r="E1625" s="36" t="s">
        <v>2</v>
      </c>
      <c r="F1625" s="36">
        <v>2</v>
      </c>
      <c r="G1625" s="36">
        <v>2</v>
      </c>
      <c r="H1625" s="36">
        <v>0</v>
      </c>
      <c r="I1625" s="37">
        <v>0</v>
      </c>
      <c r="J1625" s="36" t="s">
        <v>34181</v>
      </c>
      <c r="K1625" s="36" t="s">
        <v>14330</v>
      </c>
      <c r="L1625" s="36" t="s">
        <v>14330</v>
      </c>
      <c r="M1625">
        <v>2</v>
      </c>
      <c r="N1625" t="s">
        <v>14331</v>
      </c>
      <c r="O1625" t="s">
        <v>14333</v>
      </c>
    </row>
    <row r="1626" spans="1:15" x14ac:dyDescent="0.25">
      <c r="A1626" s="35" t="s">
        <v>5782</v>
      </c>
      <c r="B1626" s="36" t="s">
        <v>5783</v>
      </c>
      <c r="C1626" s="36" t="str">
        <f>HYPERLINK("https://rhld.insurance.arkansas.gov/NPILookup?Npi=1336283498","1336283498")</f>
        <v>1336283498</v>
      </c>
      <c r="D1626" s="36" t="s">
        <v>34282</v>
      </c>
      <c r="E1626" s="36" t="s">
        <v>1</v>
      </c>
      <c r="F1626" s="36">
        <v>1</v>
      </c>
      <c r="G1626" s="36">
        <v>2</v>
      </c>
      <c r="H1626" s="36">
        <v>0</v>
      </c>
      <c r="I1626" s="37">
        <v>0</v>
      </c>
      <c r="J1626" s="36" t="s">
        <v>32654</v>
      </c>
      <c r="K1626" s="36" t="s">
        <v>14330</v>
      </c>
      <c r="L1626" s="36" t="s">
        <v>14330</v>
      </c>
      <c r="M1626">
        <v>2</v>
      </c>
      <c r="N1626" t="s">
        <v>14331</v>
      </c>
      <c r="O1626" t="s">
        <v>32633</v>
      </c>
    </row>
    <row r="1627" spans="1:15" x14ac:dyDescent="0.25">
      <c r="A1627" s="35" t="s">
        <v>5782</v>
      </c>
      <c r="B1627" s="36" t="s">
        <v>5783</v>
      </c>
      <c r="C1627" s="36" t="str">
        <f>HYPERLINK("https://rhld.insurance.arkansas.gov/NPILookup?Npi=1336519925","1336519925")</f>
        <v>1336519925</v>
      </c>
      <c r="D1627" s="36" t="s">
        <v>34283</v>
      </c>
      <c r="E1627" s="36" t="s">
        <v>1</v>
      </c>
      <c r="F1627" s="36">
        <v>1</v>
      </c>
      <c r="G1627" s="36">
        <v>2</v>
      </c>
      <c r="H1627" s="36">
        <v>0</v>
      </c>
      <c r="I1627" s="37">
        <v>0</v>
      </c>
      <c r="J1627" s="36" t="s">
        <v>32723</v>
      </c>
      <c r="K1627" s="36" t="s">
        <v>14330</v>
      </c>
      <c r="L1627" s="36" t="s">
        <v>14330</v>
      </c>
      <c r="M1627">
        <v>2</v>
      </c>
      <c r="N1627" t="s">
        <v>14331</v>
      </c>
      <c r="O1627" t="s">
        <v>32724</v>
      </c>
    </row>
    <row r="1628" spans="1:15" x14ac:dyDescent="0.25">
      <c r="A1628" s="35" t="s">
        <v>5782</v>
      </c>
      <c r="B1628" s="36" t="s">
        <v>5783</v>
      </c>
      <c r="C1628" s="36" t="str">
        <f>HYPERLINK("https://rhld.insurance.arkansas.gov/NPILookup?Npi=1336867670","1336867670")</f>
        <v>1336867670</v>
      </c>
      <c r="D1628" s="36" t="s">
        <v>34284</v>
      </c>
      <c r="E1628" s="36" t="s">
        <v>2</v>
      </c>
      <c r="F1628" s="36">
        <v>1</v>
      </c>
      <c r="G1628" s="36">
        <v>2</v>
      </c>
      <c r="H1628" s="36">
        <v>0</v>
      </c>
      <c r="I1628" s="37">
        <v>0</v>
      </c>
      <c r="J1628" s="36" t="s">
        <v>34165</v>
      </c>
      <c r="K1628" s="36" t="s">
        <v>14330</v>
      </c>
      <c r="L1628" s="36" t="s">
        <v>14330</v>
      </c>
      <c r="M1628">
        <v>2</v>
      </c>
      <c r="N1628" t="s">
        <v>14331</v>
      </c>
      <c r="O1628" t="s">
        <v>14333</v>
      </c>
    </row>
    <row r="1629" spans="1:15" x14ac:dyDescent="0.25">
      <c r="A1629" s="35" t="s">
        <v>5782</v>
      </c>
      <c r="B1629" s="36" t="s">
        <v>5783</v>
      </c>
      <c r="C1629" s="36" t="str">
        <f>HYPERLINK("https://rhld.insurance.arkansas.gov/NPILookup?Npi=1346056413","1346056413")</f>
        <v>1346056413</v>
      </c>
      <c r="D1629" s="36" t="s">
        <v>34285</v>
      </c>
      <c r="E1629" s="36" t="s">
        <v>2</v>
      </c>
      <c r="F1629" s="36">
        <v>1</v>
      </c>
      <c r="G1629" s="36">
        <v>2</v>
      </c>
      <c r="H1629" s="36">
        <v>0</v>
      </c>
      <c r="I1629" s="37">
        <v>0</v>
      </c>
      <c r="J1629" s="36" t="s">
        <v>34165</v>
      </c>
      <c r="K1629" s="36" t="s">
        <v>14330</v>
      </c>
      <c r="L1629" s="36" t="s">
        <v>14330</v>
      </c>
      <c r="M1629">
        <v>-1</v>
      </c>
      <c r="N1629" t="s">
        <v>14331</v>
      </c>
      <c r="O1629" t="s">
        <v>14333</v>
      </c>
    </row>
    <row r="1630" spans="1:15" x14ac:dyDescent="0.25">
      <c r="A1630" s="35" t="s">
        <v>5782</v>
      </c>
      <c r="B1630" s="36" t="s">
        <v>5783</v>
      </c>
      <c r="C1630" s="36" t="str">
        <f>HYPERLINK("https://rhld.insurance.arkansas.gov/NPILookup?Npi=1346566502","1346566502")</f>
        <v>1346566502</v>
      </c>
      <c r="D1630" s="36" t="s">
        <v>34286</v>
      </c>
      <c r="E1630" s="36" t="s">
        <v>1</v>
      </c>
      <c r="F1630" s="36">
        <v>1</v>
      </c>
      <c r="G1630" s="36">
        <v>1</v>
      </c>
      <c r="H1630" s="36">
        <v>2</v>
      </c>
      <c r="I1630" s="37">
        <v>0</v>
      </c>
      <c r="J1630" s="36" t="s">
        <v>32654</v>
      </c>
      <c r="K1630" s="36" t="s">
        <v>14330</v>
      </c>
      <c r="L1630" s="36" t="s">
        <v>34287</v>
      </c>
      <c r="M1630">
        <v>2</v>
      </c>
      <c r="N1630" t="s">
        <v>14332</v>
      </c>
      <c r="O1630" t="s">
        <v>32591</v>
      </c>
    </row>
    <row r="1631" spans="1:15" x14ac:dyDescent="0.25">
      <c r="A1631" s="35" t="s">
        <v>5782</v>
      </c>
      <c r="B1631" s="36" t="s">
        <v>5783</v>
      </c>
      <c r="C1631" s="36" t="str">
        <f>HYPERLINK("https://rhld.insurance.arkansas.gov/NPILookup?Npi=1346710274","1346710274")</f>
        <v>1346710274</v>
      </c>
      <c r="D1631" s="36" t="s">
        <v>34288</v>
      </c>
      <c r="E1631" s="36" t="s">
        <v>2</v>
      </c>
      <c r="F1631" s="36">
        <v>1</v>
      </c>
      <c r="G1631" s="36">
        <v>2</v>
      </c>
      <c r="H1631" s="36">
        <v>0</v>
      </c>
      <c r="I1631" s="37">
        <v>0</v>
      </c>
      <c r="J1631" s="36"/>
      <c r="K1631" s="36" t="s">
        <v>14330</v>
      </c>
      <c r="L1631" s="36" t="s">
        <v>14330</v>
      </c>
      <c r="M1631">
        <v>2</v>
      </c>
      <c r="N1631" t="s">
        <v>14331</v>
      </c>
      <c r="O1631" t="s">
        <v>14333</v>
      </c>
    </row>
    <row r="1632" spans="1:15" x14ac:dyDescent="0.25">
      <c r="A1632" s="35" t="s">
        <v>5782</v>
      </c>
      <c r="B1632" s="36" t="s">
        <v>5783</v>
      </c>
      <c r="C1632" s="36" t="str">
        <f>HYPERLINK("https://rhld.insurance.arkansas.gov/NPILookup?Npi=1346721545","1346721545")</f>
        <v>1346721545</v>
      </c>
      <c r="D1632" s="36" t="s">
        <v>34289</v>
      </c>
      <c r="E1632" s="36" t="s">
        <v>2</v>
      </c>
      <c r="F1632" s="36">
        <v>1</v>
      </c>
      <c r="G1632" s="36">
        <v>2</v>
      </c>
      <c r="H1632" s="36">
        <v>0</v>
      </c>
      <c r="I1632" s="37">
        <v>0</v>
      </c>
      <c r="J1632" s="36" t="s">
        <v>34165</v>
      </c>
      <c r="K1632" s="36" t="s">
        <v>14330</v>
      </c>
      <c r="L1632" s="36" t="s">
        <v>14330</v>
      </c>
      <c r="M1632">
        <v>3</v>
      </c>
      <c r="N1632" t="s">
        <v>14331</v>
      </c>
      <c r="O1632" t="s">
        <v>14333</v>
      </c>
    </row>
    <row r="1633" spans="1:15" x14ac:dyDescent="0.25">
      <c r="A1633" s="35" t="s">
        <v>5782</v>
      </c>
      <c r="B1633" s="36" t="s">
        <v>5783</v>
      </c>
      <c r="C1633" s="36" t="str">
        <f>HYPERLINK("https://rhld.insurance.arkansas.gov/NPILookup?Npi=1346859147","1346859147")</f>
        <v>1346859147</v>
      </c>
      <c r="D1633" s="36" t="s">
        <v>34290</v>
      </c>
      <c r="E1633" s="36" t="s">
        <v>1</v>
      </c>
      <c r="F1633" s="36">
        <v>1</v>
      </c>
      <c r="G1633" s="36">
        <v>3</v>
      </c>
      <c r="H1633" s="36">
        <v>0</v>
      </c>
      <c r="I1633" s="37">
        <v>0</v>
      </c>
      <c r="J1633" s="36" t="s">
        <v>32654</v>
      </c>
      <c r="K1633" s="36" t="s">
        <v>14330</v>
      </c>
      <c r="L1633" s="36" t="s">
        <v>14330</v>
      </c>
      <c r="M1633">
        <v>2</v>
      </c>
      <c r="N1633" t="s">
        <v>14331</v>
      </c>
      <c r="O1633" t="s">
        <v>32633</v>
      </c>
    </row>
    <row r="1634" spans="1:15" x14ac:dyDescent="0.25">
      <c r="A1634" s="35" t="s">
        <v>5782</v>
      </c>
      <c r="B1634" s="36" t="s">
        <v>5783</v>
      </c>
      <c r="C1634" s="36" t="str">
        <f>HYPERLINK("https://rhld.insurance.arkansas.gov/NPILookup?Npi=1346962313","1346962313")</f>
        <v>1346962313</v>
      </c>
      <c r="D1634" s="36" t="s">
        <v>34291</v>
      </c>
      <c r="E1634" s="36" t="s">
        <v>2</v>
      </c>
      <c r="F1634" s="36">
        <v>1</v>
      </c>
      <c r="G1634" s="36">
        <v>2</v>
      </c>
      <c r="H1634" s="36">
        <v>0</v>
      </c>
      <c r="I1634" s="37">
        <v>0</v>
      </c>
      <c r="J1634" s="36"/>
      <c r="K1634" s="36" t="s">
        <v>14330</v>
      </c>
      <c r="L1634" s="36" t="s">
        <v>14330</v>
      </c>
      <c r="M1634">
        <v>2</v>
      </c>
      <c r="N1634" t="s">
        <v>14331</v>
      </c>
      <c r="O1634" t="s">
        <v>14333</v>
      </c>
    </row>
    <row r="1635" spans="1:15" x14ac:dyDescent="0.25">
      <c r="A1635" s="35" t="s">
        <v>5782</v>
      </c>
      <c r="B1635" s="36" t="s">
        <v>5783</v>
      </c>
      <c r="C1635" s="36" t="str">
        <f>HYPERLINK("https://rhld.insurance.arkansas.gov/NPILookup?Npi=1356008668","1356008668")</f>
        <v>1356008668</v>
      </c>
      <c r="D1635" s="36" t="s">
        <v>34292</v>
      </c>
      <c r="E1635" s="36" t="s">
        <v>1</v>
      </c>
      <c r="F1635" s="36">
        <v>1</v>
      </c>
      <c r="G1635" s="36">
        <v>2</v>
      </c>
      <c r="H1635" s="36">
        <v>0</v>
      </c>
      <c r="I1635" s="37">
        <v>0</v>
      </c>
      <c r="J1635" s="36" t="s">
        <v>32654</v>
      </c>
      <c r="K1635" s="36" t="s">
        <v>14330</v>
      </c>
      <c r="L1635" s="36" t="s">
        <v>14330</v>
      </c>
      <c r="M1635">
        <v>2</v>
      </c>
      <c r="N1635" t="s">
        <v>14331</v>
      </c>
      <c r="O1635" t="s">
        <v>32633</v>
      </c>
    </row>
    <row r="1636" spans="1:15" x14ac:dyDescent="0.25">
      <c r="A1636" s="35" t="s">
        <v>5782</v>
      </c>
      <c r="B1636" s="36" t="s">
        <v>5783</v>
      </c>
      <c r="C1636" s="36" t="str">
        <f>HYPERLINK("https://rhld.insurance.arkansas.gov/NPILookup?Npi=1356149488","1356149488")</f>
        <v>1356149488</v>
      </c>
      <c r="D1636" s="36" t="s">
        <v>34293</v>
      </c>
      <c r="E1636" s="36" t="s">
        <v>2</v>
      </c>
      <c r="F1636" s="36">
        <v>1</v>
      </c>
      <c r="G1636" s="36">
        <v>2</v>
      </c>
      <c r="H1636" s="36">
        <v>0</v>
      </c>
      <c r="I1636" s="37">
        <v>0</v>
      </c>
      <c r="J1636" s="36"/>
      <c r="K1636" s="36" t="s">
        <v>14330</v>
      </c>
      <c r="L1636" s="36" t="s">
        <v>14330</v>
      </c>
      <c r="M1636">
        <v>2</v>
      </c>
      <c r="N1636" t="s">
        <v>14331</v>
      </c>
      <c r="O1636" t="s">
        <v>14333</v>
      </c>
    </row>
    <row r="1637" spans="1:15" x14ac:dyDescent="0.25">
      <c r="A1637" s="35" t="s">
        <v>5782</v>
      </c>
      <c r="B1637" s="36" t="s">
        <v>5783</v>
      </c>
      <c r="C1637" s="36" t="str">
        <f>HYPERLINK("https://rhld.insurance.arkansas.gov/NPILookup?Npi=1356155105","1356155105")</f>
        <v>1356155105</v>
      </c>
      <c r="D1637" s="36" t="s">
        <v>34294</v>
      </c>
      <c r="E1637" s="36" t="s">
        <v>2</v>
      </c>
      <c r="F1637" s="36">
        <v>1</v>
      </c>
      <c r="G1637" s="36">
        <v>2</v>
      </c>
      <c r="H1637" s="36">
        <v>0</v>
      </c>
      <c r="I1637" s="37">
        <v>0</v>
      </c>
      <c r="J1637" s="36"/>
      <c r="K1637" s="36" t="s">
        <v>14330</v>
      </c>
      <c r="L1637" s="36" t="s">
        <v>14330</v>
      </c>
      <c r="M1637">
        <v>1</v>
      </c>
      <c r="N1637" t="s">
        <v>14331</v>
      </c>
      <c r="O1637" t="s">
        <v>14333</v>
      </c>
    </row>
    <row r="1638" spans="1:15" x14ac:dyDescent="0.25">
      <c r="A1638" s="35" t="s">
        <v>5782</v>
      </c>
      <c r="B1638" s="36" t="s">
        <v>5783</v>
      </c>
      <c r="C1638" s="36" t="str">
        <f>HYPERLINK("https://rhld.insurance.arkansas.gov/NPILookup?Npi=1356516058","1356516058")</f>
        <v>1356516058</v>
      </c>
      <c r="D1638" s="36" t="s">
        <v>34295</v>
      </c>
      <c r="E1638" s="36" t="s">
        <v>1</v>
      </c>
      <c r="F1638" s="36">
        <v>1</v>
      </c>
      <c r="G1638" s="36">
        <v>2</v>
      </c>
      <c r="H1638" s="36">
        <v>1</v>
      </c>
      <c r="I1638" s="37">
        <v>0</v>
      </c>
      <c r="J1638" s="36" t="s">
        <v>32654</v>
      </c>
      <c r="K1638" s="36" t="s">
        <v>14330</v>
      </c>
      <c r="L1638" s="36" t="s">
        <v>34171</v>
      </c>
      <c r="M1638">
        <v>2</v>
      </c>
      <c r="N1638" t="s">
        <v>14332</v>
      </c>
      <c r="O1638" t="s">
        <v>32591</v>
      </c>
    </row>
    <row r="1639" spans="1:15" x14ac:dyDescent="0.25">
      <c r="A1639" s="35" t="s">
        <v>5782</v>
      </c>
      <c r="B1639" s="36" t="s">
        <v>5783</v>
      </c>
      <c r="C1639" s="36" t="str">
        <f>HYPERLINK("https://rhld.insurance.arkansas.gov/NPILookup?Npi=1366033516","1366033516")</f>
        <v>1366033516</v>
      </c>
      <c r="D1639" s="36" t="s">
        <v>34296</v>
      </c>
      <c r="E1639" s="36" t="s">
        <v>2</v>
      </c>
      <c r="F1639" s="36">
        <v>1</v>
      </c>
      <c r="G1639" s="36">
        <v>2</v>
      </c>
      <c r="H1639" s="36">
        <v>0</v>
      </c>
      <c r="I1639" s="37">
        <v>0</v>
      </c>
      <c r="J1639" s="36"/>
      <c r="K1639" s="36" t="s">
        <v>14330</v>
      </c>
      <c r="L1639" s="36" t="s">
        <v>14330</v>
      </c>
      <c r="M1639">
        <v>2</v>
      </c>
      <c r="N1639" t="s">
        <v>14331</v>
      </c>
      <c r="O1639" t="s">
        <v>14333</v>
      </c>
    </row>
    <row r="1640" spans="1:15" x14ac:dyDescent="0.25">
      <c r="A1640" s="35" t="s">
        <v>5782</v>
      </c>
      <c r="B1640" s="36" t="s">
        <v>5783</v>
      </c>
      <c r="C1640" s="36" t="str">
        <f>HYPERLINK("https://rhld.insurance.arkansas.gov/NPILookup?Npi=1366151805","1366151805")</f>
        <v>1366151805</v>
      </c>
      <c r="D1640" s="36" t="s">
        <v>34297</v>
      </c>
      <c r="E1640" s="36" t="s">
        <v>2</v>
      </c>
      <c r="F1640" s="36">
        <v>1</v>
      </c>
      <c r="G1640" s="36">
        <v>2</v>
      </c>
      <c r="H1640" s="36">
        <v>0</v>
      </c>
      <c r="I1640" s="37">
        <v>0</v>
      </c>
      <c r="J1640" s="36"/>
      <c r="K1640" s="36" t="s">
        <v>14330</v>
      </c>
      <c r="L1640" s="36" t="s">
        <v>14330</v>
      </c>
      <c r="M1640">
        <v>2</v>
      </c>
      <c r="N1640" t="s">
        <v>14331</v>
      </c>
      <c r="O1640" t="s">
        <v>14333</v>
      </c>
    </row>
    <row r="1641" spans="1:15" x14ac:dyDescent="0.25">
      <c r="A1641" s="35" t="s">
        <v>5782</v>
      </c>
      <c r="B1641" s="36" t="s">
        <v>5783</v>
      </c>
      <c r="C1641" s="36" t="str">
        <f>HYPERLINK("https://rhld.insurance.arkansas.gov/NPILookup?Npi=1366164832","1366164832")</f>
        <v>1366164832</v>
      </c>
      <c r="D1641" s="36" t="s">
        <v>34298</v>
      </c>
      <c r="E1641" s="36" t="s">
        <v>2</v>
      </c>
      <c r="F1641" s="36">
        <v>1</v>
      </c>
      <c r="G1641" s="36">
        <v>2</v>
      </c>
      <c r="H1641" s="36">
        <v>0</v>
      </c>
      <c r="I1641" s="37">
        <v>0</v>
      </c>
      <c r="J1641" s="36"/>
      <c r="K1641" s="36" t="s">
        <v>14330</v>
      </c>
      <c r="L1641" s="36" t="s">
        <v>14330</v>
      </c>
      <c r="M1641">
        <v>1</v>
      </c>
      <c r="N1641" t="s">
        <v>14331</v>
      </c>
      <c r="O1641" t="s">
        <v>14333</v>
      </c>
    </row>
    <row r="1642" spans="1:15" x14ac:dyDescent="0.25">
      <c r="A1642" s="35" t="s">
        <v>5782</v>
      </c>
      <c r="B1642" s="36" t="s">
        <v>5783</v>
      </c>
      <c r="C1642" s="36" t="str">
        <f>HYPERLINK("https://rhld.insurance.arkansas.gov/NPILookup?Npi=1366222051","1366222051")</f>
        <v>1366222051</v>
      </c>
      <c r="D1642" s="36" t="s">
        <v>34299</v>
      </c>
      <c r="E1642" s="36" t="s">
        <v>2</v>
      </c>
      <c r="F1642" s="36">
        <v>1</v>
      </c>
      <c r="G1642" s="36">
        <v>1</v>
      </c>
      <c r="H1642" s="36">
        <v>0</v>
      </c>
      <c r="I1642" s="37">
        <v>0</v>
      </c>
      <c r="J1642" s="36" t="s">
        <v>34165</v>
      </c>
      <c r="K1642" s="36" t="s">
        <v>14330</v>
      </c>
      <c r="L1642" s="36" t="s">
        <v>14330</v>
      </c>
      <c r="M1642">
        <v>2</v>
      </c>
      <c r="N1642" t="s">
        <v>14331</v>
      </c>
      <c r="O1642" t="s">
        <v>32633</v>
      </c>
    </row>
    <row r="1643" spans="1:15" x14ac:dyDescent="0.25">
      <c r="A1643" s="35" t="s">
        <v>5782</v>
      </c>
      <c r="B1643" s="36" t="s">
        <v>5783</v>
      </c>
      <c r="C1643" s="36" t="str">
        <f>HYPERLINK("https://rhld.insurance.arkansas.gov/NPILookup?Npi=1366250045","1366250045")</f>
        <v>1366250045</v>
      </c>
      <c r="D1643" s="36" t="s">
        <v>31252</v>
      </c>
      <c r="E1643" s="36" t="s">
        <v>2</v>
      </c>
      <c r="F1643" s="36">
        <v>1</v>
      </c>
      <c r="G1643" s="36">
        <v>2</v>
      </c>
      <c r="H1643" s="36">
        <v>0</v>
      </c>
      <c r="I1643" s="37">
        <v>0</v>
      </c>
      <c r="J1643" s="36"/>
      <c r="K1643" s="36" t="s">
        <v>14330</v>
      </c>
      <c r="L1643" s="36" t="s">
        <v>14330</v>
      </c>
      <c r="M1643">
        <v>2</v>
      </c>
      <c r="N1643" t="s">
        <v>14331</v>
      </c>
      <c r="O1643" t="s">
        <v>14333</v>
      </c>
    </row>
    <row r="1644" spans="1:15" x14ac:dyDescent="0.25">
      <c r="A1644" s="35" t="s">
        <v>5782</v>
      </c>
      <c r="B1644" s="36" t="s">
        <v>5783</v>
      </c>
      <c r="C1644" s="36" t="str">
        <f>HYPERLINK("https://rhld.insurance.arkansas.gov/NPILookup?Npi=1376070391","1376070391")</f>
        <v>1376070391</v>
      </c>
      <c r="D1644" s="36" t="s">
        <v>34300</v>
      </c>
      <c r="E1644" s="36" t="s">
        <v>1</v>
      </c>
      <c r="F1644" s="36">
        <v>1</v>
      </c>
      <c r="G1644" s="36">
        <v>2</v>
      </c>
      <c r="H1644" s="36">
        <v>0</v>
      </c>
      <c r="I1644" s="37">
        <v>0</v>
      </c>
      <c r="J1644" s="36" t="s">
        <v>32654</v>
      </c>
      <c r="K1644" s="36" t="s">
        <v>14330</v>
      </c>
      <c r="L1644" s="36" t="s">
        <v>14330</v>
      </c>
      <c r="M1644">
        <v>3</v>
      </c>
      <c r="N1644" t="s">
        <v>14331</v>
      </c>
      <c r="O1644" t="s">
        <v>32633</v>
      </c>
    </row>
    <row r="1645" spans="1:15" x14ac:dyDescent="0.25">
      <c r="A1645" s="35" t="s">
        <v>5782</v>
      </c>
      <c r="B1645" s="36" t="s">
        <v>5783</v>
      </c>
      <c r="C1645" s="36" t="str">
        <f>HYPERLINK("https://rhld.insurance.arkansas.gov/NPILookup?Npi=1376111500","1376111500")</f>
        <v>1376111500</v>
      </c>
      <c r="D1645" s="36" t="s">
        <v>34301</v>
      </c>
      <c r="E1645" s="36" t="s">
        <v>1</v>
      </c>
      <c r="F1645" s="36">
        <v>1</v>
      </c>
      <c r="G1645" s="36">
        <v>3</v>
      </c>
      <c r="H1645" s="36">
        <v>0</v>
      </c>
      <c r="I1645" s="37">
        <v>0</v>
      </c>
      <c r="J1645" s="36" t="s">
        <v>32654</v>
      </c>
      <c r="K1645" s="36" t="s">
        <v>14330</v>
      </c>
      <c r="L1645" s="36" t="s">
        <v>14330</v>
      </c>
      <c r="M1645">
        <v>2</v>
      </c>
      <c r="N1645" t="s">
        <v>14331</v>
      </c>
      <c r="O1645" t="s">
        <v>32633</v>
      </c>
    </row>
    <row r="1646" spans="1:15" x14ac:dyDescent="0.25">
      <c r="A1646" s="35" t="s">
        <v>5782</v>
      </c>
      <c r="B1646" s="36" t="s">
        <v>5783</v>
      </c>
      <c r="C1646" s="36" t="str">
        <f>HYPERLINK("https://rhld.insurance.arkansas.gov/NPILookup?Npi=1376246389","1376246389")</f>
        <v>1376246389</v>
      </c>
      <c r="D1646" s="36" t="s">
        <v>34302</v>
      </c>
      <c r="E1646" s="36" t="s">
        <v>2</v>
      </c>
      <c r="F1646" s="36">
        <v>1</v>
      </c>
      <c r="G1646" s="36">
        <v>2</v>
      </c>
      <c r="H1646" s="36">
        <v>0</v>
      </c>
      <c r="I1646" s="37">
        <v>0</v>
      </c>
      <c r="J1646" s="36"/>
      <c r="K1646" s="36" t="s">
        <v>14330</v>
      </c>
      <c r="L1646" s="36" t="s">
        <v>14330</v>
      </c>
      <c r="M1646">
        <v>2</v>
      </c>
      <c r="N1646" t="s">
        <v>14331</v>
      </c>
      <c r="O1646" t="s">
        <v>14333</v>
      </c>
    </row>
    <row r="1647" spans="1:15" x14ac:dyDescent="0.25">
      <c r="A1647" s="35" t="s">
        <v>5782</v>
      </c>
      <c r="B1647" s="36" t="s">
        <v>5783</v>
      </c>
      <c r="C1647" s="36" t="str">
        <f>HYPERLINK("https://rhld.insurance.arkansas.gov/NPILookup?Npi=1376276956","1376276956")</f>
        <v>1376276956</v>
      </c>
      <c r="D1647" s="36" t="s">
        <v>34303</v>
      </c>
      <c r="E1647" s="36" t="s">
        <v>2</v>
      </c>
      <c r="F1647" s="36">
        <v>1</v>
      </c>
      <c r="G1647" s="36">
        <v>2</v>
      </c>
      <c r="H1647" s="36">
        <v>0</v>
      </c>
      <c r="I1647" s="37">
        <v>0</v>
      </c>
      <c r="J1647" s="36" t="s">
        <v>34165</v>
      </c>
      <c r="K1647" s="36" t="s">
        <v>14330</v>
      </c>
      <c r="L1647" s="36" t="s">
        <v>14330</v>
      </c>
      <c r="M1647">
        <v>0</v>
      </c>
      <c r="N1647" t="s">
        <v>14331</v>
      </c>
      <c r="O1647" t="s">
        <v>14333</v>
      </c>
    </row>
    <row r="1648" spans="1:15" x14ac:dyDescent="0.25">
      <c r="A1648" s="35" t="s">
        <v>5782</v>
      </c>
      <c r="B1648" s="36" t="s">
        <v>5783</v>
      </c>
      <c r="C1648" s="36" t="str">
        <f>HYPERLINK("https://rhld.insurance.arkansas.gov/NPILookup?Npi=1376568139","1376568139")</f>
        <v>1376568139</v>
      </c>
      <c r="D1648" s="36" t="s">
        <v>34304</v>
      </c>
      <c r="E1648" s="36" t="s">
        <v>1</v>
      </c>
      <c r="F1648" s="36">
        <v>1</v>
      </c>
      <c r="G1648" s="36">
        <v>1</v>
      </c>
      <c r="H1648" s="36">
        <v>1</v>
      </c>
      <c r="I1648" s="37">
        <v>0</v>
      </c>
      <c r="J1648" s="36" t="s">
        <v>32654</v>
      </c>
      <c r="K1648" s="36" t="s">
        <v>14330</v>
      </c>
      <c r="L1648" s="36" t="s">
        <v>34171</v>
      </c>
      <c r="M1648">
        <v>1</v>
      </c>
      <c r="N1648" t="s">
        <v>14332</v>
      </c>
      <c r="O1648" t="s">
        <v>34305</v>
      </c>
    </row>
    <row r="1649" spans="1:15" x14ac:dyDescent="0.25">
      <c r="A1649" s="35" t="s">
        <v>5782</v>
      </c>
      <c r="B1649" s="36" t="s">
        <v>5783</v>
      </c>
      <c r="C1649" s="36" t="str">
        <f>HYPERLINK("https://rhld.insurance.arkansas.gov/NPILookup?Npi=1376749333","1376749333")</f>
        <v>1376749333</v>
      </c>
      <c r="D1649" s="36" t="s">
        <v>33809</v>
      </c>
      <c r="E1649" s="36" t="s">
        <v>1</v>
      </c>
      <c r="F1649" s="36">
        <v>1</v>
      </c>
      <c r="G1649" s="36">
        <v>2</v>
      </c>
      <c r="H1649" s="36">
        <v>1</v>
      </c>
      <c r="I1649" s="37">
        <v>0</v>
      </c>
      <c r="J1649" s="36" t="s">
        <v>32654</v>
      </c>
      <c r="K1649" s="36" t="s">
        <v>14330</v>
      </c>
      <c r="L1649" s="36" t="s">
        <v>34171</v>
      </c>
      <c r="M1649">
        <v>2</v>
      </c>
      <c r="N1649" t="s">
        <v>14332</v>
      </c>
      <c r="O1649" t="s">
        <v>32591</v>
      </c>
    </row>
    <row r="1650" spans="1:15" x14ac:dyDescent="0.25">
      <c r="A1650" s="35" t="s">
        <v>5782</v>
      </c>
      <c r="B1650" s="36" t="s">
        <v>5783</v>
      </c>
      <c r="C1650" s="36" t="str">
        <f>HYPERLINK("https://rhld.insurance.arkansas.gov/NPILookup?Npi=1376841247","1376841247")</f>
        <v>1376841247</v>
      </c>
      <c r="D1650" s="36" t="s">
        <v>34306</v>
      </c>
      <c r="E1650" s="36" t="s">
        <v>1</v>
      </c>
      <c r="F1650" s="36">
        <v>1</v>
      </c>
      <c r="G1650" s="36">
        <v>2</v>
      </c>
      <c r="H1650" s="36">
        <v>0</v>
      </c>
      <c r="I1650" s="37">
        <v>0</v>
      </c>
      <c r="J1650" s="36" t="s">
        <v>32654</v>
      </c>
      <c r="K1650" s="36" t="s">
        <v>14330</v>
      </c>
      <c r="L1650" s="36" t="s">
        <v>14330</v>
      </c>
      <c r="M1650">
        <v>2</v>
      </c>
      <c r="N1650" t="s">
        <v>14331</v>
      </c>
      <c r="O1650" t="s">
        <v>32633</v>
      </c>
    </row>
    <row r="1651" spans="1:15" x14ac:dyDescent="0.25">
      <c r="A1651" s="35" t="s">
        <v>5782</v>
      </c>
      <c r="B1651" s="36" t="s">
        <v>5783</v>
      </c>
      <c r="C1651" s="36" t="str">
        <f>HYPERLINK("https://rhld.insurance.arkansas.gov/NPILookup?Npi=1386153393","1386153393")</f>
        <v>1386153393</v>
      </c>
      <c r="D1651" s="36" t="s">
        <v>34307</v>
      </c>
      <c r="E1651" s="36" t="s">
        <v>2</v>
      </c>
      <c r="F1651" s="36">
        <v>1</v>
      </c>
      <c r="G1651" s="36">
        <v>2</v>
      </c>
      <c r="H1651" s="36">
        <v>0</v>
      </c>
      <c r="I1651" s="37">
        <v>0</v>
      </c>
      <c r="J1651" s="36" t="s">
        <v>34165</v>
      </c>
      <c r="K1651" s="36" t="s">
        <v>14330</v>
      </c>
      <c r="L1651" s="36" t="s">
        <v>14330</v>
      </c>
      <c r="M1651">
        <v>2</v>
      </c>
      <c r="N1651" t="s">
        <v>14331</v>
      </c>
      <c r="O1651" t="s">
        <v>14333</v>
      </c>
    </row>
    <row r="1652" spans="1:15" x14ac:dyDescent="0.25">
      <c r="A1652" s="35" t="s">
        <v>5782</v>
      </c>
      <c r="B1652" s="36" t="s">
        <v>5783</v>
      </c>
      <c r="C1652" s="36" t="str">
        <f>HYPERLINK("https://rhld.insurance.arkansas.gov/NPILookup?Npi=1396572707","1396572707")</f>
        <v>1396572707</v>
      </c>
      <c r="D1652" s="36" t="s">
        <v>34308</v>
      </c>
      <c r="E1652" s="36" t="s">
        <v>2</v>
      </c>
      <c r="F1652" s="36">
        <v>2</v>
      </c>
      <c r="G1652" s="36">
        <v>2</v>
      </c>
      <c r="H1652" s="36">
        <v>0</v>
      </c>
      <c r="I1652" s="37">
        <v>0</v>
      </c>
      <c r="J1652" s="36" t="s">
        <v>34181</v>
      </c>
      <c r="K1652" s="36" t="s">
        <v>14330</v>
      </c>
      <c r="L1652" s="36" t="s">
        <v>14330</v>
      </c>
      <c r="M1652">
        <v>2</v>
      </c>
      <c r="N1652" t="s">
        <v>14331</v>
      </c>
      <c r="O1652" t="s">
        <v>14333</v>
      </c>
    </row>
    <row r="1653" spans="1:15" x14ac:dyDescent="0.25">
      <c r="A1653" s="35" t="s">
        <v>5782</v>
      </c>
      <c r="B1653" s="36" t="s">
        <v>5783</v>
      </c>
      <c r="C1653" s="36" t="str">
        <f>HYPERLINK("https://rhld.insurance.arkansas.gov/NPILookup?Npi=1407324114","1407324114")</f>
        <v>1407324114</v>
      </c>
      <c r="D1653" s="36" t="s">
        <v>34309</v>
      </c>
      <c r="E1653" s="36" t="s">
        <v>2</v>
      </c>
      <c r="F1653" s="36">
        <v>1</v>
      </c>
      <c r="G1653" s="36">
        <v>2</v>
      </c>
      <c r="H1653" s="36">
        <v>0</v>
      </c>
      <c r="I1653" s="37">
        <v>0</v>
      </c>
      <c r="J1653" s="36"/>
      <c r="K1653" s="36" t="s">
        <v>14330</v>
      </c>
      <c r="L1653" s="36" t="s">
        <v>14330</v>
      </c>
      <c r="M1653">
        <v>2</v>
      </c>
      <c r="N1653" t="s">
        <v>14331</v>
      </c>
      <c r="O1653" t="s">
        <v>14333</v>
      </c>
    </row>
    <row r="1654" spans="1:15" x14ac:dyDescent="0.25">
      <c r="A1654" s="35" t="s">
        <v>5782</v>
      </c>
      <c r="B1654" s="36" t="s">
        <v>5783</v>
      </c>
      <c r="C1654" s="36" t="str">
        <f>HYPERLINK("https://rhld.insurance.arkansas.gov/NPILookup?Npi=1407360191","1407360191")</f>
        <v>1407360191</v>
      </c>
      <c r="D1654" s="36" t="s">
        <v>34310</v>
      </c>
      <c r="E1654" s="36" t="s">
        <v>1</v>
      </c>
      <c r="F1654" s="36">
        <v>1</v>
      </c>
      <c r="G1654" s="36">
        <v>2</v>
      </c>
      <c r="H1654" s="36">
        <v>0</v>
      </c>
      <c r="I1654" s="37">
        <v>0</v>
      </c>
      <c r="J1654" s="36" t="s">
        <v>32654</v>
      </c>
      <c r="K1654" s="36" t="s">
        <v>14330</v>
      </c>
      <c r="L1654" s="36" t="s">
        <v>14330</v>
      </c>
      <c r="M1654">
        <v>2</v>
      </c>
      <c r="N1654" t="s">
        <v>14331</v>
      </c>
      <c r="O1654" t="s">
        <v>32633</v>
      </c>
    </row>
    <row r="1655" spans="1:15" x14ac:dyDescent="0.25">
      <c r="A1655" s="35" t="s">
        <v>5782</v>
      </c>
      <c r="B1655" s="36" t="s">
        <v>5783</v>
      </c>
      <c r="C1655" s="36" t="str">
        <f>HYPERLINK("https://rhld.insurance.arkansas.gov/NPILookup?Npi=1407448061","1407448061")</f>
        <v>1407448061</v>
      </c>
      <c r="D1655" s="36" t="s">
        <v>34311</v>
      </c>
      <c r="E1655" s="36" t="s">
        <v>2</v>
      </c>
      <c r="F1655" s="36">
        <v>1</v>
      </c>
      <c r="G1655" s="36">
        <v>2</v>
      </c>
      <c r="H1655" s="36">
        <v>0</v>
      </c>
      <c r="I1655" s="37">
        <v>0</v>
      </c>
      <c r="J1655" s="36"/>
      <c r="K1655" s="36" t="s">
        <v>14330</v>
      </c>
      <c r="L1655" s="36" t="s">
        <v>14330</v>
      </c>
      <c r="M1655">
        <v>2</v>
      </c>
      <c r="N1655" t="s">
        <v>14331</v>
      </c>
      <c r="O1655" t="s">
        <v>14333</v>
      </c>
    </row>
    <row r="1656" spans="1:15" x14ac:dyDescent="0.25">
      <c r="A1656" s="35" t="s">
        <v>5782</v>
      </c>
      <c r="B1656" s="36" t="s">
        <v>5783</v>
      </c>
      <c r="C1656" s="36" t="str">
        <f>HYPERLINK("https://rhld.insurance.arkansas.gov/NPILookup?Npi=1407488026","1407488026")</f>
        <v>1407488026</v>
      </c>
      <c r="D1656" s="36" t="s">
        <v>34312</v>
      </c>
      <c r="E1656" s="36" t="s">
        <v>2</v>
      </c>
      <c r="F1656" s="36">
        <v>1</v>
      </c>
      <c r="G1656" s="36">
        <v>2</v>
      </c>
      <c r="H1656" s="36">
        <v>0</v>
      </c>
      <c r="I1656" s="37">
        <v>0</v>
      </c>
      <c r="J1656" s="36"/>
      <c r="K1656" s="36" t="s">
        <v>14330</v>
      </c>
      <c r="L1656" s="36" t="s">
        <v>14330</v>
      </c>
      <c r="M1656">
        <v>2</v>
      </c>
      <c r="N1656" t="s">
        <v>14331</v>
      </c>
      <c r="O1656" t="s">
        <v>14333</v>
      </c>
    </row>
    <row r="1657" spans="1:15" x14ac:dyDescent="0.25">
      <c r="A1657" s="35" t="s">
        <v>5782</v>
      </c>
      <c r="B1657" s="36" t="s">
        <v>5783</v>
      </c>
      <c r="C1657" s="36" t="str">
        <f>HYPERLINK("https://rhld.insurance.arkansas.gov/NPILookup?Npi=1407589732","1407589732")</f>
        <v>1407589732</v>
      </c>
      <c r="D1657" s="36" t="s">
        <v>34313</v>
      </c>
      <c r="E1657" s="36" t="s">
        <v>2</v>
      </c>
      <c r="F1657" s="36">
        <v>1</v>
      </c>
      <c r="G1657" s="36">
        <v>2</v>
      </c>
      <c r="H1657" s="36">
        <v>0</v>
      </c>
      <c r="I1657" s="37">
        <v>0</v>
      </c>
      <c r="J1657" s="36"/>
      <c r="K1657" s="36" t="s">
        <v>14330</v>
      </c>
      <c r="L1657" s="36" t="s">
        <v>14330</v>
      </c>
      <c r="M1657">
        <v>2</v>
      </c>
      <c r="N1657" t="s">
        <v>14331</v>
      </c>
      <c r="O1657" t="s">
        <v>14333</v>
      </c>
    </row>
    <row r="1658" spans="1:15" x14ac:dyDescent="0.25">
      <c r="A1658" s="35" t="s">
        <v>5782</v>
      </c>
      <c r="B1658" s="36" t="s">
        <v>5783</v>
      </c>
      <c r="C1658" s="36" t="str">
        <f>HYPERLINK("https://rhld.insurance.arkansas.gov/NPILookup?Npi=1407663602","1407663602")</f>
        <v>1407663602</v>
      </c>
      <c r="D1658" s="36" t="s">
        <v>34314</v>
      </c>
      <c r="E1658" s="36" t="s">
        <v>2</v>
      </c>
      <c r="F1658" s="36">
        <v>1</v>
      </c>
      <c r="G1658" s="36">
        <v>2</v>
      </c>
      <c r="H1658" s="36">
        <v>0</v>
      </c>
      <c r="I1658" s="37">
        <v>0</v>
      </c>
      <c r="J1658" s="36" t="s">
        <v>34165</v>
      </c>
      <c r="K1658" s="36" t="s">
        <v>14330</v>
      </c>
      <c r="L1658" s="36" t="s">
        <v>14330</v>
      </c>
      <c r="M1658">
        <v>0</v>
      </c>
      <c r="N1658" t="s">
        <v>14331</v>
      </c>
      <c r="O1658" t="s">
        <v>14333</v>
      </c>
    </row>
    <row r="1659" spans="1:15" x14ac:dyDescent="0.25">
      <c r="A1659" s="35" t="s">
        <v>5782</v>
      </c>
      <c r="B1659" s="36" t="s">
        <v>5783</v>
      </c>
      <c r="C1659" s="36" t="str">
        <f>HYPERLINK("https://rhld.insurance.arkansas.gov/NPILookup?Npi=1417183641","1417183641")</f>
        <v>1417183641</v>
      </c>
      <c r="D1659" s="36" t="s">
        <v>34315</v>
      </c>
      <c r="E1659" s="36" t="s">
        <v>1</v>
      </c>
      <c r="F1659" s="36">
        <v>1</v>
      </c>
      <c r="G1659" s="36">
        <v>1</v>
      </c>
      <c r="H1659" s="36">
        <v>1</v>
      </c>
      <c r="I1659" s="37">
        <v>0</v>
      </c>
      <c r="J1659" s="36" t="s">
        <v>34316</v>
      </c>
      <c r="K1659" s="36" t="s">
        <v>14330</v>
      </c>
      <c r="L1659" s="36" t="s">
        <v>34317</v>
      </c>
      <c r="M1659">
        <v>2</v>
      </c>
      <c r="N1659" t="s">
        <v>14332</v>
      </c>
      <c r="O1659" t="s">
        <v>34318</v>
      </c>
    </row>
    <row r="1660" spans="1:15" x14ac:dyDescent="0.25">
      <c r="A1660" s="35" t="s">
        <v>5782</v>
      </c>
      <c r="B1660" s="36" t="s">
        <v>5783</v>
      </c>
      <c r="C1660" s="36" t="str">
        <f>HYPERLINK("https://rhld.insurance.arkansas.gov/NPILookup?Npi=1417218579","1417218579")</f>
        <v>1417218579</v>
      </c>
      <c r="D1660" s="36" t="s">
        <v>34319</v>
      </c>
      <c r="E1660" s="36" t="s">
        <v>2</v>
      </c>
      <c r="F1660" s="36">
        <v>1</v>
      </c>
      <c r="G1660" s="36">
        <v>2</v>
      </c>
      <c r="H1660" s="36">
        <v>0</v>
      </c>
      <c r="I1660" s="37">
        <v>0</v>
      </c>
      <c r="J1660" s="36"/>
      <c r="K1660" s="36" t="s">
        <v>14330</v>
      </c>
      <c r="L1660" s="36" t="s">
        <v>14330</v>
      </c>
      <c r="M1660">
        <v>2</v>
      </c>
      <c r="N1660" t="s">
        <v>14331</v>
      </c>
      <c r="O1660" t="s">
        <v>14333</v>
      </c>
    </row>
    <row r="1661" spans="1:15" x14ac:dyDescent="0.25">
      <c r="A1661" s="35" t="s">
        <v>5782</v>
      </c>
      <c r="B1661" s="36" t="s">
        <v>5783</v>
      </c>
      <c r="C1661" s="36" t="str">
        <f>HYPERLINK("https://rhld.insurance.arkansas.gov/NPILookup?Npi=1417373283","1417373283")</f>
        <v>1417373283</v>
      </c>
      <c r="D1661" s="36" t="s">
        <v>34320</v>
      </c>
      <c r="E1661" s="36" t="s">
        <v>2</v>
      </c>
      <c r="F1661" s="36">
        <v>1</v>
      </c>
      <c r="G1661" s="36">
        <v>2</v>
      </c>
      <c r="H1661" s="36">
        <v>0</v>
      </c>
      <c r="I1661" s="37">
        <v>0</v>
      </c>
      <c r="J1661" s="36" t="s">
        <v>34165</v>
      </c>
      <c r="K1661" s="36" t="s">
        <v>14330</v>
      </c>
      <c r="L1661" s="36" t="s">
        <v>14330</v>
      </c>
      <c r="M1661">
        <v>2</v>
      </c>
      <c r="N1661" t="s">
        <v>14331</v>
      </c>
      <c r="O1661" t="s">
        <v>14333</v>
      </c>
    </row>
    <row r="1662" spans="1:15" x14ac:dyDescent="0.25">
      <c r="A1662" s="35" t="s">
        <v>5782</v>
      </c>
      <c r="B1662" s="36" t="s">
        <v>5783</v>
      </c>
      <c r="C1662" s="36" t="str">
        <f>HYPERLINK("https://rhld.insurance.arkansas.gov/NPILookup?Npi=1417547589","1417547589")</f>
        <v>1417547589</v>
      </c>
      <c r="D1662" s="36" t="s">
        <v>34321</v>
      </c>
      <c r="E1662" s="36" t="s">
        <v>2</v>
      </c>
      <c r="F1662" s="36">
        <v>1</v>
      </c>
      <c r="G1662" s="36">
        <v>2</v>
      </c>
      <c r="H1662" s="36">
        <v>0</v>
      </c>
      <c r="I1662" s="37">
        <v>0</v>
      </c>
      <c r="J1662" s="36" t="s">
        <v>34165</v>
      </c>
      <c r="K1662" s="36" t="s">
        <v>14330</v>
      </c>
      <c r="L1662" s="36" t="s">
        <v>14330</v>
      </c>
      <c r="M1662">
        <v>2</v>
      </c>
      <c r="N1662" t="s">
        <v>14331</v>
      </c>
      <c r="O1662" t="s">
        <v>14333</v>
      </c>
    </row>
    <row r="1663" spans="1:15" x14ac:dyDescent="0.25">
      <c r="A1663" s="35" t="s">
        <v>5782</v>
      </c>
      <c r="B1663" s="36" t="s">
        <v>5783</v>
      </c>
      <c r="C1663" s="36" t="str">
        <f>HYPERLINK("https://rhld.insurance.arkansas.gov/NPILookup?Npi=1417776311","1417776311")</f>
        <v>1417776311</v>
      </c>
      <c r="D1663" s="36" t="s">
        <v>34322</v>
      </c>
      <c r="E1663" s="36" t="s">
        <v>2</v>
      </c>
      <c r="F1663" s="36">
        <v>2</v>
      </c>
      <c r="G1663" s="36">
        <v>2</v>
      </c>
      <c r="H1663" s="36">
        <v>0</v>
      </c>
      <c r="I1663" s="37">
        <v>0</v>
      </c>
      <c r="J1663" s="36" t="s">
        <v>34181</v>
      </c>
      <c r="K1663" s="36" t="s">
        <v>14330</v>
      </c>
      <c r="L1663" s="36" t="s">
        <v>14330</v>
      </c>
      <c r="M1663">
        <v>1</v>
      </c>
      <c r="N1663" t="s">
        <v>14331</v>
      </c>
      <c r="O1663" t="s">
        <v>14333</v>
      </c>
    </row>
    <row r="1664" spans="1:15" x14ac:dyDescent="0.25">
      <c r="A1664" s="35" t="s">
        <v>5782</v>
      </c>
      <c r="B1664" s="36" t="s">
        <v>5783</v>
      </c>
      <c r="C1664" s="36" t="str">
        <f>HYPERLINK("https://rhld.insurance.arkansas.gov/NPILookup?Npi=1427019371","1427019371")</f>
        <v>1427019371</v>
      </c>
      <c r="D1664" s="36" t="s">
        <v>34323</v>
      </c>
      <c r="E1664" s="36" t="s">
        <v>1</v>
      </c>
      <c r="F1664" s="36">
        <v>1</v>
      </c>
      <c r="G1664" s="36">
        <v>2</v>
      </c>
      <c r="H1664" s="36">
        <v>1</v>
      </c>
      <c r="I1664" s="37">
        <v>0</v>
      </c>
      <c r="J1664" s="36" t="s">
        <v>32654</v>
      </c>
      <c r="K1664" s="36" t="s">
        <v>14330</v>
      </c>
      <c r="L1664" s="36" t="s">
        <v>34171</v>
      </c>
      <c r="M1664">
        <v>3</v>
      </c>
      <c r="N1664" t="s">
        <v>14332</v>
      </c>
      <c r="O1664" t="s">
        <v>32591</v>
      </c>
    </row>
    <row r="1665" spans="1:15" x14ac:dyDescent="0.25">
      <c r="A1665" s="35" t="s">
        <v>5782</v>
      </c>
      <c r="B1665" s="36" t="s">
        <v>5783</v>
      </c>
      <c r="C1665" s="36" t="str">
        <f>HYPERLINK("https://rhld.insurance.arkansas.gov/NPILookup?Npi=1427144005","1427144005")</f>
        <v>1427144005</v>
      </c>
      <c r="D1665" s="36" t="s">
        <v>34324</v>
      </c>
      <c r="E1665" s="36" t="s">
        <v>1</v>
      </c>
      <c r="F1665" s="36">
        <v>1</v>
      </c>
      <c r="G1665" s="36">
        <v>3</v>
      </c>
      <c r="H1665" s="36">
        <v>0</v>
      </c>
      <c r="I1665" s="37">
        <v>0</v>
      </c>
      <c r="J1665" s="36" t="s">
        <v>32654</v>
      </c>
      <c r="K1665" s="36" t="s">
        <v>14330</v>
      </c>
      <c r="L1665" s="36" t="s">
        <v>14330</v>
      </c>
      <c r="M1665">
        <v>1</v>
      </c>
      <c r="N1665" t="s">
        <v>14331</v>
      </c>
      <c r="O1665" t="s">
        <v>32633</v>
      </c>
    </row>
    <row r="1666" spans="1:15" x14ac:dyDescent="0.25">
      <c r="A1666" s="35" t="s">
        <v>5782</v>
      </c>
      <c r="B1666" s="36" t="s">
        <v>5783</v>
      </c>
      <c r="C1666" s="36" t="str">
        <f>HYPERLINK("https://rhld.insurance.arkansas.gov/NPILookup?Npi=1427447564","1427447564")</f>
        <v>1427447564</v>
      </c>
      <c r="D1666" s="36" t="s">
        <v>34325</v>
      </c>
      <c r="E1666" s="36" t="s">
        <v>2</v>
      </c>
      <c r="F1666" s="36">
        <v>1</v>
      </c>
      <c r="G1666" s="36">
        <v>1</v>
      </c>
      <c r="H1666" s="36">
        <v>0</v>
      </c>
      <c r="I1666" s="37">
        <v>0</v>
      </c>
      <c r="J1666" s="36" t="s">
        <v>32679</v>
      </c>
      <c r="K1666" s="36" t="s">
        <v>14330</v>
      </c>
      <c r="L1666" s="36" t="s">
        <v>14330</v>
      </c>
      <c r="M1666">
        <v>2</v>
      </c>
      <c r="N1666" t="s">
        <v>14331</v>
      </c>
      <c r="O1666" t="s">
        <v>32633</v>
      </c>
    </row>
    <row r="1667" spans="1:15" x14ac:dyDescent="0.25">
      <c r="A1667" s="35" t="s">
        <v>5782</v>
      </c>
      <c r="B1667" s="36" t="s">
        <v>5783</v>
      </c>
      <c r="C1667" s="36" t="str">
        <f>HYPERLINK("https://rhld.insurance.arkansas.gov/NPILookup?Npi=1427577089","1427577089")</f>
        <v>1427577089</v>
      </c>
      <c r="D1667" s="36" t="s">
        <v>34326</v>
      </c>
      <c r="E1667" s="36" t="s">
        <v>1</v>
      </c>
      <c r="F1667" s="36">
        <v>1</v>
      </c>
      <c r="G1667" s="36">
        <v>2</v>
      </c>
      <c r="H1667" s="36">
        <v>0</v>
      </c>
      <c r="I1667" s="37">
        <v>0</v>
      </c>
      <c r="J1667" s="36" t="s">
        <v>32654</v>
      </c>
      <c r="K1667" s="36" t="s">
        <v>14330</v>
      </c>
      <c r="L1667" s="36" t="s">
        <v>14330</v>
      </c>
      <c r="M1667">
        <v>2</v>
      </c>
      <c r="N1667" t="s">
        <v>14331</v>
      </c>
      <c r="O1667" t="s">
        <v>32633</v>
      </c>
    </row>
    <row r="1668" spans="1:15" x14ac:dyDescent="0.25">
      <c r="A1668" s="35" t="s">
        <v>5782</v>
      </c>
      <c r="B1668" s="36" t="s">
        <v>5783</v>
      </c>
      <c r="C1668" s="36" t="str">
        <f>HYPERLINK("https://rhld.insurance.arkansas.gov/NPILookup?Npi=1427792340","1427792340")</f>
        <v>1427792340</v>
      </c>
      <c r="D1668" s="36" t="s">
        <v>34327</v>
      </c>
      <c r="E1668" s="36" t="s">
        <v>1</v>
      </c>
      <c r="F1668" s="36">
        <v>1</v>
      </c>
      <c r="G1668" s="36">
        <v>2</v>
      </c>
      <c r="H1668" s="36">
        <v>0</v>
      </c>
      <c r="I1668" s="37">
        <v>0</v>
      </c>
      <c r="J1668" s="36" t="s">
        <v>32723</v>
      </c>
      <c r="K1668" s="36" t="s">
        <v>14330</v>
      </c>
      <c r="L1668" s="36" t="s">
        <v>14330</v>
      </c>
      <c r="M1668">
        <v>3</v>
      </c>
      <c r="N1668" t="s">
        <v>14331</v>
      </c>
      <c r="O1668" t="s">
        <v>32724</v>
      </c>
    </row>
    <row r="1669" spans="1:15" x14ac:dyDescent="0.25">
      <c r="A1669" s="35" t="s">
        <v>5782</v>
      </c>
      <c r="B1669" s="36" t="s">
        <v>5783</v>
      </c>
      <c r="C1669" s="36" t="str">
        <f>HYPERLINK("https://rhld.insurance.arkansas.gov/NPILookup?Npi=1437213113","1437213113")</f>
        <v>1437213113</v>
      </c>
      <c r="D1669" s="36" t="s">
        <v>34328</v>
      </c>
      <c r="E1669" s="36" t="s">
        <v>1</v>
      </c>
      <c r="F1669" s="36">
        <v>1</v>
      </c>
      <c r="G1669" s="36">
        <v>3</v>
      </c>
      <c r="H1669" s="36">
        <v>0</v>
      </c>
      <c r="I1669" s="37">
        <v>0</v>
      </c>
      <c r="J1669" s="36" t="s">
        <v>32654</v>
      </c>
      <c r="K1669" s="36" t="s">
        <v>14330</v>
      </c>
      <c r="L1669" s="36" t="s">
        <v>14330</v>
      </c>
      <c r="M1669">
        <v>2</v>
      </c>
      <c r="N1669" t="s">
        <v>14331</v>
      </c>
      <c r="O1669" t="s">
        <v>32633</v>
      </c>
    </row>
    <row r="1670" spans="1:15" x14ac:dyDescent="0.25">
      <c r="A1670" s="35" t="s">
        <v>5782</v>
      </c>
      <c r="B1670" s="36" t="s">
        <v>5783</v>
      </c>
      <c r="C1670" s="36" t="str">
        <f>HYPERLINK("https://rhld.insurance.arkansas.gov/NPILookup?Npi=1437285806","1437285806")</f>
        <v>1437285806</v>
      </c>
      <c r="D1670" s="36" t="s">
        <v>34329</v>
      </c>
      <c r="E1670" s="36" t="s">
        <v>1</v>
      </c>
      <c r="F1670" s="36">
        <v>1</v>
      </c>
      <c r="G1670" s="36">
        <v>2</v>
      </c>
      <c r="H1670" s="36">
        <v>0</v>
      </c>
      <c r="I1670" s="37">
        <v>0</v>
      </c>
      <c r="J1670" s="36" t="s">
        <v>32723</v>
      </c>
      <c r="K1670" s="36" t="s">
        <v>14330</v>
      </c>
      <c r="L1670" s="36" t="s">
        <v>14330</v>
      </c>
      <c r="M1670">
        <v>2</v>
      </c>
      <c r="N1670" t="s">
        <v>14331</v>
      </c>
      <c r="O1670" t="s">
        <v>32724</v>
      </c>
    </row>
    <row r="1671" spans="1:15" x14ac:dyDescent="0.25">
      <c r="A1671" s="35" t="s">
        <v>5782</v>
      </c>
      <c r="B1671" s="36" t="s">
        <v>5783</v>
      </c>
      <c r="C1671" s="36" t="str">
        <f>HYPERLINK("https://rhld.insurance.arkansas.gov/NPILookup?Npi=1437388204","1437388204")</f>
        <v>1437388204</v>
      </c>
      <c r="D1671" s="36" t="s">
        <v>34330</v>
      </c>
      <c r="E1671" s="36" t="s">
        <v>2</v>
      </c>
      <c r="F1671" s="36">
        <v>1</v>
      </c>
      <c r="G1671" s="36">
        <v>2</v>
      </c>
      <c r="H1671" s="36">
        <v>0</v>
      </c>
      <c r="I1671" s="37">
        <v>0</v>
      </c>
      <c r="J1671" s="36" t="s">
        <v>34165</v>
      </c>
      <c r="K1671" s="36" t="s">
        <v>14330</v>
      </c>
      <c r="L1671" s="36" t="s">
        <v>14330</v>
      </c>
      <c r="M1671">
        <v>2</v>
      </c>
      <c r="N1671" t="s">
        <v>14331</v>
      </c>
      <c r="O1671" t="s">
        <v>14333</v>
      </c>
    </row>
    <row r="1672" spans="1:15" x14ac:dyDescent="0.25">
      <c r="A1672" s="35" t="s">
        <v>5782</v>
      </c>
      <c r="B1672" s="36" t="s">
        <v>5783</v>
      </c>
      <c r="C1672" s="36" t="str">
        <f>HYPERLINK("https://rhld.insurance.arkansas.gov/NPILookup?Npi=1437848892","1437848892")</f>
        <v>1437848892</v>
      </c>
      <c r="D1672" s="36" t="s">
        <v>34331</v>
      </c>
      <c r="E1672" s="36" t="s">
        <v>2</v>
      </c>
      <c r="F1672" s="36">
        <v>1</v>
      </c>
      <c r="G1672" s="36">
        <v>2</v>
      </c>
      <c r="H1672" s="36">
        <v>0</v>
      </c>
      <c r="I1672" s="37">
        <v>0</v>
      </c>
      <c r="J1672" s="36"/>
      <c r="K1672" s="36" t="s">
        <v>14330</v>
      </c>
      <c r="L1672" s="36" t="s">
        <v>14330</v>
      </c>
      <c r="M1672">
        <v>2</v>
      </c>
      <c r="N1672" t="s">
        <v>14331</v>
      </c>
      <c r="O1672" t="s">
        <v>14333</v>
      </c>
    </row>
    <row r="1673" spans="1:15" x14ac:dyDescent="0.25">
      <c r="A1673" s="35" t="s">
        <v>5782</v>
      </c>
      <c r="B1673" s="36" t="s">
        <v>5783</v>
      </c>
      <c r="C1673" s="36" t="str">
        <f>HYPERLINK("https://rhld.insurance.arkansas.gov/NPILookup?Npi=1447765144","1447765144")</f>
        <v>1447765144</v>
      </c>
      <c r="D1673" s="36" t="s">
        <v>34332</v>
      </c>
      <c r="E1673" s="36" t="s">
        <v>2</v>
      </c>
      <c r="F1673" s="36">
        <v>1</v>
      </c>
      <c r="G1673" s="36">
        <v>2</v>
      </c>
      <c r="H1673" s="36">
        <v>0</v>
      </c>
      <c r="I1673" s="37">
        <v>0</v>
      </c>
      <c r="J1673" s="36"/>
      <c r="K1673" s="36" t="s">
        <v>14330</v>
      </c>
      <c r="L1673" s="36" t="s">
        <v>14330</v>
      </c>
      <c r="M1673">
        <v>0</v>
      </c>
      <c r="N1673" t="s">
        <v>14331</v>
      </c>
      <c r="O1673" t="s">
        <v>14333</v>
      </c>
    </row>
    <row r="1674" spans="1:15" x14ac:dyDescent="0.25">
      <c r="A1674" s="35" t="s">
        <v>5782</v>
      </c>
      <c r="B1674" s="36" t="s">
        <v>5783</v>
      </c>
      <c r="C1674" s="36" t="str">
        <f>HYPERLINK("https://rhld.insurance.arkansas.gov/NPILookup?Npi=1447782321","1447782321")</f>
        <v>1447782321</v>
      </c>
      <c r="D1674" s="36" t="s">
        <v>34333</v>
      </c>
      <c r="E1674" s="36" t="s">
        <v>2</v>
      </c>
      <c r="F1674" s="36">
        <v>1</v>
      </c>
      <c r="G1674" s="36">
        <v>1</v>
      </c>
      <c r="H1674" s="36">
        <v>1</v>
      </c>
      <c r="I1674" s="37">
        <v>1</v>
      </c>
      <c r="J1674" s="36"/>
      <c r="K1674" s="36" t="s">
        <v>14330</v>
      </c>
      <c r="L1674" s="36" t="s">
        <v>34188</v>
      </c>
      <c r="M1674">
        <v>2</v>
      </c>
      <c r="N1674" t="s">
        <v>14331</v>
      </c>
      <c r="O1674" t="s">
        <v>34189</v>
      </c>
    </row>
    <row r="1675" spans="1:15" x14ac:dyDescent="0.25">
      <c r="A1675" s="35" t="s">
        <v>5782</v>
      </c>
      <c r="B1675" s="36" t="s">
        <v>5783</v>
      </c>
      <c r="C1675" s="36" t="str">
        <f>HYPERLINK("https://rhld.insurance.arkansas.gov/NPILookup?Npi=1457001786","1457001786")</f>
        <v>1457001786</v>
      </c>
      <c r="D1675" s="36" t="s">
        <v>34334</v>
      </c>
      <c r="E1675" s="36" t="s">
        <v>2</v>
      </c>
      <c r="F1675" s="36">
        <v>1</v>
      </c>
      <c r="G1675" s="36">
        <v>2</v>
      </c>
      <c r="H1675" s="36">
        <v>0</v>
      </c>
      <c r="I1675" s="37">
        <v>0</v>
      </c>
      <c r="J1675" s="36"/>
      <c r="K1675" s="36" t="s">
        <v>14330</v>
      </c>
      <c r="L1675" s="36" t="s">
        <v>14330</v>
      </c>
      <c r="M1675">
        <v>2</v>
      </c>
      <c r="N1675" t="s">
        <v>14331</v>
      </c>
      <c r="O1675" t="s">
        <v>14333</v>
      </c>
    </row>
    <row r="1676" spans="1:15" x14ac:dyDescent="0.25">
      <c r="A1676" s="35" t="s">
        <v>5782</v>
      </c>
      <c r="B1676" s="36" t="s">
        <v>5783</v>
      </c>
      <c r="C1676" s="36" t="str">
        <f>HYPERLINK("https://rhld.insurance.arkansas.gov/NPILookup?Npi=1457383127","1457383127")</f>
        <v>1457383127</v>
      </c>
      <c r="D1676" s="36" t="s">
        <v>34335</v>
      </c>
      <c r="E1676" s="36" t="s">
        <v>1</v>
      </c>
      <c r="F1676" s="36">
        <v>1</v>
      </c>
      <c r="G1676" s="36">
        <v>2</v>
      </c>
      <c r="H1676" s="36">
        <v>0</v>
      </c>
      <c r="I1676" s="37">
        <v>0</v>
      </c>
      <c r="J1676" s="36" t="s">
        <v>32654</v>
      </c>
      <c r="K1676" s="36" t="s">
        <v>14330</v>
      </c>
      <c r="L1676" s="36" t="s">
        <v>14330</v>
      </c>
      <c r="M1676">
        <v>2</v>
      </c>
      <c r="N1676" t="s">
        <v>14331</v>
      </c>
      <c r="O1676" t="s">
        <v>32633</v>
      </c>
    </row>
    <row r="1677" spans="1:15" x14ac:dyDescent="0.25">
      <c r="A1677" s="35" t="s">
        <v>5782</v>
      </c>
      <c r="B1677" s="36" t="s">
        <v>5783</v>
      </c>
      <c r="C1677" s="36" t="str">
        <f>HYPERLINK("https://rhld.insurance.arkansas.gov/NPILookup?Npi=1457800591","1457800591")</f>
        <v>1457800591</v>
      </c>
      <c r="D1677" s="36" t="s">
        <v>34336</v>
      </c>
      <c r="E1677" s="36" t="s">
        <v>2</v>
      </c>
      <c r="F1677" s="36">
        <v>2</v>
      </c>
      <c r="G1677" s="36">
        <v>2</v>
      </c>
      <c r="H1677" s="36">
        <v>0</v>
      </c>
      <c r="I1677" s="37">
        <v>0</v>
      </c>
      <c r="J1677" s="36" t="s">
        <v>34181</v>
      </c>
      <c r="K1677" s="36" t="s">
        <v>14330</v>
      </c>
      <c r="L1677" s="36" t="s">
        <v>14330</v>
      </c>
      <c r="M1677">
        <v>2</v>
      </c>
      <c r="N1677" t="s">
        <v>14331</v>
      </c>
      <c r="O1677" t="s">
        <v>14333</v>
      </c>
    </row>
    <row r="1678" spans="1:15" x14ac:dyDescent="0.25">
      <c r="A1678" s="35" t="s">
        <v>5782</v>
      </c>
      <c r="B1678" s="36" t="s">
        <v>5783</v>
      </c>
      <c r="C1678" s="36" t="str">
        <f>HYPERLINK("https://rhld.insurance.arkansas.gov/NPILookup?Npi=1467489450","1467489450")</f>
        <v>1467489450</v>
      </c>
      <c r="D1678" s="36" t="s">
        <v>34337</v>
      </c>
      <c r="E1678" s="36" t="s">
        <v>1</v>
      </c>
      <c r="F1678" s="36">
        <v>1</v>
      </c>
      <c r="G1678" s="36">
        <v>2</v>
      </c>
      <c r="H1678" s="36">
        <v>0</v>
      </c>
      <c r="I1678" s="37">
        <v>0</v>
      </c>
      <c r="J1678" s="36" t="s">
        <v>32654</v>
      </c>
      <c r="K1678" s="36" t="s">
        <v>14330</v>
      </c>
      <c r="L1678" s="36" t="s">
        <v>14330</v>
      </c>
      <c r="M1678">
        <v>2</v>
      </c>
      <c r="N1678" t="s">
        <v>14331</v>
      </c>
      <c r="O1678" t="s">
        <v>32633</v>
      </c>
    </row>
    <row r="1679" spans="1:15" x14ac:dyDescent="0.25">
      <c r="A1679" s="35" t="s">
        <v>5782</v>
      </c>
      <c r="B1679" s="36" t="s">
        <v>5783</v>
      </c>
      <c r="C1679" s="36" t="str">
        <f>HYPERLINK("https://rhld.insurance.arkansas.gov/NPILookup?Npi=1467588707","1467588707")</f>
        <v>1467588707</v>
      </c>
      <c r="D1679" s="36" t="s">
        <v>34338</v>
      </c>
      <c r="E1679" s="36" t="s">
        <v>1</v>
      </c>
      <c r="F1679" s="36">
        <v>1</v>
      </c>
      <c r="G1679" s="36">
        <v>2</v>
      </c>
      <c r="H1679" s="36">
        <v>0</v>
      </c>
      <c r="I1679" s="37">
        <v>0</v>
      </c>
      <c r="J1679" s="36" t="s">
        <v>14335</v>
      </c>
      <c r="K1679" s="36" t="s">
        <v>14330</v>
      </c>
      <c r="L1679" s="36" t="s">
        <v>14330</v>
      </c>
      <c r="M1679">
        <v>2</v>
      </c>
      <c r="N1679" t="s">
        <v>14331</v>
      </c>
      <c r="O1679" t="s">
        <v>32633</v>
      </c>
    </row>
    <row r="1680" spans="1:15" x14ac:dyDescent="0.25">
      <c r="A1680" s="35" t="s">
        <v>5782</v>
      </c>
      <c r="B1680" s="36" t="s">
        <v>5783</v>
      </c>
      <c r="C1680" s="36" t="str">
        <f>HYPERLINK("https://rhld.insurance.arkansas.gov/NPILookup?Npi=1477068542","1477068542")</f>
        <v>1477068542</v>
      </c>
      <c r="D1680" s="36" t="s">
        <v>34339</v>
      </c>
      <c r="E1680" s="36" t="s">
        <v>2</v>
      </c>
      <c r="F1680" s="36">
        <v>1</v>
      </c>
      <c r="G1680" s="36">
        <v>2</v>
      </c>
      <c r="H1680" s="36">
        <v>0</v>
      </c>
      <c r="I1680" s="37">
        <v>0</v>
      </c>
      <c r="J1680" s="36"/>
      <c r="K1680" s="36" t="s">
        <v>14330</v>
      </c>
      <c r="L1680" s="36" t="s">
        <v>14330</v>
      </c>
      <c r="M1680">
        <v>2</v>
      </c>
      <c r="N1680" t="s">
        <v>14331</v>
      </c>
      <c r="O1680" t="s">
        <v>14333</v>
      </c>
    </row>
    <row r="1681" spans="1:15" x14ac:dyDescent="0.25">
      <c r="A1681" s="35" t="s">
        <v>5782</v>
      </c>
      <c r="B1681" s="36" t="s">
        <v>5783</v>
      </c>
      <c r="C1681" s="36" t="str">
        <f>HYPERLINK("https://rhld.insurance.arkansas.gov/NPILookup?Npi=1477077295","1477077295")</f>
        <v>1477077295</v>
      </c>
      <c r="D1681" s="36" t="s">
        <v>34340</v>
      </c>
      <c r="E1681" s="36" t="s">
        <v>1</v>
      </c>
      <c r="F1681" s="36">
        <v>1</v>
      </c>
      <c r="G1681" s="36">
        <v>2</v>
      </c>
      <c r="H1681" s="36">
        <v>0</v>
      </c>
      <c r="I1681" s="37">
        <v>0</v>
      </c>
      <c r="J1681" s="36" t="s">
        <v>32723</v>
      </c>
      <c r="K1681" s="36" t="s">
        <v>14330</v>
      </c>
      <c r="L1681" s="36" t="s">
        <v>14330</v>
      </c>
      <c r="M1681">
        <v>2</v>
      </c>
      <c r="N1681" t="s">
        <v>14331</v>
      </c>
      <c r="O1681" t="s">
        <v>32724</v>
      </c>
    </row>
    <row r="1682" spans="1:15" x14ac:dyDescent="0.25">
      <c r="A1682" s="35" t="s">
        <v>5782</v>
      </c>
      <c r="B1682" s="36" t="s">
        <v>5783</v>
      </c>
      <c r="C1682" s="36" t="str">
        <f>HYPERLINK("https://rhld.insurance.arkansas.gov/NPILookup?Npi=1477980761","1477980761")</f>
        <v>1477980761</v>
      </c>
      <c r="D1682" s="36" t="s">
        <v>34341</v>
      </c>
      <c r="E1682" s="36" t="s">
        <v>2</v>
      </c>
      <c r="F1682" s="36">
        <v>1</v>
      </c>
      <c r="G1682" s="36">
        <v>2</v>
      </c>
      <c r="H1682" s="36">
        <v>0</v>
      </c>
      <c r="I1682" s="37">
        <v>0</v>
      </c>
      <c r="J1682" s="36" t="s">
        <v>34165</v>
      </c>
      <c r="K1682" s="36" t="s">
        <v>14330</v>
      </c>
      <c r="L1682" s="36" t="s">
        <v>14330</v>
      </c>
      <c r="M1682">
        <v>2</v>
      </c>
      <c r="N1682" t="s">
        <v>14331</v>
      </c>
      <c r="O1682" t="s">
        <v>14333</v>
      </c>
    </row>
    <row r="1683" spans="1:15" x14ac:dyDescent="0.25">
      <c r="A1683" s="35" t="s">
        <v>5782</v>
      </c>
      <c r="B1683" s="36" t="s">
        <v>5783</v>
      </c>
      <c r="C1683" s="36" t="str">
        <f>HYPERLINK("https://rhld.insurance.arkansas.gov/NPILookup?Npi=1487208203","1487208203")</f>
        <v>1487208203</v>
      </c>
      <c r="D1683" s="36" t="s">
        <v>34342</v>
      </c>
      <c r="E1683" s="36" t="s">
        <v>2</v>
      </c>
      <c r="F1683" s="36">
        <v>1</v>
      </c>
      <c r="G1683" s="36">
        <v>2</v>
      </c>
      <c r="H1683" s="36">
        <v>0</v>
      </c>
      <c r="I1683" s="37">
        <v>0</v>
      </c>
      <c r="J1683" s="36"/>
      <c r="K1683" s="36" t="s">
        <v>14330</v>
      </c>
      <c r="L1683" s="36" t="s">
        <v>14330</v>
      </c>
      <c r="M1683">
        <v>2</v>
      </c>
      <c r="N1683" t="s">
        <v>14331</v>
      </c>
      <c r="O1683" t="s">
        <v>14333</v>
      </c>
    </row>
    <row r="1684" spans="1:15" x14ac:dyDescent="0.25">
      <c r="A1684" s="35" t="s">
        <v>5782</v>
      </c>
      <c r="B1684" s="36" t="s">
        <v>5783</v>
      </c>
      <c r="C1684" s="36" t="str">
        <f>HYPERLINK("https://rhld.insurance.arkansas.gov/NPILookup?Npi=1487708079","1487708079")</f>
        <v>1487708079</v>
      </c>
      <c r="D1684" s="36" t="s">
        <v>34343</v>
      </c>
      <c r="E1684" s="36" t="s">
        <v>1</v>
      </c>
      <c r="F1684" s="36">
        <v>1</v>
      </c>
      <c r="G1684" s="36">
        <v>2</v>
      </c>
      <c r="H1684" s="36">
        <v>0</v>
      </c>
      <c r="I1684" s="37">
        <v>0</v>
      </c>
      <c r="J1684" s="36" t="s">
        <v>32654</v>
      </c>
      <c r="K1684" s="36" t="s">
        <v>14330</v>
      </c>
      <c r="L1684" s="36" t="s">
        <v>14330</v>
      </c>
      <c r="M1684">
        <v>2</v>
      </c>
      <c r="N1684" t="s">
        <v>14331</v>
      </c>
      <c r="O1684" t="s">
        <v>32633</v>
      </c>
    </row>
    <row r="1685" spans="1:15" x14ac:dyDescent="0.25">
      <c r="A1685" s="35" t="s">
        <v>5782</v>
      </c>
      <c r="B1685" s="36" t="s">
        <v>5783</v>
      </c>
      <c r="C1685" s="36" t="str">
        <f>HYPERLINK("https://rhld.insurance.arkansas.gov/NPILookup?Npi=1497958722","1497958722")</f>
        <v>1497958722</v>
      </c>
      <c r="D1685" s="36" t="s">
        <v>34344</v>
      </c>
      <c r="E1685" s="36" t="s">
        <v>2</v>
      </c>
      <c r="F1685" s="36">
        <v>1</v>
      </c>
      <c r="G1685" s="36">
        <v>2</v>
      </c>
      <c r="H1685" s="36">
        <v>0</v>
      </c>
      <c r="I1685" s="37">
        <v>0</v>
      </c>
      <c r="J1685" s="36"/>
      <c r="K1685" s="36" t="s">
        <v>14330</v>
      </c>
      <c r="L1685" s="36" t="s">
        <v>14330</v>
      </c>
      <c r="M1685">
        <v>2</v>
      </c>
      <c r="N1685" t="s">
        <v>14331</v>
      </c>
      <c r="O1685" t="s">
        <v>14333</v>
      </c>
    </row>
    <row r="1686" spans="1:15" x14ac:dyDescent="0.25">
      <c r="A1686" s="35" t="s">
        <v>5782</v>
      </c>
      <c r="B1686" s="36" t="s">
        <v>5783</v>
      </c>
      <c r="C1686" s="36" t="str">
        <f>HYPERLINK("https://rhld.insurance.arkansas.gov/NPILookup?Npi=1508465402","1508465402")</f>
        <v>1508465402</v>
      </c>
      <c r="D1686" s="36" t="s">
        <v>34345</v>
      </c>
      <c r="E1686" s="36" t="s">
        <v>2</v>
      </c>
      <c r="F1686" s="36">
        <v>1</v>
      </c>
      <c r="G1686" s="36">
        <v>2</v>
      </c>
      <c r="H1686" s="36">
        <v>0</v>
      </c>
      <c r="I1686" s="37">
        <v>0</v>
      </c>
      <c r="J1686" s="36" t="s">
        <v>34165</v>
      </c>
      <c r="K1686" s="36" t="s">
        <v>14330</v>
      </c>
      <c r="L1686" s="36" t="s">
        <v>14330</v>
      </c>
      <c r="M1686">
        <v>2</v>
      </c>
      <c r="N1686" t="s">
        <v>14331</v>
      </c>
      <c r="O1686" t="s">
        <v>14333</v>
      </c>
    </row>
    <row r="1687" spans="1:15" x14ac:dyDescent="0.25">
      <c r="A1687" s="35" t="s">
        <v>5782</v>
      </c>
      <c r="B1687" s="36" t="s">
        <v>5783</v>
      </c>
      <c r="C1687" s="36" t="str">
        <f>HYPERLINK("https://rhld.insurance.arkansas.gov/NPILookup?Npi=1508595547","1508595547")</f>
        <v>1508595547</v>
      </c>
      <c r="D1687" s="36" t="s">
        <v>34346</v>
      </c>
      <c r="E1687" s="36" t="s">
        <v>2</v>
      </c>
      <c r="F1687" s="36">
        <v>1</v>
      </c>
      <c r="G1687" s="36">
        <v>2</v>
      </c>
      <c r="H1687" s="36">
        <v>0</v>
      </c>
      <c r="I1687" s="37">
        <v>0</v>
      </c>
      <c r="J1687" s="36"/>
      <c r="K1687" s="36" t="s">
        <v>14330</v>
      </c>
      <c r="L1687" s="36" t="s">
        <v>14330</v>
      </c>
      <c r="M1687">
        <v>1</v>
      </c>
      <c r="N1687" t="s">
        <v>14331</v>
      </c>
      <c r="O1687" t="s">
        <v>14333</v>
      </c>
    </row>
    <row r="1688" spans="1:15" x14ac:dyDescent="0.25">
      <c r="A1688" s="35" t="s">
        <v>5782</v>
      </c>
      <c r="B1688" s="36" t="s">
        <v>5783</v>
      </c>
      <c r="C1688" s="36" t="str">
        <f>HYPERLINK("https://rhld.insurance.arkansas.gov/NPILookup?Npi=1508897307","1508897307")</f>
        <v>1508897307</v>
      </c>
      <c r="D1688" s="36" t="s">
        <v>34347</v>
      </c>
      <c r="E1688" s="36" t="s">
        <v>1</v>
      </c>
      <c r="F1688" s="36">
        <v>1</v>
      </c>
      <c r="G1688" s="36">
        <v>2</v>
      </c>
      <c r="H1688" s="36">
        <v>1</v>
      </c>
      <c r="I1688" s="37">
        <v>0</v>
      </c>
      <c r="J1688" s="36" t="s">
        <v>32654</v>
      </c>
      <c r="K1688" s="36" t="s">
        <v>14330</v>
      </c>
      <c r="L1688" s="36" t="s">
        <v>34171</v>
      </c>
      <c r="M1688">
        <v>2</v>
      </c>
      <c r="N1688" t="s">
        <v>14332</v>
      </c>
      <c r="O1688" t="s">
        <v>32591</v>
      </c>
    </row>
    <row r="1689" spans="1:15" x14ac:dyDescent="0.25">
      <c r="A1689" s="35" t="s">
        <v>5782</v>
      </c>
      <c r="B1689" s="36" t="s">
        <v>5783</v>
      </c>
      <c r="C1689" s="36" t="str">
        <f>HYPERLINK("https://rhld.insurance.arkansas.gov/NPILookup?Npi=1518252725","1518252725")</f>
        <v>1518252725</v>
      </c>
      <c r="D1689" s="36" t="s">
        <v>34348</v>
      </c>
      <c r="E1689" s="36" t="s">
        <v>1</v>
      </c>
      <c r="F1689" s="36">
        <v>1</v>
      </c>
      <c r="G1689" s="36">
        <v>2</v>
      </c>
      <c r="H1689" s="36">
        <v>0</v>
      </c>
      <c r="I1689" s="37">
        <v>0</v>
      </c>
      <c r="J1689" s="36" t="s">
        <v>32654</v>
      </c>
      <c r="K1689" s="36" t="s">
        <v>14330</v>
      </c>
      <c r="L1689" s="36" t="s">
        <v>14330</v>
      </c>
      <c r="M1689">
        <v>2</v>
      </c>
      <c r="N1689" t="s">
        <v>14331</v>
      </c>
      <c r="O1689" t="s">
        <v>32633</v>
      </c>
    </row>
    <row r="1690" spans="1:15" x14ac:dyDescent="0.25">
      <c r="A1690" s="35" t="s">
        <v>5782</v>
      </c>
      <c r="B1690" s="36" t="s">
        <v>5783</v>
      </c>
      <c r="C1690" s="36" t="str">
        <f>HYPERLINK("https://rhld.insurance.arkansas.gov/NPILookup?Npi=1518358522","1518358522")</f>
        <v>1518358522</v>
      </c>
      <c r="D1690" s="36" t="s">
        <v>34349</v>
      </c>
      <c r="E1690" s="36" t="s">
        <v>1</v>
      </c>
      <c r="F1690" s="36">
        <v>1</v>
      </c>
      <c r="G1690" s="36">
        <v>2</v>
      </c>
      <c r="H1690" s="36">
        <v>0</v>
      </c>
      <c r="I1690" s="37">
        <v>0</v>
      </c>
      <c r="J1690" s="36" t="s">
        <v>32654</v>
      </c>
      <c r="K1690" s="36" t="s">
        <v>14330</v>
      </c>
      <c r="L1690" s="36" t="s">
        <v>14330</v>
      </c>
      <c r="M1690">
        <v>2</v>
      </c>
      <c r="N1690" t="s">
        <v>14331</v>
      </c>
      <c r="O1690" t="s">
        <v>32633</v>
      </c>
    </row>
    <row r="1691" spans="1:15" x14ac:dyDescent="0.25">
      <c r="A1691" s="35" t="s">
        <v>5782</v>
      </c>
      <c r="B1691" s="36" t="s">
        <v>5783</v>
      </c>
      <c r="C1691" s="36" t="str">
        <f>HYPERLINK("https://rhld.insurance.arkansas.gov/NPILookup?Npi=1518560192","1518560192")</f>
        <v>1518560192</v>
      </c>
      <c r="D1691" s="36" t="s">
        <v>34350</v>
      </c>
      <c r="E1691" s="36" t="s">
        <v>2</v>
      </c>
      <c r="F1691" s="36">
        <v>1</v>
      </c>
      <c r="G1691" s="36">
        <v>2</v>
      </c>
      <c r="H1691" s="36">
        <v>0</v>
      </c>
      <c r="I1691" s="37">
        <v>0</v>
      </c>
      <c r="J1691" s="36"/>
      <c r="K1691" s="36" t="s">
        <v>14330</v>
      </c>
      <c r="L1691" s="36" t="s">
        <v>14330</v>
      </c>
      <c r="M1691">
        <v>2</v>
      </c>
      <c r="N1691" t="s">
        <v>14331</v>
      </c>
      <c r="O1691" t="s">
        <v>14333</v>
      </c>
    </row>
    <row r="1692" spans="1:15" x14ac:dyDescent="0.25">
      <c r="A1692" s="35" t="s">
        <v>5782</v>
      </c>
      <c r="B1692" s="36" t="s">
        <v>5783</v>
      </c>
      <c r="C1692" s="36" t="str">
        <f>HYPERLINK("https://rhld.insurance.arkansas.gov/NPILookup?Npi=1518598259","1518598259")</f>
        <v>1518598259</v>
      </c>
      <c r="D1692" s="36" t="s">
        <v>34351</v>
      </c>
      <c r="E1692" s="36" t="s">
        <v>2</v>
      </c>
      <c r="F1692" s="36">
        <v>1</v>
      </c>
      <c r="G1692" s="36">
        <v>2</v>
      </c>
      <c r="H1692" s="36">
        <v>0</v>
      </c>
      <c r="I1692" s="37">
        <v>0</v>
      </c>
      <c r="J1692" s="36"/>
      <c r="K1692" s="36" t="s">
        <v>14330</v>
      </c>
      <c r="L1692" s="36" t="s">
        <v>14330</v>
      </c>
      <c r="M1692">
        <v>2</v>
      </c>
      <c r="N1692" t="s">
        <v>14331</v>
      </c>
      <c r="O1692" t="s">
        <v>14333</v>
      </c>
    </row>
    <row r="1693" spans="1:15" x14ac:dyDescent="0.25">
      <c r="A1693" s="35" t="s">
        <v>5782</v>
      </c>
      <c r="B1693" s="36" t="s">
        <v>5783</v>
      </c>
      <c r="C1693" s="36" t="str">
        <f>HYPERLINK("https://rhld.insurance.arkansas.gov/NPILookup?Npi=1518637404","1518637404")</f>
        <v>1518637404</v>
      </c>
      <c r="D1693" s="36" t="s">
        <v>34352</v>
      </c>
      <c r="E1693" s="36" t="s">
        <v>2</v>
      </c>
      <c r="F1693" s="36">
        <v>2</v>
      </c>
      <c r="G1693" s="36">
        <v>2</v>
      </c>
      <c r="H1693" s="36">
        <v>0</v>
      </c>
      <c r="I1693" s="37">
        <v>0</v>
      </c>
      <c r="J1693" s="36" t="s">
        <v>34181</v>
      </c>
      <c r="K1693" s="36" t="s">
        <v>14330</v>
      </c>
      <c r="L1693" s="36" t="s">
        <v>14330</v>
      </c>
      <c r="M1693">
        <v>2</v>
      </c>
      <c r="N1693" t="s">
        <v>14331</v>
      </c>
      <c r="O1693" t="s">
        <v>14333</v>
      </c>
    </row>
    <row r="1694" spans="1:15" x14ac:dyDescent="0.25">
      <c r="A1694" s="35" t="s">
        <v>5782</v>
      </c>
      <c r="B1694" s="36" t="s">
        <v>5783</v>
      </c>
      <c r="C1694" s="36" t="str">
        <f>HYPERLINK("https://rhld.insurance.arkansas.gov/NPILookup?Npi=1518664747","1518664747")</f>
        <v>1518664747</v>
      </c>
      <c r="D1694" s="36" t="s">
        <v>34353</v>
      </c>
      <c r="E1694" s="36" t="s">
        <v>2</v>
      </c>
      <c r="F1694" s="36">
        <v>1</v>
      </c>
      <c r="G1694" s="36">
        <v>2</v>
      </c>
      <c r="H1694" s="36">
        <v>0</v>
      </c>
      <c r="I1694" s="37">
        <v>0</v>
      </c>
      <c r="J1694" s="36"/>
      <c r="K1694" s="36" t="s">
        <v>14330</v>
      </c>
      <c r="L1694" s="36" t="s">
        <v>14330</v>
      </c>
      <c r="M1694">
        <v>2</v>
      </c>
      <c r="N1694" t="s">
        <v>14331</v>
      </c>
      <c r="O1694" t="s">
        <v>14333</v>
      </c>
    </row>
    <row r="1695" spans="1:15" x14ac:dyDescent="0.25">
      <c r="A1695" s="35" t="s">
        <v>5782</v>
      </c>
      <c r="B1695" s="36" t="s">
        <v>5783</v>
      </c>
      <c r="C1695" s="36" t="str">
        <f>HYPERLINK("https://rhld.insurance.arkansas.gov/NPILookup?Npi=1518780063","1518780063")</f>
        <v>1518780063</v>
      </c>
      <c r="D1695" s="36" t="s">
        <v>34354</v>
      </c>
      <c r="E1695" s="36" t="s">
        <v>2</v>
      </c>
      <c r="F1695" s="36">
        <v>1</v>
      </c>
      <c r="G1695" s="36">
        <v>2</v>
      </c>
      <c r="H1695" s="36">
        <v>0</v>
      </c>
      <c r="I1695" s="37">
        <v>0</v>
      </c>
      <c r="J1695" s="36"/>
      <c r="K1695" s="36" t="s">
        <v>14330</v>
      </c>
      <c r="L1695" s="36" t="s">
        <v>14330</v>
      </c>
      <c r="M1695">
        <v>2</v>
      </c>
      <c r="N1695" t="s">
        <v>14331</v>
      </c>
      <c r="O1695" t="s">
        <v>14333</v>
      </c>
    </row>
    <row r="1696" spans="1:15" x14ac:dyDescent="0.25">
      <c r="A1696" s="35" t="s">
        <v>5782</v>
      </c>
      <c r="B1696" s="36" t="s">
        <v>5783</v>
      </c>
      <c r="C1696" s="36" t="str">
        <f>HYPERLINK("https://rhld.insurance.arkansas.gov/NPILookup?Npi=1518795657","1518795657")</f>
        <v>1518795657</v>
      </c>
      <c r="D1696" s="36" t="s">
        <v>34355</v>
      </c>
      <c r="E1696" s="36" t="s">
        <v>2</v>
      </c>
      <c r="F1696" s="36">
        <v>1</v>
      </c>
      <c r="G1696" s="36">
        <v>2</v>
      </c>
      <c r="H1696" s="36">
        <v>0</v>
      </c>
      <c r="I1696" s="37">
        <v>0</v>
      </c>
      <c r="J1696" s="36"/>
      <c r="K1696" s="36" t="s">
        <v>14330</v>
      </c>
      <c r="L1696" s="36" t="s">
        <v>14330</v>
      </c>
      <c r="M1696">
        <v>3</v>
      </c>
      <c r="N1696" t="s">
        <v>14331</v>
      </c>
      <c r="O1696" t="s">
        <v>14333</v>
      </c>
    </row>
    <row r="1697" spans="1:15" x14ac:dyDescent="0.25">
      <c r="A1697" s="35" t="s">
        <v>5782</v>
      </c>
      <c r="B1697" s="36" t="s">
        <v>5783</v>
      </c>
      <c r="C1697" s="36" t="str">
        <f>HYPERLINK("https://rhld.insurance.arkansas.gov/NPILookup?Npi=1518924471","1518924471")</f>
        <v>1518924471</v>
      </c>
      <c r="D1697" s="36" t="s">
        <v>34356</v>
      </c>
      <c r="E1697" s="36" t="s">
        <v>1</v>
      </c>
      <c r="F1697" s="36">
        <v>1</v>
      </c>
      <c r="G1697" s="36">
        <v>3</v>
      </c>
      <c r="H1697" s="36">
        <v>0</v>
      </c>
      <c r="I1697" s="37">
        <v>0</v>
      </c>
      <c r="J1697" s="36" t="s">
        <v>32654</v>
      </c>
      <c r="K1697" s="36" t="s">
        <v>14330</v>
      </c>
      <c r="L1697" s="36" t="s">
        <v>14330</v>
      </c>
      <c r="M1697">
        <v>2</v>
      </c>
      <c r="N1697" t="s">
        <v>14331</v>
      </c>
      <c r="O1697" t="s">
        <v>32633</v>
      </c>
    </row>
    <row r="1698" spans="1:15" x14ac:dyDescent="0.25">
      <c r="A1698" s="35" t="s">
        <v>5782</v>
      </c>
      <c r="B1698" s="36" t="s">
        <v>5783</v>
      </c>
      <c r="C1698" s="36" t="str">
        <f>HYPERLINK("https://rhld.insurance.arkansas.gov/NPILookup?Npi=1528485257","1528485257")</f>
        <v>1528485257</v>
      </c>
      <c r="D1698" s="36" t="s">
        <v>34357</v>
      </c>
      <c r="E1698" s="36" t="s">
        <v>2</v>
      </c>
      <c r="F1698" s="36">
        <v>1</v>
      </c>
      <c r="G1698" s="36">
        <v>2</v>
      </c>
      <c r="H1698" s="36">
        <v>0</v>
      </c>
      <c r="I1698" s="37">
        <v>0</v>
      </c>
      <c r="J1698" s="36" t="s">
        <v>34165</v>
      </c>
      <c r="K1698" s="36" t="s">
        <v>14330</v>
      </c>
      <c r="L1698" s="36" t="s">
        <v>14330</v>
      </c>
      <c r="M1698">
        <v>1</v>
      </c>
      <c r="N1698" t="s">
        <v>14331</v>
      </c>
      <c r="O1698" t="s">
        <v>14333</v>
      </c>
    </row>
    <row r="1699" spans="1:15" x14ac:dyDescent="0.25">
      <c r="A1699" s="35" t="s">
        <v>5782</v>
      </c>
      <c r="B1699" s="36" t="s">
        <v>5783</v>
      </c>
      <c r="C1699" s="36" t="str">
        <f>HYPERLINK("https://rhld.insurance.arkansas.gov/NPILookup?Npi=1528895315","1528895315")</f>
        <v>1528895315</v>
      </c>
      <c r="D1699" s="36" t="s">
        <v>34358</v>
      </c>
      <c r="E1699" s="36" t="s">
        <v>2</v>
      </c>
      <c r="F1699" s="36">
        <v>1</v>
      </c>
      <c r="G1699" s="36">
        <v>1</v>
      </c>
      <c r="H1699" s="36">
        <v>0</v>
      </c>
      <c r="I1699" s="37">
        <v>0</v>
      </c>
      <c r="J1699" s="36" t="s">
        <v>34165</v>
      </c>
      <c r="K1699" s="36" t="s">
        <v>14330</v>
      </c>
      <c r="L1699" s="36" t="s">
        <v>14330</v>
      </c>
      <c r="M1699">
        <v>3</v>
      </c>
      <c r="N1699" t="s">
        <v>14331</v>
      </c>
      <c r="O1699" t="s">
        <v>32633</v>
      </c>
    </row>
    <row r="1700" spans="1:15" x14ac:dyDescent="0.25">
      <c r="A1700" s="35" t="s">
        <v>5782</v>
      </c>
      <c r="B1700" s="36" t="s">
        <v>5783</v>
      </c>
      <c r="C1700" s="36" t="str">
        <f>HYPERLINK("https://rhld.insurance.arkansas.gov/NPILookup?Npi=1538291489","1538291489")</f>
        <v>1538291489</v>
      </c>
      <c r="D1700" s="36" t="s">
        <v>34359</v>
      </c>
      <c r="E1700" s="36" t="s">
        <v>1</v>
      </c>
      <c r="F1700" s="36">
        <v>1</v>
      </c>
      <c r="G1700" s="36">
        <v>3</v>
      </c>
      <c r="H1700" s="36">
        <v>0</v>
      </c>
      <c r="I1700" s="37">
        <v>0</v>
      </c>
      <c r="J1700" s="36" t="s">
        <v>32654</v>
      </c>
      <c r="K1700" s="36" t="s">
        <v>14330</v>
      </c>
      <c r="L1700" s="36" t="s">
        <v>14330</v>
      </c>
      <c r="M1700">
        <v>0</v>
      </c>
      <c r="N1700" t="s">
        <v>14331</v>
      </c>
      <c r="O1700" t="s">
        <v>32633</v>
      </c>
    </row>
    <row r="1701" spans="1:15" x14ac:dyDescent="0.25">
      <c r="A1701" s="35" t="s">
        <v>5782</v>
      </c>
      <c r="B1701" s="36" t="s">
        <v>5783</v>
      </c>
      <c r="C1701" s="36" t="str">
        <f>HYPERLINK("https://rhld.insurance.arkansas.gov/NPILookup?Npi=1538690995","1538690995")</f>
        <v>1538690995</v>
      </c>
      <c r="D1701" s="36" t="s">
        <v>34360</v>
      </c>
      <c r="E1701" s="36" t="s">
        <v>2</v>
      </c>
      <c r="F1701" s="36">
        <v>1</v>
      </c>
      <c r="G1701" s="36">
        <v>1</v>
      </c>
      <c r="H1701" s="36">
        <v>1</v>
      </c>
      <c r="I1701" s="37">
        <v>1</v>
      </c>
      <c r="J1701" s="36"/>
      <c r="K1701" s="36" t="s">
        <v>14330</v>
      </c>
      <c r="L1701" s="36" t="s">
        <v>34188</v>
      </c>
      <c r="M1701">
        <v>2</v>
      </c>
      <c r="N1701" t="s">
        <v>14331</v>
      </c>
      <c r="O1701" t="s">
        <v>34189</v>
      </c>
    </row>
    <row r="1702" spans="1:15" x14ac:dyDescent="0.25">
      <c r="A1702" s="35" t="s">
        <v>5782</v>
      </c>
      <c r="B1702" s="36" t="s">
        <v>5783</v>
      </c>
      <c r="C1702" s="36" t="str">
        <f>HYPERLINK("https://rhld.insurance.arkansas.gov/NPILookup?Npi=1538880836","1538880836")</f>
        <v>1538880836</v>
      </c>
      <c r="D1702" s="36" t="s">
        <v>34361</v>
      </c>
      <c r="E1702" s="36" t="s">
        <v>2</v>
      </c>
      <c r="F1702" s="36">
        <v>1</v>
      </c>
      <c r="G1702" s="36">
        <v>2</v>
      </c>
      <c r="H1702" s="36">
        <v>0</v>
      </c>
      <c r="I1702" s="37">
        <v>0</v>
      </c>
      <c r="J1702" s="36"/>
      <c r="K1702" s="36" t="s">
        <v>14330</v>
      </c>
      <c r="L1702" s="36" t="s">
        <v>14330</v>
      </c>
      <c r="M1702">
        <v>2</v>
      </c>
      <c r="N1702" t="s">
        <v>14331</v>
      </c>
      <c r="O1702" t="s">
        <v>14333</v>
      </c>
    </row>
    <row r="1703" spans="1:15" x14ac:dyDescent="0.25">
      <c r="A1703" s="35" t="s">
        <v>5782</v>
      </c>
      <c r="B1703" s="36" t="s">
        <v>5783</v>
      </c>
      <c r="C1703" s="36" t="str">
        <f>HYPERLINK("https://rhld.insurance.arkansas.gov/NPILookup?Npi=1538923867","1538923867")</f>
        <v>1538923867</v>
      </c>
      <c r="D1703" s="36" t="s">
        <v>34362</v>
      </c>
      <c r="E1703" s="36" t="s">
        <v>2</v>
      </c>
      <c r="F1703" s="36">
        <v>2</v>
      </c>
      <c r="G1703" s="36">
        <v>2</v>
      </c>
      <c r="H1703" s="36">
        <v>0</v>
      </c>
      <c r="I1703" s="37">
        <v>0</v>
      </c>
      <c r="J1703" s="36" t="s">
        <v>34181</v>
      </c>
      <c r="K1703" s="36" t="s">
        <v>14330</v>
      </c>
      <c r="L1703" s="36" t="s">
        <v>14330</v>
      </c>
      <c r="M1703">
        <v>1</v>
      </c>
      <c r="N1703" t="s">
        <v>14331</v>
      </c>
      <c r="O1703" t="s">
        <v>14333</v>
      </c>
    </row>
    <row r="1704" spans="1:15" x14ac:dyDescent="0.25">
      <c r="A1704" s="35" t="s">
        <v>5782</v>
      </c>
      <c r="B1704" s="36" t="s">
        <v>5783</v>
      </c>
      <c r="C1704" s="36" t="str">
        <f>HYPERLINK("https://rhld.insurance.arkansas.gov/NPILookup?Npi=1548603764","1548603764")</f>
        <v>1548603764</v>
      </c>
      <c r="D1704" s="36" t="s">
        <v>34363</v>
      </c>
      <c r="E1704" s="36" t="s">
        <v>1</v>
      </c>
      <c r="F1704" s="36">
        <v>1</v>
      </c>
      <c r="G1704" s="36">
        <v>2</v>
      </c>
      <c r="H1704" s="36">
        <v>1</v>
      </c>
      <c r="I1704" s="37">
        <v>0</v>
      </c>
      <c r="J1704" s="36" t="s">
        <v>32654</v>
      </c>
      <c r="K1704" s="36" t="s">
        <v>14330</v>
      </c>
      <c r="L1704" s="36" t="s">
        <v>34171</v>
      </c>
      <c r="M1704">
        <v>2</v>
      </c>
      <c r="N1704" t="s">
        <v>14332</v>
      </c>
      <c r="O1704" t="s">
        <v>32591</v>
      </c>
    </row>
    <row r="1705" spans="1:15" x14ac:dyDescent="0.25">
      <c r="A1705" s="35" t="s">
        <v>5782</v>
      </c>
      <c r="B1705" s="36" t="s">
        <v>5783</v>
      </c>
      <c r="C1705" s="36" t="str">
        <f>HYPERLINK("https://rhld.insurance.arkansas.gov/NPILookup?Npi=1548980873","1548980873")</f>
        <v>1548980873</v>
      </c>
      <c r="D1705" s="36" t="s">
        <v>34364</v>
      </c>
      <c r="E1705" s="36" t="s">
        <v>2</v>
      </c>
      <c r="F1705" s="36">
        <v>1</v>
      </c>
      <c r="G1705" s="36">
        <v>2</v>
      </c>
      <c r="H1705" s="36">
        <v>0</v>
      </c>
      <c r="I1705" s="37">
        <v>0</v>
      </c>
      <c r="J1705" s="36"/>
      <c r="K1705" s="36" t="s">
        <v>14330</v>
      </c>
      <c r="L1705" s="36" t="s">
        <v>14330</v>
      </c>
      <c r="M1705">
        <v>2</v>
      </c>
      <c r="N1705" t="s">
        <v>14331</v>
      </c>
      <c r="O1705" t="s">
        <v>14333</v>
      </c>
    </row>
    <row r="1706" spans="1:15" x14ac:dyDescent="0.25">
      <c r="A1706" s="35" t="s">
        <v>5782</v>
      </c>
      <c r="B1706" s="36" t="s">
        <v>5783</v>
      </c>
      <c r="C1706" s="36" t="str">
        <f>HYPERLINK("https://rhld.insurance.arkansas.gov/NPILookup?Npi=1558157784","1558157784")</f>
        <v>1558157784</v>
      </c>
      <c r="D1706" s="36" t="s">
        <v>34365</v>
      </c>
      <c r="E1706" s="36" t="s">
        <v>2</v>
      </c>
      <c r="F1706" s="36">
        <v>2</v>
      </c>
      <c r="G1706" s="36">
        <v>2</v>
      </c>
      <c r="H1706" s="36">
        <v>0</v>
      </c>
      <c r="I1706" s="37">
        <v>0</v>
      </c>
      <c r="J1706" s="36" t="s">
        <v>34181</v>
      </c>
      <c r="K1706" s="36" t="s">
        <v>14330</v>
      </c>
      <c r="L1706" s="36" t="s">
        <v>14330</v>
      </c>
      <c r="M1706">
        <v>2</v>
      </c>
      <c r="N1706" t="s">
        <v>14331</v>
      </c>
      <c r="O1706" t="s">
        <v>14333</v>
      </c>
    </row>
    <row r="1707" spans="1:15" x14ac:dyDescent="0.25">
      <c r="A1707" s="35" t="s">
        <v>5782</v>
      </c>
      <c r="B1707" s="36" t="s">
        <v>5783</v>
      </c>
      <c r="C1707" s="36" t="str">
        <f>HYPERLINK("https://rhld.insurance.arkansas.gov/NPILookup?Npi=1558809475","1558809475")</f>
        <v>1558809475</v>
      </c>
      <c r="D1707" s="36" t="s">
        <v>34366</v>
      </c>
      <c r="E1707" s="36" t="s">
        <v>1</v>
      </c>
      <c r="F1707" s="36">
        <v>1</v>
      </c>
      <c r="G1707" s="36">
        <v>2</v>
      </c>
      <c r="H1707" s="36">
        <v>0</v>
      </c>
      <c r="I1707" s="37">
        <v>0</v>
      </c>
      <c r="J1707" s="36" t="s">
        <v>32654</v>
      </c>
      <c r="K1707" s="36" t="s">
        <v>14330</v>
      </c>
      <c r="L1707" s="36" t="s">
        <v>14330</v>
      </c>
      <c r="M1707">
        <v>2</v>
      </c>
      <c r="N1707" t="s">
        <v>14331</v>
      </c>
      <c r="O1707" t="s">
        <v>32633</v>
      </c>
    </row>
    <row r="1708" spans="1:15" x14ac:dyDescent="0.25">
      <c r="A1708" s="35" t="s">
        <v>5782</v>
      </c>
      <c r="B1708" s="36" t="s">
        <v>5783</v>
      </c>
      <c r="C1708" s="36" t="str">
        <f>HYPERLINK("https://rhld.insurance.arkansas.gov/NPILookup?Npi=1558812842","1558812842")</f>
        <v>1558812842</v>
      </c>
      <c r="D1708" s="36" t="s">
        <v>34367</v>
      </c>
      <c r="E1708" s="36" t="s">
        <v>1</v>
      </c>
      <c r="F1708" s="36">
        <v>1</v>
      </c>
      <c r="G1708" s="36">
        <v>2</v>
      </c>
      <c r="H1708" s="36">
        <v>0</v>
      </c>
      <c r="I1708" s="37">
        <v>0</v>
      </c>
      <c r="J1708" s="36" t="s">
        <v>32654</v>
      </c>
      <c r="K1708" s="36" t="s">
        <v>14330</v>
      </c>
      <c r="L1708" s="36" t="s">
        <v>14330</v>
      </c>
      <c r="M1708">
        <v>2</v>
      </c>
      <c r="N1708" t="s">
        <v>14331</v>
      </c>
      <c r="O1708" t="s">
        <v>32633</v>
      </c>
    </row>
    <row r="1709" spans="1:15" x14ac:dyDescent="0.25">
      <c r="A1709" s="35" t="s">
        <v>5782</v>
      </c>
      <c r="B1709" s="36" t="s">
        <v>5783</v>
      </c>
      <c r="C1709" s="36" t="str">
        <f>HYPERLINK("https://rhld.insurance.arkansas.gov/NPILookup?Npi=1578184982","1578184982")</f>
        <v>1578184982</v>
      </c>
      <c r="D1709" s="36" t="s">
        <v>34368</v>
      </c>
      <c r="E1709" s="36" t="s">
        <v>2</v>
      </c>
      <c r="F1709" s="36">
        <v>1</v>
      </c>
      <c r="G1709" s="36">
        <v>2</v>
      </c>
      <c r="H1709" s="36">
        <v>0</v>
      </c>
      <c r="I1709" s="37">
        <v>0</v>
      </c>
      <c r="J1709" s="36"/>
      <c r="K1709" s="36" t="s">
        <v>14330</v>
      </c>
      <c r="L1709" s="36" t="s">
        <v>14330</v>
      </c>
      <c r="M1709">
        <v>1</v>
      </c>
      <c r="N1709" t="s">
        <v>14331</v>
      </c>
      <c r="O1709" t="s">
        <v>14333</v>
      </c>
    </row>
    <row r="1710" spans="1:15" x14ac:dyDescent="0.25">
      <c r="A1710" s="35" t="s">
        <v>5782</v>
      </c>
      <c r="B1710" s="36" t="s">
        <v>5783</v>
      </c>
      <c r="C1710" s="36" t="str">
        <f>HYPERLINK("https://rhld.insurance.arkansas.gov/NPILookup?Npi=1578377529","1578377529")</f>
        <v>1578377529</v>
      </c>
      <c r="D1710" s="36" t="s">
        <v>34369</v>
      </c>
      <c r="E1710" s="36" t="s">
        <v>2</v>
      </c>
      <c r="F1710" s="36">
        <v>1</v>
      </c>
      <c r="G1710" s="36">
        <v>1</v>
      </c>
      <c r="H1710" s="36">
        <v>0</v>
      </c>
      <c r="I1710" s="37">
        <v>0</v>
      </c>
      <c r="J1710" s="36" t="s">
        <v>34165</v>
      </c>
      <c r="K1710" s="36" t="s">
        <v>14330</v>
      </c>
      <c r="L1710" s="36" t="s">
        <v>14330</v>
      </c>
      <c r="M1710">
        <v>2</v>
      </c>
      <c r="N1710" t="s">
        <v>14331</v>
      </c>
      <c r="O1710" t="s">
        <v>32633</v>
      </c>
    </row>
    <row r="1711" spans="1:15" x14ac:dyDescent="0.25">
      <c r="A1711" s="35" t="s">
        <v>5782</v>
      </c>
      <c r="B1711" s="36" t="s">
        <v>5783</v>
      </c>
      <c r="C1711" s="36" t="str">
        <f>HYPERLINK("https://rhld.insurance.arkansas.gov/NPILookup?Npi=1578818621","1578818621")</f>
        <v>1578818621</v>
      </c>
      <c r="D1711" s="36" t="s">
        <v>34370</v>
      </c>
      <c r="E1711" s="36" t="s">
        <v>1</v>
      </c>
      <c r="F1711" s="36">
        <v>1</v>
      </c>
      <c r="G1711" s="36">
        <v>2</v>
      </c>
      <c r="H1711" s="36">
        <v>0</v>
      </c>
      <c r="I1711" s="37">
        <v>0</v>
      </c>
      <c r="J1711" s="36" t="s">
        <v>32654</v>
      </c>
      <c r="K1711" s="36" t="s">
        <v>14330</v>
      </c>
      <c r="L1711" s="36" t="s">
        <v>14330</v>
      </c>
      <c r="M1711">
        <v>2</v>
      </c>
      <c r="N1711" t="s">
        <v>14331</v>
      </c>
      <c r="O1711" t="s">
        <v>32633</v>
      </c>
    </row>
    <row r="1712" spans="1:15" x14ac:dyDescent="0.25">
      <c r="A1712" s="35" t="s">
        <v>5782</v>
      </c>
      <c r="B1712" s="36" t="s">
        <v>5783</v>
      </c>
      <c r="C1712" s="36" t="str">
        <f>HYPERLINK("https://rhld.insurance.arkansas.gov/NPILookup?Npi=1588355648","1588355648")</f>
        <v>1588355648</v>
      </c>
      <c r="D1712" s="36" t="s">
        <v>34371</v>
      </c>
      <c r="E1712" s="36" t="s">
        <v>2</v>
      </c>
      <c r="F1712" s="36">
        <v>1</v>
      </c>
      <c r="G1712" s="36">
        <v>2</v>
      </c>
      <c r="H1712" s="36">
        <v>0</v>
      </c>
      <c r="I1712" s="37">
        <v>0</v>
      </c>
      <c r="J1712" s="36"/>
      <c r="K1712" s="36" t="s">
        <v>14330</v>
      </c>
      <c r="L1712" s="36" t="s">
        <v>14330</v>
      </c>
      <c r="M1712">
        <v>3</v>
      </c>
      <c r="N1712" t="s">
        <v>14331</v>
      </c>
      <c r="O1712" t="s">
        <v>14333</v>
      </c>
    </row>
    <row r="1713" spans="1:15" x14ac:dyDescent="0.25">
      <c r="A1713" s="35" t="s">
        <v>5782</v>
      </c>
      <c r="B1713" s="36" t="s">
        <v>5783</v>
      </c>
      <c r="C1713" s="36" t="str">
        <f>HYPERLINK("https://rhld.insurance.arkansas.gov/NPILookup?Npi=1588696082","1588696082")</f>
        <v>1588696082</v>
      </c>
      <c r="D1713" s="36" t="s">
        <v>34372</v>
      </c>
      <c r="E1713" s="36" t="s">
        <v>1</v>
      </c>
      <c r="F1713" s="36">
        <v>1</v>
      </c>
      <c r="G1713" s="36">
        <v>3</v>
      </c>
      <c r="H1713" s="36">
        <v>0</v>
      </c>
      <c r="I1713" s="37">
        <v>0</v>
      </c>
      <c r="J1713" s="36" t="s">
        <v>32654</v>
      </c>
      <c r="K1713" s="36" t="s">
        <v>14330</v>
      </c>
      <c r="L1713" s="36" t="s">
        <v>14330</v>
      </c>
      <c r="M1713">
        <v>2</v>
      </c>
      <c r="N1713" t="s">
        <v>14331</v>
      </c>
      <c r="O1713" t="s">
        <v>32633</v>
      </c>
    </row>
    <row r="1714" spans="1:15" x14ac:dyDescent="0.25">
      <c r="A1714" s="35" t="s">
        <v>5782</v>
      </c>
      <c r="B1714" s="36" t="s">
        <v>5783</v>
      </c>
      <c r="C1714" s="36" t="str">
        <f>HYPERLINK("https://rhld.insurance.arkansas.gov/NPILookup?Npi=1609233733","1609233733")</f>
        <v>1609233733</v>
      </c>
      <c r="D1714" s="36" t="s">
        <v>34373</v>
      </c>
      <c r="E1714" s="36" t="s">
        <v>1</v>
      </c>
      <c r="F1714" s="36">
        <v>1</v>
      </c>
      <c r="G1714" s="36">
        <v>2</v>
      </c>
      <c r="H1714" s="36">
        <v>0</v>
      </c>
      <c r="I1714" s="37">
        <v>0</v>
      </c>
      <c r="J1714" s="36" t="s">
        <v>32654</v>
      </c>
      <c r="K1714" s="36" t="s">
        <v>14330</v>
      </c>
      <c r="L1714" s="36" t="s">
        <v>14330</v>
      </c>
      <c r="M1714">
        <v>3</v>
      </c>
      <c r="N1714" t="s">
        <v>14331</v>
      </c>
      <c r="O1714" t="s">
        <v>32633</v>
      </c>
    </row>
    <row r="1715" spans="1:15" x14ac:dyDescent="0.25">
      <c r="A1715" s="35" t="s">
        <v>5782</v>
      </c>
      <c r="B1715" s="36" t="s">
        <v>5783</v>
      </c>
      <c r="C1715" s="36" t="str">
        <f>HYPERLINK("https://rhld.insurance.arkansas.gov/NPILookup?Npi=1609447515","1609447515")</f>
        <v>1609447515</v>
      </c>
      <c r="D1715" s="36" t="s">
        <v>34374</v>
      </c>
      <c r="E1715" s="36" t="s">
        <v>1</v>
      </c>
      <c r="F1715" s="36">
        <v>1</v>
      </c>
      <c r="G1715" s="36">
        <v>3</v>
      </c>
      <c r="H1715" s="36">
        <v>0</v>
      </c>
      <c r="I1715" s="37">
        <v>0</v>
      </c>
      <c r="J1715" s="36" t="s">
        <v>32654</v>
      </c>
      <c r="K1715" s="36" t="s">
        <v>14330</v>
      </c>
      <c r="L1715" s="36" t="s">
        <v>14330</v>
      </c>
      <c r="M1715">
        <v>2</v>
      </c>
      <c r="N1715" t="s">
        <v>14331</v>
      </c>
      <c r="O1715" t="s">
        <v>32633</v>
      </c>
    </row>
    <row r="1716" spans="1:15" x14ac:dyDescent="0.25">
      <c r="A1716" s="35" t="s">
        <v>5782</v>
      </c>
      <c r="B1716" s="36" t="s">
        <v>5783</v>
      </c>
      <c r="C1716" s="36" t="str">
        <f>HYPERLINK("https://rhld.insurance.arkansas.gov/NPILookup?Npi=1609499904","1609499904")</f>
        <v>1609499904</v>
      </c>
      <c r="D1716" s="36" t="s">
        <v>34375</v>
      </c>
      <c r="E1716" s="36" t="s">
        <v>1</v>
      </c>
      <c r="F1716" s="36">
        <v>1</v>
      </c>
      <c r="G1716" s="36">
        <v>2</v>
      </c>
      <c r="H1716" s="36">
        <v>0</v>
      </c>
      <c r="I1716" s="37">
        <v>0</v>
      </c>
      <c r="J1716" s="36" t="s">
        <v>32723</v>
      </c>
      <c r="K1716" s="36" t="s">
        <v>14330</v>
      </c>
      <c r="L1716" s="36" t="s">
        <v>14330</v>
      </c>
      <c r="M1716">
        <v>0</v>
      </c>
      <c r="N1716" t="s">
        <v>14331</v>
      </c>
      <c r="O1716" t="s">
        <v>32724</v>
      </c>
    </row>
    <row r="1717" spans="1:15" x14ac:dyDescent="0.25">
      <c r="A1717" s="35" t="s">
        <v>5782</v>
      </c>
      <c r="B1717" s="36" t="s">
        <v>5783</v>
      </c>
      <c r="C1717" s="36" t="str">
        <f>HYPERLINK("https://rhld.insurance.arkansas.gov/NPILookup?Npi=1619239548","1619239548")</f>
        <v>1619239548</v>
      </c>
      <c r="D1717" s="36" t="s">
        <v>34376</v>
      </c>
      <c r="E1717" s="36" t="s">
        <v>2</v>
      </c>
      <c r="F1717" s="36">
        <v>1</v>
      </c>
      <c r="G1717" s="36">
        <v>1</v>
      </c>
      <c r="H1717" s="36">
        <v>1</v>
      </c>
      <c r="I1717" s="37">
        <v>1</v>
      </c>
      <c r="J1717" s="36"/>
      <c r="K1717" s="36" t="s">
        <v>14330</v>
      </c>
      <c r="L1717" s="36" t="s">
        <v>34188</v>
      </c>
      <c r="M1717">
        <v>3</v>
      </c>
      <c r="N1717" t="s">
        <v>14331</v>
      </c>
      <c r="O1717" t="s">
        <v>34189</v>
      </c>
    </row>
    <row r="1718" spans="1:15" x14ac:dyDescent="0.25">
      <c r="A1718" s="35" t="s">
        <v>5782</v>
      </c>
      <c r="B1718" s="36" t="s">
        <v>5783</v>
      </c>
      <c r="C1718" s="36" t="str">
        <f>HYPERLINK("https://rhld.insurance.arkansas.gov/NPILookup?Npi=1619547478","1619547478")</f>
        <v>1619547478</v>
      </c>
      <c r="D1718" s="36" t="s">
        <v>34377</v>
      </c>
      <c r="E1718" s="36" t="s">
        <v>1</v>
      </c>
      <c r="F1718" s="36">
        <v>1</v>
      </c>
      <c r="G1718" s="36">
        <v>3</v>
      </c>
      <c r="H1718" s="36">
        <v>0</v>
      </c>
      <c r="I1718" s="37">
        <v>0</v>
      </c>
      <c r="J1718" s="36" t="s">
        <v>32654</v>
      </c>
      <c r="K1718" s="36" t="s">
        <v>14330</v>
      </c>
      <c r="L1718" s="36" t="s">
        <v>14330</v>
      </c>
      <c r="M1718">
        <v>2</v>
      </c>
      <c r="N1718" t="s">
        <v>14331</v>
      </c>
      <c r="O1718" t="s">
        <v>32633</v>
      </c>
    </row>
    <row r="1719" spans="1:15" x14ac:dyDescent="0.25">
      <c r="A1719" s="35" t="s">
        <v>5782</v>
      </c>
      <c r="B1719" s="36" t="s">
        <v>5783</v>
      </c>
      <c r="C1719" s="36" t="str">
        <f>HYPERLINK("https://rhld.insurance.arkansas.gov/NPILookup?Npi=1619564374","1619564374")</f>
        <v>1619564374</v>
      </c>
      <c r="D1719" s="36" t="s">
        <v>34378</v>
      </c>
      <c r="E1719" s="36" t="s">
        <v>2</v>
      </c>
      <c r="F1719" s="36">
        <v>2</v>
      </c>
      <c r="G1719" s="36">
        <v>2</v>
      </c>
      <c r="H1719" s="36">
        <v>0</v>
      </c>
      <c r="I1719" s="37">
        <v>0</v>
      </c>
      <c r="J1719" s="36" t="s">
        <v>34181</v>
      </c>
      <c r="K1719" s="36" t="s">
        <v>14330</v>
      </c>
      <c r="L1719" s="36" t="s">
        <v>14330</v>
      </c>
      <c r="M1719">
        <v>0</v>
      </c>
      <c r="N1719" t="s">
        <v>14331</v>
      </c>
      <c r="O1719" t="s">
        <v>14333</v>
      </c>
    </row>
    <row r="1720" spans="1:15" x14ac:dyDescent="0.25">
      <c r="A1720" s="35" t="s">
        <v>5782</v>
      </c>
      <c r="B1720" s="36" t="s">
        <v>5783</v>
      </c>
      <c r="C1720" s="36" t="str">
        <f>HYPERLINK("https://rhld.insurance.arkansas.gov/NPILookup?Npi=1619995198","1619995198")</f>
        <v>1619995198</v>
      </c>
      <c r="D1720" s="36" t="s">
        <v>32697</v>
      </c>
      <c r="E1720" s="36" t="s">
        <v>2</v>
      </c>
      <c r="F1720" s="36">
        <v>1</v>
      </c>
      <c r="G1720" s="36">
        <v>1</v>
      </c>
      <c r="H1720" s="36">
        <v>1</v>
      </c>
      <c r="I1720" s="37">
        <v>1</v>
      </c>
      <c r="J1720" s="36"/>
      <c r="K1720" s="36" t="s">
        <v>14330</v>
      </c>
      <c r="L1720" s="36" t="s">
        <v>34188</v>
      </c>
      <c r="M1720">
        <v>2</v>
      </c>
      <c r="N1720" t="s">
        <v>14331</v>
      </c>
      <c r="O1720" t="s">
        <v>34189</v>
      </c>
    </row>
    <row r="1721" spans="1:15" x14ac:dyDescent="0.25">
      <c r="A1721" s="35" t="s">
        <v>5782</v>
      </c>
      <c r="B1721" s="36" t="s">
        <v>5783</v>
      </c>
      <c r="C1721" s="36" t="str">
        <f>HYPERLINK("https://rhld.insurance.arkansas.gov/NPILookup?Npi=1629168299","1629168299")</f>
        <v>1629168299</v>
      </c>
      <c r="D1721" s="36" t="s">
        <v>34379</v>
      </c>
      <c r="E1721" s="36" t="s">
        <v>1</v>
      </c>
      <c r="F1721" s="36">
        <v>1</v>
      </c>
      <c r="G1721" s="36">
        <v>2</v>
      </c>
      <c r="H1721" s="36">
        <v>0</v>
      </c>
      <c r="I1721" s="37">
        <v>0</v>
      </c>
      <c r="J1721" s="36" t="s">
        <v>32654</v>
      </c>
      <c r="K1721" s="36" t="s">
        <v>14330</v>
      </c>
      <c r="L1721" s="36" t="s">
        <v>14330</v>
      </c>
      <c r="M1721">
        <v>2</v>
      </c>
      <c r="N1721" t="s">
        <v>14331</v>
      </c>
      <c r="O1721" t="s">
        <v>32633</v>
      </c>
    </row>
    <row r="1722" spans="1:15" x14ac:dyDescent="0.25">
      <c r="A1722" s="35" t="s">
        <v>5782</v>
      </c>
      <c r="B1722" s="36" t="s">
        <v>5783</v>
      </c>
      <c r="C1722" s="36" t="str">
        <f>HYPERLINK("https://rhld.insurance.arkansas.gov/NPILookup?Npi=1629360383","1629360383")</f>
        <v>1629360383</v>
      </c>
      <c r="D1722" s="36" t="s">
        <v>34380</v>
      </c>
      <c r="E1722" s="36" t="s">
        <v>2</v>
      </c>
      <c r="F1722" s="36">
        <v>1</v>
      </c>
      <c r="G1722" s="36">
        <v>2</v>
      </c>
      <c r="H1722" s="36">
        <v>0</v>
      </c>
      <c r="I1722" s="37">
        <v>0</v>
      </c>
      <c r="J1722" s="36"/>
      <c r="K1722" s="36" t="s">
        <v>14330</v>
      </c>
      <c r="L1722" s="36" t="s">
        <v>14330</v>
      </c>
      <c r="M1722">
        <v>2</v>
      </c>
      <c r="N1722" t="s">
        <v>14331</v>
      </c>
      <c r="O1722" t="s">
        <v>14333</v>
      </c>
    </row>
    <row r="1723" spans="1:15" x14ac:dyDescent="0.25">
      <c r="A1723" s="35" t="s">
        <v>5782</v>
      </c>
      <c r="B1723" s="36" t="s">
        <v>5783</v>
      </c>
      <c r="C1723" s="36" t="str">
        <f>HYPERLINK("https://rhld.insurance.arkansas.gov/NPILookup?Npi=1629884606","1629884606")</f>
        <v>1629884606</v>
      </c>
      <c r="D1723" s="36" t="s">
        <v>34381</v>
      </c>
      <c r="E1723" s="36" t="s">
        <v>2</v>
      </c>
      <c r="F1723" s="36">
        <v>1</v>
      </c>
      <c r="G1723" s="36">
        <v>2</v>
      </c>
      <c r="H1723" s="36">
        <v>0</v>
      </c>
      <c r="I1723" s="37">
        <v>0</v>
      </c>
      <c r="J1723" s="36"/>
      <c r="K1723" s="36" t="s">
        <v>14330</v>
      </c>
      <c r="L1723" s="36" t="s">
        <v>14330</v>
      </c>
      <c r="M1723">
        <v>2</v>
      </c>
      <c r="N1723" t="s">
        <v>14331</v>
      </c>
      <c r="O1723" t="s">
        <v>14333</v>
      </c>
    </row>
    <row r="1724" spans="1:15" x14ac:dyDescent="0.25">
      <c r="A1724" s="35" t="s">
        <v>5782</v>
      </c>
      <c r="B1724" s="36" t="s">
        <v>5783</v>
      </c>
      <c r="C1724" s="36" t="str">
        <f>HYPERLINK("https://rhld.insurance.arkansas.gov/NPILookup?Npi=1639430002","1639430002")</f>
        <v>1639430002</v>
      </c>
      <c r="D1724" s="36" t="s">
        <v>34382</v>
      </c>
      <c r="E1724" s="36" t="s">
        <v>1</v>
      </c>
      <c r="F1724" s="36">
        <v>1</v>
      </c>
      <c r="G1724" s="36">
        <v>2</v>
      </c>
      <c r="H1724" s="36">
        <v>0</v>
      </c>
      <c r="I1724" s="37">
        <v>0</v>
      </c>
      <c r="J1724" s="36" t="s">
        <v>32654</v>
      </c>
      <c r="K1724" s="36" t="s">
        <v>14330</v>
      </c>
      <c r="L1724" s="36" t="s">
        <v>14330</v>
      </c>
      <c r="M1724">
        <v>2</v>
      </c>
      <c r="N1724" t="s">
        <v>14331</v>
      </c>
      <c r="O1724" t="s">
        <v>32633</v>
      </c>
    </row>
    <row r="1725" spans="1:15" x14ac:dyDescent="0.25">
      <c r="A1725" s="35" t="s">
        <v>5782</v>
      </c>
      <c r="B1725" s="36" t="s">
        <v>5783</v>
      </c>
      <c r="C1725" s="36" t="str">
        <f>HYPERLINK("https://rhld.insurance.arkansas.gov/NPILookup?Npi=1639441553","1639441553")</f>
        <v>1639441553</v>
      </c>
      <c r="D1725" s="36" t="s">
        <v>34383</v>
      </c>
      <c r="E1725" s="36" t="s">
        <v>2</v>
      </c>
      <c r="F1725" s="36">
        <v>1</v>
      </c>
      <c r="G1725" s="36">
        <v>2</v>
      </c>
      <c r="H1725" s="36">
        <v>0</v>
      </c>
      <c r="I1725" s="37">
        <v>0</v>
      </c>
      <c r="J1725" s="36"/>
      <c r="K1725" s="36" t="s">
        <v>14330</v>
      </c>
      <c r="L1725" s="36" t="s">
        <v>14330</v>
      </c>
      <c r="M1725">
        <v>2</v>
      </c>
      <c r="N1725" t="s">
        <v>14331</v>
      </c>
      <c r="O1725" t="s">
        <v>14333</v>
      </c>
    </row>
    <row r="1726" spans="1:15" x14ac:dyDescent="0.25">
      <c r="A1726" s="35" t="s">
        <v>5782</v>
      </c>
      <c r="B1726" s="36" t="s">
        <v>5783</v>
      </c>
      <c r="C1726" s="36" t="str">
        <f>HYPERLINK("https://rhld.insurance.arkansas.gov/NPILookup?Npi=1639701022","1639701022")</f>
        <v>1639701022</v>
      </c>
      <c r="D1726" s="36" t="s">
        <v>34384</v>
      </c>
      <c r="E1726" s="36" t="s">
        <v>1</v>
      </c>
      <c r="F1726" s="36">
        <v>1</v>
      </c>
      <c r="G1726" s="36">
        <v>2</v>
      </c>
      <c r="H1726" s="36">
        <v>0</v>
      </c>
      <c r="I1726" s="37">
        <v>0</v>
      </c>
      <c r="J1726" s="36" t="s">
        <v>32654</v>
      </c>
      <c r="K1726" s="36" t="s">
        <v>14330</v>
      </c>
      <c r="L1726" s="36" t="s">
        <v>14330</v>
      </c>
      <c r="M1726">
        <v>2</v>
      </c>
      <c r="N1726" t="s">
        <v>14331</v>
      </c>
      <c r="O1726" t="s">
        <v>32633</v>
      </c>
    </row>
    <row r="1727" spans="1:15" x14ac:dyDescent="0.25">
      <c r="A1727" s="35" t="s">
        <v>5782</v>
      </c>
      <c r="B1727" s="36" t="s">
        <v>5783</v>
      </c>
      <c r="C1727" s="36" t="str">
        <f>HYPERLINK("https://rhld.insurance.arkansas.gov/NPILookup?Npi=1649058447","1649058447")</f>
        <v>1649058447</v>
      </c>
      <c r="D1727" s="36" t="s">
        <v>34385</v>
      </c>
      <c r="E1727" s="36" t="s">
        <v>2</v>
      </c>
      <c r="F1727" s="36">
        <v>1</v>
      </c>
      <c r="G1727" s="36">
        <v>2</v>
      </c>
      <c r="H1727" s="36">
        <v>0</v>
      </c>
      <c r="I1727" s="37">
        <v>0</v>
      </c>
      <c r="J1727" s="36"/>
      <c r="K1727" s="36" t="s">
        <v>14330</v>
      </c>
      <c r="L1727" s="36" t="s">
        <v>14330</v>
      </c>
      <c r="M1727">
        <v>2</v>
      </c>
      <c r="N1727" t="s">
        <v>14331</v>
      </c>
      <c r="O1727" t="s">
        <v>14333</v>
      </c>
    </row>
    <row r="1728" spans="1:15" x14ac:dyDescent="0.25">
      <c r="A1728" s="35" t="s">
        <v>5782</v>
      </c>
      <c r="B1728" s="36" t="s">
        <v>5783</v>
      </c>
      <c r="C1728" s="36" t="str">
        <f>HYPERLINK("https://rhld.insurance.arkansas.gov/NPILookup?Npi=1649383514","1649383514")</f>
        <v>1649383514</v>
      </c>
      <c r="D1728" s="36" t="s">
        <v>34386</v>
      </c>
      <c r="E1728" s="36" t="s">
        <v>2</v>
      </c>
      <c r="F1728" s="36">
        <v>1</v>
      </c>
      <c r="G1728" s="36">
        <v>2</v>
      </c>
      <c r="H1728" s="36">
        <v>0</v>
      </c>
      <c r="I1728" s="37">
        <v>0</v>
      </c>
      <c r="J1728" s="36"/>
      <c r="K1728" s="36" t="s">
        <v>14330</v>
      </c>
      <c r="L1728" s="36" t="s">
        <v>14330</v>
      </c>
      <c r="M1728">
        <v>3</v>
      </c>
      <c r="N1728" t="s">
        <v>14331</v>
      </c>
      <c r="O1728" t="s">
        <v>14333</v>
      </c>
    </row>
    <row r="1729" spans="1:15" x14ac:dyDescent="0.25">
      <c r="A1729" s="35" t="s">
        <v>5782</v>
      </c>
      <c r="B1729" s="36" t="s">
        <v>5783</v>
      </c>
      <c r="C1729" s="36" t="str">
        <f>HYPERLINK("https://rhld.insurance.arkansas.gov/NPILookup?Npi=1649700063","1649700063")</f>
        <v>1649700063</v>
      </c>
      <c r="D1729" s="36" t="s">
        <v>34387</v>
      </c>
      <c r="E1729" s="36" t="s">
        <v>1</v>
      </c>
      <c r="F1729" s="36">
        <v>1</v>
      </c>
      <c r="G1729" s="36">
        <v>3</v>
      </c>
      <c r="H1729" s="36">
        <v>0</v>
      </c>
      <c r="I1729" s="37">
        <v>0</v>
      </c>
      <c r="J1729" s="36" t="s">
        <v>32654</v>
      </c>
      <c r="K1729" s="36" t="s">
        <v>14330</v>
      </c>
      <c r="L1729" s="36" t="s">
        <v>14330</v>
      </c>
      <c r="M1729">
        <v>2</v>
      </c>
      <c r="N1729" t="s">
        <v>14331</v>
      </c>
      <c r="O1729" t="s">
        <v>32633</v>
      </c>
    </row>
    <row r="1730" spans="1:15" x14ac:dyDescent="0.25">
      <c r="A1730" s="35" t="s">
        <v>5782</v>
      </c>
      <c r="B1730" s="36" t="s">
        <v>5783</v>
      </c>
      <c r="C1730" s="36" t="str">
        <f>HYPERLINK("https://rhld.insurance.arkansas.gov/NPILookup?Npi=1659098804","1659098804")</f>
        <v>1659098804</v>
      </c>
      <c r="D1730" s="36" t="s">
        <v>34388</v>
      </c>
      <c r="E1730" s="36" t="s">
        <v>2</v>
      </c>
      <c r="F1730" s="36">
        <v>1</v>
      </c>
      <c r="G1730" s="36">
        <v>2</v>
      </c>
      <c r="H1730" s="36">
        <v>0</v>
      </c>
      <c r="I1730" s="37">
        <v>0</v>
      </c>
      <c r="J1730" s="36" t="s">
        <v>34165</v>
      </c>
      <c r="K1730" s="36" t="s">
        <v>14330</v>
      </c>
      <c r="L1730" s="36" t="s">
        <v>14330</v>
      </c>
      <c r="M1730">
        <v>2</v>
      </c>
      <c r="N1730" t="s">
        <v>14331</v>
      </c>
      <c r="O1730" t="s">
        <v>14333</v>
      </c>
    </row>
    <row r="1731" spans="1:15" x14ac:dyDescent="0.25">
      <c r="A1731" s="35" t="s">
        <v>5782</v>
      </c>
      <c r="B1731" s="36" t="s">
        <v>5783</v>
      </c>
      <c r="C1731" s="36" t="str">
        <f>HYPERLINK("https://rhld.insurance.arkansas.gov/NPILookup?Npi=1659621571","1659621571")</f>
        <v>1659621571</v>
      </c>
      <c r="D1731" s="36" t="s">
        <v>34389</v>
      </c>
      <c r="E1731" s="36" t="s">
        <v>2</v>
      </c>
      <c r="F1731" s="36">
        <v>1</v>
      </c>
      <c r="G1731" s="36">
        <v>2</v>
      </c>
      <c r="H1731" s="36">
        <v>0</v>
      </c>
      <c r="I1731" s="37">
        <v>0</v>
      </c>
      <c r="J1731" s="36" t="s">
        <v>34165</v>
      </c>
      <c r="K1731" s="36" t="s">
        <v>14330</v>
      </c>
      <c r="L1731" s="36" t="s">
        <v>14330</v>
      </c>
      <c r="M1731">
        <v>2</v>
      </c>
      <c r="N1731" t="s">
        <v>14331</v>
      </c>
      <c r="O1731" t="s">
        <v>14333</v>
      </c>
    </row>
    <row r="1732" spans="1:15" x14ac:dyDescent="0.25">
      <c r="A1732" s="35" t="s">
        <v>5782</v>
      </c>
      <c r="B1732" s="36" t="s">
        <v>5783</v>
      </c>
      <c r="C1732" s="36" t="str">
        <f>HYPERLINK("https://rhld.insurance.arkansas.gov/NPILookup?Npi=1659778827","1659778827")</f>
        <v>1659778827</v>
      </c>
      <c r="D1732" s="36" t="s">
        <v>34390</v>
      </c>
      <c r="E1732" s="36" t="s">
        <v>1</v>
      </c>
      <c r="F1732" s="36">
        <v>1</v>
      </c>
      <c r="G1732" s="36">
        <v>2</v>
      </c>
      <c r="H1732" s="36">
        <v>0</v>
      </c>
      <c r="I1732" s="37">
        <v>0</v>
      </c>
      <c r="J1732" s="36" t="s">
        <v>32654</v>
      </c>
      <c r="K1732" s="36" t="s">
        <v>14330</v>
      </c>
      <c r="L1732" s="36" t="s">
        <v>14330</v>
      </c>
      <c r="M1732">
        <v>2</v>
      </c>
      <c r="N1732" t="s">
        <v>14331</v>
      </c>
      <c r="O1732" t="s">
        <v>32633</v>
      </c>
    </row>
    <row r="1733" spans="1:15" x14ac:dyDescent="0.25">
      <c r="A1733" s="35" t="s">
        <v>5782</v>
      </c>
      <c r="B1733" s="36" t="s">
        <v>5783</v>
      </c>
      <c r="C1733" s="36" t="str">
        <f>HYPERLINK("https://rhld.insurance.arkansas.gov/NPILookup?Npi=1659894186","1659894186")</f>
        <v>1659894186</v>
      </c>
      <c r="D1733" s="36" t="s">
        <v>34391</v>
      </c>
      <c r="E1733" s="36" t="s">
        <v>2</v>
      </c>
      <c r="F1733" s="36">
        <v>1</v>
      </c>
      <c r="G1733" s="36">
        <v>2</v>
      </c>
      <c r="H1733" s="36">
        <v>0</v>
      </c>
      <c r="I1733" s="37">
        <v>0</v>
      </c>
      <c r="J1733" s="36"/>
      <c r="K1733" s="36" t="s">
        <v>14330</v>
      </c>
      <c r="L1733" s="36" t="s">
        <v>14330</v>
      </c>
      <c r="M1733">
        <v>2</v>
      </c>
      <c r="N1733" t="s">
        <v>14331</v>
      </c>
      <c r="O1733" t="s">
        <v>14333</v>
      </c>
    </row>
    <row r="1734" spans="1:15" x14ac:dyDescent="0.25">
      <c r="A1734" s="35" t="s">
        <v>5782</v>
      </c>
      <c r="B1734" s="36" t="s">
        <v>5783</v>
      </c>
      <c r="C1734" s="36" t="str">
        <f>HYPERLINK("https://rhld.insurance.arkansas.gov/NPILookup?Npi=1669056305","1669056305")</f>
        <v>1669056305</v>
      </c>
      <c r="D1734" s="36" t="s">
        <v>34392</v>
      </c>
      <c r="E1734" s="36" t="s">
        <v>2</v>
      </c>
      <c r="F1734" s="36">
        <v>2</v>
      </c>
      <c r="G1734" s="36">
        <v>2</v>
      </c>
      <c r="H1734" s="36">
        <v>0</v>
      </c>
      <c r="I1734" s="37">
        <v>0</v>
      </c>
      <c r="J1734" s="36" t="s">
        <v>34393</v>
      </c>
      <c r="K1734" s="36" t="s">
        <v>14330</v>
      </c>
      <c r="L1734" s="36" t="s">
        <v>14330</v>
      </c>
      <c r="M1734">
        <v>2</v>
      </c>
      <c r="N1734" t="s">
        <v>14331</v>
      </c>
      <c r="O1734" t="s">
        <v>14333</v>
      </c>
    </row>
    <row r="1735" spans="1:15" x14ac:dyDescent="0.25">
      <c r="A1735" s="35" t="s">
        <v>5782</v>
      </c>
      <c r="B1735" s="36" t="s">
        <v>5783</v>
      </c>
      <c r="C1735" s="36" t="str">
        <f>HYPERLINK("https://rhld.insurance.arkansas.gov/NPILookup?Npi=1669107066","1669107066")</f>
        <v>1669107066</v>
      </c>
      <c r="D1735" s="36" t="s">
        <v>34394</v>
      </c>
      <c r="E1735" s="36" t="s">
        <v>2</v>
      </c>
      <c r="F1735" s="36">
        <v>1</v>
      </c>
      <c r="G1735" s="36">
        <v>2</v>
      </c>
      <c r="H1735" s="36">
        <v>0</v>
      </c>
      <c r="I1735" s="37">
        <v>0</v>
      </c>
      <c r="J1735" s="36" t="s">
        <v>34165</v>
      </c>
      <c r="K1735" s="36" t="s">
        <v>14330</v>
      </c>
      <c r="L1735" s="36" t="s">
        <v>14330</v>
      </c>
      <c r="M1735">
        <v>2</v>
      </c>
      <c r="N1735" t="s">
        <v>14331</v>
      </c>
      <c r="O1735" t="s">
        <v>14333</v>
      </c>
    </row>
    <row r="1736" spans="1:15" x14ac:dyDescent="0.25">
      <c r="A1736" s="35" t="s">
        <v>5782</v>
      </c>
      <c r="B1736" s="36" t="s">
        <v>5783</v>
      </c>
      <c r="C1736" s="36" t="str">
        <f>HYPERLINK("https://rhld.insurance.arkansas.gov/NPILookup?Npi=1669180873","1669180873")</f>
        <v>1669180873</v>
      </c>
      <c r="D1736" s="36" t="s">
        <v>34395</v>
      </c>
      <c r="E1736" s="36" t="s">
        <v>2</v>
      </c>
      <c r="F1736" s="36">
        <v>1</v>
      </c>
      <c r="G1736" s="36">
        <v>2</v>
      </c>
      <c r="H1736" s="36">
        <v>0</v>
      </c>
      <c r="I1736" s="37">
        <v>0</v>
      </c>
      <c r="J1736" s="36" t="s">
        <v>34165</v>
      </c>
      <c r="K1736" s="36" t="s">
        <v>14330</v>
      </c>
      <c r="L1736" s="36" t="s">
        <v>14330</v>
      </c>
      <c r="M1736">
        <v>2</v>
      </c>
      <c r="N1736" t="s">
        <v>14331</v>
      </c>
      <c r="O1736" t="s">
        <v>14333</v>
      </c>
    </row>
    <row r="1737" spans="1:15" x14ac:dyDescent="0.25">
      <c r="A1737" s="35" t="s">
        <v>5782</v>
      </c>
      <c r="B1737" s="36" t="s">
        <v>5783</v>
      </c>
      <c r="C1737" s="36" t="str">
        <f>HYPERLINK("https://rhld.insurance.arkansas.gov/NPILookup?Npi=1669210142","1669210142")</f>
        <v>1669210142</v>
      </c>
      <c r="D1737" s="36" t="s">
        <v>34396</v>
      </c>
      <c r="E1737" s="36" t="s">
        <v>2</v>
      </c>
      <c r="F1737" s="36">
        <v>1</v>
      </c>
      <c r="G1737" s="36">
        <v>2</v>
      </c>
      <c r="H1737" s="36">
        <v>0</v>
      </c>
      <c r="I1737" s="37">
        <v>0</v>
      </c>
      <c r="J1737" s="36"/>
      <c r="K1737" s="36" t="s">
        <v>14330</v>
      </c>
      <c r="L1737" s="36" t="s">
        <v>14330</v>
      </c>
      <c r="M1737">
        <v>2</v>
      </c>
      <c r="N1737" t="s">
        <v>14331</v>
      </c>
      <c r="O1737" t="s">
        <v>14333</v>
      </c>
    </row>
    <row r="1738" spans="1:15" x14ac:dyDescent="0.25">
      <c r="A1738" s="35" t="s">
        <v>5782</v>
      </c>
      <c r="B1738" s="36" t="s">
        <v>5783</v>
      </c>
      <c r="C1738" s="36" t="str">
        <f>HYPERLINK("https://rhld.insurance.arkansas.gov/NPILookup?Npi=1669277646","1669277646")</f>
        <v>1669277646</v>
      </c>
      <c r="D1738" s="36" t="s">
        <v>34397</v>
      </c>
      <c r="E1738" s="36" t="s">
        <v>2</v>
      </c>
      <c r="F1738" s="36">
        <v>1</v>
      </c>
      <c r="G1738" s="36">
        <v>2</v>
      </c>
      <c r="H1738" s="36">
        <v>0</v>
      </c>
      <c r="I1738" s="37">
        <v>0</v>
      </c>
      <c r="J1738" s="36" t="s">
        <v>34165</v>
      </c>
      <c r="K1738" s="36" t="s">
        <v>14330</v>
      </c>
      <c r="L1738" s="36" t="s">
        <v>14330</v>
      </c>
      <c r="M1738">
        <v>2</v>
      </c>
      <c r="N1738" t="s">
        <v>14331</v>
      </c>
      <c r="O1738" t="s">
        <v>14333</v>
      </c>
    </row>
    <row r="1739" spans="1:15" x14ac:dyDescent="0.25">
      <c r="A1739" s="35" t="s">
        <v>5782</v>
      </c>
      <c r="B1739" s="36" t="s">
        <v>5783</v>
      </c>
      <c r="C1739" s="36" t="str">
        <f>HYPERLINK("https://rhld.insurance.arkansas.gov/NPILookup?Npi=1669572871","1669572871")</f>
        <v>1669572871</v>
      </c>
      <c r="D1739" s="36" t="s">
        <v>33862</v>
      </c>
      <c r="E1739" s="36" t="s">
        <v>1</v>
      </c>
      <c r="F1739" s="36">
        <v>1</v>
      </c>
      <c r="G1739" s="36">
        <v>2</v>
      </c>
      <c r="H1739" s="36">
        <v>0</v>
      </c>
      <c r="I1739" s="37">
        <v>0</v>
      </c>
      <c r="J1739" s="36" t="s">
        <v>32654</v>
      </c>
      <c r="K1739" s="36" t="s">
        <v>14330</v>
      </c>
      <c r="L1739" s="36" t="s">
        <v>14330</v>
      </c>
      <c r="M1739">
        <v>2</v>
      </c>
      <c r="N1739" t="s">
        <v>14331</v>
      </c>
      <c r="O1739" t="s">
        <v>32633</v>
      </c>
    </row>
    <row r="1740" spans="1:15" x14ac:dyDescent="0.25">
      <c r="A1740" s="35" t="s">
        <v>5782</v>
      </c>
      <c r="B1740" s="36" t="s">
        <v>5783</v>
      </c>
      <c r="C1740" s="36" t="str">
        <f>HYPERLINK("https://rhld.insurance.arkansas.gov/NPILookup?Npi=1669789160","1669789160")</f>
        <v>1669789160</v>
      </c>
      <c r="D1740" s="36" t="s">
        <v>34398</v>
      </c>
      <c r="E1740" s="36" t="s">
        <v>1</v>
      </c>
      <c r="F1740" s="36">
        <v>1</v>
      </c>
      <c r="G1740" s="36">
        <v>2</v>
      </c>
      <c r="H1740" s="36">
        <v>0</v>
      </c>
      <c r="I1740" s="37">
        <v>0</v>
      </c>
      <c r="J1740" s="36" t="s">
        <v>32654</v>
      </c>
      <c r="K1740" s="36" t="s">
        <v>14330</v>
      </c>
      <c r="L1740" s="36" t="s">
        <v>14330</v>
      </c>
      <c r="M1740">
        <v>2</v>
      </c>
      <c r="N1740" t="s">
        <v>14331</v>
      </c>
      <c r="O1740" t="s">
        <v>32633</v>
      </c>
    </row>
    <row r="1741" spans="1:15" x14ac:dyDescent="0.25">
      <c r="A1741" s="35" t="s">
        <v>5782</v>
      </c>
      <c r="B1741" s="36" t="s">
        <v>5783</v>
      </c>
      <c r="C1741" s="36" t="str">
        <f>HYPERLINK("https://rhld.insurance.arkansas.gov/NPILookup?Npi=1679046098","1679046098")</f>
        <v>1679046098</v>
      </c>
      <c r="D1741" s="36" t="s">
        <v>34399</v>
      </c>
      <c r="E1741" s="36" t="s">
        <v>2</v>
      </c>
      <c r="F1741" s="36">
        <v>2</v>
      </c>
      <c r="G1741" s="36">
        <v>2</v>
      </c>
      <c r="H1741" s="36">
        <v>0</v>
      </c>
      <c r="I1741" s="37">
        <v>0</v>
      </c>
      <c r="J1741" s="36" t="s">
        <v>34181</v>
      </c>
      <c r="K1741" s="36" t="s">
        <v>14330</v>
      </c>
      <c r="L1741" s="36" t="s">
        <v>14330</v>
      </c>
      <c r="M1741">
        <v>2</v>
      </c>
      <c r="N1741" t="s">
        <v>14331</v>
      </c>
      <c r="O1741" t="s">
        <v>14333</v>
      </c>
    </row>
    <row r="1742" spans="1:15" x14ac:dyDescent="0.25">
      <c r="A1742" s="35" t="s">
        <v>5782</v>
      </c>
      <c r="B1742" s="36" t="s">
        <v>5783</v>
      </c>
      <c r="C1742" s="36" t="str">
        <f>HYPERLINK("https://rhld.insurance.arkansas.gov/NPILookup?Npi=1689003964","1689003964")</f>
        <v>1689003964</v>
      </c>
      <c r="D1742" s="36" t="s">
        <v>34400</v>
      </c>
      <c r="E1742" s="36" t="s">
        <v>2</v>
      </c>
      <c r="F1742" s="36">
        <v>1</v>
      </c>
      <c r="G1742" s="36">
        <v>2</v>
      </c>
      <c r="H1742" s="36">
        <v>0</v>
      </c>
      <c r="I1742" s="37">
        <v>0</v>
      </c>
      <c r="J1742" s="36"/>
      <c r="K1742" s="36" t="s">
        <v>14330</v>
      </c>
      <c r="L1742" s="36" t="s">
        <v>14330</v>
      </c>
      <c r="M1742">
        <v>0</v>
      </c>
      <c r="N1742" t="s">
        <v>14331</v>
      </c>
      <c r="O1742" t="s">
        <v>14333</v>
      </c>
    </row>
    <row r="1743" spans="1:15" x14ac:dyDescent="0.25">
      <c r="A1743" s="35" t="s">
        <v>5782</v>
      </c>
      <c r="B1743" s="36" t="s">
        <v>5783</v>
      </c>
      <c r="C1743" s="36" t="str">
        <f>HYPERLINK("https://rhld.insurance.arkansas.gov/NPILookup?Npi=1689203986","1689203986")</f>
        <v>1689203986</v>
      </c>
      <c r="D1743" s="36" t="s">
        <v>34401</v>
      </c>
      <c r="E1743" s="36" t="s">
        <v>2</v>
      </c>
      <c r="F1743" s="36">
        <v>1</v>
      </c>
      <c r="G1743" s="36">
        <v>1</v>
      </c>
      <c r="H1743" s="36">
        <v>1</v>
      </c>
      <c r="I1743" s="37">
        <v>1</v>
      </c>
      <c r="J1743" s="36"/>
      <c r="K1743" s="36" t="s">
        <v>14330</v>
      </c>
      <c r="L1743" s="36" t="s">
        <v>34188</v>
      </c>
      <c r="M1743">
        <v>0</v>
      </c>
      <c r="N1743" t="s">
        <v>14331</v>
      </c>
      <c r="O1743" t="s">
        <v>34189</v>
      </c>
    </row>
    <row r="1744" spans="1:15" x14ac:dyDescent="0.25">
      <c r="A1744" s="35" t="s">
        <v>5782</v>
      </c>
      <c r="B1744" s="36" t="s">
        <v>5783</v>
      </c>
      <c r="C1744" s="36" t="str">
        <f>HYPERLINK("https://rhld.insurance.arkansas.gov/NPILookup?Npi=1689253205","1689253205")</f>
        <v>1689253205</v>
      </c>
      <c r="D1744" s="36" t="s">
        <v>34402</v>
      </c>
      <c r="E1744" s="36" t="s">
        <v>2</v>
      </c>
      <c r="F1744" s="36">
        <v>1</v>
      </c>
      <c r="G1744" s="36">
        <v>1</v>
      </c>
      <c r="H1744" s="36">
        <v>1</v>
      </c>
      <c r="I1744" s="37">
        <v>1</v>
      </c>
      <c r="J1744" s="36"/>
      <c r="K1744" s="36" t="s">
        <v>14330</v>
      </c>
      <c r="L1744" s="36" t="s">
        <v>34188</v>
      </c>
      <c r="M1744">
        <v>2</v>
      </c>
      <c r="N1744" t="s">
        <v>14331</v>
      </c>
      <c r="O1744" t="s">
        <v>34189</v>
      </c>
    </row>
    <row r="1745" spans="1:15" x14ac:dyDescent="0.25">
      <c r="A1745" s="35" t="s">
        <v>5782</v>
      </c>
      <c r="B1745" s="36" t="s">
        <v>5783</v>
      </c>
      <c r="C1745" s="36" t="str">
        <f>HYPERLINK("https://rhld.insurance.arkansas.gov/NPILookup?Npi=1689327611","1689327611")</f>
        <v>1689327611</v>
      </c>
      <c r="D1745" s="36" t="s">
        <v>34403</v>
      </c>
      <c r="E1745" s="36" t="s">
        <v>2</v>
      </c>
      <c r="F1745" s="36">
        <v>1</v>
      </c>
      <c r="G1745" s="36">
        <v>2</v>
      </c>
      <c r="H1745" s="36">
        <v>0</v>
      </c>
      <c r="I1745" s="37">
        <v>0</v>
      </c>
      <c r="J1745" s="36" t="s">
        <v>34165</v>
      </c>
      <c r="K1745" s="36" t="s">
        <v>14330</v>
      </c>
      <c r="L1745" s="36" t="s">
        <v>14330</v>
      </c>
      <c r="M1745">
        <v>2</v>
      </c>
      <c r="N1745" t="s">
        <v>14331</v>
      </c>
      <c r="O1745" t="s">
        <v>14333</v>
      </c>
    </row>
    <row r="1746" spans="1:15" x14ac:dyDescent="0.25">
      <c r="A1746" s="35" t="s">
        <v>5782</v>
      </c>
      <c r="B1746" s="36" t="s">
        <v>5783</v>
      </c>
      <c r="C1746" s="36" t="str">
        <f>HYPERLINK("https://rhld.insurance.arkansas.gov/NPILookup?Npi=1689356495","1689356495")</f>
        <v>1689356495</v>
      </c>
      <c r="D1746" s="36" t="s">
        <v>34404</v>
      </c>
      <c r="E1746" s="36" t="s">
        <v>2</v>
      </c>
      <c r="F1746" s="36">
        <v>1</v>
      </c>
      <c r="G1746" s="36">
        <v>2</v>
      </c>
      <c r="H1746" s="36">
        <v>0</v>
      </c>
      <c r="I1746" s="37">
        <v>0</v>
      </c>
      <c r="J1746" s="36"/>
      <c r="K1746" s="36" t="s">
        <v>14330</v>
      </c>
      <c r="L1746" s="36" t="s">
        <v>14330</v>
      </c>
      <c r="M1746">
        <v>1</v>
      </c>
      <c r="N1746" t="s">
        <v>14331</v>
      </c>
      <c r="O1746" t="s">
        <v>14333</v>
      </c>
    </row>
    <row r="1747" spans="1:15" x14ac:dyDescent="0.25">
      <c r="A1747" s="35" t="s">
        <v>5782</v>
      </c>
      <c r="B1747" s="36" t="s">
        <v>5783</v>
      </c>
      <c r="C1747" s="36" t="str">
        <f>HYPERLINK("https://rhld.insurance.arkansas.gov/NPILookup?Npi=1689420028","1689420028")</f>
        <v>1689420028</v>
      </c>
      <c r="D1747" s="36" t="s">
        <v>34405</v>
      </c>
      <c r="E1747" s="36" t="s">
        <v>2</v>
      </c>
      <c r="F1747" s="36">
        <v>1</v>
      </c>
      <c r="G1747" s="36">
        <v>1</v>
      </c>
      <c r="H1747" s="36">
        <v>0</v>
      </c>
      <c r="I1747" s="37">
        <v>0</v>
      </c>
      <c r="J1747" s="36" t="s">
        <v>34165</v>
      </c>
      <c r="K1747" s="36" t="s">
        <v>14330</v>
      </c>
      <c r="L1747" s="36" t="s">
        <v>14330</v>
      </c>
      <c r="M1747">
        <v>3</v>
      </c>
      <c r="N1747" t="s">
        <v>14331</v>
      </c>
      <c r="O1747" t="s">
        <v>32633</v>
      </c>
    </row>
    <row r="1748" spans="1:15" x14ac:dyDescent="0.25">
      <c r="A1748" s="35" t="s">
        <v>5782</v>
      </c>
      <c r="B1748" s="36" t="s">
        <v>5783</v>
      </c>
      <c r="C1748" s="36" t="str">
        <f>HYPERLINK("https://rhld.insurance.arkansas.gov/NPILookup?Npi=1689835225","1689835225")</f>
        <v>1689835225</v>
      </c>
      <c r="D1748" s="36" t="s">
        <v>34406</v>
      </c>
      <c r="E1748" s="36" t="s">
        <v>1</v>
      </c>
      <c r="F1748" s="36">
        <v>1</v>
      </c>
      <c r="G1748" s="36">
        <v>3</v>
      </c>
      <c r="H1748" s="36">
        <v>0</v>
      </c>
      <c r="I1748" s="37">
        <v>0</v>
      </c>
      <c r="J1748" s="36" t="s">
        <v>32654</v>
      </c>
      <c r="K1748" s="36" t="s">
        <v>14330</v>
      </c>
      <c r="L1748" s="36" t="s">
        <v>14330</v>
      </c>
      <c r="M1748">
        <v>3</v>
      </c>
      <c r="N1748" t="s">
        <v>14331</v>
      </c>
      <c r="O1748" t="s">
        <v>32633</v>
      </c>
    </row>
    <row r="1749" spans="1:15" x14ac:dyDescent="0.25">
      <c r="A1749" s="35" t="s">
        <v>5782</v>
      </c>
      <c r="B1749" s="36" t="s">
        <v>5783</v>
      </c>
      <c r="C1749" s="36" t="str">
        <f>HYPERLINK("https://rhld.insurance.arkansas.gov/NPILookup?Npi=1699057851","1699057851")</f>
        <v>1699057851</v>
      </c>
      <c r="D1749" s="36" t="s">
        <v>34407</v>
      </c>
      <c r="E1749" s="36" t="s">
        <v>1</v>
      </c>
      <c r="F1749" s="36">
        <v>1</v>
      </c>
      <c r="G1749" s="36">
        <v>3</v>
      </c>
      <c r="H1749" s="36">
        <v>0</v>
      </c>
      <c r="I1749" s="37">
        <v>0</v>
      </c>
      <c r="J1749" s="36" t="s">
        <v>14335</v>
      </c>
      <c r="K1749" s="36" t="s">
        <v>14330</v>
      </c>
      <c r="L1749" s="36" t="s">
        <v>14330</v>
      </c>
      <c r="M1749">
        <v>2</v>
      </c>
      <c r="N1749" t="s">
        <v>14331</v>
      </c>
      <c r="O1749" t="s">
        <v>32633</v>
      </c>
    </row>
    <row r="1750" spans="1:15" x14ac:dyDescent="0.25">
      <c r="A1750" s="35" t="s">
        <v>5782</v>
      </c>
      <c r="B1750" s="36" t="s">
        <v>5783</v>
      </c>
      <c r="C1750" s="36" t="str">
        <f>HYPERLINK("https://rhld.insurance.arkansas.gov/NPILookup?Npi=1699513739","1699513739")</f>
        <v>1699513739</v>
      </c>
      <c r="D1750" s="36" t="s">
        <v>34408</v>
      </c>
      <c r="E1750" s="36" t="s">
        <v>2</v>
      </c>
      <c r="F1750" s="36">
        <v>1</v>
      </c>
      <c r="G1750" s="36">
        <v>2</v>
      </c>
      <c r="H1750" s="36">
        <v>0</v>
      </c>
      <c r="I1750" s="37">
        <v>0</v>
      </c>
      <c r="J1750" s="36"/>
      <c r="K1750" s="36" t="s">
        <v>14330</v>
      </c>
      <c r="L1750" s="36" t="s">
        <v>14330</v>
      </c>
      <c r="M1750">
        <v>2</v>
      </c>
      <c r="N1750" t="s">
        <v>14331</v>
      </c>
      <c r="O1750" t="s">
        <v>14333</v>
      </c>
    </row>
    <row r="1751" spans="1:15" x14ac:dyDescent="0.25">
      <c r="A1751" s="35" t="s">
        <v>5782</v>
      </c>
      <c r="B1751" s="36" t="s">
        <v>5783</v>
      </c>
      <c r="C1751" s="36" t="str">
        <f>HYPERLINK("https://rhld.insurance.arkansas.gov/NPILookup?Npi=1699578724","1699578724")</f>
        <v>1699578724</v>
      </c>
      <c r="D1751" s="36" t="s">
        <v>34409</v>
      </c>
      <c r="E1751" s="36" t="s">
        <v>2</v>
      </c>
      <c r="F1751" s="36">
        <v>1</v>
      </c>
      <c r="G1751" s="36">
        <v>2</v>
      </c>
      <c r="H1751" s="36">
        <v>0</v>
      </c>
      <c r="I1751" s="37">
        <v>0</v>
      </c>
      <c r="J1751" s="36"/>
      <c r="K1751" s="36" t="s">
        <v>14330</v>
      </c>
      <c r="L1751" s="36" t="s">
        <v>14330</v>
      </c>
      <c r="M1751">
        <v>2</v>
      </c>
      <c r="N1751" t="s">
        <v>14331</v>
      </c>
      <c r="O1751" t="s">
        <v>14333</v>
      </c>
    </row>
    <row r="1752" spans="1:15" x14ac:dyDescent="0.25">
      <c r="A1752" s="35" t="s">
        <v>5782</v>
      </c>
      <c r="B1752" s="36" t="s">
        <v>5783</v>
      </c>
      <c r="C1752" s="36" t="str">
        <f>HYPERLINK("https://rhld.insurance.arkansas.gov/NPILookup?Npi=1700512720","1700512720")</f>
        <v>1700512720</v>
      </c>
      <c r="D1752" s="36" t="s">
        <v>34410</v>
      </c>
      <c r="E1752" s="36" t="s">
        <v>2</v>
      </c>
      <c r="F1752" s="36">
        <v>2</v>
      </c>
      <c r="G1752" s="36">
        <v>2</v>
      </c>
      <c r="H1752" s="36">
        <v>0</v>
      </c>
      <c r="I1752" s="37">
        <v>0</v>
      </c>
      <c r="J1752" s="36" t="s">
        <v>34181</v>
      </c>
      <c r="K1752" s="36" t="s">
        <v>14330</v>
      </c>
      <c r="L1752" s="36" t="s">
        <v>14330</v>
      </c>
      <c r="M1752">
        <v>2</v>
      </c>
      <c r="N1752" t="s">
        <v>14331</v>
      </c>
      <c r="O1752" t="s">
        <v>14333</v>
      </c>
    </row>
    <row r="1753" spans="1:15" x14ac:dyDescent="0.25">
      <c r="A1753" s="35" t="s">
        <v>5782</v>
      </c>
      <c r="B1753" s="36" t="s">
        <v>5783</v>
      </c>
      <c r="C1753" s="36" t="str">
        <f>HYPERLINK("https://rhld.insurance.arkansas.gov/NPILookup?Npi=1700692183","1700692183")</f>
        <v>1700692183</v>
      </c>
      <c r="D1753" s="36" t="s">
        <v>34411</v>
      </c>
      <c r="E1753" s="36" t="s">
        <v>2</v>
      </c>
      <c r="F1753" s="36">
        <v>1</v>
      </c>
      <c r="G1753" s="36">
        <v>2</v>
      </c>
      <c r="H1753" s="36">
        <v>0</v>
      </c>
      <c r="I1753" s="37">
        <v>0</v>
      </c>
      <c r="J1753" s="36" t="s">
        <v>34165</v>
      </c>
      <c r="K1753" s="36" t="s">
        <v>14330</v>
      </c>
      <c r="L1753" s="36" t="s">
        <v>14330</v>
      </c>
      <c r="M1753">
        <v>3</v>
      </c>
      <c r="N1753" t="s">
        <v>14331</v>
      </c>
      <c r="O1753" t="s">
        <v>14333</v>
      </c>
    </row>
    <row r="1754" spans="1:15" x14ac:dyDescent="0.25">
      <c r="A1754" s="35" t="s">
        <v>5782</v>
      </c>
      <c r="B1754" s="36" t="s">
        <v>5783</v>
      </c>
      <c r="C1754" s="36" t="str">
        <f>HYPERLINK("https://rhld.insurance.arkansas.gov/NPILookup?Npi=1710344981","1710344981")</f>
        <v>1710344981</v>
      </c>
      <c r="D1754" s="36" t="s">
        <v>34412</v>
      </c>
      <c r="E1754" s="36" t="s">
        <v>1</v>
      </c>
      <c r="F1754" s="36">
        <v>1</v>
      </c>
      <c r="G1754" s="36">
        <v>3</v>
      </c>
      <c r="H1754" s="36">
        <v>0</v>
      </c>
      <c r="I1754" s="37">
        <v>0</v>
      </c>
      <c r="J1754" s="36" t="s">
        <v>32654</v>
      </c>
      <c r="K1754" s="36" t="s">
        <v>14330</v>
      </c>
      <c r="L1754" s="36" t="s">
        <v>14330</v>
      </c>
      <c r="M1754">
        <v>1</v>
      </c>
      <c r="N1754" t="s">
        <v>14331</v>
      </c>
      <c r="O1754" t="s">
        <v>32633</v>
      </c>
    </row>
    <row r="1755" spans="1:15" x14ac:dyDescent="0.25">
      <c r="A1755" s="35" t="s">
        <v>5782</v>
      </c>
      <c r="B1755" s="36" t="s">
        <v>5783</v>
      </c>
      <c r="C1755" s="36" t="str">
        <f>HYPERLINK("https://rhld.insurance.arkansas.gov/NPILookup?Npi=1710568910","1710568910")</f>
        <v>1710568910</v>
      </c>
      <c r="D1755" s="36" t="s">
        <v>34413</v>
      </c>
      <c r="E1755" s="36" t="s">
        <v>2</v>
      </c>
      <c r="F1755" s="36">
        <v>1</v>
      </c>
      <c r="G1755" s="36">
        <v>1</v>
      </c>
      <c r="H1755" s="36">
        <v>0</v>
      </c>
      <c r="I1755" s="37">
        <v>0</v>
      </c>
      <c r="J1755" s="36"/>
      <c r="K1755" s="36" t="s">
        <v>14330</v>
      </c>
      <c r="L1755" s="36" t="s">
        <v>14330</v>
      </c>
      <c r="M1755">
        <v>2</v>
      </c>
      <c r="N1755" t="s">
        <v>14331</v>
      </c>
      <c r="O1755" t="s">
        <v>32633</v>
      </c>
    </row>
    <row r="1756" spans="1:15" x14ac:dyDescent="0.25">
      <c r="A1756" s="35" t="s">
        <v>5782</v>
      </c>
      <c r="B1756" s="36" t="s">
        <v>5783</v>
      </c>
      <c r="C1756" s="36" t="str">
        <f>HYPERLINK("https://rhld.insurance.arkansas.gov/NPILookup?Npi=1710591631","1710591631")</f>
        <v>1710591631</v>
      </c>
      <c r="D1756" s="36" t="s">
        <v>34414</v>
      </c>
      <c r="E1756" s="36" t="s">
        <v>2</v>
      </c>
      <c r="F1756" s="36">
        <v>1</v>
      </c>
      <c r="G1756" s="36">
        <v>2</v>
      </c>
      <c r="H1756" s="36">
        <v>0</v>
      </c>
      <c r="I1756" s="37">
        <v>0</v>
      </c>
      <c r="J1756" s="36"/>
      <c r="K1756" s="36" t="s">
        <v>14330</v>
      </c>
      <c r="L1756" s="36" t="s">
        <v>14330</v>
      </c>
      <c r="M1756">
        <v>2</v>
      </c>
      <c r="N1756" t="s">
        <v>14331</v>
      </c>
      <c r="O1756" t="s">
        <v>14333</v>
      </c>
    </row>
    <row r="1757" spans="1:15" x14ac:dyDescent="0.25">
      <c r="A1757" s="35" t="s">
        <v>5782</v>
      </c>
      <c r="B1757" s="36" t="s">
        <v>5783</v>
      </c>
      <c r="C1757" s="36" t="str">
        <f>HYPERLINK("https://rhld.insurance.arkansas.gov/NPILookup?Npi=1710650189","1710650189")</f>
        <v>1710650189</v>
      </c>
      <c r="D1757" s="36" t="s">
        <v>34415</v>
      </c>
      <c r="E1757" s="36" t="s">
        <v>2</v>
      </c>
      <c r="F1757" s="36">
        <v>1</v>
      </c>
      <c r="G1757" s="36">
        <v>2</v>
      </c>
      <c r="H1757" s="36">
        <v>0</v>
      </c>
      <c r="I1757" s="37">
        <v>0</v>
      </c>
      <c r="J1757" s="36"/>
      <c r="K1757" s="36" t="s">
        <v>14330</v>
      </c>
      <c r="L1757" s="36" t="s">
        <v>14330</v>
      </c>
      <c r="M1757">
        <v>3</v>
      </c>
      <c r="N1757" t="s">
        <v>14331</v>
      </c>
      <c r="O1757" t="s">
        <v>14333</v>
      </c>
    </row>
    <row r="1758" spans="1:15" x14ac:dyDescent="0.25">
      <c r="A1758" s="35" t="s">
        <v>5782</v>
      </c>
      <c r="B1758" s="36" t="s">
        <v>5783</v>
      </c>
      <c r="C1758" s="36" t="str">
        <f>HYPERLINK("https://rhld.insurance.arkansas.gov/NPILookup?Npi=1710964226","1710964226")</f>
        <v>1710964226</v>
      </c>
      <c r="D1758" s="36" t="s">
        <v>34416</v>
      </c>
      <c r="E1758" s="36" t="s">
        <v>1</v>
      </c>
      <c r="F1758" s="36">
        <v>1</v>
      </c>
      <c r="G1758" s="36">
        <v>3</v>
      </c>
      <c r="H1758" s="36">
        <v>0</v>
      </c>
      <c r="I1758" s="37">
        <v>0</v>
      </c>
      <c r="J1758" s="36" t="s">
        <v>32654</v>
      </c>
      <c r="K1758" s="36" t="s">
        <v>14330</v>
      </c>
      <c r="L1758" s="36" t="s">
        <v>14330</v>
      </c>
      <c r="M1758">
        <v>3</v>
      </c>
      <c r="N1758" t="s">
        <v>14331</v>
      </c>
      <c r="O1758" t="s">
        <v>32633</v>
      </c>
    </row>
    <row r="1759" spans="1:15" x14ac:dyDescent="0.25">
      <c r="A1759" s="35" t="s">
        <v>5782</v>
      </c>
      <c r="B1759" s="36" t="s">
        <v>5783</v>
      </c>
      <c r="C1759" s="36" t="str">
        <f>HYPERLINK("https://rhld.insurance.arkansas.gov/NPILookup?Npi=1720519085","1720519085")</f>
        <v>1720519085</v>
      </c>
      <c r="D1759" s="36" t="s">
        <v>34417</v>
      </c>
      <c r="E1759" s="36" t="s">
        <v>1</v>
      </c>
      <c r="F1759" s="36">
        <v>1</v>
      </c>
      <c r="G1759" s="36">
        <v>3</v>
      </c>
      <c r="H1759" s="36">
        <v>0</v>
      </c>
      <c r="I1759" s="37">
        <v>0</v>
      </c>
      <c r="J1759" s="36" t="s">
        <v>32654</v>
      </c>
      <c r="K1759" s="36" t="s">
        <v>14330</v>
      </c>
      <c r="L1759" s="36" t="s">
        <v>14330</v>
      </c>
      <c r="M1759">
        <v>2</v>
      </c>
      <c r="N1759" t="s">
        <v>14331</v>
      </c>
      <c r="O1759" t="s">
        <v>32633</v>
      </c>
    </row>
    <row r="1760" spans="1:15" x14ac:dyDescent="0.25">
      <c r="A1760" s="35" t="s">
        <v>5782</v>
      </c>
      <c r="B1760" s="36" t="s">
        <v>5783</v>
      </c>
      <c r="C1760" s="36" t="str">
        <f>HYPERLINK("https://rhld.insurance.arkansas.gov/NPILookup?Npi=1720595416","1720595416")</f>
        <v>1720595416</v>
      </c>
      <c r="D1760" s="36" t="s">
        <v>34418</v>
      </c>
      <c r="E1760" s="36" t="s">
        <v>2</v>
      </c>
      <c r="F1760" s="36">
        <v>1</v>
      </c>
      <c r="G1760" s="36">
        <v>2</v>
      </c>
      <c r="H1760" s="36">
        <v>0</v>
      </c>
      <c r="I1760" s="37">
        <v>0</v>
      </c>
      <c r="J1760" s="36" t="s">
        <v>34165</v>
      </c>
      <c r="K1760" s="36" t="s">
        <v>14330</v>
      </c>
      <c r="L1760" s="36" t="s">
        <v>14330</v>
      </c>
      <c r="M1760">
        <v>1</v>
      </c>
      <c r="N1760" t="s">
        <v>14331</v>
      </c>
      <c r="O1760" t="s">
        <v>14333</v>
      </c>
    </row>
    <row r="1761" spans="1:15" x14ac:dyDescent="0.25">
      <c r="A1761" s="35" t="s">
        <v>5782</v>
      </c>
      <c r="B1761" s="36" t="s">
        <v>5783</v>
      </c>
      <c r="C1761" s="36" t="str">
        <f>HYPERLINK("https://rhld.insurance.arkansas.gov/NPILookup?Npi=1720613482","1720613482")</f>
        <v>1720613482</v>
      </c>
      <c r="D1761" s="36" t="s">
        <v>34419</v>
      </c>
      <c r="E1761" s="36" t="s">
        <v>1</v>
      </c>
      <c r="F1761" s="36">
        <v>1</v>
      </c>
      <c r="G1761" s="36">
        <v>2</v>
      </c>
      <c r="H1761" s="36">
        <v>1</v>
      </c>
      <c r="I1761" s="37">
        <v>0</v>
      </c>
      <c r="J1761" s="36" t="s">
        <v>32654</v>
      </c>
      <c r="K1761" s="36" t="s">
        <v>14330</v>
      </c>
      <c r="L1761" s="36" t="s">
        <v>34171</v>
      </c>
      <c r="M1761">
        <v>3</v>
      </c>
      <c r="N1761" t="s">
        <v>14332</v>
      </c>
      <c r="O1761" t="s">
        <v>32591</v>
      </c>
    </row>
    <row r="1762" spans="1:15" x14ac:dyDescent="0.25">
      <c r="A1762" s="35" t="s">
        <v>5782</v>
      </c>
      <c r="B1762" s="36" t="s">
        <v>5783</v>
      </c>
      <c r="C1762" s="36" t="str">
        <f>HYPERLINK("https://rhld.insurance.arkansas.gov/NPILookup?Npi=1730296591","1730296591")</f>
        <v>1730296591</v>
      </c>
      <c r="D1762" s="36" t="s">
        <v>34420</v>
      </c>
      <c r="E1762" s="36" t="s">
        <v>1</v>
      </c>
      <c r="F1762" s="36">
        <v>1</v>
      </c>
      <c r="G1762" s="36">
        <v>3</v>
      </c>
      <c r="H1762" s="36">
        <v>0</v>
      </c>
      <c r="I1762" s="37">
        <v>0</v>
      </c>
      <c r="J1762" s="36" t="s">
        <v>32654</v>
      </c>
      <c r="K1762" s="36" t="s">
        <v>14330</v>
      </c>
      <c r="L1762" s="36" t="s">
        <v>14330</v>
      </c>
      <c r="M1762">
        <v>2</v>
      </c>
      <c r="N1762" t="s">
        <v>14331</v>
      </c>
      <c r="O1762" t="s">
        <v>32633</v>
      </c>
    </row>
    <row r="1763" spans="1:15" x14ac:dyDescent="0.25">
      <c r="A1763" s="35" t="s">
        <v>5782</v>
      </c>
      <c r="B1763" s="36" t="s">
        <v>5783</v>
      </c>
      <c r="C1763" s="36" t="str">
        <f>HYPERLINK("https://rhld.insurance.arkansas.gov/NPILookup?Npi=1730901588","1730901588")</f>
        <v>1730901588</v>
      </c>
      <c r="D1763" s="36" t="s">
        <v>34421</v>
      </c>
      <c r="E1763" s="36" t="s">
        <v>2</v>
      </c>
      <c r="F1763" s="36">
        <v>1</v>
      </c>
      <c r="G1763" s="36">
        <v>2</v>
      </c>
      <c r="H1763" s="36">
        <v>0</v>
      </c>
      <c r="I1763" s="37">
        <v>0</v>
      </c>
      <c r="J1763" s="36" t="s">
        <v>34165</v>
      </c>
      <c r="K1763" s="36" t="s">
        <v>14330</v>
      </c>
      <c r="L1763" s="36" t="s">
        <v>14330</v>
      </c>
      <c r="M1763">
        <v>2</v>
      </c>
      <c r="N1763" t="s">
        <v>14331</v>
      </c>
      <c r="O1763" t="s">
        <v>14333</v>
      </c>
    </row>
    <row r="1764" spans="1:15" x14ac:dyDescent="0.25">
      <c r="A1764" s="35" t="s">
        <v>5782</v>
      </c>
      <c r="B1764" s="36" t="s">
        <v>5783</v>
      </c>
      <c r="C1764" s="36" t="str">
        <f>HYPERLINK("https://rhld.insurance.arkansas.gov/NPILookup?Npi=1740063502","1740063502")</f>
        <v>1740063502</v>
      </c>
      <c r="D1764" s="36" t="s">
        <v>34422</v>
      </c>
      <c r="E1764" s="36" t="s">
        <v>2</v>
      </c>
      <c r="F1764" s="36">
        <v>1</v>
      </c>
      <c r="G1764" s="36">
        <v>2</v>
      </c>
      <c r="H1764" s="36">
        <v>0</v>
      </c>
      <c r="I1764" s="37">
        <v>0</v>
      </c>
      <c r="J1764" s="36"/>
      <c r="K1764" s="36" t="s">
        <v>14330</v>
      </c>
      <c r="L1764" s="36" t="s">
        <v>14330</v>
      </c>
      <c r="M1764">
        <v>3</v>
      </c>
      <c r="N1764" t="s">
        <v>14331</v>
      </c>
      <c r="O1764" t="s">
        <v>14333</v>
      </c>
    </row>
    <row r="1765" spans="1:15" x14ac:dyDescent="0.25">
      <c r="A1765" s="35" t="s">
        <v>5782</v>
      </c>
      <c r="B1765" s="36" t="s">
        <v>5783</v>
      </c>
      <c r="C1765" s="36" t="str">
        <f>HYPERLINK("https://rhld.insurance.arkansas.gov/NPILookup?Npi=1740283910","1740283910")</f>
        <v>1740283910</v>
      </c>
      <c r="D1765" s="36" t="s">
        <v>34423</v>
      </c>
      <c r="E1765" s="36" t="s">
        <v>1</v>
      </c>
      <c r="F1765" s="36">
        <v>1</v>
      </c>
      <c r="G1765" s="36">
        <v>3</v>
      </c>
      <c r="H1765" s="36">
        <v>0</v>
      </c>
      <c r="I1765" s="37">
        <v>0</v>
      </c>
      <c r="J1765" s="36" t="s">
        <v>32654</v>
      </c>
      <c r="K1765" s="36" t="s">
        <v>14330</v>
      </c>
      <c r="L1765" s="36" t="s">
        <v>14330</v>
      </c>
      <c r="M1765">
        <v>1</v>
      </c>
      <c r="N1765" t="s">
        <v>14331</v>
      </c>
      <c r="O1765" t="s">
        <v>32633</v>
      </c>
    </row>
    <row r="1766" spans="1:15" x14ac:dyDescent="0.25">
      <c r="A1766" s="35" t="s">
        <v>5782</v>
      </c>
      <c r="B1766" s="36" t="s">
        <v>5783</v>
      </c>
      <c r="C1766" s="36" t="str">
        <f>HYPERLINK("https://rhld.insurance.arkansas.gov/NPILookup?Npi=1740424522","1740424522")</f>
        <v>1740424522</v>
      </c>
      <c r="D1766" s="36" t="s">
        <v>34424</v>
      </c>
      <c r="E1766" s="36" t="s">
        <v>1</v>
      </c>
      <c r="F1766" s="36">
        <v>1</v>
      </c>
      <c r="G1766" s="36">
        <v>2</v>
      </c>
      <c r="H1766" s="36">
        <v>1</v>
      </c>
      <c r="I1766" s="37">
        <v>0</v>
      </c>
      <c r="J1766" s="36" t="s">
        <v>32654</v>
      </c>
      <c r="K1766" s="36" t="s">
        <v>14330</v>
      </c>
      <c r="L1766" s="36" t="s">
        <v>34171</v>
      </c>
      <c r="M1766">
        <v>2</v>
      </c>
      <c r="N1766" t="s">
        <v>14332</v>
      </c>
      <c r="O1766" t="s">
        <v>32591</v>
      </c>
    </row>
    <row r="1767" spans="1:15" x14ac:dyDescent="0.25">
      <c r="A1767" s="35" t="s">
        <v>5782</v>
      </c>
      <c r="B1767" s="36" t="s">
        <v>5783</v>
      </c>
      <c r="C1767" s="36" t="str">
        <f>HYPERLINK("https://rhld.insurance.arkansas.gov/NPILookup?Npi=1750053492","1750053492")</f>
        <v>1750053492</v>
      </c>
      <c r="D1767" s="36" t="s">
        <v>34425</v>
      </c>
      <c r="E1767" s="36" t="s">
        <v>2</v>
      </c>
      <c r="F1767" s="36">
        <v>1</v>
      </c>
      <c r="G1767" s="36">
        <v>2</v>
      </c>
      <c r="H1767" s="36">
        <v>0</v>
      </c>
      <c r="I1767" s="37">
        <v>0</v>
      </c>
      <c r="J1767" s="36"/>
      <c r="K1767" s="36" t="s">
        <v>14330</v>
      </c>
      <c r="L1767" s="36" t="s">
        <v>14330</v>
      </c>
      <c r="M1767">
        <v>3</v>
      </c>
      <c r="N1767" t="s">
        <v>14331</v>
      </c>
      <c r="O1767" t="s">
        <v>14333</v>
      </c>
    </row>
    <row r="1768" spans="1:15" x14ac:dyDescent="0.25">
      <c r="A1768" s="35" t="s">
        <v>5782</v>
      </c>
      <c r="B1768" s="36" t="s">
        <v>5783</v>
      </c>
      <c r="C1768" s="36" t="str">
        <f>HYPERLINK("https://rhld.insurance.arkansas.gov/NPILookup?Npi=1760438642","1760438642")</f>
        <v>1760438642</v>
      </c>
      <c r="D1768" s="36" t="s">
        <v>34426</v>
      </c>
      <c r="E1768" s="36" t="s">
        <v>1</v>
      </c>
      <c r="F1768" s="36">
        <v>1</v>
      </c>
      <c r="G1768" s="36">
        <v>3</v>
      </c>
      <c r="H1768" s="36">
        <v>0</v>
      </c>
      <c r="I1768" s="37">
        <v>0</v>
      </c>
      <c r="J1768" s="36" t="s">
        <v>32654</v>
      </c>
      <c r="K1768" s="36" t="s">
        <v>14330</v>
      </c>
      <c r="L1768" s="36" t="s">
        <v>14330</v>
      </c>
      <c r="M1768">
        <v>2</v>
      </c>
      <c r="N1768" t="s">
        <v>14331</v>
      </c>
      <c r="O1768" t="s">
        <v>32633</v>
      </c>
    </row>
    <row r="1769" spans="1:15" x14ac:dyDescent="0.25">
      <c r="A1769" s="35" t="s">
        <v>5782</v>
      </c>
      <c r="B1769" s="36" t="s">
        <v>5783</v>
      </c>
      <c r="C1769" s="36" t="str">
        <f>HYPERLINK("https://rhld.insurance.arkansas.gov/NPILookup?Npi=1760688832","1760688832")</f>
        <v>1760688832</v>
      </c>
      <c r="D1769" s="36" t="s">
        <v>34427</v>
      </c>
      <c r="E1769" s="36" t="s">
        <v>2</v>
      </c>
      <c r="F1769" s="36">
        <v>1</v>
      </c>
      <c r="G1769" s="36">
        <v>2</v>
      </c>
      <c r="H1769" s="36">
        <v>0</v>
      </c>
      <c r="I1769" s="37">
        <v>0</v>
      </c>
      <c r="J1769" s="36" t="s">
        <v>34165</v>
      </c>
      <c r="K1769" s="36" t="s">
        <v>14330</v>
      </c>
      <c r="L1769" s="36" t="s">
        <v>14330</v>
      </c>
      <c r="M1769">
        <v>1</v>
      </c>
      <c r="N1769" t="s">
        <v>14331</v>
      </c>
      <c r="O1769" t="s">
        <v>14333</v>
      </c>
    </row>
    <row r="1770" spans="1:15" x14ac:dyDescent="0.25">
      <c r="A1770" s="35" t="s">
        <v>5782</v>
      </c>
      <c r="B1770" s="36" t="s">
        <v>5783</v>
      </c>
      <c r="C1770" s="36" t="str">
        <f>HYPERLINK("https://rhld.insurance.arkansas.gov/NPILookup?Npi=1770169385","1770169385")</f>
        <v>1770169385</v>
      </c>
      <c r="D1770" s="36" t="s">
        <v>34428</v>
      </c>
      <c r="E1770" s="36" t="s">
        <v>2</v>
      </c>
      <c r="F1770" s="36">
        <v>1</v>
      </c>
      <c r="G1770" s="36">
        <v>1</v>
      </c>
      <c r="H1770" s="36">
        <v>0</v>
      </c>
      <c r="I1770" s="37">
        <v>0</v>
      </c>
      <c r="J1770" s="36" t="s">
        <v>34165</v>
      </c>
      <c r="K1770" s="36" t="s">
        <v>14330</v>
      </c>
      <c r="L1770" s="36" t="s">
        <v>14330</v>
      </c>
      <c r="M1770">
        <v>2</v>
      </c>
      <c r="N1770" t="s">
        <v>14331</v>
      </c>
      <c r="O1770" t="s">
        <v>32633</v>
      </c>
    </row>
    <row r="1771" spans="1:15" x14ac:dyDescent="0.25">
      <c r="A1771" s="35" t="s">
        <v>5782</v>
      </c>
      <c r="B1771" s="36" t="s">
        <v>5783</v>
      </c>
      <c r="C1771" s="36" t="str">
        <f>HYPERLINK("https://rhld.insurance.arkansas.gov/NPILookup?Npi=1770217242","1770217242")</f>
        <v>1770217242</v>
      </c>
      <c r="D1771" s="36" t="s">
        <v>34429</v>
      </c>
      <c r="E1771" s="36" t="s">
        <v>2</v>
      </c>
      <c r="F1771" s="36">
        <v>2</v>
      </c>
      <c r="G1771" s="36">
        <v>2</v>
      </c>
      <c r="H1771" s="36">
        <v>0</v>
      </c>
      <c r="I1771" s="37">
        <v>0</v>
      </c>
      <c r="J1771" s="36" t="s">
        <v>34181</v>
      </c>
      <c r="K1771" s="36" t="s">
        <v>14330</v>
      </c>
      <c r="L1771" s="36" t="s">
        <v>14330</v>
      </c>
      <c r="M1771">
        <v>2</v>
      </c>
      <c r="N1771" t="s">
        <v>14331</v>
      </c>
      <c r="O1771" t="s">
        <v>14333</v>
      </c>
    </row>
    <row r="1772" spans="1:15" x14ac:dyDescent="0.25">
      <c r="A1772" s="35" t="s">
        <v>5782</v>
      </c>
      <c r="B1772" s="36" t="s">
        <v>5783</v>
      </c>
      <c r="C1772" s="36" t="str">
        <f>HYPERLINK("https://rhld.insurance.arkansas.gov/NPILookup?Npi=1770303745","1770303745")</f>
        <v>1770303745</v>
      </c>
      <c r="D1772" s="36" t="s">
        <v>34430</v>
      </c>
      <c r="E1772" s="36" t="s">
        <v>2</v>
      </c>
      <c r="F1772" s="36">
        <v>1</v>
      </c>
      <c r="G1772" s="36">
        <v>2</v>
      </c>
      <c r="H1772" s="36">
        <v>0</v>
      </c>
      <c r="I1772" s="37">
        <v>0</v>
      </c>
      <c r="J1772" s="36"/>
      <c r="K1772" s="36" t="s">
        <v>14330</v>
      </c>
      <c r="L1772" s="36" t="s">
        <v>14330</v>
      </c>
      <c r="M1772">
        <v>2</v>
      </c>
      <c r="N1772" t="s">
        <v>14331</v>
      </c>
      <c r="O1772" t="s">
        <v>14333</v>
      </c>
    </row>
    <row r="1773" spans="1:15" x14ac:dyDescent="0.25">
      <c r="A1773" s="35" t="s">
        <v>5782</v>
      </c>
      <c r="B1773" s="36" t="s">
        <v>5783</v>
      </c>
      <c r="C1773" s="36" t="str">
        <f>HYPERLINK("https://rhld.insurance.arkansas.gov/NPILookup?Npi=1770710774","1770710774")</f>
        <v>1770710774</v>
      </c>
      <c r="D1773" s="36" t="s">
        <v>34431</v>
      </c>
      <c r="E1773" s="36" t="s">
        <v>2</v>
      </c>
      <c r="F1773" s="36">
        <v>1</v>
      </c>
      <c r="G1773" s="36">
        <v>2</v>
      </c>
      <c r="H1773" s="36">
        <v>0</v>
      </c>
      <c r="I1773" s="37">
        <v>0</v>
      </c>
      <c r="J1773" s="36"/>
      <c r="K1773" s="36" t="s">
        <v>14330</v>
      </c>
      <c r="L1773" s="36" t="s">
        <v>14330</v>
      </c>
      <c r="M1773">
        <v>2</v>
      </c>
      <c r="N1773" t="s">
        <v>14331</v>
      </c>
      <c r="O1773" t="s">
        <v>14333</v>
      </c>
    </row>
    <row r="1774" spans="1:15" x14ac:dyDescent="0.25">
      <c r="A1774" s="35" t="s">
        <v>5782</v>
      </c>
      <c r="B1774" s="36" t="s">
        <v>5783</v>
      </c>
      <c r="C1774" s="36" t="str">
        <f>HYPERLINK("https://rhld.insurance.arkansas.gov/NPILookup?Npi=1780193805","1780193805")</f>
        <v>1780193805</v>
      </c>
      <c r="D1774" s="36" t="s">
        <v>34432</v>
      </c>
      <c r="E1774" s="36" t="s">
        <v>2</v>
      </c>
      <c r="F1774" s="36">
        <v>1</v>
      </c>
      <c r="G1774" s="36">
        <v>2</v>
      </c>
      <c r="H1774" s="36">
        <v>0</v>
      </c>
      <c r="I1774" s="37">
        <v>0</v>
      </c>
      <c r="J1774" s="36"/>
      <c r="K1774" s="36" t="s">
        <v>14330</v>
      </c>
      <c r="L1774" s="36" t="s">
        <v>14330</v>
      </c>
      <c r="M1774">
        <v>2</v>
      </c>
      <c r="N1774" t="s">
        <v>14331</v>
      </c>
      <c r="O1774" t="s">
        <v>14333</v>
      </c>
    </row>
    <row r="1775" spans="1:15" x14ac:dyDescent="0.25">
      <c r="A1775" s="35" t="s">
        <v>5782</v>
      </c>
      <c r="B1775" s="36" t="s">
        <v>5783</v>
      </c>
      <c r="C1775" s="36" t="str">
        <f>HYPERLINK("https://rhld.insurance.arkansas.gov/NPILookup?Npi=1780280305","1780280305")</f>
        <v>1780280305</v>
      </c>
      <c r="D1775" s="36" t="s">
        <v>34433</v>
      </c>
      <c r="E1775" s="36" t="s">
        <v>2</v>
      </c>
      <c r="F1775" s="36">
        <v>1</v>
      </c>
      <c r="G1775" s="36">
        <v>2</v>
      </c>
      <c r="H1775" s="36">
        <v>0</v>
      </c>
      <c r="I1775" s="37">
        <v>0</v>
      </c>
      <c r="J1775" s="36"/>
      <c r="K1775" s="36" t="s">
        <v>14330</v>
      </c>
      <c r="L1775" s="36" t="s">
        <v>14330</v>
      </c>
      <c r="M1775">
        <v>2</v>
      </c>
      <c r="N1775" t="s">
        <v>14331</v>
      </c>
      <c r="O1775" t="s">
        <v>14333</v>
      </c>
    </row>
    <row r="1776" spans="1:15" x14ac:dyDescent="0.25">
      <c r="A1776" s="35" t="s">
        <v>5782</v>
      </c>
      <c r="B1776" s="36" t="s">
        <v>5783</v>
      </c>
      <c r="C1776" s="36" t="str">
        <f>HYPERLINK("https://rhld.insurance.arkansas.gov/NPILookup?Npi=1780466995","1780466995")</f>
        <v>1780466995</v>
      </c>
      <c r="D1776" s="36" t="s">
        <v>34434</v>
      </c>
      <c r="E1776" s="36" t="s">
        <v>2</v>
      </c>
      <c r="F1776" s="36">
        <v>1</v>
      </c>
      <c r="G1776" s="36">
        <v>2</v>
      </c>
      <c r="H1776" s="36">
        <v>0</v>
      </c>
      <c r="I1776" s="37">
        <v>0</v>
      </c>
      <c r="J1776" s="36"/>
      <c r="K1776" s="36" t="s">
        <v>14330</v>
      </c>
      <c r="L1776" s="36" t="s">
        <v>14330</v>
      </c>
      <c r="M1776">
        <v>1</v>
      </c>
      <c r="N1776" t="s">
        <v>14331</v>
      </c>
      <c r="O1776" t="s">
        <v>14333</v>
      </c>
    </row>
    <row r="1777" spans="1:15" x14ac:dyDescent="0.25">
      <c r="A1777" s="35" t="s">
        <v>5782</v>
      </c>
      <c r="B1777" s="36" t="s">
        <v>5783</v>
      </c>
      <c r="C1777" s="36" t="str">
        <f>HYPERLINK("https://rhld.insurance.arkansas.gov/NPILookup?Npi=1780690230","1780690230")</f>
        <v>1780690230</v>
      </c>
      <c r="D1777" s="36" t="s">
        <v>34435</v>
      </c>
      <c r="E1777" s="36" t="s">
        <v>1</v>
      </c>
      <c r="F1777" s="36">
        <v>1</v>
      </c>
      <c r="G1777" s="36">
        <v>2</v>
      </c>
      <c r="H1777" s="36">
        <v>1</v>
      </c>
      <c r="I1777" s="37">
        <v>0</v>
      </c>
      <c r="J1777" s="36" t="s">
        <v>32654</v>
      </c>
      <c r="K1777" s="36" t="s">
        <v>14330</v>
      </c>
      <c r="L1777" s="36" t="s">
        <v>34171</v>
      </c>
      <c r="M1777">
        <v>3</v>
      </c>
      <c r="N1777" t="s">
        <v>14332</v>
      </c>
      <c r="O1777" t="s">
        <v>32591</v>
      </c>
    </row>
    <row r="1778" spans="1:15" x14ac:dyDescent="0.25">
      <c r="A1778" s="35" t="s">
        <v>5782</v>
      </c>
      <c r="B1778" s="36" t="s">
        <v>5783</v>
      </c>
      <c r="C1778" s="36" t="str">
        <f>HYPERLINK("https://rhld.insurance.arkansas.gov/NPILookup?Npi=1790137867","1790137867")</f>
        <v>1790137867</v>
      </c>
      <c r="D1778" s="36" t="s">
        <v>34436</v>
      </c>
      <c r="E1778" s="36" t="s">
        <v>1</v>
      </c>
      <c r="F1778" s="36">
        <v>1</v>
      </c>
      <c r="G1778" s="36">
        <v>3</v>
      </c>
      <c r="H1778" s="36">
        <v>0</v>
      </c>
      <c r="I1778" s="37">
        <v>0</v>
      </c>
      <c r="J1778" s="36" t="s">
        <v>32654</v>
      </c>
      <c r="K1778" s="36" t="s">
        <v>14330</v>
      </c>
      <c r="L1778" s="36" t="s">
        <v>14330</v>
      </c>
      <c r="M1778">
        <v>2</v>
      </c>
      <c r="N1778" t="s">
        <v>14331</v>
      </c>
      <c r="O1778" t="s">
        <v>32633</v>
      </c>
    </row>
    <row r="1779" spans="1:15" x14ac:dyDescent="0.25">
      <c r="A1779" s="35" t="s">
        <v>5782</v>
      </c>
      <c r="B1779" s="36" t="s">
        <v>5783</v>
      </c>
      <c r="C1779" s="36" t="str">
        <f>HYPERLINK("https://rhld.insurance.arkansas.gov/NPILookup?Npi=1790347565","1790347565")</f>
        <v>1790347565</v>
      </c>
      <c r="D1779" s="36" t="s">
        <v>34437</v>
      </c>
      <c r="E1779" s="36" t="s">
        <v>2</v>
      </c>
      <c r="F1779" s="36">
        <v>1</v>
      </c>
      <c r="G1779" s="36">
        <v>2</v>
      </c>
      <c r="H1779" s="36">
        <v>0</v>
      </c>
      <c r="I1779" s="37">
        <v>0</v>
      </c>
      <c r="J1779" s="36"/>
      <c r="K1779" s="36" t="s">
        <v>14330</v>
      </c>
      <c r="L1779" s="36" t="s">
        <v>14330</v>
      </c>
      <c r="M1779">
        <v>2</v>
      </c>
      <c r="N1779" t="s">
        <v>14331</v>
      </c>
      <c r="O1779" t="s">
        <v>14333</v>
      </c>
    </row>
    <row r="1780" spans="1:15" x14ac:dyDescent="0.25">
      <c r="A1780" s="35" t="s">
        <v>5782</v>
      </c>
      <c r="B1780" s="36" t="s">
        <v>5783</v>
      </c>
      <c r="C1780" s="36" t="str">
        <f>HYPERLINK("https://rhld.insurance.arkansas.gov/NPILookup?Npi=1790380574","1790380574")</f>
        <v>1790380574</v>
      </c>
      <c r="D1780" s="36" t="s">
        <v>34438</v>
      </c>
      <c r="E1780" s="36" t="s">
        <v>1</v>
      </c>
      <c r="F1780" s="36">
        <v>1</v>
      </c>
      <c r="G1780" s="36">
        <v>2</v>
      </c>
      <c r="H1780" s="36">
        <v>0</v>
      </c>
      <c r="I1780" s="37">
        <v>0</v>
      </c>
      <c r="J1780" s="36" t="s">
        <v>32654</v>
      </c>
      <c r="K1780" s="36" t="s">
        <v>14330</v>
      </c>
      <c r="L1780" s="36" t="s">
        <v>14330</v>
      </c>
      <c r="M1780">
        <v>2</v>
      </c>
      <c r="N1780" t="s">
        <v>14331</v>
      </c>
      <c r="O1780" t="s">
        <v>32633</v>
      </c>
    </row>
    <row r="1781" spans="1:15" x14ac:dyDescent="0.25">
      <c r="A1781" s="35" t="s">
        <v>5782</v>
      </c>
      <c r="B1781" s="36" t="s">
        <v>5783</v>
      </c>
      <c r="C1781" s="36" t="str">
        <f>HYPERLINK("https://rhld.insurance.arkansas.gov/NPILookup?Npi=1790396224","1790396224")</f>
        <v>1790396224</v>
      </c>
      <c r="D1781" s="36" t="s">
        <v>34439</v>
      </c>
      <c r="E1781" s="36" t="s">
        <v>2</v>
      </c>
      <c r="F1781" s="36">
        <v>1</v>
      </c>
      <c r="G1781" s="36">
        <v>2</v>
      </c>
      <c r="H1781" s="36">
        <v>0</v>
      </c>
      <c r="I1781" s="37">
        <v>0</v>
      </c>
      <c r="J1781" s="36" t="s">
        <v>34165</v>
      </c>
      <c r="K1781" s="36" t="s">
        <v>14330</v>
      </c>
      <c r="L1781" s="36" t="s">
        <v>14330</v>
      </c>
      <c r="M1781">
        <v>3</v>
      </c>
      <c r="N1781" t="s">
        <v>14331</v>
      </c>
      <c r="O1781" t="s">
        <v>14333</v>
      </c>
    </row>
    <row r="1782" spans="1:15" x14ac:dyDescent="0.25">
      <c r="A1782" s="35" t="s">
        <v>5782</v>
      </c>
      <c r="B1782" s="36" t="s">
        <v>5783</v>
      </c>
      <c r="C1782" s="36" t="str">
        <f>HYPERLINK("https://rhld.insurance.arkansas.gov/NPILookup?Npi=1801281837","1801281837")</f>
        <v>1801281837</v>
      </c>
      <c r="D1782" s="36" t="s">
        <v>34440</v>
      </c>
      <c r="E1782" s="36" t="s">
        <v>1</v>
      </c>
      <c r="F1782" s="36">
        <v>1</v>
      </c>
      <c r="G1782" s="36">
        <v>3</v>
      </c>
      <c r="H1782" s="36">
        <v>0</v>
      </c>
      <c r="I1782" s="37">
        <v>0</v>
      </c>
      <c r="J1782" s="36" t="s">
        <v>32654</v>
      </c>
      <c r="K1782" s="36" t="s">
        <v>14330</v>
      </c>
      <c r="L1782" s="36" t="s">
        <v>14330</v>
      </c>
      <c r="M1782">
        <v>2</v>
      </c>
      <c r="N1782" t="s">
        <v>14331</v>
      </c>
      <c r="O1782" t="s">
        <v>32633</v>
      </c>
    </row>
    <row r="1783" spans="1:15" x14ac:dyDescent="0.25">
      <c r="A1783" s="35" t="s">
        <v>5782</v>
      </c>
      <c r="B1783" s="36" t="s">
        <v>5783</v>
      </c>
      <c r="C1783" s="36" t="str">
        <f>HYPERLINK("https://rhld.insurance.arkansas.gov/NPILookup?Npi=1801690342","1801690342")</f>
        <v>1801690342</v>
      </c>
      <c r="D1783" s="36" t="s">
        <v>34441</v>
      </c>
      <c r="E1783" s="36" t="s">
        <v>2</v>
      </c>
      <c r="F1783" s="36">
        <v>1</v>
      </c>
      <c r="G1783" s="36">
        <v>2</v>
      </c>
      <c r="H1783" s="36">
        <v>0</v>
      </c>
      <c r="I1783" s="37">
        <v>0</v>
      </c>
      <c r="J1783" s="36"/>
      <c r="K1783" s="36" t="s">
        <v>14330</v>
      </c>
      <c r="L1783" s="36" t="s">
        <v>14330</v>
      </c>
      <c r="M1783">
        <v>3</v>
      </c>
      <c r="N1783" t="s">
        <v>14331</v>
      </c>
      <c r="O1783" t="s">
        <v>14333</v>
      </c>
    </row>
    <row r="1784" spans="1:15" x14ac:dyDescent="0.25">
      <c r="A1784" s="35" t="s">
        <v>5782</v>
      </c>
      <c r="B1784" s="36" t="s">
        <v>5783</v>
      </c>
      <c r="C1784" s="36" t="str">
        <f>HYPERLINK("https://rhld.insurance.arkansas.gov/NPILookup?Npi=1801854195","1801854195")</f>
        <v>1801854195</v>
      </c>
      <c r="D1784" s="36" t="s">
        <v>34442</v>
      </c>
      <c r="E1784" s="36" t="s">
        <v>1</v>
      </c>
      <c r="F1784" s="36">
        <v>1</v>
      </c>
      <c r="G1784" s="36">
        <v>3</v>
      </c>
      <c r="H1784" s="36">
        <v>0</v>
      </c>
      <c r="I1784" s="37">
        <v>0</v>
      </c>
      <c r="J1784" s="36" t="s">
        <v>32654</v>
      </c>
      <c r="K1784" s="36" t="s">
        <v>14330</v>
      </c>
      <c r="L1784" s="36" t="s">
        <v>14330</v>
      </c>
      <c r="M1784">
        <v>2</v>
      </c>
      <c r="N1784" t="s">
        <v>14331</v>
      </c>
      <c r="O1784" t="s">
        <v>32633</v>
      </c>
    </row>
    <row r="1785" spans="1:15" x14ac:dyDescent="0.25">
      <c r="A1785" s="35" t="s">
        <v>5782</v>
      </c>
      <c r="B1785" s="36" t="s">
        <v>5783</v>
      </c>
      <c r="C1785" s="36" t="str">
        <f>HYPERLINK("https://rhld.insurance.arkansas.gov/NPILookup?Npi=1811003742","1811003742")</f>
        <v>1811003742</v>
      </c>
      <c r="D1785" s="36" t="s">
        <v>34443</v>
      </c>
      <c r="E1785" s="36" t="s">
        <v>1</v>
      </c>
      <c r="F1785" s="36">
        <v>1</v>
      </c>
      <c r="G1785" s="36">
        <v>2</v>
      </c>
      <c r="H1785" s="36">
        <v>0</v>
      </c>
      <c r="I1785" s="37">
        <v>0</v>
      </c>
      <c r="J1785" s="36" t="s">
        <v>14335</v>
      </c>
      <c r="K1785" s="36" t="s">
        <v>14330</v>
      </c>
      <c r="L1785" s="36" t="s">
        <v>14330</v>
      </c>
      <c r="M1785">
        <v>3</v>
      </c>
      <c r="N1785" t="s">
        <v>14331</v>
      </c>
      <c r="O1785" t="s">
        <v>32633</v>
      </c>
    </row>
    <row r="1786" spans="1:15" x14ac:dyDescent="0.25">
      <c r="A1786" s="35" t="s">
        <v>5782</v>
      </c>
      <c r="B1786" s="36" t="s">
        <v>5783</v>
      </c>
      <c r="C1786" s="36" t="str">
        <f>HYPERLINK("https://rhld.insurance.arkansas.gov/NPILookup?Npi=1811556715","1811556715")</f>
        <v>1811556715</v>
      </c>
      <c r="D1786" s="36" t="s">
        <v>34444</v>
      </c>
      <c r="E1786" s="36" t="s">
        <v>1</v>
      </c>
      <c r="F1786" s="36">
        <v>1</v>
      </c>
      <c r="G1786" s="36">
        <v>3</v>
      </c>
      <c r="H1786" s="36">
        <v>0</v>
      </c>
      <c r="I1786" s="37">
        <v>0</v>
      </c>
      <c r="J1786" s="36" t="s">
        <v>32654</v>
      </c>
      <c r="K1786" s="36" t="s">
        <v>14330</v>
      </c>
      <c r="L1786" s="36" t="s">
        <v>14330</v>
      </c>
      <c r="M1786">
        <v>1</v>
      </c>
      <c r="N1786" t="s">
        <v>14331</v>
      </c>
      <c r="O1786" t="s">
        <v>32633</v>
      </c>
    </row>
    <row r="1787" spans="1:15" x14ac:dyDescent="0.25">
      <c r="A1787" s="35" t="s">
        <v>5782</v>
      </c>
      <c r="B1787" s="36" t="s">
        <v>5783</v>
      </c>
      <c r="C1787" s="36" t="str">
        <f>HYPERLINK("https://rhld.insurance.arkansas.gov/NPILookup?Npi=1811751720","1811751720")</f>
        <v>1811751720</v>
      </c>
      <c r="D1787" s="36" t="s">
        <v>34445</v>
      </c>
      <c r="E1787" s="36" t="s">
        <v>2</v>
      </c>
      <c r="F1787" s="36">
        <v>1</v>
      </c>
      <c r="G1787" s="36">
        <v>1</v>
      </c>
      <c r="H1787" s="36">
        <v>0</v>
      </c>
      <c r="I1787" s="37">
        <v>0</v>
      </c>
      <c r="J1787" s="36" t="s">
        <v>34165</v>
      </c>
      <c r="K1787" s="36" t="s">
        <v>14330</v>
      </c>
      <c r="L1787" s="36" t="s">
        <v>14330</v>
      </c>
      <c r="M1787">
        <v>3</v>
      </c>
      <c r="N1787" t="s">
        <v>14331</v>
      </c>
      <c r="O1787" t="s">
        <v>32633</v>
      </c>
    </row>
    <row r="1788" spans="1:15" x14ac:dyDescent="0.25">
      <c r="A1788" s="35" t="s">
        <v>5782</v>
      </c>
      <c r="B1788" s="36" t="s">
        <v>5783</v>
      </c>
      <c r="C1788" s="36" t="str">
        <f>HYPERLINK("https://rhld.insurance.arkansas.gov/NPILookup?Npi=1811904915","1811904915")</f>
        <v>1811904915</v>
      </c>
      <c r="D1788" s="36" t="s">
        <v>34446</v>
      </c>
      <c r="E1788" s="36" t="s">
        <v>1</v>
      </c>
      <c r="F1788" s="36">
        <v>1</v>
      </c>
      <c r="G1788" s="36">
        <v>3</v>
      </c>
      <c r="H1788" s="36">
        <v>0</v>
      </c>
      <c r="I1788" s="37">
        <v>0</v>
      </c>
      <c r="J1788" s="36" t="s">
        <v>32654</v>
      </c>
      <c r="K1788" s="36" t="s">
        <v>14330</v>
      </c>
      <c r="L1788" s="36" t="s">
        <v>14330</v>
      </c>
      <c r="M1788">
        <v>2</v>
      </c>
      <c r="N1788" t="s">
        <v>14331</v>
      </c>
      <c r="O1788" t="s">
        <v>32633</v>
      </c>
    </row>
    <row r="1789" spans="1:15" x14ac:dyDescent="0.25">
      <c r="A1789" s="35" t="s">
        <v>5782</v>
      </c>
      <c r="B1789" s="36" t="s">
        <v>5783</v>
      </c>
      <c r="C1789" s="36" t="str">
        <f>HYPERLINK("https://rhld.insurance.arkansas.gov/NPILookup?Npi=1821752825","1821752825")</f>
        <v>1821752825</v>
      </c>
      <c r="D1789" s="36" t="s">
        <v>34447</v>
      </c>
      <c r="E1789" s="36" t="s">
        <v>2</v>
      </c>
      <c r="F1789" s="36">
        <v>1</v>
      </c>
      <c r="G1789" s="36">
        <v>2</v>
      </c>
      <c r="H1789" s="36">
        <v>0</v>
      </c>
      <c r="I1789" s="37">
        <v>0</v>
      </c>
      <c r="J1789" s="36" t="s">
        <v>34165</v>
      </c>
      <c r="K1789" s="36" t="s">
        <v>14330</v>
      </c>
      <c r="L1789" s="36" t="s">
        <v>14330</v>
      </c>
      <c r="M1789">
        <v>2</v>
      </c>
      <c r="N1789" t="s">
        <v>14331</v>
      </c>
      <c r="O1789" t="s">
        <v>14333</v>
      </c>
    </row>
    <row r="1790" spans="1:15" x14ac:dyDescent="0.25">
      <c r="A1790" s="35" t="s">
        <v>5782</v>
      </c>
      <c r="B1790" s="36" t="s">
        <v>5783</v>
      </c>
      <c r="C1790" s="36" t="str">
        <f>HYPERLINK("https://rhld.insurance.arkansas.gov/NPILookup?Npi=1831628171","1831628171")</f>
        <v>1831628171</v>
      </c>
      <c r="D1790" s="36" t="s">
        <v>34448</v>
      </c>
      <c r="E1790" s="36" t="s">
        <v>2</v>
      </c>
      <c r="F1790" s="36">
        <v>1</v>
      </c>
      <c r="G1790" s="36">
        <v>2</v>
      </c>
      <c r="H1790" s="36">
        <v>0</v>
      </c>
      <c r="I1790" s="37">
        <v>0</v>
      </c>
      <c r="J1790" s="36"/>
      <c r="K1790" s="36" t="s">
        <v>14330</v>
      </c>
      <c r="L1790" s="36" t="s">
        <v>14330</v>
      </c>
      <c r="M1790">
        <v>2</v>
      </c>
      <c r="N1790" t="s">
        <v>14331</v>
      </c>
      <c r="O1790" t="s">
        <v>14333</v>
      </c>
    </row>
    <row r="1791" spans="1:15" x14ac:dyDescent="0.25">
      <c r="A1791" s="35" t="s">
        <v>5782</v>
      </c>
      <c r="B1791" s="36" t="s">
        <v>5783</v>
      </c>
      <c r="C1791" s="36" t="str">
        <f>HYPERLINK("https://rhld.insurance.arkansas.gov/NPILookup?Npi=1841002888","1841002888")</f>
        <v>1841002888</v>
      </c>
      <c r="D1791" s="36" t="s">
        <v>34449</v>
      </c>
      <c r="E1791" s="36" t="s">
        <v>2</v>
      </c>
      <c r="F1791" s="36">
        <v>1</v>
      </c>
      <c r="G1791" s="36">
        <v>2</v>
      </c>
      <c r="H1791" s="36">
        <v>0</v>
      </c>
      <c r="I1791" s="37">
        <v>0</v>
      </c>
      <c r="J1791" s="36" t="s">
        <v>34165</v>
      </c>
      <c r="K1791" s="36" t="s">
        <v>14330</v>
      </c>
      <c r="L1791" s="36" t="s">
        <v>14330</v>
      </c>
      <c r="M1791">
        <v>3</v>
      </c>
      <c r="N1791" t="s">
        <v>14331</v>
      </c>
      <c r="O1791" t="s">
        <v>14333</v>
      </c>
    </row>
    <row r="1792" spans="1:15" x14ac:dyDescent="0.25">
      <c r="A1792" s="35" t="s">
        <v>5782</v>
      </c>
      <c r="B1792" s="36" t="s">
        <v>5783</v>
      </c>
      <c r="C1792" s="36" t="str">
        <f>HYPERLINK("https://rhld.insurance.arkansas.gov/NPILookup?Npi=1841364072","1841364072")</f>
        <v>1841364072</v>
      </c>
      <c r="D1792" s="36" t="s">
        <v>34450</v>
      </c>
      <c r="E1792" s="36" t="s">
        <v>1</v>
      </c>
      <c r="F1792" s="36">
        <v>1</v>
      </c>
      <c r="G1792" s="36">
        <v>3</v>
      </c>
      <c r="H1792" s="36">
        <v>0</v>
      </c>
      <c r="I1792" s="37">
        <v>0</v>
      </c>
      <c r="J1792" s="36" t="s">
        <v>32654</v>
      </c>
      <c r="K1792" s="36" t="s">
        <v>14330</v>
      </c>
      <c r="L1792" s="36" t="s">
        <v>14330</v>
      </c>
      <c r="M1792">
        <v>2</v>
      </c>
      <c r="N1792" t="s">
        <v>14331</v>
      </c>
      <c r="O1792" t="s">
        <v>32633</v>
      </c>
    </row>
    <row r="1793" spans="1:15" x14ac:dyDescent="0.25">
      <c r="A1793" s="35" t="s">
        <v>5782</v>
      </c>
      <c r="B1793" s="36" t="s">
        <v>5783</v>
      </c>
      <c r="C1793" s="36" t="str">
        <f>HYPERLINK("https://rhld.insurance.arkansas.gov/NPILookup?Npi=1841904018","1841904018")</f>
        <v>1841904018</v>
      </c>
      <c r="D1793" s="36" t="s">
        <v>34451</v>
      </c>
      <c r="E1793" s="36" t="s">
        <v>2</v>
      </c>
      <c r="F1793" s="36">
        <v>1</v>
      </c>
      <c r="G1793" s="36">
        <v>2</v>
      </c>
      <c r="H1793" s="36">
        <v>0</v>
      </c>
      <c r="I1793" s="37">
        <v>0</v>
      </c>
      <c r="J1793" s="36"/>
      <c r="K1793" s="36" t="s">
        <v>14330</v>
      </c>
      <c r="L1793" s="36" t="s">
        <v>14330</v>
      </c>
      <c r="M1793">
        <v>2</v>
      </c>
      <c r="N1793" t="s">
        <v>14331</v>
      </c>
      <c r="O1793" t="s">
        <v>14333</v>
      </c>
    </row>
    <row r="1794" spans="1:15" x14ac:dyDescent="0.25">
      <c r="A1794" s="35" t="s">
        <v>5782</v>
      </c>
      <c r="B1794" s="36" t="s">
        <v>5783</v>
      </c>
      <c r="C1794" s="36" t="str">
        <f>HYPERLINK("https://rhld.insurance.arkansas.gov/NPILookup?Npi=1841999679","1841999679")</f>
        <v>1841999679</v>
      </c>
      <c r="D1794" s="36" t="s">
        <v>34452</v>
      </c>
      <c r="E1794" s="36" t="s">
        <v>2</v>
      </c>
      <c r="F1794" s="36">
        <v>2</v>
      </c>
      <c r="G1794" s="36">
        <v>2</v>
      </c>
      <c r="H1794" s="36">
        <v>0</v>
      </c>
      <c r="I1794" s="37">
        <v>0</v>
      </c>
      <c r="J1794" s="36" t="s">
        <v>34181</v>
      </c>
      <c r="K1794" s="36" t="s">
        <v>14330</v>
      </c>
      <c r="L1794" s="36" t="s">
        <v>14330</v>
      </c>
      <c r="M1794">
        <v>3</v>
      </c>
      <c r="N1794" t="s">
        <v>14331</v>
      </c>
      <c r="O1794" t="s">
        <v>14333</v>
      </c>
    </row>
    <row r="1795" spans="1:15" x14ac:dyDescent="0.25">
      <c r="A1795" s="35" t="s">
        <v>5782</v>
      </c>
      <c r="B1795" s="36" t="s">
        <v>5783</v>
      </c>
      <c r="C1795" s="36" t="str">
        <f>HYPERLINK("https://rhld.insurance.arkansas.gov/NPILookup?Npi=1851682116","1851682116")</f>
        <v>1851682116</v>
      </c>
      <c r="D1795" s="36" t="s">
        <v>34453</v>
      </c>
      <c r="E1795" s="36" t="s">
        <v>1</v>
      </c>
      <c r="F1795" s="36">
        <v>1</v>
      </c>
      <c r="G1795" s="36">
        <v>3</v>
      </c>
      <c r="H1795" s="36">
        <v>0</v>
      </c>
      <c r="I1795" s="37">
        <v>0</v>
      </c>
      <c r="J1795" s="36" t="s">
        <v>32654</v>
      </c>
      <c r="K1795" s="36" t="s">
        <v>14330</v>
      </c>
      <c r="L1795" s="36" t="s">
        <v>14330</v>
      </c>
      <c r="M1795">
        <v>2</v>
      </c>
      <c r="N1795" t="s">
        <v>14331</v>
      </c>
      <c r="O1795" t="s">
        <v>32633</v>
      </c>
    </row>
    <row r="1796" spans="1:15" x14ac:dyDescent="0.25">
      <c r="A1796" s="35" t="s">
        <v>5782</v>
      </c>
      <c r="B1796" s="36" t="s">
        <v>5783</v>
      </c>
      <c r="C1796" s="36" t="str">
        <f>HYPERLINK("https://rhld.insurance.arkansas.gov/NPILookup?Npi=1861643108","1861643108")</f>
        <v>1861643108</v>
      </c>
      <c r="D1796" s="36" t="s">
        <v>34454</v>
      </c>
      <c r="E1796" s="36" t="s">
        <v>2</v>
      </c>
      <c r="F1796" s="36">
        <v>1</v>
      </c>
      <c r="G1796" s="36">
        <v>2</v>
      </c>
      <c r="H1796" s="36">
        <v>0</v>
      </c>
      <c r="I1796" s="37">
        <v>0</v>
      </c>
      <c r="J1796" s="36" t="s">
        <v>34165</v>
      </c>
      <c r="K1796" s="36" t="s">
        <v>14330</v>
      </c>
      <c r="L1796" s="36" t="s">
        <v>14330</v>
      </c>
      <c r="M1796">
        <v>2</v>
      </c>
      <c r="N1796" t="s">
        <v>14331</v>
      </c>
      <c r="O1796" t="s">
        <v>14333</v>
      </c>
    </row>
    <row r="1797" spans="1:15" x14ac:dyDescent="0.25">
      <c r="A1797" s="35" t="s">
        <v>5782</v>
      </c>
      <c r="B1797" s="36" t="s">
        <v>5783</v>
      </c>
      <c r="C1797" s="36" t="str">
        <f>HYPERLINK("https://rhld.insurance.arkansas.gov/NPILookup?Npi=1871167627","1871167627")</f>
        <v>1871167627</v>
      </c>
      <c r="D1797" s="36" t="s">
        <v>34455</v>
      </c>
      <c r="E1797" s="36" t="s">
        <v>2</v>
      </c>
      <c r="F1797" s="36">
        <v>1</v>
      </c>
      <c r="G1797" s="36">
        <v>2</v>
      </c>
      <c r="H1797" s="36">
        <v>0</v>
      </c>
      <c r="I1797" s="37">
        <v>0</v>
      </c>
      <c r="J1797" s="36" t="s">
        <v>34165</v>
      </c>
      <c r="K1797" s="36" t="s">
        <v>14330</v>
      </c>
      <c r="L1797" s="36" t="s">
        <v>14330</v>
      </c>
      <c r="M1797">
        <v>2</v>
      </c>
      <c r="N1797" t="s">
        <v>14331</v>
      </c>
      <c r="O1797" t="s">
        <v>14333</v>
      </c>
    </row>
    <row r="1798" spans="1:15" x14ac:dyDescent="0.25">
      <c r="A1798" s="35" t="s">
        <v>5782</v>
      </c>
      <c r="B1798" s="36" t="s">
        <v>5783</v>
      </c>
      <c r="C1798" s="36" t="str">
        <f>HYPERLINK("https://rhld.insurance.arkansas.gov/NPILookup?Npi=1871207654","1871207654")</f>
        <v>1871207654</v>
      </c>
      <c r="D1798" s="36" t="s">
        <v>34456</v>
      </c>
      <c r="E1798" s="36" t="s">
        <v>1</v>
      </c>
      <c r="F1798" s="36">
        <v>1</v>
      </c>
      <c r="G1798" s="36">
        <v>2</v>
      </c>
      <c r="H1798" s="36">
        <v>0</v>
      </c>
      <c r="I1798" s="37">
        <v>0</v>
      </c>
      <c r="J1798" s="36" t="s">
        <v>32654</v>
      </c>
      <c r="K1798" s="36" t="s">
        <v>14330</v>
      </c>
      <c r="L1798" s="36" t="s">
        <v>14330</v>
      </c>
      <c r="M1798">
        <v>3</v>
      </c>
      <c r="N1798" t="s">
        <v>14331</v>
      </c>
      <c r="O1798" t="s">
        <v>32633</v>
      </c>
    </row>
    <row r="1799" spans="1:15" x14ac:dyDescent="0.25">
      <c r="A1799" s="35" t="s">
        <v>5782</v>
      </c>
      <c r="B1799" s="36" t="s">
        <v>5783</v>
      </c>
      <c r="C1799" s="36" t="str">
        <f>HYPERLINK("https://rhld.insurance.arkansas.gov/NPILookup?Npi=1871218271","1871218271")</f>
        <v>1871218271</v>
      </c>
      <c r="D1799" s="36" t="s">
        <v>34457</v>
      </c>
      <c r="E1799" s="36" t="s">
        <v>1</v>
      </c>
      <c r="F1799" s="36">
        <v>1</v>
      </c>
      <c r="G1799" s="36">
        <v>3</v>
      </c>
      <c r="H1799" s="36">
        <v>0</v>
      </c>
      <c r="I1799" s="37">
        <v>0</v>
      </c>
      <c r="J1799" s="36" t="s">
        <v>32654</v>
      </c>
      <c r="K1799" s="36" t="s">
        <v>14330</v>
      </c>
      <c r="L1799" s="36" t="s">
        <v>14330</v>
      </c>
      <c r="M1799">
        <v>2</v>
      </c>
      <c r="N1799" t="s">
        <v>14331</v>
      </c>
      <c r="O1799" t="s">
        <v>32633</v>
      </c>
    </row>
    <row r="1800" spans="1:15" x14ac:dyDescent="0.25">
      <c r="A1800" s="35" t="s">
        <v>5782</v>
      </c>
      <c r="B1800" s="36" t="s">
        <v>5783</v>
      </c>
      <c r="C1800" s="36" t="str">
        <f>HYPERLINK("https://rhld.insurance.arkansas.gov/NPILookup?Npi=1871228569","1871228569")</f>
        <v>1871228569</v>
      </c>
      <c r="D1800" s="36" t="s">
        <v>34458</v>
      </c>
      <c r="E1800" s="36" t="s">
        <v>2</v>
      </c>
      <c r="F1800" s="36">
        <v>2</v>
      </c>
      <c r="G1800" s="36">
        <v>2</v>
      </c>
      <c r="H1800" s="36">
        <v>0</v>
      </c>
      <c r="I1800" s="37">
        <v>0</v>
      </c>
      <c r="J1800" s="36" t="s">
        <v>34181</v>
      </c>
      <c r="K1800" s="36" t="s">
        <v>14330</v>
      </c>
      <c r="L1800" s="36" t="s">
        <v>14330</v>
      </c>
      <c r="M1800">
        <v>2</v>
      </c>
      <c r="N1800" t="s">
        <v>14331</v>
      </c>
      <c r="O1800" t="s">
        <v>14333</v>
      </c>
    </row>
    <row r="1801" spans="1:15" x14ac:dyDescent="0.25">
      <c r="A1801" s="35" t="s">
        <v>5782</v>
      </c>
      <c r="B1801" s="36" t="s">
        <v>5783</v>
      </c>
      <c r="C1801" s="36" t="str">
        <f>HYPERLINK("https://rhld.insurance.arkansas.gov/NPILookup?Npi=1871229690","1871229690")</f>
        <v>1871229690</v>
      </c>
      <c r="D1801" s="36" t="s">
        <v>34459</v>
      </c>
      <c r="E1801" s="36" t="s">
        <v>2</v>
      </c>
      <c r="F1801" s="36">
        <v>1</v>
      </c>
      <c r="G1801" s="36">
        <v>2</v>
      </c>
      <c r="H1801" s="36">
        <v>0</v>
      </c>
      <c r="I1801" s="37">
        <v>0</v>
      </c>
      <c r="J1801" s="36"/>
      <c r="K1801" s="36" t="s">
        <v>14330</v>
      </c>
      <c r="L1801" s="36" t="s">
        <v>14330</v>
      </c>
      <c r="M1801">
        <v>2</v>
      </c>
      <c r="N1801" t="s">
        <v>14331</v>
      </c>
      <c r="O1801" t="s">
        <v>14333</v>
      </c>
    </row>
    <row r="1802" spans="1:15" x14ac:dyDescent="0.25">
      <c r="A1802" s="35" t="s">
        <v>5782</v>
      </c>
      <c r="B1802" s="36" t="s">
        <v>5783</v>
      </c>
      <c r="C1802" s="36" t="str">
        <f>HYPERLINK("https://rhld.insurance.arkansas.gov/NPILookup?Npi=1871304808","1871304808")</f>
        <v>1871304808</v>
      </c>
      <c r="D1802" s="36" t="s">
        <v>34460</v>
      </c>
      <c r="E1802" s="36" t="s">
        <v>2</v>
      </c>
      <c r="F1802" s="36">
        <v>1</v>
      </c>
      <c r="G1802" s="36">
        <v>2</v>
      </c>
      <c r="H1802" s="36">
        <v>0</v>
      </c>
      <c r="I1802" s="37">
        <v>0</v>
      </c>
      <c r="J1802" s="36"/>
      <c r="K1802" s="36" t="s">
        <v>14330</v>
      </c>
      <c r="L1802" s="36" t="s">
        <v>14330</v>
      </c>
      <c r="M1802">
        <v>2</v>
      </c>
      <c r="N1802" t="s">
        <v>14331</v>
      </c>
      <c r="O1802" t="s">
        <v>14333</v>
      </c>
    </row>
    <row r="1803" spans="1:15" x14ac:dyDescent="0.25">
      <c r="A1803" s="35" t="s">
        <v>5782</v>
      </c>
      <c r="B1803" s="36" t="s">
        <v>5783</v>
      </c>
      <c r="C1803" s="36" t="str">
        <f>HYPERLINK("https://rhld.insurance.arkansas.gov/NPILookup?Npi=1871306993","1871306993")</f>
        <v>1871306993</v>
      </c>
      <c r="D1803" s="36" t="s">
        <v>34461</v>
      </c>
      <c r="E1803" s="36" t="s">
        <v>2</v>
      </c>
      <c r="F1803" s="36">
        <v>1</v>
      </c>
      <c r="G1803" s="36">
        <v>2</v>
      </c>
      <c r="H1803" s="36">
        <v>0</v>
      </c>
      <c r="I1803" s="37">
        <v>0</v>
      </c>
      <c r="J1803" s="36"/>
      <c r="K1803" s="36" t="s">
        <v>14330</v>
      </c>
      <c r="L1803" s="36" t="s">
        <v>14330</v>
      </c>
      <c r="M1803">
        <v>2</v>
      </c>
      <c r="N1803" t="s">
        <v>14331</v>
      </c>
      <c r="O1803" t="s">
        <v>14333</v>
      </c>
    </row>
    <row r="1804" spans="1:15" x14ac:dyDescent="0.25">
      <c r="A1804" s="35" t="s">
        <v>5782</v>
      </c>
      <c r="B1804" s="36" t="s">
        <v>5783</v>
      </c>
      <c r="C1804" s="36" t="str">
        <f>HYPERLINK("https://rhld.insurance.arkansas.gov/NPILookup?Npi=1871730770","1871730770")</f>
        <v>1871730770</v>
      </c>
      <c r="D1804" s="36" t="s">
        <v>34462</v>
      </c>
      <c r="E1804" s="36" t="s">
        <v>2</v>
      </c>
      <c r="F1804" s="36">
        <v>1</v>
      </c>
      <c r="G1804" s="36">
        <v>2</v>
      </c>
      <c r="H1804" s="36">
        <v>0</v>
      </c>
      <c r="I1804" s="37">
        <v>0</v>
      </c>
      <c r="J1804" s="36" t="s">
        <v>32679</v>
      </c>
      <c r="K1804" s="36" t="s">
        <v>14330</v>
      </c>
      <c r="L1804" s="36" t="s">
        <v>14330</v>
      </c>
      <c r="M1804">
        <v>3</v>
      </c>
      <c r="N1804" t="s">
        <v>14331</v>
      </c>
      <c r="O1804" t="s">
        <v>14333</v>
      </c>
    </row>
    <row r="1805" spans="1:15" x14ac:dyDescent="0.25">
      <c r="A1805" s="35" t="s">
        <v>5782</v>
      </c>
      <c r="B1805" s="36" t="s">
        <v>5783</v>
      </c>
      <c r="C1805" s="36" t="str">
        <f>HYPERLINK("https://rhld.insurance.arkansas.gov/NPILookup?Npi=1871803403","1871803403")</f>
        <v>1871803403</v>
      </c>
      <c r="D1805" s="36" t="s">
        <v>34463</v>
      </c>
      <c r="E1805" s="36" t="s">
        <v>1</v>
      </c>
      <c r="F1805" s="36">
        <v>1</v>
      </c>
      <c r="G1805" s="36">
        <v>3</v>
      </c>
      <c r="H1805" s="36">
        <v>0</v>
      </c>
      <c r="I1805" s="37">
        <v>0</v>
      </c>
      <c r="J1805" s="36" t="s">
        <v>32654</v>
      </c>
      <c r="K1805" s="36" t="s">
        <v>14330</v>
      </c>
      <c r="L1805" s="36" t="s">
        <v>14330</v>
      </c>
      <c r="M1805">
        <v>2</v>
      </c>
      <c r="N1805" t="s">
        <v>14331</v>
      </c>
      <c r="O1805" t="s">
        <v>32633</v>
      </c>
    </row>
    <row r="1806" spans="1:15" x14ac:dyDescent="0.25">
      <c r="A1806" s="35" t="s">
        <v>5782</v>
      </c>
      <c r="B1806" s="36" t="s">
        <v>5783</v>
      </c>
      <c r="C1806" s="36" t="str">
        <f>HYPERLINK("https://rhld.insurance.arkansas.gov/NPILookup?Npi=1881304541","1881304541")</f>
        <v>1881304541</v>
      </c>
      <c r="D1806" s="36" t="s">
        <v>34464</v>
      </c>
      <c r="E1806" s="36" t="s">
        <v>2</v>
      </c>
      <c r="F1806" s="36">
        <v>2</v>
      </c>
      <c r="G1806" s="36">
        <v>2</v>
      </c>
      <c r="H1806" s="36">
        <v>0</v>
      </c>
      <c r="I1806" s="37">
        <v>0</v>
      </c>
      <c r="J1806" s="36" t="s">
        <v>34181</v>
      </c>
      <c r="K1806" s="36" t="s">
        <v>14330</v>
      </c>
      <c r="L1806" s="36" t="s">
        <v>14330</v>
      </c>
      <c r="M1806">
        <v>2</v>
      </c>
      <c r="N1806" t="s">
        <v>14331</v>
      </c>
      <c r="O1806" t="s">
        <v>14333</v>
      </c>
    </row>
    <row r="1807" spans="1:15" x14ac:dyDescent="0.25">
      <c r="A1807" s="35" t="s">
        <v>5782</v>
      </c>
      <c r="B1807" s="36" t="s">
        <v>5783</v>
      </c>
      <c r="C1807" s="36" t="str">
        <f>HYPERLINK("https://rhld.insurance.arkansas.gov/NPILookup?Npi=1881360212","1881360212")</f>
        <v>1881360212</v>
      </c>
      <c r="D1807" s="36" t="s">
        <v>34465</v>
      </c>
      <c r="E1807" s="36" t="s">
        <v>2</v>
      </c>
      <c r="F1807" s="36">
        <v>1</v>
      </c>
      <c r="G1807" s="36">
        <v>2</v>
      </c>
      <c r="H1807" s="36">
        <v>0</v>
      </c>
      <c r="I1807" s="37">
        <v>0</v>
      </c>
      <c r="J1807" s="36" t="s">
        <v>34165</v>
      </c>
      <c r="K1807" s="36" t="s">
        <v>14330</v>
      </c>
      <c r="L1807" s="36" t="s">
        <v>14330</v>
      </c>
      <c r="M1807">
        <v>2</v>
      </c>
      <c r="N1807" t="s">
        <v>14331</v>
      </c>
      <c r="O1807" t="s">
        <v>14333</v>
      </c>
    </row>
    <row r="1808" spans="1:15" x14ac:dyDescent="0.25">
      <c r="A1808" s="35" t="s">
        <v>5782</v>
      </c>
      <c r="B1808" s="36" t="s">
        <v>5783</v>
      </c>
      <c r="C1808" s="36" t="str">
        <f>HYPERLINK("https://rhld.insurance.arkansas.gov/NPILookup?Npi=1881492031","1881492031")</f>
        <v>1881492031</v>
      </c>
      <c r="D1808" s="36" t="s">
        <v>34466</v>
      </c>
      <c r="E1808" s="36" t="s">
        <v>2</v>
      </c>
      <c r="F1808" s="36">
        <v>1</v>
      </c>
      <c r="G1808" s="36">
        <v>2</v>
      </c>
      <c r="H1808" s="36">
        <v>0</v>
      </c>
      <c r="I1808" s="37">
        <v>0</v>
      </c>
      <c r="J1808" s="36"/>
      <c r="K1808" s="36" t="s">
        <v>14330</v>
      </c>
      <c r="L1808" s="36" t="s">
        <v>14330</v>
      </c>
      <c r="M1808">
        <v>3</v>
      </c>
      <c r="N1808" t="s">
        <v>14331</v>
      </c>
      <c r="O1808" t="s">
        <v>14333</v>
      </c>
    </row>
    <row r="1809" spans="1:15" x14ac:dyDescent="0.25">
      <c r="A1809" s="35" t="s">
        <v>5782</v>
      </c>
      <c r="B1809" s="36" t="s">
        <v>5783</v>
      </c>
      <c r="C1809" s="36" t="str">
        <f>HYPERLINK("https://rhld.insurance.arkansas.gov/NPILookup?Npi=1881803203","1881803203")</f>
        <v>1881803203</v>
      </c>
      <c r="D1809" s="36" t="s">
        <v>34467</v>
      </c>
      <c r="E1809" s="36" t="s">
        <v>1</v>
      </c>
      <c r="F1809" s="36">
        <v>1</v>
      </c>
      <c r="G1809" s="36">
        <v>3</v>
      </c>
      <c r="H1809" s="36">
        <v>0</v>
      </c>
      <c r="I1809" s="37">
        <v>0</v>
      </c>
      <c r="J1809" s="36" t="s">
        <v>32654</v>
      </c>
      <c r="K1809" s="36" t="s">
        <v>14330</v>
      </c>
      <c r="L1809" s="36" t="s">
        <v>14330</v>
      </c>
      <c r="M1809">
        <v>2</v>
      </c>
      <c r="N1809" t="s">
        <v>14331</v>
      </c>
      <c r="O1809" t="s">
        <v>32633</v>
      </c>
    </row>
    <row r="1810" spans="1:15" x14ac:dyDescent="0.25">
      <c r="A1810" s="35" t="s">
        <v>5782</v>
      </c>
      <c r="B1810" s="36" t="s">
        <v>5783</v>
      </c>
      <c r="C1810" s="36" t="str">
        <f>HYPERLINK("https://rhld.insurance.arkansas.gov/NPILookup?Npi=1891367975","1891367975")</f>
        <v>1891367975</v>
      </c>
      <c r="D1810" s="36" t="s">
        <v>34468</v>
      </c>
      <c r="E1810" s="36" t="s">
        <v>2</v>
      </c>
      <c r="F1810" s="36">
        <v>1</v>
      </c>
      <c r="G1810" s="36">
        <v>2</v>
      </c>
      <c r="H1810" s="36">
        <v>0</v>
      </c>
      <c r="I1810" s="37">
        <v>0</v>
      </c>
      <c r="J1810" s="36"/>
      <c r="K1810" s="36" t="s">
        <v>14330</v>
      </c>
      <c r="L1810" s="36" t="s">
        <v>14330</v>
      </c>
      <c r="M1810">
        <v>2</v>
      </c>
      <c r="N1810" t="s">
        <v>14331</v>
      </c>
      <c r="O1810" t="s">
        <v>14333</v>
      </c>
    </row>
    <row r="1811" spans="1:15" x14ac:dyDescent="0.25">
      <c r="A1811" s="35" t="s">
        <v>5782</v>
      </c>
      <c r="B1811" s="36" t="s">
        <v>5783</v>
      </c>
      <c r="C1811" s="36" t="str">
        <f>HYPERLINK("https://rhld.insurance.arkansas.gov/NPILookup?Npi=1891501391","1891501391")</f>
        <v>1891501391</v>
      </c>
      <c r="D1811" s="36" t="s">
        <v>34469</v>
      </c>
      <c r="E1811" s="36" t="s">
        <v>2</v>
      </c>
      <c r="F1811" s="36">
        <v>1</v>
      </c>
      <c r="G1811" s="36">
        <v>2</v>
      </c>
      <c r="H1811" s="36">
        <v>0</v>
      </c>
      <c r="I1811" s="37">
        <v>0</v>
      </c>
      <c r="J1811" s="36"/>
      <c r="K1811" s="36" t="s">
        <v>14330</v>
      </c>
      <c r="L1811" s="36" t="s">
        <v>14330</v>
      </c>
      <c r="M1811">
        <v>2</v>
      </c>
      <c r="N1811" t="s">
        <v>14331</v>
      </c>
      <c r="O1811" t="s">
        <v>14333</v>
      </c>
    </row>
    <row r="1812" spans="1:15" x14ac:dyDescent="0.25">
      <c r="A1812" s="35" t="s">
        <v>5782</v>
      </c>
      <c r="B1812" s="36" t="s">
        <v>5783</v>
      </c>
      <c r="C1812" s="36" t="str">
        <f>HYPERLINK("https://rhld.insurance.arkansas.gov/NPILookup?Npi=1891527339","1891527339")</f>
        <v>1891527339</v>
      </c>
      <c r="D1812" s="36" t="s">
        <v>34470</v>
      </c>
      <c r="E1812" s="36" t="s">
        <v>2</v>
      </c>
      <c r="F1812" s="36">
        <v>1</v>
      </c>
      <c r="G1812" s="36">
        <v>2</v>
      </c>
      <c r="H1812" s="36">
        <v>0</v>
      </c>
      <c r="I1812" s="37">
        <v>0</v>
      </c>
      <c r="J1812" s="36"/>
      <c r="K1812" s="36" t="s">
        <v>14330</v>
      </c>
      <c r="L1812" s="36" t="s">
        <v>14330</v>
      </c>
      <c r="M1812">
        <v>2</v>
      </c>
      <c r="N1812" t="s">
        <v>14331</v>
      </c>
      <c r="O1812" t="s">
        <v>14333</v>
      </c>
    </row>
    <row r="1813" spans="1:15" x14ac:dyDescent="0.25">
      <c r="A1813" s="35" t="s">
        <v>5782</v>
      </c>
      <c r="B1813" s="36" t="s">
        <v>5783</v>
      </c>
      <c r="C1813" s="36" t="str">
        <f>HYPERLINK("https://rhld.insurance.arkansas.gov/NPILookup?Npi=1891798989","1891798989")</f>
        <v>1891798989</v>
      </c>
      <c r="D1813" s="36" t="s">
        <v>34471</v>
      </c>
      <c r="E1813" s="36" t="s">
        <v>1</v>
      </c>
      <c r="F1813" s="36">
        <v>1</v>
      </c>
      <c r="G1813" s="36">
        <v>2</v>
      </c>
      <c r="H1813" s="36">
        <v>0</v>
      </c>
      <c r="I1813" s="37">
        <v>0</v>
      </c>
      <c r="J1813" s="36" t="s">
        <v>32654</v>
      </c>
      <c r="K1813" s="36" t="s">
        <v>14330</v>
      </c>
      <c r="L1813" s="36" t="s">
        <v>14330</v>
      </c>
      <c r="M1813">
        <v>0</v>
      </c>
      <c r="N1813" t="s">
        <v>14331</v>
      </c>
      <c r="O1813" t="s">
        <v>32633</v>
      </c>
    </row>
    <row r="1814" spans="1:15" x14ac:dyDescent="0.25">
      <c r="A1814" s="35" t="s">
        <v>5782</v>
      </c>
      <c r="B1814" s="36" t="s">
        <v>5783</v>
      </c>
      <c r="C1814" s="36" t="str">
        <f>HYPERLINK("https://rhld.insurance.arkansas.gov/NPILookup?Npi=1902033210","1902033210")</f>
        <v>1902033210</v>
      </c>
      <c r="D1814" s="36" t="s">
        <v>34472</v>
      </c>
      <c r="E1814" s="36" t="s">
        <v>2</v>
      </c>
      <c r="F1814" s="36">
        <v>1</v>
      </c>
      <c r="G1814" s="36">
        <v>1</v>
      </c>
      <c r="H1814" s="36">
        <v>1</v>
      </c>
      <c r="I1814" s="37">
        <v>1</v>
      </c>
      <c r="J1814" s="36"/>
      <c r="K1814" s="36" t="s">
        <v>14330</v>
      </c>
      <c r="L1814" s="36" t="s">
        <v>34188</v>
      </c>
      <c r="M1814">
        <v>2</v>
      </c>
      <c r="N1814" t="s">
        <v>14331</v>
      </c>
      <c r="O1814" t="s">
        <v>34189</v>
      </c>
    </row>
    <row r="1815" spans="1:15" x14ac:dyDescent="0.25">
      <c r="A1815" s="35" t="s">
        <v>5782</v>
      </c>
      <c r="B1815" s="36" t="s">
        <v>5783</v>
      </c>
      <c r="C1815" s="36" t="str">
        <f>HYPERLINK("https://rhld.insurance.arkansas.gov/NPILookup?Npi=1902644727","1902644727")</f>
        <v>1902644727</v>
      </c>
      <c r="D1815" s="36" t="s">
        <v>34473</v>
      </c>
      <c r="E1815" s="36" t="s">
        <v>2</v>
      </c>
      <c r="F1815" s="36">
        <v>1</v>
      </c>
      <c r="G1815" s="36">
        <v>2</v>
      </c>
      <c r="H1815" s="36">
        <v>0</v>
      </c>
      <c r="I1815" s="37">
        <v>0</v>
      </c>
      <c r="J1815" s="36" t="s">
        <v>34165</v>
      </c>
      <c r="K1815" s="36" t="s">
        <v>14330</v>
      </c>
      <c r="L1815" s="36" t="s">
        <v>14330</v>
      </c>
      <c r="M1815">
        <v>2</v>
      </c>
      <c r="N1815" t="s">
        <v>14331</v>
      </c>
      <c r="O1815" t="s">
        <v>14333</v>
      </c>
    </row>
    <row r="1816" spans="1:15" x14ac:dyDescent="0.25">
      <c r="A1816" s="35" t="s">
        <v>5782</v>
      </c>
      <c r="B1816" s="36" t="s">
        <v>5783</v>
      </c>
      <c r="C1816" s="36" t="str">
        <f>HYPERLINK("https://rhld.insurance.arkansas.gov/NPILookup?Npi=1912296039","1912296039")</f>
        <v>1912296039</v>
      </c>
      <c r="D1816" s="36" t="s">
        <v>34474</v>
      </c>
      <c r="E1816" s="36" t="s">
        <v>2</v>
      </c>
      <c r="F1816" s="36">
        <v>1</v>
      </c>
      <c r="G1816" s="36">
        <v>2</v>
      </c>
      <c r="H1816" s="36">
        <v>0</v>
      </c>
      <c r="I1816" s="37">
        <v>0</v>
      </c>
      <c r="J1816" s="36" t="s">
        <v>34165</v>
      </c>
      <c r="K1816" s="36" t="s">
        <v>14330</v>
      </c>
      <c r="L1816" s="36" t="s">
        <v>14330</v>
      </c>
      <c r="M1816">
        <v>3</v>
      </c>
      <c r="N1816" t="s">
        <v>14331</v>
      </c>
      <c r="O1816" t="s">
        <v>14333</v>
      </c>
    </row>
    <row r="1817" spans="1:15" x14ac:dyDescent="0.25">
      <c r="A1817" s="35" t="s">
        <v>5782</v>
      </c>
      <c r="B1817" s="36" t="s">
        <v>5783</v>
      </c>
      <c r="C1817" s="36" t="str">
        <f>HYPERLINK("https://rhld.insurance.arkansas.gov/NPILookup?Npi=1912352055","1912352055")</f>
        <v>1912352055</v>
      </c>
      <c r="D1817" s="36" t="s">
        <v>34475</v>
      </c>
      <c r="E1817" s="36" t="s">
        <v>1</v>
      </c>
      <c r="F1817" s="36">
        <v>1</v>
      </c>
      <c r="G1817" s="36">
        <v>3</v>
      </c>
      <c r="H1817" s="36">
        <v>0</v>
      </c>
      <c r="I1817" s="37">
        <v>0</v>
      </c>
      <c r="J1817" s="36" t="s">
        <v>32654</v>
      </c>
      <c r="K1817" s="36" t="s">
        <v>14330</v>
      </c>
      <c r="L1817" s="36" t="s">
        <v>14330</v>
      </c>
      <c r="M1817">
        <v>2</v>
      </c>
      <c r="N1817" t="s">
        <v>14331</v>
      </c>
      <c r="O1817" t="s">
        <v>32633</v>
      </c>
    </row>
    <row r="1818" spans="1:15" x14ac:dyDescent="0.25">
      <c r="A1818" s="35" t="s">
        <v>5782</v>
      </c>
      <c r="B1818" s="36" t="s">
        <v>5783</v>
      </c>
      <c r="C1818" s="36" t="str">
        <f>HYPERLINK("https://rhld.insurance.arkansas.gov/NPILookup?Npi=1922461516","1922461516")</f>
        <v>1922461516</v>
      </c>
      <c r="D1818" s="36" t="s">
        <v>34476</v>
      </c>
      <c r="E1818" s="36" t="s">
        <v>2</v>
      </c>
      <c r="F1818" s="36">
        <v>1</v>
      </c>
      <c r="G1818" s="36">
        <v>2</v>
      </c>
      <c r="H1818" s="36">
        <v>0</v>
      </c>
      <c r="I1818" s="37">
        <v>0</v>
      </c>
      <c r="J1818" s="36"/>
      <c r="K1818" s="36" t="s">
        <v>14330</v>
      </c>
      <c r="L1818" s="36" t="s">
        <v>14330</v>
      </c>
      <c r="M1818">
        <v>2</v>
      </c>
      <c r="N1818" t="s">
        <v>14331</v>
      </c>
      <c r="O1818" t="s">
        <v>14333</v>
      </c>
    </row>
    <row r="1819" spans="1:15" x14ac:dyDescent="0.25">
      <c r="A1819" s="35" t="s">
        <v>5782</v>
      </c>
      <c r="B1819" s="36" t="s">
        <v>5783</v>
      </c>
      <c r="C1819" s="36" t="str">
        <f>HYPERLINK("https://rhld.insurance.arkansas.gov/NPILookup?Npi=1922852797","1922852797")</f>
        <v>1922852797</v>
      </c>
      <c r="D1819" s="36" t="s">
        <v>34477</v>
      </c>
      <c r="E1819" s="36" t="s">
        <v>2</v>
      </c>
      <c r="F1819" s="36">
        <v>1</v>
      </c>
      <c r="G1819" s="36">
        <v>2</v>
      </c>
      <c r="H1819" s="36">
        <v>0</v>
      </c>
      <c r="I1819" s="37">
        <v>0</v>
      </c>
      <c r="J1819" s="36"/>
      <c r="K1819" s="36" t="s">
        <v>14330</v>
      </c>
      <c r="L1819" s="36" t="s">
        <v>14330</v>
      </c>
      <c r="M1819">
        <v>2</v>
      </c>
      <c r="N1819" t="s">
        <v>14331</v>
      </c>
      <c r="O1819" t="s">
        <v>14333</v>
      </c>
    </row>
    <row r="1820" spans="1:15" x14ac:dyDescent="0.25">
      <c r="A1820" s="35" t="s">
        <v>5782</v>
      </c>
      <c r="B1820" s="36" t="s">
        <v>5783</v>
      </c>
      <c r="C1820" s="36" t="str">
        <f>HYPERLINK("https://rhld.insurance.arkansas.gov/NPILookup?Npi=1932263613","1932263613")</f>
        <v>1932263613</v>
      </c>
      <c r="D1820" s="36" t="s">
        <v>34478</v>
      </c>
      <c r="E1820" s="36" t="s">
        <v>1</v>
      </c>
      <c r="F1820" s="36">
        <v>1</v>
      </c>
      <c r="G1820" s="36">
        <v>2</v>
      </c>
      <c r="H1820" s="36">
        <v>0</v>
      </c>
      <c r="I1820" s="37">
        <v>0</v>
      </c>
      <c r="J1820" s="36" t="s">
        <v>32654</v>
      </c>
      <c r="K1820" s="36" t="s">
        <v>14330</v>
      </c>
      <c r="L1820" s="36" t="s">
        <v>14330</v>
      </c>
      <c r="M1820">
        <v>3</v>
      </c>
      <c r="N1820" t="s">
        <v>14331</v>
      </c>
      <c r="O1820" t="s">
        <v>32633</v>
      </c>
    </row>
    <row r="1821" spans="1:15" x14ac:dyDescent="0.25">
      <c r="A1821" s="35" t="s">
        <v>5782</v>
      </c>
      <c r="B1821" s="36" t="s">
        <v>5783</v>
      </c>
      <c r="C1821" s="36" t="str">
        <f>HYPERLINK("https://rhld.insurance.arkansas.gov/NPILookup?Npi=1932702354","1932702354")</f>
        <v>1932702354</v>
      </c>
      <c r="D1821" s="36" t="s">
        <v>34479</v>
      </c>
      <c r="E1821" s="36" t="s">
        <v>1</v>
      </c>
      <c r="F1821" s="36">
        <v>1</v>
      </c>
      <c r="G1821" s="36">
        <v>3</v>
      </c>
      <c r="H1821" s="36">
        <v>0</v>
      </c>
      <c r="I1821" s="37">
        <v>0</v>
      </c>
      <c r="J1821" s="36" t="s">
        <v>32654</v>
      </c>
      <c r="K1821" s="36" t="s">
        <v>14330</v>
      </c>
      <c r="L1821" s="36" t="s">
        <v>14330</v>
      </c>
      <c r="M1821">
        <v>2</v>
      </c>
      <c r="N1821" t="s">
        <v>14331</v>
      </c>
      <c r="O1821" t="s">
        <v>32633</v>
      </c>
    </row>
    <row r="1822" spans="1:15" x14ac:dyDescent="0.25">
      <c r="A1822" s="35" t="s">
        <v>5782</v>
      </c>
      <c r="B1822" s="36" t="s">
        <v>5783</v>
      </c>
      <c r="C1822" s="36" t="str">
        <f>HYPERLINK("https://rhld.insurance.arkansas.gov/NPILookup?Npi=1942333687","1942333687")</f>
        <v>1942333687</v>
      </c>
      <c r="D1822" s="36" t="s">
        <v>34480</v>
      </c>
      <c r="E1822" s="36" t="s">
        <v>2</v>
      </c>
      <c r="F1822" s="36">
        <v>1</v>
      </c>
      <c r="G1822" s="36">
        <v>2</v>
      </c>
      <c r="H1822" s="36">
        <v>0</v>
      </c>
      <c r="I1822" s="37">
        <v>0</v>
      </c>
      <c r="J1822" s="36"/>
      <c r="K1822" s="36" t="s">
        <v>14330</v>
      </c>
      <c r="L1822" s="36" t="s">
        <v>14330</v>
      </c>
      <c r="M1822">
        <v>3</v>
      </c>
      <c r="N1822" t="s">
        <v>14331</v>
      </c>
      <c r="O1822" t="s">
        <v>14333</v>
      </c>
    </row>
    <row r="1823" spans="1:15" x14ac:dyDescent="0.25">
      <c r="A1823" s="35" t="s">
        <v>5782</v>
      </c>
      <c r="B1823" s="36" t="s">
        <v>5783</v>
      </c>
      <c r="C1823" s="36" t="str">
        <f>HYPERLINK("https://rhld.insurance.arkansas.gov/NPILookup?Npi=1942496005","1942496005")</f>
        <v>1942496005</v>
      </c>
      <c r="D1823" s="36" t="s">
        <v>34481</v>
      </c>
      <c r="E1823" s="36" t="s">
        <v>1</v>
      </c>
      <c r="F1823" s="36">
        <v>1</v>
      </c>
      <c r="G1823" s="36">
        <v>3</v>
      </c>
      <c r="H1823" s="36">
        <v>0</v>
      </c>
      <c r="I1823" s="37">
        <v>0</v>
      </c>
      <c r="J1823" s="36" t="s">
        <v>32654</v>
      </c>
      <c r="K1823" s="36" t="s">
        <v>14330</v>
      </c>
      <c r="L1823" s="36" t="s">
        <v>14330</v>
      </c>
      <c r="M1823">
        <v>0</v>
      </c>
      <c r="N1823" t="s">
        <v>14331</v>
      </c>
      <c r="O1823" t="s">
        <v>32633</v>
      </c>
    </row>
    <row r="1824" spans="1:15" x14ac:dyDescent="0.25">
      <c r="A1824" s="35" t="s">
        <v>5782</v>
      </c>
      <c r="B1824" s="36" t="s">
        <v>5783</v>
      </c>
      <c r="C1824" s="36" t="str">
        <f>HYPERLINK("https://rhld.insurance.arkansas.gov/NPILookup?Npi=1942516539","1942516539")</f>
        <v>1942516539</v>
      </c>
      <c r="D1824" s="36" t="s">
        <v>34482</v>
      </c>
      <c r="E1824" s="36" t="s">
        <v>2</v>
      </c>
      <c r="F1824" s="36">
        <v>1</v>
      </c>
      <c r="G1824" s="36">
        <v>1</v>
      </c>
      <c r="H1824" s="36">
        <v>1</v>
      </c>
      <c r="I1824" s="37">
        <v>1</v>
      </c>
      <c r="J1824" s="36"/>
      <c r="K1824" s="36" t="s">
        <v>14330</v>
      </c>
      <c r="L1824" s="36" t="s">
        <v>34188</v>
      </c>
      <c r="M1824">
        <v>2</v>
      </c>
      <c r="N1824" t="s">
        <v>14331</v>
      </c>
      <c r="O1824" t="s">
        <v>34189</v>
      </c>
    </row>
    <row r="1825" spans="1:15" x14ac:dyDescent="0.25">
      <c r="A1825" s="35" t="s">
        <v>5782</v>
      </c>
      <c r="B1825" s="36" t="s">
        <v>5783</v>
      </c>
      <c r="C1825" s="36" t="str">
        <f>HYPERLINK("https://rhld.insurance.arkansas.gov/NPILookup?Npi=1942877824","1942877824")</f>
        <v>1942877824</v>
      </c>
      <c r="D1825" s="36" t="s">
        <v>34483</v>
      </c>
      <c r="E1825" s="36" t="s">
        <v>2</v>
      </c>
      <c r="F1825" s="36">
        <v>1</v>
      </c>
      <c r="G1825" s="36">
        <v>2</v>
      </c>
      <c r="H1825" s="36">
        <v>0</v>
      </c>
      <c r="I1825" s="37">
        <v>0</v>
      </c>
      <c r="J1825" s="36"/>
      <c r="K1825" s="36" t="s">
        <v>14330</v>
      </c>
      <c r="L1825" s="36" t="s">
        <v>14330</v>
      </c>
      <c r="M1825">
        <v>2</v>
      </c>
      <c r="N1825" t="s">
        <v>14331</v>
      </c>
      <c r="O1825" t="s">
        <v>14333</v>
      </c>
    </row>
    <row r="1826" spans="1:15" x14ac:dyDescent="0.25">
      <c r="A1826" s="35" t="s">
        <v>5782</v>
      </c>
      <c r="B1826" s="36" t="s">
        <v>5783</v>
      </c>
      <c r="C1826" s="36" t="str">
        <f>HYPERLINK("https://rhld.insurance.arkansas.gov/NPILookup?Npi=1942927355","1942927355")</f>
        <v>1942927355</v>
      </c>
      <c r="D1826" s="36" t="s">
        <v>34484</v>
      </c>
      <c r="E1826" s="36" t="s">
        <v>2</v>
      </c>
      <c r="F1826" s="36">
        <v>1</v>
      </c>
      <c r="G1826" s="36">
        <v>2</v>
      </c>
      <c r="H1826" s="36">
        <v>0</v>
      </c>
      <c r="I1826" s="37">
        <v>0</v>
      </c>
      <c r="J1826" s="36" t="s">
        <v>34165</v>
      </c>
      <c r="K1826" s="36" t="s">
        <v>14330</v>
      </c>
      <c r="L1826" s="36" t="s">
        <v>14330</v>
      </c>
      <c r="M1826">
        <v>2</v>
      </c>
      <c r="N1826" t="s">
        <v>14331</v>
      </c>
      <c r="O1826" t="s">
        <v>14333</v>
      </c>
    </row>
    <row r="1827" spans="1:15" x14ac:dyDescent="0.25">
      <c r="A1827" s="35" t="s">
        <v>5782</v>
      </c>
      <c r="B1827" s="36" t="s">
        <v>5783</v>
      </c>
      <c r="C1827" s="36" t="str">
        <f>HYPERLINK("https://rhld.insurance.arkansas.gov/NPILookup?Npi=1942934898","1942934898")</f>
        <v>1942934898</v>
      </c>
      <c r="D1827" s="36" t="s">
        <v>34485</v>
      </c>
      <c r="E1827" s="36" t="s">
        <v>2</v>
      </c>
      <c r="F1827" s="36">
        <v>1</v>
      </c>
      <c r="G1827" s="36">
        <v>2</v>
      </c>
      <c r="H1827" s="36">
        <v>0</v>
      </c>
      <c r="I1827" s="37">
        <v>0</v>
      </c>
      <c r="J1827" s="36" t="s">
        <v>34165</v>
      </c>
      <c r="K1827" s="36" t="s">
        <v>14330</v>
      </c>
      <c r="L1827" s="36" t="s">
        <v>14330</v>
      </c>
      <c r="M1827">
        <v>2</v>
      </c>
      <c r="N1827" t="s">
        <v>14331</v>
      </c>
      <c r="O1827" t="s">
        <v>14333</v>
      </c>
    </row>
    <row r="1828" spans="1:15" x14ac:dyDescent="0.25">
      <c r="A1828" s="35" t="s">
        <v>5782</v>
      </c>
      <c r="B1828" s="36" t="s">
        <v>5783</v>
      </c>
      <c r="C1828" s="36" t="str">
        <f>HYPERLINK("https://rhld.insurance.arkansas.gov/NPILookup?Npi=1942993258","1942993258")</f>
        <v>1942993258</v>
      </c>
      <c r="D1828" s="36" t="s">
        <v>34486</v>
      </c>
      <c r="E1828" s="36" t="s">
        <v>2</v>
      </c>
      <c r="F1828" s="36">
        <v>2</v>
      </c>
      <c r="G1828" s="36">
        <v>2</v>
      </c>
      <c r="H1828" s="36">
        <v>0</v>
      </c>
      <c r="I1828" s="37">
        <v>0</v>
      </c>
      <c r="J1828" s="36" t="s">
        <v>34181</v>
      </c>
      <c r="K1828" s="36" t="s">
        <v>14330</v>
      </c>
      <c r="L1828" s="36" t="s">
        <v>14330</v>
      </c>
      <c r="M1828">
        <v>2</v>
      </c>
      <c r="N1828" t="s">
        <v>14331</v>
      </c>
      <c r="O1828" t="s">
        <v>14333</v>
      </c>
    </row>
    <row r="1829" spans="1:15" x14ac:dyDescent="0.25">
      <c r="A1829" s="35" t="s">
        <v>5782</v>
      </c>
      <c r="B1829" s="36" t="s">
        <v>5783</v>
      </c>
      <c r="C1829" s="36" t="str">
        <f>HYPERLINK("https://rhld.insurance.arkansas.gov/NPILookup?Npi=1952023319","1952023319")</f>
        <v>1952023319</v>
      </c>
      <c r="D1829" s="36" t="s">
        <v>34487</v>
      </c>
      <c r="E1829" s="36" t="s">
        <v>2</v>
      </c>
      <c r="F1829" s="36">
        <v>1</v>
      </c>
      <c r="G1829" s="36">
        <v>2</v>
      </c>
      <c r="H1829" s="36">
        <v>0</v>
      </c>
      <c r="I1829" s="37">
        <v>0</v>
      </c>
      <c r="J1829" s="36" t="s">
        <v>34165</v>
      </c>
      <c r="K1829" s="36" t="s">
        <v>14330</v>
      </c>
      <c r="L1829" s="36" t="s">
        <v>14330</v>
      </c>
      <c r="M1829">
        <v>2</v>
      </c>
      <c r="N1829" t="s">
        <v>14331</v>
      </c>
      <c r="O1829" t="s">
        <v>14333</v>
      </c>
    </row>
    <row r="1830" spans="1:15" x14ac:dyDescent="0.25">
      <c r="A1830" s="35" t="s">
        <v>5782</v>
      </c>
      <c r="B1830" s="36" t="s">
        <v>5783</v>
      </c>
      <c r="C1830" s="36" t="str">
        <f>HYPERLINK("https://rhld.insurance.arkansas.gov/NPILookup?Npi=1952102634","1952102634")</f>
        <v>1952102634</v>
      </c>
      <c r="D1830" s="36" t="s">
        <v>34488</v>
      </c>
      <c r="E1830" s="36" t="s">
        <v>2</v>
      </c>
      <c r="F1830" s="36">
        <v>1</v>
      </c>
      <c r="G1830" s="36">
        <v>2</v>
      </c>
      <c r="H1830" s="36">
        <v>0</v>
      </c>
      <c r="I1830" s="37">
        <v>0</v>
      </c>
      <c r="J1830" s="36" t="s">
        <v>34165</v>
      </c>
      <c r="K1830" s="36" t="s">
        <v>14330</v>
      </c>
      <c r="L1830" s="36" t="s">
        <v>14330</v>
      </c>
      <c r="M1830">
        <v>1</v>
      </c>
      <c r="N1830" t="s">
        <v>14331</v>
      </c>
      <c r="O1830" t="s">
        <v>14333</v>
      </c>
    </row>
    <row r="1831" spans="1:15" x14ac:dyDescent="0.25">
      <c r="A1831" s="35" t="s">
        <v>5782</v>
      </c>
      <c r="B1831" s="36" t="s">
        <v>5783</v>
      </c>
      <c r="C1831" s="36" t="str">
        <f>HYPERLINK("https://rhld.insurance.arkansas.gov/NPILookup?Npi=1952127631","1952127631")</f>
        <v>1952127631</v>
      </c>
      <c r="D1831" s="36" t="s">
        <v>34489</v>
      </c>
      <c r="E1831" s="36" t="s">
        <v>2</v>
      </c>
      <c r="F1831" s="36">
        <v>1</v>
      </c>
      <c r="G1831" s="36">
        <v>1</v>
      </c>
      <c r="H1831" s="36">
        <v>0</v>
      </c>
      <c r="I1831" s="37">
        <v>0</v>
      </c>
      <c r="J1831" s="36" t="s">
        <v>34165</v>
      </c>
      <c r="K1831" s="36" t="s">
        <v>14330</v>
      </c>
      <c r="L1831" s="36" t="s">
        <v>14330</v>
      </c>
      <c r="M1831">
        <v>3</v>
      </c>
      <c r="N1831" t="s">
        <v>14331</v>
      </c>
      <c r="O1831" t="s">
        <v>32633</v>
      </c>
    </row>
    <row r="1832" spans="1:15" x14ac:dyDescent="0.25">
      <c r="A1832" s="35" t="s">
        <v>5782</v>
      </c>
      <c r="B1832" s="36" t="s">
        <v>5783</v>
      </c>
      <c r="C1832" s="36" t="str">
        <f>HYPERLINK("https://rhld.insurance.arkansas.gov/NPILookup?Npi=1952448870","1952448870")</f>
        <v>1952448870</v>
      </c>
      <c r="D1832" s="36" t="s">
        <v>34490</v>
      </c>
      <c r="E1832" s="36" t="s">
        <v>1</v>
      </c>
      <c r="F1832" s="36">
        <v>1</v>
      </c>
      <c r="G1832" s="36">
        <v>3</v>
      </c>
      <c r="H1832" s="36">
        <v>0</v>
      </c>
      <c r="I1832" s="37">
        <v>0</v>
      </c>
      <c r="J1832" s="36" t="s">
        <v>32654</v>
      </c>
      <c r="K1832" s="36" t="s">
        <v>14330</v>
      </c>
      <c r="L1832" s="36" t="s">
        <v>14330</v>
      </c>
      <c r="M1832">
        <v>2</v>
      </c>
      <c r="N1832" t="s">
        <v>14331</v>
      </c>
      <c r="O1832" t="s">
        <v>32633</v>
      </c>
    </row>
    <row r="1833" spans="1:15" x14ac:dyDescent="0.25">
      <c r="A1833" s="35" t="s">
        <v>5782</v>
      </c>
      <c r="B1833" s="36" t="s">
        <v>5783</v>
      </c>
      <c r="C1833" s="36" t="str">
        <f>HYPERLINK("https://rhld.insurance.arkansas.gov/NPILookup?Npi=1952598211","1952598211")</f>
        <v>1952598211</v>
      </c>
      <c r="D1833" s="36" t="s">
        <v>34491</v>
      </c>
      <c r="E1833" s="36" t="s">
        <v>1</v>
      </c>
      <c r="F1833" s="36">
        <v>1</v>
      </c>
      <c r="G1833" s="36">
        <v>2</v>
      </c>
      <c r="H1833" s="36">
        <v>0</v>
      </c>
      <c r="I1833" s="37">
        <v>0</v>
      </c>
      <c r="J1833" s="36" t="s">
        <v>32654</v>
      </c>
      <c r="K1833" s="36" t="s">
        <v>14330</v>
      </c>
      <c r="L1833" s="36" t="s">
        <v>14330</v>
      </c>
      <c r="M1833">
        <v>2</v>
      </c>
      <c r="N1833" t="s">
        <v>14331</v>
      </c>
      <c r="O1833" t="s">
        <v>32633</v>
      </c>
    </row>
    <row r="1834" spans="1:15" x14ac:dyDescent="0.25">
      <c r="A1834" s="35" t="s">
        <v>5782</v>
      </c>
      <c r="B1834" s="36" t="s">
        <v>5783</v>
      </c>
      <c r="C1834" s="36" t="str">
        <f>HYPERLINK("https://rhld.insurance.arkansas.gov/NPILookup?Npi=1952774275","1952774275")</f>
        <v>1952774275</v>
      </c>
      <c r="D1834" s="36" t="s">
        <v>34492</v>
      </c>
      <c r="E1834" s="36" t="s">
        <v>1</v>
      </c>
      <c r="F1834" s="36">
        <v>1</v>
      </c>
      <c r="G1834" s="36">
        <v>2</v>
      </c>
      <c r="H1834" s="36">
        <v>0</v>
      </c>
      <c r="I1834" s="37">
        <v>0</v>
      </c>
      <c r="J1834" s="36" t="s">
        <v>32654</v>
      </c>
      <c r="K1834" s="36" t="s">
        <v>14330</v>
      </c>
      <c r="L1834" s="36" t="s">
        <v>14330</v>
      </c>
      <c r="M1834">
        <v>2</v>
      </c>
      <c r="N1834" t="s">
        <v>14331</v>
      </c>
      <c r="O1834" t="s">
        <v>32633</v>
      </c>
    </row>
    <row r="1835" spans="1:15" x14ac:dyDescent="0.25">
      <c r="A1835" s="35" t="s">
        <v>5782</v>
      </c>
      <c r="B1835" s="36" t="s">
        <v>5783</v>
      </c>
      <c r="C1835" s="36" t="str">
        <f>HYPERLINK("https://rhld.insurance.arkansas.gov/NPILookup?Npi=1962062331","1962062331")</f>
        <v>1962062331</v>
      </c>
      <c r="D1835" s="36" t="s">
        <v>34493</v>
      </c>
      <c r="E1835" s="36" t="s">
        <v>2</v>
      </c>
      <c r="F1835" s="36">
        <v>2</v>
      </c>
      <c r="G1835" s="36">
        <v>2</v>
      </c>
      <c r="H1835" s="36">
        <v>0</v>
      </c>
      <c r="I1835" s="37">
        <v>0</v>
      </c>
      <c r="J1835" s="36" t="s">
        <v>34181</v>
      </c>
      <c r="K1835" s="36" t="s">
        <v>14330</v>
      </c>
      <c r="L1835" s="36" t="s">
        <v>14330</v>
      </c>
      <c r="M1835">
        <v>2</v>
      </c>
      <c r="N1835" t="s">
        <v>14331</v>
      </c>
      <c r="O1835" t="s">
        <v>14333</v>
      </c>
    </row>
    <row r="1836" spans="1:15" x14ac:dyDescent="0.25">
      <c r="A1836" s="35" t="s">
        <v>5782</v>
      </c>
      <c r="B1836" s="36" t="s">
        <v>5783</v>
      </c>
      <c r="C1836" s="36" t="str">
        <f>HYPERLINK("https://rhld.insurance.arkansas.gov/NPILookup?Npi=1962157487","1962157487")</f>
        <v>1962157487</v>
      </c>
      <c r="D1836" s="36" t="s">
        <v>34494</v>
      </c>
      <c r="E1836" s="36" t="s">
        <v>2</v>
      </c>
      <c r="F1836" s="36">
        <v>1</v>
      </c>
      <c r="G1836" s="36">
        <v>2</v>
      </c>
      <c r="H1836" s="36">
        <v>0</v>
      </c>
      <c r="I1836" s="37">
        <v>0</v>
      </c>
      <c r="J1836" s="36" t="s">
        <v>34165</v>
      </c>
      <c r="K1836" s="36" t="s">
        <v>14330</v>
      </c>
      <c r="L1836" s="36" t="s">
        <v>14330</v>
      </c>
      <c r="M1836">
        <v>2</v>
      </c>
      <c r="N1836" t="s">
        <v>14331</v>
      </c>
      <c r="O1836" t="s">
        <v>14333</v>
      </c>
    </row>
    <row r="1837" spans="1:15" x14ac:dyDescent="0.25">
      <c r="A1837" s="35" t="s">
        <v>5782</v>
      </c>
      <c r="B1837" s="36" t="s">
        <v>5783</v>
      </c>
      <c r="C1837" s="36" t="str">
        <f>HYPERLINK("https://rhld.insurance.arkansas.gov/NPILookup?Npi=1962679225","1962679225")</f>
        <v>1962679225</v>
      </c>
      <c r="D1837" s="36" t="s">
        <v>34495</v>
      </c>
      <c r="E1837" s="36" t="s">
        <v>2</v>
      </c>
      <c r="F1837" s="36">
        <v>1</v>
      </c>
      <c r="G1837" s="36">
        <v>2</v>
      </c>
      <c r="H1837" s="36">
        <v>0</v>
      </c>
      <c r="I1837" s="37">
        <v>0</v>
      </c>
      <c r="J1837" s="36"/>
      <c r="K1837" s="36" t="s">
        <v>14330</v>
      </c>
      <c r="L1837" s="36" t="s">
        <v>14330</v>
      </c>
      <c r="M1837">
        <v>2</v>
      </c>
      <c r="N1837" t="s">
        <v>14331</v>
      </c>
      <c r="O1837" t="s">
        <v>14333</v>
      </c>
    </row>
    <row r="1838" spans="1:15" x14ac:dyDescent="0.25">
      <c r="A1838" s="35" t="s">
        <v>5782</v>
      </c>
      <c r="B1838" s="36" t="s">
        <v>5783</v>
      </c>
      <c r="C1838" s="36" t="str">
        <f>HYPERLINK("https://rhld.insurance.arkansas.gov/NPILookup?Npi=1972867679","1972867679")</f>
        <v>1972867679</v>
      </c>
      <c r="D1838" s="36" t="s">
        <v>34496</v>
      </c>
      <c r="E1838" s="36" t="s">
        <v>2</v>
      </c>
      <c r="F1838" s="36">
        <v>1</v>
      </c>
      <c r="G1838" s="36">
        <v>2</v>
      </c>
      <c r="H1838" s="36">
        <v>0</v>
      </c>
      <c r="I1838" s="37">
        <v>0</v>
      </c>
      <c r="J1838" s="36"/>
      <c r="K1838" s="36" t="s">
        <v>14330</v>
      </c>
      <c r="L1838" s="36" t="s">
        <v>14330</v>
      </c>
      <c r="M1838">
        <v>3</v>
      </c>
      <c r="N1838" t="s">
        <v>14331</v>
      </c>
      <c r="O1838" t="s">
        <v>14333</v>
      </c>
    </row>
    <row r="1839" spans="1:15" x14ac:dyDescent="0.25">
      <c r="A1839" s="35" t="s">
        <v>5782</v>
      </c>
      <c r="B1839" s="36" t="s">
        <v>5783</v>
      </c>
      <c r="C1839" s="36" t="str">
        <f>HYPERLINK("https://rhld.insurance.arkansas.gov/NPILookup?Npi=1972869592","1972869592")</f>
        <v>1972869592</v>
      </c>
      <c r="D1839" s="36" t="s">
        <v>34497</v>
      </c>
      <c r="E1839" s="36" t="s">
        <v>1</v>
      </c>
      <c r="F1839" s="36">
        <v>1</v>
      </c>
      <c r="G1839" s="36">
        <v>3</v>
      </c>
      <c r="H1839" s="36">
        <v>0</v>
      </c>
      <c r="I1839" s="37">
        <v>0</v>
      </c>
      <c r="J1839" s="36" t="s">
        <v>32654</v>
      </c>
      <c r="K1839" s="36" t="s">
        <v>14330</v>
      </c>
      <c r="L1839" s="36" t="s">
        <v>14330</v>
      </c>
      <c r="M1839">
        <v>0</v>
      </c>
      <c r="N1839" t="s">
        <v>14331</v>
      </c>
      <c r="O1839" t="s">
        <v>32633</v>
      </c>
    </row>
    <row r="1840" spans="1:15" x14ac:dyDescent="0.25">
      <c r="A1840" s="35" t="s">
        <v>5782</v>
      </c>
      <c r="B1840" s="36" t="s">
        <v>5783</v>
      </c>
      <c r="C1840" s="36" t="str">
        <f>HYPERLINK("https://rhld.insurance.arkansas.gov/NPILookup?Npi=1982283206","1982283206")</f>
        <v>1982283206</v>
      </c>
      <c r="D1840" s="36" t="s">
        <v>34498</v>
      </c>
      <c r="E1840" s="36" t="s">
        <v>2</v>
      </c>
      <c r="F1840" s="36">
        <v>1</v>
      </c>
      <c r="G1840" s="36">
        <v>1</v>
      </c>
      <c r="H1840" s="36">
        <v>1</v>
      </c>
      <c r="I1840" s="37">
        <v>1</v>
      </c>
      <c r="J1840" s="36"/>
      <c r="K1840" s="36" t="s">
        <v>14330</v>
      </c>
      <c r="L1840" s="36" t="s">
        <v>34188</v>
      </c>
      <c r="M1840">
        <v>2</v>
      </c>
      <c r="N1840" t="s">
        <v>14331</v>
      </c>
      <c r="O1840" t="s">
        <v>34189</v>
      </c>
    </row>
    <row r="1841" spans="1:15" x14ac:dyDescent="0.25">
      <c r="A1841" s="35" t="s">
        <v>5782</v>
      </c>
      <c r="B1841" s="36" t="s">
        <v>5783</v>
      </c>
      <c r="C1841" s="36" t="str">
        <f>HYPERLINK("https://rhld.insurance.arkansas.gov/NPILookup?Npi=1982341269","1982341269")</f>
        <v>1982341269</v>
      </c>
      <c r="D1841" s="36" t="s">
        <v>34499</v>
      </c>
      <c r="E1841" s="36" t="s">
        <v>2</v>
      </c>
      <c r="F1841" s="36">
        <v>1</v>
      </c>
      <c r="G1841" s="36">
        <v>2</v>
      </c>
      <c r="H1841" s="36">
        <v>0</v>
      </c>
      <c r="I1841" s="37">
        <v>0</v>
      </c>
      <c r="J1841" s="36" t="s">
        <v>34165</v>
      </c>
      <c r="K1841" s="36" t="s">
        <v>14330</v>
      </c>
      <c r="L1841" s="36" t="s">
        <v>14330</v>
      </c>
      <c r="M1841">
        <v>2</v>
      </c>
      <c r="N1841" t="s">
        <v>14331</v>
      </c>
      <c r="O1841" t="s">
        <v>14333</v>
      </c>
    </row>
    <row r="1842" spans="1:15" x14ac:dyDescent="0.25">
      <c r="A1842" s="35" t="s">
        <v>5782</v>
      </c>
      <c r="B1842" s="36" t="s">
        <v>5783</v>
      </c>
      <c r="C1842" s="36" t="str">
        <f>HYPERLINK("https://rhld.insurance.arkansas.gov/NPILookup?Npi=1982415865","1982415865")</f>
        <v>1982415865</v>
      </c>
      <c r="D1842" s="36" t="s">
        <v>34500</v>
      </c>
      <c r="E1842" s="36" t="s">
        <v>2</v>
      </c>
      <c r="F1842" s="36">
        <v>1</v>
      </c>
      <c r="G1842" s="36">
        <v>2</v>
      </c>
      <c r="H1842" s="36">
        <v>0</v>
      </c>
      <c r="I1842" s="37">
        <v>0</v>
      </c>
      <c r="J1842" s="36" t="s">
        <v>34165</v>
      </c>
      <c r="K1842" s="36" t="s">
        <v>14330</v>
      </c>
      <c r="L1842" s="36" t="s">
        <v>14330</v>
      </c>
      <c r="M1842">
        <v>1</v>
      </c>
      <c r="N1842" t="s">
        <v>14331</v>
      </c>
      <c r="O1842" t="s">
        <v>14333</v>
      </c>
    </row>
    <row r="1843" spans="1:15" x14ac:dyDescent="0.25">
      <c r="A1843" s="35" t="s">
        <v>5782</v>
      </c>
      <c r="B1843" s="36" t="s">
        <v>5783</v>
      </c>
      <c r="C1843" s="36" t="str">
        <f>HYPERLINK("https://rhld.insurance.arkansas.gov/NPILookup?Npi=1982418984","1982418984")</f>
        <v>1982418984</v>
      </c>
      <c r="D1843" s="36" t="s">
        <v>34501</v>
      </c>
      <c r="E1843" s="36" t="s">
        <v>2</v>
      </c>
      <c r="F1843" s="36">
        <v>1</v>
      </c>
      <c r="G1843" s="36">
        <v>1</v>
      </c>
      <c r="H1843" s="36">
        <v>0</v>
      </c>
      <c r="I1843" s="37">
        <v>0</v>
      </c>
      <c r="J1843" s="36" t="s">
        <v>34165</v>
      </c>
      <c r="K1843" s="36" t="s">
        <v>14330</v>
      </c>
      <c r="L1843" s="36" t="s">
        <v>14330</v>
      </c>
      <c r="M1843">
        <v>2</v>
      </c>
      <c r="N1843" t="s">
        <v>14331</v>
      </c>
      <c r="O1843" t="s">
        <v>32633</v>
      </c>
    </row>
    <row r="1844" spans="1:15" x14ac:dyDescent="0.25">
      <c r="A1844" s="35" t="s">
        <v>5782</v>
      </c>
      <c r="B1844" s="36" t="s">
        <v>5783</v>
      </c>
      <c r="C1844" s="36" t="str">
        <f>HYPERLINK("https://rhld.insurance.arkansas.gov/NPILookup?Npi=1992325666","1992325666")</f>
        <v>1992325666</v>
      </c>
      <c r="D1844" s="36" t="s">
        <v>34502</v>
      </c>
      <c r="E1844" s="36" t="s">
        <v>2</v>
      </c>
      <c r="F1844" s="36">
        <v>2</v>
      </c>
      <c r="G1844" s="36">
        <v>2</v>
      </c>
      <c r="H1844" s="36">
        <v>0</v>
      </c>
      <c r="I1844" s="37">
        <v>0</v>
      </c>
      <c r="J1844" s="36" t="s">
        <v>34181</v>
      </c>
      <c r="K1844" s="36" t="s">
        <v>14330</v>
      </c>
      <c r="L1844" s="36" t="s">
        <v>14330</v>
      </c>
      <c r="M1844">
        <v>2</v>
      </c>
      <c r="N1844" t="s">
        <v>14331</v>
      </c>
      <c r="O1844" t="s">
        <v>14333</v>
      </c>
    </row>
    <row r="1845" spans="1:15" x14ac:dyDescent="0.25">
      <c r="A1845" s="35" t="s">
        <v>5782</v>
      </c>
      <c r="B1845" s="36" t="s">
        <v>5783</v>
      </c>
      <c r="C1845" s="36" t="str">
        <f>HYPERLINK("https://rhld.insurance.arkansas.gov/NPILookup?Npi=1992349328","1992349328")</f>
        <v>1992349328</v>
      </c>
      <c r="D1845" s="36" t="s">
        <v>34503</v>
      </c>
      <c r="E1845" s="36" t="s">
        <v>2</v>
      </c>
      <c r="F1845" s="36">
        <v>1</v>
      </c>
      <c r="G1845" s="36">
        <v>2</v>
      </c>
      <c r="H1845" s="36">
        <v>0</v>
      </c>
      <c r="I1845" s="37">
        <v>0</v>
      </c>
      <c r="J1845" s="36" t="s">
        <v>34165</v>
      </c>
      <c r="K1845" s="36" t="s">
        <v>14330</v>
      </c>
      <c r="L1845" s="36" t="s">
        <v>14330</v>
      </c>
      <c r="M1845">
        <v>2</v>
      </c>
      <c r="N1845" t="s">
        <v>14331</v>
      </c>
      <c r="O1845" t="s">
        <v>14333</v>
      </c>
    </row>
    <row r="1846" spans="1:15" x14ac:dyDescent="0.25">
      <c r="A1846" s="35" t="s">
        <v>5782</v>
      </c>
      <c r="B1846" s="36" t="s">
        <v>5783</v>
      </c>
      <c r="C1846" s="36" t="str">
        <f>HYPERLINK("https://rhld.insurance.arkansas.gov/NPILookup?Npi=1992523864","1992523864")</f>
        <v>1992523864</v>
      </c>
      <c r="D1846" s="36" t="s">
        <v>34504</v>
      </c>
      <c r="E1846" s="36" t="s">
        <v>2</v>
      </c>
      <c r="F1846" s="36">
        <v>1</v>
      </c>
      <c r="G1846" s="36">
        <v>2</v>
      </c>
      <c r="H1846" s="36">
        <v>0</v>
      </c>
      <c r="I1846" s="37">
        <v>0</v>
      </c>
      <c r="J1846" s="36" t="s">
        <v>34165</v>
      </c>
      <c r="K1846" s="36" t="s">
        <v>14330</v>
      </c>
      <c r="L1846" s="36" t="s">
        <v>14330</v>
      </c>
      <c r="M1846">
        <v>2</v>
      </c>
      <c r="N1846" t="s">
        <v>14331</v>
      </c>
      <c r="O1846" t="s">
        <v>14333</v>
      </c>
    </row>
    <row r="1847" spans="1:15" x14ac:dyDescent="0.25">
      <c r="A1847" s="35" t="s">
        <v>5782</v>
      </c>
      <c r="B1847" s="36" t="s">
        <v>5783</v>
      </c>
      <c r="C1847" s="36" t="str">
        <f>HYPERLINK("https://rhld.insurance.arkansas.gov/NPILookup?Npi=1992721716","1992721716")</f>
        <v>1992721716</v>
      </c>
      <c r="D1847" s="36" t="s">
        <v>34505</v>
      </c>
      <c r="E1847" s="36" t="s">
        <v>1</v>
      </c>
      <c r="F1847" s="36">
        <v>1</v>
      </c>
      <c r="G1847" s="36">
        <v>2</v>
      </c>
      <c r="H1847" s="36">
        <v>0</v>
      </c>
      <c r="I1847" s="37">
        <v>0</v>
      </c>
      <c r="J1847" s="36" t="s">
        <v>14335</v>
      </c>
      <c r="K1847" s="36" t="s">
        <v>14330</v>
      </c>
      <c r="L1847" s="36" t="s">
        <v>14330</v>
      </c>
      <c r="M1847">
        <v>3</v>
      </c>
      <c r="N1847" t="s">
        <v>14331</v>
      </c>
      <c r="O1847" t="s">
        <v>32633</v>
      </c>
    </row>
    <row r="1848" spans="1:15" x14ac:dyDescent="0.25">
      <c r="A1848" s="35" t="s">
        <v>5782</v>
      </c>
      <c r="B1848" s="36" t="s">
        <v>5783</v>
      </c>
      <c r="C1848" s="36" t="str">
        <f>HYPERLINK("https://rhld.insurance.arkansas.gov/NPILookup?Npi=1992740393","1992740393")</f>
        <v>1992740393</v>
      </c>
      <c r="D1848" s="36" t="s">
        <v>33937</v>
      </c>
      <c r="E1848" s="36" t="s">
        <v>1</v>
      </c>
      <c r="F1848" s="36">
        <v>1</v>
      </c>
      <c r="G1848" s="36">
        <v>3</v>
      </c>
      <c r="H1848" s="36">
        <v>0</v>
      </c>
      <c r="I1848" s="37">
        <v>0</v>
      </c>
      <c r="J1848" s="36" t="s">
        <v>32654</v>
      </c>
      <c r="K1848" s="36" t="s">
        <v>14330</v>
      </c>
      <c r="L1848" s="36" t="s">
        <v>14330</v>
      </c>
      <c r="M1848">
        <v>2</v>
      </c>
      <c r="N1848" t="s">
        <v>14331</v>
      </c>
      <c r="O1848" t="s">
        <v>32633</v>
      </c>
    </row>
    <row r="1849" spans="1:15" x14ac:dyDescent="0.25">
      <c r="A1849" s="35" t="s">
        <v>6837</v>
      </c>
      <c r="B1849" s="36" t="s">
        <v>6838</v>
      </c>
      <c r="C1849" s="36" t="str">
        <f>HYPERLINK("https://rhld.insurance.arkansas.gov/NPILookup?Npi=1053314203","1053314203")</f>
        <v>1053314203</v>
      </c>
      <c r="D1849" s="36" t="s">
        <v>34506</v>
      </c>
      <c r="E1849" s="36" t="s">
        <v>2</v>
      </c>
      <c r="F1849" s="36">
        <v>1</v>
      </c>
      <c r="G1849" s="36">
        <v>2</v>
      </c>
      <c r="H1849" s="36">
        <v>0</v>
      </c>
      <c r="I1849" s="37">
        <v>0</v>
      </c>
      <c r="J1849" s="36" t="s">
        <v>32679</v>
      </c>
      <c r="K1849" s="36" t="s">
        <v>14330</v>
      </c>
      <c r="L1849" s="36" t="s">
        <v>14330</v>
      </c>
      <c r="M1849">
        <v>-1</v>
      </c>
      <c r="N1849" t="s">
        <v>14331</v>
      </c>
      <c r="O1849" t="s">
        <v>14333</v>
      </c>
    </row>
    <row r="1850" spans="1:15" x14ac:dyDescent="0.25">
      <c r="A1850" s="35" t="s">
        <v>6837</v>
      </c>
      <c r="B1850" s="36" t="s">
        <v>6838</v>
      </c>
      <c r="C1850" s="36" t="str">
        <f>HYPERLINK("https://rhld.insurance.arkansas.gov/NPILookup?Npi=1154601805","1154601805")</f>
        <v>1154601805</v>
      </c>
      <c r="D1850" s="36" t="s">
        <v>34507</v>
      </c>
      <c r="E1850" s="36" t="s">
        <v>1</v>
      </c>
      <c r="F1850" s="36">
        <v>1</v>
      </c>
      <c r="G1850" s="36">
        <v>1</v>
      </c>
      <c r="H1850" s="36">
        <v>2</v>
      </c>
      <c r="I1850" s="37">
        <v>0</v>
      </c>
      <c r="J1850" s="36" t="s">
        <v>32654</v>
      </c>
      <c r="K1850" s="36" t="s">
        <v>14330</v>
      </c>
      <c r="L1850" s="36" t="s">
        <v>34508</v>
      </c>
      <c r="M1850">
        <v>3</v>
      </c>
      <c r="N1850" t="s">
        <v>14332</v>
      </c>
      <c r="O1850" t="s">
        <v>32591</v>
      </c>
    </row>
    <row r="1851" spans="1:15" x14ac:dyDescent="0.25">
      <c r="A1851" s="35" t="s">
        <v>6837</v>
      </c>
      <c r="B1851" s="36" t="s">
        <v>6838</v>
      </c>
      <c r="C1851" s="36" t="str">
        <f>HYPERLINK("https://rhld.insurance.arkansas.gov/NPILookup?Npi=1164489290","1164489290")</f>
        <v>1164489290</v>
      </c>
      <c r="D1851" s="36" t="s">
        <v>34509</v>
      </c>
      <c r="E1851" s="36" t="s">
        <v>1</v>
      </c>
      <c r="F1851" s="36">
        <v>1</v>
      </c>
      <c r="G1851" s="36">
        <v>3</v>
      </c>
      <c r="H1851" s="36">
        <v>0</v>
      </c>
      <c r="I1851" s="37">
        <v>0</v>
      </c>
      <c r="J1851" s="36" t="s">
        <v>32654</v>
      </c>
      <c r="K1851" s="36" t="s">
        <v>14330</v>
      </c>
      <c r="L1851" s="36" t="s">
        <v>14330</v>
      </c>
      <c r="M1851">
        <v>1</v>
      </c>
      <c r="N1851" t="s">
        <v>14331</v>
      </c>
      <c r="O1851" t="s">
        <v>32633</v>
      </c>
    </row>
    <row r="1852" spans="1:15" x14ac:dyDescent="0.25">
      <c r="A1852" s="35" t="s">
        <v>6837</v>
      </c>
      <c r="B1852" s="36" t="s">
        <v>6838</v>
      </c>
      <c r="C1852" s="36" t="str">
        <f>HYPERLINK("https://rhld.insurance.arkansas.gov/NPILookup?Npi=1376569210","1376569210")</f>
        <v>1376569210</v>
      </c>
      <c r="D1852" s="36" t="s">
        <v>34510</v>
      </c>
      <c r="E1852" s="36" t="s">
        <v>1</v>
      </c>
      <c r="F1852" s="36">
        <v>1</v>
      </c>
      <c r="G1852" s="36">
        <v>2</v>
      </c>
      <c r="H1852" s="36">
        <v>1</v>
      </c>
      <c r="I1852" s="37">
        <v>0</v>
      </c>
      <c r="J1852" s="36" t="s">
        <v>32654</v>
      </c>
      <c r="K1852" s="36" t="s">
        <v>14330</v>
      </c>
      <c r="L1852" s="36" t="s">
        <v>34511</v>
      </c>
      <c r="M1852">
        <v>2</v>
      </c>
      <c r="N1852" t="s">
        <v>14332</v>
      </c>
      <c r="O1852" t="s">
        <v>32591</v>
      </c>
    </row>
    <row r="1853" spans="1:15" x14ac:dyDescent="0.25">
      <c r="A1853" s="35" t="s">
        <v>6837</v>
      </c>
      <c r="B1853" s="36" t="s">
        <v>6838</v>
      </c>
      <c r="C1853" s="36" t="str">
        <f>HYPERLINK("https://rhld.insurance.arkansas.gov/NPILookup?Npi=1386765352","1386765352")</f>
        <v>1386765352</v>
      </c>
      <c r="D1853" s="36" t="s">
        <v>34512</v>
      </c>
      <c r="E1853" s="36" t="s">
        <v>1</v>
      </c>
      <c r="F1853" s="36">
        <v>1</v>
      </c>
      <c r="G1853" s="36">
        <v>2</v>
      </c>
      <c r="H1853" s="36">
        <v>0</v>
      </c>
      <c r="I1853" s="37">
        <v>0</v>
      </c>
      <c r="J1853" s="36" t="s">
        <v>32723</v>
      </c>
      <c r="K1853" s="36" t="s">
        <v>14330</v>
      </c>
      <c r="L1853" s="36" t="s">
        <v>14330</v>
      </c>
      <c r="M1853">
        <v>2</v>
      </c>
      <c r="N1853" t="s">
        <v>14331</v>
      </c>
      <c r="O1853" t="s">
        <v>32724</v>
      </c>
    </row>
    <row r="1854" spans="1:15" x14ac:dyDescent="0.25">
      <c r="A1854" s="35" t="s">
        <v>6837</v>
      </c>
      <c r="B1854" s="36" t="s">
        <v>6838</v>
      </c>
      <c r="C1854" s="36" t="str">
        <f>HYPERLINK("https://rhld.insurance.arkansas.gov/NPILookup?Npi=1477810885","1477810885")</f>
        <v>1477810885</v>
      </c>
      <c r="D1854" s="36" t="s">
        <v>34513</v>
      </c>
      <c r="E1854" s="36" t="s">
        <v>2</v>
      </c>
      <c r="F1854" s="36">
        <v>2</v>
      </c>
      <c r="G1854" s="36">
        <v>2</v>
      </c>
      <c r="H1854" s="36">
        <v>0</v>
      </c>
      <c r="I1854" s="37">
        <v>0</v>
      </c>
      <c r="J1854" s="36" t="s">
        <v>33004</v>
      </c>
      <c r="K1854" s="36" t="s">
        <v>14330</v>
      </c>
      <c r="L1854" s="36" t="s">
        <v>14330</v>
      </c>
      <c r="M1854">
        <v>1</v>
      </c>
      <c r="N1854" t="s">
        <v>14331</v>
      </c>
      <c r="O1854" t="s">
        <v>14333</v>
      </c>
    </row>
    <row r="1855" spans="1:15" x14ac:dyDescent="0.25">
      <c r="A1855" s="35" t="s">
        <v>6837</v>
      </c>
      <c r="B1855" s="36" t="s">
        <v>6838</v>
      </c>
      <c r="C1855" s="36" t="str">
        <f>HYPERLINK("https://rhld.insurance.arkansas.gov/NPILookup?Npi=1487644647","1487644647")</f>
        <v>1487644647</v>
      </c>
      <c r="D1855" s="36" t="s">
        <v>34514</v>
      </c>
      <c r="E1855" s="36" t="s">
        <v>2</v>
      </c>
      <c r="F1855" s="36">
        <v>1</v>
      </c>
      <c r="G1855" s="36">
        <v>1</v>
      </c>
      <c r="H1855" s="36">
        <v>0</v>
      </c>
      <c r="I1855" s="37">
        <v>0</v>
      </c>
      <c r="J1855" s="36" t="s">
        <v>32679</v>
      </c>
      <c r="K1855" s="36" t="s">
        <v>14330</v>
      </c>
      <c r="L1855" s="36" t="s">
        <v>14330</v>
      </c>
      <c r="M1855">
        <v>2</v>
      </c>
      <c r="N1855" t="s">
        <v>14332</v>
      </c>
      <c r="O1855" t="s">
        <v>32931</v>
      </c>
    </row>
    <row r="1856" spans="1:15" x14ac:dyDescent="0.25">
      <c r="A1856" s="35" t="s">
        <v>6837</v>
      </c>
      <c r="B1856" s="36" t="s">
        <v>6838</v>
      </c>
      <c r="C1856" s="36" t="str">
        <f>HYPERLINK("https://rhld.insurance.arkansas.gov/NPILookup?Npi=1528261617","1528261617")</f>
        <v>1528261617</v>
      </c>
      <c r="D1856" s="36" t="s">
        <v>33230</v>
      </c>
      <c r="E1856" s="36" t="s">
        <v>1</v>
      </c>
      <c r="F1856" s="36">
        <v>1</v>
      </c>
      <c r="G1856" s="36">
        <v>2</v>
      </c>
      <c r="H1856" s="36">
        <v>0</v>
      </c>
      <c r="I1856" s="37">
        <v>0</v>
      </c>
      <c r="J1856" s="36" t="s">
        <v>32654</v>
      </c>
      <c r="K1856" s="36" t="s">
        <v>14330</v>
      </c>
      <c r="L1856" s="36" t="s">
        <v>14330</v>
      </c>
      <c r="M1856">
        <v>2</v>
      </c>
      <c r="N1856" t="s">
        <v>14331</v>
      </c>
      <c r="O1856" t="s">
        <v>32633</v>
      </c>
    </row>
    <row r="1857" spans="1:15" x14ac:dyDescent="0.25">
      <c r="A1857" s="35" t="s">
        <v>6837</v>
      </c>
      <c r="B1857" s="36" t="s">
        <v>6838</v>
      </c>
      <c r="C1857" s="36" t="str">
        <f>HYPERLINK("https://rhld.insurance.arkansas.gov/NPILookup?Npi=1528645660","1528645660")</f>
        <v>1528645660</v>
      </c>
      <c r="D1857" s="36" t="s">
        <v>34515</v>
      </c>
      <c r="E1857" s="36" t="s">
        <v>2</v>
      </c>
      <c r="F1857" s="36">
        <v>2</v>
      </c>
      <c r="G1857" s="36">
        <v>2</v>
      </c>
      <c r="H1857" s="36">
        <v>0</v>
      </c>
      <c r="I1857" s="37">
        <v>0</v>
      </c>
      <c r="J1857" s="36" t="s">
        <v>33004</v>
      </c>
      <c r="K1857" s="36" t="s">
        <v>14330</v>
      </c>
      <c r="L1857" s="36" t="s">
        <v>14330</v>
      </c>
      <c r="M1857">
        <v>2</v>
      </c>
      <c r="N1857" t="s">
        <v>14331</v>
      </c>
      <c r="O1857" t="s">
        <v>14333</v>
      </c>
    </row>
    <row r="1858" spans="1:15" x14ac:dyDescent="0.25">
      <c r="A1858" s="35" t="s">
        <v>6837</v>
      </c>
      <c r="B1858" s="36" t="s">
        <v>6838</v>
      </c>
      <c r="C1858" s="36" t="str">
        <f>HYPERLINK("https://rhld.insurance.arkansas.gov/NPILookup?Npi=1588683775","1588683775")</f>
        <v>1588683775</v>
      </c>
      <c r="D1858" s="36" t="s">
        <v>34516</v>
      </c>
      <c r="E1858" s="36" t="s">
        <v>1</v>
      </c>
      <c r="F1858" s="36">
        <v>1</v>
      </c>
      <c r="G1858" s="36">
        <v>2</v>
      </c>
      <c r="H1858" s="36">
        <v>0</v>
      </c>
      <c r="I1858" s="37">
        <v>0</v>
      </c>
      <c r="J1858" s="36" t="s">
        <v>14335</v>
      </c>
      <c r="K1858" s="36" t="s">
        <v>14330</v>
      </c>
      <c r="L1858" s="36" t="s">
        <v>14330</v>
      </c>
      <c r="M1858">
        <v>2</v>
      </c>
      <c r="N1858" t="s">
        <v>14331</v>
      </c>
      <c r="O1858" t="s">
        <v>32633</v>
      </c>
    </row>
    <row r="1859" spans="1:15" x14ac:dyDescent="0.25">
      <c r="A1859" s="35" t="s">
        <v>6837</v>
      </c>
      <c r="B1859" s="36" t="s">
        <v>6838</v>
      </c>
      <c r="C1859" s="36" t="str">
        <f>HYPERLINK("https://rhld.insurance.arkansas.gov/NPILookup?Npi=1821495607","1821495607")</f>
        <v>1821495607</v>
      </c>
      <c r="D1859" s="36" t="s">
        <v>34517</v>
      </c>
      <c r="E1859" s="36" t="s">
        <v>2</v>
      </c>
      <c r="F1859" s="36">
        <v>1</v>
      </c>
      <c r="G1859" s="36">
        <v>2</v>
      </c>
      <c r="H1859" s="36">
        <v>0</v>
      </c>
      <c r="I1859" s="37">
        <v>0</v>
      </c>
      <c r="J1859" s="36" t="s">
        <v>32679</v>
      </c>
      <c r="K1859" s="36" t="s">
        <v>14330</v>
      </c>
      <c r="L1859" s="36" t="s">
        <v>14330</v>
      </c>
      <c r="M1859">
        <v>2</v>
      </c>
      <c r="N1859" t="s">
        <v>14331</v>
      </c>
      <c r="O1859" t="s">
        <v>14333</v>
      </c>
    </row>
    <row r="1860" spans="1:15" x14ac:dyDescent="0.25">
      <c r="A1860" s="35" t="s">
        <v>6837</v>
      </c>
      <c r="B1860" s="36" t="s">
        <v>6838</v>
      </c>
      <c r="C1860" s="36" t="str">
        <f>HYPERLINK("https://rhld.insurance.arkansas.gov/NPILookup?Npi=1841678653","1841678653")</f>
        <v>1841678653</v>
      </c>
      <c r="D1860" s="36" t="s">
        <v>34518</v>
      </c>
      <c r="E1860" s="36" t="s">
        <v>2</v>
      </c>
      <c r="F1860" s="36">
        <v>1</v>
      </c>
      <c r="G1860" s="36">
        <v>2</v>
      </c>
      <c r="H1860" s="36">
        <v>0</v>
      </c>
      <c r="I1860" s="37">
        <v>0</v>
      </c>
      <c r="J1860" s="36"/>
      <c r="K1860" s="36" t="s">
        <v>14330</v>
      </c>
      <c r="L1860" s="36" t="s">
        <v>14330</v>
      </c>
      <c r="M1860">
        <v>2</v>
      </c>
      <c r="N1860" t="s">
        <v>14331</v>
      </c>
      <c r="O1860" t="s">
        <v>14333</v>
      </c>
    </row>
    <row r="1861" spans="1:15" x14ac:dyDescent="0.25">
      <c r="A1861" s="35" t="s">
        <v>6837</v>
      </c>
      <c r="B1861" s="36" t="s">
        <v>6838</v>
      </c>
      <c r="C1861" s="36" t="str">
        <f>HYPERLINK("https://rhld.insurance.arkansas.gov/NPILookup?Npi=1972709418","1972709418")</f>
        <v>1972709418</v>
      </c>
      <c r="D1861" s="36" t="s">
        <v>34519</v>
      </c>
      <c r="E1861" s="36" t="s">
        <v>1</v>
      </c>
      <c r="F1861" s="36">
        <v>1</v>
      </c>
      <c r="G1861" s="36">
        <v>2</v>
      </c>
      <c r="H1861" s="36">
        <v>0</v>
      </c>
      <c r="I1861" s="37">
        <v>0</v>
      </c>
      <c r="J1861" s="36" t="s">
        <v>32654</v>
      </c>
      <c r="K1861" s="36" t="s">
        <v>14330</v>
      </c>
      <c r="L1861" s="36" t="s">
        <v>14330</v>
      </c>
      <c r="M1861">
        <v>2</v>
      </c>
      <c r="N1861" t="s">
        <v>14331</v>
      </c>
      <c r="O1861" t="s">
        <v>32633</v>
      </c>
    </row>
    <row r="1862" spans="1:15" x14ac:dyDescent="0.25">
      <c r="A1862" s="35" t="s">
        <v>6837</v>
      </c>
      <c r="B1862" s="36" t="s">
        <v>6838</v>
      </c>
      <c r="C1862" s="36" t="str">
        <f>HYPERLINK("https://rhld.insurance.arkansas.gov/NPILookup?Npi=1992340814","1992340814")</f>
        <v>1992340814</v>
      </c>
      <c r="D1862" s="36" t="s">
        <v>34520</v>
      </c>
      <c r="E1862" s="36" t="s">
        <v>1</v>
      </c>
      <c r="F1862" s="36">
        <v>1</v>
      </c>
      <c r="G1862" s="36">
        <v>2</v>
      </c>
      <c r="H1862" s="36">
        <v>0</v>
      </c>
      <c r="I1862" s="37">
        <v>0</v>
      </c>
      <c r="J1862" s="36" t="s">
        <v>32654</v>
      </c>
      <c r="K1862" s="36" t="s">
        <v>14330</v>
      </c>
      <c r="L1862" s="36" t="s">
        <v>14330</v>
      </c>
      <c r="M1862">
        <v>2</v>
      </c>
      <c r="N1862" t="s">
        <v>14331</v>
      </c>
      <c r="O1862" t="s">
        <v>32633</v>
      </c>
    </row>
    <row r="1863" spans="1:15" x14ac:dyDescent="0.25">
      <c r="A1863" s="35" t="s">
        <v>6862</v>
      </c>
      <c r="B1863" s="36" t="s">
        <v>6863</v>
      </c>
      <c r="C1863" s="36" t="str">
        <f>HYPERLINK("https://rhld.insurance.arkansas.gov/NPILookup?Npi=1003482951","1003482951")</f>
        <v>1003482951</v>
      </c>
      <c r="D1863" s="36" t="s">
        <v>34521</v>
      </c>
      <c r="E1863" s="36" t="s">
        <v>2</v>
      </c>
      <c r="F1863" s="36">
        <v>1</v>
      </c>
      <c r="G1863" s="36">
        <v>2</v>
      </c>
      <c r="H1863" s="36">
        <v>0</v>
      </c>
      <c r="I1863" s="37">
        <v>0</v>
      </c>
      <c r="J1863" s="36"/>
      <c r="K1863" s="36" t="s">
        <v>14330</v>
      </c>
      <c r="L1863" s="36" t="s">
        <v>14330</v>
      </c>
      <c r="M1863">
        <v>1</v>
      </c>
      <c r="N1863" t="s">
        <v>14331</v>
      </c>
      <c r="O1863" t="s">
        <v>14333</v>
      </c>
    </row>
    <row r="1864" spans="1:15" x14ac:dyDescent="0.25">
      <c r="A1864" s="35" t="s">
        <v>6862</v>
      </c>
      <c r="B1864" s="36" t="s">
        <v>6863</v>
      </c>
      <c r="C1864" s="36" t="str">
        <f>HYPERLINK("https://rhld.insurance.arkansas.gov/NPILookup?Npi=1003706250","1003706250")</f>
        <v>1003706250</v>
      </c>
      <c r="D1864" s="36" t="s">
        <v>34522</v>
      </c>
      <c r="E1864" s="36" t="s">
        <v>2</v>
      </c>
      <c r="F1864" s="36">
        <v>1</v>
      </c>
      <c r="G1864" s="36">
        <v>1</v>
      </c>
      <c r="H1864" s="36">
        <v>0</v>
      </c>
      <c r="I1864" s="37">
        <v>0</v>
      </c>
      <c r="J1864" s="36"/>
      <c r="K1864" s="36" t="s">
        <v>14330</v>
      </c>
      <c r="L1864" s="36" t="s">
        <v>14330</v>
      </c>
      <c r="M1864">
        <v>1</v>
      </c>
      <c r="N1864" t="s">
        <v>14331</v>
      </c>
      <c r="O1864" t="s">
        <v>32633</v>
      </c>
    </row>
    <row r="1865" spans="1:15" x14ac:dyDescent="0.25">
      <c r="A1865" s="35" t="s">
        <v>6862</v>
      </c>
      <c r="B1865" s="36" t="s">
        <v>6863</v>
      </c>
      <c r="C1865" s="36" t="str">
        <f>HYPERLINK("https://rhld.insurance.arkansas.gov/NPILookup?Npi=1013461185","1013461185")</f>
        <v>1013461185</v>
      </c>
      <c r="D1865" s="36" t="s">
        <v>34523</v>
      </c>
      <c r="E1865" s="36" t="s">
        <v>2</v>
      </c>
      <c r="F1865" s="36">
        <v>1</v>
      </c>
      <c r="G1865" s="36">
        <v>1</v>
      </c>
      <c r="H1865" s="36">
        <v>0</v>
      </c>
      <c r="I1865" s="37">
        <v>0</v>
      </c>
      <c r="J1865" s="36"/>
      <c r="K1865" s="36" t="s">
        <v>14330</v>
      </c>
      <c r="L1865" s="36" t="s">
        <v>14330</v>
      </c>
      <c r="M1865">
        <v>1</v>
      </c>
      <c r="N1865" t="s">
        <v>14331</v>
      </c>
      <c r="O1865" t="s">
        <v>32633</v>
      </c>
    </row>
    <row r="1866" spans="1:15" x14ac:dyDescent="0.25">
      <c r="A1866" s="35" t="s">
        <v>6862</v>
      </c>
      <c r="B1866" s="36" t="s">
        <v>6863</v>
      </c>
      <c r="C1866" s="36" t="str">
        <f>HYPERLINK("https://rhld.insurance.arkansas.gov/NPILookup?Npi=1023820990","1023820990")</f>
        <v>1023820990</v>
      </c>
      <c r="D1866" s="36" t="s">
        <v>34524</v>
      </c>
      <c r="E1866" s="36" t="s">
        <v>2</v>
      </c>
      <c r="F1866" s="36">
        <v>1</v>
      </c>
      <c r="G1866" s="36">
        <v>1</v>
      </c>
      <c r="H1866" s="36">
        <v>0</v>
      </c>
      <c r="I1866" s="37">
        <v>0</v>
      </c>
      <c r="J1866" s="36"/>
      <c r="K1866" s="36" t="s">
        <v>14330</v>
      </c>
      <c r="L1866" s="36" t="s">
        <v>14330</v>
      </c>
      <c r="M1866">
        <v>1</v>
      </c>
      <c r="N1866" t="s">
        <v>14331</v>
      </c>
      <c r="O1866" t="s">
        <v>32633</v>
      </c>
    </row>
    <row r="1867" spans="1:15" x14ac:dyDescent="0.25">
      <c r="A1867" s="35" t="s">
        <v>6862</v>
      </c>
      <c r="B1867" s="36" t="s">
        <v>6863</v>
      </c>
      <c r="C1867" s="36" t="str">
        <f>HYPERLINK("https://rhld.insurance.arkansas.gov/NPILookup?Npi=1033575493","1033575493")</f>
        <v>1033575493</v>
      </c>
      <c r="D1867" s="36" t="s">
        <v>34525</v>
      </c>
      <c r="E1867" s="36" t="s">
        <v>2</v>
      </c>
      <c r="F1867" s="36">
        <v>1</v>
      </c>
      <c r="G1867" s="36">
        <v>1</v>
      </c>
      <c r="H1867" s="36">
        <v>0</v>
      </c>
      <c r="I1867" s="37">
        <v>0</v>
      </c>
      <c r="J1867" s="36"/>
      <c r="K1867" s="36" t="s">
        <v>14330</v>
      </c>
      <c r="L1867" s="36" t="s">
        <v>14330</v>
      </c>
      <c r="M1867">
        <v>1</v>
      </c>
      <c r="N1867" t="s">
        <v>14331</v>
      </c>
      <c r="O1867" t="s">
        <v>32633</v>
      </c>
    </row>
    <row r="1868" spans="1:15" x14ac:dyDescent="0.25">
      <c r="A1868" s="35" t="s">
        <v>6862</v>
      </c>
      <c r="B1868" s="36" t="s">
        <v>6863</v>
      </c>
      <c r="C1868" s="36" t="str">
        <f>HYPERLINK("https://rhld.insurance.arkansas.gov/NPILookup?Npi=1063016582","1063016582")</f>
        <v>1063016582</v>
      </c>
      <c r="D1868" s="36" t="s">
        <v>34526</v>
      </c>
      <c r="E1868" s="36" t="s">
        <v>2</v>
      </c>
      <c r="F1868" s="36">
        <v>1</v>
      </c>
      <c r="G1868" s="36">
        <v>1</v>
      </c>
      <c r="H1868" s="36">
        <v>0</v>
      </c>
      <c r="I1868" s="37">
        <v>0</v>
      </c>
      <c r="J1868" s="36"/>
      <c r="K1868" s="36" t="s">
        <v>14330</v>
      </c>
      <c r="L1868" s="36" t="s">
        <v>14330</v>
      </c>
      <c r="M1868">
        <v>1</v>
      </c>
      <c r="N1868" t="s">
        <v>14331</v>
      </c>
      <c r="O1868" t="s">
        <v>32633</v>
      </c>
    </row>
    <row r="1869" spans="1:15" x14ac:dyDescent="0.25">
      <c r="A1869" s="35" t="s">
        <v>6862</v>
      </c>
      <c r="B1869" s="36" t="s">
        <v>6863</v>
      </c>
      <c r="C1869" s="36" t="str">
        <f>HYPERLINK("https://rhld.insurance.arkansas.gov/NPILookup?Npi=1083787717","1083787717")</f>
        <v>1083787717</v>
      </c>
      <c r="D1869" s="36" t="s">
        <v>34527</v>
      </c>
      <c r="E1869" s="36" t="s">
        <v>2</v>
      </c>
      <c r="F1869" s="36">
        <v>1</v>
      </c>
      <c r="G1869" s="36">
        <v>1</v>
      </c>
      <c r="H1869" s="36">
        <v>0</v>
      </c>
      <c r="I1869" s="37">
        <v>0</v>
      </c>
      <c r="J1869" s="36"/>
      <c r="K1869" s="36" t="s">
        <v>14330</v>
      </c>
      <c r="L1869" s="36" t="s">
        <v>14330</v>
      </c>
      <c r="M1869">
        <v>1</v>
      </c>
      <c r="N1869" t="s">
        <v>14331</v>
      </c>
      <c r="O1869" t="s">
        <v>32633</v>
      </c>
    </row>
    <row r="1870" spans="1:15" x14ac:dyDescent="0.25">
      <c r="A1870" s="35" t="s">
        <v>6862</v>
      </c>
      <c r="B1870" s="36" t="s">
        <v>6863</v>
      </c>
      <c r="C1870" s="36" t="str">
        <f>HYPERLINK("https://rhld.insurance.arkansas.gov/NPILookup?Npi=1093379968","1093379968")</f>
        <v>1093379968</v>
      </c>
      <c r="D1870" s="36" t="s">
        <v>34528</v>
      </c>
      <c r="E1870" s="36" t="s">
        <v>2</v>
      </c>
      <c r="F1870" s="36">
        <v>1</v>
      </c>
      <c r="G1870" s="36">
        <v>1</v>
      </c>
      <c r="H1870" s="36">
        <v>0</v>
      </c>
      <c r="I1870" s="37">
        <v>0</v>
      </c>
      <c r="J1870" s="36"/>
      <c r="K1870" s="36" t="s">
        <v>14330</v>
      </c>
      <c r="L1870" s="36" t="s">
        <v>14330</v>
      </c>
      <c r="M1870">
        <v>1</v>
      </c>
      <c r="N1870" t="s">
        <v>14331</v>
      </c>
      <c r="O1870" t="s">
        <v>32633</v>
      </c>
    </row>
    <row r="1871" spans="1:15" x14ac:dyDescent="0.25">
      <c r="A1871" s="35" t="s">
        <v>6862</v>
      </c>
      <c r="B1871" s="36" t="s">
        <v>6863</v>
      </c>
      <c r="C1871" s="36" t="str">
        <f>HYPERLINK("https://rhld.insurance.arkansas.gov/NPILookup?Npi=1104640879","1104640879")</f>
        <v>1104640879</v>
      </c>
      <c r="D1871" s="36" t="s">
        <v>34529</v>
      </c>
      <c r="E1871" s="36" t="s">
        <v>2</v>
      </c>
      <c r="F1871" s="36">
        <v>1</v>
      </c>
      <c r="G1871" s="36">
        <v>1</v>
      </c>
      <c r="H1871" s="36">
        <v>0</v>
      </c>
      <c r="I1871" s="37">
        <v>0</v>
      </c>
      <c r="J1871" s="36"/>
      <c r="K1871" s="36" t="s">
        <v>14330</v>
      </c>
      <c r="L1871" s="36" t="s">
        <v>14330</v>
      </c>
      <c r="M1871">
        <v>1</v>
      </c>
      <c r="N1871" t="s">
        <v>14331</v>
      </c>
      <c r="O1871" t="s">
        <v>32633</v>
      </c>
    </row>
    <row r="1872" spans="1:15" x14ac:dyDescent="0.25">
      <c r="A1872" s="35" t="s">
        <v>6862</v>
      </c>
      <c r="B1872" s="36" t="s">
        <v>6863</v>
      </c>
      <c r="C1872" s="36" t="str">
        <f>HYPERLINK("https://rhld.insurance.arkansas.gov/NPILookup?Npi=1104649250","1104649250")</f>
        <v>1104649250</v>
      </c>
      <c r="D1872" s="36" t="s">
        <v>34530</v>
      </c>
      <c r="E1872" s="36" t="s">
        <v>2</v>
      </c>
      <c r="F1872" s="36">
        <v>1</v>
      </c>
      <c r="G1872" s="36">
        <v>1</v>
      </c>
      <c r="H1872" s="36">
        <v>0</v>
      </c>
      <c r="I1872" s="37">
        <v>0</v>
      </c>
      <c r="J1872" s="36"/>
      <c r="K1872" s="36" t="s">
        <v>14330</v>
      </c>
      <c r="L1872" s="36" t="s">
        <v>14330</v>
      </c>
      <c r="M1872">
        <v>1</v>
      </c>
      <c r="N1872" t="s">
        <v>14331</v>
      </c>
      <c r="O1872" t="s">
        <v>32633</v>
      </c>
    </row>
    <row r="1873" spans="1:15" x14ac:dyDescent="0.25">
      <c r="A1873" s="35" t="s">
        <v>6862</v>
      </c>
      <c r="B1873" s="36" t="s">
        <v>6863</v>
      </c>
      <c r="C1873" s="36" t="str">
        <f>HYPERLINK("https://rhld.insurance.arkansas.gov/NPILookup?Npi=1124291281","1124291281")</f>
        <v>1124291281</v>
      </c>
      <c r="D1873" s="36" t="s">
        <v>34531</v>
      </c>
      <c r="E1873" s="36" t="s">
        <v>2</v>
      </c>
      <c r="F1873" s="36">
        <v>1</v>
      </c>
      <c r="G1873" s="36">
        <v>1</v>
      </c>
      <c r="H1873" s="36">
        <v>0</v>
      </c>
      <c r="I1873" s="37">
        <v>0</v>
      </c>
      <c r="J1873" s="36"/>
      <c r="K1873" s="36" t="s">
        <v>14330</v>
      </c>
      <c r="L1873" s="36" t="s">
        <v>14330</v>
      </c>
      <c r="M1873">
        <v>1</v>
      </c>
      <c r="N1873" t="s">
        <v>14331</v>
      </c>
      <c r="O1873" t="s">
        <v>32633</v>
      </c>
    </row>
    <row r="1874" spans="1:15" x14ac:dyDescent="0.25">
      <c r="A1874" s="35" t="s">
        <v>6862</v>
      </c>
      <c r="B1874" s="36" t="s">
        <v>6863</v>
      </c>
      <c r="C1874" s="36" t="str">
        <f>HYPERLINK("https://rhld.insurance.arkansas.gov/NPILookup?Npi=1124857719","1124857719")</f>
        <v>1124857719</v>
      </c>
      <c r="D1874" s="36" t="s">
        <v>34532</v>
      </c>
      <c r="E1874" s="36" t="s">
        <v>2</v>
      </c>
      <c r="F1874" s="36">
        <v>1</v>
      </c>
      <c r="G1874" s="36">
        <v>1</v>
      </c>
      <c r="H1874" s="36">
        <v>0</v>
      </c>
      <c r="I1874" s="37">
        <v>0</v>
      </c>
      <c r="J1874" s="36"/>
      <c r="K1874" s="36" t="s">
        <v>14330</v>
      </c>
      <c r="L1874" s="36" t="s">
        <v>14330</v>
      </c>
      <c r="M1874">
        <v>1</v>
      </c>
      <c r="N1874" t="s">
        <v>14331</v>
      </c>
      <c r="O1874" t="s">
        <v>32633</v>
      </c>
    </row>
    <row r="1875" spans="1:15" x14ac:dyDescent="0.25">
      <c r="A1875" s="35" t="s">
        <v>6862</v>
      </c>
      <c r="B1875" s="36" t="s">
        <v>6863</v>
      </c>
      <c r="C1875" s="36" t="str">
        <f>HYPERLINK("https://rhld.insurance.arkansas.gov/NPILookup?Npi=1154009694","1154009694")</f>
        <v>1154009694</v>
      </c>
      <c r="D1875" s="36" t="s">
        <v>34533</v>
      </c>
      <c r="E1875" s="36" t="s">
        <v>2</v>
      </c>
      <c r="F1875" s="36">
        <v>1</v>
      </c>
      <c r="G1875" s="36">
        <v>1</v>
      </c>
      <c r="H1875" s="36">
        <v>0</v>
      </c>
      <c r="I1875" s="37">
        <v>0</v>
      </c>
      <c r="J1875" s="36"/>
      <c r="K1875" s="36" t="s">
        <v>14330</v>
      </c>
      <c r="L1875" s="36" t="s">
        <v>14330</v>
      </c>
      <c r="M1875">
        <v>1</v>
      </c>
      <c r="N1875" t="s">
        <v>14331</v>
      </c>
      <c r="O1875" t="s">
        <v>32633</v>
      </c>
    </row>
    <row r="1876" spans="1:15" x14ac:dyDescent="0.25">
      <c r="A1876" s="35" t="s">
        <v>6862</v>
      </c>
      <c r="B1876" s="36" t="s">
        <v>6863</v>
      </c>
      <c r="C1876" s="36" t="str">
        <f>HYPERLINK("https://rhld.insurance.arkansas.gov/NPILookup?Npi=1154509974","1154509974")</f>
        <v>1154509974</v>
      </c>
      <c r="D1876" s="36" t="s">
        <v>34534</v>
      </c>
      <c r="E1876" s="36" t="s">
        <v>2</v>
      </c>
      <c r="F1876" s="36">
        <v>1</v>
      </c>
      <c r="G1876" s="36">
        <v>1</v>
      </c>
      <c r="H1876" s="36">
        <v>0</v>
      </c>
      <c r="I1876" s="37">
        <v>0</v>
      </c>
      <c r="J1876" s="36"/>
      <c r="K1876" s="36" t="s">
        <v>14330</v>
      </c>
      <c r="L1876" s="36" t="s">
        <v>14330</v>
      </c>
      <c r="M1876">
        <v>1</v>
      </c>
      <c r="N1876" t="s">
        <v>14331</v>
      </c>
      <c r="O1876" t="s">
        <v>32633</v>
      </c>
    </row>
    <row r="1877" spans="1:15" x14ac:dyDescent="0.25">
      <c r="A1877" s="35" t="s">
        <v>6862</v>
      </c>
      <c r="B1877" s="36" t="s">
        <v>6863</v>
      </c>
      <c r="C1877" s="36" t="str">
        <f>HYPERLINK("https://rhld.insurance.arkansas.gov/NPILookup?Npi=1164273371","1164273371")</f>
        <v>1164273371</v>
      </c>
      <c r="D1877" s="36" t="s">
        <v>34535</v>
      </c>
      <c r="E1877" s="36" t="s">
        <v>2</v>
      </c>
      <c r="F1877" s="36">
        <v>1</v>
      </c>
      <c r="G1877" s="36">
        <v>1</v>
      </c>
      <c r="H1877" s="36">
        <v>0</v>
      </c>
      <c r="I1877" s="37">
        <v>0</v>
      </c>
      <c r="J1877" s="36"/>
      <c r="K1877" s="36" t="s">
        <v>14330</v>
      </c>
      <c r="L1877" s="36" t="s">
        <v>14330</v>
      </c>
      <c r="M1877">
        <v>2</v>
      </c>
      <c r="N1877" t="s">
        <v>14331</v>
      </c>
      <c r="O1877" t="s">
        <v>32633</v>
      </c>
    </row>
    <row r="1878" spans="1:15" x14ac:dyDescent="0.25">
      <c r="A1878" s="35" t="s">
        <v>6862</v>
      </c>
      <c r="B1878" s="36" t="s">
        <v>6863</v>
      </c>
      <c r="C1878" s="36" t="str">
        <f>HYPERLINK("https://rhld.insurance.arkansas.gov/NPILookup?Npi=1174668982","1174668982")</f>
        <v>1174668982</v>
      </c>
      <c r="D1878" s="36" t="s">
        <v>34536</v>
      </c>
      <c r="E1878" s="36" t="s">
        <v>1</v>
      </c>
      <c r="F1878" s="36">
        <v>1</v>
      </c>
      <c r="G1878" s="36">
        <v>2</v>
      </c>
      <c r="H1878" s="36">
        <v>0</v>
      </c>
      <c r="I1878" s="37">
        <v>0</v>
      </c>
      <c r="J1878" s="36" t="s">
        <v>32654</v>
      </c>
      <c r="K1878" s="36" t="s">
        <v>14330</v>
      </c>
      <c r="L1878" s="36" t="s">
        <v>14330</v>
      </c>
      <c r="M1878">
        <v>2</v>
      </c>
      <c r="N1878" t="s">
        <v>14331</v>
      </c>
      <c r="O1878" t="s">
        <v>32633</v>
      </c>
    </row>
    <row r="1879" spans="1:15" x14ac:dyDescent="0.25">
      <c r="A1879" s="35" t="s">
        <v>6862</v>
      </c>
      <c r="B1879" s="36" t="s">
        <v>6863</v>
      </c>
      <c r="C1879" s="36" t="str">
        <f>HYPERLINK("https://rhld.insurance.arkansas.gov/NPILookup?Npi=1194543223","1194543223")</f>
        <v>1194543223</v>
      </c>
      <c r="D1879" s="36" t="s">
        <v>34537</v>
      </c>
      <c r="E1879" s="36" t="s">
        <v>2</v>
      </c>
      <c r="F1879" s="36">
        <v>1</v>
      </c>
      <c r="G1879" s="36">
        <v>2</v>
      </c>
      <c r="H1879" s="36">
        <v>0</v>
      </c>
      <c r="I1879" s="37">
        <v>0</v>
      </c>
      <c r="J1879" s="36"/>
      <c r="K1879" s="36" t="s">
        <v>14330</v>
      </c>
      <c r="L1879" s="36" t="s">
        <v>14330</v>
      </c>
      <c r="M1879">
        <v>1</v>
      </c>
      <c r="N1879" t="s">
        <v>14331</v>
      </c>
      <c r="O1879" t="s">
        <v>14333</v>
      </c>
    </row>
    <row r="1880" spans="1:15" x14ac:dyDescent="0.25">
      <c r="A1880" s="35" t="s">
        <v>6862</v>
      </c>
      <c r="B1880" s="36" t="s">
        <v>6863</v>
      </c>
      <c r="C1880" s="36" t="str">
        <f>HYPERLINK("https://rhld.insurance.arkansas.gov/NPILookup?Npi=1194984336","1194984336")</f>
        <v>1194984336</v>
      </c>
      <c r="D1880" s="36" t="s">
        <v>34538</v>
      </c>
      <c r="E1880" s="36" t="s">
        <v>1</v>
      </c>
      <c r="F1880" s="36">
        <v>1</v>
      </c>
      <c r="G1880" s="36">
        <v>1</v>
      </c>
      <c r="H1880" s="36">
        <v>0</v>
      </c>
      <c r="I1880" s="37">
        <v>0</v>
      </c>
      <c r="J1880" s="36" t="s">
        <v>32723</v>
      </c>
      <c r="K1880" s="36" t="s">
        <v>14330</v>
      </c>
      <c r="L1880" s="36" t="s">
        <v>14330</v>
      </c>
      <c r="M1880">
        <v>2</v>
      </c>
      <c r="N1880" t="s">
        <v>14331</v>
      </c>
      <c r="O1880" t="s">
        <v>32724</v>
      </c>
    </row>
    <row r="1881" spans="1:15" x14ac:dyDescent="0.25">
      <c r="A1881" s="35" t="s">
        <v>6862</v>
      </c>
      <c r="B1881" s="36" t="s">
        <v>6863</v>
      </c>
      <c r="C1881" s="36" t="str">
        <f>HYPERLINK("https://rhld.insurance.arkansas.gov/NPILookup?Npi=1215738125","1215738125")</f>
        <v>1215738125</v>
      </c>
      <c r="D1881" s="36" t="s">
        <v>34539</v>
      </c>
      <c r="E1881" s="36" t="s">
        <v>2</v>
      </c>
      <c r="F1881" s="36">
        <v>1</v>
      </c>
      <c r="G1881" s="36">
        <v>2</v>
      </c>
      <c r="H1881" s="36">
        <v>0</v>
      </c>
      <c r="I1881" s="37">
        <v>0</v>
      </c>
      <c r="J1881" s="36"/>
      <c r="K1881" s="36" t="s">
        <v>14330</v>
      </c>
      <c r="L1881" s="36" t="s">
        <v>14330</v>
      </c>
      <c r="M1881">
        <v>1</v>
      </c>
      <c r="N1881" t="s">
        <v>14331</v>
      </c>
      <c r="O1881" t="s">
        <v>14333</v>
      </c>
    </row>
    <row r="1882" spans="1:15" x14ac:dyDescent="0.25">
      <c r="A1882" s="35" t="s">
        <v>6862</v>
      </c>
      <c r="B1882" s="36" t="s">
        <v>6863</v>
      </c>
      <c r="C1882" s="36" t="str">
        <f>HYPERLINK("https://rhld.insurance.arkansas.gov/NPILookup?Npi=1225459951","1225459951")</f>
        <v>1225459951</v>
      </c>
      <c r="D1882" s="36" t="s">
        <v>34540</v>
      </c>
      <c r="E1882" s="36" t="s">
        <v>2</v>
      </c>
      <c r="F1882" s="36">
        <v>1</v>
      </c>
      <c r="G1882" s="36">
        <v>1</v>
      </c>
      <c r="H1882" s="36">
        <v>0</v>
      </c>
      <c r="I1882" s="37">
        <v>0</v>
      </c>
      <c r="J1882" s="36"/>
      <c r="K1882" s="36" t="s">
        <v>14330</v>
      </c>
      <c r="L1882" s="36" t="s">
        <v>14330</v>
      </c>
      <c r="M1882">
        <v>1</v>
      </c>
      <c r="N1882" t="s">
        <v>14331</v>
      </c>
      <c r="O1882" t="s">
        <v>32633</v>
      </c>
    </row>
    <row r="1883" spans="1:15" x14ac:dyDescent="0.25">
      <c r="A1883" s="35" t="s">
        <v>6862</v>
      </c>
      <c r="B1883" s="36" t="s">
        <v>6863</v>
      </c>
      <c r="C1883" s="36" t="str">
        <f>HYPERLINK("https://rhld.insurance.arkansas.gov/NPILookup?Npi=1225759855","1225759855")</f>
        <v>1225759855</v>
      </c>
      <c r="D1883" s="36" t="s">
        <v>34541</v>
      </c>
      <c r="E1883" s="36" t="s">
        <v>1</v>
      </c>
      <c r="F1883" s="36">
        <v>1</v>
      </c>
      <c r="G1883" s="36">
        <v>1</v>
      </c>
      <c r="H1883" s="36">
        <v>0</v>
      </c>
      <c r="I1883" s="37">
        <v>0</v>
      </c>
      <c r="J1883" s="36" t="s">
        <v>32654</v>
      </c>
      <c r="K1883" s="36" t="s">
        <v>14330</v>
      </c>
      <c r="L1883" s="36" t="s">
        <v>14330</v>
      </c>
      <c r="M1883">
        <v>2</v>
      </c>
      <c r="N1883" t="s">
        <v>14331</v>
      </c>
      <c r="O1883" t="s">
        <v>32633</v>
      </c>
    </row>
    <row r="1884" spans="1:15" x14ac:dyDescent="0.25">
      <c r="A1884" s="35" t="s">
        <v>6862</v>
      </c>
      <c r="B1884" s="36" t="s">
        <v>6863</v>
      </c>
      <c r="C1884" s="36" t="str">
        <f>HYPERLINK("https://rhld.insurance.arkansas.gov/NPILookup?Npi=1225841513","1225841513")</f>
        <v>1225841513</v>
      </c>
      <c r="D1884" s="36" t="s">
        <v>34542</v>
      </c>
      <c r="E1884" s="36" t="s">
        <v>2</v>
      </c>
      <c r="F1884" s="36">
        <v>1</v>
      </c>
      <c r="G1884" s="36">
        <v>2</v>
      </c>
      <c r="H1884" s="36">
        <v>0</v>
      </c>
      <c r="I1884" s="37">
        <v>0</v>
      </c>
      <c r="J1884" s="36"/>
      <c r="K1884" s="36" t="s">
        <v>14330</v>
      </c>
      <c r="L1884" s="36" t="s">
        <v>14330</v>
      </c>
      <c r="M1884">
        <v>2</v>
      </c>
      <c r="N1884" t="s">
        <v>14331</v>
      </c>
      <c r="O1884" t="s">
        <v>14333</v>
      </c>
    </row>
    <row r="1885" spans="1:15" x14ac:dyDescent="0.25">
      <c r="A1885" s="35" t="s">
        <v>6862</v>
      </c>
      <c r="B1885" s="36" t="s">
        <v>6863</v>
      </c>
      <c r="C1885" s="36" t="str">
        <f>HYPERLINK("https://rhld.insurance.arkansas.gov/NPILookup?Npi=1275872749","1275872749")</f>
        <v>1275872749</v>
      </c>
      <c r="D1885" s="36" t="s">
        <v>34543</v>
      </c>
      <c r="E1885" s="36" t="s">
        <v>1</v>
      </c>
      <c r="F1885" s="36">
        <v>1</v>
      </c>
      <c r="G1885" s="36">
        <v>2</v>
      </c>
      <c r="H1885" s="36">
        <v>0</v>
      </c>
      <c r="I1885" s="37">
        <v>0</v>
      </c>
      <c r="J1885" s="36" t="s">
        <v>32654</v>
      </c>
      <c r="K1885" s="36" t="s">
        <v>14330</v>
      </c>
      <c r="L1885" s="36" t="s">
        <v>14330</v>
      </c>
      <c r="M1885">
        <v>2</v>
      </c>
      <c r="N1885" t="s">
        <v>14331</v>
      </c>
      <c r="O1885" t="s">
        <v>32633</v>
      </c>
    </row>
    <row r="1886" spans="1:15" x14ac:dyDescent="0.25">
      <c r="A1886" s="35" t="s">
        <v>6862</v>
      </c>
      <c r="B1886" s="36" t="s">
        <v>6863</v>
      </c>
      <c r="C1886" s="36" t="str">
        <f>HYPERLINK("https://rhld.insurance.arkansas.gov/NPILookup?Npi=1285247429","1285247429")</f>
        <v>1285247429</v>
      </c>
      <c r="D1886" s="36" t="s">
        <v>34544</v>
      </c>
      <c r="E1886" s="36" t="s">
        <v>2</v>
      </c>
      <c r="F1886" s="36">
        <v>1</v>
      </c>
      <c r="G1886" s="36">
        <v>2</v>
      </c>
      <c r="H1886" s="36">
        <v>0</v>
      </c>
      <c r="I1886" s="37">
        <v>0</v>
      </c>
      <c r="J1886" s="36"/>
      <c r="K1886" s="36" t="s">
        <v>14330</v>
      </c>
      <c r="L1886" s="36" t="s">
        <v>14330</v>
      </c>
      <c r="M1886">
        <v>1</v>
      </c>
      <c r="N1886" t="s">
        <v>14331</v>
      </c>
      <c r="O1886" t="s">
        <v>14333</v>
      </c>
    </row>
    <row r="1887" spans="1:15" x14ac:dyDescent="0.25">
      <c r="A1887" s="35" t="s">
        <v>6862</v>
      </c>
      <c r="B1887" s="36" t="s">
        <v>6863</v>
      </c>
      <c r="C1887" s="36" t="str">
        <f>HYPERLINK("https://rhld.insurance.arkansas.gov/NPILookup?Npi=1285459784","1285459784")</f>
        <v>1285459784</v>
      </c>
      <c r="D1887" s="36" t="s">
        <v>34545</v>
      </c>
      <c r="E1887" s="36" t="s">
        <v>2</v>
      </c>
      <c r="F1887" s="36">
        <v>1</v>
      </c>
      <c r="G1887" s="36">
        <v>1</v>
      </c>
      <c r="H1887" s="36">
        <v>0</v>
      </c>
      <c r="I1887" s="37">
        <v>0</v>
      </c>
      <c r="J1887" s="36"/>
      <c r="K1887" s="36" t="s">
        <v>14330</v>
      </c>
      <c r="L1887" s="36" t="s">
        <v>14330</v>
      </c>
      <c r="M1887">
        <v>1</v>
      </c>
      <c r="N1887" t="s">
        <v>14331</v>
      </c>
      <c r="O1887" t="s">
        <v>32633</v>
      </c>
    </row>
    <row r="1888" spans="1:15" x14ac:dyDescent="0.25">
      <c r="A1888" s="35" t="s">
        <v>6862</v>
      </c>
      <c r="B1888" s="36" t="s">
        <v>6863</v>
      </c>
      <c r="C1888" s="36" t="str">
        <f>HYPERLINK("https://rhld.insurance.arkansas.gov/NPILookup?Npi=1306258355","1306258355")</f>
        <v>1306258355</v>
      </c>
      <c r="D1888" s="36" t="s">
        <v>34546</v>
      </c>
      <c r="E1888" s="36" t="s">
        <v>2</v>
      </c>
      <c r="F1888" s="36">
        <v>1</v>
      </c>
      <c r="G1888" s="36">
        <v>1</v>
      </c>
      <c r="H1888" s="36">
        <v>0</v>
      </c>
      <c r="I1888" s="37">
        <v>0</v>
      </c>
      <c r="J1888" s="36"/>
      <c r="K1888" s="36" t="s">
        <v>14330</v>
      </c>
      <c r="L1888" s="36" t="s">
        <v>14330</v>
      </c>
      <c r="M1888">
        <v>2</v>
      </c>
      <c r="N1888" t="s">
        <v>14331</v>
      </c>
      <c r="O1888" t="s">
        <v>32633</v>
      </c>
    </row>
    <row r="1889" spans="1:15" x14ac:dyDescent="0.25">
      <c r="A1889" s="35" t="s">
        <v>6862</v>
      </c>
      <c r="B1889" s="36" t="s">
        <v>6863</v>
      </c>
      <c r="C1889" s="36" t="str">
        <f>HYPERLINK("https://rhld.insurance.arkansas.gov/NPILookup?Npi=1306413554","1306413554")</f>
        <v>1306413554</v>
      </c>
      <c r="D1889" s="36" t="s">
        <v>34547</v>
      </c>
      <c r="E1889" s="36" t="s">
        <v>1</v>
      </c>
      <c r="F1889" s="36">
        <v>1</v>
      </c>
      <c r="G1889" s="36">
        <v>2</v>
      </c>
      <c r="H1889" s="36">
        <v>0</v>
      </c>
      <c r="I1889" s="37">
        <v>0</v>
      </c>
      <c r="J1889" s="36" t="s">
        <v>32723</v>
      </c>
      <c r="K1889" s="36" t="s">
        <v>14330</v>
      </c>
      <c r="L1889" s="36" t="s">
        <v>14330</v>
      </c>
      <c r="M1889">
        <v>2</v>
      </c>
      <c r="N1889" t="s">
        <v>14331</v>
      </c>
      <c r="O1889" t="s">
        <v>32724</v>
      </c>
    </row>
    <row r="1890" spans="1:15" x14ac:dyDescent="0.25">
      <c r="A1890" s="35" t="s">
        <v>6862</v>
      </c>
      <c r="B1890" s="36" t="s">
        <v>6863</v>
      </c>
      <c r="C1890" s="36" t="str">
        <f>HYPERLINK("https://rhld.insurance.arkansas.gov/NPILookup?Npi=1316631872","1316631872")</f>
        <v>1316631872</v>
      </c>
      <c r="D1890" s="36" t="s">
        <v>34548</v>
      </c>
      <c r="E1890" s="36" t="s">
        <v>2</v>
      </c>
      <c r="F1890" s="36">
        <v>1</v>
      </c>
      <c r="G1890" s="36">
        <v>2</v>
      </c>
      <c r="H1890" s="36">
        <v>0</v>
      </c>
      <c r="I1890" s="37">
        <v>0</v>
      </c>
      <c r="J1890" s="36"/>
      <c r="K1890" s="36" t="s">
        <v>14330</v>
      </c>
      <c r="L1890" s="36" t="s">
        <v>14330</v>
      </c>
      <c r="M1890">
        <v>3</v>
      </c>
      <c r="N1890" t="s">
        <v>14331</v>
      </c>
      <c r="O1890" t="s">
        <v>14333</v>
      </c>
    </row>
    <row r="1891" spans="1:15" x14ac:dyDescent="0.25">
      <c r="A1891" s="35" t="s">
        <v>6862</v>
      </c>
      <c r="B1891" s="36" t="s">
        <v>6863</v>
      </c>
      <c r="C1891" s="36" t="str">
        <f>HYPERLINK("https://rhld.insurance.arkansas.gov/NPILookup?Npi=1316675366","1316675366")</f>
        <v>1316675366</v>
      </c>
      <c r="D1891" s="36" t="s">
        <v>34549</v>
      </c>
      <c r="E1891" s="36" t="s">
        <v>1</v>
      </c>
      <c r="F1891" s="36">
        <v>1</v>
      </c>
      <c r="G1891" s="36">
        <v>3</v>
      </c>
      <c r="H1891" s="36">
        <v>0</v>
      </c>
      <c r="I1891" s="37">
        <v>0</v>
      </c>
      <c r="J1891" s="36" t="s">
        <v>32654</v>
      </c>
      <c r="K1891" s="36" t="s">
        <v>14330</v>
      </c>
      <c r="L1891" s="36" t="s">
        <v>14330</v>
      </c>
      <c r="M1891">
        <v>3</v>
      </c>
      <c r="N1891" t="s">
        <v>14331</v>
      </c>
      <c r="O1891" t="s">
        <v>32633</v>
      </c>
    </row>
    <row r="1892" spans="1:15" x14ac:dyDescent="0.25">
      <c r="A1892" s="35" t="s">
        <v>6862</v>
      </c>
      <c r="B1892" s="36" t="s">
        <v>6863</v>
      </c>
      <c r="C1892" s="36" t="str">
        <f>HYPERLINK("https://rhld.insurance.arkansas.gov/NPILookup?Npi=1356060131","1356060131")</f>
        <v>1356060131</v>
      </c>
      <c r="D1892" s="36" t="s">
        <v>34550</v>
      </c>
      <c r="E1892" s="36" t="s">
        <v>1</v>
      </c>
      <c r="F1892" s="36">
        <v>1</v>
      </c>
      <c r="G1892" s="36">
        <v>3</v>
      </c>
      <c r="H1892" s="36">
        <v>0</v>
      </c>
      <c r="I1892" s="37">
        <v>0</v>
      </c>
      <c r="J1892" s="36" t="s">
        <v>32654</v>
      </c>
      <c r="K1892" s="36" t="s">
        <v>14330</v>
      </c>
      <c r="L1892" s="36" t="s">
        <v>14330</v>
      </c>
      <c r="M1892">
        <v>2</v>
      </c>
      <c r="N1892" t="s">
        <v>14331</v>
      </c>
      <c r="O1892" t="s">
        <v>32633</v>
      </c>
    </row>
    <row r="1893" spans="1:15" x14ac:dyDescent="0.25">
      <c r="A1893" s="35" t="s">
        <v>6862</v>
      </c>
      <c r="B1893" s="36" t="s">
        <v>6863</v>
      </c>
      <c r="C1893" s="36" t="str">
        <f>HYPERLINK("https://rhld.insurance.arkansas.gov/NPILookup?Npi=1356165906","1356165906")</f>
        <v>1356165906</v>
      </c>
      <c r="D1893" s="36" t="s">
        <v>34551</v>
      </c>
      <c r="E1893" s="36" t="s">
        <v>2</v>
      </c>
      <c r="F1893" s="36">
        <v>1</v>
      </c>
      <c r="G1893" s="36">
        <v>2</v>
      </c>
      <c r="H1893" s="36">
        <v>0</v>
      </c>
      <c r="I1893" s="37">
        <v>0</v>
      </c>
      <c r="J1893" s="36"/>
      <c r="K1893" s="36" t="s">
        <v>14330</v>
      </c>
      <c r="L1893" s="36" t="s">
        <v>14330</v>
      </c>
      <c r="M1893">
        <v>2</v>
      </c>
      <c r="N1893" t="s">
        <v>14331</v>
      </c>
      <c r="O1893" t="s">
        <v>14333</v>
      </c>
    </row>
    <row r="1894" spans="1:15" x14ac:dyDescent="0.25">
      <c r="A1894" s="35" t="s">
        <v>6862</v>
      </c>
      <c r="B1894" s="36" t="s">
        <v>6863</v>
      </c>
      <c r="C1894" s="36" t="str">
        <f>HYPERLINK("https://rhld.insurance.arkansas.gov/NPILookup?Npi=1366260085","1366260085")</f>
        <v>1366260085</v>
      </c>
      <c r="D1894" s="36" t="s">
        <v>34552</v>
      </c>
      <c r="E1894" s="36" t="s">
        <v>2</v>
      </c>
      <c r="F1894" s="36">
        <v>1</v>
      </c>
      <c r="G1894" s="36">
        <v>2</v>
      </c>
      <c r="H1894" s="36">
        <v>0</v>
      </c>
      <c r="I1894" s="37">
        <v>0</v>
      </c>
      <c r="J1894" s="36"/>
      <c r="K1894" s="36" t="s">
        <v>14330</v>
      </c>
      <c r="L1894" s="36" t="s">
        <v>14330</v>
      </c>
      <c r="M1894">
        <v>1</v>
      </c>
      <c r="N1894" t="s">
        <v>14331</v>
      </c>
      <c r="O1894" t="s">
        <v>14333</v>
      </c>
    </row>
    <row r="1895" spans="1:15" x14ac:dyDescent="0.25">
      <c r="A1895" s="35" t="s">
        <v>6862</v>
      </c>
      <c r="B1895" s="36" t="s">
        <v>6863</v>
      </c>
      <c r="C1895" s="36" t="str">
        <f>HYPERLINK("https://rhld.insurance.arkansas.gov/NPILookup?Npi=1366869174","1366869174")</f>
        <v>1366869174</v>
      </c>
      <c r="D1895" s="36" t="s">
        <v>34553</v>
      </c>
      <c r="E1895" s="36" t="s">
        <v>2</v>
      </c>
      <c r="F1895" s="36">
        <v>1</v>
      </c>
      <c r="G1895" s="36">
        <v>1</v>
      </c>
      <c r="H1895" s="36">
        <v>0</v>
      </c>
      <c r="I1895" s="37">
        <v>0</v>
      </c>
      <c r="J1895" s="36"/>
      <c r="K1895" s="36" t="s">
        <v>14330</v>
      </c>
      <c r="L1895" s="36" t="s">
        <v>14330</v>
      </c>
      <c r="M1895">
        <v>1</v>
      </c>
      <c r="N1895" t="s">
        <v>14331</v>
      </c>
      <c r="O1895" t="s">
        <v>32633</v>
      </c>
    </row>
    <row r="1896" spans="1:15" x14ac:dyDescent="0.25">
      <c r="A1896" s="35" t="s">
        <v>6862</v>
      </c>
      <c r="B1896" s="36" t="s">
        <v>6863</v>
      </c>
      <c r="C1896" s="36" t="str">
        <f>HYPERLINK("https://rhld.insurance.arkansas.gov/NPILookup?Npi=1386278836","1386278836")</f>
        <v>1386278836</v>
      </c>
      <c r="D1896" s="36" t="s">
        <v>34554</v>
      </c>
      <c r="E1896" s="36" t="s">
        <v>2</v>
      </c>
      <c r="F1896" s="36">
        <v>1</v>
      </c>
      <c r="G1896" s="36">
        <v>1</v>
      </c>
      <c r="H1896" s="36">
        <v>0</v>
      </c>
      <c r="I1896" s="37">
        <v>0</v>
      </c>
      <c r="J1896" s="36"/>
      <c r="K1896" s="36" t="s">
        <v>14330</v>
      </c>
      <c r="L1896" s="36" t="s">
        <v>14330</v>
      </c>
      <c r="M1896">
        <v>1</v>
      </c>
      <c r="N1896" t="s">
        <v>14331</v>
      </c>
      <c r="O1896" t="s">
        <v>32633</v>
      </c>
    </row>
    <row r="1897" spans="1:15" x14ac:dyDescent="0.25">
      <c r="A1897" s="35" t="s">
        <v>6862</v>
      </c>
      <c r="B1897" s="36" t="s">
        <v>6863</v>
      </c>
      <c r="C1897" s="36" t="str">
        <f>HYPERLINK("https://rhld.insurance.arkansas.gov/NPILookup?Npi=1386537546","1386537546")</f>
        <v>1386537546</v>
      </c>
      <c r="D1897" s="36" t="s">
        <v>34555</v>
      </c>
      <c r="E1897" s="36" t="s">
        <v>2</v>
      </c>
      <c r="F1897" s="36">
        <v>1</v>
      </c>
      <c r="G1897" s="36">
        <v>1</v>
      </c>
      <c r="H1897" s="36">
        <v>0</v>
      </c>
      <c r="I1897" s="37">
        <v>0</v>
      </c>
      <c r="J1897" s="36"/>
      <c r="K1897" s="36" t="s">
        <v>14330</v>
      </c>
      <c r="L1897" s="36" t="s">
        <v>14330</v>
      </c>
      <c r="M1897">
        <v>1</v>
      </c>
      <c r="N1897" t="s">
        <v>14331</v>
      </c>
      <c r="O1897" t="s">
        <v>32633</v>
      </c>
    </row>
    <row r="1898" spans="1:15" x14ac:dyDescent="0.25">
      <c r="A1898" s="35" t="s">
        <v>6862</v>
      </c>
      <c r="B1898" s="36" t="s">
        <v>6863</v>
      </c>
      <c r="C1898" s="36" t="str">
        <f>HYPERLINK("https://rhld.insurance.arkansas.gov/NPILookup?Npi=1427386481","1427386481")</f>
        <v>1427386481</v>
      </c>
      <c r="D1898" s="36" t="s">
        <v>34556</v>
      </c>
      <c r="E1898" s="36" t="s">
        <v>2</v>
      </c>
      <c r="F1898" s="36">
        <v>1</v>
      </c>
      <c r="G1898" s="36">
        <v>1</v>
      </c>
      <c r="H1898" s="36">
        <v>0</v>
      </c>
      <c r="I1898" s="37">
        <v>0</v>
      </c>
      <c r="J1898" s="36"/>
      <c r="K1898" s="36" t="s">
        <v>14330</v>
      </c>
      <c r="L1898" s="36" t="s">
        <v>14330</v>
      </c>
      <c r="M1898">
        <v>1</v>
      </c>
      <c r="N1898" t="s">
        <v>14331</v>
      </c>
      <c r="O1898" t="s">
        <v>32633</v>
      </c>
    </row>
    <row r="1899" spans="1:15" x14ac:dyDescent="0.25">
      <c r="A1899" s="35" t="s">
        <v>6862</v>
      </c>
      <c r="B1899" s="36" t="s">
        <v>6863</v>
      </c>
      <c r="C1899" s="36" t="str">
        <f>HYPERLINK("https://rhld.insurance.arkansas.gov/NPILookup?Npi=1427706605","1427706605")</f>
        <v>1427706605</v>
      </c>
      <c r="D1899" s="36" t="s">
        <v>34557</v>
      </c>
      <c r="E1899" s="36" t="s">
        <v>2</v>
      </c>
      <c r="F1899" s="36">
        <v>1</v>
      </c>
      <c r="G1899" s="36">
        <v>1</v>
      </c>
      <c r="H1899" s="36">
        <v>0</v>
      </c>
      <c r="I1899" s="37">
        <v>0</v>
      </c>
      <c r="J1899" s="36"/>
      <c r="K1899" s="36" t="s">
        <v>14330</v>
      </c>
      <c r="L1899" s="36" t="s">
        <v>14330</v>
      </c>
      <c r="M1899">
        <v>1</v>
      </c>
      <c r="N1899" t="s">
        <v>14331</v>
      </c>
      <c r="O1899" t="s">
        <v>32633</v>
      </c>
    </row>
    <row r="1900" spans="1:15" x14ac:dyDescent="0.25">
      <c r="A1900" s="35" t="s">
        <v>6862</v>
      </c>
      <c r="B1900" s="36" t="s">
        <v>6863</v>
      </c>
      <c r="C1900" s="36" t="str">
        <f>HYPERLINK("https://rhld.insurance.arkansas.gov/NPILookup?Npi=1437410172","1437410172")</f>
        <v>1437410172</v>
      </c>
      <c r="D1900" s="36" t="s">
        <v>34558</v>
      </c>
      <c r="E1900" s="36" t="s">
        <v>2</v>
      </c>
      <c r="F1900" s="36">
        <v>1</v>
      </c>
      <c r="G1900" s="36">
        <v>1</v>
      </c>
      <c r="H1900" s="36">
        <v>0</v>
      </c>
      <c r="I1900" s="37">
        <v>0</v>
      </c>
      <c r="J1900" s="36"/>
      <c r="K1900" s="36" t="s">
        <v>14330</v>
      </c>
      <c r="L1900" s="36" t="s">
        <v>14330</v>
      </c>
      <c r="M1900">
        <v>1</v>
      </c>
      <c r="N1900" t="s">
        <v>14331</v>
      </c>
      <c r="O1900" t="s">
        <v>32633</v>
      </c>
    </row>
    <row r="1901" spans="1:15" x14ac:dyDescent="0.25">
      <c r="A1901" s="35" t="s">
        <v>6862</v>
      </c>
      <c r="B1901" s="36" t="s">
        <v>6863</v>
      </c>
      <c r="C1901" s="36" t="str">
        <f>HYPERLINK("https://rhld.insurance.arkansas.gov/NPILookup?Npi=1437994308","1437994308")</f>
        <v>1437994308</v>
      </c>
      <c r="D1901" s="36" t="s">
        <v>34559</v>
      </c>
      <c r="E1901" s="36" t="s">
        <v>2</v>
      </c>
      <c r="F1901" s="36">
        <v>1</v>
      </c>
      <c r="G1901" s="36">
        <v>1</v>
      </c>
      <c r="H1901" s="36">
        <v>0</v>
      </c>
      <c r="I1901" s="37">
        <v>0</v>
      </c>
      <c r="J1901" s="36"/>
      <c r="K1901" s="36" t="s">
        <v>14330</v>
      </c>
      <c r="L1901" s="36" t="s">
        <v>14330</v>
      </c>
      <c r="M1901">
        <v>1</v>
      </c>
      <c r="N1901" t="s">
        <v>14331</v>
      </c>
      <c r="O1901" t="s">
        <v>32633</v>
      </c>
    </row>
    <row r="1902" spans="1:15" x14ac:dyDescent="0.25">
      <c r="A1902" s="35" t="s">
        <v>6862</v>
      </c>
      <c r="B1902" s="36" t="s">
        <v>6863</v>
      </c>
      <c r="C1902" s="36" t="str">
        <f>HYPERLINK("https://rhld.insurance.arkansas.gov/NPILookup?Npi=1477380202","1477380202")</f>
        <v>1477380202</v>
      </c>
      <c r="D1902" s="36" t="s">
        <v>34560</v>
      </c>
      <c r="E1902" s="36" t="s">
        <v>2</v>
      </c>
      <c r="F1902" s="36">
        <v>1</v>
      </c>
      <c r="G1902" s="36">
        <v>1</v>
      </c>
      <c r="H1902" s="36">
        <v>0</v>
      </c>
      <c r="I1902" s="37">
        <v>0</v>
      </c>
      <c r="J1902" s="36"/>
      <c r="K1902" s="36" t="s">
        <v>14330</v>
      </c>
      <c r="L1902" s="36" t="s">
        <v>14330</v>
      </c>
      <c r="M1902">
        <v>1</v>
      </c>
      <c r="N1902" t="s">
        <v>14331</v>
      </c>
      <c r="O1902" t="s">
        <v>32633</v>
      </c>
    </row>
    <row r="1903" spans="1:15" x14ac:dyDescent="0.25">
      <c r="A1903" s="35" t="s">
        <v>6862</v>
      </c>
      <c r="B1903" s="36" t="s">
        <v>6863</v>
      </c>
      <c r="C1903" s="36" t="str">
        <f>HYPERLINK("https://rhld.insurance.arkansas.gov/NPILookup?Npi=1477380350","1477380350")</f>
        <v>1477380350</v>
      </c>
      <c r="D1903" s="36" t="s">
        <v>34561</v>
      </c>
      <c r="E1903" s="36" t="s">
        <v>2</v>
      </c>
      <c r="F1903" s="36">
        <v>1</v>
      </c>
      <c r="G1903" s="36">
        <v>1</v>
      </c>
      <c r="H1903" s="36">
        <v>0</v>
      </c>
      <c r="I1903" s="37">
        <v>0</v>
      </c>
      <c r="J1903" s="36"/>
      <c r="K1903" s="36" t="s">
        <v>14330</v>
      </c>
      <c r="L1903" s="36" t="s">
        <v>14330</v>
      </c>
      <c r="M1903">
        <v>1</v>
      </c>
      <c r="N1903" t="s">
        <v>14331</v>
      </c>
      <c r="O1903" t="s">
        <v>32633</v>
      </c>
    </row>
    <row r="1904" spans="1:15" x14ac:dyDescent="0.25">
      <c r="A1904" s="35" t="s">
        <v>6862</v>
      </c>
      <c r="B1904" s="36" t="s">
        <v>6863</v>
      </c>
      <c r="C1904" s="36" t="str">
        <f>HYPERLINK("https://rhld.insurance.arkansas.gov/NPILookup?Npi=1497152060","1497152060")</f>
        <v>1497152060</v>
      </c>
      <c r="D1904" s="36" t="s">
        <v>34562</v>
      </c>
      <c r="E1904" s="36" t="s">
        <v>2</v>
      </c>
      <c r="F1904" s="36">
        <v>1</v>
      </c>
      <c r="G1904" s="36">
        <v>1</v>
      </c>
      <c r="H1904" s="36">
        <v>0</v>
      </c>
      <c r="I1904" s="37">
        <v>0</v>
      </c>
      <c r="J1904" s="36"/>
      <c r="K1904" s="36" t="s">
        <v>14330</v>
      </c>
      <c r="L1904" s="36" t="s">
        <v>14330</v>
      </c>
      <c r="M1904">
        <v>2</v>
      </c>
      <c r="N1904" t="s">
        <v>14331</v>
      </c>
      <c r="O1904" t="s">
        <v>32633</v>
      </c>
    </row>
    <row r="1905" spans="1:15" x14ac:dyDescent="0.25">
      <c r="A1905" s="35" t="s">
        <v>6862</v>
      </c>
      <c r="B1905" s="36" t="s">
        <v>6863</v>
      </c>
      <c r="C1905" s="36" t="str">
        <f>HYPERLINK("https://rhld.insurance.arkansas.gov/NPILookup?Npi=1518622257","1518622257")</f>
        <v>1518622257</v>
      </c>
      <c r="D1905" s="36" t="s">
        <v>34563</v>
      </c>
      <c r="E1905" s="36" t="s">
        <v>1</v>
      </c>
      <c r="F1905" s="36">
        <v>1</v>
      </c>
      <c r="G1905" s="36">
        <v>2</v>
      </c>
      <c r="H1905" s="36">
        <v>0</v>
      </c>
      <c r="I1905" s="37">
        <v>0</v>
      </c>
      <c r="J1905" s="36" t="s">
        <v>32654</v>
      </c>
      <c r="K1905" s="36" t="s">
        <v>14330</v>
      </c>
      <c r="L1905" s="36" t="s">
        <v>14330</v>
      </c>
      <c r="M1905">
        <v>2</v>
      </c>
      <c r="N1905" t="s">
        <v>14331</v>
      </c>
      <c r="O1905" t="s">
        <v>32633</v>
      </c>
    </row>
    <row r="1906" spans="1:15" x14ac:dyDescent="0.25">
      <c r="A1906" s="35" t="s">
        <v>6862</v>
      </c>
      <c r="B1906" s="36" t="s">
        <v>6863</v>
      </c>
      <c r="C1906" s="36" t="str">
        <f>HYPERLINK("https://rhld.insurance.arkansas.gov/NPILookup?Npi=1538700679","1538700679")</f>
        <v>1538700679</v>
      </c>
      <c r="D1906" s="36" t="s">
        <v>34564</v>
      </c>
      <c r="E1906" s="36" t="s">
        <v>2</v>
      </c>
      <c r="F1906" s="36">
        <v>1</v>
      </c>
      <c r="G1906" s="36">
        <v>2</v>
      </c>
      <c r="H1906" s="36">
        <v>0</v>
      </c>
      <c r="I1906" s="37">
        <v>0</v>
      </c>
      <c r="J1906" s="36"/>
      <c r="K1906" s="36" t="s">
        <v>14330</v>
      </c>
      <c r="L1906" s="36" t="s">
        <v>14330</v>
      </c>
      <c r="M1906">
        <v>1</v>
      </c>
      <c r="N1906" t="s">
        <v>14331</v>
      </c>
      <c r="O1906" t="s">
        <v>14333</v>
      </c>
    </row>
    <row r="1907" spans="1:15" x14ac:dyDescent="0.25">
      <c r="A1907" s="35" t="s">
        <v>6862</v>
      </c>
      <c r="B1907" s="36" t="s">
        <v>6863</v>
      </c>
      <c r="C1907" s="36" t="str">
        <f>HYPERLINK("https://rhld.insurance.arkansas.gov/NPILookup?Npi=1548018534","1548018534")</f>
        <v>1548018534</v>
      </c>
      <c r="D1907" s="36" t="s">
        <v>34565</v>
      </c>
      <c r="E1907" s="36" t="s">
        <v>2</v>
      </c>
      <c r="F1907" s="36">
        <v>1</v>
      </c>
      <c r="G1907" s="36">
        <v>1</v>
      </c>
      <c r="H1907" s="36">
        <v>0</v>
      </c>
      <c r="I1907" s="37">
        <v>0</v>
      </c>
      <c r="J1907" s="36"/>
      <c r="K1907" s="36" t="s">
        <v>14330</v>
      </c>
      <c r="L1907" s="36" t="s">
        <v>14330</v>
      </c>
      <c r="M1907">
        <v>1</v>
      </c>
      <c r="N1907" t="s">
        <v>14331</v>
      </c>
      <c r="O1907" t="s">
        <v>32633</v>
      </c>
    </row>
    <row r="1908" spans="1:15" x14ac:dyDescent="0.25">
      <c r="A1908" s="35" t="s">
        <v>6862</v>
      </c>
      <c r="B1908" s="36" t="s">
        <v>6863</v>
      </c>
      <c r="C1908" s="36" t="str">
        <f>HYPERLINK("https://rhld.insurance.arkansas.gov/NPILookup?Npi=1548956329","1548956329")</f>
        <v>1548956329</v>
      </c>
      <c r="D1908" s="36" t="s">
        <v>34566</v>
      </c>
      <c r="E1908" s="36" t="s">
        <v>2</v>
      </c>
      <c r="F1908" s="36">
        <v>1</v>
      </c>
      <c r="G1908" s="36">
        <v>1</v>
      </c>
      <c r="H1908" s="36">
        <v>0</v>
      </c>
      <c r="I1908" s="37">
        <v>0</v>
      </c>
      <c r="J1908" s="36"/>
      <c r="K1908" s="36" t="s">
        <v>14330</v>
      </c>
      <c r="L1908" s="36" t="s">
        <v>14330</v>
      </c>
      <c r="M1908">
        <v>1</v>
      </c>
      <c r="N1908" t="s">
        <v>14331</v>
      </c>
      <c r="O1908" t="s">
        <v>32633</v>
      </c>
    </row>
    <row r="1909" spans="1:15" x14ac:dyDescent="0.25">
      <c r="A1909" s="35" t="s">
        <v>6862</v>
      </c>
      <c r="B1909" s="36" t="s">
        <v>6863</v>
      </c>
      <c r="C1909" s="36" t="str">
        <f>HYPERLINK("https://rhld.insurance.arkansas.gov/NPILookup?Npi=1558188805","1558188805")</f>
        <v>1558188805</v>
      </c>
      <c r="D1909" s="36" t="s">
        <v>34567</v>
      </c>
      <c r="E1909" s="36" t="s">
        <v>2</v>
      </c>
      <c r="F1909" s="36">
        <v>1</v>
      </c>
      <c r="G1909" s="36">
        <v>1</v>
      </c>
      <c r="H1909" s="36">
        <v>0</v>
      </c>
      <c r="I1909" s="37">
        <v>0</v>
      </c>
      <c r="J1909" s="36"/>
      <c r="K1909" s="36" t="s">
        <v>14330</v>
      </c>
      <c r="L1909" s="36" t="s">
        <v>14330</v>
      </c>
      <c r="M1909">
        <v>1</v>
      </c>
      <c r="N1909" t="s">
        <v>14331</v>
      </c>
      <c r="O1909" t="s">
        <v>32633</v>
      </c>
    </row>
    <row r="1910" spans="1:15" x14ac:dyDescent="0.25">
      <c r="A1910" s="35" t="s">
        <v>6862</v>
      </c>
      <c r="B1910" s="36" t="s">
        <v>6863</v>
      </c>
      <c r="C1910" s="36" t="str">
        <f>HYPERLINK("https://rhld.insurance.arkansas.gov/NPILookup?Npi=1558600668","1558600668")</f>
        <v>1558600668</v>
      </c>
      <c r="D1910" s="36" t="s">
        <v>34568</v>
      </c>
      <c r="E1910" s="36" t="s">
        <v>2</v>
      </c>
      <c r="F1910" s="36">
        <v>1</v>
      </c>
      <c r="G1910" s="36">
        <v>1</v>
      </c>
      <c r="H1910" s="36">
        <v>0</v>
      </c>
      <c r="I1910" s="37">
        <v>0</v>
      </c>
      <c r="J1910" s="36"/>
      <c r="K1910" s="36" t="s">
        <v>14330</v>
      </c>
      <c r="L1910" s="36" t="s">
        <v>14330</v>
      </c>
      <c r="M1910">
        <v>1</v>
      </c>
      <c r="N1910" t="s">
        <v>14331</v>
      </c>
      <c r="O1910" t="s">
        <v>32633</v>
      </c>
    </row>
    <row r="1911" spans="1:15" x14ac:dyDescent="0.25">
      <c r="A1911" s="35" t="s">
        <v>6862</v>
      </c>
      <c r="B1911" s="36" t="s">
        <v>6863</v>
      </c>
      <c r="C1911" s="36" t="str">
        <f>HYPERLINK("https://rhld.insurance.arkansas.gov/NPILookup?Npi=1568441715","1568441715")</f>
        <v>1568441715</v>
      </c>
      <c r="D1911" s="36" t="s">
        <v>34569</v>
      </c>
      <c r="E1911" s="36" t="s">
        <v>2</v>
      </c>
      <c r="F1911" s="36">
        <v>1</v>
      </c>
      <c r="G1911" s="36">
        <v>1</v>
      </c>
      <c r="H1911" s="36">
        <v>0</v>
      </c>
      <c r="I1911" s="37">
        <v>0</v>
      </c>
      <c r="J1911" s="36"/>
      <c r="K1911" s="36" t="s">
        <v>14330</v>
      </c>
      <c r="L1911" s="36" t="s">
        <v>14330</v>
      </c>
      <c r="M1911">
        <v>1</v>
      </c>
      <c r="N1911" t="s">
        <v>14331</v>
      </c>
      <c r="O1911" t="s">
        <v>32633</v>
      </c>
    </row>
    <row r="1912" spans="1:15" x14ac:dyDescent="0.25">
      <c r="A1912" s="35" t="s">
        <v>6862</v>
      </c>
      <c r="B1912" s="36" t="s">
        <v>6863</v>
      </c>
      <c r="C1912" s="36" t="str">
        <f>HYPERLINK("https://rhld.insurance.arkansas.gov/NPILookup?Npi=1588496749","1588496749")</f>
        <v>1588496749</v>
      </c>
      <c r="D1912" s="36" t="s">
        <v>34570</v>
      </c>
      <c r="E1912" s="36" t="s">
        <v>2</v>
      </c>
      <c r="F1912" s="36">
        <v>1</v>
      </c>
      <c r="G1912" s="36">
        <v>1</v>
      </c>
      <c r="H1912" s="36">
        <v>0</v>
      </c>
      <c r="I1912" s="37">
        <v>0</v>
      </c>
      <c r="J1912" s="36"/>
      <c r="K1912" s="36" t="s">
        <v>14330</v>
      </c>
      <c r="L1912" s="36" t="s">
        <v>14330</v>
      </c>
      <c r="M1912">
        <v>1</v>
      </c>
      <c r="N1912" t="s">
        <v>14331</v>
      </c>
      <c r="O1912" t="s">
        <v>32633</v>
      </c>
    </row>
    <row r="1913" spans="1:15" x14ac:dyDescent="0.25">
      <c r="A1913" s="35" t="s">
        <v>6862</v>
      </c>
      <c r="B1913" s="36" t="s">
        <v>6863</v>
      </c>
      <c r="C1913" s="36" t="str">
        <f>HYPERLINK("https://rhld.insurance.arkansas.gov/NPILookup?Npi=1598590010","1598590010")</f>
        <v>1598590010</v>
      </c>
      <c r="D1913" s="36" t="s">
        <v>34571</v>
      </c>
      <c r="E1913" s="36" t="s">
        <v>2</v>
      </c>
      <c r="F1913" s="36">
        <v>1</v>
      </c>
      <c r="G1913" s="36">
        <v>1</v>
      </c>
      <c r="H1913" s="36">
        <v>0</v>
      </c>
      <c r="I1913" s="37">
        <v>0</v>
      </c>
      <c r="J1913" s="36"/>
      <c r="K1913" s="36" t="s">
        <v>14330</v>
      </c>
      <c r="L1913" s="36" t="s">
        <v>14330</v>
      </c>
      <c r="M1913">
        <v>1</v>
      </c>
      <c r="N1913" t="s">
        <v>14331</v>
      </c>
      <c r="O1913" t="s">
        <v>32633</v>
      </c>
    </row>
    <row r="1914" spans="1:15" x14ac:dyDescent="0.25">
      <c r="A1914" s="35" t="s">
        <v>6862</v>
      </c>
      <c r="B1914" s="36" t="s">
        <v>6863</v>
      </c>
      <c r="C1914" s="36" t="str">
        <f>HYPERLINK("https://rhld.insurance.arkansas.gov/NPILookup?Npi=1619704434","1619704434")</f>
        <v>1619704434</v>
      </c>
      <c r="D1914" s="36" t="s">
        <v>34572</v>
      </c>
      <c r="E1914" s="36" t="s">
        <v>2</v>
      </c>
      <c r="F1914" s="36">
        <v>1</v>
      </c>
      <c r="G1914" s="36">
        <v>1</v>
      </c>
      <c r="H1914" s="36">
        <v>0</v>
      </c>
      <c r="I1914" s="37">
        <v>0</v>
      </c>
      <c r="J1914" s="36"/>
      <c r="K1914" s="36" t="s">
        <v>14330</v>
      </c>
      <c r="L1914" s="36" t="s">
        <v>14330</v>
      </c>
      <c r="M1914">
        <v>1</v>
      </c>
      <c r="N1914" t="s">
        <v>14331</v>
      </c>
      <c r="O1914" t="s">
        <v>32633</v>
      </c>
    </row>
    <row r="1915" spans="1:15" x14ac:dyDescent="0.25">
      <c r="A1915" s="35" t="s">
        <v>6862</v>
      </c>
      <c r="B1915" s="36" t="s">
        <v>6863</v>
      </c>
      <c r="C1915" s="36" t="str">
        <f>HYPERLINK("https://rhld.insurance.arkansas.gov/NPILookup?Npi=1629539309","1629539309")</f>
        <v>1629539309</v>
      </c>
      <c r="D1915" s="36" t="s">
        <v>34573</v>
      </c>
      <c r="E1915" s="36" t="s">
        <v>2</v>
      </c>
      <c r="F1915" s="36">
        <v>1</v>
      </c>
      <c r="G1915" s="36">
        <v>1</v>
      </c>
      <c r="H1915" s="36">
        <v>0</v>
      </c>
      <c r="I1915" s="37">
        <v>0</v>
      </c>
      <c r="J1915" s="36"/>
      <c r="K1915" s="36" t="s">
        <v>14330</v>
      </c>
      <c r="L1915" s="36" t="s">
        <v>14330</v>
      </c>
      <c r="M1915">
        <v>1</v>
      </c>
      <c r="N1915" t="s">
        <v>14331</v>
      </c>
      <c r="O1915" t="s">
        <v>32633</v>
      </c>
    </row>
    <row r="1916" spans="1:15" x14ac:dyDescent="0.25">
      <c r="A1916" s="35" t="s">
        <v>6862</v>
      </c>
      <c r="B1916" s="36" t="s">
        <v>6863</v>
      </c>
      <c r="C1916" s="36" t="str">
        <f>HYPERLINK("https://rhld.insurance.arkansas.gov/NPILookup?Npi=1629882840","1629882840")</f>
        <v>1629882840</v>
      </c>
      <c r="D1916" s="36" t="s">
        <v>34574</v>
      </c>
      <c r="E1916" s="36" t="s">
        <v>2</v>
      </c>
      <c r="F1916" s="36">
        <v>1</v>
      </c>
      <c r="G1916" s="36">
        <v>1</v>
      </c>
      <c r="H1916" s="36">
        <v>0</v>
      </c>
      <c r="I1916" s="37">
        <v>0</v>
      </c>
      <c r="J1916" s="36"/>
      <c r="K1916" s="36" t="s">
        <v>14330</v>
      </c>
      <c r="L1916" s="36" t="s">
        <v>14330</v>
      </c>
      <c r="M1916">
        <v>1</v>
      </c>
      <c r="N1916" t="s">
        <v>14331</v>
      </c>
      <c r="O1916" t="s">
        <v>32633</v>
      </c>
    </row>
    <row r="1917" spans="1:15" x14ac:dyDescent="0.25">
      <c r="A1917" s="35" t="s">
        <v>6862</v>
      </c>
      <c r="B1917" s="36" t="s">
        <v>6863</v>
      </c>
      <c r="C1917" s="36" t="str">
        <f>HYPERLINK("https://rhld.insurance.arkansas.gov/NPILookup?Npi=1629897475","1629897475")</f>
        <v>1629897475</v>
      </c>
      <c r="D1917" s="36" t="s">
        <v>34575</v>
      </c>
      <c r="E1917" s="36" t="s">
        <v>2</v>
      </c>
      <c r="F1917" s="36">
        <v>1</v>
      </c>
      <c r="G1917" s="36">
        <v>1</v>
      </c>
      <c r="H1917" s="36">
        <v>0</v>
      </c>
      <c r="I1917" s="37">
        <v>0</v>
      </c>
      <c r="J1917" s="36"/>
      <c r="K1917" s="36" t="s">
        <v>14330</v>
      </c>
      <c r="L1917" s="36" t="s">
        <v>14330</v>
      </c>
      <c r="M1917">
        <v>2</v>
      </c>
      <c r="N1917" t="s">
        <v>14331</v>
      </c>
      <c r="O1917" t="s">
        <v>32633</v>
      </c>
    </row>
    <row r="1918" spans="1:15" x14ac:dyDescent="0.25">
      <c r="A1918" s="35" t="s">
        <v>6862</v>
      </c>
      <c r="B1918" s="36" t="s">
        <v>6863</v>
      </c>
      <c r="C1918" s="36" t="str">
        <f>HYPERLINK("https://rhld.insurance.arkansas.gov/NPILookup?Npi=1639425820","1639425820")</f>
        <v>1639425820</v>
      </c>
      <c r="D1918" s="36" t="s">
        <v>34576</v>
      </c>
      <c r="E1918" s="36" t="s">
        <v>2</v>
      </c>
      <c r="F1918" s="36">
        <v>1</v>
      </c>
      <c r="G1918" s="36">
        <v>2</v>
      </c>
      <c r="H1918" s="36">
        <v>0</v>
      </c>
      <c r="I1918" s="37">
        <v>0</v>
      </c>
      <c r="J1918" s="36"/>
      <c r="K1918" s="36" t="s">
        <v>14330</v>
      </c>
      <c r="L1918" s="36" t="s">
        <v>14330</v>
      </c>
      <c r="M1918">
        <v>1</v>
      </c>
      <c r="N1918" t="s">
        <v>14331</v>
      </c>
      <c r="O1918" t="s">
        <v>14333</v>
      </c>
    </row>
    <row r="1919" spans="1:15" x14ac:dyDescent="0.25">
      <c r="A1919" s="35" t="s">
        <v>6862</v>
      </c>
      <c r="B1919" s="36" t="s">
        <v>6863</v>
      </c>
      <c r="C1919" s="36" t="str">
        <f>HYPERLINK("https://rhld.insurance.arkansas.gov/NPILookup?Npi=1659101715","1659101715")</f>
        <v>1659101715</v>
      </c>
      <c r="D1919" s="36" t="s">
        <v>34577</v>
      </c>
      <c r="E1919" s="36" t="s">
        <v>2</v>
      </c>
      <c r="F1919" s="36">
        <v>1</v>
      </c>
      <c r="G1919" s="36">
        <v>1</v>
      </c>
      <c r="H1919" s="36">
        <v>0</v>
      </c>
      <c r="I1919" s="37">
        <v>0</v>
      </c>
      <c r="J1919" s="36"/>
      <c r="K1919" s="36" t="s">
        <v>14330</v>
      </c>
      <c r="L1919" s="36" t="s">
        <v>14330</v>
      </c>
      <c r="M1919">
        <v>2</v>
      </c>
      <c r="N1919" t="s">
        <v>14331</v>
      </c>
      <c r="O1919" t="s">
        <v>32633</v>
      </c>
    </row>
    <row r="1920" spans="1:15" x14ac:dyDescent="0.25">
      <c r="A1920" s="35" t="s">
        <v>6862</v>
      </c>
      <c r="B1920" s="36" t="s">
        <v>6863</v>
      </c>
      <c r="C1920" s="36" t="str">
        <f>HYPERLINK("https://rhld.insurance.arkansas.gov/NPILookup?Npi=1659803864","1659803864")</f>
        <v>1659803864</v>
      </c>
      <c r="D1920" s="36" t="s">
        <v>34578</v>
      </c>
      <c r="E1920" s="36" t="s">
        <v>1</v>
      </c>
      <c r="F1920" s="36">
        <v>1</v>
      </c>
      <c r="G1920" s="36">
        <v>2</v>
      </c>
      <c r="H1920" s="36">
        <v>0</v>
      </c>
      <c r="I1920" s="37">
        <v>0</v>
      </c>
      <c r="J1920" s="36" t="s">
        <v>32654</v>
      </c>
      <c r="K1920" s="36" t="s">
        <v>14330</v>
      </c>
      <c r="L1920" s="36" t="s">
        <v>14330</v>
      </c>
      <c r="M1920">
        <v>2</v>
      </c>
      <c r="N1920" t="s">
        <v>14331</v>
      </c>
      <c r="O1920" t="s">
        <v>32633</v>
      </c>
    </row>
    <row r="1921" spans="1:15" x14ac:dyDescent="0.25">
      <c r="A1921" s="35" t="s">
        <v>6862</v>
      </c>
      <c r="B1921" s="36" t="s">
        <v>6863</v>
      </c>
      <c r="C1921" s="36" t="str">
        <f>HYPERLINK("https://rhld.insurance.arkansas.gov/NPILookup?Npi=1659980167","1659980167")</f>
        <v>1659980167</v>
      </c>
      <c r="D1921" s="36" t="s">
        <v>34579</v>
      </c>
      <c r="E1921" s="36" t="s">
        <v>2</v>
      </c>
      <c r="F1921" s="36">
        <v>1</v>
      </c>
      <c r="G1921" s="36">
        <v>2</v>
      </c>
      <c r="H1921" s="36">
        <v>0</v>
      </c>
      <c r="I1921" s="37">
        <v>0</v>
      </c>
      <c r="J1921" s="36"/>
      <c r="K1921" s="36" t="s">
        <v>14330</v>
      </c>
      <c r="L1921" s="36" t="s">
        <v>14330</v>
      </c>
      <c r="M1921">
        <v>1</v>
      </c>
      <c r="N1921" t="s">
        <v>14331</v>
      </c>
      <c r="O1921" t="s">
        <v>14333</v>
      </c>
    </row>
    <row r="1922" spans="1:15" x14ac:dyDescent="0.25">
      <c r="A1922" s="35" t="s">
        <v>6862</v>
      </c>
      <c r="B1922" s="36" t="s">
        <v>6863</v>
      </c>
      <c r="C1922" s="36" t="str">
        <f>HYPERLINK("https://rhld.insurance.arkansas.gov/NPILookup?Npi=1699509489","1699509489")</f>
        <v>1699509489</v>
      </c>
      <c r="D1922" s="36" t="s">
        <v>34580</v>
      </c>
      <c r="E1922" s="36" t="s">
        <v>2</v>
      </c>
      <c r="F1922" s="36">
        <v>1</v>
      </c>
      <c r="G1922" s="36">
        <v>1</v>
      </c>
      <c r="H1922" s="36">
        <v>0</v>
      </c>
      <c r="I1922" s="37">
        <v>0</v>
      </c>
      <c r="J1922" s="36"/>
      <c r="K1922" s="36" t="s">
        <v>14330</v>
      </c>
      <c r="L1922" s="36" t="s">
        <v>14330</v>
      </c>
      <c r="M1922">
        <v>1</v>
      </c>
      <c r="N1922" t="s">
        <v>14331</v>
      </c>
      <c r="O1922" t="s">
        <v>32633</v>
      </c>
    </row>
    <row r="1923" spans="1:15" x14ac:dyDescent="0.25">
      <c r="A1923" s="35" t="s">
        <v>6862</v>
      </c>
      <c r="B1923" s="36" t="s">
        <v>6863</v>
      </c>
      <c r="C1923" s="36" t="str">
        <f>HYPERLINK("https://rhld.insurance.arkansas.gov/NPILookup?Npi=1699598672","1699598672")</f>
        <v>1699598672</v>
      </c>
      <c r="D1923" s="36" t="s">
        <v>34581</v>
      </c>
      <c r="E1923" s="36" t="s">
        <v>2</v>
      </c>
      <c r="F1923" s="36">
        <v>1</v>
      </c>
      <c r="G1923" s="36">
        <v>1</v>
      </c>
      <c r="H1923" s="36">
        <v>0</v>
      </c>
      <c r="I1923" s="37">
        <v>0</v>
      </c>
      <c r="J1923" s="36"/>
      <c r="K1923" s="36" t="s">
        <v>14330</v>
      </c>
      <c r="L1923" s="36" t="s">
        <v>14330</v>
      </c>
      <c r="M1923">
        <v>1</v>
      </c>
      <c r="N1923" t="s">
        <v>14331</v>
      </c>
      <c r="O1923" t="s">
        <v>32633</v>
      </c>
    </row>
    <row r="1924" spans="1:15" x14ac:dyDescent="0.25">
      <c r="A1924" s="35" t="s">
        <v>6862</v>
      </c>
      <c r="B1924" s="36" t="s">
        <v>6863</v>
      </c>
      <c r="C1924" s="36" t="str">
        <f>HYPERLINK("https://rhld.insurance.arkansas.gov/NPILookup?Npi=1720158306","1720158306")</f>
        <v>1720158306</v>
      </c>
      <c r="D1924" s="36" t="s">
        <v>34582</v>
      </c>
      <c r="E1924" s="36" t="s">
        <v>2</v>
      </c>
      <c r="F1924" s="36">
        <v>1</v>
      </c>
      <c r="G1924" s="36">
        <v>1</v>
      </c>
      <c r="H1924" s="36">
        <v>0</v>
      </c>
      <c r="I1924" s="37">
        <v>0</v>
      </c>
      <c r="J1924" s="36"/>
      <c r="K1924" s="36" t="s">
        <v>14330</v>
      </c>
      <c r="L1924" s="36" t="s">
        <v>14330</v>
      </c>
      <c r="M1924">
        <v>1</v>
      </c>
      <c r="N1924" t="s">
        <v>14331</v>
      </c>
      <c r="O1924" t="s">
        <v>32633</v>
      </c>
    </row>
    <row r="1925" spans="1:15" x14ac:dyDescent="0.25">
      <c r="A1925" s="35" t="s">
        <v>6862</v>
      </c>
      <c r="B1925" s="36" t="s">
        <v>6863</v>
      </c>
      <c r="C1925" s="36" t="str">
        <f>HYPERLINK("https://rhld.insurance.arkansas.gov/NPILookup?Npi=1720449721","1720449721")</f>
        <v>1720449721</v>
      </c>
      <c r="D1925" s="36" t="s">
        <v>34583</v>
      </c>
      <c r="E1925" s="36" t="s">
        <v>2</v>
      </c>
      <c r="F1925" s="36">
        <v>1</v>
      </c>
      <c r="G1925" s="36">
        <v>1</v>
      </c>
      <c r="H1925" s="36">
        <v>0</v>
      </c>
      <c r="I1925" s="37">
        <v>0</v>
      </c>
      <c r="J1925" s="36"/>
      <c r="K1925" s="36" t="s">
        <v>14330</v>
      </c>
      <c r="L1925" s="36" t="s">
        <v>14330</v>
      </c>
      <c r="M1925">
        <v>1</v>
      </c>
      <c r="N1925" t="s">
        <v>14331</v>
      </c>
      <c r="O1925" t="s">
        <v>32633</v>
      </c>
    </row>
    <row r="1926" spans="1:15" x14ac:dyDescent="0.25">
      <c r="A1926" s="35" t="s">
        <v>6862</v>
      </c>
      <c r="B1926" s="36" t="s">
        <v>6863</v>
      </c>
      <c r="C1926" s="36" t="str">
        <f>HYPERLINK("https://rhld.insurance.arkansas.gov/NPILookup?Npi=1720807423","1720807423")</f>
        <v>1720807423</v>
      </c>
      <c r="D1926" s="36" t="s">
        <v>34584</v>
      </c>
      <c r="E1926" s="36" t="s">
        <v>2</v>
      </c>
      <c r="F1926" s="36">
        <v>1</v>
      </c>
      <c r="G1926" s="36">
        <v>1</v>
      </c>
      <c r="H1926" s="36">
        <v>0</v>
      </c>
      <c r="I1926" s="37">
        <v>0</v>
      </c>
      <c r="J1926" s="36"/>
      <c r="K1926" s="36" t="s">
        <v>14330</v>
      </c>
      <c r="L1926" s="36" t="s">
        <v>14330</v>
      </c>
      <c r="M1926">
        <v>1</v>
      </c>
      <c r="N1926" t="s">
        <v>14331</v>
      </c>
      <c r="O1926" t="s">
        <v>32633</v>
      </c>
    </row>
    <row r="1927" spans="1:15" x14ac:dyDescent="0.25">
      <c r="A1927" s="35" t="s">
        <v>6862</v>
      </c>
      <c r="B1927" s="36" t="s">
        <v>6863</v>
      </c>
      <c r="C1927" s="36" t="str">
        <f>HYPERLINK("https://rhld.insurance.arkansas.gov/NPILookup?Npi=1730223058","1730223058")</f>
        <v>1730223058</v>
      </c>
      <c r="D1927" s="36" t="s">
        <v>34585</v>
      </c>
      <c r="E1927" s="36" t="s">
        <v>1</v>
      </c>
      <c r="F1927" s="36">
        <v>1</v>
      </c>
      <c r="G1927" s="36">
        <v>1</v>
      </c>
      <c r="H1927" s="36">
        <v>0</v>
      </c>
      <c r="I1927" s="37">
        <v>0</v>
      </c>
      <c r="J1927" s="36" t="s">
        <v>32723</v>
      </c>
      <c r="K1927" s="36" t="s">
        <v>14330</v>
      </c>
      <c r="L1927" s="36" t="s">
        <v>14330</v>
      </c>
      <c r="M1927">
        <v>2</v>
      </c>
      <c r="N1927" t="s">
        <v>14331</v>
      </c>
      <c r="O1927" t="s">
        <v>32724</v>
      </c>
    </row>
    <row r="1928" spans="1:15" x14ac:dyDescent="0.25">
      <c r="A1928" s="35" t="s">
        <v>6862</v>
      </c>
      <c r="B1928" s="36" t="s">
        <v>6863</v>
      </c>
      <c r="C1928" s="36" t="str">
        <f>HYPERLINK("https://rhld.insurance.arkansas.gov/NPILookup?Npi=1740647379","1740647379")</f>
        <v>1740647379</v>
      </c>
      <c r="D1928" s="36" t="s">
        <v>34586</v>
      </c>
      <c r="E1928" s="36" t="s">
        <v>2</v>
      </c>
      <c r="F1928" s="36">
        <v>1</v>
      </c>
      <c r="G1928" s="36">
        <v>2</v>
      </c>
      <c r="H1928" s="36">
        <v>0</v>
      </c>
      <c r="I1928" s="37">
        <v>0</v>
      </c>
      <c r="J1928" s="36"/>
      <c r="K1928" s="36" t="s">
        <v>14330</v>
      </c>
      <c r="L1928" s="36" t="s">
        <v>14330</v>
      </c>
      <c r="M1928">
        <v>1</v>
      </c>
      <c r="N1928" t="s">
        <v>14331</v>
      </c>
      <c r="O1928" t="s">
        <v>14333</v>
      </c>
    </row>
    <row r="1929" spans="1:15" x14ac:dyDescent="0.25">
      <c r="A1929" s="35" t="s">
        <v>6862</v>
      </c>
      <c r="B1929" s="36" t="s">
        <v>6863</v>
      </c>
      <c r="C1929" s="36" t="str">
        <f>HYPERLINK("https://rhld.insurance.arkansas.gov/NPILookup?Npi=1750865044","1750865044")</f>
        <v>1750865044</v>
      </c>
      <c r="D1929" s="36" t="s">
        <v>34587</v>
      </c>
      <c r="E1929" s="36" t="s">
        <v>2</v>
      </c>
      <c r="F1929" s="36">
        <v>1</v>
      </c>
      <c r="G1929" s="36">
        <v>1</v>
      </c>
      <c r="H1929" s="36">
        <v>0</v>
      </c>
      <c r="I1929" s="37">
        <v>0</v>
      </c>
      <c r="J1929" s="36"/>
      <c r="K1929" s="36" t="s">
        <v>14330</v>
      </c>
      <c r="L1929" s="36" t="s">
        <v>14330</v>
      </c>
      <c r="M1929">
        <v>1</v>
      </c>
      <c r="N1929" t="s">
        <v>14331</v>
      </c>
      <c r="O1929" t="s">
        <v>32633</v>
      </c>
    </row>
    <row r="1930" spans="1:15" x14ac:dyDescent="0.25">
      <c r="A1930" s="35" t="s">
        <v>6862</v>
      </c>
      <c r="B1930" s="36" t="s">
        <v>6863</v>
      </c>
      <c r="C1930" s="36" t="str">
        <f>HYPERLINK("https://rhld.insurance.arkansas.gov/NPILookup?Npi=1780481606","1780481606")</f>
        <v>1780481606</v>
      </c>
      <c r="D1930" s="36" t="s">
        <v>34524</v>
      </c>
      <c r="E1930" s="36" t="s">
        <v>2</v>
      </c>
      <c r="F1930" s="36">
        <v>1</v>
      </c>
      <c r="G1930" s="36">
        <v>1</v>
      </c>
      <c r="H1930" s="36">
        <v>0</v>
      </c>
      <c r="I1930" s="37">
        <v>0</v>
      </c>
      <c r="J1930" s="36"/>
      <c r="K1930" s="36" t="s">
        <v>14330</v>
      </c>
      <c r="L1930" s="36" t="s">
        <v>14330</v>
      </c>
      <c r="M1930">
        <v>3</v>
      </c>
      <c r="N1930" t="s">
        <v>14331</v>
      </c>
      <c r="O1930" t="s">
        <v>32633</v>
      </c>
    </row>
    <row r="1931" spans="1:15" x14ac:dyDescent="0.25">
      <c r="A1931" s="35" t="s">
        <v>6862</v>
      </c>
      <c r="B1931" s="36" t="s">
        <v>6863</v>
      </c>
      <c r="C1931" s="36" t="str">
        <f>HYPERLINK("https://rhld.insurance.arkansas.gov/NPILookup?Npi=1790936045","1790936045")</f>
        <v>1790936045</v>
      </c>
      <c r="D1931" s="36" t="s">
        <v>34588</v>
      </c>
      <c r="E1931" s="36" t="s">
        <v>1</v>
      </c>
      <c r="F1931" s="36">
        <v>1</v>
      </c>
      <c r="G1931" s="36">
        <v>3</v>
      </c>
      <c r="H1931" s="36">
        <v>0</v>
      </c>
      <c r="I1931" s="37">
        <v>0</v>
      </c>
      <c r="J1931" s="36" t="s">
        <v>32654</v>
      </c>
      <c r="K1931" s="36" t="s">
        <v>14330</v>
      </c>
      <c r="L1931" s="36" t="s">
        <v>14330</v>
      </c>
      <c r="M1931">
        <v>2</v>
      </c>
      <c r="N1931" t="s">
        <v>14331</v>
      </c>
      <c r="O1931" t="s">
        <v>32633</v>
      </c>
    </row>
    <row r="1932" spans="1:15" x14ac:dyDescent="0.25">
      <c r="A1932" s="35" t="s">
        <v>6862</v>
      </c>
      <c r="B1932" s="36" t="s">
        <v>6863</v>
      </c>
      <c r="C1932" s="36" t="str">
        <f>HYPERLINK("https://rhld.insurance.arkansas.gov/NPILookup?Npi=1811679202","1811679202")</f>
        <v>1811679202</v>
      </c>
      <c r="D1932" s="36" t="s">
        <v>34589</v>
      </c>
      <c r="E1932" s="36" t="s">
        <v>2</v>
      </c>
      <c r="F1932" s="36">
        <v>1</v>
      </c>
      <c r="G1932" s="36">
        <v>2</v>
      </c>
      <c r="H1932" s="36">
        <v>0</v>
      </c>
      <c r="I1932" s="37">
        <v>0</v>
      </c>
      <c r="J1932" s="36"/>
      <c r="K1932" s="36" t="s">
        <v>14330</v>
      </c>
      <c r="L1932" s="36" t="s">
        <v>14330</v>
      </c>
      <c r="M1932">
        <v>1</v>
      </c>
      <c r="N1932" t="s">
        <v>14331</v>
      </c>
      <c r="O1932" t="s">
        <v>14333</v>
      </c>
    </row>
    <row r="1933" spans="1:15" x14ac:dyDescent="0.25">
      <c r="A1933" s="35" t="s">
        <v>6862</v>
      </c>
      <c r="B1933" s="36" t="s">
        <v>6863</v>
      </c>
      <c r="C1933" s="36" t="str">
        <f>HYPERLINK("https://rhld.insurance.arkansas.gov/NPILookup?Npi=1811714082","1811714082")</f>
        <v>1811714082</v>
      </c>
      <c r="D1933" s="36" t="s">
        <v>34590</v>
      </c>
      <c r="E1933" s="36" t="s">
        <v>2</v>
      </c>
      <c r="F1933" s="36">
        <v>1</v>
      </c>
      <c r="G1933" s="36">
        <v>1</v>
      </c>
      <c r="H1933" s="36">
        <v>0</v>
      </c>
      <c r="I1933" s="37">
        <v>0</v>
      </c>
      <c r="J1933" s="36"/>
      <c r="K1933" s="36" t="s">
        <v>14330</v>
      </c>
      <c r="L1933" s="36" t="s">
        <v>14330</v>
      </c>
      <c r="M1933">
        <v>1</v>
      </c>
      <c r="N1933" t="s">
        <v>14331</v>
      </c>
      <c r="O1933" t="s">
        <v>32633</v>
      </c>
    </row>
    <row r="1934" spans="1:15" x14ac:dyDescent="0.25">
      <c r="A1934" s="35" t="s">
        <v>6862</v>
      </c>
      <c r="B1934" s="36" t="s">
        <v>6863</v>
      </c>
      <c r="C1934" s="36" t="str">
        <f>HYPERLINK("https://rhld.insurance.arkansas.gov/NPILookup?Npi=1821805292","1821805292")</f>
        <v>1821805292</v>
      </c>
      <c r="D1934" s="36" t="s">
        <v>34591</v>
      </c>
      <c r="E1934" s="36" t="s">
        <v>2</v>
      </c>
      <c r="F1934" s="36">
        <v>1</v>
      </c>
      <c r="G1934" s="36">
        <v>1</v>
      </c>
      <c r="H1934" s="36">
        <v>0</v>
      </c>
      <c r="I1934" s="37">
        <v>0</v>
      </c>
      <c r="J1934" s="36"/>
      <c r="K1934" s="36" t="s">
        <v>14330</v>
      </c>
      <c r="L1934" s="36" t="s">
        <v>14330</v>
      </c>
      <c r="M1934">
        <v>1</v>
      </c>
      <c r="N1934" t="s">
        <v>14331</v>
      </c>
      <c r="O1934" t="s">
        <v>32633</v>
      </c>
    </row>
    <row r="1935" spans="1:15" x14ac:dyDescent="0.25">
      <c r="A1935" s="35" t="s">
        <v>6862</v>
      </c>
      <c r="B1935" s="36" t="s">
        <v>6863</v>
      </c>
      <c r="C1935" s="36" t="str">
        <f>HYPERLINK("https://rhld.insurance.arkansas.gov/NPILookup?Npi=1821811878","1821811878")</f>
        <v>1821811878</v>
      </c>
      <c r="D1935" s="36" t="s">
        <v>34592</v>
      </c>
      <c r="E1935" s="36" t="s">
        <v>2</v>
      </c>
      <c r="F1935" s="36">
        <v>1</v>
      </c>
      <c r="G1935" s="36">
        <v>1</v>
      </c>
      <c r="H1935" s="36">
        <v>0</v>
      </c>
      <c r="I1935" s="37">
        <v>0</v>
      </c>
      <c r="J1935" s="36"/>
      <c r="K1935" s="36" t="s">
        <v>14330</v>
      </c>
      <c r="L1935" s="36" t="s">
        <v>14330</v>
      </c>
      <c r="M1935">
        <v>1</v>
      </c>
      <c r="N1935" t="s">
        <v>14331</v>
      </c>
      <c r="O1935" t="s">
        <v>32633</v>
      </c>
    </row>
    <row r="1936" spans="1:15" x14ac:dyDescent="0.25">
      <c r="A1936" s="35" t="s">
        <v>6862</v>
      </c>
      <c r="B1936" s="36" t="s">
        <v>6863</v>
      </c>
      <c r="C1936" s="36" t="str">
        <f>HYPERLINK("https://rhld.insurance.arkansas.gov/NPILookup?Npi=1851010102","1851010102")</f>
        <v>1851010102</v>
      </c>
      <c r="D1936" s="36" t="s">
        <v>34593</v>
      </c>
      <c r="E1936" s="36" t="s">
        <v>1</v>
      </c>
      <c r="F1936" s="36">
        <v>1</v>
      </c>
      <c r="G1936" s="36">
        <v>1</v>
      </c>
      <c r="H1936" s="36">
        <v>0</v>
      </c>
      <c r="I1936" s="37">
        <v>0</v>
      </c>
      <c r="J1936" s="36" t="s">
        <v>32654</v>
      </c>
      <c r="K1936" s="36" t="s">
        <v>14330</v>
      </c>
      <c r="L1936" s="36" t="s">
        <v>14330</v>
      </c>
      <c r="M1936">
        <v>2</v>
      </c>
      <c r="N1936" t="s">
        <v>14331</v>
      </c>
      <c r="O1936" t="s">
        <v>32633</v>
      </c>
    </row>
    <row r="1937" spans="1:15" x14ac:dyDescent="0.25">
      <c r="A1937" s="35" t="s">
        <v>6862</v>
      </c>
      <c r="B1937" s="36" t="s">
        <v>6863</v>
      </c>
      <c r="C1937" s="36" t="str">
        <f>HYPERLINK("https://rhld.insurance.arkansas.gov/NPILookup?Npi=1851721690","1851721690")</f>
        <v>1851721690</v>
      </c>
      <c r="D1937" s="36" t="s">
        <v>34594</v>
      </c>
      <c r="E1937" s="36" t="s">
        <v>2</v>
      </c>
      <c r="F1937" s="36">
        <v>1</v>
      </c>
      <c r="G1937" s="36">
        <v>2</v>
      </c>
      <c r="H1937" s="36">
        <v>0</v>
      </c>
      <c r="I1937" s="37">
        <v>0</v>
      </c>
      <c r="J1937" s="36"/>
      <c r="K1937" s="36" t="s">
        <v>14330</v>
      </c>
      <c r="L1937" s="36" t="s">
        <v>14330</v>
      </c>
      <c r="M1937">
        <v>1</v>
      </c>
      <c r="N1937" t="s">
        <v>14331</v>
      </c>
      <c r="O1937" t="s">
        <v>14333</v>
      </c>
    </row>
    <row r="1938" spans="1:15" x14ac:dyDescent="0.25">
      <c r="A1938" s="35" t="s">
        <v>6862</v>
      </c>
      <c r="B1938" s="36" t="s">
        <v>6863</v>
      </c>
      <c r="C1938" s="36" t="str">
        <f>HYPERLINK("https://rhld.insurance.arkansas.gov/NPILookup?Npi=1871047837","1871047837")</f>
        <v>1871047837</v>
      </c>
      <c r="D1938" s="36" t="s">
        <v>34595</v>
      </c>
      <c r="E1938" s="36" t="s">
        <v>2</v>
      </c>
      <c r="F1938" s="36">
        <v>1</v>
      </c>
      <c r="G1938" s="36">
        <v>1</v>
      </c>
      <c r="H1938" s="36">
        <v>0</v>
      </c>
      <c r="I1938" s="37">
        <v>0</v>
      </c>
      <c r="J1938" s="36"/>
      <c r="K1938" s="36" t="s">
        <v>14330</v>
      </c>
      <c r="L1938" s="36" t="s">
        <v>14330</v>
      </c>
      <c r="M1938">
        <v>1</v>
      </c>
      <c r="N1938" t="s">
        <v>14331</v>
      </c>
      <c r="O1938" t="s">
        <v>32633</v>
      </c>
    </row>
    <row r="1939" spans="1:15" x14ac:dyDescent="0.25">
      <c r="A1939" s="35" t="s">
        <v>6862</v>
      </c>
      <c r="B1939" s="36" t="s">
        <v>6863</v>
      </c>
      <c r="C1939" s="36" t="str">
        <f>HYPERLINK("https://rhld.insurance.arkansas.gov/NPILookup?Npi=1881483196","1881483196")</f>
        <v>1881483196</v>
      </c>
      <c r="D1939" s="36" t="s">
        <v>34596</v>
      </c>
      <c r="E1939" s="36" t="s">
        <v>2</v>
      </c>
      <c r="F1939" s="36">
        <v>1</v>
      </c>
      <c r="G1939" s="36">
        <v>1</v>
      </c>
      <c r="H1939" s="36">
        <v>0</v>
      </c>
      <c r="I1939" s="37">
        <v>0</v>
      </c>
      <c r="J1939" s="36"/>
      <c r="K1939" s="36" t="s">
        <v>14330</v>
      </c>
      <c r="L1939" s="36" t="s">
        <v>14330</v>
      </c>
      <c r="M1939">
        <v>1</v>
      </c>
      <c r="N1939" t="s">
        <v>14331</v>
      </c>
      <c r="O1939" t="s">
        <v>32633</v>
      </c>
    </row>
    <row r="1940" spans="1:15" x14ac:dyDescent="0.25">
      <c r="A1940" s="35" t="s">
        <v>6862</v>
      </c>
      <c r="B1940" s="36" t="s">
        <v>6863</v>
      </c>
      <c r="C1940" s="36" t="str">
        <f>HYPERLINK("https://rhld.insurance.arkansas.gov/NPILookup?Npi=1891586418","1891586418")</f>
        <v>1891586418</v>
      </c>
      <c r="D1940" s="36" t="s">
        <v>34597</v>
      </c>
      <c r="E1940" s="36" t="s">
        <v>2</v>
      </c>
      <c r="F1940" s="36">
        <v>1</v>
      </c>
      <c r="G1940" s="36">
        <v>1</v>
      </c>
      <c r="H1940" s="36">
        <v>0</v>
      </c>
      <c r="I1940" s="37">
        <v>0</v>
      </c>
      <c r="J1940" s="36"/>
      <c r="K1940" s="36" t="s">
        <v>14330</v>
      </c>
      <c r="L1940" s="36" t="s">
        <v>14330</v>
      </c>
      <c r="M1940">
        <v>1</v>
      </c>
      <c r="N1940" t="s">
        <v>14331</v>
      </c>
      <c r="O1940" t="s">
        <v>32633</v>
      </c>
    </row>
    <row r="1941" spans="1:15" x14ac:dyDescent="0.25">
      <c r="A1941" s="35" t="s">
        <v>6862</v>
      </c>
      <c r="B1941" s="36" t="s">
        <v>6863</v>
      </c>
      <c r="C1941" s="36" t="str">
        <f>HYPERLINK("https://rhld.insurance.arkansas.gov/NPILookup?Npi=1912921909","1912921909")</f>
        <v>1912921909</v>
      </c>
      <c r="D1941" s="36" t="s">
        <v>34598</v>
      </c>
      <c r="E1941" s="36" t="s">
        <v>2</v>
      </c>
      <c r="F1941" s="36">
        <v>1</v>
      </c>
      <c r="G1941" s="36">
        <v>1</v>
      </c>
      <c r="H1941" s="36">
        <v>0</v>
      </c>
      <c r="I1941" s="37">
        <v>0</v>
      </c>
      <c r="J1941" s="36"/>
      <c r="K1941" s="36" t="s">
        <v>14330</v>
      </c>
      <c r="L1941" s="36" t="s">
        <v>14330</v>
      </c>
      <c r="M1941">
        <v>3</v>
      </c>
      <c r="N1941" t="s">
        <v>14331</v>
      </c>
      <c r="O1941" t="s">
        <v>32633</v>
      </c>
    </row>
    <row r="1942" spans="1:15" x14ac:dyDescent="0.25">
      <c r="A1942" s="35" t="s">
        <v>6862</v>
      </c>
      <c r="B1942" s="36" t="s">
        <v>6863</v>
      </c>
      <c r="C1942" s="36" t="str">
        <f>HYPERLINK("https://rhld.insurance.arkansas.gov/NPILookup?Npi=1932893690","1932893690")</f>
        <v>1932893690</v>
      </c>
      <c r="D1942" s="36" t="s">
        <v>34599</v>
      </c>
      <c r="E1942" s="36" t="s">
        <v>1</v>
      </c>
      <c r="F1942" s="36">
        <v>1</v>
      </c>
      <c r="G1942" s="36">
        <v>3</v>
      </c>
      <c r="H1942" s="36">
        <v>0</v>
      </c>
      <c r="I1942" s="37">
        <v>0</v>
      </c>
      <c r="J1942" s="36" t="s">
        <v>32654</v>
      </c>
      <c r="K1942" s="36" t="s">
        <v>14330</v>
      </c>
      <c r="L1942" s="36" t="s">
        <v>14330</v>
      </c>
      <c r="M1942">
        <v>2</v>
      </c>
      <c r="N1942" t="s">
        <v>14331</v>
      </c>
      <c r="O1942" t="s">
        <v>32633</v>
      </c>
    </row>
    <row r="1943" spans="1:15" x14ac:dyDescent="0.25">
      <c r="A1943" s="35" t="s">
        <v>6862</v>
      </c>
      <c r="B1943" s="36" t="s">
        <v>6863</v>
      </c>
      <c r="C1943" s="36" t="str">
        <f>HYPERLINK("https://rhld.insurance.arkansas.gov/NPILookup?Npi=1942864582","1942864582")</f>
        <v>1942864582</v>
      </c>
      <c r="D1943" s="36" t="s">
        <v>34600</v>
      </c>
      <c r="E1943" s="36" t="s">
        <v>2</v>
      </c>
      <c r="F1943" s="36">
        <v>1</v>
      </c>
      <c r="G1943" s="36">
        <v>2</v>
      </c>
      <c r="H1943" s="36">
        <v>0</v>
      </c>
      <c r="I1943" s="37">
        <v>0</v>
      </c>
      <c r="J1943" s="36"/>
      <c r="K1943" s="36" t="s">
        <v>14330</v>
      </c>
      <c r="L1943" s="36" t="s">
        <v>14330</v>
      </c>
      <c r="M1943">
        <v>1</v>
      </c>
      <c r="N1943" t="s">
        <v>14331</v>
      </c>
      <c r="O1943" t="s">
        <v>14333</v>
      </c>
    </row>
    <row r="1944" spans="1:15" x14ac:dyDescent="0.25">
      <c r="A1944" s="35" t="s">
        <v>6862</v>
      </c>
      <c r="B1944" s="36" t="s">
        <v>6863</v>
      </c>
      <c r="C1944" s="36" t="str">
        <f>HYPERLINK("https://rhld.insurance.arkansas.gov/NPILookup?Npi=1962184028","1962184028")</f>
        <v>1962184028</v>
      </c>
      <c r="D1944" s="36" t="s">
        <v>34601</v>
      </c>
      <c r="E1944" s="36" t="s">
        <v>2</v>
      </c>
      <c r="F1944" s="36">
        <v>1</v>
      </c>
      <c r="G1944" s="36">
        <v>1</v>
      </c>
      <c r="H1944" s="36">
        <v>0</v>
      </c>
      <c r="I1944" s="37">
        <v>0</v>
      </c>
      <c r="J1944" s="36"/>
      <c r="K1944" s="36" t="s">
        <v>14330</v>
      </c>
      <c r="L1944" s="36" t="s">
        <v>14330</v>
      </c>
      <c r="M1944">
        <v>2</v>
      </c>
      <c r="N1944" t="s">
        <v>14331</v>
      </c>
      <c r="O1944" t="s">
        <v>32633</v>
      </c>
    </row>
    <row r="1945" spans="1:15" x14ac:dyDescent="0.25">
      <c r="A1945" s="35" t="s">
        <v>6862</v>
      </c>
      <c r="B1945" s="36" t="s">
        <v>6863</v>
      </c>
      <c r="C1945" s="36" t="str">
        <f>HYPERLINK("https://rhld.insurance.arkansas.gov/NPILookup?Npi=1972230381","1972230381")</f>
        <v>1972230381</v>
      </c>
      <c r="D1945" s="36" t="s">
        <v>34602</v>
      </c>
      <c r="E1945" s="36" t="s">
        <v>1</v>
      </c>
      <c r="F1945" s="36">
        <v>1</v>
      </c>
      <c r="G1945" s="36">
        <v>2</v>
      </c>
      <c r="H1945" s="36">
        <v>0</v>
      </c>
      <c r="I1945" s="37">
        <v>0</v>
      </c>
      <c r="J1945" s="36" t="s">
        <v>32654</v>
      </c>
      <c r="K1945" s="36" t="s">
        <v>14330</v>
      </c>
      <c r="L1945" s="36" t="s">
        <v>14330</v>
      </c>
      <c r="M1945">
        <v>2</v>
      </c>
      <c r="N1945" t="s">
        <v>14331</v>
      </c>
      <c r="O1945" t="s">
        <v>32633</v>
      </c>
    </row>
    <row r="1946" spans="1:15" x14ac:dyDescent="0.25">
      <c r="A1946" s="35" t="s">
        <v>6862</v>
      </c>
      <c r="B1946" s="36" t="s">
        <v>6863</v>
      </c>
      <c r="C1946" s="36" t="str">
        <f>HYPERLINK("https://rhld.insurance.arkansas.gov/NPILookup?Npi=1982041182","1982041182")</f>
        <v>1982041182</v>
      </c>
      <c r="D1946" s="36" t="s">
        <v>34603</v>
      </c>
      <c r="E1946" s="36" t="s">
        <v>1</v>
      </c>
      <c r="F1946" s="36">
        <v>1</v>
      </c>
      <c r="G1946" s="36">
        <v>2</v>
      </c>
      <c r="H1946" s="36">
        <v>0</v>
      </c>
      <c r="I1946" s="37">
        <v>0</v>
      </c>
      <c r="J1946" s="36" t="s">
        <v>32654</v>
      </c>
      <c r="K1946" s="36" t="s">
        <v>14330</v>
      </c>
      <c r="L1946" s="36" t="s">
        <v>14330</v>
      </c>
      <c r="M1946">
        <v>1</v>
      </c>
      <c r="N1946" t="s">
        <v>14331</v>
      </c>
      <c r="O1946" t="s">
        <v>32633</v>
      </c>
    </row>
    <row r="1947" spans="1:15" x14ac:dyDescent="0.25">
      <c r="A1947" s="35" t="s">
        <v>7277</v>
      </c>
      <c r="B1947" s="36" t="s">
        <v>7278</v>
      </c>
      <c r="C1947" s="36" t="str">
        <f>HYPERLINK("https://rhld.insurance.arkansas.gov/NPILookup?Npi=1003430026","1003430026")</f>
        <v>1003430026</v>
      </c>
      <c r="D1947" s="36" t="s">
        <v>34604</v>
      </c>
      <c r="E1947" s="36" t="s">
        <v>2</v>
      </c>
      <c r="F1947" s="36">
        <v>1</v>
      </c>
      <c r="G1947" s="36">
        <v>1</v>
      </c>
      <c r="H1947" s="36">
        <v>0</v>
      </c>
      <c r="I1947" s="37">
        <v>0</v>
      </c>
      <c r="J1947" s="36" t="s">
        <v>32679</v>
      </c>
      <c r="K1947" s="36" t="s">
        <v>14330</v>
      </c>
      <c r="L1947" s="36" t="s">
        <v>14330</v>
      </c>
      <c r="M1947">
        <v>3</v>
      </c>
      <c r="N1947" t="s">
        <v>14332</v>
      </c>
      <c r="O1947" t="s">
        <v>32931</v>
      </c>
    </row>
    <row r="1948" spans="1:15" x14ac:dyDescent="0.25">
      <c r="A1948" s="35" t="s">
        <v>7277</v>
      </c>
      <c r="B1948" s="36" t="s">
        <v>7278</v>
      </c>
      <c r="C1948" s="36" t="str">
        <f>HYPERLINK("https://rhld.insurance.arkansas.gov/NPILookup?Npi=1003812462","1003812462")</f>
        <v>1003812462</v>
      </c>
      <c r="D1948" s="36" t="s">
        <v>34605</v>
      </c>
      <c r="E1948" s="36" t="s">
        <v>1</v>
      </c>
      <c r="F1948" s="36">
        <v>1</v>
      </c>
      <c r="G1948" s="36">
        <v>3</v>
      </c>
      <c r="H1948" s="36">
        <v>0</v>
      </c>
      <c r="I1948" s="37">
        <v>0</v>
      </c>
      <c r="J1948" s="36" t="s">
        <v>32654</v>
      </c>
      <c r="K1948" s="36" t="s">
        <v>14330</v>
      </c>
      <c r="L1948" s="36" t="s">
        <v>14330</v>
      </c>
      <c r="M1948">
        <v>2</v>
      </c>
      <c r="N1948" t="s">
        <v>14331</v>
      </c>
      <c r="O1948" t="s">
        <v>32633</v>
      </c>
    </row>
    <row r="1949" spans="1:15" x14ac:dyDescent="0.25">
      <c r="A1949" s="35" t="s">
        <v>7277</v>
      </c>
      <c r="B1949" s="36" t="s">
        <v>7278</v>
      </c>
      <c r="C1949" s="36" t="str">
        <f>HYPERLINK("https://rhld.insurance.arkansas.gov/NPILookup?Npi=1013952365","1013952365")</f>
        <v>1013952365</v>
      </c>
      <c r="D1949" s="36" t="s">
        <v>34606</v>
      </c>
      <c r="E1949" s="36" t="s">
        <v>2</v>
      </c>
      <c r="F1949" s="36">
        <v>1</v>
      </c>
      <c r="G1949" s="36">
        <v>2</v>
      </c>
      <c r="H1949" s="36">
        <v>0</v>
      </c>
      <c r="I1949" s="37">
        <v>0</v>
      </c>
      <c r="J1949" s="36" t="s">
        <v>32679</v>
      </c>
      <c r="K1949" s="36" t="s">
        <v>14330</v>
      </c>
      <c r="L1949" s="36" t="s">
        <v>14330</v>
      </c>
      <c r="M1949">
        <v>1</v>
      </c>
      <c r="N1949" t="s">
        <v>14331</v>
      </c>
      <c r="O1949" t="s">
        <v>14333</v>
      </c>
    </row>
    <row r="1950" spans="1:15" x14ac:dyDescent="0.25">
      <c r="A1950" s="35" t="s">
        <v>7277</v>
      </c>
      <c r="B1950" s="36" t="s">
        <v>7278</v>
      </c>
      <c r="C1950" s="36" t="str">
        <f>HYPERLINK("https://rhld.insurance.arkansas.gov/NPILookup?Npi=1043455561","1043455561")</f>
        <v>1043455561</v>
      </c>
      <c r="D1950" s="36" t="s">
        <v>34607</v>
      </c>
      <c r="E1950" s="36" t="s">
        <v>2</v>
      </c>
      <c r="F1950" s="36">
        <v>1</v>
      </c>
      <c r="G1950" s="36">
        <v>1</v>
      </c>
      <c r="H1950" s="36">
        <v>0</v>
      </c>
      <c r="I1950" s="37">
        <v>0</v>
      </c>
      <c r="J1950" s="36" t="s">
        <v>32679</v>
      </c>
      <c r="K1950" s="36" t="s">
        <v>14330</v>
      </c>
      <c r="L1950" s="36" t="s">
        <v>14330</v>
      </c>
      <c r="M1950">
        <v>0</v>
      </c>
      <c r="N1950" t="s">
        <v>14332</v>
      </c>
      <c r="O1950" t="s">
        <v>32931</v>
      </c>
    </row>
    <row r="1951" spans="1:15" x14ac:dyDescent="0.25">
      <c r="A1951" s="35" t="s">
        <v>7277</v>
      </c>
      <c r="B1951" s="36" t="s">
        <v>7278</v>
      </c>
      <c r="C1951" s="36" t="str">
        <f>HYPERLINK("https://rhld.insurance.arkansas.gov/NPILookup?Npi=1043787070","1043787070")</f>
        <v>1043787070</v>
      </c>
      <c r="D1951" s="36" t="s">
        <v>34608</v>
      </c>
      <c r="E1951" s="36" t="s">
        <v>2</v>
      </c>
      <c r="F1951" s="36">
        <v>1</v>
      </c>
      <c r="G1951" s="36">
        <v>0</v>
      </c>
      <c r="H1951" s="36">
        <v>0</v>
      </c>
      <c r="I1951" s="37">
        <v>0</v>
      </c>
      <c r="J1951" s="36" t="s">
        <v>32679</v>
      </c>
      <c r="K1951" s="36" t="s">
        <v>14330</v>
      </c>
      <c r="L1951" s="36" t="s">
        <v>14330</v>
      </c>
      <c r="M1951">
        <v>1</v>
      </c>
      <c r="N1951" t="s">
        <v>14332</v>
      </c>
      <c r="O1951" t="s">
        <v>32931</v>
      </c>
    </row>
    <row r="1952" spans="1:15" x14ac:dyDescent="0.25">
      <c r="A1952" s="35" t="s">
        <v>7277</v>
      </c>
      <c r="B1952" s="36" t="s">
        <v>7278</v>
      </c>
      <c r="C1952" s="36" t="str">
        <f>HYPERLINK("https://rhld.insurance.arkansas.gov/NPILookup?Npi=1093573032","1093573032")</f>
        <v>1093573032</v>
      </c>
      <c r="D1952" s="36" t="s">
        <v>34609</v>
      </c>
      <c r="E1952" s="36" t="s">
        <v>2</v>
      </c>
      <c r="F1952" s="36">
        <v>1</v>
      </c>
      <c r="G1952" s="36">
        <v>1</v>
      </c>
      <c r="H1952" s="36">
        <v>0</v>
      </c>
      <c r="I1952" s="37">
        <v>0</v>
      </c>
      <c r="J1952" s="36" t="s">
        <v>32679</v>
      </c>
      <c r="K1952" s="36" t="s">
        <v>14330</v>
      </c>
      <c r="L1952" s="36" t="s">
        <v>14330</v>
      </c>
      <c r="M1952">
        <v>1</v>
      </c>
      <c r="N1952" t="s">
        <v>14332</v>
      </c>
      <c r="O1952" t="s">
        <v>32931</v>
      </c>
    </row>
    <row r="1953" spans="1:15" x14ac:dyDescent="0.25">
      <c r="A1953" s="35" t="s">
        <v>7277</v>
      </c>
      <c r="B1953" s="36" t="s">
        <v>7278</v>
      </c>
      <c r="C1953" s="36" t="str">
        <f>HYPERLINK("https://rhld.insurance.arkansas.gov/NPILookup?Npi=1104811157","1104811157")</f>
        <v>1104811157</v>
      </c>
      <c r="D1953" s="36" t="s">
        <v>34610</v>
      </c>
      <c r="E1953" s="36" t="s">
        <v>2</v>
      </c>
      <c r="F1953" s="36">
        <v>1</v>
      </c>
      <c r="G1953" s="36">
        <v>1</v>
      </c>
      <c r="H1953" s="36">
        <v>0</v>
      </c>
      <c r="I1953" s="37">
        <v>0</v>
      </c>
      <c r="J1953" s="36" t="s">
        <v>32679</v>
      </c>
      <c r="K1953" s="36" t="s">
        <v>14330</v>
      </c>
      <c r="L1953" s="36" t="s">
        <v>14330</v>
      </c>
      <c r="M1953">
        <v>2</v>
      </c>
      <c r="N1953" t="s">
        <v>14332</v>
      </c>
      <c r="O1953" t="s">
        <v>32931</v>
      </c>
    </row>
    <row r="1954" spans="1:15" x14ac:dyDescent="0.25">
      <c r="A1954" s="35" t="s">
        <v>7277</v>
      </c>
      <c r="B1954" s="36" t="s">
        <v>7278</v>
      </c>
      <c r="C1954" s="36" t="str">
        <f>HYPERLINK("https://rhld.insurance.arkansas.gov/NPILookup?Npi=1114989233","1114989233")</f>
        <v>1114989233</v>
      </c>
      <c r="D1954" s="36" t="s">
        <v>34611</v>
      </c>
      <c r="E1954" s="36" t="s">
        <v>2</v>
      </c>
      <c r="F1954" s="36">
        <v>1</v>
      </c>
      <c r="G1954" s="36">
        <v>2</v>
      </c>
      <c r="H1954" s="36">
        <v>0</v>
      </c>
      <c r="I1954" s="37">
        <v>0</v>
      </c>
      <c r="J1954" s="36" t="s">
        <v>32679</v>
      </c>
      <c r="K1954" s="36" t="s">
        <v>14330</v>
      </c>
      <c r="L1954" s="36" t="s">
        <v>14330</v>
      </c>
      <c r="M1954">
        <v>2</v>
      </c>
      <c r="N1954" t="s">
        <v>14331</v>
      </c>
      <c r="O1954" t="s">
        <v>14333</v>
      </c>
    </row>
    <row r="1955" spans="1:15" x14ac:dyDescent="0.25">
      <c r="A1955" s="35" t="s">
        <v>7277</v>
      </c>
      <c r="B1955" s="36" t="s">
        <v>7278</v>
      </c>
      <c r="C1955" s="36" t="str">
        <f>HYPERLINK("https://rhld.insurance.arkansas.gov/NPILookup?Npi=1124012000","1124012000")</f>
        <v>1124012000</v>
      </c>
      <c r="D1955" s="36" t="s">
        <v>34612</v>
      </c>
      <c r="E1955" s="36" t="s">
        <v>1</v>
      </c>
      <c r="F1955" s="36">
        <v>1</v>
      </c>
      <c r="G1955" s="36">
        <v>2</v>
      </c>
      <c r="H1955" s="36">
        <v>0</v>
      </c>
      <c r="I1955" s="37">
        <v>0</v>
      </c>
      <c r="J1955" s="36" t="s">
        <v>32654</v>
      </c>
      <c r="K1955" s="36" t="s">
        <v>14330</v>
      </c>
      <c r="L1955" s="36" t="s">
        <v>14330</v>
      </c>
      <c r="M1955">
        <v>1</v>
      </c>
      <c r="N1955" t="s">
        <v>14331</v>
      </c>
      <c r="O1955" t="s">
        <v>32633</v>
      </c>
    </row>
    <row r="1956" spans="1:15" x14ac:dyDescent="0.25">
      <c r="A1956" s="35" t="s">
        <v>7277</v>
      </c>
      <c r="B1956" s="36" t="s">
        <v>7278</v>
      </c>
      <c r="C1956" s="36" t="str">
        <f>HYPERLINK("https://rhld.insurance.arkansas.gov/NPILookup?Npi=1184003261","1184003261")</f>
        <v>1184003261</v>
      </c>
      <c r="D1956" s="36" t="s">
        <v>34613</v>
      </c>
      <c r="E1956" s="36" t="s">
        <v>2</v>
      </c>
      <c r="F1956" s="36">
        <v>1</v>
      </c>
      <c r="G1956" s="36">
        <v>1</v>
      </c>
      <c r="H1956" s="36">
        <v>0</v>
      </c>
      <c r="I1956" s="37">
        <v>0</v>
      </c>
      <c r="J1956" s="36" t="s">
        <v>32679</v>
      </c>
      <c r="K1956" s="36" t="s">
        <v>14330</v>
      </c>
      <c r="L1956" s="36" t="s">
        <v>14330</v>
      </c>
      <c r="M1956">
        <v>2</v>
      </c>
      <c r="N1956" t="s">
        <v>14332</v>
      </c>
      <c r="O1956" t="s">
        <v>32931</v>
      </c>
    </row>
    <row r="1957" spans="1:15" x14ac:dyDescent="0.25">
      <c r="A1957" s="35" t="s">
        <v>7277</v>
      </c>
      <c r="B1957" s="36" t="s">
        <v>7278</v>
      </c>
      <c r="C1957" s="36" t="str">
        <f>HYPERLINK("https://rhld.insurance.arkansas.gov/NPILookup?Npi=1235320417","1235320417")</f>
        <v>1235320417</v>
      </c>
      <c r="D1957" s="36" t="s">
        <v>34614</v>
      </c>
      <c r="E1957" s="36" t="s">
        <v>1</v>
      </c>
      <c r="F1957" s="36">
        <v>1</v>
      </c>
      <c r="G1957" s="36">
        <v>2</v>
      </c>
      <c r="H1957" s="36">
        <v>0</v>
      </c>
      <c r="I1957" s="37">
        <v>0</v>
      </c>
      <c r="J1957" s="36" t="s">
        <v>32654</v>
      </c>
      <c r="K1957" s="36" t="s">
        <v>14330</v>
      </c>
      <c r="L1957" s="36" t="s">
        <v>14330</v>
      </c>
      <c r="M1957">
        <v>1</v>
      </c>
      <c r="N1957" t="s">
        <v>14331</v>
      </c>
      <c r="O1957" t="s">
        <v>32633</v>
      </c>
    </row>
    <row r="1958" spans="1:15" x14ac:dyDescent="0.25">
      <c r="A1958" s="35" t="s">
        <v>7277</v>
      </c>
      <c r="B1958" s="36" t="s">
        <v>7278</v>
      </c>
      <c r="C1958" s="36" t="str">
        <f>HYPERLINK("https://rhld.insurance.arkansas.gov/NPILookup?Npi=1245621093","1245621093")</f>
        <v>1245621093</v>
      </c>
      <c r="D1958" s="36" t="s">
        <v>34615</v>
      </c>
      <c r="E1958" s="36" t="s">
        <v>2</v>
      </c>
      <c r="F1958" s="36">
        <v>1</v>
      </c>
      <c r="G1958" s="36">
        <v>1</v>
      </c>
      <c r="H1958" s="36">
        <v>0</v>
      </c>
      <c r="I1958" s="37">
        <v>0</v>
      </c>
      <c r="J1958" s="36" t="s">
        <v>32679</v>
      </c>
      <c r="K1958" s="36" t="s">
        <v>14330</v>
      </c>
      <c r="L1958" s="36" t="s">
        <v>14330</v>
      </c>
      <c r="M1958">
        <v>3</v>
      </c>
      <c r="N1958" t="s">
        <v>14332</v>
      </c>
      <c r="O1958" t="s">
        <v>32931</v>
      </c>
    </row>
    <row r="1959" spans="1:15" x14ac:dyDescent="0.25">
      <c r="A1959" s="35" t="s">
        <v>7277</v>
      </c>
      <c r="B1959" s="36" t="s">
        <v>7278</v>
      </c>
      <c r="C1959" s="36" t="str">
        <f>HYPERLINK("https://rhld.insurance.arkansas.gov/NPILookup?Npi=1306804273","1306804273")</f>
        <v>1306804273</v>
      </c>
      <c r="D1959" s="36" t="s">
        <v>34616</v>
      </c>
      <c r="E1959" s="36" t="s">
        <v>1</v>
      </c>
      <c r="F1959" s="36">
        <v>1</v>
      </c>
      <c r="G1959" s="36">
        <v>3</v>
      </c>
      <c r="H1959" s="36">
        <v>0</v>
      </c>
      <c r="I1959" s="37">
        <v>0</v>
      </c>
      <c r="J1959" s="36" t="s">
        <v>32654</v>
      </c>
      <c r="K1959" s="36" t="s">
        <v>14330</v>
      </c>
      <c r="L1959" s="36" t="s">
        <v>14330</v>
      </c>
      <c r="M1959">
        <v>1</v>
      </c>
      <c r="N1959" t="s">
        <v>14331</v>
      </c>
      <c r="O1959" t="s">
        <v>32633</v>
      </c>
    </row>
    <row r="1960" spans="1:15" x14ac:dyDescent="0.25">
      <c r="A1960" s="35" t="s">
        <v>7277</v>
      </c>
      <c r="B1960" s="36" t="s">
        <v>7278</v>
      </c>
      <c r="C1960" s="36" t="str">
        <f>HYPERLINK("https://rhld.insurance.arkansas.gov/NPILookup?Npi=1306830575","1306830575")</f>
        <v>1306830575</v>
      </c>
      <c r="D1960" s="36" t="s">
        <v>34617</v>
      </c>
      <c r="E1960" s="36" t="s">
        <v>2</v>
      </c>
      <c r="F1960" s="36">
        <v>1</v>
      </c>
      <c r="G1960" s="36">
        <v>1</v>
      </c>
      <c r="H1960" s="36">
        <v>0</v>
      </c>
      <c r="I1960" s="37">
        <v>0</v>
      </c>
      <c r="J1960" s="36" t="s">
        <v>32679</v>
      </c>
      <c r="K1960" s="36" t="s">
        <v>14330</v>
      </c>
      <c r="L1960" s="36" t="s">
        <v>14330</v>
      </c>
      <c r="M1960">
        <v>4</v>
      </c>
      <c r="N1960" t="s">
        <v>14332</v>
      </c>
      <c r="O1960" t="s">
        <v>32931</v>
      </c>
    </row>
    <row r="1961" spans="1:15" x14ac:dyDescent="0.25">
      <c r="A1961" s="35" t="s">
        <v>7277</v>
      </c>
      <c r="B1961" s="36" t="s">
        <v>7278</v>
      </c>
      <c r="C1961" s="36" t="str">
        <f>HYPERLINK("https://rhld.insurance.arkansas.gov/NPILookup?Npi=1306855754","1306855754")</f>
        <v>1306855754</v>
      </c>
      <c r="D1961" s="36" t="s">
        <v>34618</v>
      </c>
      <c r="E1961" s="36" t="s">
        <v>1</v>
      </c>
      <c r="F1961" s="36">
        <v>2</v>
      </c>
      <c r="G1961" s="36">
        <v>4</v>
      </c>
      <c r="H1961" s="36">
        <v>0</v>
      </c>
      <c r="I1961" s="37">
        <v>0</v>
      </c>
      <c r="J1961" s="36" t="s">
        <v>34619</v>
      </c>
      <c r="K1961" s="36" t="s">
        <v>14330</v>
      </c>
      <c r="L1961" s="36" t="s">
        <v>14330</v>
      </c>
      <c r="M1961">
        <v>2</v>
      </c>
      <c r="N1961" t="s">
        <v>14331</v>
      </c>
      <c r="O1961" t="s">
        <v>32633</v>
      </c>
    </row>
    <row r="1962" spans="1:15" x14ac:dyDescent="0.25">
      <c r="A1962" s="35" t="s">
        <v>7277</v>
      </c>
      <c r="B1962" s="36" t="s">
        <v>7278</v>
      </c>
      <c r="C1962" s="36" t="str">
        <f>HYPERLINK("https://rhld.insurance.arkansas.gov/NPILookup?Npi=1326345323","1326345323")</f>
        <v>1326345323</v>
      </c>
      <c r="D1962" s="36" t="s">
        <v>34620</v>
      </c>
      <c r="E1962" s="36" t="s">
        <v>1</v>
      </c>
      <c r="F1962" s="36">
        <v>1</v>
      </c>
      <c r="G1962" s="36">
        <v>2</v>
      </c>
      <c r="H1962" s="36">
        <v>0</v>
      </c>
      <c r="I1962" s="37">
        <v>0</v>
      </c>
      <c r="J1962" s="36" t="s">
        <v>32654</v>
      </c>
      <c r="K1962" s="36" t="s">
        <v>14330</v>
      </c>
      <c r="L1962" s="36" t="s">
        <v>14330</v>
      </c>
      <c r="M1962">
        <v>3</v>
      </c>
      <c r="N1962" t="s">
        <v>14331</v>
      </c>
      <c r="O1962" t="s">
        <v>32633</v>
      </c>
    </row>
    <row r="1963" spans="1:15" x14ac:dyDescent="0.25">
      <c r="A1963" s="35" t="s">
        <v>7277</v>
      </c>
      <c r="B1963" s="36" t="s">
        <v>7278</v>
      </c>
      <c r="C1963" s="36" t="str">
        <f>HYPERLINK("https://rhld.insurance.arkansas.gov/NPILookup?Npi=1336584630","1336584630")</f>
        <v>1336584630</v>
      </c>
      <c r="D1963" s="36" t="s">
        <v>34621</v>
      </c>
      <c r="E1963" s="36" t="s">
        <v>1</v>
      </c>
      <c r="F1963" s="36">
        <v>1</v>
      </c>
      <c r="G1963" s="36">
        <v>3</v>
      </c>
      <c r="H1963" s="36">
        <v>0</v>
      </c>
      <c r="I1963" s="37">
        <v>0</v>
      </c>
      <c r="J1963" s="36" t="s">
        <v>32654</v>
      </c>
      <c r="K1963" s="36" t="s">
        <v>14330</v>
      </c>
      <c r="L1963" s="36" t="s">
        <v>14330</v>
      </c>
      <c r="M1963">
        <v>4</v>
      </c>
      <c r="N1963" t="s">
        <v>14331</v>
      </c>
      <c r="O1963" t="s">
        <v>32633</v>
      </c>
    </row>
    <row r="1964" spans="1:15" x14ac:dyDescent="0.25">
      <c r="A1964" s="35" t="s">
        <v>7277</v>
      </c>
      <c r="B1964" s="36" t="s">
        <v>7278</v>
      </c>
      <c r="C1964" s="36" t="str">
        <f>HYPERLINK("https://rhld.insurance.arkansas.gov/NPILookup?Npi=1346203395","1346203395")</f>
        <v>1346203395</v>
      </c>
      <c r="D1964" s="36" t="s">
        <v>34622</v>
      </c>
      <c r="E1964" s="36" t="s">
        <v>1</v>
      </c>
      <c r="F1964" s="36">
        <v>2</v>
      </c>
      <c r="G1964" s="36">
        <v>4</v>
      </c>
      <c r="H1964" s="36">
        <v>0</v>
      </c>
      <c r="I1964" s="37">
        <v>0</v>
      </c>
      <c r="J1964" s="36" t="s">
        <v>34623</v>
      </c>
      <c r="K1964" s="36" t="s">
        <v>14330</v>
      </c>
      <c r="L1964" s="36" t="s">
        <v>14330</v>
      </c>
      <c r="M1964">
        <v>2</v>
      </c>
      <c r="N1964" t="s">
        <v>14331</v>
      </c>
      <c r="O1964" t="s">
        <v>32633</v>
      </c>
    </row>
    <row r="1965" spans="1:15" x14ac:dyDescent="0.25">
      <c r="A1965" s="35" t="s">
        <v>7277</v>
      </c>
      <c r="B1965" s="36" t="s">
        <v>7278</v>
      </c>
      <c r="C1965" s="36" t="str">
        <f>HYPERLINK("https://rhld.insurance.arkansas.gov/NPILookup?Npi=1356561344","1356561344")</f>
        <v>1356561344</v>
      </c>
      <c r="D1965" s="36" t="s">
        <v>34624</v>
      </c>
      <c r="E1965" s="36" t="s">
        <v>1</v>
      </c>
      <c r="F1965" s="36">
        <v>1</v>
      </c>
      <c r="G1965" s="36">
        <v>2</v>
      </c>
      <c r="H1965" s="36">
        <v>0</v>
      </c>
      <c r="I1965" s="37">
        <v>0</v>
      </c>
      <c r="J1965" s="36" t="s">
        <v>32654</v>
      </c>
      <c r="K1965" s="36" t="s">
        <v>14330</v>
      </c>
      <c r="L1965" s="36" t="s">
        <v>14330</v>
      </c>
      <c r="M1965">
        <v>4</v>
      </c>
      <c r="N1965" t="s">
        <v>14331</v>
      </c>
      <c r="O1965" t="s">
        <v>32633</v>
      </c>
    </row>
    <row r="1966" spans="1:15" x14ac:dyDescent="0.25">
      <c r="A1966" s="35" t="s">
        <v>7277</v>
      </c>
      <c r="B1966" s="36" t="s">
        <v>7278</v>
      </c>
      <c r="C1966" s="36" t="str">
        <f>HYPERLINK("https://rhld.insurance.arkansas.gov/NPILookup?Npi=1356701486","1356701486")</f>
        <v>1356701486</v>
      </c>
      <c r="D1966" s="36" t="s">
        <v>34625</v>
      </c>
      <c r="E1966" s="36" t="s">
        <v>1</v>
      </c>
      <c r="F1966" s="36">
        <v>2</v>
      </c>
      <c r="G1966" s="36">
        <v>4</v>
      </c>
      <c r="H1966" s="36">
        <v>0</v>
      </c>
      <c r="I1966" s="37">
        <v>0</v>
      </c>
      <c r="J1966" s="36" t="s">
        <v>34623</v>
      </c>
      <c r="K1966" s="36" t="s">
        <v>14330</v>
      </c>
      <c r="L1966" s="36" t="s">
        <v>14330</v>
      </c>
      <c r="M1966">
        <v>2</v>
      </c>
      <c r="N1966" t="s">
        <v>14331</v>
      </c>
      <c r="O1966" t="s">
        <v>32633</v>
      </c>
    </row>
    <row r="1967" spans="1:15" x14ac:dyDescent="0.25">
      <c r="A1967" s="35" t="s">
        <v>7277</v>
      </c>
      <c r="B1967" s="36" t="s">
        <v>7278</v>
      </c>
      <c r="C1967" s="36" t="str">
        <f>HYPERLINK("https://rhld.insurance.arkansas.gov/NPILookup?Npi=1376953737","1376953737")</f>
        <v>1376953737</v>
      </c>
      <c r="D1967" s="36" t="s">
        <v>34626</v>
      </c>
      <c r="E1967" s="36" t="s">
        <v>1</v>
      </c>
      <c r="F1967" s="36">
        <v>1</v>
      </c>
      <c r="G1967" s="36">
        <v>2</v>
      </c>
      <c r="H1967" s="36">
        <v>0</v>
      </c>
      <c r="I1967" s="37">
        <v>0</v>
      </c>
      <c r="J1967" s="36" t="s">
        <v>32654</v>
      </c>
      <c r="K1967" s="36" t="s">
        <v>14330</v>
      </c>
      <c r="L1967" s="36" t="s">
        <v>14330</v>
      </c>
      <c r="M1967">
        <v>1</v>
      </c>
      <c r="N1967" t="s">
        <v>14331</v>
      </c>
      <c r="O1967" t="s">
        <v>32633</v>
      </c>
    </row>
    <row r="1968" spans="1:15" x14ac:dyDescent="0.25">
      <c r="A1968" s="35" t="s">
        <v>7277</v>
      </c>
      <c r="B1968" s="36" t="s">
        <v>7278</v>
      </c>
      <c r="C1968" s="36" t="str">
        <f>HYPERLINK("https://rhld.insurance.arkansas.gov/NPILookup?Npi=1396272894","1396272894")</f>
        <v>1396272894</v>
      </c>
      <c r="D1968" s="36" t="s">
        <v>34627</v>
      </c>
      <c r="E1968" s="36" t="s">
        <v>2</v>
      </c>
      <c r="F1968" s="36">
        <v>1</v>
      </c>
      <c r="G1968" s="36">
        <v>1</v>
      </c>
      <c r="H1968" s="36">
        <v>0</v>
      </c>
      <c r="I1968" s="37">
        <v>0</v>
      </c>
      <c r="J1968" s="36" t="s">
        <v>32679</v>
      </c>
      <c r="K1968" s="36" t="s">
        <v>14330</v>
      </c>
      <c r="L1968" s="36" t="s">
        <v>14330</v>
      </c>
      <c r="M1968">
        <v>2</v>
      </c>
      <c r="N1968" t="s">
        <v>14332</v>
      </c>
      <c r="O1968" t="s">
        <v>32931</v>
      </c>
    </row>
    <row r="1969" spans="1:15" x14ac:dyDescent="0.25">
      <c r="A1969" s="35" t="s">
        <v>7277</v>
      </c>
      <c r="B1969" s="36" t="s">
        <v>7278</v>
      </c>
      <c r="C1969" s="36" t="str">
        <f>HYPERLINK("https://rhld.insurance.arkansas.gov/NPILookup?Npi=1407869399","1407869399")</f>
        <v>1407869399</v>
      </c>
      <c r="D1969" s="36" t="s">
        <v>34628</v>
      </c>
      <c r="E1969" s="36" t="s">
        <v>1</v>
      </c>
      <c r="F1969" s="36">
        <v>1</v>
      </c>
      <c r="G1969" s="36">
        <v>2</v>
      </c>
      <c r="H1969" s="36">
        <v>0</v>
      </c>
      <c r="I1969" s="37">
        <v>0</v>
      </c>
      <c r="J1969" s="36" t="s">
        <v>32654</v>
      </c>
      <c r="K1969" s="36" t="s">
        <v>14330</v>
      </c>
      <c r="L1969" s="36" t="s">
        <v>14330</v>
      </c>
      <c r="M1969">
        <v>1</v>
      </c>
      <c r="N1969" t="s">
        <v>14331</v>
      </c>
      <c r="O1969" t="s">
        <v>32633</v>
      </c>
    </row>
    <row r="1970" spans="1:15" x14ac:dyDescent="0.25">
      <c r="A1970" s="35" t="s">
        <v>7277</v>
      </c>
      <c r="B1970" s="36" t="s">
        <v>7278</v>
      </c>
      <c r="C1970" s="36" t="str">
        <f>HYPERLINK("https://rhld.insurance.arkansas.gov/NPILookup?Npi=1417394404","1417394404")</f>
        <v>1417394404</v>
      </c>
      <c r="D1970" s="36" t="s">
        <v>34629</v>
      </c>
      <c r="E1970" s="36" t="s">
        <v>1</v>
      </c>
      <c r="F1970" s="36">
        <v>1</v>
      </c>
      <c r="G1970" s="36">
        <v>2</v>
      </c>
      <c r="H1970" s="36">
        <v>1</v>
      </c>
      <c r="I1970" s="37">
        <v>0</v>
      </c>
      <c r="J1970" s="36" t="s">
        <v>32654</v>
      </c>
      <c r="K1970" s="36" t="s">
        <v>14330</v>
      </c>
      <c r="L1970" s="36" t="s">
        <v>14330</v>
      </c>
      <c r="M1970">
        <v>3</v>
      </c>
      <c r="N1970" t="s">
        <v>14331</v>
      </c>
      <c r="O1970" t="s">
        <v>34630</v>
      </c>
    </row>
    <row r="1971" spans="1:15" x14ac:dyDescent="0.25">
      <c r="A1971" s="35" t="s">
        <v>7277</v>
      </c>
      <c r="B1971" s="36" t="s">
        <v>7278</v>
      </c>
      <c r="C1971" s="36" t="str">
        <f>HYPERLINK("https://rhld.insurance.arkansas.gov/NPILookup?Npi=1417452376","1417452376")</f>
        <v>1417452376</v>
      </c>
      <c r="D1971" s="36" t="s">
        <v>34631</v>
      </c>
      <c r="E1971" s="36" t="s">
        <v>1</v>
      </c>
      <c r="F1971" s="36">
        <v>1</v>
      </c>
      <c r="G1971" s="36">
        <v>3</v>
      </c>
      <c r="H1971" s="36">
        <v>0</v>
      </c>
      <c r="I1971" s="37">
        <v>0</v>
      </c>
      <c r="J1971" s="36" t="s">
        <v>32654</v>
      </c>
      <c r="K1971" s="36" t="s">
        <v>14330</v>
      </c>
      <c r="L1971" s="36" t="s">
        <v>14330</v>
      </c>
      <c r="M1971">
        <v>3</v>
      </c>
      <c r="N1971" t="s">
        <v>14331</v>
      </c>
      <c r="O1971" t="s">
        <v>32633</v>
      </c>
    </row>
    <row r="1972" spans="1:15" x14ac:dyDescent="0.25">
      <c r="A1972" s="35" t="s">
        <v>7277</v>
      </c>
      <c r="B1972" s="36" t="s">
        <v>7278</v>
      </c>
      <c r="C1972" s="36" t="str">
        <f>HYPERLINK("https://rhld.insurance.arkansas.gov/NPILookup?Npi=1437590080","1437590080")</f>
        <v>1437590080</v>
      </c>
      <c r="D1972" s="36" t="s">
        <v>34058</v>
      </c>
      <c r="E1972" s="36" t="s">
        <v>1</v>
      </c>
      <c r="F1972" s="36">
        <v>1</v>
      </c>
      <c r="G1972" s="36">
        <v>3</v>
      </c>
      <c r="H1972" s="36">
        <v>0</v>
      </c>
      <c r="I1972" s="37">
        <v>0</v>
      </c>
      <c r="J1972" s="36" t="s">
        <v>32654</v>
      </c>
      <c r="K1972" s="36" t="s">
        <v>14330</v>
      </c>
      <c r="L1972" s="36" t="s">
        <v>14330</v>
      </c>
      <c r="M1972">
        <v>2</v>
      </c>
      <c r="N1972" t="s">
        <v>14331</v>
      </c>
      <c r="O1972" t="s">
        <v>32633</v>
      </c>
    </row>
    <row r="1973" spans="1:15" x14ac:dyDescent="0.25">
      <c r="A1973" s="35" t="s">
        <v>7277</v>
      </c>
      <c r="B1973" s="36" t="s">
        <v>7278</v>
      </c>
      <c r="C1973" s="36" t="str">
        <f>HYPERLINK("https://rhld.insurance.arkansas.gov/NPILookup?Npi=1487829420","1487829420")</f>
        <v>1487829420</v>
      </c>
      <c r="D1973" s="36" t="s">
        <v>32838</v>
      </c>
      <c r="E1973" s="36" t="s">
        <v>1</v>
      </c>
      <c r="F1973" s="36">
        <v>1</v>
      </c>
      <c r="G1973" s="36">
        <v>2</v>
      </c>
      <c r="H1973" s="36">
        <v>0</v>
      </c>
      <c r="I1973" s="37">
        <v>0</v>
      </c>
      <c r="J1973" s="36" t="s">
        <v>32654</v>
      </c>
      <c r="K1973" s="36" t="s">
        <v>14330</v>
      </c>
      <c r="L1973" s="36" t="s">
        <v>14330</v>
      </c>
      <c r="M1973">
        <v>3</v>
      </c>
      <c r="N1973" t="s">
        <v>14331</v>
      </c>
      <c r="O1973" t="s">
        <v>32633</v>
      </c>
    </row>
    <row r="1974" spans="1:15" x14ac:dyDescent="0.25">
      <c r="A1974" s="35" t="s">
        <v>7277</v>
      </c>
      <c r="B1974" s="36" t="s">
        <v>7278</v>
      </c>
      <c r="C1974" s="36" t="str">
        <f>HYPERLINK("https://rhld.insurance.arkansas.gov/NPILookup?Npi=1528278322","1528278322")</f>
        <v>1528278322</v>
      </c>
      <c r="D1974" s="36" t="s">
        <v>33597</v>
      </c>
      <c r="E1974" s="36" t="s">
        <v>1</v>
      </c>
      <c r="F1974" s="36">
        <v>1</v>
      </c>
      <c r="G1974" s="36">
        <v>3</v>
      </c>
      <c r="H1974" s="36">
        <v>0</v>
      </c>
      <c r="I1974" s="37">
        <v>0</v>
      </c>
      <c r="J1974" s="36" t="s">
        <v>32654</v>
      </c>
      <c r="K1974" s="36" t="s">
        <v>14330</v>
      </c>
      <c r="L1974" s="36" t="s">
        <v>14330</v>
      </c>
      <c r="M1974">
        <v>1</v>
      </c>
      <c r="N1974" t="s">
        <v>14331</v>
      </c>
      <c r="O1974" t="s">
        <v>32633</v>
      </c>
    </row>
    <row r="1975" spans="1:15" x14ac:dyDescent="0.25">
      <c r="A1975" s="35" t="s">
        <v>7277</v>
      </c>
      <c r="B1975" s="36" t="s">
        <v>7278</v>
      </c>
      <c r="C1975" s="36" t="str">
        <f>HYPERLINK("https://rhld.insurance.arkansas.gov/NPILookup?Npi=1538377791","1538377791")</f>
        <v>1538377791</v>
      </c>
      <c r="D1975" s="36" t="s">
        <v>34632</v>
      </c>
      <c r="E1975" s="36" t="s">
        <v>2</v>
      </c>
      <c r="F1975" s="36">
        <v>1</v>
      </c>
      <c r="G1975" s="36">
        <v>1</v>
      </c>
      <c r="H1975" s="36">
        <v>0</v>
      </c>
      <c r="I1975" s="37">
        <v>0</v>
      </c>
      <c r="J1975" s="36" t="s">
        <v>32679</v>
      </c>
      <c r="K1975" s="36" t="s">
        <v>14330</v>
      </c>
      <c r="L1975" s="36" t="s">
        <v>14330</v>
      </c>
      <c r="M1975">
        <v>3</v>
      </c>
      <c r="N1975" t="s">
        <v>14331</v>
      </c>
      <c r="O1975" t="s">
        <v>34633</v>
      </c>
    </row>
    <row r="1976" spans="1:15" x14ac:dyDescent="0.25">
      <c r="A1976" s="35" t="s">
        <v>7277</v>
      </c>
      <c r="B1976" s="36" t="s">
        <v>7278</v>
      </c>
      <c r="C1976" s="36" t="str">
        <f>HYPERLINK("https://rhld.insurance.arkansas.gov/NPILookup?Npi=1558335299","1558335299")</f>
        <v>1558335299</v>
      </c>
      <c r="D1976" s="36" t="s">
        <v>34634</v>
      </c>
      <c r="E1976" s="36" t="s">
        <v>1</v>
      </c>
      <c r="F1976" s="36">
        <v>3</v>
      </c>
      <c r="G1976" s="36">
        <v>3</v>
      </c>
      <c r="H1976" s="36">
        <v>0</v>
      </c>
      <c r="I1976" s="37">
        <v>0</v>
      </c>
      <c r="J1976" s="36" t="s">
        <v>34635</v>
      </c>
      <c r="K1976" s="36" t="s">
        <v>14330</v>
      </c>
      <c r="L1976" s="36" t="s">
        <v>14330</v>
      </c>
      <c r="M1976">
        <v>1</v>
      </c>
      <c r="N1976" t="s">
        <v>14331</v>
      </c>
      <c r="O1976" t="s">
        <v>32633</v>
      </c>
    </row>
    <row r="1977" spans="1:15" x14ac:dyDescent="0.25">
      <c r="A1977" s="35" t="s">
        <v>7277</v>
      </c>
      <c r="B1977" s="36" t="s">
        <v>7278</v>
      </c>
      <c r="C1977" s="36" t="str">
        <f>HYPERLINK("https://rhld.insurance.arkansas.gov/NPILookup?Npi=1558752535","1558752535")</f>
        <v>1558752535</v>
      </c>
      <c r="D1977" s="36" t="s">
        <v>34636</v>
      </c>
      <c r="E1977" s="36" t="s">
        <v>2</v>
      </c>
      <c r="F1977" s="36">
        <v>1</v>
      </c>
      <c r="G1977" s="36">
        <v>1</v>
      </c>
      <c r="H1977" s="36">
        <v>0</v>
      </c>
      <c r="I1977" s="37">
        <v>0</v>
      </c>
      <c r="J1977" s="36" t="s">
        <v>32679</v>
      </c>
      <c r="K1977" s="36" t="s">
        <v>14330</v>
      </c>
      <c r="L1977" s="36" t="s">
        <v>14330</v>
      </c>
      <c r="M1977">
        <v>3</v>
      </c>
      <c r="N1977" t="s">
        <v>14332</v>
      </c>
      <c r="O1977" t="s">
        <v>32931</v>
      </c>
    </row>
    <row r="1978" spans="1:15" x14ac:dyDescent="0.25">
      <c r="A1978" s="35" t="s">
        <v>7277</v>
      </c>
      <c r="B1978" s="36" t="s">
        <v>7278</v>
      </c>
      <c r="C1978" s="36" t="str">
        <f>HYPERLINK("https://rhld.insurance.arkansas.gov/NPILookup?Npi=1578768644","1578768644")</f>
        <v>1578768644</v>
      </c>
      <c r="D1978" s="36" t="s">
        <v>33264</v>
      </c>
      <c r="E1978" s="36" t="s">
        <v>1</v>
      </c>
      <c r="F1978" s="36">
        <v>1</v>
      </c>
      <c r="G1978" s="36">
        <v>3</v>
      </c>
      <c r="H1978" s="36">
        <v>0</v>
      </c>
      <c r="I1978" s="37">
        <v>0</v>
      </c>
      <c r="J1978" s="36" t="s">
        <v>32654</v>
      </c>
      <c r="K1978" s="36" t="s">
        <v>14330</v>
      </c>
      <c r="L1978" s="36" t="s">
        <v>14330</v>
      </c>
      <c r="M1978">
        <v>1</v>
      </c>
      <c r="N1978" t="s">
        <v>14331</v>
      </c>
      <c r="O1978" t="s">
        <v>32633</v>
      </c>
    </row>
    <row r="1979" spans="1:15" x14ac:dyDescent="0.25">
      <c r="A1979" s="35" t="s">
        <v>7277</v>
      </c>
      <c r="B1979" s="36" t="s">
        <v>7278</v>
      </c>
      <c r="C1979" s="36" t="str">
        <f>HYPERLINK("https://rhld.insurance.arkansas.gov/NPILookup?Npi=1598244394","1598244394")</f>
        <v>1598244394</v>
      </c>
      <c r="D1979" s="36" t="s">
        <v>34637</v>
      </c>
      <c r="E1979" s="36" t="s">
        <v>2</v>
      </c>
      <c r="F1979" s="36">
        <v>1</v>
      </c>
      <c r="G1979" s="36">
        <v>1</v>
      </c>
      <c r="H1979" s="36">
        <v>0</v>
      </c>
      <c r="I1979" s="37">
        <v>0</v>
      </c>
      <c r="J1979" s="36" t="s">
        <v>32679</v>
      </c>
      <c r="K1979" s="36" t="s">
        <v>14330</v>
      </c>
      <c r="L1979" s="36" t="s">
        <v>14330</v>
      </c>
      <c r="M1979">
        <v>3</v>
      </c>
      <c r="N1979" t="s">
        <v>14332</v>
      </c>
      <c r="O1979" t="s">
        <v>32931</v>
      </c>
    </row>
    <row r="1980" spans="1:15" x14ac:dyDescent="0.25">
      <c r="A1980" s="35" t="s">
        <v>7277</v>
      </c>
      <c r="B1980" s="36" t="s">
        <v>7278</v>
      </c>
      <c r="C1980" s="36" t="str">
        <f>HYPERLINK("https://rhld.insurance.arkansas.gov/NPILookup?Npi=1639498934","1639498934")</f>
        <v>1639498934</v>
      </c>
      <c r="D1980" s="36" t="s">
        <v>34638</v>
      </c>
      <c r="E1980" s="36" t="s">
        <v>1</v>
      </c>
      <c r="F1980" s="36">
        <v>1</v>
      </c>
      <c r="G1980" s="36">
        <v>3</v>
      </c>
      <c r="H1980" s="36">
        <v>0</v>
      </c>
      <c r="I1980" s="37">
        <v>0</v>
      </c>
      <c r="J1980" s="36" t="s">
        <v>32654</v>
      </c>
      <c r="K1980" s="36" t="s">
        <v>14330</v>
      </c>
      <c r="L1980" s="36" t="s">
        <v>14330</v>
      </c>
      <c r="M1980">
        <v>1</v>
      </c>
      <c r="N1980" t="s">
        <v>14331</v>
      </c>
      <c r="O1980" t="s">
        <v>32633</v>
      </c>
    </row>
    <row r="1981" spans="1:15" x14ac:dyDescent="0.25">
      <c r="A1981" s="35" t="s">
        <v>7277</v>
      </c>
      <c r="B1981" s="36" t="s">
        <v>7278</v>
      </c>
      <c r="C1981" s="36" t="str">
        <f>HYPERLINK("https://rhld.insurance.arkansas.gov/NPILookup?Npi=1639967649","1639967649")</f>
        <v>1639967649</v>
      </c>
      <c r="D1981" s="36" t="s">
        <v>34639</v>
      </c>
      <c r="E1981" s="36" t="s">
        <v>2</v>
      </c>
      <c r="F1981" s="36">
        <v>1</v>
      </c>
      <c r="G1981" s="36">
        <v>1</v>
      </c>
      <c r="H1981" s="36">
        <v>0</v>
      </c>
      <c r="I1981" s="37">
        <v>0</v>
      </c>
      <c r="J1981" s="36" t="s">
        <v>32679</v>
      </c>
      <c r="K1981" s="36" t="s">
        <v>14330</v>
      </c>
      <c r="L1981" s="36" t="s">
        <v>14330</v>
      </c>
      <c r="M1981">
        <v>2</v>
      </c>
      <c r="N1981" t="s">
        <v>14332</v>
      </c>
      <c r="O1981" t="s">
        <v>32931</v>
      </c>
    </row>
    <row r="1982" spans="1:15" x14ac:dyDescent="0.25">
      <c r="A1982" s="35" t="s">
        <v>7277</v>
      </c>
      <c r="B1982" s="36" t="s">
        <v>7278</v>
      </c>
      <c r="C1982" s="36" t="str">
        <f>HYPERLINK("https://rhld.insurance.arkansas.gov/NPILookup?Npi=1679788426","1679788426")</f>
        <v>1679788426</v>
      </c>
      <c r="D1982" s="36" t="s">
        <v>34640</v>
      </c>
      <c r="E1982" s="36" t="s">
        <v>1</v>
      </c>
      <c r="F1982" s="36">
        <v>1</v>
      </c>
      <c r="G1982" s="36">
        <v>2</v>
      </c>
      <c r="H1982" s="36">
        <v>0</v>
      </c>
      <c r="I1982" s="37">
        <v>0</v>
      </c>
      <c r="J1982" s="36" t="s">
        <v>32654</v>
      </c>
      <c r="K1982" s="36" t="s">
        <v>14330</v>
      </c>
      <c r="L1982" s="36" t="s">
        <v>14330</v>
      </c>
      <c r="M1982">
        <v>2</v>
      </c>
      <c r="N1982" t="s">
        <v>14331</v>
      </c>
      <c r="O1982" t="s">
        <v>32633</v>
      </c>
    </row>
    <row r="1983" spans="1:15" x14ac:dyDescent="0.25">
      <c r="A1983" s="35" t="s">
        <v>7277</v>
      </c>
      <c r="B1983" s="36" t="s">
        <v>7278</v>
      </c>
      <c r="C1983" s="36" t="str">
        <f>HYPERLINK("https://rhld.insurance.arkansas.gov/NPILookup?Npi=1699823948","1699823948")</f>
        <v>1699823948</v>
      </c>
      <c r="D1983" s="36" t="s">
        <v>34641</v>
      </c>
      <c r="E1983" s="36" t="s">
        <v>1</v>
      </c>
      <c r="F1983" s="36">
        <v>1</v>
      </c>
      <c r="G1983" s="36">
        <v>2</v>
      </c>
      <c r="H1983" s="36">
        <v>0</v>
      </c>
      <c r="I1983" s="37">
        <v>0</v>
      </c>
      <c r="J1983" s="36" t="s">
        <v>32654</v>
      </c>
      <c r="K1983" s="36" t="s">
        <v>14330</v>
      </c>
      <c r="L1983" s="36" t="s">
        <v>14330</v>
      </c>
      <c r="M1983">
        <v>2</v>
      </c>
      <c r="N1983" t="s">
        <v>14331</v>
      </c>
      <c r="O1983" t="s">
        <v>32633</v>
      </c>
    </row>
    <row r="1984" spans="1:15" x14ac:dyDescent="0.25">
      <c r="A1984" s="35" t="s">
        <v>7277</v>
      </c>
      <c r="B1984" s="36" t="s">
        <v>7278</v>
      </c>
      <c r="C1984" s="36" t="str">
        <f>HYPERLINK("https://rhld.insurance.arkansas.gov/NPILookup?Npi=1700934874","1700934874")</f>
        <v>1700934874</v>
      </c>
      <c r="D1984" s="36" t="s">
        <v>34642</v>
      </c>
      <c r="E1984" s="36" t="s">
        <v>1</v>
      </c>
      <c r="F1984" s="36">
        <v>1</v>
      </c>
      <c r="G1984" s="36">
        <v>2</v>
      </c>
      <c r="H1984" s="36">
        <v>0</v>
      </c>
      <c r="I1984" s="37">
        <v>0</v>
      </c>
      <c r="J1984" s="36" t="s">
        <v>32654</v>
      </c>
      <c r="K1984" s="36" t="s">
        <v>14330</v>
      </c>
      <c r="L1984" s="36" t="s">
        <v>14330</v>
      </c>
      <c r="M1984">
        <v>2</v>
      </c>
      <c r="N1984" t="s">
        <v>14331</v>
      </c>
      <c r="O1984" t="s">
        <v>32633</v>
      </c>
    </row>
    <row r="1985" spans="1:15" x14ac:dyDescent="0.25">
      <c r="A1985" s="35" t="s">
        <v>7277</v>
      </c>
      <c r="B1985" s="36" t="s">
        <v>7278</v>
      </c>
      <c r="C1985" s="36" t="str">
        <f>HYPERLINK("https://rhld.insurance.arkansas.gov/NPILookup?Npi=1740231877","1740231877")</f>
        <v>1740231877</v>
      </c>
      <c r="D1985" s="36" t="s">
        <v>34643</v>
      </c>
      <c r="E1985" s="36" t="s">
        <v>2</v>
      </c>
      <c r="F1985" s="36">
        <v>1</v>
      </c>
      <c r="G1985" s="36">
        <v>2</v>
      </c>
      <c r="H1985" s="36">
        <v>0</v>
      </c>
      <c r="I1985" s="37">
        <v>0</v>
      </c>
      <c r="J1985" s="36" t="s">
        <v>32679</v>
      </c>
      <c r="K1985" s="36" t="s">
        <v>14330</v>
      </c>
      <c r="L1985" s="36" t="s">
        <v>14330</v>
      </c>
      <c r="M1985">
        <v>4</v>
      </c>
      <c r="N1985" t="s">
        <v>14331</v>
      </c>
      <c r="O1985" t="s">
        <v>14333</v>
      </c>
    </row>
    <row r="1986" spans="1:15" x14ac:dyDescent="0.25">
      <c r="A1986" s="35" t="s">
        <v>7277</v>
      </c>
      <c r="B1986" s="36" t="s">
        <v>7278</v>
      </c>
      <c r="C1986" s="36" t="str">
        <f>HYPERLINK("https://rhld.insurance.arkansas.gov/NPILookup?Npi=1750884938","1750884938")</f>
        <v>1750884938</v>
      </c>
      <c r="D1986" s="36" t="s">
        <v>31242</v>
      </c>
      <c r="E1986" s="36" t="s">
        <v>1</v>
      </c>
      <c r="F1986" s="36">
        <v>2</v>
      </c>
      <c r="G1986" s="36">
        <v>4</v>
      </c>
      <c r="H1986" s="36">
        <v>0</v>
      </c>
      <c r="I1986" s="37">
        <v>0</v>
      </c>
      <c r="J1986" s="36" t="s">
        <v>34623</v>
      </c>
      <c r="K1986" s="36" t="s">
        <v>14330</v>
      </c>
      <c r="L1986" s="36" t="s">
        <v>14330</v>
      </c>
      <c r="M1986">
        <v>2</v>
      </c>
      <c r="N1986" t="s">
        <v>14331</v>
      </c>
      <c r="O1986" t="s">
        <v>32633</v>
      </c>
    </row>
    <row r="1987" spans="1:15" x14ac:dyDescent="0.25">
      <c r="A1987" s="35" t="s">
        <v>7277</v>
      </c>
      <c r="B1987" s="36" t="s">
        <v>7278</v>
      </c>
      <c r="C1987" s="36" t="str">
        <f>HYPERLINK("https://rhld.insurance.arkansas.gov/NPILookup?Npi=1780118125","1780118125")</f>
        <v>1780118125</v>
      </c>
      <c r="D1987" s="36" t="s">
        <v>34644</v>
      </c>
      <c r="E1987" s="36" t="s">
        <v>1</v>
      </c>
      <c r="F1987" s="36">
        <v>1</v>
      </c>
      <c r="G1987" s="36">
        <v>2</v>
      </c>
      <c r="H1987" s="36">
        <v>0</v>
      </c>
      <c r="I1987" s="37">
        <v>0</v>
      </c>
      <c r="J1987" s="36" t="s">
        <v>32654</v>
      </c>
      <c r="K1987" s="36" t="s">
        <v>14330</v>
      </c>
      <c r="L1987" s="36" t="s">
        <v>14330</v>
      </c>
      <c r="M1987">
        <v>2</v>
      </c>
      <c r="N1987" t="s">
        <v>14331</v>
      </c>
      <c r="O1987" t="s">
        <v>32633</v>
      </c>
    </row>
    <row r="1988" spans="1:15" x14ac:dyDescent="0.25">
      <c r="A1988" s="35" t="s">
        <v>7277</v>
      </c>
      <c r="B1988" s="36" t="s">
        <v>7278</v>
      </c>
      <c r="C1988" s="36" t="str">
        <f>HYPERLINK("https://rhld.insurance.arkansas.gov/NPILookup?Npi=1780141531","1780141531")</f>
        <v>1780141531</v>
      </c>
      <c r="D1988" s="36" t="s">
        <v>34645</v>
      </c>
      <c r="E1988" s="36" t="s">
        <v>2</v>
      </c>
      <c r="F1988" s="36">
        <v>1</v>
      </c>
      <c r="G1988" s="36">
        <v>2</v>
      </c>
      <c r="H1988" s="36">
        <v>0</v>
      </c>
      <c r="I1988" s="37">
        <v>0</v>
      </c>
      <c r="J1988" s="36" t="s">
        <v>32679</v>
      </c>
      <c r="K1988" s="36" t="s">
        <v>14330</v>
      </c>
      <c r="L1988" s="36" t="s">
        <v>14330</v>
      </c>
      <c r="M1988">
        <v>3</v>
      </c>
      <c r="N1988" t="s">
        <v>14332</v>
      </c>
      <c r="O1988" t="s">
        <v>32931</v>
      </c>
    </row>
    <row r="1989" spans="1:15" x14ac:dyDescent="0.25">
      <c r="A1989" s="35" t="s">
        <v>7277</v>
      </c>
      <c r="B1989" s="36" t="s">
        <v>7278</v>
      </c>
      <c r="C1989" s="36" t="str">
        <f>HYPERLINK("https://rhld.insurance.arkansas.gov/NPILookup?Npi=1841451440","1841451440")</f>
        <v>1841451440</v>
      </c>
      <c r="D1989" s="36" t="s">
        <v>34646</v>
      </c>
      <c r="E1989" s="36" t="s">
        <v>1</v>
      </c>
      <c r="F1989" s="36">
        <v>1</v>
      </c>
      <c r="G1989" s="36">
        <v>3</v>
      </c>
      <c r="H1989" s="36">
        <v>0</v>
      </c>
      <c r="I1989" s="37">
        <v>0</v>
      </c>
      <c r="J1989" s="36" t="s">
        <v>32654</v>
      </c>
      <c r="K1989" s="36" t="s">
        <v>14330</v>
      </c>
      <c r="L1989" s="36" t="s">
        <v>14330</v>
      </c>
      <c r="M1989">
        <v>1</v>
      </c>
      <c r="N1989" t="s">
        <v>14331</v>
      </c>
      <c r="O1989" t="s">
        <v>32633</v>
      </c>
    </row>
    <row r="1990" spans="1:15" x14ac:dyDescent="0.25">
      <c r="A1990" s="35" t="s">
        <v>7277</v>
      </c>
      <c r="B1990" s="36" t="s">
        <v>7278</v>
      </c>
      <c r="C1990" s="36" t="str">
        <f>HYPERLINK("https://rhld.insurance.arkansas.gov/NPILookup?Npi=1861631061","1861631061")</f>
        <v>1861631061</v>
      </c>
      <c r="D1990" s="36" t="s">
        <v>34647</v>
      </c>
      <c r="E1990" s="36" t="s">
        <v>2</v>
      </c>
      <c r="F1990" s="36">
        <v>1</v>
      </c>
      <c r="G1990" s="36">
        <v>1</v>
      </c>
      <c r="H1990" s="36">
        <v>0</v>
      </c>
      <c r="I1990" s="37">
        <v>0</v>
      </c>
      <c r="J1990" s="36" t="s">
        <v>32679</v>
      </c>
      <c r="K1990" s="36" t="s">
        <v>14330</v>
      </c>
      <c r="L1990" s="36" t="s">
        <v>14330</v>
      </c>
      <c r="M1990">
        <v>4</v>
      </c>
      <c r="N1990" t="s">
        <v>14332</v>
      </c>
      <c r="O1990" t="s">
        <v>32931</v>
      </c>
    </row>
    <row r="1991" spans="1:15" x14ac:dyDescent="0.25">
      <c r="A1991" s="35" t="s">
        <v>7277</v>
      </c>
      <c r="B1991" s="36" t="s">
        <v>7278</v>
      </c>
      <c r="C1991" s="36" t="str">
        <f>HYPERLINK("https://rhld.insurance.arkansas.gov/NPILookup?Npi=1861697815","1861697815")</f>
        <v>1861697815</v>
      </c>
      <c r="D1991" s="36" t="s">
        <v>33637</v>
      </c>
      <c r="E1991" s="36" t="s">
        <v>1</v>
      </c>
      <c r="F1991" s="36">
        <v>1</v>
      </c>
      <c r="G1991" s="36">
        <v>4</v>
      </c>
      <c r="H1991" s="36">
        <v>0</v>
      </c>
      <c r="I1991" s="37">
        <v>0</v>
      </c>
      <c r="J1991" s="36" t="s">
        <v>34648</v>
      </c>
      <c r="K1991" s="36" t="s">
        <v>14330</v>
      </c>
      <c r="L1991" s="36" t="s">
        <v>14330</v>
      </c>
      <c r="M1991">
        <v>2</v>
      </c>
      <c r="N1991" t="s">
        <v>14331</v>
      </c>
      <c r="O1991" t="s">
        <v>32633</v>
      </c>
    </row>
    <row r="1992" spans="1:15" x14ac:dyDescent="0.25">
      <c r="A1992" s="35" t="s">
        <v>7277</v>
      </c>
      <c r="B1992" s="36" t="s">
        <v>7278</v>
      </c>
      <c r="C1992" s="36" t="str">
        <f>HYPERLINK("https://rhld.insurance.arkansas.gov/NPILookup?Npi=1871553958","1871553958")</f>
        <v>1871553958</v>
      </c>
      <c r="D1992" s="36" t="s">
        <v>34649</v>
      </c>
      <c r="E1992" s="36" t="s">
        <v>1</v>
      </c>
      <c r="F1992" s="36">
        <v>1</v>
      </c>
      <c r="G1992" s="36">
        <v>2</v>
      </c>
      <c r="H1992" s="36">
        <v>0</v>
      </c>
      <c r="I1992" s="37">
        <v>0</v>
      </c>
      <c r="J1992" s="36" t="s">
        <v>32654</v>
      </c>
      <c r="K1992" s="36" t="s">
        <v>14330</v>
      </c>
      <c r="L1992" s="36" t="s">
        <v>14330</v>
      </c>
      <c r="M1992">
        <v>2</v>
      </c>
      <c r="N1992" t="s">
        <v>14331</v>
      </c>
      <c r="O1992" t="s">
        <v>32633</v>
      </c>
    </row>
    <row r="1993" spans="1:15" x14ac:dyDescent="0.25">
      <c r="A1993" s="35" t="s">
        <v>7277</v>
      </c>
      <c r="B1993" s="36" t="s">
        <v>7278</v>
      </c>
      <c r="C1993" s="36" t="str">
        <f>HYPERLINK("https://rhld.insurance.arkansas.gov/NPILookup?Npi=1881710945","1881710945")</f>
        <v>1881710945</v>
      </c>
      <c r="D1993" s="36" t="s">
        <v>34650</v>
      </c>
      <c r="E1993" s="36" t="s">
        <v>1</v>
      </c>
      <c r="F1993" s="36">
        <v>1</v>
      </c>
      <c r="G1993" s="36">
        <v>2</v>
      </c>
      <c r="H1993" s="36">
        <v>0</v>
      </c>
      <c r="I1993" s="37">
        <v>0</v>
      </c>
      <c r="J1993" s="36" t="s">
        <v>32654</v>
      </c>
      <c r="K1993" s="36" t="s">
        <v>14330</v>
      </c>
      <c r="L1993" s="36" t="s">
        <v>14330</v>
      </c>
      <c r="M1993">
        <v>3</v>
      </c>
      <c r="N1993" t="s">
        <v>14331</v>
      </c>
      <c r="O1993" t="s">
        <v>32633</v>
      </c>
    </row>
    <row r="1994" spans="1:15" x14ac:dyDescent="0.25">
      <c r="A1994" s="35" t="s">
        <v>7277</v>
      </c>
      <c r="B1994" s="36" t="s">
        <v>7278</v>
      </c>
      <c r="C1994" s="36" t="str">
        <f>HYPERLINK("https://rhld.insurance.arkansas.gov/NPILookup?Npi=1942754635","1942754635")</f>
        <v>1942754635</v>
      </c>
      <c r="D1994" s="36" t="s">
        <v>34651</v>
      </c>
      <c r="E1994" s="36" t="s">
        <v>1</v>
      </c>
      <c r="F1994" s="36">
        <v>1</v>
      </c>
      <c r="G1994" s="36">
        <v>3</v>
      </c>
      <c r="H1994" s="36">
        <v>0</v>
      </c>
      <c r="I1994" s="37">
        <v>0</v>
      </c>
      <c r="J1994" s="36" t="s">
        <v>32723</v>
      </c>
      <c r="K1994" s="36" t="s">
        <v>14330</v>
      </c>
      <c r="L1994" s="36" t="s">
        <v>14330</v>
      </c>
      <c r="M1994">
        <v>3</v>
      </c>
      <c r="N1994" t="s">
        <v>14331</v>
      </c>
      <c r="O1994" t="s">
        <v>32724</v>
      </c>
    </row>
    <row r="1995" spans="1:15" x14ac:dyDescent="0.25">
      <c r="A1995" s="35" t="s">
        <v>7277</v>
      </c>
      <c r="B1995" s="36" t="s">
        <v>7278</v>
      </c>
      <c r="C1995" s="36" t="str">
        <f>HYPERLINK("https://rhld.insurance.arkansas.gov/NPILookup?Npi=1952543084","1952543084")</f>
        <v>1952543084</v>
      </c>
      <c r="D1995" s="36" t="s">
        <v>34652</v>
      </c>
      <c r="E1995" s="36" t="s">
        <v>1</v>
      </c>
      <c r="F1995" s="36">
        <v>1</v>
      </c>
      <c r="G1995" s="36">
        <v>3</v>
      </c>
      <c r="H1995" s="36">
        <v>0</v>
      </c>
      <c r="I1995" s="37">
        <v>0</v>
      </c>
      <c r="J1995" s="36" t="s">
        <v>32654</v>
      </c>
      <c r="K1995" s="36" t="s">
        <v>14330</v>
      </c>
      <c r="L1995" s="36" t="s">
        <v>14330</v>
      </c>
      <c r="M1995">
        <v>3</v>
      </c>
      <c r="N1995" t="s">
        <v>14331</v>
      </c>
      <c r="O1995" t="s">
        <v>32633</v>
      </c>
    </row>
    <row r="1996" spans="1:15" x14ac:dyDescent="0.25">
      <c r="A1996" s="35" t="s">
        <v>7277</v>
      </c>
      <c r="B1996" s="36" t="s">
        <v>7278</v>
      </c>
      <c r="C1996" s="36" t="str">
        <f>HYPERLINK("https://rhld.insurance.arkansas.gov/NPILookup?Npi=1992743066","1992743066")</f>
        <v>1992743066</v>
      </c>
      <c r="D1996" s="36" t="s">
        <v>34653</v>
      </c>
      <c r="E1996" s="36" t="s">
        <v>1</v>
      </c>
      <c r="F1996" s="36">
        <v>1</v>
      </c>
      <c r="G1996" s="36">
        <v>3</v>
      </c>
      <c r="H1996" s="36">
        <v>0</v>
      </c>
      <c r="I1996" s="37">
        <v>0</v>
      </c>
      <c r="J1996" s="36" t="s">
        <v>32654</v>
      </c>
      <c r="K1996" s="36" t="s">
        <v>14330</v>
      </c>
      <c r="L1996" s="36" t="s">
        <v>14330</v>
      </c>
      <c r="M1996">
        <v>0</v>
      </c>
      <c r="N1996" t="s">
        <v>14331</v>
      </c>
      <c r="O1996" t="s">
        <v>32633</v>
      </c>
    </row>
    <row r="1997" spans="1:15" x14ac:dyDescent="0.25">
      <c r="A1997" s="35" t="s">
        <v>7285</v>
      </c>
      <c r="B1997" s="36" t="s">
        <v>7286</v>
      </c>
      <c r="C1997" s="36" t="str">
        <f>HYPERLINK("https://rhld.insurance.arkansas.gov/NPILookup?Npi=1003676479","1003676479")</f>
        <v>1003676479</v>
      </c>
      <c r="D1997" s="36" t="s">
        <v>34654</v>
      </c>
      <c r="E1997" s="36" t="s">
        <v>34655</v>
      </c>
      <c r="F1997" s="36">
        <v>1</v>
      </c>
      <c r="G1997" s="36">
        <v>0</v>
      </c>
      <c r="H1997" s="36">
        <v>0</v>
      </c>
      <c r="I1997" s="37">
        <v>0</v>
      </c>
      <c r="J1997" s="36" t="s">
        <v>32679</v>
      </c>
      <c r="K1997" s="36" t="s">
        <v>14330</v>
      </c>
      <c r="L1997" s="36" t="s">
        <v>14330</v>
      </c>
      <c r="M1997">
        <v>0</v>
      </c>
    </row>
    <row r="1998" spans="1:15" x14ac:dyDescent="0.25">
      <c r="A1998" s="35" t="s">
        <v>7285</v>
      </c>
      <c r="B1998" s="36" t="s">
        <v>7286</v>
      </c>
      <c r="C1998" s="36" t="str">
        <f>HYPERLINK("https://rhld.insurance.arkansas.gov/NPILookup?Npi=1003700097","1003700097")</f>
        <v>1003700097</v>
      </c>
      <c r="D1998" s="36" t="s">
        <v>34656</v>
      </c>
      <c r="E1998" s="36" t="s">
        <v>34655</v>
      </c>
      <c r="F1998" s="36">
        <v>1</v>
      </c>
      <c r="G1998" s="36">
        <v>0</v>
      </c>
      <c r="H1998" s="36">
        <v>0</v>
      </c>
      <c r="I1998" s="37">
        <v>0</v>
      </c>
      <c r="J1998" s="36" t="s">
        <v>32679</v>
      </c>
      <c r="K1998" s="36" t="s">
        <v>14330</v>
      </c>
      <c r="L1998" s="36" t="s">
        <v>14330</v>
      </c>
      <c r="M1998">
        <v>0</v>
      </c>
    </row>
    <row r="1999" spans="1:15" x14ac:dyDescent="0.25">
      <c r="A1999" s="35" t="s">
        <v>7285</v>
      </c>
      <c r="B1999" s="36" t="s">
        <v>7286</v>
      </c>
      <c r="C1999" s="36" t="str">
        <f>HYPERLINK("https://rhld.insurance.arkansas.gov/NPILookup?Npi=1013394287","1013394287")</f>
        <v>1013394287</v>
      </c>
      <c r="D1999" s="36" t="s">
        <v>34657</v>
      </c>
      <c r="E1999" s="36" t="s">
        <v>34655</v>
      </c>
      <c r="F1999" s="36">
        <v>1</v>
      </c>
      <c r="G1999" s="36">
        <v>0</v>
      </c>
      <c r="H1999" s="36">
        <v>0</v>
      </c>
      <c r="I1999" s="37">
        <v>0</v>
      </c>
      <c r="J1999" s="36" t="s">
        <v>32679</v>
      </c>
      <c r="K1999" s="36" t="s">
        <v>14330</v>
      </c>
      <c r="L1999" s="36" t="s">
        <v>14330</v>
      </c>
      <c r="M1999">
        <v>0</v>
      </c>
    </row>
    <row r="2000" spans="1:15" x14ac:dyDescent="0.25">
      <c r="A2000" s="35" t="s">
        <v>7285</v>
      </c>
      <c r="B2000" s="36" t="s">
        <v>7286</v>
      </c>
      <c r="C2000" s="36" t="str">
        <f>HYPERLINK("https://rhld.insurance.arkansas.gov/NPILookup?Npi=1013569508","1013569508")</f>
        <v>1013569508</v>
      </c>
      <c r="D2000" s="36" t="s">
        <v>34658</v>
      </c>
      <c r="E2000" s="36" t="s">
        <v>34655</v>
      </c>
      <c r="F2000" s="36">
        <v>1</v>
      </c>
      <c r="G2000" s="36">
        <v>0</v>
      </c>
      <c r="H2000" s="36">
        <v>0</v>
      </c>
      <c r="I2000" s="37">
        <v>0</v>
      </c>
      <c r="J2000" s="36" t="s">
        <v>32679</v>
      </c>
      <c r="K2000" s="36" t="s">
        <v>14330</v>
      </c>
      <c r="L2000" s="36" t="s">
        <v>14330</v>
      </c>
      <c r="M2000">
        <v>0</v>
      </c>
    </row>
    <row r="2001" spans="1:13" x14ac:dyDescent="0.25">
      <c r="A2001" s="35" t="s">
        <v>7285</v>
      </c>
      <c r="B2001" s="36" t="s">
        <v>7286</v>
      </c>
      <c r="C2001" s="36" t="str">
        <f>HYPERLINK("https://rhld.insurance.arkansas.gov/NPILookup?Npi=1023005725","1023005725")</f>
        <v>1023005725</v>
      </c>
      <c r="D2001" s="36" t="s">
        <v>34659</v>
      </c>
      <c r="E2001" s="36" t="s">
        <v>34655</v>
      </c>
      <c r="F2001" s="36">
        <v>1</v>
      </c>
      <c r="G2001" s="36">
        <v>0</v>
      </c>
      <c r="H2001" s="36">
        <v>0</v>
      </c>
      <c r="I2001" s="37">
        <v>0</v>
      </c>
      <c r="J2001" s="36" t="s">
        <v>32679</v>
      </c>
      <c r="K2001" s="36" t="s">
        <v>14330</v>
      </c>
      <c r="L2001" s="36" t="s">
        <v>14330</v>
      </c>
      <c r="M2001">
        <v>0</v>
      </c>
    </row>
    <row r="2002" spans="1:13" x14ac:dyDescent="0.25">
      <c r="A2002" s="35" t="s">
        <v>7285</v>
      </c>
      <c r="B2002" s="36" t="s">
        <v>7286</v>
      </c>
      <c r="C2002" s="36" t="str">
        <f>HYPERLINK("https://rhld.insurance.arkansas.gov/NPILookup?Npi=1023345675","1023345675")</f>
        <v>1023345675</v>
      </c>
      <c r="D2002" s="36" t="s">
        <v>34660</v>
      </c>
      <c r="E2002" s="36" t="s">
        <v>34655</v>
      </c>
      <c r="F2002" s="36">
        <v>1</v>
      </c>
      <c r="G2002" s="36">
        <v>0</v>
      </c>
      <c r="H2002" s="36">
        <v>0</v>
      </c>
      <c r="I2002" s="37">
        <v>0</v>
      </c>
      <c r="J2002" s="36" t="s">
        <v>32679</v>
      </c>
      <c r="K2002" s="36" t="s">
        <v>14330</v>
      </c>
      <c r="L2002" s="36" t="s">
        <v>14330</v>
      </c>
      <c r="M2002">
        <v>0</v>
      </c>
    </row>
    <row r="2003" spans="1:13" x14ac:dyDescent="0.25">
      <c r="A2003" s="35" t="s">
        <v>7285</v>
      </c>
      <c r="B2003" s="36" t="s">
        <v>7286</v>
      </c>
      <c r="C2003" s="36" t="str">
        <f>HYPERLINK("https://rhld.insurance.arkansas.gov/NPILookup?Npi=1023542990","1023542990")</f>
        <v>1023542990</v>
      </c>
      <c r="D2003" s="36" t="s">
        <v>34661</v>
      </c>
      <c r="E2003" s="36" t="s">
        <v>34655</v>
      </c>
      <c r="F2003" s="36">
        <v>1</v>
      </c>
      <c r="G2003" s="36">
        <v>0</v>
      </c>
      <c r="H2003" s="36">
        <v>0</v>
      </c>
      <c r="I2003" s="37">
        <v>0</v>
      </c>
      <c r="J2003" s="36" t="s">
        <v>32679</v>
      </c>
      <c r="K2003" s="36" t="s">
        <v>14330</v>
      </c>
      <c r="L2003" s="36" t="s">
        <v>14330</v>
      </c>
      <c r="M2003">
        <v>0</v>
      </c>
    </row>
    <row r="2004" spans="1:13" x14ac:dyDescent="0.25">
      <c r="A2004" s="35" t="s">
        <v>7285</v>
      </c>
      <c r="B2004" s="36" t="s">
        <v>7286</v>
      </c>
      <c r="C2004" s="36" t="str">
        <f>HYPERLINK("https://rhld.insurance.arkansas.gov/NPILookup?Npi=1023543758","1023543758")</f>
        <v>1023543758</v>
      </c>
      <c r="D2004" s="36" t="s">
        <v>34662</v>
      </c>
      <c r="E2004" s="36" t="s">
        <v>34655</v>
      </c>
      <c r="F2004" s="36">
        <v>1</v>
      </c>
      <c r="G2004" s="36">
        <v>0</v>
      </c>
      <c r="H2004" s="36">
        <v>0</v>
      </c>
      <c r="I2004" s="37">
        <v>0</v>
      </c>
      <c r="J2004" s="36" t="s">
        <v>32679</v>
      </c>
      <c r="K2004" s="36" t="s">
        <v>14330</v>
      </c>
      <c r="L2004" s="36" t="s">
        <v>14330</v>
      </c>
      <c r="M2004">
        <v>0</v>
      </c>
    </row>
    <row r="2005" spans="1:13" x14ac:dyDescent="0.25">
      <c r="A2005" s="35" t="s">
        <v>7285</v>
      </c>
      <c r="B2005" s="36" t="s">
        <v>7286</v>
      </c>
      <c r="C2005" s="36" t="str">
        <f>HYPERLINK("https://rhld.insurance.arkansas.gov/NPILookup?Npi=1023566353","1023566353")</f>
        <v>1023566353</v>
      </c>
      <c r="D2005" s="36" t="s">
        <v>34663</v>
      </c>
      <c r="E2005" s="36" t="s">
        <v>34655</v>
      </c>
      <c r="F2005" s="36">
        <v>1</v>
      </c>
      <c r="G2005" s="36">
        <v>0</v>
      </c>
      <c r="H2005" s="36">
        <v>0</v>
      </c>
      <c r="I2005" s="37">
        <v>0</v>
      </c>
      <c r="J2005" s="36" t="s">
        <v>32679</v>
      </c>
      <c r="K2005" s="36" t="s">
        <v>14330</v>
      </c>
      <c r="L2005" s="36" t="s">
        <v>14330</v>
      </c>
      <c r="M2005">
        <v>0</v>
      </c>
    </row>
    <row r="2006" spans="1:13" x14ac:dyDescent="0.25">
      <c r="A2006" s="35" t="s">
        <v>7285</v>
      </c>
      <c r="B2006" s="36" t="s">
        <v>7286</v>
      </c>
      <c r="C2006" s="36" t="str">
        <f>HYPERLINK("https://rhld.insurance.arkansas.gov/NPILookup?Npi=1023649662","1023649662")</f>
        <v>1023649662</v>
      </c>
      <c r="D2006" s="36" t="s">
        <v>34664</v>
      </c>
      <c r="E2006" s="36" t="s">
        <v>34655</v>
      </c>
      <c r="F2006" s="36">
        <v>1</v>
      </c>
      <c r="G2006" s="36">
        <v>0</v>
      </c>
      <c r="H2006" s="36">
        <v>0</v>
      </c>
      <c r="I2006" s="37">
        <v>0</v>
      </c>
      <c r="J2006" s="36" t="s">
        <v>32679</v>
      </c>
      <c r="K2006" s="36" t="s">
        <v>14330</v>
      </c>
      <c r="L2006" s="36" t="s">
        <v>14330</v>
      </c>
      <c r="M2006">
        <v>0</v>
      </c>
    </row>
    <row r="2007" spans="1:13" x14ac:dyDescent="0.25">
      <c r="A2007" s="35" t="s">
        <v>7285</v>
      </c>
      <c r="B2007" s="36" t="s">
        <v>7286</v>
      </c>
      <c r="C2007" s="36" t="str">
        <f>HYPERLINK("https://rhld.insurance.arkansas.gov/NPILookup?Npi=1033139068","1033139068")</f>
        <v>1033139068</v>
      </c>
      <c r="D2007" s="36" t="s">
        <v>34665</v>
      </c>
      <c r="E2007" s="36" t="s">
        <v>34655</v>
      </c>
      <c r="F2007" s="36">
        <v>1</v>
      </c>
      <c r="G2007" s="36">
        <v>0</v>
      </c>
      <c r="H2007" s="36">
        <v>0</v>
      </c>
      <c r="I2007" s="37">
        <v>0</v>
      </c>
      <c r="J2007" s="36" t="s">
        <v>32679</v>
      </c>
      <c r="K2007" s="36" t="s">
        <v>14330</v>
      </c>
      <c r="L2007" s="36" t="s">
        <v>14330</v>
      </c>
      <c r="M2007">
        <v>0</v>
      </c>
    </row>
    <row r="2008" spans="1:13" x14ac:dyDescent="0.25">
      <c r="A2008" s="35" t="s">
        <v>7285</v>
      </c>
      <c r="B2008" s="36" t="s">
        <v>7286</v>
      </c>
      <c r="C2008" s="36" t="str">
        <f>HYPERLINK("https://rhld.insurance.arkansas.gov/NPILookup?Npi=1033622832","1033622832")</f>
        <v>1033622832</v>
      </c>
      <c r="D2008" s="36" t="s">
        <v>34666</v>
      </c>
      <c r="E2008" s="36" t="s">
        <v>34655</v>
      </c>
      <c r="F2008" s="36">
        <v>1</v>
      </c>
      <c r="G2008" s="36">
        <v>0</v>
      </c>
      <c r="H2008" s="36">
        <v>0</v>
      </c>
      <c r="I2008" s="37">
        <v>0</v>
      </c>
      <c r="J2008" s="36" t="s">
        <v>32679</v>
      </c>
      <c r="K2008" s="36" t="s">
        <v>14330</v>
      </c>
      <c r="L2008" s="36" t="s">
        <v>14330</v>
      </c>
      <c r="M2008">
        <v>0</v>
      </c>
    </row>
    <row r="2009" spans="1:13" x14ac:dyDescent="0.25">
      <c r="A2009" s="35" t="s">
        <v>7285</v>
      </c>
      <c r="B2009" s="36" t="s">
        <v>7286</v>
      </c>
      <c r="C2009" s="36" t="str">
        <f>HYPERLINK("https://rhld.insurance.arkansas.gov/NPILookup?Npi=1033690540","1033690540")</f>
        <v>1033690540</v>
      </c>
      <c r="D2009" s="36" t="s">
        <v>34667</v>
      </c>
      <c r="E2009" s="36" t="s">
        <v>34655</v>
      </c>
      <c r="F2009" s="36">
        <v>1</v>
      </c>
      <c r="G2009" s="36">
        <v>0</v>
      </c>
      <c r="H2009" s="36">
        <v>0</v>
      </c>
      <c r="I2009" s="37">
        <v>0</v>
      </c>
      <c r="J2009" s="36" t="s">
        <v>32679</v>
      </c>
      <c r="K2009" s="36" t="s">
        <v>14330</v>
      </c>
      <c r="L2009" s="36" t="s">
        <v>14330</v>
      </c>
      <c r="M2009">
        <v>0</v>
      </c>
    </row>
    <row r="2010" spans="1:13" x14ac:dyDescent="0.25">
      <c r="A2010" s="35" t="s">
        <v>7285</v>
      </c>
      <c r="B2010" s="36" t="s">
        <v>7286</v>
      </c>
      <c r="C2010" s="36" t="str">
        <f>HYPERLINK("https://rhld.insurance.arkansas.gov/NPILookup?Npi=1033928098","1033928098")</f>
        <v>1033928098</v>
      </c>
      <c r="D2010" s="36" t="s">
        <v>34668</v>
      </c>
      <c r="E2010" s="36" t="s">
        <v>34655</v>
      </c>
      <c r="F2010" s="36">
        <v>1</v>
      </c>
      <c r="G2010" s="36">
        <v>0</v>
      </c>
      <c r="H2010" s="36">
        <v>0</v>
      </c>
      <c r="I2010" s="37">
        <v>0</v>
      </c>
      <c r="J2010" s="36" t="s">
        <v>32679</v>
      </c>
      <c r="K2010" s="36" t="s">
        <v>14330</v>
      </c>
      <c r="L2010" s="36" t="s">
        <v>14330</v>
      </c>
      <c r="M2010">
        <v>0</v>
      </c>
    </row>
    <row r="2011" spans="1:13" x14ac:dyDescent="0.25">
      <c r="A2011" s="35" t="s">
        <v>7285</v>
      </c>
      <c r="B2011" s="36" t="s">
        <v>7286</v>
      </c>
      <c r="C2011" s="36" t="str">
        <f>HYPERLINK("https://rhld.insurance.arkansas.gov/NPILookup?Npi=1063207538","1063207538")</f>
        <v>1063207538</v>
      </c>
      <c r="D2011" s="36" t="s">
        <v>34669</v>
      </c>
      <c r="E2011" s="36" t="s">
        <v>34655</v>
      </c>
      <c r="F2011" s="36">
        <v>1</v>
      </c>
      <c r="G2011" s="36">
        <v>0</v>
      </c>
      <c r="H2011" s="36">
        <v>0</v>
      </c>
      <c r="I2011" s="37">
        <v>0</v>
      </c>
      <c r="J2011" s="36" t="s">
        <v>32679</v>
      </c>
      <c r="K2011" s="36" t="s">
        <v>14330</v>
      </c>
      <c r="L2011" s="36" t="s">
        <v>14330</v>
      </c>
      <c r="M2011">
        <v>0</v>
      </c>
    </row>
    <row r="2012" spans="1:13" x14ac:dyDescent="0.25">
      <c r="A2012" s="35" t="s">
        <v>7285</v>
      </c>
      <c r="B2012" s="36" t="s">
        <v>7286</v>
      </c>
      <c r="C2012" s="36" t="str">
        <f>HYPERLINK("https://rhld.insurance.arkansas.gov/NPILookup?Npi=1063710713","1063710713")</f>
        <v>1063710713</v>
      </c>
      <c r="D2012" s="36" t="s">
        <v>34670</v>
      </c>
      <c r="E2012" s="36" t="s">
        <v>34655</v>
      </c>
      <c r="F2012" s="36">
        <v>1</v>
      </c>
      <c r="G2012" s="36">
        <v>0</v>
      </c>
      <c r="H2012" s="36">
        <v>0</v>
      </c>
      <c r="I2012" s="37">
        <v>0</v>
      </c>
      <c r="J2012" s="36" t="s">
        <v>32679</v>
      </c>
      <c r="K2012" s="36" t="s">
        <v>14330</v>
      </c>
      <c r="L2012" s="36" t="s">
        <v>14330</v>
      </c>
      <c r="M2012">
        <v>0</v>
      </c>
    </row>
    <row r="2013" spans="1:13" x14ac:dyDescent="0.25">
      <c r="A2013" s="35" t="s">
        <v>7285</v>
      </c>
      <c r="B2013" s="36" t="s">
        <v>7286</v>
      </c>
      <c r="C2013" s="36" t="str">
        <f>HYPERLINK("https://rhld.insurance.arkansas.gov/NPILookup?Npi=1083063168","1083063168")</f>
        <v>1083063168</v>
      </c>
      <c r="D2013" s="36" t="s">
        <v>34671</v>
      </c>
      <c r="E2013" s="36" t="s">
        <v>34655</v>
      </c>
      <c r="F2013" s="36">
        <v>1</v>
      </c>
      <c r="G2013" s="36">
        <v>0</v>
      </c>
      <c r="H2013" s="36">
        <v>0</v>
      </c>
      <c r="I2013" s="37">
        <v>0</v>
      </c>
      <c r="J2013" s="36" t="s">
        <v>32679</v>
      </c>
      <c r="K2013" s="36" t="s">
        <v>14330</v>
      </c>
      <c r="L2013" s="36" t="s">
        <v>14330</v>
      </c>
      <c r="M2013">
        <v>0</v>
      </c>
    </row>
    <row r="2014" spans="1:13" x14ac:dyDescent="0.25">
      <c r="A2014" s="35" t="s">
        <v>7285</v>
      </c>
      <c r="B2014" s="36" t="s">
        <v>7286</v>
      </c>
      <c r="C2014" s="36" t="str">
        <f>HYPERLINK("https://rhld.insurance.arkansas.gov/NPILookup?Npi=1083433403","1083433403")</f>
        <v>1083433403</v>
      </c>
      <c r="D2014" s="36" t="s">
        <v>34672</v>
      </c>
      <c r="E2014" s="36" t="s">
        <v>34655</v>
      </c>
      <c r="F2014" s="36">
        <v>1</v>
      </c>
      <c r="G2014" s="36">
        <v>0</v>
      </c>
      <c r="H2014" s="36">
        <v>0</v>
      </c>
      <c r="I2014" s="37">
        <v>0</v>
      </c>
      <c r="J2014" s="36" t="s">
        <v>32679</v>
      </c>
      <c r="K2014" s="36" t="s">
        <v>14330</v>
      </c>
      <c r="L2014" s="36" t="s">
        <v>14330</v>
      </c>
      <c r="M2014">
        <v>0</v>
      </c>
    </row>
    <row r="2015" spans="1:13" x14ac:dyDescent="0.25">
      <c r="A2015" s="35" t="s">
        <v>7285</v>
      </c>
      <c r="B2015" s="36" t="s">
        <v>7286</v>
      </c>
      <c r="C2015" s="36" t="str">
        <f>HYPERLINK("https://rhld.insurance.arkansas.gov/NPILookup?Npi=1083433981","1083433981")</f>
        <v>1083433981</v>
      </c>
      <c r="D2015" s="36" t="s">
        <v>31279</v>
      </c>
      <c r="E2015" s="36" t="s">
        <v>34655</v>
      </c>
      <c r="F2015" s="36">
        <v>1</v>
      </c>
      <c r="G2015" s="36">
        <v>0</v>
      </c>
      <c r="H2015" s="36">
        <v>0</v>
      </c>
      <c r="I2015" s="37">
        <v>0</v>
      </c>
      <c r="J2015" s="36" t="s">
        <v>32679</v>
      </c>
      <c r="K2015" s="36" t="s">
        <v>14330</v>
      </c>
      <c r="L2015" s="36" t="s">
        <v>14330</v>
      </c>
      <c r="M2015">
        <v>0</v>
      </c>
    </row>
    <row r="2016" spans="1:13" x14ac:dyDescent="0.25">
      <c r="A2016" s="35" t="s">
        <v>7285</v>
      </c>
      <c r="B2016" s="36" t="s">
        <v>7286</v>
      </c>
      <c r="C2016" s="36" t="str">
        <f>HYPERLINK("https://rhld.insurance.arkansas.gov/NPILookup?Npi=1093156309","1093156309")</f>
        <v>1093156309</v>
      </c>
      <c r="D2016" s="36" t="s">
        <v>34673</v>
      </c>
      <c r="E2016" s="36" t="s">
        <v>34655</v>
      </c>
      <c r="F2016" s="36">
        <v>1</v>
      </c>
      <c r="G2016" s="36">
        <v>0</v>
      </c>
      <c r="H2016" s="36">
        <v>0</v>
      </c>
      <c r="I2016" s="37">
        <v>0</v>
      </c>
      <c r="J2016" s="36" t="s">
        <v>32679</v>
      </c>
      <c r="K2016" s="36" t="s">
        <v>14330</v>
      </c>
      <c r="L2016" s="36" t="s">
        <v>14330</v>
      </c>
      <c r="M2016">
        <v>0</v>
      </c>
    </row>
    <row r="2017" spans="1:13" x14ac:dyDescent="0.25">
      <c r="A2017" s="35" t="s">
        <v>7285</v>
      </c>
      <c r="B2017" s="36" t="s">
        <v>7286</v>
      </c>
      <c r="C2017" s="36" t="str">
        <f>HYPERLINK("https://rhld.insurance.arkansas.gov/NPILookup?Npi=1093526022","1093526022")</f>
        <v>1093526022</v>
      </c>
      <c r="D2017" s="36" t="s">
        <v>34674</v>
      </c>
      <c r="E2017" s="36" t="s">
        <v>34655</v>
      </c>
      <c r="F2017" s="36">
        <v>1</v>
      </c>
      <c r="G2017" s="36">
        <v>0</v>
      </c>
      <c r="H2017" s="36">
        <v>0</v>
      </c>
      <c r="I2017" s="37">
        <v>0</v>
      </c>
      <c r="J2017" s="36" t="s">
        <v>32679</v>
      </c>
      <c r="K2017" s="36" t="s">
        <v>14330</v>
      </c>
      <c r="L2017" s="36" t="s">
        <v>14330</v>
      </c>
      <c r="M2017">
        <v>0</v>
      </c>
    </row>
    <row r="2018" spans="1:13" x14ac:dyDescent="0.25">
      <c r="A2018" s="35" t="s">
        <v>7285</v>
      </c>
      <c r="B2018" s="36" t="s">
        <v>7286</v>
      </c>
      <c r="C2018" s="36" t="str">
        <f>HYPERLINK("https://rhld.insurance.arkansas.gov/NPILookup?Npi=1093548711","1093548711")</f>
        <v>1093548711</v>
      </c>
      <c r="D2018" s="36" t="s">
        <v>34675</v>
      </c>
      <c r="E2018" s="36" t="s">
        <v>34655</v>
      </c>
      <c r="F2018" s="36">
        <v>1</v>
      </c>
      <c r="G2018" s="36">
        <v>0</v>
      </c>
      <c r="H2018" s="36">
        <v>0</v>
      </c>
      <c r="I2018" s="37">
        <v>0</v>
      </c>
      <c r="J2018" s="36" t="s">
        <v>32679</v>
      </c>
      <c r="K2018" s="36" t="s">
        <v>14330</v>
      </c>
      <c r="L2018" s="36" t="s">
        <v>14330</v>
      </c>
      <c r="M2018">
        <v>0</v>
      </c>
    </row>
    <row r="2019" spans="1:13" x14ac:dyDescent="0.25">
      <c r="A2019" s="35" t="s">
        <v>7285</v>
      </c>
      <c r="B2019" s="36" t="s">
        <v>7286</v>
      </c>
      <c r="C2019" s="36" t="str">
        <f>HYPERLINK("https://rhld.insurance.arkansas.gov/NPILookup?Npi=1104104090","1104104090")</f>
        <v>1104104090</v>
      </c>
      <c r="D2019" s="36" t="s">
        <v>34676</v>
      </c>
      <c r="E2019" s="36" t="s">
        <v>34655</v>
      </c>
      <c r="F2019" s="36">
        <v>1</v>
      </c>
      <c r="G2019" s="36">
        <v>0</v>
      </c>
      <c r="H2019" s="36">
        <v>0</v>
      </c>
      <c r="I2019" s="37">
        <v>0</v>
      </c>
      <c r="J2019" s="36" t="s">
        <v>32679</v>
      </c>
      <c r="K2019" s="36" t="s">
        <v>14330</v>
      </c>
      <c r="L2019" s="36" t="s">
        <v>14330</v>
      </c>
      <c r="M2019">
        <v>0</v>
      </c>
    </row>
    <row r="2020" spans="1:13" x14ac:dyDescent="0.25">
      <c r="A2020" s="35" t="s">
        <v>7285</v>
      </c>
      <c r="B2020" s="36" t="s">
        <v>7286</v>
      </c>
      <c r="C2020" s="36" t="str">
        <f>HYPERLINK("https://rhld.insurance.arkansas.gov/NPILookup?Npi=1104306588","1104306588")</f>
        <v>1104306588</v>
      </c>
      <c r="D2020" s="36" t="s">
        <v>34677</v>
      </c>
      <c r="E2020" s="36" t="s">
        <v>34655</v>
      </c>
      <c r="F2020" s="36">
        <v>1</v>
      </c>
      <c r="G2020" s="36">
        <v>0</v>
      </c>
      <c r="H2020" s="36">
        <v>0</v>
      </c>
      <c r="I2020" s="37">
        <v>0</v>
      </c>
      <c r="J2020" s="36" t="s">
        <v>32679</v>
      </c>
      <c r="K2020" s="36" t="s">
        <v>14330</v>
      </c>
      <c r="L2020" s="36" t="s">
        <v>14330</v>
      </c>
      <c r="M2020">
        <v>0</v>
      </c>
    </row>
    <row r="2021" spans="1:13" x14ac:dyDescent="0.25">
      <c r="A2021" s="35" t="s">
        <v>7285</v>
      </c>
      <c r="B2021" s="36" t="s">
        <v>7286</v>
      </c>
      <c r="C2021" s="36" t="str">
        <f>HYPERLINK("https://rhld.insurance.arkansas.gov/NPILookup?Npi=1104385632","1104385632")</f>
        <v>1104385632</v>
      </c>
      <c r="D2021" s="36" t="s">
        <v>34678</v>
      </c>
      <c r="E2021" s="36" t="s">
        <v>34655</v>
      </c>
      <c r="F2021" s="36">
        <v>1</v>
      </c>
      <c r="G2021" s="36">
        <v>0</v>
      </c>
      <c r="H2021" s="36">
        <v>0</v>
      </c>
      <c r="I2021" s="37">
        <v>0</v>
      </c>
      <c r="J2021" s="36" t="s">
        <v>32679</v>
      </c>
      <c r="K2021" s="36" t="s">
        <v>14330</v>
      </c>
      <c r="L2021" s="36" t="s">
        <v>14330</v>
      </c>
      <c r="M2021">
        <v>0</v>
      </c>
    </row>
    <row r="2022" spans="1:13" x14ac:dyDescent="0.25">
      <c r="A2022" s="35" t="s">
        <v>7285</v>
      </c>
      <c r="B2022" s="36" t="s">
        <v>7286</v>
      </c>
      <c r="C2022" s="36" t="str">
        <f>HYPERLINK("https://rhld.insurance.arkansas.gov/NPILookup?Npi=1104696186","1104696186")</f>
        <v>1104696186</v>
      </c>
      <c r="D2022" s="36" t="s">
        <v>34679</v>
      </c>
      <c r="E2022" s="36" t="s">
        <v>34655</v>
      </c>
      <c r="F2022" s="36">
        <v>1</v>
      </c>
      <c r="G2022" s="36">
        <v>0</v>
      </c>
      <c r="H2022" s="36">
        <v>0</v>
      </c>
      <c r="I2022" s="37">
        <v>0</v>
      </c>
      <c r="J2022" s="36" t="s">
        <v>32679</v>
      </c>
      <c r="K2022" s="36" t="s">
        <v>14330</v>
      </c>
      <c r="L2022" s="36" t="s">
        <v>14330</v>
      </c>
      <c r="M2022">
        <v>0</v>
      </c>
    </row>
    <row r="2023" spans="1:13" x14ac:dyDescent="0.25">
      <c r="A2023" s="35" t="s">
        <v>7285</v>
      </c>
      <c r="B2023" s="36" t="s">
        <v>7286</v>
      </c>
      <c r="C2023" s="36" t="str">
        <f>HYPERLINK("https://rhld.insurance.arkansas.gov/NPILookup?Npi=1114745114","1114745114")</f>
        <v>1114745114</v>
      </c>
      <c r="D2023" s="36" t="s">
        <v>34680</v>
      </c>
      <c r="E2023" s="36" t="s">
        <v>34655</v>
      </c>
      <c r="F2023" s="36">
        <v>1</v>
      </c>
      <c r="G2023" s="36">
        <v>0</v>
      </c>
      <c r="H2023" s="36">
        <v>0</v>
      </c>
      <c r="I2023" s="37">
        <v>0</v>
      </c>
      <c r="J2023" s="36" t="s">
        <v>32679</v>
      </c>
      <c r="K2023" s="36" t="s">
        <v>14330</v>
      </c>
      <c r="L2023" s="36" t="s">
        <v>14330</v>
      </c>
      <c r="M2023">
        <v>0</v>
      </c>
    </row>
    <row r="2024" spans="1:13" x14ac:dyDescent="0.25">
      <c r="A2024" s="35" t="s">
        <v>7285</v>
      </c>
      <c r="B2024" s="36" t="s">
        <v>7286</v>
      </c>
      <c r="C2024" s="36" t="str">
        <f>HYPERLINK("https://rhld.insurance.arkansas.gov/NPILookup?Npi=1124401104","1124401104")</f>
        <v>1124401104</v>
      </c>
      <c r="D2024" s="36" t="s">
        <v>34681</v>
      </c>
      <c r="E2024" s="36" t="s">
        <v>34655</v>
      </c>
      <c r="F2024" s="36">
        <v>1</v>
      </c>
      <c r="G2024" s="36">
        <v>0</v>
      </c>
      <c r="H2024" s="36">
        <v>0</v>
      </c>
      <c r="I2024" s="37">
        <v>0</v>
      </c>
      <c r="J2024" s="36" t="s">
        <v>32679</v>
      </c>
      <c r="K2024" s="36" t="s">
        <v>14330</v>
      </c>
      <c r="L2024" s="36" t="s">
        <v>14330</v>
      </c>
      <c r="M2024">
        <v>0</v>
      </c>
    </row>
    <row r="2025" spans="1:13" x14ac:dyDescent="0.25">
      <c r="A2025" s="35" t="s">
        <v>7285</v>
      </c>
      <c r="B2025" s="36" t="s">
        <v>7286</v>
      </c>
      <c r="C2025" s="36" t="str">
        <f>HYPERLINK("https://rhld.insurance.arkansas.gov/NPILookup?Npi=1124454756","1124454756")</f>
        <v>1124454756</v>
      </c>
      <c r="D2025" s="36" t="s">
        <v>34682</v>
      </c>
      <c r="E2025" s="36" t="s">
        <v>34655</v>
      </c>
      <c r="F2025" s="36">
        <v>1</v>
      </c>
      <c r="G2025" s="36">
        <v>0</v>
      </c>
      <c r="H2025" s="36">
        <v>0</v>
      </c>
      <c r="I2025" s="37">
        <v>0</v>
      </c>
      <c r="J2025" s="36" t="s">
        <v>32679</v>
      </c>
      <c r="K2025" s="36" t="s">
        <v>14330</v>
      </c>
      <c r="L2025" s="36" t="s">
        <v>14330</v>
      </c>
      <c r="M2025">
        <v>0</v>
      </c>
    </row>
    <row r="2026" spans="1:13" x14ac:dyDescent="0.25">
      <c r="A2026" s="35" t="s">
        <v>7285</v>
      </c>
      <c r="B2026" s="36" t="s">
        <v>7286</v>
      </c>
      <c r="C2026" s="36" t="str">
        <f>HYPERLINK("https://rhld.insurance.arkansas.gov/NPILookup?Npi=1124479597","1124479597")</f>
        <v>1124479597</v>
      </c>
      <c r="D2026" s="36" t="s">
        <v>34683</v>
      </c>
      <c r="E2026" s="36" t="s">
        <v>34655</v>
      </c>
      <c r="F2026" s="36">
        <v>1</v>
      </c>
      <c r="G2026" s="36">
        <v>0</v>
      </c>
      <c r="H2026" s="36">
        <v>0</v>
      </c>
      <c r="I2026" s="37">
        <v>0</v>
      </c>
      <c r="J2026" s="36" t="s">
        <v>32679</v>
      </c>
      <c r="K2026" s="36" t="s">
        <v>14330</v>
      </c>
      <c r="L2026" s="36" t="s">
        <v>14330</v>
      </c>
      <c r="M2026">
        <v>0</v>
      </c>
    </row>
    <row r="2027" spans="1:13" x14ac:dyDescent="0.25">
      <c r="A2027" s="35" t="s">
        <v>7285</v>
      </c>
      <c r="B2027" s="36" t="s">
        <v>7286</v>
      </c>
      <c r="C2027" s="36" t="str">
        <f>HYPERLINK("https://rhld.insurance.arkansas.gov/NPILookup?Npi=1134513336","1134513336")</f>
        <v>1134513336</v>
      </c>
      <c r="D2027" s="36" t="s">
        <v>34684</v>
      </c>
      <c r="E2027" s="36" t="s">
        <v>34655</v>
      </c>
      <c r="F2027" s="36">
        <v>1</v>
      </c>
      <c r="G2027" s="36">
        <v>0</v>
      </c>
      <c r="H2027" s="36">
        <v>0</v>
      </c>
      <c r="I2027" s="37">
        <v>0</v>
      </c>
      <c r="J2027" s="36" t="s">
        <v>32679</v>
      </c>
      <c r="K2027" s="36" t="s">
        <v>14330</v>
      </c>
      <c r="L2027" s="36" t="s">
        <v>14330</v>
      </c>
      <c r="M2027">
        <v>0</v>
      </c>
    </row>
    <row r="2028" spans="1:13" x14ac:dyDescent="0.25">
      <c r="A2028" s="35" t="s">
        <v>7285</v>
      </c>
      <c r="B2028" s="36" t="s">
        <v>7286</v>
      </c>
      <c r="C2028" s="36" t="str">
        <f>HYPERLINK("https://rhld.insurance.arkansas.gov/NPILookup?Npi=1164294963","1164294963")</f>
        <v>1164294963</v>
      </c>
      <c r="D2028" s="36" t="s">
        <v>34685</v>
      </c>
      <c r="E2028" s="36" t="s">
        <v>34655</v>
      </c>
      <c r="F2028" s="36">
        <v>1</v>
      </c>
      <c r="G2028" s="36">
        <v>0</v>
      </c>
      <c r="H2028" s="36">
        <v>0</v>
      </c>
      <c r="I2028" s="37">
        <v>0</v>
      </c>
      <c r="J2028" s="36" t="s">
        <v>32679</v>
      </c>
      <c r="K2028" s="36" t="s">
        <v>14330</v>
      </c>
      <c r="L2028" s="36" t="s">
        <v>14330</v>
      </c>
      <c r="M2028">
        <v>0</v>
      </c>
    </row>
    <row r="2029" spans="1:13" x14ac:dyDescent="0.25">
      <c r="A2029" s="35" t="s">
        <v>7285</v>
      </c>
      <c r="B2029" s="36" t="s">
        <v>7286</v>
      </c>
      <c r="C2029" s="36" t="str">
        <f>HYPERLINK("https://rhld.insurance.arkansas.gov/NPILookup?Npi=1164665832","1164665832")</f>
        <v>1164665832</v>
      </c>
      <c r="D2029" s="36" t="s">
        <v>34686</v>
      </c>
      <c r="E2029" s="36" t="s">
        <v>34655</v>
      </c>
      <c r="F2029" s="36">
        <v>1</v>
      </c>
      <c r="G2029" s="36">
        <v>0</v>
      </c>
      <c r="H2029" s="36">
        <v>0</v>
      </c>
      <c r="I2029" s="37">
        <v>0</v>
      </c>
      <c r="J2029" s="36" t="s">
        <v>32679</v>
      </c>
      <c r="K2029" s="36" t="s">
        <v>14330</v>
      </c>
      <c r="L2029" s="36" t="s">
        <v>14330</v>
      </c>
      <c r="M2029">
        <v>0</v>
      </c>
    </row>
    <row r="2030" spans="1:13" x14ac:dyDescent="0.25">
      <c r="A2030" s="35" t="s">
        <v>7285</v>
      </c>
      <c r="B2030" s="36" t="s">
        <v>7286</v>
      </c>
      <c r="C2030" s="36" t="str">
        <f>HYPERLINK("https://rhld.insurance.arkansas.gov/NPILookup?Npi=1164808028","1164808028")</f>
        <v>1164808028</v>
      </c>
      <c r="D2030" s="36" t="s">
        <v>34687</v>
      </c>
      <c r="E2030" s="36" t="s">
        <v>34655</v>
      </c>
      <c r="F2030" s="36">
        <v>1</v>
      </c>
      <c r="G2030" s="36">
        <v>0</v>
      </c>
      <c r="H2030" s="36">
        <v>0</v>
      </c>
      <c r="I2030" s="37">
        <v>0</v>
      </c>
      <c r="J2030" s="36" t="s">
        <v>32679</v>
      </c>
      <c r="K2030" s="36" t="s">
        <v>14330</v>
      </c>
      <c r="L2030" s="36" t="s">
        <v>14330</v>
      </c>
      <c r="M2030">
        <v>0</v>
      </c>
    </row>
    <row r="2031" spans="1:13" x14ac:dyDescent="0.25">
      <c r="A2031" s="35" t="s">
        <v>7285</v>
      </c>
      <c r="B2031" s="36" t="s">
        <v>7286</v>
      </c>
      <c r="C2031" s="36" t="str">
        <f>HYPERLINK("https://rhld.insurance.arkansas.gov/NPILookup?Npi=1164991048","1164991048")</f>
        <v>1164991048</v>
      </c>
      <c r="D2031" s="36" t="s">
        <v>34688</v>
      </c>
      <c r="E2031" s="36" t="s">
        <v>34655</v>
      </c>
      <c r="F2031" s="36">
        <v>1</v>
      </c>
      <c r="G2031" s="36">
        <v>0</v>
      </c>
      <c r="H2031" s="36">
        <v>0</v>
      </c>
      <c r="I2031" s="37">
        <v>0</v>
      </c>
      <c r="J2031" s="36" t="s">
        <v>32679</v>
      </c>
      <c r="K2031" s="36" t="s">
        <v>14330</v>
      </c>
      <c r="L2031" s="36" t="s">
        <v>14330</v>
      </c>
      <c r="M2031">
        <v>0</v>
      </c>
    </row>
    <row r="2032" spans="1:13" x14ac:dyDescent="0.25">
      <c r="A2032" s="35" t="s">
        <v>7285</v>
      </c>
      <c r="B2032" s="36" t="s">
        <v>7286</v>
      </c>
      <c r="C2032" s="36" t="str">
        <f>HYPERLINK("https://rhld.insurance.arkansas.gov/NPILookup?Npi=1174613962","1174613962")</f>
        <v>1174613962</v>
      </c>
      <c r="D2032" s="36" t="s">
        <v>34689</v>
      </c>
      <c r="E2032" s="36" t="s">
        <v>34655</v>
      </c>
      <c r="F2032" s="36">
        <v>1</v>
      </c>
      <c r="G2032" s="36">
        <v>0</v>
      </c>
      <c r="H2032" s="36">
        <v>0</v>
      </c>
      <c r="I2032" s="37">
        <v>0</v>
      </c>
      <c r="J2032" s="36" t="s">
        <v>32679</v>
      </c>
      <c r="K2032" s="36" t="s">
        <v>14330</v>
      </c>
      <c r="L2032" s="36" t="s">
        <v>14330</v>
      </c>
      <c r="M2032">
        <v>0</v>
      </c>
    </row>
    <row r="2033" spans="1:13" x14ac:dyDescent="0.25">
      <c r="A2033" s="35" t="s">
        <v>7285</v>
      </c>
      <c r="B2033" s="36" t="s">
        <v>7286</v>
      </c>
      <c r="C2033" s="36" t="str">
        <f>HYPERLINK("https://rhld.insurance.arkansas.gov/NPILookup?Npi=1174835649","1174835649")</f>
        <v>1174835649</v>
      </c>
      <c r="D2033" s="36" t="s">
        <v>34690</v>
      </c>
      <c r="E2033" s="36" t="s">
        <v>34655</v>
      </c>
      <c r="F2033" s="36">
        <v>1</v>
      </c>
      <c r="G2033" s="36">
        <v>0</v>
      </c>
      <c r="H2033" s="36">
        <v>0</v>
      </c>
      <c r="I2033" s="37">
        <v>0</v>
      </c>
      <c r="J2033" s="36" t="s">
        <v>32679</v>
      </c>
      <c r="K2033" s="36" t="s">
        <v>14330</v>
      </c>
      <c r="L2033" s="36" t="s">
        <v>14330</v>
      </c>
      <c r="M2033">
        <v>0</v>
      </c>
    </row>
    <row r="2034" spans="1:13" x14ac:dyDescent="0.25">
      <c r="A2034" s="35" t="s">
        <v>7285</v>
      </c>
      <c r="B2034" s="36" t="s">
        <v>7286</v>
      </c>
      <c r="C2034" s="36" t="str">
        <f>HYPERLINK("https://rhld.insurance.arkansas.gov/NPILookup?Npi=1184254765","1184254765")</f>
        <v>1184254765</v>
      </c>
      <c r="D2034" s="36" t="s">
        <v>34691</v>
      </c>
      <c r="E2034" s="36" t="s">
        <v>34655</v>
      </c>
      <c r="F2034" s="36">
        <v>1</v>
      </c>
      <c r="G2034" s="36">
        <v>0</v>
      </c>
      <c r="H2034" s="36">
        <v>0</v>
      </c>
      <c r="I2034" s="37">
        <v>0</v>
      </c>
      <c r="J2034" s="36" t="s">
        <v>32679</v>
      </c>
      <c r="K2034" s="36" t="s">
        <v>14330</v>
      </c>
      <c r="L2034" s="36" t="s">
        <v>14330</v>
      </c>
      <c r="M2034">
        <v>0</v>
      </c>
    </row>
    <row r="2035" spans="1:13" x14ac:dyDescent="0.25">
      <c r="A2035" s="35" t="s">
        <v>7285</v>
      </c>
      <c r="B2035" s="36" t="s">
        <v>7286</v>
      </c>
      <c r="C2035" s="36" t="str">
        <f>HYPERLINK("https://rhld.insurance.arkansas.gov/NPILookup?Npi=1184452583","1184452583")</f>
        <v>1184452583</v>
      </c>
      <c r="D2035" s="36" t="s">
        <v>34692</v>
      </c>
      <c r="E2035" s="36" t="s">
        <v>34655</v>
      </c>
      <c r="F2035" s="36">
        <v>1</v>
      </c>
      <c r="G2035" s="36">
        <v>0</v>
      </c>
      <c r="H2035" s="36">
        <v>0</v>
      </c>
      <c r="I2035" s="37">
        <v>0</v>
      </c>
      <c r="J2035" s="36" t="s">
        <v>32679</v>
      </c>
      <c r="K2035" s="36" t="s">
        <v>14330</v>
      </c>
      <c r="L2035" s="36" t="s">
        <v>14330</v>
      </c>
      <c r="M2035">
        <v>0</v>
      </c>
    </row>
    <row r="2036" spans="1:13" x14ac:dyDescent="0.25">
      <c r="A2036" s="35" t="s">
        <v>7285</v>
      </c>
      <c r="B2036" s="36" t="s">
        <v>7286</v>
      </c>
      <c r="C2036" s="36" t="str">
        <f>HYPERLINK("https://rhld.insurance.arkansas.gov/NPILookup?Npi=1194560771","1194560771")</f>
        <v>1194560771</v>
      </c>
      <c r="D2036" s="36" t="s">
        <v>34693</v>
      </c>
      <c r="E2036" s="36" t="s">
        <v>34655</v>
      </c>
      <c r="F2036" s="36">
        <v>1</v>
      </c>
      <c r="G2036" s="36">
        <v>0</v>
      </c>
      <c r="H2036" s="36">
        <v>0</v>
      </c>
      <c r="I2036" s="37">
        <v>0</v>
      </c>
      <c r="J2036" s="36" t="s">
        <v>32679</v>
      </c>
      <c r="K2036" s="36" t="s">
        <v>14330</v>
      </c>
      <c r="L2036" s="36" t="s">
        <v>14330</v>
      </c>
      <c r="M2036">
        <v>0</v>
      </c>
    </row>
    <row r="2037" spans="1:13" x14ac:dyDescent="0.25">
      <c r="A2037" s="35" t="s">
        <v>7285</v>
      </c>
      <c r="B2037" s="36" t="s">
        <v>7286</v>
      </c>
      <c r="C2037" s="36" t="str">
        <f>HYPERLINK("https://rhld.insurance.arkansas.gov/NPILookup?Npi=1215276977","1215276977")</f>
        <v>1215276977</v>
      </c>
      <c r="D2037" s="36" t="s">
        <v>34694</v>
      </c>
      <c r="E2037" s="36" t="s">
        <v>34655</v>
      </c>
      <c r="F2037" s="36">
        <v>1</v>
      </c>
      <c r="G2037" s="36">
        <v>0</v>
      </c>
      <c r="H2037" s="36">
        <v>0</v>
      </c>
      <c r="I2037" s="37">
        <v>0</v>
      </c>
      <c r="J2037" s="36" t="s">
        <v>32679</v>
      </c>
      <c r="K2037" s="36" t="s">
        <v>14330</v>
      </c>
      <c r="L2037" s="36" t="s">
        <v>14330</v>
      </c>
      <c r="M2037">
        <v>0</v>
      </c>
    </row>
    <row r="2038" spans="1:13" x14ac:dyDescent="0.25">
      <c r="A2038" s="35" t="s">
        <v>7285</v>
      </c>
      <c r="B2038" s="36" t="s">
        <v>7286</v>
      </c>
      <c r="C2038" s="36" t="str">
        <f>HYPERLINK("https://rhld.insurance.arkansas.gov/NPILookup?Npi=1215592464","1215592464")</f>
        <v>1215592464</v>
      </c>
      <c r="D2038" s="36" t="s">
        <v>34695</v>
      </c>
      <c r="E2038" s="36" t="s">
        <v>34655</v>
      </c>
      <c r="F2038" s="36">
        <v>1</v>
      </c>
      <c r="G2038" s="36">
        <v>0</v>
      </c>
      <c r="H2038" s="36">
        <v>0</v>
      </c>
      <c r="I2038" s="37">
        <v>0</v>
      </c>
      <c r="J2038" s="36" t="s">
        <v>32679</v>
      </c>
      <c r="K2038" s="36" t="s">
        <v>14330</v>
      </c>
      <c r="L2038" s="36" t="s">
        <v>14330</v>
      </c>
      <c r="M2038">
        <v>0</v>
      </c>
    </row>
    <row r="2039" spans="1:13" x14ac:dyDescent="0.25">
      <c r="A2039" s="35" t="s">
        <v>7285</v>
      </c>
      <c r="B2039" s="36" t="s">
        <v>7286</v>
      </c>
      <c r="C2039" s="36" t="str">
        <f>HYPERLINK("https://rhld.insurance.arkansas.gov/NPILookup?Npi=1235595059","1235595059")</f>
        <v>1235595059</v>
      </c>
      <c r="D2039" s="36" t="s">
        <v>34696</v>
      </c>
      <c r="E2039" s="36" t="s">
        <v>34655</v>
      </c>
      <c r="F2039" s="36">
        <v>1</v>
      </c>
      <c r="G2039" s="36">
        <v>0</v>
      </c>
      <c r="H2039" s="36">
        <v>0</v>
      </c>
      <c r="I2039" s="37">
        <v>0</v>
      </c>
      <c r="J2039" s="36" t="s">
        <v>32679</v>
      </c>
      <c r="K2039" s="36" t="s">
        <v>14330</v>
      </c>
      <c r="L2039" s="36" t="s">
        <v>14330</v>
      </c>
      <c r="M2039">
        <v>0</v>
      </c>
    </row>
    <row r="2040" spans="1:13" x14ac:dyDescent="0.25">
      <c r="A2040" s="35" t="s">
        <v>7285</v>
      </c>
      <c r="B2040" s="36" t="s">
        <v>7286</v>
      </c>
      <c r="C2040" s="36" t="str">
        <f>HYPERLINK("https://rhld.insurance.arkansas.gov/NPILookup?Npi=1265058804","1265058804")</f>
        <v>1265058804</v>
      </c>
      <c r="D2040" s="36" t="s">
        <v>34697</v>
      </c>
      <c r="E2040" s="36" t="s">
        <v>34655</v>
      </c>
      <c r="F2040" s="36">
        <v>1</v>
      </c>
      <c r="G2040" s="36">
        <v>0</v>
      </c>
      <c r="H2040" s="36">
        <v>0</v>
      </c>
      <c r="I2040" s="37">
        <v>0</v>
      </c>
      <c r="J2040" s="36" t="s">
        <v>32679</v>
      </c>
      <c r="K2040" s="36" t="s">
        <v>14330</v>
      </c>
      <c r="L2040" s="36" t="s">
        <v>14330</v>
      </c>
      <c r="M2040">
        <v>0</v>
      </c>
    </row>
    <row r="2041" spans="1:13" x14ac:dyDescent="0.25">
      <c r="A2041" s="35" t="s">
        <v>7285</v>
      </c>
      <c r="B2041" s="36" t="s">
        <v>7286</v>
      </c>
      <c r="C2041" s="36" t="str">
        <f>HYPERLINK("https://rhld.insurance.arkansas.gov/NPILookup?Npi=1265189450","1265189450")</f>
        <v>1265189450</v>
      </c>
      <c r="D2041" s="36" t="s">
        <v>34698</v>
      </c>
      <c r="E2041" s="36" t="s">
        <v>34655</v>
      </c>
      <c r="F2041" s="36">
        <v>1</v>
      </c>
      <c r="G2041" s="36">
        <v>0</v>
      </c>
      <c r="H2041" s="36">
        <v>0</v>
      </c>
      <c r="I2041" s="37">
        <v>0</v>
      </c>
      <c r="J2041" s="36" t="s">
        <v>32679</v>
      </c>
      <c r="K2041" s="36" t="s">
        <v>14330</v>
      </c>
      <c r="L2041" s="36" t="s">
        <v>14330</v>
      </c>
      <c r="M2041">
        <v>0</v>
      </c>
    </row>
    <row r="2042" spans="1:13" x14ac:dyDescent="0.25">
      <c r="A2042" s="35" t="s">
        <v>7285</v>
      </c>
      <c r="B2042" s="36" t="s">
        <v>7286</v>
      </c>
      <c r="C2042" s="36" t="str">
        <f>HYPERLINK("https://rhld.insurance.arkansas.gov/NPILookup?Npi=1265899207","1265899207")</f>
        <v>1265899207</v>
      </c>
      <c r="D2042" s="36" t="s">
        <v>34699</v>
      </c>
      <c r="E2042" s="36" t="s">
        <v>34655</v>
      </c>
      <c r="F2042" s="36">
        <v>1</v>
      </c>
      <c r="G2042" s="36">
        <v>0</v>
      </c>
      <c r="H2042" s="36">
        <v>0</v>
      </c>
      <c r="I2042" s="37">
        <v>0</v>
      </c>
      <c r="J2042" s="36" t="s">
        <v>32679</v>
      </c>
      <c r="K2042" s="36" t="s">
        <v>14330</v>
      </c>
      <c r="L2042" s="36" t="s">
        <v>14330</v>
      </c>
      <c r="M2042">
        <v>0</v>
      </c>
    </row>
    <row r="2043" spans="1:13" x14ac:dyDescent="0.25">
      <c r="A2043" s="35" t="s">
        <v>7285</v>
      </c>
      <c r="B2043" s="36" t="s">
        <v>7286</v>
      </c>
      <c r="C2043" s="36" t="str">
        <f>HYPERLINK("https://rhld.insurance.arkansas.gov/NPILookup?Npi=1275177073","1275177073")</f>
        <v>1275177073</v>
      </c>
      <c r="D2043" s="36" t="s">
        <v>34700</v>
      </c>
      <c r="E2043" s="36" t="s">
        <v>34655</v>
      </c>
      <c r="F2043" s="36">
        <v>1</v>
      </c>
      <c r="G2043" s="36">
        <v>0</v>
      </c>
      <c r="H2043" s="36">
        <v>0</v>
      </c>
      <c r="I2043" s="37">
        <v>0</v>
      </c>
      <c r="J2043" s="36" t="s">
        <v>32679</v>
      </c>
      <c r="K2043" s="36" t="s">
        <v>14330</v>
      </c>
      <c r="L2043" s="36" t="s">
        <v>14330</v>
      </c>
      <c r="M2043">
        <v>0</v>
      </c>
    </row>
    <row r="2044" spans="1:13" x14ac:dyDescent="0.25">
      <c r="A2044" s="35" t="s">
        <v>7285</v>
      </c>
      <c r="B2044" s="36" t="s">
        <v>7286</v>
      </c>
      <c r="C2044" s="36" t="str">
        <f>HYPERLINK("https://rhld.insurance.arkansas.gov/NPILookup?Npi=1275976664","1275976664")</f>
        <v>1275976664</v>
      </c>
      <c r="D2044" s="36" t="s">
        <v>34701</v>
      </c>
      <c r="E2044" s="36" t="s">
        <v>34655</v>
      </c>
      <c r="F2044" s="36">
        <v>1</v>
      </c>
      <c r="G2044" s="36">
        <v>0</v>
      </c>
      <c r="H2044" s="36">
        <v>0</v>
      </c>
      <c r="I2044" s="37">
        <v>0</v>
      </c>
      <c r="J2044" s="36" t="s">
        <v>32679</v>
      </c>
      <c r="K2044" s="36" t="s">
        <v>14330</v>
      </c>
      <c r="L2044" s="36" t="s">
        <v>14330</v>
      </c>
      <c r="M2044">
        <v>0</v>
      </c>
    </row>
    <row r="2045" spans="1:13" x14ac:dyDescent="0.25">
      <c r="A2045" s="35" t="s">
        <v>7285</v>
      </c>
      <c r="B2045" s="36" t="s">
        <v>7286</v>
      </c>
      <c r="C2045" s="36" t="str">
        <f>HYPERLINK("https://rhld.insurance.arkansas.gov/NPILookup?Npi=1295169613","1295169613")</f>
        <v>1295169613</v>
      </c>
      <c r="D2045" s="36" t="s">
        <v>34702</v>
      </c>
      <c r="E2045" s="36" t="s">
        <v>34655</v>
      </c>
      <c r="F2045" s="36">
        <v>1</v>
      </c>
      <c r="G2045" s="36">
        <v>0</v>
      </c>
      <c r="H2045" s="36">
        <v>0</v>
      </c>
      <c r="I2045" s="37">
        <v>0</v>
      </c>
      <c r="J2045" s="36" t="s">
        <v>32679</v>
      </c>
      <c r="K2045" s="36" t="s">
        <v>14330</v>
      </c>
      <c r="L2045" s="36" t="s">
        <v>14330</v>
      </c>
      <c r="M2045">
        <v>0</v>
      </c>
    </row>
    <row r="2046" spans="1:13" x14ac:dyDescent="0.25">
      <c r="A2046" s="35" t="s">
        <v>7285</v>
      </c>
      <c r="B2046" s="36" t="s">
        <v>7286</v>
      </c>
      <c r="C2046" s="36" t="str">
        <f>HYPERLINK("https://rhld.insurance.arkansas.gov/NPILookup?Npi=1295538247","1295538247")</f>
        <v>1295538247</v>
      </c>
      <c r="D2046" s="36" t="s">
        <v>34703</v>
      </c>
      <c r="E2046" s="36" t="s">
        <v>34655</v>
      </c>
      <c r="F2046" s="36">
        <v>1</v>
      </c>
      <c r="G2046" s="36">
        <v>0</v>
      </c>
      <c r="H2046" s="36">
        <v>0</v>
      </c>
      <c r="I2046" s="37">
        <v>0</v>
      </c>
      <c r="J2046" s="36" t="s">
        <v>32679</v>
      </c>
      <c r="K2046" s="36" t="s">
        <v>14330</v>
      </c>
      <c r="L2046" s="36" t="s">
        <v>14330</v>
      </c>
      <c r="M2046">
        <v>0</v>
      </c>
    </row>
    <row r="2047" spans="1:13" x14ac:dyDescent="0.25">
      <c r="A2047" s="35" t="s">
        <v>7285</v>
      </c>
      <c r="B2047" s="36" t="s">
        <v>7286</v>
      </c>
      <c r="C2047" s="36" t="str">
        <f>HYPERLINK("https://rhld.insurance.arkansas.gov/NPILookup?Npi=1306227434","1306227434")</f>
        <v>1306227434</v>
      </c>
      <c r="D2047" s="36" t="s">
        <v>34704</v>
      </c>
      <c r="E2047" s="36" t="s">
        <v>34655</v>
      </c>
      <c r="F2047" s="36">
        <v>1</v>
      </c>
      <c r="G2047" s="36">
        <v>0</v>
      </c>
      <c r="H2047" s="36">
        <v>0</v>
      </c>
      <c r="I2047" s="37">
        <v>0</v>
      </c>
      <c r="J2047" s="36" t="s">
        <v>32679</v>
      </c>
      <c r="K2047" s="36" t="s">
        <v>14330</v>
      </c>
      <c r="L2047" s="36" t="s">
        <v>14330</v>
      </c>
      <c r="M2047">
        <v>0</v>
      </c>
    </row>
    <row r="2048" spans="1:13" x14ac:dyDescent="0.25">
      <c r="A2048" s="35" t="s">
        <v>7285</v>
      </c>
      <c r="B2048" s="36" t="s">
        <v>7286</v>
      </c>
      <c r="C2048" s="36" t="str">
        <f>HYPERLINK("https://rhld.insurance.arkansas.gov/NPILookup?Npi=1306312830","1306312830")</f>
        <v>1306312830</v>
      </c>
      <c r="D2048" s="36" t="s">
        <v>34705</v>
      </c>
      <c r="E2048" s="36" t="s">
        <v>34655</v>
      </c>
      <c r="F2048" s="36">
        <v>1</v>
      </c>
      <c r="G2048" s="36">
        <v>0</v>
      </c>
      <c r="H2048" s="36">
        <v>0</v>
      </c>
      <c r="I2048" s="37">
        <v>0</v>
      </c>
      <c r="J2048" s="36" t="s">
        <v>32679</v>
      </c>
      <c r="K2048" s="36" t="s">
        <v>14330</v>
      </c>
      <c r="L2048" s="36" t="s">
        <v>14330</v>
      </c>
      <c r="M2048">
        <v>0</v>
      </c>
    </row>
    <row r="2049" spans="1:13" x14ac:dyDescent="0.25">
      <c r="A2049" s="35" t="s">
        <v>7285</v>
      </c>
      <c r="B2049" s="36" t="s">
        <v>7286</v>
      </c>
      <c r="C2049" s="36" t="str">
        <f>HYPERLINK("https://rhld.insurance.arkansas.gov/NPILookup?Npi=1306316997","1306316997")</f>
        <v>1306316997</v>
      </c>
      <c r="D2049" s="36" t="s">
        <v>34706</v>
      </c>
      <c r="E2049" s="36" t="s">
        <v>34655</v>
      </c>
      <c r="F2049" s="36">
        <v>1</v>
      </c>
      <c r="G2049" s="36">
        <v>0</v>
      </c>
      <c r="H2049" s="36">
        <v>0</v>
      </c>
      <c r="I2049" s="37">
        <v>0</v>
      </c>
      <c r="J2049" s="36" t="s">
        <v>32679</v>
      </c>
      <c r="K2049" s="36" t="s">
        <v>14330</v>
      </c>
      <c r="L2049" s="36" t="s">
        <v>14330</v>
      </c>
      <c r="M2049">
        <v>0</v>
      </c>
    </row>
    <row r="2050" spans="1:13" x14ac:dyDescent="0.25">
      <c r="A2050" s="35" t="s">
        <v>7285</v>
      </c>
      <c r="B2050" s="36" t="s">
        <v>7286</v>
      </c>
      <c r="C2050" s="36" t="str">
        <f>HYPERLINK("https://rhld.insurance.arkansas.gov/NPILookup?Npi=1306388939","1306388939")</f>
        <v>1306388939</v>
      </c>
      <c r="D2050" s="36" t="s">
        <v>34707</v>
      </c>
      <c r="E2050" s="36" t="s">
        <v>34655</v>
      </c>
      <c r="F2050" s="36">
        <v>1</v>
      </c>
      <c r="G2050" s="36">
        <v>0</v>
      </c>
      <c r="H2050" s="36">
        <v>0</v>
      </c>
      <c r="I2050" s="37">
        <v>0</v>
      </c>
      <c r="J2050" s="36" t="s">
        <v>32679</v>
      </c>
      <c r="K2050" s="36" t="s">
        <v>14330</v>
      </c>
      <c r="L2050" s="36" t="s">
        <v>14330</v>
      </c>
      <c r="M2050">
        <v>0</v>
      </c>
    </row>
    <row r="2051" spans="1:13" x14ac:dyDescent="0.25">
      <c r="A2051" s="35" t="s">
        <v>7285</v>
      </c>
      <c r="B2051" s="36" t="s">
        <v>7286</v>
      </c>
      <c r="C2051" s="36" t="str">
        <f>HYPERLINK("https://rhld.insurance.arkansas.gov/NPILookup?Npi=1306849922","1306849922")</f>
        <v>1306849922</v>
      </c>
      <c r="D2051" s="36" t="s">
        <v>34708</v>
      </c>
      <c r="E2051" s="36" t="s">
        <v>34655</v>
      </c>
      <c r="F2051" s="36">
        <v>1</v>
      </c>
      <c r="G2051" s="36">
        <v>0</v>
      </c>
      <c r="H2051" s="36">
        <v>0</v>
      </c>
      <c r="I2051" s="37">
        <v>0</v>
      </c>
      <c r="J2051" s="36" t="s">
        <v>32679</v>
      </c>
      <c r="K2051" s="36" t="s">
        <v>14330</v>
      </c>
      <c r="L2051" s="36" t="s">
        <v>14330</v>
      </c>
      <c r="M2051">
        <v>0</v>
      </c>
    </row>
    <row r="2052" spans="1:13" x14ac:dyDescent="0.25">
      <c r="A2052" s="35" t="s">
        <v>7285</v>
      </c>
      <c r="B2052" s="36" t="s">
        <v>7286</v>
      </c>
      <c r="C2052" s="36" t="str">
        <f>HYPERLINK("https://rhld.insurance.arkansas.gov/NPILookup?Npi=1316255433","1316255433")</f>
        <v>1316255433</v>
      </c>
      <c r="D2052" s="36" t="s">
        <v>34709</v>
      </c>
      <c r="E2052" s="36" t="s">
        <v>34655</v>
      </c>
      <c r="F2052" s="36">
        <v>1</v>
      </c>
      <c r="G2052" s="36">
        <v>0</v>
      </c>
      <c r="H2052" s="36">
        <v>0</v>
      </c>
      <c r="I2052" s="37">
        <v>0</v>
      </c>
      <c r="J2052" s="36" t="s">
        <v>32679</v>
      </c>
      <c r="K2052" s="36" t="s">
        <v>14330</v>
      </c>
      <c r="L2052" s="36" t="s">
        <v>14330</v>
      </c>
      <c r="M2052">
        <v>0</v>
      </c>
    </row>
    <row r="2053" spans="1:13" x14ac:dyDescent="0.25">
      <c r="A2053" s="35" t="s">
        <v>7285</v>
      </c>
      <c r="B2053" s="36" t="s">
        <v>7286</v>
      </c>
      <c r="C2053" s="36" t="str">
        <f>HYPERLINK("https://rhld.insurance.arkansas.gov/NPILookup?Npi=1316360191","1316360191")</f>
        <v>1316360191</v>
      </c>
      <c r="D2053" s="36" t="s">
        <v>34710</v>
      </c>
      <c r="E2053" s="36" t="s">
        <v>34655</v>
      </c>
      <c r="F2053" s="36">
        <v>1</v>
      </c>
      <c r="G2053" s="36">
        <v>0</v>
      </c>
      <c r="H2053" s="36">
        <v>0</v>
      </c>
      <c r="I2053" s="37">
        <v>0</v>
      </c>
      <c r="J2053" s="36" t="s">
        <v>32679</v>
      </c>
      <c r="K2053" s="36" t="s">
        <v>14330</v>
      </c>
      <c r="L2053" s="36" t="s">
        <v>14330</v>
      </c>
      <c r="M2053">
        <v>0</v>
      </c>
    </row>
    <row r="2054" spans="1:13" x14ac:dyDescent="0.25">
      <c r="A2054" s="35" t="s">
        <v>7285</v>
      </c>
      <c r="B2054" s="36" t="s">
        <v>7286</v>
      </c>
      <c r="C2054" s="36" t="str">
        <f>HYPERLINK("https://rhld.insurance.arkansas.gov/NPILookup?Npi=1316593122","1316593122")</f>
        <v>1316593122</v>
      </c>
      <c r="D2054" s="36" t="s">
        <v>34711</v>
      </c>
      <c r="E2054" s="36" t="s">
        <v>34655</v>
      </c>
      <c r="F2054" s="36">
        <v>1</v>
      </c>
      <c r="G2054" s="36">
        <v>0</v>
      </c>
      <c r="H2054" s="36">
        <v>0</v>
      </c>
      <c r="I2054" s="37">
        <v>0</v>
      </c>
      <c r="J2054" s="36" t="s">
        <v>32679</v>
      </c>
      <c r="K2054" s="36" t="s">
        <v>14330</v>
      </c>
      <c r="L2054" s="36" t="s">
        <v>14330</v>
      </c>
      <c r="M2054">
        <v>0</v>
      </c>
    </row>
    <row r="2055" spans="1:13" x14ac:dyDescent="0.25">
      <c r="A2055" s="35" t="s">
        <v>7285</v>
      </c>
      <c r="B2055" s="36" t="s">
        <v>7286</v>
      </c>
      <c r="C2055" s="36" t="str">
        <f>HYPERLINK("https://rhld.insurance.arkansas.gov/NPILookup?Npi=1316830334","1316830334")</f>
        <v>1316830334</v>
      </c>
      <c r="D2055" s="36" t="s">
        <v>34712</v>
      </c>
      <c r="E2055" s="36" t="s">
        <v>34655</v>
      </c>
      <c r="F2055" s="36">
        <v>1</v>
      </c>
      <c r="G2055" s="36">
        <v>0</v>
      </c>
      <c r="H2055" s="36">
        <v>0</v>
      </c>
      <c r="I2055" s="37">
        <v>0</v>
      </c>
      <c r="J2055" s="36" t="s">
        <v>32679</v>
      </c>
      <c r="K2055" s="36" t="s">
        <v>14330</v>
      </c>
      <c r="L2055" s="36" t="s">
        <v>14330</v>
      </c>
      <c r="M2055">
        <v>0</v>
      </c>
    </row>
    <row r="2056" spans="1:13" x14ac:dyDescent="0.25">
      <c r="A2056" s="35" t="s">
        <v>7285</v>
      </c>
      <c r="B2056" s="36" t="s">
        <v>7286</v>
      </c>
      <c r="C2056" s="36" t="str">
        <f>HYPERLINK("https://rhld.insurance.arkansas.gov/NPILookup?Npi=1326071176","1326071176")</f>
        <v>1326071176</v>
      </c>
      <c r="D2056" s="36" t="s">
        <v>34713</v>
      </c>
      <c r="E2056" s="36" t="s">
        <v>34655</v>
      </c>
      <c r="F2056" s="36">
        <v>1</v>
      </c>
      <c r="G2056" s="36">
        <v>0</v>
      </c>
      <c r="H2056" s="36">
        <v>0</v>
      </c>
      <c r="I2056" s="37">
        <v>0</v>
      </c>
      <c r="J2056" s="36" t="s">
        <v>32679</v>
      </c>
      <c r="K2056" s="36" t="s">
        <v>14330</v>
      </c>
      <c r="L2056" s="36" t="s">
        <v>14330</v>
      </c>
      <c r="M2056">
        <v>0</v>
      </c>
    </row>
    <row r="2057" spans="1:13" x14ac:dyDescent="0.25">
      <c r="A2057" s="35" t="s">
        <v>7285</v>
      </c>
      <c r="B2057" s="36" t="s">
        <v>7286</v>
      </c>
      <c r="C2057" s="36" t="str">
        <f>HYPERLINK("https://rhld.insurance.arkansas.gov/NPILookup?Npi=1326680323","1326680323")</f>
        <v>1326680323</v>
      </c>
      <c r="D2057" s="36" t="s">
        <v>34714</v>
      </c>
      <c r="E2057" s="36" t="s">
        <v>34655</v>
      </c>
      <c r="F2057" s="36">
        <v>1</v>
      </c>
      <c r="G2057" s="36">
        <v>0</v>
      </c>
      <c r="H2057" s="36">
        <v>0</v>
      </c>
      <c r="I2057" s="37">
        <v>0</v>
      </c>
      <c r="J2057" s="36" t="s">
        <v>32679</v>
      </c>
      <c r="K2057" s="36" t="s">
        <v>14330</v>
      </c>
      <c r="L2057" s="36" t="s">
        <v>14330</v>
      </c>
      <c r="M2057">
        <v>0</v>
      </c>
    </row>
    <row r="2058" spans="1:13" x14ac:dyDescent="0.25">
      <c r="A2058" s="35" t="s">
        <v>7285</v>
      </c>
      <c r="B2058" s="36" t="s">
        <v>7286</v>
      </c>
      <c r="C2058" s="36" t="str">
        <f>HYPERLINK("https://rhld.insurance.arkansas.gov/NPILookup?Npi=1326765611","1326765611")</f>
        <v>1326765611</v>
      </c>
      <c r="D2058" s="36" t="s">
        <v>34715</v>
      </c>
      <c r="E2058" s="36" t="s">
        <v>34655</v>
      </c>
      <c r="F2058" s="36">
        <v>1</v>
      </c>
      <c r="G2058" s="36">
        <v>0</v>
      </c>
      <c r="H2058" s="36">
        <v>0</v>
      </c>
      <c r="I2058" s="37">
        <v>0</v>
      </c>
      <c r="J2058" s="36" t="s">
        <v>32679</v>
      </c>
      <c r="K2058" s="36" t="s">
        <v>14330</v>
      </c>
      <c r="L2058" s="36" t="s">
        <v>14330</v>
      </c>
      <c r="M2058">
        <v>0</v>
      </c>
    </row>
    <row r="2059" spans="1:13" x14ac:dyDescent="0.25">
      <c r="A2059" s="35" t="s">
        <v>7285</v>
      </c>
      <c r="B2059" s="36" t="s">
        <v>7286</v>
      </c>
      <c r="C2059" s="36" t="str">
        <f>HYPERLINK("https://rhld.insurance.arkansas.gov/NPILookup?Npi=1326844853","1326844853")</f>
        <v>1326844853</v>
      </c>
      <c r="D2059" s="36" t="s">
        <v>34716</v>
      </c>
      <c r="E2059" s="36" t="s">
        <v>34655</v>
      </c>
      <c r="F2059" s="36">
        <v>1</v>
      </c>
      <c r="G2059" s="36">
        <v>0</v>
      </c>
      <c r="H2059" s="36">
        <v>0</v>
      </c>
      <c r="I2059" s="37">
        <v>0</v>
      </c>
      <c r="J2059" s="36" t="s">
        <v>32679</v>
      </c>
      <c r="K2059" s="36" t="s">
        <v>14330</v>
      </c>
      <c r="L2059" s="36" t="s">
        <v>14330</v>
      </c>
      <c r="M2059">
        <v>0</v>
      </c>
    </row>
    <row r="2060" spans="1:13" x14ac:dyDescent="0.25">
      <c r="A2060" s="35" t="s">
        <v>7285</v>
      </c>
      <c r="B2060" s="36" t="s">
        <v>7286</v>
      </c>
      <c r="C2060" s="36" t="str">
        <f>HYPERLINK("https://rhld.insurance.arkansas.gov/NPILookup?Npi=1336870641","1336870641")</f>
        <v>1336870641</v>
      </c>
      <c r="D2060" s="36" t="s">
        <v>34717</v>
      </c>
      <c r="E2060" s="36" t="s">
        <v>34655</v>
      </c>
      <c r="F2060" s="36">
        <v>1</v>
      </c>
      <c r="G2060" s="36">
        <v>0</v>
      </c>
      <c r="H2060" s="36">
        <v>0</v>
      </c>
      <c r="I2060" s="37">
        <v>0</v>
      </c>
      <c r="J2060" s="36" t="s">
        <v>32679</v>
      </c>
      <c r="K2060" s="36" t="s">
        <v>14330</v>
      </c>
      <c r="L2060" s="36" t="s">
        <v>14330</v>
      </c>
      <c r="M2060">
        <v>0</v>
      </c>
    </row>
    <row r="2061" spans="1:13" x14ac:dyDescent="0.25">
      <c r="A2061" s="35" t="s">
        <v>7285</v>
      </c>
      <c r="B2061" s="36" t="s">
        <v>7286</v>
      </c>
      <c r="C2061" s="36" t="str">
        <f>HYPERLINK("https://rhld.insurance.arkansas.gov/NPILookup?Npi=1356884647","1356884647")</f>
        <v>1356884647</v>
      </c>
      <c r="D2061" s="36" t="s">
        <v>34718</v>
      </c>
      <c r="E2061" s="36" t="s">
        <v>34655</v>
      </c>
      <c r="F2061" s="36">
        <v>1</v>
      </c>
      <c r="G2061" s="36">
        <v>0</v>
      </c>
      <c r="H2061" s="36">
        <v>0</v>
      </c>
      <c r="I2061" s="37">
        <v>0</v>
      </c>
      <c r="J2061" s="36" t="s">
        <v>32679</v>
      </c>
      <c r="K2061" s="36" t="s">
        <v>14330</v>
      </c>
      <c r="L2061" s="36" t="s">
        <v>14330</v>
      </c>
      <c r="M2061">
        <v>0</v>
      </c>
    </row>
    <row r="2062" spans="1:13" x14ac:dyDescent="0.25">
      <c r="A2062" s="35" t="s">
        <v>7285</v>
      </c>
      <c r="B2062" s="36" t="s">
        <v>7286</v>
      </c>
      <c r="C2062" s="36" t="str">
        <f>HYPERLINK("https://rhld.insurance.arkansas.gov/NPILookup?Npi=1366408551","1366408551")</f>
        <v>1366408551</v>
      </c>
      <c r="D2062" s="36" t="s">
        <v>34719</v>
      </c>
      <c r="E2062" s="36" t="s">
        <v>34655</v>
      </c>
      <c r="F2062" s="36">
        <v>1</v>
      </c>
      <c r="G2062" s="36">
        <v>0</v>
      </c>
      <c r="H2062" s="36">
        <v>0</v>
      </c>
      <c r="I2062" s="37">
        <v>0</v>
      </c>
      <c r="J2062" s="36" t="s">
        <v>32679</v>
      </c>
      <c r="K2062" s="36" t="s">
        <v>14330</v>
      </c>
      <c r="L2062" s="36" t="s">
        <v>14330</v>
      </c>
      <c r="M2062">
        <v>0</v>
      </c>
    </row>
    <row r="2063" spans="1:13" x14ac:dyDescent="0.25">
      <c r="A2063" s="35" t="s">
        <v>7285</v>
      </c>
      <c r="B2063" s="36" t="s">
        <v>7286</v>
      </c>
      <c r="C2063" s="36" t="str">
        <f>HYPERLINK("https://rhld.insurance.arkansas.gov/NPILookup?Npi=1376357525","1376357525")</f>
        <v>1376357525</v>
      </c>
      <c r="D2063" s="36" t="s">
        <v>34720</v>
      </c>
      <c r="E2063" s="36" t="s">
        <v>34655</v>
      </c>
      <c r="F2063" s="36">
        <v>1</v>
      </c>
      <c r="G2063" s="36">
        <v>0</v>
      </c>
      <c r="H2063" s="36">
        <v>0</v>
      </c>
      <c r="I2063" s="37">
        <v>0</v>
      </c>
      <c r="J2063" s="36" t="s">
        <v>32679</v>
      </c>
      <c r="K2063" s="36" t="s">
        <v>14330</v>
      </c>
      <c r="L2063" s="36" t="s">
        <v>14330</v>
      </c>
      <c r="M2063">
        <v>0</v>
      </c>
    </row>
    <row r="2064" spans="1:13" x14ac:dyDescent="0.25">
      <c r="A2064" s="35" t="s">
        <v>7285</v>
      </c>
      <c r="B2064" s="36" t="s">
        <v>7286</v>
      </c>
      <c r="C2064" s="36" t="str">
        <f>HYPERLINK("https://rhld.insurance.arkansas.gov/NPILookup?Npi=1386060929","1386060929")</f>
        <v>1386060929</v>
      </c>
      <c r="D2064" s="36" t="s">
        <v>34721</v>
      </c>
      <c r="E2064" s="36" t="s">
        <v>34655</v>
      </c>
      <c r="F2064" s="36">
        <v>1</v>
      </c>
      <c r="G2064" s="36">
        <v>0</v>
      </c>
      <c r="H2064" s="36">
        <v>0</v>
      </c>
      <c r="I2064" s="37">
        <v>0</v>
      </c>
      <c r="J2064" s="36" t="s">
        <v>32679</v>
      </c>
      <c r="K2064" s="36" t="s">
        <v>14330</v>
      </c>
      <c r="L2064" s="36" t="s">
        <v>14330</v>
      </c>
      <c r="M2064">
        <v>0</v>
      </c>
    </row>
    <row r="2065" spans="1:13" x14ac:dyDescent="0.25">
      <c r="A2065" s="35" t="s">
        <v>7285</v>
      </c>
      <c r="B2065" s="36" t="s">
        <v>7286</v>
      </c>
      <c r="C2065" s="36" t="str">
        <f>HYPERLINK("https://rhld.insurance.arkansas.gov/NPILookup?Npi=1386275741","1386275741")</f>
        <v>1386275741</v>
      </c>
      <c r="D2065" s="36" t="s">
        <v>34722</v>
      </c>
      <c r="E2065" s="36" t="s">
        <v>34655</v>
      </c>
      <c r="F2065" s="36">
        <v>1</v>
      </c>
      <c r="G2065" s="36">
        <v>0</v>
      </c>
      <c r="H2065" s="36">
        <v>0</v>
      </c>
      <c r="I2065" s="37">
        <v>0</v>
      </c>
      <c r="J2065" s="36" t="s">
        <v>32679</v>
      </c>
      <c r="K2065" s="36" t="s">
        <v>14330</v>
      </c>
      <c r="L2065" s="36" t="s">
        <v>14330</v>
      </c>
      <c r="M2065">
        <v>0</v>
      </c>
    </row>
    <row r="2066" spans="1:13" x14ac:dyDescent="0.25">
      <c r="A2066" s="35" t="s">
        <v>7285</v>
      </c>
      <c r="B2066" s="36" t="s">
        <v>7286</v>
      </c>
      <c r="C2066" s="36" t="str">
        <f>HYPERLINK("https://rhld.insurance.arkansas.gov/NPILookup?Npi=1396551412","1396551412")</f>
        <v>1396551412</v>
      </c>
      <c r="D2066" s="36" t="s">
        <v>34723</v>
      </c>
      <c r="E2066" s="36" t="s">
        <v>34655</v>
      </c>
      <c r="F2066" s="36">
        <v>1</v>
      </c>
      <c r="G2066" s="36">
        <v>0</v>
      </c>
      <c r="H2066" s="36">
        <v>0</v>
      </c>
      <c r="I2066" s="37">
        <v>0</v>
      </c>
      <c r="J2066" s="36" t="s">
        <v>32679</v>
      </c>
      <c r="K2066" s="36" t="s">
        <v>14330</v>
      </c>
      <c r="L2066" s="36" t="s">
        <v>14330</v>
      </c>
      <c r="M2066">
        <v>0</v>
      </c>
    </row>
    <row r="2067" spans="1:13" x14ac:dyDescent="0.25">
      <c r="A2067" s="35" t="s">
        <v>7285</v>
      </c>
      <c r="B2067" s="36" t="s">
        <v>7286</v>
      </c>
      <c r="C2067" s="36" t="str">
        <f>HYPERLINK("https://rhld.insurance.arkansas.gov/NPILookup?Npi=1396573119","1396573119")</f>
        <v>1396573119</v>
      </c>
      <c r="D2067" s="36" t="s">
        <v>34724</v>
      </c>
      <c r="E2067" s="36" t="s">
        <v>34655</v>
      </c>
      <c r="F2067" s="36">
        <v>1</v>
      </c>
      <c r="G2067" s="36">
        <v>0</v>
      </c>
      <c r="H2067" s="36">
        <v>0</v>
      </c>
      <c r="I2067" s="37">
        <v>0</v>
      </c>
      <c r="J2067" s="36" t="s">
        <v>32679</v>
      </c>
      <c r="K2067" s="36" t="s">
        <v>14330</v>
      </c>
      <c r="L2067" s="36" t="s">
        <v>14330</v>
      </c>
      <c r="M2067">
        <v>0</v>
      </c>
    </row>
    <row r="2068" spans="1:13" x14ac:dyDescent="0.25">
      <c r="A2068" s="35" t="s">
        <v>7285</v>
      </c>
      <c r="B2068" s="36" t="s">
        <v>7286</v>
      </c>
      <c r="C2068" s="36" t="str">
        <f>HYPERLINK("https://rhld.insurance.arkansas.gov/NPILookup?Npi=1407162407","1407162407")</f>
        <v>1407162407</v>
      </c>
      <c r="D2068" s="36" t="s">
        <v>34725</v>
      </c>
      <c r="E2068" s="36" t="s">
        <v>34655</v>
      </c>
      <c r="F2068" s="36">
        <v>1</v>
      </c>
      <c r="G2068" s="36">
        <v>0</v>
      </c>
      <c r="H2068" s="36">
        <v>0</v>
      </c>
      <c r="I2068" s="37">
        <v>0</v>
      </c>
      <c r="J2068" s="36" t="s">
        <v>32679</v>
      </c>
      <c r="K2068" s="36" t="s">
        <v>14330</v>
      </c>
      <c r="L2068" s="36" t="s">
        <v>14330</v>
      </c>
      <c r="M2068">
        <v>0</v>
      </c>
    </row>
    <row r="2069" spans="1:13" x14ac:dyDescent="0.25">
      <c r="A2069" s="35" t="s">
        <v>7285</v>
      </c>
      <c r="B2069" s="36" t="s">
        <v>7286</v>
      </c>
      <c r="C2069" s="36" t="str">
        <f>HYPERLINK("https://rhld.insurance.arkansas.gov/NPILookup?Npi=1407519531","1407519531")</f>
        <v>1407519531</v>
      </c>
      <c r="D2069" s="36" t="s">
        <v>34726</v>
      </c>
      <c r="E2069" s="36" t="s">
        <v>34655</v>
      </c>
      <c r="F2069" s="36">
        <v>1</v>
      </c>
      <c r="G2069" s="36">
        <v>0</v>
      </c>
      <c r="H2069" s="36">
        <v>0</v>
      </c>
      <c r="I2069" s="37">
        <v>0</v>
      </c>
      <c r="J2069" s="36" t="s">
        <v>32679</v>
      </c>
      <c r="K2069" s="36" t="s">
        <v>14330</v>
      </c>
      <c r="L2069" s="36" t="s">
        <v>14330</v>
      </c>
      <c r="M2069">
        <v>0</v>
      </c>
    </row>
    <row r="2070" spans="1:13" x14ac:dyDescent="0.25">
      <c r="A2070" s="35" t="s">
        <v>7285</v>
      </c>
      <c r="B2070" s="36" t="s">
        <v>7286</v>
      </c>
      <c r="C2070" s="36" t="str">
        <f>HYPERLINK("https://rhld.insurance.arkansas.gov/NPILookup?Npi=1417184383","1417184383")</f>
        <v>1417184383</v>
      </c>
      <c r="D2070" s="36" t="s">
        <v>34727</v>
      </c>
      <c r="E2070" s="36" t="s">
        <v>34655</v>
      </c>
      <c r="F2070" s="36">
        <v>1</v>
      </c>
      <c r="G2070" s="36">
        <v>0</v>
      </c>
      <c r="H2070" s="36">
        <v>0</v>
      </c>
      <c r="I2070" s="37">
        <v>0</v>
      </c>
      <c r="J2070" s="36" t="s">
        <v>32679</v>
      </c>
      <c r="K2070" s="36" t="s">
        <v>14330</v>
      </c>
      <c r="L2070" s="36" t="s">
        <v>14330</v>
      </c>
      <c r="M2070">
        <v>0</v>
      </c>
    </row>
    <row r="2071" spans="1:13" x14ac:dyDescent="0.25">
      <c r="A2071" s="35" t="s">
        <v>7285</v>
      </c>
      <c r="B2071" s="36" t="s">
        <v>7286</v>
      </c>
      <c r="C2071" s="36" t="str">
        <f>HYPERLINK("https://rhld.insurance.arkansas.gov/NPILookup?Npi=1417720723","1417720723")</f>
        <v>1417720723</v>
      </c>
      <c r="D2071" s="36" t="s">
        <v>34728</v>
      </c>
      <c r="E2071" s="36" t="s">
        <v>34655</v>
      </c>
      <c r="F2071" s="36">
        <v>1</v>
      </c>
      <c r="G2071" s="36">
        <v>0</v>
      </c>
      <c r="H2071" s="36">
        <v>0</v>
      </c>
      <c r="I2071" s="37">
        <v>0</v>
      </c>
      <c r="J2071" s="36" t="s">
        <v>32679</v>
      </c>
      <c r="K2071" s="36" t="s">
        <v>14330</v>
      </c>
      <c r="L2071" s="36" t="s">
        <v>14330</v>
      </c>
      <c r="M2071">
        <v>0</v>
      </c>
    </row>
    <row r="2072" spans="1:13" x14ac:dyDescent="0.25">
      <c r="A2072" s="35" t="s">
        <v>7285</v>
      </c>
      <c r="B2072" s="36" t="s">
        <v>7286</v>
      </c>
      <c r="C2072" s="36" t="str">
        <f>HYPERLINK("https://rhld.insurance.arkansas.gov/NPILookup?Npi=1427674472","1427674472")</f>
        <v>1427674472</v>
      </c>
      <c r="D2072" s="36" t="s">
        <v>34729</v>
      </c>
      <c r="E2072" s="36" t="s">
        <v>34655</v>
      </c>
      <c r="F2072" s="36">
        <v>1</v>
      </c>
      <c r="G2072" s="36">
        <v>0</v>
      </c>
      <c r="H2072" s="36">
        <v>0</v>
      </c>
      <c r="I2072" s="37">
        <v>0</v>
      </c>
      <c r="J2072" s="36" t="s">
        <v>32679</v>
      </c>
      <c r="K2072" s="36" t="s">
        <v>14330</v>
      </c>
      <c r="L2072" s="36" t="s">
        <v>14330</v>
      </c>
      <c r="M2072">
        <v>0</v>
      </c>
    </row>
    <row r="2073" spans="1:13" x14ac:dyDescent="0.25">
      <c r="A2073" s="35" t="s">
        <v>7285</v>
      </c>
      <c r="B2073" s="36" t="s">
        <v>7286</v>
      </c>
      <c r="C2073" s="36" t="str">
        <f>HYPERLINK("https://rhld.insurance.arkansas.gov/NPILookup?Npi=1427805944","1427805944")</f>
        <v>1427805944</v>
      </c>
      <c r="D2073" s="36" t="s">
        <v>34730</v>
      </c>
      <c r="E2073" s="36" t="s">
        <v>34655</v>
      </c>
      <c r="F2073" s="36">
        <v>1</v>
      </c>
      <c r="G2073" s="36">
        <v>0</v>
      </c>
      <c r="H2073" s="36">
        <v>0</v>
      </c>
      <c r="I2073" s="37">
        <v>0</v>
      </c>
      <c r="J2073" s="36" t="s">
        <v>32679</v>
      </c>
      <c r="K2073" s="36" t="s">
        <v>14330</v>
      </c>
      <c r="L2073" s="36" t="s">
        <v>14330</v>
      </c>
      <c r="M2073">
        <v>0</v>
      </c>
    </row>
    <row r="2074" spans="1:13" x14ac:dyDescent="0.25">
      <c r="A2074" s="35" t="s">
        <v>7285</v>
      </c>
      <c r="B2074" s="36" t="s">
        <v>7286</v>
      </c>
      <c r="C2074" s="36" t="str">
        <f>HYPERLINK("https://rhld.insurance.arkansas.gov/NPILookup?Npi=1437798717","1437798717")</f>
        <v>1437798717</v>
      </c>
      <c r="D2074" s="36" t="s">
        <v>34731</v>
      </c>
      <c r="E2074" s="36" t="s">
        <v>34655</v>
      </c>
      <c r="F2074" s="36">
        <v>1</v>
      </c>
      <c r="G2074" s="36">
        <v>0</v>
      </c>
      <c r="H2074" s="36">
        <v>0</v>
      </c>
      <c r="I2074" s="37">
        <v>0</v>
      </c>
      <c r="J2074" s="36" t="s">
        <v>32679</v>
      </c>
      <c r="K2074" s="36" t="s">
        <v>14330</v>
      </c>
      <c r="L2074" s="36" t="s">
        <v>14330</v>
      </c>
      <c r="M2074">
        <v>0</v>
      </c>
    </row>
    <row r="2075" spans="1:13" x14ac:dyDescent="0.25">
      <c r="A2075" s="35" t="s">
        <v>7285</v>
      </c>
      <c r="B2075" s="36" t="s">
        <v>7286</v>
      </c>
      <c r="C2075" s="36" t="str">
        <f>HYPERLINK("https://rhld.insurance.arkansas.gov/NPILookup?Npi=1447074968","1447074968")</f>
        <v>1447074968</v>
      </c>
      <c r="D2075" s="36" t="s">
        <v>34732</v>
      </c>
      <c r="E2075" s="36" t="s">
        <v>34655</v>
      </c>
      <c r="F2075" s="36">
        <v>1</v>
      </c>
      <c r="G2075" s="36">
        <v>0</v>
      </c>
      <c r="H2075" s="36">
        <v>0</v>
      </c>
      <c r="I2075" s="37">
        <v>0</v>
      </c>
      <c r="J2075" s="36" t="s">
        <v>32679</v>
      </c>
      <c r="K2075" s="36" t="s">
        <v>14330</v>
      </c>
      <c r="L2075" s="36" t="s">
        <v>14330</v>
      </c>
      <c r="M2075">
        <v>0</v>
      </c>
    </row>
    <row r="2076" spans="1:13" x14ac:dyDescent="0.25">
      <c r="A2076" s="35" t="s">
        <v>7285</v>
      </c>
      <c r="B2076" s="36" t="s">
        <v>7286</v>
      </c>
      <c r="C2076" s="36" t="str">
        <f>HYPERLINK("https://rhld.insurance.arkansas.gov/NPILookup?Npi=1447757935","1447757935")</f>
        <v>1447757935</v>
      </c>
      <c r="D2076" s="36" t="s">
        <v>34733</v>
      </c>
      <c r="E2076" s="36" t="s">
        <v>34655</v>
      </c>
      <c r="F2076" s="36">
        <v>1</v>
      </c>
      <c r="G2076" s="36">
        <v>0</v>
      </c>
      <c r="H2076" s="36">
        <v>0</v>
      </c>
      <c r="I2076" s="37">
        <v>0</v>
      </c>
      <c r="J2076" s="36" t="s">
        <v>32679</v>
      </c>
      <c r="K2076" s="36" t="s">
        <v>14330</v>
      </c>
      <c r="L2076" s="36" t="s">
        <v>14330</v>
      </c>
      <c r="M2076">
        <v>0</v>
      </c>
    </row>
    <row r="2077" spans="1:13" x14ac:dyDescent="0.25">
      <c r="A2077" s="35" t="s">
        <v>7285</v>
      </c>
      <c r="B2077" s="36" t="s">
        <v>7286</v>
      </c>
      <c r="C2077" s="36" t="str">
        <f>HYPERLINK("https://rhld.insurance.arkansas.gov/NPILookup?Npi=1457186462","1457186462")</f>
        <v>1457186462</v>
      </c>
      <c r="D2077" s="36" t="s">
        <v>34734</v>
      </c>
      <c r="E2077" s="36" t="s">
        <v>34655</v>
      </c>
      <c r="F2077" s="36">
        <v>1</v>
      </c>
      <c r="G2077" s="36">
        <v>0</v>
      </c>
      <c r="H2077" s="36">
        <v>0</v>
      </c>
      <c r="I2077" s="37">
        <v>0</v>
      </c>
      <c r="J2077" s="36" t="s">
        <v>32679</v>
      </c>
      <c r="K2077" s="36" t="s">
        <v>14330</v>
      </c>
      <c r="L2077" s="36" t="s">
        <v>14330</v>
      </c>
      <c r="M2077">
        <v>0</v>
      </c>
    </row>
    <row r="2078" spans="1:13" x14ac:dyDescent="0.25">
      <c r="A2078" s="35" t="s">
        <v>7285</v>
      </c>
      <c r="B2078" s="36" t="s">
        <v>7286</v>
      </c>
      <c r="C2078" s="36" t="str">
        <f>HYPERLINK("https://rhld.insurance.arkansas.gov/NPILookup?Npi=1457867798","1457867798")</f>
        <v>1457867798</v>
      </c>
      <c r="D2078" s="36" t="s">
        <v>34735</v>
      </c>
      <c r="E2078" s="36" t="s">
        <v>34655</v>
      </c>
      <c r="F2078" s="36">
        <v>1</v>
      </c>
      <c r="G2078" s="36">
        <v>0</v>
      </c>
      <c r="H2078" s="36">
        <v>0</v>
      </c>
      <c r="I2078" s="37">
        <v>0</v>
      </c>
      <c r="J2078" s="36" t="s">
        <v>32679</v>
      </c>
      <c r="K2078" s="36" t="s">
        <v>14330</v>
      </c>
      <c r="L2078" s="36" t="s">
        <v>14330</v>
      </c>
      <c r="M2078">
        <v>0</v>
      </c>
    </row>
    <row r="2079" spans="1:13" x14ac:dyDescent="0.25">
      <c r="A2079" s="35" t="s">
        <v>7285</v>
      </c>
      <c r="B2079" s="36" t="s">
        <v>7286</v>
      </c>
      <c r="C2079" s="36" t="str">
        <f>HYPERLINK("https://rhld.insurance.arkansas.gov/NPILookup?Npi=1457949695","1457949695")</f>
        <v>1457949695</v>
      </c>
      <c r="D2079" s="36" t="s">
        <v>34736</v>
      </c>
      <c r="E2079" s="36" t="s">
        <v>34655</v>
      </c>
      <c r="F2079" s="36">
        <v>1</v>
      </c>
      <c r="G2079" s="36">
        <v>0</v>
      </c>
      <c r="H2079" s="36">
        <v>0</v>
      </c>
      <c r="I2079" s="37">
        <v>0</v>
      </c>
      <c r="J2079" s="36" t="s">
        <v>32679</v>
      </c>
      <c r="K2079" s="36" t="s">
        <v>14330</v>
      </c>
      <c r="L2079" s="36" t="s">
        <v>14330</v>
      </c>
      <c r="M2079">
        <v>0</v>
      </c>
    </row>
    <row r="2080" spans="1:13" x14ac:dyDescent="0.25">
      <c r="A2080" s="35" t="s">
        <v>7285</v>
      </c>
      <c r="B2080" s="36" t="s">
        <v>7286</v>
      </c>
      <c r="C2080" s="36" t="str">
        <f>HYPERLINK("https://rhld.insurance.arkansas.gov/NPILookup?Npi=1467133074","1467133074")</f>
        <v>1467133074</v>
      </c>
      <c r="D2080" s="36" t="s">
        <v>34737</v>
      </c>
      <c r="E2080" s="36" t="s">
        <v>34655</v>
      </c>
      <c r="F2080" s="36">
        <v>1</v>
      </c>
      <c r="G2080" s="36">
        <v>0</v>
      </c>
      <c r="H2080" s="36">
        <v>0</v>
      </c>
      <c r="I2080" s="37">
        <v>0</v>
      </c>
      <c r="J2080" s="36" t="s">
        <v>32679</v>
      </c>
      <c r="K2080" s="36" t="s">
        <v>14330</v>
      </c>
      <c r="L2080" s="36" t="s">
        <v>14330</v>
      </c>
      <c r="M2080">
        <v>0</v>
      </c>
    </row>
    <row r="2081" spans="1:15" x14ac:dyDescent="0.25">
      <c r="A2081" s="35" t="s">
        <v>7285</v>
      </c>
      <c r="B2081" s="36" t="s">
        <v>7286</v>
      </c>
      <c r="C2081" s="36" t="str">
        <f>HYPERLINK("https://rhld.insurance.arkansas.gov/NPILookup?Npi=1477052876","1477052876")</f>
        <v>1477052876</v>
      </c>
      <c r="D2081" s="36" t="s">
        <v>34738</v>
      </c>
      <c r="E2081" s="36" t="s">
        <v>34655</v>
      </c>
      <c r="F2081" s="36">
        <v>1</v>
      </c>
      <c r="G2081" s="36">
        <v>0</v>
      </c>
      <c r="H2081" s="36">
        <v>0</v>
      </c>
      <c r="I2081" s="37">
        <v>0</v>
      </c>
      <c r="J2081" s="36" t="s">
        <v>32679</v>
      </c>
      <c r="K2081" s="36" t="s">
        <v>14330</v>
      </c>
      <c r="L2081" s="36" t="s">
        <v>14330</v>
      </c>
      <c r="M2081">
        <v>0</v>
      </c>
    </row>
    <row r="2082" spans="1:15" x14ac:dyDescent="0.25">
      <c r="A2082" s="35" t="s">
        <v>7285</v>
      </c>
      <c r="B2082" s="36" t="s">
        <v>7286</v>
      </c>
      <c r="C2082" s="36" t="str">
        <f>HYPERLINK("https://rhld.insurance.arkansas.gov/NPILookup?Npi=1477374973","1477374973")</f>
        <v>1477374973</v>
      </c>
      <c r="D2082" s="36" t="s">
        <v>34739</v>
      </c>
      <c r="E2082" s="36" t="s">
        <v>34655</v>
      </c>
      <c r="F2082" s="36">
        <v>1</v>
      </c>
      <c r="G2082" s="36">
        <v>0</v>
      </c>
      <c r="H2082" s="36">
        <v>0</v>
      </c>
      <c r="I2082" s="37">
        <v>0</v>
      </c>
      <c r="J2082" s="36" t="s">
        <v>32679</v>
      </c>
      <c r="K2082" s="36" t="s">
        <v>14330</v>
      </c>
      <c r="L2082" s="36" t="s">
        <v>14330</v>
      </c>
      <c r="M2082">
        <v>0</v>
      </c>
    </row>
    <row r="2083" spans="1:15" x14ac:dyDescent="0.25">
      <c r="A2083" s="35" t="s">
        <v>7285</v>
      </c>
      <c r="B2083" s="36" t="s">
        <v>7286</v>
      </c>
      <c r="C2083" s="36" t="str">
        <f>HYPERLINK("https://rhld.insurance.arkansas.gov/NPILookup?Npi=1487000808","1487000808")</f>
        <v>1487000808</v>
      </c>
      <c r="D2083" s="36" t="s">
        <v>34740</v>
      </c>
      <c r="E2083" s="36" t="s">
        <v>34655</v>
      </c>
      <c r="F2083" s="36">
        <v>1</v>
      </c>
      <c r="G2083" s="36">
        <v>0</v>
      </c>
      <c r="H2083" s="36">
        <v>0</v>
      </c>
      <c r="I2083" s="37">
        <v>0</v>
      </c>
      <c r="J2083" s="36" t="s">
        <v>32679</v>
      </c>
      <c r="K2083" s="36" t="s">
        <v>14330</v>
      </c>
      <c r="L2083" s="36" t="s">
        <v>14330</v>
      </c>
      <c r="M2083">
        <v>2</v>
      </c>
    </row>
    <row r="2084" spans="1:15" x14ac:dyDescent="0.25">
      <c r="A2084" s="35" t="s">
        <v>7285</v>
      </c>
      <c r="B2084" s="36" t="s">
        <v>7286</v>
      </c>
      <c r="C2084" s="36" t="str">
        <f>HYPERLINK("https://rhld.insurance.arkansas.gov/NPILookup?Npi=1487771473","1487771473")</f>
        <v>1487771473</v>
      </c>
      <c r="D2084" s="36" t="s">
        <v>34741</v>
      </c>
      <c r="E2084" s="36" t="s">
        <v>2</v>
      </c>
      <c r="F2084" s="36">
        <v>1</v>
      </c>
      <c r="G2084" s="36">
        <v>2</v>
      </c>
      <c r="H2084" s="36">
        <v>0</v>
      </c>
      <c r="I2084" s="37">
        <v>0</v>
      </c>
      <c r="J2084" s="36"/>
      <c r="K2084" s="36" t="s">
        <v>14330</v>
      </c>
      <c r="L2084" s="36" t="s">
        <v>14330</v>
      </c>
      <c r="M2084">
        <v>0</v>
      </c>
      <c r="N2084" t="s">
        <v>14331</v>
      </c>
      <c r="O2084" t="s">
        <v>14333</v>
      </c>
    </row>
    <row r="2085" spans="1:15" x14ac:dyDescent="0.25">
      <c r="A2085" s="35" t="s">
        <v>7285</v>
      </c>
      <c r="B2085" s="36" t="s">
        <v>7286</v>
      </c>
      <c r="C2085" s="36" t="str">
        <f>HYPERLINK("https://rhld.insurance.arkansas.gov/NPILookup?Npi=1508564386","1508564386")</f>
        <v>1508564386</v>
      </c>
      <c r="D2085" s="36" t="s">
        <v>34742</v>
      </c>
      <c r="E2085" s="36" t="s">
        <v>34655</v>
      </c>
      <c r="F2085" s="36">
        <v>1</v>
      </c>
      <c r="G2085" s="36">
        <v>0</v>
      </c>
      <c r="H2085" s="36">
        <v>0</v>
      </c>
      <c r="I2085" s="37">
        <v>0</v>
      </c>
      <c r="J2085" s="36" t="s">
        <v>32679</v>
      </c>
      <c r="K2085" s="36" t="s">
        <v>14330</v>
      </c>
      <c r="L2085" s="36" t="s">
        <v>14330</v>
      </c>
      <c r="M2085">
        <v>0</v>
      </c>
    </row>
    <row r="2086" spans="1:15" x14ac:dyDescent="0.25">
      <c r="A2086" s="35" t="s">
        <v>7285</v>
      </c>
      <c r="B2086" s="36" t="s">
        <v>7286</v>
      </c>
      <c r="C2086" s="36" t="str">
        <f>HYPERLINK("https://rhld.insurance.arkansas.gov/NPILookup?Npi=1508599622","1508599622")</f>
        <v>1508599622</v>
      </c>
      <c r="D2086" s="36" t="s">
        <v>34743</v>
      </c>
      <c r="E2086" s="36" t="s">
        <v>34655</v>
      </c>
      <c r="F2086" s="36">
        <v>1</v>
      </c>
      <c r="G2086" s="36">
        <v>0</v>
      </c>
      <c r="H2086" s="36">
        <v>0</v>
      </c>
      <c r="I2086" s="37">
        <v>0</v>
      </c>
      <c r="J2086" s="36" t="s">
        <v>32679</v>
      </c>
      <c r="K2086" s="36" t="s">
        <v>14330</v>
      </c>
      <c r="L2086" s="36" t="s">
        <v>14330</v>
      </c>
      <c r="M2086">
        <v>0</v>
      </c>
    </row>
    <row r="2087" spans="1:15" x14ac:dyDescent="0.25">
      <c r="A2087" s="35" t="s">
        <v>7285</v>
      </c>
      <c r="B2087" s="36" t="s">
        <v>7286</v>
      </c>
      <c r="C2087" s="36" t="str">
        <f>HYPERLINK("https://rhld.insurance.arkansas.gov/NPILookup?Npi=1508617549","1508617549")</f>
        <v>1508617549</v>
      </c>
      <c r="D2087" s="36" t="s">
        <v>34744</v>
      </c>
      <c r="E2087" s="36" t="s">
        <v>34655</v>
      </c>
      <c r="F2087" s="36">
        <v>1</v>
      </c>
      <c r="G2087" s="36">
        <v>0</v>
      </c>
      <c r="H2087" s="36">
        <v>0</v>
      </c>
      <c r="I2087" s="37">
        <v>0</v>
      </c>
      <c r="J2087" s="36" t="s">
        <v>32679</v>
      </c>
      <c r="K2087" s="36" t="s">
        <v>14330</v>
      </c>
      <c r="L2087" s="36" t="s">
        <v>14330</v>
      </c>
      <c r="M2087">
        <v>0</v>
      </c>
    </row>
    <row r="2088" spans="1:15" x14ac:dyDescent="0.25">
      <c r="A2088" s="35" t="s">
        <v>7285</v>
      </c>
      <c r="B2088" s="36" t="s">
        <v>7286</v>
      </c>
      <c r="C2088" s="36" t="str">
        <f>HYPERLINK("https://rhld.insurance.arkansas.gov/NPILookup?Npi=1518496660","1518496660")</f>
        <v>1518496660</v>
      </c>
      <c r="D2088" s="36" t="s">
        <v>34745</v>
      </c>
      <c r="E2088" s="36" t="s">
        <v>34655</v>
      </c>
      <c r="F2088" s="36">
        <v>1</v>
      </c>
      <c r="G2088" s="36">
        <v>0</v>
      </c>
      <c r="H2088" s="36">
        <v>0</v>
      </c>
      <c r="I2088" s="37">
        <v>0</v>
      </c>
      <c r="J2088" s="36" t="s">
        <v>32679</v>
      </c>
      <c r="K2088" s="36" t="s">
        <v>14330</v>
      </c>
      <c r="L2088" s="36" t="s">
        <v>14330</v>
      </c>
      <c r="M2088">
        <v>0</v>
      </c>
    </row>
    <row r="2089" spans="1:15" x14ac:dyDescent="0.25">
      <c r="A2089" s="35" t="s">
        <v>7285</v>
      </c>
      <c r="B2089" s="36" t="s">
        <v>7286</v>
      </c>
      <c r="C2089" s="36" t="str">
        <f>HYPERLINK("https://rhld.insurance.arkansas.gov/NPILookup?Npi=1528319167","1528319167")</f>
        <v>1528319167</v>
      </c>
      <c r="D2089" s="36" t="s">
        <v>34746</v>
      </c>
      <c r="E2089" s="36" t="s">
        <v>34655</v>
      </c>
      <c r="F2089" s="36">
        <v>1</v>
      </c>
      <c r="G2089" s="36">
        <v>0</v>
      </c>
      <c r="H2089" s="36">
        <v>0</v>
      </c>
      <c r="I2089" s="37">
        <v>0</v>
      </c>
      <c r="J2089" s="36" t="s">
        <v>32679</v>
      </c>
      <c r="K2089" s="36" t="s">
        <v>14330</v>
      </c>
      <c r="L2089" s="36" t="s">
        <v>14330</v>
      </c>
      <c r="M2089">
        <v>0</v>
      </c>
    </row>
    <row r="2090" spans="1:15" x14ac:dyDescent="0.25">
      <c r="A2090" s="35" t="s">
        <v>7285</v>
      </c>
      <c r="B2090" s="36" t="s">
        <v>7286</v>
      </c>
      <c r="C2090" s="36" t="str">
        <f>HYPERLINK("https://rhld.insurance.arkansas.gov/NPILookup?Npi=1528409059","1528409059")</f>
        <v>1528409059</v>
      </c>
      <c r="D2090" s="36" t="s">
        <v>34747</v>
      </c>
      <c r="E2090" s="36" t="s">
        <v>34655</v>
      </c>
      <c r="F2090" s="36">
        <v>1</v>
      </c>
      <c r="G2090" s="36">
        <v>0</v>
      </c>
      <c r="H2090" s="36">
        <v>0</v>
      </c>
      <c r="I2090" s="37">
        <v>0</v>
      </c>
      <c r="J2090" s="36" t="s">
        <v>32679</v>
      </c>
      <c r="K2090" s="36" t="s">
        <v>14330</v>
      </c>
      <c r="L2090" s="36" t="s">
        <v>14330</v>
      </c>
      <c r="M2090">
        <v>0</v>
      </c>
    </row>
    <row r="2091" spans="1:15" x14ac:dyDescent="0.25">
      <c r="A2091" s="35" t="s">
        <v>7285</v>
      </c>
      <c r="B2091" s="36" t="s">
        <v>7286</v>
      </c>
      <c r="C2091" s="36" t="str">
        <f>HYPERLINK("https://rhld.insurance.arkansas.gov/NPILookup?Npi=1528422441","1528422441")</f>
        <v>1528422441</v>
      </c>
      <c r="D2091" s="36" t="s">
        <v>34748</v>
      </c>
      <c r="E2091" s="36" t="s">
        <v>34655</v>
      </c>
      <c r="F2091" s="36">
        <v>1</v>
      </c>
      <c r="G2091" s="36">
        <v>0</v>
      </c>
      <c r="H2091" s="36">
        <v>0</v>
      </c>
      <c r="I2091" s="37">
        <v>0</v>
      </c>
      <c r="J2091" s="36" t="s">
        <v>32679</v>
      </c>
      <c r="K2091" s="36" t="s">
        <v>14330</v>
      </c>
      <c r="L2091" s="36" t="s">
        <v>14330</v>
      </c>
      <c r="M2091">
        <v>0</v>
      </c>
    </row>
    <row r="2092" spans="1:15" x14ac:dyDescent="0.25">
      <c r="A2092" s="35" t="s">
        <v>7285</v>
      </c>
      <c r="B2092" s="36" t="s">
        <v>7286</v>
      </c>
      <c r="C2092" s="36" t="str">
        <f>HYPERLINK("https://rhld.insurance.arkansas.gov/NPILookup?Npi=1538684170","1538684170")</f>
        <v>1538684170</v>
      </c>
      <c r="D2092" s="36" t="s">
        <v>34749</v>
      </c>
      <c r="E2092" s="36" t="s">
        <v>34655</v>
      </c>
      <c r="F2092" s="36">
        <v>1</v>
      </c>
      <c r="G2092" s="36">
        <v>0</v>
      </c>
      <c r="H2092" s="36">
        <v>0</v>
      </c>
      <c r="I2092" s="37">
        <v>0</v>
      </c>
      <c r="J2092" s="36" t="s">
        <v>32679</v>
      </c>
      <c r="K2092" s="36" t="s">
        <v>14330</v>
      </c>
      <c r="L2092" s="36" t="s">
        <v>14330</v>
      </c>
      <c r="M2092">
        <v>0</v>
      </c>
    </row>
    <row r="2093" spans="1:15" x14ac:dyDescent="0.25">
      <c r="A2093" s="35" t="s">
        <v>7285</v>
      </c>
      <c r="B2093" s="36" t="s">
        <v>7286</v>
      </c>
      <c r="C2093" s="36" t="str">
        <f>HYPERLINK("https://rhld.insurance.arkansas.gov/NPILookup?Npi=1538762737","1538762737")</f>
        <v>1538762737</v>
      </c>
      <c r="D2093" s="36" t="s">
        <v>34750</v>
      </c>
      <c r="E2093" s="36" t="s">
        <v>34655</v>
      </c>
      <c r="F2093" s="36">
        <v>1</v>
      </c>
      <c r="G2093" s="36">
        <v>0</v>
      </c>
      <c r="H2093" s="36">
        <v>0</v>
      </c>
      <c r="I2093" s="37">
        <v>0</v>
      </c>
      <c r="J2093" s="36" t="s">
        <v>32679</v>
      </c>
      <c r="K2093" s="36" t="s">
        <v>14330</v>
      </c>
      <c r="L2093" s="36" t="s">
        <v>14330</v>
      </c>
      <c r="M2093">
        <v>0</v>
      </c>
    </row>
    <row r="2094" spans="1:15" x14ac:dyDescent="0.25">
      <c r="A2094" s="35" t="s">
        <v>7285</v>
      </c>
      <c r="B2094" s="36" t="s">
        <v>7286</v>
      </c>
      <c r="C2094" s="36" t="str">
        <f>HYPERLINK("https://rhld.insurance.arkansas.gov/NPILookup?Npi=1538968896","1538968896")</f>
        <v>1538968896</v>
      </c>
      <c r="D2094" s="36" t="s">
        <v>34751</v>
      </c>
      <c r="E2094" s="36" t="s">
        <v>34655</v>
      </c>
      <c r="F2094" s="36">
        <v>1</v>
      </c>
      <c r="G2094" s="36">
        <v>0</v>
      </c>
      <c r="H2094" s="36">
        <v>0</v>
      </c>
      <c r="I2094" s="37">
        <v>0</v>
      </c>
      <c r="J2094" s="36" t="s">
        <v>32679</v>
      </c>
      <c r="K2094" s="36" t="s">
        <v>14330</v>
      </c>
      <c r="L2094" s="36" t="s">
        <v>14330</v>
      </c>
      <c r="M2094">
        <v>0</v>
      </c>
    </row>
    <row r="2095" spans="1:15" x14ac:dyDescent="0.25">
      <c r="A2095" s="35" t="s">
        <v>7285</v>
      </c>
      <c r="B2095" s="36" t="s">
        <v>7286</v>
      </c>
      <c r="C2095" s="36" t="str">
        <f>HYPERLINK("https://rhld.insurance.arkansas.gov/NPILookup?Npi=1548434038","1548434038")</f>
        <v>1548434038</v>
      </c>
      <c r="D2095" s="36" t="s">
        <v>34752</v>
      </c>
      <c r="E2095" s="36" t="s">
        <v>34655</v>
      </c>
      <c r="F2095" s="36">
        <v>1</v>
      </c>
      <c r="G2095" s="36">
        <v>0</v>
      </c>
      <c r="H2095" s="36">
        <v>0</v>
      </c>
      <c r="I2095" s="37">
        <v>0</v>
      </c>
      <c r="J2095" s="36" t="s">
        <v>32679</v>
      </c>
      <c r="K2095" s="36" t="s">
        <v>14330</v>
      </c>
      <c r="L2095" s="36" t="s">
        <v>14330</v>
      </c>
      <c r="M2095">
        <v>0</v>
      </c>
    </row>
    <row r="2096" spans="1:15" x14ac:dyDescent="0.25">
      <c r="A2096" s="35" t="s">
        <v>7285</v>
      </c>
      <c r="B2096" s="36" t="s">
        <v>7286</v>
      </c>
      <c r="C2096" s="36" t="str">
        <f>HYPERLINK("https://rhld.insurance.arkansas.gov/NPILookup?Npi=1548704604","1548704604")</f>
        <v>1548704604</v>
      </c>
      <c r="D2096" s="36" t="s">
        <v>34753</v>
      </c>
      <c r="E2096" s="36" t="s">
        <v>34655</v>
      </c>
      <c r="F2096" s="36">
        <v>1</v>
      </c>
      <c r="G2096" s="36">
        <v>0</v>
      </c>
      <c r="H2096" s="36">
        <v>0</v>
      </c>
      <c r="I2096" s="37">
        <v>0</v>
      </c>
      <c r="J2096" s="36" t="s">
        <v>32679</v>
      </c>
      <c r="K2096" s="36" t="s">
        <v>14330</v>
      </c>
      <c r="L2096" s="36" t="s">
        <v>14330</v>
      </c>
      <c r="M2096">
        <v>0</v>
      </c>
    </row>
    <row r="2097" spans="1:13" x14ac:dyDescent="0.25">
      <c r="A2097" s="35" t="s">
        <v>7285</v>
      </c>
      <c r="B2097" s="36" t="s">
        <v>7286</v>
      </c>
      <c r="C2097" s="36" t="str">
        <f>HYPERLINK("https://rhld.insurance.arkansas.gov/NPILookup?Npi=1548789209","1548789209")</f>
        <v>1548789209</v>
      </c>
      <c r="D2097" s="36" t="s">
        <v>34754</v>
      </c>
      <c r="E2097" s="36" t="s">
        <v>34655</v>
      </c>
      <c r="F2097" s="36">
        <v>1</v>
      </c>
      <c r="G2097" s="36">
        <v>0</v>
      </c>
      <c r="H2097" s="36">
        <v>0</v>
      </c>
      <c r="I2097" s="37">
        <v>0</v>
      </c>
      <c r="J2097" s="36" t="s">
        <v>32679</v>
      </c>
      <c r="K2097" s="36" t="s">
        <v>14330</v>
      </c>
      <c r="L2097" s="36" t="s">
        <v>14330</v>
      </c>
      <c r="M2097">
        <v>0</v>
      </c>
    </row>
    <row r="2098" spans="1:13" x14ac:dyDescent="0.25">
      <c r="A2098" s="35" t="s">
        <v>7285</v>
      </c>
      <c r="B2098" s="36" t="s">
        <v>7286</v>
      </c>
      <c r="C2098" s="36" t="str">
        <f>HYPERLINK("https://rhld.insurance.arkansas.gov/NPILookup?Npi=1558771956","1558771956")</f>
        <v>1558771956</v>
      </c>
      <c r="D2098" s="36" t="s">
        <v>34755</v>
      </c>
      <c r="E2098" s="36" t="s">
        <v>34655</v>
      </c>
      <c r="F2098" s="36">
        <v>1</v>
      </c>
      <c r="G2098" s="36">
        <v>0</v>
      </c>
      <c r="H2098" s="36">
        <v>0</v>
      </c>
      <c r="I2098" s="37">
        <v>0</v>
      </c>
      <c r="J2098" s="36" t="s">
        <v>32679</v>
      </c>
      <c r="K2098" s="36" t="s">
        <v>14330</v>
      </c>
      <c r="L2098" s="36" t="s">
        <v>14330</v>
      </c>
      <c r="M2098">
        <v>0</v>
      </c>
    </row>
    <row r="2099" spans="1:13" x14ac:dyDescent="0.25">
      <c r="A2099" s="35" t="s">
        <v>7285</v>
      </c>
      <c r="B2099" s="36" t="s">
        <v>7286</v>
      </c>
      <c r="C2099" s="36" t="str">
        <f>HYPERLINK("https://rhld.insurance.arkansas.gov/NPILookup?Npi=1568275501","1568275501")</f>
        <v>1568275501</v>
      </c>
      <c r="D2099" s="36" t="s">
        <v>34756</v>
      </c>
      <c r="E2099" s="36" t="s">
        <v>34655</v>
      </c>
      <c r="F2099" s="36">
        <v>1</v>
      </c>
      <c r="G2099" s="36">
        <v>0</v>
      </c>
      <c r="H2099" s="36">
        <v>0</v>
      </c>
      <c r="I2099" s="37">
        <v>0</v>
      </c>
      <c r="J2099" s="36" t="s">
        <v>32679</v>
      </c>
      <c r="K2099" s="36" t="s">
        <v>14330</v>
      </c>
      <c r="L2099" s="36" t="s">
        <v>14330</v>
      </c>
      <c r="M2099">
        <v>0</v>
      </c>
    </row>
    <row r="2100" spans="1:13" x14ac:dyDescent="0.25">
      <c r="A2100" s="35" t="s">
        <v>7285</v>
      </c>
      <c r="B2100" s="36" t="s">
        <v>7286</v>
      </c>
      <c r="C2100" s="36" t="str">
        <f>HYPERLINK("https://rhld.insurance.arkansas.gov/NPILookup?Npi=1568293249","1568293249")</f>
        <v>1568293249</v>
      </c>
      <c r="D2100" s="36" t="s">
        <v>34757</v>
      </c>
      <c r="E2100" s="36" t="s">
        <v>34655</v>
      </c>
      <c r="F2100" s="36">
        <v>1</v>
      </c>
      <c r="G2100" s="36">
        <v>0</v>
      </c>
      <c r="H2100" s="36">
        <v>0</v>
      </c>
      <c r="I2100" s="37">
        <v>0</v>
      </c>
      <c r="J2100" s="36" t="s">
        <v>32679</v>
      </c>
      <c r="K2100" s="36" t="s">
        <v>14330</v>
      </c>
      <c r="L2100" s="36" t="s">
        <v>14330</v>
      </c>
      <c r="M2100">
        <v>0</v>
      </c>
    </row>
    <row r="2101" spans="1:13" x14ac:dyDescent="0.25">
      <c r="A2101" s="35" t="s">
        <v>7285</v>
      </c>
      <c r="B2101" s="36" t="s">
        <v>7286</v>
      </c>
      <c r="C2101" s="36" t="str">
        <f>HYPERLINK("https://rhld.insurance.arkansas.gov/NPILookup?Npi=1568657344","1568657344")</f>
        <v>1568657344</v>
      </c>
      <c r="D2101" s="36" t="s">
        <v>34758</v>
      </c>
      <c r="E2101" s="36" t="s">
        <v>34655</v>
      </c>
      <c r="F2101" s="36">
        <v>1</v>
      </c>
      <c r="G2101" s="36">
        <v>0</v>
      </c>
      <c r="H2101" s="36">
        <v>0</v>
      </c>
      <c r="I2101" s="37">
        <v>0</v>
      </c>
      <c r="J2101" s="36" t="s">
        <v>32679</v>
      </c>
      <c r="K2101" s="36" t="s">
        <v>14330</v>
      </c>
      <c r="L2101" s="36" t="s">
        <v>14330</v>
      </c>
      <c r="M2101">
        <v>0</v>
      </c>
    </row>
    <row r="2102" spans="1:13" x14ac:dyDescent="0.25">
      <c r="A2102" s="35" t="s">
        <v>7285</v>
      </c>
      <c r="B2102" s="36" t="s">
        <v>7286</v>
      </c>
      <c r="C2102" s="36" t="str">
        <f>HYPERLINK("https://rhld.insurance.arkansas.gov/NPILookup?Npi=1568900793","1568900793")</f>
        <v>1568900793</v>
      </c>
      <c r="D2102" s="36" t="s">
        <v>34759</v>
      </c>
      <c r="E2102" s="36" t="s">
        <v>34655</v>
      </c>
      <c r="F2102" s="36">
        <v>1</v>
      </c>
      <c r="G2102" s="36">
        <v>0</v>
      </c>
      <c r="H2102" s="36">
        <v>0</v>
      </c>
      <c r="I2102" s="37">
        <v>0</v>
      </c>
      <c r="J2102" s="36" t="s">
        <v>32679</v>
      </c>
      <c r="K2102" s="36" t="s">
        <v>14330</v>
      </c>
      <c r="L2102" s="36" t="s">
        <v>14330</v>
      </c>
      <c r="M2102">
        <v>0</v>
      </c>
    </row>
    <row r="2103" spans="1:13" x14ac:dyDescent="0.25">
      <c r="A2103" s="35" t="s">
        <v>7285</v>
      </c>
      <c r="B2103" s="36" t="s">
        <v>7286</v>
      </c>
      <c r="C2103" s="36" t="str">
        <f>HYPERLINK("https://rhld.insurance.arkansas.gov/NPILookup?Npi=1568902112","1568902112")</f>
        <v>1568902112</v>
      </c>
      <c r="D2103" s="36" t="s">
        <v>34760</v>
      </c>
      <c r="E2103" s="36" t="s">
        <v>34655</v>
      </c>
      <c r="F2103" s="36">
        <v>1</v>
      </c>
      <c r="G2103" s="36">
        <v>0</v>
      </c>
      <c r="H2103" s="36">
        <v>0</v>
      </c>
      <c r="I2103" s="37">
        <v>0</v>
      </c>
      <c r="J2103" s="36" t="s">
        <v>32679</v>
      </c>
      <c r="K2103" s="36" t="s">
        <v>14330</v>
      </c>
      <c r="L2103" s="36" t="s">
        <v>14330</v>
      </c>
      <c r="M2103">
        <v>0</v>
      </c>
    </row>
    <row r="2104" spans="1:13" x14ac:dyDescent="0.25">
      <c r="A2104" s="35" t="s">
        <v>7285</v>
      </c>
      <c r="B2104" s="36" t="s">
        <v>7286</v>
      </c>
      <c r="C2104" s="36" t="str">
        <f>HYPERLINK("https://rhld.insurance.arkansas.gov/NPILookup?Npi=1578357109","1578357109")</f>
        <v>1578357109</v>
      </c>
      <c r="D2104" s="36" t="s">
        <v>34761</v>
      </c>
      <c r="E2104" s="36" t="s">
        <v>34655</v>
      </c>
      <c r="F2104" s="36">
        <v>1</v>
      </c>
      <c r="G2104" s="36">
        <v>0</v>
      </c>
      <c r="H2104" s="36">
        <v>0</v>
      </c>
      <c r="I2104" s="37">
        <v>0</v>
      </c>
      <c r="J2104" s="36" t="s">
        <v>32679</v>
      </c>
      <c r="K2104" s="36" t="s">
        <v>14330</v>
      </c>
      <c r="L2104" s="36" t="s">
        <v>14330</v>
      </c>
      <c r="M2104">
        <v>0</v>
      </c>
    </row>
    <row r="2105" spans="1:13" x14ac:dyDescent="0.25">
      <c r="A2105" s="35" t="s">
        <v>7285</v>
      </c>
      <c r="B2105" s="36" t="s">
        <v>7286</v>
      </c>
      <c r="C2105" s="36" t="str">
        <f>HYPERLINK("https://rhld.insurance.arkansas.gov/NPILookup?Npi=1578387668","1578387668")</f>
        <v>1578387668</v>
      </c>
      <c r="D2105" s="36" t="s">
        <v>34762</v>
      </c>
      <c r="E2105" s="36" t="s">
        <v>34655</v>
      </c>
      <c r="F2105" s="36">
        <v>1</v>
      </c>
      <c r="G2105" s="36">
        <v>0</v>
      </c>
      <c r="H2105" s="36">
        <v>0</v>
      </c>
      <c r="I2105" s="37">
        <v>0</v>
      </c>
      <c r="J2105" s="36" t="s">
        <v>32679</v>
      </c>
      <c r="K2105" s="36" t="s">
        <v>14330</v>
      </c>
      <c r="L2105" s="36" t="s">
        <v>14330</v>
      </c>
      <c r="M2105">
        <v>0</v>
      </c>
    </row>
    <row r="2106" spans="1:13" x14ac:dyDescent="0.25">
      <c r="A2106" s="35" t="s">
        <v>7285</v>
      </c>
      <c r="B2106" s="36" t="s">
        <v>7286</v>
      </c>
      <c r="C2106" s="36" t="str">
        <f>HYPERLINK("https://rhld.insurance.arkansas.gov/NPILookup?Npi=1588040398","1588040398")</f>
        <v>1588040398</v>
      </c>
      <c r="D2106" s="36" t="s">
        <v>34763</v>
      </c>
      <c r="E2106" s="36" t="s">
        <v>34655</v>
      </c>
      <c r="F2106" s="36">
        <v>1</v>
      </c>
      <c r="G2106" s="36">
        <v>0</v>
      </c>
      <c r="H2106" s="36">
        <v>0</v>
      </c>
      <c r="I2106" s="37">
        <v>0</v>
      </c>
      <c r="J2106" s="36" t="s">
        <v>32679</v>
      </c>
      <c r="K2106" s="36" t="s">
        <v>14330</v>
      </c>
      <c r="L2106" s="36" t="s">
        <v>14330</v>
      </c>
      <c r="M2106">
        <v>0</v>
      </c>
    </row>
    <row r="2107" spans="1:13" x14ac:dyDescent="0.25">
      <c r="A2107" s="35" t="s">
        <v>7285</v>
      </c>
      <c r="B2107" s="36" t="s">
        <v>7286</v>
      </c>
      <c r="C2107" s="36" t="str">
        <f>HYPERLINK("https://rhld.insurance.arkansas.gov/NPILookup?Npi=1588434070","1588434070")</f>
        <v>1588434070</v>
      </c>
      <c r="D2107" s="36" t="s">
        <v>34764</v>
      </c>
      <c r="E2107" s="36" t="s">
        <v>34655</v>
      </c>
      <c r="F2107" s="36">
        <v>1</v>
      </c>
      <c r="G2107" s="36">
        <v>0</v>
      </c>
      <c r="H2107" s="36">
        <v>0</v>
      </c>
      <c r="I2107" s="37">
        <v>0</v>
      </c>
      <c r="J2107" s="36" t="s">
        <v>32679</v>
      </c>
      <c r="K2107" s="36" t="s">
        <v>14330</v>
      </c>
      <c r="L2107" s="36" t="s">
        <v>14330</v>
      </c>
      <c r="M2107">
        <v>0</v>
      </c>
    </row>
    <row r="2108" spans="1:13" x14ac:dyDescent="0.25">
      <c r="A2108" s="35" t="s">
        <v>7285</v>
      </c>
      <c r="B2108" s="36" t="s">
        <v>7286</v>
      </c>
      <c r="C2108" s="36" t="str">
        <f>HYPERLINK("https://rhld.insurance.arkansas.gov/NPILookup?Npi=1598335614","1598335614")</f>
        <v>1598335614</v>
      </c>
      <c r="D2108" s="36" t="s">
        <v>34765</v>
      </c>
      <c r="E2108" s="36" t="s">
        <v>34655</v>
      </c>
      <c r="F2108" s="36">
        <v>1</v>
      </c>
      <c r="G2108" s="36">
        <v>0</v>
      </c>
      <c r="H2108" s="36">
        <v>0</v>
      </c>
      <c r="I2108" s="37">
        <v>0</v>
      </c>
      <c r="J2108" s="36" t="s">
        <v>32679</v>
      </c>
      <c r="K2108" s="36" t="s">
        <v>14330</v>
      </c>
      <c r="L2108" s="36" t="s">
        <v>14330</v>
      </c>
      <c r="M2108">
        <v>0</v>
      </c>
    </row>
    <row r="2109" spans="1:13" x14ac:dyDescent="0.25">
      <c r="A2109" s="35" t="s">
        <v>7285</v>
      </c>
      <c r="B2109" s="36" t="s">
        <v>7286</v>
      </c>
      <c r="C2109" s="36" t="str">
        <f>HYPERLINK("https://rhld.insurance.arkansas.gov/NPILookup?Npi=1609183599","1609183599")</f>
        <v>1609183599</v>
      </c>
      <c r="D2109" s="36" t="s">
        <v>34766</v>
      </c>
      <c r="E2109" s="36" t="s">
        <v>34655</v>
      </c>
      <c r="F2109" s="36">
        <v>1</v>
      </c>
      <c r="G2109" s="36">
        <v>0</v>
      </c>
      <c r="H2109" s="36">
        <v>0</v>
      </c>
      <c r="I2109" s="37">
        <v>0</v>
      </c>
      <c r="J2109" s="36" t="s">
        <v>32679</v>
      </c>
      <c r="K2109" s="36" t="s">
        <v>14330</v>
      </c>
      <c r="L2109" s="36" t="s">
        <v>14330</v>
      </c>
      <c r="M2109">
        <v>0</v>
      </c>
    </row>
    <row r="2110" spans="1:13" x14ac:dyDescent="0.25">
      <c r="A2110" s="35" t="s">
        <v>7285</v>
      </c>
      <c r="B2110" s="36" t="s">
        <v>7286</v>
      </c>
      <c r="C2110" s="36" t="str">
        <f>HYPERLINK("https://rhld.insurance.arkansas.gov/NPILookup?Npi=1609194109","1609194109")</f>
        <v>1609194109</v>
      </c>
      <c r="D2110" s="36" t="s">
        <v>34767</v>
      </c>
      <c r="E2110" s="36" t="s">
        <v>34655</v>
      </c>
      <c r="F2110" s="36">
        <v>1</v>
      </c>
      <c r="G2110" s="36">
        <v>0</v>
      </c>
      <c r="H2110" s="36">
        <v>0</v>
      </c>
      <c r="I2110" s="37">
        <v>0</v>
      </c>
      <c r="J2110" s="36" t="s">
        <v>32679</v>
      </c>
      <c r="K2110" s="36" t="s">
        <v>14330</v>
      </c>
      <c r="L2110" s="36" t="s">
        <v>14330</v>
      </c>
      <c r="M2110">
        <v>0</v>
      </c>
    </row>
    <row r="2111" spans="1:13" x14ac:dyDescent="0.25">
      <c r="A2111" s="35" t="s">
        <v>7285</v>
      </c>
      <c r="B2111" s="36" t="s">
        <v>7286</v>
      </c>
      <c r="C2111" s="36" t="str">
        <f>HYPERLINK("https://rhld.insurance.arkansas.gov/NPILookup?Npi=1619368420","1619368420")</f>
        <v>1619368420</v>
      </c>
      <c r="D2111" s="36" t="s">
        <v>34768</v>
      </c>
      <c r="E2111" s="36" t="s">
        <v>34655</v>
      </c>
      <c r="F2111" s="36">
        <v>1</v>
      </c>
      <c r="G2111" s="36">
        <v>0</v>
      </c>
      <c r="H2111" s="36">
        <v>0</v>
      </c>
      <c r="I2111" s="37">
        <v>0</v>
      </c>
      <c r="J2111" s="36" t="s">
        <v>32679</v>
      </c>
      <c r="K2111" s="36" t="s">
        <v>14330</v>
      </c>
      <c r="L2111" s="36" t="s">
        <v>14330</v>
      </c>
      <c r="M2111">
        <v>0</v>
      </c>
    </row>
    <row r="2112" spans="1:13" x14ac:dyDescent="0.25">
      <c r="A2112" s="35" t="s">
        <v>7285</v>
      </c>
      <c r="B2112" s="36" t="s">
        <v>7286</v>
      </c>
      <c r="C2112" s="36" t="str">
        <f>HYPERLINK("https://rhld.insurance.arkansas.gov/NPILookup?Npi=1619588043","1619588043")</f>
        <v>1619588043</v>
      </c>
      <c r="D2112" s="36" t="s">
        <v>34769</v>
      </c>
      <c r="E2112" s="36" t="s">
        <v>34655</v>
      </c>
      <c r="F2112" s="36">
        <v>1</v>
      </c>
      <c r="G2112" s="36">
        <v>0</v>
      </c>
      <c r="H2112" s="36">
        <v>0</v>
      </c>
      <c r="I2112" s="37">
        <v>0</v>
      </c>
      <c r="J2112" s="36" t="s">
        <v>32679</v>
      </c>
      <c r="K2112" s="36" t="s">
        <v>14330</v>
      </c>
      <c r="L2112" s="36" t="s">
        <v>14330</v>
      </c>
      <c r="M2112">
        <v>0</v>
      </c>
    </row>
    <row r="2113" spans="1:13" x14ac:dyDescent="0.25">
      <c r="A2113" s="35" t="s">
        <v>7285</v>
      </c>
      <c r="B2113" s="36" t="s">
        <v>7286</v>
      </c>
      <c r="C2113" s="36" t="str">
        <f>HYPERLINK("https://rhld.insurance.arkansas.gov/NPILookup?Npi=1619775939","1619775939")</f>
        <v>1619775939</v>
      </c>
      <c r="D2113" s="36" t="s">
        <v>34770</v>
      </c>
      <c r="E2113" s="36" t="s">
        <v>34655</v>
      </c>
      <c r="F2113" s="36">
        <v>1</v>
      </c>
      <c r="G2113" s="36">
        <v>0</v>
      </c>
      <c r="H2113" s="36">
        <v>0</v>
      </c>
      <c r="I2113" s="37">
        <v>0</v>
      </c>
      <c r="J2113" s="36" t="s">
        <v>32679</v>
      </c>
      <c r="K2113" s="36" t="s">
        <v>14330</v>
      </c>
      <c r="L2113" s="36" t="s">
        <v>14330</v>
      </c>
      <c r="M2113">
        <v>0</v>
      </c>
    </row>
    <row r="2114" spans="1:13" x14ac:dyDescent="0.25">
      <c r="A2114" s="35" t="s">
        <v>7285</v>
      </c>
      <c r="B2114" s="36" t="s">
        <v>7286</v>
      </c>
      <c r="C2114" s="36" t="str">
        <f>HYPERLINK("https://rhld.insurance.arkansas.gov/NPILookup?Npi=1629844030","1629844030")</f>
        <v>1629844030</v>
      </c>
      <c r="D2114" s="36" t="s">
        <v>34771</v>
      </c>
      <c r="E2114" s="36" t="s">
        <v>34655</v>
      </c>
      <c r="F2114" s="36">
        <v>1</v>
      </c>
      <c r="G2114" s="36">
        <v>0</v>
      </c>
      <c r="H2114" s="36">
        <v>0</v>
      </c>
      <c r="I2114" s="37">
        <v>0</v>
      </c>
      <c r="J2114" s="36" t="s">
        <v>32679</v>
      </c>
      <c r="K2114" s="36" t="s">
        <v>14330</v>
      </c>
      <c r="L2114" s="36" t="s">
        <v>14330</v>
      </c>
      <c r="M2114">
        <v>0</v>
      </c>
    </row>
    <row r="2115" spans="1:13" x14ac:dyDescent="0.25">
      <c r="A2115" s="35" t="s">
        <v>7285</v>
      </c>
      <c r="B2115" s="36" t="s">
        <v>7286</v>
      </c>
      <c r="C2115" s="36" t="str">
        <f>HYPERLINK("https://rhld.insurance.arkansas.gov/NPILookup?Npi=1639989304","1639989304")</f>
        <v>1639989304</v>
      </c>
      <c r="D2115" s="36" t="s">
        <v>34772</v>
      </c>
      <c r="E2115" s="36" t="s">
        <v>34655</v>
      </c>
      <c r="F2115" s="36">
        <v>1</v>
      </c>
      <c r="G2115" s="36">
        <v>0</v>
      </c>
      <c r="H2115" s="36">
        <v>0</v>
      </c>
      <c r="I2115" s="37">
        <v>0</v>
      </c>
      <c r="J2115" s="36" t="s">
        <v>32679</v>
      </c>
      <c r="K2115" s="36" t="s">
        <v>14330</v>
      </c>
      <c r="L2115" s="36" t="s">
        <v>14330</v>
      </c>
      <c r="M2115">
        <v>0</v>
      </c>
    </row>
    <row r="2116" spans="1:13" x14ac:dyDescent="0.25">
      <c r="A2116" s="35" t="s">
        <v>7285</v>
      </c>
      <c r="B2116" s="36" t="s">
        <v>7286</v>
      </c>
      <c r="C2116" s="36" t="str">
        <f>HYPERLINK("https://rhld.insurance.arkansas.gov/NPILookup?Npi=1649018375","1649018375")</f>
        <v>1649018375</v>
      </c>
      <c r="D2116" s="36" t="s">
        <v>34773</v>
      </c>
      <c r="E2116" s="36" t="s">
        <v>34655</v>
      </c>
      <c r="F2116" s="36">
        <v>1</v>
      </c>
      <c r="G2116" s="36">
        <v>0</v>
      </c>
      <c r="H2116" s="36">
        <v>0</v>
      </c>
      <c r="I2116" s="37">
        <v>0</v>
      </c>
      <c r="J2116" s="36" t="s">
        <v>32679</v>
      </c>
      <c r="K2116" s="36" t="s">
        <v>14330</v>
      </c>
      <c r="L2116" s="36" t="s">
        <v>14330</v>
      </c>
      <c r="M2116">
        <v>0</v>
      </c>
    </row>
    <row r="2117" spans="1:13" x14ac:dyDescent="0.25">
      <c r="A2117" s="35" t="s">
        <v>7285</v>
      </c>
      <c r="B2117" s="36" t="s">
        <v>7286</v>
      </c>
      <c r="C2117" s="36" t="str">
        <f>HYPERLINK("https://rhld.insurance.arkansas.gov/NPILookup?Npi=1649656752","1649656752")</f>
        <v>1649656752</v>
      </c>
      <c r="D2117" s="36" t="s">
        <v>34774</v>
      </c>
      <c r="E2117" s="36" t="s">
        <v>34655</v>
      </c>
      <c r="F2117" s="36">
        <v>1</v>
      </c>
      <c r="G2117" s="36">
        <v>0</v>
      </c>
      <c r="H2117" s="36">
        <v>0</v>
      </c>
      <c r="I2117" s="37">
        <v>0</v>
      </c>
      <c r="J2117" s="36" t="s">
        <v>32679</v>
      </c>
      <c r="K2117" s="36" t="s">
        <v>14330</v>
      </c>
      <c r="L2117" s="36" t="s">
        <v>14330</v>
      </c>
      <c r="M2117">
        <v>0</v>
      </c>
    </row>
    <row r="2118" spans="1:13" x14ac:dyDescent="0.25">
      <c r="A2118" s="35" t="s">
        <v>7285</v>
      </c>
      <c r="B2118" s="36" t="s">
        <v>7286</v>
      </c>
      <c r="C2118" s="36" t="str">
        <f>HYPERLINK("https://rhld.insurance.arkansas.gov/NPILookup?Npi=1659100154","1659100154")</f>
        <v>1659100154</v>
      </c>
      <c r="D2118" s="36" t="s">
        <v>34775</v>
      </c>
      <c r="E2118" s="36" t="s">
        <v>34655</v>
      </c>
      <c r="F2118" s="36">
        <v>1</v>
      </c>
      <c r="G2118" s="36">
        <v>0</v>
      </c>
      <c r="H2118" s="36">
        <v>0</v>
      </c>
      <c r="I2118" s="37">
        <v>0</v>
      </c>
      <c r="J2118" s="36" t="s">
        <v>32679</v>
      </c>
      <c r="K2118" s="36" t="s">
        <v>14330</v>
      </c>
      <c r="L2118" s="36" t="s">
        <v>14330</v>
      </c>
      <c r="M2118">
        <v>0</v>
      </c>
    </row>
    <row r="2119" spans="1:13" x14ac:dyDescent="0.25">
      <c r="A2119" s="35" t="s">
        <v>7285</v>
      </c>
      <c r="B2119" s="36" t="s">
        <v>7286</v>
      </c>
      <c r="C2119" s="36" t="str">
        <f>HYPERLINK("https://rhld.insurance.arkansas.gov/NPILookup?Npi=1659738250","1659738250")</f>
        <v>1659738250</v>
      </c>
      <c r="D2119" s="36" t="s">
        <v>34776</v>
      </c>
      <c r="E2119" s="36" t="s">
        <v>34655</v>
      </c>
      <c r="F2119" s="36">
        <v>1</v>
      </c>
      <c r="G2119" s="36">
        <v>0</v>
      </c>
      <c r="H2119" s="36">
        <v>0</v>
      </c>
      <c r="I2119" s="37">
        <v>0</v>
      </c>
      <c r="J2119" s="36" t="s">
        <v>32679</v>
      </c>
      <c r="K2119" s="36" t="s">
        <v>14330</v>
      </c>
      <c r="L2119" s="36" t="s">
        <v>14330</v>
      </c>
      <c r="M2119">
        <v>0</v>
      </c>
    </row>
    <row r="2120" spans="1:13" x14ac:dyDescent="0.25">
      <c r="A2120" s="35" t="s">
        <v>7285</v>
      </c>
      <c r="B2120" s="36" t="s">
        <v>7286</v>
      </c>
      <c r="C2120" s="36" t="str">
        <f>HYPERLINK("https://rhld.insurance.arkansas.gov/NPILookup?Npi=1669205308","1669205308")</f>
        <v>1669205308</v>
      </c>
      <c r="D2120" s="36" t="s">
        <v>34777</v>
      </c>
      <c r="E2120" s="36" t="s">
        <v>34655</v>
      </c>
      <c r="F2120" s="36">
        <v>1</v>
      </c>
      <c r="G2120" s="36">
        <v>0</v>
      </c>
      <c r="H2120" s="36">
        <v>0</v>
      </c>
      <c r="I2120" s="37">
        <v>0</v>
      </c>
      <c r="J2120" s="36" t="s">
        <v>32679</v>
      </c>
      <c r="K2120" s="36" t="s">
        <v>14330</v>
      </c>
      <c r="L2120" s="36" t="s">
        <v>14330</v>
      </c>
      <c r="M2120">
        <v>0</v>
      </c>
    </row>
    <row r="2121" spans="1:13" x14ac:dyDescent="0.25">
      <c r="A2121" s="35" t="s">
        <v>7285</v>
      </c>
      <c r="B2121" s="36" t="s">
        <v>7286</v>
      </c>
      <c r="C2121" s="36" t="str">
        <f>HYPERLINK("https://rhld.insurance.arkansas.gov/NPILookup?Npi=1679285308","1679285308")</f>
        <v>1679285308</v>
      </c>
      <c r="D2121" s="36" t="s">
        <v>34778</v>
      </c>
      <c r="E2121" s="36" t="s">
        <v>34655</v>
      </c>
      <c r="F2121" s="36">
        <v>1</v>
      </c>
      <c r="G2121" s="36">
        <v>0</v>
      </c>
      <c r="H2121" s="36">
        <v>0</v>
      </c>
      <c r="I2121" s="37">
        <v>0</v>
      </c>
      <c r="J2121" s="36" t="s">
        <v>32679</v>
      </c>
      <c r="K2121" s="36" t="s">
        <v>14330</v>
      </c>
      <c r="L2121" s="36" t="s">
        <v>14330</v>
      </c>
      <c r="M2121">
        <v>0</v>
      </c>
    </row>
    <row r="2122" spans="1:13" x14ac:dyDescent="0.25">
      <c r="A2122" s="35" t="s">
        <v>7285</v>
      </c>
      <c r="B2122" s="36" t="s">
        <v>7286</v>
      </c>
      <c r="C2122" s="36" t="str">
        <f>HYPERLINK("https://rhld.insurance.arkansas.gov/NPILookup?Npi=1679997522","1679997522")</f>
        <v>1679997522</v>
      </c>
      <c r="D2122" s="36" t="s">
        <v>34779</v>
      </c>
      <c r="E2122" s="36" t="s">
        <v>34655</v>
      </c>
      <c r="F2122" s="36">
        <v>1</v>
      </c>
      <c r="G2122" s="36">
        <v>0</v>
      </c>
      <c r="H2122" s="36">
        <v>0</v>
      </c>
      <c r="I2122" s="37">
        <v>0</v>
      </c>
      <c r="J2122" s="36" t="s">
        <v>32679</v>
      </c>
      <c r="K2122" s="36" t="s">
        <v>14330</v>
      </c>
      <c r="L2122" s="36" t="s">
        <v>14330</v>
      </c>
      <c r="M2122">
        <v>0</v>
      </c>
    </row>
    <row r="2123" spans="1:13" x14ac:dyDescent="0.25">
      <c r="A2123" s="35" t="s">
        <v>7285</v>
      </c>
      <c r="B2123" s="36" t="s">
        <v>7286</v>
      </c>
      <c r="C2123" s="36" t="str">
        <f>HYPERLINK("https://rhld.insurance.arkansas.gov/NPILookup?Npi=1689176398","1689176398")</f>
        <v>1689176398</v>
      </c>
      <c r="D2123" s="36" t="s">
        <v>34780</v>
      </c>
      <c r="E2123" s="36" t="s">
        <v>34655</v>
      </c>
      <c r="F2123" s="36">
        <v>1</v>
      </c>
      <c r="G2123" s="36">
        <v>0</v>
      </c>
      <c r="H2123" s="36">
        <v>0</v>
      </c>
      <c r="I2123" s="37">
        <v>0</v>
      </c>
      <c r="J2123" s="36" t="s">
        <v>32679</v>
      </c>
      <c r="K2123" s="36" t="s">
        <v>14330</v>
      </c>
      <c r="L2123" s="36" t="s">
        <v>14330</v>
      </c>
      <c r="M2123">
        <v>0</v>
      </c>
    </row>
    <row r="2124" spans="1:13" x14ac:dyDescent="0.25">
      <c r="A2124" s="35" t="s">
        <v>7285</v>
      </c>
      <c r="B2124" s="36" t="s">
        <v>7286</v>
      </c>
      <c r="C2124" s="36" t="str">
        <f>HYPERLINK("https://rhld.insurance.arkansas.gov/NPILookup?Npi=1689321085","1689321085")</f>
        <v>1689321085</v>
      </c>
      <c r="D2124" s="36" t="s">
        <v>34781</v>
      </c>
      <c r="E2124" s="36" t="s">
        <v>34655</v>
      </c>
      <c r="F2124" s="36">
        <v>1</v>
      </c>
      <c r="G2124" s="36">
        <v>0</v>
      </c>
      <c r="H2124" s="36">
        <v>0</v>
      </c>
      <c r="I2124" s="37">
        <v>0</v>
      </c>
      <c r="J2124" s="36" t="s">
        <v>32679</v>
      </c>
      <c r="K2124" s="36" t="s">
        <v>14330</v>
      </c>
      <c r="L2124" s="36" t="s">
        <v>14330</v>
      </c>
      <c r="M2124">
        <v>0</v>
      </c>
    </row>
    <row r="2125" spans="1:13" x14ac:dyDescent="0.25">
      <c r="A2125" s="35" t="s">
        <v>7285</v>
      </c>
      <c r="B2125" s="36" t="s">
        <v>7286</v>
      </c>
      <c r="C2125" s="36" t="str">
        <f>HYPERLINK("https://rhld.insurance.arkansas.gov/NPILookup?Npi=1699260521","1699260521")</f>
        <v>1699260521</v>
      </c>
      <c r="D2125" s="36" t="s">
        <v>34782</v>
      </c>
      <c r="E2125" s="36" t="s">
        <v>34655</v>
      </c>
      <c r="F2125" s="36">
        <v>1</v>
      </c>
      <c r="G2125" s="36">
        <v>0</v>
      </c>
      <c r="H2125" s="36">
        <v>0</v>
      </c>
      <c r="I2125" s="37">
        <v>0</v>
      </c>
      <c r="J2125" s="36" t="s">
        <v>32679</v>
      </c>
      <c r="K2125" s="36" t="s">
        <v>14330</v>
      </c>
      <c r="L2125" s="36" t="s">
        <v>14330</v>
      </c>
      <c r="M2125">
        <v>0</v>
      </c>
    </row>
    <row r="2126" spans="1:13" x14ac:dyDescent="0.25">
      <c r="A2126" s="35" t="s">
        <v>7285</v>
      </c>
      <c r="B2126" s="36" t="s">
        <v>7286</v>
      </c>
      <c r="C2126" s="36" t="str">
        <f>HYPERLINK("https://rhld.insurance.arkansas.gov/NPILookup?Npi=1700403128","1700403128")</f>
        <v>1700403128</v>
      </c>
      <c r="D2126" s="36" t="s">
        <v>34783</v>
      </c>
      <c r="E2126" s="36" t="s">
        <v>34655</v>
      </c>
      <c r="F2126" s="36">
        <v>1</v>
      </c>
      <c r="G2126" s="36">
        <v>0</v>
      </c>
      <c r="H2126" s="36">
        <v>0</v>
      </c>
      <c r="I2126" s="37">
        <v>0</v>
      </c>
      <c r="J2126" s="36" t="s">
        <v>32679</v>
      </c>
      <c r="K2126" s="36" t="s">
        <v>14330</v>
      </c>
      <c r="L2126" s="36" t="s">
        <v>14330</v>
      </c>
      <c r="M2126">
        <v>0</v>
      </c>
    </row>
    <row r="2127" spans="1:13" x14ac:dyDescent="0.25">
      <c r="A2127" s="35" t="s">
        <v>7285</v>
      </c>
      <c r="B2127" s="36" t="s">
        <v>7286</v>
      </c>
      <c r="C2127" s="36" t="str">
        <f>HYPERLINK("https://rhld.insurance.arkansas.gov/NPILookup?Npi=1730256926","1730256926")</f>
        <v>1730256926</v>
      </c>
      <c r="D2127" s="36" t="s">
        <v>34784</v>
      </c>
      <c r="E2127" s="36" t="s">
        <v>34655</v>
      </c>
      <c r="F2127" s="36">
        <v>1</v>
      </c>
      <c r="G2127" s="36">
        <v>0</v>
      </c>
      <c r="H2127" s="36">
        <v>0</v>
      </c>
      <c r="I2127" s="37">
        <v>0</v>
      </c>
      <c r="J2127" s="36" t="s">
        <v>32679</v>
      </c>
      <c r="K2127" s="36" t="s">
        <v>14330</v>
      </c>
      <c r="L2127" s="36" t="s">
        <v>14330</v>
      </c>
      <c r="M2127">
        <v>0</v>
      </c>
    </row>
    <row r="2128" spans="1:13" x14ac:dyDescent="0.25">
      <c r="A2128" s="35" t="s">
        <v>7285</v>
      </c>
      <c r="B2128" s="36" t="s">
        <v>7286</v>
      </c>
      <c r="C2128" s="36" t="str">
        <f>HYPERLINK("https://rhld.insurance.arkansas.gov/NPILookup?Npi=1730958968","1730958968")</f>
        <v>1730958968</v>
      </c>
      <c r="D2128" s="36" t="s">
        <v>34785</v>
      </c>
      <c r="E2128" s="36" t="s">
        <v>34655</v>
      </c>
      <c r="F2128" s="36">
        <v>1</v>
      </c>
      <c r="G2128" s="36">
        <v>0</v>
      </c>
      <c r="H2128" s="36">
        <v>0</v>
      </c>
      <c r="I2128" s="37">
        <v>0</v>
      </c>
      <c r="J2128" s="36" t="s">
        <v>32679</v>
      </c>
      <c r="K2128" s="36" t="s">
        <v>14330</v>
      </c>
      <c r="L2128" s="36" t="s">
        <v>14330</v>
      </c>
      <c r="M2128">
        <v>0</v>
      </c>
    </row>
    <row r="2129" spans="1:13" x14ac:dyDescent="0.25">
      <c r="A2129" s="35" t="s">
        <v>7285</v>
      </c>
      <c r="B2129" s="36" t="s">
        <v>7286</v>
      </c>
      <c r="C2129" s="36" t="str">
        <f>HYPERLINK("https://rhld.insurance.arkansas.gov/NPILookup?Npi=1740735323","1740735323")</f>
        <v>1740735323</v>
      </c>
      <c r="D2129" s="36" t="s">
        <v>34786</v>
      </c>
      <c r="E2129" s="36" t="s">
        <v>34655</v>
      </c>
      <c r="F2129" s="36">
        <v>1</v>
      </c>
      <c r="G2129" s="36">
        <v>0</v>
      </c>
      <c r="H2129" s="36">
        <v>0</v>
      </c>
      <c r="I2129" s="37">
        <v>0</v>
      </c>
      <c r="J2129" s="36" t="s">
        <v>32679</v>
      </c>
      <c r="K2129" s="36" t="s">
        <v>14330</v>
      </c>
      <c r="L2129" s="36" t="s">
        <v>14330</v>
      </c>
      <c r="M2129">
        <v>0</v>
      </c>
    </row>
    <row r="2130" spans="1:13" x14ac:dyDescent="0.25">
      <c r="A2130" s="35" t="s">
        <v>7285</v>
      </c>
      <c r="B2130" s="36" t="s">
        <v>7286</v>
      </c>
      <c r="C2130" s="36" t="str">
        <f>HYPERLINK("https://rhld.insurance.arkansas.gov/NPILookup?Npi=1760208441","1760208441")</f>
        <v>1760208441</v>
      </c>
      <c r="D2130" s="36" t="s">
        <v>34787</v>
      </c>
      <c r="E2130" s="36" t="s">
        <v>34655</v>
      </c>
      <c r="F2130" s="36">
        <v>1</v>
      </c>
      <c r="G2130" s="36">
        <v>0</v>
      </c>
      <c r="H2130" s="36">
        <v>0</v>
      </c>
      <c r="I2130" s="37">
        <v>0</v>
      </c>
      <c r="J2130" s="36" t="s">
        <v>32679</v>
      </c>
      <c r="K2130" s="36" t="s">
        <v>14330</v>
      </c>
      <c r="L2130" s="36" t="s">
        <v>14330</v>
      </c>
      <c r="M2130">
        <v>0</v>
      </c>
    </row>
    <row r="2131" spans="1:13" x14ac:dyDescent="0.25">
      <c r="A2131" s="35" t="s">
        <v>7285</v>
      </c>
      <c r="B2131" s="36" t="s">
        <v>7286</v>
      </c>
      <c r="C2131" s="36" t="str">
        <f>HYPERLINK("https://rhld.insurance.arkansas.gov/NPILookup?Npi=1760873319","1760873319")</f>
        <v>1760873319</v>
      </c>
      <c r="D2131" s="36" t="s">
        <v>34788</v>
      </c>
      <c r="E2131" s="36" t="s">
        <v>34655</v>
      </c>
      <c r="F2131" s="36">
        <v>1</v>
      </c>
      <c r="G2131" s="36">
        <v>0</v>
      </c>
      <c r="H2131" s="36">
        <v>0</v>
      </c>
      <c r="I2131" s="37">
        <v>0</v>
      </c>
      <c r="J2131" s="36" t="s">
        <v>32679</v>
      </c>
      <c r="K2131" s="36" t="s">
        <v>14330</v>
      </c>
      <c r="L2131" s="36" t="s">
        <v>14330</v>
      </c>
      <c r="M2131">
        <v>0</v>
      </c>
    </row>
    <row r="2132" spans="1:13" x14ac:dyDescent="0.25">
      <c r="A2132" s="35" t="s">
        <v>7285</v>
      </c>
      <c r="B2132" s="36" t="s">
        <v>7286</v>
      </c>
      <c r="C2132" s="36" t="str">
        <f>HYPERLINK("https://rhld.insurance.arkansas.gov/NPILookup?Npi=1760919534","1760919534")</f>
        <v>1760919534</v>
      </c>
      <c r="D2132" s="36" t="s">
        <v>34789</v>
      </c>
      <c r="E2132" s="36" t="s">
        <v>34655</v>
      </c>
      <c r="F2132" s="36">
        <v>1</v>
      </c>
      <c r="G2132" s="36">
        <v>0</v>
      </c>
      <c r="H2132" s="36">
        <v>0</v>
      </c>
      <c r="I2132" s="37">
        <v>0</v>
      </c>
      <c r="J2132" s="36" t="s">
        <v>32679</v>
      </c>
      <c r="K2132" s="36" t="s">
        <v>14330</v>
      </c>
      <c r="L2132" s="36" t="s">
        <v>14330</v>
      </c>
      <c r="M2132">
        <v>0</v>
      </c>
    </row>
    <row r="2133" spans="1:13" x14ac:dyDescent="0.25">
      <c r="A2133" s="35" t="s">
        <v>7285</v>
      </c>
      <c r="B2133" s="36" t="s">
        <v>7286</v>
      </c>
      <c r="C2133" s="36" t="str">
        <f>HYPERLINK("https://rhld.insurance.arkansas.gov/NPILookup?Npi=1780099598","1780099598")</f>
        <v>1780099598</v>
      </c>
      <c r="D2133" s="36" t="s">
        <v>34790</v>
      </c>
      <c r="E2133" s="36" t="s">
        <v>34655</v>
      </c>
      <c r="F2133" s="36">
        <v>1</v>
      </c>
      <c r="G2133" s="36">
        <v>0</v>
      </c>
      <c r="H2133" s="36">
        <v>0</v>
      </c>
      <c r="I2133" s="37">
        <v>0</v>
      </c>
      <c r="J2133" s="36" t="s">
        <v>32679</v>
      </c>
      <c r="K2133" s="36" t="s">
        <v>14330</v>
      </c>
      <c r="L2133" s="36" t="s">
        <v>14330</v>
      </c>
      <c r="M2133">
        <v>0</v>
      </c>
    </row>
    <row r="2134" spans="1:13" x14ac:dyDescent="0.25">
      <c r="A2134" s="35" t="s">
        <v>7285</v>
      </c>
      <c r="B2134" s="36" t="s">
        <v>7286</v>
      </c>
      <c r="C2134" s="36" t="str">
        <f>HYPERLINK("https://rhld.insurance.arkansas.gov/NPILookup?Npi=1780148262","1780148262")</f>
        <v>1780148262</v>
      </c>
      <c r="D2134" s="36" t="s">
        <v>34791</v>
      </c>
      <c r="E2134" s="36" t="s">
        <v>34655</v>
      </c>
      <c r="F2134" s="36">
        <v>1</v>
      </c>
      <c r="G2134" s="36">
        <v>0</v>
      </c>
      <c r="H2134" s="36">
        <v>0</v>
      </c>
      <c r="I2134" s="37">
        <v>0</v>
      </c>
      <c r="J2134" s="36" t="s">
        <v>32679</v>
      </c>
      <c r="K2134" s="36" t="s">
        <v>14330</v>
      </c>
      <c r="L2134" s="36" t="s">
        <v>14330</v>
      </c>
      <c r="M2134">
        <v>0</v>
      </c>
    </row>
    <row r="2135" spans="1:13" x14ac:dyDescent="0.25">
      <c r="A2135" s="35" t="s">
        <v>7285</v>
      </c>
      <c r="B2135" s="36" t="s">
        <v>7286</v>
      </c>
      <c r="C2135" s="36" t="str">
        <f>HYPERLINK("https://rhld.insurance.arkansas.gov/NPILookup?Npi=1780256727","1780256727")</f>
        <v>1780256727</v>
      </c>
      <c r="D2135" s="36" t="s">
        <v>34792</v>
      </c>
      <c r="E2135" s="36" t="s">
        <v>34655</v>
      </c>
      <c r="F2135" s="36">
        <v>1</v>
      </c>
      <c r="G2135" s="36">
        <v>0</v>
      </c>
      <c r="H2135" s="36">
        <v>0</v>
      </c>
      <c r="I2135" s="37">
        <v>0</v>
      </c>
      <c r="J2135" s="36" t="s">
        <v>32679</v>
      </c>
      <c r="K2135" s="36" t="s">
        <v>14330</v>
      </c>
      <c r="L2135" s="36" t="s">
        <v>14330</v>
      </c>
      <c r="M2135">
        <v>0</v>
      </c>
    </row>
    <row r="2136" spans="1:13" x14ac:dyDescent="0.25">
      <c r="A2136" s="35" t="s">
        <v>7285</v>
      </c>
      <c r="B2136" s="36" t="s">
        <v>7286</v>
      </c>
      <c r="C2136" s="36" t="str">
        <f>HYPERLINK("https://rhld.insurance.arkansas.gov/NPILookup?Npi=1780316844","1780316844")</f>
        <v>1780316844</v>
      </c>
      <c r="D2136" s="36" t="s">
        <v>34793</v>
      </c>
      <c r="E2136" s="36" t="s">
        <v>34655</v>
      </c>
      <c r="F2136" s="36">
        <v>1</v>
      </c>
      <c r="G2136" s="36">
        <v>0</v>
      </c>
      <c r="H2136" s="36">
        <v>0</v>
      </c>
      <c r="I2136" s="37">
        <v>0</v>
      </c>
      <c r="J2136" s="36" t="s">
        <v>32679</v>
      </c>
      <c r="K2136" s="36" t="s">
        <v>14330</v>
      </c>
      <c r="L2136" s="36" t="s">
        <v>14330</v>
      </c>
      <c r="M2136">
        <v>0</v>
      </c>
    </row>
    <row r="2137" spans="1:13" x14ac:dyDescent="0.25">
      <c r="A2137" s="35" t="s">
        <v>7285</v>
      </c>
      <c r="B2137" s="36" t="s">
        <v>7286</v>
      </c>
      <c r="C2137" s="36" t="str">
        <f>HYPERLINK("https://rhld.insurance.arkansas.gov/NPILookup?Npi=1780497909","1780497909")</f>
        <v>1780497909</v>
      </c>
      <c r="D2137" s="36" t="s">
        <v>34794</v>
      </c>
      <c r="E2137" s="36" t="s">
        <v>34655</v>
      </c>
      <c r="F2137" s="36">
        <v>1</v>
      </c>
      <c r="G2137" s="36">
        <v>0</v>
      </c>
      <c r="H2137" s="36">
        <v>0</v>
      </c>
      <c r="I2137" s="37">
        <v>0</v>
      </c>
      <c r="J2137" s="36" t="s">
        <v>32679</v>
      </c>
      <c r="K2137" s="36" t="s">
        <v>14330</v>
      </c>
      <c r="L2137" s="36" t="s">
        <v>14330</v>
      </c>
      <c r="M2137">
        <v>0</v>
      </c>
    </row>
    <row r="2138" spans="1:13" x14ac:dyDescent="0.25">
      <c r="A2138" s="35" t="s">
        <v>7285</v>
      </c>
      <c r="B2138" s="36" t="s">
        <v>7286</v>
      </c>
      <c r="C2138" s="36" t="str">
        <f>HYPERLINK("https://rhld.insurance.arkansas.gov/NPILookup?Npi=1790225894","1790225894")</f>
        <v>1790225894</v>
      </c>
      <c r="D2138" s="36" t="s">
        <v>34795</v>
      </c>
      <c r="E2138" s="36" t="s">
        <v>34655</v>
      </c>
      <c r="F2138" s="36">
        <v>1</v>
      </c>
      <c r="G2138" s="36">
        <v>0</v>
      </c>
      <c r="H2138" s="36">
        <v>0</v>
      </c>
      <c r="I2138" s="37">
        <v>0</v>
      </c>
      <c r="J2138" s="36" t="s">
        <v>32679</v>
      </c>
      <c r="K2138" s="36" t="s">
        <v>14330</v>
      </c>
      <c r="L2138" s="36" t="s">
        <v>14330</v>
      </c>
      <c r="M2138">
        <v>0</v>
      </c>
    </row>
    <row r="2139" spans="1:13" x14ac:dyDescent="0.25">
      <c r="A2139" s="35" t="s">
        <v>7285</v>
      </c>
      <c r="B2139" s="36" t="s">
        <v>7286</v>
      </c>
      <c r="C2139" s="36" t="str">
        <f>HYPERLINK("https://rhld.insurance.arkansas.gov/NPILookup?Npi=1790506780","1790506780")</f>
        <v>1790506780</v>
      </c>
      <c r="D2139" s="36" t="s">
        <v>34796</v>
      </c>
      <c r="E2139" s="36" t="s">
        <v>34655</v>
      </c>
      <c r="F2139" s="36">
        <v>1</v>
      </c>
      <c r="G2139" s="36">
        <v>0</v>
      </c>
      <c r="H2139" s="36">
        <v>0</v>
      </c>
      <c r="I2139" s="37">
        <v>0</v>
      </c>
      <c r="J2139" s="36" t="s">
        <v>32679</v>
      </c>
      <c r="K2139" s="36" t="s">
        <v>14330</v>
      </c>
      <c r="L2139" s="36" t="s">
        <v>14330</v>
      </c>
      <c r="M2139">
        <v>0</v>
      </c>
    </row>
    <row r="2140" spans="1:13" x14ac:dyDescent="0.25">
      <c r="A2140" s="35" t="s">
        <v>7285</v>
      </c>
      <c r="B2140" s="36" t="s">
        <v>7286</v>
      </c>
      <c r="C2140" s="36" t="str">
        <f>HYPERLINK("https://rhld.insurance.arkansas.gov/NPILookup?Npi=1801238779","1801238779")</f>
        <v>1801238779</v>
      </c>
      <c r="D2140" s="36" t="s">
        <v>34797</v>
      </c>
      <c r="E2140" s="36" t="s">
        <v>34655</v>
      </c>
      <c r="F2140" s="36">
        <v>1</v>
      </c>
      <c r="G2140" s="36">
        <v>0</v>
      </c>
      <c r="H2140" s="36">
        <v>0</v>
      </c>
      <c r="I2140" s="37">
        <v>0</v>
      </c>
      <c r="J2140" s="36" t="s">
        <v>32679</v>
      </c>
      <c r="K2140" s="36" t="s">
        <v>14330</v>
      </c>
      <c r="L2140" s="36" t="s">
        <v>14330</v>
      </c>
      <c r="M2140">
        <v>0</v>
      </c>
    </row>
    <row r="2141" spans="1:13" x14ac:dyDescent="0.25">
      <c r="A2141" s="35" t="s">
        <v>7285</v>
      </c>
      <c r="B2141" s="36" t="s">
        <v>7286</v>
      </c>
      <c r="C2141" s="36" t="str">
        <f>HYPERLINK("https://rhld.insurance.arkansas.gov/NPILookup?Npi=1801385976","1801385976")</f>
        <v>1801385976</v>
      </c>
      <c r="D2141" s="36" t="s">
        <v>34798</v>
      </c>
      <c r="E2141" s="36" t="s">
        <v>34655</v>
      </c>
      <c r="F2141" s="36">
        <v>1</v>
      </c>
      <c r="G2141" s="36">
        <v>0</v>
      </c>
      <c r="H2141" s="36">
        <v>0</v>
      </c>
      <c r="I2141" s="37">
        <v>0</v>
      </c>
      <c r="J2141" s="36" t="s">
        <v>32679</v>
      </c>
      <c r="K2141" s="36" t="s">
        <v>14330</v>
      </c>
      <c r="L2141" s="36" t="s">
        <v>14330</v>
      </c>
      <c r="M2141">
        <v>0</v>
      </c>
    </row>
    <row r="2142" spans="1:13" x14ac:dyDescent="0.25">
      <c r="A2142" s="35" t="s">
        <v>7285</v>
      </c>
      <c r="B2142" s="36" t="s">
        <v>7286</v>
      </c>
      <c r="C2142" s="36" t="str">
        <f>HYPERLINK("https://rhld.insurance.arkansas.gov/NPILookup?Npi=1801403217","1801403217")</f>
        <v>1801403217</v>
      </c>
      <c r="D2142" s="36" t="s">
        <v>34799</v>
      </c>
      <c r="E2142" s="36" t="s">
        <v>34655</v>
      </c>
      <c r="F2142" s="36">
        <v>1</v>
      </c>
      <c r="G2142" s="36">
        <v>0</v>
      </c>
      <c r="H2142" s="36">
        <v>0</v>
      </c>
      <c r="I2142" s="37">
        <v>0</v>
      </c>
      <c r="J2142" s="36" t="s">
        <v>32679</v>
      </c>
      <c r="K2142" s="36" t="s">
        <v>14330</v>
      </c>
      <c r="L2142" s="36" t="s">
        <v>14330</v>
      </c>
      <c r="M2142">
        <v>0</v>
      </c>
    </row>
    <row r="2143" spans="1:13" x14ac:dyDescent="0.25">
      <c r="A2143" s="35" t="s">
        <v>7285</v>
      </c>
      <c r="B2143" s="36" t="s">
        <v>7286</v>
      </c>
      <c r="C2143" s="36" t="str">
        <f>HYPERLINK("https://rhld.insurance.arkansas.gov/NPILookup?Npi=1811312960","1811312960")</f>
        <v>1811312960</v>
      </c>
      <c r="D2143" s="36" t="s">
        <v>34800</v>
      </c>
      <c r="E2143" s="36" t="s">
        <v>34655</v>
      </c>
      <c r="F2143" s="36">
        <v>1</v>
      </c>
      <c r="G2143" s="36">
        <v>0</v>
      </c>
      <c r="H2143" s="36">
        <v>0</v>
      </c>
      <c r="I2143" s="37">
        <v>0</v>
      </c>
      <c r="J2143" s="36" t="s">
        <v>32679</v>
      </c>
      <c r="K2143" s="36" t="s">
        <v>14330</v>
      </c>
      <c r="L2143" s="36" t="s">
        <v>14330</v>
      </c>
      <c r="M2143">
        <v>0</v>
      </c>
    </row>
    <row r="2144" spans="1:13" x14ac:dyDescent="0.25">
      <c r="A2144" s="35" t="s">
        <v>7285</v>
      </c>
      <c r="B2144" s="36" t="s">
        <v>7286</v>
      </c>
      <c r="C2144" s="36" t="str">
        <f>HYPERLINK("https://rhld.insurance.arkansas.gov/NPILookup?Npi=1811319783","1811319783")</f>
        <v>1811319783</v>
      </c>
      <c r="D2144" s="36" t="s">
        <v>34801</v>
      </c>
      <c r="E2144" s="36" t="s">
        <v>34655</v>
      </c>
      <c r="F2144" s="36">
        <v>1</v>
      </c>
      <c r="G2144" s="36">
        <v>0</v>
      </c>
      <c r="H2144" s="36">
        <v>0</v>
      </c>
      <c r="I2144" s="37">
        <v>0</v>
      </c>
      <c r="J2144" s="36" t="s">
        <v>32679</v>
      </c>
      <c r="K2144" s="36" t="s">
        <v>14330</v>
      </c>
      <c r="L2144" s="36" t="s">
        <v>14330</v>
      </c>
      <c r="M2144">
        <v>0</v>
      </c>
    </row>
    <row r="2145" spans="1:13" x14ac:dyDescent="0.25">
      <c r="A2145" s="35" t="s">
        <v>7285</v>
      </c>
      <c r="B2145" s="36" t="s">
        <v>7286</v>
      </c>
      <c r="C2145" s="36" t="str">
        <f>HYPERLINK("https://rhld.insurance.arkansas.gov/NPILookup?Npi=1821091505","1821091505")</f>
        <v>1821091505</v>
      </c>
      <c r="D2145" s="36" t="s">
        <v>34802</v>
      </c>
      <c r="E2145" s="36" t="s">
        <v>34655</v>
      </c>
      <c r="F2145" s="36">
        <v>1</v>
      </c>
      <c r="G2145" s="36">
        <v>0</v>
      </c>
      <c r="H2145" s="36">
        <v>0</v>
      </c>
      <c r="I2145" s="37">
        <v>0</v>
      </c>
      <c r="J2145" s="36" t="s">
        <v>32679</v>
      </c>
      <c r="K2145" s="36" t="s">
        <v>14330</v>
      </c>
      <c r="L2145" s="36" t="s">
        <v>14330</v>
      </c>
      <c r="M2145">
        <v>0</v>
      </c>
    </row>
    <row r="2146" spans="1:13" x14ac:dyDescent="0.25">
      <c r="A2146" s="35" t="s">
        <v>7285</v>
      </c>
      <c r="B2146" s="36" t="s">
        <v>7286</v>
      </c>
      <c r="C2146" s="36" t="str">
        <f>HYPERLINK("https://rhld.insurance.arkansas.gov/NPILookup?Npi=1821564204","1821564204")</f>
        <v>1821564204</v>
      </c>
      <c r="D2146" s="36" t="s">
        <v>34803</v>
      </c>
      <c r="E2146" s="36" t="s">
        <v>34655</v>
      </c>
      <c r="F2146" s="36">
        <v>1</v>
      </c>
      <c r="G2146" s="36">
        <v>0</v>
      </c>
      <c r="H2146" s="36">
        <v>0</v>
      </c>
      <c r="I2146" s="37">
        <v>0</v>
      </c>
      <c r="J2146" s="36" t="s">
        <v>32679</v>
      </c>
      <c r="K2146" s="36" t="s">
        <v>14330</v>
      </c>
      <c r="L2146" s="36" t="s">
        <v>14330</v>
      </c>
      <c r="M2146">
        <v>0</v>
      </c>
    </row>
    <row r="2147" spans="1:13" x14ac:dyDescent="0.25">
      <c r="A2147" s="35" t="s">
        <v>7285</v>
      </c>
      <c r="B2147" s="36" t="s">
        <v>7286</v>
      </c>
      <c r="C2147" s="36" t="str">
        <f>HYPERLINK("https://rhld.insurance.arkansas.gov/NPILookup?Npi=1821752825","1821752825")</f>
        <v>1821752825</v>
      </c>
      <c r="D2147" s="36" t="s">
        <v>34447</v>
      </c>
      <c r="E2147" s="36" t="s">
        <v>34655</v>
      </c>
      <c r="F2147" s="36">
        <v>1</v>
      </c>
      <c r="G2147" s="36">
        <v>0</v>
      </c>
      <c r="H2147" s="36">
        <v>0</v>
      </c>
      <c r="I2147" s="37">
        <v>0</v>
      </c>
      <c r="J2147" s="36" t="s">
        <v>32679</v>
      </c>
      <c r="K2147" s="36" t="s">
        <v>14330</v>
      </c>
      <c r="L2147" s="36" t="s">
        <v>14330</v>
      </c>
      <c r="M2147">
        <v>0</v>
      </c>
    </row>
    <row r="2148" spans="1:13" x14ac:dyDescent="0.25">
      <c r="A2148" s="35" t="s">
        <v>7285</v>
      </c>
      <c r="B2148" s="36" t="s">
        <v>7286</v>
      </c>
      <c r="C2148" s="36" t="str">
        <f>HYPERLINK("https://rhld.insurance.arkansas.gov/NPILookup?Npi=1821879644","1821879644")</f>
        <v>1821879644</v>
      </c>
      <c r="D2148" s="36" t="s">
        <v>34804</v>
      </c>
      <c r="E2148" s="36" t="s">
        <v>34655</v>
      </c>
      <c r="F2148" s="36">
        <v>1</v>
      </c>
      <c r="G2148" s="36">
        <v>0</v>
      </c>
      <c r="H2148" s="36">
        <v>0</v>
      </c>
      <c r="I2148" s="37">
        <v>0</v>
      </c>
      <c r="J2148" s="36" t="s">
        <v>32679</v>
      </c>
      <c r="K2148" s="36" t="s">
        <v>14330</v>
      </c>
      <c r="L2148" s="36" t="s">
        <v>14330</v>
      </c>
      <c r="M2148">
        <v>0</v>
      </c>
    </row>
    <row r="2149" spans="1:13" x14ac:dyDescent="0.25">
      <c r="A2149" s="35" t="s">
        <v>7285</v>
      </c>
      <c r="B2149" s="36" t="s">
        <v>7286</v>
      </c>
      <c r="C2149" s="36" t="str">
        <f>HYPERLINK("https://rhld.insurance.arkansas.gov/NPILookup?Npi=1841024957","1841024957")</f>
        <v>1841024957</v>
      </c>
      <c r="D2149" s="36" t="s">
        <v>34805</v>
      </c>
      <c r="E2149" s="36" t="s">
        <v>34655</v>
      </c>
      <c r="F2149" s="36">
        <v>1</v>
      </c>
      <c r="G2149" s="36">
        <v>0</v>
      </c>
      <c r="H2149" s="36">
        <v>0</v>
      </c>
      <c r="I2149" s="37">
        <v>0</v>
      </c>
      <c r="J2149" s="36" t="s">
        <v>32679</v>
      </c>
      <c r="K2149" s="36" t="s">
        <v>14330</v>
      </c>
      <c r="L2149" s="36" t="s">
        <v>14330</v>
      </c>
      <c r="M2149">
        <v>0</v>
      </c>
    </row>
    <row r="2150" spans="1:13" x14ac:dyDescent="0.25">
      <c r="A2150" s="35" t="s">
        <v>7285</v>
      </c>
      <c r="B2150" s="36" t="s">
        <v>7286</v>
      </c>
      <c r="C2150" s="36" t="str">
        <f>HYPERLINK("https://rhld.insurance.arkansas.gov/NPILookup?Npi=1851085203","1851085203")</f>
        <v>1851085203</v>
      </c>
      <c r="D2150" s="36" t="s">
        <v>34806</v>
      </c>
      <c r="E2150" s="36" t="s">
        <v>34655</v>
      </c>
      <c r="F2150" s="36">
        <v>1</v>
      </c>
      <c r="G2150" s="36">
        <v>0</v>
      </c>
      <c r="H2150" s="36">
        <v>0</v>
      </c>
      <c r="I2150" s="37">
        <v>0</v>
      </c>
      <c r="J2150" s="36" t="s">
        <v>32679</v>
      </c>
      <c r="K2150" s="36" t="s">
        <v>14330</v>
      </c>
      <c r="L2150" s="36" t="s">
        <v>14330</v>
      </c>
      <c r="M2150">
        <v>0</v>
      </c>
    </row>
    <row r="2151" spans="1:13" x14ac:dyDescent="0.25">
      <c r="A2151" s="35" t="s">
        <v>7285</v>
      </c>
      <c r="B2151" s="36" t="s">
        <v>7286</v>
      </c>
      <c r="C2151" s="36" t="str">
        <f>HYPERLINK("https://rhld.insurance.arkansas.gov/NPILookup?Npi=1871122457","1871122457")</f>
        <v>1871122457</v>
      </c>
      <c r="D2151" s="36" t="s">
        <v>34807</v>
      </c>
      <c r="E2151" s="36" t="s">
        <v>34655</v>
      </c>
      <c r="F2151" s="36">
        <v>1</v>
      </c>
      <c r="G2151" s="36">
        <v>0</v>
      </c>
      <c r="H2151" s="36">
        <v>0</v>
      </c>
      <c r="I2151" s="37">
        <v>0</v>
      </c>
      <c r="J2151" s="36" t="s">
        <v>32679</v>
      </c>
      <c r="K2151" s="36" t="s">
        <v>14330</v>
      </c>
      <c r="L2151" s="36" t="s">
        <v>14330</v>
      </c>
      <c r="M2151">
        <v>0</v>
      </c>
    </row>
    <row r="2152" spans="1:13" x14ac:dyDescent="0.25">
      <c r="A2152" s="35" t="s">
        <v>7285</v>
      </c>
      <c r="B2152" s="36" t="s">
        <v>7286</v>
      </c>
      <c r="C2152" s="36" t="str">
        <f>HYPERLINK("https://rhld.insurance.arkansas.gov/NPILookup?Npi=1871123968","1871123968")</f>
        <v>1871123968</v>
      </c>
      <c r="D2152" s="36" t="s">
        <v>34808</v>
      </c>
      <c r="E2152" s="36" t="s">
        <v>34655</v>
      </c>
      <c r="F2152" s="36">
        <v>1</v>
      </c>
      <c r="G2152" s="36">
        <v>0</v>
      </c>
      <c r="H2152" s="36">
        <v>0</v>
      </c>
      <c r="I2152" s="37">
        <v>0</v>
      </c>
      <c r="J2152" s="36" t="s">
        <v>32679</v>
      </c>
      <c r="K2152" s="36" t="s">
        <v>14330</v>
      </c>
      <c r="L2152" s="36" t="s">
        <v>14330</v>
      </c>
      <c r="M2152">
        <v>0</v>
      </c>
    </row>
    <row r="2153" spans="1:13" x14ac:dyDescent="0.25">
      <c r="A2153" s="35" t="s">
        <v>7285</v>
      </c>
      <c r="B2153" s="36" t="s">
        <v>7286</v>
      </c>
      <c r="C2153" s="36" t="str">
        <f>HYPERLINK("https://rhld.insurance.arkansas.gov/NPILookup?Npi=1871866830","1871866830")</f>
        <v>1871866830</v>
      </c>
      <c r="D2153" s="36" t="s">
        <v>34809</v>
      </c>
      <c r="E2153" s="36" t="s">
        <v>34655</v>
      </c>
      <c r="F2153" s="36">
        <v>1</v>
      </c>
      <c r="G2153" s="36">
        <v>0</v>
      </c>
      <c r="H2153" s="36">
        <v>0</v>
      </c>
      <c r="I2153" s="37">
        <v>0</v>
      </c>
      <c r="J2153" s="36" t="s">
        <v>32679</v>
      </c>
      <c r="K2153" s="36" t="s">
        <v>14330</v>
      </c>
      <c r="L2153" s="36" t="s">
        <v>14330</v>
      </c>
      <c r="M2153">
        <v>0</v>
      </c>
    </row>
    <row r="2154" spans="1:13" x14ac:dyDescent="0.25">
      <c r="A2154" s="35" t="s">
        <v>7285</v>
      </c>
      <c r="B2154" s="36" t="s">
        <v>7286</v>
      </c>
      <c r="C2154" s="36" t="str">
        <f>HYPERLINK("https://rhld.insurance.arkansas.gov/NPILookup?Npi=1881463099","1881463099")</f>
        <v>1881463099</v>
      </c>
      <c r="D2154" s="36" t="s">
        <v>34810</v>
      </c>
      <c r="E2154" s="36" t="s">
        <v>34655</v>
      </c>
      <c r="F2154" s="36">
        <v>1</v>
      </c>
      <c r="G2154" s="36">
        <v>0</v>
      </c>
      <c r="H2154" s="36">
        <v>0</v>
      </c>
      <c r="I2154" s="37">
        <v>0</v>
      </c>
      <c r="J2154" s="36" t="s">
        <v>32679</v>
      </c>
      <c r="K2154" s="36" t="s">
        <v>14330</v>
      </c>
      <c r="L2154" s="36" t="s">
        <v>14330</v>
      </c>
      <c r="M2154">
        <v>0</v>
      </c>
    </row>
    <row r="2155" spans="1:13" x14ac:dyDescent="0.25">
      <c r="A2155" s="35" t="s">
        <v>7285</v>
      </c>
      <c r="B2155" s="36" t="s">
        <v>7286</v>
      </c>
      <c r="C2155" s="36" t="str">
        <f>HYPERLINK("https://rhld.insurance.arkansas.gov/NPILookup?Npi=1881489086","1881489086")</f>
        <v>1881489086</v>
      </c>
      <c r="D2155" s="36" t="s">
        <v>34811</v>
      </c>
      <c r="E2155" s="36" t="s">
        <v>34655</v>
      </c>
      <c r="F2155" s="36">
        <v>1</v>
      </c>
      <c r="G2155" s="36">
        <v>0</v>
      </c>
      <c r="H2155" s="36">
        <v>0</v>
      </c>
      <c r="I2155" s="37">
        <v>0</v>
      </c>
      <c r="J2155" s="36" t="s">
        <v>32679</v>
      </c>
      <c r="K2155" s="36" t="s">
        <v>14330</v>
      </c>
      <c r="L2155" s="36" t="s">
        <v>14330</v>
      </c>
      <c r="M2155">
        <v>0</v>
      </c>
    </row>
    <row r="2156" spans="1:13" x14ac:dyDescent="0.25">
      <c r="A2156" s="35" t="s">
        <v>7285</v>
      </c>
      <c r="B2156" s="36" t="s">
        <v>7286</v>
      </c>
      <c r="C2156" s="36" t="str">
        <f>HYPERLINK("https://rhld.insurance.arkansas.gov/NPILookup?Npi=1891071478","1891071478")</f>
        <v>1891071478</v>
      </c>
      <c r="D2156" s="36" t="s">
        <v>34812</v>
      </c>
      <c r="E2156" s="36" t="s">
        <v>34655</v>
      </c>
      <c r="F2156" s="36">
        <v>1</v>
      </c>
      <c r="G2156" s="36">
        <v>0</v>
      </c>
      <c r="H2156" s="36">
        <v>0</v>
      </c>
      <c r="I2156" s="37">
        <v>0</v>
      </c>
      <c r="J2156" s="36" t="s">
        <v>32679</v>
      </c>
      <c r="K2156" s="36" t="s">
        <v>14330</v>
      </c>
      <c r="L2156" s="36" t="s">
        <v>14330</v>
      </c>
      <c r="M2156">
        <v>0</v>
      </c>
    </row>
    <row r="2157" spans="1:13" x14ac:dyDescent="0.25">
      <c r="A2157" s="35" t="s">
        <v>7285</v>
      </c>
      <c r="B2157" s="36" t="s">
        <v>7286</v>
      </c>
      <c r="C2157" s="36" t="str">
        <f>HYPERLINK("https://rhld.insurance.arkansas.gov/NPILookup?Npi=1891151767","1891151767")</f>
        <v>1891151767</v>
      </c>
      <c r="D2157" s="36" t="s">
        <v>34813</v>
      </c>
      <c r="E2157" s="36" t="s">
        <v>34655</v>
      </c>
      <c r="F2157" s="36">
        <v>1</v>
      </c>
      <c r="G2157" s="36">
        <v>0</v>
      </c>
      <c r="H2157" s="36">
        <v>0</v>
      </c>
      <c r="I2157" s="37">
        <v>0</v>
      </c>
      <c r="J2157" s="36" t="s">
        <v>32679</v>
      </c>
      <c r="K2157" s="36" t="s">
        <v>14330</v>
      </c>
      <c r="L2157" s="36" t="s">
        <v>14330</v>
      </c>
      <c r="M2157">
        <v>0</v>
      </c>
    </row>
    <row r="2158" spans="1:13" x14ac:dyDescent="0.25">
      <c r="A2158" s="35" t="s">
        <v>7285</v>
      </c>
      <c r="B2158" s="36" t="s">
        <v>7286</v>
      </c>
      <c r="C2158" s="36" t="str">
        <f>HYPERLINK("https://rhld.insurance.arkansas.gov/NPILookup?Npi=1891523924","1891523924")</f>
        <v>1891523924</v>
      </c>
      <c r="D2158" s="36" t="s">
        <v>34814</v>
      </c>
      <c r="E2158" s="36" t="s">
        <v>34655</v>
      </c>
      <c r="F2158" s="36">
        <v>1</v>
      </c>
      <c r="G2158" s="36">
        <v>0</v>
      </c>
      <c r="H2158" s="36">
        <v>0</v>
      </c>
      <c r="I2158" s="37">
        <v>0</v>
      </c>
      <c r="J2158" s="36" t="s">
        <v>32679</v>
      </c>
      <c r="K2158" s="36" t="s">
        <v>14330</v>
      </c>
      <c r="L2158" s="36" t="s">
        <v>14330</v>
      </c>
      <c r="M2158">
        <v>0</v>
      </c>
    </row>
    <row r="2159" spans="1:13" x14ac:dyDescent="0.25">
      <c r="A2159" s="35" t="s">
        <v>7285</v>
      </c>
      <c r="B2159" s="36" t="s">
        <v>7286</v>
      </c>
      <c r="C2159" s="36" t="str">
        <f>HYPERLINK("https://rhld.insurance.arkansas.gov/NPILookup?Npi=1891592259","1891592259")</f>
        <v>1891592259</v>
      </c>
      <c r="D2159" s="36" t="s">
        <v>34815</v>
      </c>
      <c r="E2159" s="36" t="s">
        <v>34655</v>
      </c>
      <c r="F2159" s="36">
        <v>1</v>
      </c>
      <c r="G2159" s="36">
        <v>0</v>
      </c>
      <c r="H2159" s="36">
        <v>0</v>
      </c>
      <c r="I2159" s="37">
        <v>0</v>
      </c>
      <c r="J2159" s="36" t="s">
        <v>32679</v>
      </c>
      <c r="K2159" s="36" t="s">
        <v>14330</v>
      </c>
      <c r="L2159" s="36" t="s">
        <v>14330</v>
      </c>
      <c r="M2159">
        <v>0</v>
      </c>
    </row>
    <row r="2160" spans="1:13" x14ac:dyDescent="0.25">
      <c r="A2160" s="35" t="s">
        <v>7285</v>
      </c>
      <c r="B2160" s="36" t="s">
        <v>7286</v>
      </c>
      <c r="C2160" s="36" t="str">
        <f>HYPERLINK("https://rhld.insurance.arkansas.gov/NPILookup?Npi=1902611718","1902611718")</f>
        <v>1902611718</v>
      </c>
      <c r="D2160" s="36" t="s">
        <v>34816</v>
      </c>
      <c r="E2160" s="36" t="s">
        <v>34655</v>
      </c>
      <c r="F2160" s="36">
        <v>1</v>
      </c>
      <c r="G2160" s="36">
        <v>0</v>
      </c>
      <c r="H2160" s="36">
        <v>0</v>
      </c>
      <c r="I2160" s="37">
        <v>0</v>
      </c>
      <c r="J2160" s="36" t="s">
        <v>32679</v>
      </c>
      <c r="K2160" s="36" t="s">
        <v>14330</v>
      </c>
      <c r="L2160" s="36" t="s">
        <v>14330</v>
      </c>
      <c r="M2160">
        <v>0</v>
      </c>
    </row>
    <row r="2161" spans="1:13" x14ac:dyDescent="0.25">
      <c r="A2161" s="35" t="s">
        <v>7285</v>
      </c>
      <c r="B2161" s="36" t="s">
        <v>7286</v>
      </c>
      <c r="C2161" s="36" t="str">
        <f>HYPERLINK("https://rhld.insurance.arkansas.gov/NPILookup?Npi=1912284415","1912284415")</f>
        <v>1912284415</v>
      </c>
      <c r="D2161" s="36" t="s">
        <v>34817</v>
      </c>
      <c r="E2161" s="36" t="s">
        <v>34655</v>
      </c>
      <c r="F2161" s="36">
        <v>1</v>
      </c>
      <c r="G2161" s="36">
        <v>0</v>
      </c>
      <c r="H2161" s="36">
        <v>0</v>
      </c>
      <c r="I2161" s="37">
        <v>0</v>
      </c>
      <c r="J2161" s="36" t="s">
        <v>32679</v>
      </c>
      <c r="K2161" s="36" t="s">
        <v>14330</v>
      </c>
      <c r="L2161" s="36" t="s">
        <v>14330</v>
      </c>
      <c r="M2161">
        <v>0</v>
      </c>
    </row>
    <row r="2162" spans="1:13" x14ac:dyDescent="0.25">
      <c r="A2162" s="35" t="s">
        <v>7285</v>
      </c>
      <c r="B2162" s="36" t="s">
        <v>7286</v>
      </c>
      <c r="C2162" s="36" t="str">
        <f>HYPERLINK("https://rhld.insurance.arkansas.gov/NPILookup?Npi=1912456161","1912456161")</f>
        <v>1912456161</v>
      </c>
      <c r="D2162" s="36" t="s">
        <v>34818</v>
      </c>
      <c r="E2162" s="36" t="s">
        <v>34655</v>
      </c>
      <c r="F2162" s="36">
        <v>1</v>
      </c>
      <c r="G2162" s="36">
        <v>0</v>
      </c>
      <c r="H2162" s="36">
        <v>0</v>
      </c>
      <c r="I2162" s="37">
        <v>0</v>
      </c>
      <c r="J2162" s="36" t="s">
        <v>32679</v>
      </c>
      <c r="K2162" s="36" t="s">
        <v>14330</v>
      </c>
      <c r="L2162" s="36" t="s">
        <v>14330</v>
      </c>
      <c r="M2162">
        <v>0</v>
      </c>
    </row>
    <row r="2163" spans="1:13" x14ac:dyDescent="0.25">
      <c r="A2163" s="35" t="s">
        <v>7285</v>
      </c>
      <c r="B2163" s="36" t="s">
        <v>7286</v>
      </c>
      <c r="C2163" s="36" t="str">
        <f>HYPERLINK("https://rhld.insurance.arkansas.gov/NPILookup?Npi=1912559360","1912559360")</f>
        <v>1912559360</v>
      </c>
      <c r="D2163" s="36" t="s">
        <v>34819</v>
      </c>
      <c r="E2163" s="36" t="s">
        <v>34655</v>
      </c>
      <c r="F2163" s="36">
        <v>1</v>
      </c>
      <c r="G2163" s="36">
        <v>0</v>
      </c>
      <c r="H2163" s="36">
        <v>0</v>
      </c>
      <c r="I2163" s="37">
        <v>0</v>
      </c>
      <c r="J2163" s="36" t="s">
        <v>32679</v>
      </c>
      <c r="K2163" s="36" t="s">
        <v>14330</v>
      </c>
      <c r="L2163" s="36" t="s">
        <v>14330</v>
      </c>
      <c r="M2163">
        <v>0</v>
      </c>
    </row>
    <row r="2164" spans="1:13" x14ac:dyDescent="0.25">
      <c r="A2164" s="35" t="s">
        <v>7285</v>
      </c>
      <c r="B2164" s="36" t="s">
        <v>7286</v>
      </c>
      <c r="C2164" s="36" t="str">
        <f>HYPERLINK("https://rhld.insurance.arkansas.gov/NPILookup?Npi=1912714304","1912714304")</f>
        <v>1912714304</v>
      </c>
      <c r="D2164" s="36" t="s">
        <v>34820</v>
      </c>
      <c r="E2164" s="36" t="s">
        <v>34655</v>
      </c>
      <c r="F2164" s="36">
        <v>1</v>
      </c>
      <c r="G2164" s="36">
        <v>0</v>
      </c>
      <c r="H2164" s="36">
        <v>0</v>
      </c>
      <c r="I2164" s="37">
        <v>0</v>
      </c>
      <c r="J2164" s="36" t="s">
        <v>32679</v>
      </c>
      <c r="K2164" s="36" t="s">
        <v>14330</v>
      </c>
      <c r="L2164" s="36" t="s">
        <v>14330</v>
      </c>
      <c r="M2164">
        <v>0</v>
      </c>
    </row>
    <row r="2165" spans="1:13" x14ac:dyDescent="0.25">
      <c r="A2165" s="35" t="s">
        <v>7285</v>
      </c>
      <c r="B2165" s="36" t="s">
        <v>7286</v>
      </c>
      <c r="C2165" s="36" t="str">
        <f>HYPERLINK("https://rhld.insurance.arkansas.gov/NPILookup?Npi=1912752445","1912752445")</f>
        <v>1912752445</v>
      </c>
      <c r="D2165" s="36" t="s">
        <v>34821</v>
      </c>
      <c r="E2165" s="36" t="s">
        <v>34655</v>
      </c>
      <c r="F2165" s="36">
        <v>1</v>
      </c>
      <c r="G2165" s="36">
        <v>0</v>
      </c>
      <c r="H2165" s="36">
        <v>0</v>
      </c>
      <c r="I2165" s="37">
        <v>0</v>
      </c>
      <c r="J2165" s="36" t="s">
        <v>32679</v>
      </c>
      <c r="K2165" s="36" t="s">
        <v>14330</v>
      </c>
      <c r="L2165" s="36" t="s">
        <v>14330</v>
      </c>
      <c r="M2165">
        <v>0</v>
      </c>
    </row>
    <row r="2166" spans="1:13" x14ac:dyDescent="0.25">
      <c r="A2166" s="35" t="s">
        <v>7285</v>
      </c>
      <c r="B2166" s="36" t="s">
        <v>7286</v>
      </c>
      <c r="C2166" s="36" t="str">
        <f>HYPERLINK("https://rhld.insurance.arkansas.gov/NPILookup?Npi=1922348374","1922348374")</f>
        <v>1922348374</v>
      </c>
      <c r="D2166" s="36" t="s">
        <v>34822</v>
      </c>
      <c r="E2166" s="36" t="s">
        <v>34655</v>
      </c>
      <c r="F2166" s="36">
        <v>1</v>
      </c>
      <c r="G2166" s="36">
        <v>0</v>
      </c>
      <c r="H2166" s="36">
        <v>0</v>
      </c>
      <c r="I2166" s="37">
        <v>0</v>
      </c>
      <c r="J2166" s="36" t="s">
        <v>32679</v>
      </c>
      <c r="K2166" s="36" t="s">
        <v>14330</v>
      </c>
      <c r="L2166" s="36" t="s">
        <v>14330</v>
      </c>
      <c r="M2166">
        <v>0</v>
      </c>
    </row>
    <row r="2167" spans="1:13" x14ac:dyDescent="0.25">
      <c r="A2167" s="35" t="s">
        <v>7285</v>
      </c>
      <c r="B2167" s="36" t="s">
        <v>7286</v>
      </c>
      <c r="C2167" s="36" t="str">
        <f>HYPERLINK("https://rhld.insurance.arkansas.gov/NPILookup?Npi=1932689312","1932689312")</f>
        <v>1932689312</v>
      </c>
      <c r="D2167" s="36" t="s">
        <v>34823</v>
      </c>
      <c r="E2167" s="36" t="s">
        <v>34655</v>
      </c>
      <c r="F2167" s="36">
        <v>1</v>
      </c>
      <c r="G2167" s="36">
        <v>0</v>
      </c>
      <c r="H2167" s="36">
        <v>0</v>
      </c>
      <c r="I2167" s="37">
        <v>0</v>
      </c>
      <c r="J2167" s="36" t="s">
        <v>32679</v>
      </c>
      <c r="K2167" s="36" t="s">
        <v>14330</v>
      </c>
      <c r="L2167" s="36" t="s">
        <v>14330</v>
      </c>
      <c r="M2167">
        <v>0</v>
      </c>
    </row>
    <row r="2168" spans="1:13" x14ac:dyDescent="0.25">
      <c r="A2168" s="35" t="s">
        <v>7285</v>
      </c>
      <c r="B2168" s="36" t="s">
        <v>7286</v>
      </c>
      <c r="C2168" s="36" t="str">
        <f>HYPERLINK("https://rhld.insurance.arkansas.gov/NPILookup?Npi=1942094248","1942094248")</f>
        <v>1942094248</v>
      </c>
      <c r="D2168" s="36" t="s">
        <v>34824</v>
      </c>
      <c r="E2168" s="36" t="s">
        <v>34655</v>
      </c>
      <c r="F2168" s="36">
        <v>1</v>
      </c>
      <c r="G2168" s="36">
        <v>0</v>
      </c>
      <c r="H2168" s="36">
        <v>0</v>
      </c>
      <c r="I2168" s="37">
        <v>0</v>
      </c>
      <c r="J2168" s="36" t="s">
        <v>32679</v>
      </c>
      <c r="K2168" s="36" t="s">
        <v>14330</v>
      </c>
      <c r="L2168" s="36" t="s">
        <v>14330</v>
      </c>
      <c r="M2168">
        <v>0</v>
      </c>
    </row>
    <row r="2169" spans="1:13" x14ac:dyDescent="0.25">
      <c r="A2169" s="35" t="s">
        <v>7285</v>
      </c>
      <c r="B2169" s="36" t="s">
        <v>7286</v>
      </c>
      <c r="C2169" s="36" t="str">
        <f>HYPERLINK("https://rhld.insurance.arkansas.gov/NPILookup?Npi=1942587670","1942587670")</f>
        <v>1942587670</v>
      </c>
      <c r="D2169" s="36" t="s">
        <v>34825</v>
      </c>
      <c r="E2169" s="36" t="s">
        <v>34655</v>
      </c>
      <c r="F2169" s="36">
        <v>1</v>
      </c>
      <c r="G2169" s="36">
        <v>0</v>
      </c>
      <c r="H2169" s="36">
        <v>0</v>
      </c>
      <c r="I2169" s="37">
        <v>0</v>
      </c>
      <c r="J2169" s="36" t="s">
        <v>32679</v>
      </c>
      <c r="K2169" s="36" t="s">
        <v>14330</v>
      </c>
      <c r="L2169" s="36" t="s">
        <v>14330</v>
      </c>
      <c r="M2169">
        <v>0</v>
      </c>
    </row>
    <row r="2170" spans="1:13" x14ac:dyDescent="0.25">
      <c r="A2170" s="35" t="s">
        <v>7285</v>
      </c>
      <c r="B2170" s="36" t="s">
        <v>7286</v>
      </c>
      <c r="C2170" s="36" t="str">
        <f>HYPERLINK("https://rhld.insurance.arkansas.gov/NPILookup?Npi=1952320640","1952320640")</f>
        <v>1952320640</v>
      </c>
      <c r="D2170" s="36" t="s">
        <v>34826</v>
      </c>
      <c r="E2170" s="36" t="s">
        <v>34655</v>
      </c>
      <c r="F2170" s="36">
        <v>1</v>
      </c>
      <c r="G2170" s="36">
        <v>0</v>
      </c>
      <c r="H2170" s="36">
        <v>0</v>
      </c>
      <c r="I2170" s="37">
        <v>0</v>
      </c>
      <c r="J2170" s="36" t="s">
        <v>32679</v>
      </c>
      <c r="K2170" s="36" t="s">
        <v>14330</v>
      </c>
      <c r="L2170" s="36" t="s">
        <v>14330</v>
      </c>
      <c r="M2170">
        <v>0</v>
      </c>
    </row>
    <row r="2171" spans="1:13" x14ac:dyDescent="0.25">
      <c r="A2171" s="35" t="s">
        <v>7285</v>
      </c>
      <c r="B2171" s="36" t="s">
        <v>7286</v>
      </c>
      <c r="C2171" s="36" t="str">
        <f>HYPERLINK("https://rhld.insurance.arkansas.gov/NPILookup?Npi=1952615023","1952615023")</f>
        <v>1952615023</v>
      </c>
      <c r="D2171" s="36" t="s">
        <v>34827</v>
      </c>
      <c r="E2171" s="36" t="s">
        <v>34655</v>
      </c>
      <c r="F2171" s="36">
        <v>1</v>
      </c>
      <c r="G2171" s="36">
        <v>0</v>
      </c>
      <c r="H2171" s="36">
        <v>0</v>
      </c>
      <c r="I2171" s="37">
        <v>0</v>
      </c>
      <c r="J2171" s="36" t="s">
        <v>32679</v>
      </c>
      <c r="K2171" s="36" t="s">
        <v>14330</v>
      </c>
      <c r="L2171" s="36" t="s">
        <v>14330</v>
      </c>
      <c r="M2171">
        <v>0</v>
      </c>
    </row>
    <row r="2172" spans="1:13" x14ac:dyDescent="0.25">
      <c r="A2172" s="35" t="s">
        <v>7285</v>
      </c>
      <c r="B2172" s="36" t="s">
        <v>7286</v>
      </c>
      <c r="C2172" s="36" t="str">
        <f>HYPERLINK("https://rhld.insurance.arkansas.gov/NPILookup?Npi=1962043547","1962043547")</f>
        <v>1962043547</v>
      </c>
      <c r="D2172" s="36" t="s">
        <v>34828</v>
      </c>
      <c r="E2172" s="36" t="s">
        <v>34655</v>
      </c>
      <c r="F2172" s="36">
        <v>1</v>
      </c>
      <c r="G2172" s="36">
        <v>0</v>
      </c>
      <c r="H2172" s="36">
        <v>0</v>
      </c>
      <c r="I2172" s="37">
        <v>0</v>
      </c>
      <c r="J2172" s="36" t="s">
        <v>32679</v>
      </c>
      <c r="K2172" s="36" t="s">
        <v>14330</v>
      </c>
      <c r="L2172" s="36" t="s">
        <v>14330</v>
      </c>
      <c r="M2172">
        <v>0</v>
      </c>
    </row>
    <row r="2173" spans="1:13" x14ac:dyDescent="0.25">
      <c r="A2173" s="35" t="s">
        <v>7285</v>
      </c>
      <c r="B2173" s="36" t="s">
        <v>7286</v>
      </c>
      <c r="C2173" s="36" t="str">
        <f>HYPERLINK("https://rhld.insurance.arkansas.gov/NPILookup?Npi=1962227942","1962227942")</f>
        <v>1962227942</v>
      </c>
      <c r="D2173" s="36" t="s">
        <v>34829</v>
      </c>
      <c r="E2173" s="36" t="s">
        <v>34655</v>
      </c>
      <c r="F2173" s="36">
        <v>1</v>
      </c>
      <c r="G2173" s="36">
        <v>0</v>
      </c>
      <c r="H2173" s="36">
        <v>0</v>
      </c>
      <c r="I2173" s="37">
        <v>0</v>
      </c>
      <c r="J2173" s="36" t="s">
        <v>32679</v>
      </c>
      <c r="K2173" s="36" t="s">
        <v>14330</v>
      </c>
      <c r="L2173" s="36" t="s">
        <v>14330</v>
      </c>
      <c r="M2173">
        <v>0</v>
      </c>
    </row>
    <row r="2174" spans="1:13" x14ac:dyDescent="0.25">
      <c r="A2174" s="35" t="s">
        <v>7285</v>
      </c>
      <c r="B2174" s="36" t="s">
        <v>7286</v>
      </c>
      <c r="C2174" s="36" t="str">
        <f>HYPERLINK("https://rhld.insurance.arkansas.gov/NPILookup?Npi=1962903054","1962903054")</f>
        <v>1962903054</v>
      </c>
      <c r="D2174" s="36" t="s">
        <v>34830</v>
      </c>
      <c r="E2174" s="36" t="s">
        <v>34655</v>
      </c>
      <c r="F2174" s="36">
        <v>1</v>
      </c>
      <c r="G2174" s="36">
        <v>0</v>
      </c>
      <c r="H2174" s="36">
        <v>0</v>
      </c>
      <c r="I2174" s="37">
        <v>0</v>
      </c>
      <c r="J2174" s="36" t="s">
        <v>32679</v>
      </c>
      <c r="K2174" s="36" t="s">
        <v>14330</v>
      </c>
      <c r="L2174" s="36" t="s">
        <v>14330</v>
      </c>
      <c r="M2174">
        <v>0</v>
      </c>
    </row>
    <row r="2175" spans="1:13" x14ac:dyDescent="0.25">
      <c r="A2175" s="35" t="s">
        <v>7285</v>
      </c>
      <c r="B2175" s="36" t="s">
        <v>7286</v>
      </c>
      <c r="C2175" s="36" t="str">
        <f>HYPERLINK("https://rhld.insurance.arkansas.gov/NPILookup?Npi=1962973412","1962973412")</f>
        <v>1962973412</v>
      </c>
      <c r="D2175" s="36" t="s">
        <v>34831</v>
      </c>
      <c r="E2175" s="36" t="s">
        <v>34655</v>
      </c>
      <c r="F2175" s="36">
        <v>1</v>
      </c>
      <c r="G2175" s="36">
        <v>0</v>
      </c>
      <c r="H2175" s="36">
        <v>0</v>
      </c>
      <c r="I2175" s="37">
        <v>0</v>
      </c>
      <c r="J2175" s="36" t="s">
        <v>32679</v>
      </c>
      <c r="K2175" s="36" t="s">
        <v>14330</v>
      </c>
      <c r="L2175" s="36" t="s">
        <v>14330</v>
      </c>
      <c r="M2175">
        <v>0</v>
      </c>
    </row>
    <row r="2176" spans="1:13" x14ac:dyDescent="0.25">
      <c r="A2176" s="35" t="s">
        <v>7285</v>
      </c>
      <c r="B2176" s="36" t="s">
        <v>7286</v>
      </c>
      <c r="C2176" s="36" t="str">
        <f>HYPERLINK("https://rhld.insurance.arkansas.gov/NPILookup?Npi=1972272490","1972272490")</f>
        <v>1972272490</v>
      </c>
      <c r="D2176" s="36" t="s">
        <v>34832</v>
      </c>
      <c r="E2176" s="36" t="s">
        <v>34655</v>
      </c>
      <c r="F2176" s="36">
        <v>1</v>
      </c>
      <c r="G2176" s="36">
        <v>0</v>
      </c>
      <c r="H2176" s="36">
        <v>0</v>
      </c>
      <c r="I2176" s="37">
        <v>0</v>
      </c>
      <c r="J2176" s="36" t="s">
        <v>32679</v>
      </c>
      <c r="K2176" s="36" t="s">
        <v>14330</v>
      </c>
      <c r="L2176" s="36" t="s">
        <v>14330</v>
      </c>
      <c r="M2176">
        <v>0</v>
      </c>
    </row>
    <row r="2177" spans="1:15" x14ac:dyDescent="0.25">
      <c r="A2177" s="35" t="s">
        <v>7285</v>
      </c>
      <c r="B2177" s="36" t="s">
        <v>7286</v>
      </c>
      <c r="C2177" s="36" t="str">
        <f>HYPERLINK("https://rhld.insurance.arkansas.gov/NPILookup?Npi=1982892634","1982892634")</f>
        <v>1982892634</v>
      </c>
      <c r="D2177" s="36" t="s">
        <v>34833</v>
      </c>
      <c r="E2177" s="36" t="s">
        <v>34655</v>
      </c>
      <c r="F2177" s="36">
        <v>1</v>
      </c>
      <c r="G2177" s="36">
        <v>0</v>
      </c>
      <c r="H2177" s="36">
        <v>0</v>
      </c>
      <c r="I2177" s="37">
        <v>0</v>
      </c>
      <c r="J2177" s="36" t="s">
        <v>32679</v>
      </c>
      <c r="K2177" s="36" t="s">
        <v>14330</v>
      </c>
      <c r="L2177" s="36" t="s">
        <v>14330</v>
      </c>
      <c r="M2177">
        <v>0</v>
      </c>
    </row>
    <row r="2178" spans="1:15" x14ac:dyDescent="0.25">
      <c r="A2178" s="35" t="s">
        <v>7285</v>
      </c>
      <c r="B2178" s="36" t="s">
        <v>7286</v>
      </c>
      <c r="C2178" s="36" t="str">
        <f>HYPERLINK("https://rhld.insurance.arkansas.gov/NPILookup?Npi=1992765457","1992765457")</f>
        <v>1992765457</v>
      </c>
      <c r="D2178" s="36" t="s">
        <v>34834</v>
      </c>
      <c r="E2178" s="36" t="s">
        <v>34655</v>
      </c>
      <c r="F2178" s="36">
        <v>1</v>
      </c>
      <c r="G2178" s="36">
        <v>0</v>
      </c>
      <c r="H2178" s="36">
        <v>0</v>
      </c>
      <c r="I2178" s="37">
        <v>0</v>
      </c>
      <c r="J2178" s="36" t="s">
        <v>32679</v>
      </c>
      <c r="K2178" s="36" t="s">
        <v>14330</v>
      </c>
      <c r="L2178" s="36" t="s">
        <v>14330</v>
      </c>
      <c r="M2178">
        <v>3</v>
      </c>
    </row>
    <row r="2179" spans="1:15" x14ac:dyDescent="0.25">
      <c r="A2179" s="35" t="s">
        <v>7328</v>
      </c>
      <c r="B2179" s="36" t="s">
        <v>7329</v>
      </c>
      <c r="C2179" s="36" t="str">
        <f>HYPERLINK("https://rhld.insurance.arkansas.gov/NPILookup?Npi=1003043043","1003043043")</f>
        <v>1003043043</v>
      </c>
      <c r="D2179" s="36" t="s">
        <v>34835</v>
      </c>
      <c r="E2179" s="36" t="s">
        <v>1</v>
      </c>
      <c r="F2179" s="36">
        <v>1</v>
      </c>
      <c r="G2179" s="36">
        <v>3</v>
      </c>
      <c r="H2179" s="36">
        <v>0</v>
      </c>
      <c r="I2179" s="37">
        <v>0</v>
      </c>
      <c r="J2179" s="36" t="s">
        <v>34836</v>
      </c>
      <c r="K2179" s="36" t="s">
        <v>14330</v>
      </c>
      <c r="L2179" s="36" t="s">
        <v>14330</v>
      </c>
      <c r="M2179">
        <v>3</v>
      </c>
      <c r="N2179" t="s">
        <v>14331</v>
      </c>
      <c r="O2179" t="s">
        <v>32633</v>
      </c>
    </row>
    <row r="2180" spans="1:15" x14ac:dyDescent="0.25">
      <c r="A2180" s="35" t="s">
        <v>7328</v>
      </c>
      <c r="B2180" s="36" t="s">
        <v>7329</v>
      </c>
      <c r="C2180" s="36" t="str">
        <f>HYPERLINK("https://rhld.insurance.arkansas.gov/NPILookup?Npi=1003066846","1003066846")</f>
        <v>1003066846</v>
      </c>
      <c r="D2180" s="36" t="s">
        <v>32920</v>
      </c>
      <c r="E2180" s="36" t="s">
        <v>1</v>
      </c>
      <c r="F2180" s="36">
        <v>1</v>
      </c>
      <c r="G2180" s="36">
        <v>3</v>
      </c>
      <c r="H2180" s="36">
        <v>0</v>
      </c>
      <c r="I2180" s="37">
        <v>0</v>
      </c>
      <c r="J2180" s="36" t="s">
        <v>34836</v>
      </c>
      <c r="K2180" s="36" t="s">
        <v>14330</v>
      </c>
      <c r="L2180" s="36" t="s">
        <v>14330</v>
      </c>
      <c r="M2180">
        <v>2</v>
      </c>
      <c r="N2180" t="s">
        <v>14331</v>
      </c>
      <c r="O2180" t="s">
        <v>32633</v>
      </c>
    </row>
    <row r="2181" spans="1:15" x14ac:dyDescent="0.25">
      <c r="A2181" s="35" t="s">
        <v>7328</v>
      </c>
      <c r="B2181" s="36" t="s">
        <v>7329</v>
      </c>
      <c r="C2181" s="36" t="str">
        <f>HYPERLINK("https://rhld.insurance.arkansas.gov/NPILookup?Npi=1003097593","1003097593")</f>
        <v>1003097593</v>
      </c>
      <c r="D2181" s="36" t="s">
        <v>34837</v>
      </c>
      <c r="E2181" s="36" t="s">
        <v>1</v>
      </c>
      <c r="F2181" s="36">
        <v>1</v>
      </c>
      <c r="G2181" s="36">
        <v>2</v>
      </c>
      <c r="H2181" s="36">
        <v>0</v>
      </c>
      <c r="I2181" s="37">
        <v>0</v>
      </c>
      <c r="J2181" s="36" t="s">
        <v>34836</v>
      </c>
      <c r="K2181" s="36" t="s">
        <v>14330</v>
      </c>
      <c r="L2181" s="36" t="s">
        <v>14330</v>
      </c>
      <c r="M2181">
        <v>2</v>
      </c>
      <c r="N2181" t="s">
        <v>14331</v>
      </c>
      <c r="O2181" t="s">
        <v>32633</v>
      </c>
    </row>
    <row r="2182" spans="1:15" x14ac:dyDescent="0.25">
      <c r="A2182" s="35" t="s">
        <v>7328</v>
      </c>
      <c r="B2182" s="36" t="s">
        <v>7329</v>
      </c>
      <c r="C2182" s="36" t="str">
        <f>HYPERLINK("https://rhld.insurance.arkansas.gov/NPILookup?Npi=1003128844","1003128844")</f>
        <v>1003128844</v>
      </c>
      <c r="D2182" s="36" t="s">
        <v>34838</v>
      </c>
      <c r="E2182" s="36" t="s">
        <v>2</v>
      </c>
      <c r="F2182" s="36">
        <v>1</v>
      </c>
      <c r="G2182" s="36">
        <v>2</v>
      </c>
      <c r="H2182" s="36">
        <v>0</v>
      </c>
      <c r="I2182" s="37">
        <v>0</v>
      </c>
      <c r="J2182" s="36"/>
      <c r="K2182" s="36" t="s">
        <v>14330</v>
      </c>
      <c r="L2182" s="36" t="s">
        <v>14330</v>
      </c>
      <c r="M2182">
        <v>3</v>
      </c>
      <c r="N2182" t="s">
        <v>14331</v>
      </c>
      <c r="O2182" t="s">
        <v>14333</v>
      </c>
    </row>
    <row r="2183" spans="1:15" x14ac:dyDescent="0.25">
      <c r="A2183" s="35" t="s">
        <v>7328</v>
      </c>
      <c r="B2183" s="36" t="s">
        <v>7329</v>
      </c>
      <c r="C2183" s="36" t="str">
        <f>HYPERLINK("https://rhld.insurance.arkansas.gov/NPILookup?Npi=1003133224","1003133224")</f>
        <v>1003133224</v>
      </c>
      <c r="D2183" s="36" t="s">
        <v>34839</v>
      </c>
      <c r="E2183" s="36" t="s">
        <v>1</v>
      </c>
      <c r="F2183" s="36">
        <v>1</v>
      </c>
      <c r="G2183" s="36">
        <v>3</v>
      </c>
      <c r="H2183" s="36">
        <v>0</v>
      </c>
      <c r="I2183" s="37">
        <v>0</v>
      </c>
      <c r="J2183" s="36" t="s">
        <v>34836</v>
      </c>
      <c r="K2183" s="36" t="s">
        <v>14330</v>
      </c>
      <c r="L2183" s="36" t="s">
        <v>14330</v>
      </c>
      <c r="M2183">
        <v>3</v>
      </c>
      <c r="N2183" t="s">
        <v>14331</v>
      </c>
      <c r="O2183" t="s">
        <v>32633</v>
      </c>
    </row>
    <row r="2184" spans="1:15" x14ac:dyDescent="0.25">
      <c r="A2184" s="35" t="s">
        <v>7328</v>
      </c>
      <c r="B2184" s="36" t="s">
        <v>7329</v>
      </c>
      <c r="C2184" s="36" t="str">
        <f>HYPERLINK("https://rhld.insurance.arkansas.gov/NPILookup?Npi=1003158338","1003158338")</f>
        <v>1003158338</v>
      </c>
      <c r="D2184" s="36" t="s">
        <v>34840</v>
      </c>
      <c r="E2184" s="36" t="s">
        <v>1</v>
      </c>
      <c r="F2184" s="36">
        <v>1</v>
      </c>
      <c r="G2184" s="36">
        <v>3</v>
      </c>
      <c r="H2184" s="36">
        <v>0</v>
      </c>
      <c r="I2184" s="37">
        <v>0</v>
      </c>
      <c r="J2184" s="36" t="s">
        <v>34836</v>
      </c>
      <c r="K2184" s="36" t="s">
        <v>14330</v>
      </c>
      <c r="L2184" s="36" t="s">
        <v>14330</v>
      </c>
      <c r="M2184">
        <v>3</v>
      </c>
      <c r="N2184" t="s">
        <v>14331</v>
      </c>
      <c r="O2184" t="s">
        <v>32633</v>
      </c>
    </row>
    <row r="2185" spans="1:15" x14ac:dyDescent="0.25">
      <c r="A2185" s="35" t="s">
        <v>7328</v>
      </c>
      <c r="B2185" s="36" t="s">
        <v>7329</v>
      </c>
      <c r="C2185" s="36" t="str">
        <f>HYPERLINK("https://rhld.insurance.arkansas.gov/NPILookup?Npi=1003337544","1003337544")</f>
        <v>1003337544</v>
      </c>
      <c r="D2185" s="36" t="s">
        <v>34841</v>
      </c>
      <c r="E2185" s="36" t="s">
        <v>1</v>
      </c>
      <c r="F2185" s="36">
        <v>1</v>
      </c>
      <c r="G2185" s="36">
        <v>3</v>
      </c>
      <c r="H2185" s="36">
        <v>0</v>
      </c>
      <c r="I2185" s="37">
        <v>0</v>
      </c>
      <c r="J2185" s="36" t="s">
        <v>34836</v>
      </c>
      <c r="K2185" s="36" t="s">
        <v>14330</v>
      </c>
      <c r="L2185" s="36" t="s">
        <v>14330</v>
      </c>
      <c r="M2185">
        <v>2</v>
      </c>
      <c r="N2185" t="s">
        <v>14331</v>
      </c>
      <c r="O2185" t="s">
        <v>32633</v>
      </c>
    </row>
    <row r="2186" spans="1:15" x14ac:dyDescent="0.25">
      <c r="A2186" s="35" t="s">
        <v>7328</v>
      </c>
      <c r="B2186" s="36" t="s">
        <v>7329</v>
      </c>
      <c r="C2186" s="36" t="str">
        <f>HYPERLINK("https://rhld.insurance.arkansas.gov/NPILookup?Npi=1003379173","1003379173")</f>
        <v>1003379173</v>
      </c>
      <c r="D2186" s="36" t="s">
        <v>34842</v>
      </c>
      <c r="E2186" s="36" t="s">
        <v>1</v>
      </c>
      <c r="F2186" s="36">
        <v>1</v>
      </c>
      <c r="G2186" s="36">
        <v>2</v>
      </c>
      <c r="H2186" s="36">
        <v>0</v>
      </c>
      <c r="I2186" s="37">
        <v>0</v>
      </c>
      <c r="J2186" s="36" t="s">
        <v>34836</v>
      </c>
      <c r="K2186" s="36" t="s">
        <v>14330</v>
      </c>
      <c r="L2186" s="36" t="s">
        <v>14330</v>
      </c>
      <c r="M2186">
        <v>2</v>
      </c>
      <c r="N2186" t="s">
        <v>14331</v>
      </c>
      <c r="O2186" t="s">
        <v>32633</v>
      </c>
    </row>
    <row r="2187" spans="1:15" x14ac:dyDescent="0.25">
      <c r="A2187" s="35" t="s">
        <v>7328</v>
      </c>
      <c r="B2187" s="36" t="s">
        <v>7329</v>
      </c>
      <c r="C2187" s="36" t="str">
        <f>HYPERLINK("https://rhld.insurance.arkansas.gov/NPILookup?Npi=1003379835","1003379835")</f>
        <v>1003379835</v>
      </c>
      <c r="D2187" s="36" t="s">
        <v>34843</v>
      </c>
      <c r="E2187" s="36" t="s">
        <v>1</v>
      </c>
      <c r="F2187" s="36">
        <v>1</v>
      </c>
      <c r="G2187" s="36">
        <v>2</v>
      </c>
      <c r="H2187" s="36">
        <v>0</v>
      </c>
      <c r="I2187" s="37">
        <v>0</v>
      </c>
      <c r="J2187" s="36" t="s">
        <v>34836</v>
      </c>
      <c r="K2187" s="36" t="s">
        <v>14330</v>
      </c>
      <c r="L2187" s="36" t="s">
        <v>14330</v>
      </c>
      <c r="M2187">
        <v>3</v>
      </c>
      <c r="N2187" t="s">
        <v>14331</v>
      </c>
      <c r="O2187" t="s">
        <v>32633</v>
      </c>
    </row>
    <row r="2188" spans="1:15" x14ac:dyDescent="0.25">
      <c r="A2188" s="35" t="s">
        <v>7328</v>
      </c>
      <c r="B2188" s="36" t="s">
        <v>7329</v>
      </c>
      <c r="C2188" s="36" t="str">
        <f>HYPERLINK("https://rhld.insurance.arkansas.gov/NPILookup?Npi=1003442153","1003442153")</f>
        <v>1003442153</v>
      </c>
      <c r="D2188" s="36" t="s">
        <v>34844</v>
      </c>
      <c r="E2188" s="36" t="s">
        <v>1</v>
      </c>
      <c r="F2188" s="36">
        <v>1</v>
      </c>
      <c r="G2188" s="36">
        <v>3</v>
      </c>
      <c r="H2188" s="36">
        <v>0</v>
      </c>
      <c r="I2188" s="37">
        <v>0</v>
      </c>
      <c r="J2188" s="36" t="s">
        <v>32654</v>
      </c>
      <c r="K2188" s="36" t="s">
        <v>14330</v>
      </c>
      <c r="L2188" s="36" t="s">
        <v>14330</v>
      </c>
      <c r="M2188">
        <v>3</v>
      </c>
      <c r="N2188" t="s">
        <v>14331</v>
      </c>
      <c r="O2188" t="s">
        <v>32633</v>
      </c>
    </row>
    <row r="2189" spans="1:15" x14ac:dyDescent="0.25">
      <c r="A2189" s="35" t="s">
        <v>7328</v>
      </c>
      <c r="B2189" s="36" t="s">
        <v>7329</v>
      </c>
      <c r="C2189" s="36" t="str">
        <f>HYPERLINK("https://rhld.insurance.arkansas.gov/NPILookup?Npi=1003445370","1003445370")</f>
        <v>1003445370</v>
      </c>
      <c r="D2189" s="36" t="s">
        <v>34845</v>
      </c>
      <c r="E2189" s="36" t="s">
        <v>1</v>
      </c>
      <c r="F2189" s="36">
        <v>1</v>
      </c>
      <c r="G2189" s="36">
        <v>3</v>
      </c>
      <c r="H2189" s="36">
        <v>0</v>
      </c>
      <c r="I2189" s="37">
        <v>0</v>
      </c>
      <c r="J2189" s="36" t="s">
        <v>34836</v>
      </c>
      <c r="K2189" s="36" t="s">
        <v>14330</v>
      </c>
      <c r="L2189" s="36" t="s">
        <v>14330</v>
      </c>
      <c r="M2189">
        <v>3</v>
      </c>
      <c r="N2189" t="s">
        <v>14331</v>
      </c>
      <c r="O2189" t="s">
        <v>32633</v>
      </c>
    </row>
    <row r="2190" spans="1:15" x14ac:dyDescent="0.25">
      <c r="A2190" s="35" t="s">
        <v>7328</v>
      </c>
      <c r="B2190" s="36" t="s">
        <v>7329</v>
      </c>
      <c r="C2190" s="36" t="str">
        <f>HYPERLINK("https://rhld.insurance.arkansas.gov/NPILookup?Npi=1003455833","1003455833")</f>
        <v>1003455833</v>
      </c>
      <c r="D2190" s="36" t="s">
        <v>34846</v>
      </c>
      <c r="E2190" s="36" t="s">
        <v>1</v>
      </c>
      <c r="F2190" s="36">
        <v>1</v>
      </c>
      <c r="G2190" s="36">
        <v>3</v>
      </c>
      <c r="H2190" s="36">
        <v>0</v>
      </c>
      <c r="I2190" s="37">
        <v>0</v>
      </c>
      <c r="J2190" s="36" t="s">
        <v>32654</v>
      </c>
      <c r="K2190" s="36" t="s">
        <v>14330</v>
      </c>
      <c r="L2190" s="36" t="s">
        <v>14330</v>
      </c>
      <c r="M2190">
        <v>2</v>
      </c>
      <c r="N2190" t="s">
        <v>14331</v>
      </c>
      <c r="O2190" t="s">
        <v>32633</v>
      </c>
    </row>
    <row r="2191" spans="1:15" x14ac:dyDescent="0.25">
      <c r="A2191" s="35" t="s">
        <v>7328</v>
      </c>
      <c r="B2191" s="36" t="s">
        <v>7329</v>
      </c>
      <c r="C2191" s="36" t="str">
        <f>HYPERLINK("https://rhld.insurance.arkansas.gov/NPILookup?Npi=1003527011","1003527011")</f>
        <v>1003527011</v>
      </c>
      <c r="D2191" s="36" t="s">
        <v>34847</v>
      </c>
      <c r="E2191" s="36" t="s">
        <v>2</v>
      </c>
      <c r="F2191" s="36">
        <v>2</v>
      </c>
      <c r="G2191" s="36">
        <v>2</v>
      </c>
      <c r="H2191" s="36">
        <v>0</v>
      </c>
      <c r="I2191" s="37">
        <v>0</v>
      </c>
      <c r="J2191" s="36" t="s">
        <v>33004</v>
      </c>
      <c r="K2191" s="36" t="s">
        <v>14330</v>
      </c>
      <c r="L2191" s="36" t="s">
        <v>14330</v>
      </c>
      <c r="M2191">
        <v>2</v>
      </c>
      <c r="N2191" t="s">
        <v>14331</v>
      </c>
      <c r="O2191" t="s">
        <v>14333</v>
      </c>
    </row>
    <row r="2192" spans="1:15" x14ac:dyDescent="0.25">
      <c r="A2192" s="35" t="s">
        <v>7328</v>
      </c>
      <c r="B2192" s="36" t="s">
        <v>7329</v>
      </c>
      <c r="C2192" s="36" t="str">
        <f>HYPERLINK("https://rhld.insurance.arkansas.gov/NPILookup?Npi=1003531518","1003531518")</f>
        <v>1003531518</v>
      </c>
      <c r="D2192" s="36" t="s">
        <v>34848</v>
      </c>
      <c r="E2192" s="36" t="s">
        <v>1</v>
      </c>
      <c r="F2192" s="36">
        <v>1</v>
      </c>
      <c r="G2192" s="36">
        <v>2</v>
      </c>
      <c r="H2192" s="36">
        <v>0</v>
      </c>
      <c r="I2192" s="37">
        <v>0</v>
      </c>
      <c r="J2192" s="36" t="s">
        <v>32654</v>
      </c>
      <c r="K2192" s="36" t="s">
        <v>14330</v>
      </c>
      <c r="L2192" s="36" t="s">
        <v>14330</v>
      </c>
      <c r="M2192">
        <v>2</v>
      </c>
      <c r="N2192" t="s">
        <v>14331</v>
      </c>
      <c r="O2192" t="s">
        <v>32633</v>
      </c>
    </row>
    <row r="2193" spans="1:15" x14ac:dyDescent="0.25">
      <c r="A2193" s="35" t="s">
        <v>7328</v>
      </c>
      <c r="B2193" s="36" t="s">
        <v>7329</v>
      </c>
      <c r="C2193" s="36" t="str">
        <f>HYPERLINK("https://rhld.insurance.arkansas.gov/NPILookup?Npi=1003564154","1003564154")</f>
        <v>1003564154</v>
      </c>
      <c r="D2193" s="36" t="s">
        <v>34849</v>
      </c>
      <c r="E2193" s="36" t="s">
        <v>1</v>
      </c>
      <c r="F2193" s="36">
        <v>1</v>
      </c>
      <c r="G2193" s="36">
        <v>2</v>
      </c>
      <c r="H2193" s="36">
        <v>0</v>
      </c>
      <c r="I2193" s="37">
        <v>0</v>
      </c>
      <c r="J2193" s="36" t="s">
        <v>32654</v>
      </c>
      <c r="K2193" s="36" t="s">
        <v>14330</v>
      </c>
      <c r="L2193" s="36" t="s">
        <v>14330</v>
      </c>
      <c r="M2193">
        <v>2</v>
      </c>
      <c r="N2193" t="s">
        <v>14331</v>
      </c>
      <c r="O2193" t="s">
        <v>32633</v>
      </c>
    </row>
    <row r="2194" spans="1:15" x14ac:dyDescent="0.25">
      <c r="A2194" s="35" t="s">
        <v>7328</v>
      </c>
      <c r="B2194" s="36" t="s">
        <v>7329</v>
      </c>
      <c r="C2194" s="36" t="str">
        <f>HYPERLINK("https://rhld.insurance.arkansas.gov/NPILookup?Npi=1003654526","1003654526")</f>
        <v>1003654526</v>
      </c>
      <c r="D2194" s="36" t="s">
        <v>34850</v>
      </c>
      <c r="E2194" s="36" t="s">
        <v>2</v>
      </c>
      <c r="F2194" s="36">
        <v>1</v>
      </c>
      <c r="G2194" s="36">
        <v>2</v>
      </c>
      <c r="H2194" s="36">
        <v>0</v>
      </c>
      <c r="I2194" s="37">
        <v>0</v>
      </c>
      <c r="J2194" s="36"/>
      <c r="K2194" s="36" t="s">
        <v>14330</v>
      </c>
      <c r="L2194" s="36" t="s">
        <v>14330</v>
      </c>
      <c r="M2194">
        <v>1</v>
      </c>
      <c r="N2194" t="s">
        <v>14331</v>
      </c>
      <c r="O2194" t="s">
        <v>14333</v>
      </c>
    </row>
    <row r="2195" spans="1:15" x14ac:dyDescent="0.25">
      <c r="A2195" s="35" t="s">
        <v>7328</v>
      </c>
      <c r="B2195" s="36" t="s">
        <v>7329</v>
      </c>
      <c r="C2195" s="36" t="str">
        <f>HYPERLINK("https://rhld.insurance.arkansas.gov/NPILookup?Npi=1003676479","1003676479")</f>
        <v>1003676479</v>
      </c>
      <c r="D2195" s="36" t="s">
        <v>34654</v>
      </c>
      <c r="E2195" s="36" t="s">
        <v>2</v>
      </c>
      <c r="F2195" s="36">
        <v>1</v>
      </c>
      <c r="G2195" s="36">
        <v>1</v>
      </c>
      <c r="H2195" s="36">
        <v>0</v>
      </c>
      <c r="I2195" s="37">
        <v>0</v>
      </c>
      <c r="J2195" s="36"/>
      <c r="K2195" s="36" t="s">
        <v>14330</v>
      </c>
      <c r="L2195" s="36" t="s">
        <v>14330</v>
      </c>
      <c r="M2195">
        <v>2</v>
      </c>
      <c r="N2195" t="s">
        <v>14331</v>
      </c>
      <c r="O2195" t="s">
        <v>32633</v>
      </c>
    </row>
    <row r="2196" spans="1:15" x14ac:dyDescent="0.25">
      <c r="A2196" s="35" t="s">
        <v>7328</v>
      </c>
      <c r="B2196" s="36" t="s">
        <v>7329</v>
      </c>
      <c r="C2196" s="36" t="str">
        <f>HYPERLINK("https://rhld.insurance.arkansas.gov/NPILookup?Npi=1003679804","1003679804")</f>
        <v>1003679804</v>
      </c>
      <c r="D2196" s="36" t="s">
        <v>34851</v>
      </c>
      <c r="E2196" s="36" t="s">
        <v>2</v>
      </c>
      <c r="F2196" s="36">
        <v>1</v>
      </c>
      <c r="G2196" s="36">
        <v>2</v>
      </c>
      <c r="H2196" s="36">
        <v>0</v>
      </c>
      <c r="I2196" s="37">
        <v>0</v>
      </c>
      <c r="J2196" s="36" t="s">
        <v>32679</v>
      </c>
      <c r="K2196" s="36" t="s">
        <v>14330</v>
      </c>
      <c r="L2196" s="36" t="s">
        <v>14330</v>
      </c>
      <c r="M2196">
        <v>2</v>
      </c>
      <c r="N2196" t="s">
        <v>14331</v>
      </c>
      <c r="O2196" t="s">
        <v>14333</v>
      </c>
    </row>
    <row r="2197" spans="1:15" x14ac:dyDescent="0.25">
      <c r="A2197" s="35" t="s">
        <v>7328</v>
      </c>
      <c r="B2197" s="36" t="s">
        <v>7329</v>
      </c>
      <c r="C2197" s="36" t="str">
        <f>HYPERLINK("https://rhld.insurance.arkansas.gov/NPILookup?Npi=1003680125","1003680125")</f>
        <v>1003680125</v>
      </c>
      <c r="D2197" s="36" t="s">
        <v>34852</v>
      </c>
      <c r="E2197" s="36" t="s">
        <v>2</v>
      </c>
      <c r="F2197" s="36">
        <v>1</v>
      </c>
      <c r="G2197" s="36">
        <v>2</v>
      </c>
      <c r="H2197" s="36">
        <v>0</v>
      </c>
      <c r="I2197" s="37">
        <v>0</v>
      </c>
      <c r="J2197" s="36"/>
      <c r="K2197" s="36" t="s">
        <v>14330</v>
      </c>
      <c r="L2197" s="36" t="s">
        <v>14330</v>
      </c>
      <c r="M2197">
        <v>3</v>
      </c>
      <c r="N2197" t="s">
        <v>14331</v>
      </c>
      <c r="O2197" t="s">
        <v>14333</v>
      </c>
    </row>
    <row r="2198" spans="1:15" x14ac:dyDescent="0.25">
      <c r="A2198" s="35" t="s">
        <v>7328</v>
      </c>
      <c r="B2198" s="36" t="s">
        <v>7329</v>
      </c>
      <c r="C2198" s="36" t="str">
        <f>HYPERLINK("https://rhld.insurance.arkansas.gov/NPILookup?Npi=1003874801","1003874801")</f>
        <v>1003874801</v>
      </c>
      <c r="D2198" s="36" t="s">
        <v>34853</v>
      </c>
      <c r="E2198" s="36" t="s">
        <v>1</v>
      </c>
      <c r="F2198" s="36">
        <v>1</v>
      </c>
      <c r="G2198" s="36">
        <v>3</v>
      </c>
      <c r="H2198" s="36">
        <v>0</v>
      </c>
      <c r="I2198" s="37">
        <v>0</v>
      </c>
      <c r="J2198" s="36" t="s">
        <v>34836</v>
      </c>
      <c r="K2198" s="36" t="s">
        <v>14330</v>
      </c>
      <c r="L2198" s="36" t="s">
        <v>14330</v>
      </c>
      <c r="M2198">
        <v>3</v>
      </c>
      <c r="N2198" t="s">
        <v>14331</v>
      </c>
      <c r="O2198" t="s">
        <v>32633</v>
      </c>
    </row>
    <row r="2199" spans="1:15" x14ac:dyDescent="0.25">
      <c r="A2199" s="35" t="s">
        <v>7328</v>
      </c>
      <c r="B2199" s="36" t="s">
        <v>7329</v>
      </c>
      <c r="C2199" s="36" t="str">
        <f>HYPERLINK("https://rhld.insurance.arkansas.gov/NPILookup?Npi=1003887589","1003887589")</f>
        <v>1003887589</v>
      </c>
      <c r="D2199" s="36" t="s">
        <v>34854</v>
      </c>
      <c r="E2199" s="36" t="s">
        <v>1</v>
      </c>
      <c r="F2199" s="36">
        <v>1</v>
      </c>
      <c r="G2199" s="36">
        <v>3</v>
      </c>
      <c r="H2199" s="36">
        <v>0</v>
      </c>
      <c r="I2199" s="37">
        <v>0</v>
      </c>
      <c r="J2199" s="36" t="s">
        <v>34836</v>
      </c>
      <c r="K2199" s="36" t="s">
        <v>14330</v>
      </c>
      <c r="L2199" s="36" t="s">
        <v>14330</v>
      </c>
      <c r="M2199">
        <v>2</v>
      </c>
      <c r="N2199" t="s">
        <v>14331</v>
      </c>
      <c r="O2199" t="s">
        <v>32633</v>
      </c>
    </row>
    <row r="2200" spans="1:15" x14ac:dyDescent="0.25">
      <c r="A2200" s="35" t="s">
        <v>7328</v>
      </c>
      <c r="B2200" s="36" t="s">
        <v>7329</v>
      </c>
      <c r="C2200" s="36" t="str">
        <f>HYPERLINK("https://rhld.insurance.arkansas.gov/NPILookup?Npi=1003893330","1003893330")</f>
        <v>1003893330</v>
      </c>
      <c r="D2200" s="36" t="s">
        <v>34855</v>
      </c>
      <c r="E2200" s="36" t="s">
        <v>1</v>
      </c>
      <c r="F2200" s="36">
        <v>1</v>
      </c>
      <c r="G2200" s="36">
        <v>2</v>
      </c>
      <c r="H2200" s="36">
        <v>0</v>
      </c>
      <c r="I2200" s="37">
        <v>0</v>
      </c>
      <c r="J2200" s="36" t="s">
        <v>34836</v>
      </c>
      <c r="K2200" s="36" t="s">
        <v>14330</v>
      </c>
      <c r="L2200" s="36" t="s">
        <v>14330</v>
      </c>
      <c r="M2200">
        <v>2</v>
      </c>
      <c r="N2200" t="s">
        <v>14331</v>
      </c>
      <c r="O2200" t="s">
        <v>32633</v>
      </c>
    </row>
    <row r="2201" spans="1:15" x14ac:dyDescent="0.25">
      <c r="A2201" s="35" t="s">
        <v>7328</v>
      </c>
      <c r="B2201" s="36" t="s">
        <v>7329</v>
      </c>
      <c r="C2201" s="36" t="str">
        <f>HYPERLINK("https://rhld.insurance.arkansas.gov/NPILookup?Npi=1013206747","1013206747")</f>
        <v>1013206747</v>
      </c>
      <c r="D2201" s="36" t="s">
        <v>34856</v>
      </c>
      <c r="E2201" s="36" t="s">
        <v>2</v>
      </c>
      <c r="F2201" s="36">
        <v>2</v>
      </c>
      <c r="G2201" s="36">
        <v>2</v>
      </c>
      <c r="H2201" s="36">
        <v>0</v>
      </c>
      <c r="I2201" s="37">
        <v>0</v>
      </c>
      <c r="J2201" s="36" t="s">
        <v>33004</v>
      </c>
      <c r="K2201" s="36" t="s">
        <v>14330</v>
      </c>
      <c r="L2201" s="36" t="s">
        <v>14330</v>
      </c>
      <c r="M2201">
        <v>3</v>
      </c>
      <c r="N2201" t="s">
        <v>14331</v>
      </c>
      <c r="O2201" t="s">
        <v>14333</v>
      </c>
    </row>
    <row r="2202" spans="1:15" x14ac:dyDescent="0.25">
      <c r="A2202" s="35" t="s">
        <v>7328</v>
      </c>
      <c r="B2202" s="36" t="s">
        <v>7329</v>
      </c>
      <c r="C2202" s="36" t="str">
        <f>HYPERLINK("https://rhld.insurance.arkansas.gov/NPILookup?Npi=1013250554","1013250554")</f>
        <v>1013250554</v>
      </c>
      <c r="D2202" s="36" t="s">
        <v>34857</v>
      </c>
      <c r="E2202" s="36" t="s">
        <v>1</v>
      </c>
      <c r="F2202" s="36">
        <v>1</v>
      </c>
      <c r="G2202" s="36">
        <v>3</v>
      </c>
      <c r="H2202" s="36">
        <v>0</v>
      </c>
      <c r="I2202" s="37">
        <v>0</v>
      </c>
      <c r="J2202" s="36" t="s">
        <v>34836</v>
      </c>
      <c r="K2202" s="36" t="s">
        <v>14330</v>
      </c>
      <c r="L2202" s="36" t="s">
        <v>14330</v>
      </c>
      <c r="M2202">
        <v>3</v>
      </c>
      <c r="N2202" t="s">
        <v>14331</v>
      </c>
      <c r="O2202" t="s">
        <v>32633</v>
      </c>
    </row>
    <row r="2203" spans="1:15" x14ac:dyDescent="0.25">
      <c r="A2203" s="35" t="s">
        <v>7328</v>
      </c>
      <c r="B2203" s="36" t="s">
        <v>7329</v>
      </c>
      <c r="C2203" s="36" t="str">
        <f>HYPERLINK("https://rhld.insurance.arkansas.gov/NPILookup?Npi=1013276187","1013276187")</f>
        <v>1013276187</v>
      </c>
      <c r="D2203" s="36" t="s">
        <v>34858</v>
      </c>
      <c r="E2203" s="36" t="s">
        <v>1</v>
      </c>
      <c r="F2203" s="36">
        <v>1</v>
      </c>
      <c r="G2203" s="36">
        <v>3</v>
      </c>
      <c r="H2203" s="36">
        <v>0</v>
      </c>
      <c r="I2203" s="37">
        <v>0</v>
      </c>
      <c r="J2203" s="36" t="s">
        <v>34836</v>
      </c>
      <c r="K2203" s="36" t="s">
        <v>14330</v>
      </c>
      <c r="L2203" s="36" t="s">
        <v>14330</v>
      </c>
      <c r="M2203">
        <v>1</v>
      </c>
      <c r="N2203" t="s">
        <v>14331</v>
      </c>
      <c r="O2203" t="s">
        <v>32633</v>
      </c>
    </row>
    <row r="2204" spans="1:15" x14ac:dyDescent="0.25">
      <c r="A2204" s="35" t="s">
        <v>7328</v>
      </c>
      <c r="B2204" s="36" t="s">
        <v>7329</v>
      </c>
      <c r="C2204" s="36" t="str">
        <f>HYPERLINK("https://rhld.insurance.arkansas.gov/NPILookup?Npi=1013282243","1013282243")</f>
        <v>1013282243</v>
      </c>
      <c r="D2204" s="36" t="s">
        <v>34859</v>
      </c>
      <c r="E2204" s="36" t="s">
        <v>1</v>
      </c>
      <c r="F2204" s="36">
        <v>1</v>
      </c>
      <c r="G2204" s="36">
        <v>1</v>
      </c>
      <c r="H2204" s="36">
        <v>0</v>
      </c>
      <c r="I2204" s="37">
        <v>0</v>
      </c>
      <c r="J2204" s="36" t="s">
        <v>34836</v>
      </c>
      <c r="K2204" s="36" t="s">
        <v>14330</v>
      </c>
      <c r="L2204" s="36" t="s">
        <v>14330</v>
      </c>
      <c r="M2204">
        <v>3</v>
      </c>
      <c r="N2204" t="s">
        <v>14331</v>
      </c>
      <c r="O2204" t="s">
        <v>32633</v>
      </c>
    </row>
    <row r="2205" spans="1:15" x14ac:dyDescent="0.25">
      <c r="A2205" s="35" t="s">
        <v>7328</v>
      </c>
      <c r="B2205" s="36" t="s">
        <v>7329</v>
      </c>
      <c r="C2205" s="36" t="str">
        <f>HYPERLINK("https://rhld.insurance.arkansas.gov/NPILookup?Npi=1013301936","1013301936")</f>
        <v>1013301936</v>
      </c>
      <c r="D2205" s="36" t="s">
        <v>34860</v>
      </c>
      <c r="E2205" s="36" t="s">
        <v>1</v>
      </c>
      <c r="F2205" s="36">
        <v>1</v>
      </c>
      <c r="G2205" s="36">
        <v>3</v>
      </c>
      <c r="H2205" s="36">
        <v>0</v>
      </c>
      <c r="I2205" s="37">
        <v>0</v>
      </c>
      <c r="J2205" s="36" t="s">
        <v>32654</v>
      </c>
      <c r="K2205" s="36" t="s">
        <v>14330</v>
      </c>
      <c r="L2205" s="36" t="s">
        <v>14330</v>
      </c>
      <c r="M2205">
        <v>3</v>
      </c>
      <c r="N2205" t="s">
        <v>14331</v>
      </c>
      <c r="O2205" t="s">
        <v>32633</v>
      </c>
    </row>
    <row r="2206" spans="1:15" x14ac:dyDescent="0.25">
      <c r="A2206" s="35" t="s">
        <v>7328</v>
      </c>
      <c r="B2206" s="36" t="s">
        <v>7329</v>
      </c>
      <c r="C2206" s="36" t="str">
        <f>HYPERLINK("https://rhld.insurance.arkansas.gov/NPILookup?Npi=1013303700","1013303700")</f>
        <v>1013303700</v>
      </c>
      <c r="D2206" s="36" t="s">
        <v>34861</v>
      </c>
      <c r="E2206" s="36" t="s">
        <v>1</v>
      </c>
      <c r="F2206" s="36">
        <v>1</v>
      </c>
      <c r="G2206" s="36">
        <v>3</v>
      </c>
      <c r="H2206" s="36">
        <v>0</v>
      </c>
      <c r="I2206" s="37">
        <v>0</v>
      </c>
      <c r="J2206" s="36" t="s">
        <v>32654</v>
      </c>
      <c r="K2206" s="36" t="s">
        <v>14330</v>
      </c>
      <c r="L2206" s="36" t="s">
        <v>14330</v>
      </c>
      <c r="M2206">
        <v>2</v>
      </c>
      <c r="N2206" t="s">
        <v>14331</v>
      </c>
      <c r="O2206" t="s">
        <v>32633</v>
      </c>
    </row>
    <row r="2207" spans="1:15" x14ac:dyDescent="0.25">
      <c r="A2207" s="35" t="s">
        <v>7328</v>
      </c>
      <c r="B2207" s="36" t="s">
        <v>7329</v>
      </c>
      <c r="C2207" s="36" t="str">
        <f>HYPERLINK("https://rhld.insurance.arkansas.gov/NPILookup?Npi=1013305895","1013305895")</f>
        <v>1013305895</v>
      </c>
      <c r="D2207" s="36" t="s">
        <v>34862</v>
      </c>
      <c r="E2207" s="36" t="s">
        <v>2</v>
      </c>
      <c r="F2207" s="36">
        <v>1</v>
      </c>
      <c r="G2207" s="36">
        <v>2</v>
      </c>
      <c r="H2207" s="36">
        <v>0</v>
      </c>
      <c r="I2207" s="37">
        <v>0</v>
      </c>
      <c r="J2207" s="36" t="s">
        <v>32679</v>
      </c>
      <c r="K2207" s="36" t="s">
        <v>14330</v>
      </c>
      <c r="L2207" s="36" t="s">
        <v>14330</v>
      </c>
      <c r="M2207">
        <v>3</v>
      </c>
      <c r="N2207" t="s">
        <v>14331</v>
      </c>
      <c r="O2207" t="s">
        <v>14333</v>
      </c>
    </row>
    <row r="2208" spans="1:15" x14ac:dyDescent="0.25">
      <c r="A2208" s="35" t="s">
        <v>7328</v>
      </c>
      <c r="B2208" s="36" t="s">
        <v>7329</v>
      </c>
      <c r="C2208" s="36" t="str">
        <f>HYPERLINK("https://rhld.insurance.arkansas.gov/NPILookup?Npi=1013358522","1013358522")</f>
        <v>1013358522</v>
      </c>
      <c r="D2208" s="36" t="s">
        <v>34863</v>
      </c>
      <c r="E2208" s="36" t="s">
        <v>1</v>
      </c>
      <c r="F2208" s="36">
        <v>1</v>
      </c>
      <c r="G2208" s="36">
        <v>3</v>
      </c>
      <c r="H2208" s="36">
        <v>0</v>
      </c>
      <c r="I2208" s="37">
        <v>0</v>
      </c>
      <c r="J2208" s="36" t="s">
        <v>32654</v>
      </c>
      <c r="K2208" s="36" t="s">
        <v>14330</v>
      </c>
      <c r="L2208" s="36" t="s">
        <v>14330</v>
      </c>
      <c r="M2208">
        <v>3</v>
      </c>
      <c r="N2208" t="s">
        <v>14331</v>
      </c>
      <c r="O2208" t="s">
        <v>32633</v>
      </c>
    </row>
    <row r="2209" spans="1:15" x14ac:dyDescent="0.25">
      <c r="A2209" s="35" t="s">
        <v>7328</v>
      </c>
      <c r="B2209" s="36" t="s">
        <v>7329</v>
      </c>
      <c r="C2209" s="36" t="str">
        <f>HYPERLINK("https://rhld.insurance.arkansas.gov/NPILookup?Npi=1013390467","1013390467")</f>
        <v>1013390467</v>
      </c>
      <c r="D2209" s="36" t="s">
        <v>34864</v>
      </c>
      <c r="E2209" s="36" t="s">
        <v>1</v>
      </c>
      <c r="F2209" s="36">
        <v>1</v>
      </c>
      <c r="G2209" s="36">
        <v>3</v>
      </c>
      <c r="H2209" s="36">
        <v>0</v>
      </c>
      <c r="I2209" s="37">
        <v>0</v>
      </c>
      <c r="J2209" s="36" t="s">
        <v>34836</v>
      </c>
      <c r="K2209" s="36" t="s">
        <v>14330</v>
      </c>
      <c r="L2209" s="36" t="s">
        <v>14330</v>
      </c>
      <c r="M2209">
        <v>2</v>
      </c>
      <c r="N2209" t="s">
        <v>14331</v>
      </c>
      <c r="O2209" t="s">
        <v>32633</v>
      </c>
    </row>
    <row r="2210" spans="1:15" x14ac:dyDescent="0.25">
      <c r="A2210" s="35" t="s">
        <v>7328</v>
      </c>
      <c r="B2210" s="36" t="s">
        <v>7329</v>
      </c>
      <c r="C2210" s="36" t="str">
        <f>HYPERLINK("https://rhld.insurance.arkansas.gov/NPILookup?Npi=1013435718","1013435718")</f>
        <v>1013435718</v>
      </c>
      <c r="D2210" s="36" t="s">
        <v>34865</v>
      </c>
      <c r="E2210" s="36" t="s">
        <v>2</v>
      </c>
      <c r="F2210" s="36">
        <v>1</v>
      </c>
      <c r="G2210" s="36">
        <v>2</v>
      </c>
      <c r="H2210" s="36">
        <v>0</v>
      </c>
      <c r="I2210" s="37">
        <v>0</v>
      </c>
      <c r="J2210" s="36"/>
      <c r="K2210" s="36" t="s">
        <v>14330</v>
      </c>
      <c r="L2210" s="36" t="s">
        <v>14330</v>
      </c>
      <c r="M2210">
        <v>1</v>
      </c>
      <c r="N2210" t="s">
        <v>14331</v>
      </c>
      <c r="O2210" t="s">
        <v>14333</v>
      </c>
    </row>
    <row r="2211" spans="1:15" x14ac:dyDescent="0.25">
      <c r="A2211" s="35" t="s">
        <v>7328</v>
      </c>
      <c r="B2211" s="36" t="s">
        <v>7329</v>
      </c>
      <c r="C2211" s="36" t="str">
        <f>HYPERLINK("https://rhld.insurance.arkansas.gov/NPILookup?Npi=1013478718","1013478718")</f>
        <v>1013478718</v>
      </c>
      <c r="D2211" s="36" t="s">
        <v>34866</v>
      </c>
      <c r="E2211" s="36" t="s">
        <v>1</v>
      </c>
      <c r="F2211" s="36">
        <v>1</v>
      </c>
      <c r="G2211" s="36">
        <v>1</v>
      </c>
      <c r="H2211" s="36">
        <v>0</v>
      </c>
      <c r="I2211" s="37">
        <v>0</v>
      </c>
      <c r="J2211" s="36" t="s">
        <v>34836</v>
      </c>
      <c r="K2211" s="36" t="s">
        <v>14330</v>
      </c>
      <c r="L2211" s="36" t="s">
        <v>14330</v>
      </c>
      <c r="M2211">
        <v>2</v>
      </c>
      <c r="N2211" t="s">
        <v>14331</v>
      </c>
      <c r="O2211" t="s">
        <v>32633</v>
      </c>
    </row>
    <row r="2212" spans="1:15" x14ac:dyDescent="0.25">
      <c r="A2212" s="35" t="s">
        <v>7328</v>
      </c>
      <c r="B2212" s="36" t="s">
        <v>7329</v>
      </c>
      <c r="C2212" s="36" t="str">
        <f>HYPERLINK("https://rhld.insurance.arkansas.gov/NPILookup?Npi=1013568013","1013568013")</f>
        <v>1013568013</v>
      </c>
      <c r="D2212" s="36" t="s">
        <v>34867</v>
      </c>
      <c r="E2212" s="36" t="s">
        <v>2</v>
      </c>
      <c r="F2212" s="36">
        <v>1</v>
      </c>
      <c r="G2212" s="36">
        <v>2</v>
      </c>
      <c r="H2212" s="36">
        <v>0</v>
      </c>
      <c r="I2212" s="37">
        <v>0</v>
      </c>
      <c r="J2212" s="36"/>
      <c r="K2212" s="36" t="s">
        <v>14330</v>
      </c>
      <c r="L2212" s="36" t="s">
        <v>14330</v>
      </c>
      <c r="M2212">
        <v>1</v>
      </c>
      <c r="N2212" t="s">
        <v>14331</v>
      </c>
      <c r="O2212" t="s">
        <v>14333</v>
      </c>
    </row>
    <row r="2213" spans="1:15" x14ac:dyDescent="0.25">
      <c r="A2213" s="35" t="s">
        <v>7328</v>
      </c>
      <c r="B2213" s="36" t="s">
        <v>7329</v>
      </c>
      <c r="C2213" s="36" t="str">
        <f>HYPERLINK("https://rhld.insurance.arkansas.gov/NPILookup?Npi=1013572270","1013572270")</f>
        <v>1013572270</v>
      </c>
      <c r="D2213" s="36" t="s">
        <v>34868</v>
      </c>
      <c r="E2213" s="36" t="s">
        <v>1</v>
      </c>
      <c r="F2213" s="36">
        <v>1</v>
      </c>
      <c r="G2213" s="36">
        <v>1</v>
      </c>
      <c r="H2213" s="36">
        <v>0</v>
      </c>
      <c r="I2213" s="37">
        <v>0</v>
      </c>
      <c r="J2213" s="36" t="s">
        <v>34836</v>
      </c>
      <c r="K2213" s="36" t="s">
        <v>14330</v>
      </c>
      <c r="L2213" s="36" t="s">
        <v>14330</v>
      </c>
      <c r="M2213">
        <v>2</v>
      </c>
      <c r="N2213" t="s">
        <v>14331</v>
      </c>
      <c r="O2213" t="s">
        <v>32633</v>
      </c>
    </row>
    <row r="2214" spans="1:15" x14ac:dyDescent="0.25">
      <c r="A2214" s="35" t="s">
        <v>7328</v>
      </c>
      <c r="B2214" s="36" t="s">
        <v>7329</v>
      </c>
      <c r="C2214" s="36" t="str">
        <f>HYPERLINK("https://rhld.insurance.arkansas.gov/NPILookup?Npi=1013595420","1013595420")</f>
        <v>1013595420</v>
      </c>
      <c r="D2214" s="36" t="s">
        <v>34869</v>
      </c>
      <c r="E2214" s="36" t="s">
        <v>1</v>
      </c>
      <c r="F2214" s="36">
        <v>1</v>
      </c>
      <c r="G2214" s="36">
        <v>2</v>
      </c>
      <c r="H2214" s="36">
        <v>0</v>
      </c>
      <c r="I2214" s="37">
        <v>0</v>
      </c>
      <c r="J2214" s="36" t="s">
        <v>32654</v>
      </c>
      <c r="K2214" s="36" t="s">
        <v>14330</v>
      </c>
      <c r="L2214" s="36" t="s">
        <v>14330</v>
      </c>
      <c r="M2214">
        <v>2</v>
      </c>
      <c r="N2214" t="s">
        <v>14331</v>
      </c>
      <c r="O2214" t="s">
        <v>32633</v>
      </c>
    </row>
    <row r="2215" spans="1:15" x14ac:dyDescent="0.25">
      <c r="A2215" s="35" t="s">
        <v>7328</v>
      </c>
      <c r="B2215" s="36" t="s">
        <v>7329</v>
      </c>
      <c r="C2215" s="36" t="str">
        <f>HYPERLINK("https://rhld.insurance.arkansas.gov/NPILookup?Npi=1013684760","1013684760")</f>
        <v>1013684760</v>
      </c>
      <c r="D2215" s="36" t="s">
        <v>34870</v>
      </c>
      <c r="E2215" s="36" t="s">
        <v>2</v>
      </c>
      <c r="F2215" s="36">
        <v>1</v>
      </c>
      <c r="G2215" s="36">
        <v>2</v>
      </c>
      <c r="H2215" s="36">
        <v>0</v>
      </c>
      <c r="I2215" s="37">
        <v>0</v>
      </c>
      <c r="J2215" s="36"/>
      <c r="K2215" s="36" t="s">
        <v>14330</v>
      </c>
      <c r="L2215" s="36" t="s">
        <v>14330</v>
      </c>
      <c r="M2215">
        <v>3</v>
      </c>
      <c r="N2215" t="s">
        <v>14331</v>
      </c>
      <c r="O2215" t="s">
        <v>14333</v>
      </c>
    </row>
    <row r="2216" spans="1:15" x14ac:dyDescent="0.25">
      <c r="A2216" s="35" t="s">
        <v>7328</v>
      </c>
      <c r="B2216" s="36" t="s">
        <v>7329</v>
      </c>
      <c r="C2216" s="36" t="str">
        <f>HYPERLINK("https://rhld.insurance.arkansas.gov/NPILookup?Npi=1013904895","1013904895")</f>
        <v>1013904895</v>
      </c>
      <c r="D2216" s="36" t="s">
        <v>34871</v>
      </c>
      <c r="E2216" s="36" t="s">
        <v>1</v>
      </c>
      <c r="F2216" s="36">
        <v>1</v>
      </c>
      <c r="G2216" s="36">
        <v>3</v>
      </c>
      <c r="H2216" s="36">
        <v>0</v>
      </c>
      <c r="I2216" s="37">
        <v>0</v>
      </c>
      <c r="J2216" s="36" t="s">
        <v>34836</v>
      </c>
      <c r="K2216" s="36" t="s">
        <v>14330</v>
      </c>
      <c r="L2216" s="36" t="s">
        <v>14330</v>
      </c>
      <c r="M2216">
        <v>3</v>
      </c>
      <c r="N2216" t="s">
        <v>14331</v>
      </c>
      <c r="O2216" t="s">
        <v>32633</v>
      </c>
    </row>
    <row r="2217" spans="1:15" x14ac:dyDescent="0.25">
      <c r="A2217" s="35" t="s">
        <v>7328</v>
      </c>
      <c r="B2217" s="36" t="s">
        <v>7329</v>
      </c>
      <c r="C2217" s="36" t="str">
        <f>HYPERLINK("https://rhld.insurance.arkansas.gov/NPILookup?Npi=1013926062","1013926062")</f>
        <v>1013926062</v>
      </c>
      <c r="D2217" s="36" t="s">
        <v>34872</v>
      </c>
      <c r="E2217" s="36" t="s">
        <v>1</v>
      </c>
      <c r="F2217" s="36">
        <v>1</v>
      </c>
      <c r="G2217" s="36">
        <v>3</v>
      </c>
      <c r="H2217" s="36">
        <v>0</v>
      </c>
      <c r="I2217" s="37">
        <v>0</v>
      </c>
      <c r="J2217" s="36" t="s">
        <v>34836</v>
      </c>
      <c r="K2217" s="36" t="s">
        <v>14330</v>
      </c>
      <c r="L2217" s="36" t="s">
        <v>14330</v>
      </c>
      <c r="M2217">
        <v>2</v>
      </c>
      <c r="N2217" t="s">
        <v>14331</v>
      </c>
      <c r="O2217" t="s">
        <v>32633</v>
      </c>
    </row>
    <row r="2218" spans="1:15" x14ac:dyDescent="0.25">
      <c r="A2218" s="35" t="s">
        <v>7328</v>
      </c>
      <c r="B2218" s="36" t="s">
        <v>7329</v>
      </c>
      <c r="C2218" s="36" t="str">
        <f>HYPERLINK("https://rhld.insurance.arkansas.gov/NPILookup?Npi=1013954320","1013954320")</f>
        <v>1013954320</v>
      </c>
      <c r="D2218" s="36" t="s">
        <v>32932</v>
      </c>
      <c r="E2218" s="36" t="s">
        <v>1</v>
      </c>
      <c r="F2218" s="36">
        <v>1</v>
      </c>
      <c r="G2218" s="36">
        <v>2</v>
      </c>
      <c r="H2218" s="36">
        <v>0</v>
      </c>
      <c r="I2218" s="37">
        <v>0</v>
      </c>
      <c r="J2218" s="36" t="s">
        <v>34836</v>
      </c>
      <c r="K2218" s="36" t="s">
        <v>14330</v>
      </c>
      <c r="L2218" s="36" t="s">
        <v>14330</v>
      </c>
      <c r="M2218">
        <v>3</v>
      </c>
      <c r="N2218" t="s">
        <v>14331</v>
      </c>
      <c r="O2218" t="s">
        <v>32633</v>
      </c>
    </row>
    <row r="2219" spans="1:15" x14ac:dyDescent="0.25">
      <c r="A2219" s="35" t="s">
        <v>7328</v>
      </c>
      <c r="B2219" s="36" t="s">
        <v>7329</v>
      </c>
      <c r="C2219" s="36" t="str">
        <f>HYPERLINK("https://rhld.insurance.arkansas.gov/NPILookup?Npi=1013967835","1013967835")</f>
        <v>1013967835</v>
      </c>
      <c r="D2219" s="36" t="s">
        <v>32934</v>
      </c>
      <c r="E2219" s="36" t="s">
        <v>1</v>
      </c>
      <c r="F2219" s="36">
        <v>1</v>
      </c>
      <c r="G2219" s="36">
        <v>3</v>
      </c>
      <c r="H2219" s="36">
        <v>0</v>
      </c>
      <c r="I2219" s="37">
        <v>0</v>
      </c>
      <c r="J2219" s="36" t="s">
        <v>34836</v>
      </c>
      <c r="K2219" s="36" t="s">
        <v>14330</v>
      </c>
      <c r="L2219" s="36" t="s">
        <v>14330</v>
      </c>
      <c r="M2219">
        <v>3</v>
      </c>
      <c r="N2219" t="s">
        <v>14331</v>
      </c>
      <c r="O2219" t="s">
        <v>32633</v>
      </c>
    </row>
    <row r="2220" spans="1:15" x14ac:dyDescent="0.25">
      <c r="A2220" s="35" t="s">
        <v>7328</v>
      </c>
      <c r="B2220" s="36" t="s">
        <v>7329</v>
      </c>
      <c r="C2220" s="36" t="str">
        <f>HYPERLINK("https://rhld.insurance.arkansas.gov/NPILookup?Npi=1023030699","1023030699")</f>
        <v>1023030699</v>
      </c>
      <c r="D2220" s="36" t="s">
        <v>34873</v>
      </c>
      <c r="E2220" s="36" t="s">
        <v>1</v>
      </c>
      <c r="F2220" s="36">
        <v>1</v>
      </c>
      <c r="G2220" s="36">
        <v>3</v>
      </c>
      <c r="H2220" s="36">
        <v>0</v>
      </c>
      <c r="I2220" s="37">
        <v>0</v>
      </c>
      <c r="J2220" s="36" t="s">
        <v>34836</v>
      </c>
      <c r="K2220" s="36" t="s">
        <v>14330</v>
      </c>
      <c r="L2220" s="36" t="s">
        <v>14330</v>
      </c>
      <c r="M2220">
        <v>3</v>
      </c>
      <c r="N2220" t="s">
        <v>14331</v>
      </c>
      <c r="O2220" t="s">
        <v>32633</v>
      </c>
    </row>
    <row r="2221" spans="1:15" x14ac:dyDescent="0.25">
      <c r="A2221" s="35" t="s">
        <v>7328</v>
      </c>
      <c r="B2221" s="36" t="s">
        <v>7329</v>
      </c>
      <c r="C2221" s="36" t="str">
        <f>HYPERLINK("https://rhld.insurance.arkansas.gov/NPILookup?Npi=1023107935","1023107935")</f>
        <v>1023107935</v>
      </c>
      <c r="D2221" s="36" t="s">
        <v>33713</v>
      </c>
      <c r="E2221" s="36" t="s">
        <v>1</v>
      </c>
      <c r="F2221" s="36">
        <v>1</v>
      </c>
      <c r="G2221" s="36">
        <v>3</v>
      </c>
      <c r="H2221" s="36">
        <v>0</v>
      </c>
      <c r="I2221" s="37">
        <v>0</v>
      </c>
      <c r="J2221" s="36" t="s">
        <v>34836</v>
      </c>
      <c r="K2221" s="36" t="s">
        <v>14330</v>
      </c>
      <c r="L2221" s="36" t="s">
        <v>14330</v>
      </c>
      <c r="M2221">
        <v>2</v>
      </c>
      <c r="N2221" t="s">
        <v>14331</v>
      </c>
      <c r="O2221" t="s">
        <v>32633</v>
      </c>
    </row>
    <row r="2222" spans="1:15" x14ac:dyDescent="0.25">
      <c r="A2222" s="35" t="s">
        <v>7328</v>
      </c>
      <c r="B2222" s="36" t="s">
        <v>7329</v>
      </c>
      <c r="C2222" s="36" t="str">
        <f>HYPERLINK("https://rhld.insurance.arkansas.gov/NPILookup?Npi=1023113784","1023113784")</f>
        <v>1023113784</v>
      </c>
      <c r="D2222" s="36" t="s">
        <v>34874</v>
      </c>
      <c r="E2222" s="36" t="s">
        <v>2</v>
      </c>
      <c r="F2222" s="36">
        <v>1</v>
      </c>
      <c r="G2222" s="36">
        <v>2</v>
      </c>
      <c r="H2222" s="36">
        <v>0</v>
      </c>
      <c r="I2222" s="37">
        <v>0</v>
      </c>
      <c r="J2222" s="36"/>
      <c r="K2222" s="36" t="s">
        <v>14330</v>
      </c>
      <c r="L2222" s="36" t="s">
        <v>14330</v>
      </c>
      <c r="M2222">
        <v>2</v>
      </c>
      <c r="N2222" t="s">
        <v>14331</v>
      </c>
      <c r="O2222" t="s">
        <v>14333</v>
      </c>
    </row>
    <row r="2223" spans="1:15" x14ac:dyDescent="0.25">
      <c r="A2223" s="35" t="s">
        <v>7328</v>
      </c>
      <c r="B2223" s="36" t="s">
        <v>7329</v>
      </c>
      <c r="C2223" s="36" t="str">
        <f>HYPERLINK("https://rhld.insurance.arkansas.gov/NPILookup?Npi=1023128840","1023128840")</f>
        <v>1023128840</v>
      </c>
      <c r="D2223" s="36" t="s">
        <v>34875</v>
      </c>
      <c r="E2223" s="36" t="s">
        <v>1</v>
      </c>
      <c r="F2223" s="36">
        <v>1</v>
      </c>
      <c r="G2223" s="36">
        <v>2</v>
      </c>
      <c r="H2223" s="36">
        <v>0</v>
      </c>
      <c r="I2223" s="37">
        <v>0</v>
      </c>
      <c r="J2223" s="36" t="s">
        <v>34836</v>
      </c>
      <c r="K2223" s="36" t="s">
        <v>14330</v>
      </c>
      <c r="L2223" s="36" t="s">
        <v>14330</v>
      </c>
      <c r="M2223">
        <v>2</v>
      </c>
      <c r="N2223" t="s">
        <v>14331</v>
      </c>
      <c r="O2223" t="s">
        <v>32633</v>
      </c>
    </row>
    <row r="2224" spans="1:15" x14ac:dyDescent="0.25">
      <c r="A2224" s="35" t="s">
        <v>7328</v>
      </c>
      <c r="B2224" s="36" t="s">
        <v>7329</v>
      </c>
      <c r="C2224" s="36" t="str">
        <f>HYPERLINK("https://rhld.insurance.arkansas.gov/NPILookup?Npi=1023233400","1023233400")</f>
        <v>1023233400</v>
      </c>
      <c r="D2224" s="36" t="s">
        <v>34876</v>
      </c>
      <c r="E2224" s="36" t="s">
        <v>1</v>
      </c>
      <c r="F2224" s="36">
        <v>1</v>
      </c>
      <c r="G2224" s="36">
        <v>2</v>
      </c>
      <c r="H2224" s="36">
        <v>0</v>
      </c>
      <c r="I2224" s="37">
        <v>0</v>
      </c>
      <c r="J2224" s="36" t="s">
        <v>34836</v>
      </c>
      <c r="K2224" s="36" t="s">
        <v>14330</v>
      </c>
      <c r="L2224" s="36" t="s">
        <v>14330</v>
      </c>
      <c r="M2224">
        <v>2</v>
      </c>
      <c r="N2224" t="s">
        <v>14331</v>
      </c>
      <c r="O2224" t="s">
        <v>32633</v>
      </c>
    </row>
    <row r="2225" spans="1:15" x14ac:dyDescent="0.25">
      <c r="A2225" s="35" t="s">
        <v>7328</v>
      </c>
      <c r="B2225" s="36" t="s">
        <v>7329</v>
      </c>
      <c r="C2225" s="36" t="str">
        <f>HYPERLINK("https://rhld.insurance.arkansas.gov/NPILookup?Npi=1023247566","1023247566")</f>
        <v>1023247566</v>
      </c>
      <c r="D2225" s="36" t="s">
        <v>34877</v>
      </c>
      <c r="E2225" s="36" t="s">
        <v>1</v>
      </c>
      <c r="F2225" s="36">
        <v>1</v>
      </c>
      <c r="G2225" s="36">
        <v>2</v>
      </c>
      <c r="H2225" s="36">
        <v>0</v>
      </c>
      <c r="I2225" s="37">
        <v>0</v>
      </c>
      <c r="J2225" s="36" t="s">
        <v>32723</v>
      </c>
      <c r="K2225" s="36" t="s">
        <v>14330</v>
      </c>
      <c r="L2225" s="36" t="s">
        <v>14330</v>
      </c>
      <c r="M2225">
        <v>3</v>
      </c>
      <c r="N2225" t="s">
        <v>14331</v>
      </c>
      <c r="O2225" t="s">
        <v>32724</v>
      </c>
    </row>
    <row r="2226" spans="1:15" x14ac:dyDescent="0.25">
      <c r="A2226" s="35" t="s">
        <v>7328</v>
      </c>
      <c r="B2226" s="36" t="s">
        <v>7329</v>
      </c>
      <c r="C2226" s="36" t="str">
        <f>HYPERLINK("https://rhld.insurance.arkansas.gov/NPILookup?Npi=1023251634","1023251634")</f>
        <v>1023251634</v>
      </c>
      <c r="D2226" s="36" t="s">
        <v>34878</v>
      </c>
      <c r="E2226" s="36" t="s">
        <v>1</v>
      </c>
      <c r="F2226" s="36">
        <v>1</v>
      </c>
      <c r="G2226" s="36">
        <v>3</v>
      </c>
      <c r="H2226" s="36">
        <v>0</v>
      </c>
      <c r="I2226" s="37">
        <v>0</v>
      </c>
      <c r="J2226" s="36" t="s">
        <v>32654</v>
      </c>
      <c r="K2226" s="36" t="s">
        <v>14330</v>
      </c>
      <c r="L2226" s="36" t="s">
        <v>14330</v>
      </c>
      <c r="M2226">
        <v>2</v>
      </c>
      <c r="N2226" t="s">
        <v>14331</v>
      </c>
      <c r="O2226" t="s">
        <v>32633</v>
      </c>
    </row>
    <row r="2227" spans="1:15" x14ac:dyDescent="0.25">
      <c r="A2227" s="35" t="s">
        <v>7328</v>
      </c>
      <c r="B2227" s="36" t="s">
        <v>7329</v>
      </c>
      <c r="C2227" s="36" t="str">
        <f>HYPERLINK("https://rhld.insurance.arkansas.gov/NPILookup?Npi=1023471885","1023471885")</f>
        <v>1023471885</v>
      </c>
      <c r="D2227" s="36" t="s">
        <v>34879</v>
      </c>
      <c r="E2227" s="36" t="s">
        <v>1</v>
      </c>
      <c r="F2227" s="36">
        <v>1</v>
      </c>
      <c r="G2227" s="36">
        <v>2</v>
      </c>
      <c r="H2227" s="36">
        <v>0</v>
      </c>
      <c r="I2227" s="37">
        <v>0</v>
      </c>
      <c r="J2227" s="36" t="s">
        <v>34836</v>
      </c>
      <c r="K2227" s="36" t="s">
        <v>14330</v>
      </c>
      <c r="L2227" s="36" t="s">
        <v>14330</v>
      </c>
      <c r="M2227">
        <v>3</v>
      </c>
      <c r="N2227" t="s">
        <v>14331</v>
      </c>
      <c r="O2227" t="s">
        <v>32633</v>
      </c>
    </row>
    <row r="2228" spans="1:15" x14ac:dyDescent="0.25">
      <c r="A2228" s="35" t="s">
        <v>7328</v>
      </c>
      <c r="B2228" s="36" t="s">
        <v>7329</v>
      </c>
      <c r="C2228" s="36" t="str">
        <f>HYPERLINK("https://rhld.insurance.arkansas.gov/NPILookup?Npi=1023535838","1023535838")</f>
        <v>1023535838</v>
      </c>
      <c r="D2228" s="36" t="s">
        <v>34880</v>
      </c>
      <c r="E2228" s="36" t="s">
        <v>1</v>
      </c>
      <c r="F2228" s="36">
        <v>1</v>
      </c>
      <c r="G2228" s="36">
        <v>3</v>
      </c>
      <c r="H2228" s="36">
        <v>0</v>
      </c>
      <c r="I2228" s="37">
        <v>0</v>
      </c>
      <c r="J2228" s="36" t="s">
        <v>34836</v>
      </c>
      <c r="K2228" s="36" t="s">
        <v>14330</v>
      </c>
      <c r="L2228" s="36" t="s">
        <v>14330</v>
      </c>
      <c r="M2228">
        <v>2</v>
      </c>
      <c r="N2228" t="s">
        <v>14331</v>
      </c>
      <c r="O2228" t="s">
        <v>32633</v>
      </c>
    </row>
    <row r="2229" spans="1:15" x14ac:dyDescent="0.25">
      <c r="A2229" s="35" t="s">
        <v>7328</v>
      </c>
      <c r="B2229" s="36" t="s">
        <v>7329</v>
      </c>
      <c r="C2229" s="36" t="str">
        <f>HYPERLINK("https://rhld.insurance.arkansas.gov/NPILookup?Npi=1023646403","1023646403")</f>
        <v>1023646403</v>
      </c>
      <c r="D2229" s="36" t="s">
        <v>34881</v>
      </c>
      <c r="E2229" s="36" t="s">
        <v>1</v>
      </c>
      <c r="F2229" s="36">
        <v>1</v>
      </c>
      <c r="G2229" s="36">
        <v>2</v>
      </c>
      <c r="H2229" s="36">
        <v>0</v>
      </c>
      <c r="I2229" s="37">
        <v>0</v>
      </c>
      <c r="J2229" s="36" t="s">
        <v>34836</v>
      </c>
      <c r="K2229" s="36" t="s">
        <v>14330</v>
      </c>
      <c r="L2229" s="36" t="s">
        <v>14330</v>
      </c>
      <c r="M2229">
        <v>2</v>
      </c>
      <c r="N2229" t="s">
        <v>14331</v>
      </c>
      <c r="O2229" t="s">
        <v>32633</v>
      </c>
    </row>
    <row r="2230" spans="1:15" x14ac:dyDescent="0.25">
      <c r="A2230" s="35" t="s">
        <v>7328</v>
      </c>
      <c r="B2230" s="36" t="s">
        <v>7329</v>
      </c>
      <c r="C2230" s="36" t="str">
        <f>HYPERLINK("https://rhld.insurance.arkansas.gov/NPILookup?Npi=1023764289","1023764289")</f>
        <v>1023764289</v>
      </c>
      <c r="D2230" s="36" t="s">
        <v>34882</v>
      </c>
      <c r="E2230" s="36" t="s">
        <v>2</v>
      </c>
      <c r="F2230" s="36">
        <v>1</v>
      </c>
      <c r="G2230" s="36">
        <v>2</v>
      </c>
      <c r="H2230" s="36">
        <v>0</v>
      </c>
      <c r="I2230" s="37">
        <v>0</v>
      </c>
      <c r="J2230" s="36"/>
      <c r="K2230" s="36" t="s">
        <v>14330</v>
      </c>
      <c r="L2230" s="36" t="s">
        <v>14330</v>
      </c>
      <c r="M2230">
        <v>2</v>
      </c>
      <c r="N2230" t="s">
        <v>14331</v>
      </c>
      <c r="O2230" t="s">
        <v>14333</v>
      </c>
    </row>
    <row r="2231" spans="1:15" x14ac:dyDescent="0.25">
      <c r="A2231" s="35" t="s">
        <v>7328</v>
      </c>
      <c r="B2231" s="36" t="s">
        <v>7329</v>
      </c>
      <c r="C2231" s="36" t="str">
        <f>HYPERLINK("https://rhld.insurance.arkansas.gov/NPILookup?Npi=1033176250","1033176250")</f>
        <v>1033176250</v>
      </c>
      <c r="D2231" s="36" t="s">
        <v>32948</v>
      </c>
      <c r="E2231" s="36" t="s">
        <v>1</v>
      </c>
      <c r="F2231" s="36">
        <v>1</v>
      </c>
      <c r="G2231" s="36">
        <v>2</v>
      </c>
      <c r="H2231" s="36">
        <v>0</v>
      </c>
      <c r="I2231" s="37">
        <v>0</v>
      </c>
      <c r="J2231" s="36" t="s">
        <v>34836</v>
      </c>
      <c r="K2231" s="36" t="s">
        <v>14330</v>
      </c>
      <c r="L2231" s="36" t="s">
        <v>14330</v>
      </c>
      <c r="M2231">
        <v>2</v>
      </c>
      <c r="N2231" t="s">
        <v>14331</v>
      </c>
      <c r="O2231" t="s">
        <v>32633</v>
      </c>
    </row>
    <row r="2232" spans="1:15" x14ac:dyDescent="0.25">
      <c r="A2232" s="35" t="s">
        <v>7328</v>
      </c>
      <c r="B2232" s="36" t="s">
        <v>7329</v>
      </c>
      <c r="C2232" s="36" t="str">
        <f>HYPERLINK("https://rhld.insurance.arkansas.gov/NPILookup?Npi=1033222682","1033222682")</f>
        <v>1033222682</v>
      </c>
      <c r="D2232" s="36" t="s">
        <v>34883</v>
      </c>
      <c r="E2232" s="36" t="s">
        <v>1</v>
      </c>
      <c r="F2232" s="36">
        <v>1</v>
      </c>
      <c r="G2232" s="36">
        <v>2</v>
      </c>
      <c r="H2232" s="36">
        <v>0</v>
      </c>
      <c r="I2232" s="37">
        <v>0</v>
      </c>
      <c r="J2232" s="36" t="s">
        <v>32654</v>
      </c>
      <c r="K2232" s="36" t="s">
        <v>14330</v>
      </c>
      <c r="L2232" s="36" t="s">
        <v>14330</v>
      </c>
      <c r="M2232">
        <v>2</v>
      </c>
      <c r="N2232" t="s">
        <v>14331</v>
      </c>
      <c r="O2232" t="s">
        <v>32633</v>
      </c>
    </row>
    <row r="2233" spans="1:15" x14ac:dyDescent="0.25">
      <c r="A2233" s="35" t="s">
        <v>7328</v>
      </c>
      <c r="B2233" s="36" t="s">
        <v>7329</v>
      </c>
      <c r="C2233" s="36" t="str">
        <f>HYPERLINK("https://rhld.insurance.arkansas.gov/NPILookup?Npi=1033421417","1033421417")</f>
        <v>1033421417</v>
      </c>
      <c r="D2233" s="36" t="s">
        <v>34884</v>
      </c>
      <c r="E2233" s="36" t="s">
        <v>1</v>
      </c>
      <c r="F2233" s="36">
        <v>1</v>
      </c>
      <c r="G2233" s="36">
        <v>2</v>
      </c>
      <c r="H2233" s="36">
        <v>0</v>
      </c>
      <c r="I2233" s="37">
        <v>0</v>
      </c>
      <c r="J2233" s="36" t="s">
        <v>34836</v>
      </c>
      <c r="K2233" s="36" t="s">
        <v>14330</v>
      </c>
      <c r="L2233" s="36" t="s">
        <v>14330</v>
      </c>
      <c r="M2233">
        <v>3</v>
      </c>
      <c r="N2233" t="s">
        <v>14331</v>
      </c>
      <c r="O2233" t="s">
        <v>32633</v>
      </c>
    </row>
    <row r="2234" spans="1:15" x14ac:dyDescent="0.25">
      <c r="A2234" s="35" t="s">
        <v>7328</v>
      </c>
      <c r="B2234" s="36" t="s">
        <v>7329</v>
      </c>
      <c r="C2234" s="36" t="str">
        <f>HYPERLINK("https://rhld.insurance.arkansas.gov/NPILookup?Npi=1033435540","1033435540")</f>
        <v>1033435540</v>
      </c>
      <c r="D2234" s="36" t="s">
        <v>34885</v>
      </c>
      <c r="E2234" s="36" t="s">
        <v>1</v>
      </c>
      <c r="F2234" s="36">
        <v>1</v>
      </c>
      <c r="G2234" s="36">
        <v>3</v>
      </c>
      <c r="H2234" s="36">
        <v>0</v>
      </c>
      <c r="I2234" s="37">
        <v>0</v>
      </c>
      <c r="J2234" s="36" t="s">
        <v>32654</v>
      </c>
      <c r="K2234" s="36" t="s">
        <v>14330</v>
      </c>
      <c r="L2234" s="36" t="s">
        <v>14330</v>
      </c>
      <c r="M2234">
        <v>2</v>
      </c>
      <c r="N2234" t="s">
        <v>14331</v>
      </c>
      <c r="O2234" t="s">
        <v>32633</v>
      </c>
    </row>
    <row r="2235" spans="1:15" x14ac:dyDescent="0.25">
      <c r="A2235" s="35" t="s">
        <v>7328</v>
      </c>
      <c r="B2235" s="36" t="s">
        <v>7329</v>
      </c>
      <c r="C2235" s="36" t="str">
        <f>HYPERLINK("https://rhld.insurance.arkansas.gov/NPILookup?Npi=1033497888","1033497888")</f>
        <v>1033497888</v>
      </c>
      <c r="D2235" s="36" t="s">
        <v>34886</v>
      </c>
      <c r="E2235" s="36" t="s">
        <v>1</v>
      </c>
      <c r="F2235" s="36">
        <v>1</v>
      </c>
      <c r="G2235" s="36">
        <v>2</v>
      </c>
      <c r="H2235" s="36">
        <v>0</v>
      </c>
      <c r="I2235" s="37">
        <v>0</v>
      </c>
      <c r="J2235" s="36" t="s">
        <v>34836</v>
      </c>
      <c r="K2235" s="36" t="s">
        <v>14330</v>
      </c>
      <c r="L2235" s="36" t="s">
        <v>14330</v>
      </c>
      <c r="M2235">
        <v>2</v>
      </c>
      <c r="N2235" t="s">
        <v>14331</v>
      </c>
      <c r="O2235" t="s">
        <v>32633</v>
      </c>
    </row>
    <row r="2236" spans="1:15" x14ac:dyDescent="0.25">
      <c r="A2236" s="35" t="s">
        <v>7328</v>
      </c>
      <c r="B2236" s="36" t="s">
        <v>7329</v>
      </c>
      <c r="C2236" s="36" t="str">
        <f>HYPERLINK("https://rhld.insurance.arkansas.gov/NPILookup?Npi=1033615737","1033615737")</f>
        <v>1033615737</v>
      </c>
      <c r="D2236" s="36" t="s">
        <v>34887</v>
      </c>
      <c r="E2236" s="36" t="s">
        <v>1</v>
      </c>
      <c r="F2236" s="36">
        <v>1</v>
      </c>
      <c r="G2236" s="36">
        <v>2</v>
      </c>
      <c r="H2236" s="36">
        <v>0</v>
      </c>
      <c r="I2236" s="37">
        <v>0</v>
      </c>
      <c r="J2236" s="36" t="s">
        <v>34836</v>
      </c>
      <c r="K2236" s="36" t="s">
        <v>14330</v>
      </c>
      <c r="L2236" s="36" t="s">
        <v>14330</v>
      </c>
      <c r="M2236">
        <v>2</v>
      </c>
      <c r="N2236" t="s">
        <v>14331</v>
      </c>
      <c r="O2236" t="s">
        <v>32633</v>
      </c>
    </row>
    <row r="2237" spans="1:15" x14ac:dyDescent="0.25">
      <c r="A2237" s="35" t="s">
        <v>7328</v>
      </c>
      <c r="B2237" s="36" t="s">
        <v>7329</v>
      </c>
      <c r="C2237" s="36" t="str">
        <f>HYPERLINK("https://rhld.insurance.arkansas.gov/NPILookup?Npi=1033619077","1033619077")</f>
        <v>1033619077</v>
      </c>
      <c r="D2237" s="36" t="s">
        <v>34888</v>
      </c>
      <c r="E2237" s="36" t="s">
        <v>1</v>
      </c>
      <c r="F2237" s="36">
        <v>1</v>
      </c>
      <c r="G2237" s="36">
        <v>2</v>
      </c>
      <c r="H2237" s="36">
        <v>0</v>
      </c>
      <c r="I2237" s="37">
        <v>0</v>
      </c>
      <c r="J2237" s="36" t="s">
        <v>32654</v>
      </c>
      <c r="K2237" s="36" t="s">
        <v>14330</v>
      </c>
      <c r="L2237" s="36" t="s">
        <v>14330</v>
      </c>
      <c r="M2237">
        <v>2</v>
      </c>
      <c r="N2237" t="s">
        <v>14331</v>
      </c>
      <c r="O2237" t="s">
        <v>32633</v>
      </c>
    </row>
    <row r="2238" spans="1:15" x14ac:dyDescent="0.25">
      <c r="A2238" s="35" t="s">
        <v>7328</v>
      </c>
      <c r="B2238" s="36" t="s">
        <v>7329</v>
      </c>
      <c r="C2238" s="36" t="str">
        <f>HYPERLINK("https://rhld.insurance.arkansas.gov/NPILookup?Npi=1033699855","1033699855")</f>
        <v>1033699855</v>
      </c>
      <c r="D2238" s="36" t="s">
        <v>34889</v>
      </c>
      <c r="E2238" s="36" t="s">
        <v>2</v>
      </c>
      <c r="F2238" s="36">
        <v>1</v>
      </c>
      <c r="G2238" s="36">
        <v>2</v>
      </c>
      <c r="H2238" s="36">
        <v>0</v>
      </c>
      <c r="I2238" s="37">
        <v>0</v>
      </c>
      <c r="J2238" s="36"/>
      <c r="K2238" s="36" t="s">
        <v>14330</v>
      </c>
      <c r="L2238" s="36" t="s">
        <v>14330</v>
      </c>
      <c r="M2238">
        <v>1</v>
      </c>
      <c r="N2238" t="s">
        <v>14331</v>
      </c>
      <c r="O2238" t="s">
        <v>14333</v>
      </c>
    </row>
    <row r="2239" spans="1:15" x14ac:dyDescent="0.25">
      <c r="A2239" s="35" t="s">
        <v>7328</v>
      </c>
      <c r="B2239" s="36" t="s">
        <v>7329</v>
      </c>
      <c r="C2239" s="36" t="str">
        <f>HYPERLINK("https://rhld.insurance.arkansas.gov/NPILookup?Npi=1033739404","1033739404")</f>
        <v>1033739404</v>
      </c>
      <c r="D2239" s="36" t="s">
        <v>34890</v>
      </c>
      <c r="E2239" s="36" t="s">
        <v>1</v>
      </c>
      <c r="F2239" s="36">
        <v>1</v>
      </c>
      <c r="G2239" s="36">
        <v>1</v>
      </c>
      <c r="H2239" s="36">
        <v>0</v>
      </c>
      <c r="I2239" s="37">
        <v>0</v>
      </c>
      <c r="J2239" s="36" t="s">
        <v>34836</v>
      </c>
      <c r="K2239" s="36" t="s">
        <v>14330</v>
      </c>
      <c r="L2239" s="36" t="s">
        <v>14330</v>
      </c>
      <c r="M2239">
        <v>2</v>
      </c>
      <c r="N2239" t="s">
        <v>14331</v>
      </c>
      <c r="O2239" t="s">
        <v>32633</v>
      </c>
    </row>
    <row r="2240" spans="1:15" x14ac:dyDescent="0.25">
      <c r="A2240" s="35" t="s">
        <v>7328</v>
      </c>
      <c r="B2240" s="36" t="s">
        <v>7329</v>
      </c>
      <c r="C2240" s="36" t="str">
        <f>HYPERLINK("https://rhld.insurance.arkansas.gov/NPILookup?Npi=1033847975","1033847975")</f>
        <v>1033847975</v>
      </c>
      <c r="D2240" s="36" t="s">
        <v>34891</v>
      </c>
      <c r="E2240" s="36" t="s">
        <v>2</v>
      </c>
      <c r="F2240" s="36">
        <v>1</v>
      </c>
      <c r="G2240" s="36">
        <v>2</v>
      </c>
      <c r="H2240" s="36">
        <v>0</v>
      </c>
      <c r="I2240" s="37">
        <v>0</v>
      </c>
      <c r="J2240" s="36"/>
      <c r="K2240" s="36" t="s">
        <v>14330</v>
      </c>
      <c r="L2240" s="36" t="s">
        <v>14330</v>
      </c>
      <c r="M2240">
        <v>2</v>
      </c>
      <c r="N2240" t="s">
        <v>14331</v>
      </c>
      <c r="O2240" t="s">
        <v>14333</v>
      </c>
    </row>
    <row r="2241" spans="1:15" x14ac:dyDescent="0.25">
      <c r="A2241" s="35" t="s">
        <v>7328</v>
      </c>
      <c r="B2241" s="36" t="s">
        <v>7329</v>
      </c>
      <c r="C2241" s="36" t="str">
        <f>HYPERLINK("https://rhld.insurance.arkansas.gov/NPILookup?Npi=1033926001","1033926001")</f>
        <v>1033926001</v>
      </c>
      <c r="D2241" s="36" t="s">
        <v>34892</v>
      </c>
      <c r="E2241" s="36" t="s">
        <v>2</v>
      </c>
      <c r="F2241" s="36">
        <v>1</v>
      </c>
      <c r="G2241" s="36">
        <v>2</v>
      </c>
      <c r="H2241" s="36">
        <v>0</v>
      </c>
      <c r="I2241" s="37">
        <v>0</v>
      </c>
      <c r="J2241" s="36"/>
      <c r="K2241" s="36" t="s">
        <v>14330</v>
      </c>
      <c r="L2241" s="36" t="s">
        <v>14330</v>
      </c>
      <c r="M2241">
        <v>1</v>
      </c>
      <c r="N2241" t="s">
        <v>14331</v>
      </c>
      <c r="O2241" t="s">
        <v>14333</v>
      </c>
    </row>
    <row r="2242" spans="1:15" x14ac:dyDescent="0.25">
      <c r="A2242" s="35" t="s">
        <v>7328</v>
      </c>
      <c r="B2242" s="36" t="s">
        <v>7329</v>
      </c>
      <c r="C2242" s="36" t="str">
        <f>HYPERLINK("https://rhld.insurance.arkansas.gov/NPILookup?Npi=1033930656","1033930656")</f>
        <v>1033930656</v>
      </c>
      <c r="D2242" s="36" t="s">
        <v>34893</v>
      </c>
      <c r="E2242" s="36" t="s">
        <v>2</v>
      </c>
      <c r="F2242" s="36">
        <v>2</v>
      </c>
      <c r="G2242" s="36">
        <v>1</v>
      </c>
      <c r="H2242" s="36">
        <v>0</v>
      </c>
      <c r="I2242" s="37">
        <v>0</v>
      </c>
      <c r="J2242" s="36" t="s">
        <v>33004</v>
      </c>
      <c r="K2242" s="36" t="s">
        <v>14330</v>
      </c>
      <c r="L2242" s="36" t="s">
        <v>14330</v>
      </c>
      <c r="M2242">
        <v>2</v>
      </c>
      <c r="N2242" t="s">
        <v>14331</v>
      </c>
      <c r="O2242" t="s">
        <v>32633</v>
      </c>
    </row>
    <row r="2243" spans="1:15" x14ac:dyDescent="0.25">
      <c r="A2243" s="35" t="s">
        <v>7328</v>
      </c>
      <c r="B2243" s="36" t="s">
        <v>7329</v>
      </c>
      <c r="C2243" s="36" t="str">
        <f>HYPERLINK("https://rhld.insurance.arkansas.gov/NPILookup?Npi=1033949409","1033949409")</f>
        <v>1033949409</v>
      </c>
      <c r="D2243" s="36" t="s">
        <v>34894</v>
      </c>
      <c r="E2243" s="36" t="s">
        <v>2</v>
      </c>
      <c r="F2243" s="36">
        <v>1</v>
      </c>
      <c r="G2243" s="36">
        <v>2</v>
      </c>
      <c r="H2243" s="36">
        <v>0</v>
      </c>
      <c r="I2243" s="37">
        <v>0</v>
      </c>
      <c r="J2243" s="36"/>
      <c r="K2243" s="36" t="s">
        <v>14330</v>
      </c>
      <c r="L2243" s="36" t="s">
        <v>14330</v>
      </c>
      <c r="M2243">
        <v>1</v>
      </c>
      <c r="N2243" t="s">
        <v>14331</v>
      </c>
      <c r="O2243" t="s">
        <v>14333</v>
      </c>
    </row>
    <row r="2244" spans="1:15" x14ac:dyDescent="0.25">
      <c r="A2244" s="35" t="s">
        <v>7328</v>
      </c>
      <c r="B2244" s="36" t="s">
        <v>7329</v>
      </c>
      <c r="C2244" s="36" t="str">
        <f>HYPERLINK("https://rhld.insurance.arkansas.gov/NPILookup?Npi=1033960265","1033960265")</f>
        <v>1033960265</v>
      </c>
      <c r="D2244" s="36" t="s">
        <v>34895</v>
      </c>
      <c r="E2244" s="36" t="s">
        <v>2</v>
      </c>
      <c r="F2244" s="36">
        <v>1</v>
      </c>
      <c r="G2244" s="36">
        <v>1</v>
      </c>
      <c r="H2244" s="36">
        <v>0</v>
      </c>
      <c r="I2244" s="37">
        <v>0</v>
      </c>
      <c r="J2244" s="36"/>
      <c r="K2244" s="36" t="s">
        <v>14330</v>
      </c>
      <c r="L2244" s="36" t="s">
        <v>14330</v>
      </c>
      <c r="M2244">
        <v>2</v>
      </c>
      <c r="N2244" t="s">
        <v>14331</v>
      </c>
      <c r="O2244" t="s">
        <v>32633</v>
      </c>
    </row>
    <row r="2245" spans="1:15" x14ac:dyDescent="0.25">
      <c r="A2245" s="35" t="s">
        <v>7328</v>
      </c>
      <c r="B2245" s="36" t="s">
        <v>7329</v>
      </c>
      <c r="C2245" s="36" t="str">
        <f>HYPERLINK("https://rhld.insurance.arkansas.gov/NPILookup?Npi=1043028939","1043028939")</f>
        <v>1043028939</v>
      </c>
      <c r="D2245" s="36" t="s">
        <v>34896</v>
      </c>
      <c r="E2245" s="36" t="s">
        <v>2</v>
      </c>
      <c r="F2245" s="36">
        <v>1</v>
      </c>
      <c r="G2245" s="36">
        <v>2</v>
      </c>
      <c r="H2245" s="36">
        <v>0</v>
      </c>
      <c r="I2245" s="37">
        <v>0</v>
      </c>
      <c r="J2245" s="36"/>
      <c r="K2245" s="36" t="s">
        <v>14330</v>
      </c>
      <c r="L2245" s="36" t="s">
        <v>14330</v>
      </c>
      <c r="M2245">
        <v>1</v>
      </c>
      <c r="N2245" t="s">
        <v>14331</v>
      </c>
      <c r="O2245" t="s">
        <v>14333</v>
      </c>
    </row>
    <row r="2246" spans="1:15" x14ac:dyDescent="0.25">
      <c r="A2246" s="35" t="s">
        <v>7328</v>
      </c>
      <c r="B2246" s="36" t="s">
        <v>7329</v>
      </c>
      <c r="C2246" s="36" t="str">
        <f>HYPERLINK("https://rhld.insurance.arkansas.gov/NPILookup?Npi=1043048200","1043048200")</f>
        <v>1043048200</v>
      </c>
      <c r="D2246" s="36" t="s">
        <v>34897</v>
      </c>
      <c r="E2246" s="36" t="s">
        <v>2</v>
      </c>
      <c r="F2246" s="36">
        <v>1</v>
      </c>
      <c r="G2246" s="36">
        <v>1</v>
      </c>
      <c r="H2246" s="36">
        <v>0</v>
      </c>
      <c r="I2246" s="37">
        <v>0</v>
      </c>
      <c r="J2246" s="36"/>
      <c r="K2246" s="36" t="s">
        <v>14330</v>
      </c>
      <c r="L2246" s="36" t="s">
        <v>14330</v>
      </c>
      <c r="M2246">
        <v>3</v>
      </c>
      <c r="N2246" t="s">
        <v>14331</v>
      </c>
      <c r="O2246" t="s">
        <v>32633</v>
      </c>
    </row>
    <row r="2247" spans="1:15" x14ac:dyDescent="0.25">
      <c r="A2247" s="35" t="s">
        <v>7328</v>
      </c>
      <c r="B2247" s="36" t="s">
        <v>7329</v>
      </c>
      <c r="C2247" s="36" t="str">
        <f>HYPERLINK("https://rhld.insurance.arkansas.gov/NPILookup?Npi=1043214323","1043214323")</f>
        <v>1043214323</v>
      </c>
      <c r="D2247" s="36" t="s">
        <v>34898</v>
      </c>
      <c r="E2247" s="36" t="s">
        <v>1</v>
      </c>
      <c r="F2247" s="36">
        <v>1</v>
      </c>
      <c r="G2247" s="36">
        <v>3</v>
      </c>
      <c r="H2247" s="36">
        <v>0</v>
      </c>
      <c r="I2247" s="37">
        <v>0</v>
      </c>
      <c r="J2247" s="36" t="s">
        <v>32654</v>
      </c>
      <c r="K2247" s="36" t="s">
        <v>14330</v>
      </c>
      <c r="L2247" s="36" t="s">
        <v>14330</v>
      </c>
      <c r="M2247">
        <v>3</v>
      </c>
      <c r="N2247" t="s">
        <v>14331</v>
      </c>
      <c r="O2247" t="s">
        <v>32633</v>
      </c>
    </row>
    <row r="2248" spans="1:15" x14ac:dyDescent="0.25">
      <c r="A2248" s="35" t="s">
        <v>7328</v>
      </c>
      <c r="B2248" s="36" t="s">
        <v>7329</v>
      </c>
      <c r="C2248" s="36" t="str">
        <f>HYPERLINK("https://rhld.insurance.arkansas.gov/NPILookup?Npi=1043352057","1043352057")</f>
        <v>1043352057</v>
      </c>
      <c r="D2248" s="36" t="s">
        <v>34899</v>
      </c>
      <c r="E2248" s="36" t="s">
        <v>1</v>
      </c>
      <c r="F2248" s="36">
        <v>1</v>
      </c>
      <c r="G2248" s="36">
        <v>3</v>
      </c>
      <c r="H2248" s="36">
        <v>0</v>
      </c>
      <c r="I2248" s="37">
        <v>0</v>
      </c>
      <c r="J2248" s="36" t="s">
        <v>34836</v>
      </c>
      <c r="K2248" s="36" t="s">
        <v>14330</v>
      </c>
      <c r="L2248" s="36" t="s">
        <v>14330</v>
      </c>
      <c r="M2248">
        <v>2</v>
      </c>
      <c r="N2248" t="s">
        <v>14331</v>
      </c>
      <c r="O2248" t="s">
        <v>32633</v>
      </c>
    </row>
    <row r="2249" spans="1:15" x14ac:dyDescent="0.25">
      <c r="A2249" s="35" t="s">
        <v>7328</v>
      </c>
      <c r="B2249" s="36" t="s">
        <v>7329</v>
      </c>
      <c r="C2249" s="36" t="str">
        <f>HYPERLINK("https://rhld.insurance.arkansas.gov/NPILookup?Npi=1043434202","1043434202")</f>
        <v>1043434202</v>
      </c>
      <c r="D2249" s="36" t="s">
        <v>34900</v>
      </c>
      <c r="E2249" s="36" t="s">
        <v>1</v>
      </c>
      <c r="F2249" s="36">
        <v>1</v>
      </c>
      <c r="G2249" s="36">
        <v>2</v>
      </c>
      <c r="H2249" s="36">
        <v>0</v>
      </c>
      <c r="I2249" s="37">
        <v>0</v>
      </c>
      <c r="J2249" s="36" t="s">
        <v>34836</v>
      </c>
      <c r="K2249" s="36" t="s">
        <v>14330</v>
      </c>
      <c r="L2249" s="36" t="s">
        <v>14330</v>
      </c>
      <c r="M2249">
        <v>3</v>
      </c>
      <c r="N2249" t="s">
        <v>14331</v>
      </c>
      <c r="O2249" t="s">
        <v>32633</v>
      </c>
    </row>
    <row r="2250" spans="1:15" x14ac:dyDescent="0.25">
      <c r="A2250" s="35" t="s">
        <v>7328</v>
      </c>
      <c r="B2250" s="36" t="s">
        <v>7329</v>
      </c>
      <c r="C2250" s="36" t="str">
        <f>HYPERLINK("https://rhld.insurance.arkansas.gov/NPILookup?Npi=1043517923","1043517923")</f>
        <v>1043517923</v>
      </c>
      <c r="D2250" s="36" t="s">
        <v>34901</v>
      </c>
      <c r="E2250" s="36" t="s">
        <v>1</v>
      </c>
      <c r="F2250" s="36">
        <v>1</v>
      </c>
      <c r="G2250" s="36">
        <v>3</v>
      </c>
      <c r="H2250" s="36">
        <v>0</v>
      </c>
      <c r="I2250" s="37">
        <v>0</v>
      </c>
      <c r="J2250" s="36" t="s">
        <v>32654</v>
      </c>
      <c r="K2250" s="36" t="s">
        <v>14330</v>
      </c>
      <c r="L2250" s="36" t="s">
        <v>14330</v>
      </c>
      <c r="M2250">
        <v>2</v>
      </c>
      <c r="N2250" t="s">
        <v>14331</v>
      </c>
      <c r="O2250" t="s">
        <v>32633</v>
      </c>
    </row>
    <row r="2251" spans="1:15" x14ac:dyDescent="0.25">
      <c r="A2251" s="35" t="s">
        <v>7328</v>
      </c>
      <c r="B2251" s="36" t="s">
        <v>7329</v>
      </c>
      <c r="C2251" s="36" t="str">
        <f>HYPERLINK("https://rhld.insurance.arkansas.gov/NPILookup?Npi=1043521974","1043521974")</f>
        <v>1043521974</v>
      </c>
      <c r="D2251" s="36" t="s">
        <v>34902</v>
      </c>
      <c r="E2251" s="36" t="s">
        <v>1</v>
      </c>
      <c r="F2251" s="36">
        <v>1</v>
      </c>
      <c r="G2251" s="36">
        <v>2</v>
      </c>
      <c r="H2251" s="36">
        <v>0</v>
      </c>
      <c r="I2251" s="37">
        <v>0</v>
      </c>
      <c r="J2251" s="36" t="s">
        <v>34836</v>
      </c>
      <c r="K2251" s="36" t="s">
        <v>14330</v>
      </c>
      <c r="L2251" s="36" t="s">
        <v>14330</v>
      </c>
      <c r="M2251">
        <v>2</v>
      </c>
      <c r="N2251" t="s">
        <v>14331</v>
      </c>
      <c r="O2251" t="s">
        <v>32633</v>
      </c>
    </row>
    <row r="2252" spans="1:15" x14ac:dyDescent="0.25">
      <c r="A2252" s="35" t="s">
        <v>7328</v>
      </c>
      <c r="B2252" s="36" t="s">
        <v>7329</v>
      </c>
      <c r="C2252" s="36" t="str">
        <f>HYPERLINK("https://rhld.insurance.arkansas.gov/NPILookup?Npi=1043563398","1043563398")</f>
        <v>1043563398</v>
      </c>
      <c r="D2252" s="36" t="s">
        <v>34903</v>
      </c>
      <c r="E2252" s="36" t="s">
        <v>1</v>
      </c>
      <c r="F2252" s="36">
        <v>1</v>
      </c>
      <c r="G2252" s="36">
        <v>2</v>
      </c>
      <c r="H2252" s="36">
        <v>0</v>
      </c>
      <c r="I2252" s="37">
        <v>0</v>
      </c>
      <c r="J2252" s="36" t="s">
        <v>34836</v>
      </c>
      <c r="K2252" s="36" t="s">
        <v>14330</v>
      </c>
      <c r="L2252" s="36" t="s">
        <v>14330</v>
      </c>
      <c r="M2252">
        <v>2</v>
      </c>
      <c r="N2252" t="s">
        <v>14331</v>
      </c>
      <c r="O2252" t="s">
        <v>32633</v>
      </c>
    </row>
    <row r="2253" spans="1:15" x14ac:dyDescent="0.25">
      <c r="A2253" s="35" t="s">
        <v>7328</v>
      </c>
      <c r="B2253" s="36" t="s">
        <v>7329</v>
      </c>
      <c r="C2253" s="36" t="str">
        <f>HYPERLINK("https://rhld.insurance.arkansas.gov/NPILookup?Npi=1043604804","1043604804")</f>
        <v>1043604804</v>
      </c>
      <c r="D2253" s="36" t="s">
        <v>34904</v>
      </c>
      <c r="E2253" s="36" t="s">
        <v>2</v>
      </c>
      <c r="F2253" s="36">
        <v>1</v>
      </c>
      <c r="G2253" s="36">
        <v>2</v>
      </c>
      <c r="H2253" s="36">
        <v>0</v>
      </c>
      <c r="I2253" s="37">
        <v>0</v>
      </c>
      <c r="J2253" s="36"/>
      <c r="K2253" s="36" t="s">
        <v>14330</v>
      </c>
      <c r="L2253" s="36" t="s">
        <v>14330</v>
      </c>
      <c r="M2253">
        <v>2</v>
      </c>
      <c r="N2253" t="s">
        <v>14331</v>
      </c>
      <c r="O2253" t="s">
        <v>14333</v>
      </c>
    </row>
    <row r="2254" spans="1:15" x14ac:dyDescent="0.25">
      <c r="A2254" s="35" t="s">
        <v>7328</v>
      </c>
      <c r="B2254" s="36" t="s">
        <v>7329</v>
      </c>
      <c r="C2254" s="36" t="str">
        <f>HYPERLINK("https://rhld.insurance.arkansas.gov/NPILookup?Npi=1043648843","1043648843")</f>
        <v>1043648843</v>
      </c>
      <c r="D2254" s="36" t="s">
        <v>34905</v>
      </c>
      <c r="E2254" s="36" t="s">
        <v>1</v>
      </c>
      <c r="F2254" s="36">
        <v>1</v>
      </c>
      <c r="G2254" s="36">
        <v>2</v>
      </c>
      <c r="H2254" s="36">
        <v>0</v>
      </c>
      <c r="I2254" s="37">
        <v>0</v>
      </c>
      <c r="J2254" s="36" t="s">
        <v>32654</v>
      </c>
      <c r="K2254" s="36" t="s">
        <v>14330</v>
      </c>
      <c r="L2254" s="36" t="s">
        <v>14330</v>
      </c>
      <c r="M2254">
        <v>2</v>
      </c>
      <c r="N2254" t="s">
        <v>14331</v>
      </c>
      <c r="O2254" t="s">
        <v>32633</v>
      </c>
    </row>
    <row r="2255" spans="1:15" x14ac:dyDescent="0.25">
      <c r="A2255" s="35" t="s">
        <v>7328</v>
      </c>
      <c r="B2255" s="36" t="s">
        <v>7329</v>
      </c>
      <c r="C2255" s="36" t="str">
        <f>HYPERLINK("https://rhld.insurance.arkansas.gov/NPILookup?Npi=1043671571","1043671571")</f>
        <v>1043671571</v>
      </c>
      <c r="D2255" s="36" t="s">
        <v>34906</v>
      </c>
      <c r="E2255" s="36" t="s">
        <v>1</v>
      </c>
      <c r="F2255" s="36">
        <v>1</v>
      </c>
      <c r="G2255" s="36">
        <v>2</v>
      </c>
      <c r="H2255" s="36">
        <v>0</v>
      </c>
      <c r="I2255" s="37">
        <v>0</v>
      </c>
      <c r="J2255" s="36" t="s">
        <v>34836</v>
      </c>
      <c r="K2255" s="36" t="s">
        <v>14330</v>
      </c>
      <c r="L2255" s="36" t="s">
        <v>14330</v>
      </c>
      <c r="M2255">
        <v>3</v>
      </c>
      <c r="N2255" t="s">
        <v>14331</v>
      </c>
      <c r="O2255" t="s">
        <v>32633</v>
      </c>
    </row>
    <row r="2256" spans="1:15" x14ac:dyDescent="0.25">
      <c r="A2256" s="35" t="s">
        <v>7328</v>
      </c>
      <c r="B2256" s="36" t="s">
        <v>7329</v>
      </c>
      <c r="C2256" s="36" t="str">
        <f>HYPERLINK("https://rhld.insurance.arkansas.gov/NPILookup?Npi=1043694490","1043694490")</f>
        <v>1043694490</v>
      </c>
      <c r="D2256" s="36" t="s">
        <v>34907</v>
      </c>
      <c r="E2256" s="36" t="s">
        <v>1</v>
      </c>
      <c r="F2256" s="36">
        <v>1</v>
      </c>
      <c r="G2256" s="36">
        <v>3</v>
      </c>
      <c r="H2256" s="36">
        <v>0</v>
      </c>
      <c r="I2256" s="37">
        <v>0</v>
      </c>
      <c r="J2256" s="36" t="s">
        <v>34836</v>
      </c>
      <c r="K2256" s="36" t="s">
        <v>14330</v>
      </c>
      <c r="L2256" s="36" t="s">
        <v>14330</v>
      </c>
      <c r="M2256">
        <v>3</v>
      </c>
      <c r="N2256" t="s">
        <v>14331</v>
      </c>
      <c r="O2256" t="s">
        <v>32633</v>
      </c>
    </row>
    <row r="2257" spans="1:15" x14ac:dyDescent="0.25">
      <c r="A2257" s="35" t="s">
        <v>7328</v>
      </c>
      <c r="B2257" s="36" t="s">
        <v>7329</v>
      </c>
      <c r="C2257" s="36" t="str">
        <f>HYPERLINK("https://rhld.insurance.arkansas.gov/NPILookup?Npi=1043740368","1043740368")</f>
        <v>1043740368</v>
      </c>
      <c r="D2257" s="36" t="s">
        <v>33478</v>
      </c>
      <c r="E2257" s="36" t="s">
        <v>1</v>
      </c>
      <c r="F2257" s="36">
        <v>1</v>
      </c>
      <c r="G2257" s="36">
        <v>3</v>
      </c>
      <c r="H2257" s="36">
        <v>0</v>
      </c>
      <c r="I2257" s="37">
        <v>0</v>
      </c>
      <c r="J2257" s="36" t="s">
        <v>34836</v>
      </c>
      <c r="K2257" s="36" t="s">
        <v>14330</v>
      </c>
      <c r="L2257" s="36" t="s">
        <v>14330</v>
      </c>
      <c r="M2257">
        <v>3</v>
      </c>
      <c r="N2257" t="s">
        <v>14331</v>
      </c>
      <c r="O2257" t="s">
        <v>32633</v>
      </c>
    </row>
    <row r="2258" spans="1:15" x14ac:dyDescent="0.25">
      <c r="A2258" s="35" t="s">
        <v>7328</v>
      </c>
      <c r="B2258" s="36" t="s">
        <v>7329</v>
      </c>
      <c r="C2258" s="36" t="str">
        <f>HYPERLINK("https://rhld.insurance.arkansas.gov/NPILookup?Npi=1043773237","1043773237")</f>
        <v>1043773237</v>
      </c>
      <c r="D2258" s="36" t="s">
        <v>34908</v>
      </c>
      <c r="E2258" s="36" t="s">
        <v>1</v>
      </c>
      <c r="F2258" s="36">
        <v>1</v>
      </c>
      <c r="G2258" s="36">
        <v>3</v>
      </c>
      <c r="H2258" s="36">
        <v>0</v>
      </c>
      <c r="I2258" s="37">
        <v>0</v>
      </c>
      <c r="J2258" s="36" t="s">
        <v>32654</v>
      </c>
      <c r="K2258" s="36" t="s">
        <v>14330</v>
      </c>
      <c r="L2258" s="36" t="s">
        <v>14330</v>
      </c>
      <c r="M2258">
        <v>3</v>
      </c>
      <c r="N2258" t="s">
        <v>14331</v>
      </c>
      <c r="O2258" t="s">
        <v>32633</v>
      </c>
    </row>
    <row r="2259" spans="1:15" x14ac:dyDescent="0.25">
      <c r="A2259" s="35" t="s">
        <v>7328</v>
      </c>
      <c r="B2259" s="36" t="s">
        <v>7329</v>
      </c>
      <c r="C2259" s="36" t="str">
        <f>HYPERLINK("https://rhld.insurance.arkansas.gov/NPILookup?Npi=1043795958","1043795958")</f>
        <v>1043795958</v>
      </c>
      <c r="D2259" s="36" t="s">
        <v>34909</v>
      </c>
      <c r="E2259" s="36" t="s">
        <v>1</v>
      </c>
      <c r="F2259" s="36">
        <v>1</v>
      </c>
      <c r="G2259" s="36">
        <v>3</v>
      </c>
      <c r="H2259" s="36">
        <v>0</v>
      </c>
      <c r="I2259" s="37">
        <v>0</v>
      </c>
      <c r="J2259" s="36" t="s">
        <v>32654</v>
      </c>
      <c r="K2259" s="36" t="s">
        <v>14330</v>
      </c>
      <c r="L2259" s="36" t="s">
        <v>14330</v>
      </c>
      <c r="M2259">
        <v>2</v>
      </c>
      <c r="N2259" t="s">
        <v>14331</v>
      </c>
      <c r="O2259" t="s">
        <v>32633</v>
      </c>
    </row>
    <row r="2260" spans="1:15" x14ac:dyDescent="0.25">
      <c r="A2260" s="35" t="s">
        <v>7328</v>
      </c>
      <c r="B2260" s="36" t="s">
        <v>7329</v>
      </c>
      <c r="C2260" s="36" t="str">
        <f>HYPERLINK("https://rhld.insurance.arkansas.gov/NPILookup?Npi=1043885098","1043885098")</f>
        <v>1043885098</v>
      </c>
      <c r="D2260" s="36" t="s">
        <v>34910</v>
      </c>
      <c r="E2260" s="36" t="s">
        <v>2</v>
      </c>
      <c r="F2260" s="36">
        <v>2</v>
      </c>
      <c r="G2260" s="36">
        <v>2</v>
      </c>
      <c r="H2260" s="36">
        <v>0</v>
      </c>
      <c r="I2260" s="37">
        <v>0</v>
      </c>
      <c r="J2260" s="36" t="s">
        <v>33004</v>
      </c>
      <c r="K2260" s="36" t="s">
        <v>14330</v>
      </c>
      <c r="L2260" s="36" t="s">
        <v>14330</v>
      </c>
      <c r="M2260">
        <v>2</v>
      </c>
      <c r="N2260" t="s">
        <v>14331</v>
      </c>
      <c r="O2260" t="s">
        <v>14333</v>
      </c>
    </row>
    <row r="2261" spans="1:15" x14ac:dyDescent="0.25">
      <c r="A2261" s="35" t="s">
        <v>7328</v>
      </c>
      <c r="B2261" s="36" t="s">
        <v>7329</v>
      </c>
      <c r="C2261" s="36" t="str">
        <f>HYPERLINK("https://rhld.insurance.arkansas.gov/NPILookup?Npi=1043978422","1043978422")</f>
        <v>1043978422</v>
      </c>
      <c r="D2261" s="36" t="s">
        <v>34911</v>
      </c>
      <c r="E2261" s="36" t="s">
        <v>1</v>
      </c>
      <c r="F2261" s="36">
        <v>1</v>
      </c>
      <c r="G2261" s="36">
        <v>2</v>
      </c>
      <c r="H2261" s="36">
        <v>0</v>
      </c>
      <c r="I2261" s="37">
        <v>0</v>
      </c>
      <c r="J2261" s="36" t="s">
        <v>32654</v>
      </c>
      <c r="K2261" s="36" t="s">
        <v>14330</v>
      </c>
      <c r="L2261" s="36" t="s">
        <v>14330</v>
      </c>
      <c r="M2261">
        <v>2</v>
      </c>
      <c r="N2261" t="s">
        <v>14331</v>
      </c>
      <c r="O2261" t="s">
        <v>32633</v>
      </c>
    </row>
    <row r="2262" spans="1:15" x14ac:dyDescent="0.25">
      <c r="A2262" s="35" t="s">
        <v>7328</v>
      </c>
      <c r="B2262" s="36" t="s">
        <v>7329</v>
      </c>
      <c r="C2262" s="36" t="str">
        <f>HYPERLINK("https://rhld.insurance.arkansas.gov/NPILookup?Npi=1053094532","1053094532")</f>
        <v>1053094532</v>
      </c>
      <c r="D2262" s="36" t="s">
        <v>34912</v>
      </c>
      <c r="E2262" s="36" t="s">
        <v>2</v>
      </c>
      <c r="F2262" s="36">
        <v>2</v>
      </c>
      <c r="G2262" s="36">
        <v>2</v>
      </c>
      <c r="H2262" s="36">
        <v>0</v>
      </c>
      <c r="I2262" s="37">
        <v>0</v>
      </c>
      <c r="J2262" s="36" t="s">
        <v>33004</v>
      </c>
      <c r="K2262" s="36" t="s">
        <v>14330</v>
      </c>
      <c r="L2262" s="36" t="s">
        <v>14330</v>
      </c>
      <c r="M2262">
        <v>2</v>
      </c>
      <c r="N2262" t="s">
        <v>14331</v>
      </c>
      <c r="O2262" t="s">
        <v>14333</v>
      </c>
    </row>
    <row r="2263" spans="1:15" x14ac:dyDescent="0.25">
      <c r="A2263" s="35" t="s">
        <v>7328</v>
      </c>
      <c r="B2263" s="36" t="s">
        <v>7329</v>
      </c>
      <c r="C2263" s="36" t="str">
        <f>HYPERLINK("https://rhld.insurance.arkansas.gov/NPILookup?Npi=1053120329","1053120329")</f>
        <v>1053120329</v>
      </c>
      <c r="D2263" s="36" t="s">
        <v>34913</v>
      </c>
      <c r="E2263" s="36" t="s">
        <v>2</v>
      </c>
      <c r="F2263" s="36">
        <v>2</v>
      </c>
      <c r="G2263" s="36">
        <v>2</v>
      </c>
      <c r="H2263" s="36">
        <v>0</v>
      </c>
      <c r="I2263" s="37">
        <v>0</v>
      </c>
      <c r="J2263" s="36" t="s">
        <v>33004</v>
      </c>
      <c r="K2263" s="36" t="s">
        <v>14330</v>
      </c>
      <c r="L2263" s="36" t="s">
        <v>14330</v>
      </c>
      <c r="M2263">
        <v>3</v>
      </c>
      <c r="N2263" t="s">
        <v>14331</v>
      </c>
      <c r="O2263" t="s">
        <v>14333</v>
      </c>
    </row>
    <row r="2264" spans="1:15" x14ac:dyDescent="0.25">
      <c r="A2264" s="35" t="s">
        <v>7328</v>
      </c>
      <c r="B2264" s="36" t="s">
        <v>7329</v>
      </c>
      <c r="C2264" s="36" t="str">
        <f>HYPERLINK("https://rhld.insurance.arkansas.gov/NPILookup?Npi=1053303750","1053303750")</f>
        <v>1053303750</v>
      </c>
      <c r="D2264" s="36" t="s">
        <v>34914</v>
      </c>
      <c r="E2264" s="36" t="s">
        <v>1</v>
      </c>
      <c r="F2264" s="36">
        <v>1</v>
      </c>
      <c r="G2264" s="36">
        <v>3</v>
      </c>
      <c r="H2264" s="36">
        <v>0</v>
      </c>
      <c r="I2264" s="37">
        <v>0</v>
      </c>
      <c r="J2264" s="36" t="s">
        <v>34836</v>
      </c>
      <c r="K2264" s="36" t="s">
        <v>14330</v>
      </c>
      <c r="L2264" s="36" t="s">
        <v>14330</v>
      </c>
      <c r="M2264">
        <v>2</v>
      </c>
      <c r="N2264" t="s">
        <v>14331</v>
      </c>
      <c r="O2264" t="s">
        <v>32633</v>
      </c>
    </row>
    <row r="2265" spans="1:15" x14ac:dyDescent="0.25">
      <c r="A2265" s="35" t="s">
        <v>7328</v>
      </c>
      <c r="B2265" s="36" t="s">
        <v>7329</v>
      </c>
      <c r="C2265" s="36" t="str">
        <f>HYPERLINK("https://rhld.insurance.arkansas.gov/NPILookup?Npi=1053328955","1053328955")</f>
        <v>1053328955</v>
      </c>
      <c r="D2265" s="36" t="s">
        <v>34915</v>
      </c>
      <c r="E2265" s="36" t="s">
        <v>1</v>
      </c>
      <c r="F2265" s="36">
        <v>1</v>
      </c>
      <c r="G2265" s="36">
        <v>2</v>
      </c>
      <c r="H2265" s="36">
        <v>0</v>
      </c>
      <c r="I2265" s="37">
        <v>0</v>
      </c>
      <c r="J2265" s="36" t="s">
        <v>32654</v>
      </c>
      <c r="K2265" s="36" t="s">
        <v>14330</v>
      </c>
      <c r="L2265" s="36" t="s">
        <v>14330</v>
      </c>
      <c r="M2265">
        <v>3</v>
      </c>
      <c r="N2265" t="s">
        <v>14331</v>
      </c>
      <c r="O2265" t="s">
        <v>32633</v>
      </c>
    </row>
    <row r="2266" spans="1:15" x14ac:dyDescent="0.25">
      <c r="A2266" s="35" t="s">
        <v>7328</v>
      </c>
      <c r="B2266" s="36" t="s">
        <v>7329</v>
      </c>
      <c r="C2266" s="36" t="str">
        <f>HYPERLINK("https://rhld.insurance.arkansas.gov/NPILookup?Npi=1053359877","1053359877")</f>
        <v>1053359877</v>
      </c>
      <c r="D2266" s="36" t="s">
        <v>34916</v>
      </c>
      <c r="E2266" s="36" t="s">
        <v>1</v>
      </c>
      <c r="F2266" s="36">
        <v>1</v>
      </c>
      <c r="G2266" s="36">
        <v>3</v>
      </c>
      <c r="H2266" s="36">
        <v>0</v>
      </c>
      <c r="I2266" s="37">
        <v>0</v>
      </c>
      <c r="J2266" s="36" t="s">
        <v>32654</v>
      </c>
      <c r="K2266" s="36" t="s">
        <v>14330</v>
      </c>
      <c r="L2266" s="36" t="s">
        <v>14330</v>
      </c>
      <c r="M2266">
        <v>3</v>
      </c>
      <c r="N2266" t="s">
        <v>14331</v>
      </c>
      <c r="O2266" t="s">
        <v>32633</v>
      </c>
    </row>
    <row r="2267" spans="1:15" x14ac:dyDescent="0.25">
      <c r="A2267" s="35" t="s">
        <v>7328</v>
      </c>
      <c r="B2267" s="36" t="s">
        <v>7329</v>
      </c>
      <c r="C2267" s="36" t="str">
        <f>HYPERLINK("https://rhld.insurance.arkansas.gov/NPILookup?Npi=1053423350","1053423350")</f>
        <v>1053423350</v>
      </c>
      <c r="D2267" s="36" t="s">
        <v>34917</v>
      </c>
      <c r="E2267" s="36" t="s">
        <v>1</v>
      </c>
      <c r="F2267" s="36">
        <v>1</v>
      </c>
      <c r="G2267" s="36">
        <v>3</v>
      </c>
      <c r="H2267" s="36">
        <v>0</v>
      </c>
      <c r="I2267" s="37">
        <v>0</v>
      </c>
      <c r="J2267" s="36" t="s">
        <v>34836</v>
      </c>
      <c r="K2267" s="36" t="s">
        <v>14330</v>
      </c>
      <c r="L2267" s="36" t="s">
        <v>14330</v>
      </c>
      <c r="M2267">
        <v>2</v>
      </c>
      <c r="N2267" t="s">
        <v>14331</v>
      </c>
      <c r="O2267" t="s">
        <v>32633</v>
      </c>
    </row>
    <row r="2268" spans="1:15" x14ac:dyDescent="0.25">
      <c r="A2268" s="35" t="s">
        <v>7328</v>
      </c>
      <c r="B2268" s="36" t="s">
        <v>7329</v>
      </c>
      <c r="C2268" s="36" t="str">
        <f>HYPERLINK("https://rhld.insurance.arkansas.gov/NPILookup?Npi=1053514455","1053514455")</f>
        <v>1053514455</v>
      </c>
      <c r="D2268" s="36" t="s">
        <v>34918</v>
      </c>
      <c r="E2268" s="36" t="s">
        <v>1</v>
      </c>
      <c r="F2268" s="36">
        <v>1</v>
      </c>
      <c r="G2268" s="36">
        <v>2</v>
      </c>
      <c r="H2268" s="36">
        <v>0</v>
      </c>
      <c r="I2268" s="37">
        <v>0</v>
      </c>
      <c r="J2268" s="36" t="s">
        <v>34836</v>
      </c>
      <c r="K2268" s="36" t="s">
        <v>14330</v>
      </c>
      <c r="L2268" s="36" t="s">
        <v>14330</v>
      </c>
      <c r="M2268">
        <v>3</v>
      </c>
      <c r="N2268" t="s">
        <v>14331</v>
      </c>
      <c r="O2268" t="s">
        <v>32633</v>
      </c>
    </row>
    <row r="2269" spans="1:15" x14ac:dyDescent="0.25">
      <c r="A2269" s="35" t="s">
        <v>7328</v>
      </c>
      <c r="B2269" s="36" t="s">
        <v>7329</v>
      </c>
      <c r="C2269" s="36" t="str">
        <f>HYPERLINK("https://rhld.insurance.arkansas.gov/NPILookup?Npi=1053529321","1053529321")</f>
        <v>1053529321</v>
      </c>
      <c r="D2269" s="36" t="s">
        <v>34919</v>
      </c>
      <c r="E2269" s="36" t="s">
        <v>1</v>
      </c>
      <c r="F2269" s="36">
        <v>1</v>
      </c>
      <c r="G2269" s="36">
        <v>3</v>
      </c>
      <c r="H2269" s="36">
        <v>0</v>
      </c>
      <c r="I2269" s="37">
        <v>0</v>
      </c>
      <c r="J2269" s="36" t="s">
        <v>34836</v>
      </c>
      <c r="K2269" s="36" t="s">
        <v>14330</v>
      </c>
      <c r="L2269" s="36" t="s">
        <v>14330</v>
      </c>
      <c r="M2269">
        <v>3</v>
      </c>
      <c r="N2269" t="s">
        <v>14331</v>
      </c>
      <c r="O2269" t="s">
        <v>32633</v>
      </c>
    </row>
    <row r="2270" spans="1:15" x14ac:dyDescent="0.25">
      <c r="A2270" s="35" t="s">
        <v>7328</v>
      </c>
      <c r="B2270" s="36" t="s">
        <v>7329</v>
      </c>
      <c r="C2270" s="36" t="str">
        <f>HYPERLINK("https://rhld.insurance.arkansas.gov/NPILookup?Npi=1053553495","1053553495")</f>
        <v>1053553495</v>
      </c>
      <c r="D2270" s="36" t="s">
        <v>34920</v>
      </c>
      <c r="E2270" s="36" t="s">
        <v>1</v>
      </c>
      <c r="F2270" s="36">
        <v>1</v>
      </c>
      <c r="G2270" s="36">
        <v>3</v>
      </c>
      <c r="H2270" s="36">
        <v>0</v>
      </c>
      <c r="I2270" s="37">
        <v>0</v>
      </c>
      <c r="J2270" s="36" t="s">
        <v>32654</v>
      </c>
      <c r="K2270" s="36" t="s">
        <v>14330</v>
      </c>
      <c r="L2270" s="36" t="s">
        <v>14330</v>
      </c>
      <c r="M2270">
        <v>3</v>
      </c>
      <c r="N2270" t="s">
        <v>14331</v>
      </c>
      <c r="O2270" t="s">
        <v>32633</v>
      </c>
    </row>
    <row r="2271" spans="1:15" x14ac:dyDescent="0.25">
      <c r="A2271" s="35" t="s">
        <v>7328</v>
      </c>
      <c r="B2271" s="36" t="s">
        <v>7329</v>
      </c>
      <c r="C2271" s="36" t="str">
        <f>HYPERLINK("https://rhld.insurance.arkansas.gov/NPILookup?Npi=1053575597","1053575597")</f>
        <v>1053575597</v>
      </c>
      <c r="D2271" s="36" t="s">
        <v>34921</v>
      </c>
      <c r="E2271" s="36" t="s">
        <v>1</v>
      </c>
      <c r="F2271" s="36">
        <v>1</v>
      </c>
      <c r="G2271" s="36">
        <v>3</v>
      </c>
      <c r="H2271" s="36">
        <v>0</v>
      </c>
      <c r="I2271" s="37">
        <v>0</v>
      </c>
      <c r="J2271" s="36" t="s">
        <v>32723</v>
      </c>
      <c r="K2271" s="36" t="s">
        <v>14330</v>
      </c>
      <c r="L2271" s="36" t="s">
        <v>14330</v>
      </c>
      <c r="M2271">
        <v>2</v>
      </c>
      <c r="N2271" t="s">
        <v>14331</v>
      </c>
      <c r="O2271" t="s">
        <v>32724</v>
      </c>
    </row>
    <row r="2272" spans="1:15" x14ac:dyDescent="0.25">
      <c r="A2272" s="35" t="s">
        <v>7328</v>
      </c>
      <c r="B2272" s="36" t="s">
        <v>7329</v>
      </c>
      <c r="C2272" s="36" t="str">
        <f>HYPERLINK("https://rhld.insurance.arkansas.gov/NPILookup?Npi=1053653576","1053653576")</f>
        <v>1053653576</v>
      </c>
      <c r="D2272" s="36" t="s">
        <v>34922</v>
      </c>
      <c r="E2272" s="36" t="s">
        <v>1</v>
      </c>
      <c r="F2272" s="36">
        <v>1</v>
      </c>
      <c r="G2272" s="36">
        <v>2</v>
      </c>
      <c r="H2272" s="36">
        <v>0</v>
      </c>
      <c r="I2272" s="37">
        <v>0</v>
      </c>
      <c r="J2272" s="36" t="s">
        <v>34836</v>
      </c>
      <c r="K2272" s="36" t="s">
        <v>14330</v>
      </c>
      <c r="L2272" s="36" t="s">
        <v>14330</v>
      </c>
      <c r="M2272">
        <v>2</v>
      </c>
      <c r="N2272" t="s">
        <v>14331</v>
      </c>
      <c r="O2272" t="s">
        <v>32633</v>
      </c>
    </row>
    <row r="2273" spans="1:15" x14ac:dyDescent="0.25">
      <c r="A2273" s="35" t="s">
        <v>7328</v>
      </c>
      <c r="B2273" s="36" t="s">
        <v>7329</v>
      </c>
      <c r="C2273" s="36" t="str">
        <f>HYPERLINK("https://rhld.insurance.arkansas.gov/NPILookup?Npi=1053734657","1053734657")</f>
        <v>1053734657</v>
      </c>
      <c r="D2273" s="36" t="s">
        <v>34923</v>
      </c>
      <c r="E2273" s="36" t="s">
        <v>1</v>
      </c>
      <c r="F2273" s="36">
        <v>1</v>
      </c>
      <c r="G2273" s="36">
        <v>2</v>
      </c>
      <c r="H2273" s="36">
        <v>0</v>
      </c>
      <c r="I2273" s="37">
        <v>0</v>
      </c>
      <c r="J2273" s="36" t="s">
        <v>34836</v>
      </c>
      <c r="K2273" s="36" t="s">
        <v>14330</v>
      </c>
      <c r="L2273" s="36" t="s">
        <v>14330</v>
      </c>
      <c r="M2273">
        <v>2</v>
      </c>
      <c r="N2273" t="s">
        <v>14331</v>
      </c>
      <c r="O2273" t="s">
        <v>32633</v>
      </c>
    </row>
    <row r="2274" spans="1:15" x14ac:dyDescent="0.25">
      <c r="A2274" s="35" t="s">
        <v>7328</v>
      </c>
      <c r="B2274" s="36" t="s">
        <v>7329</v>
      </c>
      <c r="C2274" s="36" t="str">
        <f>HYPERLINK("https://rhld.insurance.arkansas.gov/NPILookup?Npi=1053761924","1053761924")</f>
        <v>1053761924</v>
      </c>
      <c r="D2274" s="36" t="s">
        <v>34924</v>
      </c>
      <c r="E2274" s="36" t="s">
        <v>1</v>
      </c>
      <c r="F2274" s="36">
        <v>1</v>
      </c>
      <c r="G2274" s="36">
        <v>2</v>
      </c>
      <c r="H2274" s="36">
        <v>0</v>
      </c>
      <c r="I2274" s="37">
        <v>0</v>
      </c>
      <c r="J2274" s="36" t="s">
        <v>34316</v>
      </c>
      <c r="K2274" s="36" t="s">
        <v>14330</v>
      </c>
      <c r="L2274" s="36" t="s">
        <v>14330</v>
      </c>
      <c r="M2274">
        <v>2</v>
      </c>
      <c r="N2274" t="s">
        <v>14331</v>
      </c>
      <c r="O2274" t="s">
        <v>32633</v>
      </c>
    </row>
    <row r="2275" spans="1:15" x14ac:dyDescent="0.25">
      <c r="A2275" s="35" t="s">
        <v>7328</v>
      </c>
      <c r="B2275" s="36" t="s">
        <v>7329</v>
      </c>
      <c r="C2275" s="36" t="str">
        <f>HYPERLINK("https://rhld.insurance.arkansas.gov/NPILookup?Npi=1053836510","1053836510")</f>
        <v>1053836510</v>
      </c>
      <c r="D2275" s="36" t="s">
        <v>34925</v>
      </c>
      <c r="E2275" s="36" t="s">
        <v>1</v>
      </c>
      <c r="F2275" s="36">
        <v>1</v>
      </c>
      <c r="G2275" s="36">
        <v>2</v>
      </c>
      <c r="H2275" s="36">
        <v>0</v>
      </c>
      <c r="I2275" s="37">
        <v>0</v>
      </c>
      <c r="J2275" s="36" t="s">
        <v>34836</v>
      </c>
      <c r="K2275" s="36" t="s">
        <v>14330</v>
      </c>
      <c r="L2275" s="36" t="s">
        <v>14330</v>
      </c>
      <c r="M2275">
        <v>2</v>
      </c>
      <c r="N2275" t="s">
        <v>14331</v>
      </c>
      <c r="O2275" t="s">
        <v>32633</v>
      </c>
    </row>
    <row r="2276" spans="1:15" x14ac:dyDescent="0.25">
      <c r="A2276" s="35" t="s">
        <v>7328</v>
      </c>
      <c r="B2276" s="36" t="s">
        <v>7329</v>
      </c>
      <c r="C2276" s="36" t="str">
        <f>HYPERLINK("https://rhld.insurance.arkansas.gov/NPILookup?Npi=1053842435","1053842435")</f>
        <v>1053842435</v>
      </c>
      <c r="D2276" s="36" t="s">
        <v>34926</v>
      </c>
      <c r="E2276" s="36" t="s">
        <v>1</v>
      </c>
      <c r="F2276" s="36">
        <v>1</v>
      </c>
      <c r="G2276" s="36">
        <v>2</v>
      </c>
      <c r="H2276" s="36">
        <v>0</v>
      </c>
      <c r="I2276" s="37">
        <v>0</v>
      </c>
      <c r="J2276" s="36" t="s">
        <v>34836</v>
      </c>
      <c r="K2276" s="36" t="s">
        <v>14330</v>
      </c>
      <c r="L2276" s="36" t="s">
        <v>14330</v>
      </c>
      <c r="M2276">
        <v>3</v>
      </c>
      <c r="N2276" t="s">
        <v>14331</v>
      </c>
      <c r="O2276" t="s">
        <v>32633</v>
      </c>
    </row>
    <row r="2277" spans="1:15" x14ac:dyDescent="0.25">
      <c r="A2277" s="35" t="s">
        <v>7328</v>
      </c>
      <c r="B2277" s="36" t="s">
        <v>7329</v>
      </c>
      <c r="C2277" s="36" t="str">
        <f>HYPERLINK("https://rhld.insurance.arkansas.gov/NPILookup?Npi=1053848457","1053848457")</f>
        <v>1053848457</v>
      </c>
      <c r="D2277" s="36" t="s">
        <v>34030</v>
      </c>
      <c r="E2277" s="36" t="s">
        <v>1</v>
      </c>
      <c r="F2277" s="36">
        <v>1</v>
      </c>
      <c r="G2277" s="36">
        <v>3</v>
      </c>
      <c r="H2277" s="36">
        <v>0</v>
      </c>
      <c r="I2277" s="37">
        <v>0</v>
      </c>
      <c r="J2277" s="36" t="s">
        <v>34836</v>
      </c>
      <c r="K2277" s="36" t="s">
        <v>14330</v>
      </c>
      <c r="L2277" s="36" t="s">
        <v>14330</v>
      </c>
      <c r="M2277">
        <v>3</v>
      </c>
      <c r="N2277" t="s">
        <v>14331</v>
      </c>
      <c r="O2277" t="s">
        <v>32633</v>
      </c>
    </row>
    <row r="2278" spans="1:15" x14ac:dyDescent="0.25">
      <c r="A2278" s="35" t="s">
        <v>7328</v>
      </c>
      <c r="B2278" s="36" t="s">
        <v>7329</v>
      </c>
      <c r="C2278" s="36" t="str">
        <f>HYPERLINK("https://rhld.insurance.arkansas.gov/NPILookup?Npi=1053992909","1053992909")</f>
        <v>1053992909</v>
      </c>
      <c r="D2278" s="36" t="s">
        <v>34927</v>
      </c>
      <c r="E2278" s="36" t="s">
        <v>1</v>
      </c>
      <c r="F2278" s="36">
        <v>1</v>
      </c>
      <c r="G2278" s="36">
        <v>3</v>
      </c>
      <c r="H2278" s="36">
        <v>0</v>
      </c>
      <c r="I2278" s="37">
        <v>0</v>
      </c>
      <c r="J2278" s="36" t="s">
        <v>32654</v>
      </c>
      <c r="K2278" s="36" t="s">
        <v>14330</v>
      </c>
      <c r="L2278" s="36" t="s">
        <v>14330</v>
      </c>
      <c r="M2278">
        <v>2</v>
      </c>
      <c r="N2278" t="s">
        <v>14331</v>
      </c>
      <c r="O2278" t="s">
        <v>32633</v>
      </c>
    </row>
    <row r="2279" spans="1:15" x14ac:dyDescent="0.25">
      <c r="A2279" s="35" t="s">
        <v>7328</v>
      </c>
      <c r="B2279" s="36" t="s">
        <v>7329</v>
      </c>
      <c r="C2279" s="36" t="str">
        <f>HYPERLINK("https://rhld.insurance.arkansas.gov/NPILookup?Npi=1063031086","1063031086")</f>
        <v>1063031086</v>
      </c>
      <c r="D2279" s="36" t="s">
        <v>34928</v>
      </c>
      <c r="E2279" s="36" t="s">
        <v>1</v>
      </c>
      <c r="F2279" s="36">
        <v>1</v>
      </c>
      <c r="G2279" s="36">
        <v>2</v>
      </c>
      <c r="H2279" s="36">
        <v>0</v>
      </c>
      <c r="I2279" s="37">
        <v>0</v>
      </c>
      <c r="J2279" s="36" t="s">
        <v>34836</v>
      </c>
      <c r="K2279" s="36" t="s">
        <v>14330</v>
      </c>
      <c r="L2279" s="36" t="s">
        <v>14330</v>
      </c>
      <c r="M2279">
        <v>2</v>
      </c>
      <c r="N2279" t="s">
        <v>14331</v>
      </c>
      <c r="O2279" t="s">
        <v>32633</v>
      </c>
    </row>
    <row r="2280" spans="1:15" x14ac:dyDescent="0.25">
      <c r="A2280" s="35" t="s">
        <v>7328</v>
      </c>
      <c r="B2280" s="36" t="s">
        <v>7329</v>
      </c>
      <c r="C2280" s="36" t="str">
        <f>HYPERLINK("https://rhld.insurance.arkansas.gov/NPILookup?Npi=1063090959","1063090959")</f>
        <v>1063090959</v>
      </c>
      <c r="D2280" s="36" t="s">
        <v>34929</v>
      </c>
      <c r="E2280" s="36" t="s">
        <v>2</v>
      </c>
      <c r="F2280" s="36">
        <v>1</v>
      </c>
      <c r="G2280" s="36">
        <v>2</v>
      </c>
      <c r="H2280" s="36">
        <v>0</v>
      </c>
      <c r="I2280" s="37">
        <v>0</v>
      </c>
      <c r="J2280" s="36"/>
      <c r="K2280" s="36" t="s">
        <v>14330</v>
      </c>
      <c r="L2280" s="36" t="s">
        <v>14330</v>
      </c>
      <c r="M2280">
        <v>1</v>
      </c>
      <c r="N2280" t="s">
        <v>14331</v>
      </c>
      <c r="O2280" t="s">
        <v>14333</v>
      </c>
    </row>
    <row r="2281" spans="1:15" x14ac:dyDescent="0.25">
      <c r="A2281" s="35" t="s">
        <v>7328</v>
      </c>
      <c r="B2281" s="36" t="s">
        <v>7329</v>
      </c>
      <c r="C2281" s="36" t="str">
        <f>HYPERLINK("https://rhld.insurance.arkansas.gov/NPILookup?Npi=1063108280","1063108280")</f>
        <v>1063108280</v>
      </c>
      <c r="D2281" s="36" t="s">
        <v>34930</v>
      </c>
      <c r="E2281" s="36" t="s">
        <v>2</v>
      </c>
      <c r="F2281" s="36">
        <v>1</v>
      </c>
      <c r="G2281" s="36">
        <v>1</v>
      </c>
      <c r="H2281" s="36">
        <v>0</v>
      </c>
      <c r="I2281" s="37">
        <v>0</v>
      </c>
      <c r="J2281" s="36"/>
      <c r="K2281" s="36" t="s">
        <v>14330</v>
      </c>
      <c r="L2281" s="36" t="s">
        <v>14330</v>
      </c>
      <c r="M2281">
        <v>2</v>
      </c>
      <c r="N2281" t="s">
        <v>14331</v>
      </c>
      <c r="O2281" t="s">
        <v>32633</v>
      </c>
    </row>
    <row r="2282" spans="1:15" x14ac:dyDescent="0.25">
      <c r="A2282" s="35" t="s">
        <v>7328</v>
      </c>
      <c r="B2282" s="36" t="s">
        <v>7329</v>
      </c>
      <c r="C2282" s="36" t="str">
        <f>HYPERLINK("https://rhld.insurance.arkansas.gov/NPILookup?Npi=1063118404","1063118404")</f>
        <v>1063118404</v>
      </c>
      <c r="D2282" s="36" t="s">
        <v>34931</v>
      </c>
      <c r="E2282" s="36" t="s">
        <v>1</v>
      </c>
      <c r="F2282" s="36">
        <v>1</v>
      </c>
      <c r="G2282" s="36">
        <v>2</v>
      </c>
      <c r="H2282" s="36">
        <v>0</v>
      </c>
      <c r="I2282" s="37">
        <v>0</v>
      </c>
      <c r="J2282" s="36" t="s">
        <v>32654</v>
      </c>
      <c r="K2282" s="36" t="s">
        <v>14330</v>
      </c>
      <c r="L2282" s="36" t="s">
        <v>14330</v>
      </c>
      <c r="M2282">
        <v>2</v>
      </c>
      <c r="N2282" t="s">
        <v>14331</v>
      </c>
      <c r="O2282" t="s">
        <v>32633</v>
      </c>
    </row>
    <row r="2283" spans="1:15" x14ac:dyDescent="0.25">
      <c r="A2283" s="35" t="s">
        <v>7328</v>
      </c>
      <c r="B2283" s="36" t="s">
        <v>7329</v>
      </c>
      <c r="C2283" s="36" t="str">
        <f>HYPERLINK("https://rhld.insurance.arkansas.gov/NPILookup?Npi=1063119113","1063119113")</f>
        <v>1063119113</v>
      </c>
      <c r="D2283" s="36" t="s">
        <v>34932</v>
      </c>
      <c r="E2283" s="36" t="s">
        <v>2</v>
      </c>
      <c r="F2283" s="36">
        <v>1</v>
      </c>
      <c r="G2283" s="36">
        <v>2</v>
      </c>
      <c r="H2283" s="36">
        <v>0</v>
      </c>
      <c r="I2283" s="37">
        <v>0</v>
      </c>
      <c r="J2283" s="36"/>
      <c r="K2283" s="36" t="s">
        <v>14330</v>
      </c>
      <c r="L2283" s="36" t="s">
        <v>14330</v>
      </c>
      <c r="M2283">
        <v>2</v>
      </c>
      <c r="N2283" t="s">
        <v>14331</v>
      </c>
      <c r="O2283" t="s">
        <v>14333</v>
      </c>
    </row>
    <row r="2284" spans="1:15" x14ac:dyDescent="0.25">
      <c r="A2284" s="35" t="s">
        <v>7328</v>
      </c>
      <c r="B2284" s="36" t="s">
        <v>7329</v>
      </c>
      <c r="C2284" s="36" t="str">
        <f>HYPERLINK("https://rhld.insurance.arkansas.gov/NPILookup?Npi=1063131316","1063131316")</f>
        <v>1063131316</v>
      </c>
      <c r="D2284" s="36" t="s">
        <v>34933</v>
      </c>
      <c r="E2284" s="36" t="s">
        <v>1</v>
      </c>
      <c r="F2284" s="36">
        <v>1</v>
      </c>
      <c r="G2284" s="36">
        <v>2</v>
      </c>
      <c r="H2284" s="36">
        <v>0</v>
      </c>
      <c r="I2284" s="37">
        <v>0</v>
      </c>
      <c r="J2284" s="36" t="s">
        <v>32654</v>
      </c>
      <c r="K2284" s="36" t="s">
        <v>14330</v>
      </c>
      <c r="L2284" s="36" t="s">
        <v>14330</v>
      </c>
      <c r="M2284">
        <v>2</v>
      </c>
      <c r="N2284" t="s">
        <v>14331</v>
      </c>
      <c r="O2284" t="s">
        <v>32633</v>
      </c>
    </row>
    <row r="2285" spans="1:15" x14ac:dyDescent="0.25">
      <c r="A2285" s="35" t="s">
        <v>7328</v>
      </c>
      <c r="B2285" s="36" t="s">
        <v>7329</v>
      </c>
      <c r="C2285" s="36" t="str">
        <f>HYPERLINK("https://rhld.insurance.arkansas.gov/NPILookup?Npi=1063207538","1063207538")</f>
        <v>1063207538</v>
      </c>
      <c r="D2285" s="36" t="s">
        <v>34669</v>
      </c>
      <c r="E2285" s="36" t="s">
        <v>2</v>
      </c>
      <c r="F2285" s="36">
        <v>1</v>
      </c>
      <c r="G2285" s="36">
        <v>2</v>
      </c>
      <c r="H2285" s="36">
        <v>0</v>
      </c>
      <c r="I2285" s="37">
        <v>0</v>
      </c>
      <c r="J2285" s="36"/>
      <c r="K2285" s="36" t="s">
        <v>14330</v>
      </c>
      <c r="L2285" s="36" t="s">
        <v>14330</v>
      </c>
      <c r="M2285">
        <v>2</v>
      </c>
      <c r="N2285" t="s">
        <v>14331</v>
      </c>
      <c r="O2285" t="s">
        <v>14333</v>
      </c>
    </row>
    <row r="2286" spans="1:15" x14ac:dyDescent="0.25">
      <c r="A2286" s="35" t="s">
        <v>7328</v>
      </c>
      <c r="B2286" s="36" t="s">
        <v>7329</v>
      </c>
      <c r="C2286" s="36" t="str">
        <f>HYPERLINK("https://rhld.insurance.arkansas.gov/NPILookup?Npi=1063227171","1063227171")</f>
        <v>1063227171</v>
      </c>
      <c r="D2286" s="36" t="s">
        <v>34934</v>
      </c>
      <c r="E2286" s="36" t="s">
        <v>2</v>
      </c>
      <c r="F2286" s="36">
        <v>2</v>
      </c>
      <c r="G2286" s="36">
        <v>2</v>
      </c>
      <c r="H2286" s="36">
        <v>0</v>
      </c>
      <c r="I2286" s="37">
        <v>0</v>
      </c>
      <c r="J2286" s="36" t="s">
        <v>33004</v>
      </c>
      <c r="K2286" s="36" t="s">
        <v>14330</v>
      </c>
      <c r="L2286" s="36" t="s">
        <v>14330</v>
      </c>
      <c r="M2286">
        <v>2</v>
      </c>
      <c r="N2286" t="s">
        <v>14331</v>
      </c>
      <c r="O2286" t="s">
        <v>14333</v>
      </c>
    </row>
    <row r="2287" spans="1:15" x14ac:dyDescent="0.25">
      <c r="A2287" s="35" t="s">
        <v>7328</v>
      </c>
      <c r="B2287" s="36" t="s">
        <v>7329</v>
      </c>
      <c r="C2287" s="36" t="str">
        <f>HYPERLINK("https://rhld.insurance.arkansas.gov/NPILookup?Npi=1063403566","1063403566")</f>
        <v>1063403566</v>
      </c>
      <c r="D2287" s="36" t="s">
        <v>34935</v>
      </c>
      <c r="E2287" s="36" t="s">
        <v>1</v>
      </c>
      <c r="F2287" s="36">
        <v>1</v>
      </c>
      <c r="G2287" s="36">
        <v>2</v>
      </c>
      <c r="H2287" s="36">
        <v>0</v>
      </c>
      <c r="I2287" s="37">
        <v>0</v>
      </c>
      <c r="J2287" s="36" t="s">
        <v>34836</v>
      </c>
      <c r="K2287" s="36" t="s">
        <v>14330</v>
      </c>
      <c r="L2287" s="36" t="s">
        <v>14330</v>
      </c>
      <c r="M2287">
        <v>3</v>
      </c>
      <c r="N2287" t="s">
        <v>14331</v>
      </c>
      <c r="O2287" t="s">
        <v>32633</v>
      </c>
    </row>
    <row r="2288" spans="1:15" x14ac:dyDescent="0.25">
      <c r="A2288" s="35" t="s">
        <v>7328</v>
      </c>
      <c r="B2288" s="36" t="s">
        <v>7329</v>
      </c>
      <c r="C2288" s="36" t="str">
        <f>HYPERLINK("https://rhld.insurance.arkansas.gov/NPILookup?Npi=1063408409","1063408409")</f>
        <v>1063408409</v>
      </c>
      <c r="D2288" s="36" t="s">
        <v>32961</v>
      </c>
      <c r="E2288" s="36" t="s">
        <v>1</v>
      </c>
      <c r="F2288" s="36">
        <v>1</v>
      </c>
      <c r="G2288" s="36">
        <v>3</v>
      </c>
      <c r="H2288" s="36">
        <v>0</v>
      </c>
      <c r="I2288" s="37">
        <v>0</v>
      </c>
      <c r="J2288" s="36" t="s">
        <v>34836</v>
      </c>
      <c r="K2288" s="36" t="s">
        <v>14330</v>
      </c>
      <c r="L2288" s="36" t="s">
        <v>14330</v>
      </c>
      <c r="M2288">
        <v>2</v>
      </c>
      <c r="N2288" t="s">
        <v>14331</v>
      </c>
      <c r="O2288" t="s">
        <v>32633</v>
      </c>
    </row>
    <row r="2289" spans="1:15" x14ac:dyDescent="0.25">
      <c r="A2289" s="35" t="s">
        <v>7328</v>
      </c>
      <c r="B2289" s="36" t="s">
        <v>7329</v>
      </c>
      <c r="C2289" s="36" t="str">
        <f>HYPERLINK("https://rhld.insurance.arkansas.gov/NPILookup?Npi=1063494128","1063494128")</f>
        <v>1063494128</v>
      </c>
      <c r="D2289" s="36" t="s">
        <v>34936</v>
      </c>
      <c r="E2289" s="36" t="s">
        <v>1</v>
      </c>
      <c r="F2289" s="36">
        <v>1</v>
      </c>
      <c r="G2289" s="36">
        <v>2</v>
      </c>
      <c r="H2289" s="36">
        <v>0</v>
      </c>
      <c r="I2289" s="37">
        <v>0</v>
      </c>
      <c r="J2289" s="36" t="s">
        <v>34836</v>
      </c>
      <c r="K2289" s="36" t="s">
        <v>14330</v>
      </c>
      <c r="L2289" s="36" t="s">
        <v>14330</v>
      </c>
      <c r="M2289">
        <v>3</v>
      </c>
      <c r="N2289" t="s">
        <v>14331</v>
      </c>
      <c r="O2289" t="s">
        <v>32633</v>
      </c>
    </row>
    <row r="2290" spans="1:15" x14ac:dyDescent="0.25">
      <c r="A2290" s="35" t="s">
        <v>7328</v>
      </c>
      <c r="B2290" s="36" t="s">
        <v>7329</v>
      </c>
      <c r="C2290" s="36" t="str">
        <f>HYPERLINK("https://rhld.insurance.arkansas.gov/NPILookup?Npi=1063526614","1063526614")</f>
        <v>1063526614</v>
      </c>
      <c r="D2290" s="36" t="s">
        <v>32964</v>
      </c>
      <c r="E2290" s="36" t="s">
        <v>1</v>
      </c>
      <c r="F2290" s="36">
        <v>1</v>
      </c>
      <c r="G2290" s="36">
        <v>3</v>
      </c>
      <c r="H2290" s="36">
        <v>0</v>
      </c>
      <c r="I2290" s="37">
        <v>0</v>
      </c>
      <c r="J2290" s="36" t="s">
        <v>34836</v>
      </c>
      <c r="K2290" s="36" t="s">
        <v>14330</v>
      </c>
      <c r="L2290" s="36" t="s">
        <v>14330</v>
      </c>
      <c r="M2290">
        <v>2</v>
      </c>
      <c r="N2290" t="s">
        <v>14331</v>
      </c>
      <c r="O2290" t="s">
        <v>32633</v>
      </c>
    </row>
    <row r="2291" spans="1:15" x14ac:dyDescent="0.25">
      <c r="A2291" s="35" t="s">
        <v>7328</v>
      </c>
      <c r="B2291" s="36" t="s">
        <v>7329</v>
      </c>
      <c r="C2291" s="36" t="str">
        <f>HYPERLINK("https://rhld.insurance.arkansas.gov/NPILookup?Npi=1063600997","1063600997")</f>
        <v>1063600997</v>
      </c>
      <c r="D2291" s="36" t="s">
        <v>34937</v>
      </c>
      <c r="E2291" s="36" t="s">
        <v>1</v>
      </c>
      <c r="F2291" s="36">
        <v>1</v>
      </c>
      <c r="G2291" s="36">
        <v>2</v>
      </c>
      <c r="H2291" s="36">
        <v>0</v>
      </c>
      <c r="I2291" s="37">
        <v>0</v>
      </c>
      <c r="J2291" s="36" t="s">
        <v>32654</v>
      </c>
      <c r="K2291" s="36" t="s">
        <v>14330</v>
      </c>
      <c r="L2291" s="36" t="s">
        <v>14330</v>
      </c>
      <c r="M2291">
        <v>2</v>
      </c>
      <c r="N2291" t="s">
        <v>14331</v>
      </c>
      <c r="O2291" t="s">
        <v>32633</v>
      </c>
    </row>
    <row r="2292" spans="1:15" x14ac:dyDescent="0.25">
      <c r="A2292" s="35" t="s">
        <v>7328</v>
      </c>
      <c r="B2292" s="36" t="s">
        <v>7329</v>
      </c>
      <c r="C2292" s="36" t="str">
        <f>HYPERLINK("https://rhld.insurance.arkansas.gov/NPILookup?Npi=1063618932","1063618932")</f>
        <v>1063618932</v>
      </c>
      <c r="D2292" s="36" t="s">
        <v>34938</v>
      </c>
      <c r="E2292" s="36" t="s">
        <v>1</v>
      </c>
      <c r="F2292" s="36">
        <v>1</v>
      </c>
      <c r="G2292" s="36">
        <v>2</v>
      </c>
      <c r="H2292" s="36">
        <v>0</v>
      </c>
      <c r="I2292" s="37">
        <v>0</v>
      </c>
      <c r="J2292" s="36" t="s">
        <v>34836</v>
      </c>
      <c r="K2292" s="36" t="s">
        <v>14330</v>
      </c>
      <c r="L2292" s="36" t="s">
        <v>14330</v>
      </c>
      <c r="M2292">
        <v>3</v>
      </c>
      <c r="N2292" t="s">
        <v>14331</v>
      </c>
      <c r="O2292" t="s">
        <v>32633</v>
      </c>
    </row>
    <row r="2293" spans="1:15" x14ac:dyDescent="0.25">
      <c r="A2293" s="35" t="s">
        <v>7328</v>
      </c>
      <c r="B2293" s="36" t="s">
        <v>7329</v>
      </c>
      <c r="C2293" s="36" t="str">
        <f>HYPERLINK("https://rhld.insurance.arkansas.gov/NPILookup?Npi=1063665990","1063665990")</f>
        <v>1063665990</v>
      </c>
      <c r="D2293" s="36" t="s">
        <v>34939</v>
      </c>
      <c r="E2293" s="36" t="s">
        <v>1</v>
      </c>
      <c r="F2293" s="36">
        <v>1</v>
      </c>
      <c r="G2293" s="36">
        <v>3</v>
      </c>
      <c r="H2293" s="36">
        <v>0</v>
      </c>
      <c r="I2293" s="37">
        <v>0</v>
      </c>
      <c r="J2293" s="36" t="s">
        <v>32654</v>
      </c>
      <c r="K2293" s="36" t="s">
        <v>14330</v>
      </c>
      <c r="L2293" s="36" t="s">
        <v>14330</v>
      </c>
      <c r="M2293">
        <v>2</v>
      </c>
      <c r="N2293" t="s">
        <v>14331</v>
      </c>
      <c r="O2293" t="s">
        <v>32633</v>
      </c>
    </row>
    <row r="2294" spans="1:15" x14ac:dyDescent="0.25">
      <c r="A2294" s="35" t="s">
        <v>7328</v>
      </c>
      <c r="B2294" s="36" t="s">
        <v>7329</v>
      </c>
      <c r="C2294" s="36" t="str">
        <f>HYPERLINK("https://rhld.insurance.arkansas.gov/NPILookup?Npi=1063684702","1063684702")</f>
        <v>1063684702</v>
      </c>
      <c r="D2294" s="36" t="s">
        <v>32968</v>
      </c>
      <c r="E2294" s="36" t="s">
        <v>1</v>
      </c>
      <c r="F2294" s="36">
        <v>1</v>
      </c>
      <c r="G2294" s="36">
        <v>2</v>
      </c>
      <c r="H2294" s="36">
        <v>0</v>
      </c>
      <c r="I2294" s="37">
        <v>0</v>
      </c>
      <c r="J2294" s="36" t="s">
        <v>34836</v>
      </c>
      <c r="K2294" s="36" t="s">
        <v>14330</v>
      </c>
      <c r="L2294" s="36" t="s">
        <v>14330</v>
      </c>
      <c r="M2294">
        <v>2</v>
      </c>
      <c r="N2294" t="s">
        <v>14331</v>
      </c>
      <c r="O2294" t="s">
        <v>32633</v>
      </c>
    </row>
    <row r="2295" spans="1:15" x14ac:dyDescent="0.25">
      <c r="A2295" s="35" t="s">
        <v>7328</v>
      </c>
      <c r="B2295" s="36" t="s">
        <v>7329</v>
      </c>
      <c r="C2295" s="36" t="str">
        <f>HYPERLINK("https://rhld.insurance.arkansas.gov/NPILookup?Npi=1063704302","1063704302")</f>
        <v>1063704302</v>
      </c>
      <c r="D2295" s="36" t="s">
        <v>34940</v>
      </c>
      <c r="E2295" s="36" t="s">
        <v>1</v>
      </c>
      <c r="F2295" s="36">
        <v>1</v>
      </c>
      <c r="G2295" s="36">
        <v>2</v>
      </c>
      <c r="H2295" s="36">
        <v>0</v>
      </c>
      <c r="I2295" s="37">
        <v>0</v>
      </c>
      <c r="J2295" s="36" t="s">
        <v>34836</v>
      </c>
      <c r="K2295" s="36" t="s">
        <v>14330</v>
      </c>
      <c r="L2295" s="36" t="s">
        <v>14330</v>
      </c>
      <c r="M2295">
        <v>4</v>
      </c>
      <c r="N2295" t="s">
        <v>14331</v>
      </c>
      <c r="O2295" t="s">
        <v>32633</v>
      </c>
    </row>
    <row r="2296" spans="1:15" x14ac:dyDescent="0.25">
      <c r="A2296" s="35" t="s">
        <v>7328</v>
      </c>
      <c r="B2296" s="36" t="s">
        <v>7329</v>
      </c>
      <c r="C2296" s="36" t="str">
        <f>HYPERLINK("https://rhld.insurance.arkansas.gov/NPILookup?Npi=1063734069","1063734069")</f>
        <v>1063734069</v>
      </c>
      <c r="D2296" s="36" t="s">
        <v>33696</v>
      </c>
      <c r="E2296" s="36" t="s">
        <v>1</v>
      </c>
      <c r="F2296" s="36">
        <v>2</v>
      </c>
      <c r="G2296" s="36">
        <v>4</v>
      </c>
      <c r="H2296" s="36">
        <v>0</v>
      </c>
      <c r="I2296" s="37">
        <v>0</v>
      </c>
      <c r="J2296" s="36" t="s">
        <v>34941</v>
      </c>
      <c r="K2296" s="36" t="s">
        <v>14330</v>
      </c>
      <c r="L2296" s="36" t="s">
        <v>14330</v>
      </c>
      <c r="M2296">
        <v>2</v>
      </c>
      <c r="N2296" t="s">
        <v>14331</v>
      </c>
      <c r="O2296" t="s">
        <v>32633</v>
      </c>
    </row>
    <row r="2297" spans="1:15" x14ac:dyDescent="0.25">
      <c r="A2297" s="35" t="s">
        <v>7328</v>
      </c>
      <c r="B2297" s="36" t="s">
        <v>7329</v>
      </c>
      <c r="C2297" s="36" t="str">
        <f>HYPERLINK("https://rhld.insurance.arkansas.gov/NPILookup?Npi=1063773497","1063773497")</f>
        <v>1063773497</v>
      </c>
      <c r="D2297" s="36" t="s">
        <v>34942</v>
      </c>
      <c r="E2297" s="36" t="s">
        <v>1</v>
      </c>
      <c r="F2297" s="36">
        <v>1</v>
      </c>
      <c r="G2297" s="36">
        <v>2</v>
      </c>
      <c r="H2297" s="36">
        <v>0</v>
      </c>
      <c r="I2297" s="37">
        <v>0</v>
      </c>
      <c r="J2297" s="36" t="s">
        <v>34836</v>
      </c>
      <c r="K2297" s="36" t="s">
        <v>14330</v>
      </c>
      <c r="L2297" s="36" t="s">
        <v>14330</v>
      </c>
      <c r="M2297">
        <v>3</v>
      </c>
      <c r="N2297" t="s">
        <v>14331</v>
      </c>
      <c r="O2297" t="s">
        <v>32633</v>
      </c>
    </row>
    <row r="2298" spans="1:15" x14ac:dyDescent="0.25">
      <c r="A2298" s="35" t="s">
        <v>7328</v>
      </c>
      <c r="B2298" s="36" t="s">
        <v>7329</v>
      </c>
      <c r="C2298" s="36" t="str">
        <f>HYPERLINK("https://rhld.insurance.arkansas.gov/NPILookup?Npi=1063875078","1063875078")</f>
        <v>1063875078</v>
      </c>
      <c r="D2298" s="36" t="s">
        <v>34943</v>
      </c>
      <c r="E2298" s="36" t="s">
        <v>1</v>
      </c>
      <c r="F2298" s="36">
        <v>1</v>
      </c>
      <c r="G2298" s="36">
        <v>3</v>
      </c>
      <c r="H2298" s="36">
        <v>0</v>
      </c>
      <c r="I2298" s="37">
        <v>0</v>
      </c>
      <c r="J2298" s="36" t="s">
        <v>34836</v>
      </c>
      <c r="K2298" s="36" t="s">
        <v>14330</v>
      </c>
      <c r="L2298" s="36" t="s">
        <v>14330</v>
      </c>
      <c r="M2298">
        <v>2</v>
      </c>
      <c r="N2298" t="s">
        <v>14331</v>
      </c>
      <c r="O2298" t="s">
        <v>32633</v>
      </c>
    </row>
    <row r="2299" spans="1:15" x14ac:dyDescent="0.25">
      <c r="A2299" s="35" t="s">
        <v>7328</v>
      </c>
      <c r="B2299" s="36" t="s">
        <v>7329</v>
      </c>
      <c r="C2299" s="36" t="str">
        <f>HYPERLINK("https://rhld.insurance.arkansas.gov/NPILookup?Npi=1063965192","1063965192")</f>
        <v>1063965192</v>
      </c>
      <c r="D2299" s="36" t="s">
        <v>34944</v>
      </c>
      <c r="E2299" s="36" t="s">
        <v>1</v>
      </c>
      <c r="F2299" s="36">
        <v>1</v>
      </c>
      <c r="G2299" s="36">
        <v>2</v>
      </c>
      <c r="H2299" s="36">
        <v>0</v>
      </c>
      <c r="I2299" s="37">
        <v>0</v>
      </c>
      <c r="J2299" s="36" t="s">
        <v>32654</v>
      </c>
      <c r="K2299" s="36" t="s">
        <v>14330</v>
      </c>
      <c r="L2299" s="36" t="s">
        <v>14330</v>
      </c>
      <c r="M2299">
        <v>2</v>
      </c>
      <c r="N2299" t="s">
        <v>14331</v>
      </c>
      <c r="O2299" t="s">
        <v>32633</v>
      </c>
    </row>
    <row r="2300" spans="1:15" x14ac:dyDescent="0.25">
      <c r="A2300" s="35" t="s">
        <v>7328</v>
      </c>
      <c r="B2300" s="36" t="s">
        <v>7329</v>
      </c>
      <c r="C2300" s="36" t="str">
        <f>HYPERLINK("https://rhld.insurance.arkansas.gov/NPILookup?Npi=1063979128","1063979128")</f>
        <v>1063979128</v>
      </c>
      <c r="D2300" s="36" t="s">
        <v>34945</v>
      </c>
      <c r="E2300" s="36" t="s">
        <v>2</v>
      </c>
      <c r="F2300" s="36">
        <v>1</v>
      </c>
      <c r="G2300" s="36">
        <v>2</v>
      </c>
      <c r="H2300" s="36">
        <v>0</v>
      </c>
      <c r="I2300" s="37">
        <v>0</v>
      </c>
      <c r="J2300" s="36"/>
      <c r="K2300" s="36" t="s">
        <v>14330</v>
      </c>
      <c r="L2300" s="36" t="s">
        <v>14330</v>
      </c>
      <c r="M2300">
        <v>1</v>
      </c>
      <c r="N2300" t="s">
        <v>14331</v>
      </c>
      <c r="O2300" t="s">
        <v>14333</v>
      </c>
    </row>
    <row r="2301" spans="1:15" x14ac:dyDescent="0.25">
      <c r="A2301" s="35" t="s">
        <v>7328</v>
      </c>
      <c r="B2301" s="36" t="s">
        <v>7329</v>
      </c>
      <c r="C2301" s="36" t="str">
        <f>HYPERLINK("https://rhld.insurance.arkansas.gov/NPILookup?Npi=1073002317","1073002317")</f>
        <v>1073002317</v>
      </c>
      <c r="D2301" s="36" t="s">
        <v>34946</v>
      </c>
      <c r="E2301" s="36" t="s">
        <v>1</v>
      </c>
      <c r="F2301" s="36">
        <v>1</v>
      </c>
      <c r="G2301" s="36">
        <v>1</v>
      </c>
      <c r="H2301" s="36">
        <v>0</v>
      </c>
      <c r="I2301" s="37">
        <v>0</v>
      </c>
      <c r="J2301" s="36" t="s">
        <v>34836</v>
      </c>
      <c r="K2301" s="36" t="s">
        <v>14330</v>
      </c>
      <c r="L2301" s="36" t="s">
        <v>14330</v>
      </c>
      <c r="M2301">
        <v>3</v>
      </c>
      <c r="N2301" t="s">
        <v>14331</v>
      </c>
      <c r="O2301" t="s">
        <v>32633</v>
      </c>
    </row>
    <row r="2302" spans="1:15" x14ac:dyDescent="0.25">
      <c r="A2302" s="35" t="s">
        <v>7328</v>
      </c>
      <c r="B2302" s="36" t="s">
        <v>7329</v>
      </c>
      <c r="C2302" s="36" t="str">
        <f>HYPERLINK("https://rhld.insurance.arkansas.gov/NPILookup?Npi=1073063913","1073063913")</f>
        <v>1073063913</v>
      </c>
      <c r="D2302" s="36" t="s">
        <v>34947</v>
      </c>
      <c r="E2302" s="36" t="s">
        <v>1</v>
      </c>
      <c r="F2302" s="36">
        <v>1</v>
      </c>
      <c r="G2302" s="36">
        <v>3</v>
      </c>
      <c r="H2302" s="36">
        <v>0</v>
      </c>
      <c r="I2302" s="37">
        <v>0</v>
      </c>
      <c r="J2302" s="36" t="s">
        <v>34836</v>
      </c>
      <c r="K2302" s="36" t="s">
        <v>14330</v>
      </c>
      <c r="L2302" s="36" t="s">
        <v>14330</v>
      </c>
      <c r="M2302">
        <v>2</v>
      </c>
      <c r="N2302" t="s">
        <v>14331</v>
      </c>
      <c r="O2302" t="s">
        <v>32633</v>
      </c>
    </row>
    <row r="2303" spans="1:15" x14ac:dyDescent="0.25">
      <c r="A2303" s="35" t="s">
        <v>7328</v>
      </c>
      <c r="B2303" s="36" t="s">
        <v>7329</v>
      </c>
      <c r="C2303" s="36" t="str">
        <f>HYPERLINK("https://rhld.insurance.arkansas.gov/NPILookup?Npi=1073099198","1073099198")</f>
        <v>1073099198</v>
      </c>
      <c r="D2303" s="36" t="s">
        <v>34948</v>
      </c>
      <c r="E2303" s="36" t="s">
        <v>1</v>
      </c>
      <c r="F2303" s="36">
        <v>1</v>
      </c>
      <c r="G2303" s="36">
        <v>2</v>
      </c>
      <c r="H2303" s="36">
        <v>0</v>
      </c>
      <c r="I2303" s="37">
        <v>0</v>
      </c>
      <c r="J2303" s="36" t="s">
        <v>32654</v>
      </c>
      <c r="K2303" s="36" t="s">
        <v>14330</v>
      </c>
      <c r="L2303" s="36" t="s">
        <v>14330</v>
      </c>
      <c r="M2303">
        <v>2</v>
      </c>
      <c r="N2303" t="s">
        <v>14331</v>
      </c>
      <c r="O2303" t="s">
        <v>32633</v>
      </c>
    </row>
    <row r="2304" spans="1:15" x14ac:dyDescent="0.25">
      <c r="A2304" s="35" t="s">
        <v>7328</v>
      </c>
      <c r="B2304" s="36" t="s">
        <v>7329</v>
      </c>
      <c r="C2304" s="36" t="str">
        <f>HYPERLINK("https://rhld.insurance.arkansas.gov/NPILookup?Npi=1073194023","1073194023")</f>
        <v>1073194023</v>
      </c>
      <c r="D2304" s="36" t="s">
        <v>34949</v>
      </c>
      <c r="E2304" s="36" t="s">
        <v>2</v>
      </c>
      <c r="F2304" s="36">
        <v>1</v>
      </c>
      <c r="G2304" s="36">
        <v>2</v>
      </c>
      <c r="H2304" s="36">
        <v>0</v>
      </c>
      <c r="I2304" s="37">
        <v>0</v>
      </c>
      <c r="J2304" s="36"/>
      <c r="K2304" s="36" t="s">
        <v>14330</v>
      </c>
      <c r="L2304" s="36" t="s">
        <v>14330</v>
      </c>
      <c r="M2304">
        <v>2</v>
      </c>
      <c r="N2304" t="s">
        <v>14331</v>
      </c>
      <c r="O2304" t="s">
        <v>14333</v>
      </c>
    </row>
    <row r="2305" spans="1:15" x14ac:dyDescent="0.25">
      <c r="A2305" s="35" t="s">
        <v>7328</v>
      </c>
      <c r="B2305" s="36" t="s">
        <v>7329</v>
      </c>
      <c r="C2305" s="36" t="str">
        <f>HYPERLINK("https://rhld.insurance.arkansas.gov/NPILookup?Npi=1073296471","1073296471")</f>
        <v>1073296471</v>
      </c>
      <c r="D2305" s="36" t="s">
        <v>34950</v>
      </c>
      <c r="E2305" s="36" t="s">
        <v>2</v>
      </c>
      <c r="F2305" s="36">
        <v>1</v>
      </c>
      <c r="G2305" s="36">
        <v>2</v>
      </c>
      <c r="H2305" s="36">
        <v>0</v>
      </c>
      <c r="I2305" s="37">
        <v>0</v>
      </c>
      <c r="J2305" s="36"/>
      <c r="K2305" s="36" t="s">
        <v>14330</v>
      </c>
      <c r="L2305" s="36" t="s">
        <v>14330</v>
      </c>
      <c r="M2305">
        <v>2</v>
      </c>
      <c r="N2305" t="s">
        <v>14331</v>
      </c>
      <c r="O2305" t="s">
        <v>14333</v>
      </c>
    </row>
    <row r="2306" spans="1:15" x14ac:dyDescent="0.25">
      <c r="A2306" s="35" t="s">
        <v>7328</v>
      </c>
      <c r="B2306" s="36" t="s">
        <v>7329</v>
      </c>
      <c r="C2306" s="36" t="str">
        <f>HYPERLINK("https://rhld.insurance.arkansas.gov/NPILookup?Npi=1073326765","1073326765")</f>
        <v>1073326765</v>
      </c>
      <c r="D2306" s="36" t="s">
        <v>34951</v>
      </c>
      <c r="E2306" s="36" t="s">
        <v>2</v>
      </c>
      <c r="F2306" s="36">
        <v>2</v>
      </c>
      <c r="G2306" s="36">
        <v>2</v>
      </c>
      <c r="H2306" s="36">
        <v>0</v>
      </c>
      <c r="I2306" s="37">
        <v>0</v>
      </c>
      <c r="J2306" s="36" t="s">
        <v>33004</v>
      </c>
      <c r="K2306" s="36" t="s">
        <v>14330</v>
      </c>
      <c r="L2306" s="36" t="s">
        <v>14330</v>
      </c>
      <c r="M2306">
        <v>3</v>
      </c>
      <c r="N2306" t="s">
        <v>14331</v>
      </c>
      <c r="O2306" t="s">
        <v>14333</v>
      </c>
    </row>
    <row r="2307" spans="1:15" x14ac:dyDescent="0.25">
      <c r="A2307" s="35" t="s">
        <v>7328</v>
      </c>
      <c r="B2307" s="36" t="s">
        <v>7329</v>
      </c>
      <c r="C2307" s="36" t="str">
        <f>HYPERLINK("https://rhld.insurance.arkansas.gov/NPILookup?Npi=1073533956","1073533956")</f>
        <v>1073533956</v>
      </c>
      <c r="D2307" s="36" t="s">
        <v>32976</v>
      </c>
      <c r="E2307" s="36" t="s">
        <v>1</v>
      </c>
      <c r="F2307" s="36">
        <v>1</v>
      </c>
      <c r="G2307" s="36">
        <v>3</v>
      </c>
      <c r="H2307" s="36">
        <v>0</v>
      </c>
      <c r="I2307" s="37">
        <v>0</v>
      </c>
      <c r="J2307" s="36" t="s">
        <v>34836</v>
      </c>
      <c r="K2307" s="36" t="s">
        <v>14330</v>
      </c>
      <c r="L2307" s="36" t="s">
        <v>14330</v>
      </c>
      <c r="M2307">
        <v>3</v>
      </c>
      <c r="N2307" t="s">
        <v>14331</v>
      </c>
      <c r="O2307" t="s">
        <v>32633</v>
      </c>
    </row>
    <row r="2308" spans="1:15" x14ac:dyDescent="0.25">
      <c r="A2308" s="35" t="s">
        <v>7328</v>
      </c>
      <c r="B2308" s="36" t="s">
        <v>7329</v>
      </c>
      <c r="C2308" s="36" t="str">
        <f>HYPERLINK("https://rhld.insurance.arkansas.gov/NPILookup?Npi=1073537643","1073537643")</f>
        <v>1073537643</v>
      </c>
      <c r="D2308" s="36" t="s">
        <v>34952</v>
      </c>
      <c r="E2308" s="36" t="s">
        <v>1</v>
      </c>
      <c r="F2308" s="36">
        <v>1</v>
      </c>
      <c r="G2308" s="36">
        <v>3</v>
      </c>
      <c r="H2308" s="36">
        <v>0</v>
      </c>
      <c r="I2308" s="37">
        <v>0</v>
      </c>
      <c r="J2308" s="36" t="s">
        <v>34836</v>
      </c>
      <c r="K2308" s="36" t="s">
        <v>14330</v>
      </c>
      <c r="L2308" s="36" t="s">
        <v>14330</v>
      </c>
      <c r="M2308">
        <v>2</v>
      </c>
      <c r="N2308" t="s">
        <v>14331</v>
      </c>
      <c r="O2308" t="s">
        <v>32633</v>
      </c>
    </row>
    <row r="2309" spans="1:15" x14ac:dyDescent="0.25">
      <c r="A2309" s="35" t="s">
        <v>7328</v>
      </c>
      <c r="B2309" s="36" t="s">
        <v>7329</v>
      </c>
      <c r="C2309" s="36" t="str">
        <f>HYPERLINK("https://rhld.insurance.arkansas.gov/NPILookup?Npi=1073562930","1073562930")</f>
        <v>1073562930</v>
      </c>
      <c r="D2309" s="36" t="s">
        <v>34953</v>
      </c>
      <c r="E2309" s="36" t="s">
        <v>1</v>
      </c>
      <c r="F2309" s="36">
        <v>1</v>
      </c>
      <c r="G2309" s="36">
        <v>2</v>
      </c>
      <c r="H2309" s="36">
        <v>0</v>
      </c>
      <c r="I2309" s="37">
        <v>0</v>
      </c>
      <c r="J2309" s="36" t="s">
        <v>34836</v>
      </c>
      <c r="K2309" s="36" t="s">
        <v>14330</v>
      </c>
      <c r="L2309" s="36" t="s">
        <v>14330</v>
      </c>
      <c r="M2309">
        <v>3</v>
      </c>
      <c r="N2309" t="s">
        <v>14331</v>
      </c>
      <c r="O2309" t="s">
        <v>32633</v>
      </c>
    </row>
    <row r="2310" spans="1:15" x14ac:dyDescent="0.25">
      <c r="A2310" s="35" t="s">
        <v>7328</v>
      </c>
      <c r="B2310" s="36" t="s">
        <v>7329</v>
      </c>
      <c r="C2310" s="36" t="str">
        <f>HYPERLINK("https://rhld.insurance.arkansas.gov/NPILookup?Npi=1073579314","1073579314")</f>
        <v>1073579314</v>
      </c>
      <c r="D2310" s="36" t="s">
        <v>34954</v>
      </c>
      <c r="E2310" s="36" t="s">
        <v>1</v>
      </c>
      <c r="F2310" s="36">
        <v>1</v>
      </c>
      <c r="G2310" s="36">
        <v>3</v>
      </c>
      <c r="H2310" s="36">
        <v>0</v>
      </c>
      <c r="I2310" s="37">
        <v>0</v>
      </c>
      <c r="J2310" s="36" t="s">
        <v>34836</v>
      </c>
      <c r="K2310" s="36" t="s">
        <v>14330</v>
      </c>
      <c r="L2310" s="36" t="s">
        <v>14330</v>
      </c>
      <c r="M2310">
        <v>2</v>
      </c>
      <c r="N2310" t="s">
        <v>14331</v>
      </c>
      <c r="O2310" t="s">
        <v>32633</v>
      </c>
    </row>
    <row r="2311" spans="1:15" x14ac:dyDescent="0.25">
      <c r="A2311" s="35" t="s">
        <v>7328</v>
      </c>
      <c r="B2311" s="36" t="s">
        <v>7329</v>
      </c>
      <c r="C2311" s="36" t="str">
        <f>HYPERLINK("https://rhld.insurance.arkansas.gov/NPILookup?Npi=1073810263","1073810263")</f>
        <v>1073810263</v>
      </c>
      <c r="D2311" s="36" t="s">
        <v>34955</v>
      </c>
      <c r="E2311" s="36" t="s">
        <v>2</v>
      </c>
      <c r="F2311" s="36">
        <v>1</v>
      </c>
      <c r="G2311" s="36">
        <v>2</v>
      </c>
      <c r="H2311" s="36">
        <v>0</v>
      </c>
      <c r="I2311" s="37">
        <v>0</v>
      </c>
      <c r="J2311" s="36" t="s">
        <v>32679</v>
      </c>
      <c r="K2311" s="36" t="s">
        <v>14330</v>
      </c>
      <c r="L2311" s="36" t="s">
        <v>14330</v>
      </c>
      <c r="M2311">
        <v>2</v>
      </c>
      <c r="N2311" t="s">
        <v>14331</v>
      </c>
      <c r="O2311" t="s">
        <v>14333</v>
      </c>
    </row>
    <row r="2312" spans="1:15" x14ac:dyDescent="0.25">
      <c r="A2312" s="35" t="s">
        <v>7328</v>
      </c>
      <c r="B2312" s="36" t="s">
        <v>7329</v>
      </c>
      <c r="C2312" s="36" t="str">
        <f>HYPERLINK("https://rhld.insurance.arkansas.gov/NPILookup?Npi=1073889408","1073889408")</f>
        <v>1073889408</v>
      </c>
      <c r="D2312" s="36" t="s">
        <v>34956</v>
      </c>
      <c r="E2312" s="36" t="s">
        <v>1</v>
      </c>
      <c r="F2312" s="36">
        <v>1</v>
      </c>
      <c r="G2312" s="36">
        <v>2</v>
      </c>
      <c r="H2312" s="36">
        <v>0</v>
      </c>
      <c r="I2312" s="37">
        <v>0</v>
      </c>
      <c r="J2312" s="36" t="s">
        <v>34836</v>
      </c>
      <c r="K2312" s="36" t="s">
        <v>14330</v>
      </c>
      <c r="L2312" s="36" t="s">
        <v>14330</v>
      </c>
      <c r="M2312">
        <v>2</v>
      </c>
      <c r="N2312" t="s">
        <v>14331</v>
      </c>
      <c r="O2312" t="s">
        <v>32633</v>
      </c>
    </row>
    <row r="2313" spans="1:15" x14ac:dyDescent="0.25">
      <c r="A2313" s="35" t="s">
        <v>7328</v>
      </c>
      <c r="B2313" s="36" t="s">
        <v>7329</v>
      </c>
      <c r="C2313" s="36" t="str">
        <f>HYPERLINK("https://rhld.insurance.arkansas.gov/NPILookup?Npi=1073967493","1073967493")</f>
        <v>1073967493</v>
      </c>
      <c r="D2313" s="36" t="s">
        <v>34957</v>
      </c>
      <c r="E2313" s="36" t="s">
        <v>1</v>
      </c>
      <c r="F2313" s="36">
        <v>1</v>
      </c>
      <c r="G2313" s="36">
        <v>2</v>
      </c>
      <c r="H2313" s="36">
        <v>0</v>
      </c>
      <c r="I2313" s="37">
        <v>0</v>
      </c>
      <c r="J2313" s="36" t="s">
        <v>34836</v>
      </c>
      <c r="K2313" s="36" t="s">
        <v>14330</v>
      </c>
      <c r="L2313" s="36" t="s">
        <v>14330</v>
      </c>
      <c r="M2313">
        <v>2</v>
      </c>
      <c r="N2313" t="s">
        <v>14331</v>
      </c>
      <c r="O2313" t="s">
        <v>32633</v>
      </c>
    </row>
    <row r="2314" spans="1:15" x14ac:dyDescent="0.25">
      <c r="A2314" s="35" t="s">
        <v>7328</v>
      </c>
      <c r="B2314" s="36" t="s">
        <v>7329</v>
      </c>
      <c r="C2314" s="36" t="str">
        <f>HYPERLINK("https://rhld.insurance.arkansas.gov/NPILookup?Npi=1083082739","1083082739")</f>
        <v>1083082739</v>
      </c>
      <c r="D2314" s="36" t="s">
        <v>34958</v>
      </c>
      <c r="E2314" s="36" t="s">
        <v>1</v>
      </c>
      <c r="F2314" s="36">
        <v>1</v>
      </c>
      <c r="G2314" s="36">
        <v>2</v>
      </c>
      <c r="H2314" s="36">
        <v>0</v>
      </c>
      <c r="I2314" s="37">
        <v>0</v>
      </c>
      <c r="J2314" s="36" t="s">
        <v>32654</v>
      </c>
      <c r="K2314" s="36" t="s">
        <v>14330</v>
      </c>
      <c r="L2314" s="36" t="s">
        <v>14330</v>
      </c>
      <c r="M2314">
        <v>2</v>
      </c>
      <c r="N2314" t="s">
        <v>14331</v>
      </c>
      <c r="O2314" t="s">
        <v>32633</v>
      </c>
    </row>
    <row r="2315" spans="1:15" x14ac:dyDescent="0.25">
      <c r="A2315" s="35" t="s">
        <v>7328</v>
      </c>
      <c r="B2315" s="36" t="s">
        <v>7329</v>
      </c>
      <c r="C2315" s="36" t="str">
        <f>HYPERLINK("https://rhld.insurance.arkansas.gov/NPILookup?Npi=1083101208","1083101208")</f>
        <v>1083101208</v>
      </c>
      <c r="D2315" s="36" t="s">
        <v>34959</v>
      </c>
      <c r="E2315" s="36" t="s">
        <v>1</v>
      </c>
      <c r="F2315" s="36">
        <v>1</v>
      </c>
      <c r="G2315" s="36">
        <v>2</v>
      </c>
      <c r="H2315" s="36">
        <v>0</v>
      </c>
      <c r="I2315" s="37">
        <v>0</v>
      </c>
      <c r="J2315" s="36" t="s">
        <v>34836</v>
      </c>
      <c r="K2315" s="36" t="s">
        <v>14330</v>
      </c>
      <c r="L2315" s="36" t="s">
        <v>14330</v>
      </c>
      <c r="M2315">
        <v>2</v>
      </c>
      <c r="N2315" t="s">
        <v>14331</v>
      </c>
      <c r="O2315" t="s">
        <v>32633</v>
      </c>
    </row>
    <row r="2316" spans="1:15" x14ac:dyDescent="0.25">
      <c r="A2316" s="35" t="s">
        <v>7328</v>
      </c>
      <c r="B2316" s="36" t="s">
        <v>7329</v>
      </c>
      <c r="C2316" s="36" t="str">
        <f>HYPERLINK("https://rhld.insurance.arkansas.gov/NPILookup?Npi=1083177133","1083177133")</f>
        <v>1083177133</v>
      </c>
      <c r="D2316" s="36" t="s">
        <v>34960</v>
      </c>
      <c r="E2316" s="36" t="s">
        <v>1</v>
      </c>
      <c r="F2316" s="36">
        <v>1</v>
      </c>
      <c r="G2316" s="36">
        <v>2</v>
      </c>
      <c r="H2316" s="36">
        <v>0</v>
      </c>
      <c r="I2316" s="37">
        <v>0</v>
      </c>
      <c r="J2316" s="36" t="s">
        <v>34836</v>
      </c>
      <c r="K2316" s="36" t="s">
        <v>14330</v>
      </c>
      <c r="L2316" s="36" t="s">
        <v>14330</v>
      </c>
      <c r="M2316">
        <v>2</v>
      </c>
      <c r="N2316" t="s">
        <v>14331</v>
      </c>
      <c r="O2316" t="s">
        <v>32633</v>
      </c>
    </row>
    <row r="2317" spans="1:15" x14ac:dyDescent="0.25">
      <c r="A2317" s="35" t="s">
        <v>7328</v>
      </c>
      <c r="B2317" s="36" t="s">
        <v>7329</v>
      </c>
      <c r="C2317" s="36" t="str">
        <f>HYPERLINK("https://rhld.insurance.arkansas.gov/NPILookup?Npi=1083289144","1083289144")</f>
        <v>1083289144</v>
      </c>
      <c r="D2317" s="36" t="s">
        <v>34961</v>
      </c>
      <c r="E2317" s="36" t="s">
        <v>2</v>
      </c>
      <c r="F2317" s="36">
        <v>1</v>
      </c>
      <c r="G2317" s="36">
        <v>2</v>
      </c>
      <c r="H2317" s="36">
        <v>0</v>
      </c>
      <c r="I2317" s="37">
        <v>0</v>
      </c>
      <c r="J2317" s="36"/>
      <c r="K2317" s="36" t="s">
        <v>14330</v>
      </c>
      <c r="L2317" s="36" t="s">
        <v>14330</v>
      </c>
      <c r="M2317">
        <v>2</v>
      </c>
      <c r="N2317" t="s">
        <v>14331</v>
      </c>
      <c r="O2317" t="s">
        <v>14333</v>
      </c>
    </row>
    <row r="2318" spans="1:15" x14ac:dyDescent="0.25">
      <c r="A2318" s="35" t="s">
        <v>7328</v>
      </c>
      <c r="B2318" s="36" t="s">
        <v>7329</v>
      </c>
      <c r="C2318" s="36" t="str">
        <f>HYPERLINK("https://rhld.insurance.arkansas.gov/NPILookup?Npi=1083315170","1083315170")</f>
        <v>1083315170</v>
      </c>
      <c r="D2318" s="36" t="s">
        <v>34962</v>
      </c>
      <c r="E2318" s="36" t="s">
        <v>2</v>
      </c>
      <c r="F2318" s="36">
        <v>1</v>
      </c>
      <c r="G2318" s="36">
        <v>2</v>
      </c>
      <c r="H2318" s="36">
        <v>0</v>
      </c>
      <c r="I2318" s="37">
        <v>0</v>
      </c>
      <c r="J2318" s="36"/>
      <c r="K2318" s="36" t="s">
        <v>14330</v>
      </c>
      <c r="L2318" s="36" t="s">
        <v>14330</v>
      </c>
      <c r="M2318">
        <v>2</v>
      </c>
      <c r="N2318" t="s">
        <v>14331</v>
      </c>
      <c r="O2318" t="s">
        <v>14333</v>
      </c>
    </row>
    <row r="2319" spans="1:15" x14ac:dyDescent="0.25">
      <c r="A2319" s="35" t="s">
        <v>7328</v>
      </c>
      <c r="B2319" s="36" t="s">
        <v>7329</v>
      </c>
      <c r="C2319" s="36" t="str">
        <f>HYPERLINK("https://rhld.insurance.arkansas.gov/NPILookup?Npi=1083319750","1083319750")</f>
        <v>1083319750</v>
      </c>
      <c r="D2319" s="36" t="s">
        <v>34963</v>
      </c>
      <c r="E2319" s="36" t="s">
        <v>1</v>
      </c>
      <c r="F2319" s="36">
        <v>1</v>
      </c>
      <c r="G2319" s="36">
        <v>2</v>
      </c>
      <c r="H2319" s="36">
        <v>0</v>
      </c>
      <c r="I2319" s="37">
        <v>0</v>
      </c>
      <c r="J2319" s="36" t="s">
        <v>32654</v>
      </c>
      <c r="K2319" s="36" t="s">
        <v>14330</v>
      </c>
      <c r="L2319" s="36" t="s">
        <v>14330</v>
      </c>
      <c r="M2319">
        <v>2</v>
      </c>
      <c r="N2319" t="s">
        <v>14331</v>
      </c>
      <c r="O2319" t="s">
        <v>32633</v>
      </c>
    </row>
    <row r="2320" spans="1:15" x14ac:dyDescent="0.25">
      <c r="A2320" s="35" t="s">
        <v>7328</v>
      </c>
      <c r="B2320" s="36" t="s">
        <v>7329</v>
      </c>
      <c r="C2320" s="36" t="str">
        <f>HYPERLINK("https://rhld.insurance.arkansas.gov/NPILookup?Npi=1083320238","1083320238")</f>
        <v>1083320238</v>
      </c>
      <c r="D2320" s="36" t="s">
        <v>34964</v>
      </c>
      <c r="E2320" s="36" t="s">
        <v>1</v>
      </c>
      <c r="F2320" s="36">
        <v>1</v>
      </c>
      <c r="G2320" s="36">
        <v>2</v>
      </c>
      <c r="H2320" s="36">
        <v>0</v>
      </c>
      <c r="I2320" s="37">
        <v>0</v>
      </c>
      <c r="J2320" s="36" t="s">
        <v>32654</v>
      </c>
      <c r="K2320" s="36" t="s">
        <v>14330</v>
      </c>
      <c r="L2320" s="36" t="s">
        <v>14330</v>
      </c>
      <c r="M2320">
        <v>2</v>
      </c>
      <c r="N2320" t="s">
        <v>14331</v>
      </c>
      <c r="O2320" t="s">
        <v>32633</v>
      </c>
    </row>
    <row r="2321" spans="1:15" x14ac:dyDescent="0.25">
      <c r="A2321" s="35" t="s">
        <v>7328</v>
      </c>
      <c r="B2321" s="36" t="s">
        <v>7329</v>
      </c>
      <c r="C2321" s="36" t="str">
        <f>HYPERLINK("https://rhld.insurance.arkansas.gov/NPILookup?Npi=1083433403","1083433403")</f>
        <v>1083433403</v>
      </c>
      <c r="D2321" s="36" t="s">
        <v>34672</v>
      </c>
      <c r="E2321" s="36" t="s">
        <v>2</v>
      </c>
      <c r="F2321" s="36">
        <v>1</v>
      </c>
      <c r="G2321" s="36">
        <v>2</v>
      </c>
      <c r="H2321" s="36">
        <v>0</v>
      </c>
      <c r="I2321" s="37">
        <v>0</v>
      </c>
      <c r="J2321" s="36"/>
      <c r="K2321" s="36" t="s">
        <v>14330</v>
      </c>
      <c r="L2321" s="36" t="s">
        <v>14330</v>
      </c>
      <c r="M2321">
        <v>2</v>
      </c>
      <c r="N2321" t="s">
        <v>14331</v>
      </c>
      <c r="O2321" t="s">
        <v>14333</v>
      </c>
    </row>
    <row r="2322" spans="1:15" x14ac:dyDescent="0.25">
      <c r="A2322" s="35" t="s">
        <v>7328</v>
      </c>
      <c r="B2322" s="36" t="s">
        <v>7329</v>
      </c>
      <c r="C2322" s="36" t="str">
        <f>HYPERLINK("https://rhld.insurance.arkansas.gov/NPILookup?Npi=1083433981","1083433981")</f>
        <v>1083433981</v>
      </c>
      <c r="D2322" s="36" t="s">
        <v>31279</v>
      </c>
      <c r="E2322" s="36" t="s">
        <v>2</v>
      </c>
      <c r="F2322" s="36">
        <v>1</v>
      </c>
      <c r="G2322" s="36">
        <v>2</v>
      </c>
      <c r="H2322" s="36">
        <v>0</v>
      </c>
      <c r="I2322" s="37">
        <v>0</v>
      </c>
      <c r="J2322" s="36"/>
      <c r="K2322" s="36" t="s">
        <v>14330</v>
      </c>
      <c r="L2322" s="36" t="s">
        <v>14330</v>
      </c>
      <c r="M2322">
        <v>3</v>
      </c>
      <c r="N2322" t="s">
        <v>14331</v>
      </c>
      <c r="O2322" t="s">
        <v>14333</v>
      </c>
    </row>
    <row r="2323" spans="1:15" x14ac:dyDescent="0.25">
      <c r="A2323" s="35" t="s">
        <v>7328</v>
      </c>
      <c r="B2323" s="36" t="s">
        <v>7329</v>
      </c>
      <c r="C2323" s="36" t="str">
        <f>HYPERLINK("https://rhld.insurance.arkansas.gov/NPILookup?Npi=1083601140","1083601140")</f>
        <v>1083601140</v>
      </c>
      <c r="D2323" s="36" t="s">
        <v>34965</v>
      </c>
      <c r="E2323" s="36" t="s">
        <v>1</v>
      </c>
      <c r="F2323" s="36">
        <v>1</v>
      </c>
      <c r="G2323" s="36">
        <v>3</v>
      </c>
      <c r="H2323" s="36">
        <v>0</v>
      </c>
      <c r="I2323" s="37">
        <v>0</v>
      </c>
      <c r="J2323" s="36" t="s">
        <v>32723</v>
      </c>
      <c r="K2323" s="36" t="s">
        <v>14330</v>
      </c>
      <c r="L2323" s="36" t="s">
        <v>14330</v>
      </c>
      <c r="M2323">
        <v>3</v>
      </c>
      <c r="N2323" t="s">
        <v>14331</v>
      </c>
      <c r="O2323" t="s">
        <v>32724</v>
      </c>
    </row>
    <row r="2324" spans="1:15" x14ac:dyDescent="0.25">
      <c r="A2324" s="35" t="s">
        <v>7328</v>
      </c>
      <c r="B2324" s="36" t="s">
        <v>7329</v>
      </c>
      <c r="C2324" s="36" t="str">
        <f>HYPERLINK("https://rhld.insurance.arkansas.gov/NPILookup?Npi=1083608889","1083608889")</f>
        <v>1083608889</v>
      </c>
      <c r="D2324" s="36" t="s">
        <v>32731</v>
      </c>
      <c r="E2324" s="36" t="s">
        <v>1</v>
      </c>
      <c r="F2324" s="36">
        <v>1</v>
      </c>
      <c r="G2324" s="36">
        <v>3</v>
      </c>
      <c r="H2324" s="36">
        <v>0</v>
      </c>
      <c r="I2324" s="37">
        <v>0</v>
      </c>
      <c r="J2324" s="36" t="s">
        <v>34836</v>
      </c>
      <c r="K2324" s="36" t="s">
        <v>14330</v>
      </c>
      <c r="L2324" s="36" t="s">
        <v>14330</v>
      </c>
      <c r="M2324">
        <v>3</v>
      </c>
      <c r="N2324" t="s">
        <v>14331</v>
      </c>
      <c r="O2324" t="s">
        <v>32633</v>
      </c>
    </row>
    <row r="2325" spans="1:15" x14ac:dyDescent="0.25">
      <c r="A2325" s="35" t="s">
        <v>7328</v>
      </c>
      <c r="B2325" s="36" t="s">
        <v>7329</v>
      </c>
      <c r="C2325" s="36" t="str">
        <f>HYPERLINK("https://rhld.insurance.arkansas.gov/NPILookup?Npi=1083635577","1083635577")</f>
        <v>1083635577</v>
      </c>
      <c r="D2325" s="36" t="s">
        <v>34966</v>
      </c>
      <c r="E2325" s="36" t="s">
        <v>1</v>
      </c>
      <c r="F2325" s="36">
        <v>1</v>
      </c>
      <c r="G2325" s="36">
        <v>3</v>
      </c>
      <c r="H2325" s="36">
        <v>0</v>
      </c>
      <c r="I2325" s="37">
        <v>0</v>
      </c>
      <c r="J2325" s="36" t="s">
        <v>32654</v>
      </c>
      <c r="K2325" s="36" t="s">
        <v>14330</v>
      </c>
      <c r="L2325" s="36" t="s">
        <v>14330</v>
      </c>
      <c r="M2325">
        <v>3</v>
      </c>
      <c r="N2325" t="s">
        <v>14331</v>
      </c>
      <c r="O2325" t="s">
        <v>32633</v>
      </c>
    </row>
    <row r="2326" spans="1:15" x14ac:dyDescent="0.25">
      <c r="A2326" s="35" t="s">
        <v>7328</v>
      </c>
      <c r="B2326" s="36" t="s">
        <v>7329</v>
      </c>
      <c r="C2326" s="36" t="str">
        <f>HYPERLINK("https://rhld.insurance.arkansas.gov/NPILookup?Npi=1083670095","1083670095")</f>
        <v>1083670095</v>
      </c>
      <c r="D2326" s="36" t="s">
        <v>34967</v>
      </c>
      <c r="E2326" s="36" t="s">
        <v>1</v>
      </c>
      <c r="F2326" s="36">
        <v>1</v>
      </c>
      <c r="G2326" s="36">
        <v>3</v>
      </c>
      <c r="H2326" s="36">
        <v>0</v>
      </c>
      <c r="I2326" s="37">
        <v>0</v>
      </c>
      <c r="J2326" s="36" t="s">
        <v>32654</v>
      </c>
      <c r="K2326" s="36" t="s">
        <v>14330</v>
      </c>
      <c r="L2326" s="36" t="s">
        <v>14330</v>
      </c>
      <c r="M2326">
        <v>3</v>
      </c>
      <c r="N2326" t="s">
        <v>14331</v>
      </c>
      <c r="O2326" t="s">
        <v>32633</v>
      </c>
    </row>
    <row r="2327" spans="1:15" x14ac:dyDescent="0.25">
      <c r="A2327" s="35" t="s">
        <v>7328</v>
      </c>
      <c r="B2327" s="36" t="s">
        <v>7329</v>
      </c>
      <c r="C2327" s="36" t="str">
        <f>HYPERLINK("https://rhld.insurance.arkansas.gov/NPILookup?Npi=1083680862","1083680862")</f>
        <v>1083680862</v>
      </c>
      <c r="D2327" s="36" t="s">
        <v>34968</v>
      </c>
      <c r="E2327" s="36" t="s">
        <v>1</v>
      </c>
      <c r="F2327" s="36">
        <v>1</v>
      </c>
      <c r="G2327" s="36">
        <v>3</v>
      </c>
      <c r="H2327" s="36">
        <v>0</v>
      </c>
      <c r="I2327" s="37">
        <v>0</v>
      </c>
      <c r="J2327" s="36" t="s">
        <v>34836</v>
      </c>
      <c r="K2327" s="36" t="s">
        <v>14330</v>
      </c>
      <c r="L2327" s="36" t="s">
        <v>14330</v>
      </c>
      <c r="M2327">
        <v>0</v>
      </c>
      <c r="N2327" t="s">
        <v>14331</v>
      </c>
      <c r="O2327" t="s">
        <v>32633</v>
      </c>
    </row>
    <row r="2328" spans="1:15" x14ac:dyDescent="0.25">
      <c r="A2328" s="35" t="s">
        <v>7328</v>
      </c>
      <c r="B2328" s="36" t="s">
        <v>7329</v>
      </c>
      <c r="C2328" s="36" t="str">
        <f>HYPERLINK("https://rhld.insurance.arkansas.gov/NPILookup?Npi=1083861389","1083861389")</f>
        <v>1083861389</v>
      </c>
      <c r="D2328" s="36" t="s">
        <v>34969</v>
      </c>
      <c r="E2328" s="36" t="s">
        <v>1</v>
      </c>
      <c r="F2328" s="36">
        <v>1</v>
      </c>
      <c r="G2328" s="36">
        <v>1</v>
      </c>
      <c r="H2328" s="36">
        <v>1</v>
      </c>
      <c r="I2328" s="37">
        <v>0</v>
      </c>
      <c r="J2328" s="36" t="s">
        <v>34836</v>
      </c>
      <c r="K2328" s="36" t="s">
        <v>14330</v>
      </c>
      <c r="L2328" s="36" t="s">
        <v>34970</v>
      </c>
      <c r="M2328">
        <v>2</v>
      </c>
      <c r="N2328" t="s">
        <v>14332</v>
      </c>
      <c r="O2328" t="s">
        <v>34971</v>
      </c>
    </row>
    <row r="2329" spans="1:15" x14ac:dyDescent="0.25">
      <c r="A2329" s="35" t="s">
        <v>7328</v>
      </c>
      <c r="B2329" s="36" t="s">
        <v>7329</v>
      </c>
      <c r="C2329" s="36" t="str">
        <f>HYPERLINK("https://rhld.insurance.arkansas.gov/NPILookup?Npi=1083889703","1083889703")</f>
        <v>1083889703</v>
      </c>
      <c r="D2329" s="36" t="s">
        <v>34972</v>
      </c>
      <c r="E2329" s="36" t="s">
        <v>1</v>
      </c>
      <c r="F2329" s="36">
        <v>1</v>
      </c>
      <c r="G2329" s="36">
        <v>2</v>
      </c>
      <c r="H2329" s="36">
        <v>0</v>
      </c>
      <c r="I2329" s="37">
        <v>0</v>
      </c>
      <c r="J2329" s="36" t="s">
        <v>34836</v>
      </c>
      <c r="K2329" s="36" t="s">
        <v>14330</v>
      </c>
      <c r="L2329" s="36" t="s">
        <v>14330</v>
      </c>
      <c r="M2329">
        <v>3</v>
      </c>
      <c r="N2329" t="s">
        <v>14331</v>
      </c>
      <c r="O2329" t="s">
        <v>32633</v>
      </c>
    </row>
    <row r="2330" spans="1:15" x14ac:dyDescent="0.25">
      <c r="A2330" s="35" t="s">
        <v>7328</v>
      </c>
      <c r="B2330" s="36" t="s">
        <v>7329</v>
      </c>
      <c r="C2330" s="36" t="str">
        <f>HYPERLINK("https://rhld.insurance.arkansas.gov/NPILookup?Npi=1083898803","1083898803")</f>
        <v>1083898803</v>
      </c>
      <c r="D2330" s="36" t="s">
        <v>34973</v>
      </c>
      <c r="E2330" s="36" t="s">
        <v>1</v>
      </c>
      <c r="F2330" s="36">
        <v>1</v>
      </c>
      <c r="G2330" s="36">
        <v>3</v>
      </c>
      <c r="H2330" s="36">
        <v>0</v>
      </c>
      <c r="I2330" s="37">
        <v>0</v>
      </c>
      <c r="J2330" s="36" t="s">
        <v>32654</v>
      </c>
      <c r="K2330" s="36" t="s">
        <v>14330</v>
      </c>
      <c r="L2330" s="36" t="s">
        <v>14330</v>
      </c>
      <c r="M2330">
        <v>3</v>
      </c>
      <c r="N2330" t="s">
        <v>14331</v>
      </c>
      <c r="O2330" t="s">
        <v>32633</v>
      </c>
    </row>
    <row r="2331" spans="1:15" x14ac:dyDescent="0.25">
      <c r="A2331" s="35" t="s">
        <v>7328</v>
      </c>
      <c r="B2331" s="36" t="s">
        <v>7329</v>
      </c>
      <c r="C2331" s="36" t="str">
        <f>HYPERLINK("https://rhld.insurance.arkansas.gov/NPILookup?Npi=1083957641","1083957641")</f>
        <v>1083957641</v>
      </c>
      <c r="D2331" s="36" t="s">
        <v>34974</v>
      </c>
      <c r="E2331" s="36" t="s">
        <v>1</v>
      </c>
      <c r="F2331" s="36">
        <v>1</v>
      </c>
      <c r="G2331" s="36">
        <v>3</v>
      </c>
      <c r="H2331" s="36">
        <v>0</v>
      </c>
      <c r="I2331" s="37">
        <v>0</v>
      </c>
      <c r="J2331" s="36" t="s">
        <v>32654</v>
      </c>
      <c r="K2331" s="36" t="s">
        <v>14330</v>
      </c>
      <c r="L2331" s="36" t="s">
        <v>14330</v>
      </c>
      <c r="M2331">
        <v>2</v>
      </c>
      <c r="N2331" t="s">
        <v>14331</v>
      </c>
      <c r="O2331" t="s">
        <v>32633</v>
      </c>
    </row>
    <row r="2332" spans="1:15" x14ac:dyDescent="0.25">
      <c r="A2332" s="35" t="s">
        <v>7328</v>
      </c>
      <c r="B2332" s="36" t="s">
        <v>7329</v>
      </c>
      <c r="C2332" s="36" t="str">
        <f>HYPERLINK("https://rhld.insurance.arkansas.gov/NPILookup?Npi=1093002768","1093002768")</f>
        <v>1093002768</v>
      </c>
      <c r="D2332" s="36" t="s">
        <v>34975</v>
      </c>
      <c r="E2332" s="36" t="s">
        <v>2</v>
      </c>
      <c r="F2332" s="36">
        <v>1</v>
      </c>
      <c r="G2332" s="36">
        <v>2</v>
      </c>
      <c r="H2332" s="36">
        <v>0</v>
      </c>
      <c r="I2332" s="37">
        <v>0</v>
      </c>
      <c r="J2332" s="36"/>
      <c r="K2332" s="36" t="s">
        <v>14330</v>
      </c>
      <c r="L2332" s="36" t="s">
        <v>14330</v>
      </c>
      <c r="M2332">
        <v>1</v>
      </c>
      <c r="N2332" t="s">
        <v>14331</v>
      </c>
      <c r="O2332" t="s">
        <v>14333</v>
      </c>
    </row>
    <row r="2333" spans="1:15" x14ac:dyDescent="0.25">
      <c r="A2333" s="35" t="s">
        <v>7328</v>
      </c>
      <c r="B2333" s="36" t="s">
        <v>7329</v>
      </c>
      <c r="C2333" s="36" t="str">
        <f>HYPERLINK("https://rhld.insurance.arkansas.gov/NPILookup?Npi=1093009078","1093009078")</f>
        <v>1093009078</v>
      </c>
      <c r="D2333" s="36" t="s">
        <v>34976</v>
      </c>
      <c r="E2333" s="36" t="s">
        <v>1</v>
      </c>
      <c r="F2333" s="36">
        <v>1</v>
      </c>
      <c r="G2333" s="36">
        <v>1</v>
      </c>
      <c r="H2333" s="36">
        <v>0</v>
      </c>
      <c r="I2333" s="37">
        <v>0</v>
      </c>
      <c r="J2333" s="36" t="s">
        <v>34836</v>
      </c>
      <c r="K2333" s="36" t="s">
        <v>14330</v>
      </c>
      <c r="L2333" s="36" t="s">
        <v>14330</v>
      </c>
      <c r="M2333">
        <v>2</v>
      </c>
      <c r="N2333" t="s">
        <v>14331</v>
      </c>
      <c r="O2333" t="s">
        <v>32633</v>
      </c>
    </row>
    <row r="2334" spans="1:15" x14ac:dyDescent="0.25">
      <c r="A2334" s="35" t="s">
        <v>7328</v>
      </c>
      <c r="B2334" s="36" t="s">
        <v>7329</v>
      </c>
      <c r="C2334" s="36" t="str">
        <f>HYPERLINK("https://rhld.insurance.arkansas.gov/NPILookup?Npi=1093042541","1093042541")</f>
        <v>1093042541</v>
      </c>
      <c r="D2334" s="36" t="s">
        <v>34977</v>
      </c>
      <c r="E2334" s="36" t="s">
        <v>2</v>
      </c>
      <c r="F2334" s="36">
        <v>1</v>
      </c>
      <c r="G2334" s="36">
        <v>2</v>
      </c>
      <c r="H2334" s="36">
        <v>0</v>
      </c>
      <c r="I2334" s="37">
        <v>0</v>
      </c>
      <c r="J2334" s="36" t="s">
        <v>32679</v>
      </c>
      <c r="K2334" s="36" t="s">
        <v>14330</v>
      </c>
      <c r="L2334" s="36" t="s">
        <v>14330</v>
      </c>
      <c r="M2334">
        <v>3</v>
      </c>
      <c r="N2334" t="s">
        <v>14331</v>
      </c>
      <c r="O2334" t="s">
        <v>14333</v>
      </c>
    </row>
    <row r="2335" spans="1:15" x14ac:dyDescent="0.25">
      <c r="A2335" s="35" t="s">
        <v>7328</v>
      </c>
      <c r="B2335" s="36" t="s">
        <v>7329</v>
      </c>
      <c r="C2335" s="36" t="str">
        <f>HYPERLINK("https://rhld.insurance.arkansas.gov/NPILookup?Npi=1093072597","1093072597")</f>
        <v>1093072597</v>
      </c>
      <c r="D2335" s="36" t="s">
        <v>34978</v>
      </c>
      <c r="E2335" s="36" t="s">
        <v>1</v>
      </c>
      <c r="F2335" s="36">
        <v>1</v>
      </c>
      <c r="G2335" s="36">
        <v>3</v>
      </c>
      <c r="H2335" s="36">
        <v>0</v>
      </c>
      <c r="I2335" s="37">
        <v>0</v>
      </c>
      <c r="J2335" s="36" t="s">
        <v>34836</v>
      </c>
      <c r="K2335" s="36" t="s">
        <v>14330</v>
      </c>
      <c r="L2335" s="36" t="s">
        <v>14330</v>
      </c>
      <c r="M2335">
        <v>2</v>
      </c>
      <c r="N2335" t="s">
        <v>14331</v>
      </c>
      <c r="O2335" t="s">
        <v>32633</v>
      </c>
    </row>
    <row r="2336" spans="1:15" x14ac:dyDescent="0.25">
      <c r="A2336" s="35" t="s">
        <v>7328</v>
      </c>
      <c r="B2336" s="36" t="s">
        <v>7329</v>
      </c>
      <c r="C2336" s="36" t="str">
        <f>HYPERLINK("https://rhld.insurance.arkansas.gov/NPILookup?Npi=1093101156","1093101156")</f>
        <v>1093101156</v>
      </c>
      <c r="D2336" s="36" t="s">
        <v>34979</v>
      </c>
      <c r="E2336" s="36" t="s">
        <v>1</v>
      </c>
      <c r="F2336" s="36">
        <v>1</v>
      </c>
      <c r="G2336" s="36">
        <v>2</v>
      </c>
      <c r="H2336" s="36">
        <v>0</v>
      </c>
      <c r="I2336" s="37">
        <v>0</v>
      </c>
      <c r="J2336" s="36" t="s">
        <v>34836</v>
      </c>
      <c r="K2336" s="36" t="s">
        <v>14330</v>
      </c>
      <c r="L2336" s="36" t="s">
        <v>14330</v>
      </c>
      <c r="M2336">
        <v>2</v>
      </c>
      <c r="N2336" t="s">
        <v>14331</v>
      </c>
      <c r="O2336" t="s">
        <v>32633</v>
      </c>
    </row>
    <row r="2337" spans="1:15" x14ac:dyDescent="0.25">
      <c r="A2337" s="35" t="s">
        <v>7328</v>
      </c>
      <c r="B2337" s="36" t="s">
        <v>7329</v>
      </c>
      <c r="C2337" s="36" t="str">
        <f>HYPERLINK("https://rhld.insurance.arkansas.gov/NPILookup?Npi=1093156309","1093156309")</f>
        <v>1093156309</v>
      </c>
      <c r="D2337" s="36" t="s">
        <v>34673</v>
      </c>
      <c r="E2337" s="36" t="s">
        <v>2</v>
      </c>
      <c r="F2337" s="36">
        <v>1</v>
      </c>
      <c r="G2337" s="36">
        <v>2</v>
      </c>
      <c r="H2337" s="36">
        <v>0</v>
      </c>
      <c r="I2337" s="37">
        <v>0</v>
      </c>
      <c r="J2337" s="36"/>
      <c r="K2337" s="36" t="s">
        <v>14330</v>
      </c>
      <c r="L2337" s="36" t="s">
        <v>14330</v>
      </c>
      <c r="M2337">
        <v>1</v>
      </c>
      <c r="N2337" t="s">
        <v>14331</v>
      </c>
      <c r="O2337" t="s">
        <v>14333</v>
      </c>
    </row>
    <row r="2338" spans="1:15" x14ac:dyDescent="0.25">
      <c r="A2338" s="35" t="s">
        <v>7328</v>
      </c>
      <c r="B2338" s="36" t="s">
        <v>7329</v>
      </c>
      <c r="C2338" s="36" t="str">
        <f>HYPERLINK("https://rhld.insurance.arkansas.gov/NPILookup?Npi=1093160343","1093160343")</f>
        <v>1093160343</v>
      </c>
      <c r="D2338" s="36" t="s">
        <v>34980</v>
      </c>
      <c r="E2338" s="36" t="s">
        <v>1</v>
      </c>
      <c r="F2338" s="36">
        <v>1</v>
      </c>
      <c r="G2338" s="36">
        <v>1</v>
      </c>
      <c r="H2338" s="36">
        <v>0</v>
      </c>
      <c r="I2338" s="37">
        <v>0</v>
      </c>
      <c r="J2338" s="36" t="s">
        <v>34836</v>
      </c>
      <c r="K2338" s="36" t="s">
        <v>14330</v>
      </c>
      <c r="L2338" s="36" t="s">
        <v>14330</v>
      </c>
      <c r="M2338">
        <v>2</v>
      </c>
      <c r="N2338" t="s">
        <v>14331</v>
      </c>
      <c r="O2338" t="s">
        <v>32633</v>
      </c>
    </row>
    <row r="2339" spans="1:15" x14ac:dyDescent="0.25">
      <c r="A2339" s="35" t="s">
        <v>7328</v>
      </c>
      <c r="B2339" s="36" t="s">
        <v>7329</v>
      </c>
      <c r="C2339" s="36" t="str">
        <f>HYPERLINK("https://rhld.insurance.arkansas.gov/NPILookup?Npi=1093274177","1093274177")</f>
        <v>1093274177</v>
      </c>
      <c r="D2339" s="36" t="s">
        <v>34981</v>
      </c>
      <c r="E2339" s="36" t="s">
        <v>2</v>
      </c>
      <c r="F2339" s="36">
        <v>1</v>
      </c>
      <c r="G2339" s="36">
        <v>2</v>
      </c>
      <c r="H2339" s="36">
        <v>0</v>
      </c>
      <c r="I2339" s="37">
        <v>0</v>
      </c>
      <c r="J2339" s="36"/>
      <c r="K2339" s="36" t="s">
        <v>14330</v>
      </c>
      <c r="L2339" s="36" t="s">
        <v>14330</v>
      </c>
      <c r="M2339">
        <v>3</v>
      </c>
      <c r="N2339" t="s">
        <v>14331</v>
      </c>
      <c r="O2339" t="s">
        <v>14333</v>
      </c>
    </row>
    <row r="2340" spans="1:15" x14ac:dyDescent="0.25">
      <c r="A2340" s="35" t="s">
        <v>7328</v>
      </c>
      <c r="B2340" s="36" t="s">
        <v>7329</v>
      </c>
      <c r="C2340" s="36" t="str">
        <f>HYPERLINK("https://rhld.insurance.arkansas.gov/NPILookup?Npi=1093413395","1093413395")</f>
        <v>1093413395</v>
      </c>
      <c r="D2340" s="36" t="s">
        <v>34982</v>
      </c>
      <c r="E2340" s="36" t="s">
        <v>1</v>
      </c>
      <c r="F2340" s="36">
        <v>1</v>
      </c>
      <c r="G2340" s="36">
        <v>3</v>
      </c>
      <c r="H2340" s="36">
        <v>0</v>
      </c>
      <c r="I2340" s="37">
        <v>0</v>
      </c>
      <c r="J2340" s="36" t="s">
        <v>32654</v>
      </c>
      <c r="K2340" s="36" t="s">
        <v>14330</v>
      </c>
      <c r="L2340" s="36" t="s">
        <v>14330</v>
      </c>
      <c r="M2340">
        <v>2</v>
      </c>
      <c r="N2340" t="s">
        <v>14331</v>
      </c>
      <c r="O2340" t="s">
        <v>32633</v>
      </c>
    </row>
    <row r="2341" spans="1:15" x14ac:dyDescent="0.25">
      <c r="A2341" s="35" t="s">
        <v>7328</v>
      </c>
      <c r="B2341" s="36" t="s">
        <v>7329</v>
      </c>
      <c r="C2341" s="36" t="str">
        <f>HYPERLINK("https://rhld.insurance.arkansas.gov/NPILookup?Npi=1093435869","1093435869")</f>
        <v>1093435869</v>
      </c>
      <c r="D2341" s="36" t="s">
        <v>34983</v>
      </c>
      <c r="E2341" s="36" t="s">
        <v>2</v>
      </c>
      <c r="F2341" s="36">
        <v>1</v>
      </c>
      <c r="G2341" s="36">
        <v>2</v>
      </c>
      <c r="H2341" s="36">
        <v>0</v>
      </c>
      <c r="I2341" s="37">
        <v>0</v>
      </c>
      <c r="J2341" s="36"/>
      <c r="K2341" s="36" t="s">
        <v>14330</v>
      </c>
      <c r="L2341" s="36" t="s">
        <v>14330</v>
      </c>
      <c r="M2341">
        <v>2</v>
      </c>
      <c r="N2341" t="s">
        <v>14331</v>
      </c>
      <c r="O2341" t="s">
        <v>14333</v>
      </c>
    </row>
    <row r="2342" spans="1:15" x14ac:dyDescent="0.25">
      <c r="A2342" s="35" t="s">
        <v>7328</v>
      </c>
      <c r="B2342" s="36" t="s">
        <v>7329</v>
      </c>
      <c r="C2342" s="36" t="str">
        <f>HYPERLINK("https://rhld.insurance.arkansas.gov/NPILookup?Npi=1093526022","1093526022")</f>
        <v>1093526022</v>
      </c>
      <c r="D2342" s="36" t="s">
        <v>34674</v>
      </c>
      <c r="E2342" s="36" t="s">
        <v>2</v>
      </c>
      <c r="F2342" s="36">
        <v>1</v>
      </c>
      <c r="G2342" s="36">
        <v>2</v>
      </c>
      <c r="H2342" s="36">
        <v>0</v>
      </c>
      <c r="I2342" s="37">
        <v>0</v>
      </c>
      <c r="J2342" s="36"/>
      <c r="K2342" s="36" t="s">
        <v>14330</v>
      </c>
      <c r="L2342" s="36" t="s">
        <v>14330</v>
      </c>
      <c r="M2342">
        <v>1</v>
      </c>
      <c r="N2342" t="s">
        <v>14331</v>
      </c>
      <c r="O2342" t="s">
        <v>14333</v>
      </c>
    </row>
    <row r="2343" spans="1:15" x14ac:dyDescent="0.25">
      <c r="A2343" s="35" t="s">
        <v>7328</v>
      </c>
      <c r="B2343" s="36" t="s">
        <v>7329</v>
      </c>
      <c r="C2343" s="36" t="str">
        <f>HYPERLINK("https://rhld.insurance.arkansas.gov/NPILookup?Npi=1093548711","1093548711")</f>
        <v>1093548711</v>
      </c>
      <c r="D2343" s="36" t="s">
        <v>34675</v>
      </c>
      <c r="E2343" s="36" t="s">
        <v>2</v>
      </c>
      <c r="F2343" s="36">
        <v>1</v>
      </c>
      <c r="G2343" s="36">
        <v>1</v>
      </c>
      <c r="H2343" s="36">
        <v>0</v>
      </c>
      <c r="I2343" s="37">
        <v>0</v>
      </c>
      <c r="J2343" s="36"/>
      <c r="K2343" s="36" t="s">
        <v>14330</v>
      </c>
      <c r="L2343" s="36" t="s">
        <v>14330</v>
      </c>
      <c r="M2343">
        <v>2</v>
      </c>
      <c r="N2343" t="s">
        <v>14331</v>
      </c>
      <c r="O2343" t="s">
        <v>32633</v>
      </c>
    </row>
    <row r="2344" spans="1:15" x14ac:dyDescent="0.25">
      <c r="A2344" s="35" t="s">
        <v>7328</v>
      </c>
      <c r="B2344" s="36" t="s">
        <v>7329</v>
      </c>
      <c r="C2344" s="36" t="str">
        <f>HYPERLINK("https://rhld.insurance.arkansas.gov/NPILookup?Npi=1093550741","1093550741")</f>
        <v>1093550741</v>
      </c>
      <c r="D2344" s="36" t="s">
        <v>34186</v>
      </c>
      <c r="E2344" s="36" t="s">
        <v>2</v>
      </c>
      <c r="F2344" s="36">
        <v>1</v>
      </c>
      <c r="G2344" s="36">
        <v>2</v>
      </c>
      <c r="H2344" s="36">
        <v>0</v>
      </c>
      <c r="I2344" s="37">
        <v>0</v>
      </c>
      <c r="J2344" s="36"/>
      <c r="K2344" s="36" t="s">
        <v>14330</v>
      </c>
      <c r="L2344" s="36" t="s">
        <v>14330</v>
      </c>
      <c r="M2344">
        <v>2</v>
      </c>
      <c r="N2344" t="s">
        <v>14331</v>
      </c>
      <c r="O2344" t="s">
        <v>14333</v>
      </c>
    </row>
    <row r="2345" spans="1:15" x14ac:dyDescent="0.25">
      <c r="A2345" s="35" t="s">
        <v>7328</v>
      </c>
      <c r="B2345" s="36" t="s">
        <v>7329</v>
      </c>
      <c r="C2345" s="36" t="str">
        <f>HYPERLINK("https://rhld.insurance.arkansas.gov/NPILookup?Npi=1093579096","1093579096")</f>
        <v>1093579096</v>
      </c>
      <c r="D2345" s="36" t="s">
        <v>34984</v>
      </c>
      <c r="E2345" s="36" t="s">
        <v>2</v>
      </c>
      <c r="F2345" s="36">
        <v>1</v>
      </c>
      <c r="G2345" s="36">
        <v>2</v>
      </c>
      <c r="H2345" s="36">
        <v>0</v>
      </c>
      <c r="I2345" s="37">
        <v>0</v>
      </c>
      <c r="J2345" s="36"/>
      <c r="K2345" s="36" t="s">
        <v>14330</v>
      </c>
      <c r="L2345" s="36" t="s">
        <v>14330</v>
      </c>
      <c r="M2345">
        <v>2</v>
      </c>
      <c r="N2345" t="s">
        <v>14331</v>
      </c>
      <c r="O2345" t="s">
        <v>14333</v>
      </c>
    </row>
    <row r="2346" spans="1:15" x14ac:dyDescent="0.25">
      <c r="A2346" s="35" t="s">
        <v>7328</v>
      </c>
      <c r="B2346" s="36" t="s">
        <v>7329</v>
      </c>
      <c r="C2346" s="36" t="str">
        <f>HYPERLINK("https://rhld.insurance.arkansas.gov/NPILookup?Npi=1093751232","1093751232")</f>
        <v>1093751232</v>
      </c>
      <c r="D2346" s="36" t="s">
        <v>34985</v>
      </c>
      <c r="E2346" s="36" t="s">
        <v>1</v>
      </c>
      <c r="F2346" s="36">
        <v>1</v>
      </c>
      <c r="G2346" s="36">
        <v>2</v>
      </c>
      <c r="H2346" s="36">
        <v>0</v>
      </c>
      <c r="I2346" s="37">
        <v>0</v>
      </c>
      <c r="J2346" s="36" t="s">
        <v>32654</v>
      </c>
      <c r="K2346" s="36" t="s">
        <v>14330</v>
      </c>
      <c r="L2346" s="36" t="s">
        <v>14330</v>
      </c>
      <c r="M2346">
        <v>3</v>
      </c>
      <c r="N2346" t="s">
        <v>14331</v>
      </c>
      <c r="O2346" t="s">
        <v>32633</v>
      </c>
    </row>
    <row r="2347" spans="1:15" x14ac:dyDescent="0.25">
      <c r="A2347" s="35" t="s">
        <v>7328</v>
      </c>
      <c r="B2347" s="36" t="s">
        <v>7329</v>
      </c>
      <c r="C2347" s="36" t="str">
        <f>HYPERLINK("https://rhld.insurance.arkansas.gov/NPILookup?Npi=1093772923","1093772923")</f>
        <v>1093772923</v>
      </c>
      <c r="D2347" s="36" t="s">
        <v>34986</v>
      </c>
      <c r="E2347" s="36" t="s">
        <v>1</v>
      </c>
      <c r="F2347" s="36">
        <v>1</v>
      </c>
      <c r="G2347" s="36">
        <v>3</v>
      </c>
      <c r="H2347" s="36">
        <v>0</v>
      </c>
      <c r="I2347" s="37">
        <v>0</v>
      </c>
      <c r="J2347" s="36" t="s">
        <v>34836</v>
      </c>
      <c r="K2347" s="36" t="s">
        <v>14330</v>
      </c>
      <c r="L2347" s="36" t="s">
        <v>14330</v>
      </c>
      <c r="M2347">
        <v>3</v>
      </c>
      <c r="N2347" t="s">
        <v>14331</v>
      </c>
      <c r="O2347" t="s">
        <v>32633</v>
      </c>
    </row>
    <row r="2348" spans="1:15" x14ac:dyDescent="0.25">
      <c r="A2348" s="35" t="s">
        <v>7328</v>
      </c>
      <c r="B2348" s="36" t="s">
        <v>7329</v>
      </c>
      <c r="C2348" s="36" t="str">
        <f>HYPERLINK("https://rhld.insurance.arkansas.gov/NPILookup?Npi=1093875635","1093875635")</f>
        <v>1093875635</v>
      </c>
      <c r="D2348" s="36" t="s">
        <v>34987</v>
      </c>
      <c r="E2348" s="36" t="s">
        <v>1</v>
      </c>
      <c r="F2348" s="36">
        <v>1</v>
      </c>
      <c r="G2348" s="36">
        <v>3</v>
      </c>
      <c r="H2348" s="36">
        <v>0</v>
      </c>
      <c r="I2348" s="37">
        <v>0</v>
      </c>
      <c r="J2348" s="36" t="s">
        <v>34836</v>
      </c>
      <c r="K2348" s="36" t="s">
        <v>14330</v>
      </c>
      <c r="L2348" s="36" t="s">
        <v>14330</v>
      </c>
      <c r="M2348">
        <v>1</v>
      </c>
      <c r="N2348" t="s">
        <v>14331</v>
      </c>
      <c r="O2348" t="s">
        <v>32633</v>
      </c>
    </row>
    <row r="2349" spans="1:15" x14ac:dyDescent="0.25">
      <c r="A2349" s="35" t="s">
        <v>7328</v>
      </c>
      <c r="B2349" s="36" t="s">
        <v>7329</v>
      </c>
      <c r="C2349" s="36" t="str">
        <f>HYPERLINK("https://rhld.insurance.arkansas.gov/NPILookup?Npi=1093887945","1093887945")</f>
        <v>1093887945</v>
      </c>
      <c r="D2349" s="36" t="s">
        <v>34988</v>
      </c>
      <c r="E2349" s="36" t="s">
        <v>1</v>
      </c>
      <c r="F2349" s="36">
        <v>1</v>
      </c>
      <c r="G2349" s="36">
        <v>1</v>
      </c>
      <c r="H2349" s="36">
        <v>0</v>
      </c>
      <c r="I2349" s="37">
        <v>0</v>
      </c>
      <c r="J2349" s="36" t="s">
        <v>32654</v>
      </c>
      <c r="K2349" s="36" t="s">
        <v>14330</v>
      </c>
      <c r="L2349" s="36" t="s">
        <v>14330</v>
      </c>
      <c r="M2349">
        <v>2</v>
      </c>
      <c r="N2349" t="s">
        <v>14331</v>
      </c>
      <c r="O2349" t="s">
        <v>32633</v>
      </c>
    </row>
    <row r="2350" spans="1:15" x14ac:dyDescent="0.25">
      <c r="A2350" s="35" t="s">
        <v>7328</v>
      </c>
      <c r="B2350" s="36" t="s">
        <v>7329</v>
      </c>
      <c r="C2350" s="36" t="str">
        <f>HYPERLINK("https://rhld.insurance.arkansas.gov/NPILookup?Npi=1093891269","1093891269")</f>
        <v>1093891269</v>
      </c>
      <c r="D2350" s="36" t="s">
        <v>34989</v>
      </c>
      <c r="E2350" s="36" t="s">
        <v>1</v>
      </c>
      <c r="F2350" s="36">
        <v>1</v>
      </c>
      <c r="G2350" s="36">
        <v>2</v>
      </c>
      <c r="H2350" s="36">
        <v>0</v>
      </c>
      <c r="I2350" s="37">
        <v>0</v>
      </c>
      <c r="J2350" s="36" t="s">
        <v>34836</v>
      </c>
      <c r="K2350" s="36" t="s">
        <v>14330</v>
      </c>
      <c r="L2350" s="36" t="s">
        <v>14330</v>
      </c>
      <c r="M2350">
        <v>3</v>
      </c>
      <c r="N2350" t="s">
        <v>14331</v>
      </c>
      <c r="O2350" t="s">
        <v>32633</v>
      </c>
    </row>
    <row r="2351" spans="1:15" x14ac:dyDescent="0.25">
      <c r="A2351" s="35" t="s">
        <v>7328</v>
      </c>
      <c r="B2351" s="36" t="s">
        <v>7329</v>
      </c>
      <c r="C2351" s="36" t="str">
        <f>HYPERLINK("https://rhld.insurance.arkansas.gov/NPILookup?Npi=1104104330","1104104330")</f>
        <v>1104104330</v>
      </c>
      <c r="D2351" s="36" t="s">
        <v>34990</v>
      </c>
      <c r="E2351" s="36" t="s">
        <v>1</v>
      </c>
      <c r="F2351" s="36">
        <v>1</v>
      </c>
      <c r="G2351" s="36">
        <v>3</v>
      </c>
      <c r="H2351" s="36">
        <v>0</v>
      </c>
      <c r="I2351" s="37">
        <v>0</v>
      </c>
      <c r="J2351" s="36" t="s">
        <v>34836</v>
      </c>
      <c r="K2351" s="36" t="s">
        <v>14330</v>
      </c>
      <c r="L2351" s="36" t="s">
        <v>14330</v>
      </c>
      <c r="M2351">
        <v>2</v>
      </c>
      <c r="N2351" t="s">
        <v>14331</v>
      </c>
      <c r="O2351" t="s">
        <v>32633</v>
      </c>
    </row>
    <row r="2352" spans="1:15" x14ac:dyDescent="0.25">
      <c r="A2352" s="35" t="s">
        <v>7328</v>
      </c>
      <c r="B2352" s="36" t="s">
        <v>7329</v>
      </c>
      <c r="C2352" s="36" t="str">
        <f>HYPERLINK("https://rhld.insurance.arkansas.gov/NPILookup?Npi=1104181973","1104181973")</f>
        <v>1104181973</v>
      </c>
      <c r="D2352" s="36" t="s">
        <v>34991</v>
      </c>
      <c r="E2352" s="36" t="s">
        <v>1</v>
      </c>
      <c r="F2352" s="36">
        <v>1</v>
      </c>
      <c r="G2352" s="36">
        <v>2</v>
      </c>
      <c r="H2352" s="36">
        <v>0</v>
      </c>
      <c r="I2352" s="37">
        <v>0</v>
      </c>
      <c r="J2352" s="36" t="s">
        <v>34836</v>
      </c>
      <c r="K2352" s="36" t="s">
        <v>14330</v>
      </c>
      <c r="L2352" s="36" t="s">
        <v>14330</v>
      </c>
      <c r="M2352">
        <v>3</v>
      </c>
      <c r="N2352" t="s">
        <v>14331</v>
      </c>
      <c r="O2352" t="s">
        <v>32633</v>
      </c>
    </row>
    <row r="2353" spans="1:15" x14ac:dyDescent="0.25">
      <c r="A2353" s="35" t="s">
        <v>7328</v>
      </c>
      <c r="B2353" s="36" t="s">
        <v>7329</v>
      </c>
      <c r="C2353" s="36" t="str">
        <f>HYPERLINK("https://rhld.insurance.arkansas.gov/NPILookup?Npi=1104213842","1104213842")</f>
        <v>1104213842</v>
      </c>
      <c r="D2353" s="36" t="s">
        <v>34992</v>
      </c>
      <c r="E2353" s="36" t="s">
        <v>1</v>
      </c>
      <c r="F2353" s="36">
        <v>1</v>
      </c>
      <c r="G2353" s="36">
        <v>3</v>
      </c>
      <c r="H2353" s="36">
        <v>0</v>
      </c>
      <c r="I2353" s="37">
        <v>0</v>
      </c>
      <c r="J2353" s="36" t="s">
        <v>32654</v>
      </c>
      <c r="K2353" s="36" t="s">
        <v>14330</v>
      </c>
      <c r="L2353" s="36" t="s">
        <v>14330</v>
      </c>
      <c r="M2353">
        <v>2</v>
      </c>
      <c r="N2353" t="s">
        <v>14331</v>
      </c>
      <c r="O2353" t="s">
        <v>32633</v>
      </c>
    </row>
    <row r="2354" spans="1:15" x14ac:dyDescent="0.25">
      <c r="A2354" s="35" t="s">
        <v>7328</v>
      </c>
      <c r="B2354" s="36" t="s">
        <v>7329</v>
      </c>
      <c r="C2354" s="36" t="str">
        <f>HYPERLINK("https://rhld.insurance.arkansas.gov/NPILookup?Npi=1104251180","1104251180")</f>
        <v>1104251180</v>
      </c>
      <c r="D2354" s="36" t="s">
        <v>34993</v>
      </c>
      <c r="E2354" s="36" t="s">
        <v>1</v>
      </c>
      <c r="F2354" s="36">
        <v>1</v>
      </c>
      <c r="G2354" s="36">
        <v>2</v>
      </c>
      <c r="H2354" s="36">
        <v>0</v>
      </c>
      <c r="I2354" s="37">
        <v>0</v>
      </c>
      <c r="J2354" s="36" t="s">
        <v>32654</v>
      </c>
      <c r="K2354" s="36" t="s">
        <v>14330</v>
      </c>
      <c r="L2354" s="36" t="s">
        <v>14330</v>
      </c>
      <c r="M2354">
        <v>2</v>
      </c>
      <c r="N2354" t="s">
        <v>14331</v>
      </c>
      <c r="O2354" t="s">
        <v>32633</v>
      </c>
    </row>
    <row r="2355" spans="1:15" x14ac:dyDescent="0.25">
      <c r="A2355" s="35" t="s">
        <v>7328</v>
      </c>
      <c r="B2355" s="36" t="s">
        <v>7329</v>
      </c>
      <c r="C2355" s="36" t="str">
        <f>HYPERLINK("https://rhld.insurance.arkansas.gov/NPILookup?Npi=1104258979","1104258979")</f>
        <v>1104258979</v>
      </c>
      <c r="D2355" s="36" t="s">
        <v>34994</v>
      </c>
      <c r="E2355" s="36" t="s">
        <v>1</v>
      </c>
      <c r="F2355" s="36">
        <v>1</v>
      </c>
      <c r="G2355" s="36">
        <v>2</v>
      </c>
      <c r="H2355" s="36">
        <v>0</v>
      </c>
      <c r="I2355" s="37">
        <v>0</v>
      </c>
      <c r="J2355" s="36" t="s">
        <v>34836</v>
      </c>
      <c r="K2355" s="36" t="s">
        <v>14330</v>
      </c>
      <c r="L2355" s="36" t="s">
        <v>14330</v>
      </c>
      <c r="M2355">
        <v>3</v>
      </c>
      <c r="N2355" t="s">
        <v>14331</v>
      </c>
      <c r="O2355" t="s">
        <v>32633</v>
      </c>
    </row>
    <row r="2356" spans="1:15" x14ac:dyDescent="0.25">
      <c r="A2356" s="35" t="s">
        <v>7328</v>
      </c>
      <c r="B2356" s="36" t="s">
        <v>7329</v>
      </c>
      <c r="C2356" s="36" t="str">
        <f>HYPERLINK("https://rhld.insurance.arkansas.gov/NPILookup?Npi=1104267434","1104267434")</f>
        <v>1104267434</v>
      </c>
      <c r="D2356" s="36" t="s">
        <v>34995</v>
      </c>
      <c r="E2356" s="36" t="s">
        <v>1</v>
      </c>
      <c r="F2356" s="36">
        <v>1</v>
      </c>
      <c r="G2356" s="36">
        <v>3</v>
      </c>
      <c r="H2356" s="36">
        <v>0</v>
      </c>
      <c r="I2356" s="37">
        <v>0</v>
      </c>
      <c r="J2356" s="36" t="s">
        <v>34836</v>
      </c>
      <c r="K2356" s="36" t="s">
        <v>14330</v>
      </c>
      <c r="L2356" s="36" t="s">
        <v>14330</v>
      </c>
      <c r="M2356">
        <v>3</v>
      </c>
      <c r="N2356" t="s">
        <v>14331</v>
      </c>
      <c r="O2356" t="s">
        <v>32633</v>
      </c>
    </row>
    <row r="2357" spans="1:15" x14ac:dyDescent="0.25">
      <c r="A2357" s="35" t="s">
        <v>7328</v>
      </c>
      <c r="B2357" s="36" t="s">
        <v>7329</v>
      </c>
      <c r="C2357" s="36" t="str">
        <f>HYPERLINK("https://rhld.insurance.arkansas.gov/NPILookup?Npi=1104287747","1104287747")</f>
        <v>1104287747</v>
      </c>
      <c r="D2357" s="36" t="s">
        <v>34996</v>
      </c>
      <c r="E2357" s="36" t="s">
        <v>1</v>
      </c>
      <c r="F2357" s="36">
        <v>1</v>
      </c>
      <c r="G2357" s="36">
        <v>3</v>
      </c>
      <c r="H2357" s="36">
        <v>0</v>
      </c>
      <c r="I2357" s="37">
        <v>0</v>
      </c>
      <c r="J2357" s="36" t="s">
        <v>34836</v>
      </c>
      <c r="K2357" s="36" t="s">
        <v>14330</v>
      </c>
      <c r="L2357" s="36" t="s">
        <v>14330</v>
      </c>
      <c r="M2357">
        <v>2</v>
      </c>
      <c r="N2357" t="s">
        <v>14331</v>
      </c>
      <c r="O2357" t="s">
        <v>32633</v>
      </c>
    </row>
    <row r="2358" spans="1:15" x14ac:dyDescent="0.25">
      <c r="A2358" s="35" t="s">
        <v>7328</v>
      </c>
      <c r="B2358" s="36" t="s">
        <v>7329</v>
      </c>
      <c r="C2358" s="36" t="str">
        <f>HYPERLINK("https://rhld.insurance.arkansas.gov/NPILookup?Npi=1104306588","1104306588")</f>
        <v>1104306588</v>
      </c>
      <c r="D2358" s="36" t="s">
        <v>34677</v>
      </c>
      <c r="E2358" s="36" t="s">
        <v>2</v>
      </c>
      <c r="F2358" s="36">
        <v>1</v>
      </c>
      <c r="G2358" s="36">
        <v>2</v>
      </c>
      <c r="H2358" s="36">
        <v>0</v>
      </c>
      <c r="I2358" s="37">
        <v>0</v>
      </c>
      <c r="J2358" s="36"/>
      <c r="K2358" s="36" t="s">
        <v>14330</v>
      </c>
      <c r="L2358" s="36" t="s">
        <v>14330</v>
      </c>
      <c r="M2358">
        <v>2</v>
      </c>
      <c r="N2358" t="s">
        <v>14331</v>
      </c>
      <c r="O2358" t="s">
        <v>14333</v>
      </c>
    </row>
    <row r="2359" spans="1:15" x14ac:dyDescent="0.25">
      <c r="A2359" s="35" t="s">
        <v>7328</v>
      </c>
      <c r="B2359" s="36" t="s">
        <v>7329</v>
      </c>
      <c r="C2359" s="36" t="str">
        <f>HYPERLINK("https://rhld.insurance.arkansas.gov/NPILookup?Npi=1104313386","1104313386")</f>
        <v>1104313386</v>
      </c>
      <c r="D2359" s="36" t="s">
        <v>34997</v>
      </c>
      <c r="E2359" s="36" t="s">
        <v>2</v>
      </c>
      <c r="F2359" s="36">
        <v>1</v>
      </c>
      <c r="G2359" s="36">
        <v>2</v>
      </c>
      <c r="H2359" s="36">
        <v>0</v>
      </c>
      <c r="I2359" s="37">
        <v>0</v>
      </c>
      <c r="J2359" s="36" t="s">
        <v>32679</v>
      </c>
      <c r="K2359" s="36" t="s">
        <v>14330</v>
      </c>
      <c r="L2359" s="36" t="s">
        <v>14330</v>
      </c>
      <c r="M2359">
        <v>2</v>
      </c>
      <c r="N2359" t="s">
        <v>14331</v>
      </c>
      <c r="O2359" t="s">
        <v>14333</v>
      </c>
    </row>
    <row r="2360" spans="1:15" x14ac:dyDescent="0.25">
      <c r="A2360" s="35" t="s">
        <v>7328</v>
      </c>
      <c r="B2360" s="36" t="s">
        <v>7329</v>
      </c>
      <c r="C2360" s="36" t="str">
        <f>HYPERLINK("https://rhld.insurance.arkansas.gov/NPILookup?Npi=1104385632","1104385632")</f>
        <v>1104385632</v>
      </c>
      <c r="D2360" s="36" t="s">
        <v>34678</v>
      </c>
      <c r="E2360" s="36" t="s">
        <v>2</v>
      </c>
      <c r="F2360" s="36">
        <v>1</v>
      </c>
      <c r="G2360" s="36">
        <v>2</v>
      </c>
      <c r="H2360" s="36">
        <v>0</v>
      </c>
      <c r="I2360" s="37">
        <v>0</v>
      </c>
      <c r="J2360" s="36"/>
      <c r="K2360" s="36" t="s">
        <v>14330</v>
      </c>
      <c r="L2360" s="36" t="s">
        <v>14330</v>
      </c>
      <c r="M2360">
        <v>3</v>
      </c>
      <c r="N2360" t="s">
        <v>14331</v>
      </c>
      <c r="O2360" t="s">
        <v>14333</v>
      </c>
    </row>
    <row r="2361" spans="1:15" x14ac:dyDescent="0.25">
      <c r="A2361" s="35" t="s">
        <v>7328</v>
      </c>
      <c r="B2361" s="36" t="s">
        <v>7329</v>
      </c>
      <c r="C2361" s="36" t="str">
        <f>HYPERLINK("https://rhld.insurance.arkansas.gov/NPILookup?Npi=1104401025","1104401025")</f>
        <v>1104401025</v>
      </c>
      <c r="D2361" s="36" t="s">
        <v>34998</v>
      </c>
      <c r="E2361" s="36" t="s">
        <v>1</v>
      </c>
      <c r="F2361" s="36">
        <v>1</v>
      </c>
      <c r="G2361" s="36">
        <v>3</v>
      </c>
      <c r="H2361" s="36">
        <v>0</v>
      </c>
      <c r="I2361" s="37">
        <v>0</v>
      </c>
      <c r="J2361" s="36" t="s">
        <v>32654</v>
      </c>
      <c r="K2361" s="36" t="s">
        <v>14330</v>
      </c>
      <c r="L2361" s="36" t="s">
        <v>14330</v>
      </c>
      <c r="M2361">
        <v>2</v>
      </c>
      <c r="N2361" t="s">
        <v>14331</v>
      </c>
      <c r="O2361" t="s">
        <v>32633</v>
      </c>
    </row>
    <row r="2362" spans="1:15" x14ac:dyDescent="0.25">
      <c r="A2362" s="35" t="s">
        <v>7328</v>
      </c>
      <c r="B2362" s="36" t="s">
        <v>7329</v>
      </c>
      <c r="C2362" s="36" t="str">
        <f>HYPERLINK("https://rhld.insurance.arkansas.gov/NPILookup?Npi=1104433341","1104433341")</f>
        <v>1104433341</v>
      </c>
      <c r="D2362" s="36" t="s">
        <v>34999</v>
      </c>
      <c r="E2362" s="36" t="s">
        <v>2</v>
      </c>
      <c r="F2362" s="36">
        <v>2</v>
      </c>
      <c r="G2362" s="36">
        <v>2</v>
      </c>
      <c r="H2362" s="36">
        <v>0</v>
      </c>
      <c r="I2362" s="37">
        <v>0</v>
      </c>
      <c r="J2362" s="36" t="s">
        <v>33004</v>
      </c>
      <c r="K2362" s="36" t="s">
        <v>14330</v>
      </c>
      <c r="L2362" s="36" t="s">
        <v>14330</v>
      </c>
      <c r="M2362">
        <v>3</v>
      </c>
      <c r="N2362" t="s">
        <v>14331</v>
      </c>
      <c r="O2362" t="s">
        <v>14333</v>
      </c>
    </row>
    <row r="2363" spans="1:15" x14ac:dyDescent="0.25">
      <c r="A2363" s="35" t="s">
        <v>7328</v>
      </c>
      <c r="B2363" s="36" t="s">
        <v>7329</v>
      </c>
      <c r="C2363" s="36" t="str">
        <f>HYPERLINK("https://rhld.insurance.arkansas.gov/NPILookup?Npi=1104459114","1104459114")</f>
        <v>1104459114</v>
      </c>
      <c r="D2363" s="36" t="s">
        <v>35000</v>
      </c>
      <c r="E2363" s="36" t="s">
        <v>1</v>
      </c>
      <c r="F2363" s="36">
        <v>1</v>
      </c>
      <c r="G2363" s="36">
        <v>3</v>
      </c>
      <c r="H2363" s="36">
        <v>0</v>
      </c>
      <c r="I2363" s="37">
        <v>0</v>
      </c>
      <c r="J2363" s="36" t="s">
        <v>32654</v>
      </c>
      <c r="K2363" s="36" t="s">
        <v>14330</v>
      </c>
      <c r="L2363" s="36" t="s">
        <v>14330</v>
      </c>
      <c r="M2363">
        <v>2</v>
      </c>
      <c r="N2363" t="s">
        <v>14331</v>
      </c>
      <c r="O2363" t="s">
        <v>32633</v>
      </c>
    </row>
    <row r="2364" spans="1:15" x14ac:dyDescent="0.25">
      <c r="A2364" s="35" t="s">
        <v>7328</v>
      </c>
      <c r="B2364" s="36" t="s">
        <v>7329</v>
      </c>
      <c r="C2364" s="36" t="str">
        <f>HYPERLINK("https://rhld.insurance.arkansas.gov/NPILookup?Npi=1104464445","1104464445")</f>
        <v>1104464445</v>
      </c>
      <c r="D2364" s="36" t="s">
        <v>35001</v>
      </c>
      <c r="E2364" s="36" t="s">
        <v>1</v>
      </c>
      <c r="F2364" s="36">
        <v>1</v>
      </c>
      <c r="G2364" s="36">
        <v>2</v>
      </c>
      <c r="H2364" s="36">
        <v>0</v>
      </c>
      <c r="I2364" s="37">
        <v>0</v>
      </c>
      <c r="J2364" s="36" t="s">
        <v>32654</v>
      </c>
      <c r="K2364" s="36" t="s">
        <v>14330</v>
      </c>
      <c r="L2364" s="36" t="s">
        <v>14330</v>
      </c>
      <c r="M2364">
        <v>2</v>
      </c>
      <c r="N2364" t="s">
        <v>14331</v>
      </c>
      <c r="O2364" t="s">
        <v>32633</v>
      </c>
    </row>
    <row r="2365" spans="1:15" x14ac:dyDescent="0.25">
      <c r="A2365" s="35" t="s">
        <v>7328</v>
      </c>
      <c r="B2365" s="36" t="s">
        <v>7329</v>
      </c>
      <c r="C2365" s="36" t="str">
        <f>HYPERLINK("https://rhld.insurance.arkansas.gov/NPILookup?Npi=1104507300","1104507300")</f>
        <v>1104507300</v>
      </c>
      <c r="D2365" s="36" t="s">
        <v>35002</v>
      </c>
      <c r="E2365" s="36" t="s">
        <v>2</v>
      </c>
      <c r="F2365" s="36">
        <v>2</v>
      </c>
      <c r="G2365" s="36">
        <v>2</v>
      </c>
      <c r="H2365" s="36">
        <v>0</v>
      </c>
      <c r="I2365" s="37">
        <v>0</v>
      </c>
      <c r="J2365" s="36" t="s">
        <v>33004</v>
      </c>
      <c r="K2365" s="36" t="s">
        <v>14330</v>
      </c>
      <c r="L2365" s="36" t="s">
        <v>14330</v>
      </c>
      <c r="M2365">
        <v>2</v>
      </c>
      <c r="N2365" t="s">
        <v>14331</v>
      </c>
      <c r="O2365" t="s">
        <v>14333</v>
      </c>
    </row>
    <row r="2366" spans="1:15" x14ac:dyDescent="0.25">
      <c r="A2366" s="35" t="s">
        <v>7328</v>
      </c>
      <c r="B2366" s="36" t="s">
        <v>7329</v>
      </c>
      <c r="C2366" s="36" t="str">
        <f>HYPERLINK("https://rhld.insurance.arkansas.gov/NPILookup?Npi=1104627066","1104627066")</f>
        <v>1104627066</v>
      </c>
      <c r="D2366" s="36" t="s">
        <v>35003</v>
      </c>
      <c r="E2366" s="36" t="s">
        <v>2</v>
      </c>
      <c r="F2366" s="36">
        <v>1</v>
      </c>
      <c r="G2366" s="36">
        <v>2</v>
      </c>
      <c r="H2366" s="36">
        <v>0</v>
      </c>
      <c r="I2366" s="37">
        <v>0</v>
      </c>
      <c r="J2366" s="36"/>
      <c r="K2366" s="36" t="s">
        <v>14330</v>
      </c>
      <c r="L2366" s="36" t="s">
        <v>14330</v>
      </c>
      <c r="M2366">
        <v>1</v>
      </c>
      <c r="N2366" t="s">
        <v>14331</v>
      </c>
      <c r="O2366" t="s">
        <v>14333</v>
      </c>
    </row>
    <row r="2367" spans="1:15" x14ac:dyDescent="0.25">
      <c r="A2367" s="35" t="s">
        <v>7328</v>
      </c>
      <c r="B2367" s="36" t="s">
        <v>7329</v>
      </c>
      <c r="C2367" s="36" t="str">
        <f>HYPERLINK("https://rhld.insurance.arkansas.gov/NPILookup?Npi=1104696186","1104696186")</f>
        <v>1104696186</v>
      </c>
      <c r="D2367" s="36" t="s">
        <v>34679</v>
      </c>
      <c r="E2367" s="36" t="s">
        <v>2</v>
      </c>
      <c r="F2367" s="36">
        <v>1</v>
      </c>
      <c r="G2367" s="36">
        <v>1</v>
      </c>
      <c r="H2367" s="36">
        <v>0</v>
      </c>
      <c r="I2367" s="37">
        <v>0</v>
      </c>
      <c r="J2367" s="36"/>
      <c r="K2367" s="36" t="s">
        <v>14330</v>
      </c>
      <c r="L2367" s="36" t="s">
        <v>14330</v>
      </c>
      <c r="M2367">
        <v>3</v>
      </c>
      <c r="N2367" t="s">
        <v>14331</v>
      </c>
      <c r="O2367" t="s">
        <v>32633</v>
      </c>
    </row>
    <row r="2368" spans="1:15" x14ac:dyDescent="0.25">
      <c r="A2368" s="35" t="s">
        <v>7328</v>
      </c>
      <c r="B2368" s="36" t="s">
        <v>7329</v>
      </c>
      <c r="C2368" s="36" t="str">
        <f>HYPERLINK("https://rhld.insurance.arkansas.gov/NPILookup?Npi=1104822634","1104822634")</f>
        <v>1104822634</v>
      </c>
      <c r="D2368" s="36" t="s">
        <v>35004</v>
      </c>
      <c r="E2368" s="36" t="s">
        <v>1</v>
      </c>
      <c r="F2368" s="36">
        <v>1</v>
      </c>
      <c r="G2368" s="36">
        <v>3</v>
      </c>
      <c r="H2368" s="36">
        <v>0</v>
      </c>
      <c r="I2368" s="37">
        <v>0</v>
      </c>
      <c r="J2368" s="36" t="s">
        <v>14335</v>
      </c>
      <c r="K2368" s="36" t="s">
        <v>14330</v>
      </c>
      <c r="L2368" s="36" t="s">
        <v>14330</v>
      </c>
      <c r="M2368">
        <v>3</v>
      </c>
      <c r="N2368" t="s">
        <v>14331</v>
      </c>
      <c r="O2368" t="s">
        <v>32633</v>
      </c>
    </row>
    <row r="2369" spans="1:15" x14ac:dyDescent="0.25">
      <c r="A2369" s="35" t="s">
        <v>7328</v>
      </c>
      <c r="B2369" s="36" t="s">
        <v>7329</v>
      </c>
      <c r="C2369" s="36" t="str">
        <f>HYPERLINK("https://rhld.insurance.arkansas.gov/NPILookup?Npi=1104842483","1104842483")</f>
        <v>1104842483</v>
      </c>
      <c r="D2369" s="36" t="s">
        <v>34035</v>
      </c>
      <c r="E2369" s="36" t="s">
        <v>1</v>
      </c>
      <c r="F2369" s="36">
        <v>1</v>
      </c>
      <c r="G2369" s="36">
        <v>3</v>
      </c>
      <c r="H2369" s="36">
        <v>0</v>
      </c>
      <c r="I2369" s="37">
        <v>0</v>
      </c>
      <c r="J2369" s="36" t="s">
        <v>34836</v>
      </c>
      <c r="K2369" s="36" t="s">
        <v>14330</v>
      </c>
      <c r="L2369" s="36" t="s">
        <v>14330</v>
      </c>
      <c r="M2369">
        <v>3</v>
      </c>
      <c r="N2369" t="s">
        <v>14331</v>
      </c>
      <c r="O2369" t="s">
        <v>32633</v>
      </c>
    </row>
    <row r="2370" spans="1:15" x14ac:dyDescent="0.25">
      <c r="A2370" s="35" t="s">
        <v>7328</v>
      </c>
      <c r="B2370" s="36" t="s">
        <v>7329</v>
      </c>
      <c r="C2370" s="36" t="str">
        <f>HYPERLINK("https://rhld.insurance.arkansas.gov/NPILookup?Npi=1104874957","1104874957")</f>
        <v>1104874957</v>
      </c>
      <c r="D2370" s="36" t="s">
        <v>32733</v>
      </c>
      <c r="E2370" s="36" t="s">
        <v>1</v>
      </c>
      <c r="F2370" s="36">
        <v>1</v>
      </c>
      <c r="G2370" s="36">
        <v>3</v>
      </c>
      <c r="H2370" s="36">
        <v>0</v>
      </c>
      <c r="I2370" s="37">
        <v>0</v>
      </c>
      <c r="J2370" s="36" t="s">
        <v>34836</v>
      </c>
      <c r="K2370" s="36" t="s">
        <v>14330</v>
      </c>
      <c r="L2370" s="36" t="s">
        <v>14330</v>
      </c>
      <c r="M2370">
        <v>3</v>
      </c>
      <c r="N2370" t="s">
        <v>14331</v>
      </c>
      <c r="O2370" t="s">
        <v>32633</v>
      </c>
    </row>
    <row r="2371" spans="1:15" x14ac:dyDescent="0.25">
      <c r="A2371" s="35" t="s">
        <v>7328</v>
      </c>
      <c r="B2371" s="36" t="s">
        <v>7329</v>
      </c>
      <c r="C2371" s="36" t="str">
        <f>HYPERLINK("https://rhld.insurance.arkansas.gov/NPILookup?Npi=1104919182","1104919182")</f>
        <v>1104919182</v>
      </c>
      <c r="D2371" s="36" t="s">
        <v>35005</v>
      </c>
      <c r="E2371" s="36" t="s">
        <v>1</v>
      </c>
      <c r="F2371" s="36">
        <v>1</v>
      </c>
      <c r="G2371" s="36">
        <v>3</v>
      </c>
      <c r="H2371" s="36">
        <v>0</v>
      </c>
      <c r="I2371" s="37">
        <v>0</v>
      </c>
      <c r="J2371" s="36" t="s">
        <v>34836</v>
      </c>
      <c r="K2371" s="36" t="s">
        <v>14330</v>
      </c>
      <c r="L2371" s="36" t="s">
        <v>14330</v>
      </c>
      <c r="M2371">
        <v>3</v>
      </c>
      <c r="N2371" t="s">
        <v>14331</v>
      </c>
      <c r="O2371" t="s">
        <v>32633</v>
      </c>
    </row>
    <row r="2372" spans="1:15" x14ac:dyDescent="0.25">
      <c r="A2372" s="35" t="s">
        <v>7328</v>
      </c>
      <c r="B2372" s="36" t="s">
        <v>7329</v>
      </c>
      <c r="C2372" s="36" t="str">
        <f>HYPERLINK("https://rhld.insurance.arkansas.gov/NPILookup?Npi=1104939636","1104939636")</f>
        <v>1104939636</v>
      </c>
      <c r="D2372" s="36" t="s">
        <v>35006</v>
      </c>
      <c r="E2372" s="36" t="s">
        <v>1</v>
      </c>
      <c r="F2372" s="36">
        <v>1</v>
      </c>
      <c r="G2372" s="36">
        <v>3</v>
      </c>
      <c r="H2372" s="36">
        <v>0</v>
      </c>
      <c r="I2372" s="37">
        <v>0</v>
      </c>
      <c r="J2372" s="36" t="s">
        <v>34836</v>
      </c>
      <c r="K2372" s="36" t="s">
        <v>14330</v>
      </c>
      <c r="L2372" s="36" t="s">
        <v>14330</v>
      </c>
      <c r="M2372">
        <v>2</v>
      </c>
      <c r="N2372" t="s">
        <v>14331</v>
      </c>
      <c r="O2372" t="s">
        <v>32633</v>
      </c>
    </row>
    <row r="2373" spans="1:15" x14ac:dyDescent="0.25">
      <c r="A2373" s="35" t="s">
        <v>7328</v>
      </c>
      <c r="B2373" s="36" t="s">
        <v>7329</v>
      </c>
      <c r="C2373" s="36" t="str">
        <f>HYPERLINK("https://rhld.insurance.arkansas.gov/NPILookup?Npi=1114302650","1114302650")</f>
        <v>1114302650</v>
      </c>
      <c r="D2373" s="36" t="s">
        <v>35007</v>
      </c>
      <c r="E2373" s="36" t="s">
        <v>1</v>
      </c>
      <c r="F2373" s="36">
        <v>1</v>
      </c>
      <c r="G2373" s="36">
        <v>2</v>
      </c>
      <c r="H2373" s="36">
        <v>0</v>
      </c>
      <c r="I2373" s="37">
        <v>0</v>
      </c>
      <c r="J2373" s="36" t="s">
        <v>34836</v>
      </c>
      <c r="K2373" s="36" t="s">
        <v>14330</v>
      </c>
      <c r="L2373" s="36" t="s">
        <v>14330</v>
      </c>
      <c r="M2373">
        <v>2</v>
      </c>
      <c r="N2373" t="s">
        <v>14331</v>
      </c>
      <c r="O2373" t="s">
        <v>32633</v>
      </c>
    </row>
    <row r="2374" spans="1:15" x14ac:dyDescent="0.25">
      <c r="A2374" s="35" t="s">
        <v>7328</v>
      </c>
      <c r="B2374" s="36" t="s">
        <v>7329</v>
      </c>
      <c r="C2374" s="36" t="str">
        <f>HYPERLINK("https://rhld.insurance.arkansas.gov/NPILookup?Npi=1114310711","1114310711")</f>
        <v>1114310711</v>
      </c>
      <c r="D2374" s="36" t="s">
        <v>35008</v>
      </c>
      <c r="E2374" s="36" t="s">
        <v>2</v>
      </c>
      <c r="F2374" s="36">
        <v>1</v>
      </c>
      <c r="G2374" s="36">
        <v>2</v>
      </c>
      <c r="H2374" s="36">
        <v>0</v>
      </c>
      <c r="I2374" s="37">
        <v>0</v>
      </c>
      <c r="J2374" s="36"/>
      <c r="K2374" s="36" t="s">
        <v>14330</v>
      </c>
      <c r="L2374" s="36" t="s">
        <v>14330</v>
      </c>
      <c r="M2374">
        <v>1</v>
      </c>
      <c r="N2374" t="s">
        <v>14331</v>
      </c>
      <c r="O2374" t="s">
        <v>14333</v>
      </c>
    </row>
    <row r="2375" spans="1:15" x14ac:dyDescent="0.25">
      <c r="A2375" s="35" t="s">
        <v>7328</v>
      </c>
      <c r="B2375" s="36" t="s">
        <v>7329</v>
      </c>
      <c r="C2375" s="36" t="str">
        <f>HYPERLINK("https://rhld.insurance.arkansas.gov/NPILookup?Npi=1114334471","1114334471")</f>
        <v>1114334471</v>
      </c>
      <c r="D2375" s="36" t="s">
        <v>35009</v>
      </c>
      <c r="E2375" s="36" t="s">
        <v>1</v>
      </c>
      <c r="F2375" s="36">
        <v>1</v>
      </c>
      <c r="G2375" s="36">
        <v>1</v>
      </c>
      <c r="H2375" s="36">
        <v>0</v>
      </c>
      <c r="I2375" s="37">
        <v>0</v>
      </c>
      <c r="J2375" s="36" t="s">
        <v>32654</v>
      </c>
      <c r="K2375" s="36" t="s">
        <v>14330</v>
      </c>
      <c r="L2375" s="36" t="s">
        <v>14330</v>
      </c>
      <c r="M2375">
        <v>2</v>
      </c>
      <c r="N2375" t="s">
        <v>14331</v>
      </c>
      <c r="O2375" t="s">
        <v>32633</v>
      </c>
    </row>
    <row r="2376" spans="1:15" x14ac:dyDescent="0.25">
      <c r="A2376" s="35" t="s">
        <v>7328</v>
      </c>
      <c r="B2376" s="36" t="s">
        <v>7329</v>
      </c>
      <c r="C2376" s="36" t="str">
        <f>HYPERLINK("https://rhld.insurance.arkansas.gov/NPILookup?Npi=1114556123","1114556123")</f>
        <v>1114556123</v>
      </c>
      <c r="D2376" s="36" t="s">
        <v>35010</v>
      </c>
      <c r="E2376" s="36" t="s">
        <v>1</v>
      </c>
      <c r="F2376" s="36">
        <v>1</v>
      </c>
      <c r="G2376" s="36">
        <v>2</v>
      </c>
      <c r="H2376" s="36">
        <v>0</v>
      </c>
      <c r="I2376" s="37">
        <v>0</v>
      </c>
      <c r="J2376" s="36" t="s">
        <v>34836</v>
      </c>
      <c r="K2376" s="36" t="s">
        <v>14330</v>
      </c>
      <c r="L2376" s="36" t="s">
        <v>14330</v>
      </c>
      <c r="M2376">
        <v>2</v>
      </c>
      <c r="N2376" t="s">
        <v>14331</v>
      </c>
      <c r="O2376" t="s">
        <v>32633</v>
      </c>
    </row>
    <row r="2377" spans="1:15" x14ac:dyDescent="0.25">
      <c r="A2377" s="35" t="s">
        <v>7328</v>
      </c>
      <c r="B2377" s="36" t="s">
        <v>7329</v>
      </c>
      <c r="C2377" s="36" t="str">
        <f>HYPERLINK("https://rhld.insurance.arkansas.gov/NPILookup?Npi=1114556594","1114556594")</f>
        <v>1114556594</v>
      </c>
      <c r="D2377" s="36" t="s">
        <v>32997</v>
      </c>
      <c r="E2377" s="36" t="s">
        <v>2</v>
      </c>
      <c r="F2377" s="36">
        <v>1</v>
      </c>
      <c r="G2377" s="36">
        <v>2</v>
      </c>
      <c r="H2377" s="36">
        <v>0</v>
      </c>
      <c r="I2377" s="37">
        <v>0</v>
      </c>
      <c r="J2377" s="36"/>
      <c r="K2377" s="36" t="s">
        <v>14330</v>
      </c>
      <c r="L2377" s="36" t="s">
        <v>14330</v>
      </c>
      <c r="M2377">
        <v>3</v>
      </c>
      <c r="N2377" t="s">
        <v>14331</v>
      </c>
      <c r="O2377" t="s">
        <v>14333</v>
      </c>
    </row>
    <row r="2378" spans="1:15" x14ac:dyDescent="0.25">
      <c r="A2378" s="35" t="s">
        <v>7328</v>
      </c>
      <c r="B2378" s="36" t="s">
        <v>7329</v>
      </c>
      <c r="C2378" s="36" t="str">
        <f>HYPERLINK("https://rhld.insurance.arkansas.gov/NPILookup?Npi=1114564028","1114564028")</f>
        <v>1114564028</v>
      </c>
      <c r="D2378" s="36" t="s">
        <v>35011</v>
      </c>
      <c r="E2378" s="36" t="s">
        <v>1</v>
      </c>
      <c r="F2378" s="36">
        <v>1</v>
      </c>
      <c r="G2378" s="36">
        <v>3</v>
      </c>
      <c r="H2378" s="36">
        <v>0</v>
      </c>
      <c r="I2378" s="37">
        <v>0</v>
      </c>
      <c r="J2378" s="36" t="s">
        <v>32654</v>
      </c>
      <c r="K2378" s="36" t="s">
        <v>14330</v>
      </c>
      <c r="L2378" s="36" t="s">
        <v>14330</v>
      </c>
      <c r="M2378">
        <v>3</v>
      </c>
      <c r="N2378" t="s">
        <v>14331</v>
      </c>
      <c r="O2378" t="s">
        <v>32633</v>
      </c>
    </row>
    <row r="2379" spans="1:15" x14ac:dyDescent="0.25">
      <c r="A2379" s="35" t="s">
        <v>7328</v>
      </c>
      <c r="B2379" s="36" t="s">
        <v>7329</v>
      </c>
      <c r="C2379" s="36" t="str">
        <f>HYPERLINK("https://rhld.insurance.arkansas.gov/NPILookup?Npi=1114565538","1114565538")</f>
        <v>1114565538</v>
      </c>
      <c r="D2379" s="36" t="s">
        <v>35012</v>
      </c>
      <c r="E2379" s="36" t="s">
        <v>1</v>
      </c>
      <c r="F2379" s="36">
        <v>1</v>
      </c>
      <c r="G2379" s="36">
        <v>3</v>
      </c>
      <c r="H2379" s="36">
        <v>0</v>
      </c>
      <c r="I2379" s="37">
        <v>0</v>
      </c>
      <c r="J2379" s="36" t="s">
        <v>32654</v>
      </c>
      <c r="K2379" s="36" t="s">
        <v>14330</v>
      </c>
      <c r="L2379" s="36" t="s">
        <v>14330</v>
      </c>
      <c r="M2379">
        <v>2</v>
      </c>
      <c r="N2379" t="s">
        <v>14331</v>
      </c>
      <c r="O2379" t="s">
        <v>32633</v>
      </c>
    </row>
    <row r="2380" spans="1:15" x14ac:dyDescent="0.25">
      <c r="A2380" s="35" t="s">
        <v>7328</v>
      </c>
      <c r="B2380" s="36" t="s">
        <v>7329</v>
      </c>
      <c r="C2380" s="36" t="str">
        <f>HYPERLINK("https://rhld.insurance.arkansas.gov/NPILookup?Npi=1114569167","1114569167")</f>
        <v>1114569167</v>
      </c>
      <c r="D2380" s="36" t="s">
        <v>35013</v>
      </c>
      <c r="E2380" s="36" t="s">
        <v>1</v>
      </c>
      <c r="F2380" s="36">
        <v>1</v>
      </c>
      <c r="G2380" s="36">
        <v>2</v>
      </c>
      <c r="H2380" s="36">
        <v>0</v>
      </c>
      <c r="I2380" s="37">
        <v>0</v>
      </c>
      <c r="J2380" s="36" t="s">
        <v>32654</v>
      </c>
      <c r="K2380" s="36" t="s">
        <v>14330</v>
      </c>
      <c r="L2380" s="36" t="s">
        <v>14330</v>
      </c>
      <c r="M2380">
        <v>3</v>
      </c>
      <c r="N2380" t="s">
        <v>14331</v>
      </c>
      <c r="O2380" t="s">
        <v>32633</v>
      </c>
    </row>
    <row r="2381" spans="1:15" x14ac:dyDescent="0.25">
      <c r="A2381" s="35" t="s">
        <v>7328</v>
      </c>
      <c r="B2381" s="36" t="s">
        <v>7329</v>
      </c>
      <c r="C2381" s="36" t="str">
        <f>HYPERLINK("https://rhld.insurance.arkansas.gov/NPILookup?Npi=1114571072","1114571072")</f>
        <v>1114571072</v>
      </c>
      <c r="D2381" s="36" t="s">
        <v>35014</v>
      </c>
      <c r="E2381" s="36" t="s">
        <v>1</v>
      </c>
      <c r="F2381" s="36">
        <v>1</v>
      </c>
      <c r="G2381" s="36">
        <v>3</v>
      </c>
      <c r="H2381" s="36">
        <v>0</v>
      </c>
      <c r="I2381" s="37">
        <v>0</v>
      </c>
      <c r="J2381" s="36" t="s">
        <v>32654</v>
      </c>
      <c r="K2381" s="36" t="s">
        <v>14330</v>
      </c>
      <c r="L2381" s="36" t="s">
        <v>14330</v>
      </c>
      <c r="M2381">
        <v>2</v>
      </c>
      <c r="N2381" t="s">
        <v>14331</v>
      </c>
      <c r="O2381" t="s">
        <v>32633</v>
      </c>
    </row>
    <row r="2382" spans="1:15" x14ac:dyDescent="0.25">
      <c r="A2382" s="35" t="s">
        <v>7328</v>
      </c>
      <c r="B2382" s="36" t="s">
        <v>7329</v>
      </c>
      <c r="C2382" s="36" t="str">
        <f>HYPERLINK("https://rhld.insurance.arkansas.gov/NPILookup?Npi=1114578168","1114578168")</f>
        <v>1114578168</v>
      </c>
      <c r="D2382" s="36" t="s">
        <v>35015</v>
      </c>
      <c r="E2382" s="36" t="s">
        <v>1</v>
      </c>
      <c r="F2382" s="36">
        <v>1</v>
      </c>
      <c r="G2382" s="36">
        <v>2</v>
      </c>
      <c r="H2382" s="36">
        <v>0</v>
      </c>
      <c r="I2382" s="37">
        <v>0</v>
      </c>
      <c r="J2382" s="36" t="s">
        <v>32654</v>
      </c>
      <c r="K2382" s="36" t="s">
        <v>14330</v>
      </c>
      <c r="L2382" s="36" t="s">
        <v>14330</v>
      </c>
      <c r="M2382">
        <v>3</v>
      </c>
      <c r="N2382" t="s">
        <v>14331</v>
      </c>
      <c r="O2382" t="s">
        <v>32633</v>
      </c>
    </row>
    <row r="2383" spans="1:15" x14ac:dyDescent="0.25">
      <c r="A2383" s="35" t="s">
        <v>7328</v>
      </c>
      <c r="B2383" s="36" t="s">
        <v>7329</v>
      </c>
      <c r="C2383" s="36" t="str">
        <f>HYPERLINK("https://rhld.insurance.arkansas.gov/NPILookup?Npi=1114627163","1114627163")</f>
        <v>1114627163</v>
      </c>
      <c r="D2383" s="36" t="s">
        <v>35016</v>
      </c>
      <c r="E2383" s="36" t="s">
        <v>1</v>
      </c>
      <c r="F2383" s="36">
        <v>1</v>
      </c>
      <c r="G2383" s="36">
        <v>3</v>
      </c>
      <c r="H2383" s="36">
        <v>0</v>
      </c>
      <c r="I2383" s="37">
        <v>0</v>
      </c>
      <c r="J2383" s="36" t="s">
        <v>32654</v>
      </c>
      <c r="K2383" s="36" t="s">
        <v>14330</v>
      </c>
      <c r="L2383" s="36" t="s">
        <v>14330</v>
      </c>
      <c r="M2383">
        <v>2</v>
      </c>
      <c r="N2383" t="s">
        <v>14331</v>
      </c>
      <c r="O2383" t="s">
        <v>32633</v>
      </c>
    </row>
    <row r="2384" spans="1:15" x14ac:dyDescent="0.25">
      <c r="A2384" s="35" t="s">
        <v>7328</v>
      </c>
      <c r="B2384" s="36" t="s">
        <v>7329</v>
      </c>
      <c r="C2384" s="36" t="str">
        <f>HYPERLINK("https://rhld.insurance.arkansas.gov/NPILookup?Npi=1114747680","1114747680")</f>
        <v>1114747680</v>
      </c>
      <c r="D2384" s="36" t="s">
        <v>35017</v>
      </c>
      <c r="E2384" s="36" t="s">
        <v>2</v>
      </c>
      <c r="F2384" s="36">
        <v>2</v>
      </c>
      <c r="G2384" s="36">
        <v>2</v>
      </c>
      <c r="H2384" s="36">
        <v>0</v>
      </c>
      <c r="I2384" s="37">
        <v>0</v>
      </c>
      <c r="J2384" s="36" t="s">
        <v>33004</v>
      </c>
      <c r="K2384" s="36" t="s">
        <v>14330</v>
      </c>
      <c r="L2384" s="36" t="s">
        <v>14330</v>
      </c>
      <c r="M2384">
        <v>2</v>
      </c>
      <c r="N2384" t="s">
        <v>14331</v>
      </c>
      <c r="O2384" t="s">
        <v>14333</v>
      </c>
    </row>
    <row r="2385" spans="1:15" x14ac:dyDescent="0.25">
      <c r="A2385" s="35" t="s">
        <v>7328</v>
      </c>
      <c r="B2385" s="36" t="s">
        <v>7329</v>
      </c>
      <c r="C2385" s="36" t="str">
        <f>HYPERLINK("https://rhld.insurance.arkansas.gov/NPILookup?Npi=1114909124","1114909124")</f>
        <v>1114909124</v>
      </c>
      <c r="D2385" s="36" t="s">
        <v>35018</v>
      </c>
      <c r="E2385" s="36" t="s">
        <v>1</v>
      </c>
      <c r="F2385" s="36">
        <v>1</v>
      </c>
      <c r="G2385" s="36">
        <v>2</v>
      </c>
      <c r="H2385" s="36">
        <v>0</v>
      </c>
      <c r="I2385" s="37">
        <v>0</v>
      </c>
      <c r="J2385" s="36" t="s">
        <v>34836</v>
      </c>
      <c r="K2385" s="36" t="s">
        <v>14330</v>
      </c>
      <c r="L2385" s="36" t="s">
        <v>14330</v>
      </c>
      <c r="M2385">
        <v>2</v>
      </c>
      <c r="N2385" t="s">
        <v>14331</v>
      </c>
      <c r="O2385" t="s">
        <v>32633</v>
      </c>
    </row>
    <row r="2386" spans="1:15" x14ac:dyDescent="0.25">
      <c r="A2386" s="35" t="s">
        <v>7328</v>
      </c>
      <c r="B2386" s="36" t="s">
        <v>7329</v>
      </c>
      <c r="C2386" s="36" t="str">
        <f>HYPERLINK("https://rhld.insurance.arkansas.gov/NPILookup?Npi=1114919370","1114919370")</f>
        <v>1114919370</v>
      </c>
      <c r="D2386" s="36" t="s">
        <v>35019</v>
      </c>
      <c r="E2386" s="36" t="s">
        <v>1</v>
      </c>
      <c r="F2386" s="36">
        <v>1</v>
      </c>
      <c r="G2386" s="36">
        <v>2</v>
      </c>
      <c r="H2386" s="36">
        <v>0</v>
      </c>
      <c r="I2386" s="37">
        <v>0</v>
      </c>
      <c r="J2386" s="36" t="s">
        <v>34836</v>
      </c>
      <c r="K2386" s="36" t="s">
        <v>14330</v>
      </c>
      <c r="L2386" s="36" t="s">
        <v>14330</v>
      </c>
      <c r="M2386">
        <v>3</v>
      </c>
      <c r="N2386" t="s">
        <v>14331</v>
      </c>
      <c r="O2386" t="s">
        <v>32633</v>
      </c>
    </row>
    <row r="2387" spans="1:15" x14ac:dyDescent="0.25">
      <c r="A2387" s="35" t="s">
        <v>7328</v>
      </c>
      <c r="B2387" s="36" t="s">
        <v>7329</v>
      </c>
      <c r="C2387" s="36" t="str">
        <f>HYPERLINK("https://rhld.insurance.arkansas.gov/NPILookup?Npi=1114955085","1114955085")</f>
        <v>1114955085</v>
      </c>
      <c r="D2387" s="36" t="s">
        <v>35020</v>
      </c>
      <c r="E2387" s="36" t="s">
        <v>1</v>
      </c>
      <c r="F2387" s="36">
        <v>1</v>
      </c>
      <c r="G2387" s="36">
        <v>3</v>
      </c>
      <c r="H2387" s="36">
        <v>0</v>
      </c>
      <c r="I2387" s="37">
        <v>0</v>
      </c>
      <c r="J2387" s="36" t="s">
        <v>34836</v>
      </c>
      <c r="K2387" s="36" t="s">
        <v>14330</v>
      </c>
      <c r="L2387" s="36" t="s">
        <v>14330</v>
      </c>
      <c r="M2387">
        <v>2</v>
      </c>
      <c r="N2387" t="s">
        <v>14331</v>
      </c>
      <c r="O2387" t="s">
        <v>32633</v>
      </c>
    </row>
    <row r="2388" spans="1:15" x14ac:dyDescent="0.25">
      <c r="A2388" s="35" t="s">
        <v>7328</v>
      </c>
      <c r="B2388" s="36" t="s">
        <v>7329</v>
      </c>
      <c r="C2388" s="36" t="str">
        <f>HYPERLINK("https://rhld.insurance.arkansas.gov/NPILookup?Npi=1114965050","1114965050")</f>
        <v>1114965050</v>
      </c>
      <c r="D2388" s="36" t="s">
        <v>35021</v>
      </c>
      <c r="E2388" s="36" t="s">
        <v>1</v>
      </c>
      <c r="F2388" s="36">
        <v>1</v>
      </c>
      <c r="G2388" s="36">
        <v>2</v>
      </c>
      <c r="H2388" s="36">
        <v>0</v>
      </c>
      <c r="I2388" s="37">
        <v>0</v>
      </c>
      <c r="J2388" s="36" t="s">
        <v>34836</v>
      </c>
      <c r="K2388" s="36" t="s">
        <v>14330</v>
      </c>
      <c r="L2388" s="36" t="s">
        <v>14330</v>
      </c>
      <c r="M2388">
        <v>3</v>
      </c>
      <c r="N2388" t="s">
        <v>14331</v>
      </c>
      <c r="O2388" t="s">
        <v>32633</v>
      </c>
    </row>
    <row r="2389" spans="1:15" x14ac:dyDescent="0.25">
      <c r="A2389" s="35" t="s">
        <v>7328</v>
      </c>
      <c r="B2389" s="36" t="s">
        <v>7329</v>
      </c>
      <c r="C2389" s="36" t="str">
        <f>HYPERLINK("https://rhld.insurance.arkansas.gov/NPILookup?Npi=1114984911","1114984911")</f>
        <v>1114984911</v>
      </c>
      <c r="D2389" s="36" t="s">
        <v>35022</v>
      </c>
      <c r="E2389" s="36" t="s">
        <v>1</v>
      </c>
      <c r="F2389" s="36">
        <v>1</v>
      </c>
      <c r="G2389" s="36">
        <v>3</v>
      </c>
      <c r="H2389" s="36">
        <v>0</v>
      </c>
      <c r="I2389" s="37">
        <v>0</v>
      </c>
      <c r="J2389" s="36" t="s">
        <v>32654</v>
      </c>
      <c r="K2389" s="36" t="s">
        <v>14330</v>
      </c>
      <c r="L2389" s="36" t="s">
        <v>14330</v>
      </c>
      <c r="M2389">
        <v>3</v>
      </c>
      <c r="N2389" t="s">
        <v>14331</v>
      </c>
      <c r="O2389" t="s">
        <v>32633</v>
      </c>
    </row>
    <row r="2390" spans="1:15" x14ac:dyDescent="0.25">
      <c r="A2390" s="35" t="s">
        <v>7328</v>
      </c>
      <c r="B2390" s="36" t="s">
        <v>7329</v>
      </c>
      <c r="C2390" s="36" t="str">
        <f>HYPERLINK("https://rhld.insurance.arkansas.gov/NPILookup?Npi=1114989530","1114989530")</f>
        <v>1114989530</v>
      </c>
      <c r="D2390" s="36" t="s">
        <v>35023</v>
      </c>
      <c r="E2390" s="36" t="s">
        <v>1</v>
      </c>
      <c r="F2390" s="36">
        <v>1</v>
      </c>
      <c r="G2390" s="36">
        <v>3</v>
      </c>
      <c r="H2390" s="36">
        <v>0</v>
      </c>
      <c r="I2390" s="37">
        <v>0</v>
      </c>
      <c r="J2390" s="36" t="s">
        <v>32654</v>
      </c>
      <c r="K2390" s="36" t="s">
        <v>14330</v>
      </c>
      <c r="L2390" s="36" t="s">
        <v>14330</v>
      </c>
      <c r="M2390">
        <v>3</v>
      </c>
      <c r="N2390" t="s">
        <v>14331</v>
      </c>
      <c r="O2390" t="s">
        <v>32633</v>
      </c>
    </row>
    <row r="2391" spans="1:15" x14ac:dyDescent="0.25">
      <c r="A2391" s="35" t="s">
        <v>7328</v>
      </c>
      <c r="B2391" s="36" t="s">
        <v>7329</v>
      </c>
      <c r="C2391" s="36" t="str">
        <f>HYPERLINK("https://rhld.insurance.arkansas.gov/NPILookup?Npi=1124026166","1124026166")</f>
        <v>1124026166</v>
      </c>
      <c r="D2391" s="36" t="s">
        <v>35024</v>
      </c>
      <c r="E2391" s="36" t="s">
        <v>1</v>
      </c>
      <c r="F2391" s="36">
        <v>1</v>
      </c>
      <c r="G2391" s="36">
        <v>3</v>
      </c>
      <c r="H2391" s="36">
        <v>0</v>
      </c>
      <c r="I2391" s="37">
        <v>0</v>
      </c>
      <c r="J2391" s="36" t="s">
        <v>34836</v>
      </c>
      <c r="K2391" s="36" t="s">
        <v>14330</v>
      </c>
      <c r="L2391" s="36" t="s">
        <v>14330</v>
      </c>
      <c r="M2391">
        <v>3</v>
      </c>
      <c r="N2391" t="s">
        <v>14331</v>
      </c>
      <c r="O2391" t="s">
        <v>32633</v>
      </c>
    </row>
    <row r="2392" spans="1:15" x14ac:dyDescent="0.25">
      <c r="A2392" s="35" t="s">
        <v>7328</v>
      </c>
      <c r="B2392" s="36" t="s">
        <v>7329</v>
      </c>
      <c r="C2392" s="36" t="str">
        <f>HYPERLINK("https://rhld.insurance.arkansas.gov/NPILookup?Npi=1124122700","1124122700")</f>
        <v>1124122700</v>
      </c>
      <c r="D2392" s="36" t="s">
        <v>35025</v>
      </c>
      <c r="E2392" s="36" t="s">
        <v>1</v>
      </c>
      <c r="F2392" s="36">
        <v>1</v>
      </c>
      <c r="G2392" s="36">
        <v>3</v>
      </c>
      <c r="H2392" s="36">
        <v>0</v>
      </c>
      <c r="I2392" s="37">
        <v>0</v>
      </c>
      <c r="J2392" s="36" t="s">
        <v>34836</v>
      </c>
      <c r="K2392" s="36" t="s">
        <v>14330</v>
      </c>
      <c r="L2392" s="36" t="s">
        <v>14330</v>
      </c>
      <c r="M2392">
        <v>3</v>
      </c>
      <c r="N2392" t="s">
        <v>14331</v>
      </c>
      <c r="O2392" t="s">
        <v>32633</v>
      </c>
    </row>
    <row r="2393" spans="1:15" x14ac:dyDescent="0.25">
      <c r="A2393" s="35" t="s">
        <v>7328</v>
      </c>
      <c r="B2393" s="36" t="s">
        <v>7329</v>
      </c>
      <c r="C2393" s="36" t="str">
        <f>HYPERLINK("https://rhld.insurance.arkansas.gov/NPILookup?Npi=1124231816","1124231816")</f>
        <v>1124231816</v>
      </c>
      <c r="D2393" s="36" t="s">
        <v>32999</v>
      </c>
      <c r="E2393" s="36" t="s">
        <v>1</v>
      </c>
      <c r="F2393" s="36">
        <v>1</v>
      </c>
      <c r="G2393" s="36">
        <v>3</v>
      </c>
      <c r="H2393" s="36">
        <v>0</v>
      </c>
      <c r="I2393" s="37">
        <v>0</v>
      </c>
      <c r="J2393" s="36" t="s">
        <v>34836</v>
      </c>
      <c r="K2393" s="36" t="s">
        <v>14330</v>
      </c>
      <c r="L2393" s="36" t="s">
        <v>14330</v>
      </c>
      <c r="M2393">
        <v>3</v>
      </c>
      <c r="N2393" t="s">
        <v>14331</v>
      </c>
      <c r="O2393" t="s">
        <v>32633</v>
      </c>
    </row>
    <row r="2394" spans="1:15" x14ac:dyDescent="0.25">
      <c r="A2394" s="35" t="s">
        <v>7328</v>
      </c>
      <c r="B2394" s="36" t="s">
        <v>7329</v>
      </c>
      <c r="C2394" s="36" t="str">
        <f>HYPERLINK("https://rhld.insurance.arkansas.gov/NPILookup?Npi=1124241062","1124241062")</f>
        <v>1124241062</v>
      </c>
      <c r="D2394" s="36" t="s">
        <v>35026</v>
      </c>
      <c r="E2394" s="36" t="s">
        <v>1</v>
      </c>
      <c r="F2394" s="36">
        <v>1</v>
      </c>
      <c r="G2394" s="36">
        <v>3</v>
      </c>
      <c r="H2394" s="36">
        <v>0</v>
      </c>
      <c r="I2394" s="37">
        <v>0</v>
      </c>
      <c r="J2394" s="36" t="s">
        <v>34836</v>
      </c>
      <c r="K2394" s="36" t="s">
        <v>14330</v>
      </c>
      <c r="L2394" s="36" t="s">
        <v>14330</v>
      </c>
      <c r="M2394">
        <v>2</v>
      </c>
      <c r="N2394" t="s">
        <v>14331</v>
      </c>
      <c r="O2394" t="s">
        <v>32633</v>
      </c>
    </row>
    <row r="2395" spans="1:15" x14ac:dyDescent="0.25">
      <c r="A2395" s="35" t="s">
        <v>7328</v>
      </c>
      <c r="B2395" s="36" t="s">
        <v>7329</v>
      </c>
      <c r="C2395" s="36" t="str">
        <f>HYPERLINK("https://rhld.insurance.arkansas.gov/NPILookup?Npi=1124342530","1124342530")</f>
        <v>1124342530</v>
      </c>
      <c r="D2395" s="36" t="s">
        <v>35027</v>
      </c>
      <c r="E2395" s="36" t="s">
        <v>2</v>
      </c>
      <c r="F2395" s="36">
        <v>1</v>
      </c>
      <c r="G2395" s="36">
        <v>2</v>
      </c>
      <c r="H2395" s="36">
        <v>0</v>
      </c>
      <c r="I2395" s="37">
        <v>0</v>
      </c>
      <c r="J2395" s="36"/>
      <c r="K2395" s="36" t="s">
        <v>14330</v>
      </c>
      <c r="L2395" s="36" t="s">
        <v>14330</v>
      </c>
      <c r="M2395">
        <v>2</v>
      </c>
      <c r="N2395" t="s">
        <v>14331</v>
      </c>
      <c r="O2395" t="s">
        <v>14333</v>
      </c>
    </row>
    <row r="2396" spans="1:15" x14ac:dyDescent="0.25">
      <c r="A2396" s="35" t="s">
        <v>7328</v>
      </c>
      <c r="B2396" s="36" t="s">
        <v>7329</v>
      </c>
      <c r="C2396" s="36" t="str">
        <f>HYPERLINK("https://rhld.insurance.arkansas.gov/NPILookup?Npi=1124387675","1124387675")</f>
        <v>1124387675</v>
      </c>
      <c r="D2396" s="36" t="s">
        <v>35028</v>
      </c>
      <c r="E2396" s="36" t="s">
        <v>1</v>
      </c>
      <c r="F2396" s="36">
        <v>1</v>
      </c>
      <c r="G2396" s="36">
        <v>2</v>
      </c>
      <c r="H2396" s="36">
        <v>0</v>
      </c>
      <c r="I2396" s="37">
        <v>0</v>
      </c>
      <c r="J2396" s="36" t="s">
        <v>34836</v>
      </c>
      <c r="K2396" s="36" t="s">
        <v>14330</v>
      </c>
      <c r="L2396" s="36" t="s">
        <v>14330</v>
      </c>
      <c r="M2396">
        <v>1</v>
      </c>
      <c r="N2396" t="s">
        <v>14331</v>
      </c>
      <c r="O2396" t="s">
        <v>32633</v>
      </c>
    </row>
    <row r="2397" spans="1:15" x14ac:dyDescent="0.25">
      <c r="A2397" s="35" t="s">
        <v>7328</v>
      </c>
      <c r="B2397" s="36" t="s">
        <v>7329</v>
      </c>
      <c r="C2397" s="36" t="str">
        <f>HYPERLINK("https://rhld.insurance.arkansas.gov/NPILookup?Npi=1124404066","1124404066")</f>
        <v>1124404066</v>
      </c>
      <c r="D2397" s="36" t="s">
        <v>35029</v>
      </c>
      <c r="E2397" s="36" t="s">
        <v>1</v>
      </c>
      <c r="F2397" s="36">
        <v>1</v>
      </c>
      <c r="G2397" s="36">
        <v>1</v>
      </c>
      <c r="H2397" s="36">
        <v>0</v>
      </c>
      <c r="I2397" s="37">
        <v>0</v>
      </c>
      <c r="J2397" s="36" t="s">
        <v>34836</v>
      </c>
      <c r="K2397" s="36" t="s">
        <v>14330</v>
      </c>
      <c r="L2397" s="36" t="s">
        <v>14330</v>
      </c>
      <c r="M2397">
        <v>3</v>
      </c>
      <c r="N2397" t="s">
        <v>14331</v>
      </c>
      <c r="O2397" t="s">
        <v>32633</v>
      </c>
    </row>
    <row r="2398" spans="1:15" x14ac:dyDescent="0.25">
      <c r="A2398" s="35" t="s">
        <v>7328</v>
      </c>
      <c r="B2398" s="36" t="s">
        <v>7329</v>
      </c>
      <c r="C2398" s="36" t="str">
        <f>HYPERLINK("https://rhld.insurance.arkansas.gov/NPILookup?Npi=1124505730","1124505730")</f>
        <v>1124505730</v>
      </c>
      <c r="D2398" s="36" t="s">
        <v>32685</v>
      </c>
      <c r="E2398" s="36" t="s">
        <v>1</v>
      </c>
      <c r="F2398" s="36">
        <v>1</v>
      </c>
      <c r="G2398" s="36">
        <v>3</v>
      </c>
      <c r="H2398" s="36">
        <v>0</v>
      </c>
      <c r="I2398" s="37">
        <v>0</v>
      </c>
      <c r="J2398" s="36" t="s">
        <v>34836</v>
      </c>
      <c r="K2398" s="36" t="s">
        <v>14330</v>
      </c>
      <c r="L2398" s="36" t="s">
        <v>14330</v>
      </c>
      <c r="M2398">
        <v>3</v>
      </c>
      <c r="N2398" t="s">
        <v>14331</v>
      </c>
      <c r="O2398" t="s">
        <v>32633</v>
      </c>
    </row>
    <row r="2399" spans="1:15" x14ac:dyDescent="0.25">
      <c r="A2399" s="35" t="s">
        <v>7328</v>
      </c>
      <c r="B2399" s="36" t="s">
        <v>7329</v>
      </c>
      <c r="C2399" s="36" t="str">
        <f>HYPERLINK("https://rhld.insurance.arkansas.gov/NPILookup?Npi=1124509997","1124509997")</f>
        <v>1124509997</v>
      </c>
      <c r="D2399" s="36" t="s">
        <v>35030</v>
      </c>
      <c r="E2399" s="36" t="s">
        <v>1</v>
      </c>
      <c r="F2399" s="36">
        <v>1</v>
      </c>
      <c r="G2399" s="36">
        <v>3</v>
      </c>
      <c r="H2399" s="36">
        <v>0</v>
      </c>
      <c r="I2399" s="37">
        <v>0</v>
      </c>
      <c r="J2399" s="36" t="s">
        <v>34836</v>
      </c>
      <c r="K2399" s="36" t="s">
        <v>14330</v>
      </c>
      <c r="L2399" s="36" t="s">
        <v>14330</v>
      </c>
      <c r="M2399">
        <v>2</v>
      </c>
      <c r="N2399" t="s">
        <v>14331</v>
      </c>
      <c r="O2399" t="s">
        <v>32633</v>
      </c>
    </row>
    <row r="2400" spans="1:15" x14ac:dyDescent="0.25">
      <c r="A2400" s="35" t="s">
        <v>7328</v>
      </c>
      <c r="B2400" s="36" t="s">
        <v>7329</v>
      </c>
      <c r="C2400" s="36" t="str">
        <f>HYPERLINK("https://rhld.insurance.arkansas.gov/NPILookup?Npi=1124567607","1124567607")</f>
        <v>1124567607</v>
      </c>
      <c r="D2400" s="36" t="s">
        <v>35031</v>
      </c>
      <c r="E2400" s="36" t="s">
        <v>2</v>
      </c>
      <c r="F2400" s="36">
        <v>1</v>
      </c>
      <c r="G2400" s="36">
        <v>2</v>
      </c>
      <c r="H2400" s="36">
        <v>0</v>
      </c>
      <c r="I2400" s="37">
        <v>0</v>
      </c>
      <c r="J2400" s="36"/>
      <c r="K2400" s="36" t="s">
        <v>14330</v>
      </c>
      <c r="L2400" s="36" t="s">
        <v>14330</v>
      </c>
      <c r="M2400">
        <v>1</v>
      </c>
      <c r="N2400" t="s">
        <v>14331</v>
      </c>
      <c r="O2400" t="s">
        <v>14333</v>
      </c>
    </row>
    <row r="2401" spans="1:15" x14ac:dyDescent="0.25">
      <c r="A2401" s="35" t="s">
        <v>7328</v>
      </c>
      <c r="B2401" s="36" t="s">
        <v>7329</v>
      </c>
      <c r="C2401" s="36" t="str">
        <f>HYPERLINK("https://rhld.insurance.arkansas.gov/NPILookup?Npi=1124632310","1124632310")</f>
        <v>1124632310</v>
      </c>
      <c r="D2401" s="36" t="s">
        <v>35032</v>
      </c>
      <c r="E2401" s="36" t="s">
        <v>2</v>
      </c>
      <c r="F2401" s="36">
        <v>1</v>
      </c>
      <c r="G2401" s="36">
        <v>1</v>
      </c>
      <c r="H2401" s="36">
        <v>0</v>
      </c>
      <c r="I2401" s="37">
        <v>0</v>
      </c>
      <c r="J2401" s="36"/>
      <c r="K2401" s="36" t="s">
        <v>14330</v>
      </c>
      <c r="L2401" s="36" t="s">
        <v>14330</v>
      </c>
      <c r="M2401">
        <v>1</v>
      </c>
      <c r="N2401" t="s">
        <v>14331</v>
      </c>
      <c r="O2401" t="s">
        <v>32633</v>
      </c>
    </row>
    <row r="2402" spans="1:15" x14ac:dyDescent="0.25">
      <c r="A2402" s="35" t="s">
        <v>7328</v>
      </c>
      <c r="B2402" s="36" t="s">
        <v>7329</v>
      </c>
      <c r="C2402" s="36" t="str">
        <f>HYPERLINK("https://rhld.insurance.arkansas.gov/NPILookup?Npi=1124746102","1124746102")</f>
        <v>1124746102</v>
      </c>
      <c r="D2402" s="36" t="s">
        <v>35033</v>
      </c>
      <c r="E2402" s="36" t="s">
        <v>2</v>
      </c>
      <c r="F2402" s="36">
        <v>1</v>
      </c>
      <c r="G2402" s="36">
        <v>1</v>
      </c>
      <c r="H2402" s="36">
        <v>0</v>
      </c>
      <c r="I2402" s="37">
        <v>0</v>
      </c>
      <c r="J2402" s="36"/>
      <c r="K2402" s="36" t="s">
        <v>14330</v>
      </c>
      <c r="L2402" s="36" t="s">
        <v>14330</v>
      </c>
      <c r="M2402">
        <v>3</v>
      </c>
      <c r="N2402" t="s">
        <v>14331</v>
      </c>
      <c r="O2402" t="s">
        <v>32633</v>
      </c>
    </row>
    <row r="2403" spans="1:15" x14ac:dyDescent="0.25">
      <c r="A2403" s="35" t="s">
        <v>7328</v>
      </c>
      <c r="B2403" s="36" t="s">
        <v>7329</v>
      </c>
      <c r="C2403" s="36" t="str">
        <f>HYPERLINK("https://rhld.insurance.arkansas.gov/NPILookup?Npi=1134156250","1134156250")</f>
        <v>1134156250</v>
      </c>
      <c r="D2403" s="36" t="s">
        <v>35034</v>
      </c>
      <c r="E2403" s="36" t="s">
        <v>1</v>
      </c>
      <c r="F2403" s="36">
        <v>1</v>
      </c>
      <c r="G2403" s="36">
        <v>3</v>
      </c>
      <c r="H2403" s="36">
        <v>0</v>
      </c>
      <c r="I2403" s="37">
        <v>0</v>
      </c>
      <c r="J2403" s="36" t="s">
        <v>32654</v>
      </c>
      <c r="K2403" s="36" t="s">
        <v>14330</v>
      </c>
      <c r="L2403" s="36" t="s">
        <v>14330</v>
      </c>
      <c r="M2403">
        <v>2</v>
      </c>
      <c r="N2403" t="s">
        <v>14331</v>
      </c>
      <c r="O2403" t="s">
        <v>32633</v>
      </c>
    </row>
    <row r="2404" spans="1:15" x14ac:dyDescent="0.25">
      <c r="A2404" s="35" t="s">
        <v>7328</v>
      </c>
      <c r="B2404" s="36" t="s">
        <v>7329</v>
      </c>
      <c r="C2404" s="36" t="str">
        <f>HYPERLINK("https://rhld.insurance.arkansas.gov/NPILookup?Npi=1134173024","1134173024")</f>
        <v>1134173024</v>
      </c>
      <c r="D2404" s="36" t="s">
        <v>34036</v>
      </c>
      <c r="E2404" s="36" t="s">
        <v>1</v>
      </c>
      <c r="F2404" s="36">
        <v>1</v>
      </c>
      <c r="G2404" s="36">
        <v>2</v>
      </c>
      <c r="H2404" s="36">
        <v>0</v>
      </c>
      <c r="I2404" s="37">
        <v>0</v>
      </c>
      <c r="J2404" s="36" t="s">
        <v>34836</v>
      </c>
      <c r="K2404" s="36" t="s">
        <v>14330</v>
      </c>
      <c r="L2404" s="36" t="s">
        <v>14330</v>
      </c>
      <c r="M2404">
        <v>2</v>
      </c>
      <c r="N2404" t="s">
        <v>14331</v>
      </c>
      <c r="O2404" t="s">
        <v>32633</v>
      </c>
    </row>
    <row r="2405" spans="1:15" x14ac:dyDescent="0.25">
      <c r="A2405" s="35" t="s">
        <v>7328</v>
      </c>
      <c r="B2405" s="36" t="s">
        <v>7329</v>
      </c>
      <c r="C2405" s="36" t="str">
        <f>HYPERLINK("https://rhld.insurance.arkansas.gov/NPILookup?Npi=1134184633","1134184633")</f>
        <v>1134184633</v>
      </c>
      <c r="D2405" s="36" t="s">
        <v>35035</v>
      </c>
      <c r="E2405" s="36" t="s">
        <v>1</v>
      </c>
      <c r="F2405" s="36">
        <v>1</v>
      </c>
      <c r="G2405" s="36">
        <v>2</v>
      </c>
      <c r="H2405" s="36">
        <v>0</v>
      </c>
      <c r="I2405" s="37">
        <v>0</v>
      </c>
      <c r="J2405" s="36" t="s">
        <v>34836</v>
      </c>
      <c r="K2405" s="36" t="s">
        <v>14330</v>
      </c>
      <c r="L2405" s="36" t="s">
        <v>14330</v>
      </c>
      <c r="M2405">
        <v>2</v>
      </c>
      <c r="N2405" t="s">
        <v>14331</v>
      </c>
      <c r="O2405" t="s">
        <v>32633</v>
      </c>
    </row>
    <row r="2406" spans="1:15" x14ac:dyDescent="0.25">
      <c r="A2406" s="35" t="s">
        <v>7328</v>
      </c>
      <c r="B2406" s="36" t="s">
        <v>7329</v>
      </c>
      <c r="C2406" s="36" t="str">
        <f>HYPERLINK("https://rhld.insurance.arkansas.gov/NPILookup?Npi=1134418437","1134418437")</f>
        <v>1134418437</v>
      </c>
      <c r="D2406" s="36" t="s">
        <v>35036</v>
      </c>
      <c r="E2406" s="36" t="s">
        <v>1</v>
      </c>
      <c r="F2406" s="36">
        <v>1</v>
      </c>
      <c r="G2406" s="36">
        <v>2</v>
      </c>
      <c r="H2406" s="36">
        <v>0</v>
      </c>
      <c r="I2406" s="37">
        <v>0</v>
      </c>
      <c r="J2406" s="36" t="s">
        <v>34836</v>
      </c>
      <c r="K2406" s="36" t="s">
        <v>14330</v>
      </c>
      <c r="L2406" s="36" t="s">
        <v>14330</v>
      </c>
      <c r="M2406">
        <v>3</v>
      </c>
      <c r="N2406" t="s">
        <v>14331</v>
      </c>
      <c r="O2406" t="s">
        <v>32633</v>
      </c>
    </row>
    <row r="2407" spans="1:15" x14ac:dyDescent="0.25">
      <c r="A2407" s="35" t="s">
        <v>7328</v>
      </c>
      <c r="B2407" s="36" t="s">
        <v>7329</v>
      </c>
      <c r="C2407" s="36" t="str">
        <f>HYPERLINK("https://rhld.insurance.arkansas.gov/NPILookup?Npi=1134531106","1134531106")</f>
        <v>1134531106</v>
      </c>
      <c r="D2407" s="36" t="s">
        <v>35037</v>
      </c>
      <c r="E2407" s="36" t="s">
        <v>1</v>
      </c>
      <c r="F2407" s="36">
        <v>1</v>
      </c>
      <c r="G2407" s="36">
        <v>3</v>
      </c>
      <c r="H2407" s="36">
        <v>0</v>
      </c>
      <c r="I2407" s="37">
        <v>0</v>
      </c>
      <c r="J2407" s="36" t="s">
        <v>34836</v>
      </c>
      <c r="K2407" s="36" t="s">
        <v>14330</v>
      </c>
      <c r="L2407" s="36" t="s">
        <v>14330</v>
      </c>
      <c r="M2407">
        <v>3</v>
      </c>
      <c r="N2407" t="s">
        <v>14331</v>
      </c>
      <c r="O2407" t="s">
        <v>32633</v>
      </c>
    </row>
    <row r="2408" spans="1:15" x14ac:dyDescent="0.25">
      <c r="A2408" s="35" t="s">
        <v>7328</v>
      </c>
      <c r="B2408" s="36" t="s">
        <v>7329</v>
      </c>
      <c r="C2408" s="36" t="str">
        <f>HYPERLINK("https://rhld.insurance.arkansas.gov/NPILookup?Npi=1134564891","1134564891")</f>
        <v>1134564891</v>
      </c>
      <c r="D2408" s="36" t="s">
        <v>35038</v>
      </c>
      <c r="E2408" s="36" t="s">
        <v>1</v>
      </c>
      <c r="F2408" s="36">
        <v>1</v>
      </c>
      <c r="G2408" s="36">
        <v>3</v>
      </c>
      <c r="H2408" s="36">
        <v>0</v>
      </c>
      <c r="I2408" s="37">
        <v>0</v>
      </c>
      <c r="J2408" s="36" t="s">
        <v>34836</v>
      </c>
      <c r="K2408" s="36" t="s">
        <v>14330</v>
      </c>
      <c r="L2408" s="36" t="s">
        <v>14330</v>
      </c>
      <c r="M2408">
        <v>3</v>
      </c>
      <c r="N2408" t="s">
        <v>14331</v>
      </c>
      <c r="O2408" t="s">
        <v>32633</v>
      </c>
    </row>
    <row r="2409" spans="1:15" x14ac:dyDescent="0.25">
      <c r="A2409" s="35" t="s">
        <v>7328</v>
      </c>
      <c r="B2409" s="36" t="s">
        <v>7329</v>
      </c>
      <c r="C2409" s="36" t="str">
        <f>HYPERLINK("https://rhld.insurance.arkansas.gov/NPILookup?Npi=1134718968","1134718968")</f>
        <v>1134718968</v>
      </c>
      <c r="D2409" s="36" t="s">
        <v>35039</v>
      </c>
      <c r="E2409" s="36" t="s">
        <v>1</v>
      </c>
      <c r="F2409" s="36">
        <v>1</v>
      </c>
      <c r="G2409" s="36">
        <v>3</v>
      </c>
      <c r="H2409" s="36">
        <v>0</v>
      </c>
      <c r="I2409" s="37">
        <v>0</v>
      </c>
      <c r="J2409" s="36" t="s">
        <v>32654</v>
      </c>
      <c r="K2409" s="36" t="s">
        <v>14330</v>
      </c>
      <c r="L2409" s="36" t="s">
        <v>14330</v>
      </c>
      <c r="M2409">
        <v>2</v>
      </c>
      <c r="N2409" t="s">
        <v>14331</v>
      </c>
      <c r="O2409" t="s">
        <v>32633</v>
      </c>
    </row>
    <row r="2410" spans="1:15" x14ac:dyDescent="0.25">
      <c r="A2410" s="35" t="s">
        <v>7328</v>
      </c>
      <c r="B2410" s="36" t="s">
        <v>7329</v>
      </c>
      <c r="C2410" s="36" t="str">
        <f>HYPERLINK("https://rhld.insurance.arkansas.gov/NPILookup?Npi=1134852817","1134852817")</f>
        <v>1134852817</v>
      </c>
      <c r="D2410" s="36" t="s">
        <v>35040</v>
      </c>
      <c r="E2410" s="36" t="s">
        <v>1</v>
      </c>
      <c r="F2410" s="36">
        <v>1</v>
      </c>
      <c r="G2410" s="36">
        <v>2</v>
      </c>
      <c r="H2410" s="36">
        <v>0</v>
      </c>
      <c r="I2410" s="37">
        <v>0</v>
      </c>
      <c r="J2410" s="36" t="s">
        <v>32654</v>
      </c>
      <c r="K2410" s="36" t="s">
        <v>14330</v>
      </c>
      <c r="L2410" s="36" t="s">
        <v>14330</v>
      </c>
      <c r="M2410">
        <v>2</v>
      </c>
      <c r="N2410" t="s">
        <v>14331</v>
      </c>
      <c r="O2410" t="s">
        <v>32633</v>
      </c>
    </row>
    <row r="2411" spans="1:15" x14ac:dyDescent="0.25">
      <c r="A2411" s="35" t="s">
        <v>7328</v>
      </c>
      <c r="B2411" s="36" t="s">
        <v>7329</v>
      </c>
      <c r="C2411" s="36" t="str">
        <f>HYPERLINK("https://rhld.insurance.arkansas.gov/NPILookup?Npi=1134907637","1134907637")</f>
        <v>1134907637</v>
      </c>
      <c r="D2411" s="36" t="s">
        <v>35041</v>
      </c>
      <c r="E2411" s="36" t="s">
        <v>2</v>
      </c>
      <c r="F2411" s="36">
        <v>1</v>
      </c>
      <c r="G2411" s="36">
        <v>2</v>
      </c>
      <c r="H2411" s="36">
        <v>0</v>
      </c>
      <c r="I2411" s="37">
        <v>0</v>
      </c>
      <c r="J2411" s="36"/>
      <c r="K2411" s="36" t="s">
        <v>14330</v>
      </c>
      <c r="L2411" s="36" t="s">
        <v>14330</v>
      </c>
      <c r="M2411">
        <v>2</v>
      </c>
      <c r="N2411" t="s">
        <v>14331</v>
      </c>
      <c r="O2411" t="s">
        <v>14333</v>
      </c>
    </row>
    <row r="2412" spans="1:15" x14ac:dyDescent="0.25">
      <c r="A2412" s="35" t="s">
        <v>7328</v>
      </c>
      <c r="B2412" s="36" t="s">
        <v>7329</v>
      </c>
      <c r="C2412" s="36" t="str">
        <f>HYPERLINK("https://rhld.insurance.arkansas.gov/NPILookup?Npi=1144205253","1144205253")</f>
        <v>1144205253</v>
      </c>
      <c r="D2412" s="36" t="s">
        <v>35042</v>
      </c>
      <c r="E2412" s="36" t="s">
        <v>1</v>
      </c>
      <c r="F2412" s="36">
        <v>1</v>
      </c>
      <c r="G2412" s="36">
        <v>2</v>
      </c>
      <c r="H2412" s="36">
        <v>0</v>
      </c>
      <c r="I2412" s="37">
        <v>0</v>
      </c>
      <c r="J2412" s="36" t="s">
        <v>34836</v>
      </c>
      <c r="K2412" s="36" t="s">
        <v>14330</v>
      </c>
      <c r="L2412" s="36" t="s">
        <v>14330</v>
      </c>
      <c r="M2412">
        <v>3</v>
      </c>
      <c r="N2412" t="s">
        <v>14331</v>
      </c>
      <c r="O2412" t="s">
        <v>32633</v>
      </c>
    </row>
    <row r="2413" spans="1:15" x14ac:dyDescent="0.25">
      <c r="A2413" s="35" t="s">
        <v>7328</v>
      </c>
      <c r="B2413" s="36" t="s">
        <v>7329</v>
      </c>
      <c r="C2413" s="36" t="str">
        <f>HYPERLINK("https://rhld.insurance.arkansas.gov/NPILookup?Npi=1144269978","1144269978")</f>
        <v>1144269978</v>
      </c>
      <c r="D2413" s="36" t="s">
        <v>35043</v>
      </c>
      <c r="E2413" s="36" t="s">
        <v>1</v>
      </c>
      <c r="F2413" s="36">
        <v>1</v>
      </c>
      <c r="G2413" s="36">
        <v>3</v>
      </c>
      <c r="H2413" s="36">
        <v>0</v>
      </c>
      <c r="I2413" s="37">
        <v>0</v>
      </c>
      <c r="J2413" s="36" t="s">
        <v>34836</v>
      </c>
      <c r="K2413" s="36" t="s">
        <v>14330</v>
      </c>
      <c r="L2413" s="36" t="s">
        <v>14330</v>
      </c>
      <c r="M2413">
        <v>3</v>
      </c>
      <c r="N2413" t="s">
        <v>14331</v>
      </c>
      <c r="O2413" t="s">
        <v>32633</v>
      </c>
    </row>
    <row r="2414" spans="1:15" x14ac:dyDescent="0.25">
      <c r="A2414" s="35" t="s">
        <v>7328</v>
      </c>
      <c r="B2414" s="36" t="s">
        <v>7329</v>
      </c>
      <c r="C2414" s="36" t="str">
        <f>HYPERLINK("https://rhld.insurance.arkansas.gov/NPILookup?Npi=1144431883","1144431883")</f>
        <v>1144431883</v>
      </c>
      <c r="D2414" s="36" t="s">
        <v>35044</v>
      </c>
      <c r="E2414" s="36" t="s">
        <v>1</v>
      </c>
      <c r="F2414" s="36">
        <v>1</v>
      </c>
      <c r="G2414" s="36">
        <v>3</v>
      </c>
      <c r="H2414" s="36">
        <v>0</v>
      </c>
      <c r="I2414" s="37">
        <v>0</v>
      </c>
      <c r="J2414" s="36" t="s">
        <v>32723</v>
      </c>
      <c r="K2414" s="36" t="s">
        <v>14330</v>
      </c>
      <c r="L2414" s="36" t="s">
        <v>14330</v>
      </c>
      <c r="M2414">
        <v>3</v>
      </c>
      <c r="N2414" t="s">
        <v>14331</v>
      </c>
      <c r="O2414" t="s">
        <v>32724</v>
      </c>
    </row>
    <row r="2415" spans="1:15" x14ac:dyDescent="0.25">
      <c r="A2415" s="35" t="s">
        <v>7328</v>
      </c>
      <c r="B2415" s="36" t="s">
        <v>7329</v>
      </c>
      <c r="C2415" s="36" t="str">
        <f>HYPERLINK("https://rhld.insurance.arkansas.gov/NPILookup?Npi=1144459686","1144459686")</f>
        <v>1144459686</v>
      </c>
      <c r="D2415" s="36" t="s">
        <v>35045</v>
      </c>
      <c r="E2415" s="36" t="s">
        <v>1</v>
      </c>
      <c r="F2415" s="36">
        <v>1</v>
      </c>
      <c r="G2415" s="36">
        <v>3</v>
      </c>
      <c r="H2415" s="36">
        <v>0</v>
      </c>
      <c r="I2415" s="37">
        <v>0</v>
      </c>
      <c r="J2415" s="36" t="s">
        <v>34836</v>
      </c>
      <c r="K2415" s="36" t="s">
        <v>14330</v>
      </c>
      <c r="L2415" s="36" t="s">
        <v>14330</v>
      </c>
      <c r="M2415">
        <v>2</v>
      </c>
      <c r="N2415" t="s">
        <v>14331</v>
      </c>
      <c r="O2415" t="s">
        <v>32633</v>
      </c>
    </row>
    <row r="2416" spans="1:15" x14ac:dyDescent="0.25">
      <c r="A2416" s="35" t="s">
        <v>7328</v>
      </c>
      <c r="B2416" s="36" t="s">
        <v>7329</v>
      </c>
      <c r="C2416" s="36" t="str">
        <f>HYPERLINK("https://rhld.insurance.arkansas.gov/NPILookup?Npi=1144607268","1144607268")</f>
        <v>1144607268</v>
      </c>
      <c r="D2416" s="36" t="s">
        <v>35046</v>
      </c>
      <c r="E2416" s="36" t="s">
        <v>2</v>
      </c>
      <c r="F2416" s="36">
        <v>1</v>
      </c>
      <c r="G2416" s="36">
        <v>2</v>
      </c>
      <c r="H2416" s="36">
        <v>0</v>
      </c>
      <c r="I2416" s="37">
        <v>0</v>
      </c>
      <c r="J2416" s="36" t="s">
        <v>32679</v>
      </c>
      <c r="K2416" s="36" t="s">
        <v>14330</v>
      </c>
      <c r="L2416" s="36" t="s">
        <v>14330</v>
      </c>
      <c r="M2416">
        <v>3</v>
      </c>
      <c r="N2416" t="s">
        <v>14331</v>
      </c>
      <c r="O2416" t="s">
        <v>14333</v>
      </c>
    </row>
    <row r="2417" spans="1:15" x14ac:dyDescent="0.25">
      <c r="A2417" s="35" t="s">
        <v>7328</v>
      </c>
      <c r="B2417" s="36" t="s">
        <v>7329</v>
      </c>
      <c r="C2417" s="36" t="str">
        <f>HYPERLINK("https://rhld.insurance.arkansas.gov/NPILookup?Npi=1144615170","1144615170")</f>
        <v>1144615170</v>
      </c>
      <c r="D2417" s="36" t="s">
        <v>35047</v>
      </c>
      <c r="E2417" s="36" t="s">
        <v>1</v>
      </c>
      <c r="F2417" s="36">
        <v>1</v>
      </c>
      <c r="G2417" s="36">
        <v>3</v>
      </c>
      <c r="H2417" s="36">
        <v>0</v>
      </c>
      <c r="I2417" s="37">
        <v>0</v>
      </c>
      <c r="J2417" s="36" t="s">
        <v>32654</v>
      </c>
      <c r="K2417" s="36" t="s">
        <v>14330</v>
      </c>
      <c r="L2417" s="36" t="s">
        <v>14330</v>
      </c>
      <c r="M2417">
        <v>3</v>
      </c>
      <c r="N2417" t="s">
        <v>14331</v>
      </c>
      <c r="O2417" t="s">
        <v>32633</v>
      </c>
    </row>
    <row r="2418" spans="1:15" x14ac:dyDescent="0.25">
      <c r="A2418" s="35" t="s">
        <v>7328</v>
      </c>
      <c r="B2418" s="36" t="s">
        <v>7329</v>
      </c>
      <c r="C2418" s="36" t="str">
        <f>HYPERLINK("https://rhld.insurance.arkansas.gov/NPILookup?Npi=1144664491","1144664491")</f>
        <v>1144664491</v>
      </c>
      <c r="D2418" s="36" t="s">
        <v>35048</v>
      </c>
      <c r="E2418" s="36" t="s">
        <v>1</v>
      </c>
      <c r="F2418" s="36">
        <v>1</v>
      </c>
      <c r="G2418" s="36">
        <v>3</v>
      </c>
      <c r="H2418" s="36">
        <v>0</v>
      </c>
      <c r="I2418" s="37">
        <v>0</v>
      </c>
      <c r="J2418" s="36" t="s">
        <v>34836</v>
      </c>
      <c r="K2418" s="36" t="s">
        <v>14330</v>
      </c>
      <c r="L2418" s="36" t="s">
        <v>14330</v>
      </c>
      <c r="M2418">
        <v>2</v>
      </c>
      <c r="N2418" t="s">
        <v>14331</v>
      </c>
      <c r="O2418" t="s">
        <v>32633</v>
      </c>
    </row>
    <row r="2419" spans="1:15" x14ac:dyDescent="0.25">
      <c r="A2419" s="35" t="s">
        <v>7328</v>
      </c>
      <c r="B2419" s="36" t="s">
        <v>7329</v>
      </c>
      <c r="C2419" s="36" t="str">
        <f>HYPERLINK("https://rhld.insurance.arkansas.gov/NPILookup?Npi=1144753203","1144753203")</f>
        <v>1144753203</v>
      </c>
      <c r="D2419" s="36" t="s">
        <v>35049</v>
      </c>
      <c r="E2419" s="36" t="s">
        <v>1</v>
      </c>
      <c r="F2419" s="36">
        <v>1</v>
      </c>
      <c r="G2419" s="36">
        <v>2</v>
      </c>
      <c r="H2419" s="36">
        <v>0</v>
      </c>
      <c r="I2419" s="37">
        <v>0</v>
      </c>
      <c r="J2419" s="36" t="s">
        <v>34836</v>
      </c>
      <c r="K2419" s="36" t="s">
        <v>14330</v>
      </c>
      <c r="L2419" s="36" t="s">
        <v>14330</v>
      </c>
      <c r="M2419">
        <v>2</v>
      </c>
      <c r="N2419" t="s">
        <v>14331</v>
      </c>
      <c r="O2419" t="s">
        <v>32633</v>
      </c>
    </row>
    <row r="2420" spans="1:15" x14ac:dyDescent="0.25">
      <c r="A2420" s="35" t="s">
        <v>7328</v>
      </c>
      <c r="B2420" s="36" t="s">
        <v>7329</v>
      </c>
      <c r="C2420" s="36" t="str">
        <f>HYPERLINK("https://rhld.insurance.arkansas.gov/NPILookup?Npi=1144857996","1144857996")</f>
        <v>1144857996</v>
      </c>
      <c r="D2420" s="36" t="s">
        <v>35050</v>
      </c>
      <c r="E2420" s="36" t="s">
        <v>1</v>
      </c>
      <c r="F2420" s="36">
        <v>1</v>
      </c>
      <c r="G2420" s="36">
        <v>2</v>
      </c>
      <c r="H2420" s="36">
        <v>0</v>
      </c>
      <c r="I2420" s="37">
        <v>0</v>
      </c>
      <c r="J2420" s="36" t="s">
        <v>32654</v>
      </c>
      <c r="K2420" s="36" t="s">
        <v>14330</v>
      </c>
      <c r="L2420" s="36" t="s">
        <v>14330</v>
      </c>
      <c r="M2420">
        <v>2</v>
      </c>
      <c r="N2420" t="s">
        <v>14331</v>
      </c>
      <c r="O2420" t="s">
        <v>32633</v>
      </c>
    </row>
    <row r="2421" spans="1:15" x14ac:dyDescent="0.25">
      <c r="A2421" s="35" t="s">
        <v>7328</v>
      </c>
      <c r="B2421" s="36" t="s">
        <v>7329</v>
      </c>
      <c r="C2421" s="36" t="str">
        <f>HYPERLINK("https://rhld.insurance.arkansas.gov/NPILookup?Npi=1144901125","1144901125")</f>
        <v>1144901125</v>
      </c>
      <c r="D2421" s="36" t="s">
        <v>35051</v>
      </c>
      <c r="E2421" s="36" t="s">
        <v>2</v>
      </c>
      <c r="F2421" s="36">
        <v>2</v>
      </c>
      <c r="G2421" s="36">
        <v>2</v>
      </c>
      <c r="H2421" s="36">
        <v>0</v>
      </c>
      <c r="I2421" s="37">
        <v>0</v>
      </c>
      <c r="J2421" s="36" t="s">
        <v>33004</v>
      </c>
      <c r="K2421" s="36" t="s">
        <v>14330</v>
      </c>
      <c r="L2421" s="36" t="s">
        <v>14330</v>
      </c>
      <c r="M2421">
        <v>2</v>
      </c>
      <c r="N2421" t="s">
        <v>14331</v>
      </c>
      <c r="O2421" t="s">
        <v>14333</v>
      </c>
    </row>
    <row r="2422" spans="1:15" x14ac:dyDescent="0.25">
      <c r="A2422" s="35" t="s">
        <v>7328</v>
      </c>
      <c r="B2422" s="36" t="s">
        <v>7329</v>
      </c>
      <c r="C2422" s="36" t="str">
        <f>HYPERLINK("https://rhld.insurance.arkansas.gov/NPILookup?Npi=1154043941","1154043941")</f>
        <v>1154043941</v>
      </c>
      <c r="D2422" s="36" t="s">
        <v>35052</v>
      </c>
      <c r="E2422" s="36" t="s">
        <v>1</v>
      </c>
      <c r="F2422" s="36">
        <v>1</v>
      </c>
      <c r="G2422" s="36">
        <v>2</v>
      </c>
      <c r="H2422" s="36">
        <v>0</v>
      </c>
      <c r="I2422" s="37">
        <v>0</v>
      </c>
      <c r="J2422" s="36" t="s">
        <v>32654</v>
      </c>
      <c r="K2422" s="36" t="s">
        <v>14330</v>
      </c>
      <c r="L2422" s="36" t="s">
        <v>14330</v>
      </c>
      <c r="M2422">
        <v>2</v>
      </c>
      <c r="N2422" t="s">
        <v>14331</v>
      </c>
      <c r="O2422" t="s">
        <v>32633</v>
      </c>
    </row>
    <row r="2423" spans="1:15" x14ac:dyDescent="0.25">
      <c r="A2423" s="35" t="s">
        <v>7328</v>
      </c>
      <c r="B2423" s="36" t="s">
        <v>7329</v>
      </c>
      <c r="C2423" s="36" t="str">
        <f>HYPERLINK("https://rhld.insurance.arkansas.gov/NPILookup?Npi=1154158699","1154158699")</f>
        <v>1154158699</v>
      </c>
      <c r="D2423" s="36" t="s">
        <v>34206</v>
      </c>
      <c r="E2423" s="36" t="s">
        <v>2</v>
      </c>
      <c r="F2423" s="36">
        <v>1</v>
      </c>
      <c r="G2423" s="36">
        <v>2</v>
      </c>
      <c r="H2423" s="36">
        <v>0</v>
      </c>
      <c r="I2423" s="37">
        <v>0</v>
      </c>
      <c r="J2423" s="36"/>
      <c r="K2423" s="36" t="s">
        <v>14330</v>
      </c>
      <c r="L2423" s="36" t="s">
        <v>14330</v>
      </c>
      <c r="M2423">
        <v>3</v>
      </c>
      <c r="N2423" t="s">
        <v>14331</v>
      </c>
      <c r="O2423" t="s">
        <v>14333</v>
      </c>
    </row>
    <row r="2424" spans="1:15" x14ac:dyDescent="0.25">
      <c r="A2424" s="35" t="s">
        <v>7328</v>
      </c>
      <c r="B2424" s="36" t="s">
        <v>7329</v>
      </c>
      <c r="C2424" s="36" t="str">
        <f>HYPERLINK("https://rhld.insurance.arkansas.gov/NPILookup?Npi=1154359099","1154359099")</f>
        <v>1154359099</v>
      </c>
      <c r="D2424" s="36" t="s">
        <v>35053</v>
      </c>
      <c r="E2424" s="36" t="s">
        <v>1</v>
      </c>
      <c r="F2424" s="36">
        <v>1</v>
      </c>
      <c r="G2424" s="36">
        <v>3</v>
      </c>
      <c r="H2424" s="36">
        <v>0</v>
      </c>
      <c r="I2424" s="37">
        <v>0</v>
      </c>
      <c r="J2424" s="36" t="s">
        <v>34836</v>
      </c>
      <c r="K2424" s="36" t="s">
        <v>14330</v>
      </c>
      <c r="L2424" s="36" t="s">
        <v>14330</v>
      </c>
      <c r="M2424">
        <v>3</v>
      </c>
      <c r="N2424" t="s">
        <v>14331</v>
      </c>
      <c r="O2424" t="s">
        <v>32633</v>
      </c>
    </row>
    <row r="2425" spans="1:15" x14ac:dyDescent="0.25">
      <c r="A2425" s="35" t="s">
        <v>7328</v>
      </c>
      <c r="B2425" s="36" t="s">
        <v>7329</v>
      </c>
      <c r="C2425" s="36" t="str">
        <f>HYPERLINK("https://rhld.insurance.arkansas.gov/NPILookup?Npi=1154362267","1154362267")</f>
        <v>1154362267</v>
      </c>
      <c r="D2425" s="36" t="s">
        <v>35054</v>
      </c>
      <c r="E2425" s="36" t="s">
        <v>1</v>
      </c>
      <c r="F2425" s="36">
        <v>1</v>
      </c>
      <c r="G2425" s="36">
        <v>3</v>
      </c>
      <c r="H2425" s="36">
        <v>0</v>
      </c>
      <c r="I2425" s="37">
        <v>0</v>
      </c>
      <c r="J2425" s="36" t="s">
        <v>32654</v>
      </c>
      <c r="K2425" s="36" t="s">
        <v>14330</v>
      </c>
      <c r="L2425" s="36" t="s">
        <v>14330</v>
      </c>
      <c r="M2425">
        <v>3</v>
      </c>
      <c r="N2425" t="s">
        <v>14331</v>
      </c>
      <c r="O2425" t="s">
        <v>32633</v>
      </c>
    </row>
    <row r="2426" spans="1:15" x14ac:dyDescent="0.25">
      <c r="A2426" s="35" t="s">
        <v>7328</v>
      </c>
      <c r="B2426" s="36" t="s">
        <v>7329</v>
      </c>
      <c r="C2426" s="36" t="str">
        <f>HYPERLINK("https://rhld.insurance.arkansas.gov/NPILookup?Npi=1154367332","1154367332")</f>
        <v>1154367332</v>
      </c>
      <c r="D2426" s="36" t="s">
        <v>35055</v>
      </c>
      <c r="E2426" s="36" t="s">
        <v>1</v>
      </c>
      <c r="F2426" s="36">
        <v>1</v>
      </c>
      <c r="G2426" s="36">
        <v>3</v>
      </c>
      <c r="H2426" s="36">
        <v>0</v>
      </c>
      <c r="I2426" s="37">
        <v>0</v>
      </c>
      <c r="J2426" s="36" t="s">
        <v>34836</v>
      </c>
      <c r="K2426" s="36" t="s">
        <v>14330</v>
      </c>
      <c r="L2426" s="36" t="s">
        <v>14330</v>
      </c>
      <c r="M2426">
        <v>2</v>
      </c>
      <c r="N2426" t="s">
        <v>14331</v>
      </c>
      <c r="O2426" t="s">
        <v>32633</v>
      </c>
    </row>
    <row r="2427" spans="1:15" x14ac:dyDescent="0.25">
      <c r="A2427" s="35" t="s">
        <v>7328</v>
      </c>
      <c r="B2427" s="36" t="s">
        <v>7329</v>
      </c>
      <c r="C2427" s="36" t="str">
        <f>HYPERLINK("https://rhld.insurance.arkansas.gov/NPILookup?Npi=1154389419","1154389419")</f>
        <v>1154389419</v>
      </c>
      <c r="D2427" s="36" t="s">
        <v>35056</v>
      </c>
      <c r="E2427" s="36" t="s">
        <v>2</v>
      </c>
      <c r="F2427" s="36">
        <v>1</v>
      </c>
      <c r="G2427" s="36">
        <v>2</v>
      </c>
      <c r="H2427" s="36">
        <v>0</v>
      </c>
      <c r="I2427" s="37">
        <v>0</v>
      </c>
      <c r="J2427" s="36" t="s">
        <v>32679</v>
      </c>
      <c r="K2427" s="36" t="s">
        <v>14330</v>
      </c>
      <c r="L2427" s="36" t="s">
        <v>14330</v>
      </c>
      <c r="M2427">
        <v>3</v>
      </c>
      <c r="N2427" t="s">
        <v>14331</v>
      </c>
      <c r="O2427" t="s">
        <v>14333</v>
      </c>
    </row>
    <row r="2428" spans="1:15" x14ac:dyDescent="0.25">
      <c r="A2428" s="35" t="s">
        <v>7328</v>
      </c>
      <c r="B2428" s="36" t="s">
        <v>7329</v>
      </c>
      <c r="C2428" s="36" t="str">
        <f>HYPERLINK("https://rhld.insurance.arkansas.gov/NPILookup?Npi=1154411635","1154411635")</f>
        <v>1154411635</v>
      </c>
      <c r="D2428" s="36" t="s">
        <v>35057</v>
      </c>
      <c r="E2428" s="36" t="s">
        <v>1</v>
      </c>
      <c r="F2428" s="36">
        <v>1</v>
      </c>
      <c r="G2428" s="36">
        <v>3</v>
      </c>
      <c r="H2428" s="36">
        <v>0</v>
      </c>
      <c r="I2428" s="37">
        <v>0</v>
      </c>
      <c r="J2428" s="36" t="s">
        <v>34836</v>
      </c>
      <c r="K2428" s="36" t="s">
        <v>14330</v>
      </c>
      <c r="L2428" s="36" t="s">
        <v>14330</v>
      </c>
      <c r="M2428">
        <v>3</v>
      </c>
      <c r="N2428" t="s">
        <v>14331</v>
      </c>
      <c r="O2428" t="s">
        <v>32633</v>
      </c>
    </row>
    <row r="2429" spans="1:15" x14ac:dyDescent="0.25">
      <c r="A2429" s="35" t="s">
        <v>7328</v>
      </c>
      <c r="B2429" s="36" t="s">
        <v>7329</v>
      </c>
      <c r="C2429" s="36" t="str">
        <f>HYPERLINK("https://rhld.insurance.arkansas.gov/NPILookup?Npi=1154529717","1154529717")</f>
        <v>1154529717</v>
      </c>
      <c r="D2429" s="36" t="s">
        <v>35058</v>
      </c>
      <c r="E2429" s="36" t="s">
        <v>1</v>
      </c>
      <c r="F2429" s="36">
        <v>1</v>
      </c>
      <c r="G2429" s="36">
        <v>3</v>
      </c>
      <c r="H2429" s="36">
        <v>0</v>
      </c>
      <c r="I2429" s="37">
        <v>0</v>
      </c>
      <c r="J2429" s="36" t="s">
        <v>32654</v>
      </c>
      <c r="K2429" s="36" t="s">
        <v>14330</v>
      </c>
      <c r="L2429" s="36" t="s">
        <v>14330</v>
      </c>
      <c r="M2429">
        <v>3</v>
      </c>
      <c r="N2429" t="s">
        <v>14331</v>
      </c>
      <c r="O2429" t="s">
        <v>32633</v>
      </c>
    </row>
    <row r="2430" spans="1:15" x14ac:dyDescent="0.25">
      <c r="A2430" s="35" t="s">
        <v>7328</v>
      </c>
      <c r="B2430" s="36" t="s">
        <v>7329</v>
      </c>
      <c r="C2430" s="36" t="str">
        <f>HYPERLINK("https://rhld.insurance.arkansas.gov/NPILookup?Npi=1154539807","1154539807")</f>
        <v>1154539807</v>
      </c>
      <c r="D2430" s="36" t="s">
        <v>35059</v>
      </c>
      <c r="E2430" s="36" t="s">
        <v>1</v>
      </c>
      <c r="F2430" s="36">
        <v>1</v>
      </c>
      <c r="G2430" s="36">
        <v>3</v>
      </c>
      <c r="H2430" s="36">
        <v>0</v>
      </c>
      <c r="I2430" s="37">
        <v>0</v>
      </c>
      <c r="J2430" s="36" t="s">
        <v>34836</v>
      </c>
      <c r="K2430" s="36" t="s">
        <v>14330</v>
      </c>
      <c r="L2430" s="36" t="s">
        <v>14330</v>
      </c>
      <c r="M2430">
        <v>2</v>
      </c>
      <c r="N2430" t="s">
        <v>14331</v>
      </c>
      <c r="O2430" t="s">
        <v>32633</v>
      </c>
    </row>
    <row r="2431" spans="1:15" x14ac:dyDescent="0.25">
      <c r="A2431" s="35" t="s">
        <v>7328</v>
      </c>
      <c r="B2431" s="36" t="s">
        <v>7329</v>
      </c>
      <c r="C2431" s="36" t="str">
        <f>HYPERLINK("https://rhld.insurance.arkansas.gov/NPILookup?Npi=1154586881","1154586881")</f>
        <v>1154586881</v>
      </c>
      <c r="D2431" s="36" t="s">
        <v>35060</v>
      </c>
      <c r="E2431" s="36" t="s">
        <v>1</v>
      </c>
      <c r="F2431" s="36">
        <v>1</v>
      </c>
      <c r="G2431" s="36">
        <v>2</v>
      </c>
      <c r="H2431" s="36">
        <v>0</v>
      </c>
      <c r="I2431" s="37">
        <v>0</v>
      </c>
      <c r="J2431" s="36" t="s">
        <v>34836</v>
      </c>
      <c r="K2431" s="36" t="s">
        <v>14330</v>
      </c>
      <c r="L2431" s="36" t="s">
        <v>14330</v>
      </c>
      <c r="M2431">
        <v>2</v>
      </c>
      <c r="N2431" t="s">
        <v>14331</v>
      </c>
      <c r="O2431" t="s">
        <v>32633</v>
      </c>
    </row>
    <row r="2432" spans="1:15" x14ac:dyDescent="0.25">
      <c r="A2432" s="35" t="s">
        <v>7328</v>
      </c>
      <c r="B2432" s="36" t="s">
        <v>7329</v>
      </c>
      <c r="C2432" s="36" t="str">
        <f>HYPERLINK("https://rhld.insurance.arkansas.gov/NPILookup?Npi=1154763449","1154763449")</f>
        <v>1154763449</v>
      </c>
      <c r="D2432" s="36" t="s">
        <v>35061</v>
      </c>
      <c r="E2432" s="36" t="s">
        <v>1</v>
      </c>
      <c r="F2432" s="36">
        <v>1</v>
      </c>
      <c r="G2432" s="36">
        <v>2</v>
      </c>
      <c r="H2432" s="36">
        <v>0</v>
      </c>
      <c r="I2432" s="37">
        <v>0</v>
      </c>
      <c r="J2432" s="36" t="s">
        <v>32723</v>
      </c>
      <c r="K2432" s="36" t="s">
        <v>14330</v>
      </c>
      <c r="L2432" s="36" t="s">
        <v>14330</v>
      </c>
      <c r="M2432">
        <v>3</v>
      </c>
      <c r="N2432" t="s">
        <v>14331</v>
      </c>
      <c r="O2432" t="s">
        <v>32724</v>
      </c>
    </row>
    <row r="2433" spans="1:15" x14ac:dyDescent="0.25">
      <c r="A2433" s="35" t="s">
        <v>7328</v>
      </c>
      <c r="B2433" s="36" t="s">
        <v>7329</v>
      </c>
      <c r="C2433" s="36" t="str">
        <f>HYPERLINK("https://rhld.insurance.arkansas.gov/NPILookup?Npi=1154773729","1154773729")</f>
        <v>1154773729</v>
      </c>
      <c r="D2433" s="36" t="s">
        <v>35062</v>
      </c>
      <c r="E2433" s="36" t="s">
        <v>1</v>
      </c>
      <c r="F2433" s="36">
        <v>1</v>
      </c>
      <c r="G2433" s="36">
        <v>3</v>
      </c>
      <c r="H2433" s="36">
        <v>0</v>
      </c>
      <c r="I2433" s="37">
        <v>0</v>
      </c>
      <c r="J2433" s="36" t="s">
        <v>32654</v>
      </c>
      <c r="K2433" s="36" t="s">
        <v>14330</v>
      </c>
      <c r="L2433" s="36" t="s">
        <v>14330</v>
      </c>
      <c r="M2433">
        <v>2</v>
      </c>
      <c r="N2433" t="s">
        <v>14331</v>
      </c>
      <c r="O2433" t="s">
        <v>32633</v>
      </c>
    </row>
    <row r="2434" spans="1:15" x14ac:dyDescent="0.25">
      <c r="A2434" s="35" t="s">
        <v>7328</v>
      </c>
      <c r="B2434" s="36" t="s">
        <v>7329</v>
      </c>
      <c r="C2434" s="36" t="str">
        <f>HYPERLINK("https://rhld.insurance.arkansas.gov/NPILookup?Npi=1154816858","1154816858")</f>
        <v>1154816858</v>
      </c>
      <c r="D2434" s="36" t="s">
        <v>35063</v>
      </c>
      <c r="E2434" s="36" t="s">
        <v>1</v>
      </c>
      <c r="F2434" s="36">
        <v>1</v>
      </c>
      <c r="G2434" s="36">
        <v>2</v>
      </c>
      <c r="H2434" s="36">
        <v>0</v>
      </c>
      <c r="I2434" s="37">
        <v>0</v>
      </c>
      <c r="J2434" s="36" t="s">
        <v>34836</v>
      </c>
      <c r="K2434" s="36" t="s">
        <v>14330</v>
      </c>
      <c r="L2434" s="36" t="s">
        <v>14330</v>
      </c>
      <c r="M2434">
        <v>2</v>
      </c>
      <c r="N2434" t="s">
        <v>14331</v>
      </c>
      <c r="O2434" t="s">
        <v>32633</v>
      </c>
    </row>
    <row r="2435" spans="1:15" x14ac:dyDescent="0.25">
      <c r="A2435" s="35" t="s">
        <v>7328</v>
      </c>
      <c r="B2435" s="36" t="s">
        <v>7329</v>
      </c>
      <c r="C2435" s="36" t="str">
        <f>HYPERLINK("https://rhld.insurance.arkansas.gov/NPILookup?Npi=1154959211","1154959211")</f>
        <v>1154959211</v>
      </c>
      <c r="D2435" s="36" t="s">
        <v>35064</v>
      </c>
      <c r="E2435" s="36" t="s">
        <v>1</v>
      </c>
      <c r="F2435" s="36">
        <v>1</v>
      </c>
      <c r="G2435" s="36">
        <v>2</v>
      </c>
      <c r="H2435" s="36">
        <v>0</v>
      </c>
      <c r="I2435" s="37">
        <v>0</v>
      </c>
      <c r="J2435" s="36" t="s">
        <v>32654</v>
      </c>
      <c r="K2435" s="36" t="s">
        <v>14330</v>
      </c>
      <c r="L2435" s="36" t="s">
        <v>14330</v>
      </c>
      <c r="M2435">
        <v>2</v>
      </c>
      <c r="N2435" t="s">
        <v>14331</v>
      </c>
      <c r="O2435" t="s">
        <v>32633</v>
      </c>
    </row>
    <row r="2436" spans="1:15" x14ac:dyDescent="0.25">
      <c r="A2436" s="35" t="s">
        <v>7328</v>
      </c>
      <c r="B2436" s="36" t="s">
        <v>7329</v>
      </c>
      <c r="C2436" s="36" t="str">
        <f>HYPERLINK("https://rhld.insurance.arkansas.gov/NPILookup?Npi=1164059507","1164059507")</f>
        <v>1164059507</v>
      </c>
      <c r="D2436" s="36" t="s">
        <v>35065</v>
      </c>
      <c r="E2436" s="36" t="s">
        <v>1</v>
      </c>
      <c r="F2436" s="36">
        <v>1</v>
      </c>
      <c r="G2436" s="36">
        <v>2</v>
      </c>
      <c r="H2436" s="36">
        <v>0</v>
      </c>
      <c r="I2436" s="37">
        <v>0</v>
      </c>
      <c r="J2436" s="36" t="s">
        <v>34836</v>
      </c>
      <c r="K2436" s="36" t="s">
        <v>14330</v>
      </c>
      <c r="L2436" s="36" t="s">
        <v>14330</v>
      </c>
      <c r="M2436">
        <v>2</v>
      </c>
      <c r="N2436" t="s">
        <v>14331</v>
      </c>
      <c r="O2436" t="s">
        <v>32633</v>
      </c>
    </row>
    <row r="2437" spans="1:15" x14ac:dyDescent="0.25">
      <c r="A2437" s="35" t="s">
        <v>7328</v>
      </c>
      <c r="B2437" s="36" t="s">
        <v>7329</v>
      </c>
      <c r="C2437" s="36" t="str">
        <f>HYPERLINK("https://rhld.insurance.arkansas.gov/NPILookup?Npi=1164164257","1164164257")</f>
        <v>1164164257</v>
      </c>
      <c r="D2437" s="36" t="s">
        <v>35066</v>
      </c>
      <c r="E2437" s="36" t="s">
        <v>2</v>
      </c>
      <c r="F2437" s="36">
        <v>1</v>
      </c>
      <c r="G2437" s="36">
        <v>2</v>
      </c>
      <c r="H2437" s="36">
        <v>0</v>
      </c>
      <c r="I2437" s="37">
        <v>0</v>
      </c>
      <c r="J2437" s="36"/>
      <c r="K2437" s="36" t="s">
        <v>14330</v>
      </c>
      <c r="L2437" s="36" t="s">
        <v>14330</v>
      </c>
      <c r="M2437">
        <v>2</v>
      </c>
      <c r="N2437" t="s">
        <v>14331</v>
      </c>
      <c r="O2437" t="s">
        <v>14333</v>
      </c>
    </row>
    <row r="2438" spans="1:15" x14ac:dyDescent="0.25">
      <c r="A2438" s="35" t="s">
        <v>7328</v>
      </c>
      <c r="B2438" s="36" t="s">
        <v>7329</v>
      </c>
      <c r="C2438" s="36" t="str">
        <f>HYPERLINK("https://rhld.insurance.arkansas.gov/NPILookup?Npi=1164166179","1164166179")</f>
        <v>1164166179</v>
      </c>
      <c r="D2438" s="36" t="s">
        <v>33016</v>
      </c>
      <c r="E2438" s="36" t="s">
        <v>2</v>
      </c>
      <c r="F2438" s="36">
        <v>1</v>
      </c>
      <c r="G2438" s="36">
        <v>2</v>
      </c>
      <c r="H2438" s="36">
        <v>0</v>
      </c>
      <c r="I2438" s="37">
        <v>0</v>
      </c>
      <c r="J2438" s="36"/>
      <c r="K2438" s="36" t="s">
        <v>14330</v>
      </c>
      <c r="L2438" s="36" t="s">
        <v>14330</v>
      </c>
      <c r="M2438">
        <v>2</v>
      </c>
      <c r="N2438" t="s">
        <v>14331</v>
      </c>
      <c r="O2438" t="s">
        <v>14333</v>
      </c>
    </row>
    <row r="2439" spans="1:15" x14ac:dyDescent="0.25">
      <c r="A2439" s="35" t="s">
        <v>7328</v>
      </c>
      <c r="B2439" s="36" t="s">
        <v>7329</v>
      </c>
      <c r="C2439" s="36" t="str">
        <f>HYPERLINK("https://rhld.insurance.arkansas.gov/NPILookup?Npi=1164294963","1164294963")</f>
        <v>1164294963</v>
      </c>
      <c r="D2439" s="36" t="s">
        <v>34685</v>
      </c>
      <c r="E2439" s="36" t="s">
        <v>2</v>
      </c>
      <c r="F2439" s="36">
        <v>1</v>
      </c>
      <c r="G2439" s="36">
        <v>2</v>
      </c>
      <c r="H2439" s="36">
        <v>0</v>
      </c>
      <c r="I2439" s="37">
        <v>0</v>
      </c>
      <c r="J2439" s="36"/>
      <c r="K2439" s="36" t="s">
        <v>14330</v>
      </c>
      <c r="L2439" s="36" t="s">
        <v>14330</v>
      </c>
      <c r="M2439">
        <v>2</v>
      </c>
      <c r="N2439" t="s">
        <v>14331</v>
      </c>
      <c r="O2439" t="s">
        <v>14333</v>
      </c>
    </row>
    <row r="2440" spans="1:15" x14ac:dyDescent="0.25">
      <c r="A2440" s="35" t="s">
        <v>7328</v>
      </c>
      <c r="B2440" s="36" t="s">
        <v>7329</v>
      </c>
      <c r="C2440" s="36" t="str">
        <f>HYPERLINK("https://rhld.insurance.arkansas.gov/NPILookup?Npi=1164401832","1164401832")</f>
        <v>1164401832</v>
      </c>
      <c r="D2440" s="36" t="s">
        <v>35067</v>
      </c>
      <c r="E2440" s="36" t="s">
        <v>1</v>
      </c>
      <c r="F2440" s="36">
        <v>1</v>
      </c>
      <c r="G2440" s="36">
        <v>2</v>
      </c>
      <c r="H2440" s="36">
        <v>0</v>
      </c>
      <c r="I2440" s="37">
        <v>0</v>
      </c>
      <c r="J2440" s="36" t="s">
        <v>32723</v>
      </c>
      <c r="K2440" s="36" t="s">
        <v>14330</v>
      </c>
      <c r="L2440" s="36" t="s">
        <v>14330</v>
      </c>
      <c r="M2440">
        <v>2</v>
      </c>
      <c r="N2440" t="s">
        <v>14331</v>
      </c>
      <c r="O2440" t="s">
        <v>32724</v>
      </c>
    </row>
    <row r="2441" spans="1:15" x14ac:dyDescent="0.25">
      <c r="A2441" s="35" t="s">
        <v>7328</v>
      </c>
      <c r="B2441" s="36" t="s">
        <v>7329</v>
      </c>
      <c r="C2441" s="36" t="str">
        <f>HYPERLINK("https://rhld.insurance.arkansas.gov/NPILookup?Npi=1164425278","1164425278")</f>
        <v>1164425278</v>
      </c>
      <c r="D2441" s="36" t="s">
        <v>35068</v>
      </c>
      <c r="E2441" s="36" t="s">
        <v>1</v>
      </c>
      <c r="F2441" s="36">
        <v>1</v>
      </c>
      <c r="G2441" s="36">
        <v>2</v>
      </c>
      <c r="H2441" s="36">
        <v>0</v>
      </c>
      <c r="I2441" s="37">
        <v>0</v>
      </c>
      <c r="J2441" s="36" t="s">
        <v>32723</v>
      </c>
      <c r="K2441" s="36" t="s">
        <v>14330</v>
      </c>
      <c r="L2441" s="36" t="s">
        <v>14330</v>
      </c>
      <c r="M2441">
        <v>2</v>
      </c>
      <c r="N2441" t="s">
        <v>14331</v>
      </c>
      <c r="O2441" t="s">
        <v>32724</v>
      </c>
    </row>
    <row r="2442" spans="1:15" x14ac:dyDescent="0.25">
      <c r="A2442" s="35" t="s">
        <v>7328</v>
      </c>
      <c r="B2442" s="36" t="s">
        <v>7329</v>
      </c>
      <c r="C2442" s="36" t="str">
        <f>HYPERLINK("https://rhld.insurance.arkansas.gov/NPILookup?Npi=1164430526","1164430526")</f>
        <v>1164430526</v>
      </c>
      <c r="D2442" s="36" t="s">
        <v>35069</v>
      </c>
      <c r="E2442" s="36" t="s">
        <v>1</v>
      </c>
      <c r="F2442" s="36">
        <v>1</v>
      </c>
      <c r="G2442" s="36">
        <v>2</v>
      </c>
      <c r="H2442" s="36">
        <v>0</v>
      </c>
      <c r="I2442" s="37">
        <v>0</v>
      </c>
      <c r="J2442" s="36" t="s">
        <v>32723</v>
      </c>
      <c r="K2442" s="36" t="s">
        <v>14330</v>
      </c>
      <c r="L2442" s="36" t="s">
        <v>14330</v>
      </c>
      <c r="M2442">
        <v>2</v>
      </c>
      <c r="N2442" t="s">
        <v>14331</v>
      </c>
      <c r="O2442" t="s">
        <v>32724</v>
      </c>
    </row>
    <row r="2443" spans="1:15" x14ac:dyDescent="0.25">
      <c r="A2443" s="35" t="s">
        <v>7328</v>
      </c>
      <c r="B2443" s="36" t="s">
        <v>7329</v>
      </c>
      <c r="C2443" s="36" t="str">
        <f>HYPERLINK("https://rhld.insurance.arkansas.gov/NPILookup?Npi=1164452223","1164452223")</f>
        <v>1164452223</v>
      </c>
      <c r="D2443" s="36" t="s">
        <v>35070</v>
      </c>
      <c r="E2443" s="36" t="s">
        <v>1</v>
      </c>
      <c r="F2443" s="36">
        <v>1</v>
      </c>
      <c r="G2443" s="36">
        <v>2</v>
      </c>
      <c r="H2443" s="36">
        <v>0</v>
      </c>
      <c r="I2443" s="37">
        <v>0</v>
      </c>
      <c r="J2443" s="36" t="s">
        <v>32723</v>
      </c>
      <c r="K2443" s="36" t="s">
        <v>14330</v>
      </c>
      <c r="L2443" s="36" t="s">
        <v>14330</v>
      </c>
      <c r="M2443">
        <v>2</v>
      </c>
      <c r="N2443" t="s">
        <v>14331</v>
      </c>
      <c r="O2443" t="s">
        <v>32724</v>
      </c>
    </row>
    <row r="2444" spans="1:15" x14ac:dyDescent="0.25">
      <c r="A2444" s="35" t="s">
        <v>7328</v>
      </c>
      <c r="B2444" s="36" t="s">
        <v>7329</v>
      </c>
      <c r="C2444" s="36" t="str">
        <f>HYPERLINK("https://rhld.insurance.arkansas.gov/NPILookup?Npi=1164462602","1164462602")</f>
        <v>1164462602</v>
      </c>
      <c r="D2444" s="36" t="s">
        <v>35071</v>
      </c>
      <c r="E2444" s="36" t="s">
        <v>1</v>
      </c>
      <c r="F2444" s="36">
        <v>1</v>
      </c>
      <c r="G2444" s="36">
        <v>3</v>
      </c>
      <c r="H2444" s="36">
        <v>1</v>
      </c>
      <c r="I2444" s="37">
        <v>0</v>
      </c>
      <c r="J2444" s="36" t="s">
        <v>32654</v>
      </c>
      <c r="K2444" s="36" t="s">
        <v>14330</v>
      </c>
      <c r="L2444" s="36" t="s">
        <v>35072</v>
      </c>
      <c r="M2444">
        <v>2</v>
      </c>
      <c r="N2444" t="s">
        <v>14332</v>
      </c>
      <c r="O2444" t="s">
        <v>34971</v>
      </c>
    </row>
    <row r="2445" spans="1:15" x14ac:dyDescent="0.25">
      <c r="A2445" s="35" t="s">
        <v>7328</v>
      </c>
      <c r="B2445" s="36" t="s">
        <v>7329</v>
      </c>
      <c r="C2445" s="36" t="str">
        <f>HYPERLINK("https://rhld.insurance.arkansas.gov/NPILookup?Npi=1164469409","1164469409")</f>
        <v>1164469409</v>
      </c>
      <c r="D2445" s="36" t="s">
        <v>35073</v>
      </c>
      <c r="E2445" s="36" t="s">
        <v>1</v>
      </c>
      <c r="F2445" s="36">
        <v>1</v>
      </c>
      <c r="G2445" s="36">
        <v>2</v>
      </c>
      <c r="H2445" s="36">
        <v>0</v>
      </c>
      <c r="I2445" s="37">
        <v>0</v>
      </c>
      <c r="J2445" s="36" t="s">
        <v>34836</v>
      </c>
      <c r="K2445" s="36" t="s">
        <v>14330</v>
      </c>
      <c r="L2445" s="36" t="s">
        <v>14330</v>
      </c>
      <c r="M2445">
        <v>3</v>
      </c>
      <c r="N2445" t="s">
        <v>14331</v>
      </c>
      <c r="O2445" t="s">
        <v>32633</v>
      </c>
    </row>
    <row r="2446" spans="1:15" x14ac:dyDescent="0.25">
      <c r="A2446" s="35" t="s">
        <v>7328</v>
      </c>
      <c r="B2446" s="36" t="s">
        <v>7329</v>
      </c>
      <c r="C2446" s="36" t="str">
        <f>HYPERLINK("https://rhld.insurance.arkansas.gov/NPILookup?Npi=1164482360","1164482360")</f>
        <v>1164482360</v>
      </c>
      <c r="D2446" s="36" t="s">
        <v>35074</v>
      </c>
      <c r="E2446" s="36" t="s">
        <v>1</v>
      </c>
      <c r="F2446" s="36">
        <v>1</v>
      </c>
      <c r="G2446" s="36">
        <v>3</v>
      </c>
      <c r="H2446" s="36">
        <v>0</v>
      </c>
      <c r="I2446" s="37">
        <v>0</v>
      </c>
      <c r="J2446" s="36" t="s">
        <v>34836</v>
      </c>
      <c r="K2446" s="36" t="s">
        <v>14330</v>
      </c>
      <c r="L2446" s="36" t="s">
        <v>14330</v>
      </c>
      <c r="M2446">
        <v>2</v>
      </c>
      <c r="N2446" t="s">
        <v>14331</v>
      </c>
      <c r="O2446" t="s">
        <v>32633</v>
      </c>
    </row>
    <row r="2447" spans="1:15" x14ac:dyDescent="0.25">
      <c r="A2447" s="35" t="s">
        <v>7328</v>
      </c>
      <c r="B2447" s="36" t="s">
        <v>7329</v>
      </c>
      <c r="C2447" s="36" t="str">
        <f>HYPERLINK("https://rhld.insurance.arkansas.gov/NPILookup?Npi=1164520771","1164520771")</f>
        <v>1164520771</v>
      </c>
      <c r="D2447" s="36" t="s">
        <v>35075</v>
      </c>
      <c r="E2447" s="36" t="s">
        <v>1</v>
      </c>
      <c r="F2447" s="36">
        <v>1</v>
      </c>
      <c r="G2447" s="36">
        <v>2</v>
      </c>
      <c r="H2447" s="36">
        <v>0</v>
      </c>
      <c r="I2447" s="37">
        <v>0</v>
      </c>
      <c r="J2447" s="36" t="s">
        <v>34836</v>
      </c>
      <c r="K2447" s="36" t="s">
        <v>14330</v>
      </c>
      <c r="L2447" s="36" t="s">
        <v>14330</v>
      </c>
      <c r="M2447">
        <v>3</v>
      </c>
      <c r="N2447" t="s">
        <v>14331</v>
      </c>
      <c r="O2447" t="s">
        <v>32633</v>
      </c>
    </row>
    <row r="2448" spans="1:15" x14ac:dyDescent="0.25">
      <c r="A2448" s="35" t="s">
        <v>7328</v>
      </c>
      <c r="B2448" s="36" t="s">
        <v>7329</v>
      </c>
      <c r="C2448" s="36" t="str">
        <f>HYPERLINK("https://rhld.insurance.arkansas.gov/NPILookup?Npi=1164556460","1164556460")</f>
        <v>1164556460</v>
      </c>
      <c r="D2448" s="36" t="s">
        <v>35076</v>
      </c>
      <c r="E2448" s="36" t="s">
        <v>1</v>
      </c>
      <c r="F2448" s="36">
        <v>1</v>
      </c>
      <c r="G2448" s="36">
        <v>3</v>
      </c>
      <c r="H2448" s="36">
        <v>0</v>
      </c>
      <c r="I2448" s="37">
        <v>0</v>
      </c>
      <c r="J2448" s="36" t="s">
        <v>32654</v>
      </c>
      <c r="K2448" s="36" t="s">
        <v>14330</v>
      </c>
      <c r="L2448" s="36" t="s">
        <v>14330</v>
      </c>
      <c r="M2448">
        <v>2</v>
      </c>
      <c r="N2448" t="s">
        <v>14331</v>
      </c>
      <c r="O2448" t="s">
        <v>32633</v>
      </c>
    </row>
    <row r="2449" spans="1:15" x14ac:dyDescent="0.25">
      <c r="A2449" s="35" t="s">
        <v>7328</v>
      </c>
      <c r="B2449" s="36" t="s">
        <v>7329</v>
      </c>
      <c r="C2449" s="36" t="str">
        <f>HYPERLINK("https://rhld.insurance.arkansas.gov/NPILookup?Npi=1164626248","1164626248")</f>
        <v>1164626248</v>
      </c>
      <c r="D2449" s="36" t="s">
        <v>35077</v>
      </c>
      <c r="E2449" s="36" t="s">
        <v>1</v>
      </c>
      <c r="F2449" s="36">
        <v>1</v>
      </c>
      <c r="G2449" s="36">
        <v>2</v>
      </c>
      <c r="H2449" s="36">
        <v>0</v>
      </c>
      <c r="I2449" s="37">
        <v>0</v>
      </c>
      <c r="J2449" s="36" t="s">
        <v>34836</v>
      </c>
      <c r="K2449" s="36" t="s">
        <v>14330</v>
      </c>
      <c r="L2449" s="36" t="s">
        <v>14330</v>
      </c>
      <c r="M2449">
        <v>2</v>
      </c>
      <c r="N2449" t="s">
        <v>14331</v>
      </c>
      <c r="O2449" t="s">
        <v>32633</v>
      </c>
    </row>
    <row r="2450" spans="1:15" x14ac:dyDescent="0.25">
      <c r="A2450" s="35" t="s">
        <v>7328</v>
      </c>
      <c r="B2450" s="36" t="s">
        <v>7329</v>
      </c>
      <c r="C2450" s="36" t="str">
        <f>HYPERLINK("https://rhld.insurance.arkansas.gov/NPILookup?Npi=1164629515","1164629515")</f>
        <v>1164629515</v>
      </c>
      <c r="D2450" s="36" t="s">
        <v>35078</v>
      </c>
      <c r="E2450" s="36" t="s">
        <v>1</v>
      </c>
      <c r="F2450" s="36">
        <v>1</v>
      </c>
      <c r="G2450" s="36">
        <v>2</v>
      </c>
      <c r="H2450" s="36">
        <v>0</v>
      </c>
      <c r="I2450" s="37">
        <v>0</v>
      </c>
      <c r="J2450" s="36" t="s">
        <v>34836</v>
      </c>
      <c r="K2450" s="36" t="s">
        <v>14330</v>
      </c>
      <c r="L2450" s="36" t="s">
        <v>14330</v>
      </c>
      <c r="M2450">
        <v>3</v>
      </c>
      <c r="N2450" t="s">
        <v>14331</v>
      </c>
      <c r="O2450" t="s">
        <v>32633</v>
      </c>
    </row>
    <row r="2451" spans="1:15" x14ac:dyDescent="0.25">
      <c r="A2451" s="35" t="s">
        <v>7328</v>
      </c>
      <c r="B2451" s="36" t="s">
        <v>7329</v>
      </c>
      <c r="C2451" s="36" t="str">
        <f>HYPERLINK("https://rhld.insurance.arkansas.gov/NPILookup?Npi=1164643714","1164643714")</f>
        <v>1164643714</v>
      </c>
      <c r="D2451" s="36" t="s">
        <v>35079</v>
      </c>
      <c r="E2451" s="36" t="s">
        <v>1</v>
      </c>
      <c r="F2451" s="36">
        <v>1</v>
      </c>
      <c r="G2451" s="36">
        <v>3</v>
      </c>
      <c r="H2451" s="36">
        <v>0</v>
      </c>
      <c r="I2451" s="37">
        <v>0</v>
      </c>
      <c r="J2451" s="36" t="s">
        <v>34836</v>
      </c>
      <c r="K2451" s="36" t="s">
        <v>14330</v>
      </c>
      <c r="L2451" s="36" t="s">
        <v>14330</v>
      </c>
      <c r="M2451">
        <v>3</v>
      </c>
      <c r="N2451" t="s">
        <v>14331</v>
      </c>
      <c r="O2451" t="s">
        <v>32633</v>
      </c>
    </row>
    <row r="2452" spans="1:15" x14ac:dyDescent="0.25">
      <c r="A2452" s="35" t="s">
        <v>7328</v>
      </c>
      <c r="B2452" s="36" t="s">
        <v>7329</v>
      </c>
      <c r="C2452" s="36" t="str">
        <f>HYPERLINK("https://rhld.insurance.arkansas.gov/NPILookup?Npi=1164789533","1164789533")</f>
        <v>1164789533</v>
      </c>
      <c r="D2452" s="36" t="s">
        <v>35080</v>
      </c>
      <c r="E2452" s="36" t="s">
        <v>1</v>
      </c>
      <c r="F2452" s="36">
        <v>1</v>
      </c>
      <c r="G2452" s="36">
        <v>3</v>
      </c>
      <c r="H2452" s="36">
        <v>0</v>
      </c>
      <c r="I2452" s="37">
        <v>0</v>
      </c>
      <c r="J2452" s="36" t="s">
        <v>34836</v>
      </c>
      <c r="K2452" s="36" t="s">
        <v>14330</v>
      </c>
      <c r="L2452" s="36" t="s">
        <v>14330</v>
      </c>
      <c r="M2452">
        <v>3</v>
      </c>
      <c r="N2452" t="s">
        <v>14331</v>
      </c>
      <c r="O2452" t="s">
        <v>32633</v>
      </c>
    </row>
    <row r="2453" spans="1:15" x14ac:dyDescent="0.25">
      <c r="A2453" s="35" t="s">
        <v>7328</v>
      </c>
      <c r="B2453" s="36" t="s">
        <v>7329</v>
      </c>
      <c r="C2453" s="36" t="str">
        <f>HYPERLINK("https://rhld.insurance.arkansas.gov/NPILookup?Npi=1164818233","1164818233")</f>
        <v>1164818233</v>
      </c>
      <c r="D2453" s="36" t="s">
        <v>35081</v>
      </c>
      <c r="E2453" s="36" t="s">
        <v>1</v>
      </c>
      <c r="F2453" s="36">
        <v>1</v>
      </c>
      <c r="G2453" s="36">
        <v>3</v>
      </c>
      <c r="H2453" s="36">
        <v>0</v>
      </c>
      <c r="I2453" s="37">
        <v>0</v>
      </c>
      <c r="J2453" s="36" t="s">
        <v>34836</v>
      </c>
      <c r="K2453" s="36" t="s">
        <v>14330</v>
      </c>
      <c r="L2453" s="36" t="s">
        <v>14330</v>
      </c>
      <c r="M2453">
        <v>3</v>
      </c>
      <c r="N2453" t="s">
        <v>14331</v>
      </c>
      <c r="O2453" t="s">
        <v>32633</v>
      </c>
    </row>
    <row r="2454" spans="1:15" x14ac:dyDescent="0.25">
      <c r="A2454" s="35" t="s">
        <v>7328</v>
      </c>
      <c r="B2454" s="36" t="s">
        <v>7329</v>
      </c>
      <c r="C2454" s="36" t="str">
        <f>HYPERLINK("https://rhld.insurance.arkansas.gov/NPILookup?Npi=1164832903","1164832903")</f>
        <v>1164832903</v>
      </c>
      <c r="D2454" s="36" t="s">
        <v>35082</v>
      </c>
      <c r="E2454" s="36" t="s">
        <v>1</v>
      </c>
      <c r="F2454" s="36">
        <v>1</v>
      </c>
      <c r="G2454" s="36">
        <v>3</v>
      </c>
      <c r="H2454" s="36">
        <v>0</v>
      </c>
      <c r="I2454" s="37">
        <v>0</v>
      </c>
      <c r="J2454" s="36" t="s">
        <v>32654</v>
      </c>
      <c r="K2454" s="36" t="s">
        <v>14330</v>
      </c>
      <c r="L2454" s="36" t="s">
        <v>14330</v>
      </c>
      <c r="M2454">
        <v>2</v>
      </c>
      <c r="N2454" t="s">
        <v>14331</v>
      </c>
      <c r="O2454" t="s">
        <v>32633</v>
      </c>
    </row>
    <row r="2455" spans="1:15" x14ac:dyDescent="0.25">
      <c r="A2455" s="35" t="s">
        <v>7328</v>
      </c>
      <c r="B2455" s="36" t="s">
        <v>7329</v>
      </c>
      <c r="C2455" s="36" t="str">
        <f>HYPERLINK("https://rhld.insurance.arkansas.gov/NPILookup?Npi=1164886057","1164886057")</f>
        <v>1164886057</v>
      </c>
      <c r="D2455" s="36" t="s">
        <v>35083</v>
      </c>
      <c r="E2455" s="36" t="s">
        <v>1</v>
      </c>
      <c r="F2455" s="36">
        <v>1</v>
      </c>
      <c r="G2455" s="36">
        <v>2</v>
      </c>
      <c r="H2455" s="36">
        <v>0</v>
      </c>
      <c r="I2455" s="37">
        <v>0</v>
      </c>
      <c r="J2455" s="36" t="s">
        <v>34836</v>
      </c>
      <c r="K2455" s="36" t="s">
        <v>14330</v>
      </c>
      <c r="L2455" s="36" t="s">
        <v>14330</v>
      </c>
      <c r="M2455">
        <v>2</v>
      </c>
      <c r="N2455" t="s">
        <v>14331</v>
      </c>
      <c r="O2455" t="s">
        <v>32633</v>
      </c>
    </row>
    <row r="2456" spans="1:15" x14ac:dyDescent="0.25">
      <c r="A2456" s="35" t="s">
        <v>7328</v>
      </c>
      <c r="B2456" s="36" t="s">
        <v>7329</v>
      </c>
      <c r="C2456" s="36" t="str">
        <f>HYPERLINK("https://rhld.insurance.arkansas.gov/NPILookup?Npi=1164893756","1164893756")</f>
        <v>1164893756</v>
      </c>
      <c r="D2456" s="36" t="s">
        <v>35084</v>
      </c>
      <c r="E2456" s="36" t="s">
        <v>2</v>
      </c>
      <c r="F2456" s="36">
        <v>1</v>
      </c>
      <c r="G2456" s="36">
        <v>2</v>
      </c>
      <c r="H2456" s="36">
        <v>0</v>
      </c>
      <c r="I2456" s="37">
        <v>0</v>
      </c>
      <c r="J2456" s="36"/>
      <c r="K2456" s="36" t="s">
        <v>14330</v>
      </c>
      <c r="L2456" s="36" t="s">
        <v>14330</v>
      </c>
      <c r="M2456">
        <v>1</v>
      </c>
      <c r="N2456" t="s">
        <v>14331</v>
      </c>
      <c r="O2456" t="s">
        <v>14333</v>
      </c>
    </row>
    <row r="2457" spans="1:15" x14ac:dyDescent="0.25">
      <c r="A2457" s="35" t="s">
        <v>7328</v>
      </c>
      <c r="B2457" s="36" t="s">
        <v>7329</v>
      </c>
      <c r="C2457" s="36" t="str">
        <f>HYPERLINK("https://rhld.insurance.arkansas.gov/NPILookup?Npi=1164943908","1164943908")</f>
        <v>1164943908</v>
      </c>
      <c r="D2457" s="36" t="s">
        <v>35085</v>
      </c>
      <c r="E2457" s="36" t="s">
        <v>1</v>
      </c>
      <c r="F2457" s="36">
        <v>1</v>
      </c>
      <c r="G2457" s="36">
        <v>1</v>
      </c>
      <c r="H2457" s="36">
        <v>0</v>
      </c>
      <c r="I2457" s="37">
        <v>0</v>
      </c>
      <c r="J2457" s="36" t="s">
        <v>34836</v>
      </c>
      <c r="K2457" s="36" t="s">
        <v>14330</v>
      </c>
      <c r="L2457" s="36" t="s">
        <v>14330</v>
      </c>
      <c r="M2457">
        <v>2</v>
      </c>
      <c r="N2457" t="s">
        <v>14331</v>
      </c>
      <c r="O2457" t="s">
        <v>32633</v>
      </c>
    </row>
    <row r="2458" spans="1:15" x14ac:dyDescent="0.25">
      <c r="A2458" s="35" t="s">
        <v>7328</v>
      </c>
      <c r="B2458" s="36" t="s">
        <v>7329</v>
      </c>
      <c r="C2458" s="36" t="str">
        <f>HYPERLINK("https://rhld.insurance.arkansas.gov/NPILookup?Npi=1164945077","1164945077")</f>
        <v>1164945077</v>
      </c>
      <c r="D2458" s="36" t="s">
        <v>35086</v>
      </c>
      <c r="E2458" s="36" t="s">
        <v>1</v>
      </c>
      <c r="F2458" s="36">
        <v>1</v>
      </c>
      <c r="G2458" s="36">
        <v>2</v>
      </c>
      <c r="H2458" s="36">
        <v>0</v>
      </c>
      <c r="I2458" s="37">
        <v>0</v>
      </c>
      <c r="J2458" s="36" t="s">
        <v>34836</v>
      </c>
      <c r="K2458" s="36" t="s">
        <v>14330</v>
      </c>
      <c r="L2458" s="36" t="s">
        <v>14330</v>
      </c>
      <c r="M2458">
        <v>2</v>
      </c>
      <c r="N2458" t="s">
        <v>14331</v>
      </c>
      <c r="O2458" t="s">
        <v>32633</v>
      </c>
    </row>
    <row r="2459" spans="1:15" x14ac:dyDescent="0.25">
      <c r="A2459" s="35" t="s">
        <v>7328</v>
      </c>
      <c r="B2459" s="36" t="s">
        <v>7329</v>
      </c>
      <c r="C2459" s="36" t="str">
        <f>HYPERLINK("https://rhld.insurance.arkansas.gov/NPILookup?Npi=1164956736","1164956736")</f>
        <v>1164956736</v>
      </c>
      <c r="D2459" s="36" t="s">
        <v>35087</v>
      </c>
      <c r="E2459" s="36" t="s">
        <v>1</v>
      </c>
      <c r="F2459" s="36">
        <v>1</v>
      </c>
      <c r="G2459" s="36">
        <v>2</v>
      </c>
      <c r="H2459" s="36">
        <v>0</v>
      </c>
      <c r="I2459" s="37">
        <v>0</v>
      </c>
      <c r="J2459" s="36" t="s">
        <v>34836</v>
      </c>
      <c r="K2459" s="36" t="s">
        <v>14330</v>
      </c>
      <c r="L2459" s="36" t="s">
        <v>14330</v>
      </c>
      <c r="M2459">
        <v>2</v>
      </c>
      <c r="N2459" t="s">
        <v>14331</v>
      </c>
      <c r="O2459" t="s">
        <v>32633</v>
      </c>
    </row>
    <row r="2460" spans="1:15" x14ac:dyDescent="0.25">
      <c r="A2460" s="35" t="s">
        <v>7328</v>
      </c>
      <c r="B2460" s="36" t="s">
        <v>7329</v>
      </c>
      <c r="C2460" s="36" t="str">
        <f>HYPERLINK("https://rhld.insurance.arkansas.gov/NPILookup?Npi=1164991048","1164991048")</f>
        <v>1164991048</v>
      </c>
      <c r="D2460" s="36" t="s">
        <v>34688</v>
      </c>
      <c r="E2460" s="36" t="s">
        <v>2</v>
      </c>
      <c r="F2460" s="36">
        <v>1</v>
      </c>
      <c r="G2460" s="36">
        <v>2</v>
      </c>
      <c r="H2460" s="36">
        <v>0</v>
      </c>
      <c r="I2460" s="37">
        <v>0</v>
      </c>
      <c r="J2460" s="36"/>
      <c r="K2460" s="36" t="s">
        <v>14330</v>
      </c>
      <c r="L2460" s="36" t="s">
        <v>14330</v>
      </c>
      <c r="M2460">
        <v>2</v>
      </c>
      <c r="N2460" t="s">
        <v>14331</v>
      </c>
      <c r="O2460" t="s">
        <v>14333</v>
      </c>
    </row>
    <row r="2461" spans="1:15" x14ac:dyDescent="0.25">
      <c r="A2461" s="35" t="s">
        <v>7328</v>
      </c>
      <c r="B2461" s="36" t="s">
        <v>7329</v>
      </c>
      <c r="C2461" s="36" t="str">
        <f>HYPERLINK("https://rhld.insurance.arkansas.gov/NPILookup?Npi=1174019905","1174019905")</f>
        <v>1174019905</v>
      </c>
      <c r="D2461" s="36" t="s">
        <v>35088</v>
      </c>
      <c r="E2461" s="36" t="s">
        <v>1</v>
      </c>
      <c r="F2461" s="36">
        <v>1</v>
      </c>
      <c r="G2461" s="36">
        <v>2</v>
      </c>
      <c r="H2461" s="36">
        <v>0</v>
      </c>
      <c r="I2461" s="37">
        <v>0</v>
      </c>
      <c r="J2461" s="36" t="s">
        <v>34836</v>
      </c>
      <c r="K2461" s="36" t="s">
        <v>14330</v>
      </c>
      <c r="L2461" s="36" t="s">
        <v>14330</v>
      </c>
      <c r="M2461">
        <v>3</v>
      </c>
      <c r="N2461" t="s">
        <v>14331</v>
      </c>
      <c r="O2461" t="s">
        <v>32633</v>
      </c>
    </row>
    <row r="2462" spans="1:15" x14ac:dyDescent="0.25">
      <c r="A2462" s="35" t="s">
        <v>7328</v>
      </c>
      <c r="B2462" s="36" t="s">
        <v>7329</v>
      </c>
      <c r="C2462" s="36" t="str">
        <f>HYPERLINK("https://rhld.insurance.arkansas.gov/NPILookup?Npi=1174056121","1174056121")</f>
        <v>1174056121</v>
      </c>
      <c r="D2462" s="36" t="s">
        <v>34038</v>
      </c>
      <c r="E2462" s="36" t="s">
        <v>1</v>
      </c>
      <c r="F2462" s="36">
        <v>1</v>
      </c>
      <c r="G2462" s="36">
        <v>3</v>
      </c>
      <c r="H2462" s="36">
        <v>0</v>
      </c>
      <c r="I2462" s="37">
        <v>0</v>
      </c>
      <c r="J2462" s="36" t="s">
        <v>34836</v>
      </c>
      <c r="K2462" s="36" t="s">
        <v>14330</v>
      </c>
      <c r="L2462" s="36" t="s">
        <v>14330</v>
      </c>
      <c r="M2462">
        <v>2</v>
      </c>
      <c r="N2462" t="s">
        <v>14331</v>
      </c>
      <c r="O2462" t="s">
        <v>32633</v>
      </c>
    </row>
    <row r="2463" spans="1:15" x14ac:dyDescent="0.25">
      <c r="A2463" s="35" t="s">
        <v>7328</v>
      </c>
      <c r="B2463" s="36" t="s">
        <v>7329</v>
      </c>
      <c r="C2463" s="36" t="str">
        <f>HYPERLINK("https://rhld.insurance.arkansas.gov/NPILookup?Npi=1174071583","1174071583")</f>
        <v>1174071583</v>
      </c>
      <c r="D2463" s="36" t="s">
        <v>35089</v>
      </c>
      <c r="E2463" s="36" t="s">
        <v>1</v>
      </c>
      <c r="F2463" s="36">
        <v>1</v>
      </c>
      <c r="G2463" s="36">
        <v>2</v>
      </c>
      <c r="H2463" s="36">
        <v>0</v>
      </c>
      <c r="I2463" s="37">
        <v>0</v>
      </c>
      <c r="J2463" s="36" t="s">
        <v>32654</v>
      </c>
      <c r="K2463" s="36" t="s">
        <v>14330</v>
      </c>
      <c r="L2463" s="36" t="s">
        <v>14330</v>
      </c>
      <c r="M2463">
        <v>3</v>
      </c>
      <c r="N2463" t="s">
        <v>14331</v>
      </c>
      <c r="O2463" t="s">
        <v>32633</v>
      </c>
    </row>
    <row r="2464" spans="1:15" x14ac:dyDescent="0.25">
      <c r="A2464" s="35" t="s">
        <v>7328</v>
      </c>
      <c r="B2464" s="36" t="s">
        <v>7329</v>
      </c>
      <c r="C2464" s="36" t="str">
        <f>HYPERLINK("https://rhld.insurance.arkansas.gov/NPILookup?Npi=1174115265","1174115265")</f>
        <v>1174115265</v>
      </c>
      <c r="D2464" s="36" t="s">
        <v>35090</v>
      </c>
      <c r="E2464" s="36" t="s">
        <v>1</v>
      </c>
      <c r="F2464" s="36">
        <v>1</v>
      </c>
      <c r="G2464" s="36">
        <v>3</v>
      </c>
      <c r="H2464" s="36">
        <v>0</v>
      </c>
      <c r="I2464" s="37">
        <v>0</v>
      </c>
      <c r="J2464" s="36" t="s">
        <v>32654</v>
      </c>
      <c r="K2464" s="36" t="s">
        <v>14330</v>
      </c>
      <c r="L2464" s="36" t="s">
        <v>14330</v>
      </c>
      <c r="M2464">
        <v>3</v>
      </c>
      <c r="N2464" t="s">
        <v>14331</v>
      </c>
      <c r="O2464" t="s">
        <v>32633</v>
      </c>
    </row>
    <row r="2465" spans="1:15" x14ac:dyDescent="0.25">
      <c r="A2465" s="35" t="s">
        <v>7328</v>
      </c>
      <c r="B2465" s="36" t="s">
        <v>7329</v>
      </c>
      <c r="C2465" s="36" t="str">
        <f>HYPERLINK("https://rhld.insurance.arkansas.gov/NPILookup?Npi=1174216907","1174216907")</f>
        <v>1174216907</v>
      </c>
      <c r="D2465" s="36" t="s">
        <v>35091</v>
      </c>
      <c r="E2465" s="36" t="s">
        <v>1</v>
      </c>
      <c r="F2465" s="36">
        <v>1</v>
      </c>
      <c r="G2465" s="36">
        <v>3</v>
      </c>
      <c r="H2465" s="36">
        <v>0</v>
      </c>
      <c r="I2465" s="37">
        <v>0</v>
      </c>
      <c r="J2465" s="36" t="s">
        <v>32654</v>
      </c>
      <c r="K2465" s="36" t="s">
        <v>14330</v>
      </c>
      <c r="L2465" s="36" t="s">
        <v>14330</v>
      </c>
      <c r="M2465">
        <v>3</v>
      </c>
      <c r="N2465" t="s">
        <v>14331</v>
      </c>
      <c r="O2465" t="s">
        <v>32633</v>
      </c>
    </row>
    <row r="2466" spans="1:15" x14ac:dyDescent="0.25">
      <c r="A2466" s="35" t="s">
        <v>7328</v>
      </c>
      <c r="B2466" s="36" t="s">
        <v>7329</v>
      </c>
      <c r="C2466" s="36" t="str">
        <f>HYPERLINK("https://rhld.insurance.arkansas.gov/NPILookup?Npi=1174544811","1174544811")</f>
        <v>1174544811</v>
      </c>
      <c r="D2466" s="36" t="s">
        <v>35092</v>
      </c>
      <c r="E2466" s="36" t="s">
        <v>1</v>
      </c>
      <c r="F2466" s="36">
        <v>1</v>
      </c>
      <c r="G2466" s="36">
        <v>3</v>
      </c>
      <c r="H2466" s="36">
        <v>0</v>
      </c>
      <c r="I2466" s="37">
        <v>0</v>
      </c>
      <c r="J2466" s="36" t="s">
        <v>32654</v>
      </c>
      <c r="K2466" s="36" t="s">
        <v>14330</v>
      </c>
      <c r="L2466" s="36" t="s">
        <v>14330</v>
      </c>
      <c r="M2466">
        <v>2</v>
      </c>
      <c r="N2466" t="s">
        <v>14331</v>
      </c>
      <c r="O2466" t="s">
        <v>32633</v>
      </c>
    </row>
    <row r="2467" spans="1:15" x14ac:dyDescent="0.25">
      <c r="A2467" s="35" t="s">
        <v>7328</v>
      </c>
      <c r="B2467" s="36" t="s">
        <v>7329</v>
      </c>
      <c r="C2467" s="36" t="str">
        <f>HYPERLINK("https://rhld.insurance.arkansas.gov/NPILookup?Npi=1174560726","1174560726")</f>
        <v>1174560726</v>
      </c>
      <c r="D2467" s="36" t="s">
        <v>35093</v>
      </c>
      <c r="E2467" s="36" t="s">
        <v>1</v>
      </c>
      <c r="F2467" s="36">
        <v>1</v>
      </c>
      <c r="G2467" s="36">
        <v>2</v>
      </c>
      <c r="H2467" s="36">
        <v>0</v>
      </c>
      <c r="I2467" s="37">
        <v>0</v>
      </c>
      <c r="J2467" s="36" t="s">
        <v>32723</v>
      </c>
      <c r="K2467" s="36" t="s">
        <v>14330</v>
      </c>
      <c r="L2467" s="36" t="s">
        <v>14330</v>
      </c>
      <c r="M2467">
        <v>3</v>
      </c>
      <c r="N2467" t="s">
        <v>14331</v>
      </c>
      <c r="O2467" t="s">
        <v>32724</v>
      </c>
    </row>
    <row r="2468" spans="1:15" x14ac:dyDescent="0.25">
      <c r="A2468" s="35" t="s">
        <v>7328</v>
      </c>
      <c r="B2468" s="36" t="s">
        <v>7329</v>
      </c>
      <c r="C2468" s="36" t="str">
        <f>HYPERLINK("https://rhld.insurance.arkansas.gov/NPILookup?Npi=1174571517","1174571517")</f>
        <v>1174571517</v>
      </c>
      <c r="D2468" s="36" t="s">
        <v>35094</v>
      </c>
      <c r="E2468" s="36" t="s">
        <v>1</v>
      </c>
      <c r="F2468" s="36">
        <v>1</v>
      </c>
      <c r="G2468" s="36">
        <v>3</v>
      </c>
      <c r="H2468" s="36">
        <v>0</v>
      </c>
      <c r="I2468" s="37">
        <v>0</v>
      </c>
      <c r="J2468" s="36" t="s">
        <v>32654</v>
      </c>
      <c r="K2468" s="36" t="s">
        <v>14330</v>
      </c>
      <c r="L2468" s="36" t="s">
        <v>14330</v>
      </c>
      <c r="M2468">
        <v>2</v>
      </c>
      <c r="N2468" t="s">
        <v>14331</v>
      </c>
      <c r="O2468" t="s">
        <v>32633</v>
      </c>
    </row>
    <row r="2469" spans="1:15" x14ac:dyDescent="0.25">
      <c r="A2469" s="35" t="s">
        <v>7328</v>
      </c>
      <c r="B2469" s="36" t="s">
        <v>7329</v>
      </c>
      <c r="C2469" s="36" t="str">
        <f>HYPERLINK("https://rhld.insurance.arkansas.gov/NPILookup?Npi=1174683205","1174683205")</f>
        <v>1174683205</v>
      </c>
      <c r="D2469" s="36" t="s">
        <v>35095</v>
      </c>
      <c r="E2469" s="36" t="s">
        <v>2</v>
      </c>
      <c r="F2469" s="36">
        <v>1</v>
      </c>
      <c r="G2469" s="36">
        <v>2</v>
      </c>
      <c r="H2469" s="36">
        <v>0</v>
      </c>
      <c r="I2469" s="37">
        <v>0</v>
      </c>
      <c r="J2469" s="36" t="s">
        <v>32679</v>
      </c>
      <c r="K2469" s="36" t="s">
        <v>14330</v>
      </c>
      <c r="L2469" s="36" t="s">
        <v>14330</v>
      </c>
      <c r="M2469">
        <v>2</v>
      </c>
      <c r="N2469" t="s">
        <v>14331</v>
      </c>
      <c r="O2469" t="s">
        <v>14333</v>
      </c>
    </row>
    <row r="2470" spans="1:15" x14ac:dyDescent="0.25">
      <c r="A2470" s="35" t="s">
        <v>7328</v>
      </c>
      <c r="B2470" s="36" t="s">
        <v>7329</v>
      </c>
      <c r="C2470" s="36" t="str">
        <f>HYPERLINK("https://rhld.insurance.arkansas.gov/NPILookup?Npi=1174791081","1174791081")</f>
        <v>1174791081</v>
      </c>
      <c r="D2470" s="36" t="s">
        <v>35096</v>
      </c>
      <c r="E2470" s="36" t="s">
        <v>2</v>
      </c>
      <c r="F2470" s="36">
        <v>1</v>
      </c>
      <c r="G2470" s="36">
        <v>2</v>
      </c>
      <c r="H2470" s="36">
        <v>0</v>
      </c>
      <c r="I2470" s="37">
        <v>0</v>
      </c>
      <c r="J2470" s="36" t="s">
        <v>32679</v>
      </c>
      <c r="K2470" s="36" t="s">
        <v>14330</v>
      </c>
      <c r="L2470" s="36" t="s">
        <v>14330</v>
      </c>
      <c r="M2470">
        <v>1</v>
      </c>
      <c r="N2470" t="s">
        <v>14331</v>
      </c>
      <c r="O2470" t="s">
        <v>14333</v>
      </c>
    </row>
    <row r="2471" spans="1:15" x14ac:dyDescent="0.25">
      <c r="A2471" s="35" t="s">
        <v>7328</v>
      </c>
      <c r="B2471" s="36" t="s">
        <v>7329</v>
      </c>
      <c r="C2471" s="36" t="str">
        <f>HYPERLINK("https://rhld.insurance.arkansas.gov/NPILookup?Npi=1174829634","1174829634")</f>
        <v>1174829634</v>
      </c>
      <c r="D2471" s="36" t="s">
        <v>35097</v>
      </c>
      <c r="E2471" s="36" t="s">
        <v>1</v>
      </c>
      <c r="F2471" s="36">
        <v>1</v>
      </c>
      <c r="G2471" s="36">
        <v>1</v>
      </c>
      <c r="H2471" s="36">
        <v>0</v>
      </c>
      <c r="I2471" s="37">
        <v>0</v>
      </c>
      <c r="J2471" s="36" t="s">
        <v>32654</v>
      </c>
      <c r="K2471" s="36" t="s">
        <v>14330</v>
      </c>
      <c r="L2471" s="36" t="s">
        <v>14330</v>
      </c>
      <c r="M2471">
        <v>3</v>
      </c>
      <c r="N2471" t="s">
        <v>14331</v>
      </c>
      <c r="O2471" t="s">
        <v>32633</v>
      </c>
    </row>
    <row r="2472" spans="1:15" x14ac:dyDescent="0.25">
      <c r="A2472" s="35" t="s">
        <v>7328</v>
      </c>
      <c r="B2472" s="36" t="s">
        <v>7329</v>
      </c>
      <c r="C2472" s="36" t="str">
        <f>HYPERLINK("https://rhld.insurance.arkansas.gov/NPILookup?Npi=1174887673","1174887673")</f>
        <v>1174887673</v>
      </c>
      <c r="D2472" s="36" t="s">
        <v>35098</v>
      </c>
      <c r="E2472" s="36" t="s">
        <v>1</v>
      </c>
      <c r="F2472" s="36">
        <v>1</v>
      </c>
      <c r="G2472" s="36">
        <v>3</v>
      </c>
      <c r="H2472" s="36">
        <v>0</v>
      </c>
      <c r="I2472" s="37">
        <v>0</v>
      </c>
      <c r="J2472" s="36" t="s">
        <v>34836</v>
      </c>
      <c r="K2472" s="36" t="s">
        <v>14330</v>
      </c>
      <c r="L2472" s="36" t="s">
        <v>14330</v>
      </c>
      <c r="M2472">
        <v>2</v>
      </c>
      <c r="N2472" t="s">
        <v>14331</v>
      </c>
      <c r="O2472" t="s">
        <v>32633</v>
      </c>
    </row>
    <row r="2473" spans="1:15" x14ac:dyDescent="0.25">
      <c r="A2473" s="35" t="s">
        <v>7328</v>
      </c>
      <c r="B2473" s="36" t="s">
        <v>7329</v>
      </c>
      <c r="C2473" s="36" t="str">
        <f>HYPERLINK("https://rhld.insurance.arkansas.gov/NPILookup?Npi=1184083263","1184083263")</f>
        <v>1184083263</v>
      </c>
      <c r="D2473" s="36" t="s">
        <v>35099</v>
      </c>
      <c r="E2473" s="36" t="s">
        <v>2</v>
      </c>
      <c r="F2473" s="36">
        <v>1</v>
      </c>
      <c r="G2473" s="36">
        <v>2</v>
      </c>
      <c r="H2473" s="36">
        <v>0</v>
      </c>
      <c r="I2473" s="37">
        <v>0</v>
      </c>
      <c r="J2473" s="36" t="s">
        <v>32679</v>
      </c>
      <c r="K2473" s="36" t="s">
        <v>14330</v>
      </c>
      <c r="L2473" s="36" t="s">
        <v>14330</v>
      </c>
      <c r="M2473">
        <v>2</v>
      </c>
      <c r="N2473" t="s">
        <v>14331</v>
      </c>
      <c r="O2473" t="s">
        <v>14333</v>
      </c>
    </row>
    <row r="2474" spans="1:15" x14ac:dyDescent="0.25">
      <c r="A2474" s="35" t="s">
        <v>7328</v>
      </c>
      <c r="B2474" s="36" t="s">
        <v>7329</v>
      </c>
      <c r="C2474" s="36" t="str">
        <f>HYPERLINK("https://rhld.insurance.arkansas.gov/NPILookup?Npi=1184121220","1184121220")</f>
        <v>1184121220</v>
      </c>
      <c r="D2474" s="36" t="s">
        <v>35100</v>
      </c>
      <c r="E2474" s="36" t="s">
        <v>1</v>
      </c>
      <c r="F2474" s="36">
        <v>1</v>
      </c>
      <c r="G2474" s="36">
        <v>2</v>
      </c>
      <c r="H2474" s="36">
        <v>0</v>
      </c>
      <c r="I2474" s="37">
        <v>0</v>
      </c>
      <c r="J2474" s="36" t="s">
        <v>34836</v>
      </c>
      <c r="K2474" s="36" t="s">
        <v>14330</v>
      </c>
      <c r="L2474" s="36" t="s">
        <v>14330</v>
      </c>
      <c r="M2474">
        <v>2</v>
      </c>
      <c r="N2474" t="s">
        <v>14331</v>
      </c>
      <c r="O2474" t="s">
        <v>32633</v>
      </c>
    </row>
    <row r="2475" spans="1:15" x14ac:dyDescent="0.25">
      <c r="A2475" s="35" t="s">
        <v>7328</v>
      </c>
      <c r="B2475" s="36" t="s">
        <v>7329</v>
      </c>
      <c r="C2475" s="36" t="str">
        <f>HYPERLINK("https://rhld.insurance.arkansas.gov/NPILookup?Npi=1184156226","1184156226")</f>
        <v>1184156226</v>
      </c>
      <c r="D2475" s="36" t="s">
        <v>35101</v>
      </c>
      <c r="E2475" s="36" t="s">
        <v>1</v>
      </c>
      <c r="F2475" s="36">
        <v>1</v>
      </c>
      <c r="G2475" s="36">
        <v>2</v>
      </c>
      <c r="H2475" s="36">
        <v>0</v>
      </c>
      <c r="I2475" s="37">
        <v>0</v>
      </c>
      <c r="J2475" s="36" t="s">
        <v>34836</v>
      </c>
      <c r="K2475" s="36" t="s">
        <v>14330</v>
      </c>
      <c r="L2475" s="36" t="s">
        <v>14330</v>
      </c>
      <c r="M2475">
        <v>2</v>
      </c>
      <c r="N2475" t="s">
        <v>14331</v>
      </c>
      <c r="O2475" t="s">
        <v>32633</v>
      </c>
    </row>
    <row r="2476" spans="1:15" x14ac:dyDescent="0.25">
      <c r="A2476" s="35" t="s">
        <v>7328</v>
      </c>
      <c r="B2476" s="36" t="s">
        <v>7329</v>
      </c>
      <c r="C2476" s="36" t="str">
        <f>HYPERLINK("https://rhld.insurance.arkansas.gov/NPILookup?Npi=1184192510","1184192510")</f>
        <v>1184192510</v>
      </c>
      <c r="D2476" s="36" t="s">
        <v>35102</v>
      </c>
      <c r="E2476" s="36" t="s">
        <v>1</v>
      </c>
      <c r="F2476" s="36">
        <v>1</v>
      </c>
      <c r="G2476" s="36">
        <v>2</v>
      </c>
      <c r="H2476" s="36">
        <v>0</v>
      </c>
      <c r="I2476" s="37">
        <v>0</v>
      </c>
      <c r="J2476" s="36" t="s">
        <v>32654</v>
      </c>
      <c r="K2476" s="36" t="s">
        <v>14330</v>
      </c>
      <c r="L2476" s="36" t="s">
        <v>14330</v>
      </c>
      <c r="M2476">
        <v>3</v>
      </c>
      <c r="N2476" t="s">
        <v>14331</v>
      </c>
      <c r="O2476" t="s">
        <v>32633</v>
      </c>
    </row>
    <row r="2477" spans="1:15" x14ac:dyDescent="0.25">
      <c r="A2477" s="35" t="s">
        <v>7328</v>
      </c>
      <c r="B2477" s="36" t="s">
        <v>7329</v>
      </c>
      <c r="C2477" s="36" t="str">
        <f>HYPERLINK("https://rhld.insurance.arkansas.gov/NPILookup?Npi=1184253189","1184253189")</f>
        <v>1184253189</v>
      </c>
      <c r="D2477" s="36" t="s">
        <v>35103</v>
      </c>
      <c r="E2477" s="36" t="s">
        <v>1</v>
      </c>
      <c r="F2477" s="36">
        <v>1</v>
      </c>
      <c r="G2477" s="36">
        <v>3</v>
      </c>
      <c r="H2477" s="36">
        <v>0</v>
      </c>
      <c r="I2477" s="37">
        <v>0</v>
      </c>
      <c r="J2477" s="36" t="s">
        <v>34836</v>
      </c>
      <c r="K2477" s="36" t="s">
        <v>14330</v>
      </c>
      <c r="L2477" s="36" t="s">
        <v>14330</v>
      </c>
      <c r="M2477">
        <v>2</v>
      </c>
      <c r="N2477" t="s">
        <v>14331</v>
      </c>
      <c r="O2477" t="s">
        <v>32633</v>
      </c>
    </row>
    <row r="2478" spans="1:15" x14ac:dyDescent="0.25">
      <c r="A2478" s="35" t="s">
        <v>7328</v>
      </c>
      <c r="B2478" s="36" t="s">
        <v>7329</v>
      </c>
      <c r="C2478" s="36" t="str">
        <f>HYPERLINK("https://rhld.insurance.arkansas.gov/NPILookup?Npi=1184254765","1184254765")</f>
        <v>1184254765</v>
      </c>
      <c r="D2478" s="36" t="s">
        <v>34691</v>
      </c>
      <c r="E2478" s="36" t="s">
        <v>2</v>
      </c>
      <c r="F2478" s="36">
        <v>1</v>
      </c>
      <c r="G2478" s="36">
        <v>2</v>
      </c>
      <c r="H2478" s="36">
        <v>0</v>
      </c>
      <c r="I2478" s="37">
        <v>0</v>
      </c>
      <c r="J2478" s="36"/>
      <c r="K2478" s="36" t="s">
        <v>14330</v>
      </c>
      <c r="L2478" s="36" t="s">
        <v>14330</v>
      </c>
      <c r="M2478">
        <v>2</v>
      </c>
      <c r="N2478" t="s">
        <v>14331</v>
      </c>
      <c r="O2478" t="s">
        <v>14333</v>
      </c>
    </row>
    <row r="2479" spans="1:15" x14ac:dyDescent="0.25">
      <c r="A2479" s="35" t="s">
        <v>7328</v>
      </c>
      <c r="B2479" s="36" t="s">
        <v>7329</v>
      </c>
      <c r="C2479" s="36" t="str">
        <f>HYPERLINK("https://rhld.insurance.arkansas.gov/NPILookup?Npi=1184279739","1184279739")</f>
        <v>1184279739</v>
      </c>
      <c r="D2479" s="36" t="s">
        <v>35104</v>
      </c>
      <c r="E2479" s="36" t="s">
        <v>2</v>
      </c>
      <c r="F2479" s="36">
        <v>1</v>
      </c>
      <c r="G2479" s="36">
        <v>2</v>
      </c>
      <c r="H2479" s="36">
        <v>0</v>
      </c>
      <c r="I2479" s="37">
        <v>0</v>
      </c>
      <c r="J2479" s="36"/>
      <c r="K2479" s="36" t="s">
        <v>14330</v>
      </c>
      <c r="L2479" s="36" t="s">
        <v>14330</v>
      </c>
      <c r="M2479">
        <v>1</v>
      </c>
      <c r="N2479" t="s">
        <v>14331</v>
      </c>
      <c r="O2479" t="s">
        <v>14333</v>
      </c>
    </row>
    <row r="2480" spans="1:15" x14ac:dyDescent="0.25">
      <c r="A2480" s="35" t="s">
        <v>7328</v>
      </c>
      <c r="B2480" s="36" t="s">
        <v>7329</v>
      </c>
      <c r="C2480" s="36" t="str">
        <f>HYPERLINK("https://rhld.insurance.arkansas.gov/NPILookup?Npi=1184284473","1184284473")</f>
        <v>1184284473</v>
      </c>
      <c r="D2480" s="36" t="s">
        <v>35105</v>
      </c>
      <c r="E2480" s="36" t="s">
        <v>1</v>
      </c>
      <c r="F2480" s="36">
        <v>1</v>
      </c>
      <c r="G2480" s="36">
        <v>1</v>
      </c>
      <c r="H2480" s="36">
        <v>0</v>
      </c>
      <c r="I2480" s="37">
        <v>0</v>
      </c>
      <c r="J2480" s="36" t="s">
        <v>32654</v>
      </c>
      <c r="K2480" s="36" t="s">
        <v>14330</v>
      </c>
      <c r="L2480" s="36" t="s">
        <v>14330</v>
      </c>
      <c r="M2480">
        <v>2</v>
      </c>
      <c r="N2480" t="s">
        <v>14331</v>
      </c>
      <c r="O2480" t="s">
        <v>32633</v>
      </c>
    </row>
    <row r="2481" spans="1:15" x14ac:dyDescent="0.25">
      <c r="A2481" s="35" t="s">
        <v>7328</v>
      </c>
      <c r="B2481" s="36" t="s">
        <v>7329</v>
      </c>
      <c r="C2481" s="36" t="str">
        <f>HYPERLINK("https://rhld.insurance.arkansas.gov/NPILookup?Npi=1184685422","1184685422")</f>
        <v>1184685422</v>
      </c>
      <c r="D2481" s="36" t="s">
        <v>35106</v>
      </c>
      <c r="E2481" s="36" t="s">
        <v>1</v>
      </c>
      <c r="F2481" s="36">
        <v>1</v>
      </c>
      <c r="G2481" s="36">
        <v>2</v>
      </c>
      <c r="H2481" s="36">
        <v>0</v>
      </c>
      <c r="I2481" s="37">
        <v>0</v>
      </c>
      <c r="J2481" s="36" t="s">
        <v>34836</v>
      </c>
      <c r="K2481" s="36" t="s">
        <v>14330</v>
      </c>
      <c r="L2481" s="36" t="s">
        <v>14330</v>
      </c>
      <c r="M2481">
        <v>2</v>
      </c>
      <c r="N2481" t="s">
        <v>14331</v>
      </c>
      <c r="O2481" t="s">
        <v>32633</v>
      </c>
    </row>
    <row r="2482" spans="1:15" x14ac:dyDescent="0.25">
      <c r="A2482" s="35" t="s">
        <v>7328</v>
      </c>
      <c r="B2482" s="36" t="s">
        <v>7329</v>
      </c>
      <c r="C2482" s="36" t="str">
        <f>HYPERLINK("https://rhld.insurance.arkansas.gov/NPILookup?Npi=1184686982","1184686982")</f>
        <v>1184686982</v>
      </c>
      <c r="D2482" s="36" t="s">
        <v>35107</v>
      </c>
      <c r="E2482" s="36" t="s">
        <v>1</v>
      </c>
      <c r="F2482" s="36">
        <v>1</v>
      </c>
      <c r="G2482" s="36">
        <v>2</v>
      </c>
      <c r="H2482" s="36">
        <v>0</v>
      </c>
      <c r="I2482" s="37">
        <v>0</v>
      </c>
      <c r="J2482" s="36" t="s">
        <v>34836</v>
      </c>
      <c r="K2482" s="36" t="s">
        <v>14330</v>
      </c>
      <c r="L2482" s="36" t="s">
        <v>14330</v>
      </c>
      <c r="M2482">
        <v>1</v>
      </c>
      <c r="N2482" t="s">
        <v>14331</v>
      </c>
      <c r="O2482" t="s">
        <v>32633</v>
      </c>
    </row>
    <row r="2483" spans="1:15" x14ac:dyDescent="0.25">
      <c r="A2483" s="35" t="s">
        <v>7328</v>
      </c>
      <c r="B2483" s="36" t="s">
        <v>7329</v>
      </c>
      <c r="C2483" s="36" t="str">
        <f>HYPERLINK("https://rhld.insurance.arkansas.gov/NPILookup?Npi=1184853186","1184853186")</f>
        <v>1184853186</v>
      </c>
      <c r="D2483" s="36" t="s">
        <v>35108</v>
      </c>
      <c r="E2483" s="36" t="s">
        <v>1</v>
      </c>
      <c r="F2483" s="36">
        <v>1</v>
      </c>
      <c r="G2483" s="36">
        <v>1</v>
      </c>
      <c r="H2483" s="36">
        <v>0</v>
      </c>
      <c r="I2483" s="37">
        <v>0</v>
      </c>
      <c r="J2483" s="36" t="s">
        <v>34836</v>
      </c>
      <c r="K2483" s="36" t="s">
        <v>14330</v>
      </c>
      <c r="L2483" s="36" t="s">
        <v>14330</v>
      </c>
      <c r="M2483">
        <v>3</v>
      </c>
      <c r="N2483" t="s">
        <v>14331</v>
      </c>
      <c r="O2483" t="s">
        <v>32633</v>
      </c>
    </row>
    <row r="2484" spans="1:15" x14ac:dyDescent="0.25">
      <c r="A2484" s="35" t="s">
        <v>7328</v>
      </c>
      <c r="B2484" s="36" t="s">
        <v>7329</v>
      </c>
      <c r="C2484" s="36" t="str">
        <f>HYPERLINK("https://rhld.insurance.arkansas.gov/NPILookup?Npi=1184885253","1184885253")</f>
        <v>1184885253</v>
      </c>
      <c r="D2484" s="36" t="s">
        <v>35109</v>
      </c>
      <c r="E2484" s="36" t="s">
        <v>1</v>
      </c>
      <c r="F2484" s="36">
        <v>1</v>
      </c>
      <c r="G2484" s="36">
        <v>3</v>
      </c>
      <c r="H2484" s="36">
        <v>0</v>
      </c>
      <c r="I2484" s="37">
        <v>0</v>
      </c>
      <c r="J2484" s="36" t="s">
        <v>32654</v>
      </c>
      <c r="K2484" s="36" t="s">
        <v>14330</v>
      </c>
      <c r="L2484" s="36" t="s">
        <v>14330</v>
      </c>
      <c r="M2484">
        <v>3</v>
      </c>
      <c r="N2484" t="s">
        <v>14331</v>
      </c>
      <c r="O2484" t="s">
        <v>32633</v>
      </c>
    </row>
    <row r="2485" spans="1:15" x14ac:dyDescent="0.25">
      <c r="A2485" s="35" t="s">
        <v>7328</v>
      </c>
      <c r="B2485" s="36" t="s">
        <v>7329</v>
      </c>
      <c r="C2485" s="36" t="str">
        <f>HYPERLINK("https://rhld.insurance.arkansas.gov/NPILookup?Npi=1194073015","1194073015")</f>
        <v>1194073015</v>
      </c>
      <c r="D2485" s="36" t="s">
        <v>35110</v>
      </c>
      <c r="E2485" s="36" t="s">
        <v>1</v>
      </c>
      <c r="F2485" s="36">
        <v>1</v>
      </c>
      <c r="G2485" s="36">
        <v>3</v>
      </c>
      <c r="H2485" s="36">
        <v>0</v>
      </c>
      <c r="I2485" s="37">
        <v>0</v>
      </c>
      <c r="J2485" s="36" t="s">
        <v>34836</v>
      </c>
      <c r="K2485" s="36" t="s">
        <v>14330</v>
      </c>
      <c r="L2485" s="36" t="s">
        <v>14330</v>
      </c>
      <c r="M2485">
        <v>2</v>
      </c>
      <c r="N2485" t="s">
        <v>14331</v>
      </c>
      <c r="O2485" t="s">
        <v>32633</v>
      </c>
    </row>
    <row r="2486" spans="1:15" x14ac:dyDescent="0.25">
      <c r="A2486" s="35" t="s">
        <v>7328</v>
      </c>
      <c r="B2486" s="36" t="s">
        <v>7329</v>
      </c>
      <c r="C2486" s="36" t="str">
        <f>HYPERLINK("https://rhld.insurance.arkansas.gov/NPILookup?Npi=1194119016","1194119016")</f>
        <v>1194119016</v>
      </c>
      <c r="D2486" s="36" t="s">
        <v>35111</v>
      </c>
      <c r="E2486" s="36" t="s">
        <v>1</v>
      </c>
      <c r="F2486" s="36">
        <v>1</v>
      </c>
      <c r="G2486" s="36">
        <v>2</v>
      </c>
      <c r="H2486" s="36">
        <v>0</v>
      </c>
      <c r="I2486" s="37">
        <v>0</v>
      </c>
      <c r="J2486" s="36" t="s">
        <v>32654</v>
      </c>
      <c r="K2486" s="36" t="s">
        <v>14330</v>
      </c>
      <c r="L2486" s="36" t="s">
        <v>14330</v>
      </c>
      <c r="M2486">
        <v>3</v>
      </c>
      <c r="N2486" t="s">
        <v>14331</v>
      </c>
      <c r="O2486" t="s">
        <v>32633</v>
      </c>
    </row>
    <row r="2487" spans="1:15" x14ac:dyDescent="0.25">
      <c r="A2487" s="35" t="s">
        <v>7328</v>
      </c>
      <c r="B2487" s="36" t="s">
        <v>7329</v>
      </c>
      <c r="C2487" s="36" t="str">
        <f>HYPERLINK("https://rhld.insurance.arkansas.gov/NPILookup?Npi=1194236935","1194236935")</f>
        <v>1194236935</v>
      </c>
      <c r="D2487" s="36" t="s">
        <v>35112</v>
      </c>
      <c r="E2487" s="36" t="s">
        <v>1</v>
      </c>
      <c r="F2487" s="36">
        <v>1</v>
      </c>
      <c r="G2487" s="36">
        <v>3</v>
      </c>
      <c r="H2487" s="36">
        <v>0</v>
      </c>
      <c r="I2487" s="37">
        <v>0</v>
      </c>
      <c r="J2487" s="36" t="s">
        <v>32654</v>
      </c>
      <c r="K2487" s="36" t="s">
        <v>14330</v>
      </c>
      <c r="L2487" s="36" t="s">
        <v>14330</v>
      </c>
      <c r="M2487">
        <v>3</v>
      </c>
      <c r="N2487" t="s">
        <v>14331</v>
      </c>
      <c r="O2487" t="s">
        <v>32633</v>
      </c>
    </row>
    <row r="2488" spans="1:15" x14ac:dyDescent="0.25">
      <c r="A2488" s="35" t="s">
        <v>7328</v>
      </c>
      <c r="B2488" s="36" t="s">
        <v>7329</v>
      </c>
      <c r="C2488" s="36" t="str">
        <f>HYPERLINK("https://rhld.insurance.arkansas.gov/NPILookup?Npi=1194277947","1194277947")</f>
        <v>1194277947</v>
      </c>
      <c r="D2488" s="36" t="s">
        <v>35113</v>
      </c>
      <c r="E2488" s="36" t="s">
        <v>1</v>
      </c>
      <c r="F2488" s="36">
        <v>1</v>
      </c>
      <c r="G2488" s="36">
        <v>3</v>
      </c>
      <c r="H2488" s="36">
        <v>0</v>
      </c>
      <c r="I2488" s="37">
        <v>0</v>
      </c>
      <c r="J2488" s="36" t="s">
        <v>32654</v>
      </c>
      <c r="K2488" s="36" t="s">
        <v>14330</v>
      </c>
      <c r="L2488" s="36" t="s">
        <v>14330</v>
      </c>
      <c r="M2488">
        <v>2</v>
      </c>
      <c r="N2488" t="s">
        <v>14331</v>
      </c>
      <c r="O2488" t="s">
        <v>32633</v>
      </c>
    </row>
    <row r="2489" spans="1:15" x14ac:dyDescent="0.25">
      <c r="A2489" s="35" t="s">
        <v>7328</v>
      </c>
      <c r="B2489" s="36" t="s">
        <v>7329</v>
      </c>
      <c r="C2489" s="36" t="str">
        <f>HYPERLINK("https://rhld.insurance.arkansas.gov/NPILookup?Npi=1194367136","1194367136")</f>
        <v>1194367136</v>
      </c>
      <c r="D2489" s="36" t="s">
        <v>35114</v>
      </c>
      <c r="E2489" s="36" t="s">
        <v>2</v>
      </c>
      <c r="F2489" s="36">
        <v>1</v>
      </c>
      <c r="G2489" s="36">
        <v>2</v>
      </c>
      <c r="H2489" s="36">
        <v>0</v>
      </c>
      <c r="I2489" s="37">
        <v>0</v>
      </c>
      <c r="J2489" s="36"/>
      <c r="K2489" s="36" t="s">
        <v>14330</v>
      </c>
      <c r="L2489" s="36" t="s">
        <v>14330</v>
      </c>
      <c r="M2489">
        <v>1</v>
      </c>
      <c r="N2489" t="s">
        <v>14331</v>
      </c>
      <c r="O2489" t="s">
        <v>14333</v>
      </c>
    </row>
    <row r="2490" spans="1:15" x14ac:dyDescent="0.25">
      <c r="A2490" s="35" t="s">
        <v>7328</v>
      </c>
      <c r="B2490" s="36" t="s">
        <v>7329</v>
      </c>
      <c r="C2490" s="36" t="str">
        <f>HYPERLINK("https://rhld.insurance.arkansas.gov/NPILookup?Npi=1194442731","1194442731")</f>
        <v>1194442731</v>
      </c>
      <c r="D2490" s="36" t="s">
        <v>35115</v>
      </c>
      <c r="E2490" s="36" t="s">
        <v>2</v>
      </c>
      <c r="F2490" s="36">
        <v>1</v>
      </c>
      <c r="G2490" s="36">
        <v>1</v>
      </c>
      <c r="H2490" s="36">
        <v>0</v>
      </c>
      <c r="I2490" s="37">
        <v>0</v>
      </c>
      <c r="J2490" s="36"/>
      <c r="K2490" s="36" t="s">
        <v>14330</v>
      </c>
      <c r="L2490" s="36" t="s">
        <v>14330</v>
      </c>
      <c r="M2490">
        <v>2</v>
      </c>
      <c r="N2490" t="s">
        <v>14331</v>
      </c>
      <c r="O2490" t="s">
        <v>32633</v>
      </c>
    </row>
    <row r="2491" spans="1:15" x14ac:dyDescent="0.25">
      <c r="A2491" s="35" t="s">
        <v>7328</v>
      </c>
      <c r="B2491" s="36" t="s">
        <v>7329</v>
      </c>
      <c r="C2491" s="36" t="str">
        <f>HYPERLINK("https://rhld.insurance.arkansas.gov/NPILookup?Npi=1194560771","1194560771")</f>
        <v>1194560771</v>
      </c>
      <c r="D2491" s="36" t="s">
        <v>34693</v>
      </c>
      <c r="E2491" s="36" t="s">
        <v>2</v>
      </c>
      <c r="F2491" s="36">
        <v>1</v>
      </c>
      <c r="G2491" s="36">
        <v>2</v>
      </c>
      <c r="H2491" s="36">
        <v>0</v>
      </c>
      <c r="I2491" s="37">
        <v>0</v>
      </c>
      <c r="J2491" s="36"/>
      <c r="K2491" s="36" t="s">
        <v>14330</v>
      </c>
      <c r="L2491" s="36" t="s">
        <v>14330</v>
      </c>
      <c r="M2491">
        <v>3</v>
      </c>
      <c r="N2491" t="s">
        <v>14331</v>
      </c>
      <c r="O2491" t="s">
        <v>14333</v>
      </c>
    </row>
    <row r="2492" spans="1:15" x14ac:dyDescent="0.25">
      <c r="A2492" s="35" t="s">
        <v>7328</v>
      </c>
      <c r="B2492" s="36" t="s">
        <v>7329</v>
      </c>
      <c r="C2492" s="36" t="str">
        <f>HYPERLINK("https://rhld.insurance.arkansas.gov/NPILookup?Npi=1194753046","1194753046")</f>
        <v>1194753046</v>
      </c>
      <c r="D2492" s="36" t="s">
        <v>35116</v>
      </c>
      <c r="E2492" s="36" t="s">
        <v>1</v>
      </c>
      <c r="F2492" s="36">
        <v>1</v>
      </c>
      <c r="G2492" s="36">
        <v>3</v>
      </c>
      <c r="H2492" s="36">
        <v>0</v>
      </c>
      <c r="I2492" s="37">
        <v>0</v>
      </c>
      <c r="J2492" s="36" t="s">
        <v>32654</v>
      </c>
      <c r="K2492" s="36" t="s">
        <v>14330</v>
      </c>
      <c r="L2492" s="36" t="s">
        <v>14330</v>
      </c>
      <c r="M2492">
        <v>3</v>
      </c>
      <c r="N2492" t="s">
        <v>14331</v>
      </c>
      <c r="O2492" t="s">
        <v>32633</v>
      </c>
    </row>
    <row r="2493" spans="1:15" x14ac:dyDescent="0.25">
      <c r="A2493" s="35" t="s">
        <v>7328</v>
      </c>
      <c r="B2493" s="36" t="s">
        <v>7329</v>
      </c>
      <c r="C2493" s="36" t="str">
        <f>HYPERLINK("https://rhld.insurance.arkansas.gov/NPILookup?Npi=1194764290","1194764290")</f>
        <v>1194764290</v>
      </c>
      <c r="D2493" s="36" t="s">
        <v>34367</v>
      </c>
      <c r="E2493" s="36" t="s">
        <v>1</v>
      </c>
      <c r="F2493" s="36">
        <v>1</v>
      </c>
      <c r="G2493" s="36">
        <v>3</v>
      </c>
      <c r="H2493" s="36">
        <v>0</v>
      </c>
      <c r="I2493" s="37">
        <v>0</v>
      </c>
      <c r="J2493" s="36" t="s">
        <v>34836</v>
      </c>
      <c r="K2493" s="36" t="s">
        <v>14330</v>
      </c>
      <c r="L2493" s="36" t="s">
        <v>14330</v>
      </c>
      <c r="M2493">
        <v>2</v>
      </c>
      <c r="N2493" t="s">
        <v>14331</v>
      </c>
      <c r="O2493" t="s">
        <v>32633</v>
      </c>
    </row>
    <row r="2494" spans="1:15" x14ac:dyDescent="0.25">
      <c r="A2494" s="35" t="s">
        <v>7328</v>
      </c>
      <c r="B2494" s="36" t="s">
        <v>7329</v>
      </c>
      <c r="C2494" s="36" t="str">
        <f>HYPERLINK("https://rhld.insurance.arkansas.gov/NPILookup?Npi=1194774646","1194774646")</f>
        <v>1194774646</v>
      </c>
      <c r="D2494" s="36" t="s">
        <v>35117</v>
      </c>
      <c r="E2494" s="36" t="s">
        <v>1</v>
      </c>
      <c r="F2494" s="36">
        <v>1</v>
      </c>
      <c r="G2494" s="36">
        <v>2</v>
      </c>
      <c r="H2494" s="36">
        <v>0</v>
      </c>
      <c r="I2494" s="37">
        <v>0</v>
      </c>
      <c r="J2494" s="36" t="s">
        <v>14335</v>
      </c>
      <c r="K2494" s="36" t="s">
        <v>14330</v>
      </c>
      <c r="L2494" s="36" t="s">
        <v>14330</v>
      </c>
      <c r="M2494">
        <v>2</v>
      </c>
      <c r="N2494" t="s">
        <v>14331</v>
      </c>
      <c r="O2494" t="s">
        <v>32633</v>
      </c>
    </row>
    <row r="2495" spans="1:15" x14ac:dyDescent="0.25">
      <c r="A2495" s="35" t="s">
        <v>7328</v>
      </c>
      <c r="B2495" s="36" t="s">
        <v>7329</v>
      </c>
      <c r="C2495" s="36" t="str">
        <f>HYPERLINK("https://rhld.insurance.arkansas.gov/NPILookup?Npi=1194811323","1194811323")</f>
        <v>1194811323</v>
      </c>
      <c r="D2495" s="36" t="s">
        <v>35118</v>
      </c>
      <c r="E2495" s="36" t="s">
        <v>1</v>
      </c>
      <c r="F2495" s="36">
        <v>1</v>
      </c>
      <c r="G2495" s="36">
        <v>2</v>
      </c>
      <c r="H2495" s="36">
        <v>0</v>
      </c>
      <c r="I2495" s="37">
        <v>0</v>
      </c>
      <c r="J2495" s="36" t="s">
        <v>32723</v>
      </c>
      <c r="K2495" s="36" t="s">
        <v>14330</v>
      </c>
      <c r="L2495" s="36" t="s">
        <v>14330</v>
      </c>
      <c r="M2495">
        <v>2</v>
      </c>
      <c r="N2495" t="s">
        <v>14331</v>
      </c>
      <c r="O2495" t="s">
        <v>32724</v>
      </c>
    </row>
    <row r="2496" spans="1:15" x14ac:dyDescent="0.25">
      <c r="A2496" s="35" t="s">
        <v>7328</v>
      </c>
      <c r="B2496" s="36" t="s">
        <v>7329</v>
      </c>
      <c r="C2496" s="36" t="str">
        <f>HYPERLINK("https://rhld.insurance.arkansas.gov/NPILookup?Npi=1194895490","1194895490")</f>
        <v>1194895490</v>
      </c>
      <c r="D2496" s="36" t="s">
        <v>35119</v>
      </c>
      <c r="E2496" s="36" t="s">
        <v>1</v>
      </c>
      <c r="F2496" s="36">
        <v>1</v>
      </c>
      <c r="G2496" s="36">
        <v>2</v>
      </c>
      <c r="H2496" s="36">
        <v>0</v>
      </c>
      <c r="I2496" s="37">
        <v>0</v>
      </c>
      <c r="J2496" s="36" t="s">
        <v>32654</v>
      </c>
      <c r="K2496" s="36" t="s">
        <v>14330</v>
      </c>
      <c r="L2496" s="36" t="s">
        <v>14330</v>
      </c>
      <c r="M2496">
        <v>2</v>
      </c>
      <c r="N2496" t="s">
        <v>14331</v>
      </c>
      <c r="O2496" t="s">
        <v>32633</v>
      </c>
    </row>
    <row r="2497" spans="1:15" x14ac:dyDescent="0.25">
      <c r="A2497" s="35" t="s">
        <v>7328</v>
      </c>
      <c r="B2497" s="36" t="s">
        <v>7329</v>
      </c>
      <c r="C2497" s="36" t="str">
        <f>HYPERLINK("https://rhld.insurance.arkansas.gov/NPILookup?Npi=1205084597","1205084597")</f>
        <v>1205084597</v>
      </c>
      <c r="D2497" s="36" t="s">
        <v>35120</v>
      </c>
      <c r="E2497" s="36" t="s">
        <v>1</v>
      </c>
      <c r="F2497" s="36">
        <v>1</v>
      </c>
      <c r="G2497" s="36">
        <v>2</v>
      </c>
      <c r="H2497" s="36">
        <v>0</v>
      </c>
      <c r="I2497" s="37">
        <v>0</v>
      </c>
      <c r="J2497" s="36" t="s">
        <v>32723</v>
      </c>
      <c r="K2497" s="36" t="s">
        <v>14330</v>
      </c>
      <c r="L2497" s="36" t="s">
        <v>14330</v>
      </c>
      <c r="M2497">
        <v>3</v>
      </c>
      <c r="N2497" t="s">
        <v>14331</v>
      </c>
      <c r="O2497" t="s">
        <v>32724</v>
      </c>
    </row>
    <row r="2498" spans="1:15" x14ac:dyDescent="0.25">
      <c r="A2498" s="35" t="s">
        <v>7328</v>
      </c>
      <c r="B2498" s="36" t="s">
        <v>7329</v>
      </c>
      <c r="C2498" s="36" t="str">
        <f>HYPERLINK("https://rhld.insurance.arkansas.gov/NPILookup?Npi=1205093283","1205093283")</f>
        <v>1205093283</v>
      </c>
      <c r="D2498" s="36" t="s">
        <v>35121</v>
      </c>
      <c r="E2498" s="36" t="s">
        <v>1</v>
      </c>
      <c r="F2498" s="36">
        <v>1</v>
      </c>
      <c r="G2498" s="36">
        <v>3</v>
      </c>
      <c r="H2498" s="36">
        <v>0</v>
      </c>
      <c r="I2498" s="37">
        <v>0</v>
      </c>
      <c r="J2498" s="36" t="s">
        <v>34836</v>
      </c>
      <c r="K2498" s="36" t="s">
        <v>14330</v>
      </c>
      <c r="L2498" s="36" t="s">
        <v>14330</v>
      </c>
      <c r="M2498">
        <v>2</v>
      </c>
      <c r="N2498" t="s">
        <v>14331</v>
      </c>
      <c r="O2498" t="s">
        <v>32633</v>
      </c>
    </row>
    <row r="2499" spans="1:15" x14ac:dyDescent="0.25">
      <c r="A2499" s="35" t="s">
        <v>7328</v>
      </c>
      <c r="B2499" s="36" t="s">
        <v>7329</v>
      </c>
      <c r="C2499" s="36" t="str">
        <f>HYPERLINK("https://rhld.insurance.arkansas.gov/NPILookup?Npi=1205118858","1205118858")</f>
        <v>1205118858</v>
      </c>
      <c r="D2499" s="36" t="s">
        <v>35122</v>
      </c>
      <c r="E2499" s="36" t="s">
        <v>2</v>
      </c>
      <c r="F2499" s="36">
        <v>1</v>
      </c>
      <c r="G2499" s="36">
        <v>2</v>
      </c>
      <c r="H2499" s="36">
        <v>0</v>
      </c>
      <c r="I2499" s="37">
        <v>0</v>
      </c>
      <c r="J2499" s="36"/>
      <c r="K2499" s="36" t="s">
        <v>14330</v>
      </c>
      <c r="L2499" s="36" t="s">
        <v>14330</v>
      </c>
      <c r="M2499">
        <v>2</v>
      </c>
      <c r="N2499" t="s">
        <v>14331</v>
      </c>
      <c r="O2499" t="s">
        <v>14333</v>
      </c>
    </row>
    <row r="2500" spans="1:15" x14ac:dyDescent="0.25">
      <c r="A2500" s="35" t="s">
        <v>7328</v>
      </c>
      <c r="B2500" s="36" t="s">
        <v>7329</v>
      </c>
      <c r="C2500" s="36" t="str">
        <f>HYPERLINK("https://rhld.insurance.arkansas.gov/NPILookup?Npi=1205177060","1205177060")</f>
        <v>1205177060</v>
      </c>
      <c r="D2500" s="36" t="s">
        <v>35123</v>
      </c>
      <c r="E2500" s="36" t="s">
        <v>1</v>
      </c>
      <c r="F2500" s="36">
        <v>1</v>
      </c>
      <c r="G2500" s="36">
        <v>2</v>
      </c>
      <c r="H2500" s="36">
        <v>0</v>
      </c>
      <c r="I2500" s="37">
        <v>0</v>
      </c>
      <c r="J2500" s="36" t="s">
        <v>32654</v>
      </c>
      <c r="K2500" s="36" t="s">
        <v>14330</v>
      </c>
      <c r="L2500" s="36" t="s">
        <v>14330</v>
      </c>
      <c r="M2500">
        <v>2</v>
      </c>
      <c r="N2500" t="s">
        <v>14331</v>
      </c>
      <c r="O2500" t="s">
        <v>32633</v>
      </c>
    </row>
    <row r="2501" spans="1:15" x14ac:dyDescent="0.25">
      <c r="A2501" s="35" t="s">
        <v>7328</v>
      </c>
      <c r="B2501" s="36" t="s">
        <v>7329</v>
      </c>
      <c r="C2501" s="36" t="str">
        <f>HYPERLINK("https://rhld.insurance.arkansas.gov/NPILookup?Npi=1205250693","1205250693")</f>
        <v>1205250693</v>
      </c>
      <c r="D2501" s="36" t="s">
        <v>35124</v>
      </c>
      <c r="E2501" s="36" t="s">
        <v>1</v>
      </c>
      <c r="F2501" s="36">
        <v>1</v>
      </c>
      <c r="G2501" s="36">
        <v>2</v>
      </c>
      <c r="H2501" s="36">
        <v>0</v>
      </c>
      <c r="I2501" s="37">
        <v>0</v>
      </c>
      <c r="J2501" s="36" t="s">
        <v>32654</v>
      </c>
      <c r="K2501" s="36" t="s">
        <v>14330</v>
      </c>
      <c r="L2501" s="36" t="s">
        <v>14330</v>
      </c>
      <c r="M2501">
        <v>2</v>
      </c>
      <c r="N2501" t="s">
        <v>14331</v>
      </c>
      <c r="O2501" t="s">
        <v>32633</v>
      </c>
    </row>
    <row r="2502" spans="1:15" x14ac:dyDescent="0.25">
      <c r="A2502" s="35" t="s">
        <v>7328</v>
      </c>
      <c r="B2502" s="36" t="s">
        <v>7329</v>
      </c>
      <c r="C2502" s="36" t="str">
        <f>HYPERLINK("https://rhld.insurance.arkansas.gov/NPILookup?Npi=1205305307","1205305307")</f>
        <v>1205305307</v>
      </c>
      <c r="D2502" s="36" t="s">
        <v>35125</v>
      </c>
      <c r="E2502" s="36" t="s">
        <v>2</v>
      </c>
      <c r="F2502" s="36">
        <v>2</v>
      </c>
      <c r="G2502" s="36">
        <v>2</v>
      </c>
      <c r="H2502" s="36">
        <v>0</v>
      </c>
      <c r="I2502" s="37">
        <v>0</v>
      </c>
      <c r="J2502" s="36" t="s">
        <v>33004</v>
      </c>
      <c r="K2502" s="36" t="s">
        <v>14330</v>
      </c>
      <c r="L2502" s="36" t="s">
        <v>14330</v>
      </c>
      <c r="M2502">
        <v>3</v>
      </c>
      <c r="N2502" t="s">
        <v>14331</v>
      </c>
      <c r="O2502" t="s">
        <v>14333</v>
      </c>
    </row>
    <row r="2503" spans="1:15" x14ac:dyDescent="0.25">
      <c r="A2503" s="35" t="s">
        <v>7328</v>
      </c>
      <c r="B2503" s="36" t="s">
        <v>7329</v>
      </c>
      <c r="C2503" s="36" t="str">
        <f>HYPERLINK("https://rhld.insurance.arkansas.gov/NPILookup?Npi=1205359510","1205359510")</f>
        <v>1205359510</v>
      </c>
      <c r="D2503" s="36" t="s">
        <v>35126</v>
      </c>
      <c r="E2503" s="36" t="s">
        <v>1</v>
      </c>
      <c r="F2503" s="36">
        <v>1</v>
      </c>
      <c r="G2503" s="36">
        <v>3</v>
      </c>
      <c r="H2503" s="36">
        <v>0</v>
      </c>
      <c r="I2503" s="37">
        <v>0</v>
      </c>
      <c r="J2503" s="36" t="s">
        <v>32654</v>
      </c>
      <c r="K2503" s="36" t="s">
        <v>14330</v>
      </c>
      <c r="L2503" s="36" t="s">
        <v>14330</v>
      </c>
      <c r="M2503">
        <v>2</v>
      </c>
      <c r="N2503" t="s">
        <v>14331</v>
      </c>
      <c r="O2503" t="s">
        <v>32633</v>
      </c>
    </row>
    <row r="2504" spans="1:15" x14ac:dyDescent="0.25">
      <c r="A2504" s="35" t="s">
        <v>7328</v>
      </c>
      <c r="B2504" s="36" t="s">
        <v>7329</v>
      </c>
      <c r="C2504" s="36" t="str">
        <f>HYPERLINK("https://rhld.insurance.arkansas.gov/NPILookup?Npi=1205646296","1205646296")</f>
        <v>1205646296</v>
      </c>
      <c r="D2504" s="36" t="s">
        <v>35127</v>
      </c>
      <c r="E2504" s="36" t="s">
        <v>2</v>
      </c>
      <c r="F2504" s="36">
        <v>1</v>
      </c>
      <c r="G2504" s="36">
        <v>2</v>
      </c>
      <c r="H2504" s="36">
        <v>0</v>
      </c>
      <c r="I2504" s="37">
        <v>0</v>
      </c>
      <c r="J2504" s="36"/>
      <c r="K2504" s="36" t="s">
        <v>14330</v>
      </c>
      <c r="L2504" s="36" t="s">
        <v>14330</v>
      </c>
      <c r="M2504">
        <v>2</v>
      </c>
      <c r="N2504" t="s">
        <v>14331</v>
      </c>
      <c r="O2504" t="s">
        <v>14333</v>
      </c>
    </row>
    <row r="2505" spans="1:15" x14ac:dyDescent="0.25">
      <c r="A2505" s="35" t="s">
        <v>7328</v>
      </c>
      <c r="B2505" s="36" t="s">
        <v>7329</v>
      </c>
      <c r="C2505" s="36" t="str">
        <f>HYPERLINK("https://rhld.insurance.arkansas.gov/NPILookup?Npi=1205850682","1205850682")</f>
        <v>1205850682</v>
      </c>
      <c r="D2505" s="36" t="s">
        <v>35128</v>
      </c>
      <c r="E2505" s="36" t="s">
        <v>1</v>
      </c>
      <c r="F2505" s="36">
        <v>1</v>
      </c>
      <c r="G2505" s="36">
        <v>2</v>
      </c>
      <c r="H2505" s="36">
        <v>0</v>
      </c>
      <c r="I2505" s="37">
        <v>0</v>
      </c>
      <c r="J2505" s="36" t="s">
        <v>34836</v>
      </c>
      <c r="K2505" s="36" t="s">
        <v>14330</v>
      </c>
      <c r="L2505" s="36" t="s">
        <v>14330</v>
      </c>
      <c r="M2505">
        <v>2</v>
      </c>
      <c r="N2505" t="s">
        <v>14331</v>
      </c>
      <c r="O2505" t="s">
        <v>32633</v>
      </c>
    </row>
    <row r="2506" spans="1:15" x14ac:dyDescent="0.25">
      <c r="A2506" s="35" t="s">
        <v>7328</v>
      </c>
      <c r="B2506" s="36" t="s">
        <v>7329</v>
      </c>
      <c r="C2506" s="36" t="str">
        <f>HYPERLINK("https://rhld.insurance.arkansas.gov/NPILookup?Npi=1205897857","1205897857")</f>
        <v>1205897857</v>
      </c>
      <c r="D2506" s="36" t="s">
        <v>35129</v>
      </c>
      <c r="E2506" s="36" t="s">
        <v>1</v>
      </c>
      <c r="F2506" s="36">
        <v>1</v>
      </c>
      <c r="G2506" s="36">
        <v>2</v>
      </c>
      <c r="H2506" s="36">
        <v>0</v>
      </c>
      <c r="I2506" s="37">
        <v>0</v>
      </c>
      <c r="J2506" s="36" t="s">
        <v>34836</v>
      </c>
      <c r="K2506" s="36" t="s">
        <v>14330</v>
      </c>
      <c r="L2506" s="36" t="s">
        <v>14330</v>
      </c>
      <c r="M2506">
        <v>3</v>
      </c>
      <c r="N2506" t="s">
        <v>14331</v>
      </c>
      <c r="O2506" t="s">
        <v>32633</v>
      </c>
    </row>
    <row r="2507" spans="1:15" x14ac:dyDescent="0.25">
      <c r="A2507" s="35" t="s">
        <v>7328</v>
      </c>
      <c r="B2507" s="36" t="s">
        <v>7329</v>
      </c>
      <c r="C2507" s="36" t="str">
        <f>HYPERLINK("https://rhld.insurance.arkansas.gov/NPILookup?Npi=1205911849","1205911849")</f>
        <v>1205911849</v>
      </c>
      <c r="D2507" s="36" t="s">
        <v>35130</v>
      </c>
      <c r="E2507" s="36" t="s">
        <v>1</v>
      </c>
      <c r="F2507" s="36">
        <v>1</v>
      </c>
      <c r="G2507" s="36">
        <v>3</v>
      </c>
      <c r="H2507" s="36">
        <v>0</v>
      </c>
      <c r="I2507" s="37">
        <v>0</v>
      </c>
      <c r="J2507" s="36" t="s">
        <v>34836</v>
      </c>
      <c r="K2507" s="36" t="s">
        <v>14330</v>
      </c>
      <c r="L2507" s="36" t="s">
        <v>14330</v>
      </c>
      <c r="M2507">
        <v>2</v>
      </c>
      <c r="N2507" t="s">
        <v>14331</v>
      </c>
      <c r="O2507" t="s">
        <v>32633</v>
      </c>
    </row>
    <row r="2508" spans="1:15" x14ac:dyDescent="0.25">
      <c r="A2508" s="35" t="s">
        <v>7328</v>
      </c>
      <c r="B2508" s="36" t="s">
        <v>7329</v>
      </c>
      <c r="C2508" s="36" t="str">
        <f>HYPERLINK("https://rhld.insurance.arkansas.gov/NPILookup?Npi=1215087515","1215087515")</f>
        <v>1215087515</v>
      </c>
      <c r="D2508" s="36" t="s">
        <v>35131</v>
      </c>
      <c r="E2508" s="36" t="s">
        <v>1</v>
      </c>
      <c r="F2508" s="36">
        <v>1</v>
      </c>
      <c r="G2508" s="36">
        <v>2</v>
      </c>
      <c r="H2508" s="36">
        <v>0</v>
      </c>
      <c r="I2508" s="37">
        <v>0</v>
      </c>
      <c r="J2508" s="36" t="s">
        <v>34836</v>
      </c>
      <c r="K2508" s="36" t="s">
        <v>14330</v>
      </c>
      <c r="L2508" s="36" t="s">
        <v>14330</v>
      </c>
      <c r="M2508">
        <v>3</v>
      </c>
      <c r="N2508" t="s">
        <v>14331</v>
      </c>
      <c r="O2508" t="s">
        <v>32633</v>
      </c>
    </row>
    <row r="2509" spans="1:15" x14ac:dyDescent="0.25">
      <c r="A2509" s="35" t="s">
        <v>7328</v>
      </c>
      <c r="B2509" s="36" t="s">
        <v>7329</v>
      </c>
      <c r="C2509" s="36" t="str">
        <f>HYPERLINK("https://rhld.insurance.arkansas.gov/NPILookup?Npi=1215113154","1215113154")</f>
        <v>1215113154</v>
      </c>
      <c r="D2509" s="36" t="s">
        <v>35132</v>
      </c>
      <c r="E2509" s="36" t="s">
        <v>1</v>
      </c>
      <c r="F2509" s="36">
        <v>1</v>
      </c>
      <c r="G2509" s="36">
        <v>3</v>
      </c>
      <c r="H2509" s="36">
        <v>0</v>
      </c>
      <c r="I2509" s="37">
        <v>0</v>
      </c>
      <c r="J2509" s="36" t="s">
        <v>34836</v>
      </c>
      <c r="K2509" s="36" t="s">
        <v>14330</v>
      </c>
      <c r="L2509" s="36" t="s">
        <v>14330</v>
      </c>
      <c r="M2509">
        <v>3</v>
      </c>
      <c r="N2509" t="s">
        <v>14331</v>
      </c>
      <c r="O2509" t="s">
        <v>32633</v>
      </c>
    </row>
    <row r="2510" spans="1:15" x14ac:dyDescent="0.25">
      <c r="A2510" s="35" t="s">
        <v>7328</v>
      </c>
      <c r="B2510" s="36" t="s">
        <v>7329</v>
      </c>
      <c r="C2510" s="36" t="str">
        <f>HYPERLINK("https://rhld.insurance.arkansas.gov/NPILookup?Npi=1215196233","1215196233")</f>
        <v>1215196233</v>
      </c>
      <c r="D2510" s="36" t="s">
        <v>35133</v>
      </c>
      <c r="E2510" s="36" t="s">
        <v>1</v>
      </c>
      <c r="F2510" s="36">
        <v>1</v>
      </c>
      <c r="G2510" s="36">
        <v>3</v>
      </c>
      <c r="H2510" s="36">
        <v>0</v>
      </c>
      <c r="I2510" s="37">
        <v>0</v>
      </c>
      <c r="J2510" s="36" t="s">
        <v>34836</v>
      </c>
      <c r="K2510" s="36" t="s">
        <v>14330</v>
      </c>
      <c r="L2510" s="36" t="s">
        <v>14330</v>
      </c>
      <c r="M2510">
        <v>3</v>
      </c>
      <c r="N2510" t="s">
        <v>14331</v>
      </c>
      <c r="O2510" t="s">
        <v>32633</v>
      </c>
    </row>
    <row r="2511" spans="1:15" x14ac:dyDescent="0.25">
      <c r="A2511" s="35" t="s">
        <v>7328</v>
      </c>
      <c r="B2511" s="36" t="s">
        <v>7329</v>
      </c>
      <c r="C2511" s="36" t="str">
        <f>HYPERLINK("https://rhld.insurance.arkansas.gov/NPILookup?Npi=1215212089","1215212089")</f>
        <v>1215212089</v>
      </c>
      <c r="D2511" s="36" t="s">
        <v>35134</v>
      </c>
      <c r="E2511" s="36" t="s">
        <v>1</v>
      </c>
      <c r="F2511" s="36">
        <v>1</v>
      </c>
      <c r="G2511" s="36">
        <v>3</v>
      </c>
      <c r="H2511" s="36">
        <v>0</v>
      </c>
      <c r="I2511" s="37">
        <v>0</v>
      </c>
      <c r="J2511" s="36" t="s">
        <v>32654</v>
      </c>
      <c r="K2511" s="36" t="s">
        <v>14330</v>
      </c>
      <c r="L2511" s="36" t="s">
        <v>14330</v>
      </c>
      <c r="M2511">
        <v>2</v>
      </c>
      <c r="N2511" t="s">
        <v>14331</v>
      </c>
      <c r="O2511" t="s">
        <v>32633</v>
      </c>
    </row>
    <row r="2512" spans="1:15" x14ac:dyDescent="0.25">
      <c r="A2512" s="35" t="s">
        <v>7328</v>
      </c>
      <c r="B2512" s="36" t="s">
        <v>7329</v>
      </c>
      <c r="C2512" s="36" t="str">
        <f>HYPERLINK("https://rhld.insurance.arkansas.gov/NPILookup?Npi=1215239553","1215239553")</f>
        <v>1215239553</v>
      </c>
      <c r="D2512" s="36" t="s">
        <v>35135</v>
      </c>
      <c r="E2512" s="36" t="s">
        <v>1</v>
      </c>
      <c r="F2512" s="36">
        <v>1</v>
      </c>
      <c r="G2512" s="36">
        <v>2</v>
      </c>
      <c r="H2512" s="36">
        <v>0</v>
      </c>
      <c r="I2512" s="37">
        <v>0</v>
      </c>
      <c r="J2512" s="36" t="s">
        <v>34836</v>
      </c>
      <c r="K2512" s="36" t="s">
        <v>14330</v>
      </c>
      <c r="L2512" s="36" t="s">
        <v>14330</v>
      </c>
      <c r="M2512">
        <v>2</v>
      </c>
      <c r="N2512" t="s">
        <v>14331</v>
      </c>
      <c r="O2512" t="s">
        <v>32633</v>
      </c>
    </row>
    <row r="2513" spans="1:15" x14ac:dyDescent="0.25">
      <c r="A2513" s="35" t="s">
        <v>7328</v>
      </c>
      <c r="B2513" s="36" t="s">
        <v>7329</v>
      </c>
      <c r="C2513" s="36" t="str">
        <f>HYPERLINK("https://rhld.insurance.arkansas.gov/NPILookup?Npi=1215241153","1215241153")</f>
        <v>1215241153</v>
      </c>
      <c r="D2513" s="36" t="s">
        <v>35136</v>
      </c>
      <c r="E2513" s="36" t="s">
        <v>2</v>
      </c>
      <c r="F2513" s="36">
        <v>1</v>
      </c>
      <c r="G2513" s="36">
        <v>2</v>
      </c>
      <c r="H2513" s="36">
        <v>0</v>
      </c>
      <c r="I2513" s="37">
        <v>0</v>
      </c>
      <c r="J2513" s="36" t="s">
        <v>32679</v>
      </c>
      <c r="K2513" s="36" t="s">
        <v>14330</v>
      </c>
      <c r="L2513" s="36" t="s">
        <v>14330</v>
      </c>
      <c r="M2513">
        <v>1</v>
      </c>
      <c r="N2513" t="s">
        <v>14331</v>
      </c>
      <c r="O2513" t="s">
        <v>14333</v>
      </c>
    </row>
    <row r="2514" spans="1:15" x14ac:dyDescent="0.25">
      <c r="A2514" s="35" t="s">
        <v>7328</v>
      </c>
      <c r="B2514" s="36" t="s">
        <v>7329</v>
      </c>
      <c r="C2514" s="36" t="str">
        <f>HYPERLINK("https://rhld.insurance.arkansas.gov/NPILookup?Npi=1215276977","1215276977")</f>
        <v>1215276977</v>
      </c>
      <c r="D2514" s="36" t="s">
        <v>34694</v>
      </c>
      <c r="E2514" s="36" t="s">
        <v>2</v>
      </c>
      <c r="F2514" s="36">
        <v>1</v>
      </c>
      <c r="G2514" s="36">
        <v>1</v>
      </c>
      <c r="H2514" s="36">
        <v>0</v>
      </c>
      <c r="I2514" s="37">
        <v>0</v>
      </c>
      <c r="J2514" s="36"/>
      <c r="K2514" s="36" t="s">
        <v>14330</v>
      </c>
      <c r="L2514" s="36" t="s">
        <v>14330</v>
      </c>
      <c r="M2514">
        <v>2</v>
      </c>
      <c r="N2514" t="s">
        <v>14331</v>
      </c>
      <c r="O2514" t="s">
        <v>32633</v>
      </c>
    </row>
    <row r="2515" spans="1:15" x14ac:dyDescent="0.25">
      <c r="A2515" s="35" t="s">
        <v>7328</v>
      </c>
      <c r="B2515" s="36" t="s">
        <v>7329</v>
      </c>
      <c r="C2515" s="36" t="str">
        <f>HYPERLINK("https://rhld.insurance.arkansas.gov/NPILookup?Npi=1215498332","1215498332")</f>
        <v>1215498332</v>
      </c>
      <c r="D2515" s="36" t="s">
        <v>35137</v>
      </c>
      <c r="E2515" s="36" t="s">
        <v>1</v>
      </c>
      <c r="F2515" s="36">
        <v>1</v>
      </c>
      <c r="G2515" s="36">
        <v>2</v>
      </c>
      <c r="H2515" s="36">
        <v>0</v>
      </c>
      <c r="I2515" s="37">
        <v>0</v>
      </c>
      <c r="J2515" s="36" t="s">
        <v>32723</v>
      </c>
      <c r="K2515" s="36" t="s">
        <v>14330</v>
      </c>
      <c r="L2515" s="36" t="s">
        <v>14330</v>
      </c>
      <c r="M2515">
        <v>2</v>
      </c>
      <c r="N2515" t="s">
        <v>14331</v>
      </c>
      <c r="O2515" t="s">
        <v>32724</v>
      </c>
    </row>
    <row r="2516" spans="1:15" x14ac:dyDescent="0.25">
      <c r="A2516" s="35" t="s">
        <v>7328</v>
      </c>
      <c r="B2516" s="36" t="s">
        <v>7329</v>
      </c>
      <c r="C2516" s="36" t="str">
        <f>HYPERLINK("https://rhld.insurance.arkansas.gov/NPILookup?Npi=1215498399","1215498399")</f>
        <v>1215498399</v>
      </c>
      <c r="D2516" s="36" t="s">
        <v>35138</v>
      </c>
      <c r="E2516" s="36" t="s">
        <v>1</v>
      </c>
      <c r="F2516" s="36">
        <v>1</v>
      </c>
      <c r="G2516" s="36">
        <v>2</v>
      </c>
      <c r="H2516" s="36">
        <v>0</v>
      </c>
      <c r="I2516" s="37">
        <v>0</v>
      </c>
      <c r="J2516" s="36" t="s">
        <v>32723</v>
      </c>
      <c r="K2516" s="36" t="s">
        <v>14330</v>
      </c>
      <c r="L2516" s="36" t="s">
        <v>14330</v>
      </c>
      <c r="M2516">
        <v>2</v>
      </c>
      <c r="N2516" t="s">
        <v>14331</v>
      </c>
      <c r="O2516" t="s">
        <v>32724</v>
      </c>
    </row>
    <row r="2517" spans="1:15" x14ac:dyDescent="0.25">
      <c r="A2517" s="35" t="s">
        <v>7328</v>
      </c>
      <c r="B2517" s="36" t="s">
        <v>7329</v>
      </c>
      <c r="C2517" s="36" t="str">
        <f>HYPERLINK("https://rhld.insurance.arkansas.gov/NPILookup?Npi=1215507363","1215507363")</f>
        <v>1215507363</v>
      </c>
      <c r="D2517" s="36" t="s">
        <v>35139</v>
      </c>
      <c r="E2517" s="36" t="s">
        <v>2</v>
      </c>
      <c r="F2517" s="36">
        <v>1</v>
      </c>
      <c r="G2517" s="36">
        <v>2</v>
      </c>
      <c r="H2517" s="36">
        <v>0</v>
      </c>
      <c r="I2517" s="37">
        <v>0</v>
      </c>
      <c r="J2517" s="36"/>
      <c r="K2517" s="36" t="s">
        <v>14330</v>
      </c>
      <c r="L2517" s="36" t="s">
        <v>14330</v>
      </c>
      <c r="M2517">
        <v>1</v>
      </c>
      <c r="N2517" t="s">
        <v>14331</v>
      </c>
      <c r="O2517" t="s">
        <v>14333</v>
      </c>
    </row>
    <row r="2518" spans="1:15" x14ac:dyDescent="0.25">
      <c r="A2518" s="35" t="s">
        <v>7328</v>
      </c>
      <c r="B2518" s="36" t="s">
        <v>7329</v>
      </c>
      <c r="C2518" s="36" t="str">
        <f>HYPERLINK("https://rhld.insurance.arkansas.gov/NPILookup?Npi=1215562459","1215562459")</f>
        <v>1215562459</v>
      </c>
      <c r="D2518" s="36" t="s">
        <v>35140</v>
      </c>
      <c r="E2518" s="36" t="s">
        <v>1</v>
      </c>
      <c r="F2518" s="36">
        <v>1</v>
      </c>
      <c r="G2518" s="36">
        <v>1</v>
      </c>
      <c r="H2518" s="36">
        <v>0</v>
      </c>
      <c r="I2518" s="37">
        <v>0</v>
      </c>
      <c r="J2518" s="36" t="s">
        <v>32654</v>
      </c>
      <c r="K2518" s="36" t="s">
        <v>14330</v>
      </c>
      <c r="L2518" s="36" t="s">
        <v>14330</v>
      </c>
      <c r="M2518">
        <v>2</v>
      </c>
      <c r="N2518" t="s">
        <v>14331</v>
      </c>
      <c r="O2518" t="s">
        <v>32633</v>
      </c>
    </row>
    <row r="2519" spans="1:15" x14ac:dyDescent="0.25">
      <c r="A2519" s="35" t="s">
        <v>7328</v>
      </c>
      <c r="B2519" s="36" t="s">
        <v>7329</v>
      </c>
      <c r="C2519" s="36" t="str">
        <f>HYPERLINK("https://rhld.insurance.arkansas.gov/NPILookup?Npi=1215564315","1215564315")</f>
        <v>1215564315</v>
      </c>
      <c r="D2519" s="36" t="s">
        <v>35141</v>
      </c>
      <c r="E2519" s="36" t="s">
        <v>1</v>
      </c>
      <c r="F2519" s="36">
        <v>1</v>
      </c>
      <c r="G2519" s="36">
        <v>2</v>
      </c>
      <c r="H2519" s="36">
        <v>0</v>
      </c>
      <c r="I2519" s="37">
        <v>0</v>
      </c>
      <c r="J2519" s="36" t="s">
        <v>32723</v>
      </c>
      <c r="K2519" s="36" t="s">
        <v>14330</v>
      </c>
      <c r="L2519" s="36" t="s">
        <v>14330</v>
      </c>
      <c r="M2519">
        <v>2</v>
      </c>
      <c r="N2519" t="s">
        <v>14331</v>
      </c>
      <c r="O2519" t="s">
        <v>32724</v>
      </c>
    </row>
    <row r="2520" spans="1:15" x14ac:dyDescent="0.25">
      <c r="A2520" s="35" t="s">
        <v>7328</v>
      </c>
      <c r="B2520" s="36" t="s">
        <v>7329</v>
      </c>
      <c r="C2520" s="36" t="str">
        <f>HYPERLINK("https://rhld.insurance.arkansas.gov/NPILookup?Npi=1215649132","1215649132")</f>
        <v>1215649132</v>
      </c>
      <c r="D2520" s="36" t="s">
        <v>35142</v>
      </c>
      <c r="E2520" s="36" t="s">
        <v>2</v>
      </c>
      <c r="F2520" s="36">
        <v>1</v>
      </c>
      <c r="G2520" s="36">
        <v>2</v>
      </c>
      <c r="H2520" s="36">
        <v>0</v>
      </c>
      <c r="I2520" s="37">
        <v>0</v>
      </c>
      <c r="J2520" s="36" t="s">
        <v>32679</v>
      </c>
      <c r="K2520" s="36" t="s">
        <v>14330</v>
      </c>
      <c r="L2520" s="36" t="s">
        <v>14330</v>
      </c>
      <c r="M2520">
        <v>3</v>
      </c>
      <c r="N2520" t="s">
        <v>14331</v>
      </c>
      <c r="O2520" t="s">
        <v>14333</v>
      </c>
    </row>
    <row r="2521" spans="1:15" x14ac:dyDescent="0.25">
      <c r="A2521" s="35" t="s">
        <v>7328</v>
      </c>
      <c r="B2521" s="36" t="s">
        <v>7329</v>
      </c>
      <c r="C2521" s="36" t="str">
        <f>HYPERLINK("https://rhld.insurance.arkansas.gov/NPILookup?Npi=1215687637","1215687637")</f>
        <v>1215687637</v>
      </c>
      <c r="D2521" s="36" t="s">
        <v>35143</v>
      </c>
      <c r="E2521" s="36" t="s">
        <v>1</v>
      </c>
      <c r="F2521" s="36">
        <v>1</v>
      </c>
      <c r="G2521" s="36">
        <v>3</v>
      </c>
      <c r="H2521" s="36">
        <v>0</v>
      </c>
      <c r="I2521" s="37">
        <v>0</v>
      </c>
      <c r="J2521" s="36" t="s">
        <v>32654</v>
      </c>
      <c r="K2521" s="36" t="s">
        <v>14330</v>
      </c>
      <c r="L2521" s="36" t="s">
        <v>14330</v>
      </c>
      <c r="M2521">
        <v>3</v>
      </c>
      <c r="N2521" t="s">
        <v>14331</v>
      </c>
      <c r="O2521" t="s">
        <v>32633</v>
      </c>
    </row>
    <row r="2522" spans="1:15" x14ac:dyDescent="0.25">
      <c r="A2522" s="35" t="s">
        <v>7328</v>
      </c>
      <c r="B2522" s="36" t="s">
        <v>7329</v>
      </c>
      <c r="C2522" s="36" t="str">
        <f>HYPERLINK("https://rhld.insurance.arkansas.gov/NPILookup?Npi=1215922661","1215922661")</f>
        <v>1215922661</v>
      </c>
      <c r="D2522" s="36" t="s">
        <v>35144</v>
      </c>
      <c r="E2522" s="36" t="s">
        <v>1</v>
      </c>
      <c r="F2522" s="36">
        <v>1</v>
      </c>
      <c r="G2522" s="36">
        <v>3</v>
      </c>
      <c r="H2522" s="36">
        <v>0</v>
      </c>
      <c r="I2522" s="37">
        <v>0</v>
      </c>
      <c r="J2522" s="36" t="s">
        <v>34836</v>
      </c>
      <c r="K2522" s="36" t="s">
        <v>14330</v>
      </c>
      <c r="L2522" s="36" t="s">
        <v>14330</v>
      </c>
      <c r="M2522">
        <v>3</v>
      </c>
      <c r="N2522" t="s">
        <v>14331</v>
      </c>
      <c r="O2522" t="s">
        <v>32633</v>
      </c>
    </row>
    <row r="2523" spans="1:15" x14ac:dyDescent="0.25">
      <c r="A2523" s="35" t="s">
        <v>7328</v>
      </c>
      <c r="B2523" s="36" t="s">
        <v>7329</v>
      </c>
      <c r="C2523" s="36" t="str">
        <f>HYPERLINK("https://rhld.insurance.arkansas.gov/NPILookup?Npi=1215939269","1215939269")</f>
        <v>1215939269</v>
      </c>
      <c r="D2523" s="36" t="s">
        <v>35145</v>
      </c>
      <c r="E2523" s="36" t="s">
        <v>1</v>
      </c>
      <c r="F2523" s="36">
        <v>1</v>
      </c>
      <c r="G2523" s="36">
        <v>3</v>
      </c>
      <c r="H2523" s="36">
        <v>0</v>
      </c>
      <c r="I2523" s="37">
        <v>0</v>
      </c>
      <c r="J2523" s="36" t="s">
        <v>32654</v>
      </c>
      <c r="K2523" s="36" t="s">
        <v>14330</v>
      </c>
      <c r="L2523" s="36" t="s">
        <v>14330</v>
      </c>
      <c r="M2523">
        <v>1</v>
      </c>
      <c r="N2523" t="s">
        <v>14331</v>
      </c>
      <c r="O2523" t="s">
        <v>32633</v>
      </c>
    </row>
    <row r="2524" spans="1:15" x14ac:dyDescent="0.25">
      <c r="A2524" s="35" t="s">
        <v>7328</v>
      </c>
      <c r="B2524" s="36" t="s">
        <v>7329</v>
      </c>
      <c r="C2524" s="36" t="str">
        <f>HYPERLINK("https://rhld.insurance.arkansas.gov/NPILookup?Npi=1225022320","1225022320")</f>
        <v>1225022320</v>
      </c>
      <c r="D2524" s="36" t="s">
        <v>35146</v>
      </c>
      <c r="E2524" s="36" t="s">
        <v>1</v>
      </c>
      <c r="F2524" s="36">
        <v>1</v>
      </c>
      <c r="G2524" s="36">
        <v>1</v>
      </c>
      <c r="H2524" s="36">
        <v>0</v>
      </c>
      <c r="I2524" s="37">
        <v>0</v>
      </c>
      <c r="J2524" s="36" t="s">
        <v>34836</v>
      </c>
      <c r="K2524" s="36" t="s">
        <v>14330</v>
      </c>
      <c r="L2524" s="36" t="s">
        <v>14330</v>
      </c>
      <c r="M2524">
        <v>2</v>
      </c>
      <c r="N2524" t="s">
        <v>14331</v>
      </c>
      <c r="O2524" t="s">
        <v>32633</v>
      </c>
    </row>
    <row r="2525" spans="1:15" x14ac:dyDescent="0.25">
      <c r="A2525" s="35" t="s">
        <v>7328</v>
      </c>
      <c r="B2525" s="36" t="s">
        <v>7329</v>
      </c>
      <c r="C2525" s="36" t="str">
        <f>HYPERLINK("https://rhld.insurance.arkansas.gov/NPILookup?Npi=1225047053","1225047053")</f>
        <v>1225047053</v>
      </c>
      <c r="D2525" s="36" t="s">
        <v>35147</v>
      </c>
      <c r="E2525" s="36" t="s">
        <v>1</v>
      </c>
      <c r="F2525" s="36">
        <v>1</v>
      </c>
      <c r="G2525" s="36">
        <v>2</v>
      </c>
      <c r="H2525" s="36">
        <v>0</v>
      </c>
      <c r="I2525" s="37">
        <v>0</v>
      </c>
      <c r="J2525" s="36" t="s">
        <v>34836</v>
      </c>
      <c r="K2525" s="36" t="s">
        <v>14330</v>
      </c>
      <c r="L2525" s="36" t="s">
        <v>14330</v>
      </c>
      <c r="M2525">
        <v>2</v>
      </c>
      <c r="N2525" t="s">
        <v>14331</v>
      </c>
      <c r="O2525" t="s">
        <v>32633</v>
      </c>
    </row>
    <row r="2526" spans="1:15" x14ac:dyDescent="0.25">
      <c r="A2526" s="35" t="s">
        <v>7328</v>
      </c>
      <c r="B2526" s="36" t="s">
        <v>7329</v>
      </c>
      <c r="C2526" s="36" t="str">
        <f>HYPERLINK("https://rhld.insurance.arkansas.gov/NPILookup?Npi=1225079189","1225079189")</f>
        <v>1225079189</v>
      </c>
      <c r="D2526" s="36" t="s">
        <v>35148</v>
      </c>
      <c r="E2526" s="36" t="s">
        <v>2</v>
      </c>
      <c r="F2526" s="36">
        <v>1</v>
      </c>
      <c r="G2526" s="36">
        <v>2</v>
      </c>
      <c r="H2526" s="36">
        <v>0</v>
      </c>
      <c r="I2526" s="37">
        <v>0</v>
      </c>
      <c r="J2526" s="36" t="s">
        <v>32679</v>
      </c>
      <c r="K2526" s="36" t="s">
        <v>14330</v>
      </c>
      <c r="L2526" s="36" t="s">
        <v>14330</v>
      </c>
      <c r="M2526">
        <v>3</v>
      </c>
      <c r="N2526" t="s">
        <v>14331</v>
      </c>
      <c r="O2526" t="s">
        <v>14333</v>
      </c>
    </row>
    <row r="2527" spans="1:15" x14ac:dyDescent="0.25">
      <c r="A2527" s="35" t="s">
        <v>7328</v>
      </c>
      <c r="B2527" s="36" t="s">
        <v>7329</v>
      </c>
      <c r="C2527" s="36" t="str">
        <f>HYPERLINK("https://rhld.insurance.arkansas.gov/NPILookup?Npi=1225097041","1225097041")</f>
        <v>1225097041</v>
      </c>
      <c r="D2527" s="36" t="s">
        <v>35149</v>
      </c>
      <c r="E2527" s="36" t="s">
        <v>1</v>
      </c>
      <c r="F2527" s="36">
        <v>1</v>
      </c>
      <c r="G2527" s="36">
        <v>3</v>
      </c>
      <c r="H2527" s="36">
        <v>0</v>
      </c>
      <c r="I2527" s="37">
        <v>0</v>
      </c>
      <c r="J2527" s="36" t="s">
        <v>34836</v>
      </c>
      <c r="K2527" s="36" t="s">
        <v>14330</v>
      </c>
      <c r="L2527" s="36" t="s">
        <v>14330</v>
      </c>
      <c r="M2527">
        <v>3</v>
      </c>
      <c r="N2527" t="s">
        <v>14331</v>
      </c>
      <c r="O2527" t="s">
        <v>32633</v>
      </c>
    </row>
    <row r="2528" spans="1:15" x14ac:dyDescent="0.25">
      <c r="A2528" s="35" t="s">
        <v>7328</v>
      </c>
      <c r="B2528" s="36" t="s">
        <v>7329</v>
      </c>
      <c r="C2528" s="36" t="str">
        <f>HYPERLINK("https://rhld.insurance.arkansas.gov/NPILookup?Npi=1225126626","1225126626")</f>
        <v>1225126626</v>
      </c>
      <c r="D2528" s="36" t="s">
        <v>35150</v>
      </c>
      <c r="E2528" s="36" t="s">
        <v>1</v>
      </c>
      <c r="F2528" s="36">
        <v>1</v>
      </c>
      <c r="G2528" s="36">
        <v>3</v>
      </c>
      <c r="H2528" s="36">
        <v>0</v>
      </c>
      <c r="I2528" s="37">
        <v>0</v>
      </c>
      <c r="J2528" s="36" t="s">
        <v>34836</v>
      </c>
      <c r="K2528" s="36" t="s">
        <v>14330</v>
      </c>
      <c r="L2528" s="36" t="s">
        <v>14330</v>
      </c>
      <c r="M2528">
        <v>3</v>
      </c>
      <c r="N2528" t="s">
        <v>14331</v>
      </c>
      <c r="O2528" t="s">
        <v>32633</v>
      </c>
    </row>
    <row r="2529" spans="1:15" x14ac:dyDescent="0.25">
      <c r="A2529" s="35" t="s">
        <v>7328</v>
      </c>
      <c r="B2529" s="36" t="s">
        <v>7329</v>
      </c>
      <c r="C2529" s="36" t="str">
        <f>HYPERLINK("https://rhld.insurance.arkansas.gov/NPILookup?Npi=1225261282","1225261282")</f>
        <v>1225261282</v>
      </c>
      <c r="D2529" s="36" t="s">
        <v>35151</v>
      </c>
      <c r="E2529" s="36" t="s">
        <v>1</v>
      </c>
      <c r="F2529" s="36">
        <v>1</v>
      </c>
      <c r="G2529" s="36">
        <v>3</v>
      </c>
      <c r="H2529" s="36">
        <v>0</v>
      </c>
      <c r="I2529" s="37">
        <v>0</v>
      </c>
      <c r="J2529" s="36" t="s">
        <v>32654</v>
      </c>
      <c r="K2529" s="36" t="s">
        <v>14330</v>
      </c>
      <c r="L2529" s="36" t="s">
        <v>14330</v>
      </c>
      <c r="M2529">
        <v>2</v>
      </c>
      <c r="N2529" t="s">
        <v>14331</v>
      </c>
      <c r="O2529" t="s">
        <v>32633</v>
      </c>
    </row>
    <row r="2530" spans="1:15" x14ac:dyDescent="0.25">
      <c r="A2530" s="35" t="s">
        <v>7328</v>
      </c>
      <c r="B2530" s="36" t="s">
        <v>7329</v>
      </c>
      <c r="C2530" s="36" t="str">
        <f>HYPERLINK("https://rhld.insurance.arkansas.gov/NPILookup?Npi=1225304801","1225304801")</f>
        <v>1225304801</v>
      </c>
      <c r="D2530" s="36" t="s">
        <v>35152</v>
      </c>
      <c r="E2530" s="36" t="s">
        <v>2</v>
      </c>
      <c r="F2530" s="36">
        <v>1</v>
      </c>
      <c r="G2530" s="36">
        <v>2</v>
      </c>
      <c r="H2530" s="36">
        <v>0</v>
      </c>
      <c r="I2530" s="37">
        <v>0</v>
      </c>
      <c r="J2530" s="36" t="s">
        <v>32679</v>
      </c>
      <c r="K2530" s="36" t="s">
        <v>14330</v>
      </c>
      <c r="L2530" s="36" t="s">
        <v>14330</v>
      </c>
      <c r="M2530">
        <v>2</v>
      </c>
      <c r="N2530" t="s">
        <v>14331</v>
      </c>
      <c r="O2530" t="s">
        <v>14333</v>
      </c>
    </row>
    <row r="2531" spans="1:15" x14ac:dyDescent="0.25">
      <c r="A2531" s="35" t="s">
        <v>7328</v>
      </c>
      <c r="B2531" s="36" t="s">
        <v>7329</v>
      </c>
      <c r="C2531" s="36" t="str">
        <f>HYPERLINK("https://rhld.insurance.arkansas.gov/NPILookup?Npi=1225339385","1225339385")</f>
        <v>1225339385</v>
      </c>
      <c r="D2531" s="36" t="s">
        <v>35153</v>
      </c>
      <c r="E2531" s="36" t="s">
        <v>2</v>
      </c>
      <c r="F2531" s="36">
        <v>1</v>
      </c>
      <c r="G2531" s="36">
        <v>2</v>
      </c>
      <c r="H2531" s="36">
        <v>0</v>
      </c>
      <c r="I2531" s="37">
        <v>0</v>
      </c>
      <c r="J2531" s="36" t="s">
        <v>32679</v>
      </c>
      <c r="K2531" s="36" t="s">
        <v>14330</v>
      </c>
      <c r="L2531" s="36" t="s">
        <v>14330</v>
      </c>
      <c r="M2531">
        <v>3</v>
      </c>
      <c r="N2531" t="s">
        <v>14331</v>
      </c>
      <c r="O2531" t="s">
        <v>14333</v>
      </c>
    </row>
    <row r="2532" spans="1:15" x14ac:dyDescent="0.25">
      <c r="A2532" s="35" t="s">
        <v>7328</v>
      </c>
      <c r="B2532" s="36" t="s">
        <v>7329</v>
      </c>
      <c r="C2532" s="36" t="str">
        <f>HYPERLINK("https://rhld.insurance.arkansas.gov/NPILookup?Npi=1225341050","1225341050")</f>
        <v>1225341050</v>
      </c>
      <c r="D2532" s="36" t="s">
        <v>35154</v>
      </c>
      <c r="E2532" s="36" t="s">
        <v>1</v>
      </c>
      <c r="F2532" s="36">
        <v>1</v>
      </c>
      <c r="G2532" s="36">
        <v>3</v>
      </c>
      <c r="H2532" s="36">
        <v>0</v>
      </c>
      <c r="I2532" s="37">
        <v>0</v>
      </c>
      <c r="J2532" s="36" t="s">
        <v>34836</v>
      </c>
      <c r="K2532" s="36" t="s">
        <v>14330</v>
      </c>
      <c r="L2532" s="36" t="s">
        <v>14330</v>
      </c>
      <c r="M2532">
        <v>3</v>
      </c>
      <c r="N2532" t="s">
        <v>14331</v>
      </c>
      <c r="O2532" t="s">
        <v>32633</v>
      </c>
    </row>
    <row r="2533" spans="1:15" x14ac:dyDescent="0.25">
      <c r="A2533" s="35" t="s">
        <v>7328</v>
      </c>
      <c r="B2533" s="36" t="s">
        <v>7329</v>
      </c>
      <c r="C2533" s="36" t="str">
        <f>HYPERLINK("https://rhld.insurance.arkansas.gov/NPILookup?Npi=1225418445","1225418445")</f>
        <v>1225418445</v>
      </c>
      <c r="D2533" s="36" t="s">
        <v>33054</v>
      </c>
      <c r="E2533" s="36" t="s">
        <v>1</v>
      </c>
      <c r="F2533" s="36">
        <v>1</v>
      </c>
      <c r="G2533" s="36">
        <v>3</v>
      </c>
      <c r="H2533" s="36">
        <v>0</v>
      </c>
      <c r="I2533" s="37">
        <v>0</v>
      </c>
      <c r="J2533" s="36" t="s">
        <v>34836</v>
      </c>
      <c r="K2533" s="36" t="s">
        <v>14330</v>
      </c>
      <c r="L2533" s="36" t="s">
        <v>14330</v>
      </c>
      <c r="M2533">
        <v>2</v>
      </c>
      <c r="N2533" t="s">
        <v>14331</v>
      </c>
      <c r="O2533" t="s">
        <v>32633</v>
      </c>
    </row>
    <row r="2534" spans="1:15" x14ac:dyDescent="0.25">
      <c r="A2534" s="35" t="s">
        <v>7328</v>
      </c>
      <c r="B2534" s="36" t="s">
        <v>7329</v>
      </c>
      <c r="C2534" s="36" t="str">
        <f>HYPERLINK("https://rhld.insurance.arkansas.gov/NPILookup?Npi=1225432917","1225432917")</f>
        <v>1225432917</v>
      </c>
      <c r="D2534" s="36" t="s">
        <v>35155</v>
      </c>
      <c r="E2534" s="36" t="s">
        <v>1</v>
      </c>
      <c r="F2534" s="36">
        <v>1</v>
      </c>
      <c r="G2534" s="36">
        <v>2</v>
      </c>
      <c r="H2534" s="36">
        <v>0</v>
      </c>
      <c r="I2534" s="37">
        <v>0</v>
      </c>
      <c r="J2534" s="36" t="s">
        <v>34836</v>
      </c>
      <c r="K2534" s="36" t="s">
        <v>14330</v>
      </c>
      <c r="L2534" s="36" t="s">
        <v>14330</v>
      </c>
      <c r="M2534">
        <v>2</v>
      </c>
      <c r="N2534" t="s">
        <v>14331</v>
      </c>
      <c r="O2534" t="s">
        <v>32633</v>
      </c>
    </row>
    <row r="2535" spans="1:15" x14ac:dyDescent="0.25">
      <c r="A2535" s="35" t="s">
        <v>7328</v>
      </c>
      <c r="B2535" s="36" t="s">
        <v>7329</v>
      </c>
      <c r="C2535" s="36" t="str">
        <f>HYPERLINK("https://rhld.insurance.arkansas.gov/NPILookup?Npi=1225478472","1225478472")</f>
        <v>1225478472</v>
      </c>
      <c r="D2535" s="36" t="s">
        <v>35156</v>
      </c>
      <c r="E2535" s="36" t="s">
        <v>1</v>
      </c>
      <c r="F2535" s="36">
        <v>1</v>
      </c>
      <c r="G2535" s="36">
        <v>2</v>
      </c>
      <c r="H2535" s="36">
        <v>0</v>
      </c>
      <c r="I2535" s="37">
        <v>0</v>
      </c>
      <c r="J2535" s="36" t="s">
        <v>32654</v>
      </c>
      <c r="K2535" s="36" t="s">
        <v>14330</v>
      </c>
      <c r="L2535" s="36" t="s">
        <v>14330</v>
      </c>
      <c r="M2535">
        <v>1</v>
      </c>
      <c r="N2535" t="s">
        <v>14331</v>
      </c>
      <c r="O2535" t="s">
        <v>32633</v>
      </c>
    </row>
    <row r="2536" spans="1:15" x14ac:dyDescent="0.25">
      <c r="A2536" s="35" t="s">
        <v>7328</v>
      </c>
      <c r="B2536" s="36" t="s">
        <v>7329</v>
      </c>
      <c r="C2536" s="36" t="str">
        <f>HYPERLINK("https://rhld.insurance.arkansas.gov/NPILookup?Npi=1225657125","1225657125")</f>
        <v>1225657125</v>
      </c>
      <c r="D2536" s="36" t="s">
        <v>35157</v>
      </c>
      <c r="E2536" s="36" t="s">
        <v>1</v>
      </c>
      <c r="F2536" s="36">
        <v>1</v>
      </c>
      <c r="G2536" s="36">
        <v>1</v>
      </c>
      <c r="H2536" s="36">
        <v>0</v>
      </c>
      <c r="I2536" s="37">
        <v>0</v>
      </c>
      <c r="J2536" s="36" t="s">
        <v>34836</v>
      </c>
      <c r="K2536" s="36" t="s">
        <v>14330</v>
      </c>
      <c r="L2536" s="36" t="s">
        <v>14330</v>
      </c>
      <c r="M2536">
        <v>3</v>
      </c>
      <c r="N2536" t="s">
        <v>14331</v>
      </c>
      <c r="O2536" t="s">
        <v>32633</v>
      </c>
    </row>
    <row r="2537" spans="1:15" x14ac:dyDescent="0.25">
      <c r="A2537" s="35" t="s">
        <v>7328</v>
      </c>
      <c r="B2537" s="36" t="s">
        <v>7329</v>
      </c>
      <c r="C2537" s="36" t="str">
        <f>HYPERLINK("https://rhld.insurance.arkansas.gov/NPILookup?Npi=1225685142","1225685142")</f>
        <v>1225685142</v>
      </c>
      <c r="D2537" s="36" t="s">
        <v>35158</v>
      </c>
      <c r="E2537" s="36" t="s">
        <v>1</v>
      </c>
      <c r="F2537" s="36">
        <v>1</v>
      </c>
      <c r="G2537" s="36">
        <v>3</v>
      </c>
      <c r="H2537" s="36">
        <v>0</v>
      </c>
      <c r="I2537" s="37">
        <v>0</v>
      </c>
      <c r="J2537" s="36" t="s">
        <v>32654</v>
      </c>
      <c r="K2537" s="36" t="s">
        <v>14330</v>
      </c>
      <c r="L2537" s="36" t="s">
        <v>14330</v>
      </c>
      <c r="M2537">
        <v>2</v>
      </c>
      <c r="N2537" t="s">
        <v>14331</v>
      </c>
      <c r="O2537" t="s">
        <v>32633</v>
      </c>
    </row>
    <row r="2538" spans="1:15" x14ac:dyDescent="0.25">
      <c r="A2538" s="35" t="s">
        <v>7328</v>
      </c>
      <c r="B2538" s="36" t="s">
        <v>7329</v>
      </c>
      <c r="C2538" s="36" t="str">
        <f>HYPERLINK("https://rhld.insurance.arkansas.gov/NPILookup?Npi=1225699325","1225699325")</f>
        <v>1225699325</v>
      </c>
      <c r="D2538" s="36" t="s">
        <v>35159</v>
      </c>
      <c r="E2538" s="36" t="s">
        <v>2</v>
      </c>
      <c r="F2538" s="36">
        <v>1</v>
      </c>
      <c r="G2538" s="36">
        <v>2</v>
      </c>
      <c r="H2538" s="36">
        <v>0</v>
      </c>
      <c r="I2538" s="37">
        <v>0</v>
      </c>
      <c r="J2538" s="36"/>
      <c r="K2538" s="36" t="s">
        <v>14330</v>
      </c>
      <c r="L2538" s="36" t="s">
        <v>14330</v>
      </c>
      <c r="M2538">
        <v>2</v>
      </c>
      <c r="N2538" t="s">
        <v>14331</v>
      </c>
      <c r="O2538" t="s">
        <v>14333</v>
      </c>
    </row>
    <row r="2539" spans="1:15" x14ac:dyDescent="0.25">
      <c r="A2539" s="35" t="s">
        <v>7328</v>
      </c>
      <c r="B2539" s="36" t="s">
        <v>7329</v>
      </c>
      <c r="C2539" s="36" t="str">
        <f>HYPERLINK("https://rhld.insurance.arkansas.gov/NPILookup?Npi=1225736325","1225736325")</f>
        <v>1225736325</v>
      </c>
      <c r="D2539" s="36" t="s">
        <v>35160</v>
      </c>
      <c r="E2539" s="36" t="s">
        <v>1</v>
      </c>
      <c r="F2539" s="36">
        <v>1</v>
      </c>
      <c r="G2539" s="36">
        <v>2</v>
      </c>
      <c r="H2539" s="36">
        <v>0</v>
      </c>
      <c r="I2539" s="37">
        <v>0</v>
      </c>
      <c r="J2539" s="36" t="s">
        <v>32654</v>
      </c>
      <c r="K2539" s="36" t="s">
        <v>14330</v>
      </c>
      <c r="L2539" s="36" t="s">
        <v>14330</v>
      </c>
      <c r="M2539">
        <v>2</v>
      </c>
      <c r="N2539" t="s">
        <v>14331</v>
      </c>
      <c r="O2539" t="s">
        <v>32633</v>
      </c>
    </row>
    <row r="2540" spans="1:15" x14ac:dyDescent="0.25">
      <c r="A2540" s="35" t="s">
        <v>7328</v>
      </c>
      <c r="B2540" s="36" t="s">
        <v>7329</v>
      </c>
      <c r="C2540" s="36" t="str">
        <f>HYPERLINK("https://rhld.insurance.arkansas.gov/NPILookup?Npi=1235187816","1235187816")</f>
        <v>1235187816</v>
      </c>
      <c r="D2540" s="36" t="s">
        <v>35161</v>
      </c>
      <c r="E2540" s="36" t="s">
        <v>1</v>
      </c>
      <c r="F2540" s="36">
        <v>1</v>
      </c>
      <c r="G2540" s="36">
        <v>2</v>
      </c>
      <c r="H2540" s="36">
        <v>0</v>
      </c>
      <c r="I2540" s="37">
        <v>0</v>
      </c>
      <c r="J2540" s="36" t="s">
        <v>34836</v>
      </c>
      <c r="K2540" s="36" t="s">
        <v>14330</v>
      </c>
      <c r="L2540" s="36" t="s">
        <v>14330</v>
      </c>
      <c r="M2540">
        <v>3</v>
      </c>
      <c r="N2540" t="s">
        <v>14331</v>
      </c>
      <c r="O2540" t="s">
        <v>32633</v>
      </c>
    </row>
    <row r="2541" spans="1:15" x14ac:dyDescent="0.25">
      <c r="A2541" s="35" t="s">
        <v>7328</v>
      </c>
      <c r="B2541" s="36" t="s">
        <v>7329</v>
      </c>
      <c r="C2541" s="36" t="str">
        <f>HYPERLINK("https://rhld.insurance.arkansas.gov/NPILookup?Npi=1235195785","1235195785")</f>
        <v>1235195785</v>
      </c>
      <c r="D2541" s="36" t="s">
        <v>35162</v>
      </c>
      <c r="E2541" s="36" t="s">
        <v>1</v>
      </c>
      <c r="F2541" s="36">
        <v>1</v>
      </c>
      <c r="G2541" s="36">
        <v>3</v>
      </c>
      <c r="H2541" s="36">
        <v>0</v>
      </c>
      <c r="I2541" s="37">
        <v>0</v>
      </c>
      <c r="J2541" s="36" t="s">
        <v>32654</v>
      </c>
      <c r="K2541" s="36" t="s">
        <v>14330</v>
      </c>
      <c r="L2541" s="36" t="s">
        <v>14330</v>
      </c>
      <c r="M2541">
        <v>2</v>
      </c>
      <c r="N2541" t="s">
        <v>14331</v>
      </c>
      <c r="O2541" t="s">
        <v>32633</v>
      </c>
    </row>
    <row r="2542" spans="1:15" x14ac:dyDescent="0.25">
      <c r="A2542" s="35" t="s">
        <v>7328</v>
      </c>
      <c r="B2542" s="36" t="s">
        <v>7329</v>
      </c>
      <c r="C2542" s="36" t="str">
        <f>HYPERLINK("https://rhld.insurance.arkansas.gov/NPILookup?Npi=1235242298","1235242298")</f>
        <v>1235242298</v>
      </c>
      <c r="D2542" s="36" t="s">
        <v>35163</v>
      </c>
      <c r="E2542" s="36" t="s">
        <v>2</v>
      </c>
      <c r="F2542" s="36">
        <v>1</v>
      </c>
      <c r="G2542" s="36">
        <v>2</v>
      </c>
      <c r="H2542" s="36">
        <v>0</v>
      </c>
      <c r="I2542" s="37">
        <v>0</v>
      </c>
      <c r="J2542" s="36" t="s">
        <v>32679</v>
      </c>
      <c r="K2542" s="36" t="s">
        <v>14330</v>
      </c>
      <c r="L2542" s="36" t="s">
        <v>14330</v>
      </c>
      <c r="M2542">
        <v>3</v>
      </c>
      <c r="N2542" t="s">
        <v>14331</v>
      </c>
      <c r="O2542" t="s">
        <v>14333</v>
      </c>
    </row>
    <row r="2543" spans="1:15" x14ac:dyDescent="0.25">
      <c r="A2543" s="35" t="s">
        <v>7328</v>
      </c>
      <c r="B2543" s="36" t="s">
        <v>7329</v>
      </c>
      <c r="C2543" s="36" t="str">
        <f>HYPERLINK("https://rhld.insurance.arkansas.gov/NPILookup?Npi=1235295908","1235295908")</f>
        <v>1235295908</v>
      </c>
      <c r="D2543" s="36" t="s">
        <v>35164</v>
      </c>
      <c r="E2543" s="36" t="s">
        <v>1</v>
      </c>
      <c r="F2543" s="36">
        <v>1</v>
      </c>
      <c r="G2543" s="36">
        <v>3</v>
      </c>
      <c r="H2543" s="36">
        <v>0</v>
      </c>
      <c r="I2543" s="37">
        <v>0</v>
      </c>
      <c r="J2543" s="36" t="s">
        <v>34836</v>
      </c>
      <c r="K2543" s="36" t="s">
        <v>14330</v>
      </c>
      <c r="L2543" s="36" t="s">
        <v>14330</v>
      </c>
      <c r="M2543">
        <v>3</v>
      </c>
      <c r="N2543" t="s">
        <v>14331</v>
      </c>
      <c r="O2543" t="s">
        <v>32633</v>
      </c>
    </row>
    <row r="2544" spans="1:15" x14ac:dyDescent="0.25">
      <c r="A2544" s="35" t="s">
        <v>7328</v>
      </c>
      <c r="B2544" s="36" t="s">
        <v>7329</v>
      </c>
      <c r="C2544" s="36" t="str">
        <f>HYPERLINK("https://rhld.insurance.arkansas.gov/NPILookup?Npi=1235397308","1235397308")</f>
        <v>1235397308</v>
      </c>
      <c r="D2544" s="36" t="s">
        <v>35165</v>
      </c>
      <c r="E2544" s="36" t="s">
        <v>1</v>
      </c>
      <c r="F2544" s="36">
        <v>1</v>
      </c>
      <c r="G2544" s="36">
        <v>3</v>
      </c>
      <c r="H2544" s="36">
        <v>0</v>
      </c>
      <c r="I2544" s="37">
        <v>0</v>
      </c>
      <c r="J2544" s="36" t="s">
        <v>34836</v>
      </c>
      <c r="K2544" s="36" t="s">
        <v>14330</v>
      </c>
      <c r="L2544" s="36" t="s">
        <v>14330</v>
      </c>
      <c r="M2544">
        <v>2</v>
      </c>
      <c r="N2544" t="s">
        <v>14331</v>
      </c>
      <c r="O2544" t="s">
        <v>32633</v>
      </c>
    </row>
    <row r="2545" spans="1:15" x14ac:dyDescent="0.25">
      <c r="A2545" s="35" t="s">
        <v>7328</v>
      </c>
      <c r="B2545" s="36" t="s">
        <v>7329</v>
      </c>
      <c r="C2545" s="36" t="str">
        <f>HYPERLINK("https://rhld.insurance.arkansas.gov/NPILookup?Npi=1235399270","1235399270")</f>
        <v>1235399270</v>
      </c>
      <c r="D2545" s="36" t="s">
        <v>35166</v>
      </c>
      <c r="E2545" s="36" t="s">
        <v>1</v>
      </c>
      <c r="F2545" s="36">
        <v>1</v>
      </c>
      <c r="G2545" s="36">
        <v>2</v>
      </c>
      <c r="H2545" s="36">
        <v>0</v>
      </c>
      <c r="I2545" s="37">
        <v>0</v>
      </c>
      <c r="J2545" s="36" t="s">
        <v>34836</v>
      </c>
      <c r="K2545" s="36" t="s">
        <v>14330</v>
      </c>
      <c r="L2545" s="36" t="s">
        <v>14330</v>
      </c>
      <c r="M2545">
        <v>2</v>
      </c>
      <c r="N2545" t="s">
        <v>14331</v>
      </c>
      <c r="O2545" t="s">
        <v>32633</v>
      </c>
    </row>
    <row r="2546" spans="1:15" x14ac:dyDescent="0.25">
      <c r="A2546" s="35" t="s">
        <v>7328</v>
      </c>
      <c r="B2546" s="36" t="s">
        <v>7329</v>
      </c>
      <c r="C2546" s="36" t="str">
        <f>HYPERLINK("https://rhld.insurance.arkansas.gov/NPILookup?Npi=1235472507","1235472507")</f>
        <v>1235472507</v>
      </c>
      <c r="D2546" s="36" t="s">
        <v>35167</v>
      </c>
      <c r="E2546" s="36" t="s">
        <v>1</v>
      </c>
      <c r="F2546" s="36">
        <v>1</v>
      </c>
      <c r="G2546" s="36">
        <v>2</v>
      </c>
      <c r="H2546" s="36">
        <v>0</v>
      </c>
      <c r="I2546" s="37">
        <v>0</v>
      </c>
      <c r="J2546" s="36" t="s">
        <v>34836</v>
      </c>
      <c r="K2546" s="36" t="s">
        <v>14330</v>
      </c>
      <c r="L2546" s="36" t="s">
        <v>14330</v>
      </c>
      <c r="M2546">
        <v>2</v>
      </c>
      <c r="N2546" t="s">
        <v>14331</v>
      </c>
      <c r="O2546" t="s">
        <v>32633</v>
      </c>
    </row>
    <row r="2547" spans="1:15" x14ac:dyDescent="0.25">
      <c r="A2547" s="35" t="s">
        <v>7328</v>
      </c>
      <c r="B2547" s="36" t="s">
        <v>7329</v>
      </c>
      <c r="C2547" s="36" t="str">
        <f>HYPERLINK("https://rhld.insurance.arkansas.gov/NPILookup?Npi=1235542739","1235542739")</f>
        <v>1235542739</v>
      </c>
      <c r="D2547" s="36" t="s">
        <v>35168</v>
      </c>
      <c r="E2547" s="36" t="s">
        <v>1</v>
      </c>
      <c r="F2547" s="36">
        <v>1</v>
      </c>
      <c r="G2547" s="36">
        <v>2</v>
      </c>
      <c r="H2547" s="36">
        <v>0</v>
      </c>
      <c r="I2547" s="37">
        <v>0</v>
      </c>
      <c r="J2547" s="36" t="s">
        <v>32723</v>
      </c>
      <c r="K2547" s="36" t="s">
        <v>14330</v>
      </c>
      <c r="L2547" s="36" t="s">
        <v>14330</v>
      </c>
      <c r="M2547">
        <v>2</v>
      </c>
      <c r="N2547" t="s">
        <v>14331</v>
      </c>
      <c r="O2547" t="s">
        <v>32724</v>
      </c>
    </row>
    <row r="2548" spans="1:15" x14ac:dyDescent="0.25">
      <c r="A2548" s="35" t="s">
        <v>7328</v>
      </c>
      <c r="B2548" s="36" t="s">
        <v>7329</v>
      </c>
      <c r="C2548" s="36" t="str">
        <f>HYPERLINK("https://rhld.insurance.arkansas.gov/NPILookup?Npi=1235583329","1235583329")</f>
        <v>1235583329</v>
      </c>
      <c r="D2548" s="36" t="s">
        <v>35169</v>
      </c>
      <c r="E2548" s="36" t="s">
        <v>1</v>
      </c>
      <c r="F2548" s="36">
        <v>1</v>
      </c>
      <c r="G2548" s="36">
        <v>2</v>
      </c>
      <c r="H2548" s="36">
        <v>0</v>
      </c>
      <c r="I2548" s="37">
        <v>0</v>
      </c>
      <c r="J2548" s="36" t="s">
        <v>34836</v>
      </c>
      <c r="K2548" s="36" t="s">
        <v>14330</v>
      </c>
      <c r="L2548" s="36" t="s">
        <v>14330</v>
      </c>
      <c r="M2548">
        <v>2</v>
      </c>
      <c r="N2548" t="s">
        <v>14331</v>
      </c>
      <c r="O2548" t="s">
        <v>32633</v>
      </c>
    </row>
    <row r="2549" spans="1:15" x14ac:dyDescent="0.25">
      <c r="A2549" s="35" t="s">
        <v>7328</v>
      </c>
      <c r="B2549" s="36" t="s">
        <v>7329</v>
      </c>
      <c r="C2549" s="36" t="str">
        <f>HYPERLINK("https://rhld.insurance.arkansas.gov/NPILookup?Npi=1235661307","1235661307")</f>
        <v>1235661307</v>
      </c>
      <c r="D2549" s="36" t="s">
        <v>35170</v>
      </c>
      <c r="E2549" s="36" t="s">
        <v>1</v>
      </c>
      <c r="F2549" s="36">
        <v>1</v>
      </c>
      <c r="G2549" s="36">
        <v>2</v>
      </c>
      <c r="H2549" s="36">
        <v>0</v>
      </c>
      <c r="I2549" s="37">
        <v>0</v>
      </c>
      <c r="J2549" s="36" t="s">
        <v>34836</v>
      </c>
      <c r="K2549" s="36" t="s">
        <v>14330</v>
      </c>
      <c r="L2549" s="36" t="s">
        <v>14330</v>
      </c>
      <c r="M2549">
        <v>2</v>
      </c>
      <c r="N2549" t="s">
        <v>14331</v>
      </c>
      <c r="O2549" t="s">
        <v>32633</v>
      </c>
    </row>
    <row r="2550" spans="1:15" x14ac:dyDescent="0.25">
      <c r="A2550" s="35" t="s">
        <v>7328</v>
      </c>
      <c r="B2550" s="36" t="s">
        <v>7329</v>
      </c>
      <c r="C2550" s="36" t="str">
        <f>HYPERLINK("https://rhld.insurance.arkansas.gov/NPILookup?Npi=1235757816","1235757816")</f>
        <v>1235757816</v>
      </c>
      <c r="D2550" s="36" t="s">
        <v>35171</v>
      </c>
      <c r="E2550" s="36" t="s">
        <v>1</v>
      </c>
      <c r="F2550" s="36">
        <v>1</v>
      </c>
      <c r="G2550" s="36">
        <v>2</v>
      </c>
      <c r="H2550" s="36">
        <v>0</v>
      </c>
      <c r="I2550" s="37">
        <v>0</v>
      </c>
      <c r="J2550" s="36" t="s">
        <v>32654</v>
      </c>
      <c r="K2550" s="36" t="s">
        <v>14330</v>
      </c>
      <c r="L2550" s="36" t="s">
        <v>14330</v>
      </c>
      <c r="M2550">
        <v>2</v>
      </c>
      <c r="N2550" t="s">
        <v>14331</v>
      </c>
      <c r="O2550" t="s">
        <v>32633</v>
      </c>
    </row>
    <row r="2551" spans="1:15" x14ac:dyDescent="0.25">
      <c r="A2551" s="35" t="s">
        <v>7328</v>
      </c>
      <c r="B2551" s="36" t="s">
        <v>7329</v>
      </c>
      <c r="C2551" s="36" t="str">
        <f>HYPERLINK("https://rhld.insurance.arkansas.gov/NPILookup?Npi=1235972969","1235972969")</f>
        <v>1235972969</v>
      </c>
      <c r="D2551" s="36" t="s">
        <v>35172</v>
      </c>
      <c r="E2551" s="36" t="s">
        <v>2</v>
      </c>
      <c r="F2551" s="36">
        <v>1</v>
      </c>
      <c r="G2551" s="36">
        <v>2</v>
      </c>
      <c r="H2551" s="36">
        <v>0</v>
      </c>
      <c r="I2551" s="37">
        <v>0</v>
      </c>
      <c r="J2551" s="36"/>
      <c r="K2551" s="36" t="s">
        <v>14330</v>
      </c>
      <c r="L2551" s="36" t="s">
        <v>14330</v>
      </c>
      <c r="M2551">
        <v>1</v>
      </c>
      <c r="N2551" t="s">
        <v>14331</v>
      </c>
      <c r="O2551" t="s">
        <v>14333</v>
      </c>
    </row>
    <row r="2552" spans="1:15" x14ac:dyDescent="0.25">
      <c r="A2552" s="35" t="s">
        <v>7328</v>
      </c>
      <c r="B2552" s="36" t="s">
        <v>7329</v>
      </c>
      <c r="C2552" s="36" t="str">
        <f>HYPERLINK("https://rhld.insurance.arkansas.gov/NPILookup?Npi=1245053826","1245053826")</f>
        <v>1245053826</v>
      </c>
      <c r="D2552" s="36" t="s">
        <v>35173</v>
      </c>
      <c r="E2552" s="36" t="s">
        <v>2</v>
      </c>
      <c r="F2552" s="36">
        <v>1</v>
      </c>
      <c r="G2552" s="36">
        <v>1</v>
      </c>
      <c r="H2552" s="36">
        <v>0</v>
      </c>
      <c r="I2552" s="37">
        <v>0</v>
      </c>
      <c r="J2552" s="36"/>
      <c r="K2552" s="36" t="s">
        <v>14330</v>
      </c>
      <c r="L2552" s="36" t="s">
        <v>14330</v>
      </c>
      <c r="M2552">
        <v>1</v>
      </c>
      <c r="N2552" t="s">
        <v>14331</v>
      </c>
      <c r="O2552" t="s">
        <v>32633</v>
      </c>
    </row>
    <row r="2553" spans="1:15" x14ac:dyDescent="0.25">
      <c r="A2553" s="35" t="s">
        <v>7328</v>
      </c>
      <c r="B2553" s="36" t="s">
        <v>7329</v>
      </c>
      <c r="C2553" s="36" t="str">
        <f>HYPERLINK("https://rhld.insurance.arkansas.gov/NPILookup?Npi=1245093608","1245093608")</f>
        <v>1245093608</v>
      </c>
      <c r="D2553" s="36" t="s">
        <v>35174</v>
      </c>
      <c r="E2553" s="36" t="s">
        <v>2</v>
      </c>
      <c r="F2553" s="36">
        <v>1</v>
      </c>
      <c r="G2553" s="36">
        <v>1</v>
      </c>
      <c r="H2553" s="36">
        <v>0</v>
      </c>
      <c r="I2553" s="37">
        <v>0</v>
      </c>
      <c r="J2553" s="36"/>
      <c r="K2553" s="36" t="s">
        <v>14330</v>
      </c>
      <c r="L2553" s="36" t="s">
        <v>14330</v>
      </c>
      <c r="M2553">
        <v>3</v>
      </c>
      <c r="N2553" t="s">
        <v>14331</v>
      </c>
      <c r="O2553" t="s">
        <v>32633</v>
      </c>
    </row>
    <row r="2554" spans="1:15" x14ac:dyDescent="0.25">
      <c r="A2554" s="35" t="s">
        <v>7328</v>
      </c>
      <c r="B2554" s="36" t="s">
        <v>7329</v>
      </c>
      <c r="C2554" s="36" t="str">
        <f>HYPERLINK("https://rhld.insurance.arkansas.gov/NPILookup?Npi=1245224625","1245224625")</f>
        <v>1245224625</v>
      </c>
      <c r="D2554" s="36" t="s">
        <v>35175</v>
      </c>
      <c r="E2554" s="36" t="s">
        <v>1</v>
      </c>
      <c r="F2554" s="36">
        <v>1</v>
      </c>
      <c r="G2554" s="36">
        <v>3</v>
      </c>
      <c r="H2554" s="36">
        <v>0</v>
      </c>
      <c r="I2554" s="37">
        <v>0</v>
      </c>
      <c r="J2554" s="36" t="s">
        <v>34836</v>
      </c>
      <c r="K2554" s="36" t="s">
        <v>14330</v>
      </c>
      <c r="L2554" s="36" t="s">
        <v>14330</v>
      </c>
      <c r="M2554">
        <v>2</v>
      </c>
      <c r="N2554" t="s">
        <v>14331</v>
      </c>
      <c r="O2554" t="s">
        <v>32633</v>
      </c>
    </row>
    <row r="2555" spans="1:15" x14ac:dyDescent="0.25">
      <c r="A2555" s="35" t="s">
        <v>7328</v>
      </c>
      <c r="B2555" s="36" t="s">
        <v>7329</v>
      </c>
      <c r="C2555" s="36" t="str">
        <f>HYPERLINK("https://rhld.insurance.arkansas.gov/NPILookup?Npi=1245248574","1245248574")</f>
        <v>1245248574</v>
      </c>
      <c r="D2555" s="36" t="s">
        <v>35176</v>
      </c>
      <c r="E2555" s="36" t="s">
        <v>1</v>
      </c>
      <c r="F2555" s="36">
        <v>1</v>
      </c>
      <c r="G2555" s="36">
        <v>2</v>
      </c>
      <c r="H2555" s="36">
        <v>0</v>
      </c>
      <c r="I2555" s="37">
        <v>0</v>
      </c>
      <c r="J2555" s="36" t="s">
        <v>34836</v>
      </c>
      <c r="K2555" s="36" t="s">
        <v>14330</v>
      </c>
      <c r="L2555" s="36" t="s">
        <v>14330</v>
      </c>
      <c r="M2555">
        <v>3</v>
      </c>
      <c r="N2555" t="s">
        <v>14331</v>
      </c>
      <c r="O2555" t="s">
        <v>32633</v>
      </c>
    </row>
    <row r="2556" spans="1:15" x14ac:dyDescent="0.25">
      <c r="A2556" s="35" t="s">
        <v>7328</v>
      </c>
      <c r="B2556" s="36" t="s">
        <v>7329</v>
      </c>
      <c r="C2556" s="36" t="str">
        <f>HYPERLINK("https://rhld.insurance.arkansas.gov/NPILookup?Npi=1245289305","1245289305")</f>
        <v>1245289305</v>
      </c>
      <c r="D2556" s="36" t="s">
        <v>35177</v>
      </c>
      <c r="E2556" s="36" t="s">
        <v>1</v>
      </c>
      <c r="F2556" s="36">
        <v>1</v>
      </c>
      <c r="G2556" s="36">
        <v>3</v>
      </c>
      <c r="H2556" s="36">
        <v>0</v>
      </c>
      <c r="I2556" s="37">
        <v>0</v>
      </c>
      <c r="J2556" s="36" t="s">
        <v>34836</v>
      </c>
      <c r="K2556" s="36" t="s">
        <v>14330</v>
      </c>
      <c r="L2556" s="36" t="s">
        <v>14330</v>
      </c>
      <c r="M2556">
        <v>3</v>
      </c>
      <c r="N2556" t="s">
        <v>14331</v>
      </c>
      <c r="O2556" t="s">
        <v>32633</v>
      </c>
    </row>
    <row r="2557" spans="1:15" x14ac:dyDescent="0.25">
      <c r="A2557" s="35" t="s">
        <v>7328</v>
      </c>
      <c r="B2557" s="36" t="s">
        <v>7329</v>
      </c>
      <c r="C2557" s="36" t="str">
        <f>HYPERLINK("https://rhld.insurance.arkansas.gov/NPILookup?Npi=1245387737","1245387737")</f>
        <v>1245387737</v>
      </c>
      <c r="D2557" s="36" t="s">
        <v>35178</v>
      </c>
      <c r="E2557" s="36" t="s">
        <v>1</v>
      </c>
      <c r="F2557" s="36">
        <v>1</v>
      </c>
      <c r="G2557" s="36">
        <v>3</v>
      </c>
      <c r="H2557" s="36">
        <v>0</v>
      </c>
      <c r="I2557" s="37">
        <v>0</v>
      </c>
      <c r="J2557" s="36" t="s">
        <v>34836</v>
      </c>
      <c r="K2557" s="36" t="s">
        <v>14330</v>
      </c>
      <c r="L2557" s="36" t="s">
        <v>14330</v>
      </c>
      <c r="M2557">
        <v>3</v>
      </c>
      <c r="N2557" t="s">
        <v>14331</v>
      </c>
      <c r="O2557" t="s">
        <v>32633</v>
      </c>
    </row>
    <row r="2558" spans="1:15" x14ac:dyDescent="0.25">
      <c r="A2558" s="35" t="s">
        <v>7328</v>
      </c>
      <c r="B2558" s="36" t="s">
        <v>7329</v>
      </c>
      <c r="C2558" s="36" t="str">
        <f>HYPERLINK("https://rhld.insurance.arkansas.gov/NPILookup?Npi=1245434836","1245434836")</f>
        <v>1245434836</v>
      </c>
      <c r="D2558" s="36" t="s">
        <v>35179</v>
      </c>
      <c r="E2558" s="36" t="s">
        <v>1</v>
      </c>
      <c r="F2558" s="36">
        <v>1</v>
      </c>
      <c r="G2558" s="36">
        <v>3</v>
      </c>
      <c r="H2558" s="36">
        <v>0</v>
      </c>
      <c r="I2558" s="37">
        <v>0</v>
      </c>
      <c r="J2558" s="36" t="s">
        <v>34836</v>
      </c>
      <c r="K2558" s="36" t="s">
        <v>14330</v>
      </c>
      <c r="L2558" s="36" t="s">
        <v>14330</v>
      </c>
      <c r="M2558">
        <v>3</v>
      </c>
      <c r="N2558" t="s">
        <v>14331</v>
      </c>
      <c r="O2558" t="s">
        <v>32633</v>
      </c>
    </row>
    <row r="2559" spans="1:15" x14ac:dyDescent="0.25">
      <c r="A2559" s="35" t="s">
        <v>7328</v>
      </c>
      <c r="B2559" s="36" t="s">
        <v>7329</v>
      </c>
      <c r="C2559" s="36" t="str">
        <f>HYPERLINK("https://rhld.insurance.arkansas.gov/NPILookup?Npi=1245498906","1245498906")</f>
        <v>1245498906</v>
      </c>
      <c r="D2559" s="36" t="s">
        <v>33790</v>
      </c>
      <c r="E2559" s="36" t="s">
        <v>1</v>
      </c>
      <c r="F2559" s="36">
        <v>1</v>
      </c>
      <c r="G2559" s="36">
        <v>3</v>
      </c>
      <c r="H2559" s="36">
        <v>0</v>
      </c>
      <c r="I2559" s="37">
        <v>0</v>
      </c>
      <c r="J2559" s="36" t="s">
        <v>34836</v>
      </c>
      <c r="K2559" s="36" t="s">
        <v>14330</v>
      </c>
      <c r="L2559" s="36" t="s">
        <v>14330</v>
      </c>
      <c r="M2559">
        <v>2</v>
      </c>
      <c r="N2559" t="s">
        <v>14331</v>
      </c>
      <c r="O2559" t="s">
        <v>32633</v>
      </c>
    </row>
    <row r="2560" spans="1:15" x14ac:dyDescent="0.25">
      <c r="A2560" s="35" t="s">
        <v>7328</v>
      </c>
      <c r="B2560" s="36" t="s">
        <v>7329</v>
      </c>
      <c r="C2560" s="36" t="str">
        <f>HYPERLINK("https://rhld.insurance.arkansas.gov/NPILookup?Npi=1245506518","1245506518")</f>
        <v>1245506518</v>
      </c>
      <c r="D2560" s="36" t="s">
        <v>35180</v>
      </c>
      <c r="E2560" s="36" t="s">
        <v>1</v>
      </c>
      <c r="F2560" s="36">
        <v>1</v>
      </c>
      <c r="G2560" s="36">
        <v>2</v>
      </c>
      <c r="H2560" s="36">
        <v>0</v>
      </c>
      <c r="I2560" s="37">
        <v>0</v>
      </c>
      <c r="J2560" s="36" t="s">
        <v>34836</v>
      </c>
      <c r="K2560" s="36" t="s">
        <v>14330</v>
      </c>
      <c r="L2560" s="36" t="s">
        <v>14330</v>
      </c>
      <c r="M2560">
        <v>3</v>
      </c>
      <c r="N2560" t="s">
        <v>14331</v>
      </c>
      <c r="O2560" t="s">
        <v>32633</v>
      </c>
    </row>
    <row r="2561" spans="1:15" x14ac:dyDescent="0.25">
      <c r="A2561" s="35" t="s">
        <v>7328</v>
      </c>
      <c r="B2561" s="36" t="s">
        <v>7329</v>
      </c>
      <c r="C2561" s="36" t="str">
        <f>HYPERLINK("https://rhld.insurance.arkansas.gov/NPILookup?Npi=1245694751","1245694751")</f>
        <v>1245694751</v>
      </c>
      <c r="D2561" s="36" t="s">
        <v>35181</v>
      </c>
      <c r="E2561" s="36" t="s">
        <v>1</v>
      </c>
      <c r="F2561" s="36">
        <v>1</v>
      </c>
      <c r="G2561" s="36">
        <v>3</v>
      </c>
      <c r="H2561" s="36">
        <v>0</v>
      </c>
      <c r="I2561" s="37">
        <v>0</v>
      </c>
      <c r="J2561" s="36" t="s">
        <v>34836</v>
      </c>
      <c r="K2561" s="36" t="s">
        <v>14330</v>
      </c>
      <c r="L2561" s="36" t="s">
        <v>14330</v>
      </c>
      <c r="M2561">
        <v>3</v>
      </c>
      <c r="N2561" t="s">
        <v>14331</v>
      </c>
      <c r="O2561" t="s">
        <v>32633</v>
      </c>
    </row>
    <row r="2562" spans="1:15" x14ac:dyDescent="0.25">
      <c r="A2562" s="35" t="s">
        <v>7328</v>
      </c>
      <c r="B2562" s="36" t="s">
        <v>7329</v>
      </c>
      <c r="C2562" s="36" t="str">
        <f>HYPERLINK("https://rhld.insurance.arkansas.gov/NPILookup?Npi=1245712215","1245712215")</f>
        <v>1245712215</v>
      </c>
      <c r="D2562" s="36" t="s">
        <v>35182</v>
      </c>
      <c r="E2562" s="36" t="s">
        <v>1</v>
      </c>
      <c r="F2562" s="36">
        <v>1</v>
      </c>
      <c r="G2562" s="36">
        <v>3</v>
      </c>
      <c r="H2562" s="36">
        <v>0</v>
      </c>
      <c r="I2562" s="37">
        <v>0</v>
      </c>
      <c r="J2562" s="36" t="s">
        <v>34836</v>
      </c>
      <c r="K2562" s="36" t="s">
        <v>14330</v>
      </c>
      <c r="L2562" s="36" t="s">
        <v>14330</v>
      </c>
      <c r="M2562">
        <v>2</v>
      </c>
      <c r="N2562" t="s">
        <v>14331</v>
      </c>
      <c r="O2562" t="s">
        <v>32633</v>
      </c>
    </row>
    <row r="2563" spans="1:15" x14ac:dyDescent="0.25">
      <c r="A2563" s="35" t="s">
        <v>7328</v>
      </c>
      <c r="B2563" s="36" t="s">
        <v>7329</v>
      </c>
      <c r="C2563" s="36" t="str">
        <f>HYPERLINK("https://rhld.insurance.arkansas.gov/NPILookup?Npi=1245764620","1245764620")</f>
        <v>1245764620</v>
      </c>
      <c r="D2563" s="36" t="s">
        <v>35183</v>
      </c>
      <c r="E2563" s="36" t="s">
        <v>1</v>
      </c>
      <c r="F2563" s="36">
        <v>1</v>
      </c>
      <c r="G2563" s="36">
        <v>2</v>
      </c>
      <c r="H2563" s="36">
        <v>0</v>
      </c>
      <c r="I2563" s="37">
        <v>0</v>
      </c>
      <c r="J2563" s="36" t="s">
        <v>32654</v>
      </c>
      <c r="K2563" s="36" t="s">
        <v>14330</v>
      </c>
      <c r="L2563" s="36" t="s">
        <v>14330</v>
      </c>
      <c r="M2563">
        <v>2</v>
      </c>
      <c r="N2563" t="s">
        <v>14331</v>
      </c>
      <c r="O2563" t="s">
        <v>32633</v>
      </c>
    </row>
    <row r="2564" spans="1:15" x14ac:dyDescent="0.25">
      <c r="A2564" s="35" t="s">
        <v>7328</v>
      </c>
      <c r="B2564" s="36" t="s">
        <v>7329</v>
      </c>
      <c r="C2564" s="36" t="str">
        <f>HYPERLINK("https://rhld.insurance.arkansas.gov/NPILookup?Npi=1245799287","1245799287")</f>
        <v>1245799287</v>
      </c>
      <c r="D2564" s="36" t="s">
        <v>35184</v>
      </c>
      <c r="E2564" s="36" t="s">
        <v>2</v>
      </c>
      <c r="F2564" s="36">
        <v>1</v>
      </c>
      <c r="G2564" s="36">
        <v>2</v>
      </c>
      <c r="H2564" s="36">
        <v>0</v>
      </c>
      <c r="I2564" s="37">
        <v>0</v>
      </c>
      <c r="J2564" s="36"/>
      <c r="K2564" s="36" t="s">
        <v>14330</v>
      </c>
      <c r="L2564" s="36" t="s">
        <v>14330</v>
      </c>
      <c r="M2564">
        <v>1</v>
      </c>
      <c r="N2564" t="s">
        <v>14331</v>
      </c>
      <c r="O2564" t="s">
        <v>14333</v>
      </c>
    </row>
    <row r="2565" spans="1:15" x14ac:dyDescent="0.25">
      <c r="A2565" s="35" t="s">
        <v>7328</v>
      </c>
      <c r="B2565" s="36" t="s">
        <v>7329</v>
      </c>
      <c r="C2565" s="36" t="str">
        <f>HYPERLINK("https://rhld.insurance.arkansas.gov/NPILookup?Npi=1245912898","1245912898")</f>
        <v>1245912898</v>
      </c>
      <c r="D2565" s="36" t="s">
        <v>35185</v>
      </c>
      <c r="E2565" s="36" t="s">
        <v>1</v>
      </c>
      <c r="F2565" s="36">
        <v>1</v>
      </c>
      <c r="G2565" s="36">
        <v>1</v>
      </c>
      <c r="H2565" s="36">
        <v>0</v>
      </c>
      <c r="I2565" s="37">
        <v>0</v>
      </c>
      <c r="J2565" s="36" t="s">
        <v>32654</v>
      </c>
      <c r="K2565" s="36" t="s">
        <v>14330</v>
      </c>
      <c r="L2565" s="36" t="s">
        <v>14330</v>
      </c>
      <c r="M2565">
        <v>2</v>
      </c>
      <c r="N2565" t="s">
        <v>14331</v>
      </c>
      <c r="O2565" t="s">
        <v>32633</v>
      </c>
    </row>
    <row r="2566" spans="1:15" x14ac:dyDescent="0.25">
      <c r="A2566" s="35" t="s">
        <v>7328</v>
      </c>
      <c r="B2566" s="36" t="s">
        <v>7329</v>
      </c>
      <c r="C2566" s="36" t="str">
        <f>HYPERLINK("https://rhld.insurance.arkansas.gov/NPILookup?Npi=1255042347","1255042347")</f>
        <v>1255042347</v>
      </c>
      <c r="D2566" s="36" t="s">
        <v>35186</v>
      </c>
      <c r="E2566" s="36" t="s">
        <v>1</v>
      </c>
      <c r="F2566" s="36">
        <v>1</v>
      </c>
      <c r="G2566" s="36">
        <v>2</v>
      </c>
      <c r="H2566" s="36">
        <v>0</v>
      </c>
      <c r="I2566" s="37">
        <v>0</v>
      </c>
      <c r="J2566" s="36" t="s">
        <v>32723</v>
      </c>
      <c r="K2566" s="36" t="s">
        <v>14330</v>
      </c>
      <c r="L2566" s="36" t="s">
        <v>14330</v>
      </c>
      <c r="M2566">
        <v>2</v>
      </c>
      <c r="N2566" t="s">
        <v>14331</v>
      </c>
      <c r="O2566" t="s">
        <v>32724</v>
      </c>
    </row>
    <row r="2567" spans="1:15" x14ac:dyDescent="0.25">
      <c r="A2567" s="35" t="s">
        <v>7328</v>
      </c>
      <c r="B2567" s="36" t="s">
        <v>7329</v>
      </c>
      <c r="C2567" s="36" t="str">
        <f>HYPERLINK("https://rhld.insurance.arkansas.gov/NPILookup?Npi=1255144978","1255144978")</f>
        <v>1255144978</v>
      </c>
      <c r="D2567" s="36" t="s">
        <v>35187</v>
      </c>
      <c r="E2567" s="36" t="s">
        <v>2</v>
      </c>
      <c r="F2567" s="36">
        <v>2</v>
      </c>
      <c r="G2567" s="36">
        <v>2</v>
      </c>
      <c r="H2567" s="36">
        <v>0</v>
      </c>
      <c r="I2567" s="37">
        <v>0</v>
      </c>
      <c r="J2567" s="36" t="s">
        <v>33004</v>
      </c>
      <c r="K2567" s="36" t="s">
        <v>14330</v>
      </c>
      <c r="L2567" s="36" t="s">
        <v>14330</v>
      </c>
      <c r="M2567">
        <v>2</v>
      </c>
      <c r="N2567" t="s">
        <v>14331</v>
      </c>
      <c r="O2567" t="s">
        <v>14333</v>
      </c>
    </row>
    <row r="2568" spans="1:15" x14ac:dyDescent="0.25">
      <c r="A2568" s="35" t="s">
        <v>7328</v>
      </c>
      <c r="B2568" s="36" t="s">
        <v>7329</v>
      </c>
      <c r="C2568" s="36" t="str">
        <f>HYPERLINK("https://rhld.insurance.arkansas.gov/NPILookup?Npi=1255192084","1255192084")</f>
        <v>1255192084</v>
      </c>
      <c r="D2568" s="36" t="s">
        <v>35188</v>
      </c>
      <c r="E2568" s="36" t="s">
        <v>2</v>
      </c>
      <c r="F2568" s="36">
        <v>1</v>
      </c>
      <c r="G2568" s="36">
        <v>2</v>
      </c>
      <c r="H2568" s="36">
        <v>0</v>
      </c>
      <c r="I2568" s="37">
        <v>0</v>
      </c>
      <c r="J2568" s="36"/>
      <c r="K2568" s="36" t="s">
        <v>14330</v>
      </c>
      <c r="L2568" s="36" t="s">
        <v>14330</v>
      </c>
      <c r="M2568">
        <v>2</v>
      </c>
      <c r="N2568" t="s">
        <v>14331</v>
      </c>
      <c r="O2568" t="s">
        <v>14333</v>
      </c>
    </row>
    <row r="2569" spans="1:15" x14ac:dyDescent="0.25">
      <c r="A2569" s="35" t="s">
        <v>7328</v>
      </c>
      <c r="B2569" s="36" t="s">
        <v>7329</v>
      </c>
      <c r="C2569" s="36" t="str">
        <f>HYPERLINK("https://rhld.insurance.arkansas.gov/NPILookup?Npi=1255368270","1255368270")</f>
        <v>1255368270</v>
      </c>
      <c r="D2569" s="36" t="s">
        <v>35189</v>
      </c>
      <c r="E2569" s="36" t="s">
        <v>1</v>
      </c>
      <c r="F2569" s="36">
        <v>1</v>
      </c>
      <c r="G2569" s="36">
        <v>2</v>
      </c>
      <c r="H2569" s="36">
        <v>0</v>
      </c>
      <c r="I2569" s="37">
        <v>0</v>
      </c>
      <c r="J2569" s="36" t="s">
        <v>32654</v>
      </c>
      <c r="K2569" s="36" t="s">
        <v>14330</v>
      </c>
      <c r="L2569" s="36" t="s">
        <v>14330</v>
      </c>
      <c r="M2569">
        <v>2</v>
      </c>
      <c r="N2569" t="s">
        <v>14331</v>
      </c>
      <c r="O2569" t="s">
        <v>32633</v>
      </c>
    </row>
    <row r="2570" spans="1:15" x14ac:dyDescent="0.25">
      <c r="A2570" s="35" t="s">
        <v>7328</v>
      </c>
      <c r="B2570" s="36" t="s">
        <v>7329</v>
      </c>
      <c r="C2570" s="36" t="str">
        <f>HYPERLINK("https://rhld.insurance.arkansas.gov/NPILookup?Npi=1255379350","1255379350")</f>
        <v>1255379350</v>
      </c>
      <c r="D2570" s="36" t="s">
        <v>35190</v>
      </c>
      <c r="E2570" s="36" t="s">
        <v>2</v>
      </c>
      <c r="F2570" s="36">
        <v>1</v>
      </c>
      <c r="G2570" s="36">
        <v>2</v>
      </c>
      <c r="H2570" s="36">
        <v>0</v>
      </c>
      <c r="I2570" s="37">
        <v>0</v>
      </c>
      <c r="J2570" s="36"/>
      <c r="K2570" s="36" t="s">
        <v>14330</v>
      </c>
      <c r="L2570" s="36" t="s">
        <v>14330</v>
      </c>
      <c r="M2570">
        <v>2</v>
      </c>
      <c r="N2570" t="s">
        <v>14331</v>
      </c>
      <c r="O2570" t="s">
        <v>14333</v>
      </c>
    </row>
    <row r="2571" spans="1:15" x14ac:dyDescent="0.25">
      <c r="A2571" s="35" t="s">
        <v>7328</v>
      </c>
      <c r="B2571" s="36" t="s">
        <v>7329</v>
      </c>
      <c r="C2571" s="36" t="str">
        <f>HYPERLINK("https://rhld.insurance.arkansas.gov/NPILookup?Npi=1255446118","1255446118")</f>
        <v>1255446118</v>
      </c>
      <c r="D2571" s="36" t="s">
        <v>35191</v>
      </c>
      <c r="E2571" s="36" t="s">
        <v>1</v>
      </c>
      <c r="F2571" s="36">
        <v>1</v>
      </c>
      <c r="G2571" s="36">
        <v>2</v>
      </c>
      <c r="H2571" s="36">
        <v>0</v>
      </c>
      <c r="I2571" s="37">
        <v>0</v>
      </c>
      <c r="J2571" s="36" t="s">
        <v>34836</v>
      </c>
      <c r="K2571" s="36" t="s">
        <v>14330</v>
      </c>
      <c r="L2571" s="36" t="s">
        <v>14330</v>
      </c>
      <c r="M2571">
        <v>3</v>
      </c>
      <c r="N2571" t="s">
        <v>14331</v>
      </c>
      <c r="O2571" t="s">
        <v>32633</v>
      </c>
    </row>
    <row r="2572" spans="1:15" x14ac:dyDescent="0.25">
      <c r="A2572" s="35" t="s">
        <v>7328</v>
      </c>
      <c r="B2572" s="36" t="s">
        <v>7329</v>
      </c>
      <c r="C2572" s="36" t="str">
        <f>HYPERLINK("https://rhld.insurance.arkansas.gov/NPILookup?Npi=1255598983","1255598983")</f>
        <v>1255598983</v>
      </c>
      <c r="D2572" s="36" t="s">
        <v>33579</v>
      </c>
      <c r="E2572" s="36" t="s">
        <v>1</v>
      </c>
      <c r="F2572" s="36">
        <v>1</v>
      </c>
      <c r="G2572" s="36">
        <v>3</v>
      </c>
      <c r="H2572" s="36">
        <v>0</v>
      </c>
      <c r="I2572" s="37">
        <v>0</v>
      </c>
      <c r="J2572" s="36" t="s">
        <v>32654</v>
      </c>
      <c r="K2572" s="36" t="s">
        <v>14330</v>
      </c>
      <c r="L2572" s="36" t="s">
        <v>14330</v>
      </c>
      <c r="M2572">
        <v>3</v>
      </c>
      <c r="N2572" t="s">
        <v>14331</v>
      </c>
      <c r="O2572" t="s">
        <v>32633</v>
      </c>
    </row>
    <row r="2573" spans="1:15" x14ac:dyDescent="0.25">
      <c r="A2573" s="35" t="s">
        <v>7328</v>
      </c>
      <c r="B2573" s="36" t="s">
        <v>7329</v>
      </c>
      <c r="C2573" s="36" t="str">
        <f>HYPERLINK("https://rhld.insurance.arkansas.gov/NPILookup?Npi=1255607164","1255607164")</f>
        <v>1255607164</v>
      </c>
      <c r="D2573" s="36" t="s">
        <v>35192</v>
      </c>
      <c r="E2573" s="36" t="s">
        <v>1</v>
      </c>
      <c r="F2573" s="36">
        <v>1</v>
      </c>
      <c r="G2573" s="36">
        <v>3</v>
      </c>
      <c r="H2573" s="36">
        <v>0</v>
      </c>
      <c r="I2573" s="37">
        <v>0</v>
      </c>
      <c r="J2573" s="36" t="s">
        <v>34836</v>
      </c>
      <c r="K2573" s="36" t="s">
        <v>14330</v>
      </c>
      <c r="L2573" s="36" t="s">
        <v>14330</v>
      </c>
      <c r="M2573">
        <v>2</v>
      </c>
      <c r="N2573" t="s">
        <v>14331</v>
      </c>
      <c r="O2573" t="s">
        <v>32633</v>
      </c>
    </row>
    <row r="2574" spans="1:15" x14ac:dyDescent="0.25">
      <c r="A2574" s="35" t="s">
        <v>7328</v>
      </c>
      <c r="B2574" s="36" t="s">
        <v>7329</v>
      </c>
      <c r="C2574" s="36" t="str">
        <f>HYPERLINK("https://rhld.insurance.arkansas.gov/NPILookup?Npi=1255623609","1255623609")</f>
        <v>1255623609</v>
      </c>
      <c r="D2574" s="36" t="s">
        <v>35193</v>
      </c>
      <c r="E2574" s="36" t="s">
        <v>1</v>
      </c>
      <c r="F2574" s="36">
        <v>1</v>
      </c>
      <c r="G2574" s="36">
        <v>2</v>
      </c>
      <c r="H2574" s="36">
        <v>0</v>
      </c>
      <c r="I2574" s="37">
        <v>0</v>
      </c>
      <c r="J2574" s="36" t="s">
        <v>34836</v>
      </c>
      <c r="K2574" s="36" t="s">
        <v>14330</v>
      </c>
      <c r="L2574" s="36" t="s">
        <v>14330</v>
      </c>
      <c r="M2574">
        <v>3</v>
      </c>
      <c r="N2574" t="s">
        <v>14331</v>
      </c>
      <c r="O2574" t="s">
        <v>32633</v>
      </c>
    </row>
    <row r="2575" spans="1:15" x14ac:dyDescent="0.25">
      <c r="A2575" s="35" t="s">
        <v>7328</v>
      </c>
      <c r="B2575" s="36" t="s">
        <v>7329</v>
      </c>
      <c r="C2575" s="36" t="str">
        <f>HYPERLINK("https://rhld.insurance.arkansas.gov/NPILookup?Npi=1255627212","1255627212")</f>
        <v>1255627212</v>
      </c>
      <c r="D2575" s="36" t="s">
        <v>35194</v>
      </c>
      <c r="E2575" s="36" t="s">
        <v>1</v>
      </c>
      <c r="F2575" s="36">
        <v>1</v>
      </c>
      <c r="G2575" s="36">
        <v>3</v>
      </c>
      <c r="H2575" s="36">
        <v>0</v>
      </c>
      <c r="I2575" s="37">
        <v>0</v>
      </c>
      <c r="J2575" s="36" t="s">
        <v>32654</v>
      </c>
      <c r="K2575" s="36" t="s">
        <v>14330</v>
      </c>
      <c r="L2575" s="36" t="s">
        <v>14330</v>
      </c>
      <c r="M2575">
        <v>2</v>
      </c>
      <c r="N2575" t="s">
        <v>14331</v>
      </c>
      <c r="O2575" t="s">
        <v>32633</v>
      </c>
    </row>
    <row r="2576" spans="1:15" x14ac:dyDescent="0.25">
      <c r="A2576" s="35" t="s">
        <v>7328</v>
      </c>
      <c r="B2576" s="36" t="s">
        <v>7329</v>
      </c>
      <c r="C2576" s="36" t="str">
        <f>HYPERLINK("https://rhld.insurance.arkansas.gov/NPILookup?Npi=1255694600","1255694600")</f>
        <v>1255694600</v>
      </c>
      <c r="D2576" s="36" t="s">
        <v>35195</v>
      </c>
      <c r="E2576" s="36" t="s">
        <v>1</v>
      </c>
      <c r="F2576" s="36">
        <v>1</v>
      </c>
      <c r="G2576" s="36">
        <v>2</v>
      </c>
      <c r="H2576" s="36">
        <v>0</v>
      </c>
      <c r="I2576" s="37">
        <v>0</v>
      </c>
      <c r="J2576" s="36" t="s">
        <v>34836</v>
      </c>
      <c r="K2576" s="36" t="s">
        <v>14330</v>
      </c>
      <c r="L2576" s="36" t="s">
        <v>14330</v>
      </c>
      <c r="M2576">
        <v>1</v>
      </c>
      <c r="N2576" t="s">
        <v>14331</v>
      </c>
      <c r="O2576" t="s">
        <v>32633</v>
      </c>
    </row>
    <row r="2577" spans="1:15" x14ac:dyDescent="0.25">
      <c r="A2577" s="35" t="s">
        <v>7328</v>
      </c>
      <c r="B2577" s="36" t="s">
        <v>7329</v>
      </c>
      <c r="C2577" s="36" t="str">
        <f>HYPERLINK("https://rhld.insurance.arkansas.gov/NPILookup?Npi=1255728747","1255728747")</f>
        <v>1255728747</v>
      </c>
      <c r="D2577" s="36" t="s">
        <v>35196</v>
      </c>
      <c r="E2577" s="36" t="s">
        <v>1</v>
      </c>
      <c r="F2577" s="36">
        <v>1</v>
      </c>
      <c r="G2577" s="36">
        <v>1</v>
      </c>
      <c r="H2577" s="36">
        <v>0</v>
      </c>
      <c r="I2577" s="37">
        <v>0</v>
      </c>
      <c r="J2577" s="36" t="s">
        <v>34836</v>
      </c>
      <c r="K2577" s="36" t="s">
        <v>14330</v>
      </c>
      <c r="L2577" s="36" t="s">
        <v>14330</v>
      </c>
      <c r="M2577">
        <v>2</v>
      </c>
      <c r="N2577" t="s">
        <v>14331</v>
      </c>
      <c r="O2577" t="s">
        <v>32633</v>
      </c>
    </row>
    <row r="2578" spans="1:15" x14ac:dyDescent="0.25">
      <c r="A2578" s="35" t="s">
        <v>7328</v>
      </c>
      <c r="B2578" s="36" t="s">
        <v>7329</v>
      </c>
      <c r="C2578" s="36" t="str">
        <f>HYPERLINK("https://rhld.insurance.arkansas.gov/NPILookup?Npi=1255793444","1255793444")</f>
        <v>1255793444</v>
      </c>
      <c r="D2578" s="36" t="s">
        <v>35197</v>
      </c>
      <c r="E2578" s="36" t="s">
        <v>1</v>
      </c>
      <c r="F2578" s="36">
        <v>1</v>
      </c>
      <c r="G2578" s="36">
        <v>2</v>
      </c>
      <c r="H2578" s="36">
        <v>0</v>
      </c>
      <c r="I2578" s="37">
        <v>0</v>
      </c>
      <c r="J2578" s="36" t="s">
        <v>34836</v>
      </c>
      <c r="K2578" s="36" t="s">
        <v>14330</v>
      </c>
      <c r="L2578" s="36" t="s">
        <v>14330</v>
      </c>
      <c r="M2578">
        <v>2</v>
      </c>
      <c r="N2578" t="s">
        <v>14331</v>
      </c>
      <c r="O2578" t="s">
        <v>32633</v>
      </c>
    </row>
    <row r="2579" spans="1:15" x14ac:dyDescent="0.25">
      <c r="A2579" s="35" t="s">
        <v>7328</v>
      </c>
      <c r="B2579" s="36" t="s">
        <v>7329</v>
      </c>
      <c r="C2579" s="36" t="str">
        <f>HYPERLINK("https://rhld.insurance.arkansas.gov/NPILookup?Npi=1255950069","1255950069")</f>
        <v>1255950069</v>
      </c>
      <c r="D2579" s="36" t="s">
        <v>35198</v>
      </c>
      <c r="E2579" s="36" t="s">
        <v>1</v>
      </c>
      <c r="F2579" s="36">
        <v>1</v>
      </c>
      <c r="G2579" s="36">
        <v>2</v>
      </c>
      <c r="H2579" s="36">
        <v>0</v>
      </c>
      <c r="I2579" s="37">
        <v>0</v>
      </c>
      <c r="J2579" s="36" t="s">
        <v>34836</v>
      </c>
      <c r="K2579" s="36" t="s">
        <v>14330</v>
      </c>
      <c r="L2579" s="36" t="s">
        <v>14330</v>
      </c>
      <c r="M2579">
        <v>1</v>
      </c>
      <c r="N2579" t="s">
        <v>14331</v>
      </c>
      <c r="O2579" t="s">
        <v>32633</v>
      </c>
    </row>
    <row r="2580" spans="1:15" x14ac:dyDescent="0.25">
      <c r="A2580" s="35" t="s">
        <v>7328</v>
      </c>
      <c r="B2580" s="36" t="s">
        <v>7329</v>
      </c>
      <c r="C2580" s="36" t="str">
        <f>HYPERLINK("https://rhld.insurance.arkansas.gov/NPILookup?Npi=1255953683","1255953683")</f>
        <v>1255953683</v>
      </c>
      <c r="D2580" s="36" t="s">
        <v>35199</v>
      </c>
      <c r="E2580" s="36" t="s">
        <v>1</v>
      </c>
      <c r="F2580" s="36">
        <v>1</v>
      </c>
      <c r="G2580" s="36">
        <v>1</v>
      </c>
      <c r="H2580" s="36">
        <v>0</v>
      </c>
      <c r="I2580" s="37">
        <v>0</v>
      </c>
      <c r="J2580" s="36" t="s">
        <v>34836</v>
      </c>
      <c r="K2580" s="36" t="s">
        <v>14330</v>
      </c>
      <c r="L2580" s="36" t="s">
        <v>14330</v>
      </c>
      <c r="M2580">
        <v>3</v>
      </c>
      <c r="N2580" t="s">
        <v>14331</v>
      </c>
      <c r="O2580" t="s">
        <v>32633</v>
      </c>
    </row>
    <row r="2581" spans="1:15" x14ac:dyDescent="0.25">
      <c r="A2581" s="35" t="s">
        <v>7328</v>
      </c>
      <c r="B2581" s="36" t="s">
        <v>7329</v>
      </c>
      <c r="C2581" s="36" t="str">
        <f>HYPERLINK("https://rhld.insurance.arkansas.gov/NPILookup?Npi=1255987699","1255987699")</f>
        <v>1255987699</v>
      </c>
      <c r="D2581" s="36" t="s">
        <v>35200</v>
      </c>
      <c r="E2581" s="36" t="s">
        <v>1</v>
      </c>
      <c r="F2581" s="36">
        <v>1</v>
      </c>
      <c r="G2581" s="36">
        <v>3</v>
      </c>
      <c r="H2581" s="36">
        <v>0</v>
      </c>
      <c r="I2581" s="37">
        <v>0</v>
      </c>
      <c r="J2581" s="36" t="s">
        <v>32654</v>
      </c>
      <c r="K2581" s="36" t="s">
        <v>14330</v>
      </c>
      <c r="L2581" s="36" t="s">
        <v>14330</v>
      </c>
      <c r="M2581">
        <v>1</v>
      </c>
      <c r="N2581" t="s">
        <v>14331</v>
      </c>
      <c r="O2581" t="s">
        <v>32633</v>
      </c>
    </row>
    <row r="2582" spans="1:15" x14ac:dyDescent="0.25">
      <c r="A2582" s="35" t="s">
        <v>7328</v>
      </c>
      <c r="B2582" s="36" t="s">
        <v>7329</v>
      </c>
      <c r="C2582" s="36" t="str">
        <f>HYPERLINK("https://rhld.insurance.arkansas.gov/NPILookup?Npi=1255993317","1255993317")</f>
        <v>1255993317</v>
      </c>
      <c r="D2582" s="36" t="s">
        <v>35201</v>
      </c>
      <c r="E2582" s="36" t="s">
        <v>1</v>
      </c>
      <c r="F2582" s="36">
        <v>1</v>
      </c>
      <c r="G2582" s="36">
        <v>1</v>
      </c>
      <c r="H2582" s="36">
        <v>0</v>
      </c>
      <c r="I2582" s="37">
        <v>0</v>
      </c>
      <c r="J2582" s="36" t="s">
        <v>34836</v>
      </c>
      <c r="K2582" s="36" t="s">
        <v>14330</v>
      </c>
      <c r="L2582" s="36" t="s">
        <v>14330</v>
      </c>
      <c r="M2582">
        <v>2</v>
      </c>
      <c r="N2582" t="s">
        <v>14331</v>
      </c>
      <c r="O2582" t="s">
        <v>32633</v>
      </c>
    </row>
    <row r="2583" spans="1:15" x14ac:dyDescent="0.25">
      <c r="A2583" s="35" t="s">
        <v>7328</v>
      </c>
      <c r="B2583" s="36" t="s">
        <v>7329</v>
      </c>
      <c r="C2583" s="36" t="str">
        <f>HYPERLINK("https://rhld.insurance.arkansas.gov/NPILookup?Npi=1265058804","1265058804")</f>
        <v>1265058804</v>
      </c>
      <c r="D2583" s="36" t="s">
        <v>34697</v>
      </c>
      <c r="E2583" s="36" t="s">
        <v>2</v>
      </c>
      <c r="F2583" s="36">
        <v>1</v>
      </c>
      <c r="G2583" s="36">
        <v>2</v>
      </c>
      <c r="H2583" s="36">
        <v>0</v>
      </c>
      <c r="I2583" s="37">
        <v>0</v>
      </c>
      <c r="J2583" s="36"/>
      <c r="K2583" s="36" t="s">
        <v>14330</v>
      </c>
      <c r="L2583" s="36" t="s">
        <v>14330</v>
      </c>
      <c r="M2583">
        <v>2</v>
      </c>
      <c r="N2583" t="s">
        <v>14331</v>
      </c>
      <c r="O2583" t="s">
        <v>14333</v>
      </c>
    </row>
    <row r="2584" spans="1:15" x14ac:dyDescent="0.25">
      <c r="A2584" s="35" t="s">
        <v>7328</v>
      </c>
      <c r="B2584" s="36" t="s">
        <v>7329</v>
      </c>
      <c r="C2584" s="36" t="str">
        <f>HYPERLINK("https://rhld.insurance.arkansas.gov/NPILookup?Npi=1265168702","1265168702")</f>
        <v>1265168702</v>
      </c>
      <c r="D2584" s="36" t="s">
        <v>35202</v>
      </c>
      <c r="E2584" s="36" t="s">
        <v>2</v>
      </c>
      <c r="F2584" s="36">
        <v>1</v>
      </c>
      <c r="G2584" s="36">
        <v>2</v>
      </c>
      <c r="H2584" s="36">
        <v>0</v>
      </c>
      <c r="I2584" s="37">
        <v>0</v>
      </c>
      <c r="J2584" s="36"/>
      <c r="K2584" s="36" t="s">
        <v>14330</v>
      </c>
      <c r="L2584" s="36" t="s">
        <v>14330</v>
      </c>
      <c r="M2584">
        <v>1</v>
      </c>
      <c r="N2584" t="s">
        <v>14331</v>
      </c>
      <c r="O2584" t="s">
        <v>14333</v>
      </c>
    </row>
    <row r="2585" spans="1:15" x14ac:dyDescent="0.25">
      <c r="A2585" s="35" t="s">
        <v>7328</v>
      </c>
      <c r="B2585" s="36" t="s">
        <v>7329</v>
      </c>
      <c r="C2585" s="36" t="str">
        <f>HYPERLINK("https://rhld.insurance.arkansas.gov/NPILookup?Npi=1265255202","1265255202")</f>
        <v>1265255202</v>
      </c>
      <c r="D2585" s="36" t="s">
        <v>35203</v>
      </c>
      <c r="E2585" s="36" t="s">
        <v>2</v>
      </c>
      <c r="F2585" s="36">
        <v>1</v>
      </c>
      <c r="G2585" s="36">
        <v>1</v>
      </c>
      <c r="H2585" s="36">
        <v>0</v>
      </c>
      <c r="I2585" s="37">
        <v>0</v>
      </c>
      <c r="J2585" s="36"/>
      <c r="K2585" s="36" t="s">
        <v>14330</v>
      </c>
      <c r="L2585" s="36" t="s">
        <v>14330</v>
      </c>
      <c r="M2585">
        <v>2</v>
      </c>
      <c r="N2585" t="s">
        <v>14331</v>
      </c>
      <c r="O2585" t="s">
        <v>32633</v>
      </c>
    </row>
    <row r="2586" spans="1:15" x14ac:dyDescent="0.25">
      <c r="A2586" s="35" t="s">
        <v>7328</v>
      </c>
      <c r="B2586" s="36" t="s">
        <v>7329</v>
      </c>
      <c r="C2586" s="36" t="str">
        <f>HYPERLINK("https://rhld.insurance.arkansas.gov/NPILookup?Npi=1265278923","1265278923")</f>
        <v>1265278923</v>
      </c>
      <c r="D2586" s="36" t="s">
        <v>35204</v>
      </c>
      <c r="E2586" s="36" t="s">
        <v>2</v>
      </c>
      <c r="F2586" s="36">
        <v>2</v>
      </c>
      <c r="G2586" s="36">
        <v>2</v>
      </c>
      <c r="H2586" s="36">
        <v>0</v>
      </c>
      <c r="I2586" s="37">
        <v>0</v>
      </c>
      <c r="J2586" s="36" t="s">
        <v>33004</v>
      </c>
      <c r="K2586" s="36" t="s">
        <v>14330</v>
      </c>
      <c r="L2586" s="36" t="s">
        <v>14330</v>
      </c>
      <c r="M2586">
        <v>3</v>
      </c>
      <c r="N2586" t="s">
        <v>14331</v>
      </c>
      <c r="O2586" t="s">
        <v>14333</v>
      </c>
    </row>
    <row r="2587" spans="1:15" x14ac:dyDescent="0.25">
      <c r="A2587" s="35" t="s">
        <v>7328</v>
      </c>
      <c r="B2587" s="36" t="s">
        <v>7329</v>
      </c>
      <c r="C2587" s="36" t="str">
        <f>HYPERLINK("https://rhld.insurance.arkansas.gov/NPILookup?Npi=1265411318","1265411318")</f>
        <v>1265411318</v>
      </c>
      <c r="D2587" s="36" t="s">
        <v>35205</v>
      </c>
      <c r="E2587" s="36" t="s">
        <v>1</v>
      </c>
      <c r="F2587" s="36">
        <v>1</v>
      </c>
      <c r="G2587" s="36">
        <v>3</v>
      </c>
      <c r="H2587" s="36">
        <v>0</v>
      </c>
      <c r="I2587" s="37">
        <v>0</v>
      </c>
      <c r="J2587" s="36" t="s">
        <v>34836</v>
      </c>
      <c r="K2587" s="36" t="s">
        <v>14330</v>
      </c>
      <c r="L2587" s="36" t="s">
        <v>14330</v>
      </c>
      <c r="M2587">
        <v>3</v>
      </c>
      <c r="N2587" t="s">
        <v>14331</v>
      </c>
      <c r="O2587" t="s">
        <v>32633</v>
      </c>
    </row>
    <row r="2588" spans="1:15" x14ac:dyDescent="0.25">
      <c r="A2588" s="35" t="s">
        <v>7328</v>
      </c>
      <c r="B2588" s="36" t="s">
        <v>7329</v>
      </c>
      <c r="C2588" s="36" t="str">
        <f>HYPERLINK("https://rhld.insurance.arkansas.gov/NPILookup?Npi=1265438501","1265438501")</f>
        <v>1265438501</v>
      </c>
      <c r="D2588" s="36" t="s">
        <v>35206</v>
      </c>
      <c r="E2588" s="36" t="s">
        <v>1</v>
      </c>
      <c r="F2588" s="36">
        <v>1</v>
      </c>
      <c r="G2588" s="36">
        <v>3</v>
      </c>
      <c r="H2588" s="36">
        <v>0</v>
      </c>
      <c r="I2588" s="37">
        <v>0</v>
      </c>
      <c r="J2588" s="36" t="s">
        <v>34836</v>
      </c>
      <c r="K2588" s="36" t="s">
        <v>14330</v>
      </c>
      <c r="L2588" s="36" t="s">
        <v>14330</v>
      </c>
      <c r="M2588">
        <v>3</v>
      </c>
      <c r="N2588" t="s">
        <v>14331</v>
      </c>
      <c r="O2588" t="s">
        <v>32633</v>
      </c>
    </row>
    <row r="2589" spans="1:15" x14ac:dyDescent="0.25">
      <c r="A2589" s="35" t="s">
        <v>7328</v>
      </c>
      <c r="B2589" s="36" t="s">
        <v>7329</v>
      </c>
      <c r="C2589" s="36" t="str">
        <f>HYPERLINK("https://rhld.insurance.arkansas.gov/NPILookup?Npi=1265471494","1265471494")</f>
        <v>1265471494</v>
      </c>
      <c r="D2589" s="36" t="s">
        <v>35207</v>
      </c>
      <c r="E2589" s="36" t="s">
        <v>1</v>
      </c>
      <c r="F2589" s="36">
        <v>1</v>
      </c>
      <c r="G2589" s="36">
        <v>3</v>
      </c>
      <c r="H2589" s="36">
        <v>0</v>
      </c>
      <c r="I2589" s="37">
        <v>0</v>
      </c>
      <c r="J2589" s="36" t="s">
        <v>32654</v>
      </c>
      <c r="K2589" s="36" t="s">
        <v>14330</v>
      </c>
      <c r="L2589" s="36" t="s">
        <v>14330</v>
      </c>
      <c r="M2589">
        <v>1</v>
      </c>
      <c r="N2589" t="s">
        <v>14331</v>
      </c>
      <c r="O2589" t="s">
        <v>32633</v>
      </c>
    </row>
    <row r="2590" spans="1:15" x14ac:dyDescent="0.25">
      <c r="A2590" s="35" t="s">
        <v>7328</v>
      </c>
      <c r="B2590" s="36" t="s">
        <v>7329</v>
      </c>
      <c r="C2590" s="36" t="str">
        <f>HYPERLINK("https://rhld.insurance.arkansas.gov/NPILookup?Npi=1265480685","1265480685")</f>
        <v>1265480685</v>
      </c>
      <c r="D2590" s="36" t="s">
        <v>35208</v>
      </c>
      <c r="E2590" s="36" t="s">
        <v>1</v>
      </c>
      <c r="F2590" s="36">
        <v>1</v>
      </c>
      <c r="G2590" s="36">
        <v>1</v>
      </c>
      <c r="H2590" s="36">
        <v>0</v>
      </c>
      <c r="I2590" s="37">
        <v>0</v>
      </c>
      <c r="J2590" s="36" t="s">
        <v>34836</v>
      </c>
      <c r="K2590" s="36" t="s">
        <v>14330</v>
      </c>
      <c r="L2590" s="36" t="s">
        <v>14330</v>
      </c>
      <c r="M2590">
        <v>3</v>
      </c>
      <c r="N2590" t="s">
        <v>14331</v>
      </c>
      <c r="O2590" t="s">
        <v>32633</v>
      </c>
    </row>
    <row r="2591" spans="1:15" x14ac:dyDescent="0.25">
      <c r="A2591" s="35" t="s">
        <v>7328</v>
      </c>
      <c r="B2591" s="36" t="s">
        <v>7329</v>
      </c>
      <c r="C2591" s="36" t="str">
        <f>HYPERLINK("https://rhld.insurance.arkansas.gov/NPILookup?Npi=1265493241","1265493241")</f>
        <v>1265493241</v>
      </c>
      <c r="D2591" s="36" t="s">
        <v>35209</v>
      </c>
      <c r="E2591" s="36" t="s">
        <v>1</v>
      </c>
      <c r="F2591" s="36">
        <v>1</v>
      </c>
      <c r="G2591" s="36">
        <v>3</v>
      </c>
      <c r="H2591" s="36">
        <v>0</v>
      </c>
      <c r="I2591" s="37">
        <v>0</v>
      </c>
      <c r="J2591" s="36" t="s">
        <v>34836</v>
      </c>
      <c r="K2591" s="36" t="s">
        <v>14330</v>
      </c>
      <c r="L2591" s="36" t="s">
        <v>14330</v>
      </c>
      <c r="M2591">
        <v>3</v>
      </c>
      <c r="N2591" t="s">
        <v>14331</v>
      </c>
      <c r="O2591" t="s">
        <v>32633</v>
      </c>
    </row>
    <row r="2592" spans="1:15" x14ac:dyDescent="0.25">
      <c r="A2592" s="35" t="s">
        <v>7328</v>
      </c>
      <c r="B2592" s="36" t="s">
        <v>7329</v>
      </c>
      <c r="C2592" s="36" t="str">
        <f>HYPERLINK("https://rhld.insurance.arkansas.gov/NPILookup?Npi=1265729537","1265729537")</f>
        <v>1265729537</v>
      </c>
      <c r="D2592" s="36" t="s">
        <v>35210</v>
      </c>
      <c r="E2592" s="36" t="s">
        <v>1</v>
      </c>
      <c r="F2592" s="36">
        <v>1</v>
      </c>
      <c r="G2592" s="36">
        <v>3</v>
      </c>
      <c r="H2592" s="36">
        <v>0</v>
      </c>
      <c r="I2592" s="37">
        <v>0</v>
      </c>
      <c r="J2592" s="36" t="s">
        <v>34836</v>
      </c>
      <c r="K2592" s="36" t="s">
        <v>14330</v>
      </c>
      <c r="L2592" s="36" t="s">
        <v>14330</v>
      </c>
      <c r="M2592">
        <v>2</v>
      </c>
      <c r="N2592" t="s">
        <v>14331</v>
      </c>
      <c r="O2592" t="s">
        <v>32633</v>
      </c>
    </row>
    <row r="2593" spans="1:15" x14ac:dyDescent="0.25">
      <c r="A2593" s="35" t="s">
        <v>7328</v>
      </c>
      <c r="B2593" s="36" t="s">
        <v>7329</v>
      </c>
      <c r="C2593" s="36" t="str">
        <f>HYPERLINK("https://rhld.insurance.arkansas.gov/NPILookup?Npi=1265782601","1265782601")</f>
        <v>1265782601</v>
      </c>
      <c r="D2593" s="36" t="s">
        <v>34253</v>
      </c>
      <c r="E2593" s="36" t="s">
        <v>2</v>
      </c>
      <c r="F2593" s="36">
        <v>1</v>
      </c>
      <c r="G2593" s="36">
        <v>2</v>
      </c>
      <c r="H2593" s="36">
        <v>0</v>
      </c>
      <c r="I2593" s="37">
        <v>0</v>
      </c>
      <c r="J2593" s="36"/>
      <c r="K2593" s="36" t="s">
        <v>14330</v>
      </c>
      <c r="L2593" s="36" t="s">
        <v>14330</v>
      </c>
      <c r="M2593">
        <v>2</v>
      </c>
      <c r="N2593" t="s">
        <v>14331</v>
      </c>
      <c r="O2593" t="s">
        <v>14333</v>
      </c>
    </row>
    <row r="2594" spans="1:15" x14ac:dyDescent="0.25">
      <c r="A2594" s="35" t="s">
        <v>7328</v>
      </c>
      <c r="B2594" s="36" t="s">
        <v>7329</v>
      </c>
      <c r="C2594" s="36" t="str">
        <f>HYPERLINK("https://rhld.insurance.arkansas.gov/NPILookup?Npi=1265822035","1265822035")</f>
        <v>1265822035</v>
      </c>
      <c r="D2594" s="36" t="s">
        <v>35211</v>
      </c>
      <c r="E2594" s="36" t="s">
        <v>2</v>
      </c>
      <c r="F2594" s="36">
        <v>1</v>
      </c>
      <c r="G2594" s="36">
        <v>2</v>
      </c>
      <c r="H2594" s="36">
        <v>0</v>
      </c>
      <c r="I2594" s="37">
        <v>0</v>
      </c>
      <c r="J2594" s="36"/>
      <c r="K2594" s="36" t="s">
        <v>14330</v>
      </c>
      <c r="L2594" s="36" t="s">
        <v>14330</v>
      </c>
      <c r="M2594">
        <v>1</v>
      </c>
      <c r="N2594" t="s">
        <v>14331</v>
      </c>
      <c r="O2594" t="s">
        <v>14333</v>
      </c>
    </row>
    <row r="2595" spans="1:15" x14ac:dyDescent="0.25">
      <c r="A2595" s="35" t="s">
        <v>7328</v>
      </c>
      <c r="B2595" s="36" t="s">
        <v>7329</v>
      </c>
      <c r="C2595" s="36" t="str">
        <f>HYPERLINK("https://rhld.insurance.arkansas.gov/NPILookup?Npi=1265826093","1265826093")</f>
        <v>1265826093</v>
      </c>
      <c r="D2595" s="36" t="s">
        <v>35212</v>
      </c>
      <c r="E2595" s="36" t="s">
        <v>2</v>
      </c>
      <c r="F2595" s="36">
        <v>1</v>
      </c>
      <c r="G2595" s="36">
        <v>1</v>
      </c>
      <c r="H2595" s="36">
        <v>0</v>
      </c>
      <c r="I2595" s="37">
        <v>0</v>
      </c>
      <c r="J2595" s="36"/>
      <c r="K2595" s="36" t="s">
        <v>14330</v>
      </c>
      <c r="L2595" s="36" t="s">
        <v>14330</v>
      </c>
      <c r="M2595">
        <v>2</v>
      </c>
      <c r="N2595" t="s">
        <v>14331</v>
      </c>
      <c r="O2595" t="s">
        <v>32633</v>
      </c>
    </row>
    <row r="2596" spans="1:15" x14ac:dyDescent="0.25">
      <c r="A2596" s="35" t="s">
        <v>7328</v>
      </c>
      <c r="B2596" s="36" t="s">
        <v>7329</v>
      </c>
      <c r="C2596" s="36" t="str">
        <f>HYPERLINK("https://rhld.insurance.arkansas.gov/NPILookup?Npi=1265889638","1265889638")</f>
        <v>1265889638</v>
      </c>
      <c r="D2596" s="36" t="s">
        <v>35213</v>
      </c>
      <c r="E2596" s="36" t="s">
        <v>1</v>
      </c>
      <c r="F2596" s="36">
        <v>1</v>
      </c>
      <c r="G2596" s="36">
        <v>2</v>
      </c>
      <c r="H2596" s="36">
        <v>0</v>
      </c>
      <c r="I2596" s="37">
        <v>0</v>
      </c>
      <c r="J2596" s="36" t="s">
        <v>32654</v>
      </c>
      <c r="K2596" s="36" t="s">
        <v>14330</v>
      </c>
      <c r="L2596" s="36" t="s">
        <v>14330</v>
      </c>
      <c r="M2596">
        <v>2</v>
      </c>
      <c r="N2596" t="s">
        <v>14331</v>
      </c>
      <c r="O2596" t="s">
        <v>32633</v>
      </c>
    </row>
    <row r="2597" spans="1:15" x14ac:dyDescent="0.25">
      <c r="A2597" s="35" t="s">
        <v>7328</v>
      </c>
      <c r="B2597" s="36" t="s">
        <v>7329</v>
      </c>
      <c r="C2597" s="36" t="str">
        <f>HYPERLINK("https://rhld.insurance.arkansas.gov/NPILookup?Npi=1265925358","1265925358")</f>
        <v>1265925358</v>
      </c>
      <c r="D2597" s="36" t="s">
        <v>35214</v>
      </c>
      <c r="E2597" s="36" t="s">
        <v>2</v>
      </c>
      <c r="F2597" s="36">
        <v>1</v>
      </c>
      <c r="G2597" s="36">
        <v>2</v>
      </c>
      <c r="H2597" s="36">
        <v>0</v>
      </c>
      <c r="I2597" s="37">
        <v>0</v>
      </c>
      <c r="J2597" s="36"/>
      <c r="K2597" s="36" t="s">
        <v>14330</v>
      </c>
      <c r="L2597" s="36" t="s">
        <v>14330</v>
      </c>
      <c r="M2597">
        <v>2</v>
      </c>
      <c r="N2597" t="s">
        <v>14331</v>
      </c>
      <c r="O2597" t="s">
        <v>14333</v>
      </c>
    </row>
    <row r="2598" spans="1:15" x14ac:dyDescent="0.25">
      <c r="A2598" s="35" t="s">
        <v>7328</v>
      </c>
      <c r="B2598" s="36" t="s">
        <v>7329</v>
      </c>
      <c r="C2598" s="36" t="str">
        <f>HYPERLINK("https://rhld.insurance.arkansas.gov/NPILookup?Npi=1275204091","1275204091")</f>
        <v>1275204091</v>
      </c>
      <c r="D2598" s="36" t="s">
        <v>35215</v>
      </c>
      <c r="E2598" s="36" t="s">
        <v>1</v>
      </c>
      <c r="F2598" s="36">
        <v>1</v>
      </c>
      <c r="G2598" s="36">
        <v>2</v>
      </c>
      <c r="H2598" s="36">
        <v>0</v>
      </c>
      <c r="I2598" s="37">
        <v>0</v>
      </c>
      <c r="J2598" s="36" t="s">
        <v>32654</v>
      </c>
      <c r="K2598" s="36" t="s">
        <v>14330</v>
      </c>
      <c r="L2598" s="36" t="s">
        <v>14330</v>
      </c>
      <c r="M2598">
        <v>3</v>
      </c>
      <c r="N2598" t="s">
        <v>14331</v>
      </c>
      <c r="O2598" t="s">
        <v>32633</v>
      </c>
    </row>
    <row r="2599" spans="1:15" x14ac:dyDescent="0.25">
      <c r="A2599" s="35" t="s">
        <v>7328</v>
      </c>
      <c r="B2599" s="36" t="s">
        <v>7329</v>
      </c>
      <c r="C2599" s="36" t="str">
        <f>HYPERLINK("https://rhld.insurance.arkansas.gov/NPILookup?Npi=1275508962","1275508962")</f>
        <v>1275508962</v>
      </c>
      <c r="D2599" s="36" t="s">
        <v>35216</v>
      </c>
      <c r="E2599" s="36" t="s">
        <v>1</v>
      </c>
      <c r="F2599" s="36">
        <v>1</v>
      </c>
      <c r="G2599" s="36">
        <v>3</v>
      </c>
      <c r="H2599" s="36">
        <v>0</v>
      </c>
      <c r="I2599" s="37">
        <v>0</v>
      </c>
      <c r="J2599" s="36" t="s">
        <v>34836</v>
      </c>
      <c r="K2599" s="36" t="s">
        <v>14330</v>
      </c>
      <c r="L2599" s="36" t="s">
        <v>14330</v>
      </c>
      <c r="M2599">
        <v>3</v>
      </c>
      <c r="N2599" t="s">
        <v>14331</v>
      </c>
      <c r="O2599" t="s">
        <v>32633</v>
      </c>
    </row>
    <row r="2600" spans="1:15" x14ac:dyDescent="0.25">
      <c r="A2600" s="35" t="s">
        <v>7328</v>
      </c>
      <c r="B2600" s="36" t="s">
        <v>7329</v>
      </c>
      <c r="C2600" s="36" t="str">
        <f>HYPERLINK("https://rhld.insurance.arkansas.gov/NPILookup?Npi=1275532715","1275532715")</f>
        <v>1275532715</v>
      </c>
      <c r="D2600" s="36" t="s">
        <v>35217</v>
      </c>
      <c r="E2600" s="36" t="s">
        <v>1</v>
      </c>
      <c r="F2600" s="36">
        <v>1</v>
      </c>
      <c r="G2600" s="36">
        <v>3</v>
      </c>
      <c r="H2600" s="36">
        <v>0</v>
      </c>
      <c r="I2600" s="37">
        <v>0</v>
      </c>
      <c r="J2600" s="36" t="s">
        <v>34836</v>
      </c>
      <c r="K2600" s="36" t="s">
        <v>14330</v>
      </c>
      <c r="L2600" s="36" t="s">
        <v>14330</v>
      </c>
      <c r="M2600">
        <v>2</v>
      </c>
      <c r="N2600" t="s">
        <v>14331</v>
      </c>
      <c r="O2600" t="s">
        <v>32633</v>
      </c>
    </row>
    <row r="2601" spans="1:15" x14ac:dyDescent="0.25">
      <c r="A2601" s="35" t="s">
        <v>7328</v>
      </c>
      <c r="B2601" s="36" t="s">
        <v>7329</v>
      </c>
      <c r="C2601" s="36" t="str">
        <f>HYPERLINK("https://rhld.insurance.arkansas.gov/NPILookup?Npi=1275547978","1275547978")</f>
        <v>1275547978</v>
      </c>
      <c r="D2601" s="36" t="s">
        <v>35218</v>
      </c>
      <c r="E2601" s="36" t="s">
        <v>1</v>
      </c>
      <c r="F2601" s="36">
        <v>1</v>
      </c>
      <c r="G2601" s="36">
        <v>2</v>
      </c>
      <c r="H2601" s="36">
        <v>0</v>
      </c>
      <c r="I2601" s="37">
        <v>0</v>
      </c>
      <c r="J2601" s="36" t="s">
        <v>14335</v>
      </c>
      <c r="K2601" s="36" t="s">
        <v>14330</v>
      </c>
      <c r="L2601" s="36" t="s">
        <v>14330</v>
      </c>
      <c r="M2601">
        <v>3</v>
      </c>
      <c r="N2601" t="s">
        <v>14331</v>
      </c>
      <c r="O2601" t="s">
        <v>32633</v>
      </c>
    </row>
    <row r="2602" spans="1:15" x14ac:dyDescent="0.25">
      <c r="A2602" s="35" t="s">
        <v>7328</v>
      </c>
      <c r="B2602" s="36" t="s">
        <v>7329</v>
      </c>
      <c r="C2602" s="36" t="str">
        <f>HYPERLINK("https://rhld.insurance.arkansas.gov/NPILookup?Npi=1275556599","1275556599")</f>
        <v>1275556599</v>
      </c>
      <c r="D2602" s="36" t="s">
        <v>35219</v>
      </c>
      <c r="E2602" s="36" t="s">
        <v>1</v>
      </c>
      <c r="F2602" s="36">
        <v>1</v>
      </c>
      <c r="G2602" s="36">
        <v>3</v>
      </c>
      <c r="H2602" s="36">
        <v>0</v>
      </c>
      <c r="I2602" s="37">
        <v>0</v>
      </c>
      <c r="J2602" s="36" t="s">
        <v>34836</v>
      </c>
      <c r="K2602" s="36" t="s">
        <v>14330</v>
      </c>
      <c r="L2602" s="36" t="s">
        <v>14330</v>
      </c>
      <c r="M2602">
        <v>3</v>
      </c>
      <c r="N2602" t="s">
        <v>14331</v>
      </c>
      <c r="O2602" t="s">
        <v>32633</v>
      </c>
    </row>
    <row r="2603" spans="1:15" x14ac:dyDescent="0.25">
      <c r="A2603" s="35" t="s">
        <v>7328</v>
      </c>
      <c r="B2603" s="36" t="s">
        <v>7329</v>
      </c>
      <c r="C2603" s="36" t="str">
        <f>HYPERLINK("https://rhld.insurance.arkansas.gov/NPILookup?Npi=1275639759","1275639759")</f>
        <v>1275639759</v>
      </c>
      <c r="D2603" s="36" t="s">
        <v>35220</v>
      </c>
      <c r="E2603" s="36" t="s">
        <v>1</v>
      </c>
      <c r="F2603" s="36">
        <v>1</v>
      </c>
      <c r="G2603" s="36">
        <v>3</v>
      </c>
      <c r="H2603" s="36">
        <v>0</v>
      </c>
      <c r="I2603" s="37">
        <v>0</v>
      </c>
      <c r="J2603" s="36" t="s">
        <v>32654</v>
      </c>
      <c r="K2603" s="36" t="s">
        <v>14330</v>
      </c>
      <c r="L2603" s="36" t="s">
        <v>14330</v>
      </c>
      <c r="M2603">
        <v>2</v>
      </c>
      <c r="N2603" t="s">
        <v>14331</v>
      </c>
      <c r="O2603" t="s">
        <v>32633</v>
      </c>
    </row>
    <row r="2604" spans="1:15" x14ac:dyDescent="0.25">
      <c r="A2604" s="35" t="s">
        <v>7328</v>
      </c>
      <c r="B2604" s="36" t="s">
        <v>7329</v>
      </c>
      <c r="C2604" s="36" t="str">
        <f>HYPERLINK("https://rhld.insurance.arkansas.gov/NPILookup?Npi=1275738486","1275738486")</f>
        <v>1275738486</v>
      </c>
      <c r="D2604" s="36" t="s">
        <v>35221</v>
      </c>
      <c r="E2604" s="36" t="s">
        <v>1</v>
      </c>
      <c r="F2604" s="36">
        <v>1</v>
      </c>
      <c r="G2604" s="36">
        <v>2</v>
      </c>
      <c r="H2604" s="36">
        <v>0</v>
      </c>
      <c r="I2604" s="37">
        <v>0</v>
      </c>
      <c r="J2604" s="36" t="s">
        <v>34836</v>
      </c>
      <c r="K2604" s="36" t="s">
        <v>14330</v>
      </c>
      <c r="L2604" s="36" t="s">
        <v>14330</v>
      </c>
      <c r="M2604">
        <v>3</v>
      </c>
      <c r="N2604" t="s">
        <v>14331</v>
      </c>
      <c r="O2604" t="s">
        <v>32633</v>
      </c>
    </row>
    <row r="2605" spans="1:15" x14ac:dyDescent="0.25">
      <c r="A2605" s="35" t="s">
        <v>7328</v>
      </c>
      <c r="B2605" s="36" t="s">
        <v>7329</v>
      </c>
      <c r="C2605" s="36" t="str">
        <f>HYPERLINK("https://rhld.insurance.arkansas.gov/NPILookup?Npi=1275763757","1275763757")</f>
        <v>1275763757</v>
      </c>
      <c r="D2605" s="36" t="s">
        <v>35222</v>
      </c>
      <c r="E2605" s="36" t="s">
        <v>1</v>
      </c>
      <c r="F2605" s="36">
        <v>1</v>
      </c>
      <c r="G2605" s="36">
        <v>3</v>
      </c>
      <c r="H2605" s="36">
        <v>0</v>
      </c>
      <c r="I2605" s="37">
        <v>0</v>
      </c>
      <c r="J2605" s="36" t="s">
        <v>34836</v>
      </c>
      <c r="K2605" s="36" t="s">
        <v>14330</v>
      </c>
      <c r="L2605" s="36" t="s">
        <v>14330</v>
      </c>
      <c r="M2605">
        <v>3</v>
      </c>
      <c r="N2605" t="s">
        <v>14331</v>
      </c>
      <c r="O2605" t="s">
        <v>32633</v>
      </c>
    </row>
    <row r="2606" spans="1:15" x14ac:dyDescent="0.25">
      <c r="A2606" s="35" t="s">
        <v>7328</v>
      </c>
      <c r="B2606" s="36" t="s">
        <v>7329</v>
      </c>
      <c r="C2606" s="36" t="str">
        <f>HYPERLINK("https://rhld.insurance.arkansas.gov/NPILookup?Npi=1275793101","1275793101")</f>
        <v>1275793101</v>
      </c>
      <c r="D2606" s="36" t="s">
        <v>35223</v>
      </c>
      <c r="E2606" s="36" t="s">
        <v>1</v>
      </c>
      <c r="F2606" s="36">
        <v>1</v>
      </c>
      <c r="G2606" s="36">
        <v>3</v>
      </c>
      <c r="H2606" s="36">
        <v>0</v>
      </c>
      <c r="I2606" s="37">
        <v>0</v>
      </c>
      <c r="J2606" s="36" t="s">
        <v>34836</v>
      </c>
      <c r="K2606" s="36" t="s">
        <v>14330</v>
      </c>
      <c r="L2606" s="36" t="s">
        <v>14330</v>
      </c>
      <c r="M2606">
        <v>2</v>
      </c>
      <c r="N2606" t="s">
        <v>14331</v>
      </c>
      <c r="O2606" t="s">
        <v>32633</v>
      </c>
    </row>
    <row r="2607" spans="1:15" x14ac:dyDescent="0.25">
      <c r="A2607" s="35" t="s">
        <v>7328</v>
      </c>
      <c r="B2607" s="36" t="s">
        <v>7329</v>
      </c>
      <c r="C2607" s="36" t="str">
        <f>HYPERLINK("https://rhld.insurance.arkansas.gov/NPILookup?Npi=1275823924","1275823924")</f>
        <v>1275823924</v>
      </c>
      <c r="D2607" s="36" t="s">
        <v>35224</v>
      </c>
      <c r="E2607" s="36" t="s">
        <v>2</v>
      </c>
      <c r="F2607" s="36">
        <v>1</v>
      </c>
      <c r="G2607" s="36">
        <v>2</v>
      </c>
      <c r="H2607" s="36">
        <v>0</v>
      </c>
      <c r="I2607" s="37">
        <v>0</v>
      </c>
      <c r="J2607" s="36"/>
      <c r="K2607" s="36" t="s">
        <v>14330</v>
      </c>
      <c r="L2607" s="36" t="s">
        <v>14330</v>
      </c>
      <c r="M2607">
        <v>2</v>
      </c>
      <c r="N2607" t="s">
        <v>14331</v>
      </c>
      <c r="O2607" t="s">
        <v>14333</v>
      </c>
    </row>
    <row r="2608" spans="1:15" x14ac:dyDescent="0.25">
      <c r="A2608" s="35" t="s">
        <v>7328</v>
      </c>
      <c r="B2608" s="36" t="s">
        <v>7329</v>
      </c>
      <c r="C2608" s="36" t="str">
        <f>HYPERLINK("https://rhld.insurance.arkansas.gov/NPILookup?Npi=1275935363","1275935363")</f>
        <v>1275935363</v>
      </c>
      <c r="D2608" s="36" t="s">
        <v>35225</v>
      </c>
      <c r="E2608" s="36" t="s">
        <v>1</v>
      </c>
      <c r="F2608" s="36">
        <v>1</v>
      </c>
      <c r="G2608" s="36">
        <v>2</v>
      </c>
      <c r="H2608" s="36">
        <v>0</v>
      </c>
      <c r="I2608" s="37">
        <v>0</v>
      </c>
      <c r="J2608" s="36" t="s">
        <v>32654</v>
      </c>
      <c r="K2608" s="36" t="s">
        <v>14330</v>
      </c>
      <c r="L2608" s="36" t="s">
        <v>14330</v>
      </c>
      <c r="M2608">
        <v>3</v>
      </c>
      <c r="N2608" t="s">
        <v>14331</v>
      </c>
      <c r="O2608" t="s">
        <v>32633</v>
      </c>
    </row>
    <row r="2609" spans="1:15" x14ac:dyDescent="0.25">
      <c r="A2609" s="35" t="s">
        <v>7328</v>
      </c>
      <c r="B2609" s="36" t="s">
        <v>7329</v>
      </c>
      <c r="C2609" s="36" t="str">
        <f>HYPERLINK("https://rhld.insurance.arkansas.gov/NPILookup?Npi=1275989907","1275989907")</f>
        <v>1275989907</v>
      </c>
      <c r="D2609" s="36" t="s">
        <v>35226</v>
      </c>
      <c r="E2609" s="36" t="s">
        <v>1</v>
      </c>
      <c r="F2609" s="36">
        <v>1</v>
      </c>
      <c r="G2609" s="36">
        <v>3</v>
      </c>
      <c r="H2609" s="36">
        <v>0</v>
      </c>
      <c r="I2609" s="37">
        <v>0</v>
      </c>
      <c r="J2609" s="36" t="s">
        <v>32654</v>
      </c>
      <c r="K2609" s="36" t="s">
        <v>14330</v>
      </c>
      <c r="L2609" s="36" t="s">
        <v>14330</v>
      </c>
      <c r="M2609">
        <v>2</v>
      </c>
      <c r="N2609" t="s">
        <v>14331</v>
      </c>
      <c r="O2609" t="s">
        <v>32633</v>
      </c>
    </row>
    <row r="2610" spans="1:15" x14ac:dyDescent="0.25">
      <c r="A2610" s="35" t="s">
        <v>7328</v>
      </c>
      <c r="B2610" s="36" t="s">
        <v>7329</v>
      </c>
      <c r="C2610" s="36" t="str">
        <f>HYPERLINK("https://rhld.insurance.arkansas.gov/NPILookup?Npi=1275996944","1275996944")</f>
        <v>1275996944</v>
      </c>
      <c r="D2610" s="36" t="s">
        <v>35227</v>
      </c>
      <c r="E2610" s="36" t="s">
        <v>1</v>
      </c>
      <c r="F2610" s="36">
        <v>1</v>
      </c>
      <c r="G2610" s="36">
        <v>2</v>
      </c>
      <c r="H2610" s="36">
        <v>0</v>
      </c>
      <c r="I2610" s="37">
        <v>0</v>
      </c>
      <c r="J2610" s="36" t="s">
        <v>34836</v>
      </c>
      <c r="K2610" s="36" t="s">
        <v>14330</v>
      </c>
      <c r="L2610" s="36" t="s">
        <v>14330</v>
      </c>
      <c r="M2610">
        <v>2</v>
      </c>
      <c r="N2610" t="s">
        <v>14331</v>
      </c>
      <c r="O2610" t="s">
        <v>32633</v>
      </c>
    </row>
    <row r="2611" spans="1:15" x14ac:dyDescent="0.25">
      <c r="A2611" s="35" t="s">
        <v>7328</v>
      </c>
      <c r="B2611" s="36" t="s">
        <v>7329</v>
      </c>
      <c r="C2611" s="36" t="str">
        <f>HYPERLINK("https://rhld.insurance.arkansas.gov/NPILookup?Npi=1285099440","1285099440")</f>
        <v>1285099440</v>
      </c>
      <c r="D2611" s="36" t="s">
        <v>35228</v>
      </c>
      <c r="E2611" s="36" t="s">
        <v>2</v>
      </c>
      <c r="F2611" s="36">
        <v>1</v>
      </c>
      <c r="G2611" s="36">
        <v>2</v>
      </c>
      <c r="H2611" s="36">
        <v>0</v>
      </c>
      <c r="I2611" s="37">
        <v>0</v>
      </c>
      <c r="J2611" s="36"/>
      <c r="K2611" s="36" t="s">
        <v>14330</v>
      </c>
      <c r="L2611" s="36" t="s">
        <v>14330</v>
      </c>
      <c r="M2611">
        <v>3</v>
      </c>
      <c r="N2611" t="s">
        <v>14331</v>
      </c>
      <c r="O2611" t="s">
        <v>14333</v>
      </c>
    </row>
    <row r="2612" spans="1:15" x14ac:dyDescent="0.25">
      <c r="A2612" s="35" t="s">
        <v>7328</v>
      </c>
      <c r="B2612" s="36" t="s">
        <v>7329</v>
      </c>
      <c r="C2612" s="36" t="str">
        <f>HYPERLINK("https://rhld.insurance.arkansas.gov/NPILookup?Npi=1285154484","1285154484")</f>
        <v>1285154484</v>
      </c>
      <c r="D2612" s="36" t="s">
        <v>35229</v>
      </c>
      <c r="E2612" s="36" t="s">
        <v>1</v>
      </c>
      <c r="F2612" s="36">
        <v>1</v>
      </c>
      <c r="G2612" s="36">
        <v>3</v>
      </c>
      <c r="H2612" s="36">
        <v>0</v>
      </c>
      <c r="I2612" s="37">
        <v>0</v>
      </c>
      <c r="J2612" s="36" t="s">
        <v>34836</v>
      </c>
      <c r="K2612" s="36" t="s">
        <v>14330</v>
      </c>
      <c r="L2612" s="36" t="s">
        <v>14330</v>
      </c>
      <c r="M2612">
        <v>2</v>
      </c>
      <c r="N2612" t="s">
        <v>14331</v>
      </c>
      <c r="O2612" t="s">
        <v>32633</v>
      </c>
    </row>
    <row r="2613" spans="1:15" x14ac:dyDescent="0.25">
      <c r="A2613" s="35" t="s">
        <v>7328</v>
      </c>
      <c r="B2613" s="36" t="s">
        <v>7329</v>
      </c>
      <c r="C2613" s="36" t="str">
        <f>HYPERLINK("https://rhld.insurance.arkansas.gov/NPILookup?Npi=1285197798","1285197798")</f>
        <v>1285197798</v>
      </c>
      <c r="D2613" s="36" t="s">
        <v>35230</v>
      </c>
      <c r="E2613" s="36" t="s">
        <v>1</v>
      </c>
      <c r="F2613" s="36">
        <v>1</v>
      </c>
      <c r="G2613" s="36">
        <v>2</v>
      </c>
      <c r="H2613" s="36">
        <v>0</v>
      </c>
      <c r="I2613" s="37">
        <v>0</v>
      </c>
      <c r="J2613" s="36" t="s">
        <v>34836</v>
      </c>
      <c r="K2613" s="36" t="s">
        <v>14330</v>
      </c>
      <c r="L2613" s="36" t="s">
        <v>14330</v>
      </c>
      <c r="M2613">
        <v>2</v>
      </c>
      <c r="N2613" t="s">
        <v>14331</v>
      </c>
      <c r="O2613" t="s">
        <v>32633</v>
      </c>
    </row>
    <row r="2614" spans="1:15" x14ac:dyDescent="0.25">
      <c r="A2614" s="35" t="s">
        <v>7328</v>
      </c>
      <c r="B2614" s="36" t="s">
        <v>7329</v>
      </c>
      <c r="C2614" s="36" t="str">
        <f>HYPERLINK("https://rhld.insurance.arkansas.gov/NPILookup?Npi=1285214346","1285214346")</f>
        <v>1285214346</v>
      </c>
      <c r="D2614" s="36" t="s">
        <v>33087</v>
      </c>
      <c r="E2614" s="36" t="s">
        <v>2</v>
      </c>
      <c r="F2614" s="36">
        <v>1</v>
      </c>
      <c r="G2614" s="36">
        <v>2</v>
      </c>
      <c r="H2614" s="36">
        <v>0</v>
      </c>
      <c r="I2614" s="37">
        <v>0</v>
      </c>
      <c r="J2614" s="36"/>
      <c r="K2614" s="36" t="s">
        <v>14330</v>
      </c>
      <c r="L2614" s="36" t="s">
        <v>14330</v>
      </c>
      <c r="M2614">
        <v>2</v>
      </c>
      <c r="N2614" t="s">
        <v>14331</v>
      </c>
      <c r="O2614" t="s">
        <v>14333</v>
      </c>
    </row>
    <row r="2615" spans="1:15" x14ac:dyDescent="0.25">
      <c r="A2615" s="35" t="s">
        <v>7328</v>
      </c>
      <c r="B2615" s="36" t="s">
        <v>7329</v>
      </c>
      <c r="C2615" s="36" t="str">
        <f>HYPERLINK("https://rhld.insurance.arkansas.gov/NPILookup?Npi=1285253351","1285253351")</f>
        <v>1285253351</v>
      </c>
      <c r="D2615" s="36" t="s">
        <v>35231</v>
      </c>
      <c r="E2615" s="36" t="s">
        <v>1</v>
      </c>
      <c r="F2615" s="36">
        <v>1</v>
      </c>
      <c r="G2615" s="36">
        <v>2</v>
      </c>
      <c r="H2615" s="36">
        <v>0</v>
      </c>
      <c r="I2615" s="37">
        <v>0</v>
      </c>
      <c r="J2615" s="36" t="s">
        <v>34836</v>
      </c>
      <c r="K2615" s="36" t="s">
        <v>14330</v>
      </c>
      <c r="L2615" s="36" t="s">
        <v>14330</v>
      </c>
      <c r="M2615">
        <v>3</v>
      </c>
      <c r="N2615" t="s">
        <v>14331</v>
      </c>
      <c r="O2615" t="s">
        <v>32633</v>
      </c>
    </row>
    <row r="2616" spans="1:15" x14ac:dyDescent="0.25">
      <c r="A2616" s="35" t="s">
        <v>7328</v>
      </c>
      <c r="B2616" s="36" t="s">
        <v>7329</v>
      </c>
      <c r="C2616" s="36" t="str">
        <f>HYPERLINK("https://rhld.insurance.arkansas.gov/NPILookup?Npi=1285624817","1285624817")</f>
        <v>1285624817</v>
      </c>
      <c r="D2616" s="36" t="s">
        <v>35232</v>
      </c>
      <c r="E2616" s="36" t="s">
        <v>1</v>
      </c>
      <c r="F2616" s="36">
        <v>1</v>
      </c>
      <c r="G2616" s="36">
        <v>3</v>
      </c>
      <c r="H2616" s="36">
        <v>0</v>
      </c>
      <c r="I2616" s="37">
        <v>0</v>
      </c>
      <c r="J2616" s="36" t="s">
        <v>32654</v>
      </c>
      <c r="K2616" s="36" t="s">
        <v>14330</v>
      </c>
      <c r="L2616" s="36" t="s">
        <v>14330</v>
      </c>
      <c r="M2616">
        <v>3</v>
      </c>
      <c r="N2616" t="s">
        <v>14331</v>
      </c>
      <c r="O2616" t="s">
        <v>32633</v>
      </c>
    </row>
    <row r="2617" spans="1:15" x14ac:dyDescent="0.25">
      <c r="A2617" s="35" t="s">
        <v>7328</v>
      </c>
      <c r="B2617" s="36" t="s">
        <v>7329</v>
      </c>
      <c r="C2617" s="36" t="str">
        <f>HYPERLINK("https://rhld.insurance.arkansas.gov/NPILookup?Npi=1285628065","1285628065")</f>
        <v>1285628065</v>
      </c>
      <c r="D2617" s="36" t="s">
        <v>35233</v>
      </c>
      <c r="E2617" s="36" t="s">
        <v>1</v>
      </c>
      <c r="F2617" s="36">
        <v>1</v>
      </c>
      <c r="G2617" s="36">
        <v>3</v>
      </c>
      <c r="H2617" s="36">
        <v>0</v>
      </c>
      <c r="I2617" s="37">
        <v>0</v>
      </c>
      <c r="J2617" s="36" t="s">
        <v>34836</v>
      </c>
      <c r="K2617" s="36" t="s">
        <v>14330</v>
      </c>
      <c r="L2617" s="36" t="s">
        <v>14330</v>
      </c>
      <c r="M2617">
        <v>3</v>
      </c>
      <c r="N2617" t="s">
        <v>14331</v>
      </c>
      <c r="O2617" t="s">
        <v>32633</v>
      </c>
    </row>
    <row r="2618" spans="1:15" x14ac:dyDescent="0.25">
      <c r="A2618" s="35" t="s">
        <v>7328</v>
      </c>
      <c r="B2618" s="36" t="s">
        <v>7329</v>
      </c>
      <c r="C2618" s="36" t="str">
        <f>HYPERLINK("https://rhld.insurance.arkansas.gov/NPILookup?Npi=1285689091","1285689091")</f>
        <v>1285689091</v>
      </c>
      <c r="D2618" s="36" t="s">
        <v>35234</v>
      </c>
      <c r="E2618" s="36" t="s">
        <v>1</v>
      </c>
      <c r="F2618" s="36">
        <v>1</v>
      </c>
      <c r="G2618" s="36">
        <v>3</v>
      </c>
      <c r="H2618" s="36">
        <v>0</v>
      </c>
      <c r="I2618" s="37">
        <v>0</v>
      </c>
      <c r="J2618" s="36" t="s">
        <v>34836</v>
      </c>
      <c r="K2618" s="36" t="s">
        <v>14330</v>
      </c>
      <c r="L2618" s="36" t="s">
        <v>14330</v>
      </c>
      <c r="M2618">
        <v>3</v>
      </c>
      <c r="N2618" t="s">
        <v>14331</v>
      </c>
      <c r="O2618" t="s">
        <v>32633</v>
      </c>
    </row>
    <row r="2619" spans="1:15" x14ac:dyDescent="0.25">
      <c r="A2619" s="35" t="s">
        <v>7328</v>
      </c>
      <c r="B2619" s="36" t="s">
        <v>7329</v>
      </c>
      <c r="C2619" s="36" t="str">
        <f>HYPERLINK("https://rhld.insurance.arkansas.gov/NPILookup?Npi=1285741983","1285741983")</f>
        <v>1285741983</v>
      </c>
      <c r="D2619" s="36" t="s">
        <v>35235</v>
      </c>
      <c r="E2619" s="36" t="s">
        <v>1</v>
      </c>
      <c r="F2619" s="36">
        <v>1</v>
      </c>
      <c r="G2619" s="36">
        <v>3</v>
      </c>
      <c r="H2619" s="36">
        <v>0</v>
      </c>
      <c r="I2619" s="37">
        <v>0</v>
      </c>
      <c r="J2619" s="36" t="s">
        <v>32654</v>
      </c>
      <c r="K2619" s="36" t="s">
        <v>14330</v>
      </c>
      <c r="L2619" s="36" t="s">
        <v>14330</v>
      </c>
      <c r="M2619">
        <v>2</v>
      </c>
      <c r="N2619" t="s">
        <v>14331</v>
      </c>
      <c r="O2619" t="s">
        <v>32633</v>
      </c>
    </row>
    <row r="2620" spans="1:15" x14ac:dyDescent="0.25">
      <c r="A2620" s="35" t="s">
        <v>7328</v>
      </c>
      <c r="B2620" s="36" t="s">
        <v>7329</v>
      </c>
      <c r="C2620" s="36" t="str">
        <f>HYPERLINK("https://rhld.insurance.arkansas.gov/NPILookup?Npi=1285837708","1285837708")</f>
        <v>1285837708</v>
      </c>
      <c r="D2620" s="36" t="s">
        <v>35236</v>
      </c>
      <c r="E2620" s="36" t="s">
        <v>1</v>
      </c>
      <c r="F2620" s="36">
        <v>1</v>
      </c>
      <c r="G2620" s="36">
        <v>2</v>
      </c>
      <c r="H2620" s="36">
        <v>0</v>
      </c>
      <c r="I2620" s="37">
        <v>0</v>
      </c>
      <c r="J2620" s="36" t="s">
        <v>34836</v>
      </c>
      <c r="K2620" s="36" t="s">
        <v>14330</v>
      </c>
      <c r="L2620" s="36" t="s">
        <v>14330</v>
      </c>
      <c r="M2620">
        <v>2</v>
      </c>
      <c r="N2620" t="s">
        <v>14331</v>
      </c>
      <c r="O2620" t="s">
        <v>32633</v>
      </c>
    </row>
    <row r="2621" spans="1:15" x14ac:dyDescent="0.25">
      <c r="A2621" s="35" t="s">
        <v>7328</v>
      </c>
      <c r="B2621" s="36" t="s">
        <v>7329</v>
      </c>
      <c r="C2621" s="36" t="str">
        <f>HYPERLINK("https://rhld.insurance.arkansas.gov/NPILookup?Npi=1285865154","1285865154")</f>
        <v>1285865154</v>
      </c>
      <c r="D2621" s="36" t="s">
        <v>35237</v>
      </c>
      <c r="E2621" s="36" t="s">
        <v>1</v>
      </c>
      <c r="F2621" s="36">
        <v>1</v>
      </c>
      <c r="G2621" s="36">
        <v>2</v>
      </c>
      <c r="H2621" s="36">
        <v>0</v>
      </c>
      <c r="I2621" s="37">
        <v>0</v>
      </c>
      <c r="J2621" s="36" t="s">
        <v>32723</v>
      </c>
      <c r="K2621" s="36" t="s">
        <v>14330</v>
      </c>
      <c r="L2621" s="36" t="s">
        <v>14330</v>
      </c>
      <c r="M2621">
        <v>3</v>
      </c>
      <c r="N2621" t="s">
        <v>14331</v>
      </c>
      <c r="O2621" t="s">
        <v>32724</v>
      </c>
    </row>
    <row r="2622" spans="1:15" x14ac:dyDescent="0.25">
      <c r="A2622" s="35" t="s">
        <v>7328</v>
      </c>
      <c r="B2622" s="36" t="s">
        <v>7329</v>
      </c>
      <c r="C2622" s="36" t="str">
        <f>HYPERLINK("https://rhld.insurance.arkansas.gov/NPILookup?Npi=1285929463","1285929463")</f>
        <v>1285929463</v>
      </c>
      <c r="D2622" s="36" t="s">
        <v>35238</v>
      </c>
      <c r="E2622" s="36" t="s">
        <v>1</v>
      </c>
      <c r="F2622" s="36">
        <v>1</v>
      </c>
      <c r="G2622" s="36">
        <v>3</v>
      </c>
      <c r="H2622" s="36">
        <v>0</v>
      </c>
      <c r="I2622" s="37">
        <v>0</v>
      </c>
      <c r="J2622" s="36" t="s">
        <v>32654</v>
      </c>
      <c r="K2622" s="36" t="s">
        <v>14330</v>
      </c>
      <c r="L2622" s="36" t="s">
        <v>14330</v>
      </c>
      <c r="M2622">
        <v>2</v>
      </c>
      <c r="N2622" t="s">
        <v>14331</v>
      </c>
      <c r="O2622" t="s">
        <v>32633</v>
      </c>
    </row>
    <row r="2623" spans="1:15" x14ac:dyDescent="0.25">
      <c r="A2623" s="35" t="s">
        <v>7328</v>
      </c>
      <c r="B2623" s="36" t="s">
        <v>7329</v>
      </c>
      <c r="C2623" s="36" t="str">
        <f>HYPERLINK("https://rhld.insurance.arkansas.gov/NPILookup?Npi=1285995977","1285995977")</f>
        <v>1285995977</v>
      </c>
      <c r="D2623" s="36" t="s">
        <v>35239</v>
      </c>
      <c r="E2623" s="36" t="s">
        <v>1</v>
      </c>
      <c r="F2623" s="36">
        <v>1</v>
      </c>
      <c r="G2623" s="36">
        <v>2</v>
      </c>
      <c r="H2623" s="36">
        <v>0</v>
      </c>
      <c r="I2623" s="37">
        <v>0</v>
      </c>
      <c r="J2623" s="36" t="s">
        <v>34836</v>
      </c>
      <c r="K2623" s="36" t="s">
        <v>14330</v>
      </c>
      <c r="L2623" s="36" t="s">
        <v>14330</v>
      </c>
      <c r="M2623">
        <v>2</v>
      </c>
      <c r="N2623" t="s">
        <v>14331</v>
      </c>
      <c r="O2623" t="s">
        <v>32633</v>
      </c>
    </row>
    <row r="2624" spans="1:15" x14ac:dyDescent="0.25">
      <c r="A2624" s="35" t="s">
        <v>7328</v>
      </c>
      <c r="B2624" s="36" t="s">
        <v>7329</v>
      </c>
      <c r="C2624" s="36" t="str">
        <f>HYPERLINK("https://rhld.insurance.arkansas.gov/NPILookup?Npi=1295001600","1295001600")</f>
        <v>1295001600</v>
      </c>
      <c r="D2624" s="36" t="s">
        <v>35240</v>
      </c>
      <c r="E2624" s="36" t="s">
        <v>1</v>
      </c>
      <c r="F2624" s="36">
        <v>1</v>
      </c>
      <c r="G2624" s="36">
        <v>2</v>
      </c>
      <c r="H2624" s="36">
        <v>0</v>
      </c>
      <c r="I2624" s="37">
        <v>0</v>
      </c>
      <c r="J2624" s="36" t="s">
        <v>32654</v>
      </c>
      <c r="K2624" s="36" t="s">
        <v>14330</v>
      </c>
      <c r="L2624" s="36" t="s">
        <v>14330</v>
      </c>
      <c r="M2624">
        <v>3</v>
      </c>
      <c r="N2624" t="s">
        <v>14331</v>
      </c>
      <c r="O2624" t="s">
        <v>32633</v>
      </c>
    </row>
    <row r="2625" spans="1:15" x14ac:dyDescent="0.25">
      <c r="A2625" s="35" t="s">
        <v>7328</v>
      </c>
      <c r="B2625" s="36" t="s">
        <v>7329</v>
      </c>
      <c r="C2625" s="36" t="str">
        <f>HYPERLINK("https://rhld.insurance.arkansas.gov/NPILookup?Npi=1295295806","1295295806")</f>
        <v>1295295806</v>
      </c>
      <c r="D2625" s="36" t="s">
        <v>35241</v>
      </c>
      <c r="E2625" s="36" t="s">
        <v>1</v>
      </c>
      <c r="F2625" s="36">
        <v>1</v>
      </c>
      <c r="G2625" s="36">
        <v>3</v>
      </c>
      <c r="H2625" s="36">
        <v>0</v>
      </c>
      <c r="I2625" s="37">
        <v>0</v>
      </c>
      <c r="J2625" s="36" t="s">
        <v>34836</v>
      </c>
      <c r="K2625" s="36" t="s">
        <v>14330</v>
      </c>
      <c r="L2625" s="36" t="s">
        <v>14330</v>
      </c>
      <c r="M2625">
        <v>3</v>
      </c>
      <c r="N2625" t="s">
        <v>14331</v>
      </c>
      <c r="O2625" t="s">
        <v>32633</v>
      </c>
    </row>
    <row r="2626" spans="1:15" x14ac:dyDescent="0.25">
      <c r="A2626" s="35" t="s">
        <v>7328</v>
      </c>
      <c r="B2626" s="36" t="s">
        <v>7329</v>
      </c>
      <c r="C2626" s="36" t="str">
        <f>HYPERLINK("https://rhld.insurance.arkansas.gov/NPILookup?Npi=1295372290","1295372290")</f>
        <v>1295372290</v>
      </c>
      <c r="D2626" s="36" t="s">
        <v>35242</v>
      </c>
      <c r="E2626" s="36" t="s">
        <v>1</v>
      </c>
      <c r="F2626" s="36">
        <v>1</v>
      </c>
      <c r="G2626" s="36">
        <v>3</v>
      </c>
      <c r="H2626" s="36">
        <v>0</v>
      </c>
      <c r="I2626" s="37">
        <v>0</v>
      </c>
      <c r="J2626" s="36" t="s">
        <v>32654</v>
      </c>
      <c r="K2626" s="36" t="s">
        <v>14330</v>
      </c>
      <c r="L2626" s="36" t="s">
        <v>14330</v>
      </c>
      <c r="M2626">
        <v>3</v>
      </c>
      <c r="N2626" t="s">
        <v>14331</v>
      </c>
      <c r="O2626" t="s">
        <v>32633</v>
      </c>
    </row>
    <row r="2627" spans="1:15" x14ac:dyDescent="0.25">
      <c r="A2627" s="35" t="s">
        <v>7328</v>
      </c>
      <c r="B2627" s="36" t="s">
        <v>7329</v>
      </c>
      <c r="C2627" s="36" t="str">
        <f>HYPERLINK("https://rhld.insurance.arkansas.gov/NPILookup?Npi=1295386613","1295386613")</f>
        <v>1295386613</v>
      </c>
      <c r="D2627" s="36" t="s">
        <v>35243</v>
      </c>
      <c r="E2627" s="36" t="s">
        <v>1</v>
      </c>
      <c r="F2627" s="36">
        <v>1</v>
      </c>
      <c r="G2627" s="36">
        <v>3</v>
      </c>
      <c r="H2627" s="36">
        <v>0</v>
      </c>
      <c r="I2627" s="37">
        <v>0</v>
      </c>
      <c r="J2627" s="36" t="s">
        <v>32654</v>
      </c>
      <c r="K2627" s="36" t="s">
        <v>14330</v>
      </c>
      <c r="L2627" s="36" t="s">
        <v>14330</v>
      </c>
      <c r="M2627">
        <v>2</v>
      </c>
      <c r="N2627" t="s">
        <v>14331</v>
      </c>
      <c r="O2627" t="s">
        <v>32633</v>
      </c>
    </row>
    <row r="2628" spans="1:15" x14ac:dyDescent="0.25">
      <c r="A2628" s="35" t="s">
        <v>7328</v>
      </c>
      <c r="B2628" s="36" t="s">
        <v>7329</v>
      </c>
      <c r="C2628" s="36" t="str">
        <f>HYPERLINK("https://rhld.insurance.arkansas.gov/NPILookup?Npi=1295535623","1295535623")</f>
        <v>1295535623</v>
      </c>
      <c r="D2628" s="36" t="s">
        <v>35244</v>
      </c>
      <c r="E2628" s="36" t="s">
        <v>2</v>
      </c>
      <c r="F2628" s="36">
        <v>1</v>
      </c>
      <c r="G2628" s="36">
        <v>2</v>
      </c>
      <c r="H2628" s="36">
        <v>0</v>
      </c>
      <c r="I2628" s="37">
        <v>0</v>
      </c>
      <c r="J2628" s="36"/>
      <c r="K2628" s="36" t="s">
        <v>14330</v>
      </c>
      <c r="L2628" s="36" t="s">
        <v>14330</v>
      </c>
      <c r="M2628">
        <v>2</v>
      </c>
      <c r="N2628" t="s">
        <v>14331</v>
      </c>
      <c r="O2628" t="s">
        <v>14333</v>
      </c>
    </row>
    <row r="2629" spans="1:15" x14ac:dyDescent="0.25">
      <c r="A2629" s="35" t="s">
        <v>7328</v>
      </c>
      <c r="B2629" s="36" t="s">
        <v>7329</v>
      </c>
      <c r="C2629" s="36" t="str">
        <f>HYPERLINK("https://rhld.insurance.arkansas.gov/NPILookup?Npi=1295538247","1295538247")</f>
        <v>1295538247</v>
      </c>
      <c r="D2629" s="36" t="s">
        <v>34703</v>
      </c>
      <c r="E2629" s="36" t="s">
        <v>2</v>
      </c>
      <c r="F2629" s="36">
        <v>1</v>
      </c>
      <c r="G2629" s="36">
        <v>2</v>
      </c>
      <c r="H2629" s="36">
        <v>0</v>
      </c>
      <c r="I2629" s="37">
        <v>0</v>
      </c>
      <c r="J2629" s="36"/>
      <c r="K2629" s="36" t="s">
        <v>14330</v>
      </c>
      <c r="L2629" s="36" t="s">
        <v>14330</v>
      </c>
      <c r="M2629">
        <v>2</v>
      </c>
      <c r="N2629" t="s">
        <v>14331</v>
      </c>
      <c r="O2629" t="s">
        <v>14333</v>
      </c>
    </row>
    <row r="2630" spans="1:15" x14ac:dyDescent="0.25">
      <c r="A2630" s="35" t="s">
        <v>7328</v>
      </c>
      <c r="B2630" s="36" t="s">
        <v>7329</v>
      </c>
      <c r="C2630" s="36" t="str">
        <f>HYPERLINK("https://rhld.insurance.arkansas.gov/NPILookup?Npi=1295553782","1295553782")</f>
        <v>1295553782</v>
      </c>
      <c r="D2630" s="36" t="s">
        <v>35245</v>
      </c>
      <c r="E2630" s="36" t="s">
        <v>2</v>
      </c>
      <c r="F2630" s="36">
        <v>1</v>
      </c>
      <c r="G2630" s="36">
        <v>2</v>
      </c>
      <c r="H2630" s="36">
        <v>0</v>
      </c>
      <c r="I2630" s="37">
        <v>0</v>
      </c>
      <c r="J2630" s="36" t="s">
        <v>32679</v>
      </c>
      <c r="K2630" s="36" t="s">
        <v>14330</v>
      </c>
      <c r="L2630" s="36" t="s">
        <v>14330</v>
      </c>
      <c r="M2630">
        <v>3</v>
      </c>
      <c r="N2630" t="s">
        <v>14331</v>
      </c>
      <c r="O2630" t="s">
        <v>14333</v>
      </c>
    </row>
    <row r="2631" spans="1:15" x14ac:dyDescent="0.25">
      <c r="A2631" s="35" t="s">
        <v>7328</v>
      </c>
      <c r="B2631" s="36" t="s">
        <v>7329</v>
      </c>
      <c r="C2631" s="36" t="str">
        <f>HYPERLINK("https://rhld.insurance.arkansas.gov/NPILookup?Npi=1295770709","1295770709")</f>
        <v>1295770709</v>
      </c>
      <c r="D2631" s="36" t="s">
        <v>35246</v>
      </c>
      <c r="E2631" s="36" t="s">
        <v>1</v>
      </c>
      <c r="F2631" s="36">
        <v>1</v>
      </c>
      <c r="G2631" s="36">
        <v>3</v>
      </c>
      <c r="H2631" s="36">
        <v>0</v>
      </c>
      <c r="I2631" s="37">
        <v>0</v>
      </c>
      <c r="J2631" s="36" t="s">
        <v>34836</v>
      </c>
      <c r="K2631" s="36" t="s">
        <v>14330</v>
      </c>
      <c r="L2631" s="36" t="s">
        <v>14330</v>
      </c>
      <c r="M2631">
        <v>3</v>
      </c>
      <c r="N2631" t="s">
        <v>14331</v>
      </c>
      <c r="O2631" t="s">
        <v>32633</v>
      </c>
    </row>
    <row r="2632" spans="1:15" x14ac:dyDescent="0.25">
      <c r="A2632" s="35" t="s">
        <v>7328</v>
      </c>
      <c r="B2632" s="36" t="s">
        <v>7329</v>
      </c>
      <c r="C2632" s="36" t="str">
        <f>HYPERLINK("https://rhld.insurance.arkansas.gov/NPILookup?Npi=1295785095","1295785095")</f>
        <v>1295785095</v>
      </c>
      <c r="D2632" s="36" t="s">
        <v>35247</v>
      </c>
      <c r="E2632" s="36" t="s">
        <v>1</v>
      </c>
      <c r="F2632" s="36">
        <v>1</v>
      </c>
      <c r="G2632" s="36">
        <v>3</v>
      </c>
      <c r="H2632" s="36">
        <v>0</v>
      </c>
      <c r="I2632" s="37">
        <v>0</v>
      </c>
      <c r="J2632" s="36" t="s">
        <v>34836</v>
      </c>
      <c r="K2632" s="36" t="s">
        <v>14330</v>
      </c>
      <c r="L2632" s="36" t="s">
        <v>14330</v>
      </c>
      <c r="M2632">
        <v>3</v>
      </c>
      <c r="N2632" t="s">
        <v>14331</v>
      </c>
      <c r="O2632" t="s">
        <v>32633</v>
      </c>
    </row>
    <row r="2633" spans="1:15" x14ac:dyDescent="0.25">
      <c r="A2633" s="35" t="s">
        <v>7328</v>
      </c>
      <c r="B2633" s="36" t="s">
        <v>7329</v>
      </c>
      <c r="C2633" s="36" t="str">
        <f>HYPERLINK("https://rhld.insurance.arkansas.gov/NPILookup?Npi=1295798510","1295798510")</f>
        <v>1295798510</v>
      </c>
      <c r="D2633" s="36" t="s">
        <v>35248</v>
      </c>
      <c r="E2633" s="36" t="s">
        <v>1</v>
      </c>
      <c r="F2633" s="36">
        <v>1</v>
      </c>
      <c r="G2633" s="36">
        <v>3</v>
      </c>
      <c r="H2633" s="36">
        <v>0</v>
      </c>
      <c r="I2633" s="37">
        <v>0</v>
      </c>
      <c r="J2633" s="36" t="s">
        <v>32654</v>
      </c>
      <c r="K2633" s="36" t="s">
        <v>14330</v>
      </c>
      <c r="L2633" s="36" t="s">
        <v>14330</v>
      </c>
      <c r="M2633">
        <v>3</v>
      </c>
      <c r="N2633" t="s">
        <v>14331</v>
      </c>
      <c r="O2633" t="s">
        <v>32633</v>
      </c>
    </row>
    <row r="2634" spans="1:15" x14ac:dyDescent="0.25">
      <c r="A2634" s="35" t="s">
        <v>7328</v>
      </c>
      <c r="B2634" s="36" t="s">
        <v>7329</v>
      </c>
      <c r="C2634" s="36" t="str">
        <f>HYPERLINK("https://rhld.insurance.arkansas.gov/NPILookup?Npi=1295807733","1295807733")</f>
        <v>1295807733</v>
      </c>
      <c r="D2634" s="36" t="s">
        <v>35249</v>
      </c>
      <c r="E2634" s="36" t="s">
        <v>1</v>
      </c>
      <c r="F2634" s="36">
        <v>1</v>
      </c>
      <c r="G2634" s="36">
        <v>3</v>
      </c>
      <c r="H2634" s="36">
        <v>0</v>
      </c>
      <c r="I2634" s="37">
        <v>0</v>
      </c>
      <c r="J2634" s="36" t="s">
        <v>34836</v>
      </c>
      <c r="K2634" s="36" t="s">
        <v>14330</v>
      </c>
      <c r="L2634" s="36" t="s">
        <v>14330</v>
      </c>
      <c r="M2634">
        <v>2</v>
      </c>
      <c r="N2634" t="s">
        <v>14331</v>
      </c>
      <c r="O2634" t="s">
        <v>32633</v>
      </c>
    </row>
    <row r="2635" spans="1:15" x14ac:dyDescent="0.25">
      <c r="A2635" s="35" t="s">
        <v>7328</v>
      </c>
      <c r="B2635" s="36" t="s">
        <v>7329</v>
      </c>
      <c r="C2635" s="36" t="str">
        <f>HYPERLINK("https://rhld.insurance.arkansas.gov/NPILookup?Npi=1295925840","1295925840")</f>
        <v>1295925840</v>
      </c>
      <c r="D2635" s="36" t="s">
        <v>35250</v>
      </c>
      <c r="E2635" s="36" t="s">
        <v>1</v>
      </c>
      <c r="F2635" s="36">
        <v>1</v>
      </c>
      <c r="G2635" s="36">
        <v>2</v>
      </c>
      <c r="H2635" s="36">
        <v>0</v>
      </c>
      <c r="I2635" s="37">
        <v>0</v>
      </c>
      <c r="J2635" s="36" t="s">
        <v>34836</v>
      </c>
      <c r="K2635" s="36" t="s">
        <v>14330</v>
      </c>
      <c r="L2635" s="36" t="s">
        <v>14330</v>
      </c>
      <c r="M2635">
        <v>3</v>
      </c>
      <c r="N2635" t="s">
        <v>14331</v>
      </c>
      <c r="O2635" t="s">
        <v>32633</v>
      </c>
    </row>
    <row r="2636" spans="1:15" x14ac:dyDescent="0.25">
      <c r="A2636" s="35" t="s">
        <v>7328</v>
      </c>
      <c r="B2636" s="36" t="s">
        <v>7329</v>
      </c>
      <c r="C2636" s="36" t="str">
        <f>HYPERLINK("https://rhld.insurance.arkansas.gov/NPILookup?Npi=1295935161","1295935161")</f>
        <v>1295935161</v>
      </c>
      <c r="D2636" s="36" t="s">
        <v>35251</v>
      </c>
      <c r="E2636" s="36" t="s">
        <v>1</v>
      </c>
      <c r="F2636" s="36">
        <v>1</v>
      </c>
      <c r="G2636" s="36">
        <v>3</v>
      </c>
      <c r="H2636" s="36">
        <v>0</v>
      </c>
      <c r="I2636" s="37">
        <v>0</v>
      </c>
      <c r="J2636" s="36" t="s">
        <v>32654</v>
      </c>
      <c r="K2636" s="36" t="s">
        <v>14330</v>
      </c>
      <c r="L2636" s="36" t="s">
        <v>14330</v>
      </c>
      <c r="M2636">
        <v>2</v>
      </c>
      <c r="N2636" t="s">
        <v>14331</v>
      </c>
      <c r="O2636" t="s">
        <v>32633</v>
      </c>
    </row>
    <row r="2637" spans="1:15" x14ac:dyDescent="0.25">
      <c r="A2637" s="35" t="s">
        <v>7328</v>
      </c>
      <c r="B2637" s="36" t="s">
        <v>7329</v>
      </c>
      <c r="C2637" s="36" t="str">
        <f>HYPERLINK("https://rhld.insurance.arkansas.gov/NPILookup?Npi=1295942530","1295942530")</f>
        <v>1295942530</v>
      </c>
      <c r="D2637" s="36" t="s">
        <v>35252</v>
      </c>
      <c r="E2637" s="36" t="s">
        <v>1</v>
      </c>
      <c r="F2637" s="36">
        <v>1</v>
      </c>
      <c r="G2637" s="36">
        <v>2</v>
      </c>
      <c r="H2637" s="36">
        <v>0</v>
      </c>
      <c r="I2637" s="37">
        <v>0</v>
      </c>
      <c r="J2637" s="36" t="s">
        <v>34836</v>
      </c>
      <c r="K2637" s="36" t="s">
        <v>14330</v>
      </c>
      <c r="L2637" s="36" t="s">
        <v>14330</v>
      </c>
      <c r="M2637">
        <v>2</v>
      </c>
      <c r="N2637" t="s">
        <v>14331</v>
      </c>
      <c r="O2637" t="s">
        <v>32633</v>
      </c>
    </row>
    <row r="2638" spans="1:15" x14ac:dyDescent="0.25">
      <c r="A2638" s="35" t="s">
        <v>7328</v>
      </c>
      <c r="B2638" s="36" t="s">
        <v>7329</v>
      </c>
      <c r="C2638" s="36" t="str">
        <f>HYPERLINK("https://rhld.insurance.arkansas.gov/NPILookup?Npi=1295990059","1295990059")</f>
        <v>1295990059</v>
      </c>
      <c r="D2638" s="36" t="s">
        <v>35253</v>
      </c>
      <c r="E2638" s="36" t="s">
        <v>1</v>
      </c>
      <c r="F2638" s="36">
        <v>1</v>
      </c>
      <c r="G2638" s="36">
        <v>2</v>
      </c>
      <c r="H2638" s="36">
        <v>0</v>
      </c>
      <c r="I2638" s="37">
        <v>0</v>
      </c>
      <c r="J2638" s="36" t="s">
        <v>32654</v>
      </c>
      <c r="K2638" s="36" t="s">
        <v>14330</v>
      </c>
      <c r="L2638" s="36" t="s">
        <v>14330</v>
      </c>
      <c r="M2638">
        <v>2</v>
      </c>
      <c r="N2638" t="s">
        <v>14331</v>
      </c>
      <c r="O2638" t="s">
        <v>32633</v>
      </c>
    </row>
    <row r="2639" spans="1:15" x14ac:dyDescent="0.25">
      <c r="A2639" s="35" t="s">
        <v>7328</v>
      </c>
      <c r="B2639" s="36" t="s">
        <v>7329</v>
      </c>
      <c r="C2639" s="36" t="str">
        <f>HYPERLINK("https://rhld.insurance.arkansas.gov/NPILookup?Npi=1306104385","1306104385")</f>
        <v>1306104385</v>
      </c>
      <c r="D2639" s="36" t="s">
        <v>35254</v>
      </c>
      <c r="E2639" s="36" t="s">
        <v>1</v>
      </c>
      <c r="F2639" s="36">
        <v>1</v>
      </c>
      <c r="G2639" s="36">
        <v>2</v>
      </c>
      <c r="H2639" s="36">
        <v>0</v>
      </c>
      <c r="I2639" s="37">
        <v>0</v>
      </c>
      <c r="J2639" s="36" t="s">
        <v>34836</v>
      </c>
      <c r="K2639" s="36" t="s">
        <v>14330</v>
      </c>
      <c r="L2639" s="36" t="s">
        <v>14330</v>
      </c>
      <c r="M2639">
        <v>2</v>
      </c>
      <c r="N2639" t="s">
        <v>14331</v>
      </c>
      <c r="O2639" t="s">
        <v>32633</v>
      </c>
    </row>
    <row r="2640" spans="1:15" x14ac:dyDescent="0.25">
      <c r="A2640" s="35" t="s">
        <v>7328</v>
      </c>
      <c r="B2640" s="36" t="s">
        <v>7329</v>
      </c>
      <c r="C2640" s="36" t="str">
        <f>HYPERLINK("https://rhld.insurance.arkansas.gov/NPILookup?Npi=1306205885","1306205885")</f>
        <v>1306205885</v>
      </c>
      <c r="D2640" s="36" t="s">
        <v>35255</v>
      </c>
      <c r="E2640" s="36" t="s">
        <v>2</v>
      </c>
      <c r="F2640" s="36">
        <v>1</v>
      </c>
      <c r="G2640" s="36">
        <v>2</v>
      </c>
      <c r="H2640" s="36">
        <v>0</v>
      </c>
      <c r="I2640" s="37">
        <v>0</v>
      </c>
      <c r="J2640" s="36" t="s">
        <v>32679</v>
      </c>
      <c r="K2640" s="36" t="s">
        <v>14330</v>
      </c>
      <c r="L2640" s="36" t="s">
        <v>14330</v>
      </c>
      <c r="M2640">
        <v>2</v>
      </c>
      <c r="N2640" t="s">
        <v>14331</v>
      </c>
      <c r="O2640" t="s">
        <v>14333</v>
      </c>
    </row>
    <row r="2641" spans="1:15" x14ac:dyDescent="0.25">
      <c r="A2641" s="35" t="s">
        <v>7328</v>
      </c>
      <c r="B2641" s="36" t="s">
        <v>7329</v>
      </c>
      <c r="C2641" s="36" t="str">
        <f>HYPERLINK("https://rhld.insurance.arkansas.gov/NPILookup?Npi=1306208418","1306208418")</f>
        <v>1306208418</v>
      </c>
      <c r="D2641" s="36" t="s">
        <v>35256</v>
      </c>
      <c r="E2641" s="36" t="s">
        <v>1</v>
      </c>
      <c r="F2641" s="36">
        <v>1</v>
      </c>
      <c r="G2641" s="36">
        <v>2</v>
      </c>
      <c r="H2641" s="36">
        <v>0</v>
      </c>
      <c r="I2641" s="37">
        <v>0</v>
      </c>
      <c r="J2641" s="36" t="s">
        <v>34836</v>
      </c>
      <c r="K2641" s="36" t="s">
        <v>14330</v>
      </c>
      <c r="L2641" s="36" t="s">
        <v>14330</v>
      </c>
      <c r="M2641">
        <v>3</v>
      </c>
      <c r="N2641" t="s">
        <v>14331</v>
      </c>
      <c r="O2641" t="s">
        <v>32633</v>
      </c>
    </row>
    <row r="2642" spans="1:15" x14ac:dyDescent="0.25">
      <c r="A2642" s="35" t="s">
        <v>7328</v>
      </c>
      <c r="B2642" s="36" t="s">
        <v>7329</v>
      </c>
      <c r="C2642" s="36" t="str">
        <f>HYPERLINK("https://rhld.insurance.arkansas.gov/NPILookup?Npi=1306220736","1306220736")</f>
        <v>1306220736</v>
      </c>
      <c r="D2642" s="36" t="s">
        <v>35257</v>
      </c>
      <c r="E2642" s="36" t="s">
        <v>1</v>
      </c>
      <c r="F2642" s="36">
        <v>1</v>
      </c>
      <c r="G2642" s="36">
        <v>3</v>
      </c>
      <c r="H2642" s="36">
        <v>0</v>
      </c>
      <c r="I2642" s="37">
        <v>0</v>
      </c>
      <c r="J2642" s="36" t="s">
        <v>34836</v>
      </c>
      <c r="K2642" s="36" t="s">
        <v>14330</v>
      </c>
      <c r="L2642" s="36" t="s">
        <v>14330</v>
      </c>
      <c r="M2642">
        <v>2</v>
      </c>
      <c r="N2642" t="s">
        <v>14331</v>
      </c>
      <c r="O2642" t="s">
        <v>32633</v>
      </c>
    </row>
    <row r="2643" spans="1:15" x14ac:dyDescent="0.25">
      <c r="A2643" s="35" t="s">
        <v>7328</v>
      </c>
      <c r="B2643" s="36" t="s">
        <v>7329</v>
      </c>
      <c r="C2643" s="36" t="str">
        <f>HYPERLINK("https://rhld.insurance.arkansas.gov/NPILookup?Npi=1306226147","1306226147")</f>
        <v>1306226147</v>
      </c>
      <c r="D2643" s="36" t="s">
        <v>35258</v>
      </c>
      <c r="E2643" s="36" t="s">
        <v>1</v>
      </c>
      <c r="F2643" s="36">
        <v>1</v>
      </c>
      <c r="G2643" s="36">
        <v>2</v>
      </c>
      <c r="H2643" s="36">
        <v>0</v>
      </c>
      <c r="I2643" s="37">
        <v>0</v>
      </c>
      <c r="J2643" s="36" t="s">
        <v>34836</v>
      </c>
      <c r="K2643" s="36" t="s">
        <v>14330</v>
      </c>
      <c r="L2643" s="36" t="s">
        <v>14330</v>
      </c>
      <c r="M2643">
        <v>2</v>
      </c>
      <c r="N2643" t="s">
        <v>14331</v>
      </c>
      <c r="O2643" t="s">
        <v>32633</v>
      </c>
    </row>
    <row r="2644" spans="1:15" x14ac:dyDescent="0.25">
      <c r="A2644" s="35" t="s">
        <v>7328</v>
      </c>
      <c r="B2644" s="36" t="s">
        <v>7329</v>
      </c>
      <c r="C2644" s="36" t="str">
        <f>HYPERLINK("https://rhld.insurance.arkansas.gov/NPILookup?Npi=1306291976","1306291976")</f>
        <v>1306291976</v>
      </c>
      <c r="D2644" s="36" t="s">
        <v>35259</v>
      </c>
      <c r="E2644" s="36" t="s">
        <v>1</v>
      </c>
      <c r="F2644" s="36">
        <v>1</v>
      </c>
      <c r="G2644" s="36">
        <v>2</v>
      </c>
      <c r="H2644" s="36">
        <v>0</v>
      </c>
      <c r="I2644" s="37">
        <v>0</v>
      </c>
      <c r="J2644" s="36" t="s">
        <v>34836</v>
      </c>
      <c r="K2644" s="36" t="s">
        <v>14330</v>
      </c>
      <c r="L2644" s="36" t="s">
        <v>14330</v>
      </c>
      <c r="M2644">
        <v>3</v>
      </c>
      <c r="N2644" t="s">
        <v>14331</v>
      </c>
      <c r="O2644" t="s">
        <v>32633</v>
      </c>
    </row>
    <row r="2645" spans="1:15" x14ac:dyDescent="0.25">
      <c r="A2645" s="35" t="s">
        <v>7328</v>
      </c>
      <c r="B2645" s="36" t="s">
        <v>7329</v>
      </c>
      <c r="C2645" s="36" t="str">
        <f>HYPERLINK("https://rhld.insurance.arkansas.gov/NPILookup?Npi=1306309059","1306309059")</f>
        <v>1306309059</v>
      </c>
      <c r="D2645" s="36" t="s">
        <v>35260</v>
      </c>
      <c r="E2645" s="36" t="s">
        <v>1</v>
      </c>
      <c r="F2645" s="36">
        <v>1</v>
      </c>
      <c r="G2645" s="36">
        <v>3</v>
      </c>
      <c r="H2645" s="36">
        <v>0</v>
      </c>
      <c r="I2645" s="37">
        <v>0</v>
      </c>
      <c r="J2645" s="36" t="s">
        <v>34836</v>
      </c>
      <c r="K2645" s="36" t="s">
        <v>14330</v>
      </c>
      <c r="L2645" s="36" t="s">
        <v>14330</v>
      </c>
      <c r="M2645">
        <v>2</v>
      </c>
      <c r="N2645" t="s">
        <v>14331</v>
      </c>
      <c r="O2645" t="s">
        <v>32633</v>
      </c>
    </row>
    <row r="2646" spans="1:15" x14ac:dyDescent="0.25">
      <c r="A2646" s="35" t="s">
        <v>7328</v>
      </c>
      <c r="B2646" s="36" t="s">
        <v>7329</v>
      </c>
      <c r="C2646" s="36" t="str">
        <f>HYPERLINK("https://rhld.insurance.arkansas.gov/NPILookup?Npi=1306378062","1306378062")</f>
        <v>1306378062</v>
      </c>
      <c r="D2646" s="36" t="s">
        <v>35261</v>
      </c>
      <c r="E2646" s="36" t="s">
        <v>1</v>
      </c>
      <c r="F2646" s="36">
        <v>1</v>
      </c>
      <c r="G2646" s="36">
        <v>2</v>
      </c>
      <c r="H2646" s="36">
        <v>0</v>
      </c>
      <c r="I2646" s="37">
        <v>0</v>
      </c>
      <c r="J2646" s="36" t="s">
        <v>34836</v>
      </c>
      <c r="K2646" s="36" t="s">
        <v>14330</v>
      </c>
      <c r="L2646" s="36" t="s">
        <v>14330</v>
      </c>
      <c r="M2646">
        <v>2</v>
      </c>
      <c r="N2646" t="s">
        <v>14331</v>
      </c>
      <c r="O2646" t="s">
        <v>32633</v>
      </c>
    </row>
    <row r="2647" spans="1:15" x14ac:dyDescent="0.25">
      <c r="A2647" s="35" t="s">
        <v>7328</v>
      </c>
      <c r="B2647" s="36" t="s">
        <v>7329</v>
      </c>
      <c r="C2647" s="36" t="str">
        <f>HYPERLINK("https://rhld.insurance.arkansas.gov/NPILookup?Npi=1306388939","1306388939")</f>
        <v>1306388939</v>
      </c>
      <c r="D2647" s="36" t="s">
        <v>34707</v>
      </c>
      <c r="E2647" s="36" t="s">
        <v>2</v>
      </c>
      <c r="F2647" s="36">
        <v>1</v>
      </c>
      <c r="G2647" s="36">
        <v>2</v>
      </c>
      <c r="H2647" s="36">
        <v>0</v>
      </c>
      <c r="I2647" s="37">
        <v>0</v>
      </c>
      <c r="J2647" s="36"/>
      <c r="K2647" s="36" t="s">
        <v>14330</v>
      </c>
      <c r="L2647" s="36" t="s">
        <v>14330</v>
      </c>
      <c r="M2647">
        <v>2</v>
      </c>
      <c r="N2647" t="s">
        <v>14331</v>
      </c>
      <c r="O2647" t="s">
        <v>14333</v>
      </c>
    </row>
    <row r="2648" spans="1:15" x14ac:dyDescent="0.25">
      <c r="A2648" s="35" t="s">
        <v>7328</v>
      </c>
      <c r="B2648" s="36" t="s">
        <v>7329</v>
      </c>
      <c r="C2648" s="36" t="str">
        <f>HYPERLINK("https://rhld.insurance.arkansas.gov/NPILookup?Npi=1306417324","1306417324")</f>
        <v>1306417324</v>
      </c>
      <c r="D2648" s="36" t="s">
        <v>35262</v>
      </c>
      <c r="E2648" s="36" t="s">
        <v>1</v>
      </c>
      <c r="F2648" s="36">
        <v>1</v>
      </c>
      <c r="G2648" s="36">
        <v>2</v>
      </c>
      <c r="H2648" s="36">
        <v>0</v>
      </c>
      <c r="I2648" s="37">
        <v>0</v>
      </c>
      <c r="J2648" s="36" t="s">
        <v>32654</v>
      </c>
      <c r="K2648" s="36" t="s">
        <v>14330</v>
      </c>
      <c r="L2648" s="36" t="s">
        <v>14330</v>
      </c>
      <c r="M2648">
        <v>2</v>
      </c>
      <c r="N2648" t="s">
        <v>14331</v>
      </c>
      <c r="O2648" t="s">
        <v>32633</v>
      </c>
    </row>
    <row r="2649" spans="1:15" x14ac:dyDescent="0.25">
      <c r="A2649" s="35" t="s">
        <v>7328</v>
      </c>
      <c r="B2649" s="36" t="s">
        <v>7329</v>
      </c>
      <c r="C2649" s="36" t="str">
        <f>HYPERLINK("https://rhld.insurance.arkansas.gov/NPILookup?Npi=1306449566","1306449566")</f>
        <v>1306449566</v>
      </c>
      <c r="D2649" s="36" t="s">
        <v>35263</v>
      </c>
      <c r="E2649" s="36" t="s">
        <v>1</v>
      </c>
      <c r="F2649" s="36">
        <v>1</v>
      </c>
      <c r="G2649" s="36">
        <v>2</v>
      </c>
      <c r="H2649" s="36">
        <v>0</v>
      </c>
      <c r="I2649" s="37">
        <v>0</v>
      </c>
      <c r="J2649" s="36" t="s">
        <v>32654</v>
      </c>
      <c r="K2649" s="36" t="s">
        <v>14330</v>
      </c>
      <c r="L2649" s="36" t="s">
        <v>14330</v>
      </c>
      <c r="M2649">
        <v>2</v>
      </c>
      <c r="N2649" t="s">
        <v>14331</v>
      </c>
      <c r="O2649" t="s">
        <v>32633</v>
      </c>
    </row>
    <row r="2650" spans="1:15" x14ac:dyDescent="0.25">
      <c r="A2650" s="35" t="s">
        <v>7328</v>
      </c>
      <c r="B2650" s="36" t="s">
        <v>7329</v>
      </c>
      <c r="C2650" s="36" t="str">
        <f>HYPERLINK("https://rhld.insurance.arkansas.gov/NPILookup?Npi=1306469556","1306469556")</f>
        <v>1306469556</v>
      </c>
      <c r="D2650" s="36" t="s">
        <v>35264</v>
      </c>
      <c r="E2650" s="36" t="s">
        <v>2</v>
      </c>
      <c r="F2650" s="36">
        <v>1</v>
      </c>
      <c r="G2650" s="36">
        <v>2</v>
      </c>
      <c r="H2650" s="36">
        <v>0</v>
      </c>
      <c r="I2650" s="37">
        <v>0</v>
      </c>
      <c r="J2650" s="36"/>
      <c r="K2650" s="36" t="s">
        <v>14330</v>
      </c>
      <c r="L2650" s="36" t="s">
        <v>14330</v>
      </c>
      <c r="M2650">
        <v>2</v>
      </c>
      <c r="N2650" t="s">
        <v>14331</v>
      </c>
      <c r="O2650" t="s">
        <v>14333</v>
      </c>
    </row>
    <row r="2651" spans="1:15" x14ac:dyDescent="0.25">
      <c r="A2651" s="35" t="s">
        <v>7328</v>
      </c>
      <c r="B2651" s="36" t="s">
        <v>7329</v>
      </c>
      <c r="C2651" s="36" t="str">
        <f>HYPERLINK("https://rhld.insurance.arkansas.gov/NPILookup?Npi=1306815626","1306815626")</f>
        <v>1306815626</v>
      </c>
      <c r="D2651" s="36" t="s">
        <v>33106</v>
      </c>
      <c r="E2651" s="36" t="s">
        <v>1</v>
      </c>
      <c r="F2651" s="36">
        <v>1</v>
      </c>
      <c r="G2651" s="36">
        <v>2</v>
      </c>
      <c r="H2651" s="36">
        <v>0</v>
      </c>
      <c r="I2651" s="37">
        <v>0</v>
      </c>
      <c r="J2651" s="36" t="s">
        <v>32654</v>
      </c>
      <c r="K2651" s="36" t="s">
        <v>14330</v>
      </c>
      <c r="L2651" s="36" t="s">
        <v>14330</v>
      </c>
      <c r="M2651">
        <v>3</v>
      </c>
      <c r="N2651" t="s">
        <v>14331</v>
      </c>
      <c r="O2651" t="s">
        <v>32633</v>
      </c>
    </row>
    <row r="2652" spans="1:15" x14ac:dyDescent="0.25">
      <c r="A2652" s="35" t="s">
        <v>7328</v>
      </c>
      <c r="B2652" s="36" t="s">
        <v>7329</v>
      </c>
      <c r="C2652" s="36" t="str">
        <f>HYPERLINK("https://rhld.insurance.arkansas.gov/NPILookup?Npi=1306827571","1306827571")</f>
        <v>1306827571</v>
      </c>
      <c r="D2652" s="36" t="s">
        <v>35265</v>
      </c>
      <c r="E2652" s="36" t="s">
        <v>1</v>
      </c>
      <c r="F2652" s="36">
        <v>1</v>
      </c>
      <c r="G2652" s="36">
        <v>3</v>
      </c>
      <c r="H2652" s="36">
        <v>0</v>
      </c>
      <c r="I2652" s="37">
        <v>0</v>
      </c>
      <c r="J2652" s="36" t="s">
        <v>34836</v>
      </c>
      <c r="K2652" s="36" t="s">
        <v>14330</v>
      </c>
      <c r="L2652" s="36" t="s">
        <v>14330</v>
      </c>
      <c r="M2652">
        <v>2</v>
      </c>
      <c r="N2652" t="s">
        <v>14331</v>
      </c>
      <c r="O2652" t="s">
        <v>32633</v>
      </c>
    </row>
    <row r="2653" spans="1:15" x14ac:dyDescent="0.25">
      <c r="A2653" s="35" t="s">
        <v>7328</v>
      </c>
      <c r="B2653" s="36" t="s">
        <v>7329</v>
      </c>
      <c r="C2653" s="36" t="str">
        <f>HYPERLINK("https://rhld.insurance.arkansas.gov/NPILookup?Npi=1306853601","1306853601")</f>
        <v>1306853601</v>
      </c>
      <c r="D2653" s="36" t="s">
        <v>35266</v>
      </c>
      <c r="E2653" s="36" t="s">
        <v>1</v>
      </c>
      <c r="F2653" s="36">
        <v>1</v>
      </c>
      <c r="G2653" s="36">
        <v>2</v>
      </c>
      <c r="H2653" s="36">
        <v>0</v>
      </c>
      <c r="I2653" s="37">
        <v>0</v>
      </c>
      <c r="J2653" s="36" t="s">
        <v>32723</v>
      </c>
      <c r="K2653" s="36" t="s">
        <v>14330</v>
      </c>
      <c r="L2653" s="36" t="s">
        <v>14330</v>
      </c>
      <c r="M2653">
        <v>3</v>
      </c>
      <c r="N2653" t="s">
        <v>14331</v>
      </c>
      <c r="O2653" t="s">
        <v>32724</v>
      </c>
    </row>
    <row r="2654" spans="1:15" x14ac:dyDescent="0.25">
      <c r="A2654" s="35" t="s">
        <v>7328</v>
      </c>
      <c r="B2654" s="36" t="s">
        <v>7329</v>
      </c>
      <c r="C2654" s="36" t="str">
        <f>HYPERLINK("https://rhld.insurance.arkansas.gov/NPILookup?Npi=1306868674","1306868674")</f>
        <v>1306868674</v>
      </c>
      <c r="D2654" s="36" t="s">
        <v>35267</v>
      </c>
      <c r="E2654" s="36" t="s">
        <v>1</v>
      </c>
      <c r="F2654" s="36">
        <v>1</v>
      </c>
      <c r="G2654" s="36">
        <v>3</v>
      </c>
      <c r="H2654" s="36">
        <v>0</v>
      </c>
      <c r="I2654" s="37">
        <v>0</v>
      </c>
      <c r="J2654" s="36" t="s">
        <v>32654</v>
      </c>
      <c r="K2654" s="36" t="s">
        <v>14330</v>
      </c>
      <c r="L2654" s="36" t="s">
        <v>14330</v>
      </c>
      <c r="M2654">
        <v>2</v>
      </c>
      <c r="N2654" t="s">
        <v>14331</v>
      </c>
      <c r="O2654" t="s">
        <v>32633</v>
      </c>
    </row>
    <row r="2655" spans="1:15" x14ac:dyDescent="0.25">
      <c r="A2655" s="35" t="s">
        <v>7328</v>
      </c>
      <c r="B2655" s="36" t="s">
        <v>7329</v>
      </c>
      <c r="C2655" s="36" t="str">
        <f>HYPERLINK("https://rhld.insurance.arkansas.gov/NPILookup?Npi=1306892542","1306892542")</f>
        <v>1306892542</v>
      </c>
      <c r="D2655" s="36" t="s">
        <v>35268</v>
      </c>
      <c r="E2655" s="36" t="s">
        <v>1</v>
      </c>
      <c r="F2655" s="36">
        <v>1</v>
      </c>
      <c r="G2655" s="36">
        <v>2</v>
      </c>
      <c r="H2655" s="36">
        <v>0</v>
      </c>
      <c r="I2655" s="37">
        <v>0</v>
      </c>
      <c r="J2655" s="36" t="s">
        <v>32723</v>
      </c>
      <c r="K2655" s="36" t="s">
        <v>14330</v>
      </c>
      <c r="L2655" s="36" t="s">
        <v>14330</v>
      </c>
      <c r="M2655">
        <v>2</v>
      </c>
      <c r="N2655" t="s">
        <v>14331</v>
      </c>
      <c r="O2655" t="s">
        <v>32724</v>
      </c>
    </row>
    <row r="2656" spans="1:15" x14ac:dyDescent="0.25">
      <c r="A2656" s="35" t="s">
        <v>7328</v>
      </c>
      <c r="B2656" s="36" t="s">
        <v>7329</v>
      </c>
      <c r="C2656" s="36" t="str">
        <f>HYPERLINK("https://rhld.insurance.arkansas.gov/NPILookup?Npi=1306999610","1306999610")</f>
        <v>1306999610</v>
      </c>
      <c r="D2656" s="36" t="s">
        <v>35269</v>
      </c>
      <c r="E2656" s="36" t="s">
        <v>1</v>
      </c>
      <c r="F2656" s="36">
        <v>1</v>
      </c>
      <c r="G2656" s="36">
        <v>2</v>
      </c>
      <c r="H2656" s="36">
        <v>0</v>
      </c>
      <c r="I2656" s="37">
        <v>0</v>
      </c>
      <c r="J2656" s="36" t="s">
        <v>32654</v>
      </c>
      <c r="K2656" s="36" t="s">
        <v>14330</v>
      </c>
      <c r="L2656" s="36" t="s">
        <v>14330</v>
      </c>
      <c r="M2656">
        <v>2</v>
      </c>
      <c r="N2656" t="s">
        <v>14331</v>
      </c>
      <c r="O2656" t="s">
        <v>32633</v>
      </c>
    </row>
    <row r="2657" spans="1:15" x14ac:dyDescent="0.25">
      <c r="A2657" s="35" t="s">
        <v>7328</v>
      </c>
      <c r="B2657" s="36" t="s">
        <v>7329</v>
      </c>
      <c r="C2657" s="36" t="str">
        <f>HYPERLINK("https://rhld.insurance.arkansas.gov/NPILookup?Npi=1316060775","1316060775")</f>
        <v>1316060775</v>
      </c>
      <c r="D2657" s="36" t="s">
        <v>35270</v>
      </c>
      <c r="E2657" s="36" t="s">
        <v>2</v>
      </c>
      <c r="F2657" s="36">
        <v>1</v>
      </c>
      <c r="G2657" s="36">
        <v>2</v>
      </c>
      <c r="H2657" s="36">
        <v>0</v>
      </c>
      <c r="I2657" s="37">
        <v>0</v>
      </c>
      <c r="J2657" s="36" t="s">
        <v>32679</v>
      </c>
      <c r="K2657" s="36" t="s">
        <v>14330</v>
      </c>
      <c r="L2657" s="36" t="s">
        <v>14330</v>
      </c>
      <c r="M2657">
        <v>3</v>
      </c>
      <c r="N2657" t="s">
        <v>14331</v>
      </c>
      <c r="O2657" t="s">
        <v>14333</v>
      </c>
    </row>
    <row r="2658" spans="1:15" x14ac:dyDescent="0.25">
      <c r="A2658" s="35" t="s">
        <v>7328</v>
      </c>
      <c r="B2658" s="36" t="s">
        <v>7329</v>
      </c>
      <c r="C2658" s="36" t="str">
        <f>HYPERLINK("https://rhld.insurance.arkansas.gov/NPILookup?Npi=1316102379","1316102379")</f>
        <v>1316102379</v>
      </c>
      <c r="D2658" s="36" t="s">
        <v>35271</v>
      </c>
      <c r="E2658" s="36" t="s">
        <v>1</v>
      </c>
      <c r="F2658" s="36">
        <v>1</v>
      </c>
      <c r="G2658" s="36">
        <v>3</v>
      </c>
      <c r="H2658" s="36">
        <v>0</v>
      </c>
      <c r="I2658" s="37">
        <v>0</v>
      </c>
      <c r="J2658" s="36" t="s">
        <v>32723</v>
      </c>
      <c r="K2658" s="36" t="s">
        <v>14330</v>
      </c>
      <c r="L2658" s="36" t="s">
        <v>14330</v>
      </c>
      <c r="M2658">
        <v>2</v>
      </c>
      <c r="N2658" t="s">
        <v>14331</v>
      </c>
      <c r="O2658" t="s">
        <v>32724</v>
      </c>
    </row>
    <row r="2659" spans="1:15" x14ac:dyDescent="0.25">
      <c r="A2659" s="35" t="s">
        <v>7328</v>
      </c>
      <c r="B2659" s="36" t="s">
        <v>7329</v>
      </c>
      <c r="C2659" s="36" t="str">
        <f>HYPERLINK("https://rhld.insurance.arkansas.gov/NPILookup?Npi=1316110927","1316110927")</f>
        <v>1316110927</v>
      </c>
      <c r="D2659" s="36" t="s">
        <v>33110</v>
      </c>
      <c r="E2659" s="36" t="s">
        <v>1</v>
      </c>
      <c r="F2659" s="36">
        <v>1</v>
      </c>
      <c r="G2659" s="36">
        <v>2</v>
      </c>
      <c r="H2659" s="36">
        <v>0</v>
      </c>
      <c r="I2659" s="37">
        <v>0</v>
      </c>
      <c r="J2659" s="36" t="s">
        <v>34836</v>
      </c>
      <c r="K2659" s="36" t="s">
        <v>14330</v>
      </c>
      <c r="L2659" s="36" t="s">
        <v>14330</v>
      </c>
      <c r="M2659">
        <v>2</v>
      </c>
      <c r="N2659" t="s">
        <v>14331</v>
      </c>
      <c r="O2659" t="s">
        <v>32633</v>
      </c>
    </row>
    <row r="2660" spans="1:15" x14ac:dyDescent="0.25">
      <c r="A2660" s="35" t="s">
        <v>7328</v>
      </c>
      <c r="B2660" s="36" t="s">
        <v>7329</v>
      </c>
      <c r="C2660" s="36" t="str">
        <f>HYPERLINK("https://rhld.insurance.arkansas.gov/NPILookup?Npi=1316219116","1316219116")</f>
        <v>1316219116</v>
      </c>
      <c r="D2660" s="36" t="s">
        <v>35272</v>
      </c>
      <c r="E2660" s="36" t="s">
        <v>2</v>
      </c>
      <c r="F2660" s="36">
        <v>1</v>
      </c>
      <c r="G2660" s="36">
        <v>2</v>
      </c>
      <c r="H2660" s="36">
        <v>0</v>
      </c>
      <c r="I2660" s="37">
        <v>0</v>
      </c>
      <c r="J2660" s="36" t="s">
        <v>32679</v>
      </c>
      <c r="K2660" s="36" t="s">
        <v>14330</v>
      </c>
      <c r="L2660" s="36" t="s">
        <v>14330</v>
      </c>
      <c r="M2660">
        <v>2</v>
      </c>
      <c r="N2660" t="s">
        <v>14331</v>
      </c>
      <c r="O2660" t="s">
        <v>14333</v>
      </c>
    </row>
    <row r="2661" spans="1:15" x14ac:dyDescent="0.25">
      <c r="A2661" s="35" t="s">
        <v>7328</v>
      </c>
      <c r="B2661" s="36" t="s">
        <v>7329</v>
      </c>
      <c r="C2661" s="36" t="str">
        <f>HYPERLINK("https://rhld.insurance.arkansas.gov/NPILookup?Npi=1316502693","1316502693")</f>
        <v>1316502693</v>
      </c>
      <c r="D2661" s="36" t="s">
        <v>35273</v>
      </c>
      <c r="E2661" s="36" t="s">
        <v>2</v>
      </c>
      <c r="F2661" s="36">
        <v>1</v>
      </c>
      <c r="G2661" s="36">
        <v>2</v>
      </c>
      <c r="H2661" s="36">
        <v>0</v>
      </c>
      <c r="I2661" s="37">
        <v>0</v>
      </c>
      <c r="J2661" s="36"/>
      <c r="K2661" s="36" t="s">
        <v>14330</v>
      </c>
      <c r="L2661" s="36" t="s">
        <v>14330</v>
      </c>
      <c r="M2661">
        <v>2</v>
      </c>
      <c r="N2661" t="s">
        <v>14331</v>
      </c>
      <c r="O2661" t="s">
        <v>14333</v>
      </c>
    </row>
    <row r="2662" spans="1:15" x14ac:dyDescent="0.25">
      <c r="A2662" s="35" t="s">
        <v>7328</v>
      </c>
      <c r="B2662" s="36" t="s">
        <v>7329</v>
      </c>
      <c r="C2662" s="36" t="str">
        <f>HYPERLINK("https://rhld.insurance.arkansas.gov/NPILookup?Npi=1316624455","1316624455")</f>
        <v>1316624455</v>
      </c>
      <c r="D2662" s="36" t="s">
        <v>35274</v>
      </c>
      <c r="E2662" s="36" t="s">
        <v>1</v>
      </c>
      <c r="F2662" s="36">
        <v>1</v>
      </c>
      <c r="G2662" s="36">
        <v>2</v>
      </c>
      <c r="H2662" s="36">
        <v>0</v>
      </c>
      <c r="I2662" s="37">
        <v>0</v>
      </c>
      <c r="J2662" s="36" t="s">
        <v>32654</v>
      </c>
      <c r="K2662" s="36" t="s">
        <v>14330</v>
      </c>
      <c r="L2662" s="36" t="s">
        <v>14330</v>
      </c>
      <c r="M2662">
        <v>2</v>
      </c>
      <c r="N2662" t="s">
        <v>14331</v>
      </c>
      <c r="O2662" t="s">
        <v>32633</v>
      </c>
    </row>
    <row r="2663" spans="1:15" x14ac:dyDescent="0.25">
      <c r="A2663" s="35" t="s">
        <v>7328</v>
      </c>
      <c r="B2663" s="36" t="s">
        <v>7329</v>
      </c>
      <c r="C2663" s="36" t="str">
        <f>HYPERLINK("https://rhld.insurance.arkansas.gov/NPILookup?Npi=1316688013","1316688013")</f>
        <v>1316688013</v>
      </c>
      <c r="D2663" s="36" t="s">
        <v>35275</v>
      </c>
      <c r="E2663" s="36" t="s">
        <v>2</v>
      </c>
      <c r="F2663" s="36">
        <v>1</v>
      </c>
      <c r="G2663" s="36">
        <v>2</v>
      </c>
      <c r="H2663" s="36">
        <v>0</v>
      </c>
      <c r="I2663" s="37">
        <v>0</v>
      </c>
      <c r="J2663" s="36"/>
      <c r="K2663" s="36" t="s">
        <v>14330</v>
      </c>
      <c r="L2663" s="36" t="s">
        <v>14330</v>
      </c>
      <c r="M2663">
        <v>1</v>
      </c>
      <c r="N2663" t="s">
        <v>14331</v>
      </c>
      <c r="O2663" t="s">
        <v>14333</v>
      </c>
    </row>
    <row r="2664" spans="1:15" x14ac:dyDescent="0.25">
      <c r="A2664" s="35" t="s">
        <v>7328</v>
      </c>
      <c r="B2664" s="36" t="s">
        <v>7329</v>
      </c>
      <c r="C2664" s="36" t="str">
        <f>HYPERLINK("https://rhld.insurance.arkansas.gov/NPILookup?Npi=1316699028","1316699028")</f>
        <v>1316699028</v>
      </c>
      <c r="D2664" s="36" t="s">
        <v>35276</v>
      </c>
      <c r="E2664" s="36" t="s">
        <v>1</v>
      </c>
      <c r="F2664" s="36">
        <v>1</v>
      </c>
      <c r="G2664" s="36">
        <v>1</v>
      </c>
      <c r="H2664" s="36">
        <v>0</v>
      </c>
      <c r="I2664" s="37">
        <v>0</v>
      </c>
      <c r="J2664" s="36" t="s">
        <v>32654</v>
      </c>
      <c r="K2664" s="36" t="s">
        <v>14330</v>
      </c>
      <c r="L2664" s="36" t="s">
        <v>14330</v>
      </c>
      <c r="M2664">
        <v>2</v>
      </c>
      <c r="N2664" t="s">
        <v>14331</v>
      </c>
      <c r="O2664" t="s">
        <v>32633</v>
      </c>
    </row>
    <row r="2665" spans="1:15" x14ac:dyDescent="0.25">
      <c r="A2665" s="35" t="s">
        <v>7328</v>
      </c>
      <c r="B2665" s="36" t="s">
        <v>7329</v>
      </c>
      <c r="C2665" s="36" t="str">
        <f>HYPERLINK("https://rhld.insurance.arkansas.gov/NPILookup?Npi=1316788060","1316788060")</f>
        <v>1316788060</v>
      </c>
      <c r="D2665" s="36" t="s">
        <v>35277</v>
      </c>
      <c r="E2665" s="36" t="s">
        <v>2</v>
      </c>
      <c r="F2665" s="36">
        <v>1</v>
      </c>
      <c r="G2665" s="36">
        <v>2</v>
      </c>
      <c r="H2665" s="36">
        <v>0</v>
      </c>
      <c r="I2665" s="37">
        <v>0</v>
      </c>
      <c r="J2665" s="36"/>
      <c r="K2665" s="36" t="s">
        <v>14330</v>
      </c>
      <c r="L2665" s="36" t="s">
        <v>14330</v>
      </c>
      <c r="M2665">
        <v>1</v>
      </c>
      <c r="N2665" t="s">
        <v>14331</v>
      </c>
      <c r="O2665" t="s">
        <v>14333</v>
      </c>
    </row>
    <row r="2666" spans="1:15" x14ac:dyDescent="0.25">
      <c r="A2666" s="35" t="s">
        <v>7328</v>
      </c>
      <c r="B2666" s="36" t="s">
        <v>7329</v>
      </c>
      <c r="C2666" s="36" t="str">
        <f>HYPERLINK("https://rhld.insurance.arkansas.gov/NPILookup?Npi=1316788276","1316788276")</f>
        <v>1316788276</v>
      </c>
      <c r="D2666" s="36" t="s">
        <v>35278</v>
      </c>
      <c r="E2666" s="36" t="s">
        <v>2</v>
      </c>
      <c r="F2666" s="36">
        <v>1</v>
      </c>
      <c r="G2666" s="36">
        <v>1</v>
      </c>
      <c r="H2666" s="36">
        <v>0</v>
      </c>
      <c r="I2666" s="37">
        <v>0</v>
      </c>
      <c r="J2666" s="36"/>
      <c r="K2666" s="36" t="s">
        <v>14330</v>
      </c>
      <c r="L2666" s="36" t="s">
        <v>14330</v>
      </c>
      <c r="M2666">
        <v>1</v>
      </c>
      <c r="N2666" t="s">
        <v>14331</v>
      </c>
      <c r="O2666" t="s">
        <v>32633</v>
      </c>
    </row>
    <row r="2667" spans="1:15" x14ac:dyDescent="0.25">
      <c r="A2667" s="35" t="s">
        <v>7328</v>
      </c>
      <c r="B2667" s="36" t="s">
        <v>7329</v>
      </c>
      <c r="C2667" s="36" t="str">
        <f>HYPERLINK("https://rhld.insurance.arkansas.gov/NPILookup?Npi=1316830334","1316830334")</f>
        <v>1316830334</v>
      </c>
      <c r="D2667" s="36" t="s">
        <v>34712</v>
      </c>
      <c r="E2667" s="36" t="s">
        <v>2</v>
      </c>
      <c r="F2667" s="36">
        <v>1</v>
      </c>
      <c r="G2667" s="36">
        <v>1</v>
      </c>
      <c r="H2667" s="36">
        <v>0</v>
      </c>
      <c r="I2667" s="37">
        <v>0</v>
      </c>
      <c r="J2667" s="36"/>
      <c r="K2667" s="36" t="s">
        <v>14330</v>
      </c>
      <c r="L2667" s="36" t="s">
        <v>14330</v>
      </c>
      <c r="M2667">
        <v>3</v>
      </c>
      <c r="N2667" t="s">
        <v>14331</v>
      </c>
      <c r="O2667" t="s">
        <v>32633</v>
      </c>
    </row>
    <row r="2668" spans="1:15" x14ac:dyDescent="0.25">
      <c r="A2668" s="35" t="s">
        <v>7328</v>
      </c>
      <c r="B2668" s="36" t="s">
        <v>7329</v>
      </c>
      <c r="C2668" s="36" t="str">
        <f>HYPERLINK("https://rhld.insurance.arkansas.gov/NPILookup?Npi=1316904048","1316904048")</f>
        <v>1316904048</v>
      </c>
      <c r="D2668" s="36" t="s">
        <v>35279</v>
      </c>
      <c r="E2668" s="36" t="s">
        <v>1</v>
      </c>
      <c r="F2668" s="36">
        <v>1</v>
      </c>
      <c r="G2668" s="36">
        <v>3</v>
      </c>
      <c r="H2668" s="36">
        <v>0</v>
      </c>
      <c r="I2668" s="37">
        <v>0</v>
      </c>
      <c r="J2668" s="36" t="s">
        <v>32654</v>
      </c>
      <c r="K2668" s="36" t="s">
        <v>14330</v>
      </c>
      <c r="L2668" s="36" t="s">
        <v>14330</v>
      </c>
      <c r="M2668">
        <v>3</v>
      </c>
      <c r="N2668" t="s">
        <v>14331</v>
      </c>
      <c r="O2668" t="s">
        <v>32633</v>
      </c>
    </row>
    <row r="2669" spans="1:15" x14ac:dyDescent="0.25">
      <c r="A2669" s="35" t="s">
        <v>7328</v>
      </c>
      <c r="B2669" s="36" t="s">
        <v>7329</v>
      </c>
      <c r="C2669" s="36" t="str">
        <f>HYPERLINK("https://rhld.insurance.arkansas.gov/NPILookup?Npi=1316915424","1316915424")</f>
        <v>1316915424</v>
      </c>
      <c r="D2669" s="36" t="s">
        <v>35280</v>
      </c>
      <c r="E2669" s="36" t="s">
        <v>1</v>
      </c>
      <c r="F2669" s="36">
        <v>1</v>
      </c>
      <c r="G2669" s="36">
        <v>3</v>
      </c>
      <c r="H2669" s="36">
        <v>0</v>
      </c>
      <c r="I2669" s="37">
        <v>0</v>
      </c>
      <c r="J2669" s="36" t="s">
        <v>34836</v>
      </c>
      <c r="K2669" s="36" t="s">
        <v>14330</v>
      </c>
      <c r="L2669" s="36" t="s">
        <v>14330</v>
      </c>
      <c r="M2669">
        <v>2</v>
      </c>
      <c r="N2669" t="s">
        <v>14331</v>
      </c>
      <c r="O2669" t="s">
        <v>32633</v>
      </c>
    </row>
    <row r="2670" spans="1:15" x14ac:dyDescent="0.25">
      <c r="A2670" s="35" t="s">
        <v>7328</v>
      </c>
      <c r="B2670" s="36" t="s">
        <v>7329</v>
      </c>
      <c r="C2670" s="36" t="str">
        <f>HYPERLINK("https://rhld.insurance.arkansas.gov/NPILookup?Npi=1316941040","1316941040")</f>
        <v>1316941040</v>
      </c>
      <c r="D2670" s="36" t="s">
        <v>35281</v>
      </c>
      <c r="E2670" s="36" t="s">
        <v>2</v>
      </c>
      <c r="F2670" s="36">
        <v>1</v>
      </c>
      <c r="G2670" s="36">
        <v>2</v>
      </c>
      <c r="H2670" s="36">
        <v>0</v>
      </c>
      <c r="I2670" s="37">
        <v>0</v>
      </c>
      <c r="J2670" s="36" t="s">
        <v>32679</v>
      </c>
      <c r="K2670" s="36" t="s">
        <v>14330</v>
      </c>
      <c r="L2670" s="36" t="s">
        <v>14330</v>
      </c>
      <c r="M2670">
        <v>1</v>
      </c>
      <c r="N2670" t="s">
        <v>14331</v>
      </c>
      <c r="O2670" t="s">
        <v>14333</v>
      </c>
    </row>
    <row r="2671" spans="1:15" x14ac:dyDescent="0.25">
      <c r="A2671" s="35" t="s">
        <v>7328</v>
      </c>
      <c r="B2671" s="36" t="s">
        <v>7329</v>
      </c>
      <c r="C2671" s="36" t="str">
        <f>HYPERLINK("https://rhld.insurance.arkansas.gov/NPILookup?Npi=1316955578","1316955578")</f>
        <v>1316955578</v>
      </c>
      <c r="D2671" s="36" t="s">
        <v>35282</v>
      </c>
      <c r="E2671" s="36" t="s">
        <v>1</v>
      </c>
      <c r="F2671" s="36">
        <v>1</v>
      </c>
      <c r="G2671" s="36">
        <v>1</v>
      </c>
      <c r="H2671" s="36">
        <v>0</v>
      </c>
      <c r="I2671" s="37">
        <v>0</v>
      </c>
      <c r="J2671" s="36" t="s">
        <v>32723</v>
      </c>
      <c r="K2671" s="36" t="s">
        <v>14330</v>
      </c>
      <c r="L2671" s="36" t="s">
        <v>14330</v>
      </c>
      <c r="M2671">
        <v>1</v>
      </c>
      <c r="N2671" t="s">
        <v>14331</v>
      </c>
      <c r="O2671" t="s">
        <v>32724</v>
      </c>
    </row>
    <row r="2672" spans="1:15" x14ac:dyDescent="0.25">
      <c r="A2672" s="35" t="s">
        <v>7328</v>
      </c>
      <c r="B2672" s="36" t="s">
        <v>7329</v>
      </c>
      <c r="C2672" s="36" t="str">
        <f>HYPERLINK("https://rhld.insurance.arkansas.gov/NPILookup?Npi=1316996572","1316996572")</f>
        <v>1316996572</v>
      </c>
      <c r="D2672" s="36" t="s">
        <v>35283</v>
      </c>
      <c r="E2672" s="36" t="s">
        <v>1</v>
      </c>
      <c r="F2672" s="36">
        <v>1</v>
      </c>
      <c r="G2672" s="36">
        <v>1</v>
      </c>
      <c r="H2672" s="36">
        <v>0</v>
      </c>
      <c r="I2672" s="37">
        <v>0</v>
      </c>
      <c r="J2672" s="36" t="s">
        <v>34836</v>
      </c>
      <c r="K2672" s="36" t="s">
        <v>14330</v>
      </c>
      <c r="L2672" s="36" t="s">
        <v>14330</v>
      </c>
      <c r="M2672">
        <v>2</v>
      </c>
      <c r="N2672" t="s">
        <v>14331</v>
      </c>
      <c r="O2672" t="s">
        <v>32633</v>
      </c>
    </row>
    <row r="2673" spans="1:15" x14ac:dyDescent="0.25">
      <c r="A2673" s="35" t="s">
        <v>7328</v>
      </c>
      <c r="B2673" s="36" t="s">
        <v>7329</v>
      </c>
      <c r="C2673" s="36" t="str">
        <f>HYPERLINK("https://rhld.insurance.arkansas.gov/NPILookup?Npi=1326047341","1326047341")</f>
        <v>1326047341</v>
      </c>
      <c r="D2673" s="36" t="s">
        <v>35284</v>
      </c>
      <c r="E2673" s="36" t="s">
        <v>1</v>
      </c>
      <c r="F2673" s="36">
        <v>1</v>
      </c>
      <c r="G2673" s="36">
        <v>2</v>
      </c>
      <c r="H2673" s="36">
        <v>0</v>
      </c>
      <c r="I2673" s="37">
        <v>0</v>
      </c>
      <c r="J2673" s="36" t="s">
        <v>34836</v>
      </c>
      <c r="K2673" s="36" t="s">
        <v>14330</v>
      </c>
      <c r="L2673" s="36" t="s">
        <v>14330</v>
      </c>
      <c r="M2673">
        <v>3</v>
      </c>
      <c r="N2673" t="s">
        <v>14331</v>
      </c>
      <c r="O2673" t="s">
        <v>32633</v>
      </c>
    </row>
    <row r="2674" spans="1:15" x14ac:dyDescent="0.25">
      <c r="A2674" s="35" t="s">
        <v>7328</v>
      </c>
      <c r="B2674" s="36" t="s">
        <v>7329</v>
      </c>
      <c r="C2674" s="36" t="str">
        <f>HYPERLINK("https://rhld.insurance.arkansas.gov/NPILookup?Npi=1326256918","1326256918")</f>
        <v>1326256918</v>
      </c>
      <c r="D2674" s="36" t="s">
        <v>35285</v>
      </c>
      <c r="E2674" s="36" t="s">
        <v>1</v>
      </c>
      <c r="F2674" s="36">
        <v>1</v>
      </c>
      <c r="G2674" s="36">
        <v>3</v>
      </c>
      <c r="H2674" s="36">
        <v>0</v>
      </c>
      <c r="I2674" s="37">
        <v>0</v>
      </c>
      <c r="J2674" s="36" t="s">
        <v>32654</v>
      </c>
      <c r="K2674" s="36" t="s">
        <v>14330</v>
      </c>
      <c r="L2674" s="36" t="s">
        <v>14330</v>
      </c>
      <c r="M2674">
        <v>3</v>
      </c>
      <c r="N2674" t="s">
        <v>14331</v>
      </c>
      <c r="O2674" t="s">
        <v>32633</v>
      </c>
    </row>
    <row r="2675" spans="1:15" x14ac:dyDescent="0.25">
      <c r="A2675" s="35" t="s">
        <v>7328</v>
      </c>
      <c r="B2675" s="36" t="s">
        <v>7329</v>
      </c>
      <c r="C2675" s="36" t="str">
        <f>HYPERLINK("https://rhld.insurance.arkansas.gov/NPILookup?Npi=1326274952","1326274952")</f>
        <v>1326274952</v>
      </c>
      <c r="D2675" s="36" t="s">
        <v>35286</v>
      </c>
      <c r="E2675" s="36" t="s">
        <v>1</v>
      </c>
      <c r="F2675" s="36">
        <v>1</v>
      </c>
      <c r="G2675" s="36">
        <v>3</v>
      </c>
      <c r="H2675" s="36">
        <v>0</v>
      </c>
      <c r="I2675" s="37">
        <v>0</v>
      </c>
      <c r="J2675" s="36" t="s">
        <v>34836</v>
      </c>
      <c r="K2675" s="36" t="s">
        <v>14330</v>
      </c>
      <c r="L2675" s="36" t="s">
        <v>14330</v>
      </c>
      <c r="M2675">
        <v>3</v>
      </c>
      <c r="N2675" t="s">
        <v>14331</v>
      </c>
      <c r="O2675" t="s">
        <v>32633</v>
      </c>
    </row>
    <row r="2676" spans="1:15" x14ac:dyDescent="0.25">
      <c r="A2676" s="35" t="s">
        <v>7328</v>
      </c>
      <c r="B2676" s="36" t="s">
        <v>7329</v>
      </c>
      <c r="C2676" s="36" t="str">
        <f>HYPERLINK("https://rhld.insurance.arkansas.gov/NPILookup?Npi=1326289547","1326289547")</f>
        <v>1326289547</v>
      </c>
      <c r="D2676" s="36" t="s">
        <v>35287</v>
      </c>
      <c r="E2676" s="36" t="s">
        <v>1</v>
      </c>
      <c r="F2676" s="36">
        <v>1</v>
      </c>
      <c r="G2676" s="36">
        <v>3</v>
      </c>
      <c r="H2676" s="36">
        <v>0</v>
      </c>
      <c r="I2676" s="37">
        <v>0</v>
      </c>
      <c r="J2676" s="36" t="s">
        <v>32654</v>
      </c>
      <c r="K2676" s="36" t="s">
        <v>14330</v>
      </c>
      <c r="L2676" s="36" t="s">
        <v>14330</v>
      </c>
      <c r="M2676">
        <v>2</v>
      </c>
      <c r="N2676" t="s">
        <v>14331</v>
      </c>
      <c r="O2676" t="s">
        <v>32633</v>
      </c>
    </row>
    <row r="2677" spans="1:15" x14ac:dyDescent="0.25">
      <c r="A2677" s="35" t="s">
        <v>7328</v>
      </c>
      <c r="B2677" s="36" t="s">
        <v>7329</v>
      </c>
      <c r="C2677" s="36" t="str">
        <f>HYPERLINK("https://rhld.insurance.arkansas.gov/NPILookup?Npi=1326449182","1326449182")</f>
        <v>1326449182</v>
      </c>
      <c r="D2677" s="36" t="s">
        <v>35288</v>
      </c>
      <c r="E2677" s="36" t="s">
        <v>2</v>
      </c>
      <c r="F2677" s="36">
        <v>1</v>
      </c>
      <c r="G2677" s="36">
        <v>2</v>
      </c>
      <c r="H2677" s="36">
        <v>0</v>
      </c>
      <c r="I2677" s="37">
        <v>0</v>
      </c>
      <c r="J2677" s="36" t="s">
        <v>32679</v>
      </c>
      <c r="K2677" s="36" t="s">
        <v>14330</v>
      </c>
      <c r="L2677" s="36" t="s">
        <v>14330</v>
      </c>
      <c r="M2677">
        <v>3</v>
      </c>
      <c r="N2677" t="s">
        <v>14331</v>
      </c>
      <c r="O2677" t="s">
        <v>14333</v>
      </c>
    </row>
    <row r="2678" spans="1:15" x14ac:dyDescent="0.25">
      <c r="A2678" s="35" t="s">
        <v>7328</v>
      </c>
      <c r="B2678" s="36" t="s">
        <v>7329</v>
      </c>
      <c r="C2678" s="36" t="str">
        <f>HYPERLINK("https://rhld.insurance.arkansas.gov/NPILookup?Npi=1326455841","1326455841")</f>
        <v>1326455841</v>
      </c>
      <c r="D2678" s="36" t="s">
        <v>35289</v>
      </c>
      <c r="E2678" s="36" t="s">
        <v>1</v>
      </c>
      <c r="F2678" s="36">
        <v>1</v>
      </c>
      <c r="G2678" s="36">
        <v>3</v>
      </c>
      <c r="H2678" s="36">
        <v>0</v>
      </c>
      <c r="I2678" s="37">
        <v>0</v>
      </c>
      <c r="J2678" s="36" t="s">
        <v>32654</v>
      </c>
      <c r="K2678" s="36" t="s">
        <v>14330</v>
      </c>
      <c r="L2678" s="36" t="s">
        <v>14330</v>
      </c>
      <c r="M2678">
        <v>2</v>
      </c>
      <c r="N2678" t="s">
        <v>14331</v>
      </c>
      <c r="O2678" t="s">
        <v>32633</v>
      </c>
    </row>
    <row r="2679" spans="1:15" x14ac:dyDescent="0.25">
      <c r="A2679" s="35" t="s">
        <v>7328</v>
      </c>
      <c r="B2679" s="36" t="s">
        <v>7329</v>
      </c>
      <c r="C2679" s="36" t="str">
        <f>HYPERLINK("https://rhld.insurance.arkansas.gov/NPILookup?Npi=1326509365","1326509365")</f>
        <v>1326509365</v>
      </c>
      <c r="D2679" s="36" t="s">
        <v>35290</v>
      </c>
      <c r="E2679" s="36" t="s">
        <v>1</v>
      </c>
      <c r="F2679" s="36">
        <v>1</v>
      </c>
      <c r="G2679" s="36">
        <v>2</v>
      </c>
      <c r="H2679" s="36">
        <v>0</v>
      </c>
      <c r="I2679" s="37">
        <v>0</v>
      </c>
      <c r="J2679" s="36" t="s">
        <v>34836</v>
      </c>
      <c r="K2679" s="36" t="s">
        <v>14330</v>
      </c>
      <c r="L2679" s="36" t="s">
        <v>14330</v>
      </c>
      <c r="M2679">
        <v>2</v>
      </c>
      <c r="N2679" t="s">
        <v>14331</v>
      </c>
      <c r="O2679" t="s">
        <v>32633</v>
      </c>
    </row>
    <row r="2680" spans="1:15" x14ac:dyDescent="0.25">
      <c r="A2680" s="35" t="s">
        <v>7328</v>
      </c>
      <c r="B2680" s="36" t="s">
        <v>7329</v>
      </c>
      <c r="C2680" s="36" t="str">
        <f>HYPERLINK("https://rhld.insurance.arkansas.gov/NPILookup?Npi=1326857160","1326857160")</f>
        <v>1326857160</v>
      </c>
      <c r="D2680" s="36" t="s">
        <v>35291</v>
      </c>
      <c r="E2680" s="36" t="s">
        <v>2</v>
      </c>
      <c r="F2680" s="36">
        <v>1</v>
      </c>
      <c r="G2680" s="36">
        <v>2</v>
      </c>
      <c r="H2680" s="36">
        <v>0</v>
      </c>
      <c r="I2680" s="37">
        <v>0</v>
      </c>
      <c r="J2680" s="36"/>
      <c r="K2680" s="36" t="s">
        <v>14330</v>
      </c>
      <c r="L2680" s="36" t="s">
        <v>14330</v>
      </c>
      <c r="M2680">
        <v>1</v>
      </c>
      <c r="N2680" t="s">
        <v>14331</v>
      </c>
      <c r="O2680" t="s">
        <v>14333</v>
      </c>
    </row>
    <row r="2681" spans="1:15" x14ac:dyDescent="0.25">
      <c r="A2681" s="35" t="s">
        <v>7328</v>
      </c>
      <c r="B2681" s="36" t="s">
        <v>7329</v>
      </c>
      <c r="C2681" s="36" t="str">
        <f>HYPERLINK("https://rhld.insurance.arkansas.gov/NPILookup?Npi=1326857863","1326857863")</f>
        <v>1326857863</v>
      </c>
      <c r="D2681" s="36" t="s">
        <v>35292</v>
      </c>
      <c r="E2681" s="36" t="s">
        <v>2</v>
      </c>
      <c r="F2681" s="36">
        <v>1</v>
      </c>
      <c r="G2681" s="36">
        <v>1</v>
      </c>
      <c r="H2681" s="36">
        <v>0</v>
      </c>
      <c r="I2681" s="37">
        <v>0</v>
      </c>
      <c r="J2681" s="36"/>
      <c r="K2681" s="36" t="s">
        <v>14330</v>
      </c>
      <c r="L2681" s="36" t="s">
        <v>14330</v>
      </c>
      <c r="M2681">
        <v>3</v>
      </c>
      <c r="N2681" t="s">
        <v>14331</v>
      </c>
      <c r="O2681" t="s">
        <v>32633</v>
      </c>
    </row>
    <row r="2682" spans="1:15" x14ac:dyDescent="0.25">
      <c r="A2682" s="35" t="s">
        <v>7328</v>
      </c>
      <c r="B2682" s="36" t="s">
        <v>7329</v>
      </c>
      <c r="C2682" s="36" t="str">
        <f>HYPERLINK("https://rhld.insurance.arkansas.gov/NPILookup?Npi=1336122647","1336122647")</f>
        <v>1336122647</v>
      </c>
      <c r="D2682" s="36" t="s">
        <v>35293</v>
      </c>
      <c r="E2682" s="36" t="s">
        <v>1</v>
      </c>
      <c r="F2682" s="36">
        <v>1</v>
      </c>
      <c r="G2682" s="36">
        <v>3</v>
      </c>
      <c r="H2682" s="36">
        <v>0</v>
      </c>
      <c r="I2682" s="37">
        <v>0</v>
      </c>
      <c r="J2682" s="36" t="s">
        <v>32654</v>
      </c>
      <c r="K2682" s="36" t="s">
        <v>14330</v>
      </c>
      <c r="L2682" s="36" t="s">
        <v>14330</v>
      </c>
      <c r="M2682">
        <v>2</v>
      </c>
      <c r="N2682" t="s">
        <v>14331</v>
      </c>
      <c r="O2682" t="s">
        <v>32633</v>
      </c>
    </row>
    <row r="2683" spans="1:15" x14ac:dyDescent="0.25">
      <c r="A2683" s="35" t="s">
        <v>7328</v>
      </c>
      <c r="B2683" s="36" t="s">
        <v>7329</v>
      </c>
      <c r="C2683" s="36" t="str">
        <f>HYPERLINK("https://rhld.insurance.arkansas.gov/NPILookup?Npi=1336251891","1336251891")</f>
        <v>1336251891</v>
      </c>
      <c r="D2683" s="36" t="s">
        <v>35294</v>
      </c>
      <c r="E2683" s="36" t="s">
        <v>1</v>
      </c>
      <c r="F2683" s="36">
        <v>1</v>
      </c>
      <c r="G2683" s="36">
        <v>2</v>
      </c>
      <c r="H2683" s="36">
        <v>0</v>
      </c>
      <c r="I2683" s="37">
        <v>0</v>
      </c>
      <c r="J2683" s="36" t="s">
        <v>32723</v>
      </c>
      <c r="K2683" s="36" t="s">
        <v>14330</v>
      </c>
      <c r="L2683" s="36" t="s">
        <v>14330</v>
      </c>
      <c r="M2683">
        <v>3</v>
      </c>
      <c r="N2683" t="s">
        <v>14331</v>
      </c>
      <c r="O2683" t="s">
        <v>32724</v>
      </c>
    </row>
    <row r="2684" spans="1:15" x14ac:dyDescent="0.25">
      <c r="A2684" s="35" t="s">
        <v>7328</v>
      </c>
      <c r="B2684" s="36" t="s">
        <v>7329</v>
      </c>
      <c r="C2684" s="36" t="str">
        <f>HYPERLINK("https://rhld.insurance.arkansas.gov/NPILookup?Npi=1336382548","1336382548")</f>
        <v>1336382548</v>
      </c>
      <c r="D2684" s="36" t="s">
        <v>35295</v>
      </c>
      <c r="E2684" s="36" t="s">
        <v>1</v>
      </c>
      <c r="F2684" s="36">
        <v>1</v>
      </c>
      <c r="G2684" s="36">
        <v>3</v>
      </c>
      <c r="H2684" s="36">
        <v>0</v>
      </c>
      <c r="I2684" s="37">
        <v>0</v>
      </c>
      <c r="J2684" s="36" t="s">
        <v>34836</v>
      </c>
      <c r="K2684" s="36" t="s">
        <v>14330</v>
      </c>
      <c r="L2684" s="36" t="s">
        <v>14330</v>
      </c>
      <c r="M2684">
        <v>2</v>
      </c>
      <c r="N2684" t="s">
        <v>14331</v>
      </c>
      <c r="O2684" t="s">
        <v>32633</v>
      </c>
    </row>
    <row r="2685" spans="1:15" x14ac:dyDescent="0.25">
      <c r="A2685" s="35" t="s">
        <v>7328</v>
      </c>
      <c r="B2685" s="36" t="s">
        <v>7329</v>
      </c>
      <c r="C2685" s="36" t="str">
        <f>HYPERLINK("https://rhld.insurance.arkansas.gov/NPILookup?Npi=1336410190","1336410190")</f>
        <v>1336410190</v>
      </c>
      <c r="D2685" s="36" t="s">
        <v>35296</v>
      </c>
      <c r="E2685" s="36" t="s">
        <v>1</v>
      </c>
      <c r="F2685" s="36">
        <v>1</v>
      </c>
      <c r="G2685" s="36">
        <v>2</v>
      </c>
      <c r="H2685" s="36">
        <v>0</v>
      </c>
      <c r="I2685" s="37">
        <v>0</v>
      </c>
      <c r="J2685" s="36" t="s">
        <v>34836</v>
      </c>
      <c r="K2685" s="36" t="s">
        <v>14330</v>
      </c>
      <c r="L2685" s="36" t="s">
        <v>14330</v>
      </c>
      <c r="M2685">
        <v>2</v>
      </c>
      <c r="N2685" t="s">
        <v>14331</v>
      </c>
      <c r="O2685" t="s">
        <v>32633</v>
      </c>
    </row>
    <row r="2686" spans="1:15" x14ac:dyDescent="0.25">
      <c r="A2686" s="35" t="s">
        <v>7328</v>
      </c>
      <c r="B2686" s="36" t="s">
        <v>7329</v>
      </c>
      <c r="C2686" s="36" t="str">
        <f>HYPERLINK("https://rhld.insurance.arkansas.gov/NPILookup?Npi=1336420298","1336420298")</f>
        <v>1336420298</v>
      </c>
      <c r="D2686" s="36" t="s">
        <v>35297</v>
      </c>
      <c r="E2686" s="36" t="s">
        <v>1</v>
      </c>
      <c r="F2686" s="36">
        <v>1</v>
      </c>
      <c r="G2686" s="36">
        <v>2</v>
      </c>
      <c r="H2686" s="36">
        <v>0</v>
      </c>
      <c r="I2686" s="37">
        <v>0</v>
      </c>
      <c r="J2686" s="36" t="s">
        <v>32654</v>
      </c>
      <c r="K2686" s="36" t="s">
        <v>14330</v>
      </c>
      <c r="L2686" s="36" t="s">
        <v>14330</v>
      </c>
      <c r="M2686">
        <v>3</v>
      </c>
      <c r="N2686" t="s">
        <v>14331</v>
      </c>
      <c r="O2686" t="s">
        <v>32633</v>
      </c>
    </row>
    <row r="2687" spans="1:15" x14ac:dyDescent="0.25">
      <c r="A2687" s="35" t="s">
        <v>7328</v>
      </c>
      <c r="B2687" s="36" t="s">
        <v>7329</v>
      </c>
      <c r="C2687" s="36" t="str">
        <f>HYPERLINK("https://rhld.insurance.arkansas.gov/NPILookup?Npi=1336602713","1336602713")</f>
        <v>1336602713</v>
      </c>
      <c r="D2687" s="36" t="s">
        <v>35298</v>
      </c>
      <c r="E2687" s="36" t="s">
        <v>1</v>
      </c>
      <c r="F2687" s="36">
        <v>1</v>
      </c>
      <c r="G2687" s="36">
        <v>3</v>
      </c>
      <c r="H2687" s="36">
        <v>0</v>
      </c>
      <c r="I2687" s="37">
        <v>0</v>
      </c>
      <c r="J2687" s="36" t="s">
        <v>34836</v>
      </c>
      <c r="K2687" s="36" t="s">
        <v>14330</v>
      </c>
      <c r="L2687" s="36" t="s">
        <v>14330</v>
      </c>
      <c r="M2687">
        <v>2</v>
      </c>
      <c r="N2687" t="s">
        <v>14331</v>
      </c>
      <c r="O2687" t="s">
        <v>32633</v>
      </c>
    </row>
    <row r="2688" spans="1:15" x14ac:dyDescent="0.25">
      <c r="A2688" s="35" t="s">
        <v>7328</v>
      </c>
      <c r="B2688" s="36" t="s">
        <v>7329</v>
      </c>
      <c r="C2688" s="36" t="str">
        <f>HYPERLINK("https://rhld.insurance.arkansas.gov/NPILookup?Npi=1336720457","1336720457")</f>
        <v>1336720457</v>
      </c>
      <c r="D2688" s="36" t="s">
        <v>35299</v>
      </c>
      <c r="E2688" s="36" t="s">
        <v>2</v>
      </c>
      <c r="F2688" s="36">
        <v>1</v>
      </c>
      <c r="G2688" s="36">
        <v>2</v>
      </c>
      <c r="H2688" s="36">
        <v>0</v>
      </c>
      <c r="I2688" s="37">
        <v>0</v>
      </c>
      <c r="J2688" s="36"/>
      <c r="K2688" s="36" t="s">
        <v>14330</v>
      </c>
      <c r="L2688" s="36" t="s">
        <v>14330</v>
      </c>
      <c r="M2688">
        <v>2</v>
      </c>
      <c r="N2688" t="s">
        <v>14331</v>
      </c>
      <c r="O2688" t="s">
        <v>14333</v>
      </c>
    </row>
    <row r="2689" spans="1:15" x14ac:dyDescent="0.25">
      <c r="A2689" s="35" t="s">
        <v>7328</v>
      </c>
      <c r="B2689" s="36" t="s">
        <v>7329</v>
      </c>
      <c r="C2689" s="36" t="str">
        <f>HYPERLINK("https://rhld.insurance.arkansas.gov/NPILookup?Npi=1336762228","1336762228")</f>
        <v>1336762228</v>
      </c>
      <c r="D2689" s="36" t="s">
        <v>35300</v>
      </c>
      <c r="E2689" s="36" t="s">
        <v>2</v>
      </c>
      <c r="F2689" s="36">
        <v>1</v>
      </c>
      <c r="G2689" s="36">
        <v>2</v>
      </c>
      <c r="H2689" s="36">
        <v>0</v>
      </c>
      <c r="I2689" s="37">
        <v>0</v>
      </c>
      <c r="J2689" s="36"/>
      <c r="K2689" s="36" t="s">
        <v>14330</v>
      </c>
      <c r="L2689" s="36" t="s">
        <v>14330</v>
      </c>
      <c r="M2689">
        <v>1</v>
      </c>
      <c r="N2689" t="s">
        <v>14331</v>
      </c>
      <c r="O2689" t="s">
        <v>14333</v>
      </c>
    </row>
    <row r="2690" spans="1:15" x14ac:dyDescent="0.25">
      <c r="A2690" s="35" t="s">
        <v>7328</v>
      </c>
      <c r="B2690" s="36" t="s">
        <v>7329</v>
      </c>
      <c r="C2690" s="36" t="str">
        <f>HYPERLINK("https://rhld.insurance.arkansas.gov/NPILookup?Npi=1336764604","1336764604")</f>
        <v>1336764604</v>
      </c>
      <c r="D2690" s="36" t="s">
        <v>35301</v>
      </c>
      <c r="E2690" s="36" t="s">
        <v>2</v>
      </c>
      <c r="F2690" s="36">
        <v>1</v>
      </c>
      <c r="G2690" s="36">
        <v>1</v>
      </c>
      <c r="H2690" s="36">
        <v>0</v>
      </c>
      <c r="I2690" s="37">
        <v>0</v>
      </c>
      <c r="J2690" s="36"/>
      <c r="K2690" s="36" t="s">
        <v>14330</v>
      </c>
      <c r="L2690" s="36" t="s">
        <v>14330</v>
      </c>
      <c r="M2690">
        <v>1</v>
      </c>
      <c r="N2690" t="s">
        <v>14331</v>
      </c>
      <c r="O2690" t="s">
        <v>32633</v>
      </c>
    </row>
    <row r="2691" spans="1:15" x14ac:dyDescent="0.25">
      <c r="A2691" s="35" t="s">
        <v>7328</v>
      </c>
      <c r="B2691" s="36" t="s">
        <v>7329</v>
      </c>
      <c r="C2691" s="36" t="str">
        <f>HYPERLINK("https://rhld.insurance.arkansas.gov/NPILookup?Npi=1336870641","1336870641")</f>
        <v>1336870641</v>
      </c>
      <c r="D2691" s="36" t="s">
        <v>34717</v>
      </c>
      <c r="E2691" s="36" t="s">
        <v>2</v>
      </c>
      <c r="F2691" s="36">
        <v>1</v>
      </c>
      <c r="G2691" s="36">
        <v>1</v>
      </c>
      <c r="H2691" s="36">
        <v>0</v>
      </c>
      <c r="I2691" s="37">
        <v>0</v>
      </c>
      <c r="J2691" s="36"/>
      <c r="K2691" s="36" t="s">
        <v>14330</v>
      </c>
      <c r="L2691" s="36" t="s">
        <v>14330</v>
      </c>
      <c r="M2691">
        <v>3</v>
      </c>
      <c r="N2691" t="s">
        <v>14331</v>
      </c>
      <c r="O2691" t="s">
        <v>32633</v>
      </c>
    </row>
    <row r="2692" spans="1:15" x14ac:dyDescent="0.25">
      <c r="A2692" s="35" t="s">
        <v>7328</v>
      </c>
      <c r="B2692" s="36" t="s">
        <v>7329</v>
      </c>
      <c r="C2692" s="36" t="str">
        <f>HYPERLINK("https://rhld.insurance.arkansas.gov/NPILookup?Npi=1346242203","1346242203")</f>
        <v>1346242203</v>
      </c>
      <c r="D2692" s="36" t="s">
        <v>35302</v>
      </c>
      <c r="E2692" s="36" t="s">
        <v>1</v>
      </c>
      <c r="F2692" s="36">
        <v>1</v>
      </c>
      <c r="G2692" s="36">
        <v>3</v>
      </c>
      <c r="H2692" s="36">
        <v>0</v>
      </c>
      <c r="I2692" s="37">
        <v>0</v>
      </c>
      <c r="J2692" s="36" t="s">
        <v>34836</v>
      </c>
      <c r="K2692" s="36" t="s">
        <v>14330</v>
      </c>
      <c r="L2692" s="36" t="s">
        <v>14330</v>
      </c>
      <c r="M2692">
        <v>3</v>
      </c>
      <c r="N2692" t="s">
        <v>14331</v>
      </c>
      <c r="O2692" t="s">
        <v>32633</v>
      </c>
    </row>
    <row r="2693" spans="1:15" x14ac:dyDescent="0.25">
      <c r="A2693" s="35" t="s">
        <v>7328</v>
      </c>
      <c r="B2693" s="36" t="s">
        <v>7329</v>
      </c>
      <c r="C2693" s="36" t="str">
        <f>HYPERLINK("https://rhld.insurance.arkansas.gov/NPILookup?Npi=1346307220","1346307220")</f>
        <v>1346307220</v>
      </c>
      <c r="D2693" s="36" t="s">
        <v>35303</v>
      </c>
      <c r="E2693" s="36" t="s">
        <v>1</v>
      </c>
      <c r="F2693" s="36">
        <v>1</v>
      </c>
      <c r="G2693" s="36">
        <v>3</v>
      </c>
      <c r="H2693" s="36">
        <v>0</v>
      </c>
      <c r="I2693" s="37">
        <v>0</v>
      </c>
      <c r="J2693" s="36" t="s">
        <v>34836</v>
      </c>
      <c r="K2693" s="36" t="s">
        <v>14330</v>
      </c>
      <c r="L2693" s="36" t="s">
        <v>14330</v>
      </c>
      <c r="M2693">
        <v>3</v>
      </c>
      <c r="N2693" t="s">
        <v>14331</v>
      </c>
      <c r="O2693" t="s">
        <v>32633</v>
      </c>
    </row>
    <row r="2694" spans="1:15" x14ac:dyDescent="0.25">
      <c r="A2694" s="35" t="s">
        <v>7328</v>
      </c>
      <c r="B2694" s="36" t="s">
        <v>7329</v>
      </c>
      <c r="C2694" s="36" t="str">
        <f>HYPERLINK("https://rhld.insurance.arkansas.gov/NPILookup?Npi=1346339066","1346339066")</f>
        <v>1346339066</v>
      </c>
      <c r="D2694" s="36" t="s">
        <v>35304</v>
      </c>
      <c r="E2694" s="36" t="s">
        <v>1</v>
      </c>
      <c r="F2694" s="36">
        <v>1</v>
      </c>
      <c r="G2694" s="36">
        <v>3</v>
      </c>
      <c r="H2694" s="36">
        <v>0</v>
      </c>
      <c r="I2694" s="37">
        <v>0</v>
      </c>
      <c r="J2694" s="36" t="s">
        <v>32654</v>
      </c>
      <c r="K2694" s="36" t="s">
        <v>14330</v>
      </c>
      <c r="L2694" s="36" t="s">
        <v>14330</v>
      </c>
      <c r="M2694">
        <v>2</v>
      </c>
      <c r="N2694" t="s">
        <v>14331</v>
      </c>
      <c r="O2694" t="s">
        <v>32633</v>
      </c>
    </row>
    <row r="2695" spans="1:15" x14ac:dyDescent="0.25">
      <c r="A2695" s="35" t="s">
        <v>7328</v>
      </c>
      <c r="B2695" s="36" t="s">
        <v>7329</v>
      </c>
      <c r="C2695" s="36" t="str">
        <f>HYPERLINK("https://rhld.insurance.arkansas.gov/NPILookup?Npi=1346542867","1346542867")</f>
        <v>1346542867</v>
      </c>
      <c r="D2695" s="36" t="s">
        <v>35305</v>
      </c>
      <c r="E2695" s="36" t="s">
        <v>2</v>
      </c>
      <c r="F2695" s="36">
        <v>1</v>
      </c>
      <c r="G2695" s="36">
        <v>2</v>
      </c>
      <c r="H2695" s="36">
        <v>0</v>
      </c>
      <c r="I2695" s="37">
        <v>0</v>
      </c>
      <c r="J2695" s="36"/>
      <c r="K2695" s="36" t="s">
        <v>14330</v>
      </c>
      <c r="L2695" s="36" t="s">
        <v>14330</v>
      </c>
      <c r="M2695">
        <v>2</v>
      </c>
      <c r="N2695" t="s">
        <v>14331</v>
      </c>
      <c r="O2695" t="s">
        <v>14333</v>
      </c>
    </row>
    <row r="2696" spans="1:15" x14ac:dyDescent="0.25">
      <c r="A2696" s="35" t="s">
        <v>7328</v>
      </c>
      <c r="B2696" s="36" t="s">
        <v>7329</v>
      </c>
      <c r="C2696" s="36" t="str">
        <f>HYPERLINK("https://rhld.insurance.arkansas.gov/NPILookup?Npi=1346587599","1346587599")</f>
        <v>1346587599</v>
      </c>
      <c r="D2696" s="36" t="s">
        <v>35306</v>
      </c>
      <c r="E2696" s="36" t="s">
        <v>2</v>
      </c>
      <c r="F2696" s="36">
        <v>1</v>
      </c>
      <c r="G2696" s="36">
        <v>2</v>
      </c>
      <c r="H2696" s="36">
        <v>0</v>
      </c>
      <c r="I2696" s="37">
        <v>0</v>
      </c>
      <c r="J2696" s="36" t="s">
        <v>32679</v>
      </c>
      <c r="K2696" s="36" t="s">
        <v>14330</v>
      </c>
      <c r="L2696" s="36" t="s">
        <v>14330</v>
      </c>
      <c r="M2696">
        <v>3</v>
      </c>
      <c r="N2696" t="s">
        <v>14331</v>
      </c>
      <c r="O2696" t="s">
        <v>14333</v>
      </c>
    </row>
    <row r="2697" spans="1:15" x14ac:dyDescent="0.25">
      <c r="A2697" s="35" t="s">
        <v>7328</v>
      </c>
      <c r="B2697" s="36" t="s">
        <v>7329</v>
      </c>
      <c r="C2697" s="36" t="str">
        <f>HYPERLINK("https://rhld.insurance.arkansas.gov/NPILookup?Npi=1346660727","1346660727")</f>
        <v>1346660727</v>
      </c>
      <c r="D2697" s="36" t="s">
        <v>35307</v>
      </c>
      <c r="E2697" s="36" t="s">
        <v>1</v>
      </c>
      <c r="F2697" s="36">
        <v>1</v>
      </c>
      <c r="G2697" s="36">
        <v>3</v>
      </c>
      <c r="H2697" s="36">
        <v>0</v>
      </c>
      <c r="I2697" s="37">
        <v>0</v>
      </c>
      <c r="J2697" s="36" t="s">
        <v>34836</v>
      </c>
      <c r="K2697" s="36" t="s">
        <v>14330</v>
      </c>
      <c r="L2697" s="36" t="s">
        <v>14330</v>
      </c>
      <c r="M2697">
        <v>2</v>
      </c>
      <c r="N2697" t="s">
        <v>14331</v>
      </c>
      <c r="O2697" t="s">
        <v>32633</v>
      </c>
    </row>
    <row r="2698" spans="1:15" x14ac:dyDescent="0.25">
      <c r="A2698" s="35" t="s">
        <v>7328</v>
      </c>
      <c r="B2698" s="36" t="s">
        <v>7329</v>
      </c>
      <c r="C2698" s="36" t="str">
        <f>HYPERLINK("https://rhld.insurance.arkansas.gov/NPILookup?Npi=1346737269","1346737269")</f>
        <v>1346737269</v>
      </c>
      <c r="D2698" s="36" t="s">
        <v>35308</v>
      </c>
      <c r="E2698" s="36" t="s">
        <v>1</v>
      </c>
      <c r="F2698" s="36">
        <v>1</v>
      </c>
      <c r="G2698" s="36">
        <v>2</v>
      </c>
      <c r="H2698" s="36">
        <v>0</v>
      </c>
      <c r="I2698" s="37">
        <v>0</v>
      </c>
      <c r="J2698" s="36" t="s">
        <v>34836</v>
      </c>
      <c r="K2698" s="36" t="s">
        <v>14330</v>
      </c>
      <c r="L2698" s="36" t="s">
        <v>14330</v>
      </c>
      <c r="M2698">
        <v>2</v>
      </c>
      <c r="N2698" t="s">
        <v>14331</v>
      </c>
      <c r="O2698" t="s">
        <v>32633</v>
      </c>
    </row>
    <row r="2699" spans="1:15" x14ac:dyDescent="0.25">
      <c r="A2699" s="35" t="s">
        <v>7328</v>
      </c>
      <c r="B2699" s="36" t="s">
        <v>7329</v>
      </c>
      <c r="C2699" s="36" t="str">
        <f>HYPERLINK("https://rhld.insurance.arkansas.gov/NPILookup?Npi=1346822384","1346822384")</f>
        <v>1346822384</v>
      </c>
      <c r="D2699" s="36" t="s">
        <v>35309</v>
      </c>
      <c r="E2699" s="36" t="s">
        <v>2</v>
      </c>
      <c r="F2699" s="36">
        <v>1</v>
      </c>
      <c r="G2699" s="36">
        <v>2</v>
      </c>
      <c r="H2699" s="36">
        <v>0</v>
      </c>
      <c r="I2699" s="37">
        <v>0</v>
      </c>
      <c r="J2699" s="36"/>
      <c r="K2699" s="36" t="s">
        <v>14330</v>
      </c>
      <c r="L2699" s="36" t="s">
        <v>14330</v>
      </c>
      <c r="M2699">
        <v>2</v>
      </c>
      <c r="N2699" t="s">
        <v>14331</v>
      </c>
      <c r="O2699" t="s">
        <v>14333</v>
      </c>
    </row>
    <row r="2700" spans="1:15" x14ac:dyDescent="0.25">
      <c r="A2700" s="35" t="s">
        <v>7328</v>
      </c>
      <c r="B2700" s="36" t="s">
        <v>7329</v>
      </c>
      <c r="C2700" s="36" t="str">
        <f>HYPERLINK("https://rhld.insurance.arkansas.gov/NPILookup?Npi=1346879079","1346879079")</f>
        <v>1346879079</v>
      </c>
      <c r="D2700" s="36" t="s">
        <v>35310</v>
      </c>
      <c r="E2700" s="36" t="s">
        <v>2</v>
      </c>
      <c r="F2700" s="36">
        <v>1</v>
      </c>
      <c r="G2700" s="36">
        <v>2</v>
      </c>
      <c r="H2700" s="36">
        <v>0</v>
      </c>
      <c r="I2700" s="37">
        <v>0</v>
      </c>
      <c r="J2700" s="36"/>
      <c r="K2700" s="36" t="s">
        <v>14330</v>
      </c>
      <c r="L2700" s="36" t="s">
        <v>14330</v>
      </c>
      <c r="M2700">
        <v>2</v>
      </c>
      <c r="N2700" t="s">
        <v>14331</v>
      </c>
      <c r="O2700" t="s">
        <v>14333</v>
      </c>
    </row>
    <row r="2701" spans="1:15" x14ac:dyDescent="0.25">
      <c r="A2701" s="35" t="s">
        <v>7328</v>
      </c>
      <c r="B2701" s="36" t="s">
        <v>7329</v>
      </c>
      <c r="C2701" s="36" t="str">
        <f>HYPERLINK("https://rhld.insurance.arkansas.gov/NPILookup?Npi=1346994043","1346994043")</f>
        <v>1346994043</v>
      </c>
      <c r="D2701" s="36" t="s">
        <v>35311</v>
      </c>
      <c r="E2701" s="36" t="s">
        <v>1</v>
      </c>
      <c r="F2701" s="36">
        <v>1</v>
      </c>
      <c r="G2701" s="36">
        <v>2</v>
      </c>
      <c r="H2701" s="36">
        <v>0</v>
      </c>
      <c r="I2701" s="37">
        <v>0</v>
      </c>
      <c r="J2701" s="36" t="s">
        <v>32654</v>
      </c>
      <c r="K2701" s="36" t="s">
        <v>14330</v>
      </c>
      <c r="L2701" s="36" t="s">
        <v>14330</v>
      </c>
      <c r="M2701">
        <v>2</v>
      </c>
      <c r="N2701" t="s">
        <v>14331</v>
      </c>
      <c r="O2701" t="s">
        <v>32633</v>
      </c>
    </row>
    <row r="2702" spans="1:15" x14ac:dyDescent="0.25">
      <c r="A2702" s="35" t="s">
        <v>7328</v>
      </c>
      <c r="B2702" s="36" t="s">
        <v>7329</v>
      </c>
      <c r="C2702" s="36" t="str">
        <f>HYPERLINK("https://rhld.insurance.arkansas.gov/NPILookup?Npi=1346997681","1346997681")</f>
        <v>1346997681</v>
      </c>
      <c r="D2702" s="36" t="s">
        <v>35312</v>
      </c>
      <c r="E2702" s="36" t="s">
        <v>1</v>
      </c>
      <c r="F2702" s="36">
        <v>1</v>
      </c>
      <c r="G2702" s="36">
        <v>2</v>
      </c>
      <c r="H2702" s="36">
        <v>0</v>
      </c>
      <c r="I2702" s="37">
        <v>0</v>
      </c>
      <c r="J2702" s="36" t="s">
        <v>32654</v>
      </c>
      <c r="K2702" s="36" t="s">
        <v>14330</v>
      </c>
      <c r="L2702" s="36" t="s">
        <v>14330</v>
      </c>
      <c r="M2702">
        <v>2</v>
      </c>
      <c r="N2702" t="s">
        <v>14331</v>
      </c>
      <c r="O2702" t="s">
        <v>32633</v>
      </c>
    </row>
    <row r="2703" spans="1:15" x14ac:dyDescent="0.25">
      <c r="A2703" s="35" t="s">
        <v>7328</v>
      </c>
      <c r="B2703" s="36" t="s">
        <v>7329</v>
      </c>
      <c r="C2703" s="36" t="str">
        <f>HYPERLINK("https://rhld.insurance.arkansas.gov/NPILookup?Npi=1356042964","1356042964")</f>
        <v>1356042964</v>
      </c>
      <c r="D2703" s="36" t="s">
        <v>35313</v>
      </c>
      <c r="E2703" s="36" t="s">
        <v>2</v>
      </c>
      <c r="F2703" s="36">
        <v>1</v>
      </c>
      <c r="G2703" s="36">
        <v>2</v>
      </c>
      <c r="H2703" s="36">
        <v>0</v>
      </c>
      <c r="I2703" s="37">
        <v>0</v>
      </c>
      <c r="J2703" s="36"/>
      <c r="K2703" s="36" t="s">
        <v>14330</v>
      </c>
      <c r="L2703" s="36" t="s">
        <v>14330</v>
      </c>
      <c r="M2703">
        <v>1</v>
      </c>
      <c r="N2703" t="s">
        <v>14331</v>
      </c>
      <c r="O2703" t="s">
        <v>14333</v>
      </c>
    </row>
    <row r="2704" spans="1:15" x14ac:dyDescent="0.25">
      <c r="A2704" s="35" t="s">
        <v>7328</v>
      </c>
      <c r="B2704" s="36" t="s">
        <v>7329</v>
      </c>
      <c r="C2704" s="36" t="str">
        <f>HYPERLINK("https://rhld.insurance.arkansas.gov/NPILookup?Npi=1356157481","1356157481")</f>
        <v>1356157481</v>
      </c>
      <c r="D2704" s="36" t="s">
        <v>35314</v>
      </c>
      <c r="E2704" s="36" t="s">
        <v>2</v>
      </c>
      <c r="F2704" s="36">
        <v>1</v>
      </c>
      <c r="G2704" s="36">
        <v>1</v>
      </c>
      <c r="H2704" s="36">
        <v>0</v>
      </c>
      <c r="I2704" s="37">
        <v>0</v>
      </c>
      <c r="J2704" s="36"/>
      <c r="K2704" s="36" t="s">
        <v>14330</v>
      </c>
      <c r="L2704" s="36" t="s">
        <v>14330</v>
      </c>
      <c r="M2704">
        <v>2</v>
      </c>
      <c r="N2704" t="s">
        <v>14331</v>
      </c>
      <c r="O2704" t="s">
        <v>32633</v>
      </c>
    </row>
    <row r="2705" spans="1:15" x14ac:dyDescent="0.25">
      <c r="A2705" s="35" t="s">
        <v>7328</v>
      </c>
      <c r="B2705" s="36" t="s">
        <v>7329</v>
      </c>
      <c r="C2705" s="36" t="str">
        <f>HYPERLINK("https://rhld.insurance.arkansas.gov/NPILookup?Npi=1356168132","1356168132")</f>
        <v>1356168132</v>
      </c>
      <c r="D2705" s="36" t="s">
        <v>35315</v>
      </c>
      <c r="E2705" s="36" t="s">
        <v>2</v>
      </c>
      <c r="F2705" s="36">
        <v>1</v>
      </c>
      <c r="G2705" s="36">
        <v>2</v>
      </c>
      <c r="H2705" s="36">
        <v>0</v>
      </c>
      <c r="I2705" s="37">
        <v>0</v>
      </c>
      <c r="J2705" s="36"/>
      <c r="K2705" s="36" t="s">
        <v>14330</v>
      </c>
      <c r="L2705" s="36" t="s">
        <v>14330</v>
      </c>
      <c r="M2705">
        <v>2</v>
      </c>
      <c r="N2705" t="s">
        <v>14331</v>
      </c>
      <c r="O2705" t="s">
        <v>14333</v>
      </c>
    </row>
    <row r="2706" spans="1:15" x14ac:dyDescent="0.25">
      <c r="A2706" s="35" t="s">
        <v>7328</v>
      </c>
      <c r="B2706" s="36" t="s">
        <v>7329</v>
      </c>
      <c r="C2706" s="36" t="str">
        <f>HYPERLINK("https://rhld.insurance.arkansas.gov/NPILookup?Npi=1356305684","1356305684")</f>
        <v>1356305684</v>
      </c>
      <c r="D2706" s="36" t="s">
        <v>35316</v>
      </c>
      <c r="E2706" s="36" t="s">
        <v>1</v>
      </c>
      <c r="F2706" s="36">
        <v>1</v>
      </c>
      <c r="G2706" s="36">
        <v>2</v>
      </c>
      <c r="H2706" s="36">
        <v>0</v>
      </c>
      <c r="I2706" s="37">
        <v>0</v>
      </c>
      <c r="J2706" s="36" t="s">
        <v>34836</v>
      </c>
      <c r="K2706" s="36" t="s">
        <v>14330</v>
      </c>
      <c r="L2706" s="36" t="s">
        <v>14330</v>
      </c>
      <c r="M2706">
        <v>2</v>
      </c>
      <c r="N2706" t="s">
        <v>14331</v>
      </c>
      <c r="O2706" t="s">
        <v>32633</v>
      </c>
    </row>
    <row r="2707" spans="1:15" x14ac:dyDescent="0.25">
      <c r="A2707" s="35" t="s">
        <v>7328</v>
      </c>
      <c r="B2707" s="36" t="s">
        <v>7329</v>
      </c>
      <c r="C2707" s="36" t="str">
        <f>HYPERLINK("https://rhld.insurance.arkansas.gov/NPILookup?Npi=1356327878","1356327878")</f>
        <v>1356327878</v>
      </c>
      <c r="D2707" s="36" t="s">
        <v>35317</v>
      </c>
      <c r="E2707" s="36" t="s">
        <v>1</v>
      </c>
      <c r="F2707" s="36">
        <v>1</v>
      </c>
      <c r="G2707" s="36">
        <v>2</v>
      </c>
      <c r="H2707" s="36">
        <v>0</v>
      </c>
      <c r="I2707" s="37">
        <v>0</v>
      </c>
      <c r="J2707" s="36" t="s">
        <v>32723</v>
      </c>
      <c r="K2707" s="36" t="s">
        <v>14330</v>
      </c>
      <c r="L2707" s="36" t="s">
        <v>14330</v>
      </c>
      <c r="M2707">
        <v>3</v>
      </c>
      <c r="N2707" t="s">
        <v>14331</v>
      </c>
      <c r="O2707" t="s">
        <v>32724</v>
      </c>
    </row>
    <row r="2708" spans="1:15" x14ac:dyDescent="0.25">
      <c r="A2708" s="35" t="s">
        <v>7328</v>
      </c>
      <c r="B2708" s="36" t="s">
        <v>7329</v>
      </c>
      <c r="C2708" s="36" t="str">
        <f>HYPERLINK("https://rhld.insurance.arkansas.gov/NPILookup?Npi=1356347207","1356347207")</f>
        <v>1356347207</v>
      </c>
      <c r="D2708" s="36" t="s">
        <v>35318</v>
      </c>
      <c r="E2708" s="36" t="s">
        <v>1</v>
      </c>
      <c r="F2708" s="36">
        <v>1</v>
      </c>
      <c r="G2708" s="36">
        <v>3</v>
      </c>
      <c r="H2708" s="36">
        <v>0</v>
      </c>
      <c r="I2708" s="37">
        <v>0</v>
      </c>
      <c r="J2708" s="36" t="s">
        <v>32654</v>
      </c>
      <c r="K2708" s="36" t="s">
        <v>14330</v>
      </c>
      <c r="L2708" s="36" t="s">
        <v>14330</v>
      </c>
      <c r="M2708">
        <v>2</v>
      </c>
      <c r="N2708" t="s">
        <v>14331</v>
      </c>
      <c r="O2708" t="s">
        <v>32633</v>
      </c>
    </row>
    <row r="2709" spans="1:15" x14ac:dyDescent="0.25">
      <c r="A2709" s="35" t="s">
        <v>7328</v>
      </c>
      <c r="B2709" s="36" t="s">
        <v>7329</v>
      </c>
      <c r="C2709" s="36" t="str">
        <f>HYPERLINK("https://rhld.insurance.arkansas.gov/NPILookup?Npi=1356370910","1356370910")</f>
        <v>1356370910</v>
      </c>
      <c r="D2709" s="36" t="s">
        <v>35319</v>
      </c>
      <c r="E2709" s="36" t="s">
        <v>1</v>
      </c>
      <c r="F2709" s="36">
        <v>1</v>
      </c>
      <c r="G2709" s="36">
        <v>2</v>
      </c>
      <c r="H2709" s="36">
        <v>0</v>
      </c>
      <c r="I2709" s="37">
        <v>0</v>
      </c>
      <c r="J2709" s="36" t="s">
        <v>34836</v>
      </c>
      <c r="K2709" s="36" t="s">
        <v>14330</v>
      </c>
      <c r="L2709" s="36" t="s">
        <v>14330</v>
      </c>
      <c r="M2709">
        <v>2</v>
      </c>
      <c r="N2709" t="s">
        <v>14331</v>
      </c>
      <c r="O2709" t="s">
        <v>32633</v>
      </c>
    </row>
    <row r="2710" spans="1:15" x14ac:dyDescent="0.25">
      <c r="A2710" s="35" t="s">
        <v>7328</v>
      </c>
      <c r="B2710" s="36" t="s">
        <v>7329</v>
      </c>
      <c r="C2710" s="36" t="str">
        <f>HYPERLINK("https://rhld.insurance.arkansas.gov/NPILookup?Npi=1356439681","1356439681")</f>
        <v>1356439681</v>
      </c>
      <c r="D2710" s="36" t="s">
        <v>35320</v>
      </c>
      <c r="E2710" s="36" t="s">
        <v>1</v>
      </c>
      <c r="F2710" s="36">
        <v>1</v>
      </c>
      <c r="G2710" s="36">
        <v>2</v>
      </c>
      <c r="H2710" s="36">
        <v>0</v>
      </c>
      <c r="I2710" s="37">
        <v>0</v>
      </c>
      <c r="J2710" s="36" t="s">
        <v>32654</v>
      </c>
      <c r="K2710" s="36" t="s">
        <v>14330</v>
      </c>
      <c r="L2710" s="36" t="s">
        <v>14330</v>
      </c>
      <c r="M2710">
        <v>3</v>
      </c>
      <c r="N2710" t="s">
        <v>14331</v>
      </c>
      <c r="O2710" t="s">
        <v>32633</v>
      </c>
    </row>
    <row r="2711" spans="1:15" x14ac:dyDescent="0.25">
      <c r="A2711" s="35" t="s">
        <v>7328</v>
      </c>
      <c r="B2711" s="36" t="s">
        <v>7329</v>
      </c>
      <c r="C2711" s="36" t="str">
        <f>HYPERLINK("https://rhld.insurance.arkansas.gov/NPILookup?Npi=1356454193","1356454193")</f>
        <v>1356454193</v>
      </c>
      <c r="D2711" s="36" t="s">
        <v>35321</v>
      </c>
      <c r="E2711" s="36" t="s">
        <v>1</v>
      </c>
      <c r="F2711" s="36">
        <v>1</v>
      </c>
      <c r="G2711" s="36">
        <v>3</v>
      </c>
      <c r="H2711" s="36">
        <v>0</v>
      </c>
      <c r="I2711" s="37">
        <v>0</v>
      </c>
      <c r="J2711" s="36" t="s">
        <v>34836</v>
      </c>
      <c r="K2711" s="36" t="s">
        <v>14330</v>
      </c>
      <c r="L2711" s="36" t="s">
        <v>14330</v>
      </c>
      <c r="M2711">
        <v>2</v>
      </c>
      <c r="N2711" t="s">
        <v>14331</v>
      </c>
      <c r="O2711" t="s">
        <v>32633</v>
      </c>
    </row>
    <row r="2712" spans="1:15" x14ac:dyDescent="0.25">
      <c r="A2712" s="35" t="s">
        <v>7328</v>
      </c>
      <c r="B2712" s="36" t="s">
        <v>7329</v>
      </c>
      <c r="C2712" s="36" t="str">
        <f>HYPERLINK("https://rhld.insurance.arkansas.gov/NPILookup?Npi=1356515787","1356515787")</f>
        <v>1356515787</v>
      </c>
      <c r="D2712" s="36" t="s">
        <v>35322</v>
      </c>
      <c r="E2712" s="36" t="s">
        <v>1</v>
      </c>
      <c r="F2712" s="36">
        <v>1</v>
      </c>
      <c r="G2712" s="36">
        <v>2</v>
      </c>
      <c r="H2712" s="36">
        <v>0</v>
      </c>
      <c r="I2712" s="37">
        <v>0</v>
      </c>
      <c r="J2712" s="36" t="s">
        <v>34836</v>
      </c>
      <c r="K2712" s="36" t="s">
        <v>14330</v>
      </c>
      <c r="L2712" s="36" t="s">
        <v>14330</v>
      </c>
      <c r="M2712">
        <v>3</v>
      </c>
      <c r="N2712" t="s">
        <v>14331</v>
      </c>
      <c r="O2712" t="s">
        <v>32633</v>
      </c>
    </row>
    <row r="2713" spans="1:15" x14ac:dyDescent="0.25">
      <c r="A2713" s="35" t="s">
        <v>7328</v>
      </c>
      <c r="B2713" s="36" t="s">
        <v>7329</v>
      </c>
      <c r="C2713" s="36" t="str">
        <f>HYPERLINK("https://rhld.insurance.arkansas.gov/NPILookup?Npi=1356575492","1356575492")</f>
        <v>1356575492</v>
      </c>
      <c r="D2713" s="36" t="s">
        <v>35323</v>
      </c>
      <c r="E2713" s="36" t="s">
        <v>1</v>
      </c>
      <c r="F2713" s="36">
        <v>1</v>
      </c>
      <c r="G2713" s="36">
        <v>3</v>
      </c>
      <c r="H2713" s="36">
        <v>0</v>
      </c>
      <c r="I2713" s="37">
        <v>0</v>
      </c>
      <c r="J2713" s="36" t="s">
        <v>32654</v>
      </c>
      <c r="K2713" s="36" t="s">
        <v>14330</v>
      </c>
      <c r="L2713" s="36" t="s">
        <v>14330</v>
      </c>
      <c r="M2713">
        <v>3</v>
      </c>
      <c r="N2713" t="s">
        <v>14331</v>
      </c>
      <c r="O2713" t="s">
        <v>32633</v>
      </c>
    </row>
    <row r="2714" spans="1:15" x14ac:dyDescent="0.25">
      <c r="A2714" s="35" t="s">
        <v>7328</v>
      </c>
      <c r="B2714" s="36" t="s">
        <v>7329</v>
      </c>
      <c r="C2714" s="36" t="str">
        <f>HYPERLINK("https://rhld.insurance.arkansas.gov/NPILookup?Npi=1356684963","1356684963")</f>
        <v>1356684963</v>
      </c>
      <c r="D2714" s="36" t="s">
        <v>35324</v>
      </c>
      <c r="E2714" s="36" t="s">
        <v>1</v>
      </c>
      <c r="F2714" s="36">
        <v>1</v>
      </c>
      <c r="G2714" s="36">
        <v>3</v>
      </c>
      <c r="H2714" s="36">
        <v>0</v>
      </c>
      <c r="I2714" s="37">
        <v>0</v>
      </c>
      <c r="J2714" s="36" t="s">
        <v>34836</v>
      </c>
      <c r="K2714" s="36" t="s">
        <v>14330</v>
      </c>
      <c r="L2714" s="36" t="s">
        <v>14330</v>
      </c>
      <c r="M2714">
        <v>3</v>
      </c>
      <c r="N2714" t="s">
        <v>14331</v>
      </c>
      <c r="O2714" t="s">
        <v>32633</v>
      </c>
    </row>
    <row r="2715" spans="1:15" x14ac:dyDescent="0.25">
      <c r="A2715" s="35" t="s">
        <v>7328</v>
      </c>
      <c r="B2715" s="36" t="s">
        <v>7329</v>
      </c>
      <c r="C2715" s="36" t="str">
        <f>HYPERLINK("https://rhld.insurance.arkansas.gov/NPILookup?Npi=1356750624","1356750624")</f>
        <v>1356750624</v>
      </c>
      <c r="D2715" s="36" t="s">
        <v>35325</v>
      </c>
      <c r="E2715" s="36" t="s">
        <v>1</v>
      </c>
      <c r="F2715" s="36">
        <v>1</v>
      </c>
      <c r="G2715" s="36">
        <v>3</v>
      </c>
      <c r="H2715" s="36">
        <v>0</v>
      </c>
      <c r="I2715" s="37">
        <v>0</v>
      </c>
      <c r="J2715" s="36" t="s">
        <v>34836</v>
      </c>
      <c r="K2715" s="36" t="s">
        <v>14330</v>
      </c>
      <c r="L2715" s="36" t="s">
        <v>14330</v>
      </c>
      <c r="M2715">
        <v>2</v>
      </c>
      <c r="N2715" t="s">
        <v>14331</v>
      </c>
      <c r="O2715" t="s">
        <v>32633</v>
      </c>
    </row>
    <row r="2716" spans="1:15" x14ac:dyDescent="0.25">
      <c r="A2716" s="35" t="s">
        <v>7328</v>
      </c>
      <c r="B2716" s="36" t="s">
        <v>7329</v>
      </c>
      <c r="C2716" s="36" t="str">
        <f>HYPERLINK("https://rhld.insurance.arkansas.gov/NPILookup?Npi=1356792212","1356792212")</f>
        <v>1356792212</v>
      </c>
      <c r="D2716" s="36" t="s">
        <v>35326</v>
      </c>
      <c r="E2716" s="36" t="s">
        <v>1</v>
      </c>
      <c r="F2716" s="36">
        <v>1</v>
      </c>
      <c r="G2716" s="36">
        <v>2</v>
      </c>
      <c r="H2716" s="36">
        <v>0</v>
      </c>
      <c r="I2716" s="37">
        <v>0</v>
      </c>
      <c r="J2716" s="36" t="s">
        <v>34836</v>
      </c>
      <c r="K2716" s="36" t="s">
        <v>14330</v>
      </c>
      <c r="L2716" s="36" t="s">
        <v>14330</v>
      </c>
      <c r="M2716">
        <v>2</v>
      </c>
      <c r="N2716" t="s">
        <v>14331</v>
      </c>
      <c r="O2716" t="s">
        <v>32633</v>
      </c>
    </row>
    <row r="2717" spans="1:15" x14ac:dyDescent="0.25">
      <c r="A2717" s="35" t="s">
        <v>7328</v>
      </c>
      <c r="B2717" s="36" t="s">
        <v>7329</v>
      </c>
      <c r="C2717" s="36" t="str">
        <f>HYPERLINK("https://rhld.insurance.arkansas.gov/NPILookup?Npi=1356867774","1356867774")</f>
        <v>1356867774</v>
      </c>
      <c r="D2717" s="36" t="s">
        <v>35327</v>
      </c>
      <c r="E2717" s="36" t="s">
        <v>2</v>
      </c>
      <c r="F2717" s="36">
        <v>1</v>
      </c>
      <c r="G2717" s="36">
        <v>2</v>
      </c>
      <c r="H2717" s="36">
        <v>0</v>
      </c>
      <c r="I2717" s="37">
        <v>0</v>
      </c>
      <c r="J2717" s="36" t="s">
        <v>32679</v>
      </c>
      <c r="K2717" s="36" t="s">
        <v>14330</v>
      </c>
      <c r="L2717" s="36" t="s">
        <v>14330</v>
      </c>
      <c r="M2717">
        <v>2</v>
      </c>
      <c r="N2717" t="s">
        <v>14331</v>
      </c>
      <c r="O2717" t="s">
        <v>14333</v>
      </c>
    </row>
    <row r="2718" spans="1:15" x14ac:dyDescent="0.25">
      <c r="A2718" s="35" t="s">
        <v>7328</v>
      </c>
      <c r="B2718" s="36" t="s">
        <v>7329</v>
      </c>
      <c r="C2718" s="36" t="str">
        <f>HYPERLINK("https://rhld.insurance.arkansas.gov/NPILookup?Npi=1366037749","1366037749")</f>
        <v>1366037749</v>
      </c>
      <c r="D2718" s="36" t="s">
        <v>35328</v>
      </c>
      <c r="E2718" s="36" t="s">
        <v>1</v>
      </c>
      <c r="F2718" s="36">
        <v>1</v>
      </c>
      <c r="G2718" s="36">
        <v>2</v>
      </c>
      <c r="H2718" s="36">
        <v>0</v>
      </c>
      <c r="I2718" s="37">
        <v>0</v>
      </c>
      <c r="J2718" s="36" t="s">
        <v>32654</v>
      </c>
      <c r="K2718" s="36" t="s">
        <v>14330</v>
      </c>
      <c r="L2718" s="36" t="s">
        <v>14330</v>
      </c>
      <c r="M2718">
        <v>2</v>
      </c>
      <c r="N2718" t="s">
        <v>14331</v>
      </c>
      <c r="O2718" t="s">
        <v>32633</v>
      </c>
    </row>
    <row r="2719" spans="1:15" x14ac:dyDescent="0.25">
      <c r="A2719" s="35" t="s">
        <v>7328</v>
      </c>
      <c r="B2719" s="36" t="s">
        <v>7329</v>
      </c>
      <c r="C2719" s="36" t="str">
        <f>HYPERLINK("https://rhld.insurance.arkansas.gov/NPILookup?Npi=1366071714","1366071714")</f>
        <v>1366071714</v>
      </c>
      <c r="D2719" s="36" t="s">
        <v>35329</v>
      </c>
      <c r="E2719" s="36" t="s">
        <v>1</v>
      </c>
      <c r="F2719" s="36">
        <v>1</v>
      </c>
      <c r="G2719" s="36">
        <v>2</v>
      </c>
      <c r="H2719" s="36">
        <v>0</v>
      </c>
      <c r="I2719" s="37">
        <v>0</v>
      </c>
      <c r="J2719" s="36" t="s">
        <v>34836</v>
      </c>
      <c r="K2719" s="36" t="s">
        <v>14330</v>
      </c>
      <c r="L2719" s="36" t="s">
        <v>14330</v>
      </c>
      <c r="M2719">
        <v>2</v>
      </c>
      <c r="N2719" t="s">
        <v>14331</v>
      </c>
      <c r="O2719" t="s">
        <v>32633</v>
      </c>
    </row>
    <row r="2720" spans="1:15" x14ac:dyDescent="0.25">
      <c r="A2720" s="35" t="s">
        <v>7328</v>
      </c>
      <c r="B2720" s="36" t="s">
        <v>7329</v>
      </c>
      <c r="C2720" s="36" t="str">
        <f>HYPERLINK("https://rhld.insurance.arkansas.gov/NPILookup?Npi=1366198798","1366198798")</f>
        <v>1366198798</v>
      </c>
      <c r="D2720" s="36" t="s">
        <v>35330</v>
      </c>
      <c r="E2720" s="36" t="s">
        <v>1</v>
      </c>
      <c r="F2720" s="36">
        <v>1</v>
      </c>
      <c r="G2720" s="36">
        <v>2</v>
      </c>
      <c r="H2720" s="36">
        <v>0</v>
      </c>
      <c r="I2720" s="37">
        <v>0</v>
      </c>
      <c r="J2720" s="36" t="s">
        <v>32654</v>
      </c>
      <c r="K2720" s="36" t="s">
        <v>14330</v>
      </c>
      <c r="L2720" s="36" t="s">
        <v>14330</v>
      </c>
      <c r="M2720">
        <v>2</v>
      </c>
      <c r="N2720" t="s">
        <v>14331</v>
      </c>
      <c r="O2720" t="s">
        <v>32633</v>
      </c>
    </row>
    <row r="2721" spans="1:15" x14ac:dyDescent="0.25">
      <c r="A2721" s="35" t="s">
        <v>7328</v>
      </c>
      <c r="B2721" s="36" t="s">
        <v>7329</v>
      </c>
      <c r="C2721" s="36" t="str">
        <f>HYPERLINK("https://rhld.insurance.arkansas.gov/NPILookup?Npi=1366258774","1366258774")</f>
        <v>1366258774</v>
      </c>
      <c r="D2721" s="36" t="s">
        <v>35331</v>
      </c>
      <c r="E2721" s="36" t="s">
        <v>2</v>
      </c>
      <c r="F2721" s="36">
        <v>1</v>
      </c>
      <c r="G2721" s="36">
        <v>2</v>
      </c>
      <c r="H2721" s="36">
        <v>0</v>
      </c>
      <c r="I2721" s="37">
        <v>0</v>
      </c>
      <c r="J2721" s="36"/>
      <c r="K2721" s="36" t="s">
        <v>14330</v>
      </c>
      <c r="L2721" s="36" t="s">
        <v>14330</v>
      </c>
      <c r="M2721">
        <v>2</v>
      </c>
      <c r="N2721" t="s">
        <v>14331</v>
      </c>
      <c r="O2721" t="s">
        <v>14333</v>
      </c>
    </row>
    <row r="2722" spans="1:15" x14ac:dyDescent="0.25">
      <c r="A2722" s="35" t="s">
        <v>7328</v>
      </c>
      <c r="B2722" s="36" t="s">
        <v>7329</v>
      </c>
      <c r="C2722" s="36" t="str">
        <f>HYPERLINK("https://rhld.insurance.arkansas.gov/NPILookup?Npi=1366268930","1366268930")</f>
        <v>1366268930</v>
      </c>
      <c r="D2722" s="36" t="s">
        <v>35332</v>
      </c>
      <c r="E2722" s="36" t="s">
        <v>2</v>
      </c>
      <c r="F2722" s="36">
        <v>1</v>
      </c>
      <c r="G2722" s="36">
        <v>2</v>
      </c>
      <c r="H2722" s="36">
        <v>0</v>
      </c>
      <c r="I2722" s="37">
        <v>0</v>
      </c>
      <c r="J2722" s="36"/>
      <c r="K2722" s="36" t="s">
        <v>14330</v>
      </c>
      <c r="L2722" s="36" t="s">
        <v>14330</v>
      </c>
      <c r="M2722">
        <v>2</v>
      </c>
      <c r="N2722" t="s">
        <v>14331</v>
      </c>
      <c r="O2722" t="s">
        <v>14333</v>
      </c>
    </row>
    <row r="2723" spans="1:15" x14ac:dyDescent="0.25">
      <c r="A2723" s="35" t="s">
        <v>7328</v>
      </c>
      <c r="B2723" s="36" t="s">
        <v>7329</v>
      </c>
      <c r="C2723" s="36" t="str">
        <f>HYPERLINK("https://rhld.insurance.arkansas.gov/NPILookup?Npi=1366285546","1366285546")</f>
        <v>1366285546</v>
      </c>
      <c r="D2723" s="36" t="s">
        <v>35333</v>
      </c>
      <c r="E2723" s="36" t="s">
        <v>2</v>
      </c>
      <c r="F2723" s="36">
        <v>1</v>
      </c>
      <c r="G2723" s="36">
        <v>2</v>
      </c>
      <c r="H2723" s="36">
        <v>0</v>
      </c>
      <c r="I2723" s="37">
        <v>0</v>
      </c>
      <c r="J2723" s="36"/>
      <c r="K2723" s="36" t="s">
        <v>14330</v>
      </c>
      <c r="L2723" s="36" t="s">
        <v>14330</v>
      </c>
      <c r="M2723">
        <v>2</v>
      </c>
      <c r="N2723" t="s">
        <v>14331</v>
      </c>
      <c r="O2723" t="s">
        <v>14333</v>
      </c>
    </row>
    <row r="2724" spans="1:15" x14ac:dyDescent="0.25">
      <c r="A2724" s="35" t="s">
        <v>7328</v>
      </c>
      <c r="B2724" s="36" t="s">
        <v>7329</v>
      </c>
      <c r="C2724" s="36" t="str">
        <f>HYPERLINK("https://rhld.insurance.arkansas.gov/NPILookup?Npi=1366430993","1366430993")</f>
        <v>1366430993</v>
      </c>
      <c r="D2724" s="36" t="s">
        <v>35334</v>
      </c>
      <c r="E2724" s="36" t="s">
        <v>1</v>
      </c>
      <c r="F2724" s="36">
        <v>1</v>
      </c>
      <c r="G2724" s="36">
        <v>2</v>
      </c>
      <c r="H2724" s="36">
        <v>0</v>
      </c>
      <c r="I2724" s="37">
        <v>0</v>
      </c>
      <c r="J2724" s="36" t="s">
        <v>34836</v>
      </c>
      <c r="K2724" s="36" t="s">
        <v>14330</v>
      </c>
      <c r="L2724" s="36" t="s">
        <v>14330</v>
      </c>
      <c r="M2724">
        <v>3</v>
      </c>
      <c r="N2724" t="s">
        <v>14331</v>
      </c>
      <c r="O2724" t="s">
        <v>32633</v>
      </c>
    </row>
    <row r="2725" spans="1:15" x14ac:dyDescent="0.25">
      <c r="A2725" s="35" t="s">
        <v>7328</v>
      </c>
      <c r="B2725" s="36" t="s">
        <v>7329</v>
      </c>
      <c r="C2725" s="36" t="str">
        <f>HYPERLINK("https://rhld.insurance.arkansas.gov/NPILookup?Npi=1366470270","1366470270")</f>
        <v>1366470270</v>
      </c>
      <c r="D2725" s="36" t="s">
        <v>35335</v>
      </c>
      <c r="E2725" s="36" t="s">
        <v>1</v>
      </c>
      <c r="F2725" s="36">
        <v>1</v>
      </c>
      <c r="G2725" s="36">
        <v>3</v>
      </c>
      <c r="H2725" s="36">
        <v>0</v>
      </c>
      <c r="I2725" s="37">
        <v>0</v>
      </c>
      <c r="J2725" s="36" t="s">
        <v>34836</v>
      </c>
      <c r="K2725" s="36" t="s">
        <v>14330</v>
      </c>
      <c r="L2725" s="36" t="s">
        <v>14330</v>
      </c>
      <c r="M2725">
        <v>3</v>
      </c>
      <c r="N2725" t="s">
        <v>14331</v>
      </c>
      <c r="O2725" t="s">
        <v>32633</v>
      </c>
    </row>
    <row r="2726" spans="1:15" x14ac:dyDescent="0.25">
      <c r="A2726" s="35" t="s">
        <v>7328</v>
      </c>
      <c r="B2726" s="36" t="s">
        <v>7329</v>
      </c>
      <c r="C2726" s="36" t="str">
        <f>HYPERLINK("https://rhld.insurance.arkansas.gov/NPILookup?Npi=1366481392","1366481392")</f>
        <v>1366481392</v>
      </c>
      <c r="D2726" s="36" t="s">
        <v>35336</v>
      </c>
      <c r="E2726" s="36" t="s">
        <v>1</v>
      </c>
      <c r="F2726" s="36">
        <v>1</v>
      </c>
      <c r="G2726" s="36">
        <v>3</v>
      </c>
      <c r="H2726" s="36">
        <v>0</v>
      </c>
      <c r="I2726" s="37">
        <v>0</v>
      </c>
      <c r="J2726" s="36" t="s">
        <v>34836</v>
      </c>
      <c r="K2726" s="36" t="s">
        <v>14330</v>
      </c>
      <c r="L2726" s="36" t="s">
        <v>14330</v>
      </c>
      <c r="M2726">
        <v>2</v>
      </c>
      <c r="N2726" t="s">
        <v>14331</v>
      </c>
      <c r="O2726" t="s">
        <v>32633</v>
      </c>
    </row>
    <row r="2727" spans="1:15" x14ac:dyDescent="0.25">
      <c r="A2727" s="35" t="s">
        <v>7328</v>
      </c>
      <c r="B2727" s="36" t="s">
        <v>7329</v>
      </c>
      <c r="C2727" s="36" t="str">
        <f>HYPERLINK("https://rhld.insurance.arkansas.gov/NPILookup?Npi=1366501827","1366501827")</f>
        <v>1366501827</v>
      </c>
      <c r="D2727" s="36" t="s">
        <v>35337</v>
      </c>
      <c r="E2727" s="36" t="s">
        <v>1</v>
      </c>
      <c r="F2727" s="36">
        <v>1</v>
      </c>
      <c r="G2727" s="36">
        <v>2</v>
      </c>
      <c r="H2727" s="36">
        <v>0</v>
      </c>
      <c r="I2727" s="37">
        <v>0</v>
      </c>
      <c r="J2727" s="36" t="s">
        <v>34836</v>
      </c>
      <c r="K2727" s="36" t="s">
        <v>14330</v>
      </c>
      <c r="L2727" s="36" t="s">
        <v>14330</v>
      </c>
      <c r="M2727">
        <v>2</v>
      </c>
      <c r="N2727" t="s">
        <v>14331</v>
      </c>
      <c r="O2727" t="s">
        <v>32633</v>
      </c>
    </row>
    <row r="2728" spans="1:15" x14ac:dyDescent="0.25">
      <c r="A2728" s="35" t="s">
        <v>7328</v>
      </c>
      <c r="B2728" s="36" t="s">
        <v>7329</v>
      </c>
      <c r="C2728" s="36" t="str">
        <f>HYPERLINK("https://rhld.insurance.arkansas.gov/NPILookup?Npi=1366541070","1366541070")</f>
        <v>1366541070</v>
      </c>
      <c r="D2728" s="36" t="s">
        <v>35338</v>
      </c>
      <c r="E2728" s="36" t="s">
        <v>1</v>
      </c>
      <c r="F2728" s="36">
        <v>1</v>
      </c>
      <c r="G2728" s="36">
        <v>2</v>
      </c>
      <c r="H2728" s="36">
        <v>0</v>
      </c>
      <c r="I2728" s="37">
        <v>0</v>
      </c>
      <c r="J2728" s="36" t="s">
        <v>34836</v>
      </c>
      <c r="K2728" s="36" t="s">
        <v>14330</v>
      </c>
      <c r="L2728" s="36" t="s">
        <v>14330</v>
      </c>
      <c r="M2728">
        <v>2</v>
      </c>
      <c r="N2728" t="s">
        <v>14331</v>
      </c>
      <c r="O2728" t="s">
        <v>32633</v>
      </c>
    </row>
    <row r="2729" spans="1:15" x14ac:dyDescent="0.25">
      <c r="A2729" s="35" t="s">
        <v>7328</v>
      </c>
      <c r="B2729" s="36" t="s">
        <v>7329</v>
      </c>
      <c r="C2729" s="36" t="str">
        <f>HYPERLINK("https://rhld.insurance.arkansas.gov/NPILookup?Npi=1366636821","1366636821")</f>
        <v>1366636821</v>
      </c>
      <c r="D2729" s="36" t="s">
        <v>35339</v>
      </c>
      <c r="E2729" s="36" t="s">
        <v>2</v>
      </c>
      <c r="F2729" s="36">
        <v>1</v>
      </c>
      <c r="G2729" s="36">
        <v>2</v>
      </c>
      <c r="H2729" s="36">
        <v>0</v>
      </c>
      <c r="I2729" s="37">
        <v>0</v>
      </c>
      <c r="J2729" s="36" t="s">
        <v>32679</v>
      </c>
      <c r="K2729" s="36" t="s">
        <v>14330</v>
      </c>
      <c r="L2729" s="36" t="s">
        <v>14330</v>
      </c>
      <c r="M2729">
        <v>3</v>
      </c>
      <c r="N2729" t="s">
        <v>14331</v>
      </c>
      <c r="O2729" t="s">
        <v>14333</v>
      </c>
    </row>
    <row r="2730" spans="1:15" x14ac:dyDescent="0.25">
      <c r="A2730" s="35" t="s">
        <v>7328</v>
      </c>
      <c r="B2730" s="36" t="s">
        <v>7329</v>
      </c>
      <c r="C2730" s="36" t="str">
        <f>HYPERLINK("https://rhld.insurance.arkansas.gov/NPILookup?Npi=1366709404","1366709404")</f>
        <v>1366709404</v>
      </c>
      <c r="D2730" s="36" t="s">
        <v>35340</v>
      </c>
      <c r="E2730" s="36" t="s">
        <v>1</v>
      </c>
      <c r="F2730" s="36">
        <v>1</v>
      </c>
      <c r="G2730" s="36">
        <v>3</v>
      </c>
      <c r="H2730" s="36">
        <v>0</v>
      </c>
      <c r="I2730" s="37">
        <v>0</v>
      </c>
      <c r="J2730" s="36" t="s">
        <v>34836</v>
      </c>
      <c r="K2730" s="36" t="s">
        <v>14330</v>
      </c>
      <c r="L2730" s="36" t="s">
        <v>14330</v>
      </c>
      <c r="M2730">
        <v>3</v>
      </c>
      <c r="N2730" t="s">
        <v>14331</v>
      </c>
      <c r="O2730" t="s">
        <v>32633</v>
      </c>
    </row>
    <row r="2731" spans="1:15" x14ac:dyDescent="0.25">
      <c r="A2731" s="35" t="s">
        <v>7328</v>
      </c>
      <c r="B2731" s="36" t="s">
        <v>7329</v>
      </c>
      <c r="C2731" s="36" t="str">
        <f>HYPERLINK("https://rhld.insurance.arkansas.gov/NPILookup?Npi=1366839870","1366839870")</f>
        <v>1366839870</v>
      </c>
      <c r="D2731" s="36" t="s">
        <v>35341</v>
      </c>
      <c r="E2731" s="36" t="s">
        <v>1</v>
      </c>
      <c r="F2731" s="36">
        <v>1</v>
      </c>
      <c r="G2731" s="36">
        <v>3</v>
      </c>
      <c r="H2731" s="36">
        <v>0</v>
      </c>
      <c r="I2731" s="37">
        <v>0</v>
      </c>
      <c r="J2731" s="36" t="s">
        <v>34836</v>
      </c>
      <c r="K2731" s="36" t="s">
        <v>14330</v>
      </c>
      <c r="L2731" s="36" t="s">
        <v>14330</v>
      </c>
      <c r="M2731">
        <v>3</v>
      </c>
      <c r="N2731" t="s">
        <v>14331</v>
      </c>
      <c r="O2731" t="s">
        <v>32633</v>
      </c>
    </row>
    <row r="2732" spans="1:15" x14ac:dyDescent="0.25">
      <c r="A2732" s="35" t="s">
        <v>7328</v>
      </c>
      <c r="B2732" s="36" t="s">
        <v>7329</v>
      </c>
      <c r="C2732" s="36" t="str">
        <f>HYPERLINK("https://rhld.insurance.arkansas.gov/NPILookup?Npi=1366990343","1366990343")</f>
        <v>1366990343</v>
      </c>
      <c r="D2732" s="36" t="s">
        <v>35342</v>
      </c>
      <c r="E2732" s="36" t="s">
        <v>1</v>
      </c>
      <c r="F2732" s="36">
        <v>1</v>
      </c>
      <c r="G2732" s="36">
        <v>3</v>
      </c>
      <c r="H2732" s="36">
        <v>0</v>
      </c>
      <c r="I2732" s="37">
        <v>0</v>
      </c>
      <c r="J2732" s="36" t="s">
        <v>32654</v>
      </c>
      <c r="K2732" s="36" t="s">
        <v>14330</v>
      </c>
      <c r="L2732" s="36" t="s">
        <v>14330</v>
      </c>
      <c r="M2732">
        <v>2</v>
      </c>
      <c r="N2732" t="s">
        <v>14331</v>
      </c>
      <c r="O2732" t="s">
        <v>32633</v>
      </c>
    </row>
    <row r="2733" spans="1:15" x14ac:dyDescent="0.25">
      <c r="A2733" s="35" t="s">
        <v>7328</v>
      </c>
      <c r="B2733" s="36" t="s">
        <v>7329</v>
      </c>
      <c r="C2733" s="36" t="str">
        <f>HYPERLINK("https://rhld.insurance.arkansas.gov/NPILookup?Npi=1376076802","1376076802")</f>
        <v>1376076802</v>
      </c>
      <c r="D2733" s="36" t="s">
        <v>35343</v>
      </c>
      <c r="E2733" s="36" t="s">
        <v>1</v>
      </c>
      <c r="F2733" s="36">
        <v>1</v>
      </c>
      <c r="G2733" s="36">
        <v>2</v>
      </c>
      <c r="H2733" s="36">
        <v>0</v>
      </c>
      <c r="I2733" s="37">
        <v>0</v>
      </c>
      <c r="J2733" s="36" t="s">
        <v>34836</v>
      </c>
      <c r="K2733" s="36" t="s">
        <v>14330</v>
      </c>
      <c r="L2733" s="36" t="s">
        <v>14330</v>
      </c>
      <c r="M2733">
        <v>3</v>
      </c>
      <c r="N2733" t="s">
        <v>14331</v>
      </c>
      <c r="O2733" t="s">
        <v>32633</v>
      </c>
    </row>
    <row r="2734" spans="1:15" x14ac:dyDescent="0.25">
      <c r="A2734" s="35" t="s">
        <v>7328</v>
      </c>
      <c r="B2734" s="36" t="s">
        <v>7329</v>
      </c>
      <c r="C2734" s="36" t="str">
        <f>HYPERLINK("https://rhld.insurance.arkansas.gov/NPILookup?Npi=1376191502","1376191502")</f>
        <v>1376191502</v>
      </c>
      <c r="D2734" s="36" t="s">
        <v>35344</v>
      </c>
      <c r="E2734" s="36" t="s">
        <v>1</v>
      </c>
      <c r="F2734" s="36">
        <v>1</v>
      </c>
      <c r="G2734" s="36">
        <v>3</v>
      </c>
      <c r="H2734" s="36">
        <v>0</v>
      </c>
      <c r="I2734" s="37">
        <v>0</v>
      </c>
      <c r="J2734" s="36" t="s">
        <v>32654</v>
      </c>
      <c r="K2734" s="36" t="s">
        <v>14330</v>
      </c>
      <c r="L2734" s="36" t="s">
        <v>14330</v>
      </c>
      <c r="M2734">
        <v>2</v>
      </c>
      <c r="N2734" t="s">
        <v>14331</v>
      </c>
      <c r="O2734" t="s">
        <v>32633</v>
      </c>
    </row>
    <row r="2735" spans="1:15" x14ac:dyDescent="0.25">
      <c r="A2735" s="35" t="s">
        <v>7328</v>
      </c>
      <c r="B2735" s="36" t="s">
        <v>7329</v>
      </c>
      <c r="C2735" s="36" t="str">
        <f>HYPERLINK("https://rhld.insurance.arkansas.gov/NPILookup?Npi=1376357525","1376357525")</f>
        <v>1376357525</v>
      </c>
      <c r="D2735" s="36" t="s">
        <v>34720</v>
      </c>
      <c r="E2735" s="36" t="s">
        <v>2</v>
      </c>
      <c r="F2735" s="36">
        <v>1</v>
      </c>
      <c r="G2735" s="36">
        <v>2</v>
      </c>
      <c r="H2735" s="36">
        <v>0</v>
      </c>
      <c r="I2735" s="37">
        <v>0</v>
      </c>
      <c r="J2735" s="36"/>
      <c r="K2735" s="36" t="s">
        <v>14330</v>
      </c>
      <c r="L2735" s="36" t="s">
        <v>14330</v>
      </c>
      <c r="M2735">
        <v>3</v>
      </c>
      <c r="N2735" t="s">
        <v>14331</v>
      </c>
      <c r="O2735" t="s">
        <v>14333</v>
      </c>
    </row>
    <row r="2736" spans="1:15" x14ac:dyDescent="0.25">
      <c r="A2736" s="35" t="s">
        <v>7328</v>
      </c>
      <c r="B2736" s="36" t="s">
        <v>7329</v>
      </c>
      <c r="C2736" s="36" t="str">
        <f>HYPERLINK("https://rhld.insurance.arkansas.gov/NPILookup?Npi=1376500108","1376500108")</f>
        <v>1376500108</v>
      </c>
      <c r="D2736" s="36" t="s">
        <v>35345</v>
      </c>
      <c r="E2736" s="36" t="s">
        <v>1</v>
      </c>
      <c r="F2736" s="36">
        <v>1</v>
      </c>
      <c r="G2736" s="36">
        <v>3</v>
      </c>
      <c r="H2736" s="36">
        <v>0</v>
      </c>
      <c r="I2736" s="37">
        <v>0</v>
      </c>
      <c r="J2736" s="36" t="s">
        <v>34836</v>
      </c>
      <c r="K2736" s="36" t="s">
        <v>14330</v>
      </c>
      <c r="L2736" s="36" t="s">
        <v>14330</v>
      </c>
      <c r="M2736">
        <v>3</v>
      </c>
      <c r="N2736" t="s">
        <v>14331</v>
      </c>
      <c r="O2736" t="s">
        <v>32633</v>
      </c>
    </row>
    <row r="2737" spans="1:15" x14ac:dyDescent="0.25">
      <c r="A2737" s="35" t="s">
        <v>7328</v>
      </c>
      <c r="B2737" s="36" t="s">
        <v>7329</v>
      </c>
      <c r="C2737" s="36" t="str">
        <f>HYPERLINK("https://rhld.insurance.arkansas.gov/NPILookup?Npi=1376550640","1376550640")</f>
        <v>1376550640</v>
      </c>
      <c r="D2737" s="36" t="s">
        <v>35346</v>
      </c>
      <c r="E2737" s="36" t="s">
        <v>1</v>
      </c>
      <c r="F2737" s="36">
        <v>1</v>
      </c>
      <c r="G2737" s="36">
        <v>3</v>
      </c>
      <c r="H2737" s="36">
        <v>0</v>
      </c>
      <c r="I2737" s="37">
        <v>0</v>
      </c>
      <c r="J2737" s="36" t="s">
        <v>32654</v>
      </c>
      <c r="K2737" s="36" t="s">
        <v>14330</v>
      </c>
      <c r="L2737" s="36" t="s">
        <v>14330</v>
      </c>
      <c r="M2737">
        <v>2</v>
      </c>
      <c r="N2737" t="s">
        <v>14331</v>
      </c>
      <c r="O2737" t="s">
        <v>32633</v>
      </c>
    </row>
    <row r="2738" spans="1:15" x14ac:dyDescent="0.25">
      <c r="A2738" s="35" t="s">
        <v>7328</v>
      </c>
      <c r="B2738" s="36" t="s">
        <v>7329</v>
      </c>
      <c r="C2738" s="36" t="str">
        <f>HYPERLINK("https://rhld.insurance.arkansas.gov/NPILookup?Npi=1376562132","1376562132")</f>
        <v>1376562132</v>
      </c>
      <c r="D2738" s="36" t="s">
        <v>33141</v>
      </c>
      <c r="E2738" s="36" t="s">
        <v>1</v>
      </c>
      <c r="F2738" s="36">
        <v>1</v>
      </c>
      <c r="G2738" s="36">
        <v>2</v>
      </c>
      <c r="H2738" s="36">
        <v>0</v>
      </c>
      <c r="I2738" s="37">
        <v>0</v>
      </c>
      <c r="J2738" s="36" t="s">
        <v>34836</v>
      </c>
      <c r="K2738" s="36" t="s">
        <v>14330</v>
      </c>
      <c r="L2738" s="36" t="s">
        <v>14330</v>
      </c>
      <c r="M2738">
        <v>3</v>
      </c>
      <c r="N2738" t="s">
        <v>14331</v>
      </c>
      <c r="O2738" t="s">
        <v>32633</v>
      </c>
    </row>
    <row r="2739" spans="1:15" x14ac:dyDescent="0.25">
      <c r="A2739" s="35" t="s">
        <v>7328</v>
      </c>
      <c r="B2739" s="36" t="s">
        <v>7329</v>
      </c>
      <c r="C2739" s="36" t="str">
        <f>HYPERLINK("https://rhld.insurance.arkansas.gov/NPILookup?Npi=1376716290","1376716290")</f>
        <v>1376716290</v>
      </c>
      <c r="D2739" s="36" t="s">
        <v>35347</v>
      </c>
      <c r="E2739" s="36" t="s">
        <v>1</v>
      </c>
      <c r="F2739" s="36">
        <v>1</v>
      </c>
      <c r="G2739" s="36">
        <v>3</v>
      </c>
      <c r="H2739" s="36">
        <v>0</v>
      </c>
      <c r="I2739" s="37">
        <v>0</v>
      </c>
      <c r="J2739" s="36" t="s">
        <v>34836</v>
      </c>
      <c r="K2739" s="36" t="s">
        <v>14330</v>
      </c>
      <c r="L2739" s="36" t="s">
        <v>14330</v>
      </c>
      <c r="M2739">
        <v>3</v>
      </c>
      <c r="N2739" t="s">
        <v>14331</v>
      </c>
      <c r="O2739" t="s">
        <v>32633</v>
      </c>
    </row>
    <row r="2740" spans="1:15" x14ac:dyDescent="0.25">
      <c r="A2740" s="35" t="s">
        <v>7328</v>
      </c>
      <c r="B2740" s="36" t="s">
        <v>7329</v>
      </c>
      <c r="C2740" s="36" t="str">
        <f>HYPERLINK("https://rhld.insurance.arkansas.gov/NPILookup?Npi=1376804609","1376804609")</f>
        <v>1376804609</v>
      </c>
      <c r="D2740" s="36" t="s">
        <v>35348</v>
      </c>
      <c r="E2740" s="36" t="s">
        <v>1</v>
      </c>
      <c r="F2740" s="36">
        <v>1</v>
      </c>
      <c r="G2740" s="36">
        <v>3</v>
      </c>
      <c r="H2740" s="36">
        <v>0</v>
      </c>
      <c r="I2740" s="37">
        <v>0</v>
      </c>
      <c r="J2740" s="36" t="s">
        <v>34836</v>
      </c>
      <c r="K2740" s="36" t="s">
        <v>14330</v>
      </c>
      <c r="L2740" s="36" t="s">
        <v>14330</v>
      </c>
      <c r="M2740">
        <v>2</v>
      </c>
      <c r="N2740" t="s">
        <v>14331</v>
      </c>
      <c r="O2740" t="s">
        <v>32633</v>
      </c>
    </row>
    <row r="2741" spans="1:15" x14ac:dyDescent="0.25">
      <c r="A2741" s="35" t="s">
        <v>7328</v>
      </c>
      <c r="B2741" s="36" t="s">
        <v>7329</v>
      </c>
      <c r="C2741" s="36" t="str">
        <f>HYPERLINK("https://rhld.insurance.arkansas.gov/NPILookup?Npi=1376805911","1376805911")</f>
        <v>1376805911</v>
      </c>
      <c r="D2741" s="36" t="s">
        <v>35349</v>
      </c>
      <c r="E2741" s="36" t="s">
        <v>2</v>
      </c>
      <c r="F2741" s="36">
        <v>1</v>
      </c>
      <c r="G2741" s="36">
        <v>2</v>
      </c>
      <c r="H2741" s="36">
        <v>0</v>
      </c>
      <c r="I2741" s="37">
        <v>0</v>
      </c>
      <c r="J2741" s="36" t="s">
        <v>32679</v>
      </c>
      <c r="K2741" s="36" t="s">
        <v>14330</v>
      </c>
      <c r="L2741" s="36" t="s">
        <v>14330</v>
      </c>
      <c r="M2741">
        <v>3</v>
      </c>
      <c r="N2741" t="s">
        <v>14331</v>
      </c>
      <c r="O2741" t="s">
        <v>14333</v>
      </c>
    </row>
    <row r="2742" spans="1:15" x14ac:dyDescent="0.25">
      <c r="A2742" s="35" t="s">
        <v>7328</v>
      </c>
      <c r="B2742" s="36" t="s">
        <v>7329</v>
      </c>
      <c r="C2742" s="36" t="str">
        <f>HYPERLINK("https://rhld.insurance.arkansas.gov/NPILookup?Npi=1376837344","1376837344")</f>
        <v>1376837344</v>
      </c>
      <c r="D2742" s="36" t="s">
        <v>35350</v>
      </c>
      <c r="E2742" s="36" t="s">
        <v>1</v>
      </c>
      <c r="F2742" s="36">
        <v>1</v>
      </c>
      <c r="G2742" s="36">
        <v>3</v>
      </c>
      <c r="H2742" s="36">
        <v>0</v>
      </c>
      <c r="I2742" s="37">
        <v>0</v>
      </c>
      <c r="J2742" s="36" t="s">
        <v>34836</v>
      </c>
      <c r="K2742" s="36" t="s">
        <v>14330</v>
      </c>
      <c r="L2742" s="36" t="s">
        <v>14330</v>
      </c>
      <c r="M2742">
        <v>3</v>
      </c>
      <c r="N2742" t="s">
        <v>14331</v>
      </c>
      <c r="O2742" t="s">
        <v>32633</v>
      </c>
    </row>
    <row r="2743" spans="1:15" x14ac:dyDescent="0.25">
      <c r="A2743" s="35" t="s">
        <v>7328</v>
      </c>
      <c r="B2743" s="36" t="s">
        <v>7329</v>
      </c>
      <c r="C2743" s="36" t="str">
        <f>HYPERLINK("https://rhld.insurance.arkansas.gov/NPILookup?Npi=1376964213","1376964213")</f>
        <v>1376964213</v>
      </c>
      <c r="D2743" s="36" t="s">
        <v>35245</v>
      </c>
      <c r="E2743" s="36" t="s">
        <v>1</v>
      </c>
      <c r="F2743" s="36">
        <v>1</v>
      </c>
      <c r="G2743" s="36">
        <v>3</v>
      </c>
      <c r="H2743" s="36">
        <v>0</v>
      </c>
      <c r="I2743" s="37">
        <v>0</v>
      </c>
      <c r="J2743" s="36" t="s">
        <v>32654</v>
      </c>
      <c r="K2743" s="36" t="s">
        <v>14330</v>
      </c>
      <c r="L2743" s="36" t="s">
        <v>14330</v>
      </c>
      <c r="M2743">
        <v>3</v>
      </c>
      <c r="N2743" t="s">
        <v>14331</v>
      </c>
      <c r="O2743" t="s">
        <v>32633</v>
      </c>
    </row>
    <row r="2744" spans="1:15" x14ac:dyDescent="0.25">
      <c r="A2744" s="35" t="s">
        <v>7328</v>
      </c>
      <c r="B2744" s="36" t="s">
        <v>7329</v>
      </c>
      <c r="C2744" s="36" t="str">
        <f>HYPERLINK("https://rhld.insurance.arkansas.gov/NPILookup?Npi=1386060010","1386060010")</f>
        <v>1386060010</v>
      </c>
      <c r="D2744" s="36" t="s">
        <v>35351</v>
      </c>
      <c r="E2744" s="36" t="s">
        <v>1</v>
      </c>
      <c r="F2744" s="36">
        <v>1</v>
      </c>
      <c r="G2744" s="36">
        <v>3</v>
      </c>
      <c r="H2744" s="36">
        <v>0</v>
      </c>
      <c r="I2744" s="37">
        <v>0</v>
      </c>
      <c r="J2744" s="36" t="s">
        <v>32654</v>
      </c>
      <c r="K2744" s="36" t="s">
        <v>14330</v>
      </c>
      <c r="L2744" s="36" t="s">
        <v>14330</v>
      </c>
      <c r="M2744">
        <v>3</v>
      </c>
      <c r="N2744" t="s">
        <v>14331</v>
      </c>
      <c r="O2744" t="s">
        <v>32633</v>
      </c>
    </row>
    <row r="2745" spans="1:15" x14ac:dyDescent="0.25">
      <c r="A2745" s="35" t="s">
        <v>7328</v>
      </c>
      <c r="B2745" s="36" t="s">
        <v>7329</v>
      </c>
      <c r="C2745" s="36" t="str">
        <f>HYPERLINK("https://rhld.insurance.arkansas.gov/NPILookup?Npi=1386230449","1386230449")</f>
        <v>1386230449</v>
      </c>
      <c r="D2745" s="36" t="s">
        <v>35352</v>
      </c>
      <c r="E2745" s="36" t="s">
        <v>1</v>
      </c>
      <c r="F2745" s="36">
        <v>1</v>
      </c>
      <c r="G2745" s="36">
        <v>3</v>
      </c>
      <c r="H2745" s="36">
        <v>0</v>
      </c>
      <c r="I2745" s="37">
        <v>0</v>
      </c>
      <c r="J2745" s="36" t="s">
        <v>32654</v>
      </c>
      <c r="K2745" s="36" t="s">
        <v>14330</v>
      </c>
      <c r="L2745" s="36" t="s">
        <v>14330</v>
      </c>
      <c r="M2745">
        <v>2</v>
      </c>
      <c r="N2745" t="s">
        <v>14331</v>
      </c>
      <c r="O2745" t="s">
        <v>32633</v>
      </c>
    </row>
    <row r="2746" spans="1:15" x14ac:dyDescent="0.25">
      <c r="A2746" s="35" t="s">
        <v>7328</v>
      </c>
      <c r="B2746" s="36" t="s">
        <v>7329</v>
      </c>
      <c r="C2746" s="36" t="str">
        <f>HYPERLINK("https://rhld.insurance.arkansas.gov/NPILookup?Npi=1386279263","1386279263")</f>
        <v>1386279263</v>
      </c>
      <c r="D2746" s="36" t="s">
        <v>35353</v>
      </c>
      <c r="E2746" s="36" t="s">
        <v>1</v>
      </c>
      <c r="F2746" s="36">
        <v>1</v>
      </c>
      <c r="G2746" s="36">
        <v>2</v>
      </c>
      <c r="H2746" s="36">
        <v>0</v>
      </c>
      <c r="I2746" s="37">
        <v>0</v>
      </c>
      <c r="J2746" s="36" t="s">
        <v>32654</v>
      </c>
      <c r="K2746" s="36" t="s">
        <v>14330</v>
      </c>
      <c r="L2746" s="36" t="s">
        <v>14330</v>
      </c>
      <c r="M2746">
        <v>2</v>
      </c>
      <c r="N2746" t="s">
        <v>14331</v>
      </c>
      <c r="O2746" t="s">
        <v>32633</v>
      </c>
    </row>
    <row r="2747" spans="1:15" x14ac:dyDescent="0.25">
      <c r="A2747" s="35" t="s">
        <v>7328</v>
      </c>
      <c r="B2747" s="36" t="s">
        <v>7329</v>
      </c>
      <c r="C2747" s="36" t="str">
        <f>HYPERLINK("https://rhld.insurance.arkansas.gov/NPILookup?Npi=1386397651","1386397651")</f>
        <v>1386397651</v>
      </c>
      <c r="D2747" s="36" t="s">
        <v>35354</v>
      </c>
      <c r="E2747" s="36" t="s">
        <v>1</v>
      </c>
      <c r="F2747" s="36">
        <v>1</v>
      </c>
      <c r="G2747" s="36">
        <v>2</v>
      </c>
      <c r="H2747" s="36">
        <v>0</v>
      </c>
      <c r="I2747" s="37">
        <v>0</v>
      </c>
      <c r="J2747" s="36" t="s">
        <v>32654</v>
      </c>
      <c r="K2747" s="36" t="s">
        <v>14330</v>
      </c>
      <c r="L2747" s="36" t="s">
        <v>14330</v>
      </c>
      <c r="M2747">
        <v>2</v>
      </c>
      <c r="N2747" t="s">
        <v>14331</v>
      </c>
      <c r="O2747" t="s">
        <v>32633</v>
      </c>
    </row>
    <row r="2748" spans="1:15" x14ac:dyDescent="0.25">
      <c r="A2748" s="35" t="s">
        <v>7328</v>
      </c>
      <c r="B2748" s="36" t="s">
        <v>7329</v>
      </c>
      <c r="C2748" s="36" t="str">
        <f>HYPERLINK("https://rhld.insurance.arkansas.gov/NPILookup?Npi=1386450393","1386450393")</f>
        <v>1386450393</v>
      </c>
      <c r="D2748" s="36" t="s">
        <v>35355</v>
      </c>
      <c r="E2748" s="36" t="s">
        <v>2</v>
      </c>
      <c r="F2748" s="36">
        <v>1</v>
      </c>
      <c r="G2748" s="36">
        <v>2</v>
      </c>
      <c r="H2748" s="36">
        <v>0</v>
      </c>
      <c r="I2748" s="37">
        <v>0</v>
      </c>
      <c r="J2748" s="36"/>
      <c r="K2748" s="36" t="s">
        <v>14330</v>
      </c>
      <c r="L2748" s="36" t="s">
        <v>14330</v>
      </c>
      <c r="M2748">
        <v>2</v>
      </c>
      <c r="N2748" t="s">
        <v>14331</v>
      </c>
      <c r="O2748" t="s">
        <v>14333</v>
      </c>
    </row>
    <row r="2749" spans="1:15" x14ac:dyDescent="0.25">
      <c r="A2749" s="35" t="s">
        <v>7328</v>
      </c>
      <c r="B2749" s="36" t="s">
        <v>7329</v>
      </c>
      <c r="C2749" s="36" t="str">
        <f>HYPERLINK("https://rhld.insurance.arkansas.gov/NPILookup?Npi=1386460905","1386460905")</f>
        <v>1386460905</v>
      </c>
      <c r="D2749" s="36" t="s">
        <v>35356</v>
      </c>
      <c r="E2749" s="36" t="s">
        <v>2</v>
      </c>
      <c r="F2749" s="36">
        <v>1</v>
      </c>
      <c r="G2749" s="36">
        <v>2</v>
      </c>
      <c r="H2749" s="36">
        <v>0</v>
      </c>
      <c r="I2749" s="37">
        <v>0</v>
      </c>
      <c r="J2749" s="36"/>
      <c r="K2749" s="36" t="s">
        <v>14330</v>
      </c>
      <c r="L2749" s="36" t="s">
        <v>14330</v>
      </c>
      <c r="M2749">
        <v>3</v>
      </c>
      <c r="N2749" t="s">
        <v>14331</v>
      </c>
      <c r="O2749" t="s">
        <v>14333</v>
      </c>
    </row>
    <row r="2750" spans="1:15" x14ac:dyDescent="0.25">
      <c r="A2750" s="35" t="s">
        <v>7328</v>
      </c>
      <c r="B2750" s="36" t="s">
        <v>7329</v>
      </c>
      <c r="C2750" s="36" t="str">
        <f>HYPERLINK("https://rhld.insurance.arkansas.gov/NPILookup?Npi=1386600567","1386600567")</f>
        <v>1386600567</v>
      </c>
      <c r="D2750" s="36" t="s">
        <v>35357</v>
      </c>
      <c r="E2750" s="36" t="s">
        <v>1</v>
      </c>
      <c r="F2750" s="36">
        <v>1</v>
      </c>
      <c r="G2750" s="36">
        <v>3</v>
      </c>
      <c r="H2750" s="36">
        <v>0</v>
      </c>
      <c r="I2750" s="37">
        <v>0</v>
      </c>
      <c r="J2750" s="36" t="s">
        <v>34836</v>
      </c>
      <c r="K2750" s="36" t="s">
        <v>14330</v>
      </c>
      <c r="L2750" s="36" t="s">
        <v>14330</v>
      </c>
      <c r="M2750">
        <v>3</v>
      </c>
      <c r="N2750" t="s">
        <v>14331</v>
      </c>
      <c r="O2750" t="s">
        <v>32633</v>
      </c>
    </row>
    <row r="2751" spans="1:15" x14ac:dyDescent="0.25">
      <c r="A2751" s="35" t="s">
        <v>7328</v>
      </c>
      <c r="B2751" s="36" t="s">
        <v>7329</v>
      </c>
      <c r="C2751" s="36" t="str">
        <f>HYPERLINK("https://rhld.insurance.arkansas.gov/NPILookup?Npi=1386640175","1386640175")</f>
        <v>1386640175</v>
      </c>
      <c r="D2751" s="36" t="s">
        <v>35358</v>
      </c>
      <c r="E2751" s="36" t="s">
        <v>1</v>
      </c>
      <c r="F2751" s="36">
        <v>1</v>
      </c>
      <c r="G2751" s="36">
        <v>3</v>
      </c>
      <c r="H2751" s="36">
        <v>0</v>
      </c>
      <c r="I2751" s="37">
        <v>0</v>
      </c>
      <c r="J2751" s="36" t="s">
        <v>32654</v>
      </c>
      <c r="K2751" s="36" t="s">
        <v>14330</v>
      </c>
      <c r="L2751" s="36" t="s">
        <v>14330</v>
      </c>
      <c r="M2751">
        <v>3</v>
      </c>
      <c r="N2751" t="s">
        <v>14331</v>
      </c>
      <c r="O2751" t="s">
        <v>32633</v>
      </c>
    </row>
    <row r="2752" spans="1:15" x14ac:dyDescent="0.25">
      <c r="A2752" s="35" t="s">
        <v>7328</v>
      </c>
      <c r="B2752" s="36" t="s">
        <v>7329</v>
      </c>
      <c r="C2752" s="36" t="str">
        <f>HYPERLINK("https://rhld.insurance.arkansas.gov/NPILookup?Npi=1386652006","1386652006")</f>
        <v>1386652006</v>
      </c>
      <c r="D2752" s="36" t="s">
        <v>35359</v>
      </c>
      <c r="E2752" s="36" t="s">
        <v>1</v>
      </c>
      <c r="F2752" s="36">
        <v>1</v>
      </c>
      <c r="G2752" s="36">
        <v>3</v>
      </c>
      <c r="H2752" s="36">
        <v>0</v>
      </c>
      <c r="I2752" s="37">
        <v>0</v>
      </c>
      <c r="J2752" s="36" t="s">
        <v>34836</v>
      </c>
      <c r="K2752" s="36" t="s">
        <v>14330</v>
      </c>
      <c r="L2752" s="36" t="s">
        <v>14330</v>
      </c>
      <c r="M2752">
        <v>3</v>
      </c>
      <c r="N2752" t="s">
        <v>14331</v>
      </c>
      <c r="O2752" t="s">
        <v>32633</v>
      </c>
    </row>
    <row r="2753" spans="1:15" x14ac:dyDescent="0.25">
      <c r="A2753" s="35" t="s">
        <v>7328</v>
      </c>
      <c r="B2753" s="36" t="s">
        <v>7329</v>
      </c>
      <c r="C2753" s="36" t="str">
        <f>HYPERLINK("https://rhld.insurance.arkansas.gov/NPILookup?Npi=1386703619","1386703619")</f>
        <v>1386703619</v>
      </c>
      <c r="D2753" s="36" t="s">
        <v>33146</v>
      </c>
      <c r="E2753" s="36" t="s">
        <v>1</v>
      </c>
      <c r="F2753" s="36">
        <v>1</v>
      </c>
      <c r="G2753" s="36">
        <v>3</v>
      </c>
      <c r="H2753" s="36">
        <v>0</v>
      </c>
      <c r="I2753" s="37">
        <v>0</v>
      </c>
      <c r="J2753" s="36" t="s">
        <v>34836</v>
      </c>
      <c r="K2753" s="36" t="s">
        <v>14330</v>
      </c>
      <c r="L2753" s="36" t="s">
        <v>14330</v>
      </c>
      <c r="M2753">
        <v>3</v>
      </c>
      <c r="N2753" t="s">
        <v>14331</v>
      </c>
      <c r="O2753" t="s">
        <v>32633</v>
      </c>
    </row>
    <row r="2754" spans="1:15" x14ac:dyDescent="0.25">
      <c r="A2754" s="35" t="s">
        <v>7328</v>
      </c>
      <c r="B2754" s="36" t="s">
        <v>7329</v>
      </c>
      <c r="C2754" s="36" t="str">
        <f>HYPERLINK("https://rhld.insurance.arkansas.gov/NPILookup?Npi=1386734861","1386734861")</f>
        <v>1386734861</v>
      </c>
      <c r="D2754" s="36" t="s">
        <v>35360</v>
      </c>
      <c r="E2754" s="36" t="s">
        <v>1</v>
      </c>
      <c r="F2754" s="36">
        <v>1</v>
      </c>
      <c r="G2754" s="36">
        <v>3</v>
      </c>
      <c r="H2754" s="36">
        <v>0</v>
      </c>
      <c r="I2754" s="37">
        <v>0</v>
      </c>
      <c r="J2754" s="36" t="s">
        <v>34836</v>
      </c>
      <c r="K2754" s="36" t="s">
        <v>14330</v>
      </c>
      <c r="L2754" s="36" t="s">
        <v>14330</v>
      </c>
      <c r="M2754">
        <v>3</v>
      </c>
      <c r="N2754" t="s">
        <v>14331</v>
      </c>
      <c r="O2754" t="s">
        <v>32633</v>
      </c>
    </row>
    <row r="2755" spans="1:15" x14ac:dyDescent="0.25">
      <c r="A2755" s="35" t="s">
        <v>7328</v>
      </c>
      <c r="B2755" s="36" t="s">
        <v>7329</v>
      </c>
      <c r="C2755" s="36" t="str">
        <f>HYPERLINK("https://rhld.insurance.arkansas.gov/NPILookup?Npi=1386868545","1386868545")</f>
        <v>1386868545</v>
      </c>
      <c r="D2755" s="36" t="s">
        <v>35361</v>
      </c>
      <c r="E2755" s="36" t="s">
        <v>1</v>
      </c>
      <c r="F2755" s="36">
        <v>1</v>
      </c>
      <c r="G2755" s="36">
        <v>3</v>
      </c>
      <c r="H2755" s="36">
        <v>0</v>
      </c>
      <c r="I2755" s="37">
        <v>0</v>
      </c>
      <c r="J2755" s="36" t="s">
        <v>34836</v>
      </c>
      <c r="K2755" s="36" t="s">
        <v>14330</v>
      </c>
      <c r="L2755" s="36" t="s">
        <v>14330</v>
      </c>
      <c r="M2755">
        <v>2</v>
      </c>
      <c r="N2755" t="s">
        <v>14331</v>
      </c>
      <c r="O2755" t="s">
        <v>32633</v>
      </c>
    </row>
    <row r="2756" spans="1:15" x14ac:dyDescent="0.25">
      <c r="A2756" s="35" t="s">
        <v>7328</v>
      </c>
      <c r="B2756" s="36" t="s">
        <v>7329</v>
      </c>
      <c r="C2756" s="36" t="str">
        <f>HYPERLINK("https://rhld.insurance.arkansas.gov/NPILookup?Npi=1386932978","1386932978")</f>
        <v>1386932978</v>
      </c>
      <c r="D2756" s="36" t="s">
        <v>35362</v>
      </c>
      <c r="E2756" s="36" t="s">
        <v>1</v>
      </c>
      <c r="F2756" s="36">
        <v>1</v>
      </c>
      <c r="G2756" s="36">
        <v>2</v>
      </c>
      <c r="H2756" s="36">
        <v>0</v>
      </c>
      <c r="I2756" s="37">
        <v>0</v>
      </c>
      <c r="J2756" s="36" t="s">
        <v>34836</v>
      </c>
      <c r="K2756" s="36" t="s">
        <v>14330</v>
      </c>
      <c r="L2756" s="36" t="s">
        <v>14330</v>
      </c>
      <c r="M2756">
        <v>3</v>
      </c>
      <c r="N2756" t="s">
        <v>14331</v>
      </c>
      <c r="O2756" t="s">
        <v>32633</v>
      </c>
    </row>
    <row r="2757" spans="1:15" x14ac:dyDescent="0.25">
      <c r="A2757" s="35" t="s">
        <v>7328</v>
      </c>
      <c r="B2757" s="36" t="s">
        <v>7329</v>
      </c>
      <c r="C2757" s="36" t="str">
        <f>HYPERLINK("https://rhld.insurance.arkansas.gov/NPILookup?Npi=1396013363","1396013363")</f>
        <v>1396013363</v>
      </c>
      <c r="D2757" s="36" t="s">
        <v>35363</v>
      </c>
      <c r="E2757" s="36" t="s">
        <v>1</v>
      </c>
      <c r="F2757" s="36">
        <v>1</v>
      </c>
      <c r="G2757" s="36">
        <v>3</v>
      </c>
      <c r="H2757" s="36">
        <v>0</v>
      </c>
      <c r="I2757" s="37">
        <v>0</v>
      </c>
      <c r="J2757" s="36" t="s">
        <v>32654</v>
      </c>
      <c r="K2757" s="36" t="s">
        <v>14330</v>
      </c>
      <c r="L2757" s="36" t="s">
        <v>14330</v>
      </c>
      <c r="M2757">
        <v>2</v>
      </c>
      <c r="N2757" t="s">
        <v>14331</v>
      </c>
      <c r="O2757" t="s">
        <v>32633</v>
      </c>
    </row>
    <row r="2758" spans="1:15" x14ac:dyDescent="0.25">
      <c r="A2758" s="35" t="s">
        <v>7328</v>
      </c>
      <c r="B2758" s="36" t="s">
        <v>7329</v>
      </c>
      <c r="C2758" s="36" t="str">
        <f>HYPERLINK("https://rhld.insurance.arkansas.gov/NPILookup?Npi=1396110490","1396110490")</f>
        <v>1396110490</v>
      </c>
      <c r="D2758" s="36" t="s">
        <v>35364</v>
      </c>
      <c r="E2758" s="36" t="s">
        <v>2</v>
      </c>
      <c r="F2758" s="36">
        <v>1</v>
      </c>
      <c r="G2758" s="36">
        <v>2</v>
      </c>
      <c r="H2758" s="36">
        <v>0</v>
      </c>
      <c r="I2758" s="37">
        <v>0</v>
      </c>
      <c r="J2758" s="36"/>
      <c r="K2758" s="36" t="s">
        <v>14330</v>
      </c>
      <c r="L2758" s="36" t="s">
        <v>14330</v>
      </c>
      <c r="M2758">
        <v>1</v>
      </c>
      <c r="N2758" t="s">
        <v>14331</v>
      </c>
      <c r="O2758" t="s">
        <v>14333</v>
      </c>
    </row>
    <row r="2759" spans="1:15" x14ac:dyDescent="0.25">
      <c r="A2759" s="35" t="s">
        <v>7328</v>
      </c>
      <c r="B2759" s="36" t="s">
        <v>7329</v>
      </c>
      <c r="C2759" s="36" t="str">
        <f>HYPERLINK("https://rhld.insurance.arkansas.gov/NPILookup?Npi=1396163408","1396163408")</f>
        <v>1396163408</v>
      </c>
      <c r="D2759" s="36" t="s">
        <v>35365</v>
      </c>
      <c r="E2759" s="36" t="s">
        <v>1</v>
      </c>
      <c r="F2759" s="36">
        <v>1</v>
      </c>
      <c r="G2759" s="36">
        <v>1</v>
      </c>
      <c r="H2759" s="36">
        <v>0</v>
      </c>
      <c r="I2759" s="37">
        <v>0</v>
      </c>
      <c r="J2759" s="36" t="s">
        <v>34836</v>
      </c>
      <c r="K2759" s="36" t="s">
        <v>14330</v>
      </c>
      <c r="L2759" s="36" t="s">
        <v>14330</v>
      </c>
      <c r="M2759">
        <v>2</v>
      </c>
      <c r="N2759" t="s">
        <v>14331</v>
      </c>
      <c r="O2759" t="s">
        <v>32633</v>
      </c>
    </row>
    <row r="2760" spans="1:15" x14ac:dyDescent="0.25">
      <c r="A2760" s="35" t="s">
        <v>7328</v>
      </c>
      <c r="B2760" s="36" t="s">
        <v>7329</v>
      </c>
      <c r="C2760" s="36" t="str">
        <f>HYPERLINK("https://rhld.insurance.arkansas.gov/NPILookup?Npi=1396208658","1396208658")</f>
        <v>1396208658</v>
      </c>
      <c r="D2760" s="36" t="s">
        <v>35366</v>
      </c>
      <c r="E2760" s="36" t="s">
        <v>1</v>
      </c>
      <c r="F2760" s="36">
        <v>1</v>
      </c>
      <c r="G2760" s="36">
        <v>2</v>
      </c>
      <c r="H2760" s="36">
        <v>0</v>
      </c>
      <c r="I2760" s="37">
        <v>0</v>
      </c>
      <c r="J2760" s="36" t="s">
        <v>34836</v>
      </c>
      <c r="K2760" s="36" t="s">
        <v>14330</v>
      </c>
      <c r="L2760" s="36" t="s">
        <v>14330</v>
      </c>
      <c r="M2760">
        <v>3</v>
      </c>
      <c r="N2760" t="s">
        <v>14331</v>
      </c>
      <c r="O2760" t="s">
        <v>32633</v>
      </c>
    </row>
    <row r="2761" spans="1:15" x14ac:dyDescent="0.25">
      <c r="A2761" s="35" t="s">
        <v>7328</v>
      </c>
      <c r="B2761" s="36" t="s">
        <v>7329</v>
      </c>
      <c r="C2761" s="36" t="str">
        <f>HYPERLINK("https://rhld.insurance.arkansas.gov/NPILookup?Npi=1396224002","1396224002")</f>
        <v>1396224002</v>
      </c>
      <c r="D2761" s="36" t="s">
        <v>35367</v>
      </c>
      <c r="E2761" s="36" t="s">
        <v>1</v>
      </c>
      <c r="F2761" s="36">
        <v>1</v>
      </c>
      <c r="G2761" s="36">
        <v>3</v>
      </c>
      <c r="H2761" s="36">
        <v>0</v>
      </c>
      <c r="I2761" s="37">
        <v>0</v>
      </c>
      <c r="J2761" s="36" t="s">
        <v>32654</v>
      </c>
      <c r="K2761" s="36" t="s">
        <v>14330</v>
      </c>
      <c r="L2761" s="36" t="s">
        <v>14330</v>
      </c>
      <c r="M2761">
        <v>1</v>
      </c>
      <c r="N2761" t="s">
        <v>14331</v>
      </c>
      <c r="O2761" t="s">
        <v>32633</v>
      </c>
    </row>
    <row r="2762" spans="1:15" x14ac:dyDescent="0.25">
      <c r="A2762" s="35" t="s">
        <v>7328</v>
      </c>
      <c r="B2762" s="36" t="s">
        <v>7329</v>
      </c>
      <c r="C2762" s="36" t="str">
        <f>HYPERLINK("https://rhld.insurance.arkansas.gov/NPILookup?Npi=1396266656","1396266656")</f>
        <v>1396266656</v>
      </c>
      <c r="D2762" s="36" t="s">
        <v>35368</v>
      </c>
      <c r="E2762" s="36" t="s">
        <v>1</v>
      </c>
      <c r="F2762" s="36">
        <v>1</v>
      </c>
      <c r="G2762" s="36">
        <v>1</v>
      </c>
      <c r="H2762" s="36">
        <v>0</v>
      </c>
      <c r="I2762" s="37">
        <v>0</v>
      </c>
      <c r="J2762" s="36" t="s">
        <v>34836</v>
      </c>
      <c r="K2762" s="36" t="s">
        <v>14330</v>
      </c>
      <c r="L2762" s="36" t="s">
        <v>14330</v>
      </c>
      <c r="M2762">
        <v>3</v>
      </c>
      <c r="N2762" t="s">
        <v>14331</v>
      </c>
      <c r="O2762" t="s">
        <v>32633</v>
      </c>
    </row>
    <row r="2763" spans="1:15" x14ac:dyDescent="0.25">
      <c r="A2763" s="35" t="s">
        <v>7328</v>
      </c>
      <c r="B2763" s="36" t="s">
        <v>7329</v>
      </c>
      <c r="C2763" s="36" t="str">
        <f>HYPERLINK("https://rhld.insurance.arkansas.gov/NPILookup?Npi=1396301164","1396301164")</f>
        <v>1396301164</v>
      </c>
      <c r="D2763" s="36" t="s">
        <v>35369</v>
      </c>
      <c r="E2763" s="36" t="s">
        <v>1</v>
      </c>
      <c r="F2763" s="36">
        <v>1</v>
      </c>
      <c r="G2763" s="36">
        <v>3</v>
      </c>
      <c r="H2763" s="36">
        <v>0</v>
      </c>
      <c r="I2763" s="37">
        <v>0</v>
      </c>
      <c r="J2763" s="36" t="s">
        <v>34836</v>
      </c>
      <c r="K2763" s="36" t="s">
        <v>14330</v>
      </c>
      <c r="L2763" s="36" t="s">
        <v>14330</v>
      </c>
      <c r="M2763">
        <v>2</v>
      </c>
      <c r="N2763" t="s">
        <v>14331</v>
      </c>
      <c r="O2763" t="s">
        <v>32633</v>
      </c>
    </row>
    <row r="2764" spans="1:15" x14ac:dyDescent="0.25">
      <c r="A2764" s="35" t="s">
        <v>7328</v>
      </c>
      <c r="B2764" s="36" t="s">
        <v>7329</v>
      </c>
      <c r="C2764" s="36" t="str">
        <f>HYPERLINK("https://rhld.insurance.arkansas.gov/NPILookup?Npi=1396303764","1396303764")</f>
        <v>1396303764</v>
      </c>
      <c r="D2764" s="36" t="s">
        <v>35370</v>
      </c>
      <c r="E2764" s="36" t="s">
        <v>1</v>
      </c>
      <c r="F2764" s="36">
        <v>1</v>
      </c>
      <c r="G2764" s="36">
        <v>2</v>
      </c>
      <c r="H2764" s="36">
        <v>0</v>
      </c>
      <c r="I2764" s="37">
        <v>0</v>
      </c>
      <c r="J2764" s="36" t="s">
        <v>34836</v>
      </c>
      <c r="K2764" s="36" t="s">
        <v>14330</v>
      </c>
      <c r="L2764" s="36" t="s">
        <v>14330</v>
      </c>
      <c r="M2764">
        <v>2</v>
      </c>
      <c r="N2764" t="s">
        <v>14331</v>
      </c>
      <c r="O2764" t="s">
        <v>32633</v>
      </c>
    </row>
    <row r="2765" spans="1:15" x14ac:dyDescent="0.25">
      <c r="A2765" s="35" t="s">
        <v>7328</v>
      </c>
      <c r="B2765" s="36" t="s">
        <v>7329</v>
      </c>
      <c r="C2765" s="36" t="str">
        <f>HYPERLINK("https://rhld.insurance.arkansas.gov/NPILookup?Npi=1396323614","1396323614")</f>
        <v>1396323614</v>
      </c>
      <c r="D2765" s="36" t="s">
        <v>35371</v>
      </c>
      <c r="E2765" s="36" t="s">
        <v>2</v>
      </c>
      <c r="F2765" s="36">
        <v>1</v>
      </c>
      <c r="G2765" s="36">
        <v>2</v>
      </c>
      <c r="H2765" s="36">
        <v>0</v>
      </c>
      <c r="I2765" s="37">
        <v>0</v>
      </c>
      <c r="J2765" s="36"/>
      <c r="K2765" s="36" t="s">
        <v>14330</v>
      </c>
      <c r="L2765" s="36" t="s">
        <v>14330</v>
      </c>
      <c r="M2765">
        <v>2</v>
      </c>
      <c r="N2765" t="s">
        <v>14331</v>
      </c>
      <c r="O2765" t="s">
        <v>14333</v>
      </c>
    </row>
    <row r="2766" spans="1:15" x14ac:dyDescent="0.25">
      <c r="A2766" s="35" t="s">
        <v>7328</v>
      </c>
      <c r="B2766" s="36" t="s">
        <v>7329</v>
      </c>
      <c r="C2766" s="36" t="str">
        <f>HYPERLINK("https://rhld.insurance.arkansas.gov/NPILookup?Npi=1396464194","1396464194")</f>
        <v>1396464194</v>
      </c>
      <c r="D2766" s="36" t="s">
        <v>35372</v>
      </c>
      <c r="E2766" s="36" t="s">
        <v>1</v>
      </c>
      <c r="F2766" s="36">
        <v>1</v>
      </c>
      <c r="G2766" s="36">
        <v>2</v>
      </c>
      <c r="H2766" s="36">
        <v>0</v>
      </c>
      <c r="I2766" s="37">
        <v>0</v>
      </c>
      <c r="J2766" s="36" t="s">
        <v>32654</v>
      </c>
      <c r="K2766" s="36" t="s">
        <v>14330</v>
      </c>
      <c r="L2766" s="36" t="s">
        <v>14330</v>
      </c>
      <c r="M2766">
        <v>2</v>
      </c>
      <c r="N2766" t="s">
        <v>14331</v>
      </c>
      <c r="O2766" t="s">
        <v>32633</v>
      </c>
    </row>
    <row r="2767" spans="1:15" x14ac:dyDescent="0.25">
      <c r="A2767" s="35" t="s">
        <v>7328</v>
      </c>
      <c r="B2767" s="36" t="s">
        <v>7329</v>
      </c>
      <c r="C2767" s="36" t="str">
        <f>HYPERLINK("https://rhld.insurance.arkansas.gov/NPILookup?Npi=1396551412","1396551412")</f>
        <v>1396551412</v>
      </c>
      <c r="D2767" s="36" t="s">
        <v>34723</v>
      </c>
      <c r="E2767" s="36" t="s">
        <v>2</v>
      </c>
      <c r="F2767" s="36">
        <v>1</v>
      </c>
      <c r="G2767" s="36">
        <v>2</v>
      </c>
      <c r="H2767" s="36">
        <v>0</v>
      </c>
      <c r="I2767" s="37">
        <v>0</v>
      </c>
      <c r="J2767" s="36"/>
      <c r="K2767" s="36" t="s">
        <v>14330</v>
      </c>
      <c r="L2767" s="36" t="s">
        <v>14330</v>
      </c>
      <c r="M2767">
        <v>2</v>
      </c>
      <c r="N2767" t="s">
        <v>14331</v>
      </c>
      <c r="O2767" t="s">
        <v>14333</v>
      </c>
    </row>
    <row r="2768" spans="1:15" x14ac:dyDescent="0.25">
      <c r="A2768" s="35" t="s">
        <v>7328</v>
      </c>
      <c r="B2768" s="36" t="s">
        <v>7329</v>
      </c>
      <c r="C2768" s="36" t="str">
        <f>HYPERLINK("https://rhld.insurance.arkansas.gov/NPILookup?Npi=1396573119","1396573119")</f>
        <v>1396573119</v>
      </c>
      <c r="D2768" s="36" t="s">
        <v>34724</v>
      </c>
      <c r="E2768" s="36" t="s">
        <v>2</v>
      </c>
      <c r="F2768" s="36">
        <v>1</v>
      </c>
      <c r="G2768" s="36">
        <v>2</v>
      </c>
      <c r="H2768" s="36">
        <v>0</v>
      </c>
      <c r="I2768" s="37">
        <v>0</v>
      </c>
      <c r="J2768" s="36"/>
      <c r="K2768" s="36" t="s">
        <v>14330</v>
      </c>
      <c r="L2768" s="36" t="s">
        <v>14330</v>
      </c>
      <c r="M2768">
        <v>2</v>
      </c>
      <c r="N2768" t="s">
        <v>14331</v>
      </c>
      <c r="O2768" t="s">
        <v>14333</v>
      </c>
    </row>
    <row r="2769" spans="1:15" x14ac:dyDescent="0.25">
      <c r="A2769" s="35" t="s">
        <v>7328</v>
      </c>
      <c r="B2769" s="36" t="s">
        <v>7329</v>
      </c>
      <c r="C2769" s="36" t="str">
        <f>HYPERLINK("https://rhld.insurance.arkansas.gov/NPILookup?Npi=1396732202","1396732202")</f>
        <v>1396732202</v>
      </c>
      <c r="D2769" s="36" t="s">
        <v>35373</v>
      </c>
      <c r="E2769" s="36" t="s">
        <v>1</v>
      </c>
      <c r="F2769" s="36">
        <v>1</v>
      </c>
      <c r="G2769" s="36">
        <v>2</v>
      </c>
      <c r="H2769" s="36">
        <v>0</v>
      </c>
      <c r="I2769" s="37">
        <v>0</v>
      </c>
      <c r="J2769" s="36" t="s">
        <v>32654</v>
      </c>
      <c r="K2769" s="36" t="s">
        <v>14330</v>
      </c>
      <c r="L2769" s="36" t="s">
        <v>14330</v>
      </c>
      <c r="M2769">
        <v>3</v>
      </c>
      <c r="N2769" t="s">
        <v>14331</v>
      </c>
      <c r="O2769" t="s">
        <v>32633</v>
      </c>
    </row>
    <row r="2770" spans="1:15" x14ac:dyDescent="0.25">
      <c r="A2770" s="35" t="s">
        <v>7328</v>
      </c>
      <c r="B2770" s="36" t="s">
        <v>7329</v>
      </c>
      <c r="C2770" s="36" t="str">
        <f>HYPERLINK("https://rhld.insurance.arkansas.gov/NPILookup?Npi=1396747606","1396747606")</f>
        <v>1396747606</v>
      </c>
      <c r="D2770" s="36" t="s">
        <v>35374</v>
      </c>
      <c r="E2770" s="36" t="s">
        <v>1</v>
      </c>
      <c r="F2770" s="36">
        <v>1</v>
      </c>
      <c r="G2770" s="36">
        <v>3</v>
      </c>
      <c r="H2770" s="36">
        <v>0</v>
      </c>
      <c r="I2770" s="37">
        <v>0</v>
      </c>
      <c r="J2770" s="36" t="s">
        <v>34836</v>
      </c>
      <c r="K2770" s="36" t="s">
        <v>14330</v>
      </c>
      <c r="L2770" s="36" t="s">
        <v>14330</v>
      </c>
      <c r="M2770">
        <v>2</v>
      </c>
      <c r="N2770" t="s">
        <v>14331</v>
      </c>
      <c r="O2770" t="s">
        <v>32633</v>
      </c>
    </row>
    <row r="2771" spans="1:15" x14ac:dyDescent="0.25">
      <c r="A2771" s="35" t="s">
        <v>7328</v>
      </c>
      <c r="B2771" s="36" t="s">
        <v>7329</v>
      </c>
      <c r="C2771" s="36" t="str">
        <f>HYPERLINK("https://rhld.insurance.arkansas.gov/NPILookup?Npi=1396771747","1396771747")</f>
        <v>1396771747</v>
      </c>
      <c r="D2771" s="36" t="s">
        <v>35375</v>
      </c>
      <c r="E2771" s="36" t="s">
        <v>1</v>
      </c>
      <c r="F2771" s="36">
        <v>1</v>
      </c>
      <c r="G2771" s="36">
        <v>2</v>
      </c>
      <c r="H2771" s="36">
        <v>0</v>
      </c>
      <c r="I2771" s="37">
        <v>0</v>
      </c>
      <c r="J2771" s="36" t="s">
        <v>32723</v>
      </c>
      <c r="K2771" s="36" t="s">
        <v>14330</v>
      </c>
      <c r="L2771" s="36" t="s">
        <v>14330</v>
      </c>
      <c r="M2771">
        <v>3</v>
      </c>
      <c r="N2771" t="s">
        <v>14331</v>
      </c>
      <c r="O2771" t="s">
        <v>32724</v>
      </c>
    </row>
    <row r="2772" spans="1:15" x14ac:dyDescent="0.25">
      <c r="A2772" s="35" t="s">
        <v>7328</v>
      </c>
      <c r="B2772" s="36" t="s">
        <v>7329</v>
      </c>
      <c r="C2772" s="36" t="str">
        <f>HYPERLINK("https://rhld.insurance.arkansas.gov/NPILookup?Npi=1396817763","1396817763")</f>
        <v>1396817763</v>
      </c>
      <c r="D2772" s="36" t="s">
        <v>35376</v>
      </c>
      <c r="E2772" s="36" t="s">
        <v>1</v>
      </c>
      <c r="F2772" s="36">
        <v>1</v>
      </c>
      <c r="G2772" s="36">
        <v>3</v>
      </c>
      <c r="H2772" s="36">
        <v>0</v>
      </c>
      <c r="I2772" s="37">
        <v>0</v>
      </c>
      <c r="J2772" s="36" t="s">
        <v>32654</v>
      </c>
      <c r="K2772" s="36" t="s">
        <v>14330</v>
      </c>
      <c r="L2772" s="36" t="s">
        <v>14330</v>
      </c>
      <c r="M2772">
        <v>3</v>
      </c>
      <c r="N2772" t="s">
        <v>14331</v>
      </c>
      <c r="O2772" t="s">
        <v>32633</v>
      </c>
    </row>
    <row r="2773" spans="1:15" x14ac:dyDescent="0.25">
      <c r="A2773" s="35" t="s">
        <v>7328</v>
      </c>
      <c r="B2773" s="36" t="s">
        <v>7329</v>
      </c>
      <c r="C2773" s="36" t="str">
        <f>HYPERLINK("https://rhld.insurance.arkansas.gov/NPILookup?Npi=1396852273","1396852273")</f>
        <v>1396852273</v>
      </c>
      <c r="D2773" s="36" t="s">
        <v>35377</v>
      </c>
      <c r="E2773" s="36" t="s">
        <v>1</v>
      </c>
      <c r="F2773" s="36">
        <v>1</v>
      </c>
      <c r="G2773" s="36">
        <v>3</v>
      </c>
      <c r="H2773" s="36">
        <v>0</v>
      </c>
      <c r="I2773" s="37">
        <v>0</v>
      </c>
      <c r="J2773" s="36" t="s">
        <v>34836</v>
      </c>
      <c r="K2773" s="36" t="s">
        <v>14330</v>
      </c>
      <c r="L2773" s="36" t="s">
        <v>14330</v>
      </c>
      <c r="M2773">
        <v>2</v>
      </c>
      <c r="N2773" t="s">
        <v>14331</v>
      </c>
      <c r="O2773" t="s">
        <v>32633</v>
      </c>
    </row>
    <row r="2774" spans="1:15" x14ac:dyDescent="0.25">
      <c r="A2774" s="35" t="s">
        <v>7328</v>
      </c>
      <c r="B2774" s="36" t="s">
        <v>7329</v>
      </c>
      <c r="C2774" s="36" t="str">
        <f>HYPERLINK("https://rhld.insurance.arkansas.gov/NPILookup?Npi=1396881546","1396881546")</f>
        <v>1396881546</v>
      </c>
      <c r="D2774" s="36" t="s">
        <v>35378</v>
      </c>
      <c r="E2774" s="36" t="s">
        <v>1</v>
      </c>
      <c r="F2774" s="36">
        <v>1</v>
      </c>
      <c r="G2774" s="36">
        <v>2</v>
      </c>
      <c r="H2774" s="36">
        <v>0</v>
      </c>
      <c r="I2774" s="37">
        <v>0</v>
      </c>
      <c r="J2774" s="36" t="s">
        <v>34836</v>
      </c>
      <c r="K2774" s="36" t="s">
        <v>14330</v>
      </c>
      <c r="L2774" s="36" t="s">
        <v>14330</v>
      </c>
      <c r="M2774">
        <v>3</v>
      </c>
      <c r="N2774" t="s">
        <v>14331</v>
      </c>
      <c r="O2774" t="s">
        <v>32633</v>
      </c>
    </row>
    <row r="2775" spans="1:15" x14ac:dyDescent="0.25">
      <c r="A2775" s="35" t="s">
        <v>7328</v>
      </c>
      <c r="B2775" s="36" t="s">
        <v>7329</v>
      </c>
      <c r="C2775" s="36" t="str">
        <f>HYPERLINK("https://rhld.insurance.arkansas.gov/NPILookup?Npi=1396921623","1396921623")</f>
        <v>1396921623</v>
      </c>
      <c r="D2775" s="36" t="s">
        <v>35379</v>
      </c>
      <c r="E2775" s="36" t="s">
        <v>1</v>
      </c>
      <c r="F2775" s="36">
        <v>1</v>
      </c>
      <c r="G2775" s="36">
        <v>3</v>
      </c>
      <c r="H2775" s="36">
        <v>0</v>
      </c>
      <c r="I2775" s="37">
        <v>0</v>
      </c>
      <c r="J2775" s="36" t="s">
        <v>34836</v>
      </c>
      <c r="K2775" s="36" t="s">
        <v>14330</v>
      </c>
      <c r="L2775" s="36" t="s">
        <v>14330</v>
      </c>
      <c r="M2775">
        <v>1</v>
      </c>
      <c r="N2775" t="s">
        <v>14331</v>
      </c>
      <c r="O2775" t="s">
        <v>32633</v>
      </c>
    </row>
    <row r="2776" spans="1:15" x14ac:dyDescent="0.25">
      <c r="A2776" s="35" t="s">
        <v>7328</v>
      </c>
      <c r="B2776" s="36" t="s">
        <v>7329</v>
      </c>
      <c r="C2776" s="36" t="str">
        <f>HYPERLINK("https://rhld.insurance.arkansas.gov/NPILookup?Npi=1407023864","1407023864")</f>
        <v>1407023864</v>
      </c>
      <c r="D2776" s="36" t="s">
        <v>35380</v>
      </c>
      <c r="E2776" s="36" t="s">
        <v>1</v>
      </c>
      <c r="F2776" s="36">
        <v>1</v>
      </c>
      <c r="G2776" s="36">
        <v>1</v>
      </c>
      <c r="H2776" s="36">
        <v>0</v>
      </c>
      <c r="I2776" s="37">
        <v>0</v>
      </c>
      <c r="J2776" s="36" t="s">
        <v>34836</v>
      </c>
      <c r="K2776" s="36" t="s">
        <v>14330</v>
      </c>
      <c r="L2776" s="36" t="s">
        <v>14330</v>
      </c>
      <c r="M2776">
        <v>2</v>
      </c>
      <c r="N2776" t="s">
        <v>14331</v>
      </c>
      <c r="O2776" t="s">
        <v>32633</v>
      </c>
    </row>
    <row r="2777" spans="1:15" x14ac:dyDescent="0.25">
      <c r="A2777" s="35" t="s">
        <v>7328</v>
      </c>
      <c r="B2777" s="36" t="s">
        <v>7329</v>
      </c>
      <c r="C2777" s="36" t="str">
        <f>HYPERLINK("https://rhld.insurance.arkansas.gov/NPILookup?Npi=1407121544","1407121544")</f>
        <v>1407121544</v>
      </c>
      <c r="D2777" s="36" t="s">
        <v>35381</v>
      </c>
      <c r="E2777" s="36" t="s">
        <v>2</v>
      </c>
      <c r="F2777" s="36">
        <v>1</v>
      </c>
      <c r="G2777" s="36">
        <v>2</v>
      </c>
      <c r="H2777" s="36">
        <v>0</v>
      </c>
      <c r="I2777" s="37">
        <v>0</v>
      </c>
      <c r="J2777" s="36"/>
      <c r="K2777" s="36" t="s">
        <v>14330</v>
      </c>
      <c r="L2777" s="36" t="s">
        <v>14330</v>
      </c>
      <c r="M2777">
        <v>1</v>
      </c>
      <c r="N2777" t="s">
        <v>14331</v>
      </c>
      <c r="O2777" t="s">
        <v>14333</v>
      </c>
    </row>
    <row r="2778" spans="1:15" x14ac:dyDescent="0.25">
      <c r="A2778" s="35" t="s">
        <v>7328</v>
      </c>
      <c r="B2778" s="36" t="s">
        <v>7329</v>
      </c>
      <c r="C2778" s="36" t="str">
        <f>HYPERLINK("https://rhld.insurance.arkansas.gov/NPILookup?Npi=1407163322","1407163322")</f>
        <v>1407163322</v>
      </c>
      <c r="D2778" s="36" t="s">
        <v>35382</v>
      </c>
      <c r="E2778" s="36" t="s">
        <v>1</v>
      </c>
      <c r="F2778" s="36">
        <v>1</v>
      </c>
      <c r="G2778" s="36">
        <v>1</v>
      </c>
      <c r="H2778" s="36">
        <v>0</v>
      </c>
      <c r="I2778" s="37">
        <v>0</v>
      </c>
      <c r="J2778" s="36" t="s">
        <v>32654</v>
      </c>
      <c r="K2778" s="36" t="s">
        <v>14330</v>
      </c>
      <c r="L2778" s="36" t="s">
        <v>14330</v>
      </c>
      <c r="M2778">
        <v>2</v>
      </c>
      <c r="N2778" t="s">
        <v>14331</v>
      </c>
      <c r="O2778" t="s">
        <v>32633</v>
      </c>
    </row>
    <row r="2779" spans="1:15" x14ac:dyDescent="0.25">
      <c r="A2779" s="35" t="s">
        <v>7328</v>
      </c>
      <c r="B2779" s="36" t="s">
        <v>7329</v>
      </c>
      <c r="C2779" s="36" t="str">
        <f>HYPERLINK("https://rhld.insurance.arkansas.gov/NPILookup?Npi=1407174295","1407174295")</f>
        <v>1407174295</v>
      </c>
      <c r="D2779" s="36" t="s">
        <v>35383</v>
      </c>
      <c r="E2779" s="36" t="s">
        <v>1</v>
      </c>
      <c r="F2779" s="36">
        <v>1</v>
      </c>
      <c r="G2779" s="36">
        <v>2</v>
      </c>
      <c r="H2779" s="36">
        <v>0</v>
      </c>
      <c r="I2779" s="37">
        <v>0</v>
      </c>
      <c r="J2779" s="36" t="s">
        <v>34836</v>
      </c>
      <c r="K2779" s="36" t="s">
        <v>14330</v>
      </c>
      <c r="L2779" s="36" t="s">
        <v>14330</v>
      </c>
      <c r="M2779">
        <v>2</v>
      </c>
      <c r="N2779" t="s">
        <v>14331</v>
      </c>
      <c r="O2779" t="s">
        <v>32633</v>
      </c>
    </row>
    <row r="2780" spans="1:15" x14ac:dyDescent="0.25">
      <c r="A2780" s="35" t="s">
        <v>7328</v>
      </c>
      <c r="B2780" s="36" t="s">
        <v>7329</v>
      </c>
      <c r="C2780" s="36" t="str">
        <f>HYPERLINK("https://rhld.insurance.arkansas.gov/NPILookup?Npi=1407195324","1407195324")</f>
        <v>1407195324</v>
      </c>
      <c r="D2780" s="36" t="s">
        <v>35384</v>
      </c>
      <c r="E2780" s="36" t="s">
        <v>2</v>
      </c>
      <c r="F2780" s="36">
        <v>1</v>
      </c>
      <c r="G2780" s="36">
        <v>2</v>
      </c>
      <c r="H2780" s="36">
        <v>0</v>
      </c>
      <c r="I2780" s="37">
        <v>0</v>
      </c>
      <c r="J2780" s="36"/>
      <c r="K2780" s="36" t="s">
        <v>14330</v>
      </c>
      <c r="L2780" s="36" t="s">
        <v>14330</v>
      </c>
      <c r="M2780">
        <v>2</v>
      </c>
      <c r="N2780" t="s">
        <v>14331</v>
      </c>
      <c r="O2780" t="s">
        <v>14333</v>
      </c>
    </row>
    <row r="2781" spans="1:15" x14ac:dyDescent="0.25">
      <c r="A2781" s="35" t="s">
        <v>7328</v>
      </c>
      <c r="B2781" s="36" t="s">
        <v>7329</v>
      </c>
      <c r="C2781" s="36" t="str">
        <f>HYPERLINK("https://rhld.insurance.arkansas.gov/NPILookup?Npi=1407249311","1407249311")</f>
        <v>1407249311</v>
      </c>
      <c r="D2781" s="36" t="s">
        <v>35385</v>
      </c>
      <c r="E2781" s="36" t="s">
        <v>2</v>
      </c>
      <c r="F2781" s="36">
        <v>1</v>
      </c>
      <c r="G2781" s="36">
        <v>2</v>
      </c>
      <c r="H2781" s="36">
        <v>0</v>
      </c>
      <c r="I2781" s="37">
        <v>0</v>
      </c>
      <c r="J2781" s="36" t="s">
        <v>32679</v>
      </c>
      <c r="K2781" s="36" t="s">
        <v>14330</v>
      </c>
      <c r="L2781" s="36" t="s">
        <v>14330</v>
      </c>
      <c r="M2781">
        <v>2</v>
      </c>
      <c r="N2781" t="s">
        <v>14331</v>
      </c>
      <c r="O2781" t="s">
        <v>14333</v>
      </c>
    </row>
    <row r="2782" spans="1:15" x14ac:dyDescent="0.25">
      <c r="A2782" s="35" t="s">
        <v>7328</v>
      </c>
      <c r="B2782" s="36" t="s">
        <v>7329</v>
      </c>
      <c r="C2782" s="36" t="str">
        <f>HYPERLINK("https://rhld.insurance.arkansas.gov/NPILookup?Npi=1407421332","1407421332")</f>
        <v>1407421332</v>
      </c>
      <c r="D2782" s="36" t="s">
        <v>35386</v>
      </c>
      <c r="E2782" s="36" t="s">
        <v>2</v>
      </c>
      <c r="F2782" s="36">
        <v>1</v>
      </c>
      <c r="G2782" s="36">
        <v>2</v>
      </c>
      <c r="H2782" s="36">
        <v>0</v>
      </c>
      <c r="I2782" s="37">
        <v>0</v>
      </c>
      <c r="J2782" s="36"/>
      <c r="K2782" s="36" t="s">
        <v>14330</v>
      </c>
      <c r="L2782" s="36" t="s">
        <v>14330</v>
      </c>
      <c r="M2782">
        <v>1</v>
      </c>
      <c r="N2782" t="s">
        <v>14331</v>
      </c>
      <c r="O2782" t="s">
        <v>14333</v>
      </c>
    </row>
    <row r="2783" spans="1:15" x14ac:dyDescent="0.25">
      <c r="A2783" s="35" t="s">
        <v>7328</v>
      </c>
      <c r="B2783" s="36" t="s">
        <v>7329</v>
      </c>
      <c r="C2783" s="36" t="str">
        <f>HYPERLINK("https://rhld.insurance.arkansas.gov/NPILookup?Npi=1407484926","1407484926")</f>
        <v>1407484926</v>
      </c>
      <c r="D2783" s="36" t="s">
        <v>35387</v>
      </c>
      <c r="E2783" s="36" t="s">
        <v>1</v>
      </c>
      <c r="F2783" s="36">
        <v>1</v>
      </c>
      <c r="G2783" s="36">
        <v>1</v>
      </c>
      <c r="H2783" s="36">
        <v>0</v>
      </c>
      <c r="I2783" s="37">
        <v>0</v>
      </c>
      <c r="J2783" s="36" t="s">
        <v>34836</v>
      </c>
      <c r="K2783" s="36" t="s">
        <v>14330</v>
      </c>
      <c r="L2783" s="36" t="s">
        <v>14330</v>
      </c>
      <c r="M2783">
        <v>3</v>
      </c>
      <c r="N2783" t="s">
        <v>14331</v>
      </c>
      <c r="O2783" t="s">
        <v>32633</v>
      </c>
    </row>
    <row r="2784" spans="1:15" x14ac:dyDescent="0.25">
      <c r="A2784" s="35" t="s">
        <v>7328</v>
      </c>
      <c r="B2784" s="36" t="s">
        <v>7329</v>
      </c>
      <c r="C2784" s="36" t="str">
        <f>HYPERLINK("https://rhld.insurance.arkansas.gov/NPILookup?Npi=1407566755","1407566755")</f>
        <v>1407566755</v>
      </c>
      <c r="D2784" s="36" t="s">
        <v>35388</v>
      </c>
      <c r="E2784" s="36" t="s">
        <v>1</v>
      </c>
      <c r="F2784" s="36">
        <v>1</v>
      </c>
      <c r="G2784" s="36">
        <v>3</v>
      </c>
      <c r="H2784" s="36">
        <v>0</v>
      </c>
      <c r="I2784" s="37">
        <v>0</v>
      </c>
      <c r="J2784" s="36" t="s">
        <v>32654</v>
      </c>
      <c r="K2784" s="36" t="s">
        <v>14330</v>
      </c>
      <c r="L2784" s="36" t="s">
        <v>14330</v>
      </c>
      <c r="M2784">
        <v>2</v>
      </c>
      <c r="N2784" t="s">
        <v>14331</v>
      </c>
      <c r="O2784" t="s">
        <v>32633</v>
      </c>
    </row>
    <row r="2785" spans="1:15" x14ac:dyDescent="0.25">
      <c r="A2785" s="35" t="s">
        <v>7328</v>
      </c>
      <c r="B2785" s="36" t="s">
        <v>7329</v>
      </c>
      <c r="C2785" s="36" t="str">
        <f>HYPERLINK("https://rhld.insurance.arkansas.gov/NPILookup?Npi=1407683758","1407683758")</f>
        <v>1407683758</v>
      </c>
      <c r="D2785" s="36" t="s">
        <v>35389</v>
      </c>
      <c r="E2785" s="36" t="s">
        <v>2</v>
      </c>
      <c r="F2785" s="36">
        <v>1</v>
      </c>
      <c r="G2785" s="36">
        <v>2</v>
      </c>
      <c r="H2785" s="36">
        <v>0</v>
      </c>
      <c r="I2785" s="37">
        <v>0</v>
      </c>
      <c r="J2785" s="36"/>
      <c r="K2785" s="36" t="s">
        <v>14330</v>
      </c>
      <c r="L2785" s="36" t="s">
        <v>14330</v>
      </c>
      <c r="M2785">
        <v>2</v>
      </c>
      <c r="N2785" t="s">
        <v>14331</v>
      </c>
      <c r="O2785" t="s">
        <v>14333</v>
      </c>
    </row>
    <row r="2786" spans="1:15" x14ac:dyDescent="0.25">
      <c r="A2786" s="35" t="s">
        <v>7328</v>
      </c>
      <c r="B2786" s="36" t="s">
        <v>7329</v>
      </c>
      <c r="C2786" s="36" t="str">
        <f>HYPERLINK("https://rhld.insurance.arkansas.gov/NPILookup?Npi=1407694722","1407694722")</f>
        <v>1407694722</v>
      </c>
      <c r="D2786" s="36" t="s">
        <v>35390</v>
      </c>
      <c r="E2786" s="36" t="s">
        <v>2</v>
      </c>
      <c r="F2786" s="36">
        <v>1</v>
      </c>
      <c r="G2786" s="36">
        <v>2</v>
      </c>
      <c r="H2786" s="36">
        <v>0</v>
      </c>
      <c r="I2786" s="37">
        <v>0</v>
      </c>
      <c r="J2786" s="36"/>
      <c r="K2786" s="36" t="s">
        <v>14330</v>
      </c>
      <c r="L2786" s="36" t="s">
        <v>14330</v>
      </c>
      <c r="M2786">
        <v>2</v>
      </c>
      <c r="N2786" t="s">
        <v>14331</v>
      </c>
      <c r="O2786" t="s">
        <v>14333</v>
      </c>
    </row>
    <row r="2787" spans="1:15" x14ac:dyDescent="0.25">
      <c r="A2787" s="35" t="s">
        <v>7328</v>
      </c>
      <c r="B2787" s="36" t="s">
        <v>7329</v>
      </c>
      <c r="C2787" s="36" t="str">
        <f>HYPERLINK("https://rhld.insurance.arkansas.gov/NPILookup?Npi=1407696123","1407696123")</f>
        <v>1407696123</v>
      </c>
      <c r="D2787" s="36" t="s">
        <v>35391</v>
      </c>
      <c r="E2787" s="36" t="s">
        <v>2</v>
      </c>
      <c r="F2787" s="36">
        <v>1</v>
      </c>
      <c r="G2787" s="36">
        <v>2</v>
      </c>
      <c r="H2787" s="36">
        <v>0</v>
      </c>
      <c r="I2787" s="37">
        <v>0</v>
      </c>
      <c r="J2787" s="36"/>
      <c r="K2787" s="36" t="s">
        <v>14330</v>
      </c>
      <c r="L2787" s="36" t="s">
        <v>14330</v>
      </c>
      <c r="M2787">
        <v>2</v>
      </c>
      <c r="N2787" t="s">
        <v>14331</v>
      </c>
      <c r="O2787" t="s">
        <v>14333</v>
      </c>
    </row>
    <row r="2788" spans="1:15" x14ac:dyDescent="0.25">
      <c r="A2788" s="35" t="s">
        <v>7328</v>
      </c>
      <c r="B2788" s="36" t="s">
        <v>7329</v>
      </c>
      <c r="C2788" s="36" t="str">
        <f>HYPERLINK("https://rhld.insurance.arkansas.gov/NPILookup?Npi=1407801723","1407801723")</f>
        <v>1407801723</v>
      </c>
      <c r="D2788" s="36" t="s">
        <v>35392</v>
      </c>
      <c r="E2788" s="36" t="s">
        <v>1</v>
      </c>
      <c r="F2788" s="36">
        <v>1</v>
      </c>
      <c r="G2788" s="36">
        <v>2</v>
      </c>
      <c r="H2788" s="36">
        <v>0</v>
      </c>
      <c r="I2788" s="37">
        <v>0</v>
      </c>
      <c r="J2788" s="36" t="s">
        <v>32723</v>
      </c>
      <c r="K2788" s="36" t="s">
        <v>14330</v>
      </c>
      <c r="L2788" s="36" t="s">
        <v>14330</v>
      </c>
      <c r="M2788">
        <v>3</v>
      </c>
      <c r="N2788" t="s">
        <v>14331</v>
      </c>
      <c r="O2788" t="s">
        <v>32724</v>
      </c>
    </row>
    <row r="2789" spans="1:15" x14ac:dyDescent="0.25">
      <c r="A2789" s="35" t="s">
        <v>7328</v>
      </c>
      <c r="B2789" s="36" t="s">
        <v>7329</v>
      </c>
      <c r="C2789" s="36" t="str">
        <f>HYPERLINK("https://rhld.insurance.arkansas.gov/NPILookup?Npi=1407805567","1407805567")</f>
        <v>1407805567</v>
      </c>
      <c r="D2789" s="36" t="s">
        <v>34898</v>
      </c>
      <c r="E2789" s="36" t="s">
        <v>1</v>
      </c>
      <c r="F2789" s="36">
        <v>1</v>
      </c>
      <c r="G2789" s="36">
        <v>3</v>
      </c>
      <c r="H2789" s="36">
        <v>0</v>
      </c>
      <c r="I2789" s="37">
        <v>0</v>
      </c>
      <c r="J2789" s="36" t="s">
        <v>34836</v>
      </c>
      <c r="K2789" s="36" t="s">
        <v>14330</v>
      </c>
      <c r="L2789" s="36" t="s">
        <v>14330</v>
      </c>
      <c r="M2789">
        <v>3</v>
      </c>
      <c r="N2789" t="s">
        <v>14331</v>
      </c>
      <c r="O2789" t="s">
        <v>32633</v>
      </c>
    </row>
    <row r="2790" spans="1:15" x14ac:dyDescent="0.25">
      <c r="A2790" s="35" t="s">
        <v>7328</v>
      </c>
      <c r="B2790" s="36" t="s">
        <v>7329</v>
      </c>
      <c r="C2790" s="36" t="str">
        <f>HYPERLINK("https://rhld.insurance.arkansas.gov/NPILookup?Npi=1407967235","1407967235")</f>
        <v>1407967235</v>
      </c>
      <c r="D2790" s="36" t="s">
        <v>35393</v>
      </c>
      <c r="E2790" s="36" t="s">
        <v>1</v>
      </c>
      <c r="F2790" s="36">
        <v>1</v>
      </c>
      <c r="G2790" s="36">
        <v>3</v>
      </c>
      <c r="H2790" s="36">
        <v>0</v>
      </c>
      <c r="I2790" s="37">
        <v>0</v>
      </c>
      <c r="J2790" s="36" t="s">
        <v>34836</v>
      </c>
      <c r="K2790" s="36" t="s">
        <v>14330</v>
      </c>
      <c r="L2790" s="36" t="s">
        <v>14330</v>
      </c>
      <c r="M2790">
        <v>3</v>
      </c>
      <c r="N2790" t="s">
        <v>14331</v>
      </c>
      <c r="O2790" t="s">
        <v>32633</v>
      </c>
    </row>
    <row r="2791" spans="1:15" x14ac:dyDescent="0.25">
      <c r="A2791" s="35" t="s">
        <v>7328</v>
      </c>
      <c r="B2791" s="36" t="s">
        <v>7329</v>
      </c>
      <c r="C2791" s="36" t="str">
        <f>HYPERLINK("https://rhld.insurance.arkansas.gov/NPILookup?Npi=1417149253","1417149253")</f>
        <v>1417149253</v>
      </c>
      <c r="D2791" s="36" t="s">
        <v>35394</v>
      </c>
      <c r="E2791" s="36" t="s">
        <v>1</v>
      </c>
      <c r="F2791" s="36">
        <v>1</v>
      </c>
      <c r="G2791" s="36">
        <v>3</v>
      </c>
      <c r="H2791" s="36">
        <v>0</v>
      </c>
      <c r="I2791" s="37">
        <v>0</v>
      </c>
      <c r="J2791" s="36" t="s">
        <v>32723</v>
      </c>
      <c r="K2791" s="36" t="s">
        <v>14330</v>
      </c>
      <c r="L2791" s="36" t="s">
        <v>14330</v>
      </c>
      <c r="M2791">
        <v>2</v>
      </c>
      <c r="N2791" t="s">
        <v>14331</v>
      </c>
      <c r="O2791" t="s">
        <v>32724</v>
      </c>
    </row>
    <row r="2792" spans="1:15" x14ac:dyDescent="0.25">
      <c r="A2792" s="35" t="s">
        <v>7328</v>
      </c>
      <c r="B2792" s="36" t="s">
        <v>7329</v>
      </c>
      <c r="C2792" s="36" t="str">
        <f>HYPERLINK("https://rhld.insurance.arkansas.gov/NPILookup?Npi=1417238981","1417238981")</f>
        <v>1417238981</v>
      </c>
      <c r="D2792" s="36" t="s">
        <v>35395</v>
      </c>
      <c r="E2792" s="36" t="s">
        <v>1</v>
      </c>
      <c r="F2792" s="36">
        <v>1</v>
      </c>
      <c r="G2792" s="36">
        <v>2</v>
      </c>
      <c r="H2792" s="36">
        <v>0</v>
      </c>
      <c r="I2792" s="37">
        <v>0</v>
      </c>
      <c r="J2792" s="36" t="s">
        <v>32654</v>
      </c>
      <c r="K2792" s="36" t="s">
        <v>14330</v>
      </c>
      <c r="L2792" s="36" t="s">
        <v>14330</v>
      </c>
      <c r="M2792">
        <v>2</v>
      </c>
      <c r="N2792" t="s">
        <v>14331</v>
      </c>
      <c r="O2792" t="s">
        <v>32633</v>
      </c>
    </row>
    <row r="2793" spans="1:15" x14ac:dyDescent="0.25">
      <c r="A2793" s="35" t="s">
        <v>7328</v>
      </c>
      <c r="B2793" s="36" t="s">
        <v>7329</v>
      </c>
      <c r="C2793" s="36" t="str">
        <f>HYPERLINK("https://rhld.insurance.arkansas.gov/NPILookup?Npi=1417261926","1417261926")</f>
        <v>1417261926</v>
      </c>
      <c r="D2793" s="36" t="s">
        <v>35396</v>
      </c>
      <c r="E2793" s="36" t="s">
        <v>1</v>
      </c>
      <c r="F2793" s="36">
        <v>1</v>
      </c>
      <c r="G2793" s="36">
        <v>2</v>
      </c>
      <c r="H2793" s="36">
        <v>0</v>
      </c>
      <c r="I2793" s="37">
        <v>0</v>
      </c>
      <c r="J2793" s="36" t="s">
        <v>34836</v>
      </c>
      <c r="K2793" s="36" t="s">
        <v>14330</v>
      </c>
      <c r="L2793" s="36" t="s">
        <v>14330</v>
      </c>
      <c r="M2793">
        <v>3</v>
      </c>
      <c r="N2793" t="s">
        <v>14331</v>
      </c>
      <c r="O2793" t="s">
        <v>32633</v>
      </c>
    </row>
    <row r="2794" spans="1:15" x14ac:dyDescent="0.25">
      <c r="A2794" s="35" t="s">
        <v>7328</v>
      </c>
      <c r="B2794" s="36" t="s">
        <v>7329</v>
      </c>
      <c r="C2794" s="36" t="str">
        <f>HYPERLINK("https://rhld.insurance.arkansas.gov/NPILookup?Npi=1417290412","1417290412")</f>
        <v>1417290412</v>
      </c>
      <c r="D2794" s="36" t="s">
        <v>35397</v>
      </c>
      <c r="E2794" s="36" t="s">
        <v>1</v>
      </c>
      <c r="F2794" s="36">
        <v>1</v>
      </c>
      <c r="G2794" s="36">
        <v>3</v>
      </c>
      <c r="H2794" s="36">
        <v>0</v>
      </c>
      <c r="I2794" s="37">
        <v>0</v>
      </c>
      <c r="J2794" s="36" t="s">
        <v>34836</v>
      </c>
      <c r="K2794" s="36" t="s">
        <v>14330</v>
      </c>
      <c r="L2794" s="36" t="s">
        <v>14330</v>
      </c>
      <c r="M2794">
        <v>1</v>
      </c>
      <c r="N2794" t="s">
        <v>14331</v>
      </c>
      <c r="O2794" t="s">
        <v>32633</v>
      </c>
    </row>
    <row r="2795" spans="1:15" x14ac:dyDescent="0.25">
      <c r="A2795" s="35" t="s">
        <v>7328</v>
      </c>
      <c r="B2795" s="36" t="s">
        <v>7329</v>
      </c>
      <c r="C2795" s="36" t="str">
        <f>HYPERLINK("https://rhld.insurance.arkansas.gov/NPILookup?Npi=1417354283","1417354283")</f>
        <v>1417354283</v>
      </c>
      <c r="D2795" s="36" t="s">
        <v>35398</v>
      </c>
      <c r="E2795" s="36" t="s">
        <v>1</v>
      </c>
      <c r="F2795" s="36">
        <v>1</v>
      </c>
      <c r="G2795" s="36">
        <v>1</v>
      </c>
      <c r="H2795" s="36">
        <v>0</v>
      </c>
      <c r="I2795" s="37">
        <v>0</v>
      </c>
      <c r="J2795" s="36" t="s">
        <v>34836</v>
      </c>
      <c r="K2795" s="36" t="s">
        <v>14330</v>
      </c>
      <c r="L2795" s="36" t="s">
        <v>14330</v>
      </c>
      <c r="M2795">
        <v>3</v>
      </c>
      <c r="N2795" t="s">
        <v>14331</v>
      </c>
      <c r="O2795" t="s">
        <v>32633</v>
      </c>
    </row>
    <row r="2796" spans="1:15" x14ac:dyDescent="0.25">
      <c r="A2796" s="35" t="s">
        <v>7328</v>
      </c>
      <c r="B2796" s="36" t="s">
        <v>7329</v>
      </c>
      <c r="C2796" s="36" t="str">
        <f>HYPERLINK("https://rhld.insurance.arkansas.gov/NPILookup?Npi=1417362708","1417362708")</f>
        <v>1417362708</v>
      </c>
      <c r="D2796" s="36" t="s">
        <v>35399</v>
      </c>
      <c r="E2796" s="36" t="s">
        <v>1</v>
      </c>
      <c r="F2796" s="36">
        <v>1</v>
      </c>
      <c r="G2796" s="36">
        <v>3</v>
      </c>
      <c r="H2796" s="36">
        <v>0</v>
      </c>
      <c r="I2796" s="37">
        <v>0</v>
      </c>
      <c r="J2796" s="36" t="s">
        <v>34836</v>
      </c>
      <c r="K2796" s="36" t="s">
        <v>14330</v>
      </c>
      <c r="L2796" s="36" t="s">
        <v>14330</v>
      </c>
      <c r="M2796">
        <v>2</v>
      </c>
      <c r="N2796" t="s">
        <v>14331</v>
      </c>
      <c r="O2796" t="s">
        <v>32633</v>
      </c>
    </row>
    <row r="2797" spans="1:15" x14ac:dyDescent="0.25">
      <c r="A2797" s="35" t="s">
        <v>7328</v>
      </c>
      <c r="B2797" s="36" t="s">
        <v>7329</v>
      </c>
      <c r="C2797" s="36" t="str">
        <f>HYPERLINK("https://rhld.insurance.arkansas.gov/NPILookup?Npi=1417373283","1417373283")</f>
        <v>1417373283</v>
      </c>
      <c r="D2797" s="36" t="s">
        <v>34320</v>
      </c>
      <c r="E2797" s="36" t="s">
        <v>2</v>
      </c>
      <c r="F2797" s="36">
        <v>1</v>
      </c>
      <c r="G2797" s="36">
        <v>2</v>
      </c>
      <c r="H2797" s="36">
        <v>0</v>
      </c>
      <c r="I2797" s="37">
        <v>0</v>
      </c>
      <c r="J2797" s="36"/>
      <c r="K2797" s="36" t="s">
        <v>14330</v>
      </c>
      <c r="L2797" s="36" t="s">
        <v>14330</v>
      </c>
      <c r="M2797">
        <v>2</v>
      </c>
      <c r="N2797" t="s">
        <v>14331</v>
      </c>
      <c r="O2797" t="s">
        <v>14333</v>
      </c>
    </row>
    <row r="2798" spans="1:15" x14ac:dyDescent="0.25">
      <c r="A2798" s="35" t="s">
        <v>7328</v>
      </c>
      <c r="B2798" s="36" t="s">
        <v>7329</v>
      </c>
      <c r="C2798" s="36" t="str">
        <f>HYPERLINK("https://rhld.insurance.arkansas.gov/NPILookup?Npi=1417376203","1417376203")</f>
        <v>1417376203</v>
      </c>
      <c r="D2798" s="36" t="s">
        <v>35400</v>
      </c>
      <c r="E2798" s="36" t="s">
        <v>1</v>
      </c>
      <c r="F2798" s="36">
        <v>1</v>
      </c>
      <c r="G2798" s="36">
        <v>2</v>
      </c>
      <c r="H2798" s="36">
        <v>0</v>
      </c>
      <c r="I2798" s="37">
        <v>0</v>
      </c>
      <c r="J2798" s="36" t="s">
        <v>32654</v>
      </c>
      <c r="K2798" s="36" t="s">
        <v>14330</v>
      </c>
      <c r="L2798" s="36" t="s">
        <v>14330</v>
      </c>
      <c r="M2798">
        <v>3</v>
      </c>
      <c r="N2798" t="s">
        <v>14331</v>
      </c>
      <c r="O2798" t="s">
        <v>32633</v>
      </c>
    </row>
    <row r="2799" spans="1:15" x14ac:dyDescent="0.25">
      <c r="A2799" s="35" t="s">
        <v>7328</v>
      </c>
      <c r="B2799" s="36" t="s">
        <v>7329</v>
      </c>
      <c r="C2799" s="36" t="str">
        <f>HYPERLINK("https://rhld.insurance.arkansas.gov/NPILookup?Npi=1417396599","1417396599")</f>
        <v>1417396599</v>
      </c>
      <c r="D2799" s="36" t="s">
        <v>35401</v>
      </c>
      <c r="E2799" s="36" t="s">
        <v>1</v>
      </c>
      <c r="F2799" s="36">
        <v>1</v>
      </c>
      <c r="G2799" s="36">
        <v>3</v>
      </c>
      <c r="H2799" s="36">
        <v>0</v>
      </c>
      <c r="I2799" s="37">
        <v>0</v>
      </c>
      <c r="J2799" s="36" t="s">
        <v>34836</v>
      </c>
      <c r="K2799" s="36" t="s">
        <v>14330</v>
      </c>
      <c r="L2799" s="36" t="s">
        <v>14330</v>
      </c>
      <c r="M2799">
        <v>2</v>
      </c>
      <c r="N2799" t="s">
        <v>14331</v>
      </c>
      <c r="O2799" t="s">
        <v>32633</v>
      </c>
    </row>
    <row r="2800" spans="1:15" x14ac:dyDescent="0.25">
      <c r="A2800" s="35" t="s">
        <v>7328</v>
      </c>
      <c r="B2800" s="36" t="s">
        <v>7329</v>
      </c>
      <c r="C2800" s="36" t="str">
        <f>HYPERLINK("https://rhld.insurance.arkansas.gov/NPILookup?Npi=1417405986","1417405986")</f>
        <v>1417405986</v>
      </c>
      <c r="D2800" s="36" t="s">
        <v>35402</v>
      </c>
      <c r="E2800" s="36" t="s">
        <v>1</v>
      </c>
      <c r="F2800" s="36">
        <v>1</v>
      </c>
      <c r="G2800" s="36">
        <v>2</v>
      </c>
      <c r="H2800" s="36">
        <v>0</v>
      </c>
      <c r="I2800" s="37">
        <v>0</v>
      </c>
      <c r="J2800" s="36" t="s">
        <v>32654</v>
      </c>
      <c r="K2800" s="36" t="s">
        <v>14330</v>
      </c>
      <c r="L2800" s="36" t="s">
        <v>14330</v>
      </c>
      <c r="M2800">
        <v>3</v>
      </c>
      <c r="N2800" t="s">
        <v>14331</v>
      </c>
      <c r="O2800" t="s">
        <v>32633</v>
      </c>
    </row>
    <row r="2801" spans="1:15" x14ac:dyDescent="0.25">
      <c r="A2801" s="35" t="s">
        <v>7328</v>
      </c>
      <c r="B2801" s="36" t="s">
        <v>7329</v>
      </c>
      <c r="C2801" s="36" t="str">
        <f>HYPERLINK("https://rhld.insurance.arkansas.gov/NPILookup?Npi=1417454620","1417454620")</f>
        <v>1417454620</v>
      </c>
      <c r="D2801" s="36" t="s">
        <v>35403</v>
      </c>
      <c r="E2801" s="36" t="s">
        <v>1</v>
      </c>
      <c r="F2801" s="36">
        <v>1</v>
      </c>
      <c r="G2801" s="36">
        <v>3</v>
      </c>
      <c r="H2801" s="36">
        <v>0</v>
      </c>
      <c r="I2801" s="37">
        <v>0</v>
      </c>
      <c r="J2801" s="36" t="s">
        <v>34836</v>
      </c>
      <c r="K2801" s="36" t="s">
        <v>14330</v>
      </c>
      <c r="L2801" s="36" t="s">
        <v>14330</v>
      </c>
      <c r="M2801">
        <v>1</v>
      </c>
      <c r="N2801" t="s">
        <v>14331</v>
      </c>
      <c r="O2801" t="s">
        <v>32633</v>
      </c>
    </row>
    <row r="2802" spans="1:15" x14ac:dyDescent="0.25">
      <c r="A2802" s="35" t="s">
        <v>7328</v>
      </c>
      <c r="B2802" s="36" t="s">
        <v>7329</v>
      </c>
      <c r="C2802" s="36" t="str">
        <f>HYPERLINK("https://rhld.insurance.arkansas.gov/NPILookup?Npi=1417488164","1417488164")</f>
        <v>1417488164</v>
      </c>
      <c r="D2802" s="36" t="s">
        <v>35404</v>
      </c>
      <c r="E2802" s="36" t="s">
        <v>1</v>
      </c>
      <c r="F2802" s="36">
        <v>1</v>
      </c>
      <c r="G2802" s="36">
        <v>1</v>
      </c>
      <c r="H2802" s="36">
        <v>0</v>
      </c>
      <c r="I2802" s="37">
        <v>0</v>
      </c>
      <c r="J2802" s="36" t="s">
        <v>34836</v>
      </c>
      <c r="K2802" s="36" t="s">
        <v>14330</v>
      </c>
      <c r="L2802" s="36" t="s">
        <v>14330</v>
      </c>
      <c r="M2802">
        <v>2</v>
      </c>
      <c r="N2802" t="s">
        <v>14331</v>
      </c>
      <c r="O2802" t="s">
        <v>32633</v>
      </c>
    </row>
    <row r="2803" spans="1:15" x14ac:dyDescent="0.25">
      <c r="A2803" s="35" t="s">
        <v>7328</v>
      </c>
      <c r="B2803" s="36" t="s">
        <v>7329</v>
      </c>
      <c r="C2803" s="36" t="str">
        <f>HYPERLINK("https://rhld.insurance.arkansas.gov/NPILookup?Npi=1417720723","1417720723")</f>
        <v>1417720723</v>
      </c>
      <c r="D2803" s="36" t="s">
        <v>34728</v>
      </c>
      <c r="E2803" s="36" t="s">
        <v>2</v>
      </c>
      <c r="F2803" s="36">
        <v>1</v>
      </c>
      <c r="G2803" s="36">
        <v>2</v>
      </c>
      <c r="H2803" s="36">
        <v>0</v>
      </c>
      <c r="I2803" s="37">
        <v>0</v>
      </c>
      <c r="J2803" s="36"/>
      <c r="K2803" s="36" t="s">
        <v>14330</v>
      </c>
      <c r="L2803" s="36" t="s">
        <v>14330</v>
      </c>
      <c r="M2803">
        <v>2</v>
      </c>
      <c r="N2803" t="s">
        <v>14331</v>
      </c>
      <c r="O2803" t="s">
        <v>14333</v>
      </c>
    </row>
    <row r="2804" spans="1:15" x14ac:dyDescent="0.25">
      <c r="A2804" s="35" t="s">
        <v>7328</v>
      </c>
      <c r="B2804" s="36" t="s">
        <v>7329</v>
      </c>
      <c r="C2804" s="36" t="str">
        <f>HYPERLINK("https://rhld.insurance.arkansas.gov/NPILookup?Npi=1417793860","1417793860")</f>
        <v>1417793860</v>
      </c>
      <c r="D2804" s="36" t="s">
        <v>35405</v>
      </c>
      <c r="E2804" s="36" t="s">
        <v>2</v>
      </c>
      <c r="F2804" s="36">
        <v>1</v>
      </c>
      <c r="G2804" s="36">
        <v>2</v>
      </c>
      <c r="H2804" s="36">
        <v>0</v>
      </c>
      <c r="I2804" s="37">
        <v>0</v>
      </c>
      <c r="J2804" s="36"/>
      <c r="K2804" s="36" t="s">
        <v>14330</v>
      </c>
      <c r="L2804" s="36" t="s">
        <v>14330</v>
      </c>
      <c r="M2804">
        <v>1</v>
      </c>
      <c r="N2804" t="s">
        <v>14331</v>
      </c>
      <c r="O2804" t="s">
        <v>14333</v>
      </c>
    </row>
    <row r="2805" spans="1:15" x14ac:dyDescent="0.25">
      <c r="A2805" s="35" t="s">
        <v>7328</v>
      </c>
      <c r="B2805" s="36" t="s">
        <v>7329</v>
      </c>
      <c r="C2805" s="36" t="str">
        <f>HYPERLINK("https://rhld.insurance.arkansas.gov/NPILookup?Npi=1417796749","1417796749")</f>
        <v>1417796749</v>
      </c>
      <c r="D2805" s="36" t="s">
        <v>35406</v>
      </c>
      <c r="E2805" s="36" t="s">
        <v>2</v>
      </c>
      <c r="F2805" s="36">
        <v>1</v>
      </c>
      <c r="G2805" s="36">
        <v>1</v>
      </c>
      <c r="H2805" s="36">
        <v>0</v>
      </c>
      <c r="I2805" s="37">
        <v>0</v>
      </c>
      <c r="J2805" s="36"/>
      <c r="K2805" s="36" t="s">
        <v>14330</v>
      </c>
      <c r="L2805" s="36" t="s">
        <v>14330</v>
      </c>
      <c r="M2805">
        <v>1</v>
      </c>
      <c r="N2805" t="s">
        <v>14331</v>
      </c>
      <c r="O2805" t="s">
        <v>32633</v>
      </c>
    </row>
    <row r="2806" spans="1:15" x14ac:dyDescent="0.25">
      <c r="A2806" s="35" t="s">
        <v>7328</v>
      </c>
      <c r="B2806" s="36" t="s">
        <v>7329</v>
      </c>
      <c r="C2806" s="36" t="str">
        <f>HYPERLINK("https://rhld.insurance.arkansas.gov/NPILookup?Npi=1417908401","1417908401")</f>
        <v>1417908401</v>
      </c>
      <c r="D2806" s="36" t="s">
        <v>35407</v>
      </c>
      <c r="E2806" s="36" t="s">
        <v>1</v>
      </c>
      <c r="F2806" s="36">
        <v>1</v>
      </c>
      <c r="G2806" s="36">
        <v>1</v>
      </c>
      <c r="H2806" s="36">
        <v>0</v>
      </c>
      <c r="I2806" s="37">
        <v>0</v>
      </c>
      <c r="J2806" s="36" t="s">
        <v>32723</v>
      </c>
      <c r="K2806" s="36" t="s">
        <v>14330</v>
      </c>
      <c r="L2806" s="36" t="s">
        <v>14330</v>
      </c>
      <c r="M2806">
        <v>3</v>
      </c>
      <c r="N2806" t="s">
        <v>14331</v>
      </c>
      <c r="O2806" t="s">
        <v>32724</v>
      </c>
    </row>
    <row r="2807" spans="1:15" x14ac:dyDescent="0.25">
      <c r="A2807" s="35" t="s">
        <v>7328</v>
      </c>
      <c r="B2807" s="36" t="s">
        <v>7329</v>
      </c>
      <c r="C2807" s="36" t="str">
        <f>HYPERLINK("https://rhld.insurance.arkansas.gov/NPILookup?Npi=1417993379","1417993379")</f>
        <v>1417993379</v>
      </c>
      <c r="D2807" s="36" t="s">
        <v>35408</v>
      </c>
      <c r="E2807" s="36" t="s">
        <v>1</v>
      </c>
      <c r="F2807" s="36">
        <v>1</v>
      </c>
      <c r="G2807" s="36">
        <v>3</v>
      </c>
      <c r="H2807" s="36">
        <v>0</v>
      </c>
      <c r="I2807" s="37">
        <v>0</v>
      </c>
      <c r="J2807" s="36" t="s">
        <v>32654</v>
      </c>
      <c r="K2807" s="36" t="s">
        <v>14330</v>
      </c>
      <c r="L2807" s="36" t="s">
        <v>14330</v>
      </c>
      <c r="M2807">
        <v>2</v>
      </c>
      <c r="N2807" t="s">
        <v>14331</v>
      </c>
      <c r="O2807" t="s">
        <v>32633</v>
      </c>
    </row>
    <row r="2808" spans="1:15" x14ac:dyDescent="0.25">
      <c r="A2808" s="35" t="s">
        <v>7328</v>
      </c>
      <c r="B2808" s="36" t="s">
        <v>7329</v>
      </c>
      <c r="C2808" s="36" t="str">
        <f>HYPERLINK("https://rhld.insurance.arkansas.gov/NPILookup?Npi=1427021435","1427021435")</f>
        <v>1427021435</v>
      </c>
      <c r="D2808" s="36" t="s">
        <v>35409</v>
      </c>
      <c r="E2808" s="36" t="s">
        <v>2</v>
      </c>
      <c r="F2808" s="36">
        <v>1</v>
      </c>
      <c r="G2808" s="36">
        <v>2</v>
      </c>
      <c r="H2808" s="36">
        <v>0</v>
      </c>
      <c r="I2808" s="37">
        <v>0</v>
      </c>
      <c r="J2808" s="36"/>
      <c r="K2808" s="36" t="s">
        <v>14330</v>
      </c>
      <c r="L2808" s="36" t="s">
        <v>14330</v>
      </c>
      <c r="M2808">
        <v>1</v>
      </c>
      <c r="N2808" t="s">
        <v>14331</v>
      </c>
      <c r="O2808" t="s">
        <v>14333</v>
      </c>
    </row>
    <row r="2809" spans="1:15" x14ac:dyDescent="0.25">
      <c r="A2809" s="35" t="s">
        <v>7328</v>
      </c>
      <c r="B2809" s="36" t="s">
        <v>7329</v>
      </c>
      <c r="C2809" s="36" t="str">
        <f>HYPERLINK("https://rhld.insurance.arkansas.gov/NPILookup?Npi=1427056894","1427056894")</f>
        <v>1427056894</v>
      </c>
      <c r="D2809" s="36" t="s">
        <v>33816</v>
      </c>
      <c r="E2809" s="36" t="s">
        <v>1</v>
      </c>
      <c r="F2809" s="36">
        <v>1</v>
      </c>
      <c r="G2809" s="36">
        <v>1</v>
      </c>
      <c r="H2809" s="36">
        <v>0</v>
      </c>
      <c r="I2809" s="37">
        <v>0</v>
      </c>
      <c r="J2809" s="36" t="s">
        <v>34836</v>
      </c>
      <c r="K2809" s="36" t="s">
        <v>14330</v>
      </c>
      <c r="L2809" s="36" t="s">
        <v>14330</v>
      </c>
      <c r="M2809">
        <v>2</v>
      </c>
      <c r="N2809" t="s">
        <v>14331</v>
      </c>
      <c r="O2809" t="s">
        <v>32633</v>
      </c>
    </row>
    <row r="2810" spans="1:15" x14ac:dyDescent="0.25">
      <c r="A2810" s="35" t="s">
        <v>7328</v>
      </c>
      <c r="B2810" s="36" t="s">
        <v>7329</v>
      </c>
      <c r="C2810" s="36" t="str">
        <f>HYPERLINK("https://rhld.insurance.arkansas.gov/NPILookup?Npi=1427099712","1427099712")</f>
        <v>1427099712</v>
      </c>
      <c r="D2810" s="36" t="s">
        <v>35410</v>
      </c>
      <c r="E2810" s="36" t="s">
        <v>1</v>
      </c>
      <c r="F2810" s="36">
        <v>1</v>
      </c>
      <c r="G2810" s="36">
        <v>2</v>
      </c>
      <c r="H2810" s="36">
        <v>0</v>
      </c>
      <c r="I2810" s="37">
        <v>0</v>
      </c>
      <c r="J2810" s="36" t="s">
        <v>34836</v>
      </c>
      <c r="K2810" s="36" t="s">
        <v>14330</v>
      </c>
      <c r="L2810" s="36" t="s">
        <v>14330</v>
      </c>
      <c r="M2810">
        <v>3</v>
      </c>
      <c r="N2810" t="s">
        <v>14331</v>
      </c>
      <c r="O2810" t="s">
        <v>32633</v>
      </c>
    </row>
    <row r="2811" spans="1:15" x14ac:dyDescent="0.25">
      <c r="A2811" s="35" t="s">
        <v>7328</v>
      </c>
      <c r="B2811" s="36" t="s">
        <v>7329</v>
      </c>
      <c r="C2811" s="36" t="str">
        <f>HYPERLINK("https://rhld.insurance.arkansas.gov/NPILookup?Npi=1427139476","1427139476")</f>
        <v>1427139476</v>
      </c>
      <c r="D2811" s="36" t="s">
        <v>35411</v>
      </c>
      <c r="E2811" s="36" t="s">
        <v>1</v>
      </c>
      <c r="F2811" s="36">
        <v>1</v>
      </c>
      <c r="G2811" s="36">
        <v>3</v>
      </c>
      <c r="H2811" s="36">
        <v>0</v>
      </c>
      <c r="I2811" s="37">
        <v>0</v>
      </c>
      <c r="J2811" s="36" t="s">
        <v>34836</v>
      </c>
      <c r="K2811" s="36" t="s">
        <v>14330</v>
      </c>
      <c r="L2811" s="36" t="s">
        <v>14330</v>
      </c>
      <c r="M2811">
        <v>3</v>
      </c>
      <c r="N2811" t="s">
        <v>14331</v>
      </c>
      <c r="O2811" t="s">
        <v>32633</v>
      </c>
    </row>
    <row r="2812" spans="1:15" x14ac:dyDescent="0.25">
      <c r="A2812" s="35" t="s">
        <v>7328</v>
      </c>
      <c r="B2812" s="36" t="s">
        <v>7329</v>
      </c>
      <c r="C2812" s="36" t="str">
        <f>HYPERLINK("https://rhld.insurance.arkansas.gov/NPILookup?Npi=1427146174","1427146174")</f>
        <v>1427146174</v>
      </c>
      <c r="D2812" s="36" t="s">
        <v>35412</v>
      </c>
      <c r="E2812" s="36" t="s">
        <v>1</v>
      </c>
      <c r="F2812" s="36">
        <v>1</v>
      </c>
      <c r="G2812" s="36">
        <v>3</v>
      </c>
      <c r="H2812" s="36">
        <v>0</v>
      </c>
      <c r="I2812" s="37">
        <v>0</v>
      </c>
      <c r="J2812" s="36" t="s">
        <v>32654</v>
      </c>
      <c r="K2812" s="36" t="s">
        <v>14330</v>
      </c>
      <c r="L2812" s="36" t="s">
        <v>14330</v>
      </c>
      <c r="M2812">
        <v>3</v>
      </c>
      <c r="N2812" t="s">
        <v>14331</v>
      </c>
      <c r="O2812" t="s">
        <v>32633</v>
      </c>
    </row>
    <row r="2813" spans="1:15" x14ac:dyDescent="0.25">
      <c r="A2813" s="35" t="s">
        <v>7328</v>
      </c>
      <c r="B2813" s="36" t="s">
        <v>7329</v>
      </c>
      <c r="C2813" s="36" t="str">
        <f>HYPERLINK("https://rhld.insurance.arkansas.gov/NPILookup?Npi=1427148998","1427148998")</f>
        <v>1427148998</v>
      </c>
      <c r="D2813" s="36" t="s">
        <v>35413</v>
      </c>
      <c r="E2813" s="36" t="s">
        <v>1</v>
      </c>
      <c r="F2813" s="36">
        <v>1</v>
      </c>
      <c r="G2813" s="36">
        <v>3</v>
      </c>
      <c r="H2813" s="36">
        <v>0</v>
      </c>
      <c r="I2813" s="37">
        <v>0</v>
      </c>
      <c r="J2813" s="36" t="s">
        <v>34836</v>
      </c>
      <c r="K2813" s="36" t="s">
        <v>14330</v>
      </c>
      <c r="L2813" s="36" t="s">
        <v>14330</v>
      </c>
      <c r="M2813">
        <v>2</v>
      </c>
      <c r="N2813" t="s">
        <v>14331</v>
      </c>
      <c r="O2813" t="s">
        <v>32633</v>
      </c>
    </row>
    <row r="2814" spans="1:15" x14ac:dyDescent="0.25">
      <c r="A2814" s="35" t="s">
        <v>7328</v>
      </c>
      <c r="B2814" s="36" t="s">
        <v>7329</v>
      </c>
      <c r="C2814" s="36" t="str">
        <f>HYPERLINK("https://rhld.insurance.arkansas.gov/NPILookup?Npi=1427160910","1427160910")</f>
        <v>1427160910</v>
      </c>
      <c r="D2814" s="36" t="s">
        <v>35414</v>
      </c>
      <c r="E2814" s="36" t="s">
        <v>1</v>
      </c>
      <c r="F2814" s="36">
        <v>1</v>
      </c>
      <c r="G2814" s="36">
        <v>2</v>
      </c>
      <c r="H2814" s="36">
        <v>0</v>
      </c>
      <c r="I2814" s="37">
        <v>0</v>
      </c>
      <c r="J2814" s="36" t="s">
        <v>32654</v>
      </c>
      <c r="K2814" s="36" t="s">
        <v>14330</v>
      </c>
      <c r="L2814" s="36" t="s">
        <v>14330</v>
      </c>
      <c r="M2814">
        <v>2</v>
      </c>
      <c r="N2814" t="s">
        <v>14331</v>
      </c>
      <c r="O2814" t="s">
        <v>32633</v>
      </c>
    </row>
    <row r="2815" spans="1:15" x14ac:dyDescent="0.25">
      <c r="A2815" s="35" t="s">
        <v>7328</v>
      </c>
      <c r="B2815" s="36" t="s">
        <v>7329</v>
      </c>
      <c r="C2815" s="36" t="str">
        <f>HYPERLINK("https://rhld.insurance.arkansas.gov/NPILookup?Npi=1427210004","1427210004")</f>
        <v>1427210004</v>
      </c>
      <c r="D2815" s="36" t="s">
        <v>35415</v>
      </c>
      <c r="E2815" s="36" t="s">
        <v>1</v>
      </c>
      <c r="F2815" s="36">
        <v>1</v>
      </c>
      <c r="G2815" s="36">
        <v>2</v>
      </c>
      <c r="H2815" s="36">
        <v>0</v>
      </c>
      <c r="I2815" s="37">
        <v>0</v>
      </c>
      <c r="J2815" s="36" t="s">
        <v>34836</v>
      </c>
      <c r="K2815" s="36" t="s">
        <v>14330</v>
      </c>
      <c r="L2815" s="36" t="s">
        <v>14330</v>
      </c>
      <c r="M2815">
        <v>1</v>
      </c>
      <c r="N2815" t="s">
        <v>14331</v>
      </c>
      <c r="O2815" t="s">
        <v>32633</v>
      </c>
    </row>
    <row r="2816" spans="1:15" x14ac:dyDescent="0.25">
      <c r="A2816" s="35" t="s">
        <v>7328</v>
      </c>
      <c r="B2816" s="36" t="s">
        <v>7329</v>
      </c>
      <c r="C2816" s="36" t="str">
        <f>HYPERLINK("https://rhld.insurance.arkansas.gov/NPILookup?Npi=1427217744","1427217744")</f>
        <v>1427217744</v>
      </c>
      <c r="D2816" s="36" t="s">
        <v>35416</v>
      </c>
      <c r="E2816" s="36" t="s">
        <v>1</v>
      </c>
      <c r="F2816" s="36">
        <v>1</v>
      </c>
      <c r="G2816" s="36">
        <v>1</v>
      </c>
      <c r="H2816" s="36">
        <v>0</v>
      </c>
      <c r="I2816" s="37">
        <v>0</v>
      </c>
      <c r="J2816" s="36" t="s">
        <v>34836</v>
      </c>
      <c r="K2816" s="36" t="s">
        <v>14330</v>
      </c>
      <c r="L2816" s="36" t="s">
        <v>14330</v>
      </c>
      <c r="M2816">
        <v>2</v>
      </c>
      <c r="N2816" t="s">
        <v>14331</v>
      </c>
      <c r="O2816" t="s">
        <v>32633</v>
      </c>
    </row>
    <row r="2817" spans="1:15" x14ac:dyDescent="0.25">
      <c r="A2817" s="35" t="s">
        <v>7328</v>
      </c>
      <c r="B2817" s="36" t="s">
        <v>7329</v>
      </c>
      <c r="C2817" s="36" t="str">
        <f>HYPERLINK("https://rhld.insurance.arkansas.gov/NPILookup?Npi=1427237627","1427237627")</f>
        <v>1427237627</v>
      </c>
      <c r="D2817" s="36" t="s">
        <v>35417</v>
      </c>
      <c r="E2817" s="36" t="s">
        <v>1</v>
      </c>
      <c r="F2817" s="36">
        <v>1</v>
      </c>
      <c r="G2817" s="36">
        <v>2</v>
      </c>
      <c r="H2817" s="36">
        <v>0</v>
      </c>
      <c r="I2817" s="37">
        <v>0</v>
      </c>
      <c r="J2817" s="36" t="s">
        <v>34836</v>
      </c>
      <c r="K2817" s="36" t="s">
        <v>14330</v>
      </c>
      <c r="L2817" s="36" t="s">
        <v>14330</v>
      </c>
      <c r="M2817">
        <v>3</v>
      </c>
      <c r="N2817" t="s">
        <v>14331</v>
      </c>
      <c r="O2817" t="s">
        <v>32633</v>
      </c>
    </row>
    <row r="2818" spans="1:15" x14ac:dyDescent="0.25">
      <c r="A2818" s="35" t="s">
        <v>7328</v>
      </c>
      <c r="B2818" s="36" t="s">
        <v>7329</v>
      </c>
      <c r="C2818" s="36" t="str">
        <f>HYPERLINK("https://rhld.insurance.arkansas.gov/NPILookup?Npi=1427374263","1427374263")</f>
        <v>1427374263</v>
      </c>
      <c r="D2818" s="36" t="s">
        <v>35418</v>
      </c>
      <c r="E2818" s="36" t="s">
        <v>1</v>
      </c>
      <c r="F2818" s="36">
        <v>1</v>
      </c>
      <c r="G2818" s="36">
        <v>3</v>
      </c>
      <c r="H2818" s="36">
        <v>0</v>
      </c>
      <c r="I2818" s="37">
        <v>0</v>
      </c>
      <c r="J2818" s="36" t="s">
        <v>34836</v>
      </c>
      <c r="K2818" s="36" t="s">
        <v>14330</v>
      </c>
      <c r="L2818" s="36" t="s">
        <v>14330</v>
      </c>
      <c r="M2818">
        <v>3</v>
      </c>
      <c r="N2818" t="s">
        <v>14331</v>
      </c>
      <c r="O2818" t="s">
        <v>32633</v>
      </c>
    </row>
    <row r="2819" spans="1:15" x14ac:dyDescent="0.25">
      <c r="A2819" s="35" t="s">
        <v>7328</v>
      </c>
      <c r="B2819" s="36" t="s">
        <v>7329</v>
      </c>
      <c r="C2819" s="36" t="str">
        <f>HYPERLINK("https://rhld.insurance.arkansas.gov/NPILookup?Npi=1427391721","1427391721")</f>
        <v>1427391721</v>
      </c>
      <c r="D2819" s="36" t="s">
        <v>35419</v>
      </c>
      <c r="E2819" s="36" t="s">
        <v>1</v>
      </c>
      <c r="F2819" s="36">
        <v>1</v>
      </c>
      <c r="G2819" s="36">
        <v>3</v>
      </c>
      <c r="H2819" s="36">
        <v>0</v>
      </c>
      <c r="I2819" s="37">
        <v>0</v>
      </c>
      <c r="J2819" s="36" t="s">
        <v>34836</v>
      </c>
      <c r="K2819" s="36" t="s">
        <v>14330</v>
      </c>
      <c r="L2819" s="36" t="s">
        <v>14330</v>
      </c>
      <c r="M2819">
        <v>3</v>
      </c>
      <c r="N2819" t="s">
        <v>14331</v>
      </c>
      <c r="O2819" t="s">
        <v>32633</v>
      </c>
    </row>
    <row r="2820" spans="1:15" x14ac:dyDescent="0.25">
      <c r="A2820" s="35" t="s">
        <v>7328</v>
      </c>
      <c r="B2820" s="36" t="s">
        <v>7329</v>
      </c>
      <c r="C2820" s="36" t="str">
        <f>HYPERLINK("https://rhld.insurance.arkansas.gov/NPILookup?Npi=1427403955","1427403955")</f>
        <v>1427403955</v>
      </c>
      <c r="D2820" s="36" t="s">
        <v>35420</v>
      </c>
      <c r="E2820" s="36" t="s">
        <v>1</v>
      </c>
      <c r="F2820" s="36">
        <v>1</v>
      </c>
      <c r="G2820" s="36">
        <v>3</v>
      </c>
      <c r="H2820" s="36">
        <v>0</v>
      </c>
      <c r="I2820" s="37">
        <v>0</v>
      </c>
      <c r="J2820" s="36" t="s">
        <v>32654</v>
      </c>
      <c r="K2820" s="36" t="s">
        <v>14330</v>
      </c>
      <c r="L2820" s="36" t="s">
        <v>14330</v>
      </c>
      <c r="M2820">
        <v>3</v>
      </c>
      <c r="N2820" t="s">
        <v>14331</v>
      </c>
      <c r="O2820" t="s">
        <v>32633</v>
      </c>
    </row>
    <row r="2821" spans="1:15" x14ac:dyDescent="0.25">
      <c r="A2821" s="35" t="s">
        <v>7328</v>
      </c>
      <c r="B2821" s="36" t="s">
        <v>7329</v>
      </c>
      <c r="C2821" s="36" t="str">
        <f>HYPERLINK("https://rhld.insurance.arkansas.gov/NPILookup?Npi=1427411644","1427411644")</f>
        <v>1427411644</v>
      </c>
      <c r="D2821" s="36" t="s">
        <v>35421</v>
      </c>
      <c r="E2821" s="36" t="s">
        <v>1</v>
      </c>
      <c r="F2821" s="36">
        <v>1</v>
      </c>
      <c r="G2821" s="36">
        <v>3</v>
      </c>
      <c r="H2821" s="36">
        <v>0</v>
      </c>
      <c r="I2821" s="37">
        <v>0</v>
      </c>
      <c r="J2821" s="36" t="s">
        <v>34836</v>
      </c>
      <c r="K2821" s="36" t="s">
        <v>14330</v>
      </c>
      <c r="L2821" s="36" t="s">
        <v>14330</v>
      </c>
      <c r="M2821">
        <v>3</v>
      </c>
      <c r="N2821" t="s">
        <v>14331</v>
      </c>
      <c r="O2821" t="s">
        <v>32633</v>
      </c>
    </row>
    <row r="2822" spans="1:15" x14ac:dyDescent="0.25">
      <c r="A2822" s="35" t="s">
        <v>7328</v>
      </c>
      <c r="B2822" s="36" t="s">
        <v>7329</v>
      </c>
      <c r="C2822" s="36" t="str">
        <f>HYPERLINK("https://rhld.insurance.arkansas.gov/NPILookup?Npi=1427430214","1427430214")</f>
        <v>1427430214</v>
      </c>
      <c r="D2822" s="36" t="s">
        <v>35422</v>
      </c>
      <c r="E2822" s="36" t="s">
        <v>1</v>
      </c>
      <c r="F2822" s="36">
        <v>1</v>
      </c>
      <c r="G2822" s="36">
        <v>3</v>
      </c>
      <c r="H2822" s="36">
        <v>0</v>
      </c>
      <c r="I2822" s="37">
        <v>0</v>
      </c>
      <c r="J2822" s="36" t="s">
        <v>34836</v>
      </c>
      <c r="K2822" s="36" t="s">
        <v>14330</v>
      </c>
      <c r="L2822" s="36" t="s">
        <v>14330</v>
      </c>
      <c r="M2822">
        <v>2</v>
      </c>
      <c r="N2822" t="s">
        <v>14331</v>
      </c>
      <c r="O2822" t="s">
        <v>32633</v>
      </c>
    </row>
    <row r="2823" spans="1:15" x14ac:dyDescent="0.25">
      <c r="A2823" s="35" t="s">
        <v>7328</v>
      </c>
      <c r="B2823" s="36" t="s">
        <v>7329</v>
      </c>
      <c r="C2823" s="36" t="str">
        <f>HYPERLINK("https://rhld.insurance.arkansas.gov/NPILookup?Npi=1427436880","1427436880")</f>
        <v>1427436880</v>
      </c>
      <c r="D2823" s="36" t="s">
        <v>35423</v>
      </c>
      <c r="E2823" s="36" t="s">
        <v>1</v>
      </c>
      <c r="F2823" s="36">
        <v>1</v>
      </c>
      <c r="G2823" s="36">
        <v>2</v>
      </c>
      <c r="H2823" s="36">
        <v>0</v>
      </c>
      <c r="I2823" s="37">
        <v>0</v>
      </c>
      <c r="J2823" s="36" t="s">
        <v>34836</v>
      </c>
      <c r="K2823" s="36" t="s">
        <v>14330</v>
      </c>
      <c r="L2823" s="36" t="s">
        <v>14330</v>
      </c>
      <c r="M2823">
        <v>1</v>
      </c>
      <c r="N2823" t="s">
        <v>14331</v>
      </c>
      <c r="O2823" t="s">
        <v>32633</v>
      </c>
    </row>
    <row r="2824" spans="1:15" x14ac:dyDescent="0.25">
      <c r="A2824" s="35" t="s">
        <v>7328</v>
      </c>
      <c r="B2824" s="36" t="s">
        <v>7329</v>
      </c>
      <c r="C2824" s="36" t="str">
        <f>HYPERLINK("https://rhld.insurance.arkansas.gov/NPILookup?Npi=1427477223","1427477223")</f>
        <v>1427477223</v>
      </c>
      <c r="D2824" s="36" t="s">
        <v>35424</v>
      </c>
      <c r="E2824" s="36" t="s">
        <v>1</v>
      </c>
      <c r="F2824" s="36">
        <v>1</v>
      </c>
      <c r="G2824" s="36">
        <v>1</v>
      </c>
      <c r="H2824" s="36">
        <v>0</v>
      </c>
      <c r="I2824" s="37">
        <v>0</v>
      </c>
      <c r="J2824" s="36" t="s">
        <v>34836</v>
      </c>
      <c r="K2824" s="36" t="s">
        <v>14330</v>
      </c>
      <c r="L2824" s="36" t="s">
        <v>14330</v>
      </c>
      <c r="M2824">
        <v>2</v>
      </c>
      <c r="N2824" t="s">
        <v>14331</v>
      </c>
      <c r="O2824" t="s">
        <v>32633</v>
      </c>
    </row>
    <row r="2825" spans="1:15" x14ac:dyDescent="0.25">
      <c r="A2825" s="35" t="s">
        <v>7328</v>
      </c>
      <c r="B2825" s="36" t="s">
        <v>7329</v>
      </c>
      <c r="C2825" s="36" t="str">
        <f>HYPERLINK("https://rhld.insurance.arkansas.gov/NPILookup?Npi=1427493618","1427493618")</f>
        <v>1427493618</v>
      </c>
      <c r="D2825" s="36" t="s">
        <v>35425</v>
      </c>
      <c r="E2825" s="36" t="s">
        <v>1</v>
      </c>
      <c r="F2825" s="36">
        <v>1</v>
      </c>
      <c r="G2825" s="36">
        <v>2</v>
      </c>
      <c r="H2825" s="36">
        <v>0</v>
      </c>
      <c r="I2825" s="37">
        <v>0</v>
      </c>
      <c r="J2825" s="36" t="s">
        <v>32654</v>
      </c>
      <c r="K2825" s="36" t="s">
        <v>14330</v>
      </c>
      <c r="L2825" s="36" t="s">
        <v>14330</v>
      </c>
      <c r="M2825">
        <v>3</v>
      </c>
      <c r="N2825" t="s">
        <v>14331</v>
      </c>
      <c r="O2825" t="s">
        <v>32633</v>
      </c>
    </row>
    <row r="2826" spans="1:15" x14ac:dyDescent="0.25">
      <c r="A2826" s="35" t="s">
        <v>7328</v>
      </c>
      <c r="B2826" s="36" t="s">
        <v>7329</v>
      </c>
      <c r="C2826" s="36" t="str">
        <f>HYPERLINK("https://rhld.insurance.arkansas.gov/NPILookup?Npi=1427578608","1427578608")</f>
        <v>1427578608</v>
      </c>
      <c r="D2826" s="36" t="s">
        <v>35426</v>
      </c>
      <c r="E2826" s="36" t="s">
        <v>1</v>
      </c>
      <c r="F2826" s="36">
        <v>1</v>
      </c>
      <c r="G2826" s="36">
        <v>3</v>
      </c>
      <c r="H2826" s="36">
        <v>0</v>
      </c>
      <c r="I2826" s="37">
        <v>0</v>
      </c>
      <c r="J2826" s="36" t="s">
        <v>34836</v>
      </c>
      <c r="K2826" s="36" t="s">
        <v>14330</v>
      </c>
      <c r="L2826" s="36" t="s">
        <v>14330</v>
      </c>
      <c r="M2826">
        <v>2</v>
      </c>
      <c r="N2826" t="s">
        <v>14331</v>
      </c>
      <c r="O2826" t="s">
        <v>32633</v>
      </c>
    </row>
    <row r="2827" spans="1:15" x14ac:dyDescent="0.25">
      <c r="A2827" s="35" t="s">
        <v>7328</v>
      </c>
      <c r="B2827" s="36" t="s">
        <v>7329</v>
      </c>
      <c r="C2827" s="36" t="str">
        <f>HYPERLINK("https://rhld.insurance.arkansas.gov/NPILookup?Npi=1427674472","1427674472")</f>
        <v>1427674472</v>
      </c>
      <c r="D2827" s="36" t="s">
        <v>34729</v>
      </c>
      <c r="E2827" s="36" t="s">
        <v>2</v>
      </c>
      <c r="F2827" s="36">
        <v>1</v>
      </c>
      <c r="G2827" s="36">
        <v>2</v>
      </c>
      <c r="H2827" s="36">
        <v>0</v>
      </c>
      <c r="I2827" s="37">
        <v>0</v>
      </c>
      <c r="J2827" s="36"/>
      <c r="K2827" s="36" t="s">
        <v>14330</v>
      </c>
      <c r="L2827" s="36" t="s">
        <v>14330</v>
      </c>
      <c r="M2827">
        <v>3</v>
      </c>
      <c r="N2827" t="s">
        <v>14331</v>
      </c>
      <c r="O2827" t="s">
        <v>14333</v>
      </c>
    </row>
    <row r="2828" spans="1:15" x14ac:dyDescent="0.25">
      <c r="A2828" s="35" t="s">
        <v>7328</v>
      </c>
      <c r="B2828" s="36" t="s">
        <v>7329</v>
      </c>
      <c r="C2828" s="36" t="str">
        <f>HYPERLINK("https://rhld.insurance.arkansas.gov/NPILookup?Npi=1427691641","1427691641")</f>
        <v>1427691641</v>
      </c>
      <c r="D2828" s="36" t="s">
        <v>33960</v>
      </c>
      <c r="E2828" s="36" t="s">
        <v>1</v>
      </c>
      <c r="F2828" s="36">
        <v>1</v>
      </c>
      <c r="G2828" s="36">
        <v>3</v>
      </c>
      <c r="H2828" s="36">
        <v>0</v>
      </c>
      <c r="I2828" s="37">
        <v>0</v>
      </c>
      <c r="J2828" s="36" t="s">
        <v>32654</v>
      </c>
      <c r="K2828" s="36" t="s">
        <v>14330</v>
      </c>
      <c r="L2828" s="36" t="s">
        <v>14330</v>
      </c>
      <c r="M2828">
        <v>2</v>
      </c>
      <c r="N2828" t="s">
        <v>14331</v>
      </c>
      <c r="O2828" t="s">
        <v>32633</v>
      </c>
    </row>
    <row r="2829" spans="1:15" x14ac:dyDescent="0.25">
      <c r="A2829" s="35" t="s">
        <v>7328</v>
      </c>
      <c r="B2829" s="36" t="s">
        <v>7329</v>
      </c>
      <c r="C2829" s="36" t="str">
        <f>HYPERLINK("https://rhld.insurance.arkansas.gov/NPILookup?Npi=1427737121","1427737121")</f>
        <v>1427737121</v>
      </c>
      <c r="D2829" s="36" t="s">
        <v>35427</v>
      </c>
      <c r="E2829" s="36" t="s">
        <v>2</v>
      </c>
      <c r="F2829" s="36">
        <v>1</v>
      </c>
      <c r="G2829" s="36">
        <v>2</v>
      </c>
      <c r="H2829" s="36">
        <v>0</v>
      </c>
      <c r="I2829" s="37">
        <v>0</v>
      </c>
      <c r="J2829" s="36"/>
      <c r="K2829" s="36" t="s">
        <v>14330</v>
      </c>
      <c r="L2829" s="36" t="s">
        <v>14330</v>
      </c>
      <c r="M2829">
        <v>1</v>
      </c>
      <c r="N2829" t="s">
        <v>14331</v>
      </c>
      <c r="O2829" t="s">
        <v>14333</v>
      </c>
    </row>
    <row r="2830" spans="1:15" x14ac:dyDescent="0.25">
      <c r="A2830" s="35" t="s">
        <v>7328</v>
      </c>
      <c r="B2830" s="36" t="s">
        <v>7329</v>
      </c>
      <c r="C2830" s="36" t="str">
        <f>HYPERLINK("https://rhld.insurance.arkansas.gov/NPILookup?Npi=1427792548","1427792548")</f>
        <v>1427792548</v>
      </c>
      <c r="D2830" s="36" t="s">
        <v>35428</v>
      </c>
      <c r="E2830" s="36" t="s">
        <v>1</v>
      </c>
      <c r="F2830" s="36">
        <v>1</v>
      </c>
      <c r="G2830" s="36">
        <v>1</v>
      </c>
      <c r="H2830" s="36">
        <v>0</v>
      </c>
      <c r="I2830" s="37">
        <v>0</v>
      </c>
      <c r="J2830" s="36" t="s">
        <v>32654</v>
      </c>
      <c r="K2830" s="36" t="s">
        <v>14330</v>
      </c>
      <c r="L2830" s="36" t="s">
        <v>14330</v>
      </c>
      <c r="M2830">
        <v>2</v>
      </c>
      <c r="N2830" t="s">
        <v>14331</v>
      </c>
      <c r="O2830" t="s">
        <v>32633</v>
      </c>
    </row>
    <row r="2831" spans="1:15" x14ac:dyDescent="0.25">
      <c r="A2831" s="35" t="s">
        <v>7328</v>
      </c>
      <c r="B2831" s="36" t="s">
        <v>7329</v>
      </c>
      <c r="C2831" s="36" t="str">
        <f>HYPERLINK("https://rhld.insurance.arkansas.gov/NPILookup?Npi=1427804483","1427804483")</f>
        <v>1427804483</v>
      </c>
      <c r="D2831" s="36" t="s">
        <v>35429</v>
      </c>
      <c r="E2831" s="36" t="s">
        <v>2</v>
      </c>
      <c r="F2831" s="36">
        <v>1</v>
      </c>
      <c r="G2831" s="36">
        <v>2</v>
      </c>
      <c r="H2831" s="36">
        <v>0</v>
      </c>
      <c r="I2831" s="37">
        <v>0</v>
      </c>
      <c r="J2831" s="36"/>
      <c r="K2831" s="36" t="s">
        <v>14330</v>
      </c>
      <c r="L2831" s="36" t="s">
        <v>14330</v>
      </c>
      <c r="M2831">
        <v>1</v>
      </c>
      <c r="N2831" t="s">
        <v>14331</v>
      </c>
      <c r="O2831" t="s">
        <v>14333</v>
      </c>
    </row>
    <row r="2832" spans="1:15" x14ac:dyDescent="0.25">
      <c r="A2832" s="35" t="s">
        <v>7328</v>
      </c>
      <c r="B2832" s="36" t="s">
        <v>7329</v>
      </c>
      <c r="C2832" s="36" t="str">
        <f>HYPERLINK("https://rhld.insurance.arkansas.gov/NPILookup?Npi=1427805944","1427805944")</f>
        <v>1427805944</v>
      </c>
      <c r="D2832" s="36" t="s">
        <v>34730</v>
      </c>
      <c r="E2832" s="36" t="s">
        <v>2</v>
      </c>
      <c r="F2832" s="36">
        <v>1</v>
      </c>
      <c r="G2832" s="36">
        <v>1</v>
      </c>
      <c r="H2832" s="36">
        <v>0</v>
      </c>
      <c r="I2832" s="37">
        <v>0</v>
      </c>
      <c r="J2832" s="36"/>
      <c r="K2832" s="36" t="s">
        <v>14330</v>
      </c>
      <c r="L2832" s="36" t="s">
        <v>14330</v>
      </c>
      <c r="M2832">
        <v>2</v>
      </c>
      <c r="N2832" t="s">
        <v>14331</v>
      </c>
      <c r="O2832" t="s">
        <v>32633</v>
      </c>
    </row>
    <row r="2833" spans="1:15" x14ac:dyDescent="0.25">
      <c r="A2833" s="35" t="s">
        <v>7328</v>
      </c>
      <c r="B2833" s="36" t="s">
        <v>7329</v>
      </c>
      <c r="C2833" s="36" t="str">
        <f>HYPERLINK("https://rhld.insurance.arkansas.gov/NPILookup?Npi=1437104007","1437104007")</f>
        <v>1437104007</v>
      </c>
      <c r="D2833" s="36" t="s">
        <v>35430</v>
      </c>
      <c r="E2833" s="36" t="s">
        <v>1</v>
      </c>
      <c r="F2833" s="36">
        <v>1</v>
      </c>
      <c r="G2833" s="36">
        <v>2</v>
      </c>
      <c r="H2833" s="36">
        <v>0</v>
      </c>
      <c r="I2833" s="37">
        <v>0</v>
      </c>
      <c r="J2833" s="36" t="s">
        <v>34836</v>
      </c>
      <c r="K2833" s="36" t="s">
        <v>14330</v>
      </c>
      <c r="L2833" s="36" t="s">
        <v>14330</v>
      </c>
      <c r="M2833">
        <v>3</v>
      </c>
      <c r="N2833" t="s">
        <v>14331</v>
      </c>
      <c r="O2833" t="s">
        <v>32633</v>
      </c>
    </row>
    <row r="2834" spans="1:15" x14ac:dyDescent="0.25">
      <c r="A2834" s="35" t="s">
        <v>7328</v>
      </c>
      <c r="B2834" s="36" t="s">
        <v>7329</v>
      </c>
      <c r="C2834" s="36" t="str">
        <f>HYPERLINK("https://rhld.insurance.arkansas.gov/NPILookup?Npi=1437121373","1437121373")</f>
        <v>1437121373</v>
      </c>
      <c r="D2834" s="36" t="s">
        <v>35431</v>
      </c>
      <c r="E2834" s="36" t="s">
        <v>1</v>
      </c>
      <c r="F2834" s="36">
        <v>1</v>
      </c>
      <c r="G2834" s="36">
        <v>3</v>
      </c>
      <c r="H2834" s="36">
        <v>0</v>
      </c>
      <c r="I2834" s="37">
        <v>0</v>
      </c>
      <c r="J2834" s="36" t="s">
        <v>32654</v>
      </c>
      <c r="K2834" s="36" t="s">
        <v>14330</v>
      </c>
      <c r="L2834" s="36" t="s">
        <v>14330</v>
      </c>
      <c r="M2834">
        <v>3</v>
      </c>
      <c r="N2834" t="s">
        <v>14331</v>
      </c>
      <c r="O2834" t="s">
        <v>32633</v>
      </c>
    </row>
    <row r="2835" spans="1:15" x14ac:dyDescent="0.25">
      <c r="A2835" s="35" t="s">
        <v>7328</v>
      </c>
      <c r="B2835" s="36" t="s">
        <v>7329</v>
      </c>
      <c r="C2835" s="36" t="str">
        <f>HYPERLINK("https://rhld.insurance.arkansas.gov/NPILookup?Npi=1437189255","1437189255")</f>
        <v>1437189255</v>
      </c>
      <c r="D2835" s="36" t="s">
        <v>33170</v>
      </c>
      <c r="E2835" s="36" t="s">
        <v>1</v>
      </c>
      <c r="F2835" s="36">
        <v>1</v>
      </c>
      <c r="G2835" s="36">
        <v>3</v>
      </c>
      <c r="H2835" s="36">
        <v>0</v>
      </c>
      <c r="I2835" s="37">
        <v>0</v>
      </c>
      <c r="J2835" s="36" t="s">
        <v>34836</v>
      </c>
      <c r="K2835" s="36" t="s">
        <v>14330</v>
      </c>
      <c r="L2835" s="36" t="s">
        <v>14330</v>
      </c>
      <c r="M2835">
        <v>3</v>
      </c>
      <c r="N2835" t="s">
        <v>14331</v>
      </c>
      <c r="O2835" t="s">
        <v>32633</v>
      </c>
    </row>
    <row r="2836" spans="1:15" x14ac:dyDescent="0.25">
      <c r="A2836" s="35" t="s">
        <v>7328</v>
      </c>
      <c r="B2836" s="36" t="s">
        <v>7329</v>
      </c>
      <c r="C2836" s="36" t="str">
        <f>HYPERLINK("https://rhld.insurance.arkansas.gov/NPILookup?Npi=1437217593","1437217593")</f>
        <v>1437217593</v>
      </c>
      <c r="D2836" s="36" t="s">
        <v>35432</v>
      </c>
      <c r="E2836" s="36" t="s">
        <v>1</v>
      </c>
      <c r="F2836" s="36">
        <v>1</v>
      </c>
      <c r="G2836" s="36">
        <v>3</v>
      </c>
      <c r="H2836" s="36">
        <v>0</v>
      </c>
      <c r="I2836" s="37">
        <v>0</v>
      </c>
      <c r="J2836" s="36" t="s">
        <v>32654</v>
      </c>
      <c r="K2836" s="36" t="s">
        <v>14330</v>
      </c>
      <c r="L2836" s="36" t="s">
        <v>14330</v>
      </c>
      <c r="M2836">
        <v>3</v>
      </c>
      <c r="N2836" t="s">
        <v>14331</v>
      </c>
      <c r="O2836" t="s">
        <v>32633</v>
      </c>
    </row>
    <row r="2837" spans="1:15" x14ac:dyDescent="0.25">
      <c r="A2837" s="35" t="s">
        <v>7328</v>
      </c>
      <c r="B2837" s="36" t="s">
        <v>7329</v>
      </c>
      <c r="C2837" s="36" t="str">
        <f>HYPERLINK("https://rhld.insurance.arkansas.gov/NPILookup?Npi=1437260106","1437260106")</f>
        <v>1437260106</v>
      </c>
      <c r="D2837" s="36" t="s">
        <v>33331</v>
      </c>
      <c r="E2837" s="36" t="s">
        <v>1</v>
      </c>
      <c r="F2837" s="36">
        <v>1</v>
      </c>
      <c r="G2837" s="36">
        <v>3</v>
      </c>
      <c r="H2837" s="36">
        <v>0</v>
      </c>
      <c r="I2837" s="37">
        <v>0</v>
      </c>
      <c r="J2837" s="36" t="s">
        <v>32654</v>
      </c>
      <c r="K2837" s="36" t="s">
        <v>14330</v>
      </c>
      <c r="L2837" s="36" t="s">
        <v>14330</v>
      </c>
      <c r="M2837">
        <v>2</v>
      </c>
      <c r="N2837" t="s">
        <v>14331</v>
      </c>
      <c r="O2837" t="s">
        <v>32633</v>
      </c>
    </row>
    <row r="2838" spans="1:15" x14ac:dyDescent="0.25">
      <c r="A2838" s="35" t="s">
        <v>7328</v>
      </c>
      <c r="B2838" s="36" t="s">
        <v>7329</v>
      </c>
      <c r="C2838" s="36" t="str">
        <f>HYPERLINK("https://rhld.insurance.arkansas.gov/NPILookup?Npi=1437262573","1437262573")</f>
        <v>1437262573</v>
      </c>
      <c r="D2838" s="36" t="s">
        <v>35433</v>
      </c>
      <c r="E2838" s="36" t="s">
        <v>1</v>
      </c>
      <c r="F2838" s="36">
        <v>1</v>
      </c>
      <c r="G2838" s="36">
        <v>2</v>
      </c>
      <c r="H2838" s="36">
        <v>0</v>
      </c>
      <c r="I2838" s="37">
        <v>0</v>
      </c>
      <c r="J2838" s="36" t="s">
        <v>32654</v>
      </c>
      <c r="K2838" s="36" t="s">
        <v>14330</v>
      </c>
      <c r="L2838" s="36" t="s">
        <v>14330</v>
      </c>
      <c r="M2838">
        <v>2</v>
      </c>
      <c r="N2838" t="s">
        <v>14331</v>
      </c>
      <c r="O2838" t="s">
        <v>32633</v>
      </c>
    </row>
    <row r="2839" spans="1:15" x14ac:dyDescent="0.25">
      <c r="A2839" s="35" t="s">
        <v>7328</v>
      </c>
      <c r="B2839" s="36" t="s">
        <v>7329</v>
      </c>
      <c r="C2839" s="36" t="str">
        <f>HYPERLINK("https://rhld.insurance.arkansas.gov/NPILookup?Npi=1437312725","1437312725")</f>
        <v>1437312725</v>
      </c>
      <c r="D2839" s="36" t="s">
        <v>35434</v>
      </c>
      <c r="E2839" s="36" t="s">
        <v>1</v>
      </c>
      <c r="F2839" s="36">
        <v>1</v>
      </c>
      <c r="G2839" s="36">
        <v>2</v>
      </c>
      <c r="H2839" s="36">
        <v>0</v>
      </c>
      <c r="I2839" s="37">
        <v>0</v>
      </c>
      <c r="J2839" s="36" t="s">
        <v>34836</v>
      </c>
      <c r="K2839" s="36" t="s">
        <v>14330</v>
      </c>
      <c r="L2839" s="36" t="s">
        <v>14330</v>
      </c>
      <c r="M2839">
        <v>3</v>
      </c>
      <c r="N2839" t="s">
        <v>14331</v>
      </c>
      <c r="O2839" t="s">
        <v>32633</v>
      </c>
    </row>
    <row r="2840" spans="1:15" x14ac:dyDescent="0.25">
      <c r="A2840" s="35" t="s">
        <v>7328</v>
      </c>
      <c r="B2840" s="36" t="s">
        <v>7329</v>
      </c>
      <c r="C2840" s="36" t="str">
        <f>HYPERLINK("https://rhld.insurance.arkansas.gov/NPILookup?Npi=1437376548","1437376548")</f>
        <v>1437376548</v>
      </c>
      <c r="D2840" s="36" t="s">
        <v>33174</v>
      </c>
      <c r="E2840" s="36" t="s">
        <v>1</v>
      </c>
      <c r="F2840" s="36">
        <v>1</v>
      </c>
      <c r="G2840" s="36">
        <v>3</v>
      </c>
      <c r="H2840" s="36">
        <v>0</v>
      </c>
      <c r="I2840" s="37">
        <v>0</v>
      </c>
      <c r="J2840" s="36" t="s">
        <v>34836</v>
      </c>
      <c r="K2840" s="36" t="s">
        <v>14330</v>
      </c>
      <c r="L2840" s="36" t="s">
        <v>14330</v>
      </c>
      <c r="M2840">
        <v>2</v>
      </c>
      <c r="N2840" t="s">
        <v>14331</v>
      </c>
      <c r="O2840" t="s">
        <v>32633</v>
      </c>
    </row>
    <row r="2841" spans="1:15" x14ac:dyDescent="0.25">
      <c r="A2841" s="35" t="s">
        <v>7328</v>
      </c>
      <c r="B2841" s="36" t="s">
        <v>7329</v>
      </c>
      <c r="C2841" s="36" t="str">
        <f>HYPERLINK("https://rhld.insurance.arkansas.gov/NPILookup?Npi=1437383312","1437383312")</f>
        <v>1437383312</v>
      </c>
      <c r="D2841" s="36" t="s">
        <v>35435</v>
      </c>
      <c r="E2841" s="36" t="s">
        <v>2</v>
      </c>
      <c r="F2841" s="36">
        <v>1</v>
      </c>
      <c r="G2841" s="36">
        <v>2</v>
      </c>
      <c r="H2841" s="36">
        <v>0</v>
      </c>
      <c r="I2841" s="37">
        <v>0</v>
      </c>
      <c r="J2841" s="36"/>
      <c r="K2841" s="36" t="s">
        <v>14330</v>
      </c>
      <c r="L2841" s="36" t="s">
        <v>14330</v>
      </c>
      <c r="M2841">
        <v>2</v>
      </c>
      <c r="N2841" t="s">
        <v>14331</v>
      </c>
      <c r="O2841" t="s">
        <v>14333</v>
      </c>
    </row>
    <row r="2842" spans="1:15" x14ac:dyDescent="0.25">
      <c r="A2842" s="35" t="s">
        <v>7328</v>
      </c>
      <c r="B2842" s="36" t="s">
        <v>7329</v>
      </c>
      <c r="C2842" s="36" t="str">
        <f>HYPERLINK("https://rhld.insurance.arkansas.gov/NPILookup?Npi=1437404761","1437404761")</f>
        <v>1437404761</v>
      </c>
      <c r="D2842" s="36" t="s">
        <v>35436</v>
      </c>
      <c r="E2842" s="36" t="s">
        <v>1</v>
      </c>
      <c r="F2842" s="36">
        <v>1</v>
      </c>
      <c r="G2842" s="36">
        <v>2</v>
      </c>
      <c r="H2842" s="36">
        <v>0</v>
      </c>
      <c r="I2842" s="37">
        <v>0</v>
      </c>
      <c r="J2842" s="36" t="s">
        <v>34836</v>
      </c>
      <c r="K2842" s="36" t="s">
        <v>14330</v>
      </c>
      <c r="L2842" s="36" t="s">
        <v>14330</v>
      </c>
      <c r="M2842">
        <v>3</v>
      </c>
      <c r="N2842" t="s">
        <v>14331</v>
      </c>
      <c r="O2842" t="s">
        <v>32633</v>
      </c>
    </row>
    <row r="2843" spans="1:15" x14ac:dyDescent="0.25">
      <c r="A2843" s="35" t="s">
        <v>7328</v>
      </c>
      <c r="B2843" s="36" t="s">
        <v>7329</v>
      </c>
      <c r="C2843" s="36" t="str">
        <f>HYPERLINK("https://rhld.insurance.arkansas.gov/NPILookup?Npi=1437448594","1437448594")</f>
        <v>1437448594</v>
      </c>
      <c r="D2843" s="36" t="s">
        <v>35437</v>
      </c>
      <c r="E2843" s="36" t="s">
        <v>1</v>
      </c>
      <c r="F2843" s="36">
        <v>1</v>
      </c>
      <c r="G2843" s="36">
        <v>3</v>
      </c>
      <c r="H2843" s="36">
        <v>0</v>
      </c>
      <c r="I2843" s="37">
        <v>0</v>
      </c>
      <c r="J2843" s="36" t="s">
        <v>32654</v>
      </c>
      <c r="K2843" s="36" t="s">
        <v>14330</v>
      </c>
      <c r="L2843" s="36" t="s">
        <v>14330</v>
      </c>
      <c r="M2843">
        <v>3</v>
      </c>
      <c r="N2843" t="s">
        <v>14331</v>
      </c>
      <c r="O2843" t="s">
        <v>32633</v>
      </c>
    </row>
    <row r="2844" spans="1:15" x14ac:dyDescent="0.25">
      <c r="A2844" s="35" t="s">
        <v>7328</v>
      </c>
      <c r="B2844" s="36" t="s">
        <v>7329</v>
      </c>
      <c r="C2844" s="36" t="str">
        <f>HYPERLINK("https://rhld.insurance.arkansas.gov/NPILookup?Npi=1437545761","1437545761")</f>
        <v>1437545761</v>
      </c>
      <c r="D2844" s="36" t="s">
        <v>35438</v>
      </c>
      <c r="E2844" s="36" t="s">
        <v>1</v>
      </c>
      <c r="F2844" s="36">
        <v>1</v>
      </c>
      <c r="G2844" s="36">
        <v>3</v>
      </c>
      <c r="H2844" s="36">
        <v>0</v>
      </c>
      <c r="I2844" s="37">
        <v>0</v>
      </c>
      <c r="J2844" s="36" t="s">
        <v>32654</v>
      </c>
      <c r="K2844" s="36" t="s">
        <v>14330</v>
      </c>
      <c r="L2844" s="36" t="s">
        <v>14330</v>
      </c>
      <c r="M2844">
        <v>3</v>
      </c>
      <c r="N2844" t="s">
        <v>14331</v>
      </c>
      <c r="O2844" t="s">
        <v>32633</v>
      </c>
    </row>
    <row r="2845" spans="1:15" x14ac:dyDescent="0.25">
      <c r="A2845" s="35" t="s">
        <v>7328</v>
      </c>
      <c r="B2845" s="36" t="s">
        <v>7329</v>
      </c>
      <c r="C2845" s="36" t="str">
        <f>HYPERLINK("https://rhld.insurance.arkansas.gov/NPILookup?Npi=1437625274","1437625274")</f>
        <v>1437625274</v>
      </c>
      <c r="D2845" s="36" t="s">
        <v>35439</v>
      </c>
      <c r="E2845" s="36" t="s">
        <v>1</v>
      </c>
      <c r="F2845" s="36">
        <v>1</v>
      </c>
      <c r="G2845" s="36">
        <v>3</v>
      </c>
      <c r="H2845" s="36">
        <v>0</v>
      </c>
      <c r="I2845" s="37">
        <v>0</v>
      </c>
      <c r="J2845" s="36" t="s">
        <v>32654</v>
      </c>
      <c r="K2845" s="36" t="s">
        <v>14330</v>
      </c>
      <c r="L2845" s="36" t="s">
        <v>14330</v>
      </c>
      <c r="M2845">
        <v>2</v>
      </c>
      <c r="N2845" t="s">
        <v>14331</v>
      </c>
      <c r="O2845" t="s">
        <v>32633</v>
      </c>
    </row>
    <row r="2846" spans="1:15" x14ac:dyDescent="0.25">
      <c r="A2846" s="35" t="s">
        <v>7328</v>
      </c>
      <c r="B2846" s="36" t="s">
        <v>7329</v>
      </c>
      <c r="C2846" s="36" t="str">
        <f>HYPERLINK("https://rhld.insurance.arkansas.gov/NPILookup?Npi=1437718483","1437718483")</f>
        <v>1437718483</v>
      </c>
      <c r="D2846" s="36" t="s">
        <v>35440</v>
      </c>
      <c r="E2846" s="36" t="s">
        <v>1</v>
      </c>
      <c r="F2846" s="36">
        <v>1</v>
      </c>
      <c r="G2846" s="36">
        <v>2</v>
      </c>
      <c r="H2846" s="36">
        <v>0</v>
      </c>
      <c r="I2846" s="37">
        <v>0</v>
      </c>
      <c r="J2846" s="36" t="s">
        <v>32654</v>
      </c>
      <c r="K2846" s="36" t="s">
        <v>14330</v>
      </c>
      <c r="L2846" s="36" t="s">
        <v>14330</v>
      </c>
      <c r="M2846">
        <v>3</v>
      </c>
      <c r="N2846" t="s">
        <v>14331</v>
      </c>
      <c r="O2846" t="s">
        <v>32633</v>
      </c>
    </row>
    <row r="2847" spans="1:15" x14ac:dyDescent="0.25">
      <c r="A2847" s="35" t="s">
        <v>7328</v>
      </c>
      <c r="B2847" s="36" t="s">
        <v>7329</v>
      </c>
      <c r="C2847" s="36" t="str">
        <f>HYPERLINK("https://rhld.insurance.arkansas.gov/NPILookup?Npi=1437740180","1437740180")</f>
        <v>1437740180</v>
      </c>
      <c r="D2847" s="36" t="s">
        <v>35441</v>
      </c>
      <c r="E2847" s="36" t="s">
        <v>1</v>
      </c>
      <c r="F2847" s="36">
        <v>1</v>
      </c>
      <c r="G2847" s="36">
        <v>3</v>
      </c>
      <c r="H2847" s="36">
        <v>0</v>
      </c>
      <c r="I2847" s="37">
        <v>0</v>
      </c>
      <c r="J2847" s="36" t="s">
        <v>32654</v>
      </c>
      <c r="K2847" s="36" t="s">
        <v>14330</v>
      </c>
      <c r="L2847" s="36" t="s">
        <v>14330</v>
      </c>
      <c r="M2847">
        <v>2</v>
      </c>
      <c r="N2847" t="s">
        <v>14331</v>
      </c>
      <c r="O2847" t="s">
        <v>32633</v>
      </c>
    </row>
    <row r="2848" spans="1:15" x14ac:dyDescent="0.25">
      <c r="A2848" s="35" t="s">
        <v>7328</v>
      </c>
      <c r="B2848" s="36" t="s">
        <v>7329</v>
      </c>
      <c r="C2848" s="36" t="str">
        <f>HYPERLINK("https://rhld.insurance.arkansas.gov/NPILookup?Npi=1437803814","1437803814")</f>
        <v>1437803814</v>
      </c>
      <c r="D2848" s="36" t="s">
        <v>35442</v>
      </c>
      <c r="E2848" s="36" t="s">
        <v>1</v>
      </c>
      <c r="F2848" s="36">
        <v>1</v>
      </c>
      <c r="G2848" s="36">
        <v>2</v>
      </c>
      <c r="H2848" s="36">
        <v>0</v>
      </c>
      <c r="I2848" s="37">
        <v>0</v>
      </c>
      <c r="J2848" s="36" t="s">
        <v>32654</v>
      </c>
      <c r="K2848" s="36" t="s">
        <v>14330</v>
      </c>
      <c r="L2848" s="36" t="s">
        <v>14330</v>
      </c>
      <c r="M2848">
        <v>2</v>
      </c>
      <c r="N2848" t="s">
        <v>14331</v>
      </c>
      <c r="O2848" t="s">
        <v>32633</v>
      </c>
    </row>
    <row r="2849" spans="1:15" x14ac:dyDescent="0.25">
      <c r="A2849" s="35" t="s">
        <v>7328</v>
      </c>
      <c r="B2849" s="36" t="s">
        <v>7329</v>
      </c>
      <c r="C2849" s="36" t="str">
        <f>HYPERLINK("https://rhld.insurance.arkansas.gov/NPILookup?Npi=1447012158","1447012158")</f>
        <v>1447012158</v>
      </c>
      <c r="D2849" s="36" t="s">
        <v>35443</v>
      </c>
      <c r="E2849" s="36" t="s">
        <v>2</v>
      </c>
      <c r="F2849" s="36">
        <v>1</v>
      </c>
      <c r="G2849" s="36">
        <v>2</v>
      </c>
      <c r="H2849" s="36">
        <v>0</v>
      </c>
      <c r="I2849" s="37">
        <v>0</v>
      </c>
      <c r="J2849" s="36"/>
      <c r="K2849" s="36" t="s">
        <v>14330</v>
      </c>
      <c r="L2849" s="36" t="s">
        <v>14330</v>
      </c>
      <c r="M2849">
        <v>2</v>
      </c>
      <c r="N2849" t="s">
        <v>14331</v>
      </c>
      <c r="O2849" t="s">
        <v>14333</v>
      </c>
    </row>
    <row r="2850" spans="1:15" x14ac:dyDescent="0.25">
      <c r="A2850" s="35" t="s">
        <v>7328</v>
      </c>
      <c r="B2850" s="36" t="s">
        <v>7329</v>
      </c>
      <c r="C2850" s="36" t="str">
        <f>HYPERLINK("https://rhld.insurance.arkansas.gov/NPILookup?Npi=1447058037","1447058037")</f>
        <v>1447058037</v>
      </c>
      <c r="D2850" s="36" t="s">
        <v>35444</v>
      </c>
      <c r="E2850" s="36" t="s">
        <v>2</v>
      </c>
      <c r="F2850" s="36">
        <v>1</v>
      </c>
      <c r="G2850" s="36">
        <v>2</v>
      </c>
      <c r="H2850" s="36">
        <v>0</v>
      </c>
      <c r="I2850" s="37">
        <v>0</v>
      </c>
      <c r="J2850" s="36"/>
      <c r="K2850" s="36" t="s">
        <v>14330</v>
      </c>
      <c r="L2850" s="36" t="s">
        <v>14330</v>
      </c>
      <c r="M2850">
        <v>2</v>
      </c>
      <c r="N2850" t="s">
        <v>14331</v>
      </c>
      <c r="O2850" t="s">
        <v>14333</v>
      </c>
    </row>
    <row r="2851" spans="1:15" x14ac:dyDescent="0.25">
      <c r="A2851" s="35" t="s">
        <v>7328</v>
      </c>
      <c r="B2851" s="36" t="s">
        <v>7329</v>
      </c>
      <c r="C2851" s="36" t="str">
        <f>HYPERLINK("https://rhld.insurance.arkansas.gov/NPILookup?Npi=1447074968","1447074968")</f>
        <v>1447074968</v>
      </c>
      <c r="D2851" s="36" t="s">
        <v>34732</v>
      </c>
      <c r="E2851" s="36" t="s">
        <v>2</v>
      </c>
      <c r="F2851" s="36">
        <v>1</v>
      </c>
      <c r="G2851" s="36">
        <v>2</v>
      </c>
      <c r="H2851" s="36">
        <v>0</v>
      </c>
      <c r="I2851" s="37">
        <v>0</v>
      </c>
      <c r="J2851" s="36"/>
      <c r="K2851" s="36" t="s">
        <v>14330</v>
      </c>
      <c r="L2851" s="36" t="s">
        <v>14330</v>
      </c>
      <c r="M2851">
        <v>2</v>
      </c>
      <c r="N2851" t="s">
        <v>14331</v>
      </c>
      <c r="O2851" t="s">
        <v>14333</v>
      </c>
    </row>
    <row r="2852" spans="1:15" x14ac:dyDescent="0.25">
      <c r="A2852" s="35" t="s">
        <v>7328</v>
      </c>
      <c r="B2852" s="36" t="s">
        <v>7329</v>
      </c>
      <c r="C2852" s="36" t="str">
        <f>HYPERLINK("https://rhld.insurance.arkansas.gov/NPILookup?Npi=1447075452","1447075452")</f>
        <v>1447075452</v>
      </c>
      <c r="D2852" s="36" t="s">
        <v>35445</v>
      </c>
      <c r="E2852" s="36" t="s">
        <v>2</v>
      </c>
      <c r="F2852" s="36">
        <v>1</v>
      </c>
      <c r="G2852" s="36">
        <v>2</v>
      </c>
      <c r="H2852" s="36">
        <v>0</v>
      </c>
      <c r="I2852" s="37">
        <v>0</v>
      </c>
      <c r="J2852" s="36"/>
      <c r="K2852" s="36" t="s">
        <v>14330</v>
      </c>
      <c r="L2852" s="36" t="s">
        <v>14330</v>
      </c>
      <c r="M2852">
        <v>3</v>
      </c>
      <c r="N2852" t="s">
        <v>14331</v>
      </c>
      <c r="O2852" t="s">
        <v>14333</v>
      </c>
    </row>
    <row r="2853" spans="1:15" x14ac:dyDescent="0.25">
      <c r="A2853" s="35" t="s">
        <v>7328</v>
      </c>
      <c r="B2853" s="36" t="s">
        <v>7329</v>
      </c>
      <c r="C2853" s="36" t="str">
        <f>HYPERLINK("https://rhld.insurance.arkansas.gov/NPILookup?Npi=1447203120","1447203120")</f>
        <v>1447203120</v>
      </c>
      <c r="D2853" s="36" t="s">
        <v>35446</v>
      </c>
      <c r="E2853" s="36" t="s">
        <v>1</v>
      </c>
      <c r="F2853" s="36">
        <v>1</v>
      </c>
      <c r="G2853" s="36">
        <v>3</v>
      </c>
      <c r="H2853" s="36">
        <v>0</v>
      </c>
      <c r="I2853" s="37">
        <v>0</v>
      </c>
      <c r="J2853" s="36" t="s">
        <v>34836</v>
      </c>
      <c r="K2853" s="36" t="s">
        <v>14330</v>
      </c>
      <c r="L2853" s="36" t="s">
        <v>14330</v>
      </c>
      <c r="M2853">
        <v>3</v>
      </c>
      <c r="N2853" t="s">
        <v>14331</v>
      </c>
      <c r="O2853" t="s">
        <v>32633</v>
      </c>
    </row>
    <row r="2854" spans="1:15" x14ac:dyDescent="0.25">
      <c r="A2854" s="35" t="s">
        <v>7328</v>
      </c>
      <c r="B2854" s="36" t="s">
        <v>7329</v>
      </c>
      <c r="C2854" s="36" t="str">
        <f>HYPERLINK("https://rhld.insurance.arkansas.gov/NPILookup?Npi=1447203757","1447203757")</f>
        <v>1447203757</v>
      </c>
      <c r="D2854" s="36" t="s">
        <v>35447</v>
      </c>
      <c r="E2854" s="36" t="s">
        <v>1</v>
      </c>
      <c r="F2854" s="36">
        <v>1</v>
      </c>
      <c r="G2854" s="36">
        <v>3</v>
      </c>
      <c r="H2854" s="36">
        <v>0</v>
      </c>
      <c r="I2854" s="37">
        <v>0</v>
      </c>
      <c r="J2854" s="36" t="s">
        <v>32654</v>
      </c>
      <c r="K2854" s="36" t="s">
        <v>14330</v>
      </c>
      <c r="L2854" s="36" t="s">
        <v>14330</v>
      </c>
      <c r="M2854">
        <v>3</v>
      </c>
      <c r="N2854" t="s">
        <v>14331</v>
      </c>
      <c r="O2854" t="s">
        <v>32633</v>
      </c>
    </row>
    <row r="2855" spans="1:15" x14ac:dyDescent="0.25">
      <c r="A2855" s="35" t="s">
        <v>7328</v>
      </c>
      <c r="B2855" s="36" t="s">
        <v>7329</v>
      </c>
      <c r="C2855" s="36" t="str">
        <f>HYPERLINK("https://rhld.insurance.arkansas.gov/NPILookup?Npi=1447269659","1447269659")</f>
        <v>1447269659</v>
      </c>
      <c r="D2855" s="36" t="s">
        <v>35448</v>
      </c>
      <c r="E2855" s="36" t="s">
        <v>1</v>
      </c>
      <c r="F2855" s="36">
        <v>1</v>
      </c>
      <c r="G2855" s="36">
        <v>3</v>
      </c>
      <c r="H2855" s="36">
        <v>0</v>
      </c>
      <c r="I2855" s="37">
        <v>0</v>
      </c>
      <c r="J2855" s="36" t="s">
        <v>34836</v>
      </c>
      <c r="K2855" s="36" t="s">
        <v>14330</v>
      </c>
      <c r="L2855" s="36" t="s">
        <v>14330</v>
      </c>
      <c r="M2855">
        <v>3</v>
      </c>
      <c r="N2855" t="s">
        <v>14331</v>
      </c>
      <c r="O2855" t="s">
        <v>32633</v>
      </c>
    </row>
    <row r="2856" spans="1:15" x14ac:dyDescent="0.25">
      <c r="A2856" s="35" t="s">
        <v>7328</v>
      </c>
      <c r="B2856" s="36" t="s">
        <v>7329</v>
      </c>
      <c r="C2856" s="36" t="str">
        <f>HYPERLINK("https://rhld.insurance.arkansas.gov/NPILookup?Npi=1447283551","1447283551")</f>
        <v>1447283551</v>
      </c>
      <c r="D2856" s="36" t="s">
        <v>35449</v>
      </c>
      <c r="E2856" s="36" t="s">
        <v>1</v>
      </c>
      <c r="F2856" s="36">
        <v>1</v>
      </c>
      <c r="G2856" s="36">
        <v>3</v>
      </c>
      <c r="H2856" s="36">
        <v>0</v>
      </c>
      <c r="I2856" s="37">
        <v>0</v>
      </c>
      <c r="J2856" s="36" t="s">
        <v>34836</v>
      </c>
      <c r="K2856" s="36" t="s">
        <v>14330</v>
      </c>
      <c r="L2856" s="36" t="s">
        <v>14330</v>
      </c>
      <c r="M2856">
        <v>2</v>
      </c>
      <c r="N2856" t="s">
        <v>14331</v>
      </c>
      <c r="O2856" t="s">
        <v>32633</v>
      </c>
    </row>
    <row r="2857" spans="1:15" x14ac:dyDescent="0.25">
      <c r="A2857" s="35" t="s">
        <v>7328</v>
      </c>
      <c r="B2857" s="36" t="s">
        <v>7329</v>
      </c>
      <c r="C2857" s="36" t="str">
        <f>HYPERLINK("https://rhld.insurance.arkansas.gov/NPILookup?Npi=1447353339","1447353339")</f>
        <v>1447353339</v>
      </c>
      <c r="D2857" s="36" t="s">
        <v>35450</v>
      </c>
      <c r="E2857" s="36" t="s">
        <v>1</v>
      </c>
      <c r="F2857" s="36">
        <v>1</v>
      </c>
      <c r="G2857" s="36">
        <v>2</v>
      </c>
      <c r="H2857" s="36">
        <v>0</v>
      </c>
      <c r="I2857" s="37">
        <v>0</v>
      </c>
      <c r="J2857" s="36" t="s">
        <v>34836</v>
      </c>
      <c r="K2857" s="36" t="s">
        <v>14330</v>
      </c>
      <c r="L2857" s="36" t="s">
        <v>14330</v>
      </c>
      <c r="M2857">
        <v>3</v>
      </c>
      <c r="N2857" t="s">
        <v>14331</v>
      </c>
      <c r="O2857" t="s">
        <v>32633</v>
      </c>
    </row>
    <row r="2858" spans="1:15" x14ac:dyDescent="0.25">
      <c r="A2858" s="35" t="s">
        <v>7328</v>
      </c>
      <c r="B2858" s="36" t="s">
        <v>7329</v>
      </c>
      <c r="C2858" s="36" t="str">
        <f>HYPERLINK("https://rhld.insurance.arkansas.gov/NPILookup?Npi=1447440045","1447440045")</f>
        <v>1447440045</v>
      </c>
      <c r="D2858" s="36" t="s">
        <v>35451</v>
      </c>
      <c r="E2858" s="36" t="s">
        <v>1</v>
      </c>
      <c r="F2858" s="36">
        <v>1</v>
      </c>
      <c r="G2858" s="36">
        <v>3</v>
      </c>
      <c r="H2858" s="36">
        <v>0</v>
      </c>
      <c r="I2858" s="37">
        <v>0</v>
      </c>
      <c r="J2858" s="36" t="s">
        <v>34836</v>
      </c>
      <c r="K2858" s="36" t="s">
        <v>14330</v>
      </c>
      <c r="L2858" s="36" t="s">
        <v>14330</v>
      </c>
      <c r="M2858">
        <v>2</v>
      </c>
      <c r="N2858" t="s">
        <v>14331</v>
      </c>
      <c r="O2858" t="s">
        <v>32633</v>
      </c>
    </row>
    <row r="2859" spans="1:15" x14ac:dyDescent="0.25">
      <c r="A2859" s="35" t="s">
        <v>7328</v>
      </c>
      <c r="B2859" s="36" t="s">
        <v>7329</v>
      </c>
      <c r="C2859" s="36" t="str">
        <f>HYPERLINK("https://rhld.insurance.arkansas.gov/NPILookup?Npi=1447517974","1447517974")</f>
        <v>1447517974</v>
      </c>
      <c r="D2859" s="36" t="s">
        <v>35452</v>
      </c>
      <c r="E2859" s="36" t="s">
        <v>1</v>
      </c>
      <c r="F2859" s="36">
        <v>1</v>
      </c>
      <c r="G2859" s="36">
        <v>2</v>
      </c>
      <c r="H2859" s="36">
        <v>0</v>
      </c>
      <c r="I2859" s="37">
        <v>0</v>
      </c>
      <c r="J2859" s="36" t="s">
        <v>34836</v>
      </c>
      <c r="K2859" s="36" t="s">
        <v>14330</v>
      </c>
      <c r="L2859" s="36" t="s">
        <v>14330</v>
      </c>
      <c r="M2859">
        <v>3</v>
      </c>
      <c r="N2859" t="s">
        <v>14331</v>
      </c>
      <c r="O2859" t="s">
        <v>32633</v>
      </c>
    </row>
    <row r="2860" spans="1:15" x14ac:dyDescent="0.25">
      <c r="A2860" s="35" t="s">
        <v>7328</v>
      </c>
      <c r="B2860" s="36" t="s">
        <v>7329</v>
      </c>
      <c r="C2860" s="36" t="str">
        <f>HYPERLINK("https://rhld.insurance.arkansas.gov/NPILookup?Npi=1447583406","1447583406")</f>
        <v>1447583406</v>
      </c>
      <c r="D2860" s="36" t="s">
        <v>35453</v>
      </c>
      <c r="E2860" s="36" t="s">
        <v>1</v>
      </c>
      <c r="F2860" s="36">
        <v>1</v>
      </c>
      <c r="G2860" s="36">
        <v>3</v>
      </c>
      <c r="H2860" s="36">
        <v>0</v>
      </c>
      <c r="I2860" s="37">
        <v>0</v>
      </c>
      <c r="J2860" s="36" t="s">
        <v>34836</v>
      </c>
      <c r="K2860" s="36" t="s">
        <v>14330</v>
      </c>
      <c r="L2860" s="36" t="s">
        <v>14330</v>
      </c>
      <c r="M2860">
        <v>2</v>
      </c>
      <c r="N2860" t="s">
        <v>14331</v>
      </c>
      <c r="O2860" t="s">
        <v>32633</v>
      </c>
    </row>
    <row r="2861" spans="1:15" x14ac:dyDescent="0.25">
      <c r="A2861" s="35" t="s">
        <v>7328</v>
      </c>
      <c r="B2861" s="36" t="s">
        <v>7329</v>
      </c>
      <c r="C2861" s="36" t="str">
        <f>HYPERLINK("https://rhld.insurance.arkansas.gov/NPILookup?Npi=1447598958","1447598958")</f>
        <v>1447598958</v>
      </c>
      <c r="D2861" s="36" t="s">
        <v>35454</v>
      </c>
      <c r="E2861" s="36" t="s">
        <v>1</v>
      </c>
      <c r="F2861" s="36">
        <v>1</v>
      </c>
      <c r="G2861" s="36">
        <v>2</v>
      </c>
      <c r="H2861" s="36">
        <v>0</v>
      </c>
      <c r="I2861" s="37">
        <v>0</v>
      </c>
      <c r="J2861" s="36" t="s">
        <v>34836</v>
      </c>
      <c r="K2861" s="36" t="s">
        <v>14330</v>
      </c>
      <c r="L2861" s="36" t="s">
        <v>14330</v>
      </c>
      <c r="M2861">
        <v>3</v>
      </c>
      <c r="N2861" t="s">
        <v>14331</v>
      </c>
      <c r="O2861" t="s">
        <v>32633</v>
      </c>
    </row>
    <row r="2862" spans="1:15" x14ac:dyDescent="0.25">
      <c r="A2862" s="35" t="s">
        <v>7328</v>
      </c>
      <c r="B2862" s="36" t="s">
        <v>7329</v>
      </c>
      <c r="C2862" s="36" t="str">
        <f>HYPERLINK("https://rhld.insurance.arkansas.gov/NPILookup?Npi=1447605498","1447605498")</f>
        <v>1447605498</v>
      </c>
      <c r="D2862" s="36" t="s">
        <v>35455</v>
      </c>
      <c r="E2862" s="36" t="s">
        <v>1</v>
      </c>
      <c r="F2862" s="36">
        <v>1</v>
      </c>
      <c r="G2862" s="36">
        <v>3</v>
      </c>
      <c r="H2862" s="36">
        <v>0</v>
      </c>
      <c r="I2862" s="37">
        <v>0</v>
      </c>
      <c r="J2862" s="36" t="s">
        <v>34836</v>
      </c>
      <c r="K2862" s="36" t="s">
        <v>14330</v>
      </c>
      <c r="L2862" s="36" t="s">
        <v>14330</v>
      </c>
      <c r="M2862">
        <v>3</v>
      </c>
      <c r="N2862" t="s">
        <v>14331</v>
      </c>
      <c r="O2862" t="s">
        <v>32633</v>
      </c>
    </row>
    <row r="2863" spans="1:15" x14ac:dyDescent="0.25">
      <c r="A2863" s="35" t="s">
        <v>7328</v>
      </c>
      <c r="B2863" s="36" t="s">
        <v>7329</v>
      </c>
      <c r="C2863" s="36" t="str">
        <f>HYPERLINK("https://rhld.insurance.arkansas.gov/NPILookup?Npi=1447696406","1447696406")</f>
        <v>1447696406</v>
      </c>
      <c r="D2863" s="36" t="s">
        <v>35456</v>
      </c>
      <c r="E2863" s="36" t="s">
        <v>1</v>
      </c>
      <c r="F2863" s="36">
        <v>1</v>
      </c>
      <c r="G2863" s="36">
        <v>3</v>
      </c>
      <c r="H2863" s="36">
        <v>0</v>
      </c>
      <c r="I2863" s="37">
        <v>0</v>
      </c>
      <c r="J2863" s="36" t="s">
        <v>34836</v>
      </c>
      <c r="K2863" s="36" t="s">
        <v>14330</v>
      </c>
      <c r="L2863" s="36" t="s">
        <v>14330</v>
      </c>
      <c r="M2863">
        <v>2</v>
      </c>
      <c r="N2863" t="s">
        <v>14331</v>
      </c>
      <c r="O2863" t="s">
        <v>32633</v>
      </c>
    </row>
    <row r="2864" spans="1:15" x14ac:dyDescent="0.25">
      <c r="A2864" s="35" t="s">
        <v>7328</v>
      </c>
      <c r="B2864" s="36" t="s">
        <v>7329</v>
      </c>
      <c r="C2864" s="36" t="str">
        <f>HYPERLINK("https://rhld.insurance.arkansas.gov/NPILookup?Npi=1447715024","1447715024")</f>
        <v>1447715024</v>
      </c>
      <c r="D2864" s="36" t="s">
        <v>31280</v>
      </c>
      <c r="E2864" s="36" t="s">
        <v>1</v>
      </c>
      <c r="F2864" s="36">
        <v>1</v>
      </c>
      <c r="G2864" s="36">
        <v>2</v>
      </c>
      <c r="H2864" s="36">
        <v>0</v>
      </c>
      <c r="I2864" s="37">
        <v>0</v>
      </c>
      <c r="J2864" s="36" t="s">
        <v>32723</v>
      </c>
      <c r="K2864" s="36" t="s">
        <v>14330</v>
      </c>
      <c r="L2864" s="36" t="s">
        <v>14330</v>
      </c>
      <c r="M2864">
        <v>2</v>
      </c>
      <c r="N2864" t="s">
        <v>14331</v>
      </c>
      <c r="O2864" t="s">
        <v>32724</v>
      </c>
    </row>
    <row r="2865" spans="1:15" x14ac:dyDescent="0.25">
      <c r="A2865" s="35" t="s">
        <v>7328</v>
      </c>
      <c r="B2865" s="36" t="s">
        <v>7329</v>
      </c>
      <c r="C2865" s="36" t="str">
        <f>HYPERLINK("https://rhld.insurance.arkansas.gov/NPILookup?Npi=1447877089","1447877089")</f>
        <v>1447877089</v>
      </c>
      <c r="D2865" s="36" t="s">
        <v>35457</v>
      </c>
      <c r="E2865" s="36" t="s">
        <v>1</v>
      </c>
      <c r="F2865" s="36">
        <v>1</v>
      </c>
      <c r="G2865" s="36">
        <v>2</v>
      </c>
      <c r="H2865" s="36">
        <v>0</v>
      </c>
      <c r="I2865" s="37">
        <v>0</v>
      </c>
      <c r="J2865" s="36" t="s">
        <v>34836</v>
      </c>
      <c r="K2865" s="36" t="s">
        <v>14330</v>
      </c>
      <c r="L2865" s="36" t="s">
        <v>14330</v>
      </c>
      <c r="M2865">
        <v>2</v>
      </c>
      <c r="N2865" t="s">
        <v>14331</v>
      </c>
      <c r="O2865" t="s">
        <v>32633</v>
      </c>
    </row>
    <row r="2866" spans="1:15" x14ac:dyDescent="0.25">
      <c r="A2866" s="35" t="s">
        <v>7328</v>
      </c>
      <c r="B2866" s="36" t="s">
        <v>7329</v>
      </c>
      <c r="C2866" s="36" t="str">
        <f>HYPERLINK("https://rhld.insurance.arkansas.gov/NPILookup?Npi=1447920186","1447920186")</f>
        <v>1447920186</v>
      </c>
      <c r="D2866" s="36" t="s">
        <v>35458</v>
      </c>
      <c r="E2866" s="36" t="s">
        <v>1</v>
      </c>
      <c r="F2866" s="36">
        <v>1</v>
      </c>
      <c r="G2866" s="36">
        <v>2</v>
      </c>
      <c r="H2866" s="36">
        <v>0</v>
      </c>
      <c r="I2866" s="37">
        <v>0</v>
      </c>
      <c r="J2866" s="36" t="s">
        <v>34836</v>
      </c>
      <c r="K2866" s="36" t="s">
        <v>14330</v>
      </c>
      <c r="L2866" s="36" t="s">
        <v>14330</v>
      </c>
      <c r="M2866">
        <v>2</v>
      </c>
      <c r="N2866" t="s">
        <v>14331</v>
      </c>
      <c r="O2866" t="s">
        <v>32633</v>
      </c>
    </row>
    <row r="2867" spans="1:15" x14ac:dyDescent="0.25">
      <c r="A2867" s="35" t="s">
        <v>7328</v>
      </c>
      <c r="B2867" s="36" t="s">
        <v>7329</v>
      </c>
      <c r="C2867" s="36" t="str">
        <f>HYPERLINK("https://rhld.insurance.arkansas.gov/NPILookup?Npi=1447977202","1447977202")</f>
        <v>1447977202</v>
      </c>
      <c r="D2867" s="36" t="s">
        <v>35459</v>
      </c>
      <c r="E2867" s="36" t="s">
        <v>2</v>
      </c>
      <c r="F2867" s="36">
        <v>1</v>
      </c>
      <c r="G2867" s="36">
        <v>2</v>
      </c>
      <c r="H2867" s="36">
        <v>0</v>
      </c>
      <c r="I2867" s="37">
        <v>0</v>
      </c>
      <c r="J2867" s="36"/>
      <c r="K2867" s="36" t="s">
        <v>14330</v>
      </c>
      <c r="L2867" s="36" t="s">
        <v>14330</v>
      </c>
      <c r="M2867">
        <v>1</v>
      </c>
      <c r="N2867" t="s">
        <v>14331</v>
      </c>
      <c r="O2867" t="s">
        <v>14333</v>
      </c>
    </row>
    <row r="2868" spans="1:15" x14ac:dyDescent="0.25">
      <c r="A2868" s="35" t="s">
        <v>7328</v>
      </c>
      <c r="B2868" s="36" t="s">
        <v>7329</v>
      </c>
      <c r="C2868" s="36" t="str">
        <f>HYPERLINK("https://rhld.insurance.arkansas.gov/NPILookup?Npi=1457076853","1457076853")</f>
        <v>1457076853</v>
      </c>
      <c r="D2868" s="36" t="s">
        <v>35460</v>
      </c>
      <c r="E2868" s="36" t="s">
        <v>1</v>
      </c>
      <c r="F2868" s="36">
        <v>1</v>
      </c>
      <c r="G2868" s="36">
        <v>1</v>
      </c>
      <c r="H2868" s="36">
        <v>0</v>
      </c>
      <c r="I2868" s="37">
        <v>0</v>
      </c>
      <c r="J2868" s="36" t="s">
        <v>32654</v>
      </c>
      <c r="K2868" s="36" t="s">
        <v>14330</v>
      </c>
      <c r="L2868" s="36" t="s">
        <v>14330</v>
      </c>
      <c r="M2868">
        <v>2</v>
      </c>
      <c r="N2868" t="s">
        <v>14331</v>
      </c>
      <c r="O2868" t="s">
        <v>32633</v>
      </c>
    </row>
    <row r="2869" spans="1:15" x14ac:dyDescent="0.25">
      <c r="A2869" s="35" t="s">
        <v>7328</v>
      </c>
      <c r="B2869" s="36" t="s">
        <v>7329</v>
      </c>
      <c r="C2869" s="36" t="str">
        <f>HYPERLINK("https://rhld.insurance.arkansas.gov/NPILookup?Npi=1457091225","1457091225")</f>
        <v>1457091225</v>
      </c>
      <c r="D2869" s="36" t="s">
        <v>35461</v>
      </c>
      <c r="E2869" s="36" t="s">
        <v>2</v>
      </c>
      <c r="F2869" s="36">
        <v>1</v>
      </c>
      <c r="G2869" s="36">
        <v>2</v>
      </c>
      <c r="H2869" s="36">
        <v>0</v>
      </c>
      <c r="I2869" s="37">
        <v>0</v>
      </c>
      <c r="J2869" s="36"/>
      <c r="K2869" s="36" t="s">
        <v>14330</v>
      </c>
      <c r="L2869" s="36" t="s">
        <v>14330</v>
      </c>
      <c r="M2869">
        <v>2</v>
      </c>
      <c r="N2869" t="s">
        <v>14331</v>
      </c>
      <c r="O2869" t="s">
        <v>14333</v>
      </c>
    </row>
    <row r="2870" spans="1:15" x14ac:dyDescent="0.25">
      <c r="A2870" s="35" t="s">
        <v>7328</v>
      </c>
      <c r="B2870" s="36" t="s">
        <v>7329</v>
      </c>
      <c r="C2870" s="36" t="str">
        <f>HYPERLINK("https://rhld.insurance.arkansas.gov/NPILookup?Npi=1457186462","1457186462")</f>
        <v>1457186462</v>
      </c>
      <c r="D2870" s="36" t="s">
        <v>34734</v>
      </c>
      <c r="E2870" s="36" t="s">
        <v>2</v>
      </c>
      <c r="F2870" s="36">
        <v>1</v>
      </c>
      <c r="G2870" s="36">
        <v>2</v>
      </c>
      <c r="H2870" s="36">
        <v>0</v>
      </c>
      <c r="I2870" s="37">
        <v>0</v>
      </c>
      <c r="J2870" s="36"/>
      <c r="K2870" s="36" t="s">
        <v>14330</v>
      </c>
      <c r="L2870" s="36" t="s">
        <v>14330</v>
      </c>
      <c r="M2870">
        <v>2</v>
      </c>
      <c r="N2870" t="s">
        <v>14331</v>
      </c>
      <c r="O2870" t="s">
        <v>14333</v>
      </c>
    </row>
    <row r="2871" spans="1:15" x14ac:dyDescent="0.25">
      <c r="A2871" s="35" t="s">
        <v>7328</v>
      </c>
      <c r="B2871" s="36" t="s">
        <v>7329</v>
      </c>
      <c r="C2871" s="36" t="str">
        <f>HYPERLINK("https://rhld.insurance.arkansas.gov/NPILookup?Npi=1457351538","1457351538")</f>
        <v>1457351538</v>
      </c>
      <c r="D2871" s="36" t="s">
        <v>35462</v>
      </c>
      <c r="E2871" s="36" t="s">
        <v>1</v>
      </c>
      <c r="F2871" s="36">
        <v>1</v>
      </c>
      <c r="G2871" s="36">
        <v>2</v>
      </c>
      <c r="H2871" s="36">
        <v>0</v>
      </c>
      <c r="I2871" s="37">
        <v>0</v>
      </c>
      <c r="J2871" s="36" t="s">
        <v>34836</v>
      </c>
      <c r="K2871" s="36" t="s">
        <v>14330</v>
      </c>
      <c r="L2871" s="36" t="s">
        <v>14330</v>
      </c>
      <c r="M2871">
        <v>3</v>
      </c>
      <c r="N2871" t="s">
        <v>14331</v>
      </c>
      <c r="O2871" t="s">
        <v>32633</v>
      </c>
    </row>
    <row r="2872" spans="1:15" x14ac:dyDescent="0.25">
      <c r="A2872" s="35" t="s">
        <v>7328</v>
      </c>
      <c r="B2872" s="36" t="s">
        <v>7329</v>
      </c>
      <c r="C2872" s="36" t="str">
        <f>HYPERLINK("https://rhld.insurance.arkansas.gov/NPILookup?Npi=1457352106","1457352106")</f>
        <v>1457352106</v>
      </c>
      <c r="D2872" s="36" t="s">
        <v>32697</v>
      </c>
      <c r="E2872" s="36" t="s">
        <v>1</v>
      </c>
      <c r="F2872" s="36">
        <v>1</v>
      </c>
      <c r="G2872" s="36">
        <v>3</v>
      </c>
      <c r="H2872" s="36">
        <v>0</v>
      </c>
      <c r="I2872" s="37">
        <v>0</v>
      </c>
      <c r="J2872" s="36" t="s">
        <v>34836</v>
      </c>
      <c r="K2872" s="36" t="s">
        <v>14330</v>
      </c>
      <c r="L2872" s="36" t="s">
        <v>14330</v>
      </c>
      <c r="M2872">
        <v>2</v>
      </c>
      <c r="N2872" t="s">
        <v>14331</v>
      </c>
      <c r="O2872" t="s">
        <v>32633</v>
      </c>
    </row>
    <row r="2873" spans="1:15" x14ac:dyDescent="0.25">
      <c r="A2873" s="35" t="s">
        <v>7328</v>
      </c>
      <c r="B2873" s="36" t="s">
        <v>7329</v>
      </c>
      <c r="C2873" s="36" t="str">
        <f>HYPERLINK("https://rhld.insurance.arkansas.gov/NPILookup?Npi=1457383655","1457383655")</f>
        <v>1457383655</v>
      </c>
      <c r="D2873" s="36" t="s">
        <v>35463</v>
      </c>
      <c r="E2873" s="36" t="s">
        <v>1</v>
      </c>
      <c r="F2873" s="36">
        <v>1</v>
      </c>
      <c r="G2873" s="36">
        <v>2</v>
      </c>
      <c r="H2873" s="36">
        <v>0</v>
      </c>
      <c r="I2873" s="37">
        <v>0</v>
      </c>
      <c r="J2873" s="36" t="s">
        <v>32654</v>
      </c>
      <c r="K2873" s="36" t="s">
        <v>14330</v>
      </c>
      <c r="L2873" s="36" t="s">
        <v>14330</v>
      </c>
      <c r="M2873">
        <v>3</v>
      </c>
      <c r="N2873" t="s">
        <v>14331</v>
      </c>
      <c r="O2873" t="s">
        <v>32633</v>
      </c>
    </row>
    <row r="2874" spans="1:15" x14ac:dyDescent="0.25">
      <c r="A2874" s="35" t="s">
        <v>7328</v>
      </c>
      <c r="B2874" s="36" t="s">
        <v>7329</v>
      </c>
      <c r="C2874" s="36" t="str">
        <f>HYPERLINK("https://rhld.insurance.arkansas.gov/NPILookup?Npi=1457384588","1457384588")</f>
        <v>1457384588</v>
      </c>
      <c r="D2874" s="36" t="s">
        <v>35464</v>
      </c>
      <c r="E2874" s="36" t="s">
        <v>1</v>
      </c>
      <c r="F2874" s="36">
        <v>1</v>
      </c>
      <c r="G2874" s="36">
        <v>3</v>
      </c>
      <c r="H2874" s="36">
        <v>0</v>
      </c>
      <c r="I2874" s="37">
        <v>0</v>
      </c>
      <c r="J2874" s="36" t="s">
        <v>34836</v>
      </c>
      <c r="K2874" s="36" t="s">
        <v>14330</v>
      </c>
      <c r="L2874" s="36" t="s">
        <v>14330</v>
      </c>
      <c r="M2874">
        <v>3</v>
      </c>
      <c r="N2874" t="s">
        <v>14331</v>
      </c>
      <c r="O2874" t="s">
        <v>32633</v>
      </c>
    </row>
    <row r="2875" spans="1:15" x14ac:dyDescent="0.25">
      <c r="A2875" s="35" t="s">
        <v>7328</v>
      </c>
      <c r="B2875" s="36" t="s">
        <v>7329</v>
      </c>
      <c r="C2875" s="36" t="str">
        <f>HYPERLINK("https://rhld.insurance.arkansas.gov/NPILookup?Npi=1457517864","1457517864")</f>
        <v>1457517864</v>
      </c>
      <c r="D2875" s="36" t="s">
        <v>35465</v>
      </c>
      <c r="E2875" s="36" t="s">
        <v>1</v>
      </c>
      <c r="F2875" s="36">
        <v>1</v>
      </c>
      <c r="G2875" s="36">
        <v>3</v>
      </c>
      <c r="H2875" s="36">
        <v>0</v>
      </c>
      <c r="I2875" s="37">
        <v>0</v>
      </c>
      <c r="J2875" s="36" t="s">
        <v>32654</v>
      </c>
      <c r="K2875" s="36" t="s">
        <v>14330</v>
      </c>
      <c r="L2875" s="36" t="s">
        <v>14330</v>
      </c>
      <c r="M2875">
        <v>3</v>
      </c>
      <c r="N2875" t="s">
        <v>14331</v>
      </c>
      <c r="O2875" t="s">
        <v>32633</v>
      </c>
    </row>
    <row r="2876" spans="1:15" x14ac:dyDescent="0.25">
      <c r="A2876" s="35" t="s">
        <v>7328</v>
      </c>
      <c r="B2876" s="36" t="s">
        <v>7329</v>
      </c>
      <c r="C2876" s="36" t="str">
        <f>HYPERLINK("https://rhld.insurance.arkansas.gov/NPILookup?Npi=1457538548","1457538548")</f>
        <v>1457538548</v>
      </c>
      <c r="D2876" s="36" t="s">
        <v>35466</v>
      </c>
      <c r="E2876" s="36" t="s">
        <v>1</v>
      </c>
      <c r="F2876" s="36">
        <v>1</v>
      </c>
      <c r="G2876" s="36">
        <v>3</v>
      </c>
      <c r="H2876" s="36">
        <v>0</v>
      </c>
      <c r="I2876" s="37">
        <v>0</v>
      </c>
      <c r="J2876" s="36" t="s">
        <v>34836</v>
      </c>
      <c r="K2876" s="36" t="s">
        <v>14330</v>
      </c>
      <c r="L2876" s="36" t="s">
        <v>14330</v>
      </c>
      <c r="M2876">
        <v>3</v>
      </c>
      <c r="N2876" t="s">
        <v>14331</v>
      </c>
      <c r="O2876" t="s">
        <v>32633</v>
      </c>
    </row>
    <row r="2877" spans="1:15" x14ac:dyDescent="0.25">
      <c r="A2877" s="35" t="s">
        <v>7328</v>
      </c>
      <c r="B2877" s="36" t="s">
        <v>7329</v>
      </c>
      <c r="C2877" s="36" t="str">
        <f>HYPERLINK("https://rhld.insurance.arkansas.gov/NPILookup?Npi=1457585739","1457585739")</f>
        <v>1457585739</v>
      </c>
      <c r="D2877" s="36" t="s">
        <v>33186</v>
      </c>
      <c r="E2877" s="36" t="s">
        <v>1</v>
      </c>
      <c r="F2877" s="36">
        <v>1</v>
      </c>
      <c r="G2877" s="36">
        <v>3</v>
      </c>
      <c r="H2877" s="36">
        <v>0</v>
      </c>
      <c r="I2877" s="37">
        <v>0</v>
      </c>
      <c r="J2877" s="36" t="s">
        <v>34836</v>
      </c>
      <c r="K2877" s="36" t="s">
        <v>14330</v>
      </c>
      <c r="L2877" s="36" t="s">
        <v>14330</v>
      </c>
      <c r="M2877">
        <v>3</v>
      </c>
      <c r="N2877" t="s">
        <v>14331</v>
      </c>
      <c r="O2877" t="s">
        <v>32633</v>
      </c>
    </row>
    <row r="2878" spans="1:15" x14ac:dyDescent="0.25">
      <c r="A2878" s="35" t="s">
        <v>7328</v>
      </c>
      <c r="B2878" s="36" t="s">
        <v>7329</v>
      </c>
      <c r="C2878" s="36" t="str">
        <f>HYPERLINK("https://rhld.insurance.arkansas.gov/NPILookup?Npi=1457735102","1457735102")</f>
        <v>1457735102</v>
      </c>
      <c r="D2878" s="36" t="s">
        <v>35467</v>
      </c>
      <c r="E2878" s="36" t="s">
        <v>1</v>
      </c>
      <c r="F2878" s="36">
        <v>1</v>
      </c>
      <c r="G2878" s="36">
        <v>3</v>
      </c>
      <c r="H2878" s="36">
        <v>0</v>
      </c>
      <c r="I2878" s="37">
        <v>0</v>
      </c>
      <c r="J2878" s="36" t="s">
        <v>32654</v>
      </c>
      <c r="K2878" s="36" t="s">
        <v>14330</v>
      </c>
      <c r="L2878" s="36" t="s">
        <v>14330</v>
      </c>
      <c r="M2878">
        <v>2</v>
      </c>
      <c r="N2878" t="s">
        <v>14331</v>
      </c>
      <c r="O2878" t="s">
        <v>32633</v>
      </c>
    </row>
    <row r="2879" spans="1:15" x14ac:dyDescent="0.25">
      <c r="A2879" s="35" t="s">
        <v>7328</v>
      </c>
      <c r="B2879" s="36" t="s">
        <v>7329</v>
      </c>
      <c r="C2879" s="36" t="str">
        <f>HYPERLINK("https://rhld.insurance.arkansas.gov/NPILookup?Npi=1457848384","1457848384")</f>
        <v>1457848384</v>
      </c>
      <c r="D2879" s="36" t="s">
        <v>35468</v>
      </c>
      <c r="E2879" s="36" t="s">
        <v>1</v>
      </c>
      <c r="F2879" s="36">
        <v>1</v>
      </c>
      <c r="G2879" s="36">
        <v>2</v>
      </c>
      <c r="H2879" s="36">
        <v>0</v>
      </c>
      <c r="I2879" s="37">
        <v>0</v>
      </c>
      <c r="J2879" s="36" t="s">
        <v>34836</v>
      </c>
      <c r="K2879" s="36" t="s">
        <v>14330</v>
      </c>
      <c r="L2879" s="36" t="s">
        <v>14330</v>
      </c>
      <c r="M2879">
        <v>2</v>
      </c>
      <c r="N2879" t="s">
        <v>14331</v>
      </c>
      <c r="O2879" t="s">
        <v>32633</v>
      </c>
    </row>
    <row r="2880" spans="1:15" x14ac:dyDescent="0.25">
      <c r="A2880" s="35" t="s">
        <v>7328</v>
      </c>
      <c r="B2880" s="36" t="s">
        <v>7329</v>
      </c>
      <c r="C2880" s="36" t="str">
        <f>HYPERLINK("https://rhld.insurance.arkansas.gov/NPILookup?Npi=1457858383","1457858383")</f>
        <v>1457858383</v>
      </c>
      <c r="D2880" s="36" t="s">
        <v>35469</v>
      </c>
      <c r="E2880" s="36" t="s">
        <v>1</v>
      </c>
      <c r="F2880" s="36">
        <v>1</v>
      </c>
      <c r="G2880" s="36">
        <v>2</v>
      </c>
      <c r="H2880" s="36">
        <v>0</v>
      </c>
      <c r="I2880" s="37">
        <v>0</v>
      </c>
      <c r="J2880" s="36" t="s">
        <v>34836</v>
      </c>
      <c r="K2880" s="36" t="s">
        <v>14330</v>
      </c>
      <c r="L2880" s="36" t="s">
        <v>14330</v>
      </c>
      <c r="M2880">
        <v>2</v>
      </c>
      <c r="N2880" t="s">
        <v>14331</v>
      </c>
      <c r="O2880" t="s">
        <v>32633</v>
      </c>
    </row>
    <row r="2881" spans="1:15" x14ac:dyDescent="0.25">
      <c r="A2881" s="35" t="s">
        <v>7328</v>
      </c>
      <c r="B2881" s="36" t="s">
        <v>7329</v>
      </c>
      <c r="C2881" s="36" t="str">
        <f>HYPERLINK("https://rhld.insurance.arkansas.gov/NPILookup?Npi=1457906653","1457906653")</f>
        <v>1457906653</v>
      </c>
      <c r="D2881" s="36" t="s">
        <v>35470</v>
      </c>
      <c r="E2881" s="36" t="s">
        <v>2</v>
      </c>
      <c r="F2881" s="36">
        <v>1</v>
      </c>
      <c r="G2881" s="36">
        <v>2</v>
      </c>
      <c r="H2881" s="36">
        <v>0</v>
      </c>
      <c r="I2881" s="37">
        <v>0</v>
      </c>
      <c r="J2881" s="36" t="s">
        <v>32679</v>
      </c>
      <c r="K2881" s="36" t="s">
        <v>14330</v>
      </c>
      <c r="L2881" s="36" t="s">
        <v>14330</v>
      </c>
      <c r="M2881">
        <v>2</v>
      </c>
      <c r="N2881" t="s">
        <v>14331</v>
      </c>
      <c r="O2881" t="s">
        <v>14333</v>
      </c>
    </row>
    <row r="2882" spans="1:15" x14ac:dyDescent="0.25">
      <c r="A2882" s="35" t="s">
        <v>7328</v>
      </c>
      <c r="B2882" s="36" t="s">
        <v>7329</v>
      </c>
      <c r="C2882" s="36" t="str">
        <f>HYPERLINK("https://rhld.insurance.arkansas.gov/NPILookup?Npi=1467071357","1467071357")</f>
        <v>1467071357</v>
      </c>
      <c r="D2882" s="36" t="s">
        <v>35471</v>
      </c>
      <c r="E2882" s="36" t="s">
        <v>1</v>
      </c>
      <c r="F2882" s="36">
        <v>1</v>
      </c>
      <c r="G2882" s="36">
        <v>2</v>
      </c>
      <c r="H2882" s="36">
        <v>0</v>
      </c>
      <c r="I2882" s="37">
        <v>0</v>
      </c>
      <c r="J2882" s="36" t="s">
        <v>34836</v>
      </c>
      <c r="K2882" s="36" t="s">
        <v>14330</v>
      </c>
      <c r="L2882" s="36" t="s">
        <v>14330</v>
      </c>
      <c r="M2882">
        <v>2</v>
      </c>
      <c r="N2882" t="s">
        <v>14331</v>
      </c>
      <c r="O2882" t="s">
        <v>32633</v>
      </c>
    </row>
    <row r="2883" spans="1:15" x14ac:dyDescent="0.25">
      <c r="A2883" s="35" t="s">
        <v>7328</v>
      </c>
      <c r="B2883" s="36" t="s">
        <v>7329</v>
      </c>
      <c r="C2883" s="36" t="str">
        <f>HYPERLINK("https://rhld.insurance.arkansas.gov/NPILookup?Npi=1467133074","1467133074")</f>
        <v>1467133074</v>
      </c>
      <c r="D2883" s="36" t="s">
        <v>34737</v>
      </c>
      <c r="E2883" s="36" t="s">
        <v>2</v>
      </c>
      <c r="F2883" s="36">
        <v>1</v>
      </c>
      <c r="G2883" s="36">
        <v>2</v>
      </c>
      <c r="H2883" s="36">
        <v>0</v>
      </c>
      <c r="I2883" s="37">
        <v>0</v>
      </c>
      <c r="J2883" s="36"/>
      <c r="K2883" s="36" t="s">
        <v>14330</v>
      </c>
      <c r="L2883" s="36" t="s">
        <v>14330</v>
      </c>
      <c r="M2883">
        <v>2</v>
      </c>
      <c r="N2883" t="s">
        <v>14331</v>
      </c>
      <c r="O2883" t="s">
        <v>14333</v>
      </c>
    </row>
    <row r="2884" spans="1:15" x14ac:dyDescent="0.25">
      <c r="A2884" s="35" t="s">
        <v>7328</v>
      </c>
      <c r="B2884" s="36" t="s">
        <v>7329</v>
      </c>
      <c r="C2884" s="36" t="str">
        <f>HYPERLINK("https://rhld.insurance.arkansas.gov/NPILookup?Npi=1467164475","1467164475")</f>
        <v>1467164475</v>
      </c>
      <c r="D2884" s="36" t="s">
        <v>35472</v>
      </c>
      <c r="E2884" s="36" t="s">
        <v>2</v>
      </c>
      <c r="F2884" s="36">
        <v>1</v>
      </c>
      <c r="G2884" s="36">
        <v>2</v>
      </c>
      <c r="H2884" s="36">
        <v>0</v>
      </c>
      <c r="I2884" s="37">
        <v>0</v>
      </c>
      <c r="J2884" s="36"/>
      <c r="K2884" s="36" t="s">
        <v>14330</v>
      </c>
      <c r="L2884" s="36" t="s">
        <v>14330</v>
      </c>
      <c r="M2884">
        <v>1</v>
      </c>
      <c r="N2884" t="s">
        <v>14331</v>
      </c>
      <c r="O2884" t="s">
        <v>14333</v>
      </c>
    </row>
    <row r="2885" spans="1:15" x14ac:dyDescent="0.25">
      <c r="A2885" s="35" t="s">
        <v>7328</v>
      </c>
      <c r="B2885" s="36" t="s">
        <v>7329</v>
      </c>
      <c r="C2885" s="36" t="str">
        <f>HYPERLINK("https://rhld.insurance.arkansas.gov/NPILookup?Npi=1467218990","1467218990")</f>
        <v>1467218990</v>
      </c>
      <c r="D2885" s="36" t="s">
        <v>35473</v>
      </c>
      <c r="E2885" s="36" t="s">
        <v>2</v>
      </c>
      <c r="F2885" s="36">
        <v>2</v>
      </c>
      <c r="G2885" s="36">
        <v>1</v>
      </c>
      <c r="H2885" s="36">
        <v>0</v>
      </c>
      <c r="I2885" s="37">
        <v>0</v>
      </c>
      <c r="J2885" s="36" t="s">
        <v>33004</v>
      </c>
      <c r="K2885" s="36" t="s">
        <v>14330</v>
      </c>
      <c r="L2885" s="36" t="s">
        <v>14330</v>
      </c>
      <c r="M2885">
        <v>2</v>
      </c>
      <c r="N2885" t="s">
        <v>14331</v>
      </c>
      <c r="O2885" t="s">
        <v>32633</v>
      </c>
    </row>
    <row r="2886" spans="1:15" x14ac:dyDescent="0.25">
      <c r="A2886" s="35" t="s">
        <v>7328</v>
      </c>
      <c r="B2886" s="36" t="s">
        <v>7329</v>
      </c>
      <c r="C2886" s="36" t="str">
        <f>HYPERLINK("https://rhld.insurance.arkansas.gov/NPILookup?Npi=1467230334","1467230334")</f>
        <v>1467230334</v>
      </c>
      <c r="D2886" s="36" t="s">
        <v>35474</v>
      </c>
      <c r="E2886" s="36" t="s">
        <v>2</v>
      </c>
      <c r="F2886" s="36">
        <v>1</v>
      </c>
      <c r="G2886" s="36">
        <v>2</v>
      </c>
      <c r="H2886" s="36">
        <v>0</v>
      </c>
      <c r="I2886" s="37">
        <v>0</v>
      </c>
      <c r="J2886" s="36"/>
      <c r="K2886" s="36" t="s">
        <v>14330</v>
      </c>
      <c r="L2886" s="36" t="s">
        <v>14330</v>
      </c>
      <c r="M2886">
        <v>1</v>
      </c>
      <c r="N2886" t="s">
        <v>14331</v>
      </c>
      <c r="O2886" t="s">
        <v>14333</v>
      </c>
    </row>
    <row r="2887" spans="1:15" x14ac:dyDescent="0.25">
      <c r="A2887" s="35" t="s">
        <v>7328</v>
      </c>
      <c r="B2887" s="36" t="s">
        <v>7329</v>
      </c>
      <c r="C2887" s="36" t="str">
        <f>HYPERLINK("https://rhld.insurance.arkansas.gov/NPILookup?Npi=1467251470","1467251470")</f>
        <v>1467251470</v>
      </c>
      <c r="D2887" s="36" t="s">
        <v>35475</v>
      </c>
      <c r="E2887" s="36" t="s">
        <v>2</v>
      </c>
      <c r="F2887" s="36">
        <v>1</v>
      </c>
      <c r="G2887" s="36">
        <v>1</v>
      </c>
      <c r="H2887" s="36">
        <v>0</v>
      </c>
      <c r="I2887" s="37">
        <v>0</v>
      </c>
      <c r="J2887" s="36"/>
      <c r="K2887" s="36" t="s">
        <v>14330</v>
      </c>
      <c r="L2887" s="36" t="s">
        <v>14330</v>
      </c>
      <c r="M2887">
        <v>3</v>
      </c>
      <c r="N2887" t="s">
        <v>14331</v>
      </c>
      <c r="O2887" t="s">
        <v>32633</v>
      </c>
    </row>
    <row r="2888" spans="1:15" x14ac:dyDescent="0.25">
      <c r="A2888" s="35" t="s">
        <v>7328</v>
      </c>
      <c r="B2888" s="36" t="s">
        <v>7329</v>
      </c>
      <c r="C2888" s="36" t="str">
        <f>HYPERLINK("https://rhld.insurance.arkansas.gov/NPILookup?Npi=1467417246","1467417246")</f>
        <v>1467417246</v>
      </c>
      <c r="D2888" s="36" t="s">
        <v>35476</v>
      </c>
      <c r="E2888" s="36" t="s">
        <v>1</v>
      </c>
      <c r="F2888" s="36">
        <v>1</v>
      </c>
      <c r="G2888" s="36">
        <v>3</v>
      </c>
      <c r="H2888" s="36">
        <v>0</v>
      </c>
      <c r="I2888" s="37">
        <v>0</v>
      </c>
      <c r="J2888" s="36" t="s">
        <v>34836</v>
      </c>
      <c r="K2888" s="36" t="s">
        <v>14330</v>
      </c>
      <c r="L2888" s="36" t="s">
        <v>14330</v>
      </c>
      <c r="M2888">
        <v>2</v>
      </c>
      <c r="N2888" t="s">
        <v>14331</v>
      </c>
      <c r="O2888" t="s">
        <v>32633</v>
      </c>
    </row>
    <row r="2889" spans="1:15" x14ac:dyDescent="0.25">
      <c r="A2889" s="35" t="s">
        <v>7328</v>
      </c>
      <c r="B2889" s="36" t="s">
        <v>7329</v>
      </c>
      <c r="C2889" s="36" t="str">
        <f>HYPERLINK("https://rhld.insurance.arkansas.gov/NPILookup?Npi=1467494708","1467494708")</f>
        <v>1467494708</v>
      </c>
      <c r="D2889" s="36" t="s">
        <v>35477</v>
      </c>
      <c r="E2889" s="36" t="s">
        <v>1</v>
      </c>
      <c r="F2889" s="36">
        <v>1</v>
      </c>
      <c r="G2889" s="36">
        <v>2</v>
      </c>
      <c r="H2889" s="36">
        <v>0</v>
      </c>
      <c r="I2889" s="37">
        <v>0</v>
      </c>
      <c r="J2889" s="36" t="s">
        <v>32723</v>
      </c>
      <c r="K2889" s="36" t="s">
        <v>14330</v>
      </c>
      <c r="L2889" s="36" t="s">
        <v>14330</v>
      </c>
      <c r="M2889">
        <v>2</v>
      </c>
      <c r="N2889" t="s">
        <v>14331</v>
      </c>
      <c r="O2889" t="s">
        <v>32724</v>
      </c>
    </row>
    <row r="2890" spans="1:15" x14ac:dyDescent="0.25">
      <c r="A2890" s="35" t="s">
        <v>7328</v>
      </c>
      <c r="B2890" s="36" t="s">
        <v>7329</v>
      </c>
      <c r="C2890" s="36" t="str">
        <f>HYPERLINK("https://rhld.insurance.arkansas.gov/NPILookup?Npi=1467624619","1467624619")</f>
        <v>1467624619</v>
      </c>
      <c r="D2890" s="36" t="s">
        <v>35478</v>
      </c>
      <c r="E2890" s="36" t="s">
        <v>1</v>
      </c>
      <c r="F2890" s="36">
        <v>1</v>
      </c>
      <c r="G2890" s="36">
        <v>2</v>
      </c>
      <c r="H2890" s="36">
        <v>0</v>
      </c>
      <c r="I2890" s="37">
        <v>0</v>
      </c>
      <c r="J2890" s="36" t="s">
        <v>34836</v>
      </c>
      <c r="K2890" s="36" t="s">
        <v>14330</v>
      </c>
      <c r="L2890" s="36" t="s">
        <v>14330</v>
      </c>
      <c r="M2890">
        <v>3</v>
      </c>
      <c r="N2890" t="s">
        <v>14331</v>
      </c>
      <c r="O2890" t="s">
        <v>32633</v>
      </c>
    </row>
    <row r="2891" spans="1:15" x14ac:dyDescent="0.25">
      <c r="A2891" s="35" t="s">
        <v>7328</v>
      </c>
      <c r="B2891" s="36" t="s">
        <v>7329</v>
      </c>
      <c r="C2891" s="36" t="str">
        <f>HYPERLINK("https://rhld.insurance.arkansas.gov/NPILookup?Npi=1467665984","1467665984")</f>
        <v>1467665984</v>
      </c>
      <c r="D2891" s="36" t="s">
        <v>35479</v>
      </c>
      <c r="E2891" s="36" t="s">
        <v>1</v>
      </c>
      <c r="F2891" s="36">
        <v>1</v>
      </c>
      <c r="G2891" s="36">
        <v>3</v>
      </c>
      <c r="H2891" s="36">
        <v>0</v>
      </c>
      <c r="I2891" s="37">
        <v>0</v>
      </c>
      <c r="J2891" s="36" t="s">
        <v>34836</v>
      </c>
      <c r="K2891" s="36" t="s">
        <v>14330</v>
      </c>
      <c r="L2891" s="36" t="s">
        <v>14330</v>
      </c>
      <c r="M2891">
        <v>3</v>
      </c>
      <c r="N2891" t="s">
        <v>14331</v>
      </c>
      <c r="O2891" t="s">
        <v>32633</v>
      </c>
    </row>
    <row r="2892" spans="1:15" x14ac:dyDescent="0.25">
      <c r="A2892" s="35" t="s">
        <v>7328</v>
      </c>
      <c r="B2892" s="36" t="s">
        <v>7329</v>
      </c>
      <c r="C2892" s="36" t="str">
        <f>HYPERLINK("https://rhld.insurance.arkansas.gov/NPILookup?Npi=1467670984","1467670984")</f>
        <v>1467670984</v>
      </c>
      <c r="D2892" s="36" t="s">
        <v>35480</v>
      </c>
      <c r="E2892" s="36" t="s">
        <v>1</v>
      </c>
      <c r="F2892" s="36">
        <v>1</v>
      </c>
      <c r="G2892" s="36">
        <v>3</v>
      </c>
      <c r="H2892" s="36">
        <v>0</v>
      </c>
      <c r="I2892" s="37">
        <v>0</v>
      </c>
      <c r="J2892" s="36" t="s">
        <v>34836</v>
      </c>
      <c r="K2892" s="36" t="s">
        <v>14330</v>
      </c>
      <c r="L2892" s="36" t="s">
        <v>14330</v>
      </c>
      <c r="M2892">
        <v>2</v>
      </c>
      <c r="N2892" t="s">
        <v>14331</v>
      </c>
      <c r="O2892" t="s">
        <v>32633</v>
      </c>
    </row>
    <row r="2893" spans="1:15" x14ac:dyDescent="0.25">
      <c r="A2893" s="35" t="s">
        <v>7328</v>
      </c>
      <c r="B2893" s="36" t="s">
        <v>7329</v>
      </c>
      <c r="C2893" s="36" t="str">
        <f>HYPERLINK("https://rhld.insurance.arkansas.gov/NPILookup?Npi=1467767087","1467767087")</f>
        <v>1467767087</v>
      </c>
      <c r="D2893" s="36" t="s">
        <v>35481</v>
      </c>
      <c r="E2893" s="36" t="s">
        <v>2</v>
      </c>
      <c r="F2893" s="36">
        <v>1</v>
      </c>
      <c r="G2893" s="36">
        <v>2</v>
      </c>
      <c r="H2893" s="36">
        <v>0</v>
      </c>
      <c r="I2893" s="37">
        <v>0</v>
      </c>
      <c r="J2893" s="36" t="s">
        <v>32679</v>
      </c>
      <c r="K2893" s="36" t="s">
        <v>14330</v>
      </c>
      <c r="L2893" s="36" t="s">
        <v>14330</v>
      </c>
      <c r="M2893">
        <v>2</v>
      </c>
      <c r="N2893" t="s">
        <v>14331</v>
      </c>
      <c r="O2893" t="s">
        <v>14333</v>
      </c>
    </row>
    <row r="2894" spans="1:15" x14ac:dyDescent="0.25">
      <c r="A2894" s="35" t="s">
        <v>7328</v>
      </c>
      <c r="B2894" s="36" t="s">
        <v>7329</v>
      </c>
      <c r="C2894" s="36" t="str">
        <f>HYPERLINK("https://rhld.insurance.arkansas.gov/NPILookup?Npi=1467820928","1467820928")</f>
        <v>1467820928</v>
      </c>
      <c r="D2894" s="36" t="s">
        <v>32748</v>
      </c>
      <c r="E2894" s="36" t="s">
        <v>1</v>
      </c>
      <c r="F2894" s="36">
        <v>1</v>
      </c>
      <c r="G2894" s="36">
        <v>2</v>
      </c>
      <c r="H2894" s="36">
        <v>0</v>
      </c>
      <c r="I2894" s="37">
        <v>0</v>
      </c>
      <c r="J2894" s="36" t="s">
        <v>34836</v>
      </c>
      <c r="K2894" s="36" t="s">
        <v>14330</v>
      </c>
      <c r="L2894" s="36" t="s">
        <v>14330</v>
      </c>
      <c r="M2894">
        <v>3</v>
      </c>
      <c r="N2894" t="s">
        <v>14331</v>
      </c>
      <c r="O2894" t="s">
        <v>32633</v>
      </c>
    </row>
    <row r="2895" spans="1:15" x14ac:dyDescent="0.25">
      <c r="A2895" s="35" t="s">
        <v>7328</v>
      </c>
      <c r="B2895" s="36" t="s">
        <v>7329</v>
      </c>
      <c r="C2895" s="36" t="str">
        <f>HYPERLINK("https://rhld.insurance.arkansas.gov/NPILookup?Npi=1467891705","1467891705")</f>
        <v>1467891705</v>
      </c>
      <c r="D2895" s="36" t="s">
        <v>33591</v>
      </c>
      <c r="E2895" s="36" t="s">
        <v>1</v>
      </c>
      <c r="F2895" s="36">
        <v>1</v>
      </c>
      <c r="G2895" s="36">
        <v>3</v>
      </c>
      <c r="H2895" s="36">
        <v>0</v>
      </c>
      <c r="I2895" s="37">
        <v>0</v>
      </c>
      <c r="J2895" s="36" t="s">
        <v>34836</v>
      </c>
      <c r="K2895" s="36" t="s">
        <v>14330</v>
      </c>
      <c r="L2895" s="36" t="s">
        <v>14330</v>
      </c>
      <c r="M2895">
        <v>2</v>
      </c>
      <c r="N2895" t="s">
        <v>14331</v>
      </c>
      <c r="O2895" t="s">
        <v>32633</v>
      </c>
    </row>
    <row r="2896" spans="1:15" x14ac:dyDescent="0.25">
      <c r="A2896" s="35" t="s">
        <v>7328</v>
      </c>
      <c r="B2896" s="36" t="s">
        <v>7329</v>
      </c>
      <c r="C2896" s="36" t="str">
        <f>HYPERLINK("https://rhld.insurance.arkansas.gov/NPILookup?Npi=1467909366","1467909366")</f>
        <v>1467909366</v>
      </c>
      <c r="D2896" s="36" t="s">
        <v>35482</v>
      </c>
      <c r="E2896" s="36" t="s">
        <v>2</v>
      </c>
      <c r="F2896" s="36">
        <v>1</v>
      </c>
      <c r="G2896" s="36">
        <v>2</v>
      </c>
      <c r="H2896" s="36">
        <v>0</v>
      </c>
      <c r="I2896" s="37">
        <v>0</v>
      </c>
      <c r="J2896" s="36"/>
      <c r="K2896" s="36" t="s">
        <v>14330</v>
      </c>
      <c r="L2896" s="36" t="s">
        <v>14330</v>
      </c>
      <c r="M2896">
        <v>1</v>
      </c>
      <c r="N2896" t="s">
        <v>14331</v>
      </c>
      <c r="O2896" t="s">
        <v>14333</v>
      </c>
    </row>
    <row r="2897" spans="1:15" x14ac:dyDescent="0.25">
      <c r="A2897" s="35" t="s">
        <v>7328</v>
      </c>
      <c r="B2897" s="36" t="s">
        <v>7329</v>
      </c>
      <c r="C2897" s="36" t="str">
        <f>HYPERLINK("https://rhld.insurance.arkansas.gov/NPILookup?Npi=1477045680","1477045680")</f>
        <v>1477045680</v>
      </c>
      <c r="D2897" s="36" t="s">
        <v>35483</v>
      </c>
      <c r="E2897" s="36" t="s">
        <v>1</v>
      </c>
      <c r="F2897" s="36">
        <v>1</v>
      </c>
      <c r="G2897" s="36">
        <v>1</v>
      </c>
      <c r="H2897" s="36">
        <v>0</v>
      </c>
      <c r="I2897" s="37">
        <v>0</v>
      </c>
      <c r="J2897" s="36" t="s">
        <v>34836</v>
      </c>
      <c r="K2897" s="36" t="s">
        <v>14330</v>
      </c>
      <c r="L2897" s="36" t="s">
        <v>14330</v>
      </c>
      <c r="M2897">
        <v>2</v>
      </c>
      <c r="N2897" t="s">
        <v>14331</v>
      </c>
      <c r="O2897" t="s">
        <v>32633</v>
      </c>
    </row>
    <row r="2898" spans="1:15" x14ac:dyDescent="0.25">
      <c r="A2898" s="35" t="s">
        <v>7328</v>
      </c>
      <c r="B2898" s="36" t="s">
        <v>7329</v>
      </c>
      <c r="C2898" s="36" t="str">
        <f>HYPERLINK("https://rhld.insurance.arkansas.gov/NPILookup?Npi=1477065803","1477065803")</f>
        <v>1477065803</v>
      </c>
      <c r="D2898" s="36" t="s">
        <v>35484</v>
      </c>
      <c r="E2898" s="36" t="s">
        <v>2</v>
      </c>
      <c r="F2898" s="36">
        <v>1</v>
      </c>
      <c r="G2898" s="36">
        <v>2</v>
      </c>
      <c r="H2898" s="36">
        <v>0</v>
      </c>
      <c r="I2898" s="37">
        <v>0</v>
      </c>
      <c r="J2898" s="36"/>
      <c r="K2898" s="36" t="s">
        <v>14330</v>
      </c>
      <c r="L2898" s="36" t="s">
        <v>14330</v>
      </c>
      <c r="M2898">
        <v>1</v>
      </c>
      <c r="N2898" t="s">
        <v>14331</v>
      </c>
      <c r="O2898" t="s">
        <v>14333</v>
      </c>
    </row>
    <row r="2899" spans="1:15" x14ac:dyDescent="0.25">
      <c r="A2899" s="35" t="s">
        <v>7328</v>
      </c>
      <c r="B2899" s="36" t="s">
        <v>7329</v>
      </c>
      <c r="C2899" s="36" t="str">
        <f>HYPERLINK("https://rhld.insurance.arkansas.gov/NPILookup?Npi=1477234490","1477234490")</f>
        <v>1477234490</v>
      </c>
      <c r="D2899" s="36" t="s">
        <v>35485</v>
      </c>
      <c r="E2899" s="36" t="s">
        <v>2</v>
      </c>
      <c r="F2899" s="36">
        <v>2</v>
      </c>
      <c r="G2899" s="36">
        <v>1</v>
      </c>
      <c r="H2899" s="36">
        <v>0</v>
      </c>
      <c r="I2899" s="37">
        <v>0</v>
      </c>
      <c r="J2899" s="36" t="s">
        <v>33004</v>
      </c>
      <c r="K2899" s="36" t="s">
        <v>14330</v>
      </c>
      <c r="L2899" s="36" t="s">
        <v>14330</v>
      </c>
      <c r="M2899">
        <v>3</v>
      </c>
      <c r="N2899" t="s">
        <v>14331</v>
      </c>
      <c r="O2899" t="s">
        <v>32633</v>
      </c>
    </row>
    <row r="2900" spans="1:15" x14ac:dyDescent="0.25">
      <c r="A2900" s="35" t="s">
        <v>7328</v>
      </c>
      <c r="B2900" s="36" t="s">
        <v>7329</v>
      </c>
      <c r="C2900" s="36" t="str">
        <f>HYPERLINK("https://rhld.insurance.arkansas.gov/NPILookup?Npi=1477267193","1477267193")</f>
        <v>1477267193</v>
      </c>
      <c r="D2900" s="36" t="s">
        <v>35486</v>
      </c>
      <c r="E2900" s="36" t="s">
        <v>1</v>
      </c>
      <c r="F2900" s="36">
        <v>1</v>
      </c>
      <c r="G2900" s="36">
        <v>3</v>
      </c>
      <c r="H2900" s="36">
        <v>0</v>
      </c>
      <c r="I2900" s="37">
        <v>0</v>
      </c>
      <c r="J2900" s="36" t="s">
        <v>32654</v>
      </c>
      <c r="K2900" s="36" t="s">
        <v>14330</v>
      </c>
      <c r="L2900" s="36" t="s">
        <v>14330</v>
      </c>
      <c r="M2900">
        <v>2</v>
      </c>
      <c r="N2900" t="s">
        <v>14331</v>
      </c>
      <c r="O2900" t="s">
        <v>32633</v>
      </c>
    </row>
    <row r="2901" spans="1:15" x14ac:dyDescent="0.25">
      <c r="A2901" s="35" t="s">
        <v>7328</v>
      </c>
      <c r="B2901" s="36" t="s">
        <v>7329</v>
      </c>
      <c r="C2901" s="36" t="str">
        <f>HYPERLINK("https://rhld.insurance.arkansas.gov/NPILookup?Npi=1477374973","1477374973")</f>
        <v>1477374973</v>
      </c>
      <c r="D2901" s="36" t="s">
        <v>34739</v>
      </c>
      <c r="E2901" s="36" t="s">
        <v>2</v>
      </c>
      <c r="F2901" s="36">
        <v>1</v>
      </c>
      <c r="G2901" s="36">
        <v>2</v>
      </c>
      <c r="H2901" s="36">
        <v>0</v>
      </c>
      <c r="I2901" s="37">
        <v>0</v>
      </c>
      <c r="J2901" s="36"/>
      <c r="K2901" s="36" t="s">
        <v>14330</v>
      </c>
      <c r="L2901" s="36" t="s">
        <v>14330</v>
      </c>
      <c r="M2901">
        <v>2</v>
      </c>
      <c r="N2901" t="s">
        <v>14331</v>
      </c>
      <c r="O2901" t="s">
        <v>14333</v>
      </c>
    </row>
    <row r="2902" spans="1:15" x14ac:dyDescent="0.25">
      <c r="A2902" s="35" t="s">
        <v>7328</v>
      </c>
      <c r="B2902" s="36" t="s">
        <v>7329</v>
      </c>
      <c r="C2902" s="36" t="str">
        <f>HYPERLINK("https://rhld.insurance.arkansas.gov/NPILookup?Npi=1477528776","1477528776")</f>
        <v>1477528776</v>
      </c>
      <c r="D2902" s="36" t="s">
        <v>35487</v>
      </c>
      <c r="E2902" s="36" t="s">
        <v>1</v>
      </c>
      <c r="F2902" s="36">
        <v>1</v>
      </c>
      <c r="G2902" s="36">
        <v>2</v>
      </c>
      <c r="H2902" s="36">
        <v>0</v>
      </c>
      <c r="I2902" s="37">
        <v>0</v>
      </c>
      <c r="J2902" s="36" t="s">
        <v>32723</v>
      </c>
      <c r="K2902" s="36" t="s">
        <v>14330</v>
      </c>
      <c r="L2902" s="36" t="s">
        <v>14330</v>
      </c>
      <c r="M2902">
        <v>3</v>
      </c>
      <c r="N2902" t="s">
        <v>14331</v>
      </c>
      <c r="O2902" t="s">
        <v>32724</v>
      </c>
    </row>
    <row r="2903" spans="1:15" x14ac:dyDescent="0.25">
      <c r="A2903" s="35" t="s">
        <v>7328</v>
      </c>
      <c r="B2903" s="36" t="s">
        <v>7329</v>
      </c>
      <c r="C2903" s="36" t="str">
        <f>HYPERLINK("https://rhld.insurance.arkansas.gov/NPILookup?Npi=1477557064","1477557064")</f>
        <v>1477557064</v>
      </c>
      <c r="D2903" s="36" t="s">
        <v>35488</v>
      </c>
      <c r="E2903" s="36" t="s">
        <v>1</v>
      </c>
      <c r="F2903" s="36">
        <v>1</v>
      </c>
      <c r="G2903" s="36">
        <v>3</v>
      </c>
      <c r="H2903" s="36">
        <v>0</v>
      </c>
      <c r="I2903" s="37">
        <v>0</v>
      </c>
      <c r="J2903" s="36" t="s">
        <v>34836</v>
      </c>
      <c r="K2903" s="36" t="s">
        <v>14330</v>
      </c>
      <c r="L2903" s="36" t="s">
        <v>14330</v>
      </c>
      <c r="M2903">
        <v>3</v>
      </c>
      <c r="N2903" t="s">
        <v>14331</v>
      </c>
      <c r="O2903" t="s">
        <v>32633</v>
      </c>
    </row>
    <row r="2904" spans="1:15" x14ac:dyDescent="0.25">
      <c r="A2904" s="35" t="s">
        <v>7328</v>
      </c>
      <c r="B2904" s="36" t="s">
        <v>7329</v>
      </c>
      <c r="C2904" s="36" t="str">
        <f>HYPERLINK("https://rhld.insurance.arkansas.gov/NPILookup?Npi=1477585768","1477585768")</f>
        <v>1477585768</v>
      </c>
      <c r="D2904" s="36" t="s">
        <v>35489</v>
      </c>
      <c r="E2904" s="36" t="s">
        <v>1</v>
      </c>
      <c r="F2904" s="36">
        <v>1</v>
      </c>
      <c r="G2904" s="36">
        <v>3</v>
      </c>
      <c r="H2904" s="36">
        <v>0</v>
      </c>
      <c r="I2904" s="37">
        <v>0</v>
      </c>
      <c r="J2904" s="36" t="s">
        <v>34836</v>
      </c>
      <c r="K2904" s="36" t="s">
        <v>14330</v>
      </c>
      <c r="L2904" s="36" t="s">
        <v>14330</v>
      </c>
      <c r="M2904">
        <v>2</v>
      </c>
      <c r="N2904" t="s">
        <v>14331</v>
      </c>
      <c r="O2904" t="s">
        <v>32633</v>
      </c>
    </row>
    <row r="2905" spans="1:15" x14ac:dyDescent="0.25">
      <c r="A2905" s="35" t="s">
        <v>7328</v>
      </c>
      <c r="B2905" s="36" t="s">
        <v>7329</v>
      </c>
      <c r="C2905" s="36" t="str">
        <f>HYPERLINK("https://rhld.insurance.arkansas.gov/NPILookup?Npi=1477591147","1477591147")</f>
        <v>1477591147</v>
      </c>
      <c r="D2905" s="36" t="s">
        <v>35490</v>
      </c>
      <c r="E2905" s="36" t="s">
        <v>1</v>
      </c>
      <c r="F2905" s="36">
        <v>1</v>
      </c>
      <c r="G2905" s="36">
        <v>2</v>
      </c>
      <c r="H2905" s="36">
        <v>0</v>
      </c>
      <c r="I2905" s="37">
        <v>0</v>
      </c>
      <c r="J2905" s="36" t="s">
        <v>34836</v>
      </c>
      <c r="K2905" s="36" t="s">
        <v>14330</v>
      </c>
      <c r="L2905" s="36" t="s">
        <v>14330</v>
      </c>
      <c r="M2905">
        <v>2</v>
      </c>
      <c r="N2905" t="s">
        <v>14331</v>
      </c>
      <c r="O2905" t="s">
        <v>32633</v>
      </c>
    </row>
    <row r="2906" spans="1:15" x14ac:dyDescent="0.25">
      <c r="A2906" s="35" t="s">
        <v>7328</v>
      </c>
      <c r="B2906" s="36" t="s">
        <v>7329</v>
      </c>
      <c r="C2906" s="36" t="str">
        <f>HYPERLINK("https://rhld.insurance.arkansas.gov/NPILookup?Npi=1477633774","1477633774")</f>
        <v>1477633774</v>
      </c>
      <c r="D2906" s="36" t="s">
        <v>35491</v>
      </c>
      <c r="E2906" s="36" t="s">
        <v>1</v>
      </c>
      <c r="F2906" s="36">
        <v>1</v>
      </c>
      <c r="G2906" s="36">
        <v>2</v>
      </c>
      <c r="H2906" s="36">
        <v>0</v>
      </c>
      <c r="I2906" s="37">
        <v>0</v>
      </c>
      <c r="J2906" s="36" t="s">
        <v>34836</v>
      </c>
      <c r="K2906" s="36" t="s">
        <v>14330</v>
      </c>
      <c r="L2906" s="36" t="s">
        <v>14330</v>
      </c>
      <c r="M2906">
        <v>2</v>
      </c>
      <c r="N2906" t="s">
        <v>14331</v>
      </c>
      <c r="O2906" t="s">
        <v>32633</v>
      </c>
    </row>
    <row r="2907" spans="1:15" x14ac:dyDescent="0.25">
      <c r="A2907" s="35" t="s">
        <v>7328</v>
      </c>
      <c r="B2907" s="36" t="s">
        <v>7329</v>
      </c>
      <c r="C2907" s="36" t="str">
        <f>HYPERLINK("https://rhld.insurance.arkansas.gov/NPILookup?Npi=1477692572","1477692572")</f>
        <v>1477692572</v>
      </c>
      <c r="D2907" s="36" t="s">
        <v>35492</v>
      </c>
      <c r="E2907" s="36" t="s">
        <v>2</v>
      </c>
      <c r="F2907" s="36">
        <v>1</v>
      </c>
      <c r="G2907" s="36">
        <v>2</v>
      </c>
      <c r="H2907" s="36">
        <v>0</v>
      </c>
      <c r="I2907" s="37">
        <v>0</v>
      </c>
      <c r="J2907" s="36" t="s">
        <v>32679</v>
      </c>
      <c r="K2907" s="36" t="s">
        <v>14330</v>
      </c>
      <c r="L2907" s="36" t="s">
        <v>14330</v>
      </c>
      <c r="M2907">
        <v>1</v>
      </c>
      <c r="N2907" t="s">
        <v>14331</v>
      </c>
      <c r="O2907" t="s">
        <v>14333</v>
      </c>
    </row>
    <row r="2908" spans="1:15" x14ac:dyDescent="0.25">
      <c r="A2908" s="35" t="s">
        <v>7328</v>
      </c>
      <c r="B2908" s="36" t="s">
        <v>7329</v>
      </c>
      <c r="C2908" s="36" t="str">
        <f>HYPERLINK("https://rhld.insurance.arkansas.gov/NPILookup?Npi=1477692630","1477692630")</f>
        <v>1477692630</v>
      </c>
      <c r="D2908" s="36" t="s">
        <v>35493</v>
      </c>
      <c r="E2908" s="36" t="s">
        <v>1</v>
      </c>
      <c r="F2908" s="36">
        <v>1</v>
      </c>
      <c r="G2908" s="36">
        <v>1</v>
      </c>
      <c r="H2908" s="36">
        <v>0</v>
      </c>
      <c r="I2908" s="37">
        <v>0</v>
      </c>
      <c r="J2908" s="36" t="s">
        <v>32723</v>
      </c>
      <c r="K2908" s="36" t="s">
        <v>14330</v>
      </c>
      <c r="L2908" s="36" t="s">
        <v>14330</v>
      </c>
      <c r="M2908">
        <v>2</v>
      </c>
      <c r="N2908" t="s">
        <v>14331</v>
      </c>
      <c r="O2908" t="s">
        <v>32724</v>
      </c>
    </row>
    <row r="2909" spans="1:15" x14ac:dyDescent="0.25">
      <c r="A2909" s="35" t="s">
        <v>7328</v>
      </c>
      <c r="B2909" s="36" t="s">
        <v>7329</v>
      </c>
      <c r="C2909" s="36" t="str">
        <f>HYPERLINK("https://rhld.insurance.arkansas.gov/NPILookup?Npi=1477933893","1477933893")</f>
        <v>1477933893</v>
      </c>
      <c r="D2909" s="36" t="s">
        <v>35494</v>
      </c>
      <c r="E2909" s="36" t="s">
        <v>2</v>
      </c>
      <c r="F2909" s="36">
        <v>1</v>
      </c>
      <c r="G2909" s="36">
        <v>2</v>
      </c>
      <c r="H2909" s="36">
        <v>0</v>
      </c>
      <c r="I2909" s="37">
        <v>0</v>
      </c>
      <c r="J2909" s="36"/>
      <c r="K2909" s="36" t="s">
        <v>14330</v>
      </c>
      <c r="L2909" s="36" t="s">
        <v>14330</v>
      </c>
      <c r="M2909">
        <v>2</v>
      </c>
      <c r="N2909" t="s">
        <v>14331</v>
      </c>
      <c r="O2909" t="s">
        <v>14333</v>
      </c>
    </row>
    <row r="2910" spans="1:15" x14ac:dyDescent="0.25">
      <c r="A2910" s="35" t="s">
        <v>7328</v>
      </c>
      <c r="B2910" s="36" t="s">
        <v>7329</v>
      </c>
      <c r="C2910" s="36" t="str">
        <f>HYPERLINK("https://rhld.insurance.arkansas.gov/NPILookup?Npi=1487035945","1487035945")</f>
        <v>1487035945</v>
      </c>
      <c r="D2910" s="36" t="s">
        <v>35495</v>
      </c>
      <c r="E2910" s="36" t="s">
        <v>1</v>
      </c>
      <c r="F2910" s="36">
        <v>1</v>
      </c>
      <c r="G2910" s="36">
        <v>2</v>
      </c>
      <c r="H2910" s="36">
        <v>0</v>
      </c>
      <c r="I2910" s="37">
        <v>0</v>
      </c>
      <c r="J2910" s="36" t="s">
        <v>34836</v>
      </c>
      <c r="K2910" s="36" t="s">
        <v>14330</v>
      </c>
      <c r="L2910" s="36" t="s">
        <v>14330</v>
      </c>
      <c r="M2910">
        <v>2</v>
      </c>
      <c r="N2910" t="s">
        <v>14331</v>
      </c>
      <c r="O2910" t="s">
        <v>32633</v>
      </c>
    </row>
    <row r="2911" spans="1:15" x14ac:dyDescent="0.25">
      <c r="A2911" s="35" t="s">
        <v>7328</v>
      </c>
      <c r="B2911" s="36" t="s">
        <v>7329</v>
      </c>
      <c r="C2911" s="36" t="str">
        <f>HYPERLINK("https://rhld.insurance.arkansas.gov/NPILookup?Npi=1487038105","1487038105")</f>
        <v>1487038105</v>
      </c>
      <c r="D2911" s="36" t="s">
        <v>35496</v>
      </c>
      <c r="E2911" s="36" t="s">
        <v>1</v>
      </c>
      <c r="F2911" s="36">
        <v>1</v>
      </c>
      <c r="G2911" s="36">
        <v>2</v>
      </c>
      <c r="H2911" s="36">
        <v>0</v>
      </c>
      <c r="I2911" s="37">
        <v>0</v>
      </c>
      <c r="J2911" s="36" t="s">
        <v>34836</v>
      </c>
      <c r="K2911" s="36" t="s">
        <v>14330</v>
      </c>
      <c r="L2911" s="36" t="s">
        <v>14330</v>
      </c>
      <c r="M2911">
        <v>3</v>
      </c>
      <c r="N2911" t="s">
        <v>14331</v>
      </c>
      <c r="O2911" t="s">
        <v>32633</v>
      </c>
    </row>
    <row r="2912" spans="1:15" x14ac:dyDescent="0.25">
      <c r="A2912" s="35" t="s">
        <v>7328</v>
      </c>
      <c r="B2912" s="36" t="s">
        <v>7329</v>
      </c>
      <c r="C2912" s="36" t="str">
        <f>HYPERLINK("https://rhld.insurance.arkansas.gov/NPILookup?Npi=1487038477","1487038477")</f>
        <v>1487038477</v>
      </c>
      <c r="D2912" s="36" t="s">
        <v>35497</v>
      </c>
      <c r="E2912" s="36" t="s">
        <v>1</v>
      </c>
      <c r="F2912" s="36">
        <v>1</v>
      </c>
      <c r="G2912" s="36">
        <v>3</v>
      </c>
      <c r="H2912" s="36">
        <v>0</v>
      </c>
      <c r="I2912" s="37">
        <v>0</v>
      </c>
      <c r="J2912" s="36" t="s">
        <v>34836</v>
      </c>
      <c r="K2912" s="36" t="s">
        <v>14330</v>
      </c>
      <c r="L2912" s="36" t="s">
        <v>14330</v>
      </c>
      <c r="M2912">
        <v>3</v>
      </c>
      <c r="N2912" t="s">
        <v>14331</v>
      </c>
      <c r="O2912" t="s">
        <v>32633</v>
      </c>
    </row>
    <row r="2913" spans="1:15" x14ac:dyDescent="0.25">
      <c r="A2913" s="35" t="s">
        <v>7328</v>
      </c>
      <c r="B2913" s="36" t="s">
        <v>7329</v>
      </c>
      <c r="C2913" s="36" t="str">
        <f>HYPERLINK("https://rhld.insurance.arkansas.gov/NPILookup?Npi=1487102596","1487102596")</f>
        <v>1487102596</v>
      </c>
      <c r="D2913" s="36" t="s">
        <v>35498</v>
      </c>
      <c r="E2913" s="36" t="s">
        <v>1</v>
      </c>
      <c r="F2913" s="36">
        <v>1</v>
      </c>
      <c r="G2913" s="36">
        <v>3</v>
      </c>
      <c r="H2913" s="36">
        <v>0</v>
      </c>
      <c r="I2913" s="37">
        <v>0</v>
      </c>
      <c r="J2913" s="36" t="s">
        <v>32654</v>
      </c>
      <c r="K2913" s="36" t="s">
        <v>14330</v>
      </c>
      <c r="L2913" s="36" t="s">
        <v>14330</v>
      </c>
      <c r="M2913">
        <v>2</v>
      </c>
      <c r="N2913" t="s">
        <v>14331</v>
      </c>
      <c r="O2913" t="s">
        <v>32633</v>
      </c>
    </row>
    <row r="2914" spans="1:15" x14ac:dyDescent="0.25">
      <c r="A2914" s="35" t="s">
        <v>7328</v>
      </c>
      <c r="B2914" s="36" t="s">
        <v>7329</v>
      </c>
      <c r="C2914" s="36" t="str">
        <f>HYPERLINK("https://rhld.insurance.arkansas.gov/NPILookup?Npi=1487189064","1487189064")</f>
        <v>1487189064</v>
      </c>
      <c r="D2914" s="36" t="s">
        <v>35499</v>
      </c>
      <c r="E2914" s="36" t="s">
        <v>1</v>
      </c>
      <c r="F2914" s="36">
        <v>1</v>
      </c>
      <c r="G2914" s="36">
        <v>2</v>
      </c>
      <c r="H2914" s="36">
        <v>0</v>
      </c>
      <c r="I2914" s="37">
        <v>0</v>
      </c>
      <c r="J2914" s="36" t="s">
        <v>34836</v>
      </c>
      <c r="K2914" s="36" t="s">
        <v>14330</v>
      </c>
      <c r="L2914" s="36" t="s">
        <v>14330</v>
      </c>
      <c r="M2914">
        <v>2</v>
      </c>
      <c r="N2914" t="s">
        <v>14331</v>
      </c>
      <c r="O2914" t="s">
        <v>32633</v>
      </c>
    </row>
    <row r="2915" spans="1:15" x14ac:dyDescent="0.25">
      <c r="A2915" s="35" t="s">
        <v>7328</v>
      </c>
      <c r="B2915" s="36" t="s">
        <v>7329</v>
      </c>
      <c r="C2915" s="36" t="str">
        <f>HYPERLINK("https://rhld.insurance.arkansas.gov/NPILookup?Npi=1487223699","1487223699")</f>
        <v>1487223699</v>
      </c>
      <c r="D2915" s="36" t="s">
        <v>35500</v>
      </c>
      <c r="E2915" s="36" t="s">
        <v>2</v>
      </c>
      <c r="F2915" s="36">
        <v>1</v>
      </c>
      <c r="G2915" s="36">
        <v>2</v>
      </c>
      <c r="H2915" s="36">
        <v>0</v>
      </c>
      <c r="I2915" s="37">
        <v>0</v>
      </c>
      <c r="J2915" s="36"/>
      <c r="K2915" s="36" t="s">
        <v>14330</v>
      </c>
      <c r="L2915" s="36" t="s">
        <v>14330</v>
      </c>
      <c r="M2915">
        <v>1</v>
      </c>
      <c r="N2915" t="s">
        <v>14331</v>
      </c>
      <c r="O2915" t="s">
        <v>14333</v>
      </c>
    </row>
    <row r="2916" spans="1:15" x14ac:dyDescent="0.25">
      <c r="A2916" s="35" t="s">
        <v>7328</v>
      </c>
      <c r="B2916" s="36" t="s">
        <v>7329</v>
      </c>
      <c r="C2916" s="36" t="str">
        <f>HYPERLINK("https://rhld.insurance.arkansas.gov/NPILookup?Npi=1487269080","1487269080")</f>
        <v>1487269080</v>
      </c>
      <c r="D2916" s="36" t="s">
        <v>34136</v>
      </c>
      <c r="E2916" s="36" t="s">
        <v>2</v>
      </c>
      <c r="F2916" s="36">
        <v>1</v>
      </c>
      <c r="G2916" s="36">
        <v>1</v>
      </c>
      <c r="H2916" s="36">
        <v>0</v>
      </c>
      <c r="I2916" s="37">
        <v>0</v>
      </c>
      <c r="J2916" s="36"/>
      <c r="K2916" s="36" t="s">
        <v>14330</v>
      </c>
      <c r="L2916" s="36" t="s">
        <v>14330</v>
      </c>
      <c r="M2916">
        <v>3</v>
      </c>
      <c r="N2916" t="s">
        <v>14331</v>
      </c>
      <c r="O2916" t="s">
        <v>32633</v>
      </c>
    </row>
    <row r="2917" spans="1:15" x14ac:dyDescent="0.25">
      <c r="A2917" s="35" t="s">
        <v>7328</v>
      </c>
      <c r="B2917" s="36" t="s">
        <v>7329</v>
      </c>
      <c r="C2917" s="36" t="str">
        <f>HYPERLINK("https://rhld.insurance.arkansas.gov/NPILookup?Npi=1487299525","1487299525")</f>
        <v>1487299525</v>
      </c>
      <c r="D2917" s="36" t="s">
        <v>35501</v>
      </c>
      <c r="E2917" s="36" t="s">
        <v>1</v>
      </c>
      <c r="F2917" s="36">
        <v>1</v>
      </c>
      <c r="G2917" s="36">
        <v>3</v>
      </c>
      <c r="H2917" s="36">
        <v>0</v>
      </c>
      <c r="I2917" s="37">
        <v>0</v>
      </c>
      <c r="J2917" s="36" t="s">
        <v>32654</v>
      </c>
      <c r="K2917" s="36" t="s">
        <v>14330</v>
      </c>
      <c r="L2917" s="36" t="s">
        <v>14330</v>
      </c>
      <c r="M2917">
        <v>2</v>
      </c>
      <c r="N2917" t="s">
        <v>14331</v>
      </c>
      <c r="O2917" t="s">
        <v>32633</v>
      </c>
    </row>
    <row r="2918" spans="1:15" x14ac:dyDescent="0.25">
      <c r="A2918" s="35" t="s">
        <v>7328</v>
      </c>
      <c r="B2918" s="36" t="s">
        <v>7329</v>
      </c>
      <c r="C2918" s="36" t="str">
        <f>HYPERLINK("https://rhld.insurance.arkansas.gov/NPILookup?Npi=1487342267","1487342267")</f>
        <v>1487342267</v>
      </c>
      <c r="D2918" s="36" t="s">
        <v>35502</v>
      </c>
      <c r="E2918" s="36" t="s">
        <v>1</v>
      </c>
      <c r="F2918" s="36">
        <v>1</v>
      </c>
      <c r="G2918" s="36">
        <v>2</v>
      </c>
      <c r="H2918" s="36">
        <v>0</v>
      </c>
      <c r="I2918" s="37">
        <v>0</v>
      </c>
      <c r="J2918" s="36" t="s">
        <v>32654</v>
      </c>
      <c r="K2918" s="36" t="s">
        <v>14330</v>
      </c>
      <c r="L2918" s="36" t="s">
        <v>14330</v>
      </c>
      <c r="M2918">
        <v>3</v>
      </c>
      <c r="N2918" t="s">
        <v>14331</v>
      </c>
      <c r="O2918" t="s">
        <v>32633</v>
      </c>
    </row>
    <row r="2919" spans="1:15" x14ac:dyDescent="0.25">
      <c r="A2919" s="35" t="s">
        <v>7328</v>
      </c>
      <c r="B2919" s="36" t="s">
        <v>7329</v>
      </c>
      <c r="C2919" s="36" t="str">
        <f>HYPERLINK("https://rhld.insurance.arkansas.gov/NPILookup?Npi=1487376935","1487376935")</f>
        <v>1487376935</v>
      </c>
      <c r="D2919" s="36" t="s">
        <v>35503</v>
      </c>
      <c r="E2919" s="36" t="s">
        <v>1</v>
      </c>
      <c r="F2919" s="36">
        <v>1</v>
      </c>
      <c r="G2919" s="36">
        <v>3</v>
      </c>
      <c r="H2919" s="36">
        <v>0</v>
      </c>
      <c r="I2919" s="37">
        <v>0</v>
      </c>
      <c r="J2919" s="36" t="s">
        <v>32654</v>
      </c>
      <c r="K2919" s="36" t="s">
        <v>14330</v>
      </c>
      <c r="L2919" s="36" t="s">
        <v>14330</v>
      </c>
      <c r="M2919">
        <v>2</v>
      </c>
      <c r="N2919" t="s">
        <v>14331</v>
      </c>
      <c r="O2919" t="s">
        <v>32633</v>
      </c>
    </row>
    <row r="2920" spans="1:15" x14ac:dyDescent="0.25">
      <c r="A2920" s="35" t="s">
        <v>7328</v>
      </c>
      <c r="B2920" s="36" t="s">
        <v>7329</v>
      </c>
      <c r="C2920" s="36" t="str">
        <f>HYPERLINK("https://rhld.insurance.arkansas.gov/NPILookup?Npi=1487391306","1487391306")</f>
        <v>1487391306</v>
      </c>
      <c r="D2920" s="36" t="s">
        <v>35504</v>
      </c>
      <c r="E2920" s="36" t="s">
        <v>2</v>
      </c>
      <c r="F2920" s="36">
        <v>1</v>
      </c>
      <c r="G2920" s="36">
        <v>2</v>
      </c>
      <c r="H2920" s="36">
        <v>0</v>
      </c>
      <c r="I2920" s="37">
        <v>0</v>
      </c>
      <c r="J2920" s="36"/>
      <c r="K2920" s="36" t="s">
        <v>14330</v>
      </c>
      <c r="L2920" s="36" t="s">
        <v>14330</v>
      </c>
      <c r="M2920">
        <v>3</v>
      </c>
      <c r="N2920" t="s">
        <v>14331</v>
      </c>
      <c r="O2920" t="s">
        <v>14333</v>
      </c>
    </row>
    <row r="2921" spans="1:15" x14ac:dyDescent="0.25">
      <c r="A2921" s="35" t="s">
        <v>7328</v>
      </c>
      <c r="B2921" s="36" t="s">
        <v>7329</v>
      </c>
      <c r="C2921" s="36" t="str">
        <f>HYPERLINK("https://rhld.insurance.arkansas.gov/NPILookup?Npi=1487647806","1487647806")</f>
        <v>1487647806</v>
      </c>
      <c r="D2921" s="36" t="s">
        <v>35505</v>
      </c>
      <c r="E2921" s="36" t="s">
        <v>1</v>
      </c>
      <c r="F2921" s="36">
        <v>1</v>
      </c>
      <c r="G2921" s="36">
        <v>3</v>
      </c>
      <c r="H2921" s="36">
        <v>0</v>
      </c>
      <c r="I2921" s="37">
        <v>0</v>
      </c>
      <c r="J2921" s="36" t="s">
        <v>34836</v>
      </c>
      <c r="K2921" s="36" t="s">
        <v>14330</v>
      </c>
      <c r="L2921" s="36" t="s">
        <v>14330</v>
      </c>
      <c r="M2921">
        <v>3</v>
      </c>
      <c r="N2921" t="s">
        <v>14331</v>
      </c>
      <c r="O2921" t="s">
        <v>32633</v>
      </c>
    </row>
    <row r="2922" spans="1:15" x14ac:dyDescent="0.25">
      <c r="A2922" s="35" t="s">
        <v>7328</v>
      </c>
      <c r="B2922" s="36" t="s">
        <v>7329</v>
      </c>
      <c r="C2922" s="36" t="str">
        <f>HYPERLINK("https://rhld.insurance.arkansas.gov/NPILookup?Npi=1487733259","1487733259")</f>
        <v>1487733259</v>
      </c>
      <c r="D2922" s="36" t="s">
        <v>35506</v>
      </c>
      <c r="E2922" s="36" t="s">
        <v>1</v>
      </c>
      <c r="F2922" s="36">
        <v>1</v>
      </c>
      <c r="G2922" s="36">
        <v>3</v>
      </c>
      <c r="H2922" s="36">
        <v>0</v>
      </c>
      <c r="I2922" s="37">
        <v>0</v>
      </c>
      <c r="J2922" s="36" t="s">
        <v>32654</v>
      </c>
      <c r="K2922" s="36" t="s">
        <v>14330</v>
      </c>
      <c r="L2922" s="36" t="s">
        <v>14330</v>
      </c>
      <c r="M2922">
        <v>3</v>
      </c>
      <c r="N2922" t="s">
        <v>14331</v>
      </c>
      <c r="O2922" t="s">
        <v>32633</v>
      </c>
    </row>
    <row r="2923" spans="1:15" x14ac:dyDescent="0.25">
      <c r="A2923" s="35" t="s">
        <v>7328</v>
      </c>
      <c r="B2923" s="36" t="s">
        <v>7329</v>
      </c>
      <c r="C2923" s="36" t="str">
        <f>HYPERLINK("https://rhld.insurance.arkansas.gov/NPILookup?Npi=1487745337","1487745337")</f>
        <v>1487745337</v>
      </c>
      <c r="D2923" s="36" t="s">
        <v>35507</v>
      </c>
      <c r="E2923" s="36" t="s">
        <v>1</v>
      </c>
      <c r="F2923" s="36">
        <v>1</v>
      </c>
      <c r="G2923" s="36">
        <v>3</v>
      </c>
      <c r="H2923" s="36">
        <v>0</v>
      </c>
      <c r="I2923" s="37">
        <v>0</v>
      </c>
      <c r="J2923" s="36" t="s">
        <v>34836</v>
      </c>
      <c r="K2923" s="36" t="s">
        <v>14330</v>
      </c>
      <c r="L2923" s="36" t="s">
        <v>14330</v>
      </c>
      <c r="M2923">
        <v>2</v>
      </c>
      <c r="N2923" t="s">
        <v>14331</v>
      </c>
      <c r="O2923" t="s">
        <v>32633</v>
      </c>
    </row>
    <row r="2924" spans="1:15" x14ac:dyDescent="0.25">
      <c r="A2924" s="35" t="s">
        <v>7328</v>
      </c>
      <c r="B2924" s="36" t="s">
        <v>7329</v>
      </c>
      <c r="C2924" s="36" t="str">
        <f>HYPERLINK("https://rhld.insurance.arkansas.gov/NPILookup?Npi=1487754347","1487754347")</f>
        <v>1487754347</v>
      </c>
      <c r="D2924" s="36" t="s">
        <v>35508</v>
      </c>
      <c r="E2924" s="36" t="s">
        <v>2</v>
      </c>
      <c r="F2924" s="36">
        <v>1</v>
      </c>
      <c r="G2924" s="36">
        <v>2</v>
      </c>
      <c r="H2924" s="36">
        <v>0</v>
      </c>
      <c r="I2924" s="37">
        <v>0</v>
      </c>
      <c r="J2924" s="36" t="s">
        <v>32679</v>
      </c>
      <c r="K2924" s="36" t="s">
        <v>14330</v>
      </c>
      <c r="L2924" s="36" t="s">
        <v>14330</v>
      </c>
      <c r="M2924">
        <v>3</v>
      </c>
      <c r="N2924" t="s">
        <v>14331</v>
      </c>
      <c r="O2924" t="s">
        <v>14333</v>
      </c>
    </row>
    <row r="2925" spans="1:15" x14ac:dyDescent="0.25">
      <c r="A2925" s="35" t="s">
        <v>7328</v>
      </c>
      <c r="B2925" s="36" t="s">
        <v>7329</v>
      </c>
      <c r="C2925" s="36" t="str">
        <f>HYPERLINK("https://rhld.insurance.arkansas.gov/NPILookup?Npi=1487810826","1487810826")</f>
        <v>1487810826</v>
      </c>
      <c r="D2925" s="36" t="s">
        <v>35509</v>
      </c>
      <c r="E2925" s="36" t="s">
        <v>1</v>
      </c>
      <c r="F2925" s="36">
        <v>1</v>
      </c>
      <c r="G2925" s="36">
        <v>3</v>
      </c>
      <c r="H2925" s="36">
        <v>0</v>
      </c>
      <c r="I2925" s="37">
        <v>0</v>
      </c>
      <c r="J2925" s="36" t="s">
        <v>34836</v>
      </c>
      <c r="K2925" s="36" t="s">
        <v>14330</v>
      </c>
      <c r="L2925" s="36" t="s">
        <v>14330</v>
      </c>
      <c r="M2925">
        <v>3</v>
      </c>
      <c r="N2925" t="s">
        <v>14331</v>
      </c>
      <c r="O2925" t="s">
        <v>32633</v>
      </c>
    </row>
    <row r="2926" spans="1:15" x14ac:dyDescent="0.25">
      <c r="A2926" s="35" t="s">
        <v>7328</v>
      </c>
      <c r="B2926" s="36" t="s">
        <v>7329</v>
      </c>
      <c r="C2926" s="36" t="str">
        <f>HYPERLINK("https://rhld.insurance.arkansas.gov/NPILookup?Npi=1487844585","1487844585")</f>
        <v>1487844585</v>
      </c>
      <c r="D2926" s="36" t="s">
        <v>35510</v>
      </c>
      <c r="E2926" s="36" t="s">
        <v>1</v>
      </c>
      <c r="F2926" s="36">
        <v>1</v>
      </c>
      <c r="G2926" s="36">
        <v>3</v>
      </c>
      <c r="H2926" s="36">
        <v>0</v>
      </c>
      <c r="I2926" s="37">
        <v>0</v>
      </c>
      <c r="J2926" s="36" t="s">
        <v>32654</v>
      </c>
      <c r="K2926" s="36" t="s">
        <v>14330</v>
      </c>
      <c r="L2926" s="36" t="s">
        <v>14330</v>
      </c>
      <c r="M2926">
        <v>3</v>
      </c>
      <c r="N2926" t="s">
        <v>14331</v>
      </c>
      <c r="O2926" t="s">
        <v>32633</v>
      </c>
    </row>
    <row r="2927" spans="1:15" x14ac:dyDescent="0.25">
      <c r="A2927" s="35" t="s">
        <v>7328</v>
      </c>
      <c r="B2927" s="36" t="s">
        <v>7329</v>
      </c>
      <c r="C2927" s="36" t="str">
        <f>HYPERLINK("https://rhld.insurance.arkansas.gov/NPILookup?Npi=1487852422","1487852422")</f>
        <v>1487852422</v>
      </c>
      <c r="D2927" s="36" t="s">
        <v>32702</v>
      </c>
      <c r="E2927" s="36" t="s">
        <v>1</v>
      </c>
      <c r="F2927" s="36">
        <v>1</v>
      </c>
      <c r="G2927" s="36">
        <v>3</v>
      </c>
      <c r="H2927" s="36">
        <v>0</v>
      </c>
      <c r="I2927" s="37">
        <v>0</v>
      </c>
      <c r="J2927" s="36" t="s">
        <v>34836</v>
      </c>
      <c r="K2927" s="36" t="s">
        <v>14330</v>
      </c>
      <c r="L2927" s="36" t="s">
        <v>14330</v>
      </c>
      <c r="M2927">
        <v>2</v>
      </c>
      <c r="N2927" t="s">
        <v>14331</v>
      </c>
      <c r="O2927" t="s">
        <v>32633</v>
      </c>
    </row>
    <row r="2928" spans="1:15" x14ac:dyDescent="0.25">
      <c r="A2928" s="35" t="s">
        <v>7328</v>
      </c>
      <c r="B2928" s="36" t="s">
        <v>7329</v>
      </c>
      <c r="C2928" s="36" t="str">
        <f>HYPERLINK("https://rhld.insurance.arkansas.gov/NPILookup?Npi=1487930905","1487930905")</f>
        <v>1487930905</v>
      </c>
      <c r="D2928" s="36" t="s">
        <v>35511</v>
      </c>
      <c r="E2928" s="36" t="s">
        <v>1</v>
      </c>
      <c r="F2928" s="36">
        <v>1</v>
      </c>
      <c r="G2928" s="36">
        <v>2</v>
      </c>
      <c r="H2928" s="36">
        <v>0</v>
      </c>
      <c r="I2928" s="37">
        <v>0</v>
      </c>
      <c r="J2928" s="36" t="s">
        <v>34836</v>
      </c>
      <c r="K2928" s="36" t="s">
        <v>14330</v>
      </c>
      <c r="L2928" s="36" t="s">
        <v>14330</v>
      </c>
      <c r="M2928">
        <v>2</v>
      </c>
      <c r="N2928" t="s">
        <v>14331</v>
      </c>
      <c r="O2928" t="s">
        <v>32633</v>
      </c>
    </row>
    <row r="2929" spans="1:15" x14ac:dyDescent="0.25">
      <c r="A2929" s="35" t="s">
        <v>7328</v>
      </c>
      <c r="B2929" s="36" t="s">
        <v>7329</v>
      </c>
      <c r="C2929" s="36" t="str">
        <f>HYPERLINK("https://rhld.insurance.arkansas.gov/NPILookup?Npi=1487944286","1487944286")</f>
        <v>1487944286</v>
      </c>
      <c r="D2929" s="36" t="s">
        <v>35512</v>
      </c>
      <c r="E2929" s="36" t="s">
        <v>2</v>
      </c>
      <c r="F2929" s="36">
        <v>1</v>
      </c>
      <c r="G2929" s="36">
        <v>2</v>
      </c>
      <c r="H2929" s="36">
        <v>0</v>
      </c>
      <c r="I2929" s="37">
        <v>0</v>
      </c>
      <c r="J2929" s="36" t="s">
        <v>32679</v>
      </c>
      <c r="K2929" s="36" t="s">
        <v>14330</v>
      </c>
      <c r="L2929" s="36" t="s">
        <v>14330</v>
      </c>
      <c r="M2929">
        <v>3</v>
      </c>
      <c r="N2929" t="s">
        <v>14331</v>
      </c>
      <c r="O2929" t="s">
        <v>14333</v>
      </c>
    </row>
    <row r="2930" spans="1:15" x14ac:dyDescent="0.25">
      <c r="A2930" s="35" t="s">
        <v>7328</v>
      </c>
      <c r="B2930" s="36" t="s">
        <v>7329</v>
      </c>
      <c r="C2930" s="36" t="str">
        <f>HYPERLINK("https://rhld.insurance.arkansas.gov/NPILookup?Npi=1487944617","1487944617")</f>
        <v>1487944617</v>
      </c>
      <c r="D2930" s="36" t="s">
        <v>35513</v>
      </c>
      <c r="E2930" s="36" t="s">
        <v>1</v>
      </c>
      <c r="F2930" s="36">
        <v>1</v>
      </c>
      <c r="G2930" s="36">
        <v>3</v>
      </c>
      <c r="H2930" s="36">
        <v>0</v>
      </c>
      <c r="I2930" s="37">
        <v>0</v>
      </c>
      <c r="J2930" s="36" t="s">
        <v>34836</v>
      </c>
      <c r="K2930" s="36" t="s">
        <v>14330</v>
      </c>
      <c r="L2930" s="36" t="s">
        <v>14330</v>
      </c>
      <c r="M2930">
        <v>2</v>
      </c>
      <c r="N2930" t="s">
        <v>14331</v>
      </c>
      <c r="O2930" t="s">
        <v>32633</v>
      </c>
    </row>
    <row r="2931" spans="1:15" x14ac:dyDescent="0.25">
      <c r="A2931" s="35" t="s">
        <v>7328</v>
      </c>
      <c r="B2931" s="36" t="s">
        <v>7329</v>
      </c>
      <c r="C2931" s="36" t="str">
        <f>HYPERLINK("https://rhld.insurance.arkansas.gov/NPILookup?Npi=1497017404","1497017404")</f>
        <v>1497017404</v>
      </c>
      <c r="D2931" s="36" t="s">
        <v>35514</v>
      </c>
      <c r="E2931" s="36" t="s">
        <v>1</v>
      </c>
      <c r="F2931" s="36">
        <v>1</v>
      </c>
      <c r="G2931" s="36">
        <v>2</v>
      </c>
      <c r="H2931" s="36">
        <v>0</v>
      </c>
      <c r="I2931" s="37">
        <v>0</v>
      </c>
      <c r="J2931" s="36" t="s">
        <v>32654</v>
      </c>
      <c r="K2931" s="36" t="s">
        <v>14330</v>
      </c>
      <c r="L2931" s="36" t="s">
        <v>14330</v>
      </c>
      <c r="M2931">
        <v>3</v>
      </c>
      <c r="N2931" t="s">
        <v>14331</v>
      </c>
      <c r="O2931" t="s">
        <v>32633</v>
      </c>
    </row>
    <row r="2932" spans="1:15" x14ac:dyDescent="0.25">
      <c r="A2932" s="35" t="s">
        <v>7328</v>
      </c>
      <c r="B2932" s="36" t="s">
        <v>7329</v>
      </c>
      <c r="C2932" s="36" t="str">
        <f>HYPERLINK("https://rhld.insurance.arkansas.gov/NPILookup?Npi=1497079933","1497079933")</f>
        <v>1497079933</v>
      </c>
      <c r="D2932" s="36" t="s">
        <v>35515</v>
      </c>
      <c r="E2932" s="36" t="s">
        <v>1</v>
      </c>
      <c r="F2932" s="36">
        <v>1</v>
      </c>
      <c r="G2932" s="36">
        <v>3</v>
      </c>
      <c r="H2932" s="36">
        <v>0</v>
      </c>
      <c r="I2932" s="37">
        <v>0</v>
      </c>
      <c r="J2932" s="36" t="s">
        <v>34836</v>
      </c>
      <c r="K2932" s="36" t="s">
        <v>14330</v>
      </c>
      <c r="L2932" s="36" t="s">
        <v>14330</v>
      </c>
      <c r="M2932">
        <v>2</v>
      </c>
      <c r="N2932" t="s">
        <v>14331</v>
      </c>
      <c r="O2932" t="s">
        <v>32633</v>
      </c>
    </row>
    <row r="2933" spans="1:15" x14ac:dyDescent="0.25">
      <c r="A2933" s="35" t="s">
        <v>7328</v>
      </c>
      <c r="B2933" s="36" t="s">
        <v>7329</v>
      </c>
      <c r="C2933" s="36" t="str">
        <f>HYPERLINK("https://rhld.insurance.arkansas.gov/NPILookup?Npi=1497144901","1497144901")</f>
        <v>1497144901</v>
      </c>
      <c r="D2933" s="36" t="s">
        <v>35516</v>
      </c>
      <c r="E2933" s="36" t="s">
        <v>2</v>
      </c>
      <c r="F2933" s="36">
        <v>2</v>
      </c>
      <c r="G2933" s="36">
        <v>2</v>
      </c>
      <c r="H2933" s="36">
        <v>0</v>
      </c>
      <c r="I2933" s="37">
        <v>0</v>
      </c>
      <c r="J2933" s="36" t="s">
        <v>33004</v>
      </c>
      <c r="K2933" s="36" t="s">
        <v>14330</v>
      </c>
      <c r="L2933" s="36" t="s">
        <v>14330</v>
      </c>
      <c r="M2933">
        <v>2</v>
      </c>
      <c r="N2933" t="s">
        <v>14331</v>
      </c>
      <c r="O2933" t="s">
        <v>14333</v>
      </c>
    </row>
    <row r="2934" spans="1:15" x14ac:dyDescent="0.25">
      <c r="A2934" s="35" t="s">
        <v>7328</v>
      </c>
      <c r="B2934" s="36" t="s">
        <v>7329</v>
      </c>
      <c r="C2934" s="36" t="str">
        <f>HYPERLINK("https://rhld.insurance.arkansas.gov/NPILookup?Npi=1497190862","1497190862")</f>
        <v>1497190862</v>
      </c>
      <c r="D2934" s="36" t="s">
        <v>35517</v>
      </c>
      <c r="E2934" s="36" t="s">
        <v>1</v>
      </c>
      <c r="F2934" s="36">
        <v>1</v>
      </c>
      <c r="G2934" s="36">
        <v>2</v>
      </c>
      <c r="H2934" s="36">
        <v>0</v>
      </c>
      <c r="I2934" s="37">
        <v>0</v>
      </c>
      <c r="J2934" s="36" t="s">
        <v>34836</v>
      </c>
      <c r="K2934" s="36" t="s">
        <v>14330</v>
      </c>
      <c r="L2934" s="36" t="s">
        <v>14330</v>
      </c>
      <c r="M2934">
        <v>2</v>
      </c>
      <c r="N2934" t="s">
        <v>14331</v>
      </c>
      <c r="O2934" t="s">
        <v>32633</v>
      </c>
    </row>
    <row r="2935" spans="1:15" x14ac:dyDescent="0.25">
      <c r="A2935" s="35" t="s">
        <v>7328</v>
      </c>
      <c r="B2935" s="36" t="s">
        <v>7329</v>
      </c>
      <c r="C2935" s="36" t="str">
        <f>HYPERLINK("https://rhld.insurance.arkansas.gov/NPILookup?Npi=1497198865","1497198865")</f>
        <v>1497198865</v>
      </c>
      <c r="D2935" s="36" t="s">
        <v>35518</v>
      </c>
      <c r="E2935" s="36" t="s">
        <v>1</v>
      </c>
      <c r="F2935" s="36">
        <v>1</v>
      </c>
      <c r="G2935" s="36">
        <v>2</v>
      </c>
      <c r="H2935" s="36">
        <v>0</v>
      </c>
      <c r="I2935" s="37">
        <v>0</v>
      </c>
      <c r="J2935" s="36" t="s">
        <v>34836</v>
      </c>
      <c r="K2935" s="36" t="s">
        <v>14330</v>
      </c>
      <c r="L2935" s="36" t="s">
        <v>14330</v>
      </c>
      <c r="M2935">
        <v>3</v>
      </c>
      <c r="N2935" t="s">
        <v>14331</v>
      </c>
      <c r="O2935" t="s">
        <v>32633</v>
      </c>
    </row>
    <row r="2936" spans="1:15" x14ac:dyDescent="0.25">
      <c r="A2936" s="35" t="s">
        <v>7328</v>
      </c>
      <c r="B2936" s="36" t="s">
        <v>7329</v>
      </c>
      <c r="C2936" s="36" t="str">
        <f>HYPERLINK("https://rhld.insurance.arkansas.gov/NPILookup?Npi=1497246086","1497246086")</f>
        <v>1497246086</v>
      </c>
      <c r="D2936" s="36" t="s">
        <v>35519</v>
      </c>
      <c r="E2936" s="36" t="s">
        <v>1</v>
      </c>
      <c r="F2936" s="36">
        <v>1</v>
      </c>
      <c r="G2936" s="36">
        <v>3</v>
      </c>
      <c r="H2936" s="36">
        <v>0</v>
      </c>
      <c r="I2936" s="37">
        <v>0</v>
      </c>
      <c r="J2936" s="36" t="s">
        <v>32654</v>
      </c>
      <c r="K2936" s="36" t="s">
        <v>14330</v>
      </c>
      <c r="L2936" s="36" t="s">
        <v>14330</v>
      </c>
      <c r="M2936">
        <v>2</v>
      </c>
      <c r="N2936" t="s">
        <v>14331</v>
      </c>
      <c r="O2936" t="s">
        <v>32633</v>
      </c>
    </row>
    <row r="2937" spans="1:15" x14ac:dyDescent="0.25">
      <c r="A2937" s="35" t="s">
        <v>7328</v>
      </c>
      <c r="B2937" s="36" t="s">
        <v>7329</v>
      </c>
      <c r="C2937" s="36" t="str">
        <f>HYPERLINK("https://rhld.insurance.arkansas.gov/NPILookup?Npi=1497288138","1497288138")</f>
        <v>1497288138</v>
      </c>
      <c r="D2937" s="36" t="s">
        <v>35520</v>
      </c>
      <c r="E2937" s="36" t="s">
        <v>1</v>
      </c>
      <c r="F2937" s="36">
        <v>1</v>
      </c>
      <c r="G2937" s="36">
        <v>2</v>
      </c>
      <c r="H2937" s="36">
        <v>0</v>
      </c>
      <c r="I2937" s="37">
        <v>0</v>
      </c>
      <c r="J2937" s="36" t="s">
        <v>34836</v>
      </c>
      <c r="K2937" s="36" t="s">
        <v>14330</v>
      </c>
      <c r="L2937" s="36" t="s">
        <v>14330</v>
      </c>
      <c r="M2937">
        <v>3</v>
      </c>
      <c r="N2937" t="s">
        <v>14331</v>
      </c>
      <c r="O2937" t="s">
        <v>32633</v>
      </c>
    </row>
    <row r="2938" spans="1:15" x14ac:dyDescent="0.25">
      <c r="A2938" s="35" t="s">
        <v>7328</v>
      </c>
      <c r="B2938" s="36" t="s">
        <v>7329</v>
      </c>
      <c r="C2938" s="36" t="str">
        <f>HYPERLINK("https://rhld.insurance.arkansas.gov/NPILookup?Npi=1497332761","1497332761")</f>
        <v>1497332761</v>
      </c>
      <c r="D2938" s="36" t="s">
        <v>35521</v>
      </c>
      <c r="E2938" s="36" t="s">
        <v>1</v>
      </c>
      <c r="F2938" s="36">
        <v>1</v>
      </c>
      <c r="G2938" s="36">
        <v>3</v>
      </c>
      <c r="H2938" s="36">
        <v>0</v>
      </c>
      <c r="I2938" s="37">
        <v>0</v>
      </c>
      <c r="J2938" s="36" t="s">
        <v>32723</v>
      </c>
      <c r="K2938" s="36" t="s">
        <v>14330</v>
      </c>
      <c r="L2938" s="36" t="s">
        <v>14330</v>
      </c>
      <c r="M2938">
        <v>2</v>
      </c>
      <c r="N2938" t="s">
        <v>14331</v>
      </c>
      <c r="O2938" t="s">
        <v>32724</v>
      </c>
    </row>
    <row r="2939" spans="1:15" x14ac:dyDescent="0.25">
      <c r="A2939" s="35" t="s">
        <v>7328</v>
      </c>
      <c r="B2939" s="36" t="s">
        <v>7329</v>
      </c>
      <c r="C2939" s="36" t="str">
        <f>HYPERLINK("https://rhld.insurance.arkansas.gov/NPILookup?Npi=1497363444","1497363444")</f>
        <v>1497363444</v>
      </c>
      <c r="D2939" s="36" t="s">
        <v>35522</v>
      </c>
      <c r="E2939" s="36" t="s">
        <v>1</v>
      </c>
      <c r="F2939" s="36">
        <v>1</v>
      </c>
      <c r="G2939" s="36">
        <v>2</v>
      </c>
      <c r="H2939" s="36">
        <v>0</v>
      </c>
      <c r="I2939" s="37">
        <v>0</v>
      </c>
      <c r="J2939" s="36" t="s">
        <v>34836</v>
      </c>
      <c r="K2939" s="36" t="s">
        <v>14330</v>
      </c>
      <c r="L2939" s="36" t="s">
        <v>14330</v>
      </c>
      <c r="M2939">
        <v>3</v>
      </c>
      <c r="N2939" t="s">
        <v>14331</v>
      </c>
      <c r="O2939" t="s">
        <v>32633</v>
      </c>
    </row>
    <row r="2940" spans="1:15" x14ac:dyDescent="0.25">
      <c r="A2940" s="35" t="s">
        <v>7328</v>
      </c>
      <c r="B2940" s="36" t="s">
        <v>7329</v>
      </c>
      <c r="C2940" s="36" t="str">
        <f>HYPERLINK("https://rhld.insurance.arkansas.gov/NPILookup?Npi=1497376107","1497376107")</f>
        <v>1497376107</v>
      </c>
      <c r="D2940" s="36" t="s">
        <v>35523</v>
      </c>
      <c r="E2940" s="36" t="s">
        <v>1</v>
      </c>
      <c r="F2940" s="36">
        <v>1</v>
      </c>
      <c r="G2940" s="36">
        <v>3</v>
      </c>
      <c r="H2940" s="36">
        <v>0</v>
      </c>
      <c r="I2940" s="37">
        <v>0</v>
      </c>
      <c r="J2940" s="36" t="s">
        <v>32654</v>
      </c>
      <c r="K2940" s="36" t="s">
        <v>14330</v>
      </c>
      <c r="L2940" s="36" t="s">
        <v>14330</v>
      </c>
      <c r="M2940">
        <v>3</v>
      </c>
      <c r="N2940" t="s">
        <v>14331</v>
      </c>
      <c r="O2940" t="s">
        <v>32633</v>
      </c>
    </row>
    <row r="2941" spans="1:15" x14ac:dyDescent="0.25">
      <c r="A2941" s="35" t="s">
        <v>7328</v>
      </c>
      <c r="B2941" s="36" t="s">
        <v>7329</v>
      </c>
      <c r="C2941" s="36" t="str">
        <f>HYPERLINK("https://rhld.insurance.arkansas.gov/NPILookup?Npi=1497385009","1497385009")</f>
        <v>1497385009</v>
      </c>
      <c r="D2941" s="36" t="s">
        <v>35524</v>
      </c>
      <c r="E2941" s="36" t="s">
        <v>1</v>
      </c>
      <c r="F2941" s="36">
        <v>1</v>
      </c>
      <c r="G2941" s="36">
        <v>3</v>
      </c>
      <c r="H2941" s="36">
        <v>0</v>
      </c>
      <c r="I2941" s="37">
        <v>0</v>
      </c>
      <c r="J2941" s="36" t="s">
        <v>32654</v>
      </c>
      <c r="K2941" s="36" t="s">
        <v>14330</v>
      </c>
      <c r="L2941" s="36" t="s">
        <v>14330</v>
      </c>
      <c r="M2941">
        <v>2</v>
      </c>
      <c r="N2941" t="s">
        <v>14331</v>
      </c>
      <c r="O2941" t="s">
        <v>32633</v>
      </c>
    </row>
    <row r="2942" spans="1:15" x14ac:dyDescent="0.25">
      <c r="A2942" s="35" t="s">
        <v>7328</v>
      </c>
      <c r="B2942" s="36" t="s">
        <v>7329</v>
      </c>
      <c r="C2942" s="36" t="str">
        <f>HYPERLINK("https://rhld.insurance.arkansas.gov/NPILookup?Npi=1497415277","1497415277")</f>
        <v>1497415277</v>
      </c>
      <c r="D2942" s="36" t="s">
        <v>35525</v>
      </c>
      <c r="E2942" s="36" t="s">
        <v>1</v>
      </c>
      <c r="F2942" s="36">
        <v>1</v>
      </c>
      <c r="G2942" s="36">
        <v>2</v>
      </c>
      <c r="H2942" s="36">
        <v>0</v>
      </c>
      <c r="I2942" s="37">
        <v>0</v>
      </c>
      <c r="J2942" s="36" t="s">
        <v>32654</v>
      </c>
      <c r="K2942" s="36" t="s">
        <v>14330</v>
      </c>
      <c r="L2942" s="36" t="s">
        <v>14330</v>
      </c>
      <c r="M2942">
        <v>2</v>
      </c>
      <c r="N2942" t="s">
        <v>14331</v>
      </c>
      <c r="O2942" t="s">
        <v>32633</v>
      </c>
    </row>
    <row r="2943" spans="1:15" x14ac:dyDescent="0.25">
      <c r="A2943" s="35" t="s">
        <v>7328</v>
      </c>
      <c r="B2943" s="36" t="s">
        <v>7329</v>
      </c>
      <c r="C2943" s="36" t="str">
        <f>HYPERLINK("https://rhld.insurance.arkansas.gov/NPILookup?Npi=1497446975","1497446975")</f>
        <v>1497446975</v>
      </c>
      <c r="D2943" s="36" t="s">
        <v>35526</v>
      </c>
      <c r="E2943" s="36" t="s">
        <v>1</v>
      </c>
      <c r="F2943" s="36">
        <v>1</v>
      </c>
      <c r="G2943" s="36">
        <v>2</v>
      </c>
      <c r="H2943" s="36">
        <v>0</v>
      </c>
      <c r="I2943" s="37">
        <v>0</v>
      </c>
      <c r="J2943" s="36" t="s">
        <v>32654</v>
      </c>
      <c r="K2943" s="36" t="s">
        <v>14330</v>
      </c>
      <c r="L2943" s="36" t="s">
        <v>14330</v>
      </c>
      <c r="M2943">
        <v>2</v>
      </c>
      <c r="N2943" t="s">
        <v>14331</v>
      </c>
      <c r="O2943" t="s">
        <v>32633</v>
      </c>
    </row>
    <row r="2944" spans="1:15" x14ac:dyDescent="0.25">
      <c r="A2944" s="35" t="s">
        <v>7328</v>
      </c>
      <c r="B2944" s="36" t="s">
        <v>7329</v>
      </c>
      <c r="C2944" s="36" t="str">
        <f>HYPERLINK("https://rhld.insurance.arkansas.gov/NPILookup?Npi=1497493290","1497493290")</f>
        <v>1497493290</v>
      </c>
      <c r="D2944" s="36" t="s">
        <v>35527</v>
      </c>
      <c r="E2944" s="36" t="s">
        <v>2</v>
      </c>
      <c r="F2944" s="36">
        <v>1</v>
      </c>
      <c r="G2944" s="36">
        <v>2</v>
      </c>
      <c r="H2944" s="36">
        <v>0</v>
      </c>
      <c r="I2944" s="37">
        <v>0</v>
      </c>
      <c r="J2944" s="36"/>
      <c r="K2944" s="36" t="s">
        <v>14330</v>
      </c>
      <c r="L2944" s="36" t="s">
        <v>14330</v>
      </c>
      <c r="M2944">
        <v>2</v>
      </c>
      <c r="N2944" t="s">
        <v>14331</v>
      </c>
      <c r="O2944" t="s">
        <v>14333</v>
      </c>
    </row>
    <row r="2945" spans="1:15" x14ac:dyDescent="0.25">
      <c r="A2945" s="35" t="s">
        <v>7328</v>
      </c>
      <c r="B2945" s="36" t="s">
        <v>7329</v>
      </c>
      <c r="C2945" s="36" t="str">
        <f>HYPERLINK("https://rhld.insurance.arkansas.gov/NPILookup?Npi=1497562326","1497562326")</f>
        <v>1497562326</v>
      </c>
      <c r="D2945" s="36" t="s">
        <v>35528</v>
      </c>
      <c r="E2945" s="36" t="s">
        <v>2</v>
      </c>
      <c r="F2945" s="36">
        <v>1</v>
      </c>
      <c r="G2945" s="36">
        <v>2</v>
      </c>
      <c r="H2945" s="36">
        <v>0</v>
      </c>
      <c r="I2945" s="37">
        <v>0</v>
      </c>
      <c r="J2945" s="36"/>
      <c r="K2945" s="36" t="s">
        <v>14330</v>
      </c>
      <c r="L2945" s="36" t="s">
        <v>14330</v>
      </c>
      <c r="M2945">
        <v>1</v>
      </c>
      <c r="N2945" t="s">
        <v>14331</v>
      </c>
      <c r="O2945" t="s">
        <v>14333</v>
      </c>
    </row>
    <row r="2946" spans="1:15" x14ac:dyDescent="0.25">
      <c r="A2946" s="35" t="s">
        <v>7328</v>
      </c>
      <c r="B2946" s="36" t="s">
        <v>7329</v>
      </c>
      <c r="C2946" s="36" t="str">
        <f>HYPERLINK("https://rhld.insurance.arkansas.gov/NPILookup?Npi=1497564538","1497564538")</f>
        <v>1497564538</v>
      </c>
      <c r="D2946" s="36" t="s">
        <v>35529</v>
      </c>
      <c r="E2946" s="36" t="s">
        <v>2</v>
      </c>
      <c r="F2946" s="36">
        <v>1</v>
      </c>
      <c r="G2946" s="36">
        <v>1</v>
      </c>
      <c r="H2946" s="36">
        <v>0</v>
      </c>
      <c r="I2946" s="37">
        <v>0</v>
      </c>
      <c r="J2946" s="36"/>
      <c r="K2946" s="36" t="s">
        <v>14330</v>
      </c>
      <c r="L2946" s="36" t="s">
        <v>14330</v>
      </c>
      <c r="M2946">
        <v>3</v>
      </c>
      <c r="N2946" t="s">
        <v>14331</v>
      </c>
      <c r="O2946" t="s">
        <v>32633</v>
      </c>
    </row>
    <row r="2947" spans="1:15" x14ac:dyDescent="0.25">
      <c r="A2947" s="35" t="s">
        <v>7328</v>
      </c>
      <c r="B2947" s="36" t="s">
        <v>7329</v>
      </c>
      <c r="C2947" s="36" t="str">
        <f>HYPERLINK("https://rhld.insurance.arkansas.gov/NPILookup?Npi=1497986368","1497986368")</f>
        <v>1497986368</v>
      </c>
      <c r="D2947" s="36" t="s">
        <v>35530</v>
      </c>
      <c r="E2947" s="36" t="s">
        <v>1</v>
      </c>
      <c r="F2947" s="36">
        <v>1</v>
      </c>
      <c r="G2947" s="36">
        <v>3</v>
      </c>
      <c r="H2947" s="36">
        <v>0</v>
      </c>
      <c r="I2947" s="37">
        <v>0</v>
      </c>
      <c r="J2947" s="36" t="s">
        <v>34836</v>
      </c>
      <c r="K2947" s="36" t="s">
        <v>14330</v>
      </c>
      <c r="L2947" s="36" t="s">
        <v>14330</v>
      </c>
      <c r="M2947">
        <v>3</v>
      </c>
      <c r="N2947" t="s">
        <v>14331</v>
      </c>
      <c r="O2947" t="s">
        <v>32633</v>
      </c>
    </row>
    <row r="2948" spans="1:15" x14ac:dyDescent="0.25">
      <c r="A2948" s="35" t="s">
        <v>7328</v>
      </c>
      <c r="B2948" s="36" t="s">
        <v>7329</v>
      </c>
      <c r="C2948" s="36" t="str">
        <f>HYPERLINK("https://rhld.insurance.arkansas.gov/NPILookup?Npi=1508038597","1508038597")</f>
        <v>1508038597</v>
      </c>
      <c r="D2948" s="36" t="s">
        <v>35531</v>
      </c>
      <c r="E2948" s="36" t="s">
        <v>1</v>
      </c>
      <c r="F2948" s="36">
        <v>1</v>
      </c>
      <c r="G2948" s="36">
        <v>3</v>
      </c>
      <c r="H2948" s="36">
        <v>0</v>
      </c>
      <c r="I2948" s="37">
        <v>0</v>
      </c>
      <c r="J2948" s="36" t="s">
        <v>34836</v>
      </c>
      <c r="K2948" s="36" t="s">
        <v>14330</v>
      </c>
      <c r="L2948" s="36" t="s">
        <v>14330</v>
      </c>
      <c r="M2948">
        <v>2</v>
      </c>
      <c r="N2948" t="s">
        <v>14331</v>
      </c>
      <c r="O2948" t="s">
        <v>32633</v>
      </c>
    </row>
    <row r="2949" spans="1:15" x14ac:dyDescent="0.25">
      <c r="A2949" s="35" t="s">
        <v>7328</v>
      </c>
      <c r="B2949" s="36" t="s">
        <v>7329</v>
      </c>
      <c r="C2949" s="36" t="str">
        <f>HYPERLINK("https://rhld.insurance.arkansas.gov/NPILookup?Npi=1508099367","1508099367")</f>
        <v>1508099367</v>
      </c>
      <c r="D2949" s="36" t="s">
        <v>35532</v>
      </c>
      <c r="E2949" s="36" t="s">
        <v>2</v>
      </c>
      <c r="F2949" s="36">
        <v>1</v>
      </c>
      <c r="G2949" s="36">
        <v>2</v>
      </c>
      <c r="H2949" s="36">
        <v>0</v>
      </c>
      <c r="I2949" s="37">
        <v>0</v>
      </c>
      <c r="J2949" s="36" t="s">
        <v>32679</v>
      </c>
      <c r="K2949" s="36" t="s">
        <v>14330</v>
      </c>
      <c r="L2949" s="36" t="s">
        <v>14330</v>
      </c>
      <c r="M2949">
        <v>2</v>
      </c>
      <c r="N2949" t="s">
        <v>14331</v>
      </c>
      <c r="O2949" t="s">
        <v>14333</v>
      </c>
    </row>
    <row r="2950" spans="1:15" x14ac:dyDescent="0.25">
      <c r="A2950" s="35" t="s">
        <v>7328</v>
      </c>
      <c r="B2950" s="36" t="s">
        <v>7329</v>
      </c>
      <c r="C2950" s="36" t="str">
        <f>HYPERLINK("https://rhld.insurance.arkansas.gov/NPILookup?Npi=1508216300","1508216300")</f>
        <v>1508216300</v>
      </c>
      <c r="D2950" s="36" t="s">
        <v>35533</v>
      </c>
      <c r="E2950" s="36" t="s">
        <v>1</v>
      </c>
      <c r="F2950" s="36">
        <v>1</v>
      </c>
      <c r="G2950" s="36">
        <v>2</v>
      </c>
      <c r="H2950" s="36">
        <v>0</v>
      </c>
      <c r="I2950" s="37">
        <v>0</v>
      </c>
      <c r="J2950" s="36" t="s">
        <v>32654</v>
      </c>
      <c r="K2950" s="36" t="s">
        <v>14330</v>
      </c>
      <c r="L2950" s="36" t="s">
        <v>14330</v>
      </c>
      <c r="M2950">
        <v>3</v>
      </c>
      <c r="N2950" t="s">
        <v>14331</v>
      </c>
      <c r="O2950" t="s">
        <v>32633</v>
      </c>
    </row>
    <row r="2951" spans="1:15" x14ac:dyDescent="0.25">
      <c r="A2951" s="35" t="s">
        <v>7328</v>
      </c>
      <c r="B2951" s="36" t="s">
        <v>7329</v>
      </c>
      <c r="C2951" s="36" t="str">
        <f>HYPERLINK("https://rhld.insurance.arkansas.gov/NPILookup?Npi=1508236027","1508236027")</f>
        <v>1508236027</v>
      </c>
      <c r="D2951" s="36" t="s">
        <v>35534</v>
      </c>
      <c r="E2951" s="36" t="s">
        <v>1</v>
      </c>
      <c r="F2951" s="36">
        <v>1</v>
      </c>
      <c r="G2951" s="36">
        <v>3</v>
      </c>
      <c r="H2951" s="36">
        <v>0</v>
      </c>
      <c r="I2951" s="37">
        <v>0</v>
      </c>
      <c r="J2951" s="36" t="s">
        <v>32723</v>
      </c>
      <c r="K2951" s="36" t="s">
        <v>14330</v>
      </c>
      <c r="L2951" s="36" t="s">
        <v>14330</v>
      </c>
      <c r="M2951">
        <v>2</v>
      </c>
      <c r="N2951" t="s">
        <v>14331</v>
      </c>
      <c r="O2951" t="s">
        <v>32724</v>
      </c>
    </row>
    <row r="2952" spans="1:15" x14ac:dyDescent="0.25">
      <c r="A2952" s="35" t="s">
        <v>7328</v>
      </c>
      <c r="B2952" s="36" t="s">
        <v>7329</v>
      </c>
      <c r="C2952" s="36" t="str">
        <f>HYPERLINK("https://rhld.insurance.arkansas.gov/NPILookup?Npi=1508276932","1508276932")</f>
        <v>1508276932</v>
      </c>
      <c r="D2952" s="36" t="s">
        <v>35535</v>
      </c>
      <c r="E2952" s="36" t="s">
        <v>1</v>
      </c>
      <c r="F2952" s="36">
        <v>1</v>
      </c>
      <c r="G2952" s="36">
        <v>2</v>
      </c>
      <c r="H2952" s="36">
        <v>0</v>
      </c>
      <c r="I2952" s="37">
        <v>0</v>
      </c>
      <c r="J2952" s="36" t="s">
        <v>34836</v>
      </c>
      <c r="K2952" s="36" t="s">
        <v>14330</v>
      </c>
      <c r="L2952" s="36" t="s">
        <v>14330</v>
      </c>
      <c r="M2952">
        <v>3</v>
      </c>
      <c r="N2952" t="s">
        <v>14331</v>
      </c>
      <c r="O2952" t="s">
        <v>32633</v>
      </c>
    </row>
    <row r="2953" spans="1:15" x14ac:dyDescent="0.25">
      <c r="A2953" s="35" t="s">
        <v>7328</v>
      </c>
      <c r="B2953" s="36" t="s">
        <v>7329</v>
      </c>
      <c r="C2953" s="36" t="str">
        <f>HYPERLINK("https://rhld.insurance.arkansas.gov/NPILookup?Npi=1508362989","1508362989")</f>
        <v>1508362989</v>
      </c>
      <c r="D2953" s="36" t="s">
        <v>35536</v>
      </c>
      <c r="E2953" s="36" t="s">
        <v>1</v>
      </c>
      <c r="F2953" s="36">
        <v>1</v>
      </c>
      <c r="G2953" s="36">
        <v>3</v>
      </c>
      <c r="H2953" s="36">
        <v>0</v>
      </c>
      <c r="I2953" s="37">
        <v>0</v>
      </c>
      <c r="J2953" s="36" t="s">
        <v>34836</v>
      </c>
      <c r="K2953" s="36" t="s">
        <v>14330</v>
      </c>
      <c r="L2953" s="36" t="s">
        <v>14330</v>
      </c>
      <c r="M2953">
        <v>2</v>
      </c>
      <c r="N2953" t="s">
        <v>14331</v>
      </c>
      <c r="O2953" t="s">
        <v>32633</v>
      </c>
    </row>
    <row r="2954" spans="1:15" x14ac:dyDescent="0.25">
      <c r="A2954" s="35" t="s">
        <v>7328</v>
      </c>
      <c r="B2954" s="36" t="s">
        <v>7329</v>
      </c>
      <c r="C2954" s="36" t="str">
        <f>HYPERLINK("https://rhld.insurance.arkansas.gov/NPILookup?Npi=1508377094","1508377094")</f>
        <v>1508377094</v>
      </c>
      <c r="D2954" s="36" t="s">
        <v>35537</v>
      </c>
      <c r="E2954" s="36" t="s">
        <v>2</v>
      </c>
      <c r="F2954" s="36">
        <v>1</v>
      </c>
      <c r="G2954" s="36">
        <v>2</v>
      </c>
      <c r="H2954" s="36">
        <v>0</v>
      </c>
      <c r="I2954" s="37">
        <v>0</v>
      </c>
      <c r="J2954" s="36"/>
      <c r="K2954" s="36" t="s">
        <v>14330</v>
      </c>
      <c r="L2954" s="36" t="s">
        <v>14330</v>
      </c>
      <c r="M2954">
        <v>2</v>
      </c>
      <c r="N2954" t="s">
        <v>14331</v>
      </c>
      <c r="O2954" t="s">
        <v>14333</v>
      </c>
    </row>
    <row r="2955" spans="1:15" x14ac:dyDescent="0.25">
      <c r="A2955" s="35" t="s">
        <v>7328</v>
      </c>
      <c r="B2955" s="36" t="s">
        <v>7329</v>
      </c>
      <c r="C2955" s="36" t="str">
        <f>HYPERLINK("https://rhld.insurance.arkansas.gov/NPILookup?Npi=1508439456","1508439456")</f>
        <v>1508439456</v>
      </c>
      <c r="D2955" s="36" t="s">
        <v>35538</v>
      </c>
      <c r="E2955" s="36" t="s">
        <v>1</v>
      </c>
      <c r="F2955" s="36">
        <v>1</v>
      </c>
      <c r="G2955" s="36">
        <v>2</v>
      </c>
      <c r="H2955" s="36">
        <v>0</v>
      </c>
      <c r="I2955" s="37">
        <v>0</v>
      </c>
      <c r="J2955" s="36" t="s">
        <v>32654</v>
      </c>
      <c r="K2955" s="36" t="s">
        <v>14330</v>
      </c>
      <c r="L2955" s="36" t="s">
        <v>14330</v>
      </c>
      <c r="M2955">
        <v>2</v>
      </c>
      <c r="N2955" t="s">
        <v>14331</v>
      </c>
      <c r="O2955" t="s">
        <v>32633</v>
      </c>
    </row>
    <row r="2956" spans="1:15" x14ac:dyDescent="0.25">
      <c r="A2956" s="35" t="s">
        <v>7328</v>
      </c>
      <c r="B2956" s="36" t="s">
        <v>7329</v>
      </c>
      <c r="C2956" s="36" t="str">
        <f>HYPERLINK("https://rhld.insurance.arkansas.gov/NPILookup?Npi=1508477563","1508477563")</f>
        <v>1508477563</v>
      </c>
      <c r="D2956" s="36" t="s">
        <v>33671</v>
      </c>
      <c r="E2956" s="36" t="s">
        <v>2</v>
      </c>
      <c r="F2956" s="36">
        <v>1</v>
      </c>
      <c r="G2956" s="36">
        <v>2</v>
      </c>
      <c r="H2956" s="36">
        <v>0</v>
      </c>
      <c r="I2956" s="37">
        <v>0</v>
      </c>
      <c r="J2956" s="36"/>
      <c r="K2956" s="36" t="s">
        <v>14330</v>
      </c>
      <c r="L2956" s="36" t="s">
        <v>14330</v>
      </c>
      <c r="M2956">
        <v>2</v>
      </c>
      <c r="N2956" t="s">
        <v>14331</v>
      </c>
      <c r="O2956" t="s">
        <v>14333</v>
      </c>
    </row>
    <row r="2957" spans="1:15" x14ac:dyDescent="0.25">
      <c r="A2957" s="35" t="s">
        <v>7328</v>
      </c>
      <c r="B2957" s="36" t="s">
        <v>7329</v>
      </c>
      <c r="C2957" s="36" t="str">
        <f>HYPERLINK("https://rhld.insurance.arkansas.gov/NPILookup?Npi=1508478066","1508478066")</f>
        <v>1508478066</v>
      </c>
      <c r="D2957" s="36" t="s">
        <v>35539</v>
      </c>
      <c r="E2957" s="36" t="s">
        <v>1</v>
      </c>
      <c r="F2957" s="36">
        <v>1</v>
      </c>
      <c r="G2957" s="36">
        <v>2</v>
      </c>
      <c r="H2957" s="36">
        <v>0</v>
      </c>
      <c r="I2957" s="37">
        <v>0</v>
      </c>
      <c r="J2957" s="36" t="s">
        <v>32654</v>
      </c>
      <c r="K2957" s="36" t="s">
        <v>14330</v>
      </c>
      <c r="L2957" s="36" t="s">
        <v>14330</v>
      </c>
      <c r="M2957">
        <v>3</v>
      </c>
      <c r="N2957" t="s">
        <v>14331</v>
      </c>
      <c r="O2957" t="s">
        <v>32633</v>
      </c>
    </row>
    <row r="2958" spans="1:15" x14ac:dyDescent="0.25">
      <c r="A2958" s="35" t="s">
        <v>7328</v>
      </c>
      <c r="B2958" s="36" t="s">
        <v>7329</v>
      </c>
      <c r="C2958" s="36" t="str">
        <f>HYPERLINK("https://rhld.insurance.arkansas.gov/NPILookup?Npi=1508487042","1508487042")</f>
        <v>1508487042</v>
      </c>
      <c r="D2958" s="36" t="s">
        <v>35540</v>
      </c>
      <c r="E2958" s="36" t="s">
        <v>1</v>
      </c>
      <c r="F2958" s="36">
        <v>1</v>
      </c>
      <c r="G2958" s="36">
        <v>3</v>
      </c>
      <c r="H2958" s="36">
        <v>0</v>
      </c>
      <c r="I2958" s="37">
        <v>0</v>
      </c>
      <c r="J2958" s="36" t="s">
        <v>32654</v>
      </c>
      <c r="K2958" s="36" t="s">
        <v>14330</v>
      </c>
      <c r="L2958" s="36" t="s">
        <v>14330</v>
      </c>
      <c r="M2958">
        <v>2</v>
      </c>
      <c r="N2958" t="s">
        <v>14331</v>
      </c>
      <c r="O2958" t="s">
        <v>32633</v>
      </c>
    </row>
    <row r="2959" spans="1:15" x14ac:dyDescent="0.25">
      <c r="A2959" s="35" t="s">
        <v>7328</v>
      </c>
      <c r="B2959" s="36" t="s">
        <v>7329</v>
      </c>
      <c r="C2959" s="36" t="str">
        <f>HYPERLINK("https://rhld.insurance.arkansas.gov/NPILookup?Npi=1508509092","1508509092")</f>
        <v>1508509092</v>
      </c>
      <c r="D2959" s="36" t="s">
        <v>35541</v>
      </c>
      <c r="E2959" s="36" t="s">
        <v>2</v>
      </c>
      <c r="F2959" s="36">
        <v>1</v>
      </c>
      <c r="G2959" s="36">
        <v>2</v>
      </c>
      <c r="H2959" s="36">
        <v>0</v>
      </c>
      <c r="I2959" s="37">
        <v>0</v>
      </c>
      <c r="J2959" s="36"/>
      <c r="K2959" s="36" t="s">
        <v>14330</v>
      </c>
      <c r="L2959" s="36" t="s">
        <v>14330</v>
      </c>
      <c r="M2959">
        <v>1</v>
      </c>
      <c r="N2959" t="s">
        <v>14331</v>
      </c>
      <c r="O2959" t="s">
        <v>14333</v>
      </c>
    </row>
    <row r="2960" spans="1:15" x14ac:dyDescent="0.25">
      <c r="A2960" s="35" t="s">
        <v>7328</v>
      </c>
      <c r="B2960" s="36" t="s">
        <v>7329</v>
      </c>
      <c r="C2960" s="36" t="str">
        <f>HYPERLINK("https://rhld.insurance.arkansas.gov/NPILookup?Npi=1508547787","1508547787")</f>
        <v>1508547787</v>
      </c>
      <c r="D2960" s="36" t="s">
        <v>35542</v>
      </c>
      <c r="E2960" s="36" t="s">
        <v>2</v>
      </c>
      <c r="F2960" s="36">
        <v>2</v>
      </c>
      <c r="G2960" s="36">
        <v>1</v>
      </c>
      <c r="H2960" s="36">
        <v>0</v>
      </c>
      <c r="I2960" s="37">
        <v>0</v>
      </c>
      <c r="J2960" s="36" t="s">
        <v>33004</v>
      </c>
      <c r="K2960" s="36" t="s">
        <v>14330</v>
      </c>
      <c r="L2960" s="36" t="s">
        <v>14330</v>
      </c>
      <c r="M2960">
        <v>2</v>
      </c>
      <c r="N2960" t="s">
        <v>14331</v>
      </c>
      <c r="O2960" t="s">
        <v>32633</v>
      </c>
    </row>
    <row r="2961" spans="1:15" x14ac:dyDescent="0.25">
      <c r="A2961" s="35" t="s">
        <v>7328</v>
      </c>
      <c r="B2961" s="36" t="s">
        <v>7329</v>
      </c>
      <c r="C2961" s="36" t="str">
        <f>HYPERLINK("https://rhld.insurance.arkansas.gov/NPILookup?Npi=1508564386","1508564386")</f>
        <v>1508564386</v>
      </c>
      <c r="D2961" s="36" t="s">
        <v>34742</v>
      </c>
      <c r="E2961" s="36" t="s">
        <v>2</v>
      </c>
      <c r="F2961" s="36">
        <v>1</v>
      </c>
      <c r="G2961" s="36">
        <v>2</v>
      </c>
      <c r="H2961" s="36">
        <v>0</v>
      </c>
      <c r="I2961" s="37">
        <v>0</v>
      </c>
      <c r="J2961" s="36"/>
      <c r="K2961" s="36" t="s">
        <v>14330</v>
      </c>
      <c r="L2961" s="36" t="s">
        <v>14330</v>
      </c>
      <c r="M2961">
        <v>2</v>
      </c>
      <c r="N2961" t="s">
        <v>14331</v>
      </c>
      <c r="O2961" t="s">
        <v>14333</v>
      </c>
    </row>
    <row r="2962" spans="1:15" x14ac:dyDescent="0.25">
      <c r="A2962" s="35" t="s">
        <v>7328</v>
      </c>
      <c r="B2962" s="36" t="s">
        <v>7329</v>
      </c>
      <c r="C2962" s="36" t="str">
        <f>HYPERLINK("https://rhld.insurance.arkansas.gov/NPILookup?Npi=1508599622","1508599622")</f>
        <v>1508599622</v>
      </c>
      <c r="D2962" s="36" t="s">
        <v>34743</v>
      </c>
      <c r="E2962" s="36" t="s">
        <v>2</v>
      </c>
      <c r="F2962" s="36">
        <v>1</v>
      </c>
      <c r="G2962" s="36">
        <v>2</v>
      </c>
      <c r="H2962" s="36">
        <v>0</v>
      </c>
      <c r="I2962" s="37">
        <v>0</v>
      </c>
      <c r="J2962" s="36"/>
      <c r="K2962" s="36" t="s">
        <v>14330</v>
      </c>
      <c r="L2962" s="36" t="s">
        <v>14330</v>
      </c>
      <c r="M2962">
        <v>2</v>
      </c>
      <c r="N2962" t="s">
        <v>14331</v>
      </c>
      <c r="O2962" t="s">
        <v>14333</v>
      </c>
    </row>
    <row r="2963" spans="1:15" x14ac:dyDescent="0.25">
      <c r="A2963" s="35" t="s">
        <v>7328</v>
      </c>
      <c r="B2963" s="36" t="s">
        <v>7329</v>
      </c>
      <c r="C2963" s="36" t="str">
        <f>HYPERLINK("https://rhld.insurance.arkansas.gov/NPILookup?Npi=1508617549","1508617549")</f>
        <v>1508617549</v>
      </c>
      <c r="D2963" s="36" t="s">
        <v>34744</v>
      </c>
      <c r="E2963" s="36" t="s">
        <v>2</v>
      </c>
      <c r="F2963" s="36">
        <v>1</v>
      </c>
      <c r="G2963" s="36">
        <v>2</v>
      </c>
      <c r="H2963" s="36">
        <v>0</v>
      </c>
      <c r="I2963" s="37">
        <v>0</v>
      </c>
      <c r="J2963" s="36"/>
      <c r="K2963" s="36" t="s">
        <v>14330</v>
      </c>
      <c r="L2963" s="36" t="s">
        <v>14330</v>
      </c>
      <c r="M2963">
        <v>3</v>
      </c>
      <c r="N2963" t="s">
        <v>14331</v>
      </c>
      <c r="O2963" t="s">
        <v>14333</v>
      </c>
    </row>
    <row r="2964" spans="1:15" x14ac:dyDescent="0.25">
      <c r="A2964" s="35" t="s">
        <v>7328</v>
      </c>
      <c r="B2964" s="36" t="s">
        <v>7329</v>
      </c>
      <c r="C2964" s="36" t="str">
        <f>HYPERLINK("https://rhld.insurance.arkansas.gov/NPILookup?Npi=1508644402","1508644402")</f>
        <v>1508644402</v>
      </c>
      <c r="D2964" s="36" t="s">
        <v>35543</v>
      </c>
      <c r="E2964" s="36" t="s">
        <v>1</v>
      </c>
      <c r="F2964" s="36">
        <v>1</v>
      </c>
      <c r="G2964" s="36">
        <v>3</v>
      </c>
      <c r="H2964" s="36">
        <v>0</v>
      </c>
      <c r="I2964" s="37">
        <v>0</v>
      </c>
      <c r="J2964" s="36" t="s">
        <v>32723</v>
      </c>
      <c r="K2964" s="36" t="s">
        <v>14330</v>
      </c>
      <c r="L2964" s="36" t="s">
        <v>14330</v>
      </c>
      <c r="M2964">
        <v>3</v>
      </c>
      <c r="N2964" t="s">
        <v>14331</v>
      </c>
      <c r="O2964" t="s">
        <v>32724</v>
      </c>
    </row>
    <row r="2965" spans="1:15" x14ac:dyDescent="0.25">
      <c r="A2965" s="35" t="s">
        <v>7328</v>
      </c>
      <c r="B2965" s="36" t="s">
        <v>7329</v>
      </c>
      <c r="C2965" s="36" t="str">
        <f>HYPERLINK("https://rhld.insurance.arkansas.gov/NPILookup?Npi=1508825647","1508825647")</f>
        <v>1508825647</v>
      </c>
      <c r="D2965" s="36" t="s">
        <v>35544</v>
      </c>
      <c r="E2965" s="36" t="s">
        <v>1</v>
      </c>
      <c r="F2965" s="36">
        <v>1</v>
      </c>
      <c r="G2965" s="36">
        <v>3</v>
      </c>
      <c r="H2965" s="36">
        <v>0</v>
      </c>
      <c r="I2965" s="37">
        <v>0</v>
      </c>
      <c r="J2965" s="36" t="s">
        <v>34836</v>
      </c>
      <c r="K2965" s="36" t="s">
        <v>14330</v>
      </c>
      <c r="L2965" s="36" t="s">
        <v>14330</v>
      </c>
      <c r="M2965">
        <v>3</v>
      </c>
      <c r="N2965" t="s">
        <v>14331</v>
      </c>
      <c r="O2965" t="s">
        <v>32633</v>
      </c>
    </row>
    <row r="2966" spans="1:15" x14ac:dyDescent="0.25">
      <c r="A2966" s="35" t="s">
        <v>7328</v>
      </c>
      <c r="B2966" s="36" t="s">
        <v>7329</v>
      </c>
      <c r="C2966" s="36" t="str">
        <f>HYPERLINK("https://rhld.insurance.arkansas.gov/NPILookup?Npi=1508863267","1508863267")</f>
        <v>1508863267</v>
      </c>
      <c r="D2966" s="36" t="s">
        <v>33216</v>
      </c>
      <c r="E2966" s="36" t="s">
        <v>1</v>
      </c>
      <c r="F2966" s="36">
        <v>1</v>
      </c>
      <c r="G2966" s="36">
        <v>3</v>
      </c>
      <c r="H2966" s="36">
        <v>0</v>
      </c>
      <c r="I2966" s="37">
        <v>0</v>
      </c>
      <c r="J2966" s="36" t="s">
        <v>14335</v>
      </c>
      <c r="K2966" s="36" t="s">
        <v>14330</v>
      </c>
      <c r="L2966" s="36" t="s">
        <v>14330</v>
      </c>
      <c r="M2966">
        <v>3</v>
      </c>
      <c r="N2966" t="s">
        <v>14331</v>
      </c>
      <c r="O2966" t="s">
        <v>32633</v>
      </c>
    </row>
    <row r="2967" spans="1:15" x14ac:dyDescent="0.25">
      <c r="A2967" s="35" t="s">
        <v>7328</v>
      </c>
      <c r="B2967" s="36" t="s">
        <v>7329</v>
      </c>
      <c r="C2967" s="36" t="str">
        <f>HYPERLINK("https://rhld.insurance.arkansas.gov/NPILookup?Npi=1508895988","1508895988")</f>
        <v>1508895988</v>
      </c>
      <c r="D2967" s="36" t="s">
        <v>35545</v>
      </c>
      <c r="E2967" s="36" t="s">
        <v>1</v>
      </c>
      <c r="F2967" s="36">
        <v>1</v>
      </c>
      <c r="G2967" s="36">
        <v>3</v>
      </c>
      <c r="H2967" s="36">
        <v>0</v>
      </c>
      <c r="I2967" s="37">
        <v>0</v>
      </c>
      <c r="J2967" s="36" t="s">
        <v>32654</v>
      </c>
      <c r="K2967" s="36" t="s">
        <v>14330</v>
      </c>
      <c r="L2967" s="36" t="s">
        <v>14330</v>
      </c>
      <c r="M2967">
        <v>3</v>
      </c>
      <c r="N2967" t="s">
        <v>14331</v>
      </c>
      <c r="O2967" t="s">
        <v>32633</v>
      </c>
    </row>
    <row r="2968" spans="1:15" x14ac:dyDescent="0.25">
      <c r="A2968" s="35" t="s">
        <v>7328</v>
      </c>
      <c r="B2968" s="36" t="s">
        <v>7329</v>
      </c>
      <c r="C2968" s="36" t="str">
        <f>HYPERLINK("https://rhld.insurance.arkansas.gov/NPILookup?Npi=1518181767","1518181767")</f>
        <v>1518181767</v>
      </c>
      <c r="D2968" s="36" t="s">
        <v>35546</v>
      </c>
      <c r="E2968" s="36" t="s">
        <v>1</v>
      </c>
      <c r="F2968" s="36">
        <v>1</v>
      </c>
      <c r="G2968" s="36">
        <v>3</v>
      </c>
      <c r="H2968" s="36">
        <v>0</v>
      </c>
      <c r="I2968" s="37">
        <v>0</v>
      </c>
      <c r="J2968" s="36" t="s">
        <v>34836</v>
      </c>
      <c r="K2968" s="36" t="s">
        <v>14330</v>
      </c>
      <c r="L2968" s="36" t="s">
        <v>14330</v>
      </c>
      <c r="M2968">
        <v>2</v>
      </c>
      <c r="N2968" t="s">
        <v>14331</v>
      </c>
      <c r="O2968" t="s">
        <v>32633</v>
      </c>
    </row>
    <row r="2969" spans="1:15" x14ac:dyDescent="0.25">
      <c r="A2969" s="35" t="s">
        <v>7328</v>
      </c>
      <c r="B2969" s="36" t="s">
        <v>7329</v>
      </c>
      <c r="C2969" s="36" t="str">
        <f>HYPERLINK("https://rhld.insurance.arkansas.gov/NPILookup?Npi=1518220862","1518220862")</f>
        <v>1518220862</v>
      </c>
      <c r="D2969" s="36" t="s">
        <v>35547</v>
      </c>
      <c r="E2969" s="36" t="s">
        <v>1</v>
      </c>
      <c r="F2969" s="36">
        <v>1</v>
      </c>
      <c r="G2969" s="36">
        <v>2</v>
      </c>
      <c r="H2969" s="36">
        <v>0</v>
      </c>
      <c r="I2969" s="37">
        <v>0</v>
      </c>
      <c r="J2969" s="36" t="s">
        <v>32654</v>
      </c>
      <c r="K2969" s="36" t="s">
        <v>14330</v>
      </c>
      <c r="L2969" s="36" t="s">
        <v>14330</v>
      </c>
      <c r="M2969">
        <v>2</v>
      </c>
      <c r="N2969" t="s">
        <v>14331</v>
      </c>
      <c r="O2969" t="s">
        <v>32633</v>
      </c>
    </row>
    <row r="2970" spans="1:15" x14ac:dyDescent="0.25">
      <c r="A2970" s="35" t="s">
        <v>7328</v>
      </c>
      <c r="B2970" s="36" t="s">
        <v>7329</v>
      </c>
      <c r="C2970" s="36" t="str">
        <f>HYPERLINK("https://rhld.insurance.arkansas.gov/NPILookup?Npi=1518225762","1518225762")</f>
        <v>1518225762</v>
      </c>
      <c r="D2970" s="36" t="s">
        <v>32704</v>
      </c>
      <c r="E2970" s="36" t="s">
        <v>1</v>
      </c>
      <c r="F2970" s="36">
        <v>1</v>
      </c>
      <c r="G2970" s="36">
        <v>2</v>
      </c>
      <c r="H2970" s="36">
        <v>0</v>
      </c>
      <c r="I2970" s="37">
        <v>0</v>
      </c>
      <c r="J2970" s="36" t="s">
        <v>34836</v>
      </c>
      <c r="K2970" s="36" t="s">
        <v>14330</v>
      </c>
      <c r="L2970" s="36" t="s">
        <v>14330</v>
      </c>
      <c r="M2970">
        <v>2</v>
      </c>
      <c r="N2970" t="s">
        <v>14331</v>
      </c>
      <c r="O2970" t="s">
        <v>32633</v>
      </c>
    </row>
    <row r="2971" spans="1:15" x14ac:dyDescent="0.25">
      <c r="A2971" s="35" t="s">
        <v>7328</v>
      </c>
      <c r="B2971" s="36" t="s">
        <v>7329</v>
      </c>
      <c r="C2971" s="36" t="str">
        <f>HYPERLINK("https://rhld.insurance.arkansas.gov/NPILookup?Npi=1518348549","1518348549")</f>
        <v>1518348549</v>
      </c>
      <c r="D2971" s="36" t="s">
        <v>35548</v>
      </c>
      <c r="E2971" s="36" t="s">
        <v>1</v>
      </c>
      <c r="F2971" s="36">
        <v>1</v>
      </c>
      <c r="G2971" s="36">
        <v>2</v>
      </c>
      <c r="H2971" s="36">
        <v>0</v>
      </c>
      <c r="I2971" s="37">
        <v>0</v>
      </c>
      <c r="J2971" s="36" t="s">
        <v>34836</v>
      </c>
      <c r="K2971" s="36" t="s">
        <v>14330</v>
      </c>
      <c r="L2971" s="36" t="s">
        <v>14330</v>
      </c>
      <c r="M2971">
        <v>3</v>
      </c>
      <c r="N2971" t="s">
        <v>14331</v>
      </c>
      <c r="O2971" t="s">
        <v>32633</v>
      </c>
    </row>
    <row r="2972" spans="1:15" x14ac:dyDescent="0.25">
      <c r="A2972" s="35" t="s">
        <v>7328</v>
      </c>
      <c r="B2972" s="36" t="s">
        <v>7329</v>
      </c>
      <c r="C2972" s="36" t="str">
        <f>HYPERLINK("https://rhld.insurance.arkansas.gov/NPILookup?Npi=1518434745","1518434745")</f>
        <v>1518434745</v>
      </c>
      <c r="D2972" s="36" t="s">
        <v>35549</v>
      </c>
      <c r="E2972" s="36" t="s">
        <v>1</v>
      </c>
      <c r="F2972" s="36">
        <v>1</v>
      </c>
      <c r="G2972" s="36">
        <v>3</v>
      </c>
      <c r="H2972" s="36">
        <v>0</v>
      </c>
      <c r="I2972" s="37">
        <v>0</v>
      </c>
      <c r="J2972" s="36" t="s">
        <v>32654</v>
      </c>
      <c r="K2972" s="36" t="s">
        <v>14330</v>
      </c>
      <c r="L2972" s="36" t="s">
        <v>14330</v>
      </c>
      <c r="M2972">
        <v>2</v>
      </c>
      <c r="N2972" t="s">
        <v>14331</v>
      </c>
      <c r="O2972" t="s">
        <v>32633</v>
      </c>
    </row>
    <row r="2973" spans="1:15" x14ac:dyDescent="0.25">
      <c r="A2973" s="35" t="s">
        <v>7328</v>
      </c>
      <c r="B2973" s="36" t="s">
        <v>7329</v>
      </c>
      <c r="C2973" s="36" t="str">
        <f>HYPERLINK("https://rhld.insurance.arkansas.gov/NPILookup?Npi=1518443415","1518443415")</f>
        <v>1518443415</v>
      </c>
      <c r="D2973" s="36" t="s">
        <v>35550</v>
      </c>
      <c r="E2973" s="36" t="s">
        <v>2</v>
      </c>
      <c r="F2973" s="36">
        <v>1</v>
      </c>
      <c r="G2973" s="36">
        <v>2</v>
      </c>
      <c r="H2973" s="36">
        <v>0</v>
      </c>
      <c r="I2973" s="37">
        <v>0</v>
      </c>
      <c r="J2973" s="36"/>
      <c r="K2973" s="36" t="s">
        <v>14330</v>
      </c>
      <c r="L2973" s="36" t="s">
        <v>14330</v>
      </c>
      <c r="M2973">
        <v>1</v>
      </c>
      <c r="N2973" t="s">
        <v>14331</v>
      </c>
      <c r="O2973" t="s">
        <v>14333</v>
      </c>
    </row>
    <row r="2974" spans="1:15" x14ac:dyDescent="0.25">
      <c r="A2974" s="35" t="s">
        <v>7328</v>
      </c>
      <c r="B2974" s="36" t="s">
        <v>7329</v>
      </c>
      <c r="C2974" s="36" t="str">
        <f>HYPERLINK("https://rhld.insurance.arkansas.gov/NPILookup?Npi=1518469782","1518469782")</f>
        <v>1518469782</v>
      </c>
      <c r="D2974" s="36" t="s">
        <v>35551</v>
      </c>
      <c r="E2974" s="36" t="s">
        <v>1</v>
      </c>
      <c r="F2974" s="36">
        <v>1</v>
      </c>
      <c r="G2974" s="36">
        <v>1</v>
      </c>
      <c r="H2974" s="36">
        <v>0</v>
      </c>
      <c r="I2974" s="37">
        <v>0</v>
      </c>
      <c r="J2974" s="36" t="s">
        <v>34836</v>
      </c>
      <c r="K2974" s="36" t="s">
        <v>14330</v>
      </c>
      <c r="L2974" s="36" t="s">
        <v>14330</v>
      </c>
      <c r="M2974">
        <v>2</v>
      </c>
      <c r="N2974" t="s">
        <v>14331</v>
      </c>
      <c r="O2974" t="s">
        <v>32633</v>
      </c>
    </row>
    <row r="2975" spans="1:15" x14ac:dyDescent="0.25">
      <c r="A2975" s="35" t="s">
        <v>7328</v>
      </c>
      <c r="B2975" s="36" t="s">
        <v>7329</v>
      </c>
      <c r="C2975" s="36" t="str">
        <f>HYPERLINK("https://rhld.insurance.arkansas.gov/NPILookup?Npi=1518489954","1518489954")</f>
        <v>1518489954</v>
      </c>
      <c r="D2975" s="36" t="s">
        <v>35552</v>
      </c>
      <c r="E2975" s="36" t="s">
        <v>1</v>
      </c>
      <c r="F2975" s="36">
        <v>1</v>
      </c>
      <c r="G2975" s="36">
        <v>2</v>
      </c>
      <c r="H2975" s="36">
        <v>0</v>
      </c>
      <c r="I2975" s="37">
        <v>0</v>
      </c>
      <c r="J2975" s="36" t="s">
        <v>34836</v>
      </c>
      <c r="K2975" s="36" t="s">
        <v>14330</v>
      </c>
      <c r="L2975" s="36" t="s">
        <v>14330</v>
      </c>
      <c r="M2975">
        <v>3</v>
      </c>
      <c r="N2975" t="s">
        <v>14331</v>
      </c>
      <c r="O2975" t="s">
        <v>32633</v>
      </c>
    </row>
    <row r="2976" spans="1:15" x14ac:dyDescent="0.25">
      <c r="A2976" s="35" t="s">
        <v>7328</v>
      </c>
      <c r="B2976" s="36" t="s">
        <v>7329</v>
      </c>
      <c r="C2976" s="36" t="str">
        <f>HYPERLINK("https://rhld.insurance.arkansas.gov/NPILookup?Npi=1518490648","1518490648")</f>
        <v>1518490648</v>
      </c>
      <c r="D2976" s="36" t="s">
        <v>35553</v>
      </c>
      <c r="E2976" s="36" t="s">
        <v>1</v>
      </c>
      <c r="F2976" s="36">
        <v>1</v>
      </c>
      <c r="G2976" s="36">
        <v>3</v>
      </c>
      <c r="H2976" s="36">
        <v>0</v>
      </c>
      <c r="I2976" s="37">
        <v>0</v>
      </c>
      <c r="J2976" s="36" t="s">
        <v>34836</v>
      </c>
      <c r="K2976" s="36" t="s">
        <v>14330</v>
      </c>
      <c r="L2976" s="36" t="s">
        <v>14330</v>
      </c>
      <c r="M2976">
        <v>1</v>
      </c>
      <c r="N2976" t="s">
        <v>14331</v>
      </c>
      <c r="O2976" t="s">
        <v>32633</v>
      </c>
    </row>
    <row r="2977" spans="1:15" x14ac:dyDescent="0.25">
      <c r="A2977" s="35" t="s">
        <v>7328</v>
      </c>
      <c r="B2977" s="36" t="s">
        <v>7329</v>
      </c>
      <c r="C2977" s="36" t="str">
        <f>HYPERLINK("https://rhld.insurance.arkansas.gov/NPILookup?Npi=1518490986","1518490986")</f>
        <v>1518490986</v>
      </c>
      <c r="D2977" s="36" t="s">
        <v>35554</v>
      </c>
      <c r="E2977" s="36" t="s">
        <v>1</v>
      </c>
      <c r="F2977" s="36">
        <v>1</v>
      </c>
      <c r="G2977" s="36">
        <v>1</v>
      </c>
      <c r="H2977" s="36">
        <v>0</v>
      </c>
      <c r="I2977" s="37">
        <v>0</v>
      </c>
      <c r="J2977" s="36" t="s">
        <v>34836</v>
      </c>
      <c r="K2977" s="36" t="s">
        <v>14330</v>
      </c>
      <c r="L2977" s="36" t="s">
        <v>14330</v>
      </c>
      <c r="M2977">
        <v>3</v>
      </c>
      <c r="N2977" t="s">
        <v>14331</v>
      </c>
      <c r="O2977" t="s">
        <v>32633</v>
      </c>
    </row>
    <row r="2978" spans="1:15" x14ac:dyDescent="0.25">
      <c r="A2978" s="35" t="s">
        <v>7328</v>
      </c>
      <c r="B2978" s="36" t="s">
        <v>7329</v>
      </c>
      <c r="C2978" s="36" t="str">
        <f>HYPERLINK("https://rhld.insurance.arkansas.gov/NPILookup?Npi=1518497825","1518497825")</f>
        <v>1518497825</v>
      </c>
      <c r="D2978" s="36" t="s">
        <v>35555</v>
      </c>
      <c r="E2978" s="36" t="s">
        <v>1</v>
      </c>
      <c r="F2978" s="36">
        <v>1</v>
      </c>
      <c r="G2978" s="36">
        <v>3</v>
      </c>
      <c r="H2978" s="36">
        <v>0</v>
      </c>
      <c r="I2978" s="37">
        <v>0</v>
      </c>
      <c r="J2978" s="36" t="s">
        <v>34836</v>
      </c>
      <c r="K2978" s="36" t="s">
        <v>14330</v>
      </c>
      <c r="L2978" s="36" t="s">
        <v>14330</v>
      </c>
      <c r="M2978">
        <v>2</v>
      </c>
      <c r="N2978" t="s">
        <v>14331</v>
      </c>
      <c r="O2978" t="s">
        <v>32633</v>
      </c>
    </row>
    <row r="2979" spans="1:15" x14ac:dyDescent="0.25">
      <c r="A2979" s="35" t="s">
        <v>7328</v>
      </c>
      <c r="B2979" s="36" t="s">
        <v>7329</v>
      </c>
      <c r="C2979" s="36" t="str">
        <f>HYPERLINK("https://rhld.insurance.arkansas.gov/NPILookup?Npi=1518505833","1518505833")</f>
        <v>1518505833</v>
      </c>
      <c r="D2979" s="36" t="s">
        <v>35556</v>
      </c>
      <c r="E2979" s="36" t="s">
        <v>2</v>
      </c>
      <c r="F2979" s="36">
        <v>1</v>
      </c>
      <c r="G2979" s="36">
        <v>2</v>
      </c>
      <c r="H2979" s="36">
        <v>0</v>
      </c>
      <c r="I2979" s="37">
        <v>0</v>
      </c>
      <c r="J2979" s="36"/>
      <c r="K2979" s="36" t="s">
        <v>14330</v>
      </c>
      <c r="L2979" s="36" t="s">
        <v>14330</v>
      </c>
      <c r="M2979">
        <v>3</v>
      </c>
      <c r="N2979" t="s">
        <v>14331</v>
      </c>
      <c r="O2979" t="s">
        <v>14333</v>
      </c>
    </row>
    <row r="2980" spans="1:15" x14ac:dyDescent="0.25">
      <c r="A2980" s="35" t="s">
        <v>7328</v>
      </c>
      <c r="B2980" s="36" t="s">
        <v>7329</v>
      </c>
      <c r="C2980" s="36" t="str">
        <f>HYPERLINK("https://rhld.insurance.arkansas.gov/NPILookup?Npi=1518599091","1518599091")</f>
        <v>1518599091</v>
      </c>
      <c r="D2980" s="36" t="s">
        <v>35557</v>
      </c>
      <c r="E2980" s="36" t="s">
        <v>1</v>
      </c>
      <c r="F2980" s="36">
        <v>1</v>
      </c>
      <c r="G2980" s="36">
        <v>3</v>
      </c>
      <c r="H2980" s="36">
        <v>0</v>
      </c>
      <c r="I2980" s="37">
        <v>0</v>
      </c>
      <c r="J2980" s="36" t="s">
        <v>32654</v>
      </c>
      <c r="K2980" s="36" t="s">
        <v>14330</v>
      </c>
      <c r="L2980" s="36" t="s">
        <v>14330</v>
      </c>
      <c r="M2980">
        <v>3</v>
      </c>
      <c r="N2980" t="s">
        <v>14331</v>
      </c>
      <c r="O2980" t="s">
        <v>32633</v>
      </c>
    </row>
    <row r="2981" spans="1:15" x14ac:dyDescent="0.25">
      <c r="A2981" s="35" t="s">
        <v>7328</v>
      </c>
      <c r="B2981" s="36" t="s">
        <v>7329</v>
      </c>
      <c r="C2981" s="36" t="str">
        <f>HYPERLINK("https://rhld.insurance.arkansas.gov/NPILookup?Npi=1518965813","1518965813")</f>
        <v>1518965813</v>
      </c>
      <c r="D2981" s="36" t="s">
        <v>35558</v>
      </c>
      <c r="E2981" s="36" t="s">
        <v>1</v>
      </c>
      <c r="F2981" s="36">
        <v>1</v>
      </c>
      <c r="G2981" s="36">
        <v>3</v>
      </c>
      <c r="H2981" s="36">
        <v>0</v>
      </c>
      <c r="I2981" s="37">
        <v>0</v>
      </c>
      <c r="J2981" s="36" t="s">
        <v>34836</v>
      </c>
      <c r="K2981" s="36" t="s">
        <v>14330</v>
      </c>
      <c r="L2981" s="36" t="s">
        <v>14330</v>
      </c>
      <c r="M2981">
        <v>2</v>
      </c>
      <c r="N2981" t="s">
        <v>14331</v>
      </c>
      <c r="O2981" t="s">
        <v>32633</v>
      </c>
    </row>
    <row r="2982" spans="1:15" x14ac:dyDescent="0.25">
      <c r="A2982" s="35" t="s">
        <v>7328</v>
      </c>
      <c r="B2982" s="36" t="s">
        <v>7329</v>
      </c>
      <c r="C2982" s="36" t="str">
        <f>HYPERLINK("https://rhld.insurance.arkansas.gov/NPILookup?Npi=1518967611","1518967611")</f>
        <v>1518967611</v>
      </c>
      <c r="D2982" s="36" t="s">
        <v>35559</v>
      </c>
      <c r="E2982" s="36" t="s">
        <v>1</v>
      </c>
      <c r="F2982" s="36">
        <v>1</v>
      </c>
      <c r="G2982" s="36">
        <v>2</v>
      </c>
      <c r="H2982" s="36">
        <v>0</v>
      </c>
      <c r="I2982" s="37">
        <v>0</v>
      </c>
      <c r="J2982" s="36" t="s">
        <v>34836</v>
      </c>
      <c r="K2982" s="36" t="s">
        <v>14330</v>
      </c>
      <c r="L2982" s="36" t="s">
        <v>14330</v>
      </c>
      <c r="M2982">
        <v>1</v>
      </c>
      <c r="N2982" t="s">
        <v>14331</v>
      </c>
      <c r="O2982" t="s">
        <v>32633</v>
      </c>
    </row>
    <row r="2983" spans="1:15" x14ac:dyDescent="0.25">
      <c r="A2983" s="35" t="s">
        <v>7328</v>
      </c>
      <c r="B2983" s="36" t="s">
        <v>7329</v>
      </c>
      <c r="C2983" s="36" t="str">
        <f>HYPERLINK("https://rhld.insurance.arkansas.gov/NPILookup?Npi=1518986959","1518986959")</f>
        <v>1518986959</v>
      </c>
      <c r="D2983" s="36" t="s">
        <v>35560</v>
      </c>
      <c r="E2983" s="36" t="s">
        <v>1</v>
      </c>
      <c r="F2983" s="36">
        <v>1</v>
      </c>
      <c r="G2983" s="36">
        <v>1</v>
      </c>
      <c r="H2983" s="36">
        <v>0</v>
      </c>
      <c r="I2983" s="37">
        <v>0</v>
      </c>
      <c r="J2983" s="36" t="s">
        <v>34836</v>
      </c>
      <c r="K2983" s="36" t="s">
        <v>14330</v>
      </c>
      <c r="L2983" s="36" t="s">
        <v>14330</v>
      </c>
      <c r="M2983">
        <v>3</v>
      </c>
      <c r="N2983" t="s">
        <v>14331</v>
      </c>
      <c r="O2983" t="s">
        <v>32633</v>
      </c>
    </row>
    <row r="2984" spans="1:15" x14ac:dyDescent="0.25">
      <c r="A2984" s="35" t="s">
        <v>7328</v>
      </c>
      <c r="B2984" s="36" t="s">
        <v>7329</v>
      </c>
      <c r="C2984" s="36" t="str">
        <f>HYPERLINK("https://rhld.insurance.arkansas.gov/NPILookup?Npi=1528012010","1528012010")</f>
        <v>1528012010</v>
      </c>
      <c r="D2984" s="36" t="s">
        <v>35561</v>
      </c>
      <c r="E2984" s="36" t="s">
        <v>1</v>
      </c>
      <c r="F2984" s="36">
        <v>1</v>
      </c>
      <c r="G2984" s="36">
        <v>3</v>
      </c>
      <c r="H2984" s="36">
        <v>0</v>
      </c>
      <c r="I2984" s="37">
        <v>0</v>
      </c>
      <c r="J2984" s="36" t="s">
        <v>34836</v>
      </c>
      <c r="K2984" s="36" t="s">
        <v>14330</v>
      </c>
      <c r="L2984" s="36" t="s">
        <v>14330</v>
      </c>
      <c r="M2984">
        <v>1</v>
      </c>
      <c r="N2984" t="s">
        <v>14331</v>
      </c>
      <c r="O2984" t="s">
        <v>32633</v>
      </c>
    </row>
    <row r="2985" spans="1:15" x14ac:dyDescent="0.25">
      <c r="A2985" s="35" t="s">
        <v>7328</v>
      </c>
      <c r="B2985" s="36" t="s">
        <v>7329</v>
      </c>
      <c r="C2985" s="36" t="str">
        <f>HYPERLINK("https://rhld.insurance.arkansas.gov/NPILookup?Npi=1528021649","1528021649")</f>
        <v>1528021649</v>
      </c>
      <c r="D2985" s="36" t="s">
        <v>35562</v>
      </c>
      <c r="E2985" s="36" t="s">
        <v>1</v>
      </c>
      <c r="F2985" s="36">
        <v>1</v>
      </c>
      <c r="G2985" s="36">
        <v>2</v>
      </c>
      <c r="H2985" s="36">
        <v>1</v>
      </c>
      <c r="I2985" s="37">
        <v>0</v>
      </c>
      <c r="J2985" s="36" t="s">
        <v>32654</v>
      </c>
      <c r="K2985" s="36" t="s">
        <v>14330</v>
      </c>
      <c r="L2985" s="36" t="s">
        <v>35563</v>
      </c>
      <c r="M2985">
        <v>2</v>
      </c>
      <c r="N2985" t="s">
        <v>14332</v>
      </c>
      <c r="O2985" t="s">
        <v>32591</v>
      </c>
    </row>
    <row r="2986" spans="1:15" x14ac:dyDescent="0.25">
      <c r="A2986" s="35" t="s">
        <v>7328</v>
      </c>
      <c r="B2986" s="36" t="s">
        <v>7329</v>
      </c>
      <c r="C2986" s="36" t="str">
        <f>HYPERLINK("https://rhld.insurance.arkansas.gov/NPILookup?Npi=1528043007","1528043007")</f>
        <v>1528043007</v>
      </c>
      <c r="D2986" s="36" t="s">
        <v>35564</v>
      </c>
      <c r="E2986" s="36" t="s">
        <v>1</v>
      </c>
      <c r="F2986" s="36">
        <v>1</v>
      </c>
      <c r="G2986" s="36">
        <v>2</v>
      </c>
      <c r="H2986" s="36">
        <v>0</v>
      </c>
      <c r="I2986" s="37">
        <v>0</v>
      </c>
      <c r="J2986" s="36" t="s">
        <v>34836</v>
      </c>
      <c r="K2986" s="36" t="s">
        <v>14330</v>
      </c>
      <c r="L2986" s="36" t="s">
        <v>14330</v>
      </c>
      <c r="M2986">
        <v>2</v>
      </c>
      <c r="N2986" t="s">
        <v>14331</v>
      </c>
      <c r="O2986" t="s">
        <v>32633</v>
      </c>
    </row>
    <row r="2987" spans="1:15" x14ac:dyDescent="0.25">
      <c r="A2987" s="35" t="s">
        <v>7328</v>
      </c>
      <c r="B2987" s="36" t="s">
        <v>7329</v>
      </c>
      <c r="C2987" s="36" t="str">
        <f>HYPERLINK("https://rhld.insurance.arkansas.gov/NPILookup?Npi=1528046315","1528046315")</f>
        <v>1528046315</v>
      </c>
      <c r="D2987" s="36" t="s">
        <v>35565</v>
      </c>
      <c r="E2987" s="36" t="s">
        <v>1</v>
      </c>
      <c r="F2987" s="36">
        <v>1</v>
      </c>
      <c r="G2987" s="36">
        <v>2</v>
      </c>
      <c r="H2987" s="36">
        <v>0</v>
      </c>
      <c r="I2987" s="37">
        <v>0</v>
      </c>
      <c r="J2987" s="36" t="s">
        <v>34836</v>
      </c>
      <c r="K2987" s="36" t="s">
        <v>14330</v>
      </c>
      <c r="L2987" s="36" t="s">
        <v>14330</v>
      </c>
      <c r="M2987">
        <v>3</v>
      </c>
      <c r="N2987" t="s">
        <v>14331</v>
      </c>
      <c r="O2987" t="s">
        <v>32633</v>
      </c>
    </row>
    <row r="2988" spans="1:15" x14ac:dyDescent="0.25">
      <c r="A2988" s="35" t="s">
        <v>7328</v>
      </c>
      <c r="B2988" s="36" t="s">
        <v>7329</v>
      </c>
      <c r="C2988" s="36" t="str">
        <f>HYPERLINK("https://rhld.insurance.arkansas.gov/NPILookup?Npi=1528066735","1528066735")</f>
        <v>1528066735</v>
      </c>
      <c r="D2988" s="36" t="s">
        <v>35566</v>
      </c>
      <c r="E2988" s="36" t="s">
        <v>1</v>
      </c>
      <c r="F2988" s="36">
        <v>1</v>
      </c>
      <c r="G2988" s="36">
        <v>3</v>
      </c>
      <c r="H2988" s="36">
        <v>0</v>
      </c>
      <c r="I2988" s="37">
        <v>0</v>
      </c>
      <c r="J2988" s="36" t="s">
        <v>34836</v>
      </c>
      <c r="K2988" s="36" t="s">
        <v>14330</v>
      </c>
      <c r="L2988" s="36" t="s">
        <v>14330</v>
      </c>
      <c r="M2988">
        <v>2</v>
      </c>
      <c r="N2988" t="s">
        <v>14331</v>
      </c>
      <c r="O2988" t="s">
        <v>32633</v>
      </c>
    </row>
    <row r="2989" spans="1:15" x14ac:dyDescent="0.25">
      <c r="A2989" s="35" t="s">
        <v>7328</v>
      </c>
      <c r="B2989" s="36" t="s">
        <v>7329</v>
      </c>
      <c r="C2989" s="36" t="str">
        <f>HYPERLINK("https://rhld.insurance.arkansas.gov/NPILookup?Npi=1528204989","1528204989")</f>
        <v>1528204989</v>
      </c>
      <c r="D2989" s="36" t="s">
        <v>35567</v>
      </c>
      <c r="E2989" s="36" t="s">
        <v>2</v>
      </c>
      <c r="F2989" s="36">
        <v>1</v>
      </c>
      <c r="G2989" s="36">
        <v>2</v>
      </c>
      <c r="H2989" s="36">
        <v>0</v>
      </c>
      <c r="I2989" s="37">
        <v>0</v>
      </c>
      <c r="J2989" s="36"/>
      <c r="K2989" s="36" t="s">
        <v>14330</v>
      </c>
      <c r="L2989" s="36" t="s">
        <v>14330</v>
      </c>
      <c r="M2989">
        <v>1</v>
      </c>
      <c r="N2989" t="s">
        <v>14331</v>
      </c>
      <c r="O2989" t="s">
        <v>14333</v>
      </c>
    </row>
    <row r="2990" spans="1:15" x14ac:dyDescent="0.25">
      <c r="A2990" s="35" t="s">
        <v>7328</v>
      </c>
      <c r="B2990" s="36" t="s">
        <v>7329</v>
      </c>
      <c r="C2990" s="36" t="str">
        <f>HYPERLINK("https://rhld.insurance.arkansas.gov/NPILookup?Npi=1528219854","1528219854")</f>
        <v>1528219854</v>
      </c>
      <c r="D2990" s="36" t="s">
        <v>35568</v>
      </c>
      <c r="E2990" s="36" t="s">
        <v>1</v>
      </c>
      <c r="F2990" s="36">
        <v>1</v>
      </c>
      <c r="G2990" s="36">
        <v>1</v>
      </c>
      <c r="H2990" s="36">
        <v>0</v>
      </c>
      <c r="I2990" s="37">
        <v>0</v>
      </c>
      <c r="J2990" s="36" t="s">
        <v>32654</v>
      </c>
      <c r="K2990" s="36" t="s">
        <v>14330</v>
      </c>
      <c r="L2990" s="36" t="s">
        <v>14330</v>
      </c>
      <c r="M2990">
        <v>3</v>
      </c>
      <c r="N2990" t="s">
        <v>14331</v>
      </c>
      <c r="O2990" t="s">
        <v>32633</v>
      </c>
    </row>
    <row r="2991" spans="1:15" x14ac:dyDescent="0.25">
      <c r="A2991" s="35" t="s">
        <v>7328</v>
      </c>
      <c r="B2991" s="36" t="s">
        <v>7329</v>
      </c>
      <c r="C2991" s="36" t="str">
        <f>HYPERLINK("https://rhld.insurance.arkansas.gov/NPILookup?Npi=1528276763","1528276763")</f>
        <v>1528276763</v>
      </c>
      <c r="D2991" s="36" t="s">
        <v>35569</v>
      </c>
      <c r="E2991" s="36" t="s">
        <v>1</v>
      </c>
      <c r="F2991" s="36">
        <v>1</v>
      </c>
      <c r="G2991" s="36">
        <v>3</v>
      </c>
      <c r="H2991" s="36">
        <v>0</v>
      </c>
      <c r="I2991" s="37">
        <v>0</v>
      </c>
      <c r="J2991" s="36" t="s">
        <v>34836</v>
      </c>
      <c r="K2991" s="36" t="s">
        <v>14330</v>
      </c>
      <c r="L2991" s="36" t="s">
        <v>14330</v>
      </c>
      <c r="M2991">
        <v>3</v>
      </c>
      <c r="N2991" t="s">
        <v>14331</v>
      </c>
      <c r="O2991" t="s">
        <v>32633</v>
      </c>
    </row>
    <row r="2992" spans="1:15" x14ac:dyDescent="0.25">
      <c r="A2992" s="35" t="s">
        <v>7328</v>
      </c>
      <c r="B2992" s="36" t="s">
        <v>7329</v>
      </c>
      <c r="C2992" s="36" t="str">
        <f>HYPERLINK("https://rhld.insurance.arkansas.gov/NPILookup?Npi=1528283538","1528283538")</f>
        <v>1528283538</v>
      </c>
      <c r="D2992" s="36" t="s">
        <v>35570</v>
      </c>
      <c r="E2992" s="36" t="s">
        <v>1</v>
      </c>
      <c r="F2992" s="36">
        <v>1</v>
      </c>
      <c r="G2992" s="36">
        <v>3</v>
      </c>
      <c r="H2992" s="36">
        <v>0</v>
      </c>
      <c r="I2992" s="37">
        <v>0</v>
      </c>
      <c r="J2992" s="36" t="s">
        <v>32654</v>
      </c>
      <c r="K2992" s="36" t="s">
        <v>14330</v>
      </c>
      <c r="L2992" s="36" t="s">
        <v>14330</v>
      </c>
      <c r="M2992">
        <v>3</v>
      </c>
      <c r="N2992" t="s">
        <v>14331</v>
      </c>
      <c r="O2992" t="s">
        <v>32633</v>
      </c>
    </row>
    <row r="2993" spans="1:15" x14ac:dyDescent="0.25">
      <c r="A2993" s="35" t="s">
        <v>7328</v>
      </c>
      <c r="B2993" s="36" t="s">
        <v>7329</v>
      </c>
      <c r="C2993" s="36" t="str">
        <f>HYPERLINK("https://rhld.insurance.arkansas.gov/NPILookup?Npi=1528306503","1528306503")</f>
        <v>1528306503</v>
      </c>
      <c r="D2993" s="36" t="s">
        <v>35571</v>
      </c>
      <c r="E2993" s="36" t="s">
        <v>1</v>
      </c>
      <c r="F2993" s="36">
        <v>1</v>
      </c>
      <c r="G2993" s="36">
        <v>3</v>
      </c>
      <c r="H2993" s="36">
        <v>0</v>
      </c>
      <c r="I2993" s="37">
        <v>0</v>
      </c>
      <c r="J2993" s="36" t="s">
        <v>34836</v>
      </c>
      <c r="K2993" s="36" t="s">
        <v>14330</v>
      </c>
      <c r="L2993" s="36" t="s">
        <v>14330</v>
      </c>
      <c r="M2993">
        <v>1</v>
      </c>
      <c r="N2993" t="s">
        <v>14331</v>
      </c>
      <c r="O2993" t="s">
        <v>32633</v>
      </c>
    </row>
    <row r="2994" spans="1:15" x14ac:dyDescent="0.25">
      <c r="A2994" s="35" t="s">
        <v>7328</v>
      </c>
      <c r="B2994" s="36" t="s">
        <v>7329</v>
      </c>
      <c r="C2994" s="36" t="str">
        <f>HYPERLINK("https://rhld.insurance.arkansas.gov/NPILookup?Npi=1528472289","1528472289")</f>
        <v>1528472289</v>
      </c>
      <c r="D2994" s="36" t="s">
        <v>35572</v>
      </c>
      <c r="E2994" s="36" t="s">
        <v>1</v>
      </c>
      <c r="F2994" s="36">
        <v>1</v>
      </c>
      <c r="G2994" s="36">
        <v>2</v>
      </c>
      <c r="H2994" s="36">
        <v>1</v>
      </c>
      <c r="I2994" s="37">
        <v>0</v>
      </c>
      <c r="J2994" s="36" t="s">
        <v>32654</v>
      </c>
      <c r="K2994" s="36" t="s">
        <v>14330</v>
      </c>
      <c r="L2994" s="36" t="s">
        <v>35563</v>
      </c>
      <c r="M2994">
        <v>2</v>
      </c>
      <c r="N2994" t="s">
        <v>14332</v>
      </c>
      <c r="O2994" t="s">
        <v>32591</v>
      </c>
    </row>
    <row r="2995" spans="1:15" x14ac:dyDescent="0.25">
      <c r="A2995" s="35" t="s">
        <v>7328</v>
      </c>
      <c r="B2995" s="36" t="s">
        <v>7329</v>
      </c>
      <c r="C2995" s="36" t="str">
        <f>HYPERLINK("https://rhld.insurance.arkansas.gov/NPILookup?Npi=1528538915","1528538915")</f>
        <v>1528538915</v>
      </c>
      <c r="D2995" s="36" t="s">
        <v>35573</v>
      </c>
      <c r="E2995" s="36" t="s">
        <v>2</v>
      </c>
      <c r="F2995" s="36">
        <v>1</v>
      </c>
      <c r="G2995" s="36">
        <v>2</v>
      </c>
      <c r="H2995" s="36">
        <v>0</v>
      </c>
      <c r="I2995" s="37">
        <v>0</v>
      </c>
      <c r="J2995" s="36"/>
      <c r="K2995" s="36" t="s">
        <v>14330</v>
      </c>
      <c r="L2995" s="36" t="s">
        <v>14330</v>
      </c>
      <c r="M2995">
        <v>2</v>
      </c>
      <c r="N2995" t="s">
        <v>14331</v>
      </c>
      <c r="O2995" t="s">
        <v>14333</v>
      </c>
    </row>
    <row r="2996" spans="1:15" x14ac:dyDescent="0.25">
      <c r="A2996" s="35" t="s">
        <v>7328</v>
      </c>
      <c r="B2996" s="36" t="s">
        <v>7329</v>
      </c>
      <c r="C2996" s="36" t="str">
        <f>HYPERLINK("https://rhld.insurance.arkansas.gov/NPILookup?Npi=1528780285","1528780285")</f>
        <v>1528780285</v>
      </c>
      <c r="D2996" s="36" t="s">
        <v>35574</v>
      </c>
      <c r="E2996" s="36" t="s">
        <v>2</v>
      </c>
      <c r="F2996" s="36">
        <v>1</v>
      </c>
      <c r="G2996" s="36">
        <v>2</v>
      </c>
      <c r="H2996" s="36">
        <v>0</v>
      </c>
      <c r="I2996" s="37">
        <v>0</v>
      </c>
      <c r="J2996" s="36"/>
      <c r="K2996" s="36" t="s">
        <v>14330</v>
      </c>
      <c r="L2996" s="36" t="s">
        <v>14330</v>
      </c>
      <c r="M2996">
        <v>2</v>
      </c>
      <c r="N2996" t="s">
        <v>14331</v>
      </c>
      <c r="O2996" t="s">
        <v>14333</v>
      </c>
    </row>
    <row r="2997" spans="1:15" x14ac:dyDescent="0.25">
      <c r="A2997" s="35" t="s">
        <v>7328</v>
      </c>
      <c r="B2997" s="36" t="s">
        <v>7329</v>
      </c>
      <c r="C2997" s="36" t="str">
        <f>HYPERLINK("https://rhld.insurance.arkansas.gov/NPILookup?Npi=1528837507","1528837507")</f>
        <v>1528837507</v>
      </c>
      <c r="D2997" s="36" t="s">
        <v>35575</v>
      </c>
      <c r="E2997" s="36" t="s">
        <v>2</v>
      </c>
      <c r="F2997" s="36">
        <v>1</v>
      </c>
      <c r="G2997" s="36">
        <v>2</v>
      </c>
      <c r="H2997" s="36">
        <v>0</v>
      </c>
      <c r="I2997" s="37">
        <v>0</v>
      </c>
      <c r="J2997" s="36"/>
      <c r="K2997" s="36" t="s">
        <v>14330</v>
      </c>
      <c r="L2997" s="36" t="s">
        <v>14330</v>
      </c>
      <c r="M2997">
        <v>2</v>
      </c>
      <c r="N2997" t="s">
        <v>14331</v>
      </c>
      <c r="O2997" t="s">
        <v>14333</v>
      </c>
    </row>
    <row r="2998" spans="1:15" x14ac:dyDescent="0.25">
      <c r="A2998" s="35" t="s">
        <v>7328</v>
      </c>
      <c r="B2998" s="36" t="s">
        <v>7329</v>
      </c>
      <c r="C2998" s="36" t="str">
        <f>HYPERLINK("https://rhld.insurance.arkansas.gov/NPILookup?Npi=1528881919","1528881919")</f>
        <v>1528881919</v>
      </c>
      <c r="D2998" s="36" t="s">
        <v>35576</v>
      </c>
      <c r="E2998" s="36" t="s">
        <v>2</v>
      </c>
      <c r="F2998" s="36">
        <v>1</v>
      </c>
      <c r="G2998" s="36">
        <v>2</v>
      </c>
      <c r="H2998" s="36">
        <v>0</v>
      </c>
      <c r="I2998" s="37">
        <v>0</v>
      </c>
      <c r="J2998" s="36"/>
      <c r="K2998" s="36" t="s">
        <v>14330</v>
      </c>
      <c r="L2998" s="36" t="s">
        <v>14330</v>
      </c>
      <c r="M2998">
        <v>2</v>
      </c>
      <c r="N2998" t="s">
        <v>14331</v>
      </c>
      <c r="O2998" t="s">
        <v>14333</v>
      </c>
    </row>
    <row r="2999" spans="1:15" x14ac:dyDescent="0.25">
      <c r="A2999" s="35" t="s">
        <v>7328</v>
      </c>
      <c r="B2999" s="36" t="s">
        <v>7329</v>
      </c>
      <c r="C2999" s="36" t="str">
        <f>HYPERLINK("https://rhld.insurance.arkansas.gov/NPILookup?Npi=1528883261","1528883261")</f>
        <v>1528883261</v>
      </c>
      <c r="D2999" s="36" t="s">
        <v>35577</v>
      </c>
      <c r="E2999" s="36" t="s">
        <v>2</v>
      </c>
      <c r="F2999" s="36">
        <v>1</v>
      </c>
      <c r="G2999" s="36">
        <v>2</v>
      </c>
      <c r="H2999" s="36">
        <v>0</v>
      </c>
      <c r="I2999" s="37">
        <v>0</v>
      </c>
      <c r="J2999" s="36"/>
      <c r="K2999" s="36" t="s">
        <v>14330</v>
      </c>
      <c r="L2999" s="36" t="s">
        <v>14330</v>
      </c>
      <c r="M2999">
        <v>1</v>
      </c>
      <c r="N2999" t="s">
        <v>14331</v>
      </c>
      <c r="O2999" t="s">
        <v>14333</v>
      </c>
    </row>
    <row r="3000" spans="1:15" x14ac:dyDescent="0.25">
      <c r="A3000" s="35" t="s">
        <v>7328</v>
      </c>
      <c r="B3000" s="36" t="s">
        <v>7329</v>
      </c>
      <c r="C3000" s="36" t="str">
        <f>HYPERLINK("https://rhld.insurance.arkansas.gov/NPILookup?Npi=1538163506","1538163506")</f>
        <v>1538163506</v>
      </c>
      <c r="D3000" s="36" t="s">
        <v>35578</v>
      </c>
      <c r="E3000" s="36" t="s">
        <v>1</v>
      </c>
      <c r="F3000" s="36">
        <v>1</v>
      </c>
      <c r="G3000" s="36">
        <v>2</v>
      </c>
      <c r="H3000" s="36">
        <v>1</v>
      </c>
      <c r="I3000" s="37">
        <v>0</v>
      </c>
      <c r="J3000" s="36" t="s">
        <v>32654</v>
      </c>
      <c r="K3000" s="36" t="s">
        <v>14330</v>
      </c>
      <c r="L3000" s="36" t="s">
        <v>35563</v>
      </c>
      <c r="M3000">
        <v>3</v>
      </c>
      <c r="N3000" t="s">
        <v>14332</v>
      </c>
      <c r="O3000" t="s">
        <v>32591</v>
      </c>
    </row>
    <row r="3001" spans="1:15" x14ac:dyDescent="0.25">
      <c r="A3001" s="35" t="s">
        <v>7328</v>
      </c>
      <c r="B3001" s="36" t="s">
        <v>7329</v>
      </c>
      <c r="C3001" s="36" t="str">
        <f>HYPERLINK("https://rhld.insurance.arkansas.gov/NPILookup?Npi=1538334800","1538334800")</f>
        <v>1538334800</v>
      </c>
      <c r="D3001" s="36" t="s">
        <v>35579</v>
      </c>
      <c r="E3001" s="36" t="s">
        <v>1</v>
      </c>
      <c r="F3001" s="36">
        <v>1</v>
      </c>
      <c r="G3001" s="36">
        <v>3</v>
      </c>
      <c r="H3001" s="36">
        <v>0</v>
      </c>
      <c r="I3001" s="37">
        <v>0</v>
      </c>
      <c r="J3001" s="36" t="s">
        <v>34836</v>
      </c>
      <c r="K3001" s="36" t="s">
        <v>14330</v>
      </c>
      <c r="L3001" s="36" t="s">
        <v>14330</v>
      </c>
      <c r="M3001">
        <v>3</v>
      </c>
      <c r="N3001" t="s">
        <v>14331</v>
      </c>
      <c r="O3001" t="s">
        <v>32633</v>
      </c>
    </row>
    <row r="3002" spans="1:15" x14ac:dyDescent="0.25">
      <c r="A3002" s="35" t="s">
        <v>7328</v>
      </c>
      <c r="B3002" s="36" t="s">
        <v>7329</v>
      </c>
      <c r="C3002" s="36" t="str">
        <f>HYPERLINK("https://rhld.insurance.arkansas.gov/NPILookup?Npi=1538384623","1538384623")</f>
        <v>1538384623</v>
      </c>
      <c r="D3002" s="36" t="s">
        <v>35580</v>
      </c>
      <c r="E3002" s="36" t="s">
        <v>1</v>
      </c>
      <c r="F3002" s="36">
        <v>1</v>
      </c>
      <c r="G3002" s="36">
        <v>3</v>
      </c>
      <c r="H3002" s="36">
        <v>0</v>
      </c>
      <c r="I3002" s="37">
        <v>0</v>
      </c>
      <c r="J3002" s="36" t="s">
        <v>32654</v>
      </c>
      <c r="K3002" s="36" t="s">
        <v>14330</v>
      </c>
      <c r="L3002" s="36" t="s">
        <v>14330</v>
      </c>
      <c r="M3002">
        <v>2</v>
      </c>
      <c r="N3002" t="s">
        <v>14331</v>
      </c>
      <c r="O3002" t="s">
        <v>32633</v>
      </c>
    </row>
    <row r="3003" spans="1:15" x14ac:dyDescent="0.25">
      <c r="A3003" s="35" t="s">
        <v>7328</v>
      </c>
      <c r="B3003" s="36" t="s">
        <v>7329</v>
      </c>
      <c r="C3003" s="36" t="str">
        <f>HYPERLINK("https://rhld.insurance.arkansas.gov/NPILookup?Npi=1538395967","1538395967")</f>
        <v>1538395967</v>
      </c>
      <c r="D3003" s="36" t="s">
        <v>35581</v>
      </c>
      <c r="E3003" s="36" t="s">
        <v>1</v>
      </c>
      <c r="F3003" s="36">
        <v>1</v>
      </c>
      <c r="G3003" s="36">
        <v>2</v>
      </c>
      <c r="H3003" s="36">
        <v>0</v>
      </c>
      <c r="I3003" s="37">
        <v>0</v>
      </c>
      <c r="J3003" s="36" t="s">
        <v>32723</v>
      </c>
      <c r="K3003" s="36" t="s">
        <v>14330</v>
      </c>
      <c r="L3003" s="36" t="s">
        <v>14330</v>
      </c>
      <c r="M3003">
        <v>2</v>
      </c>
      <c r="N3003" t="s">
        <v>14331</v>
      </c>
      <c r="O3003" t="s">
        <v>32724</v>
      </c>
    </row>
    <row r="3004" spans="1:15" x14ac:dyDescent="0.25">
      <c r="A3004" s="35" t="s">
        <v>7328</v>
      </c>
      <c r="B3004" s="36" t="s">
        <v>7329</v>
      </c>
      <c r="C3004" s="36" t="str">
        <f>HYPERLINK("https://rhld.insurance.arkansas.gov/NPILookup?Npi=1538443791","1538443791")</f>
        <v>1538443791</v>
      </c>
      <c r="D3004" s="36" t="s">
        <v>35582</v>
      </c>
      <c r="E3004" s="36" t="s">
        <v>1</v>
      </c>
      <c r="F3004" s="36">
        <v>1</v>
      </c>
      <c r="G3004" s="36">
        <v>2</v>
      </c>
      <c r="H3004" s="36">
        <v>0</v>
      </c>
      <c r="I3004" s="37">
        <v>0</v>
      </c>
      <c r="J3004" s="36" t="s">
        <v>34836</v>
      </c>
      <c r="K3004" s="36" t="s">
        <v>14330</v>
      </c>
      <c r="L3004" s="36" t="s">
        <v>14330</v>
      </c>
      <c r="M3004">
        <v>3</v>
      </c>
      <c r="N3004" t="s">
        <v>14331</v>
      </c>
      <c r="O3004" t="s">
        <v>32633</v>
      </c>
    </row>
    <row r="3005" spans="1:15" x14ac:dyDescent="0.25">
      <c r="A3005" s="35" t="s">
        <v>7328</v>
      </c>
      <c r="B3005" s="36" t="s">
        <v>7329</v>
      </c>
      <c r="C3005" s="36" t="str">
        <f>HYPERLINK("https://rhld.insurance.arkansas.gov/NPILookup?Npi=1538471701","1538471701")</f>
        <v>1538471701</v>
      </c>
      <c r="D3005" s="36" t="s">
        <v>35583</v>
      </c>
      <c r="E3005" s="36" t="s">
        <v>1</v>
      </c>
      <c r="F3005" s="36">
        <v>1</v>
      </c>
      <c r="G3005" s="36">
        <v>3</v>
      </c>
      <c r="H3005" s="36">
        <v>0</v>
      </c>
      <c r="I3005" s="37">
        <v>0</v>
      </c>
      <c r="J3005" s="36" t="s">
        <v>34836</v>
      </c>
      <c r="K3005" s="36" t="s">
        <v>14330</v>
      </c>
      <c r="L3005" s="36" t="s">
        <v>14330</v>
      </c>
      <c r="M3005">
        <v>3</v>
      </c>
      <c r="N3005" t="s">
        <v>14331</v>
      </c>
      <c r="O3005" t="s">
        <v>32633</v>
      </c>
    </row>
    <row r="3006" spans="1:15" x14ac:dyDescent="0.25">
      <c r="A3006" s="35" t="s">
        <v>7328</v>
      </c>
      <c r="B3006" s="36" t="s">
        <v>7329</v>
      </c>
      <c r="C3006" s="36" t="str">
        <f>HYPERLINK("https://rhld.insurance.arkansas.gov/NPILookup?Npi=1538487285","1538487285")</f>
        <v>1538487285</v>
      </c>
      <c r="D3006" s="36" t="s">
        <v>35584</v>
      </c>
      <c r="E3006" s="36" t="s">
        <v>1</v>
      </c>
      <c r="F3006" s="36">
        <v>1</v>
      </c>
      <c r="G3006" s="36">
        <v>3</v>
      </c>
      <c r="H3006" s="36">
        <v>0</v>
      </c>
      <c r="I3006" s="37">
        <v>0</v>
      </c>
      <c r="J3006" s="36" t="s">
        <v>32654</v>
      </c>
      <c r="K3006" s="36" t="s">
        <v>14330</v>
      </c>
      <c r="L3006" s="36" t="s">
        <v>14330</v>
      </c>
      <c r="M3006">
        <v>2</v>
      </c>
      <c r="N3006" t="s">
        <v>14331</v>
      </c>
      <c r="O3006" t="s">
        <v>32633</v>
      </c>
    </row>
    <row r="3007" spans="1:15" x14ac:dyDescent="0.25">
      <c r="A3007" s="35" t="s">
        <v>7328</v>
      </c>
      <c r="B3007" s="36" t="s">
        <v>7329</v>
      </c>
      <c r="C3007" s="36" t="str">
        <f>HYPERLINK("https://rhld.insurance.arkansas.gov/NPILookup?Npi=1538504188","1538504188")</f>
        <v>1538504188</v>
      </c>
      <c r="D3007" s="36" t="s">
        <v>35585</v>
      </c>
      <c r="E3007" s="36" t="s">
        <v>1</v>
      </c>
      <c r="F3007" s="36">
        <v>1</v>
      </c>
      <c r="G3007" s="36">
        <v>2</v>
      </c>
      <c r="H3007" s="36">
        <v>0</v>
      </c>
      <c r="I3007" s="37">
        <v>0</v>
      </c>
      <c r="J3007" s="36" t="s">
        <v>34836</v>
      </c>
      <c r="K3007" s="36" t="s">
        <v>14330</v>
      </c>
      <c r="L3007" s="36" t="s">
        <v>14330</v>
      </c>
      <c r="M3007">
        <v>2</v>
      </c>
      <c r="N3007" t="s">
        <v>14331</v>
      </c>
      <c r="O3007" t="s">
        <v>32633</v>
      </c>
    </row>
    <row r="3008" spans="1:15" x14ac:dyDescent="0.25">
      <c r="A3008" s="35" t="s">
        <v>7328</v>
      </c>
      <c r="B3008" s="36" t="s">
        <v>7329</v>
      </c>
      <c r="C3008" s="36" t="str">
        <f>HYPERLINK("https://rhld.insurance.arkansas.gov/NPILookup?Npi=1538514971","1538514971")</f>
        <v>1538514971</v>
      </c>
      <c r="D3008" s="36" t="s">
        <v>35586</v>
      </c>
      <c r="E3008" s="36" t="s">
        <v>1</v>
      </c>
      <c r="F3008" s="36">
        <v>1</v>
      </c>
      <c r="G3008" s="36">
        <v>2</v>
      </c>
      <c r="H3008" s="36">
        <v>0</v>
      </c>
      <c r="I3008" s="37">
        <v>0</v>
      </c>
      <c r="J3008" s="36" t="s">
        <v>34836</v>
      </c>
      <c r="K3008" s="36" t="s">
        <v>14330</v>
      </c>
      <c r="L3008" s="36" t="s">
        <v>14330</v>
      </c>
      <c r="M3008">
        <v>3</v>
      </c>
      <c r="N3008" t="s">
        <v>14331</v>
      </c>
      <c r="O3008" t="s">
        <v>32633</v>
      </c>
    </row>
    <row r="3009" spans="1:15" x14ac:dyDescent="0.25">
      <c r="A3009" s="35" t="s">
        <v>7328</v>
      </c>
      <c r="B3009" s="36" t="s">
        <v>7329</v>
      </c>
      <c r="C3009" s="36" t="str">
        <f>HYPERLINK("https://rhld.insurance.arkansas.gov/NPILookup?Npi=1538543632","1538543632")</f>
        <v>1538543632</v>
      </c>
      <c r="D3009" s="36" t="s">
        <v>32708</v>
      </c>
      <c r="E3009" s="36" t="s">
        <v>1</v>
      </c>
      <c r="F3009" s="36">
        <v>1</v>
      </c>
      <c r="G3009" s="36">
        <v>3</v>
      </c>
      <c r="H3009" s="36">
        <v>0</v>
      </c>
      <c r="I3009" s="37">
        <v>0</v>
      </c>
      <c r="J3009" s="36" t="s">
        <v>34836</v>
      </c>
      <c r="K3009" s="36" t="s">
        <v>14330</v>
      </c>
      <c r="L3009" s="36" t="s">
        <v>14330</v>
      </c>
      <c r="M3009">
        <v>3</v>
      </c>
      <c r="N3009" t="s">
        <v>14331</v>
      </c>
      <c r="O3009" t="s">
        <v>32633</v>
      </c>
    </row>
    <row r="3010" spans="1:15" x14ac:dyDescent="0.25">
      <c r="A3010" s="35" t="s">
        <v>7328</v>
      </c>
      <c r="B3010" s="36" t="s">
        <v>7329</v>
      </c>
      <c r="C3010" s="36" t="str">
        <f>HYPERLINK("https://rhld.insurance.arkansas.gov/NPILookup?Npi=1538797709","1538797709")</f>
        <v>1538797709</v>
      </c>
      <c r="D3010" s="36" t="s">
        <v>35587</v>
      </c>
      <c r="E3010" s="36" t="s">
        <v>1</v>
      </c>
      <c r="F3010" s="36">
        <v>1</v>
      </c>
      <c r="G3010" s="36">
        <v>3</v>
      </c>
      <c r="H3010" s="36">
        <v>0</v>
      </c>
      <c r="I3010" s="37">
        <v>0</v>
      </c>
      <c r="J3010" s="36" t="s">
        <v>34836</v>
      </c>
      <c r="K3010" s="36" t="s">
        <v>14330</v>
      </c>
      <c r="L3010" s="36" t="s">
        <v>14330</v>
      </c>
      <c r="M3010">
        <v>4</v>
      </c>
      <c r="N3010" t="s">
        <v>14331</v>
      </c>
      <c r="O3010" t="s">
        <v>32633</v>
      </c>
    </row>
    <row r="3011" spans="1:15" x14ac:dyDescent="0.25">
      <c r="A3011" s="35" t="s">
        <v>7328</v>
      </c>
      <c r="B3011" s="36" t="s">
        <v>7329</v>
      </c>
      <c r="C3011" s="36" t="str">
        <f>HYPERLINK("https://rhld.insurance.arkansas.gov/NPILookup?Npi=1538798988","1538798988")</f>
        <v>1538798988</v>
      </c>
      <c r="D3011" s="36" t="s">
        <v>35588</v>
      </c>
      <c r="E3011" s="36" t="s">
        <v>1</v>
      </c>
      <c r="F3011" s="36">
        <v>2</v>
      </c>
      <c r="G3011" s="36">
        <v>4</v>
      </c>
      <c r="H3011" s="36">
        <v>0</v>
      </c>
      <c r="I3011" s="37">
        <v>0</v>
      </c>
      <c r="J3011" s="36" t="s">
        <v>35589</v>
      </c>
      <c r="K3011" s="36" t="s">
        <v>14330</v>
      </c>
      <c r="L3011" s="36" t="s">
        <v>14330</v>
      </c>
      <c r="M3011">
        <v>2</v>
      </c>
      <c r="N3011" t="s">
        <v>14331</v>
      </c>
      <c r="O3011" t="s">
        <v>32633</v>
      </c>
    </row>
    <row r="3012" spans="1:15" x14ac:dyDescent="0.25">
      <c r="A3012" s="35" t="s">
        <v>7328</v>
      </c>
      <c r="B3012" s="36" t="s">
        <v>7329</v>
      </c>
      <c r="C3012" s="36" t="str">
        <f>HYPERLINK("https://rhld.insurance.arkansas.gov/NPILookup?Npi=1538968896","1538968896")</f>
        <v>1538968896</v>
      </c>
      <c r="D3012" s="36" t="s">
        <v>34751</v>
      </c>
      <c r="E3012" s="36" t="s">
        <v>2</v>
      </c>
      <c r="F3012" s="36">
        <v>1</v>
      </c>
      <c r="G3012" s="36">
        <v>2</v>
      </c>
      <c r="H3012" s="36">
        <v>0</v>
      </c>
      <c r="I3012" s="37">
        <v>0</v>
      </c>
      <c r="J3012" s="36"/>
      <c r="K3012" s="36" t="s">
        <v>14330</v>
      </c>
      <c r="L3012" s="36" t="s">
        <v>14330</v>
      </c>
      <c r="M3012">
        <v>3</v>
      </c>
      <c r="N3012" t="s">
        <v>14331</v>
      </c>
      <c r="O3012" t="s">
        <v>14333</v>
      </c>
    </row>
    <row r="3013" spans="1:15" x14ac:dyDescent="0.25">
      <c r="A3013" s="35" t="s">
        <v>7328</v>
      </c>
      <c r="B3013" s="36" t="s">
        <v>7329</v>
      </c>
      <c r="C3013" s="36" t="str">
        <f>HYPERLINK("https://rhld.insurance.arkansas.gov/NPILookup?Npi=1548292386","1548292386")</f>
        <v>1548292386</v>
      </c>
      <c r="D3013" s="36" t="s">
        <v>35590</v>
      </c>
      <c r="E3013" s="36" t="s">
        <v>1</v>
      </c>
      <c r="F3013" s="36">
        <v>1</v>
      </c>
      <c r="G3013" s="36">
        <v>3</v>
      </c>
      <c r="H3013" s="36">
        <v>0</v>
      </c>
      <c r="I3013" s="37">
        <v>0</v>
      </c>
      <c r="J3013" s="36" t="s">
        <v>34836</v>
      </c>
      <c r="K3013" s="36" t="s">
        <v>14330</v>
      </c>
      <c r="L3013" s="36" t="s">
        <v>14330</v>
      </c>
      <c r="M3013">
        <v>3</v>
      </c>
      <c r="N3013" t="s">
        <v>14331</v>
      </c>
      <c r="O3013" t="s">
        <v>32633</v>
      </c>
    </row>
    <row r="3014" spans="1:15" x14ac:dyDescent="0.25">
      <c r="A3014" s="35" t="s">
        <v>7328</v>
      </c>
      <c r="B3014" s="36" t="s">
        <v>7329</v>
      </c>
      <c r="C3014" s="36" t="str">
        <f>HYPERLINK("https://rhld.insurance.arkansas.gov/NPILookup?Npi=1548298466","1548298466")</f>
        <v>1548298466</v>
      </c>
      <c r="D3014" s="36" t="s">
        <v>35591</v>
      </c>
      <c r="E3014" s="36" t="s">
        <v>1</v>
      </c>
      <c r="F3014" s="36">
        <v>1</v>
      </c>
      <c r="G3014" s="36">
        <v>3</v>
      </c>
      <c r="H3014" s="36">
        <v>0</v>
      </c>
      <c r="I3014" s="37">
        <v>0</v>
      </c>
      <c r="J3014" s="36" t="s">
        <v>34836</v>
      </c>
      <c r="K3014" s="36" t="s">
        <v>14330</v>
      </c>
      <c r="L3014" s="36" t="s">
        <v>14330</v>
      </c>
      <c r="M3014">
        <v>2</v>
      </c>
      <c r="N3014" t="s">
        <v>14331</v>
      </c>
      <c r="O3014" t="s">
        <v>32633</v>
      </c>
    </row>
    <row r="3015" spans="1:15" x14ac:dyDescent="0.25">
      <c r="A3015" s="35" t="s">
        <v>7328</v>
      </c>
      <c r="B3015" s="36" t="s">
        <v>7329</v>
      </c>
      <c r="C3015" s="36" t="str">
        <f>HYPERLINK("https://rhld.insurance.arkansas.gov/NPILookup?Npi=1548331085","1548331085")</f>
        <v>1548331085</v>
      </c>
      <c r="D3015" s="36" t="s">
        <v>35592</v>
      </c>
      <c r="E3015" s="36" t="s">
        <v>1</v>
      </c>
      <c r="F3015" s="36">
        <v>1</v>
      </c>
      <c r="G3015" s="36">
        <v>2</v>
      </c>
      <c r="H3015" s="36">
        <v>0</v>
      </c>
      <c r="I3015" s="37">
        <v>0</v>
      </c>
      <c r="J3015" s="36" t="s">
        <v>32723</v>
      </c>
      <c r="K3015" s="36" t="s">
        <v>14330</v>
      </c>
      <c r="L3015" s="36" t="s">
        <v>14330</v>
      </c>
      <c r="M3015">
        <v>2</v>
      </c>
      <c r="N3015" t="s">
        <v>14331</v>
      </c>
      <c r="O3015" t="s">
        <v>32724</v>
      </c>
    </row>
    <row r="3016" spans="1:15" x14ac:dyDescent="0.25">
      <c r="A3016" s="35" t="s">
        <v>7328</v>
      </c>
      <c r="B3016" s="36" t="s">
        <v>7329</v>
      </c>
      <c r="C3016" s="36" t="str">
        <f>HYPERLINK("https://rhld.insurance.arkansas.gov/NPILookup?Npi=1548486053","1548486053")</f>
        <v>1548486053</v>
      </c>
      <c r="D3016" s="36" t="s">
        <v>35593</v>
      </c>
      <c r="E3016" s="36" t="s">
        <v>1</v>
      </c>
      <c r="F3016" s="36">
        <v>1</v>
      </c>
      <c r="G3016" s="36">
        <v>2</v>
      </c>
      <c r="H3016" s="36">
        <v>0</v>
      </c>
      <c r="I3016" s="37">
        <v>0</v>
      </c>
      <c r="J3016" s="36" t="s">
        <v>34836</v>
      </c>
      <c r="K3016" s="36" t="s">
        <v>14330</v>
      </c>
      <c r="L3016" s="36" t="s">
        <v>14330</v>
      </c>
      <c r="M3016">
        <v>3</v>
      </c>
      <c r="N3016" t="s">
        <v>14331</v>
      </c>
      <c r="O3016" t="s">
        <v>32633</v>
      </c>
    </row>
    <row r="3017" spans="1:15" x14ac:dyDescent="0.25">
      <c r="A3017" s="35" t="s">
        <v>7328</v>
      </c>
      <c r="B3017" s="36" t="s">
        <v>7329</v>
      </c>
      <c r="C3017" s="36" t="str">
        <f>HYPERLINK("https://rhld.insurance.arkansas.gov/NPILookup?Npi=1548491673","1548491673")</f>
        <v>1548491673</v>
      </c>
      <c r="D3017" s="36" t="s">
        <v>35594</v>
      </c>
      <c r="E3017" s="36" t="s">
        <v>1</v>
      </c>
      <c r="F3017" s="36">
        <v>1</v>
      </c>
      <c r="G3017" s="36">
        <v>3</v>
      </c>
      <c r="H3017" s="36">
        <v>0</v>
      </c>
      <c r="I3017" s="37">
        <v>0</v>
      </c>
      <c r="J3017" s="36" t="s">
        <v>34836</v>
      </c>
      <c r="K3017" s="36" t="s">
        <v>14330</v>
      </c>
      <c r="L3017" s="36" t="s">
        <v>14330</v>
      </c>
      <c r="M3017">
        <v>2</v>
      </c>
      <c r="N3017" t="s">
        <v>14331</v>
      </c>
      <c r="O3017" t="s">
        <v>32633</v>
      </c>
    </row>
    <row r="3018" spans="1:15" x14ac:dyDescent="0.25">
      <c r="A3018" s="35" t="s">
        <v>7328</v>
      </c>
      <c r="B3018" s="36" t="s">
        <v>7329</v>
      </c>
      <c r="C3018" s="36" t="str">
        <f>HYPERLINK("https://rhld.insurance.arkansas.gov/NPILookup?Npi=1548605256","1548605256")</f>
        <v>1548605256</v>
      </c>
      <c r="D3018" s="36" t="s">
        <v>35595</v>
      </c>
      <c r="E3018" s="36" t="s">
        <v>1</v>
      </c>
      <c r="F3018" s="36">
        <v>1</v>
      </c>
      <c r="G3018" s="36">
        <v>2</v>
      </c>
      <c r="H3018" s="36">
        <v>0</v>
      </c>
      <c r="I3018" s="37">
        <v>0</v>
      </c>
      <c r="J3018" s="36" t="s">
        <v>32654</v>
      </c>
      <c r="K3018" s="36" t="s">
        <v>14330</v>
      </c>
      <c r="L3018" s="36" t="s">
        <v>14330</v>
      </c>
      <c r="M3018">
        <v>2</v>
      </c>
      <c r="N3018" t="s">
        <v>14331</v>
      </c>
      <c r="O3018" t="s">
        <v>32633</v>
      </c>
    </row>
    <row r="3019" spans="1:15" x14ac:dyDescent="0.25">
      <c r="A3019" s="35" t="s">
        <v>7328</v>
      </c>
      <c r="B3019" s="36" t="s">
        <v>7329</v>
      </c>
      <c r="C3019" s="36" t="str">
        <f>HYPERLINK("https://rhld.insurance.arkansas.gov/NPILookup?Npi=1548611817","1548611817")</f>
        <v>1548611817</v>
      </c>
      <c r="D3019" s="36" t="s">
        <v>35596</v>
      </c>
      <c r="E3019" s="36" t="s">
        <v>1</v>
      </c>
      <c r="F3019" s="36">
        <v>1</v>
      </c>
      <c r="G3019" s="36">
        <v>2</v>
      </c>
      <c r="H3019" s="36">
        <v>0</v>
      </c>
      <c r="I3019" s="37">
        <v>0</v>
      </c>
      <c r="J3019" s="36" t="s">
        <v>34836</v>
      </c>
      <c r="K3019" s="36" t="s">
        <v>14330</v>
      </c>
      <c r="L3019" s="36" t="s">
        <v>14330</v>
      </c>
      <c r="M3019">
        <v>2</v>
      </c>
      <c r="N3019" t="s">
        <v>14331</v>
      </c>
      <c r="O3019" t="s">
        <v>32633</v>
      </c>
    </row>
    <row r="3020" spans="1:15" x14ac:dyDescent="0.25">
      <c r="A3020" s="35" t="s">
        <v>7328</v>
      </c>
      <c r="B3020" s="36" t="s">
        <v>7329</v>
      </c>
      <c r="C3020" s="36" t="str">
        <f>HYPERLINK("https://rhld.insurance.arkansas.gov/NPILookup?Npi=1548613961","1548613961")</f>
        <v>1548613961</v>
      </c>
      <c r="D3020" s="36" t="s">
        <v>35597</v>
      </c>
      <c r="E3020" s="36" t="s">
        <v>1</v>
      </c>
      <c r="F3020" s="36">
        <v>1</v>
      </c>
      <c r="G3020" s="36">
        <v>2</v>
      </c>
      <c r="H3020" s="36">
        <v>0</v>
      </c>
      <c r="I3020" s="37">
        <v>0</v>
      </c>
      <c r="J3020" s="36" t="s">
        <v>34836</v>
      </c>
      <c r="K3020" s="36" t="s">
        <v>14330</v>
      </c>
      <c r="L3020" s="36" t="s">
        <v>14330</v>
      </c>
      <c r="M3020">
        <v>3</v>
      </c>
      <c r="N3020" t="s">
        <v>14331</v>
      </c>
      <c r="O3020" t="s">
        <v>32633</v>
      </c>
    </row>
    <row r="3021" spans="1:15" x14ac:dyDescent="0.25">
      <c r="A3021" s="35" t="s">
        <v>7328</v>
      </c>
      <c r="B3021" s="36" t="s">
        <v>7329</v>
      </c>
      <c r="C3021" s="36" t="str">
        <f>HYPERLINK("https://rhld.insurance.arkansas.gov/NPILookup?Npi=1548668916","1548668916")</f>
        <v>1548668916</v>
      </c>
      <c r="D3021" s="36" t="s">
        <v>35598</v>
      </c>
      <c r="E3021" s="36" t="s">
        <v>1</v>
      </c>
      <c r="F3021" s="36">
        <v>1</v>
      </c>
      <c r="G3021" s="36">
        <v>3</v>
      </c>
      <c r="H3021" s="36">
        <v>0</v>
      </c>
      <c r="I3021" s="37">
        <v>0</v>
      </c>
      <c r="J3021" s="36" t="s">
        <v>34836</v>
      </c>
      <c r="K3021" s="36" t="s">
        <v>14330</v>
      </c>
      <c r="L3021" s="36" t="s">
        <v>14330</v>
      </c>
      <c r="M3021">
        <v>2</v>
      </c>
      <c r="N3021" t="s">
        <v>14331</v>
      </c>
      <c r="O3021" t="s">
        <v>32633</v>
      </c>
    </row>
    <row r="3022" spans="1:15" x14ac:dyDescent="0.25">
      <c r="A3022" s="35" t="s">
        <v>7328</v>
      </c>
      <c r="B3022" s="36" t="s">
        <v>7329</v>
      </c>
      <c r="C3022" s="36" t="str">
        <f>HYPERLINK("https://rhld.insurance.arkansas.gov/NPILookup?Npi=1548747462","1548747462")</f>
        <v>1548747462</v>
      </c>
      <c r="D3022" s="36" t="s">
        <v>35599</v>
      </c>
      <c r="E3022" s="36" t="s">
        <v>1</v>
      </c>
      <c r="F3022" s="36">
        <v>1</v>
      </c>
      <c r="G3022" s="36">
        <v>2</v>
      </c>
      <c r="H3022" s="36">
        <v>0</v>
      </c>
      <c r="I3022" s="37">
        <v>0</v>
      </c>
      <c r="J3022" s="36" t="s">
        <v>32654</v>
      </c>
      <c r="K3022" s="36" t="s">
        <v>14330</v>
      </c>
      <c r="L3022" s="36" t="s">
        <v>14330</v>
      </c>
      <c r="M3022">
        <v>2</v>
      </c>
      <c r="N3022" t="s">
        <v>14331</v>
      </c>
      <c r="O3022" t="s">
        <v>32633</v>
      </c>
    </row>
    <row r="3023" spans="1:15" x14ac:dyDescent="0.25">
      <c r="A3023" s="35" t="s">
        <v>7328</v>
      </c>
      <c r="B3023" s="36" t="s">
        <v>7329</v>
      </c>
      <c r="C3023" s="36" t="str">
        <f>HYPERLINK("https://rhld.insurance.arkansas.gov/NPILookup?Npi=1548850084","1548850084")</f>
        <v>1548850084</v>
      </c>
      <c r="D3023" s="36" t="s">
        <v>35600</v>
      </c>
      <c r="E3023" s="36" t="s">
        <v>2</v>
      </c>
      <c r="F3023" s="36">
        <v>1</v>
      </c>
      <c r="G3023" s="36">
        <v>2</v>
      </c>
      <c r="H3023" s="36">
        <v>0</v>
      </c>
      <c r="I3023" s="37">
        <v>0</v>
      </c>
      <c r="J3023" s="36"/>
      <c r="K3023" s="36" t="s">
        <v>14330</v>
      </c>
      <c r="L3023" s="36" t="s">
        <v>14330</v>
      </c>
      <c r="M3023">
        <v>1</v>
      </c>
      <c r="N3023" t="s">
        <v>14331</v>
      </c>
      <c r="O3023" t="s">
        <v>14333</v>
      </c>
    </row>
    <row r="3024" spans="1:15" x14ac:dyDescent="0.25">
      <c r="A3024" s="35" t="s">
        <v>7328</v>
      </c>
      <c r="B3024" s="36" t="s">
        <v>7329</v>
      </c>
      <c r="C3024" s="36" t="str">
        <f>HYPERLINK("https://rhld.insurance.arkansas.gov/NPILookup?Npi=1548972409","1548972409")</f>
        <v>1548972409</v>
      </c>
      <c r="D3024" s="36" t="s">
        <v>35601</v>
      </c>
      <c r="E3024" s="36" t="s">
        <v>2</v>
      </c>
      <c r="F3024" s="36">
        <v>1</v>
      </c>
      <c r="G3024" s="36">
        <v>1</v>
      </c>
      <c r="H3024" s="36">
        <v>0</v>
      </c>
      <c r="I3024" s="37">
        <v>0</v>
      </c>
      <c r="J3024" s="36" t="s">
        <v>32679</v>
      </c>
      <c r="K3024" s="36" t="s">
        <v>14330</v>
      </c>
      <c r="L3024" s="36" t="s">
        <v>14330</v>
      </c>
      <c r="M3024">
        <v>2</v>
      </c>
      <c r="N3024" t="s">
        <v>14331</v>
      </c>
      <c r="O3024" t="s">
        <v>32633</v>
      </c>
    </row>
    <row r="3025" spans="1:15" x14ac:dyDescent="0.25">
      <c r="A3025" s="35" t="s">
        <v>7328</v>
      </c>
      <c r="B3025" s="36" t="s">
        <v>7329</v>
      </c>
      <c r="C3025" s="36" t="str">
        <f>HYPERLINK("https://rhld.insurance.arkansas.gov/NPILookup?Npi=1558093393","1558093393")</f>
        <v>1558093393</v>
      </c>
      <c r="D3025" s="36" t="s">
        <v>35602</v>
      </c>
      <c r="E3025" s="36" t="s">
        <v>2</v>
      </c>
      <c r="F3025" s="36">
        <v>2</v>
      </c>
      <c r="G3025" s="36">
        <v>2</v>
      </c>
      <c r="H3025" s="36">
        <v>0</v>
      </c>
      <c r="I3025" s="37">
        <v>0</v>
      </c>
      <c r="J3025" s="36" t="s">
        <v>33004</v>
      </c>
      <c r="K3025" s="36" t="s">
        <v>14330</v>
      </c>
      <c r="L3025" s="36" t="s">
        <v>14330</v>
      </c>
      <c r="M3025">
        <v>3</v>
      </c>
      <c r="N3025" t="s">
        <v>14331</v>
      </c>
      <c r="O3025" t="s">
        <v>14333</v>
      </c>
    </row>
    <row r="3026" spans="1:15" x14ac:dyDescent="0.25">
      <c r="A3026" s="35" t="s">
        <v>7328</v>
      </c>
      <c r="B3026" s="36" t="s">
        <v>7329</v>
      </c>
      <c r="C3026" s="36" t="str">
        <f>HYPERLINK("https://rhld.insurance.arkansas.gov/NPILookup?Npi=1558323816","1558323816")</f>
        <v>1558323816</v>
      </c>
      <c r="D3026" s="36" t="s">
        <v>35603</v>
      </c>
      <c r="E3026" s="36" t="s">
        <v>1</v>
      </c>
      <c r="F3026" s="36">
        <v>1</v>
      </c>
      <c r="G3026" s="36">
        <v>3</v>
      </c>
      <c r="H3026" s="36">
        <v>0</v>
      </c>
      <c r="I3026" s="37">
        <v>0</v>
      </c>
      <c r="J3026" s="36" t="s">
        <v>34836</v>
      </c>
      <c r="K3026" s="36" t="s">
        <v>14330</v>
      </c>
      <c r="L3026" s="36" t="s">
        <v>14330</v>
      </c>
      <c r="M3026">
        <v>3</v>
      </c>
      <c r="N3026" t="s">
        <v>14331</v>
      </c>
      <c r="O3026" t="s">
        <v>32633</v>
      </c>
    </row>
    <row r="3027" spans="1:15" x14ac:dyDescent="0.25">
      <c r="A3027" s="35" t="s">
        <v>7328</v>
      </c>
      <c r="B3027" s="36" t="s">
        <v>7329</v>
      </c>
      <c r="C3027" s="36" t="str">
        <f>HYPERLINK("https://rhld.insurance.arkansas.gov/NPILookup?Npi=1558330431","1558330431")</f>
        <v>1558330431</v>
      </c>
      <c r="D3027" s="36" t="s">
        <v>35604</v>
      </c>
      <c r="E3027" s="36" t="s">
        <v>1</v>
      </c>
      <c r="F3027" s="36">
        <v>1</v>
      </c>
      <c r="G3027" s="36">
        <v>3</v>
      </c>
      <c r="H3027" s="36">
        <v>0</v>
      </c>
      <c r="I3027" s="37">
        <v>0</v>
      </c>
      <c r="J3027" s="36" t="s">
        <v>34836</v>
      </c>
      <c r="K3027" s="36" t="s">
        <v>14330</v>
      </c>
      <c r="L3027" s="36" t="s">
        <v>14330</v>
      </c>
      <c r="M3027">
        <v>3</v>
      </c>
      <c r="N3027" t="s">
        <v>14331</v>
      </c>
      <c r="O3027" t="s">
        <v>32633</v>
      </c>
    </row>
    <row r="3028" spans="1:15" x14ac:dyDescent="0.25">
      <c r="A3028" s="35" t="s">
        <v>7328</v>
      </c>
      <c r="B3028" s="36" t="s">
        <v>7329</v>
      </c>
      <c r="C3028" s="36" t="str">
        <f>HYPERLINK("https://rhld.insurance.arkansas.gov/NPILookup?Npi=1558336602","1558336602")</f>
        <v>1558336602</v>
      </c>
      <c r="D3028" s="36" t="s">
        <v>35605</v>
      </c>
      <c r="E3028" s="36" t="s">
        <v>1</v>
      </c>
      <c r="F3028" s="36">
        <v>1</v>
      </c>
      <c r="G3028" s="36">
        <v>3</v>
      </c>
      <c r="H3028" s="36">
        <v>0</v>
      </c>
      <c r="I3028" s="37">
        <v>0</v>
      </c>
      <c r="J3028" s="36" t="s">
        <v>34836</v>
      </c>
      <c r="K3028" s="36" t="s">
        <v>14330</v>
      </c>
      <c r="L3028" s="36" t="s">
        <v>14330</v>
      </c>
      <c r="M3028">
        <v>3</v>
      </c>
      <c r="N3028" t="s">
        <v>14331</v>
      </c>
      <c r="O3028" t="s">
        <v>32633</v>
      </c>
    </row>
    <row r="3029" spans="1:15" x14ac:dyDescent="0.25">
      <c r="A3029" s="35" t="s">
        <v>7328</v>
      </c>
      <c r="B3029" s="36" t="s">
        <v>7329</v>
      </c>
      <c r="C3029" s="36" t="str">
        <f>HYPERLINK("https://rhld.insurance.arkansas.gov/NPILookup?Npi=1558347237","1558347237")</f>
        <v>1558347237</v>
      </c>
      <c r="D3029" s="36" t="s">
        <v>35606</v>
      </c>
      <c r="E3029" s="36" t="s">
        <v>1</v>
      </c>
      <c r="F3029" s="36">
        <v>1</v>
      </c>
      <c r="G3029" s="36">
        <v>3</v>
      </c>
      <c r="H3029" s="36">
        <v>0</v>
      </c>
      <c r="I3029" s="37">
        <v>0</v>
      </c>
      <c r="J3029" s="36" t="s">
        <v>34836</v>
      </c>
      <c r="K3029" s="36" t="s">
        <v>14330</v>
      </c>
      <c r="L3029" s="36" t="s">
        <v>14330</v>
      </c>
      <c r="M3029">
        <v>2</v>
      </c>
      <c r="N3029" t="s">
        <v>14331</v>
      </c>
      <c r="O3029" t="s">
        <v>32633</v>
      </c>
    </row>
    <row r="3030" spans="1:15" x14ac:dyDescent="0.25">
      <c r="A3030" s="35" t="s">
        <v>7328</v>
      </c>
      <c r="B3030" s="36" t="s">
        <v>7329</v>
      </c>
      <c r="C3030" s="36" t="str">
        <f>HYPERLINK("https://rhld.insurance.arkansas.gov/NPILookup?Npi=1558347286","1558347286")</f>
        <v>1558347286</v>
      </c>
      <c r="D3030" s="36" t="s">
        <v>35607</v>
      </c>
      <c r="E3030" s="36" t="s">
        <v>1</v>
      </c>
      <c r="F3030" s="36">
        <v>1</v>
      </c>
      <c r="G3030" s="36">
        <v>2</v>
      </c>
      <c r="H3030" s="36">
        <v>0</v>
      </c>
      <c r="I3030" s="37">
        <v>0</v>
      </c>
      <c r="J3030" s="36" t="s">
        <v>32723</v>
      </c>
      <c r="K3030" s="36" t="s">
        <v>14330</v>
      </c>
      <c r="L3030" s="36" t="s">
        <v>14330</v>
      </c>
      <c r="M3030">
        <v>3</v>
      </c>
      <c r="N3030" t="s">
        <v>14331</v>
      </c>
      <c r="O3030" t="s">
        <v>32724</v>
      </c>
    </row>
    <row r="3031" spans="1:15" x14ac:dyDescent="0.25">
      <c r="A3031" s="35" t="s">
        <v>7328</v>
      </c>
      <c r="B3031" s="36" t="s">
        <v>7329</v>
      </c>
      <c r="C3031" s="36" t="str">
        <f>HYPERLINK("https://rhld.insurance.arkansas.gov/NPILookup?Npi=1558363622","1558363622")</f>
        <v>1558363622</v>
      </c>
      <c r="D3031" s="36" t="s">
        <v>35608</v>
      </c>
      <c r="E3031" s="36" t="s">
        <v>1</v>
      </c>
      <c r="F3031" s="36">
        <v>1</v>
      </c>
      <c r="G3031" s="36">
        <v>3</v>
      </c>
      <c r="H3031" s="36">
        <v>0</v>
      </c>
      <c r="I3031" s="37">
        <v>0</v>
      </c>
      <c r="J3031" s="36" t="s">
        <v>34836</v>
      </c>
      <c r="K3031" s="36" t="s">
        <v>14330</v>
      </c>
      <c r="L3031" s="36" t="s">
        <v>14330</v>
      </c>
      <c r="M3031">
        <v>3</v>
      </c>
      <c r="N3031" t="s">
        <v>14331</v>
      </c>
      <c r="O3031" t="s">
        <v>32633</v>
      </c>
    </row>
    <row r="3032" spans="1:15" x14ac:dyDescent="0.25">
      <c r="A3032" s="35" t="s">
        <v>7328</v>
      </c>
      <c r="B3032" s="36" t="s">
        <v>7329</v>
      </c>
      <c r="C3032" s="36" t="str">
        <f>HYPERLINK("https://rhld.insurance.arkansas.gov/NPILookup?Npi=1558651919","1558651919")</f>
        <v>1558651919</v>
      </c>
      <c r="D3032" s="36" t="s">
        <v>35609</v>
      </c>
      <c r="E3032" s="36" t="s">
        <v>1</v>
      </c>
      <c r="F3032" s="36">
        <v>1</v>
      </c>
      <c r="G3032" s="36">
        <v>3</v>
      </c>
      <c r="H3032" s="36">
        <v>0</v>
      </c>
      <c r="I3032" s="37">
        <v>0</v>
      </c>
      <c r="J3032" s="36" t="s">
        <v>34836</v>
      </c>
      <c r="K3032" s="36" t="s">
        <v>14330</v>
      </c>
      <c r="L3032" s="36" t="s">
        <v>14330</v>
      </c>
      <c r="M3032">
        <v>2</v>
      </c>
      <c r="N3032" t="s">
        <v>14331</v>
      </c>
      <c r="O3032" t="s">
        <v>32633</v>
      </c>
    </row>
    <row r="3033" spans="1:15" x14ac:dyDescent="0.25">
      <c r="A3033" s="35" t="s">
        <v>7328</v>
      </c>
      <c r="B3033" s="36" t="s">
        <v>7329</v>
      </c>
      <c r="C3033" s="36" t="str">
        <f>HYPERLINK("https://rhld.insurance.arkansas.gov/NPILookup?Npi=1558740639","1558740639")</f>
        <v>1558740639</v>
      </c>
      <c r="D3033" s="36" t="s">
        <v>35610</v>
      </c>
      <c r="E3033" s="36" t="s">
        <v>2</v>
      </c>
      <c r="F3033" s="36">
        <v>1</v>
      </c>
      <c r="G3033" s="36">
        <v>2</v>
      </c>
      <c r="H3033" s="36">
        <v>0</v>
      </c>
      <c r="I3033" s="37">
        <v>0</v>
      </c>
      <c r="J3033" s="36"/>
      <c r="K3033" s="36" t="s">
        <v>14330</v>
      </c>
      <c r="L3033" s="36" t="s">
        <v>14330</v>
      </c>
      <c r="M3033">
        <v>1</v>
      </c>
      <c r="N3033" t="s">
        <v>14331</v>
      </c>
      <c r="O3033" t="s">
        <v>14333</v>
      </c>
    </row>
    <row r="3034" spans="1:15" x14ac:dyDescent="0.25">
      <c r="A3034" s="35" t="s">
        <v>7328</v>
      </c>
      <c r="B3034" s="36" t="s">
        <v>7329</v>
      </c>
      <c r="C3034" s="36" t="str">
        <f>HYPERLINK("https://rhld.insurance.arkansas.gov/NPILookup?Npi=1558793125","1558793125")</f>
        <v>1558793125</v>
      </c>
      <c r="D3034" s="36" t="s">
        <v>35611</v>
      </c>
      <c r="E3034" s="36" t="s">
        <v>1</v>
      </c>
      <c r="F3034" s="36">
        <v>1</v>
      </c>
      <c r="G3034" s="36">
        <v>1</v>
      </c>
      <c r="H3034" s="36">
        <v>0</v>
      </c>
      <c r="I3034" s="37">
        <v>0</v>
      </c>
      <c r="J3034" s="36" t="s">
        <v>32723</v>
      </c>
      <c r="K3034" s="36" t="s">
        <v>14330</v>
      </c>
      <c r="L3034" s="36" t="s">
        <v>14330</v>
      </c>
      <c r="M3034">
        <v>0</v>
      </c>
      <c r="N3034" t="s">
        <v>14331</v>
      </c>
      <c r="O3034" t="s">
        <v>32724</v>
      </c>
    </row>
    <row r="3035" spans="1:15" x14ac:dyDescent="0.25">
      <c r="A3035" s="35" t="s">
        <v>7328</v>
      </c>
      <c r="B3035" s="36" t="s">
        <v>7329</v>
      </c>
      <c r="C3035" s="36" t="str">
        <f>HYPERLINK("https://rhld.insurance.arkansas.gov/NPILookup?Npi=1558897967","1558897967")</f>
        <v>1558897967</v>
      </c>
      <c r="D3035" s="36" t="s">
        <v>35612</v>
      </c>
      <c r="E3035" s="36" t="s">
        <v>1</v>
      </c>
      <c r="F3035" s="36">
        <v>1</v>
      </c>
      <c r="G3035" s="36">
        <v>1</v>
      </c>
      <c r="H3035" s="36">
        <v>1</v>
      </c>
      <c r="I3035" s="37">
        <v>0</v>
      </c>
      <c r="J3035" s="36" t="s">
        <v>32654</v>
      </c>
      <c r="K3035" s="36" t="s">
        <v>14330</v>
      </c>
      <c r="L3035" s="36" t="s">
        <v>35563</v>
      </c>
      <c r="M3035">
        <v>2</v>
      </c>
      <c r="N3035" t="s">
        <v>14332</v>
      </c>
      <c r="O3035" t="s">
        <v>32591</v>
      </c>
    </row>
    <row r="3036" spans="1:15" x14ac:dyDescent="0.25">
      <c r="A3036" s="35" t="s">
        <v>7328</v>
      </c>
      <c r="B3036" s="36" t="s">
        <v>7329</v>
      </c>
      <c r="C3036" s="36" t="str">
        <f>HYPERLINK("https://rhld.insurance.arkansas.gov/NPILookup?Npi=1558948398","1558948398")</f>
        <v>1558948398</v>
      </c>
      <c r="D3036" s="36" t="s">
        <v>35613</v>
      </c>
      <c r="E3036" s="36" t="s">
        <v>2</v>
      </c>
      <c r="F3036" s="36">
        <v>1</v>
      </c>
      <c r="G3036" s="36">
        <v>2</v>
      </c>
      <c r="H3036" s="36">
        <v>0</v>
      </c>
      <c r="I3036" s="37">
        <v>0</v>
      </c>
      <c r="J3036" s="36"/>
      <c r="K3036" s="36" t="s">
        <v>14330</v>
      </c>
      <c r="L3036" s="36" t="s">
        <v>14330</v>
      </c>
      <c r="M3036">
        <v>2</v>
      </c>
      <c r="N3036" t="s">
        <v>14331</v>
      </c>
      <c r="O3036" t="s">
        <v>14333</v>
      </c>
    </row>
    <row r="3037" spans="1:15" x14ac:dyDescent="0.25">
      <c r="A3037" s="35" t="s">
        <v>7328</v>
      </c>
      <c r="B3037" s="36" t="s">
        <v>7329</v>
      </c>
      <c r="C3037" s="36" t="str">
        <f>HYPERLINK("https://rhld.insurance.arkansas.gov/NPILookup?Npi=1558990952","1558990952")</f>
        <v>1558990952</v>
      </c>
      <c r="D3037" s="36" t="s">
        <v>35614</v>
      </c>
      <c r="E3037" s="36" t="s">
        <v>1</v>
      </c>
      <c r="F3037" s="36">
        <v>1</v>
      </c>
      <c r="G3037" s="36">
        <v>2</v>
      </c>
      <c r="H3037" s="36">
        <v>0</v>
      </c>
      <c r="I3037" s="37">
        <v>0</v>
      </c>
      <c r="J3037" s="36" t="s">
        <v>34836</v>
      </c>
      <c r="K3037" s="36" t="s">
        <v>14330</v>
      </c>
      <c r="L3037" s="36" t="s">
        <v>14330</v>
      </c>
      <c r="M3037">
        <v>2</v>
      </c>
      <c r="N3037" t="s">
        <v>14331</v>
      </c>
      <c r="O3037" t="s">
        <v>32633</v>
      </c>
    </row>
    <row r="3038" spans="1:15" x14ac:dyDescent="0.25">
      <c r="A3038" s="35" t="s">
        <v>7328</v>
      </c>
      <c r="B3038" s="36" t="s">
        <v>7329</v>
      </c>
      <c r="C3038" s="36" t="str">
        <f>HYPERLINK("https://rhld.insurance.arkansas.gov/NPILookup?Npi=1568006211","1568006211")</f>
        <v>1568006211</v>
      </c>
      <c r="D3038" s="36" t="s">
        <v>35615</v>
      </c>
      <c r="E3038" s="36" t="s">
        <v>2</v>
      </c>
      <c r="F3038" s="36">
        <v>1</v>
      </c>
      <c r="G3038" s="36">
        <v>2</v>
      </c>
      <c r="H3038" s="36">
        <v>0</v>
      </c>
      <c r="I3038" s="37">
        <v>0</v>
      </c>
      <c r="J3038" s="36"/>
      <c r="K3038" s="36" t="s">
        <v>14330</v>
      </c>
      <c r="L3038" s="36" t="s">
        <v>14330</v>
      </c>
      <c r="M3038">
        <v>1</v>
      </c>
      <c r="N3038" t="s">
        <v>14331</v>
      </c>
      <c r="O3038" t="s">
        <v>14333</v>
      </c>
    </row>
    <row r="3039" spans="1:15" x14ac:dyDescent="0.25">
      <c r="A3039" s="35" t="s">
        <v>7328</v>
      </c>
      <c r="B3039" s="36" t="s">
        <v>7329</v>
      </c>
      <c r="C3039" s="36" t="str">
        <f>HYPERLINK("https://rhld.insurance.arkansas.gov/NPILookup?Npi=1568088490","1568088490")</f>
        <v>1568088490</v>
      </c>
      <c r="D3039" s="36" t="s">
        <v>35616</v>
      </c>
      <c r="E3039" s="36" t="s">
        <v>2</v>
      </c>
      <c r="F3039" s="36">
        <v>1</v>
      </c>
      <c r="G3039" s="36">
        <v>1</v>
      </c>
      <c r="H3039" s="36">
        <v>0</v>
      </c>
      <c r="I3039" s="37">
        <v>0</v>
      </c>
      <c r="J3039" s="36"/>
      <c r="K3039" s="36" t="s">
        <v>14330</v>
      </c>
      <c r="L3039" s="36" t="s">
        <v>14330</v>
      </c>
      <c r="M3039">
        <v>1</v>
      </c>
      <c r="N3039" t="s">
        <v>14331</v>
      </c>
      <c r="O3039" t="s">
        <v>32633</v>
      </c>
    </row>
    <row r="3040" spans="1:15" x14ac:dyDescent="0.25">
      <c r="A3040" s="35" t="s">
        <v>7328</v>
      </c>
      <c r="B3040" s="36" t="s">
        <v>7329</v>
      </c>
      <c r="C3040" s="36" t="str">
        <f>HYPERLINK("https://rhld.insurance.arkansas.gov/NPILookup?Npi=1568089555","1568089555")</f>
        <v>1568089555</v>
      </c>
      <c r="D3040" s="36" t="s">
        <v>35617</v>
      </c>
      <c r="E3040" s="36" t="s">
        <v>1</v>
      </c>
      <c r="F3040" s="36">
        <v>1</v>
      </c>
      <c r="G3040" s="36">
        <v>2</v>
      </c>
      <c r="H3040" s="36">
        <v>1</v>
      </c>
      <c r="I3040" s="37">
        <v>0</v>
      </c>
      <c r="J3040" s="36" t="s">
        <v>32654</v>
      </c>
      <c r="K3040" s="36" t="s">
        <v>14330</v>
      </c>
      <c r="L3040" s="36" t="s">
        <v>35563</v>
      </c>
      <c r="M3040">
        <v>2</v>
      </c>
      <c r="N3040" t="s">
        <v>14332</v>
      </c>
      <c r="O3040" t="s">
        <v>32591</v>
      </c>
    </row>
    <row r="3041" spans="1:15" x14ac:dyDescent="0.25">
      <c r="A3041" s="35" t="s">
        <v>7328</v>
      </c>
      <c r="B3041" s="36" t="s">
        <v>7329</v>
      </c>
      <c r="C3041" s="36" t="str">
        <f>HYPERLINK("https://rhld.insurance.arkansas.gov/NPILookup?Npi=1568090918","1568090918")</f>
        <v>1568090918</v>
      </c>
      <c r="D3041" s="36" t="s">
        <v>35618</v>
      </c>
      <c r="E3041" s="36" t="s">
        <v>2</v>
      </c>
      <c r="F3041" s="36">
        <v>1</v>
      </c>
      <c r="G3041" s="36">
        <v>2</v>
      </c>
      <c r="H3041" s="36">
        <v>0</v>
      </c>
      <c r="I3041" s="37">
        <v>0</v>
      </c>
      <c r="J3041" s="36" t="s">
        <v>32679</v>
      </c>
      <c r="K3041" s="36" t="s">
        <v>14330</v>
      </c>
      <c r="L3041" s="36" t="s">
        <v>14330</v>
      </c>
      <c r="M3041">
        <v>1</v>
      </c>
      <c r="N3041" t="s">
        <v>14331</v>
      </c>
      <c r="O3041" t="s">
        <v>14333</v>
      </c>
    </row>
    <row r="3042" spans="1:15" x14ac:dyDescent="0.25">
      <c r="A3042" s="35" t="s">
        <v>7328</v>
      </c>
      <c r="B3042" s="36" t="s">
        <v>7329</v>
      </c>
      <c r="C3042" s="36" t="str">
        <f>HYPERLINK("https://rhld.insurance.arkansas.gov/NPILookup?Npi=1568208221","1568208221")</f>
        <v>1568208221</v>
      </c>
      <c r="D3042" s="36" t="s">
        <v>35619</v>
      </c>
      <c r="E3042" s="36" t="s">
        <v>2</v>
      </c>
      <c r="F3042" s="36">
        <v>2</v>
      </c>
      <c r="G3042" s="36">
        <v>1</v>
      </c>
      <c r="H3042" s="36">
        <v>0</v>
      </c>
      <c r="I3042" s="37">
        <v>0</v>
      </c>
      <c r="J3042" s="36" t="s">
        <v>33004</v>
      </c>
      <c r="K3042" s="36" t="s">
        <v>14330</v>
      </c>
      <c r="L3042" s="36" t="s">
        <v>14330</v>
      </c>
      <c r="M3042">
        <v>2</v>
      </c>
      <c r="N3042" t="s">
        <v>14331</v>
      </c>
      <c r="O3042" t="s">
        <v>32633</v>
      </c>
    </row>
    <row r="3043" spans="1:15" x14ac:dyDescent="0.25">
      <c r="A3043" s="35" t="s">
        <v>7328</v>
      </c>
      <c r="B3043" s="36" t="s">
        <v>7329</v>
      </c>
      <c r="C3043" s="36" t="str">
        <f>HYPERLINK("https://rhld.insurance.arkansas.gov/NPILookup?Npi=1568275501","1568275501")</f>
        <v>1568275501</v>
      </c>
      <c r="D3043" s="36" t="s">
        <v>34756</v>
      </c>
      <c r="E3043" s="36" t="s">
        <v>2</v>
      </c>
      <c r="F3043" s="36">
        <v>1</v>
      </c>
      <c r="G3043" s="36">
        <v>2</v>
      </c>
      <c r="H3043" s="36">
        <v>0</v>
      </c>
      <c r="I3043" s="37">
        <v>0</v>
      </c>
      <c r="J3043" s="36"/>
      <c r="K3043" s="36" t="s">
        <v>14330</v>
      </c>
      <c r="L3043" s="36" t="s">
        <v>14330</v>
      </c>
      <c r="M3043">
        <v>2</v>
      </c>
      <c r="N3043" t="s">
        <v>14331</v>
      </c>
      <c r="O3043" t="s">
        <v>14333</v>
      </c>
    </row>
    <row r="3044" spans="1:15" x14ac:dyDescent="0.25">
      <c r="A3044" s="35" t="s">
        <v>7328</v>
      </c>
      <c r="B3044" s="36" t="s">
        <v>7329</v>
      </c>
      <c r="C3044" s="36" t="str">
        <f>HYPERLINK("https://rhld.insurance.arkansas.gov/NPILookup?Npi=1568293249","1568293249")</f>
        <v>1568293249</v>
      </c>
      <c r="D3044" s="36" t="s">
        <v>34757</v>
      </c>
      <c r="E3044" s="36" t="s">
        <v>2</v>
      </c>
      <c r="F3044" s="36">
        <v>1</v>
      </c>
      <c r="G3044" s="36">
        <v>2</v>
      </c>
      <c r="H3044" s="36">
        <v>0</v>
      </c>
      <c r="I3044" s="37">
        <v>0</v>
      </c>
      <c r="J3044" s="36"/>
      <c r="K3044" s="36" t="s">
        <v>14330</v>
      </c>
      <c r="L3044" s="36" t="s">
        <v>14330</v>
      </c>
      <c r="M3044">
        <v>1</v>
      </c>
      <c r="N3044" t="s">
        <v>14331</v>
      </c>
      <c r="O3044" t="s">
        <v>14333</v>
      </c>
    </row>
    <row r="3045" spans="1:15" x14ac:dyDescent="0.25">
      <c r="A3045" s="35" t="s">
        <v>7328</v>
      </c>
      <c r="B3045" s="36" t="s">
        <v>7329</v>
      </c>
      <c r="C3045" s="36" t="str">
        <f>HYPERLINK("https://rhld.insurance.arkansas.gov/NPILookup?Npi=1568629699","1568629699")</f>
        <v>1568629699</v>
      </c>
      <c r="D3045" s="36" t="s">
        <v>35620</v>
      </c>
      <c r="E3045" s="36" t="s">
        <v>1</v>
      </c>
      <c r="F3045" s="36">
        <v>1</v>
      </c>
      <c r="G3045" s="36">
        <v>1</v>
      </c>
      <c r="H3045" s="36">
        <v>0</v>
      </c>
      <c r="I3045" s="37">
        <v>0</v>
      </c>
      <c r="J3045" s="36" t="s">
        <v>34836</v>
      </c>
      <c r="K3045" s="36" t="s">
        <v>14330</v>
      </c>
      <c r="L3045" s="36" t="s">
        <v>14330</v>
      </c>
      <c r="M3045">
        <v>2</v>
      </c>
      <c r="N3045" t="s">
        <v>14331</v>
      </c>
      <c r="O3045" t="s">
        <v>32633</v>
      </c>
    </row>
    <row r="3046" spans="1:15" x14ac:dyDescent="0.25">
      <c r="A3046" s="35" t="s">
        <v>7328</v>
      </c>
      <c r="B3046" s="36" t="s">
        <v>7329</v>
      </c>
      <c r="C3046" s="36" t="str">
        <f>HYPERLINK("https://rhld.insurance.arkansas.gov/NPILookup?Npi=1568720779","1568720779")</f>
        <v>1568720779</v>
      </c>
      <c r="D3046" s="36" t="s">
        <v>35621</v>
      </c>
      <c r="E3046" s="36" t="s">
        <v>1</v>
      </c>
      <c r="F3046" s="36">
        <v>1</v>
      </c>
      <c r="G3046" s="36">
        <v>2</v>
      </c>
      <c r="H3046" s="36">
        <v>0</v>
      </c>
      <c r="I3046" s="37">
        <v>0</v>
      </c>
      <c r="J3046" s="36" t="s">
        <v>34836</v>
      </c>
      <c r="K3046" s="36" t="s">
        <v>14330</v>
      </c>
      <c r="L3046" s="36" t="s">
        <v>14330</v>
      </c>
      <c r="M3046">
        <v>3</v>
      </c>
      <c r="N3046" t="s">
        <v>14331</v>
      </c>
      <c r="O3046" t="s">
        <v>32633</v>
      </c>
    </row>
    <row r="3047" spans="1:15" x14ac:dyDescent="0.25">
      <c r="A3047" s="35" t="s">
        <v>7328</v>
      </c>
      <c r="B3047" s="36" t="s">
        <v>7329</v>
      </c>
      <c r="C3047" s="36" t="str">
        <f>HYPERLINK("https://rhld.insurance.arkansas.gov/NPILookup?Npi=1568751345","1568751345")</f>
        <v>1568751345</v>
      </c>
      <c r="D3047" s="36" t="s">
        <v>35622</v>
      </c>
      <c r="E3047" s="36" t="s">
        <v>1</v>
      </c>
      <c r="F3047" s="36">
        <v>1</v>
      </c>
      <c r="G3047" s="36">
        <v>3</v>
      </c>
      <c r="H3047" s="36">
        <v>0</v>
      </c>
      <c r="I3047" s="37">
        <v>0</v>
      </c>
      <c r="J3047" s="36" t="s">
        <v>34836</v>
      </c>
      <c r="K3047" s="36" t="s">
        <v>14330</v>
      </c>
      <c r="L3047" s="36" t="s">
        <v>14330</v>
      </c>
      <c r="M3047">
        <v>2</v>
      </c>
      <c r="N3047" t="s">
        <v>14331</v>
      </c>
      <c r="O3047" t="s">
        <v>32633</v>
      </c>
    </row>
    <row r="3048" spans="1:15" x14ac:dyDescent="0.25">
      <c r="A3048" s="35" t="s">
        <v>7328</v>
      </c>
      <c r="B3048" s="36" t="s">
        <v>7329</v>
      </c>
      <c r="C3048" s="36" t="str">
        <f>HYPERLINK("https://rhld.insurance.arkansas.gov/NPILookup?Npi=1568756104","1568756104")</f>
        <v>1568756104</v>
      </c>
      <c r="D3048" s="36" t="s">
        <v>35623</v>
      </c>
      <c r="E3048" s="36" t="s">
        <v>2</v>
      </c>
      <c r="F3048" s="36">
        <v>1</v>
      </c>
      <c r="G3048" s="36">
        <v>2</v>
      </c>
      <c r="H3048" s="36">
        <v>0</v>
      </c>
      <c r="I3048" s="37">
        <v>0</v>
      </c>
      <c r="J3048" s="36" t="s">
        <v>32679</v>
      </c>
      <c r="K3048" s="36" t="s">
        <v>14330</v>
      </c>
      <c r="L3048" s="36" t="s">
        <v>14330</v>
      </c>
      <c r="M3048">
        <v>0</v>
      </c>
      <c r="N3048" t="s">
        <v>14331</v>
      </c>
      <c r="O3048" t="s">
        <v>14333</v>
      </c>
    </row>
    <row r="3049" spans="1:15" x14ac:dyDescent="0.25">
      <c r="A3049" s="35" t="s">
        <v>7328</v>
      </c>
      <c r="B3049" s="36" t="s">
        <v>7329</v>
      </c>
      <c r="C3049" s="36" t="str">
        <f>HYPERLINK("https://rhld.insurance.arkansas.gov/NPILookup?Npi=1568811321","1568811321")</f>
        <v>1568811321</v>
      </c>
      <c r="D3049" s="36" t="s">
        <v>35624</v>
      </c>
      <c r="E3049" s="36" t="s">
        <v>1</v>
      </c>
      <c r="F3049" s="36">
        <v>1</v>
      </c>
      <c r="G3049" s="36">
        <v>1</v>
      </c>
      <c r="H3049" s="36">
        <v>1</v>
      </c>
      <c r="I3049" s="37">
        <v>0</v>
      </c>
      <c r="J3049" s="36" t="s">
        <v>32654</v>
      </c>
      <c r="K3049" s="36" t="s">
        <v>14330</v>
      </c>
      <c r="L3049" s="36" t="s">
        <v>35563</v>
      </c>
      <c r="M3049">
        <v>3</v>
      </c>
      <c r="N3049" t="s">
        <v>14332</v>
      </c>
      <c r="O3049" t="s">
        <v>32591</v>
      </c>
    </row>
    <row r="3050" spans="1:15" x14ac:dyDescent="0.25">
      <c r="A3050" s="35" t="s">
        <v>7328</v>
      </c>
      <c r="B3050" s="36" t="s">
        <v>7329</v>
      </c>
      <c r="C3050" s="36" t="str">
        <f>HYPERLINK("https://rhld.insurance.arkansas.gov/NPILookup?Npi=1568825289","1568825289")</f>
        <v>1568825289</v>
      </c>
      <c r="D3050" s="36" t="s">
        <v>35625</v>
      </c>
      <c r="E3050" s="36" t="s">
        <v>1</v>
      </c>
      <c r="F3050" s="36">
        <v>1</v>
      </c>
      <c r="G3050" s="36">
        <v>3</v>
      </c>
      <c r="H3050" s="36">
        <v>0</v>
      </c>
      <c r="I3050" s="37">
        <v>0</v>
      </c>
      <c r="J3050" s="36" t="s">
        <v>34836</v>
      </c>
      <c r="K3050" s="36" t="s">
        <v>14330</v>
      </c>
      <c r="L3050" s="36" t="s">
        <v>14330</v>
      </c>
      <c r="M3050">
        <v>2</v>
      </c>
      <c r="N3050" t="s">
        <v>14331</v>
      </c>
      <c r="O3050" t="s">
        <v>32633</v>
      </c>
    </row>
    <row r="3051" spans="1:15" x14ac:dyDescent="0.25">
      <c r="A3051" s="35" t="s">
        <v>7328</v>
      </c>
      <c r="B3051" s="36" t="s">
        <v>7329</v>
      </c>
      <c r="C3051" s="36" t="str">
        <f>HYPERLINK("https://rhld.insurance.arkansas.gov/NPILookup?Npi=1568862001","1568862001")</f>
        <v>1568862001</v>
      </c>
      <c r="D3051" s="36" t="s">
        <v>35626</v>
      </c>
      <c r="E3051" s="36" t="s">
        <v>2</v>
      </c>
      <c r="F3051" s="36">
        <v>1</v>
      </c>
      <c r="G3051" s="36">
        <v>2</v>
      </c>
      <c r="H3051" s="36">
        <v>0</v>
      </c>
      <c r="I3051" s="37">
        <v>0</v>
      </c>
      <c r="J3051" s="36" t="s">
        <v>32679</v>
      </c>
      <c r="K3051" s="36" t="s">
        <v>14330</v>
      </c>
      <c r="L3051" s="36" t="s">
        <v>14330</v>
      </c>
      <c r="M3051">
        <v>1</v>
      </c>
      <c r="N3051" t="s">
        <v>14331</v>
      </c>
      <c r="O3051" t="s">
        <v>14333</v>
      </c>
    </row>
    <row r="3052" spans="1:15" x14ac:dyDescent="0.25">
      <c r="A3052" s="35" t="s">
        <v>7328</v>
      </c>
      <c r="B3052" s="36" t="s">
        <v>7329</v>
      </c>
      <c r="C3052" s="36" t="str">
        <f>HYPERLINK("https://rhld.insurance.arkansas.gov/NPILookup?Npi=1568898542","1568898542")</f>
        <v>1568898542</v>
      </c>
      <c r="D3052" s="36" t="s">
        <v>35627</v>
      </c>
      <c r="E3052" s="36" t="s">
        <v>2</v>
      </c>
      <c r="F3052" s="36">
        <v>1</v>
      </c>
      <c r="G3052" s="36">
        <v>1</v>
      </c>
      <c r="H3052" s="36">
        <v>0</v>
      </c>
      <c r="I3052" s="37">
        <v>0</v>
      </c>
      <c r="J3052" s="36"/>
      <c r="K3052" s="36" t="s">
        <v>14330</v>
      </c>
      <c r="L3052" s="36" t="s">
        <v>14330</v>
      </c>
      <c r="M3052">
        <v>2</v>
      </c>
      <c r="N3052" t="s">
        <v>14331</v>
      </c>
      <c r="O3052" t="s">
        <v>32633</v>
      </c>
    </row>
    <row r="3053" spans="1:15" x14ac:dyDescent="0.25">
      <c r="A3053" s="35" t="s">
        <v>7328</v>
      </c>
      <c r="B3053" s="36" t="s">
        <v>7329</v>
      </c>
      <c r="C3053" s="36" t="str">
        <f>HYPERLINK("https://rhld.insurance.arkansas.gov/NPILookup?Npi=1568929826","1568929826")</f>
        <v>1568929826</v>
      </c>
      <c r="D3053" s="36" t="s">
        <v>35628</v>
      </c>
      <c r="E3053" s="36" t="s">
        <v>1</v>
      </c>
      <c r="F3053" s="36">
        <v>1</v>
      </c>
      <c r="G3053" s="36">
        <v>2</v>
      </c>
      <c r="H3053" s="36">
        <v>0</v>
      </c>
      <c r="I3053" s="37">
        <v>0</v>
      </c>
      <c r="J3053" s="36" t="s">
        <v>32654</v>
      </c>
      <c r="K3053" s="36" t="s">
        <v>14330</v>
      </c>
      <c r="L3053" s="36" t="s">
        <v>14330</v>
      </c>
      <c r="M3053">
        <v>3</v>
      </c>
      <c r="N3053" t="s">
        <v>14331</v>
      </c>
      <c r="O3053" t="s">
        <v>32633</v>
      </c>
    </row>
    <row r="3054" spans="1:15" x14ac:dyDescent="0.25">
      <c r="A3054" s="35" t="s">
        <v>7328</v>
      </c>
      <c r="B3054" s="36" t="s">
        <v>7329</v>
      </c>
      <c r="C3054" s="36" t="str">
        <f>HYPERLINK("https://rhld.insurance.arkansas.gov/NPILookup?Npi=1578035077","1578035077")</f>
        <v>1578035077</v>
      </c>
      <c r="D3054" s="36" t="s">
        <v>35629</v>
      </c>
      <c r="E3054" s="36" t="s">
        <v>1</v>
      </c>
      <c r="F3054" s="36">
        <v>1</v>
      </c>
      <c r="G3054" s="36">
        <v>3</v>
      </c>
      <c r="H3054" s="36">
        <v>0</v>
      </c>
      <c r="I3054" s="37">
        <v>0</v>
      </c>
      <c r="J3054" s="36" t="s">
        <v>32654</v>
      </c>
      <c r="K3054" s="36" t="s">
        <v>14330</v>
      </c>
      <c r="L3054" s="36" t="s">
        <v>14330</v>
      </c>
      <c r="M3054">
        <v>2</v>
      </c>
      <c r="N3054" t="s">
        <v>14331</v>
      </c>
      <c r="O3054" t="s">
        <v>32633</v>
      </c>
    </row>
    <row r="3055" spans="1:15" x14ac:dyDescent="0.25">
      <c r="A3055" s="35" t="s">
        <v>7328</v>
      </c>
      <c r="B3055" s="36" t="s">
        <v>7329</v>
      </c>
      <c r="C3055" s="36" t="str">
        <f>HYPERLINK("https://rhld.insurance.arkansas.gov/NPILookup?Npi=1578095048","1578095048")</f>
        <v>1578095048</v>
      </c>
      <c r="D3055" s="36" t="s">
        <v>35630</v>
      </c>
      <c r="E3055" s="36" t="s">
        <v>1</v>
      </c>
      <c r="F3055" s="36">
        <v>1</v>
      </c>
      <c r="G3055" s="36">
        <v>2</v>
      </c>
      <c r="H3055" s="36">
        <v>0</v>
      </c>
      <c r="I3055" s="37">
        <v>0</v>
      </c>
      <c r="J3055" s="36" t="s">
        <v>34836</v>
      </c>
      <c r="K3055" s="36" t="s">
        <v>14330</v>
      </c>
      <c r="L3055" s="36" t="s">
        <v>14330</v>
      </c>
      <c r="M3055">
        <v>3</v>
      </c>
      <c r="N3055" t="s">
        <v>14331</v>
      </c>
      <c r="O3055" t="s">
        <v>32633</v>
      </c>
    </row>
    <row r="3056" spans="1:15" x14ac:dyDescent="0.25">
      <c r="A3056" s="35" t="s">
        <v>7328</v>
      </c>
      <c r="B3056" s="36" t="s">
        <v>7329</v>
      </c>
      <c r="C3056" s="36" t="str">
        <f>HYPERLINK("https://rhld.insurance.arkansas.gov/NPILookup?Npi=1578193637","1578193637")</f>
        <v>1578193637</v>
      </c>
      <c r="D3056" s="36" t="s">
        <v>35631</v>
      </c>
      <c r="E3056" s="36" t="s">
        <v>1</v>
      </c>
      <c r="F3056" s="36">
        <v>1</v>
      </c>
      <c r="G3056" s="36">
        <v>3</v>
      </c>
      <c r="H3056" s="36">
        <v>0</v>
      </c>
      <c r="I3056" s="37">
        <v>0</v>
      </c>
      <c r="J3056" s="36" t="s">
        <v>32654</v>
      </c>
      <c r="K3056" s="36" t="s">
        <v>14330</v>
      </c>
      <c r="L3056" s="36" t="s">
        <v>14330</v>
      </c>
      <c r="M3056">
        <v>2</v>
      </c>
      <c r="N3056" t="s">
        <v>14331</v>
      </c>
      <c r="O3056" t="s">
        <v>32633</v>
      </c>
    </row>
    <row r="3057" spans="1:15" x14ac:dyDescent="0.25">
      <c r="A3057" s="35" t="s">
        <v>7328</v>
      </c>
      <c r="B3057" s="36" t="s">
        <v>7329</v>
      </c>
      <c r="C3057" s="36" t="str">
        <f>HYPERLINK("https://rhld.insurance.arkansas.gov/NPILookup?Npi=1578251757","1578251757")</f>
        <v>1578251757</v>
      </c>
      <c r="D3057" s="36" t="s">
        <v>35632</v>
      </c>
      <c r="E3057" s="36" t="s">
        <v>2</v>
      </c>
      <c r="F3057" s="36">
        <v>1</v>
      </c>
      <c r="G3057" s="36">
        <v>2</v>
      </c>
      <c r="H3057" s="36">
        <v>0</v>
      </c>
      <c r="I3057" s="37">
        <v>0</v>
      </c>
      <c r="J3057" s="36"/>
      <c r="K3057" s="36" t="s">
        <v>14330</v>
      </c>
      <c r="L3057" s="36" t="s">
        <v>14330</v>
      </c>
      <c r="M3057">
        <v>1</v>
      </c>
      <c r="N3057" t="s">
        <v>14331</v>
      </c>
      <c r="O3057" t="s">
        <v>14333</v>
      </c>
    </row>
    <row r="3058" spans="1:15" x14ac:dyDescent="0.25">
      <c r="A3058" s="35" t="s">
        <v>7328</v>
      </c>
      <c r="B3058" s="36" t="s">
        <v>7329</v>
      </c>
      <c r="C3058" s="36" t="str">
        <f>HYPERLINK("https://rhld.insurance.arkansas.gov/NPILookup?Npi=1578252276","1578252276")</f>
        <v>1578252276</v>
      </c>
      <c r="D3058" s="36" t="s">
        <v>35633</v>
      </c>
      <c r="E3058" s="36" t="s">
        <v>2</v>
      </c>
      <c r="F3058" s="36">
        <v>1</v>
      </c>
      <c r="G3058" s="36">
        <v>1</v>
      </c>
      <c r="H3058" s="36">
        <v>0</v>
      </c>
      <c r="I3058" s="37">
        <v>0</v>
      </c>
      <c r="J3058" s="36"/>
      <c r="K3058" s="36" t="s">
        <v>14330</v>
      </c>
      <c r="L3058" s="36" t="s">
        <v>14330</v>
      </c>
      <c r="M3058">
        <v>1</v>
      </c>
      <c r="N3058" t="s">
        <v>14331</v>
      </c>
      <c r="O3058" t="s">
        <v>32633</v>
      </c>
    </row>
    <row r="3059" spans="1:15" x14ac:dyDescent="0.25">
      <c r="A3059" s="35" t="s">
        <v>7328</v>
      </c>
      <c r="B3059" s="36" t="s">
        <v>7329</v>
      </c>
      <c r="C3059" s="36" t="str">
        <f>HYPERLINK("https://rhld.insurance.arkansas.gov/NPILookup?Npi=1578357109","1578357109")</f>
        <v>1578357109</v>
      </c>
      <c r="D3059" s="36" t="s">
        <v>34761</v>
      </c>
      <c r="E3059" s="36" t="s">
        <v>2</v>
      </c>
      <c r="F3059" s="36">
        <v>1</v>
      </c>
      <c r="G3059" s="36">
        <v>1</v>
      </c>
      <c r="H3059" s="36">
        <v>0</v>
      </c>
      <c r="I3059" s="37">
        <v>0</v>
      </c>
      <c r="J3059" s="36"/>
      <c r="K3059" s="36" t="s">
        <v>14330</v>
      </c>
      <c r="L3059" s="36" t="s">
        <v>14330</v>
      </c>
      <c r="M3059">
        <v>2</v>
      </c>
      <c r="N3059" t="s">
        <v>14331</v>
      </c>
      <c r="O3059" t="s">
        <v>32633</v>
      </c>
    </row>
    <row r="3060" spans="1:15" x14ac:dyDescent="0.25">
      <c r="A3060" s="35" t="s">
        <v>7328</v>
      </c>
      <c r="B3060" s="36" t="s">
        <v>7329</v>
      </c>
      <c r="C3060" s="36" t="str">
        <f>HYPERLINK("https://rhld.insurance.arkansas.gov/NPILookup?Npi=1578372660","1578372660")</f>
        <v>1578372660</v>
      </c>
      <c r="D3060" s="36" t="s">
        <v>35634</v>
      </c>
      <c r="E3060" s="36" t="s">
        <v>2</v>
      </c>
      <c r="F3060" s="36">
        <v>1</v>
      </c>
      <c r="G3060" s="36">
        <v>2</v>
      </c>
      <c r="H3060" s="36">
        <v>0</v>
      </c>
      <c r="I3060" s="37">
        <v>0</v>
      </c>
      <c r="J3060" s="36"/>
      <c r="K3060" s="36" t="s">
        <v>14330</v>
      </c>
      <c r="L3060" s="36" t="s">
        <v>14330</v>
      </c>
      <c r="M3060">
        <v>1</v>
      </c>
      <c r="N3060" t="s">
        <v>14331</v>
      </c>
      <c r="O3060" t="s">
        <v>14333</v>
      </c>
    </row>
    <row r="3061" spans="1:15" x14ac:dyDescent="0.25">
      <c r="A3061" s="35" t="s">
        <v>7328</v>
      </c>
      <c r="B3061" s="36" t="s">
        <v>7329</v>
      </c>
      <c r="C3061" s="36" t="str">
        <f>HYPERLINK("https://rhld.insurance.arkansas.gov/NPILookup?Npi=1578387668","1578387668")</f>
        <v>1578387668</v>
      </c>
      <c r="D3061" s="36" t="s">
        <v>34762</v>
      </c>
      <c r="E3061" s="36" t="s">
        <v>2</v>
      </c>
      <c r="F3061" s="36">
        <v>1</v>
      </c>
      <c r="G3061" s="36">
        <v>1</v>
      </c>
      <c r="H3061" s="36">
        <v>0</v>
      </c>
      <c r="I3061" s="37">
        <v>0</v>
      </c>
      <c r="J3061" s="36"/>
      <c r="K3061" s="36" t="s">
        <v>14330</v>
      </c>
      <c r="L3061" s="36" t="s">
        <v>14330</v>
      </c>
      <c r="M3061">
        <v>3</v>
      </c>
      <c r="N3061" t="s">
        <v>14331</v>
      </c>
      <c r="O3061" t="s">
        <v>32633</v>
      </c>
    </row>
    <row r="3062" spans="1:15" x14ac:dyDescent="0.25">
      <c r="A3062" s="35" t="s">
        <v>7328</v>
      </c>
      <c r="B3062" s="36" t="s">
        <v>7329</v>
      </c>
      <c r="C3062" s="36" t="str">
        <f>HYPERLINK("https://rhld.insurance.arkansas.gov/NPILookup?Npi=1578520227","1578520227")</f>
        <v>1578520227</v>
      </c>
      <c r="D3062" s="36" t="s">
        <v>35635</v>
      </c>
      <c r="E3062" s="36" t="s">
        <v>1</v>
      </c>
      <c r="F3062" s="36">
        <v>1</v>
      </c>
      <c r="G3062" s="36">
        <v>3</v>
      </c>
      <c r="H3062" s="36">
        <v>0</v>
      </c>
      <c r="I3062" s="37">
        <v>0</v>
      </c>
      <c r="J3062" s="36" t="s">
        <v>34836</v>
      </c>
      <c r="K3062" s="36" t="s">
        <v>14330</v>
      </c>
      <c r="L3062" s="36" t="s">
        <v>14330</v>
      </c>
      <c r="M3062">
        <v>2</v>
      </c>
      <c r="N3062" t="s">
        <v>14331</v>
      </c>
      <c r="O3062" t="s">
        <v>32633</v>
      </c>
    </row>
    <row r="3063" spans="1:15" x14ac:dyDescent="0.25">
      <c r="A3063" s="35" t="s">
        <v>7328</v>
      </c>
      <c r="B3063" s="36" t="s">
        <v>7329</v>
      </c>
      <c r="C3063" s="36" t="str">
        <f>HYPERLINK("https://rhld.insurance.arkansas.gov/NPILookup?Npi=1578528618","1578528618")</f>
        <v>1578528618</v>
      </c>
      <c r="D3063" s="36" t="s">
        <v>35636</v>
      </c>
      <c r="E3063" s="36" t="s">
        <v>1</v>
      </c>
      <c r="F3063" s="36">
        <v>1</v>
      </c>
      <c r="G3063" s="36">
        <v>2</v>
      </c>
      <c r="H3063" s="36">
        <v>0</v>
      </c>
      <c r="I3063" s="37">
        <v>0</v>
      </c>
      <c r="J3063" s="36" t="s">
        <v>34836</v>
      </c>
      <c r="K3063" s="36" t="s">
        <v>14330</v>
      </c>
      <c r="L3063" s="36" t="s">
        <v>14330</v>
      </c>
      <c r="M3063">
        <v>3</v>
      </c>
      <c r="N3063" t="s">
        <v>14331</v>
      </c>
      <c r="O3063" t="s">
        <v>32633</v>
      </c>
    </row>
    <row r="3064" spans="1:15" x14ac:dyDescent="0.25">
      <c r="A3064" s="35" t="s">
        <v>7328</v>
      </c>
      <c r="B3064" s="36" t="s">
        <v>7329</v>
      </c>
      <c r="C3064" s="36" t="str">
        <f>HYPERLINK("https://rhld.insurance.arkansas.gov/NPILookup?Npi=1578535092","1578535092")</f>
        <v>1578535092</v>
      </c>
      <c r="D3064" s="36" t="s">
        <v>35637</v>
      </c>
      <c r="E3064" s="36" t="s">
        <v>1</v>
      </c>
      <c r="F3064" s="36">
        <v>1</v>
      </c>
      <c r="G3064" s="36">
        <v>3</v>
      </c>
      <c r="H3064" s="36">
        <v>0</v>
      </c>
      <c r="I3064" s="37">
        <v>0</v>
      </c>
      <c r="J3064" s="36" t="s">
        <v>32654</v>
      </c>
      <c r="K3064" s="36" t="s">
        <v>35638</v>
      </c>
      <c r="L3064" s="36" t="s">
        <v>14330</v>
      </c>
      <c r="M3064">
        <v>2</v>
      </c>
      <c r="N3064" t="s">
        <v>14331</v>
      </c>
      <c r="O3064" t="s">
        <v>32633</v>
      </c>
    </row>
    <row r="3065" spans="1:15" x14ac:dyDescent="0.25">
      <c r="A3065" s="35" t="s">
        <v>7328</v>
      </c>
      <c r="B3065" s="36" t="s">
        <v>7329</v>
      </c>
      <c r="C3065" s="36" t="str">
        <f>HYPERLINK("https://rhld.insurance.arkansas.gov/NPILookup?Npi=1578680831","1578680831")</f>
        <v>1578680831</v>
      </c>
      <c r="D3065" s="36" t="s">
        <v>35639</v>
      </c>
      <c r="E3065" s="36" t="s">
        <v>1</v>
      </c>
      <c r="F3065" s="36">
        <v>1</v>
      </c>
      <c r="G3065" s="36">
        <v>2</v>
      </c>
      <c r="H3065" s="36">
        <v>0</v>
      </c>
      <c r="I3065" s="37">
        <v>0</v>
      </c>
      <c r="J3065" s="36" t="s">
        <v>34836</v>
      </c>
      <c r="K3065" s="36" t="s">
        <v>14330</v>
      </c>
      <c r="L3065" s="36" t="s">
        <v>14330</v>
      </c>
      <c r="M3065">
        <v>3</v>
      </c>
      <c r="N3065" t="s">
        <v>14331</v>
      </c>
      <c r="O3065" t="s">
        <v>32633</v>
      </c>
    </row>
    <row r="3066" spans="1:15" x14ac:dyDescent="0.25">
      <c r="A3066" s="35" t="s">
        <v>7328</v>
      </c>
      <c r="B3066" s="36" t="s">
        <v>7329</v>
      </c>
      <c r="C3066" s="36" t="str">
        <f>HYPERLINK("https://rhld.insurance.arkansas.gov/NPILookup?Npi=1578723276","1578723276")</f>
        <v>1578723276</v>
      </c>
      <c r="D3066" s="36" t="s">
        <v>35640</v>
      </c>
      <c r="E3066" s="36" t="s">
        <v>1</v>
      </c>
      <c r="F3066" s="36">
        <v>1</v>
      </c>
      <c r="G3066" s="36">
        <v>3</v>
      </c>
      <c r="H3066" s="36">
        <v>0</v>
      </c>
      <c r="I3066" s="37">
        <v>0</v>
      </c>
      <c r="J3066" s="36" t="s">
        <v>34836</v>
      </c>
      <c r="K3066" s="36" t="s">
        <v>14330</v>
      </c>
      <c r="L3066" s="36" t="s">
        <v>14330</v>
      </c>
      <c r="M3066">
        <v>3</v>
      </c>
      <c r="N3066" t="s">
        <v>14331</v>
      </c>
      <c r="O3066" t="s">
        <v>32633</v>
      </c>
    </row>
    <row r="3067" spans="1:15" x14ac:dyDescent="0.25">
      <c r="A3067" s="35" t="s">
        <v>7328</v>
      </c>
      <c r="B3067" s="36" t="s">
        <v>7329</v>
      </c>
      <c r="C3067" s="36" t="str">
        <f>HYPERLINK("https://rhld.insurance.arkansas.gov/NPILookup?Npi=1578780946","1578780946")</f>
        <v>1578780946</v>
      </c>
      <c r="D3067" s="36" t="s">
        <v>35641</v>
      </c>
      <c r="E3067" s="36" t="s">
        <v>1</v>
      </c>
      <c r="F3067" s="36">
        <v>1</v>
      </c>
      <c r="G3067" s="36">
        <v>3</v>
      </c>
      <c r="H3067" s="36">
        <v>0</v>
      </c>
      <c r="I3067" s="37">
        <v>0</v>
      </c>
      <c r="J3067" s="36" t="s">
        <v>32654</v>
      </c>
      <c r="K3067" s="36" t="s">
        <v>14330</v>
      </c>
      <c r="L3067" s="36" t="s">
        <v>14330</v>
      </c>
      <c r="M3067">
        <v>2</v>
      </c>
      <c r="N3067" t="s">
        <v>14331</v>
      </c>
      <c r="O3067" t="s">
        <v>32633</v>
      </c>
    </row>
    <row r="3068" spans="1:15" x14ac:dyDescent="0.25">
      <c r="A3068" s="35" t="s">
        <v>7328</v>
      </c>
      <c r="B3068" s="36" t="s">
        <v>7329</v>
      </c>
      <c r="C3068" s="36" t="str">
        <f>HYPERLINK("https://rhld.insurance.arkansas.gov/NPILookup?Npi=1578911293","1578911293")</f>
        <v>1578911293</v>
      </c>
      <c r="D3068" s="36" t="s">
        <v>35642</v>
      </c>
      <c r="E3068" s="36" t="s">
        <v>2</v>
      </c>
      <c r="F3068" s="36">
        <v>1</v>
      </c>
      <c r="G3068" s="36">
        <v>2</v>
      </c>
      <c r="H3068" s="36">
        <v>0</v>
      </c>
      <c r="I3068" s="37">
        <v>0</v>
      </c>
      <c r="J3068" s="36"/>
      <c r="K3068" s="36" t="s">
        <v>14330</v>
      </c>
      <c r="L3068" s="36" t="s">
        <v>14330</v>
      </c>
      <c r="M3068">
        <v>-1</v>
      </c>
      <c r="N3068" t="s">
        <v>14331</v>
      </c>
      <c r="O3068" t="s">
        <v>14333</v>
      </c>
    </row>
    <row r="3069" spans="1:15" x14ac:dyDescent="0.25">
      <c r="A3069" s="35" t="s">
        <v>7328</v>
      </c>
      <c r="B3069" s="36" t="s">
        <v>7329</v>
      </c>
      <c r="C3069" s="36" t="str">
        <f>HYPERLINK("https://rhld.insurance.arkansas.gov/NPILookup?Npi=1588008684","1588008684")</f>
        <v>1588008684</v>
      </c>
      <c r="D3069" s="36" t="s">
        <v>35643</v>
      </c>
      <c r="E3069" s="36" t="s">
        <v>1</v>
      </c>
      <c r="F3069" s="36">
        <v>1</v>
      </c>
      <c r="G3069" s="36">
        <v>0</v>
      </c>
      <c r="H3069" s="36">
        <v>1</v>
      </c>
      <c r="I3069" s="37">
        <v>0</v>
      </c>
      <c r="J3069" s="36" t="s">
        <v>32654</v>
      </c>
      <c r="K3069" s="36" t="s">
        <v>14330</v>
      </c>
      <c r="L3069" s="36" t="s">
        <v>35563</v>
      </c>
      <c r="M3069">
        <v>2</v>
      </c>
      <c r="N3069" t="s">
        <v>14332</v>
      </c>
      <c r="O3069" t="s">
        <v>32591</v>
      </c>
    </row>
    <row r="3070" spans="1:15" x14ac:dyDescent="0.25">
      <c r="A3070" s="35" t="s">
        <v>7328</v>
      </c>
      <c r="B3070" s="36" t="s">
        <v>7329</v>
      </c>
      <c r="C3070" s="36" t="str">
        <f>HYPERLINK("https://rhld.insurance.arkansas.gov/NPILookup?Npi=1588019194","1588019194")</f>
        <v>1588019194</v>
      </c>
      <c r="D3070" s="36" t="s">
        <v>35644</v>
      </c>
      <c r="E3070" s="36" t="s">
        <v>1</v>
      </c>
      <c r="F3070" s="36">
        <v>1</v>
      </c>
      <c r="G3070" s="36">
        <v>2</v>
      </c>
      <c r="H3070" s="36">
        <v>0</v>
      </c>
      <c r="I3070" s="37">
        <v>0</v>
      </c>
      <c r="J3070" s="36" t="s">
        <v>34836</v>
      </c>
      <c r="K3070" s="36" t="s">
        <v>14330</v>
      </c>
      <c r="L3070" s="36" t="s">
        <v>14330</v>
      </c>
      <c r="M3070">
        <v>2</v>
      </c>
      <c r="N3070" t="s">
        <v>14331</v>
      </c>
      <c r="O3070" t="s">
        <v>32633</v>
      </c>
    </row>
    <row r="3071" spans="1:15" x14ac:dyDescent="0.25">
      <c r="A3071" s="35" t="s">
        <v>7328</v>
      </c>
      <c r="B3071" s="36" t="s">
        <v>7329</v>
      </c>
      <c r="C3071" s="36" t="str">
        <f>HYPERLINK("https://rhld.insurance.arkansas.gov/NPILookup?Npi=1588147078","1588147078")</f>
        <v>1588147078</v>
      </c>
      <c r="D3071" s="36" t="s">
        <v>35645</v>
      </c>
      <c r="E3071" s="36" t="s">
        <v>2</v>
      </c>
      <c r="F3071" s="36">
        <v>1</v>
      </c>
      <c r="G3071" s="36">
        <v>2</v>
      </c>
      <c r="H3071" s="36">
        <v>0</v>
      </c>
      <c r="I3071" s="37">
        <v>0</v>
      </c>
      <c r="J3071" s="36"/>
      <c r="K3071" s="36" t="s">
        <v>14330</v>
      </c>
      <c r="L3071" s="36" t="s">
        <v>14330</v>
      </c>
      <c r="M3071">
        <v>1</v>
      </c>
      <c r="N3071" t="s">
        <v>14331</v>
      </c>
      <c r="O3071" t="s">
        <v>14333</v>
      </c>
    </row>
    <row r="3072" spans="1:15" x14ac:dyDescent="0.25">
      <c r="A3072" s="35" t="s">
        <v>7328</v>
      </c>
      <c r="B3072" s="36" t="s">
        <v>7329</v>
      </c>
      <c r="C3072" s="36" t="str">
        <f>HYPERLINK("https://rhld.insurance.arkansas.gov/NPILookup?Npi=1588265896","1588265896")</f>
        <v>1588265896</v>
      </c>
      <c r="D3072" s="36" t="s">
        <v>35646</v>
      </c>
      <c r="E3072" s="36" t="s">
        <v>2</v>
      </c>
      <c r="F3072" s="36">
        <v>2</v>
      </c>
      <c r="G3072" s="36">
        <v>1</v>
      </c>
      <c r="H3072" s="36">
        <v>0</v>
      </c>
      <c r="I3072" s="37">
        <v>0</v>
      </c>
      <c r="J3072" s="36" t="s">
        <v>33004</v>
      </c>
      <c r="K3072" s="36" t="s">
        <v>14330</v>
      </c>
      <c r="L3072" s="36" t="s">
        <v>14330</v>
      </c>
      <c r="M3072">
        <v>2</v>
      </c>
      <c r="N3072" t="s">
        <v>14331</v>
      </c>
      <c r="O3072" t="s">
        <v>32633</v>
      </c>
    </row>
    <row r="3073" spans="1:15" x14ac:dyDescent="0.25">
      <c r="A3073" s="35" t="s">
        <v>7328</v>
      </c>
      <c r="B3073" s="36" t="s">
        <v>7329</v>
      </c>
      <c r="C3073" s="36" t="str">
        <f>HYPERLINK("https://rhld.insurance.arkansas.gov/NPILookup?Npi=1588293344","1588293344")</f>
        <v>1588293344</v>
      </c>
      <c r="D3073" s="36" t="s">
        <v>35647</v>
      </c>
      <c r="E3073" s="36" t="s">
        <v>2</v>
      </c>
      <c r="F3073" s="36">
        <v>1</v>
      </c>
      <c r="G3073" s="36">
        <v>2</v>
      </c>
      <c r="H3073" s="36">
        <v>0</v>
      </c>
      <c r="I3073" s="37">
        <v>0</v>
      </c>
      <c r="J3073" s="36"/>
      <c r="K3073" s="36" t="s">
        <v>14330</v>
      </c>
      <c r="L3073" s="36" t="s">
        <v>14330</v>
      </c>
      <c r="M3073">
        <v>2</v>
      </c>
      <c r="N3073" t="s">
        <v>14331</v>
      </c>
      <c r="O3073" t="s">
        <v>14333</v>
      </c>
    </row>
    <row r="3074" spans="1:15" x14ac:dyDescent="0.25">
      <c r="A3074" s="35" t="s">
        <v>7328</v>
      </c>
      <c r="B3074" s="36" t="s">
        <v>7329</v>
      </c>
      <c r="C3074" s="36" t="str">
        <f>HYPERLINK("https://rhld.insurance.arkansas.gov/NPILookup?Npi=1588299291","1588299291")</f>
        <v>1588299291</v>
      </c>
      <c r="D3074" s="36" t="s">
        <v>35648</v>
      </c>
      <c r="E3074" s="36" t="s">
        <v>1</v>
      </c>
      <c r="F3074" s="36">
        <v>1</v>
      </c>
      <c r="G3074" s="36">
        <v>2</v>
      </c>
      <c r="H3074" s="36">
        <v>0</v>
      </c>
      <c r="I3074" s="37">
        <v>0</v>
      </c>
      <c r="J3074" s="36" t="s">
        <v>32654</v>
      </c>
      <c r="K3074" s="36" t="s">
        <v>14330</v>
      </c>
      <c r="L3074" s="36" t="s">
        <v>14330</v>
      </c>
      <c r="M3074">
        <v>2</v>
      </c>
      <c r="N3074" t="s">
        <v>14331</v>
      </c>
      <c r="O3074" t="s">
        <v>32633</v>
      </c>
    </row>
    <row r="3075" spans="1:15" x14ac:dyDescent="0.25">
      <c r="A3075" s="35" t="s">
        <v>7328</v>
      </c>
      <c r="B3075" s="36" t="s">
        <v>7329</v>
      </c>
      <c r="C3075" s="36" t="str">
        <f>HYPERLINK("https://rhld.insurance.arkansas.gov/NPILookup?Npi=1588300958","1588300958")</f>
        <v>1588300958</v>
      </c>
      <c r="D3075" s="36" t="s">
        <v>35649</v>
      </c>
      <c r="E3075" s="36" t="s">
        <v>2</v>
      </c>
      <c r="F3075" s="36">
        <v>1</v>
      </c>
      <c r="G3075" s="36">
        <v>2</v>
      </c>
      <c r="H3075" s="36">
        <v>0</v>
      </c>
      <c r="I3075" s="37">
        <v>0</v>
      </c>
      <c r="J3075" s="36"/>
      <c r="K3075" s="36" t="s">
        <v>14330</v>
      </c>
      <c r="L3075" s="36" t="s">
        <v>14330</v>
      </c>
      <c r="M3075">
        <v>1</v>
      </c>
      <c r="N3075" t="s">
        <v>14331</v>
      </c>
      <c r="O3075" t="s">
        <v>14333</v>
      </c>
    </row>
    <row r="3076" spans="1:15" x14ac:dyDescent="0.25">
      <c r="A3076" s="35" t="s">
        <v>7328</v>
      </c>
      <c r="B3076" s="36" t="s">
        <v>7329</v>
      </c>
      <c r="C3076" s="36" t="str">
        <f>HYPERLINK("https://rhld.insurance.arkansas.gov/NPILookup?Npi=1588434070","1588434070")</f>
        <v>1588434070</v>
      </c>
      <c r="D3076" s="36" t="s">
        <v>34764</v>
      </c>
      <c r="E3076" s="36" t="s">
        <v>2</v>
      </c>
      <c r="F3076" s="36">
        <v>1</v>
      </c>
      <c r="G3076" s="36">
        <v>1</v>
      </c>
      <c r="H3076" s="36">
        <v>0</v>
      </c>
      <c r="I3076" s="37">
        <v>0</v>
      </c>
      <c r="J3076" s="36"/>
      <c r="K3076" s="36" t="s">
        <v>14330</v>
      </c>
      <c r="L3076" s="36" t="s">
        <v>14330</v>
      </c>
      <c r="M3076">
        <v>2</v>
      </c>
      <c r="N3076" t="s">
        <v>14331</v>
      </c>
      <c r="O3076" t="s">
        <v>32633</v>
      </c>
    </row>
    <row r="3077" spans="1:15" x14ac:dyDescent="0.25">
      <c r="A3077" s="35" t="s">
        <v>7328</v>
      </c>
      <c r="B3077" s="36" t="s">
        <v>7329</v>
      </c>
      <c r="C3077" s="36" t="str">
        <f>HYPERLINK("https://rhld.insurance.arkansas.gov/NPILookup?Npi=1588604672","1588604672")</f>
        <v>1588604672</v>
      </c>
      <c r="D3077" s="36" t="s">
        <v>35650</v>
      </c>
      <c r="E3077" s="36" t="s">
        <v>1</v>
      </c>
      <c r="F3077" s="36">
        <v>1</v>
      </c>
      <c r="G3077" s="36">
        <v>2</v>
      </c>
      <c r="H3077" s="36">
        <v>0</v>
      </c>
      <c r="I3077" s="37">
        <v>0</v>
      </c>
      <c r="J3077" s="36" t="s">
        <v>34836</v>
      </c>
      <c r="K3077" s="36" t="s">
        <v>14330</v>
      </c>
      <c r="L3077" s="36" t="s">
        <v>14330</v>
      </c>
      <c r="M3077">
        <v>3</v>
      </c>
      <c r="N3077" t="s">
        <v>14331</v>
      </c>
      <c r="O3077" t="s">
        <v>32633</v>
      </c>
    </row>
    <row r="3078" spans="1:15" x14ac:dyDescent="0.25">
      <c r="A3078" s="35" t="s">
        <v>7328</v>
      </c>
      <c r="B3078" s="36" t="s">
        <v>7329</v>
      </c>
      <c r="C3078" s="36" t="str">
        <f>HYPERLINK("https://rhld.insurance.arkansas.gov/NPILookup?Npi=1588658983","1588658983")</f>
        <v>1588658983</v>
      </c>
      <c r="D3078" s="36" t="s">
        <v>35651</v>
      </c>
      <c r="E3078" s="36" t="s">
        <v>1</v>
      </c>
      <c r="F3078" s="36">
        <v>1</v>
      </c>
      <c r="G3078" s="36">
        <v>3</v>
      </c>
      <c r="H3078" s="36">
        <v>0</v>
      </c>
      <c r="I3078" s="37">
        <v>0</v>
      </c>
      <c r="J3078" s="36" t="s">
        <v>34836</v>
      </c>
      <c r="K3078" s="36" t="s">
        <v>14330</v>
      </c>
      <c r="L3078" s="36" t="s">
        <v>14330</v>
      </c>
      <c r="M3078">
        <v>2</v>
      </c>
      <c r="N3078" t="s">
        <v>14331</v>
      </c>
      <c r="O3078" t="s">
        <v>32633</v>
      </c>
    </row>
    <row r="3079" spans="1:15" x14ac:dyDescent="0.25">
      <c r="A3079" s="35" t="s">
        <v>7328</v>
      </c>
      <c r="B3079" s="36" t="s">
        <v>7329</v>
      </c>
      <c r="C3079" s="36" t="str">
        <f>HYPERLINK("https://rhld.insurance.arkansas.gov/NPILookup?Npi=1588682801","1588682801")</f>
        <v>1588682801</v>
      </c>
      <c r="D3079" s="36" t="s">
        <v>35652</v>
      </c>
      <c r="E3079" s="36" t="s">
        <v>1</v>
      </c>
      <c r="F3079" s="36">
        <v>1</v>
      </c>
      <c r="G3079" s="36">
        <v>2</v>
      </c>
      <c r="H3079" s="36">
        <v>0</v>
      </c>
      <c r="I3079" s="37">
        <v>0</v>
      </c>
      <c r="J3079" s="36" t="s">
        <v>32723</v>
      </c>
      <c r="K3079" s="36" t="s">
        <v>14330</v>
      </c>
      <c r="L3079" s="36" t="s">
        <v>14330</v>
      </c>
      <c r="M3079">
        <v>3</v>
      </c>
      <c r="N3079" t="s">
        <v>14331</v>
      </c>
      <c r="O3079" t="s">
        <v>32724</v>
      </c>
    </row>
    <row r="3080" spans="1:15" x14ac:dyDescent="0.25">
      <c r="A3080" s="35" t="s">
        <v>7328</v>
      </c>
      <c r="B3080" s="36" t="s">
        <v>7329</v>
      </c>
      <c r="C3080" s="36" t="str">
        <f>HYPERLINK("https://rhld.insurance.arkansas.gov/NPILookup?Npi=1588696082","1588696082")</f>
        <v>1588696082</v>
      </c>
      <c r="D3080" s="36" t="s">
        <v>34372</v>
      </c>
      <c r="E3080" s="36" t="s">
        <v>1</v>
      </c>
      <c r="F3080" s="36">
        <v>1</v>
      </c>
      <c r="G3080" s="36">
        <v>3</v>
      </c>
      <c r="H3080" s="36">
        <v>0</v>
      </c>
      <c r="I3080" s="37">
        <v>0</v>
      </c>
      <c r="J3080" s="36" t="s">
        <v>32654</v>
      </c>
      <c r="K3080" s="36" t="s">
        <v>14330</v>
      </c>
      <c r="L3080" s="36" t="s">
        <v>14330</v>
      </c>
      <c r="M3080">
        <v>3</v>
      </c>
      <c r="N3080" t="s">
        <v>14331</v>
      </c>
      <c r="O3080" t="s">
        <v>32633</v>
      </c>
    </row>
    <row r="3081" spans="1:15" x14ac:dyDescent="0.25">
      <c r="A3081" s="35" t="s">
        <v>7328</v>
      </c>
      <c r="B3081" s="36" t="s">
        <v>7329</v>
      </c>
      <c r="C3081" s="36" t="str">
        <f>HYPERLINK("https://rhld.insurance.arkansas.gov/NPILookup?Npi=1588748990","1588748990")</f>
        <v>1588748990</v>
      </c>
      <c r="D3081" s="36" t="s">
        <v>35653</v>
      </c>
      <c r="E3081" s="36" t="s">
        <v>1</v>
      </c>
      <c r="F3081" s="36">
        <v>1</v>
      </c>
      <c r="G3081" s="36">
        <v>3</v>
      </c>
      <c r="H3081" s="36">
        <v>0</v>
      </c>
      <c r="I3081" s="37">
        <v>0</v>
      </c>
      <c r="J3081" s="36" t="s">
        <v>34836</v>
      </c>
      <c r="K3081" s="36" t="s">
        <v>14330</v>
      </c>
      <c r="L3081" s="36" t="s">
        <v>14330</v>
      </c>
      <c r="M3081">
        <v>3</v>
      </c>
      <c r="N3081" t="s">
        <v>14331</v>
      </c>
      <c r="O3081" t="s">
        <v>32633</v>
      </c>
    </row>
    <row r="3082" spans="1:15" x14ac:dyDescent="0.25">
      <c r="A3082" s="35" t="s">
        <v>7328</v>
      </c>
      <c r="B3082" s="36" t="s">
        <v>7329</v>
      </c>
      <c r="C3082" s="36" t="str">
        <f>HYPERLINK("https://rhld.insurance.arkansas.gov/NPILookup?Npi=1588841340","1588841340")</f>
        <v>1588841340</v>
      </c>
      <c r="D3082" s="36" t="s">
        <v>35654</v>
      </c>
      <c r="E3082" s="36" t="s">
        <v>1</v>
      </c>
      <c r="F3082" s="36">
        <v>1</v>
      </c>
      <c r="G3082" s="36">
        <v>3</v>
      </c>
      <c r="H3082" s="36">
        <v>0</v>
      </c>
      <c r="I3082" s="37">
        <v>0</v>
      </c>
      <c r="J3082" s="36" t="s">
        <v>34836</v>
      </c>
      <c r="K3082" s="36" t="s">
        <v>14330</v>
      </c>
      <c r="L3082" s="36" t="s">
        <v>14330</v>
      </c>
      <c r="M3082">
        <v>3</v>
      </c>
      <c r="N3082" t="s">
        <v>14331</v>
      </c>
      <c r="O3082" t="s">
        <v>32633</v>
      </c>
    </row>
    <row r="3083" spans="1:15" x14ac:dyDescent="0.25">
      <c r="A3083" s="35" t="s">
        <v>7328</v>
      </c>
      <c r="B3083" s="36" t="s">
        <v>7329</v>
      </c>
      <c r="C3083" s="36" t="str">
        <f>HYPERLINK("https://rhld.insurance.arkansas.gov/NPILookup?Npi=1588862445","1588862445")</f>
        <v>1588862445</v>
      </c>
      <c r="D3083" s="36" t="s">
        <v>35655</v>
      </c>
      <c r="E3083" s="36" t="s">
        <v>1</v>
      </c>
      <c r="F3083" s="36">
        <v>1</v>
      </c>
      <c r="G3083" s="36">
        <v>3</v>
      </c>
      <c r="H3083" s="36">
        <v>0</v>
      </c>
      <c r="I3083" s="37">
        <v>0</v>
      </c>
      <c r="J3083" s="36" t="s">
        <v>34836</v>
      </c>
      <c r="K3083" s="36" t="s">
        <v>14330</v>
      </c>
      <c r="L3083" s="36" t="s">
        <v>14330</v>
      </c>
      <c r="M3083">
        <v>2</v>
      </c>
      <c r="N3083" t="s">
        <v>14331</v>
      </c>
      <c r="O3083" t="s">
        <v>32633</v>
      </c>
    </row>
    <row r="3084" spans="1:15" x14ac:dyDescent="0.25">
      <c r="A3084" s="35" t="s">
        <v>7328</v>
      </c>
      <c r="B3084" s="36" t="s">
        <v>7329</v>
      </c>
      <c r="C3084" s="36" t="str">
        <f>HYPERLINK("https://rhld.insurance.arkansas.gov/NPILookup?Npi=1598011074","1598011074")</f>
        <v>1598011074</v>
      </c>
      <c r="D3084" s="36" t="s">
        <v>35656</v>
      </c>
      <c r="E3084" s="36" t="s">
        <v>1</v>
      </c>
      <c r="F3084" s="36">
        <v>1</v>
      </c>
      <c r="G3084" s="36">
        <v>2</v>
      </c>
      <c r="H3084" s="36">
        <v>0</v>
      </c>
      <c r="I3084" s="37">
        <v>0</v>
      </c>
      <c r="J3084" s="36" t="s">
        <v>32654</v>
      </c>
      <c r="K3084" s="36" t="s">
        <v>14330</v>
      </c>
      <c r="L3084" s="36" t="s">
        <v>14330</v>
      </c>
      <c r="M3084">
        <v>2</v>
      </c>
      <c r="N3084" t="s">
        <v>14331</v>
      </c>
      <c r="O3084" t="s">
        <v>32633</v>
      </c>
    </row>
    <row r="3085" spans="1:15" x14ac:dyDescent="0.25">
      <c r="A3085" s="35" t="s">
        <v>7328</v>
      </c>
      <c r="B3085" s="36" t="s">
        <v>7329</v>
      </c>
      <c r="C3085" s="36" t="str">
        <f>HYPERLINK("https://rhld.insurance.arkansas.gov/NPILookup?Npi=1598020034","1598020034")</f>
        <v>1598020034</v>
      </c>
      <c r="D3085" s="36" t="s">
        <v>35657</v>
      </c>
      <c r="E3085" s="36" t="s">
        <v>1</v>
      </c>
      <c r="F3085" s="36">
        <v>1</v>
      </c>
      <c r="G3085" s="36">
        <v>2</v>
      </c>
      <c r="H3085" s="36">
        <v>0</v>
      </c>
      <c r="I3085" s="37">
        <v>0</v>
      </c>
      <c r="J3085" s="36" t="s">
        <v>34836</v>
      </c>
      <c r="K3085" s="36" t="s">
        <v>14330</v>
      </c>
      <c r="L3085" s="36" t="s">
        <v>14330</v>
      </c>
      <c r="M3085">
        <v>2</v>
      </c>
      <c r="N3085" t="s">
        <v>14331</v>
      </c>
      <c r="O3085" t="s">
        <v>32633</v>
      </c>
    </row>
    <row r="3086" spans="1:15" x14ac:dyDescent="0.25">
      <c r="A3086" s="35" t="s">
        <v>7328</v>
      </c>
      <c r="B3086" s="36" t="s">
        <v>7329</v>
      </c>
      <c r="C3086" s="36" t="str">
        <f>HYPERLINK("https://rhld.insurance.arkansas.gov/NPILookup?Npi=1598026304","1598026304")</f>
        <v>1598026304</v>
      </c>
      <c r="D3086" s="36" t="s">
        <v>35658</v>
      </c>
      <c r="E3086" s="36" t="s">
        <v>1</v>
      </c>
      <c r="F3086" s="36">
        <v>1</v>
      </c>
      <c r="G3086" s="36">
        <v>2</v>
      </c>
      <c r="H3086" s="36">
        <v>0</v>
      </c>
      <c r="I3086" s="37">
        <v>0</v>
      </c>
      <c r="J3086" s="36" t="s">
        <v>32723</v>
      </c>
      <c r="K3086" s="36" t="s">
        <v>14330</v>
      </c>
      <c r="L3086" s="36" t="s">
        <v>14330</v>
      </c>
      <c r="M3086">
        <v>2</v>
      </c>
      <c r="N3086" t="s">
        <v>14331</v>
      </c>
      <c r="O3086" t="s">
        <v>32724</v>
      </c>
    </row>
    <row r="3087" spans="1:15" x14ac:dyDescent="0.25">
      <c r="A3087" s="35" t="s">
        <v>7328</v>
      </c>
      <c r="B3087" s="36" t="s">
        <v>7329</v>
      </c>
      <c r="C3087" s="36" t="str">
        <f>HYPERLINK("https://rhld.insurance.arkansas.gov/NPILookup?Npi=1598085235","1598085235")</f>
        <v>1598085235</v>
      </c>
      <c r="D3087" s="36" t="s">
        <v>35659</v>
      </c>
      <c r="E3087" s="36" t="s">
        <v>1</v>
      </c>
      <c r="F3087" s="36">
        <v>1</v>
      </c>
      <c r="G3087" s="36">
        <v>2</v>
      </c>
      <c r="H3087" s="36">
        <v>0</v>
      </c>
      <c r="I3087" s="37">
        <v>0</v>
      </c>
      <c r="J3087" s="36" t="s">
        <v>34836</v>
      </c>
      <c r="K3087" s="36" t="s">
        <v>14330</v>
      </c>
      <c r="L3087" s="36" t="s">
        <v>14330</v>
      </c>
      <c r="M3087">
        <v>2</v>
      </c>
      <c r="N3087" t="s">
        <v>14331</v>
      </c>
      <c r="O3087" t="s">
        <v>32633</v>
      </c>
    </row>
    <row r="3088" spans="1:15" x14ac:dyDescent="0.25">
      <c r="A3088" s="35" t="s">
        <v>7328</v>
      </c>
      <c r="B3088" s="36" t="s">
        <v>7329</v>
      </c>
      <c r="C3088" s="36" t="str">
        <f>HYPERLINK("https://rhld.insurance.arkansas.gov/NPILookup?Npi=1598105033","1598105033")</f>
        <v>1598105033</v>
      </c>
      <c r="D3088" s="36" t="s">
        <v>35660</v>
      </c>
      <c r="E3088" s="36" t="s">
        <v>2</v>
      </c>
      <c r="F3088" s="36">
        <v>1</v>
      </c>
      <c r="G3088" s="36">
        <v>2</v>
      </c>
      <c r="H3088" s="36">
        <v>0</v>
      </c>
      <c r="I3088" s="37">
        <v>0</v>
      </c>
      <c r="J3088" s="36"/>
      <c r="K3088" s="36" t="s">
        <v>14330</v>
      </c>
      <c r="L3088" s="36" t="s">
        <v>14330</v>
      </c>
      <c r="M3088">
        <v>1</v>
      </c>
      <c r="N3088" t="s">
        <v>14331</v>
      </c>
      <c r="O3088" t="s">
        <v>14333</v>
      </c>
    </row>
    <row r="3089" spans="1:15" x14ac:dyDescent="0.25">
      <c r="A3089" s="35" t="s">
        <v>7328</v>
      </c>
      <c r="B3089" s="36" t="s">
        <v>7329</v>
      </c>
      <c r="C3089" s="36" t="str">
        <f>HYPERLINK("https://rhld.insurance.arkansas.gov/NPILookup?Npi=1598291106","1598291106")</f>
        <v>1598291106</v>
      </c>
      <c r="D3089" s="36" t="s">
        <v>35661</v>
      </c>
      <c r="E3089" s="36" t="s">
        <v>1</v>
      </c>
      <c r="F3089" s="36">
        <v>1</v>
      </c>
      <c r="G3089" s="36">
        <v>1</v>
      </c>
      <c r="H3089" s="36">
        <v>0</v>
      </c>
      <c r="I3089" s="37">
        <v>0</v>
      </c>
      <c r="J3089" s="36" t="s">
        <v>34836</v>
      </c>
      <c r="K3089" s="36" t="s">
        <v>14330</v>
      </c>
      <c r="L3089" s="36" t="s">
        <v>14330</v>
      </c>
      <c r="M3089">
        <v>2</v>
      </c>
      <c r="N3089" t="s">
        <v>14331</v>
      </c>
      <c r="O3089" t="s">
        <v>32633</v>
      </c>
    </row>
    <row r="3090" spans="1:15" x14ac:dyDescent="0.25">
      <c r="A3090" s="35" t="s">
        <v>7328</v>
      </c>
      <c r="B3090" s="36" t="s">
        <v>7329</v>
      </c>
      <c r="C3090" s="36" t="str">
        <f>HYPERLINK("https://rhld.insurance.arkansas.gov/NPILookup?Npi=1598335614","1598335614")</f>
        <v>1598335614</v>
      </c>
      <c r="D3090" s="36" t="s">
        <v>34765</v>
      </c>
      <c r="E3090" s="36" t="s">
        <v>2</v>
      </c>
      <c r="F3090" s="36">
        <v>1</v>
      </c>
      <c r="G3090" s="36">
        <v>2</v>
      </c>
      <c r="H3090" s="36">
        <v>0</v>
      </c>
      <c r="I3090" s="37">
        <v>0</v>
      </c>
      <c r="J3090" s="36"/>
      <c r="K3090" s="36" t="s">
        <v>14330</v>
      </c>
      <c r="L3090" s="36" t="s">
        <v>14330</v>
      </c>
      <c r="M3090">
        <v>2</v>
      </c>
      <c r="N3090" t="s">
        <v>14331</v>
      </c>
      <c r="O3090" t="s">
        <v>14333</v>
      </c>
    </row>
    <row r="3091" spans="1:15" x14ac:dyDescent="0.25">
      <c r="A3091" s="35" t="s">
        <v>7328</v>
      </c>
      <c r="B3091" s="36" t="s">
        <v>7329</v>
      </c>
      <c r="C3091" s="36" t="str">
        <f>HYPERLINK("https://rhld.insurance.arkansas.gov/NPILookup?Npi=1598394074","1598394074")</f>
        <v>1598394074</v>
      </c>
      <c r="D3091" s="36" t="s">
        <v>35662</v>
      </c>
      <c r="E3091" s="36" t="s">
        <v>1</v>
      </c>
      <c r="F3091" s="36">
        <v>1</v>
      </c>
      <c r="G3091" s="36">
        <v>2</v>
      </c>
      <c r="H3091" s="36">
        <v>0</v>
      </c>
      <c r="I3091" s="37">
        <v>0</v>
      </c>
      <c r="J3091" s="36" t="s">
        <v>34836</v>
      </c>
      <c r="K3091" s="36" t="s">
        <v>14330</v>
      </c>
      <c r="L3091" s="36" t="s">
        <v>14330</v>
      </c>
      <c r="M3091">
        <v>3</v>
      </c>
      <c r="N3091" t="s">
        <v>14331</v>
      </c>
      <c r="O3091" t="s">
        <v>32633</v>
      </c>
    </row>
    <row r="3092" spans="1:15" x14ac:dyDescent="0.25">
      <c r="A3092" s="35" t="s">
        <v>7328</v>
      </c>
      <c r="B3092" s="36" t="s">
        <v>7329</v>
      </c>
      <c r="C3092" s="36" t="str">
        <f>HYPERLINK("https://rhld.insurance.arkansas.gov/NPILookup?Npi=1598417511","1598417511")</f>
        <v>1598417511</v>
      </c>
      <c r="D3092" s="36" t="s">
        <v>35663</v>
      </c>
      <c r="E3092" s="36" t="s">
        <v>1</v>
      </c>
      <c r="F3092" s="36">
        <v>1</v>
      </c>
      <c r="G3092" s="36">
        <v>3</v>
      </c>
      <c r="H3092" s="36">
        <v>0</v>
      </c>
      <c r="I3092" s="37">
        <v>0</v>
      </c>
      <c r="J3092" s="36" t="s">
        <v>32654</v>
      </c>
      <c r="K3092" s="36" t="s">
        <v>14330</v>
      </c>
      <c r="L3092" s="36" t="s">
        <v>14330</v>
      </c>
      <c r="M3092">
        <v>0</v>
      </c>
      <c r="N3092" t="s">
        <v>14331</v>
      </c>
      <c r="O3092" t="s">
        <v>32633</v>
      </c>
    </row>
    <row r="3093" spans="1:15" x14ac:dyDescent="0.25">
      <c r="A3093" s="35" t="s">
        <v>7328</v>
      </c>
      <c r="B3093" s="36" t="s">
        <v>7329</v>
      </c>
      <c r="C3093" s="36" t="str">
        <f>HYPERLINK("https://rhld.insurance.arkansas.gov/NPILookup?Npi=1598725111","1598725111")</f>
        <v>1598725111</v>
      </c>
      <c r="D3093" s="36" t="s">
        <v>35664</v>
      </c>
      <c r="E3093" s="36" t="s">
        <v>1</v>
      </c>
      <c r="F3093" s="36">
        <v>1</v>
      </c>
      <c r="G3093" s="36">
        <v>1</v>
      </c>
      <c r="H3093" s="36">
        <v>1</v>
      </c>
      <c r="I3093" s="37">
        <v>0</v>
      </c>
      <c r="J3093" s="36" t="s">
        <v>32654</v>
      </c>
      <c r="K3093" s="36" t="s">
        <v>14330</v>
      </c>
      <c r="L3093" s="36" t="s">
        <v>35563</v>
      </c>
      <c r="M3093">
        <v>2</v>
      </c>
      <c r="N3093" t="s">
        <v>14332</v>
      </c>
      <c r="O3093" t="s">
        <v>32591</v>
      </c>
    </row>
    <row r="3094" spans="1:15" x14ac:dyDescent="0.25">
      <c r="A3094" s="35" t="s">
        <v>7328</v>
      </c>
      <c r="B3094" s="36" t="s">
        <v>7329</v>
      </c>
      <c r="C3094" s="36" t="str">
        <f>HYPERLINK("https://rhld.insurance.arkansas.gov/NPILookup?Npi=1598737249","1598737249")</f>
        <v>1598737249</v>
      </c>
      <c r="D3094" s="36" t="s">
        <v>35665</v>
      </c>
      <c r="E3094" s="36" t="s">
        <v>1</v>
      </c>
      <c r="F3094" s="36">
        <v>1</v>
      </c>
      <c r="G3094" s="36">
        <v>2</v>
      </c>
      <c r="H3094" s="36">
        <v>0</v>
      </c>
      <c r="I3094" s="37">
        <v>0</v>
      </c>
      <c r="J3094" s="36" t="s">
        <v>32654</v>
      </c>
      <c r="K3094" s="36" t="s">
        <v>14330</v>
      </c>
      <c r="L3094" s="36" t="s">
        <v>14330</v>
      </c>
      <c r="M3094">
        <v>3</v>
      </c>
      <c r="N3094" t="s">
        <v>14331</v>
      </c>
      <c r="O3094" t="s">
        <v>32633</v>
      </c>
    </row>
    <row r="3095" spans="1:15" x14ac:dyDescent="0.25">
      <c r="A3095" s="35" t="s">
        <v>7328</v>
      </c>
      <c r="B3095" s="36" t="s">
        <v>7329</v>
      </c>
      <c r="C3095" s="36" t="str">
        <f>HYPERLINK("https://rhld.insurance.arkansas.gov/NPILookup?Npi=1598737835","1598737835")</f>
        <v>1598737835</v>
      </c>
      <c r="D3095" s="36" t="s">
        <v>35666</v>
      </c>
      <c r="E3095" s="36" t="s">
        <v>1</v>
      </c>
      <c r="F3095" s="36">
        <v>1</v>
      </c>
      <c r="G3095" s="36">
        <v>3</v>
      </c>
      <c r="H3095" s="36">
        <v>0</v>
      </c>
      <c r="I3095" s="37">
        <v>0</v>
      </c>
      <c r="J3095" s="36" t="s">
        <v>34836</v>
      </c>
      <c r="K3095" s="36" t="s">
        <v>14330</v>
      </c>
      <c r="L3095" s="36" t="s">
        <v>14330</v>
      </c>
      <c r="M3095">
        <v>3</v>
      </c>
      <c r="N3095" t="s">
        <v>14331</v>
      </c>
      <c r="O3095" t="s">
        <v>32633</v>
      </c>
    </row>
    <row r="3096" spans="1:15" x14ac:dyDescent="0.25">
      <c r="A3096" s="35" t="s">
        <v>7328</v>
      </c>
      <c r="B3096" s="36" t="s">
        <v>7329</v>
      </c>
      <c r="C3096" s="36" t="str">
        <f>HYPERLINK("https://rhld.insurance.arkansas.gov/NPILookup?Npi=1598771677","1598771677")</f>
        <v>1598771677</v>
      </c>
      <c r="D3096" s="36" t="s">
        <v>35667</v>
      </c>
      <c r="E3096" s="36" t="s">
        <v>1</v>
      </c>
      <c r="F3096" s="36">
        <v>1</v>
      </c>
      <c r="G3096" s="36">
        <v>3</v>
      </c>
      <c r="H3096" s="36">
        <v>0</v>
      </c>
      <c r="I3096" s="37">
        <v>0</v>
      </c>
      <c r="J3096" s="36" t="s">
        <v>32654</v>
      </c>
      <c r="K3096" s="36" t="s">
        <v>14330</v>
      </c>
      <c r="L3096" s="36" t="s">
        <v>14330</v>
      </c>
      <c r="M3096">
        <v>3</v>
      </c>
      <c r="N3096" t="s">
        <v>14331</v>
      </c>
      <c r="O3096" t="s">
        <v>32633</v>
      </c>
    </row>
    <row r="3097" spans="1:15" x14ac:dyDescent="0.25">
      <c r="A3097" s="35" t="s">
        <v>7328</v>
      </c>
      <c r="B3097" s="36" t="s">
        <v>7329</v>
      </c>
      <c r="C3097" s="36" t="str">
        <f>HYPERLINK("https://rhld.insurance.arkansas.gov/NPILookup?Npi=1598783870","1598783870")</f>
        <v>1598783870</v>
      </c>
      <c r="D3097" s="36" t="s">
        <v>35668</v>
      </c>
      <c r="E3097" s="36" t="s">
        <v>1</v>
      </c>
      <c r="F3097" s="36">
        <v>1</v>
      </c>
      <c r="G3097" s="36">
        <v>3</v>
      </c>
      <c r="H3097" s="36">
        <v>0</v>
      </c>
      <c r="I3097" s="37">
        <v>0</v>
      </c>
      <c r="J3097" s="36" t="s">
        <v>34836</v>
      </c>
      <c r="K3097" s="36" t="s">
        <v>14330</v>
      </c>
      <c r="L3097" s="36" t="s">
        <v>14330</v>
      </c>
      <c r="M3097">
        <v>2</v>
      </c>
      <c r="N3097" t="s">
        <v>14331</v>
      </c>
      <c r="O3097" t="s">
        <v>32633</v>
      </c>
    </row>
    <row r="3098" spans="1:15" x14ac:dyDescent="0.25">
      <c r="A3098" s="35" t="s">
        <v>7328</v>
      </c>
      <c r="B3098" s="36" t="s">
        <v>7329</v>
      </c>
      <c r="C3098" s="36" t="str">
        <f>HYPERLINK("https://rhld.insurance.arkansas.gov/NPILookup?Npi=1598793754","1598793754")</f>
        <v>1598793754</v>
      </c>
      <c r="D3098" s="36" t="s">
        <v>35669</v>
      </c>
      <c r="E3098" s="36" t="s">
        <v>1</v>
      </c>
      <c r="F3098" s="36">
        <v>1</v>
      </c>
      <c r="G3098" s="36">
        <v>2</v>
      </c>
      <c r="H3098" s="36">
        <v>0</v>
      </c>
      <c r="I3098" s="37">
        <v>0</v>
      </c>
      <c r="J3098" s="36" t="s">
        <v>34836</v>
      </c>
      <c r="K3098" s="36" t="s">
        <v>14330</v>
      </c>
      <c r="L3098" s="36" t="s">
        <v>14330</v>
      </c>
      <c r="M3098">
        <v>3</v>
      </c>
      <c r="N3098" t="s">
        <v>14331</v>
      </c>
      <c r="O3098" t="s">
        <v>32633</v>
      </c>
    </row>
    <row r="3099" spans="1:15" x14ac:dyDescent="0.25">
      <c r="A3099" s="35" t="s">
        <v>7328</v>
      </c>
      <c r="B3099" s="36" t="s">
        <v>7329</v>
      </c>
      <c r="C3099" s="36" t="str">
        <f>HYPERLINK("https://rhld.insurance.arkansas.gov/NPILookup?Npi=1598927543","1598927543")</f>
        <v>1598927543</v>
      </c>
      <c r="D3099" s="36" t="s">
        <v>35670</v>
      </c>
      <c r="E3099" s="36" t="s">
        <v>1</v>
      </c>
      <c r="F3099" s="36">
        <v>1</v>
      </c>
      <c r="G3099" s="36">
        <v>3</v>
      </c>
      <c r="H3099" s="36">
        <v>0</v>
      </c>
      <c r="I3099" s="37">
        <v>0</v>
      </c>
      <c r="J3099" s="36" t="s">
        <v>32723</v>
      </c>
      <c r="K3099" s="36" t="s">
        <v>14330</v>
      </c>
      <c r="L3099" s="36" t="s">
        <v>14330</v>
      </c>
      <c r="M3099">
        <v>3</v>
      </c>
      <c r="N3099" t="s">
        <v>14331</v>
      </c>
      <c r="O3099" t="s">
        <v>32724</v>
      </c>
    </row>
    <row r="3100" spans="1:15" x14ac:dyDescent="0.25">
      <c r="A3100" s="35" t="s">
        <v>7328</v>
      </c>
      <c r="B3100" s="36" t="s">
        <v>7329</v>
      </c>
      <c r="C3100" s="36" t="str">
        <f>HYPERLINK("https://rhld.insurance.arkansas.gov/NPILookup?Npi=1609005578","1609005578")</f>
        <v>1609005578</v>
      </c>
      <c r="D3100" s="36" t="s">
        <v>35671</v>
      </c>
      <c r="E3100" s="36" t="s">
        <v>1</v>
      </c>
      <c r="F3100" s="36">
        <v>1</v>
      </c>
      <c r="G3100" s="36">
        <v>3</v>
      </c>
      <c r="H3100" s="36">
        <v>0</v>
      </c>
      <c r="I3100" s="37">
        <v>0</v>
      </c>
      <c r="J3100" s="36" t="s">
        <v>34836</v>
      </c>
      <c r="K3100" s="36" t="s">
        <v>14330</v>
      </c>
      <c r="L3100" s="36" t="s">
        <v>14330</v>
      </c>
      <c r="M3100">
        <v>3</v>
      </c>
      <c r="N3100" t="s">
        <v>14331</v>
      </c>
      <c r="O3100" t="s">
        <v>32633</v>
      </c>
    </row>
    <row r="3101" spans="1:15" x14ac:dyDescent="0.25">
      <c r="A3101" s="35" t="s">
        <v>7328</v>
      </c>
      <c r="B3101" s="36" t="s">
        <v>7329</v>
      </c>
      <c r="C3101" s="36" t="str">
        <f>HYPERLINK("https://rhld.insurance.arkansas.gov/NPILookup?Npi=1609060334","1609060334")</f>
        <v>1609060334</v>
      </c>
      <c r="D3101" s="36" t="s">
        <v>35672</v>
      </c>
      <c r="E3101" s="36" t="s">
        <v>1</v>
      </c>
      <c r="F3101" s="36">
        <v>1</v>
      </c>
      <c r="G3101" s="36">
        <v>3</v>
      </c>
      <c r="H3101" s="36">
        <v>0</v>
      </c>
      <c r="I3101" s="37">
        <v>0</v>
      </c>
      <c r="J3101" s="36" t="s">
        <v>34836</v>
      </c>
      <c r="K3101" s="36" t="s">
        <v>14330</v>
      </c>
      <c r="L3101" s="36" t="s">
        <v>14330</v>
      </c>
      <c r="M3101">
        <v>3</v>
      </c>
      <c r="N3101" t="s">
        <v>14331</v>
      </c>
      <c r="O3101" t="s">
        <v>32633</v>
      </c>
    </row>
    <row r="3102" spans="1:15" x14ac:dyDescent="0.25">
      <c r="A3102" s="35" t="s">
        <v>7328</v>
      </c>
      <c r="B3102" s="36" t="s">
        <v>7329</v>
      </c>
      <c r="C3102" s="36" t="str">
        <f>HYPERLINK("https://rhld.insurance.arkansas.gov/NPILookup?Npi=1609072347","1609072347")</f>
        <v>1609072347</v>
      </c>
      <c r="D3102" s="36" t="s">
        <v>35673</v>
      </c>
      <c r="E3102" s="36" t="s">
        <v>1</v>
      </c>
      <c r="F3102" s="36">
        <v>1</v>
      </c>
      <c r="G3102" s="36">
        <v>3</v>
      </c>
      <c r="H3102" s="36">
        <v>0</v>
      </c>
      <c r="I3102" s="37">
        <v>0</v>
      </c>
      <c r="J3102" s="36" t="s">
        <v>34836</v>
      </c>
      <c r="K3102" s="36" t="s">
        <v>14330</v>
      </c>
      <c r="L3102" s="36" t="s">
        <v>14330</v>
      </c>
      <c r="M3102">
        <v>3</v>
      </c>
      <c r="N3102" t="s">
        <v>14331</v>
      </c>
      <c r="O3102" t="s">
        <v>32633</v>
      </c>
    </row>
    <row r="3103" spans="1:15" x14ac:dyDescent="0.25">
      <c r="A3103" s="35" t="s">
        <v>7328</v>
      </c>
      <c r="B3103" s="36" t="s">
        <v>7329</v>
      </c>
      <c r="C3103" s="36" t="str">
        <f>HYPERLINK("https://rhld.insurance.arkansas.gov/NPILookup?Npi=1609090869","1609090869")</f>
        <v>1609090869</v>
      </c>
      <c r="D3103" s="36" t="s">
        <v>35674</v>
      </c>
      <c r="E3103" s="36" t="s">
        <v>1</v>
      </c>
      <c r="F3103" s="36">
        <v>1</v>
      </c>
      <c r="G3103" s="36">
        <v>3</v>
      </c>
      <c r="H3103" s="36">
        <v>0</v>
      </c>
      <c r="I3103" s="37">
        <v>0</v>
      </c>
      <c r="J3103" s="36" t="s">
        <v>34836</v>
      </c>
      <c r="K3103" s="36" t="s">
        <v>14330</v>
      </c>
      <c r="L3103" s="36" t="s">
        <v>14330</v>
      </c>
      <c r="M3103">
        <v>1</v>
      </c>
      <c r="N3103" t="s">
        <v>14331</v>
      </c>
      <c r="O3103" t="s">
        <v>32633</v>
      </c>
    </row>
    <row r="3104" spans="1:15" x14ac:dyDescent="0.25">
      <c r="A3104" s="35" t="s">
        <v>7328</v>
      </c>
      <c r="B3104" s="36" t="s">
        <v>7329</v>
      </c>
      <c r="C3104" s="36" t="str">
        <f>HYPERLINK("https://rhld.insurance.arkansas.gov/NPILookup?Npi=1609096148","1609096148")</f>
        <v>1609096148</v>
      </c>
      <c r="D3104" s="36" t="s">
        <v>35675</v>
      </c>
      <c r="E3104" s="36" t="s">
        <v>1</v>
      </c>
      <c r="F3104" s="36">
        <v>1</v>
      </c>
      <c r="G3104" s="36">
        <v>1</v>
      </c>
      <c r="H3104" s="36">
        <v>0</v>
      </c>
      <c r="I3104" s="37">
        <v>0</v>
      </c>
      <c r="J3104" s="36" t="s">
        <v>34836</v>
      </c>
      <c r="K3104" s="36" t="s">
        <v>14330</v>
      </c>
      <c r="L3104" s="36" t="s">
        <v>14330</v>
      </c>
      <c r="M3104">
        <v>2</v>
      </c>
      <c r="N3104" t="s">
        <v>14331</v>
      </c>
      <c r="O3104" t="s">
        <v>32633</v>
      </c>
    </row>
    <row r="3105" spans="1:15" x14ac:dyDescent="0.25">
      <c r="A3105" s="35" t="s">
        <v>7328</v>
      </c>
      <c r="B3105" s="36" t="s">
        <v>7329</v>
      </c>
      <c r="C3105" s="36" t="str">
        <f>HYPERLINK("https://rhld.insurance.arkansas.gov/NPILookup?Npi=1609096577","1609096577")</f>
        <v>1609096577</v>
      </c>
      <c r="D3105" s="36" t="s">
        <v>35676</v>
      </c>
      <c r="E3105" s="36" t="s">
        <v>1</v>
      </c>
      <c r="F3105" s="36">
        <v>1</v>
      </c>
      <c r="G3105" s="36">
        <v>2</v>
      </c>
      <c r="H3105" s="36">
        <v>0</v>
      </c>
      <c r="I3105" s="37">
        <v>0</v>
      </c>
      <c r="J3105" s="36" t="s">
        <v>34836</v>
      </c>
      <c r="K3105" s="36" t="s">
        <v>14330</v>
      </c>
      <c r="L3105" s="36" t="s">
        <v>14330</v>
      </c>
      <c r="M3105">
        <v>3</v>
      </c>
      <c r="N3105" t="s">
        <v>14331</v>
      </c>
      <c r="O3105" t="s">
        <v>32633</v>
      </c>
    </row>
    <row r="3106" spans="1:15" x14ac:dyDescent="0.25">
      <c r="A3106" s="35" t="s">
        <v>7328</v>
      </c>
      <c r="B3106" s="36" t="s">
        <v>7329</v>
      </c>
      <c r="C3106" s="36" t="str">
        <f>HYPERLINK("https://rhld.insurance.arkansas.gov/NPILookup?Npi=1609135797","1609135797")</f>
        <v>1609135797</v>
      </c>
      <c r="D3106" s="36" t="s">
        <v>35677</v>
      </c>
      <c r="E3106" s="36" t="s">
        <v>1</v>
      </c>
      <c r="F3106" s="36">
        <v>1</v>
      </c>
      <c r="G3106" s="36">
        <v>3</v>
      </c>
      <c r="H3106" s="36">
        <v>0</v>
      </c>
      <c r="I3106" s="37">
        <v>0</v>
      </c>
      <c r="J3106" s="36" t="s">
        <v>34836</v>
      </c>
      <c r="K3106" s="36" t="s">
        <v>14330</v>
      </c>
      <c r="L3106" s="36" t="s">
        <v>14330</v>
      </c>
      <c r="M3106">
        <v>2</v>
      </c>
      <c r="N3106" t="s">
        <v>14331</v>
      </c>
      <c r="O3106" t="s">
        <v>32633</v>
      </c>
    </row>
    <row r="3107" spans="1:15" x14ac:dyDescent="0.25">
      <c r="A3107" s="35" t="s">
        <v>7328</v>
      </c>
      <c r="B3107" s="36" t="s">
        <v>7329</v>
      </c>
      <c r="C3107" s="36" t="str">
        <f>HYPERLINK("https://rhld.insurance.arkansas.gov/NPILookup?Npi=1609282433","1609282433")</f>
        <v>1609282433</v>
      </c>
      <c r="D3107" s="36" t="s">
        <v>35678</v>
      </c>
      <c r="E3107" s="36" t="s">
        <v>2</v>
      </c>
      <c r="F3107" s="36">
        <v>1</v>
      </c>
      <c r="G3107" s="36">
        <v>2</v>
      </c>
      <c r="H3107" s="36">
        <v>0</v>
      </c>
      <c r="I3107" s="37">
        <v>0</v>
      </c>
      <c r="J3107" s="36" t="s">
        <v>32679</v>
      </c>
      <c r="K3107" s="36" t="s">
        <v>14330</v>
      </c>
      <c r="L3107" s="36" t="s">
        <v>14330</v>
      </c>
      <c r="M3107">
        <v>2</v>
      </c>
      <c r="N3107" t="s">
        <v>14331</v>
      </c>
      <c r="O3107" t="s">
        <v>14333</v>
      </c>
    </row>
    <row r="3108" spans="1:15" x14ac:dyDescent="0.25">
      <c r="A3108" s="35" t="s">
        <v>7328</v>
      </c>
      <c r="B3108" s="36" t="s">
        <v>7329</v>
      </c>
      <c r="C3108" s="36" t="str">
        <f>HYPERLINK("https://rhld.insurance.arkansas.gov/NPILookup?Npi=1609305929","1609305929")</f>
        <v>1609305929</v>
      </c>
      <c r="D3108" s="36" t="s">
        <v>35679</v>
      </c>
      <c r="E3108" s="36" t="s">
        <v>1</v>
      </c>
      <c r="F3108" s="36">
        <v>1</v>
      </c>
      <c r="G3108" s="36">
        <v>2</v>
      </c>
      <c r="H3108" s="36">
        <v>0</v>
      </c>
      <c r="I3108" s="37">
        <v>0</v>
      </c>
      <c r="J3108" s="36" t="s">
        <v>32654</v>
      </c>
      <c r="K3108" s="36" t="s">
        <v>14330</v>
      </c>
      <c r="L3108" s="36" t="s">
        <v>14330</v>
      </c>
      <c r="M3108">
        <v>2</v>
      </c>
      <c r="N3108" t="s">
        <v>14331</v>
      </c>
      <c r="O3108" t="s">
        <v>32633</v>
      </c>
    </row>
    <row r="3109" spans="1:15" x14ac:dyDescent="0.25">
      <c r="A3109" s="35" t="s">
        <v>7328</v>
      </c>
      <c r="B3109" s="36" t="s">
        <v>7329</v>
      </c>
      <c r="C3109" s="36" t="str">
        <f>HYPERLINK("https://rhld.insurance.arkansas.gov/NPILookup?Npi=1609647015","1609647015")</f>
        <v>1609647015</v>
      </c>
      <c r="D3109" s="36" t="s">
        <v>35680</v>
      </c>
      <c r="E3109" s="36" t="s">
        <v>2</v>
      </c>
      <c r="F3109" s="36">
        <v>2</v>
      </c>
      <c r="G3109" s="36">
        <v>2</v>
      </c>
      <c r="H3109" s="36">
        <v>0</v>
      </c>
      <c r="I3109" s="37">
        <v>0</v>
      </c>
      <c r="J3109" s="36" t="s">
        <v>33004</v>
      </c>
      <c r="K3109" s="36" t="s">
        <v>14330</v>
      </c>
      <c r="L3109" s="36" t="s">
        <v>14330</v>
      </c>
      <c r="M3109">
        <v>3</v>
      </c>
      <c r="N3109" t="s">
        <v>14331</v>
      </c>
      <c r="O3109" t="s">
        <v>14333</v>
      </c>
    </row>
    <row r="3110" spans="1:15" x14ac:dyDescent="0.25">
      <c r="A3110" s="35" t="s">
        <v>7328</v>
      </c>
      <c r="B3110" s="36" t="s">
        <v>7329</v>
      </c>
      <c r="C3110" s="36" t="str">
        <f>HYPERLINK("https://rhld.insurance.arkansas.gov/NPILookup?Npi=1609815919","1609815919")</f>
        <v>1609815919</v>
      </c>
      <c r="D3110" s="36" t="s">
        <v>35681</v>
      </c>
      <c r="E3110" s="36" t="s">
        <v>1</v>
      </c>
      <c r="F3110" s="36">
        <v>1</v>
      </c>
      <c r="G3110" s="36">
        <v>3</v>
      </c>
      <c r="H3110" s="36">
        <v>0</v>
      </c>
      <c r="I3110" s="37">
        <v>0</v>
      </c>
      <c r="J3110" s="36" t="s">
        <v>32654</v>
      </c>
      <c r="K3110" s="36" t="s">
        <v>14330</v>
      </c>
      <c r="L3110" s="36" t="s">
        <v>14330</v>
      </c>
      <c r="M3110">
        <v>3</v>
      </c>
      <c r="N3110" t="s">
        <v>14331</v>
      </c>
      <c r="O3110" t="s">
        <v>32633</v>
      </c>
    </row>
    <row r="3111" spans="1:15" x14ac:dyDescent="0.25">
      <c r="A3111" s="35" t="s">
        <v>7328</v>
      </c>
      <c r="B3111" s="36" t="s">
        <v>7329</v>
      </c>
      <c r="C3111" s="36" t="str">
        <f>HYPERLINK("https://rhld.insurance.arkansas.gov/NPILookup?Npi=1619136165","1619136165")</f>
        <v>1619136165</v>
      </c>
      <c r="D3111" s="36" t="s">
        <v>35682</v>
      </c>
      <c r="E3111" s="36" t="s">
        <v>1</v>
      </c>
      <c r="F3111" s="36">
        <v>1</v>
      </c>
      <c r="G3111" s="36">
        <v>3</v>
      </c>
      <c r="H3111" s="36">
        <v>0</v>
      </c>
      <c r="I3111" s="37">
        <v>0</v>
      </c>
      <c r="J3111" s="36" t="s">
        <v>32723</v>
      </c>
      <c r="K3111" s="36" t="s">
        <v>14330</v>
      </c>
      <c r="L3111" s="36" t="s">
        <v>14330</v>
      </c>
      <c r="M3111">
        <v>3</v>
      </c>
      <c r="N3111" t="s">
        <v>14331</v>
      </c>
      <c r="O3111" t="s">
        <v>32724</v>
      </c>
    </row>
    <row r="3112" spans="1:15" x14ac:dyDescent="0.25">
      <c r="A3112" s="35" t="s">
        <v>7328</v>
      </c>
      <c r="B3112" s="36" t="s">
        <v>7329</v>
      </c>
      <c r="C3112" s="36" t="str">
        <f>HYPERLINK("https://rhld.insurance.arkansas.gov/NPILookup?Npi=1619222437","1619222437")</f>
        <v>1619222437</v>
      </c>
      <c r="D3112" s="36" t="s">
        <v>35683</v>
      </c>
      <c r="E3112" s="36" t="s">
        <v>1</v>
      </c>
      <c r="F3112" s="36">
        <v>1</v>
      </c>
      <c r="G3112" s="36">
        <v>3</v>
      </c>
      <c r="H3112" s="36">
        <v>0</v>
      </c>
      <c r="I3112" s="37">
        <v>0</v>
      </c>
      <c r="J3112" s="36" t="s">
        <v>34836</v>
      </c>
      <c r="K3112" s="36" t="s">
        <v>14330</v>
      </c>
      <c r="L3112" s="36" t="s">
        <v>14330</v>
      </c>
      <c r="M3112">
        <v>3</v>
      </c>
      <c r="N3112" t="s">
        <v>14331</v>
      </c>
      <c r="O3112" t="s">
        <v>32633</v>
      </c>
    </row>
    <row r="3113" spans="1:15" x14ac:dyDescent="0.25">
      <c r="A3113" s="35" t="s">
        <v>7328</v>
      </c>
      <c r="B3113" s="36" t="s">
        <v>7329</v>
      </c>
      <c r="C3113" s="36" t="str">
        <f>HYPERLINK("https://rhld.insurance.arkansas.gov/NPILookup?Npi=1619339280","1619339280")</f>
        <v>1619339280</v>
      </c>
      <c r="D3113" s="36" t="s">
        <v>35684</v>
      </c>
      <c r="E3113" s="36" t="s">
        <v>1</v>
      </c>
      <c r="F3113" s="36">
        <v>1</v>
      </c>
      <c r="G3113" s="36">
        <v>3</v>
      </c>
      <c r="H3113" s="36">
        <v>0</v>
      </c>
      <c r="I3113" s="37">
        <v>0</v>
      </c>
      <c r="J3113" s="36" t="s">
        <v>32654</v>
      </c>
      <c r="K3113" s="36" t="s">
        <v>14330</v>
      </c>
      <c r="L3113" s="36" t="s">
        <v>14330</v>
      </c>
      <c r="M3113">
        <v>2</v>
      </c>
      <c r="N3113" t="s">
        <v>14331</v>
      </c>
      <c r="O3113" t="s">
        <v>32633</v>
      </c>
    </row>
    <row r="3114" spans="1:15" x14ac:dyDescent="0.25">
      <c r="A3114" s="35" t="s">
        <v>7328</v>
      </c>
      <c r="B3114" s="36" t="s">
        <v>7329</v>
      </c>
      <c r="C3114" s="36" t="str">
        <f>HYPERLINK("https://rhld.insurance.arkansas.gov/NPILookup?Npi=1619357209","1619357209")</f>
        <v>1619357209</v>
      </c>
      <c r="D3114" s="36" t="s">
        <v>35685</v>
      </c>
      <c r="E3114" s="36" t="s">
        <v>1</v>
      </c>
      <c r="F3114" s="36">
        <v>1</v>
      </c>
      <c r="G3114" s="36">
        <v>2</v>
      </c>
      <c r="H3114" s="36">
        <v>0</v>
      </c>
      <c r="I3114" s="37">
        <v>0</v>
      </c>
      <c r="J3114" s="36" t="s">
        <v>34836</v>
      </c>
      <c r="K3114" s="36" t="s">
        <v>14330</v>
      </c>
      <c r="L3114" s="36" t="s">
        <v>14330</v>
      </c>
      <c r="M3114">
        <v>2</v>
      </c>
      <c r="N3114" t="s">
        <v>14331</v>
      </c>
      <c r="O3114" t="s">
        <v>32633</v>
      </c>
    </row>
    <row r="3115" spans="1:15" x14ac:dyDescent="0.25">
      <c r="A3115" s="35" t="s">
        <v>7328</v>
      </c>
      <c r="B3115" s="36" t="s">
        <v>7329</v>
      </c>
      <c r="C3115" s="36" t="str">
        <f>HYPERLINK("https://rhld.insurance.arkansas.gov/NPILookup?Npi=1619427382","1619427382")</f>
        <v>1619427382</v>
      </c>
      <c r="D3115" s="36" t="s">
        <v>35686</v>
      </c>
      <c r="E3115" s="36" t="s">
        <v>1</v>
      </c>
      <c r="F3115" s="36">
        <v>1</v>
      </c>
      <c r="G3115" s="36">
        <v>2</v>
      </c>
      <c r="H3115" s="36">
        <v>0</v>
      </c>
      <c r="I3115" s="37">
        <v>0</v>
      </c>
      <c r="J3115" s="36" t="s">
        <v>34836</v>
      </c>
      <c r="K3115" s="36" t="s">
        <v>14330</v>
      </c>
      <c r="L3115" s="36" t="s">
        <v>14330</v>
      </c>
      <c r="M3115">
        <v>3</v>
      </c>
      <c r="N3115" t="s">
        <v>14331</v>
      </c>
      <c r="O3115" t="s">
        <v>32633</v>
      </c>
    </row>
    <row r="3116" spans="1:15" x14ac:dyDescent="0.25">
      <c r="A3116" s="35" t="s">
        <v>7328</v>
      </c>
      <c r="B3116" s="36" t="s">
        <v>7329</v>
      </c>
      <c r="C3116" s="36" t="str">
        <f>HYPERLINK("https://rhld.insurance.arkansas.gov/NPILookup?Npi=1619487733","1619487733")</f>
        <v>1619487733</v>
      </c>
      <c r="D3116" s="36" t="s">
        <v>35687</v>
      </c>
      <c r="E3116" s="36" t="s">
        <v>1</v>
      </c>
      <c r="F3116" s="36">
        <v>1</v>
      </c>
      <c r="G3116" s="36">
        <v>3</v>
      </c>
      <c r="H3116" s="36">
        <v>0</v>
      </c>
      <c r="I3116" s="37">
        <v>0</v>
      </c>
      <c r="J3116" s="36" t="s">
        <v>32654</v>
      </c>
      <c r="K3116" s="36" t="s">
        <v>14330</v>
      </c>
      <c r="L3116" s="36" t="s">
        <v>14330</v>
      </c>
      <c r="M3116">
        <v>2</v>
      </c>
      <c r="N3116" t="s">
        <v>14331</v>
      </c>
      <c r="O3116" t="s">
        <v>32633</v>
      </c>
    </row>
    <row r="3117" spans="1:15" x14ac:dyDescent="0.25">
      <c r="A3117" s="35" t="s">
        <v>7328</v>
      </c>
      <c r="B3117" s="36" t="s">
        <v>7329</v>
      </c>
      <c r="C3117" s="36" t="str">
        <f>HYPERLINK("https://rhld.insurance.arkansas.gov/NPILookup?Npi=1619563343","1619563343")</f>
        <v>1619563343</v>
      </c>
      <c r="D3117" s="36" t="s">
        <v>35688</v>
      </c>
      <c r="E3117" s="36" t="s">
        <v>1</v>
      </c>
      <c r="F3117" s="36">
        <v>1</v>
      </c>
      <c r="G3117" s="36">
        <v>2</v>
      </c>
      <c r="H3117" s="36">
        <v>0</v>
      </c>
      <c r="I3117" s="37">
        <v>0</v>
      </c>
      <c r="J3117" s="36" t="s">
        <v>32654</v>
      </c>
      <c r="K3117" s="36" t="s">
        <v>14330</v>
      </c>
      <c r="L3117" s="36" t="s">
        <v>14330</v>
      </c>
      <c r="M3117">
        <v>2</v>
      </c>
      <c r="N3117" t="s">
        <v>14331</v>
      </c>
      <c r="O3117" t="s">
        <v>32633</v>
      </c>
    </row>
    <row r="3118" spans="1:15" x14ac:dyDescent="0.25">
      <c r="A3118" s="35" t="s">
        <v>7328</v>
      </c>
      <c r="B3118" s="36" t="s">
        <v>7329</v>
      </c>
      <c r="C3118" s="36" t="str">
        <f>HYPERLINK("https://rhld.insurance.arkansas.gov/NPILookup?Npi=1619667284","1619667284")</f>
        <v>1619667284</v>
      </c>
      <c r="D3118" s="36" t="s">
        <v>35689</v>
      </c>
      <c r="E3118" s="36" t="s">
        <v>1</v>
      </c>
      <c r="F3118" s="36">
        <v>1</v>
      </c>
      <c r="G3118" s="36">
        <v>2</v>
      </c>
      <c r="H3118" s="36">
        <v>0</v>
      </c>
      <c r="I3118" s="37">
        <v>0</v>
      </c>
      <c r="J3118" s="36" t="s">
        <v>32654</v>
      </c>
      <c r="K3118" s="36" t="s">
        <v>14330</v>
      </c>
      <c r="L3118" s="36" t="s">
        <v>14330</v>
      </c>
      <c r="M3118">
        <v>2</v>
      </c>
      <c r="N3118" t="s">
        <v>14331</v>
      </c>
      <c r="O3118" t="s">
        <v>32633</v>
      </c>
    </row>
    <row r="3119" spans="1:15" x14ac:dyDescent="0.25">
      <c r="A3119" s="35" t="s">
        <v>7328</v>
      </c>
      <c r="B3119" s="36" t="s">
        <v>7329</v>
      </c>
      <c r="C3119" s="36" t="str">
        <f>HYPERLINK("https://rhld.insurance.arkansas.gov/NPILookup?Npi=1619775939","1619775939")</f>
        <v>1619775939</v>
      </c>
      <c r="D3119" s="36" t="s">
        <v>34770</v>
      </c>
      <c r="E3119" s="36" t="s">
        <v>2</v>
      </c>
      <c r="F3119" s="36">
        <v>1</v>
      </c>
      <c r="G3119" s="36">
        <v>2</v>
      </c>
      <c r="H3119" s="36">
        <v>0</v>
      </c>
      <c r="I3119" s="37">
        <v>0</v>
      </c>
      <c r="J3119" s="36"/>
      <c r="K3119" s="36" t="s">
        <v>14330</v>
      </c>
      <c r="L3119" s="36" t="s">
        <v>14330</v>
      </c>
      <c r="M3119">
        <v>3</v>
      </c>
      <c r="N3119" t="s">
        <v>14331</v>
      </c>
      <c r="O3119" t="s">
        <v>14333</v>
      </c>
    </row>
    <row r="3120" spans="1:15" x14ac:dyDescent="0.25">
      <c r="A3120" s="35" t="s">
        <v>7328</v>
      </c>
      <c r="B3120" s="36" t="s">
        <v>7329</v>
      </c>
      <c r="C3120" s="36" t="str">
        <f>HYPERLINK("https://rhld.insurance.arkansas.gov/NPILookup?Npi=1619938164","1619938164")</f>
        <v>1619938164</v>
      </c>
      <c r="D3120" s="36" t="s">
        <v>35690</v>
      </c>
      <c r="E3120" s="36" t="s">
        <v>1</v>
      </c>
      <c r="F3120" s="36">
        <v>1</v>
      </c>
      <c r="G3120" s="36">
        <v>3</v>
      </c>
      <c r="H3120" s="36">
        <v>0</v>
      </c>
      <c r="I3120" s="37">
        <v>0</v>
      </c>
      <c r="J3120" s="36" t="s">
        <v>32654</v>
      </c>
      <c r="K3120" s="36" t="s">
        <v>14330</v>
      </c>
      <c r="L3120" s="36" t="s">
        <v>14330</v>
      </c>
      <c r="M3120">
        <v>3</v>
      </c>
      <c r="N3120" t="s">
        <v>14331</v>
      </c>
      <c r="O3120" t="s">
        <v>32633</v>
      </c>
    </row>
    <row r="3121" spans="1:15" x14ac:dyDescent="0.25">
      <c r="A3121" s="35" t="s">
        <v>7328</v>
      </c>
      <c r="B3121" s="36" t="s">
        <v>7329</v>
      </c>
      <c r="C3121" s="36" t="str">
        <f>HYPERLINK("https://rhld.insurance.arkansas.gov/NPILookup?Npi=1619948700","1619948700")</f>
        <v>1619948700</v>
      </c>
      <c r="D3121" s="36" t="s">
        <v>35691</v>
      </c>
      <c r="E3121" s="36" t="s">
        <v>1</v>
      </c>
      <c r="F3121" s="36">
        <v>1</v>
      </c>
      <c r="G3121" s="36">
        <v>3</v>
      </c>
      <c r="H3121" s="36">
        <v>0</v>
      </c>
      <c r="I3121" s="37">
        <v>0</v>
      </c>
      <c r="J3121" s="36" t="s">
        <v>34836</v>
      </c>
      <c r="K3121" s="36" t="s">
        <v>14330</v>
      </c>
      <c r="L3121" s="36" t="s">
        <v>14330</v>
      </c>
      <c r="M3121">
        <v>3</v>
      </c>
      <c r="N3121" t="s">
        <v>14331</v>
      </c>
      <c r="O3121" t="s">
        <v>32633</v>
      </c>
    </row>
    <row r="3122" spans="1:15" x14ac:dyDescent="0.25">
      <c r="A3122" s="35" t="s">
        <v>7328</v>
      </c>
      <c r="B3122" s="36" t="s">
        <v>7329</v>
      </c>
      <c r="C3122" s="36" t="str">
        <f>HYPERLINK("https://rhld.insurance.arkansas.gov/NPILookup?Npi=1629009451","1629009451")</f>
        <v>1629009451</v>
      </c>
      <c r="D3122" s="36" t="s">
        <v>35692</v>
      </c>
      <c r="E3122" s="36" t="s">
        <v>1</v>
      </c>
      <c r="F3122" s="36">
        <v>1</v>
      </c>
      <c r="G3122" s="36">
        <v>3</v>
      </c>
      <c r="H3122" s="36">
        <v>0</v>
      </c>
      <c r="I3122" s="37">
        <v>0</v>
      </c>
      <c r="J3122" s="36" t="s">
        <v>32654</v>
      </c>
      <c r="K3122" s="36" t="s">
        <v>14330</v>
      </c>
      <c r="L3122" s="36" t="s">
        <v>14330</v>
      </c>
      <c r="M3122">
        <v>2</v>
      </c>
      <c r="N3122" t="s">
        <v>14331</v>
      </c>
      <c r="O3122" t="s">
        <v>32633</v>
      </c>
    </row>
    <row r="3123" spans="1:15" x14ac:dyDescent="0.25">
      <c r="A3123" s="35" t="s">
        <v>7328</v>
      </c>
      <c r="B3123" s="36" t="s">
        <v>7329</v>
      </c>
      <c r="C3123" s="36" t="str">
        <f>HYPERLINK("https://rhld.insurance.arkansas.gov/NPILookup?Npi=1629026950","1629026950")</f>
        <v>1629026950</v>
      </c>
      <c r="D3123" s="36" t="s">
        <v>35693</v>
      </c>
      <c r="E3123" s="36" t="s">
        <v>1</v>
      </c>
      <c r="F3123" s="36">
        <v>1</v>
      </c>
      <c r="G3123" s="36">
        <v>2</v>
      </c>
      <c r="H3123" s="36">
        <v>0</v>
      </c>
      <c r="I3123" s="37">
        <v>0</v>
      </c>
      <c r="J3123" s="36" t="s">
        <v>34836</v>
      </c>
      <c r="K3123" s="36" t="s">
        <v>14330</v>
      </c>
      <c r="L3123" s="36" t="s">
        <v>14330</v>
      </c>
      <c r="M3123">
        <v>2</v>
      </c>
      <c r="N3123" t="s">
        <v>14331</v>
      </c>
      <c r="O3123" t="s">
        <v>32633</v>
      </c>
    </row>
    <row r="3124" spans="1:15" x14ac:dyDescent="0.25">
      <c r="A3124" s="35" t="s">
        <v>7328</v>
      </c>
      <c r="B3124" s="36" t="s">
        <v>7329</v>
      </c>
      <c r="C3124" s="36" t="str">
        <f>HYPERLINK("https://rhld.insurance.arkansas.gov/NPILookup?Npi=1629203005","1629203005")</f>
        <v>1629203005</v>
      </c>
      <c r="D3124" s="36" t="s">
        <v>35694</v>
      </c>
      <c r="E3124" s="36" t="s">
        <v>2</v>
      </c>
      <c r="F3124" s="36">
        <v>1</v>
      </c>
      <c r="G3124" s="36">
        <v>2</v>
      </c>
      <c r="H3124" s="36">
        <v>0</v>
      </c>
      <c r="I3124" s="37">
        <v>0</v>
      </c>
      <c r="J3124" s="36"/>
      <c r="K3124" s="36" t="s">
        <v>14330</v>
      </c>
      <c r="L3124" s="36" t="s">
        <v>14330</v>
      </c>
      <c r="M3124">
        <v>2</v>
      </c>
      <c r="N3124" t="s">
        <v>14331</v>
      </c>
      <c r="O3124" t="s">
        <v>14333</v>
      </c>
    </row>
    <row r="3125" spans="1:15" x14ac:dyDescent="0.25">
      <c r="A3125" s="35" t="s">
        <v>7328</v>
      </c>
      <c r="B3125" s="36" t="s">
        <v>7329</v>
      </c>
      <c r="C3125" s="36" t="str">
        <f>HYPERLINK("https://rhld.insurance.arkansas.gov/NPILookup?Npi=1629366471","1629366471")</f>
        <v>1629366471</v>
      </c>
      <c r="D3125" s="36" t="s">
        <v>35695</v>
      </c>
      <c r="E3125" s="36" t="s">
        <v>1</v>
      </c>
      <c r="F3125" s="36">
        <v>1</v>
      </c>
      <c r="G3125" s="36">
        <v>2</v>
      </c>
      <c r="H3125" s="36">
        <v>0</v>
      </c>
      <c r="I3125" s="37">
        <v>0</v>
      </c>
      <c r="J3125" s="36" t="s">
        <v>34836</v>
      </c>
      <c r="K3125" s="36" t="s">
        <v>14330</v>
      </c>
      <c r="L3125" s="36" t="s">
        <v>14330</v>
      </c>
      <c r="M3125">
        <v>2</v>
      </c>
      <c r="N3125" t="s">
        <v>14331</v>
      </c>
      <c r="O3125" t="s">
        <v>32633</v>
      </c>
    </row>
    <row r="3126" spans="1:15" x14ac:dyDescent="0.25">
      <c r="A3126" s="35" t="s">
        <v>7328</v>
      </c>
      <c r="B3126" s="36" t="s">
        <v>7329</v>
      </c>
      <c r="C3126" s="36" t="str">
        <f>HYPERLINK("https://rhld.insurance.arkansas.gov/NPILookup?Npi=1629425913","1629425913")</f>
        <v>1629425913</v>
      </c>
      <c r="D3126" s="36" t="s">
        <v>33289</v>
      </c>
      <c r="E3126" s="36" t="s">
        <v>1</v>
      </c>
      <c r="F3126" s="36">
        <v>1</v>
      </c>
      <c r="G3126" s="36">
        <v>2</v>
      </c>
      <c r="H3126" s="36">
        <v>0</v>
      </c>
      <c r="I3126" s="37">
        <v>0</v>
      </c>
      <c r="J3126" s="36" t="s">
        <v>34836</v>
      </c>
      <c r="K3126" s="36" t="s">
        <v>14330</v>
      </c>
      <c r="L3126" s="36" t="s">
        <v>14330</v>
      </c>
      <c r="M3126">
        <v>2</v>
      </c>
      <c r="N3126" t="s">
        <v>14331</v>
      </c>
      <c r="O3126" t="s">
        <v>32633</v>
      </c>
    </row>
    <row r="3127" spans="1:15" x14ac:dyDescent="0.25">
      <c r="A3127" s="35" t="s">
        <v>7328</v>
      </c>
      <c r="B3127" s="36" t="s">
        <v>7329</v>
      </c>
      <c r="C3127" s="36" t="str">
        <f>HYPERLINK("https://rhld.insurance.arkansas.gov/NPILookup?Npi=1629428826","1629428826")</f>
        <v>1629428826</v>
      </c>
      <c r="D3127" s="36" t="s">
        <v>33290</v>
      </c>
      <c r="E3127" s="36" t="s">
        <v>1</v>
      </c>
      <c r="F3127" s="36">
        <v>1</v>
      </c>
      <c r="G3127" s="36">
        <v>2</v>
      </c>
      <c r="H3127" s="36">
        <v>0</v>
      </c>
      <c r="I3127" s="37">
        <v>0</v>
      </c>
      <c r="J3127" s="36" t="s">
        <v>34836</v>
      </c>
      <c r="K3127" s="36" t="s">
        <v>14330</v>
      </c>
      <c r="L3127" s="36" t="s">
        <v>14330</v>
      </c>
      <c r="M3127">
        <v>3</v>
      </c>
      <c r="N3127" t="s">
        <v>14331</v>
      </c>
      <c r="O3127" t="s">
        <v>32633</v>
      </c>
    </row>
    <row r="3128" spans="1:15" x14ac:dyDescent="0.25">
      <c r="A3128" s="35" t="s">
        <v>7328</v>
      </c>
      <c r="B3128" s="36" t="s">
        <v>7329</v>
      </c>
      <c r="C3128" s="36" t="str">
        <f>HYPERLINK("https://rhld.insurance.arkansas.gov/NPILookup?Npi=1629483110","1629483110")</f>
        <v>1629483110</v>
      </c>
      <c r="D3128" s="36" t="s">
        <v>35696</v>
      </c>
      <c r="E3128" s="36" t="s">
        <v>1</v>
      </c>
      <c r="F3128" s="36">
        <v>1</v>
      </c>
      <c r="G3128" s="36">
        <v>3</v>
      </c>
      <c r="H3128" s="36">
        <v>0</v>
      </c>
      <c r="I3128" s="37">
        <v>0</v>
      </c>
      <c r="J3128" s="36" t="s">
        <v>34836</v>
      </c>
      <c r="K3128" s="36" t="s">
        <v>14330</v>
      </c>
      <c r="L3128" s="36" t="s">
        <v>14330</v>
      </c>
      <c r="M3128">
        <v>2</v>
      </c>
      <c r="N3128" t="s">
        <v>14331</v>
      </c>
      <c r="O3128" t="s">
        <v>32633</v>
      </c>
    </row>
    <row r="3129" spans="1:15" x14ac:dyDescent="0.25">
      <c r="A3129" s="35" t="s">
        <v>7328</v>
      </c>
      <c r="B3129" s="36" t="s">
        <v>7329</v>
      </c>
      <c r="C3129" s="36" t="str">
        <f>HYPERLINK("https://rhld.insurance.arkansas.gov/NPILookup?Npi=1629501572","1629501572")</f>
        <v>1629501572</v>
      </c>
      <c r="D3129" s="36" t="s">
        <v>35697</v>
      </c>
      <c r="E3129" s="36" t="s">
        <v>1</v>
      </c>
      <c r="F3129" s="36">
        <v>1</v>
      </c>
      <c r="G3129" s="36">
        <v>2</v>
      </c>
      <c r="H3129" s="36">
        <v>0</v>
      </c>
      <c r="I3129" s="37">
        <v>0</v>
      </c>
      <c r="J3129" s="36" t="s">
        <v>32723</v>
      </c>
      <c r="K3129" s="36" t="s">
        <v>14330</v>
      </c>
      <c r="L3129" s="36" t="s">
        <v>14330</v>
      </c>
      <c r="M3129">
        <v>3</v>
      </c>
      <c r="N3129" t="s">
        <v>14331</v>
      </c>
      <c r="O3129" t="s">
        <v>32724</v>
      </c>
    </row>
    <row r="3130" spans="1:15" x14ac:dyDescent="0.25">
      <c r="A3130" s="35" t="s">
        <v>7328</v>
      </c>
      <c r="B3130" s="36" t="s">
        <v>7329</v>
      </c>
      <c r="C3130" s="36" t="str">
        <f>HYPERLINK("https://rhld.insurance.arkansas.gov/NPILookup?Npi=1629509781","1629509781")</f>
        <v>1629509781</v>
      </c>
      <c r="D3130" s="36" t="s">
        <v>35698</v>
      </c>
      <c r="E3130" s="36" t="s">
        <v>1</v>
      </c>
      <c r="F3130" s="36">
        <v>1</v>
      </c>
      <c r="G3130" s="36">
        <v>3</v>
      </c>
      <c r="H3130" s="36">
        <v>0</v>
      </c>
      <c r="I3130" s="37">
        <v>0</v>
      </c>
      <c r="J3130" s="36" t="s">
        <v>34836</v>
      </c>
      <c r="K3130" s="36" t="s">
        <v>14330</v>
      </c>
      <c r="L3130" s="36" t="s">
        <v>14330</v>
      </c>
      <c r="M3130">
        <v>2</v>
      </c>
      <c r="N3130" t="s">
        <v>14331</v>
      </c>
      <c r="O3130" t="s">
        <v>32633</v>
      </c>
    </row>
    <row r="3131" spans="1:15" x14ac:dyDescent="0.25">
      <c r="A3131" s="35" t="s">
        <v>7328</v>
      </c>
      <c r="B3131" s="36" t="s">
        <v>7329</v>
      </c>
      <c r="C3131" s="36" t="str">
        <f>HYPERLINK("https://rhld.insurance.arkansas.gov/NPILookup?Npi=1629531595","1629531595")</f>
        <v>1629531595</v>
      </c>
      <c r="D3131" s="36" t="s">
        <v>35699</v>
      </c>
      <c r="E3131" s="36" t="s">
        <v>2</v>
      </c>
      <c r="F3131" s="36">
        <v>1</v>
      </c>
      <c r="G3131" s="36">
        <v>2</v>
      </c>
      <c r="H3131" s="36">
        <v>0</v>
      </c>
      <c r="I3131" s="37">
        <v>0</v>
      </c>
      <c r="J3131" s="36"/>
      <c r="K3131" s="36" t="s">
        <v>14330</v>
      </c>
      <c r="L3131" s="36" t="s">
        <v>14330</v>
      </c>
      <c r="M3131">
        <v>1</v>
      </c>
      <c r="N3131" t="s">
        <v>14331</v>
      </c>
      <c r="O3131" t="s">
        <v>14333</v>
      </c>
    </row>
    <row r="3132" spans="1:15" x14ac:dyDescent="0.25">
      <c r="A3132" s="35" t="s">
        <v>7328</v>
      </c>
      <c r="B3132" s="36" t="s">
        <v>7329</v>
      </c>
      <c r="C3132" s="36" t="str">
        <f>HYPERLINK("https://rhld.insurance.arkansas.gov/NPILookup?Npi=1629604129","1629604129")</f>
        <v>1629604129</v>
      </c>
      <c r="D3132" s="36" t="s">
        <v>35700</v>
      </c>
      <c r="E3132" s="36" t="s">
        <v>1</v>
      </c>
      <c r="F3132" s="36">
        <v>1</v>
      </c>
      <c r="G3132" s="36">
        <v>1</v>
      </c>
      <c r="H3132" s="36">
        <v>0</v>
      </c>
      <c r="I3132" s="37">
        <v>0</v>
      </c>
      <c r="J3132" s="36" t="s">
        <v>32654</v>
      </c>
      <c r="K3132" s="36" t="s">
        <v>14330</v>
      </c>
      <c r="L3132" s="36" t="s">
        <v>14330</v>
      </c>
      <c r="M3132">
        <v>2</v>
      </c>
      <c r="N3132" t="s">
        <v>14331</v>
      </c>
      <c r="O3132" t="s">
        <v>32633</v>
      </c>
    </row>
    <row r="3133" spans="1:15" x14ac:dyDescent="0.25">
      <c r="A3133" s="35" t="s">
        <v>7328</v>
      </c>
      <c r="B3133" s="36" t="s">
        <v>7329</v>
      </c>
      <c r="C3133" s="36" t="str">
        <f>HYPERLINK("https://rhld.insurance.arkansas.gov/NPILookup?Npi=1629690797","1629690797")</f>
        <v>1629690797</v>
      </c>
      <c r="D3133" s="36" t="s">
        <v>35701</v>
      </c>
      <c r="E3133" s="36" t="s">
        <v>1</v>
      </c>
      <c r="F3133" s="36">
        <v>1</v>
      </c>
      <c r="G3133" s="36">
        <v>2</v>
      </c>
      <c r="H3133" s="36">
        <v>0</v>
      </c>
      <c r="I3133" s="37">
        <v>0</v>
      </c>
      <c r="J3133" s="36" t="s">
        <v>34836</v>
      </c>
      <c r="K3133" s="36" t="s">
        <v>14330</v>
      </c>
      <c r="L3133" s="36" t="s">
        <v>14330</v>
      </c>
      <c r="M3133">
        <v>2</v>
      </c>
      <c r="N3133" t="s">
        <v>14331</v>
      </c>
      <c r="O3133" t="s">
        <v>32633</v>
      </c>
    </row>
    <row r="3134" spans="1:15" x14ac:dyDescent="0.25">
      <c r="A3134" s="35" t="s">
        <v>7328</v>
      </c>
      <c r="B3134" s="36" t="s">
        <v>7329</v>
      </c>
      <c r="C3134" s="36" t="str">
        <f>HYPERLINK("https://rhld.insurance.arkansas.gov/NPILookup?Npi=1629719018","1629719018")</f>
        <v>1629719018</v>
      </c>
      <c r="D3134" s="36" t="s">
        <v>35702</v>
      </c>
      <c r="E3134" s="36" t="s">
        <v>2</v>
      </c>
      <c r="F3134" s="36">
        <v>1</v>
      </c>
      <c r="G3134" s="36">
        <v>2</v>
      </c>
      <c r="H3134" s="36">
        <v>0</v>
      </c>
      <c r="I3134" s="37">
        <v>0</v>
      </c>
      <c r="J3134" s="36"/>
      <c r="K3134" s="36" t="s">
        <v>14330</v>
      </c>
      <c r="L3134" s="36" t="s">
        <v>14330</v>
      </c>
      <c r="M3134">
        <v>2</v>
      </c>
      <c r="N3134" t="s">
        <v>14331</v>
      </c>
      <c r="O3134" t="s">
        <v>14333</v>
      </c>
    </row>
    <row r="3135" spans="1:15" x14ac:dyDescent="0.25">
      <c r="A3135" s="35" t="s">
        <v>7328</v>
      </c>
      <c r="B3135" s="36" t="s">
        <v>7329</v>
      </c>
      <c r="C3135" s="36" t="str">
        <f>HYPERLINK("https://rhld.insurance.arkansas.gov/NPILookup?Npi=1629784251","1629784251")</f>
        <v>1629784251</v>
      </c>
      <c r="D3135" s="36" t="s">
        <v>35703</v>
      </c>
      <c r="E3135" s="36" t="s">
        <v>1</v>
      </c>
      <c r="F3135" s="36">
        <v>1</v>
      </c>
      <c r="G3135" s="36">
        <v>2</v>
      </c>
      <c r="H3135" s="36">
        <v>0</v>
      </c>
      <c r="I3135" s="37">
        <v>0</v>
      </c>
      <c r="J3135" s="36" t="s">
        <v>32654</v>
      </c>
      <c r="K3135" s="36" t="s">
        <v>14330</v>
      </c>
      <c r="L3135" s="36" t="s">
        <v>14330</v>
      </c>
      <c r="M3135">
        <v>3</v>
      </c>
      <c r="N3135" t="s">
        <v>14331</v>
      </c>
      <c r="O3135" t="s">
        <v>32633</v>
      </c>
    </row>
    <row r="3136" spans="1:15" x14ac:dyDescent="0.25">
      <c r="A3136" s="35" t="s">
        <v>7328</v>
      </c>
      <c r="B3136" s="36" t="s">
        <v>7329</v>
      </c>
      <c r="C3136" s="36" t="str">
        <f>HYPERLINK("https://rhld.insurance.arkansas.gov/NPILookup?Npi=1629788013","1629788013")</f>
        <v>1629788013</v>
      </c>
      <c r="D3136" s="36" t="s">
        <v>35704</v>
      </c>
      <c r="E3136" s="36" t="s">
        <v>1</v>
      </c>
      <c r="F3136" s="36">
        <v>1</v>
      </c>
      <c r="G3136" s="36">
        <v>3</v>
      </c>
      <c r="H3136" s="36">
        <v>0</v>
      </c>
      <c r="I3136" s="37">
        <v>0</v>
      </c>
      <c r="J3136" s="36" t="s">
        <v>32654</v>
      </c>
      <c r="K3136" s="36" t="s">
        <v>14330</v>
      </c>
      <c r="L3136" s="36" t="s">
        <v>14330</v>
      </c>
      <c r="M3136">
        <v>2</v>
      </c>
      <c r="N3136" t="s">
        <v>14331</v>
      </c>
      <c r="O3136" t="s">
        <v>32633</v>
      </c>
    </row>
    <row r="3137" spans="1:15" x14ac:dyDescent="0.25">
      <c r="A3137" s="35" t="s">
        <v>7328</v>
      </c>
      <c r="B3137" s="36" t="s">
        <v>7329</v>
      </c>
      <c r="C3137" s="36" t="str">
        <f>HYPERLINK("https://rhld.insurance.arkansas.gov/NPILookup?Npi=1629802772","1629802772")</f>
        <v>1629802772</v>
      </c>
      <c r="D3137" s="36" t="s">
        <v>35705</v>
      </c>
      <c r="E3137" s="36" t="s">
        <v>2</v>
      </c>
      <c r="F3137" s="36">
        <v>1</v>
      </c>
      <c r="G3137" s="36">
        <v>2</v>
      </c>
      <c r="H3137" s="36">
        <v>0</v>
      </c>
      <c r="I3137" s="37">
        <v>0</v>
      </c>
      <c r="J3137" s="36"/>
      <c r="K3137" s="36" t="s">
        <v>14330</v>
      </c>
      <c r="L3137" s="36" t="s">
        <v>14330</v>
      </c>
      <c r="M3137">
        <v>1</v>
      </c>
      <c r="N3137" t="s">
        <v>14331</v>
      </c>
      <c r="O3137" t="s">
        <v>14333</v>
      </c>
    </row>
    <row r="3138" spans="1:15" x14ac:dyDescent="0.25">
      <c r="A3138" s="35" t="s">
        <v>7328</v>
      </c>
      <c r="B3138" s="36" t="s">
        <v>7329</v>
      </c>
      <c r="C3138" s="36" t="str">
        <f>HYPERLINK("https://rhld.insurance.arkansas.gov/NPILookup?Npi=1629847132","1629847132")</f>
        <v>1629847132</v>
      </c>
      <c r="D3138" s="36" t="s">
        <v>35706</v>
      </c>
      <c r="E3138" s="36" t="s">
        <v>2</v>
      </c>
      <c r="F3138" s="36">
        <v>1</v>
      </c>
      <c r="G3138" s="36">
        <v>1</v>
      </c>
      <c r="H3138" s="36">
        <v>0</v>
      </c>
      <c r="I3138" s="37">
        <v>0</v>
      </c>
      <c r="J3138" s="36"/>
      <c r="K3138" s="36" t="s">
        <v>14330</v>
      </c>
      <c r="L3138" s="36" t="s">
        <v>14330</v>
      </c>
      <c r="M3138">
        <v>2</v>
      </c>
      <c r="N3138" t="s">
        <v>14331</v>
      </c>
      <c r="O3138" t="s">
        <v>32633</v>
      </c>
    </row>
    <row r="3139" spans="1:15" x14ac:dyDescent="0.25">
      <c r="A3139" s="35" t="s">
        <v>7328</v>
      </c>
      <c r="B3139" s="36" t="s">
        <v>7329</v>
      </c>
      <c r="C3139" s="36" t="str">
        <f>HYPERLINK("https://rhld.insurance.arkansas.gov/NPILookup?Npi=1639105182","1639105182")</f>
        <v>1639105182</v>
      </c>
      <c r="D3139" s="36" t="s">
        <v>35707</v>
      </c>
      <c r="E3139" s="36" t="s">
        <v>2</v>
      </c>
      <c r="F3139" s="36">
        <v>1</v>
      </c>
      <c r="G3139" s="36">
        <v>2</v>
      </c>
      <c r="H3139" s="36">
        <v>0</v>
      </c>
      <c r="I3139" s="37">
        <v>0</v>
      </c>
      <c r="J3139" s="36"/>
      <c r="K3139" s="36" t="s">
        <v>14330</v>
      </c>
      <c r="L3139" s="36" t="s">
        <v>14330</v>
      </c>
      <c r="M3139">
        <v>2</v>
      </c>
      <c r="N3139" t="s">
        <v>14331</v>
      </c>
      <c r="O3139" t="s">
        <v>14333</v>
      </c>
    </row>
    <row r="3140" spans="1:15" x14ac:dyDescent="0.25">
      <c r="A3140" s="35" t="s">
        <v>7328</v>
      </c>
      <c r="B3140" s="36" t="s">
        <v>7329</v>
      </c>
      <c r="C3140" s="36" t="str">
        <f>HYPERLINK("https://rhld.insurance.arkansas.gov/NPILookup?Npi=1639113103","1639113103")</f>
        <v>1639113103</v>
      </c>
      <c r="D3140" s="36" t="s">
        <v>35708</v>
      </c>
      <c r="E3140" s="36" t="s">
        <v>1</v>
      </c>
      <c r="F3140" s="36">
        <v>1</v>
      </c>
      <c r="G3140" s="36">
        <v>2</v>
      </c>
      <c r="H3140" s="36">
        <v>0</v>
      </c>
      <c r="I3140" s="37">
        <v>0</v>
      </c>
      <c r="J3140" s="36" t="s">
        <v>34836</v>
      </c>
      <c r="K3140" s="36" t="s">
        <v>14330</v>
      </c>
      <c r="L3140" s="36" t="s">
        <v>14330</v>
      </c>
      <c r="M3140">
        <v>3</v>
      </c>
      <c r="N3140" t="s">
        <v>14331</v>
      </c>
      <c r="O3140" t="s">
        <v>32633</v>
      </c>
    </row>
    <row r="3141" spans="1:15" x14ac:dyDescent="0.25">
      <c r="A3141" s="35" t="s">
        <v>7328</v>
      </c>
      <c r="B3141" s="36" t="s">
        <v>7329</v>
      </c>
      <c r="C3141" s="36" t="str">
        <f>HYPERLINK("https://rhld.insurance.arkansas.gov/NPILookup?Npi=1639198229","1639198229")</f>
        <v>1639198229</v>
      </c>
      <c r="D3141" s="36" t="s">
        <v>35709</v>
      </c>
      <c r="E3141" s="36" t="s">
        <v>1</v>
      </c>
      <c r="F3141" s="36">
        <v>1</v>
      </c>
      <c r="G3141" s="36">
        <v>3</v>
      </c>
      <c r="H3141" s="36">
        <v>0</v>
      </c>
      <c r="I3141" s="37">
        <v>0</v>
      </c>
      <c r="J3141" s="36" t="s">
        <v>32654</v>
      </c>
      <c r="K3141" s="36" t="s">
        <v>14330</v>
      </c>
      <c r="L3141" s="36" t="s">
        <v>14330</v>
      </c>
      <c r="M3141">
        <v>3</v>
      </c>
      <c r="N3141" t="s">
        <v>14331</v>
      </c>
      <c r="O3141" t="s">
        <v>32633</v>
      </c>
    </row>
    <row r="3142" spans="1:15" x14ac:dyDescent="0.25">
      <c r="A3142" s="35" t="s">
        <v>7328</v>
      </c>
      <c r="B3142" s="36" t="s">
        <v>7329</v>
      </c>
      <c r="C3142" s="36" t="str">
        <f>HYPERLINK("https://rhld.insurance.arkansas.gov/NPILookup?Npi=1639198591","1639198591")</f>
        <v>1639198591</v>
      </c>
      <c r="D3142" s="36" t="s">
        <v>35710</v>
      </c>
      <c r="E3142" s="36" t="s">
        <v>1</v>
      </c>
      <c r="F3142" s="36">
        <v>1</v>
      </c>
      <c r="G3142" s="36">
        <v>3</v>
      </c>
      <c r="H3142" s="36">
        <v>0</v>
      </c>
      <c r="I3142" s="37">
        <v>0</v>
      </c>
      <c r="J3142" s="36" t="s">
        <v>34836</v>
      </c>
      <c r="K3142" s="36" t="s">
        <v>14330</v>
      </c>
      <c r="L3142" s="36" t="s">
        <v>14330</v>
      </c>
      <c r="M3142">
        <v>2</v>
      </c>
      <c r="N3142" t="s">
        <v>14331</v>
      </c>
      <c r="O3142" t="s">
        <v>32633</v>
      </c>
    </row>
    <row r="3143" spans="1:15" x14ac:dyDescent="0.25">
      <c r="A3143" s="35" t="s">
        <v>7328</v>
      </c>
      <c r="B3143" s="36" t="s">
        <v>7329</v>
      </c>
      <c r="C3143" s="36" t="str">
        <f>HYPERLINK("https://rhld.insurance.arkansas.gov/NPILookup?Npi=1639306293","1639306293")</f>
        <v>1639306293</v>
      </c>
      <c r="D3143" s="36" t="s">
        <v>35711</v>
      </c>
      <c r="E3143" s="36" t="s">
        <v>1</v>
      </c>
      <c r="F3143" s="36">
        <v>1</v>
      </c>
      <c r="G3143" s="36">
        <v>2</v>
      </c>
      <c r="H3143" s="36">
        <v>0</v>
      </c>
      <c r="I3143" s="37">
        <v>0</v>
      </c>
      <c r="J3143" s="36" t="s">
        <v>34836</v>
      </c>
      <c r="K3143" s="36" t="s">
        <v>14330</v>
      </c>
      <c r="L3143" s="36" t="s">
        <v>14330</v>
      </c>
      <c r="M3143">
        <v>3</v>
      </c>
      <c r="N3143" t="s">
        <v>14331</v>
      </c>
      <c r="O3143" t="s">
        <v>32633</v>
      </c>
    </row>
    <row r="3144" spans="1:15" x14ac:dyDescent="0.25">
      <c r="A3144" s="35" t="s">
        <v>7328</v>
      </c>
      <c r="B3144" s="36" t="s">
        <v>7329</v>
      </c>
      <c r="C3144" s="36" t="str">
        <f>HYPERLINK("https://rhld.insurance.arkansas.gov/NPILookup?Npi=1639370851","1639370851")</f>
        <v>1639370851</v>
      </c>
      <c r="D3144" s="36" t="s">
        <v>35712</v>
      </c>
      <c r="E3144" s="36" t="s">
        <v>1</v>
      </c>
      <c r="F3144" s="36">
        <v>1</v>
      </c>
      <c r="G3144" s="36">
        <v>3</v>
      </c>
      <c r="H3144" s="36">
        <v>0</v>
      </c>
      <c r="I3144" s="37">
        <v>0</v>
      </c>
      <c r="J3144" s="36" t="s">
        <v>34836</v>
      </c>
      <c r="K3144" s="36" t="s">
        <v>14330</v>
      </c>
      <c r="L3144" s="36" t="s">
        <v>14330</v>
      </c>
      <c r="M3144">
        <v>2</v>
      </c>
      <c r="N3144" t="s">
        <v>14331</v>
      </c>
      <c r="O3144" t="s">
        <v>32633</v>
      </c>
    </row>
    <row r="3145" spans="1:15" x14ac:dyDescent="0.25">
      <c r="A3145" s="35" t="s">
        <v>7328</v>
      </c>
      <c r="B3145" s="36" t="s">
        <v>7329</v>
      </c>
      <c r="C3145" s="36" t="str">
        <f>HYPERLINK("https://rhld.insurance.arkansas.gov/NPILookup?Npi=1639387178","1639387178")</f>
        <v>1639387178</v>
      </c>
      <c r="D3145" s="36" t="s">
        <v>35713</v>
      </c>
      <c r="E3145" s="36" t="s">
        <v>1</v>
      </c>
      <c r="F3145" s="36">
        <v>1</v>
      </c>
      <c r="G3145" s="36">
        <v>2</v>
      </c>
      <c r="H3145" s="36">
        <v>0</v>
      </c>
      <c r="I3145" s="37">
        <v>0</v>
      </c>
      <c r="J3145" s="36" t="s">
        <v>34836</v>
      </c>
      <c r="K3145" s="36" t="s">
        <v>14330</v>
      </c>
      <c r="L3145" s="36" t="s">
        <v>14330</v>
      </c>
      <c r="M3145">
        <v>2</v>
      </c>
      <c r="N3145" t="s">
        <v>14331</v>
      </c>
      <c r="O3145" t="s">
        <v>32633</v>
      </c>
    </row>
    <row r="3146" spans="1:15" x14ac:dyDescent="0.25">
      <c r="A3146" s="35" t="s">
        <v>7328</v>
      </c>
      <c r="B3146" s="36" t="s">
        <v>7329</v>
      </c>
      <c r="C3146" s="36" t="str">
        <f>HYPERLINK("https://rhld.insurance.arkansas.gov/NPILookup?Npi=1639433469","1639433469")</f>
        <v>1639433469</v>
      </c>
      <c r="D3146" s="36" t="s">
        <v>35714</v>
      </c>
      <c r="E3146" s="36" t="s">
        <v>2</v>
      </c>
      <c r="F3146" s="36">
        <v>1</v>
      </c>
      <c r="G3146" s="36">
        <v>2</v>
      </c>
      <c r="H3146" s="36">
        <v>0</v>
      </c>
      <c r="I3146" s="37">
        <v>0</v>
      </c>
      <c r="J3146" s="36"/>
      <c r="K3146" s="36" t="s">
        <v>14330</v>
      </c>
      <c r="L3146" s="36" t="s">
        <v>14330</v>
      </c>
      <c r="M3146">
        <v>1</v>
      </c>
      <c r="N3146" t="s">
        <v>14331</v>
      </c>
      <c r="O3146" t="s">
        <v>14333</v>
      </c>
    </row>
    <row r="3147" spans="1:15" x14ac:dyDescent="0.25">
      <c r="A3147" s="35" t="s">
        <v>7328</v>
      </c>
      <c r="B3147" s="36" t="s">
        <v>7329</v>
      </c>
      <c r="C3147" s="36" t="str">
        <f>HYPERLINK("https://rhld.insurance.arkansas.gov/NPILookup?Npi=1639560733","1639560733")</f>
        <v>1639560733</v>
      </c>
      <c r="D3147" s="36" t="s">
        <v>35715</v>
      </c>
      <c r="E3147" s="36" t="s">
        <v>1</v>
      </c>
      <c r="F3147" s="36">
        <v>1</v>
      </c>
      <c r="G3147" s="36">
        <v>1</v>
      </c>
      <c r="H3147" s="36">
        <v>0</v>
      </c>
      <c r="I3147" s="37">
        <v>0</v>
      </c>
      <c r="J3147" s="36" t="s">
        <v>32723</v>
      </c>
      <c r="K3147" s="36" t="s">
        <v>14330</v>
      </c>
      <c r="L3147" s="36" t="s">
        <v>14330</v>
      </c>
      <c r="M3147">
        <v>2</v>
      </c>
      <c r="N3147" t="s">
        <v>14331</v>
      </c>
      <c r="O3147" t="s">
        <v>32724</v>
      </c>
    </row>
    <row r="3148" spans="1:15" x14ac:dyDescent="0.25">
      <c r="A3148" s="35" t="s">
        <v>7328</v>
      </c>
      <c r="B3148" s="36" t="s">
        <v>7329</v>
      </c>
      <c r="C3148" s="36" t="str">
        <f>HYPERLINK("https://rhld.insurance.arkansas.gov/NPILookup?Npi=1639654213","1639654213")</f>
        <v>1639654213</v>
      </c>
      <c r="D3148" s="36" t="s">
        <v>35716</v>
      </c>
      <c r="E3148" s="36" t="s">
        <v>1</v>
      </c>
      <c r="F3148" s="36">
        <v>1</v>
      </c>
      <c r="G3148" s="36">
        <v>2</v>
      </c>
      <c r="H3148" s="36">
        <v>0</v>
      </c>
      <c r="I3148" s="37">
        <v>0</v>
      </c>
      <c r="J3148" s="36" t="s">
        <v>32654</v>
      </c>
      <c r="K3148" s="36" t="s">
        <v>14330</v>
      </c>
      <c r="L3148" s="36" t="s">
        <v>14330</v>
      </c>
      <c r="M3148">
        <v>1</v>
      </c>
      <c r="N3148" t="s">
        <v>14331</v>
      </c>
      <c r="O3148" t="s">
        <v>32633</v>
      </c>
    </row>
    <row r="3149" spans="1:15" x14ac:dyDescent="0.25">
      <c r="A3149" s="35" t="s">
        <v>7328</v>
      </c>
      <c r="B3149" s="36" t="s">
        <v>7329</v>
      </c>
      <c r="C3149" s="36" t="str">
        <f>HYPERLINK("https://rhld.insurance.arkansas.gov/NPILookup?Npi=1639674526","1639674526")</f>
        <v>1639674526</v>
      </c>
      <c r="D3149" s="36" t="s">
        <v>35717</v>
      </c>
      <c r="E3149" s="36" t="s">
        <v>1</v>
      </c>
      <c r="F3149" s="36">
        <v>1</v>
      </c>
      <c r="G3149" s="36">
        <v>2</v>
      </c>
      <c r="H3149" s="36">
        <v>1</v>
      </c>
      <c r="I3149" s="37">
        <v>0</v>
      </c>
      <c r="J3149" s="36" t="s">
        <v>32654</v>
      </c>
      <c r="K3149" s="36" t="s">
        <v>14330</v>
      </c>
      <c r="L3149" s="36" t="s">
        <v>35718</v>
      </c>
      <c r="M3149">
        <v>2</v>
      </c>
      <c r="N3149" t="s">
        <v>14332</v>
      </c>
      <c r="O3149" t="s">
        <v>32591</v>
      </c>
    </row>
    <row r="3150" spans="1:15" x14ac:dyDescent="0.25">
      <c r="A3150" s="35" t="s">
        <v>7328</v>
      </c>
      <c r="B3150" s="36" t="s">
        <v>7329</v>
      </c>
      <c r="C3150" s="36" t="str">
        <f>HYPERLINK("https://rhld.insurance.arkansas.gov/NPILookup?Npi=1639679970","1639679970")</f>
        <v>1639679970</v>
      </c>
      <c r="D3150" s="36" t="s">
        <v>35719</v>
      </c>
      <c r="E3150" s="36" t="s">
        <v>2</v>
      </c>
      <c r="F3150" s="36">
        <v>1</v>
      </c>
      <c r="G3150" s="36">
        <v>2</v>
      </c>
      <c r="H3150" s="36">
        <v>0</v>
      </c>
      <c r="I3150" s="37">
        <v>0</v>
      </c>
      <c r="J3150" s="36"/>
      <c r="K3150" s="36" t="s">
        <v>14330</v>
      </c>
      <c r="L3150" s="36" t="s">
        <v>14330</v>
      </c>
      <c r="M3150">
        <v>3</v>
      </c>
      <c r="N3150" t="s">
        <v>14331</v>
      </c>
      <c r="O3150" t="s">
        <v>14333</v>
      </c>
    </row>
    <row r="3151" spans="1:15" x14ac:dyDescent="0.25">
      <c r="A3151" s="35" t="s">
        <v>7328</v>
      </c>
      <c r="B3151" s="36" t="s">
        <v>7329</v>
      </c>
      <c r="C3151" s="36" t="str">
        <f>HYPERLINK("https://rhld.insurance.arkansas.gov/NPILookup?Npi=1639699770","1639699770")</f>
        <v>1639699770</v>
      </c>
      <c r="D3151" s="36" t="s">
        <v>35720</v>
      </c>
      <c r="E3151" s="36" t="s">
        <v>1</v>
      </c>
      <c r="F3151" s="36">
        <v>1</v>
      </c>
      <c r="G3151" s="36">
        <v>3</v>
      </c>
      <c r="H3151" s="36">
        <v>0</v>
      </c>
      <c r="I3151" s="37">
        <v>0</v>
      </c>
      <c r="J3151" s="36" t="s">
        <v>34836</v>
      </c>
      <c r="K3151" s="36" t="s">
        <v>14330</v>
      </c>
      <c r="L3151" s="36" t="s">
        <v>14330</v>
      </c>
      <c r="M3151">
        <v>2</v>
      </c>
      <c r="N3151" t="s">
        <v>14331</v>
      </c>
      <c r="O3151" t="s">
        <v>32633</v>
      </c>
    </row>
    <row r="3152" spans="1:15" x14ac:dyDescent="0.25">
      <c r="A3152" s="35" t="s">
        <v>7328</v>
      </c>
      <c r="B3152" s="36" t="s">
        <v>7329</v>
      </c>
      <c r="C3152" s="36" t="str">
        <f>HYPERLINK("https://rhld.insurance.arkansas.gov/NPILookup?Npi=1639829559","1639829559")</f>
        <v>1639829559</v>
      </c>
      <c r="D3152" s="36" t="s">
        <v>33294</v>
      </c>
      <c r="E3152" s="36" t="s">
        <v>2</v>
      </c>
      <c r="F3152" s="36">
        <v>1</v>
      </c>
      <c r="G3152" s="36">
        <v>2</v>
      </c>
      <c r="H3152" s="36">
        <v>0</v>
      </c>
      <c r="I3152" s="37">
        <v>0</v>
      </c>
      <c r="J3152" s="36"/>
      <c r="K3152" s="36" t="s">
        <v>14330</v>
      </c>
      <c r="L3152" s="36" t="s">
        <v>14330</v>
      </c>
      <c r="M3152">
        <v>2</v>
      </c>
      <c r="N3152" t="s">
        <v>14331</v>
      </c>
      <c r="O3152" t="s">
        <v>14333</v>
      </c>
    </row>
    <row r="3153" spans="1:15" x14ac:dyDescent="0.25">
      <c r="A3153" s="35" t="s">
        <v>7328</v>
      </c>
      <c r="B3153" s="36" t="s">
        <v>7329</v>
      </c>
      <c r="C3153" s="36" t="str">
        <f>HYPERLINK("https://rhld.insurance.arkansas.gov/NPILookup?Npi=1639909955","1639909955")</f>
        <v>1639909955</v>
      </c>
      <c r="D3153" s="36" t="s">
        <v>35721</v>
      </c>
      <c r="E3153" s="36" t="s">
        <v>2</v>
      </c>
      <c r="F3153" s="36">
        <v>1</v>
      </c>
      <c r="G3153" s="36">
        <v>2</v>
      </c>
      <c r="H3153" s="36">
        <v>0</v>
      </c>
      <c r="I3153" s="37">
        <v>0</v>
      </c>
      <c r="J3153" s="36"/>
      <c r="K3153" s="36" t="s">
        <v>14330</v>
      </c>
      <c r="L3153" s="36" t="s">
        <v>14330</v>
      </c>
      <c r="M3153">
        <v>1</v>
      </c>
      <c r="N3153" t="s">
        <v>14331</v>
      </c>
      <c r="O3153" t="s">
        <v>14333</v>
      </c>
    </row>
    <row r="3154" spans="1:15" x14ac:dyDescent="0.25">
      <c r="A3154" s="35" t="s">
        <v>7328</v>
      </c>
      <c r="B3154" s="36" t="s">
        <v>7329</v>
      </c>
      <c r="C3154" s="36" t="str">
        <f>HYPERLINK("https://rhld.insurance.arkansas.gov/NPILookup?Npi=1639989304","1639989304")</f>
        <v>1639989304</v>
      </c>
      <c r="D3154" s="36" t="s">
        <v>34772</v>
      </c>
      <c r="E3154" s="36" t="s">
        <v>2</v>
      </c>
      <c r="F3154" s="36">
        <v>1</v>
      </c>
      <c r="G3154" s="36">
        <v>1</v>
      </c>
      <c r="H3154" s="36">
        <v>0</v>
      </c>
      <c r="I3154" s="37">
        <v>0</v>
      </c>
      <c r="J3154" s="36"/>
      <c r="K3154" s="36" t="s">
        <v>14330</v>
      </c>
      <c r="L3154" s="36" t="s">
        <v>14330</v>
      </c>
      <c r="M3154">
        <v>2</v>
      </c>
      <c r="N3154" t="s">
        <v>14331</v>
      </c>
      <c r="O3154" t="s">
        <v>32633</v>
      </c>
    </row>
    <row r="3155" spans="1:15" x14ac:dyDescent="0.25">
      <c r="A3155" s="35" t="s">
        <v>7328</v>
      </c>
      <c r="B3155" s="36" t="s">
        <v>7329</v>
      </c>
      <c r="C3155" s="36" t="str">
        <f>HYPERLINK("https://rhld.insurance.arkansas.gov/NPILookup?Npi=1649012766","1649012766")</f>
        <v>1649012766</v>
      </c>
      <c r="D3155" s="36" t="s">
        <v>35722</v>
      </c>
      <c r="E3155" s="36" t="s">
        <v>2</v>
      </c>
      <c r="F3155" s="36">
        <v>1</v>
      </c>
      <c r="G3155" s="36">
        <v>2</v>
      </c>
      <c r="H3155" s="36">
        <v>0</v>
      </c>
      <c r="I3155" s="37">
        <v>0</v>
      </c>
      <c r="J3155" s="36"/>
      <c r="K3155" s="36" t="s">
        <v>14330</v>
      </c>
      <c r="L3155" s="36" t="s">
        <v>14330</v>
      </c>
      <c r="M3155">
        <v>1</v>
      </c>
      <c r="N3155" t="s">
        <v>14331</v>
      </c>
      <c r="O3155" t="s">
        <v>14333</v>
      </c>
    </row>
    <row r="3156" spans="1:15" x14ac:dyDescent="0.25">
      <c r="A3156" s="35" t="s">
        <v>7328</v>
      </c>
      <c r="B3156" s="36" t="s">
        <v>7329</v>
      </c>
      <c r="C3156" s="36" t="str">
        <f>HYPERLINK("https://rhld.insurance.arkansas.gov/NPILookup?Npi=1649018375","1649018375")</f>
        <v>1649018375</v>
      </c>
      <c r="D3156" s="36" t="s">
        <v>34773</v>
      </c>
      <c r="E3156" s="36" t="s">
        <v>2</v>
      </c>
      <c r="F3156" s="36">
        <v>1</v>
      </c>
      <c r="G3156" s="36">
        <v>1</v>
      </c>
      <c r="H3156" s="36">
        <v>0</v>
      </c>
      <c r="I3156" s="37">
        <v>0</v>
      </c>
      <c r="J3156" s="36"/>
      <c r="K3156" s="36" t="s">
        <v>14330</v>
      </c>
      <c r="L3156" s="36" t="s">
        <v>14330</v>
      </c>
      <c r="M3156">
        <v>3</v>
      </c>
      <c r="N3156" t="s">
        <v>14331</v>
      </c>
      <c r="O3156" t="s">
        <v>32633</v>
      </c>
    </row>
    <row r="3157" spans="1:15" x14ac:dyDescent="0.25">
      <c r="A3157" s="35" t="s">
        <v>7328</v>
      </c>
      <c r="B3157" s="36" t="s">
        <v>7329</v>
      </c>
      <c r="C3157" s="36" t="str">
        <f>HYPERLINK("https://rhld.insurance.arkansas.gov/NPILookup?Npi=1649275629","1649275629")</f>
        <v>1649275629</v>
      </c>
      <c r="D3157" s="36" t="s">
        <v>35723</v>
      </c>
      <c r="E3157" s="36" t="s">
        <v>1</v>
      </c>
      <c r="F3157" s="36">
        <v>1</v>
      </c>
      <c r="G3157" s="36">
        <v>3</v>
      </c>
      <c r="H3157" s="36">
        <v>0</v>
      </c>
      <c r="I3157" s="37">
        <v>0</v>
      </c>
      <c r="J3157" s="36" t="s">
        <v>34836</v>
      </c>
      <c r="K3157" s="36" t="s">
        <v>14330</v>
      </c>
      <c r="L3157" s="36" t="s">
        <v>14330</v>
      </c>
      <c r="M3157">
        <v>3</v>
      </c>
      <c r="N3157" t="s">
        <v>14331</v>
      </c>
      <c r="O3157" t="s">
        <v>32633</v>
      </c>
    </row>
    <row r="3158" spans="1:15" x14ac:dyDescent="0.25">
      <c r="A3158" s="35" t="s">
        <v>7328</v>
      </c>
      <c r="B3158" s="36" t="s">
        <v>7329</v>
      </c>
      <c r="C3158" s="36" t="str">
        <f>HYPERLINK("https://rhld.insurance.arkansas.gov/NPILookup?Npi=1649294554","1649294554")</f>
        <v>1649294554</v>
      </c>
      <c r="D3158" s="36" t="s">
        <v>35724</v>
      </c>
      <c r="E3158" s="36" t="s">
        <v>1</v>
      </c>
      <c r="F3158" s="36">
        <v>1</v>
      </c>
      <c r="G3158" s="36">
        <v>3</v>
      </c>
      <c r="H3158" s="36">
        <v>0</v>
      </c>
      <c r="I3158" s="37">
        <v>0</v>
      </c>
      <c r="J3158" s="36" t="s">
        <v>34836</v>
      </c>
      <c r="K3158" s="36" t="s">
        <v>14330</v>
      </c>
      <c r="L3158" s="36" t="s">
        <v>14330</v>
      </c>
      <c r="M3158">
        <v>2</v>
      </c>
      <c r="N3158" t="s">
        <v>14331</v>
      </c>
      <c r="O3158" t="s">
        <v>32633</v>
      </c>
    </row>
    <row r="3159" spans="1:15" x14ac:dyDescent="0.25">
      <c r="A3159" s="35" t="s">
        <v>7328</v>
      </c>
      <c r="B3159" s="36" t="s">
        <v>7329</v>
      </c>
      <c r="C3159" s="36" t="str">
        <f>HYPERLINK("https://rhld.insurance.arkansas.gov/NPILookup?Npi=1649335092","1649335092")</f>
        <v>1649335092</v>
      </c>
      <c r="D3159" s="36" t="s">
        <v>35725</v>
      </c>
      <c r="E3159" s="36" t="s">
        <v>1</v>
      </c>
      <c r="F3159" s="36">
        <v>1</v>
      </c>
      <c r="G3159" s="36">
        <v>2</v>
      </c>
      <c r="H3159" s="36">
        <v>0</v>
      </c>
      <c r="I3159" s="37">
        <v>0</v>
      </c>
      <c r="J3159" s="36" t="s">
        <v>34836</v>
      </c>
      <c r="K3159" s="36" t="s">
        <v>14330</v>
      </c>
      <c r="L3159" s="36" t="s">
        <v>14330</v>
      </c>
      <c r="M3159">
        <v>2</v>
      </c>
      <c r="N3159" t="s">
        <v>14331</v>
      </c>
      <c r="O3159" t="s">
        <v>32633</v>
      </c>
    </row>
    <row r="3160" spans="1:15" x14ac:dyDescent="0.25">
      <c r="A3160" s="35" t="s">
        <v>7328</v>
      </c>
      <c r="B3160" s="36" t="s">
        <v>7329</v>
      </c>
      <c r="C3160" s="36" t="str">
        <f>HYPERLINK("https://rhld.insurance.arkansas.gov/NPILookup?Npi=1649374208","1649374208")</f>
        <v>1649374208</v>
      </c>
      <c r="D3160" s="36" t="s">
        <v>35726</v>
      </c>
      <c r="E3160" s="36" t="s">
        <v>1</v>
      </c>
      <c r="F3160" s="36">
        <v>1</v>
      </c>
      <c r="G3160" s="36">
        <v>2</v>
      </c>
      <c r="H3160" s="36">
        <v>0</v>
      </c>
      <c r="I3160" s="37">
        <v>0</v>
      </c>
      <c r="J3160" s="36" t="s">
        <v>32723</v>
      </c>
      <c r="K3160" s="36" t="s">
        <v>14330</v>
      </c>
      <c r="L3160" s="36" t="s">
        <v>14330</v>
      </c>
      <c r="M3160">
        <v>3</v>
      </c>
      <c r="N3160" t="s">
        <v>14331</v>
      </c>
      <c r="O3160" t="s">
        <v>32724</v>
      </c>
    </row>
    <row r="3161" spans="1:15" x14ac:dyDescent="0.25">
      <c r="A3161" s="35" t="s">
        <v>7328</v>
      </c>
      <c r="B3161" s="36" t="s">
        <v>7329</v>
      </c>
      <c r="C3161" s="36" t="str">
        <f>HYPERLINK("https://rhld.insurance.arkansas.gov/NPILookup?Npi=1649430190","1649430190")</f>
        <v>1649430190</v>
      </c>
      <c r="D3161" s="36" t="s">
        <v>35727</v>
      </c>
      <c r="E3161" s="36" t="s">
        <v>1</v>
      </c>
      <c r="F3161" s="36">
        <v>1</v>
      </c>
      <c r="G3161" s="36">
        <v>3</v>
      </c>
      <c r="H3161" s="36">
        <v>0</v>
      </c>
      <c r="I3161" s="37">
        <v>0</v>
      </c>
      <c r="J3161" s="36" t="s">
        <v>32654</v>
      </c>
      <c r="K3161" s="36" t="s">
        <v>14330</v>
      </c>
      <c r="L3161" s="36" t="s">
        <v>14330</v>
      </c>
      <c r="M3161">
        <v>3</v>
      </c>
      <c r="N3161" t="s">
        <v>14331</v>
      </c>
      <c r="O3161" t="s">
        <v>32633</v>
      </c>
    </row>
    <row r="3162" spans="1:15" x14ac:dyDescent="0.25">
      <c r="A3162" s="35" t="s">
        <v>7328</v>
      </c>
      <c r="B3162" s="36" t="s">
        <v>7329</v>
      </c>
      <c r="C3162" s="36" t="str">
        <f>HYPERLINK("https://rhld.insurance.arkansas.gov/NPILookup?Npi=1649437633","1649437633")</f>
        <v>1649437633</v>
      </c>
      <c r="D3162" s="36" t="s">
        <v>35728</v>
      </c>
      <c r="E3162" s="36" t="s">
        <v>1</v>
      </c>
      <c r="F3162" s="36">
        <v>1</v>
      </c>
      <c r="G3162" s="36">
        <v>3</v>
      </c>
      <c r="H3162" s="36">
        <v>0</v>
      </c>
      <c r="I3162" s="37">
        <v>0</v>
      </c>
      <c r="J3162" s="36" t="s">
        <v>34836</v>
      </c>
      <c r="K3162" s="36" t="s">
        <v>14330</v>
      </c>
      <c r="L3162" s="36" t="s">
        <v>14330</v>
      </c>
      <c r="M3162">
        <v>3</v>
      </c>
      <c r="N3162" t="s">
        <v>14331</v>
      </c>
      <c r="O3162" t="s">
        <v>32633</v>
      </c>
    </row>
    <row r="3163" spans="1:15" x14ac:dyDescent="0.25">
      <c r="A3163" s="35" t="s">
        <v>7328</v>
      </c>
      <c r="B3163" s="36" t="s">
        <v>7329</v>
      </c>
      <c r="C3163" s="36" t="str">
        <f>HYPERLINK("https://rhld.insurance.arkansas.gov/NPILookup?Npi=1649444365","1649444365")</f>
        <v>1649444365</v>
      </c>
      <c r="D3163" s="36" t="s">
        <v>35729</v>
      </c>
      <c r="E3163" s="36" t="s">
        <v>1</v>
      </c>
      <c r="F3163" s="36">
        <v>1</v>
      </c>
      <c r="G3163" s="36">
        <v>3</v>
      </c>
      <c r="H3163" s="36">
        <v>0</v>
      </c>
      <c r="I3163" s="37">
        <v>0</v>
      </c>
      <c r="J3163" s="36" t="s">
        <v>34836</v>
      </c>
      <c r="K3163" s="36" t="s">
        <v>14330</v>
      </c>
      <c r="L3163" s="36" t="s">
        <v>14330</v>
      </c>
      <c r="M3163">
        <v>3</v>
      </c>
      <c r="N3163" t="s">
        <v>14331</v>
      </c>
      <c r="O3163" t="s">
        <v>32633</v>
      </c>
    </row>
    <row r="3164" spans="1:15" x14ac:dyDescent="0.25">
      <c r="A3164" s="35" t="s">
        <v>7328</v>
      </c>
      <c r="B3164" s="36" t="s">
        <v>7329</v>
      </c>
      <c r="C3164" s="36" t="str">
        <f>HYPERLINK("https://rhld.insurance.arkansas.gov/NPILookup?Npi=1649512146","1649512146")</f>
        <v>1649512146</v>
      </c>
      <c r="D3164" s="36" t="s">
        <v>35730</v>
      </c>
      <c r="E3164" s="36" t="s">
        <v>1</v>
      </c>
      <c r="F3164" s="36">
        <v>1</v>
      </c>
      <c r="G3164" s="36">
        <v>3</v>
      </c>
      <c r="H3164" s="36">
        <v>0</v>
      </c>
      <c r="I3164" s="37">
        <v>0</v>
      </c>
      <c r="J3164" s="36" t="s">
        <v>32654</v>
      </c>
      <c r="K3164" s="36" t="s">
        <v>14330</v>
      </c>
      <c r="L3164" s="36" t="s">
        <v>14330</v>
      </c>
      <c r="M3164">
        <v>3</v>
      </c>
      <c r="N3164" t="s">
        <v>14331</v>
      </c>
      <c r="O3164" t="s">
        <v>32633</v>
      </c>
    </row>
    <row r="3165" spans="1:15" x14ac:dyDescent="0.25">
      <c r="A3165" s="35" t="s">
        <v>7328</v>
      </c>
      <c r="B3165" s="36" t="s">
        <v>7329</v>
      </c>
      <c r="C3165" s="36" t="str">
        <f>HYPERLINK("https://rhld.insurance.arkansas.gov/NPILookup?Npi=1649513847","1649513847")</f>
        <v>1649513847</v>
      </c>
      <c r="D3165" s="36" t="s">
        <v>35731</v>
      </c>
      <c r="E3165" s="36" t="s">
        <v>1</v>
      </c>
      <c r="F3165" s="36">
        <v>1</v>
      </c>
      <c r="G3165" s="36">
        <v>3</v>
      </c>
      <c r="H3165" s="36">
        <v>0</v>
      </c>
      <c r="I3165" s="37">
        <v>0</v>
      </c>
      <c r="J3165" s="36" t="s">
        <v>34836</v>
      </c>
      <c r="K3165" s="36" t="s">
        <v>14330</v>
      </c>
      <c r="L3165" s="36" t="s">
        <v>14330</v>
      </c>
      <c r="M3165">
        <v>2</v>
      </c>
      <c r="N3165" t="s">
        <v>14331</v>
      </c>
      <c r="O3165" t="s">
        <v>32633</v>
      </c>
    </row>
    <row r="3166" spans="1:15" x14ac:dyDescent="0.25">
      <c r="A3166" s="35" t="s">
        <v>7328</v>
      </c>
      <c r="B3166" s="36" t="s">
        <v>7329</v>
      </c>
      <c r="C3166" s="36" t="str">
        <f>HYPERLINK("https://rhld.insurance.arkansas.gov/NPILookup?Npi=1649624214","1649624214")</f>
        <v>1649624214</v>
      </c>
      <c r="D3166" s="36" t="s">
        <v>35732</v>
      </c>
      <c r="E3166" s="36" t="s">
        <v>1</v>
      </c>
      <c r="F3166" s="36">
        <v>1</v>
      </c>
      <c r="G3166" s="36">
        <v>2</v>
      </c>
      <c r="H3166" s="36">
        <v>0</v>
      </c>
      <c r="I3166" s="37">
        <v>0</v>
      </c>
      <c r="J3166" s="36" t="s">
        <v>34836</v>
      </c>
      <c r="K3166" s="36" t="s">
        <v>14330</v>
      </c>
      <c r="L3166" s="36" t="s">
        <v>14330</v>
      </c>
      <c r="M3166">
        <v>2</v>
      </c>
      <c r="N3166" t="s">
        <v>14331</v>
      </c>
      <c r="O3166" t="s">
        <v>32633</v>
      </c>
    </row>
    <row r="3167" spans="1:15" x14ac:dyDescent="0.25">
      <c r="A3167" s="35" t="s">
        <v>7328</v>
      </c>
      <c r="B3167" s="36" t="s">
        <v>7329</v>
      </c>
      <c r="C3167" s="36" t="str">
        <f>HYPERLINK("https://rhld.insurance.arkansas.gov/NPILookup?Npi=1649653544","1649653544")</f>
        <v>1649653544</v>
      </c>
      <c r="D3167" s="36" t="s">
        <v>35733</v>
      </c>
      <c r="E3167" s="36" t="s">
        <v>1</v>
      </c>
      <c r="F3167" s="36">
        <v>1</v>
      </c>
      <c r="G3167" s="36">
        <v>2</v>
      </c>
      <c r="H3167" s="36">
        <v>0</v>
      </c>
      <c r="I3167" s="37">
        <v>0</v>
      </c>
      <c r="J3167" s="36" t="s">
        <v>34836</v>
      </c>
      <c r="K3167" s="36" t="s">
        <v>14330</v>
      </c>
      <c r="L3167" s="36" t="s">
        <v>14330</v>
      </c>
      <c r="M3167">
        <v>2</v>
      </c>
      <c r="N3167" t="s">
        <v>14331</v>
      </c>
      <c r="O3167" t="s">
        <v>32633</v>
      </c>
    </row>
    <row r="3168" spans="1:15" x14ac:dyDescent="0.25">
      <c r="A3168" s="35" t="s">
        <v>7328</v>
      </c>
      <c r="B3168" s="36" t="s">
        <v>7329</v>
      </c>
      <c r="C3168" s="36" t="str">
        <f>HYPERLINK("https://rhld.insurance.arkansas.gov/NPILookup?Npi=1649851056","1649851056")</f>
        <v>1649851056</v>
      </c>
      <c r="D3168" s="36" t="s">
        <v>35734</v>
      </c>
      <c r="E3168" s="36" t="s">
        <v>2</v>
      </c>
      <c r="F3168" s="36">
        <v>1</v>
      </c>
      <c r="G3168" s="36">
        <v>2</v>
      </c>
      <c r="H3168" s="36">
        <v>0</v>
      </c>
      <c r="I3168" s="37">
        <v>0</v>
      </c>
      <c r="J3168" s="36"/>
      <c r="K3168" s="36" t="s">
        <v>14330</v>
      </c>
      <c r="L3168" s="36" t="s">
        <v>14330</v>
      </c>
      <c r="M3168">
        <v>3</v>
      </c>
      <c r="N3168" t="s">
        <v>14331</v>
      </c>
      <c r="O3168" t="s">
        <v>14333</v>
      </c>
    </row>
    <row r="3169" spans="1:15" x14ac:dyDescent="0.25">
      <c r="A3169" s="35" t="s">
        <v>7328</v>
      </c>
      <c r="B3169" s="36" t="s">
        <v>7329</v>
      </c>
      <c r="C3169" s="36" t="str">
        <f>HYPERLINK("https://rhld.insurance.arkansas.gov/NPILookup?Npi=1649907593","1649907593")</f>
        <v>1649907593</v>
      </c>
      <c r="D3169" s="36" t="s">
        <v>35735</v>
      </c>
      <c r="E3169" s="36" t="s">
        <v>1</v>
      </c>
      <c r="F3169" s="36">
        <v>1</v>
      </c>
      <c r="G3169" s="36">
        <v>3</v>
      </c>
      <c r="H3169" s="36">
        <v>0</v>
      </c>
      <c r="I3169" s="37">
        <v>0</v>
      </c>
      <c r="J3169" s="36" t="s">
        <v>32654</v>
      </c>
      <c r="K3169" s="36" t="s">
        <v>14330</v>
      </c>
      <c r="L3169" s="36" t="s">
        <v>14330</v>
      </c>
      <c r="M3169">
        <v>2</v>
      </c>
      <c r="N3169" t="s">
        <v>14331</v>
      </c>
      <c r="O3169" t="s">
        <v>32633</v>
      </c>
    </row>
    <row r="3170" spans="1:15" x14ac:dyDescent="0.25">
      <c r="A3170" s="35" t="s">
        <v>7328</v>
      </c>
      <c r="B3170" s="36" t="s">
        <v>7329</v>
      </c>
      <c r="C3170" s="36" t="str">
        <f>HYPERLINK("https://rhld.insurance.arkansas.gov/NPILookup?Npi=1659131035","1659131035")</f>
        <v>1659131035</v>
      </c>
      <c r="D3170" s="36" t="s">
        <v>35736</v>
      </c>
      <c r="E3170" s="36" t="s">
        <v>2</v>
      </c>
      <c r="F3170" s="36">
        <v>1</v>
      </c>
      <c r="G3170" s="36">
        <v>2</v>
      </c>
      <c r="H3170" s="36">
        <v>0</v>
      </c>
      <c r="I3170" s="37">
        <v>0</v>
      </c>
      <c r="J3170" s="36"/>
      <c r="K3170" s="36" t="s">
        <v>14330</v>
      </c>
      <c r="L3170" s="36" t="s">
        <v>14330</v>
      </c>
      <c r="M3170">
        <v>2</v>
      </c>
      <c r="N3170" t="s">
        <v>14331</v>
      </c>
      <c r="O3170" t="s">
        <v>14333</v>
      </c>
    </row>
    <row r="3171" spans="1:15" x14ac:dyDescent="0.25">
      <c r="A3171" s="35" t="s">
        <v>7328</v>
      </c>
      <c r="B3171" s="36" t="s">
        <v>7329</v>
      </c>
      <c r="C3171" s="36" t="str">
        <f>HYPERLINK("https://rhld.insurance.arkansas.gov/NPILookup?Npi=1659140309","1659140309")</f>
        <v>1659140309</v>
      </c>
      <c r="D3171" s="36" t="s">
        <v>35737</v>
      </c>
      <c r="E3171" s="36" t="s">
        <v>2</v>
      </c>
      <c r="F3171" s="36">
        <v>1</v>
      </c>
      <c r="G3171" s="36">
        <v>2</v>
      </c>
      <c r="H3171" s="36">
        <v>0</v>
      </c>
      <c r="I3171" s="37">
        <v>0</v>
      </c>
      <c r="J3171" s="36"/>
      <c r="K3171" s="36" t="s">
        <v>14330</v>
      </c>
      <c r="L3171" s="36" t="s">
        <v>14330</v>
      </c>
      <c r="M3171">
        <v>2</v>
      </c>
      <c r="N3171" t="s">
        <v>14331</v>
      </c>
      <c r="O3171" t="s">
        <v>14333</v>
      </c>
    </row>
    <row r="3172" spans="1:15" x14ac:dyDescent="0.25">
      <c r="A3172" s="35" t="s">
        <v>7328</v>
      </c>
      <c r="B3172" s="36" t="s">
        <v>7329</v>
      </c>
      <c r="C3172" s="36" t="str">
        <f>HYPERLINK("https://rhld.insurance.arkansas.gov/NPILookup?Npi=1659199503","1659199503")</f>
        <v>1659199503</v>
      </c>
      <c r="D3172" s="36" t="s">
        <v>35738</v>
      </c>
      <c r="E3172" s="36" t="s">
        <v>2</v>
      </c>
      <c r="F3172" s="36">
        <v>1</v>
      </c>
      <c r="G3172" s="36">
        <v>2</v>
      </c>
      <c r="H3172" s="36">
        <v>0</v>
      </c>
      <c r="I3172" s="37">
        <v>0</v>
      </c>
      <c r="J3172" s="36"/>
      <c r="K3172" s="36" t="s">
        <v>14330</v>
      </c>
      <c r="L3172" s="36" t="s">
        <v>14330</v>
      </c>
      <c r="M3172">
        <v>2</v>
      </c>
      <c r="N3172" t="s">
        <v>14331</v>
      </c>
      <c r="O3172" t="s">
        <v>14333</v>
      </c>
    </row>
    <row r="3173" spans="1:15" x14ac:dyDescent="0.25">
      <c r="A3173" s="35" t="s">
        <v>7328</v>
      </c>
      <c r="B3173" s="36" t="s">
        <v>7329</v>
      </c>
      <c r="C3173" s="36" t="str">
        <f>HYPERLINK("https://rhld.insurance.arkansas.gov/NPILookup?Npi=1659345288","1659345288")</f>
        <v>1659345288</v>
      </c>
      <c r="D3173" s="36" t="s">
        <v>35739</v>
      </c>
      <c r="E3173" s="36" t="s">
        <v>2</v>
      </c>
      <c r="F3173" s="36">
        <v>1</v>
      </c>
      <c r="G3173" s="36">
        <v>2</v>
      </c>
      <c r="H3173" s="36">
        <v>0</v>
      </c>
      <c r="I3173" s="37">
        <v>0</v>
      </c>
      <c r="J3173" s="36"/>
      <c r="K3173" s="36" t="s">
        <v>14330</v>
      </c>
      <c r="L3173" s="36" t="s">
        <v>14330</v>
      </c>
      <c r="M3173">
        <v>0</v>
      </c>
      <c r="N3173" t="s">
        <v>14331</v>
      </c>
      <c r="O3173" t="s">
        <v>14333</v>
      </c>
    </row>
    <row r="3174" spans="1:15" x14ac:dyDescent="0.25">
      <c r="A3174" s="35" t="s">
        <v>7328</v>
      </c>
      <c r="B3174" s="36" t="s">
        <v>7329</v>
      </c>
      <c r="C3174" s="36" t="str">
        <f>HYPERLINK("https://rhld.insurance.arkansas.gov/NPILookup?Npi=1659376960","1659376960")</f>
        <v>1659376960</v>
      </c>
      <c r="D3174" s="36" t="s">
        <v>35740</v>
      </c>
      <c r="E3174" s="36" t="s">
        <v>1</v>
      </c>
      <c r="F3174" s="36">
        <v>1</v>
      </c>
      <c r="G3174" s="36">
        <v>0</v>
      </c>
      <c r="H3174" s="36">
        <v>0</v>
      </c>
      <c r="I3174" s="37">
        <v>0</v>
      </c>
      <c r="J3174" s="36" t="s">
        <v>34836</v>
      </c>
      <c r="K3174" s="36" t="s">
        <v>14330</v>
      </c>
      <c r="L3174" s="36" t="s">
        <v>14330</v>
      </c>
      <c r="M3174">
        <v>2</v>
      </c>
      <c r="N3174" t="s">
        <v>14331</v>
      </c>
      <c r="O3174" t="s">
        <v>32633</v>
      </c>
    </row>
    <row r="3175" spans="1:15" x14ac:dyDescent="0.25">
      <c r="A3175" s="35" t="s">
        <v>7328</v>
      </c>
      <c r="B3175" s="36" t="s">
        <v>7329</v>
      </c>
      <c r="C3175" s="36" t="str">
        <f>HYPERLINK("https://rhld.insurance.arkansas.gov/NPILookup?Npi=1659387181","1659387181")</f>
        <v>1659387181</v>
      </c>
      <c r="D3175" s="36" t="s">
        <v>35741</v>
      </c>
      <c r="E3175" s="36" t="s">
        <v>1</v>
      </c>
      <c r="F3175" s="36">
        <v>1</v>
      </c>
      <c r="G3175" s="36">
        <v>2</v>
      </c>
      <c r="H3175" s="36">
        <v>0</v>
      </c>
      <c r="I3175" s="37">
        <v>0</v>
      </c>
      <c r="J3175" s="36" t="s">
        <v>34836</v>
      </c>
      <c r="K3175" s="36" t="s">
        <v>14330</v>
      </c>
      <c r="L3175" s="36" t="s">
        <v>14330</v>
      </c>
      <c r="M3175">
        <v>3</v>
      </c>
      <c r="N3175" t="s">
        <v>14331</v>
      </c>
      <c r="O3175" t="s">
        <v>32633</v>
      </c>
    </row>
    <row r="3176" spans="1:15" x14ac:dyDescent="0.25">
      <c r="A3176" s="35" t="s">
        <v>7328</v>
      </c>
      <c r="B3176" s="36" t="s">
        <v>7329</v>
      </c>
      <c r="C3176" s="36" t="str">
        <f>HYPERLINK("https://rhld.insurance.arkansas.gov/NPILookup?Npi=1659441889","1659441889")</f>
        <v>1659441889</v>
      </c>
      <c r="D3176" s="36" t="s">
        <v>35742</v>
      </c>
      <c r="E3176" s="36" t="s">
        <v>1</v>
      </c>
      <c r="F3176" s="36">
        <v>1</v>
      </c>
      <c r="G3176" s="36">
        <v>3</v>
      </c>
      <c r="H3176" s="36">
        <v>0</v>
      </c>
      <c r="I3176" s="37">
        <v>0</v>
      </c>
      <c r="J3176" s="36" t="s">
        <v>32654</v>
      </c>
      <c r="K3176" s="36" t="s">
        <v>14330</v>
      </c>
      <c r="L3176" s="36" t="s">
        <v>14330</v>
      </c>
      <c r="M3176">
        <v>3</v>
      </c>
      <c r="N3176" t="s">
        <v>14331</v>
      </c>
      <c r="O3176" t="s">
        <v>32633</v>
      </c>
    </row>
    <row r="3177" spans="1:15" x14ac:dyDescent="0.25">
      <c r="A3177" s="35" t="s">
        <v>7328</v>
      </c>
      <c r="B3177" s="36" t="s">
        <v>7329</v>
      </c>
      <c r="C3177" s="36" t="str">
        <f>HYPERLINK("https://rhld.insurance.arkansas.gov/NPILookup?Npi=1659548105","1659548105")</f>
        <v>1659548105</v>
      </c>
      <c r="D3177" s="36" t="s">
        <v>35743</v>
      </c>
      <c r="E3177" s="36" t="s">
        <v>1</v>
      </c>
      <c r="F3177" s="36">
        <v>1</v>
      </c>
      <c r="G3177" s="36">
        <v>3</v>
      </c>
      <c r="H3177" s="36">
        <v>0</v>
      </c>
      <c r="I3177" s="37">
        <v>0</v>
      </c>
      <c r="J3177" s="36" t="s">
        <v>32654</v>
      </c>
      <c r="K3177" s="36" t="s">
        <v>14330</v>
      </c>
      <c r="L3177" s="36" t="s">
        <v>14330</v>
      </c>
      <c r="M3177">
        <v>3</v>
      </c>
      <c r="N3177" t="s">
        <v>14331</v>
      </c>
      <c r="O3177" t="s">
        <v>32633</v>
      </c>
    </row>
    <row r="3178" spans="1:15" x14ac:dyDescent="0.25">
      <c r="A3178" s="35" t="s">
        <v>7328</v>
      </c>
      <c r="B3178" s="36" t="s">
        <v>7329</v>
      </c>
      <c r="C3178" s="36" t="str">
        <f>HYPERLINK("https://rhld.insurance.arkansas.gov/NPILookup?Npi=1659577278","1659577278")</f>
        <v>1659577278</v>
      </c>
      <c r="D3178" s="36" t="s">
        <v>35744</v>
      </c>
      <c r="E3178" s="36" t="s">
        <v>1</v>
      </c>
      <c r="F3178" s="36">
        <v>1</v>
      </c>
      <c r="G3178" s="36">
        <v>3</v>
      </c>
      <c r="H3178" s="36">
        <v>0</v>
      </c>
      <c r="I3178" s="37">
        <v>0</v>
      </c>
      <c r="J3178" s="36" t="s">
        <v>34836</v>
      </c>
      <c r="K3178" s="36" t="s">
        <v>14330</v>
      </c>
      <c r="L3178" s="36" t="s">
        <v>14330</v>
      </c>
      <c r="M3178">
        <v>3</v>
      </c>
      <c r="N3178" t="s">
        <v>14331</v>
      </c>
      <c r="O3178" t="s">
        <v>32633</v>
      </c>
    </row>
    <row r="3179" spans="1:15" x14ac:dyDescent="0.25">
      <c r="A3179" s="35" t="s">
        <v>7328</v>
      </c>
      <c r="B3179" s="36" t="s">
        <v>7329</v>
      </c>
      <c r="C3179" s="36" t="str">
        <f>HYPERLINK("https://rhld.insurance.arkansas.gov/NPILookup?Npi=1659623775","1659623775")</f>
        <v>1659623775</v>
      </c>
      <c r="D3179" s="36" t="s">
        <v>35745</v>
      </c>
      <c r="E3179" s="36" t="s">
        <v>1</v>
      </c>
      <c r="F3179" s="36">
        <v>1</v>
      </c>
      <c r="G3179" s="36">
        <v>3</v>
      </c>
      <c r="H3179" s="36">
        <v>0</v>
      </c>
      <c r="I3179" s="37">
        <v>0</v>
      </c>
      <c r="J3179" s="36" t="s">
        <v>32654</v>
      </c>
      <c r="K3179" s="36" t="s">
        <v>14330</v>
      </c>
      <c r="L3179" s="36" t="s">
        <v>14330</v>
      </c>
      <c r="M3179">
        <v>3</v>
      </c>
      <c r="N3179" t="s">
        <v>14331</v>
      </c>
      <c r="O3179" t="s">
        <v>32633</v>
      </c>
    </row>
    <row r="3180" spans="1:15" x14ac:dyDescent="0.25">
      <c r="A3180" s="35" t="s">
        <v>7328</v>
      </c>
      <c r="B3180" s="36" t="s">
        <v>7329</v>
      </c>
      <c r="C3180" s="36" t="str">
        <f>HYPERLINK("https://rhld.insurance.arkansas.gov/NPILookup?Npi=1659675296","1659675296")</f>
        <v>1659675296</v>
      </c>
      <c r="D3180" s="36" t="s">
        <v>35746</v>
      </c>
      <c r="E3180" s="36" t="s">
        <v>1</v>
      </c>
      <c r="F3180" s="36">
        <v>1</v>
      </c>
      <c r="G3180" s="36">
        <v>3</v>
      </c>
      <c r="H3180" s="36">
        <v>0</v>
      </c>
      <c r="I3180" s="37">
        <v>0</v>
      </c>
      <c r="J3180" s="36" t="s">
        <v>34836</v>
      </c>
      <c r="K3180" s="36" t="s">
        <v>14330</v>
      </c>
      <c r="L3180" s="36" t="s">
        <v>14330</v>
      </c>
      <c r="M3180">
        <v>3</v>
      </c>
      <c r="N3180" t="s">
        <v>14331</v>
      </c>
      <c r="O3180" t="s">
        <v>32633</v>
      </c>
    </row>
    <row r="3181" spans="1:15" x14ac:dyDescent="0.25">
      <c r="A3181" s="35" t="s">
        <v>7328</v>
      </c>
      <c r="B3181" s="36" t="s">
        <v>7329</v>
      </c>
      <c r="C3181" s="36" t="str">
        <f>HYPERLINK("https://rhld.insurance.arkansas.gov/NPILookup?Npi=1659758753","1659758753")</f>
        <v>1659758753</v>
      </c>
      <c r="D3181" s="36" t="s">
        <v>35747</v>
      </c>
      <c r="E3181" s="36" t="s">
        <v>1</v>
      </c>
      <c r="F3181" s="36">
        <v>1</v>
      </c>
      <c r="G3181" s="36">
        <v>3</v>
      </c>
      <c r="H3181" s="36">
        <v>0</v>
      </c>
      <c r="I3181" s="37">
        <v>0</v>
      </c>
      <c r="J3181" s="36" t="s">
        <v>34836</v>
      </c>
      <c r="K3181" s="36" t="s">
        <v>14330</v>
      </c>
      <c r="L3181" s="36" t="s">
        <v>14330</v>
      </c>
      <c r="M3181">
        <v>3</v>
      </c>
      <c r="N3181" t="s">
        <v>14331</v>
      </c>
      <c r="O3181" t="s">
        <v>32633</v>
      </c>
    </row>
    <row r="3182" spans="1:15" x14ac:dyDescent="0.25">
      <c r="A3182" s="35" t="s">
        <v>7328</v>
      </c>
      <c r="B3182" s="36" t="s">
        <v>7329</v>
      </c>
      <c r="C3182" s="36" t="str">
        <f>HYPERLINK("https://rhld.insurance.arkansas.gov/NPILookup?Npi=1659767820","1659767820")</f>
        <v>1659767820</v>
      </c>
      <c r="D3182" s="36" t="s">
        <v>35748</v>
      </c>
      <c r="E3182" s="36" t="s">
        <v>1</v>
      </c>
      <c r="F3182" s="36">
        <v>1</v>
      </c>
      <c r="G3182" s="36">
        <v>3</v>
      </c>
      <c r="H3182" s="36">
        <v>0</v>
      </c>
      <c r="I3182" s="37">
        <v>0</v>
      </c>
      <c r="J3182" s="36" t="s">
        <v>32654</v>
      </c>
      <c r="K3182" s="36" t="s">
        <v>14330</v>
      </c>
      <c r="L3182" s="36" t="s">
        <v>14330</v>
      </c>
      <c r="M3182">
        <v>2</v>
      </c>
      <c r="N3182" t="s">
        <v>14331</v>
      </c>
      <c r="O3182" t="s">
        <v>32633</v>
      </c>
    </row>
    <row r="3183" spans="1:15" x14ac:dyDescent="0.25">
      <c r="A3183" s="35" t="s">
        <v>7328</v>
      </c>
      <c r="B3183" s="36" t="s">
        <v>7329</v>
      </c>
      <c r="C3183" s="36" t="str">
        <f>HYPERLINK("https://rhld.insurance.arkansas.gov/NPILookup?Npi=1659948651","1659948651")</f>
        <v>1659948651</v>
      </c>
      <c r="D3183" s="36" t="s">
        <v>35749</v>
      </c>
      <c r="E3183" s="36" t="s">
        <v>2</v>
      </c>
      <c r="F3183" s="36">
        <v>1</v>
      </c>
      <c r="G3183" s="36">
        <v>2</v>
      </c>
      <c r="H3183" s="36">
        <v>0</v>
      </c>
      <c r="I3183" s="37">
        <v>0</v>
      </c>
      <c r="J3183" s="36"/>
      <c r="K3183" s="36" t="s">
        <v>14330</v>
      </c>
      <c r="L3183" s="36" t="s">
        <v>14330</v>
      </c>
      <c r="M3183">
        <v>1</v>
      </c>
      <c r="N3183" t="s">
        <v>14331</v>
      </c>
      <c r="O3183" t="s">
        <v>14333</v>
      </c>
    </row>
    <row r="3184" spans="1:15" x14ac:dyDescent="0.25">
      <c r="A3184" s="35" t="s">
        <v>7328</v>
      </c>
      <c r="B3184" s="36" t="s">
        <v>7329</v>
      </c>
      <c r="C3184" s="36" t="str">
        <f>HYPERLINK("https://rhld.insurance.arkansas.gov/NPILookup?Npi=1669122990","1669122990")</f>
        <v>1669122990</v>
      </c>
      <c r="D3184" s="36" t="s">
        <v>33311</v>
      </c>
      <c r="E3184" s="36" t="s">
        <v>2</v>
      </c>
      <c r="F3184" s="36">
        <v>1</v>
      </c>
      <c r="G3184" s="36">
        <v>1</v>
      </c>
      <c r="H3184" s="36">
        <v>0</v>
      </c>
      <c r="I3184" s="37">
        <v>0</v>
      </c>
      <c r="J3184" s="36"/>
      <c r="K3184" s="36" t="s">
        <v>14330</v>
      </c>
      <c r="L3184" s="36" t="s">
        <v>14330</v>
      </c>
      <c r="M3184">
        <v>3</v>
      </c>
      <c r="N3184" t="s">
        <v>14331</v>
      </c>
      <c r="O3184" t="s">
        <v>32633</v>
      </c>
    </row>
    <row r="3185" spans="1:15" x14ac:dyDescent="0.25">
      <c r="A3185" s="35" t="s">
        <v>7328</v>
      </c>
      <c r="B3185" s="36" t="s">
        <v>7329</v>
      </c>
      <c r="C3185" s="36" t="str">
        <f>HYPERLINK("https://rhld.insurance.arkansas.gov/NPILookup?Npi=1669155305","1669155305")</f>
        <v>1669155305</v>
      </c>
      <c r="D3185" s="36" t="s">
        <v>35750</v>
      </c>
      <c r="E3185" s="36" t="s">
        <v>1</v>
      </c>
      <c r="F3185" s="36">
        <v>1</v>
      </c>
      <c r="G3185" s="36">
        <v>3</v>
      </c>
      <c r="H3185" s="36">
        <v>0</v>
      </c>
      <c r="I3185" s="37">
        <v>0</v>
      </c>
      <c r="J3185" s="36" t="s">
        <v>32654</v>
      </c>
      <c r="K3185" s="36" t="s">
        <v>14330</v>
      </c>
      <c r="L3185" s="36" t="s">
        <v>14330</v>
      </c>
      <c r="M3185">
        <v>2</v>
      </c>
      <c r="N3185" t="s">
        <v>14331</v>
      </c>
      <c r="O3185" t="s">
        <v>32633</v>
      </c>
    </row>
    <row r="3186" spans="1:15" x14ac:dyDescent="0.25">
      <c r="A3186" s="35" t="s">
        <v>7328</v>
      </c>
      <c r="B3186" s="36" t="s">
        <v>7329</v>
      </c>
      <c r="C3186" s="36" t="str">
        <f>HYPERLINK("https://rhld.insurance.arkansas.gov/NPILookup?Npi=1669205308","1669205308")</f>
        <v>1669205308</v>
      </c>
      <c r="D3186" s="36" t="s">
        <v>34777</v>
      </c>
      <c r="E3186" s="36" t="s">
        <v>2</v>
      </c>
      <c r="F3186" s="36">
        <v>1</v>
      </c>
      <c r="G3186" s="36">
        <v>2</v>
      </c>
      <c r="H3186" s="36">
        <v>0</v>
      </c>
      <c r="I3186" s="37">
        <v>0</v>
      </c>
      <c r="J3186" s="36"/>
      <c r="K3186" s="36" t="s">
        <v>14330</v>
      </c>
      <c r="L3186" s="36" t="s">
        <v>14330</v>
      </c>
      <c r="M3186">
        <v>2</v>
      </c>
      <c r="N3186" t="s">
        <v>14331</v>
      </c>
      <c r="O3186" t="s">
        <v>14333</v>
      </c>
    </row>
    <row r="3187" spans="1:15" x14ac:dyDescent="0.25">
      <c r="A3187" s="35" t="s">
        <v>7328</v>
      </c>
      <c r="B3187" s="36" t="s">
        <v>7329</v>
      </c>
      <c r="C3187" s="36" t="str">
        <f>HYPERLINK("https://rhld.insurance.arkansas.gov/NPILookup?Npi=1669277646","1669277646")</f>
        <v>1669277646</v>
      </c>
      <c r="D3187" s="36" t="s">
        <v>34397</v>
      </c>
      <c r="E3187" s="36" t="s">
        <v>2</v>
      </c>
      <c r="F3187" s="36">
        <v>1</v>
      </c>
      <c r="G3187" s="36">
        <v>2</v>
      </c>
      <c r="H3187" s="36">
        <v>0</v>
      </c>
      <c r="I3187" s="37">
        <v>0</v>
      </c>
      <c r="J3187" s="36"/>
      <c r="K3187" s="36" t="s">
        <v>14330</v>
      </c>
      <c r="L3187" s="36" t="s">
        <v>14330</v>
      </c>
      <c r="M3187">
        <v>1</v>
      </c>
      <c r="N3187" t="s">
        <v>14331</v>
      </c>
      <c r="O3187" t="s">
        <v>14333</v>
      </c>
    </row>
    <row r="3188" spans="1:15" x14ac:dyDescent="0.25">
      <c r="A3188" s="35" t="s">
        <v>7328</v>
      </c>
      <c r="B3188" s="36" t="s">
        <v>7329</v>
      </c>
      <c r="C3188" s="36" t="str">
        <f>HYPERLINK("https://rhld.insurance.arkansas.gov/NPILookup?Npi=1669416046","1669416046")</f>
        <v>1669416046</v>
      </c>
      <c r="D3188" s="36" t="s">
        <v>35751</v>
      </c>
      <c r="E3188" s="36" t="s">
        <v>1</v>
      </c>
      <c r="F3188" s="36">
        <v>1</v>
      </c>
      <c r="G3188" s="36">
        <v>1</v>
      </c>
      <c r="H3188" s="36">
        <v>0</v>
      </c>
      <c r="I3188" s="37">
        <v>0</v>
      </c>
      <c r="J3188" s="36" t="s">
        <v>34836</v>
      </c>
      <c r="K3188" s="36" t="s">
        <v>14330</v>
      </c>
      <c r="L3188" s="36" t="s">
        <v>14330</v>
      </c>
      <c r="M3188">
        <v>3</v>
      </c>
      <c r="N3188" t="s">
        <v>14331</v>
      </c>
      <c r="O3188" t="s">
        <v>32633</v>
      </c>
    </row>
    <row r="3189" spans="1:15" x14ac:dyDescent="0.25">
      <c r="A3189" s="35" t="s">
        <v>7328</v>
      </c>
      <c r="B3189" s="36" t="s">
        <v>7329</v>
      </c>
      <c r="C3189" s="36" t="str">
        <f>HYPERLINK("https://rhld.insurance.arkansas.gov/NPILookup?Npi=1669430286","1669430286")</f>
        <v>1669430286</v>
      </c>
      <c r="D3189" s="36" t="s">
        <v>35752</v>
      </c>
      <c r="E3189" s="36" t="s">
        <v>1</v>
      </c>
      <c r="F3189" s="36">
        <v>1</v>
      </c>
      <c r="G3189" s="36">
        <v>3</v>
      </c>
      <c r="H3189" s="36">
        <v>0</v>
      </c>
      <c r="I3189" s="37">
        <v>0</v>
      </c>
      <c r="J3189" s="36" t="s">
        <v>34836</v>
      </c>
      <c r="K3189" s="36" t="s">
        <v>14330</v>
      </c>
      <c r="L3189" s="36" t="s">
        <v>14330</v>
      </c>
      <c r="M3189">
        <v>2</v>
      </c>
      <c r="N3189" t="s">
        <v>14331</v>
      </c>
      <c r="O3189" t="s">
        <v>32633</v>
      </c>
    </row>
    <row r="3190" spans="1:15" x14ac:dyDescent="0.25">
      <c r="A3190" s="35" t="s">
        <v>7328</v>
      </c>
      <c r="B3190" s="36" t="s">
        <v>7329</v>
      </c>
      <c r="C3190" s="36" t="str">
        <f>HYPERLINK("https://rhld.insurance.arkansas.gov/NPILookup?Npi=1669621710","1669621710")</f>
        <v>1669621710</v>
      </c>
      <c r="D3190" s="36" t="s">
        <v>35753</v>
      </c>
      <c r="E3190" s="36" t="s">
        <v>2</v>
      </c>
      <c r="F3190" s="36">
        <v>1</v>
      </c>
      <c r="G3190" s="36">
        <v>2</v>
      </c>
      <c r="H3190" s="36">
        <v>0</v>
      </c>
      <c r="I3190" s="37">
        <v>0</v>
      </c>
      <c r="J3190" s="36" t="s">
        <v>32679</v>
      </c>
      <c r="K3190" s="36" t="s">
        <v>14330</v>
      </c>
      <c r="L3190" s="36" t="s">
        <v>14330</v>
      </c>
      <c r="M3190">
        <v>3</v>
      </c>
      <c r="N3190" t="s">
        <v>14331</v>
      </c>
      <c r="O3190" t="s">
        <v>14333</v>
      </c>
    </row>
    <row r="3191" spans="1:15" x14ac:dyDescent="0.25">
      <c r="A3191" s="35" t="s">
        <v>7328</v>
      </c>
      <c r="B3191" s="36" t="s">
        <v>7329</v>
      </c>
      <c r="C3191" s="36" t="str">
        <f>HYPERLINK("https://rhld.insurance.arkansas.gov/NPILookup?Npi=1669676557","1669676557")</f>
        <v>1669676557</v>
      </c>
      <c r="D3191" s="36" t="s">
        <v>35754</v>
      </c>
      <c r="E3191" s="36" t="s">
        <v>1</v>
      </c>
      <c r="F3191" s="36">
        <v>1</v>
      </c>
      <c r="G3191" s="36">
        <v>3</v>
      </c>
      <c r="H3191" s="36">
        <v>0</v>
      </c>
      <c r="I3191" s="37">
        <v>0</v>
      </c>
      <c r="J3191" s="36" t="s">
        <v>32654</v>
      </c>
      <c r="K3191" s="36" t="s">
        <v>14330</v>
      </c>
      <c r="L3191" s="36" t="s">
        <v>14330</v>
      </c>
      <c r="M3191">
        <v>3</v>
      </c>
      <c r="N3191" t="s">
        <v>14331</v>
      </c>
      <c r="O3191" t="s">
        <v>32633</v>
      </c>
    </row>
    <row r="3192" spans="1:15" x14ac:dyDescent="0.25">
      <c r="A3192" s="35" t="s">
        <v>7328</v>
      </c>
      <c r="B3192" s="36" t="s">
        <v>7329</v>
      </c>
      <c r="C3192" s="36" t="str">
        <f>HYPERLINK("https://rhld.insurance.arkansas.gov/NPILookup?Npi=1669787784","1669787784")</f>
        <v>1669787784</v>
      </c>
      <c r="D3192" s="36" t="s">
        <v>35755</v>
      </c>
      <c r="E3192" s="36" t="s">
        <v>1</v>
      </c>
      <c r="F3192" s="36">
        <v>1</v>
      </c>
      <c r="G3192" s="36">
        <v>3</v>
      </c>
      <c r="H3192" s="36">
        <v>0</v>
      </c>
      <c r="I3192" s="37">
        <v>0</v>
      </c>
      <c r="J3192" s="36" t="s">
        <v>34836</v>
      </c>
      <c r="K3192" s="36" t="s">
        <v>14330</v>
      </c>
      <c r="L3192" s="36" t="s">
        <v>14330</v>
      </c>
      <c r="M3192">
        <v>3</v>
      </c>
      <c r="N3192" t="s">
        <v>14331</v>
      </c>
      <c r="O3192" t="s">
        <v>32633</v>
      </c>
    </row>
    <row r="3193" spans="1:15" x14ac:dyDescent="0.25">
      <c r="A3193" s="35" t="s">
        <v>7328</v>
      </c>
      <c r="B3193" s="36" t="s">
        <v>7329</v>
      </c>
      <c r="C3193" s="36" t="str">
        <f>HYPERLINK("https://rhld.insurance.arkansas.gov/NPILookup?Npi=1669799797","1669799797")</f>
        <v>1669799797</v>
      </c>
      <c r="D3193" s="36" t="s">
        <v>35756</v>
      </c>
      <c r="E3193" s="36" t="s">
        <v>1</v>
      </c>
      <c r="F3193" s="36">
        <v>1</v>
      </c>
      <c r="G3193" s="36">
        <v>3</v>
      </c>
      <c r="H3193" s="36">
        <v>0</v>
      </c>
      <c r="I3193" s="37">
        <v>0</v>
      </c>
      <c r="J3193" s="36" t="s">
        <v>34836</v>
      </c>
      <c r="K3193" s="36" t="s">
        <v>14330</v>
      </c>
      <c r="L3193" s="36" t="s">
        <v>14330</v>
      </c>
      <c r="M3193">
        <v>2</v>
      </c>
      <c r="N3193" t="s">
        <v>14331</v>
      </c>
      <c r="O3193" t="s">
        <v>32633</v>
      </c>
    </row>
    <row r="3194" spans="1:15" x14ac:dyDescent="0.25">
      <c r="A3194" s="35" t="s">
        <v>7328</v>
      </c>
      <c r="B3194" s="36" t="s">
        <v>7329</v>
      </c>
      <c r="C3194" s="36" t="str">
        <f>HYPERLINK("https://rhld.insurance.arkansas.gov/NPILookup?Npi=1669849493","1669849493")</f>
        <v>1669849493</v>
      </c>
      <c r="D3194" s="36" t="s">
        <v>35757</v>
      </c>
      <c r="E3194" s="36" t="s">
        <v>1</v>
      </c>
      <c r="F3194" s="36">
        <v>1</v>
      </c>
      <c r="G3194" s="36">
        <v>2</v>
      </c>
      <c r="H3194" s="36">
        <v>0</v>
      </c>
      <c r="I3194" s="37">
        <v>0</v>
      </c>
      <c r="J3194" s="36" t="s">
        <v>32654</v>
      </c>
      <c r="K3194" s="36" t="s">
        <v>14330</v>
      </c>
      <c r="L3194" s="36" t="s">
        <v>14330</v>
      </c>
      <c r="M3194">
        <v>3</v>
      </c>
      <c r="N3194" t="s">
        <v>14331</v>
      </c>
      <c r="O3194" t="s">
        <v>32633</v>
      </c>
    </row>
    <row r="3195" spans="1:15" x14ac:dyDescent="0.25">
      <c r="A3195" s="35" t="s">
        <v>7328</v>
      </c>
      <c r="B3195" s="36" t="s">
        <v>7329</v>
      </c>
      <c r="C3195" s="36" t="str">
        <f>HYPERLINK("https://rhld.insurance.arkansas.gov/NPILookup?Npi=1679033765","1679033765")</f>
        <v>1679033765</v>
      </c>
      <c r="D3195" s="36" t="s">
        <v>35758</v>
      </c>
      <c r="E3195" s="36" t="s">
        <v>1</v>
      </c>
      <c r="F3195" s="36">
        <v>1</v>
      </c>
      <c r="G3195" s="36">
        <v>3</v>
      </c>
      <c r="H3195" s="36">
        <v>0</v>
      </c>
      <c r="I3195" s="37">
        <v>0</v>
      </c>
      <c r="J3195" s="36" t="s">
        <v>32654</v>
      </c>
      <c r="K3195" s="36" t="s">
        <v>14330</v>
      </c>
      <c r="L3195" s="36" t="s">
        <v>14330</v>
      </c>
      <c r="M3195">
        <v>2</v>
      </c>
      <c r="N3195" t="s">
        <v>14331</v>
      </c>
      <c r="O3195" t="s">
        <v>32633</v>
      </c>
    </row>
    <row r="3196" spans="1:15" x14ac:dyDescent="0.25">
      <c r="A3196" s="35" t="s">
        <v>7328</v>
      </c>
      <c r="B3196" s="36" t="s">
        <v>7329</v>
      </c>
      <c r="C3196" s="36" t="str">
        <f>HYPERLINK("https://rhld.insurance.arkansas.gov/NPILookup?Npi=1679101711","1679101711")</f>
        <v>1679101711</v>
      </c>
      <c r="D3196" s="36" t="s">
        <v>35759</v>
      </c>
      <c r="E3196" s="36" t="s">
        <v>1</v>
      </c>
      <c r="F3196" s="36">
        <v>1</v>
      </c>
      <c r="G3196" s="36">
        <v>2</v>
      </c>
      <c r="H3196" s="36">
        <v>0</v>
      </c>
      <c r="I3196" s="37">
        <v>0</v>
      </c>
      <c r="J3196" s="36" t="s">
        <v>34836</v>
      </c>
      <c r="K3196" s="36" t="s">
        <v>14330</v>
      </c>
      <c r="L3196" s="36" t="s">
        <v>14330</v>
      </c>
      <c r="M3196">
        <v>2</v>
      </c>
      <c r="N3196" t="s">
        <v>14331</v>
      </c>
      <c r="O3196" t="s">
        <v>32633</v>
      </c>
    </row>
    <row r="3197" spans="1:15" x14ac:dyDescent="0.25">
      <c r="A3197" s="35" t="s">
        <v>7328</v>
      </c>
      <c r="B3197" s="36" t="s">
        <v>7329</v>
      </c>
      <c r="C3197" s="36" t="str">
        <f>HYPERLINK("https://rhld.insurance.arkansas.gov/NPILookup?Npi=1679133888","1679133888")</f>
        <v>1679133888</v>
      </c>
      <c r="D3197" s="36" t="s">
        <v>35760</v>
      </c>
      <c r="E3197" s="36" t="s">
        <v>2</v>
      </c>
      <c r="F3197" s="36">
        <v>1</v>
      </c>
      <c r="G3197" s="36">
        <v>2</v>
      </c>
      <c r="H3197" s="36">
        <v>0</v>
      </c>
      <c r="I3197" s="37">
        <v>0</v>
      </c>
      <c r="J3197" s="36"/>
      <c r="K3197" s="36" t="s">
        <v>14330</v>
      </c>
      <c r="L3197" s="36" t="s">
        <v>14330</v>
      </c>
      <c r="M3197">
        <v>1</v>
      </c>
      <c r="N3197" t="s">
        <v>14331</v>
      </c>
      <c r="O3197" t="s">
        <v>14333</v>
      </c>
    </row>
    <row r="3198" spans="1:15" x14ac:dyDescent="0.25">
      <c r="A3198" s="35" t="s">
        <v>7328</v>
      </c>
      <c r="B3198" s="36" t="s">
        <v>7329</v>
      </c>
      <c r="C3198" s="36" t="str">
        <f>HYPERLINK("https://rhld.insurance.arkansas.gov/NPILookup?Npi=1679239248","1679239248")</f>
        <v>1679239248</v>
      </c>
      <c r="D3198" s="36" t="s">
        <v>35761</v>
      </c>
      <c r="E3198" s="36" t="s">
        <v>1</v>
      </c>
      <c r="F3198" s="36">
        <v>1</v>
      </c>
      <c r="G3198" s="36">
        <v>1</v>
      </c>
      <c r="H3198" s="36">
        <v>0</v>
      </c>
      <c r="I3198" s="37">
        <v>0</v>
      </c>
      <c r="J3198" s="36" t="s">
        <v>32654</v>
      </c>
      <c r="K3198" s="36" t="s">
        <v>14330</v>
      </c>
      <c r="L3198" s="36" t="s">
        <v>14330</v>
      </c>
      <c r="M3198">
        <v>0</v>
      </c>
      <c r="N3198" t="s">
        <v>14331</v>
      </c>
      <c r="O3198" t="s">
        <v>32633</v>
      </c>
    </row>
    <row r="3199" spans="1:15" x14ac:dyDescent="0.25">
      <c r="A3199" s="35" t="s">
        <v>7328</v>
      </c>
      <c r="B3199" s="36" t="s">
        <v>7329</v>
      </c>
      <c r="C3199" s="36" t="str">
        <f>HYPERLINK("https://rhld.insurance.arkansas.gov/NPILookup?Npi=1679523807","1679523807")</f>
        <v>1679523807</v>
      </c>
      <c r="D3199" s="36" t="s">
        <v>35762</v>
      </c>
      <c r="E3199" s="36" t="s">
        <v>1</v>
      </c>
      <c r="F3199" s="36">
        <v>1</v>
      </c>
      <c r="G3199" s="36">
        <v>1</v>
      </c>
      <c r="H3199" s="36">
        <v>1</v>
      </c>
      <c r="I3199" s="37">
        <v>0</v>
      </c>
      <c r="J3199" s="36" t="s">
        <v>32654</v>
      </c>
      <c r="K3199" s="36" t="s">
        <v>14330</v>
      </c>
      <c r="L3199" s="36" t="s">
        <v>35563</v>
      </c>
      <c r="M3199">
        <v>1</v>
      </c>
      <c r="N3199" t="s">
        <v>14332</v>
      </c>
      <c r="O3199" t="s">
        <v>32591</v>
      </c>
    </row>
    <row r="3200" spans="1:15" x14ac:dyDescent="0.25">
      <c r="A3200" s="35" t="s">
        <v>7328</v>
      </c>
      <c r="B3200" s="36" t="s">
        <v>7329</v>
      </c>
      <c r="C3200" s="36" t="str">
        <f>HYPERLINK("https://rhld.insurance.arkansas.gov/NPILookup?Npi=1679535181","1679535181")</f>
        <v>1679535181</v>
      </c>
      <c r="D3200" s="36" t="s">
        <v>35763</v>
      </c>
      <c r="E3200" s="36" t="s">
        <v>1</v>
      </c>
      <c r="F3200" s="36">
        <v>1</v>
      </c>
      <c r="G3200" s="36">
        <v>2</v>
      </c>
      <c r="H3200" s="36">
        <v>1</v>
      </c>
      <c r="I3200" s="37">
        <v>0</v>
      </c>
      <c r="J3200" s="36" t="s">
        <v>32654</v>
      </c>
      <c r="K3200" s="36" t="s">
        <v>14330</v>
      </c>
      <c r="L3200" s="36" t="s">
        <v>35563</v>
      </c>
      <c r="M3200">
        <v>3</v>
      </c>
      <c r="N3200" t="s">
        <v>14332</v>
      </c>
      <c r="O3200" t="s">
        <v>32591</v>
      </c>
    </row>
    <row r="3201" spans="1:15" x14ac:dyDescent="0.25">
      <c r="A3201" s="35" t="s">
        <v>7328</v>
      </c>
      <c r="B3201" s="36" t="s">
        <v>7329</v>
      </c>
      <c r="C3201" s="36" t="str">
        <f>HYPERLINK("https://rhld.insurance.arkansas.gov/NPILookup?Npi=1679550818","1679550818")</f>
        <v>1679550818</v>
      </c>
      <c r="D3201" s="36" t="s">
        <v>35764</v>
      </c>
      <c r="E3201" s="36" t="s">
        <v>1</v>
      </c>
      <c r="F3201" s="36">
        <v>1</v>
      </c>
      <c r="G3201" s="36">
        <v>3</v>
      </c>
      <c r="H3201" s="36">
        <v>0</v>
      </c>
      <c r="I3201" s="37">
        <v>0</v>
      </c>
      <c r="J3201" s="36" t="s">
        <v>34836</v>
      </c>
      <c r="K3201" s="36" t="s">
        <v>14330</v>
      </c>
      <c r="L3201" s="36" t="s">
        <v>14330</v>
      </c>
      <c r="M3201">
        <v>3</v>
      </c>
      <c r="N3201" t="s">
        <v>14331</v>
      </c>
      <c r="O3201" t="s">
        <v>32633</v>
      </c>
    </row>
    <row r="3202" spans="1:15" x14ac:dyDescent="0.25">
      <c r="A3202" s="35" t="s">
        <v>7328</v>
      </c>
      <c r="B3202" s="36" t="s">
        <v>7329</v>
      </c>
      <c r="C3202" s="36" t="str">
        <f>HYPERLINK("https://rhld.insurance.arkansas.gov/NPILookup?Npi=1679573299","1679573299")</f>
        <v>1679573299</v>
      </c>
      <c r="D3202" s="36" t="s">
        <v>35765</v>
      </c>
      <c r="E3202" s="36" t="s">
        <v>1</v>
      </c>
      <c r="F3202" s="36">
        <v>1</v>
      </c>
      <c r="G3202" s="36">
        <v>3</v>
      </c>
      <c r="H3202" s="36">
        <v>0</v>
      </c>
      <c r="I3202" s="37">
        <v>0</v>
      </c>
      <c r="J3202" s="36" t="s">
        <v>34836</v>
      </c>
      <c r="K3202" s="36" t="s">
        <v>14330</v>
      </c>
      <c r="L3202" s="36" t="s">
        <v>14330</v>
      </c>
      <c r="M3202">
        <v>2</v>
      </c>
      <c r="N3202" t="s">
        <v>14331</v>
      </c>
      <c r="O3202" t="s">
        <v>32633</v>
      </c>
    </row>
    <row r="3203" spans="1:15" x14ac:dyDescent="0.25">
      <c r="A3203" s="35" t="s">
        <v>7328</v>
      </c>
      <c r="B3203" s="36" t="s">
        <v>7329</v>
      </c>
      <c r="C3203" s="36" t="str">
        <f>HYPERLINK("https://rhld.insurance.arkansas.gov/NPILookup?Npi=1679710768","1679710768")</f>
        <v>1679710768</v>
      </c>
      <c r="D3203" s="36" t="s">
        <v>35766</v>
      </c>
      <c r="E3203" s="36" t="s">
        <v>1</v>
      </c>
      <c r="F3203" s="36">
        <v>1</v>
      </c>
      <c r="G3203" s="36">
        <v>2</v>
      </c>
      <c r="H3203" s="36">
        <v>0</v>
      </c>
      <c r="I3203" s="37">
        <v>0</v>
      </c>
      <c r="J3203" s="36" t="s">
        <v>32654</v>
      </c>
      <c r="K3203" s="36" t="s">
        <v>14330</v>
      </c>
      <c r="L3203" s="36" t="s">
        <v>14330</v>
      </c>
      <c r="M3203">
        <v>2</v>
      </c>
      <c r="N3203" t="s">
        <v>14331</v>
      </c>
      <c r="O3203" t="s">
        <v>32633</v>
      </c>
    </row>
    <row r="3204" spans="1:15" x14ac:dyDescent="0.25">
      <c r="A3204" s="35" t="s">
        <v>7328</v>
      </c>
      <c r="B3204" s="36" t="s">
        <v>7329</v>
      </c>
      <c r="C3204" s="36" t="str">
        <f>HYPERLINK("https://rhld.insurance.arkansas.gov/NPILookup?Npi=1679898332","1679898332")</f>
        <v>1679898332</v>
      </c>
      <c r="D3204" s="36" t="s">
        <v>35767</v>
      </c>
      <c r="E3204" s="36" t="s">
        <v>2</v>
      </c>
      <c r="F3204" s="36">
        <v>1</v>
      </c>
      <c r="G3204" s="36">
        <v>2</v>
      </c>
      <c r="H3204" s="36">
        <v>0</v>
      </c>
      <c r="I3204" s="37">
        <v>0</v>
      </c>
      <c r="J3204" s="36" t="s">
        <v>32679</v>
      </c>
      <c r="K3204" s="36" t="s">
        <v>14330</v>
      </c>
      <c r="L3204" s="36" t="s">
        <v>14330</v>
      </c>
      <c r="M3204">
        <v>1</v>
      </c>
      <c r="N3204" t="s">
        <v>14331</v>
      </c>
      <c r="O3204" t="s">
        <v>14333</v>
      </c>
    </row>
    <row r="3205" spans="1:15" x14ac:dyDescent="0.25">
      <c r="A3205" s="35" t="s">
        <v>7328</v>
      </c>
      <c r="B3205" s="36" t="s">
        <v>7329</v>
      </c>
      <c r="C3205" s="36" t="str">
        <f>HYPERLINK("https://rhld.insurance.arkansas.gov/NPILookup?Npi=1679912554","1679912554")</f>
        <v>1679912554</v>
      </c>
      <c r="D3205" s="36" t="s">
        <v>35768</v>
      </c>
      <c r="E3205" s="36" t="s">
        <v>2</v>
      </c>
      <c r="F3205" s="36">
        <v>1</v>
      </c>
      <c r="G3205" s="36">
        <v>1</v>
      </c>
      <c r="H3205" s="36">
        <v>0</v>
      </c>
      <c r="I3205" s="37">
        <v>0</v>
      </c>
      <c r="J3205" s="36" t="s">
        <v>32679</v>
      </c>
      <c r="K3205" s="36" t="s">
        <v>14330</v>
      </c>
      <c r="L3205" s="36" t="s">
        <v>14330</v>
      </c>
      <c r="M3205">
        <v>1</v>
      </c>
      <c r="N3205" t="s">
        <v>14331</v>
      </c>
      <c r="O3205" t="s">
        <v>32633</v>
      </c>
    </row>
    <row r="3206" spans="1:15" x14ac:dyDescent="0.25">
      <c r="A3206" s="35" t="s">
        <v>7328</v>
      </c>
      <c r="B3206" s="36" t="s">
        <v>7329</v>
      </c>
      <c r="C3206" s="36" t="str">
        <f>HYPERLINK("https://rhld.insurance.arkansas.gov/NPILookup?Npi=1679952535","1679952535")</f>
        <v>1679952535</v>
      </c>
      <c r="D3206" s="36" t="s">
        <v>35769</v>
      </c>
      <c r="E3206" s="36" t="s">
        <v>1</v>
      </c>
      <c r="F3206" s="36">
        <v>1</v>
      </c>
      <c r="G3206" s="36">
        <v>2</v>
      </c>
      <c r="H3206" s="36">
        <v>1</v>
      </c>
      <c r="I3206" s="37">
        <v>0</v>
      </c>
      <c r="J3206" s="36" t="s">
        <v>32654</v>
      </c>
      <c r="K3206" s="36" t="s">
        <v>14330</v>
      </c>
      <c r="L3206" s="36" t="s">
        <v>35563</v>
      </c>
      <c r="M3206">
        <v>2</v>
      </c>
      <c r="N3206" t="s">
        <v>14332</v>
      </c>
      <c r="O3206" t="s">
        <v>32591</v>
      </c>
    </row>
    <row r="3207" spans="1:15" x14ac:dyDescent="0.25">
      <c r="A3207" s="35" t="s">
        <v>7328</v>
      </c>
      <c r="B3207" s="36" t="s">
        <v>7329</v>
      </c>
      <c r="C3207" s="36" t="str">
        <f>HYPERLINK("https://rhld.insurance.arkansas.gov/NPILookup?Npi=1689032237","1689032237")</f>
        <v>1689032237</v>
      </c>
      <c r="D3207" s="36" t="s">
        <v>35770</v>
      </c>
      <c r="E3207" s="36" t="s">
        <v>2</v>
      </c>
      <c r="F3207" s="36">
        <v>1</v>
      </c>
      <c r="G3207" s="36">
        <v>2</v>
      </c>
      <c r="H3207" s="36">
        <v>0</v>
      </c>
      <c r="I3207" s="37">
        <v>0</v>
      </c>
      <c r="J3207" s="36" t="s">
        <v>32679</v>
      </c>
      <c r="K3207" s="36" t="s">
        <v>14330</v>
      </c>
      <c r="L3207" s="36" t="s">
        <v>14330</v>
      </c>
      <c r="M3207">
        <v>2</v>
      </c>
      <c r="N3207" t="s">
        <v>14331</v>
      </c>
      <c r="O3207" t="s">
        <v>14333</v>
      </c>
    </row>
    <row r="3208" spans="1:15" x14ac:dyDescent="0.25">
      <c r="A3208" s="35" t="s">
        <v>7328</v>
      </c>
      <c r="B3208" s="36" t="s">
        <v>7329</v>
      </c>
      <c r="C3208" s="36" t="str">
        <f>HYPERLINK("https://rhld.insurance.arkansas.gov/NPILookup?Npi=1689036329","1689036329")</f>
        <v>1689036329</v>
      </c>
      <c r="D3208" s="36" t="s">
        <v>35771</v>
      </c>
      <c r="E3208" s="36" t="s">
        <v>1</v>
      </c>
      <c r="F3208" s="36">
        <v>1</v>
      </c>
      <c r="G3208" s="36">
        <v>2</v>
      </c>
      <c r="H3208" s="36">
        <v>0</v>
      </c>
      <c r="I3208" s="37">
        <v>0</v>
      </c>
      <c r="J3208" s="36" t="s">
        <v>34836</v>
      </c>
      <c r="K3208" s="36" t="s">
        <v>14330</v>
      </c>
      <c r="L3208" s="36" t="s">
        <v>14330</v>
      </c>
      <c r="M3208">
        <v>3</v>
      </c>
      <c r="N3208" t="s">
        <v>14331</v>
      </c>
      <c r="O3208" t="s">
        <v>32633</v>
      </c>
    </row>
    <row r="3209" spans="1:15" x14ac:dyDescent="0.25">
      <c r="A3209" s="35" t="s">
        <v>7328</v>
      </c>
      <c r="B3209" s="36" t="s">
        <v>7329</v>
      </c>
      <c r="C3209" s="36" t="str">
        <f>HYPERLINK("https://rhld.insurance.arkansas.gov/NPILookup?Npi=1689038416","1689038416")</f>
        <v>1689038416</v>
      </c>
      <c r="D3209" s="36" t="s">
        <v>35772</v>
      </c>
      <c r="E3209" s="36" t="s">
        <v>1</v>
      </c>
      <c r="F3209" s="36">
        <v>1</v>
      </c>
      <c r="G3209" s="36">
        <v>3</v>
      </c>
      <c r="H3209" s="36">
        <v>0</v>
      </c>
      <c r="I3209" s="37">
        <v>0</v>
      </c>
      <c r="J3209" s="36" t="s">
        <v>34836</v>
      </c>
      <c r="K3209" s="36" t="s">
        <v>14330</v>
      </c>
      <c r="L3209" s="36" t="s">
        <v>14330</v>
      </c>
      <c r="M3209">
        <v>2</v>
      </c>
      <c r="N3209" t="s">
        <v>14331</v>
      </c>
      <c r="O3209" t="s">
        <v>32633</v>
      </c>
    </row>
    <row r="3210" spans="1:15" x14ac:dyDescent="0.25">
      <c r="A3210" s="35" t="s">
        <v>7328</v>
      </c>
      <c r="B3210" s="36" t="s">
        <v>7329</v>
      </c>
      <c r="C3210" s="36" t="str">
        <f>HYPERLINK("https://rhld.insurance.arkansas.gov/NPILookup?Npi=1689038952","1689038952")</f>
        <v>1689038952</v>
      </c>
      <c r="D3210" s="36" t="s">
        <v>35773</v>
      </c>
      <c r="E3210" s="36" t="s">
        <v>1</v>
      </c>
      <c r="F3210" s="36">
        <v>1</v>
      </c>
      <c r="G3210" s="36">
        <v>2</v>
      </c>
      <c r="H3210" s="36">
        <v>0</v>
      </c>
      <c r="I3210" s="37">
        <v>0</v>
      </c>
      <c r="J3210" s="36" t="s">
        <v>34836</v>
      </c>
      <c r="K3210" s="36" t="s">
        <v>14330</v>
      </c>
      <c r="L3210" s="36" t="s">
        <v>14330</v>
      </c>
      <c r="M3210">
        <v>2</v>
      </c>
      <c r="N3210" t="s">
        <v>14331</v>
      </c>
      <c r="O3210" t="s">
        <v>32633</v>
      </c>
    </row>
    <row r="3211" spans="1:15" x14ac:dyDescent="0.25">
      <c r="A3211" s="35" t="s">
        <v>7328</v>
      </c>
      <c r="B3211" s="36" t="s">
        <v>7329</v>
      </c>
      <c r="C3211" s="36" t="str">
        <f>HYPERLINK("https://rhld.insurance.arkansas.gov/NPILookup?Npi=1689171712","1689171712")</f>
        <v>1689171712</v>
      </c>
      <c r="D3211" s="36" t="s">
        <v>35774</v>
      </c>
      <c r="E3211" s="36" t="s">
        <v>1</v>
      </c>
      <c r="F3211" s="36">
        <v>1</v>
      </c>
      <c r="G3211" s="36">
        <v>2</v>
      </c>
      <c r="H3211" s="36">
        <v>0</v>
      </c>
      <c r="I3211" s="37">
        <v>0</v>
      </c>
      <c r="J3211" s="36" t="s">
        <v>34836</v>
      </c>
      <c r="K3211" s="36" t="s">
        <v>14330</v>
      </c>
      <c r="L3211" s="36" t="s">
        <v>14330</v>
      </c>
      <c r="M3211">
        <v>2</v>
      </c>
      <c r="N3211" t="s">
        <v>14331</v>
      </c>
      <c r="O3211" t="s">
        <v>32633</v>
      </c>
    </row>
    <row r="3212" spans="1:15" x14ac:dyDescent="0.25">
      <c r="A3212" s="35" t="s">
        <v>7328</v>
      </c>
      <c r="B3212" s="36" t="s">
        <v>7329</v>
      </c>
      <c r="C3212" s="36" t="str">
        <f>HYPERLINK("https://rhld.insurance.arkansas.gov/NPILookup?Npi=1689349243","1689349243")</f>
        <v>1689349243</v>
      </c>
      <c r="D3212" s="36" t="s">
        <v>35775</v>
      </c>
      <c r="E3212" s="36" t="s">
        <v>1</v>
      </c>
      <c r="F3212" s="36">
        <v>1</v>
      </c>
      <c r="G3212" s="36">
        <v>2</v>
      </c>
      <c r="H3212" s="36">
        <v>0</v>
      </c>
      <c r="I3212" s="37">
        <v>0</v>
      </c>
      <c r="J3212" s="36" t="s">
        <v>32654</v>
      </c>
      <c r="K3212" s="36" t="s">
        <v>14330</v>
      </c>
      <c r="L3212" s="36" t="s">
        <v>14330</v>
      </c>
      <c r="M3212">
        <v>2</v>
      </c>
      <c r="N3212" t="s">
        <v>14331</v>
      </c>
      <c r="O3212" t="s">
        <v>32633</v>
      </c>
    </row>
    <row r="3213" spans="1:15" x14ac:dyDescent="0.25">
      <c r="A3213" s="35" t="s">
        <v>7328</v>
      </c>
      <c r="B3213" s="36" t="s">
        <v>7329</v>
      </c>
      <c r="C3213" s="36" t="str">
        <f>HYPERLINK("https://rhld.insurance.arkansas.gov/NPILookup?Npi=1689358798","1689358798")</f>
        <v>1689358798</v>
      </c>
      <c r="D3213" s="36" t="s">
        <v>35776</v>
      </c>
      <c r="E3213" s="36" t="s">
        <v>2</v>
      </c>
      <c r="F3213" s="36">
        <v>2</v>
      </c>
      <c r="G3213" s="36">
        <v>2</v>
      </c>
      <c r="H3213" s="36">
        <v>0</v>
      </c>
      <c r="I3213" s="37">
        <v>0</v>
      </c>
      <c r="J3213" s="36" t="s">
        <v>33004</v>
      </c>
      <c r="K3213" s="36" t="s">
        <v>14330</v>
      </c>
      <c r="L3213" s="36" t="s">
        <v>14330</v>
      </c>
      <c r="M3213">
        <v>2</v>
      </c>
      <c r="N3213" t="s">
        <v>14331</v>
      </c>
      <c r="O3213" t="s">
        <v>14333</v>
      </c>
    </row>
    <row r="3214" spans="1:15" x14ac:dyDescent="0.25">
      <c r="A3214" s="35" t="s">
        <v>7328</v>
      </c>
      <c r="B3214" s="36" t="s">
        <v>7329</v>
      </c>
      <c r="C3214" s="36" t="str">
        <f>HYPERLINK("https://rhld.insurance.arkansas.gov/NPILookup?Npi=1689400228","1689400228")</f>
        <v>1689400228</v>
      </c>
      <c r="D3214" s="36" t="s">
        <v>35777</v>
      </c>
      <c r="E3214" s="36" t="s">
        <v>2</v>
      </c>
      <c r="F3214" s="36">
        <v>2</v>
      </c>
      <c r="G3214" s="36">
        <v>2</v>
      </c>
      <c r="H3214" s="36">
        <v>0</v>
      </c>
      <c r="I3214" s="37">
        <v>0</v>
      </c>
      <c r="J3214" s="36" t="s">
        <v>33004</v>
      </c>
      <c r="K3214" s="36" t="s">
        <v>14330</v>
      </c>
      <c r="L3214" s="36" t="s">
        <v>14330</v>
      </c>
      <c r="M3214">
        <v>2</v>
      </c>
      <c r="N3214" t="s">
        <v>14331</v>
      </c>
      <c r="O3214" t="s">
        <v>14333</v>
      </c>
    </row>
    <row r="3215" spans="1:15" x14ac:dyDescent="0.25">
      <c r="A3215" s="35" t="s">
        <v>7328</v>
      </c>
      <c r="B3215" s="36" t="s">
        <v>7329</v>
      </c>
      <c r="C3215" s="36" t="str">
        <f>HYPERLINK("https://rhld.insurance.arkansas.gov/NPILookup?Npi=1689461071","1689461071")</f>
        <v>1689461071</v>
      </c>
      <c r="D3215" s="36" t="s">
        <v>35778</v>
      </c>
      <c r="E3215" s="36" t="s">
        <v>2</v>
      </c>
      <c r="F3215" s="36">
        <v>1</v>
      </c>
      <c r="G3215" s="36">
        <v>2</v>
      </c>
      <c r="H3215" s="36">
        <v>0</v>
      </c>
      <c r="I3215" s="37">
        <v>0</v>
      </c>
      <c r="J3215" s="36"/>
      <c r="K3215" s="36" t="s">
        <v>14330</v>
      </c>
      <c r="L3215" s="36" t="s">
        <v>14330</v>
      </c>
      <c r="M3215">
        <v>1</v>
      </c>
      <c r="N3215" t="s">
        <v>14331</v>
      </c>
      <c r="O3215" t="s">
        <v>14333</v>
      </c>
    </row>
    <row r="3216" spans="1:15" x14ac:dyDescent="0.25">
      <c r="A3216" s="35" t="s">
        <v>7328</v>
      </c>
      <c r="B3216" s="36" t="s">
        <v>7329</v>
      </c>
      <c r="C3216" s="36" t="str">
        <f>HYPERLINK("https://rhld.insurance.arkansas.gov/NPILookup?Npi=1689493181","1689493181")</f>
        <v>1689493181</v>
      </c>
      <c r="D3216" s="36" t="s">
        <v>35779</v>
      </c>
      <c r="E3216" s="36" t="s">
        <v>2</v>
      </c>
      <c r="F3216" s="36">
        <v>2</v>
      </c>
      <c r="G3216" s="36">
        <v>1</v>
      </c>
      <c r="H3216" s="36">
        <v>0</v>
      </c>
      <c r="I3216" s="37">
        <v>0</v>
      </c>
      <c r="J3216" s="36" t="s">
        <v>33004</v>
      </c>
      <c r="K3216" s="36" t="s">
        <v>14330</v>
      </c>
      <c r="L3216" s="36" t="s">
        <v>14330</v>
      </c>
      <c r="M3216">
        <v>1</v>
      </c>
      <c r="N3216" t="s">
        <v>14331</v>
      </c>
      <c r="O3216" t="s">
        <v>32633</v>
      </c>
    </row>
    <row r="3217" spans="1:15" x14ac:dyDescent="0.25">
      <c r="A3217" s="35" t="s">
        <v>7328</v>
      </c>
      <c r="B3217" s="36" t="s">
        <v>7329</v>
      </c>
      <c r="C3217" s="36" t="str">
        <f>HYPERLINK("https://rhld.insurance.arkansas.gov/NPILookup?Npi=1689620767","1689620767")</f>
        <v>1689620767</v>
      </c>
      <c r="D3217" s="36" t="s">
        <v>35780</v>
      </c>
      <c r="E3217" s="36" t="s">
        <v>1</v>
      </c>
      <c r="F3217" s="36">
        <v>1</v>
      </c>
      <c r="G3217" s="36">
        <v>2</v>
      </c>
      <c r="H3217" s="36">
        <v>1</v>
      </c>
      <c r="I3217" s="37">
        <v>0</v>
      </c>
      <c r="J3217" s="36" t="s">
        <v>32654</v>
      </c>
      <c r="K3217" s="36" t="s">
        <v>14330</v>
      </c>
      <c r="L3217" s="36" t="s">
        <v>35563</v>
      </c>
      <c r="M3217">
        <v>3</v>
      </c>
      <c r="N3217" t="s">
        <v>14332</v>
      </c>
      <c r="O3217" t="s">
        <v>32591</v>
      </c>
    </row>
    <row r="3218" spans="1:15" x14ac:dyDescent="0.25">
      <c r="A3218" s="35" t="s">
        <v>7328</v>
      </c>
      <c r="B3218" s="36" t="s">
        <v>7329</v>
      </c>
      <c r="C3218" s="36" t="str">
        <f>HYPERLINK("https://rhld.insurance.arkansas.gov/NPILookup?Npi=1689659674","1689659674")</f>
        <v>1689659674</v>
      </c>
      <c r="D3218" s="36" t="s">
        <v>35781</v>
      </c>
      <c r="E3218" s="36" t="s">
        <v>1</v>
      </c>
      <c r="F3218" s="36">
        <v>1</v>
      </c>
      <c r="G3218" s="36">
        <v>3</v>
      </c>
      <c r="H3218" s="36">
        <v>0</v>
      </c>
      <c r="I3218" s="37">
        <v>0</v>
      </c>
      <c r="J3218" s="36" t="s">
        <v>34836</v>
      </c>
      <c r="K3218" s="36" t="s">
        <v>14330</v>
      </c>
      <c r="L3218" s="36" t="s">
        <v>14330</v>
      </c>
      <c r="M3218">
        <v>3</v>
      </c>
      <c r="N3218" t="s">
        <v>14331</v>
      </c>
      <c r="O3218" t="s">
        <v>32633</v>
      </c>
    </row>
    <row r="3219" spans="1:15" x14ac:dyDescent="0.25">
      <c r="A3219" s="35" t="s">
        <v>7328</v>
      </c>
      <c r="B3219" s="36" t="s">
        <v>7329</v>
      </c>
      <c r="C3219" s="36" t="str">
        <f>HYPERLINK("https://rhld.insurance.arkansas.gov/NPILookup?Npi=1689764151","1689764151")</f>
        <v>1689764151</v>
      </c>
      <c r="D3219" s="36" t="s">
        <v>35782</v>
      </c>
      <c r="E3219" s="36" t="s">
        <v>1</v>
      </c>
      <c r="F3219" s="36">
        <v>1</v>
      </c>
      <c r="G3219" s="36">
        <v>3</v>
      </c>
      <c r="H3219" s="36">
        <v>0</v>
      </c>
      <c r="I3219" s="37">
        <v>0</v>
      </c>
      <c r="J3219" s="36" t="s">
        <v>34836</v>
      </c>
      <c r="K3219" s="36" t="s">
        <v>14330</v>
      </c>
      <c r="L3219" s="36" t="s">
        <v>14330</v>
      </c>
      <c r="M3219">
        <v>3</v>
      </c>
      <c r="N3219" t="s">
        <v>14331</v>
      </c>
      <c r="O3219" t="s">
        <v>32633</v>
      </c>
    </row>
    <row r="3220" spans="1:15" x14ac:dyDescent="0.25">
      <c r="A3220" s="35" t="s">
        <v>7328</v>
      </c>
      <c r="B3220" s="36" t="s">
        <v>7329</v>
      </c>
      <c r="C3220" s="36" t="str">
        <f>HYPERLINK("https://rhld.insurance.arkansas.gov/NPILookup?Npi=1689898843","1689898843")</f>
        <v>1689898843</v>
      </c>
      <c r="D3220" s="36" t="s">
        <v>35783</v>
      </c>
      <c r="E3220" s="36" t="s">
        <v>1</v>
      </c>
      <c r="F3220" s="36">
        <v>1</v>
      </c>
      <c r="G3220" s="36">
        <v>3</v>
      </c>
      <c r="H3220" s="36">
        <v>0</v>
      </c>
      <c r="I3220" s="37">
        <v>0</v>
      </c>
      <c r="J3220" s="36" t="s">
        <v>32654</v>
      </c>
      <c r="K3220" s="36" t="s">
        <v>14330</v>
      </c>
      <c r="L3220" s="36" t="s">
        <v>14330</v>
      </c>
      <c r="M3220">
        <v>2</v>
      </c>
      <c r="N3220" t="s">
        <v>14331</v>
      </c>
      <c r="O3220" t="s">
        <v>32633</v>
      </c>
    </row>
    <row r="3221" spans="1:15" x14ac:dyDescent="0.25">
      <c r="A3221" s="35" t="s">
        <v>7328</v>
      </c>
      <c r="B3221" s="36" t="s">
        <v>7329</v>
      </c>
      <c r="C3221" s="36" t="str">
        <f>HYPERLINK("https://rhld.insurance.arkansas.gov/NPILookup?Npi=1689908105","1689908105")</f>
        <v>1689908105</v>
      </c>
      <c r="D3221" s="36" t="s">
        <v>35784</v>
      </c>
      <c r="E3221" s="36" t="s">
        <v>1</v>
      </c>
      <c r="F3221" s="36">
        <v>1</v>
      </c>
      <c r="G3221" s="36">
        <v>2</v>
      </c>
      <c r="H3221" s="36">
        <v>0</v>
      </c>
      <c r="I3221" s="37">
        <v>0</v>
      </c>
      <c r="J3221" s="36" t="s">
        <v>32723</v>
      </c>
      <c r="K3221" s="36" t="s">
        <v>14330</v>
      </c>
      <c r="L3221" s="36" t="s">
        <v>14330</v>
      </c>
      <c r="M3221">
        <v>2</v>
      </c>
      <c r="N3221" t="s">
        <v>14331</v>
      </c>
      <c r="O3221" t="s">
        <v>32724</v>
      </c>
    </row>
    <row r="3222" spans="1:15" x14ac:dyDescent="0.25">
      <c r="A3222" s="35" t="s">
        <v>7328</v>
      </c>
      <c r="B3222" s="36" t="s">
        <v>7329</v>
      </c>
      <c r="C3222" s="36" t="str">
        <f>HYPERLINK("https://rhld.insurance.arkansas.gov/NPILookup?Npi=1689925455","1689925455")</f>
        <v>1689925455</v>
      </c>
      <c r="D3222" s="36" t="s">
        <v>35785</v>
      </c>
      <c r="E3222" s="36" t="s">
        <v>2</v>
      </c>
      <c r="F3222" s="36">
        <v>1</v>
      </c>
      <c r="G3222" s="36">
        <v>2</v>
      </c>
      <c r="H3222" s="36">
        <v>0</v>
      </c>
      <c r="I3222" s="37">
        <v>0</v>
      </c>
      <c r="J3222" s="36" t="s">
        <v>32679</v>
      </c>
      <c r="K3222" s="36" t="s">
        <v>14330</v>
      </c>
      <c r="L3222" s="36" t="s">
        <v>14330</v>
      </c>
      <c r="M3222">
        <v>2</v>
      </c>
      <c r="N3222" t="s">
        <v>14331</v>
      </c>
      <c r="O3222" t="s">
        <v>14333</v>
      </c>
    </row>
    <row r="3223" spans="1:15" x14ac:dyDescent="0.25">
      <c r="A3223" s="35" t="s">
        <v>7328</v>
      </c>
      <c r="B3223" s="36" t="s">
        <v>7329</v>
      </c>
      <c r="C3223" s="36" t="str">
        <f>HYPERLINK("https://rhld.insurance.arkansas.gov/NPILookup?Npi=1689931941","1689931941")</f>
        <v>1689931941</v>
      </c>
      <c r="D3223" s="36" t="s">
        <v>35786</v>
      </c>
      <c r="E3223" s="36" t="s">
        <v>1</v>
      </c>
      <c r="F3223" s="36">
        <v>1</v>
      </c>
      <c r="G3223" s="36">
        <v>2</v>
      </c>
      <c r="H3223" s="36">
        <v>0</v>
      </c>
      <c r="I3223" s="37">
        <v>0</v>
      </c>
      <c r="J3223" s="36" t="s">
        <v>34836</v>
      </c>
      <c r="K3223" s="36" t="s">
        <v>14330</v>
      </c>
      <c r="L3223" s="36" t="s">
        <v>14330</v>
      </c>
      <c r="M3223">
        <v>3</v>
      </c>
      <c r="N3223" t="s">
        <v>14331</v>
      </c>
      <c r="O3223" t="s">
        <v>32633</v>
      </c>
    </row>
    <row r="3224" spans="1:15" x14ac:dyDescent="0.25">
      <c r="A3224" s="35" t="s">
        <v>7328</v>
      </c>
      <c r="B3224" s="36" t="s">
        <v>7329</v>
      </c>
      <c r="C3224" s="36" t="str">
        <f>HYPERLINK("https://rhld.insurance.arkansas.gov/NPILookup?Npi=1699065110","1699065110")</f>
        <v>1699065110</v>
      </c>
      <c r="D3224" s="36" t="s">
        <v>35787</v>
      </c>
      <c r="E3224" s="36" t="s">
        <v>1</v>
      </c>
      <c r="F3224" s="36">
        <v>1</v>
      </c>
      <c r="G3224" s="36">
        <v>3</v>
      </c>
      <c r="H3224" s="36">
        <v>0</v>
      </c>
      <c r="I3224" s="37">
        <v>0</v>
      </c>
      <c r="J3224" s="36" t="s">
        <v>32654</v>
      </c>
      <c r="K3224" s="36" t="s">
        <v>14330</v>
      </c>
      <c r="L3224" s="36" t="s">
        <v>14330</v>
      </c>
      <c r="M3224">
        <v>3</v>
      </c>
      <c r="N3224" t="s">
        <v>14331</v>
      </c>
      <c r="O3224" t="s">
        <v>32633</v>
      </c>
    </row>
    <row r="3225" spans="1:15" x14ac:dyDescent="0.25">
      <c r="A3225" s="35" t="s">
        <v>7328</v>
      </c>
      <c r="B3225" s="36" t="s">
        <v>7329</v>
      </c>
      <c r="C3225" s="36" t="str">
        <f>HYPERLINK("https://rhld.insurance.arkansas.gov/NPILookup?Npi=1699161398","1699161398")</f>
        <v>1699161398</v>
      </c>
      <c r="D3225" s="36" t="s">
        <v>35788</v>
      </c>
      <c r="E3225" s="36" t="s">
        <v>1</v>
      </c>
      <c r="F3225" s="36">
        <v>1</v>
      </c>
      <c r="G3225" s="36">
        <v>3</v>
      </c>
      <c r="H3225" s="36">
        <v>0</v>
      </c>
      <c r="I3225" s="37">
        <v>0</v>
      </c>
      <c r="J3225" s="36" t="s">
        <v>32654</v>
      </c>
      <c r="K3225" s="36" t="s">
        <v>14330</v>
      </c>
      <c r="L3225" s="36" t="s">
        <v>14330</v>
      </c>
      <c r="M3225">
        <v>2</v>
      </c>
      <c r="N3225" t="s">
        <v>14331</v>
      </c>
      <c r="O3225" t="s">
        <v>32633</v>
      </c>
    </row>
    <row r="3226" spans="1:15" x14ac:dyDescent="0.25">
      <c r="A3226" s="35" t="s">
        <v>7328</v>
      </c>
      <c r="B3226" s="36" t="s">
        <v>7329</v>
      </c>
      <c r="C3226" s="36" t="str">
        <f>HYPERLINK("https://rhld.insurance.arkansas.gov/NPILookup?Npi=1699220756","1699220756")</f>
        <v>1699220756</v>
      </c>
      <c r="D3226" s="36" t="s">
        <v>35789</v>
      </c>
      <c r="E3226" s="36" t="s">
        <v>1</v>
      </c>
      <c r="F3226" s="36">
        <v>1</v>
      </c>
      <c r="G3226" s="36">
        <v>2</v>
      </c>
      <c r="H3226" s="36">
        <v>0</v>
      </c>
      <c r="I3226" s="37">
        <v>0</v>
      </c>
      <c r="J3226" s="36" t="s">
        <v>32654</v>
      </c>
      <c r="K3226" s="36" t="s">
        <v>14330</v>
      </c>
      <c r="L3226" s="36" t="s">
        <v>14330</v>
      </c>
      <c r="M3226">
        <v>2</v>
      </c>
      <c r="N3226" t="s">
        <v>14331</v>
      </c>
      <c r="O3226" t="s">
        <v>32633</v>
      </c>
    </row>
    <row r="3227" spans="1:15" x14ac:dyDescent="0.25">
      <c r="A3227" s="35" t="s">
        <v>7328</v>
      </c>
      <c r="B3227" s="36" t="s">
        <v>7329</v>
      </c>
      <c r="C3227" s="36" t="str">
        <f>HYPERLINK("https://rhld.insurance.arkansas.gov/NPILookup?Npi=1699282020","1699282020")</f>
        <v>1699282020</v>
      </c>
      <c r="D3227" s="36" t="s">
        <v>35790</v>
      </c>
      <c r="E3227" s="36" t="s">
        <v>2</v>
      </c>
      <c r="F3227" s="36">
        <v>2</v>
      </c>
      <c r="G3227" s="36">
        <v>2</v>
      </c>
      <c r="H3227" s="36">
        <v>0</v>
      </c>
      <c r="I3227" s="37">
        <v>0</v>
      </c>
      <c r="J3227" s="36" t="s">
        <v>33004</v>
      </c>
      <c r="K3227" s="36" t="s">
        <v>14330</v>
      </c>
      <c r="L3227" s="36" t="s">
        <v>14330</v>
      </c>
      <c r="M3227">
        <v>2</v>
      </c>
      <c r="N3227" t="s">
        <v>14331</v>
      </c>
      <c r="O3227" t="s">
        <v>14333</v>
      </c>
    </row>
    <row r="3228" spans="1:15" x14ac:dyDescent="0.25">
      <c r="A3228" s="35" t="s">
        <v>7328</v>
      </c>
      <c r="B3228" s="36" t="s">
        <v>7329</v>
      </c>
      <c r="C3228" s="36" t="str">
        <f>HYPERLINK("https://rhld.insurance.arkansas.gov/NPILookup?Npi=1699576314","1699576314")</f>
        <v>1699576314</v>
      </c>
      <c r="D3228" s="36" t="s">
        <v>35791</v>
      </c>
      <c r="E3228" s="36" t="s">
        <v>2</v>
      </c>
      <c r="F3228" s="36">
        <v>1</v>
      </c>
      <c r="G3228" s="36">
        <v>2</v>
      </c>
      <c r="H3228" s="36">
        <v>0</v>
      </c>
      <c r="I3228" s="37">
        <v>0</v>
      </c>
      <c r="J3228" s="36"/>
      <c r="K3228" s="36" t="s">
        <v>14330</v>
      </c>
      <c r="L3228" s="36" t="s">
        <v>14330</v>
      </c>
      <c r="M3228">
        <v>2</v>
      </c>
      <c r="N3228" t="s">
        <v>14331</v>
      </c>
      <c r="O3228" t="s">
        <v>14333</v>
      </c>
    </row>
    <row r="3229" spans="1:15" x14ac:dyDescent="0.25">
      <c r="A3229" s="35" t="s">
        <v>7328</v>
      </c>
      <c r="B3229" s="36" t="s">
        <v>7329</v>
      </c>
      <c r="C3229" s="36" t="str">
        <f>HYPERLINK("https://rhld.insurance.arkansas.gov/NPILookup?Npi=1699721050","1699721050")</f>
        <v>1699721050</v>
      </c>
      <c r="D3229" s="36" t="s">
        <v>35792</v>
      </c>
      <c r="E3229" s="36" t="s">
        <v>1</v>
      </c>
      <c r="F3229" s="36">
        <v>1</v>
      </c>
      <c r="G3229" s="36">
        <v>2</v>
      </c>
      <c r="H3229" s="36">
        <v>0</v>
      </c>
      <c r="I3229" s="37">
        <v>0</v>
      </c>
      <c r="J3229" s="36" t="s">
        <v>34836</v>
      </c>
      <c r="K3229" s="36" t="s">
        <v>14330</v>
      </c>
      <c r="L3229" s="36" t="s">
        <v>14330</v>
      </c>
      <c r="M3229">
        <v>3</v>
      </c>
      <c r="N3229" t="s">
        <v>14331</v>
      </c>
      <c r="O3229" t="s">
        <v>32633</v>
      </c>
    </row>
    <row r="3230" spans="1:15" x14ac:dyDescent="0.25">
      <c r="A3230" s="35" t="s">
        <v>7328</v>
      </c>
      <c r="B3230" s="36" t="s">
        <v>7329</v>
      </c>
      <c r="C3230" s="36" t="str">
        <f>HYPERLINK("https://rhld.insurance.arkansas.gov/NPILookup?Npi=1699731430","1699731430")</f>
        <v>1699731430</v>
      </c>
      <c r="D3230" s="36" t="s">
        <v>35793</v>
      </c>
      <c r="E3230" s="36" t="s">
        <v>1</v>
      </c>
      <c r="F3230" s="36">
        <v>1</v>
      </c>
      <c r="G3230" s="36">
        <v>3</v>
      </c>
      <c r="H3230" s="36">
        <v>0</v>
      </c>
      <c r="I3230" s="37">
        <v>0</v>
      </c>
      <c r="J3230" s="36" t="s">
        <v>32654</v>
      </c>
      <c r="K3230" s="36" t="s">
        <v>14330</v>
      </c>
      <c r="L3230" s="36" t="s">
        <v>14330</v>
      </c>
      <c r="M3230">
        <v>1</v>
      </c>
      <c r="N3230" t="s">
        <v>14331</v>
      </c>
      <c r="O3230" t="s">
        <v>32633</v>
      </c>
    </row>
    <row r="3231" spans="1:15" x14ac:dyDescent="0.25">
      <c r="A3231" s="35" t="s">
        <v>7328</v>
      </c>
      <c r="B3231" s="36" t="s">
        <v>7329</v>
      </c>
      <c r="C3231" s="36" t="str">
        <f>HYPERLINK("https://rhld.insurance.arkansas.gov/NPILookup?Npi=1699733741","1699733741")</f>
        <v>1699733741</v>
      </c>
      <c r="D3231" s="36" t="s">
        <v>35794</v>
      </c>
      <c r="E3231" s="36" t="s">
        <v>1</v>
      </c>
      <c r="F3231" s="36">
        <v>1</v>
      </c>
      <c r="G3231" s="36">
        <v>2</v>
      </c>
      <c r="H3231" s="36">
        <v>1</v>
      </c>
      <c r="I3231" s="37">
        <v>0</v>
      </c>
      <c r="J3231" s="36" t="s">
        <v>32654</v>
      </c>
      <c r="K3231" s="36" t="s">
        <v>14330</v>
      </c>
      <c r="L3231" s="36" t="s">
        <v>35563</v>
      </c>
      <c r="M3231">
        <v>3</v>
      </c>
      <c r="N3231" t="s">
        <v>14332</v>
      </c>
      <c r="O3231" t="s">
        <v>32591</v>
      </c>
    </row>
    <row r="3232" spans="1:15" x14ac:dyDescent="0.25">
      <c r="A3232" s="35" t="s">
        <v>7328</v>
      </c>
      <c r="B3232" s="36" t="s">
        <v>7329</v>
      </c>
      <c r="C3232" s="36" t="str">
        <f>HYPERLINK("https://rhld.insurance.arkansas.gov/NPILookup?Npi=1699776195","1699776195")</f>
        <v>1699776195</v>
      </c>
      <c r="D3232" s="36" t="s">
        <v>35795</v>
      </c>
      <c r="E3232" s="36" t="s">
        <v>1</v>
      </c>
      <c r="F3232" s="36">
        <v>1</v>
      </c>
      <c r="G3232" s="36">
        <v>3</v>
      </c>
      <c r="H3232" s="36">
        <v>0</v>
      </c>
      <c r="I3232" s="37">
        <v>0</v>
      </c>
      <c r="J3232" s="36" t="s">
        <v>34836</v>
      </c>
      <c r="K3232" s="36" t="s">
        <v>14330</v>
      </c>
      <c r="L3232" s="36" t="s">
        <v>14330</v>
      </c>
      <c r="M3232">
        <v>3</v>
      </c>
      <c r="N3232" t="s">
        <v>14331</v>
      </c>
      <c r="O3232" t="s">
        <v>32633</v>
      </c>
    </row>
    <row r="3233" spans="1:15" x14ac:dyDescent="0.25">
      <c r="A3233" s="35" t="s">
        <v>7328</v>
      </c>
      <c r="B3233" s="36" t="s">
        <v>7329</v>
      </c>
      <c r="C3233" s="36" t="str">
        <f>HYPERLINK("https://rhld.insurance.arkansas.gov/NPILookup?Npi=1700049392","1700049392")</f>
        <v>1700049392</v>
      </c>
      <c r="D3233" s="36" t="s">
        <v>35796</v>
      </c>
      <c r="E3233" s="36" t="s">
        <v>1</v>
      </c>
      <c r="F3233" s="36">
        <v>1</v>
      </c>
      <c r="G3233" s="36">
        <v>3</v>
      </c>
      <c r="H3233" s="36">
        <v>0</v>
      </c>
      <c r="I3233" s="37">
        <v>0</v>
      </c>
      <c r="J3233" s="36" t="s">
        <v>32654</v>
      </c>
      <c r="K3233" s="36" t="s">
        <v>14330</v>
      </c>
      <c r="L3233" s="36" t="s">
        <v>14330</v>
      </c>
      <c r="M3233">
        <v>3</v>
      </c>
      <c r="N3233" t="s">
        <v>14331</v>
      </c>
      <c r="O3233" t="s">
        <v>32633</v>
      </c>
    </row>
    <row r="3234" spans="1:15" x14ac:dyDescent="0.25">
      <c r="A3234" s="35" t="s">
        <v>7328</v>
      </c>
      <c r="B3234" s="36" t="s">
        <v>7329</v>
      </c>
      <c r="C3234" s="36" t="str">
        <f>HYPERLINK("https://rhld.insurance.arkansas.gov/NPILookup?Npi=1700104148","1700104148")</f>
        <v>1700104148</v>
      </c>
      <c r="D3234" s="36" t="s">
        <v>35797</v>
      </c>
      <c r="E3234" s="36" t="s">
        <v>1</v>
      </c>
      <c r="F3234" s="36">
        <v>1</v>
      </c>
      <c r="G3234" s="36">
        <v>3</v>
      </c>
      <c r="H3234" s="36">
        <v>0</v>
      </c>
      <c r="I3234" s="37">
        <v>0</v>
      </c>
      <c r="J3234" s="36" t="s">
        <v>32654</v>
      </c>
      <c r="K3234" s="36" t="s">
        <v>14330</v>
      </c>
      <c r="L3234" s="36" t="s">
        <v>14330</v>
      </c>
      <c r="M3234">
        <v>3</v>
      </c>
      <c r="N3234" t="s">
        <v>14331</v>
      </c>
      <c r="O3234" t="s">
        <v>32633</v>
      </c>
    </row>
    <row r="3235" spans="1:15" x14ac:dyDescent="0.25">
      <c r="A3235" s="35" t="s">
        <v>7328</v>
      </c>
      <c r="B3235" s="36" t="s">
        <v>7329</v>
      </c>
      <c r="C3235" s="36" t="str">
        <f>HYPERLINK("https://rhld.insurance.arkansas.gov/NPILookup?Npi=1700147790","1700147790")</f>
        <v>1700147790</v>
      </c>
      <c r="D3235" s="36" t="s">
        <v>35798</v>
      </c>
      <c r="E3235" s="36" t="s">
        <v>1</v>
      </c>
      <c r="F3235" s="36">
        <v>1</v>
      </c>
      <c r="G3235" s="36">
        <v>3</v>
      </c>
      <c r="H3235" s="36">
        <v>0</v>
      </c>
      <c r="I3235" s="37">
        <v>0</v>
      </c>
      <c r="J3235" s="36" t="s">
        <v>34836</v>
      </c>
      <c r="K3235" s="36" t="s">
        <v>14330</v>
      </c>
      <c r="L3235" s="36" t="s">
        <v>14330</v>
      </c>
      <c r="M3235">
        <v>3</v>
      </c>
      <c r="N3235" t="s">
        <v>14331</v>
      </c>
      <c r="O3235" t="s">
        <v>32633</v>
      </c>
    </row>
    <row r="3236" spans="1:15" x14ac:dyDescent="0.25">
      <c r="A3236" s="35" t="s">
        <v>7328</v>
      </c>
      <c r="B3236" s="36" t="s">
        <v>7329</v>
      </c>
      <c r="C3236" s="36" t="str">
        <f>HYPERLINK("https://rhld.insurance.arkansas.gov/NPILookup?Npi=1700424025","1700424025")</f>
        <v>1700424025</v>
      </c>
      <c r="D3236" s="36" t="s">
        <v>35799</v>
      </c>
      <c r="E3236" s="36" t="s">
        <v>1</v>
      </c>
      <c r="F3236" s="36">
        <v>1</v>
      </c>
      <c r="G3236" s="36">
        <v>3</v>
      </c>
      <c r="H3236" s="36">
        <v>0</v>
      </c>
      <c r="I3236" s="37">
        <v>0</v>
      </c>
      <c r="J3236" s="36" t="s">
        <v>32654</v>
      </c>
      <c r="K3236" s="36" t="s">
        <v>14330</v>
      </c>
      <c r="L3236" s="36" t="s">
        <v>14330</v>
      </c>
      <c r="M3236">
        <v>2</v>
      </c>
      <c r="N3236" t="s">
        <v>14331</v>
      </c>
      <c r="O3236" t="s">
        <v>32633</v>
      </c>
    </row>
    <row r="3237" spans="1:15" x14ac:dyDescent="0.25">
      <c r="A3237" s="35" t="s">
        <v>7328</v>
      </c>
      <c r="B3237" s="36" t="s">
        <v>7329</v>
      </c>
      <c r="C3237" s="36" t="str">
        <f>HYPERLINK("https://rhld.insurance.arkansas.gov/NPILookup?Npi=1700692183","1700692183")</f>
        <v>1700692183</v>
      </c>
      <c r="D3237" s="36" t="s">
        <v>34411</v>
      </c>
      <c r="E3237" s="36" t="s">
        <v>2</v>
      </c>
      <c r="F3237" s="36">
        <v>1</v>
      </c>
      <c r="G3237" s="36">
        <v>2</v>
      </c>
      <c r="H3237" s="36">
        <v>0</v>
      </c>
      <c r="I3237" s="37">
        <v>0</v>
      </c>
      <c r="J3237" s="36"/>
      <c r="K3237" s="36" t="s">
        <v>14330</v>
      </c>
      <c r="L3237" s="36" t="s">
        <v>14330</v>
      </c>
      <c r="M3237">
        <v>1</v>
      </c>
      <c r="N3237" t="s">
        <v>14331</v>
      </c>
      <c r="O3237" t="s">
        <v>14333</v>
      </c>
    </row>
    <row r="3238" spans="1:15" x14ac:dyDescent="0.25">
      <c r="A3238" s="35" t="s">
        <v>7328</v>
      </c>
      <c r="B3238" s="36" t="s">
        <v>7329</v>
      </c>
      <c r="C3238" s="36" t="str">
        <f>HYPERLINK("https://rhld.insurance.arkansas.gov/NPILookup?Npi=1700822368","1700822368")</f>
        <v>1700822368</v>
      </c>
      <c r="D3238" s="36" t="s">
        <v>35800</v>
      </c>
      <c r="E3238" s="36" t="s">
        <v>2</v>
      </c>
      <c r="F3238" s="36">
        <v>1</v>
      </c>
      <c r="G3238" s="36">
        <v>1</v>
      </c>
      <c r="H3238" s="36">
        <v>0</v>
      </c>
      <c r="I3238" s="37">
        <v>0</v>
      </c>
      <c r="J3238" s="36"/>
      <c r="K3238" s="36" t="s">
        <v>14330</v>
      </c>
      <c r="L3238" s="36" t="s">
        <v>14330</v>
      </c>
      <c r="M3238">
        <v>1</v>
      </c>
      <c r="N3238" t="s">
        <v>14331</v>
      </c>
      <c r="O3238" t="s">
        <v>32633</v>
      </c>
    </row>
    <row r="3239" spans="1:15" x14ac:dyDescent="0.25">
      <c r="A3239" s="35" t="s">
        <v>7328</v>
      </c>
      <c r="B3239" s="36" t="s">
        <v>7329</v>
      </c>
      <c r="C3239" s="36" t="str">
        <f>HYPERLINK("https://rhld.insurance.arkansas.gov/NPILookup?Npi=1700822863","1700822863")</f>
        <v>1700822863</v>
      </c>
      <c r="D3239" s="36" t="s">
        <v>35801</v>
      </c>
      <c r="E3239" s="36" t="s">
        <v>1</v>
      </c>
      <c r="F3239" s="36">
        <v>1</v>
      </c>
      <c r="G3239" s="36">
        <v>1</v>
      </c>
      <c r="H3239" s="36">
        <v>0</v>
      </c>
      <c r="I3239" s="37">
        <v>0</v>
      </c>
      <c r="J3239" s="36" t="s">
        <v>34836</v>
      </c>
      <c r="K3239" s="36" t="s">
        <v>14330</v>
      </c>
      <c r="L3239" s="36" t="s">
        <v>14330</v>
      </c>
      <c r="M3239">
        <v>4</v>
      </c>
      <c r="N3239" t="s">
        <v>14331</v>
      </c>
      <c r="O3239" t="s">
        <v>32633</v>
      </c>
    </row>
    <row r="3240" spans="1:15" x14ac:dyDescent="0.25">
      <c r="A3240" s="35" t="s">
        <v>7328</v>
      </c>
      <c r="B3240" s="36" t="s">
        <v>7329</v>
      </c>
      <c r="C3240" s="36" t="str">
        <f>HYPERLINK("https://rhld.insurance.arkansas.gov/NPILookup?Npi=1700855921","1700855921")</f>
        <v>1700855921</v>
      </c>
      <c r="D3240" s="36" t="s">
        <v>35802</v>
      </c>
      <c r="E3240" s="36" t="s">
        <v>1</v>
      </c>
      <c r="F3240" s="36">
        <v>2</v>
      </c>
      <c r="G3240" s="36">
        <v>4</v>
      </c>
      <c r="H3240" s="36">
        <v>0</v>
      </c>
      <c r="I3240" s="37">
        <v>0</v>
      </c>
      <c r="J3240" s="36" t="s">
        <v>35803</v>
      </c>
      <c r="K3240" s="36" t="s">
        <v>14330</v>
      </c>
      <c r="L3240" s="36" t="s">
        <v>14330</v>
      </c>
      <c r="M3240">
        <v>3</v>
      </c>
      <c r="N3240" t="s">
        <v>14331</v>
      </c>
      <c r="O3240" t="s">
        <v>32633</v>
      </c>
    </row>
    <row r="3241" spans="1:15" x14ac:dyDescent="0.25">
      <c r="A3241" s="35" t="s">
        <v>7328</v>
      </c>
      <c r="B3241" s="36" t="s">
        <v>7329</v>
      </c>
      <c r="C3241" s="36" t="str">
        <f>HYPERLINK("https://rhld.insurance.arkansas.gov/NPILookup?Npi=1710053327","1710053327")</f>
        <v>1710053327</v>
      </c>
      <c r="D3241" s="36" t="s">
        <v>35804</v>
      </c>
      <c r="E3241" s="36" t="s">
        <v>1</v>
      </c>
      <c r="F3241" s="36">
        <v>1</v>
      </c>
      <c r="G3241" s="36">
        <v>3</v>
      </c>
      <c r="H3241" s="36">
        <v>0</v>
      </c>
      <c r="I3241" s="37">
        <v>0</v>
      </c>
      <c r="J3241" s="36" t="s">
        <v>34836</v>
      </c>
      <c r="K3241" s="36" t="s">
        <v>14330</v>
      </c>
      <c r="L3241" s="36" t="s">
        <v>14330</v>
      </c>
      <c r="M3241">
        <v>3</v>
      </c>
      <c r="N3241" t="s">
        <v>14331</v>
      </c>
      <c r="O3241" t="s">
        <v>32633</v>
      </c>
    </row>
    <row r="3242" spans="1:15" x14ac:dyDescent="0.25">
      <c r="A3242" s="35" t="s">
        <v>7328</v>
      </c>
      <c r="B3242" s="36" t="s">
        <v>7329</v>
      </c>
      <c r="C3242" s="36" t="str">
        <f>HYPERLINK("https://rhld.insurance.arkansas.gov/NPILookup?Npi=1710151204","1710151204")</f>
        <v>1710151204</v>
      </c>
      <c r="D3242" s="36" t="s">
        <v>35805</v>
      </c>
      <c r="E3242" s="36" t="s">
        <v>1</v>
      </c>
      <c r="F3242" s="36">
        <v>1</v>
      </c>
      <c r="G3242" s="36">
        <v>3</v>
      </c>
      <c r="H3242" s="36">
        <v>0</v>
      </c>
      <c r="I3242" s="37">
        <v>0</v>
      </c>
      <c r="J3242" s="36" t="s">
        <v>34836</v>
      </c>
      <c r="K3242" s="36" t="s">
        <v>14330</v>
      </c>
      <c r="L3242" s="36" t="s">
        <v>14330</v>
      </c>
      <c r="M3242">
        <v>2</v>
      </c>
      <c r="N3242" t="s">
        <v>14331</v>
      </c>
      <c r="O3242" t="s">
        <v>32633</v>
      </c>
    </row>
    <row r="3243" spans="1:15" x14ac:dyDescent="0.25">
      <c r="A3243" s="35" t="s">
        <v>7328</v>
      </c>
      <c r="B3243" s="36" t="s">
        <v>7329</v>
      </c>
      <c r="C3243" s="36" t="str">
        <f>HYPERLINK("https://rhld.insurance.arkansas.gov/NPILookup?Npi=1710234737","1710234737")</f>
        <v>1710234737</v>
      </c>
      <c r="D3243" s="36" t="s">
        <v>35806</v>
      </c>
      <c r="E3243" s="36" t="s">
        <v>2</v>
      </c>
      <c r="F3243" s="36">
        <v>1</v>
      </c>
      <c r="G3243" s="36">
        <v>2</v>
      </c>
      <c r="H3243" s="36">
        <v>0</v>
      </c>
      <c r="I3243" s="37">
        <v>0</v>
      </c>
      <c r="J3243" s="36"/>
      <c r="K3243" s="36" t="s">
        <v>14330</v>
      </c>
      <c r="L3243" s="36" t="s">
        <v>14330</v>
      </c>
      <c r="M3243">
        <v>1</v>
      </c>
      <c r="N3243" t="s">
        <v>14331</v>
      </c>
      <c r="O3243" t="s">
        <v>14333</v>
      </c>
    </row>
    <row r="3244" spans="1:15" x14ac:dyDescent="0.25">
      <c r="A3244" s="35" t="s">
        <v>7328</v>
      </c>
      <c r="B3244" s="36" t="s">
        <v>7329</v>
      </c>
      <c r="C3244" s="36" t="str">
        <f>HYPERLINK("https://rhld.insurance.arkansas.gov/NPILookup?Npi=1710240064","1710240064")</f>
        <v>1710240064</v>
      </c>
      <c r="D3244" s="36" t="s">
        <v>35807</v>
      </c>
      <c r="E3244" s="36" t="s">
        <v>1</v>
      </c>
      <c r="F3244" s="36">
        <v>1</v>
      </c>
      <c r="G3244" s="36">
        <v>1</v>
      </c>
      <c r="H3244" s="36">
        <v>0</v>
      </c>
      <c r="I3244" s="37">
        <v>0</v>
      </c>
      <c r="J3244" s="36" t="s">
        <v>32654</v>
      </c>
      <c r="K3244" s="36" t="s">
        <v>14330</v>
      </c>
      <c r="L3244" s="36" t="s">
        <v>14330</v>
      </c>
      <c r="M3244">
        <v>2</v>
      </c>
      <c r="N3244" t="s">
        <v>14331</v>
      </c>
      <c r="O3244" t="s">
        <v>32633</v>
      </c>
    </row>
    <row r="3245" spans="1:15" x14ac:dyDescent="0.25">
      <c r="A3245" s="35" t="s">
        <v>7328</v>
      </c>
      <c r="B3245" s="36" t="s">
        <v>7329</v>
      </c>
      <c r="C3245" s="36" t="str">
        <f>HYPERLINK("https://rhld.insurance.arkansas.gov/NPILookup?Npi=1710295464","1710295464")</f>
        <v>1710295464</v>
      </c>
      <c r="D3245" s="36" t="s">
        <v>35808</v>
      </c>
      <c r="E3245" s="36" t="s">
        <v>2</v>
      </c>
      <c r="F3245" s="36">
        <v>1</v>
      </c>
      <c r="G3245" s="36">
        <v>2</v>
      </c>
      <c r="H3245" s="36">
        <v>0</v>
      </c>
      <c r="I3245" s="37">
        <v>0</v>
      </c>
      <c r="J3245" s="36"/>
      <c r="K3245" s="36" t="s">
        <v>14330</v>
      </c>
      <c r="L3245" s="36" t="s">
        <v>14330</v>
      </c>
      <c r="M3245">
        <v>1</v>
      </c>
      <c r="N3245" t="s">
        <v>14331</v>
      </c>
      <c r="O3245" t="s">
        <v>14333</v>
      </c>
    </row>
    <row r="3246" spans="1:15" x14ac:dyDescent="0.25">
      <c r="A3246" s="35" t="s">
        <v>7328</v>
      </c>
      <c r="B3246" s="36" t="s">
        <v>7329</v>
      </c>
      <c r="C3246" s="36" t="str">
        <f>HYPERLINK("https://rhld.insurance.arkansas.gov/NPILookup?Npi=1710329487","1710329487")</f>
        <v>1710329487</v>
      </c>
      <c r="D3246" s="36" t="s">
        <v>35809</v>
      </c>
      <c r="E3246" s="36" t="s">
        <v>1</v>
      </c>
      <c r="F3246" s="36">
        <v>1</v>
      </c>
      <c r="G3246" s="36">
        <v>1</v>
      </c>
      <c r="H3246" s="36">
        <v>0</v>
      </c>
      <c r="I3246" s="37">
        <v>0</v>
      </c>
      <c r="J3246" s="36" t="s">
        <v>34836</v>
      </c>
      <c r="K3246" s="36" t="s">
        <v>14330</v>
      </c>
      <c r="L3246" s="36" t="s">
        <v>14330</v>
      </c>
      <c r="M3246">
        <v>3</v>
      </c>
      <c r="N3246" t="s">
        <v>14331</v>
      </c>
      <c r="O3246" t="s">
        <v>32633</v>
      </c>
    </row>
    <row r="3247" spans="1:15" x14ac:dyDescent="0.25">
      <c r="A3247" s="35" t="s">
        <v>7328</v>
      </c>
      <c r="B3247" s="36" t="s">
        <v>7329</v>
      </c>
      <c r="C3247" s="36" t="str">
        <f>HYPERLINK("https://rhld.insurance.arkansas.gov/NPILookup?Npi=1710332846","1710332846")</f>
        <v>1710332846</v>
      </c>
      <c r="D3247" s="36" t="s">
        <v>35810</v>
      </c>
      <c r="E3247" s="36" t="s">
        <v>1</v>
      </c>
      <c r="F3247" s="36">
        <v>1</v>
      </c>
      <c r="G3247" s="36">
        <v>3</v>
      </c>
      <c r="H3247" s="36">
        <v>0</v>
      </c>
      <c r="I3247" s="37">
        <v>0</v>
      </c>
      <c r="J3247" s="36" t="s">
        <v>34836</v>
      </c>
      <c r="K3247" s="36" t="s">
        <v>14330</v>
      </c>
      <c r="L3247" s="36" t="s">
        <v>14330</v>
      </c>
      <c r="M3247">
        <v>2</v>
      </c>
      <c r="N3247" t="s">
        <v>14331</v>
      </c>
      <c r="O3247" t="s">
        <v>32633</v>
      </c>
    </row>
    <row r="3248" spans="1:15" x14ac:dyDescent="0.25">
      <c r="A3248" s="35" t="s">
        <v>7328</v>
      </c>
      <c r="B3248" s="36" t="s">
        <v>7329</v>
      </c>
      <c r="C3248" s="36" t="str">
        <f>HYPERLINK("https://rhld.insurance.arkansas.gov/NPILookup?Npi=1710361464","1710361464")</f>
        <v>1710361464</v>
      </c>
      <c r="D3248" s="36" t="s">
        <v>35811</v>
      </c>
      <c r="E3248" s="36" t="s">
        <v>1</v>
      </c>
      <c r="F3248" s="36">
        <v>1</v>
      </c>
      <c r="G3248" s="36">
        <v>2</v>
      </c>
      <c r="H3248" s="36">
        <v>0</v>
      </c>
      <c r="I3248" s="37">
        <v>0</v>
      </c>
      <c r="J3248" s="36" t="s">
        <v>32654</v>
      </c>
      <c r="K3248" s="36" t="s">
        <v>14330</v>
      </c>
      <c r="L3248" s="36" t="s">
        <v>14330</v>
      </c>
      <c r="M3248">
        <v>2</v>
      </c>
      <c r="N3248" t="s">
        <v>14331</v>
      </c>
      <c r="O3248" t="s">
        <v>32633</v>
      </c>
    </row>
    <row r="3249" spans="1:15" x14ac:dyDescent="0.25">
      <c r="A3249" s="35" t="s">
        <v>7328</v>
      </c>
      <c r="B3249" s="36" t="s">
        <v>7329</v>
      </c>
      <c r="C3249" s="36" t="str">
        <f>HYPERLINK("https://rhld.insurance.arkansas.gov/NPILookup?Npi=1710370069","1710370069")</f>
        <v>1710370069</v>
      </c>
      <c r="D3249" s="36" t="s">
        <v>35812</v>
      </c>
      <c r="E3249" s="36" t="s">
        <v>1</v>
      </c>
      <c r="F3249" s="36">
        <v>1</v>
      </c>
      <c r="G3249" s="36">
        <v>2</v>
      </c>
      <c r="H3249" s="36">
        <v>0</v>
      </c>
      <c r="I3249" s="37">
        <v>0</v>
      </c>
      <c r="J3249" s="36" t="s">
        <v>32654</v>
      </c>
      <c r="K3249" s="36" t="s">
        <v>14330</v>
      </c>
      <c r="L3249" s="36" t="s">
        <v>14330</v>
      </c>
      <c r="M3249">
        <v>2</v>
      </c>
      <c r="N3249" t="s">
        <v>14331</v>
      </c>
      <c r="O3249" t="s">
        <v>32633</v>
      </c>
    </row>
    <row r="3250" spans="1:15" x14ac:dyDescent="0.25">
      <c r="A3250" s="35" t="s">
        <v>7328</v>
      </c>
      <c r="B3250" s="36" t="s">
        <v>7329</v>
      </c>
      <c r="C3250" s="36" t="str">
        <f>HYPERLINK("https://rhld.insurance.arkansas.gov/NPILookup?Npi=1710396486","1710396486")</f>
        <v>1710396486</v>
      </c>
      <c r="D3250" s="36" t="s">
        <v>35813</v>
      </c>
      <c r="E3250" s="36" t="s">
        <v>1</v>
      </c>
      <c r="F3250" s="36">
        <v>1</v>
      </c>
      <c r="G3250" s="36">
        <v>2</v>
      </c>
      <c r="H3250" s="36">
        <v>0</v>
      </c>
      <c r="I3250" s="37">
        <v>0</v>
      </c>
      <c r="J3250" s="36" t="s">
        <v>34836</v>
      </c>
      <c r="K3250" s="36" t="s">
        <v>14330</v>
      </c>
      <c r="L3250" s="36" t="s">
        <v>14330</v>
      </c>
      <c r="M3250">
        <v>2</v>
      </c>
      <c r="N3250" t="s">
        <v>14331</v>
      </c>
      <c r="O3250" t="s">
        <v>32633</v>
      </c>
    </row>
    <row r="3251" spans="1:15" x14ac:dyDescent="0.25">
      <c r="A3251" s="35" t="s">
        <v>7328</v>
      </c>
      <c r="B3251" s="36" t="s">
        <v>7329</v>
      </c>
      <c r="C3251" s="36" t="str">
        <f>HYPERLINK("https://rhld.insurance.arkansas.gov/NPILookup?Npi=1710482286","1710482286")</f>
        <v>1710482286</v>
      </c>
      <c r="D3251" s="36" t="s">
        <v>35814</v>
      </c>
      <c r="E3251" s="36" t="s">
        <v>1</v>
      </c>
      <c r="F3251" s="36">
        <v>1</v>
      </c>
      <c r="G3251" s="36">
        <v>2</v>
      </c>
      <c r="H3251" s="36">
        <v>0</v>
      </c>
      <c r="I3251" s="37">
        <v>0</v>
      </c>
      <c r="J3251" s="36" t="s">
        <v>34836</v>
      </c>
      <c r="K3251" s="36" t="s">
        <v>14330</v>
      </c>
      <c r="L3251" s="36" t="s">
        <v>14330</v>
      </c>
      <c r="M3251">
        <v>2</v>
      </c>
      <c r="N3251" t="s">
        <v>14331</v>
      </c>
      <c r="O3251" t="s">
        <v>32633</v>
      </c>
    </row>
    <row r="3252" spans="1:15" x14ac:dyDescent="0.25">
      <c r="A3252" s="35" t="s">
        <v>7328</v>
      </c>
      <c r="B3252" s="36" t="s">
        <v>7329</v>
      </c>
      <c r="C3252" s="36" t="str">
        <f>HYPERLINK("https://rhld.insurance.arkansas.gov/NPILookup?Npi=1710619085","1710619085")</f>
        <v>1710619085</v>
      </c>
      <c r="D3252" s="36" t="s">
        <v>33677</v>
      </c>
      <c r="E3252" s="36" t="s">
        <v>2</v>
      </c>
      <c r="F3252" s="36">
        <v>1</v>
      </c>
      <c r="G3252" s="36">
        <v>2</v>
      </c>
      <c r="H3252" s="36">
        <v>0</v>
      </c>
      <c r="I3252" s="37">
        <v>0</v>
      </c>
      <c r="J3252" s="36"/>
      <c r="K3252" s="36" t="s">
        <v>14330</v>
      </c>
      <c r="L3252" s="36" t="s">
        <v>14330</v>
      </c>
      <c r="M3252">
        <v>2</v>
      </c>
      <c r="N3252" t="s">
        <v>14331</v>
      </c>
      <c r="O3252" t="s">
        <v>14333</v>
      </c>
    </row>
    <row r="3253" spans="1:15" x14ac:dyDescent="0.25">
      <c r="A3253" s="35" t="s">
        <v>7328</v>
      </c>
      <c r="B3253" s="36" t="s">
        <v>7329</v>
      </c>
      <c r="C3253" s="36" t="str">
        <f>HYPERLINK("https://rhld.insurance.arkansas.gov/NPILookup?Npi=1710649652","1710649652")</f>
        <v>1710649652</v>
      </c>
      <c r="D3253" s="36" t="s">
        <v>35815</v>
      </c>
      <c r="E3253" s="36" t="s">
        <v>2</v>
      </c>
      <c r="F3253" s="36">
        <v>1</v>
      </c>
      <c r="G3253" s="36">
        <v>2</v>
      </c>
      <c r="H3253" s="36">
        <v>0</v>
      </c>
      <c r="I3253" s="37">
        <v>0</v>
      </c>
      <c r="J3253" s="36"/>
      <c r="K3253" s="36" t="s">
        <v>14330</v>
      </c>
      <c r="L3253" s="36" t="s">
        <v>14330</v>
      </c>
      <c r="M3253">
        <v>1</v>
      </c>
      <c r="N3253" t="s">
        <v>14331</v>
      </c>
      <c r="O3253" t="s">
        <v>14333</v>
      </c>
    </row>
    <row r="3254" spans="1:15" x14ac:dyDescent="0.25">
      <c r="A3254" s="35" t="s">
        <v>7328</v>
      </c>
      <c r="B3254" s="36" t="s">
        <v>7329</v>
      </c>
      <c r="C3254" s="36" t="str">
        <f>HYPERLINK("https://rhld.insurance.arkansas.gov/NPILookup?Npi=1710706692","1710706692")</f>
        <v>1710706692</v>
      </c>
      <c r="D3254" s="36" t="s">
        <v>35816</v>
      </c>
      <c r="E3254" s="36" t="s">
        <v>2</v>
      </c>
      <c r="F3254" s="36">
        <v>1</v>
      </c>
      <c r="G3254" s="36">
        <v>1</v>
      </c>
      <c r="H3254" s="36">
        <v>0</v>
      </c>
      <c r="I3254" s="37">
        <v>0</v>
      </c>
      <c r="J3254" s="36"/>
      <c r="K3254" s="36" t="s">
        <v>14330</v>
      </c>
      <c r="L3254" s="36" t="s">
        <v>14330</v>
      </c>
      <c r="M3254">
        <v>1</v>
      </c>
      <c r="N3254" t="s">
        <v>14331</v>
      </c>
      <c r="O3254" t="s">
        <v>32633</v>
      </c>
    </row>
    <row r="3255" spans="1:15" x14ac:dyDescent="0.25">
      <c r="A3255" s="35" t="s">
        <v>7328</v>
      </c>
      <c r="B3255" s="36" t="s">
        <v>7329</v>
      </c>
      <c r="C3255" s="36" t="str">
        <f>HYPERLINK("https://rhld.insurance.arkansas.gov/NPILookup?Npi=1710984703","1710984703")</f>
        <v>1710984703</v>
      </c>
      <c r="D3255" s="36" t="s">
        <v>35817</v>
      </c>
      <c r="E3255" s="36" t="s">
        <v>1</v>
      </c>
      <c r="F3255" s="36">
        <v>1</v>
      </c>
      <c r="G3255" s="36">
        <v>1</v>
      </c>
      <c r="H3255" s="36">
        <v>0</v>
      </c>
      <c r="I3255" s="37">
        <v>0</v>
      </c>
      <c r="J3255" s="36" t="s">
        <v>34836</v>
      </c>
      <c r="K3255" s="36" t="s">
        <v>14330</v>
      </c>
      <c r="L3255" s="36" t="s">
        <v>14330</v>
      </c>
      <c r="M3255">
        <v>3</v>
      </c>
      <c r="N3255" t="s">
        <v>14331</v>
      </c>
      <c r="O3255" t="s">
        <v>32633</v>
      </c>
    </row>
    <row r="3256" spans="1:15" x14ac:dyDescent="0.25">
      <c r="A3256" s="35" t="s">
        <v>7328</v>
      </c>
      <c r="B3256" s="36" t="s">
        <v>7329</v>
      </c>
      <c r="C3256" s="36" t="str">
        <f>HYPERLINK("https://rhld.insurance.arkansas.gov/NPILookup?Npi=1720021702","1720021702")</f>
        <v>1720021702</v>
      </c>
      <c r="D3256" s="36" t="s">
        <v>35818</v>
      </c>
      <c r="E3256" s="36" t="s">
        <v>1</v>
      </c>
      <c r="F3256" s="36">
        <v>1</v>
      </c>
      <c r="G3256" s="36">
        <v>3</v>
      </c>
      <c r="H3256" s="36">
        <v>0</v>
      </c>
      <c r="I3256" s="37">
        <v>0</v>
      </c>
      <c r="J3256" s="36" t="s">
        <v>32654</v>
      </c>
      <c r="K3256" s="36" t="s">
        <v>14330</v>
      </c>
      <c r="L3256" s="36" t="s">
        <v>14330</v>
      </c>
      <c r="M3256">
        <v>3</v>
      </c>
      <c r="N3256" t="s">
        <v>14331</v>
      </c>
      <c r="O3256" t="s">
        <v>32633</v>
      </c>
    </row>
    <row r="3257" spans="1:15" x14ac:dyDescent="0.25">
      <c r="A3257" s="35" t="s">
        <v>7328</v>
      </c>
      <c r="B3257" s="36" t="s">
        <v>7329</v>
      </c>
      <c r="C3257" s="36" t="str">
        <f>HYPERLINK("https://rhld.insurance.arkansas.gov/NPILookup?Npi=1720029069","1720029069")</f>
        <v>1720029069</v>
      </c>
      <c r="D3257" s="36" t="s">
        <v>35819</v>
      </c>
      <c r="E3257" s="36" t="s">
        <v>1</v>
      </c>
      <c r="F3257" s="36">
        <v>1</v>
      </c>
      <c r="G3257" s="36">
        <v>3</v>
      </c>
      <c r="H3257" s="36">
        <v>0</v>
      </c>
      <c r="I3257" s="37">
        <v>0</v>
      </c>
      <c r="J3257" s="36" t="s">
        <v>32654</v>
      </c>
      <c r="K3257" s="36" t="s">
        <v>14330</v>
      </c>
      <c r="L3257" s="36" t="s">
        <v>14330</v>
      </c>
      <c r="M3257">
        <v>2</v>
      </c>
      <c r="N3257" t="s">
        <v>14331</v>
      </c>
      <c r="O3257" t="s">
        <v>32633</v>
      </c>
    </row>
    <row r="3258" spans="1:15" x14ac:dyDescent="0.25">
      <c r="A3258" s="35" t="s">
        <v>7328</v>
      </c>
      <c r="B3258" s="36" t="s">
        <v>7329</v>
      </c>
      <c r="C3258" s="36" t="str">
        <f>HYPERLINK("https://rhld.insurance.arkansas.gov/NPILookup?Npi=1720041072","1720041072")</f>
        <v>1720041072</v>
      </c>
      <c r="D3258" s="36" t="s">
        <v>35820</v>
      </c>
      <c r="E3258" s="36" t="s">
        <v>2</v>
      </c>
      <c r="F3258" s="36">
        <v>1</v>
      </c>
      <c r="G3258" s="36">
        <v>2</v>
      </c>
      <c r="H3258" s="36">
        <v>0</v>
      </c>
      <c r="I3258" s="37">
        <v>0</v>
      </c>
      <c r="J3258" s="36" t="s">
        <v>32679</v>
      </c>
      <c r="K3258" s="36" t="s">
        <v>14330</v>
      </c>
      <c r="L3258" s="36" t="s">
        <v>14330</v>
      </c>
      <c r="M3258">
        <v>3</v>
      </c>
      <c r="N3258" t="s">
        <v>14331</v>
      </c>
      <c r="O3258" t="s">
        <v>14333</v>
      </c>
    </row>
    <row r="3259" spans="1:15" x14ac:dyDescent="0.25">
      <c r="A3259" s="35" t="s">
        <v>7328</v>
      </c>
      <c r="B3259" s="36" t="s">
        <v>7329</v>
      </c>
      <c r="C3259" s="36" t="str">
        <f>HYPERLINK("https://rhld.insurance.arkansas.gov/NPILookup?Npi=1720081789","1720081789")</f>
        <v>1720081789</v>
      </c>
      <c r="D3259" s="36" t="s">
        <v>35821</v>
      </c>
      <c r="E3259" s="36" t="s">
        <v>1</v>
      </c>
      <c r="F3259" s="36">
        <v>1</v>
      </c>
      <c r="G3259" s="36">
        <v>3</v>
      </c>
      <c r="H3259" s="36">
        <v>0</v>
      </c>
      <c r="I3259" s="37">
        <v>0</v>
      </c>
      <c r="J3259" s="36" t="s">
        <v>34836</v>
      </c>
      <c r="K3259" s="36" t="s">
        <v>14330</v>
      </c>
      <c r="L3259" s="36" t="s">
        <v>14330</v>
      </c>
      <c r="M3259">
        <v>1</v>
      </c>
      <c r="N3259" t="s">
        <v>14331</v>
      </c>
      <c r="O3259" t="s">
        <v>32633</v>
      </c>
    </row>
    <row r="3260" spans="1:15" x14ac:dyDescent="0.25">
      <c r="A3260" s="35" t="s">
        <v>7328</v>
      </c>
      <c r="B3260" s="36" t="s">
        <v>7329</v>
      </c>
      <c r="C3260" s="36" t="str">
        <f>HYPERLINK("https://rhld.insurance.arkansas.gov/NPILookup?Npi=1720180433","1720180433")</f>
        <v>1720180433</v>
      </c>
      <c r="D3260" s="36" t="s">
        <v>35822</v>
      </c>
      <c r="E3260" s="36" t="s">
        <v>1</v>
      </c>
      <c r="F3260" s="36">
        <v>1</v>
      </c>
      <c r="G3260" s="36">
        <v>1</v>
      </c>
      <c r="H3260" s="36">
        <v>0</v>
      </c>
      <c r="I3260" s="37">
        <v>0</v>
      </c>
      <c r="J3260" s="36" t="s">
        <v>34836</v>
      </c>
      <c r="K3260" s="36" t="s">
        <v>14330</v>
      </c>
      <c r="L3260" s="36" t="s">
        <v>14330</v>
      </c>
      <c r="M3260">
        <v>3</v>
      </c>
      <c r="N3260" t="s">
        <v>14331</v>
      </c>
      <c r="O3260" t="s">
        <v>32633</v>
      </c>
    </row>
    <row r="3261" spans="1:15" x14ac:dyDescent="0.25">
      <c r="A3261" s="35" t="s">
        <v>7328</v>
      </c>
      <c r="B3261" s="36" t="s">
        <v>7329</v>
      </c>
      <c r="C3261" s="36" t="str">
        <f>HYPERLINK("https://rhld.insurance.arkansas.gov/NPILookup?Npi=1720321060","1720321060")</f>
        <v>1720321060</v>
      </c>
      <c r="D3261" s="36" t="s">
        <v>33346</v>
      </c>
      <c r="E3261" s="36" t="s">
        <v>1</v>
      </c>
      <c r="F3261" s="36">
        <v>1</v>
      </c>
      <c r="G3261" s="36">
        <v>3</v>
      </c>
      <c r="H3261" s="36">
        <v>0</v>
      </c>
      <c r="I3261" s="37">
        <v>0</v>
      </c>
      <c r="J3261" s="36" t="s">
        <v>32654</v>
      </c>
      <c r="K3261" s="36" t="s">
        <v>14330</v>
      </c>
      <c r="L3261" s="36" t="s">
        <v>14330</v>
      </c>
      <c r="M3261">
        <v>2</v>
      </c>
      <c r="N3261" t="s">
        <v>14331</v>
      </c>
      <c r="O3261" t="s">
        <v>32633</v>
      </c>
    </row>
    <row r="3262" spans="1:15" x14ac:dyDescent="0.25">
      <c r="A3262" s="35" t="s">
        <v>7328</v>
      </c>
      <c r="B3262" s="36" t="s">
        <v>7329</v>
      </c>
      <c r="C3262" s="36" t="str">
        <f>HYPERLINK("https://rhld.insurance.arkansas.gov/NPILookup?Npi=1720577380","1720577380")</f>
        <v>1720577380</v>
      </c>
      <c r="D3262" s="36" t="s">
        <v>35823</v>
      </c>
      <c r="E3262" s="36" t="s">
        <v>1</v>
      </c>
      <c r="F3262" s="36">
        <v>1</v>
      </c>
      <c r="G3262" s="36">
        <v>2</v>
      </c>
      <c r="H3262" s="36">
        <v>0</v>
      </c>
      <c r="I3262" s="37">
        <v>0</v>
      </c>
      <c r="J3262" s="36" t="s">
        <v>34836</v>
      </c>
      <c r="K3262" s="36" t="s">
        <v>14330</v>
      </c>
      <c r="L3262" s="36" t="s">
        <v>14330</v>
      </c>
      <c r="M3262">
        <v>2</v>
      </c>
      <c r="N3262" t="s">
        <v>14331</v>
      </c>
      <c r="O3262" t="s">
        <v>32633</v>
      </c>
    </row>
    <row r="3263" spans="1:15" x14ac:dyDescent="0.25">
      <c r="A3263" s="35" t="s">
        <v>7328</v>
      </c>
      <c r="B3263" s="36" t="s">
        <v>7329</v>
      </c>
      <c r="C3263" s="36" t="str">
        <f>HYPERLINK("https://rhld.insurance.arkansas.gov/NPILookup?Npi=1720611361","1720611361")</f>
        <v>1720611361</v>
      </c>
      <c r="D3263" s="36" t="s">
        <v>35824</v>
      </c>
      <c r="E3263" s="36" t="s">
        <v>2</v>
      </c>
      <c r="F3263" s="36">
        <v>1</v>
      </c>
      <c r="G3263" s="36">
        <v>2</v>
      </c>
      <c r="H3263" s="36">
        <v>0</v>
      </c>
      <c r="I3263" s="37">
        <v>0</v>
      </c>
      <c r="J3263" s="36" t="s">
        <v>32679</v>
      </c>
      <c r="K3263" s="36" t="s">
        <v>14330</v>
      </c>
      <c r="L3263" s="36" t="s">
        <v>14330</v>
      </c>
      <c r="M3263">
        <v>2</v>
      </c>
      <c r="N3263" t="s">
        <v>14331</v>
      </c>
      <c r="O3263" t="s">
        <v>14333</v>
      </c>
    </row>
    <row r="3264" spans="1:15" x14ac:dyDescent="0.25">
      <c r="A3264" s="35" t="s">
        <v>7328</v>
      </c>
      <c r="B3264" s="36" t="s">
        <v>7329</v>
      </c>
      <c r="C3264" s="36" t="str">
        <f>HYPERLINK("https://rhld.insurance.arkansas.gov/NPILookup?Npi=1720716707","1720716707")</f>
        <v>1720716707</v>
      </c>
      <c r="D3264" s="36" t="s">
        <v>35825</v>
      </c>
      <c r="E3264" s="36" t="s">
        <v>1</v>
      </c>
      <c r="F3264" s="36">
        <v>1</v>
      </c>
      <c r="G3264" s="36">
        <v>2</v>
      </c>
      <c r="H3264" s="36">
        <v>0</v>
      </c>
      <c r="I3264" s="37">
        <v>0</v>
      </c>
      <c r="J3264" s="36" t="s">
        <v>32654</v>
      </c>
      <c r="K3264" s="36" t="s">
        <v>14330</v>
      </c>
      <c r="L3264" s="36" t="s">
        <v>14330</v>
      </c>
      <c r="M3264">
        <v>2</v>
      </c>
      <c r="N3264" t="s">
        <v>14331</v>
      </c>
      <c r="O3264" t="s">
        <v>32633</v>
      </c>
    </row>
    <row r="3265" spans="1:15" x14ac:dyDescent="0.25">
      <c r="A3265" s="35" t="s">
        <v>7328</v>
      </c>
      <c r="B3265" s="36" t="s">
        <v>7329</v>
      </c>
      <c r="C3265" s="36" t="str">
        <f>HYPERLINK("https://rhld.insurance.arkansas.gov/NPILookup?Npi=1720897705","1720897705")</f>
        <v>1720897705</v>
      </c>
      <c r="D3265" s="36" t="s">
        <v>35826</v>
      </c>
      <c r="E3265" s="36" t="s">
        <v>2</v>
      </c>
      <c r="F3265" s="36">
        <v>2</v>
      </c>
      <c r="G3265" s="36">
        <v>2</v>
      </c>
      <c r="H3265" s="36">
        <v>0</v>
      </c>
      <c r="I3265" s="37">
        <v>0</v>
      </c>
      <c r="J3265" s="36" t="s">
        <v>33004</v>
      </c>
      <c r="K3265" s="36" t="s">
        <v>14330</v>
      </c>
      <c r="L3265" s="36" t="s">
        <v>14330</v>
      </c>
      <c r="M3265">
        <v>3</v>
      </c>
      <c r="N3265" t="s">
        <v>14331</v>
      </c>
      <c r="O3265" t="s">
        <v>14333</v>
      </c>
    </row>
    <row r="3266" spans="1:15" x14ac:dyDescent="0.25">
      <c r="A3266" s="35" t="s">
        <v>7328</v>
      </c>
      <c r="B3266" s="36" t="s">
        <v>7329</v>
      </c>
      <c r="C3266" s="36" t="str">
        <f>HYPERLINK("https://rhld.insurance.arkansas.gov/NPILookup?Npi=1730118167","1730118167")</f>
        <v>1730118167</v>
      </c>
      <c r="D3266" s="36" t="s">
        <v>35827</v>
      </c>
      <c r="E3266" s="36" t="s">
        <v>1</v>
      </c>
      <c r="F3266" s="36">
        <v>1</v>
      </c>
      <c r="G3266" s="36">
        <v>3</v>
      </c>
      <c r="H3266" s="36">
        <v>0</v>
      </c>
      <c r="I3266" s="37">
        <v>0</v>
      </c>
      <c r="J3266" s="36" t="s">
        <v>14335</v>
      </c>
      <c r="K3266" s="36" t="s">
        <v>14330</v>
      </c>
      <c r="L3266" s="36" t="s">
        <v>14330</v>
      </c>
      <c r="M3266">
        <v>3</v>
      </c>
      <c r="N3266" t="s">
        <v>14331</v>
      </c>
      <c r="O3266" t="s">
        <v>32633</v>
      </c>
    </row>
    <row r="3267" spans="1:15" x14ac:dyDescent="0.25">
      <c r="A3267" s="35" t="s">
        <v>7328</v>
      </c>
      <c r="B3267" s="36" t="s">
        <v>7329</v>
      </c>
      <c r="C3267" s="36" t="str">
        <f>HYPERLINK("https://rhld.insurance.arkansas.gov/NPILookup?Npi=1730261686","1730261686")</f>
        <v>1730261686</v>
      </c>
      <c r="D3267" s="36" t="s">
        <v>35828</v>
      </c>
      <c r="E3267" s="36" t="s">
        <v>1</v>
      </c>
      <c r="F3267" s="36">
        <v>1</v>
      </c>
      <c r="G3267" s="36">
        <v>3</v>
      </c>
      <c r="H3267" s="36">
        <v>0</v>
      </c>
      <c r="I3267" s="37">
        <v>0</v>
      </c>
      <c r="J3267" s="36" t="s">
        <v>34836</v>
      </c>
      <c r="K3267" s="36" t="s">
        <v>14330</v>
      </c>
      <c r="L3267" s="36" t="s">
        <v>14330</v>
      </c>
      <c r="M3267">
        <v>2</v>
      </c>
      <c r="N3267" t="s">
        <v>14331</v>
      </c>
      <c r="O3267" t="s">
        <v>32633</v>
      </c>
    </row>
    <row r="3268" spans="1:15" x14ac:dyDescent="0.25">
      <c r="A3268" s="35" t="s">
        <v>7328</v>
      </c>
      <c r="B3268" s="36" t="s">
        <v>7329</v>
      </c>
      <c r="C3268" s="36" t="str">
        <f>HYPERLINK("https://rhld.insurance.arkansas.gov/NPILookup?Npi=1730300476","1730300476")</f>
        <v>1730300476</v>
      </c>
      <c r="D3268" s="36" t="s">
        <v>35829</v>
      </c>
      <c r="E3268" s="36" t="s">
        <v>1</v>
      </c>
      <c r="F3268" s="36">
        <v>1</v>
      </c>
      <c r="G3268" s="36">
        <v>2</v>
      </c>
      <c r="H3268" s="36">
        <v>0</v>
      </c>
      <c r="I3268" s="37">
        <v>0</v>
      </c>
      <c r="J3268" s="36" t="s">
        <v>34836</v>
      </c>
      <c r="K3268" s="36" t="s">
        <v>14330</v>
      </c>
      <c r="L3268" s="36" t="s">
        <v>14330</v>
      </c>
      <c r="M3268">
        <v>1</v>
      </c>
      <c r="N3268" t="s">
        <v>14331</v>
      </c>
      <c r="O3268" t="s">
        <v>32633</v>
      </c>
    </row>
    <row r="3269" spans="1:15" x14ac:dyDescent="0.25">
      <c r="A3269" s="35" t="s">
        <v>7328</v>
      </c>
      <c r="B3269" s="36" t="s">
        <v>7329</v>
      </c>
      <c r="C3269" s="36" t="str">
        <f>HYPERLINK("https://rhld.insurance.arkansas.gov/NPILookup?Npi=1730307729","1730307729")</f>
        <v>1730307729</v>
      </c>
      <c r="D3269" s="36" t="s">
        <v>35830</v>
      </c>
      <c r="E3269" s="36" t="s">
        <v>1</v>
      </c>
      <c r="F3269" s="36">
        <v>1</v>
      </c>
      <c r="G3269" s="36">
        <v>2</v>
      </c>
      <c r="H3269" s="36">
        <v>1</v>
      </c>
      <c r="I3269" s="37">
        <v>0</v>
      </c>
      <c r="J3269" s="36" t="s">
        <v>32654</v>
      </c>
      <c r="K3269" s="36" t="s">
        <v>14330</v>
      </c>
      <c r="L3269" s="36" t="s">
        <v>35563</v>
      </c>
      <c r="M3269">
        <v>3</v>
      </c>
      <c r="N3269" t="s">
        <v>14332</v>
      </c>
      <c r="O3269" t="s">
        <v>32591</v>
      </c>
    </row>
    <row r="3270" spans="1:15" x14ac:dyDescent="0.25">
      <c r="A3270" s="35" t="s">
        <v>7328</v>
      </c>
      <c r="B3270" s="36" t="s">
        <v>7329</v>
      </c>
      <c r="C3270" s="36" t="str">
        <f>HYPERLINK("https://rhld.insurance.arkansas.gov/NPILookup?Npi=1730337452","1730337452")</f>
        <v>1730337452</v>
      </c>
      <c r="D3270" s="36" t="s">
        <v>35831</v>
      </c>
      <c r="E3270" s="36" t="s">
        <v>1</v>
      </c>
      <c r="F3270" s="36">
        <v>1</v>
      </c>
      <c r="G3270" s="36">
        <v>3</v>
      </c>
      <c r="H3270" s="36">
        <v>0</v>
      </c>
      <c r="I3270" s="37">
        <v>0</v>
      </c>
      <c r="J3270" s="36" t="s">
        <v>32654</v>
      </c>
      <c r="K3270" s="36" t="s">
        <v>14330</v>
      </c>
      <c r="L3270" s="36" t="s">
        <v>14330</v>
      </c>
      <c r="M3270">
        <v>1</v>
      </c>
      <c r="N3270" t="s">
        <v>14331</v>
      </c>
      <c r="O3270" t="s">
        <v>32633</v>
      </c>
    </row>
    <row r="3271" spans="1:15" x14ac:dyDescent="0.25">
      <c r="A3271" s="35" t="s">
        <v>7328</v>
      </c>
      <c r="B3271" s="36" t="s">
        <v>7329</v>
      </c>
      <c r="C3271" s="36" t="str">
        <f>HYPERLINK("https://rhld.insurance.arkansas.gov/NPILookup?Npi=1730354333","1730354333")</f>
        <v>1730354333</v>
      </c>
      <c r="D3271" s="36" t="s">
        <v>33023</v>
      </c>
      <c r="E3271" s="36" t="s">
        <v>1</v>
      </c>
      <c r="F3271" s="36">
        <v>1</v>
      </c>
      <c r="G3271" s="36">
        <v>2</v>
      </c>
      <c r="H3271" s="36">
        <v>1</v>
      </c>
      <c r="I3271" s="37">
        <v>0</v>
      </c>
      <c r="J3271" s="36" t="s">
        <v>32654</v>
      </c>
      <c r="K3271" s="36" t="s">
        <v>14330</v>
      </c>
      <c r="L3271" s="36" t="s">
        <v>35563</v>
      </c>
      <c r="M3271">
        <v>3</v>
      </c>
      <c r="N3271" t="s">
        <v>14332</v>
      </c>
      <c r="O3271" t="s">
        <v>32591</v>
      </c>
    </row>
    <row r="3272" spans="1:15" x14ac:dyDescent="0.25">
      <c r="A3272" s="35" t="s">
        <v>7328</v>
      </c>
      <c r="B3272" s="36" t="s">
        <v>7329</v>
      </c>
      <c r="C3272" s="36" t="str">
        <f>HYPERLINK("https://rhld.insurance.arkansas.gov/NPILookup?Npi=1730398660","1730398660")</f>
        <v>1730398660</v>
      </c>
      <c r="D3272" s="36" t="s">
        <v>35832</v>
      </c>
      <c r="E3272" s="36" t="s">
        <v>1</v>
      </c>
      <c r="F3272" s="36">
        <v>1</v>
      </c>
      <c r="G3272" s="36">
        <v>3</v>
      </c>
      <c r="H3272" s="36">
        <v>0</v>
      </c>
      <c r="I3272" s="37">
        <v>0</v>
      </c>
      <c r="J3272" s="36" t="s">
        <v>34836</v>
      </c>
      <c r="K3272" s="36" t="s">
        <v>14330</v>
      </c>
      <c r="L3272" s="36" t="s">
        <v>14330</v>
      </c>
      <c r="M3272">
        <v>3</v>
      </c>
      <c r="N3272" t="s">
        <v>14331</v>
      </c>
      <c r="O3272" t="s">
        <v>32633</v>
      </c>
    </row>
    <row r="3273" spans="1:15" x14ac:dyDescent="0.25">
      <c r="A3273" s="35" t="s">
        <v>7328</v>
      </c>
      <c r="B3273" s="36" t="s">
        <v>7329</v>
      </c>
      <c r="C3273" s="36" t="str">
        <f>HYPERLINK("https://rhld.insurance.arkansas.gov/NPILookup?Npi=1730403262","1730403262")</f>
        <v>1730403262</v>
      </c>
      <c r="D3273" s="36" t="s">
        <v>33352</v>
      </c>
      <c r="E3273" s="36" t="s">
        <v>1</v>
      </c>
      <c r="F3273" s="36">
        <v>1</v>
      </c>
      <c r="G3273" s="36">
        <v>3</v>
      </c>
      <c r="H3273" s="36">
        <v>0</v>
      </c>
      <c r="I3273" s="37">
        <v>0</v>
      </c>
      <c r="J3273" s="36" t="s">
        <v>34836</v>
      </c>
      <c r="K3273" s="36" t="s">
        <v>14330</v>
      </c>
      <c r="L3273" s="36" t="s">
        <v>14330</v>
      </c>
      <c r="M3273">
        <v>3</v>
      </c>
      <c r="N3273" t="s">
        <v>14331</v>
      </c>
      <c r="O3273" t="s">
        <v>32633</v>
      </c>
    </row>
    <row r="3274" spans="1:15" x14ac:dyDescent="0.25">
      <c r="A3274" s="35" t="s">
        <v>7328</v>
      </c>
      <c r="B3274" s="36" t="s">
        <v>7329</v>
      </c>
      <c r="C3274" s="36" t="str">
        <f>HYPERLINK("https://rhld.insurance.arkansas.gov/NPILookup?Npi=1730404120","1730404120")</f>
        <v>1730404120</v>
      </c>
      <c r="D3274" s="36" t="s">
        <v>35833</v>
      </c>
      <c r="E3274" s="36" t="s">
        <v>1</v>
      </c>
      <c r="F3274" s="36">
        <v>1</v>
      </c>
      <c r="G3274" s="36">
        <v>3</v>
      </c>
      <c r="H3274" s="36">
        <v>0</v>
      </c>
      <c r="I3274" s="37">
        <v>0</v>
      </c>
      <c r="J3274" s="36" t="s">
        <v>32654</v>
      </c>
      <c r="K3274" s="36" t="s">
        <v>14330</v>
      </c>
      <c r="L3274" s="36" t="s">
        <v>14330</v>
      </c>
      <c r="M3274">
        <v>3</v>
      </c>
      <c r="N3274" t="s">
        <v>14331</v>
      </c>
      <c r="O3274" t="s">
        <v>32633</v>
      </c>
    </row>
    <row r="3275" spans="1:15" x14ac:dyDescent="0.25">
      <c r="A3275" s="35" t="s">
        <v>7328</v>
      </c>
      <c r="B3275" s="36" t="s">
        <v>7329</v>
      </c>
      <c r="C3275" s="36" t="str">
        <f>HYPERLINK("https://rhld.insurance.arkansas.gov/NPILookup?Npi=1730508151","1730508151")</f>
        <v>1730508151</v>
      </c>
      <c r="D3275" s="36" t="s">
        <v>35834</v>
      </c>
      <c r="E3275" s="36" t="s">
        <v>1</v>
      </c>
      <c r="F3275" s="36">
        <v>1</v>
      </c>
      <c r="G3275" s="36">
        <v>3</v>
      </c>
      <c r="H3275" s="36">
        <v>0</v>
      </c>
      <c r="I3275" s="37">
        <v>0</v>
      </c>
      <c r="J3275" s="36" t="s">
        <v>32654</v>
      </c>
      <c r="K3275" s="36" t="s">
        <v>14330</v>
      </c>
      <c r="L3275" s="36" t="s">
        <v>14330</v>
      </c>
      <c r="M3275">
        <v>2</v>
      </c>
      <c r="N3275" t="s">
        <v>14331</v>
      </c>
      <c r="O3275" t="s">
        <v>32633</v>
      </c>
    </row>
    <row r="3276" spans="1:15" x14ac:dyDescent="0.25">
      <c r="A3276" s="35" t="s">
        <v>7328</v>
      </c>
      <c r="B3276" s="36" t="s">
        <v>7329</v>
      </c>
      <c r="C3276" s="36" t="str">
        <f>HYPERLINK("https://rhld.insurance.arkansas.gov/NPILookup?Npi=1730575200","1730575200")</f>
        <v>1730575200</v>
      </c>
      <c r="D3276" s="36" t="s">
        <v>35835</v>
      </c>
      <c r="E3276" s="36" t="s">
        <v>1</v>
      </c>
      <c r="F3276" s="36">
        <v>1</v>
      </c>
      <c r="G3276" s="36">
        <v>2</v>
      </c>
      <c r="H3276" s="36">
        <v>0</v>
      </c>
      <c r="I3276" s="37">
        <v>0</v>
      </c>
      <c r="J3276" s="36" t="s">
        <v>34836</v>
      </c>
      <c r="K3276" s="36" t="s">
        <v>14330</v>
      </c>
      <c r="L3276" s="36" t="s">
        <v>14330</v>
      </c>
      <c r="M3276">
        <v>2</v>
      </c>
      <c r="N3276" t="s">
        <v>14331</v>
      </c>
      <c r="O3276" t="s">
        <v>32633</v>
      </c>
    </row>
    <row r="3277" spans="1:15" x14ac:dyDescent="0.25">
      <c r="A3277" s="35" t="s">
        <v>7328</v>
      </c>
      <c r="B3277" s="36" t="s">
        <v>7329</v>
      </c>
      <c r="C3277" s="36" t="str">
        <f>HYPERLINK("https://rhld.insurance.arkansas.gov/NPILookup?Npi=1730661570","1730661570")</f>
        <v>1730661570</v>
      </c>
      <c r="D3277" s="36" t="s">
        <v>35836</v>
      </c>
      <c r="E3277" s="36" t="s">
        <v>1</v>
      </c>
      <c r="F3277" s="36">
        <v>1</v>
      </c>
      <c r="G3277" s="36">
        <v>2</v>
      </c>
      <c r="H3277" s="36">
        <v>0</v>
      </c>
      <c r="I3277" s="37">
        <v>0</v>
      </c>
      <c r="J3277" s="36" t="s">
        <v>32654</v>
      </c>
      <c r="K3277" s="36" t="s">
        <v>14330</v>
      </c>
      <c r="L3277" s="36" t="s">
        <v>14330</v>
      </c>
      <c r="M3277">
        <v>2</v>
      </c>
      <c r="N3277" t="s">
        <v>14331</v>
      </c>
      <c r="O3277" t="s">
        <v>32633</v>
      </c>
    </row>
    <row r="3278" spans="1:15" x14ac:dyDescent="0.25">
      <c r="A3278" s="35" t="s">
        <v>7328</v>
      </c>
      <c r="B3278" s="36" t="s">
        <v>7329</v>
      </c>
      <c r="C3278" s="36" t="str">
        <f>HYPERLINK("https://rhld.insurance.arkansas.gov/NPILookup?Npi=1730706805","1730706805")</f>
        <v>1730706805</v>
      </c>
      <c r="D3278" s="36" t="s">
        <v>35837</v>
      </c>
      <c r="E3278" s="36" t="s">
        <v>1</v>
      </c>
      <c r="F3278" s="36">
        <v>1</v>
      </c>
      <c r="G3278" s="36">
        <v>2</v>
      </c>
      <c r="H3278" s="36">
        <v>0</v>
      </c>
      <c r="I3278" s="37">
        <v>0</v>
      </c>
      <c r="J3278" s="36" t="s">
        <v>34836</v>
      </c>
      <c r="K3278" s="36" t="s">
        <v>14330</v>
      </c>
      <c r="L3278" s="36" t="s">
        <v>14330</v>
      </c>
      <c r="M3278">
        <v>2</v>
      </c>
      <c r="N3278" t="s">
        <v>14331</v>
      </c>
      <c r="O3278" t="s">
        <v>32633</v>
      </c>
    </row>
    <row r="3279" spans="1:15" x14ac:dyDescent="0.25">
      <c r="A3279" s="35" t="s">
        <v>7328</v>
      </c>
      <c r="B3279" s="36" t="s">
        <v>7329</v>
      </c>
      <c r="C3279" s="36" t="str">
        <f>HYPERLINK("https://rhld.insurance.arkansas.gov/NPILookup?Npi=1730901588","1730901588")</f>
        <v>1730901588</v>
      </c>
      <c r="D3279" s="36" t="s">
        <v>34421</v>
      </c>
      <c r="E3279" s="36" t="s">
        <v>2</v>
      </c>
      <c r="F3279" s="36">
        <v>1</v>
      </c>
      <c r="G3279" s="36">
        <v>2</v>
      </c>
      <c r="H3279" s="36">
        <v>0</v>
      </c>
      <c r="I3279" s="37">
        <v>0</v>
      </c>
      <c r="J3279" s="36"/>
      <c r="K3279" s="36" t="s">
        <v>14330</v>
      </c>
      <c r="L3279" s="36" t="s">
        <v>14330</v>
      </c>
      <c r="M3279">
        <v>1</v>
      </c>
      <c r="N3279" t="s">
        <v>14331</v>
      </c>
      <c r="O3279" t="s">
        <v>14333</v>
      </c>
    </row>
    <row r="3280" spans="1:15" x14ac:dyDescent="0.25">
      <c r="A3280" s="35" t="s">
        <v>7328</v>
      </c>
      <c r="B3280" s="36" t="s">
        <v>7329</v>
      </c>
      <c r="C3280" s="36" t="str">
        <f>HYPERLINK("https://rhld.insurance.arkansas.gov/NPILookup?Npi=1730958968","1730958968")</f>
        <v>1730958968</v>
      </c>
      <c r="D3280" s="36" t="s">
        <v>34785</v>
      </c>
      <c r="E3280" s="36" t="s">
        <v>2</v>
      </c>
      <c r="F3280" s="36">
        <v>1</v>
      </c>
      <c r="G3280" s="36">
        <v>1</v>
      </c>
      <c r="H3280" s="36">
        <v>0</v>
      </c>
      <c r="I3280" s="37">
        <v>0</v>
      </c>
      <c r="J3280" s="36"/>
      <c r="K3280" s="36" t="s">
        <v>14330</v>
      </c>
      <c r="L3280" s="36" t="s">
        <v>14330</v>
      </c>
      <c r="M3280">
        <v>2</v>
      </c>
      <c r="N3280" t="s">
        <v>14331</v>
      </c>
      <c r="O3280" t="s">
        <v>32633</v>
      </c>
    </row>
    <row r="3281" spans="1:15" x14ac:dyDescent="0.25">
      <c r="A3281" s="35" t="s">
        <v>7328</v>
      </c>
      <c r="B3281" s="36" t="s">
        <v>7329</v>
      </c>
      <c r="C3281" s="36" t="str">
        <f>HYPERLINK("https://rhld.insurance.arkansas.gov/NPILookup?Npi=1740026517","1740026517")</f>
        <v>1740026517</v>
      </c>
      <c r="D3281" s="36" t="s">
        <v>35838</v>
      </c>
      <c r="E3281" s="36" t="s">
        <v>2</v>
      </c>
      <c r="F3281" s="36">
        <v>1</v>
      </c>
      <c r="G3281" s="36">
        <v>2</v>
      </c>
      <c r="H3281" s="36">
        <v>0</v>
      </c>
      <c r="I3281" s="37">
        <v>0</v>
      </c>
      <c r="J3281" s="36"/>
      <c r="K3281" s="36" t="s">
        <v>14330</v>
      </c>
      <c r="L3281" s="36" t="s">
        <v>14330</v>
      </c>
      <c r="M3281">
        <v>2</v>
      </c>
      <c r="N3281" t="s">
        <v>14331</v>
      </c>
      <c r="O3281" t="s">
        <v>14333</v>
      </c>
    </row>
    <row r="3282" spans="1:15" x14ac:dyDescent="0.25">
      <c r="A3282" s="35" t="s">
        <v>7328</v>
      </c>
      <c r="B3282" s="36" t="s">
        <v>7329</v>
      </c>
      <c r="C3282" s="36" t="str">
        <f>HYPERLINK("https://rhld.insurance.arkansas.gov/NPILookup?Npi=1740273184","1740273184")</f>
        <v>1740273184</v>
      </c>
      <c r="D3282" s="36" t="s">
        <v>35839</v>
      </c>
      <c r="E3282" s="36" t="s">
        <v>1</v>
      </c>
      <c r="F3282" s="36">
        <v>1</v>
      </c>
      <c r="G3282" s="36">
        <v>2</v>
      </c>
      <c r="H3282" s="36">
        <v>0</v>
      </c>
      <c r="I3282" s="37">
        <v>0</v>
      </c>
      <c r="J3282" s="36" t="s">
        <v>34836</v>
      </c>
      <c r="K3282" s="36" t="s">
        <v>14330</v>
      </c>
      <c r="L3282" s="36" t="s">
        <v>14330</v>
      </c>
      <c r="M3282">
        <v>3</v>
      </c>
      <c r="N3282" t="s">
        <v>14331</v>
      </c>
      <c r="O3282" t="s">
        <v>32633</v>
      </c>
    </row>
    <row r="3283" spans="1:15" x14ac:dyDescent="0.25">
      <c r="A3283" s="35" t="s">
        <v>7328</v>
      </c>
      <c r="B3283" s="36" t="s">
        <v>7329</v>
      </c>
      <c r="C3283" s="36" t="str">
        <f>HYPERLINK("https://rhld.insurance.arkansas.gov/NPILookup?Npi=1740404904","1740404904")</f>
        <v>1740404904</v>
      </c>
      <c r="D3283" s="36" t="s">
        <v>35840</v>
      </c>
      <c r="E3283" s="36" t="s">
        <v>1</v>
      </c>
      <c r="F3283" s="36">
        <v>1</v>
      </c>
      <c r="G3283" s="36">
        <v>3</v>
      </c>
      <c r="H3283" s="36">
        <v>0</v>
      </c>
      <c r="I3283" s="37">
        <v>0</v>
      </c>
      <c r="J3283" s="36" t="s">
        <v>34836</v>
      </c>
      <c r="K3283" s="36" t="s">
        <v>14330</v>
      </c>
      <c r="L3283" s="36" t="s">
        <v>14330</v>
      </c>
      <c r="M3283">
        <v>2</v>
      </c>
      <c r="N3283" t="s">
        <v>14331</v>
      </c>
      <c r="O3283" t="s">
        <v>32633</v>
      </c>
    </row>
    <row r="3284" spans="1:15" x14ac:dyDescent="0.25">
      <c r="A3284" s="35" t="s">
        <v>7328</v>
      </c>
      <c r="B3284" s="36" t="s">
        <v>7329</v>
      </c>
      <c r="C3284" s="36" t="str">
        <f>HYPERLINK("https://rhld.insurance.arkansas.gov/NPILookup?Npi=1740411370","1740411370")</f>
        <v>1740411370</v>
      </c>
      <c r="D3284" s="36" t="s">
        <v>35841</v>
      </c>
      <c r="E3284" s="36" t="s">
        <v>1</v>
      </c>
      <c r="F3284" s="36">
        <v>1</v>
      </c>
      <c r="G3284" s="36">
        <v>2</v>
      </c>
      <c r="H3284" s="36">
        <v>0</v>
      </c>
      <c r="I3284" s="37">
        <v>0</v>
      </c>
      <c r="J3284" s="36" t="s">
        <v>32654</v>
      </c>
      <c r="K3284" s="36" t="s">
        <v>14330</v>
      </c>
      <c r="L3284" s="36" t="s">
        <v>14330</v>
      </c>
      <c r="M3284">
        <v>3</v>
      </c>
      <c r="N3284" t="s">
        <v>14331</v>
      </c>
      <c r="O3284" t="s">
        <v>32633</v>
      </c>
    </row>
    <row r="3285" spans="1:15" x14ac:dyDescent="0.25">
      <c r="A3285" s="35" t="s">
        <v>7328</v>
      </c>
      <c r="B3285" s="36" t="s">
        <v>7329</v>
      </c>
      <c r="C3285" s="36" t="str">
        <f>HYPERLINK("https://rhld.insurance.arkansas.gov/NPILookup?Npi=1740517192","1740517192")</f>
        <v>1740517192</v>
      </c>
      <c r="D3285" s="36" t="s">
        <v>35842</v>
      </c>
      <c r="E3285" s="36" t="s">
        <v>1</v>
      </c>
      <c r="F3285" s="36">
        <v>1</v>
      </c>
      <c r="G3285" s="36">
        <v>3</v>
      </c>
      <c r="H3285" s="36">
        <v>0</v>
      </c>
      <c r="I3285" s="37">
        <v>0</v>
      </c>
      <c r="J3285" s="36" t="s">
        <v>32654</v>
      </c>
      <c r="K3285" s="36" t="s">
        <v>14330</v>
      </c>
      <c r="L3285" s="36" t="s">
        <v>14330</v>
      </c>
      <c r="M3285">
        <v>3</v>
      </c>
      <c r="N3285" t="s">
        <v>14331</v>
      </c>
      <c r="O3285" t="s">
        <v>32633</v>
      </c>
    </row>
    <row r="3286" spans="1:15" x14ac:dyDescent="0.25">
      <c r="A3286" s="35" t="s">
        <v>7328</v>
      </c>
      <c r="B3286" s="36" t="s">
        <v>7329</v>
      </c>
      <c r="C3286" s="36" t="str">
        <f>HYPERLINK("https://rhld.insurance.arkansas.gov/NPILookup?Npi=1740614627","1740614627")</f>
        <v>1740614627</v>
      </c>
      <c r="D3286" s="36" t="s">
        <v>35843</v>
      </c>
      <c r="E3286" s="36" t="s">
        <v>1</v>
      </c>
      <c r="F3286" s="36">
        <v>1</v>
      </c>
      <c r="G3286" s="36">
        <v>3</v>
      </c>
      <c r="H3286" s="36">
        <v>0</v>
      </c>
      <c r="I3286" s="37">
        <v>0</v>
      </c>
      <c r="J3286" s="36" t="s">
        <v>32654</v>
      </c>
      <c r="K3286" s="36" t="s">
        <v>14330</v>
      </c>
      <c r="L3286" s="36" t="s">
        <v>14330</v>
      </c>
      <c r="M3286">
        <v>2</v>
      </c>
      <c r="N3286" t="s">
        <v>14331</v>
      </c>
      <c r="O3286" t="s">
        <v>32633</v>
      </c>
    </row>
    <row r="3287" spans="1:15" x14ac:dyDescent="0.25">
      <c r="A3287" s="35" t="s">
        <v>7328</v>
      </c>
      <c r="B3287" s="36" t="s">
        <v>7329</v>
      </c>
      <c r="C3287" s="36" t="str">
        <f>HYPERLINK("https://rhld.insurance.arkansas.gov/NPILookup?Npi=1740700368","1740700368")</f>
        <v>1740700368</v>
      </c>
      <c r="D3287" s="36" t="s">
        <v>35844</v>
      </c>
      <c r="E3287" s="36" t="s">
        <v>2</v>
      </c>
      <c r="F3287" s="36">
        <v>1</v>
      </c>
      <c r="G3287" s="36">
        <v>2</v>
      </c>
      <c r="H3287" s="36">
        <v>0</v>
      </c>
      <c r="I3287" s="37">
        <v>0</v>
      </c>
      <c r="J3287" s="36"/>
      <c r="K3287" s="36" t="s">
        <v>14330</v>
      </c>
      <c r="L3287" s="36" t="s">
        <v>14330</v>
      </c>
      <c r="M3287">
        <v>2</v>
      </c>
      <c r="N3287" t="s">
        <v>14331</v>
      </c>
      <c r="O3287" t="s">
        <v>14333</v>
      </c>
    </row>
    <row r="3288" spans="1:15" x14ac:dyDescent="0.25">
      <c r="A3288" s="35" t="s">
        <v>7328</v>
      </c>
      <c r="B3288" s="36" t="s">
        <v>7329</v>
      </c>
      <c r="C3288" s="36" t="str">
        <f>HYPERLINK("https://rhld.insurance.arkansas.gov/NPILookup?Npi=1740703180","1740703180")</f>
        <v>1740703180</v>
      </c>
      <c r="D3288" s="36" t="s">
        <v>35845</v>
      </c>
      <c r="E3288" s="36" t="s">
        <v>2</v>
      </c>
      <c r="F3288" s="36">
        <v>1</v>
      </c>
      <c r="G3288" s="36">
        <v>2</v>
      </c>
      <c r="H3288" s="36">
        <v>0</v>
      </c>
      <c r="I3288" s="37">
        <v>0</v>
      </c>
      <c r="J3288" s="36"/>
      <c r="K3288" s="36" t="s">
        <v>14330</v>
      </c>
      <c r="L3288" s="36" t="s">
        <v>14330</v>
      </c>
      <c r="M3288">
        <v>1</v>
      </c>
      <c r="N3288" t="s">
        <v>14331</v>
      </c>
      <c r="O3288" t="s">
        <v>14333</v>
      </c>
    </row>
    <row r="3289" spans="1:15" x14ac:dyDescent="0.25">
      <c r="A3289" s="35" t="s">
        <v>7328</v>
      </c>
      <c r="B3289" s="36" t="s">
        <v>7329</v>
      </c>
      <c r="C3289" s="36" t="str">
        <f>HYPERLINK("https://rhld.insurance.arkansas.gov/NPILookup?Npi=1740811348","1740811348")</f>
        <v>1740811348</v>
      </c>
      <c r="D3289" s="36" t="s">
        <v>35846</v>
      </c>
      <c r="E3289" s="36" t="s">
        <v>1</v>
      </c>
      <c r="F3289" s="36">
        <v>1</v>
      </c>
      <c r="G3289" s="36">
        <v>1</v>
      </c>
      <c r="H3289" s="36">
        <v>0</v>
      </c>
      <c r="I3289" s="37">
        <v>0</v>
      </c>
      <c r="J3289" s="36" t="s">
        <v>32654</v>
      </c>
      <c r="K3289" s="36" t="s">
        <v>14330</v>
      </c>
      <c r="L3289" s="36" t="s">
        <v>14330</v>
      </c>
      <c r="M3289">
        <v>2</v>
      </c>
      <c r="N3289" t="s">
        <v>14331</v>
      </c>
      <c r="O3289" t="s">
        <v>32633</v>
      </c>
    </row>
    <row r="3290" spans="1:15" x14ac:dyDescent="0.25">
      <c r="A3290" s="35" t="s">
        <v>7328</v>
      </c>
      <c r="B3290" s="36" t="s">
        <v>7329</v>
      </c>
      <c r="C3290" s="36" t="str">
        <f>HYPERLINK("https://rhld.insurance.arkansas.gov/NPILookup?Npi=1740917129","1740917129")</f>
        <v>1740917129</v>
      </c>
      <c r="D3290" s="36" t="s">
        <v>35847</v>
      </c>
      <c r="E3290" s="36" t="s">
        <v>2</v>
      </c>
      <c r="F3290" s="36">
        <v>1</v>
      </c>
      <c r="G3290" s="36">
        <v>2</v>
      </c>
      <c r="H3290" s="36">
        <v>0</v>
      </c>
      <c r="I3290" s="37">
        <v>0</v>
      </c>
      <c r="J3290" s="36"/>
      <c r="K3290" s="36" t="s">
        <v>14330</v>
      </c>
      <c r="L3290" s="36" t="s">
        <v>14330</v>
      </c>
      <c r="M3290">
        <v>2</v>
      </c>
      <c r="N3290" t="s">
        <v>14331</v>
      </c>
      <c r="O3290" t="s">
        <v>14333</v>
      </c>
    </row>
    <row r="3291" spans="1:15" x14ac:dyDescent="0.25">
      <c r="A3291" s="35" t="s">
        <v>7328</v>
      </c>
      <c r="B3291" s="36" t="s">
        <v>7329</v>
      </c>
      <c r="C3291" s="36" t="str">
        <f>HYPERLINK("https://rhld.insurance.arkansas.gov/NPILookup?Npi=1740924455","1740924455")</f>
        <v>1740924455</v>
      </c>
      <c r="D3291" s="36" t="s">
        <v>35848</v>
      </c>
      <c r="E3291" s="36" t="s">
        <v>1</v>
      </c>
      <c r="F3291" s="36">
        <v>1</v>
      </c>
      <c r="G3291" s="36">
        <v>2</v>
      </c>
      <c r="H3291" s="36">
        <v>0</v>
      </c>
      <c r="I3291" s="37">
        <v>0</v>
      </c>
      <c r="J3291" s="36" t="s">
        <v>32654</v>
      </c>
      <c r="K3291" s="36" t="s">
        <v>14330</v>
      </c>
      <c r="L3291" s="36" t="s">
        <v>14330</v>
      </c>
      <c r="M3291">
        <v>2</v>
      </c>
      <c r="N3291" t="s">
        <v>14331</v>
      </c>
      <c r="O3291" t="s">
        <v>32633</v>
      </c>
    </row>
    <row r="3292" spans="1:15" x14ac:dyDescent="0.25">
      <c r="A3292" s="35" t="s">
        <v>7328</v>
      </c>
      <c r="B3292" s="36" t="s">
        <v>7329</v>
      </c>
      <c r="C3292" s="36" t="str">
        <f>HYPERLINK("https://rhld.insurance.arkansas.gov/NPILookup?Npi=1740961762","1740961762")</f>
        <v>1740961762</v>
      </c>
      <c r="D3292" s="36" t="s">
        <v>35849</v>
      </c>
      <c r="E3292" s="36" t="s">
        <v>2</v>
      </c>
      <c r="F3292" s="36">
        <v>2</v>
      </c>
      <c r="G3292" s="36">
        <v>2</v>
      </c>
      <c r="H3292" s="36">
        <v>0</v>
      </c>
      <c r="I3292" s="37">
        <v>0</v>
      </c>
      <c r="J3292" s="36" t="s">
        <v>33004</v>
      </c>
      <c r="K3292" s="36" t="s">
        <v>14330</v>
      </c>
      <c r="L3292" s="36" t="s">
        <v>14330</v>
      </c>
      <c r="M3292">
        <v>2</v>
      </c>
      <c r="N3292" t="s">
        <v>14331</v>
      </c>
      <c r="O3292" t="s">
        <v>14333</v>
      </c>
    </row>
    <row r="3293" spans="1:15" x14ac:dyDescent="0.25">
      <c r="A3293" s="35" t="s">
        <v>7328</v>
      </c>
      <c r="B3293" s="36" t="s">
        <v>7329</v>
      </c>
      <c r="C3293" s="36" t="str">
        <f>HYPERLINK("https://rhld.insurance.arkansas.gov/NPILookup?Npi=1750100681","1750100681")</f>
        <v>1750100681</v>
      </c>
      <c r="D3293" s="36" t="s">
        <v>35850</v>
      </c>
      <c r="E3293" s="36" t="s">
        <v>2</v>
      </c>
      <c r="F3293" s="36">
        <v>1</v>
      </c>
      <c r="G3293" s="36">
        <v>2</v>
      </c>
      <c r="H3293" s="36">
        <v>0</v>
      </c>
      <c r="I3293" s="37">
        <v>0</v>
      </c>
      <c r="J3293" s="36"/>
      <c r="K3293" s="36" t="s">
        <v>14330</v>
      </c>
      <c r="L3293" s="36" t="s">
        <v>14330</v>
      </c>
      <c r="M3293">
        <v>3</v>
      </c>
      <c r="N3293" t="s">
        <v>14331</v>
      </c>
      <c r="O3293" t="s">
        <v>14333</v>
      </c>
    </row>
    <row r="3294" spans="1:15" x14ac:dyDescent="0.25">
      <c r="A3294" s="35" t="s">
        <v>7328</v>
      </c>
      <c r="B3294" s="36" t="s">
        <v>7329</v>
      </c>
      <c r="C3294" s="36" t="str">
        <f>HYPERLINK("https://rhld.insurance.arkansas.gov/NPILookup?Npi=1750410999","1750410999")</f>
        <v>1750410999</v>
      </c>
      <c r="D3294" s="36" t="s">
        <v>35851</v>
      </c>
      <c r="E3294" s="36" t="s">
        <v>1</v>
      </c>
      <c r="F3294" s="36">
        <v>1</v>
      </c>
      <c r="G3294" s="36">
        <v>3</v>
      </c>
      <c r="H3294" s="36">
        <v>0</v>
      </c>
      <c r="I3294" s="37">
        <v>0</v>
      </c>
      <c r="J3294" s="36" t="s">
        <v>34836</v>
      </c>
      <c r="K3294" s="36" t="s">
        <v>14330</v>
      </c>
      <c r="L3294" s="36" t="s">
        <v>14330</v>
      </c>
      <c r="M3294">
        <v>3</v>
      </c>
      <c r="N3294" t="s">
        <v>14331</v>
      </c>
      <c r="O3294" t="s">
        <v>32633</v>
      </c>
    </row>
    <row r="3295" spans="1:15" x14ac:dyDescent="0.25">
      <c r="A3295" s="35" t="s">
        <v>7328</v>
      </c>
      <c r="B3295" s="36" t="s">
        <v>7329</v>
      </c>
      <c r="C3295" s="36" t="str">
        <f>HYPERLINK("https://rhld.insurance.arkansas.gov/NPILookup?Npi=1750433256","1750433256")</f>
        <v>1750433256</v>
      </c>
      <c r="D3295" s="36" t="s">
        <v>35852</v>
      </c>
      <c r="E3295" s="36" t="s">
        <v>1</v>
      </c>
      <c r="F3295" s="36">
        <v>1</v>
      </c>
      <c r="G3295" s="36">
        <v>3</v>
      </c>
      <c r="H3295" s="36">
        <v>0</v>
      </c>
      <c r="I3295" s="37">
        <v>0</v>
      </c>
      <c r="J3295" s="36" t="s">
        <v>32654</v>
      </c>
      <c r="K3295" s="36" t="s">
        <v>14330</v>
      </c>
      <c r="L3295" s="36" t="s">
        <v>14330</v>
      </c>
      <c r="M3295">
        <v>2</v>
      </c>
      <c r="N3295" t="s">
        <v>14331</v>
      </c>
      <c r="O3295" t="s">
        <v>32633</v>
      </c>
    </row>
    <row r="3296" spans="1:15" x14ac:dyDescent="0.25">
      <c r="A3296" s="35" t="s">
        <v>7328</v>
      </c>
      <c r="B3296" s="36" t="s">
        <v>7329</v>
      </c>
      <c r="C3296" s="36" t="str">
        <f>HYPERLINK("https://rhld.insurance.arkansas.gov/NPILookup?Npi=1750471231","1750471231")</f>
        <v>1750471231</v>
      </c>
      <c r="D3296" s="36" t="s">
        <v>35853</v>
      </c>
      <c r="E3296" s="36" t="s">
        <v>1</v>
      </c>
      <c r="F3296" s="36">
        <v>1</v>
      </c>
      <c r="G3296" s="36">
        <v>2</v>
      </c>
      <c r="H3296" s="36">
        <v>0</v>
      </c>
      <c r="I3296" s="37">
        <v>0</v>
      </c>
      <c r="J3296" s="36" t="s">
        <v>34836</v>
      </c>
      <c r="K3296" s="36" t="s">
        <v>14330</v>
      </c>
      <c r="L3296" s="36" t="s">
        <v>14330</v>
      </c>
      <c r="M3296">
        <v>3</v>
      </c>
      <c r="N3296" t="s">
        <v>14331</v>
      </c>
      <c r="O3296" t="s">
        <v>32633</v>
      </c>
    </row>
    <row r="3297" spans="1:15" x14ac:dyDescent="0.25">
      <c r="A3297" s="35" t="s">
        <v>7328</v>
      </c>
      <c r="B3297" s="36" t="s">
        <v>7329</v>
      </c>
      <c r="C3297" s="36" t="str">
        <f>HYPERLINK("https://rhld.insurance.arkansas.gov/NPILookup?Npi=1750518072","1750518072")</f>
        <v>1750518072</v>
      </c>
      <c r="D3297" s="36" t="s">
        <v>35854</v>
      </c>
      <c r="E3297" s="36" t="s">
        <v>1</v>
      </c>
      <c r="F3297" s="36">
        <v>1</v>
      </c>
      <c r="G3297" s="36">
        <v>3</v>
      </c>
      <c r="H3297" s="36">
        <v>0</v>
      </c>
      <c r="I3297" s="37">
        <v>0</v>
      </c>
      <c r="J3297" s="36" t="s">
        <v>32654</v>
      </c>
      <c r="K3297" s="36" t="s">
        <v>14330</v>
      </c>
      <c r="L3297" s="36" t="s">
        <v>14330</v>
      </c>
      <c r="M3297">
        <v>2</v>
      </c>
      <c r="N3297" t="s">
        <v>14331</v>
      </c>
      <c r="O3297" t="s">
        <v>32633</v>
      </c>
    </row>
    <row r="3298" spans="1:15" x14ac:dyDescent="0.25">
      <c r="A3298" s="35" t="s">
        <v>7328</v>
      </c>
      <c r="B3298" s="36" t="s">
        <v>7329</v>
      </c>
      <c r="C3298" s="36" t="str">
        <f>HYPERLINK("https://rhld.insurance.arkansas.gov/NPILookup?Npi=1750523544","1750523544")</f>
        <v>1750523544</v>
      </c>
      <c r="D3298" s="36" t="s">
        <v>35672</v>
      </c>
      <c r="E3298" s="36" t="s">
        <v>1</v>
      </c>
      <c r="F3298" s="36">
        <v>1</v>
      </c>
      <c r="G3298" s="36">
        <v>2</v>
      </c>
      <c r="H3298" s="36">
        <v>0</v>
      </c>
      <c r="I3298" s="37">
        <v>0</v>
      </c>
      <c r="J3298" s="36" t="s">
        <v>34836</v>
      </c>
      <c r="K3298" s="36" t="s">
        <v>14330</v>
      </c>
      <c r="L3298" s="36" t="s">
        <v>14330</v>
      </c>
      <c r="M3298">
        <v>2</v>
      </c>
      <c r="N3298" t="s">
        <v>14331</v>
      </c>
      <c r="O3298" t="s">
        <v>32633</v>
      </c>
    </row>
    <row r="3299" spans="1:15" x14ac:dyDescent="0.25">
      <c r="A3299" s="35" t="s">
        <v>7328</v>
      </c>
      <c r="B3299" s="36" t="s">
        <v>7329</v>
      </c>
      <c r="C3299" s="36" t="str">
        <f>HYPERLINK("https://rhld.insurance.arkansas.gov/NPILookup?Npi=1750570917","1750570917")</f>
        <v>1750570917</v>
      </c>
      <c r="D3299" s="36" t="s">
        <v>35855</v>
      </c>
      <c r="E3299" s="36" t="s">
        <v>1</v>
      </c>
      <c r="F3299" s="36">
        <v>1</v>
      </c>
      <c r="G3299" s="36">
        <v>2</v>
      </c>
      <c r="H3299" s="36">
        <v>0</v>
      </c>
      <c r="I3299" s="37">
        <v>0</v>
      </c>
      <c r="J3299" s="36" t="s">
        <v>32654</v>
      </c>
      <c r="K3299" s="36" t="s">
        <v>14330</v>
      </c>
      <c r="L3299" s="36" t="s">
        <v>14330</v>
      </c>
      <c r="M3299">
        <v>3</v>
      </c>
      <c r="N3299" t="s">
        <v>14331</v>
      </c>
      <c r="O3299" t="s">
        <v>32633</v>
      </c>
    </row>
    <row r="3300" spans="1:15" x14ac:dyDescent="0.25">
      <c r="A3300" s="35" t="s">
        <v>7328</v>
      </c>
      <c r="B3300" s="36" t="s">
        <v>7329</v>
      </c>
      <c r="C3300" s="36" t="str">
        <f>HYPERLINK("https://rhld.insurance.arkansas.gov/NPILookup?Npi=1750612065","1750612065")</f>
        <v>1750612065</v>
      </c>
      <c r="D3300" s="36" t="s">
        <v>35856</v>
      </c>
      <c r="E3300" s="36" t="s">
        <v>1</v>
      </c>
      <c r="F3300" s="36">
        <v>1</v>
      </c>
      <c r="G3300" s="36">
        <v>3</v>
      </c>
      <c r="H3300" s="36">
        <v>0</v>
      </c>
      <c r="I3300" s="37">
        <v>0</v>
      </c>
      <c r="J3300" s="36" t="s">
        <v>32654</v>
      </c>
      <c r="K3300" s="36" t="s">
        <v>14330</v>
      </c>
      <c r="L3300" s="36" t="s">
        <v>14330</v>
      </c>
      <c r="M3300">
        <v>3</v>
      </c>
      <c r="N3300" t="s">
        <v>14331</v>
      </c>
      <c r="O3300" t="s">
        <v>32633</v>
      </c>
    </row>
    <row r="3301" spans="1:15" x14ac:dyDescent="0.25">
      <c r="A3301" s="35" t="s">
        <v>7328</v>
      </c>
      <c r="B3301" s="36" t="s">
        <v>7329</v>
      </c>
      <c r="C3301" s="36" t="str">
        <f>HYPERLINK("https://rhld.insurance.arkansas.gov/NPILookup?Npi=1750705513","1750705513")</f>
        <v>1750705513</v>
      </c>
      <c r="D3301" s="36" t="s">
        <v>35857</v>
      </c>
      <c r="E3301" s="36" t="s">
        <v>1</v>
      </c>
      <c r="F3301" s="36">
        <v>1</v>
      </c>
      <c r="G3301" s="36">
        <v>3</v>
      </c>
      <c r="H3301" s="36">
        <v>0</v>
      </c>
      <c r="I3301" s="37">
        <v>0</v>
      </c>
      <c r="J3301" s="36" t="s">
        <v>32654</v>
      </c>
      <c r="K3301" s="36" t="s">
        <v>14330</v>
      </c>
      <c r="L3301" s="36" t="s">
        <v>14330</v>
      </c>
      <c r="M3301">
        <v>2</v>
      </c>
      <c r="N3301" t="s">
        <v>14331</v>
      </c>
      <c r="O3301" t="s">
        <v>32633</v>
      </c>
    </row>
    <row r="3302" spans="1:15" x14ac:dyDescent="0.25">
      <c r="A3302" s="35" t="s">
        <v>7328</v>
      </c>
      <c r="B3302" s="36" t="s">
        <v>7329</v>
      </c>
      <c r="C3302" s="36" t="str">
        <f>HYPERLINK("https://rhld.insurance.arkansas.gov/NPILookup?Npi=1750767299","1750767299")</f>
        <v>1750767299</v>
      </c>
      <c r="D3302" s="36" t="s">
        <v>35858</v>
      </c>
      <c r="E3302" s="36" t="s">
        <v>1</v>
      </c>
      <c r="F3302" s="36">
        <v>1</v>
      </c>
      <c r="G3302" s="36">
        <v>2</v>
      </c>
      <c r="H3302" s="36">
        <v>0</v>
      </c>
      <c r="I3302" s="37">
        <v>0</v>
      </c>
      <c r="J3302" s="36" t="s">
        <v>32654</v>
      </c>
      <c r="K3302" s="36" t="s">
        <v>14330</v>
      </c>
      <c r="L3302" s="36" t="s">
        <v>14330</v>
      </c>
      <c r="M3302">
        <v>2</v>
      </c>
      <c r="N3302" t="s">
        <v>14331</v>
      </c>
      <c r="O3302" t="s">
        <v>32633</v>
      </c>
    </row>
    <row r="3303" spans="1:15" x14ac:dyDescent="0.25">
      <c r="A3303" s="35" t="s">
        <v>7328</v>
      </c>
      <c r="B3303" s="36" t="s">
        <v>7329</v>
      </c>
      <c r="C3303" s="36" t="str">
        <f>HYPERLINK("https://rhld.insurance.arkansas.gov/NPILookup?Npi=1750802823","1750802823")</f>
        <v>1750802823</v>
      </c>
      <c r="D3303" s="36" t="s">
        <v>35859</v>
      </c>
      <c r="E3303" s="36" t="s">
        <v>1</v>
      </c>
      <c r="F3303" s="36">
        <v>1</v>
      </c>
      <c r="G3303" s="36">
        <v>2</v>
      </c>
      <c r="H3303" s="36">
        <v>0</v>
      </c>
      <c r="I3303" s="37">
        <v>0</v>
      </c>
      <c r="J3303" s="36" t="s">
        <v>32723</v>
      </c>
      <c r="K3303" s="36" t="s">
        <v>14330</v>
      </c>
      <c r="L3303" s="36" t="s">
        <v>14330</v>
      </c>
      <c r="M3303">
        <v>2</v>
      </c>
      <c r="N3303" t="s">
        <v>14331</v>
      </c>
      <c r="O3303" t="s">
        <v>32724</v>
      </c>
    </row>
    <row r="3304" spans="1:15" x14ac:dyDescent="0.25">
      <c r="A3304" s="35" t="s">
        <v>7328</v>
      </c>
      <c r="B3304" s="36" t="s">
        <v>7329</v>
      </c>
      <c r="C3304" s="36" t="str">
        <f>HYPERLINK("https://rhld.insurance.arkansas.gov/NPILookup?Npi=1750878286","1750878286")</f>
        <v>1750878286</v>
      </c>
      <c r="D3304" s="36" t="s">
        <v>35860</v>
      </c>
      <c r="E3304" s="36" t="s">
        <v>1</v>
      </c>
      <c r="F3304" s="36">
        <v>1</v>
      </c>
      <c r="G3304" s="36">
        <v>2</v>
      </c>
      <c r="H3304" s="36">
        <v>0</v>
      </c>
      <c r="I3304" s="37">
        <v>0</v>
      </c>
      <c r="J3304" s="36" t="s">
        <v>34836</v>
      </c>
      <c r="K3304" s="36" t="s">
        <v>14330</v>
      </c>
      <c r="L3304" s="36" t="s">
        <v>14330</v>
      </c>
      <c r="M3304">
        <v>2</v>
      </c>
      <c r="N3304" t="s">
        <v>14331</v>
      </c>
      <c r="O3304" t="s">
        <v>32633</v>
      </c>
    </row>
    <row r="3305" spans="1:15" x14ac:dyDescent="0.25">
      <c r="A3305" s="35" t="s">
        <v>7328</v>
      </c>
      <c r="B3305" s="36" t="s">
        <v>7329</v>
      </c>
      <c r="C3305" s="36" t="str">
        <f>HYPERLINK("https://rhld.insurance.arkansas.gov/NPILookup?Npi=1750890034","1750890034")</f>
        <v>1750890034</v>
      </c>
      <c r="D3305" s="36" t="s">
        <v>35861</v>
      </c>
      <c r="E3305" s="36" t="s">
        <v>2</v>
      </c>
      <c r="F3305" s="36">
        <v>1</v>
      </c>
      <c r="G3305" s="36">
        <v>2</v>
      </c>
      <c r="H3305" s="36">
        <v>0</v>
      </c>
      <c r="I3305" s="37">
        <v>0</v>
      </c>
      <c r="J3305" s="36" t="s">
        <v>32679</v>
      </c>
      <c r="K3305" s="36" t="s">
        <v>14330</v>
      </c>
      <c r="L3305" s="36" t="s">
        <v>14330</v>
      </c>
      <c r="M3305">
        <v>2</v>
      </c>
      <c r="N3305" t="s">
        <v>14331</v>
      </c>
      <c r="O3305" t="s">
        <v>14333</v>
      </c>
    </row>
    <row r="3306" spans="1:15" x14ac:dyDescent="0.25">
      <c r="A3306" s="35" t="s">
        <v>7328</v>
      </c>
      <c r="B3306" s="36" t="s">
        <v>7329</v>
      </c>
      <c r="C3306" s="36" t="str">
        <f>HYPERLINK("https://rhld.insurance.arkansas.gov/NPILookup?Npi=1760208441","1760208441")</f>
        <v>1760208441</v>
      </c>
      <c r="D3306" s="36" t="s">
        <v>34787</v>
      </c>
      <c r="E3306" s="36" t="s">
        <v>2</v>
      </c>
      <c r="F3306" s="36">
        <v>1</v>
      </c>
      <c r="G3306" s="36">
        <v>2</v>
      </c>
      <c r="H3306" s="36">
        <v>0</v>
      </c>
      <c r="I3306" s="37">
        <v>0</v>
      </c>
      <c r="J3306" s="36"/>
      <c r="K3306" s="36" t="s">
        <v>14330</v>
      </c>
      <c r="L3306" s="36" t="s">
        <v>14330</v>
      </c>
      <c r="M3306">
        <v>3</v>
      </c>
      <c r="N3306" t="s">
        <v>14331</v>
      </c>
      <c r="O3306" t="s">
        <v>14333</v>
      </c>
    </row>
    <row r="3307" spans="1:15" x14ac:dyDescent="0.25">
      <c r="A3307" s="35" t="s">
        <v>7328</v>
      </c>
      <c r="B3307" s="36" t="s">
        <v>7329</v>
      </c>
      <c r="C3307" s="36" t="str">
        <f>HYPERLINK("https://rhld.insurance.arkansas.gov/NPILookup?Npi=1760411813","1760411813")</f>
        <v>1760411813</v>
      </c>
      <c r="D3307" s="36" t="s">
        <v>35862</v>
      </c>
      <c r="E3307" s="36" t="s">
        <v>1</v>
      </c>
      <c r="F3307" s="36">
        <v>1</v>
      </c>
      <c r="G3307" s="36">
        <v>3</v>
      </c>
      <c r="H3307" s="36">
        <v>0</v>
      </c>
      <c r="I3307" s="37">
        <v>0</v>
      </c>
      <c r="J3307" s="36" t="s">
        <v>32723</v>
      </c>
      <c r="K3307" s="36" t="s">
        <v>14330</v>
      </c>
      <c r="L3307" s="36" t="s">
        <v>14330</v>
      </c>
      <c r="M3307">
        <v>1</v>
      </c>
      <c r="N3307" t="s">
        <v>14331</v>
      </c>
      <c r="O3307" t="s">
        <v>32724</v>
      </c>
    </row>
    <row r="3308" spans="1:15" x14ac:dyDescent="0.25">
      <c r="A3308" s="35" t="s">
        <v>7328</v>
      </c>
      <c r="B3308" s="36" t="s">
        <v>7329</v>
      </c>
      <c r="C3308" s="36" t="str">
        <f>HYPERLINK("https://rhld.insurance.arkansas.gov/NPILookup?Npi=1760663579","1760663579")</f>
        <v>1760663579</v>
      </c>
      <c r="D3308" s="36" t="s">
        <v>35863</v>
      </c>
      <c r="E3308" s="36" t="s">
        <v>1</v>
      </c>
      <c r="F3308" s="36">
        <v>1</v>
      </c>
      <c r="G3308" s="36">
        <v>1</v>
      </c>
      <c r="H3308" s="36">
        <v>0</v>
      </c>
      <c r="I3308" s="37">
        <v>0</v>
      </c>
      <c r="J3308" s="36" t="s">
        <v>34836</v>
      </c>
      <c r="K3308" s="36" t="s">
        <v>14330</v>
      </c>
      <c r="L3308" s="36" t="s">
        <v>14330</v>
      </c>
      <c r="M3308">
        <v>2</v>
      </c>
      <c r="N3308" t="s">
        <v>14331</v>
      </c>
      <c r="O3308" t="s">
        <v>32633</v>
      </c>
    </row>
    <row r="3309" spans="1:15" x14ac:dyDescent="0.25">
      <c r="A3309" s="35" t="s">
        <v>7328</v>
      </c>
      <c r="B3309" s="36" t="s">
        <v>7329</v>
      </c>
      <c r="C3309" s="36" t="str">
        <f>HYPERLINK("https://rhld.insurance.arkansas.gov/NPILookup?Npi=1760672497","1760672497")</f>
        <v>1760672497</v>
      </c>
      <c r="D3309" s="36" t="s">
        <v>35864</v>
      </c>
      <c r="E3309" s="36" t="s">
        <v>1</v>
      </c>
      <c r="F3309" s="36">
        <v>1</v>
      </c>
      <c r="G3309" s="36">
        <v>2</v>
      </c>
      <c r="H3309" s="36">
        <v>0</v>
      </c>
      <c r="I3309" s="37">
        <v>0</v>
      </c>
      <c r="J3309" s="36" t="s">
        <v>32654</v>
      </c>
      <c r="K3309" s="36" t="s">
        <v>14330</v>
      </c>
      <c r="L3309" s="36" t="s">
        <v>14330</v>
      </c>
      <c r="M3309">
        <v>2</v>
      </c>
      <c r="N3309" t="s">
        <v>14331</v>
      </c>
      <c r="O3309" t="s">
        <v>32633</v>
      </c>
    </row>
    <row r="3310" spans="1:15" x14ac:dyDescent="0.25">
      <c r="A3310" s="35" t="s">
        <v>7328</v>
      </c>
      <c r="B3310" s="36" t="s">
        <v>7329</v>
      </c>
      <c r="C3310" s="36" t="str">
        <f>HYPERLINK("https://rhld.insurance.arkansas.gov/NPILookup?Npi=1760690010","1760690010")</f>
        <v>1760690010</v>
      </c>
      <c r="D3310" s="36" t="s">
        <v>35865</v>
      </c>
      <c r="E3310" s="36" t="s">
        <v>1</v>
      </c>
      <c r="F3310" s="36">
        <v>1</v>
      </c>
      <c r="G3310" s="36">
        <v>2</v>
      </c>
      <c r="H3310" s="36">
        <v>0</v>
      </c>
      <c r="I3310" s="37">
        <v>0</v>
      </c>
      <c r="J3310" s="36" t="s">
        <v>32654</v>
      </c>
      <c r="K3310" s="36" t="s">
        <v>14330</v>
      </c>
      <c r="L3310" s="36" t="s">
        <v>14330</v>
      </c>
      <c r="M3310">
        <v>2</v>
      </c>
      <c r="N3310" t="s">
        <v>14331</v>
      </c>
      <c r="O3310" t="s">
        <v>32633</v>
      </c>
    </row>
    <row r="3311" spans="1:15" x14ac:dyDescent="0.25">
      <c r="A3311" s="35" t="s">
        <v>7328</v>
      </c>
      <c r="B3311" s="36" t="s">
        <v>7329</v>
      </c>
      <c r="C3311" s="36" t="str">
        <f>HYPERLINK("https://rhld.insurance.arkansas.gov/NPILookup?Npi=1760692917","1760692917")</f>
        <v>1760692917</v>
      </c>
      <c r="D3311" s="36" t="s">
        <v>35866</v>
      </c>
      <c r="E3311" s="36" t="s">
        <v>1</v>
      </c>
      <c r="F3311" s="36">
        <v>1</v>
      </c>
      <c r="G3311" s="36">
        <v>2</v>
      </c>
      <c r="H3311" s="36">
        <v>0</v>
      </c>
      <c r="I3311" s="37">
        <v>0</v>
      </c>
      <c r="J3311" s="36" t="s">
        <v>34836</v>
      </c>
      <c r="K3311" s="36" t="s">
        <v>14330</v>
      </c>
      <c r="L3311" s="36" t="s">
        <v>14330</v>
      </c>
      <c r="M3311">
        <v>3</v>
      </c>
      <c r="N3311" t="s">
        <v>14331</v>
      </c>
      <c r="O3311" t="s">
        <v>32633</v>
      </c>
    </row>
    <row r="3312" spans="1:15" x14ac:dyDescent="0.25">
      <c r="A3312" s="35" t="s">
        <v>7328</v>
      </c>
      <c r="B3312" s="36" t="s">
        <v>7329</v>
      </c>
      <c r="C3312" s="36" t="str">
        <f>HYPERLINK("https://rhld.insurance.arkansas.gov/NPILookup?Npi=1760741789","1760741789")</f>
        <v>1760741789</v>
      </c>
      <c r="D3312" s="36" t="s">
        <v>35867</v>
      </c>
      <c r="E3312" s="36" t="s">
        <v>1</v>
      </c>
      <c r="F3312" s="36">
        <v>1</v>
      </c>
      <c r="G3312" s="36">
        <v>3</v>
      </c>
      <c r="H3312" s="36">
        <v>0</v>
      </c>
      <c r="I3312" s="37">
        <v>0</v>
      </c>
      <c r="J3312" s="36" t="s">
        <v>34836</v>
      </c>
      <c r="K3312" s="36" t="s">
        <v>14330</v>
      </c>
      <c r="L3312" s="36" t="s">
        <v>14330</v>
      </c>
      <c r="M3312">
        <v>2</v>
      </c>
      <c r="N3312" t="s">
        <v>14331</v>
      </c>
      <c r="O3312" t="s">
        <v>32633</v>
      </c>
    </row>
    <row r="3313" spans="1:15" x14ac:dyDescent="0.25">
      <c r="A3313" s="35" t="s">
        <v>7328</v>
      </c>
      <c r="B3313" s="36" t="s">
        <v>7329</v>
      </c>
      <c r="C3313" s="36" t="str">
        <f>HYPERLINK("https://rhld.insurance.arkansas.gov/NPILookup?Npi=1760780191","1760780191")</f>
        <v>1760780191</v>
      </c>
      <c r="D3313" s="36" t="s">
        <v>35868</v>
      </c>
      <c r="E3313" s="36" t="s">
        <v>1</v>
      </c>
      <c r="F3313" s="36">
        <v>1</v>
      </c>
      <c r="G3313" s="36">
        <v>2</v>
      </c>
      <c r="H3313" s="36">
        <v>0</v>
      </c>
      <c r="I3313" s="37">
        <v>0</v>
      </c>
      <c r="J3313" s="36" t="s">
        <v>32654</v>
      </c>
      <c r="K3313" s="36" t="s">
        <v>14330</v>
      </c>
      <c r="L3313" s="36" t="s">
        <v>14330</v>
      </c>
      <c r="M3313">
        <v>1</v>
      </c>
      <c r="N3313" t="s">
        <v>14331</v>
      </c>
      <c r="O3313" t="s">
        <v>32633</v>
      </c>
    </row>
    <row r="3314" spans="1:15" x14ac:dyDescent="0.25">
      <c r="A3314" s="35" t="s">
        <v>7328</v>
      </c>
      <c r="B3314" s="36" t="s">
        <v>7329</v>
      </c>
      <c r="C3314" s="36" t="str">
        <f>HYPERLINK("https://rhld.insurance.arkansas.gov/NPILookup?Npi=1760796791","1760796791")</f>
        <v>1760796791</v>
      </c>
      <c r="D3314" s="36" t="s">
        <v>35869</v>
      </c>
      <c r="E3314" s="36" t="s">
        <v>1</v>
      </c>
      <c r="F3314" s="36">
        <v>1</v>
      </c>
      <c r="G3314" s="36">
        <v>1</v>
      </c>
      <c r="H3314" s="36">
        <v>0</v>
      </c>
      <c r="I3314" s="37">
        <v>0</v>
      </c>
      <c r="J3314" s="36" t="s">
        <v>34836</v>
      </c>
      <c r="K3314" s="36" t="s">
        <v>14330</v>
      </c>
      <c r="L3314" s="36" t="s">
        <v>14330</v>
      </c>
      <c r="M3314">
        <v>2</v>
      </c>
      <c r="N3314" t="s">
        <v>14331</v>
      </c>
      <c r="O3314" t="s">
        <v>32633</v>
      </c>
    </row>
    <row r="3315" spans="1:15" x14ac:dyDescent="0.25">
      <c r="A3315" s="35" t="s">
        <v>7328</v>
      </c>
      <c r="B3315" s="36" t="s">
        <v>7329</v>
      </c>
      <c r="C3315" s="36" t="str">
        <f>HYPERLINK("https://rhld.insurance.arkansas.gov/NPILookup?Npi=1760826614","1760826614")</f>
        <v>1760826614</v>
      </c>
      <c r="D3315" s="36" t="s">
        <v>35870</v>
      </c>
      <c r="E3315" s="36" t="s">
        <v>1</v>
      </c>
      <c r="F3315" s="36">
        <v>1</v>
      </c>
      <c r="G3315" s="36">
        <v>2</v>
      </c>
      <c r="H3315" s="36">
        <v>0</v>
      </c>
      <c r="I3315" s="37">
        <v>0</v>
      </c>
      <c r="J3315" s="36" t="s">
        <v>34836</v>
      </c>
      <c r="K3315" s="36" t="s">
        <v>14330</v>
      </c>
      <c r="L3315" s="36" t="s">
        <v>14330</v>
      </c>
      <c r="M3315">
        <v>2</v>
      </c>
      <c r="N3315" t="s">
        <v>14331</v>
      </c>
      <c r="O3315" t="s">
        <v>32633</v>
      </c>
    </row>
    <row r="3316" spans="1:15" x14ac:dyDescent="0.25">
      <c r="A3316" s="35" t="s">
        <v>7328</v>
      </c>
      <c r="B3316" s="36" t="s">
        <v>7329</v>
      </c>
      <c r="C3316" s="36" t="str">
        <f>HYPERLINK("https://rhld.insurance.arkansas.gov/NPILookup?Npi=1760842868","1760842868")</f>
        <v>1760842868</v>
      </c>
      <c r="D3316" s="36" t="s">
        <v>35871</v>
      </c>
      <c r="E3316" s="36" t="s">
        <v>2</v>
      </c>
      <c r="F3316" s="36">
        <v>2</v>
      </c>
      <c r="G3316" s="36">
        <v>2</v>
      </c>
      <c r="H3316" s="36">
        <v>0</v>
      </c>
      <c r="I3316" s="37">
        <v>0</v>
      </c>
      <c r="J3316" s="36" t="s">
        <v>33004</v>
      </c>
      <c r="K3316" s="36" t="s">
        <v>14330</v>
      </c>
      <c r="L3316" s="36" t="s">
        <v>14330</v>
      </c>
      <c r="M3316">
        <v>3</v>
      </c>
      <c r="N3316" t="s">
        <v>14331</v>
      </c>
      <c r="O3316" t="s">
        <v>14333</v>
      </c>
    </row>
    <row r="3317" spans="1:15" x14ac:dyDescent="0.25">
      <c r="A3317" s="35" t="s">
        <v>7328</v>
      </c>
      <c r="B3317" s="36" t="s">
        <v>7329</v>
      </c>
      <c r="C3317" s="36" t="str">
        <f>HYPERLINK("https://rhld.insurance.arkansas.gov/NPILookup?Npi=1760844823","1760844823")</f>
        <v>1760844823</v>
      </c>
      <c r="D3317" s="36" t="s">
        <v>35872</v>
      </c>
      <c r="E3317" s="36" t="s">
        <v>1</v>
      </c>
      <c r="F3317" s="36">
        <v>1</v>
      </c>
      <c r="G3317" s="36">
        <v>3</v>
      </c>
      <c r="H3317" s="36">
        <v>0</v>
      </c>
      <c r="I3317" s="37">
        <v>0</v>
      </c>
      <c r="J3317" s="36" t="s">
        <v>34836</v>
      </c>
      <c r="K3317" s="36" t="s">
        <v>14330</v>
      </c>
      <c r="L3317" s="36" t="s">
        <v>14330</v>
      </c>
      <c r="M3317">
        <v>3</v>
      </c>
      <c r="N3317" t="s">
        <v>14331</v>
      </c>
      <c r="O3317" t="s">
        <v>32633</v>
      </c>
    </row>
    <row r="3318" spans="1:15" x14ac:dyDescent="0.25">
      <c r="A3318" s="35" t="s">
        <v>7328</v>
      </c>
      <c r="B3318" s="36" t="s">
        <v>7329</v>
      </c>
      <c r="C3318" s="36" t="str">
        <f>HYPERLINK("https://rhld.insurance.arkansas.gov/NPILookup?Npi=1760845804","1760845804")</f>
        <v>1760845804</v>
      </c>
      <c r="D3318" s="36" t="s">
        <v>35873</v>
      </c>
      <c r="E3318" s="36" t="s">
        <v>1</v>
      </c>
      <c r="F3318" s="36">
        <v>1</v>
      </c>
      <c r="G3318" s="36">
        <v>3</v>
      </c>
      <c r="H3318" s="36">
        <v>0</v>
      </c>
      <c r="I3318" s="37">
        <v>0</v>
      </c>
      <c r="J3318" s="36" t="s">
        <v>34836</v>
      </c>
      <c r="K3318" s="36" t="s">
        <v>14330</v>
      </c>
      <c r="L3318" s="36" t="s">
        <v>14330</v>
      </c>
      <c r="M3318">
        <v>3</v>
      </c>
      <c r="N3318" t="s">
        <v>14331</v>
      </c>
      <c r="O3318" t="s">
        <v>32633</v>
      </c>
    </row>
    <row r="3319" spans="1:15" x14ac:dyDescent="0.25">
      <c r="A3319" s="35" t="s">
        <v>7328</v>
      </c>
      <c r="B3319" s="36" t="s">
        <v>7329</v>
      </c>
      <c r="C3319" s="36" t="str">
        <f>HYPERLINK("https://rhld.insurance.arkansas.gov/NPILookup?Npi=1760902605","1760902605")</f>
        <v>1760902605</v>
      </c>
      <c r="D3319" s="36" t="s">
        <v>35874</v>
      </c>
      <c r="E3319" s="36" t="s">
        <v>1</v>
      </c>
      <c r="F3319" s="36">
        <v>1</v>
      </c>
      <c r="G3319" s="36">
        <v>3</v>
      </c>
      <c r="H3319" s="36">
        <v>0</v>
      </c>
      <c r="I3319" s="37">
        <v>0</v>
      </c>
      <c r="J3319" s="36" t="s">
        <v>32654</v>
      </c>
      <c r="K3319" s="36" t="s">
        <v>14330</v>
      </c>
      <c r="L3319" s="36" t="s">
        <v>14330</v>
      </c>
      <c r="M3319">
        <v>2</v>
      </c>
      <c r="N3319" t="s">
        <v>14331</v>
      </c>
      <c r="O3319" t="s">
        <v>32633</v>
      </c>
    </row>
    <row r="3320" spans="1:15" x14ac:dyDescent="0.25">
      <c r="A3320" s="35" t="s">
        <v>7328</v>
      </c>
      <c r="B3320" s="36" t="s">
        <v>7329</v>
      </c>
      <c r="C3320" s="36" t="str">
        <f>HYPERLINK("https://rhld.insurance.arkansas.gov/NPILookup?Npi=1760915169","1760915169")</f>
        <v>1760915169</v>
      </c>
      <c r="D3320" s="36" t="s">
        <v>35875</v>
      </c>
      <c r="E3320" s="36" t="s">
        <v>1</v>
      </c>
      <c r="F3320" s="36">
        <v>1</v>
      </c>
      <c r="G3320" s="36">
        <v>2</v>
      </c>
      <c r="H3320" s="36">
        <v>0</v>
      </c>
      <c r="I3320" s="37">
        <v>0</v>
      </c>
      <c r="J3320" s="36" t="s">
        <v>34836</v>
      </c>
      <c r="K3320" s="36" t="s">
        <v>14330</v>
      </c>
      <c r="L3320" s="36" t="s">
        <v>14330</v>
      </c>
      <c r="M3320">
        <v>2</v>
      </c>
      <c r="N3320" t="s">
        <v>14331</v>
      </c>
      <c r="O3320" t="s">
        <v>32633</v>
      </c>
    </row>
    <row r="3321" spans="1:15" x14ac:dyDescent="0.25">
      <c r="A3321" s="35" t="s">
        <v>7328</v>
      </c>
      <c r="B3321" s="36" t="s">
        <v>7329</v>
      </c>
      <c r="C3321" s="36" t="str">
        <f>HYPERLINK("https://rhld.insurance.arkansas.gov/NPILookup?Npi=1760964829","1760964829")</f>
        <v>1760964829</v>
      </c>
      <c r="D3321" s="36" t="s">
        <v>35876</v>
      </c>
      <c r="E3321" s="36" t="s">
        <v>2</v>
      </c>
      <c r="F3321" s="36">
        <v>2</v>
      </c>
      <c r="G3321" s="36">
        <v>2</v>
      </c>
      <c r="H3321" s="36">
        <v>0</v>
      </c>
      <c r="I3321" s="37">
        <v>0</v>
      </c>
      <c r="J3321" s="36" t="s">
        <v>33004</v>
      </c>
      <c r="K3321" s="36" t="s">
        <v>14330</v>
      </c>
      <c r="L3321" s="36" t="s">
        <v>14330</v>
      </c>
      <c r="M3321">
        <v>2</v>
      </c>
      <c r="N3321" t="s">
        <v>14331</v>
      </c>
      <c r="O3321" t="s">
        <v>14333</v>
      </c>
    </row>
    <row r="3322" spans="1:15" x14ac:dyDescent="0.25">
      <c r="A3322" s="35" t="s">
        <v>7328</v>
      </c>
      <c r="B3322" s="36" t="s">
        <v>7329</v>
      </c>
      <c r="C3322" s="36" t="str">
        <f>HYPERLINK("https://rhld.insurance.arkansas.gov/NPILookup?Npi=1760989883","1760989883")</f>
        <v>1760989883</v>
      </c>
      <c r="D3322" s="36" t="s">
        <v>35877</v>
      </c>
      <c r="E3322" s="36" t="s">
        <v>1</v>
      </c>
      <c r="F3322" s="36">
        <v>1</v>
      </c>
      <c r="G3322" s="36">
        <v>2</v>
      </c>
      <c r="H3322" s="36">
        <v>0</v>
      </c>
      <c r="I3322" s="37">
        <v>0</v>
      </c>
      <c r="J3322" s="36" t="s">
        <v>34836</v>
      </c>
      <c r="K3322" s="36" t="s">
        <v>14330</v>
      </c>
      <c r="L3322" s="36" t="s">
        <v>14330</v>
      </c>
      <c r="M3322">
        <v>2</v>
      </c>
      <c r="N3322" t="s">
        <v>14331</v>
      </c>
      <c r="O3322" t="s">
        <v>32633</v>
      </c>
    </row>
    <row r="3323" spans="1:15" x14ac:dyDescent="0.25">
      <c r="A3323" s="35" t="s">
        <v>7328</v>
      </c>
      <c r="B3323" s="36" t="s">
        <v>7329</v>
      </c>
      <c r="C3323" s="36" t="str">
        <f>HYPERLINK("https://rhld.insurance.arkansas.gov/NPILookup?Npi=1770136202","1770136202")</f>
        <v>1770136202</v>
      </c>
      <c r="D3323" s="36" t="s">
        <v>35878</v>
      </c>
      <c r="E3323" s="36" t="s">
        <v>2</v>
      </c>
      <c r="F3323" s="36">
        <v>1</v>
      </c>
      <c r="G3323" s="36">
        <v>2</v>
      </c>
      <c r="H3323" s="36">
        <v>0</v>
      </c>
      <c r="I3323" s="37">
        <v>0</v>
      </c>
      <c r="J3323" s="36"/>
      <c r="K3323" s="36" t="s">
        <v>14330</v>
      </c>
      <c r="L3323" s="36" t="s">
        <v>14330</v>
      </c>
      <c r="M3323">
        <v>1</v>
      </c>
      <c r="N3323" t="s">
        <v>14331</v>
      </c>
      <c r="O3323" t="s">
        <v>14333</v>
      </c>
    </row>
    <row r="3324" spans="1:15" x14ac:dyDescent="0.25">
      <c r="A3324" s="35" t="s">
        <v>7328</v>
      </c>
      <c r="B3324" s="36" t="s">
        <v>7329</v>
      </c>
      <c r="C3324" s="36" t="str">
        <f>HYPERLINK("https://rhld.insurance.arkansas.gov/NPILookup?Npi=1770153538","1770153538")</f>
        <v>1770153538</v>
      </c>
      <c r="D3324" s="36" t="s">
        <v>35879</v>
      </c>
      <c r="E3324" s="36" t="s">
        <v>2</v>
      </c>
      <c r="F3324" s="36">
        <v>1</v>
      </c>
      <c r="G3324" s="36">
        <v>1</v>
      </c>
      <c r="H3324" s="36">
        <v>0</v>
      </c>
      <c r="I3324" s="37">
        <v>0</v>
      </c>
      <c r="J3324" s="36"/>
      <c r="K3324" s="36" t="s">
        <v>14330</v>
      </c>
      <c r="L3324" s="36" t="s">
        <v>14330</v>
      </c>
      <c r="M3324">
        <v>1</v>
      </c>
      <c r="N3324" t="s">
        <v>14331</v>
      </c>
      <c r="O3324" t="s">
        <v>32633</v>
      </c>
    </row>
    <row r="3325" spans="1:15" x14ac:dyDescent="0.25">
      <c r="A3325" s="35" t="s">
        <v>7328</v>
      </c>
      <c r="B3325" s="36" t="s">
        <v>7329</v>
      </c>
      <c r="C3325" s="36" t="str">
        <f>HYPERLINK("https://rhld.insurance.arkansas.gov/NPILookup?Npi=1770165706","1770165706")</f>
        <v>1770165706</v>
      </c>
      <c r="D3325" s="36" t="s">
        <v>35880</v>
      </c>
      <c r="E3325" s="36" t="s">
        <v>2</v>
      </c>
      <c r="F3325" s="36">
        <v>1</v>
      </c>
      <c r="G3325" s="36">
        <v>1</v>
      </c>
      <c r="H3325" s="36">
        <v>0</v>
      </c>
      <c r="I3325" s="37">
        <v>0</v>
      </c>
      <c r="J3325" s="36"/>
      <c r="K3325" s="36" t="s">
        <v>14330</v>
      </c>
      <c r="L3325" s="36" t="s">
        <v>14330</v>
      </c>
      <c r="M3325">
        <v>1</v>
      </c>
      <c r="N3325" t="s">
        <v>14331</v>
      </c>
      <c r="O3325" t="s">
        <v>32633</v>
      </c>
    </row>
    <row r="3326" spans="1:15" x14ac:dyDescent="0.25">
      <c r="A3326" s="35" t="s">
        <v>7328</v>
      </c>
      <c r="B3326" s="36" t="s">
        <v>7329</v>
      </c>
      <c r="C3326" s="36" t="str">
        <f>HYPERLINK("https://rhld.insurance.arkansas.gov/NPILookup?Npi=1770185068","1770185068")</f>
        <v>1770185068</v>
      </c>
      <c r="D3326" s="36" t="s">
        <v>35881</v>
      </c>
      <c r="E3326" s="36" t="s">
        <v>2</v>
      </c>
      <c r="F3326" s="36">
        <v>1</v>
      </c>
      <c r="G3326" s="36">
        <v>1</v>
      </c>
      <c r="H3326" s="36">
        <v>0</v>
      </c>
      <c r="I3326" s="37">
        <v>0</v>
      </c>
      <c r="J3326" s="36"/>
      <c r="K3326" s="36" t="s">
        <v>14330</v>
      </c>
      <c r="L3326" s="36" t="s">
        <v>14330</v>
      </c>
      <c r="M3326">
        <v>2</v>
      </c>
      <c r="N3326" t="s">
        <v>14331</v>
      </c>
      <c r="O3326" t="s">
        <v>32633</v>
      </c>
    </row>
    <row r="3327" spans="1:15" x14ac:dyDescent="0.25">
      <c r="A3327" s="35" t="s">
        <v>7328</v>
      </c>
      <c r="B3327" s="36" t="s">
        <v>7329</v>
      </c>
      <c r="C3327" s="36" t="str">
        <f>HYPERLINK("https://rhld.insurance.arkansas.gov/NPILookup?Npi=1770216202","1770216202")</f>
        <v>1770216202</v>
      </c>
      <c r="D3327" s="36" t="s">
        <v>35882</v>
      </c>
      <c r="E3327" s="36" t="s">
        <v>1</v>
      </c>
      <c r="F3327" s="36">
        <v>1</v>
      </c>
      <c r="G3327" s="36">
        <v>2</v>
      </c>
      <c r="H3327" s="36">
        <v>0</v>
      </c>
      <c r="I3327" s="37">
        <v>0</v>
      </c>
      <c r="J3327" s="36" t="s">
        <v>32654</v>
      </c>
      <c r="K3327" s="36" t="s">
        <v>14330</v>
      </c>
      <c r="L3327" s="36" t="s">
        <v>14330</v>
      </c>
      <c r="M3327">
        <v>2</v>
      </c>
      <c r="N3327" t="s">
        <v>14331</v>
      </c>
      <c r="O3327" t="s">
        <v>32633</v>
      </c>
    </row>
    <row r="3328" spans="1:15" x14ac:dyDescent="0.25">
      <c r="A3328" s="35" t="s">
        <v>7328</v>
      </c>
      <c r="B3328" s="36" t="s">
        <v>7329</v>
      </c>
      <c r="C3328" s="36" t="str">
        <f>HYPERLINK("https://rhld.insurance.arkansas.gov/NPILookup?Npi=1770228330","1770228330")</f>
        <v>1770228330</v>
      </c>
      <c r="D3328" s="36" t="s">
        <v>35883</v>
      </c>
      <c r="E3328" s="36" t="s">
        <v>2</v>
      </c>
      <c r="F3328" s="36">
        <v>1</v>
      </c>
      <c r="G3328" s="36">
        <v>2</v>
      </c>
      <c r="H3328" s="36">
        <v>0</v>
      </c>
      <c r="I3328" s="37">
        <v>0</v>
      </c>
      <c r="J3328" s="36"/>
      <c r="K3328" s="36" t="s">
        <v>14330</v>
      </c>
      <c r="L3328" s="36" t="s">
        <v>14330</v>
      </c>
      <c r="M3328">
        <v>2</v>
      </c>
      <c r="N3328" t="s">
        <v>14331</v>
      </c>
      <c r="O3328" t="s">
        <v>14333</v>
      </c>
    </row>
    <row r="3329" spans="1:15" x14ac:dyDescent="0.25">
      <c r="A3329" s="35" t="s">
        <v>7328</v>
      </c>
      <c r="B3329" s="36" t="s">
        <v>7329</v>
      </c>
      <c r="C3329" s="36" t="str">
        <f>HYPERLINK("https://rhld.insurance.arkansas.gov/NPILookup?Npi=1770537367","1770537367")</f>
        <v>1770537367</v>
      </c>
      <c r="D3329" s="36" t="s">
        <v>35884</v>
      </c>
      <c r="E3329" s="36" t="s">
        <v>1</v>
      </c>
      <c r="F3329" s="36">
        <v>1</v>
      </c>
      <c r="G3329" s="36">
        <v>2</v>
      </c>
      <c r="H3329" s="36">
        <v>0</v>
      </c>
      <c r="I3329" s="37">
        <v>0</v>
      </c>
      <c r="J3329" s="36" t="s">
        <v>34836</v>
      </c>
      <c r="K3329" s="36" t="s">
        <v>14330</v>
      </c>
      <c r="L3329" s="36" t="s">
        <v>14330</v>
      </c>
      <c r="M3329">
        <v>3</v>
      </c>
      <c r="N3329" t="s">
        <v>14331</v>
      </c>
      <c r="O3329" t="s">
        <v>32633</v>
      </c>
    </row>
    <row r="3330" spans="1:15" x14ac:dyDescent="0.25">
      <c r="A3330" s="35" t="s">
        <v>7328</v>
      </c>
      <c r="B3330" s="36" t="s">
        <v>7329</v>
      </c>
      <c r="C3330" s="36" t="str">
        <f>HYPERLINK("https://rhld.insurance.arkansas.gov/NPILookup?Npi=1770581662","1770581662")</f>
        <v>1770581662</v>
      </c>
      <c r="D3330" s="36" t="s">
        <v>35885</v>
      </c>
      <c r="E3330" s="36" t="s">
        <v>1</v>
      </c>
      <c r="F3330" s="36">
        <v>1</v>
      </c>
      <c r="G3330" s="36">
        <v>3</v>
      </c>
      <c r="H3330" s="36">
        <v>0</v>
      </c>
      <c r="I3330" s="37">
        <v>0</v>
      </c>
      <c r="J3330" s="36" t="s">
        <v>34836</v>
      </c>
      <c r="K3330" s="36" t="s">
        <v>14330</v>
      </c>
      <c r="L3330" s="36" t="s">
        <v>14330</v>
      </c>
      <c r="M3330">
        <v>3</v>
      </c>
      <c r="N3330" t="s">
        <v>14331</v>
      </c>
      <c r="O3330" t="s">
        <v>32633</v>
      </c>
    </row>
    <row r="3331" spans="1:15" x14ac:dyDescent="0.25">
      <c r="A3331" s="35" t="s">
        <v>7328</v>
      </c>
      <c r="B3331" s="36" t="s">
        <v>7329</v>
      </c>
      <c r="C3331" s="36" t="str">
        <f>HYPERLINK("https://rhld.insurance.arkansas.gov/NPILookup?Npi=1770593436","1770593436")</f>
        <v>1770593436</v>
      </c>
      <c r="D3331" s="36" t="s">
        <v>33371</v>
      </c>
      <c r="E3331" s="36" t="s">
        <v>1</v>
      </c>
      <c r="F3331" s="36">
        <v>1</v>
      </c>
      <c r="G3331" s="36">
        <v>3</v>
      </c>
      <c r="H3331" s="36">
        <v>0</v>
      </c>
      <c r="I3331" s="37">
        <v>0</v>
      </c>
      <c r="J3331" s="36" t="s">
        <v>34836</v>
      </c>
      <c r="K3331" s="36" t="s">
        <v>14330</v>
      </c>
      <c r="L3331" s="36" t="s">
        <v>14330</v>
      </c>
      <c r="M3331">
        <v>2</v>
      </c>
      <c r="N3331" t="s">
        <v>14331</v>
      </c>
      <c r="O3331" t="s">
        <v>32633</v>
      </c>
    </row>
    <row r="3332" spans="1:15" x14ac:dyDescent="0.25">
      <c r="A3332" s="35" t="s">
        <v>7328</v>
      </c>
      <c r="B3332" s="36" t="s">
        <v>7329</v>
      </c>
      <c r="C3332" s="36" t="str">
        <f>HYPERLINK("https://rhld.insurance.arkansas.gov/NPILookup?Npi=1770635047","1770635047")</f>
        <v>1770635047</v>
      </c>
      <c r="D3332" s="36" t="s">
        <v>35886</v>
      </c>
      <c r="E3332" s="36" t="s">
        <v>1</v>
      </c>
      <c r="F3332" s="36">
        <v>1</v>
      </c>
      <c r="G3332" s="36">
        <v>2</v>
      </c>
      <c r="H3332" s="36">
        <v>0</v>
      </c>
      <c r="I3332" s="37">
        <v>0</v>
      </c>
      <c r="J3332" s="36" t="s">
        <v>34836</v>
      </c>
      <c r="K3332" s="36" t="s">
        <v>14330</v>
      </c>
      <c r="L3332" s="36" t="s">
        <v>14330</v>
      </c>
      <c r="M3332">
        <v>3</v>
      </c>
      <c r="N3332" t="s">
        <v>14331</v>
      </c>
      <c r="O3332" t="s">
        <v>32633</v>
      </c>
    </row>
    <row r="3333" spans="1:15" x14ac:dyDescent="0.25">
      <c r="A3333" s="35" t="s">
        <v>7328</v>
      </c>
      <c r="B3333" s="36" t="s">
        <v>7329</v>
      </c>
      <c r="C3333" s="36" t="str">
        <f>HYPERLINK("https://rhld.insurance.arkansas.gov/NPILookup?Npi=1770808396","1770808396")</f>
        <v>1770808396</v>
      </c>
      <c r="D3333" s="36" t="s">
        <v>35887</v>
      </c>
      <c r="E3333" s="36" t="s">
        <v>1</v>
      </c>
      <c r="F3333" s="36">
        <v>1</v>
      </c>
      <c r="G3333" s="36">
        <v>3</v>
      </c>
      <c r="H3333" s="36">
        <v>0</v>
      </c>
      <c r="I3333" s="37">
        <v>0</v>
      </c>
      <c r="J3333" s="36" t="s">
        <v>34836</v>
      </c>
      <c r="K3333" s="36" t="s">
        <v>14330</v>
      </c>
      <c r="L3333" s="36" t="s">
        <v>14330</v>
      </c>
      <c r="M3333">
        <v>3</v>
      </c>
      <c r="N3333" t="s">
        <v>14331</v>
      </c>
      <c r="O3333" t="s">
        <v>32633</v>
      </c>
    </row>
    <row r="3334" spans="1:15" x14ac:dyDescent="0.25">
      <c r="A3334" s="35" t="s">
        <v>7328</v>
      </c>
      <c r="B3334" s="36" t="s">
        <v>7329</v>
      </c>
      <c r="C3334" s="36" t="str">
        <f>HYPERLINK("https://rhld.insurance.arkansas.gov/NPILookup?Npi=1770891970","1770891970")</f>
        <v>1770891970</v>
      </c>
      <c r="D3334" s="36" t="s">
        <v>35888</v>
      </c>
      <c r="E3334" s="36" t="s">
        <v>1</v>
      </c>
      <c r="F3334" s="36">
        <v>1</v>
      </c>
      <c r="G3334" s="36">
        <v>3</v>
      </c>
      <c r="H3334" s="36">
        <v>0</v>
      </c>
      <c r="I3334" s="37">
        <v>0</v>
      </c>
      <c r="J3334" s="36" t="s">
        <v>34836</v>
      </c>
      <c r="K3334" s="36" t="s">
        <v>14330</v>
      </c>
      <c r="L3334" s="36" t="s">
        <v>14330</v>
      </c>
      <c r="M3334">
        <v>3</v>
      </c>
      <c r="N3334" t="s">
        <v>14331</v>
      </c>
      <c r="O3334" t="s">
        <v>32633</v>
      </c>
    </row>
    <row r="3335" spans="1:15" x14ac:dyDescent="0.25">
      <c r="A3335" s="35" t="s">
        <v>7328</v>
      </c>
      <c r="B3335" s="36" t="s">
        <v>7329</v>
      </c>
      <c r="C3335" s="36" t="str">
        <f>HYPERLINK("https://rhld.insurance.arkansas.gov/NPILookup?Npi=1770903882","1770903882")</f>
        <v>1770903882</v>
      </c>
      <c r="D3335" s="36" t="s">
        <v>33373</v>
      </c>
      <c r="E3335" s="36" t="s">
        <v>1</v>
      </c>
      <c r="F3335" s="36">
        <v>1</v>
      </c>
      <c r="G3335" s="36">
        <v>3</v>
      </c>
      <c r="H3335" s="36">
        <v>0</v>
      </c>
      <c r="I3335" s="37">
        <v>0</v>
      </c>
      <c r="J3335" s="36" t="s">
        <v>34836</v>
      </c>
      <c r="K3335" s="36" t="s">
        <v>14330</v>
      </c>
      <c r="L3335" s="36" t="s">
        <v>14330</v>
      </c>
      <c r="M3335">
        <v>2</v>
      </c>
      <c r="N3335" t="s">
        <v>14331</v>
      </c>
      <c r="O3335" t="s">
        <v>32633</v>
      </c>
    </row>
    <row r="3336" spans="1:15" x14ac:dyDescent="0.25">
      <c r="A3336" s="35" t="s">
        <v>7328</v>
      </c>
      <c r="B3336" s="36" t="s">
        <v>7329</v>
      </c>
      <c r="C3336" s="36" t="str">
        <f>HYPERLINK("https://rhld.insurance.arkansas.gov/NPILookup?Npi=1770941171","1770941171")</f>
        <v>1770941171</v>
      </c>
      <c r="D3336" s="36" t="s">
        <v>35889</v>
      </c>
      <c r="E3336" s="36" t="s">
        <v>2</v>
      </c>
      <c r="F3336" s="36">
        <v>2</v>
      </c>
      <c r="G3336" s="36">
        <v>2</v>
      </c>
      <c r="H3336" s="36">
        <v>0</v>
      </c>
      <c r="I3336" s="37">
        <v>0</v>
      </c>
      <c r="J3336" s="36" t="s">
        <v>33004</v>
      </c>
      <c r="K3336" s="36" t="s">
        <v>14330</v>
      </c>
      <c r="L3336" s="36" t="s">
        <v>14330</v>
      </c>
      <c r="M3336">
        <v>1</v>
      </c>
      <c r="N3336" t="s">
        <v>14331</v>
      </c>
      <c r="O3336" t="s">
        <v>14333</v>
      </c>
    </row>
    <row r="3337" spans="1:15" x14ac:dyDescent="0.25">
      <c r="A3337" s="35" t="s">
        <v>7328</v>
      </c>
      <c r="B3337" s="36" t="s">
        <v>7329</v>
      </c>
      <c r="C3337" s="36" t="str">
        <f>HYPERLINK("https://rhld.insurance.arkansas.gov/NPILookup?Npi=1770978199","1770978199")</f>
        <v>1770978199</v>
      </c>
      <c r="D3337" s="36" t="s">
        <v>35890</v>
      </c>
      <c r="E3337" s="36" t="s">
        <v>1</v>
      </c>
      <c r="F3337" s="36">
        <v>1</v>
      </c>
      <c r="G3337" s="36">
        <v>2</v>
      </c>
      <c r="H3337" s="36">
        <v>1</v>
      </c>
      <c r="I3337" s="37">
        <v>0</v>
      </c>
      <c r="J3337" s="36" t="s">
        <v>32654</v>
      </c>
      <c r="K3337" s="36" t="s">
        <v>14330</v>
      </c>
      <c r="L3337" s="36" t="s">
        <v>35563</v>
      </c>
      <c r="M3337">
        <v>2</v>
      </c>
      <c r="N3337" t="s">
        <v>14332</v>
      </c>
      <c r="O3337" t="s">
        <v>32591</v>
      </c>
    </row>
    <row r="3338" spans="1:15" x14ac:dyDescent="0.25">
      <c r="A3338" s="35" t="s">
        <v>7328</v>
      </c>
      <c r="B3338" s="36" t="s">
        <v>7329</v>
      </c>
      <c r="C3338" s="36" t="str">
        <f>HYPERLINK("https://rhld.insurance.arkansas.gov/NPILookup?Npi=1780099598","1780099598")</f>
        <v>1780099598</v>
      </c>
      <c r="D3338" s="36" t="s">
        <v>34790</v>
      </c>
      <c r="E3338" s="36" t="s">
        <v>2</v>
      </c>
      <c r="F3338" s="36">
        <v>1</v>
      </c>
      <c r="G3338" s="36">
        <v>2</v>
      </c>
      <c r="H3338" s="36">
        <v>0</v>
      </c>
      <c r="I3338" s="37">
        <v>0</v>
      </c>
      <c r="J3338" s="36"/>
      <c r="K3338" s="36" t="s">
        <v>14330</v>
      </c>
      <c r="L3338" s="36" t="s">
        <v>14330</v>
      </c>
      <c r="M3338">
        <v>2</v>
      </c>
      <c r="N3338" t="s">
        <v>14331</v>
      </c>
      <c r="O3338" t="s">
        <v>14333</v>
      </c>
    </row>
    <row r="3339" spans="1:15" x14ac:dyDescent="0.25">
      <c r="A3339" s="35" t="s">
        <v>7328</v>
      </c>
      <c r="B3339" s="36" t="s">
        <v>7329</v>
      </c>
      <c r="C3339" s="36" t="str">
        <f>HYPERLINK("https://rhld.insurance.arkansas.gov/NPILookup?Npi=1780107219","1780107219")</f>
        <v>1780107219</v>
      </c>
      <c r="D3339" s="36" t="s">
        <v>35891</v>
      </c>
      <c r="E3339" s="36" t="s">
        <v>2</v>
      </c>
      <c r="F3339" s="36">
        <v>1</v>
      </c>
      <c r="G3339" s="36">
        <v>2</v>
      </c>
      <c r="H3339" s="36">
        <v>0</v>
      </c>
      <c r="I3339" s="37">
        <v>0</v>
      </c>
      <c r="J3339" s="36"/>
      <c r="K3339" s="36" t="s">
        <v>14330</v>
      </c>
      <c r="L3339" s="36" t="s">
        <v>14330</v>
      </c>
      <c r="M3339">
        <v>0</v>
      </c>
      <c r="N3339" t="s">
        <v>14331</v>
      </c>
      <c r="O3339" t="s">
        <v>14333</v>
      </c>
    </row>
    <row r="3340" spans="1:15" x14ac:dyDescent="0.25">
      <c r="A3340" s="35" t="s">
        <v>7328</v>
      </c>
      <c r="B3340" s="36" t="s">
        <v>7329</v>
      </c>
      <c r="C3340" s="36" t="str">
        <f>HYPERLINK("https://rhld.insurance.arkansas.gov/NPILookup?Npi=1780215640","1780215640")</f>
        <v>1780215640</v>
      </c>
      <c r="D3340" s="36" t="s">
        <v>35892</v>
      </c>
      <c r="E3340" s="36" t="s">
        <v>1</v>
      </c>
      <c r="F3340" s="36">
        <v>1</v>
      </c>
      <c r="G3340" s="36">
        <v>0</v>
      </c>
      <c r="H3340" s="36">
        <v>0</v>
      </c>
      <c r="I3340" s="37">
        <v>0</v>
      </c>
      <c r="J3340" s="36" t="s">
        <v>32654</v>
      </c>
      <c r="K3340" s="36" t="s">
        <v>14330</v>
      </c>
      <c r="L3340" s="36" t="s">
        <v>14330</v>
      </c>
      <c r="M3340">
        <v>2</v>
      </c>
      <c r="N3340" t="s">
        <v>14331</v>
      </c>
      <c r="O3340" t="s">
        <v>32633</v>
      </c>
    </row>
    <row r="3341" spans="1:15" x14ac:dyDescent="0.25">
      <c r="A3341" s="35" t="s">
        <v>7328</v>
      </c>
      <c r="B3341" s="36" t="s">
        <v>7329</v>
      </c>
      <c r="C3341" s="36" t="str">
        <f>HYPERLINK("https://rhld.insurance.arkansas.gov/NPILookup?Npi=1780348474","1780348474")</f>
        <v>1780348474</v>
      </c>
      <c r="D3341" s="36" t="s">
        <v>35893</v>
      </c>
      <c r="E3341" s="36" t="s">
        <v>1</v>
      </c>
      <c r="F3341" s="36">
        <v>1</v>
      </c>
      <c r="G3341" s="36">
        <v>2</v>
      </c>
      <c r="H3341" s="36">
        <v>0</v>
      </c>
      <c r="I3341" s="37">
        <v>0</v>
      </c>
      <c r="J3341" s="36" t="s">
        <v>32654</v>
      </c>
      <c r="K3341" s="36" t="s">
        <v>14330</v>
      </c>
      <c r="L3341" s="36" t="s">
        <v>14330</v>
      </c>
      <c r="M3341">
        <v>2</v>
      </c>
      <c r="N3341" t="s">
        <v>14331</v>
      </c>
      <c r="O3341" t="s">
        <v>32633</v>
      </c>
    </row>
    <row r="3342" spans="1:15" x14ac:dyDescent="0.25">
      <c r="A3342" s="35" t="s">
        <v>7328</v>
      </c>
      <c r="B3342" s="36" t="s">
        <v>7329</v>
      </c>
      <c r="C3342" s="36" t="str">
        <f>HYPERLINK("https://rhld.insurance.arkansas.gov/NPILookup?Npi=1780486530","1780486530")</f>
        <v>1780486530</v>
      </c>
      <c r="D3342" s="36" t="s">
        <v>35894</v>
      </c>
      <c r="E3342" s="36" t="s">
        <v>2</v>
      </c>
      <c r="F3342" s="36">
        <v>1</v>
      </c>
      <c r="G3342" s="36">
        <v>2</v>
      </c>
      <c r="H3342" s="36">
        <v>0</v>
      </c>
      <c r="I3342" s="37">
        <v>0</v>
      </c>
      <c r="J3342" s="36"/>
      <c r="K3342" s="36" t="s">
        <v>14330</v>
      </c>
      <c r="L3342" s="36" t="s">
        <v>14330</v>
      </c>
      <c r="M3342">
        <v>2</v>
      </c>
      <c r="N3342" t="s">
        <v>14331</v>
      </c>
      <c r="O3342" t="s">
        <v>14333</v>
      </c>
    </row>
    <row r="3343" spans="1:15" x14ac:dyDescent="0.25">
      <c r="A3343" s="35" t="s">
        <v>7328</v>
      </c>
      <c r="B3343" s="36" t="s">
        <v>7329</v>
      </c>
      <c r="C3343" s="36" t="str">
        <f>HYPERLINK("https://rhld.insurance.arkansas.gov/NPILookup?Npi=1780633966","1780633966")</f>
        <v>1780633966</v>
      </c>
      <c r="D3343" s="36" t="s">
        <v>35895</v>
      </c>
      <c r="E3343" s="36" t="s">
        <v>1</v>
      </c>
      <c r="F3343" s="36">
        <v>1</v>
      </c>
      <c r="G3343" s="36">
        <v>2</v>
      </c>
      <c r="H3343" s="36">
        <v>0</v>
      </c>
      <c r="I3343" s="37">
        <v>0</v>
      </c>
      <c r="J3343" s="36" t="s">
        <v>14335</v>
      </c>
      <c r="K3343" s="36" t="s">
        <v>14330</v>
      </c>
      <c r="L3343" s="36" t="s">
        <v>14330</v>
      </c>
      <c r="M3343">
        <v>2</v>
      </c>
      <c r="N3343" t="s">
        <v>14331</v>
      </c>
      <c r="O3343" t="s">
        <v>32633</v>
      </c>
    </row>
    <row r="3344" spans="1:15" x14ac:dyDescent="0.25">
      <c r="A3344" s="35" t="s">
        <v>7328</v>
      </c>
      <c r="B3344" s="36" t="s">
        <v>7329</v>
      </c>
      <c r="C3344" s="36" t="str">
        <f>HYPERLINK("https://rhld.insurance.arkansas.gov/NPILookup?Npi=1780652073","1780652073")</f>
        <v>1780652073</v>
      </c>
      <c r="D3344" s="36" t="s">
        <v>35896</v>
      </c>
      <c r="E3344" s="36" t="s">
        <v>1</v>
      </c>
      <c r="F3344" s="36">
        <v>1</v>
      </c>
      <c r="G3344" s="36">
        <v>2</v>
      </c>
      <c r="H3344" s="36">
        <v>0</v>
      </c>
      <c r="I3344" s="37">
        <v>0</v>
      </c>
      <c r="J3344" s="36" t="s">
        <v>34836</v>
      </c>
      <c r="K3344" s="36" t="s">
        <v>14330</v>
      </c>
      <c r="L3344" s="36" t="s">
        <v>14330</v>
      </c>
      <c r="M3344">
        <v>3</v>
      </c>
      <c r="N3344" t="s">
        <v>14331</v>
      </c>
      <c r="O3344" t="s">
        <v>32633</v>
      </c>
    </row>
    <row r="3345" spans="1:15" x14ac:dyDescent="0.25">
      <c r="A3345" s="35" t="s">
        <v>7328</v>
      </c>
      <c r="B3345" s="36" t="s">
        <v>7329</v>
      </c>
      <c r="C3345" s="36" t="str">
        <f>HYPERLINK("https://rhld.insurance.arkansas.gov/NPILookup?Npi=1780675637","1780675637")</f>
        <v>1780675637</v>
      </c>
      <c r="D3345" s="36" t="s">
        <v>35897</v>
      </c>
      <c r="E3345" s="36" t="s">
        <v>1</v>
      </c>
      <c r="F3345" s="36">
        <v>1</v>
      </c>
      <c r="G3345" s="36">
        <v>3</v>
      </c>
      <c r="H3345" s="36">
        <v>0</v>
      </c>
      <c r="I3345" s="37">
        <v>0</v>
      </c>
      <c r="J3345" s="36" t="s">
        <v>34836</v>
      </c>
      <c r="K3345" s="36" t="s">
        <v>14330</v>
      </c>
      <c r="L3345" s="36" t="s">
        <v>14330</v>
      </c>
      <c r="M3345">
        <v>2</v>
      </c>
      <c r="N3345" t="s">
        <v>14331</v>
      </c>
      <c r="O3345" t="s">
        <v>32633</v>
      </c>
    </row>
    <row r="3346" spans="1:15" x14ac:dyDescent="0.25">
      <c r="A3346" s="35" t="s">
        <v>7328</v>
      </c>
      <c r="B3346" s="36" t="s">
        <v>7329</v>
      </c>
      <c r="C3346" s="36" t="str">
        <f>HYPERLINK("https://rhld.insurance.arkansas.gov/NPILookup?Npi=1780691816","1780691816")</f>
        <v>1780691816</v>
      </c>
      <c r="D3346" s="36" t="s">
        <v>35898</v>
      </c>
      <c r="E3346" s="36" t="s">
        <v>2</v>
      </c>
      <c r="F3346" s="36">
        <v>1</v>
      </c>
      <c r="G3346" s="36">
        <v>2</v>
      </c>
      <c r="H3346" s="36">
        <v>0</v>
      </c>
      <c r="I3346" s="37">
        <v>0</v>
      </c>
      <c r="J3346" s="36" t="s">
        <v>32679</v>
      </c>
      <c r="K3346" s="36" t="s">
        <v>14330</v>
      </c>
      <c r="L3346" s="36" t="s">
        <v>14330</v>
      </c>
      <c r="M3346">
        <v>2</v>
      </c>
      <c r="N3346" t="s">
        <v>14331</v>
      </c>
      <c r="O3346" t="s">
        <v>14333</v>
      </c>
    </row>
    <row r="3347" spans="1:15" x14ac:dyDescent="0.25">
      <c r="A3347" s="35" t="s">
        <v>7328</v>
      </c>
      <c r="B3347" s="36" t="s">
        <v>7329</v>
      </c>
      <c r="C3347" s="36" t="str">
        <f>HYPERLINK("https://rhld.insurance.arkansas.gov/NPILookup?Npi=1780691980","1780691980")</f>
        <v>1780691980</v>
      </c>
      <c r="D3347" s="36" t="s">
        <v>35899</v>
      </c>
      <c r="E3347" s="36" t="s">
        <v>1</v>
      </c>
      <c r="F3347" s="36">
        <v>1</v>
      </c>
      <c r="G3347" s="36">
        <v>2</v>
      </c>
      <c r="H3347" s="36">
        <v>0</v>
      </c>
      <c r="I3347" s="37">
        <v>0</v>
      </c>
      <c r="J3347" s="36" t="s">
        <v>34836</v>
      </c>
      <c r="K3347" s="36" t="s">
        <v>14330</v>
      </c>
      <c r="L3347" s="36" t="s">
        <v>14330</v>
      </c>
      <c r="M3347">
        <v>3</v>
      </c>
      <c r="N3347" t="s">
        <v>14331</v>
      </c>
      <c r="O3347" t="s">
        <v>32633</v>
      </c>
    </row>
    <row r="3348" spans="1:15" x14ac:dyDescent="0.25">
      <c r="A3348" s="35" t="s">
        <v>7328</v>
      </c>
      <c r="B3348" s="36" t="s">
        <v>7329</v>
      </c>
      <c r="C3348" s="36" t="str">
        <f>HYPERLINK("https://rhld.insurance.arkansas.gov/NPILookup?Npi=1780776765","1780776765")</f>
        <v>1780776765</v>
      </c>
      <c r="D3348" s="36" t="s">
        <v>35900</v>
      </c>
      <c r="E3348" s="36" t="s">
        <v>1</v>
      </c>
      <c r="F3348" s="36">
        <v>1</v>
      </c>
      <c r="G3348" s="36">
        <v>3</v>
      </c>
      <c r="H3348" s="36">
        <v>0</v>
      </c>
      <c r="I3348" s="37">
        <v>0</v>
      </c>
      <c r="J3348" s="36" t="s">
        <v>34836</v>
      </c>
      <c r="K3348" s="36" t="s">
        <v>14330</v>
      </c>
      <c r="L3348" s="36" t="s">
        <v>14330</v>
      </c>
      <c r="M3348">
        <v>2</v>
      </c>
      <c r="N3348" t="s">
        <v>14331</v>
      </c>
      <c r="O3348" t="s">
        <v>32633</v>
      </c>
    </row>
    <row r="3349" spans="1:15" x14ac:dyDescent="0.25">
      <c r="A3349" s="35" t="s">
        <v>7328</v>
      </c>
      <c r="B3349" s="36" t="s">
        <v>7329</v>
      </c>
      <c r="C3349" s="36" t="str">
        <f>HYPERLINK("https://rhld.insurance.arkansas.gov/NPILookup?Npi=1780897785","1780897785")</f>
        <v>1780897785</v>
      </c>
      <c r="D3349" s="36" t="s">
        <v>35901</v>
      </c>
      <c r="E3349" s="36" t="s">
        <v>1</v>
      </c>
      <c r="F3349" s="36">
        <v>1</v>
      </c>
      <c r="G3349" s="36">
        <v>2</v>
      </c>
      <c r="H3349" s="36">
        <v>0</v>
      </c>
      <c r="I3349" s="37">
        <v>0</v>
      </c>
      <c r="J3349" s="36" t="s">
        <v>32654</v>
      </c>
      <c r="K3349" s="36" t="s">
        <v>14330</v>
      </c>
      <c r="L3349" s="36" t="s">
        <v>14330</v>
      </c>
      <c r="M3349">
        <v>2</v>
      </c>
      <c r="N3349" t="s">
        <v>14331</v>
      </c>
      <c r="O3349" t="s">
        <v>32633</v>
      </c>
    </row>
    <row r="3350" spans="1:15" x14ac:dyDescent="0.25">
      <c r="A3350" s="35" t="s">
        <v>7328</v>
      </c>
      <c r="B3350" s="36" t="s">
        <v>7329</v>
      </c>
      <c r="C3350" s="36" t="str">
        <f>HYPERLINK("https://rhld.insurance.arkansas.gov/NPILookup?Npi=1780927244","1780927244")</f>
        <v>1780927244</v>
      </c>
      <c r="D3350" s="36" t="s">
        <v>35902</v>
      </c>
      <c r="E3350" s="36" t="s">
        <v>1</v>
      </c>
      <c r="F3350" s="36">
        <v>1</v>
      </c>
      <c r="G3350" s="36">
        <v>2</v>
      </c>
      <c r="H3350" s="36">
        <v>0</v>
      </c>
      <c r="I3350" s="37">
        <v>0</v>
      </c>
      <c r="J3350" s="36" t="s">
        <v>34836</v>
      </c>
      <c r="K3350" s="36" t="s">
        <v>14330</v>
      </c>
      <c r="L3350" s="36" t="s">
        <v>14330</v>
      </c>
      <c r="M3350">
        <v>3</v>
      </c>
      <c r="N3350" t="s">
        <v>14331</v>
      </c>
      <c r="O3350" t="s">
        <v>32633</v>
      </c>
    </row>
    <row r="3351" spans="1:15" x14ac:dyDescent="0.25">
      <c r="A3351" s="35" t="s">
        <v>7328</v>
      </c>
      <c r="B3351" s="36" t="s">
        <v>7329</v>
      </c>
      <c r="C3351" s="36" t="str">
        <f>HYPERLINK("https://rhld.insurance.arkansas.gov/NPILookup?Npi=1780971192","1780971192")</f>
        <v>1780971192</v>
      </c>
      <c r="D3351" s="36" t="s">
        <v>34050</v>
      </c>
      <c r="E3351" s="36" t="s">
        <v>1</v>
      </c>
      <c r="F3351" s="36">
        <v>1</v>
      </c>
      <c r="G3351" s="36">
        <v>3</v>
      </c>
      <c r="H3351" s="36">
        <v>0</v>
      </c>
      <c r="I3351" s="37">
        <v>0</v>
      </c>
      <c r="J3351" s="36" t="s">
        <v>34836</v>
      </c>
      <c r="K3351" s="36" t="s">
        <v>14330</v>
      </c>
      <c r="L3351" s="36" t="s">
        <v>14330</v>
      </c>
      <c r="M3351">
        <v>3</v>
      </c>
      <c r="N3351" t="s">
        <v>14331</v>
      </c>
      <c r="O3351" t="s">
        <v>32633</v>
      </c>
    </row>
    <row r="3352" spans="1:15" x14ac:dyDescent="0.25">
      <c r="A3352" s="35" t="s">
        <v>7328</v>
      </c>
      <c r="B3352" s="36" t="s">
        <v>7329</v>
      </c>
      <c r="C3352" s="36" t="str">
        <f>HYPERLINK("https://rhld.insurance.arkansas.gov/NPILookup?Npi=1780981670","1780981670")</f>
        <v>1780981670</v>
      </c>
      <c r="D3352" s="36" t="s">
        <v>35903</v>
      </c>
      <c r="E3352" s="36" t="s">
        <v>1</v>
      </c>
      <c r="F3352" s="36">
        <v>1</v>
      </c>
      <c r="G3352" s="36">
        <v>3</v>
      </c>
      <c r="H3352" s="36">
        <v>0</v>
      </c>
      <c r="I3352" s="37">
        <v>0</v>
      </c>
      <c r="J3352" s="36" t="s">
        <v>34836</v>
      </c>
      <c r="K3352" s="36" t="s">
        <v>14330</v>
      </c>
      <c r="L3352" s="36" t="s">
        <v>14330</v>
      </c>
      <c r="M3352">
        <v>3</v>
      </c>
      <c r="N3352" t="s">
        <v>14331</v>
      </c>
      <c r="O3352" t="s">
        <v>32633</v>
      </c>
    </row>
    <row r="3353" spans="1:15" x14ac:dyDescent="0.25">
      <c r="A3353" s="35" t="s">
        <v>7328</v>
      </c>
      <c r="B3353" s="36" t="s">
        <v>7329</v>
      </c>
      <c r="C3353" s="36" t="str">
        <f>HYPERLINK("https://rhld.insurance.arkansas.gov/NPILookup?Npi=1790039162","1790039162")</f>
        <v>1790039162</v>
      </c>
      <c r="D3353" s="36" t="s">
        <v>35904</v>
      </c>
      <c r="E3353" s="36" t="s">
        <v>1</v>
      </c>
      <c r="F3353" s="36">
        <v>1</v>
      </c>
      <c r="G3353" s="36">
        <v>3</v>
      </c>
      <c r="H3353" s="36">
        <v>0</v>
      </c>
      <c r="I3353" s="37">
        <v>0</v>
      </c>
      <c r="J3353" s="36" t="s">
        <v>32654</v>
      </c>
      <c r="K3353" s="36" t="s">
        <v>14330</v>
      </c>
      <c r="L3353" s="36" t="s">
        <v>14330</v>
      </c>
      <c r="M3353">
        <v>1</v>
      </c>
      <c r="N3353" t="s">
        <v>14331</v>
      </c>
      <c r="O3353" t="s">
        <v>32633</v>
      </c>
    </row>
    <row r="3354" spans="1:15" x14ac:dyDescent="0.25">
      <c r="A3354" s="35" t="s">
        <v>7328</v>
      </c>
      <c r="B3354" s="36" t="s">
        <v>7329</v>
      </c>
      <c r="C3354" s="36" t="str">
        <f>HYPERLINK("https://rhld.insurance.arkansas.gov/NPILookup?Npi=1790065068","1790065068")</f>
        <v>1790065068</v>
      </c>
      <c r="D3354" s="36" t="s">
        <v>35905</v>
      </c>
      <c r="E3354" s="36" t="s">
        <v>1</v>
      </c>
      <c r="F3354" s="36">
        <v>1</v>
      </c>
      <c r="G3354" s="36">
        <v>1</v>
      </c>
      <c r="H3354" s="36">
        <v>0</v>
      </c>
      <c r="I3354" s="37">
        <v>0</v>
      </c>
      <c r="J3354" s="36" t="s">
        <v>32654</v>
      </c>
      <c r="K3354" s="36" t="s">
        <v>14330</v>
      </c>
      <c r="L3354" s="36" t="s">
        <v>14330</v>
      </c>
      <c r="M3354">
        <v>3</v>
      </c>
      <c r="N3354" t="s">
        <v>14331</v>
      </c>
      <c r="O3354" t="s">
        <v>32633</v>
      </c>
    </row>
    <row r="3355" spans="1:15" x14ac:dyDescent="0.25">
      <c r="A3355" s="35" t="s">
        <v>7328</v>
      </c>
      <c r="B3355" s="36" t="s">
        <v>7329</v>
      </c>
      <c r="C3355" s="36" t="str">
        <f>HYPERLINK("https://rhld.insurance.arkansas.gov/NPILookup?Npi=1790191039","1790191039")</f>
        <v>1790191039</v>
      </c>
      <c r="D3355" s="36" t="s">
        <v>35906</v>
      </c>
      <c r="E3355" s="36" t="s">
        <v>1</v>
      </c>
      <c r="F3355" s="36">
        <v>1</v>
      </c>
      <c r="G3355" s="36">
        <v>3</v>
      </c>
      <c r="H3355" s="36">
        <v>0</v>
      </c>
      <c r="I3355" s="37">
        <v>0</v>
      </c>
      <c r="J3355" s="36" t="s">
        <v>34836</v>
      </c>
      <c r="K3355" s="36" t="s">
        <v>14330</v>
      </c>
      <c r="L3355" s="36" t="s">
        <v>14330</v>
      </c>
      <c r="M3355">
        <v>3</v>
      </c>
      <c r="N3355" t="s">
        <v>14331</v>
      </c>
      <c r="O3355" t="s">
        <v>32633</v>
      </c>
    </row>
    <row r="3356" spans="1:15" x14ac:dyDescent="0.25">
      <c r="A3356" s="35" t="s">
        <v>7328</v>
      </c>
      <c r="B3356" s="36" t="s">
        <v>7329</v>
      </c>
      <c r="C3356" s="36" t="str">
        <f>HYPERLINK("https://rhld.insurance.arkansas.gov/NPILookup?Npi=1790311314","1790311314")</f>
        <v>1790311314</v>
      </c>
      <c r="D3356" s="36" t="s">
        <v>35907</v>
      </c>
      <c r="E3356" s="36" t="s">
        <v>1</v>
      </c>
      <c r="F3356" s="36">
        <v>1</v>
      </c>
      <c r="G3356" s="36">
        <v>3</v>
      </c>
      <c r="H3356" s="36">
        <v>0</v>
      </c>
      <c r="I3356" s="37">
        <v>0</v>
      </c>
      <c r="J3356" s="36" t="s">
        <v>32654</v>
      </c>
      <c r="K3356" s="36" t="s">
        <v>14330</v>
      </c>
      <c r="L3356" s="36" t="s">
        <v>14330</v>
      </c>
      <c r="M3356">
        <v>3</v>
      </c>
      <c r="N3356" t="s">
        <v>14331</v>
      </c>
      <c r="O3356" t="s">
        <v>32633</v>
      </c>
    </row>
    <row r="3357" spans="1:15" x14ac:dyDescent="0.25">
      <c r="A3357" s="35" t="s">
        <v>7328</v>
      </c>
      <c r="B3357" s="36" t="s">
        <v>7329</v>
      </c>
      <c r="C3357" s="36" t="str">
        <f>HYPERLINK("https://rhld.insurance.arkansas.gov/NPILookup?Npi=1790408482","1790408482")</f>
        <v>1790408482</v>
      </c>
      <c r="D3357" s="36" t="s">
        <v>35908</v>
      </c>
      <c r="E3357" s="36" t="s">
        <v>1</v>
      </c>
      <c r="F3357" s="36">
        <v>1</v>
      </c>
      <c r="G3357" s="36">
        <v>3</v>
      </c>
      <c r="H3357" s="36">
        <v>0</v>
      </c>
      <c r="I3357" s="37">
        <v>0</v>
      </c>
      <c r="J3357" s="36" t="s">
        <v>32654</v>
      </c>
      <c r="K3357" s="36" t="s">
        <v>14330</v>
      </c>
      <c r="L3357" s="36" t="s">
        <v>14330</v>
      </c>
      <c r="M3357">
        <v>2</v>
      </c>
      <c r="N3357" t="s">
        <v>14331</v>
      </c>
      <c r="O3357" t="s">
        <v>32633</v>
      </c>
    </row>
    <row r="3358" spans="1:15" x14ac:dyDescent="0.25">
      <c r="A3358" s="35" t="s">
        <v>7328</v>
      </c>
      <c r="B3358" s="36" t="s">
        <v>7329</v>
      </c>
      <c r="C3358" s="36" t="str">
        <f>HYPERLINK("https://rhld.insurance.arkansas.gov/NPILookup?Npi=1790506780","1790506780")</f>
        <v>1790506780</v>
      </c>
      <c r="D3358" s="36" t="s">
        <v>34796</v>
      </c>
      <c r="E3358" s="36" t="s">
        <v>2</v>
      </c>
      <c r="F3358" s="36">
        <v>1</v>
      </c>
      <c r="G3358" s="36">
        <v>2</v>
      </c>
      <c r="H3358" s="36">
        <v>0</v>
      </c>
      <c r="I3358" s="37">
        <v>0</v>
      </c>
      <c r="J3358" s="36"/>
      <c r="K3358" s="36" t="s">
        <v>14330</v>
      </c>
      <c r="L3358" s="36" t="s">
        <v>14330</v>
      </c>
      <c r="M3358">
        <v>2</v>
      </c>
      <c r="N3358" t="s">
        <v>14331</v>
      </c>
      <c r="O3358" t="s">
        <v>14333</v>
      </c>
    </row>
    <row r="3359" spans="1:15" x14ac:dyDescent="0.25">
      <c r="A3359" s="35" t="s">
        <v>7328</v>
      </c>
      <c r="B3359" s="36" t="s">
        <v>7329</v>
      </c>
      <c r="C3359" s="36" t="str">
        <f>HYPERLINK("https://rhld.insurance.arkansas.gov/NPILookup?Npi=1790723534","1790723534")</f>
        <v>1790723534</v>
      </c>
      <c r="D3359" s="36" t="s">
        <v>35909</v>
      </c>
      <c r="E3359" s="36" t="s">
        <v>1</v>
      </c>
      <c r="F3359" s="36">
        <v>1</v>
      </c>
      <c r="G3359" s="36">
        <v>2</v>
      </c>
      <c r="H3359" s="36">
        <v>0</v>
      </c>
      <c r="I3359" s="37">
        <v>0</v>
      </c>
      <c r="J3359" s="36" t="s">
        <v>32723</v>
      </c>
      <c r="K3359" s="36" t="s">
        <v>14330</v>
      </c>
      <c r="L3359" s="36" t="s">
        <v>14330</v>
      </c>
      <c r="M3359">
        <v>2</v>
      </c>
      <c r="N3359" t="s">
        <v>14331</v>
      </c>
      <c r="O3359" t="s">
        <v>32724</v>
      </c>
    </row>
    <row r="3360" spans="1:15" x14ac:dyDescent="0.25">
      <c r="A3360" s="35" t="s">
        <v>7328</v>
      </c>
      <c r="B3360" s="36" t="s">
        <v>7329</v>
      </c>
      <c r="C3360" s="36" t="str">
        <f>HYPERLINK("https://rhld.insurance.arkansas.gov/NPILookup?Npi=1790736445","1790736445")</f>
        <v>1790736445</v>
      </c>
      <c r="D3360" s="36" t="s">
        <v>35910</v>
      </c>
      <c r="E3360" s="36" t="s">
        <v>1</v>
      </c>
      <c r="F3360" s="36">
        <v>1</v>
      </c>
      <c r="G3360" s="36">
        <v>2</v>
      </c>
      <c r="H3360" s="36">
        <v>0</v>
      </c>
      <c r="I3360" s="37">
        <v>0</v>
      </c>
      <c r="J3360" s="36" t="s">
        <v>34836</v>
      </c>
      <c r="K3360" s="36" t="s">
        <v>14330</v>
      </c>
      <c r="L3360" s="36" t="s">
        <v>14330</v>
      </c>
      <c r="M3360">
        <v>2</v>
      </c>
      <c r="N3360" t="s">
        <v>14331</v>
      </c>
      <c r="O3360" t="s">
        <v>32633</v>
      </c>
    </row>
    <row r="3361" spans="1:15" x14ac:dyDescent="0.25">
      <c r="A3361" s="35" t="s">
        <v>7328</v>
      </c>
      <c r="B3361" s="36" t="s">
        <v>7329</v>
      </c>
      <c r="C3361" s="36" t="str">
        <f>HYPERLINK("https://rhld.insurance.arkansas.gov/NPILookup?Npi=1790778991","1790778991")</f>
        <v>1790778991</v>
      </c>
      <c r="D3361" s="36" t="s">
        <v>35911</v>
      </c>
      <c r="E3361" s="36" t="s">
        <v>1</v>
      </c>
      <c r="F3361" s="36">
        <v>1</v>
      </c>
      <c r="G3361" s="36">
        <v>2</v>
      </c>
      <c r="H3361" s="36">
        <v>0</v>
      </c>
      <c r="I3361" s="37">
        <v>0</v>
      </c>
      <c r="J3361" s="36" t="s">
        <v>34836</v>
      </c>
      <c r="K3361" s="36" t="s">
        <v>14330</v>
      </c>
      <c r="L3361" s="36" t="s">
        <v>14330</v>
      </c>
      <c r="M3361">
        <v>2</v>
      </c>
      <c r="N3361" t="s">
        <v>14331</v>
      </c>
      <c r="O3361" t="s">
        <v>32633</v>
      </c>
    </row>
    <row r="3362" spans="1:15" x14ac:dyDescent="0.25">
      <c r="A3362" s="35" t="s">
        <v>7328</v>
      </c>
      <c r="B3362" s="36" t="s">
        <v>7329</v>
      </c>
      <c r="C3362" s="36" t="str">
        <f>HYPERLINK("https://rhld.insurance.arkansas.gov/NPILookup?Npi=1790886109","1790886109")</f>
        <v>1790886109</v>
      </c>
      <c r="D3362" s="36" t="s">
        <v>35912</v>
      </c>
      <c r="E3362" s="36" t="s">
        <v>1</v>
      </c>
      <c r="F3362" s="36">
        <v>1</v>
      </c>
      <c r="G3362" s="36">
        <v>2</v>
      </c>
      <c r="H3362" s="36">
        <v>0</v>
      </c>
      <c r="I3362" s="37">
        <v>0</v>
      </c>
      <c r="J3362" s="36" t="s">
        <v>34836</v>
      </c>
      <c r="K3362" s="36" t="s">
        <v>14330</v>
      </c>
      <c r="L3362" s="36" t="s">
        <v>14330</v>
      </c>
      <c r="M3362">
        <v>2</v>
      </c>
      <c r="N3362" t="s">
        <v>14331</v>
      </c>
      <c r="O3362" t="s">
        <v>32633</v>
      </c>
    </row>
    <row r="3363" spans="1:15" x14ac:dyDescent="0.25">
      <c r="A3363" s="35" t="s">
        <v>7328</v>
      </c>
      <c r="B3363" s="36" t="s">
        <v>7329</v>
      </c>
      <c r="C3363" s="36" t="str">
        <f>HYPERLINK("https://rhld.insurance.arkansas.gov/NPILookup?Npi=1790907418","1790907418")</f>
        <v>1790907418</v>
      </c>
      <c r="D3363" s="36" t="s">
        <v>35913</v>
      </c>
      <c r="E3363" s="36" t="s">
        <v>1</v>
      </c>
      <c r="F3363" s="36">
        <v>1</v>
      </c>
      <c r="G3363" s="36">
        <v>2</v>
      </c>
      <c r="H3363" s="36">
        <v>0</v>
      </c>
      <c r="I3363" s="37">
        <v>0</v>
      </c>
      <c r="J3363" s="36" t="s">
        <v>32723</v>
      </c>
      <c r="K3363" s="36" t="s">
        <v>14330</v>
      </c>
      <c r="L3363" s="36" t="s">
        <v>14330</v>
      </c>
      <c r="M3363">
        <v>3</v>
      </c>
      <c r="N3363" t="s">
        <v>14331</v>
      </c>
      <c r="O3363" t="s">
        <v>32724</v>
      </c>
    </row>
    <row r="3364" spans="1:15" x14ac:dyDescent="0.25">
      <c r="A3364" s="35" t="s">
        <v>7328</v>
      </c>
      <c r="B3364" s="36" t="s">
        <v>7329</v>
      </c>
      <c r="C3364" s="36" t="str">
        <f>HYPERLINK("https://rhld.insurance.arkansas.gov/NPILookup?Npi=1790914372","1790914372")</f>
        <v>1790914372</v>
      </c>
      <c r="D3364" s="36" t="s">
        <v>35914</v>
      </c>
      <c r="E3364" s="36" t="s">
        <v>1</v>
      </c>
      <c r="F3364" s="36">
        <v>1</v>
      </c>
      <c r="G3364" s="36">
        <v>3</v>
      </c>
      <c r="H3364" s="36">
        <v>0</v>
      </c>
      <c r="I3364" s="37">
        <v>0</v>
      </c>
      <c r="J3364" s="36" t="s">
        <v>34836</v>
      </c>
      <c r="K3364" s="36" t="s">
        <v>14330</v>
      </c>
      <c r="L3364" s="36" t="s">
        <v>14330</v>
      </c>
      <c r="M3364">
        <v>3</v>
      </c>
      <c r="N3364" t="s">
        <v>14331</v>
      </c>
      <c r="O3364" t="s">
        <v>32633</v>
      </c>
    </row>
    <row r="3365" spans="1:15" x14ac:dyDescent="0.25">
      <c r="A3365" s="35" t="s">
        <v>7328</v>
      </c>
      <c r="B3365" s="36" t="s">
        <v>7329</v>
      </c>
      <c r="C3365" s="36" t="str">
        <f>HYPERLINK("https://rhld.insurance.arkansas.gov/NPILookup?Npi=1790933513","1790933513")</f>
        <v>1790933513</v>
      </c>
      <c r="D3365" s="36" t="s">
        <v>35915</v>
      </c>
      <c r="E3365" s="36" t="s">
        <v>1</v>
      </c>
      <c r="F3365" s="36">
        <v>1</v>
      </c>
      <c r="G3365" s="36">
        <v>3</v>
      </c>
      <c r="H3365" s="36">
        <v>0</v>
      </c>
      <c r="I3365" s="37">
        <v>0</v>
      </c>
      <c r="J3365" s="36" t="s">
        <v>32654</v>
      </c>
      <c r="K3365" s="36" t="s">
        <v>14330</v>
      </c>
      <c r="L3365" s="36" t="s">
        <v>14330</v>
      </c>
      <c r="M3365">
        <v>2</v>
      </c>
      <c r="N3365" t="s">
        <v>14331</v>
      </c>
      <c r="O3365" t="s">
        <v>32633</v>
      </c>
    </row>
    <row r="3366" spans="1:15" x14ac:dyDescent="0.25">
      <c r="A3366" s="35" t="s">
        <v>7328</v>
      </c>
      <c r="B3366" s="36" t="s">
        <v>7329</v>
      </c>
      <c r="C3366" s="36" t="str">
        <f>HYPERLINK("https://rhld.insurance.arkansas.gov/NPILookup?Npi=1801150214","1801150214")</f>
        <v>1801150214</v>
      </c>
      <c r="D3366" s="36" t="s">
        <v>35916</v>
      </c>
      <c r="E3366" s="36" t="s">
        <v>1</v>
      </c>
      <c r="F3366" s="36">
        <v>1</v>
      </c>
      <c r="G3366" s="36">
        <v>2</v>
      </c>
      <c r="H3366" s="36">
        <v>0</v>
      </c>
      <c r="I3366" s="37">
        <v>0</v>
      </c>
      <c r="J3366" s="36" t="s">
        <v>34836</v>
      </c>
      <c r="K3366" s="36" t="s">
        <v>14330</v>
      </c>
      <c r="L3366" s="36" t="s">
        <v>14330</v>
      </c>
      <c r="M3366">
        <v>1</v>
      </c>
      <c r="N3366" t="s">
        <v>14331</v>
      </c>
      <c r="O3366" t="s">
        <v>32633</v>
      </c>
    </row>
    <row r="3367" spans="1:15" x14ac:dyDescent="0.25">
      <c r="A3367" s="35" t="s">
        <v>7328</v>
      </c>
      <c r="B3367" s="36" t="s">
        <v>7329</v>
      </c>
      <c r="C3367" s="36" t="str">
        <f>HYPERLINK("https://rhld.insurance.arkansas.gov/NPILookup?Npi=1801188248","1801188248")</f>
        <v>1801188248</v>
      </c>
      <c r="D3367" s="36" t="s">
        <v>35917</v>
      </c>
      <c r="E3367" s="36" t="s">
        <v>1</v>
      </c>
      <c r="F3367" s="36">
        <v>1</v>
      </c>
      <c r="G3367" s="36">
        <v>1</v>
      </c>
      <c r="H3367" s="36">
        <v>0</v>
      </c>
      <c r="I3367" s="37">
        <v>0</v>
      </c>
      <c r="J3367" s="36" t="s">
        <v>34836</v>
      </c>
      <c r="K3367" s="36" t="s">
        <v>14330</v>
      </c>
      <c r="L3367" s="36" t="s">
        <v>14330</v>
      </c>
      <c r="M3367">
        <v>2</v>
      </c>
      <c r="N3367" t="s">
        <v>14331</v>
      </c>
      <c r="O3367" t="s">
        <v>32633</v>
      </c>
    </row>
    <row r="3368" spans="1:15" x14ac:dyDescent="0.25">
      <c r="A3368" s="35" t="s">
        <v>7328</v>
      </c>
      <c r="B3368" s="36" t="s">
        <v>7329</v>
      </c>
      <c r="C3368" s="36" t="str">
        <f>HYPERLINK("https://rhld.insurance.arkansas.gov/NPILookup?Npi=1801314760","1801314760")</f>
        <v>1801314760</v>
      </c>
      <c r="D3368" s="36" t="s">
        <v>35918</v>
      </c>
      <c r="E3368" s="36" t="s">
        <v>1</v>
      </c>
      <c r="F3368" s="36">
        <v>1</v>
      </c>
      <c r="G3368" s="36">
        <v>2</v>
      </c>
      <c r="H3368" s="36">
        <v>0</v>
      </c>
      <c r="I3368" s="37">
        <v>0</v>
      </c>
      <c r="J3368" s="36" t="s">
        <v>32654</v>
      </c>
      <c r="K3368" s="36" t="s">
        <v>14330</v>
      </c>
      <c r="L3368" s="36" t="s">
        <v>14330</v>
      </c>
      <c r="M3368">
        <v>2</v>
      </c>
      <c r="N3368" t="s">
        <v>14331</v>
      </c>
      <c r="O3368" t="s">
        <v>32633</v>
      </c>
    </row>
    <row r="3369" spans="1:15" x14ac:dyDescent="0.25">
      <c r="A3369" s="35" t="s">
        <v>7328</v>
      </c>
      <c r="B3369" s="36" t="s">
        <v>7329</v>
      </c>
      <c r="C3369" s="36" t="str">
        <f>HYPERLINK("https://rhld.insurance.arkansas.gov/NPILookup?Npi=1801425202","1801425202")</f>
        <v>1801425202</v>
      </c>
      <c r="D3369" s="36" t="s">
        <v>35919</v>
      </c>
      <c r="E3369" s="36" t="s">
        <v>1</v>
      </c>
      <c r="F3369" s="36">
        <v>1</v>
      </c>
      <c r="G3369" s="36">
        <v>2</v>
      </c>
      <c r="H3369" s="36">
        <v>0</v>
      </c>
      <c r="I3369" s="37">
        <v>0</v>
      </c>
      <c r="J3369" s="36" t="s">
        <v>34836</v>
      </c>
      <c r="K3369" s="36" t="s">
        <v>14330</v>
      </c>
      <c r="L3369" s="36" t="s">
        <v>14330</v>
      </c>
      <c r="M3369">
        <v>2</v>
      </c>
      <c r="N3369" t="s">
        <v>14331</v>
      </c>
      <c r="O3369" t="s">
        <v>32633</v>
      </c>
    </row>
    <row r="3370" spans="1:15" x14ac:dyDescent="0.25">
      <c r="A3370" s="35" t="s">
        <v>7328</v>
      </c>
      <c r="B3370" s="36" t="s">
        <v>7329</v>
      </c>
      <c r="C3370" s="36" t="str">
        <f>HYPERLINK("https://rhld.insurance.arkansas.gov/NPILookup?Npi=1801473905","1801473905")</f>
        <v>1801473905</v>
      </c>
      <c r="D3370" s="36" t="s">
        <v>35920</v>
      </c>
      <c r="E3370" s="36" t="s">
        <v>2</v>
      </c>
      <c r="F3370" s="36">
        <v>1</v>
      </c>
      <c r="G3370" s="36">
        <v>2</v>
      </c>
      <c r="H3370" s="36">
        <v>0</v>
      </c>
      <c r="I3370" s="37">
        <v>0</v>
      </c>
      <c r="J3370" s="36"/>
      <c r="K3370" s="36" t="s">
        <v>14330</v>
      </c>
      <c r="L3370" s="36" t="s">
        <v>14330</v>
      </c>
      <c r="M3370">
        <v>1</v>
      </c>
      <c r="N3370" t="s">
        <v>14331</v>
      </c>
      <c r="O3370" t="s">
        <v>14333</v>
      </c>
    </row>
    <row r="3371" spans="1:15" x14ac:dyDescent="0.25">
      <c r="A3371" s="35" t="s">
        <v>7328</v>
      </c>
      <c r="B3371" s="36" t="s">
        <v>7329</v>
      </c>
      <c r="C3371" s="36" t="str">
        <f>HYPERLINK("https://rhld.insurance.arkansas.gov/NPILookup?Npi=1801615786","1801615786")</f>
        <v>1801615786</v>
      </c>
      <c r="D3371" s="36" t="s">
        <v>35921</v>
      </c>
      <c r="E3371" s="36" t="s">
        <v>2</v>
      </c>
      <c r="F3371" s="36">
        <v>1</v>
      </c>
      <c r="G3371" s="36">
        <v>1</v>
      </c>
      <c r="H3371" s="36">
        <v>0</v>
      </c>
      <c r="I3371" s="37">
        <v>0</v>
      </c>
      <c r="J3371" s="36"/>
      <c r="K3371" s="36" t="s">
        <v>14330</v>
      </c>
      <c r="L3371" s="36" t="s">
        <v>14330</v>
      </c>
      <c r="M3371">
        <v>2</v>
      </c>
      <c r="N3371" t="s">
        <v>14331</v>
      </c>
      <c r="O3371" t="s">
        <v>32633</v>
      </c>
    </row>
    <row r="3372" spans="1:15" x14ac:dyDescent="0.25">
      <c r="A3372" s="35" t="s">
        <v>7328</v>
      </c>
      <c r="B3372" s="36" t="s">
        <v>7329</v>
      </c>
      <c r="C3372" s="36" t="str">
        <f>HYPERLINK("https://rhld.insurance.arkansas.gov/NPILookup?Npi=1801881891","1801881891")</f>
        <v>1801881891</v>
      </c>
      <c r="D3372" s="36" t="s">
        <v>35922</v>
      </c>
      <c r="E3372" s="36" t="s">
        <v>1</v>
      </c>
      <c r="F3372" s="36">
        <v>1</v>
      </c>
      <c r="G3372" s="36">
        <v>2</v>
      </c>
      <c r="H3372" s="36">
        <v>0</v>
      </c>
      <c r="I3372" s="37">
        <v>0</v>
      </c>
      <c r="J3372" s="36" t="s">
        <v>34836</v>
      </c>
      <c r="K3372" s="36" t="s">
        <v>14330</v>
      </c>
      <c r="L3372" s="36" t="s">
        <v>14330</v>
      </c>
      <c r="M3372">
        <v>0</v>
      </c>
      <c r="N3372" t="s">
        <v>14331</v>
      </c>
      <c r="O3372" t="s">
        <v>32633</v>
      </c>
    </row>
    <row r="3373" spans="1:15" x14ac:dyDescent="0.25">
      <c r="A3373" s="35" t="s">
        <v>7328</v>
      </c>
      <c r="B3373" s="36" t="s">
        <v>7329</v>
      </c>
      <c r="C3373" s="41" t="str">
        <f>HYPERLINK("https://rhld.insurance.arkansas.gov/NPILookup?Npi=1801891387","1801891387")</f>
        <v>1801891387</v>
      </c>
      <c r="D3373" s="36" t="s">
        <v>35923</v>
      </c>
      <c r="E3373" s="36" t="s">
        <v>1</v>
      </c>
      <c r="F3373" s="36">
        <v>1</v>
      </c>
      <c r="G3373" s="36">
        <v>1</v>
      </c>
      <c r="H3373" s="36">
        <v>1</v>
      </c>
      <c r="I3373" s="37">
        <v>0</v>
      </c>
      <c r="J3373" s="36" t="s">
        <v>32654</v>
      </c>
      <c r="K3373" s="36" t="s">
        <v>14330</v>
      </c>
      <c r="L3373" s="36" t="s">
        <v>35563</v>
      </c>
      <c r="M3373">
        <v>3</v>
      </c>
      <c r="N3373" t="s">
        <v>14332</v>
      </c>
      <c r="O3373" t="s">
        <v>32591</v>
      </c>
    </row>
    <row r="3374" spans="1:15" x14ac:dyDescent="0.25">
      <c r="A3374" s="35" t="s">
        <v>7328</v>
      </c>
      <c r="B3374" s="36" t="s">
        <v>7329</v>
      </c>
      <c r="C3374" s="36" t="str">
        <f>HYPERLINK("https://rhld.insurance.arkansas.gov/NPILookup?Npi=1801898630","1801898630")</f>
        <v>1801898630</v>
      </c>
      <c r="D3374" s="36" t="s">
        <v>35924</v>
      </c>
      <c r="E3374" s="36" t="s">
        <v>1</v>
      </c>
      <c r="F3374" s="36">
        <v>1</v>
      </c>
      <c r="G3374" s="36">
        <v>3</v>
      </c>
      <c r="H3374" s="36">
        <v>0</v>
      </c>
      <c r="I3374" s="37">
        <v>0</v>
      </c>
      <c r="J3374" s="36" t="s">
        <v>34836</v>
      </c>
      <c r="K3374" s="36" t="s">
        <v>14330</v>
      </c>
      <c r="L3374" s="36" t="s">
        <v>14330</v>
      </c>
      <c r="M3374">
        <v>1</v>
      </c>
      <c r="N3374" t="s">
        <v>14331</v>
      </c>
      <c r="O3374" t="s">
        <v>32633</v>
      </c>
    </row>
    <row r="3375" spans="1:15" x14ac:dyDescent="0.25">
      <c r="A3375" s="35" t="s">
        <v>7328</v>
      </c>
      <c r="B3375" s="36" t="s">
        <v>7329</v>
      </c>
      <c r="C3375" s="36" t="str">
        <f>HYPERLINK("https://rhld.insurance.arkansas.gov/NPILookup?Npi=1801958145","1801958145")</f>
        <v>1801958145</v>
      </c>
      <c r="D3375" s="36" t="s">
        <v>35925</v>
      </c>
      <c r="E3375" s="36" t="s">
        <v>1</v>
      </c>
      <c r="F3375" s="36">
        <v>1</v>
      </c>
      <c r="G3375" s="36">
        <v>2</v>
      </c>
      <c r="H3375" s="36">
        <v>1</v>
      </c>
      <c r="I3375" s="37">
        <v>0</v>
      </c>
      <c r="J3375" s="36" t="s">
        <v>32654</v>
      </c>
      <c r="K3375" s="36" t="s">
        <v>14330</v>
      </c>
      <c r="L3375" s="36" t="s">
        <v>35563</v>
      </c>
      <c r="M3375">
        <v>1</v>
      </c>
      <c r="N3375" t="s">
        <v>14332</v>
      </c>
      <c r="O3375" t="s">
        <v>32591</v>
      </c>
    </row>
    <row r="3376" spans="1:15" x14ac:dyDescent="0.25">
      <c r="A3376" s="35" t="s">
        <v>7328</v>
      </c>
      <c r="B3376" s="36" t="s">
        <v>7329</v>
      </c>
      <c r="C3376" s="36" t="str">
        <f>HYPERLINK("https://rhld.insurance.arkansas.gov/NPILookup?Npi=1811001282","1811001282")</f>
        <v>1811001282</v>
      </c>
      <c r="D3376" s="36" t="s">
        <v>31246</v>
      </c>
      <c r="E3376" s="36" t="s">
        <v>1</v>
      </c>
      <c r="F3376" s="36">
        <v>1</v>
      </c>
      <c r="G3376" s="36">
        <v>2</v>
      </c>
      <c r="H3376" s="36">
        <v>1</v>
      </c>
      <c r="I3376" s="37">
        <v>0</v>
      </c>
      <c r="J3376" s="36" t="s">
        <v>32654</v>
      </c>
      <c r="K3376" s="36" t="s">
        <v>14330</v>
      </c>
      <c r="L3376" s="36" t="s">
        <v>35563</v>
      </c>
      <c r="M3376">
        <v>2</v>
      </c>
      <c r="N3376" t="s">
        <v>14332</v>
      </c>
      <c r="O3376" t="s">
        <v>32591</v>
      </c>
    </row>
    <row r="3377" spans="1:15" x14ac:dyDescent="0.25">
      <c r="A3377" s="35" t="s">
        <v>7328</v>
      </c>
      <c r="B3377" s="36" t="s">
        <v>7329</v>
      </c>
      <c r="C3377" s="36" t="str">
        <f>HYPERLINK("https://rhld.insurance.arkansas.gov/NPILookup?Npi=1811198039","1811198039")</f>
        <v>1811198039</v>
      </c>
      <c r="D3377" s="36" t="s">
        <v>35926</v>
      </c>
      <c r="E3377" s="36" t="s">
        <v>1</v>
      </c>
      <c r="F3377" s="36">
        <v>1</v>
      </c>
      <c r="G3377" s="36">
        <v>2</v>
      </c>
      <c r="H3377" s="36">
        <v>0</v>
      </c>
      <c r="I3377" s="37">
        <v>0</v>
      </c>
      <c r="J3377" s="36" t="s">
        <v>32654</v>
      </c>
      <c r="K3377" s="36" t="s">
        <v>14330</v>
      </c>
      <c r="L3377" s="36" t="s">
        <v>14330</v>
      </c>
      <c r="M3377">
        <v>3</v>
      </c>
      <c r="N3377" t="s">
        <v>14331</v>
      </c>
      <c r="O3377" t="s">
        <v>32633</v>
      </c>
    </row>
    <row r="3378" spans="1:15" x14ac:dyDescent="0.25">
      <c r="A3378" s="35" t="s">
        <v>7328</v>
      </c>
      <c r="B3378" s="36" t="s">
        <v>7329</v>
      </c>
      <c r="C3378" s="36" t="str">
        <f>HYPERLINK("https://rhld.insurance.arkansas.gov/NPILookup?Npi=1811198070","1811198070")</f>
        <v>1811198070</v>
      </c>
      <c r="D3378" s="36" t="s">
        <v>35927</v>
      </c>
      <c r="E3378" s="36" t="s">
        <v>1</v>
      </c>
      <c r="F3378" s="36">
        <v>1</v>
      </c>
      <c r="G3378" s="36">
        <v>3</v>
      </c>
      <c r="H3378" s="36">
        <v>0</v>
      </c>
      <c r="I3378" s="37">
        <v>0</v>
      </c>
      <c r="J3378" s="36" t="s">
        <v>34836</v>
      </c>
      <c r="K3378" s="36" t="s">
        <v>14330</v>
      </c>
      <c r="L3378" s="36" t="s">
        <v>14330</v>
      </c>
      <c r="M3378">
        <v>2</v>
      </c>
      <c r="N3378" t="s">
        <v>14331</v>
      </c>
      <c r="O3378" t="s">
        <v>32633</v>
      </c>
    </row>
    <row r="3379" spans="1:15" x14ac:dyDescent="0.25">
      <c r="A3379" s="35" t="s">
        <v>7328</v>
      </c>
      <c r="B3379" s="36" t="s">
        <v>7329</v>
      </c>
      <c r="C3379" s="36" t="str">
        <f>HYPERLINK("https://rhld.insurance.arkansas.gov/NPILookup?Npi=1811287857","1811287857")</f>
        <v>1811287857</v>
      </c>
      <c r="D3379" s="36" t="s">
        <v>35928</v>
      </c>
      <c r="E3379" s="36" t="s">
        <v>1</v>
      </c>
      <c r="F3379" s="36">
        <v>1</v>
      </c>
      <c r="G3379" s="36">
        <v>2</v>
      </c>
      <c r="H3379" s="36">
        <v>0</v>
      </c>
      <c r="I3379" s="37">
        <v>0</v>
      </c>
      <c r="J3379" s="36" t="s">
        <v>34836</v>
      </c>
      <c r="K3379" s="36" t="s">
        <v>14330</v>
      </c>
      <c r="L3379" s="36" t="s">
        <v>14330</v>
      </c>
      <c r="M3379">
        <v>3</v>
      </c>
      <c r="N3379" t="s">
        <v>14331</v>
      </c>
      <c r="O3379" t="s">
        <v>32633</v>
      </c>
    </row>
    <row r="3380" spans="1:15" x14ac:dyDescent="0.25">
      <c r="A3380" s="35" t="s">
        <v>7328</v>
      </c>
      <c r="B3380" s="36" t="s">
        <v>7329</v>
      </c>
      <c r="C3380" s="36" t="str">
        <f>HYPERLINK("https://rhld.insurance.arkansas.gov/NPILookup?Npi=1811429293","1811429293")</f>
        <v>1811429293</v>
      </c>
      <c r="D3380" s="36" t="s">
        <v>35929</v>
      </c>
      <c r="E3380" s="36" t="s">
        <v>1</v>
      </c>
      <c r="F3380" s="36">
        <v>1</v>
      </c>
      <c r="G3380" s="36">
        <v>3</v>
      </c>
      <c r="H3380" s="36">
        <v>0</v>
      </c>
      <c r="I3380" s="37">
        <v>0</v>
      </c>
      <c r="J3380" s="36" t="s">
        <v>34836</v>
      </c>
      <c r="K3380" s="36" t="s">
        <v>14330</v>
      </c>
      <c r="L3380" s="36" t="s">
        <v>14330</v>
      </c>
      <c r="M3380">
        <v>2</v>
      </c>
      <c r="N3380" t="s">
        <v>14331</v>
      </c>
      <c r="O3380" t="s">
        <v>32633</v>
      </c>
    </row>
    <row r="3381" spans="1:15" x14ac:dyDescent="0.25">
      <c r="A3381" s="35" t="s">
        <v>7328</v>
      </c>
      <c r="B3381" s="36" t="s">
        <v>7329</v>
      </c>
      <c r="C3381" s="36" t="str">
        <f>HYPERLINK("https://rhld.insurance.arkansas.gov/NPILookup?Npi=1811476146","1811476146")</f>
        <v>1811476146</v>
      </c>
      <c r="D3381" s="36" t="s">
        <v>35930</v>
      </c>
      <c r="E3381" s="36" t="s">
        <v>1</v>
      </c>
      <c r="F3381" s="36">
        <v>1</v>
      </c>
      <c r="G3381" s="36">
        <v>2</v>
      </c>
      <c r="H3381" s="36">
        <v>0</v>
      </c>
      <c r="I3381" s="37">
        <v>0</v>
      </c>
      <c r="J3381" s="36" t="s">
        <v>32654</v>
      </c>
      <c r="K3381" s="36" t="s">
        <v>14330</v>
      </c>
      <c r="L3381" s="36" t="s">
        <v>14330</v>
      </c>
      <c r="M3381">
        <v>2</v>
      </c>
      <c r="N3381" t="s">
        <v>14331</v>
      </c>
      <c r="O3381" t="s">
        <v>32633</v>
      </c>
    </row>
    <row r="3382" spans="1:15" x14ac:dyDescent="0.25">
      <c r="A3382" s="35" t="s">
        <v>7328</v>
      </c>
      <c r="B3382" s="36" t="s">
        <v>7329</v>
      </c>
      <c r="C3382" s="36" t="str">
        <f>HYPERLINK("https://rhld.insurance.arkansas.gov/NPILookup?Npi=1811498280","1811498280")</f>
        <v>1811498280</v>
      </c>
      <c r="D3382" s="36" t="s">
        <v>35931</v>
      </c>
      <c r="E3382" s="36" t="s">
        <v>2</v>
      </c>
      <c r="F3382" s="36">
        <v>1</v>
      </c>
      <c r="G3382" s="36">
        <v>2</v>
      </c>
      <c r="H3382" s="36">
        <v>0</v>
      </c>
      <c r="I3382" s="37">
        <v>0</v>
      </c>
      <c r="J3382" s="36" t="s">
        <v>32679</v>
      </c>
      <c r="K3382" s="36" t="s">
        <v>14330</v>
      </c>
      <c r="L3382" s="36" t="s">
        <v>14330</v>
      </c>
      <c r="M3382">
        <v>1</v>
      </c>
      <c r="N3382" t="s">
        <v>14331</v>
      </c>
      <c r="O3382" t="s">
        <v>14333</v>
      </c>
    </row>
    <row r="3383" spans="1:15" x14ac:dyDescent="0.25">
      <c r="A3383" s="35" t="s">
        <v>7328</v>
      </c>
      <c r="B3383" s="36" t="s">
        <v>7329</v>
      </c>
      <c r="C3383" s="36" t="str">
        <f>HYPERLINK("https://rhld.insurance.arkansas.gov/NPILookup?Npi=1811533300","1811533300")</f>
        <v>1811533300</v>
      </c>
      <c r="D3383" s="36" t="s">
        <v>35932</v>
      </c>
      <c r="E3383" s="36" t="s">
        <v>1</v>
      </c>
      <c r="F3383" s="36">
        <v>1</v>
      </c>
      <c r="G3383" s="36">
        <v>1</v>
      </c>
      <c r="H3383" s="36">
        <v>0</v>
      </c>
      <c r="I3383" s="37">
        <v>0</v>
      </c>
      <c r="J3383" s="36" t="s">
        <v>32654</v>
      </c>
      <c r="K3383" s="36" t="s">
        <v>14330</v>
      </c>
      <c r="L3383" s="36" t="s">
        <v>14330</v>
      </c>
      <c r="M3383">
        <v>2</v>
      </c>
      <c r="N3383" t="s">
        <v>14331</v>
      </c>
      <c r="O3383" t="s">
        <v>32633</v>
      </c>
    </row>
    <row r="3384" spans="1:15" x14ac:dyDescent="0.25">
      <c r="A3384" s="35" t="s">
        <v>7328</v>
      </c>
      <c r="B3384" s="36" t="s">
        <v>7329</v>
      </c>
      <c r="C3384" s="36" t="str">
        <f>HYPERLINK("https://rhld.insurance.arkansas.gov/NPILookup?Npi=1811565948","1811565948")</f>
        <v>1811565948</v>
      </c>
      <c r="D3384" s="36" t="s">
        <v>35933</v>
      </c>
      <c r="E3384" s="36" t="s">
        <v>2</v>
      </c>
      <c r="F3384" s="36">
        <v>1</v>
      </c>
      <c r="G3384" s="36">
        <v>2</v>
      </c>
      <c r="H3384" s="36">
        <v>0</v>
      </c>
      <c r="I3384" s="37">
        <v>0</v>
      </c>
      <c r="J3384" s="36"/>
      <c r="K3384" s="36" t="s">
        <v>14330</v>
      </c>
      <c r="L3384" s="36" t="s">
        <v>14330</v>
      </c>
      <c r="M3384">
        <v>2</v>
      </c>
      <c r="N3384" t="s">
        <v>14331</v>
      </c>
      <c r="O3384" t="s">
        <v>14333</v>
      </c>
    </row>
    <row r="3385" spans="1:15" x14ac:dyDescent="0.25">
      <c r="A3385" s="35" t="s">
        <v>7328</v>
      </c>
      <c r="B3385" s="36" t="s">
        <v>7329</v>
      </c>
      <c r="C3385" s="36" t="str">
        <f>HYPERLINK("https://rhld.insurance.arkansas.gov/NPILookup?Npi=1811575012","1811575012")</f>
        <v>1811575012</v>
      </c>
      <c r="D3385" s="36" t="s">
        <v>35934</v>
      </c>
      <c r="E3385" s="36" t="s">
        <v>2</v>
      </c>
      <c r="F3385" s="36">
        <v>1</v>
      </c>
      <c r="G3385" s="36">
        <v>2</v>
      </c>
      <c r="H3385" s="36">
        <v>0</v>
      </c>
      <c r="I3385" s="37">
        <v>0</v>
      </c>
      <c r="J3385" s="36"/>
      <c r="K3385" s="36" t="s">
        <v>14330</v>
      </c>
      <c r="L3385" s="36" t="s">
        <v>14330</v>
      </c>
      <c r="M3385">
        <v>1</v>
      </c>
      <c r="N3385" t="s">
        <v>14331</v>
      </c>
      <c r="O3385" t="s">
        <v>14333</v>
      </c>
    </row>
    <row r="3386" spans="1:15" x14ac:dyDescent="0.25">
      <c r="A3386" s="35" t="s">
        <v>7328</v>
      </c>
      <c r="B3386" s="36" t="s">
        <v>7329</v>
      </c>
      <c r="C3386" s="36" t="str">
        <f>HYPERLINK("https://rhld.insurance.arkansas.gov/NPILookup?Npi=1811633845","1811633845")</f>
        <v>1811633845</v>
      </c>
      <c r="D3386" s="36" t="s">
        <v>35935</v>
      </c>
      <c r="E3386" s="36" t="s">
        <v>1</v>
      </c>
      <c r="F3386" s="36">
        <v>1</v>
      </c>
      <c r="G3386" s="36">
        <v>1</v>
      </c>
      <c r="H3386" s="36">
        <v>0</v>
      </c>
      <c r="I3386" s="37">
        <v>0</v>
      </c>
      <c r="J3386" s="36" t="s">
        <v>32654</v>
      </c>
      <c r="K3386" s="36" t="s">
        <v>14330</v>
      </c>
      <c r="L3386" s="36" t="s">
        <v>14330</v>
      </c>
      <c r="M3386">
        <v>3</v>
      </c>
      <c r="N3386" t="s">
        <v>14331</v>
      </c>
      <c r="O3386" t="s">
        <v>32633</v>
      </c>
    </row>
    <row r="3387" spans="1:15" x14ac:dyDescent="0.25">
      <c r="A3387" s="35" t="s">
        <v>7328</v>
      </c>
      <c r="B3387" s="36" t="s">
        <v>7329</v>
      </c>
      <c r="C3387" s="36" t="str">
        <f>HYPERLINK("https://rhld.insurance.arkansas.gov/NPILookup?Npi=1811904915","1811904915")</f>
        <v>1811904915</v>
      </c>
      <c r="D3387" s="36" t="s">
        <v>34446</v>
      </c>
      <c r="E3387" s="36" t="s">
        <v>1</v>
      </c>
      <c r="F3387" s="36">
        <v>1</v>
      </c>
      <c r="G3387" s="36">
        <v>3</v>
      </c>
      <c r="H3387" s="36">
        <v>0</v>
      </c>
      <c r="I3387" s="37">
        <v>0</v>
      </c>
      <c r="J3387" s="36" t="s">
        <v>32654</v>
      </c>
      <c r="K3387" s="36" t="s">
        <v>14330</v>
      </c>
      <c r="L3387" s="36" t="s">
        <v>14330</v>
      </c>
      <c r="M3387">
        <v>3</v>
      </c>
      <c r="N3387" t="s">
        <v>14331</v>
      </c>
      <c r="O3387" t="s">
        <v>32633</v>
      </c>
    </row>
    <row r="3388" spans="1:15" x14ac:dyDescent="0.25">
      <c r="A3388" s="35" t="s">
        <v>7328</v>
      </c>
      <c r="B3388" s="36" t="s">
        <v>7329</v>
      </c>
      <c r="C3388" s="36" t="str">
        <f>HYPERLINK("https://rhld.insurance.arkansas.gov/NPILookup?Npi=1811955974","1811955974")</f>
        <v>1811955974</v>
      </c>
      <c r="D3388" s="36" t="s">
        <v>35936</v>
      </c>
      <c r="E3388" s="36" t="s">
        <v>1</v>
      </c>
      <c r="F3388" s="36">
        <v>1</v>
      </c>
      <c r="G3388" s="36">
        <v>3</v>
      </c>
      <c r="H3388" s="36">
        <v>0</v>
      </c>
      <c r="I3388" s="37">
        <v>0</v>
      </c>
      <c r="J3388" s="36" t="s">
        <v>32654</v>
      </c>
      <c r="K3388" s="36" t="s">
        <v>14330</v>
      </c>
      <c r="L3388" s="36" t="s">
        <v>14330</v>
      </c>
      <c r="M3388">
        <v>3</v>
      </c>
      <c r="N3388" t="s">
        <v>14331</v>
      </c>
      <c r="O3388" t="s">
        <v>32633</v>
      </c>
    </row>
    <row r="3389" spans="1:15" x14ac:dyDescent="0.25">
      <c r="A3389" s="35" t="s">
        <v>7328</v>
      </c>
      <c r="B3389" s="36" t="s">
        <v>7329</v>
      </c>
      <c r="C3389" s="36" t="str">
        <f>HYPERLINK("https://rhld.insurance.arkansas.gov/NPILookup?Npi=1811958689","1811958689")</f>
        <v>1811958689</v>
      </c>
      <c r="D3389" s="36" t="s">
        <v>35937</v>
      </c>
      <c r="E3389" s="36" t="s">
        <v>1</v>
      </c>
      <c r="F3389" s="36">
        <v>1</v>
      </c>
      <c r="G3389" s="36">
        <v>3</v>
      </c>
      <c r="H3389" s="36">
        <v>0</v>
      </c>
      <c r="I3389" s="37">
        <v>0</v>
      </c>
      <c r="J3389" s="36" t="s">
        <v>34836</v>
      </c>
      <c r="K3389" s="36" t="s">
        <v>14330</v>
      </c>
      <c r="L3389" s="36" t="s">
        <v>14330</v>
      </c>
      <c r="M3389">
        <v>1</v>
      </c>
      <c r="N3389" t="s">
        <v>14331</v>
      </c>
      <c r="O3389" t="s">
        <v>32633</v>
      </c>
    </row>
    <row r="3390" spans="1:15" x14ac:dyDescent="0.25">
      <c r="A3390" s="35" t="s">
        <v>7328</v>
      </c>
      <c r="B3390" s="36" t="s">
        <v>7329</v>
      </c>
      <c r="C3390" s="36" t="str">
        <f>HYPERLINK("https://rhld.insurance.arkansas.gov/NPILookup?Npi=1811960255","1811960255")</f>
        <v>1811960255</v>
      </c>
      <c r="D3390" s="36" t="s">
        <v>35938</v>
      </c>
      <c r="E3390" s="36" t="s">
        <v>1</v>
      </c>
      <c r="F3390" s="36">
        <v>1</v>
      </c>
      <c r="G3390" s="36">
        <v>2</v>
      </c>
      <c r="H3390" s="36">
        <v>1</v>
      </c>
      <c r="I3390" s="37">
        <v>0</v>
      </c>
      <c r="J3390" s="36" t="s">
        <v>32654</v>
      </c>
      <c r="K3390" s="36" t="s">
        <v>14330</v>
      </c>
      <c r="L3390" s="36" t="s">
        <v>35563</v>
      </c>
      <c r="M3390">
        <v>3</v>
      </c>
      <c r="N3390" t="s">
        <v>14332</v>
      </c>
      <c r="O3390" t="s">
        <v>32591</v>
      </c>
    </row>
    <row r="3391" spans="1:15" x14ac:dyDescent="0.25">
      <c r="A3391" s="35" t="s">
        <v>7328</v>
      </c>
      <c r="B3391" s="36" t="s">
        <v>7329</v>
      </c>
      <c r="C3391" s="36" t="str">
        <f>HYPERLINK("https://rhld.insurance.arkansas.gov/NPILookup?Npi=1811976509","1811976509")</f>
        <v>1811976509</v>
      </c>
      <c r="D3391" s="36" t="s">
        <v>35939</v>
      </c>
      <c r="E3391" s="36" t="s">
        <v>1</v>
      </c>
      <c r="F3391" s="36">
        <v>1</v>
      </c>
      <c r="G3391" s="36">
        <v>3</v>
      </c>
      <c r="H3391" s="36">
        <v>0</v>
      </c>
      <c r="I3391" s="37">
        <v>0</v>
      </c>
      <c r="J3391" s="36" t="s">
        <v>32654</v>
      </c>
      <c r="K3391" s="36" t="s">
        <v>14330</v>
      </c>
      <c r="L3391" s="36" t="s">
        <v>14330</v>
      </c>
      <c r="M3391">
        <v>2</v>
      </c>
      <c r="N3391" t="s">
        <v>14331</v>
      </c>
      <c r="O3391" t="s">
        <v>32633</v>
      </c>
    </row>
    <row r="3392" spans="1:15" x14ac:dyDescent="0.25">
      <c r="A3392" s="35" t="s">
        <v>7328</v>
      </c>
      <c r="B3392" s="36" t="s">
        <v>7329</v>
      </c>
      <c r="C3392" s="36" t="str">
        <f>HYPERLINK("https://rhld.insurance.arkansas.gov/NPILookup?Npi=1821016361","1821016361")</f>
        <v>1821016361</v>
      </c>
      <c r="D3392" s="36" t="s">
        <v>33392</v>
      </c>
      <c r="E3392" s="36" t="s">
        <v>2</v>
      </c>
      <c r="F3392" s="36">
        <v>1</v>
      </c>
      <c r="G3392" s="36">
        <v>2</v>
      </c>
      <c r="H3392" s="36">
        <v>0</v>
      </c>
      <c r="I3392" s="37">
        <v>0</v>
      </c>
      <c r="J3392" s="36"/>
      <c r="K3392" s="36" t="s">
        <v>14330</v>
      </c>
      <c r="L3392" s="36" t="s">
        <v>14330</v>
      </c>
      <c r="M3392">
        <v>1</v>
      </c>
      <c r="N3392" t="s">
        <v>14331</v>
      </c>
      <c r="O3392" t="s">
        <v>14333</v>
      </c>
    </row>
    <row r="3393" spans="1:15" x14ac:dyDescent="0.25">
      <c r="A3393" s="35" t="s">
        <v>7328</v>
      </c>
      <c r="B3393" s="36" t="s">
        <v>7329</v>
      </c>
      <c r="C3393" s="36" t="str">
        <f>HYPERLINK("https://rhld.insurance.arkansas.gov/NPILookup?Npi=1821036468","1821036468")</f>
        <v>1821036468</v>
      </c>
      <c r="D3393" s="36" t="s">
        <v>35940</v>
      </c>
      <c r="E3393" s="36" t="s">
        <v>1</v>
      </c>
      <c r="F3393" s="36">
        <v>1</v>
      </c>
      <c r="G3393" s="36">
        <v>1</v>
      </c>
      <c r="H3393" s="36">
        <v>0</v>
      </c>
      <c r="I3393" s="37">
        <v>0</v>
      </c>
      <c r="J3393" s="36" t="s">
        <v>34836</v>
      </c>
      <c r="K3393" s="36" t="s">
        <v>14330</v>
      </c>
      <c r="L3393" s="36" t="s">
        <v>14330</v>
      </c>
      <c r="M3393">
        <v>2</v>
      </c>
      <c r="N3393" t="s">
        <v>14331</v>
      </c>
      <c r="O3393" t="s">
        <v>32633</v>
      </c>
    </row>
    <row r="3394" spans="1:15" x14ac:dyDescent="0.25">
      <c r="A3394" s="35" t="s">
        <v>7328</v>
      </c>
      <c r="B3394" s="36" t="s">
        <v>7329</v>
      </c>
      <c r="C3394" s="36" t="str">
        <f>HYPERLINK("https://rhld.insurance.arkansas.gov/NPILookup?Npi=1821085648","1821085648")</f>
        <v>1821085648</v>
      </c>
      <c r="D3394" s="36" t="s">
        <v>35941</v>
      </c>
      <c r="E3394" s="36" t="s">
        <v>1</v>
      </c>
      <c r="F3394" s="36">
        <v>1</v>
      </c>
      <c r="G3394" s="36">
        <v>2</v>
      </c>
      <c r="H3394" s="36">
        <v>0</v>
      </c>
      <c r="I3394" s="37">
        <v>0</v>
      </c>
      <c r="J3394" s="36" t="s">
        <v>32723</v>
      </c>
      <c r="K3394" s="36" t="s">
        <v>14330</v>
      </c>
      <c r="L3394" s="36" t="s">
        <v>14330</v>
      </c>
      <c r="M3394">
        <v>3</v>
      </c>
      <c r="N3394" t="s">
        <v>14331</v>
      </c>
      <c r="O3394" t="s">
        <v>32724</v>
      </c>
    </row>
    <row r="3395" spans="1:15" x14ac:dyDescent="0.25">
      <c r="A3395" s="35" t="s">
        <v>7328</v>
      </c>
      <c r="B3395" s="36" t="s">
        <v>7329</v>
      </c>
      <c r="C3395" s="36" t="str">
        <f>HYPERLINK("https://rhld.insurance.arkansas.gov/NPILookup?Npi=1821086547","1821086547")</f>
        <v>1821086547</v>
      </c>
      <c r="D3395" s="36" t="s">
        <v>35942</v>
      </c>
      <c r="E3395" s="36" t="s">
        <v>1</v>
      </c>
      <c r="F3395" s="36">
        <v>1</v>
      </c>
      <c r="G3395" s="36">
        <v>3</v>
      </c>
      <c r="H3395" s="36">
        <v>0</v>
      </c>
      <c r="I3395" s="37">
        <v>0</v>
      </c>
      <c r="J3395" s="36" t="s">
        <v>34836</v>
      </c>
      <c r="K3395" s="36" t="s">
        <v>14330</v>
      </c>
      <c r="L3395" s="36" t="s">
        <v>14330</v>
      </c>
      <c r="M3395">
        <v>2</v>
      </c>
      <c r="N3395" t="s">
        <v>14331</v>
      </c>
      <c r="O3395" t="s">
        <v>32633</v>
      </c>
    </row>
    <row r="3396" spans="1:15" x14ac:dyDescent="0.25">
      <c r="A3396" s="35" t="s">
        <v>7328</v>
      </c>
      <c r="B3396" s="36" t="s">
        <v>7329</v>
      </c>
      <c r="C3396" s="36" t="str">
        <f>HYPERLINK("https://rhld.insurance.arkansas.gov/NPILookup?Npi=1821091612","1821091612")</f>
        <v>1821091612</v>
      </c>
      <c r="D3396" s="36" t="s">
        <v>35943</v>
      </c>
      <c r="E3396" s="36" t="s">
        <v>1</v>
      </c>
      <c r="F3396" s="36">
        <v>1</v>
      </c>
      <c r="G3396" s="36">
        <v>2</v>
      </c>
      <c r="H3396" s="36">
        <v>0</v>
      </c>
      <c r="I3396" s="37">
        <v>0</v>
      </c>
      <c r="J3396" s="36" t="s">
        <v>34836</v>
      </c>
      <c r="K3396" s="36" t="s">
        <v>14330</v>
      </c>
      <c r="L3396" s="36" t="s">
        <v>14330</v>
      </c>
      <c r="M3396">
        <v>3</v>
      </c>
      <c r="N3396" t="s">
        <v>14331</v>
      </c>
      <c r="O3396" t="s">
        <v>32633</v>
      </c>
    </row>
    <row r="3397" spans="1:15" x14ac:dyDescent="0.25">
      <c r="A3397" s="35" t="s">
        <v>7328</v>
      </c>
      <c r="B3397" s="36" t="s">
        <v>7329</v>
      </c>
      <c r="C3397" s="36" t="str">
        <f>HYPERLINK("https://rhld.insurance.arkansas.gov/NPILookup?Npi=1821099839","1821099839")</f>
        <v>1821099839</v>
      </c>
      <c r="D3397" s="36" t="s">
        <v>35944</v>
      </c>
      <c r="E3397" s="36" t="s">
        <v>1</v>
      </c>
      <c r="F3397" s="36">
        <v>1</v>
      </c>
      <c r="G3397" s="36">
        <v>3</v>
      </c>
      <c r="H3397" s="36">
        <v>0</v>
      </c>
      <c r="I3397" s="37">
        <v>0</v>
      </c>
      <c r="J3397" s="36" t="s">
        <v>34836</v>
      </c>
      <c r="K3397" s="36" t="s">
        <v>14330</v>
      </c>
      <c r="L3397" s="36" t="s">
        <v>14330</v>
      </c>
      <c r="M3397">
        <v>2</v>
      </c>
      <c r="N3397" t="s">
        <v>14331</v>
      </c>
      <c r="O3397" t="s">
        <v>32633</v>
      </c>
    </row>
    <row r="3398" spans="1:15" x14ac:dyDescent="0.25">
      <c r="A3398" s="35" t="s">
        <v>7328</v>
      </c>
      <c r="B3398" s="36" t="s">
        <v>7329</v>
      </c>
      <c r="C3398" s="36" t="str">
        <f>HYPERLINK("https://rhld.insurance.arkansas.gov/NPILookup?Npi=1821282526","1821282526")</f>
        <v>1821282526</v>
      </c>
      <c r="D3398" s="36" t="s">
        <v>35945</v>
      </c>
      <c r="E3398" s="36" t="s">
        <v>1</v>
      </c>
      <c r="F3398" s="36">
        <v>1</v>
      </c>
      <c r="G3398" s="36">
        <v>2</v>
      </c>
      <c r="H3398" s="36">
        <v>0</v>
      </c>
      <c r="I3398" s="37">
        <v>0</v>
      </c>
      <c r="J3398" s="36" t="s">
        <v>34836</v>
      </c>
      <c r="K3398" s="36" t="s">
        <v>14330</v>
      </c>
      <c r="L3398" s="36" t="s">
        <v>14330</v>
      </c>
      <c r="M3398">
        <v>3</v>
      </c>
      <c r="N3398" t="s">
        <v>14331</v>
      </c>
      <c r="O3398" t="s">
        <v>32633</v>
      </c>
    </row>
    <row r="3399" spans="1:15" x14ac:dyDescent="0.25">
      <c r="A3399" s="35" t="s">
        <v>7328</v>
      </c>
      <c r="B3399" s="36" t="s">
        <v>7329</v>
      </c>
      <c r="C3399" s="36" t="str">
        <f>HYPERLINK("https://rhld.insurance.arkansas.gov/NPILookup?Npi=1821330895","1821330895")</f>
        <v>1821330895</v>
      </c>
      <c r="D3399" s="36" t="s">
        <v>35946</v>
      </c>
      <c r="E3399" s="36" t="s">
        <v>1</v>
      </c>
      <c r="F3399" s="36">
        <v>1</v>
      </c>
      <c r="G3399" s="36">
        <v>3</v>
      </c>
      <c r="H3399" s="36">
        <v>0</v>
      </c>
      <c r="I3399" s="37">
        <v>0</v>
      </c>
      <c r="J3399" s="36" t="s">
        <v>32654</v>
      </c>
      <c r="K3399" s="36" t="s">
        <v>14330</v>
      </c>
      <c r="L3399" s="36" t="s">
        <v>14330</v>
      </c>
      <c r="M3399">
        <v>2</v>
      </c>
      <c r="N3399" t="s">
        <v>14331</v>
      </c>
      <c r="O3399" t="s">
        <v>32633</v>
      </c>
    </row>
    <row r="3400" spans="1:15" x14ac:dyDescent="0.25">
      <c r="A3400" s="35" t="s">
        <v>7328</v>
      </c>
      <c r="B3400" s="36" t="s">
        <v>7329</v>
      </c>
      <c r="C3400" s="36" t="str">
        <f>HYPERLINK("https://rhld.insurance.arkansas.gov/NPILookup?Npi=1821363508","1821363508")</f>
        <v>1821363508</v>
      </c>
      <c r="D3400" s="36" t="s">
        <v>35947</v>
      </c>
      <c r="E3400" s="36" t="s">
        <v>2</v>
      </c>
      <c r="F3400" s="36">
        <v>1</v>
      </c>
      <c r="G3400" s="36">
        <v>2</v>
      </c>
      <c r="H3400" s="36">
        <v>0</v>
      </c>
      <c r="I3400" s="37">
        <v>0</v>
      </c>
      <c r="J3400" s="36"/>
      <c r="K3400" s="36" t="s">
        <v>14330</v>
      </c>
      <c r="L3400" s="36" t="s">
        <v>14330</v>
      </c>
      <c r="M3400">
        <v>1</v>
      </c>
      <c r="N3400" t="s">
        <v>14331</v>
      </c>
      <c r="O3400" t="s">
        <v>14333</v>
      </c>
    </row>
    <row r="3401" spans="1:15" x14ac:dyDescent="0.25">
      <c r="A3401" s="35" t="s">
        <v>7328</v>
      </c>
      <c r="B3401" s="36" t="s">
        <v>7329</v>
      </c>
      <c r="C3401" s="36" t="str">
        <f>HYPERLINK("https://rhld.insurance.arkansas.gov/NPILookup?Npi=1821435439","1821435439")</f>
        <v>1821435439</v>
      </c>
      <c r="D3401" s="36" t="s">
        <v>35948</v>
      </c>
      <c r="E3401" s="36" t="s">
        <v>1</v>
      </c>
      <c r="F3401" s="36">
        <v>1</v>
      </c>
      <c r="G3401" s="36">
        <v>2</v>
      </c>
      <c r="H3401" s="36">
        <v>1</v>
      </c>
      <c r="I3401" s="37">
        <v>0</v>
      </c>
      <c r="J3401" s="36" t="s">
        <v>32654</v>
      </c>
      <c r="K3401" s="36" t="s">
        <v>14330</v>
      </c>
      <c r="L3401" s="36" t="s">
        <v>35563</v>
      </c>
      <c r="M3401">
        <v>2</v>
      </c>
      <c r="N3401" t="s">
        <v>14332</v>
      </c>
      <c r="O3401" t="s">
        <v>32591</v>
      </c>
    </row>
    <row r="3402" spans="1:15" x14ac:dyDescent="0.25">
      <c r="A3402" s="35" t="s">
        <v>7328</v>
      </c>
      <c r="B3402" s="36" t="s">
        <v>7329</v>
      </c>
      <c r="C3402" s="36" t="str">
        <f>HYPERLINK("https://rhld.insurance.arkansas.gov/NPILookup?Npi=1821528134","1821528134")</f>
        <v>1821528134</v>
      </c>
      <c r="D3402" s="36" t="s">
        <v>35949</v>
      </c>
      <c r="E3402" s="36" t="s">
        <v>1</v>
      </c>
      <c r="F3402" s="36">
        <v>1</v>
      </c>
      <c r="G3402" s="36">
        <v>2</v>
      </c>
      <c r="H3402" s="36">
        <v>0</v>
      </c>
      <c r="I3402" s="37">
        <v>0</v>
      </c>
      <c r="J3402" s="36" t="s">
        <v>32654</v>
      </c>
      <c r="K3402" s="36" t="s">
        <v>14330</v>
      </c>
      <c r="L3402" s="36" t="s">
        <v>14330</v>
      </c>
      <c r="M3402">
        <v>2</v>
      </c>
      <c r="N3402" t="s">
        <v>14331</v>
      </c>
      <c r="O3402" t="s">
        <v>32633</v>
      </c>
    </row>
    <row r="3403" spans="1:15" x14ac:dyDescent="0.25">
      <c r="A3403" s="35" t="s">
        <v>7328</v>
      </c>
      <c r="B3403" s="36" t="s">
        <v>7329</v>
      </c>
      <c r="C3403" s="36" t="str">
        <f>HYPERLINK("https://rhld.insurance.arkansas.gov/NPILookup?Npi=1821575069","1821575069")</f>
        <v>1821575069</v>
      </c>
      <c r="D3403" s="36" t="s">
        <v>35950</v>
      </c>
      <c r="E3403" s="36" t="s">
        <v>1</v>
      </c>
      <c r="F3403" s="36">
        <v>1</v>
      </c>
      <c r="G3403" s="36">
        <v>2</v>
      </c>
      <c r="H3403" s="36">
        <v>0</v>
      </c>
      <c r="I3403" s="37">
        <v>0</v>
      </c>
      <c r="J3403" s="36" t="s">
        <v>34836</v>
      </c>
      <c r="K3403" s="36" t="s">
        <v>14330</v>
      </c>
      <c r="L3403" s="36" t="s">
        <v>14330</v>
      </c>
      <c r="M3403">
        <v>3</v>
      </c>
      <c r="N3403" t="s">
        <v>14331</v>
      </c>
      <c r="O3403" t="s">
        <v>32633</v>
      </c>
    </row>
    <row r="3404" spans="1:15" x14ac:dyDescent="0.25">
      <c r="A3404" s="35" t="s">
        <v>7328</v>
      </c>
      <c r="B3404" s="36" t="s">
        <v>7329</v>
      </c>
      <c r="C3404" s="36" t="str">
        <f>HYPERLINK("https://rhld.insurance.arkansas.gov/NPILookup?Npi=1821619370","1821619370")</f>
        <v>1821619370</v>
      </c>
      <c r="D3404" s="36" t="s">
        <v>35951</v>
      </c>
      <c r="E3404" s="36" t="s">
        <v>1</v>
      </c>
      <c r="F3404" s="36">
        <v>1</v>
      </c>
      <c r="G3404" s="36">
        <v>3</v>
      </c>
      <c r="H3404" s="36">
        <v>0</v>
      </c>
      <c r="I3404" s="37">
        <v>0</v>
      </c>
      <c r="J3404" s="36" t="s">
        <v>32654</v>
      </c>
      <c r="K3404" s="36" t="s">
        <v>14330</v>
      </c>
      <c r="L3404" s="36" t="s">
        <v>14330</v>
      </c>
      <c r="M3404">
        <v>2</v>
      </c>
      <c r="N3404" t="s">
        <v>14331</v>
      </c>
      <c r="O3404" t="s">
        <v>32633</v>
      </c>
    </row>
    <row r="3405" spans="1:15" x14ac:dyDescent="0.25">
      <c r="A3405" s="35" t="s">
        <v>7328</v>
      </c>
      <c r="B3405" s="36" t="s">
        <v>7329</v>
      </c>
      <c r="C3405" s="36" t="str">
        <f>HYPERLINK("https://rhld.insurance.arkansas.gov/NPILookup?Npi=1821660044","1821660044")</f>
        <v>1821660044</v>
      </c>
      <c r="D3405" s="36" t="s">
        <v>35952</v>
      </c>
      <c r="E3405" s="36" t="s">
        <v>2</v>
      </c>
      <c r="F3405" s="36">
        <v>1</v>
      </c>
      <c r="G3405" s="36">
        <v>2</v>
      </c>
      <c r="H3405" s="36">
        <v>0</v>
      </c>
      <c r="I3405" s="37">
        <v>0</v>
      </c>
      <c r="J3405" s="36"/>
      <c r="K3405" s="36" t="s">
        <v>14330</v>
      </c>
      <c r="L3405" s="36" t="s">
        <v>14330</v>
      </c>
      <c r="M3405">
        <v>2</v>
      </c>
      <c r="N3405" t="s">
        <v>14331</v>
      </c>
      <c r="O3405" t="s">
        <v>14333</v>
      </c>
    </row>
    <row r="3406" spans="1:15" x14ac:dyDescent="0.25">
      <c r="A3406" s="35" t="s">
        <v>7328</v>
      </c>
      <c r="B3406" s="36" t="s">
        <v>7329</v>
      </c>
      <c r="C3406" s="36" t="str">
        <f>HYPERLINK("https://rhld.insurance.arkansas.gov/NPILookup?Npi=1821661802","1821661802")</f>
        <v>1821661802</v>
      </c>
      <c r="D3406" s="36" t="s">
        <v>35953</v>
      </c>
      <c r="E3406" s="36" t="s">
        <v>1</v>
      </c>
      <c r="F3406" s="36">
        <v>1</v>
      </c>
      <c r="G3406" s="36">
        <v>2</v>
      </c>
      <c r="H3406" s="36">
        <v>0</v>
      </c>
      <c r="I3406" s="37">
        <v>0</v>
      </c>
      <c r="J3406" s="36" t="s">
        <v>32654</v>
      </c>
      <c r="K3406" s="36" t="s">
        <v>14330</v>
      </c>
      <c r="L3406" s="36" t="s">
        <v>14330</v>
      </c>
      <c r="M3406">
        <v>3</v>
      </c>
      <c r="N3406" t="s">
        <v>14331</v>
      </c>
      <c r="O3406" t="s">
        <v>32633</v>
      </c>
    </row>
    <row r="3407" spans="1:15" x14ac:dyDescent="0.25">
      <c r="A3407" s="35" t="s">
        <v>7328</v>
      </c>
      <c r="B3407" s="36" t="s">
        <v>7329</v>
      </c>
      <c r="C3407" s="36" t="str">
        <f>HYPERLINK("https://rhld.insurance.arkansas.gov/NPILookup?Npi=1821669979","1821669979")</f>
        <v>1821669979</v>
      </c>
      <c r="D3407" s="36" t="s">
        <v>35954</v>
      </c>
      <c r="E3407" s="36" t="s">
        <v>1</v>
      </c>
      <c r="F3407" s="36">
        <v>1</v>
      </c>
      <c r="G3407" s="36">
        <v>3</v>
      </c>
      <c r="H3407" s="36">
        <v>0</v>
      </c>
      <c r="I3407" s="37">
        <v>0</v>
      </c>
      <c r="J3407" s="36" t="s">
        <v>32654</v>
      </c>
      <c r="K3407" s="36" t="s">
        <v>14330</v>
      </c>
      <c r="L3407" s="36" t="s">
        <v>14330</v>
      </c>
      <c r="M3407">
        <v>3</v>
      </c>
      <c r="N3407" t="s">
        <v>14331</v>
      </c>
      <c r="O3407" t="s">
        <v>32633</v>
      </c>
    </row>
    <row r="3408" spans="1:15" x14ac:dyDescent="0.25">
      <c r="A3408" s="35" t="s">
        <v>7328</v>
      </c>
      <c r="B3408" s="36" t="s">
        <v>7329</v>
      </c>
      <c r="C3408" s="36" t="str">
        <f>HYPERLINK("https://rhld.insurance.arkansas.gov/NPILookup?Npi=1821704925","1821704925")</f>
        <v>1821704925</v>
      </c>
      <c r="D3408" s="36" t="s">
        <v>35955</v>
      </c>
      <c r="E3408" s="36" t="s">
        <v>1</v>
      </c>
      <c r="F3408" s="36">
        <v>1</v>
      </c>
      <c r="G3408" s="36">
        <v>3</v>
      </c>
      <c r="H3408" s="36">
        <v>0</v>
      </c>
      <c r="I3408" s="37">
        <v>0</v>
      </c>
      <c r="J3408" s="36" t="s">
        <v>32654</v>
      </c>
      <c r="K3408" s="36" t="s">
        <v>14330</v>
      </c>
      <c r="L3408" s="36" t="s">
        <v>14330</v>
      </c>
      <c r="M3408">
        <v>2</v>
      </c>
      <c r="N3408" t="s">
        <v>14331</v>
      </c>
      <c r="O3408" t="s">
        <v>32633</v>
      </c>
    </row>
    <row r="3409" spans="1:15" x14ac:dyDescent="0.25">
      <c r="A3409" s="35" t="s">
        <v>7328</v>
      </c>
      <c r="B3409" s="36" t="s">
        <v>7329</v>
      </c>
      <c r="C3409" s="36" t="str">
        <f>HYPERLINK("https://rhld.insurance.arkansas.gov/NPILookup?Npi=1821795394","1821795394")</f>
        <v>1821795394</v>
      </c>
      <c r="D3409" s="36" t="s">
        <v>35956</v>
      </c>
      <c r="E3409" s="36" t="s">
        <v>1</v>
      </c>
      <c r="F3409" s="36">
        <v>1</v>
      </c>
      <c r="G3409" s="36">
        <v>2</v>
      </c>
      <c r="H3409" s="36">
        <v>0</v>
      </c>
      <c r="I3409" s="37">
        <v>0</v>
      </c>
      <c r="J3409" s="36" t="s">
        <v>32654</v>
      </c>
      <c r="K3409" s="36" t="s">
        <v>14330</v>
      </c>
      <c r="L3409" s="36" t="s">
        <v>14330</v>
      </c>
      <c r="M3409">
        <v>2</v>
      </c>
      <c r="N3409" t="s">
        <v>14331</v>
      </c>
      <c r="O3409" t="s">
        <v>32633</v>
      </c>
    </row>
    <row r="3410" spans="1:15" x14ac:dyDescent="0.25">
      <c r="A3410" s="35" t="s">
        <v>7328</v>
      </c>
      <c r="B3410" s="36" t="s">
        <v>7329</v>
      </c>
      <c r="C3410" s="36" t="str">
        <f>HYPERLINK("https://rhld.insurance.arkansas.gov/NPILookup?Npi=1821879644","1821879644")</f>
        <v>1821879644</v>
      </c>
      <c r="D3410" s="36" t="s">
        <v>34804</v>
      </c>
      <c r="E3410" s="36" t="s">
        <v>2</v>
      </c>
      <c r="F3410" s="36">
        <v>1</v>
      </c>
      <c r="G3410" s="36">
        <v>2</v>
      </c>
      <c r="H3410" s="36">
        <v>0</v>
      </c>
      <c r="I3410" s="37">
        <v>0</v>
      </c>
      <c r="J3410" s="36"/>
      <c r="K3410" s="36" t="s">
        <v>14330</v>
      </c>
      <c r="L3410" s="36" t="s">
        <v>14330</v>
      </c>
      <c r="M3410">
        <v>2</v>
      </c>
      <c r="N3410" t="s">
        <v>14331</v>
      </c>
      <c r="O3410" t="s">
        <v>14333</v>
      </c>
    </row>
    <row r="3411" spans="1:15" x14ac:dyDescent="0.25">
      <c r="A3411" s="35" t="s">
        <v>7328</v>
      </c>
      <c r="B3411" s="36" t="s">
        <v>7329</v>
      </c>
      <c r="C3411" s="36" t="str">
        <f>HYPERLINK("https://rhld.insurance.arkansas.gov/NPILookup?Npi=1821895566","1821895566")</f>
        <v>1821895566</v>
      </c>
      <c r="D3411" s="36" t="s">
        <v>35957</v>
      </c>
      <c r="E3411" s="36" t="s">
        <v>2</v>
      </c>
      <c r="F3411" s="36">
        <v>1</v>
      </c>
      <c r="G3411" s="36">
        <v>2</v>
      </c>
      <c r="H3411" s="36">
        <v>0</v>
      </c>
      <c r="I3411" s="37">
        <v>0</v>
      </c>
      <c r="J3411" s="36"/>
      <c r="K3411" s="36" t="s">
        <v>14330</v>
      </c>
      <c r="L3411" s="36" t="s">
        <v>14330</v>
      </c>
      <c r="M3411">
        <v>2</v>
      </c>
      <c r="N3411" t="s">
        <v>14331</v>
      </c>
      <c r="O3411" t="s">
        <v>14333</v>
      </c>
    </row>
    <row r="3412" spans="1:15" x14ac:dyDescent="0.25">
      <c r="A3412" s="35" t="s">
        <v>7328</v>
      </c>
      <c r="B3412" s="36" t="s">
        <v>7329</v>
      </c>
      <c r="C3412" s="36" t="str">
        <f>HYPERLINK("https://rhld.insurance.arkansas.gov/NPILookup?Npi=1831137579","1831137579")</f>
        <v>1831137579</v>
      </c>
      <c r="D3412" s="36" t="s">
        <v>35958</v>
      </c>
      <c r="E3412" s="36" t="s">
        <v>2</v>
      </c>
      <c r="F3412" s="36">
        <v>1</v>
      </c>
      <c r="G3412" s="36">
        <v>2</v>
      </c>
      <c r="H3412" s="36">
        <v>0</v>
      </c>
      <c r="I3412" s="37">
        <v>0</v>
      </c>
      <c r="J3412" s="36"/>
      <c r="K3412" s="36" t="s">
        <v>14330</v>
      </c>
      <c r="L3412" s="36" t="s">
        <v>14330</v>
      </c>
      <c r="M3412">
        <v>1</v>
      </c>
      <c r="N3412" t="s">
        <v>14331</v>
      </c>
      <c r="O3412" t="s">
        <v>14333</v>
      </c>
    </row>
    <row r="3413" spans="1:15" x14ac:dyDescent="0.25">
      <c r="A3413" s="35" t="s">
        <v>7328</v>
      </c>
      <c r="B3413" s="36" t="s">
        <v>7329</v>
      </c>
      <c r="C3413" s="36" t="str">
        <f>HYPERLINK("https://rhld.insurance.arkansas.gov/NPILookup?Npi=1831201862","1831201862")</f>
        <v>1831201862</v>
      </c>
      <c r="D3413" s="36" t="s">
        <v>35959</v>
      </c>
      <c r="E3413" s="36" t="s">
        <v>1</v>
      </c>
      <c r="F3413" s="36">
        <v>1</v>
      </c>
      <c r="G3413" s="36">
        <v>1</v>
      </c>
      <c r="H3413" s="36">
        <v>0</v>
      </c>
      <c r="I3413" s="37">
        <v>0</v>
      </c>
      <c r="J3413" s="36" t="s">
        <v>34836</v>
      </c>
      <c r="K3413" s="36" t="s">
        <v>14330</v>
      </c>
      <c r="L3413" s="36" t="s">
        <v>14330</v>
      </c>
      <c r="M3413">
        <v>3</v>
      </c>
      <c r="N3413" t="s">
        <v>14331</v>
      </c>
      <c r="O3413" t="s">
        <v>32633</v>
      </c>
    </row>
    <row r="3414" spans="1:15" x14ac:dyDescent="0.25">
      <c r="A3414" s="35" t="s">
        <v>7328</v>
      </c>
      <c r="B3414" s="36" t="s">
        <v>7329</v>
      </c>
      <c r="C3414" s="36" t="str">
        <f>HYPERLINK("https://rhld.insurance.arkansas.gov/NPILookup?Npi=1831203157","1831203157")</f>
        <v>1831203157</v>
      </c>
      <c r="D3414" s="36" t="s">
        <v>35960</v>
      </c>
      <c r="E3414" s="36" t="s">
        <v>1</v>
      </c>
      <c r="F3414" s="36">
        <v>1</v>
      </c>
      <c r="G3414" s="36">
        <v>3</v>
      </c>
      <c r="H3414" s="36">
        <v>0</v>
      </c>
      <c r="I3414" s="37">
        <v>0</v>
      </c>
      <c r="J3414" s="36" t="s">
        <v>32654</v>
      </c>
      <c r="K3414" s="36" t="s">
        <v>14330</v>
      </c>
      <c r="L3414" s="36" t="s">
        <v>14330</v>
      </c>
      <c r="M3414">
        <v>3</v>
      </c>
      <c r="N3414" t="s">
        <v>14331</v>
      </c>
      <c r="O3414" t="s">
        <v>32633</v>
      </c>
    </row>
    <row r="3415" spans="1:15" x14ac:dyDescent="0.25">
      <c r="A3415" s="35" t="s">
        <v>7328</v>
      </c>
      <c r="B3415" s="36" t="s">
        <v>7329</v>
      </c>
      <c r="C3415" s="36" t="str">
        <f>HYPERLINK("https://rhld.insurance.arkansas.gov/NPILookup?Npi=1831308048","1831308048")</f>
        <v>1831308048</v>
      </c>
      <c r="D3415" s="36" t="s">
        <v>35961</v>
      </c>
      <c r="E3415" s="36" t="s">
        <v>1</v>
      </c>
      <c r="F3415" s="36">
        <v>1</v>
      </c>
      <c r="G3415" s="36">
        <v>3</v>
      </c>
      <c r="H3415" s="36">
        <v>0</v>
      </c>
      <c r="I3415" s="37">
        <v>0</v>
      </c>
      <c r="J3415" s="36" t="s">
        <v>34836</v>
      </c>
      <c r="K3415" s="36" t="s">
        <v>14330</v>
      </c>
      <c r="L3415" s="36" t="s">
        <v>14330</v>
      </c>
      <c r="M3415">
        <v>3</v>
      </c>
      <c r="N3415" t="s">
        <v>14331</v>
      </c>
      <c r="O3415" t="s">
        <v>32633</v>
      </c>
    </row>
    <row r="3416" spans="1:15" x14ac:dyDescent="0.25">
      <c r="A3416" s="35" t="s">
        <v>7328</v>
      </c>
      <c r="B3416" s="36" t="s">
        <v>7329</v>
      </c>
      <c r="C3416" s="36" t="str">
        <f>HYPERLINK("https://rhld.insurance.arkansas.gov/NPILookup?Npi=1831348291","1831348291")</f>
        <v>1831348291</v>
      </c>
      <c r="D3416" s="36" t="s">
        <v>35962</v>
      </c>
      <c r="E3416" s="36" t="s">
        <v>1</v>
      </c>
      <c r="F3416" s="36">
        <v>1</v>
      </c>
      <c r="G3416" s="36">
        <v>3</v>
      </c>
      <c r="H3416" s="36">
        <v>0</v>
      </c>
      <c r="I3416" s="37">
        <v>0</v>
      </c>
      <c r="J3416" s="36" t="s">
        <v>32654</v>
      </c>
      <c r="K3416" s="36" t="s">
        <v>14330</v>
      </c>
      <c r="L3416" s="36" t="s">
        <v>14330</v>
      </c>
      <c r="M3416">
        <v>3</v>
      </c>
      <c r="N3416" t="s">
        <v>14331</v>
      </c>
      <c r="O3416" t="s">
        <v>32633</v>
      </c>
    </row>
    <row r="3417" spans="1:15" x14ac:dyDescent="0.25">
      <c r="A3417" s="35" t="s">
        <v>7328</v>
      </c>
      <c r="B3417" s="36" t="s">
        <v>7329</v>
      </c>
      <c r="C3417" s="36" t="str">
        <f>HYPERLINK("https://rhld.insurance.arkansas.gov/NPILookup?Npi=1831410356","1831410356")</f>
        <v>1831410356</v>
      </c>
      <c r="D3417" s="36" t="s">
        <v>35963</v>
      </c>
      <c r="E3417" s="36" t="s">
        <v>1</v>
      </c>
      <c r="F3417" s="36">
        <v>1</v>
      </c>
      <c r="G3417" s="36">
        <v>3</v>
      </c>
      <c r="H3417" s="36">
        <v>0</v>
      </c>
      <c r="I3417" s="37">
        <v>0</v>
      </c>
      <c r="J3417" s="36" t="s">
        <v>34836</v>
      </c>
      <c r="K3417" s="36" t="s">
        <v>14330</v>
      </c>
      <c r="L3417" s="36" t="s">
        <v>14330</v>
      </c>
      <c r="M3417">
        <v>3</v>
      </c>
      <c r="N3417" t="s">
        <v>14331</v>
      </c>
      <c r="O3417" t="s">
        <v>32633</v>
      </c>
    </row>
    <row r="3418" spans="1:15" x14ac:dyDescent="0.25">
      <c r="A3418" s="35" t="s">
        <v>7328</v>
      </c>
      <c r="B3418" s="36" t="s">
        <v>7329</v>
      </c>
      <c r="C3418" s="36" t="str">
        <f>HYPERLINK("https://rhld.insurance.arkansas.gov/NPILookup?Npi=1831445261","1831445261")</f>
        <v>1831445261</v>
      </c>
      <c r="D3418" s="36" t="s">
        <v>35964</v>
      </c>
      <c r="E3418" s="36" t="s">
        <v>1</v>
      </c>
      <c r="F3418" s="36">
        <v>1</v>
      </c>
      <c r="G3418" s="36">
        <v>3</v>
      </c>
      <c r="H3418" s="36">
        <v>0</v>
      </c>
      <c r="I3418" s="37">
        <v>0</v>
      </c>
      <c r="J3418" s="36" t="s">
        <v>34836</v>
      </c>
      <c r="K3418" s="36" t="s">
        <v>14330</v>
      </c>
      <c r="L3418" s="36" t="s">
        <v>14330</v>
      </c>
      <c r="M3418">
        <v>3</v>
      </c>
      <c r="N3418" t="s">
        <v>14331</v>
      </c>
      <c r="O3418" t="s">
        <v>32633</v>
      </c>
    </row>
    <row r="3419" spans="1:15" x14ac:dyDescent="0.25">
      <c r="A3419" s="35" t="s">
        <v>7328</v>
      </c>
      <c r="B3419" s="36" t="s">
        <v>7329</v>
      </c>
      <c r="C3419" s="36" t="str">
        <f>HYPERLINK("https://rhld.insurance.arkansas.gov/NPILookup?Npi=1831465384","1831465384")</f>
        <v>1831465384</v>
      </c>
      <c r="D3419" s="36" t="s">
        <v>35965</v>
      </c>
      <c r="E3419" s="36" t="s">
        <v>1</v>
      </c>
      <c r="F3419" s="36">
        <v>1</v>
      </c>
      <c r="G3419" s="36">
        <v>3</v>
      </c>
      <c r="H3419" s="36">
        <v>0</v>
      </c>
      <c r="I3419" s="37">
        <v>0</v>
      </c>
      <c r="J3419" s="36" t="s">
        <v>34836</v>
      </c>
      <c r="K3419" s="36" t="s">
        <v>14330</v>
      </c>
      <c r="L3419" s="36" t="s">
        <v>14330</v>
      </c>
      <c r="M3419">
        <v>2</v>
      </c>
      <c r="N3419" t="s">
        <v>14331</v>
      </c>
      <c r="O3419" t="s">
        <v>32633</v>
      </c>
    </row>
    <row r="3420" spans="1:15" x14ac:dyDescent="0.25">
      <c r="A3420" s="35" t="s">
        <v>7328</v>
      </c>
      <c r="B3420" s="36" t="s">
        <v>7329</v>
      </c>
      <c r="C3420" s="36" t="str">
        <f>HYPERLINK("https://rhld.insurance.arkansas.gov/NPILookup?Npi=1831471499","1831471499")</f>
        <v>1831471499</v>
      </c>
      <c r="D3420" s="36" t="s">
        <v>35966</v>
      </c>
      <c r="E3420" s="36" t="s">
        <v>1</v>
      </c>
      <c r="F3420" s="36">
        <v>1</v>
      </c>
      <c r="G3420" s="36">
        <v>2</v>
      </c>
      <c r="H3420" s="36">
        <v>0</v>
      </c>
      <c r="I3420" s="37">
        <v>0</v>
      </c>
      <c r="J3420" s="36" t="s">
        <v>34836</v>
      </c>
      <c r="K3420" s="36" t="s">
        <v>14330</v>
      </c>
      <c r="L3420" s="36" t="s">
        <v>14330</v>
      </c>
      <c r="M3420">
        <v>2</v>
      </c>
      <c r="N3420" t="s">
        <v>14331</v>
      </c>
      <c r="O3420" t="s">
        <v>32633</v>
      </c>
    </row>
    <row r="3421" spans="1:15" x14ac:dyDescent="0.25">
      <c r="A3421" s="35" t="s">
        <v>7328</v>
      </c>
      <c r="B3421" s="36" t="s">
        <v>7329</v>
      </c>
      <c r="C3421" s="36" t="str">
        <f>HYPERLINK("https://rhld.insurance.arkansas.gov/NPILookup?Npi=1831485788","1831485788")</f>
        <v>1831485788</v>
      </c>
      <c r="D3421" s="36" t="s">
        <v>35967</v>
      </c>
      <c r="E3421" s="36" t="s">
        <v>1</v>
      </c>
      <c r="F3421" s="36">
        <v>1</v>
      </c>
      <c r="G3421" s="36">
        <v>2</v>
      </c>
      <c r="H3421" s="36">
        <v>0</v>
      </c>
      <c r="I3421" s="37">
        <v>0</v>
      </c>
      <c r="J3421" s="36" t="s">
        <v>34836</v>
      </c>
      <c r="K3421" s="36" t="s">
        <v>14330</v>
      </c>
      <c r="L3421" s="36" t="s">
        <v>14330</v>
      </c>
      <c r="M3421">
        <v>2</v>
      </c>
      <c r="N3421" t="s">
        <v>14331</v>
      </c>
      <c r="O3421" t="s">
        <v>32633</v>
      </c>
    </row>
    <row r="3422" spans="1:15" x14ac:dyDescent="0.25">
      <c r="A3422" s="35" t="s">
        <v>7328</v>
      </c>
      <c r="B3422" s="36" t="s">
        <v>7329</v>
      </c>
      <c r="C3422" s="36" t="str">
        <f>HYPERLINK("https://rhld.insurance.arkansas.gov/NPILookup?Npi=1831693076","1831693076")</f>
        <v>1831693076</v>
      </c>
      <c r="D3422" s="36" t="s">
        <v>35968</v>
      </c>
      <c r="E3422" s="36" t="s">
        <v>1</v>
      </c>
      <c r="F3422" s="36">
        <v>1</v>
      </c>
      <c r="G3422" s="36">
        <v>2</v>
      </c>
      <c r="H3422" s="36">
        <v>0</v>
      </c>
      <c r="I3422" s="37">
        <v>0</v>
      </c>
      <c r="J3422" s="36" t="s">
        <v>34836</v>
      </c>
      <c r="K3422" s="36" t="s">
        <v>14330</v>
      </c>
      <c r="L3422" s="36" t="s">
        <v>14330</v>
      </c>
      <c r="M3422">
        <v>2</v>
      </c>
      <c r="N3422" t="s">
        <v>14331</v>
      </c>
      <c r="O3422" t="s">
        <v>32633</v>
      </c>
    </row>
    <row r="3423" spans="1:15" x14ac:dyDescent="0.25">
      <c r="A3423" s="35" t="s">
        <v>7328</v>
      </c>
      <c r="B3423" s="36" t="s">
        <v>7329</v>
      </c>
      <c r="C3423" s="36" t="str">
        <f>HYPERLINK("https://rhld.insurance.arkansas.gov/NPILookup?Npi=1831712546","1831712546")</f>
        <v>1831712546</v>
      </c>
      <c r="D3423" s="36" t="s">
        <v>35969</v>
      </c>
      <c r="E3423" s="36" t="s">
        <v>1</v>
      </c>
      <c r="F3423" s="36">
        <v>1</v>
      </c>
      <c r="G3423" s="36">
        <v>2</v>
      </c>
      <c r="H3423" s="36">
        <v>0</v>
      </c>
      <c r="I3423" s="37">
        <v>0</v>
      </c>
      <c r="J3423" s="36" t="s">
        <v>34836</v>
      </c>
      <c r="K3423" s="36" t="s">
        <v>14330</v>
      </c>
      <c r="L3423" s="36" t="s">
        <v>14330</v>
      </c>
      <c r="M3423">
        <v>3</v>
      </c>
      <c r="N3423" t="s">
        <v>14331</v>
      </c>
      <c r="O3423" t="s">
        <v>32633</v>
      </c>
    </row>
    <row r="3424" spans="1:15" x14ac:dyDescent="0.25">
      <c r="A3424" s="35" t="s">
        <v>7328</v>
      </c>
      <c r="B3424" s="36" t="s">
        <v>7329</v>
      </c>
      <c r="C3424" s="36" t="str">
        <f>HYPERLINK("https://rhld.insurance.arkansas.gov/NPILookup?Npi=1831717115","1831717115")</f>
        <v>1831717115</v>
      </c>
      <c r="D3424" s="36" t="s">
        <v>35970</v>
      </c>
      <c r="E3424" s="36" t="s">
        <v>1</v>
      </c>
      <c r="F3424" s="36">
        <v>1</v>
      </c>
      <c r="G3424" s="36">
        <v>3</v>
      </c>
      <c r="H3424" s="36">
        <v>0</v>
      </c>
      <c r="I3424" s="37">
        <v>0</v>
      </c>
      <c r="J3424" s="36" t="s">
        <v>32654</v>
      </c>
      <c r="K3424" s="36" t="s">
        <v>14330</v>
      </c>
      <c r="L3424" s="36" t="s">
        <v>14330</v>
      </c>
      <c r="M3424">
        <v>2</v>
      </c>
      <c r="N3424" t="s">
        <v>14331</v>
      </c>
      <c r="O3424" t="s">
        <v>32633</v>
      </c>
    </row>
    <row r="3425" spans="1:15" x14ac:dyDescent="0.25">
      <c r="A3425" s="35" t="s">
        <v>7328</v>
      </c>
      <c r="B3425" s="36" t="s">
        <v>7329</v>
      </c>
      <c r="C3425" s="36" t="str">
        <f>HYPERLINK("https://rhld.insurance.arkansas.gov/NPILookup?Npi=1831727692","1831727692")</f>
        <v>1831727692</v>
      </c>
      <c r="D3425" s="36" t="s">
        <v>35971</v>
      </c>
      <c r="E3425" s="36" t="s">
        <v>1</v>
      </c>
      <c r="F3425" s="36">
        <v>1</v>
      </c>
      <c r="G3425" s="36">
        <v>2</v>
      </c>
      <c r="H3425" s="36">
        <v>0</v>
      </c>
      <c r="I3425" s="37">
        <v>0</v>
      </c>
      <c r="J3425" s="36" t="s">
        <v>34836</v>
      </c>
      <c r="K3425" s="36" t="s">
        <v>14330</v>
      </c>
      <c r="L3425" s="36" t="s">
        <v>14330</v>
      </c>
      <c r="M3425">
        <v>2</v>
      </c>
      <c r="N3425" t="s">
        <v>14331</v>
      </c>
      <c r="O3425" t="s">
        <v>32633</v>
      </c>
    </row>
    <row r="3426" spans="1:15" x14ac:dyDescent="0.25">
      <c r="A3426" s="35" t="s">
        <v>7328</v>
      </c>
      <c r="B3426" s="36" t="s">
        <v>7329</v>
      </c>
      <c r="C3426" s="36" t="str">
        <f>HYPERLINK("https://rhld.insurance.arkansas.gov/NPILookup?Npi=1831757053","1831757053")</f>
        <v>1831757053</v>
      </c>
      <c r="D3426" s="36" t="s">
        <v>35972</v>
      </c>
      <c r="E3426" s="36" t="s">
        <v>2</v>
      </c>
      <c r="F3426" s="36">
        <v>1</v>
      </c>
      <c r="G3426" s="36">
        <v>2</v>
      </c>
      <c r="H3426" s="36">
        <v>0</v>
      </c>
      <c r="I3426" s="37">
        <v>0</v>
      </c>
      <c r="J3426" s="36" t="s">
        <v>32679</v>
      </c>
      <c r="K3426" s="36" t="s">
        <v>14330</v>
      </c>
      <c r="L3426" s="36" t="s">
        <v>14330</v>
      </c>
      <c r="M3426">
        <v>2</v>
      </c>
      <c r="N3426" t="s">
        <v>14331</v>
      </c>
      <c r="O3426" t="s">
        <v>14333</v>
      </c>
    </row>
    <row r="3427" spans="1:15" x14ac:dyDescent="0.25">
      <c r="A3427" s="35" t="s">
        <v>7328</v>
      </c>
      <c r="B3427" s="36" t="s">
        <v>7329</v>
      </c>
      <c r="C3427" s="36" t="str">
        <f>HYPERLINK("https://rhld.insurance.arkansas.gov/NPILookup?Npi=1831831833","1831831833")</f>
        <v>1831831833</v>
      </c>
      <c r="D3427" s="36" t="s">
        <v>35973</v>
      </c>
      <c r="E3427" s="36" t="s">
        <v>1</v>
      </c>
      <c r="F3427" s="36">
        <v>1</v>
      </c>
      <c r="G3427" s="36">
        <v>2</v>
      </c>
      <c r="H3427" s="36">
        <v>0</v>
      </c>
      <c r="I3427" s="37">
        <v>0</v>
      </c>
      <c r="J3427" s="36" t="s">
        <v>32654</v>
      </c>
      <c r="K3427" s="36" t="s">
        <v>14330</v>
      </c>
      <c r="L3427" s="36" t="s">
        <v>14330</v>
      </c>
      <c r="M3427">
        <v>2</v>
      </c>
      <c r="N3427" t="s">
        <v>14331</v>
      </c>
      <c r="O3427" t="s">
        <v>32633</v>
      </c>
    </row>
    <row r="3428" spans="1:15" x14ac:dyDescent="0.25">
      <c r="A3428" s="35" t="s">
        <v>7328</v>
      </c>
      <c r="B3428" s="36" t="s">
        <v>7329</v>
      </c>
      <c r="C3428" s="36" t="str">
        <f>HYPERLINK("https://rhld.insurance.arkansas.gov/NPILookup?Npi=1831837327","1831837327")</f>
        <v>1831837327</v>
      </c>
      <c r="D3428" s="36" t="s">
        <v>35974</v>
      </c>
      <c r="E3428" s="36" t="s">
        <v>2</v>
      </c>
      <c r="F3428" s="36">
        <v>1</v>
      </c>
      <c r="G3428" s="36">
        <v>2</v>
      </c>
      <c r="H3428" s="36">
        <v>0</v>
      </c>
      <c r="I3428" s="37">
        <v>0</v>
      </c>
      <c r="J3428" s="36"/>
      <c r="K3428" s="36" t="s">
        <v>14330</v>
      </c>
      <c r="L3428" s="36" t="s">
        <v>14330</v>
      </c>
      <c r="M3428">
        <v>2</v>
      </c>
      <c r="N3428" t="s">
        <v>14331</v>
      </c>
      <c r="O3428" t="s">
        <v>14333</v>
      </c>
    </row>
    <row r="3429" spans="1:15" x14ac:dyDescent="0.25">
      <c r="A3429" s="35" t="s">
        <v>7328</v>
      </c>
      <c r="B3429" s="36" t="s">
        <v>7329</v>
      </c>
      <c r="C3429" s="36" t="str">
        <f>HYPERLINK("https://rhld.insurance.arkansas.gov/NPILookup?Npi=1831929678","1831929678")</f>
        <v>1831929678</v>
      </c>
      <c r="D3429" s="36" t="s">
        <v>35975</v>
      </c>
      <c r="E3429" s="36" t="s">
        <v>2</v>
      </c>
      <c r="F3429" s="36">
        <v>1</v>
      </c>
      <c r="G3429" s="36">
        <v>2</v>
      </c>
      <c r="H3429" s="36">
        <v>0</v>
      </c>
      <c r="I3429" s="37">
        <v>0</v>
      </c>
      <c r="J3429" s="36"/>
      <c r="K3429" s="36" t="s">
        <v>14330</v>
      </c>
      <c r="L3429" s="36" t="s">
        <v>14330</v>
      </c>
      <c r="M3429">
        <v>2</v>
      </c>
      <c r="N3429" t="s">
        <v>14331</v>
      </c>
      <c r="O3429" t="s">
        <v>14333</v>
      </c>
    </row>
    <row r="3430" spans="1:15" x14ac:dyDescent="0.25">
      <c r="A3430" s="35" t="s">
        <v>7328</v>
      </c>
      <c r="B3430" s="36" t="s">
        <v>7329</v>
      </c>
      <c r="C3430" s="36" t="str">
        <f>HYPERLINK("https://rhld.insurance.arkansas.gov/NPILookup?Npi=1841027935","1841027935")</f>
        <v>1841027935</v>
      </c>
      <c r="D3430" s="36" t="s">
        <v>35976</v>
      </c>
      <c r="E3430" s="36" t="s">
        <v>2</v>
      </c>
      <c r="F3430" s="36">
        <v>1</v>
      </c>
      <c r="G3430" s="36">
        <v>2</v>
      </c>
      <c r="H3430" s="36">
        <v>0</v>
      </c>
      <c r="I3430" s="37">
        <v>0</v>
      </c>
      <c r="J3430" s="36"/>
      <c r="K3430" s="36" t="s">
        <v>14330</v>
      </c>
      <c r="L3430" s="36" t="s">
        <v>14330</v>
      </c>
      <c r="M3430">
        <v>2</v>
      </c>
      <c r="N3430" t="s">
        <v>14331</v>
      </c>
      <c r="O3430" t="s">
        <v>14333</v>
      </c>
    </row>
    <row r="3431" spans="1:15" x14ac:dyDescent="0.25">
      <c r="A3431" s="35" t="s">
        <v>7328</v>
      </c>
      <c r="B3431" s="36" t="s">
        <v>7329</v>
      </c>
      <c r="C3431" s="36" t="str">
        <f>HYPERLINK("https://rhld.insurance.arkansas.gov/NPILookup?Npi=1841046091","1841046091")</f>
        <v>1841046091</v>
      </c>
      <c r="D3431" s="36" t="s">
        <v>35977</v>
      </c>
      <c r="E3431" s="36" t="s">
        <v>2</v>
      </c>
      <c r="F3431" s="36">
        <v>2</v>
      </c>
      <c r="G3431" s="36">
        <v>2</v>
      </c>
      <c r="H3431" s="36">
        <v>0</v>
      </c>
      <c r="I3431" s="37">
        <v>0</v>
      </c>
      <c r="J3431" s="36" t="s">
        <v>33004</v>
      </c>
      <c r="K3431" s="36" t="s">
        <v>14330</v>
      </c>
      <c r="L3431" s="36" t="s">
        <v>14330</v>
      </c>
      <c r="M3431">
        <v>2</v>
      </c>
      <c r="N3431" t="s">
        <v>14331</v>
      </c>
      <c r="O3431" t="s">
        <v>14333</v>
      </c>
    </row>
    <row r="3432" spans="1:15" x14ac:dyDescent="0.25">
      <c r="A3432" s="35" t="s">
        <v>7328</v>
      </c>
      <c r="B3432" s="36" t="s">
        <v>7329</v>
      </c>
      <c r="C3432" s="36" t="str">
        <f>HYPERLINK("https://rhld.insurance.arkansas.gov/NPILookup?Npi=1841245263","1841245263")</f>
        <v>1841245263</v>
      </c>
      <c r="D3432" s="36" t="s">
        <v>35978</v>
      </c>
      <c r="E3432" s="36" t="s">
        <v>1</v>
      </c>
      <c r="F3432" s="36">
        <v>1</v>
      </c>
      <c r="G3432" s="36">
        <v>2</v>
      </c>
      <c r="H3432" s="36">
        <v>0</v>
      </c>
      <c r="I3432" s="37">
        <v>0</v>
      </c>
      <c r="J3432" s="36" t="s">
        <v>34836</v>
      </c>
      <c r="K3432" s="36" t="s">
        <v>14330</v>
      </c>
      <c r="L3432" s="36" t="s">
        <v>14330</v>
      </c>
      <c r="M3432">
        <v>2</v>
      </c>
      <c r="N3432" t="s">
        <v>14331</v>
      </c>
      <c r="O3432" t="s">
        <v>32633</v>
      </c>
    </row>
    <row r="3433" spans="1:15" x14ac:dyDescent="0.25">
      <c r="A3433" s="35" t="s">
        <v>7328</v>
      </c>
      <c r="B3433" s="36" t="s">
        <v>7329</v>
      </c>
      <c r="C3433" s="36" t="str">
        <f>HYPERLINK("https://rhld.insurance.arkansas.gov/NPILookup?Npi=1841250875","1841250875")</f>
        <v>1841250875</v>
      </c>
      <c r="D3433" s="36" t="s">
        <v>35979</v>
      </c>
      <c r="E3433" s="36" t="s">
        <v>1</v>
      </c>
      <c r="F3433" s="36">
        <v>1</v>
      </c>
      <c r="G3433" s="36">
        <v>2</v>
      </c>
      <c r="H3433" s="36">
        <v>0</v>
      </c>
      <c r="I3433" s="37">
        <v>0</v>
      </c>
      <c r="J3433" s="36" t="s">
        <v>34836</v>
      </c>
      <c r="K3433" s="36" t="s">
        <v>14330</v>
      </c>
      <c r="L3433" s="36" t="s">
        <v>14330</v>
      </c>
      <c r="M3433">
        <v>3</v>
      </c>
      <c r="N3433" t="s">
        <v>14331</v>
      </c>
      <c r="O3433" t="s">
        <v>32633</v>
      </c>
    </row>
    <row r="3434" spans="1:15" x14ac:dyDescent="0.25">
      <c r="A3434" s="35" t="s">
        <v>7328</v>
      </c>
      <c r="B3434" s="36" t="s">
        <v>7329</v>
      </c>
      <c r="C3434" s="36" t="str">
        <f>HYPERLINK("https://rhld.insurance.arkansas.gov/NPILookup?Npi=1841268521","1841268521")</f>
        <v>1841268521</v>
      </c>
      <c r="D3434" s="36" t="s">
        <v>35980</v>
      </c>
      <c r="E3434" s="36" t="s">
        <v>1</v>
      </c>
      <c r="F3434" s="36">
        <v>1</v>
      </c>
      <c r="G3434" s="36">
        <v>3</v>
      </c>
      <c r="H3434" s="36">
        <v>0</v>
      </c>
      <c r="I3434" s="37">
        <v>0</v>
      </c>
      <c r="J3434" s="36" t="s">
        <v>34836</v>
      </c>
      <c r="K3434" s="36" t="s">
        <v>14330</v>
      </c>
      <c r="L3434" s="36" t="s">
        <v>14330</v>
      </c>
      <c r="M3434">
        <v>2</v>
      </c>
      <c r="N3434" t="s">
        <v>14331</v>
      </c>
      <c r="O3434" t="s">
        <v>32633</v>
      </c>
    </row>
    <row r="3435" spans="1:15" x14ac:dyDescent="0.25">
      <c r="A3435" s="35" t="s">
        <v>7328</v>
      </c>
      <c r="B3435" s="36" t="s">
        <v>7329</v>
      </c>
      <c r="C3435" s="36" t="str">
        <f>HYPERLINK("https://rhld.insurance.arkansas.gov/NPILookup?Npi=1841269792","1841269792")</f>
        <v>1841269792</v>
      </c>
      <c r="D3435" s="36" t="s">
        <v>35981</v>
      </c>
      <c r="E3435" s="36" t="s">
        <v>1</v>
      </c>
      <c r="F3435" s="36">
        <v>1</v>
      </c>
      <c r="G3435" s="36">
        <v>2</v>
      </c>
      <c r="H3435" s="36">
        <v>0</v>
      </c>
      <c r="I3435" s="37">
        <v>0</v>
      </c>
      <c r="J3435" s="36" t="s">
        <v>34836</v>
      </c>
      <c r="K3435" s="36" t="s">
        <v>14330</v>
      </c>
      <c r="L3435" s="36" t="s">
        <v>14330</v>
      </c>
      <c r="M3435">
        <v>3</v>
      </c>
      <c r="N3435" t="s">
        <v>14331</v>
      </c>
      <c r="O3435" t="s">
        <v>32633</v>
      </c>
    </row>
    <row r="3436" spans="1:15" x14ac:dyDescent="0.25">
      <c r="A3436" s="35" t="s">
        <v>7328</v>
      </c>
      <c r="B3436" s="36" t="s">
        <v>7329</v>
      </c>
      <c r="C3436" s="36" t="str">
        <f>HYPERLINK("https://rhld.insurance.arkansas.gov/NPILookup?Npi=1841270774","1841270774")</f>
        <v>1841270774</v>
      </c>
      <c r="D3436" s="36" t="s">
        <v>33730</v>
      </c>
      <c r="E3436" s="36" t="s">
        <v>1</v>
      </c>
      <c r="F3436" s="36">
        <v>1</v>
      </c>
      <c r="G3436" s="36">
        <v>3</v>
      </c>
      <c r="H3436" s="36">
        <v>0</v>
      </c>
      <c r="I3436" s="37">
        <v>0</v>
      </c>
      <c r="J3436" s="36" t="s">
        <v>34836</v>
      </c>
      <c r="K3436" s="36" t="s">
        <v>14330</v>
      </c>
      <c r="L3436" s="36" t="s">
        <v>14330</v>
      </c>
      <c r="M3436">
        <v>2</v>
      </c>
      <c r="N3436" t="s">
        <v>14331</v>
      </c>
      <c r="O3436" t="s">
        <v>32633</v>
      </c>
    </row>
    <row r="3437" spans="1:15" x14ac:dyDescent="0.25">
      <c r="A3437" s="35" t="s">
        <v>7328</v>
      </c>
      <c r="B3437" s="36" t="s">
        <v>7329</v>
      </c>
      <c r="C3437" s="36" t="str">
        <f>HYPERLINK("https://rhld.insurance.arkansas.gov/NPILookup?Npi=1841369907","1841369907")</f>
        <v>1841369907</v>
      </c>
      <c r="D3437" s="36" t="s">
        <v>35982</v>
      </c>
      <c r="E3437" s="36" t="s">
        <v>1</v>
      </c>
      <c r="F3437" s="36">
        <v>1</v>
      </c>
      <c r="G3437" s="36">
        <v>2</v>
      </c>
      <c r="H3437" s="36">
        <v>0</v>
      </c>
      <c r="I3437" s="37">
        <v>0</v>
      </c>
      <c r="J3437" s="36" t="s">
        <v>34836</v>
      </c>
      <c r="K3437" s="36" t="s">
        <v>14330</v>
      </c>
      <c r="L3437" s="36" t="s">
        <v>14330</v>
      </c>
      <c r="M3437">
        <v>2</v>
      </c>
      <c r="N3437" t="s">
        <v>14331</v>
      </c>
      <c r="O3437" t="s">
        <v>32633</v>
      </c>
    </row>
    <row r="3438" spans="1:15" x14ac:dyDescent="0.25">
      <c r="A3438" s="35" t="s">
        <v>7328</v>
      </c>
      <c r="B3438" s="36" t="s">
        <v>7329</v>
      </c>
      <c r="C3438" s="36" t="str">
        <f>HYPERLINK("https://rhld.insurance.arkansas.gov/NPILookup?Npi=1841391315","1841391315")</f>
        <v>1841391315</v>
      </c>
      <c r="D3438" s="36" t="s">
        <v>35983</v>
      </c>
      <c r="E3438" s="36" t="s">
        <v>2</v>
      </c>
      <c r="F3438" s="36">
        <v>1</v>
      </c>
      <c r="G3438" s="36">
        <v>2</v>
      </c>
      <c r="H3438" s="36">
        <v>0</v>
      </c>
      <c r="I3438" s="37">
        <v>0</v>
      </c>
      <c r="J3438" s="36"/>
      <c r="K3438" s="36" t="s">
        <v>14330</v>
      </c>
      <c r="L3438" s="36" t="s">
        <v>14330</v>
      </c>
      <c r="M3438">
        <v>1</v>
      </c>
      <c r="N3438" t="s">
        <v>14331</v>
      </c>
      <c r="O3438" t="s">
        <v>14333</v>
      </c>
    </row>
    <row r="3439" spans="1:15" x14ac:dyDescent="0.25">
      <c r="A3439" s="35" t="s">
        <v>7328</v>
      </c>
      <c r="B3439" s="36" t="s">
        <v>7329</v>
      </c>
      <c r="C3439" s="36" t="str">
        <f>HYPERLINK("https://rhld.insurance.arkansas.gov/NPILookup?Npi=1841469756","1841469756")</f>
        <v>1841469756</v>
      </c>
      <c r="D3439" s="36" t="s">
        <v>35984</v>
      </c>
      <c r="E3439" s="36" t="s">
        <v>1</v>
      </c>
      <c r="F3439" s="36">
        <v>1</v>
      </c>
      <c r="G3439" s="36">
        <v>1</v>
      </c>
      <c r="H3439" s="36">
        <v>0</v>
      </c>
      <c r="I3439" s="37">
        <v>0</v>
      </c>
      <c r="J3439" s="36" t="s">
        <v>34836</v>
      </c>
      <c r="K3439" s="36" t="s">
        <v>14330</v>
      </c>
      <c r="L3439" s="36" t="s">
        <v>14330</v>
      </c>
      <c r="M3439">
        <v>3</v>
      </c>
      <c r="N3439" t="s">
        <v>14331</v>
      </c>
      <c r="O3439" t="s">
        <v>32633</v>
      </c>
    </row>
    <row r="3440" spans="1:15" x14ac:dyDescent="0.25">
      <c r="A3440" s="35" t="s">
        <v>7328</v>
      </c>
      <c r="B3440" s="36" t="s">
        <v>7329</v>
      </c>
      <c r="C3440" s="36" t="str">
        <f>HYPERLINK("https://rhld.insurance.arkansas.gov/NPILookup?Npi=1841595386","1841595386")</f>
        <v>1841595386</v>
      </c>
      <c r="D3440" s="36" t="s">
        <v>35985</v>
      </c>
      <c r="E3440" s="36" t="s">
        <v>1</v>
      </c>
      <c r="F3440" s="36">
        <v>1</v>
      </c>
      <c r="G3440" s="36">
        <v>3</v>
      </c>
      <c r="H3440" s="36">
        <v>0</v>
      </c>
      <c r="I3440" s="37">
        <v>0</v>
      </c>
      <c r="J3440" s="36" t="s">
        <v>32654</v>
      </c>
      <c r="K3440" s="36" t="s">
        <v>14330</v>
      </c>
      <c r="L3440" s="36" t="s">
        <v>14330</v>
      </c>
      <c r="M3440">
        <v>3</v>
      </c>
      <c r="N3440" t="s">
        <v>14331</v>
      </c>
      <c r="O3440" t="s">
        <v>32633</v>
      </c>
    </row>
    <row r="3441" spans="1:15" x14ac:dyDescent="0.25">
      <c r="A3441" s="35" t="s">
        <v>7328</v>
      </c>
      <c r="B3441" s="36" t="s">
        <v>7329</v>
      </c>
      <c r="C3441" s="36" t="str">
        <f>HYPERLINK("https://rhld.insurance.arkansas.gov/NPILookup?Npi=1841622008","1841622008")</f>
        <v>1841622008</v>
      </c>
      <c r="D3441" s="36" t="s">
        <v>35986</v>
      </c>
      <c r="E3441" s="36" t="s">
        <v>1</v>
      </c>
      <c r="F3441" s="36">
        <v>1</v>
      </c>
      <c r="G3441" s="36">
        <v>3</v>
      </c>
      <c r="H3441" s="36">
        <v>0</v>
      </c>
      <c r="I3441" s="37">
        <v>0</v>
      </c>
      <c r="J3441" s="36" t="s">
        <v>34836</v>
      </c>
      <c r="K3441" s="36" t="s">
        <v>14330</v>
      </c>
      <c r="L3441" s="36" t="s">
        <v>14330</v>
      </c>
      <c r="M3441">
        <v>4</v>
      </c>
      <c r="N3441" t="s">
        <v>14331</v>
      </c>
      <c r="O3441" t="s">
        <v>32633</v>
      </c>
    </row>
    <row r="3442" spans="1:15" x14ac:dyDescent="0.25">
      <c r="A3442" s="35" t="s">
        <v>7328</v>
      </c>
      <c r="B3442" s="36" t="s">
        <v>7329</v>
      </c>
      <c r="C3442" s="36" t="str">
        <f>HYPERLINK("https://rhld.insurance.arkansas.gov/NPILookup?Npi=1841625308","1841625308")</f>
        <v>1841625308</v>
      </c>
      <c r="D3442" s="36" t="s">
        <v>35987</v>
      </c>
      <c r="E3442" s="36" t="s">
        <v>1</v>
      </c>
      <c r="F3442" s="36">
        <v>1</v>
      </c>
      <c r="G3442" s="36">
        <v>4</v>
      </c>
      <c r="H3442" s="36">
        <v>0</v>
      </c>
      <c r="I3442" s="37">
        <v>0</v>
      </c>
      <c r="J3442" s="36" t="s">
        <v>32654</v>
      </c>
      <c r="K3442" s="36" t="s">
        <v>35988</v>
      </c>
      <c r="L3442" s="36" t="s">
        <v>14330</v>
      </c>
      <c r="M3442">
        <v>2</v>
      </c>
      <c r="N3442" t="s">
        <v>14331</v>
      </c>
      <c r="O3442" t="s">
        <v>32633</v>
      </c>
    </row>
    <row r="3443" spans="1:15" x14ac:dyDescent="0.25">
      <c r="A3443" s="35" t="s">
        <v>7328</v>
      </c>
      <c r="B3443" s="36" t="s">
        <v>7329</v>
      </c>
      <c r="C3443" s="36" t="str">
        <f>HYPERLINK("https://rhld.insurance.arkansas.gov/NPILookup?Npi=1841636792","1841636792")</f>
        <v>1841636792</v>
      </c>
      <c r="D3443" s="36" t="s">
        <v>35989</v>
      </c>
      <c r="E3443" s="36" t="s">
        <v>1</v>
      </c>
      <c r="F3443" s="36">
        <v>1</v>
      </c>
      <c r="G3443" s="36">
        <v>2</v>
      </c>
      <c r="H3443" s="36">
        <v>0</v>
      </c>
      <c r="I3443" s="37">
        <v>0</v>
      </c>
      <c r="J3443" s="36" t="s">
        <v>34836</v>
      </c>
      <c r="K3443" s="36" t="s">
        <v>14330</v>
      </c>
      <c r="L3443" s="36" t="s">
        <v>14330</v>
      </c>
      <c r="M3443">
        <v>2</v>
      </c>
      <c r="N3443" t="s">
        <v>14331</v>
      </c>
      <c r="O3443" t="s">
        <v>32633</v>
      </c>
    </row>
    <row r="3444" spans="1:15" x14ac:dyDescent="0.25">
      <c r="A3444" s="35" t="s">
        <v>7328</v>
      </c>
      <c r="B3444" s="36" t="s">
        <v>7329</v>
      </c>
      <c r="C3444" s="36" t="str">
        <f>HYPERLINK("https://rhld.insurance.arkansas.gov/NPILookup?Npi=1841829405","1841829405")</f>
        <v>1841829405</v>
      </c>
      <c r="D3444" s="36" t="s">
        <v>35990</v>
      </c>
      <c r="E3444" s="36" t="s">
        <v>1</v>
      </c>
      <c r="F3444" s="36">
        <v>1</v>
      </c>
      <c r="G3444" s="36">
        <v>2</v>
      </c>
      <c r="H3444" s="36">
        <v>0</v>
      </c>
      <c r="I3444" s="37">
        <v>0</v>
      </c>
      <c r="J3444" s="36" t="s">
        <v>32654</v>
      </c>
      <c r="K3444" s="36" t="s">
        <v>14330</v>
      </c>
      <c r="L3444" s="36" t="s">
        <v>14330</v>
      </c>
      <c r="M3444">
        <v>2</v>
      </c>
      <c r="N3444" t="s">
        <v>14331</v>
      </c>
      <c r="O3444" t="s">
        <v>32633</v>
      </c>
    </row>
    <row r="3445" spans="1:15" x14ac:dyDescent="0.25">
      <c r="A3445" s="35" t="s">
        <v>7328</v>
      </c>
      <c r="B3445" s="36" t="s">
        <v>7329</v>
      </c>
      <c r="C3445" s="36" t="str">
        <f>HYPERLINK("https://rhld.insurance.arkansas.gov/NPILookup?Npi=1841829751","1841829751")</f>
        <v>1841829751</v>
      </c>
      <c r="D3445" s="36" t="s">
        <v>35991</v>
      </c>
      <c r="E3445" s="36" t="s">
        <v>1</v>
      </c>
      <c r="F3445" s="36">
        <v>1</v>
      </c>
      <c r="G3445" s="36">
        <v>2</v>
      </c>
      <c r="H3445" s="36">
        <v>0</v>
      </c>
      <c r="I3445" s="37">
        <v>0</v>
      </c>
      <c r="J3445" s="36" t="s">
        <v>34836</v>
      </c>
      <c r="K3445" s="36" t="s">
        <v>14330</v>
      </c>
      <c r="L3445" s="36" t="s">
        <v>14330</v>
      </c>
      <c r="M3445">
        <v>2</v>
      </c>
      <c r="N3445" t="s">
        <v>14331</v>
      </c>
      <c r="O3445" t="s">
        <v>32633</v>
      </c>
    </row>
    <row r="3446" spans="1:15" x14ac:dyDescent="0.25">
      <c r="A3446" s="35" t="s">
        <v>7328</v>
      </c>
      <c r="B3446" s="36" t="s">
        <v>7329</v>
      </c>
      <c r="C3446" s="36" t="str">
        <f>HYPERLINK("https://rhld.insurance.arkansas.gov/NPILookup?Npi=1841911831","1841911831")</f>
        <v>1841911831</v>
      </c>
      <c r="D3446" s="36" t="s">
        <v>35992</v>
      </c>
      <c r="E3446" s="36" t="s">
        <v>1</v>
      </c>
      <c r="F3446" s="36">
        <v>1</v>
      </c>
      <c r="G3446" s="36">
        <v>2</v>
      </c>
      <c r="H3446" s="36">
        <v>0</v>
      </c>
      <c r="I3446" s="37">
        <v>0</v>
      </c>
      <c r="J3446" s="36" t="s">
        <v>32654</v>
      </c>
      <c r="K3446" s="36" t="s">
        <v>14330</v>
      </c>
      <c r="L3446" s="36" t="s">
        <v>14330</v>
      </c>
      <c r="M3446">
        <v>2</v>
      </c>
      <c r="N3446" t="s">
        <v>14331</v>
      </c>
      <c r="O3446" t="s">
        <v>32633</v>
      </c>
    </row>
    <row r="3447" spans="1:15" x14ac:dyDescent="0.25">
      <c r="A3447" s="35" t="s">
        <v>7328</v>
      </c>
      <c r="B3447" s="36" t="s">
        <v>7329</v>
      </c>
      <c r="C3447" s="36" t="str">
        <f>HYPERLINK("https://rhld.insurance.arkansas.gov/NPILookup?Npi=1841922937","1841922937")</f>
        <v>1841922937</v>
      </c>
      <c r="D3447" s="36" t="s">
        <v>35993</v>
      </c>
      <c r="E3447" s="36" t="s">
        <v>2</v>
      </c>
      <c r="F3447" s="36">
        <v>1</v>
      </c>
      <c r="G3447" s="36">
        <v>2</v>
      </c>
      <c r="H3447" s="36">
        <v>0</v>
      </c>
      <c r="I3447" s="37">
        <v>0</v>
      </c>
      <c r="J3447" s="36"/>
      <c r="K3447" s="36" t="s">
        <v>14330</v>
      </c>
      <c r="L3447" s="36" t="s">
        <v>14330</v>
      </c>
      <c r="M3447">
        <v>1</v>
      </c>
      <c r="N3447" t="s">
        <v>14331</v>
      </c>
      <c r="O3447" t="s">
        <v>14333</v>
      </c>
    </row>
    <row r="3448" spans="1:15" x14ac:dyDescent="0.25">
      <c r="A3448" s="35" t="s">
        <v>7328</v>
      </c>
      <c r="B3448" s="36" t="s">
        <v>7329</v>
      </c>
      <c r="C3448" s="36" t="str">
        <f>HYPERLINK("https://rhld.insurance.arkansas.gov/NPILookup?Npi=1851102727","1851102727")</f>
        <v>1851102727</v>
      </c>
      <c r="D3448" s="36" t="s">
        <v>35994</v>
      </c>
      <c r="E3448" s="36" t="s">
        <v>2</v>
      </c>
      <c r="F3448" s="36">
        <v>1</v>
      </c>
      <c r="G3448" s="36">
        <v>1</v>
      </c>
      <c r="H3448" s="36">
        <v>0</v>
      </c>
      <c r="I3448" s="37">
        <v>0</v>
      </c>
      <c r="J3448" s="36"/>
      <c r="K3448" s="36" t="s">
        <v>14330</v>
      </c>
      <c r="L3448" s="36" t="s">
        <v>14330</v>
      </c>
      <c r="M3448">
        <v>2</v>
      </c>
      <c r="N3448" t="s">
        <v>14331</v>
      </c>
      <c r="O3448" t="s">
        <v>32633</v>
      </c>
    </row>
    <row r="3449" spans="1:15" x14ac:dyDescent="0.25">
      <c r="A3449" s="35" t="s">
        <v>7328</v>
      </c>
      <c r="B3449" s="36" t="s">
        <v>7329</v>
      </c>
      <c r="C3449" s="36" t="str">
        <f>HYPERLINK("https://rhld.insurance.arkansas.gov/NPILookup?Npi=1851387930","1851387930")</f>
        <v>1851387930</v>
      </c>
      <c r="D3449" s="36" t="s">
        <v>35995</v>
      </c>
      <c r="E3449" s="36" t="s">
        <v>1</v>
      </c>
      <c r="F3449" s="36">
        <v>1</v>
      </c>
      <c r="G3449" s="36">
        <v>2</v>
      </c>
      <c r="H3449" s="36">
        <v>0</v>
      </c>
      <c r="I3449" s="37">
        <v>0</v>
      </c>
      <c r="J3449" s="36" t="s">
        <v>32654</v>
      </c>
      <c r="K3449" s="36" t="s">
        <v>14330</v>
      </c>
      <c r="L3449" s="36" t="s">
        <v>14330</v>
      </c>
      <c r="M3449">
        <v>3</v>
      </c>
      <c r="N3449" t="s">
        <v>14331</v>
      </c>
      <c r="O3449" t="s">
        <v>32633</v>
      </c>
    </row>
    <row r="3450" spans="1:15" x14ac:dyDescent="0.25">
      <c r="A3450" s="35" t="s">
        <v>7328</v>
      </c>
      <c r="B3450" s="36" t="s">
        <v>7329</v>
      </c>
      <c r="C3450" s="36" t="str">
        <f>HYPERLINK("https://rhld.insurance.arkansas.gov/NPILookup?Npi=1851574198","1851574198")</f>
        <v>1851574198</v>
      </c>
      <c r="D3450" s="36" t="s">
        <v>35996</v>
      </c>
      <c r="E3450" s="36" t="s">
        <v>1</v>
      </c>
      <c r="F3450" s="36">
        <v>1</v>
      </c>
      <c r="G3450" s="36">
        <v>3</v>
      </c>
      <c r="H3450" s="36">
        <v>0</v>
      </c>
      <c r="I3450" s="37">
        <v>0</v>
      </c>
      <c r="J3450" s="36" t="s">
        <v>32654</v>
      </c>
      <c r="K3450" s="36" t="s">
        <v>14330</v>
      </c>
      <c r="L3450" s="36" t="s">
        <v>14330</v>
      </c>
      <c r="M3450">
        <v>3</v>
      </c>
      <c r="N3450" t="s">
        <v>14331</v>
      </c>
      <c r="O3450" t="s">
        <v>32633</v>
      </c>
    </row>
    <row r="3451" spans="1:15" x14ac:dyDescent="0.25">
      <c r="A3451" s="35" t="s">
        <v>7328</v>
      </c>
      <c r="B3451" s="36" t="s">
        <v>7329</v>
      </c>
      <c r="C3451" s="36" t="str">
        <f>HYPERLINK("https://rhld.insurance.arkansas.gov/NPILookup?Npi=1851681860","1851681860")</f>
        <v>1851681860</v>
      </c>
      <c r="D3451" s="36" t="s">
        <v>35997</v>
      </c>
      <c r="E3451" s="36" t="s">
        <v>1</v>
      </c>
      <c r="F3451" s="36">
        <v>1</v>
      </c>
      <c r="G3451" s="36">
        <v>3</v>
      </c>
      <c r="H3451" s="36">
        <v>0</v>
      </c>
      <c r="I3451" s="37">
        <v>0</v>
      </c>
      <c r="J3451" s="36" t="s">
        <v>34836</v>
      </c>
      <c r="K3451" s="36" t="s">
        <v>14330</v>
      </c>
      <c r="L3451" s="36" t="s">
        <v>14330</v>
      </c>
      <c r="M3451">
        <v>2</v>
      </c>
      <c r="N3451" t="s">
        <v>14331</v>
      </c>
      <c r="O3451" t="s">
        <v>32633</v>
      </c>
    </row>
    <row r="3452" spans="1:15" x14ac:dyDescent="0.25">
      <c r="A3452" s="35" t="s">
        <v>7328</v>
      </c>
      <c r="B3452" s="36" t="s">
        <v>7329</v>
      </c>
      <c r="C3452" s="36" t="str">
        <f>HYPERLINK("https://rhld.insurance.arkansas.gov/NPILookup?Npi=1851707160","1851707160")</f>
        <v>1851707160</v>
      </c>
      <c r="D3452" s="36" t="s">
        <v>35998</v>
      </c>
      <c r="E3452" s="36" t="s">
        <v>1</v>
      </c>
      <c r="F3452" s="36">
        <v>1</v>
      </c>
      <c r="G3452" s="36">
        <v>2</v>
      </c>
      <c r="H3452" s="36">
        <v>0</v>
      </c>
      <c r="I3452" s="37">
        <v>0</v>
      </c>
      <c r="J3452" s="36" t="s">
        <v>34836</v>
      </c>
      <c r="K3452" s="36" t="s">
        <v>14330</v>
      </c>
      <c r="L3452" s="36" t="s">
        <v>14330</v>
      </c>
      <c r="M3452">
        <v>2</v>
      </c>
      <c r="N3452" t="s">
        <v>14331</v>
      </c>
      <c r="O3452" t="s">
        <v>32633</v>
      </c>
    </row>
    <row r="3453" spans="1:15" x14ac:dyDescent="0.25">
      <c r="A3453" s="35" t="s">
        <v>7328</v>
      </c>
      <c r="B3453" s="36" t="s">
        <v>7329</v>
      </c>
      <c r="C3453" s="36" t="str">
        <f>HYPERLINK("https://rhld.insurance.arkansas.gov/NPILookup?Npi=1851742084","1851742084")</f>
        <v>1851742084</v>
      </c>
      <c r="D3453" s="36" t="s">
        <v>35999</v>
      </c>
      <c r="E3453" s="36" t="s">
        <v>1</v>
      </c>
      <c r="F3453" s="36">
        <v>1</v>
      </c>
      <c r="G3453" s="36">
        <v>2</v>
      </c>
      <c r="H3453" s="36">
        <v>0</v>
      </c>
      <c r="I3453" s="37">
        <v>0</v>
      </c>
      <c r="J3453" s="36" t="s">
        <v>34836</v>
      </c>
      <c r="K3453" s="36" t="s">
        <v>14330</v>
      </c>
      <c r="L3453" s="36" t="s">
        <v>14330</v>
      </c>
      <c r="M3453">
        <v>2</v>
      </c>
      <c r="N3453" t="s">
        <v>14331</v>
      </c>
      <c r="O3453" t="s">
        <v>32633</v>
      </c>
    </row>
    <row r="3454" spans="1:15" x14ac:dyDescent="0.25">
      <c r="A3454" s="35" t="s">
        <v>7328</v>
      </c>
      <c r="B3454" s="36" t="s">
        <v>7329</v>
      </c>
      <c r="C3454" s="36" t="str">
        <f>HYPERLINK("https://rhld.insurance.arkansas.gov/NPILookup?Npi=1851822902","1851822902")</f>
        <v>1851822902</v>
      </c>
      <c r="D3454" s="36" t="s">
        <v>36000</v>
      </c>
      <c r="E3454" s="36" t="s">
        <v>1</v>
      </c>
      <c r="F3454" s="36">
        <v>1</v>
      </c>
      <c r="G3454" s="36">
        <v>2</v>
      </c>
      <c r="H3454" s="36">
        <v>0</v>
      </c>
      <c r="I3454" s="37">
        <v>0</v>
      </c>
      <c r="J3454" s="36" t="s">
        <v>34836</v>
      </c>
      <c r="K3454" s="36" t="s">
        <v>14330</v>
      </c>
      <c r="L3454" s="36" t="s">
        <v>14330</v>
      </c>
      <c r="M3454">
        <v>1</v>
      </c>
      <c r="N3454" t="s">
        <v>14331</v>
      </c>
      <c r="O3454" t="s">
        <v>32633</v>
      </c>
    </row>
    <row r="3455" spans="1:15" x14ac:dyDescent="0.25">
      <c r="A3455" s="35" t="s">
        <v>7328</v>
      </c>
      <c r="B3455" s="36" t="s">
        <v>7329</v>
      </c>
      <c r="C3455" s="36" t="str">
        <f>HYPERLINK("https://rhld.insurance.arkansas.gov/NPILookup?Npi=1851893697","1851893697")</f>
        <v>1851893697</v>
      </c>
      <c r="D3455" s="36" t="s">
        <v>36001</v>
      </c>
      <c r="E3455" s="36" t="s">
        <v>1</v>
      </c>
      <c r="F3455" s="36">
        <v>1</v>
      </c>
      <c r="G3455" s="36">
        <v>1</v>
      </c>
      <c r="H3455" s="36">
        <v>0</v>
      </c>
      <c r="I3455" s="37">
        <v>0</v>
      </c>
      <c r="J3455" s="36" t="s">
        <v>34836</v>
      </c>
      <c r="K3455" s="36" t="s">
        <v>14330</v>
      </c>
      <c r="L3455" s="36" t="s">
        <v>14330</v>
      </c>
      <c r="M3455">
        <v>2</v>
      </c>
      <c r="N3455" t="s">
        <v>14331</v>
      </c>
      <c r="O3455" t="s">
        <v>32633</v>
      </c>
    </row>
    <row r="3456" spans="1:15" x14ac:dyDescent="0.25">
      <c r="A3456" s="35" t="s">
        <v>7328</v>
      </c>
      <c r="B3456" s="36" t="s">
        <v>7329</v>
      </c>
      <c r="C3456" s="36" t="str">
        <f>HYPERLINK("https://rhld.insurance.arkansas.gov/NPILookup?Npi=1851919245","1851919245")</f>
        <v>1851919245</v>
      </c>
      <c r="D3456" s="36" t="s">
        <v>36002</v>
      </c>
      <c r="E3456" s="36" t="s">
        <v>1</v>
      </c>
      <c r="F3456" s="36">
        <v>1</v>
      </c>
      <c r="G3456" s="36">
        <v>2</v>
      </c>
      <c r="H3456" s="36">
        <v>0</v>
      </c>
      <c r="I3456" s="37">
        <v>0</v>
      </c>
      <c r="J3456" s="36" t="s">
        <v>34836</v>
      </c>
      <c r="K3456" s="36" t="s">
        <v>14330</v>
      </c>
      <c r="L3456" s="36" t="s">
        <v>14330</v>
      </c>
      <c r="M3456">
        <v>2</v>
      </c>
      <c r="N3456" t="s">
        <v>14331</v>
      </c>
      <c r="O3456" t="s">
        <v>32633</v>
      </c>
    </row>
    <row r="3457" spans="1:15" x14ac:dyDescent="0.25">
      <c r="A3457" s="35" t="s">
        <v>7328</v>
      </c>
      <c r="B3457" s="36" t="s">
        <v>7329</v>
      </c>
      <c r="C3457" s="36" t="str">
        <f>HYPERLINK("https://rhld.insurance.arkansas.gov/NPILookup?Npi=1851977227","1851977227")</f>
        <v>1851977227</v>
      </c>
      <c r="D3457" s="36" t="s">
        <v>36003</v>
      </c>
      <c r="E3457" s="36" t="s">
        <v>2</v>
      </c>
      <c r="F3457" s="36">
        <v>1</v>
      </c>
      <c r="G3457" s="36">
        <v>2</v>
      </c>
      <c r="H3457" s="36">
        <v>0</v>
      </c>
      <c r="I3457" s="37">
        <v>0</v>
      </c>
      <c r="J3457" s="36"/>
      <c r="K3457" s="36" t="s">
        <v>14330</v>
      </c>
      <c r="L3457" s="36" t="s">
        <v>14330</v>
      </c>
      <c r="M3457">
        <v>2</v>
      </c>
      <c r="N3457" t="s">
        <v>14331</v>
      </c>
      <c r="O3457" t="s">
        <v>14333</v>
      </c>
    </row>
    <row r="3458" spans="1:15" x14ac:dyDescent="0.25">
      <c r="A3458" s="35" t="s">
        <v>7328</v>
      </c>
      <c r="B3458" s="36" t="s">
        <v>7329</v>
      </c>
      <c r="C3458" s="36" t="str">
        <f>HYPERLINK("https://rhld.insurance.arkansas.gov/NPILookup?Npi=1861021636","1861021636")</f>
        <v>1861021636</v>
      </c>
      <c r="D3458" s="36" t="s">
        <v>36004</v>
      </c>
      <c r="E3458" s="36" t="s">
        <v>1</v>
      </c>
      <c r="F3458" s="36">
        <v>1</v>
      </c>
      <c r="G3458" s="36">
        <v>2</v>
      </c>
      <c r="H3458" s="36">
        <v>0</v>
      </c>
      <c r="I3458" s="37">
        <v>0</v>
      </c>
      <c r="J3458" s="36" t="s">
        <v>32723</v>
      </c>
      <c r="K3458" s="36" t="s">
        <v>14330</v>
      </c>
      <c r="L3458" s="36" t="s">
        <v>14330</v>
      </c>
      <c r="M3458">
        <v>3</v>
      </c>
      <c r="N3458" t="s">
        <v>14331</v>
      </c>
      <c r="O3458" t="s">
        <v>32724</v>
      </c>
    </row>
    <row r="3459" spans="1:15" x14ac:dyDescent="0.25">
      <c r="A3459" s="35" t="s">
        <v>7328</v>
      </c>
      <c r="B3459" s="36" t="s">
        <v>7329</v>
      </c>
      <c r="C3459" s="36" t="str">
        <f>HYPERLINK("https://rhld.insurance.arkansas.gov/NPILookup?Npi=1861186181","1861186181")</f>
        <v>1861186181</v>
      </c>
      <c r="D3459" s="36" t="s">
        <v>36005</v>
      </c>
      <c r="E3459" s="36" t="s">
        <v>1</v>
      </c>
      <c r="F3459" s="36">
        <v>1</v>
      </c>
      <c r="G3459" s="36">
        <v>3</v>
      </c>
      <c r="H3459" s="36">
        <v>0</v>
      </c>
      <c r="I3459" s="37">
        <v>0</v>
      </c>
      <c r="J3459" s="36" t="s">
        <v>32654</v>
      </c>
      <c r="K3459" s="36" t="s">
        <v>14330</v>
      </c>
      <c r="L3459" s="36" t="s">
        <v>14330</v>
      </c>
      <c r="M3459">
        <v>2</v>
      </c>
      <c r="N3459" t="s">
        <v>14331</v>
      </c>
      <c r="O3459" t="s">
        <v>32633</v>
      </c>
    </row>
    <row r="3460" spans="1:15" x14ac:dyDescent="0.25">
      <c r="A3460" s="35" t="s">
        <v>7328</v>
      </c>
      <c r="B3460" s="36" t="s">
        <v>7329</v>
      </c>
      <c r="C3460" s="36" t="str">
        <f>HYPERLINK("https://rhld.insurance.arkansas.gov/NPILookup?Npi=1861239279","1861239279")</f>
        <v>1861239279</v>
      </c>
      <c r="D3460" s="36" t="s">
        <v>36006</v>
      </c>
      <c r="E3460" s="36" t="s">
        <v>2</v>
      </c>
      <c r="F3460" s="36">
        <v>1</v>
      </c>
      <c r="G3460" s="36">
        <v>2</v>
      </c>
      <c r="H3460" s="36">
        <v>0</v>
      </c>
      <c r="I3460" s="37">
        <v>0</v>
      </c>
      <c r="J3460" s="36"/>
      <c r="K3460" s="36" t="s">
        <v>14330</v>
      </c>
      <c r="L3460" s="36" t="s">
        <v>14330</v>
      </c>
      <c r="M3460">
        <v>2</v>
      </c>
      <c r="N3460" t="s">
        <v>14331</v>
      </c>
      <c r="O3460" t="s">
        <v>14333</v>
      </c>
    </row>
    <row r="3461" spans="1:15" x14ac:dyDescent="0.25">
      <c r="A3461" s="35" t="s">
        <v>7328</v>
      </c>
      <c r="B3461" s="36" t="s">
        <v>7329</v>
      </c>
      <c r="C3461" s="36" t="str">
        <f>HYPERLINK("https://rhld.insurance.arkansas.gov/NPILookup?Npi=1861458069","1861458069")</f>
        <v>1861458069</v>
      </c>
      <c r="D3461" s="36" t="s">
        <v>36007</v>
      </c>
      <c r="E3461" s="36" t="s">
        <v>1</v>
      </c>
      <c r="F3461" s="36">
        <v>1</v>
      </c>
      <c r="G3461" s="36">
        <v>2</v>
      </c>
      <c r="H3461" s="36">
        <v>0</v>
      </c>
      <c r="I3461" s="37">
        <v>0</v>
      </c>
      <c r="J3461" s="36" t="s">
        <v>32723</v>
      </c>
      <c r="K3461" s="36" t="s">
        <v>14330</v>
      </c>
      <c r="L3461" s="36" t="s">
        <v>14330</v>
      </c>
      <c r="M3461">
        <v>3</v>
      </c>
      <c r="N3461" t="s">
        <v>14331</v>
      </c>
      <c r="O3461" t="s">
        <v>32724</v>
      </c>
    </row>
    <row r="3462" spans="1:15" x14ac:dyDescent="0.25">
      <c r="A3462" s="35" t="s">
        <v>7328</v>
      </c>
      <c r="B3462" s="36" t="s">
        <v>7329</v>
      </c>
      <c r="C3462" s="36" t="str">
        <f>HYPERLINK("https://rhld.insurance.arkansas.gov/NPILookup?Npi=1861491854","1861491854")</f>
        <v>1861491854</v>
      </c>
      <c r="D3462" s="36" t="s">
        <v>36008</v>
      </c>
      <c r="E3462" s="36" t="s">
        <v>1</v>
      </c>
      <c r="F3462" s="36">
        <v>1</v>
      </c>
      <c r="G3462" s="36">
        <v>3</v>
      </c>
      <c r="H3462" s="36">
        <v>0</v>
      </c>
      <c r="I3462" s="37">
        <v>0</v>
      </c>
      <c r="J3462" s="36" t="s">
        <v>34836</v>
      </c>
      <c r="K3462" s="36" t="s">
        <v>14330</v>
      </c>
      <c r="L3462" s="36" t="s">
        <v>14330</v>
      </c>
      <c r="M3462">
        <v>3</v>
      </c>
      <c r="N3462" t="s">
        <v>14331</v>
      </c>
      <c r="O3462" t="s">
        <v>32633</v>
      </c>
    </row>
    <row r="3463" spans="1:15" x14ac:dyDescent="0.25">
      <c r="A3463" s="35" t="s">
        <v>7328</v>
      </c>
      <c r="B3463" s="36" t="s">
        <v>7329</v>
      </c>
      <c r="C3463" s="36" t="str">
        <f>HYPERLINK("https://rhld.insurance.arkansas.gov/NPILookup?Npi=1861497349","1861497349")</f>
        <v>1861497349</v>
      </c>
      <c r="D3463" s="36" t="s">
        <v>36009</v>
      </c>
      <c r="E3463" s="36" t="s">
        <v>1</v>
      </c>
      <c r="F3463" s="36">
        <v>1</v>
      </c>
      <c r="G3463" s="36">
        <v>3</v>
      </c>
      <c r="H3463" s="36">
        <v>0</v>
      </c>
      <c r="I3463" s="37">
        <v>0</v>
      </c>
      <c r="J3463" s="36" t="s">
        <v>34836</v>
      </c>
      <c r="K3463" s="36" t="s">
        <v>14330</v>
      </c>
      <c r="L3463" s="36" t="s">
        <v>14330</v>
      </c>
      <c r="M3463">
        <v>2</v>
      </c>
      <c r="N3463" t="s">
        <v>14331</v>
      </c>
      <c r="O3463" t="s">
        <v>32633</v>
      </c>
    </row>
    <row r="3464" spans="1:15" x14ac:dyDescent="0.25">
      <c r="A3464" s="35" t="s">
        <v>7328</v>
      </c>
      <c r="B3464" s="36" t="s">
        <v>7329</v>
      </c>
      <c r="C3464" s="36" t="str">
        <f>HYPERLINK("https://rhld.insurance.arkansas.gov/NPILookup?Npi=1861684060","1861684060")</f>
        <v>1861684060</v>
      </c>
      <c r="D3464" s="36" t="s">
        <v>36010</v>
      </c>
      <c r="E3464" s="36" t="s">
        <v>1</v>
      </c>
      <c r="F3464" s="36">
        <v>1</v>
      </c>
      <c r="G3464" s="36">
        <v>2</v>
      </c>
      <c r="H3464" s="36">
        <v>0</v>
      </c>
      <c r="I3464" s="37">
        <v>0</v>
      </c>
      <c r="J3464" s="36" t="s">
        <v>32654</v>
      </c>
      <c r="K3464" s="36" t="s">
        <v>14330</v>
      </c>
      <c r="L3464" s="36" t="s">
        <v>14330</v>
      </c>
      <c r="M3464">
        <v>3</v>
      </c>
      <c r="N3464" t="s">
        <v>14331</v>
      </c>
      <c r="O3464" t="s">
        <v>32633</v>
      </c>
    </row>
    <row r="3465" spans="1:15" x14ac:dyDescent="0.25">
      <c r="A3465" s="35" t="s">
        <v>7328</v>
      </c>
      <c r="B3465" s="36" t="s">
        <v>7329</v>
      </c>
      <c r="C3465" s="36" t="str">
        <f>HYPERLINK("https://rhld.insurance.arkansas.gov/NPILookup?Npi=1861772634","1861772634")</f>
        <v>1861772634</v>
      </c>
      <c r="D3465" s="36" t="s">
        <v>36011</v>
      </c>
      <c r="E3465" s="36" t="s">
        <v>1</v>
      </c>
      <c r="F3465" s="36">
        <v>1</v>
      </c>
      <c r="G3465" s="36">
        <v>3</v>
      </c>
      <c r="H3465" s="36">
        <v>0</v>
      </c>
      <c r="I3465" s="37">
        <v>0</v>
      </c>
      <c r="J3465" s="36" t="s">
        <v>32654</v>
      </c>
      <c r="K3465" s="36" t="s">
        <v>14330</v>
      </c>
      <c r="L3465" s="36" t="s">
        <v>14330</v>
      </c>
      <c r="M3465">
        <v>3</v>
      </c>
      <c r="N3465" t="s">
        <v>14331</v>
      </c>
      <c r="O3465" t="s">
        <v>32633</v>
      </c>
    </row>
    <row r="3466" spans="1:15" x14ac:dyDescent="0.25">
      <c r="A3466" s="35" t="s">
        <v>7328</v>
      </c>
      <c r="B3466" s="36" t="s">
        <v>7329</v>
      </c>
      <c r="C3466" s="36" t="str">
        <f>HYPERLINK("https://rhld.insurance.arkansas.gov/NPILookup?Npi=1861835670","1861835670")</f>
        <v>1861835670</v>
      </c>
      <c r="D3466" s="36" t="s">
        <v>33415</v>
      </c>
      <c r="E3466" s="36" t="s">
        <v>1</v>
      </c>
      <c r="F3466" s="36">
        <v>1</v>
      </c>
      <c r="G3466" s="36">
        <v>3</v>
      </c>
      <c r="H3466" s="36">
        <v>0</v>
      </c>
      <c r="I3466" s="37">
        <v>0</v>
      </c>
      <c r="J3466" s="36" t="s">
        <v>34836</v>
      </c>
      <c r="K3466" s="36" t="s">
        <v>14330</v>
      </c>
      <c r="L3466" s="36" t="s">
        <v>14330</v>
      </c>
      <c r="M3466">
        <v>2</v>
      </c>
      <c r="N3466" t="s">
        <v>14331</v>
      </c>
      <c r="O3466" t="s">
        <v>32633</v>
      </c>
    </row>
    <row r="3467" spans="1:15" x14ac:dyDescent="0.25">
      <c r="A3467" s="35" t="s">
        <v>7328</v>
      </c>
      <c r="B3467" s="36" t="s">
        <v>7329</v>
      </c>
      <c r="C3467" s="36" t="str">
        <f>HYPERLINK("https://rhld.insurance.arkansas.gov/NPILookup?Npi=1861864209","1861864209")</f>
        <v>1861864209</v>
      </c>
      <c r="D3467" s="36" t="s">
        <v>36012</v>
      </c>
      <c r="E3467" s="36" t="s">
        <v>2</v>
      </c>
      <c r="F3467" s="36">
        <v>1</v>
      </c>
      <c r="G3467" s="36">
        <v>2</v>
      </c>
      <c r="H3467" s="36">
        <v>0</v>
      </c>
      <c r="I3467" s="37">
        <v>0</v>
      </c>
      <c r="J3467" s="36" t="s">
        <v>32679</v>
      </c>
      <c r="K3467" s="36" t="s">
        <v>14330</v>
      </c>
      <c r="L3467" s="36" t="s">
        <v>14330</v>
      </c>
      <c r="M3467">
        <v>3</v>
      </c>
      <c r="N3467" t="s">
        <v>14331</v>
      </c>
      <c r="O3467" t="s">
        <v>14333</v>
      </c>
    </row>
    <row r="3468" spans="1:15" x14ac:dyDescent="0.25">
      <c r="A3468" s="35" t="s">
        <v>7328</v>
      </c>
      <c r="B3468" s="36" t="s">
        <v>7329</v>
      </c>
      <c r="C3468" s="36" t="str">
        <f>HYPERLINK("https://rhld.insurance.arkansas.gov/NPILookup?Npi=1861911091","1861911091")</f>
        <v>1861911091</v>
      </c>
      <c r="D3468" s="36" t="s">
        <v>36013</v>
      </c>
      <c r="E3468" s="36" t="s">
        <v>1</v>
      </c>
      <c r="F3468" s="36">
        <v>1</v>
      </c>
      <c r="G3468" s="36">
        <v>3</v>
      </c>
      <c r="H3468" s="36">
        <v>0</v>
      </c>
      <c r="I3468" s="37">
        <v>0</v>
      </c>
      <c r="J3468" s="36" t="s">
        <v>32654</v>
      </c>
      <c r="K3468" s="36" t="s">
        <v>14330</v>
      </c>
      <c r="L3468" s="36" t="s">
        <v>14330</v>
      </c>
      <c r="M3468">
        <v>2</v>
      </c>
      <c r="N3468" t="s">
        <v>14331</v>
      </c>
      <c r="O3468" t="s">
        <v>32633</v>
      </c>
    </row>
    <row r="3469" spans="1:15" x14ac:dyDescent="0.25">
      <c r="A3469" s="35" t="s">
        <v>7328</v>
      </c>
      <c r="B3469" s="36" t="s">
        <v>7329</v>
      </c>
      <c r="C3469" s="36" t="str">
        <f>HYPERLINK("https://rhld.insurance.arkansas.gov/NPILookup?Npi=1871059709","1871059709")</f>
        <v>1871059709</v>
      </c>
      <c r="D3469" s="36" t="s">
        <v>36014</v>
      </c>
      <c r="E3469" s="36" t="s">
        <v>2</v>
      </c>
      <c r="F3469" s="36">
        <v>2</v>
      </c>
      <c r="G3469" s="36">
        <v>2</v>
      </c>
      <c r="H3469" s="36">
        <v>0</v>
      </c>
      <c r="I3469" s="37">
        <v>0</v>
      </c>
      <c r="J3469" s="36" t="s">
        <v>33004</v>
      </c>
      <c r="K3469" s="36" t="s">
        <v>14330</v>
      </c>
      <c r="L3469" s="36" t="s">
        <v>14330</v>
      </c>
      <c r="M3469">
        <v>2</v>
      </c>
      <c r="N3469" t="s">
        <v>14331</v>
      </c>
      <c r="O3469" t="s">
        <v>14333</v>
      </c>
    </row>
    <row r="3470" spans="1:15" x14ac:dyDescent="0.25">
      <c r="A3470" s="35" t="s">
        <v>7328</v>
      </c>
      <c r="B3470" s="36" t="s">
        <v>7329</v>
      </c>
      <c r="C3470" s="36" t="str">
        <f>HYPERLINK("https://rhld.insurance.arkansas.gov/NPILookup?Npi=1871073577","1871073577")</f>
        <v>1871073577</v>
      </c>
      <c r="D3470" s="36" t="s">
        <v>36015</v>
      </c>
      <c r="E3470" s="36" t="s">
        <v>1</v>
      </c>
      <c r="F3470" s="36">
        <v>1</v>
      </c>
      <c r="G3470" s="36">
        <v>2</v>
      </c>
      <c r="H3470" s="36">
        <v>0</v>
      </c>
      <c r="I3470" s="37">
        <v>0</v>
      </c>
      <c r="J3470" s="36" t="s">
        <v>32654</v>
      </c>
      <c r="K3470" s="36" t="s">
        <v>14330</v>
      </c>
      <c r="L3470" s="36" t="s">
        <v>14330</v>
      </c>
      <c r="M3470">
        <v>2</v>
      </c>
      <c r="N3470" t="s">
        <v>14331</v>
      </c>
      <c r="O3470" t="s">
        <v>32633</v>
      </c>
    </row>
    <row r="3471" spans="1:15" x14ac:dyDescent="0.25">
      <c r="A3471" s="35" t="s">
        <v>7328</v>
      </c>
      <c r="B3471" s="36" t="s">
        <v>7329</v>
      </c>
      <c r="C3471" s="36" t="str">
        <f>HYPERLINK("https://rhld.insurance.arkansas.gov/NPILookup?Npi=1871123968","1871123968")</f>
        <v>1871123968</v>
      </c>
      <c r="D3471" s="36" t="s">
        <v>34808</v>
      </c>
      <c r="E3471" s="36" t="s">
        <v>2</v>
      </c>
      <c r="F3471" s="36">
        <v>1</v>
      </c>
      <c r="G3471" s="36">
        <v>2</v>
      </c>
      <c r="H3471" s="36">
        <v>0</v>
      </c>
      <c r="I3471" s="37">
        <v>0</v>
      </c>
      <c r="J3471" s="36"/>
      <c r="K3471" s="36" t="s">
        <v>14330</v>
      </c>
      <c r="L3471" s="36" t="s">
        <v>14330</v>
      </c>
      <c r="M3471">
        <v>3</v>
      </c>
      <c r="N3471" t="s">
        <v>14331</v>
      </c>
      <c r="O3471" t="s">
        <v>14333</v>
      </c>
    </row>
    <row r="3472" spans="1:15" x14ac:dyDescent="0.25">
      <c r="A3472" s="35" t="s">
        <v>7328</v>
      </c>
      <c r="B3472" s="36" t="s">
        <v>7329</v>
      </c>
      <c r="C3472" s="36" t="str">
        <f>HYPERLINK("https://rhld.insurance.arkansas.gov/NPILookup?Npi=1871162206","1871162206")</f>
        <v>1871162206</v>
      </c>
      <c r="D3472" s="36" t="s">
        <v>36016</v>
      </c>
      <c r="E3472" s="36" t="s">
        <v>1</v>
      </c>
      <c r="F3472" s="36">
        <v>1</v>
      </c>
      <c r="G3472" s="36">
        <v>3</v>
      </c>
      <c r="H3472" s="36">
        <v>0</v>
      </c>
      <c r="I3472" s="37">
        <v>0</v>
      </c>
      <c r="J3472" s="36" t="s">
        <v>32654</v>
      </c>
      <c r="K3472" s="36" t="s">
        <v>14330</v>
      </c>
      <c r="L3472" s="36" t="s">
        <v>14330</v>
      </c>
      <c r="M3472">
        <v>2</v>
      </c>
      <c r="N3472" t="s">
        <v>14331</v>
      </c>
      <c r="O3472" t="s">
        <v>32633</v>
      </c>
    </row>
    <row r="3473" spans="1:15" x14ac:dyDescent="0.25">
      <c r="A3473" s="35" t="s">
        <v>7328</v>
      </c>
      <c r="B3473" s="36" t="s">
        <v>7329</v>
      </c>
      <c r="C3473" s="36" t="str">
        <f>HYPERLINK("https://rhld.insurance.arkansas.gov/NPILookup?Npi=1871185066","1871185066")</f>
        <v>1871185066</v>
      </c>
      <c r="D3473" s="36" t="s">
        <v>36017</v>
      </c>
      <c r="E3473" s="36" t="s">
        <v>1</v>
      </c>
      <c r="F3473" s="36">
        <v>1</v>
      </c>
      <c r="G3473" s="36">
        <v>2</v>
      </c>
      <c r="H3473" s="36">
        <v>0</v>
      </c>
      <c r="I3473" s="37">
        <v>0</v>
      </c>
      <c r="J3473" s="36" t="s">
        <v>32654</v>
      </c>
      <c r="K3473" s="36" t="s">
        <v>14330</v>
      </c>
      <c r="L3473" s="36" t="s">
        <v>14330</v>
      </c>
      <c r="M3473">
        <v>2</v>
      </c>
      <c r="N3473" t="s">
        <v>14331</v>
      </c>
      <c r="O3473" t="s">
        <v>32633</v>
      </c>
    </row>
    <row r="3474" spans="1:15" x14ac:dyDescent="0.25">
      <c r="A3474" s="35" t="s">
        <v>7328</v>
      </c>
      <c r="B3474" s="36" t="s">
        <v>7329</v>
      </c>
      <c r="C3474" s="36" t="str">
        <f>HYPERLINK("https://rhld.insurance.arkansas.gov/NPILookup?Npi=1871255679","1871255679")</f>
        <v>1871255679</v>
      </c>
      <c r="D3474" s="36" t="s">
        <v>36018</v>
      </c>
      <c r="E3474" s="36" t="s">
        <v>2</v>
      </c>
      <c r="F3474" s="36">
        <v>1</v>
      </c>
      <c r="G3474" s="36">
        <v>2</v>
      </c>
      <c r="H3474" s="36">
        <v>0</v>
      </c>
      <c r="I3474" s="37">
        <v>0</v>
      </c>
      <c r="J3474" s="36" t="s">
        <v>32679</v>
      </c>
      <c r="K3474" s="36" t="s">
        <v>14330</v>
      </c>
      <c r="L3474" s="36" t="s">
        <v>14330</v>
      </c>
      <c r="M3474">
        <v>2</v>
      </c>
      <c r="N3474" t="s">
        <v>14331</v>
      </c>
      <c r="O3474" t="s">
        <v>14333</v>
      </c>
    </row>
    <row r="3475" spans="1:15" x14ac:dyDescent="0.25">
      <c r="A3475" s="35" t="s">
        <v>7328</v>
      </c>
      <c r="B3475" s="36" t="s">
        <v>7329</v>
      </c>
      <c r="C3475" s="36" t="str">
        <f>HYPERLINK("https://rhld.insurance.arkansas.gov/NPILookup?Npi=1871306787","1871306787")</f>
        <v>1871306787</v>
      </c>
      <c r="D3475" s="36" t="s">
        <v>36019</v>
      </c>
      <c r="E3475" s="36" t="s">
        <v>2</v>
      </c>
      <c r="F3475" s="36">
        <v>1</v>
      </c>
      <c r="G3475" s="36">
        <v>2</v>
      </c>
      <c r="H3475" s="36">
        <v>0</v>
      </c>
      <c r="I3475" s="37">
        <v>0</v>
      </c>
      <c r="J3475" s="36"/>
      <c r="K3475" s="36" t="s">
        <v>14330</v>
      </c>
      <c r="L3475" s="36" t="s">
        <v>14330</v>
      </c>
      <c r="M3475">
        <v>1</v>
      </c>
      <c r="N3475" t="s">
        <v>14331</v>
      </c>
      <c r="O3475" t="s">
        <v>14333</v>
      </c>
    </row>
    <row r="3476" spans="1:15" x14ac:dyDescent="0.25">
      <c r="A3476" s="35" t="s">
        <v>7328</v>
      </c>
      <c r="B3476" s="36" t="s">
        <v>7329</v>
      </c>
      <c r="C3476" s="36" t="str">
        <f>HYPERLINK("https://rhld.insurance.arkansas.gov/NPILookup?Npi=1871583229","1871583229")</f>
        <v>1871583229</v>
      </c>
      <c r="D3476" s="36" t="s">
        <v>36020</v>
      </c>
      <c r="E3476" s="36" t="s">
        <v>1</v>
      </c>
      <c r="F3476" s="36">
        <v>1</v>
      </c>
      <c r="G3476" s="36">
        <v>2</v>
      </c>
      <c r="H3476" s="36">
        <v>1</v>
      </c>
      <c r="I3476" s="37">
        <v>0</v>
      </c>
      <c r="J3476" s="36" t="s">
        <v>32654</v>
      </c>
      <c r="K3476" s="36" t="s">
        <v>14330</v>
      </c>
      <c r="L3476" s="36" t="s">
        <v>35563</v>
      </c>
      <c r="M3476">
        <v>3</v>
      </c>
      <c r="N3476" t="s">
        <v>14332</v>
      </c>
      <c r="O3476" t="s">
        <v>32591</v>
      </c>
    </row>
    <row r="3477" spans="1:15" x14ac:dyDescent="0.25">
      <c r="A3477" s="35" t="s">
        <v>7328</v>
      </c>
      <c r="B3477" s="36" t="s">
        <v>7329</v>
      </c>
      <c r="C3477" s="36" t="str">
        <f>HYPERLINK("https://rhld.insurance.arkansas.gov/NPILookup?Npi=1871717033","1871717033")</f>
        <v>1871717033</v>
      </c>
      <c r="D3477" s="36" t="s">
        <v>36021</v>
      </c>
      <c r="E3477" s="36" t="s">
        <v>1</v>
      </c>
      <c r="F3477" s="36">
        <v>1</v>
      </c>
      <c r="G3477" s="36">
        <v>3</v>
      </c>
      <c r="H3477" s="36">
        <v>0</v>
      </c>
      <c r="I3477" s="37">
        <v>0</v>
      </c>
      <c r="J3477" s="36" t="s">
        <v>32654</v>
      </c>
      <c r="K3477" s="36" t="s">
        <v>14330</v>
      </c>
      <c r="L3477" s="36" t="s">
        <v>14330</v>
      </c>
      <c r="M3477">
        <v>2</v>
      </c>
      <c r="N3477" t="s">
        <v>14331</v>
      </c>
      <c r="O3477" t="s">
        <v>32633</v>
      </c>
    </row>
    <row r="3478" spans="1:15" x14ac:dyDescent="0.25">
      <c r="A3478" s="35" t="s">
        <v>7328</v>
      </c>
      <c r="B3478" s="36" t="s">
        <v>7329</v>
      </c>
      <c r="C3478" s="36" t="str">
        <f>HYPERLINK("https://rhld.insurance.arkansas.gov/NPILookup?Npi=1871807883","1871807883")</f>
        <v>1871807883</v>
      </c>
      <c r="D3478" s="36" t="s">
        <v>36022</v>
      </c>
      <c r="E3478" s="36" t="s">
        <v>1</v>
      </c>
      <c r="F3478" s="36">
        <v>1</v>
      </c>
      <c r="G3478" s="36">
        <v>2</v>
      </c>
      <c r="H3478" s="36">
        <v>0</v>
      </c>
      <c r="I3478" s="37">
        <v>0</v>
      </c>
      <c r="J3478" s="36" t="s">
        <v>34836</v>
      </c>
      <c r="K3478" s="36" t="s">
        <v>14330</v>
      </c>
      <c r="L3478" s="36" t="s">
        <v>14330</v>
      </c>
      <c r="M3478">
        <v>2</v>
      </c>
      <c r="N3478" t="s">
        <v>14331</v>
      </c>
      <c r="O3478" t="s">
        <v>32633</v>
      </c>
    </row>
    <row r="3479" spans="1:15" x14ac:dyDescent="0.25">
      <c r="A3479" s="35" t="s">
        <v>7328</v>
      </c>
      <c r="B3479" s="36" t="s">
        <v>7329</v>
      </c>
      <c r="C3479" s="36" t="str">
        <f>HYPERLINK("https://rhld.insurance.arkansas.gov/NPILookup?Npi=1871826958","1871826958")</f>
        <v>1871826958</v>
      </c>
      <c r="D3479" s="36" t="s">
        <v>36023</v>
      </c>
      <c r="E3479" s="36" t="s">
        <v>2</v>
      </c>
      <c r="F3479" s="36">
        <v>1</v>
      </c>
      <c r="G3479" s="36">
        <v>2</v>
      </c>
      <c r="H3479" s="36">
        <v>0</v>
      </c>
      <c r="I3479" s="37">
        <v>0</v>
      </c>
      <c r="J3479" s="36" t="s">
        <v>32679</v>
      </c>
      <c r="K3479" s="36" t="s">
        <v>14330</v>
      </c>
      <c r="L3479" s="36" t="s">
        <v>14330</v>
      </c>
      <c r="M3479">
        <v>2</v>
      </c>
      <c r="N3479" t="s">
        <v>14331</v>
      </c>
      <c r="O3479" t="s">
        <v>14333</v>
      </c>
    </row>
    <row r="3480" spans="1:15" x14ac:dyDescent="0.25">
      <c r="A3480" s="35" t="s">
        <v>7328</v>
      </c>
      <c r="B3480" s="36" t="s">
        <v>7329</v>
      </c>
      <c r="C3480" s="36" t="str">
        <f>HYPERLINK("https://rhld.insurance.arkansas.gov/NPILookup?Npi=1871883462","1871883462")</f>
        <v>1871883462</v>
      </c>
      <c r="D3480" s="36" t="s">
        <v>36024</v>
      </c>
      <c r="E3480" s="36" t="s">
        <v>1</v>
      </c>
      <c r="F3480" s="36">
        <v>1</v>
      </c>
      <c r="G3480" s="36">
        <v>2</v>
      </c>
      <c r="H3480" s="36">
        <v>0</v>
      </c>
      <c r="I3480" s="37">
        <v>0</v>
      </c>
      <c r="J3480" s="36" t="s">
        <v>34836</v>
      </c>
      <c r="K3480" s="36" t="s">
        <v>14330</v>
      </c>
      <c r="L3480" s="36" t="s">
        <v>14330</v>
      </c>
      <c r="M3480">
        <v>3</v>
      </c>
      <c r="N3480" t="s">
        <v>14331</v>
      </c>
      <c r="O3480" t="s">
        <v>32633</v>
      </c>
    </row>
    <row r="3481" spans="1:15" x14ac:dyDescent="0.25">
      <c r="A3481" s="35" t="s">
        <v>7328</v>
      </c>
      <c r="B3481" s="36" t="s">
        <v>7329</v>
      </c>
      <c r="C3481" s="36" t="str">
        <f>HYPERLINK("https://rhld.insurance.arkansas.gov/NPILookup?Npi=1871978676","1871978676")</f>
        <v>1871978676</v>
      </c>
      <c r="D3481" s="36" t="s">
        <v>36025</v>
      </c>
      <c r="E3481" s="36" t="s">
        <v>1</v>
      </c>
      <c r="F3481" s="36">
        <v>1</v>
      </c>
      <c r="G3481" s="36">
        <v>3</v>
      </c>
      <c r="H3481" s="36">
        <v>0</v>
      </c>
      <c r="I3481" s="37">
        <v>0</v>
      </c>
      <c r="J3481" s="36" t="s">
        <v>34836</v>
      </c>
      <c r="K3481" s="36" t="s">
        <v>14330</v>
      </c>
      <c r="L3481" s="36" t="s">
        <v>14330</v>
      </c>
      <c r="M3481">
        <v>2</v>
      </c>
      <c r="N3481" t="s">
        <v>14331</v>
      </c>
      <c r="O3481" t="s">
        <v>32633</v>
      </c>
    </row>
    <row r="3482" spans="1:15" x14ac:dyDescent="0.25">
      <c r="A3482" s="35" t="s">
        <v>7328</v>
      </c>
      <c r="B3482" s="36" t="s">
        <v>7329</v>
      </c>
      <c r="C3482" s="36" t="str">
        <f>HYPERLINK("https://rhld.insurance.arkansas.gov/NPILookup?Npi=1871986315","1871986315")</f>
        <v>1871986315</v>
      </c>
      <c r="D3482" s="36" t="s">
        <v>36026</v>
      </c>
      <c r="E3482" s="36" t="s">
        <v>2</v>
      </c>
      <c r="F3482" s="36">
        <v>1</v>
      </c>
      <c r="G3482" s="36">
        <v>2</v>
      </c>
      <c r="H3482" s="36">
        <v>0</v>
      </c>
      <c r="I3482" s="37">
        <v>0</v>
      </c>
      <c r="J3482" s="36" t="s">
        <v>32679</v>
      </c>
      <c r="K3482" s="36" t="s">
        <v>14330</v>
      </c>
      <c r="L3482" s="36" t="s">
        <v>14330</v>
      </c>
      <c r="M3482">
        <v>2</v>
      </c>
      <c r="N3482" t="s">
        <v>14331</v>
      </c>
      <c r="O3482" t="s">
        <v>14333</v>
      </c>
    </row>
    <row r="3483" spans="1:15" x14ac:dyDescent="0.25">
      <c r="A3483" s="35" t="s">
        <v>7328</v>
      </c>
      <c r="B3483" s="36" t="s">
        <v>7329</v>
      </c>
      <c r="C3483" s="36" t="str">
        <f>HYPERLINK("https://rhld.insurance.arkansas.gov/NPILookup?Npi=1871989939","1871989939")</f>
        <v>1871989939</v>
      </c>
      <c r="D3483" s="36" t="s">
        <v>36027</v>
      </c>
      <c r="E3483" s="36" t="s">
        <v>1</v>
      </c>
      <c r="F3483" s="36">
        <v>1</v>
      </c>
      <c r="G3483" s="36">
        <v>2</v>
      </c>
      <c r="H3483" s="36">
        <v>0</v>
      </c>
      <c r="I3483" s="37">
        <v>0</v>
      </c>
      <c r="J3483" s="36" t="s">
        <v>34836</v>
      </c>
      <c r="K3483" s="36" t="s">
        <v>14330</v>
      </c>
      <c r="L3483" s="36" t="s">
        <v>14330</v>
      </c>
      <c r="M3483">
        <v>3</v>
      </c>
      <c r="N3483" t="s">
        <v>14331</v>
      </c>
      <c r="O3483" t="s">
        <v>32633</v>
      </c>
    </row>
    <row r="3484" spans="1:15" x14ac:dyDescent="0.25">
      <c r="A3484" s="35" t="s">
        <v>7328</v>
      </c>
      <c r="B3484" s="36" t="s">
        <v>7329</v>
      </c>
      <c r="C3484" s="36" t="str">
        <f>HYPERLINK("https://rhld.insurance.arkansas.gov/NPILookup?Npi=1881071264","1881071264")</f>
        <v>1881071264</v>
      </c>
      <c r="D3484" s="36" t="s">
        <v>36028</v>
      </c>
      <c r="E3484" s="36" t="s">
        <v>1</v>
      </c>
      <c r="F3484" s="36">
        <v>1</v>
      </c>
      <c r="G3484" s="36">
        <v>3</v>
      </c>
      <c r="H3484" s="36">
        <v>0</v>
      </c>
      <c r="I3484" s="37">
        <v>0</v>
      </c>
      <c r="J3484" s="36" t="s">
        <v>34836</v>
      </c>
      <c r="K3484" s="36" t="s">
        <v>14330</v>
      </c>
      <c r="L3484" s="36" t="s">
        <v>14330</v>
      </c>
      <c r="M3484">
        <v>3</v>
      </c>
      <c r="N3484" t="s">
        <v>14331</v>
      </c>
      <c r="O3484" t="s">
        <v>32633</v>
      </c>
    </row>
    <row r="3485" spans="1:15" x14ac:dyDescent="0.25">
      <c r="A3485" s="35" t="s">
        <v>7328</v>
      </c>
      <c r="B3485" s="36" t="s">
        <v>7329</v>
      </c>
      <c r="C3485" s="36" t="str">
        <f>HYPERLINK("https://rhld.insurance.arkansas.gov/NPILookup?Npi=1881073625","1881073625")</f>
        <v>1881073625</v>
      </c>
      <c r="D3485" s="36" t="s">
        <v>36029</v>
      </c>
      <c r="E3485" s="36" t="s">
        <v>1</v>
      </c>
      <c r="F3485" s="36">
        <v>1</v>
      </c>
      <c r="G3485" s="36">
        <v>3</v>
      </c>
      <c r="H3485" s="36">
        <v>0</v>
      </c>
      <c r="I3485" s="37">
        <v>0</v>
      </c>
      <c r="J3485" s="36" t="s">
        <v>34836</v>
      </c>
      <c r="K3485" s="36" t="s">
        <v>14330</v>
      </c>
      <c r="L3485" s="36" t="s">
        <v>14330</v>
      </c>
      <c r="M3485">
        <v>3</v>
      </c>
      <c r="N3485" t="s">
        <v>14331</v>
      </c>
      <c r="O3485" t="s">
        <v>32633</v>
      </c>
    </row>
    <row r="3486" spans="1:15" x14ac:dyDescent="0.25">
      <c r="A3486" s="35" t="s">
        <v>7328</v>
      </c>
      <c r="B3486" s="36" t="s">
        <v>7329</v>
      </c>
      <c r="C3486" s="36" t="str">
        <f>HYPERLINK("https://rhld.insurance.arkansas.gov/NPILookup?Npi=1881093482","1881093482")</f>
        <v>1881093482</v>
      </c>
      <c r="D3486" s="36" t="s">
        <v>36030</v>
      </c>
      <c r="E3486" s="36" t="s">
        <v>1</v>
      </c>
      <c r="F3486" s="36">
        <v>1</v>
      </c>
      <c r="G3486" s="36">
        <v>3</v>
      </c>
      <c r="H3486" s="36">
        <v>0</v>
      </c>
      <c r="I3486" s="37">
        <v>0</v>
      </c>
      <c r="J3486" s="36" t="s">
        <v>34836</v>
      </c>
      <c r="K3486" s="36" t="s">
        <v>14330</v>
      </c>
      <c r="L3486" s="36" t="s">
        <v>14330</v>
      </c>
      <c r="M3486">
        <v>2</v>
      </c>
      <c r="N3486" t="s">
        <v>14331</v>
      </c>
      <c r="O3486" t="s">
        <v>32633</v>
      </c>
    </row>
    <row r="3487" spans="1:15" x14ac:dyDescent="0.25">
      <c r="A3487" s="35" t="s">
        <v>7328</v>
      </c>
      <c r="B3487" s="36" t="s">
        <v>7329</v>
      </c>
      <c r="C3487" s="36" t="str">
        <f>HYPERLINK("https://rhld.insurance.arkansas.gov/NPILookup?Npi=1881301968","1881301968")</f>
        <v>1881301968</v>
      </c>
      <c r="D3487" s="36" t="s">
        <v>36031</v>
      </c>
      <c r="E3487" s="36" t="s">
        <v>2</v>
      </c>
      <c r="F3487" s="36">
        <v>1</v>
      </c>
      <c r="G3487" s="36">
        <v>2</v>
      </c>
      <c r="H3487" s="36">
        <v>0</v>
      </c>
      <c r="I3487" s="37">
        <v>0</v>
      </c>
      <c r="J3487" s="36"/>
      <c r="K3487" s="36" t="s">
        <v>14330</v>
      </c>
      <c r="L3487" s="36" t="s">
        <v>14330</v>
      </c>
      <c r="M3487">
        <v>1</v>
      </c>
      <c r="N3487" t="s">
        <v>14331</v>
      </c>
      <c r="O3487" t="s">
        <v>14333</v>
      </c>
    </row>
    <row r="3488" spans="1:15" x14ac:dyDescent="0.25">
      <c r="A3488" s="35" t="s">
        <v>7328</v>
      </c>
      <c r="B3488" s="36" t="s">
        <v>7329</v>
      </c>
      <c r="C3488" s="36" t="str">
        <f>HYPERLINK("https://rhld.insurance.arkansas.gov/NPILookup?Npi=1881337137","1881337137")</f>
        <v>1881337137</v>
      </c>
      <c r="D3488" s="36" t="s">
        <v>36032</v>
      </c>
      <c r="E3488" s="36" t="s">
        <v>2</v>
      </c>
      <c r="F3488" s="36">
        <v>1</v>
      </c>
      <c r="G3488" s="36">
        <v>1</v>
      </c>
      <c r="H3488" s="36">
        <v>0</v>
      </c>
      <c r="I3488" s="37">
        <v>0</v>
      </c>
      <c r="J3488" s="36"/>
      <c r="K3488" s="36" t="s">
        <v>14330</v>
      </c>
      <c r="L3488" s="36" t="s">
        <v>14330</v>
      </c>
      <c r="M3488">
        <v>2</v>
      </c>
      <c r="N3488" t="s">
        <v>14331</v>
      </c>
      <c r="O3488" t="s">
        <v>32633</v>
      </c>
    </row>
    <row r="3489" spans="1:15" x14ac:dyDescent="0.25">
      <c r="A3489" s="35" t="s">
        <v>7328</v>
      </c>
      <c r="B3489" s="36" t="s">
        <v>7329</v>
      </c>
      <c r="C3489" s="36" t="str">
        <f>HYPERLINK("https://rhld.insurance.arkansas.gov/NPILookup?Npi=1881340461","1881340461")</f>
        <v>1881340461</v>
      </c>
      <c r="D3489" s="36" t="s">
        <v>36033</v>
      </c>
      <c r="E3489" s="36" t="s">
        <v>1</v>
      </c>
      <c r="F3489" s="36">
        <v>1</v>
      </c>
      <c r="G3489" s="36">
        <v>2</v>
      </c>
      <c r="H3489" s="36">
        <v>0</v>
      </c>
      <c r="I3489" s="37">
        <v>0</v>
      </c>
      <c r="J3489" s="36" t="s">
        <v>34836</v>
      </c>
      <c r="K3489" s="36" t="s">
        <v>14330</v>
      </c>
      <c r="L3489" s="36" t="s">
        <v>14330</v>
      </c>
      <c r="M3489">
        <v>3</v>
      </c>
      <c r="N3489" t="s">
        <v>14331</v>
      </c>
      <c r="O3489" t="s">
        <v>32633</v>
      </c>
    </row>
    <row r="3490" spans="1:15" x14ac:dyDescent="0.25">
      <c r="A3490" s="35" t="s">
        <v>7328</v>
      </c>
      <c r="B3490" s="36" t="s">
        <v>7329</v>
      </c>
      <c r="C3490" s="36" t="str">
        <f>HYPERLINK("https://rhld.insurance.arkansas.gov/NPILookup?Npi=1881384949","1881384949")</f>
        <v>1881384949</v>
      </c>
      <c r="D3490" s="36" t="s">
        <v>36034</v>
      </c>
      <c r="E3490" s="36" t="s">
        <v>1</v>
      </c>
      <c r="F3490" s="36">
        <v>1</v>
      </c>
      <c r="G3490" s="36">
        <v>3</v>
      </c>
      <c r="H3490" s="36">
        <v>0</v>
      </c>
      <c r="I3490" s="37">
        <v>0</v>
      </c>
      <c r="J3490" s="36" t="s">
        <v>32654</v>
      </c>
      <c r="K3490" s="36" t="s">
        <v>14330</v>
      </c>
      <c r="L3490" s="36" t="s">
        <v>14330</v>
      </c>
      <c r="M3490">
        <v>2</v>
      </c>
      <c r="N3490" t="s">
        <v>14331</v>
      </c>
      <c r="O3490" t="s">
        <v>32633</v>
      </c>
    </row>
    <row r="3491" spans="1:15" x14ac:dyDescent="0.25">
      <c r="A3491" s="35" t="s">
        <v>7328</v>
      </c>
      <c r="B3491" s="36" t="s">
        <v>7329</v>
      </c>
      <c r="C3491" s="36" t="str">
        <f>HYPERLINK("https://rhld.insurance.arkansas.gov/NPILookup?Npi=1881469914","1881469914")</f>
        <v>1881469914</v>
      </c>
      <c r="D3491" s="36" t="s">
        <v>36035</v>
      </c>
      <c r="E3491" s="36" t="s">
        <v>2</v>
      </c>
      <c r="F3491" s="36">
        <v>2</v>
      </c>
      <c r="G3491" s="36">
        <v>2</v>
      </c>
      <c r="H3491" s="36">
        <v>0</v>
      </c>
      <c r="I3491" s="37">
        <v>0</v>
      </c>
      <c r="J3491" s="36" t="s">
        <v>33004</v>
      </c>
      <c r="K3491" s="36" t="s">
        <v>14330</v>
      </c>
      <c r="L3491" s="36" t="s">
        <v>14330</v>
      </c>
      <c r="M3491">
        <v>2</v>
      </c>
      <c r="N3491" t="s">
        <v>14331</v>
      </c>
      <c r="O3491" t="s">
        <v>14333</v>
      </c>
    </row>
    <row r="3492" spans="1:15" x14ac:dyDescent="0.25">
      <c r="A3492" s="35" t="s">
        <v>7328</v>
      </c>
      <c r="B3492" s="36" t="s">
        <v>7329</v>
      </c>
      <c r="C3492" s="36" t="str">
        <f>HYPERLINK("https://rhld.insurance.arkansas.gov/NPILookup?Npi=1881616092","1881616092")</f>
        <v>1881616092</v>
      </c>
      <c r="D3492" s="36" t="s">
        <v>36036</v>
      </c>
      <c r="E3492" s="36" t="s">
        <v>1</v>
      </c>
      <c r="F3492" s="36">
        <v>1</v>
      </c>
      <c r="G3492" s="36">
        <v>2</v>
      </c>
      <c r="H3492" s="36">
        <v>0</v>
      </c>
      <c r="I3492" s="37">
        <v>0</v>
      </c>
      <c r="J3492" s="36" t="s">
        <v>34836</v>
      </c>
      <c r="K3492" s="36" t="s">
        <v>14330</v>
      </c>
      <c r="L3492" s="36" t="s">
        <v>14330</v>
      </c>
      <c r="M3492">
        <v>3</v>
      </c>
      <c r="N3492" t="s">
        <v>14331</v>
      </c>
      <c r="O3492" t="s">
        <v>32633</v>
      </c>
    </row>
    <row r="3493" spans="1:15" x14ac:dyDescent="0.25">
      <c r="A3493" s="35" t="s">
        <v>7328</v>
      </c>
      <c r="B3493" s="36" t="s">
        <v>7329</v>
      </c>
      <c r="C3493" s="36" t="str">
        <f>HYPERLINK("https://rhld.insurance.arkansas.gov/NPILookup?Npi=1881624039","1881624039")</f>
        <v>1881624039</v>
      </c>
      <c r="D3493" s="36" t="s">
        <v>36037</v>
      </c>
      <c r="E3493" s="36" t="s">
        <v>1</v>
      </c>
      <c r="F3493" s="36">
        <v>1</v>
      </c>
      <c r="G3493" s="36">
        <v>3</v>
      </c>
      <c r="H3493" s="36">
        <v>0</v>
      </c>
      <c r="I3493" s="37">
        <v>0</v>
      </c>
      <c r="J3493" s="36" t="s">
        <v>34836</v>
      </c>
      <c r="K3493" s="36" t="s">
        <v>14330</v>
      </c>
      <c r="L3493" s="36" t="s">
        <v>14330</v>
      </c>
      <c r="M3493">
        <v>3</v>
      </c>
      <c r="N3493" t="s">
        <v>14331</v>
      </c>
      <c r="O3493" t="s">
        <v>32633</v>
      </c>
    </row>
    <row r="3494" spans="1:15" x14ac:dyDescent="0.25">
      <c r="A3494" s="35" t="s">
        <v>7328</v>
      </c>
      <c r="B3494" s="36" t="s">
        <v>7329</v>
      </c>
      <c r="C3494" s="36" t="str">
        <f>HYPERLINK("https://rhld.insurance.arkansas.gov/NPILookup?Npi=1881667608","1881667608")</f>
        <v>1881667608</v>
      </c>
      <c r="D3494" s="36" t="s">
        <v>36038</v>
      </c>
      <c r="E3494" s="36" t="s">
        <v>1</v>
      </c>
      <c r="F3494" s="36">
        <v>1</v>
      </c>
      <c r="G3494" s="36">
        <v>3</v>
      </c>
      <c r="H3494" s="36">
        <v>0</v>
      </c>
      <c r="I3494" s="37">
        <v>0</v>
      </c>
      <c r="J3494" s="36" t="s">
        <v>32654</v>
      </c>
      <c r="K3494" s="36" t="s">
        <v>14330</v>
      </c>
      <c r="L3494" s="36" t="s">
        <v>14330</v>
      </c>
      <c r="M3494">
        <v>3</v>
      </c>
      <c r="N3494" t="s">
        <v>14331</v>
      </c>
      <c r="O3494" t="s">
        <v>32633</v>
      </c>
    </row>
    <row r="3495" spans="1:15" x14ac:dyDescent="0.25">
      <c r="A3495" s="35" t="s">
        <v>7328</v>
      </c>
      <c r="B3495" s="36" t="s">
        <v>7329</v>
      </c>
      <c r="C3495" s="36" t="str">
        <f>HYPERLINK("https://rhld.insurance.arkansas.gov/NPILookup?Npi=1881696433","1881696433")</f>
        <v>1881696433</v>
      </c>
      <c r="D3495" s="36" t="s">
        <v>36039</v>
      </c>
      <c r="E3495" s="36" t="s">
        <v>1</v>
      </c>
      <c r="F3495" s="36">
        <v>1</v>
      </c>
      <c r="G3495" s="36">
        <v>3</v>
      </c>
      <c r="H3495" s="36">
        <v>0</v>
      </c>
      <c r="I3495" s="37">
        <v>0</v>
      </c>
      <c r="J3495" s="36" t="s">
        <v>34836</v>
      </c>
      <c r="K3495" s="36" t="s">
        <v>14330</v>
      </c>
      <c r="L3495" s="36" t="s">
        <v>14330</v>
      </c>
      <c r="M3495">
        <v>2</v>
      </c>
      <c r="N3495" t="s">
        <v>14331</v>
      </c>
      <c r="O3495" t="s">
        <v>32633</v>
      </c>
    </row>
    <row r="3496" spans="1:15" x14ac:dyDescent="0.25">
      <c r="A3496" s="35" t="s">
        <v>7328</v>
      </c>
      <c r="B3496" s="36" t="s">
        <v>7329</v>
      </c>
      <c r="C3496" s="36" t="str">
        <f>HYPERLINK("https://rhld.insurance.arkansas.gov/NPILookup?Npi=1881747046","1881747046")</f>
        <v>1881747046</v>
      </c>
      <c r="D3496" s="36" t="s">
        <v>36040</v>
      </c>
      <c r="E3496" s="36" t="s">
        <v>2</v>
      </c>
      <c r="F3496" s="36">
        <v>1</v>
      </c>
      <c r="G3496" s="36">
        <v>2</v>
      </c>
      <c r="H3496" s="36">
        <v>0</v>
      </c>
      <c r="I3496" s="37">
        <v>0</v>
      </c>
      <c r="J3496" s="36"/>
      <c r="K3496" s="36" t="s">
        <v>14330</v>
      </c>
      <c r="L3496" s="36" t="s">
        <v>14330</v>
      </c>
      <c r="M3496">
        <v>2</v>
      </c>
      <c r="N3496" t="s">
        <v>14331</v>
      </c>
      <c r="O3496" t="s">
        <v>14333</v>
      </c>
    </row>
    <row r="3497" spans="1:15" x14ac:dyDescent="0.25">
      <c r="A3497" s="35" t="s">
        <v>7328</v>
      </c>
      <c r="B3497" s="36" t="s">
        <v>7329</v>
      </c>
      <c r="C3497" s="36" t="str">
        <f>HYPERLINK("https://rhld.insurance.arkansas.gov/NPILookup?Npi=1881784346","1881784346")</f>
        <v>1881784346</v>
      </c>
      <c r="D3497" s="36" t="s">
        <v>36041</v>
      </c>
      <c r="E3497" s="36" t="s">
        <v>1</v>
      </c>
      <c r="F3497" s="36">
        <v>1</v>
      </c>
      <c r="G3497" s="36">
        <v>2</v>
      </c>
      <c r="H3497" s="36">
        <v>0</v>
      </c>
      <c r="I3497" s="37">
        <v>0</v>
      </c>
      <c r="J3497" s="36" t="s">
        <v>34836</v>
      </c>
      <c r="K3497" s="36" t="s">
        <v>14330</v>
      </c>
      <c r="L3497" s="36" t="s">
        <v>14330</v>
      </c>
      <c r="M3497">
        <v>3</v>
      </c>
      <c r="N3497" t="s">
        <v>14331</v>
      </c>
      <c r="O3497" t="s">
        <v>32633</v>
      </c>
    </row>
    <row r="3498" spans="1:15" x14ac:dyDescent="0.25">
      <c r="A3498" s="35" t="s">
        <v>7328</v>
      </c>
      <c r="B3498" s="36" t="s">
        <v>7329</v>
      </c>
      <c r="C3498" s="36" t="str">
        <f>HYPERLINK("https://rhld.insurance.arkansas.gov/NPILookup?Npi=1891100335","1891100335")</f>
        <v>1891100335</v>
      </c>
      <c r="D3498" s="36" t="s">
        <v>36042</v>
      </c>
      <c r="E3498" s="36" t="s">
        <v>1</v>
      </c>
      <c r="F3498" s="36">
        <v>1</v>
      </c>
      <c r="G3498" s="36">
        <v>3</v>
      </c>
      <c r="H3498" s="36">
        <v>0</v>
      </c>
      <c r="I3498" s="37">
        <v>0</v>
      </c>
      <c r="J3498" s="36" t="s">
        <v>34836</v>
      </c>
      <c r="K3498" s="36" t="s">
        <v>14330</v>
      </c>
      <c r="L3498" s="36" t="s">
        <v>14330</v>
      </c>
      <c r="M3498">
        <v>3</v>
      </c>
      <c r="N3498" t="s">
        <v>14331</v>
      </c>
      <c r="O3498" t="s">
        <v>32633</v>
      </c>
    </row>
    <row r="3499" spans="1:15" x14ac:dyDescent="0.25">
      <c r="A3499" s="35" t="s">
        <v>7328</v>
      </c>
      <c r="B3499" s="36" t="s">
        <v>7329</v>
      </c>
      <c r="C3499" s="36" t="str">
        <f>HYPERLINK("https://rhld.insurance.arkansas.gov/NPILookup?Npi=1891130555","1891130555")</f>
        <v>1891130555</v>
      </c>
      <c r="D3499" s="36" t="s">
        <v>36043</v>
      </c>
      <c r="E3499" s="36" t="s">
        <v>1</v>
      </c>
      <c r="F3499" s="36">
        <v>1</v>
      </c>
      <c r="G3499" s="36">
        <v>3</v>
      </c>
      <c r="H3499" s="36">
        <v>0</v>
      </c>
      <c r="I3499" s="37">
        <v>0</v>
      </c>
      <c r="J3499" s="36" t="s">
        <v>32654</v>
      </c>
      <c r="K3499" s="36" t="s">
        <v>14330</v>
      </c>
      <c r="L3499" s="36" t="s">
        <v>14330</v>
      </c>
      <c r="M3499">
        <v>2</v>
      </c>
      <c r="N3499" t="s">
        <v>14331</v>
      </c>
      <c r="O3499" t="s">
        <v>32633</v>
      </c>
    </row>
    <row r="3500" spans="1:15" x14ac:dyDescent="0.25">
      <c r="A3500" s="35" t="s">
        <v>7328</v>
      </c>
      <c r="B3500" s="36" t="s">
        <v>7329</v>
      </c>
      <c r="C3500" s="36" t="str">
        <f>HYPERLINK("https://rhld.insurance.arkansas.gov/NPILookup?Npi=1891144028","1891144028")</f>
        <v>1891144028</v>
      </c>
      <c r="D3500" s="36" t="s">
        <v>36044</v>
      </c>
      <c r="E3500" s="36" t="s">
        <v>2</v>
      </c>
      <c r="F3500" s="36">
        <v>1</v>
      </c>
      <c r="G3500" s="36">
        <v>2</v>
      </c>
      <c r="H3500" s="36">
        <v>0</v>
      </c>
      <c r="I3500" s="37">
        <v>0</v>
      </c>
      <c r="J3500" s="36"/>
      <c r="K3500" s="36" t="s">
        <v>14330</v>
      </c>
      <c r="L3500" s="36" t="s">
        <v>14330</v>
      </c>
      <c r="M3500">
        <v>2</v>
      </c>
      <c r="N3500" t="s">
        <v>14331</v>
      </c>
      <c r="O3500" t="s">
        <v>14333</v>
      </c>
    </row>
    <row r="3501" spans="1:15" x14ac:dyDescent="0.25">
      <c r="A3501" s="35" t="s">
        <v>7328</v>
      </c>
      <c r="B3501" s="36" t="s">
        <v>7329</v>
      </c>
      <c r="C3501" s="36" t="str">
        <f>HYPERLINK("https://rhld.insurance.arkansas.gov/NPILookup?Npi=1891292140","1891292140")</f>
        <v>1891292140</v>
      </c>
      <c r="D3501" s="36" t="s">
        <v>36045</v>
      </c>
      <c r="E3501" s="36" t="s">
        <v>1</v>
      </c>
      <c r="F3501" s="36">
        <v>1</v>
      </c>
      <c r="G3501" s="36">
        <v>2</v>
      </c>
      <c r="H3501" s="36">
        <v>0</v>
      </c>
      <c r="I3501" s="37">
        <v>0</v>
      </c>
      <c r="J3501" s="36" t="s">
        <v>34836</v>
      </c>
      <c r="K3501" s="36" t="s">
        <v>14330</v>
      </c>
      <c r="L3501" s="36" t="s">
        <v>14330</v>
      </c>
      <c r="M3501">
        <v>1</v>
      </c>
      <c r="N3501" t="s">
        <v>14331</v>
      </c>
      <c r="O3501" t="s">
        <v>32633</v>
      </c>
    </row>
    <row r="3502" spans="1:15" x14ac:dyDescent="0.25">
      <c r="A3502" s="35" t="s">
        <v>7328</v>
      </c>
      <c r="B3502" s="36" t="s">
        <v>7329</v>
      </c>
      <c r="C3502" s="36" t="str">
        <f>HYPERLINK("https://rhld.insurance.arkansas.gov/NPILookup?Npi=1891315008","1891315008")</f>
        <v>1891315008</v>
      </c>
      <c r="D3502" s="36" t="s">
        <v>36046</v>
      </c>
      <c r="E3502" s="36" t="s">
        <v>1</v>
      </c>
      <c r="F3502" s="36">
        <v>1</v>
      </c>
      <c r="G3502" s="36">
        <v>2</v>
      </c>
      <c r="H3502" s="36">
        <v>1</v>
      </c>
      <c r="I3502" s="37">
        <v>0</v>
      </c>
      <c r="J3502" s="36" t="s">
        <v>32654</v>
      </c>
      <c r="K3502" s="36" t="s">
        <v>14330</v>
      </c>
      <c r="L3502" s="36" t="s">
        <v>35563</v>
      </c>
      <c r="M3502">
        <v>3</v>
      </c>
      <c r="N3502" t="s">
        <v>14332</v>
      </c>
      <c r="O3502" t="s">
        <v>32591</v>
      </c>
    </row>
    <row r="3503" spans="1:15" x14ac:dyDescent="0.25">
      <c r="A3503" s="35" t="s">
        <v>7328</v>
      </c>
      <c r="B3503" s="36" t="s">
        <v>7329</v>
      </c>
      <c r="C3503" s="36" t="str">
        <f>HYPERLINK("https://rhld.insurance.arkansas.gov/NPILookup?Npi=1891346664","1891346664")</f>
        <v>1891346664</v>
      </c>
      <c r="D3503" s="36" t="s">
        <v>36047</v>
      </c>
      <c r="E3503" s="36" t="s">
        <v>1</v>
      </c>
      <c r="F3503" s="36">
        <v>1</v>
      </c>
      <c r="G3503" s="36">
        <v>3</v>
      </c>
      <c r="H3503" s="36">
        <v>0</v>
      </c>
      <c r="I3503" s="37">
        <v>0</v>
      </c>
      <c r="J3503" s="36" t="s">
        <v>32654</v>
      </c>
      <c r="K3503" s="36" t="s">
        <v>14330</v>
      </c>
      <c r="L3503" s="36" t="s">
        <v>14330</v>
      </c>
      <c r="M3503">
        <v>2</v>
      </c>
      <c r="N3503" t="s">
        <v>14331</v>
      </c>
      <c r="O3503" t="s">
        <v>32633</v>
      </c>
    </row>
    <row r="3504" spans="1:15" x14ac:dyDescent="0.25">
      <c r="A3504" s="35" t="s">
        <v>7328</v>
      </c>
      <c r="B3504" s="36" t="s">
        <v>7329</v>
      </c>
      <c r="C3504" s="36" t="str">
        <f>HYPERLINK("https://rhld.insurance.arkansas.gov/NPILookup?Npi=1891500922","1891500922")</f>
        <v>1891500922</v>
      </c>
      <c r="D3504" s="36" t="s">
        <v>36048</v>
      </c>
      <c r="E3504" s="36" t="s">
        <v>2</v>
      </c>
      <c r="F3504" s="36">
        <v>1</v>
      </c>
      <c r="G3504" s="36">
        <v>2</v>
      </c>
      <c r="H3504" s="36">
        <v>0</v>
      </c>
      <c r="I3504" s="37">
        <v>0</v>
      </c>
      <c r="J3504" s="36"/>
      <c r="K3504" s="36" t="s">
        <v>14330</v>
      </c>
      <c r="L3504" s="36" t="s">
        <v>14330</v>
      </c>
      <c r="M3504">
        <v>1</v>
      </c>
      <c r="N3504" t="s">
        <v>14331</v>
      </c>
      <c r="O3504" t="s">
        <v>14333</v>
      </c>
    </row>
    <row r="3505" spans="1:15" x14ac:dyDescent="0.25">
      <c r="A3505" s="35" t="s">
        <v>7328</v>
      </c>
      <c r="B3505" s="36" t="s">
        <v>7329</v>
      </c>
      <c r="C3505" s="36" t="str">
        <f>HYPERLINK("https://rhld.insurance.arkansas.gov/NPILookup?Npi=1891532099","1891532099")</f>
        <v>1891532099</v>
      </c>
      <c r="D3505" s="36" t="s">
        <v>36049</v>
      </c>
      <c r="E3505" s="36" t="s">
        <v>2</v>
      </c>
      <c r="F3505" s="36">
        <v>1</v>
      </c>
      <c r="G3505" s="36">
        <v>1</v>
      </c>
      <c r="H3505" s="36">
        <v>0</v>
      </c>
      <c r="I3505" s="37">
        <v>0</v>
      </c>
      <c r="J3505" s="36" t="s">
        <v>32679</v>
      </c>
      <c r="K3505" s="36" t="s">
        <v>14330</v>
      </c>
      <c r="L3505" s="36" t="s">
        <v>14330</v>
      </c>
      <c r="M3505">
        <v>2</v>
      </c>
      <c r="N3505" t="s">
        <v>14331</v>
      </c>
      <c r="O3505" t="s">
        <v>32633</v>
      </c>
    </row>
    <row r="3506" spans="1:15" x14ac:dyDescent="0.25">
      <c r="A3506" s="35" t="s">
        <v>7328</v>
      </c>
      <c r="B3506" s="36" t="s">
        <v>7329</v>
      </c>
      <c r="C3506" s="36" t="str">
        <f>HYPERLINK("https://rhld.insurance.arkansas.gov/NPILookup?Npi=1891537221","1891537221")</f>
        <v>1891537221</v>
      </c>
      <c r="D3506" s="36" t="s">
        <v>36050</v>
      </c>
      <c r="E3506" s="36" t="s">
        <v>2</v>
      </c>
      <c r="F3506" s="36">
        <v>1</v>
      </c>
      <c r="G3506" s="36">
        <v>2</v>
      </c>
      <c r="H3506" s="36">
        <v>0</v>
      </c>
      <c r="I3506" s="37">
        <v>0</v>
      </c>
      <c r="J3506" s="36"/>
      <c r="K3506" s="36" t="s">
        <v>14330</v>
      </c>
      <c r="L3506" s="36" t="s">
        <v>14330</v>
      </c>
      <c r="M3506">
        <v>1</v>
      </c>
      <c r="N3506" t="s">
        <v>14331</v>
      </c>
      <c r="O3506" t="s">
        <v>14333</v>
      </c>
    </row>
    <row r="3507" spans="1:15" x14ac:dyDescent="0.25">
      <c r="A3507" s="35" t="s">
        <v>7328</v>
      </c>
      <c r="B3507" s="36" t="s">
        <v>7329</v>
      </c>
      <c r="C3507" s="36" t="str">
        <f>HYPERLINK("https://rhld.insurance.arkansas.gov/NPILookup?Npi=1891553434","1891553434")</f>
        <v>1891553434</v>
      </c>
      <c r="D3507" s="36" t="s">
        <v>36051</v>
      </c>
      <c r="E3507" s="36" t="s">
        <v>2</v>
      </c>
      <c r="F3507" s="36">
        <v>2</v>
      </c>
      <c r="G3507" s="36">
        <v>1</v>
      </c>
      <c r="H3507" s="36">
        <v>0</v>
      </c>
      <c r="I3507" s="37">
        <v>0</v>
      </c>
      <c r="J3507" s="36" t="s">
        <v>33004</v>
      </c>
      <c r="K3507" s="36" t="s">
        <v>14330</v>
      </c>
      <c r="L3507" s="36" t="s">
        <v>14330</v>
      </c>
      <c r="M3507">
        <v>2</v>
      </c>
      <c r="N3507" t="s">
        <v>14331</v>
      </c>
      <c r="O3507" t="s">
        <v>32633</v>
      </c>
    </row>
    <row r="3508" spans="1:15" x14ac:dyDescent="0.25">
      <c r="A3508" s="35" t="s">
        <v>7328</v>
      </c>
      <c r="B3508" s="36" t="s">
        <v>7329</v>
      </c>
      <c r="C3508" s="36" t="str">
        <f>HYPERLINK("https://rhld.insurance.arkansas.gov/NPILookup?Npi=1891592259","1891592259")</f>
        <v>1891592259</v>
      </c>
      <c r="D3508" s="36" t="s">
        <v>34815</v>
      </c>
      <c r="E3508" s="36" t="s">
        <v>2</v>
      </c>
      <c r="F3508" s="36">
        <v>1</v>
      </c>
      <c r="G3508" s="36">
        <v>2</v>
      </c>
      <c r="H3508" s="36">
        <v>0</v>
      </c>
      <c r="I3508" s="37">
        <v>0</v>
      </c>
      <c r="J3508" s="36"/>
      <c r="K3508" s="36" t="s">
        <v>14330</v>
      </c>
      <c r="L3508" s="36" t="s">
        <v>14330</v>
      </c>
      <c r="M3508">
        <v>2</v>
      </c>
      <c r="N3508" t="s">
        <v>14331</v>
      </c>
      <c r="O3508" t="s">
        <v>14333</v>
      </c>
    </row>
    <row r="3509" spans="1:15" x14ac:dyDescent="0.25">
      <c r="A3509" s="35" t="s">
        <v>7328</v>
      </c>
      <c r="B3509" s="36" t="s">
        <v>7329</v>
      </c>
      <c r="C3509" s="36" t="str">
        <f>HYPERLINK("https://rhld.insurance.arkansas.gov/NPILookup?Npi=1891702205","1891702205")</f>
        <v>1891702205</v>
      </c>
      <c r="D3509" s="36" t="s">
        <v>36052</v>
      </c>
      <c r="E3509" s="36" t="s">
        <v>2</v>
      </c>
      <c r="F3509" s="36">
        <v>1</v>
      </c>
      <c r="G3509" s="36">
        <v>2</v>
      </c>
      <c r="H3509" s="36">
        <v>0</v>
      </c>
      <c r="I3509" s="37">
        <v>0</v>
      </c>
      <c r="J3509" s="36" t="s">
        <v>32679</v>
      </c>
      <c r="K3509" s="36" t="s">
        <v>14330</v>
      </c>
      <c r="L3509" s="36" t="s">
        <v>14330</v>
      </c>
      <c r="M3509">
        <v>3</v>
      </c>
      <c r="N3509" t="s">
        <v>14331</v>
      </c>
      <c r="O3509" t="s">
        <v>14333</v>
      </c>
    </row>
    <row r="3510" spans="1:15" x14ac:dyDescent="0.25">
      <c r="A3510" s="35" t="s">
        <v>7328</v>
      </c>
      <c r="B3510" s="36" t="s">
        <v>7329</v>
      </c>
      <c r="C3510" s="36" t="str">
        <f>HYPERLINK("https://rhld.insurance.arkansas.gov/NPILookup?Npi=1891704227","1891704227")</f>
        <v>1891704227</v>
      </c>
      <c r="D3510" s="36" t="s">
        <v>36053</v>
      </c>
      <c r="E3510" s="36" t="s">
        <v>1</v>
      </c>
      <c r="F3510" s="36">
        <v>1</v>
      </c>
      <c r="G3510" s="36">
        <v>3</v>
      </c>
      <c r="H3510" s="36">
        <v>0</v>
      </c>
      <c r="I3510" s="37">
        <v>0</v>
      </c>
      <c r="J3510" s="36" t="s">
        <v>34836</v>
      </c>
      <c r="K3510" s="36" t="s">
        <v>14330</v>
      </c>
      <c r="L3510" s="36" t="s">
        <v>14330</v>
      </c>
      <c r="M3510">
        <v>3</v>
      </c>
      <c r="N3510" t="s">
        <v>14331</v>
      </c>
      <c r="O3510" t="s">
        <v>32633</v>
      </c>
    </row>
    <row r="3511" spans="1:15" x14ac:dyDescent="0.25">
      <c r="A3511" s="35" t="s">
        <v>7328</v>
      </c>
      <c r="B3511" s="36" t="s">
        <v>7329</v>
      </c>
      <c r="C3511" s="36" t="str">
        <f>HYPERLINK("https://rhld.insurance.arkansas.gov/NPILookup?Npi=1891765699","1891765699")</f>
        <v>1891765699</v>
      </c>
      <c r="D3511" s="36" t="s">
        <v>36054</v>
      </c>
      <c r="E3511" s="36" t="s">
        <v>1</v>
      </c>
      <c r="F3511" s="36">
        <v>1</v>
      </c>
      <c r="G3511" s="36">
        <v>3</v>
      </c>
      <c r="H3511" s="36">
        <v>0</v>
      </c>
      <c r="I3511" s="37">
        <v>0</v>
      </c>
      <c r="J3511" s="36" t="s">
        <v>34836</v>
      </c>
      <c r="K3511" s="36" t="s">
        <v>14330</v>
      </c>
      <c r="L3511" s="36" t="s">
        <v>14330</v>
      </c>
      <c r="M3511">
        <v>3</v>
      </c>
      <c r="N3511" t="s">
        <v>14331</v>
      </c>
      <c r="O3511" t="s">
        <v>32633</v>
      </c>
    </row>
    <row r="3512" spans="1:15" x14ac:dyDescent="0.25">
      <c r="A3512" s="35" t="s">
        <v>7328</v>
      </c>
      <c r="B3512" s="36" t="s">
        <v>7329</v>
      </c>
      <c r="C3512" s="36" t="str">
        <f>HYPERLINK("https://rhld.insurance.arkansas.gov/NPILookup?Npi=1891768222","1891768222")</f>
        <v>1891768222</v>
      </c>
      <c r="D3512" s="36" t="s">
        <v>36055</v>
      </c>
      <c r="E3512" s="36" t="s">
        <v>1</v>
      </c>
      <c r="F3512" s="36">
        <v>1</v>
      </c>
      <c r="G3512" s="36">
        <v>3</v>
      </c>
      <c r="H3512" s="36">
        <v>0</v>
      </c>
      <c r="I3512" s="37">
        <v>0</v>
      </c>
      <c r="J3512" s="36" t="s">
        <v>34836</v>
      </c>
      <c r="K3512" s="36" t="s">
        <v>14330</v>
      </c>
      <c r="L3512" s="36" t="s">
        <v>14330</v>
      </c>
      <c r="M3512">
        <v>2</v>
      </c>
      <c r="N3512" t="s">
        <v>14331</v>
      </c>
      <c r="O3512" t="s">
        <v>32633</v>
      </c>
    </row>
    <row r="3513" spans="1:15" x14ac:dyDescent="0.25">
      <c r="A3513" s="35" t="s">
        <v>7328</v>
      </c>
      <c r="B3513" s="36" t="s">
        <v>7329</v>
      </c>
      <c r="C3513" s="36" t="str">
        <f>HYPERLINK("https://rhld.insurance.arkansas.gov/NPILookup?Npi=1891821153","1891821153")</f>
        <v>1891821153</v>
      </c>
      <c r="D3513" s="36" t="s">
        <v>36056</v>
      </c>
      <c r="E3513" s="36" t="s">
        <v>2</v>
      </c>
      <c r="F3513" s="36">
        <v>1</v>
      </c>
      <c r="G3513" s="36">
        <v>2</v>
      </c>
      <c r="H3513" s="36">
        <v>0</v>
      </c>
      <c r="I3513" s="37">
        <v>0</v>
      </c>
      <c r="J3513" s="36"/>
      <c r="K3513" s="36" t="s">
        <v>14330</v>
      </c>
      <c r="L3513" s="36" t="s">
        <v>14330</v>
      </c>
      <c r="M3513">
        <v>3</v>
      </c>
      <c r="N3513" t="s">
        <v>14331</v>
      </c>
      <c r="O3513" t="s">
        <v>14333</v>
      </c>
    </row>
    <row r="3514" spans="1:15" x14ac:dyDescent="0.25">
      <c r="A3514" s="35" t="s">
        <v>7328</v>
      </c>
      <c r="B3514" s="36" t="s">
        <v>7329</v>
      </c>
      <c r="C3514" s="36" t="str">
        <f>HYPERLINK("https://rhld.insurance.arkansas.gov/NPILookup?Npi=1891833505","1891833505")</f>
        <v>1891833505</v>
      </c>
      <c r="D3514" s="36" t="s">
        <v>33911</v>
      </c>
      <c r="E3514" s="36" t="s">
        <v>1</v>
      </c>
      <c r="F3514" s="36">
        <v>1</v>
      </c>
      <c r="G3514" s="36">
        <v>3</v>
      </c>
      <c r="H3514" s="36">
        <v>0</v>
      </c>
      <c r="I3514" s="37">
        <v>0</v>
      </c>
      <c r="J3514" s="36" t="s">
        <v>34836</v>
      </c>
      <c r="K3514" s="36" t="s">
        <v>14330</v>
      </c>
      <c r="L3514" s="36" t="s">
        <v>14330</v>
      </c>
      <c r="M3514">
        <v>2</v>
      </c>
      <c r="N3514" t="s">
        <v>14331</v>
      </c>
      <c r="O3514" t="s">
        <v>32633</v>
      </c>
    </row>
    <row r="3515" spans="1:15" x14ac:dyDescent="0.25">
      <c r="A3515" s="35" t="s">
        <v>7328</v>
      </c>
      <c r="B3515" s="36" t="s">
        <v>7329</v>
      </c>
      <c r="C3515" s="36" t="str">
        <f>HYPERLINK("https://rhld.insurance.arkansas.gov/NPILookup?Npi=1891921706","1891921706")</f>
        <v>1891921706</v>
      </c>
      <c r="D3515" s="36" t="s">
        <v>36057</v>
      </c>
      <c r="E3515" s="36" t="s">
        <v>1</v>
      </c>
      <c r="F3515" s="36">
        <v>1</v>
      </c>
      <c r="G3515" s="36">
        <v>2</v>
      </c>
      <c r="H3515" s="36">
        <v>0</v>
      </c>
      <c r="I3515" s="37">
        <v>0</v>
      </c>
      <c r="J3515" s="36" t="s">
        <v>34836</v>
      </c>
      <c r="K3515" s="36" t="s">
        <v>14330</v>
      </c>
      <c r="L3515" s="36" t="s">
        <v>14330</v>
      </c>
      <c r="M3515">
        <v>3</v>
      </c>
      <c r="N3515" t="s">
        <v>14331</v>
      </c>
      <c r="O3515" t="s">
        <v>32633</v>
      </c>
    </row>
    <row r="3516" spans="1:15" x14ac:dyDescent="0.25">
      <c r="A3516" s="35" t="s">
        <v>7328</v>
      </c>
      <c r="B3516" s="36" t="s">
        <v>7329</v>
      </c>
      <c r="C3516" s="36" t="str">
        <f>HYPERLINK("https://rhld.insurance.arkansas.gov/NPILookup?Npi=1891927182","1891927182")</f>
        <v>1891927182</v>
      </c>
      <c r="D3516" s="36" t="s">
        <v>36058</v>
      </c>
      <c r="E3516" s="36" t="s">
        <v>1</v>
      </c>
      <c r="F3516" s="36">
        <v>1</v>
      </c>
      <c r="G3516" s="36">
        <v>3</v>
      </c>
      <c r="H3516" s="36">
        <v>0</v>
      </c>
      <c r="I3516" s="37">
        <v>0</v>
      </c>
      <c r="J3516" s="36" t="s">
        <v>34836</v>
      </c>
      <c r="K3516" s="36" t="s">
        <v>14330</v>
      </c>
      <c r="L3516" s="36" t="s">
        <v>14330</v>
      </c>
      <c r="M3516">
        <v>1</v>
      </c>
      <c r="N3516" t="s">
        <v>14331</v>
      </c>
      <c r="O3516" t="s">
        <v>32633</v>
      </c>
    </row>
    <row r="3517" spans="1:15" x14ac:dyDescent="0.25">
      <c r="A3517" s="35" t="s">
        <v>7328</v>
      </c>
      <c r="B3517" s="36" t="s">
        <v>7329</v>
      </c>
      <c r="C3517" s="36" t="str">
        <f>HYPERLINK("https://rhld.insurance.arkansas.gov/NPILookup?Npi=1902038375","1902038375")</f>
        <v>1902038375</v>
      </c>
      <c r="D3517" s="36" t="s">
        <v>36059</v>
      </c>
      <c r="E3517" s="36" t="s">
        <v>1</v>
      </c>
      <c r="F3517" s="36">
        <v>1</v>
      </c>
      <c r="G3517" s="36">
        <v>2</v>
      </c>
      <c r="H3517" s="36">
        <v>1</v>
      </c>
      <c r="I3517" s="37">
        <v>0</v>
      </c>
      <c r="J3517" s="36" t="s">
        <v>32654</v>
      </c>
      <c r="K3517" s="36" t="s">
        <v>14330</v>
      </c>
      <c r="L3517" s="36" t="s">
        <v>35563</v>
      </c>
      <c r="M3517">
        <v>2</v>
      </c>
      <c r="N3517" t="s">
        <v>14332</v>
      </c>
      <c r="O3517" t="s">
        <v>32591</v>
      </c>
    </row>
    <row r="3518" spans="1:15" x14ac:dyDescent="0.25">
      <c r="A3518" s="35" t="s">
        <v>7328</v>
      </c>
      <c r="B3518" s="36" t="s">
        <v>7329</v>
      </c>
      <c r="C3518" s="36" t="str">
        <f>HYPERLINK("https://rhld.insurance.arkansas.gov/NPILookup?Npi=1902052863","1902052863")</f>
        <v>1902052863</v>
      </c>
      <c r="D3518" s="36" t="s">
        <v>36060</v>
      </c>
      <c r="E3518" s="36" t="s">
        <v>1</v>
      </c>
      <c r="F3518" s="36">
        <v>1</v>
      </c>
      <c r="G3518" s="36">
        <v>2</v>
      </c>
      <c r="H3518" s="36">
        <v>0</v>
      </c>
      <c r="I3518" s="37">
        <v>0</v>
      </c>
      <c r="J3518" s="36" t="s">
        <v>34836</v>
      </c>
      <c r="K3518" s="36" t="s">
        <v>14330</v>
      </c>
      <c r="L3518" s="36" t="s">
        <v>14330</v>
      </c>
      <c r="M3518">
        <v>2</v>
      </c>
      <c r="N3518" t="s">
        <v>14331</v>
      </c>
      <c r="O3518" t="s">
        <v>32633</v>
      </c>
    </row>
    <row r="3519" spans="1:15" x14ac:dyDescent="0.25">
      <c r="A3519" s="35" t="s">
        <v>7328</v>
      </c>
      <c r="B3519" s="36" t="s">
        <v>7329</v>
      </c>
      <c r="C3519" s="36" t="str">
        <f>HYPERLINK("https://rhld.insurance.arkansas.gov/NPILookup?Npi=1902265408","1902265408")</f>
        <v>1902265408</v>
      </c>
      <c r="D3519" s="36" t="s">
        <v>36061</v>
      </c>
      <c r="E3519" s="36" t="s">
        <v>1</v>
      </c>
      <c r="F3519" s="36">
        <v>1</v>
      </c>
      <c r="G3519" s="36">
        <v>2</v>
      </c>
      <c r="H3519" s="36">
        <v>0</v>
      </c>
      <c r="I3519" s="37">
        <v>0</v>
      </c>
      <c r="J3519" s="36" t="s">
        <v>34836</v>
      </c>
      <c r="K3519" s="36" t="s">
        <v>14330</v>
      </c>
      <c r="L3519" s="36" t="s">
        <v>14330</v>
      </c>
      <c r="M3519">
        <v>2</v>
      </c>
      <c r="N3519" t="s">
        <v>14331</v>
      </c>
      <c r="O3519" t="s">
        <v>32633</v>
      </c>
    </row>
    <row r="3520" spans="1:15" x14ac:dyDescent="0.25">
      <c r="A3520" s="35" t="s">
        <v>7328</v>
      </c>
      <c r="B3520" s="36" t="s">
        <v>7329</v>
      </c>
      <c r="C3520" s="36" t="str">
        <f>HYPERLINK("https://rhld.insurance.arkansas.gov/NPILookup?Npi=1902284326","1902284326")</f>
        <v>1902284326</v>
      </c>
      <c r="D3520" s="36" t="s">
        <v>36062</v>
      </c>
      <c r="E3520" s="36" t="s">
        <v>1</v>
      </c>
      <c r="F3520" s="36">
        <v>1</v>
      </c>
      <c r="G3520" s="36">
        <v>2</v>
      </c>
      <c r="H3520" s="36">
        <v>0</v>
      </c>
      <c r="I3520" s="37">
        <v>0</v>
      </c>
      <c r="J3520" s="36" t="s">
        <v>34836</v>
      </c>
      <c r="K3520" s="36" t="s">
        <v>14330</v>
      </c>
      <c r="L3520" s="36" t="s">
        <v>14330</v>
      </c>
      <c r="M3520">
        <v>2</v>
      </c>
      <c r="N3520" t="s">
        <v>14331</v>
      </c>
      <c r="O3520" t="s">
        <v>32633</v>
      </c>
    </row>
    <row r="3521" spans="1:15" x14ac:dyDescent="0.25">
      <c r="A3521" s="35" t="s">
        <v>7328</v>
      </c>
      <c r="B3521" s="36" t="s">
        <v>7329</v>
      </c>
      <c r="C3521" s="36" t="str">
        <f>HYPERLINK("https://rhld.insurance.arkansas.gov/NPILookup?Npi=1902611718","1902611718")</f>
        <v>1902611718</v>
      </c>
      <c r="D3521" s="36" t="s">
        <v>34816</v>
      </c>
      <c r="E3521" s="36" t="s">
        <v>2</v>
      </c>
      <c r="F3521" s="36">
        <v>1</v>
      </c>
      <c r="G3521" s="36">
        <v>2</v>
      </c>
      <c r="H3521" s="36">
        <v>0</v>
      </c>
      <c r="I3521" s="37">
        <v>0</v>
      </c>
      <c r="J3521" s="36"/>
      <c r="K3521" s="36" t="s">
        <v>14330</v>
      </c>
      <c r="L3521" s="36" t="s">
        <v>14330</v>
      </c>
      <c r="M3521">
        <v>2</v>
      </c>
      <c r="N3521" t="s">
        <v>14331</v>
      </c>
      <c r="O3521" t="s">
        <v>14333</v>
      </c>
    </row>
    <row r="3522" spans="1:15" x14ac:dyDescent="0.25">
      <c r="A3522" s="35" t="s">
        <v>7328</v>
      </c>
      <c r="B3522" s="36" t="s">
        <v>7329</v>
      </c>
      <c r="C3522" s="36" t="str">
        <f>HYPERLINK("https://rhld.insurance.arkansas.gov/NPILookup?Npi=1902624299","1902624299")</f>
        <v>1902624299</v>
      </c>
      <c r="D3522" s="36" t="s">
        <v>36063</v>
      </c>
      <c r="E3522" s="36" t="s">
        <v>2</v>
      </c>
      <c r="F3522" s="36">
        <v>2</v>
      </c>
      <c r="G3522" s="36">
        <v>2</v>
      </c>
      <c r="H3522" s="36">
        <v>0</v>
      </c>
      <c r="I3522" s="37">
        <v>0</v>
      </c>
      <c r="J3522" s="36" t="s">
        <v>33004</v>
      </c>
      <c r="K3522" s="36" t="s">
        <v>14330</v>
      </c>
      <c r="L3522" s="36" t="s">
        <v>14330</v>
      </c>
      <c r="M3522">
        <v>2</v>
      </c>
      <c r="N3522" t="s">
        <v>14331</v>
      </c>
      <c r="O3522" t="s">
        <v>14333</v>
      </c>
    </row>
    <row r="3523" spans="1:15" x14ac:dyDescent="0.25">
      <c r="A3523" s="35" t="s">
        <v>7328</v>
      </c>
      <c r="B3523" s="36" t="s">
        <v>7329</v>
      </c>
      <c r="C3523" s="36" t="str">
        <f>HYPERLINK("https://rhld.insurance.arkansas.gov/NPILookup?Npi=1902683980","1902683980")</f>
        <v>1902683980</v>
      </c>
      <c r="D3523" s="36" t="s">
        <v>36064</v>
      </c>
      <c r="E3523" s="36" t="s">
        <v>1</v>
      </c>
      <c r="F3523" s="36">
        <v>1</v>
      </c>
      <c r="G3523" s="36">
        <v>2</v>
      </c>
      <c r="H3523" s="36">
        <v>0</v>
      </c>
      <c r="I3523" s="37">
        <v>0</v>
      </c>
      <c r="J3523" s="36" t="s">
        <v>32654</v>
      </c>
      <c r="K3523" s="36" t="s">
        <v>14330</v>
      </c>
      <c r="L3523" s="36" t="s">
        <v>14330</v>
      </c>
      <c r="M3523">
        <v>2</v>
      </c>
      <c r="N3523" t="s">
        <v>14331</v>
      </c>
      <c r="O3523" t="s">
        <v>32633</v>
      </c>
    </row>
    <row r="3524" spans="1:15" x14ac:dyDescent="0.25">
      <c r="A3524" s="35" t="s">
        <v>7328</v>
      </c>
      <c r="B3524" s="36" t="s">
        <v>7329</v>
      </c>
      <c r="C3524" s="36" t="str">
        <f>HYPERLINK("https://rhld.insurance.arkansas.gov/NPILookup?Npi=1902808645","1902808645")</f>
        <v>1902808645</v>
      </c>
      <c r="D3524" s="36" t="s">
        <v>36065</v>
      </c>
      <c r="E3524" s="36" t="s">
        <v>1</v>
      </c>
      <c r="F3524" s="36">
        <v>1</v>
      </c>
      <c r="G3524" s="36">
        <v>2</v>
      </c>
      <c r="H3524" s="36">
        <v>0</v>
      </c>
      <c r="I3524" s="37">
        <v>0</v>
      </c>
      <c r="J3524" s="36" t="s">
        <v>34836</v>
      </c>
      <c r="K3524" s="36" t="s">
        <v>14330</v>
      </c>
      <c r="L3524" s="36" t="s">
        <v>14330</v>
      </c>
      <c r="M3524">
        <v>2</v>
      </c>
      <c r="N3524" t="s">
        <v>14331</v>
      </c>
      <c r="O3524" t="s">
        <v>32633</v>
      </c>
    </row>
    <row r="3525" spans="1:15" x14ac:dyDescent="0.25">
      <c r="A3525" s="35" t="s">
        <v>7328</v>
      </c>
      <c r="B3525" s="36" t="s">
        <v>7329</v>
      </c>
      <c r="C3525" s="36" t="str">
        <f>HYPERLINK("https://rhld.insurance.arkansas.gov/NPILookup?Npi=1902905722","1902905722")</f>
        <v>1902905722</v>
      </c>
      <c r="D3525" s="36" t="s">
        <v>36066</v>
      </c>
      <c r="E3525" s="36" t="s">
        <v>1</v>
      </c>
      <c r="F3525" s="36">
        <v>1</v>
      </c>
      <c r="G3525" s="36">
        <v>2</v>
      </c>
      <c r="H3525" s="36">
        <v>0</v>
      </c>
      <c r="I3525" s="37">
        <v>0</v>
      </c>
      <c r="J3525" s="36" t="s">
        <v>34836</v>
      </c>
      <c r="K3525" s="36" t="s">
        <v>14330</v>
      </c>
      <c r="L3525" s="36" t="s">
        <v>14330</v>
      </c>
      <c r="M3525">
        <v>1</v>
      </c>
      <c r="N3525" t="s">
        <v>14331</v>
      </c>
      <c r="O3525" t="s">
        <v>32633</v>
      </c>
    </row>
    <row r="3526" spans="1:15" x14ac:dyDescent="0.25">
      <c r="A3526" s="35" t="s">
        <v>7328</v>
      </c>
      <c r="B3526" s="36" t="s">
        <v>7329</v>
      </c>
      <c r="C3526" s="36" t="str">
        <f>HYPERLINK("https://rhld.insurance.arkansas.gov/NPILookup?Npi=1902910516","1902910516")</f>
        <v>1902910516</v>
      </c>
      <c r="D3526" s="36" t="s">
        <v>36067</v>
      </c>
      <c r="E3526" s="36" t="s">
        <v>1</v>
      </c>
      <c r="F3526" s="36">
        <v>1</v>
      </c>
      <c r="G3526" s="36">
        <v>2</v>
      </c>
      <c r="H3526" s="36">
        <v>1</v>
      </c>
      <c r="I3526" s="37">
        <v>0</v>
      </c>
      <c r="J3526" s="36" t="s">
        <v>32654</v>
      </c>
      <c r="K3526" s="36" t="s">
        <v>14330</v>
      </c>
      <c r="L3526" s="36" t="s">
        <v>35563</v>
      </c>
      <c r="M3526">
        <v>2</v>
      </c>
      <c r="N3526" t="s">
        <v>14332</v>
      </c>
      <c r="O3526" t="s">
        <v>32591</v>
      </c>
    </row>
    <row r="3527" spans="1:15" x14ac:dyDescent="0.25">
      <c r="A3527" s="35" t="s">
        <v>7328</v>
      </c>
      <c r="B3527" s="36" t="s">
        <v>7329</v>
      </c>
      <c r="C3527" s="36" t="str">
        <f>HYPERLINK("https://rhld.insurance.arkansas.gov/NPILookup?Npi=1912136870","1912136870")</f>
        <v>1912136870</v>
      </c>
      <c r="D3527" s="36" t="s">
        <v>36068</v>
      </c>
      <c r="E3527" s="36" t="s">
        <v>1</v>
      </c>
      <c r="F3527" s="36">
        <v>1</v>
      </c>
      <c r="G3527" s="36">
        <v>2</v>
      </c>
      <c r="H3527" s="36">
        <v>0</v>
      </c>
      <c r="I3527" s="37">
        <v>0</v>
      </c>
      <c r="J3527" s="36" t="s">
        <v>32723</v>
      </c>
      <c r="K3527" s="36" t="s">
        <v>14330</v>
      </c>
      <c r="L3527" s="36" t="s">
        <v>14330</v>
      </c>
      <c r="M3527">
        <v>2</v>
      </c>
      <c r="N3527" t="s">
        <v>14331</v>
      </c>
      <c r="O3527" t="s">
        <v>32724</v>
      </c>
    </row>
    <row r="3528" spans="1:15" x14ac:dyDescent="0.25">
      <c r="A3528" s="35" t="s">
        <v>7328</v>
      </c>
      <c r="B3528" s="36" t="s">
        <v>7329</v>
      </c>
      <c r="C3528" s="36" t="str">
        <f>HYPERLINK("https://rhld.insurance.arkansas.gov/NPILookup?Npi=1912143421","1912143421")</f>
        <v>1912143421</v>
      </c>
      <c r="D3528" s="36" t="s">
        <v>36069</v>
      </c>
      <c r="E3528" s="36" t="s">
        <v>1</v>
      </c>
      <c r="F3528" s="36">
        <v>1</v>
      </c>
      <c r="G3528" s="36">
        <v>2</v>
      </c>
      <c r="H3528" s="36">
        <v>0</v>
      </c>
      <c r="I3528" s="37">
        <v>0</v>
      </c>
      <c r="J3528" s="36" t="s">
        <v>34836</v>
      </c>
      <c r="K3528" s="36" t="s">
        <v>14330</v>
      </c>
      <c r="L3528" s="36" t="s">
        <v>14330</v>
      </c>
      <c r="M3528">
        <v>3</v>
      </c>
      <c r="N3528" t="s">
        <v>14331</v>
      </c>
      <c r="O3528" t="s">
        <v>32633</v>
      </c>
    </row>
    <row r="3529" spans="1:15" x14ac:dyDescent="0.25">
      <c r="A3529" s="35" t="s">
        <v>7328</v>
      </c>
      <c r="B3529" s="36" t="s">
        <v>7329</v>
      </c>
      <c r="C3529" s="36" t="str">
        <f>HYPERLINK("https://rhld.insurance.arkansas.gov/NPILookup?Npi=1912164229","1912164229")</f>
        <v>1912164229</v>
      </c>
      <c r="D3529" s="36" t="s">
        <v>36070</v>
      </c>
      <c r="E3529" s="36" t="s">
        <v>1</v>
      </c>
      <c r="F3529" s="36">
        <v>1</v>
      </c>
      <c r="G3529" s="36">
        <v>3</v>
      </c>
      <c r="H3529" s="36">
        <v>0</v>
      </c>
      <c r="I3529" s="37">
        <v>0</v>
      </c>
      <c r="J3529" s="36" t="s">
        <v>32654</v>
      </c>
      <c r="K3529" s="36" t="s">
        <v>14330</v>
      </c>
      <c r="L3529" s="36" t="s">
        <v>14330</v>
      </c>
      <c r="M3529">
        <v>3</v>
      </c>
      <c r="N3529" t="s">
        <v>14331</v>
      </c>
      <c r="O3529" t="s">
        <v>32633</v>
      </c>
    </row>
    <row r="3530" spans="1:15" x14ac:dyDescent="0.25">
      <c r="A3530" s="35" t="s">
        <v>7328</v>
      </c>
      <c r="B3530" s="36" t="s">
        <v>7329</v>
      </c>
      <c r="C3530" s="36" t="str">
        <f>HYPERLINK("https://rhld.insurance.arkansas.gov/NPILookup?Npi=1912392986","1912392986")</f>
        <v>1912392986</v>
      </c>
      <c r="D3530" s="36" t="s">
        <v>33731</v>
      </c>
      <c r="E3530" s="36" t="s">
        <v>1</v>
      </c>
      <c r="F3530" s="36">
        <v>1</v>
      </c>
      <c r="G3530" s="36">
        <v>3</v>
      </c>
      <c r="H3530" s="36">
        <v>0</v>
      </c>
      <c r="I3530" s="37">
        <v>0</v>
      </c>
      <c r="J3530" s="36" t="s">
        <v>34836</v>
      </c>
      <c r="K3530" s="36" t="s">
        <v>14330</v>
      </c>
      <c r="L3530" s="36" t="s">
        <v>14330</v>
      </c>
      <c r="M3530">
        <v>3</v>
      </c>
      <c r="N3530" t="s">
        <v>14331</v>
      </c>
      <c r="O3530" t="s">
        <v>32633</v>
      </c>
    </row>
    <row r="3531" spans="1:15" x14ac:dyDescent="0.25">
      <c r="A3531" s="35" t="s">
        <v>7328</v>
      </c>
      <c r="B3531" s="36" t="s">
        <v>7329</v>
      </c>
      <c r="C3531" s="36" t="str">
        <f>HYPERLINK("https://rhld.insurance.arkansas.gov/NPILookup?Npi=1912402900","1912402900")</f>
        <v>1912402900</v>
      </c>
      <c r="D3531" s="36" t="s">
        <v>36071</v>
      </c>
      <c r="E3531" s="36" t="s">
        <v>1</v>
      </c>
      <c r="F3531" s="36">
        <v>1</v>
      </c>
      <c r="G3531" s="36">
        <v>3</v>
      </c>
      <c r="H3531" s="36">
        <v>0</v>
      </c>
      <c r="I3531" s="37">
        <v>0</v>
      </c>
      <c r="J3531" s="36" t="s">
        <v>32654</v>
      </c>
      <c r="K3531" s="36" t="s">
        <v>14330</v>
      </c>
      <c r="L3531" s="36" t="s">
        <v>14330</v>
      </c>
      <c r="M3531">
        <v>3</v>
      </c>
      <c r="N3531" t="s">
        <v>14331</v>
      </c>
      <c r="O3531" t="s">
        <v>32633</v>
      </c>
    </row>
    <row r="3532" spans="1:15" x14ac:dyDescent="0.25">
      <c r="A3532" s="35" t="s">
        <v>7328</v>
      </c>
      <c r="B3532" s="36" t="s">
        <v>7329</v>
      </c>
      <c r="C3532" s="36" t="str">
        <f>HYPERLINK("https://rhld.insurance.arkansas.gov/NPILookup?Npi=1912430844","1912430844")</f>
        <v>1912430844</v>
      </c>
      <c r="D3532" s="36" t="s">
        <v>36072</v>
      </c>
      <c r="E3532" s="36" t="s">
        <v>1</v>
      </c>
      <c r="F3532" s="36">
        <v>1</v>
      </c>
      <c r="G3532" s="36">
        <v>3</v>
      </c>
      <c r="H3532" s="36">
        <v>0</v>
      </c>
      <c r="I3532" s="37">
        <v>0</v>
      </c>
      <c r="J3532" s="36" t="s">
        <v>34836</v>
      </c>
      <c r="K3532" s="36" t="s">
        <v>14330</v>
      </c>
      <c r="L3532" s="36" t="s">
        <v>14330</v>
      </c>
      <c r="M3532">
        <v>2</v>
      </c>
      <c r="N3532" t="s">
        <v>14331</v>
      </c>
      <c r="O3532" t="s">
        <v>32633</v>
      </c>
    </row>
    <row r="3533" spans="1:15" x14ac:dyDescent="0.25">
      <c r="A3533" s="35" t="s">
        <v>7328</v>
      </c>
      <c r="B3533" s="36" t="s">
        <v>7329</v>
      </c>
      <c r="C3533" s="36" t="str">
        <f>HYPERLINK("https://rhld.insurance.arkansas.gov/NPILookup?Npi=1912473125","1912473125")</f>
        <v>1912473125</v>
      </c>
      <c r="D3533" s="36" t="s">
        <v>33622</v>
      </c>
      <c r="E3533" s="36" t="s">
        <v>1</v>
      </c>
      <c r="F3533" s="36">
        <v>1</v>
      </c>
      <c r="G3533" s="36">
        <v>2</v>
      </c>
      <c r="H3533" s="36">
        <v>0</v>
      </c>
      <c r="I3533" s="37">
        <v>0</v>
      </c>
      <c r="J3533" s="36" t="s">
        <v>32654</v>
      </c>
      <c r="K3533" s="36" t="s">
        <v>14330</v>
      </c>
      <c r="L3533" s="36" t="s">
        <v>14330</v>
      </c>
      <c r="M3533">
        <v>2</v>
      </c>
      <c r="N3533" t="s">
        <v>14331</v>
      </c>
      <c r="O3533" t="s">
        <v>32633</v>
      </c>
    </row>
    <row r="3534" spans="1:15" x14ac:dyDescent="0.25">
      <c r="A3534" s="35" t="s">
        <v>7328</v>
      </c>
      <c r="B3534" s="36" t="s">
        <v>7329</v>
      </c>
      <c r="C3534" s="36" t="str">
        <f>HYPERLINK("https://rhld.insurance.arkansas.gov/NPILookup?Npi=1912521253","1912521253")</f>
        <v>1912521253</v>
      </c>
      <c r="D3534" s="36" t="s">
        <v>36073</v>
      </c>
      <c r="E3534" s="36" t="s">
        <v>1</v>
      </c>
      <c r="F3534" s="36">
        <v>1</v>
      </c>
      <c r="G3534" s="36">
        <v>2</v>
      </c>
      <c r="H3534" s="36">
        <v>0</v>
      </c>
      <c r="I3534" s="37">
        <v>0</v>
      </c>
      <c r="J3534" s="36" t="s">
        <v>32723</v>
      </c>
      <c r="K3534" s="36" t="s">
        <v>14330</v>
      </c>
      <c r="L3534" s="36" t="s">
        <v>14330</v>
      </c>
      <c r="M3534">
        <v>2</v>
      </c>
      <c r="N3534" t="s">
        <v>14331</v>
      </c>
      <c r="O3534" t="s">
        <v>32724</v>
      </c>
    </row>
    <row r="3535" spans="1:15" x14ac:dyDescent="0.25">
      <c r="A3535" s="35" t="s">
        <v>7328</v>
      </c>
      <c r="B3535" s="36" t="s">
        <v>7329</v>
      </c>
      <c r="C3535" s="36" t="str">
        <f>HYPERLINK("https://rhld.insurance.arkansas.gov/NPILookup?Npi=1912536632","1912536632")</f>
        <v>1912536632</v>
      </c>
      <c r="D3535" s="36" t="s">
        <v>36074</v>
      </c>
      <c r="E3535" s="36" t="s">
        <v>1</v>
      </c>
      <c r="F3535" s="36">
        <v>1</v>
      </c>
      <c r="G3535" s="36">
        <v>2</v>
      </c>
      <c r="H3535" s="36">
        <v>0</v>
      </c>
      <c r="I3535" s="37">
        <v>0</v>
      </c>
      <c r="J3535" s="36" t="s">
        <v>34836</v>
      </c>
      <c r="K3535" s="36" t="s">
        <v>14330</v>
      </c>
      <c r="L3535" s="36" t="s">
        <v>14330</v>
      </c>
      <c r="M3535">
        <v>2</v>
      </c>
      <c r="N3535" t="s">
        <v>14331</v>
      </c>
      <c r="O3535" t="s">
        <v>32633</v>
      </c>
    </row>
    <row r="3536" spans="1:15" x14ac:dyDescent="0.25">
      <c r="A3536" s="35" t="s">
        <v>7328</v>
      </c>
      <c r="B3536" s="36" t="s">
        <v>7329</v>
      </c>
      <c r="C3536" s="36" t="str">
        <f>HYPERLINK("https://rhld.insurance.arkansas.gov/NPILookup?Npi=1912663758","1912663758")</f>
        <v>1912663758</v>
      </c>
      <c r="D3536" s="36" t="s">
        <v>36075</v>
      </c>
      <c r="E3536" s="36" t="s">
        <v>1</v>
      </c>
      <c r="F3536" s="36">
        <v>1</v>
      </c>
      <c r="G3536" s="36">
        <v>2</v>
      </c>
      <c r="H3536" s="36">
        <v>0</v>
      </c>
      <c r="I3536" s="37">
        <v>0</v>
      </c>
      <c r="J3536" s="36" t="s">
        <v>32654</v>
      </c>
      <c r="K3536" s="36" t="s">
        <v>14330</v>
      </c>
      <c r="L3536" s="36" t="s">
        <v>14330</v>
      </c>
      <c r="M3536">
        <v>2</v>
      </c>
      <c r="N3536" t="s">
        <v>14331</v>
      </c>
      <c r="O3536" t="s">
        <v>32633</v>
      </c>
    </row>
    <row r="3537" spans="1:15" x14ac:dyDescent="0.25">
      <c r="A3537" s="35" t="s">
        <v>7328</v>
      </c>
      <c r="B3537" s="36" t="s">
        <v>7329</v>
      </c>
      <c r="C3537" s="36" t="str">
        <f>HYPERLINK("https://rhld.insurance.arkansas.gov/NPILookup?Npi=1912714304","1912714304")</f>
        <v>1912714304</v>
      </c>
      <c r="D3537" s="36" t="s">
        <v>34820</v>
      </c>
      <c r="E3537" s="36" t="s">
        <v>2</v>
      </c>
      <c r="F3537" s="36">
        <v>1</v>
      </c>
      <c r="G3537" s="36">
        <v>2</v>
      </c>
      <c r="H3537" s="36">
        <v>0</v>
      </c>
      <c r="I3537" s="37">
        <v>0</v>
      </c>
      <c r="J3537" s="36"/>
      <c r="K3537" s="36" t="s">
        <v>14330</v>
      </c>
      <c r="L3537" s="36" t="s">
        <v>14330</v>
      </c>
      <c r="M3537">
        <v>2</v>
      </c>
      <c r="N3537" t="s">
        <v>14331</v>
      </c>
      <c r="O3537" t="s">
        <v>14333</v>
      </c>
    </row>
    <row r="3538" spans="1:15" x14ac:dyDescent="0.25">
      <c r="A3538" s="35" t="s">
        <v>7328</v>
      </c>
      <c r="B3538" s="36" t="s">
        <v>7329</v>
      </c>
      <c r="C3538" s="36" t="str">
        <f>HYPERLINK("https://rhld.insurance.arkansas.gov/NPILookup?Npi=1912752445","1912752445")</f>
        <v>1912752445</v>
      </c>
      <c r="D3538" s="36" t="s">
        <v>34821</v>
      </c>
      <c r="E3538" s="36" t="s">
        <v>2</v>
      </c>
      <c r="F3538" s="36">
        <v>1</v>
      </c>
      <c r="G3538" s="36">
        <v>2</v>
      </c>
      <c r="H3538" s="36">
        <v>0</v>
      </c>
      <c r="I3538" s="37">
        <v>0</v>
      </c>
      <c r="J3538" s="36"/>
      <c r="K3538" s="36" t="s">
        <v>14330</v>
      </c>
      <c r="L3538" s="36" t="s">
        <v>14330</v>
      </c>
      <c r="M3538">
        <v>3</v>
      </c>
      <c r="N3538" t="s">
        <v>14331</v>
      </c>
      <c r="O3538" t="s">
        <v>14333</v>
      </c>
    </row>
    <row r="3539" spans="1:15" x14ac:dyDescent="0.25">
      <c r="A3539" s="35" t="s">
        <v>7328</v>
      </c>
      <c r="B3539" s="36" t="s">
        <v>7329</v>
      </c>
      <c r="C3539" s="36" t="str">
        <f>HYPERLINK("https://rhld.insurance.arkansas.gov/NPILookup?Npi=1912905092","1912905092")</f>
        <v>1912905092</v>
      </c>
      <c r="D3539" s="36" t="s">
        <v>36076</v>
      </c>
      <c r="E3539" s="36" t="s">
        <v>1</v>
      </c>
      <c r="F3539" s="36">
        <v>1</v>
      </c>
      <c r="G3539" s="36">
        <v>3</v>
      </c>
      <c r="H3539" s="36">
        <v>0</v>
      </c>
      <c r="I3539" s="37">
        <v>0</v>
      </c>
      <c r="J3539" s="36" t="s">
        <v>34836</v>
      </c>
      <c r="K3539" s="36" t="s">
        <v>14330</v>
      </c>
      <c r="L3539" s="36" t="s">
        <v>14330</v>
      </c>
      <c r="M3539">
        <v>3</v>
      </c>
      <c r="N3539" t="s">
        <v>14331</v>
      </c>
      <c r="O3539" t="s">
        <v>32633</v>
      </c>
    </row>
    <row r="3540" spans="1:15" x14ac:dyDescent="0.25">
      <c r="A3540" s="35" t="s">
        <v>7328</v>
      </c>
      <c r="B3540" s="36" t="s">
        <v>7329</v>
      </c>
      <c r="C3540" s="36" t="str">
        <f>HYPERLINK("https://rhld.insurance.arkansas.gov/NPILookup?Npi=1922003037","1922003037")</f>
        <v>1922003037</v>
      </c>
      <c r="D3540" s="36" t="s">
        <v>36077</v>
      </c>
      <c r="E3540" s="36" t="s">
        <v>1</v>
      </c>
      <c r="F3540" s="36">
        <v>1</v>
      </c>
      <c r="G3540" s="36">
        <v>3</v>
      </c>
      <c r="H3540" s="36">
        <v>0</v>
      </c>
      <c r="I3540" s="37">
        <v>0</v>
      </c>
      <c r="J3540" s="36" t="s">
        <v>34836</v>
      </c>
      <c r="K3540" s="36" t="s">
        <v>14330</v>
      </c>
      <c r="L3540" s="36" t="s">
        <v>14330</v>
      </c>
      <c r="M3540">
        <v>3</v>
      </c>
      <c r="N3540" t="s">
        <v>14331</v>
      </c>
      <c r="O3540" t="s">
        <v>32633</v>
      </c>
    </row>
    <row r="3541" spans="1:15" x14ac:dyDescent="0.25">
      <c r="A3541" s="35" t="s">
        <v>7328</v>
      </c>
      <c r="B3541" s="36" t="s">
        <v>7329</v>
      </c>
      <c r="C3541" s="36" t="str">
        <f>HYPERLINK("https://rhld.insurance.arkansas.gov/NPILookup?Npi=1922071737","1922071737")</f>
        <v>1922071737</v>
      </c>
      <c r="D3541" s="36" t="s">
        <v>36078</v>
      </c>
      <c r="E3541" s="36" t="s">
        <v>1</v>
      </c>
      <c r="F3541" s="36">
        <v>1</v>
      </c>
      <c r="G3541" s="36">
        <v>3</v>
      </c>
      <c r="H3541" s="36">
        <v>0</v>
      </c>
      <c r="I3541" s="37">
        <v>0</v>
      </c>
      <c r="J3541" s="36" t="s">
        <v>32654</v>
      </c>
      <c r="K3541" s="36" t="s">
        <v>14330</v>
      </c>
      <c r="L3541" s="36" t="s">
        <v>14330</v>
      </c>
      <c r="M3541">
        <v>3</v>
      </c>
      <c r="N3541" t="s">
        <v>14331</v>
      </c>
      <c r="O3541" t="s">
        <v>32633</v>
      </c>
    </row>
    <row r="3542" spans="1:15" x14ac:dyDescent="0.25">
      <c r="A3542" s="35" t="s">
        <v>7328</v>
      </c>
      <c r="B3542" s="36" t="s">
        <v>7329</v>
      </c>
      <c r="C3542" s="36" t="str">
        <f>HYPERLINK("https://rhld.insurance.arkansas.gov/NPILookup?Npi=1922072891","1922072891")</f>
        <v>1922072891</v>
      </c>
      <c r="D3542" s="36" t="s">
        <v>36079</v>
      </c>
      <c r="E3542" s="36" t="s">
        <v>1</v>
      </c>
      <c r="F3542" s="36">
        <v>1</v>
      </c>
      <c r="G3542" s="36">
        <v>3</v>
      </c>
      <c r="H3542" s="36">
        <v>0</v>
      </c>
      <c r="I3542" s="37">
        <v>0</v>
      </c>
      <c r="J3542" s="36" t="s">
        <v>34836</v>
      </c>
      <c r="K3542" s="36" t="s">
        <v>14330</v>
      </c>
      <c r="L3542" s="36" t="s">
        <v>14330</v>
      </c>
      <c r="M3542">
        <v>3</v>
      </c>
      <c r="N3542" t="s">
        <v>14331</v>
      </c>
      <c r="O3542" t="s">
        <v>32633</v>
      </c>
    </row>
    <row r="3543" spans="1:15" x14ac:dyDescent="0.25">
      <c r="A3543" s="35" t="s">
        <v>7328</v>
      </c>
      <c r="B3543" s="36" t="s">
        <v>7329</v>
      </c>
      <c r="C3543" s="36" t="str">
        <f>HYPERLINK("https://rhld.insurance.arkansas.gov/NPILookup?Npi=1922116284","1922116284")</f>
        <v>1922116284</v>
      </c>
      <c r="D3543" s="36" t="s">
        <v>36080</v>
      </c>
      <c r="E3543" s="36" t="s">
        <v>1</v>
      </c>
      <c r="F3543" s="36">
        <v>1</v>
      </c>
      <c r="G3543" s="36">
        <v>3</v>
      </c>
      <c r="H3543" s="36">
        <v>0</v>
      </c>
      <c r="I3543" s="37">
        <v>0</v>
      </c>
      <c r="J3543" s="36" t="s">
        <v>34836</v>
      </c>
      <c r="K3543" s="36" t="s">
        <v>14330</v>
      </c>
      <c r="L3543" s="36" t="s">
        <v>14330</v>
      </c>
      <c r="M3543">
        <v>2</v>
      </c>
      <c r="N3543" t="s">
        <v>14331</v>
      </c>
      <c r="O3543" t="s">
        <v>32633</v>
      </c>
    </row>
    <row r="3544" spans="1:15" x14ac:dyDescent="0.25">
      <c r="A3544" s="35" t="s">
        <v>7328</v>
      </c>
      <c r="B3544" s="36" t="s">
        <v>7329</v>
      </c>
      <c r="C3544" s="36" t="str">
        <f>HYPERLINK("https://rhld.insurance.arkansas.gov/NPILookup?Npi=1922261387","1922261387")</f>
        <v>1922261387</v>
      </c>
      <c r="D3544" s="36" t="s">
        <v>36081</v>
      </c>
      <c r="E3544" s="36" t="s">
        <v>1</v>
      </c>
      <c r="F3544" s="36">
        <v>1</v>
      </c>
      <c r="G3544" s="36">
        <v>2</v>
      </c>
      <c r="H3544" s="36">
        <v>0</v>
      </c>
      <c r="I3544" s="37">
        <v>0</v>
      </c>
      <c r="J3544" s="36" t="s">
        <v>34836</v>
      </c>
      <c r="K3544" s="36" t="s">
        <v>14330</v>
      </c>
      <c r="L3544" s="36" t="s">
        <v>14330</v>
      </c>
      <c r="M3544">
        <v>2</v>
      </c>
      <c r="N3544" t="s">
        <v>14331</v>
      </c>
      <c r="O3544" t="s">
        <v>32633</v>
      </c>
    </row>
    <row r="3545" spans="1:15" x14ac:dyDescent="0.25">
      <c r="A3545" s="35" t="s">
        <v>7328</v>
      </c>
      <c r="B3545" s="36" t="s">
        <v>7329</v>
      </c>
      <c r="C3545" s="36" t="str">
        <f>HYPERLINK("https://rhld.insurance.arkansas.gov/NPILookup?Npi=1922315613","1922315613")</f>
        <v>1922315613</v>
      </c>
      <c r="D3545" s="36" t="s">
        <v>36082</v>
      </c>
      <c r="E3545" s="36" t="s">
        <v>1</v>
      </c>
      <c r="F3545" s="36">
        <v>1</v>
      </c>
      <c r="G3545" s="36">
        <v>2</v>
      </c>
      <c r="H3545" s="36">
        <v>0</v>
      </c>
      <c r="I3545" s="37">
        <v>0</v>
      </c>
      <c r="J3545" s="36" t="s">
        <v>32654</v>
      </c>
      <c r="K3545" s="36" t="s">
        <v>14330</v>
      </c>
      <c r="L3545" s="36" t="s">
        <v>14330</v>
      </c>
      <c r="M3545">
        <v>2</v>
      </c>
      <c r="N3545" t="s">
        <v>14331</v>
      </c>
      <c r="O3545" t="s">
        <v>32633</v>
      </c>
    </row>
    <row r="3546" spans="1:15" x14ac:dyDescent="0.25">
      <c r="A3546" s="35" t="s">
        <v>7328</v>
      </c>
      <c r="B3546" s="36" t="s">
        <v>7329</v>
      </c>
      <c r="C3546" s="36" t="str">
        <f>HYPERLINK("https://rhld.insurance.arkansas.gov/NPILookup?Npi=1922398940","1922398940")</f>
        <v>1922398940</v>
      </c>
      <c r="D3546" s="36" t="s">
        <v>36083</v>
      </c>
      <c r="E3546" s="36" t="s">
        <v>1</v>
      </c>
      <c r="F3546" s="36">
        <v>1</v>
      </c>
      <c r="G3546" s="36">
        <v>2</v>
      </c>
      <c r="H3546" s="36">
        <v>0</v>
      </c>
      <c r="I3546" s="37">
        <v>0</v>
      </c>
      <c r="J3546" s="36" t="s">
        <v>34836</v>
      </c>
      <c r="K3546" s="36" t="s">
        <v>14330</v>
      </c>
      <c r="L3546" s="36" t="s">
        <v>14330</v>
      </c>
      <c r="M3546">
        <v>3</v>
      </c>
      <c r="N3546" t="s">
        <v>14331</v>
      </c>
      <c r="O3546" t="s">
        <v>32633</v>
      </c>
    </row>
    <row r="3547" spans="1:15" x14ac:dyDescent="0.25">
      <c r="A3547" s="35" t="s">
        <v>7328</v>
      </c>
      <c r="B3547" s="36" t="s">
        <v>7329</v>
      </c>
      <c r="C3547" s="36" t="str">
        <f>HYPERLINK("https://rhld.insurance.arkansas.gov/NPILookup?Npi=1922539907","1922539907")</f>
        <v>1922539907</v>
      </c>
      <c r="D3547" s="36" t="s">
        <v>36084</v>
      </c>
      <c r="E3547" s="36" t="s">
        <v>1</v>
      </c>
      <c r="F3547" s="36">
        <v>1</v>
      </c>
      <c r="G3547" s="36">
        <v>3</v>
      </c>
      <c r="H3547" s="36">
        <v>0</v>
      </c>
      <c r="I3547" s="37">
        <v>0</v>
      </c>
      <c r="J3547" s="36" t="s">
        <v>32654</v>
      </c>
      <c r="K3547" s="36" t="s">
        <v>14330</v>
      </c>
      <c r="L3547" s="36" t="s">
        <v>14330</v>
      </c>
      <c r="M3547">
        <v>2</v>
      </c>
      <c r="N3547" t="s">
        <v>14331</v>
      </c>
      <c r="O3547" t="s">
        <v>32633</v>
      </c>
    </row>
    <row r="3548" spans="1:15" x14ac:dyDescent="0.25">
      <c r="A3548" s="35" t="s">
        <v>7328</v>
      </c>
      <c r="B3548" s="36" t="s">
        <v>7329</v>
      </c>
      <c r="C3548" s="36" t="str">
        <f>HYPERLINK("https://rhld.insurance.arkansas.gov/NPILookup?Npi=1922539915","1922539915")</f>
        <v>1922539915</v>
      </c>
      <c r="D3548" s="36" t="s">
        <v>36085</v>
      </c>
      <c r="E3548" s="36" t="s">
        <v>1</v>
      </c>
      <c r="F3548" s="36">
        <v>1</v>
      </c>
      <c r="G3548" s="36">
        <v>2</v>
      </c>
      <c r="H3548" s="36">
        <v>0</v>
      </c>
      <c r="I3548" s="37">
        <v>0</v>
      </c>
      <c r="J3548" s="36" t="s">
        <v>32654</v>
      </c>
      <c r="K3548" s="36" t="s">
        <v>14330</v>
      </c>
      <c r="L3548" s="36" t="s">
        <v>14330</v>
      </c>
      <c r="M3548">
        <v>2</v>
      </c>
      <c r="N3548" t="s">
        <v>14331</v>
      </c>
      <c r="O3548" t="s">
        <v>32633</v>
      </c>
    </row>
    <row r="3549" spans="1:15" x14ac:dyDescent="0.25">
      <c r="A3549" s="35" t="s">
        <v>7328</v>
      </c>
      <c r="B3549" s="36" t="s">
        <v>7329</v>
      </c>
      <c r="C3549" s="36" t="str">
        <f>HYPERLINK("https://rhld.insurance.arkansas.gov/NPILookup?Npi=1922575042","1922575042")</f>
        <v>1922575042</v>
      </c>
      <c r="D3549" s="36" t="s">
        <v>36086</v>
      </c>
      <c r="E3549" s="36" t="s">
        <v>1</v>
      </c>
      <c r="F3549" s="36">
        <v>1</v>
      </c>
      <c r="G3549" s="36">
        <v>2</v>
      </c>
      <c r="H3549" s="36">
        <v>0</v>
      </c>
      <c r="I3549" s="37">
        <v>0</v>
      </c>
      <c r="J3549" s="36" t="s">
        <v>32654</v>
      </c>
      <c r="K3549" s="36" t="s">
        <v>14330</v>
      </c>
      <c r="L3549" s="36" t="s">
        <v>14330</v>
      </c>
      <c r="M3549">
        <v>1</v>
      </c>
      <c r="N3549" t="s">
        <v>14331</v>
      </c>
      <c r="O3549" t="s">
        <v>32633</v>
      </c>
    </row>
    <row r="3550" spans="1:15" x14ac:dyDescent="0.25">
      <c r="A3550" s="35" t="s">
        <v>7328</v>
      </c>
      <c r="B3550" s="36" t="s">
        <v>7329</v>
      </c>
      <c r="C3550" s="36" t="str">
        <f>HYPERLINK("https://rhld.insurance.arkansas.gov/NPILookup?Npi=1922627249","1922627249")</f>
        <v>1922627249</v>
      </c>
      <c r="D3550" s="36" t="s">
        <v>36087</v>
      </c>
      <c r="E3550" s="36" t="s">
        <v>1</v>
      </c>
      <c r="F3550" s="36">
        <v>1</v>
      </c>
      <c r="G3550" s="36">
        <v>2</v>
      </c>
      <c r="H3550" s="36">
        <v>1</v>
      </c>
      <c r="I3550" s="37">
        <v>0</v>
      </c>
      <c r="J3550" s="36" t="s">
        <v>32654</v>
      </c>
      <c r="K3550" s="36" t="s">
        <v>14330</v>
      </c>
      <c r="L3550" s="36" t="s">
        <v>35563</v>
      </c>
      <c r="M3550">
        <v>2</v>
      </c>
      <c r="N3550" t="s">
        <v>14332</v>
      </c>
      <c r="O3550" t="s">
        <v>32591</v>
      </c>
    </row>
    <row r="3551" spans="1:15" x14ac:dyDescent="0.25">
      <c r="A3551" s="35" t="s">
        <v>7328</v>
      </c>
      <c r="B3551" s="36" t="s">
        <v>7329</v>
      </c>
      <c r="C3551" s="36" t="str">
        <f>HYPERLINK("https://rhld.insurance.arkansas.gov/NPILookup?Npi=1922648237","1922648237")</f>
        <v>1922648237</v>
      </c>
      <c r="D3551" s="36" t="s">
        <v>36088</v>
      </c>
      <c r="E3551" s="36" t="s">
        <v>2</v>
      </c>
      <c r="F3551" s="36">
        <v>1</v>
      </c>
      <c r="G3551" s="36">
        <v>2</v>
      </c>
      <c r="H3551" s="36">
        <v>0</v>
      </c>
      <c r="I3551" s="37">
        <v>0</v>
      </c>
      <c r="J3551" s="36" t="s">
        <v>32679</v>
      </c>
      <c r="K3551" s="36" t="s">
        <v>14330</v>
      </c>
      <c r="L3551" s="36" t="s">
        <v>14330</v>
      </c>
      <c r="M3551">
        <v>1</v>
      </c>
      <c r="N3551" t="s">
        <v>14331</v>
      </c>
      <c r="O3551" t="s">
        <v>14333</v>
      </c>
    </row>
    <row r="3552" spans="1:15" x14ac:dyDescent="0.25">
      <c r="A3552" s="35" t="s">
        <v>7328</v>
      </c>
      <c r="B3552" s="36" t="s">
        <v>7329</v>
      </c>
      <c r="C3552" s="36" t="str">
        <f>HYPERLINK("https://rhld.insurance.arkansas.gov/NPILookup?Npi=1922648815","1922648815")</f>
        <v>1922648815</v>
      </c>
      <c r="D3552" s="36" t="s">
        <v>36089</v>
      </c>
      <c r="E3552" s="36" t="s">
        <v>1</v>
      </c>
      <c r="F3552" s="36">
        <v>1</v>
      </c>
      <c r="G3552" s="36">
        <v>1</v>
      </c>
      <c r="H3552" s="36">
        <v>0</v>
      </c>
      <c r="I3552" s="37">
        <v>0</v>
      </c>
      <c r="J3552" s="36" t="s">
        <v>32654</v>
      </c>
      <c r="K3552" s="36" t="s">
        <v>14330</v>
      </c>
      <c r="L3552" s="36" t="s">
        <v>14330</v>
      </c>
      <c r="M3552">
        <v>2</v>
      </c>
      <c r="N3552" t="s">
        <v>14331</v>
      </c>
      <c r="O3552" t="s">
        <v>32633</v>
      </c>
    </row>
    <row r="3553" spans="1:15" x14ac:dyDescent="0.25">
      <c r="A3553" s="35" t="s">
        <v>7328</v>
      </c>
      <c r="B3553" s="36" t="s">
        <v>7329</v>
      </c>
      <c r="C3553" s="36" t="str">
        <f>HYPERLINK("https://rhld.insurance.arkansas.gov/NPILookup?Npi=1922666171","1922666171")</f>
        <v>1922666171</v>
      </c>
      <c r="D3553" s="36" t="s">
        <v>36090</v>
      </c>
      <c r="E3553" s="36" t="s">
        <v>1</v>
      </c>
      <c r="F3553" s="36">
        <v>1</v>
      </c>
      <c r="G3553" s="36">
        <v>2</v>
      </c>
      <c r="H3553" s="36">
        <v>0</v>
      </c>
      <c r="I3553" s="37">
        <v>0</v>
      </c>
      <c r="J3553" s="36" t="s">
        <v>34836</v>
      </c>
      <c r="K3553" s="36" t="s">
        <v>14330</v>
      </c>
      <c r="L3553" s="36" t="s">
        <v>14330</v>
      </c>
      <c r="M3553">
        <v>3</v>
      </c>
      <c r="N3553" t="s">
        <v>14331</v>
      </c>
      <c r="O3553" t="s">
        <v>32633</v>
      </c>
    </row>
    <row r="3554" spans="1:15" x14ac:dyDescent="0.25">
      <c r="A3554" s="35" t="s">
        <v>7328</v>
      </c>
      <c r="B3554" s="36" t="s">
        <v>7329</v>
      </c>
      <c r="C3554" s="36" t="str">
        <f>HYPERLINK("https://rhld.insurance.arkansas.gov/NPILookup?Npi=1922758259","1922758259")</f>
        <v>1922758259</v>
      </c>
      <c r="D3554" s="36" t="s">
        <v>36091</v>
      </c>
      <c r="E3554" s="36" t="s">
        <v>1</v>
      </c>
      <c r="F3554" s="36">
        <v>1</v>
      </c>
      <c r="G3554" s="36">
        <v>3</v>
      </c>
      <c r="H3554" s="36">
        <v>0</v>
      </c>
      <c r="I3554" s="37">
        <v>0</v>
      </c>
      <c r="J3554" s="36" t="s">
        <v>32654</v>
      </c>
      <c r="K3554" s="36" t="s">
        <v>14330</v>
      </c>
      <c r="L3554" s="36" t="s">
        <v>14330</v>
      </c>
      <c r="M3554">
        <v>2</v>
      </c>
      <c r="N3554" t="s">
        <v>14331</v>
      </c>
      <c r="O3554" t="s">
        <v>32633</v>
      </c>
    </row>
    <row r="3555" spans="1:15" x14ac:dyDescent="0.25">
      <c r="A3555" s="35" t="s">
        <v>7328</v>
      </c>
      <c r="B3555" s="36" t="s">
        <v>7329</v>
      </c>
      <c r="C3555" s="36" t="str">
        <f>HYPERLINK("https://rhld.insurance.arkansas.gov/NPILookup?Npi=1922840495","1922840495")</f>
        <v>1922840495</v>
      </c>
      <c r="D3555" s="36" t="s">
        <v>36092</v>
      </c>
      <c r="E3555" s="36" t="s">
        <v>2</v>
      </c>
      <c r="F3555" s="36">
        <v>1</v>
      </c>
      <c r="G3555" s="36">
        <v>2</v>
      </c>
      <c r="H3555" s="36">
        <v>0</v>
      </c>
      <c r="I3555" s="37">
        <v>0</v>
      </c>
      <c r="J3555" s="36" t="s">
        <v>32679</v>
      </c>
      <c r="K3555" s="36" t="s">
        <v>14330</v>
      </c>
      <c r="L3555" s="36" t="s">
        <v>14330</v>
      </c>
      <c r="M3555">
        <v>1</v>
      </c>
      <c r="N3555" t="s">
        <v>14331</v>
      </c>
      <c r="O3555" t="s">
        <v>14333</v>
      </c>
    </row>
    <row r="3556" spans="1:15" x14ac:dyDescent="0.25">
      <c r="A3556" s="35" t="s">
        <v>7328</v>
      </c>
      <c r="B3556" s="36" t="s">
        <v>7329</v>
      </c>
      <c r="C3556" s="36" t="str">
        <f>HYPERLINK("https://rhld.insurance.arkansas.gov/NPILookup?Npi=1932157260","1932157260")</f>
        <v>1932157260</v>
      </c>
      <c r="D3556" s="36" t="s">
        <v>36093</v>
      </c>
      <c r="E3556" s="36" t="s">
        <v>1</v>
      </c>
      <c r="F3556" s="36">
        <v>1</v>
      </c>
      <c r="G3556" s="36">
        <v>1</v>
      </c>
      <c r="H3556" s="36">
        <v>0</v>
      </c>
      <c r="I3556" s="37">
        <v>0</v>
      </c>
      <c r="J3556" s="36" t="s">
        <v>34836</v>
      </c>
      <c r="K3556" s="36" t="s">
        <v>14330</v>
      </c>
      <c r="L3556" s="36" t="s">
        <v>14330</v>
      </c>
      <c r="M3556">
        <v>3</v>
      </c>
      <c r="N3556" t="s">
        <v>14331</v>
      </c>
      <c r="O3556" t="s">
        <v>32633</v>
      </c>
    </row>
    <row r="3557" spans="1:15" x14ac:dyDescent="0.25">
      <c r="A3557" s="35" t="s">
        <v>7328</v>
      </c>
      <c r="B3557" s="36" t="s">
        <v>7329</v>
      </c>
      <c r="C3557" s="36" t="str">
        <f>HYPERLINK("https://rhld.insurance.arkansas.gov/NPILookup?Npi=1932166501","1932166501")</f>
        <v>1932166501</v>
      </c>
      <c r="D3557" s="36" t="s">
        <v>36094</v>
      </c>
      <c r="E3557" s="36" t="s">
        <v>1</v>
      </c>
      <c r="F3557" s="36">
        <v>1</v>
      </c>
      <c r="G3557" s="36">
        <v>3</v>
      </c>
      <c r="H3557" s="36">
        <v>0</v>
      </c>
      <c r="I3557" s="37">
        <v>0</v>
      </c>
      <c r="J3557" s="36" t="s">
        <v>14335</v>
      </c>
      <c r="K3557" s="36" t="s">
        <v>14330</v>
      </c>
      <c r="L3557" s="36" t="s">
        <v>14330</v>
      </c>
      <c r="M3557">
        <v>3</v>
      </c>
      <c r="N3557" t="s">
        <v>14331</v>
      </c>
      <c r="O3557" t="s">
        <v>32633</v>
      </c>
    </row>
    <row r="3558" spans="1:15" x14ac:dyDescent="0.25">
      <c r="A3558" s="35" t="s">
        <v>7328</v>
      </c>
      <c r="B3558" s="36" t="s">
        <v>7329</v>
      </c>
      <c r="C3558" s="36" t="str">
        <f>HYPERLINK("https://rhld.insurance.arkansas.gov/NPILookup?Npi=1932202819","1932202819")</f>
        <v>1932202819</v>
      </c>
      <c r="D3558" s="36" t="s">
        <v>36095</v>
      </c>
      <c r="E3558" s="36" t="s">
        <v>1</v>
      </c>
      <c r="F3558" s="36">
        <v>1</v>
      </c>
      <c r="G3558" s="36">
        <v>3</v>
      </c>
      <c r="H3558" s="36">
        <v>0</v>
      </c>
      <c r="I3558" s="37">
        <v>0</v>
      </c>
      <c r="J3558" s="36" t="s">
        <v>34836</v>
      </c>
      <c r="K3558" s="36" t="s">
        <v>14330</v>
      </c>
      <c r="L3558" s="36" t="s">
        <v>14330</v>
      </c>
      <c r="M3558">
        <v>2</v>
      </c>
      <c r="N3558" t="s">
        <v>14331</v>
      </c>
      <c r="O3558" t="s">
        <v>32633</v>
      </c>
    </row>
    <row r="3559" spans="1:15" x14ac:dyDescent="0.25">
      <c r="A3559" s="35" t="s">
        <v>7328</v>
      </c>
      <c r="B3559" s="36" t="s">
        <v>7329</v>
      </c>
      <c r="C3559" s="36" t="str">
        <f>HYPERLINK("https://rhld.insurance.arkansas.gov/NPILookup?Npi=1932216090","1932216090")</f>
        <v>1932216090</v>
      </c>
      <c r="D3559" s="36" t="s">
        <v>36096</v>
      </c>
      <c r="E3559" s="36" t="s">
        <v>1</v>
      </c>
      <c r="F3559" s="36">
        <v>1</v>
      </c>
      <c r="G3559" s="36">
        <v>2</v>
      </c>
      <c r="H3559" s="36">
        <v>0</v>
      </c>
      <c r="I3559" s="37">
        <v>0</v>
      </c>
      <c r="J3559" s="36" t="s">
        <v>32654</v>
      </c>
      <c r="K3559" s="36" t="s">
        <v>14330</v>
      </c>
      <c r="L3559" s="36" t="s">
        <v>14330</v>
      </c>
      <c r="M3559">
        <v>1</v>
      </c>
      <c r="N3559" t="s">
        <v>14331</v>
      </c>
      <c r="O3559" t="s">
        <v>32633</v>
      </c>
    </row>
    <row r="3560" spans="1:15" x14ac:dyDescent="0.25">
      <c r="A3560" s="35" t="s">
        <v>7328</v>
      </c>
      <c r="B3560" s="36" t="s">
        <v>7329</v>
      </c>
      <c r="C3560" s="36" t="str">
        <f>HYPERLINK("https://rhld.insurance.arkansas.gov/NPILookup?Npi=1932251097","1932251097")</f>
        <v>1932251097</v>
      </c>
      <c r="D3560" s="36" t="s">
        <v>36097</v>
      </c>
      <c r="E3560" s="36" t="s">
        <v>1</v>
      </c>
      <c r="F3560" s="36">
        <v>1</v>
      </c>
      <c r="G3560" s="36">
        <v>2</v>
      </c>
      <c r="H3560" s="36">
        <v>1</v>
      </c>
      <c r="I3560" s="37">
        <v>0</v>
      </c>
      <c r="J3560" s="36" t="s">
        <v>32654</v>
      </c>
      <c r="K3560" s="36" t="s">
        <v>14330</v>
      </c>
      <c r="L3560" s="36" t="s">
        <v>35563</v>
      </c>
      <c r="M3560">
        <v>3</v>
      </c>
      <c r="N3560" t="s">
        <v>14332</v>
      </c>
      <c r="O3560" t="s">
        <v>32591</v>
      </c>
    </row>
    <row r="3561" spans="1:15" x14ac:dyDescent="0.25">
      <c r="A3561" s="35" t="s">
        <v>7328</v>
      </c>
      <c r="B3561" s="36" t="s">
        <v>7329</v>
      </c>
      <c r="C3561" s="36" t="str">
        <f>HYPERLINK("https://rhld.insurance.arkansas.gov/NPILookup?Npi=1932300530","1932300530")</f>
        <v>1932300530</v>
      </c>
      <c r="D3561" s="36" t="s">
        <v>36098</v>
      </c>
      <c r="E3561" s="36" t="s">
        <v>1</v>
      </c>
      <c r="F3561" s="36">
        <v>1</v>
      </c>
      <c r="G3561" s="36">
        <v>3</v>
      </c>
      <c r="H3561" s="36">
        <v>0</v>
      </c>
      <c r="I3561" s="37">
        <v>0</v>
      </c>
      <c r="J3561" s="36" t="s">
        <v>32654</v>
      </c>
      <c r="K3561" s="36" t="s">
        <v>14330</v>
      </c>
      <c r="L3561" s="36" t="s">
        <v>14330</v>
      </c>
      <c r="M3561">
        <v>2</v>
      </c>
      <c r="N3561" t="s">
        <v>14331</v>
      </c>
      <c r="O3561" t="s">
        <v>32633</v>
      </c>
    </row>
    <row r="3562" spans="1:15" x14ac:dyDescent="0.25">
      <c r="A3562" s="35" t="s">
        <v>7328</v>
      </c>
      <c r="B3562" s="36" t="s">
        <v>7329</v>
      </c>
      <c r="C3562" s="36" t="str">
        <f>HYPERLINK("https://rhld.insurance.arkansas.gov/NPILookup?Npi=1932424595","1932424595")</f>
        <v>1932424595</v>
      </c>
      <c r="D3562" s="36" t="s">
        <v>36099</v>
      </c>
      <c r="E3562" s="36" t="s">
        <v>1</v>
      </c>
      <c r="F3562" s="36">
        <v>1</v>
      </c>
      <c r="G3562" s="36">
        <v>2</v>
      </c>
      <c r="H3562" s="36">
        <v>0</v>
      </c>
      <c r="I3562" s="37">
        <v>0</v>
      </c>
      <c r="J3562" s="36" t="s">
        <v>34836</v>
      </c>
      <c r="K3562" s="36" t="s">
        <v>14330</v>
      </c>
      <c r="L3562" s="36" t="s">
        <v>14330</v>
      </c>
      <c r="M3562">
        <v>2</v>
      </c>
      <c r="N3562" t="s">
        <v>14331</v>
      </c>
      <c r="O3562" t="s">
        <v>32633</v>
      </c>
    </row>
    <row r="3563" spans="1:15" x14ac:dyDescent="0.25">
      <c r="A3563" s="35" t="s">
        <v>7328</v>
      </c>
      <c r="B3563" s="36" t="s">
        <v>7329</v>
      </c>
      <c r="C3563" s="36" t="str">
        <f>HYPERLINK("https://rhld.insurance.arkansas.gov/NPILookup?Npi=1932587128","1932587128")</f>
        <v>1932587128</v>
      </c>
      <c r="D3563" s="36" t="s">
        <v>34084</v>
      </c>
      <c r="E3563" s="36" t="s">
        <v>1</v>
      </c>
      <c r="F3563" s="36">
        <v>1</v>
      </c>
      <c r="G3563" s="36">
        <v>2</v>
      </c>
      <c r="H3563" s="36">
        <v>0</v>
      </c>
      <c r="I3563" s="37">
        <v>0</v>
      </c>
      <c r="J3563" s="36" t="s">
        <v>34836</v>
      </c>
      <c r="K3563" s="36" t="s">
        <v>14330</v>
      </c>
      <c r="L3563" s="36" t="s">
        <v>14330</v>
      </c>
      <c r="M3563">
        <v>3</v>
      </c>
      <c r="N3563" t="s">
        <v>14331</v>
      </c>
      <c r="O3563" t="s">
        <v>32633</v>
      </c>
    </row>
    <row r="3564" spans="1:15" x14ac:dyDescent="0.25">
      <c r="A3564" s="35" t="s">
        <v>7328</v>
      </c>
      <c r="B3564" s="36" t="s">
        <v>7329</v>
      </c>
      <c r="C3564" s="36" t="str">
        <f>HYPERLINK("https://rhld.insurance.arkansas.gov/NPILookup?Npi=1932588407","1932588407")</f>
        <v>1932588407</v>
      </c>
      <c r="D3564" s="36" t="s">
        <v>36100</v>
      </c>
      <c r="E3564" s="36" t="s">
        <v>1</v>
      </c>
      <c r="F3564" s="36">
        <v>1</v>
      </c>
      <c r="G3564" s="36">
        <v>3</v>
      </c>
      <c r="H3564" s="36">
        <v>0</v>
      </c>
      <c r="I3564" s="37">
        <v>0</v>
      </c>
      <c r="J3564" s="36" t="s">
        <v>34836</v>
      </c>
      <c r="K3564" s="36" t="s">
        <v>14330</v>
      </c>
      <c r="L3564" s="36" t="s">
        <v>14330</v>
      </c>
      <c r="M3564">
        <v>2</v>
      </c>
      <c r="N3564" t="s">
        <v>14331</v>
      </c>
      <c r="O3564" t="s">
        <v>32633</v>
      </c>
    </row>
    <row r="3565" spans="1:15" x14ac:dyDescent="0.25">
      <c r="A3565" s="35" t="s">
        <v>7328</v>
      </c>
      <c r="B3565" s="36" t="s">
        <v>7329</v>
      </c>
      <c r="C3565" s="36" t="str">
        <f>HYPERLINK("https://rhld.insurance.arkansas.gov/NPILookup?Npi=1932741212","1932741212")</f>
        <v>1932741212</v>
      </c>
      <c r="D3565" s="36" t="s">
        <v>36101</v>
      </c>
      <c r="E3565" s="36" t="s">
        <v>2</v>
      </c>
      <c r="F3565" s="36">
        <v>1</v>
      </c>
      <c r="G3565" s="36">
        <v>2</v>
      </c>
      <c r="H3565" s="36">
        <v>0</v>
      </c>
      <c r="I3565" s="37">
        <v>0</v>
      </c>
      <c r="J3565" s="36"/>
      <c r="K3565" s="36" t="s">
        <v>14330</v>
      </c>
      <c r="L3565" s="36" t="s">
        <v>14330</v>
      </c>
      <c r="M3565">
        <v>1</v>
      </c>
      <c r="N3565" t="s">
        <v>14331</v>
      </c>
      <c r="O3565" t="s">
        <v>14333</v>
      </c>
    </row>
    <row r="3566" spans="1:15" x14ac:dyDescent="0.25">
      <c r="A3566" s="35" t="s">
        <v>7328</v>
      </c>
      <c r="B3566" s="36" t="s">
        <v>7329</v>
      </c>
      <c r="C3566" s="36" t="str">
        <f>HYPERLINK("https://rhld.insurance.arkansas.gov/NPILookup?Npi=1932742400","1932742400")</f>
        <v>1932742400</v>
      </c>
      <c r="D3566" s="36" t="s">
        <v>36102</v>
      </c>
      <c r="E3566" s="36" t="s">
        <v>1</v>
      </c>
      <c r="F3566" s="36">
        <v>1</v>
      </c>
      <c r="G3566" s="36">
        <v>1</v>
      </c>
      <c r="H3566" s="36">
        <v>0</v>
      </c>
      <c r="I3566" s="37">
        <v>0</v>
      </c>
      <c r="J3566" s="36" t="s">
        <v>32654</v>
      </c>
      <c r="K3566" s="36" t="s">
        <v>14330</v>
      </c>
      <c r="L3566" s="36" t="s">
        <v>14330</v>
      </c>
      <c r="M3566">
        <v>2</v>
      </c>
      <c r="N3566" t="s">
        <v>14331</v>
      </c>
      <c r="O3566" t="s">
        <v>32633</v>
      </c>
    </row>
    <row r="3567" spans="1:15" x14ac:dyDescent="0.25">
      <c r="A3567" s="35" t="s">
        <v>7328</v>
      </c>
      <c r="B3567" s="36" t="s">
        <v>7329</v>
      </c>
      <c r="C3567" s="36" t="str">
        <f>HYPERLINK("https://rhld.insurance.arkansas.gov/NPILookup?Npi=1932910064","1932910064")</f>
        <v>1932910064</v>
      </c>
      <c r="D3567" s="36" t="s">
        <v>36103</v>
      </c>
      <c r="E3567" s="36" t="s">
        <v>2</v>
      </c>
      <c r="F3567" s="36">
        <v>1</v>
      </c>
      <c r="G3567" s="36">
        <v>2</v>
      </c>
      <c r="H3567" s="36">
        <v>0</v>
      </c>
      <c r="I3567" s="37">
        <v>0</v>
      </c>
      <c r="J3567" s="36"/>
      <c r="K3567" s="36" t="s">
        <v>14330</v>
      </c>
      <c r="L3567" s="36" t="s">
        <v>14330</v>
      </c>
      <c r="M3567">
        <v>1</v>
      </c>
      <c r="N3567" t="s">
        <v>14331</v>
      </c>
      <c r="O3567" t="s">
        <v>14333</v>
      </c>
    </row>
    <row r="3568" spans="1:15" x14ac:dyDescent="0.25">
      <c r="A3568" s="35" t="s">
        <v>7328</v>
      </c>
      <c r="B3568" s="36" t="s">
        <v>7329</v>
      </c>
      <c r="C3568" s="36" t="str">
        <f>HYPERLINK("https://rhld.insurance.arkansas.gov/NPILookup?Npi=1942256102","1942256102")</f>
        <v>1942256102</v>
      </c>
      <c r="D3568" s="36" t="s">
        <v>36104</v>
      </c>
      <c r="E3568" s="36" t="s">
        <v>1</v>
      </c>
      <c r="F3568" s="36">
        <v>1</v>
      </c>
      <c r="G3568" s="36">
        <v>1</v>
      </c>
      <c r="H3568" s="36">
        <v>0</v>
      </c>
      <c r="I3568" s="37">
        <v>0</v>
      </c>
      <c r="J3568" s="36" t="s">
        <v>34836</v>
      </c>
      <c r="K3568" s="36" t="s">
        <v>14330</v>
      </c>
      <c r="L3568" s="36" t="s">
        <v>14330</v>
      </c>
      <c r="M3568">
        <v>3</v>
      </c>
      <c r="N3568" t="s">
        <v>14331</v>
      </c>
      <c r="O3568" t="s">
        <v>32633</v>
      </c>
    </row>
    <row r="3569" spans="1:15" x14ac:dyDescent="0.25">
      <c r="A3569" s="35" t="s">
        <v>7328</v>
      </c>
      <c r="B3569" s="36" t="s">
        <v>7329</v>
      </c>
      <c r="C3569" s="36" t="str">
        <f>HYPERLINK("https://rhld.insurance.arkansas.gov/NPILookup?Npi=1942277843","1942277843")</f>
        <v>1942277843</v>
      </c>
      <c r="D3569" s="36" t="s">
        <v>36105</v>
      </c>
      <c r="E3569" s="36" t="s">
        <v>1</v>
      </c>
      <c r="F3569" s="36">
        <v>1</v>
      </c>
      <c r="G3569" s="36">
        <v>3</v>
      </c>
      <c r="H3569" s="36">
        <v>0</v>
      </c>
      <c r="I3569" s="37">
        <v>0</v>
      </c>
      <c r="J3569" s="36" t="s">
        <v>34836</v>
      </c>
      <c r="K3569" s="36" t="s">
        <v>14330</v>
      </c>
      <c r="L3569" s="36" t="s">
        <v>14330</v>
      </c>
      <c r="M3569">
        <v>3</v>
      </c>
      <c r="N3569" t="s">
        <v>14331</v>
      </c>
      <c r="O3569" t="s">
        <v>32633</v>
      </c>
    </row>
    <row r="3570" spans="1:15" x14ac:dyDescent="0.25">
      <c r="A3570" s="35" t="s">
        <v>7328</v>
      </c>
      <c r="B3570" s="36" t="s">
        <v>7329</v>
      </c>
      <c r="C3570" s="36" t="str">
        <f>HYPERLINK("https://rhld.insurance.arkansas.gov/NPILookup?Npi=1942308101","1942308101")</f>
        <v>1942308101</v>
      </c>
      <c r="D3570" s="36" t="s">
        <v>36106</v>
      </c>
      <c r="E3570" s="36" t="s">
        <v>1</v>
      </c>
      <c r="F3570" s="36">
        <v>1</v>
      </c>
      <c r="G3570" s="36">
        <v>3</v>
      </c>
      <c r="H3570" s="36">
        <v>0</v>
      </c>
      <c r="I3570" s="37">
        <v>0</v>
      </c>
      <c r="J3570" s="36" t="s">
        <v>34836</v>
      </c>
      <c r="K3570" s="36" t="s">
        <v>14330</v>
      </c>
      <c r="L3570" s="36" t="s">
        <v>14330</v>
      </c>
      <c r="M3570">
        <v>3</v>
      </c>
      <c r="N3570" t="s">
        <v>14331</v>
      </c>
      <c r="O3570" t="s">
        <v>32633</v>
      </c>
    </row>
    <row r="3571" spans="1:15" x14ac:dyDescent="0.25">
      <c r="A3571" s="35" t="s">
        <v>7328</v>
      </c>
      <c r="B3571" s="36" t="s">
        <v>7329</v>
      </c>
      <c r="C3571" s="36" t="str">
        <f>HYPERLINK("https://rhld.insurance.arkansas.gov/NPILookup?Npi=1942402284","1942402284")</f>
        <v>1942402284</v>
      </c>
      <c r="D3571" s="36" t="s">
        <v>36107</v>
      </c>
      <c r="E3571" s="36" t="s">
        <v>1</v>
      </c>
      <c r="F3571" s="36">
        <v>1</v>
      </c>
      <c r="G3571" s="36">
        <v>3</v>
      </c>
      <c r="H3571" s="36">
        <v>0</v>
      </c>
      <c r="I3571" s="37">
        <v>0</v>
      </c>
      <c r="J3571" s="36" t="s">
        <v>34836</v>
      </c>
      <c r="K3571" s="36" t="s">
        <v>14330</v>
      </c>
      <c r="L3571" s="36" t="s">
        <v>14330</v>
      </c>
      <c r="M3571">
        <v>3</v>
      </c>
      <c r="N3571" t="s">
        <v>14331</v>
      </c>
      <c r="O3571" t="s">
        <v>32633</v>
      </c>
    </row>
    <row r="3572" spans="1:15" x14ac:dyDescent="0.25">
      <c r="A3572" s="35" t="s">
        <v>7328</v>
      </c>
      <c r="B3572" s="36" t="s">
        <v>7329</v>
      </c>
      <c r="C3572" s="36" t="str">
        <f>HYPERLINK("https://rhld.insurance.arkansas.gov/NPILookup?Npi=1942434394","1942434394")</f>
        <v>1942434394</v>
      </c>
      <c r="D3572" s="36" t="s">
        <v>36108</v>
      </c>
      <c r="E3572" s="36" t="s">
        <v>1</v>
      </c>
      <c r="F3572" s="36">
        <v>1</v>
      </c>
      <c r="G3572" s="36">
        <v>3</v>
      </c>
      <c r="H3572" s="36">
        <v>0</v>
      </c>
      <c r="I3572" s="37">
        <v>0</v>
      </c>
      <c r="J3572" s="36" t="s">
        <v>32654</v>
      </c>
      <c r="K3572" s="36" t="s">
        <v>14330</v>
      </c>
      <c r="L3572" s="36" t="s">
        <v>14330</v>
      </c>
      <c r="M3572">
        <v>2</v>
      </c>
      <c r="N3572" t="s">
        <v>14331</v>
      </c>
      <c r="O3572" t="s">
        <v>32633</v>
      </c>
    </row>
    <row r="3573" spans="1:15" x14ac:dyDescent="0.25">
      <c r="A3573" s="35" t="s">
        <v>7328</v>
      </c>
      <c r="B3573" s="36" t="s">
        <v>7329</v>
      </c>
      <c r="C3573" s="36" t="str">
        <f>HYPERLINK("https://rhld.insurance.arkansas.gov/NPILookup?Npi=1942541115","1942541115")</f>
        <v>1942541115</v>
      </c>
      <c r="D3573" s="36" t="s">
        <v>36109</v>
      </c>
      <c r="E3573" s="36" t="s">
        <v>2</v>
      </c>
      <c r="F3573" s="36">
        <v>1</v>
      </c>
      <c r="G3573" s="36">
        <v>2</v>
      </c>
      <c r="H3573" s="36">
        <v>0</v>
      </c>
      <c r="I3573" s="37">
        <v>0</v>
      </c>
      <c r="J3573" s="36" t="s">
        <v>32679</v>
      </c>
      <c r="K3573" s="36" t="s">
        <v>14330</v>
      </c>
      <c r="L3573" s="36" t="s">
        <v>14330</v>
      </c>
      <c r="M3573">
        <v>3</v>
      </c>
      <c r="N3573" t="s">
        <v>14331</v>
      </c>
      <c r="O3573" t="s">
        <v>14333</v>
      </c>
    </row>
    <row r="3574" spans="1:15" x14ac:dyDescent="0.25">
      <c r="A3574" s="35" t="s">
        <v>7328</v>
      </c>
      <c r="B3574" s="36" t="s">
        <v>7329</v>
      </c>
      <c r="C3574" s="36" t="str">
        <f>HYPERLINK("https://rhld.insurance.arkansas.gov/NPILookup?Npi=1942626619","1942626619")</f>
        <v>1942626619</v>
      </c>
      <c r="D3574" s="36" t="s">
        <v>36110</v>
      </c>
      <c r="E3574" s="36" t="s">
        <v>1</v>
      </c>
      <c r="F3574" s="36">
        <v>1</v>
      </c>
      <c r="G3574" s="36">
        <v>3</v>
      </c>
      <c r="H3574" s="36">
        <v>0</v>
      </c>
      <c r="I3574" s="37">
        <v>0</v>
      </c>
      <c r="J3574" s="36" t="s">
        <v>32654</v>
      </c>
      <c r="K3574" s="36" t="s">
        <v>14330</v>
      </c>
      <c r="L3574" s="36" t="s">
        <v>14330</v>
      </c>
      <c r="M3574">
        <v>2</v>
      </c>
      <c r="N3574" t="s">
        <v>14331</v>
      </c>
      <c r="O3574" t="s">
        <v>32633</v>
      </c>
    </row>
    <row r="3575" spans="1:15" x14ac:dyDescent="0.25">
      <c r="A3575" s="35" t="s">
        <v>7328</v>
      </c>
      <c r="B3575" s="36" t="s">
        <v>7329</v>
      </c>
      <c r="C3575" s="36" t="str">
        <f>HYPERLINK("https://rhld.insurance.arkansas.gov/NPILookup?Npi=1942741376","1942741376")</f>
        <v>1942741376</v>
      </c>
      <c r="D3575" s="36" t="s">
        <v>36111</v>
      </c>
      <c r="E3575" s="36" t="s">
        <v>2</v>
      </c>
      <c r="F3575" s="36">
        <v>1</v>
      </c>
      <c r="G3575" s="36">
        <v>2</v>
      </c>
      <c r="H3575" s="36">
        <v>0</v>
      </c>
      <c r="I3575" s="37">
        <v>0</v>
      </c>
      <c r="J3575" s="36"/>
      <c r="K3575" s="36" t="s">
        <v>14330</v>
      </c>
      <c r="L3575" s="36" t="s">
        <v>14330</v>
      </c>
      <c r="M3575">
        <v>2</v>
      </c>
      <c r="N3575" t="s">
        <v>14331</v>
      </c>
      <c r="O3575" t="s">
        <v>14333</v>
      </c>
    </row>
    <row r="3576" spans="1:15" x14ac:dyDescent="0.25">
      <c r="A3576" s="35" t="s">
        <v>7328</v>
      </c>
      <c r="B3576" s="36" t="s">
        <v>7329</v>
      </c>
      <c r="C3576" s="36" t="str">
        <f>HYPERLINK("https://rhld.insurance.arkansas.gov/NPILookup?Npi=1942857776","1942857776")</f>
        <v>1942857776</v>
      </c>
      <c r="D3576" s="36" t="s">
        <v>36112</v>
      </c>
      <c r="E3576" s="36" t="s">
        <v>1</v>
      </c>
      <c r="F3576" s="36">
        <v>1</v>
      </c>
      <c r="G3576" s="36">
        <v>2</v>
      </c>
      <c r="H3576" s="36">
        <v>0</v>
      </c>
      <c r="I3576" s="37">
        <v>0</v>
      </c>
      <c r="J3576" s="36" t="s">
        <v>32654</v>
      </c>
      <c r="K3576" s="36" t="s">
        <v>14330</v>
      </c>
      <c r="L3576" s="36" t="s">
        <v>14330</v>
      </c>
      <c r="M3576">
        <v>3</v>
      </c>
      <c r="N3576" t="s">
        <v>14331</v>
      </c>
      <c r="O3576" t="s">
        <v>32633</v>
      </c>
    </row>
    <row r="3577" spans="1:15" x14ac:dyDescent="0.25">
      <c r="A3577" s="35" t="s">
        <v>7328</v>
      </c>
      <c r="B3577" s="36" t="s">
        <v>7329</v>
      </c>
      <c r="C3577" s="36" t="str">
        <f>HYPERLINK("https://rhld.insurance.arkansas.gov/NPILookup?Npi=1942964432","1942964432")</f>
        <v>1942964432</v>
      </c>
      <c r="D3577" s="36" t="s">
        <v>36113</v>
      </c>
      <c r="E3577" s="36" t="s">
        <v>1</v>
      </c>
      <c r="F3577" s="36">
        <v>1</v>
      </c>
      <c r="G3577" s="36">
        <v>3</v>
      </c>
      <c r="H3577" s="36">
        <v>0</v>
      </c>
      <c r="I3577" s="37">
        <v>0</v>
      </c>
      <c r="J3577" s="36" t="s">
        <v>32654</v>
      </c>
      <c r="K3577" s="36" t="s">
        <v>14330</v>
      </c>
      <c r="L3577" s="36" t="s">
        <v>14330</v>
      </c>
      <c r="M3577">
        <v>2</v>
      </c>
      <c r="N3577" t="s">
        <v>14331</v>
      </c>
      <c r="O3577" t="s">
        <v>32633</v>
      </c>
    </row>
    <row r="3578" spans="1:15" x14ac:dyDescent="0.25">
      <c r="A3578" s="35" t="s">
        <v>7328</v>
      </c>
      <c r="B3578" s="36" t="s">
        <v>7329</v>
      </c>
      <c r="C3578" s="36" t="str">
        <f>HYPERLINK("https://rhld.insurance.arkansas.gov/NPILookup?Npi=1952006389","1952006389")</f>
        <v>1952006389</v>
      </c>
      <c r="D3578" s="36" t="s">
        <v>36114</v>
      </c>
      <c r="E3578" s="36" t="s">
        <v>1</v>
      </c>
      <c r="F3578" s="36">
        <v>1</v>
      </c>
      <c r="G3578" s="36">
        <v>2</v>
      </c>
      <c r="H3578" s="36">
        <v>0</v>
      </c>
      <c r="I3578" s="37">
        <v>0</v>
      </c>
      <c r="J3578" s="36" t="s">
        <v>32654</v>
      </c>
      <c r="K3578" s="36" t="s">
        <v>14330</v>
      </c>
      <c r="L3578" s="36" t="s">
        <v>14330</v>
      </c>
      <c r="M3578">
        <v>2</v>
      </c>
      <c r="N3578" t="s">
        <v>14331</v>
      </c>
      <c r="O3578" t="s">
        <v>32633</v>
      </c>
    </row>
    <row r="3579" spans="1:15" x14ac:dyDescent="0.25">
      <c r="A3579" s="35" t="s">
        <v>7328</v>
      </c>
      <c r="B3579" s="36" t="s">
        <v>7329</v>
      </c>
      <c r="C3579" s="36" t="str">
        <f>HYPERLINK("https://rhld.insurance.arkansas.gov/NPILookup?Npi=1952171977","1952171977")</f>
        <v>1952171977</v>
      </c>
      <c r="D3579" s="36" t="s">
        <v>36115</v>
      </c>
      <c r="E3579" s="36" t="s">
        <v>2</v>
      </c>
      <c r="F3579" s="36">
        <v>1</v>
      </c>
      <c r="G3579" s="36">
        <v>2</v>
      </c>
      <c r="H3579" s="36">
        <v>0</v>
      </c>
      <c r="I3579" s="37">
        <v>0</v>
      </c>
      <c r="J3579" s="36"/>
      <c r="K3579" s="36" t="s">
        <v>14330</v>
      </c>
      <c r="L3579" s="36" t="s">
        <v>14330</v>
      </c>
      <c r="M3579">
        <v>1</v>
      </c>
      <c r="N3579" t="s">
        <v>14331</v>
      </c>
      <c r="O3579" t="s">
        <v>14333</v>
      </c>
    </row>
    <row r="3580" spans="1:15" x14ac:dyDescent="0.25">
      <c r="A3580" s="35" t="s">
        <v>7328</v>
      </c>
      <c r="B3580" s="36" t="s">
        <v>7329</v>
      </c>
      <c r="C3580" s="36" t="str">
        <f>HYPERLINK("https://rhld.insurance.arkansas.gov/NPILookup?Npi=1952188757","1952188757")</f>
        <v>1952188757</v>
      </c>
      <c r="D3580" s="36" t="s">
        <v>36116</v>
      </c>
      <c r="E3580" s="36" t="s">
        <v>2</v>
      </c>
      <c r="F3580" s="36">
        <v>1</v>
      </c>
      <c r="G3580" s="36">
        <v>1</v>
      </c>
      <c r="H3580" s="36">
        <v>0</v>
      </c>
      <c r="I3580" s="37">
        <v>0</v>
      </c>
      <c r="J3580" s="36"/>
      <c r="K3580" s="36" t="s">
        <v>14330</v>
      </c>
      <c r="L3580" s="36" t="s">
        <v>14330</v>
      </c>
      <c r="M3580">
        <v>1</v>
      </c>
      <c r="N3580" t="s">
        <v>14331</v>
      </c>
      <c r="O3580" t="s">
        <v>32633</v>
      </c>
    </row>
    <row r="3581" spans="1:15" x14ac:dyDescent="0.25">
      <c r="A3581" s="35" t="s">
        <v>7328</v>
      </c>
      <c r="B3581" s="36" t="s">
        <v>7329</v>
      </c>
      <c r="C3581" s="36" t="str">
        <f>HYPERLINK("https://rhld.insurance.arkansas.gov/NPILookup?Npi=1952342586","1952342586")</f>
        <v>1952342586</v>
      </c>
      <c r="D3581" s="36" t="s">
        <v>36117</v>
      </c>
      <c r="E3581" s="36" t="s">
        <v>1</v>
      </c>
      <c r="F3581" s="36">
        <v>1</v>
      </c>
      <c r="G3581" s="36">
        <v>1</v>
      </c>
      <c r="H3581" s="36">
        <v>0</v>
      </c>
      <c r="I3581" s="37">
        <v>0</v>
      </c>
      <c r="J3581" s="36" t="s">
        <v>32723</v>
      </c>
      <c r="K3581" s="36" t="s">
        <v>14330</v>
      </c>
      <c r="L3581" s="36" t="s">
        <v>14330</v>
      </c>
      <c r="M3581">
        <v>3</v>
      </c>
      <c r="N3581" t="s">
        <v>14331</v>
      </c>
      <c r="O3581" t="s">
        <v>32724</v>
      </c>
    </row>
    <row r="3582" spans="1:15" x14ac:dyDescent="0.25">
      <c r="A3582" s="35" t="s">
        <v>7328</v>
      </c>
      <c r="B3582" s="36" t="s">
        <v>7329</v>
      </c>
      <c r="C3582" s="36" t="str">
        <f>HYPERLINK("https://rhld.insurance.arkansas.gov/NPILookup?Npi=1952344301","1952344301")</f>
        <v>1952344301</v>
      </c>
      <c r="D3582" s="36" t="s">
        <v>36118</v>
      </c>
      <c r="E3582" s="36" t="s">
        <v>1</v>
      </c>
      <c r="F3582" s="36">
        <v>1</v>
      </c>
      <c r="G3582" s="36">
        <v>3</v>
      </c>
      <c r="H3582" s="36">
        <v>0</v>
      </c>
      <c r="I3582" s="37">
        <v>0</v>
      </c>
      <c r="J3582" s="36" t="s">
        <v>34836</v>
      </c>
      <c r="K3582" s="36" t="s">
        <v>14330</v>
      </c>
      <c r="L3582" s="36" t="s">
        <v>14330</v>
      </c>
      <c r="M3582">
        <v>2</v>
      </c>
      <c r="N3582" t="s">
        <v>14331</v>
      </c>
      <c r="O3582" t="s">
        <v>32633</v>
      </c>
    </row>
    <row r="3583" spans="1:15" x14ac:dyDescent="0.25">
      <c r="A3583" s="35" t="s">
        <v>7328</v>
      </c>
      <c r="B3583" s="36" t="s">
        <v>7329</v>
      </c>
      <c r="C3583" s="36" t="str">
        <f>HYPERLINK("https://rhld.insurance.arkansas.gov/NPILookup?Npi=1952345506","1952345506")</f>
        <v>1952345506</v>
      </c>
      <c r="D3583" s="36" t="s">
        <v>36119</v>
      </c>
      <c r="E3583" s="36" t="s">
        <v>1</v>
      </c>
      <c r="F3583" s="36">
        <v>1</v>
      </c>
      <c r="G3583" s="36">
        <v>2</v>
      </c>
      <c r="H3583" s="36">
        <v>0</v>
      </c>
      <c r="I3583" s="37">
        <v>0</v>
      </c>
      <c r="J3583" s="36" t="s">
        <v>34836</v>
      </c>
      <c r="K3583" s="36" t="s">
        <v>14330</v>
      </c>
      <c r="L3583" s="36" t="s">
        <v>14330</v>
      </c>
      <c r="M3583">
        <v>2</v>
      </c>
      <c r="N3583" t="s">
        <v>14331</v>
      </c>
      <c r="O3583" t="s">
        <v>32633</v>
      </c>
    </row>
    <row r="3584" spans="1:15" x14ac:dyDescent="0.25">
      <c r="A3584" s="35" t="s">
        <v>7328</v>
      </c>
      <c r="B3584" s="36" t="s">
        <v>7329</v>
      </c>
      <c r="C3584" s="36" t="str">
        <f>HYPERLINK("https://rhld.insurance.arkansas.gov/NPILookup?Npi=1952375156","1952375156")</f>
        <v>1952375156</v>
      </c>
      <c r="D3584" s="36" t="s">
        <v>36120</v>
      </c>
      <c r="E3584" s="36" t="s">
        <v>1</v>
      </c>
      <c r="F3584" s="36">
        <v>1</v>
      </c>
      <c r="G3584" s="36">
        <v>2</v>
      </c>
      <c r="H3584" s="36">
        <v>0</v>
      </c>
      <c r="I3584" s="37">
        <v>0</v>
      </c>
      <c r="J3584" s="36" t="s">
        <v>34836</v>
      </c>
      <c r="K3584" s="36" t="s">
        <v>14330</v>
      </c>
      <c r="L3584" s="36" t="s">
        <v>14330</v>
      </c>
      <c r="M3584">
        <v>2</v>
      </c>
      <c r="N3584" t="s">
        <v>14331</v>
      </c>
      <c r="O3584" t="s">
        <v>32633</v>
      </c>
    </row>
    <row r="3585" spans="1:15" x14ac:dyDescent="0.25">
      <c r="A3585" s="35" t="s">
        <v>7328</v>
      </c>
      <c r="B3585" s="36" t="s">
        <v>7329</v>
      </c>
      <c r="C3585" s="36" t="str">
        <f>HYPERLINK("https://rhld.insurance.arkansas.gov/NPILookup?Npi=1952524878","1952524878")</f>
        <v>1952524878</v>
      </c>
      <c r="D3585" s="36" t="s">
        <v>36121</v>
      </c>
      <c r="E3585" s="36" t="s">
        <v>1</v>
      </c>
      <c r="F3585" s="36">
        <v>1</v>
      </c>
      <c r="G3585" s="36">
        <v>2</v>
      </c>
      <c r="H3585" s="36">
        <v>0</v>
      </c>
      <c r="I3585" s="37">
        <v>0</v>
      </c>
      <c r="J3585" s="36" t="s">
        <v>32654</v>
      </c>
      <c r="K3585" s="36" t="s">
        <v>14330</v>
      </c>
      <c r="L3585" s="36" t="s">
        <v>14330</v>
      </c>
      <c r="M3585">
        <v>3</v>
      </c>
      <c r="N3585" t="s">
        <v>14331</v>
      </c>
      <c r="O3585" t="s">
        <v>32633</v>
      </c>
    </row>
    <row r="3586" spans="1:15" x14ac:dyDescent="0.25">
      <c r="A3586" s="35" t="s">
        <v>7328</v>
      </c>
      <c r="B3586" s="36" t="s">
        <v>7329</v>
      </c>
      <c r="C3586" s="36" t="str">
        <f>HYPERLINK("https://rhld.insurance.arkansas.gov/NPILookup?Npi=1952533697","1952533697")</f>
        <v>1952533697</v>
      </c>
      <c r="D3586" s="36" t="s">
        <v>36122</v>
      </c>
      <c r="E3586" s="36" t="s">
        <v>1</v>
      </c>
      <c r="F3586" s="36">
        <v>1</v>
      </c>
      <c r="G3586" s="36">
        <v>3</v>
      </c>
      <c r="H3586" s="36">
        <v>0</v>
      </c>
      <c r="I3586" s="37">
        <v>0</v>
      </c>
      <c r="J3586" s="36" t="s">
        <v>32654</v>
      </c>
      <c r="K3586" s="36" t="s">
        <v>14330</v>
      </c>
      <c r="L3586" s="36" t="s">
        <v>14330</v>
      </c>
      <c r="M3586">
        <v>3</v>
      </c>
      <c r="N3586" t="s">
        <v>14331</v>
      </c>
      <c r="O3586" t="s">
        <v>32633</v>
      </c>
    </row>
    <row r="3587" spans="1:15" x14ac:dyDescent="0.25">
      <c r="A3587" s="35" t="s">
        <v>7328</v>
      </c>
      <c r="B3587" s="36" t="s">
        <v>7329</v>
      </c>
      <c r="C3587" s="36" t="str">
        <f>HYPERLINK("https://rhld.insurance.arkansas.gov/NPILookup?Npi=1952549602","1952549602")</f>
        <v>1952549602</v>
      </c>
      <c r="D3587" s="36" t="s">
        <v>36123</v>
      </c>
      <c r="E3587" s="36" t="s">
        <v>1</v>
      </c>
      <c r="F3587" s="36">
        <v>1</v>
      </c>
      <c r="G3587" s="36">
        <v>3</v>
      </c>
      <c r="H3587" s="36">
        <v>0</v>
      </c>
      <c r="I3587" s="37">
        <v>0</v>
      </c>
      <c r="J3587" s="36" t="s">
        <v>34836</v>
      </c>
      <c r="K3587" s="36" t="s">
        <v>14330</v>
      </c>
      <c r="L3587" s="36" t="s">
        <v>14330</v>
      </c>
      <c r="M3587">
        <v>3</v>
      </c>
      <c r="N3587" t="s">
        <v>14331</v>
      </c>
      <c r="O3587" t="s">
        <v>32633</v>
      </c>
    </row>
    <row r="3588" spans="1:15" x14ac:dyDescent="0.25">
      <c r="A3588" s="35" t="s">
        <v>7328</v>
      </c>
      <c r="B3588" s="36" t="s">
        <v>7329</v>
      </c>
      <c r="C3588" s="36" t="str">
        <f>HYPERLINK("https://rhld.insurance.arkansas.gov/NPILookup?Npi=1952620544","1952620544")</f>
        <v>1952620544</v>
      </c>
      <c r="D3588" s="36" t="s">
        <v>36124</v>
      </c>
      <c r="E3588" s="36" t="s">
        <v>1</v>
      </c>
      <c r="F3588" s="36">
        <v>1</v>
      </c>
      <c r="G3588" s="36">
        <v>3</v>
      </c>
      <c r="H3588" s="36">
        <v>0</v>
      </c>
      <c r="I3588" s="37">
        <v>0</v>
      </c>
      <c r="J3588" s="36" t="s">
        <v>34836</v>
      </c>
      <c r="K3588" s="36" t="s">
        <v>14330</v>
      </c>
      <c r="L3588" s="36" t="s">
        <v>14330</v>
      </c>
      <c r="M3588">
        <v>2</v>
      </c>
      <c r="N3588" t="s">
        <v>14331</v>
      </c>
      <c r="O3588" t="s">
        <v>32633</v>
      </c>
    </row>
    <row r="3589" spans="1:15" x14ac:dyDescent="0.25">
      <c r="A3589" s="35" t="s">
        <v>7328</v>
      </c>
      <c r="B3589" s="36" t="s">
        <v>7329</v>
      </c>
      <c r="C3589" s="36" t="str">
        <f>HYPERLINK("https://rhld.insurance.arkansas.gov/NPILookup?Npi=1952742991","1952742991")</f>
        <v>1952742991</v>
      </c>
      <c r="D3589" s="36" t="s">
        <v>36125</v>
      </c>
      <c r="E3589" s="36" t="s">
        <v>1</v>
      </c>
      <c r="F3589" s="36">
        <v>1</v>
      </c>
      <c r="G3589" s="36">
        <v>2</v>
      </c>
      <c r="H3589" s="36">
        <v>0</v>
      </c>
      <c r="I3589" s="37">
        <v>0</v>
      </c>
      <c r="J3589" s="36" t="s">
        <v>34836</v>
      </c>
      <c r="K3589" s="36" t="s">
        <v>14330</v>
      </c>
      <c r="L3589" s="36" t="s">
        <v>14330</v>
      </c>
      <c r="M3589">
        <v>1</v>
      </c>
      <c r="N3589" t="s">
        <v>14331</v>
      </c>
      <c r="O3589" t="s">
        <v>32633</v>
      </c>
    </row>
    <row r="3590" spans="1:15" x14ac:dyDescent="0.25">
      <c r="A3590" s="35" t="s">
        <v>7328</v>
      </c>
      <c r="B3590" s="36" t="s">
        <v>7329</v>
      </c>
      <c r="C3590" s="36" t="str">
        <f>HYPERLINK("https://rhld.insurance.arkansas.gov/NPILookup?Npi=1952923518","1952923518")</f>
        <v>1952923518</v>
      </c>
      <c r="D3590" s="36" t="s">
        <v>36126</v>
      </c>
      <c r="E3590" s="36" t="s">
        <v>1</v>
      </c>
      <c r="F3590" s="36">
        <v>1</v>
      </c>
      <c r="G3590" s="36">
        <v>2</v>
      </c>
      <c r="H3590" s="36">
        <v>1</v>
      </c>
      <c r="I3590" s="37">
        <v>0</v>
      </c>
      <c r="J3590" s="36" t="s">
        <v>32654</v>
      </c>
      <c r="K3590" s="36" t="s">
        <v>14330</v>
      </c>
      <c r="L3590" s="36" t="s">
        <v>35563</v>
      </c>
      <c r="M3590">
        <v>2</v>
      </c>
      <c r="N3590" t="s">
        <v>14332</v>
      </c>
      <c r="O3590" t="s">
        <v>32591</v>
      </c>
    </row>
    <row r="3591" spans="1:15" x14ac:dyDescent="0.25">
      <c r="A3591" s="35" t="s">
        <v>7328</v>
      </c>
      <c r="B3591" s="36" t="s">
        <v>7329</v>
      </c>
      <c r="C3591" s="36" t="str">
        <f>HYPERLINK("https://rhld.insurance.arkansas.gov/NPILookup?Npi=1952939761","1952939761")</f>
        <v>1952939761</v>
      </c>
      <c r="D3591" s="36" t="s">
        <v>36127</v>
      </c>
      <c r="E3591" s="36" t="s">
        <v>1</v>
      </c>
      <c r="F3591" s="36">
        <v>1</v>
      </c>
      <c r="G3591" s="36">
        <v>2</v>
      </c>
      <c r="H3591" s="36">
        <v>0</v>
      </c>
      <c r="I3591" s="37">
        <v>0</v>
      </c>
      <c r="J3591" s="36" t="s">
        <v>34836</v>
      </c>
      <c r="K3591" s="36" t="s">
        <v>14330</v>
      </c>
      <c r="L3591" s="36" t="s">
        <v>14330</v>
      </c>
      <c r="M3591">
        <v>2</v>
      </c>
      <c r="N3591" t="s">
        <v>14331</v>
      </c>
      <c r="O3591" t="s">
        <v>32633</v>
      </c>
    </row>
    <row r="3592" spans="1:15" x14ac:dyDescent="0.25">
      <c r="A3592" s="35" t="s">
        <v>7328</v>
      </c>
      <c r="B3592" s="36" t="s">
        <v>7329</v>
      </c>
      <c r="C3592" s="36" t="str">
        <f>HYPERLINK("https://rhld.insurance.arkansas.gov/NPILookup?Npi=1962032888","1962032888")</f>
        <v>1962032888</v>
      </c>
      <c r="D3592" s="36" t="s">
        <v>36128</v>
      </c>
      <c r="E3592" s="36" t="s">
        <v>1</v>
      </c>
      <c r="F3592" s="36">
        <v>1</v>
      </c>
      <c r="G3592" s="36">
        <v>2</v>
      </c>
      <c r="H3592" s="36">
        <v>0</v>
      </c>
      <c r="I3592" s="37">
        <v>0</v>
      </c>
      <c r="J3592" s="36" t="s">
        <v>32654</v>
      </c>
      <c r="K3592" s="36" t="s">
        <v>14330</v>
      </c>
      <c r="L3592" s="36" t="s">
        <v>14330</v>
      </c>
      <c r="M3592">
        <v>2</v>
      </c>
      <c r="N3592" t="s">
        <v>14331</v>
      </c>
      <c r="O3592" t="s">
        <v>32633</v>
      </c>
    </row>
    <row r="3593" spans="1:15" x14ac:dyDescent="0.25">
      <c r="A3593" s="35" t="s">
        <v>7328</v>
      </c>
      <c r="B3593" s="36" t="s">
        <v>7329</v>
      </c>
      <c r="C3593" s="36" t="str">
        <f>HYPERLINK("https://rhld.insurance.arkansas.gov/NPILookup?Npi=1962039958","1962039958")</f>
        <v>1962039958</v>
      </c>
      <c r="D3593" s="36" t="s">
        <v>36129</v>
      </c>
      <c r="E3593" s="36" t="s">
        <v>1</v>
      </c>
      <c r="F3593" s="36">
        <v>1</v>
      </c>
      <c r="G3593" s="36">
        <v>2</v>
      </c>
      <c r="H3593" s="36">
        <v>0</v>
      </c>
      <c r="I3593" s="37">
        <v>0</v>
      </c>
      <c r="J3593" s="36" t="s">
        <v>34836</v>
      </c>
      <c r="K3593" s="36" t="s">
        <v>14330</v>
      </c>
      <c r="L3593" s="36" t="s">
        <v>14330</v>
      </c>
      <c r="M3593">
        <v>3</v>
      </c>
      <c r="N3593" t="s">
        <v>14331</v>
      </c>
      <c r="O3593" t="s">
        <v>32633</v>
      </c>
    </row>
    <row r="3594" spans="1:15" x14ac:dyDescent="0.25">
      <c r="A3594" s="35" t="s">
        <v>7328</v>
      </c>
      <c r="B3594" s="36" t="s">
        <v>7329</v>
      </c>
      <c r="C3594" s="36" t="str">
        <f>HYPERLINK("https://rhld.insurance.arkansas.gov/NPILookup?Npi=1962040568","1962040568")</f>
        <v>1962040568</v>
      </c>
      <c r="D3594" s="36" t="s">
        <v>36130</v>
      </c>
      <c r="E3594" s="36" t="s">
        <v>1</v>
      </c>
      <c r="F3594" s="36">
        <v>1</v>
      </c>
      <c r="G3594" s="36">
        <v>3</v>
      </c>
      <c r="H3594" s="36">
        <v>0</v>
      </c>
      <c r="I3594" s="37">
        <v>0</v>
      </c>
      <c r="J3594" s="36" t="s">
        <v>32654</v>
      </c>
      <c r="K3594" s="36" t="s">
        <v>14330</v>
      </c>
      <c r="L3594" s="36" t="s">
        <v>14330</v>
      </c>
      <c r="M3594">
        <v>3</v>
      </c>
      <c r="N3594" t="s">
        <v>14331</v>
      </c>
      <c r="O3594" t="s">
        <v>32633</v>
      </c>
    </row>
    <row r="3595" spans="1:15" x14ac:dyDescent="0.25">
      <c r="A3595" s="35" t="s">
        <v>7328</v>
      </c>
      <c r="B3595" s="36" t="s">
        <v>7329</v>
      </c>
      <c r="C3595" s="36" t="str">
        <f>HYPERLINK("https://rhld.insurance.arkansas.gov/NPILookup?Npi=1962094565","1962094565")</f>
        <v>1962094565</v>
      </c>
      <c r="D3595" s="36" t="s">
        <v>36131</v>
      </c>
      <c r="E3595" s="36" t="s">
        <v>1</v>
      </c>
      <c r="F3595" s="36">
        <v>1</v>
      </c>
      <c r="G3595" s="36">
        <v>3</v>
      </c>
      <c r="H3595" s="36">
        <v>0</v>
      </c>
      <c r="I3595" s="37">
        <v>0</v>
      </c>
      <c r="J3595" s="36" t="s">
        <v>32654</v>
      </c>
      <c r="K3595" s="36" t="s">
        <v>14330</v>
      </c>
      <c r="L3595" s="36" t="s">
        <v>14330</v>
      </c>
      <c r="M3595">
        <v>2</v>
      </c>
      <c r="N3595" t="s">
        <v>14331</v>
      </c>
      <c r="O3595" t="s">
        <v>32633</v>
      </c>
    </row>
    <row r="3596" spans="1:15" x14ac:dyDescent="0.25">
      <c r="A3596" s="35" t="s">
        <v>7328</v>
      </c>
      <c r="B3596" s="36" t="s">
        <v>7329</v>
      </c>
      <c r="C3596" s="36" t="str">
        <f>HYPERLINK("https://rhld.insurance.arkansas.gov/NPILookup?Npi=1962183103","1962183103")</f>
        <v>1962183103</v>
      </c>
      <c r="D3596" s="36" t="s">
        <v>36132</v>
      </c>
      <c r="E3596" s="36" t="s">
        <v>2</v>
      </c>
      <c r="F3596" s="36">
        <v>1</v>
      </c>
      <c r="G3596" s="36">
        <v>2</v>
      </c>
      <c r="H3596" s="36">
        <v>0</v>
      </c>
      <c r="I3596" s="37">
        <v>0</v>
      </c>
      <c r="J3596" s="36" t="s">
        <v>32679</v>
      </c>
      <c r="K3596" s="36" t="s">
        <v>14330</v>
      </c>
      <c r="L3596" s="36" t="s">
        <v>14330</v>
      </c>
      <c r="M3596">
        <v>2</v>
      </c>
      <c r="N3596" t="s">
        <v>14331</v>
      </c>
      <c r="O3596" t="s">
        <v>14333</v>
      </c>
    </row>
    <row r="3597" spans="1:15" x14ac:dyDescent="0.25">
      <c r="A3597" s="35" t="s">
        <v>7328</v>
      </c>
      <c r="B3597" s="36" t="s">
        <v>7329</v>
      </c>
      <c r="C3597" s="36" t="str">
        <f>HYPERLINK("https://rhld.insurance.arkansas.gov/NPILookup?Npi=1962207589","1962207589")</f>
        <v>1962207589</v>
      </c>
      <c r="D3597" s="36" t="s">
        <v>36133</v>
      </c>
      <c r="E3597" s="36" t="s">
        <v>2</v>
      </c>
      <c r="F3597" s="36">
        <v>1</v>
      </c>
      <c r="G3597" s="36">
        <v>2</v>
      </c>
      <c r="H3597" s="36">
        <v>0</v>
      </c>
      <c r="I3597" s="37">
        <v>0</v>
      </c>
      <c r="J3597" s="36"/>
      <c r="K3597" s="36" t="s">
        <v>14330</v>
      </c>
      <c r="L3597" s="36" t="s">
        <v>14330</v>
      </c>
      <c r="M3597">
        <v>2</v>
      </c>
      <c r="N3597" t="s">
        <v>14331</v>
      </c>
      <c r="O3597" t="s">
        <v>14333</v>
      </c>
    </row>
    <row r="3598" spans="1:15" x14ac:dyDescent="0.25">
      <c r="A3598" s="35" t="s">
        <v>7328</v>
      </c>
      <c r="B3598" s="36" t="s">
        <v>7329</v>
      </c>
      <c r="C3598" s="36" t="str">
        <f>HYPERLINK("https://rhld.insurance.arkansas.gov/NPILookup?Npi=1962227942","1962227942")</f>
        <v>1962227942</v>
      </c>
      <c r="D3598" s="36" t="s">
        <v>34829</v>
      </c>
      <c r="E3598" s="36" t="s">
        <v>2</v>
      </c>
      <c r="F3598" s="36">
        <v>1</v>
      </c>
      <c r="G3598" s="36">
        <v>2</v>
      </c>
      <c r="H3598" s="36">
        <v>0</v>
      </c>
      <c r="I3598" s="37">
        <v>0</v>
      </c>
      <c r="J3598" s="36"/>
      <c r="K3598" s="36" t="s">
        <v>14330</v>
      </c>
      <c r="L3598" s="36" t="s">
        <v>14330</v>
      </c>
      <c r="M3598">
        <v>2</v>
      </c>
      <c r="N3598" t="s">
        <v>14331</v>
      </c>
      <c r="O3598" t="s">
        <v>14333</v>
      </c>
    </row>
    <row r="3599" spans="1:15" x14ac:dyDescent="0.25">
      <c r="A3599" s="35" t="s">
        <v>7328</v>
      </c>
      <c r="B3599" s="36" t="s">
        <v>7329</v>
      </c>
      <c r="C3599" s="36" t="str">
        <f>HYPERLINK("https://rhld.insurance.arkansas.gov/NPILookup?Npi=1962253088","1962253088")</f>
        <v>1962253088</v>
      </c>
      <c r="D3599" s="36" t="s">
        <v>36134</v>
      </c>
      <c r="E3599" s="36" t="s">
        <v>2</v>
      </c>
      <c r="F3599" s="36">
        <v>2</v>
      </c>
      <c r="G3599" s="36">
        <v>2</v>
      </c>
      <c r="H3599" s="36">
        <v>0</v>
      </c>
      <c r="I3599" s="37">
        <v>0</v>
      </c>
      <c r="J3599" s="36" t="s">
        <v>33004</v>
      </c>
      <c r="K3599" s="36" t="s">
        <v>14330</v>
      </c>
      <c r="L3599" s="36" t="s">
        <v>14330</v>
      </c>
      <c r="M3599">
        <v>3</v>
      </c>
      <c r="N3599" t="s">
        <v>14331</v>
      </c>
      <c r="O3599" t="s">
        <v>14333</v>
      </c>
    </row>
    <row r="3600" spans="1:15" x14ac:dyDescent="0.25">
      <c r="A3600" s="35" t="s">
        <v>7328</v>
      </c>
      <c r="B3600" s="36" t="s">
        <v>7329</v>
      </c>
      <c r="C3600" s="36" t="str">
        <f>HYPERLINK("https://rhld.insurance.arkansas.gov/NPILookup?Npi=1962407940","1962407940")</f>
        <v>1962407940</v>
      </c>
      <c r="D3600" s="36" t="s">
        <v>33458</v>
      </c>
      <c r="E3600" s="36" t="s">
        <v>1</v>
      </c>
      <c r="F3600" s="36">
        <v>1</v>
      </c>
      <c r="G3600" s="36">
        <v>3</v>
      </c>
      <c r="H3600" s="36">
        <v>0</v>
      </c>
      <c r="I3600" s="37">
        <v>0</v>
      </c>
      <c r="J3600" s="36" t="s">
        <v>34836</v>
      </c>
      <c r="K3600" s="36" t="s">
        <v>14330</v>
      </c>
      <c r="L3600" s="36" t="s">
        <v>14330</v>
      </c>
      <c r="M3600">
        <v>2</v>
      </c>
      <c r="N3600" t="s">
        <v>14331</v>
      </c>
      <c r="O3600" t="s">
        <v>32633</v>
      </c>
    </row>
    <row r="3601" spans="1:15" x14ac:dyDescent="0.25">
      <c r="A3601" s="35" t="s">
        <v>7328</v>
      </c>
      <c r="B3601" s="36" t="s">
        <v>7329</v>
      </c>
      <c r="C3601" s="36" t="str">
        <f>HYPERLINK("https://rhld.insurance.arkansas.gov/NPILookup?Npi=1962468629","1962468629")</f>
        <v>1962468629</v>
      </c>
      <c r="D3601" s="36" t="s">
        <v>36135</v>
      </c>
      <c r="E3601" s="36" t="s">
        <v>1</v>
      </c>
      <c r="F3601" s="36">
        <v>1</v>
      </c>
      <c r="G3601" s="36">
        <v>2</v>
      </c>
      <c r="H3601" s="36">
        <v>0</v>
      </c>
      <c r="I3601" s="37">
        <v>0</v>
      </c>
      <c r="J3601" s="36" t="s">
        <v>34836</v>
      </c>
      <c r="K3601" s="36" t="s">
        <v>14330</v>
      </c>
      <c r="L3601" s="36" t="s">
        <v>14330</v>
      </c>
      <c r="M3601">
        <v>1</v>
      </c>
      <c r="N3601" t="s">
        <v>14331</v>
      </c>
      <c r="O3601" t="s">
        <v>32633</v>
      </c>
    </row>
    <row r="3602" spans="1:15" x14ac:dyDescent="0.25">
      <c r="A3602" s="35" t="s">
        <v>7328</v>
      </c>
      <c r="B3602" s="36" t="s">
        <v>7329</v>
      </c>
      <c r="C3602" s="36" t="str">
        <f>HYPERLINK("https://rhld.insurance.arkansas.gov/NPILookup?Npi=1962470138","1962470138")</f>
        <v>1962470138</v>
      </c>
      <c r="D3602" s="36" t="s">
        <v>36136</v>
      </c>
      <c r="E3602" s="36" t="s">
        <v>1</v>
      </c>
      <c r="F3602" s="36">
        <v>1</v>
      </c>
      <c r="G3602" s="36">
        <v>1</v>
      </c>
      <c r="H3602" s="36">
        <v>0</v>
      </c>
      <c r="I3602" s="37">
        <v>0</v>
      </c>
      <c r="J3602" s="36" t="s">
        <v>34836</v>
      </c>
      <c r="K3602" s="36" t="s">
        <v>14330</v>
      </c>
      <c r="L3602" s="36" t="s">
        <v>14330</v>
      </c>
      <c r="M3602">
        <v>2</v>
      </c>
      <c r="N3602" t="s">
        <v>14331</v>
      </c>
      <c r="O3602" t="s">
        <v>32633</v>
      </c>
    </row>
    <row r="3603" spans="1:15" x14ac:dyDescent="0.25">
      <c r="A3603" s="35" t="s">
        <v>7328</v>
      </c>
      <c r="B3603" s="36" t="s">
        <v>7329</v>
      </c>
      <c r="C3603" s="36" t="str">
        <f>HYPERLINK("https://rhld.insurance.arkansas.gov/NPILookup?Npi=1962473553","1962473553")</f>
        <v>1962473553</v>
      </c>
      <c r="D3603" s="36" t="s">
        <v>36137</v>
      </c>
      <c r="E3603" s="36" t="s">
        <v>1</v>
      </c>
      <c r="F3603" s="36">
        <v>1</v>
      </c>
      <c r="G3603" s="36">
        <v>2</v>
      </c>
      <c r="H3603" s="36">
        <v>0</v>
      </c>
      <c r="I3603" s="37">
        <v>0</v>
      </c>
      <c r="J3603" s="36" t="s">
        <v>34836</v>
      </c>
      <c r="K3603" s="36" t="s">
        <v>14330</v>
      </c>
      <c r="L3603" s="36" t="s">
        <v>14330</v>
      </c>
      <c r="M3603">
        <v>3</v>
      </c>
      <c r="N3603" t="s">
        <v>14331</v>
      </c>
      <c r="O3603" t="s">
        <v>32633</v>
      </c>
    </row>
    <row r="3604" spans="1:15" x14ac:dyDescent="0.25">
      <c r="A3604" s="35" t="s">
        <v>7328</v>
      </c>
      <c r="B3604" s="36" t="s">
        <v>7329</v>
      </c>
      <c r="C3604" s="36" t="str">
        <f>HYPERLINK("https://rhld.insurance.arkansas.gov/NPILookup?Npi=1962497594","1962497594")</f>
        <v>1962497594</v>
      </c>
      <c r="D3604" s="36" t="s">
        <v>36138</v>
      </c>
      <c r="E3604" s="36" t="s">
        <v>1</v>
      </c>
      <c r="F3604" s="36">
        <v>1</v>
      </c>
      <c r="G3604" s="36">
        <v>3</v>
      </c>
      <c r="H3604" s="36">
        <v>0</v>
      </c>
      <c r="I3604" s="37">
        <v>0</v>
      </c>
      <c r="J3604" s="36" t="s">
        <v>34836</v>
      </c>
      <c r="K3604" s="36" t="s">
        <v>14330</v>
      </c>
      <c r="L3604" s="36" t="s">
        <v>14330</v>
      </c>
      <c r="M3604">
        <v>3</v>
      </c>
      <c r="N3604" t="s">
        <v>14331</v>
      </c>
      <c r="O3604" t="s">
        <v>32633</v>
      </c>
    </row>
    <row r="3605" spans="1:15" x14ac:dyDescent="0.25">
      <c r="A3605" s="35" t="s">
        <v>7328</v>
      </c>
      <c r="B3605" s="36" t="s">
        <v>7329</v>
      </c>
      <c r="C3605" s="36" t="str">
        <f>HYPERLINK("https://rhld.insurance.arkansas.gov/NPILookup?Npi=1962511808","1962511808")</f>
        <v>1962511808</v>
      </c>
      <c r="D3605" s="36" t="s">
        <v>36139</v>
      </c>
      <c r="E3605" s="36" t="s">
        <v>1</v>
      </c>
      <c r="F3605" s="36">
        <v>1</v>
      </c>
      <c r="G3605" s="36">
        <v>3</v>
      </c>
      <c r="H3605" s="36">
        <v>0</v>
      </c>
      <c r="I3605" s="37">
        <v>0</v>
      </c>
      <c r="J3605" s="36" t="s">
        <v>32654</v>
      </c>
      <c r="K3605" s="36" t="s">
        <v>14330</v>
      </c>
      <c r="L3605" s="36" t="s">
        <v>14330</v>
      </c>
      <c r="M3605">
        <v>3</v>
      </c>
      <c r="N3605" t="s">
        <v>14331</v>
      </c>
      <c r="O3605" t="s">
        <v>32633</v>
      </c>
    </row>
    <row r="3606" spans="1:15" x14ac:dyDescent="0.25">
      <c r="A3606" s="35" t="s">
        <v>7328</v>
      </c>
      <c r="B3606" s="36" t="s">
        <v>7329</v>
      </c>
      <c r="C3606" s="36" t="str">
        <f>HYPERLINK("https://rhld.insurance.arkansas.gov/NPILookup?Npi=1962515668","1962515668")</f>
        <v>1962515668</v>
      </c>
      <c r="D3606" s="36" t="s">
        <v>36140</v>
      </c>
      <c r="E3606" s="36" t="s">
        <v>1</v>
      </c>
      <c r="F3606" s="36">
        <v>1</v>
      </c>
      <c r="G3606" s="36">
        <v>3</v>
      </c>
      <c r="H3606" s="36">
        <v>0</v>
      </c>
      <c r="I3606" s="37">
        <v>0</v>
      </c>
      <c r="J3606" s="36" t="s">
        <v>32654</v>
      </c>
      <c r="K3606" s="36" t="s">
        <v>14330</v>
      </c>
      <c r="L3606" s="36" t="s">
        <v>14330</v>
      </c>
      <c r="M3606">
        <v>3</v>
      </c>
      <c r="N3606" t="s">
        <v>14331</v>
      </c>
      <c r="O3606" t="s">
        <v>32633</v>
      </c>
    </row>
    <row r="3607" spans="1:15" x14ac:dyDescent="0.25">
      <c r="A3607" s="35" t="s">
        <v>7328</v>
      </c>
      <c r="B3607" s="36" t="s">
        <v>7329</v>
      </c>
      <c r="C3607" s="36" t="str">
        <f>HYPERLINK("https://rhld.insurance.arkansas.gov/NPILookup?Npi=1962524090","1962524090")</f>
        <v>1962524090</v>
      </c>
      <c r="D3607" s="36" t="s">
        <v>36141</v>
      </c>
      <c r="E3607" s="36" t="s">
        <v>1</v>
      </c>
      <c r="F3607" s="36">
        <v>1</v>
      </c>
      <c r="G3607" s="36">
        <v>3</v>
      </c>
      <c r="H3607" s="36">
        <v>0</v>
      </c>
      <c r="I3607" s="37">
        <v>0</v>
      </c>
      <c r="J3607" s="36" t="s">
        <v>32654</v>
      </c>
      <c r="K3607" s="36" t="s">
        <v>14330</v>
      </c>
      <c r="L3607" s="36" t="s">
        <v>14330</v>
      </c>
      <c r="M3607">
        <v>2</v>
      </c>
      <c r="N3607" t="s">
        <v>14331</v>
      </c>
      <c r="O3607" t="s">
        <v>32633</v>
      </c>
    </row>
    <row r="3608" spans="1:15" x14ac:dyDescent="0.25">
      <c r="A3608" s="35" t="s">
        <v>7328</v>
      </c>
      <c r="B3608" s="36" t="s">
        <v>7329</v>
      </c>
      <c r="C3608" s="36" t="str">
        <f>HYPERLINK("https://rhld.insurance.arkansas.gov/NPILookup?Npi=1962728824","1962728824")</f>
        <v>1962728824</v>
      </c>
      <c r="D3608" s="36" t="s">
        <v>36142</v>
      </c>
      <c r="E3608" s="36" t="s">
        <v>1</v>
      </c>
      <c r="F3608" s="36">
        <v>1</v>
      </c>
      <c r="G3608" s="36">
        <v>2</v>
      </c>
      <c r="H3608" s="36">
        <v>0</v>
      </c>
      <c r="I3608" s="37">
        <v>0</v>
      </c>
      <c r="J3608" s="36" t="s">
        <v>34836</v>
      </c>
      <c r="K3608" s="36" t="s">
        <v>14330</v>
      </c>
      <c r="L3608" s="36" t="s">
        <v>14330</v>
      </c>
      <c r="M3608">
        <v>2</v>
      </c>
      <c r="N3608" t="s">
        <v>14331</v>
      </c>
      <c r="O3608" t="s">
        <v>32633</v>
      </c>
    </row>
    <row r="3609" spans="1:15" x14ac:dyDescent="0.25">
      <c r="A3609" s="35" t="s">
        <v>7328</v>
      </c>
      <c r="B3609" s="36" t="s">
        <v>7329</v>
      </c>
      <c r="C3609" s="36" t="str">
        <f>HYPERLINK("https://rhld.insurance.arkansas.gov/NPILookup?Npi=1962826503","1962826503")</f>
        <v>1962826503</v>
      </c>
      <c r="D3609" s="36" t="s">
        <v>36143</v>
      </c>
      <c r="E3609" s="36" t="s">
        <v>2</v>
      </c>
      <c r="F3609" s="36">
        <v>1</v>
      </c>
      <c r="G3609" s="36">
        <v>2</v>
      </c>
      <c r="H3609" s="36">
        <v>0</v>
      </c>
      <c r="I3609" s="37">
        <v>0</v>
      </c>
      <c r="J3609" s="36" t="s">
        <v>32679</v>
      </c>
      <c r="K3609" s="36" t="s">
        <v>14330</v>
      </c>
      <c r="L3609" s="36" t="s">
        <v>14330</v>
      </c>
      <c r="M3609">
        <v>2</v>
      </c>
      <c r="N3609" t="s">
        <v>14331</v>
      </c>
      <c r="O3609" t="s">
        <v>14333</v>
      </c>
    </row>
    <row r="3610" spans="1:15" x14ac:dyDescent="0.25">
      <c r="A3610" s="35" t="s">
        <v>7328</v>
      </c>
      <c r="B3610" s="36" t="s">
        <v>7329</v>
      </c>
      <c r="C3610" s="36" t="str">
        <f>HYPERLINK("https://rhld.insurance.arkansas.gov/NPILookup?Npi=1962864694","1962864694")</f>
        <v>1962864694</v>
      </c>
      <c r="D3610" s="36" t="s">
        <v>36144</v>
      </c>
      <c r="E3610" s="36" t="s">
        <v>1</v>
      </c>
      <c r="F3610" s="36">
        <v>1</v>
      </c>
      <c r="G3610" s="36">
        <v>2</v>
      </c>
      <c r="H3610" s="36">
        <v>0</v>
      </c>
      <c r="I3610" s="37">
        <v>0</v>
      </c>
      <c r="J3610" s="36" t="s">
        <v>34836</v>
      </c>
      <c r="K3610" s="36" t="s">
        <v>14330</v>
      </c>
      <c r="L3610" s="36" t="s">
        <v>14330</v>
      </c>
      <c r="M3610">
        <v>3</v>
      </c>
      <c r="N3610" t="s">
        <v>14331</v>
      </c>
      <c r="O3610" t="s">
        <v>32633</v>
      </c>
    </row>
    <row r="3611" spans="1:15" x14ac:dyDescent="0.25">
      <c r="A3611" s="35" t="s">
        <v>7328</v>
      </c>
      <c r="B3611" s="36" t="s">
        <v>7329</v>
      </c>
      <c r="C3611" s="36" t="str">
        <f>HYPERLINK("https://rhld.insurance.arkansas.gov/NPILookup?Npi=1962994608","1962994608")</f>
        <v>1962994608</v>
      </c>
      <c r="D3611" s="36" t="s">
        <v>36145</v>
      </c>
      <c r="E3611" s="36" t="s">
        <v>1</v>
      </c>
      <c r="F3611" s="36">
        <v>1</v>
      </c>
      <c r="G3611" s="36">
        <v>3</v>
      </c>
      <c r="H3611" s="36">
        <v>0</v>
      </c>
      <c r="I3611" s="37">
        <v>0</v>
      </c>
      <c r="J3611" s="36" t="s">
        <v>34836</v>
      </c>
      <c r="K3611" s="36" t="s">
        <v>14330</v>
      </c>
      <c r="L3611" s="36" t="s">
        <v>14330</v>
      </c>
      <c r="M3611">
        <v>2</v>
      </c>
      <c r="N3611" t="s">
        <v>14331</v>
      </c>
      <c r="O3611" t="s">
        <v>32633</v>
      </c>
    </row>
    <row r="3612" spans="1:15" x14ac:dyDescent="0.25">
      <c r="A3612" s="35" t="s">
        <v>7328</v>
      </c>
      <c r="B3612" s="36" t="s">
        <v>7329</v>
      </c>
      <c r="C3612" s="36" t="str">
        <f>HYPERLINK("https://rhld.insurance.arkansas.gov/NPILookup?Npi=1962998559","1962998559")</f>
        <v>1962998559</v>
      </c>
      <c r="D3612" s="36" t="s">
        <v>36146</v>
      </c>
      <c r="E3612" s="36" t="s">
        <v>1</v>
      </c>
      <c r="F3612" s="36">
        <v>1</v>
      </c>
      <c r="G3612" s="36">
        <v>2</v>
      </c>
      <c r="H3612" s="36">
        <v>0</v>
      </c>
      <c r="I3612" s="37">
        <v>0</v>
      </c>
      <c r="J3612" s="36" t="s">
        <v>34836</v>
      </c>
      <c r="K3612" s="36" t="s">
        <v>14330</v>
      </c>
      <c r="L3612" s="36" t="s">
        <v>14330</v>
      </c>
      <c r="M3612">
        <v>1</v>
      </c>
      <c r="N3612" t="s">
        <v>14331</v>
      </c>
      <c r="O3612" t="s">
        <v>32633</v>
      </c>
    </row>
    <row r="3613" spans="1:15" x14ac:dyDescent="0.25">
      <c r="A3613" s="35" t="s">
        <v>7328</v>
      </c>
      <c r="B3613" s="36" t="s">
        <v>7329</v>
      </c>
      <c r="C3613" s="36" t="str">
        <f>HYPERLINK("https://rhld.insurance.arkansas.gov/NPILookup?Npi=1972034775","1972034775")</f>
        <v>1972034775</v>
      </c>
      <c r="D3613" s="36" t="s">
        <v>36147</v>
      </c>
      <c r="E3613" s="36" t="s">
        <v>1</v>
      </c>
      <c r="F3613" s="36">
        <v>1</v>
      </c>
      <c r="G3613" s="36">
        <v>2</v>
      </c>
      <c r="H3613" s="36">
        <v>1</v>
      </c>
      <c r="I3613" s="37">
        <v>0</v>
      </c>
      <c r="J3613" s="36" t="s">
        <v>32654</v>
      </c>
      <c r="K3613" s="36" t="s">
        <v>14330</v>
      </c>
      <c r="L3613" s="36" t="s">
        <v>35563</v>
      </c>
      <c r="M3613">
        <v>2</v>
      </c>
      <c r="N3613" t="s">
        <v>14332</v>
      </c>
      <c r="O3613" t="s">
        <v>32591</v>
      </c>
    </row>
    <row r="3614" spans="1:15" x14ac:dyDescent="0.25">
      <c r="A3614" s="35" t="s">
        <v>7328</v>
      </c>
      <c r="B3614" s="36" t="s">
        <v>7329</v>
      </c>
      <c r="C3614" s="36" t="str">
        <f>HYPERLINK("https://rhld.insurance.arkansas.gov/NPILookup?Npi=1972144608","1972144608")</f>
        <v>1972144608</v>
      </c>
      <c r="D3614" s="36" t="s">
        <v>36148</v>
      </c>
      <c r="E3614" s="36" t="s">
        <v>2</v>
      </c>
      <c r="F3614" s="36">
        <v>1</v>
      </c>
      <c r="G3614" s="36">
        <v>2</v>
      </c>
      <c r="H3614" s="36">
        <v>0</v>
      </c>
      <c r="I3614" s="37">
        <v>0</v>
      </c>
      <c r="J3614" s="36"/>
      <c r="K3614" s="36" t="s">
        <v>14330</v>
      </c>
      <c r="L3614" s="36" t="s">
        <v>14330</v>
      </c>
      <c r="M3614">
        <v>1</v>
      </c>
      <c r="N3614" t="s">
        <v>14331</v>
      </c>
      <c r="O3614" t="s">
        <v>14333</v>
      </c>
    </row>
    <row r="3615" spans="1:15" x14ac:dyDescent="0.25">
      <c r="A3615" s="35" t="s">
        <v>7328</v>
      </c>
      <c r="B3615" s="36" t="s">
        <v>7329</v>
      </c>
      <c r="C3615" s="36" t="str">
        <f>HYPERLINK("https://rhld.insurance.arkansas.gov/NPILookup?Npi=1972180370","1972180370")</f>
        <v>1972180370</v>
      </c>
      <c r="D3615" s="36" t="s">
        <v>36149</v>
      </c>
      <c r="E3615" s="36" t="s">
        <v>2</v>
      </c>
      <c r="F3615" s="36">
        <v>1</v>
      </c>
      <c r="G3615" s="36">
        <v>1</v>
      </c>
      <c r="H3615" s="36">
        <v>0</v>
      </c>
      <c r="I3615" s="37">
        <v>0</v>
      </c>
      <c r="J3615" s="36"/>
      <c r="K3615" s="36" t="s">
        <v>14330</v>
      </c>
      <c r="L3615" s="36" t="s">
        <v>14330</v>
      </c>
      <c r="M3615">
        <v>1</v>
      </c>
      <c r="N3615" t="s">
        <v>14331</v>
      </c>
      <c r="O3615" t="s">
        <v>32633</v>
      </c>
    </row>
    <row r="3616" spans="1:15" x14ac:dyDescent="0.25">
      <c r="A3616" s="35" t="s">
        <v>7328</v>
      </c>
      <c r="B3616" s="36" t="s">
        <v>7329</v>
      </c>
      <c r="C3616" s="36" t="str">
        <f>HYPERLINK("https://rhld.insurance.arkansas.gov/NPILookup?Npi=1972232593","1972232593")</f>
        <v>1972232593</v>
      </c>
      <c r="D3616" s="36" t="s">
        <v>36150</v>
      </c>
      <c r="E3616" s="36" t="s">
        <v>1</v>
      </c>
      <c r="F3616" s="36">
        <v>1</v>
      </c>
      <c r="G3616" s="36">
        <v>1</v>
      </c>
      <c r="H3616" s="36">
        <v>0</v>
      </c>
      <c r="I3616" s="37">
        <v>0</v>
      </c>
      <c r="J3616" s="36" t="s">
        <v>32654</v>
      </c>
      <c r="K3616" s="36" t="s">
        <v>14330</v>
      </c>
      <c r="L3616" s="36" t="s">
        <v>14330</v>
      </c>
      <c r="M3616">
        <v>2</v>
      </c>
      <c r="N3616" t="s">
        <v>14331</v>
      </c>
      <c r="O3616" t="s">
        <v>32633</v>
      </c>
    </row>
    <row r="3617" spans="1:15" x14ac:dyDescent="0.25">
      <c r="A3617" s="35" t="s">
        <v>7328</v>
      </c>
      <c r="B3617" s="36" t="s">
        <v>7329</v>
      </c>
      <c r="C3617" s="36" t="str">
        <f>HYPERLINK("https://rhld.insurance.arkansas.gov/NPILookup?Npi=1972260545","1972260545")</f>
        <v>1972260545</v>
      </c>
      <c r="D3617" s="36" t="s">
        <v>36151</v>
      </c>
      <c r="E3617" s="36" t="s">
        <v>2</v>
      </c>
      <c r="F3617" s="36">
        <v>1</v>
      </c>
      <c r="G3617" s="36">
        <v>2</v>
      </c>
      <c r="H3617" s="36">
        <v>0</v>
      </c>
      <c r="I3617" s="37">
        <v>0</v>
      </c>
      <c r="J3617" s="36"/>
      <c r="K3617" s="36" t="s">
        <v>14330</v>
      </c>
      <c r="L3617" s="36" t="s">
        <v>14330</v>
      </c>
      <c r="M3617">
        <v>1</v>
      </c>
      <c r="N3617" t="s">
        <v>14331</v>
      </c>
      <c r="O3617" t="s">
        <v>14333</v>
      </c>
    </row>
    <row r="3618" spans="1:15" x14ac:dyDescent="0.25">
      <c r="A3618" s="35" t="s">
        <v>7328</v>
      </c>
      <c r="B3618" s="36" t="s">
        <v>7329</v>
      </c>
      <c r="C3618" s="36" t="str">
        <f>HYPERLINK("https://rhld.insurance.arkansas.gov/NPILookup?Npi=1972284107","1972284107")</f>
        <v>1972284107</v>
      </c>
      <c r="D3618" s="36" t="s">
        <v>36152</v>
      </c>
      <c r="E3618" s="36" t="s">
        <v>2</v>
      </c>
      <c r="F3618" s="36">
        <v>2</v>
      </c>
      <c r="G3618" s="36">
        <v>1</v>
      </c>
      <c r="H3618" s="36">
        <v>0</v>
      </c>
      <c r="I3618" s="37">
        <v>0</v>
      </c>
      <c r="J3618" s="36" t="s">
        <v>33004</v>
      </c>
      <c r="K3618" s="36" t="s">
        <v>14330</v>
      </c>
      <c r="L3618" s="36" t="s">
        <v>14330</v>
      </c>
      <c r="M3618">
        <v>4</v>
      </c>
      <c r="N3618" t="s">
        <v>14331</v>
      </c>
      <c r="O3618" t="s">
        <v>32633</v>
      </c>
    </row>
    <row r="3619" spans="1:15" x14ac:dyDescent="0.25">
      <c r="A3619" s="35" t="s">
        <v>7328</v>
      </c>
      <c r="B3619" s="36" t="s">
        <v>7329</v>
      </c>
      <c r="C3619" s="36" t="str">
        <f>HYPERLINK("https://rhld.insurance.arkansas.gov/NPILookup?Npi=1972537090","1972537090")</f>
        <v>1972537090</v>
      </c>
      <c r="D3619" s="36" t="s">
        <v>36153</v>
      </c>
      <c r="E3619" s="36" t="s">
        <v>1</v>
      </c>
      <c r="F3619" s="36">
        <v>2</v>
      </c>
      <c r="G3619" s="36">
        <v>4</v>
      </c>
      <c r="H3619" s="36">
        <v>0</v>
      </c>
      <c r="I3619" s="37">
        <v>0</v>
      </c>
      <c r="J3619" s="36" t="s">
        <v>36154</v>
      </c>
      <c r="K3619" s="36" t="s">
        <v>36155</v>
      </c>
      <c r="L3619" s="36" t="s">
        <v>14330</v>
      </c>
      <c r="M3619">
        <v>3</v>
      </c>
      <c r="N3619" t="s">
        <v>14331</v>
      </c>
      <c r="O3619" t="s">
        <v>32633</v>
      </c>
    </row>
    <row r="3620" spans="1:15" x14ac:dyDescent="0.25">
      <c r="A3620" s="35" t="s">
        <v>7328</v>
      </c>
      <c r="B3620" s="36" t="s">
        <v>7329</v>
      </c>
      <c r="C3620" s="36" t="str">
        <f>HYPERLINK("https://rhld.insurance.arkansas.gov/NPILookup?Npi=1972582237","1972582237")</f>
        <v>1972582237</v>
      </c>
      <c r="D3620" s="36" t="s">
        <v>36156</v>
      </c>
      <c r="E3620" s="36" t="s">
        <v>1</v>
      </c>
      <c r="F3620" s="36">
        <v>1</v>
      </c>
      <c r="G3620" s="36">
        <v>3</v>
      </c>
      <c r="H3620" s="36">
        <v>0</v>
      </c>
      <c r="I3620" s="37">
        <v>0</v>
      </c>
      <c r="J3620" s="36" t="s">
        <v>32654</v>
      </c>
      <c r="K3620" s="36" t="s">
        <v>14330</v>
      </c>
      <c r="L3620" s="36" t="s">
        <v>14330</v>
      </c>
      <c r="M3620">
        <v>3</v>
      </c>
      <c r="N3620" t="s">
        <v>14331</v>
      </c>
      <c r="O3620" t="s">
        <v>32633</v>
      </c>
    </row>
    <row r="3621" spans="1:15" x14ac:dyDescent="0.25">
      <c r="A3621" s="35" t="s">
        <v>7328</v>
      </c>
      <c r="B3621" s="36" t="s">
        <v>7329</v>
      </c>
      <c r="C3621" s="36" t="str">
        <f>HYPERLINK("https://rhld.insurance.arkansas.gov/NPILookup?Npi=1972584571","1972584571")</f>
        <v>1972584571</v>
      </c>
      <c r="D3621" s="36" t="s">
        <v>34152</v>
      </c>
      <c r="E3621" s="36" t="s">
        <v>1</v>
      </c>
      <c r="F3621" s="36">
        <v>1</v>
      </c>
      <c r="G3621" s="36">
        <v>3</v>
      </c>
      <c r="H3621" s="36">
        <v>0</v>
      </c>
      <c r="I3621" s="37">
        <v>0</v>
      </c>
      <c r="J3621" s="36" t="s">
        <v>34836</v>
      </c>
      <c r="K3621" s="36" t="s">
        <v>14330</v>
      </c>
      <c r="L3621" s="36" t="s">
        <v>14330</v>
      </c>
      <c r="M3621">
        <v>3</v>
      </c>
      <c r="N3621" t="s">
        <v>14331</v>
      </c>
      <c r="O3621" t="s">
        <v>32633</v>
      </c>
    </row>
    <row r="3622" spans="1:15" x14ac:dyDescent="0.25">
      <c r="A3622" s="35" t="s">
        <v>7328</v>
      </c>
      <c r="B3622" s="36" t="s">
        <v>7329</v>
      </c>
      <c r="C3622" s="36" t="str">
        <f>HYPERLINK("https://rhld.insurance.arkansas.gov/NPILookup?Npi=1972659480","1972659480")</f>
        <v>1972659480</v>
      </c>
      <c r="D3622" s="36" t="s">
        <v>36157</v>
      </c>
      <c r="E3622" s="36" t="s">
        <v>1</v>
      </c>
      <c r="F3622" s="36">
        <v>1</v>
      </c>
      <c r="G3622" s="36">
        <v>3</v>
      </c>
      <c r="H3622" s="36">
        <v>0</v>
      </c>
      <c r="I3622" s="37">
        <v>0</v>
      </c>
      <c r="J3622" s="36" t="s">
        <v>34836</v>
      </c>
      <c r="K3622" s="36" t="s">
        <v>14330</v>
      </c>
      <c r="L3622" s="36" t="s">
        <v>14330</v>
      </c>
      <c r="M3622">
        <v>3</v>
      </c>
      <c r="N3622" t="s">
        <v>14331</v>
      </c>
      <c r="O3622" t="s">
        <v>32633</v>
      </c>
    </row>
    <row r="3623" spans="1:15" x14ac:dyDescent="0.25">
      <c r="A3623" s="35" t="s">
        <v>7328</v>
      </c>
      <c r="B3623" s="36" t="s">
        <v>7329</v>
      </c>
      <c r="C3623" s="36" t="str">
        <f>HYPERLINK("https://rhld.insurance.arkansas.gov/NPILookup?Npi=1972721413","1972721413")</f>
        <v>1972721413</v>
      </c>
      <c r="D3623" s="36" t="s">
        <v>36158</v>
      </c>
      <c r="E3623" s="36" t="s">
        <v>1</v>
      </c>
      <c r="F3623" s="36">
        <v>1</v>
      </c>
      <c r="G3623" s="36">
        <v>3</v>
      </c>
      <c r="H3623" s="36">
        <v>0</v>
      </c>
      <c r="I3623" s="37">
        <v>0</v>
      </c>
      <c r="J3623" s="36" t="s">
        <v>34836</v>
      </c>
      <c r="K3623" s="36" t="s">
        <v>14330</v>
      </c>
      <c r="L3623" s="36" t="s">
        <v>14330</v>
      </c>
      <c r="M3623">
        <v>3</v>
      </c>
      <c r="N3623" t="s">
        <v>14331</v>
      </c>
      <c r="O3623" t="s">
        <v>32633</v>
      </c>
    </row>
    <row r="3624" spans="1:15" x14ac:dyDescent="0.25">
      <c r="A3624" s="35" t="s">
        <v>7328</v>
      </c>
      <c r="B3624" s="36" t="s">
        <v>7329</v>
      </c>
      <c r="C3624" s="36" t="str">
        <f>HYPERLINK("https://rhld.insurance.arkansas.gov/NPILookup?Npi=1972759173","1972759173")</f>
        <v>1972759173</v>
      </c>
      <c r="D3624" s="36" t="s">
        <v>36159</v>
      </c>
      <c r="E3624" s="36" t="s">
        <v>1</v>
      </c>
      <c r="F3624" s="36">
        <v>1</v>
      </c>
      <c r="G3624" s="36">
        <v>3</v>
      </c>
      <c r="H3624" s="36">
        <v>0</v>
      </c>
      <c r="I3624" s="37">
        <v>0</v>
      </c>
      <c r="J3624" s="36" t="s">
        <v>34836</v>
      </c>
      <c r="K3624" s="36" t="s">
        <v>14330</v>
      </c>
      <c r="L3624" s="36" t="s">
        <v>14330</v>
      </c>
      <c r="M3624">
        <v>1</v>
      </c>
      <c r="N3624" t="s">
        <v>14331</v>
      </c>
      <c r="O3624" t="s">
        <v>32633</v>
      </c>
    </row>
    <row r="3625" spans="1:15" x14ac:dyDescent="0.25">
      <c r="A3625" s="35" t="s">
        <v>7328</v>
      </c>
      <c r="B3625" s="36" t="s">
        <v>7329</v>
      </c>
      <c r="C3625" s="36" t="str">
        <f>HYPERLINK("https://rhld.insurance.arkansas.gov/NPILookup?Npi=1972828119","1972828119")</f>
        <v>1972828119</v>
      </c>
      <c r="D3625" s="36" t="s">
        <v>36160</v>
      </c>
      <c r="E3625" s="36" t="s">
        <v>1</v>
      </c>
      <c r="F3625" s="36">
        <v>1</v>
      </c>
      <c r="G3625" s="36">
        <v>2</v>
      </c>
      <c r="H3625" s="36">
        <v>1</v>
      </c>
      <c r="I3625" s="37">
        <v>0</v>
      </c>
      <c r="J3625" s="36" t="s">
        <v>32654</v>
      </c>
      <c r="K3625" s="36" t="s">
        <v>14330</v>
      </c>
      <c r="L3625" s="36" t="s">
        <v>35563</v>
      </c>
      <c r="M3625">
        <v>3</v>
      </c>
      <c r="N3625" t="s">
        <v>14332</v>
      </c>
      <c r="O3625" t="s">
        <v>32591</v>
      </c>
    </row>
    <row r="3626" spans="1:15" x14ac:dyDescent="0.25">
      <c r="A3626" s="35" t="s">
        <v>7328</v>
      </c>
      <c r="B3626" s="36" t="s">
        <v>7329</v>
      </c>
      <c r="C3626" s="36" t="str">
        <f>HYPERLINK("https://rhld.insurance.arkansas.gov/NPILookup?Npi=1972999423","1972999423")</f>
        <v>1972999423</v>
      </c>
      <c r="D3626" s="36" t="s">
        <v>36161</v>
      </c>
      <c r="E3626" s="36" t="s">
        <v>1</v>
      </c>
      <c r="F3626" s="36">
        <v>1</v>
      </c>
      <c r="G3626" s="36">
        <v>3</v>
      </c>
      <c r="H3626" s="36">
        <v>0</v>
      </c>
      <c r="I3626" s="37">
        <v>0</v>
      </c>
      <c r="J3626" s="36" t="s">
        <v>34836</v>
      </c>
      <c r="K3626" s="36" t="s">
        <v>14330</v>
      </c>
      <c r="L3626" s="36" t="s">
        <v>14330</v>
      </c>
      <c r="M3626">
        <v>3</v>
      </c>
      <c r="N3626" t="s">
        <v>14331</v>
      </c>
      <c r="O3626" t="s">
        <v>32633</v>
      </c>
    </row>
    <row r="3627" spans="1:15" x14ac:dyDescent="0.25">
      <c r="A3627" s="35" t="s">
        <v>7328</v>
      </c>
      <c r="B3627" s="36" t="s">
        <v>7329</v>
      </c>
      <c r="C3627" s="36" t="str">
        <f>HYPERLINK("https://rhld.insurance.arkansas.gov/NPILookup?Npi=1982022885","1982022885")</f>
        <v>1982022885</v>
      </c>
      <c r="D3627" s="36" t="s">
        <v>36162</v>
      </c>
      <c r="E3627" s="36" t="s">
        <v>1</v>
      </c>
      <c r="F3627" s="36">
        <v>1</v>
      </c>
      <c r="G3627" s="36">
        <v>3</v>
      </c>
      <c r="H3627" s="36">
        <v>0</v>
      </c>
      <c r="I3627" s="37">
        <v>0</v>
      </c>
      <c r="J3627" s="36" t="s">
        <v>34836</v>
      </c>
      <c r="K3627" s="36" t="s">
        <v>14330</v>
      </c>
      <c r="L3627" s="36" t="s">
        <v>14330</v>
      </c>
      <c r="M3627">
        <v>2</v>
      </c>
      <c r="N3627" t="s">
        <v>14331</v>
      </c>
      <c r="O3627" t="s">
        <v>32633</v>
      </c>
    </row>
    <row r="3628" spans="1:15" x14ac:dyDescent="0.25">
      <c r="A3628" s="35" t="s">
        <v>7328</v>
      </c>
      <c r="B3628" s="36" t="s">
        <v>7329</v>
      </c>
      <c r="C3628" s="36" t="str">
        <f>HYPERLINK("https://rhld.insurance.arkansas.gov/NPILookup?Npi=1982031514","1982031514")</f>
        <v>1982031514</v>
      </c>
      <c r="D3628" s="36" t="s">
        <v>36163</v>
      </c>
      <c r="E3628" s="36" t="s">
        <v>1</v>
      </c>
      <c r="F3628" s="36">
        <v>1</v>
      </c>
      <c r="G3628" s="36">
        <v>2</v>
      </c>
      <c r="H3628" s="36">
        <v>0</v>
      </c>
      <c r="I3628" s="37">
        <v>0</v>
      </c>
      <c r="J3628" s="36" t="s">
        <v>32654</v>
      </c>
      <c r="K3628" s="36" t="s">
        <v>14330</v>
      </c>
      <c r="L3628" s="36" t="s">
        <v>14330</v>
      </c>
      <c r="M3628">
        <v>1</v>
      </c>
      <c r="N3628" t="s">
        <v>14331</v>
      </c>
      <c r="O3628" t="s">
        <v>32633</v>
      </c>
    </row>
    <row r="3629" spans="1:15" x14ac:dyDescent="0.25">
      <c r="A3629" s="35" t="s">
        <v>7328</v>
      </c>
      <c r="B3629" s="36" t="s">
        <v>7329</v>
      </c>
      <c r="C3629" s="36" t="str">
        <f>HYPERLINK("https://rhld.insurance.arkansas.gov/NPILookup?Npi=1982135000","1982135000")</f>
        <v>1982135000</v>
      </c>
      <c r="D3629" s="36" t="s">
        <v>36164</v>
      </c>
      <c r="E3629" s="36" t="s">
        <v>1</v>
      </c>
      <c r="F3629" s="36">
        <v>1</v>
      </c>
      <c r="G3629" s="36">
        <v>2</v>
      </c>
      <c r="H3629" s="36">
        <v>1</v>
      </c>
      <c r="I3629" s="37">
        <v>0</v>
      </c>
      <c r="J3629" s="36" t="s">
        <v>32654</v>
      </c>
      <c r="K3629" s="36" t="s">
        <v>14330</v>
      </c>
      <c r="L3629" s="36" t="s">
        <v>35563</v>
      </c>
      <c r="M3629">
        <v>2</v>
      </c>
      <c r="N3629" t="s">
        <v>14332</v>
      </c>
      <c r="O3629" t="s">
        <v>32591</v>
      </c>
    </row>
    <row r="3630" spans="1:15" x14ac:dyDescent="0.25">
      <c r="A3630" s="35" t="s">
        <v>7328</v>
      </c>
      <c r="B3630" s="36" t="s">
        <v>7329</v>
      </c>
      <c r="C3630" s="36" t="str">
        <f>HYPERLINK("https://rhld.insurance.arkansas.gov/NPILookup?Npi=1982197653","1982197653")</f>
        <v>1982197653</v>
      </c>
      <c r="D3630" s="36" t="s">
        <v>36165</v>
      </c>
      <c r="E3630" s="36" t="s">
        <v>1</v>
      </c>
      <c r="F3630" s="36">
        <v>1</v>
      </c>
      <c r="G3630" s="36">
        <v>2</v>
      </c>
      <c r="H3630" s="36">
        <v>0</v>
      </c>
      <c r="I3630" s="37">
        <v>0</v>
      </c>
      <c r="J3630" s="36" t="s">
        <v>34836</v>
      </c>
      <c r="K3630" s="36" t="s">
        <v>14330</v>
      </c>
      <c r="L3630" s="36" t="s">
        <v>14330</v>
      </c>
      <c r="M3630">
        <v>2</v>
      </c>
      <c r="N3630" t="s">
        <v>14331</v>
      </c>
      <c r="O3630" t="s">
        <v>32633</v>
      </c>
    </row>
    <row r="3631" spans="1:15" x14ac:dyDescent="0.25">
      <c r="A3631" s="35" t="s">
        <v>7328</v>
      </c>
      <c r="B3631" s="36" t="s">
        <v>7329</v>
      </c>
      <c r="C3631" s="36" t="str">
        <f>HYPERLINK("https://rhld.insurance.arkansas.gov/NPILookup?Npi=1982385118","1982385118")</f>
        <v>1982385118</v>
      </c>
      <c r="D3631" s="36" t="s">
        <v>36166</v>
      </c>
      <c r="E3631" s="36" t="s">
        <v>2</v>
      </c>
      <c r="F3631" s="36">
        <v>2</v>
      </c>
      <c r="G3631" s="36">
        <v>2</v>
      </c>
      <c r="H3631" s="36">
        <v>0</v>
      </c>
      <c r="I3631" s="37">
        <v>0</v>
      </c>
      <c r="J3631" s="36" t="s">
        <v>33004</v>
      </c>
      <c r="K3631" s="36" t="s">
        <v>14330</v>
      </c>
      <c r="L3631" s="36" t="s">
        <v>14330</v>
      </c>
      <c r="M3631">
        <v>2</v>
      </c>
      <c r="N3631" t="s">
        <v>14331</v>
      </c>
      <c r="O3631" t="s">
        <v>14333</v>
      </c>
    </row>
    <row r="3632" spans="1:15" x14ac:dyDescent="0.25">
      <c r="A3632" s="35" t="s">
        <v>7328</v>
      </c>
      <c r="B3632" s="36" t="s">
        <v>7329</v>
      </c>
      <c r="C3632" s="36" t="str">
        <f>HYPERLINK("https://rhld.insurance.arkansas.gov/NPILookup?Npi=1982417234","1982417234")</f>
        <v>1982417234</v>
      </c>
      <c r="D3632" s="36" t="s">
        <v>36167</v>
      </c>
      <c r="E3632" s="36" t="s">
        <v>2</v>
      </c>
      <c r="F3632" s="36">
        <v>2</v>
      </c>
      <c r="G3632" s="36">
        <v>2</v>
      </c>
      <c r="H3632" s="36">
        <v>0</v>
      </c>
      <c r="I3632" s="37">
        <v>0</v>
      </c>
      <c r="J3632" s="36" t="s">
        <v>33004</v>
      </c>
      <c r="K3632" s="36" t="s">
        <v>14330</v>
      </c>
      <c r="L3632" s="36" t="s">
        <v>14330</v>
      </c>
      <c r="M3632">
        <v>2</v>
      </c>
      <c r="N3632" t="s">
        <v>14331</v>
      </c>
      <c r="O3632" t="s">
        <v>14333</v>
      </c>
    </row>
    <row r="3633" spans="1:15" x14ac:dyDescent="0.25">
      <c r="A3633" s="35" t="s">
        <v>7328</v>
      </c>
      <c r="B3633" s="36" t="s">
        <v>7329</v>
      </c>
      <c r="C3633" s="36" t="str">
        <f>HYPERLINK("https://rhld.insurance.arkansas.gov/NPILookup?Npi=1982418984","1982418984")</f>
        <v>1982418984</v>
      </c>
      <c r="D3633" s="36" t="s">
        <v>34501</v>
      </c>
      <c r="E3633" s="36" t="s">
        <v>2</v>
      </c>
      <c r="F3633" s="36">
        <v>1</v>
      </c>
      <c r="G3633" s="36">
        <v>2</v>
      </c>
      <c r="H3633" s="36">
        <v>0</v>
      </c>
      <c r="I3633" s="37">
        <v>0</v>
      </c>
      <c r="J3633" s="36"/>
      <c r="K3633" s="36" t="s">
        <v>14330</v>
      </c>
      <c r="L3633" s="36" t="s">
        <v>14330</v>
      </c>
      <c r="M3633">
        <v>1</v>
      </c>
      <c r="N3633" t="s">
        <v>14331</v>
      </c>
      <c r="O3633" t="s">
        <v>14333</v>
      </c>
    </row>
    <row r="3634" spans="1:15" x14ac:dyDescent="0.25">
      <c r="A3634" s="35" t="s">
        <v>7328</v>
      </c>
      <c r="B3634" s="36" t="s">
        <v>7329</v>
      </c>
      <c r="C3634" s="36" t="str">
        <f>HYPERLINK("https://rhld.insurance.arkansas.gov/NPILookup?Npi=1982424420","1982424420")</f>
        <v>1982424420</v>
      </c>
      <c r="D3634" s="36" t="s">
        <v>36168</v>
      </c>
      <c r="E3634" s="36" t="s">
        <v>2</v>
      </c>
      <c r="F3634" s="36">
        <v>1</v>
      </c>
      <c r="G3634" s="36">
        <v>1</v>
      </c>
      <c r="H3634" s="36">
        <v>0</v>
      </c>
      <c r="I3634" s="37">
        <v>0</v>
      </c>
      <c r="J3634" s="36"/>
      <c r="K3634" s="36" t="s">
        <v>14330</v>
      </c>
      <c r="L3634" s="36" t="s">
        <v>14330</v>
      </c>
      <c r="M3634">
        <v>3</v>
      </c>
      <c r="N3634" t="s">
        <v>14331</v>
      </c>
      <c r="O3634" t="s">
        <v>32633</v>
      </c>
    </row>
    <row r="3635" spans="1:15" x14ac:dyDescent="0.25">
      <c r="A3635" s="35" t="s">
        <v>7328</v>
      </c>
      <c r="B3635" s="36" t="s">
        <v>7329</v>
      </c>
      <c r="C3635" s="36" t="str">
        <f>HYPERLINK("https://rhld.insurance.arkansas.gov/NPILookup?Npi=1982630778","1982630778")</f>
        <v>1982630778</v>
      </c>
      <c r="D3635" s="36" t="s">
        <v>36169</v>
      </c>
      <c r="E3635" s="36" t="s">
        <v>1</v>
      </c>
      <c r="F3635" s="36">
        <v>1</v>
      </c>
      <c r="G3635" s="36">
        <v>3</v>
      </c>
      <c r="H3635" s="36">
        <v>0</v>
      </c>
      <c r="I3635" s="37">
        <v>0</v>
      </c>
      <c r="J3635" s="36" t="s">
        <v>32654</v>
      </c>
      <c r="K3635" s="36" t="s">
        <v>14330</v>
      </c>
      <c r="L3635" s="36" t="s">
        <v>14330</v>
      </c>
      <c r="M3635">
        <v>2</v>
      </c>
      <c r="N3635" t="s">
        <v>14331</v>
      </c>
      <c r="O3635" t="s">
        <v>32633</v>
      </c>
    </row>
    <row r="3636" spans="1:15" x14ac:dyDescent="0.25">
      <c r="A3636" s="35" t="s">
        <v>7328</v>
      </c>
      <c r="B3636" s="36" t="s">
        <v>7329</v>
      </c>
      <c r="C3636" s="36" t="str">
        <f>HYPERLINK("https://rhld.insurance.arkansas.gov/NPILookup?Npi=1982672010","1982672010")</f>
        <v>1982672010</v>
      </c>
      <c r="D3636" s="36" t="s">
        <v>36170</v>
      </c>
      <c r="E3636" s="36" t="s">
        <v>1</v>
      </c>
      <c r="F3636" s="36">
        <v>1</v>
      </c>
      <c r="G3636" s="36">
        <v>2</v>
      </c>
      <c r="H3636" s="36">
        <v>0</v>
      </c>
      <c r="I3636" s="37">
        <v>0</v>
      </c>
      <c r="J3636" s="36" t="s">
        <v>32723</v>
      </c>
      <c r="K3636" s="36" t="s">
        <v>14330</v>
      </c>
      <c r="L3636" s="36" t="s">
        <v>14330</v>
      </c>
      <c r="M3636">
        <v>3</v>
      </c>
      <c r="N3636" t="s">
        <v>14331</v>
      </c>
      <c r="O3636" t="s">
        <v>32724</v>
      </c>
    </row>
    <row r="3637" spans="1:15" x14ac:dyDescent="0.25">
      <c r="A3637" s="35" t="s">
        <v>7328</v>
      </c>
      <c r="B3637" s="36" t="s">
        <v>7329</v>
      </c>
      <c r="C3637" s="36" t="str">
        <f>HYPERLINK("https://rhld.insurance.arkansas.gov/NPILookup?Npi=1982703609","1982703609")</f>
        <v>1982703609</v>
      </c>
      <c r="D3637" s="36" t="s">
        <v>36171</v>
      </c>
      <c r="E3637" s="36" t="s">
        <v>1</v>
      </c>
      <c r="F3637" s="36">
        <v>1</v>
      </c>
      <c r="G3637" s="36">
        <v>3</v>
      </c>
      <c r="H3637" s="36">
        <v>0</v>
      </c>
      <c r="I3637" s="37">
        <v>0</v>
      </c>
      <c r="J3637" s="36" t="s">
        <v>32654</v>
      </c>
      <c r="K3637" s="36" t="s">
        <v>14330</v>
      </c>
      <c r="L3637" s="36" t="s">
        <v>14330</v>
      </c>
      <c r="M3637">
        <v>3</v>
      </c>
      <c r="N3637" t="s">
        <v>14331</v>
      </c>
      <c r="O3637" t="s">
        <v>32633</v>
      </c>
    </row>
    <row r="3638" spans="1:15" x14ac:dyDescent="0.25">
      <c r="A3638" s="35" t="s">
        <v>7328</v>
      </c>
      <c r="B3638" s="36" t="s">
        <v>7329</v>
      </c>
      <c r="C3638" s="36" t="str">
        <f>HYPERLINK("https://rhld.insurance.arkansas.gov/NPILookup?Npi=1982921391","1982921391")</f>
        <v>1982921391</v>
      </c>
      <c r="D3638" s="36" t="s">
        <v>36172</v>
      </c>
      <c r="E3638" s="36" t="s">
        <v>1</v>
      </c>
      <c r="F3638" s="36">
        <v>1</v>
      </c>
      <c r="G3638" s="36">
        <v>3</v>
      </c>
      <c r="H3638" s="36">
        <v>0</v>
      </c>
      <c r="I3638" s="37">
        <v>0</v>
      </c>
      <c r="J3638" s="36" t="s">
        <v>34836</v>
      </c>
      <c r="K3638" s="36" t="s">
        <v>14330</v>
      </c>
      <c r="L3638" s="36" t="s">
        <v>14330</v>
      </c>
      <c r="M3638">
        <v>3</v>
      </c>
      <c r="N3638" t="s">
        <v>14331</v>
      </c>
      <c r="O3638" t="s">
        <v>32633</v>
      </c>
    </row>
    <row r="3639" spans="1:15" x14ac:dyDescent="0.25">
      <c r="A3639" s="35" t="s">
        <v>7328</v>
      </c>
      <c r="B3639" s="36" t="s">
        <v>7329</v>
      </c>
      <c r="C3639" s="36" t="str">
        <f>HYPERLINK("https://rhld.insurance.arkansas.gov/NPILookup?Npi=1982938205","1982938205")</f>
        <v>1982938205</v>
      </c>
      <c r="D3639" s="36" t="s">
        <v>36173</v>
      </c>
      <c r="E3639" s="36" t="s">
        <v>1</v>
      </c>
      <c r="F3639" s="36">
        <v>1</v>
      </c>
      <c r="G3639" s="36">
        <v>3</v>
      </c>
      <c r="H3639" s="36">
        <v>0</v>
      </c>
      <c r="I3639" s="37">
        <v>0</v>
      </c>
      <c r="J3639" s="36" t="s">
        <v>32654</v>
      </c>
      <c r="K3639" s="36" t="s">
        <v>14330</v>
      </c>
      <c r="L3639" s="36" t="s">
        <v>14330</v>
      </c>
      <c r="M3639">
        <v>2</v>
      </c>
      <c r="N3639" t="s">
        <v>14331</v>
      </c>
      <c r="O3639" t="s">
        <v>32633</v>
      </c>
    </row>
    <row r="3640" spans="1:15" x14ac:dyDescent="0.25">
      <c r="A3640" s="35" t="s">
        <v>7328</v>
      </c>
      <c r="B3640" s="36" t="s">
        <v>7329</v>
      </c>
      <c r="C3640" s="36" t="str">
        <f>HYPERLINK("https://rhld.insurance.arkansas.gov/NPILookup?Npi=1982951992","1982951992")</f>
        <v>1982951992</v>
      </c>
      <c r="D3640" s="36" t="s">
        <v>36174</v>
      </c>
      <c r="E3640" s="36" t="s">
        <v>1</v>
      </c>
      <c r="F3640" s="36">
        <v>1</v>
      </c>
      <c r="G3640" s="36">
        <v>2</v>
      </c>
      <c r="H3640" s="36">
        <v>0</v>
      </c>
      <c r="I3640" s="37">
        <v>0</v>
      </c>
      <c r="J3640" s="36" t="s">
        <v>34836</v>
      </c>
      <c r="K3640" s="36" t="s">
        <v>14330</v>
      </c>
      <c r="L3640" s="36" t="s">
        <v>14330</v>
      </c>
      <c r="M3640">
        <v>2</v>
      </c>
      <c r="N3640" t="s">
        <v>14331</v>
      </c>
      <c r="O3640" t="s">
        <v>32633</v>
      </c>
    </row>
    <row r="3641" spans="1:15" x14ac:dyDescent="0.25">
      <c r="A3641" s="35" t="s">
        <v>7328</v>
      </c>
      <c r="B3641" s="36" t="s">
        <v>7329</v>
      </c>
      <c r="C3641" s="36" t="str">
        <f>HYPERLINK("https://rhld.insurance.arkansas.gov/NPILookup?Npi=1982990214","1982990214")</f>
        <v>1982990214</v>
      </c>
      <c r="D3641" s="36" t="s">
        <v>36175</v>
      </c>
      <c r="E3641" s="36" t="s">
        <v>2</v>
      </c>
      <c r="F3641" s="36">
        <v>1</v>
      </c>
      <c r="G3641" s="36">
        <v>2</v>
      </c>
      <c r="H3641" s="36">
        <v>0</v>
      </c>
      <c r="I3641" s="37">
        <v>0</v>
      </c>
      <c r="J3641" s="36"/>
      <c r="K3641" s="36" t="s">
        <v>14330</v>
      </c>
      <c r="L3641" s="36" t="s">
        <v>14330</v>
      </c>
      <c r="M3641">
        <v>2</v>
      </c>
      <c r="N3641" t="s">
        <v>14331</v>
      </c>
      <c r="O3641" t="s">
        <v>14333</v>
      </c>
    </row>
    <row r="3642" spans="1:15" x14ac:dyDescent="0.25">
      <c r="A3642" s="35" t="s">
        <v>7328</v>
      </c>
      <c r="B3642" s="36" t="s">
        <v>7329</v>
      </c>
      <c r="C3642" s="36" t="str">
        <f>HYPERLINK("https://rhld.insurance.arkansas.gov/NPILookup?Npi=1992019129","1992019129")</f>
        <v>1992019129</v>
      </c>
      <c r="D3642" s="36" t="s">
        <v>36176</v>
      </c>
      <c r="E3642" s="36" t="s">
        <v>1</v>
      </c>
      <c r="F3642" s="36">
        <v>1</v>
      </c>
      <c r="G3642" s="36">
        <v>2</v>
      </c>
      <c r="H3642" s="36">
        <v>0</v>
      </c>
      <c r="I3642" s="37">
        <v>0</v>
      </c>
      <c r="J3642" s="36" t="s">
        <v>34836</v>
      </c>
      <c r="K3642" s="36" t="s">
        <v>14330</v>
      </c>
      <c r="L3642" s="36" t="s">
        <v>14330</v>
      </c>
      <c r="M3642">
        <v>2</v>
      </c>
      <c r="N3642" t="s">
        <v>14331</v>
      </c>
      <c r="O3642" t="s">
        <v>32633</v>
      </c>
    </row>
    <row r="3643" spans="1:15" x14ac:dyDescent="0.25">
      <c r="A3643" s="35" t="s">
        <v>7328</v>
      </c>
      <c r="B3643" s="36" t="s">
        <v>7329</v>
      </c>
      <c r="C3643" s="36" t="str">
        <f>HYPERLINK("https://rhld.insurance.arkansas.gov/NPILookup?Npi=1992026751","1992026751")</f>
        <v>1992026751</v>
      </c>
      <c r="D3643" s="36" t="s">
        <v>36177</v>
      </c>
      <c r="E3643" s="36" t="s">
        <v>2</v>
      </c>
      <c r="F3643" s="36">
        <v>1</v>
      </c>
      <c r="G3643" s="36">
        <v>2</v>
      </c>
      <c r="H3643" s="36">
        <v>0</v>
      </c>
      <c r="I3643" s="37">
        <v>0</v>
      </c>
      <c r="J3643" s="36"/>
      <c r="K3643" s="36" t="s">
        <v>14330</v>
      </c>
      <c r="L3643" s="36" t="s">
        <v>14330</v>
      </c>
      <c r="M3643">
        <v>1</v>
      </c>
      <c r="N3643" t="s">
        <v>14331</v>
      </c>
      <c r="O3643" t="s">
        <v>14333</v>
      </c>
    </row>
    <row r="3644" spans="1:15" x14ac:dyDescent="0.25">
      <c r="A3644" s="35" t="s">
        <v>7328</v>
      </c>
      <c r="B3644" s="36" t="s">
        <v>7329</v>
      </c>
      <c r="C3644" s="36" t="str">
        <f>HYPERLINK("https://rhld.insurance.arkansas.gov/NPILookup?Npi=1992121834","1992121834")</f>
        <v>1992121834</v>
      </c>
      <c r="D3644" s="36" t="s">
        <v>36178</v>
      </c>
      <c r="E3644" s="36" t="s">
        <v>2</v>
      </c>
      <c r="F3644" s="36">
        <v>1</v>
      </c>
      <c r="G3644" s="36">
        <v>1</v>
      </c>
      <c r="H3644" s="36">
        <v>0</v>
      </c>
      <c r="I3644" s="37">
        <v>0</v>
      </c>
      <c r="J3644" s="36" t="s">
        <v>32679</v>
      </c>
      <c r="K3644" s="36" t="s">
        <v>14330</v>
      </c>
      <c r="L3644" s="36" t="s">
        <v>14330</v>
      </c>
      <c r="M3644">
        <v>3</v>
      </c>
      <c r="N3644" t="s">
        <v>14331</v>
      </c>
      <c r="O3644" t="s">
        <v>32633</v>
      </c>
    </row>
    <row r="3645" spans="1:15" x14ac:dyDescent="0.25">
      <c r="A3645" s="35" t="s">
        <v>7328</v>
      </c>
      <c r="B3645" s="36" t="s">
        <v>7329</v>
      </c>
      <c r="C3645" s="36" t="str">
        <f>HYPERLINK("https://rhld.insurance.arkansas.gov/NPILookup?Npi=1992281935","1992281935")</f>
        <v>1992281935</v>
      </c>
      <c r="D3645" s="36" t="s">
        <v>36179</v>
      </c>
      <c r="E3645" s="36" t="s">
        <v>1</v>
      </c>
      <c r="F3645" s="36">
        <v>1</v>
      </c>
      <c r="G3645" s="36">
        <v>3</v>
      </c>
      <c r="H3645" s="36">
        <v>0</v>
      </c>
      <c r="I3645" s="37">
        <v>0</v>
      </c>
      <c r="J3645" s="36" t="s">
        <v>32654</v>
      </c>
      <c r="K3645" s="36" t="s">
        <v>14330</v>
      </c>
      <c r="L3645" s="36" t="s">
        <v>14330</v>
      </c>
      <c r="M3645">
        <v>2</v>
      </c>
      <c r="N3645" t="s">
        <v>14331</v>
      </c>
      <c r="O3645" t="s">
        <v>32633</v>
      </c>
    </row>
    <row r="3646" spans="1:15" x14ac:dyDescent="0.25">
      <c r="A3646" s="35" t="s">
        <v>7328</v>
      </c>
      <c r="B3646" s="36" t="s">
        <v>7329</v>
      </c>
      <c r="C3646" s="36" t="str">
        <f>HYPERLINK("https://rhld.insurance.arkansas.gov/NPILookup?Npi=1992313159","1992313159")</f>
        <v>1992313159</v>
      </c>
      <c r="D3646" s="36" t="s">
        <v>36180</v>
      </c>
      <c r="E3646" s="36" t="s">
        <v>2</v>
      </c>
      <c r="F3646" s="36">
        <v>1</v>
      </c>
      <c r="G3646" s="36">
        <v>2</v>
      </c>
      <c r="H3646" s="36">
        <v>0</v>
      </c>
      <c r="I3646" s="37">
        <v>0</v>
      </c>
      <c r="J3646" s="36"/>
      <c r="K3646" s="36" t="s">
        <v>14330</v>
      </c>
      <c r="L3646" s="36" t="s">
        <v>14330</v>
      </c>
      <c r="M3646">
        <v>2</v>
      </c>
      <c r="N3646" t="s">
        <v>14331</v>
      </c>
      <c r="O3646" t="s">
        <v>14333</v>
      </c>
    </row>
    <row r="3647" spans="1:15" x14ac:dyDescent="0.25">
      <c r="A3647" s="35" t="s">
        <v>7328</v>
      </c>
      <c r="B3647" s="36" t="s">
        <v>7329</v>
      </c>
      <c r="C3647" s="36" t="str">
        <f>HYPERLINK("https://rhld.insurance.arkansas.gov/NPILookup?Npi=1992486161","1992486161")</f>
        <v>1992486161</v>
      </c>
      <c r="D3647" s="36" t="s">
        <v>36181</v>
      </c>
      <c r="E3647" s="36" t="s">
        <v>2</v>
      </c>
      <c r="F3647" s="36">
        <v>2</v>
      </c>
      <c r="G3647" s="36">
        <v>2</v>
      </c>
      <c r="H3647" s="36">
        <v>0</v>
      </c>
      <c r="I3647" s="37">
        <v>0</v>
      </c>
      <c r="J3647" s="36" t="s">
        <v>33004</v>
      </c>
      <c r="K3647" s="36" t="s">
        <v>14330</v>
      </c>
      <c r="L3647" s="36" t="s">
        <v>14330</v>
      </c>
      <c r="M3647">
        <v>2</v>
      </c>
      <c r="N3647" t="s">
        <v>14331</v>
      </c>
      <c r="O3647" t="s">
        <v>14333</v>
      </c>
    </row>
    <row r="3648" spans="1:15" x14ac:dyDescent="0.25">
      <c r="A3648" s="35" t="s">
        <v>7328</v>
      </c>
      <c r="B3648" s="36" t="s">
        <v>7329</v>
      </c>
      <c r="C3648" s="36" t="str">
        <f>HYPERLINK("https://rhld.insurance.arkansas.gov/NPILookup?Npi=1992518245","1992518245")</f>
        <v>1992518245</v>
      </c>
      <c r="D3648" s="36" t="s">
        <v>36182</v>
      </c>
      <c r="E3648" s="36" t="s">
        <v>2</v>
      </c>
      <c r="F3648" s="36">
        <v>1</v>
      </c>
      <c r="G3648" s="36">
        <v>2</v>
      </c>
      <c r="H3648" s="36">
        <v>0</v>
      </c>
      <c r="I3648" s="37">
        <v>0</v>
      </c>
      <c r="J3648" s="36"/>
      <c r="K3648" s="36" t="s">
        <v>14330</v>
      </c>
      <c r="L3648" s="36" t="s">
        <v>14330</v>
      </c>
      <c r="M3648">
        <v>2</v>
      </c>
      <c r="N3648" t="s">
        <v>14331</v>
      </c>
      <c r="O3648" t="s">
        <v>14333</v>
      </c>
    </row>
    <row r="3649" spans="1:15" x14ac:dyDescent="0.25">
      <c r="A3649" s="35" t="s">
        <v>7328</v>
      </c>
      <c r="B3649" s="36" t="s">
        <v>7329</v>
      </c>
      <c r="C3649" s="36" t="str">
        <f>HYPERLINK("https://rhld.insurance.arkansas.gov/NPILookup?Npi=1992523864","1992523864")</f>
        <v>1992523864</v>
      </c>
      <c r="D3649" s="36" t="s">
        <v>34504</v>
      </c>
      <c r="E3649" s="36" t="s">
        <v>2</v>
      </c>
      <c r="F3649" s="36">
        <v>1</v>
      </c>
      <c r="G3649" s="36">
        <v>2</v>
      </c>
      <c r="H3649" s="36">
        <v>0</v>
      </c>
      <c r="I3649" s="37">
        <v>0</v>
      </c>
      <c r="J3649" s="36"/>
      <c r="K3649" s="36" t="s">
        <v>14330</v>
      </c>
      <c r="L3649" s="36" t="s">
        <v>14330</v>
      </c>
      <c r="M3649">
        <v>1</v>
      </c>
      <c r="N3649" t="s">
        <v>14331</v>
      </c>
      <c r="O3649" t="s">
        <v>14333</v>
      </c>
    </row>
    <row r="3650" spans="1:15" x14ac:dyDescent="0.25">
      <c r="A3650" s="35" t="s">
        <v>7328</v>
      </c>
      <c r="B3650" s="36" t="s">
        <v>7329</v>
      </c>
      <c r="C3650" s="36" t="str">
        <f>HYPERLINK("https://rhld.insurance.arkansas.gov/NPILookup?Npi=1992542450","1992542450")</f>
        <v>1992542450</v>
      </c>
      <c r="D3650" s="36" t="s">
        <v>36183</v>
      </c>
      <c r="E3650" s="36" t="s">
        <v>2</v>
      </c>
      <c r="F3650" s="36">
        <v>2</v>
      </c>
      <c r="G3650" s="36">
        <v>1</v>
      </c>
      <c r="H3650" s="36">
        <v>0</v>
      </c>
      <c r="I3650" s="37">
        <v>0</v>
      </c>
      <c r="J3650" s="36" t="s">
        <v>33004</v>
      </c>
      <c r="K3650" s="36" t="s">
        <v>14330</v>
      </c>
      <c r="L3650" s="36" t="s">
        <v>14330</v>
      </c>
      <c r="M3650">
        <v>1</v>
      </c>
      <c r="N3650" t="s">
        <v>14331</v>
      </c>
      <c r="O3650" t="s">
        <v>32633</v>
      </c>
    </row>
    <row r="3651" spans="1:15" x14ac:dyDescent="0.25">
      <c r="A3651" s="35" t="s">
        <v>7328</v>
      </c>
      <c r="B3651" s="36" t="s">
        <v>7329</v>
      </c>
      <c r="C3651" s="36" t="str">
        <f>HYPERLINK("https://rhld.insurance.arkansas.gov/NPILookup?Npi=1992730873","1992730873")</f>
        <v>1992730873</v>
      </c>
      <c r="D3651" s="36" t="s">
        <v>36184</v>
      </c>
      <c r="E3651" s="36" t="s">
        <v>1</v>
      </c>
      <c r="F3651" s="36">
        <v>1</v>
      </c>
      <c r="G3651" s="36">
        <v>2</v>
      </c>
      <c r="H3651" s="36">
        <v>1</v>
      </c>
      <c r="I3651" s="37">
        <v>0</v>
      </c>
      <c r="J3651" s="36" t="s">
        <v>32654</v>
      </c>
      <c r="K3651" s="36" t="s">
        <v>14330</v>
      </c>
      <c r="L3651" s="36" t="s">
        <v>35563</v>
      </c>
      <c r="M3651">
        <v>3</v>
      </c>
      <c r="N3651" t="s">
        <v>14332</v>
      </c>
      <c r="O3651" t="s">
        <v>32591</v>
      </c>
    </row>
    <row r="3652" spans="1:15" x14ac:dyDescent="0.25">
      <c r="A3652" s="35" t="s">
        <v>7328</v>
      </c>
      <c r="B3652" s="36" t="s">
        <v>7329</v>
      </c>
      <c r="C3652" s="36" t="str">
        <f>HYPERLINK("https://rhld.insurance.arkansas.gov/NPILookup?Npi=1992813679","1992813679")</f>
        <v>1992813679</v>
      </c>
      <c r="D3652" s="36" t="s">
        <v>36185</v>
      </c>
      <c r="E3652" s="36" t="s">
        <v>1</v>
      </c>
      <c r="F3652" s="36">
        <v>1</v>
      </c>
      <c r="G3652" s="36">
        <v>3</v>
      </c>
      <c r="H3652" s="36">
        <v>0</v>
      </c>
      <c r="I3652" s="37">
        <v>0</v>
      </c>
      <c r="J3652" s="36" t="s">
        <v>32723</v>
      </c>
      <c r="K3652" s="36" t="s">
        <v>14330</v>
      </c>
      <c r="L3652" s="36" t="s">
        <v>14330</v>
      </c>
      <c r="M3652">
        <v>2</v>
      </c>
      <c r="N3652" t="s">
        <v>14331</v>
      </c>
      <c r="O3652" t="s">
        <v>32724</v>
      </c>
    </row>
    <row r="3653" spans="1:15" x14ac:dyDescent="0.25">
      <c r="A3653" s="35" t="s">
        <v>7328</v>
      </c>
      <c r="B3653" s="36" t="s">
        <v>7329</v>
      </c>
      <c r="C3653" s="36" t="str">
        <f>HYPERLINK("https://rhld.insurance.arkansas.gov/NPILookup?Npi=1992817662","1992817662")</f>
        <v>1992817662</v>
      </c>
      <c r="D3653" s="36" t="s">
        <v>36186</v>
      </c>
      <c r="E3653" s="36" t="s">
        <v>1</v>
      </c>
      <c r="F3653" s="36">
        <v>1</v>
      </c>
      <c r="G3653" s="36">
        <v>2</v>
      </c>
      <c r="H3653" s="36">
        <v>0</v>
      </c>
      <c r="I3653" s="37">
        <v>0</v>
      </c>
      <c r="J3653" s="36" t="s">
        <v>34836</v>
      </c>
      <c r="K3653" s="36" t="s">
        <v>14330</v>
      </c>
      <c r="L3653" s="36" t="s">
        <v>14330</v>
      </c>
      <c r="M3653">
        <v>1</v>
      </c>
      <c r="N3653" t="s">
        <v>14331</v>
      </c>
      <c r="O3653" t="s">
        <v>32633</v>
      </c>
    </row>
    <row r="3654" spans="1:15" x14ac:dyDescent="0.25">
      <c r="A3654" s="35" t="s">
        <v>7328</v>
      </c>
      <c r="B3654" s="36" t="s">
        <v>7329</v>
      </c>
      <c r="C3654" s="36" t="str">
        <f>HYPERLINK("https://rhld.insurance.arkansas.gov/NPILookup?Npi=1992908560","1992908560")</f>
        <v>1992908560</v>
      </c>
      <c r="D3654" s="36" t="s">
        <v>36187</v>
      </c>
      <c r="E3654" s="36" t="s">
        <v>1</v>
      </c>
      <c r="F3654" s="36">
        <v>1</v>
      </c>
      <c r="G3654" s="36">
        <v>1</v>
      </c>
      <c r="H3654" s="36">
        <v>0</v>
      </c>
      <c r="I3654" s="37">
        <v>0</v>
      </c>
      <c r="J3654" s="36" t="s">
        <v>34836</v>
      </c>
      <c r="K3654" s="36" t="s">
        <v>14330</v>
      </c>
      <c r="L3654" s="36" t="s">
        <v>14330</v>
      </c>
      <c r="M3654">
        <v>3</v>
      </c>
      <c r="N3654" t="s">
        <v>14331</v>
      </c>
      <c r="O3654" t="s">
        <v>32633</v>
      </c>
    </row>
    <row r="3655" spans="1:15" x14ac:dyDescent="0.25">
      <c r="A3655" s="35" t="s">
        <v>7328</v>
      </c>
      <c r="B3655" s="36" t="s">
        <v>7329</v>
      </c>
      <c r="C3655" s="36" t="str">
        <f>HYPERLINK("https://rhld.insurance.arkansas.gov/NPILookup?Npi=1992933584","1992933584")</f>
        <v>1992933584</v>
      </c>
      <c r="D3655" s="36" t="s">
        <v>33477</v>
      </c>
      <c r="E3655" s="36" t="s">
        <v>1</v>
      </c>
      <c r="F3655" s="36">
        <v>1</v>
      </c>
      <c r="G3655" s="36">
        <v>3</v>
      </c>
      <c r="H3655" s="36">
        <v>0</v>
      </c>
      <c r="I3655" s="37">
        <v>0</v>
      </c>
      <c r="J3655" s="36" t="s">
        <v>34836</v>
      </c>
      <c r="K3655" s="36" t="s">
        <v>14330</v>
      </c>
      <c r="L3655" s="36" t="s">
        <v>14330</v>
      </c>
      <c r="M3655">
        <v>2</v>
      </c>
      <c r="N3655" t="s">
        <v>14331</v>
      </c>
      <c r="O3655" t="s">
        <v>32633</v>
      </c>
    </row>
    <row r="3656" spans="1:15" x14ac:dyDescent="0.25">
      <c r="A3656" s="35" t="s">
        <v>8275</v>
      </c>
      <c r="B3656" s="36" t="s">
        <v>8276</v>
      </c>
      <c r="C3656" s="36" t="str">
        <f>HYPERLINK("https://rhld.insurance.arkansas.gov/NPILookup?Npi=1003052010","1003052010")</f>
        <v>1003052010</v>
      </c>
      <c r="D3656" s="36" t="s">
        <v>36188</v>
      </c>
      <c r="E3656" s="36" t="s">
        <v>2</v>
      </c>
      <c r="F3656" s="36">
        <v>1</v>
      </c>
      <c r="G3656" s="36">
        <v>2</v>
      </c>
      <c r="H3656" s="36">
        <v>0</v>
      </c>
      <c r="I3656" s="37">
        <v>0</v>
      </c>
      <c r="J3656" s="36" t="s">
        <v>32679</v>
      </c>
      <c r="K3656" s="36" t="s">
        <v>14330</v>
      </c>
      <c r="L3656" s="36" t="s">
        <v>14330</v>
      </c>
      <c r="M3656">
        <v>2</v>
      </c>
      <c r="N3656" t="s">
        <v>14331</v>
      </c>
      <c r="O3656" t="s">
        <v>14333</v>
      </c>
    </row>
    <row r="3657" spans="1:15" x14ac:dyDescent="0.25">
      <c r="A3657" s="35" t="s">
        <v>8275</v>
      </c>
      <c r="B3657" s="36" t="s">
        <v>8276</v>
      </c>
      <c r="C3657" s="36" t="str">
        <f>HYPERLINK("https://rhld.insurance.arkansas.gov/NPILookup?Npi=1003083205","1003083205")</f>
        <v>1003083205</v>
      </c>
      <c r="D3657" s="36" t="s">
        <v>36189</v>
      </c>
      <c r="E3657" s="36" t="s">
        <v>2</v>
      </c>
      <c r="F3657" s="36">
        <v>1</v>
      </c>
      <c r="G3657" s="36">
        <v>2</v>
      </c>
      <c r="H3657" s="36">
        <v>0</v>
      </c>
      <c r="I3657" s="37">
        <v>0</v>
      </c>
      <c r="J3657" s="36" t="s">
        <v>36190</v>
      </c>
      <c r="K3657" s="36" t="s">
        <v>14330</v>
      </c>
      <c r="L3657" s="36" t="s">
        <v>14330</v>
      </c>
      <c r="M3657">
        <v>2</v>
      </c>
      <c r="N3657" t="s">
        <v>14331</v>
      </c>
      <c r="O3657" t="s">
        <v>14333</v>
      </c>
    </row>
    <row r="3658" spans="1:15" x14ac:dyDescent="0.25">
      <c r="A3658" s="35" t="s">
        <v>8275</v>
      </c>
      <c r="B3658" s="36" t="s">
        <v>8276</v>
      </c>
      <c r="C3658" s="36" t="str">
        <f>HYPERLINK("https://rhld.insurance.arkansas.gov/NPILookup?Npi=1003103490","1003103490")</f>
        <v>1003103490</v>
      </c>
      <c r="D3658" s="36" t="s">
        <v>36191</v>
      </c>
      <c r="E3658" s="36" t="s">
        <v>2</v>
      </c>
      <c r="F3658" s="36">
        <v>1</v>
      </c>
      <c r="G3658" s="36">
        <v>2</v>
      </c>
      <c r="H3658" s="36">
        <v>0</v>
      </c>
      <c r="I3658" s="37">
        <v>0</v>
      </c>
      <c r="J3658" s="36" t="s">
        <v>36190</v>
      </c>
      <c r="K3658" s="36" t="s">
        <v>14330</v>
      </c>
      <c r="L3658" s="36" t="s">
        <v>14330</v>
      </c>
      <c r="M3658">
        <v>1</v>
      </c>
      <c r="N3658" t="s">
        <v>14331</v>
      </c>
      <c r="O3658" t="s">
        <v>14333</v>
      </c>
    </row>
    <row r="3659" spans="1:15" x14ac:dyDescent="0.25">
      <c r="A3659" s="35" t="s">
        <v>8275</v>
      </c>
      <c r="B3659" s="36" t="s">
        <v>8276</v>
      </c>
      <c r="C3659" s="36" t="str">
        <f>HYPERLINK("https://rhld.insurance.arkansas.gov/NPILookup?Npi=1003128844","1003128844")</f>
        <v>1003128844</v>
      </c>
      <c r="D3659" s="36" t="s">
        <v>34838</v>
      </c>
      <c r="E3659" s="36" t="s">
        <v>2</v>
      </c>
      <c r="F3659" s="36">
        <v>1</v>
      </c>
      <c r="G3659" s="36">
        <v>1</v>
      </c>
      <c r="H3659" s="36">
        <v>0</v>
      </c>
      <c r="I3659" s="37">
        <v>0</v>
      </c>
      <c r="J3659" s="36"/>
      <c r="K3659" s="36" t="s">
        <v>14330</v>
      </c>
      <c r="L3659" s="36" t="s">
        <v>14330</v>
      </c>
      <c r="M3659">
        <v>3</v>
      </c>
      <c r="N3659" t="s">
        <v>14331</v>
      </c>
      <c r="O3659" t="s">
        <v>32633</v>
      </c>
    </row>
    <row r="3660" spans="1:15" x14ac:dyDescent="0.25">
      <c r="A3660" s="35" t="s">
        <v>8275</v>
      </c>
      <c r="B3660" s="36" t="s">
        <v>8276</v>
      </c>
      <c r="C3660" s="36" t="str">
        <f>HYPERLINK("https://rhld.insurance.arkansas.gov/NPILookup?Npi=1003133828","1003133828")</f>
        <v>1003133828</v>
      </c>
      <c r="D3660" s="36" t="s">
        <v>36192</v>
      </c>
      <c r="E3660" s="36" t="s">
        <v>1</v>
      </c>
      <c r="F3660" s="36">
        <v>1</v>
      </c>
      <c r="G3660" s="36">
        <v>3</v>
      </c>
      <c r="H3660" s="36">
        <v>0</v>
      </c>
      <c r="I3660" s="37">
        <v>0</v>
      </c>
      <c r="J3660" s="36" t="s">
        <v>32654</v>
      </c>
      <c r="K3660" s="36" t="s">
        <v>14330</v>
      </c>
      <c r="L3660" s="36" t="s">
        <v>14330</v>
      </c>
      <c r="M3660">
        <v>3</v>
      </c>
      <c r="N3660" t="s">
        <v>14331</v>
      </c>
      <c r="O3660" t="s">
        <v>32633</v>
      </c>
    </row>
    <row r="3661" spans="1:15" x14ac:dyDescent="0.25">
      <c r="A3661" s="35" t="s">
        <v>8275</v>
      </c>
      <c r="B3661" s="36" t="s">
        <v>8276</v>
      </c>
      <c r="C3661" s="36" t="str">
        <f>HYPERLINK("https://rhld.insurance.arkansas.gov/NPILookup?Npi=1003140963","1003140963")</f>
        <v>1003140963</v>
      </c>
      <c r="D3661" s="36" t="s">
        <v>36193</v>
      </c>
      <c r="E3661" s="36" t="s">
        <v>2</v>
      </c>
      <c r="F3661" s="36">
        <v>1</v>
      </c>
      <c r="G3661" s="36">
        <v>3</v>
      </c>
      <c r="H3661" s="36">
        <v>0</v>
      </c>
      <c r="I3661" s="37">
        <v>0</v>
      </c>
      <c r="J3661" s="36" t="s">
        <v>36190</v>
      </c>
      <c r="K3661" s="36" t="s">
        <v>14330</v>
      </c>
      <c r="L3661" s="36" t="s">
        <v>14330</v>
      </c>
      <c r="M3661">
        <v>2</v>
      </c>
      <c r="N3661" t="s">
        <v>14331</v>
      </c>
      <c r="O3661" t="s">
        <v>14333</v>
      </c>
    </row>
    <row r="3662" spans="1:15" x14ac:dyDescent="0.25">
      <c r="A3662" s="35" t="s">
        <v>8275</v>
      </c>
      <c r="B3662" s="36" t="s">
        <v>8276</v>
      </c>
      <c r="C3662" s="36" t="str">
        <f>HYPERLINK("https://rhld.insurance.arkansas.gov/NPILookup?Npi=1003250945","1003250945")</f>
        <v>1003250945</v>
      </c>
      <c r="D3662" s="36" t="s">
        <v>36194</v>
      </c>
      <c r="E3662" s="36" t="s">
        <v>2</v>
      </c>
      <c r="F3662" s="36">
        <v>1</v>
      </c>
      <c r="G3662" s="36">
        <v>2</v>
      </c>
      <c r="H3662" s="36">
        <v>0</v>
      </c>
      <c r="I3662" s="37">
        <v>0</v>
      </c>
      <c r="J3662" s="36" t="s">
        <v>36190</v>
      </c>
      <c r="K3662" s="36" t="s">
        <v>14330</v>
      </c>
      <c r="L3662" s="36" t="s">
        <v>14330</v>
      </c>
      <c r="M3662">
        <v>3</v>
      </c>
      <c r="N3662" t="s">
        <v>14331</v>
      </c>
      <c r="O3662" t="s">
        <v>14333</v>
      </c>
    </row>
    <row r="3663" spans="1:15" x14ac:dyDescent="0.25">
      <c r="A3663" s="35" t="s">
        <v>8275</v>
      </c>
      <c r="B3663" s="36" t="s">
        <v>8276</v>
      </c>
      <c r="C3663" s="36" t="str">
        <f>HYPERLINK("https://rhld.insurance.arkansas.gov/NPILookup?Npi=1003290826","1003290826")</f>
        <v>1003290826</v>
      </c>
      <c r="D3663" s="36" t="s">
        <v>36195</v>
      </c>
      <c r="E3663" s="36" t="s">
        <v>2</v>
      </c>
      <c r="F3663" s="36">
        <v>1</v>
      </c>
      <c r="G3663" s="36">
        <v>3</v>
      </c>
      <c r="H3663" s="36">
        <v>0</v>
      </c>
      <c r="I3663" s="37">
        <v>0</v>
      </c>
      <c r="J3663" s="36" t="s">
        <v>36190</v>
      </c>
      <c r="K3663" s="36" t="s">
        <v>14330</v>
      </c>
      <c r="L3663" s="36" t="s">
        <v>14330</v>
      </c>
      <c r="M3663">
        <v>2</v>
      </c>
      <c r="N3663" t="s">
        <v>14331</v>
      </c>
      <c r="O3663" t="s">
        <v>14333</v>
      </c>
    </row>
    <row r="3664" spans="1:15" x14ac:dyDescent="0.25">
      <c r="A3664" s="35" t="s">
        <v>8275</v>
      </c>
      <c r="B3664" s="36" t="s">
        <v>8276</v>
      </c>
      <c r="C3664" s="36" t="str">
        <f>HYPERLINK("https://rhld.insurance.arkansas.gov/NPILookup?Npi=1003304213","1003304213")</f>
        <v>1003304213</v>
      </c>
      <c r="D3664" s="36" t="s">
        <v>36196</v>
      </c>
      <c r="E3664" s="36" t="s">
        <v>2</v>
      </c>
      <c r="F3664" s="36">
        <v>1</v>
      </c>
      <c r="G3664" s="36">
        <v>2</v>
      </c>
      <c r="H3664" s="36">
        <v>0</v>
      </c>
      <c r="I3664" s="37">
        <v>0</v>
      </c>
      <c r="J3664" s="36" t="s">
        <v>36190</v>
      </c>
      <c r="K3664" s="36" t="s">
        <v>14330</v>
      </c>
      <c r="L3664" s="36" t="s">
        <v>14330</v>
      </c>
      <c r="M3664">
        <v>3</v>
      </c>
      <c r="N3664" t="s">
        <v>14331</v>
      </c>
      <c r="O3664" t="s">
        <v>14333</v>
      </c>
    </row>
    <row r="3665" spans="1:15" x14ac:dyDescent="0.25">
      <c r="A3665" s="35" t="s">
        <v>8275</v>
      </c>
      <c r="B3665" s="36" t="s">
        <v>8276</v>
      </c>
      <c r="C3665" s="36" t="str">
        <f>HYPERLINK("https://rhld.insurance.arkansas.gov/NPILookup?Npi=1003426396","1003426396")</f>
        <v>1003426396</v>
      </c>
      <c r="D3665" s="36" t="s">
        <v>36197</v>
      </c>
      <c r="E3665" s="36" t="s">
        <v>2</v>
      </c>
      <c r="F3665" s="36">
        <v>1</v>
      </c>
      <c r="G3665" s="36">
        <v>3</v>
      </c>
      <c r="H3665" s="36">
        <v>0</v>
      </c>
      <c r="I3665" s="37">
        <v>0</v>
      </c>
      <c r="J3665" s="36" t="s">
        <v>36190</v>
      </c>
      <c r="K3665" s="36" t="s">
        <v>14330</v>
      </c>
      <c r="L3665" s="36" t="s">
        <v>14330</v>
      </c>
      <c r="M3665">
        <v>2</v>
      </c>
      <c r="N3665" t="s">
        <v>14331</v>
      </c>
      <c r="O3665" t="s">
        <v>14333</v>
      </c>
    </row>
    <row r="3666" spans="1:15" x14ac:dyDescent="0.25">
      <c r="A3666" s="35" t="s">
        <v>8275</v>
      </c>
      <c r="B3666" s="36" t="s">
        <v>8276</v>
      </c>
      <c r="C3666" s="36" t="str">
        <f>HYPERLINK("https://rhld.insurance.arkansas.gov/NPILookup?Npi=1003426412","1003426412")</f>
        <v>1003426412</v>
      </c>
      <c r="D3666" s="36" t="s">
        <v>36198</v>
      </c>
      <c r="E3666" s="36" t="s">
        <v>2</v>
      </c>
      <c r="F3666" s="36">
        <v>1</v>
      </c>
      <c r="G3666" s="36">
        <v>2</v>
      </c>
      <c r="H3666" s="36">
        <v>0</v>
      </c>
      <c r="I3666" s="37">
        <v>0</v>
      </c>
      <c r="J3666" s="36"/>
      <c r="K3666" s="36" t="s">
        <v>14330</v>
      </c>
      <c r="L3666" s="36" t="s">
        <v>14330</v>
      </c>
      <c r="M3666">
        <v>2</v>
      </c>
      <c r="N3666" t="s">
        <v>14331</v>
      </c>
      <c r="O3666" t="s">
        <v>14333</v>
      </c>
    </row>
    <row r="3667" spans="1:15" x14ac:dyDescent="0.25">
      <c r="A3667" s="35" t="s">
        <v>8275</v>
      </c>
      <c r="B3667" s="36" t="s">
        <v>8276</v>
      </c>
      <c r="C3667" s="36" t="str">
        <f>HYPERLINK("https://rhld.insurance.arkansas.gov/NPILookup?Npi=1003527011","1003527011")</f>
        <v>1003527011</v>
      </c>
      <c r="D3667" s="36" t="s">
        <v>34847</v>
      </c>
      <c r="E3667" s="36" t="s">
        <v>2</v>
      </c>
      <c r="F3667" s="36">
        <v>1</v>
      </c>
      <c r="G3667" s="36">
        <v>2</v>
      </c>
      <c r="H3667" s="36">
        <v>0</v>
      </c>
      <c r="I3667" s="37">
        <v>0</v>
      </c>
      <c r="J3667" s="36"/>
      <c r="K3667" s="36" t="s">
        <v>14330</v>
      </c>
      <c r="L3667" s="36" t="s">
        <v>14330</v>
      </c>
      <c r="M3667">
        <v>3</v>
      </c>
      <c r="N3667" t="s">
        <v>14331</v>
      </c>
      <c r="O3667" t="s">
        <v>14333</v>
      </c>
    </row>
    <row r="3668" spans="1:15" x14ac:dyDescent="0.25">
      <c r="A3668" s="35" t="s">
        <v>8275</v>
      </c>
      <c r="B3668" s="36" t="s">
        <v>8276</v>
      </c>
      <c r="C3668" s="36" t="str">
        <f>HYPERLINK("https://rhld.insurance.arkansas.gov/NPILookup?Npi=1003541327","1003541327")</f>
        <v>1003541327</v>
      </c>
      <c r="D3668" s="36" t="s">
        <v>36199</v>
      </c>
      <c r="E3668" s="36" t="s">
        <v>2</v>
      </c>
      <c r="F3668" s="36">
        <v>1</v>
      </c>
      <c r="G3668" s="36">
        <v>3</v>
      </c>
      <c r="H3668" s="36">
        <v>0</v>
      </c>
      <c r="I3668" s="37">
        <v>0</v>
      </c>
      <c r="J3668" s="36" t="s">
        <v>36190</v>
      </c>
      <c r="K3668" s="36" t="s">
        <v>14330</v>
      </c>
      <c r="L3668" s="36" t="s">
        <v>14330</v>
      </c>
      <c r="M3668">
        <v>2</v>
      </c>
      <c r="N3668" t="s">
        <v>14331</v>
      </c>
      <c r="O3668" t="s">
        <v>14333</v>
      </c>
    </row>
    <row r="3669" spans="1:15" x14ac:dyDescent="0.25">
      <c r="A3669" s="35" t="s">
        <v>8275</v>
      </c>
      <c r="B3669" s="36" t="s">
        <v>8276</v>
      </c>
      <c r="C3669" s="36" t="str">
        <f>HYPERLINK("https://rhld.insurance.arkansas.gov/NPILookup?Npi=1003654526","1003654526")</f>
        <v>1003654526</v>
      </c>
      <c r="D3669" s="36" t="s">
        <v>34850</v>
      </c>
      <c r="E3669" s="36" t="s">
        <v>2</v>
      </c>
      <c r="F3669" s="36">
        <v>1</v>
      </c>
      <c r="G3669" s="36">
        <v>2</v>
      </c>
      <c r="H3669" s="36">
        <v>0</v>
      </c>
      <c r="I3669" s="37">
        <v>0</v>
      </c>
      <c r="J3669" s="36"/>
      <c r="K3669" s="36" t="s">
        <v>14330</v>
      </c>
      <c r="L3669" s="36" t="s">
        <v>14330</v>
      </c>
      <c r="M3669">
        <v>1</v>
      </c>
      <c r="N3669" t="s">
        <v>14331</v>
      </c>
      <c r="O3669" t="s">
        <v>14333</v>
      </c>
    </row>
    <row r="3670" spans="1:15" x14ac:dyDescent="0.25">
      <c r="A3670" s="35" t="s">
        <v>8275</v>
      </c>
      <c r="B3670" s="36" t="s">
        <v>8276</v>
      </c>
      <c r="C3670" s="36" t="str">
        <f>HYPERLINK("https://rhld.insurance.arkansas.gov/NPILookup?Npi=1003676479","1003676479")</f>
        <v>1003676479</v>
      </c>
      <c r="D3670" s="36" t="s">
        <v>34654</v>
      </c>
      <c r="E3670" s="36" t="s">
        <v>2</v>
      </c>
      <c r="F3670" s="36">
        <v>1</v>
      </c>
      <c r="G3670" s="36">
        <v>1</v>
      </c>
      <c r="H3670" s="36">
        <v>0</v>
      </c>
      <c r="I3670" s="37">
        <v>0</v>
      </c>
      <c r="J3670" s="36"/>
      <c r="K3670" s="36" t="s">
        <v>14330</v>
      </c>
      <c r="L3670" s="36" t="s">
        <v>14330</v>
      </c>
      <c r="M3670">
        <v>2</v>
      </c>
      <c r="N3670" t="s">
        <v>14331</v>
      </c>
      <c r="O3670" t="s">
        <v>32633</v>
      </c>
    </row>
    <row r="3671" spans="1:15" x14ac:dyDescent="0.25">
      <c r="A3671" s="35" t="s">
        <v>8275</v>
      </c>
      <c r="B3671" s="36" t="s">
        <v>8276</v>
      </c>
      <c r="C3671" s="36" t="str">
        <f>HYPERLINK("https://rhld.insurance.arkansas.gov/NPILookup?Npi=1003680125","1003680125")</f>
        <v>1003680125</v>
      </c>
      <c r="D3671" s="36" t="s">
        <v>34852</v>
      </c>
      <c r="E3671" s="36" t="s">
        <v>2</v>
      </c>
      <c r="F3671" s="36">
        <v>1</v>
      </c>
      <c r="G3671" s="36">
        <v>2</v>
      </c>
      <c r="H3671" s="36">
        <v>0</v>
      </c>
      <c r="I3671" s="37">
        <v>0</v>
      </c>
      <c r="J3671" s="36"/>
      <c r="K3671" s="36" t="s">
        <v>14330</v>
      </c>
      <c r="L3671" s="36" t="s">
        <v>14330</v>
      </c>
      <c r="M3671">
        <v>3</v>
      </c>
      <c r="N3671" t="s">
        <v>14331</v>
      </c>
      <c r="O3671" t="s">
        <v>14333</v>
      </c>
    </row>
    <row r="3672" spans="1:15" x14ac:dyDescent="0.25">
      <c r="A3672" s="35" t="s">
        <v>8275</v>
      </c>
      <c r="B3672" s="36" t="s">
        <v>8276</v>
      </c>
      <c r="C3672" s="36" t="str">
        <f>HYPERLINK("https://rhld.insurance.arkansas.gov/NPILookup?Npi=1003688474","1003688474")</f>
        <v>1003688474</v>
      </c>
      <c r="D3672" s="36" t="s">
        <v>36200</v>
      </c>
      <c r="E3672" s="36" t="s">
        <v>2</v>
      </c>
      <c r="F3672" s="36">
        <v>1</v>
      </c>
      <c r="G3672" s="36">
        <v>3</v>
      </c>
      <c r="H3672" s="36">
        <v>0</v>
      </c>
      <c r="I3672" s="37">
        <v>0</v>
      </c>
      <c r="J3672" s="36" t="s">
        <v>36190</v>
      </c>
      <c r="K3672" s="36" t="s">
        <v>14330</v>
      </c>
      <c r="L3672" s="36" t="s">
        <v>14330</v>
      </c>
      <c r="M3672">
        <v>2</v>
      </c>
      <c r="N3672" t="s">
        <v>14331</v>
      </c>
      <c r="O3672" t="s">
        <v>14333</v>
      </c>
    </row>
    <row r="3673" spans="1:15" x14ac:dyDescent="0.25">
      <c r="A3673" s="35" t="s">
        <v>8275</v>
      </c>
      <c r="B3673" s="36" t="s">
        <v>8276</v>
      </c>
      <c r="C3673" s="36" t="str">
        <f>HYPERLINK("https://rhld.insurance.arkansas.gov/NPILookup?Npi=1003812504","1003812504")</f>
        <v>1003812504</v>
      </c>
      <c r="D3673" s="36" t="s">
        <v>36201</v>
      </c>
      <c r="E3673" s="36" t="s">
        <v>1</v>
      </c>
      <c r="F3673" s="36">
        <v>1</v>
      </c>
      <c r="G3673" s="36">
        <v>2</v>
      </c>
      <c r="H3673" s="36">
        <v>0</v>
      </c>
      <c r="I3673" s="37">
        <v>0</v>
      </c>
      <c r="J3673" s="36" t="s">
        <v>32654</v>
      </c>
      <c r="K3673" s="36" t="s">
        <v>14330</v>
      </c>
      <c r="L3673" s="36" t="s">
        <v>14330</v>
      </c>
      <c r="M3673">
        <v>3</v>
      </c>
      <c r="N3673" t="s">
        <v>14331</v>
      </c>
      <c r="O3673" t="s">
        <v>32633</v>
      </c>
    </row>
    <row r="3674" spans="1:15" x14ac:dyDescent="0.25">
      <c r="A3674" s="35" t="s">
        <v>8275</v>
      </c>
      <c r="B3674" s="36" t="s">
        <v>8276</v>
      </c>
      <c r="C3674" s="36" t="str">
        <f>HYPERLINK("https://rhld.insurance.arkansas.gov/NPILookup?Npi=1003895541","1003895541")</f>
        <v>1003895541</v>
      </c>
      <c r="D3674" s="36" t="s">
        <v>36202</v>
      </c>
      <c r="E3674" s="36" t="s">
        <v>2</v>
      </c>
      <c r="F3674" s="36">
        <v>1</v>
      </c>
      <c r="G3674" s="36">
        <v>3</v>
      </c>
      <c r="H3674" s="36">
        <v>0</v>
      </c>
      <c r="I3674" s="37">
        <v>0</v>
      </c>
      <c r="J3674" s="36" t="s">
        <v>36190</v>
      </c>
      <c r="K3674" s="36" t="s">
        <v>14330</v>
      </c>
      <c r="L3674" s="36" t="s">
        <v>14330</v>
      </c>
      <c r="M3674">
        <v>2</v>
      </c>
      <c r="N3674" t="s">
        <v>14331</v>
      </c>
      <c r="O3674" t="s">
        <v>14333</v>
      </c>
    </row>
    <row r="3675" spans="1:15" x14ac:dyDescent="0.25">
      <c r="A3675" s="35" t="s">
        <v>8275</v>
      </c>
      <c r="B3675" s="36" t="s">
        <v>8276</v>
      </c>
      <c r="C3675" s="36" t="str">
        <f>HYPERLINK("https://rhld.insurance.arkansas.gov/NPILookup?Npi=1013083781","1013083781")</f>
        <v>1013083781</v>
      </c>
      <c r="D3675" s="36" t="s">
        <v>36203</v>
      </c>
      <c r="E3675" s="36" t="s">
        <v>2</v>
      </c>
      <c r="F3675" s="36">
        <v>1</v>
      </c>
      <c r="G3675" s="36">
        <v>2</v>
      </c>
      <c r="H3675" s="36">
        <v>0</v>
      </c>
      <c r="I3675" s="37">
        <v>0</v>
      </c>
      <c r="J3675" s="36" t="s">
        <v>36190</v>
      </c>
      <c r="K3675" s="36" t="s">
        <v>14330</v>
      </c>
      <c r="L3675" s="36" t="s">
        <v>14330</v>
      </c>
      <c r="M3675">
        <v>0</v>
      </c>
      <c r="N3675" t="s">
        <v>14331</v>
      </c>
      <c r="O3675" t="s">
        <v>14333</v>
      </c>
    </row>
    <row r="3676" spans="1:15" x14ac:dyDescent="0.25">
      <c r="A3676" s="35" t="s">
        <v>8275</v>
      </c>
      <c r="B3676" s="36" t="s">
        <v>8276</v>
      </c>
      <c r="C3676" s="36" t="str">
        <f>HYPERLINK("https://rhld.insurance.arkansas.gov/NPILookup?Npi=1013141621","1013141621")</f>
        <v>1013141621</v>
      </c>
      <c r="D3676" s="36" t="s">
        <v>32927</v>
      </c>
      <c r="E3676" s="36" t="s">
        <v>1</v>
      </c>
      <c r="F3676" s="36">
        <v>1</v>
      </c>
      <c r="G3676" s="36">
        <v>1</v>
      </c>
      <c r="H3676" s="36">
        <v>1</v>
      </c>
      <c r="I3676" s="37">
        <v>0</v>
      </c>
      <c r="J3676" s="36" t="s">
        <v>32654</v>
      </c>
      <c r="K3676" s="36" t="s">
        <v>14330</v>
      </c>
      <c r="L3676" s="36" t="s">
        <v>36204</v>
      </c>
      <c r="M3676">
        <v>3</v>
      </c>
      <c r="N3676" t="s">
        <v>14332</v>
      </c>
      <c r="O3676" t="s">
        <v>32591</v>
      </c>
    </row>
    <row r="3677" spans="1:15" x14ac:dyDescent="0.25">
      <c r="A3677" s="35" t="s">
        <v>8275</v>
      </c>
      <c r="B3677" s="36" t="s">
        <v>8276</v>
      </c>
      <c r="C3677" s="36" t="str">
        <f>HYPERLINK("https://rhld.insurance.arkansas.gov/NPILookup?Npi=1013149798","1013149798")</f>
        <v>1013149798</v>
      </c>
      <c r="D3677" s="36" t="s">
        <v>36205</v>
      </c>
      <c r="E3677" s="36" t="s">
        <v>2</v>
      </c>
      <c r="F3677" s="36">
        <v>1</v>
      </c>
      <c r="G3677" s="36">
        <v>3</v>
      </c>
      <c r="H3677" s="36">
        <v>0</v>
      </c>
      <c r="I3677" s="37">
        <v>0</v>
      </c>
      <c r="J3677" s="36" t="s">
        <v>36190</v>
      </c>
      <c r="K3677" s="36" t="s">
        <v>14330</v>
      </c>
      <c r="L3677" s="36" t="s">
        <v>14330</v>
      </c>
      <c r="M3677">
        <v>3</v>
      </c>
      <c r="N3677" t="s">
        <v>14331</v>
      </c>
      <c r="O3677" t="s">
        <v>14333</v>
      </c>
    </row>
    <row r="3678" spans="1:15" x14ac:dyDescent="0.25">
      <c r="A3678" s="35" t="s">
        <v>8275</v>
      </c>
      <c r="B3678" s="36" t="s">
        <v>8276</v>
      </c>
      <c r="C3678" s="36" t="str">
        <f>HYPERLINK("https://rhld.insurance.arkansas.gov/NPILookup?Npi=1013159383","1013159383")</f>
        <v>1013159383</v>
      </c>
      <c r="D3678" s="36" t="s">
        <v>36206</v>
      </c>
      <c r="E3678" s="36" t="s">
        <v>2</v>
      </c>
      <c r="F3678" s="36">
        <v>1</v>
      </c>
      <c r="G3678" s="36">
        <v>3</v>
      </c>
      <c r="H3678" s="36">
        <v>0</v>
      </c>
      <c r="I3678" s="37">
        <v>0</v>
      </c>
      <c r="J3678" s="36" t="s">
        <v>36190</v>
      </c>
      <c r="K3678" s="36" t="s">
        <v>14330</v>
      </c>
      <c r="L3678" s="36" t="s">
        <v>14330</v>
      </c>
      <c r="M3678">
        <v>1</v>
      </c>
      <c r="N3678" t="s">
        <v>14331</v>
      </c>
      <c r="O3678" t="s">
        <v>14333</v>
      </c>
    </row>
    <row r="3679" spans="1:15" x14ac:dyDescent="0.25">
      <c r="A3679" s="35" t="s">
        <v>8275</v>
      </c>
      <c r="B3679" s="36" t="s">
        <v>8276</v>
      </c>
      <c r="C3679" s="36" t="str">
        <f>HYPERLINK("https://rhld.insurance.arkansas.gov/NPILookup?Npi=1013206747","1013206747")</f>
        <v>1013206747</v>
      </c>
      <c r="D3679" s="36" t="s">
        <v>34856</v>
      </c>
      <c r="E3679" s="36" t="s">
        <v>2</v>
      </c>
      <c r="F3679" s="36">
        <v>1</v>
      </c>
      <c r="G3679" s="36">
        <v>1</v>
      </c>
      <c r="H3679" s="36">
        <v>0</v>
      </c>
      <c r="I3679" s="37">
        <v>0</v>
      </c>
      <c r="J3679" s="36"/>
      <c r="K3679" s="36" t="s">
        <v>14330</v>
      </c>
      <c r="L3679" s="36" t="s">
        <v>14330</v>
      </c>
      <c r="M3679">
        <v>3</v>
      </c>
      <c r="N3679" t="s">
        <v>14331</v>
      </c>
      <c r="O3679" t="s">
        <v>32633</v>
      </c>
    </row>
    <row r="3680" spans="1:15" x14ac:dyDescent="0.25">
      <c r="A3680" s="35" t="s">
        <v>8275</v>
      </c>
      <c r="B3680" s="36" t="s">
        <v>8276</v>
      </c>
      <c r="C3680" s="36" t="str">
        <f>HYPERLINK("https://rhld.insurance.arkansas.gov/NPILookup?Npi=1013279918","1013279918")</f>
        <v>1013279918</v>
      </c>
      <c r="D3680" s="36" t="s">
        <v>36207</v>
      </c>
      <c r="E3680" s="36" t="s">
        <v>2</v>
      </c>
      <c r="F3680" s="36">
        <v>1</v>
      </c>
      <c r="G3680" s="36">
        <v>3</v>
      </c>
      <c r="H3680" s="36">
        <v>0</v>
      </c>
      <c r="I3680" s="37">
        <v>0</v>
      </c>
      <c r="J3680" s="36" t="s">
        <v>36190</v>
      </c>
      <c r="K3680" s="36" t="s">
        <v>14330</v>
      </c>
      <c r="L3680" s="36" t="s">
        <v>14330</v>
      </c>
      <c r="M3680">
        <v>2</v>
      </c>
      <c r="N3680" t="s">
        <v>14331</v>
      </c>
      <c r="O3680" t="s">
        <v>14333</v>
      </c>
    </row>
    <row r="3681" spans="1:15" x14ac:dyDescent="0.25">
      <c r="A3681" s="35" t="s">
        <v>8275</v>
      </c>
      <c r="B3681" s="36" t="s">
        <v>8276</v>
      </c>
      <c r="C3681" s="36" t="str">
        <f>HYPERLINK("https://rhld.insurance.arkansas.gov/NPILookup?Npi=1013336296","1013336296")</f>
        <v>1013336296</v>
      </c>
      <c r="D3681" s="36" t="s">
        <v>36208</v>
      </c>
      <c r="E3681" s="36" t="s">
        <v>2</v>
      </c>
      <c r="F3681" s="36">
        <v>1</v>
      </c>
      <c r="G3681" s="36">
        <v>2</v>
      </c>
      <c r="H3681" s="36">
        <v>0</v>
      </c>
      <c r="I3681" s="37">
        <v>0</v>
      </c>
      <c r="J3681" s="36" t="s">
        <v>36190</v>
      </c>
      <c r="K3681" s="36" t="s">
        <v>14330</v>
      </c>
      <c r="L3681" s="36" t="s">
        <v>14330</v>
      </c>
      <c r="M3681">
        <v>2</v>
      </c>
      <c r="N3681" t="s">
        <v>14331</v>
      </c>
      <c r="O3681" t="s">
        <v>14333</v>
      </c>
    </row>
    <row r="3682" spans="1:15" x14ac:dyDescent="0.25">
      <c r="A3682" s="35" t="s">
        <v>8275</v>
      </c>
      <c r="B3682" s="36" t="s">
        <v>8276</v>
      </c>
      <c r="C3682" s="36" t="str">
        <f>HYPERLINK("https://rhld.insurance.arkansas.gov/NPILookup?Npi=1013435718","1013435718")</f>
        <v>1013435718</v>
      </c>
      <c r="D3682" s="36" t="s">
        <v>34865</v>
      </c>
      <c r="E3682" s="36" t="s">
        <v>2</v>
      </c>
      <c r="F3682" s="36">
        <v>1</v>
      </c>
      <c r="G3682" s="36">
        <v>2</v>
      </c>
      <c r="H3682" s="36">
        <v>0</v>
      </c>
      <c r="I3682" s="37">
        <v>0</v>
      </c>
      <c r="J3682" s="36"/>
      <c r="K3682" s="36" t="s">
        <v>14330</v>
      </c>
      <c r="L3682" s="36" t="s">
        <v>14330</v>
      </c>
      <c r="M3682">
        <v>2</v>
      </c>
      <c r="N3682" t="s">
        <v>14331</v>
      </c>
      <c r="O3682" t="s">
        <v>14333</v>
      </c>
    </row>
    <row r="3683" spans="1:15" x14ac:dyDescent="0.25">
      <c r="A3683" s="35" t="s">
        <v>8275</v>
      </c>
      <c r="B3683" s="36" t="s">
        <v>8276</v>
      </c>
      <c r="C3683" s="36" t="str">
        <f>HYPERLINK("https://rhld.insurance.arkansas.gov/NPILookup?Npi=1013493865","1013493865")</f>
        <v>1013493865</v>
      </c>
      <c r="D3683" s="36" t="s">
        <v>36209</v>
      </c>
      <c r="E3683" s="36" t="s">
        <v>2</v>
      </c>
      <c r="F3683" s="36">
        <v>1</v>
      </c>
      <c r="G3683" s="36">
        <v>2</v>
      </c>
      <c r="H3683" s="36">
        <v>0</v>
      </c>
      <c r="I3683" s="37">
        <v>0</v>
      </c>
      <c r="J3683" s="36" t="s">
        <v>36190</v>
      </c>
      <c r="K3683" s="36" t="s">
        <v>14330</v>
      </c>
      <c r="L3683" s="36" t="s">
        <v>14330</v>
      </c>
      <c r="M3683">
        <v>2</v>
      </c>
      <c r="N3683" t="s">
        <v>14331</v>
      </c>
      <c r="O3683" t="s">
        <v>14333</v>
      </c>
    </row>
    <row r="3684" spans="1:15" x14ac:dyDescent="0.25">
      <c r="A3684" s="35" t="s">
        <v>8275</v>
      </c>
      <c r="B3684" s="36" t="s">
        <v>8276</v>
      </c>
      <c r="C3684" s="36" t="str">
        <f>HYPERLINK("https://rhld.insurance.arkansas.gov/NPILookup?Npi=1013563493","1013563493")</f>
        <v>1013563493</v>
      </c>
      <c r="D3684" s="36" t="s">
        <v>36210</v>
      </c>
      <c r="E3684" s="36" t="s">
        <v>2</v>
      </c>
      <c r="F3684" s="36">
        <v>1</v>
      </c>
      <c r="G3684" s="36">
        <v>2</v>
      </c>
      <c r="H3684" s="36">
        <v>0</v>
      </c>
      <c r="I3684" s="37">
        <v>0</v>
      </c>
      <c r="J3684" s="36" t="s">
        <v>36190</v>
      </c>
      <c r="K3684" s="36" t="s">
        <v>14330</v>
      </c>
      <c r="L3684" s="36" t="s">
        <v>14330</v>
      </c>
      <c r="M3684">
        <v>2</v>
      </c>
      <c r="N3684" t="s">
        <v>14331</v>
      </c>
      <c r="O3684" t="s">
        <v>14333</v>
      </c>
    </row>
    <row r="3685" spans="1:15" x14ac:dyDescent="0.25">
      <c r="A3685" s="35" t="s">
        <v>8275</v>
      </c>
      <c r="B3685" s="36" t="s">
        <v>8276</v>
      </c>
      <c r="C3685" s="36" t="str">
        <f>HYPERLINK("https://rhld.insurance.arkansas.gov/NPILookup?Npi=1013568013","1013568013")</f>
        <v>1013568013</v>
      </c>
      <c r="D3685" s="36" t="s">
        <v>34867</v>
      </c>
      <c r="E3685" s="36" t="s">
        <v>2</v>
      </c>
      <c r="F3685" s="36">
        <v>1</v>
      </c>
      <c r="G3685" s="36">
        <v>2</v>
      </c>
      <c r="H3685" s="36">
        <v>0</v>
      </c>
      <c r="I3685" s="37">
        <v>0</v>
      </c>
      <c r="J3685" s="36"/>
      <c r="K3685" s="36" t="s">
        <v>14330</v>
      </c>
      <c r="L3685" s="36" t="s">
        <v>14330</v>
      </c>
      <c r="M3685">
        <v>1</v>
      </c>
      <c r="N3685" t="s">
        <v>14331</v>
      </c>
      <c r="O3685" t="s">
        <v>14333</v>
      </c>
    </row>
    <row r="3686" spans="1:15" x14ac:dyDescent="0.25">
      <c r="A3686" s="35" t="s">
        <v>8275</v>
      </c>
      <c r="B3686" s="36" t="s">
        <v>8276</v>
      </c>
      <c r="C3686" s="36" t="str">
        <f>HYPERLINK("https://rhld.insurance.arkansas.gov/NPILookup?Npi=1013684760","1013684760")</f>
        <v>1013684760</v>
      </c>
      <c r="D3686" s="36" t="s">
        <v>34870</v>
      </c>
      <c r="E3686" s="36" t="s">
        <v>2</v>
      </c>
      <c r="F3686" s="36">
        <v>1</v>
      </c>
      <c r="G3686" s="36">
        <v>1</v>
      </c>
      <c r="H3686" s="36">
        <v>0</v>
      </c>
      <c r="I3686" s="37">
        <v>0</v>
      </c>
      <c r="J3686" s="36"/>
      <c r="K3686" s="36" t="s">
        <v>14330</v>
      </c>
      <c r="L3686" s="36" t="s">
        <v>14330</v>
      </c>
      <c r="M3686">
        <v>1</v>
      </c>
      <c r="N3686" t="s">
        <v>14331</v>
      </c>
      <c r="O3686" t="s">
        <v>32633</v>
      </c>
    </row>
    <row r="3687" spans="1:15" x14ac:dyDescent="0.25">
      <c r="A3687" s="35" t="s">
        <v>8275</v>
      </c>
      <c r="B3687" s="36" t="s">
        <v>8276</v>
      </c>
      <c r="C3687" s="36" t="str">
        <f>HYPERLINK("https://rhld.insurance.arkansas.gov/NPILookup?Npi=1013904895","1013904895")</f>
        <v>1013904895</v>
      </c>
      <c r="D3687" s="36" t="s">
        <v>34871</v>
      </c>
      <c r="E3687" s="36" t="s">
        <v>1</v>
      </c>
      <c r="F3687" s="36">
        <v>1</v>
      </c>
      <c r="G3687" s="36">
        <v>2</v>
      </c>
      <c r="H3687" s="36">
        <v>1</v>
      </c>
      <c r="I3687" s="37">
        <v>0</v>
      </c>
      <c r="J3687" s="36" t="s">
        <v>32654</v>
      </c>
      <c r="K3687" s="36" t="s">
        <v>14330</v>
      </c>
      <c r="L3687" s="36" t="s">
        <v>36211</v>
      </c>
      <c r="M3687">
        <v>3</v>
      </c>
      <c r="N3687" t="s">
        <v>14332</v>
      </c>
      <c r="O3687" t="s">
        <v>32591</v>
      </c>
    </row>
    <row r="3688" spans="1:15" x14ac:dyDescent="0.25">
      <c r="A3688" s="35" t="s">
        <v>8275</v>
      </c>
      <c r="B3688" s="36" t="s">
        <v>8276</v>
      </c>
      <c r="C3688" s="36" t="str">
        <f>HYPERLINK("https://rhld.insurance.arkansas.gov/NPILookup?Npi=1013953157","1013953157")</f>
        <v>1013953157</v>
      </c>
      <c r="D3688" s="36" t="s">
        <v>36212</v>
      </c>
      <c r="E3688" s="36" t="s">
        <v>2</v>
      </c>
      <c r="F3688" s="36">
        <v>1</v>
      </c>
      <c r="G3688" s="36">
        <v>3</v>
      </c>
      <c r="H3688" s="36">
        <v>0</v>
      </c>
      <c r="I3688" s="37">
        <v>0</v>
      </c>
      <c r="J3688" s="36" t="s">
        <v>36190</v>
      </c>
      <c r="K3688" s="36" t="s">
        <v>14330</v>
      </c>
      <c r="L3688" s="36" t="s">
        <v>14330</v>
      </c>
      <c r="M3688">
        <v>3</v>
      </c>
      <c r="N3688" t="s">
        <v>14331</v>
      </c>
      <c r="O3688" t="s">
        <v>14333</v>
      </c>
    </row>
    <row r="3689" spans="1:15" x14ac:dyDescent="0.25">
      <c r="A3689" s="35" t="s">
        <v>8275</v>
      </c>
      <c r="B3689" s="36" t="s">
        <v>8276</v>
      </c>
      <c r="C3689" s="36" t="str">
        <f>HYPERLINK("https://rhld.insurance.arkansas.gov/NPILookup?Npi=1023018439","1023018439")</f>
        <v>1023018439</v>
      </c>
      <c r="D3689" s="36" t="s">
        <v>36213</v>
      </c>
      <c r="E3689" s="36" t="s">
        <v>2</v>
      </c>
      <c r="F3689" s="36">
        <v>1</v>
      </c>
      <c r="G3689" s="36">
        <v>3</v>
      </c>
      <c r="H3689" s="36">
        <v>0</v>
      </c>
      <c r="I3689" s="37">
        <v>0</v>
      </c>
      <c r="J3689" s="36" t="s">
        <v>36190</v>
      </c>
      <c r="K3689" s="36" t="s">
        <v>14330</v>
      </c>
      <c r="L3689" s="36" t="s">
        <v>14330</v>
      </c>
      <c r="M3689">
        <v>3</v>
      </c>
      <c r="N3689" t="s">
        <v>14331</v>
      </c>
      <c r="O3689" t="s">
        <v>14333</v>
      </c>
    </row>
    <row r="3690" spans="1:15" x14ac:dyDescent="0.25">
      <c r="A3690" s="35" t="s">
        <v>8275</v>
      </c>
      <c r="B3690" s="36" t="s">
        <v>8276</v>
      </c>
      <c r="C3690" s="36" t="str">
        <f>HYPERLINK("https://rhld.insurance.arkansas.gov/NPILookup?Npi=1023079985","1023079985")</f>
        <v>1023079985</v>
      </c>
      <c r="D3690" s="36" t="s">
        <v>36214</v>
      </c>
      <c r="E3690" s="36" t="s">
        <v>2</v>
      </c>
      <c r="F3690" s="36">
        <v>1</v>
      </c>
      <c r="G3690" s="36">
        <v>3</v>
      </c>
      <c r="H3690" s="36">
        <v>0</v>
      </c>
      <c r="I3690" s="37">
        <v>0</v>
      </c>
      <c r="J3690" s="36" t="s">
        <v>36190</v>
      </c>
      <c r="K3690" s="36" t="s">
        <v>14330</v>
      </c>
      <c r="L3690" s="36" t="s">
        <v>14330</v>
      </c>
      <c r="M3690">
        <v>3</v>
      </c>
      <c r="N3690" t="s">
        <v>14331</v>
      </c>
      <c r="O3690" t="s">
        <v>14333</v>
      </c>
    </row>
    <row r="3691" spans="1:15" x14ac:dyDescent="0.25">
      <c r="A3691" s="35" t="s">
        <v>8275</v>
      </c>
      <c r="B3691" s="36" t="s">
        <v>8276</v>
      </c>
      <c r="C3691" s="36" t="str">
        <f>HYPERLINK("https://rhld.insurance.arkansas.gov/NPILookup?Npi=1023082575","1023082575")</f>
        <v>1023082575</v>
      </c>
      <c r="D3691" s="36" t="s">
        <v>31253</v>
      </c>
      <c r="E3691" s="36" t="s">
        <v>2</v>
      </c>
      <c r="F3691" s="36">
        <v>1</v>
      </c>
      <c r="G3691" s="36">
        <v>3</v>
      </c>
      <c r="H3691" s="36">
        <v>0</v>
      </c>
      <c r="I3691" s="37">
        <v>0</v>
      </c>
      <c r="J3691" s="36" t="s">
        <v>36190</v>
      </c>
      <c r="K3691" s="36" t="s">
        <v>14330</v>
      </c>
      <c r="L3691" s="36" t="s">
        <v>14330</v>
      </c>
      <c r="M3691">
        <v>1</v>
      </c>
      <c r="N3691" t="s">
        <v>14331</v>
      </c>
      <c r="O3691" t="s">
        <v>14333</v>
      </c>
    </row>
    <row r="3692" spans="1:15" x14ac:dyDescent="0.25">
      <c r="A3692" s="35" t="s">
        <v>8275</v>
      </c>
      <c r="B3692" s="36" t="s">
        <v>8276</v>
      </c>
      <c r="C3692" s="36" t="str">
        <f>HYPERLINK("https://rhld.insurance.arkansas.gov/NPILookup?Npi=1023113784","1023113784")</f>
        <v>1023113784</v>
      </c>
      <c r="D3692" s="36" t="s">
        <v>34874</v>
      </c>
      <c r="E3692" s="36" t="s">
        <v>2</v>
      </c>
      <c r="F3692" s="36">
        <v>1</v>
      </c>
      <c r="G3692" s="36">
        <v>1</v>
      </c>
      <c r="H3692" s="36">
        <v>0</v>
      </c>
      <c r="I3692" s="37">
        <v>0</v>
      </c>
      <c r="J3692" s="36"/>
      <c r="K3692" s="36" t="s">
        <v>14330</v>
      </c>
      <c r="L3692" s="36" t="s">
        <v>14330</v>
      </c>
      <c r="M3692">
        <v>2</v>
      </c>
      <c r="N3692" t="s">
        <v>14331</v>
      </c>
      <c r="O3692" t="s">
        <v>32633</v>
      </c>
    </row>
    <row r="3693" spans="1:15" x14ac:dyDescent="0.25">
      <c r="A3693" s="35" t="s">
        <v>8275</v>
      </c>
      <c r="B3693" s="36" t="s">
        <v>8276</v>
      </c>
      <c r="C3693" s="36" t="str">
        <f>HYPERLINK("https://rhld.insurance.arkansas.gov/NPILookup?Npi=1023181864","1023181864")</f>
        <v>1023181864</v>
      </c>
      <c r="D3693" s="36" t="s">
        <v>36215</v>
      </c>
      <c r="E3693" s="36" t="s">
        <v>2</v>
      </c>
      <c r="F3693" s="36">
        <v>1</v>
      </c>
      <c r="G3693" s="36">
        <v>2</v>
      </c>
      <c r="H3693" s="36">
        <v>0</v>
      </c>
      <c r="I3693" s="37">
        <v>0</v>
      </c>
      <c r="J3693" s="36" t="s">
        <v>36190</v>
      </c>
      <c r="K3693" s="36" t="s">
        <v>14330</v>
      </c>
      <c r="L3693" s="36" t="s">
        <v>14330</v>
      </c>
      <c r="M3693">
        <v>2</v>
      </c>
      <c r="N3693" t="s">
        <v>14331</v>
      </c>
      <c r="O3693" t="s">
        <v>14333</v>
      </c>
    </row>
    <row r="3694" spans="1:15" x14ac:dyDescent="0.25">
      <c r="A3694" s="35" t="s">
        <v>8275</v>
      </c>
      <c r="B3694" s="36" t="s">
        <v>8276</v>
      </c>
      <c r="C3694" s="36" t="str">
        <f>HYPERLINK("https://rhld.insurance.arkansas.gov/NPILookup?Npi=1023404100","1023404100")</f>
        <v>1023404100</v>
      </c>
      <c r="D3694" s="36" t="s">
        <v>36216</v>
      </c>
      <c r="E3694" s="36" t="s">
        <v>2</v>
      </c>
      <c r="F3694" s="36">
        <v>1</v>
      </c>
      <c r="G3694" s="36">
        <v>2</v>
      </c>
      <c r="H3694" s="36">
        <v>0</v>
      </c>
      <c r="I3694" s="37">
        <v>0</v>
      </c>
      <c r="J3694" s="36" t="s">
        <v>36190</v>
      </c>
      <c r="K3694" s="36" t="s">
        <v>14330</v>
      </c>
      <c r="L3694" s="36" t="s">
        <v>14330</v>
      </c>
      <c r="M3694">
        <v>2</v>
      </c>
      <c r="N3694" t="s">
        <v>14331</v>
      </c>
      <c r="O3694" t="s">
        <v>14333</v>
      </c>
    </row>
    <row r="3695" spans="1:15" x14ac:dyDescent="0.25">
      <c r="A3695" s="35" t="s">
        <v>8275</v>
      </c>
      <c r="B3695" s="36" t="s">
        <v>8276</v>
      </c>
      <c r="C3695" s="36" t="str">
        <f>HYPERLINK("https://rhld.insurance.arkansas.gov/NPILookup?Npi=1023425469","1023425469")</f>
        <v>1023425469</v>
      </c>
      <c r="D3695" s="36" t="s">
        <v>36217</v>
      </c>
      <c r="E3695" s="36" t="s">
        <v>2</v>
      </c>
      <c r="F3695" s="36">
        <v>1</v>
      </c>
      <c r="G3695" s="36">
        <v>2</v>
      </c>
      <c r="H3695" s="36">
        <v>0</v>
      </c>
      <c r="I3695" s="37">
        <v>0</v>
      </c>
      <c r="J3695" s="36" t="s">
        <v>36190</v>
      </c>
      <c r="K3695" s="36" t="s">
        <v>14330</v>
      </c>
      <c r="L3695" s="36" t="s">
        <v>14330</v>
      </c>
      <c r="M3695">
        <v>2</v>
      </c>
      <c r="N3695" t="s">
        <v>14331</v>
      </c>
      <c r="O3695" t="s">
        <v>14333</v>
      </c>
    </row>
    <row r="3696" spans="1:15" x14ac:dyDescent="0.25">
      <c r="A3696" s="35" t="s">
        <v>8275</v>
      </c>
      <c r="B3696" s="36" t="s">
        <v>8276</v>
      </c>
      <c r="C3696" s="36" t="str">
        <f>HYPERLINK("https://rhld.insurance.arkansas.gov/NPILookup?Npi=1023427952","1023427952")</f>
        <v>1023427952</v>
      </c>
      <c r="D3696" s="36" t="s">
        <v>36218</v>
      </c>
      <c r="E3696" s="36" t="s">
        <v>2</v>
      </c>
      <c r="F3696" s="36">
        <v>1</v>
      </c>
      <c r="G3696" s="36">
        <v>2</v>
      </c>
      <c r="H3696" s="36">
        <v>0</v>
      </c>
      <c r="I3696" s="37">
        <v>0</v>
      </c>
      <c r="J3696" s="36" t="s">
        <v>36190</v>
      </c>
      <c r="K3696" s="36" t="s">
        <v>14330</v>
      </c>
      <c r="L3696" s="36" t="s">
        <v>14330</v>
      </c>
      <c r="M3696">
        <v>2</v>
      </c>
      <c r="N3696" t="s">
        <v>14331</v>
      </c>
      <c r="O3696" t="s">
        <v>14333</v>
      </c>
    </row>
    <row r="3697" spans="1:15" x14ac:dyDescent="0.25">
      <c r="A3697" s="35" t="s">
        <v>8275</v>
      </c>
      <c r="B3697" s="36" t="s">
        <v>8276</v>
      </c>
      <c r="C3697" s="36" t="str">
        <f>HYPERLINK("https://rhld.insurance.arkansas.gov/NPILookup?Npi=1023493160","1023493160")</f>
        <v>1023493160</v>
      </c>
      <c r="D3697" s="36" t="s">
        <v>36219</v>
      </c>
      <c r="E3697" s="36" t="s">
        <v>2</v>
      </c>
      <c r="F3697" s="36">
        <v>1</v>
      </c>
      <c r="G3697" s="36">
        <v>2</v>
      </c>
      <c r="H3697" s="36">
        <v>0</v>
      </c>
      <c r="I3697" s="37">
        <v>0</v>
      </c>
      <c r="J3697" s="36" t="s">
        <v>36190</v>
      </c>
      <c r="K3697" s="36" t="s">
        <v>14330</v>
      </c>
      <c r="L3697" s="36" t="s">
        <v>14330</v>
      </c>
      <c r="M3697">
        <v>2</v>
      </c>
      <c r="N3697" t="s">
        <v>14331</v>
      </c>
      <c r="O3697" t="s">
        <v>14333</v>
      </c>
    </row>
    <row r="3698" spans="1:15" x14ac:dyDescent="0.25">
      <c r="A3698" s="35" t="s">
        <v>8275</v>
      </c>
      <c r="B3698" s="36" t="s">
        <v>8276</v>
      </c>
      <c r="C3698" s="36" t="str">
        <f>HYPERLINK("https://rhld.insurance.arkansas.gov/NPILookup?Npi=1023732716","1023732716")</f>
        <v>1023732716</v>
      </c>
      <c r="D3698" s="36" t="s">
        <v>36220</v>
      </c>
      <c r="E3698" s="36" t="s">
        <v>2</v>
      </c>
      <c r="F3698" s="36">
        <v>1</v>
      </c>
      <c r="G3698" s="36">
        <v>2</v>
      </c>
      <c r="H3698" s="36">
        <v>0</v>
      </c>
      <c r="I3698" s="37">
        <v>0</v>
      </c>
      <c r="J3698" s="36" t="s">
        <v>36190</v>
      </c>
      <c r="K3698" s="36" t="s">
        <v>14330</v>
      </c>
      <c r="L3698" s="36" t="s">
        <v>14330</v>
      </c>
      <c r="M3698">
        <v>1</v>
      </c>
      <c r="N3698" t="s">
        <v>14331</v>
      </c>
      <c r="O3698" t="s">
        <v>14333</v>
      </c>
    </row>
    <row r="3699" spans="1:15" x14ac:dyDescent="0.25">
      <c r="A3699" s="35" t="s">
        <v>8275</v>
      </c>
      <c r="B3699" s="36" t="s">
        <v>8276</v>
      </c>
      <c r="C3699" s="36" t="str">
        <f>HYPERLINK("https://rhld.insurance.arkansas.gov/NPILookup?Npi=1023764289","1023764289")</f>
        <v>1023764289</v>
      </c>
      <c r="D3699" s="36" t="s">
        <v>34882</v>
      </c>
      <c r="E3699" s="36" t="s">
        <v>2</v>
      </c>
      <c r="F3699" s="36">
        <v>1</v>
      </c>
      <c r="G3699" s="36">
        <v>1</v>
      </c>
      <c r="H3699" s="36">
        <v>0</v>
      </c>
      <c r="I3699" s="37">
        <v>0</v>
      </c>
      <c r="J3699" s="36"/>
      <c r="K3699" s="36" t="s">
        <v>14330</v>
      </c>
      <c r="L3699" s="36" t="s">
        <v>14330</v>
      </c>
      <c r="M3699">
        <v>2</v>
      </c>
      <c r="N3699" t="s">
        <v>14331</v>
      </c>
      <c r="O3699" t="s">
        <v>32633</v>
      </c>
    </row>
    <row r="3700" spans="1:15" x14ac:dyDescent="0.25">
      <c r="A3700" s="35" t="s">
        <v>8275</v>
      </c>
      <c r="B3700" s="36" t="s">
        <v>8276</v>
      </c>
      <c r="C3700" s="36" t="str">
        <f>HYPERLINK("https://rhld.insurance.arkansas.gov/NPILookup?Npi=1033105747","1033105747")</f>
        <v>1033105747</v>
      </c>
      <c r="D3700" s="36" t="s">
        <v>36221</v>
      </c>
      <c r="E3700" s="36" t="s">
        <v>2</v>
      </c>
      <c r="F3700" s="36">
        <v>1</v>
      </c>
      <c r="G3700" s="36">
        <v>2</v>
      </c>
      <c r="H3700" s="36">
        <v>0</v>
      </c>
      <c r="I3700" s="37">
        <v>0</v>
      </c>
      <c r="J3700" s="36" t="s">
        <v>36190</v>
      </c>
      <c r="K3700" s="36" t="s">
        <v>14330</v>
      </c>
      <c r="L3700" s="36" t="s">
        <v>14330</v>
      </c>
      <c r="M3700">
        <v>3</v>
      </c>
      <c r="N3700" t="s">
        <v>14331</v>
      </c>
      <c r="O3700" t="s">
        <v>14333</v>
      </c>
    </row>
    <row r="3701" spans="1:15" x14ac:dyDescent="0.25">
      <c r="A3701" s="35" t="s">
        <v>8275</v>
      </c>
      <c r="B3701" s="36" t="s">
        <v>8276</v>
      </c>
      <c r="C3701" s="36" t="str">
        <f>HYPERLINK("https://rhld.insurance.arkansas.gov/NPILookup?Npi=1033115639","1033115639")</f>
        <v>1033115639</v>
      </c>
      <c r="D3701" s="36" t="s">
        <v>36222</v>
      </c>
      <c r="E3701" s="36" t="s">
        <v>2</v>
      </c>
      <c r="F3701" s="36">
        <v>1</v>
      </c>
      <c r="G3701" s="36">
        <v>3</v>
      </c>
      <c r="H3701" s="36">
        <v>0</v>
      </c>
      <c r="I3701" s="37">
        <v>0</v>
      </c>
      <c r="J3701" s="36" t="s">
        <v>36190</v>
      </c>
      <c r="K3701" s="36" t="s">
        <v>14330</v>
      </c>
      <c r="L3701" s="36" t="s">
        <v>14330</v>
      </c>
      <c r="M3701">
        <v>3</v>
      </c>
      <c r="N3701" t="s">
        <v>14331</v>
      </c>
      <c r="O3701" t="s">
        <v>14333</v>
      </c>
    </row>
    <row r="3702" spans="1:15" x14ac:dyDescent="0.25">
      <c r="A3702" s="35" t="s">
        <v>8275</v>
      </c>
      <c r="B3702" s="36" t="s">
        <v>8276</v>
      </c>
      <c r="C3702" s="36" t="str">
        <f>HYPERLINK("https://rhld.insurance.arkansas.gov/NPILookup?Npi=1033180963","1033180963")</f>
        <v>1033180963</v>
      </c>
      <c r="D3702" s="36" t="s">
        <v>36223</v>
      </c>
      <c r="E3702" s="36" t="s">
        <v>2</v>
      </c>
      <c r="F3702" s="36">
        <v>1</v>
      </c>
      <c r="G3702" s="36">
        <v>3</v>
      </c>
      <c r="H3702" s="36">
        <v>0</v>
      </c>
      <c r="I3702" s="37">
        <v>0</v>
      </c>
      <c r="J3702" s="36" t="s">
        <v>36190</v>
      </c>
      <c r="K3702" s="36" t="s">
        <v>14330</v>
      </c>
      <c r="L3702" s="36" t="s">
        <v>14330</v>
      </c>
      <c r="M3702">
        <v>3</v>
      </c>
      <c r="N3702" t="s">
        <v>14331</v>
      </c>
      <c r="O3702" t="s">
        <v>14333</v>
      </c>
    </row>
    <row r="3703" spans="1:15" x14ac:dyDescent="0.25">
      <c r="A3703" s="35" t="s">
        <v>8275</v>
      </c>
      <c r="B3703" s="36" t="s">
        <v>8276</v>
      </c>
      <c r="C3703" s="36" t="str">
        <f>HYPERLINK("https://rhld.insurance.arkansas.gov/NPILookup?Npi=1033195953","1033195953")</f>
        <v>1033195953</v>
      </c>
      <c r="D3703" s="36" t="s">
        <v>36224</v>
      </c>
      <c r="E3703" s="36" t="s">
        <v>2</v>
      </c>
      <c r="F3703" s="36">
        <v>1</v>
      </c>
      <c r="G3703" s="36">
        <v>3</v>
      </c>
      <c r="H3703" s="36">
        <v>0</v>
      </c>
      <c r="I3703" s="37">
        <v>0</v>
      </c>
      <c r="J3703" s="36" t="s">
        <v>36190</v>
      </c>
      <c r="K3703" s="36" t="s">
        <v>14330</v>
      </c>
      <c r="L3703" s="36" t="s">
        <v>14330</v>
      </c>
      <c r="M3703">
        <v>2</v>
      </c>
      <c r="N3703" t="s">
        <v>14331</v>
      </c>
      <c r="O3703" t="s">
        <v>14333</v>
      </c>
    </row>
    <row r="3704" spans="1:15" x14ac:dyDescent="0.25">
      <c r="A3704" s="35" t="s">
        <v>8275</v>
      </c>
      <c r="B3704" s="36" t="s">
        <v>8276</v>
      </c>
      <c r="C3704" s="36" t="str">
        <f>HYPERLINK("https://rhld.insurance.arkansas.gov/NPILookup?Npi=1033267679","1033267679")</f>
        <v>1033267679</v>
      </c>
      <c r="D3704" s="36" t="s">
        <v>36225</v>
      </c>
      <c r="E3704" s="36" t="s">
        <v>1</v>
      </c>
      <c r="F3704" s="36">
        <v>1</v>
      </c>
      <c r="G3704" s="36">
        <v>2</v>
      </c>
      <c r="H3704" s="36">
        <v>0</v>
      </c>
      <c r="I3704" s="37">
        <v>0</v>
      </c>
      <c r="J3704" s="36" t="s">
        <v>32654</v>
      </c>
      <c r="K3704" s="36" t="s">
        <v>14330</v>
      </c>
      <c r="L3704" s="36" t="s">
        <v>14330</v>
      </c>
      <c r="M3704">
        <v>3</v>
      </c>
      <c r="N3704" t="s">
        <v>14331</v>
      </c>
      <c r="O3704" t="s">
        <v>32633</v>
      </c>
    </row>
    <row r="3705" spans="1:15" x14ac:dyDescent="0.25">
      <c r="A3705" s="35" t="s">
        <v>8275</v>
      </c>
      <c r="B3705" s="36" t="s">
        <v>8276</v>
      </c>
      <c r="C3705" s="36" t="str">
        <f>HYPERLINK("https://rhld.insurance.arkansas.gov/NPILookup?Npi=1033301320","1033301320")</f>
        <v>1033301320</v>
      </c>
      <c r="D3705" s="36" t="s">
        <v>36226</v>
      </c>
      <c r="E3705" s="36" t="s">
        <v>2</v>
      </c>
      <c r="F3705" s="36">
        <v>1</v>
      </c>
      <c r="G3705" s="36">
        <v>3</v>
      </c>
      <c r="H3705" s="36">
        <v>0</v>
      </c>
      <c r="I3705" s="37">
        <v>0</v>
      </c>
      <c r="J3705" s="36" t="s">
        <v>36190</v>
      </c>
      <c r="K3705" s="36" t="s">
        <v>14330</v>
      </c>
      <c r="L3705" s="36" t="s">
        <v>14330</v>
      </c>
      <c r="M3705">
        <v>3</v>
      </c>
      <c r="N3705" t="s">
        <v>14331</v>
      </c>
      <c r="O3705" t="s">
        <v>14333</v>
      </c>
    </row>
    <row r="3706" spans="1:15" x14ac:dyDescent="0.25">
      <c r="A3706" s="35" t="s">
        <v>8275</v>
      </c>
      <c r="B3706" s="36" t="s">
        <v>8276</v>
      </c>
      <c r="C3706" s="36" t="str">
        <f>HYPERLINK("https://rhld.insurance.arkansas.gov/NPILookup?Npi=1033368246","1033368246")</f>
        <v>1033368246</v>
      </c>
      <c r="D3706" s="36" t="s">
        <v>36227</v>
      </c>
      <c r="E3706" s="36" t="s">
        <v>2</v>
      </c>
      <c r="F3706" s="36">
        <v>1</v>
      </c>
      <c r="G3706" s="36">
        <v>3</v>
      </c>
      <c r="H3706" s="36">
        <v>0</v>
      </c>
      <c r="I3706" s="37">
        <v>0</v>
      </c>
      <c r="J3706" s="36" t="s">
        <v>36190</v>
      </c>
      <c r="K3706" s="36" t="s">
        <v>14330</v>
      </c>
      <c r="L3706" s="36" t="s">
        <v>14330</v>
      </c>
      <c r="M3706">
        <v>3</v>
      </c>
      <c r="N3706" t="s">
        <v>14331</v>
      </c>
      <c r="O3706" t="s">
        <v>14333</v>
      </c>
    </row>
    <row r="3707" spans="1:15" x14ac:dyDescent="0.25">
      <c r="A3707" s="35" t="s">
        <v>8275</v>
      </c>
      <c r="B3707" s="36" t="s">
        <v>8276</v>
      </c>
      <c r="C3707" s="36" t="str">
        <f>HYPERLINK("https://rhld.insurance.arkansas.gov/NPILookup?Npi=1033638499","1033638499")</f>
        <v>1033638499</v>
      </c>
      <c r="D3707" s="36" t="s">
        <v>36228</v>
      </c>
      <c r="E3707" s="36" t="s">
        <v>2</v>
      </c>
      <c r="F3707" s="36">
        <v>1</v>
      </c>
      <c r="G3707" s="36">
        <v>3</v>
      </c>
      <c r="H3707" s="36">
        <v>0</v>
      </c>
      <c r="I3707" s="37">
        <v>0</v>
      </c>
      <c r="J3707" s="36" t="s">
        <v>36190</v>
      </c>
      <c r="K3707" s="36" t="s">
        <v>14330</v>
      </c>
      <c r="L3707" s="36" t="s">
        <v>14330</v>
      </c>
      <c r="M3707">
        <v>2</v>
      </c>
      <c r="N3707" t="s">
        <v>14331</v>
      </c>
      <c r="O3707" t="s">
        <v>14333</v>
      </c>
    </row>
    <row r="3708" spans="1:15" x14ac:dyDescent="0.25">
      <c r="A3708" s="35" t="s">
        <v>8275</v>
      </c>
      <c r="B3708" s="36" t="s">
        <v>8276</v>
      </c>
      <c r="C3708" s="36" t="str">
        <f>HYPERLINK("https://rhld.insurance.arkansas.gov/NPILookup?Npi=1033642228","1033642228")</f>
        <v>1033642228</v>
      </c>
      <c r="D3708" s="36" t="s">
        <v>36229</v>
      </c>
      <c r="E3708" s="36" t="s">
        <v>1</v>
      </c>
      <c r="F3708" s="36">
        <v>1</v>
      </c>
      <c r="G3708" s="36">
        <v>2</v>
      </c>
      <c r="H3708" s="36">
        <v>0</v>
      </c>
      <c r="I3708" s="37">
        <v>0</v>
      </c>
      <c r="J3708" s="36" t="s">
        <v>32654</v>
      </c>
      <c r="K3708" s="36" t="s">
        <v>14330</v>
      </c>
      <c r="L3708" s="36" t="s">
        <v>14330</v>
      </c>
      <c r="M3708">
        <v>2</v>
      </c>
      <c r="N3708" t="s">
        <v>14331</v>
      </c>
      <c r="O3708" t="s">
        <v>32633</v>
      </c>
    </row>
    <row r="3709" spans="1:15" x14ac:dyDescent="0.25">
      <c r="A3709" s="35" t="s">
        <v>8275</v>
      </c>
      <c r="B3709" s="36" t="s">
        <v>8276</v>
      </c>
      <c r="C3709" s="36" t="str">
        <f>HYPERLINK("https://rhld.insurance.arkansas.gov/NPILookup?Npi=1033699855","1033699855")</f>
        <v>1033699855</v>
      </c>
      <c r="D3709" s="36" t="s">
        <v>34889</v>
      </c>
      <c r="E3709" s="36" t="s">
        <v>2</v>
      </c>
      <c r="F3709" s="36">
        <v>1</v>
      </c>
      <c r="G3709" s="36">
        <v>2</v>
      </c>
      <c r="H3709" s="36">
        <v>0</v>
      </c>
      <c r="I3709" s="37">
        <v>0</v>
      </c>
      <c r="J3709" s="36"/>
      <c r="K3709" s="36" t="s">
        <v>14330</v>
      </c>
      <c r="L3709" s="36" t="s">
        <v>14330</v>
      </c>
      <c r="M3709">
        <v>2</v>
      </c>
      <c r="N3709" t="s">
        <v>14331</v>
      </c>
      <c r="O3709" t="s">
        <v>14333</v>
      </c>
    </row>
    <row r="3710" spans="1:15" x14ac:dyDescent="0.25">
      <c r="A3710" s="35" t="s">
        <v>8275</v>
      </c>
      <c r="B3710" s="36" t="s">
        <v>8276</v>
      </c>
      <c r="C3710" s="36" t="str">
        <f>HYPERLINK("https://rhld.insurance.arkansas.gov/NPILookup?Npi=1033752803","1033752803")</f>
        <v>1033752803</v>
      </c>
      <c r="D3710" s="36" t="s">
        <v>36230</v>
      </c>
      <c r="E3710" s="36" t="s">
        <v>2</v>
      </c>
      <c r="F3710" s="36">
        <v>1</v>
      </c>
      <c r="G3710" s="36">
        <v>2</v>
      </c>
      <c r="H3710" s="36">
        <v>0</v>
      </c>
      <c r="I3710" s="37">
        <v>0</v>
      </c>
      <c r="J3710" s="36" t="s">
        <v>36190</v>
      </c>
      <c r="K3710" s="36" t="s">
        <v>14330</v>
      </c>
      <c r="L3710" s="36" t="s">
        <v>14330</v>
      </c>
      <c r="M3710">
        <v>3</v>
      </c>
      <c r="N3710" t="s">
        <v>14331</v>
      </c>
      <c r="O3710" t="s">
        <v>14333</v>
      </c>
    </row>
    <row r="3711" spans="1:15" x14ac:dyDescent="0.25">
      <c r="A3711" s="35" t="s">
        <v>8275</v>
      </c>
      <c r="B3711" s="36" t="s">
        <v>8276</v>
      </c>
      <c r="C3711" s="36" t="str">
        <f>HYPERLINK("https://rhld.insurance.arkansas.gov/NPILookup?Npi=1033771969","1033771969")</f>
        <v>1033771969</v>
      </c>
      <c r="D3711" s="36" t="s">
        <v>36231</v>
      </c>
      <c r="E3711" s="36" t="s">
        <v>2</v>
      </c>
      <c r="F3711" s="36">
        <v>1</v>
      </c>
      <c r="G3711" s="36">
        <v>3</v>
      </c>
      <c r="H3711" s="36">
        <v>0</v>
      </c>
      <c r="I3711" s="37">
        <v>0</v>
      </c>
      <c r="J3711" s="36" t="s">
        <v>36190</v>
      </c>
      <c r="K3711" s="36" t="s">
        <v>14330</v>
      </c>
      <c r="L3711" s="36" t="s">
        <v>14330</v>
      </c>
      <c r="M3711">
        <v>2</v>
      </c>
      <c r="N3711" t="s">
        <v>14331</v>
      </c>
      <c r="O3711" t="s">
        <v>14333</v>
      </c>
    </row>
    <row r="3712" spans="1:15" x14ac:dyDescent="0.25">
      <c r="A3712" s="35" t="s">
        <v>8275</v>
      </c>
      <c r="B3712" s="36" t="s">
        <v>8276</v>
      </c>
      <c r="C3712" s="36" t="str">
        <f>HYPERLINK("https://rhld.insurance.arkansas.gov/NPILookup?Npi=1033816087","1033816087")</f>
        <v>1033816087</v>
      </c>
      <c r="D3712" s="36" t="s">
        <v>36232</v>
      </c>
      <c r="E3712" s="36" t="s">
        <v>2</v>
      </c>
      <c r="F3712" s="36">
        <v>1</v>
      </c>
      <c r="G3712" s="36">
        <v>2</v>
      </c>
      <c r="H3712" s="36">
        <v>0</v>
      </c>
      <c r="I3712" s="37">
        <v>0</v>
      </c>
      <c r="J3712" s="36" t="s">
        <v>36190</v>
      </c>
      <c r="K3712" s="36" t="s">
        <v>14330</v>
      </c>
      <c r="L3712" s="36" t="s">
        <v>14330</v>
      </c>
      <c r="M3712">
        <v>2</v>
      </c>
      <c r="N3712" t="s">
        <v>14331</v>
      </c>
      <c r="O3712" t="s">
        <v>14333</v>
      </c>
    </row>
    <row r="3713" spans="1:15" x14ac:dyDescent="0.25">
      <c r="A3713" s="35" t="s">
        <v>8275</v>
      </c>
      <c r="B3713" s="36" t="s">
        <v>8276</v>
      </c>
      <c r="C3713" s="36" t="str">
        <f>HYPERLINK("https://rhld.insurance.arkansas.gov/NPILookup?Npi=1033834692","1033834692")</f>
        <v>1033834692</v>
      </c>
      <c r="D3713" s="36" t="s">
        <v>36233</v>
      </c>
      <c r="E3713" s="36" t="s">
        <v>2</v>
      </c>
      <c r="F3713" s="36">
        <v>1</v>
      </c>
      <c r="G3713" s="36">
        <v>2</v>
      </c>
      <c r="H3713" s="36">
        <v>0</v>
      </c>
      <c r="I3713" s="37">
        <v>0</v>
      </c>
      <c r="J3713" s="36" t="s">
        <v>36190</v>
      </c>
      <c r="K3713" s="36" t="s">
        <v>14330</v>
      </c>
      <c r="L3713" s="36" t="s">
        <v>14330</v>
      </c>
      <c r="M3713">
        <v>1</v>
      </c>
      <c r="N3713" t="s">
        <v>14331</v>
      </c>
      <c r="O3713" t="s">
        <v>14333</v>
      </c>
    </row>
    <row r="3714" spans="1:15" x14ac:dyDescent="0.25">
      <c r="A3714" s="35" t="s">
        <v>8275</v>
      </c>
      <c r="B3714" s="36" t="s">
        <v>8276</v>
      </c>
      <c r="C3714" s="36" t="str">
        <f>HYPERLINK("https://rhld.insurance.arkansas.gov/NPILookup?Npi=1033847975","1033847975")</f>
        <v>1033847975</v>
      </c>
      <c r="D3714" s="36" t="s">
        <v>34891</v>
      </c>
      <c r="E3714" s="36" t="s">
        <v>2</v>
      </c>
      <c r="F3714" s="36">
        <v>1</v>
      </c>
      <c r="G3714" s="36">
        <v>1</v>
      </c>
      <c r="H3714" s="36">
        <v>0</v>
      </c>
      <c r="I3714" s="37">
        <v>0</v>
      </c>
      <c r="J3714" s="36"/>
      <c r="K3714" s="36" t="s">
        <v>14330</v>
      </c>
      <c r="L3714" s="36" t="s">
        <v>14330</v>
      </c>
      <c r="M3714">
        <v>2</v>
      </c>
      <c r="N3714" t="s">
        <v>14331</v>
      </c>
      <c r="O3714" t="s">
        <v>32633</v>
      </c>
    </row>
    <row r="3715" spans="1:15" x14ac:dyDescent="0.25">
      <c r="A3715" s="35" t="s">
        <v>8275</v>
      </c>
      <c r="B3715" s="36" t="s">
        <v>8276</v>
      </c>
      <c r="C3715" s="36" t="str">
        <f>HYPERLINK("https://rhld.insurance.arkansas.gov/NPILookup?Npi=1033926001","1033926001")</f>
        <v>1033926001</v>
      </c>
      <c r="D3715" s="36" t="s">
        <v>34892</v>
      </c>
      <c r="E3715" s="36" t="s">
        <v>2</v>
      </c>
      <c r="F3715" s="36">
        <v>1</v>
      </c>
      <c r="G3715" s="36">
        <v>2</v>
      </c>
      <c r="H3715" s="36">
        <v>0</v>
      </c>
      <c r="I3715" s="37">
        <v>0</v>
      </c>
      <c r="J3715" s="36"/>
      <c r="K3715" s="36" t="s">
        <v>14330</v>
      </c>
      <c r="L3715" s="36" t="s">
        <v>14330</v>
      </c>
      <c r="M3715">
        <v>1</v>
      </c>
      <c r="N3715" t="s">
        <v>14331</v>
      </c>
      <c r="O3715" t="s">
        <v>14333</v>
      </c>
    </row>
    <row r="3716" spans="1:15" x14ac:dyDescent="0.25">
      <c r="A3716" s="35" t="s">
        <v>8275</v>
      </c>
      <c r="B3716" s="36" t="s">
        <v>8276</v>
      </c>
      <c r="C3716" s="36" t="str">
        <f>HYPERLINK("https://rhld.insurance.arkansas.gov/NPILookup?Npi=1033930656","1033930656")</f>
        <v>1033930656</v>
      </c>
      <c r="D3716" s="36" t="s">
        <v>34893</v>
      </c>
      <c r="E3716" s="36" t="s">
        <v>2</v>
      </c>
      <c r="F3716" s="36">
        <v>1</v>
      </c>
      <c r="G3716" s="36">
        <v>1</v>
      </c>
      <c r="H3716" s="36">
        <v>0</v>
      </c>
      <c r="I3716" s="37">
        <v>0</v>
      </c>
      <c r="J3716" s="36"/>
      <c r="K3716" s="36" t="s">
        <v>14330</v>
      </c>
      <c r="L3716" s="36" t="s">
        <v>14330</v>
      </c>
      <c r="M3716">
        <v>2</v>
      </c>
      <c r="N3716" t="s">
        <v>14331</v>
      </c>
      <c r="O3716" t="s">
        <v>32633</v>
      </c>
    </row>
    <row r="3717" spans="1:15" x14ac:dyDescent="0.25">
      <c r="A3717" s="35" t="s">
        <v>8275</v>
      </c>
      <c r="B3717" s="36" t="s">
        <v>8276</v>
      </c>
      <c r="C3717" s="36" t="str">
        <f>HYPERLINK("https://rhld.insurance.arkansas.gov/NPILookup?Npi=1033949409","1033949409")</f>
        <v>1033949409</v>
      </c>
      <c r="D3717" s="36" t="s">
        <v>34894</v>
      </c>
      <c r="E3717" s="36" t="s">
        <v>2</v>
      </c>
      <c r="F3717" s="36">
        <v>1</v>
      </c>
      <c r="G3717" s="36">
        <v>2</v>
      </c>
      <c r="H3717" s="36">
        <v>0</v>
      </c>
      <c r="I3717" s="37">
        <v>0</v>
      </c>
      <c r="J3717" s="36"/>
      <c r="K3717" s="36" t="s">
        <v>14330</v>
      </c>
      <c r="L3717" s="36" t="s">
        <v>14330</v>
      </c>
      <c r="M3717">
        <v>1</v>
      </c>
      <c r="N3717" t="s">
        <v>14331</v>
      </c>
      <c r="O3717" t="s">
        <v>14333</v>
      </c>
    </row>
    <row r="3718" spans="1:15" x14ac:dyDescent="0.25">
      <c r="A3718" s="35" t="s">
        <v>8275</v>
      </c>
      <c r="B3718" s="36" t="s">
        <v>8276</v>
      </c>
      <c r="C3718" s="36" t="str">
        <f>HYPERLINK("https://rhld.insurance.arkansas.gov/NPILookup?Npi=1033960265","1033960265")</f>
        <v>1033960265</v>
      </c>
      <c r="D3718" s="36" t="s">
        <v>34895</v>
      </c>
      <c r="E3718" s="36" t="s">
        <v>2</v>
      </c>
      <c r="F3718" s="36">
        <v>1</v>
      </c>
      <c r="G3718" s="36">
        <v>1</v>
      </c>
      <c r="H3718" s="36">
        <v>0</v>
      </c>
      <c r="I3718" s="37">
        <v>0</v>
      </c>
      <c r="J3718" s="36"/>
      <c r="K3718" s="36" t="s">
        <v>14330</v>
      </c>
      <c r="L3718" s="36" t="s">
        <v>14330</v>
      </c>
      <c r="M3718">
        <v>2</v>
      </c>
      <c r="N3718" t="s">
        <v>14331</v>
      </c>
      <c r="O3718" t="s">
        <v>32633</v>
      </c>
    </row>
    <row r="3719" spans="1:15" x14ac:dyDescent="0.25">
      <c r="A3719" s="35" t="s">
        <v>8275</v>
      </c>
      <c r="B3719" s="36" t="s">
        <v>8276</v>
      </c>
      <c r="C3719" s="36" t="str">
        <f>HYPERLINK("https://rhld.insurance.arkansas.gov/NPILookup?Npi=1043028939","1043028939")</f>
        <v>1043028939</v>
      </c>
      <c r="D3719" s="36" t="s">
        <v>34896</v>
      </c>
      <c r="E3719" s="36" t="s">
        <v>2</v>
      </c>
      <c r="F3719" s="36">
        <v>1</v>
      </c>
      <c r="G3719" s="36">
        <v>2</v>
      </c>
      <c r="H3719" s="36">
        <v>0</v>
      </c>
      <c r="I3719" s="37">
        <v>0</v>
      </c>
      <c r="J3719" s="36"/>
      <c r="K3719" s="36" t="s">
        <v>14330</v>
      </c>
      <c r="L3719" s="36" t="s">
        <v>14330</v>
      </c>
      <c r="M3719">
        <v>1</v>
      </c>
      <c r="N3719" t="s">
        <v>14331</v>
      </c>
      <c r="O3719" t="s">
        <v>14333</v>
      </c>
    </row>
    <row r="3720" spans="1:15" x14ac:dyDescent="0.25">
      <c r="A3720" s="35" t="s">
        <v>8275</v>
      </c>
      <c r="B3720" s="36" t="s">
        <v>8276</v>
      </c>
      <c r="C3720" s="36" t="str">
        <f>HYPERLINK("https://rhld.insurance.arkansas.gov/NPILookup?Npi=1043048200","1043048200")</f>
        <v>1043048200</v>
      </c>
      <c r="D3720" s="36" t="s">
        <v>34897</v>
      </c>
      <c r="E3720" s="36" t="s">
        <v>2</v>
      </c>
      <c r="F3720" s="36">
        <v>1</v>
      </c>
      <c r="G3720" s="36">
        <v>1</v>
      </c>
      <c r="H3720" s="36">
        <v>0</v>
      </c>
      <c r="I3720" s="37">
        <v>0</v>
      </c>
      <c r="J3720" s="36"/>
      <c r="K3720" s="36" t="s">
        <v>14330</v>
      </c>
      <c r="L3720" s="36" t="s">
        <v>14330</v>
      </c>
      <c r="M3720">
        <v>3</v>
      </c>
      <c r="N3720" t="s">
        <v>14331</v>
      </c>
      <c r="O3720" t="s">
        <v>32633</v>
      </c>
    </row>
    <row r="3721" spans="1:15" x14ac:dyDescent="0.25">
      <c r="A3721" s="35" t="s">
        <v>8275</v>
      </c>
      <c r="B3721" s="36" t="s">
        <v>8276</v>
      </c>
      <c r="C3721" s="36" t="str">
        <f>HYPERLINK("https://rhld.insurance.arkansas.gov/NPILookup?Npi=1043208879","1043208879")</f>
        <v>1043208879</v>
      </c>
      <c r="D3721" s="36" t="s">
        <v>36234</v>
      </c>
      <c r="E3721" s="36" t="s">
        <v>2</v>
      </c>
      <c r="F3721" s="36">
        <v>1</v>
      </c>
      <c r="G3721" s="36">
        <v>3</v>
      </c>
      <c r="H3721" s="36">
        <v>0</v>
      </c>
      <c r="I3721" s="37">
        <v>0</v>
      </c>
      <c r="J3721" s="36" t="s">
        <v>36190</v>
      </c>
      <c r="K3721" s="36" t="s">
        <v>14330</v>
      </c>
      <c r="L3721" s="36" t="s">
        <v>14330</v>
      </c>
      <c r="M3721">
        <v>3</v>
      </c>
      <c r="N3721" t="s">
        <v>14331</v>
      </c>
      <c r="O3721" t="s">
        <v>14333</v>
      </c>
    </row>
    <row r="3722" spans="1:15" x14ac:dyDescent="0.25">
      <c r="A3722" s="35" t="s">
        <v>8275</v>
      </c>
      <c r="B3722" s="36" t="s">
        <v>8276</v>
      </c>
      <c r="C3722" s="36" t="str">
        <f>HYPERLINK("https://rhld.insurance.arkansas.gov/NPILookup?Npi=1043278914","1043278914")</f>
        <v>1043278914</v>
      </c>
      <c r="D3722" s="36" t="s">
        <v>36235</v>
      </c>
      <c r="E3722" s="36" t="s">
        <v>2</v>
      </c>
      <c r="F3722" s="36">
        <v>1</v>
      </c>
      <c r="G3722" s="36">
        <v>3</v>
      </c>
      <c r="H3722" s="36">
        <v>0</v>
      </c>
      <c r="I3722" s="37">
        <v>0</v>
      </c>
      <c r="J3722" s="36" t="s">
        <v>36190</v>
      </c>
      <c r="K3722" s="36" t="s">
        <v>14330</v>
      </c>
      <c r="L3722" s="36" t="s">
        <v>14330</v>
      </c>
      <c r="M3722">
        <v>3</v>
      </c>
      <c r="N3722" t="s">
        <v>14331</v>
      </c>
      <c r="O3722" t="s">
        <v>14333</v>
      </c>
    </row>
    <row r="3723" spans="1:15" x14ac:dyDescent="0.25">
      <c r="A3723" s="35" t="s">
        <v>8275</v>
      </c>
      <c r="B3723" s="36" t="s">
        <v>8276</v>
      </c>
      <c r="C3723" s="36" t="str">
        <f>HYPERLINK("https://rhld.insurance.arkansas.gov/NPILookup?Npi=1043340011","1043340011")</f>
        <v>1043340011</v>
      </c>
      <c r="D3723" s="36" t="s">
        <v>36236</v>
      </c>
      <c r="E3723" s="36" t="s">
        <v>2</v>
      </c>
      <c r="F3723" s="36">
        <v>1</v>
      </c>
      <c r="G3723" s="36">
        <v>3</v>
      </c>
      <c r="H3723" s="36">
        <v>0</v>
      </c>
      <c r="I3723" s="37">
        <v>0</v>
      </c>
      <c r="J3723" s="36" t="s">
        <v>36190</v>
      </c>
      <c r="K3723" s="36" t="s">
        <v>14330</v>
      </c>
      <c r="L3723" s="36" t="s">
        <v>14330</v>
      </c>
      <c r="M3723">
        <v>3</v>
      </c>
      <c r="N3723" t="s">
        <v>14331</v>
      </c>
      <c r="O3723" t="s">
        <v>14333</v>
      </c>
    </row>
    <row r="3724" spans="1:15" x14ac:dyDescent="0.25">
      <c r="A3724" s="35" t="s">
        <v>8275</v>
      </c>
      <c r="B3724" s="36" t="s">
        <v>8276</v>
      </c>
      <c r="C3724" s="36" t="str">
        <f>HYPERLINK("https://rhld.insurance.arkansas.gov/NPILookup?Npi=1043506777","1043506777")</f>
        <v>1043506777</v>
      </c>
      <c r="D3724" s="36" t="s">
        <v>36237</v>
      </c>
      <c r="E3724" s="36" t="s">
        <v>2</v>
      </c>
      <c r="F3724" s="36">
        <v>1</v>
      </c>
      <c r="G3724" s="36">
        <v>3</v>
      </c>
      <c r="H3724" s="36">
        <v>0</v>
      </c>
      <c r="I3724" s="37">
        <v>0</v>
      </c>
      <c r="J3724" s="36" t="s">
        <v>36190</v>
      </c>
      <c r="K3724" s="36" t="s">
        <v>14330</v>
      </c>
      <c r="L3724" s="36" t="s">
        <v>14330</v>
      </c>
      <c r="M3724">
        <v>1</v>
      </c>
      <c r="N3724" t="s">
        <v>14331</v>
      </c>
      <c r="O3724" t="s">
        <v>14333</v>
      </c>
    </row>
    <row r="3725" spans="1:15" x14ac:dyDescent="0.25">
      <c r="A3725" s="35" t="s">
        <v>8275</v>
      </c>
      <c r="B3725" s="36" t="s">
        <v>8276</v>
      </c>
      <c r="C3725" s="36" t="str">
        <f>HYPERLINK("https://rhld.insurance.arkansas.gov/NPILookup?Npi=1043604804","1043604804")</f>
        <v>1043604804</v>
      </c>
      <c r="D3725" s="36" t="s">
        <v>34904</v>
      </c>
      <c r="E3725" s="36" t="s">
        <v>2</v>
      </c>
      <c r="F3725" s="36">
        <v>1</v>
      </c>
      <c r="G3725" s="36">
        <v>1</v>
      </c>
      <c r="H3725" s="36">
        <v>0</v>
      </c>
      <c r="I3725" s="37">
        <v>0</v>
      </c>
      <c r="J3725" s="36"/>
      <c r="K3725" s="36" t="s">
        <v>14330</v>
      </c>
      <c r="L3725" s="36" t="s">
        <v>14330</v>
      </c>
      <c r="M3725">
        <v>2</v>
      </c>
      <c r="N3725" t="s">
        <v>14331</v>
      </c>
      <c r="O3725" t="s">
        <v>32633</v>
      </c>
    </row>
    <row r="3726" spans="1:15" x14ac:dyDescent="0.25">
      <c r="A3726" s="35" t="s">
        <v>8275</v>
      </c>
      <c r="B3726" s="36" t="s">
        <v>8276</v>
      </c>
      <c r="C3726" s="36" t="str">
        <f>HYPERLINK("https://rhld.insurance.arkansas.gov/NPILookup?Npi=1043730328","1043730328")</f>
        <v>1043730328</v>
      </c>
      <c r="D3726" s="36" t="s">
        <v>36238</v>
      </c>
      <c r="E3726" s="36" t="s">
        <v>2</v>
      </c>
      <c r="F3726" s="36">
        <v>1</v>
      </c>
      <c r="G3726" s="36">
        <v>2</v>
      </c>
      <c r="H3726" s="36">
        <v>0</v>
      </c>
      <c r="I3726" s="37">
        <v>0</v>
      </c>
      <c r="J3726" s="36" t="s">
        <v>36190</v>
      </c>
      <c r="K3726" s="36" t="s">
        <v>14330</v>
      </c>
      <c r="L3726" s="36" t="s">
        <v>14330</v>
      </c>
      <c r="M3726">
        <v>3</v>
      </c>
      <c r="N3726" t="s">
        <v>14331</v>
      </c>
      <c r="O3726" t="s">
        <v>14333</v>
      </c>
    </row>
    <row r="3727" spans="1:15" x14ac:dyDescent="0.25">
      <c r="A3727" s="35" t="s">
        <v>8275</v>
      </c>
      <c r="B3727" s="36" t="s">
        <v>8276</v>
      </c>
      <c r="C3727" s="36" t="str">
        <f>HYPERLINK("https://rhld.insurance.arkansas.gov/NPILookup?Npi=1043752009","1043752009")</f>
        <v>1043752009</v>
      </c>
      <c r="D3727" s="36" t="s">
        <v>36239</v>
      </c>
      <c r="E3727" s="36" t="s">
        <v>2</v>
      </c>
      <c r="F3727" s="36">
        <v>1</v>
      </c>
      <c r="G3727" s="36">
        <v>3</v>
      </c>
      <c r="H3727" s="36">
        <v>0</v>
      </c>
      <c r="I3727" s="37">
        <v>0</v>
      </c>
      <c r="J3727" s="36" t="s">
        <v>36190</v>
      </c>
      <c r="K3727" s="36" t="s">
        <v>14330</v>
      </c>
      <c r="L3727" s="36" t="s">
        <v>14330</v>
      </c>
      <c r="M3727">
        <v>2</v>
      </c>
      <c r="N3727" t="s">
        <v>14331</v>
      </c>
      <c r="O3727" t="s">
        <v>14333</v>
      </c>
    </row>
    <row r="3728" spans="1:15" x14ac:dyDescent="0.25">
      <c r="A3728" s="35" t="s">
        <v>8275</v>
      </c>
      <c r="B3728" s="36" t="s">
        <v>8276</v>
      </c>
      <c r="C3728" s="36" t="str">
        <f>HYPERLINK("https://rhld.insurance.arkansas.gov/NPILookup?Npi=1043801855","1043801855")</f>
        <v>1043801855</v>
      </c>
      <c r="D3728" s="36" t="s">
        <v>36240</v>
      </c>
      <c r="E3728" s="36" t="s">
        <v>2</v>
      </c>
      <c r="F3728" s="36">
        <v>1</v>
      </c>
      <c r="G3728" s="36">
        <v>2</v>
      </c>
      <c r="H3728" s="36">
        <v>0</v>
      </c>
      <c r="I3728" s="37">
        <v>0</v>
      </c>
      <c r="J3728" s="36" t="s">
        <v>36190</v>
      </c>
      <c r="K3728" s="36" t="s">
        <v>14330</v>
      </c>
      <c r="L3728" s="36" t="s">
        <v>14330</v>
      </c>
      <c r="M3728">
        <v>2</v>
      </c>
      <c r="N3728" t="s">
        <v>14331</v>
      </c>
      <c r="O3728" t="s">
        <v>14333</v>
      </c>
    </row>
    <row r="3729" spans="1:15" x14ac:dyDescent="0.25">
      <c r="A3729" s="35" t="s">
        <v>8275</v>
      </c>
      <c r="B3729" s="36" t="s">
        <v>8276</v>
      </c>
      <c r="C3729" s="36" t="str">
        <f>HYPERLINK("https://rhld.insurance.arkansas.gov/NPILookup?Npi=1043885098","1043885098")</f>
        <v>1043885098</v>
      </c>
      <c r="D3729" s="36" t="s">
        <v>34910</v>
      </c>
      <c r="E3729" s="36" t="s">
        <v>2</v>
      </c>
      <c r="F3729" s="36">
        <v>1</v>
      </c>
      <c r="G3729" s="36">
        <v>2</v>
      </c>
      <c r="H3729" s="36">
        <v>0</v>
      </c>
      <c r="I3729" s="37">
        <v>0</v>
      </c>
      <c r="J3729" s="36"/>
      <c r="K3729" s="36" t="s">
        <v>14330</v>
      </c>
      <c r="L3729" s="36" t="s">
        <v>14330</v>
      </c>
      <c r="M3729">
        <v>2</v>
      </c>
      <c r="N3729" t="s">
        <v>14331</v>
      </c>
      <c r="O3729" t="s">
        <v>14333</v>
      </c>
    </row>
    <row r="3730" spans="1:15" x14ac:dyDescent="0.25">
      <c r="A3730" s="35" t="s">
        <v>8275</v>
      </c>
      <c r="B3730" s="36" t="s">
        <v>8276</v>
      </c>
      <c r="C3730" s="36" t="str">
        <f>HYPERLINK("https://rhld.insurance.arkansas.gov/NPILookup?Npi=1043899503","1043899503")</f>
        <v>1043899503</v>
      </c>
      <c r="D3730" s="36" t="s">
        <v>36241</v>
      </c>
      <c r="E3730" s="36" t="s">
        <v>2</v>
      </c>
      <c r="F3730" s="36">
        <v>1</v>
      </c>
      <c r="G3730" s="36">
        <v>2</v>
      </c>
      <c r="H3730" s="36">
        <v>0</v>
      </c>
      <c r="I3730" s="37">
        <v>0</v>
      </c>
      <c r="J3730" s="36"/>
      <c r="K3730" s="36" t="s">
        <v>14330</v>
      </c>
      <c r="L3730" s="36" t="s">
        <v>14330</v>
      </c>
      <c r="M3730">
        <v>2</v>
      </c>
      <c r="N3730" t="s">
        <v>14331</v>
      </c>
      <c r="O3730" t="s">
        <v>14333</v>
      </c>
    </row>
    <row r="3731" spans="1:15" x14ac:dyDescent="0.25">
      <c r="A3731" s="35" t="s">
        <v>8275</v>
      </c>
      <c r="B3731" s="36" t="s">
        <v>8276</v>
      </c>
      <c r="C3731" s="36" t="str">
        <f>HYPERLINK("https://rhld.insurance.arkansas.gov/NPILookup?Npi=1053094532","1053094532")</f>
        <v>1053094532</v>
      </c>
      <c r="D3731" s="36" t="s">
        <v>34912</v>
      </c>
      <c r="E3731" s="36" t="s">
        <v>2</v>
      </c>
      <c r="F3731" s="36">
        <v>1</v>
      </c>
      <c r="G3731" s="36">
        <v>2</v>
      </c>
      <c r="H3731" s="36">
        <v>0</v>
      </c>
      <c r="I3731" s="37">
        <v>0</v>
      </c>
      <c r="J3731" s="36"/>
      <c r="K3731" s="36" t="s">
        <v>14330</v>
      </c>
      <c r="L3731" s="36" t="s">
        <v>14330</v>
      </c>
      <c r="M3731">
        <v>2</v>
      </c>
      <c r="N3731" t="s">
        <v>14331</v>
      </c>
      <c r="O3731" t="s">
        <v>14333</v>
      </c>
    </row>
    <row r="3732" spans="1:15" x14ac:dyDescent="0.25">
      <c r="A3732" s="35" t="s">
        <v>8275</v>
      </c>
      <c r="B3732" s="36" t="s">
        <v>8276</v>
      </c>
      <c r="C3732" s="36" t="str">
        <f>HYPERLINK("https://rhld.insurance.arkansas.gov/NPILookup?Npi=1053120329","1053120329")</f>
        <v>1053120329</v>
      </c>
      <c r="D3732" s="36" t="s">
        <v>34913</v>
      </c>
      <c r="E3732" s="36" t="s">
        <v>2</v>
      </c>
      <c r="F3732" s="36">
        <v>1</v>
      </c>
      <c r="G3732" s="36">
        <v>2</v>
      </c>
      <c r="H3732" s="36">
        <v>0</v>
      </c>
      <c r="I3732" s="37">
        <v>0</v>
      </c>
      <c r="J3732" s="36"/>
      <c r="K3732" s="36" t="s">
        <v>14330</v>
      </c>
      <c r="L3732" s="36" t="s">
        <v>14330</v>
      </c>
      <c r="M3732">
        <v>2</v>
      </c>
      <c r="N3732" t="s">
        <v>14331</v>
      </c>
      <c r="O3732" t="s">
        <v>14333</v>
      </c>
    </row>
    <row r="3733" spans="1:15" x14ac:dyDescent="0.25">
      <c r="A3733" s="35" t="s">
        <v>8275</v>
      </c>
      <c r="B3733" s="36" t="s">
        <v>8276</v>
      </c>
      <c r="C3733" s="36" t="str">
        <f>HYPERLINK("https://rhld.insurance.arkansas.gov/NPILookup?Npi=1053339069","1053339069")</f>
        <v>1053339069</v>
      </c>
      <c r="D3733" s="36" t="s">
        <v>36242</v>
      </c>
      <c r="E3733" s="36" t="s">
        <v>2</v>
      </c>
      <c r="F3733" s="36">
        <v>1</v>
      </c>
      <c r="G3733" s="36">
        <v>2</v>
      </c>
      <c r="H3733" s="36">
        <v>0</v>
      </c>
      <c r="I3733" s="37">
        <v>0</v>
      </c>
      <c r="J3733" s="36" t="s">
        <v>32679</v>
      </c>
      <c r="K3733" s="36" t="s">
        <v>14330</v>
      </c>
      <c r="L3733" s="36" t="s">
        <v>14330</v>
      </c>
      <c r="M3733">
        <v>3</v>
      </c>
      <c r="N3733" t="s">
        <v>14331</v>
      </c>
      <c r="O3733" t="s">
        <v>14333</v>
      </c>
    </row>
    <row r="3734" spans="1:15" x14ac:dyDescent="0.25">
      <c r="A3734" s="35" t="s">
        <v>8275</v>
      </c>
      <c r="B3734" s="36" t="s">
        <v>8276</v>
      </c>
      <c r="C3734" s="36" t="str">
        <f>HYPERLINK("https://rhld.insurance.arkansas.gov/NPILookup?Npi=1053390781","1053390781")</f>
        <v>1053390781</v>
      </c>
      <c r="D3734" s="36" t="s">
        <v>34550</v>
      </c>
      <c r="E3734" s="36" t="s">
        <v>2</v>
      </c>
      <c r="F3734" s="36">
        <v>1</v>
      </c>
      <c r="G3734" s="36">
        <v>3</v>
      </c>
      <c r="H3734" s="36">
        <v>0</v>
      </c>
      <c r="I3734" s="37">
        <v>0</v>
      </c>
      <c r="J3734" s="36" t="s">
        <v>36190</v>
      </c>
      <c r="K3734" s="36" t="s">
        <v>14330</v>
      </c>
      <c r="L3734" s="36" t="s">
        <v>14330</v>
      </c>
      <c r="M3734">
        <v>3</v>
      </c>
      <c r="N3734" t="s">
        <v>14331</v>
      </c>
      <c r="O3734" t="s">
        <v>14333</v>
      </c>
    </row>
    <row r="3735" spans="1:15" x14ac:dyDescent="0.25">
      <c r="A3735" s="35" t="s">
        <v>8275</v>
      </c>
      <c r="B3735" s="36" t="s">
        <v>8276</v>
      </c>
      <c r="C3735" s="36" t="str">
        <f>HYPERLINK("https://rhld.insurance.arkansas.gov/NPILookup?Npi=1053449694","1053449694")</f>
        <v>1053449694</v>
      </c>
      <c r="D3735" s="36" t="s">
        <v>36243</v>
      </c>
      <c r="E3735" s="36" t="s">
        <v>2</v>
      </c>
      <c r="F3735" s="36">
        <v>1</v>
      </c>
      <c r="G3735" s="36">
        <v>3</v>
      </c>
      <c r="H3735" s="36">
        <v>0</v>
      </c>
      <c r="I3735" s="37">
        <v>0</v>
      </c>
      <c r="J3735" s="36" t="s">
        <v>36190</v>
      </c>
      <c r="K3735" s="36" t="s">
        <v>14330</v>
      </c>
      <c r="L3735" s="36" t="s">
        <v>14330</v>
      </c>
      <c r="M3735">
        <v>3</v>
      </c>
      <c r="N3735" t="s">
        <v>14331</v>
      </c>
      <c r="O3735" t="s">
        <v>14333</v>
      </c>
    </row>
    <row r="3736" spans="1:15" x14ac:dyDescent="0.25">
      <c r="A3736" s="35" t="s">
        <v>8275</v>
      </c>
      <c r="B3736" s="36" t="s">
        <v>8276</v>
      </c>
      <c r="C3736" s="36" t="str">
        <f>HYPERLINK("https://rhld.insurance.arkansas.gov/NPILookup?Npi=1053560979","1053560979")</f>
        <v>1053560979</v>
      </c>
      <c r="D3736" s="36" t="s">
        <v>36244</v>
      </c>
      <c r="E3736" s="36" t="s">
        <v>2</v>
      </c>
      <c r="F3736" s="36">
        <v>1</v>
      </c>
      <c r="G3736" s="36">
        <v>3</v>
      </c>
      <c r="H3736" s="36">
        <v>0</v>
      </c>
      <c r="I3736" s="37">
        <v>0</v>
      </c>
      <c r="J3736" s="36" t="s">
        <v>36190</v>
      </c>
      <c r="K3736" s="36" t="s">
        <v>14330</v>
      </c>
      <c r="L3736" s="36" t="s">
        <v>14330</v>
      </c>
      <c r="M3736">
        <v>2</v>
      </c>
      <c r="N3736" t="s">
        <v>14331</v>
      </c>
      <c r="O3736" t="s">
        <v>14333</v>
      </c>
    </row>
    <row r="3737" spans="1:15" x14ac:dyDescent="0.25">
      <c r="A3737" s="35" t="s">
        <v>8275</v>
      </c>
      <c r="B3737" s="36" t="s">
        <v>8276</v>
      </c>
      <c r="C3737" s="36" t="str">
        <f>HYPERLINK("https://rhld.insurance.arkansas.gov/NPILookup?Npi=1053634485","1053634485")</f>
        <v>1053634485</v>
      </c>
      <c r="D3737" s="36" t="s">
        <v>36245</v>
      </c>
      <c r="E3737" s="36" t="s">
        <v>2</v>
      </c>
      <c r="F3737" s="36">
        <v>1</v>
      </c>
      <c r="G3737" s="36">
        <v>2</v>
      </c>
      <c r="H3737" s="36">
        <v>0</v>
      </c>
      <c r="I3737" s="37">
        <v>0</v>
      </c>
      <c r="J3737" s="36" t="s">
        <v>36190</v>
      </c>
      <c r="K3737" s="36" t="s">
        <v>14330</v>
      </c>
      <c r="L3737" s="36" t="s">
        <v>14330</v>
      </c>
      <c r="M3737">
        <v>3</v>
      </c>
      <c r="N3737" t="s">
        <v>14331</v>
      </c>
      <c r="O3737" t="s">
        <v>14333</v>
      </c>
    </row>
    <row r="3738" spans="1:15" x14ac:dyDescent="0.25">
      <c r="A3738" s="35" t="s">
        <v>8275</v>
      </c>
      <c r="B3738" s="36" t="s">
        <v>8276</v>
      </c>
      <c r="C3738" s="36" t="str">
        <f>HYPERLINK("https://rhld.insurance.arkansas.gov/NPILookup?Npi=1053792259","1053792259")</f>
        <v>1053792259</v>
      </c>
      <c r="D3738" s="36" t="s">
        <v>36246</v>
      </c>
      <c r="E3738" s="36" t="s">
        <v>2</v>
      </c>
      <c r="F3738" s="36">
        <v>1</v>
      </c>
      <c r="G3738" s="36">
        <v>3</v>
      </c>
      <c r="H3738" s="36">
        <v>0</v>
      </c>
      <c r="I3738" s="37">
        <v>0</v>
      </c>
      <c r="J3738" s="36" t="s">
        <v>36190</v>
      </c>
      <c r="K3738" s="36" t="s">
        <v>14330</v>
      </c>
      <c r="L3738" s="36" t="s">
        <v>14330</v>
      </c>
      <c r="M3738">
        <v>2</v>
      </c>
      <c r="N3738" t="s">
        <v>14331</v>
      </c>
      <c r="O3738" t="s">
        <v>14333</v>
      </c>
    </row>
    <row r="3739" spans="1:15" x14ac:dyDescent="0.25">
      <c r="A3739" s="35" t="s">
        <v>8275</v>
      </c>
      <c r="B3739" s="36" t="s">
        <v>8276</v>
      </c>
      <c r="C3739" s="36" t="str">
        <f>HYPERLINK("https://rhld.insurance.arkansas.gov/NPILookup?Npi=1053797399","1053797399")</f>
        <v>1053797399</v>
      </c>
      <c r="D3739" s="36" t="s">
        <v>36247</v>
      </c>
      <c r="E3739" s="36" t="s">
        <v>2</v>
      </c>
      <c r="F3739" s="36">
        <v>1</v>
      </c>
      <c r="G3739" s="36">
        <v>2</v>
      </c>
      <c r="H3739" s="36">
        <v>0</v>
      </c>
      <c r="I3739" s="37">
        <v>0</v>
      </c>
      <c r="J3739" s="36" t="s">
        <v>36190</v>
      </c>
      <c r="K3739" s="36" t="s">
        <v>14330</v>
      </c>
      <c r="L3739" s="36" t="s">
        <v>14330</v>
      </c>
      <c r="M3739">
        <v>2</v>
      </c>
      <c r="N3739" t="s">
        <v>14331</v>
      </c>
      <c r="O3739" t="s">
        <v>14333</v>
      </c>
    </row>
    <row r="3740" spans="1:15" x14ac:dyDescent="0.25">
      <c r="A3740" s="35" t="s">
        <v>8275</v>
      </c>
      <c r="B3740" s="36" t="s">
        <v>8276</v>
      </c>
      <c r="C3740" s="36" t="str">
        <f>HYPERLINK("https://rhld.insurance.arkansas.gov/NPILookup?Npi=1053810101","1053810101")</f>
        <v>1053810101</v>
      </c>
      <c r="D3740" s="36" t="s">
        <v>36248</v>
      </c>
      <c r="E3740" s="36" t="s">
        <v>2</v>
      </c>
      <c r="F3740" s="36">
        <v>1</v>
      </c>
      <c r="G3740" s="36">
        <v>2</v>
      </c>
      <c r="H3740" s="36">
        <v>0</v>
      </c>
      <c r="I3740" s="37">
        <v>0</v>
      </c>
      <c r="J3740" s="36" t="s">
        <v>36190</v>
      </c>
      <c r="K3740" s="36" t="s">
        <v>14330</v>
      </c>
      <c r="L3740" s="36" t="s">
        <v>14330</v>
      </c>
      <c r="M3740">
        <v>3</v>
      </c>
      <c r="N3740" t="s">
        <v>14331</v>
      </c>
      <c r="O3740" t="s">
        <v>14333</v>
      </c>
    </row>
    <row r="3741" spans="1:15" x14ac:dyDescent="0.25">
      <c r="A3741" s="35" t="s">
        <v>8275</v>
      </c>
      <c r="B3741" s="36" t="s">
        <v>8276</v>
      </c>
      <c r="C3741" s="36" t="str">
        <f>HYPERLINK("https://rhld.insurance.arkansas.gov/NPILookup?Npi=1053845651","1053845651")</f>
        <v>1053845651</v>
      </c>
      <c r="D3741" s="36" t="s">
        <v>36249</v>
      </c>
      <c r="E3741" s="36" t="s">
        <v>2</v>
      </c>
      <c r="F3741" s="36">
        <v>1</v>
      </c>
      <c r="G3741" s="36">
        <v>3</v>
      </c>
      <c r="H3741" s="36">
        <v>0</v>
      </c>
      <c r="I3741" s="37">
        <v>0</v>
      </c>
      <c r="J3741" s="36" t="s">
        <v>36190</v>
      </c>
      <c r="K3741" s="36" t="s">
        <v>14330</v>
      </c>
      <c r="L3741" s="36" t="s">
        <v>14330</v>
      </c>
      <c r="M3741">
        <v>3</v>
      </c>
      <c r="N3741" t="s">
        <v>14331</v>
      </c>
      <c r="O3741" t="s">
        <v>14333</v>
      </c>
    </row>
    <row r="3742" spans="1:15" x14ac:dyDescent="0.25">
      <c r="A3742" s="35" t="s">
        <v>8275</v>
      </c>
      <c r="B3742" s="36" t="s">
        <v>8276</v>
      </c>
      <c r="C3742" s="36" t="str">
        <f>HYPERLINK("https://rhld.insurance.arkansas.gov/NPILookup?Npi=1053897884","1053897884")</f>
        <v>1053897884</v>
      </c>
      <c r="D3742" s="36" t="s">
        <v>36250</v>
      </c>
      <c r="E3742" s="36" t="s">
        <v>2</v>
      </c>
      <c r="F3742" s="36">
        <v>1</v>
      </c>
      <c r="G3742" s="36">
        <v>3</v>
      </c>
      <c r="H3742" s="36">
        <v>0</v>
      </c>
      <c r="I3742" s="37">
        <v>0</v>
      </c>
      <c r="J3742" s="36" t="s">
        <v>36190</v>
      </c>
      <c r="K3742" s="36" t="s">
        <v>14330</v>
      </c>
      <c r="L3742" s="36" t="s">
        <v>14330</v>
      </c>
      <c r="M3742">
        <v>2</v>
      </c>
      <c r="N3742" t="s">
        <v>14331</v>
      </c>
      <c r="O3742" t="s">
        <v>14333</v>
      </c>
    </row>
    <row r="3743" spans="1:15" x14ac:dyDescent="0.25">
      <c r="A3743" s="35" t="s">
        <v>8275</v>
      </c>
      <c r="B3743" s="36" t="s">
        <v>8276</v>
      </c>
      <c r="C3743" s="36" t="str">
        <f>HYPERLINK("https://rhld.insurance.arkansas.gov/NPILookup?Npi=1063090959","1063090959")</f>
        <v>1063090959</v>
      </c>
      <c r="D3743" s="36" t="s">
        <v>34929</v>
      </c>
      <c r="E3743" s="36" t="s">
        <v>2</v>
      </c>
      <c r="F3743" s="36">
        <v>1</v>
      </c>
      <c r="G3743" s="36">
        <v>2</v>
      </c>
      <c r="H3743" s="36">
        <v>0</v>
      </c>
      <c r="I3743" s="37">
        <v>0</v>
      </c>
      <c r="J3743" s="36"/>
      <c r="K3743" s="36" t="s">
        <v>14330</v>
      </c>
      <c r="L3743" s="36" t="s">
        <v>14330</v>
      </c>
      <c r="M3743">
        <v>1</v>
      </c>
      <c r="N3743" t="s">
        <v>14331</v>
      </c>
      <c r="O3743" t="s">
        <v>14333</v>
      </c>
    </row>
    <row r="3744" spans="1:15" x14ac:dyDescent="0.25">
      <c r="A3744" s="35" t="s">
        <v>8275</v>
      </c>
      <c r="B3744" s="36" t="s">
        <v>8276</v>
      </c>
      <c r="C3744" s="36" t="str">
        <f>HYPERLINK("https://rhld.insurance.arkansas.gov/NPILookup?Npi=1063108280","1063108280")</f>
        <v>1063108280</v>
      </c>
      <c r="D3744" s="36" t="s">
        <v>34930</v>
      </c>
      <c r="E3744" s="36" t="s">
        <v>2</v>
      </c>
      <c r="F3744" s="36">
        <v>1</v>
      </c>
      <c r="G3744" s="36">
        <v>1</v>
      </c>
      <c r="H3744" s="36">
        <v>0</v>
      </c>
      <c r="I3744" s="37">
        <v>0</v>
      </c>
      <c r="J3744" s="36"/>
      <c r="K3744" s="36" t="s">
        <v>14330</v>
      </c>
      <c r="L3744" s="36" t="s">
        <v>14330</v>
      </c>
      <c r="M3744">
        <v>1</v>
      </c>
      <c r="N3744" t="s">
        <v>14331</v>
      </c>
      <c r="O3744" t="s">
        <v>32633</v>
      </c>
    </row>
    <row r="3745" spans="1:15" x14ac:dyDescent="0.25">
      <c r="A3745" s="35" t="s">
        <v>8275</v>
      </c>
      <c r="B3745" s="36" t="s">
        <v>8276</v>
      </c>
      <c r="C3745" s="36" t="str">
        <f>HYPERLINK("https://rhld.insurance.arkansas.gov/NPILookup?Npi=1063119113","1063119113")</f>
        <v>1063119113</v>
      </c>
      <c r="D3745" s="36" t="s">
        <v>34932</v>
      </c>
      <c r="E3745" s="36" t="s">
        <v>2</v>
      </c>
      <c r="F3745" s="36">
        <v>1</v>
      </c>
      <c r="G3745" s="36">
        <v>1</v>
      </c>
      <c r="H3745" s="36">
        <v>0</v>
      </c>
      <c r="I3745" s="37">
        <v>0</v>
      </c>
      <c r="J3745" s="36"/>
      <c r="K3745" s="36" t="s">
        <v>14330</v>
      </c>
      <c r="L3745" s="36" t="s">
        <v>14330</v>
      </c>
      <c r="M3745">
        <v>2</v>
      </c>
      <c r="N3745" t="s">
        <v>14331</v>
      </c>
      <c r="O3745" t="s">
        <v>32633</v>
      </c>
    </row>
    <row r="3746" spans="1:15" x14ac:dyDescent="0.25">
      <c r="A3746" s="35" t="s">
        <v>8275</v>
      </c>
      <c r="B3746" s="36" t="s">
        <v>8276</v>
      </c>
      <c r="C3746" s="36" t="str">
        <f>HYPERLINK("https://rhld.insurance.arkansas.gov/NPILookup?Npi=1063207538","1063207538")</f>
        <v>1063207538</v>
      </c>
      <c r="D3746" s="36" t="s">
        <v>34669</v>
      </c>
      <c r="E3746" s="36" t="s">
        <v>2</v>
      </c>
      <c r="F3746" s="36">
        <v>1</v>
      </c>
      <c r="G3746" s="36">
        <v>2</v>
      </c>
      <c r="H3746" s="36">
        <v>0</v>
      </c>
      <c r="I3746" s="37">
        <v>0</v>
      </c>
      <c r="J3746" s="36"/>
      <c r="K3746" s="36" t="s">
        <v>14330</v>
      </c>
      <c r="L3746" s="36" t="s">
        <v>14330</v>
      </c>
      <c r="M3746">
        <v>2</v>
      </c>
      <c r="N3746" t="s">
        <v>14331</v>
      </c>
      <c r="O3746" t="s">
        <v>14333</v>
      </c>
    </row>
    <row r="3747" spans="1:15" x14ac:dyDescent="0.25">
      <c r="A3747" s="35" t="s">
        <v>8275</v>
      </c>
      <c r="B3747" s="36" t="s">
        <v>8276</v>
      </c>
      <c r="C3747" s="36" t="str">
        <f>HYPERLINK("https://rhld.insurance.arkansas.gov/NPILookup?Npi=1063227171","1063227171")</f>
        <v>1063227171</v>
      </c>
      <c r="D3747" s="36" t="s">
        <v>34934</v>
      </c>
      <c r="E3747" s="36" t="s">
        <v>2</v>
      </c>
      <c r="F3747" s="36">
        <v>1</v>
      </c>
      <c r="G3747" s="36">
        <v>2</v>
      </c>
      <c r="H3747" s="36">
        <v>0</v>
      </c>
      <c r="I3747" s="37">
        <v>0</v>
      </c>
      <c r="J3747" s="36"/>
      <c r="K3747" s="36" t="s">
        <v>14330</v>
      </c>
      <c r="L3747" s="36" t="s">
        <v>14330</v>
      </c>
      <c r="M3747">
        <v>3</v>
      </c>
      <c r="N3747" t="s">
        <v>14331</v>
      </c>
      <c r="O3747" t="s">
        <v>14333</v>
      </c>
    </row>
    <row r="3748" spans="1:15" x14ac:dyDescent="0.25">
      <c r="A3748" s="35" t="s">
        <v>8275</v>
      </c>
      <c r="B3748" s="36" t="s">
        <v>8276</v>
      </c>
      <c r="C3748" s="36" t="str">
        <f>HYPERLINK("https://rhld.insurance.arkansas.gov/NPILookup?Npi=1063406114","1063406114")</f>
        <v>1063406114</v>
      </c>
      <c r="D3748" s="36" t="s">
        <v>36251</v>
      </c>
      <c r="E3748" s="36" t="s">
        <v>2</v>
      </c>
      <c r="F3748" s="36">
        <v>1</v>
      </c>
      <c r="G3748" s="36">
        <v>3</v>
      </c>
      <c r="H3748" s="36">
        <v>0</v>
      </c>
      <c r="I3748" s="37">
        <v>0</v>
      </c>
      <c r="J3748" s="36" t="s">
        <v>36190</v>
      </c>
      <c r="K3748" s="36" t="s">
        <v>14330</v>
      </c>
      <c r="L3748" s="36" t="s">
        <v>14330</v>
      </c>
      <c r="M3748">
        <v>2</v>
      </c>
      <c r="N3748" t="s">
        <v>14331</v>
      </c>
      <c r="O3748" t="s">
        <v>14333</v>
      </c>
    </row>
    <row r="3749" spans="1:15" x14ac:dyDescent="0.25">
      <c r="A3749" s="35" t="s">
        <v>8275</v>
      </c>
      <c r="B3749" s="36" t="s">
        <v>8276</v>
      </c>
      <c r="C3749" s="36" t="str">
        <f>HYPERLINK("https://rhld.insurance.arkansas.gov/NPILookup?Npi=1063440899","1063440899")</f>
        <v>1063440899</v>
      </c>
      <c r="D3749" s="36" t="s">
        <v>36252</v>
      </c>
      <c r="E3749" s="36" t="s">
        <v>2</v>
      </c>
      <c r="F3749" s="36">
        <v>1</v>
      </c>
      <c r="G3749" s="36">
        <v>2</v>
      </c>
      <c r="H3749" s="36">
        <v>0</v>
      </c>
      <c r="I3749" s="37">
        <v>0</v>
      </c>
      <c r="J3749" s="36" t="s">
        <v>36190</v>
      </c>
      <c r="K3749" s="36" t="s">
        <v>14330</v>
      </c>
      <c r="L3749" s="36" t="s">
        <v>14330</v>
      </c>
      <c r="M3749">
        <v>3</v>
      </c>
      <c r="N3749" t="s">
        <v>14331</v>
      </c>
      <c r="O3749" t="s">
        <v>14333</v>
      </c>
    </row>
    <row r="3750" spans="1:15" x14ac:dyDescent="0.25">
      <c r="A3750" s="35" t="s">
        <v>8275</v>
      </c>
      <c r="B3750" s="36" t="s">
        <v>8276</v>
      </c>
      <c r="C3750" s="36" t="str">
        <f>HYPERLINK("https://rhld.insurance.arkansas.gov/NPILookup?Npi=1063499150","1063499150")</f>
        <v>1063499150</v>
      </c>
      <c r="D3750" s="36" t="s">
        <v>36253</v>
      </c>
      <c r="E3750" s="36" t="s">
        <v>2</v>
      </c>
      <c r="F3750" s="36">
        <v>1</v>
      </c>
      <c r="G3750" s="36">
        <v>3</v>
      </c>
      <c r="H3750" s="36">
        <v>0</v>
      </c>
      <c r="I3750" s="37">
        <v>0</v>
      </c>
      <c r="J3750" s="36" t="s">
        <v>36190</v>
      </c>
      <c r="K3750" s="36" t="s">
        <v>14330</v>
      </c>
      <c r="L3750" s="36" t="s">
        <v>14330</v>
      </c>
      <c r="M3750">
        <v>2</v>
      </c>
      <c r="N3750" t="s">
        <v>14331</v>
      </c>
      <c r="O3750" t="s">
        <v>14333</v>
      </c>
    </row>
    <row r="3751" spans="1:15" x14ac:dyDescent="0.25">
      <c r="A3751" s="35" t="s">
        <v>8275</v>
      </c>
      <c r="B3751" s="36" t="s">
        <v>8276</v>
      </c>
      <c r="C3751" s="36" t="str">
        <f>HYPERLINK("https://rhld.insurance.arkansas.gov/NPILookup?Npi=1063597979","1063597979")</f>
        <v>1063597979</v>
      </c>
      <c r="D3751" s="36" t="s">
        <v>36254</v>
      </c>
      <c r="E3751" s="36" t="s">
        <v>2</v>
      </c>
      <c r="F3751" s="36">
        <v>1</v>
      </c>
      <c r="G3751" s="36">
        <v>2</v>
      </c>
      <c r="H3751" s="36">
        <v>0</v>
      </c>
      <c r="I3751" s="37">
        <v>0</v>
      </c>
      <c r="J3751" s="36" t="s">
        <v>32679</v>
      </c>
      <c r="K3751" s="36" t="s">
        <v>14330</v>
      </c>
      <c r="L3751" s="36" t="s">
        <v>14330</v>
      </c>
      <c r="M3751">
        <v>2</v>
      </c>
      <c r="N3751" t="s">
        <v>14331</v>
      </c>
      <c r="O3751" t="s">
        <v>14333</v>
      </c>
    </row>
    <row r="3752" spans="1:15" x14ac:dyDescent="0.25">
      <c r="A3752" s="35" t="s">
        <v>8275</v>
      </c>
      <c r="B3752" s="36" t="s">
        <v>8276</v>
      </c>
      <c r="C3752" s="36" t="str">
        <f>HYPERLINK("https://rhld.insurance.arkansas.gov/NPILookup?Npi=1063614907","1063614907")</f>
        <v>1063614907</v>
      </c>
      <c r="D3752" s="36" t="s">
        <v>36255</v>
      </c>
      <c r="E3752" s="36" t="s">
        <v>2</v>
      </c>
      <c r="F3752" s="36">
        <v>1</v>
      </c>
      <c r="G3752" s="36">
        <v>2</v>
      </c>
      <c r="H3752" s="36">
        <v>0</v>
      </c>
      <c r="I3752" s="37">
        <v>0</v>
      </c>
      <c r="J3752" s="36" t="s">
        <v>32679</v>
      </c>
      <c r="K3752" s="36" t="s">
        <v>14330</v>
      </c>
      <c r="L3752" s="36" t="s">
        <v>14330</v>
      </c>
      <c r="M3752">
        <v>3</v>
      </c>
      <c r="N3752" t="s">
        <v>14331</v>
      </c>
      <c r="O3752" t="s">
        <v>14333</v>
      </c>
    </row>
    <row r="3753" spans="1:15" x14ac:dyDescent="0.25">
      <c r="A3753" s="35" t="s">
        <v>8275</v>
      </c>
      <c r="B3753" s="36" t="s">
        <v>8276</v>
      </c>
      <c r="C3753" s="36" t="str">
        <f>HYPERLINK("https://rhld.insurance.arkansas.gov/NPILookup?Npi=1063622652","1063622652")</f>
        <v>1063622652</v>
      </c>
      <c r="D3753" s="36" t="s">
        <v>36256</v>
      </c>
      <c r="E3753" s="36" t="s">
        <v>2</v>
      </c>
      <c r="F3753" s="36">
        <v>1</v>
      </c>
      <c r="G3753" s="36">
        <v>3</v>
      </c>
      <c r="H3753" s="36">
        <v>0</v>
      </c>
      <c r="I3753" s="37">
        <v>0</v>
      </c>
      <c r="J3753" s="36" t="s">
        <v>36190</v>
      </c>
      <c r="K3753" s="36" t="s">
        <v>14330</v>
      </c>
      <c r="L3753" s="36" t="s">
        <v>14330</v>
      </c>
      <c r="M3753">
        <v>2</v>
      </c>
      <c r="N3753" t="s">
        <v>14331</v>
      </c>
      <c r="O3753" t="s">
        <v>14333</v>
      </c>
    </row>
    <row r="3754" spans="1:15" x14ac:dyDescent="0.25">
      <c r="A3754" s="35" t="s">
        <v>8275</v>
      </c>
      <c r="B3754" s="36" t="s">
        <v>8276</v>
      </c>
      <c r="C3754" s="36" t="str">
        <f>HYPERLINK("https://rhld.insurance.arkansas.gov/NPILookup?Npi=1063629962","1063629962")</f>
        <v>1063629962</v>
      </c>
      <c r="D3754" s="36" t="s">
        <v>36257</v>
      </c>
      <c r="E3754" s="36" t="s">
        <v>2</v>
      </c>
      <c r="F3754" s="36">
        <v>1</v>
      </c>
      <c r="G3754" s="36">
        <v>2</v>
      </c>
      <c r="H3754" s="36">
        <v>0</v>
      </c>
      <c r="I3754" s="37">
        <v>0</v>
      </c>
      <c r="J3754" s="36"/>
      <c r="K3754" s="36" t="s">
        <v>14330</v>
      </c>
      <c r="L3754" s="36" t="s">
        <v>14330</v>
      </c>
      <c r="M3754">
        <v>3</v>
      </c>
      <c r="N3754" t="s">
        <v>14331</v>
      </c>
      <c r="O3754" t="s">
        <v>14333</v>
      </c>
    </row>
    <row r="3755" spans="1:15" x14ac:dyDescent="0.25">
      <c r="A3755" s="35" t="s">
        <v>8275</v>
      </c>
      <c r="B3755" s="36" t="s">
        <v>8276</v>
      </c>
      <c r="C3755" s="36" t="str">
        <f>HYPERLINK("https://rhld.insurance.arkansas.gov/NPILookup?Npi=1063957546","1063957546")</f>
        <v>1063957546</v>
      </c>
      <c r="D3755" s="36" t="s">
        <v>36258</v>
      </c>
      <c r="E3755" s="36" t="s">
        <v>2</v>
      </c>
      <c r="F3755" s="36">
        <v>1</v>
      </c>
      <c r="G3755" s="36">
        <v>3</v>
      </c>
      <c r="H3755" s="36">
        <v>0</v>
      </c>
      <c r="I3755" s="37">
        <v>0</v>
      </c>
      <c r="J3755" s="36" t="s">
        <v>36190</v>
      </c>
      <c r="K3755" s="36" t="s">
        <v>14330</v>
      </c>
      <c r="L3755" s="36" t="s">
        <v>14330</v>
      </c>
      <c r="M3755">
        <v>3</v>
      </c>
      <c r="N3755" t="s">
        <v>14331</v>
      </c>
      <c r="O3755" t="s">
        <v>14333</v>
      </c>
    </row>
    <row r="3756" spans="1:15" x14ac:dyDescent="0.25">
      <c r="A3756" s="35" t="s">
        <v>8275</v>
      </c>
      <c r="B3756" s="36" t="s">
        <v>8276</v>
      </c>
      <c r="C3756" s="36" t="str">
        <f>HYPERLINK("https://rhld.insurance.arkansas.gov/NPILookup?Npi=1063977965","1063977965")</f>
        <v>1063977965</v>
      </c>
      <c r="D3756" s="36" t="s">
        <v>36259</v>
      </c>
      <c r="E3756" s="36" t="s">
        <v>2</v>
      </c>
      <c r="F3756" s="36">
        <v>1</v>
      </c>
      <c r="G3756" s="36">
        <v>3</v>
      </c>
      <c r="H3756" s="36">
        <v>0</v>
      </c>
      <c r="I3756" s="37">
        <v>0</v>
      </c>
      <c r="J3756" s="36" t="s">
        <v>36190</v>
      </c>
      <c r="K3756" s="36" t="s">
        <v>14330</v>
      </c>
      <c r="L3756" s="36" t="s">
        <v>14330</v>
      </c>
      <c r="M3756">
        <v>2</v>
      </c>
      <c r="N3756" t="s">
        <v>14331</v>
      </c>
      <c r="O3756" t="s">
        <v>14333</v>
      </c>
    </row>
    <row r="3757" spans="1:15" x14ac:dyDescent="0.25">
      <c r="A3757" s="35" t="s">
        <v>8275</v>
      </c>
      <c r="B3757" s="36" t="s">
        <v>8276</v>
      </c>
      <c r="C3757" s="36" t="str">
        <f>HYPERLINK("https://rhld.insurance.arkansas.gov/NPILookup?Npi=1063979128","1063979128")</f>
        <v>1063979128</v>
      </c>
      <c r="D3757" s="36" t="s">
        <v>34945</v>
      </c>
      <c r="E3757" s="36" t="s">
        <v>2</v>
      </c>
      <c r="F3757" s="36">
        <v>1</v>
      </c>
      <c r="G3757" s="36">
        <v>2</v>
      </c>
      <c r="H3757" s="36">
        <v>0</v>
      </c>
      <c r="I3757" s="37">
        <v>0</v>
      </c>
      <c r="J3757" s="36"/>
      <c r="K3757" s="36" t="s">
        <v>14330</v>
      </c>
      <c r="L3757" s="36" t="s">
        <v>14330</v>
      </c>
      <c r="M3757">
        <v>2</v>
      </c>
      <c r="N3757" t="s">
        <v>14331</v>
      </c>
      <c r="O3757" t="s">
        <v>14333</v>
      </c>
    </row>
    <row r="3758" spans="1:15" x14ac:dyDescent="0.25">
      <c r="A3758" s="35" t="s">
        <v>8275</v>
      </c>
      <c r="B3758" s="36" t="s">
        <v>8276</v>
      </c>
      <c r="C3758" s="36" t="str">
        <f>HYPERLINK("https://rhld.insurance.arkansas.gov/NPILookup?Npi=1063999464","1063999464")</f>
        <v>1063999464</v>
      </c>
      <c r="D3758" s="36" t="s">
        <v>36260</v>
      </c>
      <c r="E3758" s="36" t="s">
        <v>2</v>
      </c>
      <c r="F3758" s="36">
        <v>1</v>
      </c>
      <c r="G3758" s="36">
        <v>2</v>
      </c>
      <c r="H3758" s="36">
        <v>0</v>
      </c>
      <c r="I3758" s="37">
        <v>0</v>
      </c>
      <c r="J3758" s="36" t="s">
        <v>36190</v>
      </c>
      <c r="K3758" s="36" t="s">
        <v>14330</v>
      </c>
      <c r="L3758" s="36" t="s">
        <v>14330</v>
      </c>
      <c r="M3758">
        <v>2</v>
      </c>
      <c r="N3758" t="s">
        <v>14331</v>
      </c>
      <c r="O3758" t="s">
        <v>14333</v>
      </c>
    </row>
    <row r="3759" spans="1:15" x14ac:dyDescent="0.25">
      <c r="A3759" s="35" t="s">
        <v>8275</v>
      </c>
      <c r="B3759" s="36" t="s">
        <v>8276</v>
      </c>
      <c r="C3759" s="36" t="str">
        <f>HYPERLINK("https://rhld.insurance.arkansas.gov/NPILookup?Npi=1073075735","1073075735")</f>
        <v>1073075735</v>
      </c>
      <c r="D3759" s="36" t="s">
        <v>36261</v>
      </c>
      <c r="E3759" s="36" t="s">
        <v>2</v>
      </c>
      <c r="F3759" s="36">
        <v>1</v>
      </c>
      <c r="G3759" s="36">
        <v>2</v>
      </c>
      <c r="H3759" s="36">
        <v>0</v>
      </c>
      <c r="I3759" s="37">
        <v>0</v>
      </c>
      <c r="J3759" s="36" t="s">
        <v>36190</v>
      </c>
      <c r="K3759" s="36" t="s">
        <v>14330</v>
      </c>
      <c r="L3759" s="36" t="s">
        <v>14330</v>
      </c>
      <c r="M3759">
        <v>2</v>
      </c>
      <c r="N3759" t="s">
        <v>14331</v>
      </c>
      <c r="O3759" t="s">
        <v>14333</v>
      </c>
    </row>
    <row r="3760" spans="1:15" x14ac:dyDescent="0.25">
      <c r="A3760" s="35" t="s">
        <v>8275</v>
      </c>
      <c r="B3760" s="36" t="s">
        <v>8276</v>
      </c>
      <c r="C3760" s="36" t="str">
        <f>HYPERLINK("https://rhld.insurance.arkansas.gov/NPILookup?Npi=1073194023","1073194023")</f>
        <v>1073194023</v>
      </c>
      <c r="D3760" s="36" t="s">
        <v>34949</v>
      </c>
      <c r="E3760" s="36" t="s">
        <v>2</v>
      </c>
      <c r="F3760" s="36">
        <v>1</v>
      </c>
      <c r="G3760" s="36">
        <v>2</v>
      </c>
      <c r="H3760" s="36">
        <v>0</v>
      </c>
      <c r="I3760" s="37">
        <v>0</v>
      </c>
      <c r="J3760" s="36"/>
      <c r="K3760" s="36" t="s">
        <v>14330</v>
      </c>
      <c r="L3760" s="36" t="s">
        <v>14330</v>
      </c>
      <c r="M3760">
        <v>3</v>
      </c>
      <c r="N3760" t="s">
        <v>14331</v>
      </c>
      <c r="O3760" t="s">
        <v>14333</v>
      </c>
    </row>
    <row r="3761" spans="1:15" x14ac:dyDescent="0.25">
      <c r="A3761" s="35" t="s">
        <v>8275</v>
      </c>
      <c r="B3761" s="36" t="s">
        <v>8276</v>
      </c>
      <c r="C3761" s="36" t="str">
        <f>HYPERLINK("https://rhld.insurance.arkansas.gov/NPILookup?Npi=1073269106","1073269106")</f>
        <v>1073269106</v>
      </c>
      <c r="D3761" s="36" t="s">
        <v>36262</v>
      </c>
      <c r="E3761" s="36" t="s">
        <v>2</v>
      </c>
      <c r="F3761" s="36">
        <v>1</v>
      </c>
      <c r="G3761" s="36">
        <v>3</v>
      </c>
      <c r="H3761" s="36">
        <v>0</v>
      </c>
      <c r="I3761" s="37">
        <v>0</v>
      </c>
      <c r="J3761" s="36" t="s">
        <v>36190</v>
      </c>
      <c r="K3761" s="36" t="s">
        <v>14330</v>
      </c>
      <c r="L3761" s="36" t="s">
        <v>14330</v>
      </c>
      <c r="M3761">
        <v>1</v>
      </c>
      <c r="N3761" t="s">
        <v>14331</v>
      </c>
      <c r="O3761" t="s">
        <v>14333</v>
      </c>
    </row>
    <row r="3762" spans="1:15" x14ac:dyDescent="0.25">
      <c r="A3762" s="35" t="s">
        <v>8275</v>
      </c>
      <c r="B3762" s="36" t="s">
        <v>8276</v>
      </c>
      <c r="C3762" s="36" t="str">
        <f>HYPERLINK("https://rhld.insurance.arkansas.gov/NPILookup?Npi=1073296471","1073296471")</f>
        <v>1073296471</v>
      </c>
      <c r="D3762" s="36" t="s">
        <v>34950</v>
      </c>
      <c r="E3762" s="36" t="s">
        <v>2</v>
      </c>
      <c r="F3762" s="36">
        <v>1</v>
      </c>
      <c r="G3762" s="36">
        <v>1</v>
      </c>
      <c r="H3762" s="36">
        <v>0</v>
      </c>
      <c r="I3762" s="37">
        <v>0</v>
      </c>
      <c r="J3762" s="36"/>
      <c r="K3762" s="36" t="s">
        <v>14330</v>
      </c>
      <c r="L3762" s="36" t="s">
        <v>14330</v>
      </c>
      <c r="M3762">
        <v>2</v>
      </c>
      <c r="N3762" t="s">
        <v>14331</v>
      </c>
      <c r="O3762" t="s">
        <v>32633</v>
      </c>
    </row>
    <row r="3763" spans="1:15" x14ac:dyDescent="0.25">
      <c r="A3763" s="35" t="s">
        <v>8275</v>
      </c>
      <c r="B3763" s="36" t="s">
        <v>8276</v>
      </c>
      <c r="C3763" s="36" t="str">
        <f>HYPERLINK("https://rhld.insurance.arkansas.gov/NPILookup?Npi=1073326765","1073326765")</f>
        <v>1073326765</v>
      </c>
      <c r="D3763" s="36" t="s">
        <v>34951</v>
      </c>
      <c r="E3763" s="36" t="s">
        <v>2</v>
      </c>
      <c r="F3763" s="36">
        <v>1</v>
      </c>
      <c r="G3763" s="36">
        <v>2</v>
      </c>
      <c r="H3763" s="36">
        <v>0</v>
      </c>
      <c r="I3763" s="37">
        <v>0</v>
      </c>
      <c r="J3763" s="36"/>
      <c r="K3763" s="36" t="s">
        <v>14330</v>
      </c>
      <c r="L3763" s="36" t="s">
        <v>14330</v>
      </c>
      <c r="M3763">
        <v>3</v>
      </c>
      <c r="N3763" t="s">
        <v>14331</v>
      </c>
      <c r="O3763" t="s">
        <v>14333</v>
      </c>
    </row>
    <row r="3764" spans="1:15" x14ac:dyDescent="0.25">
      <c r="A3764" s="35" t="s">
        <v>8275</v>
      </c>
      <c r="B3764" s="36" t="s">
        <v>8276</v>
      </c>
      <c r="C3764" s="36" t="str">
        <f>HYPERLINK("https://rhld.insurance.arkansas.gov/NPILookup?Npi=1073512828","1073512828")</f>
        <v>1073512828</v>
      </c>
      <c r="D3764" s="36" t="s">
        <v>32974</v>
      </c>
      <c r="E3764" s="36" t="s">
        <v>2</v>
      </c>
      <c r="F3764" s="36">
        <v>1</v>
      </c>
      <c r="G3764" s="36">
        <v>3</v>
      </c>
      <c r="H3764" s="36">
        <v>0</v>
      </c>
      <c r="I3764" s="37">
        <v>0</v>
      </c>
      <c r="J3764" s="36" t="s">
        <v>36190</v>
      </c>
      <c r="K3764" s="36" t="s">
        <v>14330</v>
      </c>
      <c r="L3764" s="36" t="s">
        <v>14330</v>
      </c>
      <c r="M3764">
        <v>3</v>
      </c>
      <c r="N3764" t="s">
        <v>14331</v>
      </c>
      <c r="O3764" t="s">
        <v>14333</v>
      </c>
    </row>
    <row r="3765" spans="1:15" x14ac:dyDescent="0.25">
      <c r="A3765" s="35" t="s">
        <v>8275</v>
      </c>
      <c r="B3765" s="36" t="s">
        <v>8276</v>
      </c>
      <c r="C3765" s="36" t="str">
        <f>HYPERLINK("https://rhld.insurance.arkansas.gov/NPILookup?Npi=1073536132","1073536132")</f>
        <v>1073536132</v>
      </c>
      <c r="D3765" s="36" t="s">
        <v>36263</v>
      </c>
      <c r="E3765" s="36" t="s">
        <v>2</v>
      </c>
      <c r="F3765" s="36">
        <v>1</v>
      </c>
      <c r="G3765" s="36">
        <v>3</v>
      </c>
      <c r="H3765" s="36">
        <v>0</v>
      </c>
      <c r="I3765" s="37">
        <v>0</v>
      </c>
      <c r="J3765" s="36" t="s">
        <v>36190</v>
      </c>
      <c r="K3765" s="36" t="s">
        <v>14330</v>
      </c>
      <c r="L3765" s="36" t="s">
        <v>14330</v>
      </c>
      <c r="M3765">
        <v>2</v>
      </c>
      <c r="N3765" t="s">
        <v>14331</v>
      </c>
      <c r="O3765" t="s">
        <v>14333</v>
      </c>
    </row>
    <row r="3766" spans="1:15" x14ac:dyDescent="0.25">
      <c r="A3766" s="35" t="s">
        <v>8275</v>
      </c>
      <c r="B3766" s="36" t="s">
        <v>8276</v>
      </c>
      <c r="C3766" s="36" t="str">
        <f>HYPERLINK("https://rhld.insurance.arkansas.gov/NPILookup?Npi=1073569828","1073569828")</f>
        <v>1073569828</v>
      </c>
      <c r="D3766" s="36" t="s">
        <v>36264</v>
      </c>
      <c r="E3766" s="36" t="s">
        <v>2</v>
      </c>
      <c r="F3766" s="36">
        <v>1</v>
      </c>
      <c r="G3766" s="36">
        <v>2</v>
      </c>
      <c r="H3766" s="36">
        <v>0</v>
      </c>
      <c r="I3766" s="37">
        <v>0</v>
      </c>
      <c r="J3766" s="36" t="s">
        <v>36190</v>
      </c>
      <c r="K3766" s="36" t="s">
        <v>14330</v>
      </c>
      <c r="L3766" s="36" t="s">
        <v>14330</v>
      </c>
      <c r="M3766">
        <v>3</v>
      </c>
      <c r="N3766" t="s">
        <v>14331</v>
      </c>
      <c r="O3766" t="s">
        <v>14333</v>
      </c>
    </row>
    <row r="3767" spans="1:15" x14ac:dyDescent="0.25">
      <c r="A3767" s="35" t="s">
        <v>8275</v>
      </c>
      <c r="B3767" s="36" t="s">
        <v>8276</v>
      </c>
      <c r="C3767" s="36" t="str">
        <f>HYPERLINK("https://rhld.insurance.arkansas.gov/NPILookup?Npi=1073592523","1073592523")</f>
        <v>1073592523</v>
      </c>
      <c r="D3767" s="36" t="s">
        <v>36265</v>
      </c>
      <c r="E3767" s="36" t="s">
        <v>2</v>
      </c>
      <c r="F3767" s="36">
        <v>1</v>
      </c>
      <c r="G3767" s="36">
        <v>3</v>
      </c>
      <c r="H3767" s="36">
        <v>0</v>
      </c>
      <c r="I3767" s="37">
        <v>0</v>
      </c>
      <c r="J3767" s="36" t="s">
        <v>36190</v>
      </c>
      <c r="K3767" s="36" t="s">
        <v>14330</v>
      </c>
      <c r="L3767" s="36" t="s">
        <v>14330</v>
      </c>
      <c r="M3767">
        <v>0</v>
      </c>
      <c r="N3767" t="s">
        <v>14331</v>
      </c>
      <c r="O3767" t="s">
        <v>14333</v>
      </c>
    </row>
    <row r="3768" spans="1:15" x14ac:dyDescent="0.25">
      <c r="A3768" s="35" t="s">
        <v>8275</v>
      </c>
      <c r="B3768" s="36" t="s">
        <v>8276</v>
      </c>
      <c r="C3768" s="36" t="str">
        <f>HYPERLINK("https://rhld.insurance.arkansas.gov/NPILookup?Npi=1073603403","1073603403")</f>
        <v>1073603403</v>
      </c>
      <c r="D3768" s="36" t="s">
        <v>36266</v>
      </c>
      <c r="E3768" s="36" t="s">
        <v>1</v>
      </c>
      <c r="F3768" s="36">
        <v>1</v>
      </c>
      <c r="G3768" s="36">
        <v>1</v>
      </c>
      <c r="H3768" s="36">
        <v>1</v>
      </c>
      <c r="I3768" s="37">
        <v>0</v>
      </c>
      <c r="J3768" s="36" t="s">
        <v>32654</v>
      </c>
      <c r="K3768" s="36" t="s">
        <v>14330</v>
      </c>
      <c r="L3768" s="36" t="s">
        <v>14330</v>
      </c>
      <c r="M3768">
        <v>2</v>
      </c>
      <c r="N3768" t="s">
        <v>14332</v>
      </c>
      <c r="O3768" t="s">
        <v>34305</v>
      </c>
    </row>
    <row r="3769" spans="1:15" x14ac:dyDescent="0.25">
      <c r="A3769" s="35" t="s">
        <v>8275</v>
      </c>
      <c r="B3769" s="36" t="s">
        <v>8276</v>
      </c>
      <c r="C3769" s="36" t="str">
        <f>HYPERLINK("https://rhld.insurance.arkansas.gov/NPILookup?Npi=1073806618","1073806618")</f>
        <v>1073806618</v>
      </c>
      <c r="D3769" s="36" t="s">
        <v>36267</v>
      </c>
      <c r="E3769" s="36" t="s">
        <v>1</v>
      </c>
      <c r="F3769" s="36">
        <v>1</v>
      </c>
      <c r="G3769" s="36">
        <v>2</v>
      </c>
      <c r="H3769" s="36">
        <v>0</v>
      </c>
      <c r="I3769" s="37">
        <v>0</v>
      </c>
      <c r="J3769" s="36" t="s">
        <v>32654</v>
      </c>
      <c r="K3769" s="36" t="s">
        <v>14330</v>
      </c>
      <c r="L3769" s="36" t="s">
        <v>14330</v>
      </c>
      <c r="M3769">
        <v>3</v>
      </c>
      <c r="N3769" t="s">
        <v>14331</v>
      </c>
      <c r="O3769" t="s">
        <v>32633</v>
      </c>
    </row>
    <row r="3770" spans="1:15" x14ac:dyDescent="0.25">
      <c r="A3770" s="35" t="s">
        <v>8275</v>
      </c>
      <c r="B3770" s="36" t="s">
        <v>8276</v>
      </c>
      <c r="C3770" s="36" t="str">
        <f>HYPERLINK("https://rhld.insurance.arkansas.gov/NPILookup?Npi=1073953626","1073953626")</f>
        <v>1073953626</v>
      </c>
      <c r="D3770" s="36" t="s">
        <v>36268</v>
      </c>
      <c r="E3770" s="36" t="s">
        <v>2</v>
      </c>
      <c r="F3770" s="36">
        <v>1</v>
      </c>
      <c r="G3770" s="36">
        <v>3</v>
      </c>
      <c r="H3770" s="36">
        <v>0</v>
      </c>
      <c r="I3770" s="37">
        <v>0</v>
      </c>
      <c r="J3770" s="36" t="s">
        <v>36190</v>
      </c>
      <c r="K3770" s="36" t="s">
        <v>14330</v>
      </c>
      <c r="L3770" s="36" t="s">
        <v>14330</v>
      </c>
      <c r="M3770">
        <v>2</v>
      </c>
      <c r="N3770" t="s">
        <v>14331</v>
      </c>
      <c r="O3770" t="s">
        <v>14333</v>
      </c>
    </row>
    <row r="3771" spans="1:15" x14ac:dyDescent="0.25">
      <c r="A3771" s="35" t="s">
        <v>8275</v>
      </c>
      <c r="B3771" s="36" t="s">
        <v>8276</v>
      </c>
      <c r="C3771" s="36" t="str">
        <f>HYPERLINK("https://rhld.insurance.arkansas.gov/NPILookup?Npi=1073970166","1073970166")</f>
        <v>1073970166</v>
      </c>
      <c r="D3771" s="36" t="s">
        <v>36269</v>
      </c>
      <c r="E3771" s="36" t="s">
        <v>2</v>
      </c>
      <c r="F3771" s="36">
        <v>1</v>
      </c>
      <c r="G3771" s="36">
        <v>2</v>
      </c>
      <c r="H3771" s="36">
        <v>0</v>
      </c>
      <c r="I3771" s="37">
        <v>0</v>
      </c>
      <c r="J3771" s="36" t="s">
        <v>36190</v>
      </c>
      <c r="K3771" s="36" t="s">
        <v>14330</v>
      </c>
      <c r="L3771" s="36" t="s">
        <v>14330</v>
      </c>
      <c r="M3771">
        <v>1</v>
      </c>
      <c r="N3771" t="s">
        <v>14331</v>
      </c>
      <c r="O3771" t="s">
        <v>14333</v>
      </c>
    </row>
    <row r="3772" spans="1:15" x14ac:dyDescent="0.25">
      <c r="A3772" s="35" t="s">
        <v>8275</v>
      </c>
      <c r="B3772" s="36" t="s">
        <v>8276</v>
      </c>
      <c r="C3772" s="36" t="str">
        <f>HYPERLINK("https://rhld.insurance.arkansas.gov/NPILookup?Npi=1083001382","1083001382")</f>
        <v>1083001382</v>
      </c>
      <c r="D3772" s="36" t="s">
        <v>36270</v>
      </c>
      <c r="E3772" s="36" t="s">
        <v>1</v>
      </c>
      <c r="F3772" s="36">
        <v>1</v>
      </c>
      <c r="G3772" s="36">
        <v>2</v>
      </c>
      <c r="H3772" s="36">
        <v>1</v>
      </c>
      <c r="I3772" s="37">
        <v>0</v>
      </c>
      <c r="J3772" s="36" t="s">
        <v>32654</v>
      </c>
      <c r="K3772" s="36" t="s">
        <v>14330</v>
      </c>
      <c r="L3772" s="36" t="s">
        <v>36271</v>
      </c>
      <c r="M3772">
        <v>2</v>
      </c>
      <c r="N3772" t="s">
        <v>14332</v>
      </c>
      <c r="O3772" t="s">
        <v>32591</v>
      </c>
    </row>
    <row r="3773" spans="1:15" x14ac:dyDescent="0.25">
      <c r="A3773" s="35" t="s">
        <v>8275</v>
      </c>
      <c r="B3773" s="36" t="s">
        <v>8276</v>
      </c>
      <c r="C3773" s="36" t="str">
        <f>HYPERLINK("https://rhld.insurance.arkansas.gov/NPILookup?Npi=1083289144","1083289144")</f>
        <v>1083289144</v>
      </c>
      <c r="D3773" s="36" t="s">
        <v>34961</v>
      </c>
      <c r="E3773" s="36" t="s">
        <v>2</v>
      </c>
      <c r="F3773" s="36">
        <v>1</v>
      </c>
      <c r="G3773" s="36">
        <v>2</v>
      </c>
      <c r="H3773" s="36">
        <v>0</v>
      </c>
      <c r="I3773" s="37">
        <v>0</v>
      </c>
      <c r="J3773" s="36"/>
      <c r="K3773" s="36" t="s">
        <v>14330</v>
      </c>
      <c r="L3773" s="36" t="s">
        <v>14330</v>
      </c>
      <c r="M3773">
        <v>3</v>
      </c>
      <c r="N3773" t="s">
        <v>14331</v>
      </c>
      <c r="O3773" t="s">
        <v>14333</v>
      </c>
    </row>
    <row r="3774" spans="1:15" x14ac:dyDescent="0.25">
      <c r="A3774" s="35" t="s">
        <v>8275</v>
      </c>
      <c r="B3774" s="36" t="s">
        <v>8276</v>
      </c>
      <c r="C3774" s="36" t="str">
        <f>HYPERLINK("https://rhld.insurance.arkansas.gov/NPILookup?Npi=1083297741","1083297741")</f>
        <v>1083297741</v>
      </c>
      <c r="D3774" s="36" t="s">
        <v>36272</v>
      </c>
      <c r="E3774" s="36" t="s">
        <v>2</v>
      </c>
      <c r="F3774" s="36">
        <v>1</v>
      </c>
      <c r="G3774" s="36">
        <v>3</v>
      </c>
      <c r="H3774" s="36">
        <v>0</v>
      </c>
      <c r="I3774" s="37">
        <v>0</v>
      </c>
      <c r="J3774" s="36" t="s">
        <v>36190</v>
      </c>
      <c r="K3774" s="36" t="s">
        <v>14330</v>
      </c>
      <c r="L3774" s="36" t="s">
        <v>14330</v>
      </c>
      <c r="M3774">
        <v>2</v>
      </c>
      <c r="N3774" t="s">
        <v>14331</v>
      </c>
      <c r="O3774" t="s">
        <v>14333</v>
      </c>
    </row>
    <row r="3775" spans="1:15" x14ac:dyDescent="0.25">
      <c r="A3775" s="35" t="s">
        <v>8275</v>
      </c>
      <c r="B3775" s="36" t="s">
        <v>8276</v>
      </c>
      <c r="C3775" s="36" t="str">
        <f>HYPERLINK("https://rhld.insurance.arkansas.gov/NPILookup?Npi=1083315170","1083315170")</f>
        <v>1083315170</v>
      </c>
      <c r="D3775" s="36" t="s">
        <v>34962</v>
      </c>
      <c r="E3775" s="36" t="s">
        <v>2</v>
      </c>
      <c r="F3775" s="36">
        <v>1</v>
      </c>
      <c r="G3775" s="36">
        <v>2</v>
      </c>
      <c r="H3775" s="36">
        <v>0</v>
      </c>
      <c r="I3775" s="37">
        <v>0</v>
      </c>
      <c r="J3775" s="36"/>
      <c r="K3775" s="36" t="s">
        <v>14330</v>
      </c>
      <c r="L3775" s="36" t="s">
        <v>14330</v>
      </c>
      <c r="M3775">
        <v>2</v>
      </c>
      <c r="N3775" t="s">
        <v>14331</v>
      </c>
      <c r="O3775" t="s">
        <v>14333</v>
      </c>
    </row>
    <row r="3776" spans="1:15" x14ac:dyDescent="0.25">
      <c r="A3776" s="35" t="s">
        <v>8275</v>
      </c>
      <c r="B3776" s="36" t="s">
        <v>8276</v>
      </c>
      <c r="C3776" s="36" t="str">
        <f>HYPERLINK("https://rhld.insurance.arkansas.gov/NPILookup?Npi=1083371686","1083371686")</f>
        <v>1083371686</v>
      </c>
      <c r="D3776" s="36" t="s">
        <v>36273</v>
      </c>
      <c r="E3776" s="36" t="s">
        <v>2</v>
      </c>
      <c r="F3776" s="36">
        <v>1</v>
      </c>
      <c r="G3776" s="36">
        <v>2</v>
      </c>
      <c r="H3776" s="36">
        <v>0</v>
      </c>
      <c r="I3776" s="37">
        <v>0</v>
      </c>
      <c r="J3776" s="36" t="s">
        <v>36190</v>
      </c>
      <c r="K3776" s="36" t="s">
        <v>14330</v>
      </c>
      <c r="L3776" s="36" t="s">
        <v>14330</v>
      </c>
      <c r="M3776">
        <v>3</v>
      </c>
      <c r="N3776" t="s">
        <v>14331</v>
      </c>
      <c r="O3776" t="s">
        <v>14333</v>
      </c>
    </row>
    <row r="3777" spans="1:15" x14ac:dyDescent="0.25">
      <c r="A3777" s="35" t="s">
        <v>8275</v>
      </c>
      <c r="B3777" s="36" t="s">
        <v>8276</v>
      </c>
      <c r="C3777" s="36" t="str">
        <f>HYPERLINK("https://rhld.insurance.arkansas.gov/NPILookup?Npi=1083388359","1083388359")</f>
        <v>1083388359</v>
      </c>
      <c r="D3777" s="36" t="s">
        <v>36274</v>
      </c>
      <c r="E3777" s="36" t="s">
        <v>2</v>
      </c>
      <c r="F3777" s="36">
        <v>1</v>
      </c>
      <c r="G3777" s="36">
        <v>3</v>
      </c>
      <c r="H3777" s="36">
        <v>0</v>
      </c>
      <c r="I3777" s="37">
        <v>0</v>
      </c>
      <c r="J3777" s="36" t="s">
        <v>36190</v>
      </c>
      <c r="K3777" s="36" t="s">
        <v>14330</v>
      </c>
      <c r="L3777" s="36" t="s">
        <v>14330</v>
      </c>
      <c r="M3777">
        <v>1</v>
      </c>
      <c r="N3777" t="s">
        <v>14331</v>
      </c>
      <c r="O3777" t="s">
        <v>14333</v>
      </c>
    </row>
    <row r="3778" spans="1:15" x14ac:dyDescent="0.25">
      <c r="A3778" s="35" t="s">
        <v>8275</v>
      </c>
      <c r="B3778" s="36" t="s">
        <v>8276</v>
      </c>
      <c r="C3778" s="36" t="str">
        <f>HYPERLINK("https://rhld.insurance.arkansas.gov/NPILookup?Npi=1083433403","1083433403")</f>
        <v>1083433403</v>
      </c>
      <c r="D3778" s="36" t="s">
        <v>34672</v>
      </c>
      <c r="E3778" s="36" t="s">
        <v>2</v>
      </c>
      <c r="F3778" s="36">
        <v>1</v>
      </c>
      <c r="G3778" s="36">
        <v>1</v>
      </c>
      <c r="H3778" s="36">
        <v>0</v>
      </c>
      <c r="I3778" s="37">
        <v>0</v>
      </c>
      <c r="J3778" s="36"/>
      <c r="K3778" s="36" t="s">
        <v>14330</v>
      </c>
      <c r="L3778" s="36" t="s">
        <v>14330</v>
      </c>
      <c r="M3778">
        <v>2</v>
      </c>
      <c r="N3778" t="s">
        <v>14331</v>
      </c>
      <c r="O3778" t="s">
        <v>32633</v>
      </c>
    </row>
    <row r="3779" spans="1:15" x14ac:dyDescent="0.25">
      <c r="A3779" s="35" t="s">
        <v>8275</v>
      </c>
      <c r="B3779" s="36" t="s">
        <v>8276</v>
      </c>
      <c r="C3779" s="36" t="str">
        <f>HYPERLINK("https://rhld.insurance.arkansas.gov/NPILookup?Npi=1083433981","1083433981")</f>
        <v>1083433981</v>
      </c>
      <c r="D3779" s="36" t="s">
        <v>31279</v>
      </c>
      <c r="E3779" s="36" t="s">
        <v>2</v>
      </c>
      <c r="F3779" s="36">
        <v>1</v>
      </c>
      <c r="G3779" s="36">
        <v>2</v>
      </c>
      <c r="H3779" s="36">
        <v>0</v>
      </c>
      <c r="I3779" s="37">
        <v>0</v>
      </c>
      <c r="J3779" s="36"/>
      <c r="K3779" s="36" t="s">
        <v>14330</v>
      </c>
      <c r="L3779" s="36" t="s">
        <v>14330</v>
      </c>
      <c r="M3779">
        <v>3</v>
      </c>
      <c r="N3779" t="s">
        <v>14331</v>
      </c>
      <c r="O3779" t="s">
        <v>14333</v>
      </c>
    </row>
    <row r="3780" spans="1:15" x14ac:dyDescent="0.25">
      <c r="A3780" s="35" t="s">
        <v>8275</v>
      </c>
      <c r="B3780" s="36" t="s">
        <v>8276</v>
      </c>
      <c r="C3780" s="36" t="str">
        <f>HYPERLINK("https://rhld.insurance.arkansas.gov/NPILookup?Npi=1083481139","1083481139")</f>
        <v>1083481139</v>
      </c>
      <c r="D3780" s="36" t="s">
        <v>36275</v>
      </c>
      <c r="E3780" s="36" t="s">
        <v>2</v>
      </c>
      <c r="F3780" s="36">
        <v>1</v>
      </c>
      <c r="G3780" s="36">
        <v>3</v>
      </c>
      <c r="H3780" s="36">
        <v>0</v>
      </c>
      <c r="I3780" s="37">
        <v>0</v>
      </c>
      <c r="J3780" s="36" t="s">
        <v>36190</v>
      </c>
      <c r="K3780" s="36" t="s">
        <v>14330</v>
      </c>
      <c r="L3780" s="36" t="s">
        <v>14330</v>
      </c>
      <c r="M3780">
        <v>2</v>
      </c>
      <c r="N3780" t="s">
        <v>14331</v>
      </c>
      <c r="O3780" t="s">
        <v>14333</v>
      </c>
    </row>
    <row r="3781" spans="1:15" x14ac:dyDescent="0.25">
      <c r="A3781" s="35" t="s">
        <v>8275</v>
      </c>
      <c r="B3781" s="36" t="s">
        <v>8276</v>
      </c>
      <c r="C3781" s="36" t="str">
        <f>HYPERLINK("https://rhld.insurance.arkansas.gov/NPILookup?Npi=1083616080","1083616080")</f>
        <v>1083616080</v>
      </c>
      <c r="D3781" s="36" t="s">
        <v>36276</v>
      </c>
      <c r="E3781" s="36" t="s">
        <v>2</v>
      </c>
      <c r="F3781" s="36">
        <v>1</v>
      </c>
      <c r="G3781" s="36">
        <v>2</v>
      </c>
      <c r="H3781" s="36">
        <v>0</v>
      </c>
      <c r="I3781" s="37">
        <v>0</v>
      </c>
      <c r="J3781" s="36" t="s">
        <v>36190</v>
      </c>
      <c r="K3781" s="36" t="s">
        <v>14330</v>
      </c>
      <c r="L3781" s="36" t="s">
        <v>14330</v>
      </c>
      <c r="M3781">
        <v>2</v>
      </c>
      <c r="N3781" t="s">
        <v>14331</v>
      </c>
      <c r="O3781" t="s">
        <v>14333</v>
      </c>
    </row>
    <row r="3782" spans="1:15" x14ac:dyDescent="0.25">
      <c r="A3782" s="35" t="s">
        <v>8275</v>
      </c>
      <c r="B3782" s="36" t="s">
        <v>8276</v>
      </c>
      <c r="C3782" s="36" t="str">
        <f>HYPERLINK("https://rhld.insurance.arkansas.gov/NPILookup?Npi=1083689855","1083689855")</f>
        <v>1083689855</v>
      </c>
      <c r="D3782" s="36" t="s">
        <v>32982</v>
      </c>
      <c r="E3782" s="36" t="s">
        <v>2</v>
      </c>
      <c r="F3782" s="36">
        <v>1</v>
      </c>
      <c r="G3782" s="36">
        <v>2</v>
      </c>
      <c r="H3782" s="36">
        <v>0</v>
      </c>
      <c r="I3782" s="37">
        <v>0</v>
      </c>
      <c r="J3782" s="36" t="s">
        <v>36190</v>
      </c>
      <c r="K3782" s="36" t="s">
        <v>14330</v>
      </c>
      <c r="L3782" s="36" t="s">
        <v>14330</v>
      </c>
      <c r="M3782">
        <v>3</v>
      </c>
      <c r="N3782" t="s">
        <v>14331</v>
      </c>
      <c r="O3782" t="s">
        <v>14333</v>
      </c>
    </row>
    <row r="3783" spans="1:15" x14ac:dyDescent="0.25">
      <c r="A3783" s="35" t="s">
        <v>8275</v>
      </c>
      <c r="B3783" s="36" t="s">
        <v>8276</v>
      </c>
      <c r="C3783" s="36" t="str">
        <f>HYPERLINK("https://rhld.insurance.arkansas.gov/NPILookup?Npi=1083714117","1083714117")</f>
        <v>1083714117</v>
      </c>
      <c r="D3783" s="36" t="s">
        <v>36277</v>
      </c>
      <c r="E3783" s="36" t="s">
        <v>2</v>
      </c>
      <c r="F3783" s="36">
        <v>1</v>
      </c>
      <c r="G3783" s="36">
        <v>3</v>
      </c>
      <c r="H3783" s="36">
        <v>0</v>
      </c>
      <c r="I3783" s="37">
        <v>0</v>
      </c>
      <c r="J3783" s="36" t="s">
        <v>36190</v>
      </c>
      <c r="K3783" s="36" t="s">
        <v>14330</v>
      </c>
      <c r="L3783" s="36" t="s">
        <v>14330</v>
      </c>
      <c r="M3783">
        <v>2</v>
      </c>
      <c r="N3783" t="s">
        <v>14331</v>
      </c>
      <c r="O3783" t="s">
        <v>14333</v>
      </c>
    </row>
    <row r="3784" spans="1:15" x14ac:dyDescent="0.25">
      <c r="A3784" s="35" t="s">
        <v>8275</v>
      </c>
      <c r="B3784" s="36" t="s">
        <v>8276</v>
      </c>
      <c r="C3784" s="36" t="str">
        <f>HYPERLINK("https://rhld.insurance.arkansas.gov/NPILookup?Npi=1083833313","1083833313")</f>
        <v>1083833313</v>
      </c>
      <c r="D3784" s="36" t="s">
        <v>36278</v>
      </c>
      <c r="E3784" s="36" t="s">
        <v>1</v>
      </c>
      <c r="F3784" s="36">
        <v>1</v>
      </c>
      <c r="G3784" s="36">
        <v>2</v>
      </c>
      <c r="H3784" s="36">
        <v>0</v>
      </c>
      <c r="I3784" s="37">
        <v>0</v>
      </c>
      <c r="J3784" s="36" t="s">
        <v>32654</v>
      </c>
      <c r="K3784" s="36" t="s">
        <v>14330</v>
      </c>
      <c r="L3784" s="36" t="s">
        <v>14330</v>
      </c>
      <c r="M3784">
        <v>3</v>
      </c>
      <c r="N3784" t="s">
        <v>14331</v>
      </c>
      <c r="O3784" t="s">
        <v>32633</v>
      </c>
    </row>
    <row r="3785" spans="1:15" x14ac:dyDescent="0.25">
      <c r="A3785" s="35" t="s">
        <v>8275</v>
      </c>
      <c r="B3785" s="36" t="s">
        <v>8276</v>
      </c>
      <c r="C3785" s="36" t="str">
        <f>HYPERLINK("https://rhld.insurance.arkansas.gov/NPILookup?Npi=1083867444","1083867444")</f>
        <v>1083867444</v>
      </c>
      <c r="D3785" s="36" t="s">
        <v>36279</v>
      </c>
      <c r="E3785" s="36" t="s">
        <v>2</v>
      </c>
      <c r="F3785" s="36">
        <v>1</v>
      </c>
      <c r="G3785" s="36">
        <v>3</v>
      </c>
      <c r="H3785" s="36">
        <v>0</v>
      </c>
      <c r="I3785" s="37">
        <v>0</v>
      </c>
      <c r="J3785" s="36" t="s">
        <v>36190</v>
      </c>
      <c r="K3785" s="36" t="s">
        <v>14330</v>
      </c>
      <c r="L3785" s="36" t="s">
        <v>14330</v>
      </c>
      <c r="M3785">
        <v>3</v>
      </c>
      <c r="N3785" t="s">
        <v>14331</v>
      </c>
      <c r="O3785" t="s">
        <v>14333</v>
      </c>
    </row>
    <row r="3786" spans="1:15" x14ac:dyDescent="0.25">
      <c r="A3786" s="35" t="s">
        <v>8275</v>
      </c>
      <c r="B3786" s="36" t="s">
        <v>8276</v>
      </c>
      <c r="C3786" s="36" t="str">
        <f>HYPERLINK("https://rhld.insurance.arkansas.gov/NPILookup?Npi=1083972293","1083972293")</f>
        <v>1083972293</v>
      </c>
      <c r="D3786" s="36" t="s">
        <v>36280</v>
      </c>
      <c r="E3786" s="36" t="s">
        <v>1</v>
      </c>
      <c r="F3786" s="36">
        <v>2</v>
      </c>
      <c r="G3786" s="36">
        <v>3</v>
      </c>
      <c r="H3786" s="36">
        <v>0</v>
      </c>
      <c r="I3786" s="37">
        <v>0</v>
      </c>
      <c r="J3786" s="36" t="s">
        <v>36281</v>
      </c>
      <c r="K3786" s="36" t="s">
        <v>14330</v>
      </c>
      <c r="L3786" s="36" t="s">
        <v>14330</v>
      </c>
      <c r="M3786">
        <v>2</v>
      </c>
      <c r="N3786" t="s">
        <v>14331</v>
      </c>
      <c r="O3786" t="s">
        <v>32633</v>
      </c>
    </row>
    <row r="3787" spans="1:15" x14ac:dyDescent="0.25">
      <c r="A3787" s="35" t="s">
        <v>8275</v>
      </c>
      <c r="B3787" s="36" t="s">
        <v>8276</v>
      </c>
      <c r="C3787" s="36" t="str">
        <f>HYPERLINK("https://rhld.insurance.arkansas.gov/NPILookup?Npi=1093002768","1093002768")</f>
        <v>1093002768</v>
      </c>
      <c r="D3787" s="36" t="s">
        <v>34975</v>
      </c>
      <c r="E3787" s="36" t="s">
        <v>2</v>
      </c>
      <c r="F3787" s="36">
        <v>1</v>
      </c>
      <c r="G3787" s="36">
        <v>2</v>
      </c>
      <c r="H3787" s="36">
        <v>0</v>
      </c>
      <c r="I3787" s="37">
        <v>0</v>
      </c>
      <c r="J3787" s="36"/>
      <c r="K3787" s="36" t="s">
        <v>14330</v>
      </c>
      <c r="L3787" s="36" t="s">
        <v>14330</v>
      </c>
      <c r="M3787">
        <v>2</v>
      </c>
      <c r="N3787" t="s">
        <v>14331</v>
      </c>
      <c r="O3787" t="s">
        <v>14333</v>
      </c>
    </row>
    <row r="3788" spans="1:15" x14ac:dyDescent="0.25">
      <c r="A3788" s="35" t="s">
        <v>8275</v>
      </c>
      <c r="B3788" s="36" t="s">
        <v>8276</v>
      </c>
      <c r="C3788" s="36" t="str">
        <f>HYPERLINK("https://rhld.insurance.arkansas.gov/NPILookup?Npi=1093021826","1093021826")</f>
        <v>1093021826</v>
      </c>
      <c r="D3788" s="36" t="s">
        <v>36282</v>
      </c>
      <c r="E3788" s="36" t="s">
        <v>2</v>
      </c>
      <c r="F3788" s="36">
        <v>1</v>
      </c>
      <c r="G3788" s="36">
        <v>2</v>
      </c>
      <c r="H3788" s="36">
        <v>0</v>
      </c>
      <c r="I3788" s="37">
        <v>0</v>
      </c>
      <c r="J3788" s="36" t="s">
        <v>36190</v>
      </c>
      <c r="K3788" s="36" t="s">
        <v>14330</v>
      </c>
      <c r="L3788" s="36" t="s">
        <v>14330</v>
      </c>
      <c r="M3788">
        <v>1</v>
      </c>
      <c r="N3788" t="s">
        <v>14331</v>
      </c>
      <c r="O3788" t="s">
        <v>14333</v>
      </c>
    </row>
    <row r="3789" spans="1:15" x14ac:dyDescent="0.25">
      <c r="A3789" s="35" t="s">
        <v>8275</v>
      </c>
      <c r="B3789" s="36" t="s">
        <v>8276</v>
      </c>
      <c r="C3789" s="36" t="str">
        <f>HYPERLINK("https://rhld.insurance.arkansas.gov/NPILookup?Npi=1093156309","1093156309")</f>
        <v>1093156309</v>
      </c>
      <c r="D3789" s="36" t="s">
        <v>34673</v>
      </c>
      <c r="E3789" s="36" t="s">
        <v>2</v>
      </c>
      <c r="F3789" s="36">
        <v>1</v>
      </c>
      <c r="G3789" s="36">
        <v>1</v>
      </c>
      <c r="H3789" s="36">
        <v>0</v>
      </c>
      <c r="I3789" s="37">
        <v>0</v>
      </c>
      <c r="J3789" s="36"/>
      <c r="K3789" s="36" t="s">
        <v>14330</v>
      </c>
      <c r="L3789" s="36" t="s">
        <v>14330</v>
      </c>
      <c r="M3789">
        <v>2</v>
      </c>
      <c r="N3789" t="s">
        <v>14331</v>
      </c>
      <c r="O3789" t="s">
        <v>32633</v>
      </c>
    </row>
    <row r="3790" spans="1:15" x14ac:dyDescent="0.25">
      <c r="A3790" s="35" t="s">
        <v>8275</v>
      </c>
      <c r="B3790" s="36" t="s">
        <v>8276</v>
      </c>
      <c r="C3790" s="36" t="str">
        <f>HYPERLINK("https://rhld.insurance.arkansas.gov/NPILookup?Npi=1093274177","1093274177")</f>
        <v>1093274177</v>
      </c>
      <c r="D3790" s="36" t="s">
        <v>34981</v>
      </c>
      <c r="E3790" s="36" t="s">
        <v>2</v>
      </c>
      <c r="F3790" s="36">
        <v>1</v>
      </c>
      <c r="G3790" s="36">
        <v>2</v>
      </c>
      <c r="H3790" s="36">
        <v>0</v>
      </c>
      <c r="I3790" s="37">
        <v>0</v>
      </c>
      <c r="J3790" s="36"/>
      <c r="K3790" s="36" t="s">
        <v>14330</v>
      </c>
      <c r="L3790" s="36" t="s">
        <v>14330</v>
      </c>
      <c r="M3790">
        <v>2</v>
      </c>
      <c r="N3790" t="s">
        <v>14331</v>
      </c>
      <c r="O3790" t="s">
        <v>14333</v>
      </c>
    </row>
    <row r="3791" spans="1:15" x14ac:dyDescent="0.25">
      <c r="A3791" s="35" t="s">
        <v>8275</v>
      </c>
      <c r="B3791" s="36" t="s">
        <v>8276</v>
      </c>
      <c r="C3791" s="36" t="str">
        <f>HYPERLINK("https://rhld.insurance.arkansas.gov/NPILookup?Npi=1093334302","1093334302")</f>
        <v>1093334302</v>
      </c>
      <c r="D3791" s="36" t="s">
        <v>36283</v>
      </c>
      <c r="E3791" s="36" t="s">
        <v>2</v>
      </c>
      <c r="F3791" s="36">
        <v>1</v>
      </c>
      <c r="G3791" s="36">
        <v>2</v>
      </c>
      <c r="H3791" s="36">
        <v>0</v>
      </c>
      <c r="I3791" s="37">
        <v>0</v>
      </c>
      <c r="J3791" s="36"/>
      <c r="K3791" s="36" t="s">
        <v>14330</v>
      </c>
      <c r="L3791" s="36" t="s">
        <v>14330</v>
      </c>
      <c r="M3791">
        <v>3</v>
      </c>
      <c r="N3791" t="s">
        <v>14331</v>
      </c>
      <c r="O3791" t="s">
        <v>14333</v>
      </c>
    </row>
    <row r="3792" spans="1:15" x14ac:dyDescent="0.25">
      <c r="A3792" s="35" t="s">
        <v>8275</v>
      </c>
      <c r="B3792" s="36" t="s">
        <v>8276</v>
      </c>
      <c r="C3792" s="36" t="str">
        <f>HYPERLINK("https://rhld.insurance.arkansas.gov/NPILookup?Npi=1093430225","1093430225")</f>
        <v>1093430225</v>
      </c>
      <c r="D3792" s="36" t="s">
        <v>36284</v>
      </c>
      <c r="E3792" s="36" t="s">
        <v>2</v>
      </c>
      <c r="F3792" s="36">
        <v>1</v>
      </c>
      <c r="G3792" s="36">
        <v>3</v>
      </c>
      <c r="H3792" s="36">
        <v>0</v>
      </c>
      <c r="I3792" s="37">
        <v>0</v>
      </c>
      <c r="J3792" s="36" t="s">
        <v>36190</v>
      </c>
      <c r="K3792" s="36" t="s">
        <v>14330</v>
      </c>
      <c r="L3792" s="36" t="s">
        <v>14330</v>
      </c>
      <c r="M3792">
        <v>2</v>
      </c>
      <c r="N3792" t="s">
        <v>14331</v>
      </c>
      <c r="O3792" t="s">
        <v>14333</v>
      </c>
    </row>
    <row r="3793" spans="1:15" x14ac:dyDescent="0.25">
      <c r="A3793" s="35" t="s">
        <v>8275</v>
      </c>
      <c r="B3793" s="36" t="s">
        <v>8276</v>
      </c>
      <c r="C3793" s="36" t="str">
        <f>HYPERLINK("https://rhld.insurance.arkansas.gov/NPILookup?Npi=1093435869","1093435869")</f>
        <v>1093435869</v>
      </c>
      <c r="D3793" s="36" t="s">
        <v>34983</v>
      </c>
      <c r="E3793" s="36" t="s">
        <v>2</v>
      </c>
      <c r="F3793" s="36">
        <v>1</v>
      </c>
      <c r="G3793" s="36">
        <v>2</v>
      </c>
      <c r="H3793" s="36">
        <v>0</v>
      </c>
      <c r="I3793" s="37">
        <v>0</v>
      </c>
      <c r="J3793" s="36"/>
      <c r="K3793" s="36" t="s">
        <v>14330</v>
      </c>
      <c r="L3793" s="36" t="s">
        <v>14330</v>
      </c>
      <c r="M3793">
        <v>2</v>
      </c>
      <c r="N3793" t="s">
        <v>14331</v>
      </c>
      <c r="O3793" t="s">
        <v>14333</v>
      </c>
    </row>
    <row r="3794" spans="1:15" x14ac:dyDescent="0.25">
      <c r="A3794" s="35" t="s">
        <v>8275</v>
      </c>
      <c r="B3794" s="36" t="s">
        <v>8276</v>
      </c>
      <c r="C3794" s="36" t="str">
        <f>HYPERLINK("https://rhld.insurance.arkansas.gov/NPILookup?Npi=1093526022","1093526022")</f>
        <v>1093526022</v>
      </c>
      <c r="D3794" s="36" t="s">
        <v>34674</v>
      </c>
      <c r="E3794" s="36" t="s">
        <v>2</v>
      </c>
      <c r="F3794" s="36">
        <v>1</v>
      </c>
      <c r="G3794" s="36">
        <v>2</v>
      </c>
      <c r="H3794" s="36">
        <v>0</v>
      </c>
      <c r="I3794" s="37">
        <v>0</v>
      </c>
      <c r="J3794" s="36"/>
      <c r="K3794" s="36" t="s">
        <v>14330</v>
      </c>
      <c r="L3794" s="36" t="s">
        <v>14330</v>
      </c>
      <c r="M3794">
        <v>1</v>
      </c>
      <c r="N3794" t="s">
        <v>14331</v>
      </c>
      <c r="O3794" t="s">
        <v>14333</v>
      </c>
    </row>
    <row r="3795" spans="1:15" x14ac:dyDescent="0.25">
      <c r="A3795" s="35" t="s">
        <v>8275</v>
      </c>
      <c r="B3795" s="36" t="s">
        <v>8276</v>
      </c>
      <c r="C3795" s="36" t="str">
        <f>HYPERLINK("https://rhld.insurance.arkansas.gov/NPILookup?Npi=1093548711","1093548711")</f>
        <v>1093548711</v>
      </c>
      <c r="D3795" s="36" t="s">
        <v>34675</v>
      </c>
      <c r="E3795" s="36" t="s">
        <v>2</v>
      </c>
      <c r="F3795" s="36">
        <v>1</v>
      </c>
      <c r="G3795" s="36">
        <v>1</v>
      </c>
      <c r="H3795" s="36">
        <v>0</v>
      </c>
      <c r="I3795" s="37">
        <v>0</v>
      </c>
      <c r="J3795" s="36"/>
      <c r="K3795" s="36" t="s">
        <v>14330</v>
      </c>
      <c r="L3795" s="36" t="s">
        <v>14330</v>
      </c>
      <c r="M3795">
        <v>2</v>
      </c>
      <c r="N3795" t="s">
        <v>14331</v>
      </c>
      <c r="O3795" t="s">
        <v>32633</v>
      </c>
    </row>
    <row r="3796" spans="1:15" x14ac:dyDescent="0.25">
      <c r="A3796" s="35" t="s">
        <v>8275</v>
      </c>
      <c r="B3796" s="36" t="s">
        <v>8276</v>
      </c>
      <c r="C3796" s="36" t="str">
        <f>HYPERLINK("https://rhld.insurance.arkansas.gov/NPILookup?Npi=1093550741","1093550741")</f>
        <v>1093550741</v>
      </c>
      <c r="D3796" s="36" t="s">
        <v>34186</v>
      </c>
      <c r="E3796" s="36" t="s">
        <v>2</v>
      </c>
      <c r="F3796" s="36">
        <v>1</v>
      </c>
      <c r="G3796" s="36">
        <v>2</v>
      </c>
      <c r="H3796" s="36">
        <v>0</v>
      </c>
      <c r="I3796" s="37">
        <v>0</v>
      </c>
      <c r="J3796" s="36"/>
      <c r="K3796" s="36" t="s">
        <v>14330</v>
      </c>
      <c r="L3796" s="36" t="s">
        <v>14330</v>
      </c>
      <c r="M3796">
        <v>3</v>
      </c>
      <c r="N3796" t="s">
        <v>14331</v>
      </c>
      <c r="O3796" t="s">
        <v>14333</v>
      </c>
    </row>
    <row r="3797" spans="1:15" x14ac:dyDescent="0.25">
      <c r="A3797" s="35" t="s">
        <v>8275</v>
      </c>
      <c r="B3797" s="36" t="s">
        <v>8276</v>
      </c>
      <c r="C3797" s="36" t="str">
        <f>HYPERLINK("https://rhld.insurance.arkansas.gov/NPILookup?Npi=1093578114","1093578114")</f>
        <v>1093578114</v>
      </c>
      <c r="D3797" s="36" t="s">
        <v>36285</v>
      </c>
      <c r="E3797" s="36" t="s">
        <v>2</v>
      </c>
      <c r="F3797" s="36">
        <v>1</v>
      </c>
      <c r="G3797" s="36">
        <v>3</v>
      </c>
      <c r="H3797" s="36">
        <v>0</v>
      </c>
      <c r="I3797" s="37">
        <v>0</v>
      </c>
      <c r="J3797" s="36" t="s">
        <v>36190</v>
      </c>
      <c r="K3797" s="36" t="s">
        <v>14330</v>
      </c>
      <c r="L3797" s="36" t="s">
        <v>14330</v>
      </c>
      <c r="M3797">
        <v>1</v>
      </c>
      <c r="N3797" t="s">
        <v>14331</v>
      </c>
      <c r="O3797" t="s">
        <v>14333</v>
      </c>
    </row>
    <row r="3798" spans="1:15" x14ac:dyDescent="0.25">
      <c r="A3798" s="35" t="s">
        <v>8275</v>
      </c>
      <c r="B3798" s="36" t="s">
        <v>8276</v>
      </c>
      <c r="C3798" s="36" t="str">
        <f>HYPERLINK("https://rhld.insurance.arkansas.gov/NPILookup?Npi=1093579096","1093579096")</f>
        <v>1093579096</v>
      </c>
      <c r="D3798" s="36" t="s">
        <v>34984</v>
      </c>
      <c r="E3798" s="36" t="s">
        <v>2</v>
      </c>
      <c r="F3798" s="36">
        <v>1</v>
      </c>
      <c r="G3798" s="36">
        <v>1</v>
      </c>
      <c r="H3798" s="36">
        <v>0</v>
      </c>
      <c r="I3798" s="37">
        <v>0</v>
      </c>
      <c r="J3798" s="36"/>
      <c r="K3798" s="36" t="s">
        <v>14330</v>
      </c>
      <c r="L3798" s="36" t="s">
        <v>14330</v>
      </c>
      <c r="M3798">
        <v>2</v>
      </c>
      <c r="N3798" t="s">
        <v>14331</v>
      </c>
      <c r="O3798" t="s">
        <v>32633</v>
      </c>
    </row>
    <row r="3799" spans="1:15" x14ac:dyDescent="0.25">
      <c r="A3799" s="35" t="s">
        <v>8275</v>
      </c>
      <c r="B3799" s="36" t="s">
        <v>8276</v>
      </c>
      <c r="C3799" s="36" t="str">
        <f>HYPERLINK("https://rhld.insurance.arkansas.gov/NPILookup?Npi=1093715641","1093715641")</f>
        <v>1093715641</v>
      </c>
      <c r="D3799" s="36" t="s">
        <v>36286</v>
      </c>
      <c r="E3799" s="36" t="s">
        <v>2</v>
      </c>
      <c r="F3799" s="36">
        <v>1</v>
      </c>
      <c r="G3799" s="36">
        <v>2</v>
      </c>
      <c r="H3799" s="36">
        <v>0</v>
      </c>
      <c r="I3799" s="37">
        <v>0</v>
      </c>
      <c r="J3799" s="36" t="s">
        <v>36190</v>
      </c>
      <c r="K3799" s="36" t="s">
        <v>14330</v>
      </c>
      <c r="L3799" s="36" t="s">
        <v>14330</v>
      </c>
      <c r="M3799">
        <v>2</v>
      </c>
      <c r="N3799" t="s">
        <v>14331</v>
      </c>
      <c r="O3799" t="s">
        <v>14333</v>
      </c>
    </row>
    <row r="3800" spans="1:15" x14ac:dyDescent="0.25">
      <c r="A3800" s="35" t="s">
        <v>8275</v>
      </c>
      <c r="B3800" s="36" t="s">
        <v>8276</v>
      </c>
      <c r="C3800" s="36" t="str">
        <f>HYPERLINK("https://rhld.insurance.arkansas.gov/NPILookup?Npi=1093717696","1093717696")</f>
        <v>1093717696</v>
      </c>
      <c r="D3800" s="36" t="s">
        <v>36287</v>
      </c>
      <c r="E3800" s="36" t="s">
        <v>2</v>
      </c>
      <c r="F3800" s="36">
        <v>1</v>
      </c>
      <c r="G3800" s="36">
        <v>2</v>
      </c>
      <c r="H3800" s="36">
        <v>0</v>
      </c>
      <c r="I3800" s="37">
        <v>0</v>
      </c>
      <c r="J3800" s="36" t="s">
        <v>36190</v>
      </c>
      <c r="K3800" s="36" t="s">
        <v>14330</v>
      </c>
      <c r="L3800" s="36" t="s">
        <v>14330</v>
      </c>
      <c r="M3800">
        <v>3</v>
      </c>
      <c r="N3800" t="s">
        <v>14331</v>
      </c>
      <c r="O3800" t="s">
        <v>14333</v>
      </c>
    </row>
    <row r="3801" spans="1:15" x14ac:dyDescent="0.25">
      <c r="A3801" s="35" t="s">
        <v>8275</v>
      </c>
      <c r="B3801" s="36" t="s">
        <v>8276</v>
      </c>
      <c r="C3801" s="36" t="str">
        <f>HYPERLINK("https://rhld.insurance.arkansas.gov/NPILookup?Npi=1093752198","1093752198")</f>
        <v>1093752198</v>
      </c>
      <c r="D3801" s="36" t="s">
        <v>36288</v>
      </c>
      <c r="E3801" s="36" t="s">
        <v>2</v>
      </c>
      <c r="F3801" s="36">
        <v>1</v>
      </c>
      <c r="G3801" s="36">
        <v>3</v>
      </c>
      <c r="H3801" s="36">
        <v>0</v>
      </c>
      <c r="I3801" s="37">
        <v>0</v>
      </c>
      <c r="J3801" s="36" t="s">
        <v>36190</v>
      </c>
      <c r="K3801" s="36" t="s">
        <v>14330</v>
      </c>
      <c r="L3801" s="36" t="s">
        <v>14330</v>
      </c>
      <c r="M3801">
        <v>2</v>
      </c>
      <c r="N3801" t="s">
        <v>14331</v>
      </c>
      <c r="O3801" t="s">
        <v>14333</v>
      </c>
    </row>
    <row r="3802" spans="1:15" x14ac:dyDescent="0.25">
      <c r="A3802" s="35" t="s">
        <v>8275</v>
      </c>
      <c r="B3802" s="36" t="s">
        <v>8276</v>
      </c>
      <c r="C3802" s="36" t="str">
        <f>HYPERLINK("https://rhld.insurance.arkansas.gov/NPILookup?Npi=1093766925","1093766925")</f>
        <v>1093766925</v>
      </c>
      <c r="D3802" s="36" t="s">
        <v>36289</v>
      </c>
      <c r="E3802" s="36" t="s">
        <v>2</v>
      </c>
      <c r="F3802" s="36">
        <v>1</v>
      </c>
      <c r="G3802" s="36">
        <v>2</v>
      </c>
      <c r="H3802" s="36">
        <v>0</v>
      </c>
      <c r="I3802" s="37">
        <v>0</v>
      </c>
      <c r="J3802" s="36" t="s">
        <v>36190</v>
      </c>
      <c r="K3802" s="36" t="s">
        <v>14330</v>
      </c>
      <c r="L3802" s="36" t="s">
        <v>14330</v>
      </c>
      <c r="M3802">
        <v>2</v>
      </c>
      <c r="N3802" t="s">
        <v>14331</v>
      </c>
      <c r="O3802" t="s">
        <v>14333</v>
      </c>
    </row>
    <row r="3803" spans="1:15" x14ac:dyDescent="0.25">
      <c r="A3803" s="35" t="s">
        <v>8275</v>
      </c>
      <c r="B3803" s="36" t="s">
        <v>8276</v>
      </c>
      <c r="C3803" s="36" t="str">
        <f>HYPERLINK("https://rhld.insurance.arkansas.gov/NPILookup?Npi=1093806671","1093806671")</f>
        <v>1093806671</v>
      </c>
      <c r="D3803" s="36" t="s">
        <v>36290</v>
      </c>
      <c r="E3803" s="36" t="s">
        <v>2</v>
      </c>
      <c r="F3803" s="36">
        <v>1</v>
      </c>
      <c r="G3803" s="36">
        <v>2</v>
      </c>
      <c r="H3803" s="36">
        <v>0</v>
      </c>
      <c r="I3803" s="37">
        <v>0</v>
      </c>
      <c r="J3803" s="36" t="s">
        <v>36190</v>
      </c>
      <c r="K3803" s="36" t="s">
        <v>14330</v>
      </c>
      <c r="L3803" s="36" t="s">
        <v>14330</v>
      </c>
      <c r="M3803">
        <v>1</v>
      </c>
      <c r="N3803" t="s">
        <v>14331</v>
      </c>
      <c r="O3803" t="s">
        <v>14333</v>
      </c>
    </row>
    <row r="3804" spans="1:15" x14ac:dyDescent="0.25">
      <c r="A3804" s="35" t="s">
        <v>8275</v>
      </c>
      <c r="B3804" s="36" t="s">
        <v>8276</v>
      </c>
      <c r="C3804" s="36" t="str">
        <f>HYPERLINK("https://rhld.insurance.arkansas.gov/NPILookup?Npi=1093875635","1093875635")</f>
        <v>1093875635</v>
      </c>
      <c r="D3804" s="36" t="s">
        <v>34987</v>
      </c>
      <c r="E3804" s="36" t="s">
        <v>1</v>
      </c>
      <c r="F3804" s="36">
        <v>1</v>
      </c>
      <c r="G3804" s="36">
        <v>1</v>
      </c>
      <c r="H3804" s="36">
        <v>0</v>
      </c>
      <c r="I3804" s="37">
        <v>0</v>
      </c>
      <c r="J3804" s="36" t="s">
        <v>32654</v>
      </c>
      <c r="K3804" s="36" t="s">
        <v>14330</v>
      </c>
      <c r="L3804" s="36" t="s">
        <v>14330</v>
      </c>
      <c r="M3804">
        <v>3</v>
      </c>
      <c r="N3804" t="s">
        <v>14331</v>
      </c>
      <c r="O3804" t="s">
        <v>32633</v>
      </c>
    </row>
    <row r="3805" spans="1:15" x14ac:dyDescent="0.25">
      <c r="A3805" s="35" t="s">
        <v>8275</v>
      </c>
      <c r="B3805" s="36" t="s">
        <v>8276</v>
      </c>
      <c r="C3805" s="36" t="str">
        <f>HYPERLINK("https://rhld.insurance.arkansas.gov/NPILookup?Npi=1093916256","1093916256")</f>
        <v>1093916256</v>
      </c>
      <c r="D3805" s="36" t="s">
        <v>36291</v>
      </c>
      <c r="E3805" s="36" t="s">
        <v>2</v>
      </c>
      <c r="F3805" s="36">
        <v>1</v>
      </c>
      <c r="G3805" s="36">
        <v>3</v>
      </c>
      <c r="H3805" s="36">
        <v>0</v>
      </c>
      <c r="I3805" s="37">
        <v>0</v>
      </c>
      <c r="J3805" s="36" t="s">
        <v>36190</v>
      </c>
      <c r="K3805" s="36" t="s">
        <v>14330</v>
      </c>
      <c r="L3805" s="36" t="s">
        <v>14330</v>
      </c>
      <c r="M3805">
        <v>3</v>
      </c>
      <c r="N3805" t="s">
        <v>14331</v>
      </c>
      <c r="O3805" t="s">
        <v>14333</v>
      </c>
    </row>
    <row r="3806" spans="1:15" x14ac:dyDescent="0.25">
      <c r="A3806" s="35" t="s">
        <v>8275</v>
      </c>
      <c r="B3806" s="36" t="s">
        <v>8276</v>
      </c>
      <c r="C3806" s="36" t="str">
        <f>HYPERLINK("https://rhld.insurance.arkansas.gov/NPILookup?Npi=1093948796","1093948796")</f>
        <v>1093948796</v>
      </c>
      <c r="D3806" s="36" t="s">
        <v>36292</v>
      </c>
      <c r="E3806" s="36" t="s">
        <v>2</v>
      </c>
      <c r="F3806" s="36">
        <v>1</v>
      </c>
      <c r="G3806" s="36">
        <v>3</v>
      </c>
      <c r="H3806" s="36">
        <v>0</v>
      </c>
      <c r="I3806" s="37">
        <v>0</v>
      </c>
      <c r="J3806" s="36" t="s">
        <v>36190</v>
      </c>
      <c r="K3806" s="36" t="s">
        <v>14330</v>
      </c>
      <c r="L3806" s="36" t="s">
        <v>14330</v>
      </c>
      <c r="M3806">
        <v>2</v>
      </c>
      <c r="N3806" t="s">
        <v>14331</v>
      </c>
      <c r="O3806" t="s">
        <v>14333</v>
      </c>
    </row>
    <row r="3807" spans="1:15" x14ac:dyDescent="0.25">
      <c r="A3807" s="35" t="s">
        <v>8275</v>
      </c>
      <c r="B3807" s="36" t="s">
        <v>8276</v>
      </c>
      <c r="C3807" s="36" t="str">
        <f>HYPERLINK("https://rhld.insurance.arkansas.gov/NPILookup?Npi=1104306588","1104306588")</f>
        <v>1104306588</v>
      </c>
      <c r="D3807" s="36" t="s">
        <v>34677</v>
      </c>
      <c r="E3807" s="36" t="s">
        <v>2</v>
      </c>
      <c r="F3807" s="36">
        <v>1</v>
      </c>
      <c r="G3807" s="36">
        <v>2</v>
      </c>
      <c r="H3807" s="36">
        <v>0</v>
      </c>
      <c r="I3807" s="37">
        <v>0</v>
      </c>
      <c r="J3807" s="36"/>
      <c r="K3807" s="36" t="s">
        <v>14330</v>
      </c>
      <c r="L3807" s="36" t="s">
        <v>14330</v>
      </c>
      <c r="M3807">
        <v>3</v>
      </c>
      <c r="N3807" t="s">
        <v>14331</v>
      </c>
      <c r="O3807" t="s">
        <v>14333</v>
      </c>
    </row>
    <row r="3808" spans="1:15" x14ac:dyDescent="0.25">
      <c r="A3808" s="35" t="s">
        <v>8275</v>
      </c>
      <c r="B3808" s="36" t="s">
        <v>8276</v>
      </c>
      <c r="C3808" s="36" t="str">
        <f>HYPERLINK("https://rhld.insurance.arkansas.gov/NPILookup?Npi=1104342799","1104342799")</f>
        <v>1104342799</v>
      </c>
      <c r="D3808" s="36" t="s">
        <v>36293</v>
      </c>
      <c r="E3808" s="36" t="s">
        <v>2</v>
      </c>
      <c r="F3808" s="36">
        <v>1</v>
      </c>
      <c r="G3808" s="36">
        <v>3</v>
      </c>
      <c r="H3808" s="36">
        <v>0</v>
      </c>
      <c r="I3808" s="37">
        <v>0</v>
      </c>
      <c r="J3808" s="36" t="s">
        <v>36190</v>
      </c>
      <c r="K3808" s="36" t="s">
        <v>14330</v>
      </c>
      <c r="L3808" s="36" t="s">
        <v>14330</v>
      </c>
      <c r="M3808">
        <v>1</v>
      </c>
      <c r="N3808" t="s">
        <v>14331</v>
      </c>
      <c r="O3808" t="s">
        <v>14333</v>
      </c>
    </row>
    <row r="3809" spans="1:15" x14ac:dyDescent="0.25">
      <c r="A3809" s="35" t="s">
        <v>8275</v>
      </c>
      <c r="B3809" s="36" t="s">
        <v>8276</v>
      </c>
      <c r="C3809" s="36" t="str">
        <f>HYPERLINK("https://rhld.insurance.arkansas.gov/NPILookup?Npi=1104385632","1104385632")</f>
        <v>1104385632</v>
      </c>
      <c r="D3809" s="36" t="s">
        <v>34678</v>
      </c>
      <c r="E3809" s="36" t="s">
        <v>2</v>
      </c>
      <c r="F3809" s="36">
        <v>1</v>
      </c>
      <c r="G3809" s="36">
        <v>1</v>
      </c>
      <c r="H3809" s="36">
        <v>0</v>
      </c>
      <c r="I3809" s="37">
        <v>0</v>
      </c>
      <c r="J3809" s="36"/>
      <c r="K3809" s="36" t="s">
        <v>14330</v>
      </c>
      <c r="L3809" s="36" t="s">
        <v>14330</v>
      </c>
      <c r="M3809">
        <v>3</v>
      </c>
      <c r="N3809" t="s">
        <v>14331</v>
      </c>
      <c r="O3809" t="s">
        <v>32633</v>
      </c>
    </row>
    <row r="3810" spans="1:15" x14ac:dyDescent="0.25">
      <c r="A3810" s="35" t="s">
        <v>8275</v>
      </c>
      <c r="B3810" s="36" t="s">
        <v>8276</v>
      </c>
      <c r="C3810" s="36" t="str">
        <f>HYPERLINK("https://rhld.insurance.arkansas.gov/NPILookup?Npi=1104405422","1104405422")</f>
        <v>1104405422</v>
      </c>
      <c r="D3810" s="36" t="s">
        <v>31254</v>
      </c>
      <c r="E3810" s="36" t="s">
        <v>2</v>
      </c>
      <c r="F3810" s="36">
        <v>1</v>
      </c>
      <c r="G3810" s="36">
        <v>3</v>
      </c>
      <c r="H3810" s="36">
        <v>0</v>
      </c>
      <c r="I3810" s="37">
        <v>0</v>
      </c>
      <c r="J3810" s="36" t="s">
        <v>36190</v>
      </c>
      <c r="K3810" s="36" t="s">
        <v>14330</v>
      </c>
      <c r="L3810" s="36" t="s">
        <v>14330</v>
      </c>
      <c r="M3810">
        <v>2</v>
      </c>
      <c r="N3810" t="s">
        <v>14331</v>
      </c>
      <c r="O3810" t="s">
        <v>14333</v>
      </c>
    </row>
    <row r="3811" spans="1:15" x14ac:dyDescent="0.25">
      <c r="A3811" s="35" t="s">
        <v>8275</v>
      </c>
      <c r="B3811" s="36" t="s">
        <v>8276</v>
      </c>
      <c r="C3811" s="36" t="str">
        <f>HYPERLINK("https://rhld.insurance.arkansas.gov/NPILookup?Npi=1104433341","1104433341")</f>
        <v>1104433341</v>
      </c>
      <c r="D3811" s="36" t="s">
        <v>34999</v>
      </c>
      <c r="E3811" s="36" t="s">
        <v>2</v>
      </c>
      <c r="F3811" s="36">
        <v>1</v>
      </c>
      <c r="G3811" s="36">
        <v>2</v>
      </c>
      <c r="H3811" s="36">
        <v>0</v>
      </c>
      <c r="I3811" s="37">
        <v>0</v>
      </c>
      <c r="J3811" s="36"/>
      <c r="K3811" s="36" t="s">
        <v>14330</v>
      </c>
      <c r="L3811" s="36" t="s">
        <v>14330</v>
      </c>
      <c r="M3811">
        <v>3</v>
      </c>
      <c r="N3811" t="s">
        <v>14331</v>
      </c>
      <c r="O3811" t="s">
        <v>14333</v>
      </c>
    </row>
    <row r="3812" spans="1:15" x14ac:dyDescent="0.25">
      <c r="A3812" s="35" t="s">
        <v>8275</v>
      </c>
      <c r="B3812" s="36" t="s">
        <v>8276</v>
      </c>
      <c r="C3812" s="36" t="str">
        <f>HYPERLINK("https://rhld.insurance.arkansas.gov/NPILookup?Npi=1104468610","1104468610")</f>
        <v>1104468610</v>
      </c>
      <c r="D3812" s="36" t="s">
        <v>36294</v>
      </c>
      <c r="E3812" s="36" t="s">
        <v>2</v>
      </c>
      <c r="F3812" s="36">
        <v>1</v>
      </c>
      <c r="G3812" s="36">
        <v>3</v>
      </c>
      <c r="H3812" s="36">
        <v>0</v>
      </c>
      <c r="I3812" s="37">
        <v>0</v>
      </c>
      <c r="J3812" s="36" t="s">
        <v>36190</v>
      </c>
      <c r="K3812" s="36" t="s">
        <v>14330</v>
      </c>
      <c r="L3812" s="36" t="s">
        <v>14330</v>
      </c>
      <c r="M3812">
        <v>1</v>
      </c>
      <c r="N3812" t="s">
        <v>14331</v>
      </c>
      <c r="O3812" t="s">
        <v>14333</v>
      </c>
    </row>
    <row r="3813" spans="1:15" x14ac:dyDescent="0.25">
      <c r="A3813" s="35" t="s">
        <v>8275</v>
      </c>
      <c r="B3813" s="36" t="s">
        <v>8276</v>
      </c>
      <c r="C3813" s="36" t="str">
        <f>HYPERLINK("https://rhld.insurance.arkansas.gov/NPILookup?Npi=1104507300","1104507300")</f>
        <v>1104507300</v>
      </c>
      <c r="D3813" s="36" t="s">
        <v>35002</v>
      </c>
      <c r="E3813" s="36" t="s">
        <v>2</v>
      </c>
      <c r="F3813" s="36">
        <v>1</v>
      </c>
      <c r="G3813" s="36">
        <v>1</v>
      </c>
      <c r="H3813" s="36">
        <v>0</v>
      </c>
      <c r="I3813" s="37">
        <v>0</v>
      </c>
      <c r="J3813" s="36"/>
      <c r="K3813" s="36" t="s">
        <v>14330</v>
      </c>
      <c r="L3813" s="36" t="s">
        <v>14330</v>
      </c>
      <c r="M3813">
        <v>3</v>
      </c>
      <c r="N3813" t="s">
        <v>14331</v>
      </c>
      <c r="O3813" t="s">
        <v>32633</v>
      </c>
    </row>
    <row r="3814" spans="1:15" x14ac:dyDescent="0.25">
      <c r="A3814" s="35" t="s">
        <v>8275</v>
      </c>
      <c r="B3814" s="36" t="s">
        <v>8276</v>
      </c>
      <c r="C3814" s="36" t="str">
        <f>HYPERLINK("https://rhld.insurance.arkansas.gov/NPILookup?Npi=1104531110","1104531110")</f>
        <v>1104531110</v>
      </c>
      <c r="D3814" s="36" t="s">
        <v>36295</v>
      </c>
      <c r="E3814" s="36" t="s">
        <v>2</v>
      </c>
      <c r="F3814" s="36">
        <v>1</v>
      </c>
      <c r="G3814" s="36">
        <v>3</v>
      </c>
      <c r="H3814" s="36">
        <v>0</v>
      </c>
      <c r="I3814" s="37">
        <v>0</v>
      </c>
      <c r="J3814" s="36" t="s">
        <v>36190</v>
      </c>
      <c r="K3814" s="36" t="s">
        <v>14330</v>
      </c>
      <c r="L3814" s="36" t="s">
        <v>14330</v>
      </c>
      <c r="M3814">
        <v>2</v>
      </c>
      <c r="N3814" t="s">
        <v>14331</v>
      </c>
      <c r="O3814" t="s">
        <v>14333</v>
      </c>
    </row>
    <row r="3815" spans="1:15" x14ac:dyDescent="0.25">
      <c r="A3815" s="35" t="s">
        <v>8275</v>
      </c>
      <c r="B3815" s="36" t="s">
        <v>8276</v>
      </c>
      <c r="C3815" s="36" t="str">
        <f>HYPERLINK("https://rhld.insurance.arkansas.gov/NPILookup?Npi=1104539162","1104539162")</f>
        <v>1104539162</v>
      </c>
      <c r="D3815" s="36" t="s">
        <v>36296</v>
      </c>
      <c r="E3815" s="36" t="s">
        <v>2</v>
      </c>
      <c r="F3815" s="36">
        <v>1</v>
      </c>
      <c r="G3815" s="36">
        <v>2</v>
      </c>
      <c r="H3815" s="36">
        <v>0</v>
      </c>
      <c r="I3815" s="37">
        <v>0</v>
      </c>
      <c r="J3815" s="36" t="s">
        <v>36190</v>
      </c>
      <c r="K3815" s="36" t="s">
        <v>14330</v>
      </c>
      <c r="L3815" s="36" t="s">
        <v>14330</v>
      </c>
      <c r="M3815">
        <v>2</v>
      </c>
      <c r="N3815" t="s">
        <v>14331</v>
      </c>
      <c r="O3815" t="s">
        <v>14333</v>
      </c>
    </row>
    <row r="3816" spans="1:15" x14ac:dyDescent="0.25">
      <c r="A3816" s="35" t="s">
        <v>8275</v>
      </c>
      <c r="B3816" s="36" t="s">
        <v>8276</v>
      </c>
      <c r="C3816" s="36" t="str">
        <f>HYPERLINK("https://rhld.insurance.arkansas.gov/NPILookup?Npi=1104574334","1104574334")</f>
        <v>1104574334</v>
      </c>
      <c r="D3816" s="36" t="s">
        <v>36297</v>
      </c>
      <c r="E3816" s="36" t="s">
        <v>2</v>
      </c>
      <c r="F3816" s="36">
        <v>1</v>
      </c>
      <c r="G3816" s="36">
        <v>2</v>
      </c>
      <c r="H3816" s="36">
        <v>0</v>
      </c>
      <c r="I3816" s="37">
        <v>0</v>
      </c>
      <c r="J3816" s="36" t="s">
        <v>36190</v>
      </c>
      <c r="K3816" s="36" t="s">
        <v>14330</v>
      </c>
      <c r="L3816" s="36" t="s">
        <v>14330</v>
      </c>
      <c r="M3816">
        <v>1</v>
      </c>
      <c r="N3816" t="s">
        <v>14331</v>
      </c>
      <c r="O3816" t="s">
        <v>14333</v>
      </c>
    </row>
    <row r="3817" spans="1:15" x14ac:dyDescent="0.25">
      <c r="A3817" s="35" t="s">
        <v>8275</v>
      </c>
      <c r="B3817" s="36" t="s">
        <v>8276</v>
      </c>
      <c r="C3817" s="36" t="str">
        <f>HYPERLINK("https://rhld.insurance.arkansas.gov/NPILookup?Npi=1104627066","1104627066")</f>
        <v>1104627066</v>
      </c>
      <c r="D3817" s="36" t="s">
        <v>35003</v>
      </c>
      <c r="E3817" s="36" t="s">
        <v>2</v>
      </c>
      <c r="F3817" s="36">
        <v>1</v>
      </c>
      <c r="G3817" s="36">
        <v>1</v>
      </c>
      <c r="H3817" s="36">
        <v>0</v>
      </c>
      <c r="I3817" s="37">
        <v>0</v>
      </c>
      <c r="J3817" s="36"/>
      <c r="K3817" s="36" t="s">
        <v>14330</v>
      </c>
      <c r="L3817" s="36" t="s">
        <v>14330</v>
      </c>
      <c r="M3817">
        <v>1</v>
      </c>
      <c r="N3817" t="s">
        <v>14331</v>
      </c>
      <c r="O3817" t="s">
        <v>32633</v>
      </c>
    </row>
    <row r="3818" spans="1:15" x14ac:dyDescent="0.25">
      <c r="A3818" s="35" t="s">
        <v>8275</v>
      </c>
      <c r="B3818" s="36" t="s">
        <v>8276</v>
      </c>
      <c r="C3818" s="36" t="str">
        <f>HYPERLINK("https://rhld.insurance.arkansas.gov/NPILookup?Npi=1104696186","1104696186")</f>
        <v>1104696186</v>
      </c>
      <c r="D3818" s="36" t="s">
        <v>34679</v>
      </c>
      <c r="E3818" s="36" t="s">
        <v>2</v>
      </c>
      <c r="F3818" s="36">
        <v>1</v>
      </c>
      <c r="G3818" s="36">
        <v>1</v>
      </c>
      <c r="H3818" s="36">
        <v>0</v>
      </c>
      <c r="I3818" s="37">
        <v>0</v>
      </c>
      <c r="J3818" s="36"/>
      <c r="K3818" s="36" t="s">
        <v>14330</v>
      </c>
      <c r="L3818" s="36" t="s">
        <v>14330</v>
      </c>
      <c r="M3818">
        <v>3</v>
      </c>
      <c r="N3818" t="s">
        <v>14331</v>
      </c>
      <c r="O3818" t="s">
        <v>32633</v>
      </c>
    </row>
    <row r="3819" spans="1:15" x14ac:dyDescent="0.25">
      <c r="A3819" s="35" t="s">
        <v>8275</v>
      </c>
      <c r="B3819" s="36" t="s">
        <v>8276</v>
      </c>
      <c r="C3819" s="36" t="str">
        <f>HYPERLINK("https://rhld.insurance.arkansas.gov/NPILookup?Npi=1104823020","1104823020")</f>
        <v>1104823020</v>
      </c>
      <c r="D3819" s="36" t="s">
        <v>36298</v>
      </c>
      <c r="E3819" s="36" t="s">
        <v>2</v>
      </c>
      <c r="F3819" s="36">
        <v>1</v>
      </c>
      <c r="G3819" s="36">
        <v>3</v>
      </c>
      <c r="H3819" s="36">
        <v>0</v>
      </c>
      <c r="I3819" s="37">
        <v>0</v>
      </c>
      <c r="J3819" s="36" t="s">
        <v>36190</v>
      </c>
      <c r="K3819" s="36" t="s">
        <v>14330</v>
      </c>
      <c r="L3819" s="36" t="s">
        <v>14330</v>
      </c>
      <c r="M3819">
        <v>2</v>
      </c>
      <c r="N3819" t="s">
        <v>14331</v>
      </c>
      <c r="O3819" t="s">
        <v>14333</v>
      </c>
    </row>
    <row r="3820" spans="1:15" x14ac:dyDescent="0.25">
      <c r="A3820" s="35" t="s">
        <v>8275</v>
      </c>
      <c r="B3820" s="36" t="s">
        <v>8276</v>
      </c>
      <c r="C3820" s="36" t="str">
        <f>HYPERLINK("https://rhld.insurance.arkansas.gov/NPILookup?Npi=1104826320","1104826320")</f>
        <v>1104826320</v>
      </c>
      <c r="D3820" s="36" t="s">
        <v>36299</v>
      </c>
      <c r="E3820" s="36" t="s">
        <v>2</v>
      </c>
      <c r="F3820" s="36">
        <v>1</v>
      </c>
      <c r="G3820" s="36">
        <v>2</v>
      </c>
      <c r="H3820" s="36">
        <v>0</v>
      </c>
      <c r="I3820" s="37">
        <v>0</v>
      </c>
      <c r="J3820" s="36" t="s">
        <v>36190</v>
      </c>
      <c r="K3820" s="36" t="s">
        <v>14330</v>
      </c>
      <c r="L3820" s="36" t="s">
        <v>14330</v>
      </c>
      <c r="M3820">
        <v>3</v>
      </c>
      <c r="N3820" t="s">
        <v>14331</v>
      </c>
      <c r="O3820" t="s">
        <v>14333</v>
      </c>
    </row>
    <row r="3821" spans="1:15" x14ac:dyDescent="0.25">
      <c r="A3821" s="35" t="s">
        <v>8275</v>
      </c>
      <c r="B3821" s="36" t="s">
        <v>8276</v>
      </c>
      <c r="C3821" s="36" t="str">
        <f>HYPERLINK("https://rhld.insurance.arkansas.gov/NPILookup?Npi=1104851641","1104851641")</f>
        <v>1104851641</v>
      </c>
      <c r="D3821" s="36" t="s">
        <v>36300</v>
      </c>
      <c r="E3821" s="36" t="s">
        <v>2</v>
      </c>
      <c r="F3821" s="36">
        <v>1</v>
      </c>
      <c r="G3821" s="36">
        <v>3</v>
      </c>
      <c r="H3821" s="36">
        <v>0</v>
      </c>
      <c r="I3821" s="37">
        <v>0</v>
      </c>
      <c r="J3821" s="36" t="s">
        <v>36190</v>
      </c>
      <c r="K3821" s="36" t="s">
        <v>14330</v>
      </c>
      <c r="L3821" s="36" t="s">
        <v>14330</v>
      </c>
      <c r="M3821">
        <v>2</v>
      </c>
      <c r="N3821" t="s">
        <v>14331</v>
      </c>
      <c r="O3821" t="s">
        <v>14333</v>
      </c>
    </row>
    <row r="3822" spans="1:15" x14ac:dyDescent="0.25">
      <c r="A3822" s="35" t="s">
        <v>8275</v>
      </c>
      <c r="B3822" s="36" t="s">
        <v>8276</v>
      </c>
      <c r="C3822" s="36" t="str">
        <f>HYPERLINK("https://rhld.insurance.arkansas.gov/NPILookup?Npi=1104861616","1104861616")</f>
        <v>1104861616</v>
      </c>
      <c r="D3822" s="36" t="s">
        <v>36301</v>
      </c>
      <c r="E3822" s="36" t="s">
        <v>2</v>
      </c>
      <c r="F3822" s="36">
        <v>1</v>
      </c>
      <c r="G3822" s="36">
        <v>2</v>
      </c>
      <c r="H3822" s="36">
        <v>0</v>
      </c>
      <c r="I3822" s="37">
        <v>0</v>
      </c>
      <c r="J3822" s="36" t="s">
        <v>36190</v>
      </c>
      <c r="K3822" s="36" t="s">
        <v>14330</v>
      </c>
      <c r="L3822" s="36" t="s">
        <v>14330</v>
      </c>
      <c r="M3822">
        <v>2</v>
      </c>
      <c r="N3822" t="s">
        <v>14331</v>
      </c>
      <c r="O3822" t="s">
        <v>14333</v>
      </c>
    </row>
    <row r="3823" spans="1:15" x14ac:dyDescent="0.25">
      <c r="A3823" s="35" t="s">
        <v>8275</v>
      </c>
      <c r="B3823" s="36" t="s">
        <v>8276</v>
      </c>
      <c r="C3823" s="36" t="str">
        <f>HYPERLINK("https://rhld.insurance.arkansas.gov/NPILookup?Npi=1104872969","1104872969")</f>
        <v>1104872969</v>
      </c>
      <c r="D3823" s="36" t="s">
        <v>36302</v>
      </c>
      <c r="E3823" s="36" t="s">
        <v>2</v>
      </c>
      <c r="F3823" s="36">
        <v>1</v>
      </c>
      <c r="G3823" s="36">
        <v>2</v>
      </c>
      <c r="H3823" s="36">
        <v>0</v>
      </c>
      <c r="I3823" s="37">
        <v>0</v>
      </c>
      <c r="J3823" s="36" t="s">
        <v>36190</v>
      </c>
      <c r="K3823" s="36" t="s">
        <v>14330</v>
      </c>
      <c r="L3823" s="36" t="s">
        <v>14330</v>
      </c>
      <c r="M3823">
        <v>2</v>
      </c>
      <c r="N3823" t="s">
        <v>14331</v>
      </c>
      <c r="O3823" t="s">
        <v>14333</v>
      </c>
    </row>
    <row r="3824" spans="1:15" x14ac:dyDescent="0.25">
      <c r="A3824" s="35" t="s">
        <v>8275</v>
      </c>
      <c r="B3824" s="36" t="s">
        <v>8276</v>
      </c>
      <c r="C3824" s="36" t="str">
        <f>HYPERLINK("https://rhld.insurance.arkansas.gov/NPILookup?Npi=1114017779","1114017779")</f>
        <v>1114017779</v>
      </c>
      <c r="D3824" s="36" t="s">
        <v>36303</v>
      </c>
      <c r="E3824" s="36" t="s">
        <v>1</v>
      </c>
      <c r="F3824" s="36">
        <v>1</v>
      </c>
      <c r="G3824" s="36">
        <v>2</v>
      </c>
      <c r="H3824" s="36">
        <v>0</v>
      </c>
      <c r="I3824" s="37">
        <v>0</v>
      </c>
      <c r="J3824" s="36" t="s">
        <v>32654</v>
      </c>
      <c r="K3824" s="36" t="s">
        <v>14330</v>
      </c>
      <c r="L3824" s="36" t="s">
        <v>14330</v>
      </c>
      <c r="M3824">
        <v>1</v>
      </c>
      <c r="N3824" t="s">
        <v>14331</v>
      </c>
      <c r="O3824" t="s">
        <v>32633</v>
      </c>
    </row>
    <row r="3825" spans="1:15" x14ac:dyDescent="0.25">
      <c r="A3825" s="35" t="s">
        <v>8275</v>
      </c>
      <c r="B3825" s="36" t="s">
        <v>8276</v>
      </c>
      <c r="C3825" s="36" t="str">
        <f>HYPERLINK("https://rhld.insurance.arkansas.gov/NPILookup?Npi=1114131083","1114131083")</f>
        <v>1114131083</v>
      </c>
      <c r="D3825" s="36" t="s">
        <v>36304</v>
      </c>
      <c r="E3825" s="36" t="s">
        <v>1</v>
      </c>
      <c r="F3825" s="36">
        <v>1</v>
      </c>
      <c r="G3825" s="36">
        <v>2</v>
      </c>
      <c r="H3825" s="36">
        <v>1</v>
      </c>
      <c r="I3825" s="37">
        <v>0</v>
      </c>
      <c r="J3825" s="36" t="s">
        <v>32654</v>
      </c>
      <c r="K3825" s="36" t="s">
        <v>14330</v>
      </c>
      <c r="L3825" s="36" t="s">
        <v>36305</v>
      </c>
      <c r="M3825">
        <v>2</v>
      </c>
      <c r="N3825" t="s">
        <v>14332</v>
      </c>
      <c r="O3825" t="s">
        <v>32591</v>
      </c>
    </row>
    <row r="3826" spans="1:15" x14ac:dyDescent="0.25">
      <c r="A3826" s="35" t="s">
        <v>8275</v>
      </c>
      <c r="B3826" s="36" t="s">
        <v>8276</v>
      </c>
      <c r="C3826" s="36" t="str">
        <f>HYPERLINK("https://rhld.insurance.arkansas.gov/NPILookup?Npi=1114227469","1114227469")</f>
        <v>1114227469</v>
      </c>
      <c r="D3826" s="36" t="s">
        <v>32671</v>
      </c>
      <c r="E3826" s="36" t="s">
        <v>2</v>
      </c>
      <c r="F3826" s="36">
        <v>1</v>
      </c>
      <c r="G3826" s="36">
        <v>2</v>
      </c>
      <c r="H3826" s="36">
        <v>0</v>
      </c>
      <c r="I3826" s="37">
        <v>0</v>
      </c>
      <c r="J3826" s="36" t="s">
        <v>32679</v>
      </c>
      <c r="K3826" s="36" t="s">
        <v>14330</v>
      </c>
      <c r="L3826" s="36" t="s">
        <v>14330</v>
      </c>
      <c r="M3826">
        <v>2</v>
      </c>
      <c r="N3826" t="s">
        <v>14331</v>
      </c>
      <c r="O3826" t="s">
        <v>14333</v>
      </c>
    </row>
    <row r="3827" spans="1:15" x14ac:dyDescent="0.25">
      <c r="A3827" s="35" t="s">
        <v>8275</v>
      </c>
      <c r="B3827" s="36" t="s">
        <v>8276</v>
      </c>
      <c r="C3827" s="36" t="str">
        <f>HYPERLINK("https://rhld.insurance.arkansas.gov/NPILookup?Npi=1114283652","1114283652")</f>
        <v>1114283652</v>
      </c>
      <c r="D3827" s="36" t="s">
        <v>36306</v>
      </c>
      <c r="E3827" s="36" t="s">
        <v>1</v>
      </c>
      <c r="F3827" s="36">
        <v>1</v>
      </c>
      <c r="G3827" s="36">
        <v>2</v>
      </c>
      <c r="H3827" s="36">
        <v>0</v>
      </c>
      <c r="I3827" s="37">
        <v>0</v>
      </c>
      <c r="J3827" s="36" t="s">
        <v>32654</v>
      </c>
      <c r="K3827" s="36" t="s">
        <v>14330</v>
      </c>
      <c r="L3827" s="36" t="s">
        <v>14330</v>
      </c>
      <c r="M3827">
        <v>3</v>
      </c>
      <c r="N3827" t="s">
        <v>14331</v>
      </c>
      <c r="O3827" t="s">
        <v>32633</v>
      </c>
    </row>
    <row r="3828" spans="1:15" x14ac:dyDescent="0.25">
      <c r="A3828" s="35" t="s">
        <v>8275</v>
      </c>
      <c r="B3828" s="36" t="s">
        <v>8276</v>
      </c>
      <c r="C3828" s="36" t="str">
        <f>HYPERLINK("https://rhld.insurance.arkansas.gov/NPILookup?Npi=1114300092","1114300092")</f>
        <v>1114300092</v>
      </c>
      <c r="D3828" s="36" t="s">
        <v>36307</v>
      </c>
      <c r="E3828" s="36" t="s">
        <v>2</v>
      </c>
      <c r="F3828" s="36">
        <v>1</v>
      </c>
      <c r="G3828" s="36">
        <v>3</v>
      </c>
      <c r="H3828" s="36">
        <v>0</v>
      </c>
      <c r="I3828" s="37">
        <v>0</v>
      </c>
      <c r="J3828" s="36" t="s">
        <v>36190</v>
      </c>
      <c r="K3828" s="36" t="s">
        <v>14330</v>
      </c>
      <c r="L3828" s="36" t="s">
        <v>14330</v>
      </c>
      <c r="M3828">
        <v>2</v>
      </c>
      <c r="N3828" t="s">
        <v>14331</v>
      </c>
      <c r="O3828" t="s">
        <v>14333</v>
      </c>
    </row>
    <row r="3829" spans="1:15" x14ac:dyDescent="0.25">
      <c r="A3829" s="35" t="s">
        <v>8275</v>
      </c>
      <c r="B3829" s="36" t="s">
        <v>8276</v>
      </c>
      <c r="C3829" s="36" t="str">
        <f>HYPERLINK("https://rhld.insurance.arkansas.gov/NPILookup?Npi=1114310711","1114310711")</f>
        <v>1114310711</v>
      </c>
      <c r="D3829" s="36" t="s">
        <v>35008</v>
      </c>
      <c r="E3829" s="36" t="s">
        <v>2</v>
      </c>
      <c r="F3829" s="36">
        <v>1</v>
      </c>
      <c r="G3829" s="36">
        <v>2</v>
      </c>
      <c r="H3829" s="36">
        <v>0</v>
      </c>
      <c r="I3829" s="37">
        <v>0</v>
      </c>
      <c r="J3829" s="36"/>
      <c r="K3829" s="36" t="s">
        <v>14330</v>
      </c>
      <c r="L3829" s="36" t="s">
        <v>14330</v>
      </c>
      <c r="M3829">
        <v>2</v>
      </c>
      <c r="N3829" t="s">
        <v>14331</v>
      </c>
      <c r="O3829" t="s">
        <v>14333</v>
      </c>
    </row>
    <row r="3830" spans="1:15" x14ac:dyDescent="0.25">
      <c r="A3830" s="35" t="s">
        <v>8275</v>
      </c>
      <c r="B3830" s="36" t="s">
        <v>8276</v>
      </c>
      <c r="C3830" s="36" t="str">
        <f>HYPERLINK("https://rhld.insurance.arkansas.gov/NPILookup?Npi=1114656881","1114656881")</f>
        <v>1114656881</v>
      </c>
      <c r="D3830" s="36" t="s">
        <v>36308</v>
      </c>
      <c r="E3830" s="36" t="s">
        <v>2</v>
      </c>
      <c r="F3830" s="36">
        <v>1</v>
      </c>
      <c r="G3830" s="36">
        <v>2</v>
      </c>
      <c r="H3830" s="36">
        <v>0</v>
      </c>
      <c r="I3830" s="37">
        <v>0</v>
      </c>
      <c r="J3830" s="36" t="s">
        <v>36190</v>
      </c>
      <c r="K3830" s="36" t="s">
        <v>14330</v>
      </c>
      <c r="L3830" s="36" t="s">
        <v>14330</v>
      </c>
      <c r="M3830">
        <v>2</v>
      </c>
      <c r="N3830" t="s">
        <v>14331</v>
      </c>
      <c r="O3830" t="s">
        <v>14333</v>
      </c>
    </row>
    <row r="3831" spans="1:15" x14ac:dyDescent="0.25">
      <c r="A3831" s="35" t="s">
        <v>8275</v>
      </c>
      <c r="B3831" s="36" t="s">
        <v>8276</v>
      </c>
      <c r="C3831" s="36" t="str">
        <f>HYPERLINK("https://rhld.insurance.arkansas.gov/NPILookup?Npi=1114697612","1114697612")</f>
        <v>1114697612</v>
      </c>
      <c r="D3831" s="36" t="s">
        <v>36309</v>
      </c>
      <c r="E3831" s="36" t="s">
        <v>2</v>
      </c>
      <c r="F3831" s="36">
        <v>1</v>
      </c>
      <c r="G3831" s="36">
        <v>2</v>
      </c>
      <c r="H3831" s="36">
        <v>0</v>
      </c>
      <c r="I3831" s="37">
        <v>0</v>
      </c>
      <c r="J3831" s="36" t="s">
        <v>36190</v>
      </c>
      <c r="K3831" s="36" t="s">
        <v>14330</v>
      </c>
      <c r="L3831" s="36" t="s">
        <v>14330</v>
      </c>
      <c r="M3831">
        <v>1</v>
      </c>
      <c r="N3831" t="s">
        <v>14331</v>
      </c>
      <c r="O3831" t="s">
        <v>14333</v>
      </c>
    </row>
    <row r="3832" spans="1:15" x14ac:dyDescent="0.25">
      <c r="A3832" s="35" t="s">
        <v>8275</v>
      </c>
      <c r="B3832" s="36" t="s">
        <v>8276</v>
      </c>
      <c r="C3832" s="36" t="str">
        <f>HYPERLINK("https://rhld.insurance.arkansas.gov/NPILookup?Npi=1114747680","1114747680")</f>
        <v>1114747680</v>
      </c>
      <c r="D3832" s="36" t="s">
        <v>35017</v>
      </c>
      <c r="E3832" s="36" t="s">
        <v>2</v>
      </c>
      <c r="F3832" s="36">
        <v>1</v>
      </c>
      <c r="G3832" s="36">
        <v>1</v>
      </c>
      <c r="H3832" s="36">
        <v>0</v>
      </c>
      <c r="I3832" s="37">
        <v>0</v>
      </c>
      <c r="J3832" s="36"/>
      <c r="K3832" s="36" t="s">
        <v>14330</v>
      </c>
      <c r="L3832" s="36" t="s">
        <v>14330</v>
      </c>
      <c r="M3832">
        <v>3</v>
      </c>
      <c r="N3832" t="s">
        <v>14331</v>
      </c>
      <c r="O3832" t="s">
        <v>32633</v>
      </c>
    </row>
    <row r="3833" spans="1:15" x14ac:dyDescent="0.25">
      <c r="A3833" s="35" t="s">
        <v>8275</v>
      </c>
      <c r="B3833" s="36" t="s">
        <v>8276</v>
      </c>
      <c r="C3833" s="36" t="str">
        <f>HYPERLINK("https://rhld.insurance.arkansas.gov/NPILookup?Npi=1114920972","1114920972")</f>
        <v>1114920972</v>
      </c>
      <c r="D3833" s="36" t="s">
        <v>36310</v>
      </c>
      <c r="E3833" s="36" t="s">
        <v>2</v>
      </c>
      <c r="F3833" s="36">
        <v>1</v>
      </c>
      <c r="G3833" s="36">
        <v>3</v>
      </c>
      <c r="H3833" s="36">
        <v>0</v>
      </c>
      <c r="I3833" s="37">
        <v>0</v>
      </c>
      <c r="J3833" s="36" t="s">
        <v>36190</v>
      </c>
      <c r="K3833" s="36" t="s">
        <v>14330</v>
      </c>
      <c r="L3833" s="36" t="s">
        <v>14330</v>
      </c>
      <c r="M3833">
        <v>3</v>
      </c>
      <c r="N3833" t="s">
        <v>14331</v>
      </c>
      <c r="O3833" t="s">
        <v>14333</v>
      </c>
    </row>
    <row r="3834" spans="1:15" x14ac:dyDescent="0.25">
      <c r="A3834" s="35" t="s">
        <v>8275</v>
      </c>
      <c r="B3834" s="36" t="s">
        <v>8276</v>
      </c>
      <c r="C3834" s="36" t="str">
        <f>HYPERLINK("https://rhld.insurance.arkansas.gov/NPILookup?Npi=1124029624","1124029624")</f>
        <v>1124029624</v>
      </c>
      <c r="D3834" s="36" t="s">
        <v>36311</v>
      </c>
      <c r="E3834" s="36" t="s">
        <v>2</v>
      </c>
      <c r="F3834" s="36">
        <v>1</v>
      </c>
      <c r="G3834" s="36">
        <v>3</v>
      </c>
      <c r="H3834" s="36">
        <v>0</v>
      </c>
      <c r="I3834" s="37">
        <v>0</v>
      </c>
      <c r="J3834" s="36" t="s">
        <v>36190</v>
      </c>
      <c r="K3834" s="36" t="s">
        <v>14330</v>
      </c>
      <c r="L3834" s="36" t="s">
        <v>14330</v>
      </c>
      <c r="M3834">
        <v>3</v>
      </c>
      <c r="N3834" t="s">
        <v>14331</v>
      </c>
      <c r="O3834" t="s">
        <v>14333</v>
      </c>
    </row>
    <row r="3835" spans="1:15" x14ac:dyDescent="0.25">
      <c r="A3835" s="35" t="s">
        <v>8275</v>
      </c>
      <c r="B3835" s="36" t="s">
        <v>8276</v>
      </c>
      <c r="C3835" s="36" t="str">
        <f>HYPERLINK("https://rhld.insurance.arkansas.gov/NPILookup?Npi=1124076922","1124076922")</f>
        <v>1124076922</v>
      </c>
      <c r="D3835" s="36" t="s">
        <v>36312</v>
      </c>
      <c r="E3835" s="36" t="s">
        <v>2</v>
      </c>
      <c r="F3835" s="36">
        <v>1</v>
      </c>
      <c r="G3835" s="36">
        <v>3</v>
      </c>
      <c r="H3835" s="36">
        <v>0</v>
      </c>
      <c r="I3835" s="37">
        <v>0</v>
      </c>
      <c r="J3835" s="36" t="s">
        <v>36190</v>
      </c>
      <c r="K3835" s="36" t="s">
        <v>14330</v>
      </c>
      <c r="L3835" s="36" t="s">
        <v>14330</v>
      </c>
      <c r="M3835">
        <v>3</v>
      </c>
      <c r="N3835" t="s">
        <v>14331</v>
      </c>
      <c r="O3835" t="s">
        <v>14333</v>
      </c>
    </row>
    <row r="3836" spans="1:15" x14ac:dyDescent="0.25">
      <c r="A3836" s="35" t="s">
        <v>8275</v>
      </c>
      <c r="B3836" s="36" t="s">
        <v>8276</v>
      </c>
      <c r="C3836" s="36" t="str">
        <f>HYPERLINK("https://rhld.insurance.arkansas.gov/NPILookup?Npi=1124098603","1124098603")</f>
        <v>1124098603</v>
      </c>
      <c r="D3836" s="36" t="s">
        <v>36313</v>
      </c>
      <c r="E3836" s="36" t="s">
        <v>2</v>
      </c>
      <c r="F3836" s="36">
        <v>1</v>
      </c>
      <c r="G3836" s="36">
        <v>3</v>
      </c>
      <c r="H3836" s="36">
        <v>0</v>
      </c>
      <c r="I3836" s="37">
        <v>0</v>
      </c>
      <c r="J3836" s="36" t="s">
        <v>36190</v>
      </c>
      <c r="K3836" s="36" t="s">
        <v>14330</v>
      </c>
      <c r="L3836" s="36" t="s">
        <v>14330</v>
      </c>
      <c r="M3836">
        <v>2</v>
      </c>
      <c r="N3836" t="s">
        <v>14331</v>
      </c>
      <c r="O3836" t="s">
        <v>14333</v>
      </c>
    </row>
    <row r="3837" spans="1:15" x14ac:dyDescent="0.25">
      <c r="A3837" s="35" t="s">
        <v>8275</v>
      </c>
      <c r="B3837" s="36" t="s">
        <v>8276</v>
      </c>
      <c r="C3837" s="36" t="str">
        <f>HYPERLINK("https://rhld.insurance.arkansas.gov/NPILookup?Npi=1124127634","1124127634")</f>
        <v>1124127634</v>
      </c>
      <c r="D3837" s="36" t="s">
        <v>36314</v>
      </c>
      <c r="E3837" s="36" t="s">
        <v>2</v>
      </c>
      <c r="F3837" s="36">
        <v>1</v>
      </c>
      <c r="G3837" s="36">
        <v>2</v>
      </c>
      <c r="H3837" s="36">
        <v>0</v>
      </c>
      <c r="I3837" s="37">
        <v>0</v>
      </c>
      <c r="J3837" s="36" t="s">
        <v>36190</v>
      </c>
      <c r="K3837" s="36" t="s">
        <v>14330</v>
      </c>
      <c r="L3837" s="36" t="s">
        <v>14330</v>
      </c>
      <c r="M3837">
        <v>3</v>
      </c>
      <c r="N3837" t="s">
        <v>14331</v>
      </c>
      <c r="O3837" t="s">
        <v>14333</v>
      </c>
    </row>
    <row r="3838" spans="1:15" x14ac:dyDescent="0.25">
      <c r="A3838" s="35" t="s">
        <v>8275</v>
      </c>
      <c r="B3838" s="36" t="s">
        <v>8276</v>
      </c>
      <c r="C3838" s="36" t="str">
        <f>HYPERLINK("https://rhld.insurance.arkansas.gov/NPILookup?Npi=1124192695","1124192695")</f>
        <v>1124192695</v>
      </c>
      <c r="D3838" s="36" t="s">
        <v>36315</v>
      </c>
      <c r="E3838" s="36" t="s">
        <v>2</v>
      </c>
      <c r="F3838" s="36">
        <v>1</v>
      </c>
      <c r="G3838" s="36">
        <v>3</v>
      </c>
      <c r="H3838" s="36">
        <v>0</v>
      </c>
      <c r="I3838" s="37">
        <v>0</v>
      </c>
      <c r="J3838" s="36" t="s">
        <v>36190</v>
      </c>
      <c r="K3838" s="36" t="s">
        <v>14330</v>
      </c>
      <c r="L3838" s="36" t="s">
        <v>14330</v>
      </c>
      <c r="M3838">
        <v>2</v>
      </c>
      <c r="N3838" t="s">
        <v>14331</v>
      </c>
      <c r="O3838" t="s">
        <v>14333</v>
      </c>
    </row>
    <row r="3839" spans="1:15" x14ac:dyDescent="0.25">
      <c r="A3839" s="35" t="s">
        <v>8275</v>
      </c>
      <c r="B3839" s="36" t="s">
        <v>8276</v>
      </c>
      <c r="C3839" s="36" t="str">
        <f>HYPERLINK("https://rhld.insurance.arkansas.gov/NPILookup?Npi=1124342530","1124342530")</f>
        <v>1124342530</v>
      </c>
      <c r="D3839" s="36" t="s">
        <v>35027</v>
      </c>
      <c r="E3839" s="36" t="s">
        <v>2</v>
      </c>
      <c r="F3839" s="36">
        <v>1</v>
      </c>
      <c r="G3839" s="36">
        <v>2</v>
      </c>
      <c r="H3839" s="36">
        <v>0</v>
      </c>
      <c r="I3839" s="37">
        <v>0</v>
      </c>
      <c r="J3839" s="36"/>
      <c r="K3839" s="36" t="s">
        <v>14330</v>
      </c>
      <c r="L3839" s="36" t="s">
        <v>14330</v>
      </c>
      <c r="M3839">
        <v>2</v>
      </c>
      <c r="N3839" t="s">
        <v>14331</v>
      </c>
      <c r="O3839" t="s">
        <v>14333</v>
      </c>
    </row>
    <row r="3840" spans="1:15" x14ac:dyDescent="0.25">
      <c r="A3840" s="35" t="s">
        <v>8275</v>
      </c>
      <c r="B3840" s="36" t="s">
        <v>8276</v>
      </c>
      <c r="C3840" s="36" t="str">
        <f>HYPERLINK("https://rhld.insurance.arkansas.gov/NPILookup?Npi=1124418769","1124418769")</f>
        <v>1124418769</v>
      </c>
      <c r="D3840" s="36" t="s">
        <v>36316</v>
      </c>
      <c r="E3840" s="36" t="s">
        <v>2</v>
      </c>
      <c r="F3840" s="36">
        <v>1</v>
      </c>
      <c r="G3840" s="36">
        <v>2</v>
      </c>
      <c r="H3840" s="36">
        <v>0</v>
      </c>
      <c r="I3840" s="37">
        <v>0</v>
      </c>
      <c r="J3840" s="36" t="s">
        <v>36190</v>
      </c>
      <c r="K3840" s="36" t="s">
        <v>14330</v>
      </c>
      <c r="L3840" s="36" t="s">
        <v>14330</v>
      </c>
      <c r="M3840">
        <v>3</v>
      </c>
      <c r="N3840" t="s">
        <v>14331</v>
      </c>
      <c r="O3840" t="s">
        <v>14333</v>
      </c>
    </row>
    <row r="3841" spans="1:15" x14ac:dyDescent="0.25">
      <c r="A3841" s="35" t="s">
        <v>8275</v>
      </c>
      <c r="B3841" s="36" t="s">
        <v>8276</v>
      </c>
      <c r="C3841" s="36" t="str">
        <f>HYPERLINK("https://rhld.insurance.arkansas.gov/NPILookup?Npi=1124437330","1124437330")</f>
        <v>1124437330</v>
      </c>
      <c r="D3841" s="36" t="s">
        <v>36317</v>
      </c>
      <c r="E3841" s="36" t="s">
        <v>2</v>
      </c>
      <c r="F3841" s="36">
        <v>1</v>
      </c>
      <c r="G3841" s="36">
        <v>3</v>
      </c>
      <c r="H3841" s="36">
        <v>0</v>
      </c>
      <c r="I3841" s="37">
        <v>0</v>
      </c>
      <c r="J3841" s="36" t="s">
        <v>36190</v>
      </c>
      <c r="K3841" s="36" t="s">
        <v>14330</v>
      </c>
      <c r="L3841" s="36" t="s">
        <v>14330</v>
      </c>
      <c r="M3841">
        <v>2</v>
      </c>
      <c r="N3841" t="s">
        <v>14331</v>
      </c>
      <c r="O3841" t="s">
        <v>14333</v>
      </c>
    </row>
    <row r="3842" spans="1:15" x14ac:dyDescent="0.25">
      <c r="A3842" s="35" t="s">
        <v>8275</v>
      </c>
      <c r="B3842" s="36" t="s">
        <v>8276</v>
      </c>
      <c r="C3842" s="36" t="str">
        <f>HYPERLINK("https://rhld.insurance.arkansas.gov/NPILookup?Npi=1124461140","1124461140")</f>
        <v>1124461140</v>
      </c>
      <c r="D3842" s="36" t="s">
        <v>36318</v>
      </c>
      <c r="E3842" s="36" t="s">
        <v>2</v>
      </c>
      <c r="F3842" s="36">
        <v>1</v>
      </c>
      <c r="G3842" s="36">
        <v>2</v>
      </c>
      <c r="H3842" s="36">
        <v>0</v>
      </c>
      <c r="I3842" s="37">
        <v>0</v>
      </c>
      <c r="J3842" s="36" t="s">
        <v>36190</v>
      </c>
      <c r="K3842" s="36" t="s">
        <v>14330</v>
      </c>
      <c r="L3842" s="36" t="s">
        <v>14330</v>
      </c>
      <c r="M3842">
        <v>1</v>
      </c>
      <c r="N3842" t="s">
        <v>14331</v>
      </c>
      <c r="O3842" t="s">
        <v>14333</v>
      </c>
    </row>
    <row r="3843" spans="1:15" x14ac:dyDescent="0.25">
      <c r="A3843" s="35" t="s">
        <v>8275</v>
      </c>
      <c r="B3843" s="36" t="s">
        <v>8276</v>
      </c>
      <c r="C3843" s="36" t="str">
        <f>HYPERLINK("https://rhld.insurance.arkansas.gov/NPILookup?Npi=1124567607","1124567607")</f>
        <v>1124567607</v>
      </c>
      <c r="D3843" s="36" t="s">
        <v>35031</v>
      </c>
      <c r="E3843" s="36" t="s">
        <v>2</v>
      </c>
      <c r="F3843" s="36">
        <v>1</v>
      </c>
      <c r="G3843" s="36">
        <v>1</v>
      </c>
      <c r="H3843" s="36">
        <v>0</v>
      </c>
      <c r="I3843" s="37">
        <v>0</v>
      </c>
      <c r="J3843" s="36"/>
      <c r="K3843" s="36" t="s">
        <v>14330</v>
      </c>
      <c r="L3843" s="36" t="s">
        <v>14330</v>
      </c>
      <c r="M3843">
        <v>2</v>
      </c>
      <c r="N3843" t="s">
        <v>14331</v>
      </c>
      <c r="O3843" t="s">
        <v>32633</v>
      </c>
    </row>
    <row r="3844" spans="1:15" x14ac:dyDescent="0.25">
      <c r="A3844" s="35" t="s">
        <v>8275</v>
      </c>
      <c r="B3844" s="36" t="s">
        <v>8276</v>
      </c>
      <c r="C3844" s="36" t="str">
        <f>HYPERLINK("https://rhld.insurance.arkansas.gov/NPILookup?Npi=1124611439","1124611439")</f>
        <v>1124611439</v>
      </c>
      <c r="D3844" s="36" t="s">
        <v>34196</v>
      </c>
      <c r="E3844" s="36" t="s">
        <v>2</v>
      </c>
      <c r="F3844" s="36">
        <v>1</v>
      </c>
      <c r="G3844" s="36">
        <v>2</v>
      </c>
      <c r="H3844" s="36">
        <v>0</v>
      </c>
      <c r="I3844" s="37">
        <v>0</v>
      </c>
      <c r="J3844" s="36" t="s">
        <v>36190</v>
      </c>
      <c r="K3844" s="36" t="s">
        <v>14330</v>
      </c>
      <c r="L3844" s="36" t="s">
        <v>14330</v>
      </c>
      <c r="M3844">
        <v>2</v>
      </c>
      <c r="N3844" t="s">
        <v>14331</v>
      </c>
      <c r="O3844" t="s">
        <v>14333</v>
      </c>
    </row>
    <row r="3845" spans="1:15" x14ac:dyDescent="0.25">
      <c r="A3845" s="35" t="s">
        <v>8275</v>
      </c>
      <c r="B3845" s="36" t="s">
        <v>8276</v>
      </c>
      <c r="C3845" s="36" t="str">
        <f>HYPERLINK("https://rhld.insurance.arkansas.gov/NPILookup?Npi=1124632310","1124632310")</f>
        <v>1124632310</v>
      </c>
      <c r="D3845" s="36" t="s">
        <v>35032</v>
      </c>
      <c r="E3845" s="36" t="s">
        <v>2</v>
      </c>
      <c r="F3845" s="36">
        <v>1</v>
      </c>
      <c r="G3845" s="36">
        <v>2</v>
      </c>
      <c r="H3845" s="36">
        <v>0</v>
      </c>
      <c r="I3845" s="37">
        <v>0</v>
      </c>
      <c r="J3845" s="36"/>
      <c r="K3845" s="36" t="s">
        <v>14330</v>
      </c>
      <c r="L3845" s="36" t="s">
        <v>14330</v>
      </c>
      <c r="M3845">
        <v>2</v>
      </c>
      <c r="N3845" t="s">
        <v>14331</v>
      </c>
      <c r="O3845" t="s">
        <v>14333</v>
      </c>
    </row>
    <row r="3846" spans="1:15" x14ac:dyDescent="0.25">
      <c r="A3846" s="35" t="s">
        <v>8275</v>
      </c>
      <c r="B3846" s="36" t="s">
        <v>8276</v>
      </c>
      <c r="C3846" s="36" t="str">
        <f>HYPERLINK("https://rhld.insurance.arkansas.gov/NPILookup?Npi=1124741715","1124741715")</f>
        <v>1124741715</v>
      </c>
      <c r="D3846" s="36" t="s">
        <v>36319</v>
      </c>
      <c r="E3846" s="36" t="s">
        <v>2</v>
      </c>
      <c r="F3846" s="36">
        <v>1</v>
      </c>
      <c r="G3846" s="36">
        <v>2</v>
      </c>
      <c r="H3846" s="36">
        <v>0</v>
      </c>
      <c r="I3846" s="37">
        <v>0</v>
      </c>
      <c r="J3846" s="36" t="s">
        <v>36190</v>
      </c>
      <c r="K3846" s="36" t="s">
        <v>14330</v>
      </c>
      <c r="L3846" s="36" t="s">
        <v>14330</v>
      </c>
      <c r="M3846">
        <v>1</v>
      </c>
      <c r="N3846" t="s">
        <v>14331</v>
      </c>
      <c r="O3846" t="s">
        <v>14333</v>
      </c>
    </row>
    <row r="3847" spans="1:15" x14ac:dyDescent="0.25">
      <c r="A3847" s="35" t="s">
        <v>8275</v>
      </c>
      <c r="B3847" s="36" t="s">
        <v>8276</v>
      </c>
      <c r="C3847" s="36" t="str">
        <f>HYPERLINK("https://rhld.insurance.arkansas.gov/NPILookup?Npi=1124746102","1124746102")</f>
        <v>1124746102</v>
      </c>
      <c r="D3847" s="36" t="s">
        <v>35033</v>
      </c>
      <c r="E3847" s="36" t="s">
        <v>2</v>
      </c>
      <c r="F3847" s="36">
        <v>1</v>
      </c>
      <c r="G3847" s="36">
        <v>1</v>
      </c>
      <c r="H3847" s="36">
        <v>0</v>
      </c>
      <c r="I3847" s="37">
        <v>0</v>
      </c>
      <c r="J3847" s="36"/>
      <c r="K3847" s="36" t="s">
        <v>14330</v>
      </c>
      <c r="L3847" s="36" t="s">
        <v>14330</v>
      </c>
      <c r="M3847">
        <v>3</v>
      </c>
      <c r="N3847" t="s">
        <v>14331</v>
      </c>
      <c r="O3847" t="s">
        <v>32633</v>
      </c>
    </row>
    <row r="3848" spans="1:15" x14ac:dyDescent="0.25">
      <c r="A3848" s="35" t="s">
        <v>8275</v>
      </c>
      <c r="B3848" s="36" t="s">
        <v>8276</v>
      </c>
      <c r="C3848" s="36" t="str">
        <f>HYPERLINK("https://rhld.insurance.arkansas.gov/NPILookup?Npi=1134126600","1134126600")</f>
        <v>1134126600</v>
      </c>
      <c r="D3848" s="36" t="s">
        <v>36320</v>
      </c>
      <c r="E3848" s="36" t="s">
        <v>2</v>
      </c>
      <c r="F3848" s="36">
        <v>1</v>
      </c>
      <c r="G3848" s="36">
        <v>3</v>
      </c>
      <c r="H3848" s="36">
        <v>0</v>
      </c>
      <c r="I3848" s="37">
        <v>0</v>
      </c>
      <c r="J3848" s="36" t="s">
        <v>36190</v>
      </c>
      <c r="K3848" s="36" t="s">
        <v>14330</v>
      </c>
      <c r="L3848" s="36" t="s">
        <v>14330</v>
      </c>
      <c r="M3848">
        <v>3</v>
      </c>
      <c r="N3848" t="s">
        <v>14331</v>
      </c>
      <c r="O3848" t="s">
        <v>14333</v>
      </c>
    </row>
    <row r="3849" spans="1:15" x14ac:dyDescent="0.25">
      <c r="A3849" s="35" t="s">
        <v>8275</v>
      </c>
      <c r="B3849" s="36" t="s">
        <v>8276</v>
      </c>
      <c r="C3849" s="36" t="str">
        <f>HYPERLINK("https://rhld.insurance.arkansas.gov/NPILookup?Npi=1134188063","1134188063")</f>
        <v>1134188063</v>
      </c>
      <c r="D3849" s="36" t="s">
        <v>36321</v>
      </c>
      <c r="E3849" s="36" t="s">
        <v>2</v>
      </c>
      <c r="F3849" s="36">
        <v>1</v>
      </c>
      <c r="G3849" s="36">
        <v>3</v>
      </c>
      <c r="H3849" s="36">
        <v>0</v>
      </c>
      <c r="I3849" s="37">
        <v>0</v>
      </c>
      <c r="J3849" s="36" t="s">
        <v>36190</v>
      </c>
      <c r="K3849" s="36" t="s">
        <v>14330</v>
      </c>
      <c r="L3849" s="36" t="s">
        <v>14330</v>
      </c>
      <c r="M3849">
        <v>3</v>
      </c>
      <c r="N3849" t="s">
        <v>14331</v>
      </c>
      <c r="O3849" t="s">
        <v>14333</v>
      </c>
    </row>
    <row r="3850" spans="1:15" x14ac:dyDescent="0.25">
      <c r="A3850" s="35" t="s">
        <v>8275</v>
      </c>
      <c r="B3850" s="36" t="s">
        <v>8276</v>
      </c>
      <c r="C3850" s="36" t="str">
        <f>HYPERLINK("https://rhld.insurance.arkansas.gov/NPILookup?Npi=1134316250","1134316250")</f>
        <v>1134316250</v>
      </c>
      <c r="D3850" s="36" t="s">
        <v>36322</v>
      </c>
      <c r="E3850" s="36" t="s">
        <v>2</v>
      </c>
      <c r="F3850" s="36">
        <v>1</v>
      </c>
      <c r="G3850" s="36">
        <v>3</v>
      </c>
      <c r="H3850" s="36">
        <v>0</v>
      </c>
      <c r="I3850" s="37">
        <v>0</v>
      </c>
      <c r="J3850" s="36" t="s">
        <v>36190</v>
      </c>
      <c r="K3850" s="36" t="s">
        <v>14330</v>
      </c>
      <c r="L3850" s="36" t="s">
        <v>14330</v>
      </c>
      <c r="M3850">
        <v>1</v>
      </c>
      <c r="N3850" t="s">
        <v>14331</v>
      </c>
      <c r="O3850" t="s">
        <v>14333</v>
      </c>
    </row>
    <row r="3851" spans="1:15" x14ac:dyDescent="0.25">
      <c r="A3851" s="35" t="s">
        <v>8275</v>
      </c>
      <c r="B3851" s="36" t="s">
        <v>8276</v>
      </c>
      <c r="C3851" s="36" t="str">
        <f>HYPERLINK("https://rhld.insurance.arkansas.gov/NPILookup?Npi=1134469935","1134469935")</f>
        <v>1134469935</v>
      </c>
      <c r="D3851" s="36" t="s">
        <v>36323</v>
      </c>
      <c r="E3851" s="36" t="s">
        <v>1</v>
      </c>
      <c r="F3851" s="36">
        <v>1</v>
      </c>
      <c r="G3851" s="36">
        <v>1</v>
      </c>
      <c r="H3851" s="36">
        <v>0</v>
      </c>
      <c r="I3851" s="37">
        <v>0</v>
      </c>
      <c r="J3851" s="36" t="s">
        <v>32654</v>
      </c>
      <c r="K3851" s="36" t="s">
        <v>14330</v>
      </c>
      <c r="L3851" s="36" t="s">
        <v>14330</v>
      </c>
      <c r="M3851">
        <v>3</v>
      </c>
      <c r="N3851" t="s">
        <v>14331</v>
      </c>
      <c r="O3851" t="s">
        <v>32633</v>
      </c>
    </row>
    <row r="3852" spans="1:15" x14ac:dyDescent="0.25">
      <c r="A3852" s="35" t="s">
        <v>8275</v>
      </c>
      <c r="B3852" s="36" t="s">
        <v>8276</v>
      </c>
      <c r="C3852" s="36" t="str">
        <f>HYPERLINK("https://rhld.insurance.arkansas.gov/NPILookup?Npi=1134516578","1134516578")</f>
        <v>1134516578</v>
      </c>
      <c r="D3852" s="36" t="s">
        <v>36324</v>
      </c>
      <c r="E3852" s="36" t="s">
        <v>2</v>
      </c>
      <c r="F3852" s="36">
        <v>1</v>
      </c>
      <c r="G3852" s="36">
        <v>3</v>
      </c>
      <c r="H3852" s="36">
        <v>0</v>
      </c>
      <c r="I3852" s="37">
        <v>0</v>
      </c>
      <c r="J3852" s="36" t="s">
        <v>36190</v>
      </c>
      <c r="K3852" s="36" t="s">
        <v>14330</v>
      </c>
      <c r="L3852" s="36" t="s">
        <v>14330</v>
      </c>
      <c r="M3852">
        <v>2</v>
      </c>
      <c r="N3852" t="s">
        <v>14331</v>
      </c>
      <c r="O3852" t="s">
        <v>14333</v>
      </c>
    </row>
    <row r="3853" spans="1:15" x14ac:dyDescent="0.25">
      <c r="A3853" s="35" t="s">
        <v>8275</v>
      </c>
      <c r="B3853" s="36" t="s">
        <v>8276</v>
      </c>
      <c r="C3853" s="36" t="str">
        <f>HYPERLINK("https://rhld.insurance.arkansas.gov/NPILookup?Npi=1134643190","1134643190")</f>
        <v>1134643190</v>
      </c>
      <c r="D3853" s="36" t="s">
        <v>36325</v>
      </c>
      <c r="E3853" s="36" t="s">
        <v>2</v>
      </c>
      <c r="F3853" s="36">
        <v>1</v>
      </c>
      <c r="G3853" s="36">
        <v>2</v>
      </c>
      <c r="H3853" s="36">
        <v>0</v>
      </c>
      <c r="I3853" s="37">
        <v>0</v>
      </c>
      <c r="J3853" s="36" t="s">
        <v>36190</v>
      </c>
      <c r="K3853" s="36" t="s">
        <v>14330</v>
      </c>
      <c r="L3853" s="36" t="s">
        <v>14330</v>
      </c>
      <c r="M3853">
        <v>3</v>
      </c>
      <c r="N3853" t="s">
        <v>14331</v>
      </c>
      <c r="O3853" t="s">
        <v>14333</v>
      </c>
    </row>
    <row r="3854" spans="1:15" x14ac:dyDescent="0.25">
      <c r="A3854" s="35" t="s">
        <v>8275</v>
      </c>
      <c r="B3854" s="36" t="s">
        <v>8276</v>
      </c>
      <c r="C3854" s="36" t="str">
        <f>HYPERLINK("https://rhld.insurance.arkansas.gov/NPILookup?Npi=1134730005","1134730005")</f>
        <v>1134730005</v>
      </c>
      <c r="D3854" s="36" t="s">
        <v>36326</v>
      </c>
      <c r="E3854" s="36" t="s">
        <v>2</v>
      </c>
      <c r="F3854" s="36">
        <v>1</v>
      </c>
      <c r="G3854" s="36">
        <v>3</v>
      </c>
      <c r="H3854" s="36">
        <v>0</v>
      </c>
      <c r="I3854" s="37">
        <v>0</v>
      </c>
      <c r="J3854" s="36" t="s">
        <v>36190</v>
      </c>
      <c r="K3854" s="36" t="s">
        <v>14330</v>
      </c>
      <c r="L3854" s="36" t="s">
        <v>14330</v>
      </c>
      <c r="M3854">
        <v>3</v>
      </c>
      <c r="N3854" t="s">
        <v>14331</v>
      </c>
      <c r="O3854" t="s">
        <v>14333</v>
      </c>
    </row>
    <row r="3855" spans="1:15" x14ac:dyDescent="0.25">
      <c r="A3855" s="35" t="s">
        <v>8275</v>
      </c>
      <c r="B3855" s="36" t="s">
        <v>8276</v>
      </c>
      <c r="C3855" s="36" t="str">
        <f>HYPERLINK("https://rhld.insurance.arkansas.gov/NPILookup?Npi=1134730450","1134730450")</f>
        <v>1134730450</v>
      </c>
      <c r="D3855" s="36" t="s">
        <v>36327</v>
      </c>
      <c r="E3855" s="36" t="s">
        <v>2</v>
      </c>
      <c r="F3855" s="36">
        <v>1</v>
      </c>
      <c r="G3855" s="36">
        <v>3</v>
      </c>
      <c r="H3855" s="36">
        <v>0</v>
      </c>
      <c r="I3855" s="37">
        <v>0</v>
      </c>
      <c r="J3855" s="36" t="s">
        <v>36190</v>
      </c>
      <c r="K3855" s="36" t="s">
        <v>14330</v>
      </c>
      <c r="L3855" s="36" t="s">
        <v>14330</v>
      </c>
      <c r="M3855">
        <v>3</v>
      </c>
      <c r="N3855" t="s">
        <v>14331</v>
      </c>
      <c r="O3855" t="s">
        <v>14333</v>
      </c>
    </row>
    <row r="3856" spans="1:15" x14ac:dyDescent="0.25">
      <c r="A3856" s="35" t="s">
        <v>8275</v>
      </c>
      <c r="B3856" s="36" t="s">
        <v>8276</v>
      </c>
      <c r="C3856" s="36" t="str">
        <f>HYPERLINK("https://rhld.insurance.arkansas.gov/NPILookup?Npi=1134785769","1134785769")</f>
        <v>1134785769</v>
      </c>
      <c r="D3856" s="36" t="s">
        <v>36328</v>
      </c>
      <c r="E3856" s="36" t="s">
        <v>2</v>
      </c>
      <c r="F3856" s="36">
        <v>1</v>
      </c>
      <c r="G3856" s="36">
        <v>3</v>
      </c>
      <c r="H3856" s="36">
        <v>0</v>
      </c>
      <c r="I3856" s="37">
        <v>0</v>
      </c>
      <c r="J3856" s="36" t="s">
        <v>36190</v>
      </c>
      <c r="K3856" s="36" t="s">
        <v>14330</v>
      </c>
      <c r="L3856" s="36" t="s">
        <v>14330</v>
      </c>
      <c r="M3856">
        <v>1</v>
      </c>
      <c r="N3856" t="s">
        <v>14331</v>
      </c>
      <c r="O3856" t="s">
        <v>14333</v>
      </c>
    </row>
    <row r="3857" spans="1:15" x14ac:dyDescent="0.25">
      <c r="A3857" s="35" t="s">
        <v>8275</v>
      </c>
      <c r="B3857" s="36" t="s">
        <v>8276</v>
      </c>
      <c r="C3857" s="36" t="str">
        <f>HYPERLINK("https://rhld.insurance.arkansas.gov/NPILookup?Npi=1134907637","1134907637")</f>
        <v>1134907637</v>
      </c>
      <c r="D3857" s="36" t="s">
        <v>35041</v>
      </c>
      <c r="E3857" s="36" t="s">
        <v>2</v>
      </c>
      <c r="F3857" s="36">
        <v>1</v>
      </c>
      <c r="G3857" s="36">
        <v>1</v>
      </c>
      <c r="H3857" s="36">
        <v>0</v>
      </c>
      <c r="I3857" s="37">
        <v>0</v>
      </c>
      <c r="J3857" s="36"/>
      <c r="K3857" s="36" t="s">
        <v>14330</v>
      </c>
      <c r="L3857" s="36" t="s">
        <v>14330</v>
      </c>
      <c r="M3857">
        <v>3</v>
      </c>
      <c r="N3857" t="s">
        <v>14331</v>
      </c>
      <c r="O3857" t="s">
        <v>32633</v>
      </c>
    </row>
    <row r="3858" spans="1:15" x14ac:dyDescent="0.25">
      <c r="A3858" s="35" t="s">
        <v>8275</v>
      </c>
      <c r="B3858" s="36" t="s">
        <v>8276</v>
      </c>
      <c r="C3858" s="36" t="str">
        <f>HYPERLINK("https://rhld.insurance.arkansas.gov/NPILookup?Npi=1134994155","1134994155")</f>
        <v>1134994155</v>
      </c>
      <c r="D3858" s="36" t="s">
        <v>36329</v>
      </c>
      <c r="E3858" s="36" t="s">
        <v>2</v>
      </c>
      <c r="F3858" s="36">
        <v>1</v>
      </c>
      <c r="G3858" s="36">
        <v>3</v>
      </c>
      <c r="H3858" s="36">
        <v>0</v>
      </c>
      <c r="I3858" s="37">
        <v>0</v>
      </c>
      <c r="J3858" s="36" t="s">
        <v>36190</v>
      </c>
      <c r="K3858" s="36" t="s">
        <v>14330</v>
      </c>
      <c r="L3858" s="36" t="s">
        <v>14330</v>
      </c>
      <c r="M3858">
        <v>3</v>
      </c>
      <c r="N3858" t="s">
        <v>14331</v>
      </c>
      <c r="O3858" t="s">
        <v>14333</v>
      </c>
    </row>
    <row r="3859" spans="1:15" x14ac:dyDescent="0.25">
      <c r="A3859" s="35" t="s">
        <v>8275</v>
      </c>
      <c r="B3859" s="36" t="s">
        <v>8276</v>
      </c>
      <c r="C3859" s="36" t="str">
        <f>HYPERLINK("https://rhld.insurance.arkansas.gov/NPILookup?Npi=1144056110","1144056110")</f>
        <v>1144056110</v>
      </c>
      <c r="D3859" s="36" t="s">
        <v>31255</v>
      </c>
      <c r="E3859" s="36" t="s">
        <v>2</v>
      </c>
      <c r="F3859" s="36">
        <v>1</v>
      </c>
      <c r="G3859" s="36">
        <v>3</v>
      </c>
      <c r="H3859" s="36">
        <v>0</v>
      </c>
      <c r="I3859" s="37">
        <v>0</v>
      </c>
      <c r="J3859" s="36" t="s">
        <v>36190</v>
      </c>
      <c r="K3859" s="36" t="s">
        <v>14330</v>
      </c>
      <c r="L3859" s="36" t="s">
        <v>14330</v>
      </c>
      <c r="M3859">
        <v>2</v>
      </c>
      <c r="N3859" t="s">
        <v>14331</v>
      </c>
      <c r="O3859" t="s">
        <v>14333</v>
      </c>
    </row>
    <row r="3860" spans="1:15" x14ac:dyDescent="0.25">
      <c r="A3860" s="35" t="s">
        <v>8275</v>
      </c>
      <c r="B3860" s="36" t="s">
        <v>8276</v>
      </c>
      <c r="C3860" s="36" t="str">
        <f>HYPERLINK("https://rhld.insurance.arkansas.gov/NPILookup?Npi=1144263781","1144263781")</f>
        <v>1144263781</v>
      </c>
      <c r="D3860" s="36" t="s">
        <v>36330</v>
      </c>
      <c r="E3860" s="36" t="s">
        <v>2</v>
      </c>
      <c r="F3860" s="36">
        <v>1</v>
      </c>
      <c r="G3860" s="36">
        <v>2</v>
      </c>
      <c r="H3860" s="36">
        <v>0</v>
      </c>
      <c r="I3860" s="37">
        <v>0</v>
      </c>
      <c r="J3860" s="36"/>
      <c r="K3860" s="36" t="s">
        <v>14330</v>
      </c>
      <c r="L3860" s="36" t="s">
        <v>14330</v>
      </c>
      <c r="M3860">
        <v>3</v>
      </c>
      <c r="N3860" t="s">
        <v>14331</v>
      </c>
      <c r="O3860" t="s">
        <v>14333</v>
      </c>
    </row>
    <row r="3861" spans="1:15" x14ac:dyDescent="0.25">
      <c r="A3861" s="35" t="s">
        <v>8275</v>
      </c>
      <c r="B3861" s="36" t="s">
        <v>8276</v>
      </c>
      <c r="C3861" s="36" t="str">
        <f>HYPERLINK("https://rhld.insurance.arkansas.gov/NPILookup?Npi=1144294299","1144294299")</f>
        <v>1144294299</v>
      </c>
      <c r="D3861" s="36" t="s">
        <v>36331</v>
      </c>
      <c r="E3861" s="36" t="s">
        <v>2</v>
      </c>
      <c r="F3861" s="36">
        <v>1</v>
      </c>
      <c r="G3861" s="36">
        <v>3</v>
      </c>
      <c r="H3861" s="36">
        <v>0</v>
      </c>
      <c r="I3861" s="37">
        <v>0</v>
      </c>
      <c r="J3861" s="36" t="s">
        <v>36190</v>
      </c>
      <c r="K3861" s="36" t="s">
        <v>14330</v>
      </c>
      <c r="L3861" s="36" t="s">
        <v>14330</v>
      </c>
      <c r="M3861">
        <v>3</v>
      </c>
      <c r="N3861" t="s">
        <v>14331</v>
      </c>
      <c r="O3861" t="s">
        <v>14333</v>
      </c>
    </row>
    <row r="3862" spans="1:15" x14ac:dyDescent="0.25">
      <c r="A3862" s="35" t="s">
        <v>8275</v>
      </c>
      <c r="B3862" s="36" t="s">
        <v>8276</v>
      </c>
      <c r="C3862" s="36" t="str">
        <f>HYPERLINK("https://rhld.insurance.arkansas.gov/NPILookup?Npi=1144294646","1144294646")</f>
        <v>1144294646</v>
      </c>
      <c r="D3862" s="36" t="s">
        <v>36332</v>
      </c>
      <c r="E3862" s="36" t="s">
        <v>2</v>
      </c>
      <c r="F3862" s="36">
        <v>1</v>
      </c>
      <c r="G3862" s="36">
        <v>3</v>
      </c>
      <c r="H3862" s="36">
        <v>0</v>
      </c>
      <c r="I3862" s="37">
        <v>0</v>
      </c>
      <c r="J3862" s="36" t="s">
        <v>36190</v>
      </c>
      <c r="K3862" s="36" t="s">
        <v>14330</v>
      </c>
      <c r="L3862" s="36" t="s">
        <v>14330</v>
      </c>
      <c r="M3862">
        <v>3</v>
      </c>
      <c r="N3862" t="s">
        <v>14331</v>
      </c>
      <c r="O3862" t="s">
        <v>14333</v>
      </c>
    </row>
    <row r="3863" spans="1:15" x14ac:dyDescent="0.25">
      <c r="A3863" s="35" t="s">
        <v>8275</v>
      </c>
      <c r="B3863" s="36" t="s">
        <v>8276</v>
      </c>
      <c r="C3863" s="36" t="str">
        <f>HYPERLINK("https://rhld.insurance.arkansas.gov/NPILookup?Npi=1144294992","1144294992")</f>
        <v>1144294992</v>
      </c>
      <c r="D3863" s="36" t="s">
        <v>36333</v>
      </c>
      <c r="E3863" s="36" t="s">
        <v>2</v>
      </c>
      <c r="F3863" s="36">
        <v>1</v>
      </c>
      <c r="G3863" s="36">
        <v>3</v>
      </c>
      <c r="H3863" s="36">
        <v>0</v>
      </c>
      <c r="I3863" s="37">
        <v>0</v>
      </c>
      <c r="J3863" s="36" t="s">
        <v>36190</v>
      </c>
      <c r="K3863" s="36" t="s">
        <v>14330</v>
      </c>
      <c r="L3863" s="36" t="s">
        <v>14330</v>
      </c>
      <c r="M3863">
        <v>3</v>
      </c>
      <c r="N3863" t="s">
        <v>14331</v>
      </c>
      <c r="O3863" t="s">
        <v>14333</v>
      </c>
    </row>
    <row r="3864" spans="1:15" x14ac:dyDescent="0.25">
      <c r="A3864" s="35" t="s">
        <v>8275</v>
      </c>
      <c r="B3864" s="36" t="s">
        <v>8276</v>
      </c>
      <c r="C3864" s="36" t="str">
        <f>HYPERLINK("https://rhld.insurance.arkansas.gov/NPILookup?Npi=1144516964","1144516964")</f>
        <v>1144516964</v>
      </c>
      <c r="D3864" s="36" t="s">
        <v>36334</v>
      </c>
      <c r="E3864" s="36" t="s">
        <v>2</v>
      </c>
      <c r="F3864" s="36">
        <v>1</v>
      </c>
      <c r="G3864" s="36">
        <v>3</v>
      </c>
      <c r="H3864" s="36">
        <v>0</v>
      </c>
      <c r="I3864" s="37">
        <v>0</v>
      </c>
      <c r="J3864" s="36" t="s">
        <v>36190</v>
      </c>
      <c r="K3864" s="36" t="s">
        <v>14330</v>
      </c>
      <c r="L3864" s="36" t="s">
        <v>14330</v>
      </c>
      <c r="M3864">
        <v>2</v>
      </c>
      <c r="N3864" t="s">
        <v>14331</v>
      </c>
      <c r="O3864" t="s">
        <v>14333</v>
      </c>
    </row>
    <row r="3865" spans="1:15" x14ac:dyDescent="0.25">
      <c r="A3865" s="35" t="s">
        <v>8275</v>
      </c>
      <c r="B3865" s="36" t="s">
        <v>8276</v>
      </c>
      <c r="C3865" s="36" t="str">
        <f>HYPERLINK("https://rhld.insurance.arkansas.gov/NPILookup?Npi=1144517129","1144517129")</f>
        <v>1144517129</v>
      </c>
      <c r="D3865" s="36" t="s">
        <v>36335</v>
      </c>
      <c r="E3865" s="36" t="s">
        <v>2</v>
      </c>
      <c r="F3865" s="36">
        <v>1</v>
      </c>
      <c r="G3865" s="36">
        <v>2</v>
      </c>
      <c r="H3865" s="36">
        <v>0</v>
      </c>
      <c r="I3865" s="37">
        <v>0</v>
      </c>
      <c r="J3865" s="36" t="s">
        <v>36190</v>
      </c>
      <c r="K3865" s="36" t="s">
        <v>14330</v>
      </c>
      <c r="L3865" s="36" t="s">
        <v>14330</v>
      </c>
      <c r="M3865">
        <v>3</v>
      </c>
      <c r="N3865" t="s">
        <v>14331</v>
      </c>
      <c r="O3865" t="s">
        <v>14333</v>
      </c>
    </row>
    <row r="3866" spans="1:15" x14ac:dyDescent="0.25">
      <c r="A3866" s="35" t="s">
        <v>8275</v>
      </c>
      <c r="B3866" s="36" t="s">
        <v>8276</v>
      </c>
      <c r="C3866" s="36" t="str">
        <f>HYPERLINK("https://rhld.insurance.arkansas.gov/NPILookup?Npi=1144735424","1144735424")</f>
        <v>1144735424</v>
      </c>
      <c r="D3866" s="36" t="s">
        <v>36336</v>
      </c>
      <c r="E3866" s="36" t="s">
        <v>2</v>
      </c>
      <c r="F3866" s="36">
        <v>1</v>
      </c>
      <c r="G3866" s="36">
        <v>3</v>
      </c>
      <c r="H3866" s="36">
        <v>0</v>
      </c>
      <c r="I3866" s="37">
        <v>0</v>
      </c>
      <c r="J3866" s="36" t="s">
        <v>36190</v>
      </c>
      <c r="K3866" s="36" t="s">
        <v>14330</v>
      </c>
      <c r="L3866" s="36" t="s">
        <v>14330</v>
      </c>
      <c r="M3866">
        <v>3</v>
      </c>
      <c r="N3866" t="s">
        <v>14331</v>
      </c>
      <c r="O3866" t="s">
        <v>14333</v>
      </c>
    </row>
    <row r="3867" spans="1:15" x14ac:dyDescent="0.25">
      <c r="A3867" s="35" t="s">
        <v>8275</v>
      </c>
      <c r="B3867" s="36" t="s">
        <v>8276</v>
      </c>
      <c r="C3867" s="36" t="str">
        <f>HYPERLINK("https://rhld.insurance.arkansas.gov/NPILookup?Npi=1144738725","1144738725")</f>
        <v>1144738725</v>
      </c>
      <c r="D3867" s="36" t="s">
        <v>36337</v>
      </c>
      <c r="E3867" s="36" t="s">
        <v>2</v>
      </c>
      <c r="F3867" s="36">
        <v>1</v>
      </c>
      <c r="G3867" s="36">
        <v>3</v>
      </c>
      <c r="H3867" s="36">
        <v>0</v>
      </c>
      <c r="I3867" s="37">
        <v>0</v>
      </c>
      <c r="J3867" s="36" t="s">
        <v>36190</v>
      </c>
      <c r="K3867" s="36" t="s">
        <v>14330</v>
      </c>
      <c r="L3867" s="36" t="s">
        <v>14330</v>
      </c>
      <c r="M3867">
        <v>2</v>
      </c>
      <c r="N3867" t="s">
        <v>14331</v>
      </c>
      <c r="O3867" t="s">
        <v>14333</v>
      </c>
    </row>
    <row r="3868" spans="1:15" x14ac:dyDescent="0.25">
      <c r="A3868" s="35" t="s">
        <v>8275</v>
      </c>
      <c r="B3868" s="36" t="s">
        <v>8276</v>
      </c>
      <c r="C3868" s="36" t="str">
        <f>HYPERLINK("https://rhld.insurance.arkansas.gov/NPILookup?Npi=1144901125","1144901125")</f>
        <v>1144901125</v>
      </c>
      <c r="D3868" s="36" t="s">
        <v>35051</v>
      </c>
      <c r="E3868" s="36" t="s">
        <v>2</v>
      </c>
      <c r="F3868" s="36">
        <v>1</v>
      </c>
      <c r="G3868" s="36">
        <v>2</v>
      </c>
      <c r="H3868" s="36">
        <v>0</v>
      </c>
      <c r="I3868" s="37">
        <v>0</v>
      </c>
      <c r="J3868" s="36"/>
      <c r="K3868" s="36" t="s">
        <v>14330</v>
      </c>
      <c r="L3868" s="36" t="s">
        <v>14330</v>
      </c>
      <c r="M3868">
        <v>2</v>
      </c>
      <c r="N3868" t="s">
        <v>14331</v>
      </c>
      <c r="O3868" t="s">
        <v>14333</v>
      </c>
    </row>
    <row r="3869" spans="1:15" x14ac:dyDescent="0.25">
      <c r="A3869" s="35" t="s">
        <v>8275</v>
      </c>
      <c r="B3869" s="36" t="s">
        <v>8276</v>
      </c>
      <c r="C3869" s="36" t="str">
        <f>HYPERLINK("https://rhld.insurance.arkansas.gov/NPILookup?Npi=1154158699","1154158699")</f>
        <v>1154158699</v>
      </c>
      <c r="D3869" s="36" t="s">
        <v>34206</v>
      </c>
      <c r="E3869" s="36" t="s">
        <v>2</v>
      </c>
      <c r="F3869" s="36">
        <v>1</v>
      </c>
      <c r="G3869" s="36">
        <v>2</v>
      </c>
      <c r="H3869" s="36">
        <v>0</v>
      </c>
      <c r="I3869" s="37">
        <v>0</v>
      </c>
      <c r="J3869" s="36"/>
      <c r="K3869" s="36" t="s">
        <v>14330</v>
      </c>
      <c r="L3869" s="36" t="s">
        <v>14330</v>
      </c>
      <c r="M3869">
        <v>3</v>
      </c>
      <c r="N3869" t="s">
        <v>14331</v>
      </c>
      <c r="O3869" t="s">
        <v>14333</v>
      </c>
    </row>
    <row r="3870" spans="1:15" x14ac:dyDescent="0.25">
      <c r="A3870" s="35" t="s">
        <v>8275</v>
      </c>
      <c r="B3870" s="36" t="s">
        <v>8276</v>
      </c>
      <c r="C3870" s="36" t="str">
        <f>HYPERLINK("https://rhld.insurance.arkansas.gov/NPILookup?Npi=1154177160","1154177160")</f>
        <v>1154177160</v>
      </c>
      <c r="D3870" s="36" t="s">
        <v>31256</v>
      </c>
      <c r="E3870" s="36" t="s">
        <v>2</v>
      </c>
      <c r="F3870" s="36">
        <v>1</v>
      </c>
      <c r="G3870" s="36">
        <v>3</v>
      </c>
      <c r="H3870" s="36">
        <v>0</v>
      </c>
      <c r="I3870" s="37">
        <v>0</v>
      </c>
      <c r="J3870" s="36" t="s">
        <v>36190</v>
      </c>
      <c r="K3870" s="36" t="s">
        <v>14330</v>
      </c>
      <c r="L3870" s="36" t="s">
        <v>14330</v>
      </c>
      <c r="M3870">
        <v>3</v>
      </c>
      <c r="N3870" t="s">
        <v>14331</v>
      </c>
      <c r="O3870" t="s">
        <v>14333</v>
      </c>
    </row>
    <row r="3871" spans="1:15" x14ac:dyDescent="0.25">
      <c r="A3871" s="35" t="s">
        <v>8275</v>
      </c>
      <c r="B3871" s="36" t="s">
        <v>8276</v>
      </c>
      <c r="C3871" s="36" t="str">
        <f>HYPERLINK("https://rhld.insurance.arkansas.gov/NPILookup?Npi=1154327237","1154327237")</f>
        <v>1154327237</v>
      </c>
      <c r="D3871" s="36" t="s">
        <v>36338</v>
      </c>
      <c r="E3871" s="36" t="s">
        <v>2</v>
      </c>
      <c r="F3871" s="36">
        <v>1</v>
      </c>
      <c r="G3871" s="36">
        <v>3</v>
      </c>
      <c r="H3871" s="36">
        <v>0</v>
      </c>
      <c r="I3871" s="37">
        <v>0</v>
      </c>
      <c r="J3871" s="36" t="s">
        <v>36190</v>
      </c>
      <c r="K3871" s="36" t="s">
        <v>14330</v>
      </c>
      <c r="L3871" s="36" t="s">
        <v>14330</v>
      </c>
      <c r="M3871">
        <v>3</v>
      </c>
      <c r="N3871" t="s">
        <v>14331</v>
      </c>
      <c r="O3871" t="s">
        <v>14333</v>
      </c>
    </row>
    <row r="3872" spans="1:15" x14ac:dyDescent="0.25">
      <c r="A3872" s="35" t="s">
        <v>8275</v>
      </c>
      <c r="B3872" s="36" t="s">
        <v>8276</v>
      </c>
      <c r="C3872" s="36" t="str">
        <f>HYPERLINK("https://rhld.insurance.arkansas.gov/NPILookup?Npi=1154344810","1154344810")</f>
        <v>1154344810</v>
      </c>
      <c r="D3872" s="36" t="s">
        <v>36339</v>
      </c>
      <c r="E3872" s="36" t="s">
        <v>2</v>
      </c>
      <c r="F3872" s="36">
        <v>1</v>
      </c>
      <c r="G3872" s="36">
        <v>3</v>
      </c>
      <c r="H3872" s="36">
        <v>0</v>
      </c>
      <c r="I3872" s="37">
        <v>0</v>
      </c>
      <c r="J3872" s="36" t="s">
        <v>36190</v>
      </c>
      <c r="K3872" s="36" t="s">
        <v>14330</v>
      </c>
      <c r="L3872" s="36" t="s">
        <v>14330</v>
      </c>
      <c r="M3872">
        <v>3</v>
      </c>
      <c r="N3872" t="s">
        <v>14331</v>
      </c>
      <c r="O3872" t="s">
        <v>14333</v>
      </c>
    </row>
    <row r="3873" spans="1:15" x14ac:dyDescent="0.25">
      <c r="A3873" s="35" t="s">
        <v>8275</v>
      </c>
      <c r="B3873" s="36" t="s">
        <v>8276</v>
      </c>
      <c r="C3873" s="36" t="str">
        <f>HYPERLINK("https://rhld.insurance.arkansas.gov/NPILookup?Npi=1154471670","1154471670")</f>
        <v>1154471670</v>
      </c>
      <c r="D3873" s="36" t="s">
        <v>36340</v>
      </c>
      <c r="E3873" s="36" t="s">
        <v>2</v>
      </c>
      <c r="F3873" s="36">
        <v>1</v>
      </c>
      <c r="G3873" s="36">
        <v>3</v>
      </c>
      <c r="H3873" s="36">
        <v>0</v>
      </c>
      <c r="I3873" s="37">
        <v>0</v>
      </c>
      <c r="J3873" s="36" t="s">
        <v>36190</v>
      </c>
      <c r="K3873" s="36" t="s">
        <v>14330</v>
      </c>
      <c r="L3873" s="36" t="s">
        <v>14330</v>
      </c>
      <c r="M3873">
        <v>2</v>
      </c>
      <c r="N3873" t="s">
        <v>14331</v>
      </c>
      <c r="O3873" t="s">
        <v>14333</v>
      </c>
    </row>
    <row r="3874" spans="1:15" x14ac:dyDescent="0.25">
      <c r="A3874" s="35" t="s">
        <v>8275</v>
      </c>
      <c r="B3874" s="36" t="s">
        <v>8276</v>
      </c>
      <c r="C3874" s="36" t="str">
        <f>HYPERLINK("https://rhld.insurance.arkansas.gov/NPILookup?Npi=1154659100","1154659100")</f>
        <v>1154659100</v>
      </c>
      <c r="D3874" s="36" t="s">
        <v>36341</v>
      </c>
      <c r="E3874" s="36" t="s">
        <v>2</v>
      </c>
      <c r="F3874" s="36">
        <v>1</v>
      </c>
      <c r="G3874" s="36">
        <v>2</v>
      </c>
      <c r="H3874" s="36">
        <v>0</v>
      </c>
      <c r="I3874" s="37">
        <v>0</v>
      </c>
      <c r="J3874" s="36" t="s">
        <v>36190</v>
      </c>
      <c r="K3874" s="36" t="s">
        <v>14330</v>
      </c>
      <c r="L3874" s="36" t="s">
        <v>14330</v>
      </c>
      <c r="M3874">
        <v>1</v>
      </c>
      <c r="N3874" t="s">
        <v>14331</v>
      </c>
      <c r="O3874" t="s">
        <v>14333</v>
      </c>
    </row>
    <row r="3875" spans="1:15" x14ac:dyDescent="0.25">
      <c r="A3875" s="35" t="s">
        <v>8275</v>
      </c>
      <c r="B3875" s="36" t="s">
        <v>8276</v>
      </c>
      <c r="C3875" s="36" t="str">
        <f>HYPERLINK("https://rhld.insurance.arkansas.gov/NPILookup?Npi=1154687432","1154687432")</f>
        <v>1154687432</v>
      </c>
      <c r="D3875" s="36" t="s">
        <v>36342</v>
      </c>
      <c r="E3875" s="36" t="s">
        <v>2</v>
      </c>
      <c r="F3875" s="36">
        <v>1</v>
      </c>
      <c r="G3875" s="36">
        <v>1</v>
      </c>
      <c r="H3875" s="36">
        <v>0</v>
      </c>
      <c r="I3875" s="37">
        <v>0</v>
      </c>
      <c r="J3875" s="36"/>
      <c r="K3875" s="36" t="s">
        <v>14330</v>
      </c>
      <c r="L3875" s="36" t="s">
        <v>14330</v>
      </c>
      <c r="M3875">
        <v>2</v>
      </c>
      <c r="N3875" t="s">
        <v>14331</v>
      </c>
      <c r="O3875" t="s">
        <v>32633</v>
      </c>
    </row>
    <row r="3876" spans="1:15" x14ac:dyDescent="0.25">
      <c r="A3876" s="35" t="s">
        <v>8275</v>
      </c>
      <c r="B3876" s="36" t="s">
        <v>8276</v>
      </c>
      <c r="C3876" s="36" t="str">
        <f>HYPERLINK("https://rhld.insurance.arkansas.gov/NPILookup?Npi=1154696607","1154696607")</f>
        <v>1154696607</v>
      </c>
      <c r="D3876" s="36" t="s">
        <v>36343</v>
      </c>
      <c r="E3876" s="36" t="s">
        <v>2</v>
      </c>
      <c r="F3876" s="36">
        <v>1</v>
      </c>
      <c r="G3876" s="36">
        <v>2</v>
      </c>
      <c r="H3876" s="36">
        <v>0</v>
      </c>
      <c r="I3876" s="37">
        <v>0</v>
      </c>
      <c r="J3876" s="36" t="s">
        <v>36190</v>
      </c>
      <c r="K3876" s="36" t="s">
        <v>14330</v>
      </c>
      <c r="L3876" s="36" t="s">
        <v>14330</v>
      </c>
      <c r="M3876">
        <v>2</v>
      </c>
      <c r="N3876" t="s">
        <v>14331</v>
      </c>
      <c r="O3876" t="s">
        <v>14333</v>
      </c>
    </row>
    <row r="3877" spans="1:15" x14ac:dyDescent="0.25">
      <c r="A3877" s="35" t="s">
        <v>8275</v>
      </c>
      <c r="B3877" s="36" t="s">
        <v>8276</v>
      </c>
      <c r="C3877" s="36" t="str">
        <f>HYPERLINK("https://rhld.insurance.arkansas.gov/NPILookup?Npi=1154738722","1154738722")</f>
        <v>1154738722</v>
      </c>
      <c r="D3877" s="36" t="s">
        <v>36344</v>
      </c>
      <c r="E3877" s="36" t="s">
        <v>1</v>
      </c>
      <c r="F3877" s="36">
        <v>1</v>
      </c>
      <c r="G3877" s="36">
        <v>2</v>
      </c>
      <c r="H3877" s="36">
        <v>0</v>
      </c>
      <c r="I3877" s="37">
        <v>0</v>
      </c>
      <c r="J3877" s="36" t="s">
        <v>32654</v>
      </c>
      <c r="K3877" s="36" t="s">
        <v>14330</v>
      </c>
      <c r="L3877" s="36" t="s">
        <v>14330</v>
      </c>
      <c r="M3877">
        <v>3</v>
      </c>
      <c r="N3877" t="s">
        <v>14331</v>
      </c>
      <c r="O3877" t="s">
        <v>32633</v>
      </c>
    </row>
    <row r="3878" spans="1:15" x14ac:dyDescent="0.25">
      <c r="A3878" s="35" t="s">
        <v>8275</v>
      </c>
      <c r="B3878" s="36" t="s">
        <v>8276</v>
      </c>
      <c r="C3878" s="36" t="str">
        <f>HYPERLINK("https://rhld.insurance.arkansas.gov/NPILookup?Npi=1164114096","1164114096")</f>
        <v>1164114096</v>
      </c>
      <c r="D3878" s="36" t="s">
        <v>36345</v>
      </c>
      <c r="E3878" s="36" t="s">
        <v>2</v>
      </c>
      <c r="F3878" s="36">
        <v>1</v>
      </c>
      <c r="G3878" s="36">
        <v>3</v>
      </c>
      <c r="H3878" s="36">
        <v>0</v>
      </c>
      <c r="I3878" s="37">
        <v>0</v>
      </c>
      <c r="J3878" s="36" t="s">
        <v>36190</v>
      </c>
      <c r="K3878" s="36" t="s">
        <v>14330</v>
      </c>
      <c r="L3878" s="36" t="s">
        <v>14330</v>
      </c>
      <c r="M3878">
        <v>2</v>
      </c>
      <c r="N3878" t="s">
        <v>14331</v>
      </c>
      <c r="O3878" t="s">
        <v>14333</v>
      </c>
    </row>
    <row r="3879" spans="1:15" x14ac:dyDescent="0.25">
      <c r="A3879" s="35" t="s">
        <v>8275</v>
      </c>
      <c r="B3879" s="36" t="s">
        <v>8276</v>
      </c>
      <c r="C3879" s="36" t="str">
        <f>HYPERLINK("https://rhld.insurance.arkansas.gov/NPILookup?Npi=1164294963","1164294963")</f>
        <v>1164294963</v>
      </c>
      <c r="D3879" s="36" t="s">
        <v>34685</v>
      </c>
      <c r="E3879" s="36" t="s">
        <v>2</v>
      </c>
      <c r="F3879" s="36">
        <v>1</v>
      </c>
      <c r="G3879" s="36">
        <v>2</v>
      </c>
      <c r="H3879" s="36">
        <v>0</v>
      </c>
      <c r="I3879" s="37">
        <v>0</v>
      </c>
      <c r="J3879" s="36"/>
      <c r="K3879" s="36" t="s">
        <v>14330</v>
      </c>
      <c r="L3879" s="36" t="s">
        <v>14330</v>
      </c>
      <c r="M3879">
        <v>3</v>
      </c>
      <c r="N3879" t="s">
        <v>14331</v>
      </c>
      <c r="O3879" t="s">
        <v>14333</v>
      </c>
    </row>
    <row r="3880" spans="1:15" x14ac:dyDescent="0.25">
      <c r="A3880" s="35" t="s">
        <v>8275</v>
      </c>
      <c r="B3880" s="36" t="s">
        <v>8276</v>
      </c>
      <c r="C3880" s="36" t="str">
        <f>HYPERLINK("https://rhld.insurance.arkansas.gov/NPILookup?Npi=1164296281","1164296281")</f>
        <v>1164296281</v>
      </c>
      <c r="D3880" s="36" t="s">
        <v>36346</v>
      </c>
      <c r="E3880" s="36" t="s">
        <v>2</v>
      </c>
      <c r="F3880" s="36">
        <v>1</v>
      </c>
      <c r="G3880" s="36">
        <v>3</v>
      </c>
      <c r="H3880" s="36">
        <v>0</v>
      </c>
      <c r="I3880" s="37">
        <v>0</v>
      </c>
      <c r="J3880" s="36" t="s">
        <v>36190</v>
      </c>
      <c r="K3880" s="36" t="s">
        <v>14330</v>
      </c>
      <c r="L3880" s="36" t="s">
        <v>14330</v>
      </c>
      <c r="M3880">
        <v>3</v>
      </c>
      <c r="N3880" t="s">
        <v>14331</v>
      </c>
      <c r="O3880" t="s">
        <v>14333</v>
      </c>
    </row>
    <row r="3881" spans="1:15" x14ac:dyDescent="0.25">
      <c r="A3881" s="35" t="s">
        <v>8275</v>
      </c>
      <c r="B3881" s="36" t="s">
        <v>8276</v>
      </c>
      <c r="C3881" s="36" t="str">
        <f>HYPERLINK("https://rhld.insurance.arkansas.gov/NPILookup?Npi=1164418679","1164418679")</f>
        <v>1164418679</v>
      </c>
      <c r="D3881" s="36" t="s">
        <v>36347</v>
      </c>
      <c r="E3881" s="36" t="s">
        <v>2</v>
      </c>
      <c r="F3881" s="36">
        <v>1</v>
      </c>
      <c r="G3881" s="36">
        <v>3</v>
      </c>
      <c r="H3881" s="36">
        <v>0</v>
      </c>
      <c r="I3881" s="37">
        <v>0</v>
      </c>
      <c r="J3881" s="36" t="s">
        <v>36190</v>
      </c>
      <c r="K3881" s="36" t="s">
        <v>14330</v>
      </c>
      <c r="L3881" s="36" t="s">
        <v>14330</v>
      </c>
      <c r="M3881">
        <v>3</v>
      </c>
      <c r="N3881" t="s">
        <v>14331</v>
      </c>
      <c r="O3881" t="s">
        <v>14333</v>
      </c>
    </row>
    <row r="3882" spans="1:15" x14ac:dyDescent="0.25">
      <c r="A3882" s="35" t="s">
        <v>8275</v>
      </c>
      <c r="B3882" s="36" t="s">
        <v>8276</v>
      </c>
      <c r="C3882" s="36" t="str">
        <f>HYPERLINK("https://rhld.insurance.arkansas.gov/NPILookup?Npi=1164462602","1164462602")</f>
        <v>1164462602</v>
      </c>
      <c r="D3882" s="36" t="s">
        <v>35071</v>
      </c>
      <c r="E3882" s="36" t="s">
        <v>2</v>
      </c>
      <c r="F3882" s="36">
        <v>1</v>
      </c>
      <c r="G3882" s="36">
        <v>3</v>
      </c>
      <c r="H3882" s="36">
        <v>0</v>
      </c>
      <c r="I3882" s="37">
        <v>0</v>
      </c>
      <c r="J3882" s="36" t="s">
        <v>36190</v>
      </c>
      <c r="K3882" s="36" t="s">
        <v>14330</v>
      </c>
      <c r="L3882" s="36" t="s">
        <v>14330</v>
      </c>
      <c r="M3882">
        <v>2</v>
      </c>
      <c r="N3882" t="s">
        <v>14331</v>
      </c>
      <c r="O3882" t="s">
        <v>14333</v>
      </c>
    </row>
    <row r="3883" spans="1:15" x14ac:dyDescent="0.25">
      <c r="A3883" s="35" t="s">
        <v>8275</v>
      </c>
      <c r="B3883" s="36" t="s">
        <v>8276</v>
      </c>
      <c r="C3883" s="36" t="str">
        <f>HYPERLINK("https://rhld.insurance.arkansas.gov/NPILookup?Npi=1164466603","1164466603")</f>
        <v>1164466603</v>
      </c>
      <c r="D3883" s="36" t="s">
        <v>36348</v>
      </c>
      <c r="E3883" s="36" t="s">
        <v>2</v>
      </c>
      <c r="F3883" s="36">
        <v>1</v>
      </c>
      <c r="G3883" s="36">
        <v>2</v>
      </c>
      <c r="H3883" s="36">
        <v>0</v>
      </c>
      <c r="I3883" s="37">
        <v>0</v>
      </c>
      <c r="J3883" s="36" t="s">
        <v>36190</v>
      </c>
      <c r="K3883" s="36" t="s">
        <v>14330</v>
      </c>
      <c r="L3883" s="36" t="s">
        <v>14330</v>
      </c>
      <c r="M3883">
        <v>3</v>
      </c>
      <c r="N3883" t="s">
        <v>14331</v>
      </c>
      <c r="O3883" t="s">
        <v>14333</v>
      </c>
    </row>
    <row r="3884" spans="1:15" x14ac:dyDescent="0.25">
      <c r="A3884" s="35" t="s">
        <v>8275</v>
      </c>
      <c r="B3884" s="36" t="s">
        <v>8276</v>
      </c>
      <c r="C3884" s="36" t="str">
        <f>HYPERLINK("https://rhld.insurance.arkansas.gov/NPILookup?Npi=1164482592","1164482592")</f>
        <v>1164482592</v>
      </c>
      <c r="D3884" s="36" t="s">
        <v>36349</v>
      </c>
      <c r="E3884" s="36" t="s">
        <v>2</v>
      </c>
      <c r="F3884" s="36">
        <v>1</v>
      </c>
      <c r="G3884" s="36">
        <v>3</v>
      </c>
      <c r="H3884" s="36">
        <v>0</v>
      </c>
      <c r="I3884" s="37">
        <v>0</v>
      </c>
      <c r="J3884" s="36" t="s">
        <v>36190</v>
      </c>
      <c r="K3884" s="36" t="s">
        <v>14330</v>
      </c>
      <c r="L3884" s="36" t="s">
        <v>14330</v>
      </c>
      <c r="M3884">
        <v>3</v>
      </c>
      <c r="N3884" t="s">
        <v>14331</v>
      </c>
      <c r="O3884" t="s">
        <v>14333</v>
      </c>
    </row>
    <row r="3885" spans="1:15" x14ac:dyDescent="0.25">
      <c r="A3885" s="35" t="s">
        <v>8275</v>
      </c>
      <c r="B3885" s="36" t="s">
        <v>8276</v>
      </c>
      <c r="C3885" s="36" t="str">
        <f>HYPERLINK("https://rhld.insurance.arkansas.gov/NPILookup?Npi=1164496105","1164496105")</f>
        <v>1164496105</v>
      </c>
      <c r="D3885" s="36" t="s">
        <v>36350</v>
      </c>
      <c r="E3885" s="36" t="s">
        <v>2</v>
      </c>
      <c r="F3885" s="36">
        <v>1</v>
      </c>
      <c r="G3885" s="36">
        <v>3</v>
      </c>
      <c r="H3885" s="36">
        <v>0</v>
      </c>
      <c r="I3885" s="37">
        <v>0</v>
      </c>
      <c r="J3885" s="36" t="s">
        <v>36190</v>
      </c>
      <c r="K3885" s="36" t="s">
        <v>14330</v>
      </c>
      <c r="L3885" s="36" t="s">
        <v>14330</v>
      </c>
      <c r="M3885">
        <v>3</v>
      </c>
      <c r="N3885" t="s">
        <v>14331</v>
      </c>
      <c r="O3885" t="s">
        <v>14333</v>
      </c>
    </row>
    <row r="3886" spans="1:15" x14ac:dyDescent="0.25">
      <c r="A3886" s="35" t="s">
        <v>8275</v>
      </c>
      <c r="B3886" s="36" t="s">
        <v>8276</v>
      </c>
      <c r="C3886" s="36" t="str">
        <f>HYPERLINK("https://rhld.insurance.arkansas.gov/NPILookup?Npi=1164497327","1164497327")</f>
        <v>1164497327</v>
      </c>
      <c r="D3886" s="36" t="s">
        <v>36351</v>
      </c>
      <c r="E3886" s="36" t="s">
        <v>2</v>
      </c>
      <c r="F3886" s="36">
        <v>1</v>
      </c>
      <c r="G3886" s="36">
        <v>3</v>
      </c>
      <c r="H3886" s="36">
        <v>0</v>
      </c>
      <c r="I3886" s="37">
        <v>0</v>
      </c>
      <c r="J3886" s="36" t="s">
        <v>36190</v>
      </c>
      <c r="K3886" s="36" t="s">
        <v>14330</v>
      </c>
      <c r="L3886" s="36" t="s">
        <v>14330</v>
      </c>
      <c r="M3886">
        <v>2</v>
      </c>
      <c r="N3886" t="s">
        <v>14331</v>
      </c>
      <c r="O3886" t="s">
        <v>14333</v>
      </c>
    </row>
    <row r="3887" spans="1:15" x14ac:dyDescent="0.25">
      <c r="A3887" s="35" t="s">
        <v>8275</v>
      </c>
      <c r="B3887" s="36" t="s">
        <v>8276</v>
      </c>
      <c r="C3887" s="36" t="str">
        <f>HYPERLINK("https://rhld.insurance.arkansas.gov/NPILookup?Npi=1164748315","1164748315")</f>
        <v>1164748315</v>
      </c>
      <c r="D3887" s="36" t="s">
        <v>36352</v>
      </c>
      <c r="E3887" s="36" t="s">
        <v>1</v>
      </c>
      <c r="F3887" s="36">
        <v>1</v>
      </c>
      <c r="G3887" s="36">
        <v>2</v>
      </c>
      <c r="H3887" s="36">
        <v>0</v>
      </c>
      <c r="I3887" s="37">
        <v>0</v>
      </c>
      <c r="J3887" s="36" t="s">
        <v>32654</v>
      </c>
      <c r="K3887" s="36" t="s">
        <v>14330</v>
      </c>
      <c r="L3887" s="36" t="s">
        <v>14330</v>
      </c>
      <c r="M3887">
        <v>3</v>
      </c>
      <c r="N3887" t="s">
        <v>14331</v>
      </c>
      <c r="O3887" t="s">
        <v>32633</v>
      </c>
    </row>
    <row r="3888" spans="1:15" x14ac:dyDescent="0.25">
      <c r="A3888" s="35" t="s">
        <v>8275</v>
      </c>
      <c r="B3888" s="36" t="s">
        <v>8276</v>
      </c>
      <c r="C3888" s="36" t="str">
        <f>HYPERLINK("https://rhld.insurance.arkansas.gov/NPILookup?Npi=1164840112","1164840112")</f>
        <v>1164840112</v>
      </c>
      <c r="D3888" s="36" t="s">
        <v>36353</v>
      </c>
      <c r="E3888" s="36" t="s">
        <v>1</v>
      </c>
      <c r="F3888" s="36">
        <v>1</v>
      </c>
      <c r="G3888" s="36">
        <v>3</v>
      </c>
      <c r="H3888" s="36">
        <v>0</v>
      </c>
      <c r="I3888" s="37">
        <v>0</v>
      </c>
      <c r="J3888" s="36" t="s">
        <v>32654</v>
      </c>
      <c r="K3888" s="36" t="s">
        <v>14330</v>
      </c>
      <c r="L3888" s="36" t="s">
        <v>14330</v>
      </c>
      <c r="M3888">
        <v>2</v>
      </c>
      <c r="N3888" t="s">
        <v>14331</v>
      </c>
      <c r="O3888" t="s">
        <v>32633</v>
      </c>
    </row>
    <row r="3889" spans="1:15" x14ac:dyDescent="0.25">
      <c r="A3889" s="35" t="s">
        <v>8275</v>
      </c>
      <c r="B3889" s="36" t="s">
        <v>8276</v>
      </c>
      <c r="C3889" s="36" t="str">
        <f>HYPERLINK("https://rhld.insurance.arkansas.gov/NPILookup?Npi=1164893756","1164893756")</f>
        <v>1164893756</v>
      </c>
      <c r="D3889" s="36" t="s">
        <v>35084</v>
      </c>
      <c r="E3889" s="36" t="s">
        <v>2</v>
      </c>
      <c r="F3889" s="36">
        <v>1</v>
      </c>
      <c r="G3889" s="36">
        <v>2</v>
      </c>
      <c r="H3889" s="36">
        <v>0</v>
      </c>
      <c r="I3889" s="37">
        <v>0</v>
      </c>
      <c r="J3889" s="36"/>
      <c r="K3889" s="36" t="s">
        <v>14330</v>
      </c>
      <c r="L3889" s="36" t="s">
        <v>14330</v>
      </c>
      <c r="M3889">
        <v>2</v>
      </c>
      <c r="N3889" t="s">
        <v>14331</v>
      </c>
      <c r="O3889" t="s">
        <v>14333</v>
      </c>
    </row>
    <row r="3890" spans="1:15" x14ac:dyDescent="0.25">
      <c r="A3890" s="35" t="s">
        <v>8275</v>
      </c>
      <c r="B3890" s="36" t="s">
        <v>8276</v>
      </c>
      <c r="C3890" s="36" t="str">
        <f>HYPERLINK("https://rhld.insurance.arkansas.gov/NPILookup?Npi=1164980728","1164980728")</f>
        <v>1164980728</v>
      </c>
      <c r="D3890" s="36" t="s">
        <v>36354</v>
      </c>
      <c r="E3890" s="36" t="s">
        <v>2</v>
      </c>
      <c r="F3890" s="36">
        <v>1</v>
      </c>
      <c r="G3890" s="36">
        <v>2</v>
      </c>
      <c r="H3890" s="36">
        <v>0</v>
      </c>
      <c r="I3890" s="37">
        <v>0</v>
      </c>
      <c r="J3890" s="36" t="s">
        <v>36190</v>
      </c>
      <c r="K3890" s="36" t="s">
        <v>14330</v>
      </c>
      <c r="L3890" s="36" t="s">
        <v>14330</v>
      </c>
      <c r="M3890">
        <v>1</v>
      </c>
      <c r="N3890" t="s">
        <v>14331</v>
      </c>
      <c r="O3890" t="s">
        <v>14333</v>
      </c>
    </row>
    <row r="3891" spans="1:15" x14ac:dyDescent="0.25">
      <c r="A3891" s="35" t="s">
        <v>8275</v>
      </c>
      <c r="B3891" s="36" t="s">
        <v>8276</v>
      </c>
      <c r="C3891" s="36" t="str">
        <f>HYPERLINK("https://rhld.insurance.arkansas.gov/NPILookup?Npi=1164991048","1164991048")</f>
        <v>1164991048</v>
      </c>
      <c r="D3891" s="36" t="s">
        <v>34688</v>
      </c>
      <c r="E3891" s="36" t="s">
        <v>2</v>
      </c>
      <c r="F3891" s="36">
        <v>1</v>
      </c>
      <c r="G3891" s="36">
        <v>1</v>
      </c>
      <c r="H3891" s="36">
        <v>0</v>
      </c>
      <c r="I3891" s="37">
        <v>0</v>
      </c>
      <c r="J3891" s="36"/>
      <c r="K3891" s="36" t="s">
        <v>14330</v>
      </c>
      <c r="L3891" s="36" t="s">
        <v>14330</v>
      </c>
      <c r="M3891">
        <v>3</v>
      </c>
      <c r="N3891" t="s">
        <v>14331</v>
      </c>
      <c r="O3891" t="s">
        <v>32633</v>
      </c>
    </row>
    <row r="3892" spans="1:15" x14ac:dyDescent="0.25">
      <c r="A3892" s="35" t="s">
        <v>8275</v>
      </c>
      <c r="B3892" s="36" t="s">
        <v>8276</v>
      </c>
      <c r="C3892" s="36" t="str">
        <f>HYPERLINK("https://rhld.insurance.arkansas.gov/NPILookup?Npi=1174137111","1174137111")</f>
        <v>1174137111</v>
      </c>
      <c r="D3892" s="36" t="s">
        <v>36355</v>
      </c>
      <c r="E3892" s="36" t="s">
        <v>2</v>
      </c>
      <c r="F3892" s="36">
        <v>1</v>
      </c>
      <c r="G3892" s="36">
        <v>3</v>
      </c>
      <c r="H3892" s="36">
        <v>0</v>
      </c>
      <c r="I3892" s="37">
        <v>0</v>
      </c>
      <c r="J3892" s="36" t="s">
        <v>36190</v>
      </c>
      <c r="K3892" s="36" t="s">
        <v>14330</v>
      </c>
      <c r="L3892" s="36" t="s">
        <v>14330</v>
      </c>
      <c r="M3892">
        <v>2</v>
      </c>
      <c r="N3892" t="s">
        <v>14331</v>
      </c>
      <c r="O3892" t="s">
        <v>14333</v>
      </c>
    </row>
    <row r="3893" spans="1:15" x14ac:dyDescent="0.25">
      <c r="A3893" s="35" t="s">
        <v>8275</v>
      </c>
      <c r="B3893" s="36" t="s">
        <v>8276</v>
      </c>
      <c r="C3893" s="36" t="str">
        <f>HYPERLINK("https://rhld.insurance.arkansas.gov/NPILookup?Npi=1174139455","1174139455")</f>
        <v>1174139455</v>
      </c>
      <c r="D3893" s="36" t="s">
        <v>36356</v>
      </c>
      <c r="E3893" s="36" t="s">
        <v>2</v>
      </c>
      <c r="F3893" s="36">
        <v>1</v>
      </c>
      <c r="G3893" s="36">
        <v>2</v>
      </c>
      <c r="H3893" s="36">
        <v>0</v>
      </c>
      <c r="I3893" s="37">
        <v>0</v>
      </c>
      <c r="J3893" s="36" t="s">
        <v>36190</v>
      </c>
      <c r="K3893" s="36" t="s">
        <v>14330</v>
      </c>
      <c r="L3893" s="36" t="s">
        <v>14330</v>
      </c>
      <c r="M3893">
        <v>2</v>
      </c>
      <c r="N3893" t="s">
        <v>14331</v>
      </c>
      <c r="O3893" t="s">
        <v>14333</v>
      </c>
    </row>
    <row r="3894" spans="1:15" x14ac:dyDescent="0.25">
      <c r="A3894" s="35" t="s">
        <v>8275</v>
      </c>
      <c r="B3894" s="36" t="s">
        <v>8276</v>
      </c>
      <c r="C3894" s="36" t="str">
        <f>HYPERLINK("https://rhld.insurance.arkansas.gov/NPILookup?Npi=1174160089","1174160089")</f>
        <v>1174160089</v>
      </c>
      <c r="D3894" s="36" t="s">
        <v>36357</v>
      </c>
      <c r="E3894" s="36" t="s">
        <v>2</v>
      </c>
      <c r="F3894" s="36">
        <v>1</v>
      </c>
      <c r="G3894" s="36">
        <v>2</v>
      </c>
      <c r="H3894" s="36">
        <v>0</v>
      </c>
      <c r="I3894" s="37">
        <v>0</v>
      </c>
      <c r="J3894" s="36" t="s">
        <v>36190</v>
      </c>
      <c r="K3894" s="36" t="s">
        <v>14330</v>
      </c>
      <c r="L3894" s="36" t="s">
        <v>14330</v>
      </c>
      <c r="M3894">
        <v>3</v>
      </c>
      <c r="N3894" t="s">
        <v>14331</v>
      </c>
      <c r="O3894" t="s">
        <v>14333</v>
      </c>
    </row>
    <row r="3895" spans="1:15" x14ac:dyDescent="0.25">
      <c r="A3895" s="35" t="s">
        <v>8275</v>
      </c>
      <c r="B3895" s="36" t="s">
        <v>8276</v>
      </c>
      <c r="C3895" s="36" t="str">
        <f>HYPERLINK("https://rhld.insurance.arkansas.gov/NPILookup?Npi=1174520688","1174520688")</f>
        <v>1174520688</v>
      </c>
      <c r="D3895" s="36" t="s">
        <v>36358</v>
      </c>
      <c r="E3895" s="36" t="s">
        <v>2</v>
      </c>
      <c r="F3895" s="36">
        <v>1</v>
      </c>
      <c r="G3895" s="36">
        <v>3</v>
      </c>
      <c r="H3895" s="36">
        <v>0</v>
      </c>
      <c r="I3895" s="37">
        <v>0</v>
      </c>
      <c r="J3895" s="36" t="s">
        <v>36190</v>
      </c>
      <c r="K3895" s="36" t="s">
        <v>14330</v>
      </c>
      <c r="L3895" s="36" t="s">
        <v>14330</v>
      </c>
      <c r="M3895">
        <v>3</v>
      </c>
      <c r="N3895" t="s">
        <v>14331</v>
      </c>
      <c r="O3895" t="s">
        <v>14333</v>
      </c>
    </row>
    <row r="3896" spans="1:15" x14ac:dyDescent="0.25">
      <c r="A3896" s="35" t="s">
        <v>8275</v>
      </c>
      <c r="B3896" s="36" t="s">
        <v>8276</v>
      </c>
      <c r="C3896" s="36" t="str">
        <f>HYPERLINK("https://rhld.insurance.arkansas.gov/NPILookup?Npi=1174524086","1174524086")</f>
        <v>1174524086</v>
      </c>
      <c r="D3896" s="36" t="s">
        <v>36359</v>
      </c>
      <c r="E3896" s="36" t="s">
        <v>2</v>
      </c>
      <c r="F3896" s="36">
        <v>1</v>
      </c>
      <c r="G3896" s="36">
        <v>3</v>
      </c>
      <c r="H3896" s="36">
        <v>0</v>
      </c>
      <c r="I3896" s="37">
        <v>0</v>
      </c>
      <c r="J3896" s="36" t="s">
        <v>36190</v>
      </c>
      <c r="K3896" s="36" t="s">
        <v>14330</v>
      </c>
      <c r="L3896" s="36" t="s">
        <v>14330</v>
      </c>
      <c r="M3896">
        <v>3</v>
      </c>
      <c r="N3896" t="s">
        <v>14331</v>
      </c>
      <c r="O3896" t="s">
        <v>14333</v>
      </c>
    </row>
    <row r="3897" spans="1:15" x14ac:dyDescent="0.25">
      <c r="A3897" s="35" t="s">
        <v>8275</v>
      </c>
      <c r="B3897" s="36" t="s">
        <v>8276</v>
      </c>
      <c r="C3897" s="36" t="str">
        <f>HYPERLINK("https://rhld.insurance.arkansas.gov/NPILookup?Npi=1174593446","1174593446")</f>
        <v>1174593446</v>
      </c>
      <c r="D3897" s="36" t="s">
        <v>36360</v>
      </c>
      <c r="E3897" s="36" t="s">
        <v>2</v>
      </c>
      <c r="F3897" s="36">
        <v>1</v>
      </c>
      <c r="G3897" s="36">
        <v>3</v>
      </c>
      <c r="H3897" s="36">
        <v>0</v>
      </c>
      <c r="I3897" s="37">
        <v>0</v>
      </c>
      <c r="J3897" s="36" t="s">
        <v>36190</v>
      </c>
      <c r="K3897" s="36" t="s">
        <v>14330</v>
      </c>
      <c r="L3897" s="36" t="s">
        <v>14330</v>
      </c>
      <c r="M3897">
        <v>1</v>
      </c>
      <c r="N3897" t="s">
        <v>14331</v>
      </c>
      <c r="O3897" t="s">
        <v>14333</v>
      </c>
    </row>
    <row r="3898" spans="1:15" x14ac:dyDescent="0.25">
      <c r="A3898" s="35" t="s">
        <v>8275</v>
      </c>
      <c r="B3898" s="36" t="s">
        <v>8276</v>
      </c>
      <c r="C3898" s="36" t="str">
        <f>HYPERLINK("https://rhld.insurance.arkansas.gov/NPILookup?Npi=1174836209","1174836209")</f>
        <v>1174836209</v>
      </c>
      <c r="D3898" s="36" t="s">
        <v>36361</v>
      </c>
      <c r="E3898" s="36" t="s">
        <v>1</v>
      </c>
      <c r="F3898" s="36">
        <v>1</v>
      </c>
      <c r="G3898" s="36">
        <v>1</v>
      </c>
      <c r="H3898" s="36">
        <v>0</v>
      </c>
      <c r="I3898" s="37">
        <v>0</v>
      </c>
      <c r="J3898" s="36" t="s">
        <v>32654</v>
      </c>
      <c r="K3898" s="36" t="s">
        <v>14330</v>
      </c>
      <c r="L3898" s="36" t="s">
        <v>14330</v>
      </c>
      <c r="M3898">
        <v>2</v>
      </c>
      <c r="N3898" t="s">
        <v>14331</v>
      </c>
      <c r="O3898" t="s">
        <v>32633</v>
      </c>
    </row>
    <row r="3899" spans="1:15" x14ac:dyDescent="0.25">
      <c r="A3899" s="35" t="s">
        <v>8275</v>
      </c>
      <c r="B3899" s="36" t="s">
        <v>8276</v>
      </c>
      <c r="C3899" s="36" t="str">
        <f>HYPERLINK("https://rhld.insurance.arkansas.gov/NPILookup?Npi=1174971550","1174971550")</f>
        <v>1174971550</v>
      </c>
      <c r="D3899" s="36" t="s">
        <v>36362</v>
      </c>
      <c r="E3899" s="36" t="s">
        <v>2</v>
      </c>
      <c r="F3899" s="36">
        <v>1</v>
      </c>
      <c r="G3899" s="36">
        <v>2</v>
      </c>
      <c r="H3899" s="36">
        <v>0</v>
      </c>
      <c r="I3899" s="37">
        <v>0</v>
      </c>
      <c r="J3899" s="36" t="s">
        <v>32679</v>
      </c>
      <c r="K3899" s="36" t="s">
        <v>14330</v>
      </c>
      <c r="L3899" s="36" t="s">
        <v>14330</v>
      </c>
      <c r="M3899">
        <v>2</v>
      </c>
      <c r="N3899" t="s">
        <v>14331</v>
      </c>
      <c r="O3899" t="s">
        <v>14333</v>
      </c>
    </row>
    <row r="3900" spans="1:15" x14ac:dyDescent="0.25">
      <c r="A3900" s="35" t="s">
        <v>8275</v>
      </c>
      <c r="B3900" s="36" t="s">
        <v>8276</v>
      </c>
      <c r="C3900" s="36" t="str">
        <f>HYPERLINK("https://rhld.insurance.arkansas.gov/NPILookup?Npi=1184010340","1184010340")</f>
        <v>1184010340</v>
      </c>
      <c r="D3900" s="36" t="s">
        <v>36363</v>
      </c>
      <c r="E3900" s="36" t="s">
        <v>2</v>
      </c>
      <c r="F3900" s="36">
        <v>1</v>
      </c>
      <c r="G3900" s="36">
        <v>2</v>
      </c>
      <c r="H3900" s="36">
        <v>0</v>
      </c>
      <c r="I3900" s="37">
        <v>0</v>
      </c>
      <c r="J3900" s="36" t="s">
        <v>36190</v>
      </c>
      <c r="K3900" s="36" t="s">
        <v>14330</v>
      </c>
      <c r="L3900" s="36" t="s">
        <v>14330</v>
      </c>
      <c r="M3900">
        <v>3</v>
      </c>
      <c r="N3900" t="s">
        <v>14331</v>
      </c>
      <c r="O3900" t="s">
        <v>14333</v>
      </c>
    </row>
    <row r="3901" spans="1:15" x14ac:dyDescent="0.25">
      <c r="A3901" s="35" t="s">
        <v>8275</v>
      </c>
      <c r="B3901" s="36" t="s">
        <v>8276</v>
      </c>
      <c r="C3901" s="36" t="str">
        <f>HYPERLINK("https://rhld.insurance.arkansas.gov/NPILookup?Npi=1184091407","1184091407")</f>
        <v>1184091407</v>
      </c>
      <c r="D3901" s="36" t="s">
        <v>36364</v>
      </c>
      <c r="E3901" s="36" t="s">
        <v>2</v>
      </c>
      <c r="F3901" s="36">
        <v>1</v>
      </c>
      <c r="G3901" s="36">
        <v>3</v>
      </c>
      <c r="H3901" s="36">
        <v>0</v>
      </c>
      <c r="I3901" s="37">
        <v>0</v>
      </c>
      <c r="J3901" s="36" t="s">
        <v>36190</v>
      </c>
      <c r="K3901" s="36" t="s">
        <v>14330</v>
      </c>
      <c r="L3901" s="36" t="s">
        <v>14330</v>
      </c>
      <c r="M3901">
        <v>2</v>
      </c>
      <c r="N3901" t="s">
        <v>14331</v>
      </c>
      <c r="O3901" t="s">
        <v>14333</v>
      </c>
    </row>
    <row r="3902" spans="1:15" x14ac:dyDescent="0.25">
      <c r="A3902" s="35" t="s">
        <v>8275</v>
      </c>
      <c r="B3902" s="36" t="s">
        <v>8276</v>
      </c>
      <c r="C3902" s="36" t="str">
        <f>HYPERLINK("https://rhld.insurance.arkansas.gov/NPILookup?Npi=1184123002","1184123002")</f>
        <v>1184123002</v>
      </c>
      <c r="D3902" s="36" t="s">
        <v>36365</v>
      </c>
      <c r="E3902" s="36" t="s">
        <v>2</v>
      </c>
      <c r="F3902" s="36">
        <v>1</v>
      </c>
      <c r="G3902" s="36">
        <v>2</v>
      </c>
      <c r="H3902" s="36">
        <v>0</v>
      </c>
      <c r="I3902" s="37">
        <v>0</v>
      </c>
      <c r="J3902" s="36" t="s">
        <v>36190</v>
      </c>
      <c r="K3902" s="36" t="s">
        <v>14330</v>
      </c>
      <c r="L3902" s="36" t="s">
        <v>14330</v>
      </c>
      <c r="M3902">
        <v>2</v>
      </c>
      <c r="N3902" t="s">
        <v>14331</v>
      </c>
      <c r="O3902" t="s">
        <v>14333</v>
      </c>
    </row>
    <row r="3903" spans="1:15" x14ac:dyDescent="0.25">
      <c r="A3903" s="35" t="s">
        <v>8275</v>
      </c>
      <c r="B3903" s="36" t="s">
        <v>8276</v>
      </c>
      <c r="C3903" s="36" t="str">
        <f>HYPERLINK("https://rhld.insurance.arkansas.gov/NPILookup?Npi=1184254765","1184254765")</f>
        <v>1184254765</v>
      </c>
      <c r="D3903" s="36" t="s">
        <v>34691</v>
      </c>
      <c r="E3903" s="36" t="s">
        <v>2</v>
      </c>
      <c r="F3903" s="36">
        <v>1</v>
      </c>
      <c r="G3903" s="36">
        <v>2</v>
      </c>
      <c r="H3903" s="36">
        <v>0</v>
      </c>
      <c r="I3903" s="37">
        <v>0</v>
      </c>
      <c r="J3903" s="36"/>
      <c r="K3903" s="36" t="s">
        <v>14330</v>
      </c>
      <c r="L3903" s="36" t="s">
        <v>14330</v>
      </c>
      <c r="M3903">
        <v>3</v>
      </c>
      <c r="N3903" t="s">
        <v>14331</v>
      </c>
      <c r="O3903" t="s">
        <v>14333</v>
      </c>
    </row>
    <row r="3904" spans="1:15" x14ac:dyDescent="0.25">
      <c r="A3904" s="35" t="s">
        <v>8275</v>
      </c>
      <c r="B3904" s="36" t="s">
        <v>8276</v>
      </c>
      <c r="C3904" s="36" t="str">
        <f>HYPERLINK("https://rhld.insurance.arkansas.gov/NPILookup?Npi=1184275133","1184275133")</f>
        <v>1184275133</v>
      </c>
      <c r="D3904" s="36" t="s">
        <v>36366</v>
      </c>
      <c r="E3904" s="36" t="s">
        <v>2</v>
      </c>
      <c r="F3904" s="36">
        <v>1</v>
      </c>
      <c r="G3904" s="36">
        <v>3</v>
      </c>
      <c r="H3904" s="36">
        <v>0</v>
      </c>
      <c r="I3904" s="37">
        <v>0</v>
      </c>
      <c r="J3904" s="36" t="s">
        <v>36190</v>
      </c>
      <c r="K3904" s="36" t="s">
        <v>14330</v>
      </c>
      <c r="L3904" s="36" t="s">
        <v>14330</v>
      </c>
      <c r="M3904">
        <v>1</v>
      </c>
      <c r="N3904" t="s">
        <v>14331</v>
      </c>
      <c r="O3904" t="s">
        <v>14333</v>
      </c>
    </row>
    <row r="3905" spans="1:15" x14ac:dyDescent="0.25">
      <c r="A3905" s="35" t="s">
        <v>8275</v>
      </c>
      <c r="B3905" s="36" t="s">
        <v>8276</v>
      </c>
      <c r="C3905" s="36" t="str">
        <f>HYPERLINK("https://rhld.insurance.arkansas.gov/NPILookup?Npi=1184279739","1184279739")</f>
        <v>1184279739</v>
      </c>
      <c r="D3905" s="36" t="s">
        <v>35104</v>
      </c>
      <c r="E3905" s="36" t="s">
        <v>2</v>
      </c>
      <c r="F3905" s="36">
        <v>1</v>
      </c>
      <c r="G3905" s="36">
        <v>1</v>
      </c>
      <c r="H3905" s="36">
        <v>0</v>
      </c>
      <c r="I3905" s="37">
        <v>0</v>
      </c>
      <c r="J3905" s="36"/>
      <c r="K3905" s="36" t="s">
        <v>14330</v>
      </c>
      <c r="L3905" s="36" t="s">
        <v>14330</v>
      </c>
      <c r="M3905">
        <v>2</v>
      </c>
      <c r="N3905" t="s">
        <v>14331</v>
      </c>
      <c r="O3905" t="s">
        <v>32633</v>
      </c>
    </row>
    <row r="3906" spans="1:15" x14ac:dyDescent="0.25">
      <c r="A3906" s="35" t="s">
        <v>8275</v>
      </c>
      <c r="B3906" s="36" t="s">
        <v>8276</v>
      </c>
      <c r="C3906" s="36" t="str">
        <f>HYPERLINK("https://rhld.insurance.arkansas.gov/NPILookup?Npi=1184324113","1184324113")</f>
        <v>1184324113</v>
      </c>
      <c r="D3906" s="36" t="s">
        <v>36367</v>
      </c>
      <c r="E3906" s="36" t="s">
        <v>2</v>
      </c>
      <c r="F3906" s="36">
        <v>1</v>
      </c>
      <c r="G3906" s="36">
        <v>2</v>
      </c>
      <c r="H3906" s="36">
        <v>0</v>
      </c>
      <c r="I3906" s="37">
        <v>0</v>
      </c>
      <c r="J3906" s="36" t="s">
        <v>36190</v>
      </c>
      <c r="K3906" s="36" t="s">
        <v>14330</v>
      </c>
      <c r="L3906" s="36" t="s">
        <v>14330</v>
      </c>
      <c r="M3906">
        <v>3</v>
      </c>
      <c r="N3906" t="s">
        <v>14331</v>
      </c>
      <c r="O3906" t="s">
        <v>14333</v>
      </c>
    </row>
    <row r="3907" spans="1:15" x14ac:dyDescent="0.25">
      <c r="A3907" s="35" t="s">
        <v>8275</v>
      </c>
      <c r="B3907" s="36" t="s">
        <v>8276</v>
      </c>
      <c r="C3907" s="36" t="str">
        <f>HYPERLINK("https://rhld.insurance.arkansas.gov/NPILookup?Npi=1184629206","1184629206")</f>
        <v>1184629206</v>
      </c>
      <c r="D3907" s="36" t="s">
        <v>36368</v>
      </c>
      <c r="E3907" s="36" t="s">
        <v>2</v>
      </c>
      <c r="F3907" s="36">
        <v>1</v>
      </c>
      <c r="G3907" s="36">
        <v>3</v>
      </c>
      <c r="H3907" s="36">
        <v>0</v>
      </c>
      <c r="I3907" s="37">
        <v>0</v>
      </c>
      <c r="J3907" s="36" t="s">
        <v>36190</v>
      </c>
      <c r="K3907" s="36" t="s">
        <v>14330</v>
      </c>
      <c r="L3907" s="36" t="s">
        <v>14330</v>
      </c>
      <c r="M3907">
        <v>2</v>
      </c>
      <c r="N3907" t="s">
        <v>14331</v>
      </c>
      <c r="O3907" t="s">
        <v>14333</v>
      </c>
    </row>
    <row r="3908" spans="1:15" x14ac:dyDescent="0.25">
      <c r="A3908" s="35" t="s">
        <v>8275</v>
      </c>
      <c r="B3908" s="36" t="s">
        <v>8276</v>
      </c>
      <c r="C3908" s="36" t="str">
        <f>HYPERLINK("https://rhld.insurance.arkansas.gov/NPILookup?Npi=1184682866","1184682866")</f>
        <v>1184682866</v>
      </c>
      <c r="D3908" s="36" t="s">
        <v>36369</v>
      </c>
      <c r="E3908" s="36" t="s">
        <v>2</v>
      </c>
      <c r="F3908" s="36">
        <v>1</v>
      </c>
      <c r="G3908" s="36">
        <v>2</v>
      </c>
      <c r="H3908" s="36">
        <v>0</v>
      </c>
      <c r="I3908" s="37">
        <v>0</v>
      </c>
      <c r="J3908" s="36" t="s">
        <v>36190</v>
      </c>
      <c r="K3908" s="36" t="s">
        <v>14330</v>
      </c>
      <c r="L3908" s="36" t="s">
        <v>14330</v>
      </c>
      <c r="M3908">
        <v>3</v>
      </c>
      <c r="N3908" t="s">
        <v>14331</v>
      </c>
      <c r="O3908" t="s">
        <v>14333</v>
      </c>
    </row>
    <row r="3909" spans="1:15" x14ac:dyDescent="0.25">
      <c r="A3909" s="35" t="s">
        <v>8275</v>
      </c>
      <c r="B3909" s="36" t="s">
        <v>8276</v>
      </c>
      <c r="C3909" s="36" t="str">
        <f>HYPERLINK("https://rhld.insurance.arkansas.gov/NPILookup?Npi=1184711236","1184711236")</f>
        <v>1184711236</v>
      </c>
      <c r="D3909" s="36" t="s">
        <v>36370</v>
      </c>
      <c r="E3909" s="36" t="s">
        <v>1</v>
      </c>
      <c r="F3909" s="36">
        <v>1</v>
      </c>
      <c r="G3909" s="36">
        <v>3</v>
      </c>
      <c r="H3909" s="36">
        <v>0</v>
      </c>
      <c r="I3909" s="37">
        <v>0</v>
      </c>
      <c r="J3909" s="36" t="s">
        <v>32654</v>
      </c>
      <c r="K3909" s="36" t="s">
        <v>14330</v>
      </c>
      <c r="L3909" s="36" t="s">
        <v>14330</v>
      </c>
      <c r="M3909">
        <v>3</v>
      </c>
      <c r="N3909" t="s">
        <v>14331</v>
      </c>
      <c r="O3909" t="s">
        <v>32633</v>
      </c>
    </row>
    <row r="3910" spans="1:15" x14ac:dyDescent="0.25">
      <c r="A3910" s="35" t="s">
        <v>8275</v>
      </c>
      <c r="B3910" s="36" t="s">
        <v>8276</v>
      </c>
      <c r="C3910" s="36" t="str">
        <f>HYPERLINK("https://rhld.insurance.arkansas.gov/NPILookup?Npi=1184714743","1184714743")</f>
        <v>1184714743</v>
      </c>
      <c r="D3910" s="36" t="s">
        <v>36371</v>
      </c>
      <c r="E3910" s="36" t="s">
        <v>1</v>
      </c>
      <c r="F3910" s="36">
        <v>1</v>
      </c>
      <c r="G3910" s="36">
        <v>3</v>
      </c>
      <c r="H3910" s="36">
        <v>0</v>
      </c>
      <c r="I3910" s="37">
        <v>0</v>
      </c>
      <c r="J3910" s="36" t="s">
        <v>32654</v>
      </c>
      <c r="K3910" s="36" t="s">
        <v>14330</v>
      </c>
      <c r="L3910" s="36" t="s">
        <v>14330</v>
      </c>
      <c r="M3910">
        <v>3</v>
      </c>
      <c r="N3910" t="s">
        <v>14331</v>
      </c>
      <c r="O3910" t="s">
        <v>32633</v>
      </c>
    </row>
    <row r="3911" spans="1:15" x14ac:dyDescent="0.25">
      <c r="A3911" s="35" t="s">
        <v>8275</v>
      </c>
      <c r="B3911" s="36" t="s">
        <v>8276</v>
      </c>
      <c r="C3911" s="36" t="str">
        <f>HYPERLINK("https://rhld.insurance.arkansas.gov/NPILookup?Npi=1184735151","1184735151")</f>
        <v>1184735151</v>
      </c>
      <c r="D3911" s="36" t="s">
        <v>36372</v>
      </c>
      <c r="E3911" s="36" t="s">
        <v>2</v>
      </c>
      <c r="F3911" s="36">
        <v>1</v>
      </c>
      <c r="G3911" s="36">
        <v>3</v>
      </c>
      <c r="H3911" s="36">
        <v>0</v>
      </c>
      <c r="I3911" s="37">
        <v>0</v>
      </c>
      <c r="J3911" s="36" t="s">
        <v>36190</v>
      </c>
      <c r="K3911" s="36" t="s">
        <v>14330</v>
      </c>
      <c r="L3911" s="36" t="s">
        <v>14330</v>
      </c>
      <c r="M3911">
        <v>2</v>
      </c>
      <c r="N3911" t="s">
        <v>14331</v>
      </c>
      <c r="O3911" t="s">
        <v>14333</v>
      </c>
    </row>
    <row r="3912" spans="1:15" x14ac:dyDescent="0.25">
      <c r="A3912" s="35" t="s">
        <v>8275</v>
      </c>
      <c r="B3912" s="36" t="s">
        <v>8276</v>
      </c>
      <c r="C3912" s="36" t="str">
        <f>HYPERLINK("https://rhld.insurance.arkansas.gov/NPILookup?Npi=1184903023","1184903023")</f>
        <v>1184903023</v>
      </c>
      <c r="D3912" s="36" t="s">
        <v>36373</v>
      </c>
      <c r="E3912" s="36" t="s">
        <v>2</v>
      </c>
      <c r="F3912" s="36">
        <v>1</v>
      </c>
      <c r="G3912" s="36">
        <v>2</v>
      </c>
      <c r="H3912" s="36">
        <v>0</v>
      </c>
      <c r="I3912" s="37">
        <v>0</v>
      </c>
      <c r="J3912" s="36" t="s">
        <v>36190</v>
      </c>
      <c r="K3912" s="36" t="s">
        <v>14330</v>
      </c>
      <c r="L3912" s="36" t="s">
        <v>14330</v>
      </c>
      <c r="M3912">
        <v>1</v>
      </c>
      <c r="N3912" t="s">
        <v>14331</v>
      </c>
      <c r="O3912" t="s">
        <v>14333</v>
      </c>
    </row>
    <row r="3913" spans="1:15" x14ac:dyDescent="0.25">
      <c r="A3913" s="35" t="s">
        <v>8275</v>
      </c>
      <c r="B3913" s="36" t="s">
        <v>8276</v>
      </c>
      <c r="C3913" s="36" t="str">
        <f>HYPERLINK("https://rhld.insurance.arkansas.gov/NPILookup?Npi=1184939308","1184939308")</f>
        <v>1184939308</v>
      </c>
      <c r="D3913" s="36" t="s">
        <v>36374</v>
      </c>
      <c r="E3913" s="36" t="s">
        <v>1</v>
      </c>
      <c r="F3913" s="36">
        <v>1</v>
      </c>
      <c r="G3913" s="36">
        <v>2</v>
      </c>
      <c r="H3913" s="36">
        <v>1</v>
      </c>
      <c r="I3913" s="37">
        <v>0</v>
      </c>
      <c r="J3913" s="36" t="s">
        <v>32654</v>
      </c>
      <c r="K3913" s="36" t="s">
        <v>14330</v>
      </c>
      <c r="L3913" s="36" t="s">
        <v>36271</v>
      </c>
      <c r="M3913">
        <v>2</v>
      </c>
      <c r="N3913" t="s">
        <v>14332</v>
      </c>
      <c r="O3913" t="s">
        <v>32591</v>
      </c>
    </row>
    <row r="3914" spans="1:15" x14ac:dyDescent="0.25">
      <c r="A3914" s="35" t="s">
        <v>8275</v>
      </c>
      <c r="B3914" s="36" t="s">
        <v>8276</v>
      </c>
      <c r="C3914" s="36" t="str">
        <f>HYPERLINK("https://rhld.insurance.arkansas.gov/NPILookup?Npi=1194072553","1194072553")</f>
        <v>1194072553</v>
      </c>
      <c r="D3914" s="36" t="s">
        <v>36375</v>
      </c>
      <c r="E3914" s="36" t="s">
        <v>2</v>
      </c>
      <c r="F3914" s="36">
        <v>1</v>
      </c>
      <c r="G3914" s="36">
        <v>2</v>
      </c>
      <c r="H3914" s="36">
        <v>0</v>
      </c>
      <c r="I3914" s="37">
        <v>0</v>
      </c>
      <c r="J3914" s="36" t="s">
        <v>32679</v>
      </c>
      <c r="K3914" s="36" t="s">
        <v>14330</v>
      </c>
      <c r="L3914" s="36" t="s">
        <v>14330</v>
      </c>
      <c r="M3914">
        <v>2</v>
      </c>
      <c r="N3914" t="s">
        <v>14331</v>
      </c>
      <c r="O3914" t="s">
        <v>14333</v>
      </c>
    </row>
    <row r="3915" spans="1:15" x14ac:dyDescent="0.25">
      <c r="A3915" s="35" t="s">
        <v>8275</v>
      </c>
      <c r="B3915" s="36" t="s">
        <v>8276</v>
      </c>
      <c r="C3915" s="36" t="str">
        <f>HYPERLINK("https://rhld.insurance.arkansas.gov/NPILookup?Npi=1194088054","1194088054")</f>
        <v>1194088054</v>
      </c>
      <c r="D3915" s="36" t="s">
        <v>36376</v>
      </c>
      <c r="E3915" s="36" t="s">
        <v>2</v>
      </c>
      <c r="F3915" s="36">
        <v>1</v>
      </c>
      <c r="G3915" s="36">
        <v>2</v>
      </c>
      <c r="H3915" s="36">
        <v>0</v>
      </c>
      <c r="I3915" s="37">
        <v>0</v>
      </c>
      <c r="J3915" s="36" t="s">
        <v>36190</v>
      </c>
      <c r="K3915" s="36" t="s">
        <v>14330</v>
      </c>
      <c r="L3915" s="36" t="s">
        <v>14330</v>
      </c>
      <c r="M3915">
        <v>2</v>
      </c>
      <c r="N3915" t="s">
        <v>14331</v>
      </c>
      <c r="O3915" t="s">
        <v>14333</v>
      </c>
    </row>
    <row r="3916" spans="1:15" x14ac:dyDescent="0.25">
      <c r="A3916" s="35" t="s">
        <v>8275</v>
      </c>
      <c r="B3916" s="36" t="s">
        <v>8276</v>
      </c>
      <c r="C3916" s="36" t="str">
        <f>HYPERLINK("https://rhld.insurance.arkansas.gov/NPILookup?Npi=1194115691","1194115691")</f>
        <v>1194115691</v>
      </c>
      <c r="D3916" s="36" t="s">
        <v>36377</v>
      </c>
      <c r="E3916" s="36" t="s">
        <v>2</v>
      </c>
      <c r="F3916" s="36">
        <v>1</v>
      </c>
      <c r="G3916" s="36">
        <v>2</v>
      </c>
      <c r="H3916" s="36">
        <v>0</v>
      </c>
      <c r="I3916" s="37">
        <v>0</v>
      </c>
      <c r="J3916" s="36" t="s">
        <v>36190</v>
      </c>
      <c r="K3916" s="36" t="s">
        <v>14330</v>
      </c>
      <c r="L3916" s="36" t="s">
        <v>14330</v>
      </c>
      <c r="M3916">
        <v>2</v>
      </c>
      <c r="N3916" t="s">
        <v>14331</v>
      </c>
      <c r="O3916" t="s">
        <v>14333</v>
      </c>
    </row>
    <row r="3917" spans="1:15" x14ac:dyDescent="0.25">
      <c r="A3917" s="35" t="s">
        <v>8275</v>
      </c>
      <c r="B3917" s="36" t="s">
        <v>8276</v>
      </c>
      <c r="C3917" s="36" t="str">
        <f>HYPERLINK("https://rhld.insurance.arkansas.gov/NPILookup?Npi=1194121624","1194121624")</f>
        <v>1194121624</v>
      </c>
      <c r="D3917" s="36" t="s">
        <v>36378</v>
      </c>
      <c r="E3917" s="36" t="s">
        <v>2</v>
      </c>
      <c r="F3917" s="36">
        <v>1</v>
      </c>
      <c r="G3917" s="36">
        <v>2</v>
      </c>
      <c r="H3917" s="36">
        <v>0</v>
      </c>
      <c r="I3917" s="37">
        <v>0</v>
      </c>
      <c r="J3917" s="36" t="s">
        <v>36190</v>
      </c>
      <c r="K3917" s="36" t="s">
        <v>14330</v>
      </c>
      <c r="L3917" s="36" t="s">
        <v>14330</v>
      </c>
      <c r="M3917">
        <v>0</v>
      </c>
      <c r="N3917" t="s">
        <v>14331</v>
      </c>
      <c r="O3917" t="s">
        <v>14333</v>
      </c>
    </row>
    <row r="3918" spans="1:15" x14ac:dyDescent="0.25">
      <c r="A3918" s="35" t="s">
        <v>8275</v>
      </c>
      <c r="B3918" s="36" t="s">
        <v>8276</v>
      </c>
      <c r="C3918" s="36" t="str">
        <f>HYPERLINK("https://rhld.insurance.arkansas.gov/NPILookup?Npi=1194145599","1194145599")</f>
        <v>1194145599</v>
      </c>
      <c r="D3918" s="36" t="s">
        <v>36379</v>
      </c>
      <c r="E3918" s="36" t="s">
        <v>1</v>
      </c>
      <c r="F3918" s="36">
        <v>1</v>
      </c>
      <c r="G3918" s="36">
        <v>1</v>
      </c>
      <c r="H3918" s="36">
        <v>1</v>
      </c>
      <c r="I3918" s="37">
        <v>0</v>
      </c>
      <c r="J3918" s="36" t="s">
        <v>32654</v>
      </c>
      <c r="K3918" s="36" t="s">
        <v>14330</v>
      </c>
      <c r="L3918" s="36" t="s">
        <v>36271</v>
      </c>
      <c r="M3918">
        <v>3</v>
      </c>
      <c r="N3918" t="s">
        <v>14332</v>
      </c>
      <c r="O3918" t="s">
        <v>32591</v>
      </c>
    </row>
    <row r="3919" spans="1:15" x14ac:dyDescent="0.25">
      <c r="A3919" s="35" t="s">
        <v>8275</v>
      </c>
      <c r="B3919" s="36" t="s">
        <v>8276</v>
      </c>
      <c r="C3919" s="36" t="str">
        <f>HYPERLINK("https://rhld.insurance.arkansas.gov/NPILookup?Npi=1194257378","1194257378")</f>
        <v>1194257378</v>
      </c>
      <c r="D3919" s="36" t="s">
        <v>36380</v>
      </c>
      <c r="E3919" s="36" t="s">
        <v>2</v>
      </c>
      <c r="F3919" s="36">
        <v>1</v>
      </c>
      <c r="G3919" s="36">
        <v>3</v>
      </c>
      <c r="H3919" s="36">
        <v>0</v>
      </c>
      <c r="I3919" s="37">
        <v>0</v>
      </c>
      <c r="J3919" s="36" t="s">
        <v>36190</v>
      </c>
      <c r="K3919" s="36" t="s">
        <v>14330</v>
      </c>
      <c r="L3919" s="36" t="s">
        <v>14330</v>
      </c>
      <c r="M3919">
        <v>2</v>
      </c>
      <c r="N3919" t="s">
        <v>14331</v>
      </c>
      <c r="O3919" t="s">
        <v>14333</v>
      </c>
    </row>
    <row r="3920" spans="1:15" x14ac:dyDescent="0.25">
      <c r="A3920" s="35" t="s">
        <v>8275</v>
      </c>
      <c r="B3920" s="36" t="s">
        <v>8276</v>
      </c>
      <c r="C3920" s="36" t="str">
        <f>HYPERLINK("https://rhld.insurance.arkansas.gov/NPILookup?Npi=1194301242","1194301242")</f>
        <v>1194301242</v>
      </c>
      <c r="D3920" s="36" t="s">
        <v>36381</v>
      </c>
      <c r="E3920" s="36" t="s">
        <v>2</v>
      </c>
      <c r="F3920" s="36">
        <v>1</v>
      </c>
      <c r="G3920" s="36">
        <v>2</v>
      </c>
      <c r="H3920" s="36">
        <v>0</v>
      </c>
      <c r="I3920" s="37">
        <v>0</v>
      </c>
      <c r="J3920" s="36" t="s">
        <v>36190</v>
      </c>
      <c r="K3920" s="36" t="s">
        <v>14330</v>
      </c>
      <c r="L3920" s="36" t="s">
        <v>14330</v>
      </c>
      <c r="M3920">
        <v>2</v>
      </c>
      <c r="N3920" t="s">
        <v>14331</v>
      </c>
      <c r="O3920" t="s">
        <v>14333</v>
      </c>
    </row>
    <row r="3921" spans="1:15" x14ac:dyDescent="0.25">
      <c r="A3921" s="35" t="s">
        <v>8275</v>
      </c>
      <c r="B3921" s="36" t="s">
        <v>8276</v>
      </c>
      <c r="C3921" s="36" t="str">
        <f>HYPERLINK("https://rhld.insurance.arkansas.gov/NPILookup?Npi=1194311498","1194311498")</f>
        <v>1194311498</v>
      </c>
      <c r="D3921" s="36" t="s">
        <v>36382</v>
      </c>
      <c r="E3921" s="36" t="s">
        <v>2</v>
      </c>
      <c r="F3921" s="36">
        <v>1</v>
      </c>
      <c r="G3921" s="36">
        <v>2</v>
      </c>
      <c r="H3921" s="36">
        <v>0</v>
      </c>
      <c r="I3921" s="37">
        <v>0</v>
      </c>
      <c r="J3921" s="36" t="s">
        <v>36190</v>
      </c>
      <c r="K3921" s="36" t="s">
        <v>14330</v>
      </c>
      <c r="L3921" s="36" t="s">
        <v>14330</v>
      </c>
      <c r="M3921">
        <v>3</v>
      </c>
      <c r="N3921" t="s">
        <v>14331</v>
      </c>
      <c r="O3921" t="s">
        <v>14333</v>
      </c>
    </row>
    <row r="3922" spans="1:15" x14ac:dyDescent="0.25">
      <c r="A3922" s="35" t="s">
        <v>8275</v>
      </c>
      <c r="B3922" s="36" t="s">
        <v>8276</v>
      </c>
      <c r="C3922" s="36" t="str">
        <f>HYPERLINK("https://rhld.insurance.arkansas.gov/NPILookup?Npi=1194356535","1194356535")</f>
        <v>1194356535</v>
      </c>
      <c r="D3922" s="36" t="s">
        <v>36383</v>
      </c>
      <c r="E3922" s="36" t="s">
        <v>2</v>
      </c>
      <c r="F3922" s="36">
        <v>1</v>
      </c>
      <c r="G3922" s="36">
        <v>3</v>
      </c>
      <c r="H3922" s="36">
        <v>0</v>
      </c>
      <c r="I3922" s="37">
        <v>0</v>
      </c>
      <c r="J3922" s="36" t="s">
        <v>36190</v>
      </c>
      <c r="K3922" s="36" t="s">
        <v>14330</v>
      </c>
      <c r="L3922" s="36" t="s">
        <v>14330</v>
      </c>
      <c r="M3922">
        <v>1</v>
      </c>
      <c r="N3922" t="s">
        <v>14331</v>
      </c>
      <c r="O3922" t="s">
        <v>14333</v>
      </c>
    </row>
    <row r="3923" spans="1:15" x14ac:dyDescent="0.25">
      <c r="A3923" s="35" t="s">
        <v>8275</v>
      </c>
      <c r="B3923" s="36" t="s">
        <v>8276</v>
      </c>
      <c r="C3923" s="36" t="str">
        <f>HYPERLINK("https://rhld.insurance.arkansas.gov/NPILookup?Npi=1194367136","1194367136")</f>
        <v>1194367136</v>
      </c>
      <c r="D3923" s="36" t="s">
        <v>35114</v>
      </c>
      <c r="E3923" s="36" t="s">
        <v>2</v>
      </c>
      <c r="F3923" s="36">
        <v>1</v>
      </c>
      <c r="G3923" s="36">
        <v>1</v>
      </c>
      <c r="H3923" s="36">
        <v>0</v>
      </c>
      <c r="I3923" s="37">
        <v>0</v>
      </c>
      <c r="J3923" s="36"/>
      <c r="K3923" s="36" t="s">
        <v>14330</v>
      </c>
      <c r="L3923" s="36" t="s">
        <v>14330</v>
      </c>
      <c r="M3923">
        <v>2</v>
      </c>
      <c r="N3923" t="s">
        <v>14331</v>
      </c>
      <c r="O3923" t="s">
        <v>32633</v>
      </c>
    </row>
    <row r="3924" spans="1:15" x14ac:dyDescent="0.25">
      <c r="A3924" s="35" t="s">
        <v>8275</v>
      </c>
      <c r="B3924" s="36" t="s">
        <v>8276</v>
      </c>
      <c r="C3924" s="36" t="str">
        <f>HYPERLINK("https://rhld.insurance.arkansas.gov/NPILookup?Npi=1194385989","1194385989")</f>
        <v>1194385989</v>
      </c>
      <c r="D3924" s="36" t="s">
        <v>36384</v>
      </c>
      <c r="E3924" s="36" t="s">
        <v>2</v>
      </c>
      <c r="F3924" s="36">
        <v>1</v>
      </c>
      <c r="G3924" s="36">
        <v>2</v>
      </c>
      <c r="H3924" s="36">
        <v>0</v>
      </c>
      <c r="I3924" s="37">
        <v>0</v>
      </c>
      <c r="J3924" s="36" t="s">
        <v>36190</v>
      </c>
      <c r="K3924" s="36" t="s">
        <v>14330</v>
      </c>
      <c r="L3924" s="36" t="s">
        <v>14330</v>
      </c>
      <c r="M3924">
        <v>3</v>
      </c>
      <c r="N3924" t="s">
        <v>14331</v>
      </c>
      <c r="O3924" t="s">
        <v>14333</v>
      </c>
    </row>
    <row r="3925" spans="1:15" x14ac:dyDescent="0.25">
      <c r="A3925" s="35" t="s">
        <v>8275</v>
      </c>
      <c r="B3925" s="36" t="s">
        <v>8276</v>
      </c>
      <c r="C3925" s="36" t="str">
        <f>HYPERLINK("https://rhld.insurance.arkansas.gov/NPILookup?Npi=1194407379","1194407379")</f>
        <v>1194407379</v>
      </c>
      <c r="D3925" s="36" t="s">
        <v>36385</v>
      </c>
      <c r="E3925" s="36" t="s">
        <v>2</v>
      </c>
      <c r="F3925" s="36">
        <v>1</v>
      </c>
      <c r="G3925" s="36">
        <v>3</v>
      </c>
      <c r="H3925" s="36">
        <v>0</v>
      </c>
      <c r="I3925" s="37">
        <v>0</v>
      </c>
      <c r="J3925" s="36" t="s">
        <v>36190</v>
      </c>
      <c r="K3925" s="36" t="s">
        <v>14330</v>
      </c>
      <c r="L3925" s="36" t="s">
        <v>14330</v>
      </c>
      <c r="M3925">
        <v>2</v>
      </c>
      <c r="N3925" t="s">
        <v>14331</v>
      </c>
      <c r="O3925" t="s">
        <v>14333</v>
      </c>
    </row>
    <row r="3926" spans="1:15" x14ac:dyDescent="0.25">
      <c r="A3926" s="35" t="s">
        <v>8275</v>
      </c>
      <c r="B3926" s="36" t="s">
        <v>8276</v>
      </c>
      <c r="C3926" s="36" t="str">
        <f>HYPERLINK("https://rhld.insurance.arkansas.gov/NPILookup?Npi=1194442731","1194442731")</f>
        <v>1194442731</v>
      </c>
      <c r="D3926" s="36" t="s">
        <v>35115</v>
      </c>
      <c r="E3926" s="36" t="s">
        <v>2</v>
      </c>
      <c r="F3926" s="36">
        <v>1</v>
      </c>
      <c r="G3926" s="36">
        <v>2</v>
      </c>
      <c r="H3926" s="36">
        <v>0</v>
      </c>
      <c r="I3926" s="37">
        <v>0</v>
      </c>
      <c r="J3926" s="36"/>
      <c r="K3926" s="36" t="s">
        <v>14330</v>
      </c>
      <c r="L3926" s="36" t="s">
        <v>14330</v>
      </c>
      <c r="M3926">
        <v>2</v>
      </c>
      <c r="N3926" t="s">
        <v>14331</v>
      </c>
      <c r="O3926" t="s">
        <v>14333</v>
      </c>
    </row>
    <row r="3927" spans="1:15" x14ac:dyDescent="0.25">
      <c r="A3927" s="35" t="s">
        <v>8275</v>
      </c>
      <c r="B3927" s="36" t="s">
        <v>8276</v>
      </c>
      <c r="C3927" s="36" t="str">
        <f>HYPERLINK("https://rhld.insurance.arkansas.gov/NPILookup?Npi=1194560771","1194560771")</f>
        <v>1194560771</v>
      </c>
      <c r="D3927" s="36" t="s">
        <v>34693</v>
      </c>
      <c r="E3927" s="36" t="s">
        <v>2</v>
      </c>
      <c r="F3927" s="36">
        <v>1</v>
      </c>
      <c r="G3927" s="36">
        <v>2</v>
      </c>
      <c r="H3927" s="36">
        <v>0</v>
      </c>
      <c r="I3927" s="37">
        <v>0</v>
      </c>
      <c r="J3927" s="36"/>
      <c r="K3927" s="36" t="s">
        <v>14330</v>
      </c>
      <c r="L3927" s="36" t="s">
        <v>14330</v>
      </c>
      <c r="M3927">
        <v>3</v>
      </c>
      <c r="N3927" t="s">
        <v>14331</v>
      </c>
      <c r="O3927" t="s">
        <v>14333</v>
      </c>
    </row>
    <row r="3928" spans="1:15" x14ac:dyDescent="0.25">
      <c r="A3928" s="35" t="s">
        <v>8275</v>
      </c>
      <c r="B3928" s="36" t="s">
        <v>8276</v>
      </c>
      <c r="C3928" s="36" t="str">
        <f>HYPERLINK("https://rhld.insurance.arkansas.gov/NPILookup?Npi=1194767657","1194767657")</f>
        <v>1194767657</v>
      </c>
      <c r="D3928" s="36" t="s">
        <v>36386</v>
      </c>
      <c r="E3928" s="36" t="s">
        <v>2</v>
      </c>
      <c r="F3928" s="36">
        <v>1</v>
      </c>
      <c r="G3928" s="36">
        <v>3</v>
      </c>
      <c r="H3928" s="36">
        <v>0</v>
      </c>
      <c r="I3928" s="37">
        <v>0</v>
      </c>
      <c r="J3928" s="36" t="s">
        <v>36190</v>
      </c>
      <c r="K3928" s="36" t="s">
        <v>14330</v>
      </c>
      <c r="L3928" s="36" t="s">
        <v>14330</v>
      </c>
      <c r="M3928">
        <v>3</v>
      </c>
      <c r="N3928" t="s">
        <v>14331</v>
      </c>
      <c r="O3928" t="s">
        <v>14333</v>
      </c>
    </row>
    <row r="3929" spans="1:15" x14ac:dyDescent="0.25">
      <c r="A3929" s="35" t="s">
        <v>8275</v>
      </c>
      <c r="B3929" s="36" t="s">
        <v>8276</v>
      </c>
      <c r="C3929" s="36" t="str">
        <f>HYPERLINK("https://rhld.insurance.arkansas.gov/NPILookup?Npi=1194824193","1194824193")</f>
        <v>1194824193</v>
      </c>
      <c r="D3929" s="36" t="s">
        <v>36387</v>
      </c>
      <c r="E3929" s="36" t="s">
        <v>1</v>
      </c>
      <c r="F3929" s="36">
        <v>1</v>
      </c>
      <c r="G3929" s="36">
        <v>3</v>
      </c>
      <c r="H3929" s="36">
        <v>0</v>
      </c>
      <c r="I3929" s="37">
        <v>0</v>
      </c>
      <c r="J3929" s="36" t="s">
        <v>32654</v>
      </c>
      <c r="K3929" s="36" t="s">
        <v>14330</v>
      </c>
      <c r="L3929" s="36" t="s">
        <v>14330</v>
      </c>
      <c r="M3929">
        <v>3</v>
      </c>
      <c r="N3929" t="s">
        <v>14331</v>
      </c>
      <c r="O3929" t="s">
        <v>32633</v>
      </c>
    </row>
    <row r="3930" spans="1:15" x14ac:dyDescent="0.25">
      <c r="A3930" s="35" t="s">
        <v>8275</v>
      </c>
      <c r="B3930" s="36" t="s">
        <v>8276</v>
      </c>
      <c r="C3930" s="36" t="str">
        <f>HYPERLINK("https://rhld.insurance.arkansas.gov/NPILookup?Npi=1205096351","1205096351")</f>
        <v>1205096351</v>
      </c>
      <c r="D3930" s="36" t="s">
        <v>36388</v>
      </c>
      <c r="E3930" s="36" t="s">
        <v>2</v>
      </c>
      <c r="F3930" s="36">
        <v>1</v>
      </c>
      <c r="G3930" s="36">
        <v>3</v>
      </c>
      <c r="H3930" s="36">
        <v>0</v>
      </c>
      <c r="I3930" s="37">
        <v>0</v>
      </c>
      <c r="J3930" s="36" t="s">
        <v>36190</v>
      </c>
      <c r="K3930" s="36" t="s">
        <v>14330</v>
      </c>
      <c r="L3930" s="36" t="s">
        <v>14330</v>
      </c>
      <c r="M3930">
        <v>1</v>
      </c>
      <c r="N3930" t="s">
        <v>14331</v>
      </c>
      <c r="O3930" t="s">
        <v>14333</v>
      </c>
    </row>
    <row r="3931" spans="1:15" x14ac:dyDescent="0.25">
      <c r="A3931" s="35" t="s">
        <v>8275</v>
      </c>
      <c r="B3931" s="36" t="s">
        <v>8276</v>
      </c>
      <c r="C3931" s="36" t="str">
        <f>HYPERLINK("https://rhld.insurance.arkansas.gov/NPILookup?Npi=1205118858","1205118858")</f>
        <v>1205118858</v>
      </c>
      <c r="D3931" s="36" t="s">
        <v>35122</v>
      </c>
      <c r="E3931" s="36" t="s">
        <v>2</v>
      </c>
      <c r="F3931" s="36">
        <v>1</v>
      </c>
      <c r="G3931" s="36">
        <v>1</v>
      </c>
      <c r="H3931" s="36">
        <v>0</v>
      </c>
      <c r="I3931" s="37">
        <v>0</v>
      </c>
      <c r="J3931" s="36"/>
      <c r="K3931" s="36" t="s">
        <v>14330</v>
      </c>
      <c r="L3931" s="36" t="s">
        <v>14330</v>
      </c>
      <c r="M3931">
        <v>2</v>
      </c>
      <c r="N3931" t="s">
        <v>14331</v>
      </c>
      <c r="O3931" t="s">
        <v>32633</v>
      </c>
    </row>
    <row r="3932" spans="1:15" x14ac:dyDescent="0.25">
      <c r="A3932" s="35" t="s">
        <v>8275</v>
      </c>
      <c r="B3932" s="36" t="s">
        <v>8276</v>
      </c>
      <c r="C3932" s="36" t="str">
        <f>HYPERLINK("https://rhld.insurance.arkansas.gov/NPILookup?Npi=1205147105","1205147105")</f>
        <v>1205147105</v>
      </c>
      <c r="D3932" s="36" t="s">
        <v>36389</v>
      </c>
      <c r="E3932" s="36" t="s">
        <v>1</v>
      </c>
      <c r="F3932" s="36">
        <v>1</v>
      </c>
      <c r="G3932" s="36">
        <v>2</v>
      </c>
      <c r="H3932" s="36">
        <v>0</v>
      </c>
      <c r="I3932" s="37">
        <v>0</v>
      </c>
      <c r="J3932" s="36" t="s">
        <v>32654</v>
      </c>
      <c r="K3932" s="36" t="s">
        <v>14330</v>
      </c>
      <c r="L3932" s="36" t="s">
        <v>14330</v>
      </c>
      <c r="M3932">
        <v>2</v>
      </c>
      <c r="N3932" t="s">
        <v>14331</v>
      </c>
      <c r="O3932" t="s">
        <v>32633</v>
      </c>
    </row>
    <row r="3933" spans="1:15" x14ac:dyDescent="0.25">
      <c r="A3933" s="35" t="s">
        <v>8275</v>
      </c>
      <c r="B3933" s="36" t="s">
        <v>8276</v>
      </c>
      <c r="C3933" s="36" t="str">
        <f>HYPERLINK("https://rhld.insurance.arkansas.gov/NPILookup?Npi=1205305307","1205305307")</f>
        <v>1205305307</v>
      </c>
      <c r="D3933" s="36" t="s">
        <v>35125</v>
      </c>
      <c r="E3933" s="36" t="s">
        <v>2</v>
      </c>
      <c r="F3933" s="36">
        <v>1</v>
      </c>
      <c r="G3933" s="36">
        <v>2</v>
      </c>
      <c r="H3933" s="36">
        <v>0</v>
      </c>
      <c r="I3933" s="37">
        <v>0</v>
      </c>
      <c r="J3933" s="36"/>
      <c r="K3933" s="36" t="s">
        <v>14330</v>
      </c>
      <c r="L3933" s="36" t="s">
        <v>14330</v>
      </c>
      <c r="M3933">
        <v>3</v>
      </c>
      <c r="N3933" t="s">
        <v>14331</v>
      </c>
      <c r="O3933" t="s">
        <v>14333</v>
      </c>
    </row>
    <row r="3934" spans="1:15" x14ac:dyDescent="0.25">
      <c r="A3934" s="35" t="s">
        <v>8275</v>
      </c>
      <c r="B3934" s="36" t="s">
        <v>8276</v>
      </c>
      <c r="C3934" s="36" t="str">
        <f>HYPERLINK("https://rhld.insurance.arkansas.gov/NPILookup?Npi=1205315900","1205315900")</f>
        <v>1205315900</v>
      </c>
      <c r="D3934" s="36" t="s">
        <v>36390</v>
      </c>
      <c r="E3934" s="36" t="s">
        <v>2</v>
      </c>
      <c r="F3934" s="36">
        <v>1</v>
      </c>
      <c r="G3934" s="36">
        <v>3</v>
      </c>
      <c r="H3934" s="36">
        <v>0</v>
      </c>
      <c r="I3934" s="37">
        <v>0</v>
      </c>
      <c r="J3934" s="36" t="s">
        <v>36190</v>
      </c>
      <c r="K3934" s="36" t="s">
        <v>14330</v>
      </c>
      <c r="L3934" s="36" t="s">
        <v>14330</v>
      </c>
      <c r="M3934">
        <v>2</v>
      </c>
      <c r="N3934" t="s">
        <v>14331</v>
      </c>
      <c r="O3934" t="s">
        <v>14333</v>
      </c>
    </row>
    <row r="3935" spans="1:15" x14ac:dyDescent="0.25">
      <c r="A3935" s="35" t="s">
        <v>8275</v>
      </c>
      <c r="B3935" s="36" t="s">
        <v>8276</v>
      </c>
      <c r="C3935" s="36" t="str">
        <f>HYPERLINK("https://rhld.insurance.arkansas.gov/NPILookup?Npi=1205408176","1205408176")</f>
        <v>1205408176</v>
      </c>
      <c r="D3935" s="36" t="s">
        <v>36391</v>
      </c>
      <c r="E3935" s="36" t="s">
        <v>2</v>
      </c>
      <c r="F3935" s="36">
        <v>1</v>
      </c>
      <c r="G3935" s="36">
        <v>2</v>
      </c>
      <c r="H3935" s="36">
        <v>0</v>
      </c>
      <c r="I3935" s="37">
        <v>0</v>
      </c>
      <c r="J3935" s="36" t="s">
        <v>32679</v>
      </c>
      <c r="K3935" s="36" t="s">
        <v>14330</v>
      </c>
      <c r="L3935" s="36" t="s">
        <v>14330</v>
      </c>
      <c r="M3935">
        <v>3</v>
      </c>
      <c r="N3935" t="s">
        <v>14331</v>
      </c>
      <c r="O3935" t="s">
        <v>14333</v>
      </c>
    </row>
    <row r="3936" spans="1:15" x14ac:dyDescent="0.25">
      <c r="A3936" s="35" t="s">
        <v>8275</v>
      </c>
      <c r="B3936" s="36" t="s">
        <v>8276</v>
      </c>
      <c r="C3936" s="36" t="str">
        <f>HYPERLINK("https://rhld.insurance.arkansas.gov/NPILookup?Npi=1205415791","1205415791")</f>
        <v>1205415791</v>
      </c>
      <c r="D3936" s="36" t="s">
        <v>36392</v>
      </c>
      <c r="E3936" s="36" t="s">
        <v>2</v>
      </c>
      <c r="F3936" s="36">
        <v>1</v>
      </c>
      <c r="G3936" s="36">
        <v>3</v>
      </c>
      <c r="H3936" s="36">
        <v>0</v>
      </c>
      <c r="I3936" s="37">
        <v>0</v>
      </c>
      <c r="J3936" s="36" t="s">
        <v>36190</v>
      </c>
      <c r="K3936" s="36" t="s">
        <v>14330</v>
      </c>
      <c r="L3936" s="36" t="s">
        <v>14330</v>
      </c>
      <c r="M3936">
        <v>3</v>
      </c>
      <c r="N3936" t="s">
        <v>14331</v>
      </c>
      <c r="O3936" t="s">
        <v>14333</v>
      </c>
    </row>
    <row r="3937" spans="1:15" x14ac:dyDescent="0.25">
      <c r="A3937" s="35" t="s">
        <v>8275</v>
      </c>
      <c r="B3937" s="36" t="s">
        <v>8276</v>
      </c>
      <c r="C3937" s="36" t="str">
        <f>HYPERLINK("https://rhld.insurance.arkansas.gov/NPILookup?Npi=1205428604","1205428604")</f>
        <v>1205428604</v>
      </c>
      <c r="D3937" s="36" t="s">
        <v>36393</v>
      </c>
      <c r="E3937" s="36" t="s">
        <v>2</v>
      </c>
      <c r="F3937" s="36">
        <v>1</v>
      </c>
      <c r="G3937" s="36">
        <v>3</v>
      </c>
      <c r="H3937" s="36">
        <v>0</v>
      </c>
      <c r="I3937" s="37">
        <v>0</v>
      </c>
      <c r="J3937" s="36" t="s">
        <v>36190</v>
      </c>
      <c r="K3937" s="36" t="s">
        <v>14330</v>
      </c>
      <c r="L3937" s="36" t="s">
        <v>14330</v>
      </c>
      <c r="M3937">
        <v>1</v>
      </c>
      <c r="N3937" t="s">
        <v>14331</v>
      </c>
      <c r="O3937" t="s">
        <v>14333</v>
      </c>
    </row>
    <row r="3938" spans="1:15" x14ac:dyDescent="0.25">
      <c r="A3938" s="35" t="s">
        <v>8275</v>
      </c>
      <c r="B3938" s="36" t="s">
        <v>8276</v>
      </c>
      <c r="C3938" s="36" t="str">
        <f>HYPERLINK("https://rhld.insurance.arkansas.gov/NPILookup?Npi=1205646296","1205646296")</f>
        <v>1205646296</v>
      </c>
      <c r="D3938" s="36" t="s">
        <v>35127</v>
      </c>
      <c r="E3938" s="36" t="s">
        <v>2</v>
      </c>
      <c r="F3938" s="36">
        <v>1</v>
      </c>
      <c r="G3938" s="36">
        <v>1</v>
      </c>
      <c r="H3938" s="36">
        <v>0</v>
      </c>
      <c r="I3938" s="37">
        <v>0</v>
      </c>
      <c r="J3938" s="36"/>
      <c r="K3938" s="36" t="s">
        <v>14330</v>
      </c>
      <c r="L3938" s="36" t="s">
        <v>14330</v>
      </c>
      <c r="M3938">
        <v>2</v>
      </c>
      <c r="N3938" t="s">
        <v>14331</v>
      </c>
      <c r="O3938" t="s">
        <v>32633</v>
      </c>
    </row>
    <row r="3939" spans="1:15" x14ac:dyDescent="0.25">
      <c r="A3939" s="35" t="s">
        <v>8275</v>
      </c>
      <c r="B3939" s="36" t="s">
        <v>8276</v>
      </c>
      <c r="C3939" s="36" t="str">
        <f>HYPERLINK("https://rhld.insurance.arkansas.gov/NPILookup?Npi=1205829710","1205829710")</f>
        <v>1205829710</v>
      </c>
      <c r="D3939" s="36" t="s">
        <v>36394</v>
      </c>
      <c r="E3939" s="36" t="s">
        <v>2</v>
      </c>
      <c r="F3939" s="36">
        <v>1</v>
      </c>
      <c r="G3939" s="36">
        <v>2</v>
      </c>
      <c r="H3939" s="36">
        <v>0</v>
      </c>
      <c r="I3939" s="37">
        <v>0</v>
      </c>
      <c r="J3939" s="36" t="s">
        <v>36190</v>
      </c>
      <c r="K3939" s="36" t="s">
        <v>14330</v>
      </c>
      <c r="L3939" s="36" t="s">
        <v>14330</v>
      </c>
      <c r="M3939">
        <v>3</v>
      </c>
      <c r="N3939" t="s">
        <v>14331</v>
      </c>
      <c r="O3939" t="s">
        <v>14333</v>
      </c>
    </row>
    <row r="3940" spans="1:15" x14ac:dyDescent="0.25">
      <c r="A3940" s="35" t="s">
        <v>8275</v>
      </c>
      <c r="B3940" s="36" t="s">
        <v>8276</v>
      </c>
      <c r="C3940" s="36" t="str">
        <f>HYPERLINK("https://rhld.insurance.arkansas.gov/NPILookup?Npi=1205832920","1205832920")</f>
        <v>1205832920</v>
      </c>
      <c r="D3940" s="36" t="s">
        <v>36395</v>
      </c>
      <c r="E3940" s="36" t="s">
        <v>2</v>
      </c>
      <c r="F3940" s="36">
        <v>1</v>
      </c>
      <c r="G3940" s="36">
        <v>3</v>
      </c>
      <c r="H3940" s="36">
        <v>0</v>
      </c>
      <c r="I3940" s="37">
        <v>0</v>
      </c>
      <c r="J3940" s="36" t="s">
        <v>36190</v>
      </c>
      <c r="K3940" s="36" t="s">
        <v>14330</v>
      </c>
      <c r="L3940" s="36" t="s">
        <v>14330</v>
      </c>
      <c r="M3940">
        <v>2</v>
      </c>
      <c r="N3940" t="s">
        <v>14331</v>
      </c>
      <c r="O3940" t="s">
        <v>14333</v>
      </c>
    </row>
    <row r="3941" spans="1:15" x14ac:dyDescent="0.25">
      <c r="A3941" s="35" t="s">
        <v>8275</v>
      </c>
      <c r="B3941" s="36" t="s">
        <v>8276</v>
      </c>
      <c r="C3941" s="36" t="str">
        <f>HYPERLINK("https://rhld.insurance.arkansas.gov/NPILookup?Npi=1205875846","1205875846")</f>
        <v>1205875846</v>
      </c>
      <c r="D3941" s="36" t="s">
        <v>36396</v>
      </c>
      <c r="E3941" s="36" t="s">
        <v>2</v>
      </c>
      <c r="F3941" s="36">
        <v>1</v>
      </c>
      <c r="G3941" s="36">
        <v>2</v>
      </c>
      <c r="H3941" s="36">
        <v>0</v>
      </c>
      <c r="I3941" s="37">
        <v>0</v>
      </c>
      <c r="J3941" s="36" t="s">
        <v>36190</v>
      </c>
      <c r="K3941" s="36" t="s">
        <v>14330</v>
      </c>
      <c r="L3941" s="36" t="s">
        <v>14330</v>
      </c>
      <c r="M3941">
        <v>2</v>
      </c>
      <c r="N3941" t="s">
        <v>14331</v>
      </c>
      <c r="O3941" t="s">
        <v>14333</v>
      </c>
    </row>
    <row r="3942" spans="1:15" x14ac:dyDescent="0.25">
      <c r="A3942" s="35" t="s">
        <v>8275</v>
      </c>
      <c r="B3942" s="36" t="s">
        <v>8276</v>
      </c>
      <c r="C3942" s="36" t="str">
        <f>HYPERLINK("https://rhld.insurance.arkansas.gov/NPILookup?Npi=1205878105","1205878105")</f>
        <v>1205878105</v>
      </c>
      <c r="D3942" s="36" t="s">
        <v>36397</v>
      </c>
      <c r="E3942" s="36" t="s">
        <v>2</v>
      </c>
      <c r="F3942" s="36">
        <v>1</v>
      </c>
      <c r="G3942" s="36">
        <v>2</v>
      </c>
      <c r="H3942" s="36">
        <v>0</v>
      </c>
      <c r="I3942" s="37">
        <v>0</v>
      </c>
      <c r="J3942" s="36" t="s">
        <v>36190</v>
      </c>
      <c r="K3942" s="36" t="s">
        <v>14330</v>
      </c>
      <c r="L3942" s="36" t="s">
        <v>14330</v>
      </c>
      <c r="M3942">
        <v>2</v>
      </c>
      <c r="N3942" t="s">
        <v>14331</v>
      </c>
      <c r="O3942" t="s">
        <v>14333</v>
      </c>
    </row>
    <row r="3943" spans="1:15" x14ac:dyDescent="0.25">
      <c r="A3943" s="35" t="s">
        <v>8275</v>
      </c>
      <c r="B3943" s="36" t="s">
        <v>8276</v>
      </c>
      <c r="C3943" s="36" t="str">
        <f>HYPERLINK("https://rhld.insurance.arkansas.gov/NPILookup?Npi=1205948247","1205948247")</f>
        <v>1205948247</v>
      </c>
      <c r="D3943" s="36" t="s">
        <v>33045</v>
      </c>
      <c r="E3943" s="36" t="s">
        <v>2</v>
      </c>
      <c r="F3943" s="36">
        <v>1</v>
      </c>
      <c r="G3943" s="36">
        <v>2</v>
      </c>
      <c r="H3943" s="36">
        <v>0</v>
      </c>
      <c r="I3943" s="37">
        <v>0</v>
      </c>
      <c r="J3943" s="36" t="s">
        <v>36190</v>
      </c>
      <c r="K3943" s="36" t="s">
        <v>14330</v>
      </c>
      <c r="L3943" s="36" t="s">
        <v>14330</v>
      </c>
      <c r="M3943">
        <v>2</v>
      </c>
      <c r="N3943" t="s">
        <v>14331</v>
      </c>
      <c r="O3943" t="s">
        <v>14333</v>
      </c>
    </row>
    <row r="3944" spans="1:15" x14ac:dyDescent="0.25">
      <c r="A3944" s="35" t="s">
        <v>8275</v>
      </c>
      <c r="B3944" s="36" t="s">
        <v>8276</v>
      </c>
      <c r="C3944" s="36" t="str">
        <f>HYPERLINK("https://rhld.insurance.arkansas.gov/NPILookup?Npi=1215027883","1215027883")</f>
        <v>1215027883</v>
      </c>
      <c r="D3944" s="36" t="s">
        <v>33925</v>
      </c>
      <c r="E3944" s="36" t="s">
        <v>1</v>
      </c>
      <c r="F3944" s="36">
        <v>1</v>
      </c>
      <c r="G3944" s="36">
        <v>2</v>
      </c>
      <c r="H3944" s="36">
        <v>0</v>
      </c>
      <c r="I3944" s="37">
        <v>0</v>
      </c>
      <c r="J3944" s="36" t="s">
        <v>32654</v>
      </c>
      <c r="K3944" s="36" t="s">
        <v>14330</v>
      </c>
      <c r="L3944" s="36" t="s">
        <v>14330</v>
      </c>
      <c r="M3944">
        <v>3</v>
      </c>
      <c r="N3944" t="s">
        <v>14331</v>
      </c>
      <c r="O3944" t="s">
        <v>32633</v>
      </c>
    </row>
    <row r="3945" spans="1:15" x14ac:dyDescent="0.25">
      <c r="A3945" s="35" t="s">
        <v>8275</v>
      </c>
      <c r="B3945" s="36" t="s">
        <v>8276</v>
      </c>
      <c r="C3945" s="36" t="str">
        <f>HYPERLINK("https://rhld.insurance.arkansas.gov/NPILookup?Npi=1215167150","1215167150")</f>
        <v>1215167150</v>
      </c>
      <c r="D3945" s="36" t="s">
        <v>36398</v>
      </c>
      <c r="E3945" s="36" t="s">
        <v>2</v>
      </c>
      <c r="F3945" s="36">
        <v>1</v>
      </c>
      <c r="G3945" s="36">
        <v>3</v>
      </c>
      <c r="H3945" s="36">
        <v>0</v>
      </c>
      <c r="I3945" s="37">
        <v>0</v>
      </c>
      <c r="J3945" s="36" t="s">
        <v>36190</v>
      </c>
      <c r="K3945" s="36" t="s">
        <v>14330</v>
      </c>
      <c r="L3945" s="36" t="s">
        <v>14330</v>
      </c>
      <c r="M3945">
        <v>2</v>
      </c>
      <c r="N3945" t="s">
        <v>14331</v>
      </c>
      <c r="O3945" t="s">
        <v>14333</v>
      </c>
    </row>
    <row r="3946" spans="1:15" x14ac:dyDescent="0.25">
      <c r="A3946" s="35" t="s">
        <v>8275</v>
      </c>
      <c r="B3946" s="36" t="s">
        <v>8276</v>
      </c>
      <c r="C3946" s="36" t="str">
        <f>HYPERLINK("https://rhld.insurance.arkansas.gov/NPILookup?Npi=1215276977","1215276977")</f>
        <v>1215276977</v>
      </c>
      <c r="D3946" s="36" t="s">
        <v>34694</v>
      </c>
      <c r="E3946" s="36" t="s">
        <v>2</v>
      </c>
      <c r="F3946" s="36">
        <v>1</v>
      </c>
      <c r="G3946" s="36">
        <v>2</v>
      </c>
      <c r="H3946" s="36">
        <v>0</v>
      </c>
      <c r="I3946" s="37">
        <v>0</v>
      </c>
      <c r="J3946" s="36"/>
      <c r="K3946" s="36" t="s">
        <v>14330</v>
      </c>
      <c r="L3946" s="36" t="s">
        <v>14330</v>
      </c>
      <c r="M3946">
        <v>3</v>
      </c>
      <c r="N3946" t="s">
        <v>14331</v>
      </c>
      <c r="O3946" t="s">
        <v>14333</v>
      </c>
    </row>
    <row r="3947" spans="1:15" x14ac:dyDescent="0.25">
      <c r="A3947" s="35" t="s">
        <v>8275</v>
      </c>
      <c r="B3947" s="36" t="s">
        <v>8276</v>
      </c>
      <c r="C3947" s="36" t="str">
        <f>HYPERLINK("https://rhld.insurance.arkansas.gov/NPILookup?Npi=1215336474","1215336474")</f>
        <v>1215336474</v>
      </c>
      <c r="D3947" s="36" t="s">
        <v>36399</v>
      </c>
      <c r="E3947" s="36" t="s">
        <v>2</v>
      </c>
      <c r="F3947" s="36">
        <v>1</v>
      </c>
      <c r="G3947" s="36">
        <v>3</v>
      </c>
      <c r="H3947" s="36">
        <v>0</v>
      </c>
      <c r="I3947" s="37">
        <v>0</v>
      </c>
      <c r="J3947" s="36" t="s">
        <v>36190</v>
      </c>
      <c r="K3947" s="36" t="s">
        <v>14330</v>
      </c>
      <c r="L3947" s="36" t="s">
        <v>14330</v>
      </c>
      <c r="M3947">
        <v>3</v>
      </c>
      <c r="N3947" t="s">
        <v>14331</v>
      </c>
      <c r="O3947" t="s">
        <v>14333</v>
      </c>
    </row>
    <row r="3948" spans="1:15" x14ac:dyDescent="0.25">
      <c r="A3948" s="35" t="s">
        <v>8275</v>
      </c>
      <c r="B3948" s="36" t="s">
        <v>8276</v>
      </c>
      <c r="C3948" s="36" t="str">
        <f>HYPERLINK("https://rhld.insurance.arkansas.gov/NPILookup?Npi=1215447560","1215447560")</f>
        <v>1215447560</v>
      </c>
      <c r="D3948" s="36" t="s">
        <v>36400</v>
      </c>
      <c r="E3948" s="36" t="s">
        <v>2</v>
      </c>
      <c r="F3948" s="36">
        <v>1</v>
      </c>
      <c r="G3948" s="36">
        <v>3</v>
      </c>
      <c r="H3948" s="36">
        <v>0</v>
      </c>
      <c r="I3948" s="37">
        <v>0</v>
      </c>
      <c r="J3948" s="36" t="s">
        <v>36190</v>
      </c>
      <c r="K3948" s="36" t="s">
        <v>14330</v>
      </c>
      <c r="L3948" s="36" t="s">
        <v>14330</v>
      </c>
      <c r="M3948">
        <v>2</v>
      </c>
      <c r="N3948" t="s">
        <v>14331</v>
      </c>
      <c r="O3948" t="s">
        <v>14333</v>
      </c>
    </row>
    <row r="3949" spans="1:15" x14ac:dyDescent="0.25">
      <c r="A3949" s="35" t="s">
        <v>8275</v>
      </c>
      <c r="B3949" s="36" t="s">
        <v>8276</v>
      </c>
      <c r="C3949" s="36" t="str">
        <f>HYPERLINK("https://rhld.insurance.arkansas.gov/NPILookup?Npi=1215498316","1215498316")</f>
        <v>1215498316</v>
      </c>
      <c r="D3949" s="36" t="s">
        <v>36401</v>
      </c>
      <c r="E3949" s="36" t="s">
        <v>2</v>
      </c>
      <c r="F3949" s="36">
        <v>1</v>
      </c>
      <c r="G3949" s="36">
        <v>2</v>
      </c>
      <c r="H3949" s="36">
        <v>0</v>
      </c>
      <c r="I3949" s="37">
        <v>0</v>
      </c>
      <c r="J3949" s="36" t="s">
        <v>36190</v>
      </c>
      <c r="K3949" s="36" t="s">
        <v>14330</v>
      </c>
      <c r="L3949" s="36" t="s">
        <v>14330</v>
      </c>
      <c r="M3949">
        <v>2</v>
      </c>
      <c r="N3949" t="s">
        <v>14331</v>
      </c>
      <c r="O3949" t="s">
        <v>14333</v>
      </c>
    </row>
    <row r="3950" spans="1:15" x14ac:dyDescent="0.25">
      <c r="A3950" s="35" t="s">
        <v>8275</v>
      </c>
      <c r="B3950" s="36" t="s">
        <v>8276</v>
      </c>
      <c r="C3950" s="36" t="str">
        <f>HYPERLINK("https://rhld.insurance.arkansas.gov/NPILookup?Npi=1215505615","1215505615")</f>
        <v>1215505615</v>
      </c>
      <c r="D3950" s="36" t="s">
        <v>36402</v>
      </c>
      <c r="E3950" s="36" t="s">
        <v>2</v>
      </c>
      <c r="F3950" s="36">
        <v>1</v>
      </c>
      <c r="G3950" s="36">
        <v>2</v>
      </c>
      <c r="H3950" s="36">
        <v>0</v>
      </c>
      <c r="I3950" s="37">
        <v>0</v>
      </c>
      <c r="J3950" s="36" t="s">
        <v>36190</v>
      </c>
      <c r="K3950" s="36" t="s">
        <v>14330</v>
      </c>
      <c r="L3950" s="36" t="s">
        <v>14330</v>
      </c>
      <c r="M3950">
        <v>2</v>
      </c>
      <c r="N3950" t="s">
        <v>14331</v>
      </c>
      <c r="O3950" t="s">
        <v>14333</v>
      </c>
    </row>
    <row r="3951" spans="1:15" x14ac:dyDescent="0.25">
      <c r="A3951" s="35" t="s">
        <v>8275</v>
      </c>
      <c r="B3951" s="36" t="s">
        <v>8276</v>
      </c>
      <c r="C3951" s="36" t="str">
        <f>HYPERLINK("https://rhld.insurance.arkansas.gov/NPILookup?Npi=1215507363","1215507363")</f>
        <v>1215507363</v>
      </c>
      <c r="D3951" s="36" t="s">
        <v>35139</v>
      </c>
      <c r="E3951" s="36" t="s">
        <v>2</v>
      </c>
      <c r="F3951" s="36">
        <v>1</v>
      </c>
      <c r="G3951" s="36">
        <v>2</v>
      </c>
      <c r="H3951" s="36">
        <v>0</v>
      </c>
      <c r="I3951" s="37">
        <v>0</v>
      </c>
      <c r="J3951" s="36"/>
      <c r="K3951" s="36" t="s">
        <v>14330</v>
      </c>
      <c r="L3951" s="36" t="s">
        <v>14330</v>
      </c>
      <c r="M3951">
        <v>1</v>
      </c>
      <c r="N3951" t="s">
        <v>14331</v>
      </c>
      <c r="O3951" t="s">
        <v>14333</v>
      </c>
    </row>
    <row r="3952" spans="1:15" x14ac:dyDescent="0.25">
      <c r="A3952" s="35" t="s">
        <v>8275</v>
      </c>
      <c r="B3952" s="36" t="s">
        <v>8276</v>
      </c>
      <c r="C3952" s="36" t="str">
        <f>HYPERLINK("https://rhld.insurance.arkansas.gov/NPILookup?Npi=1215590534","1215590534")</f>
        <v>1215590534</v>
      </c>
      <c r="D3952" s="36" t="s">
        <v>36403</v>
      </c>
      <c r="E3952" s="36" t="s">
        <v>2</v>
      </c>
      <c r="F3952" s="36">
        <v>1</v>
      </c>
      <c r="G3952" s="36">
        <v>1</v>
      </c>
      <c r="H3952" s="36">
        <v>0</v>
      </c>
      <c r="I3952" s="37">
        <v>0</v>
      </c>
      <c r="J3952" s="36"/>
      <c r="K3952" s="36" t="s">
        <v>14330</v>
      </c>
      <c r="L3952" s="36" t="s">
        <v>14330</v>
      </c>
      <c r="M3952">
        <v>3</v>
      </c>
      <c r="N3952" t="s">
        <v>14331</v>
      </c>
      <c r="O3952" t="s">
        <v>32633</v>
      </c>
    </row>
    <row r="3953" spans="1:15" x14ac:dyDescent="0.25">
      <c r="A3953" s="35" t="s">
        <v>8275</v>
      </c>
      <c r="B3953" s="36" t="s">
        <v>8276</v>
      </c>
      <c r="C3953" s="36" t="str">
        <f>HYPERLINK("https://rhld.insurance.arkansas.gov/NPILookup?Npi=1215665708","1215665708")</f>
        <v>1215665708</v>
      </c>
      <c r="D3953" s="36" t="s">
        <v>36404</v>
      </c>
      <c r="E3953" s="36" t="s">
        <v>2</v>
      </c>
      <c r="F3953" s="36">
        <v>1</v>
      </c>
      <c r="G3953" s="36">
        <v>3</v>
      </c>
      <c r="H3953" s="36">
        <v>0</v>
      </c>
      <c r="I3953" s="37">
        <v>0</v>
      </c>
      <c r="J3953" s="36" t="s">
        <v>36190</v>
      </c>
      <c r="K3953" s="36" t="s">
        <v>14330</v>
      </c>
      <c r="L3953" s="36" t="s">
        <v>14330</v>
      </c>
      <c r="M3953">
        <v>3</v>
      </c>
      <c r="N3953" t="s">
        <v>14331</v>
      </c>
      <c r="O3953" t="s">
        <v>14333</v>
      </c>
    </row>
    <row r="3954" spans="1:15" x14ac:dyDescent="0.25">
      <c r="A3954" s="35" t="s">
        <v>8275</v>
      </c>
      <c r="B3954" s="36" t="s">
        <v>8276</v>
      </c>
      <c r="C3954" s="36" t="str">
        <f>HYPERLINK("https://rhld.insurance.arkansas.gov/NPILookup?Npi=1215754627","1215754627")</f>
        <v>1215754627</v>
      </c>
      <c r="D3954" s="36" t="s">
        <v>31258</v>
      </c>
      <c r="E3954" s="36" t="s">
        <v>2</v>
      </c>
      <c r="F3954" s="36">
        <v>1</v>
      </c>
      <c r="G3954" s="36">
        <v>3</v>
      </c>
      <c r="H3954" s="36">
        <v>0</v>
      </c>
      <c r="I3954" s="37">
        <v>0</v>
      </c>
      <c r="J3954" s="36" t="s">
        <v>36190</v>
      </c>
      <c r="K3954" s="36" t="s">
        <v>14330</v>
      </c>
      <c r="L3954" s="36" t="s">
        <v>14330</v>
      </c>
      <c r="M3954">
        <v>3</v>
      </c>
      <c r="N3954" t="s">
        <v>14331</v>
      </c>
      <c r="O3954" t="s">
        <v>14333</v>
      </c>
    </row>
    <row r="3955" spans="1:15" x14ac:dyDescent="0.25">
      <c r="A3955" s="35" t="s">
        <v>8275</v>
      </c>
      <c r="B3955" s="36" t="s">
        <v>8276</v>
      </c>
      <c r="C3955" s="36" t="str">
        <f>HYPERLINK("https://rhld.insurance.arkansas.gov/NPILookup?Npi=1225024482","1225024482")</f>
        <v>1225024482</v>
      </c>
      <c r="D3955" s="36" t="s">
        <v>36405</v>
      </c>
      <c r="E3955" s="36" t="s">
        <v>2</v>
      </c>
      <c r="F3955" s="36">
        <v>1</v>
      </c>
      <c r="G3955" s="36">
        <v>3</v>
      </c>
      <c r="H3955" s="36">
        <v>0</v>
      </c>
      <c r="I3955" s="37">
        <v>0</v>
      </c>
      <c r="J3955" s="36" t="s">
        <v>36190</v>
      </c>
      <c r="K3955" s="36" t="s">
        <v>14330</v>
      </c>
      <c r="L3955" s="36" t="s">
        <v>14330</v>
      </c>
      <c r="M3955">
        <v>3</v>
      </c>
      <c r="N3955" t="s">
        <v>14331</v>
      </c>
      <c r="O3955" t="s">
        <v>14333</v>
      </c>
    </row>
    <row r="3956" spans="1:15" x14ac:dyDescent="0.25">
      <c r="A3956" s="35" t="s">
        <v>8275</v>
      </c>
      <c r="B3956" s="36" t="s">
        <v>8276</v>
      </c>
      <c r="C3956" s="36" t="str">
        <f>HYPERLINK("https://rhld.insurance.arkansas.gov/NPILookup?Npi=1225072044","1225072044")</f>
        <v>1225072044</v>
      </c>
      <c r="D3956" s="36" t="s">
        <v>36406</v>
      </c>
      <c r="E3956" s="36" t="s">
        <v>2</v>
      </c>
      <c r="F3956" s="36">
        <v>1</v>
      </c>
      <c r="G3956" s="36">
        <v>3</v>
      </c>
      <c r="H3956" s="36">
        <v>0</v>
      </c>
      <c r="I3956" s="37">
        <v>0</v>
      </c>
      <c r="J3956" s="36" t="s">
        <v>36190</v>
      </c>
      <c r="K3956" s="36" t="s">
        <v>14330</v>
      </c>
      <c r="L3956" s="36" t="s">
        <v>14330</v>
      </c>
      <c r="M3956">
        <v>1</v>
      </c>
      <c r="N3956" t="s">
        <v>14331</v>
      </c>
      <c r="O3956" t="s">
        <v>14333</v>
      </c>
    </row>
    <row r="3957" spans="1:15" x14ac:dyDescent="0.25">
      <c r="A3957" s="35" t="s">
        <v>8275</v>
      </c>
      <c r="B3957" s="36" t="s">
        <v>8276</v>
      </c>
      <c r="C3957" s="36" t="str">
        <f>HYPERLINK("https://rhld.insurance.arkansas.gov/NPILookup?Npi=1225253248","1225253248")</f>
        <v>1225253248</v>
      </c>
      <c r="D3957" s="36" t="s">
        <v>36407</v>
      </c>
      <c r="E3957" s="36" t="s">
        <v>1</v>
      </c>
      <c r="F3957" s="36">
        <v>1</v>
      </c>
      <c r="G3957" s="36">
        <v>1</v>
      </c>
      <c r="H3957" s="36">
        <v>0</v>
      </c>
      <c r="I3957" s="37">
        <v>0</v>
      </c>
      <c r="J3957" s="36" t="s">
        <v>32654</v>
      </c>
      <c r="K3957" s="36" t="s">
        <v>14330</v>
      </c>
      <c r="L3957" s="36" t="s">
        <v>14330</v>
      </c>
      <c r="M3957">
        <v>3</v>
      </c>
      <c r="N3957" t="s">
        <v>14331</v>
      </c>
      <c r="O3957" t="s">
        <v>32633</v>
      </c>
    </row>
    <row r="3958" spans="1:15" x14ac:dyDescent="0.25">
      <c r="A3958" s="35" t="s">
        <v>8275</v>
      </c>
      <c r="B3958" s="36" t="s">
        <v>8276</v>
      </c>
      <c r="C3958" s="36" t="str">
        <f>HYPERLINK("https://rhld.insurance.arkansas.gov/NPILookup?Npi=1225373749","1225373749")</f>
        <v>1225373749</v>
      </c>
      <c r="D3958" s="36" t="s">
        <v>36408</v>
      </c>
      <c r="E3958" s="36" t="s">
        <v>2</v>
      </c>
      <c r="F3958" s="36">
        <v>1</v>
      </c>
      <c r="G3958" s="36">
        <v>3</v>
      </c>
      <c r="H3958" s="36">
        <v>0</v>
      </c>
      <c r="I3958" s="37">
        <v>0</v>
      </c>
      <c r="J3958" s="36" t="s">
        <v>36190</v>
      </c>
      <c r="K3958" s="36" t="s">
        <v>14330</v>
      </c>
      <c r="L3958" s="36" t="s">
        <v>14330</v>
      </c>
      <c r="M3958">
        <v>2</v>
      </c>
      <c r="N3958" t="s">
        <v>14331</v>
      </c>
      <c r="O3958" t="s">
        <v>14333</v>
      </c>
    </row>
    <row r="3959" spans="1:15" x14ac:dyDescent="0.25">
      <c r="A3959" s="35" t="s">
        <v>8275</v>
      </c>
      <c r="B3959" s="36" t="s">
        <v>8276</v>
      </c>
      <c r="C3959" s="36" t="str">
        <f>HYPERLINK("https://rhld.insurance.arkansas.gov/NPILookup?Npi=1225490600","1225490600")</f>
        <v>1225490600</v>
      </c>
      <c r="D3959" s="36" t="s">
        <v>36409</v>
      </c>
      <c r="E3959" s="36" t="s">
        <v>2</v>
      </c>
      <c r="F3959" s="36">
        <v>1</v>
      </c>
      <c r="G3959" s="36">
        <v>2</v>
      </c>
      <c r="H3959" s="36">
        <v>0</v>
      </c>
      <c r="I3959" s="37">
        <v>0</v>
      </c>
      <c r="J3959" s="36" t="s">
        <v>36190</v>
      </c>
      <c r="K3959" s="36" t="s">
        <v>14330</v>
      </c>
      <c r="L3959" s="36" t="s">
        <v>14330</v>
      </c>
      <c r="M3959">
        <v>2</v>
      </c>
      <c r="N3959" t="s">
        <v>14331</v>
      </c>
      <c r="O3959" t="s">
        <v>14333</v>
      </c>
    </row>
    <row r="3960" spans="1:15" x14ac:dyDescent="0.25">
      <c r="A3960" s="35" t="s">
        <v>8275</v>
      </c>
      <c r="B3960" s="36" t="s">
        <v>8276</v>
      </c>
      <c r="C3960" s="36" t="str">
        <f>HYPERLINK("https://rhld.insurance.arkansas.gov/NPILookup?Npi=1225659998","1225659998")</f>
        <v>1225659998</v>
      </c>
      <c r="D3960" s="36" t="s">
        <v>36410</v>
      </c>
      <c r="E3960" s="36" t="s">
        <v>2</v>
      </c>
      <c r="F3960" s="36">
        <v>1</v>
      </c>
      <c r="G3960" s="36">
        <v>2</v>
      </c>
      <c r="H3960" s="36">
        <v>0</v>
      </c>
      <c r="I3960" s="37">
        <v>0</v>
      </c>
      <c r="J3960" s="36" t="s">
        <v>36190</v>
      </c>
      <c r="K3960" s="36" t="s">
        <v>14330</v>
      </c>
      <c r="L3960" s="36" t="s">
        <v>14330</v>
      </c>
      <c r="M3960">
        <v>2</v>
      </c>
      <c r="N3960" t="s">
        <v>14331</v>
      </c>
      <c r="O3960" t="s">
        <v>14333</v>
      </c>
    </row>
    <row r="3961" spans="1:15" x14ac:dyDescent="0.25">
      <c r="A3961" s="35" t="s">
        <v>8275</v>
      </c>
      <c r="B3961" s="36" t="s">
        <v>8276</v>
      </c>
      <c r="C3961" s="36" t="str">
        <f>HYPERLINK("https://rhld.insurance.arkansas.gov/NPILookup?Npi=1225699325","1225699325")</f>
        <v>1225699325</v>
      </c>
      <c r="D3961" s="36" t="s">
        <v>35159</v>
      </c>
      <c r="E3961" s="36" t="s">
        <v>2</v>
      </c>
      <c r="F3961" s="36">
        <v>1</v>
      </c>
      <c r="G3961" s="36">
        <v>2</v>
      </c>
      <c r="H3961" s="36">
        <v>0</v>
      </c>
      <c r="I3961" s="37">
        <v>0</v>
      </c>
      <c r="J3961" s="36"/>
      <c r="K3961" s="36" t="s">
        <v>14330</v>
      </c>
      <c r="L3961" s="36" t="s">
        <v>14330</v>
      </c>
      <c r="M3961">
        <v>2</v>
      </c>
      <c r="N3961" t="s">
        <v>14331</v>
      </c>
      <c r="O3961" t="s">
        <v>14333</v>
      </c>
    </row>
    <row r="3962" spans="1:15" x14ac:dyDescent="0.25">
      <c r="A3962" s="35" t="s">
        <v>8275</v>
      </c>
      <c r="B3962" s="36" t="s">
        <v>8276</v>
      </c>
      <c r="C3962" s="36" t="str">
        <f>HYPERLINK("https://rhld.insurance.arkansas.gov/NPILookup?Npi=1235122383","1235122383")</f>
        <v>1235122383</v>
      </c>
      <c r="D3962" s="36" t="s">
        <v>36411</v>
      </c>
      <c r="E3962" s="36" t="s">
        <v>2</v>
      </c>
      <c r="F3962" s="36">
        <v>1</v>
      </c>
      <c r="G3962" s="36">
        <v>2</v>
      </c>
      <c r="H3962" s="36">
        <v>0</v>
      </c>
      <c r="I3962" s="37">
        <v>0</v>
      </c>
      <c r="J3962" s="36" t="s">
        <v>36190</v>
      </c>
      <c r="K3962" s="36" t="s">
        <v>14330</v>
      </c>
      <c r="L3962" s="36" t="s">
        <v>14330</v>
      </c>
      <c r="M3962">
        <v>3</v>
      </c>
      <c r="N3962" t="s">
        <v>14331</v>
      </c>
      <c r="O3962" t="s">
        <v>14333</v>
      </c>
    </row>
    <row r="3963" spans="1:15" x14ac:dyDescent="0.25">
      <c r="A3963" s="35" t="s">
        <v>8275</v>
      </c>
      <c r="B3963" s="36" t="s">
        <v>8276</v>
      </c>
      <c r="C3963" s="36" t="str">
        <f>HYPERLINK("https://rhld.insurance.arkansas.gov/NPILookup?Npi=1235130444","1235130444")</f>
        <v>1235130444</v>
      </c>
      <c r="D3963" s="36" t="s">
        <v>36412</v>
      </c>
      <c r="E3963" s="36" t="s">
        <v>2</v>
      </c>
      <c r="F3963" s="36">
        <v>1</v>
      </c>
      <c r="G3963" s="36">
        <v>3</v>
      </c>
      <c r="H3963" s="36">
        <v>0</v>
      </c>
      <c r="I3963" s="37">
        <v>0</v>
      </c>
      <c r="J3963" s="36" t="s">
        <v>36190</v>
      </c>
      <c r="K3963" s="36" t="s">
        <v>14330</v>
      </c>
      <c r="L3963" s="36" t="s">
        <v>14330</v>
      </c>
      <c r="M3963">
        <v>3</v>
      </c>
      <c r="N3963" t="s">
        <v>14331</v>
      </c>
      <c r="O3963" t="s">
        <v>14333</v>
      </c>
    </row>
    <row r="3964" spans="1:15" x14ac:dyDescent="0.25">
      <c r="A3964" s="35" t="s">
        <v>8275</v>
      </c>
      <c r="B3964" s="36" t="s">
        <v>8276</v>
      </c>
      <c r="C3964" s="36" t="str">
        <f>HYPERLINK("https://rhld.insurance.arkansas.gov/NPILookup?Npi=1235530478","1235530478")</f>
        <v>1235530478</v>
      </c>
      <c r="D3964" s="36" t="s">
        <v>36413</v>
      </c>
      <c r="E3964" s="36" t="s">
        <v>2</v>
      </c>
      <c r="F3964" s="36">
        <v>1</v>
      </c>
      <c r="G3964" s="36">
        <v>3</v>
      </c>
      <c r="H3964" s="36">
        <v>0</v>
      </c>
      <c r="I3964" s="37">
        <v>0</v>
      </c>
      <c r="J3964" s="36" t="s">
        <v>36190</v>
      </c>
      <c r="K3964" s="36" t="s">
        <v>14330</v>
      </c>
      <c r="L3964" s="36" t="s">
        <v>14330</v>
      </c>
      <c r="M3964">
        <v>2</v>
      </c>
      <c r="N3964" t="s">
        <v>14331</v>
      </c>
      <c r="O3964" t="s">
        <v>14333</v>
      </c>
    </row>
    <row r="3965" spans="1:15" x14ac:dyDescent="0.25">
      <c r="A3965" s="35" t="s">
        <v>8275</v>
      </c>
      <c r="B3965" s="36" t="s">
        <v>8276</v>
      </c>
      <c r="C3965" s="36" t="str">
        <f>HYPERLINK("https://rhld.insurance.arkansas.gov/NPILookup?Npi=1235544842","1235544842")</f>
        <v>1235544842</v>
      </c>
      <c r="D3965" s="36" t="s">
        <v>36414</v>
      </c>
      <c r="E3965" s="36" t="s">
        <v>2</v>
      </c>
      <c r="F3965" s="36">
        <v>1</v>
      </c>
      <c r="G3965" s="36">
        <v>2</v>
      </c>
      <c r="H3965" s="36">
        <v>0</v>
      </c>
      <c r="I3965" s="37">
        <v>0</v>
      </c>
      <c r="J3965" s="36"/>
      <c r="K3965" s="36" t="s">
        <v>14330</v>
      </c>
      <c r="L3965" s="36" t="s">
        <v>14330</v>
      </c>
      <c r="M3965">
        <v>3</v>
      </c>
      <c r="N3965" t="s">
        <v>14331</v>
      </c>
      <c r="O3965" t="s">
        <v>14333</v>
      </c>
    </row>
    <row r="3966" spans="1:15" x14ac:dyDescent="0.25">
      <c r="A3966" s="35" t="s">
        <v>8275</v>
      </c>
      <c r="B3966" s="36" t="s">
        <v>8276</v>
      </c>
      <c r="C3966" s="36" t="str">
        <f>HYPERLINK("https://rhld.insurance.arkansas.gov/NPILookup?Npi=1235687773","1235687773")</f>
        <v>1235687773</v>
      </c>
      <c r="D3966" s="36" t="s">
        <v>36415</v>
      </c>
      <c r="E3966" s="36" t="s">
        <v>2</v>
      </c>
      <c r="F3966" s="36">
        <v>1</v>
      </c>
      <c r="G3966" s="36">
        <v>3</v>
      </c>
      <c r="H3966" s="36">
        <v>0</v>
      </c>
      <c r="I3966" s="37">
        <v>0</v>
      </c>
      <c r="J3966" s="36" t="s">
        <v>36190</v>
      </c>
      <c r="K3966" s="36" t="s">
        <v>14330</v>
      </c>
      <c r="L3966" s="36" t="s">
        <v>14330</v>
      </c>
      <c r="M3966">
        <v>3</v>
      </c>
      <c r="N3966" t="s">
        <v>14331</v>
      </c>
      <c r="O3966" t="s">
        <v>14333</v>
      </c>
    </row>
    <row r="3967" spans="1:15" x14ac:dyDescent="0.25">
      <c r="A3967" s="35" t="s">
        <v>8275</v>
      </c>
      <c r="B3967" s="36" t="s">
        <v>8276</v>
      </c>
      <c r="C3967" s="36" t="str">
        <f>HYPERLINK("https://rhld.insurance.arkansas.gov/NPILookup?Npi=1235695768","1235695768")</f>
        <v>1235695768</v>
      </c>
      <c r="D3967" s="36" t="s">
        <v>36416</v>
      </c>
      <c r="E3967" s="36" t="s">
        <v>2</v>
      </c>
      <c r="F3967" s="36">
        <v>1</v>
      </c>
      <c r="G3967" s="36">
        <v>3</v>
      </c>
      <c r="H3967" s="36">
        <v>0</v>
      </c>
      <c r="I3967" s="37">
        <v>0</v>
      </c>
      <c r="J3967" s="36" t="s">
        <v>36190</v>
      </c>
      <c r="K3967" s="36" t="s">
        <v>14330</v>
      </c>
      <c r="L3967" s="36" t="s">
        <v>14330</v>
      </c>
      <c r="M3967">
        <v>2</v>
      </c>
      <c r="N3967" t="s">
        <v>14331</v>
      </c>
      <c r="O3967" t="s">
        <v>14333</v>
      </c>
    </row>
    <row r="3968" spans="1:15" x14ac:dyDescent="0.25">
      <c r="A3968" s="35" t="s">
        <v>8275</v>
      </c>
      <c r="B3968" s="36" t="s">
        <v>8276</v>
      </c>
      <c r="C3968" s="36" t="str">
        <f>HYPERLINK("https://rhld.insurance.arkansas.gov/NPILookup?Npi=1235867177","1235867177")</f>
        <v>1235867177</v>
      </c>
      <c r="D3968" s="36" t="s">
        <v>36417</v>
      </c>
      <c r="E3968" s="36" t="s">
        <v>2</v>
      </c>
      <c r="F3968" s="36">
        <v>1</v>
      </c>
      <c r="G3968" s="36">
        <v>2</v>
      </c>
      <c r="H3968" s="36">
        <v>0</v>
      </c>
      <c r="I3968" s="37">
        <v>0</v>
      </c>
      <c r="J3968" s="36" t="s">
        <v>36190</v>
      </c>
      <c r="K3968" s="36" t="s">
        <v>14330</v>
      </c>
      <c r="L3968" s="36" t="s">
        <v>14330</v>
      </c>
      <c r="M3968">
        <v>3</v>
      </c>
      <c r="N3968" t="s">
        <v>14331</v>
      </c>
      <c r="O3968" t="s">
        <v>14333</v>
      </c>
    </row>
    <row r="3969" spans="1:15" x14ac:dyDescent="0.25">
      <c r="A3969" s="35" t="s">
        <v>8275</v>
      </c>
      <c r="B3969" s="36" t="s">
        <v>8276</v>
      </c>
      <c r="C3969" s="36" t="str">
        <f>HYPERLINK("https://rhld.insurance.arkansas.gov/NPILookup?Npi=1235891417","1235891417")</f>
        <v>1235891417</v>
      </c>
      <c r="D3969" s="36" t="s">
        <v>36418</v>
      </c>
      <c r="E3969" s="36" t="s">
        <v>2</v>
      </c>
      <c r="F3969" s="36">
        <v>1</v>
      </c>
      <c r="G3969" s="36">
        <v>3</v>
      </c>
      <c r="H3969" s="36">
        <v>0</v>
      </c>
      <c r="I3969" s="37">
        <v>0</v>
      </c>
      <c r="J3969" s="36" t="s">
        <v>36190</v>
      </c>
      <c r="K3969" s="36" t="s">
        <v>14330</v>
      </c>
      <c r="L3969" s="36" t="s">
        <v>14330</v>
      </c>
      <c r="M3969">
        <v>2</v>
      </c>
      <c r="N3969" t="s">
        <v>14331</v>
      </c>
      <c r="O3969" t="s">
        <v>14333</v>
      </c>
    </row>
    <row r="3970" spans="1:15" x14ac:dyDescent="0.25">
      <c r="A3970" s="35" t="s">
        <v>8275</v>
      </c>
      <c r="B3970" s="36" t="s">
        <v>8276</v>
      </c>
      <c r="C3970" s="36" t="str">
        <f>HYPERLINK("https://rhld.insurance.arkansas.gov/NPILookup?Npi=1235972969","1235972969")</f>
        <v>1235972969</v>
      </c>
      <c r="D3970" s="36" t="s">
        <v>35172</v>
      </c>
      <c r="E3970" s="36" t="s">
        <v>2</v>
      </c>
      <c r="F3970" s="36">
        <v>1</v>
      </c>
      <c r="G3970" s="36">
        <v>2</v>
      </c>
      <c r="H3970" s="36">
        <v>0</v>
      </c>
      <c r="I3970" s="37">
        <v>0</v>
      </c>
      <c r="J3970" s="36"/>
      <c r="K3970" s="36" t="s">
        <v>14330</v>
      </c>
      <c r="L3970" s="36" t="s">
        <v>14330</v>
      </c>
      <c r="M3970">
        <v>1</v>
      </c>
      <c r="N3970" t="s">
        <v>14331</v>
      </c>
      <c r="O3970" t="s">
        <v>14333</v>
      </c>
    </row>
    <row r="3971" spans="1:15" x14ac:dyDescent="0.25">
      <c r="A3971" s="35" t="s">
        <v>8275</v>
      </c>
      <c r="B3971" s="36" t="s">
        <v>8276</v>
      </c>
      <c r="C3971" s="36" t="str">
        <f>HYPERLINK("https://rhld.insurance.arkansas.gov/NPILookup?Npi=1245053826","1245053826")</f>
        <v>1245053826</v>
      </c>
      <c r="D3971" s="36" t="s">
        <v>35173</v>
      </c>
      <c r="E3971" s="36" t="s">
        <v>2</v>
      </c>
      <c r="F3971" s="36">
        <v>1</v>
      </c>
      <c r="G3971" s="36">
        <v>1</v>
      </c>
      <c r="H3971" s="36">
        <v>0</v>
      </c>
      <c r="I3971" s="37">
        <v>0</v>
      </c>
      <c r="J3971" s="36"/>
      <c r="K3971" s="36" t="s">
        <v>14330</v>
      </c>
      <c r="L3971" s="36" t="s">
        <v>14330</v>
      </c>
      <c r="M3971">
        <v>2</v>
      </c>
      <c r="N3971" t="s">
        <v>14331</v>
      </c>
      <c r="O3971" t="s">
        <v>32633</v>
      </c>
    </row>
    <row r="3972" spans="1:15" x14ac:dyDescent="0.25">
      <c r="A3972" s="35" t="s">
        <v>8275</v>
      </c>
      <c r="B3972" s="36" t="s">
        <v>8276</v>
      </c>
      <c r="C3972" s="36" t="str">
        <f>HYPERLINK("https://rhld.insurance.arkansas.gov/NPILookup?Npi=1245087923","1245087923")</f>
        <v>1245087923</v>
      </c>
      <c r="D3972" s="36" t="s">
        <v>31259</v>
      </c>
      <c r="E3972" s="36" t="s">
        <v>2</v>
      </c>
      <c r="F3972" s="36">
        <v>1</v>
      </c>
      <c r="G3972" s="36">
        <v>2</v>
      </c>
      <c r="H3972" s="36">
        <v>0</v>
      </c>
      <c r="I3972" s="37">
        <v>0</v>
      </c>
      <c r="J3972" s="36" t="s">
        <v>36190</v>
      </c>
      <c r="K3972" s="36" t="s">
        <v>14330</v>
      </c>
      <c r="L3972" s="36" t="s">
        <v>14330</v>
      </c>
      <c r="M3972">
        <v>2</v>
      </c>
      <c r="N3972" t="s">
        <v>14331</v>
      </c>
      <c r="O3972" t="s">
        <v>14333</v>
      </c>
    </row>
    <row r="3973" spans="1:15" x14ac:dyDescent="0.25">
      <c r="A3973" s="35" t="s">
        <v>8275</v>
      </c>
      <c r="B3973" s="36" t="s">
        <v>8276</v>
      </c>
      <c r="C3973" s="36" t="str">
        <f>HYPERLINK("https://rhld.insurance.arkansas.gov/NPILookup?Npi=1245093608","1245093608")</f>
        <v>1245093608</v>
      </c>
      <c r="D3973" s="36" t="s">
        <v>35174</v>
      </c>
      <c r="E3973" s="36" t="s">
        <v>2</v>
      </c>
      <c r="F3973" s="36">
        <v>1</v>
      </c>
      <c r="G3973" s="36">
        <v>2</v>
      </c>
      <c r="H3973" s="36">
        <v>0</v>
      </c>
      <c r="I3973" s="37">
        <v>0</v>
      </c>
      <c r="J3973" s="36"/>
      <c r="K3973" s="36" t="s">
        <v>14330</v>
      </c>
      <c r="L3973" s="36" t="s">
        <v>14330</v>
      </c>
      <c r="M3973">
        <v>3</v>
      </c>
      <c r="N3973" t="s">
        <v>14331</v>
      </c>
      <c r="O3973" t="s">
        <v>14333</v>
      </c>
    </row>
    <row r="3974" spans="1:15" x14ac:dyDescent="0.25">
      <c r="A3974" s="35" t="s">
        <v>8275</v>
      </c>
      <c r="B3974" s="36" t="s">
        <v>8276</v>
      </c>
      <c r="C3974" s="36" t="str">
        <f>HYPERLINK("https://rhld.insurance.arkansas.gov/NPILookup?Npi=1245202654","1245202654")</f>
        <v>1245202654</v>
      </c>
      <c r="D3974" s="36" t="s">
        <v>36419</v>
      </c>
      <c r="E3974" s="36" t="s">
        <v>2</v>
      </c>
      <c r="F3974" s="36">
        <v>1</v>
      </c>
      <c r="G3974" s="36">
        <v>3</v>
      </c>
      <c r="H3974" s="36">
        <v>0</v>
      </c>
      <c r="I3974" s="37">
        <v>0</v>
      </c>
      <c r="J3974" s="36" t="s">
        <v>36190</v>
      </c>
      <c r="K3974" s="36" t="s">
        <v>14330</v>
      </c>
      <c r="L3974" s="36" t="s">
        <v>14330</v>
      </c>
      <c r="M3974">
        <v>3</v>
      </c>
      <c r="N3974" t="s">
        <v>14331</v>
      </c>
      <c r="O3974" t="s">
        <v>14333</v>
      </c>
    </row>
    <row r="3975" spans="1:15" x14ac:dyDescent="0.25">
      <c r="A3975" s="35" t="s">
        <v>8275</v>
      </c>
      <c r="B3975" s="36" t="s">
        <v>8276</v>
      </c>
      <c r="C3975" s="36" t="str">
        <f>HYPERLINK("https://rhld.insurance.arkansas.gov/NPILookup?Npi=1245223866","1245223866")</f>
        <v>1245223866</v>
      </c>
      <c r="D3975" s="36" t="s">
        <v>36420</v>
      </c>
      <c r="E3975" s="36" t="s">
        <v>2</v>
      </c>
      <c r="F3975" s="36">
        <v>1</v>
      </c>
      <c r="G3975" s="36">
        <v>3</v>
      </c>
      <c r="H3975" s="36">
        <v>0</v>
      </c>
      <c r="I3975" s="37">
        <v>0</v>
      </c>
      <c r="J3975" s="36" t="s">
        <v>36190</v>
      </c>
      <c r="K3975" s="36" t="s">
        <v>14330</v>
      </c>
      <c r="L3975" s="36" t="s">
        <v>14330</v>
      </c>
      <c r="M3975">
        <v>2</v>
      </c>
      <c r="N3975" t="s">
        <v>14331</v>
      </c>
      <c r="O3975" t="s">
        <v>14333</v>
      </c>
    </row>
    <row r="3976" spans="1:15" x14ac:dyDescent="0.25">
      <c r="A3976" s="35" t="s">
        <v>8275</v>
      </c>
      <c r="B3976" s="36" t="s">
        <v>8276</v>
      </c>
      <c r="C3976" s="36" t="str">
        <f>HYPERLINK("https://rhld.insurance.arkansas.gov/NPILookup?Npi=1245224229","1245224229")</f>
        <v>1245224229</v>
      </c>
      <c r="D3976" s="36" t="s">
        <v>36421</v>
      </c>
      <c r="E3976" s="36" t="s">
        <v>2</v>
      </c>
      <c r="F3976" s="36">
        <v>1</v>
      </c>
      <c r="G3976" s="36">
        <v>2</v>
      </c>
      <c r="H3976" s="36">
        <v>0</v>
      </c>
      <c r="I3976" s="37">
        <v>0</v>
      </c>
      <c r="J3976" s="36" t="s">
        <v>36190</v>
      </c>
      <c r="K3976" s="36" t="s">
        <v>14330</v>
      </c>
      <c r="L3976" s="36" t="s">
        <v>14330</v>
      </c>
      <c r="M3976">
        <v>3</v>
      </c>
      <c r="N3976" t="s">
        <v>14331</v>
      </c>
      <c r="O3976" t="s">
        <v>14333</v>
      </c>
    </row>
    <row r="3977" spans="1:15" x14ac:dyDescent="0.25">
      <c r="A3977" s="35" t="s">
        <v>8275</v>
      </c>
      <c r="B3977" s="36" t="s">
        <v>8276</v>
      </c>
      <c r="C3977" s="36" t="str">
        <f>HYPERLINK("https://rhld.insurance.arkansas.gov/NPILookup?Npi=1245234061","1245234061")</f>
        <v>1245234061</v>
      </c>
      <c r="D3977" s="36" t="s">
        <v>36422</v>
      </c>
      <c r="E3977" s="36" t="s">
        <v>2</v>
      </c>
      <c r="F3977" s="36">
        <v>1</v>
      </c>
      <c r="G3977" s="36">
        <v>3</v>
      </c>
      <c r="H3977" s="36">
        <v>0</v>
      </c>
      <c r="I3977" s="37">
        <v>0</v>
      </c>
      <c r="J3977" s="36" t="s">
        <v>36190</v>
      </c>
      <c r="K3977" s="36" t="s">
        <v>14330</v>
      </c>
      <c r="L3977" s="36" t="s">
        <v>14330</v>
      </c>
      <c r="M3977">
        <v>3</v>
      </c>
      <c r="N3977" t="s">
        <v>14331</v>
      </c>
      <c r="O3977" t="s">
        <v>14333</v>
      </c>
    </row>
    <row r="3978" spans="1:15" x14ac:dyDescent="0.25">
      <c r="A3978" s="35" t="s">
        <v>8275</v>
      </c>
      <c r="B3978" s="36" t="s">
        <v>8276</v>
      </c>
      <c r="C3978" s="36" t="str">
        <f>HYPERLINK("https://rhld.insurance.arkansas.gov/NPILookup?Npi=1245237528","1245237528")</f>
        <v>1245237528</v>
      </c>
      <c r="D3978" s="36" t="s">
        <v>36423</v>
      </c>
      <c r="E3978" s="36" t="s">
        <v>2</v>
      </c>
      <c r="F3978" s="36">
        <v>1</v>
      </c>
      <c r="G3978" s="36">
        <v>3</v>
      </c>
      <c r="H3978" s="36">
        <v>0</v>
      </c>
      <c r="I3978" s="37">
        <v>0</v>
      </c>
      <c r="J3978" s="36" t="s">
        <v>36190</v>
      </c>
      <c r="K3978" s="36" t="s">
        <v>14330</v>
      </c>
      <c r="L3978" s="36" t="s">
        <v>14330</v>
      </c>
      <c r="M3978">
        <v>3</v>
      </c>
      <c r="N3978" t="s">
        <v>14331</v>
      </c>
      <c r="O3978" t="s">
        <v>14333</v>
      </c>
    </row>
    <row r="3979" spans="1:15" x14ac:dyDescent="0.25">
      <c r="A3979" s="35" t="s">
        <v>8275</v>
      </c>
      <c r="B3979" s="36" t="s">
        <v>8276</v>
      </c>
      <c r="C3979" s="36" t="str">
        <f>HYPERLINK("https://rhld.insurance.arkansas.gov/NPILookup?Npi=1245387091","1245387091")</f>
        <v>1245387091</v>
      </c>
      <c r="D3979" s="36" t="s">
        <v>36424</v>
      </c>
      <c r="E3979" s="36" t="s">
        <v>2</v>
      </c>
      <c r="F3979" s="36">
        <v>1</v>
      </c>
      <c r="G3979" s="36">
        <v>3</v>
      </c>
      <c r="H3979" s="36">
        <v>0</v>
      </c>
      <c r="I3979" s="37">
        <v>0</v>
      </c>
      <c r="J3979" s="36" t="s">
        <v>36190</v>
      </c>
      <c r="K3979" s="36" t="s">
        <v>14330</v>
      </c>
      <c r="L3979" s="36" t="s">
        <v>14330</v>
      </c>
      <c r="M3979">
        <v>2</v>
      </c>
      <c r="N3979" t="s">
        <v>14331</v>
      </c>
      <c r="O3979" t="s">
        <v>14333</v>
      </c>
    </row>
    <row r="3980" spans="1:15" x14ac:dyDescent="0.25">
      <c r="A3980" s="35" t="s">
        <v>8275</v>
      </c>
      <c r="B3980" s="36" t="s">
        <v>8276</v>
      </c>
      <c r="C3980" s="36" t="str">
        <f>HYPERLINK("https://rhld.insurance.arkansas.gov/NPILookup?Npi=1245417013","1245417013")</f>
        <v>1245417013</v>
      </c>
      <c r="D3980" s="36" t="s">
        <v>36425</v>
      </c>
      <c r="E3980" s="36" t="s">
        <v>2</v>
      </c>
      <c r="F3980" s="36">
        <v>1</v>
      </c>
      <c r="G3980" s="36">
        <v>2</v>
      </c>
      <c r="H3980" s="36">
        <v>0</v>
      </c>
      <c r="I3980" s="37">
        <v>0</v>
      </c>
      <c r="J3980" s="36"/>
      <c r="K3980" s="36" t="s">
        <v>14330</v>
      </c>
      <c r="L3980" s="36" t="s">
        <v>14330</v>
      </c>
      <c r="M3980">
        <v>3</v>
      </c>
      <c r="N3980" t="s">
        <v>14331</v>
      </c>
      <c r="O3980" t="s">
        <v>14333</v>
      </c>
    </row>
    <row r="3981" spans="1:15" x14ac:dyDescent="0.25">
      <c r="A3981" s="35" t="s">
        <v>8275</v>
      </c>
      <c r="B3981" s="36" t="s">
        <v>8276</v>
      </c>
      <c r="C3981" s="36" t="str">
        <f>HYPERLINK("https://rhld.insurance.arkansas.gov/NPILookup?Npi=1245559681","1245559681")</f>
        <v>1245559681</v>
      </c>
      <c r="D3981" s="36" t="s">
        <v>36426</v>
      </c>
      <c r="E3981" s="36" t="s">
        <v>2</v>
      </c>
      <c r="F3981" s="36">
        <v>1</v>
      </c>
      <c r="G3981" s="36">
        <v>3</v>
      </c>
      <c r="H3981" s="36">
        <v>0</v>
      </c>
      <c r="I3981" s="37">
        <v>0</v>
      </c>
      <c r="J3981" s="36" t="s">
        <v>36190</v>
      </c>
      <c r="K3981" s="36" t="s">
        <v>14330</v>
      </c>
      <c r="L3981" s="36" t="s">
        <v>14330</v>
      </c>
      <c r="M3981">
        <v>3</v>
      </c>
      <c r="N3981" t="s">
        <v>14331</v>
      </c>
      <c r="O3981" t="s">
        <v>14333</v>
      </c>
    </row>
    <row r="3982" spans="1:15" x14ac:dyDescent="0.25">
      <c r="A3982" s="35" t="s">
        <v>8275</v>
      </c>
      <c r="B3982" s="36" t="s">
        <v>8276</v>
      </c>
      <c r="C3982" s="36" t="str">
        <f>HYPERLINK("https://rhld.insurance.arkansas.gov/NPILookup?Npi=1245699024","1245699024")</f>
        <v>1245699024</v>
      </c>
      <c r="D3982" s="36" t="s">
        <v>36427</v>
      </c>
      <c r="E3982" s="36" t="s">
        <v>2</v>
      </c>
      <c r="F3982" s="36">
        <v>1</v>
      </c>
      <c r="G3982" s="36">
        <v>3</v>
      </c>
      <c r="H3982" s="36">
        <v>0</v>
      </c>
      <c r="I3982" s="37">
        <v>0</v>
      </c>
      <c r="J3982" s="36" t="s">
        <v>36190</v>
      </c>
      <c r="K3982" s="36" t="s">
        <v>14330</v>
      </c>
      <c r="L3982" s="36" t="s">
        <v>14330</v>
      </c>
      <c r="M3982">
        <v>2</v>
      </c>
      <c r="N3982" t="s">
        <v>14331</v>
      </c>
      <c r="O3982" t="s">
        <v>14333</v>
      </c>
    </row>
    <row r="3983" spans="1:15" x14ac:dyDescent="0.25">
      <c r="A3983" s="35" t="s">
        <v>8275</v>
      </c>
      <c r="B3983" s="36" t="s">
        <v>8276</v>
      </c>
      <c r="C3983" s="36" t="str">
        <f>HYPERLINK("https://rhld.insurance.arkansas.gov/NPILookup?Npi=1245799287","1245799287")</f>
        <v>1245799287</v>
      </c>
      <c r="D3983" s="36" t="s">
        <v>35184</v>
      </c>
      <c r="E3983" s="36" t="s">
        <v>2</v>
      </c>
      <c r="F3983" s="36">
        <v>1</v>
      </c>
      <c r="G3983" s="36">
        <v>2</v>
      </c>
      <c r="H3983" s="36">
        <v>0</v>
      </c>
      <c r="I3983" s="37">
        <v>0</v>
      </c>
      <c r="J3983" s="36"/>
      <c r="K3983" s="36" t="s">
        <v>14330</v>
      </c>
      <c r="L3983" s="36" t="s">
        <v>14330</v>
      </c>
      <c r="M3983">
        <v>2</v>
      </c>
      <c r="N3983" t="s">
        <v>14331</v>
      </c>
      <c r="O3983" t="s">
        <v>14333</v>
      </c>
    </row>
    <row r="3984" spans="1:15" x14ac:dyDescent="0.25">
      <c r="A3984" s="35" t="s">
        <v>8275</v>
      </c>
      <c r="B3984" s="36" t="s">
        <v>8276</v>
      </c>
      <c r="C3984" s="36" t="str">
        <f>HYPERLINK("https://rhld.insurance.arkansas.gov/NPILookup?Npi=1245908292","1245908292")</f>
        <v>1245908292</v>
      </c>
      <c r="D3984" s="36" t="s">
        <v>36428</v>
      </c>
      <c r="E3984" s="36" t="s">
        <v>2</v>
      </c>
      <c r="F3984" s="36">
        <v>1</v>
      </c>
      <c r="G3984" s="36">
        <v>2</v>
      </c>
      <c r="H3984" s="36">
        <v>0</v>
      </c>
      <c r="I3984" s="37">
        <v>0</v>
      </c>
      <c r="J3984" s="36" t="s">
        <v>36190</v>
      </c>
      <c r="K3984" s="36" t="s">
        <v>14330</v>
      </c>
      <c r="L3984" s="36" t="s">
        <v>14330</v>
      </c>
      <c r="M3984">
        <v>2</v>
      </c>
      <c r="N3984" t="s">
        <v>14331</v>
      </c>
      <c r="O3984" t="s">
        <v>14333</v>
      </c>
    </row>
    <row r="3985" spans="1:15" x14ac:dyDescent="0.25">
      <c r="A3985" s="35" t="s">
        <v>8275</v>
      </c>
      <c r="B3985" s="36" t="s">
        <v>8276</v>
      </c>
      <c r="C3985" s="36" t="str">
        <f>HYPERLINK("https://rhld.insurance.arkansas.gov/NPILookup?Npi=1255144978","1255144978")</f>
        <v>1255144978</v>
      </c>
      <c r="D3985" s="36" t="s">
        <v>35187</v>
      </c>
      <c r="E3985" s="36" t="s">
        <v>2</v>
      </c>
      <c r="F3985" s="36">
        <v>1</v>
      </c>
      <c r="G3985" s="36">
        <v>2</v>
      </c>
      <c r="H3985" s="36">
        <v>0</v>
      </c>
      <c r="I3985" s="37">
        <v>0</v>
      </c>
      <c r="J3985" s="36"/>
      <c r="K3985" s="36" t="s">
        <v>14330</v>
      </c>
      <c r="L3985" s="36" t="s">
        <v>14330</v>
      </c>
      <c r="M3985">
        <v>2</v>
      </c>
      <c r="N3985" t="s">
        <v>14331</v>
      </c>
      <c r="O3985" t="s">
        <v>14333</v>
      </c>
    </row>
    <row r="3986" spans="1:15" x14ac:dyDescent="0.25">
      <c r="A3986" s="35" t="s">
        <v>8275</v>
      </c>
      <c r="B3986" s="36" t="s">
        <v>8276</v>
      </c>
      <c r="C3986" s="36" t="str">
        <f>HYPERLINK("https://rhld.insurance.arkansas.gov/NPILookup?Npi=1255192084","1255192084")</f>
        <v>1255192084</v>
      </c>
      <c r="D3986" s="36" t="s">
        <v>35188</v>
      </c>
      <c r="E3986" s="36" t="s">
        <v>2</v>
      </c>
      <c r="F3986" s="36">
        <v>1</v>
      </c>
      <c r="G3986" s="36">
        <v>2</v>
      </c>
      <c r="H3986" s="36">
        <v>0</v>
      </c>
      <c r="I3986" s="37">
        <v>0</v>
      </c>
      <c r="J3986" s="36"/>
      <c r="K3986" s="36" t="s">
        <v>14330</v>
      </c>
      <c r="L3986" s="36" t="s">
        <v>14330</v>
      </c>
      <c r="M3986">
        <v>2</v>
      </c>
      <c r="N3986" t="s">
        <v>14331</v>
      </c>
      <c r="O3986" t="s">
        <v>14333</v>
      </c>
    </row>
    <row r="3987" spans="1:15" x14ac:dyDescent="0.25">
      <c r="A3987" s="35" t="s">
        <v>8275</v>
      </c>
      <c r="B3987" s="36" t="s">
        <v>8276</v>
      </c>
      <c r="C3987" s="36" t="str">
        <f>HYPERLINK("https://rhld.insurance.arkansas.gov/NPILookup?Npi=1255411989","1255411989")</f>
        <v>1255411989</v>
      </c>
      <c r="D3987" s="36" t="s">
        <v>36429</v>
      </c>
      <c r="E3987" s="36" t="s">
        <v>2</v>
      </c>
      <c r="F3987" s="36">
        <v>1</v>
      </c>
      <c r="G3987" s="36">
        <v>2</v>
      </c>
      <c r="H3987" s="36">
        <v>0</v>
      </c>
      <c r="I3987" s="37">
        <v>0</v>
      </c>
      <c r="J3987" s="36" t="s">
        <v>36190</v>
      </c>
      <c r="K3987" s="36" t="s">
        <v>14330</v>
      </c>
      <c r="L3987" s="36" t="s">
        <v>14330</v>
      </c>
      <c r="M3987">
        <v>2</v>
      </c>
      <c r="N3987" t="s">
        <v>14331</v>
      </c>
      <c r="O3987" t="s">
        <v>14333</v>
      </c>
    </row>
    <row r="3988" spans="1:15" x14ac:dyDescent="0.25">
      <c r="A3988" s="35" t="s">
        <v>8275</v>
      </c>
      <c r="B3988" s="36" t="s">
        <v>8276</v>
      </c>
      <c r="C3988" s="36" t="str">
        <f>HYPERLINK("https://rhld.insurance.arkansas.gov/NPILookup?Npi=1255657060","1255657060")</f>
        <v>1255657060</v>
      </c>
      <c r="D3988" s="36" t="s">
        <v>36430</v>
      </c>
      <c r="E3988" s="36" t="s">
        <v>2</v>
      </c>
      <c r="F3988" s="36">
        <v>1</v>
      </c>
      <c r="G3988" s="36">
        <v>2</v>
      </c>
      <c r="H3988" s="36">
        <v>0</v>
      </c>
      <c r="I3988" s="37">
        <v>0</v>
      </c>
      <c r="J3988" s="36" t="s">
        <v>36190</v>
      </c>
      <c r="K3988" s="36" t="s">
        <v>14330</v>
      </c>
      <c r="L3988" s="36" t="s">
        <v>14330</v>
      </c>
      <c r="M3988">
        <v>3</v>
      </c>
      <c r="N3988" t="s">
        <v>14331</v>
      </c>
      <c r="O3988" t="s">
        <v>14333</v>
      </c>
    </row>
    <row r="3989" spans="1:15" x14ac:dyDescent="0.25">
      <c r="A3989" s="35" t="s">
        <v>8275</v>
      </c>
      <c r="B3989" s="36" t="s">
        <v>8276</v>
      </c>
      <c r="C3989" s="36" t="str">
        <f>HYPERLINK("https://rhld.insurance.arkansas.gov/NPILookup?Npi=1255688016","1255688016")</f>
        <v>1255688016</v>
      </c>
      <c r="D3989" s="36" t="s">
        <v>36431</v>
      </c>
      <c r="E3989" s="36" t="s">
        <v>2</v>
      </c>
      <c r="F3989" s="36">
        <v>1</v>
      </c>
      <c r="G3989" s="36">
        <v>3</v>
      </c>
      <c r="H3989" s="36">
        <v>0</v>
      </c>
      <c r="I3989" s="37">
        <v>0</v>
      </c>
      <c r="J3989" s="36" t="s">
        <v>36190</v>
      </c>
      <c r="K3989" s="36" t="s">
        <v>14330</v>
      </c>
      <c r="L3989" s="36" t="s">
        <v>14330</v>
      </c>
      <c r="M3989">
        <v>3</v>
      </c>
      <c r="N3989" t="s">
        <v>14331</v>
      </c>
      <c r="O3989" t="s">
        <v>14333</v>
      </c>
    </row>
    <row r="3990" spans="1:15" x14ac:dyDescent="0.25">
      <c r="A3990" s="35" t="s">
        <v>8275</v>
      </c>
      <c r="B3990" s="36" t="s">
        <v>8276</v>
      </c>
      <c r="C3990" s="36" t="str">
        <f>HYPERLINK("https://rhld.insurance.arkansas.gov/NPILookup?Npi=1255782843","1255782843")</f>
        <v>1255782843</v>
      </c>
      <c r="D3990" s="36" t="s">
        <v>36432</v>
      </c>
      <c r="E3990" s="36" t="s">
        <v>2</v>
      </c>
      <c r="F3990" s="36">
        <v>1</v>
      </c>
      <c r="G3990" s="36">
        <v>3</v>
      </c>
      <c r="H3990" s="36">
        <v>0</v>
      </c>
      <c r="I3990" s="37">
        <v>0</v>
      </c>
      <c r="J3990" s="36" t="s">
        <v>36190</v>
      </c>
      <c r="K3990" s="36" t="s">
        <v>14330</v>
      </c>
      <c r="L3990" s="36" t="s">
        <v>14330</v>
      </c>
      <c r="M3990">
        <v>2</v>
      </c>
      <c r="N3990" t="s">
        <v>14331</v>
      </c>
      <c r="O3990" t="s">
        <v>14333</v>
      </c>
    </row>
    <row r="3991" spans="1:15" x14ac:dyDescent="0.25">
      <c r="A3991" s="35" t="s">
        <v>8275</v>
      </c>
      <c r="B3991" s="36" t="s">
        <v>8276</v>
      </c>
      <c r="C3991" s="36" t="str">
        <f>HYPERLINK("https://rhld.insurance.arkansas.gov/NPILookup?Npi=1255813879","1255813879")</f>
        <v>1255813879</v>
      </c>
      <c r="D3991" s="36" t="s">
        <v>36433</v>
      </c>
      <c r="E3991" s="36" t="s">
        <v>2</v>
      </c>
      <c r="F3991" s="36">
        <v>1</v>
      </c>
      <c r="G3991" s="36">
        <v>2</v>
      </c>
      <c r="H3991" s="36">
        <v>0</v>
      </c>
      <c r="I3991" s="37">
        <v>0</v>
      </c>
      <c r="J3991" s="36" t="s">
        <v>36190</v>
      </c>
      <c r="K3991" s="36" t="s">
        <v>14330</v>
      </c>
      <c r="L3991" s="36" t="s">
        <v>14330</v>
      </c>
      <c r="M3991">
        <v>3</v>
      </c>
      <c r="N3991" t="s">
        <v>14331</v>
      </c>
      <c r="O3991" t="s">
        <v>14333</v>
      </c>
    </row>
    <row r="3992" spans="1:15" x14ac:dyDescent="0.25">
      <c r="A3992" s="35" t="s">
        <v>8275</v>
      </c>
      <c r="B3992" s="36" t="s">
        <v>8276</v>
      </c>
      <c r="C3992" s="36" t="str">
        <f>HYPERLINK("https://rhld.insurance.arkansas.gov/NPILookup?Npi=1255837894","1255837894")</f>
        <v>1255837894</v>
      </c>
      <c r="D3992" s="36" t="s">
        <v>36434</v>
      </c>
      <c r="E3992" s="36" t="s">
        <v>2</v>
      </c>
      <c r="F3992" s="36">
        <v>1</v>
      </c>
      <c r="G3992" s="36">
        <v>3</v>
      </c>
      <c r="H3992" s="36">
        <v>0</v>
      </c>
      <c r="I3992" s="37">
        <v>0</v>
      </c>
      <c r="J3992" s="36" t="s">
        <v>36190</v>
      </c>
      <c r="K3992" s="36" t="s">
        <v>14330</v>
      </c>
      <c r="L3992" s="36" t="s">
        <v>14330</v>
      </c>
      <c r="M3992">
        <v>1</v>
      </c>
      <c r="N3992" t="s">
        <v>14331</v>
      </c>
      <c r="O3992" t="s">
        <v>14333</v>
      </c>
    </row>
    <row r="3993" spans="1:15" x14ac:dyDescent="0.25">
      <c r="A3993" s="35" t="s">
        <v>8275</v>
      </c>
      <c r="B3993" s="36" t="s">
        <v>8276</v>
      </c>
      <c r="C3993" s="36" t="str">
        <f>HYPERLINK("https://rhld.insurance.arkansas.gov/NPILookup?Npi=1255969960","1255969960")</f>
        <v>1255969960</v>
      </c>
      <c r="D3993" s="36" t="s">
        <v>36435</v>
      </c>
      <c r="E3993" s="36" t="s">
        <v>2</v>
      </c>
      <c r="F3993" s="36">
        <v>1</v>
      </c>
      <c r="G3993" s="36">
        <v>1</v>
      </c>
      <c r="H3993" s="36">
        <v>0</v>
      </c>
      <c r="I3993" s="37">
        <v>0</v>
      </c>
      <c r="J3993" s="36"/>
      <c r="K3993" s="36" t="s">
        <v>14330</v>
      </c>
      <c r="L3993" s="36" t="s">
        <v>14330</v>
      </c>
      <c r="M3993">
        <v>3</v>
      </c>
      <c r="N3993" t="s">
        <v>14331</v>
      </c>
      <c r="O3993" t="s">
        <v>32633</v>
      </c>
    </row>
    <row r="3994" spans="1:15" x14ac:dyDescent="0.25">
      <c r="A3994" s="35" t="s">
        <v>8275</v>
      </c>
      <c r="B3994" s="36" t="s">
        <v>8276</v>
      </c>
      <c r="C3994" s="36" t="str">
        <f>HYPERLINK("https://rhld.insurance.arkansas.gov/NPILookup?Npi=1265038848","1265038848")</f>
        <v>1265038848</v>
      </c>
      <c r="D3994" s="36" t="s">
        <v>36436</v>
      </c>
      <c r="E3994" s="36" t="s">
        <v>2</v>
      </c>
      <c r="F3994" s="36">
        <v>1</v>
      </c>
      <c r="G3994" s="36">
        <v>3</v>
      </c>
      <c r="H3994" s="36">
        <v>0</v>
      </c>
      <c r="I3994" s="37">
        <v>0</v>
      </c>
      <c r="J3994" s="36" t="s">
        <v>36190</v>
      </c>
      <c r="K3994" s="36" t="s">
        <v>14330</v>
      </c>
      <c r="L3994" s="36" t="s">
        <v>14330</v>
      </c>
      <c r="M3994">
        <v>2</v>
      </c>
      <c r="N3994" t="s">
        <v>14331</v>
      </c>
      <c r="O3994" t="s">
        <v>14333</v>
      </c>
    </row>
    <row r="3995" spans="1:15" x14ac:dyDescent="0.25">
      <c r="A3995" s="35" t="s">
        <v>8275</v>
      </c>
      <c r="B3995" s="36" t="s">
        <v>8276</v>
      </c>
      <c r="C3995" s="36" t="str">
        <f>HYPERLINK("https://rhld.insurance.arkansas.gov/NPILookup?Npi=1265058804","1265058804")</f>
        <v>1265058804</v>
      </c>
      <c r="D3995" s="36" t="s">
        <v>34697</v>
      </c>
      <c r="E3995" s="36" t="s">
        <v>2</v>
      </c>
      <c r="F3995" s="36">
        <v>1</v>
      </c>
      <c r="G3995" s="36">
        <v>2</v>
      </c>
      <c r="H3995" s="36">
        <v>0</v>
      </c>
      <c r="I3995" s="37">
        <v>0</v>
      </c>
      <c r="J3995" s="36"/>
      <c r="K3995" s="36" t="s">
        <v>14330</v>
      </c>
      <c r="L3995" s="36" t="s">
        <v>14330</v>
      </c>
      <c r="M3995">
        <v>3</v>
      </c>
      <c r="N3995" t="s">
        <v>14331</v>
      </c>
      <c r="O3995" t="s">
        <v>14333</v>
      </c>
    </row>
    <row r="3996" spans="1:15" x14ac:dyDescent="0.25">
      <c r="A3996" s="35" t="s">
        <v>8275</v>
      </c>
      <c r="B3996" s="36" t="s">
        <v>8276</v>
      </c>
      <c r="C3996" s="36" t="str">
        <f>HYPERLINK("https://rhld.insurance.arkansas.gov/NPILookup?Npi=1265060479","1265060479")</f>
        <v>1265060479</v>
      </c>
      <c r="D3996" s="36" t="s">
        <v>36437</v>
      </c>
      <c r="E3996" s="36" t="s">
        <v>2</v>
      </c>
      <c r="F3996" s="36">
        <v>1</v>
      </c>
      <c r="G3996" s="36">
        <v>3</v>
      </c>
      <c r="H3996" s="36">
        <v>0</v>
      </c>
      <c r="I3996" s="37">
        <v>0</v>
      </c>
      <c r="J3996" s="36" t="s">
        <v>36190</v>
      </c>
      <c r="K3996" s="36" t="s">
        <v>14330</v>
      </c>
      <c r="L3996" s="36" t="s">
        <v>14330</v>
      </c>
      <c r="M3996">
        <v>1</v>
      </c>
      <c r="N3996" t="s">
        <v>14331</v>
      </c>
      <c r="O3996" t="s">
        <v>14333</v>
      </c>
    </row>
    <row r="3997" spans="1:15" x14ac:dyDescent="0.25">
      <c r="A3997" s="35" t="s">
        <v>8275</v>
      </c>
      <c r="B3997" s="36" t="s">
        <v>8276</v>
      </c>
      <c r="C3997" s="36" t="str">
        <f>HYPERLINK("https://rhld.insurance.arkansas.gov/NPILookup?Npi=1265168702","1265168702")</f>
        <v>1265168702</v>
      </c>
      <c r="D3997" s="36" t="s">
        <v>35202</v>
      </c>
      <c r="E3997" s="36" t="s">
        <v>2</v>
      </c>
      <c r="F3997" s="36">
        <v>1</v>
      </c>
      <c r="G3997" s="36">
        <v>1</v>
      </c>
      <c r="H3997" s="36">
        <v>0</v>
      </c>
      <c r="I3997" s="37">
        <v>0</v>
      </c>
      <c r="J3997" s="36"/>
      <c r="K3997" s="36" t="s">
        <v>14330</v>
      </c>
      <c r="L3997" s="36" t="s">
        <v>14330</v>
      </c>
      <c r="M3997">
        <v>1</v>
      </c>
      <c r="N3997" t="s">
        <v>14331</v>
      </c>
      <c r="O3997" t="s">
        <v>32633</v>
      </c>
    </row>
    <row r="3998" spans="1:15" x14ac:dyDescent="0.25">
      <c r="A3998" s="35" t="s">
        <v>8275</v>
      </c>
      <c r="B3998" s="36" t="s">
        <v>8276</v>
      </c>
      <c r="C3998" s="36" t="str">
        <f>HYPERLINK("https://rhld.insurance.arkansas.gov/NPILookup?Npi=1265255202","1265255202")</f>
        <v>1265255202</v>
      </c>
      <c r="D3998" s="36" t="s">
        <v>35203</v>
      </c>
      <c r="E3998" s="36" t="s">
        <v>2</v>
      </c>
      <c r="F3998" s="36">
        <v>1</v>
      </c>
      <c r="G3998" s="36">
        <v>1</v>
      </c>
      <c r="H3998" s="36">
        <v>0</v>
      </c>
      <c r="I3998" s="37">
        <v>0</v>
      </c>
      <c r="J3998" s="36"/>
      <c r="K3998" s="36" t="s">
        <v>14330</v>
      </c>
      <c r="L3998" s="36" t="s">
        <v>14330</v>
      </c>
      <c r="M3998">
        <v>2</v>
      </c>
      <c r="N3998" t="s">
        <v>14331</v>
      </c>
      <c r="O3998" t="s">
        <v>32633</v>
      </c>
    </row>
    <row r="3999" spans="1:15" x14ac:dyDescent="0.25">
      <c r="A3999" s="35" t="s">
        <v>8275</v>
      </c>
      <c r="B3999" s="36" t="s">
        <v>8276</v>
      </c>
      <c r="C3999" s="36" t="str">
        <f>HYPERLINK("https://rhld.insurance.arkansas.gov/NPILookup?Npi=1265278923","1265278923")</f>
        <v>1265278923</v>
      </c>
      <c r="D3999" s="36" t="s">
        <v>35204</v>
      </c>
      <c r="E3999" s="36" t="s">
        <v>2</v>
      </c>
      <c r="F3999" s="36">
        <v>1</v>
      </c>
      <c r="G3999" s="36">
        <v>2</v>
      </c>
      <c r="H3999" s="36">
        <v>0</v>
      </c>
      <c r="I3999" s="37">
        <v>0</v>
      </c>
      <c r="J3999" s="36"/>
      <c r="K3999" s="36" t="s">
        <v>14330</v>
      </c>
      <c r="L3999" s="36" t="s">
        <v>14330</v>
      </c>
      <c r="M3999">
        <v>3</v>
      </c>
      <c r="N3999" t="s">
        <v>14331</v>
      </c>
      <c r="O3999" t="s">
        <v>14333</v>
      </c>
    </row>
    <row r="4000" spans="1:15" x14ac:dyDescent="0.25">
      <c r="A4000" s="35" t="s">
        <v>8275</v>
      </c>
      <c r="B4000" s="36" t="s">
        <v>8276</v>
      </c>
      <c r="C4000" s="36" t="str">
        <f>HYPERLINK("https://rhld.insurance.arkansas.gov/NPILookup?Npi=1265407936","1265407936")</f>
        <v>1265407936</v>
      </c>
      <c r="D4000" s="36" t="s">
        <v>36438</v>
      </c>
      <c r="E4000" s="36" t="s">
        <v>2</v>
      </c>
      <c r="F4000" s="36">
        <v>1</v>
      </c>
      <c r="G4000" s="36">
        <v>3</v>
      </c>
      <c r="H4000" s="36">
        <v>0</v>
      </c>
      <c r="I4000" s="37">
        <v>0</v>
      </c>
      <c r="J4000" s="36" t="s">
        <v>36190</v>
      </c>
      <c r="K4000" s="36" t="s">
        <v>14330</v>
      </c>
      <c r="L4000" s="36" t="s">
        <v>14330</v>
      </c>
      <c r="M4000">
        <v>2</v>
      </c>
      <c r="N4000" t="s">
        <v>14331</v>
      </c>
      <c r="O4000" t="s">
        <v>14333</v>
      </c>
    </row>
    <row r="4001" spans="1:15" x14ac:dyDescent="0.25">
      <c r="A4001" s="35" t="s">
        <v>8275</v>
      </c>
      <c r="B4001" s="36" t="s">
        <v>8276</v>
      </c>
      <c r="C4001" s="36" t="str">
        <f>HYPERLINK("https://rhld.insurance.arkansas.gov/NPILookup?Npi=1265450654","1265450654")</f>
        <v>1265450654</v>
      </c>
      <c r="D4001" s="36" t="s">
        <v>36439</v>
      </c>
      <c r="E4001" s="36" t="s">
        <v>2</v>
      </c>
      <c r="F4001" s="36">
        <v>1</v>
      </c>
      <c r="G4001" s="36">
        <v>2</v>
      </c>
      <c r="H4001" s="36">
        <v>0</v>
      </c>
      <c r="I4001" s="37">
        <v>0</v>
      </c>
      <c r="J4001" s="36" t="s">
        <v>36190</v>
      </c>
      <c r="K4001" s="36" t="s">
        <v>14330</v>
      </c>
      <c r="L4001" s="36" t="s">
        <v>14330</v>
      </c>
      <c r="M4001">
        <v>3</v>
      </c>
      <c r="N4001" t="s">
        <v>14331</v>
      </c>
      <c r="O4001" t="s">
        <v>14333</v>
      </c>
    </row>
    <row r="4002" spans="1:15" x14ac:dyDescent="0.25">
      <c r="A4002" s="35" t="s">
        <v>8275</v>
      </c>
      <c r="B4002" s="36" t="s">
        <v>8276</v>
      </c>
      <c r="C4002" s="36" t="str">
        <f>HYPERLINK("https://rhld.insurance.arkansas.gov/NPILookup?Npi=1265514368","1265514368")</f>
        <v>1265514368</v>
      </c>
      <c r="D4002" s="36" t="s">
        <v>36440</v>
      </c>
      <c r="E4002" s="36" t="s">
        <v>2</v>
      </c>
      <c r="F4002" s="36">
        <v>1</v>
      </c>
      <c r="G4002" s="36">
        <v>3</v>
      </c>
      <c r="H4002" s="36">
        <v>0</v>
      </c>
      <c r="I4002" s="37">
        <v>0</v>
      </c>
      <c r="J4002" s="36" t="s">
        <v>36190</v>
      </c>
      <c r="K4002" s="36" t="s">
        <v>14330</v>
      </c>
      <c r="L4002" s="36" t="s">
        <v>14330</v>
      </c>
      <c r="M4002">
        <v>3</v>
      </c>
      <c r="N4002" t="s">
        <v>14331</v>
      </c>
      <c r="O4002" t="s">
        <v>14333</v>
      </c>
    </row>
    <row r="4003" spans="1:15" x14ac:dyDescent="0.25">
      <c r="A4003" s="35" t="s">
        <v>8275</v>
      </c>
      <c r="B4003" s="36" t="s">
        <v>8276</v>
      </c>
      <c r="C4003" s="36" t="str">
        <f>HYPERLINK("https://rhld.insurance.arkansas.gov/NPILookup?Npi=1265545875","1265545875")</f>
        <v>1265545875</v>
      </c>
      <c r="D4003" s="36" t="s">
        <v>36441</v>
      </c>
      <c r="E4003" s="36" t="s">
        <v>2</v>
      </c>
      <c r="F4003" s="36">
        <v>1</v>
      </c>
      <c r="G4003" s="36">
        <v>3</v>
      </c>
      <c r="H4003" s="36">
        <v>0</v>
      </c>
      <c r="I4003" s="37">
        <v>0</v>
      </c>
      <c r="J4003" s="36" t="s">
        <v>36190</v>
      </c>
      <c r="K4003" s="36" t="s">
        <v>14330</v>
      </c>
      <c r="L4003" s="36" t="s">
        <v>14330</v>
      </c>
      <c r="M4003">
        <v>2</v>
      </c>
      <c r="N4003" t="s">
        <v>14331</v>
      </c>
      <c r="O4003" t="s">
        <v>14333</v>
      </c>
    </row>
    <row r="4004" spans="1:15" x14ac:dyDescent="0.25">
      <c r="A4004" s="35" t="s">
        <v>8275</v>
      </c>
      <c r="B4004" s="36" t="s">
        <v>8276</v>
      </c>
      <c r="C4004" s="36" t="str">
        <f>HYPERLINK("https://rhld.insurance.arkansas.gov/NPILookup?Npi=1265662092","1265662092")</f>
        <v>1265662092</v>
      </c>
      <c r="D4004" s="36" t="s">
        <v>36442</v>
      </c>
      <c r="E4004" s="36" t="s">
        <v>2</v>
      </c>
      <c r="F4004" s="36">
        <v>1</v>
      </c>
      <c r="G4004" s="36">
        <v>2</v>
      </c>
      <c r="H4004" s="36">
        <v>0</v>
      </c>
      <c r="I4004" s="37">
        <v>0</v>
      </c>
      <c r="J4004" s="36" t="s">
        <v>36190</v>
      </c>
      <c r="K4004" s="36" t="s">
        <v>14330</v>
      </c>
      <c r="L4004" s="36" t="s">
        <v>14330</v>
      </c>
      <c r="M4004">
        <v>1</v>
      </c>
      <c r="N4004" t="s">
        <v>14331</v>
      </c>
      <c r="O4004" t="s">
        <v>14333</v>
      </c>
    </row>
    <row r="4005" spans="1:15" x14ac:dyDescent="0.25">
      <c r="A4005" s="35" t="s">
        <v>8275</v>
      </c>
      <c r="B4005" s="36" t="s">
        <v>8276</v>
      </c>
      <c r="C4005" s="36" t="str">
        <f>HYPERLINK("https://rhld.insurance.arkansas.gov/NPILookup?Npi=1265782601","1265782601")</f>
        <v>1265782601</v>
      </c>
      <c r="D4005" s="36" t="s">
        <v>34253</v>
      </c>
      <c r="E4005" s="36" t="s">
        <v>2</v>
      </c>
      <c r="F4005" s="36">
        <v>1</v>
      </c>
      <c r="G4005" s="36">
        <v>1</v>
      </c>
      <c r="H4005" s="36">
        <v>0</v>
      </c>
      <c r="I4005" s="37">
        <v>0</v>
      </c>
      <c r="J4005" s="36"/>
      <c r="K4005" s="36" t="s">
        <v>14330</v>
      </c>
      <c r="L4005" s="36" t="s">
        <v>14330</v>
      </c>
      <c r="M4005">
        <v>2</v>
      </c>
      <c r="N4005" t="s">
        <v>14331</v>
      </c>
      <c r="O4005" t="s">
        <v>32633</v>
      </c>
    </row>
    <row r="4006" spans="1:15" x14ac:dyDescent="0.25">
      <c r="A4006" s="35" t="s">
        <v>8275</v>
      </c>
      <c r="B4006" s="36" t="s">
        <v>8276</v>
      </c>
      <c r="C4006" s="36" t="str">
        <f>HYPERLINK("https://rhld.insurance.arkansas.gov/NPILookup?Npi=1265822035","1265822035")</f>
        <v>1265822035</v>
      </c>
      <c r="D4006" s="36" t="s">
        <v>35211</v>
      </c>
      <c r="E4006" s="36" t="s">
        <v>2</v>
      </c>
      <c r="F4006" s="36">
        <v>1</v>
      </c>
      <c r="G4006" s="36">
        <v>2</v>
      </c>
      <c r="H4006" s="36">
        <v>0</v>
      </c>
      <c r="I4006" s="37">
        <v>0</v>
      </c>
      <c r="J4006" s="36"/>
      <c r="K4006" s="36" t="s">
        <v>14330</v>
      </c>
      <c r="L4006" s="36" t="s">
        <v>14330</v>
      </c>
      <c r="M4006">
        <v>1</v>
      </c>
      <c r="N4006" t="s">
        <v>14331</v>
      </c>
      <c r="O4006" t="s">
        <v>14333</v>
      </c>
    </row>
    <row r="4007" spans="1:15" x14ac:dyDescent="0.25">
      <c r="A4007" s="35" t="s">
        <v>8275</v>
      </c>
      <c r="B4007" s="36" t="s">
        <v>8276</v>
      </c>
      <c r="C4007" s="36" t="str">
        <f>HYPERLINK("https://rhld.insurance.arkansas.gov/NPILookup?Npi=1265826093","1265826093")</f>
        <v>1265826093</v>
      </c>
      <c r="D4007" s="36" t="s">
        <v>35212</v>
      </c>
      <c r="E4007" s="36" t="s">
        <v>2</v>
      </c>
      <c r="F4007" s="36">
        <v>1</v>
      </c>
      <c r="G4007" s="36">
        <v>1</v>
      </c>
      <c r="H4007" s="36">
        <v>0</v>
      </c>
      <c r="I4007" s="37">
        <v>0</v>
      </c>
      <c r="J4007" s="36"/>
      <c r="K4007" s="36" t="s">
        <v>14330</v>
      </c>
      <c r="L4007" s="36" t="s">
        <v>14330</v>
      </c>
      <c r="M4007">
        <v>3</v>
      </c>
      <c r="N4007" t="s">
        <v>14331</v>
      </c>
      <c r="O4007" t="s">
        <v>32633</v>
      </c>
    </row>
    <row r="4008" spans="1:15" x14ac:dyDescent="0.25">
      <c r="A4008" s="35" t="s">
        <v>8275</v>
      </c>
      <c r="B4008" s="36" t="s">
        <v>8276</v>
      </c>
      <c r="C4008" s="36" t="str">
        <f>HYPERLINK("https://rhld.insurance.arkansas.gov/NPILookup?Npi=1265895981","1265895981")</f>
        <v>1265895981</v>
      </c>
      <c r="D4008" s="36" t="s">
        <v>36443</v>
      </c>
      <c r="E4008" s="36" t="s">
        <v>1</v>
      </c>
      <c r="F4008" s="36">
        <v>1</v>
      </c>
      <c r="G4008" s="36">
        <v>3</v>
      </c>
      <c r="H4008" s="36">
        <v>0</v>
      </c>
      <c r="I4008" s="37">
        <v>0</v>
      </c>
      <c r="J4008" s="36" t="s">
        <v>32654</v>
      </c>
      <c r="K4008" s="36" t="s">
        <v>14330</v>
      </c>
      <c r="L4008" s="36" t="s">
        <v>14330</v>
      </c>
      <c r="M4008">
        <v>2</v>
      </c>
      <c r="N4008" t="s">
        <v>14331</v>
      </c>
      <c r="O4008" t="s">
        <v>32633</v>
      </c>
    </row>
    <row r="4009" spans="1:15" x14ac:dyDescent="0.25">
      <c r="A4009" s="35" t="s">
        <v>8275</v>
      </c>
      <c r="B4009" s="36" t="s">
        <v>8276</v>
      </c>
      <c r="C4009" s="36" t="str">
        <f>HYPERLINK("https://rhld.insurance.arkansas.gov/NPILookup?Npi=1265925358","1265925358")</f>
        <v>1265925358</v>
      </c>
      <c r="D4009" s="36" t="s">
        <v>35214</v>
      </c>
      <c r="E4009" s="36" t="s">
        <v>2</v>
      </c>
      <c r="F4009" s="36">
        <v>1</v>
      </c>
      <c r="G4009" s="36">
        <v>2</v>
      </c>
      <c r="H4009" s="36">
        <v>0</v>
      </c>
      <c r="I4009" s="37">
        <v>0</v>
      </c>
      <c r="J4009" s="36"/>
      <c r="K4009" s="36" t="s">
        <v>14330</v>
      </c>
      <c r="L4009" s="36" t="s">
        <v>14330</v>
      </c>
      <c r="M4009">
        <v>2</v>
      </c>
      <c r="N4009" t="s">
        <v>14331</v>
      </c>
      <c r="O4009" t="s">
        <v>14333</v>
      </c>
    </row>
    <row r="4010" spans="1:15" x14ac:dyDescent="0.25">
      <c r="A4010" s="35" t="s">
        <v>8275</v>
      </c>
      <c r="B4010" s="36" t="s">
        <v>8276</v>
      </c>
      <c r="C4010" s="36" t="str">
        <f>HYPERLINK("https://rhld.insurance.arkansas.gov/NPILookup?Npi=1275041923","1275041923")</f>
        <v>1275041923</v>
      </c>
      <c r="D4010" s="36" t="s">
        <v>36444</v>
      </c>
      <c r="E4010" s="36" t="s">
        <v>2</v>
      </c>
      <c r="F4010" s="36">
        <v>1</v>
      </c>
      <c r="G4010" s="36">
        <v>2</v>
      </c>
      <c r="H4010" s="36">
        <v>0</v>
      </c>
      <c r="I4010" s="37">
        <v>0</v>
      </c>
      <c r="J4010" s="36" t="s">
        <v>36190</v>
      </c>
      <c r="K4010" s="36" t="s">
        <v>14330</v>
      </c>
      <c r="L4010" s="36" t="s">
        <v>14330</v>
      </c>
      <c r="M4010">
        <v>2</v>
      </c>
      <c r="N4010" t="s">
        <v>14331</v>
      </c>
      <c r="O4010" t="s">
        <v>14333</v>
      </c>
    </row>
    <row r="4011" spans="1:15" x14ac:dyDescent="0.25">
      <c r="A4011" s="35" t="s">
        <v>8275</v>
      </c>
      <c r="B4011" s="36" t="s">
        <v>8276</v>
      </c>
      <c r="C4011" s="36" t="str">
        <f>HYPERLINK("https://rhld.insurance.arkansas.gov/NPILookup?Npi=1275086902","1275086902")</f>
        <v>1275086902</v>
      </c>
      <c r="D4011" s="36" t="s">
        <v>36445</v>
      </c>
      <c r="E4011" s="36" t="s">
        <v>2</v>
      </c>
      <c r="F4011" s="36">
        <v>1</v>
      </c>
      <c r="G4011" s="36">
        <v>2</v>
      </c>
      <c r="H4011" s="36">
        <v>0</v>
      </c>
      <c r="I4011" s="37">
        <v>0</v>
      </c>
      <c r="J4011" s="36" t="s">
        <v>36190</v>
      </c>
      <c r="K4011" s="36" t="s">
        <v>14330</v>
      </c>
      <c r="L4011" s="36" t="s">
        <v>14330</v>
      </c>
      <c r="M4011">
        <v>2</v>
      </c>
      <c r="N4011" t="s">
        <v>14331</v>
      </c>
      <c r="O4011" t="s">
        <v>14333</v>
      </c>
    </row>
    <row r="4012" spans="1:15" x14ac:dyDescent="0.25">
      <c r="A4012" s="35" t="s">
        <v>8275</v>
      </c>
      <c r="B4012" s="36" t="s">
        <v>8276</v>
      </c>
      <c r="C4012" s="36" t="str">
        <f>HYPERLINK("https://rhld.insurance.arkansas.gov/NPILookup?Npi=1275624868","1275624868")</f>
        <v>1275624868</v>
      </c>
      <c r="D4012" s="36" t="s">
        <v>36446</v>
      </c>
      <c r="E4012" s="36" t="s">
        <v>2</v>
      </c>
      <c r="F4012" s="36">
        <v>1</v>
      </c>
      <c r="G4012" s="36">
        <v>2</v>
      </c>
      <c r="H4012" s="36">
        <v>0</v>
      </c>
      <c r="I4012" s="37">
        <v>0</v>
      </c>
      <c r="J4012" s="36" t="s">
        <v>36190</v>
      </c>
      <c r="K4012" s="36" t="s">
        <v>14330</v>
      </c>
      <c r="L4012" s="36" t="s">
        <v>14330</v>
      </c>
      <c r="M4012">
        <v>2</v>
      </c>
      <c r="N4012" t="s">
        <v>14331</v>
      </c>
      <c r="O4012" t="s">
        <v>14333</v>
      </c>
    </row>
    <row r="4013" spans="1:15" x14ac:dyDescent="0.25">
      <c r="A4013" s="35" t="s">
        <v>8275</v>
      </c>
      <c r="B4013" s="36" t="s">
        <v>8276</v>
      </c>
      <c r="C4013" s="36" t="str">
        <f>HYPERLINK("https://rhld.insurance.arkansas.gov/NPILookup?Npi=1275628349","1275628349")</f>
        <v>1275628349</v>
      </c>
      <c r="D4013" s="36" t="s">
        <v>36447</v>
      </c>
      <c r="E4013" s="36" t="s">
        <v>2</v>
      </c>
      <c r="F4013" s="36">
        <v>1</v>
      </c>
      <c r="G4013" s="36">
        <v>2</v>
      </c>
      <c r="H4013" s="36">
        <v>0</v>
      </c>
      <c r="I4013" s="37">
        <v>0</v>
      </c>
      <c r="J4013" s="36" t="s">
        <v>36190</v>
      </c>
      <c r="K4013" s="36" t="s">
        <v>14330</v>
      </c>
      <c r="L4013" s="36" t="s">
        <v>14330</v>
      </c>
      <c r="M4013">
        <v>2</v>
      </c>
      <c r="N4013" t="s">
        <v>14331</v>
      </c>
      <c r="O4013" t="s">
        <v>14333</v>
      </c>
    </row>
    <row r="4014" spans="1:15" x14ac:dyDescent="0.25">
      <c r="A4014" s="35" t="s">
        <v>8275</v>
      </c>
      <c r="B4014" s="36" t="s">
        <v>8276</v>
      </c>
      <c r="C4014" s="36" t="str">
        <f>HYPERLINK("https://rhld.insurance.arkansas.gov/NPILookup?Npi=1275780736","1275780736")</f>
        <v>1275780736</v>
      </c>
      <c r="D4014" s="36" t="s">
        <v>36448</v>
      </c>
      <c r="E4014" s="36" t="s">
        <v>2</v>
      </c>
      <c r="F4014" s="36">
        <v>1</v>
      </c>
      <c r="G4014" s="36">
        <v>2</v>
      </c>
      <c r="H4014" s="36">
        <v>0</v>
      </c>
      <c r="I4014" s="37">
        <v>0</v>
      </c>
      <c r="J4014" s="36" t="s">
        <v>36190</v>
      </c>
      <c r="K4014" s="36" t="s">
        <v>14330</v>
      </c>
      <c r="L4014" s="36" t="s">
        <v>14330</v>
      </c>
      <c r="M4014">
        <v>2</v>
      </c>
      <c r="N4014" t="s">
        <v>14331</v>
      </c>
      <c r="O4014" t="s">
        <v>14333</v>
      </c>
    </row>
    <row r="4015" spans="1:15" x14ac:dyDescent="0.25">
      <c r="A4015" s="35" t="s">
        <v>8275</v>
      </c>
      <c r="B4015" s="36" t="s">
        <v>8276</v>
      </c>
      <c r="C4015" s="36" t="str">
        <f>HYPERLINK("https://rhld.insurance.arkansas.gov/NPILookup?Npi=1275868598","1275868598")</f>
        <v>1275868598</v>
      </c>
      <c r="D4015" s="36" t="s">
        <v>36449</v>
      </c>
      <c r="E4015" s="36" t="s">
        <v>2</v>
      </c>
      <c r="F4015" s="36">
        <v>1</v>
      </c>
      <c r="G4015" s="36">
        <v>2</v>
      </c>
      <c r="H4015" s="36">
        <v>0</v>
      </c>
      <c r="I4015" s="37">
        <v>0</v>
      </c>
      <c r="J4015" s="36" t="s">
        <v>32679</v>
      </c>
      <c r="K4015" s="36" t="s">
        <v>14330</v>
      </c>
      <c r="L4015" s="36" t="s">
        <v>14330</v>
      </c>
      <c r="M4015">
        <v>2</v>
      </c>
      <c r="N4015" t="s">
        <v>14331</v>
      </c>
      <c r="O4015" t="s">
        <v>14333</v>
      </c>
    </row>
    <row r="4016" spans="1:15" x14ac:dyDescent="0.25">
      <c r="A4016" s="35" t="s">
        <v>8275</v>
      </c>
      <c r="B4016" s="36" t="s">
        <v>8276</v>
      </c>
      <c r="C4016" s="36" t="str">
        <f>HYPERLINK("https://rhld.insurance.arkansas.gov/NPILookup?Npi=1275936163","1275936163")</f>
        <v>1275936163</v>
      </c>
      <c r="D4016" s="36" t="s">
        <v>36450</v>
      </c>
      <c r="E4016" s="36" t="s">
        <v>2</v>
      </c>
      <c r="F4016" s="36">
        <v>1</v>
      </c>
      <c r="G4016" s="36">
        <v>2</v>
      </c>
      <c r="H4016" s="36">
        <v>0</v>
      </c>
      <c r="I4016" s="37">
        <v>0</v>
      </c>
      <c r="J4016" s="36" t="s">
        <v>36190</v>
      </c>
      <c r="K4016" s="36" t="s">
        <v>14330</v>
      </c>
      <c r="L4016" s="36" t="s">
        <v>14330</v>
      </c>
      <c r="M4016">
        <v>2</v>
      </c>
      <c r="N4016" t="s">
        <v>14331</v>
      </c>
      <c r="O4016" t="s">
        <v>14333</v>
      </c>
    </row>
    <row r="4017" spans="1:15" x14ac:dyDescent="0.25">
      <c r="A4017" s="35" t="s">
        <v>8275</v>
      </c>
      <c r="B4017" s="36" t="s">
        <v>8276</v>
      </c>
      <c r="C4017" s="36" t="str">
        <f>HYPERLINK("https://rhld.insurance.arkansas.gov/NPILookup?Npi=1285019380","1285019380")</f>
        <v>1285019380</v>
      </c>
      <c r="D4017" s="36" t="s">
        <v>36451</v>
      </c>
      <c r="E4017" s="36" t="s">
        <v>2</v>
      </c>
      <c r="F4017" s="36">
        <v>1</v>
      </c>
      <c r="G4017" s="36">
        <v>2</v>
      </c>
      <c r="H4017" s="36">
        <v>0</v>
      </c>
      <c r="I4017" s="37">
        <v>0</v>
      </c>
      <c r="J4017" s="36" t="s">
        <v>36190</v>
      </c>
      <c r="K4017" s="36" t="s">
        <v>14330</v>
      </c>
      <c r="L4017" s="36" t="s">
        <v>14330</v>
      </c>
      <c r="M4017">
        <v>2</v>
      </c>
      <c r="N4017" t="s">
        <v>14331</v>
      </c>
      <c r="O4017" t="s">
        <v>14333</v>
      </c>
    </row>
    <row r="4018" spans="1:15" x14ac:dyDescent="0.25">
      <c r="A4018" s="35" t="s">
        <v>8275</v>
      </c>
      <c r="B4018" s="36" t="s">
        <v>8276</v>
      </c>
      <c r="C4018" s="36" t="str">
        <f>HYPERLINK("https://rhld.insurance.arkansas.gov/NPILookup?Npi=1285025262","1285025262")</f>
        <v>1285025262</v>
      </c>
      <c r="D4018" s="36" t="s">
        <v>36452</v>
      </c>
      <c r="E4018" s="36" t="s">
        <v>2</v>
      </c>
      <c r="F4018" s="36">
        <v>1</v>
      </c>
      <c r="G4018" s="36">
        <v>2</v>
      </c>
      <c r="H4018" s="36">
        <v>0</v>
      </c>
      <c r="I4018" s="37">
        <v>0</v>
      </c>
      <c r="J4018" s="36" t="s">
        <v>36190</v>
      </c>
      <c r="K4018" s="36" t="s">
        <v>14330</v>
      </c>
      <c r="L4018" s="36" t="s">
        <v>14330</v>
      </c>
      <c r="M4018">
        <v>2</v>
      </c>
      <c r="N4018" t="s">
        <v>14331</v>
      </c>
      <c r="O4018" t="s">
        <v>14333</v>
      </c>
    </row>
    <row r="4019" spans="1:15" x14ac:dyDescent="0.25">
      <c r="A4019" s="35" t="s">
        <v>8275</v>
      </c>
      <c r="B4019" s="36" t="s">
        <v>8276</v>
      </c>
      <c r="C4019" s="36" t="str">
        <f>HYPERLINK("https://rhld.insurance.arkansas.gov/NPILookup?Npi=1285099440","1285099440")</f>
        <v>1285099440</v>
      </c>
      <c r="D4019" s="36" t="s">
        <v>35228</v>
      </c>
      <c r="E4019" s="36" t="s">
        <v>2</v>
      </c>
      <c r="F4019" s="36">
        <v>1</v>
      </c>
      <c r="G4019" s="36">
        <v>2</v>
      </c>
      <c r="H4019" s="36">
        <v>0</v>
      </c>
      <c r="I4019" s="37">
        <v>0</v>
      </c>
      <c r="J4019" s="36"/>
      <c r="K4019" s="36" t="s">
        <v>14330</v>
      </c>
      <c r="L4019" s="36" t="s">
        <v>14330</v>
      </c>
      <c r="M4019">
        <v>3</v>
      </c>
      <c r="N4019" t="s">
        <v>14331</v>
      </c>
      <c r="O4019" t="s">
        <v>14333</v>
      </c>
    </row>
    <row r="4020" spans="1:15" x14ac:dyDescent="0.25">
      <c r="A4020" s="35" t="s">
        <v>8275</v>
      </c>
      <c r="B4020" s="36" t="s">
        <v>8276</v>
      </c>
      <c r="C4020" s="36" t="str">
        <f>HYPERLINK("https://rhld.insurance.arkansas.gov/NPILookup?Npi=1285171876","1285171876")</f>
        <v>1285171876</v>
      </c>
      <c r="D4020" s="36" t="s">
        <v>34259</v>
      </c>
      <c r="E4020" s="36" t="s">
        <v>2</v>
      </c>
      <c r="F4020" s="36">
        <v>1</v>
      </c>
      <c r="G4020" s="36">
        <v>3</v>
      </c>
      <c r="H4020" s="36">
        <v>0</v>
      </c>
      <c r="I4020" s="37">
        <v>0</v>
      </c>
      <c r="J4020" s="36" t="s">
        <v>36190</v>
      </c>
      <c r="K4020" s="36" t="s">
        <v>14330</v>
      </c>
      <c r="L4020" s="36" t="s">
        <v>14330</v>
      </c>
      <c r="M4020">
        <v>2</v>
      </c>
      <c r="N4020" t="s">
        <v>14331</v>
      </c>
      <c r="O4020" t="s">
        <v>14333</v>
      </c>
    </row>
    <row r="4021" spans="1:15" x14ac:dyDescent="0.25">
      <c r="A4021" s="35" t="s">
        <v>8275</v>
      </c>
      <c r="B4021" s="36" t="s">
        <v>8276</v>
      </c>
      <c r="C4021" s="36" t="str">
        <f>HYPERLINK("https://rhld.insurance.arkansas.gov/NPILookup?Npi=1285214346","1285214346")</f>
        <v>1285214346</v>
      </c>
      <c r="D4021" s="36" t="s">
        <v>33087</v>
      </c>
      <c r="E4021" s="36" t="s">
        <v>2</v>
      </c>
      <c r="F4021" s="36">
        <v>1</v>
      </c>
      <c r="G4021" s="36">
        <v>2</v>
      </c>
      <c r="H4021" s="36">
        <v>0</v>
      </c>
      <c r="I4021" s="37">
        <v>0</v>
      </c>
      <c r="J4021" s="36"/>
      <c r="K4021" s="36" t="s">
        <v>14330</v>
      </c>
      <c r="L4021" s="36" t="s">
        <v>14330</v>
      </c>
      <c r="M4021">
        <v>3</v>
      </c>
      <c r="N4021" t="s">
        <v>14331</v>
      </c>
      <c r="O4021" t="s">
        <v>14333</v>
      </c>
    </row>
    <row r="4022" spans="1:15" x14ac:dyDescent="0.25">
      <c r="A4022" s="35" t="s">
        <v>8275</v>
      </c>
      <c r="B4022" s="36" t="s">
        <v>8276</v>
      </c>
      <c r="C4022" s="36" t="str">
        <f>HYPERLINK("https://rhld.insurance.arkansas.gov/NPILookup?Npi=1285235937","1285235937")</f>
        <v>1285235937</v>
      </c>
      <c r="D4022" s="36" t="s">
        <v>36453</v>
      </c>
      <c r="E4022" s="36" t="s">
        <v>2</v>
      </c>
      <c r="F4022" s="36">
        <v>1</v>
      </c>
      <c r="G4022" s="36">
        <v>3</v>
      </c>
      <c r="H4022" s="36">
        <v>0</v>
      </c>
      <c r="I4022" s="37">
        <v>0</v>
      </c>
      <c r="J4022" s="36" t="s">
        <v>36190</v>
      </c>
      <c r="K4022" s="36" t="s">
        <v>14330</v>
      </c>
      <c r="L4022" s="36" t="s">
        <v>14330</v>
      </c>
      <c r="M4022">
        <v>2</v>
      </c>
      <c r="N4022" t="s">
        <v>14331</v>
      </c>
      <c r="O4022" t="s">
        <v>14333</v>
      </c>
    </row>
    <row r="4023" spans="1:15" x14ac:dyDescent="0.25">
      <c r="A4023" s="35" t="s">
        <v>8275</v>
      </c>
      <c r="B4023" s="36" t="s">
        <v>8276</v>
      </c>
      <c r="C4023" s="36" t="str">
        <f>HYPERLINK("https://rhld.insurance.arkansas.gov/NPILookup?Npi=1285697839","1285697839")</f>
        <v>1285697839</v>
      </c>
      <c r="D4023" s="36" t="s">
        <v>36454</v>
      </c>
      <c r="E4023" s="36" t="s">
        <v>2</v>
      </c>
      <c r="F4023" s="36">
        <v>1</v>
      </c>
      <c r="G4023" s="36">
        <v>2</v>
      </c>
      <c r="H4023" s="36">
        <v>0</v>
      </c>
      <c r="I4023" s="37">
        <v>0</v>
      </c>
      <c r="J4023" s="36" t="s">
        <v>36190</v>
      </c>
      <c r="K4023" s="36" t="s">
        <v>14330</v>
      </c>
      <c r="L4023" s="36" t="s">
        <v>14330</v>
      </c>
      <c r="M4023">
        <v>3</v>
      </c>
      <c r="N4023" t="s">
        <v>14331</v>
      </c>
      <c r="O4023" t="s">
        <v>14333</v>
      </c>
    </row>
    <row r="4024" spans="1:15" x14ac:dyDescent="0.25">
      <c r="A4024" s="35" t="s">
        <v>8275</v>
      </c>
      <c r="B4024" s="36" t="s">
        <v>8276</v>
      </c>
      <c r="C4024" s="36" t="str">
        <f>HYPERLINK("https://rhld.insurance.arkansas.gov/NPILookup?Npi=1285780809","1285780809")</f>
        <v>1285780809</v>
      </c>
      <c r="D4024" s="36" t="s">
        <v>36455</v>
      </c>
      <c r="E4024" s="36" t="s">
        <v>2</v>
      </c>
      <c r="F4024" s="36">
        <v>1</v>
      </c>
      <c r="G4024" s="36">
        <v>3</v>
      </c>
      <c r="H4024" s="36">
        <v>0</v>
      </c>
      <c r="I4024" s="37">
        <v>0</v>
      </c>
      <c r="J4024" s="36" t="s">
        <v>36190</v>
      </c>
      <c r="K4024" s="36" t="s">
        <v>14330</v>
      </c>
      <c r="L4024" s="36" t="s">
        <v>14330</v>
      </c>
      <c r="M4024">
        <v>3</v>
      </c>
      <c r="N4024" t="s">
        <v>14331</v>
      </c>
      <c r="O4024" t="s">
        <v>14333</v>
      </c>
    </row>
    <row r="4025" spans="1:15" x14ac:dyDescent="0.25">
      <c r="A4025" s="35" t="s">
        <v>8275</v>
      </c>
      <c r="B4025" s="36" t="s">
        <v>8276</v>
      </c>
      <c r="C4025" s="36" t="str">
        <f>HYPERLINK("https://rhld.insurance.arkansas.gov/NPILookup?Npi=1285805358","1285805358")</f>
        <v>1285805358</v>
      </c>
      <c r="D4025" s="36" t="s">
        <v>36456</v>
      </c>
      <c r="E4025" s="36" t="s">
        <v>2</v>
      </c>
      <c r="F4025" s="36">
        <v>1</v>
      </c>
      <c r="G4025" s="36">
        <v>3</v>
      </c>
      <c r="H4025" s="36">
        <v>0</v>
      </c>
      <c r="I4025" s="37">
        <v>0</v>
      </c>
      <c r="J4025" s="36" t="s">
        <v>36190</v>
      </c>
      <c r="K4025" s="36" t="s">
        <v>14330</v>
      </c>
      <c r="L4025" s="36" t="s">
        <v>14330</v>
      </c>
      <c r="M4025">
        <v>3</v>
      </c>
      <c r="N4025" t="s">
        <v>14331</v>
      </c>
      <c r="O4025" t="s">
        <v>14333</v>
      </c>
    </row>
    <row r="4026" spans="1:15" x14ac:dyDescent="0.25">
      <c r="A4026" s="35" t="s">
        <v>8275</v>
      </c>
      <c r="B4026" s="36" t="s">
        <v>8276</v>
      </c>
      <c r="C4026" s="36" t="str">
        <f>HYPERLINK("https://rhld.insurance.arkansas.gov/NPILookup?Npi=1295115236","1295115236")</f>
        <v>1295115236</v>
      </c>
      <c r="D4026" s="36" t="s">
        <v>36457</v>
      </c>
      <c r="E4026" s="36" t="s">
        <v>2</v>
      </c>
      <c r="F4026" s="36">
        <v>1</v>
      </c>
      <c r="G4026" s="36">
        <v>3</v>
      </c>
      <c r="H4026" s="36">
        <v>0</v>
      </c>
      <c r="I4026" s="37">
        <v>0</v>
      </c>
      <c r="J4026" s="36" t="s">
        <v>36190</v>
      </c>
      <c r="K4026" s="36" t="s">
        <v>14330</v>
      </c>
      <c r="L4026" s="36" t="s">
        <v>14330</v>
      </c>
      <c r="M4026">
        <v>0</v>
      </c>
      <c r="N4026" t="s">
        <v>14331</v>
      </c>
      <c r="O4026" t="s">
        <v>14333</v>
      </c>
    </row>
    <row r="4027" spans="1:15" x14ac:dyDescent="0.25">
      <c r="A4027" s="35" t="s">
        <v>8275</v>
      </c>
      <c r="B4027" s="36" t="s">
        <v>8276</v>
      </c>
      <c r="C4027" s="36" t="str">
        <f>HYPERLINK("https://rhld.insurance.arkansas.gov/NPILookup?Npi=1295198836","1295198836")</f>
        <v>1295198836</v>
      </c>
      <c r="D4027" s="36" t="s">
        <v>36458</v>
      </c>
      <c r="E4027" s="36" t="s">
        <v>1</v>
      </c>
      <c r="F4027" s="36">
        <v>1</v>
      </c>
      <c r="G4027" s="36">
        <v>1</v>
      </c>
      <c r="H4027" s="36">
        <v>1</v>
      </c>
      <c r="I4027" s="37">
        <v>0</v>
      </c>
      <c r="J4027" s="36" t="s">
        <v>32654</v>
      </c>
      <c r="K4027" s="36" t="s">
        <v>14330</v>
      </c>
      <c r="L4027" s="36" t="s">
        <v>36271</v>
      </c>
      <c r="M4027">
        <v>3</v>
      </c>
      <c r="N4027" t="s">
        <v>14332</v>
      </c>
      <c r="O4027" t="s">
        <v>32591</v>
      </c>
    </row>
    <row r="4028" spans="1:15" x14ac:dyDescent="0.25">
      <c r="A4028" s="35" t="s">
        <v>8275</v>
      </c>
      <c r="B4028" s="36" t="s">
        <v>8276</v>
      </c>
      <c r="C4028" s="36" t="str">
        <f>HYPERLINK("https://rhld.insurance.arkansas.gov/NPILookup?Npi=1295346260","1295346260")</f>
        <v>1295346260</v>
      </c>
      <c r="D4028" s="36" t="s">
        <v>36459</v>
      </c>
      <c r="E4028" s="36" t="s">
        <v>2</v>
      </c>
      <c r="F4028" s="36">
        <v>1</v>
      </c>
      <c r="G4028" s="36">
        <v>3</v>
      </c>
      <c r="H4028" s="36">
        <v>0</v>
      </c>
      <c r="I4028" s="37">
        <v>0</v>
      </c>
      <c r="J4028" s="36" t="s">
        <v>36190</v>
      </c>
      <c r="K4028" s="36" t="s">
        <v>14330</v>
      </c>
      <c r="L4028" s="36" t="s">
        <v>14330</v>
      </c>
      <c r="M4028">
        <v>2</v>
      </c>
      <c r="N4028" t="s">
        <v>14331</v>
      </c>
      <c r="O4028" t="s">
        <v>14333</v>
      </c>
    </row>
    <row r="4029" spans="1:15" x14ac:dyDescent="0.25">
      <c r="A4029" s="35" t="s">
        <v>8275</v>
      </c>
      <c r="B4029" s="36" t="s">
        <v>8276</v>
      </c>
      <c r="C4029" s="36" t="str">
        <f>HYPERLINK("https://rhld.insurance.arkansas.gov/NPILookup?Npi=1295364263","1295364263")</f>
        <v>1295364263</v>
      </c>
      <c r="D4029" s="36" t="s">
        <v>36460</v>
      </c>
      <c r="E4029" s="36" t="s">
        <v>2</v>
      </c>
      <c r="F4029" s="36">
        <v>1</v>
      </c>
      <c r="G4029" s="36">
        <v>2</v>
      </c>
      <c r="H4029" s="36">
        <v>0</v>
      </c>
      <c r="I4029" s="37">
        <v>0</v>
      </c>
      <c r="J4029" s="36" t="s">
        <v>36190</v>
      </c>
      <c r="K4029" s="36" t="s">
        <v>14330</v>
      </c>
      <c r="L4029" s="36" t="s">
        <v>14330</v>
      </c>
      <c r="M4029">
        <v>3</v>
      </c>
      <c r="N4029" t="s">
        <v>14331</v>
      </c>
      <c r="O4029" t="s">
        <v>14333</v>
      </c>
    </row>
    <row r="4030" spans="1:15" x14ac:dyDescent="0.25">
      <c r="A4030" s="35" t="s">
        <v>8275</v>
      </c>
      <c r="B4030" s="36" t="s">
        <v>8276</v>
      </c>
      <c r="C4030" s="36" t="str">
        <f>HYPERLINK("https://rhld.insurance.arkansas.gov/NPILookup?Npi=1295372233","1295372233")</f>
        <v>1295372233</v>
      </c>
      <c r="D4030" s="36" t="s">
        <v>36461</v>
      </c>
      <c r="E4030" s="36" t="s">
        <v>2</v>
      </c>
      <c r="F4030" s="36">
        <v>1</v>
      </c>
      <c r="G4030" s="36">
        <v>3</v>
      </c>
      <c r="H4030" s="36">
        <v>0</v>
      </c>
      <c r="I4030" s="37">
        <v>0</v>
      </c>
      <c r="J4030" s="36" t="s">
        <v>36190</v>
      </c>
      <c r="K4030" s="36" t="s">
        <v>14330</v>
      </c>
      <c r="L4030" s="36" t="s">
        <v>14330</v>
      </c>
      <c r="M4030">
        <v>2</v>
      </c>
      <c r="N4030" t="s">
        <v>14331</v>
      </c>
      <c r="O4030" t="s">
        <v>14333</v>
      </c>
    </row>
    <row r="4031" spans="1:15" x14ac:dyDescent="0.25">
      <c r="A4031" s="35" t="s">
        <v>8275</v>
      </c>
      <c r="B4031" s="36" t="s">
        <v>8276</v>
      </c>
      <c r="C4031" s="36" t="str">
        <f>HYPERLINK("https://rhld.insurance.arkansas.gov/NPILookup?Npi=1295535623","1295535623")</f>
        <v>1295535623</v>
      </c>
      <c r="D4031" s="36" t="s">
        <v>35244</v>
      </c>
      <c r="E4031" s="36" t="s">
        <v>2</v>
      </c>
      <c r="F4031" s="36">
        <v>1</v>
      </c>
      <c r="G4031" s="36">
        <v>2</v>
      </c>
      <c r="H4031" s="36">
        <v>0</v>
      </c>
      <c r="I4031" s="37">
        <v>0</v>
      </c>
      <c r="J4031" s="36"/>
      <c r="K4031" s="36" t="s">
        <v>14330</v>
      </c>
      <c r="L4031" s="36" t="s">
        <v>14330</v>
      </c>
      <c r="M4031">
        <v>2</v>
      </c>
      <c r="N4031" t="s">
        <v>14331</v>
      </c>
      <c r="O4031" t="s">
        <v>14333</v>
      </c>
    </row>
    <row r="4032" spans="1:15" x14ac:dyDescent="0.25">
      <c r="A4032" s="35" t="s">
        <v>8275</v>
      </c>
      <c r="B4032" s="36" t="s">
        <v>8276</v>
      </c>
      <c r="C4032" s="36" t="str">
        <f>HYPERLINK("https://rhld.insurance.arkansas.gov/NPILookup?Npi=1295538247","1295538247")</f>
        <v>1295538247</v>
      </c>
      <c r="D4032" s="36" t="s">
        <v>34703</v>
      </c>
      <c r="E4032" s="36" t="s">
        <v>2</v>
      </c>
      <c r="F4032" s="36">
        <v>1</v>
      </c>
      <c r="G4032" s="36">
        <v>2</v>
      </c>
      <c r="H4032" s="36">
        <v>0</v>
      </c>
      <c r="I4032" s="37">
        <v>0</v>
      </c>
      <c r="J4032" s="36"/>
      <c r="K4032" s="36" t="s">
        <v>14330</v>
      </c>
      <c r="L4032" s="36" t="s">
        <v>14330</v>
      </c>
      <c r="M4032">
        <v>3</v>
      </c>
      <c r="N4032" t="s">
        <v>14331</v>
      </c>
      <c r="O4032" t="s">
        <v>14333</v>
      </c>
    </row>
    <row r="4033" spans="1:15" x14ac:dyDescent="0.25">
      <c r="A4033" s="35" t="s">
        <v>8275</v>
      </c>
      <c r="B4033" s="36" t="s">
        <v>8276</v>
      </c>
      <c r="C4033" s="36" t="str">
        <f>HYPERLINK("https://rhld.insurance.arkansas.gov/NPILookup?Npi=1295727477","1295727477")</f>
        <v>1295727477</v>
      </c>
      <c r="D4033" s="36" t="s">
        <v>36462</v>
      </c>
      <c r="E4033" s="36" t="s">
        <v>2</v>
      </c>
      <c r="F4033" s="36">
        <v>1</v>
      </c>
      <c r="G4033" s="36">
        <v>3</v>
      </c>
      <c r="H4033" s="36">
        <v>0</v>
      </c>
      <c r="I4033" s="37">
        <v>0</v>
      </c>
      <c r="J4033" s="36" t="s">
        <v>36190</v>
      </c>
      <c r="K4033" s="36" t="s">
        <v>14330</v>
      </c>
      <c r="L4033" s="36" t="s">
        <v>14330</v>
      </c>
      <c r="M4033">
        <v>2</v>
      </c>
      <c r="N4033" t="s">
        <v>14331</v>
      </c>
      <c r="O4033" t="s">
        <v>14333</v>
      </c>
    </row>
    <row r="4034" spans="1:15" x14ac:dyDescent="0.25">
      <c r="A4034" s="35" t="s">
        <v>8275</v>
      </c>
      <c r="B4034" s="36" t="s">
        <v>8276</v>
      </c>
      <c r="C4034" s="36" t="str">
        <f>HYPERLINK("https://rhld.insurance.arkansas.gov/NPILookup?Npi=1295759629","1295759629")</f>
        <v>1295759629</v>
      </c>
      <c r="D4034" s="36" t="s">
        <v>36463</v>
      </c>
      <c r="E4034" s="36" t="s">
        <v>2</v>
      </c>
      <c r="F4034" s="36">
        <v>1</v>
      </c>
      <c r="G4034" s="36">
        <v>2</v>
      </c>
      <c r="H4034" s="36">
        <v>0</v>
      </c>
      <c r="I4034" s="37">
        <v>0</v>
      </c>
      <c r="J4034" s="36" t="s">
        <v>36190</v>
      </c>
      <c r="K4034" s="36" t="s">
        <v>14330</v>
      </c>
      <c r="L4034" s="36" t="s">
        <v>14330</v>
      </c>
      <c r="M4034">
        <v>3</v>
      </c>
      <c r="N4034" t="s">
        <v>14331</v>
      </c>
      <c r="O4034" t="s">
        <v>14333</v>
      </c>
    </row>
    <row r="4035" spans="1:15" x14ac:dyDescent="0.25">
      <c r="A4035" s="35" t="s">
        <v>8275</v>
      </c>
      <c r="B4035" s="36" t="s">
        <v>8276</v>
      </c>
      <c r="C4035" s="36" t="str">
        <f>HYPERLINK("https://rhld.insurance.arkansas.gov/NPILookup?Npi=1306018478","1306018478")</f>
        <v>1306018478</v>
      </c>
      <c r="D4035" s="36" t="s">
        <v>36464</v>
      </c>
      <c r="E4035" s="36" t="s">
        <v>2</v>
      </c>
      <c r="F4035" s="36">
        <v>1</v>
      </c>
      <c r="G4035" s="36">
        <v>3</v>
      </c>
      <c r="H4035" s="36">
        <v>0</v>
      </c>
      <c r="I4035" s="37">
        <v>0</v>
      </c>
      <c r="J4035" s="36" t="s">
        <v>36190</v>
      </c>
      <c r="K4035" s="36" t="s">
        <v>14330</v>
      </c>
      <c r="L4035" s="36" t="s">
        <v>14330</v>
      </c>
      <c r="M4035">
        <v>3</v>
      </c>
      <c r="N4035" t="s">
        <v>14331</v>
      </c>
      <c r="O4035" t="s">
        <v>14333</v>
      </c>
    </row>
    <row r="4036" spans="1:15" x14ac:dyDescent="0.25">
      <c r="A4036" s="35" t="s">
        <v>8275</v>
      </c>
      <c r="B4036" s="36" t="s">
        <v>8276</v>
      </c>
      <c r="C4036" s="36" t="str">
        <f>HYPERLINK("https://rhld.insurance.arkansas.gov/NPILookup?Npi=1306109228","1306109228")</f>
        <v>1306109228</v>
      </c>
      <c r="D4036" s="36" t="s">
        <v>36465</v>
      </c>
      <c r="E4036" s="36" t="s">
        <v>2</v>
      </c>
      <c r="F4036" s="36">
        <v>1</v>
      </c>
      <c r="G4036" s="36">
        <v>3</v>
      </c>
      <c r="H4036" s="36">
        <v>0</v>
      </c>
      <c r="I4036" s="37">
        <v>0</v>
      </c>
      <c r="J4036" s="36" t="s">
        <v>36190</v>
      </c>
      <c r="K4036" s="36" t="s">
        <v>14330</v>
      </c>
      <c r="L4036" s="36" t="s">
        <v>14330</v>
      </c>
      <c r="M4036">
        <v>1</v>
      </c>
      <c r="N4036" t="s">
        <v>14331</v>
      </c>
      <c r="O4036" t="s">
        <v>14333</v>
      </c>
    </row>
    <row r="4037" spans="1:15" x14ac:dyDescent="0.25">
      <c r="A4037" s="35" t="s">
        <v>8275</v>
      </c>
      <c r="B4037" s="36" t="s">
        <v>8276</v>
      </c>
      <c r="C4037" s="36" t="str">
        <f>HYPERLINK("https://rhld.insurance.arkansas.gov/NPILookup?Npi=1306249396","1306249396")</f>
        <v>1306249396</v>
      </c>
      <c r="D4037" s="36" t="s">
        <v>36466</v>
      </c>
      <c r="E4037" s="36" t="s">
        <v>2</v>
      </c>
      <c r="F4037" s="36">
        <v>1</v>
      </c>
      <c r="G4037" s="36">
        <v>1</v>
      </c>
      <c r="H4037" s="36">
        <v>0</v>
      </c>
      <c r="I4037" s="37">
        <v>0</v>
      </c>
      <c r="J4037" s="36" t="s">
        <v>32679</v>
      </c>
      <c r="K4037" s="36" t="s">
        <v>14330</v>
      </c>
      <c r="L4037" s="36" t="s">
        <v>14330</v>
      </c>
      <c r="M4037">
        <v>2</v>
      </c>
      <c r="N4037" t="s">
        <v>14331</v>
      </c>
      <c r="O4037" t="s">
        <v>32633</v>
      </c>
    </row>
    <row r="4038" spans="1:15" x14ac:dyDescent="0.25">
      <c r="A4038" s="35" t="s">
        <v>8275</v>
      </c>
      <c r="B4038" s="36" t="s">
        <v>8276</v>
      </c>
      <c r="C4038" s="36" t="str">
        <f>HYPERLINK("https://rhld.insurance.arkansas.gov/NPILookup?Npi=1306388939","1306388939")</f>
        <v>1306388939</v>
      </c>
      <c r="D4038" s="36" t="s">
        <v>34707</v>
      </c>
      <c r="E4038" s="36" t="s">
        <v>2</v>
      </c>
      <c r="F4038" s="36">
        <v>1</v>
      </c>
      <c r="G4038" s="36">
        <v>2</v>
      </c>
      <c r="H4038" s="36">
        <v>0</v>
      </c>
      <c r="I4038" s="37">
        <v>0</v>
      </c>
      <c r="J4038" s="36"/>
      <c r="K4038" s="36" t="s">
        <v>14330</v>
      </c>
      <c r="L4038" s="36" t="s">
        <v>14330</v>
      </c>
      <c r="M4038">
        <v>2</v>
      </c>
      <c r="N4038" t="s">
        <v>14331</v>
      </c>
      <c r="O4038" t="s">
        <v>14333</v>
      </c>
    </row>
    <row r="4039" spans="1:15" x14ac:dyDescent="0.25">
      <c r="A4039" s="35" t="s">
        <v>8275</v>
      </c>
      <c r="B4039" s="36" t="s">
        <v>8276</v>
      </c>
      <c r="C4039" s="36" t="str">
        <f>HYPERLINK("https://rhld.insurance.arkansas.gov/NPILookup?Npi=1306469556","1306469556")</f>
        <v>1306469556</v>
      </c>
      <c r="D4039" s="36" t="s">
        <v>35264</v>
      </c>
      <c r="E4039" s="36" t="s">
        <v>2</v>
      </c>
      <c r="F4039" s="36">
        <v>1</v>
      </c>
      <c r="G4039" s="36">
        <v>2</v>
      </c>
      <c r="H4039" s="36">
        <v>0</v>
      </c>
      <c r="I4039" s="37">
        <v>0</v>
      </c>
      <c r="J4039" s="36"/>
      <c r="K4039" s="36" t="s">
        <v>14330</v>
      </c>
      <c r="L4039" s="36" t="s">
        <v>14330</v>
      </c>
      <c r="M4039">
        <v>2</v>
      </c>
      <c r="N4039" t="s">
        <v>14331</v>
      </c>
      <c r="O4039" t="s">
        <v>14333</v>
      </c>
    </row>
    <row r="4040" spans="1:15" x14ac:dyDescent="0.25">
      <c r="A4040" s="35" t="s">
        <v>8275</v>
      </c>
      <c r="B4040" s="36" t="s">
        <v>8276</v>
      </c>
      <c r="C4040" s="36" t="str">
        <f>HYPERLINK("https://rhld.insurance.arkansas.gov/NPILookup?Npi=1306476510","1306476510")</f>
        <v>1306476510</v>
      </c>
      <c r="D4040" s="36" t="s">
        <v>36467</v>
      </c>
      <c r="E4040" s="36" t="s">
        <v>2</v>
      </c>
      <c r="F4040" s="36">
        <v>1</v>
      </c>
      <c r="G4040" s="36">
        <v>2</v>
      </c>
      <c r="H4040" s="36">
        <v>0</v>
      </c>
      <c r="I4040" s="37">
        <v>0</v>
      </c>
      <c r="J4040" s="36" t="s">
        <v>36190</v>
      </c>
      <c r="K4040" s="36" t="s">
        <v>14330</v>
      </c>
      <c r="L4040" s="36" t="s">
        <v>14330</v>
      </c>
      <c r="M4040">
        <v>2</v>
      </c>
      <c r="N4040" t="s">
        <v>14331</v>
      </c>
      <c r="O4040" t="s">
        <v>14333</v>
      </c>
    </row>
    <row r="4041" spans="1:15" x14ac:dyDescent="0.25">
      <c r="A4041" s="35" t="s">
        <v>8275</v>
      </c>
      <c r="B4041" s="36" t="s">
        <v>8276</v>
      </c>
      <c r="C4041" s="36" t="str">
        <f>HYPERLINK("https://rhld.insurance.arkansas.gov/NPILookup?Npi=1306830468","1306830468")</f>
        <v>1306830468</v>
      </c>
      <c r="D4041" s="36" t="s">
        <v>36468</v>
      </c>
      <c r="E4041" s="36" t="s">
        <v>2</v>
      </c>
      <c r="F4041" s="36">
        <v>1</v>
      </c>
      <c r="G4041" s="36">
        <v>2</v>
      </c>
      <c r="H4041" s="36">
        <v>0</v>
      </c>
      <c r="I4041" s="37">
        <v>0</v>
      </c>
      <c r="J4041" s="36" t="s">
        <v>36190</v>
      </c>
      <c r="K4041" s="36" t="s">
        <v>14330</v>
      </c>
      <c r="L4041" s="36" t="s">
        <v>14330</v>
      </c>
      <c r="M4041">
        <v>3</v>
      </c>
      <c r="N4041" t="s">
        <v>14331</v>
      </c>
      <c r="O4041" t="s">
        <v>14333</v>
      </c>
    </row>
    <row r="4042" spans="1:15" x14ac:dyDescent="0.25">
      <c r="A4042" s="35" t="s">
        <v>8275</v>
      </c>
      <c r="B4042" s="36" t="s">
        <v>8276</v>
      </c>
      <c r="C4042" s="36" t="str">
        <f>HYPERLINK("https://rhld.insurance.arkansas.gov/NPILookup?Npi=1306876826","1306876826")</f>
        <v>1306876826</v>
      </c>
      <c r="D4042" s="36" t="s">
        <v>36469</v>
      </c>
      <c r="E4042" s="36" t="s">
        <v>2</v>
      </c>
      <c r="F4042" s="36">
        <v>1</v>
      </c>
      <c r="G4042" s="36">
        <v>3</v>
      </c>
      <c r="H4042" s="36">
        <v>0</v>
      </c>
      <c r="I4042" s="37">
        <v>0</v>
      </c>
      <c r="J4042" s="36" t="s">
        <v>36190</v>
      </c>
      <c r="K4042" s="36" t="s">
        <v>14330</v>
      </c>
      <c r="L4042" s="36" t="s">
        <v>14330</v>
      </c>
      <c r="M4042">
        <v>2</v>
      </c>
      <c r="N4042" t="s">
        <v>14331</v>
      </c>
      <c r="O4042" t="s">
        <v>14333</v>
      </c>
    </row>
    <row r="4043" spans="1:15" x14ac:dyDescent="0.25">
      <c r="A4043" s="35" t="s">
        <v>8275</v>
      </c>
      <c r="B4043" s="36" t="s">
        <v>8276</v>
      </c>
      <c r="C4043" s="36" t="str">
        <f>HYPERLINK("https://rhld.insurance.arkansas.gov/NPILookup?Npi=1306885116","1306885116")</f>
        <v>1306885116</v>
      </c>
      <c r="D4043" s="36" t="s">
        <v>36470</v>
      </c>
      <c r="E4043" s="36" t="s">
        <v>2</v>
      </c>
      <c r="F4043" s="36">
        <v>1</v>
      </c>
      <c r="G4043" s="36">
        <v>2</v>
      </c>
      <c r="H4043" s="36">
        <v>0</v>
      </c>
      <c r="I4043" s="37">
        <v>0</v>
      </c>
      <c r="J4043" s="36" t="s">
        <v>36190</v>
      </c>
      <c r="K4043" s="36" t="s">
        <v>14330</v>
      </c>
      <c r="L4043" s="36" t="s">
        <v>14330</v>
      </c>
      <c r="M4043">
        <v>3</v>
      </c>
      <c r="N4043" t="s">
        <v>14331</v>
      </c>
      <c r="O4043" t="s">
        <v>14333</v>
      </c>
    </row>
    <row r="4044" spans="1:15" x14ac:dyDescent="0.25">
      <c r="A4044" s="35" t="s">
        <v>8275</v>
      </c>
      <c r="B4044" s="36" t="s">
        <v>8276</v>
      </c>
      <c r="C4044" s="36" t="str">
        <f>HYPERLINK("https://rhld.insurance.arkansas.gov/NPILookup?Npi=1306957006","1306957006")</f>
        <v>1306957006</v>
      </c>
      <c r="D4044" s="36" t="s">
        <v>36471</v>
      </c>
      <c r="E4044" s="36" t="s">
        <v>2</v>
      </c>
      <c r="F4044" s="36">
        <v>1</v>
      </c>
      <c r="G4044" s="36">
        <v>3</v>
      </c>
      <c r="H4044" s="36">
        <v>0</v>
      </c>
      <c r="I4044" s="37">
        <v>0</v>
      </c>
      <c r="J4044" s="36" t="s">
        <v>36190</v>
      </c>
      <c r="K4044" s="36" t="s">
        <v>14330</v>
      </c>
      <c r="L4044" s="36" t="s">
        <v>14330</v>
      </c>
      <c r="M4044">
        <v>3</v>
      </c>
      <c r="N4044" t="s">
        <v>14331</v>
      </c>
      <c r="O4044" t="s">
        <v>14333</v>
      </c>
    </row>
    <row r="4045" spans="1:15" x14ac:dyDescent="0.25">
      <c r="A4045" s="35" t="s">
        <v>8275</v>
      </c>
      <c r="B4045" s="36" t="s">
        <v>8276</v>
      </c>
      <c r="C4045" s="36" t="str">
        <f>HYPERLINK("https://rhld.insurance.arkansas.gov/NPILookup?Npi=1316107121","1316107121")</f>
        <v>1316107121</v>
      </c>
      <c r="D4045" s="36" t="s">
        <v>36472</v>
      </c>
      <c r="E4045" s="36" t="s">
        <v>2</v>
      </c>
      <c r="F4045" s="36">
        <v>1</v>
      </c>
      <c r="G4045" s="36">
        <v>3</v>
      </c>
      <c r="H4045" s="36">
        <v>0</v>
      </c>
      <c r="I4045" s="37">
        <v>0</v>
      </c>
      <c r="J4045" s="36" t="s">
        <v>36190</v>
      </c>
      <c r="K4045" s="36" t="s">
        <v>14330</v>
      </c>
      <c r="L4045" s="36" t="s">
        <v>14330</v>
      </c>
      <c r="M4045">
        <v>3</v>
      </c>
      <c r="N4045" t="s">
        <v>14331</v>
      </c>
      <c r="O4045" t="s">
        <v>14333</v>
      </c>
    </row>
    <row r="4046" spans="1:15" x14ac:dyDescent="0.25">
      <c r="A4046" s="35" t="s">
        <v>8275</v>
      </c>
      <c r="B4046" s="36" t="s">
        <v>8276</v>
      </c>
      <c r="C4046" s="36" t="str">
        <f>HYPERLINK("https://rhld.insurance.arkansas.gov/NPILookup?Npi=1316265820","1316265820")</f>
        <v>1316265820</v>
      </c>
      <c r="D4046" s="36" t="s">
        <v>36473</v>
      </c>
      <c r="E4046" s="36" t="s">
        <v>2</v>
      </c>
      <c r="F4046" s="36">
        <v>1</v>
      </c>
      <c r="G4046" s="36">
        <v>3</v>
      </c>
      <c r="H4046" s="36">
        <v>0</v>
      </c>
      <c r="I4046" s="37">
        <v>0</v>
      </c>
      <c r="J4046" s="36" t="s">
        <v>36190</v>
      </c>
      <c r="K4046" s="36" t="s">
        <v>14330</v>
      </c>
      <c r="L4046" s="36" t="s">
        <v>14330</v>
      </c>
      <c r="M4046">
        <v>2</v>
      </c>
      <c r="N4046" t="s">
        <v>14331</v>
      </c>
      <c r="O4046" t="s">
        <v>14333</v>
      </c>
    </row>
    <row r="4047" spans="1:15" x14ac:dyDescent="0.25">
      <c r="A4047" s="35" t="s">
        <v>8275</v>
      </c>
      <c r="B4047" s="36" t="s">
        <v>8276</v>
      </c>
      <c r="C4047" s="36" t="str">
        <f>HYPERLINK("https://rhld.insurance.arkansas.gov/NPILookup?Npi=1316433998","1316433998")</f>
        <v>1316433998</v>
      </c>
      <c r="D4047" s="36" t="s">
        <v>36474</v>
      </c>
      <c r="E4047" s="36" t="s">
        <v>2</v>
      </c>
      <c r="F4047" s="36">
        <v>2</v>
      </c>
      <c r="G4047" s="36">
        <v>2</v>
      </c>
      <c r="H4047" s="36">
        <v>0</v>
      </c>
      <c r="I4047" s="37">
        <v>0</v>
      </c>
      <c r="J4047" s="36" t="s">
        <v>36475</v>
      </c>
      <c r="K4047" s="36" t="s">
        <v>14330</v>
      </c>
      <c r="L4047" s="36" t="s">
        <v>14330</v>
      </c>
      <c r="M4047">
        <v>2</v>
      </c>
      <c r="N4047" t="s">
        <v>14331</v>
      </c>
      <c r="O4047" t="s">
        <v>14333</v>
      </c>
    </row>
    <row r="4048" spans="1:15" x14ac:dyDescent="0.25">
      <c r="A4048" s="35" t="s">
        <v>8275</v>
      </c>
      <c r="B4048" s="36" t="s">
        <v>8276</v>
      </c>
      <c r="C4048" s="36" t="str">
        <f>HYPERLINK("https://rhld.insurance.arkansas.gov/NPILookup?Npi=1316502693","1316502693")</f>
        <v>1316502693</v>
      </c>
      <c r="D4048" s="36" t="s">
        <v>35273</v>
      </c>
      <c r="E4048" s="36" t="s">
        <v>2</v>
      </c>
      <c r="F4048" s="36">
        <v>1</v>
      </c>
      <c r="G4048" s="36">
        <v>2</v>
      </c>
      <c r="H4048" s="36">
        <v>0</v>
      </c>
      <c r="I4048" s="37">
        <v>0</v>
      </c>
      <c r="J4048" s="36"/>
      <c r="K4048" s="36" t="s">
        <v>14330</v>
      </c>
      <c r="L4048" s="36" t="s">
        <v>14330</v>
      </c>
      <c r="M4048">
        <v>1</v>
      </c>
      <c r="N4048" t="s">
        <v>14331</v>
      </c>
      <c r="O4048" t="s">
        <v>14333</v>
      </c>
    </row>
    <row r="4049" spans="1:15" x14ac:dyDescent="0.25">
      <c r="A4049" s="35" t="s">
        <v>8275</v>
      </c>
      <c r="B4049" s="36" t="s">
        <v>8276</v>
      </c>
      <c r="C4049" s="36" t="str">
        <f>HYPERLINK("https://rhld.insurance.arkansas.gov/NPILookup?Npi=1316527500","1316527500")</f>
        <v>1316527500</v>
      </c>
      <c r="D4049" s="36" t="s">
        <v>36476</v>
      </c>
      <c r="E4049" s="36" t="s">
        <v>2</v>
      </c>
      <c r="F4049" s="36">
        <v>1</v>
      </c>
      <c r="G4049" s="36">
        <v>1</v>
      </c>
      <c r="H4049" s="36">
        <v>0</v>
      </c>
      <c r="I4049" s="37">
        <v>0</v>
      </c>
      <c r="J4049" s="36"/>
      <c r="K4049" s="36" t="s">
        <v>14330</v>
      </c>
      <c r="L4049" s="36" t="s">
        <v>14330</v>
      </c>
      <c r="M4049">
        <v>3</v>
      </c>
      <c r="N4049" t="s">
        <v>14331</v>
      </c>
      <c r="O4049" t="s">
        <v>32633</v>
      </c>
    </row>
    <row r="4050" spans="1:15" x14ac:dyDescent="0.25">
      <c r="A4050" s="35" t="s">
        <v>8275</v>
      </c>
      <c r="B4050" s="36" t="s">
        <v>8276</v>
      </c>
      <c r="C4050" s="36" t="str">
        <f>HYPERLINK("https://rhld.insurance.arkansas.gov/NPILookup?Npi=1316784085","1316784085")</f>
        <v>1316784085</v>
      </c>
      <c r="D4050" s="36" t="s">
        <v>31260</v>
      </c>
      <c r="E4050" s="36" t="s">
        <v>2</v>
      </c>
      <c r="F4050" s="36">
        <v>1</v>
      </c>
      <c r="G4050" s="36">
        <v>3</v>
      </c>
      <c r="H4050" s="36">
        <v>0</v>
      </c>
      <c r="I4050" s="37">
        <v>0</v>
      </c>
      <c r="J4050" s="36" t="s">
        <v>36190</v>
      </c>
      <c r="K4050" s="36" t="s">
        <v>14330</v>
      </c>
      <c r="L4050" s="36" t="s">
        <v>14330</v>
      </c>
      <c r="M4050">
        <v>2</v>
      </c>
      <c r="N4050" t="s">
        <v>14331</v>
      </c>
      <c r="O4050" t="s">
        <v>14333</v>
      </c>
    </row>
    <row r="4051" spans="1:15" x14ac:dyDescent="0.25">
      <c r="A4051" s="35" t="s">
        <v>8275</v>
      </c>
      <c r="B4051" s="36" t="s">
        <v>8276</v>
      </c>
      <c r="C4051" s="36" t="str">
        <f>HYPERLINK("https://rhld.insurance.arkansas.gov/NPILookup?Npi=1316788060","1316788060")</f>
        <v>1316788060</v>
      </c>
      <c r="D4051" s="36" t="s">
        <v>35277</v>
      </c>
      <c r="E4051" s="36" t="s">
        <v>2</v>
      </c>
      <c r="F4051" s="36">
        <v>1</v>
      </c>
      <c r="G4051" s="36">
        <v>2</v>
      </c>
      <c r="H4051" s="36">
        <v>0</v>
      </c>
      <c r="I4051" s="37">
        <v>0</v>
      </c>
      <c r="J4051" s="36"/>
      <c r="K4051" s="36" t="s">
        <v>14330</v>
      </c>
      <c r="L4051" s="36" t="s">
        <v>14330</v>
      </c>
      <c r="M4051">
        <v>1</v>
      </c>
      <c r="N4051" t="s">
        <v>14331</v>
      </c>
      <c r="O4051" t="s">
        <v>14333</v>
      </c>
    </row>
    <row r="4052" spans="1:15" x14ac:dyDescent="0.25">
      <c r="A4052" s="35" t="s">
        <v>8275</v>
      </c>
      <c r="B4052" s="36" t="s">
        <v>8276</v>
      </c>
      <c r="C4052" s="36" t="str">
        <f>HYPERLINK("https://rhld.insurance.arkansas.gov/NPILookup?Npi=1316788276","1316788276")</f>
        <v>1316788276</v>
      </c>
      <c r="D4052" s="36" t="s">
        <v>35278</v>
      </c>
      <c r="E4052" s="36" t="s">
        <v>2</v>
      </c>
      <c r="F4052" s="36">
        <v>1</v>
      </c>
      <c r="G4052" s="36">
        <v>1</v>
      </c>
      <c r="H4052" s="36">
        <v>0</v>
      </c>
      <c r="I4052" s="37">
        <v>0</v>
      </c>
      <c r="J4052" s="36"/>
      <c r="K4052" s="36" t="s">
        <v>14330</v>
      </c>
      <c r="L4052" s="36" t="s">
        <v>14330</v>
      </c>
      <c r="M4052">
        <v>1</v>
      </c>
      <c r="N4052" t="s">
        <v>14331</v>
      </c>
      <c r="O4052" t="s">
        <v>32633</v>
      </c>
    </row>
    <row r="4053" spans="1:15" x14ac:dyDescent="0.25">
      <c r="A4053" s="35" t="s">
        <v>8275</v>
      </c>
      <c r="B4053" s="36" t="s">
        <v>8276</v>
      </c>
      <c r="C4053" s="36" t="str">
        <f>HYPERLINK("https://rhld.insurance.arkansas.gov/NPILookup?Npi=1316830334","1316830334")</f>
        <v>1316830334</v>
      </c>
      <c r="D4053" s="36" t="s">
        <v>34712</v>
      </c>
      <c r="E4053" s="36" t="s">
        <v>2</v>
      </c>
      <c r="F4053" s="36">
        <v>1</v>
      </c>
      <c r="G4053" s="36">
        <v>1</v>
      </c>
      <c r="H4053" s="36">
        <v>0</v>
      </c>
      <c r="I4053" s="37">
        <v>0</v>
      </c>
      <c r="J4053" s="36"/>
      <c r="K4053" s="36" t="s">
        <v>14330</v>
      </c>
      <c r="L4053" s="36" t="s">
        <v>14330</v>
      </c>
      <c r="M4053">
        <v>3</v>
      </c>
      <c r="N4053" t="s">
        <v>14331</v>
      </c>
      <c r="O4053" t="s">
        <v>32633</v>
      </c>
    </row>
    <row r="4054" spans="1:15" x14ac:dyDescent="0.25">
      <c r="A4054" s="35" t="s">
        <v>8275</v>
      </c>
      <c r="B4054" s="36" t="s">
        <v>8276</v>
      </c>
      <c r="C4054" s="36" t="str">
        <f>HYPERLINK("https://rhld.insurance.arkansas.gov/NPILookup?Npi=1316916844","1316916844")</f>
        <v>1316916844</v>
      </c>
      <c r="D4054" s="36" t="s">
        <v>36477</v>
      </c>
      <c r="E4054" s="36" t="s">
        <v>2</v>
      </c>
      <c r="F4054" s="36">
        <v>1</v>
      </c>
      <c r="G4054" s="36">
        <v>3</v>
      </c>
      <c r="H4054" s="36">
        <v>0</v>
      </c>
      <c r="I4054" s="37">
        <v>0</v>
      </c>
      <c r="J4054" s="36" t="s">
        <v>36190</v>
      </c>
      <c r="K4054" s="36" t="s">
        <v>14330</v>
      </c>
      <c r="L4054" s="36" t="s">
        <v>14330</v>
      </c>
      <c r="M4054">
        <v>2</v>
      </c>
      <c r="N4054" t="s">
        <v>14331</v>
      </c>
      <c r="O4054" t="s">
        <v>14333</v>
      </c>
    </row>
    <row r="4055" spans="1:15" x14ac:dyDescent="0.25">
      <c r="A4055" s="35" t="s">
        <v>8275</v>
      </c>
      <c r="B4055" s="36" t="s">
        <v>8276</v>
      </c>
      <c r="C4055" s="36" t="str">
        <f>HYPERLINK("https://rhld.insurance.arkansas.gov/NPILookup?Npi=1316930944","1316930944")</f>
        <v>1316930944</v>
      </c>
      <c r="D4055" s="36" t="s">
        <v>36478</v>
      </c>
      <c r="E4055" s="36" t="s">
        <v>2</v>
      </c>
      <c r="F4055" s="36">
        <v>1</v>
      </c>
      <c r="G4055" s="36">
        <v>2</v>
      </c>
      <c r="H4055" s="36">
        <v>0</v>
      </c>
      <c r="I4055" s="37">
        <v>0</v>
      </c>
      <c r="J4055" s="36" t="s">
        <v>36190</v>
      </c>
      <c r="K4055" s="36" t="s">
        <v>14330</v>
      </c>
      <c r="L4055" s="36" t="s">
        <v>14330</v>
      </c>
      <c r="M4055">
        <v>2</v>
      </c>
      <c r="N4055" t="s">
        <v>14331</v>
      </c>
      <c r="O4055" t="s">
        <v>14333</v>
      </c>
    </row>
    <row r="4056" spans="1:15" x14ac:dyDescent="0.25">
      <c r="A4056" s="35" t="s">
        <v>8275</v>
      </c>
      <c r="B4056" s="36" t="s">
        <v>8276</v>
      </c>
      <c r="C4056" s="36" t="str">
        <f>HYPERLINK("https://rhld.insurance.arkansas.gov/NPILookup?Npi=1316933575","1316933575")</f>
        <v>1316933575</v>
      </c>
      <c r="D4056" s="36" t="s">
        <v>36479</v>
      </c>
      <c r="E4056" s="36" t="s">
        <v>2</v>
      </c>
      <c r="F4056" s="36">
        <v>1</v>
      </c>
      <c r="G4056" s="36">
        <v>2</v>
      </c>
      <c r="H4056" s="36">
        <v>0</v>
      </c>
      <c r="I4056" s="37">
        <v>0</v>
      </c>
      <c r="J4056" s="36" t="s">
        <v>36190</v>
      </c>
      <c r="K4056" s="36" t="s">
        <v>14330</v>
      </c>
      <c r="L4056" s="36" t="s">
        <v>14330</v>
      </c>
      <c r="M4056">
        <v>3</v>
      </c>
      <c r="N4056" t="s">
        <v>14331</v>
      </c>
      <c r="O4056" t="s">
        <v>14333</v>
      </c>
    </row>
    <row r="4057" spans="1:15" x14ac:dyDescent="0.25">
      <c r="A4057" s="35" t="s">
        <v>8275</v>
      </c>
      <c r="B4057" s="36" t="s">
        <v>8276</v>
      </c>
      <c r="C4057" s="36" t="str">
        <f>HYPERLINK("https://rhld.insurance.arkansas.gov/NPILookup?Npi=1316949167","1316949167")</f>
        <v>1316949167</v>
      </c>
      <c r="D4057" s="36" t="s">
        <v>36480</v>
      </c>
      <c r="E4057" s="36" t="s">
        <v>2</v>
      </c>
      <c r="F4057" s="36">
        <v>1</v>
      </c>
      <c r="G4057" s="36">
        <v>3</v>
      </c>
      <c r="H4057" s="36">
        <v>0</v>
      </c>
      <c r="I4057" s="37">
        <v>0</v>
      </c>
      <c r="J4057" s="36" t="s">
        <v>36190</v>
      </c>
      <c r="K4057" s="36" t="s">
        <v>14330</v>
      </c>
      <c r="L4057" s="36" t="s">
        <v>14330</v>
      </c>
      <c r="M4057">
        <v>3</v>
      </c>
      <c r="N4057" t="s">
        <v>14331</v>
      </c>
      <c r="O4057" t="s">
        <v>14333</v>
      </c>
    </row>
    <row r="4058" spans="1:15" x14ac:dyDescent="0.25">
      <c r="A4058" s="35" t="s">
        <v>8275</v>
      </c>
      <c r="B4058" s="36" t="s">
        <v>8276</v>
      </c>
      <c r="C4058" s="36" t="str">
        <f>HYPERLINK("https://rhld.insurance.arkansas.gov/NPILookup?Npi=1316949308","1316949308")</f>
        <v>1316949308</v>
      </c>
      <c r="D4058" s="36" t="s">
        <v>36481</v>
      </c>
      <c r="E4058" s="36" t="s">
        <v>2</v>
      </c>
      <c r="F4058" s="36">
        <v>1</v>
      </c>
      <c r="G4058" s="36">
        <v>3</v>
      </c>
      <c r="H4058" s="36">
        <v>0</v>
      </c>
      <c r="I4058" s="37">
        <v>0</v>
      </c>
      <c r="J4058" s="36" t="s">
        <v>36190</v>
      </c>
      <c r="K4058" s="36" t="s">
        <v>14330</v>
      </c>
      <c r="L4058" s="36" t="s">
        <v>14330</v>
      </c>
      <c r="M4058">
        <v>3</v>
      </c>
      <c r="N4058" t="s">
        <v>14331</v>
      </c>
      <c r="O4058" t="s">
        <v>14333</v>
      </c>
    </row>
    <row r="4059" spans="1:15" x14ac:dyDescent="0.25">
      <c r="A4059" s="35" t="s">
        <v>8275</v>
      </c>
      <c r="B4059" s="36" t="s">
        <v>8276</v>
      </c>
      <c r="C4059" s="36" t="str">
        <f>HYPERLINK("https://rhld.insurance.arkansas.gov/NPILookup?Npi=1316963234","1316963234")</f>
        <v>1316963234</v>
      </c>
      <c r="D4059" s="36" t="s">
        <v>36482</v>
      </c>
      <c r="E4059" s="36" t="s">
        <v>2</v>
      </c>
      <c r="F4059" s="36">
        <v>1</v>
      </c>
      <c r="G4059" s="36">
        <v>3</v>
      </c>
      <c r="H4059" s="36">
        <v>0</v>
      </c>
      <c r="I4059" s="37">
        <v>0</v>
      </c>
      <c r="J4059" s="36" t="s">
        <v>36190</v>
      </c>
      <c r="K4059" s="36" t="s">
        <v>14330</v>
      </c>
      <c r="L4059" s="36" t="s">
        <v>14330</v>
      </c>
      <c r="M4059">
        <v>3</v>
      </c>
      <c r="N4059" t="s">
        <v>14331</v>
      </c>
      <c r="O4059" t="s">
        <v>14333</v>
      </c>
    </row>
    <row r="4060" spans="1:15" x14ac:dyDescent="0.25">
      <c r="A4060" s="35" t="s">
        <v>8275</v>
      </c>
      <c r="B4060" s="36" t="s">
        <v>8276</v>
      </c>
      <c r="C4060" s="36" t="str">
        <f>HYPERLINK("https://rhld.insurance.arkansas.gov/NPILookup?Npi=1316966724","1316966724")</f>
        <v>1316966724</v>
      </c>
      <c r="D4060" s="36" t="s">
        <v>36483</v>
      </c>
      <c r="E4060" s="36" t="s">
        <v>2</v>
      </c>
      <c r="F4060" s="36">
        <v>1</v>
      </c>
      <c r="G4060" s="36">
        <v>3</v>
      </c>
      <c r="H4060" s="36">
        <v>0</v>
      </c>
      <c r="I4060" s="37">
        <v>0</v>
      </c>
      <c r="J4060" s="36" t="s">
        <v>36190</v>
      </c>
      <c r="K4060" s="36" t="s">
        <v>14330</v>
      </c>
      <c r="L4060" s="36" t="s">
        <v>14330</v>
      </c>
      <c r="M4060">
        <v>2</v>
      </c>
      <c r="N4060" t="s">
        <v>14331</v>
      </c>
      <c r="O4060" t="s">
        <v>14333</v>
      </c>
    </row>
    <row r="4061" spans="1:15" x14ac:dyDescent="0.25">
      <c r="A4061" s="35" t="s">
        <v>8275</v>
      </c>
      <c r="B4061" s="36" t="s">
        <v>8276</v>
      </c>
      <c r="C4061" s="36" t="str">
        <f>HYPERLINK("https://rhld.insurance.arkansas.gov/NPILookup?Npi=1326076993","1326076993")</f>
        <v>1326076993</v>
      </c>
      <c r="D4061" s="36" t="s">
        <v>36484</v>
      </c>
      <c r="E4061" s="36" t="s">
        <v>2</v>
      </c>
      <c r="F4061" s="36">
        <v>1</v>
      </c>
      <c r="G4061" s="36">
        <v>2</v>
      </c>
      <c r="H4061" s="36">
        <v>0</v>
      </c>
      <c r="I4061" s="37">
        <v>0</v>
      </c>
      <c r="J4061" s="36" t="s">
        <v>36190</v>
      </c>
      <c r="K4061" s="36" t="s">
        <v>14330</v>
      </c>
      <c r="L4061" s="36" t="s">
        <v>14330</v>
      </c>
      <c r="M4061">
        <v>2</v>
      </c>
      <c r="N4061" t="s">
        <v>14331</v>
      </c>
      <c r="O4061" t="s">
        <v>14333</v>
      </c>
    </row>
    <row r="4062" spans="1:15" x14ac:dyDescent="0.25">
      <c r="A4062" s="35" t="s">
        <v>8275</v>
      </c>
      <c r="B4062" s="36" t="s">
        <v>8276</v>
      </c>
      <c r="C4062" s="36" t="str">
        <f>HYPERLINK("https://rhld.insurance.arkansas.gov/NPILookup?Npi=1326428905","1326428905")</f>
        <v>1326428905</v>
      </c>
      <c r="D4062" s="36" t="s">
        <v>36485</v>
      </c>
      <c r="E4062" s="36" t="s">
        <v>2</v>
      </c>
      <c r="F4062" s="36">
        <v>1</v>
      </c>
      <c r="G4062" s="36">
        <v>2</v>
      </c>
      <c r="H4062" s="36">
        <v>0</v>
      </c>
      <c r="I4062" s="37">
        <v>0</v>
      </c>
      <c r="J4062" s="36" t="s">
        <v>36190</v>
      </c>
      <c r="K4062" s="36" t="s">
        <v>14330</v>
      </c>
      <c r="L4062" s="36" t="s">
        <v>14330</v>
      </c>
      <c r="M4062">
        <v>1</v>
      </c>
      <c r="N4062" t="s">
        <v>14331</v>
      </c>
      <c r="O4062" t="s">
        <v>14333</v>
      </c>
    </row>
    <row r="4063" spans="1:15" x14ac:dyDescent="0.25">
      <c r="A4063" s="35" t="s">
        <v>8275</v>
      </c>
      <c r="B4063" s="36" t="s">
        <v>8276</v>
      </c>
      <c r="C4063" s="36" t="str">
        <f>HYPERLINK("https://rhld.insurance.arkansas.gov/NPILookup?Npi=1326436734","1326436734")</f>
        <v>1326436734</v>
      </c>
      <c r="D4063" s="36" t="s">
        <v>36486</v>
      </c>
      <c r="E4063" s="36" t="s">
        <v>2</v>
      </c>
      <c r="F4063" s="36">
        <v>1</v>
      </c>
      <c r="G4063" s="36">
        <v>1</v>
      </c>
      <c r="H4063" s="36">
        <v>0</v>
      </c>
      <c r="I4063" s="37">
        <v>0</v>
      </c>
      <c r="J4063" s="36" t="s">
        <v>32679</v>
      </c>
      <c r="K4063" s="36" t="s">
        <v>14330</v>
      </c>
      <c r="L4063" s="36" t="s">
        <v>14330</v>
      </c>
      <c r="M4063">
        <v>3</v>
      </c>
      <c r="N4063" t="s">
        <v>14331</v>
      </c>
      <c r="O4063" t="s">
        <v>32633</v>
      </c>
    </row>
    <row r="4064" spans="1:15" x14ac:dyDescent="0.25">
      <c r="A4064" s="35" t="s">
        <v>8275</v>
      </c>
      <c r="B4064" s="36" t="s">
        <v>8276</v>
      </c>
      <c r="C4064" s="36" t="str">
        <f>HYPERLINK("https://rhld.insurance.arkansas.gov/NPILookup?Npi=1326445578","1326445578")</f>
        <v>1326445578</v>
      </c>
      <c r="D4064" s="36" t="s">
        <v>36487</v>
      </c>
      <c r="E4064" s="36" t="s">
        <v>2</v>
      </c>
      <c r="F4064" s="36">
        <v>1</v>
      </c>
      <c r="G4064" s="36">
        <v>3</v>
      </c>
      <c r="H4064" s="36">
        <v>0</v>
      </c>
      <c r="I4064" s="37">
        <v>0</v>
      </c>
      <c r="J4064" s="36" t="s">
        <v>36190</v>
      </c>
      <c r="K4064" s="36" t="s">
        <v>14330</v>
      </c>
      <c r="L4064" s="36" t="s">
        <v>14330</v>
      </c>
      <c r="M4064">
        <v>2</v>
      </c>
      <c r="N4064" t="s">
        <v>14331</v>
      </c>
      <c r="O4064" t="s">
        <v>14333</v>
      </c>
    </row>
    <row r="4065" spans="1:15" x14ac:dyDescent="0.25">
      <c r="A4065" s="35" t="s">
        <v>8275</v>
      </c>
      <c r="B4065" s="36" t="s">
        <v>8276</v>
      </c>
      <c r="C4065" s="36" t="str">
        <f>HYPERLINK("https://rhld.insurance.arkansas.gov/NPILookup?Npi=1326857160","1326857160")</f>
        <v>1326857160</v>
      </c>
      <c r="D4065" s="36" t="s">
        <v>35291</v>
      </c>
      <c r="E4065" s="36" t="s">
        <v>2</v>
      </c>
      <c r="F4065" s="36">
        <v>1</v>
      </c>
      <c r="G4065" s="36">
        <v>2</v>
      </c>
      <c r="H4065" s="36">
        <v>0</v>
      </c>
      <c r="I4065" s="37">
        <v>0</v>
      </c>
      <c r="J4065" s="36"/>
      <c r="K4065" s="36" t="s">
        <v>14330</v>
      </c>
      <c r="L4065" s="36" t="s">
        <v>14330</v>
      </c>
      <c r="M4065">
        <v>1</v>
      </c>
      <c r="N4065" t="s">
        <v>14331</v>
      </c>
      <c r="O4065" t="s">
        <v>14333</v>
      </c>
    </row>
    <row r="4066" spans="1:15" x14ac:dyDescent="0.25">
      <c r="A4066" s="35" t="s">
        <v>8275</v>
      </c>
      <c r="B4066" s="36" t="s">
        <v>8276</v>
      </c>
      <c r="C4066" s="36" t="str">
        <f>HYPERLINK("https://rhld.insurance.arkansas.gov/NPILookup?Npi=1326857863","1326857863")</f>
        <v>1326857863</v>
      </c>
      <c r="D4066" s="36" t="s">
        <v>35292</v>
      </c>
      <c r="E4066" s="36" t="s">
        <v>2</v>
      </c>
      <c r="F4066" s="36">
        <v>1</v>
      </c>
      <c r="G4066" s="36">
        <v>1</v>
      </c>
      <c r="H4066" s="36">
        <v>0</v>
      </c>
      <c r="I4066" s="37">
        <v>0</v>
      </c>
      <c r="J4066" s="36"/>
      <c r="K4066" s="36" t="s">
        <v>14330</v>
      </c>
      <c r="L4066" s="36" t="s">
        <v>14330</v>
      </c>
      <c r="M4066">
        <v>3</v>
      </c>
      <c r="N4066" t="s">
        <v>14331</v>
      </c>
      <c r="O4066" t="s">
        <v>32633</v>
      </c>
    </row>
    <row r="4067" spans="1:15" x14ac:dyDescent="0.25">
      <c r="A4067" s="35" t="s">
        <v>8275</v>
      </c>
      <c r="B4067" s="36" t="s">
        <v>8276</v>
      </c>
      <c r="C4067" s="36" t="str">
        <f>HYPERLINK("https://rhld.insurance.arkansas.gov/NPILookup?Npi=1336147701","1336147701")</f>
        <v>1336147701</v>
      </c>
      <c r="D4067" s="36" t="s">
        <v>36488</v>
      </c>
      <c r="E4067" s="36" t="s">
        <v>2</v>
      </c>
      <c r="F4067" s="36">
        <v>1</v>
      </c>
      <c r="G4067" s="36">
        <v>3</v>
      </c>
      <c r="H4067" s="36">
        <v>0</v>
      </c>
      <c r="I4067" s="37">
        <v>0</v>
      </c>
      <c r="J4067" s="36" t="s">
        <v>36190</v>
      </c>
      <c r="K4067" s="36" t="s">
        <v>14330</v>
      </c>
      <c r="L4067" s="36" t="s">
        <v>14330</v>
      </c>
      <c r="M4067">
        <v>2</v>
      </c>
      <c r="N4067" t="s">
        <v>14331</v>
      </c>
      <c r="O4067" t="s">
        <v>14333</v>
      </c>
    </row>
    <row r="4068" spans="1:15" x14ac:dyDescent="0.25">
      <c r="A4068" s="35" t="s">
        <v>8275</v>
      </c>
      <c r="B4068" s="36" t="s">
        <v>8276</v>
      </c>
      <c r="C4068" s="36" t="str">
        <f>HYPERLINK("https://rhld.insurance.arkansas.gov/NPILookup?Npi=1336172238","1336172238")</f>
        <v>1336172238</v>
      </c>
      <c r="D4068" s="36" t="s">
        <v>36489</v>
      </c>
      <c r="E4068" s="36" t="s">
        <v>2</v>
      </c>
      <c r="F4068" s="36">
        <v>1</v>
      </c>
      <c r="G4068" s="36">
        <v>2</v>
      </c>
      <c r="H4068" s="36">
        <v>0</v>
      </c>
      <c r="I4068" s="37">
        <v>0</v>
      </c>
      <c r="J4068" s="36" t="s">
        <v>36190</v>
      </c>
      <c r="K4068" s="36" t="s">
        <v>14330</v>
      </c>
      <c r="L4068" s="36" t="s">
        <v>14330</v>
      </c>
      <c r="M4068">
        <v>3</v>
      </c>
      <c r="N4068" t="s">
        <v>14331</v>
      </c>
      <c r="O4068" t="s">
        <v>14333</v>
      </c>
    </row>
    <row r="4069" spans="1:15" x14ac:dyDescent="0.25">
      <c r="A4069" s="35" t="s">
        <v>8275</v>
      </c>
      <c r="B4069" s="36" t="s">
        <v>8276</v>
      </c>
      <c r="C4069" s="36" t="str">
        <f>HYPERLINK("https://rhld.insurance.arkansas.gov/NPILookup?Npi=1336180074","1336180074")</f>
        <v>1336180074</v>
      </c>
      <c r="D4069" s="36" t="s">
        <v>36490</v>
      </c>
      <c r="E4069" s="36" t="s">
        <v>2</v>
      </c>
      <c r="F4069" s="36">
        <v>1</v>
      </c>
      <c r="G4069" s="36">
        <v>3</v>
      </c>
      <c r="H4069" s="36">
        <v>0</v>
      </c>
      <c r="I4069" s="37">
        <v>0</v>
      </c>
      <c r="J4069" s="36" t="s">
        <v>36190</v>
      </c>
      <c r="K4069" s="36" t="s">
        <v>14330</v>
      </c>
      <c r="L4069" s="36" t="s">
        <v>14330</v>
      </c>
      <c r="M4069">
        <v>3</v>
      </c>
      <c r="N4069" t="s">
        <v>14331</v>
      </c>
      <c r="O4069" t="s">
        <v>14333</v>
      </c>
    </row>
    <row r="4070" spans="1:15" x14ac:dyDescent="0.25">
      <c r="A4070" s="35" t="s">
        <v>8275</v>
      </c>
      <c r="B4070" s="36" t="s">
        <v>8276</v>
      </c>
      <c r="C4070" s="36" t="str">
        <f>HYPERLINK("https://rhld.insurance.arkansas.gov/NPILookup?Npi=1336231471","1336231471")</f>
        <v>1336231471</v>
      </c>
      <c r="D4070" s="36" t="s">
        <v>36491</v>
      </c>
      <c r="E4070" s="36" t="s">
        <v>2</v>
      </c>
      <c r="F4070" s="36">
        <v>1</v>
      </c>
      <c r="G4070" s="36">
        <v>3</v>
      </c>
      <c r="H4070" s="36">
        <v>0</v>
      </c>
      <c r="I4070" s="37">
        <v>0</v>
      </c>
      <c r="J4070" s="36" t="s">
        <v>36190</v>
      </c>
      <c r="K4070" s="36" t="s">
        <v>14330</v>
      </c>
      <c r="L4070" s="36" t="s">
        <v>14330</v>
      </c>
      <c r="M4070">
        <v>3</v>
      </c>
      <c r="N4070" t="s">
        <v>14331</v>
      </c>
      <c r="O4070" t="s">
        <v>14333</v>
      </c>
    </row>
    <row r="4071" spans="1:15" x14ac:dyDescent="0.25">
      <c r="A4071" s="35" t="s">
        <v>8275</v>
      </c>
      <c r="B4071" s="36" t="s">
        <v>8276</v>
      </c>
      <c r="C4071" s="36" t="str">
        <f>HYPERLINK("https://rhld.insurance.arkansas.gov/NPILookup?Npi=1336533140","1336533140")</f>
        <v>1336533140</v>
      </c>
      <c r="D4071" s="36" t="s">
        <v>36492</v>
      </c>
      <c r="E4071" s="36" t="s">
        <v>2</v>
      </c>
      <c r="F4071" s="36">
        <v>1</v>
      </c>
      <c r="G4071" s="36">
        <v>3</v>
      </c>
      <c r="H4071" s="36">
        <v>0</v>
      </c>
      <c r="I4071" s="37">
        <v>0</v>
      </c>
      <c r="J4071" s="36" t="s">
        <v>36190</v>
      </c>
      <c r="K4071" s="36" t="s">
        <v>14330</v>
      </c>
      <c r="L4071" s="36" t="s">
        <v>14330</v>
      </c>
      <c r="M4071">
        <v>3</v>
      </c>
      <c r="N4071" t="s">
        <v>14331</v>
      </c>
      <c r="O4071" t="s">
        <v>14333</v>
      </c>
    </row>
    <row r="4072" spans="1:15" x14ac:dyDescent="0.25">
      <c r="A4072" s="35" t="s">
        <v>8275</v>
      </c>
      <c r="B4072" s="36" t="s">
        <v>8276</v>
      </c>
      <c r="C4072" s="36" t="str">
        <f>HYPERLINK("https://rhld.insurance.arkansas.gov/NPILookup?Npi=1336534411","1336534411")</f>
        <v>1336534411</v>
      </c>
      <c r="D4072" s="36" t="s">
        <v>36493</v>
      </c>
      <c r="E4072" s="36" t="s">
        <v>2</v>
      </c>
      <c r="F4072" s="36">
        <v>1</v>
      </c>
      <c r="G4072" s="36">
        <v>3</v>
      </c>
      <c r="H4072" s="36">
        <v>0</v>
      </c>
      <c r="I4072" s="37">
        <v>0</v>
      </c>
      <c r="J4072" s="36" t="s">
        <v>36190</v>
      </c>
      <c r="K4072" s="36" t="s">
        <v>14330</v>
      </c>
      <c r="L4072" s="36" t="s">
        <v>14330</v>
      </c>
      <c r="M4072">
        <v>3</v>
      </c>
      <c r="N4072" t="s">
        <v>14331</v>
      </c>
      <c r="O4072" t="s">
        <v>14333</v>
      </c>
    </row>
    <row r="4073" spans="1:15" x14ac:dyDescent="0.25">
      <c r="A4073" s="35" t="s">
        <v>8275</v>
      </c>
      <c r="B4073" s="36" t="s">
        <v>8276</v>
      </c>
      <c r="C4073" s="36" t="str">
        <f>HYPERLINK("https://rhld.insurance.arkansas.gov/NPILookup?Npi=1336581727","1336581727")</f>
        <v>1336581727</v>
      </c>
      <c r="D4073" s="36" t="s">
        <v>33125</v>
      </c>
      <c r="E4073" s="36" t="s">
        <v>2</v>
      </c>
      <c r="F4073" s="36">
        <v>1</v>
      </c>
      <c r="G4073" s="36">
        <v>3</v>
      </c>
      <c r="H4073" s="36">
        <v>0</v>
      </c>
      <c r="I4073" s="37">
        <v>0</v>
      </c>
      <c r="J4073" s="36" t="s">
        <v>36190</v>
      </c>
      <c r="K4073" s="36" t="s">
        <v>14330</v>
      </c>
      <c r="L4073" s="36" t="s">
        <v>14330</v>
      </c>
      <c r="M4073">
        <v>2</v>
      </c>
      <c r="N4073" t="s">
        <v>14331</v>
      </c>
      <c r="O4073" t="s">
        <v>14333</v>
      </c>
    </row>
    <row r="4074" spans="1:15" x14ac:dyDescent="0.25">
      <c r="A4074" s="35" t="s">
        <v>8275</v>
      </c>
      <c r="B4074" s="36" t="s">
        <v>8276</v>
      </c>
      <c r="C4074" s="36" t="str">
        <f>HYPERLINK("https://rhld.insurance.arkansas.gov/NPILookup?Npi=1336646496","1336646496")</f>
        <v>1336646496</v>
      </c>
      <c r="D4074" s="36" t="s">
        <v>36494</v>
      </c>
      <c r="E4074" s="36" t="s">
        <v>2</v>
      </c>
      <c r="F4074" s="36">
        <v>1</v>
      </c>
      <c r="G4074" s="36">
        <v>2</v>
      </c>
      <c r="H4074" s="36">
        <v>0</v>
      </c>
      <c r="I4074" s="37">
        <v>0</v>
      </c>
      <c r="J4074" s="36" t="s">
        <v>36190</v>
      </c>
      <c r="K4074" s="36" t="s">
        <v>14330</v>
      </c>
      <c r="L4074" s="36" t="s">
        <v>14330</v>
      </c>
      <c r="M4074">
        <v>2</v>
      </c>
      <c r="N4074" t="s">
        <v>14331</v>
      </c>
      <c r="O4074" t="s">
        <v>14333</v>
      </c>
    </row>
    <row r="4075" spans="1:15" x14ac:dyDescent="0.25">
      <c r="A4075" s="35" t="s">
        <v>8275</v>
      </c>
      <c r="B4075" s="36" t="s">
        <v>8276</v>
      </c>
      <c r="C4075" s="36" t="str">
        <f>HYPERLINK("https://rhld.insurance.arkansas.gov/NPILookup?Npi=1336720457","1336720457")</f>
        <v>1336720457</v>
      </c>
      <c r="D4075" s="36" t="s">
        <v>35299</v>
      </c>
      <c r="E4075" s="36" t="s">
        <v>2</v>
      </c>
      <c r="F4075" s="36">
        <v>1</v>
      </c>
      <c r="G4075" s="36">
        <v>2</v>
      </c>
      <c r="H4075" s="36">
        <v>0</v>
      </c>
      <c r="I4075" s="37">
        <v>0</v>
      </c>
      <c r="J4075" s="36"/>
      <c r="K4075" s="36" t="s">
        <v>14330</v>
      </c>
      <c r="L4075" s="36" t="s">
        <v>14330</v>
      </c>
      <c r="M4075">
        <v>2</v>
      </c>
      <c r="N4075" t="s">
        <v>14331</v>
      </c>
      <c r="O4075" t="s">
        <v>14333</v>
      </c>
    </row>
    <row r="4076" spans="1:15" x14ac:dyDescent="0.25">
      <c r="A4076" s="35" t="s">
        <v>8275</v>
      </c>
      <c r="B4076" s="36" t="s">
        <v>8276</v>
      </c>
      <c r="C4076" s="36" t="str">
        <f>HYPERLINK("https://rhld.insurance.arkansas.gov/NPILookup?Npi=1336762228","1336762228")</f>
        <v>1336762228</v>
      </c>
      <c r="D4076" s="36" t="s">
        <v>35300</v>
      </c>
      <c r="E4076" s="36" t="s">
        <v>2</v>
      </c>
      <c r="F4076" s="36">
        <v>1</v>
      </c>
      <c r="G4076" s="36">
        <v>2</v>
      </c>
      <c r="H4076" s="36">
        <v>0</v>
      </c>
      <c r="I4076" s="37">
        <v>0</v>
      </c>
      <c r="J4076" s="36"/>
      <c r="K4076" s="36" t="s">
        <v>14330</v>
      </c>
      <c r="L4076" s="36" t="s">
        <v>14330</v>
      </c>
      <c r="M4076">
        <v>1</v>
      </c>
      <c r="N4076" t="s">
        <v>14331</v>
      </c>
      <c r="O4076" t="s">
        <v>14333</v>
      </c>
    </row>
    <row r="4077" spans="1:15" x14ac:dyDescent="0.25">
      <c r="A4077" s="35" t="s">
        <v>8275</v>
      </c>
      <c r="B4077" s="36" t="s">
        <v>8276</v>
      </c>
      <c r="C4077" s="36" t="str">
        <f>HYPERLINK("https://rhld.insurance.arkansas.gov/NPILookup?Npi=1336764604","1336764604")</f>
        <v>1336764604</v>
      </c>
      <c r="D4077" s="36" t="s">
        <v>35301</v>
      </c>
      <c r="E4077" s="36" t="s">
        <v>2</v>
      </c>
      <c r="F4077" s="36">
        <v>1</v>
      </c>
      <c r="G4077" s="36">
        <v>1</v>
      </c>
      <c r="H4077" s="36">
        <v>0</v>
      </c>
      <c r="I4077" s="37">
        <v>0</v>
      </c>
      <c r="J4077" s="36"/>
      <c r="K4077" s="36" t="s">
        <v>14330</v>
      </c>
      <c r="L4077" s="36" t="s">
        <v>14330</v>
      </c>
      <c r="M4077">
        <v>2</v>
      </c>
      <c r="N4077" t="s">
        <v>14331</v>
      </c>
      <c r="O4077" t="s">
        <v>32633</v>
      </c>
    </row>
    <row r="4078" spans="1:15" x14ac:dyDescent="0.25">
      <c r="A4078" s="35" t="s">
        <v>8275</v>
      </c>
      <c r="B4078" s="36" t="s">
        <v>8276</v>
      </c>
      <c r="C4078" s="36" t="str">
        <f>HYPERLINK("https://rhld.insurance.arkansas.gov/NPILookup?Npi=1336764778","1336764778")</f>
        <v>1336764778</v>
      </c>
      <c r="D4078" s="36" t="s">
        <v>36495</v>
      </c>
      <c r="E4078" s="36" t="s">
        <v>2</v>
      </c>
      <c r="F4078" s="36">
        <v>1</v>
      </c>
      <c r="G4078" s="36">
        <v>2</v>
      </c>
      <c r="H4078" s="36">
        <v>0</v>
      </c>
      <c r="I4078" s="37">
        <v>0</v>
      </c>
      <c r="J4078" s="36" t="s">
        <v>36190</v>
      </c>
      <c r="K4078" s="36" t="s">
        <v>14330</v>
      </c>
      <c r="L4078" s="36" t="s">
        <v>14330</v>
      </c>
      <c r="M4078">
        <v>2</v>
      </c>
      <c r="N4078" t="s">
        <v>14331</v>
      </c>
      <c r="O4078" t="s">
        <v>14333</v>
      </c>
    </row>
    <row r="4079" spans="1:15" x14ac:dyDescent="0.25">
      <c r="A4079" s="35" t="s">
        <v>8275</v>
      </c>
      <c r="B4079" s="36" t="s">
        <v>8276</v>
      </c>
      <c r="C4079" s="36" t="str">
        <f>HYPERLINK("https://rhld.insurance.arkansas.gov/NPILookup?Npi=1336792563","1336792563")</f>
        <v>1336792563</v>
      </c>
      <c r="D4079" s="36" t="s">
        <v>36496</v>
      </c>
      <c r="E4079" s="36" t="s">
        <v>2</v>
      </c>
      <c r="F4079" s="36">
        <v>1</v>
      </c>
      <c r="G4079" s="36">
        <v>2</v>
      </c>
      <c r="H4079" s="36">
        <v>0</v>
      </c>
      <c r="I4079" s="37">
        <v>0</v>
      </c>
      <c r="J4079" s="36" t="s">
        <v>36190</v>
      </c>
      <c r="K4079" s="36" t="s">
        <v>14330</v>
      </c>
      <c r="L4079" s="36" t="s">
        <v>14330</v>
      </c>
      <c r="M4079">
        <v>1</v>
      </c>
      <c r="N4079" t="s">
        <v>14331</v>
      </c>
      <c r="O4079" t="s">
        <v>14333</v>
      </c>
    </row>
    <row r="4080" spans="1:15" x14ac:dyDescent="0.25">
      <c r="A4080" s="35" t="s">
        <v>8275</v>
      </c>
      <c r="B4080" s="36" t="s">
        <v>8276</v>
      </c>
      <c r="C4080" s="36" t="str">
        <f>HYPERLINK("https://rhld.insurance.arkansas.gov/NPILookup?Npi=1336870641","1336870641")</f>
        <v>1336870641</v>
      </c>
      <c r="D4080" s="36" t="s">
        <v>34717</v>
      </c>
      <c r="E4080" s="36" t="s">
        <v>2</v>
      </c>
      <c r="F4080" s="36">
        <v>1</v>
      </c>
      <c r="G4080" s="36">
        <v>1</v>
      </c>
      <c r="H4080" s="36">
        <v>0</v>
      </c>
      <c r="I4080" s="37">
        <v>0</v>
      </c>
      <c r="J4080" s="36"/>
      <c r="K4080" s="36" t="s">
        <v>14330</v>
      </c>
      <c r="L4080" s="36" t="s">
        <v>14330</v>
      </c>
      <c r="M4080">
        <v>3</v>
      </c>
      <c r="N4080" t="s">
        <v>14331</v>
      </c>
      <c r="O4080" t="s">
        <v>32633</v>
      </c>
    </row>
    <row r="4081" spans="1:15" x14ac:dyDescent="0.25">
      <c r="A4081" s="35" t="s">
        <v>8275</v>
      </c>
      <c r="B4081" s="36" t="s">
        <v>8276</v>
      </c>
      <c r="C4081" s="36" t="str">
        <f>HYPERLINK("https://rhld.insurance.arkansas.gov/NPILookup?Npi=1346205507","1346205507")</f>
        <v>1346205507</v>
      </c>
      <c r="D4081" s="36" t="s">
        <v>36497</v>
      </c>
      <c r="E4081" s="36" t="s">
        <v>2</v>
      </c>
      <c r="F4081" s="36">
        <v>1</v>
      </c>
      <c r="G4081" s="36">
        <v>3</v>
      </c>
      <c r="H4081" s="36">
        <v>0</v>
      </c>
      <c r="I4081" s="37">
        <v>0</v>
      </c>
      <c r="J4081" s="36" t="s">
        <v>36190</v>
      </c>
      <c r="K4081" s="36" t="s">
        <v>14330</v>
      </c>
      <c r="L4081" s="36" t="s">
        <v>14330</v>
      </c>
      <c r="M4081">
        <v>2</v>
      </c>
      <c r="N4081" t="s">
        <v>14331</v>
      </c>
      <c r="O4081" t="s">
        <v>14333</v>
      </c>
    </row>
    <row r="4082" spans="1:15" x14ac:dyDescent="0.25">
      <c r="A4082" s="35" t="s">
        <v>8275</v>
      </c>
      <c r="B4082" s="36" t="s">
        <v>8276</v>
      </c>
      <c r="C4082" s="36" t="str">
        <f>HYPERLINK("https://rhld.insurance.arkansas.gov/NPILookup?Npi=1346208725","1346208725")</f>
        <v>1346208725</v>
      </c>
      <c r="D4082" s="36" t="s">
        <v>36498</v>
      </c>
      <c r="E4082" s="36" t="s">
        <v>2</v>
      </c>
      <c r="F4082" s="36">
        <v>1</v>
      </c>
      <c r="G4082" s="36">
        <v>2</v>
      </c>
      <c r="H4082" s="36">
        <v>0</v>
      </c>
      <c r="I4082" s="37">
        <v>0</v>
      </c>
      <c r="J4082" s="36" t="s">
        <v>36190</v>
      </c>
      <c r="K4082" s="36" t="s">
        <v>14330</v>
      </c>
      <c r="L4082" s="36" t="s">
        <v>14330</v>
      </c>
      <c r="M4082">
        <v>2</v>
      </c>
      <c r="N4082" t="s">
        <v>14331</v>
      </c>
      <c r="O4082" t="s">
        <v>14333</v>
      </c>
    </row>
    <row r="4083" spans="1:15" x14ac:dyDescent="0.25">
      <c r="A4083" s="35" t="s">
        <v>8275</v>
      </c>
      <c r="B4083" s="36" t="s">
        <v>8276</v>
      </c>
      <c r="C4083" s="36" t="str">
        <f>HYPERLINK("https://rhld.insurance.arkansas.gov/NPILookup?Npi=1346216785","1346216785")</f>
        <v>1346216785</v>
      </c>
      <c r="D4083" s="36" t="s">
        <v>36499</v>
      </c>
      <c r="E4083" s="36" t="s">
        <v>2</v>
      </c>
      <c r="F4083" s="36">
        <v>1</v>
      </c>
      <c r="G4083" s="36">
        <v>2</v>
      </c>
      <c r="H4083" s="36">
        <v>0</v>
      </c>
      <c r="I4083" s="37">
        <v>0</v>
      </c>
      <c r="J4083" s="36" t="s">
        <v>36190</v>
      </c>
      <c r="K4083" s="36" t="s">
        <v>14330</v>
      </c>
      <c r="L4083" s="36" t="s">
        <v>14330</v>
      </c>
      <c r="M4083">
        <v>2</v>
      </c>
      <c r="N4083" t="s">
        <v>14331</v>
      </c>
      <c r="O4083" t="s">
        <v>14333</v>
      </c>
    </row>
    <row r="4084" spans="1:15" x14ac:dyDescent="0.25">
      <c r="A4084" s="35" t="s">
        <v>8275</v>
      </c>
      <c r="B4084" s="36" t="s">
        <v>8276</v>
      </c>
      <c r="C4084" s="36" t="str">
        <f>HYPERLINK("https://rhld.insurance.arkansas.gov/NPILookup?Npi=1346232055","1346232055")</f>
        <v>1346232055</v>
      </c>
      <c r="D4084" s="36" t="s">
        <v>36500</v>
      </c>
      <c r="E4084" s="36" t="s">
        <v>2</v>
      </c>
      <c r="F4084" s="36">
        <v>1</v>
      </c>
      <c r="G4084" s="36">
        <v>2</v>
      </c>
      <c r="H4084" s="36">
        <v>0</v>
      </c>
      <c r="I4084" s="37">
        <v>0</v>
      </c>
      <c r="J4084" s="36"/>
      <c r="K4084" s="36" t="s">
        <v>14330</v>
      </c>
      <c r="L4084" s="36" t="s">
        <v>14330</v>
      </c>
      <c r="M4084">
        <v>0</v>
      </c>
      <c r="N4084" t="s">
        <v>14331</v>
      </c>
      <c r="O4084" t="s">
        <v>14333</v>
      </c>
    </row>
    <row r="4085" spans="1:15" x14ac:dyDescent="0.25">
      <c r="A4085" s="35" t="s">
        <v>8275</v>
      </c>
      <c r="B4085" s="36" t="s">
        <v>8276</v>
      </c>
      <c r="C4085" s="36" t="str">
        <f>HYPERLINK("https://rhld.insurance.arkansas.gov/NPILookup?Npi=1346235611","1346235611")</f>
        <v>1346235611</v>
      </c>
      <c r="D4085" s="36" t="s">
        <v>36501</v>
      </c>
      <c r="E4085" s="36" t="s">
        <v>1</v>
      </c>
      <c r="F4085" s="36">
        <v>1</v>
      </c>
      <c r="G4085" s="36">
        <v>1</v>
      </c>
      <c r="H4085" s="36">
        <v>1</v>
      </c>
      <c r="I4085" s="37">
        <v>0</v>
      </c>
      <c r="J4085" s="36" t="s">
        <v>32654</v>
      </c>
      <c r="K4085" s="36" t="s">
        <v>14330</v>
      </c>
      <c r="L4085" s="36" t="s">
        <v>36271</v>
      </c>
      <c r="M4085">
        <v>2</v>
      </c>
      <c r="N4085" t="s">
        <v>14332</v>
      </c>
      <c r="O4085" t="s">
        <v>32591</v>
      </c>
    </row>
    <row r="4086" spans="1:15" x14ac:dyDescent="0.25">
      <c r="A4086" s="35" t="s">
        <v>8275</v>
      </c>
      <c r="B4086" s="36" t="s">
        <v>8276</v>
      </c>
      <c r="C4086" s="36" t="str">
        <f>HYPERLINK("https://rhld.insurance.arkansas.gov/NPILookup?Npi=1346276441","1346276441")</f>
        <v>1346276441</v>
      </c>
      <c r="D4086" s="36" t="s">
        <v>36502</v>
      </c>
      <c r="E4086" s="36" t="s">
        <v>1</v>
      </c>
      <c r="F4086" s="36">
        <v>1</v>
      </c>
      <c r="G4086" s="36">
        <v>2</v>
      </c>
      <c r="H4086" s="36">
        <v>0</v>
      </c>
      <c r="I4086" s="37">
        <v>0</v>
      </c>
      <c r="J4086" s="36" t="s">
        <v>32654</v>
      </c>
      <c r="K4086" s="36" t="s">
        <v>14330</v>
      </c>
      <c r="L4086" s="36" t="s">
        <v>14330</v>
      </c>
      <c r="M4086">
        <v>3</v>
      </c>
      <c r="N4086" t="s">
        <v>14331</v>
      </c>
      <c r="O4086" t="s">
        <v>32633</v>
      </c>
    </row>
    <row r="4087" spans="1:15" x14ac:dyDescent="0.25">
      <c r="A4087" s="35" t="s">
        <v>8275</v>
      </c>
      <c r="B4087" s="36" t="s">
        <v>8276</v>
      </c>
      <c r="C4087" s="36" t="str">
        <f>HYPERLINK("https://rhld.insurance.arkansas.gov/NPILookup?Npi=1346300969","1346300969")</f>
        <v>1346300969</v>
      </c>
      <c r="D4087" s="36" t="s">
        <v>33129</v>
      </c>
      <c r="E4087" s="36" t="s">
        <v>2</v>
      </c>
      <c r="F4087" s="36">
        <v>1</v>
      </c>
      <c r="G4087" s="36">
        <v>3</v>
      </c>
      <c r="H4087" s="36">
        <v>0</v>
      </c>
      <c r="I4087" s="37">
        <v>0</v>
      </c>
      <c r="J4087" s="36" t="s">
        <v>36190</v>
      </c>
      <c r="K4087" s="36" t="s">
        <v>14330</v>
      </c>
      <c r="L4087" s="36" t="s">
        <v>14330</v>
      </c>
      <c r="M4087">
        <v>1</v>
      </c>
      <c r="N4087" t="s">
        <v>14331</v>
      </c>
      <c r="O4087" t="s">
        <v>14333</v>
      </c>
    </row>
    <row r="4088" spans="1:15" x14ac:dyDescent="0.25">
      <c r="A4088" s="35" t="s">
        <v>8275</v>
      </c>
      <c r="B4088" s="36" t="s">
        <v>8276</v>
      </c>
      <c r="C4088" s="36" t="str">
        <f>HYPERLINK("https://rhld.insurance.arkansas.gov/NPILookup?Npi=1346307535","1346307535")</f>
        <v>1346307535</v>
      </c>
      <c r="D4088" s="36" t="s">
        <v>36503</v>
      </c>
      <c r="E4088" s="36" t="s">
        <v>2</v>
      </c>
      <c r="F4088" s="36">
        <v>1</v>
      </c>
      <c r="G4088" s="36">
        <v>1</v>
      </c>
      <c r="H4088" s="36">
        <v>0</v>
      </c>
      <c r="I4088" s="37">
        <v>0</v>
      </c>
      <c r="J4088" s="36" t="s">
        <v>32679</v>
      </c>
      <c r="K4088" s="36" t="s">
        <v>14330</v>
      </c>
      <c r="L4088" s="36" t="s">
        <v>14330</v>
      </c>
      <c r="M4088">
        <v>2</v>
      </c>
      <c r="N4088" t="s">
        <v>14331</v>
      </c>
      <c r="O4088" t="s">
        <v>32633</v>
      </c>
    </row>
    <row r="4089" spans="1:15" x14ac:dyDescent="0.25">
      <c r="A4089" s="35" t="s">
        <v>8275</v>
      </c>
      <c r="B4089" s="36" t="s">
        <v>8276</v>
      </c>
      <c r="C4089" s="36" t="str">
        <f>HYPERLINK("https://rhld.insurance.arkansas.gov/NPILookup?Npi=1346359478","1346359478")</f>
        <v>1346359478</v>
      </c>
      <c r="D4089" s="36" t="s">
        <v>36504</v>
      </c>
      <c r="E4089" s="36" t="s">
        <v>1</v>
      </c>
      <c r="F4089" s="36">
        <v>1</v>
      </c>
      <c r="G4089" s="36">
        <v>2</v>
      </c>
      <c r="H4089" s="36">
        <v>0</v>
      </c>
      <c r="I4089" s="37">
        <v>0</v>
      </c>
      <c r="J4089" s="36" t="s">
        <v>32654</v>
      </c>
      <c r="K4089" s="36" t="s">
        <v>14330</v>
      </c>
      <c r="L4089" s="36" t="s">
        <v>14330</v>
      </c>
      <c r="M4089">
        <v>3</v>
      </c>
      <c r="N4089" t="s">
        <v>14331</v>
      </c>
      <c r="O4089" t="s">
        <v>32633</v>
      </c>
    </row>
    <row r="4090" spans="1:15" x14ac:dyDescent="0.25">
      <c r="A4090" s="35" t="s">
        <v>8275</v>
      </c>
      <c r="B4090" s="36" t="s">
        <v>8276</v>
      </c>
      <c r="C4090" s="36" t="str">
        <f>HYPERLINK("https://rhld.insurance.arkansas.gov/NPILookup?Npi=1346404001","1346404001")</f>
        <v>1346404001</v>
      </c>
      <c r="D4090" s="36" t="s">
        <v>36505</v>
      </c>
      <c r="E4090" s="36" t="s">
        <v>2</v>
      </c>
      <c r="F4090" s="36">
        <v>1</v>
      </c>
      <c r="G4090" s="36">
        <v>3</v>
      </c>
      <c r="H4090" s="36">
        <v>0</v>
      </c>
      <c r="I4090" s="37">
        <v>0</v>
      </c>
      <c r="J4090" s="36" t="s">
        <v>36190</v>
      </c>
      <c r="K4090" s="36" t="s">
        <v>14330</v>
      </c>
      <c r="L4090" s="36" t="s">
        <v>14330</v>
      </c>
      <c r="M4090">
        <v>0</v>
      </c>
      <c r="N4090" t="s">
        <v>14331</v>
      </c>
      <c r="O4090" t="s">
        <v>14333</v>
      </c>
    </row>
    <row r="4091" spans="1:15" x14ac:dyDescent="0.25">
      <c r="A4091" s="35" t="s">
        <v>8275</v>
      </c>
      <c r="B4091" s="36" t="s">
        <v>8276</v>
      </c>
      <c r="C4091" s="36" t="str">
        <f>HYPERLINK("https://rhld.insurance.arkansas.gov/NPILookup?Npi=1346536893","1346536893")</f>
        <v>1346536893</v>
      </c>
      <c r="D4091" s="36" t="s">
        <v>36506</v>
      </c>
      <c r="E4091" s="36" t="s">
        <v>1</v>
      </c>
      <c r="F4091" s="36">
        <v>1</v>
      </c>
      <c r="G4091" s="36">
        <v>1</v>
      </c>
      <c r="H4091" s="36">
        <v>1</v>
      </c>
      <c r="I4091" s="37">
        <v>0</v>
      </c>
      <c r="J4091" s="36" t="s">
        <v>32654</v>
      </c>
      <c r="K4091" s="36" t="s">
        <v>14330</v>
      </c>
      <c r="L4091" s="36" t="s">
        <v>36507</v>
      </c>
      <c r="M4091">
        <v>2</v>
      </c>
      <c r="N4091" t="s">
        <v>14332</v>
      </c>
      <c r="O4091" t="s">
        <v>32591</v>
      </c>
    </row>
    <row r="4092" spans="1:15" x14ac:dyDescent="0.25">
      <c r="A4092" s="35" t="s">
        <v>8275</v>
      </c>
      <c r="B4092" s="36" t="s">
        <v>8276</v>
      </c>
      <c r="C4092" s="36" t="str">
        <f>HYPERLINK("https://rhld.insurance.arkansas.gov/NPILookup?Npi=1346542867","1346542867")</f>
        <v>1346542867</v>
      </c>
      <c r="D4092" s="36" t="s">
        <v>35305</v>
      </c>
      <c r="E4092" s="36" t="s">
        <v>2</v>
      </c>
      <c r="F4092" s="36">
        <v>1</v>
      </c>
      <c r="G4092" s="36">
        <v>2</v>
      </c>
      <c r="H4092" s="36">
        <v>0</v>
      </c>
      <c r="I4092" s="37">
        <v>0</v>
      </c>
      <c r="J4092" s="36"/>
      <c r="K4092" s="36" t="s">
        <v>14330</v>
      </c>
      <c r="L4092" s="36" t="s">
        <v>14330</v>
      </c>
      <c r="M4092">
        <v>3</v>
      </c>
      <c r="N4092" t="s">
        <v>14331</v>
      </c>
      <c r="O4092" t="s">
        <v>14333</v>
      </c>
    </row>
    <row r="4093" spans="1:15" x14ac:dyDescent="0.25">
      <c r="A4093" s="35" t="s">
        <v>8275</v>
      </c>
      <c r="B4093" s="36" t="s">
        <v>8276</v>
      </c>
      <c r="C4093" s="36" t="str">
        <f>HYPERLINK("https://rhld.insurance.arkansas.gov/NPILookup?Npi=1346561461","1346561461")</f>
        <v>1346561461</v>
      </c>
      <c r="D4093" s="36" t="s">
        <v>36508</v>
      </c>
      <c r="E4093" s="36" t="s">
        <v>2</v>
      </c>
      <c r="F4093" s="36">
        <v>1</v>
      </c>
      <c r="G4093" s="36">
        <v>3</v>
      </c>
      <c r="H4093" s="36">
        <v>0</v>
      </c>
      <c r="I4093" s="37">
        <v>0</v>
      </c>
      <c r="J4093" s="36" t="s">
        <v>36190</v>
      </c>
      <c r="K4093" s="36" t="s">
        <v>14330</v>
      </c>
      <c r="L4093" s="36" t="s">
        <v>14330</v>
      </c>
      <c r="M4093">
        <v>3</v>
      </c>
      <c r="N4093" t="s">
        <v>14331</v>
      </c>
      <c r="O4093" t="s">
        <v>14333</v>
      </c>
    </row>
    <row r="4094" spans="1:15" x14ac:dyDescent="0.25">
      <c r="A4094" s="35" t="s">
        <v>8275</v>
      </c>
      <c r="B4094" s="36" t="s">
        <v>8276</v>
      </c>
      <c r="C4094" s="36" t="str">
        <f>HYPERLINK("https://rhld.insurance.arkansas.gov/NPILookup?Npi=1346593852","1346593852")</f>
        <v>1346593852</v>
      </c>
      <c r="D4094" s="36" t="s">
        <v>36509</v>
      </c>
      <c r="E4094" s="36" t="s">
        <v>2</v>
      </c>
      <c r="F4094" s="36">
        <v>1</v>
      </c>
      <c r="G4094" s="36">
        <v>3</v>
      </c>
      <c r="H4094" s="36">
        <v>0</v>
      </c>
      <c r="I4094" s="37">
        <v>0</v>
      </c>
      <c r="J4094" s="36" t="s">
        <v>36190</v>
      </c>
      <c r="K4094" s="36" t="s">
        <v>14330</v>
      </c>
      <c r="L4094" s="36" t="s">
        <v>14330</v>
      </c>
      <c r="M4094">
        <v>1</v>
      </c>
      <c r="N4094" t="s">
        <v>14331</v>
      </c>
      <c r="O4094" t="s">
        <v>14333</v>
      </c>
    </row>
    <row r="4095" spans="1:15" x14ac:dyDescent="0.25">
      <c r="A4095" s="35" t="s">
        <v>8275</v>
      </c>
      <c r="B4095" s="36" t="s">
        <v>8276</v>
      </c>
      <c r="C4095" s="36" t="str">
        <f>HYPERLINK("https://rhld.insurance.arkansas.gov/NPILookup?Npi=1346712106","1346712106")</f>
        <v>1346712106</v>
      </c>
      <c r="D4095" s="36" t="s">
        <v>36510</v>
      </c>
      <c r="E4095" s="36" t="s">
        <v>2</v>
      </c>
      <c r="F4095" s="36">
        <v>1</v>
      </c>
      <c r="G4095" s="36">
        <v>1</v>
      </c>
      <c r="H4095" s="36">
        <v>0</v>
      </c>
      <c r="I4095" s="37">
        <v>0</v>
      </c>
      <c r="J4095" s="36" t="s">
        <v>32679</v>
      </c>
      <c r="K4095" s="36" t="s">
        <v>14330</v>
      </c>
      <c r="L4095" s="36" t="s">
        <v>14330</v>
      </c>
      <c r="M4095">
        <v>1</v>
      </c>
      <c r="N4095" t="s">
        <v>14331</v>
      </c>
      <c r="O4095" t="s">
        <v>32633</v>
      </c>
    </row>
    <row r="4096" spans="1:15" x14ac:dyDescent="0.25">
      <c r="A4096" s="35" t="s">
        <v>8275</v>
      </c>
      <c r="B4096" s="36" t="s">
        <v>8276</v>
      </c>
      <c r="C4096" s="36" t="str">
        <f>HYPERLINK("https://rhld.insurance.arkansas.gov/NPILookup?Npi=1346822384","1346822384")</f>
        <v>1346822384</v>
      </c>
      <c r="D4096" s="36" t="s">
        <v>35309</v>
      </c>
      <c r="E4096" s="36" t="s">
        <v>2</v>
      </c>
      <c r="F4096" s="36">
        <v>1</v>
      </c>
      <c r="G4096" s="36">
        <v>1</v>
      </c>
      <c r="H4096" s="36">
        <v>0</v>
      </c>
      <c r="I4096" s="37">
        <v>0</v>
      </c>
      <c r="J4096" s="36"/>
      <c r="K4096" s="36" t="s">
        <v>14330</v>
      </c>
      <c r="L4096" s="36" t="s">
        <v>14330</v>
      </c>
      <c r="M4096">
        <v>3</v>
      </c>
      <c r="N4096" t="s">
        <v>14331</v>
      </c>
      <c r="O4096" t="s">
        <v>32633</v>
      </c>
    </row>
    <row r="4097" spans="1:15" x14ac:dyDescent="0.25">
      <c r="A4097" s="35" t="s">
        <v>8275</v>
      </c>
      <c r="B4097" s="36" t="s">
        <v>8276</v>
      </c>
      <c r="C4097" s="36" t="str">
        <f>HYPERLINK("https://rhld.insurance.arkansas.gov/NPILookup?Npi=1346874609","1346874609")</f>
        <v>1346874609</v>
      </c>
      <c r="D4097" s="36" t="s">
        <v>36511</v>
      </c>
      <c r="E4097" s="36" t="s">
        <v>2</v>
      </c>
      <c r="F4097" s="36">
        <v>1</v>
      </c>
      <c r="G4097" s="36">
        <v>3</v>
      </c>
      <c r="H4097" s="36">
        <v>0</v>
      </c>
      <c r="I4097" s="37">
        <v>0</v>
      </c>
      <c r="J4097" s="36" t="s">
        <v>36190</v>
      </c>
      <c r="K4097" s="36" t="s">
        <v>14330</v>
      </c>
      <c r="L4097" s="36" t="s">
        <v>14330</v>
      </c>
      <c r="M4097">
        <v>1</v>
      </c>
      <c r="N4097" t="s">
        <v>14331</v>
      </c>
      <c r="O4097" t="s">
        <v>14333</v>
      </c>
    </row>
    <row r="4098" spans="1:15" x14ac:dyDescent="0.25">
      <c r="A4098" s="35" t="s">
        <v>8275</v>
      </c>
      <c r="B4098" s="36" t="s">
        <v>8276</v>
      </c>
      <c r="C4098" s="36" t="str">
        <f>HYPERLINK("https://rhld.insurance.arkansas.gov/NPILookup?Npi=1346879079","1346879079")</f>
        <v>1346879079</v>
      </c>
      <c r="D4098" s="36" t="s">
        <v>35310</v>
      </c>
      <c r="E4098" s="36" t="s">
        <v>2</v>
      </c>
      <c r="F4098" s="36">
        <v>1</v>
      </c>
      <c r="G4098" s="36">
        <v>1</v>
      </c>
      <c r="H4098" s="36">
        <v>0</v>
      </c>
      <c r="I4098" s="37">
        <v>0</v>
      </c>
      <c r="J4098" s="36"/>
      <c r="K4098" s="36" t="s">
        <v>14330</v>
      </c>
      <c r="L4098" s="36" t="s">
        <v>14330</v>
      </c>
      <c r="M4098">
        <v>2</v>
      </c>
      <c r="N4098" t="s">
        <v>14331</v>
      </c>
      <c r="O4098" t="s">
        <v>32633</v>
      </c>
    </row>
    <row r="4099" spans="1:15" x14ac:dyDescent="0.25">
      <c r="A4099" s="35" t="s">
        <v>8275</v>
      </c>
      <c r="B4099" s="36" t="s">
        <v>8276</v>
      </c>
      <c r="C4099" s="36" t="str">
        <f>HYPERLINK("https://rhld.insurance.arkansas.gov/NPILookup?Npi=1346928975","1346928975")</f>
        <v>1346928975</v>
      </c>
      <c r="D4099" s="36" t="s">
        <v>36512</v>
      </c>
      <c r="E4099" s="36" t="s">
        <v>2</v>
      </c>
      <c r="F4099" s="36">
        <v>1</v>
      </c>
      <c r="G4099" s="36">
        <v>2</v>
      </c>
      <c r="H4099" s="36">
        <v>0</v>
      </c>
      <c r="I4099" s="37">
        <v>0</v>
      </c>
      <c r="J4099" s="36" t="s">
        <v>36190</v>
      </c>
      <c r="K4099" s="36" t="s">
        <v>14330</v>
      </c>
      <c r="L4099" s="36" t="s">
        <v>14330</v>
      </c>
      <c r="M4099">
        <v>3</v>
      </c>
      <c r="N4099" t="s">
        <v>14331</v>
      </c>
      <c r="O4099" t="s">
        <v>14333</v>
      </c>
    </row>
    <row r="4100" spans="1:15" x14ac:dyDescent="0.25">
      <c r="A4100" s="35" t="s">
        <v>8275</v>
      </c>
      <c r="B4100" s="36" t="s">
        <v>8276</v>
      </c>
      <c r="C4100" s="36" t="str">
        <f>HYPERLINK("https://rhld.insurance.arkansas.gov/NPILookup?Npi=1346963519","1346963519")</f>
        <v>1346963519</v>
      </c>
      <c r="D4100" s="36" t="s">
        <v>36513</v>
      </c>
      <c r="E4100" s="36" t="s">
        <v>2</v>
      </c>
      <c r="F4100" s="36">
        <v>1</v>
      </c>
      <c r="G4100" s="36">
        <v>3</v>
      </c>
      <c r="H4100" s="36">
        <v>0</v>
      </c>
      <c r="I4100" s="37">
        <v>0</v>
      </c>
      <c r="J4100" s="36" t="s">
        <v>36190</v>
      </c>
      <c r="K4100" s="36" t="s">
        <v>14330</v>
      </c>
      <c r="L4100" s="36" t="s">
        <v>14330</v>
      </c>
      <c r="M4100">
        <v>2</v>
      </c>
      <c r="N4100" t="s">
        <v>14331</v>
      </c>
      <c r="O4100" t="s">
        <v>14333</v>
      </c>
    </row>
    <row r="4101" spans="1:15" x14ac:dyDescent="0.25">
      <c r="A4101" s="35" t="s">
        <v>8275</v>
      </c>
      <c r="B4101" s="36" t="s">
        <v>8276</v>
      </c>
      <c r="C4101" s="36" t="str">
        <f>HYPERLINK("https://rhld.insurance.arkansas.gov/NPILookup?Npi=1346972437","1346972437")</f>
        <v>1346972437</v>
      </c>
      <c r="D4101" s="36" t="s">
        <v>36514</v>
      </c>
      <c r="E4101" s="36" t="s">
        <v>2</v>
      </c>
      <c r="F4101" s="36">
        <v>1</v>
      </c>
      <c r="G4101" s="36">
        <v>2</v>
      </c>
      <c r="H4101" s="36">
        <v>0</v>
      </c>
      <c r="I4101" s="37">
        <v>0</v>
      </c>
      <c r="J4101" s="36" t="s">
        <v>36190</v>
      </c>
      <c r="K4101" s="36" t="s">
        <v>14330</v>
      </c>
      <c r="L4101" s="36" t="s">
        <v>14330</v>
      </c>
      <c r="M4101">
        <v>3</v>
      </c>
      <c r="N4101" t="s">
        <v>14331</v>
      </c>
      <c r="O4101" t="s">
        <v>14333</v>
      </c>
    </row>
    <row r="4102" spans="1:15" x14ac:dyDescent="0.25">
      <c r="A4102" s="35" t="s">
        <v>8275</v>
      </c>
      <c r="B4102" s="36" t="s">
        <v>8276</v>
      </c>
      <c r="C4102" s="36" t="str">
        <f>HYPERLINK("https://rhld.insurance.arkansas.gov/NPILookup?Npi=1346993441","1346993441")</f>
        <v>1346993441</v>
      </c>
      <c r="D4102" s="36" t="s">
        <v>36515</v>
      </c>
      <c r="E4102" s="36" t="s">
        <v>2</v>
      </c>
      <c r="F4102" s="36">
        <v>1</v>
      </c>
      <c r="G4102" s="36">
        <v>3</v>
      </c>
      <c r="H4102" s="36">
        <v>0</v>
      </c>
      <c r="I4102" s="37">
        <v>0</v>
      </c>
      <c r="J4102" s="36" t="s">
        <v>36190</v>
      </c>
      <c r="K4102" s="36" t="s">
        <v>14330</v>
      </c>
      <c r="L4102" s="36" t="s">
        <v>14330</v>
      </c>
      <c r="M4102">
        <v>2</v>
      </c>
      <c r="N4102" t="s">
        <v>14331</v>
      </c>
      <c r="O4102" t="s">
        <v>14333</v>
      </c>
    </row>
    <row r="4103" spans="1:15" x14ac:dyDescent="0.25">
      <c r="A4103" s="35" t="s">
        <v>8275</v>
      </c>
      <c r="B4103" s="36" t="s">
        <v>8276</v>
      </c>
      <c r="C4103" s="36" t="str">
        <f>HYPERLINK("https://rhld.insurance.arkansas.gov/NPILookup?Npi=1356015465","1356015465")</f>
        <v>1356015465</v>
      </c>
      <c r="D4103" s="36" t="s">
        <v>36516</v>
      </c>
      <c r="E4103" s="36" t="s">
        <v>2</v>
      </c>
      <c r="F4103" s="36">
        <v>1</v>
      </c>
      <c r="G4103" s="36">
        <v>2</v>
      </c>
      <c r="H4103" s="36">
        <v>0</v>
      </c>
      <c r="I4103" s="37">
        <v>0</v>
      </c>
      <c r="J4103" s="36" t="s">
        <v>36190</v>
      </c>
      <c r="K4103" s="36" t="s">
        <v>14330</v>
      </c>
      <c r="L4103" s="36" t="s">
        <v>14330</v>
      </c>
      <c r="M4103">
        <v>2</v>
      </c>
      <c r="N4103" t="s">
        <v>14331</v>
      </c>
      <c r="O4103" t="s">
        <v>14333</v>
      </c>
    </row>
    <row r="4104" spans="1:15" x14ac:dyDescent="0.25">
      <c r="A4104" s="35" t="s">
        <v>8275</v>
      </c>
      <c r="B4104" s="36" t="s">
        <v>8276</v>
      </c>
      <c r="C4104" s="36" t="str">
        <f>HYPERLINK("https://rhld.insurance.arkansas.gov/NPILookup?Npi=1356042964","1356042964")</f>
        <v>1356042964</v>
      </c>
      <c r="D4104" s="36" t="s">
        <v>35313</v>
      </c>
      <c r="E4104" s="36" t="s">
        <v>2</v>
      </c>
      <c r="F4104" s="36">
        <v>1</v>
      </c>
      <c r="G4104" s="36">
        <v>2</v>
      </c>
      <c r="H4104" s="36">
        <v>0</v>
      </c>
      <c r="I4104" s="37">
        <v>0</v>
      </c>
      <c r="J4104" s="36"/>
      <c r="K4104" s="36" t="s">
        <v>14330</v>
      </c>
      <c r="L4104" s="36" t="s">
        <v>14330</v>
      </c>
      <c r="M4104">
        <v>1</v>
      </c>
      <c r="N4104" t="s">
        <v>14331</v>
      </c>
      <c r="O4104" t="s">
        <v>14333</v>
      </c>
    </row>
    <row r="4105" spans="1:15" x14ac:dyDescent="0.25">
      <c r="A4105" s="35" t="s">
        <v>8275</v>
      </c>
      <c r="B4105" s="36" t="s">
        <v>8276</v>
      </c>
      <c r="C4105" s="36" t="str">
        <f>HYPERLINK("https://rhld.insurance.arkansas.gov/NPILookup?Npi=1356157481","1356157481")</f>
        <v>1356157481</v>
      </c>
      <c r="D4105" s="36" t="s">
        <v>35314</v>
      </c>
      <c r="E4105" s="36" t="s">
        <v>2</v>
      </c>
      <c r="F4105" s="36">
        <v>1</v>
      </c>
      <c r="G4105" s="36">
        <v>1</v>
      </c>
      <c r="H4105" s="36">
        <v>0</v>
      </c>
      <c r="I4105" s="37">
        <v>0</v>
      </c>
      <c r="J4105" s="36"/>
      <c r="K4105" s="36" t="s">
        <v>14330</v>
      </c>
      <c r="L4105" s="36" t="s">
        <v>14330</v>
      </c>
      <c r="M4105">
        <v>2</v>
      </c>
      <c r="N4105" t="s">
        <v>14331</v>
      </c>
      <c r="O4105" t="s">
        <v>32633</v>
      </c>
    </row>
    <row r="4106" spans="1:15" x14ac:dyDescent="0.25">
      <c r="A4106" s="35" t="s">
        <v>8275</v>
      </c>
      <c r="B4106" s="36" t="s">
        <v>8276</v>
      </c>
      <c r="C4106" s="36" t="str">
        <f>HYPERLINK("https://rhld.insurance.arkansas.gov/NPILookup?Npi=1356168132","1356168132")</f>
        <v>1356168132</v>
      </c>
      <c r="D4106" s="36" t="s">
        <v>35315</v>
      </c>
      <c r="E4106" s="36" t="s">
        <v>2</v>
      </c>
      <c r="F4106" s="36">
        <v>1</v>
      </c>
      <c r="G4106" s="36">
        <v>2</v>
      </c>
      <c r="H4106" s="36">
        <v>0</v>
      </c>
      <c r="I4106" s="37">
        <v>0</v>
      </c>
      <c r="J4106" s="36"/>
      <c r="K4106" s="36" t="s">
        <v>14330</v>
      </c>
      <c r="L4106" s="36" t="s">
        <v>14330</v>
      </c>
      <c r="M4106">
        <v>2</v>
      </c>
      <c r="N4106" t="s">
        <v>14331</v>
      </c>
      <c r="O4106" t="s">
        <v>14333</v>
      </c>
    </row>
    <row r="4107" spans="1:15" x14ac:dyDescent="0.25">
      <c r="A4107" s="35" t="s">
        <v>8275</v>
      </c>
      <c r="B4107" s="36" t="s">
        <v>8276</v>
      </c>
      <c r="C4107" s="36" t="str">
        <f>HYPERLINK("https://rhld.insurance.arkansas.gov/NPILookup?Npi=1356301147","1356301147")</f>
        <v>1356301147</v>
      </c>
      <c r="D4107" s="36" t="s">
        <v>36517</v>
      </c>
      <c r="E4107" s="36" t="s">
        <v>2</v>
      </c>
      <c r="F4107" s="36">
        <v>1</v>
      </c>
      <c r="G4107" s="36">
        <v>2</v>
      </c>
      <c r="H4107" s="36">
        <v>0</v>
      </c>
      <c r="I4107" s="37">
        <v>0</v>
      </c>
      <c r="J4107" s="36" t="s">
        <v>36190</v>
      </c>
      <c r="K4107" s="36" t="s">
        <v>14330</v>
      </c>
      <c r="L4107" s="36" t="s">
        <v>14330</v>
      </c>
      <c r="M4107">
        <v>3</v>
      </c>
      <c r="N4107" t="s">
        <v>14331</v>
      </c>
      <c r="O4107" t="s">
        <v>14333</v>
      </c>
    </row>
    <row r="4108" spans="1:15" x14ac:dyDescent="0.25">
      <c r="A4108" s="35" t="s">
        <v>8275</v>
      </c>
      <c r="B4108" s="36" t="s">
        <v>8276</v>
      </c>
      <c r="C4108" s="36" t="str">
        <f>HYPERLINK("https://rhld.insurance.arkansas.gov/NPILookup?Npi=1356328520","1356328520")</f>
        <v>1356328520</v>
      </c>
      <c r="D4108" s="36" t="s">
        <v>36518</v>
      </c>
      <c r="E4108" s="36" t="s">
        <v>2</v>
      </c>
      <c r="F4108" s="36">
        <v>1</v>
      </c>
      <c r="G4108" s="36">
        <v>3</v>
      </c>
      <c r="H4108" s="36">
        <v>0</v>
      </c>
      <c r="I4108" s="37">
        <v>0</v>
      </c>
      <c r="J4108" s="36" t="s">
        <v>36190</v>
      </c>
      <c r="K4108" s="36" t="s">
        <v>14330</v>
      </c>
      <c r="L4108" s="36" t="s">
        <v>14330</v>
      </c>
      <c r="M4108">
        <v>2</v>
      </c>
      <c r="N4108" t="s">
        <v>14331</v>
      </c>
      <c r="O4108" t="s">
        <v>14333</v>
      </c>
    </row>
    <row r="4109" spans="1:15" x14ac:dyDescent="0.25">
      <c r="A4109" s="35" t="s">
        <v>8275</v>
      </c>
      <c r="B4109" s="36" t="s">
        <v>8276</v>
      </c>
      <c r="C4109" s="36" t="str">
        <f>HYPERLINK("https://rhld.insurance.arkansas.gov/NPILookup?Npi=1356338131","1356338131")</f>
        <v>1356338131</v>
      </c>
      <c r="D4109" s="36" t="s">
        <v>36519</v>
      </c>
      <c r="E4109" s="36" t="s">
        <v>1</v>
      </c>
      <c r="F4109" s="36">
        <v>1</v>
      </c>
      <c r="G4109" s="36">
        <v>2</v>
      </c>
      <c r="H4109" s="36">
        <v>0</v>
      </c>
      <c r="I4109" s="37">
        <v>0</v>
      </c>
      <c r="J4109" s="36" t="s">
        <v>32654</v>
      </c>
      <c r="K4109" s="36" t="s">
        <v>14330</v>
      </c>
      <c r="L4109" s="36" t="s">
        <v>14330</v>
      </c>
      <c r="M4109">
        <v>3</v>
      </c>
      <c r="N4109" t="s">
        <v>14331</v>
      </c>
      <c r="O4109" t="s">
        <v>32633</v>
      </c>
    </row>
    <row r="4110" spans="1:15" x14ac:dyDescent="0.25">
      <c r="A4110" s="35" t="s">
        <v>8275</v>
      </c>
      <c r="B4110" s="36" t="s">
        <v>8276</v>
      </c>
      <c r="C4110" s="36" t="str">
        <f>HYPERLINK("https://rhld.insurance.arkansas.gov/NPILookup?Npi=1356373286","1356373286")</f>
        <v>1356373286</v>
      </c>
      <c r="D4110" s="36" t="s">
        <v>36520</v>
      </c>
      <c r="E4110" s="36" t="s">
        <v>2</v>
      </c>
      <c r="F4110" s="36">
        <v>1</v>
      </c>
      <c r="G4110" s="36">
        <v>3</v>
      </c>
      <c r="H4110" s="36">
        <v>0</v>
      </c>
      <c r="I4110" s="37">
        <v>0</v>
      </c>
      <c r="J4110" s="36" t="s">
        <v>36190</v>
      </c>
      <c r="K4110" s="36" t="s">
        <v>14330</v>
      </c>
      <c r="L4110" s="36" t="s">
        <v>14330</v>
      </c>
      <c r="M4110">
        <v>1</v>
      </c>
      <c r="N4110" t="s">
        <v>14331</v>
      </c>
      <c r="O4110" t="s">
        <v>14333</v>
      </c>
    </row>
    <row r="4111" spans="1:15" x14ac:dyDescent="0.25">
      <c r="A4111" s="35" t="s">
        <v>8275</v>
      </c>
      <c r="B4111" s="36" t="s">
        <v>8276</v>
      </c>
      <c r="C4111" s="36" t="str">
        <f>HYPERLINK("https://rhld.insurance.arkansas.gov/NPILookup?Npi=1356431910","1356431910")</f>
        <v>1356431910</v>
      </c>
      <c r="D4111" s="36" t="s">
        <v>36521</v>
      </c>
      <c r="E4111" s="36" t="s">
        <v>1</v>
      </c>
      <c r="F4111" s="36">
        <v>1</v>
      </c>
      <c r="G4111" s="36">
        <v>2</v>
      </c>
      <c r="H4111" s="36">
        <v>1</v>
      </c>
      <c r="I4111" s="37">
        <v>0</v>
      </c>
      <c r="J4111" s="36" t="s">
        <v>32654</v>
      </c>
      <c r="K4111" s="36" t="s">
        <v>14330</v>
      </c>
      <c r="L4111" s="36" t="s">
        <v>36271</v>
      </c>
      <c r="M4111">
        <v>3</v>
      </c>
      <c r="N4111" t="s">
        <v>14332</v>
      </c>
      <c r="O4111" t="s">
        <v>32591</v>
      </c>
    </row>
    <row r="4112" spans="1:15" x14ac:dyDescent="0.25">
      <c r="A4112" s="35" t="s">
        <v>8275</v>
      </c>
      <c r="B4112" s="36" t="s">
        <v>8276</v>
      </c>
      <c r="C4112" s="36" t="str">
        <f>HYPERLINK("https://rhld.insurance.arkansas.gov/NPILookup?Npi=1356489272","1356489272")</f>
        <v>1356489272</v>
      </c>
      <c r="D4112" s="36" t="s">
        <v>36522</v>
      </c>
      <c r="E4112" s="36" t="s">
        <v>2</v>
      </c>
      <c r="F4112" s="36">
        <v>1</v>
      </c>
      <c r="G4112" s="36">
        <v>3</v>
      </c>
      <c r="H4112" s="36">
        <v>0</v>
      </c>
      <c r="I4112" s="37">
        <v>0</v>
      </c>
      <c r="J4112" s="36" t="s">
        <v>36190</v>
      </c>
      <c r="K4112" s="36" t="s">
        <v>14330</v>
      </c>
      <c r="L4112" s="36" t="s">
        <v>14330</v>
      </c>
      <c r="M4112">
        <v>2</v>
      </c>
      <c r="N4112" t="s">
        <v>14331</v>
      </c>
      <c r="O4112" t="s">
        <v>14333</v>
      </c>
    </row>
    <row r="4113" spans="1:15" x14ac:dyDescent="0.25">
      <c r="A4113" s="35" t="s">
        <v>8275</v>
      </c>
      <c r="B4113" s="36" t="s">
        <v>8276</v>
      </c>
      <c r="C4113" s="36" t="str">
        <f>HYPERLINK("https://rhld.insurance.arkansas.gov/NPILookup?Npi=1356502710","1356502710")</f>
        <v>1356502710</v>
      </c>
      <c r="D4113" s="36" t="s">
        <v>36523</v>
      </c>
      <c r="E4113" s="36" t="s">
        <v>2</v>
      </c>
      <c r="F4113" s="36">
        <v>1</v>
      </c>
      <c r="G4113" s="36">
        <v>2</v>
      </c>
      <c r="H4113" s="36">
        <v>0</v>
      </c>
      <c r="I4113" s="37">
        <v>0</v>
      </c>
      <c r="J4113" s="36" t="s">
        <v>36190</v>
      </c>
      <c r="K4113" s="36" t="s">
        <v>14330</v>
      </c>
      <c r="L4113" s="36" t="s">
        <v>14330</v>
      </c>
      <c r="M4113">
        <v>3</v>
      </c>
      <c r="N4113" t="s">
        <v>14331</v>
      </c>
      <c r="O4113" t="s">
        <v>14333</v>
      </c>
    </row>
    <row r="4114" spans="1:15" x14ac:dyDescent="0.25">
      <c r="A4114" s="35" t="s">
        <v>8275</v>
      </c>
      <c r="B4114" s="36" t="s">
        <v>8276</v>
      </c>
      <c r="C4114" s="36" t="str">
        <f>HYPERLINK("https://rhld.insurance.arkansas.gov/NPILookup?Npi=1356513394","1356513394")</f>
        <v>1356513394</v>
      </c>
      <c r="D4114" s="36" t="s">
        <v>36524</v>
      </c>
      <c r="E4114" s="36" t="s">
        <v>2</v>
      </c>
      <c r="F4114" s="36">
        <v>1</v>
      </c>
      <c r="G4114" s="36">
        <v>3</v>
      </c>
      <c r="H4114" s="36">
        <v>0</v>
      </c>
      <c r="I4114" s="37">
        <v>0</v>
      </c>
      <c r="J4114" s="36" t="s">
        <v>36190</v>
      </c>
      <c r="K4114" s="36" t="s">
        <v>14330</v>
      </c>
      <c r="L4114" s="36" t="s">
        <v>14330</v>
      </c>
      <c r="M4114">
        <v>2</v>
      </c>
      <c r="N4114" t="s">
        <v>14331</v>
      </c>
      <c r="O4114" t="s">
        <v>14333</v>
      </c>
    </row>
    <row r="4115" spans="1:15" x14ac:dyDescent="0.25">
      <c r="A4115" s="35" t="s">
        <v>8275</v>
      </c>
      <c r="B4115" s="36" t="s">
        <v>8276</v>
      </c>
      <c r="C4115" s="36" t="str">
        <f>HYPERLINK("https://rhld.insurance.arkansas.gov/NPILookup?Npi=1356563241","1356563241")</f>
        <v>1356563241</v>
      </c>
      <c r="D4115" s="36" t="s">
        <v>36525</v>
      </c>
      <c r="E4115" s="36" t="s">
        <v>2</v>
      </c>
      <c r="F4115" s="36">
        <v>1</v>
      </c>
      <c r="G4115" s="36">
        <v>2</v>
      </c>
      <c r="H4115" s="36">
        <v>0</v>
      </c>
      <c r="I4115" s="37">
        <v>0</v>
      </c>
      <c r="J4115" s="36" t="s">
        <v>36190</v>
      </c>
      <c r="K4115" s="36" t="s">
        <v>14330</v>
      </c>
      <c r="L4115" s="36" t="s">
        <v>14330</v>
      </c>
      <c r="M4115">
        <v>3</v>
      </c>
      <c r="N4115" t="s">
        <v>14331</v>
      </c>
      <c r="O4115" t="s">
        <v>14333</v>
      </c>
    </row>
    <row r="4116" spans="1:15" x14ac:dyDescent="0.25">
      <c r="A4116" s="35" t="s">
        <v>8275</v>
      </c>
      <c r="B4116" s="36" t="s">
        <v>8276</v>
      </c>
      <c r="C4116" s="36" t="str">
        <f>HYPERLINK("https://rhld.insurance.arkansas.gov/NPILookup?Npi=1356581151","1356581151")</f>
        <v>1356581151</v>
      </c>
      <c r="D4116" s="36" t="s">
        <v>36526</v>
      </c>
      <c r="E4116" s="36" t="s">
        <v>2</v>
      </c>
      <c r="F4116" s="36">
        <v>1</v>
      </c>
      <c r="G4116" s="36">
        <v>3</v>
      </c>
      <c r="H4116" s="36">
        <v>0</v>
      </c>
      <c r="I4116" s="37">
        <v>0</v>
      </c>
      <c r="J4116" s="36" t="s">
        <v>36190</v>
      </c>
      <c r="K4116" s="36" t="s">
        <v>14330</v>
      </c>
      <c r="L4116" s="36" t="s">
        <v>14330</v>
      </c>
      <c r="M4116">
        <v>3</v>
      </c>
      <c r="N4116" t="s">
        <v>14331</v>
      </c>
      <c r="O4116" t="s">
        <v>14333</v>
      </c>
    </row>
    <row r="4117" spans="1:15" x14ac:dyDescent="0.25">
      <c r="A4117" s="35" t="s">
        <v>8275</v>
      </c>
      <c r="B4117" s="36" t="s">
        <v>8276</v>
      </c>
      <c r="C4117" s="36" t="str">
        <f>HYPERLINK("https://rhld.insurance.arkansas.gov/NPILookup?Npi=1356600829","1356600829")</f>
        <v>1356600829</v>
      </c>
      <c r="D4117" s="36" t="s">
        <v>36527</v>
      </c>
      <c r="E4117" s="36" t="s">
        <v>2</v>
      </c>
      <c r="F4117" s="36">
        <v>1</v>
      </c>
      <c r="G4117" s="36">
        <v>3</v>
      </c>
      <c r="H4117" s="36">
        <v>0</v>
      </c>
      <c r="I4117" s="37">
        <v>0</v>
      </c>
      <c r="J4117" s="36" t="s">
        <v>36190</v>
      </c>
      <c r="K4117" s="36" t="s">
        <v>14330</v>
      </c>
      <c r="L4117" s="36" t="s">
        <v>14330</v>
      </c>
      <c r="M4117">
        <v>3</v>
      </c>
      <c r="N4117" t="s">
        <v>14331</v>
      </c>
      <c r="O4117" t="s">
        <v>14333</v>
      </c>
    </row>
    <row r="4118" spans="1:15" x14ac:dyDescent="0.25">
      <c r="A4118" s="35" t="s">
        <v>8275</v>
      </c>
      <c r="B4118" s="36" t="s">
        <v>8276</v>
      </c>
      <c r="C4118" s="36" t="str">
        <f>HYPERLINK("https://rhld.insurance.arkansas.gov/NPILookup?Npi=1356810246","1356810246")</f>
        <v>1356810246</v>
      </c>
      <c r="D4118" s="36" t="s">
        <v>36528</v>
      </c>
      <c r="E4118" s="36" t="s">
        <v>2</v>
      </c>
      <c r="F4118" s="36">
        <v>1</v>
      </c>
      <c r="G4118" s="36">
        <v>3</v>
      </c>
      <c r="H4118" s="36">
        <v>0</v>
      </c>
      <c r="I4118" s="37">
        <v>0</v>
      </c>
      <c r="J4118" s="36" t="s">
        <v>36190</v>
      </c>
      <c r="K4118" s="36" t="s">
        <v>14330</v>
      </c>
      <c r="L4118" s="36" t="s">
        <v>14330</v>
      </c>
      <c r="M4118">
        <v>2</v>
      </c>
      <c r="N4118" t="s">
        <v>14331</v>
      </c>
      <c r="O4118" t="s">
        <v>14333</v>
      </c>
    </row>
    <row r="4119" spans="1:15" x14ac:dyDescent="0.25">
      <c r="A4119" s="35" t="s">
        <v>8275</v>
      </c>
      <c r="B4119" s="36" t="s">
        <v>8276</v>
      </c>
      <c r="C4119" s="36" t="str">
        <f>HYPERLINK("https://rhld.insurance.arkansas.gov/NPILookup?Npi=1356978142","1356978142")</f>
        <v>1356978142</v>
      </c>
      <c r="D4119" s="36" t="s">
        <v>31261</v>
      </c>
      <c r="E4119" s="36" t="s">
        <v>2</v>
      </c>
      <c r="F4119" s="36">
        <v>1</v>
      </c>
      <c r="G4119" s="36">
        <v>2</v>
      </c>
      <c r="H4119" s="36">
        <v>0</v>
      </c>
      <c r="I4119" s="37">
        <v>0</v>
      </c>
      <c r="J4119" s="36" t="s">
        <v>36190</v>
      </c>
      <c r="K4119" s="36" t="s">
        <v>14330</v>
      </c>
      <c r="L4119" s="36" t="s">
        <v>14330</v>
      </c>
      <c r="M4119">
        <v>3</v>
      </c>
      <c r="N4119" t="s">
        <v>14331</v>
      </c>
      <c r="O4119" t="s">
        <v>14333</v>
      </c>
    </row>
    <row r="4120" spans="1:15" x14ac:dyDescent="0.25">
      <c r="A4120" s="35" t="s">
        <v>8275</v>
      </c>
      <c r="B4120" s="36" t="s">
        <v>8276</v>
      </c>
      <c r="C4120" s="36" t="str">
        <f>HYPERLINK("https://rhld.insurance.arkansas.gov/NPILookup?Npi=1366070765","1366070765")</f>
        <v>1366070765</v>
      </c>
      <c r="D4120" s="36" t="s">
        <v>36529</v>
      </c>
      <c r="E4120" s="36" t="s">
        <v>2</v>
      </c>
      <c r="F4120" s="36">
        <v>1</v>
      </c>
      <c r="G4120" s="36">
        <v>3</v>
      </c>
      <c r="H4120" s="36">
        <v>0</v>
      </c>
      <c r="I4120" s="37">
        <v>0</v>
      </c>
      <c r="J4120" s="36" t="s">
        <v>36190</v>
      </c>
      <c r="K4120" s="36" t="s">
        <v>14330</v>
      </c>
      <c r="L4120" s="36" t="s">
        <v>14330</v>
      </c>
      <c r="M4120">
        <v>2</v>
      </c>
      <c r="N4120" t="s">
        <v>14331</v>
      </c>
      <c r="O4120" t="s">
        <v>14333</v>
      </c>
    </row>
    <row r="4121" spans="1:15" x14ac:dyDescent="0.25">
      <c r="A4121" s="35" t="s">
        <v>8275</v>
      </c>
      <c r="B4121" s="36" t="s">
        <v>8276</v>
      </c>
      <c r="C4121" s="36" t="str">
        <f>HYPERLINK("https://rhld.insurance.arkansas.gov/NPILookup?Npi=1366258774","1366258774")</f>
        <v>1366258774</v>
      </c>
      <c r="D4121" s="36" t="s">
        <v>35331</v>
      </c>
      <c r="E4121" s="36" t="s">
        <v>2</v>
      </c>
      <c r="F4121" s="36">
        <v>1</v>
      </c>
      <c r="G4121" s="36">
        <v>2</v>
      </c>
      <c r="H4121" s="36">
        <v>0</v>
      </c>
      <c r="I4121" s="37">
        <v>0</v>
      </c>
      <c r="J4121" s="36"/>
      <c r="K4121" s="36" t="s">
        <v>14330</v>
      </c>
      <c r="L4121" s="36" t="s">
        <v>14330</v>
      </c>
      <c r="M4121">
        <v>2</v>
      </c>
      <c r="N4121" t="s">
        <v>14331</v>
      </c>
      <c r="O4121" t="s">
        <v>14333</v>
      </c>
    </row>
    <row r="4122" spans="1:15" x14ac:dyDescent="0.25">
      <c r="A4122" s="35" t="s">
        <v>8275</v>
      </c>
      <c r="B4122" s="36" t="s">
        <v>8276</v>
      </c>
      <c r="C4122" s="36" t="str">
        <f>HYPERLINK("https://rhld.insurance.arkansas.gov/NPILookup?Npi=1366268930","1366268930")</f>
        <v>1366268930</v>
      </c>
      <c r="D4122" s="36" t="s">
        <v>35332</v>
      </c>
      <c r="E4122" s="36" t="s">
        <v>2</v>
      </c>
      <c r="F4122" s="36">
        <v>1</v>
      </c>
      <c r="G4122" s="36">
        <v>2</v>
      </c>
      <c r="H4122" s="36">
        <v>0</v>
      </c>
      <c r="I4122" s="37">
        <v>0</v>
      </c>
      <c r="J4122" s="36"/>
      <c r="K4122" s="36" t="s">
        <v>14330</v>
      </c>
      <c r="L4122" s="36" t="s">
        <v>14330</v>
      </c>
      <c r="M4122">
        <v>2</v>
      </c>
      <c r="N4122" t="s">
        <v>14331</v>
      </c>
      <c r="O4122" t="s">
        <v>14333</v>
      </c>
    </row>
    <row r="4123" spans="1:15" x14ac:dyDescent="0.25">
      <c r="A4123" s="35" t="s">
        <v>8275</v>
      </c>
      <c r="B4123" s="36" t="s">
        <v>8276</v>
      </c>
      <c r="C4123" s="36" t="str">
        <f>HYPERLINK("https://rhld.insurance.arkansas.gov/NPILookup?Npi=1366285546","1366285546")</f>
        <v>1366285546</v>
      </c>
      <c r="D4123" s="36" t="s">
        <v>35333</v>
      </c>
      <c r="E4123" s="36" t="s">
        <v>2</v>
      </c>
      <c r="F4123" s="36">
        <v>1</v>
      </c>
      <c r="G4123" s="36">
        <v>2</v>
      </c>
      <c r="H4123" s="36">
        <v>0</v>
      </c>
      <c r="I4123" s="37">
        <v>0</v>
      </c>
      <c r="J4123" s="36"/>
      <c r="K4123" s="36" t="s">
        <v>14330</v>
      </c>
      <c r="L4123" s="36" t="s">
        <v>14330</v>
      </c>
      <c r="M4123">
        <v>3</v>
      </c>
      <c r="N4123" t="s">
        <v>14331</v>
      </c>
      <c r="O4123" t="s">
        <v>14333</v>
      </c>
    </row>
    <row r="4124" spans="1:15" x14ac:dyDescent="0.25">
      <c r="A4124" s="35" t="s">
        <v>8275</v>
      </c>
      <c r="B4124" s="36" t="s">
        <v>8276</v>
      </c>
      <c r="C4124" s="36" t="str">
        <f>HYPERLINK("https://rhld.insurance.arkansas.gov/NPILookup?Npi=1366403479","1366403479")</f>
        <v>1366403479</v>
      </c>
      <c r="D4124" s="36" t="s">
        <v>33133</v>
      </c>
      <c r="E4124" s="36" t="s">
        <v>2</v>
      </c>
      <c r="F4124" s="36">
        <v>1</v>
      </c>
      <c r="G4124" s="36">
        <v>3</v>
      </c>
      <c r="H4124" s="36">
        <v>0</v>
      </c>
      <c r="I4124" s="37">
        <v>0</v>
      </c>
      <c r="J4124" s="36" t="s">
        <v>36190</v>
      </c>
      <c r="K4124" s="36" t="s">
        <v>14330</v>
      </c>
      <c r="L4124" s="36" t="s">
        <v>14330</v>
      </c>
      <c r="M4124">
        <v>3</v>
      </c>
      <c r="N4124" t="s">
        <v>14331</v>
      </c>
      <c r="O4124" t="s">
        <v>14333</v>
      </c>
    </row>
    <row r="4125" spans="1:15" x14ac:dyDescent="0.25">
      <c r="A4125" s="35" t="s">
        <v>8275</v>
      </c>
      <c r="B4125" s="36" t="s">
        <v>8276</v>
      </c>
      <c r="C4125" s="36" t="str">
        <f>HYPERLINK("https://rhld.insurance.arkansas.gov/NPILookup?Npi=1366470205","1366470205")</f>
        <v>1366470205</v>
      </c>
      <c r="D4125" s="36" t="s">
        <v>36530</v>
      </c>
      <c r="E4125" s="36" t="s">
        <v>2</v>
      </c>
      <c r="F4125" s="36">
        <v>1</v>
      </c>
      <c r="G4125" s="36">
        <v>3</v>
      </c>
      <c r="H4125" s="36">
        <v>0</v>
      </c>
      <c r="I4125" s="37">
        <v>0</v>
      </c>
      <c r="J4125" s="36" t="s">
        <v>36190</v>
      </c>
      <c r="K4125" s="36" t="s">
        <v>14330</v>
      </c>
      <c r="L4125" s="36" t="s">
        <v>14330</v>
      </c>
      <c r="M4125">
        <v>2</v>
      </c>
      <c r="N4125" t="s">
        <v>14331</v>
      </c>
      <c r="O4125" t="s">
        <v>14333</v>
      </c>
    </row>
    <row r="4126" spans="1:15" x14ac:dyDescent="0.25">
      <c r="A4126" s="35" t="s">
        <v>8275</v>
      </c>
      <c r="B4126" s="36" t="s">
        <v>8276</v>
      </c>
      <c r="C4126" s="36" t="str">
        <f>HYPERLINK("https://rhld.insurance.arkansas.gov/NPILookup?Npi=1366472144","1366472144")</f>
        <v>1366472144</v>
      </c>
      <c r="D4126" s="36" t="s">
        <v>36531</v>
      </c>
      <c r="E4126" s="36" t="s">
        <v>2</v>
      </c>
      <c r="F4126" s="36">
        <v>1</v>
      </c>
      <c r="G4126" s="36">
        <v>2</v>
      </c>
      <c r="H4126" s="36">
        <v>0</v>
      </c>
      <c r="I4126" s="37">
        <v>0</v>
      </c>
      <c r="J4126" s="36" t="s">
        <v>36190</v>
      </c>
      <c r="K4126" s="36" t="s">
        <v>14330</v>
      </c>
      <c r="L4126" s="36" t="s">
        <v>14330</v>
      </c>
      <c r="M4126">
        <v>2</v>
      </c>
      <c r="N4126" t="s">
        <v>14331</v>
      </c>
      <c r="O4126" t="s">
        <v>14333</v>
      </c>
    </row>
    <row r="4127" spans="1:15" x14ac:dyDescent="0.25">
      <c r="A4127" s="35" t="s">
        <v>8275</v>
      </c>
      <c r="B4127" s="36" t="s">
        <v>8276</v>
      </c>
      <c r="C4127" s="36" t="str">
        <f>HYPERLINK("https://rhld.insurance.arkansas.gov/NPILookup?Npi=1366511289","1366511289")</f>
        <v>1366511289</v>
      </c>
      <c r="D4127" s="36" t="s">
        <v>36532</v>
      </c>
      <c r="E4127" s="36" t="s">
        <v>2</v>
      </c>
      <c r="F4127" s="36">
        <v>1</v>
      </c>
      <c r="G4127" s="36">
        <v>2</v>
      </c>
      <c r="H4127" s="36">
        <v>0</v>
      </c>
      <c r="I4127" s="37">
        <v>0</v>
      </c>
      <c r="J4127" s="36" t="s">
        <v>36190</v>
      </c>
      <c r="K4127" s="36" t="s">
        <v>14330</v>
      </c>
      <c r="L4127" s="36" t="s">
        <v>14330</v>
      </c>
      <c r="M4127">
        <v>2</v>
      </c>
      <c r="N4127" t="s">
        <v>14331</v>
      </c>
      <c r="O4127" t="s">
        <v>14333</v>
      </c>
    </row>
    <row r="4128" spans="1:15" x14ac:dyDescent="0.25">
      <c r="A4128" s="35" t="s">
        <v>8275</v>
      </c>
      <c r="B4128" s="36" t="s">
        <v>8276</v>
      </c>
      <c r="C4128" s="36" t="str">
        <f>HYPERLINK("https://rhld.insurance.arkansas.gov/NPILookup?Npi=1366606923","1366606923")</f>
        <v>1366606923</v>
      </c>
      <c r="D4128" s="36" t="s">
        <v>36533</v>
      </c>
      <c r="E4128" s="36" t="s">
        <v>2</v>
      </c>
      <c r="F4128" s="36">
        <v>1</v>
      </c>
      <c r="G4128" s="36">
        <v>2</v>
      </c>
      <c r="H4128" s="36">
        <v>0</v>
      </c>
      <c r="I4128" s="37">
        <v>0</v>
      </c>
      <c r="J4128" s="36" t="s">
        <v>36190</v>
      </c>
      <c r="K4128" s="36" t="s">
        <v>14330</v>
      </c>
      <c r="L4128" s="36" t="s">
        <v>14330</v>
      </c>
      <c r="M4128">
        <v>2</v>
      </c>
      <c r="N4128" t="s">
        <v>14331</v>
      </c>
      <c r="O4128" t="s">
        <v>14333</v>
      </c>
    </row>
    <row r="4129" spans="1:15" x14ac:dyDescent="0.25">
      <c r="A4129" s="35" t="s">
        <v>8275</v>
      </c>
      <c r="B4129" s="36" t="s">
        <v>8276</v>
      </c>
      <c r="C4129" s="36" t="str">
        <f>HYPERLINK("https://rhld.insurance.arkansas.gov/NPILookup?Npi=1366658346","1366658346")</f>
        <v>1366658346</v>
      </c>
      <c r="D4129" s="36" t="s">
        <v>36534</v>
      </c>
      <c r="E4129" s="36" t="s">
        <v>2</v>
      </c>
      <c r="F4129" s="36">
        <v>1</v>
      </c>
      <c r="G4129" s="36">
        <v>2</v>
      </c>
      <c r="H4129" s="36">
        <v>0</v>
      </c>
      <c r="I4129" s="37">
        <v>0</v>
      </c>
      <c r="J4129" s="36" t="s">
        <v>36190</v>
      </c>
      <c r="K4129" s="36" t="s">
        <v>14330</v>
      </c>
      <c r="L4129" s="36" t="s">
        <v>14330</v>
      </c>
      <c r="M4129">
        <v>3</v>
      </c>
      <c r="N4129" t="s">
        <v>14331</v>
      </c>
      <c r="O4129" t="s">
        <v>14333</v>
      </c>
    </row>
    <row r="4130" spans="1:15" x14ac:dyDescent="0.25">
      <c r="A4130" s="35" t="s">
        <v>8275</v>
      </c>
      <c r="B4130" s="36" t="s">
        <v>8276</v>
      </c>
      <c r="C4130" s="36" t="str">
        <f>HYPERLINK("https://rhld.insurance.arkansas.gov/NPILookup?Npi=1366763435","1366763435")</f>
        <v>1366763435</v>
      </c>
      <c r="D4130" s="36" t="s">
        <v>36535</v>
      </c>
      <c r="E4130" s="36" t="s">
        <v>2</v>
      </c>
      <c r="F4130" s="36">
        <v>1</v>
      </c>
      <c r="G4130" s="36">
        <v>3</v>
      </c>
      <c r="H4130" s="36">
        <v>0</v>
      </c>
      <c r="I4130" s="37">
        <v>0</v>
      </c>
      <c r="J4130" s="36" t="s">
        <v>36190</v>
      </c>
      <c r="K4130" s="36" t="s">
        <v>14330</v>
      </c>
      <c r="L4130" s="36" t="s">
        <v>14330</v>
      </c>
      <c r="M4130">
        <v>1</v>
      </c>
      <c r="N4130" t="s">
        <v>14331</v>
      </c>
      <c r="O4130" t="s">
        <v>14333</v>
      </c>
    </row>
    <row r="4131" spans="1:15" x14ac:dyDescent="0.25">
      <c r="A4131" s="35" t="s">
        <v>8275</v>
      </c>
      <c r="B4131" s="36" t="s">
        <v>8276</v>
      </c>
      <c r="C4131" s="36" t="str">
        <f>HYPERLINK("https://rhld.insurance.arkansas.gov/NPILookup?Npi=1366797409","1366797409")</f>
        <v>1366797409</v>
      </c>
      <c r="D4131" s="36" t="s">
        <v>36536</v>
      </c>
      <c r="E4131" s="36" t="s">
        <v>2</v>
      </c>
      <c r="F4131" s="36">
        <v>1</v>
      </c>
      <c r="G4131" s="36">
        <v>1</v>
      </c>
      <c r="H4131" s="36">
        <v>0</v>
      </c>
      <c r="I4131" s="37">
        <v>0</v>
      </c>
      <c r="J4131" s="36" t="s">
        <v>32679</v>
      </c>
      <c r="K4131" s="36" t="s">
        <v>14330</v>
      </c>
      <c r="L4131" s="36" t="s">
        <v>14330</v>
      </c>
      <c r="M4131">
        <v>2</v>
      </c>
      <c r="N4131" t="s">
        <v>14331</v>
      </c>
      <c r="O4131" t="s">
        <v>32633</v>
      </c>
    </row>
    <row r="4132" spans="1:15" x14ac:dyDescent="0.25">
      <c r="A4132" s="35" t="s">
        <v>8275</v>
      </c>
      <c r="B4132" s="36" t="s">
        <v>8276</v>
      </c>
      <c r="C4132" s="36" t="str">
        <f>HYPERLINK("https://rhld.insurance.arkansas.gov/NPILookup?Npi=1366828378","1366828378")</f>
        <v>1366828378</v>
      </c>
      <c r="D4132" s="36" t="s">
        <v>36537</v>
      </c>
      <c r="E4132" s="36" t="s">
        <v>2</v>
      </c>
      <c r="F4132" s="36">
        <v>1</v>
      </c>
      <c r="G4132" s="36">
        <v>2</v>
      </c>
      <c r="H4132" s="36">
        <v>0</v>
      </c>
      <c r="I4132" s="37">
        <v>0</v>
      </c>
      <c r="J4132" s="36" t="s">
        <v>36190</v>
      </c>
      <c r="K4132" s="36" t="s">
        <v>14330</v>
      </c>
      <c r="L4132" s="36" t="s">
        <v>14330</v>
      </c>
      <c r="M4132">
        <v>2</v>
      </c>
      <c r="N4132" t="s">
        <v>14331</v>
      </c>
      <c r="O4132" t="s">
        <v>14333</v>
      </c>
    </row>
    <row r="4133" spans="1:15" x14ac:dyDescent="0.25">
      <c r="A4133" s="35" t="s">
        <v>8275</v>
      </c>
      <c r="B4133" s="36" t="s">
        <v>8276</v>
      </c>
      <c r="C4133" s="36" t="str">
        <f>HYPERLINK("https://rhld.insurance.arkansas.gov/NPILookup?Npi=1366899338","1366899338")</f>
        <v>1366899338</v>
      </c>
      <c r="D4133" s="36" t="s">
        <v>36538</v>
      </c>
      <c r="E4133" s="36" t="s">
        <v>2</v>
      </c>
      <c r="F4133" s="36">
        <v>1</v>
      </c>
      <c r="G4133" s="36">
        <v>2</v>
      </c>
      <c r="H4133" s="36">
        <v>0</v>
      </c>
      <c r="I4133" s="37">
        <v>0</v>
      </c>
      <c r="J4133" s="36" t="s">
        <v>32679</v>
      </c>
      <c r="K4133" s="36" t="s">
        <v>14330</v>
      </c>
      <c r="L4133" s="36" t="s">
        <v>14330</v>
      </c>
      <c r="M4133">
        <v>2</v>
      </c>
      <c r="N4133" t="s">
        <v>14331</v>
      </c>
      <c r="O4133" t="s">
        <v>14333</v>
      </c>
    </row>
    <row r="4134" spans="1:15" x14ac:dyDescent="0.25">
      <c r="A4134" s="35" t="s">
        <v>8275</v>
      </c>
      <c r="B4134" s="36" t="s">
        <v>8276</v>
      </c>
      <c r="C4134" s="36" t="str">
        <f>HYPERLINK("https://rhld.insurance.arkansas.gov/NPILookup?Npi=1366954232","1366954232")</f>
        <v>1366954232</v>
      </c>
      <c r="D4134" s="36" t="s">
        <v>36539</v>
      </c>
      <c r="E4134" s="36" t="s">
        <v>2</v>
      </c>
      <c r="F4134" s="36">
        <v>1</v>
      </c>
      <c r="G4134" s="36">
        <v>2</v>
      </c>
      <c r="H4134" s="36">
        <v>0</v>
      </c>
      <c r="I4134" s="37">
        <v>0</v>
      </c>
      <c r="J4134" s="36" t="s">
        <v>36190</v>
      </c>
      <c r="K4134" s="36" t="s">
        <v>14330</v>
      </c>
      <c r="L4134" s="36" t="s">
        <v>14330</v>
      </c>
      <c r="M4134">
        <v>2</v>
      </c>
      <c r="N4134" t="s">
        <v>14331</v>
      </c>
      <c r="O4134" t="s">
        <v>14333</v>
      </c>
    </row>
    <row r="4135" spans="1:15" x14ac:dyDescent="0.25">
      <c r="A4135" s="35" t="s">
        <v>8275</v>
      </c>
      <c r="B4135" s="36" t="s">
        <v>8276</v>
      </c>
      <c r="C4135" s="36" t="str">
        <f>HYPERLINK("https://rhld.insurance.arkansas.gov/NPILookup?Npi=1366996886","1366996886")</f>
        <v>1366996886</v>
      </c>
      <c r="D4135" s="36" t="s">
        <v>36540</v>
      </c>
      <c r="E4135" s="36" t="s">
        <v>2</v>
      </c>
      <c r="F4135" s="36">
        <v>1</v>
      </c>
      <c r="G4135" s="36">
        <v>2</v>
      </c>
      <c r="H4135" s="36">
        <v>0</v>
      </c>
      <c r="I4135" s="37">
        <v>0</v>
      </c>
      <c r="J4135" s="36" t="s">
        <v>36190</v>
      </c>
      <c r="K4135" s="36" t="s">
        <v>14330</v>
      </c>
      <c r="L4135" s="36" t="s">
        <v>14330</v>
      </c>
      <c r="M4135">
        <v>2</v>
      </c>
      <c r="N4135" t="s">
        <v>14331</v>
      </c>
      <c r="O4135" t="s">
        <v>14333</v>
      </c>
    </row>
    <row r="4136" spans="1:15" x14ac:dyDescent="0.25">
      <c r="A4136" s="35" t="s">
        <v>8275</v>
      </c>
      <c r="B4136" s="36" t="s">
        <v>8276</v>
      </c>
      <c r="C4136" s="36" t="str">
        <f>HYPERLINK("https://rhld.insurance.arkansas.gov/NPILookup?Npi=1376131409","1376131409")</f>
        <v>1376131409</v>
      </c>
      <c r="D4136" s="36" t="s">
        <v>36541</v>
      </c>
      <c r="E4136" s="36" t="s">
        <v>2</v>
      </c>
      <c r="F4136" s="36">
        <v>1</v>
      </c>
      <c r="G4136" s="36">
        <v>2</v>
      </c>
      <c r="H4136" s="36">
        <v>0</v>
      </c>
      <c r="I4136" s="37">
        <v>0</v>
      </c>
      <c r="J4136" s="36" t="s">
        <v>36190</v>
      </c>
      <c r="K4136" s="36" t="s">
        <v>14330</v>
      </c>
      <c r="L4136" s="36" t="s">
        <v>14330</v>
      </c>
      <c r="M4136">
        <v>1</v>
      </c>
      <c r="N4136" t="s">
        <v>14331</v>
      </c>
      <c r="O4136" t="s">
        <v>14333</v>
      </c>
    </row>
    <row r="4137" spans="1:15" x14ac:dyDescent="0.25">
      <c r="A4137" s="35" t="s">
        <v>8275</v>
      </c>
      <c r="B4137" s="36" t="s">
        <v>8276</v>
      </c>
      <c r="C4137" s="36" t="str">
        <f>HYPERLINK("https://rhld.insurance.arkansas.gov/NPILookup?Npi=1376357525","1376357525")</f>
        <v>1376357525</v>
      </c>
      <c r="D4137" s="36" t="s">
        <v>34720</v>
      </c>
      <c r="E4137" s="36" t="s">
        <v>2</v>
      </c>
      <c r="F4137" s="36">
        <v>1</v>
      </c>
      <c r="G4137" s="36">
        <v>1</v>
      </c>
      <c r="H4137" s="36">
        <v>0</v>
      </c>
      <c r="I4137" s="37">
        <v>0</v>
      </c>
      <c r="J4137" s="36"/>
      <c r="K4137" s="36" t="s">
        <v>14330</v>
      </c>
      <c r="L4137" s="36" t="s">
        <v>14330</v>
      </c>
      <c r="M4137">
        <v>3</v>
      </c>
      <c r="N4137" t="s">
        <v>14331</v>
      </c>
      <c r="O4137" t="s">
        <v>32633</v>
      </c>
    </row>
    <row r="4138" spans="1:15" x14ac:dyDescent="0.25">
      <c r="A4138" s="35" t="s">
        <v>8275</v>
      </c>
      <c r="B4138" s="36" t="s">
        <v>8276</v>
      </c>
      <c r="C4138" s="36" t="str">
        <f>HYPERLINK("https://rhld.insurance.arkansas.gov/NPILookup?Npi=1376572800","1376572800")</f>
        <v>1376572800</v>
      </c>
      <c r="D4138" s="36" t="s">
        <v>36542</v>
      </c>
      <c r="E4138" s="36" t="s">
        <v>2</v>
      </c>
      <c r="F4138" s="36">
        <v>1</v>
      </c>
      <c r="G4138" s="36">
        <v>3</v>
      </c>
      <c r="H4138" s="36">
        <v>0</v>
      </c>
      <c r="I4138" s="37">
        <v>0</v>
      </c>
      <c r="J4138" s="36" t="s">
        <v>36190</v>
      </c>
      <c r="K4138" s="36" t="s">
        <v>14330</v>
      </c>
      <c r="L4138" s="36" t="s">
        <v>14330</v>
      </c>
      <c r="M4138">
        <v>3</v>
      </c>
      <c r="N4138" t="s">
        <v>14331</v>
      </c>
      <c r="O4138" t="s">
        <v>14333</v>
      </c>
    </row>
    <row r="4139" spans="1:15" x14ac:dyDescent="0.25">
      <c r="A4139" s="35" t="s">
        <v>8275</v>
      </c>
      <c r="B4139" s="36" t="s">
        <v>8276</v>
      </c>
      <c r="C4139" s="36" t="str">
        <f>HYPERLINK("https://rhld.insurance.arkansas.gov/NPILookup?Npi=1376589754","1376589754")</f>
        <v>1376589754</v>
      </c>
      <c r="D4139" s="36" t="s">
        <v>33143</v>
      </c>
      <c r="E4139" s="36" t="s">
        <v>2</v>
      </c>
      <c r="F4139" s="36">
        <v>1</v>
      </c>
      <c r="G4139" s="36">
        <v>3</v>
      </c>
      <c r="H4139" s="36">
        <v>0</v>
      </c>
      <c r="I4139" s="37">
        <v>0</v>
      </c>
      <c r="J4139" s="36" t="s">
        <v>36190</v>
      </c>
      <c r="K4139" s="36" t="s">
        <v>14330</v>
      </c>
      <c r="L4139" s="36" t="s">
        <v>14330</v>
      </c>
      <c r="M4139">
        <v>3</v>
      </c>
      <c r="N4139" t="s">
        <v>14331</v>
      </c>
      <c r="O4139" t="s">
        <v>14333</v>
      </c>
    </row>
    <row r="4140" spans="1:15" x14ac:dyDescent="0.25">
      <c r="A4140" s="35" t="s">
        <v>8275</v>
      </c>
      <c r="B4140" s="36" t="s">
        <v>8276</v>
      </c>
      <c r="C4140" s="36" t="str">
        <f>HYPERLINK("https://rhld.insurance.arkansas.gov/NPILookup?Npi=1376617274","1376617274")</f>
        <v>1376617274</v>
      </c>
      <c r="D4140" s="36" t="s">
        <v>36543</v>
      </c>
      <c r="E4140" s="36" t="s">
        <v>2</v>
      </c>
      <c r="F4140" s="36">
        <v>1</v>
      </c>
      <c r="G4140" s="36">
        <v>3</v>
      </c>
      <c r="H4140" s="36">
        <v>0</v>
      </c>
      <c r="I4140" s="37">
        <v>0</v>
      </c>
      <c r="J4140" s="36" t="s">
        <v>36190</v>
      </c>
      <c r="K4140" s="36" t="s">
        <v>14330</v>
      </c>
      <c r="L4140" s="36" t="s">
        <v>14330</v>
      </c>
      <c r="M4140">
        <v>2</v>
      </c>
      <c r="N4140" t="s">
        <v>14331</v>
      </c>
      <c r="O4140" t="s">
        <v>14333</v>
      </c>
    </row>
    <row r="4141" spans="1:15" x14ac:dyDescent="0.25">
      <c r="A4141" s="35" t="s">
        <v>8275</v>
      </c>
      <c r="B4141" s="36" t="s">
        <v>8276</v>
      </c>
      <c r="C4141" s="36" t="str">
        <f>HYPERLINK("https://rhld.insurance.arkansas.gov/NPILookup?Npi=1376659219","1376659219")</f>
        <v>1376659219</v>
      </c>
      <c r="D4141" s="36" t="s">
        <v>36544</v>
      </c>
      <c r="E4141" s="36" t="s">
        <v>2</v>
      </c>
      <c r="F4141" s="36">
        <v>1</v>
      </c>
      <c r="G4141" s="36">
        <v>2</v>
      </c>
      <c r="H4141" s="36">
        <v>0</v>
      </c>
      <c r="I4141" s="37">
        <v>0</v>
      </c>
      <c r="J4141" s="36" t="s">
        <v>36190</v>
      </c>
      <c r="K4141" s="36" t="s">
        <v>14330</v>
      </c>
      <c r="L4141" s="36" t="s">
        <v>14330</v>
      </c>
      <c r="M4141">
        <v>3</v>
      </c>
      <c r="N4141" t="s">
        <v>14331</v>
      </c>
      <c r="O4141" t="s">
        <v>14333</v>
      </c>
    </row>
    <row r="4142" spans="1:15" x14ac:dyDescent="0.25">
      <c r="A4142" s="35" t="s">
        <v>8275</v>
      </c>
      <c r="B4142" s="36" t="s">
        <v>8276</v>
      </c>
      <c r="C4142" s="36" t="str">
        <f>HYPERLINK("https://rhld.insurance.arkansas.gov/NPILookup?Npi=1376806760","1376806760")</f>
        <v>1376806760</v>
      </c>
      <c r="D4142" s="36" t="s">
        <v>36545</v>
      </c>
      <c r="E4142" s="36" t="s">
        <v>2</v>
      </c>
      <c r="F4142" s="36">
        <v>1</v>
      </c>
      <c r="G4142" s="36">
        <v>3</v>
      </c>
      <c r="H4142" s="36">
        <v>0</v>
      </c>
      <c r="I4142" s="37">
        <v>0</v>
      </c>
      <c r="J4142" s="36" t="s">
        <v>36190</v>
      </c>
      <c r="K4142" s="36" t="s">
        <v>14330</v>
      </c>
      <c r="L4142" s="36" t="s">
        <v>14330</v>
      </c>
      <c r="M4142">
        <v>3</v>
      </c>
      <c r="N4142" t="s">
        <v>14331</v>
      </c>
      <c r="O4142" t="s">
        <v>14333</v>
      </c>
    </row>
    <row r="4143" spans="1:15" x14ac:dyDescent="0.25">
      <c r="A4143" s="35" t="s">
        <v>8275</v>
      </c>
      <c r="B4143" s="36" t="s">
        <v>8276</v>
      </c>
      <c r="C4143" s="36" t="str">
        <f>HYPERLINK("https://rhld.insurance.arkansas.gov/NPILookup?Npi=1376842799","1376842799")</f>
        <v>1376842799</v>
      </c>
      <c r="D4143" s="36" t="s">
        <v>36546</v>
      </c>
      <c r="E4143" s="36" t="s">
        <v>2</v>
      </c>
      <c r="F4143" s="36">
        <v>1</v>
      </c>
      <c r="G4143" s="36">
        <v>3</v>
      </c>
      <c r="H4143" s="36">
        <v>0</v>
      </c>
      <c r="I4143" s="37">
        <v>0</v>
      </c>
      <c r="J4143" s="36" t="s">
        <v>36190</v>
      </c>
      <c r="K4143" s="36" t="s">
        <v>14330</v>
      </c>
      <c r="L4143" s="36" t="s">
        <v>14330</v>
      </c>
      <c r="M4143">
        <v>3</v>
      </c>
      <c r="N4143" t="s">
        <v>14331</v>
      </c>
      <c r="O4143" t="s">
        <v>14333</v>
      </c>
    </row>
    <row r="4144" spans="1:15" x14ac:dyDescent="0.25">
      <c r="A4144" s="35" t="s">
        <v>8275</v>
      </c>
      <c r="B4144" s="36" t="s">
        <v>8276</v>
      </c>
      <c r="C4144" s="36" t="str">
        <f>HYPERLINK("https://rhld.insurance.arkansas.gov/NPILookup?Npi=1376878926","1376878926")</f>
        <v>1376878926</v>
      </c>
      <c r="D4144" s="36" t="s">
        <v>36547</v>
      </c>
      <c r="E4144" s="36" t="s">
        <v>2</v>
      </c>
      <c r="F4144" s="36">
        <v>1</v>
      </c>
      <c r="G4144" s="36">
        <v>3</v>
      </c>
      <c r="H4144" s="36">
        <v>0</v>
      </c>
      <c r="I4144" s="37">
        <v>0</v>
      </c>
      <c r="J4144" s="36" t="s">
        <v>36190</v>
      </c>
      <c r="K4144" s="36" t="s">
        <v>14330</v>
      </c>
      <c r="L4144" s="36" t="s">
        <v>14330</v>
      </c>
      <c r="M4144">
        <v>0</v>
      </c>
      <c r="N4144" t="s">
        <v>14331</v>
      </c>
      <c r="O4144" t="s">
        <v>14333</v>
      </c>
    </row>
    <row r="4145" spans="1:15" x14ac:dyDescent="0.25">
      <c r="A4145" s="35" t="s">
        <v>8275</v>
      </c>
      <c r="B4145" s="36" t="s">
        <v>8276</v>
      </c>
      <c r="C4145" s="36" t="str">
        <f>HYPERLINK("https://rhld.insurance.arkansas.gov/NPILookup?Npi=1376962902","1376962902")</f>
        <v>1376962902</v>
      </c>
      <c r="D4145" s="36" t="s">
        <v>36548</v>
      </c>
      <c r="E4145" s="36" t="s">
        <v>1</v>
      </c>
      <c r="F4145" s="36">
        <v>1</v>
      </c>
      <c r="G4145" s="36">
        <v>1</v>
      </c>
      <c r="H4145" s="36">
        <v>1</v>
      </c>
      <c r="I4145" s="37">
        <v>0</v>
      </c>
      <c r="J4145" s="36" t="s">
        <v>32654</v>
      </c>
      <c r="K4145" s="36" t="s">
        <v>14330</v>
      </c>
      <c r="L4145" s="36" t="s">
        <v>36271</v>
      </c>
      <c r="M4145">
        <v>3</v>
      </c>
      <c r="N4145" t="s">
        <v>14332</v>
      </c>
      <c r="O4145" t="s">
        <v>32591</v>
      </c>
    </row>
    <row r="4146" spans="1:15" x14ac:dyDescent="0.25">
      <c r="A4146" s="35" t="s">
        <v>8275</v>
      </c>
      <c r="B4146" s="36" t="s">
        <v>8276</v>
      </c>
      <c r="C4146" s="36" t="str">
        <f>HYPERLINK("https://rhld.insurance.arkansas.gov/NPILookup?Npi=1376999813","1376999813")</f>
        <v>1376999813</v>
      </c>
      <c r="D4146" s="36" t="s">
        <v>36549</v>
      </c>
      <c r="E4146" s="36" t="s">
        <v>2</v>
      </c>
      <c r="F4146" s="36">
        <v>1</v>
      </c>
      <c r="G4146" s="36">
        <v>3</v>
      </c>
      <c r="H4146" s="36">
        <v>0</v>
      </c>
      <c r="I4146" s="37">
        <v>0</v>
      </c>
      <c r="J4146" s="36" t="s">
        <v>36190</v>
      </c>
      <c r="K4146" s="36" t="s">
        <v>14330</v>
      </c>
      <c r="L4146" s="36" t="s">
        <v>14330</v>
      </c>
      <c r="M4146">
        <v>2</v>
      </c>
      <c r="N4146" t="s">
        <v>14331</v>
      </c>
      <c r="O4146" t="s">
        <v>14333</v>
      </c>
    </row>
    <row r="4147" spans="1:15" x14ac:dyDescent="0.25">
      <c r="A4147" s="35" t="s">
        <v>8275</v>
      </c>
      <c r="B4147" s="36" t="s">
        <v>8276</v>
      </c>
      <c r="C4147" s="36" t="str">
        <f>HYPERLINK("https://rhld.insurance.arkansas.gov/NPILookup?Npi=1386212603","1386212603")</f>
        <v>1386212603</v>
      </c>
      <c r="D4147" s="36" t="s">
        <v>36550</v>
      </c>
      <c r="E4147" s="36" t="s">
        <v>2</v>
      </c>
      <c r="F4147" s="36">
        <v>1</v>
      </c>
      <c r="G4147" s="36">
        <v>2</v>
      </c>
      <c r="H4147" s="36">
        <v>0</v>
      </c>
      <c r="I4147" s="37">
        <v>0</v>
      </c>
      <c r="J4147" s="36" t="s">
        <v>36190</v>
      </c>
      <c r="K4147" s="36" t="s">
        <v>14330</v>
      </c>
      <c r="L4147" s="36" t="s">
        <v>14330</v>
      </c>
      <c r="M4147">
        <v>1</v>
      </c>
      <c r="N4147" t="s">
        <v>14331</v>
      </c>
      <c r="O4147" t="s">
        <v>14333</v>
      </c>
    </row>
    <row r="4148" spans="1:15" x14ac:dyDescent="0.25">
      <c r="A4148" s="35" t="s">
        <v>8275</v>
      </c>
      <c r="B4148" s="36" t="s">
        <v>8276</v>
      </c>
      <c r="C4148" s="36" t="str">
        <f>HYPERLINK("https://rhld.insurance.arkansas.gov/NPILookup?Npi=1386450393","1386450393")</f>
        <v>1386450393</v>
      </c>
      <c r="D4148" s="36" t="s">
        <v>35355</v>
      </c>
      <c r="E4148" s="36" t="s">
        <v>2</v>
      </c>
      <c r="F4148" s="36">
        <v>1</v>
      </c>
      <c r="G4148" s="36">
        <v>1</v>
      </c>
      <c r="H4148" s="36">
        <v>0</v>
      </c>
      <c r="I4148" s="37">
        <v>0</v>
      </c>
      <c r="J4148" s="36"/>
      <c r="K4148" s="36" t="s">
        <v>14330</v>
      </c>
      <c r="L4148" s="36" t="s">
        <v>14330</v>
      </c>
      <c r="M4148">
        <v>2</v>
      </c>
      <c r="N4148" t="s">
        <v>14331</v>
      </c>
      <c r="O4148" t="s">
        <v>32633</v>
      </c>
    </row>
    <row r="4149" spans="1:15" x14ac:dyDescent="0.25">
      <c r="A4149" s="35" t="s">
        <v>8275</v>
      </c>
      <c r="B4149" s="36" t="s">
        <v>8276</v>
      </c>
      <c r="C4149" s="36" t="str">
        <f>HYPERLINK("https://rhld.insurance.arkansas.gov/NPILookup?Npi=1386460905","1386460905")</f>
        <v>1386460905</v>
      </c>
      <c r="D4149" s="36" t="s">
        <v>35356</v>
      </c>
      <c r="E4149" s="36" t="s">
        <v>2</v>
      </c>
      <c r="F4149" s="36">
        <v>1</v>
      </c>
      <c r="G4149" s="36">
        <v>2</v>
      </c>
      <c r="H4149" s="36">
        <v>0</v>
      </c>
      <c r="I4149" s="37">
        <v>0</v>
      </c>
      <c r="J4149" s="36"/>
      <c r="K4149" s="36" t="s">
        <v>14330</v>
      </c>
      <c r="L4149" s="36" t="s">
        <v>14330</v>
      </c>
      <c r="M4149">
        <v>2</v>
      </c>
      <c r="N4149" t="s">
        <v>14331</v>
      </c>
      <c r="O4149" t="s">
        <v>14333</v>
      </c>
    </row>
    <row r="4150" spans="1:15" x14ac:dyDescent="0.25">
      <c r="A4150" s="35" t="s">
        <v>8275</v>
      </c>
      <c r="B4150" s="36" t="s">
        <v>8276</v>
      </c>
      <c r="C4150" s="36" t="str">
        <f>HYPERLINK("https://rhld.insurance.arkansas.gov/NPILookup?Npi=1386600567","1386600567")</f>
        <v>1386600567</v>
      </c>
      <c r="D4150" s="36" t="s">
        <v>35357</v>
      </c>
      <c r="E4150" s="36" t="s">
        <v>1</v>
      </c>
      <c r="F4150" s="36">
        <v>1</v>
      </c>
      <c r="G4150" s="36">
        <v>2</v>
      </c>
      <c r="H4150" s="36">
        <v>0</v>
      </c>
      <c r="I4150" s="37">
        <v>0</v>
      </c>
      <c r="J4150" s="36" t="s">
        <v>32654</v>
      </c>
      <c r="K4150" s="36" t="s">
        <v>14330</v>
      </c>
      <c r="L4150" s="36" t="s">
        <v>14330</v>
      </c>
      <c r="M4150">
        <v>3</v>
      </c>
      <c r="N4150" t="s">
        <v>14331</v>
      </c>
      <c r="O4150" t="s">
        <v>32633</v>
      </c>
    </row>
    <row r="4151" spans="1:15" x14ac:dyDescent="0.25">
      <c r="A4151" s="35" t="s">
        <v>8275</v>
      </c>
      <c r="B4151" s="36" t="s">
        <v>8276</v>
      </c>
      <c r="C4151" s="36" t="str">
        <f>HYPERLINK("https://rhld.insurance.arkansas.gov/NPILookup?Npi=1386637221","1386637221")</f>
        <v>1386637221</v>
      </c>
      <c r="D4151" s="36" t="s">
        <v>36551</v>
      </c>
      <c r="E4151" s="36" t="s">
        <v>2</v>
      </c>
      <c r="F4151" s="36">
        <v>1</v>
      </c>
      <c r="G4151" s="36">
        <v>3</v>
      </c>
      <c r="H4151" s="36">
        <v>0</v>
      </c>
      <c r="I4151" s="37">
        <v>0</v>
      </c>
      <c r="J4151" s="36" t="s">
        <v>36190</v>
      </c>
      <c r="K4151" s="36" t="s">
        <v>14330</v>
      </c>
      <c r="L4151" s="36" t="s">
        <v>14330</v>
      </c>
      <c r="M4151">
        <v>3</v>
      </c>
      <c r="N4151" t="s">
        <v>14331</v>
      </c>
      <c r="O4151" t="s">
        <v>14333</v>
      </c>
    </row>
    <row r="4152" spans="1:15" x14ac:dyDescent="0.25">
      <c r="A4152" s="35" t="s">
        <v>8275</v>
      </c>
      <c r="B4152" s="36" t="s">
        <v>8276</v>
      </c>
      <c r="C4152" s="36" t="str">
        <f>HYPERLINK("https://rhld.insurance.arkansas.gov/NPILookup?Npi=1386681328","1386681328")</f>
        <v>1386681328</v>
      </c>
      <c r="D4152" s="36" t="s">
        <v>36552</v>
      </c>
      <c r="E4152" s="36" t="s">
        <v>2</v>
      </c>
      <c r="F4152" s="36">
        <v>1</v>
      </c>
      <c r="G4152" s="36">
        <v>3</v>
      </c>
      <c r="H4152" s="36">
        <v>0</v>
      </c>
      <c r="I4152" s="37">
        <v>0</v>
      </c>
      <c r="J4152" s="36" t="s">
        <v>36190</v>
      </c>
      <c r="K4152" s="36" t="s">
        <v>14330</v>
      </c>
      <c r="L4152" s="36" t="s">
        <v>14330</v>
      </c>
      <c r="M4152">
        <v>2</v>
      </c>
      <c r="N4152" t="s">
        <v>14331</v>
      </c>
      <c r="O4152" t="s">
        <v>14333</v>
      </c>
    </row>
    <row r="4153" spans="1:15" x14ac:dyDescent="0.25">
      <c r="A4153" s="35" t="s">
        <v>8275</v>
      </c>
      <c r="B4153" s="36" t="s">
        <v>8276</v>
      </c>
      <c r="C4153" s="36" t="str">
        <f>HYPERLINK("https://rhld.insurance.arkansas.gov/NPILookup?Npi=1386733830","1386733830")</f>
        <v>1386733830</v>
      </c>
      <c r="D4153" s="36" t="s">
        <v>36553</v>
      </c>
      <c r="E4153" s="36" t="s">
        <v>2</v>
      </c>
      <c r="F4153" s="36">
        <v>1</v>
      </c>
      <c r="G4153" s="36">
        <v>2</v>
      </c>
      <c r="H4153" s="36">
        <v>0</v>
      </c>
      <c r="I4153" s="37">
        <v>0</v>
      </c>
      <c r="J4153" s="36" t="s">
        <v>36190</v>
      </c>
      <c r="K4153" s="36" t="s">
        <v>14330</v>
      </c>
      <c r="L4153" s="36" t="s">
        <v>14330</v>
      </c>
      <c r="M4153">
        <v>1</v>
      </c>
      <c r="N4153" t="s">
        <v>14331</v>
      </c>
      <c r="O4153" t="s">
        <v>14333</v>
      </c>
    </row>
    <row r="4154" spans="1:15" x14ac:dyDescent="0.25">
      <c r="A4154" s="35" t="s">
        <v>8275</v>
      </c>
      <c r="B4154" s="36" t="s">
        <v>8276</v>
      </c>
      <c r="C4154" s="36" t="str">
        <f>HYPERLINK("https://rhld.insurance.arkansas.gov/NPILookup?Npi=1386868545","1386868545")</f>
        <v>1386868545</v>
      </c>
      <c r="D4154" s="36" t="s">
        <v>35361</v>
      </c>
      <c r="E4154" s="36" t="s">
        <v>1</v>
      </c>
      <c r="F4154" s="36">
        <v>1</v>
      </c>
      <c r="G4154" s="36">
        <v>1</v>
      </c>
      <c r="H4154" s="36">
        <v>0</v>
      </c>
      <c r="I4154" s="37">
        <v>0</v>
      </c>
      <c r="J4154" s="36" t="s">
        <v>32654</v>
      </c>
      <c r="K4154" s="36" t="s">
        <v>14330</v>
      </c>
      <c r="L4154" s="36" t="s">
        <v>14330</v>
      </c>
      <c r="M4154">
        <v>1</v>
      </c>
      <c r="N4154" t="s">
        <v>14331</v>
      </c>
      <c r="O4154" t="s">
        <v>32633</v>
      </c>
    </row>
    <row r="4155" spans="1:15" x14ac:dyDescent="0.25">
      <c r="A4155" s="35" t="s">
        <v>8275</v>
      </c>
      <c r="B4155" s="36" t="s">
        <v>8276</v>
      </c>
      <c r="C4155" s="36" t="str">
        <f>HYPERLINK("https://rhld.insurance.arkansas.gov/NPILookup?Npi=1386925634","1386925634")</f>
        <v>1386925634</v>
      </c>
      <c r="D4155" s="36" t="s">
        <v>36554</v>
      </c>
      <c r="E4155" s="36" t="s">
        <v>1</v>
      </c>
      <c r="F4155" s="36">
        <v>1</v>
      </c>
      <c r="G4155" s="36">
        <v>1</v>
      </c>
      <c r="H4155" s="36">
        <v>0</v>
      </c>
      <c r="I4155" s="37">
        <v>0</v>
      </c>
      <c r="J4155" s="36" t="s">
        <v>32654</v>
      </c>
      <c r="K4155" s="36" t="s">
        <v>14330</v>
      </c>
      <c r="L4155" s="36" t="s">
        <v>14330</v>
      </c>
      <c r="M4155">
        <v>3</v>
      </c>
      <c r="N4155" t="s">
        <v>14331</v>
      </c>
      <c r="O4155" t="s">
        <v>32633</v>
      </c>
    </row>
    <row r="4156" spans="1:15" x14ac:dyDescent="0.25">
      <c r="A4156" s="35" t="s">
        <v>8275</v>
      </c>
      <c r="B4156" s="36" t="s">
        <v>8276</v>
      </c>
      <c r="C4156" s="36" t="str">
        <f>HYPERLINK("https://rhld.insurance.arkansas.gov/NPILookup?Npi=1396020426","1396020426")</f>
        <v>1396020426</v>
      </c>
      <c r="D4156" s="36" t="s">
        <v>36555</v>
      </c>
      <c r="E4156" s="36" t="s">
        <v>2</v>
      </c>
      <c r="F4156" s="36">
        <v>1</v>
      </c>
      <c r="G4156" s="36">
        <v>3</v>
      </c>
      <c r="H4156" s="36">
        <v>0</v>
      </c>
      <c r="I4156" s="37">
        <v>0</v>
      </c>
      <c r="J4156" s="36" t="s">
        <v>36190</v>
      </c>
      <c r="K4156" s="36" t="s">
        <v>14330</v>
      </c>
      <c r="L4156" s="36" t="s">
        <v>14330</v>
      </c>
      <c r="M4156">
        <v>1</v>
      </c>
      <c r="N4156" t="s">
        <v>14331</v>
      </c>
      <c r="O4156" t="s">
        <v>14333</v>
      </c>
    </row>
    <row r="4157" spans="1:15" x14ac:dyDescent="0.25">
      <c r="A4157" s="35" t="s">
        <v>8275</v>
      </c>
      <c r="B4157" s="36" t="s">
        <v>8276</v>
      </c>
      <c r="C4157" s="36" t="str">
        <f>HYPERLINK("https://rhld.insurance.arkansas.gov/NPILookup?Npi=1396110490","1396110490")</f>
        <v>1396110490</v>
      </c>
      <c r="D4157" s="36" t="s">
        <v>35364</v>
      </c>
      <c r="E4157" s="36" t="s">
        <v>2</v>
      </c>
      <c r="F4157" s="36">
        <v>1</v>
      </c>
      <c r="G4157" s="36">
        <v>1</v>
      </c>
      <c r="H4157" s="36">
        <v>0</v>
      </c>
      <c r="I4157" s="37">
        <v>0</v>
      </c>
      <c r="J4157" s="36"/>
      <c r="K4157" s="36" t="s">
        <v>14330</v>
      </c>
      <c r="L4157" s="36" t="s">
        <v>14330</v>
      </c>
      <c r="M4157">
        <v>2</v>
      </c>
      <c r="N4157" t="s">
        <v>14331</v>
      </c>
      <c r="O4157" t="s">
        <v>32633</v>
      </c>
    </row>
    <row r="4158" spans="1:15" x14ac:dyDescent="0.25">
      <c r="A4158" s="35" t="s">
        <v>8275</v>
      </c>
      <c r="B4158" s="36" t="s">
        <v>8276</v>
      </c>
      <c r="C4158" s="36" t="str">
        <f>HYPERLINK("https://rhld.insurance.arkansas.gov/NPILookup?Npi=1396130431","1396130431")</f>
        <v>1396130431</v>
      </c>
      <c r="D4158" s="36" t="s">
        <v>36556</v>
      </c>
      <c r="E4158" s="36" t="s">
        <v>2</v>
      </c>
      <c r="F4158" s="36">
        <v>1</v>
      </c>
      <c r="G4158" s="36">
        <v>2</v>
      </c>
      <c r="H4158" s="36">
        <v>0</v>
      </c>
      <c r="I4158" s="37">
        <v>0</v>
      </c>
      <c r="J4158" s="36" t="s">
        <v>36190</v>
      </c>
      <c r="K4158" s="36" t="s">
        <v>14330</v>
      </c>
      <c r="L4158" s="36" t="s">
        <v>14330</v>
      </c>
      <c r="M4158">
        <v>3</v>
      </c>
      <c r="N4158" t="s">
        <v>14331</v>
      </c>
      <c r="O4158" t="s">
        <v>14333</v>
      </c>
    </row>
    <row r="4159" spans="1:15" x14ac:dyDescent="0.25">
      <c r="A4159" s="35" t="s">
        <v>8275</v>
      </c>
      <c r="B4159" s="36" t="s">
        <v>8276</v>
      </c>
      <c r="C4159" s="36" t="str">
        <f>HYPERLINK("https://rhld.insurance.arkansas.gov/NPILookup?Npi=1396141636","1396141636")</f>
        <v>1396141636</v>
      </c>
      <c r="D4159" s="36" t="s">
        <v>36557</v>
      </c>
      <c r="E4159" s="36" t="s">
        <v>2</v>
      </c>
      <c r="F4159" s="36">
        <v>1</v>
      </c>
      <c r="G4159" s="36">
        <v>3</v>
      </c>
      <c r="H4159" s="36">
        <v>0</v>
      </c>
      <c r="I4159" s="37">
        <v>0</v>
      </c>
      <c r="J4159" s="36" t="s">
        <v>36190</v>
      </c>
      <c r="K4159" s="36" t="s">
        <v>14330</v>
      </c>
      <c r="L4159" s="36" t="s">
        <v>14330</v>
      </c>
      <c r="M4159">
        <v>2</v>
      </c>
      <c r="N4159" t="s">
        <v>14331</v>
      </c>
      <c r="O4159" t="s">
        <v>14333</v>
      </c>
    </row>
    <row r="4160" spans="1:15" x14ac:dyDescent="0.25">
      <c r="A4160" s="35" t="s">
        <v>8275</v>
      </c>
      <c r="B4160" s="36" t="s">
        <v>8276</v>
      </c>
      <c r="C4160" s="36" t="str">
        <f>HYPERLINK("https://rhld.insurance.arkansas.gov/NPILookup?Npi=1396210514","1396210514")</f>
        <v>1396210514</v>
      </c>
      <c r="D4160" s="36" t="s">
        <v>36558</v>
      </c>
      <c r="E4160" s="36" t="s">
        <v>2</v>
      </c>
      <c r="F4160" s="36">
        <v>1</v>
      </c>
      <c r="G4160" s="36">
        <v>2</v>
      </c>
      <c r="H4160" s="36">
        <v>0</v>
      </c>
      <c r="I4160" s="37">
        <v>0</v>
      </c>
      <c r="J4160" s="36" t="s">
        <v>36190</v>
      </c>
      <c r="K4160" s="36" t="s">
        <v>14330</v>
      </c>
      <c r="L4160" s="36" t="s">
        <v>14330</v>
      </c>
      <c r="M4160">
        <v>2</v>
      </c>
      <c r="N4160" t="s">
        <v>14331</v>
      </c>
      <c r="O4160" t="s">
        <v>14333</v>
      </c>
    </row>
    <row r="4161" spans="1:15" x14ac:dyDescent="0.25">
      <c r="A4161" s="35" t="s">
        <v>8275</v>
      </c>
      <c r="B4161" s="36" t="s">
        <v>8276</v>
      </c>
      <c r="C4161" s="36" t="str">
        <f>HYPERLINK("https://rhld.insurance.arkansas.gov/NPILookup?Npi=1396224754","1396224754")</f>
        <v>1396224754</v>
      </c>
      <c r="D4161" s="36" t="s">
        <v>36559</v>
      </c>
      <c r="E4161" s="36" t="s">
        <v>2</v>
      </c>
      <c r="F4161" s="36">
        <v>1</v>
      </c>
      <c r="G4161" s="36">
        <v>2</v>
      </c>
      <c r="H4161" s="36">
        <v>0</v>
      </c>
      <c r="I4161" s="37">
        <v>0</v>
      </c>
      <c r="J4161" s="36" t="s">
        <v>36190</v>
      </c>
      <c r="K4161" s="36" t="s">
        <v>14330</v>
      </c>
      <c r="L4161" s="36" t="s">
        <v>14330</v>
      </c>
      <c r="M4161">
        <v>0</v>
      </c>
      <c r="N4161" t="s">
        <v>14331</v>
      </c>
      <c r="O4161" t="s">
        <v>14333</v>
      </c>
    </row>
    <row r="4162" spans="1:15" x14ac:dyDescent="0.25">
      <c r="A4162" s="35" t="s">
        <v>8275</v>
      </c>
      <c r="B4162" s="36" t="s">
        <v>8276</v>
      </c>
      <c r="C4162" s="36" t="str">
        <f>HYPERLINK("https://rhld.insurance.arkansas.gov/NPILookup?Npi=1396242954","1396242954")</f>
        <v>1396242954</v>
      </c>
      <c r="D4162" s="36" t="s">
        <v>36560</v>
      </c>
      <c r="E4162" s="36" t="s">
        <v>1</v>
      </c>
      <c r="F4162" s="36">
        <v>1</v>
      </c>
      <c r="G4162" s="36">
        <v>1</v>
      </c>
      <c r="H4162" s="36">
        <v>1</v>
      </c>
      <c r="I4162" s="37">
        <v>0</v>
      </c>
      <c r="J4162" s="36" t="s">
        <v>32654</v>
      </c>
      <c r="K4162" s="36" t="s">
        <v>14330</v>
      </c>
      <c r="L4162" s="36" t="s">
        <v>36271</v>
      </c>
      <c r="M4162">
        <v>2</v>
      </c>
      <c r="N4162" t="s">
        <v>14332</v>
      </c>
      <c r="O4162" t="s">
        <v>32591</v>
      </c>
    </row>
    <row r="4163" spans="1:15" x14ac:dyDescent="0.25">
      <c r="A4163" s="35" t="s">
        <v>8275</v>
      </c>
      <c r="B4163" s="36" t="s">
        <v>8276</v>
      </c>
      <c r="C4163" s="36" t="str">
        <f>HYPERLINK("https://rhld.insurance.arkansas.gov/NPILookup?Npi=1396323614","1396323614")</f>
        <v>1396323614</v>
      </c>
      <c r="D4163" s="36" t="s">
        <v>35371</v>
      </c>
      <c r="E4163" s="36" t="s">
        <v>2</v>
      </c>
      <c r="F4163" s="36">
        <v>1</v>
      </c>
      <c r="G4163" s="36">
        <v>2</v>
      </c>
      <c r="H4163" s="36">
        <v>0</v>
      </c>
      <c r="I4163" s="37">
        <v>0</v>
      </c>
      <c r="J4163" s="36"/>
      <c r="K4163" s="36" t="s">
        <v>14330</v>
      </c>
      <c r="L4163" s="36" t="s">
        <v>14330</v>
      </c>
      <c r="M4163">
        <v>3</v>
      </c>
      <c r="N4163" t="s">
        <v>14331</v>
      </c>
      <c r="O4163" t="s">
        <v>14333</v>
      </c>
    </row>
    <row r="4164" spans="1:15" x14ac:dyDescent="0.25">
      <c r="A4164" s="35" t="s">
        <v>8275</v>
      </c>
      <c r="B4164" s="36" t="s">
        <v>8276</v>
      </c>
      <c r="C4164" s="36" t="str">
        <f>HYPERLINK("https://rhld.insurance.arkansas.gov/NPILookup?Npi=1396362737","1396362737")</f>
        <v>1396362737</v>
      </c>
      <c r="D4164" s="36" t="s">
        <v>36561</v>
      </c>
      <c r="E4164" s="36" t="s">
        <v>2</v>
      </c>
      <c r="F4164" s="36">
        <v>1</v>
      </c>
      <c r="G4164" s="36">
        <v>3</v>
      </c>
      <c r="H4164" s="36">
        <v>0</v>
      </c>
      <c r="I4164" s="37">
        <v>0</v>
      </c>
      <c r="J4164" s="36" t="s">
        <v>36190</v>
      </c>
      <c r="K4164" s="36" t="s">
        <v>14330</v>
      </c>
      <c r="L4164" s="36" t="s">
        <v>14330</v>
      </c>
      <c r="M4164">
        <v>1</v>
      </c>
      <c r="N4164" t="s">
        <v>14331</v>
      </c>
      <c r="O4164" t="s">
        <v>14333</v>
      </c>
    </row>
    <row r="4165" spans="1:15" x14ac:dyDescent="0.25">
      <c r="A4165" s="35" t="s">
        <v>8275</v>
      </c>
      <c r="B4165" s="36" t="s">
        <v>8276</v>
      </c>
      <c r="C4165" s="36" t="str">
        <f>HYPERLINK("https://rhld.insurance.arkansas.gov/NPILookup?Npi=1396551412","1396551412")</f>
        <v>1396551412</v>
      </c>
      <c r="D4165" s="36" t="s">
        <v>34723</v>
      </c>
      <c r="E4165" s="36" t="s">
        <v>2</v>
      </c>
      <c r="F4165" s="36">
        <v>1</v>
      </c>
      <c r="G4165" s="36">
        <v>1</v>
      </c>
      <c r="H4165" s="36">
        <v>0</v>
      </c>
      <c r="I4165" s="37">
        <v>0</v>
      </c>
      <c r="J4165" s="36"/>
      <c r="K4165" s="36" t="s">
        <v>14330</v>
      </c>
      <c r="L4165" s="36" t="s">
        <v>14330</v>
      </c>
      <c r="M4165">
        <v>3</v>
      </c>
      <c r="N4165" t="s">
        <v>14331</v>
      </c>
      <c r="O4165" t="s">
        <v>32633</v>
      </c>
    </row>
    <row r="4166" spans="1:15" x14ac:dyDescent="0.25">
      <c r="A4166" s="35" t="s">
        <v>8275</v>
      </c>
      <c r="B4166" s="36" t="s">
        <v>8276</v>
      </c>
      <c r="C4166" s="36" t="str">
        <f>HYPERLINK("https://rhld.insurance.arkansas.gov/NPILookup?Npi=1396565206","1396565206")</f>
        <v>1396565206</v>
      </c>
      <c r="D4166" s="36" t="s">
        <v>31262</v>
      </c>
      <c r="E4166" s="36" t="s">
        <v>2</v>
      </c>
      <c r="F4166" s="36">
        <v>1</v>
      </c>
      <c r="G4166" s="36">
        <v>3</v>
      </c>
      <c r="H4166" s="36">
        <v>0</v>
      </c>
      <c r="I4166" s="37">
        <v>0</v>
      </c>
      <c r="J4166" s="36" t="s">
        <v>36190</v>
      </c>
      <c r="K4166" s="36" t="s">
        <v>14330</v>
      </c>
      <c r="L4166" s="36" t="s">
        <v>14330</v>
      </c>
      <c r="M4166">
        <v>2</v>
      </c>
      <c r="N4166" t="s">
        <v>14331</v>
      </c>
      <c r="O4166" t="s">
        <v>14333</v>
      </c>
    </row>
    <row r="4167" spans="1:15" x14ac:dyDescent="0.25">
      <c r="A4167" s="35" t="s">
        <v>8275</v>
      </c>
      <c r="B4167" s="36" t="s">
        <v>8276</v>
      </c>
      <c r="C4167" s="36" t="str">
        <f>HYPERLINK("https://rhld.insurance.arkansas.gov/NPILookup?Npi=1396573119","1396573119")</f>
        <v>1396573119</v>
      </c>
      <c r="D4167" s="36" t="s">
        <v>34724</v>
      </c>
      <c r="E4167" s="36" t="s">
        <v>2</v>
      </c>
      <c r="F4167" s="36">
        <v>1</v>
      </c>
      <c r="G4167" s="36">
        <v>2</v>
      </c>
      <c r="H4167" s="36">
        <v>0</v>
      </c>
      <c r="I4167" s="37">
        <v>0</v>
      </c>
      <c r="J4167" s="36"/>
      <c r="K4167" s="36" t="s">
        <v>14330</v>
      </c>
      <c r="L4167" s="36" t="s">
        <v>14330</v>
      </c>
      <c r="M4167">
        <v>2</v>
      </c>
      <c r="N4167" t="s">
        <v>14331</v>
      </c>
      <c r="O4167" t="s">
        <v>14333</v>
      </c>
    </row>
    <row r="4168" spans="1:15" x14ac:dyDescent="0.25">
      <c r="A4168" s="35" t="s">
        <v>8275</v>
      </c>
      <c r="B4168" s="36" t="s">
        <v>8276</v>
      </c>
      <c r="C4168" s="36" t="str">
        <f>HYPERLINK("https://rhld.insurance.arkansas.gov/NPILookup?Npi=1396703252","1396703252")</f>
        <v>1396703252</v>
      </c>
      <c r="D4168" s="36" t="s">
        <v>36562</v>
      </c>
      <c r="E4168" s="36" t="s">
        <v>1</v>
      </c>
      <c r="F4168" s="36">
        <v>1</v>
      </c>
      <c r="G4168" s="36">
        <v>2</v>
      </c>
      <c r="H4168" s="36">
        <v>0</v>
      </c>
      <c r="I4168" s="37">
        <v>0</v>
      </c>
      <c r="J4168" s="36" t="s">
        <v>32654</v>
      </c>
      <c r="K4168" s="36" t="s">
        <v>14330</v>
      </c>
      <c r="L4168" s="36" t="s">
        <v>14330</v>
      </c>
      <c r="M4168">
        <v>3</v>
      </c>
      <c r="N4168" t="s">
        <v>14331</v>
      </c>
      <c r="O4168" t="s">
        <v>32633</v>
      </c>
    </row>
    <row r="4169" spans="1:15" x14ac:dyDescent="0.25">
      <c r="A4169" s="35" t="s">
        <v>8275</v>
      </c>
      <c r="B4169" s="36" t="s">
        <v>8276</v>
      </c>
      <c r="C4169" s="36" t="str">
        <f>HYPERLINK("https://rhld.insurance.arkansas.gov/NPILookup?Npi=1396793741","1396793741")</f>
        <v>1396793741</v>
      </c>
      <c r="D4169" s="36" t="s">
        <v>36563</v>
      </c>
      <c r="E4169" s="36" t="s">
        <v>2</v>
      </c>
      <c r="F4169" s="36">
        <v>1</v>
      </c>
      <c r="G4169" s="36">
        <v>3</v>
      </c>
      <c r="H4169" s="36">
        <v>0</v>
      </c>
      <c r="I4169" s="37">
        <v>0</v>
      </c>
      <c r="J4169" s="36" t="s">
        <v>36190</v>
      </c>
      <c r="K4169" s="36" t="s">
        <v>14330</v>
      </c>
      <c r="L4169" s="36" t="s">
        <v>14330</v>
      </c>
      <c r="M4169">
        <v>1</v>
      </c>
      <c r="N4169" t="s">
        <v>14331</v>
      </c>
      <c r="O4169" t="s">
        <v>14333</v>
      </c>
    </row>
    <row r="4170" spans="1:15" x14ac:dyDescent="0.25">
      <c r="A4170" s="35" t="s">
        <v>8275</v>
      </c>
      <c r="B4170" s="36" t="s">
        <v>8276</v>
      </c>
      <c r="C4170" s="36" t="str">
        <f>HYPERLINK("https://rhld.insurance.arkansas.gov/NPILookup?Npi=1396835898","1396835898")</f>
        <v>1396835898</v>
      </c>
      <c r="D4170" s="36" t="s">
        <v>36564</v>
      </c>
      <c r="E4170" s="36" t="s">
        <v>1</v>
      </c>
      <c r="F4170" s="36">
        <v>1</v>
      </c>
      <c r="G4170" s="36">
        <v>1</v>
      </c>
      <c r="H4170" s="36">
        <v>0</v>
      </c>
      <c r="I4170" s="37">
        <v>0</v>
      </c>
      <c r="J4170" s="36" t="s">
        <v>32654</v>
      </c>
      <c r="K4170" s="36" t="s">
        <v>14330</v>
      </c>
      <c r="L4170" s="36" t="s">
        <v>14330</v>
      </c>
      <c r="M4170">
        <v>3</v>
      </c>
      <c r="N4170" t="s">
        <v>14331</v>
      </c>
      <c r="O4170" t="s">
        <v>32633</v>
      </c>
    </row>
    <row r="4171" spans="1:15" x14ac:dyDescent="0.25">
      <c r="A4171" s="35" t="s">
        <v>8275</v>
      </c>
      <c r="B4171" s="36" t="s">
        <v>8276</v>
      </c>
      <c r="C4171" s="36" t="str">
        <f>HYPERLINK("https://rhld.insurance.arkansas.gov/NPILookup?Npi=1396854493","1396854493")</f>
        <v>1396854493</v>
      </c>
      <c r="D4171" s="36" t="s">
        <v>36565</v>
      </c>
      <c r="E4171" s="36" t="s">
        <v>2</v>
      </c>
      <c r="F4171" s="36">
        <v>1</v>
      </c>
      <c r="G4171" s="36">
        <v>3</v>
      </c>
      <c r="H4171" s="36">
        <v>0</v>
      </c>
      <c r="I4171" s="37">
        <v>0</v>
      </c>
      <c r="J4171" s="36" t="s">
        <v>36190</v>
      </c>
      <c r="K4171" s="36" t="s">
        <v>14330</v>
      </c>
      <c r="L4171" s="36" t="s">
        <v>14330</v>
      </c>
      <c r="M4171">
        <v>2</v>
      </c>
      <c r="N4171" t="s">
        <v>14331</v>
      </c>
      <c r="O4171" t="s">
        <v>14333</v>
      </c>
    </row>
    <row r="4172" spans="1:15" x14ac:dyDescent="0.25">
      <c r="A4172" s="35" t="s">
        <v>8275</v>
      </c>
      <c r="B4172" s="36" t="s">
        <v>8276</v>
      </c>
      <c r="C4172" s="36" t="str">
        <f>HYPERLINK("https://rhld.insurance.arkansas.gov/NPILookup?Npi=1396941522","1396941522")</f>
        <v>1396941522</v>
      </c>
      <c r="D4172" s="36" t="s">
        <v>36566</v>
      </c>
      <c r="E4172" s="36" t="s">
        <v>2</v>
      </c>
      <c r="F4172" s="36">
        <v>1</v>
      </c>
      <c r="G4172" s="36">
        <v>2</v>
      </c>
      <c r="H4172" s="36">
        <v>0</v>
      </c>
      <c r="I4172" s="37">
        <v>0</v>
      </c>
      <c r="J4172" s="36" t="s">
        <v>36190</v>
      </c>
      <c r="K4172" s="36" t="s">
        <v>14330</v>
      </c>
      <c r="L4172" s="36" t="s">
        <v>14330</v>
      </c>
      <c r="M4172">
        <v>3</v>
      </c>
      <c r="N4172" t="s">
        <v>14331</v>
      </c>
      <c r="O4172" t="s">
        <v>14333</v>
      </c>
    </row>
    <row r="4173" spans="1:15" x14ac:dyDescent="0.25">
      <c r="A4173" s="35" t="s">
        <v>8275</v>
      </c>
      <c r="B4173" s="36" t="s">
        <v>8276</v>
      </c>
      <c r="C4173" s="36" t="str">
        <f>HYPERLINK("https://rhld.insurance.arkansas.gov/NPILookup?Npi=1407081862","1407081862")</f>
        <v>1407081862</v>
      </c>
      <c r="D4173" s="36" t="s">
        <v>31263</v>
      </c>
      <c r="E4173" s="36" t="s">
        <v>2</v>
      </c>
      <c r="F4173" s="36">
        <v>1</v>
      </c>
      <c r="G4173" s="36">
        <v>3</v>
      </c>
      <c r="H4173" s="36">
        <v>0</v>
      </c>
      <c r="I4173" s="37">
        <v>0</v>
      </c>
      <c r="J4173" s="36" t="s">
        <v>36190</v>
      </c>
      <c r="K4173" s="36" t="s">
        <v>14330</v>
      </c>
      <c r="L4173" s="36" t="s">
        <v>14330</v>
      </c>
      <c r="M4173">
        <v>1</v>
      </c>
      <c r="N4173" t="s">
        <v>14331</v>
      </c>
      <c r="O4173" t="s">
        <v>14333</v>
      </c>
    </row>
    <row r="4174" spans="1:15" x14ac:dyDescent="0.25">
      <c r="A4174" s="35" t="s">
        <v>8275</v>
      </c>
      <c r="B4174" s="36" t="s">
        <v>8276</v>
      </c>
      <c r="C4174" s="36" t="str">
        <f>HYPERLINK("https://rhld.insurance.arkansas.gov/NPILookup?Npi=1407121544","1407121544")</f>
        <v>1407121544</v>
      </c>
      <c r="D4174" s="36" t="s">
        <v>35381</v>
      </c>
      <c r="E4174" s="36" t="s">
        <v>2</v>
      </c>
      <c r="F4174" s="36">
        <v>1</v>
      </c>
      <c r="G4174" s="36">
        <v>1</v>
      </c>
      <c r="H4174" s="36">
        <v>0</v>
      </c>
      <c r="I4174" s="37">
        <v>0</v>
      </c>
      <c r="J4174" s="36"/>
      <c r="K4174" s="36" t="s">
        <v>14330</v>
      </c>
      <c r="L4174" s="36" t="s">
        <v>14330</v>
      </c>
      <c r="M4174">
        <v>1</v>
      </c>
      <c r="N4174" t="s">
        <v>14331</v>
      </c>
      <c r="O4174" t="s">
        <v>32633</v>
      </c>
    </row>
    <row r="4175" spans="1:15" x14ac:dyDescent="0.25">
      <c r="A4175" s="35" t="s">
        <v>8275</v>
      </c>
      <c r="B4175" s="36" t="s">
        <v>8276</v>
      </c>
      <c r="C4175" s="36" t="str">
        <f>HYPERLINK("https://rhld.insurance.arkansas.gov/NPILookup?Npi=1407195324","1407195324")</f>
        <v>1407195324</v>
      </c>
      <c r="D4175" s="36" t="s">
        <v>35384</v>
      </c>
      <c r="E4175" s="36" t="s">
        <v>2</v>
      </c>
      <c r="F4175" s="36">
        <v>1</v>
      </c>
      <c r="G4175" s="36">
        <v>1</v>
      </c>
      <c r="H4175" s="36">
        <v>0</v>
      </c>
      <c r="I4175" s="37">
        <v>0</v>
      </c>
      <c r="J4175" s="36"/>
      <c r="K4175" s="36" t="s">
        <v>14330</v>
      </c>
      <c r="L4175" s="36" t="s">
        <v>14330</v>
      </c>
      <c r="M4175">
        <v>3</v>
      </c>
      <c r="N4175" t="s">
        <v>14331</v>
      </c>
      <c r="O4175" t="s">
        <v>32633</v>
      </c>
    </row>
    <row r="4176" spans="1:15" x14ac:dyDescent="0.25">
      <c r="A4176" s="35" t="s">
        <v>8275</v>
      </c>
      <c r="B4176" s="36" t="s">
        <v>8276</v>
      </c>
      <c r="C4176" s="36" t="str">
        <f>HYPERLINK("https://rhld.insurance.arkansas.gov/NPILookup?Npi=1407242498","1407242498")</f>
        <v>1407242498</v>
      </c>
      <c r="D4176" s="36" t="s">
        <v>36567</v>
      </c>
      <c r="E4176" s="36" t="s">
        <v>2</v>
      </c>
      <c r="F4176" s="36">
        <v>1</v>
      </c>
      <c r="G4176" s="36">
        <v>3</v>
      </c>
      <c r="H4176" s="36">
        <v>0</v>
      </c>
      <c r="I4176" s="37">
        <v>0</v>
      </c>
      <c r="J4176" s="36" t="s">
        <v>36190</v>
      </c>
      <c r="K4176" s="36" t="s">
        <v>14330</v>
      </c>
      <c r="L4176" s="36" t="s">
        <v>14330</v>
      </c>
      <c r="M4176">
        <v>2</v>
      </c>
      <c r="N4176" t="s">
        <v>14331</v>
      </c>
      <c r="O4176" t="s">
        <v>14333</v>
      </c>
    </row>
    <row r="4177" spans="1:15" x14ac:dyDescent="0.25">
      <c r="A4177" s="35" t="s">
        <v>8275</v>
      </c>
      <c r="B4177" s="36" t="s">
        <v>8276</v>
      </c>
      <c r="C4177" s="36" t="str">
        <f>HYPERLINK("https://rhld.insurance.arkansas.gov/NPILookup?Npi=1407388267","1407388267")</f>
        <v>1407388267</v>
      </c>
      <c r="D4177" s="36" t="s">
        <v>36568</v>
      </c>
      <c r="E4177" s="36" t="s">
        <v>2</v>
      </c>
      <c r="F4177" s="36">
        <v>1</v>
      </c>
      <c r="G4177" s="36">
        <v>2</v>
      </c>
      <c r="H4177" s="36">
        <v>0</v>
      </c>
      <c r="I4177" s="37">
        <v>0</v>
      </c>
      <c r="J4177" s="36" t="s">
        <v>36190</v>
      </c>
      <c r="K4177" s="36" t="s">
        <v>14330</v>
      </c>
      <c r="L4177" s="36" t="s">
        <v>14330</v>
      </c>
      <c r="M4177">
        <v>3</v>
      </c>
      <c r="N4177" t="s">
        <v>14331</v>
      </c>
      <c r="O4177" t="s">
        <v>14333</v>
      </c>
    </row>
    <row r="4178" spans="1:15" x14ac:dyDescent="0.25">
      <c r="A4178" s="35" t="s">
        <v>8275</v>
      </c>
      <c r="B4178" s="36" t="s">
        <v>8276</v>
      </c>
      <c r="C4178" s="36" t="str">
        <f>HYPERLINK("https://rhld.insurance.arkansas.gov/NPILookup?Npi=1407397730","1407397730")</f>
        <v>1407397730</v>
      </c>
      <c r="D4178" s="36" t="s">
        <v>36569</v>
      </c>
      <c r="E4178" s="36" t="s">
        <v>2</v>
      </c>
      <c r="F4178" s="36">
        <v>1</v>
      </c>
      <c r="G4178" s="36">
        <v>3</v>
      </c>
      <c r="H4178" s="36">
        <v>0</v>
      </c>
      <c r="I4178" s="37">
        <v>0</v>
      </c>
      <c r="J4178" s="36" t="s">
        <v>36190</v>
      </c>
      <c r="K4178" s="36" t="s">
        <v>14330</v>
      </c>
      <c r="L4178" s="36" t="s">
        <v>14330</v>
      </c>
      <c r="M4178">
        <v>2</v>
      </c>
      <c r="N4178" t="s">
        <v>14331</v>
      </c>
      <c r="O4178" t="s">
        <v>14333</v>
      </c>
    </row>
    <row r="4179" spans="1:15" x14ac:dyDescent="0.25">
      <c r="A4179" s="35" t="s">
        <v>8275</v>
      </c>
      <c r="B4179" s="36" t="s">
        <v>8276</v>
      </c>
      <c r="C4179" s="36" t="str">
        <f>HYPERLINK("https://rhld.insurance.arkansas.gov/NPILookup?Npi=1407421332","1407421332")</f>
        <v>1407421332</v>
      </c>
      <c r="D4179" s="36" t="s">
        <v>35386</v>
      </c>
      <c r="E4179" s="36" t="s">
        <v>2</v>
      </c>
      <c r="F4179" s="36">
        <v>1</v>
      </c>
      <c r="G4179" s="36">
        <v>2</v>
      </c>
      <c r="H4179" s="36">
        <v>0</v>
      </c>
      <c r="I4179" s="37">
        <v>0</v>
      </c>
      <c r="J4179" s="36"/>
      <c r="K4179" s="36" t="s">
        <v>14330</v>
      </c>
      <c r="L4179" s="36" t="s">
        <v>14330</v>
      </c>
      <c r="M4179">
        <v>2</v>
      </c>
      <c r="N4179" t="s">
        <v>14331</v>
      </c>
      <c r="O4179" t="s">
        <v>14333</v>
      </c>
    </row>
    <row r="4180" spans="1:15" x14ac:dyDescent="0.25">
      <c r="A4180" s="35" t="s">
        <v>8275</v>
      </c>
      <c r="B4180" s="36" t="s">
        <v>8276</v>
      </c>
      <c r="C4180" s="36" t="str">
        <f>HYPERLINK("https://rhld.insurance.arkansas.gov/NPILookup?Npi=1407611478","1407611478")</f>
        <v>1407611478</v>
      </c>
      <c r="D4180" s="36" t="s">
        <v>36570</v>
      </c>
      <c r="E4180" s="36" t="s">
        <v>2</v>
      </c>
      <c r="F4180" s="36">
        <v>1</v>
      </c>
      <c r="G4180" s="36">
        <v>2</v>
      </c>
      <c r="H4180" s="36">
        <v>0</v>
      </c>
      <c r="I4180" s="37">
        <v>0</v>
      </c>
      <c r="J4180" s="36" t="s">
        <v>36190</v>
      </c>
      <c r="K4180" s="36" t="s">
        <v>14330</v>
      </c>
      <c r="L4180" s="36" t="s">
        <v>14330</v>
      </c>
      <c r="M4180">
        <v>1</v>
      </c>
      <c r="N4180" t="s">
        <v>14331</v>
      </c>
      <c r="O4180" t="s">
        <v>14333</v>
      </c>
    </row>
    <row r="4181" spans="1:15" x14ac:dyDescent="0.25">
      <c r="A4181" s="35" t="s">
        <v>8275</v>
      </c>
      <c r="B4181" s="36" t="s">
        <v>8276</v>
      </c>
      <c r="C4181" s="36" t="str">
        <f>HYPERLINK("https://rhld.insurance.arkansas.gov/NPILookup?Npi=1407683758","1407683758")</f>
        <v>1407683758</v>
      </c>
      <c r="D4181" s="36" t="s">
        <v>35389</v>
      </c>
      <c r="E4181" s="36" t="s">
        <v>2</v>
      </c>
      <c r="F4181" s="36">
        <v>1</v>
      </c>
      <c r="G4181" s="36">
        <v>1</v>
      </c>
      <c r="H4181" s="36">
        <v>0</v>
      </c>
      <c r="I4181" s="37">
        <v>0</v>
      </c>
      <c r="J4181" s="36"/>
      <c r="K4181" s="36" t="s">
        <v>14330</v>
      </c>
      <c r="L4181" s="36" t="s">
        <v>14330</v>
      </c>
      <c r="M4181">
        <v>2</v>
      </c>
      <c r="N4181" t="s">
        <v>14331</v>
      </c>
      <c r="O4181" t="s">
        <v>32633</v>
      </c>
    </row>
    <row r="4182" spans="1:15" x14ac:dyDescent="0.25">
      <c r="A4182" s="35" t="s">
        <v>8275</v>
      </c>
      <c r="B4182" s="36" t="s">
        <v>8276</v>
      </c>
      <c r="C4182" s="36" t="str">
        <f>HYPERLINK("https://rhld.insurance.arkansas.gov/NPILookup?Npi=1407694722","1407694722")</f>
        <v>1407694722</v>
      </c>
      <c r="D4182" s="36" t="s">
        <v>35390</v>
      </c>
      <c r="E4182" s="36" t="s">
        <v>2</v>
      </c>
      <c r="F4182" s="36">
        <v>1</v>
      </c>
      <c r="G4182" s="36">
        <v>2</v>
      </c>
      <c r="H4182" s="36">
        <v>0</v>
      </c>
      <c r="I4182" s="37">
        <v>0</v>
      </c>
      <c r="J4182" s="36"/>
      <c r="K4182" s="36" t="s">
        <v>14330</v>
      </c>
      <c r="L4182" s="36" t="s">
        <v>14330</v>
      </c>
      <c r="M4182">
        <v>2</v>
      </c>
      <c r="N4182" t="s">
        <v>14331</v>
      </c>
      <c r="O4182" t="s">
        <v>14333</v>
      </c>
    </row>
    <row r="4183" spans="1:15" x14ac:dyDescent="0.25">
      <c r="A4183" s="35" t="s">
        <v>8275</v>
      </c>
      <c r="B4183" s="36" t="s">
        <v>8276</v>
      </c>
      <c r="C4183" s="36" t="str">
        <f>HYPERLINK("https://rhld.insurance.arkansas.gov/NPILookup?Npi=1407696123","1407696123")</f>
        <v>1407696123</v>
      </c>
      <c r="D4183" s="36" t="s">
        <v>35391</v>
      </c>
      <c r="E4183" s="36" t="s">
        <v>2</v>
      </c>
      <c r="F4183" s="36">
        <v>1</v>
      </c>
      <c r="G4183" s="36">
        <v>2</v>
      </c>
      <c r="H4183" s="36">
        <v>0</v>
      </c>
      <c r="I4183" s="37">
        <v>0</v>
      </c>
      <c r="J4183" s="36"/>
      <c r="K4183" s="36" t="s">
        <v>14330</v>
      </c>
      <c r="L4183" s="36" t="s">
        <v>14330</v>
      </c>
      <c r="M4183">
        <v>3</v>
      </c>
      <c r="N4183" t="s">
        <v>14331</v>
      </c>
      <c r="O4183" t="s">
        <v>14333</v>
      </c>
    </row>
    <row r="4184" spans="1:15" x14ac:dyDescent="0.25">
      <c r="A4184" s="35" t="s">
        <v>8275</v>
      </c>
      <c r="B4184" s="36" t="s">
        <v>8276</v>
      </c>
      <c r="C4184" s="36" t="str">
        <f>HYPERLINK("https://rhld.insurance.arkansas.gov/NPILookup?Npi=1407810898","1407810898")</f>
        <v>1407810898</v>
      </c>
      <c r="D4184" s="36" t="s">
        <v>36571</v>
      </c>
      <c r="E4184" s="36" t="s">
        <v>2</v>
      </c>
      <c r="F4184" s="36">
        <v>1</v>
      </c>
      <c r="G4184" s="36">
        <v>3</v>
      </c>
      <c r="H4184" s="36">
        <v>0</v>
      </c>
      <c r="I4184" s="37">
        <v>0</v>
      </c>
      <c r="J4184" s="36" t="s">
        <v>36190</v>
      </c>
      <c r="K4184" s="36" t="s">
        <v>14330</v>
      </c>
      <c r="L4184" s="36" t="s">
        <v>14330</v>
      </c>
      <c r="M4184">
        <v>3</v>
      </c>
      <c r="N4184" t="s">
        <v>14331</v>
      </c>
      <c r="O4184" t="s">
        <v>14333</v>
      </c>
    </row>
    <row r="4185" spans="1:15" x14ac:dyDescent="0.25">
      <c r="A4185" s="35" t="s">
        <v>8275</v>
      </c>
      <c r="B4185" s="36" t="s">
        <v>8276</v>
      </c>
      <c r="C4185" s="36" t="str">
        <f>HYPERLINK("https://rhld.insurance.arkansas.gov/NPILookup?Npi=1407831985","1407831985")</f>
        <v>1407831985</v>
      </c>
      <c r="D4185" s="36" t="s">
        <v>36572</v>
      </c>
      <c r="E4185" s="36" t="s">
        <v>2</v>
      </c>
      <c r="F4185" s="36">
        <v>1</v>
      </c>
      <c r="G4185" s="36">
        <v>3</v>
      </c>
      <c r="H4185" s="36">
        <v>0</v>
      </c>
      <c r="I4185" s="37">
        <v>0</v>
      </c>
      <c r="J4185" s="36" t="s">
        <v>36190</v>
      </c>
      <c r="K4185" s="36" t="s">
        <v>14330</v>
      </c>
      <c r="L4185" s="36" t="s">
        <v>14330</v>
      </c>
      <c r="M4185">
        <v>2</v>
      </c>
      <c r="N4185" t="s">
        <v>14331</v>
      </c>
      <c r="O4185" t="s">
        <v>14333</v>
      </c>
    </row>
    <row r="4186" spans="1:15" x14ac:dyDescent="0.25">
      <c r="A4186" s="35" t="s">
        <v>8275</v>
      </c>
      <c r="B4186" s="36" t="s">
        <v>8276</v>
      </c>
      <c r="C4186" s="36" t="str">
        <f>HYPERLINK("https://rhld.insurance.arkansas.gov/NPILookup?Npi=1407849896","1407849896")</f>
        <v>1407849896</v>
      </c>
      <c r="D4186" s="36" t="s">
        <v>36573</v>
      </c>
      <c r="E4186" s="36" t="s">
        <v>2</v>
      </c>
      <c r="F4186" s="36">
        <v>1</v>
      </c>
      <c r="G4186" s="36">
        <v>2</v>
      </c>
      <c r="H4186" s="36">
        <v>0</v>
      </c>
      <c r="I4186" s="37">
        <v>0</v>
      </c>
      <c r="J4186" s="36" t="s">
        <v>36190</v>
      </c>
      <c r="K4186" s="36" t="s">
        <v>14330</v>
      </c>
      <c r="L4186" s="36" t="s">
        <v>14330</v>
      </c>
      <c r="M4186">
        <v>2</v>
      </c>
      <c r="N4186" t="s">
        <v>14331</v>
      </c>
      <c r="O4186" t="s">
        <v>14333</v>
      </c>
    </row>
    <row r="4187" spans="1:15" x14ac:dyDescent="0.25">
      <c r="A4187" s="35" t="s">
        <v>8275</v>
      </c>
      <c r="B4187" s="36" t="s">
        <v>8276</v>
      </c>
      <c r="C4187" s="36" t="str">
        <f>HYPERLINK("https://rhld.insurance.arkansas.gov/NPILookup?Npi=1407857923","1407857923")</f>
        <v>1407857923</v>
      </c>
      <c r="D4187" s="36" t="s">
        <v>36574</v>
      </c>
      <c r="E4187" s="36" t="s">
        <v>1</v>
      </c>
      <c r="F4187" s="36">
        <v>1</v>
      </c>
      <c r="G4187" s="36">
        <v>2</v>
      </c>
      <c r="H4187" s="36">
        <v>0</v>
      </c>
      <c r="I4187" s="37">
        <v>0</v>
      </c>
      <c r="J4187" s="36" t="s">
        <v>32654</v>
      </c>
      <c r="K4187" s="36" t="s">
        <v>14330</v>
      </c>
      <c r="L4187" s="36" t="s">
        <v>14330</v>
      </c>
      <c r="M4187">
        <v>3</v>
      </c>
      <c r="N4187" t="s">
        <v>14331</v>
      </c>
      <c r="O4187" t="s">
        <v>32633</v>
      </c>
    </row>
    <row r="4188" spans="1:15" x14ac:dyDescent="0.25">
      <c r="A4188" s="35" t="s">
        <v>8275</v>
      </c>
      <c r="B4188" s="36" t="s">
        <v>8276</v>
      </c>
      <c r="C4188" s="36" t="str">
        <f>HYPERLINK("https://rhld.insurance.arkansas.gov/NPILookup?Npi=1417021007","1417021007")</f>
        <v>1417021007</v>
      </c>
      <c r="D4188" s="36" t="s">
        <v>36575</v>
      </c>
      <c r="E4188" s="36" t="s">
        <v>2</v>
      </c>
      <c r="F4188" s="36">
        <v>1</v>
      </c>
      <c r="G4188" s="36">
        <v>3</v>
      </c>
      <c r="H4188" s="36">
        <v>0</v>
      </c>
      <c r="I4188" s="37">
        <v>0</v>
      </c>
      <c r="J4188" s="36" t="s">
        <v>36190</v>
      </c>
      <c r="K4188" s="36" t="s">
        <v>14330</v>
      </c>
      <c r="L4188" s="36" t="s">
        <v>14330</v>
      </c>
      <c r="M4188">
        <v>3</v>
      </c>
      <c r="N4188" t="s">
        <v>14331</v>
      </c>
      <c r="O4188" t="s">
        <v>14333</v>
      </c>
    </row>
    <row r="4189" spans="1:15" x14ac:dyDescent="0.25">
      <c r="A4189" s="35" t="s">
        <v>8275</v>
      </c>
      <c r="B4189" s="36" t="s">
        <v>8276</v>
      </c>
      <c r="C4189" s="36" t="str">
        <f>HYPERLINK("https://rhld.insurance.arkansas.gov/NPILookup?Npi=1417056250","1417056250")</f>
        <v>1417056250</v>
      </c>
      <c r="D4189" s="36" t="s">
        <v>36576</v>
      </c>
      <c r="E4189" s="36" t="s">
        <v>2</v>
      </c>
      <c r="F4189" s="36">
        <v>1</v>
      </c>
      <c r="G4189" s="36">
        <v>3</v>
      </c>
      <c r="H4189" s="36">
        <v>0</v>
      </c>
      <c r="I4189" s="37">
        <v>0</v>
      </c>
      <c r="J4189" s="36" t="s">
        <v>36190</v>
      </c>
      <c r="K4189" s="36" t="s">
        <v>14330</v>
      </c>
      <c r="L4189" s="36" t="s">
        <v>14330</v>
      </c>
      <c r="M4189">
        <v>2</v>
      </c>
      <c r="N4189" t="s">
        <v>14331</v>
      </c>
      <c r="O4189" t="s">
        <v>14333</v>
      </c>
    </row>
    <row r="4190" spans="1:15" x14ac:dyDescent="0.25">
      <c r="A4190" s="35" t="s">
        <v>8275</v>
      </c>
      <c r="B4190" s="36" t="s">
        <v>8276</v>
      </c>
      <c r="C4190" s="36" t="str">
        <f>HYPERLINK("https://rhld.insurance.arkansas.gov/NPILookup?Npi=1417060286","1417060286")</f>
        <v>1417060286</v>
      </c>
      <c r="D4190" s="36" t="s">
        <v>36577</v>
      </c>
      <c r="E4190" s="36" t="s">
        <v>2</v>
      </c>
      <c r="F4190" s="36">
        <v>1</v>
      </c>
      <c r="G4190" s="36">
        <v>2</v>
      </c>
      <c r="H4190" s="36">
        <v>0</v>
      </c>
      <c r="I4190" s="37">
        <v>0</v>
      </c>
      <c r="J4190" s="36" t="s">
        <v>36190</v>
      </c>
      <c r="K4190" s="36" t="s">
        <v>14330</v>
      </c>
      <c r="L4190" s="36" t="s">
        <v>14330</v>
      </c>
      <c r="M4190">
        <v>3</v>
      </c>
      <c r="N4190" t="s">
        <v>14331</v>
      </c>
      <c r="O4190" t="s">
        <v>14333</v>
      </c>
    </row>
    <row r="4191" spans="1:15" x14ac:dyDescent="0.25">
      <c r="A4191" s="35" t="s">
        <v>8275</v>
      </c>
      <c r="B4191" s="36" t="s">
        <v>8276</v>
      </c>
      <c r="C4191" s="36" t="str">
        <f>HYPERLINK("https://rhld.insurance.arkansas.gov/NPILookup?Npi=1417240060","1417240060")</f>
        <v>1417240060</v>
      </c>
      <c r="D4191" s="36" t="s">
        <v>36578</v>
      </c>
      <c r="E4191" s="36" t="s">
        <v>2</v>
      </c>
      <c r="F4191" s="36">
        <v>1</v>
      </c>
      <c r="G4191" s="36">
        <v>3</v>
      </c>
      <c r="H4191" s="36">
        <v>0</v>
      </c>
      <c r="I4191" s="37">
        <v>0</v>
      </c>
      <c r="J4191" s="36" t="s">
        <v>36190</v>
      </c>
      <c r="K4191" s="36" t="s">
        <v>14330</v>
      </c>
      <c r="L4191" s="36" t="s">
        <v>14330</v>
      </c>
      <c r="M4191">
        <v>2</v>
      </c>
      <c r="N4191" t="s">
        <v>14331</v>
      </c>
      <c r="O4191" t="s">
        <v>14333</v>
      </c>
    </row>
    <row r="4192" spans="1:15" x14ac:dyDescent="0.25">
      <c r="A4192" s="35" t="s">
        <v>8275</v>
      </c>
      <c r="B4192" s="36" t="s">
        <v>8276</v>
      </c>
      <c r="C4192" s="36" t="str">
        <f>HYPERLINK("https://rhld.insurance.arkansas.gov/NPILookup?Npi=1417299413","1417299413")</f>
        <v>1417299413</v>
      </c>
      <c r="D4192" s="36" t="s">
        <v>33161</v>
      </c>
      <c r="E4192" s="36" t="s">
        <v>2</v>
      </c>
      <c r="F4192" s="36">
        <v>1</v>
      </c>
      <c r="G4192" s="36">
        <v>2</v>
      </c>
      <c r="H4192" s="36">
        <v>0</v>
      </c>
      <c r="I4192" s="37">
        <v>0</v>
      </c>
      <c r="J4192" s="36"/>
      <c r="K4192" s="36" t="s">
        <v>14330</v>
      </c>
      <c r="L4192" s="36" t="s">
        <v>14330</v>
      </c>
      <c r="M4192">
        <v>2</v>
      </c>
      <c r="N4192" t="s">
        <v>14331</v>
      </c>
      <c r="O4192" t="s">
        <v>14333</v>
      </c>
    </row>
    <row r="4193" spans="1:15" x14ac:dyDescent="0.25">
      <c r="A4193" s="35" t="s">
        <v>8275</v>
      </c>
      <c r="B4193" s="36" t="s">
        <v>8276</v>
      </c>
      <c r="C4193" s="36" t="str">
        <f>HYPERLINK("https://rhld.insurance.arkansas.gov/NPILookup?Npi=1417373283","1417373283")</f>
        <v>1417373283</v>
      </c>
      <c r="D4193" s="36" t="s">
        <v>34320</v>
      </c>
      <c r="E4193" s="36" t="s">
        <v>2</v>
      </c>
      <c r="F4193" s="36">
        <v>1</v>
      </c>
      <c r="G4193" s="36">
        <v>2</v>
      </c>
      <c r="H4193" s="36">
        <v>0</v>
      </c>
      <c r="I4193" s="37">
        <v>0</v>
      </c>
      <c r="J4193" s="36"/>
      <c r="K4193" s="36" t="s">
        <v>14330</v>
      </c>
      <c r="L4193" s="36" t="s">
        <v>14330</v>
      </c>
      <c r="M4193">
        <v>1</v>
      </c>
      <c r="N4193" t="s">
        <v>14331</v>
      </c>
      <c r="O4193" t="s">
        <v>14333</v>
      </c>
    </row>
    <row r="4194" spans="1:15" x14ac:dyDescent="0.25">
      <c r="A4194" s="35" t="s">
        <v>8275</v>
      </c>
      <c r="B4194" s="36" t="s">
        <v>8276</v>
      </c>
      <c r="C4194" s="36" t="str">
        <f>HYPERLINK("https://rhld.insurance.arkansas.gov/NPILookup?Npi=1417377334","1417377334")</f>
        <v>1417377334</v>
      </c>
      <c r="D4194" s="36" t="s">
        <v>36579</v>
      </c>
      <c r="E4194" s="36" t="s">
        <v>1</v>
      </c>
      <c r="F4194" s="36">
        <v>1</v>
      </c>
      <c r="G4194" s="36">
        <v>1</v>
      </c>
      <c r="H4194" s="36">
        <v>0</v>
      </c>
      <c r="I4194" s="37">
        <v>0</v>
      </c>
      <c r="J4194" s="36" t="s">
        <v>32654</v>
      </c>
      <c r="K4194" s="36" t="s">
        <v>14330</v>
      </c>
      <c r="L4194" s="36" t="s">
        <v>14330</v>
      </c>
      <c r="M4194">
        <v>3</v>
      </c>
      <c r="N4194" t="s">
        <v>14331</v>
      </c>
      <c r="O4194" t="s">
        <v>32633</v>
      </c>
    </row>
    <row r="4195" spans="1:15" x14ac:dyDescent="0.25">
      <c r="A4195" s="35" t="s">
        <v>8275</v>
      </c>
      <c r="B4195" s="36" t="s">
        <v>8276</v>
      </c>
      <c r="C4195" s="36" t="str">
        <f>HYPERLINK("https://rhld.insurance.arkansas.gov/NPILookup?Npi=1417388893","1417388893")</f>
        <v>1417388893</v>
      </c>
      <c r="D4195" s="36" t="s">
        <v>36580</v>
      </c>
      <c r="E4195" s="36" t="s">
        <v>2</v>
      </c>
      <c r="F4195" s="36">
        <v>1</v>
      </c>
      <c r="G4195" s="36">
        <v>3</v>
      </c>
      <c r="H4195" s="36">
        <v>0</v>
      </c>
      <c r="I4195" s="37">
        <v>0</v>
      </c>
      <c r="J4195" s="36" t="s">
        <v>36190</v>
      </c>
      <c r="K4195" s="36" t="s">
        <v>14330</v>
      </c>
      <c r="L4195" s="36" t="s">
        <v>14330</v>
      </c>
      <c r="M4195">
        <v>2</v>
      </c>
      <c r="N4195" t="s">
        <v>14331</v>
      </c>
      <c r="O4195" t="s">
        <v>14333</v>
      </c>
    </row>
    <row r="4196" spans="1:15" x14ac:dyDescent="0.25">
      <c r="A4196" s="35" t="s">
        <v>8275</v>
      </c>
      <c r="B4196" s="36" t="s">
        <v>8276</v>
      </c>
      <c r="C4196" s="36" t="str">
        <f>HYPERLINK("https://rhld.insurance.arkansas.gov/NPILookup?Npi=1417456443","1417456443")</f>
        <v>1417456443</v>
      </c>
      <c r="D4196" s="36" t="s">
        <v>36581</v>
      </c>
      <c r="E4196" s="36" t="s">
        <v>2</v>
      </c>
      <c r="F4196" s="36">
        <v>1</v>
      </c>
      <c r="G4196" s="36">
        <v>2</v>
      </c>
      <c r="H4196" s="36">
        <v>0</v>
      </c>
      <c r="I4196" s="37">
        <v>0</v>
      </c>
      <c r="J4196" s="36" t="s">
        <v>36190</v>
      </c>
      <c r="K4196" s="36" t="s">
        <v>14330</v>
      </c>
      <c r="L4196" s="36" t="s">
        <v>14330</v>
      </c>
      <c r="M4196">
        <v>3</v>
      </c>
      <c r="N4196" t="s">
        <v>14331</v>
      </c>
      <c r="O4196" t="s">
        <v>14333</v>
      </c>
    </row>
    <row r="4197" spans="1:15" x14ac:dyDescent="0.25">
      <c r="A4197" s="35" t="s">
        <v>8275</v>
      </c>
      <c r="B4197" s="36" t="s">
        <v>8276</v>
      </c>
      <c r="C4197" s="36" t="str">
        <f>HYPERLINK("https://rhld.insurance.arkansas.gov/NPILookup?Npi=1417469693","1417469693")</f>
        <v>1417469693</v>
      </c>
      <c r="D4197" s="36" t="s">
        <v>36582</v>
      </c>
      <c r="E4197" s="36" t="s">
        <v>2</v>
      </c>
      <c r="F4197" s="36">
        <v>1</v>
      </c>
      <c r="G4197" s="36">
        <v>3</v>
      </c>
      <c r="H4197" s="36">
        <v>0</v>
      </c>
      <c r="I4197" s="37">
        <v>0</v>
      </c>
      <c r="J4197" s="36" t="s">
        <v>36190</v>
      </c>
      <c r="K4197" s="36" t="s">
        <v>14330</v>
      </c>
      <c r="L4197" s="36" t="s">
        <v>14330</v>
      </c>
      <c r="M4197">
        <v>2</v>
      </c>
      <c r="N4197" t="s">
        <v>14331</v>
      </c>
      <c r="O4197" t="s">
        <v>14333</v>
      </c>
    </row>
    <row r="4198" spans="1:15" x14ac:dyDescent="0.25">
      <c r="A4198" s="35" t="s">
        <v>8275</v>
      </c>
      <c r="B4198" s="36" t="s">
        <v>8276</v>
      </c>
      <c r="C4198" s="36" t="str">
        <f>HYPERLINK("https://rhld.insurance.arkansas.gov/NPILookup?Npi=1417479965","1417479965")</f>
        <v>1417479965</v>
      </c>
      <c r="D4198" s="36" t="s">
        <v>36583</v>
      </c>
      <c r="E4198" s="36" t="s">
        <v>2</v>
      </c>
      <c r="F4198" s="36">
        <v>1</v>
      </c>
      <c r="G4198" s="36">
        <v>2</v>
      </c>
      <c r="H4198" s="36">
        <v>0</v>
      </c>
      <c r="I4198" s="37">
        <v>0</v>
      </c>
      <c r="J4198" s="36" t="s">
        <v>36190</v>
      </c>
      <c r="K4198" s="36" t="s">
        <v>14330</v>
      </c>
      <c r="L4198" s="36" t="s">
        <v>14330</v>
      </c>
      <c r="M4198">
        <v>2</v>
      </c>
      <c r="N4198" t="s">
        <v>14331</v>
      </c>
      <c r="O4198" t="s">
        <v>14333</v>
      </c>
    </row>
    <row r="4199" spans="1:15" x14ac:dyDescent="0.25">
      <c r="A4199" s="35" t="s">
        <v>8275</v>
      </c>
      <c r="B4199" s="36" t="s">
        <v>8276</v>
      </c>
      <c r="C4199" s="36" t="str">
        <f>HYPERLINK("https://rhld.insurance.arkansas.gov/NPILookup?Npi=1417512070","1417512070")</f>
        <v>1417512070</v>
      </c>
      <c r="D4199" s="36" t="s">
        <v>36584</v>
      </c>
      <c r="E4199" s="36" t="s">
        <v>2</v>
      </c>
      <c r="F4199" s="36">
        <v>1</v>
      </c>
      <c r="G4199" s="36">
        <v>2</v>
      </c>
      <c r="H4199" s="36">
        <v>0</v>
      </c>
      <c r="I4199" s="37">
        <v>0</v>
      </c>
      <c r="J4199" s="36" t="s">
        <v>36190</v>
      </c>
      <c r="K4199" s="36" t="s">
        <v>14330</v>
      </c>
      <c r="L4199" s="36" t="s">
        <v>14330</v>
      </c>
      <c r="M4199">
        <v>2</v>
      </c>
      <c r="N4199" t="s">
        <v>14331</v>
      </c>
      <c r="O4199" t="s">
        <v>14333</v>
      </c>
    </row>
    <row r="4200" spans="1:15" x14ac:dyDescent="0.25">
      <c r="A4200" s="35" t="s">
        <v>8275</v>
      </c>
      <c r="B4200" s="36" t="s">
        <v>8276</v>
      </c>
      <c r="C4200" s="36" t="str">
        <f>HYPERLINK("https://rhld.insurance.arkansas.gov/NPILookup?Npi=1417524372","1417524372")</f>
        <v>1417524372</v>
      </c>
      <c r="D4200" s="36" t="s">
        <v>36585</v>
      </c>
      <c r="E4200" s="36" t="s">
        <v>2</v>
      </c>
      <c r="F4200" s="36">
        <v>1</v>
      </c>
      <c r="G4200" s="36">
        <v>2</v>
      </c>
      <c r="H4200" s="36">
        <v>0</v>
      </c>
      <c r="I4200" s="37">
        <v>0</v>
      </c>
      <c r="J4200" s="36" t="s">
        <v>36190</v>
      </c>
      <c r="K4200" s="36" t="s">
        <v>14330</v>
      </c>
      <c r="L4200" s="36" t="s">
        <v>14330</v>
      </c>
      <c r="M4200">
        <v>2</v>
      </c>
      <c r="N4200" t="s">
        <v>14331</v>
      </c>
      <c r="O4200" t="s">
        <v>14333</v>
      </c>
    </row>
    <row r="4201" spans="1:15" x14ac:dyDescent="0.25">
      <c r="A4201" s="35" t="s">
        <v>8275</v>
      </c>
      <c r="B4201" s="36" t="s">
        <v>8276</v>
      </c>
      <c r="C4201" s="36" t="str">
        <f>HYPERLINK("https://rhld.insurance.arkansas.gov/NPILookup?Npi=1417720723","1417720723")</f>
        <v>1417720723</v>
      </c>
      <c r="D4201" s="36" t="s">
        <v>34728</v>
      </c>
      <c r="E4201" s="36" t="s">
        <v>2</v>
      </c>
      <c r="F4201" s="36">
        <v>1</v>
      </c>
      <c r="G4201" s="36">
        <v>2</v>
      </c>
      <c r="H4201" s="36">
        <v>0</v>
      </c>
      <c r="I4201" s="37">
        <v>0</v>
      </c>
      <c r="J4201" s="36"/>
      <c r="K4201" s="36" t="s">
        <v>14330</v>
      </c>
      <c r="L4201" s="36" t="s">
        <v>14330</v>
      </c>
      <c r="M4201">
        <v>2</v>
      </c>
      <c r="N4201" t="s">
        <v>14331</v>
      </c>
      <c r="O4201" t="s">
        <v>14333</v>
      </c>
    </row>
    <row r="4202" spans="1:15" x14ac:dyDescent="0.25">
      <c r="A4202" s="35" t="s">
        <v>8275</v>
      </c>
      <c r="B4202" s="36" t="s">
        <v>8276</v>
      </c>
      <c r="C4202" s="36" t="str">
        <f>HYPERLINK("https://rhld.insurance.arkansas.gov/NPILookup?Npi=1417793860","1417793860")</f>
        <v>1417793860</v>
      </c>
      <c r="D4202" s="36" t="s">
        <v>35405</v>
      </c>
      <c r="E4202" s="36" t="s">
        <v>2</v>
      </c>
      <c r="F4202" s="36">
        <v>1</v>
      </c>
      <c r="G4202" s="36">
        <v>2</v>
      </c>
      <c r="H4202" s="36">
        <v>0</v>
      </c>
      <c r="I4202" s="37">
        <v>0</v>
      </c>
      <c r="J4202" s="36"/>
      <c r="K4202" s="36" t="s">
        <v>14330</v>
      </c>
      <c r="L4202" s="36" t="s">
        <v>14330</v>
      </c>
      <c r="M4202">
        <v>1</v>
      </c>
      <c r="N4202" t="s">
        <v>14331</v>
      </c>
      <c r="O4202" t="s">
        <v>14333</v>
      </c>
    </row>
    <row r="4203" spans="1:15" x14ac:dyDescent="0.25">
      <c r="A4203" s="35" t="s">
        <v>8275</v>
      </c>
      <c r="B4203" s="36" t="s">
        <v>8276</v>
      </c>
      <c r="C4203" s="36" t="str">
        <f>HYPERLINK("https://rhld.insurance.arkansas.gov/NPILookup?Npi=1417796749","1417796749")</f>
        <v>1417796749</v>
      </c>
      <c r="D4203" s="36" t="s">
        <v>35406</v>
      </c>
      <c r="E4203" s="36" t="s">
        <v>2</v>
      </c>
      <c r="F4203" s="36">
        <v>1</v>
      </c>
      <c r="G4203" s="36">
        <v>1</v>
      </c>
      <c r="H4203" s="36">
        <v>0</v>
      </c>
      <c r="I4203" s="37">
        <v>0</v>
      </c>
      <c r="J4203" s="36"/>
      <c r="K4203" s="36" t="s">
        <v>14330</v>
      </c>
      <c r="L4203" s="36" t="s">
        <v>14330</v>
      </c>
      <c r="M4203">
        <v>2</v>
      </c>
      <c r="N4203" t="s">
        <v>14331</v>
      </c>
      <c r="O4203" t="s">
        <v>32633</v>
      </c>
    </row>
    <row r="4204" spans="1:15" x14ac:dyDescent="0.25">
      <c r="A4204" s="35" t="s">
        <v>8275</v>
      </c>
      <c r="B4204" s="36" t="s">
        <v>8276</v>
      </c>
      <c r="C4204" s="36" t="str">
        <f>HYPERLINK("https://rhld.insurance.arkansas.gov/NPILookup?Npi=1417922709","1417922709")</f>
        <v>1417922709</v>
      </c>
      <c r="D4204" s="36" t="s">
        <v>36586</v>
      </c>
      <c r="E4204" s="36" t="s">
        <v>2</v>
      </c>
      <c r="F4204" s="36">
        <v>1</v>
      </c>
      <c r="G4204" s="36">
        <v>2</v>
      </c>
      <c r="H4204" s="36">
        <v>0</v>
      </c>
      <c r="I4204" s="37">
        <v>0</v>
      </c>
      <c r="J4204" s="36" t="s">
        <v>36190</v>
      </c>
      <c r="K4204" s="36" t="s">
        <v>14330</v>
      </c>
      <c r="L4204" s="36" t="s">
        <v>14330</v>
      </c>
      <c r="M4204">
        <v>1</v>
      </c>
      <c r="N4204" t="s">
        <v>14331</v>
      </c>
      <c r="O4204" t="s">
        <v>14333</v>
      </c>
    </row>
    <row r="4205" spans="1:15" x14ac:dyDescent="0.25">
      <c r="A4205" s="35" t="s">
        <v>8275</v>
      </c>
      <c r="B4205" s="36" t="s">
        <v>8276</v>
      </c>
      <c r="C4205" s="36" t="str">
        <f>HYPERLINK("https://rhld.insurance.arkansas.gov/NPILookup?Npi=1427021435","1427021435")</f>
        <v>1427021435</v>
      </c>
      <c r="D4205" s="36" t="s">
        <v>35409</v>
      </c>
      <c r="E4205" s="36" t="s">
        <v>2</v>
      </c>
      <c r="F4205" s="36">
        <v>1</v>
      </c>
      <c r="G4205" s="36">
        <v>1</v>
      </c>
      <c r="H4205" s="36">
        <v>0</v>
      </c>
      <c r="I4205" s="37">
        <v>0</v>
      </c>
      <c r="J4205" s="36"/>
      <c r="K4205" s="36" t="s">
        <v>14330</v>
      </c>
      <c r="L4205" s="36" t="s">
        <v>14330</v>
      </c>
      <c r="M4205">
        <v>2</v>
      </c>
      <c r="N4205" t="s">
        <v>14331</v>
      </c>
      <c r="O4205" t="s">
        <v>32633</v>
      </c>
    </row>
    <row r="4206" spans="1:15" x14ac:dyDescent="0.25">
      <c r="A4206" s="35" t="s">
        <v>8275</v>
      </c>
      <c r="B4206" s="36" t="s">
        <v>8276</v>
      </c>
      <c r="C4206" s="36" t="str">
        <f>HYPERLINK("https://rhld.insurance.arkansas.gov/NPILookup?Npi=1427088814","1427088814")</f>
        <v>1427088814</v>
      </c>
      <c r="D4206" s="36" t="s">
        <v>36587</v>
      </c>
      <c r="E4206" s="36" t="s">
        <v>2</v>
      </c>
      <c r="F4206" s="36">
        <v>1</v>
      </c>
      <c r="G4206" s="36">
        <v>2</v>
      </c>
      <c r="H4206" s="36">
        <v>0</v>
      </c>
      <c r="I4206" s="37">
        <v>0</v>
      </c>
      <c r="J4206" s="36" t="s">
        <v>36190</v>
      </c>
      <c r="K4206" s="36" t="s">
        <v>14330</v>
      </c>
      <c r="L4206" s="36" t="s">
        <v>14330</v>
      </c>
      <c r="M4206">
        <v>1</v>
      </c>
      <c r="N4206" t="s">
        <v>14331</v>
      </c>
      <c r="O4206" t="s">
        <v>14333</v>
      </c>
    </row>
    <row r="4207" spans="1:15" x14ac:dyDescent="0.25">
      <c r="A4207" s="35" t="s">
        <v>8275</v>
      </c>
      <c r="B4207" s="36" t="s">
        <v>8276</v>
      </c>
      <c r="C4207" s="36" t="str">
        <f>HYPERLINK("https://rhld.insurance.arkansas.gov/NPILookup?Npi=1427437664","1427437664")</f>
        <v>1427437664</v>
      </c>
      <c r="D4207" s="36" t="s">
        <v>36588</v>
      </c>
      <c r="E4207" s="36" t="s">
        <v>2</v>
      </c>
      <c r="F4207" s="36">
        <v>1</v>
      </c>
      <c r="G4207" s="36">
        <v>1</v>
      </c>
      <c r="H4207" s="36">
        <v>0</v>
      </c>
      <c r="I4207" s="37">
        <v>0</v>
      </c>
      <c r="J4207" s="36"/>
      <c r="K4207" s="36" t="s">
        <v>14330</v>
      </c>
      <c r="L4207" s="36" t="s">
        <v>14330</v>
      </c>
      <c r="M4207">
        <v>2</v>
      </c>
      <c r="N4207" t="s">
        <v>14331</v>
      </c>
      <c r="O4207" t="s">
        <v>32633</v>
      </c>
    </row>
    <row r="4208" spans="1:15" x14ac:dyDescent="0.25">
      <c r="A4208" s="35" t="s">
        <v>8275</v>
      </c>
      <c r="B4208" s="36" t="s">
        <v>8276</v>
      </c>
      <c r="C4208" s="36" t="str">
        <f>HYPERLINK("https://rhld.insurance.arkansas.gov/NPILookup?Npi=1427443142","1427443142")</f>
        <v>1427443142</v>
      </c>
      <c r="D4208" s="36" t="s">
        <v>36589</v>
      </c>
      <c r="E4208" s="36" t="s">
        <v>2</v>
      </c>
      <c r="F4208" s="36">
        <v>1</v>
      </c>
      <c r="G4208" s="36">
        <v>2</v>
      </c>
      <c r="H4208" s="36">
        <v>0</v>
      </c>
      <c r="I4208" s="37">
        <v>0</v>
      </c>
      <c r="J4208" s="36" t="s">
        <v>32679</v>
      </c>
      <c r="K4208" s="36" t="s">
        <v>14330</v>
      </c>
      <c r="L4208" s="36" t="s">
        <v>14330</v>
      </c>
      <c r="M4208">
        <v>2</v>
      </c>
      <c r="N4208" t="s">
        <v>14331</v>
      </c>
      <c r="O4208" t="s">
        <v>14333</v>
      </c>
    </row>
    <row r="4209" spans="1:15" x14ac:dyDescent="0.25">
      <c r="A4209" s="35" t="s">
        <v>8275</v>
      </c>
      <c r="B4209" s="36" t="s">
        <v>8276</v>
      </c>
      <c r="C4209" s="36" t="str">
        <f>HYPERLINK("https://rhld.insurance.arkansas.gov/NPILookup?Npi=1427480565","1427480565")</f>
        <v>1427480565</v>
      </c>
      <c r="D4209" s="36" t="s">
        <v>36590</v>
      </c>
      <c r="E4209" s="36" t="s">
        <v>2</v>
      </c>
      <c r="F4209" s="36">
        <v>1</v>
      </c>
      <c r="G4209" s="36">
        <v>2</v>
      </c>
      <c r="H4209" s="36">
        <v>0</v>
      </c>
      <c r="I4209" s="37">
        <v>0</v>
      </c>
      <c r="J4209" s="36" t="s">
        <v>36190</v>
      </c>
      <c r="K4209" s="36" t="s">
        <v>14330</v>
      </c>
      <c r="L4209" s="36" t="s">
        <v>14330</v>
      </c>
      <c r="M4209">
        <v>1</v>
      </c>
      <c r="N4209" t="s">
        <v>14331</v>
      </c>
      <c r="O4209" t="s">
        <v>14333</v>
      </c>
    </row>
    <row r="4210" spans="1:15" x14ac:dyDescent="0.25">
      <c r="A4210" s="35" t="s">
        <v>8275</v>
      </c>
      <c r="B4210" s="36" t="s">
        <v>8276</v>
      </c>
      <c r="C4210" s="36" t="str">
        <f>HYPERLINK("https://rhld.insurance.arkansas.gov/NPILookup?Npi=1427674472","1427674472")</f>
        <v>1427674472</v>
      </c>
      <c r="D4210" s="36" t="s">
        <v>34729</v>
      </c>
      <c r="E4210" s="36" t="s">
        <v>2</v>
      </c>
      <c r="F4210" s="36">
        <v>1</v>
      </c>
      <c r="G4210" s="36">
        <v>1</v>
      </c>
      <c r="H4210" s="36">
        <v>0</v>
      </c>
      <c r="I4210" s="37">
        <v>0</v>
      </c>
      <c r="J4210" s="36"/>
      <c r="K4210" s="36" t="s">
        <v>14330</v>
      </c>
      <c r="L4210" s="36" t="s">
        <v>14330</v>
      </c>
      <c r="M4210">
        <v>3</v>
      </c>
      <c r="N4210" t="s">
        <v>14331</v>
      </c>
      <c r="O4210" t="s">
        <v>32633</v>
      </c>
    </row>
    <row r="4211" spans="1:15" x14ac:dyDescent="0.25">
      <c r="A4211" s="35" t="s">
        <v>8275</v>
      </c>
      <c r="B4211" s="36" t="s">
        <v>8276</v>
      </c>
      <c r="C4211" s="36" t="str">
        <f>HYPERLINK("https://rhld.insurance.arkansas.gov/NPILookup?Npi=1427679133","1427679133")</f>
        <v>1427679133</v>
      </c>
      <c r="D4211" s="36" t="s">
        <v>36591</v>
      </c>
      <c r="E4211" s="36" t="s">
        <v>2</v>
      </c>
      <c r="F4211" s="36">
        <v>1</v>
      </c>
      <c r="G4211" s="36">
        <v>3</v>
      </c>
      <c r="H4211" s="36">
        <v>0</v>
      </c>
      <c r="I4211" s="37">
        <v>0</v>
      </c>
      <c r="J4211" s="36" t="s">
        <v>36190</v>
      </c>
      <c r="K4211" s="36" t="s">
        <v>14330</v>
      </c>
      <c r="L4211" s="36" t="s">
        <v>14330</v>
      </c>
      <c r="M4211">
        <v>3</v>
      </c>
      <c r="N4211" t="s">
        <v>14331</v>
      </c>
      <c r="O4211" t="s">
        <v>14333</v>
      </c>
    </row>
    <row r="4212" spans="1:15" x14ac:dyDescent="0.25">
      <c r="A4212" s="35" t="s">
        <v>8275</v>
      </c>
      <c r="B4212" s="36" t="s">
        <v>8276</v>
      </c>
      <c r="C4212" s="36" t="str">
        <f>HYPERLINK("https://rhld.insurance.arkansas.gov/NPILookup?Npi=1427734029","1427734029")</f>
        <v>1427734029</v>
      </c>
      <c r="D4212" s="36" t="s">
        <v>36592</v>
      </c>
      <c r="E4212" s="36" t="s">
        <v>2</v>
      </c>
      <c r="F4212" s="36">
        <v>1</v>
      </c>
      <c r="G4212" s="36">
        <v>3</v>
      </c>
      <c r="H4212" s="36">
        <v>0</v>
      </c>
      <c r="I4212" s="37">
        <v>0</v>
      </c>
      <c r="J4212" s="36" t="s">
        <v>36190</v>
      </c>
      <c r="K4212" s="36" t="s">
        <v>14330</v>
      </c>
      <c r="L4212" s="36" t="s">
        <v>14330</v>
      </c>
      <c r="M4212">
        <v>2</v>
      </c>
      <c r="N4212" t="s">
        <v>14331</v>
      </c>
      <c r="O4212" t="s">
        <v>14333</v>
      </c>
    </row>
    <row r="4213" spans="1:15" x14ac:dyDescent="0.25">
      <c r="A4213" s="35" t="s">
        <v>8275</v>
      </c>
      <c r="B4213" s="36" t="s">
        <v>8276</v>
      </c>
      <c r="C4213" s="36" t="str">
        <f>HYPERLINK("https://rhld.insurance.arkansas.gov/NPILookup?Npi=1427737121","1427737121")</f>
        <v>1427737121</v>
      </c>
      <c r="D4213" s="36" t="s">
        <v>35427</v>
      </c>
      <c r="E4213" s="36" t="s">
        <v>2</v>
      </c>
      <c r="F4213" s="36">
        <v>1</v>
      </c>
      <c r="G4213" s="36">
        <v>2</v>
      </c>
      <c r="H4213" s="36">
        <v>0</v>
      </c>
      <c r="I4213" s="37">
        <v>0</v>
      </c>
      <c r="J4213" s="36"/>
      <c r="K4213" s="36" t="s">
        <v>14330</v>
      </c>
      <c r="L4213" s="36" t="s">
        <v>14330</v>
      </c>
      <c r="M4213">
        <v>2</v>
      </c>
      <c r="N4213" t="s">
        <v>14331</v>
      </c>
      <c r="O4213" t="s">
        <v>14333</v>
      </c>
    </row>
    <row r="4214" spans="1:15" x14ac:dyDescent="0.25">
      <c r="A4214" s="35" t="s">
        <v>8275</v>
      </c>
      <c r="B4214" s="36" t="s">
        <v>8276</v>
      </c>
      <c r="C4214" s="36" t="str">
        <f>HYPERLINK("https://rhld.insurance.arkansas.gov/NPILookup?Npi=1427738095","1427738095")</f>
        <v>1427738095</v>
      </c>
      <c r="D4214" s="36" t="s">
        <v>36593</v>
      </c>
      <c r="E4214" s="36" t="s">
        <v>2</v>
      </c>
      <c r="F4214" s="36">
        <v>1</v>
      </c>
      <c r="G4214" s="36">
        <v>2</v>
      </c>
      <c r="H4214" s="36">
        <v>0</v>
      </c>
      <c r="I4214" s="37">
        <v>0</v>
      </c>
      <c r="J4214" s="36" t="s">
        <v>36190</v>
      </c>
      <c r="K4214" s="36" t="s">
        <v>14330</v>
      </c>
      <c r="L4214" s="36" t="s">
        <v>14330</v>
      </c>
      <c r="M4214">
        <v>2</v>
      </c>
      <c r="N4214" t="s">
        <v>14331</v>
      </c>
      <c r="O4214" t="s">
        <v>14333</v>
      </c>
    </row>
    <row r="4215" spans="1:15" x14ac:dyDescent="0.25">
      <c r="A4215" s="35" t="s">
        <v>8275</v>
      </c>
      <c r="B4215" s="36" t="s">
        <v>8276</v>
      </c>
      <c r="C4215" s="36" t="str">
        <f>HYPERLINK("https://rhld.insurance.arkansas.gov/NPILookup?Npi=1427804483","1427804483")</f>
        <v>1427804483</v>
      </c>
      <c r="D4215" s="36" t="s">
        <v>35429</v>
      </c>
      <c r="E4215" s="36" t="s">
        <v>2</v>
      </c>
      <c r="F4215" s="36">
        <v>1</v>
      </c>
      <c r="G4215" s="36">
        <v>2</v>
      </c>
      <c r="H4215" s="36">
        <v>0</v>
      </c>
      <c r="I4215" s="37">
        <v>0</v>
      </c>
      <c r="J4215" s="36"/>
      <c r="K4215" s="36" t="s">
        <v>14330</v>
      </c>
      <c r="L4215" s="36" t="s">
        <v>14330</v>
      </c>
      <c r="M4215">
        <v>1</v>
      </c>
      <c r="N4215" t="s">
        <v>14331</v>
      </c>
      <c r="O4215" t="s">
        <v>14333</v>
      </c>
    </row>
    <row r="4216" spans="1:15" x14ac:dyDescent="0.25">
      <c r="A4216" s="35" t="s">
        <v>8275</v>
      </c>
      <c r="B4216" s="36" t="s">
        <v>8276</v>
      </c>
      <c r="C4216" s="36" t="str">
        <f>HYPERLINK("https://rhld.insurance.arkansas.gov/NPILookup?Npi=1427805944","1427805944")</f>
        <v>1427805944</v>
      </c>
      <c r="D4216" s="36" t="s">
        <v>34730</v>
      </c>
      <c r="E4216" s="36" t="s">
        <v>2</v>
      </c>
      <c r="F4216" s="36">
        <v>1</v>
      </c>
      <c r="G4216" s="36">
        <v>1</v>
      </c>
      <c r="H4216" s="36">
        <v>0</v>
      </c>
      <c r="I4216" s="37">
        <v>0</v>
      </c>
      <c r="J4216" s="36"/>
      <c r="K4216" s="36" t="s">
        <v>14330</v>
      </c>
      <c r="L4216" s="36" t="s">
        <v>14330</v>
      </c>
      <c r="M4216">
        <v>3</v>
      </c>
      <c r="N4216" t="s">
        <v>14331</v>
      </c>
      <c r="O4216" t="s">
        <v>32633</v>
      </c>
    </row>
    <row r="4217" spans="1:15" x14ac:dyDescent="0.25">
      <c r="A4217" s="35" t="s">
        <v>8275</v>
      </c>
      <c r="B4217" s="36" t="s">
        <v>8276</v>
      </c>
      <c r="C4217" s="36" t="str">
        <f>HYPERLINK("https://rhld.insurance.arkansas.gov/NPILookup?Npi=1437128790","1437128790")</f>
        <v>1437128790</v>
      </c>
      <c r="D4217" s="36" t="s">
        <v>36594</v>
      </c>
      <c r="E4217" s="36" t="s">
        <v>2</v>
      </c>
      <c r="F4217" s="36">
        <v>1</v>
      </c>
      <c r="G4217" s="36">
        <v>3</v>
      </c>
      <c r="H4217" s="36">
        <v>0</v>
      </c>
      <c r="I4217" s="37">
        <v>0</v>
      </c>
      <c r="J4217" s="36" t="s">
        <v>36190</v>
      </c>
      <c r="K4217" s="36" t="s">
        <v>14330</v>
      </c>
      <c r="L4217" s="36" t="s">
        <v>14330</v>
      </c>
      <c r="M4217">
        <v>3</v>
      </c>
      <c r="N4217" t="s">
        <v>14331</v>
      </c>
      <c r="O4217" t="s">
        <v>14333</v>
      </c>
    </row>
    <row r="4218" spans="1:15" x14ac:dyDescent="0.25">
      <c r="A4218" s="35" t="s">
        <v>8275</v>
      </c>
      <c r="B4218" s="36" t="s">
        <v>8276</v>
      </c>
      <c r="C4218" s="36" t="str">
        <f>HYPERLINK("https://rhld.insurance.arkansas.gov/NPILookup?Npi=1437188869","1437188869")</f>
        <v>1437188869</v>
      </c>
      <c r="D4218" s="36" t="s">
        <v>36595</v>
      </c>
      <c r="E4218" s="36" t="s">
        <v>2</v>
      </c>
      <c r="F4218" s="36">
        <v>1</v>
      </c>
      <c r="G4218" s="36">
        <v>3</v>
      </c>
      <c r="H4218" s="36">
        <v>0</v>
      </c>
      <c r="I4218" s="37">
        <v>0</v>
      </c>
      <c r="J4218" s="36" t="s">
        <v>36190</v>
      </c>
      <c r="K4218" s="36" t="s">
        <v>14330</v>
      </c>
      <c r="L4218" s="36" t="s">
        <v>14330</v>
      </c>
      <c r="M4218">
        <v>3</v>
      </c>
      <c r="N4218" t="s">
        <v>14331</v>
      </c>
      <c r="O4218" t="s">
        <v>14333</v>
      </c>
    </row>
    <row r="4219" spans="1:15" x14ac:dyDescent="0.25">
      <c r="A4219" s="35" t="s">
        <v>8275</v>
      </c>
      <c r="B4219" s="36" t="s">
        <v>8276</v>
      </c>
      <c r="C4219" s="36" t="str">
        <f>HYPERLINK("https://rhld.insurance.arkansas.gov/NPILookup?Npi=1437192283","1437192283")</f>
        <v>1437192283</v>
      </c>
      <c r="D4219" s="36" t="s">
        <v>36596</v>
      </c>
      <c r="E4219" s="36" t="s">
        <v>2</v>
      </c>
      <c r="F4219" s="36">
        <v>1</v>
      </c>
      <c r="G4219" s="36">
        <v>3</v>
      </c>
      <c r="H4219" s="36">
        <v>0</v>
      </c>
      <c r="I4219" s="37">
        <v>0</v>
      </c>
      <c r="J4219" s="36" t="s">
        <v>36190</v>
      </c>
      <c r="K4219" s="36" t="s">
        <v>14330</v>
      </c>
      <c r="L4219" s="36" t="s">
        <v>14330</v>
      </c>
      <c r="M4219">
        <v>3</v>
      </c>
      <c r="N4219" t="s">
        <v>14331</v>
      </c>
      <c r="O4219" t="s">
        <v>14333</v>
      </c>
    </row>
    <row r="4220" spans="1:15" x14ac:dyDescent="0.25">
      <c r="A4220" s="35" t="s">
        <v>8275</v>
      </c>
      <c r="B4220" s="36" t="s">
        <v>8276</v>
      </c>
      <c r="C4220" s="36" t="str">
        <f>HYPERLINK("https://rhld.insurance.arkansas.gov/NPILookup?Npi=1437278181","1437278181")</f>
        <v>1437278181</v>
      </c>
      <c r="D4220" s="36" t="s">
        <v>36597</v>
      </c>
      <c r="E4220" s="36" t="s">
        <v>2</v>
      </c>
      <c r="F4220" s="36">
        <v>1</v>
      </c>
      <c r="G4220" s="36">
        <v>3</v>
      </c>
      <c r="H4220" s="36">
        <v>0</v>
      </c>
      <c r="I4220" s="37">
        <v>0</v>
      </c>
      <c r="J4220" s="36" t="s">
        <v>36190</v>
      </c>
      <c r="K4220" s="36" t="s">
        <v>14330</v>
      </c>
      <c r="L4220" s="36" t="s">
        <v>14330</v>
      </c>
      <c r="M4220">
        <v>2</v>
      </c>
      <c r="N4220" t="s">
        <v>14331</v>
      </c>
      <c r="O4220" t="s">
        <v>14333</v>
      </c>
    </row>
    <row r="4221" spans="1:15" x14ac:dyDescent="0.25">
      <c r="A4221" s="35" t="s">
        <v>8275</v>
      </c>
      <c r="B4221" s="36" t="s">
        <v>8276</v>
      </c>
      <c r="C4221" s="36" t="str">
        <f>HYPERLINK("https://rhld.insurance.arkansas.gov/NPILookup?Npi=1437285020","1437285020")</f>
        <v>1437285020</v>
      </c>
      <c r="D4221" s="36" t="s">
        <v>36598</v>
      </c>
      <c r="E4221" s="36" t="s">
        <v>2</v>
      </c>
      <c r="F4221" s="36">
        <v>1</v>
      </c>
      <c r="G4221" s="36">
        <v>2</v>
      </c>
      <c r="H4221" s="36">
        <v>0</v>
      </c>
      <c r="I4221" s="37">
        <v>0</v>
      </c>
      <c r="J4221" s="36" t="s">
        <v>36190</v>
      </c>
      <c r="K4221" s="36" t="s">
        <v>14330</v>
      </c>
      <c r="L4221" s="36" t="s">
        <v>14330</v>
      </c>
      <c r="M4221">
        <v>2</v>
      </c>
      <c r="N4221" t="s">
        <v>14331</v>
      </c>
      <c r="O4221" t="s">
        <v>14333</v>
      </c>
    </row>
    <row r="4222" spans="1:15" x14ac:dyDescent="0.25">
      <c r="A4222" s="35" t="s">
        <v>8275</v>
      </c>
      <c r="B4222" s="36" t="s">
        <v>8276</v>
      </c>
      <c r="C4222" s="36" t="str">
        <f>HYPERLINK("https://rhld.insurance.arkansas.gov/NPILookup?Npi=1437334216","1437334216")</f>
        <v>1437334216</v>
      </c>
      <c r="D4222" s="36" t="s">
        <v>36599</v>
      </c>
      <c r="E4222" s="36" t="s">
        <v>2</v>
      </c>
      <c r="F4222" s="36">
        <v>1</v>
      </c>
      <c r="G4222" s="36">
        <v>2</v>
      </c>
      <c r="H4222" s="36">
        <v>0</v>
      </c>
      <c r="I4222" s="37">
        <v>0</v>
      </c>
      <c r="J4222" s="36" t="s">
        <v>36190</v>
      </c>
      <c r="K4222" s="36" t="s">
        <v>14330</v>
      </c>
      <c r="L4222" s="36" t="s">
        <v>14330</v>
      </c>
      <c r="M4222">
        <v>1</v>
      </c>
      <c r="N4222" t="s">
        <v>14331</v>
      </c>
      <c r="O4222" t="s">
        <v>14333</v>
      </c>
    </row>
    <row r="4223" spans="1:15" x14ac:dyDescent="0.25">
      <c r="A4223" s="35" t="s">
        <v>8275</v>
      </c>
      <c r="B4223" s="36" t="s">
        <v>8276</v>
      </c>
      <c r="C4223" s="36" t="str">
        <f>HYPERLINK("https://rhld.insurance.arkansas.gov/NPILookup?Npi=1437383312","1437383312")</f>
        <v>1437383312</v>
      </c>
      <c r="D4223" s="36" t="s">
        <v>35435</v>
      </c>
      <c r="E4223" s="36" t="s">
        <v>2</v>
      </c>
      <c r="F4223" s="36">
        <v>1</v>
      </c>
      <c r="G4223" s="36">
        <v>1</v>
      </c>
      <c r="H4223" s="36">
        <v>0</v>
      </c>
      <c r="I4223" s="37">
        <v>0</v>
      </c>
      <c r="J4223" s="36"/>
      <c r="K4223" s="36" t="s">
        <v>14330</v>
      </c>
      <c r="L4223" s="36" t="s">
        <v>14330</v>
      </c>
      <c r="M4223">
        <v>2</v>
      </c>
      <c r="N4223" t="s">
        <v>14331</v>
      </c>
      <c r="O4223" t="s">
        <v>32633</v>
      </c>
    </row>
    <row r="4224" spans="1:15" x14ac:dyDescent="0.25">
      <c r="A4224" s="35" t="s">
        <v>8275</v>
      </c>
      <c r="B4224" s="36" t="s">
        <v>8276</v>
      </c>
      <c r="C4224" s="36" t="str">
        <f>HYPERLINK("https://rhld.insurance.arkansas.gov/NPILookup?Npi=1437448008","1437448008")</f>
        <v>1437448008</v>
      </c>
      <c r="D4224" s="36" t="s">
        <v>36600</v>
      </c>
      <c r="E4224" s="36" t="s">
        <v>2</v>
      </c>
      <c r="F4224" s="36">
        <v>1</v>
      </c>
      <c r="G4224" s="36">
        <v>2</v>
      </c>
      <c r="H4224" s="36">
        <v>0</v>
      </c>
      <c r="I4224" s="37">
        <v>0</v>
      </c>
      <c r="J4224" s="36" t="s">
        <v>36190</v>
      </c>
      <c r="K4224" s="36" t="s">
        <v>14330</v>
      </c>
      <c r="L4224" s="36" t="s">
        <v>14330</v>
      </c>
      <c r="M4224">
        <v>3</v>
      </c>
      <c r="N4224" t="s">
        <v>14331</v>
      </c>
      <c r="O4224" t="s">
        <v>14333</v>
      </c>
    </row>
    <row r="4225" spans="1:15" x14ac:dyDescent="0.25">
      <c r="A4225" s="35" t="s">
        <v>8275</v>
      </c>
      <c r="B4225" s="36" t="s">
        <v>8276</v>
      </c>
      <c r="C4225" s="36" t="str">
        <f>HYPERLINK("https://rhld.insurance.arkansas.gov/NPILookup?Npi=1437684149","1437684149")</f>
        <v>1437684149</v>
      </c>
      <c r="D4225" s="36" t="s">
        <v>36601</v>
      </c>
      <c r="E4225" s="36" t="s">
        <v>1</v>
      </c>
      <c r="F4225" s="36">
        <v>1</v>
      </c>
      <c r="G4225" s="36">
        <v>3</v>
      </c>
      <c r="H4225" s="36">
        <v>0</v>
      </c>
      <c r="I4225" s="37">
        <v>0</v>
      </c>
      <c r="J4225" s="36" t="s">
        <v>32654</v>
      </c>
      <c r="K4225" s="36" t="s">
        <v>14330</v>
      </c>
      <c r="L4225" s="36" t="s">
        <v>14330</v>
      </c>
      <c r="M4225">
        <v>3</v>
      </c>
      <c r="N4225" t="s">
        <v>14331</v>
      </c>
      <c r="O4225" t="s">
        <v>32633</v>
      </c>
    </row>
    <row r="4226" spans="1:15" x14ac:dyDescent="0.25">
      <c r="A4226" s="35" t="s">
        <v>8275</v>
      </c>
      <c r="B4226" s="36" t="s">
        <v>8276</v>
      </c>
      <c r="C4226" s="36" t="str">
        <f>HYPERLINK("https://rhld.insurance.arkansas.gov/NPILookup?Npi=1437807260","1437807260")</f>
        <v>1437807260</v>
      </c>
      <c r="D4226" s="36" t="s">
        <v>36602</v>
      </c>
      <c r="E4226" s="36" t="s">
        <v>2</v>
      </c>
      <c r="F4226" s="36">
        <v>1</v>
      </c>
      <c r="G4226" s="36">
        <v>3</v>
      </c>
      <c r="H4226" s="36">
        <v>0</v>
      </c>
      <c r="I4226" s="37">
        <v>0</v>
      </c>
      <c r="J4226" s="36" t="s">
        <v>36190</v>
      </c>
      <c r="K4226" s="36" t="s">
        <v>14330</v>
      </c>
      <c r="L4226" s="36" t="s">
        <v>14330</v>
      </c>
      <c r="M4226">
        <v>3</v>
      </c>
      <c r="N4226" t="s">
        <v>14331</v>
      </c>
      <c r="O4226" t="s">
        <v>14333</v>
      </c>
    </row>
    <row r="4227" spans="1:15" x14ac:dyDescent="0.25">
      <c r="A4227" s="35" t="s">
        <v>8275</v>
      </c>
      <c r="B4227" s="36" t="s">
        <v>8276</v>
      </c>
      <c r="C4227" s="36" t="str">
        <f>HYPERLINK("https://rhld.insurance.arkansas.gov/NPILookup?Npi=1437844792","1437844792")</f>
        <v>1437844792</v>
      </c>
      <c r="D4227" s="36" t="s">
        <v>36603</v>
      </c>
      <c r="E4227" s="36" t="s">
        <v>2</v>
      </c>
      <c r="F4227" s="36">
        <v>1</v>
      </c>
      <c r="G4227" s="36">
        <v>3</v>
      </c>
      <c r="H4227" s="36">
        <v>0</v>
      </c>
      <c r="I4227" s="37">
        <v>0</v>
      </c>
      <c r="J4227" s="36" t="s">
        <v>36190</v>
      </c>
      <c r="K4227" s="36" t="s">
        <v>14330</v>
      </c>
      <c r="L4227" s="36" t="s">
        <v>14330</v>
      </c>
      <c r="M4227">
        <v>2</v>
      </c>
      <c r="N4227" t="s">
        <v>14331</v>
      </c>
      <c r="O4227" t="s">
        <v>14333</v>
      </c>
    </row>
    <row r="4228" spans="1:15" x14ac:dyDescent="0.25">
      <c r="A4228" s="35" t="s">
        <v>8275</v>
      </c>
      <c r="B4228" s="36" t="s">
        <v>8276</v>
      </c>
      <c r="C4228" s="36" t="str">
        <f>HYPERLINK("https://rhld.insurance.arkansas.gov/NPILookup?Npi=1437857687","1437857687")</f>
        <v>1437857687</v>
      </c>
      <c r="D4228" s="36" t="s">
        <v>36604</v>
      </c>
      <c r="E4228" s="36" t="s">
        <v>2</v>
      </c>
      <c r="F4228" s="36">
        <v>1</v>
      </c>
      <c r="G4228" s="36">
        <v>2</v>
      </c>
      <c r="H4228" s="36">
        <v>0</v>
      </c>
      <c r="I4228" s="37">
        <v>0</v>
      </c>
      <c r="J4228" s="36" t="s">
        <v>36190</v>
      </c>
      <c r="K4228" s="36" t="s">
        <v>14330</v>
      </c>
      <c r="L4228" s="36" t="s">
        <v>14330</v>
      </c>
      <c r="M4228">
        <v>2</v>
      </c>
      <c r="N4228" t="s">
        <v>14331</v>
      </c>
      <c r="O4228" t="s">
        <v>14333</v>
      </c>
    </row>
    <row r="4229" spans="1:15" x14ac:dyDescent="0.25">
      <c r="A4229" s="35" t="s">
        <v>8275</v>
      </c>
      <c r="B4229" s="36" t="s">
        <v>8276</v>
      </c>
      <c r="C4229" s="36" t="str">
        <f>HYPERLINK("https://rhld.insurance.arkansas.gov/NPILookup?Npi=1437871571","1437871571")</f>
        <v>1437871571</v>
      </c>
      <c r="D4229" s="36" t="s">
        <v>36605</v>
      </c>
      <c r="E4229" s="36" t="s">
        <v>2</v>
      </c>
      <c r="F4229" s="36">
        <v>1</v>
      </c>
      <c r="G4229" s="36">
        <v>2</v>
      </c>
      <c r="H4229" s="36">
        <v>0</v>
      </c>
      <c r="I4229" s="37">
        <v>0</v>
      </c>
      <c r="J4229" s="36" t="s">
        <v>36190</v>
      </c>
      <c r="K4229" s="36" t="s">
        <v>14330</v>
      </c>
      <c r="L4229" s="36" t="s">
        <v>14330</v>
      </c>
      <c r="M4229">
        <v>2</v>
      </c>
      <c r="N4229" t="s">
        <v>14331</v>
      </c>
      <c r="O4229" t="s">
        <v>14333</v>
      </c>
    </row>
    <row r="4230" spans="1:15" x14ac:dyDescent="0.25">
      <c r="A4230" s="35" t="s">
        <v>8275</v>
      </c>
      <c r="B4230" s="36" t="s">
        <v>8276</v>
      </c>
      <c r="C4230" s="36" t="str">
        <f>HYPERLINK("https://rhld.insurance.arkansas.gov/NPILookup?Npi=1447012158","1447012158")</f>
        <v>1447012158</v>
      </c>
      <c r="D4230" s="36" t="s">
        <v>35443</v>
      </c>
      <c r="E4230" s="36" t="s">
        <v>2</v>
      </c>
      <c r="F4230" s="36">
        <v>1</v>
      </c>
      <c r="G4230" s="36">
        <v>2</v>
      </c>
      <c r="H4230" s="36">
        <v>0</v>
      </c>
      <c r="I4230" s="37">
        <v>0</v>
      </c>
      <c r="J4230" s="36"/>
      <c r="K4230" s="36" t="s">
        <v>14330</v>
      </c>
      <c r="L4230" s="36" t="s">
        <v>14330</v>
      </c>
      <c r="M4230">
        <v>2</v>
      </c>
      <c r="N4230" t="s">
        <v>14331</v>
      </c>
      <c r="O4230" t="s">
        <v>14333</v>
      </c>
    </row>
    <row r="4231" spans="1:15" x14ac:dyDescent="0.25">
      <c r="A4231" s="35" t="s">
        <v>8275</v>
      </c>
      <c r="B4231" s="36" t="s">
        <v>8276</v>
      </c>
      <c r="C4231" s="36" t="str">
        <f>HYPERLINK("https://rhld.insurance.arkansas.gov/NPILookup?Npi=1447058037","1447058037")</f>
        <v>1447058037</v>
      </c>
      <c r="D4231" s="36" t="s">
        <v>35444</v>
      </c>
      <c r="E4231" s="36" t="s">
        <v>2</v>
      </c>
      <c r="F4231" s="36">
        <v>1</v>
      </c>
      <c r="G4231" s="36">
        <v>2</v>
      </c>
      <c r="H4231" s="36">
        <v>0</v>
      </c>
      <c r="I4231" s="37">
        <v>0</v>
      </c>
      <c r="J4231" s="36"/>
      <c r="K4231" s="36" t="s">
        <v>14330</v>
      </c>
      <c r="L4231" s="36" t="s">
        <v>14330</v>
      </c>
      <c r="M4231">
        <v>2</v>
      </c>
      <c r="N4231" t="s">
        <v>14331</v>
      </c>
      <c r="O4231" t="s">
        <v>14333</v>
      </c>
    </row>
    <row r="4232" spans="1:15" x14ac:dyDescent="0.25">
      <c r="A4232" s="35" t="s">
        <v>8275</v>
      </c>
      <c r="B4232" s="36" t="s">
        <v>8276</v>
      </c>
      <c r="C4232" s="36" t="str">
        <f>HYPERLINK("https://rhld.insurance.arkansas.gov/NPILookup?Npi=1447074968","1447074968")</f>
        <v>1447074968</v>
      </c>
      <c r="D4232" s="36" t="s">
        <v>34732</v>
      </c>
      <c r="E4232" s="36" t="s">
        <v>2</v>
      </c>
      <c r="F4232" s="36">
        <v>1</v>
      </c>
      <c r="G4232" s="36">
        <v>2</v>
      </c>
      <c r="H4232" s="36">
        <v>0</v>
      </c>
      <c r="I4232" s="37">
        <v>0</v>
      </c>
      <c r="J4232" s="36"/>
      <c r="K4232" s="36" t="s">
        <v>14330</v>
      </c>
      <c r="L4232" s="36" t="s">
        <v>14330</v>
      </c>
      <c r="M4232">
        <v>2</v>
      </c>
      <c r="N4232" t="s">
        <v>14331</v>
      </c>
      <c r="O4232" t="s">
        <v>14333</v>
      </c>
    </row>
    <row r="4233" spans="1:15" x14ac:dyDescent="0.25">
      <c r="A4233" s="35" t="s">
        <v>8275</v>
      </c>
      <c r="B4233" s="36" t="s">
        <v>8276</v>
      </c>
      <c r="C4233" s="36" t="str">
        <f>HYPERLINK("https://rhld.insurance.arkansas.gov/NPILookup?Npi=1447075452","1447075452")</f>
        <v>1447075452</v>
      </c>
      <c r="D4233" s="36" t="s">
        <v>35445</v>
      </c>
      <c r="E4233" s="36" t="s">
        <v>2</v>
      </c>
      <c r="F4233" s="36">
        <v>2</v>
      </c>
      <c r="G4233" s="36">
        <v>2</v>
      </c>
      <c r="H4233" s="36">
        <v>0</v>
      </c>
      <c r="I4233" s="37">
        <v>0</v>
      </c>
      <c r="J4233" s="36" t="s">
        <v>33004</v>
      </c>
      <c r="K4233" s="36" t="s">
        <v>14330</v>
      </c>
      <c r="L4233" s="36" t="s">
        <v>14330</v>
      </c>
      <c r="M4233">
        <v>3</v>
      </c>
      <c r="N4233" t="s">
        <v>14331</v>
      </c>
      <c r="O4233" t="s">
        <v>14333</v>
      </c>
    </row>
    <row r="4234" spans="1:15" x14ac:dyDescent="0.25">
      <c r="A4234" s="35" t="s">
        <v>8275</v>
      </c>
      <c r="B4234" s="36" t="s">
        <v>8276</v>
      </c>
      <c r="C4234" s="36" t="str">
        <f>HYPERLINK("https://rhld.insurance.arkansas.gov/NPILookup?Npi=1447200365","1447200365")</f>
        <v>1447200365</v>
      </c>
      <c r="D4234" s="36" t="s">
        <v>36606</v>
      </c>
      <c r="E4234" s="36" t="s">
        <v>2</v>
      </c>
      <c r="F4234" s="36">
        <v>1</v>
      </c>
      <c r="G4234" s="36">
        <v>3</v>
      </c>
      <c r="H4234" s="36">
        <v>0</v>
      </c>
      <c r="I4234" s="37">
        <v>0</v>
      </c>
      <c r="J4234" s="36" t="s">
        <v>36190</v>
      </c>
      <c r="K4234" s="36" t="s">
        <v>14330</v>
      </c>
      <c r="L4234" s="36" t="s">
        <v>14330</v>
      </c>
      <c r="M4234">
        <v>3</v>
      </c>
      <c r="N4234" t="s">
        <v>14331</v>
      </c>
      <c r="O4234" t="s">
        <v>14333</v>
      </c>
    </row>
    <row r="4235" spans="1:15" x14ac:dyDescent="0.25">
      <c r="A4235" s="35" t="s">
        <v>8275</v>
      </c>
      <c r="B4235" s="36" t="s">
        <v>8276</v>
      </c>
      <c r="C4235" s="36" t="str">
        <f>HYPERLINK("https://rhld.insurance.arkansas.gov/NPILookup?Npi=1447281753","1447281753")</f>
        <v>1447281753</v>
      </c>
      <c r="D4235" s="36" t="s">
        <v>36607</v>
      </c>
      <c r="E4235" s="36" t="s">
        <v>2</v>
      </c>
      <c r="F4235" s="36">
        <v>1</v>
      </c>
      <c r="G4235" s="36">
        <v>3</v>
      </c>
      <c r="H4235" s="36">
        <v>0</v>
      </c>
      <c r="I4235" s="37">
        <v>0</v>
      </c>
      <c r="J4235" s="36" t="s">
        <v>36190</v>
      </c>
      <c r="K4235" s="36" t="s">
        <v>14330</v>
      </c>
      <c r="L4235" s="36" t="s">
        <v>14330</v>
      </c>
      <c r="M4235">
        <v>1</v>
      </c>
      <c r="N4235" t="s">
        <v>14331</v>
      </c>
      <c r="O4235" t="s">
        <v>14333</v>
      </c>
    </row>
    <row r="4236" spans="1:15" x14ac:dyDescent="0.25">
      <c r="A4236" s="35" t="s">
        <v>8275</v>
      </c>
      <c r="B4236" s="36" t="s">
        <v>8276</v>
      </c>
      <c r="C4236" s="36" t="str">
        <f>HYPERLINK("https://rhld.insurance.arkansas.gov/NPILookup?Npi=1447339312","1447339312")</f>
        <v>1447339312</v>
      </c>
      <c r="D4236" s="36" t="s">
        <v>36608</v>
      </c>
      <c r="E4236" s="36" t="s">
        <v>1</v>
      </c>
      <c r="F4236" s="36">
        <v>1</v>
      </c>
      <c r="G4236" s="36">
        <v>1</v>
      </c>
      <c r="H4236" s="36">
        <v>0</v>
      </c>
      <c r="I4236" s="37">
        <v>0</v>
      </c>
      <c r="J4236" s="36" t="s">
        <v>32654</v>
      </c>
      <c r="K4236" s="36" t="s">
        <v>14330</v>
      </c>
      <c r="L4236" s="36" t="s">
        <v>14330</v>
      </c>
      <c r="M4236">
        <v>3</v>
      </c>
      <c r="N4236" t="s">
        <v>14331</v>
      </c>
      <c r="O4236" t="s">
        <v>32633</v>
      </c>
    </row>
    <row r="4237" spans="1:15" x14ac:dyDescent="0.25">
      <c r="A4237" s="35" t="s">
        <v>8275</v>
      </c>
      <c r="B4237" s="36" t="s">
        <v>8276</v>
      </c>
      <c r="C4237" s="36" t="str">
        <f>HYPERLINK("https://rhld.insurance.arkansas.gov/NPILookup?Npi=1447407671","1447407671")</f>
        <v>1447407671</v>
      </c>
      <c r="D4237" s="36" t="s">
        <v>36609</v>
      </c>
      <c r="E4237" s="36" t="s">
        <v>2</v>
      </c>
      <c r="F4237" s="36">
        <v>1</v>
      </c>
      <c r="G4237" s="36">
        <v>3</v>
      </c>
      <c r="H4237" s="36">
        <v>0</v>
      </c>
      <c r="I4237" s="37">
        <v>0</v>
      </c>
      <c r="J4237" s="36" t="s">
        <v>36190</v>
      </c>
      <c r="K4237" s="36" t="s">
        <v>14330</v>
      </c>
      <c r="L4237" s="36" t="s">
        <v>14330</v>
      </c>
      <c r="M4237">
        <v>2</v>
      </c>
      <c r="N4237" t="s">
        <v>14331</v>
      </c>
      <c r="O4237" t="s">
        <v>14333</v>
      </c>
    </row>
    <row r="4238" spans="1:15" x14ac:dyDescent="0.25">
      <c r="A4238" s="35" t="s">
        <v>8275</v>
      </c>
      <c r="B4238" s="36" t="s">
        <v>8276</v>
      </c>
      <c r="C4238" s="36" t="str">
        <f>HYPERLINK("https://rhld.insurance.arkansas.gov/NPILookup?Npi=1447460993","1447460993")</f>
        <v>1447460993</v>
      </c>
      <c r="D4238" s="36" t="s">
        <v>36610</v>
      </c>
      <c r="E4238" s="36" t="s">
        <v>2</v>
      </c>
      <c r="F4238" s="36">
        <v>1</v>
      </c>
      <c r="G4238" s="36">
        <v>2</v>
      </c>
      <c r="H4238" s="36">
        <v>0</v>
      </c>
      <c r="I4238" s="37">
        <v>0</v>
      </c>
      <c r="J4238" s="36" t="s">
        <v>36190</v>
      </c>
      <c r="K4238" s="36" t="s">
        <v>14330</v>
      </c>
      <c r="L4238" s="36" t="s">
        <v>14330</v>
      </c>
      <c r="M4238">
        <v>3</v>
      </c>
      <c r="N4238" t="s">
        <v>14331</v>
      </c>
      <c r="O4238" t="s">
        <v>14333</v>
      </c>
    </row>
    <row r="4239" spans="1:15" x14ac:dyDescent="0.25">
      <c r="A4239" s="35" t="s">
        <v>8275</v>
      </c>
      <c r="B4239" s="36" t="s">
        <v>8276</v>
      </c>
      <c r="C4239" s="36" t="str">
        <f>HYPERLINK("https://rhld.insurance.arkansas.gov/NPILookup?Npi=1447484860","1447484860")</f>
        <v>1447484860</v>
      </c>
      <c r="D4239" s="36" t="s">
        <v>36611</v>
      </c>
      <c r="E4239" s="36" t="s">
        <v>2</v>
      </c>
      <c r="F4239" s="36">
        <v>1</v>
      </c>
      <c r="G4239" s="36">
        <v>3</v>
      </c>
      <c r="H4239" s="36">
        <v>0</v>
      </c>
      <c r="I4239" s="37">
        <v>0</v>
      </c>
      <c r="J4239" s="36" t="s">
        <v>36190</v>
      </c>
      <c r="K4239" s="36" t="s">
        <v>14330</v>
      </c>
      <c r="L4239" s="36" t="s">
        <v>14330</v>
      </c>
      <c r="M4239">
        <v>3</v>
      </c>
      <c r="N4239" t="s">
        <v>14331</v>
      </c>
      <c r="O4239" t="s">
        <v>14333</v>
      </c>
    </row>
    <row r="4240" spans="1:15" x14ac:dyDescent="0.25">
      <c r="A4240" s="35" t="s">
        <v>8275</v>
      </c>
      <c r="B4240" s="36" t="s">
        <v>8276</v>
      </c>
      <c r="C4240" s="36" t="str">
        <f>HYPERLINK("https://rhld.insurance.arkansas.gov/NPILookup?Npi=1447538798","1447538798")</f>
        <v>1447538798</v>
      </c>
      <c r="D4240" s="36" t="s">
        <v>36612</v>
      </c>
      <c r="E4240" s="36" t="s">
        <v>2</v>
      </c>
      <c r="F4240" s="36">
        <v>1</v>
      </c>
      <c r="G4240" s="36">
        <v>3</v>
      </c>
      <c r="H4240" s="36">
        <v>0</v>
      </c>
      <c r="I4240" s="37">
        <v>0</v>
      </c>
      <c r="J4240" s="36" t="s">
        <v>36190</v>
      </c>
      <c r="K4240" s="36" t="s">
        <v>14330</v>
      </c>
      <c r="L4240" s="36" t="s">
        <v>14330</v>
      </c>
      <c r="M4240">
        <v>2</v>
      </c>
      <c r="N4240" t="s">
        <v>14331</v>
      </c>
      <c r="O4240" t="s">
        <v>14333</v>
      </c>
    </row>
    <row r="4241" spans="1:15" x14ac:dyDescent="0.25">
      <c r="A4241" s="35" t="s">
        <v>8275</v>
      </c>
      <c r="B4241" s="36" t="s">
        <v>8276</v>
      </c>
      <c r="C4241" s="36" t="str">
        <f>HYPERLINK("https://rhld.insurance.arkansas.gov/NPILookup?Npi=1447546452","1447546452")</f>
        <v>1447546452</v>
      </c>
      <c r="D4241" s="36" t="s">
        <v>36613</v>
      </c>
      <c r="E4241" s="36" t="s">
        <v>2</v>
      </c>
      <c r="F4241" s="36">
        <v>1</v>
      </c>
      <c r="G4241" s="36">
        <v>2</v>
      </c>
      <c r="H4241" s="36">
        <v>0</v>
      </c>
      <c r="I4241" s="37">
        <v>0</v>
      </c>
      <c r="J4241" s="36" t="s">
        <v>36190</v>
      </c>
      <c r="K4241" s="36" t="s">
        <v>14330</v>
      </c>
      <c r="L4241" s="36" t="s">
        <v>14330</v>
      </c>
      <c r="M4241">
        <v>3</v>
      </c>
      <c r="N4241" t="s">
        <v>14331</v>
      </c>
      <c r="O4241" t="s">
        <v>14333</v>
      </c>
    </row>
    <row r="4242" spans="1:15" x14ac:dyDescent="0.25">
      <c r="A4242" s="35" t="s">
        <v>8275</v>
      </c>
      <c r="B4242" s="36" t="s">
        <v>8276</v>
      </c>
      <c r="C4242" s="36" t="str">
        <f>HYPERLINK("https://rhld.insurance.arkansas.gov/NPILookup?Npi=1447602909","1447602909")</f>
        <v>1447602909</v>
      </c>
      <c r="D4242" s="36" t="s">
        <v>36614</v>
      </c>
      <c r="E4242" s="36" t="s">
        <v>2</v>
      </c>
      <c r="F4242" s="36">
        <v>1</v>
      </c>
      <c r="G4242" s="36">
        <v>3</v>
      </c>
      <c r="H4242" s="36">
        <v>0</v>
      </c>
      <c r="I4242" s="37">
        <v>0</v>
      </c>
      <c r="J4242" s="36" t="s">
        <v>36190</v>
      </c>
      <c r="K4242" s="36" t="s">
        <v>14330</v>
      </c>
      <c r="L4242" s="36" t="s">
        <v>14330</v>
      </c>
      <c r="M4242">
        <v>3</v>
      </c>
      <c r="N4242" t="s">
        <v>14331</v>
      </c>
      <c r="O4242" t="s">
        <v>14333</v>
      </c>
    </row>
    <row r="4243" spans="1:15" x14ac:dyDescent="0.25">
      <c r="A4243" s="35" t="s">
        <v>8275</v>
      </c>
      <c r="B4243" s="36" t="s">
        <v>8276</v>
      </c>
      <c r="C4243" s="36" t="str">
        <f>HYPERLINK("https://rhld.insurance.arkansas.gov/NPILookup?Npi=1447603808","1447603808")</f>
        <v>1447603808</v>
      </c>
      <c r="D4243" s="36" t="s">
        <v>36615</v>
      </c>
      <c r="E4243" s="36" t="s">
        <v>2</v>
      </c>
      <c r="F4243" s="36">
        <v>1</v>
      </c>
      <c r="G4243" s="36">
        <v>3</v>
      </c>
      <c r="H4243" s="36">
        <v>0</v>
      </c>
      <c r="I4243" s="37">
        <v>0</v>
      </c>
      <c r="J4243" s="36" t="s">
        <v>36190</v>
      </c>
      <c r="K4243" s="36" t="s">
        <v>14330</v>
      </c>
      <c r="L4243" s="36" t="s">
        <v>14330</v>
      </c>
      <c r="M4243">
        <v>3</v>
      </c>
      <c r="N4243" t="s">
        <v>14331</v>
      </c>
      <c r="O4243" t="s">
        <v>14333</v>
      </c>
    </row>
    <row r="4244" spans="1:15" x14ac:dyDescent="0.25">
      <c r="A4244" s="35" t="s">
        <v>8275</v>
      </c>
      <c r="B4244" s="36" t="s">
        <v>8276</v>
      </c>
      <c r="C4244" s="36" t="str">
        <f>HYPERLINK("https://rhld.insurance.arkansas.gov/NPILookup?Npi=1447699806","1447699806")</f>
        <v>1447699806</v>
      </c>
      <c r="D4244" s="36" t="s">
        <v>36616</v>
      </c>
      <c r="E4244" s="36" t="s">
        <v>1</v>
      </c>
      <c r="F4244" s="36">
        <v>1</v>
      </c>
      <c r="G4244" s="36">
        <v>3</v>
      </c>
      <c r="H4244" s="36">
        <v>0</v>
      </c>
      <c r="I4244" s="37">
        <v>0</v>
      </c>
      <c r="J4244" s="36" t="s">
        <v>32723</v>
      </c>
      <c r="K4244" s="36" t="s">
        <v>14330</v>
      </c>
      <c r="L4244" s="36" t="s">
        <v>14330</v>
      </c>
      <c r="M4244">
        <v>3</v>
      </c>
      <c r="N4244" t="s">
        <v>14331</v>
      </c>
      <c r="O4244" t="s">
        <v>32724</v>
      </c>
    </row>
    <row r="4245" spans="1:15" x14ac:dyDescent="0.25">
      <c r="A4245" s="35" t="s">
        <v>8275</v>
      </c>
      <c r="B4245" s="36" t="s">
        <v>8276</v>
      </c>
      <c r="C4245" s="36" t="str">
        <f>HYPERLINK("https://rhld.insurance.arkansas.gov/NPILookup?Npi=1447738810","1447738810")</f>
        <v>1447738810</v>
      </c>
      <c r="D4245" s="36" t="s">
        <v>36617</v>
      </c>
      <c r="E4245" s="36" t="s">
        <v>2</v>
      </c>
      <c r="F4245" s="36">
        <v>1</v>
      </c>
      <c r="G4245" s="36">
        <v>3</v>
      </c>
      <c r="H4245" s="36">
        <v>0</v>
      </c>
      <c r="I4245" s="37">
        <v>0</v>
      </c>
      <c r="J4245" s="36" t="s">
        <v>36190</v>
      </c>
      <c r="K4245" s="36" t="s">
        <v>14330</v>
      </c>
      <c r="L4245" s="36" t="s">
        <v>14330</v>
      </c>
      <c r="M4245">
        <v>2</v>
      </c>
      <c r="N4245" t="s">
        <v>14331</v>
      </c>
      <c r="O4245" t="s">
        <v>14333</v>
      </c>
    </row>
    <row r="4246" spans="1:15" x14ac:dyDescent="0.25">
      <c r="A4246" s="35" t="s">
        <v>8275</v>
      </c>
      <c r="B4246" s="36" t="s">
        <v>8276</v>
      </c>
      <c r="C4246" s="36" t="str">
        <f>HYPERLINK("https://rhld.insurance.arkansas.gov/NPILookup?Npi=1447781000","1447781000")</f>
        <v>1447781000</v>
      </c>
      <c r="D4246" s="36" t="s">
        <v>36618</v>
      </c>
      <c r="E4246" s="36" t="s">
        <v>1</v>
      </c>
      <c r="F4246" s="36">
        <v>1</v>
      </c>
      <c r="G4246" s="36">
        <v>2</v>
      </c>
      <c r="H4246" s="36">
        <v>0</v>
      </c>
      <c r="I4246" s="37">
        <v>0</v>
      </c>
      <c r="J4246" s="36" t="s">
        <v>32654</v>
      </c>
      <c r="K4246" s="36" t="s">
        <v>14330</v>
      </c>
      <c r="L4246" s="36" t="s">
        <v>14330</v>
      </c>
      <c r="M4246">
        <v>3</v>
      </c>
      <c r="N4246" t="s">
        <v>14331</v>
      </c>
      <c r="O4246" t="s">
        <v>32633</v>
      </c>
    </row>
    <row r="4247" spans="1:15" x14ac:dyDescent="0.25">
      <c r="A4247" s="35" t="s">
        <v>8275</v>
      </c>
      <c r="B4247" s="36" t="s">
        <v>8276</v>
      </c>
      <c r="C4247" s="36" t="str">
        <f>HYPERLINK("https://rhld.insurance.arkansas.gov/NPILookup?Npi=1447788609","1447788609")</f>
        <v>1447788609</v>
      </c>
      <c r="D4247" s="36" t="s">
        <v>36619</v>
      </c>
      <c r="E4247" s="36" t="s">
        <v>2</v>
      </c>
      <c r="F4247" s="36">
        <v>1</v>
      </c>
      <c r="G4247" s="36">
        <v>3</v>
      </c>
      <c r="H4247" s="36">
        <v>0</v>
      </c>
      <c r="I4247" s="37">
        <v>0</v>
      </c>
      <c r="J4247" s="36" t="s">
        <v>36190</v>
      </c>
      <c r="K4247" s="36" t="s">
        <v>14330</v>
      </c>
      <c r="L4247" s="36" t="s">
        <v>14330</v>
      </c>
      <c r="M4247">
        <v>2</v>
      </c>
      <c r="N4247" t="s">
        <v>14331</v>
      </c>
      <c r="O4247" t="s">
        <v>14333</v>
      </c>
    </row>
    <row r="4248" spans="1:15" x14ac:dyDescent="0.25">
      <c r="A4248" s="35" t="s">
        <v>8275</v>
      </c>
      <c r="B4248" s="36" t="s">
        <v>8276</v>
      </c>
      <c r="C4248" s="36" t="str">
        <f>HYPERLINK("https://rhld.insurance.arkansas.gov/NPILookup?Npi=1447806203","1447806203")</f>
        <v>1447806203</v>
      </c>
      <c r="D4248" s="36" t="s">
        <v>36620</v>
      </c>
      <c r="E4248" s="36" t="s">
        <v>2</v>
      </c>
      <c r="F4248" s="36">
        <v>1</v>
      </c>
      <c r="G4248" s="36">
        <v>2</v>
      </c>
      <c r="H4248" s="36">
        <v>0</v>
      </c>
      <c r="I4248" s="37">
        <v>0</v>
      </c>
      <c r="J4248" s="36" t="s">
        <v>36190</v>
      </c>
      <c r="K4248" s="36" t="s">
        <v>14330</v>
      </c>
      <c r="L4248" s="36" t="s">
        <v>14330</v>
      </c>
      <c r="M4248">
        <v>2</v>
      </c>
      <c r="N4248" t="s">
        <v>14331</v>
      </c>
      <c r="O4248" t="s">
        <v>14333</v>
      </c>
    </row>
    <row r="4249" spans="1:15" x14ac:dyDescent="0.25">
      <c r="A4249" s="35" t="s">
        <v>8275</v>
      </c>
      <c r="B4249" s="36" t="s">
        <v>8276</v>
      </c>
      <c r="C4249" s="36" t="str">
        <f>HYPERLINK("https://rhld.insurance.arkansas.gov/NPILookup?Npi=1447928148","1447928148")</f>
        <v>1447928148</v>
      </c>
      <c r="D4249" s="36" t="s">
        <v>36621</v>
      </c>
      <c r="E4249" s="36" t="s">
        <v>2</v>
      </c>
      <c r="F4249" s="36">
        <v>1</v>
      </c>
      <c r="G4249" s="36">
        <v>2</v>
      </c>
      <c r="H4249" s="36">
        <v>0</v>
      </c>
      <c r="I4249" s="37">
        <v>0</v>
      </c>
      <c r="J4249" s="36" t="s">
        <v>36190</v>
      </c>
      <c r="K4249" s="36" t="s">
        <v>14330</v>
      </c>
      <c r="L4249" s="36" t="s">
        <v>14330</v>
      </c>
      <c r="M4249">
        <v>1</v>
      </c>
      <c r="N4249" t="s">
        <v>14331</v>
      </c>
      <c r="O4249" t="s">
        <v>14333</v>
      </c>
    </row>
    <row r="4250" spans="1:15" x14ac:dyDescent="0.25">
      <c r="A4250" s="35" t="s">
        <v>8275</v>
      </c>
      <c r="B4250" s="36" t="s">
        <v>8276</v>
      </c>
      <c r="C4250" s="36" t="str">
        <f>HYPERLINK("https://rhld.insurance.arkansas.gov/NPILookup?Npi=1447977202","1447977202")</f>
        <v>1447977202</v>
      </c>
      <c r="D4250" s="36" t="s">
        <v>35459</v>
      </c>
      <c r="E4250" s="36" t="s">
        <v>2</v>
      </c>
      <c r="F4250" s="36">
        <v>1</v>
      </c>
      <c r="G4250" s="36">
        <v>1</v>
      </c>
      <c r="H4250" s="36">
        <v>0</v>
      </c>
      <c r="I4250" s="37">
        <v>0</v>
      </c>
      <c r="J4250" s="36"/>
      <c r="K4250" s="36" t="s">
        <v>14330</v>
      </c>
      <c r="L4250" s="36" t="s">
        <v>14330</v>
      </c>
      <c r="M4250">
        <v>2</v>
      </c>
      <c r="N4250" t="s">
        <v>14331</v>
      </c>
      <c r="O4250" t="s">
        <v>32633</v>
      </c>
    </row>
    <row r="4251" spans="1:15" x14ac:dyDescent="0.25">
      <c r="A4251" s="35" t="s">
        <v>8275</v>
      </c>
      <c r="B4251" s="36" t="s">
        <v>8276</v>
      </c>
      <c r="C4251" s="36" t="str">
        <f>HYPERLINK("https://rhld.insurance.arkansas.gov/NPILookup?Npi=1457099392","1457099392")</f>
        <v>1457099392</v>
      </c>
      <c r="D4251" s="36" t="s">
        <v>36622</v>
      </c>
      <c r="E4251" s="36" t="s">
        <v>2</v>
      </c>
      <c r="F4251" s="36">
        <v>1</v>
      </c>
      <c r="G4251" s="36">
        <v>2</v>
      </c>
      <c r="H4251" s="36">
        <v>0</v>
      </c>
      <c r="I4251" s="37">
        <v>0</v>
      </c>
      <c r="J4251" s="36" t="s">
        <v>36190</v>
      </c>
      <c r="K4251" s="36" t="s">
        <v>14330</v>
      </c>
      <c r="L4251" s="36" t="s">
        <v>14330</v>
      </c>
      <c r="M4251">
        <v>2</v>
      </c>
      <c r="N4251" t="s">
        <v>14331</v>
      </c>
      <c r="O4251" t="s">
        <v>14333</v>
      </c>
    </row>
    <row r="4252" spans="1:15" x14ac:dyDescent="0.25">
      <c r="A4252" s="35" t="s">
        <v>8275</v>
      </c>
      <c r="B4252" s="36" t="s">
        <v>8276</v>
      </c>
      <c r="C4252" s="36" t="str">
        <f>HYPERLINK("https://rhld.insurance.arkansas.gov/NPILookup?Npi=1457186462","1457186462")</f>
        <v>1457186462</v>
      </c>
      <c r="D4252" s="36" t="s">
        <v>34734</v>
      </c>
      <c r="E4252" s="36" t="s">
        <v>2</v>
      </c>
      <c r="F4252" s="36">
        <v>1</v>
      </c>
      <c r="G4252" s="36">
        <v>2</v>
      </c>
      <c r="H4252" s="36">
        <v>0</v>
      </c>
      <c r="I4252" s="37">
        <v>0</v>
      </c>
      <c r="J4252" s="36"/>
      <c r="K4252" s="36" t="s">
        <v>14330</v>
      </c>
      <c r="L4252" s="36" t="s">
        <v>14330</v>
      </c>
      <c r="M4252">
        <v>3</v>
      </c>
      <c r="N4252" t="s">
        <v>14331</v>
      </c>
      <c r="O4252" t="s">
        <v>14333</v>
      </c>
    </row>
    <row r="4253" spans="1:15" x14ac:dyDescent="0.25">
      <c r="A4253" s="35" t="s">
        <v>8275</v>
      </c>
      <c r="B4253" s="36" t="s">
        <v>8276</v>
      </c>
      <c r="C4253" s="36" t="str">
        <f>HYPERLINK("https://rhld.insurance.arkansas.gov/NPILookup?Npi=1457310476","1457310476")</f>
        <v>1457310476</v>
      </c>
      <c r="D4253" s="36" t="s">
        <v>36623</v>
      </c>
      <c r="E4253" s="36" t="s">
        <v>2</v>
      </c>
      <c r="F4253" s="36">
        <v>1</v>
      </c>
      <c r="G4253" s="36">
        <v>3</v>
      </c>
      <c r="H4253" s="36">
        <v>0</v>
      </c>
      <c r="I4253" s="37">
        <v>0</v>
      </c>
      <c r="J4253" s="36" t="s">
        <v>36190</v>
      </c>
      <c r="K4253" s="36" t="s">
        <v>14330</v>
      </c>
      <c r="L4253" s="36" t="s">
        <v>14330</v>
      </c>
      <c r="M4253">
        <v>3</v>
      </c>
      <c r="N4253" t="s">
        <v>14331</v>
      </c>
      <c r="O4253" t="s">
        <v>14333</v>
      </c>
    </row>
    <row r="4254" spans="1:15" x14ac:dyDescent="0.25">
      <c r="A4254" s="35" t="s">
        <v>8275</v>
      </c>
      <c r="B4254" s="36" t="s">
        <v>8276</v>
      </c>
      <c r="C4254" s="36" t="str">
        <f>HYPERLINK("https://rhld.insurance.arkansas.gov/NPILookup?Npi=1457352742","1457352742")</f>
        <v>1457352742</v>
      </c>
      <c r="D4254" s="36" t="s">
        <v>36624</v>
      </c>
      <c r="E4254" s="36" t="s">
        <v>2</v>
      </c>
      <c r="F4254" s="36">
        <v>1</v>
      </c>
      <c r="G4254" s="36">
        <v>3</v>
      </c>
      <c r="H4254" s="36">
        <v>0</v>
      </c>
      <c r="I4254" s="37">
        <v>0</v>
      </c>
      <c r="J4254" s="36" t="s">
        <v>36190</v>
      </c>
      <c r="K4254" s="36" t="s">
        <v>14330</v>
      </c>
      <c r="L4254" s="36" t="s">
        <v>14330</v>
      </c>
      <c r="M4254">
        <v>2</v>
      </c>
      <c r="N4254" t="s">
        <v>14331</v>
      </c>
      <c r="O4254" t="s">
        <v>14333</v>
      </c>
    </row>
    <row r="4255" spans="1:15" x14ac:dyDescent="0.25">
      <c r="A4255" s="35" t="s">
        <v>8275</v>
      </c>
      <c r="B4255" s="36" t="s">
        <v>8276</v>
      </c>
      <c r="C4255" s="36" t="str">
        <f>HYPERLINK("https://rhld.insurance.arkansas.gov/NPILookup?Npi=1457399438","1457399438")</f>
        <v>1457399438</v>
      </c>
      <c r="D4255" s="36" t="s">
        <v>36625</v>
      </c>
      <c r="E4255" s="36" t="s">
        <v>2</v>
      </c>
      <c r="F4255" s="36">
        <v>1</v>
      </c>
      <c r="G4255" s="36">
        <v>2</v>
      </c>
      <c r="H4255" s="36">
        <v>0</v>
      </c>
      <c r="I4255" s="37">
        <v>0</v>
      </c>
      <c r="J4255" s="36" t="s">
        <v>36190</v>
      </c>
      <c r="K4255" s="36" t="s">
        <v>14330</v>
      </c>
      <c r="L4255" s="36" t="s">
        <v>14330</v>
      </c>
      <c r="M4255">
        <v>3</v>
      </c>
      <c r="N4255" t="s">
        <v>14331</v>
      </c>
      <c r="O4255" t="s">
        <v>14333</v>
      </c>
    </row>
    <row r="4256" spans="1:15" x14ac:dyDescent="0.25">
      <c r="A4256" s="35" t="s">
        <v>8275</v>
      </c>
      <c r="B4256" s="36" t="s">
        <v>8276</v>
      </c>
      <c r="C4256" s="36" t="str">
        <f>HYPERLINK("https://rhld.insurance.arkansas.gov/NPILookup?Npi=1457425902","1457425902")</f>
        <v>1457425902</v>
      </c>
      <c r="D4256" s="36" t="s">
        <v>36626</v>
      </c>
      <c r="E4256" s="36" t="s">
        <v>2</v>
      </c>
      <c r="F4256" s="36">
        <v>1</v>
      </c>
      <c r="G4256" s="36">
        <v>3</v>
      </c>
      <c r="H4256" s="36">
        <v>0</v>
      </c>
      <c r="I4256" s="37">
        <v>0</v>
      </c>
      <c r="J4256" s="36" t="s">
        <v>36190</v>
      </c>
      <c r="K4256" s="36" t="s">
        <v>14330</v>
      </c>
      <c r="L4256" s="36" t="s">
        <v>14330</v>
      </c>
      <c r="M4256">
        <v>3</v>
      </c>
      <c r="N4256" t="s">
        <v>14331</v>
      </c>
      <c r="O4256" t="s">
        <v>14333</v>
      </c>
    </row>
    <row r="4257" spans="1:15" x14ac:dyDescent="0.25">
      <c r="A4257" s="35" t="s">
        <v>8275</v>
      </c>
      <c r="B4257" s="36" t="s">
        <v>8276</v>
      </c>
      <c r="C4257" s="36" t="str">
        <f>HYPERLINK("https://rhld.insurance.arkansas.gov/NPILookup?Npi=1457440034","1457440034")</f>
        <v>1457440034</v>
      </c>
      <c r="D4257" s="36" t="s">
        <v>36627</v>
      </c>
      <c r="E4257" s="36" t="s">
        <v>2</v>
      </c>
      <c r="F4257" s="36">
        <v>1</v>
      </c>
      <c r="G4257" s="36">
        <v>3</v>
      </c>
      <c r="H4257" s="36">
        <v>0</v>
      </c>
      <c r="I4257" s="37">
        <v>0</v>
      </c>
      <c r="J4257" s="36" t="s">
        <v>36190</v>
      </c>
      <c r="K4257" s="36" t="s">
        <v>14330</v>
      </c>
      <c r="L4257" s="36" t="s">
        <v>14330</v>
      </c>
      <c r="M4257">
        <v>2</v>
      </c>
      <c r="N4257" t="s">
        <v>14331</v>
      </c>
      <c r="O4257" t="s">
        <v>14333</v>
      </c>
    </row>
    <row r="4258" spans="1:15" x14ac:dyDescent="0.25">
      <c r="A4258" s="35" t="s">
        <v>8275</v>
      </c>
      <c r="B4258" s="36" t="s">
        <v>8276</v>
      </c>
      <c r="C4258" s="36" t="str">
        <f>HYPERLINK("https://rhld.insurance.arkansas.gov/NPILookup?Npi=1457459182","1457459182")</f>
        <v>1457459182</v>
      </c>
      <c r="D4258" s="36" t="s">
        <v>36628</v>
      </c>
      <c r="E4258" s="36" t="s">
        <v>2</v>
      </c>
      <c r="F4258" s="36">
        <v>1</v>
      </c>
      <c r="G4258" s="36">
        <v>2</v>
      </c>
      <c r="H4258" s="36">
        <v>0</v>
      </c>
      <c r="I4258" s="37">
        <v>0</v>
      </c>
      <c r="J4258" s="36" t="s">
        <v>36190</v>
      </c>
      <c r="K4258" s="36" t="s">
        <v>14330</v>
      </c>
      <c r="L4258" s="36" t="s">
        <v>14330</v>
      </c>
      <c r="M4258">
        <v>3</v>
      </c>
      <c r="N4258" t="s">
        <v>14331</v>
      </c>
      <c r="O4258" t="s">
        <v>14333</v>
      </c>
    </row>
    <row r="4259" spans="1:15" x14ac:dyDescent="0.25">
      <c r="A4259" s="35" t="s">
        <v>8275</v>
      </c>
      <c r="B4259" s="36" t="s">
        <v>8276</v>
      </c>
      <c r="C4259" s="36" t="str">
        <f>HYPERLINK("https://rhld.insurance.arkansas.gov/NPILookup?Npi=1457463960","1457463960")</f>
        <v>1457463960</v>
      </c>
      <c r="D4259" s="36" t="s">
        <v>36629</v>
      </c>
      <c r="E4259" s="36" t="s">
        <v>2</v>
      </c>
      <c r="F4259" s="36">
        <v>1</v>
      </c>
      <c r="G4259" s="36">
        <v>3</v>
      </c>
      <c r="H4259" s="36">
        <v>0</v>
      </c>
      <c r="I4259" s="37">
        <v>0</v>
      </c>
      <c r="J4259" s="36" t="s">
        <v>36190</v>
      </c>
      <c r="K4259" s="36" t="s">
        <v>14330</v>
      </c>
      <c r="L4259" s="36" t="s">
        <v>14330</v>
      </c>
      <c r="M4259">
        <v>2</v>
      </c>
      <c r="N4259" t="s">
        <v>14331</v>
      </c>
      <c r="O4259" t="s">
        <v>14333</v>
      </c>
    </row>
    <row r="4260" spans="1:15" x14ac:dyDescent="0.25">
      <c r="A4260" s="35" t="s">
        <v>8275</v>
      </c>
      <c r="B4260" s="36" t="s">
        <v>8276</v>
      </c>
      <c r="C4260" s="36" t="str">
        <f>HYPERLINK("https://rhld.insurance.arkansas.gov/NPILookup?Npi=1457631053","1457631053")</f>
        <v>1457631053</v>
      </c>
      <c r="D4260" s="36" t="s">
        <v>36630</v>
      </c>
      <c r="E4260" s="36" t="s">
        <v>2</v>
      </c>
      <c r="F4260" s="36">
        <v>1</v>
      </c>
      <c r="G4260" s="36">
        <v>2</v>
      </c>
      <c r="H4260" s="36">
        <v>0</v>
      </c>
      <c r="I4260" s="37">
        <v>0</v>
      </c>
      <c r="J4260" s="36" t="s">
        <v>36190</v>
      </c>
      <c r="K4260" s="36" t="s">
        <v>14330</v>
      </c>
      <c r="L4260" s="36" t="s">
        <v>14330</v>
      </c>
      <c r="M4260">
        <v>2</v>
      </c>
      <c r="N4260" t="s">
        <v>14331</v>
      </c>
      <c r="O4260" t="s">
        <v>14333</v>
      </c>
    </row>
    <row r="4261" spans="1:15" x14ac:dyDescent="0.25">
      <c r="A4261" s="35" t="s">
        <v>8275</v>
      </c>
      <c r="B4261" s="36" t="s">
        <v>8276</v>
      </c>
      <c r="C4261" s="36" t="str">
        <f>HYPERLINK("https://rhld.insurance.arkansas.gov/NPILookup?Npi=1457721359","1457721359")</f>
        <v>1457721359</v>
      </c>
      <c r="D4261" s="36" t="s">
        <v>36631</v>
      </c>
      <c r="E4261" s="36" t="s">
        <v>2</v>
      </c>
      <c r="F4261" s="36">
        <v>1</v>
      </c>
      <c r="G4261" s="36">
        <v>2</v>
      </c>
      <c r="H4261" s="36">
        <v>0</v>
      </c>
      <c r="I4261" s="37">
        <v>0</v>
      </c>
      <c r="J4261" s="36" t="s">
        <v>36190</v>
      </c>
      <c r="K4261" s="36" t="s">
        <v>14330</v>
      </c>
      <c r="L4261" s="36" t="s">
        <v>14330</v>
      </c>
      <c r="M4261">
        <v>3</v>
      </c>
      <c r="N4261" t="s">
        <v>14331</v>
      </c>
      <c r="O4261" t="s">
        <v>14333</v>
      </c>
    </row>
    <row r="4262" spans="1:15" x14ac:dyDescent="0.25">
      <c r="A4262" s="35" t="s">
        <v>8275</v>
      </c>
      <c r="B4262" s="36" t="s">
        <v>8276</v>
      </c>
      <c r="C4262" s="36" t="str">
        <f>HYPERLINK("https://rhld.insurance.arkansas.gov/NPILookup?Npi=1457818353","1457818353")</f>
        <v>1457818353</v>
      </c>
      <c r="D4262" s="36" t="s">
        <v>36632</v>
      </c>
      <c r="E4262" s="36" t="s">
        <v>2</v>
      </c>
      <c r="F4262" s="36">
        <v>1</v>
      </c>
      <c r="G4262" s="36">
        <v>3</v>
      </c>
      <c r="H4262" s="36">
        <v>0</v>
      </c>
      <c r="I4262" s="37">
        <v>0</v>
      </c>
      <c r="J4262" s="36" t="s">
        <v>36190</v>
      </c>
      <c r="K4262" s="36" t="s">
        <v>14330</v>
      </c>
      <c r="L4262" s="36" t="s">
        <v>14330</v>
      </c>
      <c r="M4262">
        <v>2</v>
      </c>
      <c r="N4262" t="s">
        <v>14331</v>
      </c>
      <c r="O4262" t="s">
        <v>14333</v>
      </c>
    </row>
    <row r="4263" spans="1:15" x14ac:dyDescent="0.25">
      <c r="A4263" s="35" t="s">
        <v>8275</v>
      </c>
      <c r="B4263" s="36" t="s">
        <v>8276</v>
      </c>
      <c r="C4263" s="36" t="str">
        <f>HYPERLINK("https://rhld.insurance.arkansas.gov/NPILookup?Npi=1457930075","1457930075")</f>
        <v>1457930075</v>
      </c>
      <c r="D4263" s="36" t="s">
        <v>36633</v>
      </c>
      <c r="E4263" s="36" t="s">
        <v>2</v>
      </c>
      <c r="F4263" s="36">
        <v>1</v>
      </c>
      <c r="G4263" s="36">
        <v>2</v>
      </c>
      <c r="H4263" s="36">
        <v>0</v>
      </c>
      <c r="I4263" s="37">
        <v>0</v>
      </c>
      <c r="J4263" s="36"/>
      <c r="K4263" s="36" t="s">
        <v>14330</v>
      </c>
      <c r="L4263" s="36" t="s">
        <v>14330</v>
      </c>
      <c r="M4263">
        <v>3</v>
      </c>
      <c r="N4263" t="s">
        <v>14331</v>
      </c>
      <c r="O4263" t="s">
        <v>14333</v>
      </c>
    </row>
    <row r="4264" spans="1:15" x14ac:dyDescent="0.25">
      <c r="A4264" s="35" t="s">
        <v>8275</v>
      </c>
      <c r="B4264" s="36" t="s">
        <v>8276</v>
      </c>
      <c r="C4264" s="36" t="str">
        <f>HYPERLINK("https://rhld.insurance.arkansas.gov/NPILookup?Npi=1467002691","1467002691")</f>
        <v>1467002691</v>
      </c>
      <c r="D4264" s="36" t="s">
        <v>36634</v>
      </c>
      <c r="E4264" s="36" t="s">
        <v>2</v>
      </c>
      <c r="F4264" s="36">
        <v>1</v>
      </c>
      <c r="G4264" s="36">
        <v>3</v>
      </c>
      <c r="H4264" s="36">
        <v>0</v>
      </c>
      <c r="I4264" s="37">
        <v>0</v>
      </c>
      <c r="J4264" s="36" t="s">
        <v>36190</v>
      </c>
      <c r="K4264" s="36" t="s">
        <v>14330</v>
      </c>
      <c r="L4264" s="36" t="s">
        <v>14330</v>
      </c>
      <c r="M4264">
        <v>1</v>
      </c>
      <c r="N4264" t="s">
        <v>14331</v>
      </c>
      <c r="O4264" t="s">
        <v>14333</v>
      </c>
    </row>
    <row r="4265" spans="1:15" x14ac:dyDescent="0.25">
      <c r="A4265" s="35" t="s">
        <v>8275</v>
      </c>
      <c r="B4265" s="36" t="s">
        <v>8276</v>
      </c>
      <c r="C4265" s="36" t="str">
        <f>HYPERLINK("https://rhld.insurance.arkansas.gov/NPILookup?Npi=1467133074","1467133074")</f>
        <v>1467133074</v>
      </c>
      <c r="D4265" s="36" t="s">
        <v>34737</v>
      </c>
      <c r="E4265" s="36" t="s">
        <v>2</v>
      </c>
      <c r="F4265" s="36">
        <v>1</v>
      </c>
      <c r="G4265" s="36">
        <v>1</v>
      </c>
      <c r="H4265" s="36">
        <v>0</v>
      </c>
      <c r="I4265" s="37">
        <v>0</v>
      </c>
      <c r="J4265" s="36"/>
      <c r="K4265" s="36" t="s">
        <v>14330</v>
      </c>
      <c r="L4265" s="36" t="s">
        <v>14330</v>
      </c>
      <c r="M4265">
        <v>2</v>
      </c>
      <c r="N4265" t="s">
        <v>14331</v>
      </c>
      <c r="O4265" t="s">
        <v>32633</v>
      </c>
    </row>
    <row r="4266" spans="1:15" x14ac:dyDescent="0.25">
      <c r="A4266" s="35" t="s">
        <v>8275</v>
      </c>
      <c r="B4266" s="36" t="s">
        <v>8276</v>
      </c>
      <c r="C4266" s="36" t="str">
        <f>HYPERLINK("https://rhld.insurance.arkansas.gov/NPILookup?Npi=1467164475","1467164475")</f>
        <v>1467164475</v>
      </c>
      <c r="D4266" s="36" t="s">
        <v>35472</v>
      </c>
      <c r="E4266" s="36" t="s">
        <v>2</v>
      </c>
      <c r="F4266" s="36">
        <v>1</v>
      </c>
      <c r="G4266" s="36">
        <v>2</v>
      </c>
      <c r="H4266" s="36">
        <v>0</v>
      </c>
      <c r="I4266" s="37">
        <v>0</v>
      </c>
      <c r="J4266" s="36"/>
      <c r="K4266" s="36" t="s">
        <v>14330</v>
      </c>
      <c r="L4266" s="36" t="s">
        <v>14330</v>
      </c>
      <c r="M4266">
        <v>1</v>
      </c>
      <c r="N4266" t="s">
        <v>14331</v>
      </c>
      <c r="O4266" t="s">
        <v>14333</v>
      </c>
    </row>
    <row r="4267" spans="1:15" x14ac:dyDescent="0.25">
      <c r="A4267" s="35" t="s">
        <v>8275</v>
      </c>
      <c r="B4267" s="36" t="s">
        <v>8276</v>
      </c>
      <c r="C4267" s="36" t="str">
        <f>HYPERLINK("https://rhld.insurance.arkansas.gov/NPILookup?Npi=1467218990","1467218990")</f>
        <v>1467218990</v>
      </c>
      <c r="D4267" s="36" t="s">
        <v>35473</v>
      </c>
      <c r="E4267" s="36" t="s">
        <v>2</v>
      </c>
      <c r="F4267" s="36">
        <v>1</v>
      </c>
      <c r="G4267" s="36">
        <v>1</v>
      </c>
      <c r="H4267" s="36">
        <v>0</v>
      </c>
      <c r="I4267" s="37">
        <v>0</v>
      </c>
      <c r="J4267" s="36"/>
      <c r="K4267" s="36" t="s">
        <v>14330</v>
      </c>
      <c r="L4267" s="36" t="s">
        <v>14330</v>
      </c>
      <c r="M4267">
        <v>2</v>
      </c>
      <c r="N4267" t="s">
        <v>14331</v>
      </c>
      <c r="O4267" t="s">
        <v>32633</v>
      </c>
    </row>
    <row r="4268" spans="1:15" x14ac:dyDescent="0.25">
      <c r="A4268" s="35" t="s">
        <v>8275</v>
      </c>
      <c r="B4268" s="36" t="s">
        <v>8276</v>
      </c>
      <c r="C4268" s="36" t="str">
        <f>HYPERLINK("https://rhld.insurance.arkansas.gov/NPILookup?Npi=1467230334","1467230334")</f>
        <v>1467230334</v>
      </c>
      <c r="D4268" s="36" t="s">
        <v>35474</v>
      </c>
      <c r="E4268" s="36" t="s">
        <v>2</v>
      </c>
      <c r="F4268" s="36">
        <v>1</v>
      </c>
      <c r="G4268" s="36">
        <v>2</v>
      </c>
      <c r="H4268" s="36">
        <v>0</v>
      </c>
      <c r="I4268" s="37">
        <v>0</v>
      </c>
      <c r="J4268" s="36"/>
      <c r="K4268" s="36" t="s">
        <v>14330</v>
      </c>
      <c r="L4268" s="36" t="s">
        <v>14330</v>
      </c>
      <c r="M4268">
        <v>1</v>
      </c>
      <c r="N4268" t="s">
        <v>14331</v>
      </c>
      <c r="O4268" t="s">
        <v>14333</v>
      </c>
    </row>
    <row r="4269" spans="1:15" x14ac:dyDescent="0.25">
      <c r="A4269" s="35" t="s">
        <v>8275</v>
      </c>
      <c r="B4269" s="36" t="s">
        <v>8276</v>
      </c>
      <c r="C4269" s="36" t="str">
        <f>HYPERLINK("https://rhld.insurance.arkansas.gov/NPILookup?Npi=1467251470","1467251470")</f>
        <v>1467251470</v>
      </c>
      <c r="D4269" s="36" t="s">
        <v>35475</v>
      </c>
      <c r="E4269" s="36" t="s">
        <v>2</v>
      </c>
      <c r="F4269" s="36">
        <v>1</v>
      </c>
      <c r="G4269" s="36">
        <v>1</v>
      </c>
      <c r="H4269" s="36">
        <v>0</v>
      </c>
      <c r="I4269" s="37">
        <v>0</v>
      </c>
      <c r="J4269" s="36"/>
      <c r="K4269" s="36" t="s">
        <v>14330</v>
      </c>
      <c r="L4269" s="36" t="s">
        <v>14330</v>
      </c>
      <c r="M4269">
        <v>3</v>
      </c>
      <c r="N4269" t="s">
        <v>14331</v>
      </c>
      <c r="O4269" t="s">
        <v>32633</v>
      </c>
    </row>
    <row r="4270" spans="1:15" x14ac:dyDescent="0.25">
      <c r="A4270" s="35" t="s">
        <v>8275</v>
      </c>
      <c r="B4270" s="36" t="s">
        <v>8276</v>
      </c>
      <c r="C4270" s="36" t="str">
        <f>HYPERLINK("https://rhld.insurance.arkansas.gov/NPILookup?Npi=1467428847","1467428847")</f>
        <v>1467428847</v>
      </c>
      <c r="D4270" s="36" t="s">
        <v>36635</v>
      </c>
      <c r="E4270" s="36" t="s">
        <v>2</v>
      </c>
      <c r="F4270" s="36">
        <v>1</v>
      </c>
      <c r="G4270" s="36">
        <v>3</v>
      </c>
      <c r="H4270" s="36">
        <v>0</v>
      </c>
      <c r="I4270" s="37">
        <v>0</v>
      </c>
      <c r="J4270" s="36" t="s">
        <v>36190</v>
      </c>
      <c r="K4270" s="36" t="s">
        <v>14330</v>
      </c>
      <c r="L4270" s="36" t="s">
        <v>14330</v>
      </c>
      <c r="M4270">
        <v>-1</v>
      </c>
      <c r="N4270" t="s">
        <v>14331</v>
      </c>
      <c r="O4270" t="s">
        <v>14333</v>
      </c>
    </row>
    <row r="4271" spans="1:15" x14ac:dyDescent="0.25">
      <c r="A4271" s="35" t="s">
        <v>8275</v>
      </c>
      <c r="B4271" s="36" t="s">
        <v>8276</v>
      </c>
      <c r="C4271" s="36" t="str">
        <f>HYPERLINK("https://rhld.insurance.arkansas.gov/NPILookup?Npi=1467436725","1467436725")</f>
        <v>1467436725</v>
      </c>
      <c r="D4271" s="36" t="s">
        <v>36636</v>
      </c>
      <c r="E4271" s="36" t="s">
        <v>1</v>
      </c>
      <c r="F4271" s="36">
        <v>1</v>
      </c>
      <c r="G4271" s="36">
        <v>0</v>
      </c>
      <c r="H4271" s="36">
        <v>1</v>
      </c>
      <c r="I4271" s="37">
        <v>0</v>
      </c>
      <c r="J4271" s="36" t="s">
        <v>32654</v>
      </c>
      <c r="K4271" s="36" t="s">
        <v>14330</v>
      </c>
      <c r="L4271" s="36" t="s">
        <v>36637</v>
      </c>
      <c r="M4271">
        <v>3</v>
      </c>
      <c r="N4271" t="s">
        <v>14332</v>
      </c>
      <c r="O4271" t="s">
        <v>32591</v>
      </c>
    </row>
    <row r="4272" spans="1:15" x14ac:dyDescent="0.25">
      <c r="A4272" s="35" t="s">
        <v>8275</v>
      </c>
      <c r="B4272" s="36" t="s">
        <v>8276</v>
      </c>
      <c r="C4272" s="36" t="str">
        <f>HYPERLINK("https://rhld.insurance.arkansas.gov/NPILookup?Npi=1467487751","1467487751")</f>
        <v>1467487751</v>
      </c>
      <c r="D4272" s="36" t="s">
        <v>36638</v>
      </c>
      <c r="E4272" s="36" t="s">
        <v>2</v>
      </c>
      <c r="F4272" s="36">
        <v>1</v>
      </c>
      <c r="G4272" s="36">
        <v>3</v>
      </c>
      <c r="H4272" s="36">
        <v>0</v>
      </c>
      <c r="I4272" s="37">
        <v>0</v>
      </c>
      <c r="J4272" s="36" t="s">
        <v>36190</v>
      </c>
      <c r="K4272" s="36" t="s">
        <v>14330</v>
      </c>
      <c r="L4272" s="36" t="s">
        <v>14330</v>
      </c>
      <c r="M4272">
        <v>2</v>
      </c>
      <c r="N4272" t="s">
        <v>14331</v>
      </c>
      <c r="O4272" t="s">
        <v>14333</v>
      </c>
    </row>
    <row r="4273" spans="1:15" x14ac:dyDescent="0.25">
      <c r="A4273" s="35" t="s">
        <v>8275</v>
      </c>
      <c r="B4273" s="36" t="s">
        <v>8276</v>
      </c>
      <c r="C4273" s="36" t="str">
        <f>HYPERLINK("https://rhld.insurance.arkansas.gov/NPILookup?Npi=1467488791","1467488791")</f>
        <v>1467488791</v>
      </c>
      <c r="D4273" s="36" t="s">
        <v>33190</v>
      </c>
      <c r="E4273" s="36" t="s">
        <v>1</v>
      </c>
      <c r="F4273" s="36">
        <v>1</v>
      </c>
      <c r="G4273" s="36">
        <v>2</v>
      </c>
      <c r="H4273" s="36">
        <v>0</v>
      </c>
      <c r="I4273" s="37">
        <v>0</v>
      </c>
      <c r="J4273" s="36" t="s">
        <v>32654</v>
      </c>
      <c r="K4273" s="36" t="s">
        <v>14330</v>
      </c>
      <c r="L4273" s="36" t="s">
        <v>14330</v>
      </c>
      <c r="M4273">
        <v>3</v>
      </c>
      <c r="N4273" t="s">
        <v>14331</v>
      </c>
      <c r="O4273" t="s">
        <v>32633</v>
      </c>
    </row>
    <row r="4274" spans="1:15" x14ac:dyDescent="0.25">
      <c r="A4274" s="35" t="s">
        <v>8275</v>
      </c>
      <c r="B4274" s="36" t="s">
        <v>8276</v>
      </c>
      <c r="C4274" s="36" t="str">
        <f>HYPERLINK("https://rhld.insurance.arkansas.gov/NPILookup?Npi=1467573360","1467573360")</f>
        <v>1467573360</v>
      </c>
      <c r="D4274" s="36" t="s">
        <v>36639</v>
      </c>
      <c r="E4274" s="36" t="s">
        <v>2</v>
      </c>
      <c r="F4274" s="36">
        <v>1</v>
      </c>
      <c r="G4274" s="36">
        <v>3</v>
      </c>
      <c r="H4274" s="36">
        <v>0</v>
      </c>
      <c r="I4274" s="37">
        <v>0</v>
      </c>
      <c r="J4274" s="36" t="s">
        <v>36190</v>
      </c>
      <c r="K4274" s="36" t="s">
        <v>14330</v>
      </c>
      <c r="L4274" s="36" t="s">
        <v>14330</v>
      </c>
      <c r="M4274">
        <v>3</v>
      </c>
      <c r="N4274" t="s">
        <v>14331</v>
      </c>
      <c r="O4274" t="s">
        <v>14333</v>
      </c>
    </row>
    <row r="4275" spans="1:15" x14ac:dyDescent="0.25">
      <c r="A4275" s="35" t="s">
        <v>8275</v>
      </c>
      <c r="B4275" s="36" t="s">
        <v>8276</v>
      </c>
      <c r="C4275" s="36" t="str">
        <f>HYPERLINK("https://rhld.insurance.arkansas.gov/NPILookup?Npi=1467594770","1467594770")</f>
        <v>1467594770</v>
      </c>
      <c r="D4275" s="36" t="s">
        <v>36640</v>
      </c>
      <c r="E4275" s="36" t="s">
        <v>2</v>
      </c>
      <c r="F4275" s="36">
        <v>1</v>
      </c>
      <c r="G4275" s="36">
        <v>3</v>
      </c>
      <c r="H4275" s="36">
        <v>0</v>
      </c>
      <c r="I4275" s="37">
        <v>0</v>
      </c>
      <c r="J4275" s="36" t="s">
        <v>36190</v>
      </c>
      <c r="K4275" s="36" t="s">
        <v>14330</v>
      </c>
      <c r="L4275" s="36" t="s">
        <v>14330</v>
      </c>
      <c r="M4275">
        <v>2</v>
      </c>
      <c r="N4275" t="s">
        <v>14331</v>
      </c>
      <c r="O4275" t="s">
        <v>14333</v>
      </c>
    </row>
    <row r="4276" spans="1:15" x14ac:dyDescent="0.25">
      <c r="A4276" s="35" t="s">
        <v>8275</v>
      </c>
      <c r="B4276" s="36" t="s">
        <v>8276</v>
      </c>
      <c r="C4276" s="36" t="str">
        <f>HYPERLINK("https://rhld.insurance.arkansas.gov/NPILookup?Npi=1467613000","1467613000")</f>
        <v>1467613000</v>
      </c>
      <c r="D4276" s="36" t="s">
        <v>36641</v>
      </c>
      <c r="E4276" s="36" t="s">
        <v>2</v>
      </c>
      <c r="F4276" s="36">
        <v>1</v>
      </c>
      <c r="G4276" s="36">
        <v>2</v>
      </c>
      <c r="H4276" s="36">
        <v>0</v>
      </c>
      <c r="I4276" s="37">
        <v>0</v>
      </c>
      <c r="J4276" s="36" t="s">
        <v>36190</v>
      </c>
      <c r="K4276" s="36" t="s">
        <v>14330</v>
      </c>
      <c r="L4276" s="36" t="s">
        <v>14330</v>
      </c>
      <c r="M4276">
        <v>3</v>
      </c>
      <c r="N4276" t="s">
        <v>14331</v>
      </c>
      <c r="O4276" t="s">
        <v>14333</v>
      </c>
    </row>
    <row r="4277" spans="1:15" x14ac:dyDescent="0.25">
      <c r="A4277" s="35" t="s">
        <v>8275</v>
      </c>
      <c r="B4277" s="36" t="s">
        <v>8276</v>
      </c>
      <c r="C4277" s="36" t="str">
        <f>HYPERLINK("https://rhld.insurance.arkansas.gov/NPILookup?Npi=1467654715","1467654715")</f>
        <v>1467654715</v>
      </c>
      <c r="D4277" s="36" t="s">
        <v>32913</v>
      </c>
      <c r="E4277" s="36" t="s">
        <v>2</v>
      </c>
      <c r="F4277" s="36">
        <v>1</v>
      </c>
      <c r="G4277" s="36">
        <v>3</v>
      </c>
      <c r="H4277" s="36">
        <v>0</v>
      </c>
      <c r="I4277" s="37">
        <v>0</v>
      </c>
      <c r="J4277" s="36" t="s">
        <v>36190</v>
      </c>
      <c r="K4277" s="36" t="s">
        <v>14330</v>
      </c>
      <c r="L4277" s="36" t="s">
        <v>14330</v>
      </c>
      <c r="M4277">
        <v>2</v>
      </c>
      <c r="N4277" t="s">
        <v>14331</v>
      </c>
      <c r="O4277" t="s">
        <v>14333</v>
      </c>
    </row>
    <row r="4278" spans="1:15" x14ac:dyDescent="0.25">
      <c r="A4278" s="35" t="s">
        <v>8275</v>
      </c>
      <c r="B4278" s="36" t="s">
        <v>8276</v>
      </c>
      <c r="C4278" s="36" t="str">
        <f>HYPERLINK("https://rhld.insurance.arkansas.gov/NPILookup?Npi=1467740225","1467740225")</f>
        <v>1467740225</v>
      </c>
      <c r="D4278" s="36" t="s">
        <v>36642</v>
      </c>
      <c r="E4278" s="36" t="s">
        <v>2</v>
      </c>
      <c r="F4278" s="36">
        <v>1</v>
      </c>
      <c r="G4278" s="36">
        <v>2</v>
      </c>
      <c r="H4278" s="36">
        <v>0</v>
      </c>
      <c r="I4278" s="37">
        <v>0</v>
      </c>
      <c r="J4278" s="36" t="s">
        <v>36190</v>
      </c>
      <c r="K4278" s="36" t="s">
        <v>14330</v>
      </c>
      <c r="L4278" s="36" t="s">
        <v>14330</v>
      </c>
      <c r="M4278">
        <v>3</v>
      </c>
      <c r="N4278" t="s">
        <v>14331</v>
      </c>
      <c r="O4278" t="s">
        <v>14333</v>
      </c>
    </row>
    <row r="4279" spans="1:15" x14ac:dyDescent="0.25">
      <c r="A4279" s="35" t="s">
        <v>8275</v>
      </c>
      <c r="B4279" s="36" t="s">
        <v>8276</v>
      </c>
      <c r="C4279" s="36" t="str">
        <f>HYPERLINK("https://rhld.insurance.arkansas.gov/NPILookup?Npi=1467793679","1467793679")</f>
        <v>1467793679</v>
      </c>
      <c r="D4279" s="36" t="s">
        <v>36643</v>
      </c>
      <c r="E4279" s="36" t="s">
        <v>2</v>
      </c>
      <c r="F4279" s="36">
        <v>1</v>
      </c>
      <c r="G4279" s="36">
        <v>3</v>
      </c>
      <c r="H4279" s="36">
        <v>0</v>
      </c>
      <c r="I4279" s="37">
        <v>0</v>
      </c>
      <c r="J4279" s="36" t="s">
        <v>36190</v>
      </c>
      <c r="K4279" s="36" t="s">
        <v>14330</v>
      </c>
      <c r="L4279" s="36" t="s">
        <v>14330</v>
      </c>
      <c r="M4279">
        <v>2</v>
      </c>
      <c r="N4279" t="s">
        <v>14331</v>
      </c>
      <c r="O4279" t="s">
        <v>14333</v>
      </c>
    </row>
    <row r="4280" spans="1:15" x14ac:dyDescent="0.25">
      <c r="A4280" s="35" t="s">
        <v>8275</v>
      </c>
      <c r="B4280" s="36" t="s">
        <v>8276</v>
      </c>
      <c r="C4280" s="36" t="str">
        <f>HYPERLINK("https://rhld.insurance.arkansas.gov/NPILookup?Npi=1467814137","1467814137")</f>
        <v>1467814137</v>
      </c>
      <c r="D4280" s="36" t="s">
        <v>36644</v>
      </c>
      <c r="E4280" s="36" t="s">
        <v>2</v>
      </c>
      <c r="F4280" s="36">
        <v>1</v>
      </c>
      <c r="G4280" s="36">
        <v>2</v>
      </c>
      <c r="H4280" s="36">
        <v>0</v>
      </c>
      <c r="I4280" s="37">
        <v>0</v>
      </c>
      <c r="J4280" s="36" t="s">
        <v>36190</v>
      </c>
      <c r="K4280" s="36" t="s">
        <v>14330</v>
      </c>
      <c r="L4280" s="36" t="s">
        <v>14330</v>
      </c>
      <c r="M4280">
        <v>2</v>
      </c>
      <c r="N4280" t="s">
        <v>14331</v>
      </c>
      <c r="O4280" t="s">
        <v>14333</v>
      </c>
    </row>
    <row r="4281" spans="1:15" x14ac:dyDescent="0.25">
      <c r="A4281" s="35" t="s">
        <v>8275</v>
      </c>
      <c r="B4281" s="36" t="s">
        <v>8276</v>
      </c>
      <c r="C4281" s="36" t="str">
        <f>HYPERLINK("https://rhld.insurance.arkansas.gov/NPILookup?Npi=1467871509","1467871509")</f>
        <v>1467871509</v>
      </c>
      <c r="D4281" s="36" t="s">
        <v>36645</v>
      </c>
      <c r="E4281" s="36" t="s">
        <v>1</v>
      </c>
      <c r="F4281" s="36">
        <v>1</v>
      </c>
      <c r="G4281" s="36">
        <v>2</v>
      </c>
      <c r="H4281" s="36">
        <v>0</v>
      </c>
      <c r="I4281" s="37">
        <v>0</v>
      </c>
      <c r="J4281" s="36" t="s">
        <v>32654</v>
      </c>
      <c r="K4281" s="36" t="s">
        <v>14330</v>
      </c>
      <c r="L4281" s="36" t="s">
        <v>14330</v>
      </c>
      <c r="M4281">
        <v>3</v>
      </c>
      <c r="N4281" t="s">
        <v>14331</v>
      </c>
      <c r="O4281" t="s">
        <v>32633</v>
      </c>
    </row>
    <row r="4282" spans="1:15" x14ac:dyDescent="0.25">
      <c r="A4282" s="35" t="s">
        <v>8275</v>
      </c>
      <c r="B4282" s="36" t="s">
        <v>8276</v>
      </c>
      <c r="C4282" s="36" t="str">
        <f>HYPERLINK("https://rhld.insurance.arkansas.gov/NPILookup?Npi=1467908970","1467908970")</f>
        <v>1467908970</v>
      </c>
      <c r="D4282" s="36" t="s">
        <v>36646</v>
      </c>
      <c r="E4282" s="36" t="s">
        <v>2</v>
      </c>
      <c r="F4282" s="36">
        <v>1</v>
      </c>
      <c r="G4282" s="36">
        <v>3</v>
      </c>
      <c r="H4282" s="36">
        <v>0</v>
      </c>
      <c r="I4282" s="37">
        <v>0</v>
      </c>
      <c r="J4282" s="36" t="s">
        <v>36190</v>
      </c>
      <c r="K4282" s="36" t="s">
        <v>14330</v>
      </c>
      <c r="L4282" s="36" t="s">
        <v>14330</v>
      </c>
      <c r="M4282">
        <v>2</v>
      </c>
      <c r="N4282" t="s">
        <v>14331</v>
      </c>
      <c r="O4282" t="s">
        <v>14333</v>
      </c>
    </row>
    <row r="4283" spans="1:15" x14ac:dyDescent="0.25">
      <c r="A4283" s="35" t="s">
        <v>8275</v>
      </c>
      <c r="B4283" s="36" t="s">
        <v>8276</v>
      </c>
      <c r="C4283" s="36" t="str">
        <f>HYPERLINK("https://rhld.insurance.arkansas.gov/NPILookup?Npi=1467909366","1467909366")</f>
        <v>1467909366</v>
      </c>
      <c r="D4283" s="36" t="s">
        <v>35482</v>
      </c>
      <c r="E4283" s="36" t="s">
        <v>2</v>
      </c>
      <c r="F4283" s="36">
        <v>1</v>
      </c>
      <c r="G4283" s="36">
        <v>2</v>
      </c>
      <c r="H4283" s="36">
        <v>0</v>
      </c>
      <c r="I4283" s="37">
        <v>0</v>
      </c>
      <c r="J4283" s="36"/>
      <c r="K4283" s="36" t="s">
        <v>14330</v>
      </c>
      <c r="L4283" s="36" t="s">
        <v>14330</v>
      </c>
      <c r="M4283">
        <v>1</v>
      </c>
      <c r="N4283" t="s">
        <v>14331</v>
      </c>
      <c r="O4283" t="s">
        <v>14333</v>
      </c>
    </row>
    <row r="4284" spans="1:15" x14ac:dyDescent="0.25">
      <c r="A4284" s="35" t="s">
        <v>8275</v>
      </c>
      <c r="B4284" s="36" t="s">
        <v>8276</v>
      </c>
      <c r="C4284" s="36" t="str">
        <f>HYPERLINK("https://rhld.insurance.arkansas.gov/NPILookup?Npi=1477065803","1477065803")</f>
        <v>1477065803</v>
      </c>
      <c r="D4284" s="36" t="s">
        <v>35484</v>
      </c>
      <c r="E4284" s="36" t="s">
        <v>2</v>
      </c>
      <c r="F4284" s="36">
        <v>1</v>
      </c>
      <c r="G4284" s="36">
        <v>1</v>
      </c>
      <c r="H4284" s="36">
        <v>0</v>
      </c>
      <c r="I4284" s="37">
        <v>0</v>
      </c>
      <c r="J4284" s="36"/>
      <c r="K4284" s="36" t="s">
        <v>14330</v>
      </c>
      <c r="L4284" s="36" t="s">
        <v>14330</v>
      </c>
      <c r="M4284">
        <v>2</v>
      </c>
      <c r="N4284" t="s">
        <v>14331</v>
      </c>
      <c r="O4284" t="s">
        <v>32633</v>
      </c>
    </row>
    <row r="4285" spans="1:15" x14ac:dyDescent="0.25">
      <c r="A4285" s="35" t="s">
        <v>8275</v>
      </c>
      <c r="B4285" s="36" t="s">
        <v>8276</v>
      </c>
      <c r="C4285" s="36" t="str">
        <f>HYPERLINK("https://rhld.insurance.arkansas.gov/NPILookup?Npi=1477127330","1477127330")</f>
        <v>1477127330</v>
      </c>
      <c r="D4285" s="36" t="s">
        <v>36647</v>
      </c>
      <c r="E4285" s="36" t="s">
        <v>2</v>
      </c>
      <c r="F4285" s="36">
        <v>1</v>
      </c>
      <c r="G4285" s="36">
        <v>2</v>
      </c>
      <c r="H4285" s="36">
        <v>0</v>
      </c>
      <c r="I4285" s="37">
        <v>0</v>
      </c>
      <c r="J4285" s="36" t="s">
        <v>36190</v>
      </c>
      <c r="K4285" s="36" t="s">
        <v>14330</v>
      </c>
      <c r="L4285" s="36" t="s">
        <v>14330</v>
      </c>
      <c r="M4285">
        <v>1</v>
      </c>
      <c r="N4285" t="s">
        <v>14331</v>
      </c>
      <c r="O4285" t="s">
        <v>14333</v>
      </c>
    </row>
    <row r="4286" spans="1:15" x14ac:dyDescent="0.25">
      <c r="A4286" s="35" t="s">
        <v>8275</v>
      </c>
      <c r="B4286" s="36" t="s">
        <v>8276</v>
      </c>
      <c r="C4286" s="36" t="str">
        <f>HYPERLINK("https://rhld.insurance.arkansas.gov/NPILookup?Npi=1477234490","1477234490")</f>
        <v>1477234490</v>
      </c>
      <c r="D4286" s="36" t="s">
        <v>35485</v>
      </c>
      <c r="E4286" s="36" t="s">
        <v>2</v>
      </c>
      <c r="F4286" s="36">
        <v>1</v>
      </c>
      <c r="G4286" s="36">
        <v>1</v>
      </c>
      <c r="H4286" s="36">
        <v>0</v>
      </c>
      <c r="I4286" s="37">
        <v>0</v>
      </c>
      <c r="J4286" s="36"/>
      <c r="K4286" s="36" t="s">
        <v>14330</v>
      </c>
      <c r="L4286" s="36" t="s">
        <v>14330</v>
      </c>
      <c r="M4286">
        <v>2</v>
      </c>
      <c r="N4286" t="s">
        <v>14331</v>
      </c>
      <c r="O4286" t="s">
        <v>32633</v>
      </c>
    </row>
    <row r="4287" spans="1:15" x14ac:dyDescent="0.25">
      <c r="A4287" s="35" t="s">
        <v>8275</v>
      </c>
      <c r="B4287" s="36" t="s">
        <v>8276</v>
      </c>
      <c r="C4287" s="36" t="str">
        <f>HYPERLINK("https://rhld.insurance.arkansas.gov/NPILookup?Npi=1477374973","1477374973")</f>
        <v>1477374973</v>
      </c>
      <c r="D4287" s="36" t="s">
        <v>34739</v>
      </c>
      <c r="E4287" s="36" t="s">
        <v>2</v>
      </c>
      <c r="F4287" s="36">
        <v>1</v>
      </c>
      <c r="G4287" s="36">
        <v>2</v>
      </c>
      <c r="H4287" s="36">
        <v>0</v>
      </c>
      <c r="I4287" s="37">
        <v>0</v>
      </c>
      <c r="J4287" s="36"/>
      <c r="K4287" s="36" t="s">
        <v>14330</v>
      </c>
      <c r="L4287" s="36" t="s">
        <v>14330</v>
      </c>
      <c r="M4287">
        <v>3</v>
      </c>
      <c r="N4287" t="s">
        <v>14331</v>
      </c>
      <c r="O4287" t="s">
        <v>14333</v>
      </c>
    </row>
    <row r="4288" spans="1:15" x14ac:dyDescent="0.25">
      <c r="A4288" s="35" t="s">
        <v>8275</v>
      </c>
      <c r="B4288" s="36" t="s">
        <v>8276</v>
      </c>
      <c r="C4288" s="36" t="str">
        <f>HYPERLINK("https://rhld.insurance.arkansas.gov/NPILookup?Npi=1477540532","1477540532")</f>
        <v>1477540532</v>
      </c>
      <c r="D4288" s="36" t="s">
        <v>36648</v>
      </c>
      <c r="E4288" s="36" t="s">
        <v>2</v>
      </c>
      <c r="F4288" s="36">
        <v>1</v>
      </c>
      <c r="G4288" s="36">
        <v>3</v>
      </c>
      <c r="H4288" s="36">
        <v>0</v>
      </c>
      <c r="I4288" s="37">
        <v>0</v>
      </c>
      <c r="J4288" s="36" t="s">
        <v>36190</v>
      </c>
      <c r="K4288" s="36" t="s">
        <v>14330</v>
      </c>
      <c r="L4288" s="36" t="s">
        <v>14330</v>
      </c>
      <c r="M4288">
        <v>3</v>
      </c>
      <c r="N4288" t="s">
        <v>14331</v>
      </c>
      <c r="O4288" t="s">
        <v>14333</v>
      </c>
    </row>
    <row r="4289" spans="1:15" x14ac:dyDescent="0.25">
      <c r="A4289" s="35" t="s">
        <v>8275</v>
      </c>
      <c r="B4289" s="36" t="s">
        <v>8276</v>
      </c>
      <c r="C4289" s="36" t="str">
        <f>HYPERLINK("https://rhld.insurance.arkansas.gov/NPILookup?Npi=1477632099","1477632099")</f>
        <v>1477632099</v>
      </c>
      <c r="D4289" s="36" t="s">
        <v>36649</v>
      </c>
      <c r="E4289" s="36" t="s">
        <v>2</v>
      </c>
      <c r="F4289" s="36">
        <v>1</v>
      </c>
      <c r="G4289" s="36">
        <v>3</v>
      </c>
      <c r="H4289" s="36">
        <v>0</v>
      </c>
      <c r="I4289" s="37">
        <v>0</v>
      </c>
      <c r="J4289" s="36" t="s">
        <v>36190</v>
      </c>
      <c r="K4289" s="36" t="s">
        <v>14330</v>
      </c>
      <c r="L4289" s="36" t="s">
        <v>14330</v>
      </c>
      <c r="M4289">
        <v>3</v>
      </c>
      <c r="N4289" t="s">
        <v>14331</v>
      </c>
      <c r="O4289" t="s">
        <v>14333</v>
      </c>
    </row>
    <row r="4290" spans="1:15" x14ac:dyDescent="0.25">
      <c r="A4290" s="35" t="s">
        <v>8275</v>
      </c>
      <c r="B4290" s="36" t="s">
        <v>8276</v>
      </c>
      <c r="C4290" s="36" t="str">
        <f>HYPERLINK("https://rhld.insurance.arkansas.gov/NPILookup?Npi=1477706836","1477706836")</f>
        <v>1477706836</v>
      </c>
      <c r="D4290" s="36" t="s">
        <v>36650</v>
      </c>
      <c r="E4290" s="36" t="s">
        <v>2</v>
      </c>
      <c r="F4290" s="36">
        <v>1</v>
      </c>
      <c r="G4290" s="36">
        <v>3</v>
      </c>
      <c r="H4290" s="36">
        <v>0</v>
      </c>
      <c r="I4290" s="37">
        <v>0</v>
      </c>
      <c r="J4290" s="36" t="s">
        <v>36190</v>
      </c>
      <c r="K4290" s="36" t="s">
        <v>14330</v>
      </c>
      <c r="L4290" s="36" t="s">
        <v>14330</v>
      </c>
      <c r="M4290">
        <v>2</v>
      </c>
      <c r="N4290" t="s">
        <v>14331</v>
      </c>
      <c r="O4290" t="s">
        <v>14333</v>
      </c>
    </row>
    <row r="4291" spans="1:15" x14ac:dyDescent="0.25">
      <c r="A4291" s="35" t="s">
        <v>8275</v>
      </c>
      <c r="B4291" s="36" t="s">
        <v>8276</v>
      </c>
      <c r="C4291" s="36" t="str">
        <f>HYPERLINK("https://rhld.insurance.arkansas.gov/NPILookup?Npi=1477782621","1477782621")</f>
        <v>1477782621</v>
      </c>
      <c r="D4291" s="36" t="s">
        <v>36651</v>
      </c>
      <c r="E4291" s="36" t="s">
        <v>2</v>
      </c>
      <c r="F4291" s="36">
        <v>1</v>
      </c>
      <c r="G4291" s="36">
        <v>2</v>
      </c>
      <c r="H4291" s="36">
        <v>0</v>
      </c>
      <c r="I4291" s="37">
        <v>0</v>
      </c>
      <c r="J4291" s="36" t="s">
        <v>36190</v>
      </c>
      <c r="K4291" s="36" t="s">
        <v>14330</v>
      </c>
      <c r="L4291" s="36" t="s">
        <v>14330</v>
      </c>
      <c r="M4291">
        <v>0</v>
      </c>
      <c r="N4291" t="s">
        <v>14331</v>
      </c>
      <c r="O4291" t="s">
        <v>14333</v>
      </c>
    </row>
    <row r="4292" spans="1:15" x14ac:dyDescent="0.25">
      <c r="A4292" s="35" t="s">
        <v>8275</v>
      </c>
      <c r="B4292" s="36" t="s">
        <v>8276</v>
      </c>
      <c r="C4292" s="36" t="str">
        <f>HYPERLINK("https://rhld.insurance.arkansas.gov/NPILookup?Npi=1477787638","1477787638")</f>
        <v>1477787638</v>
      </c>
      <c r="D4292" s="36" t="s">
        <v>36652</v>
      </c>
      <c r="E4292" s="36" t="s">
        <v>1</v>
      </c>
      <c r="F4292" s="36">
        <v>1</v>
      </c>
      <c r="G4292" s="36">
        <v>1</v>
      </c>
      <c r="H4292" s="36">
        <v>1</v>
      </c>
      <c r="I4292" s="37">
        <v>0</v>
      </c>
      <c r="J4292" s="36" t="s">
        <v>32723</v>
      </c>
      <c r="K4292" s="36" t="s">
        <v>14330</v>
      </c>
      <c r="L4292" s="36" t="s">
        <v>36271</v>
      </c>
      <c r="M4292">
        <v>3</v>
      </c>
      <c r="N4292" t="s">
        <v>14331</v>
      </c>
      <c r="O4292" t="s">
        <v>36653</v>
      </c>
    </row>
    <row r="4293" spans="1:15" x14ac:dyDescent="0.25">
      <c r="A4293" s="35" t="s">
        <v>8275</v>
      </c>
      <c r="B4293" s="36" t="s">
        <v>8276</v>
      </c>
      <c r="C4293" s="36" t="str">
        <f>HYPERLINK("https://rhld.insurance.arkansas.gov/NPILookup?Npi=1477903680","1477903680")</f>
        <v>1477903680</v>
      </c>
      <c r="D4293" s="36" t="s">
        <v>36654</v>
      </c>
      <c r="E4293" s="36" t="s">
        <v>2</v>
      </c>
      <c r="F4293" s="36">
        <v>1</v>
      </c>
      <c r="G4293" s="36">
        <v>3</v>
      </c>
      <c r="H4293" s="36">
        <v>0</v>
      </c>
      <c r="I4293" s="37">
        <v>0</v>
      </c>
      <c r="J4293" s="36" t="s">
        <v>36190</v>
      </c>
      <c r="K4293" s="36" t="s">
        <v>14330</v>
      </c>
      <c r="L4293" s="36" t="s">
        <v>14330</v>
      </c>
      <c r="M4293">
        <v>2</v>
      </c>
      <c r="N4293" t="s">
        <v>14331</v>
      </c>
      <c r="O4293" t="s">
        <v>14333</v>
      </c>
    </row>
    <row r="4294" spans="1:15" x14ac:dyDescent="0.25">
      <c r="A4294" s="35" t="s">
        <v>8275</v>
      </c>
      <c r="B4294" s="36" t="s">
        <v>8276</v>
      </c>
      <c r="C4294" s="36" t="str">
        <f>HYPERLINK("https://rhld.insurance.arkansas.gov/NPILookup?Npi=1477932242","1477932242")</f>
        <v>1477932242</v>
      </c>
      <c r="D4294" s="36" t="s">
        <v>36655</v>
      </c>
      <c r="E4294" s="36" t="s">
        <v>2</v>
      </c>
      <c r="F4294" s="36">
        <v>1</v>
      </c>
      <c r="G4294" s="36">
        <v>2</v>
      </c>
      <c r="H4294" s="36">
        <v>0</v>
      </c>
      <c r="I4294" s="37">
        <v>0</v>
      </c>
      <c r="J4294" s="36" t="s">
        <v>36190</v>
      </c>
      <c r="K4294" s="36" t="s">
        <v>14330</v>
      </c>
      <c r="L4294" s="36" t="s">
        <v>14330</v>
      </c>
      <c r="M4294">
        <v>2</v>
      </c>
      <c r="N4294" t="s">
        <v>14331</v>
      </c>
      <c r="O4294" t="s">
        <v>14333</v>
      </c>
    </row>
    <row r="4295" spans="1:15" x14ac:dyDescent="0.25">
      <c r="A4295" s="35" t="s">
        <v>8275</v>
      </c>
      <c r="B4295" s="36" t="s">
        <v>8276</v>
      </c>
      <c r="C4295" s="36" t="str">
        <f>HYPERLINK("https://rhld.insurance.arkansas.gov/NPILookup?Npi=1477933893","1477933893")</f>
        <v>1477933893</v>
      </c>
      <c r="D4295" s="36" t="s">
        <v>35494</v>
      </c>
      <c r="E4295" s="36" t="s">
        <v>2</v>
      </c>
      <c r="F4295" s="36">
        <v>1</v>
      </c>
      <c r="G4295" s="36">
        <v>2</v>
      </c>
      <c r="H4295" s="36">
        <v>0</v>
      </c>
      <c r="I4295" s="37">
        <v>0</v>
      </c>
      <c r="J4295" s="36"/>
      <c r="K4295" s="36" t="s">
        <v>14330</v>
      </c>
      <c r="L4295" s="36" t="s">
        <v>14330</v>
      </c>
      <c r="M4295">
        <v>1</v>
      </c>
      <c r="N4295" t="s">
        <v>14331</v>
      </c>
      <c r="O4295" t="s">
        <v>14333</v>
      </c>
    </row>
    <row r="4296" spans="1:15" x14ac:dyDescent="0.25">
      <c r="A4296" s="35" t="s">
        <v>8275</v>
      </c>
      <c r="B4296" s="36" t="s">
        <v>8276</v>
      </c>
      <c r="C4296" s="36" t="str">
        <f>HYPERLINK("https://rhld.insurance.arkansas.gov/NPILookup?Npi=1477996619","1477996619")</f>
        <v>1477996619</v>
      </c>
      <c r="D4296" s="36" t="s">
        <v>36656</v>
      </c>
      <c r="E4296" s="36" t="s">
        <v>1</v>
      </c>
      <c r="F4296" s="36">
        <v>1</v>
      </c>
      <c r="G4296" s="36">
        <v>2</v>
      </c>
      <c r="H4296" s="36">
        <v>1</v>
      </c>
      <c r="I4296" s="37">
        <v>0</v>
      </c>
      <c r="J4296" s="36" t="s">
        <v>32654</v>
      </c>
      <c r="K4296" s="36" t="s">
        <v>14330</v>
      </c>
      <c r="L4296" s="36" t="s">
        <v>36271</v>
      </c>
      <c r="M4296">
        <v>3</v>
      </c>
      <c r="N4296" t="s">
        <v>14332</v>
      </c>
      <c r="O4296" t="s">
        <v>32591</v>
      </c>
    </row>
    <row r="4297" spans="1:15" x14ac:dyDescent="0.25">
      <c r="A4297" s="35" t="s">
        <v>8275</v>
      </c>
      <c r="B4297" s="36" t="s">
        <v>8276</v>
      </c>
      <c r="C4297" s="36" t="str">
        <f>HYPERLINK("https://rhld.insurance.arkansas.gov/NPILookup?Npi=1487020855","1487020855")</f>
        <v>1487020855</v>
      </c>
      <c r="D4297" s="36" t="s">
        <v>36657</v>
      </c>
      <c r="E4297" s="36" t="s">
        <v>2</v>
      </c>
      <c r="F4297" s="36">
        <v>1</v>
      </c>
      <c r="G4297" s="36">
        <v>3</v>
      </c>
      <c r="H4297" s="36">
        <v>0</v>
      </c>
      <c r="I4297" s="37">
        <v>0</v>
      </c>
      <c r="J4297" s="36" t="s">
        <v>36190</v>
      </c>
      <c r="K4297" s="36" t="s">
        <v>14330</v>
      </c>
      <c r="L4297" s="36" t="s">
        <v>14330</v>
      </c>
      <c r="M4297">
        <v>2</v>
      </c>
      <c r="N4297" t="s">
        <v>14331</v>
      </c>
      <c r="O4297" t="s">
        <v>14333</v>
      </c>
    </row>
    <row r="4298" spans="1:15" x14ac:dyDescent="0.25">
      <c r="A4298" s="35" t="s">
        <v>8275</v>
      </c>
      <c r="B4298" s="36" t="s">
        <v>8276</v>
      </c>
      <c r="C4298" s="36" t="str">
        <f>HYPERLINK("https://rhld.insurance.arkansas.gov/NPILookup?Npi=1487049953","1487049953")</f>
        <v>1487049953</v>
      </c>
      <c r="D4298" s="36" t="s">
        <v>36658</v>
      </c>
      <c r="E4298" s="36" t="s">
        <v>2</v>
      </c>
      <c r="F4298" s="36">
        <v>1</v>
      </c>
      <c r="G4298" s="36">
        <v>2</v>
      </c>
      <c r="H4298" s="36">
        <v>0</v>
      </c>
      <c r="I4298" s="37">
        <v>0</v>
      </c>
      <c r="J4298" s="36" t="s">
        <v>36190</v>
      </c>
      <c r="K4298" s="36" t="s">
        <v>14330</v>
      </c>
      <c r="L4298" s="36" t="s">
        <v>14330</v>
      </c>
      <c r="M4298">
        <v>2</v>
      </c>
      <c r="N4298" t="s">
        <v>14331</v>
      </c>
      <c r="O4298" t="s">
        <v>14333</v>
      </c>
    </row>
    <row r="4299" spans="1:15" x14ac:dyDescent="0.25">
      <c r="A4299" s="35" t="s">
        <v>8275</v>
      </c>
      <c r="B4299" s="36" t="s">
        <v>8276</v>
      </c>
      <c r="C4299" s="36" t="str">
        <f>HYPERLINK("https://rhld.insurance.arkansas.gov/NPILookup?Npi=1487141420","1487141420")</f>
        <v>1487141420</v>
      </c>
      <c r="D4299" s="36" t="s">
        <v>36659</v>
      </c>
      <c r="E4299" s="36" t="s">
        <v>1</v>
      </c>
      <c r="F4299" s="36">
        <v>1</v>
      </c>
      <c r="G4299" s="36">
        <v>2</v>
      </c>
      <c r="H4299" s="36">
        <v>0</v>
      </c>
      <c r="I4299" s="37">
        <v>0</v>
      </c>
      <c r="J4299" s="36" t="s">
        <v>32654</v>
      </c>
      <c r="K4299" s="36" t="s">
        <v>14330</v>
      </c>
      <c r="L4299" s="36" t="s">
        <v>14330</v>
      </c>
      <c r="M4299">
        <v>2</v>
      </c>
      <c r="N4299" t="s">
        <v>14331</v>
      </c>
      <c r="O4299" t="s">
        <v>32633</v>
      </c>
    </row>
    <row r="4300" spans="1:15" x14ac:dyDescent="0.25">
      <c r="A4300" s="35" t="s">
        <v>8275</v>
      </c>
      <c r="B4300" s="36" t="s">
        <v>8276</v>
      </c>
      <c r="C4300" s="36" t="str">
        <f>HYPERLINK("https://rhld.insurance.arkansas.gov/NPILookup?Npi=1487223699","1487223699")</f>
        <v>1487223699</v>
      </c>
      <c r="D4300" s="36" t="s">
        <v>35500</v>
      </c>
      <c r="E4300" s="36" t="s">
        <v>2</v>
      </c>
      <c r="F4300" s="36">
        <v>1</v>
      </c>
      <c r="G4300" s="36">
        <v>2</v>
      </c>
      <c r="H4300" s="36">
        <v>0</v>
      </c>
      <c r="I4300" s="37">
        <v>0</v>
      </c>
      <c r="J4300" s="36"/>
      <c r="K4300" s="36" t="s">
        <v>14330</v>
      </c>
      <c r="L4300" s="36" t="s">
        <v>14330</v>
      </c>
      <c r="M4300">
        <v>1</v>
      </c>
      <c r="N4300" t="s">
        <v>14331</v>
      </c>
      <c r="O4300" t="s">
        <v>14333</v>
      </c>
    </row>
    <row r="4301" spans="1:15" x14ac:dyDescent="0.25">
      <c r="A4301" s="35" t="s">
        <v>8275</v>
      </c>
      <c r="B4301" s="36" t="s">
        <v>8276</v>
      </c>
      <c r="C4301" s="36" t="str">
        <f>HYPERLINK("https://rhld.insurance.arkansas.gov/NPILookup?Npi=1487269080","1487269080")</f>
        <v>1487269080</v>
      </c>
      <c r="D4301" s="36" t="s">
        <v>34136</v>
      </c>
      <c r="E4301" s="36" t="s">
        <v>2</v>
      </c>
      <c r="F4301" s="36">
        <v>1</v>
      </c>
      <c r="G4301" s="36">
        <v>1</v>
      </c>
      <c r="H4301" s="36">
        <v>0</v>
      </c>
      <c r="I4301" s="37">
        <v>0</v>
      </c>
      <c r="J4301" s="36"/>
      <c r="K4301" s="36" t="s">
        <v>14330</v>
      </c>
      <c r="L4301" s="36" t="s">
        <v>14330</v>
      </c>
      <c r="M4301">
        <v>3</v>
      </c>
      <c r="N4301" t="s">
        <v>14331</v>
      </c>
      <c r="O4301" t="s">
        <v>32633</v>
      </c>
    </row>
    <row r="4302" spans="1:15" x14ac:dyDescent="0.25">
      <c r="A4302" s="35" t="s">
        <v>8275</v>
      </c>
      <c r="B4302" s="36" t="s">
        <v>8276</v>
      </c>
      <c r="C4302" s="36" t="str">
        <f>HYPERLINK("https://rhld.insurance.arkansas.gov/NPILookup?Npi=1487271201","1487271201")</f>
        <v>1487271201</v>
      </c>
      <c r="D4302" s="36" t="s">
        <v>36660</v>
      </c>
      <c r="E4302" s="36" t="s">
        <v>2</v>
      </c>
      <c r="F4302" s="36">
        <v>1</v>
      </c>
      <c r="G4302" s="36">
        <v>3</v>
      </c>
      <c r="H4302" s="36">
        <v>0</v>
      </c>
      <c r="I4302" s="37">
        <v>0</v>
      </c>
      <c r="J4302" s="36" t="s">
        <v>36190</v>
      </c>
      <c r="K4302" s="36" t="s">
        <v>14330</v>
      </c>
      <c r="L4302" s="36" t="s">
        <v>14330</v>
      </c>
      <c r="M4302">
        <v>2</v>
      </c>
      <c r="N4302" t="s">
        <v>14331</v>
      </c>
      <c r="O4302" t="s">
        <v>14333</v>
      </c>
    </row>
    <row r="4303" spans="1:15" x14ac:dyDescent="0.25">
      <c r="A4303" s="35" t="s">
        <v>8275</v>
      </c>
      <c r="B4303" s="36" t="s">
        <v>8276</v>
      </c>
      <c r="C4303" s="36" t="str">
        <f>HYPERLINK("https://rhld.insurance.arkansas.gov/NPILookup?Npi=1487282125","1487282125")</f>
        <v>1487282125</v>
      </c>
      <c r="D4303" s="36" t="s">
        <v>36661</v>
      </c>
      <c r="E4303" s="36" t="s">
        <v>2</v>
      </c>
      <c r="F4303" s="36">
        <v>1</v>
      </c>
      <c r="G4303" s="36">
        <v>2</v>
      </c>
      <c r="H4303" s="36">
        <v>0</v>
      </c>
      <c r="I4303" s="37">
        <v>0</v>
      </c>
      <c r="J4303" s="36" t="s">
        <v>36190</v>
      </c>
      <c r="K4303" s="36" t="s">
        <v>14330</v>
      </c>
      <c r="L4303" s="36" t="s">
        <v>14330</v>
      </c>
      <c r="M4303">
        <v>2</v>
      </c>
      <c r="N4303" t="s">
        <v>14331</v>
      </c>
      <c r="O4303" t="s">
        <v>14333</v>
      </c>
    </row>
    <row r="4304" spans="1:15" x14ac:dyDescent="0.25">
      <c r="A4304" s="35" t="s">
        <v>8275</v>
      </c>
      <c r="B4304" s="36" t="s">
        <v>8276</v>
      </c>
      <c r="C4304" s="36" t="str">
        <f>HYPERLINK("https://rhld.insurance.arkansas.gov/NPILookup?Npi=1487367694","1487367694")</f>
        <v>1487367694</v>
      </c>
      <c r="D4304" s="36" t="s">
        <v>36662</v>
      </c>
      <c r="E4304" s="36" t="s">
        <v>2</v>
      </c>
      <c r="F4304" s="36">
        <v>1</v>
      </c>
      <c r="G4304" s="36">
        <v>2</v>
      </c>
      <c r="H4304" s="36">
        <v>0</v>
      </c>
      <c r="I4304" s="37">
        <v>0</v>
      </c>
      <c r="J4304" s="36" t="s">
        <v>36190</v>
      </c>
      <c r="K4304" s="36" t="s">
        <v>14330</v>
      </c>
      <c r="L4304" s="36" t="s">
        <v>14330</v>
      </c>
      <c r="M4304">
        <v>1</v>
      </c>
      <c r="N4304" t="s">
        <v>14331</v>
      </c>
      <c r="O4304" t="s">
        <v>14333</v>
      </c>
    </row>
    <row r="4305" spans="1:15" x14ac:dyDescent="0.25">
      <c r="A4305" s="35" t="s">
        <v>8275</v>
      </c>
      <c r="B4305" s="36" t="s">
        <v>8276</v>
      </c>
      <c r="C4305" s="36" t="str">
        <f>HYPERLINK("https://rhld.insurance.arkansas.gov/NPILookup?Npi=1487391306","1487391306")</f>
        <v>1487391306</v>
      </c>
      <c r="D4305" s="36" t="s">
        <v>35504</v>
      </c>
      <c r="E4305" s="36" t="s">
        <v>2</v>
      </c>
      <c r="F4305" s="36">
        <v>1</v>
      </c>
      <c r="G4305" s="36">
        <v>1</v>
      </c>
      <c r="H4305" s="36">
        <v>0</v>
      </c>
      <c r="I4305" s="37">
        <v>0</v>
      </c>
      <c r="J4305" s="36"/>
      <c r="K4305" s="36" t="s">
        <v>14330</v>
      </c>
      <c r="L4305" s="36" t="s">
        <v>14330</v>
      </c>
      <c r="M4305">
        <v>3</v>
      </c>
      <c r="N4305" t="s">
        <v>14331</v>
      </c>
      <c r="O4305" t="s">
        <v>32633</v>
      </c>
    </row>
    <row r="4306" spans="1:15" x14ac:dyDescent="0.25">
      <c r="A4306" s="35" t="s">
        <v>8275</v>
      </c>
      <c r="B4306" s="36" t="s">
        <v>8276</v>
      </c>
      <c r="C4306" s="36" t="str">
        <f>HYPERLINK("https://rhld.insurance.arkansas.gov/NPILookup?Npi=1487602470","1487602470")</f>
        <v>1487602470</v>
      </c>
      <c r="D4306" s="36" t="s">
        <v>36663</v>
      </c>
      <c r="E4306" s="36" t="s">
        <v>2</v>
      </c>
      <c r="F4306" s="36">
        <v>1</v>
      </c>
      <c r="G4306" s="36">
        <v>3</v>
      </c>
      <c r="H4306" s="36">
        <v>0</v>
      </c>
      <c r="I4306" s="37">
        <v>0</v>
      </c>
      <c r="J4306" s="36" t="s">
        <v>36190</v>
      </c>
      <c r="K4306" s="36" t="s">
        <v>14330</v>
      </c>
      <c r="L4306" s="36" t="s">
        <v>14330</v>
      </c>
      <c r="M4306">
        <v>3</v>
      </c>
      <c r="N4306" t="s">
        <v>14331</v>
      </c>
      <c r="O4306" t="s">
        <v>14333</v>
      </c>
    </row>
    <row r="4307" spans="1:15" x14ac:dyDescent="0.25">
      <c r="A4307" s="35" t="s">
        <v>8275</v>
      </c>
      <c r="B4307" s="36" t="s">
        <v>8276</v>
      </c>
      <c r="C4307" s="36" t="str">
        <f>HYPERLINK("https://rhld.insurance.arkansas.gov/NPILookup?Npi=1487624896","1487624896")</f>
        <v>1487624896</v>
      </c>
      <c r="D4307" s="36" t="s">
        <v>36664</v>
      </c>
      <c r="E4307" s="36" t="s">
        <v>2</v>
      </c>
      <c r="F4307" s="36">
        <v>1</v>
      </c>
      <c r="G4307" s="36">
        <v>3</v>
      </c>
      <c r="H4307" s="36">
        <v>0</v>
      </c>
      <c r="I4307" s="37">
        <v>0</v>
      </c>
      <c r="J4307" s="36" t="s">
        <v>36190</v>
      </c>
      <c r="K4307" s="36" t="s">
        <v>14330</v>
      </c>
      <c r="L4307" s="36" t="s">
        <v>14330</v>
      </c>
      <c r="M4307">
        <v>3</v>
      </c>
      <c r="N4307" t="s">
        <v>14331</v>
      </c>
      <c r="O4307" t="s">
        <v>14333</v>
      </c>
    </row>
    <row r="4308" spans="1:15" x14ac:dyDescent="0.25">
      <c r="A4308" s="35" t="s">
        <v>8275</v>
      </c>
      <c r="B4308" s="36" t="s">
        <v>8276</v>
      </c>
      <c r="C4308" s="36" t="str">
        <f>HYPERLINK("https://rhld.insurance.arkansas.gov/NPILookup?Npi=1487651931","1487651931")</f>
        <v>1487651931</v>
      </c>
      <c r="D4308" s="36" t="s">
        <v>36665</v>
      </c>
      <c r="E4308" s="36" t="s">
        <v>2</v>
      </c>
      <c r="F4308" s="36">
        <v>1</v>
      </c>
      <c r="G4308" s="36">
        <v>3</v>
      </c>
      <c r="H4308" s="36">
        <v>0</v>
      </c>
      <c r="I4308" s="37">
        <v>0</v>
      </c>
      <c r="J4308" s="36" t="s">
        <v>36190</v>
      </c>
      <c r="K4308" s="36" t="s">
        <v>14330</v>
      </c>
      <c r="L4308" s="36" t="s">
        <v>14330</v>
      </c>
      <c r="M4308">
        <v>0</v>
      </c>
      <c r="N4308" t="s">
        <v>14331</v>
      </c>
      <c r="O4308" t="s">
        <v>14333</v>
      </c>
    </row>
    <row r="4309" spans="1:15" x14ac:dyDescent="0.25">
      <c r="A4309" s="35" t="s">
        <v>8275</v>
      </c>
      <c r="B4309" s="36" t="s">
        <v>8276</v>
      </c>
      <c r="C4309" s="36" t="str">
        <f>HYPERLINK("https://rhld.insurance.arkansas.gov/NPILookup?Npi=1487744041","1487744041")</f>
        <v>1487744041</v>
      </c>
      <c r="D4309" s="36" t="s">
        <v>36666</v>
      </c>
      <c r="E4309" s="36" t="s">
        <v>1</v>
      </c>
      <c r="F4309" s="36">
        <v>1</v>
      </c>
      <c r="G4309" s="36">
        <v>1</v>
      </c>
      <c r="H4309" s="36">
        <v>1</v>
      </c>
      <c r="I4309" s="37">
        <v>0</v>
      </c>
      <c r="J4309" s="36" t="s">
        <v>32654</v>
      </c>
      <c r="K4309" s="36" t="s">
        <v>14330</v>
      </c>
      <c r="L4309" s="36" t="s">
        <v>36271</v>
      </c>
      <c r="M4309">
        <v>3</v>
      </c>
      <c r="N4309" t="s">
        <v>14332</v>
      </c>
      <c r="O4309" t="s">
        <v>32591</v>
      </c>
    </row>
    <row r="4310" spans="1:15" x14ac:dyDescent="0.25">
      <c r="A4310" s="35" t="s">
        <v>8275</v>
      </c>
      <c r="B4310" s="36" t="s">
        <v>8276</v>
      </c>
      <c r="C4310" s="36" t="str">
        <f>HYPERLINK("https://rhld.insurance.arkansas.gov/NPILookup?Npi=1487903936","1487903936")</f>
        <v>1487903936</v>
      </c>
      <c r="D4310" s="36" t="s">
        <v>36667</v>
      </c>
      <c r="E4310" s="36" t="s">
        <v>2</v>
      </c>
      <c r="F4310" s="36">
        <v>1</v>
      </c>
      <c r="G4310" s="36">
        <v>3</v>
      </c>
      <c r="H4310" s="36">
        <v>0</v>
      </c>
      <c r="I4310" s="37">
        <v>0</v>
      </c>
      <c r="J4310" s="36" t="s">
        <v>36190</v>
      </c>
      <c r="K4310" s="36" t="s">
        <v>14330</v>
      </c>
      <c r="L4310" s="36" t="s">
        <v>14330</v>
      </c>
      <c r="M4310">
        <v>1</v>
      </c>
      <c r="N4310" t="s">
        <v>14331</v>
      </c>
      <c r="O4310" t="s">
        <v>14333</v>
      </c>
    </row>
    <row r="4311" spans="1:15" x14ac:dyDescent="0.25">
      <c r="A4311" s="35" t="s">
        <v>8275</v>
      </c>
      <c r="B4311" s="36" t="s">
        <v>8276</v>
      </c>
      <c r="C4311" s="36" t="str">
        <f>HYPERLINK("https://rhld.insurance.arkansas.gov/NPILookup?Npi=1497040299","1497040299")</f>
        <v>1497040299</v>
      </c>
      <c r="D4311" s="36" t="s">
        <v>36668</v>
      </c>
      <c r="E4311" s="36" t="s">
        <v>1</v>
      </c>
      <c r="F4311" s="36">
        <v>1</v>
      </c>
      <c r="G4311" s="36">
        <v>1</v>
      </c>
      <c r="H4311" s="36">
        <v>0</v>
      </c>
      <c r="I4311" s="37">
        <v>0</v>
      </c>
      <c r="J4311" s="36" t="s">
        <v>32654</v>
      </c>
      <c r="K4311" s="36" t="s">
        <v>14330</v>
      </c>
      <c r="L4311" s="36" t="s">
        <v>14330</v>
      </c>
      <c r="M4311">
        <v>2</v>
      </c>
      <c r="N4311" t="s">
        <v>14331</v>
      </c>
      <c r="O4311" t="s">
        <v>32633</v>
      </c>
    </row>
    <row r="4312" spans="1:15" x14ac:dyDescent="0.25">
      <c r="A4312" s="35" t="s">
        <v>8275</v>
      </c>
      <c r="B4312" s="36" t="s">
        <v>8276</v>
      </c>
      <c r="C4312" s="36" t="str">
        <f>HYPERLINK("https://rhld.insurance.arkansas.gov/NPILookup?Npi=1497144901","1497144901")</f>
        <v>1497144901</v>
      </c>
      <c r="D4312" s="36" t="s">
        <v>35516</v>
      </c>
      <c r="E4312" s="36" t="s">
        <v>2</v>
      </c>
      <c r="F4312" s="36">
        <v>1</v>
      </c>
      <c r="G4312" s="36">
        <v>2</v>
      </c>
      <c r="H4312" s="36">
        <v>0</v>
      </c>
      <c r="I4312" s="37">
        <v>0</v>
      </c>
      <c r="J4312" s="36"/>
      <c r="K4312" s="36" t="s">
        <v>14330</v>
      </c>
      <c r="L4312" s="36" t="s">
        <v>14330</v>
      </c>
      <c r="M4312">
        <v>1</v>
      </c>
      <c r="N4312" t="s">
        <v>14331</v>
      </c>
      <c r="O4312" t="s">
        <v>14333</v>
      </c>
    </row>
    <row r="4313" spans="1:15" x14ac:dyDescent="0.25">
      <c r="A4313" s="35" t="s">
        <v>8275</v>
      </c>
      <c r="B4313" s="36" t="s">
        <v>8276</v>
      </c>
      <c r="C4313" s="36" t="str">
        <f>HYPERLINK("https://rhld.insurance.arkansas.gov/NPILookup?Npi=1497198865","1497198865")</f>
        <v>1497198865</v>
      </c>
      <c r="D4313" s="36" t="s">
        <v>35518</v>
      </c>
      <c r="E4313" s="36" t="s">
        <v>1</v>
      </c>
      <c r="F4313" s="36">
        <v>1</v>
      </c>
      <c r="G4313" s="36">
        <v>1</v>
      </c>
      <c r="H4313" s="36">
        <v>0</v>
      </c>
      <c r="I4313" s="37">
        <v>0</v>
      </c>
      <c r="J4313" s="36" t="s">
        <v>32654</v>
      </c>
      <c r="K4313" s="36" t="s">
        <v>14330</v>
      </c>
      <c r="L4313" s="36" t="s">
        <v>14330</v>
      </c>
      <c r="M4313">
        <v>3</v>
      </c>
      <c r="N4313" t="s">
        <v>14331</v>
      </c>
      <c r="O4313" t="s">
        <v>32633</v>
      </c>
    </row>
    <row r="4314" spans="1:15" x14ac:dyDescent="0.25">
      <c r="A4314" s="35" t="s">
        <v>8275</v>
      </c>
      <c r="B4314" s="36" t="s">
        <v>8276</v>
      </c>
      <c r="C4314" s="36" t="str">
        <f>HYPERLINK("https://rhld.insurance.arkansas.gov/NPILookup?Npi=1497218721","1497218721")</f>
        <v>1497218721</v>
      </c>
      <c r="D4314" s="36" t="s">
        <v>36669</v>
      </c>
      <c r="E4314" s="36" t="s">
        <v>2</v>
      </c>
      <c r="F4314" s="36">
        <v>1</v>
      </c>
      <c r="G4314" s="36">
        <v>3</v>
      </c>
      <c r="H4314" s="36">
        <v>0</v>
      </c>
      <c r="I4314" s="37">
        <v>0</v>
      </c>
      <c r="J4314" s="36" t="s">
        <v>36190</v>
      </c>
      <c r="K4314" s="36" t="s">
        <v>14330</v>
      </c>
      <c r="L4314" s="36" t="s">
        <v>14330</v>
      </c>
      <c r="M4314">
        <v>3</v>
      </c>
      <c r="N4314" t="s">
        <v>14331</v>
      </c>
      <c r="O4314" t="s">
        <v>14333</v>
      </c>
    </row>
    <row r="4315" spans="1:15" x14ac:dyDescent="0.25">
      <c r="A4315" s="35" t="s">
        <v>8275</v>
      </c>
      <c r="B4315" s="36" t="s">
        <v>8276</v>
      </c>
      <c r="C4315" s="36" t="str">
        <f>HYPERLINK("https://rhld.insurance.arkansas.gov/NPILookup?Npi=1497284475","1497284475")</f>
        <v>1497284475</v>
      </c>
      <c r="D4315" s="36" t="s">
        <v>36670</v>
      </c>
      <c r="E4315" s="36" t="s">
        <v>2</v>
      </c>
      <c r="F4315" s="36">
        <v>1</v>
      </c>
      <c r="G4315" s="36">
        <v>3</v>
      </c>
      <c r="H4315" s="36">
        <v>0</v>
      </c>
      <c r="I4315" s="37">
        <v>0</v>
      </c>
      <c r="J4315" s="36" t="s">
        <v>36190</v>
      </c>
      <c r="K4315" s="36" t="s">
        <v>14330</v>
      </c>
      <c r="L4315" s="36" t="s">
        <v>14330</v>
      </c>
      <c r="M4315">
        <v>2</v>
      </c>
      <c r="N4315" t="s">
        <v>14331</v>
      </c>
      <c r="O4315" t="s">
        <v>14333</v>
      </c>
    </row>
    <row r="4316" spans="1:15" x14ac:dyDescent="0.25">
      <c r="A4316" s="35" t="s">
        <v>8275</v>
      </c>
      <c r="B4316" s="36" t="s">
        <v>8276</v>
      </c>
      <c r="C4316" s="36" t="str">
        <f>HYPERLINK("https://rhld.insurance.arkansas.gov/NPILookup?Npi=1497315527","1497315527")</f>
        <v>1497315527</v>
      </c>
      <c r="D4316" s="36" t="s">
        <v>36671</v>
      </c>
      <c r="E4316" s="36" t="s">
        <v>2</v>
      </c>
      <c r="F4316" s="36">
        <v>1</v>
      </c>
      <c r="G4316" s="36">
        <v>2</v>
      </c>
      <c r="H4316" s="36">
        <v>0</v>
      </c>
      <c r="I4316" s="37">
        <v>0</v>
      </c>
      <c r="J4316" s="36" t="s">
        <v>36190</v>
      </c>
      <c r="K4316" s="36" t="s">
        <v>14330</v>
      </c>
      <c r="L4316" s="36" t="s">
        <v>14330</v>
      </c>
      <c r="M4316">
        <v>2</v>
      </c>
      <c r="N4316" t="s">
        <v>14331</v>
      </c>
      <c r="O4316" t="s">
        <v>14333</v>
      </c>
    </row>
    <row r="4317" spans="1:15" x14ac:dyDescent="0.25">
      <c r="A4317" s="35" t="s">
        <v>8275</v>
      </c>
      <c r="B4317" s="36" t="s">
        <v>8276</v>
      </c>
      <c r="C4317" s="36" t="str">
        <f>HYPERLINK("https://rhld.insurance.arkansas.gov/NPILookup?Npi=1497325997","1497325997")</f>
        <v>1497325997</v>
      </c>
      <c r="D4317" s="36" t="s">
        <v>36672</v>
      </c>
      <c r="E4317" s="36" t="s">
        <v>2</v>
      </c>
      <c r="F4317" s="36">
        <v>1</v>
      </c>
      <c r="G4317" s="36">
        <v>2</v>
      </c>
      <c r="H4317" s="36">
        <v>0</v>
      </c>
      <c r="I4317" s="37">
        <v>0</v>
      </c>
      <c r="J4317" s="36" t="s">
        <v>36190</v>
      </c>
      <c r="K4317" s="36" t="s">
        <v>14330</v>
      </c>
      <c r="L4317" s="36" t="s">
        <v>14330</v>
      </c>
      <c r="M4317">
        <v>3</v>
      </c>
      <c r="N4317" t="s">
        <v>14331</v>
      </c>
      <c r="O4317" t="s">
        <v>14333</v>
      </c>
    </row>
    <row r="4318" spans="1:15" x14ac:dyDescent="0.25">
      <c r="A4318" s="35" t="s">
        <v>8275</v>
      </c>
      <c r="B4318" s="36" t="s">
        <v>8276</v>
      </c>
      <c r="C4318" s="36" t="str">
        <f>HYPERLINK("https://rhld.insurance.arkansas.gov/NPILookup?Npi=1497332696","1497332696")</f>
        <v>1497332696</v>
      </c>
      <c r="D4318" s="36" t="s">
        <v>36673</v>
      </c>
      <c r="E4318" s="36" t="s">
        <v>2</v>
      </c>
      <c r="F4318" s="36">
        <v>1</v>
      </c>
      <c r="G4318" s="36">
        <v>3</v>
      </c>
      <c r="H4318" s="36">
        <v>0</v>
      </c>
      <c r="I4318" s="37">
        <v>0</v>
      </c>
      <c r="J4318" s="36" t="s">
        <v>36190</v>
      </c>
      <c r="K4318" s="36" t="s">
        <v>14330</v>
      </c>
      <c r="L4318" s="36" t="s">
        <v>14330</v>
      </c>
      <c r="M4318">
        <v>2</v>
      </c>
      <c r="N4318" t="s">
        <v>14331</v>
      </c>
      <c r="O4318" t="s">
        <v>14333</v>
      </c>
    </row>
    <row r="4319" spans="1:15" x14ac:dyDescent="0.25">
      <c r="A4319" s="35" t="s">
        <v>8275</v>
      </c>
      <c r="B4319" s="36" t="s">
        <v>8276</v>
      </c>
      <c r="C4319" s="36" t="str">
        <f>HYPERLINK("https://rhld.insurance.arkansas.gov/NPILookup?Npi=1497337919","1497337919")</f>
        <v>1497337919</v>
      </c>
      <c r="D4319" s="36" t="s">
        <v>36674</v>
      </c>
      <c r="E4319" s="36" t="s">
        <v>2</v>
      </c>
      <c r="F4319" s="36">
        <v>1</v>
      </c>
      <c r="G4319" s="36">
        <v>2</v>
      </c>
      <c r="H4319" s="36">
        <v>0</v>
      </c>
      <c r="I4319" s="37">
        <v>0</v>
      </c>
      <c r="J4319" s="36"/>
      <c r="K4319" s="36" t="s">
        <v>14330</v>
      </c>
      <c r="L4319" s="36" t="s">
        <v>14330</v>
      </c>
      <c r="M4319">
        <v>2</v>
      </c>
      <c r="N4319" t="s">
        <v>14331</v>
      </c>
      <c r="O4319" t="s">
        <v>14333</v>
      </c>
    </row>
    <row r="4320" spans="1:15" x14ac:dyDescent="0.25">
      <c r="A4320" s="35" t="s">
        <v>8275</v>
      </c>
      <c r="B4320" s="36" t="s">
        <v>8276</v>
      </c>
      <c r="C4320" s="36" t="str">
        <f>HYPERLINK("https://rhld.insurance.arkansas.gov/NPILookup?Npi=1497493290","1497493290")</f>
        <v>1497493290</v>
      </c>
      <c r="D4320" s="36" t="s">
        <v>35527</v>
      </c>
      <c r="E4320" s="36" t="s">
        <v>2</v>
      </c>
      <c r="F4320" s="36">
        <v>1</v>
      </c>
      <c r="G4320" s="36">
        <v>2</v>
      </c>
      <c r="H4320" s="36">
        <v>0</v>
      </c>
      <c r="I4320" s="37">
        <v>0</v>
      </c>
      <c r="J4320" s="36"/>
      <c r="K4320" s="36" t="s">
        <v>14330</v>
      </c>
      <c r="L4320" s="36" t="s">
        <v>14330</v>
      </c>
      <c r="M4320">
        <v>2</v>
      </c>
      <c r="N4320" t="s">
        <v>14331</v>
      </c>
      <c r="O4320" t="s">
        <v>14333</v>
      </c>
    </row>
    <row r="4321" spans="1:15" x14ac:dyDescent="0.25">
      <c r="A4321" s="35" t="s">
        <v>8275</v>
      </c>
      <c r="B4321" s="36" t="s">
        <v>8276</v>
      </c>
      <c r="C4321" s="36" t="str">
        <f>HYPERLINK("https://rhld.insurance.arkansas.gov/NPILookup?Npi=1497562326","1497562326")</f>
        <v>1497562326</v>
      </c>
      <c r="D4321" s="36" t="s">
        <v>35528</v>
      </c>
      <c r="E4321" s="36" t="s">
        <v>2</v>
      </c>
      <c r="F4321" s="36">
        <v>1</v>
      </c>
      <c r="G4321" s="36">
        <v>2</v>
      </c>
      <c r="H4321" s="36">
        <v>0</v>
      </c>
      <c r="I4321" s="37">
        <v>0</v>
      </c>
      <c r="J4321" s="36"/>
      <c r="K4321" s="36" t="s">
        <v>14330</v>
      </c>
      <c r="L4321" s="36" t="s">
        <v>14330</v>
      </c>
      <c r="M4321">
        <v>1</v>
      </c>
      <c r="N4321" t="s">
        <v>14331</v>
      </c>
      <c r="O4321" t="s">
        <v>14333</v>
      </c>
    </row>
    <row r="4322" spans="1:15" x14ac:dyDescent="0.25">
      <c r="A4322" s="35" t="s">
        <v>8275</v>
      </c>
      <c r="B4322" s="36" t="s">
        <v>8276</v>
      </c>
      <c r="C4322" s="36" t="str">
        <f>HYPERLINK("https://rhld.insurance.arkansas.gov/NPILookup?Npi=1497564538","1497564538")</f>
        <v>1497564538</v>
      </c>
      <c r="D4322" s="36" t="s">
        <v>35529</v>
      </c>
      <c r="E4322" s="36" t="s">
        <v>2</v>
      </c>
      <c r="F4322" s="36">
        <v>1</v>
      </c>
      <c r="G4322" s="36">
        <v>1</v>
      </c>
      <c r="H4322" s="36">
        <v>0</v>
      </c>
      <c r="I4322" s="37">
        <v>0</v>
      </c>
      <c r="J4322" s="36"/>
      <c r="K4322" s="36" t="s">
        <v>14330</v>
      </c>
      <c r="L4322" s="36" t="s">
        <v>14330</v>
      </c>
      <c r="M4322">
        <v>3</v>
      </c>
      <c r="N4322" t="s">
        <v>14331</v>
      </c>
      <c r="O4322" t="s">
        <v>32633</v>
      </c>
    </row>
    <row r="4323" spans="1:15" x14ac:dyDescent="0.25">
      <c r="A4323" s="35" t="s">
        <v>8275</v>
      </c>
      <c r="B4323" s="36" t="s">
        <v>8276</v>
      </c>
      <c r="C4323" s="36" t="str">
        <f>HYPERLINK("https://rhld.insurance.arkansas.gov/NPILookup?Npi=1497701130","1497701130")</f>
        <v>1497701130</v>
      </c>
      <c r="D4323" s="36" t="s">
        <v>36675</v>
      </c>
      <c r="E4323" s="36" t="s">
        <v>2</v>
      </c>
      <c r="F4323" s="36">
        <v>1</v>
      </c>
      <c r="G4323" s="36">
        <v>3</v>
      </c>
      <c r="H4323" s="36">
        <v>0</v>
      </c>
      <c r="I4323" s="37">
        <v>0</v>
      </c>
      <c r="J4323" s="36" t="s">
        <v>36190</v>
      </c>
      <c r="K4323" s="36" t="s">
        <v>14330</v>
      </c>
      <c r="L4323" s="36" t="s">
        <v>14330</v>
      </c>
      <c r="M4323">
        <v>2</v>
      </c>
      <c r="N4323" t="s">
        <v>14331</v>
      </c>
      <c r="O4323" t="s">
        <v>14333</v>
      </c>
    </row>
    <row r="4324" spans="1:15" x14ac:dyDescent="0.25">
      <c r="A4324" s="35" t="s">
        <v>8275</v>
      </c>
      <c r="B4324" s="36" t="s">
        <v>8276</v>
      </c>
      <c r="C4324" s="36" t="str">
        <f>HYPERLINK("https://rhld.insurance.arkansas.gov/NPILookup?Npi=1497702823","1497702823")</f>
        <v>1497702823</v>
      </c>
      <c r="D4324" s="36" t="s">
        <v>36676</v>
      </c>
      <c r="E4324" s="36" t="s">
        <v>2</v>
      </c>
      <c r="F4324" s="36">
        <v>1</v>
      </c>
      <c r="G4324" s="36">
        <v>2</v>
      </c>
      <c r="H4324" s="36">
        <v>0</v>
      </c>
      <c r="I4324" s="37">
        <v>0</v>
      </c>
      <c r="J4324" s="36" t="s">
        <v>36190</v>
      </c>
      <c r="K4324" s="36" t="s">
        <v>14330</v>
      </c>
      <c r="L4324" s="36" t="s">
        <v>14330</v>
      </c>
      <c r="M4324">
        <v>2</v>
      </c>
      <c r="N4324" t="s">
        <v>14331</v>
      </c>
      <c r="O4324" t="s">
        <v>14333</v>
      </c>
    </row>
    <row r="4325" spans="1:15" x14ac:dyDescent="0.25">
      <c r="A4325" s="35" t="s">
        <v>8275</v>
      </c>
      <c r="B4325" s="36" t="s">
        <v>8276</v>
      </c>
      <c r="C4325" s="36" t="str">
        <f>HYPERLINK("https://rhld.insurance.arkansas.gov/NPILookup?Npi=1497712368","1497712368")</f>
        <v>1497712368</v>
      </c>
      <c r="D4325" s="36" t="s">
        <v>36677</v>
      </c>
      <c r="E4325" s="36" t="s">
        <v>1</v>
      </c>
      <c r="F4325" s="36">
        <v>1</v>
      </c>
      <c r="G4325" s="36">
        <v>2</v>
      </c>
      <c r="H4325" s="36">
        <v>0</v>
      </c>
      <c r="I4325" s="37">
        <v>0</v>
      </c>
      <c r="J4325" s="36" t="s">
        <v>32654</v>
      </c>
      <c r="K4325" s="36" t="s">
        <v>14330</v>
      </c>
      <c r="L4325" s="36" t="s">
        <v>14330</v>
      </c>
      <c r="M4325">
        <v>3</v>
      </c>
      <c r="N4325" t="s">
        <v>14331</v>
      </c>
      <c r="O4325" t="s">
        <v>32633</v>
      </c>
    </row>
    <row r="4326" spans="1:15" x14ac:dyDescent="0.25">
      <c r="A4326" s="35" t="s">
        <v>8275</v>
      </c>
      <c r="B4326" s="36" t="s">
        <v>8276</v>
      </c>
      <c r="C4326" s="36" t="str">
        <f>HYPERLINK("https://rhld.insurance.arkansas.gov/NPILookup?Npi=1497735609","1497735609")</f>
        <v>1497735609</v>
      </c>
      <c r="D4326" s="36" t="s">
        <v>36678</v>
      </c>
      <c r="E4326" s="36" t="s">
        <v>2</v>
      </c>
      <c r="F4326" s="36">
        <v>1</v>
      </c>
      <c r="G4326" s="36">
        <v>3</v>
      </c>
      <c r="H4326" s="36">
        <v>0</v>
      </c>
      <c r="I4326" s="37">
        <v>0</v>
      </c>
      <c r="J4326" s="36" t="s">
        <v>36190</v>
      </c>
      <c r="K4326" s="36" t="s">
        <v>14330</v>
      </c>
      <c r="L4326" s="36" t="s">
        <v>14330</v>
      </c>
      <c r="M4326">
        <v>2</v>
      </c>
      <c r="N4326" t="s">
        <v>14331</v>
      </c>
      <c r="O4326" t="s">
        <v>14333</v>
      </c>
    </row>
    <row r="4327" spans="1:15" x14ac:dyDescent="0.25">
      <c r="A4327" s="35" t="s">
        <v>8275</v>
      </c>
      <c r="B4327" s="36" t="s">
        <v>8276</v>
      </c>
      <c r="C4327" s="36" t="str">
        <f>HYPERLINK("https://rhld.insurance.arkansas.gov/NPILookup?Npi=1497747646","1497747646")</f>
        <v>1497747646</v>
      </c>
      <c r="D4327" s="36" t="s">
        <v>36679</v>
      </c>
      <c r="E4327" s="36" t="s">
        <v>2</v>
      </c>
      <c r="F4327" s="36">
        <v>1</v>
      </c>
      <c r="G4327" s="36">
        <v>2</v>
      </c>
      <c r="H4327" s="36">
        <v>0</v>
      </c>
      <c r="I4327" s="37">
        <v>0</v>
      </c>
      <c r="J4327" s="36" t="s">
        <v>36190</v>
      </c>
      <c r="K4327" s="36" t="s">
        <v>14330</v>
      </c>
      <c r="L4327" s="36" t="s">
        <v>14330</v>
      </c>
      <c r="M4327">
        <v>2</v>
      </c>
      <c r="N4327" t="s">
        <v>14331</v>
      </c>
      <c r="O4327" t="s">
        <v>14333</v>
      </c>
    </row>
    <row r="4328" spans="1:15" x14ac:dyDescent="0.25">
      <c r="A4328" s="35" t="s">
        <v>8275</v>
      </c>
      <c r="B4328" s="36" t="s">
        <v>8276</v>
      </c>
      <c r="C4328" s="36" t="str">
        <f>HYPERLINK("https://rhld.insurance.arkansas.gov/NPILookup?Npi=1497781298","1497781298")</f>
        <v>1497781298</v>
      </c>
      <c r="D4328" s="36" t="s">
        <v>33207</v>
      </c>
      <c r="E4328" s="36" t="s">
        <v>2</v>
      </c>
      <c r="F4328" s="36">
        <v>1</v>
      </c>
      <c r="G4328" s="36">
        <v>2</v>
      </c>
      <c r="H4328" s="36">
        <v>0</v>
      </c>
      <c r="I4328" s="37">
        <v>0</v>
      </c>
      <c r="J4328" s="36" t="s">
        <v>36190</v>
      </c>
      <c r="K4328" s="36" t="s">
        <v>14330</v>
      </c>
      <c r="L4328" s="36" t="s">
        <v>14330</v>
      </c>
      <c r="M4328">
        <v>2</v>
      </c>
      <c r="N4328" t="s">
        <v>14331</v>
      </c>
      <c r="O4328" t="s">
        <v>14333</v>
      </c>
    </row>
    <row r="4329" spans="1:15" x14ac:dyDescent="0.25">
      <c r="A4329" s="35" t="s">
        <v>8275</v>
      </c>
      <c r="B4329" s="36" t="s">
        <v>8276</v>
      </c>
      <c r="C4329" s="36" t="str">
        <f>HYPERLINK("https://rhld.insurance.arkansas.gov/NPILookup?Npi=1497863161","1497863161")</f>
        <v>1497863161</v>
      </c>
      <c r="D4329" s="36" t="s">
        <v>36680</v>
      </c>
      <c r="E4329" s="36" t="s">
        <v>2</v>
      </c>
      <c r="F4329" s="36">
        <v>1</v>
      </c>
      <c r="G4329" s="36">
        <v>2</v>
      </c>
      <c r="H4329" s="36">
        <v>0</v>
      </c>
      <c r="I4329" s="37">
        <v>0</v>
      </c>
      <c r="J4329" s="36" t="s">
        <v>36190</v>
      </c>
      <c r="K4329" s="36" t="s">
        <v>14330</v>
      </c>
      <c r="L4329" s="36" t="s">
        <v>14330</v>
      </c>
      <c r="M4329">
        <v>0</v>
      </c>
      <c r="N4329" t="s">
        <v>14331</v>
      </c>
      <c r="O4329" t="s">
        <v>14333</v>
      </c>
    </row>
    <row r="4330" spans="1:15" x14ac:dyDescent="0.25">
      <c r="A4330" s="35" t="s">
        <v>8275</v>
      </c>
      <c r="B4330" s="36" t="s">
        <v>8276</v>
      </c>
      <c r="C4330" s="36" t="str">
        <f>HYPERLINK("https://rhld.insurance.arkansas.gov/NPILookup?Npi=1497896096","1497896096")</f>
        <v>1497896096</v>
      </c>
      <c r="D4330" s="36" t="s">
        <v>36681</v>
      </c>
      <c r="E4330" s="36" t="s">
        <v>1</v>
      </c>
      <c r="F4330" s="36">
        <v>1</v>
      </c>
      <c r="G4330" s="36">
        <v>1</v>
      </c>
      <c r="H4330" s="36">
        <v>1</v>
      </c>
      <c r="I4330" s="37">
        <v>0</v>
      </c>
      <c r="J4330" s="36" t="s">
        <v>32654</v>
      </c>
      <c r="K4330" s="36" t="s">
        <v>14330</v>
      </c>
      <c r="L4330" s="36" t="s">
        <v>36637</v>
      </c>
      <c r="M4330">
        <v>3</v>
      </c>
      <c r="N4330" t="s">
        <v>14332</v>
      </c>
      <c r="O4330" t="s">
        <v>32591</v>
      </c>
    </row>
    <row r="4331" spans="1:15" x14ac:dyDescent="0.25">
      <c r="A4331" s="35" t="s">
        <v>8275</v>
      </c>
      <c r="B4331" s="36" t="s">
        <v>8276</v>
      </c>
      <c r="C4331" s="36" t="str">
        <f>HYPERLINK("https://rhld.insurance.arkansas.gov/NPILookup?Npi=1497923445","1497923445")</f>
        <v>1497923445</v>
      </c>
      <c r="D4331" s="36" t="s">
        <v>36682</v>
      </c>
      <c r="E4331" s="36" t="s">
        <v>2</v>
      </c>
      <c r="F4331" s="36">
        <v>1</v>
      </c>
      <c r="G4331" s="36">
        <v>3</v>
      </c>
      <c r="H4331" s="36">
        <v>0</v>
      </c>
      <c r="I4331" s="37">
        <v>0</v>
      </c>
      <c r="J4331" s="36" t="s">
        <v>36190</v>
      </c>
      <c r="K4331" s="36" t="s">
        <v>14330</v>
      </c>
      <c r="L4331" s="36" t="s">
        <v>14330</v>
      </c>
      <c r="M4331">
        <v>3</v>
      </c>
      <c r="N4331" t="s">
        <v>14331</v>
      </c>
      <c r="O4331" t="s">
        <v>14333</v>
      </c>
    </row>
    <row r="4332" spans="1:15" x14ac:dyDescent="0.25">
      <c r="A4332" s="35" t="s">
        <v>8275</v>
      </c>
      <c r="B4332" s="36" t="s">
        <v>8276</v>
      </c>
      <c r="C4332" s="36" t="str">
        <f>HYPERLINK("https://rhld.insurance.arkansas.gov/NPILookup?Npi=1508152836","1508152836")</f>
        <v>1508152836</v>
      </c>
      <c r="D4332" s="36" t="s">
        <v>36683</v>
      </c>
      <c r="E4332" s="36" t="s">
        <v>2</v>
      </c>
      <c r="F4332" s="36">
        <v>1</v>
      </c>
      <c r="G4332" s="36">
        <v>3</v>
      </c>
      <c r="H4332" s="36">
        <v>0</v>
      </c>
      <c r="I4332" s="37">
        <v>0</v>
      </c>
      <c r="J4332" s="36" t="s">
        <v>36190</v>
      </c>
      <c r="K4332" s="36" t="s">
        <v>14330</v>
      </c>
      <c r="L4332" s="36" t="s">
        <v>14330</v>
      </c>
      <c r="M4332">
        <v>2</v>
      </c>
      <c r="N4332" t="s">
        <v>14331</v>
      </c>
      <c r="O4332" t="s">
        <v>14333</v>
      </c>
    </row>
    <row r="4333" spans="1:15" x14ac:dyDescent="0.25">
      <c r="A4333" s="35" t="s">
        <v>8275</v>
      </c>
      <c r="B4333" s="36" t="s">
        <v>8276</v>
      </c>
      <c r="C4333" s="36" t="str">
        <f>HYPERLINK("https://rhld.insurance.arkansas.gov/NPILookup?Npi=1508287590","1508287590")</f>
        <v>1508287590</v>
      </c>
      <c r="D4333" s="36" t="s">
        <v>36684</v>
      </c>
      <c r="E4333" s="36" t="s">
        <v>2</v>
      </c>
      <c r="F4333" s="36">
        <v>1</v>
      </c>
      <c r="G4333" s="36">
        <v>2</v>
      </c>
      <c r="H4333" s="36">
        <v>0</v>
      </c>
      <c r="I4333" s="37">
        <v>0</v>
      </c>
      <c r="J4333" s="36" t="s">
        <v>36190</v>
      </c>
      <c r="K4333" s="36" t="s">
        <v>14330</v>
      </c>
      <c r="L4333" s="36" t="s">
        <v>14330</v>
      </c>
      <c r="M4333">
        <v>3</v>
      </c>
      <c r="N4333" t="s">
        <v>14331</v>
      </c>
      <c r="O4333" t="s">
        <v>14333</v>
      </c>
    </row>
    <row r="4334" spans="1:15" x14ac:dyDescent="0.25">
      <c r="A4334" s="35" t="s">
        <v>8275</v>
      </c>
      <c r="B4334" s="36" t="s">
        <v>8276</v>
      </c>
      <c r="C4334" s="36" t="str">
        <f>HYPERLINK("https://rhld.insurance.arkansas.gov/NPILookup?Npi=1508328253","1508328253")</f>
        <v>1508328253</v>
      </c>
      <c r="D4334" s="36" t="s">
        <v>36685</v>
      </c>
      <c r="E4334" s="36" t="s">
        <v>2</v>
      </c>
      <c r="F4334" s="36">
        <v>1</v>
      </c>
      <c r="G4334" s="36">
        <v>3</v>
      </c>
      <c r="H4334" s="36">
        <v>0</v>
      </c>
      <c r="I4334" s="37">
        <v>0</v>
      </c>
      <c r="J4334" s="36" t="s">
        <v>36190</v>
      </c>
      <c r="K4334" s="36" t="s">
        <v>14330</v>
      </c>
      <c r="L4334" s="36" t="s">
        <v>14330</v>
      </c>
      <c r="M4334">
        <v>2</v>
      </c>
      <c r="N4334" t="s">
        <v>14331</v>
      </c>
      <c r="O4334" t="s">
        <v>14333</v>
      </c>
    </row>
    <row r="4335" spans="1:15" x14ac:dyDescent="0.25">
      <c r="A4335" s="35" t="s">
        <v>8275</v>
      </c>
      <c r="B4335" s="36" t="s">
        <v>8276</v>
      </c>
      <c r="C4335" s="36" t="str">
        <f>HYPERLINK("https://rhld.insurance.arkansas.gov/NPILookup?Npi=1508377094","1508377094")</f>
        <v>1508377094</v>
      </c>
      <c r="D4335" s="36" t="s">
        <v>35537</v>
      </c>
      <c r="E4335" s="36" t="s">
        <v>2</v>
      </c>
      <c r="F4335" s="36">
        <v>1</v>
      </c>
      <c r="G4335" s="36">
        <v>2</v>
      </c>
      <c r="H4335" s="36">
        <v>0</v>
      </c>
      <c r="I4335" s="37">
        <v>0</v>
      </c>
      <c r="J4335" s="36"/>
      <c r="K4335" s="36" t="s">
        <v>14330</v>
      </c>
      <c r="L4335" s="36" t="s">
        <v>14330</v>
      </c>
      <c r="M4335">
        <v>3</v>
      </c>
      <c r="N4335" t="s">
        <v>14331</v>
      </c>
      <c r="O4335" t="s">
        <v>14333</v>
      </c>
    </row>
    <row r="4336" spans="1:15" x14ac:dyDescent="0.25">
      <c r="A4336" s="35" t="s">
        <v>8275</v>
      </c>
      <c r="B4336" s="36" t="s">
        <v>8276</v>
      </c>
      <c r="C4336" s="36" t="str">
        <f>HYPERLINK("https://rhld.insurance.arkansas.gov/NPILookup?Npi=1508470865","1508470865")</f>
        <v>1508470865</v>
      </c>
      <c r="D4336" s="36" t="s">
        <v>36686</v>
      </c>
      <c r="E4336" s="36" t="s">
        <v>2</v>
      </c>
      <c r="F4336" s="36">
        <v>1</v>
      </c>
      <c r="G4336" s="36">
        <v>3</v>
      </c>
      <c r="H4336" s="36">
        <v>0</v>
      </c>
      <c r="I4336" s="37">
        <v>0</v>
      </c>
      <c r="J4336" s="36" t="s">
        <v>36190</v>
      </c>
      <c r="K4336" s="36" t="s">
        <v>14330</v>
      </c>
      <c r="L4336" s="36" t="s">
        <v>14330</v>
      </c>
      <c r="M4336">
        <v>1</v>
      </c>
      <c r="N4336" t="s">
        <v>14331</v>
      </c>
      <c r="O4336" t="s">
        <v>14333</v>
      </c>
    </row>
    <row r="4337" spans="1:15" x14ac:dyDescent="0.25">
      <c r="A4337" s="35" t="s">
        <v>8275</v>
      </c>
      <c r="B4337" s="36" t="s">
        <v>8276</v>
      </c>
      <c r="C4337" s="36" t="str">
        <f>HYPERLINK("https://rhld.insurance.arkansas.gov/NPILookup?Npi=1508477563","1508477563")</f>
        <v>1508477563</v>
      </c>
      <c r="D4337" s="36" t="s">
        <v>33671</v>
      </c>
      <c r="E4337" s="36" t="s">
        <v>2</v>
      </c>
      <c r="F4337" s="36">
        <v>1</v>
      </c>
      <c r="G4337" s="36">
        <v>1</v>
      </c>
      <c r="H4337" s="36">
        <v>0</v>
      </c>
      <c r="I4337" s="37">
        <v>0</v>
      </c>
      <c r="J4337" s="36"/>
      <c r="K4337" s="36" t="s">
        <v>14330</v>
      </c>
      <c r="L4337" s="36" t="s">
        <v>14330</v>
      </c>
      <c r="M4337">
        <v>2</v>
      </c>
      <c r="N4337" t="s">
        <v>14331</v>
      </c>
      <c r="O4337" t="s">
        <v>32633</v>
      </c>
    </row>
    <row r="4338" spans="1:15" x14ac:dyDescent="0.25">
      <c r="A4338" s="35" t="s">
        <v>8275</v>
      </c>
      <c r="B4338" s="36" t="s">
        <v>8276</v>
      </c>
      <c r="C4338" s="36" t="str">
        <f>HYPERLINK("https://rhld.insurance.arkansas.gov/NPILookup?Npi=1508547787","1508547787")</f>
        <v>1508547787</v>
      </c>
      <c r="D4338" s="36" t="s">
        <v>35542</v>
      </c>
      <c r="E4338" s="36" t="s">
        <v>2</v>
      </c>
      <c r="F4338" s="36">
        <v>1</v>
      </c>
      <c r="G4338" s="36">
        <v>2</v>
      </c>
      <c r="H4338" s="36">
        <v>0</v>
      </c>
      <c r="I4338" s="37">
        <v>0</v>
      </c>
      <c r="J4338" s="36"/>
      <c r="K4338" s="36" t="s">
        <v>14330</v>
      </c>
      <c r="L4338" s="36" t="s">
        <v>14330</v>
      </c>
      <c r="M4338">
        <v>2</v>
      </c>
      <c r="N4338" t="s">
        <v>14331</v>
      </c>
      <c r="O4338" t="s">
        <v>14333</v>
      </c>
    </row>
    <row r="4339" spans="1:15" x14ac:dyDescent="0.25">
      <c r="A4339" s="35" t="s">
        <v>8275</v>
      </c>
      <c r="B4339" s="36" t="s">
        <v>8276</v>
      </c>
      <c r="C4339" s="36" t="str">
        <f>HYPERLINK("https://rhld.insurance.arkansas.gov/NPILookup?Npi=1508564386","1508564386")</f>
        <v>1508564386</v>
      </c>
      <c r="D4339" s="36" t="s">
        <v>34742</v>
      </c>
      <c r="E4339" s="36" t="s">
        <v>2</v>
      </c>
      <c r="F4339" s="36">
        <v>1</v>
      </c>
      <c r="G4339" s="36">
        <v>2</v>
      </c>
      <c r="H4339" s="36">
        <v>0</v>
      </c>
      <c r="I4339" s="37">
        <v>0</v>
      </c>
      <c r="J4339" s="36"/>
      <c r="K4339" s="36" t="s">
        <v>14330</v>
      </c>
      <c r="L4339" s="36" t="s">
        <v>14330</v>
      </c>
      <c r="M4339">
        <v>2</v>
      </c>
      <c r="N4339" t="s">
        <v>14331</v>
      </c>
      <c r="O4339" t="s">
        <v>14333</v>
      </c>
    </row>
    <row r="4340" spans="1:15" x14ac:dyDescent="0.25">
      <c r="A4340" s="35" t="s">
        <v>8275</v>
      </c>
      <c r="B4340" s="36" t="s">
        <v>8276</v>
      </c>
      <c r="C4340" s="36" t="str">
        <f>HYPERLINK("https://rhld.insurance.arkansas.gov/NPILookup?Npi=1508599622","1508599622")</f>
        <v>1508599622</v>
      </c>
      <c r="D4340" s="36" t="s">
        <v>34743</v>
      </c>
      <c r="E4340" s="36" t="s">
        <v>2</v>
      </c>
      <c r="F4340" s="36">
        <v>1</v>
      </c>
      <c r="G4340" s="36">
        <v>2</v>
      </c>
      <c r="H4340" s="36">
        <v>0</v>
      </c>
      <c r="I4340" s="37">
        <v>0</v>
      </c>
      <c r="J4340" s="36"/>
      <c r="K4340" s="36" t="s">
        <v>14330</v>
      </c>
      <c r="L4340" s="36" t="s">
        <v>14330</v>
      </c>
      <c r="M4340">
        <v>2</v>
      </c>
      <c r="N4340" t="s">
        <v>14331</v>
      </c>
      <c r="O4340" t="s">
        <v>14333</v>
      </c>
    </row>
    <row r="4341" spans="1:15" x14ac:dyDescent="0.25">
      <c r="A4341" s="35" t="s">
        <v>8275</v>
      </c>
      <c r="B4341" s="36" t="s">
        <v>8276</v>
      </c>
      <c r="C4341" s="36" t="str">
        <f>HYPERLINK("https://rhld.insurance.arkansas.gov/NPILookup?Npi=1508617549","1508617549")</f>
        <v>1508617549</v>
      </c>
      <c r="D4341" s="36" t="s">
        <v>34744</v>
      </c>
      <c r="E4341" s="36" t="s">
        <v>2</v>
      </c>
      <c r="F4341" s="36">
        <v>1</v>
      </c>
      <c r="G4341" s="36">
        <v>2</v>
      </c>
      <c r="H4341" s="36">
        <v>0</v>
      </c>
      <c r="I4341" s="37">
        <v>0</v>
      </c>
      <c r="J4341" s="36"/>
      <c r="K4341" s="36" t="s">
        <v>14330</v>
      </c>
      <c r="L4341" s="36" t="s">
        <v>14330</v>
      </c>
      <c r="M4341">
        <v>3</v>
      </c>
      <c r="N4341" t="s">
        <v>14331</v>
      </c>
      <c r="O4341" t="s">
        <v>14333</v>
      </c>
    </row>
    <row r="4342" spans="1:15" x14ac:dyDescent="0.25">
      <c r="A4342" s="35" t="s">
        <v>8275</v>
      </c>
      <c r="B4342" s="36" t="s">
        <v>8276</v>
      </c>
      <c r="C4342" s="36" t="str">
        <f>HYPERLINK("https://rhld.insurance.arkansas.gov/NPILookup?Npi=1508620097","1508620097")</f>
        <v>1508620097</v>
      </c>
      <c r="D4342" s="36" t="s">
        <v>36687</v>
      </c>
      <c r="E4342" s="36" t="s">
        <v>2</v>
      </c>
      <c r="F4342" s="36">
        <v>1</v>
      </c>
      <c r="G4342" s="36">
        <v>3</v>
      </c>
      <c r="H4342" s="36">
        <v>0</v>
      </c>
      <c r="I4342" s="37">
        <v>0</v>
      </c>
      <c r="J4342" s="36" t="s">
        <v>36190</v>
      </c>
      <c r="K4342" s="36" t="s">
        <v>14330</v>
      </c>
      <c r="L4342" s="36" t="s">
        <v>14330</v>
      </c>
      <c r="M4342">
        <v>3</v>
      </c>
      <c r="N4342" t="s">
        <v>14331</v>
      </c>
      <c r="O4342" t="s">
        <v>14333</v>
      </c>
    </row>
    <row r="4343" spans="1:15" x14ac:dyDescent="0.25">
      <c r="A4343" s="35" t="s">
        <v>8275</v>
      </c>
      <c r="B4343" s="36" t="s">
        <v>8276</v>
      </c>
      <c r="C4343" s="36" t="str">
        <f>HYPERLINK("https://rhld.insurance.arkansas.gov/NPILookup?Npi=1508814617","1508814617")</f>
        <v>1508814617</v>
      </c>
      <c r="D4343" s="36" t="s">
        <v>33213</v>
      </c>
      <c r="E4343" s="36" t="s">
        <v>1</v>
      </c>
      <c r="F4343" s="36">
        <v>1</v>
      </c>
      <c r="G4343" s="36">
        <v>3</v>
      </c>
      <c r="H4343" s="36">
        <v>0</v>
      </c>
      <c r="I4343" s="37">
        <v>0</v>
      </c>
      <c r="J4343" s="36" t="s">
        <v>32654</v>
      </c>
      <c r="K4343" s="36" t="s">
        <v>14330</v>
      </c>
      <c r="L4343" s="36" t="s">
        <v>14330</v>
      </c>
      <c r="M4343">
        <v>3</v>
      </c>
      <c r="N4343" t="s">
        <v>14331</v>
      </c>
      <c r="O4343" t="s">
        <v>32633</v>
      </c>
    </row>
    <row r="4344" spans="1:15" x14ac:dyDescent="0.25">
      <c r="A4344" s="35" t="s">
        <v>8275</v>
      </c>
      <c r="B4344" s="36" t="s">
        <v>8276</v>
      </c>
      <c r="C4344" s="36" t="str">
        <f>HYPERLINK("https://rhld.insurance.arkansas.gov/NPILookup?Npi=1508827700","1508827700")</f>
        <v>1508827700</v>
      </c>
      <c r="D4344" s="36" t="s">
        <v>33215</v>
      </c>
      <c r="E4344" s="36" t="s">
        <v>2</v>
      </c>
      <c r="F4344" s="36">
        <v>1</v>
      </c>
      <c r="G4344" s="36">
        <v>3</v>
      </c>
      <c r="H4344" s="36">
        <v>0</v>
      </c>
      <c r="I4344" s="37">
        <v>0</v>
      </c>
      <c r="J4344" s="36" t="s">
        <v>36190</v>
      </c>
      <c r="K4344" s="36" t="s">
        <v>14330</v>
      </c>
      <c r="L4344" s="36" t="s">
        <v>14330</v>
      </c>
      <c r="M4344">
        <v>3</v>
      </c>
      <c r="N4344" t="s">
        <v>14331</v>
      </c>
      <c r="O4344" t="s">
        <v>14333</v>
      </c>
    </row>
    <row r="4345" spans="1:15" x14ac:dyDescent="0.25">
      <c r="A4345" s="35" t="s">
        <v>8275</v>
      </c>
      <c r="B4345" s="36" t="s">
        <v>8276</v>
      </c>
      <c r="C4345" s="36" t="str">
        <f>HYPERLINK("https://rhld.insurance.arkansas.gov/NPILookup?Npi=1508853466","1508853466")</f>
        <v>1508853466</v>
      </c>
      <c r="D4345" s="36" t="s">
        <v>36688</v>
      </c>
      <c r="E4345" s="36" t="s">
        <v>2</v>
      </c>
      <c r="F4345" s="36">
        <v>1</v>
      </c>
      <c r="G4345" s="36">
        <v>3</v>
      </c>
      <c r="H4345" s="36">
        <v>0</v>
      </c>
      <c r="I4345" s="37">
        <v>0</v>
      </c>
      <c r="J4345" s="36" t="s">
        <v>36190</v>
      </c>
      <c r="K4345" s="36" t="s">
        <v>14330</v>
      </c>
      <c r="L4345" s="36" t="s">
        <v>14330</v>
      </c>
      <c r="M4345">
        <v>3</v>
      </c>
      <c r="N4345" t="s">
        <v>14331</v>
      </c>
      <c r="O4345" t="s">
        <v>14333</v>
      </c>
    </row>
    <row r="4346" spans="1:15" x14ac:dyDescent="0.25">
      <c r="A4346" s="35" t="s">
        <v>8275</v>
      </c>
      <c r="B4346" s="36" t="s">
        <v>8276</v>
      </c>
      <c r="C4346" s="36" t="str">
        <f>HYPERLINK("https://rhld.insurance.arkansas.gov/NPILookup?Npi=1518144534","1518144534")</f>
        <v>1518144534</v>
      </c>
      <c r="D4346" s="36" t="s">
        <v>36689</v>
      </c>
      <c r="E4346" s="36" t="s">
        <v>2</v>
      </c>
      <c r="F4346" s="36">
        <v>1</v>
      </c>
      <c r="G4346" s="36">
        <v>3</v>
      </c>
      <c r="H4346" s="36">
        <v>0</v>
      </c>
      <c r="I4346" s="37">
        <v>0</v>
      </c>
      <c r="J4346" s="36" t="s">
        <v>36190</v>
      </c>
      <c r="K4346" s="36" t="s">
        <v>14330</v>
      </c>
      <c r="L4346" s="36" t="s">
        <v>14330</v>
      </c>
      <c r="M4346">
        <v>1</v>
      </c>
      <c r="N4346" t="s">
        <v>14331</v>
      </c>
      <c r="O4346" t="s">
        <v>14333</v>
      </c>
    </row>
    <row r="4347" spans="1:15" x14ac:dyDescent="0.25">
      <c r="A4347" s="35" t="s">
        <v>8275</v>
      </c>
      <c r="B4347" s="36" t="s">
        <v>8276</v>
      </c>
      <c r="C4347" s="36" t="str">
        <f>HYPERLINK("https://rhld.insurance.arkansas.gov/NPILookup?Npi=1518181767","1518181767")</f>
        <v>1518181767</v>
      </c>
      <c r="D4347" s="36" t="s">
        <v>35546</v>
      </c>
      <c r="E4347" s="36" t="s">
        <v>1</v>
      </c>
      <c r="F4347" s="36">
        <v>1</v>
      </c>
      <c r="G4347" s="36">
        <v>1</v>
      </c>
      <c r="H4347" s="36">
        <v>0</v>
      </c>
      <c r="I4347" s="37">
        <v>0</v>
      </c>
      <c r="J4347" s="36" t="s">
        <v>32654</v>
      </c>
      <c r="K4347" s="36" t="s">
        <v>14330</v>
      </c>
      <c r="L4347" s="36" t="s">
        <v>14330</v>
      </c>
      <c r="M4347">
        <v>3</v>
      </c>
      <c r="N4347" t="s">
        <v>14331</v>
      </c>
      <c r="O4347" t="s">
        <v>32633</v>
      </c>
    </row>
    <row r="4348" spans="1:15" x14ac:dyDescent="0.25">
      <c r="A4348" s="35" t="s">
        <v>8275</v>
      </c>
      <c r="B4348" s="36" t="s">
        <v>8276</v>
      </c>
      <c r="C4348" s="36" t="str">
        <f>HYPERLINK("https://rhld.insurance.arkansas.gov/NPILookup?Npi=1518270636","1518270636")</f>
        <v>1518270636</v>
      </c>
      <c r="D4348" s="36" t="s">
        <v>36690</v>
      </c>
      <c r="E4348" s="36" t="s">
        <v>2</v>
      </c>
      <c r="F4348" s="36">
        <v>1</v>
      </c>
      <c r="G4348" s="36">
        <v>3</v>
      </c>
      <c r="H4348" s="36">
        <v>0</v>
      </c>
      <c r="I4348" s="37">
        <v>0</v>
      </c>
      <c r="J4348" s="36" t="s">
        <v>36190</v>
      </c>
      <c r="K4348" s="36" t="s">
        <v>14330</v>
      </c>
      <c r="L4348" s="36" t="s">
        <v>14330</v>
      </c>
      <c r="M4348">
        <v>2</v>
      </c>
      <c r="N4348" t="s">
        <v>14331</v>
      </c>
      <c r="O4348" t="s">
        <v>14333</v>
      </c>
    </row>
    <row r="4349" spans="1:15" x14ac:dyDescent="0.25">
      <c r="A4349" s="35" t="s">
        <v>8275</v>
      </c>
      <c r="B4349" s="36" t="s">
        <v>8276</v>
      </c>
      <c r="C4349" s="36" t="str">
        <f>HYPERLINK("https://rhld.insurance.arkansas.gov/NPILookup?Npi=1518287226","1518287226")</f>
        <v>1518287226</v>
      </c>
      <c r="D4349" s="36" t="s">
        <v>36691</v>
      </c>
      <c r="E4349" s="36" t="s">
        <v>2</v>
      </c>
      <c r="F4349" s="36">
        <v>1</v>
      </c>
      <c r="G4349" s="36">
        <v>2</v>
      </c>
      <c r="H4349" s="36">
        <v>0</v>
      </c>
      <c r="I4349" s="37">
        <v>0</v>
      </c>
      <c r="J4349" s="36" t="s">
        <v>36190</v>
      </c>
      <c r="K4349" s="36" t="s">
        <v>14330</v>
      </c>
      <c r="L4349" s="36" t="s">
        <v>14330</v>
      </c>
      <c r="M4349">
        <v>2</v>
      </c>
      <c r="N4349" t="s">
        <v>14331</v>
      </c>
      <c r="O4349" t="s">
        <v>14333</v>
      </c>
    </row>
    <row r="4350" spans="1:15" x14ac:dyDescent="0.25">
      <c r="A4350" s="35" t="s">
        <v>8275</v>
      </c>
      <c r="B4350" s="36" t="s">
        <v>8276</v>
      </c>
      <c r="C4350" s="36" t="str">
        <f>HYPERLINK("https://rhld.insurance.arkansas.gov/NPILookup?Npi=1518321025","1518321025")</f>
        <v>1518321025</v>
      </c>
      <c r="D4350" s="36" t="s">
        <v>36692</v>
      </c>
      <c r="E4350" s="36" t="s">
        <v>1</v>
      </c>
      <c r="F4350" s="36">
        <v>1</v>
      </c>
      <c r="G4350" s="36">
        <v>2</v>
      </c>
      <c r="H4350" s="36">
        <v>0</v>
      </c>
      <c r="I4350" s="37">
        <v>0</v>
      </c>
      <c r="J4350" s="36" t="s">
        <v>32723</v>
      </c>
      <c r="K4350" s="36" t="s">
        <v>14330</v>
      </c>
      <c r="L4350" s="36" t="s">
        <v>14330</v>
      </c>
      <c r="M4350">
        <v>3</v>
      </c>
      <c r="N4350" t="s">
        <v>14331</v>
      </c>
      <c r="O4350" t="s">
        <v>32724</v>
      </c>
    </row>
    <row r="4351" spans="1:15" x14ac:dyDescent="0.25">
      <c r="A4351" s="35" t="s">
        <v>8275</v>
      </c>
      <c r="B4351" s="36" t="s">
        <v>8276</v>
      </c>
      <c r="C4351" s="36" t="str">
        <f>HYPERLINK("https://rhld.insurance.arkansas.gov/NPILookup?Npi=1518352616","1518352616")</f>
        <v>1518352616</v>
      </c>
      <c r="D4351" s="36" t="s">
        <v>36693</v>
      </c>
      <c r="E4351" s="36" t="s">
        <v>2</v>
      </c>
      <c r="F4351" s="36">
        <v>1</v>
      </c>
      <c r="G4351" s="36">
        <v>3</v>
      </c>
      <c r="H4351" s="36">
        <v>0</v>
      </c>
      <c r="I4351" s="37">
        <v>0</v>
      </c>
      <c r="J4351" s="36" t="s">
        <v>36190</v>
      </c>
      <c r="K4351" s="36" t="s">
        <v>14330</v>
      </c>
      <c r="L4351" s="36" t="s">
        <v>14330</v>
      </c>
      <c r="M4351">
        <v>2</v>
      </c>
      <c r="N4351" t="s">
        <v>14331</v>
      </c>
      <c r="O4351" t="s">
        <v>14333</v>
      </c>
    </row>
    <row r="4352" spans="1:15" x14ac:dyDescent="0.25">
      <c r="A4352" s="35" t="s">
        <v>8275</v>
      </c>
      <c r="B4352" s="36" t="s">
        <v>8276</v>
      </c>
      <c r="C4352" s="36" t="str">
        <f>HYPERLINK("https://rhld.insurance.arkansas.gov/NPILookup?Npi=1518505833","1518505833")</f>
        <v>1518505833</v>
      </c>
      <c r="D4352" s="36" t="s">
        <v>35556</v>
      </c>
      <c r="E4352" s="36" t="s">
        <v>2</v>
      </c>
      <c r="F4352" s="36">
        <v>1</v>
      </c>
      <c r="G4352" s="36">
        <v>2</v>
      </c>
      <c r="H4352" s="36">
        <v>0</v>
      </c>
      <c r="I4352" s="37">
        <v>0</v>
      </c>
      <c r="J4352" s="36"/>
      <c r="K4352" s="36" t="s">
        <v>14330</v>
      </c>
      <c r="L4352" s="36" t="s">
        <v>14330</v>
      </c>
      <c r="M4352">
        <v>3</v>
      </c>
      <c r="N4352" t="s">
        <v>14331</v>
      </c>
      <c r="O4352" t="s">
        <v>14333</v>
      </c>
    </row>
    <row r="4353" spans="1:15" x14ac:dyDescent="0.25">
      <c r="A4353" s="35" t="s">
        <v>8275</v>
      </c>
      <c r="B4353" s="36" t="s">
        <v>8276</v>
      </c>
      <c r="C4353" s="36" t="str">
        <f>HYPERLINK("https://rhld.insurance.arkansas.gov/NPILookup?Npi=1518548189","1518548189")</f>
        <v>1518548189</v>
      </c>
      <c r="D4353" s="36" t="s">
        <v>31264</v>
      </c>
      <c r="E4353" s="36" t="s">
        <v>2</v>
      </c>
      <c r="F4353" s="36">
        <v>1</v>
      </c>
      <c r="G4353" s="36">
        <v>3</v>
      </c>
      <c r="H4353" s="36">
        <v>0</v>
      </c>
      <c r="I4353" s="37">
        <v>0</v>
      </c>
      <c r="J4353" s="36" t="s">
        <v>36190</v>
      </c>
      <c r="K4353" s="36" t="s">
        <v>14330</v>
      </c>
      <c r="L4353" s="36" t="s">
        <v>14330</v>
      </c>
      <c r="M4353">
        <v>3</v>
      </c>
      <c r="N4353" t="s">
        <v>14331</v>
      </c>
      <c r="O4353" t="s">
        <v>14333</v>
      </c>
    </row>
    <row r="4354" spans="1:15" x14ac:dyDescent="0.25">
      <c r="A4354" s="35" t="s">
        <v>8275</v>
      </c>
      <c r="B4354" s="36" t="s">
        <v>8276</v>
      </c>
      <c r="C4354" s="36" t="str">
        <f>HYPERLINK("https://rhld.insurance.arkansas.gov/NPILookup?Npi=1518583129","1518583129")</f>
        <v>1518583129</v>
      </c>
      <c r="D4354" s="36" t="s">
        <v>36694</v>
      </c>
      <c r="E4354" s="36" t="s">
        <v>2</v>
      </c>
      <c r="F4354" s="36">
        <v>1</v>
      </c>
      <c r="G4354" s="36">
        <v>3</v>
      </c>
      <c r="H4354" s="36">
        <v>0</v>
      </c>
      <c r="I4354" s="37">
        <v>0</v>
      </c>
      <c r="J4354" s="36" t="s">
        <v>36190</v>
      </c>
      <c r="K4354" s="36" t="s">
        <v>14330</v>
      </c>
      <c r="L4354" s="36" t="s">
        <v>14330</v>
      </c>
      <c r="M4354">
        <v>2</v>
      </c>
      <c r="N4354" t="s">
        <v>14331</v>
      </c>
      <c r="O4354" t="s">
        <v>14333</v>
      </c>
    </row>
    <row r="4355" spans="1:15" x14ac:dyDescent="0.25">
      <c r="A4355" s="35" t="s">
        <v>8275</v>
      </c>
      <c r="B4355" s="36" t="s">
        <v>8276</v>
      </c>
      <c r="C4355" s="36" t="str">
        <f>HYPERLINK("https://rhld.insurance.arkansas.gov/NPILookup?Npi=1518668581","1518668581")</f>
        <v>1518668581</v>
      </c>
      <c r="D4355" s="36" t="s">
        <v>36695</v>
      </c>
      <c r="E4355" s="36" t="s">
        <v>2</v>
      </c>
      <c r="F4355" s="36">
        <v>1</v>
      </c>
      <c r="G4355" s="36">
        <v>2</v>
      </c>
      <c r="H4355" s="36">
        <v>0</v>
      </c>
      <c r="I4355" s="37">
        <v>0</v>
      </c>
      <c r="J4355" s="36" t="s">
        <v>36190</v>
      </c>
      <c r="K4355" s="36" t="s">
        <v>14330</v>
      </c>
      <c r="L4355" s="36" t="s">
        <v>14330</v>
      </c>
      <c r="M4355">
        <v>3</v>
      </c>
      <c r="N4355" t="s">
        <v>14331</v>
      </c>
      <c r="O4355" t="s">
        <v>14333</v>
      </c>
    </row>
    <row r="4356" spans="1:15" x14ac:dyDescent="0.25">
      <c r="A4356" s="35" t="s">
        <v>8275</v>
      </c>
      <c r="B4356" s="36" t="s">
        <v>8276</v>
      </c>
      <c r="C4356" s="36" t="str">
        <f>HYPERLINK("https://rhld.insurance.arkansas.gov/NPILookup?Npi=1518685957","1518685957")</f>
        <v>1518685957</v>
      </c>
      <c r="D4356" s="36" t="s">
        <v>36696</v>
      </c>
      <c r="E4356" s="36" t="s">
        <v>2</v>
      </c>
      <c r="F4356" s="36">
        <v>1</v>
      </c>
      <c r="G4356" s="36">
        <v>3</v>
      </c>
      <c r="H4356" s="36">
        <v>0</v>
      </c>
      <c r="I4356" s="37">
        <v>0</v>
      </c>
      <c r="J4356" s="36" t="s">
        <v>36190</v>
      </c>
      <c r="K4356" s="36" t="s">
        <v>14330</v>
      </c>
      <c r="L4356" s="36" t="s">
        <v>14330</v>
      </c>
      <c r="M4356">
        <v>3</v>
      </c>
      <c r="N4356" t="s">
        <v>14331</v>
      </c>
      <c r="O4356" t="s">
        <v>14333</v>
      </c>
    </row>
    <row r="4357" spans="1:15" x14ac:dyDescent="0.25">
      <c r="A4357" s="35" t="s">
        <v>8275</v>
      </c>
      <c r="B4357" s="36" t="s">
        <v>8276</v>
      </c>
      <c r="C4357" s="36" t="str">
        <f>HYPERLINK("https://rhld.insurance.arkansas.gov/NPILookup?Npi=1518700079","1518700079")</f>
        <v>1518700079</v>
      </c>
      <c r="D4357" s="36" t="s">
        <v>31265</v>
      </c>
      <c r="E4357" s="36" t="s">
        <v>2</v>
      </c>
      <c r="F4357" s="36">
        <v>1</v>
      </c>
      <c r="G4357" s="36">
        <v>3</v>
      </c>
      <c r="H4357" s="36">
        <v>0</v>
      </c>
      <c r="I4357" s="37">
        <v>0</v>
      </c>
      <c r="J4357" s="36" t="s">
        <v>36190</v>
      </c>
      <c r="K4357" s="36" t="s">
        <v>14330</v>
      </c>
      <c r="L4357" s="36" t="s">
        <v>14330</v>
      </c>
      <c r="M4357">
        <v>2</v>
      </c>
      <c r="N4357" t="s">
        <v>14331</v>
      </c>
      <c r="O4357" t="s">
        <v>14333</v>
      </c>
    </row>
    <row r="4358" spans="1:15" x14ac:dyDescent="0.25">
      <c r="A4358" s="35" t="s">
        <v>8275</v>
      </c>
      <c r="B4358" s="36" t="s">
        <v>8276</v>
      </c>
      <c r="C4358" s="36" t="str">
        <f>HYPERLINK("https://rhld.insurance.arkansas.gov/NPILookup?Npi=1518934314","1518934314")</f>
        <v>1518934314</v>
      </c>
      <c r="D4358" s="36" t="s">
        <v>36697</v>
      </c>
      <c r="E4358" s="36" t="s">
        <v>2</v>
      </c>
      <c r="F4358" s="36">
        <v>1</v>
      </c>
      <c r="G4358" s="36">
        <v>2</v>
      </c>
      <c r="H4358" s="36">
        <v>0</v>
      </c>
      <c r="I4358" s="37">
        <v>0</v>
      </c>
      <c r="J4358" s="36" t="s">
        <v>36190</v>
      </c>
      <c r="K4358" s="36" t="s">
        <v>14330</v>
      </c>
      <c r="L4358" s="36" t="s">
        <v>14330</v>
      </c>
      <c r="M4358">
        <v>3</v>
      </c>
      <c r="N4358" t="s">
        <v>14331</v>
      </c>
      <c r="O4358" t="s">
        <v>14333</v>
      </c>
    </row>
    <row r="4359" spans="1:15" x14ac:dyDescent="0.25">
      <c r="A4359" s="35" t="s">
        <v>8275</v>
      </c>
      <c r="B4359" s="36" t="s">
        <v>8276</v>
      </c>
      <c r="C4359" s="36" t="str">
        <f>HYPERLINK("https://rhld.insurance.arkansas.gov/NPILookup?Npi=1518961275","1518961275")</f>
        <v>1518961275</v>
      </c>
      <c r="D4359" s="36" t="s">
        <v>36698</v>
      </c>
      <c r="E4359" s="36" t="s">
        <v>2</v>
      </c>
      <c r="F4359" s="36">
        <v>1</v>
      </c>
      <c r="G4359" s="36">
        <v>3</v>
      </c>
      <c r="H4359" s="36">
        <v>0</v>
      </c>
      <c r="I4359" s="37">
        <v>0</v>
      </c>
      <c r="J4359" s="36" t="s">
        <v>36190</v>
      </c>
      <c r="K4359" s="36" t="s">
        <v>14330</v>
      </c>
      <c r="L4359" s="36" t="s">
        <v>14330</v>
      </c>
      <c r="M4359">
        <v>3</v>
      </c>
      <c r="N4359" t="s">
        <v>14331</v>
      </c>
      <c r="O4359" t="s">
        <v>14333</v>
      </c>
    </row>
    <row r="4360" spans="1:15" x14ac:dyDescent="0.25">
      <c r="A4360" s="35" t="s">
        <v>8275</v>
      </c>
      <c r="B4360" s="36" t="s">
        <v>8276</v>
      </c>
      <c r="C4360" s="36" t="str">
        <f>HYPERLINK("https://rhld.insurance.arkansas.gov/NPILookup?Npi=1518965128","1518965128")</f>
        <v>1518965128</v>
      </c>
      <c r="D4360" s="36" t="s">
        <v>36699</v>
      </c>
      <c r="E4360" s="36" t="s">
        <v>2</v>
      </c>
      <c r="F4360" s="36">
        <v>1</v>
      </c>
      <c r="G4360" s="36">
        <v>3</v>
      </c>
      <c r="H4360" s="36">
        <v>0</v>
      </c>
      <c r="I4360" s="37">
        <v>0</v>
      </c>
      <c r="J4360" s="36" t="s">
        <v>36190</v>
      </c>
      <c r="K4360" s="36" t="s">
        <v>14330</v>
      </c>
      <c r="L4360" s="36" t="s">
        <v>14330</v>
      </c>
      <c r="M4360">
        <v>2</v>
      </c>
      <c r="N4360" t="s">
        <v>14331</v>
      </c>
      <c r="O4360" t="s">
        <v>14333</v>
      </c>
    </row>
    <row r="4361" spans="1:15" x14ac:dyDescent="0.25">
      <c r="A4361" s="35" t="s">
        <v>8275</v>
      </c>
      <c r="B4361" s="36" t="s">
        <v>8276</v>
      </c>
      <c r="C4361" s="36" t="str">
        <f>HYPERLINK("https://rhld.insurance.arkansas.gov/NPILookup?Npi=1528031655","1528031655")</f>
        <v>1528031655</v>
      </c>
      <c r="D4361" s="36" t="s">
        <v>36700</v>
      </c>
      <c r="E4361" s="36" t="s">
        <v>2</v>
      </c>
      <c r="F4361" s="36">
        <v>1</v>
      </c>
      <c r="G4361" s="36">
        <v>2</v>
      </c>
      <c r="H4361" s="36">
        <v>0</v>
      </c>
      <c r="I4361" s="37">
        <v>0</v>
      </c>
      <c r="J4361" s="36" t="s">
        <v>36190</v>
      </c>
      <c r="K4361" s="36" t="s">
        <v>14330</v>
      </c>
      <c r="L4361" s="36" t="s">
        <v>14330</v>
      </c>
      <c r="M4361">
        <v>2</v>
      </c>
      <c r="N4361" t="s">
        <v>14331</v>
      </c>
      <c r="O4361" t="s">
        <v>14333</v>
      </c>
    </row>
    <row r="4362" spans="1:15" x14ac:dyDescent="0.25">
      <c r="A4362" s="35" t="s">
        <v>8275</v>
      </c>
      <c r="B4362" s="36" t="s">
        <v>8276</v>
      </c>
      <c r="C4362" s="36" t="str">
        <f>HYPERLINK("https://rhld.insurance.arkansas.gov/NPILookup?Npi=1528039443","1528039443")</f>
        <v>1528039443</v>
      </c>
      <c r="D4362" s="36" t="s">
        <v>36701</v>
      </c>
      <c r="E4362" s="36" t="s">
        <v>2</v>
      </c>
      <c r="F4362" s="36">
        <v>1</v>
      </c>
      <c r="G4362" s="36">
        <v>2</v>
      </c>
      <c r="H4362" s="36">
        <v>0</v>
      </c>
      <c r="I4362" s="37">
        <v>0</v>
      </c>
      <c r="J4362" s="36" t="s">
        <v>36190</v>
      </c>
      <c r="K4362" s="36" t="s">
        <v>14330</v>
      </c>
      <c r="L4362" s="36" t="s">
        <v>14330</v>
      </c>
      <c r="M4362">
        <v>3</v>
      </c>
      <c r="N4362" t="s">
        <v>14331</v>
      </c>
      <c r="O4362" t="s">
        <v>14333</v>
      </c>
    </row>
    <row r="4363" spans="1:15" x14ac:dyDescent="0.25">
      <c r="A4363" s="35" t="s">
        <v>8275</v>
      </c>
      <c r="B4363" s="36" t="s">
        <v>8276</v>
      </c>
      <c r="C4363" s="36" t="str">
        <f>HYPERLINK("https://rhld.insurance.arkansas.gov/NPILookup?Npi=1528055738","1528055738")</f>
        <v>1528055738</v>
      </c>
      <c r="D4363" s="36" t="s">
        <v>36702</v>
      </c>
      <c r="E4363" s="36" t="s">
        <v>2</v>
      </c>
      <c r="F4363" s="36">
        <v>1</v>
      </c>
      <c r="G4363" s="36">
        <v>3</v>
      </c>
      <c r="H4363" s="36">
        <v>0</v>
      </c>
      <c r="I4363" s="37">
        <v>0</v>
      </c>
      <c r="J4363" s="36" t="s">
        <v>36190</v>
      </c>
      <c r="K4363" s="36" t="s">
        <v>14330</v>
      </c>
      <c r="L4363" s="36" t="s">
        <v>14330</v>
      </c>
      <c r="M4363">
        <v>3</v>
      </c>
      <c r="N4363" t="s">
        <v>14331</v>
      </c>
      <c r="O4363" t="s">
        <v>14333</v>
      </c>
    </row>
    <row r="4364" spans="1:15" x14ac:dyDescent="0.25">
      <c r="A4364" s="35" t="s">
        <v>8275</v>
      </c>
      <c r="B4364" s="36" t="s">
        <v>8276</v>
      </c>
      <c r="C4364" s="36" t="str">
        <f>HYPERLINK("https://rhld.insurance.arkansas.gov/NPILookup?Npi=1528200417","1528200417")</f>
        <v>1528200417</v>
      </c>
      <c r="D4364" s="36" t="s">
        <v>36703</v>
      </c>
      <c r="E4364" s="36" t="s">
        <v>2</v>
      </c>
      <c r="F4364" s="36">
        <v>1</v>
      </c>
      <c r="G4364" s="36">
        <v>3</v>
      </c>
      <c r="H4364" s="36">
        <v>0</v>
      </c>
      <c r="I4364" s="37">
        <v>0</v>
      </c>
      <c r="J4364" s="36" t="s">
        <v>36190</v>
      </c>
      <c r="K4364" s="36" t="s">
        <v>14330</v>
      </c>
      <c r="L4364" s="36" t="s">
        <v>14330</v>
      </c>
      <c r="M4364">
        <v>2</v>
      </c>
      <c r="N4364" t="s">
        <v>14331</v>
      </c>
      <c r="O4364" t="s">
        <v>14333</v>
      </c>
    </row>
    <row r="4365" spans="1:15" x14ac:dyDescent="0.25">
      <c r="A4365" s="35" t="s">
        <v>8275</v>
      </c>
      <c r="B4365" s="36" t="s">
        <v>8276</v>
      </c>
      <c r="C4365" s="36" t="str">
        <f>HYPERLINK("https://rhld.insurance.arkansas.gov/NPILookup?Npi=1528204989","1528204989")</f>
        <v>1528204989</v>
      </c>
      <c r="D4365" s="36" t="s">
        <v>35567</v>
      </c>
      <c r="E4365" s="36" t="s">
        <v>2</v>
      </c>
      <c r="F4365" s="36">
        <v>1</v>
      </c>
      <c r="G4365" s="36">
        <v>2</v>
      </c>
      <c r="H4365" s="36">
        <v>0</v>
      </c>
      <c r="I4365" s="37">
        <v>0</v>
      </c>
      <c r="J4365" s="36"/>
      <c r="K4365" s="36" t="s">
        <v>14330</v>
      </c>
      <c r="L4365" s="36" t="s">
        <v>14330</v>
      </c>
      <c r="M4365">
        <v>0</v>
      </c>
      <c r="N4365" t="s">
        <v>14331</v>
      </c>
      <c r="O4365" t="s">
        <v>14333</v>
      </c>
    </row>
    <row r="4366" spans="1:15" x14ac:dyDescent="0.25">
      <c r="A4366" s="35" t="s">
        <v>8275</v>
      </c>
      <c r="B4366" s="36" t="s">
        <v>8276</v>
      </c>
      <c r="C4366" s="36" t="str">
        <f>HYPERLINK("https://rhld.insurance.arkansas.gov/NPILookup?Npi=1528301207","1528301207")</f>
        <v>1528301207</v>
      </c>
      <c r="D4366" s="36" t="s">
        <v>36704</v>
      </c>
      <c r="E4366" s="36" t="s">
        <v>1</v>
      </c>
      <c r="F4366" s="36">
        <v>1</v>
      </c>
      <c r="G4366" s="36">
        <v>1</v>
      </c>
      <c r="H4366" s="36">
        <v>1</v>
      </c>
      <c r="I4366" s="37">
        <v>0</v>
      </c>
      <c r="J4366" s="36" t="s">
        <v>32654</v>
      </c>
      <c r="K4366" s="36" t="s">
        <v>14330</v>
      </c>
      <c r="L4366" s="36" t="s">
        <v>36271</v>
      </c>
      <c r="M4366">
        <v>2</v>
      </c>
      <c r="N4366" t="s">
        <v>14332</v>
      </c>
      <c r="O4366" t="s">
        <v>32591</v>
      </c>
    </row>
    <row r="4367" spans="1:15" x14ac:dyDescent="0.25">
      <c r="A4367" s="35" t="s">
        <v>8275</v>
      </c>
      <c r="B4367" s="36" t="s">
        <v>8276</v>
      </c>
      <c r="C4367" s="36" t="str">
        <f>HYPERLINK("https://rhld.insurance.arkansas.gov/NPILookup?Npi=1528473915","1528473915")</f>
        <v>1528473915</v>
      </c>
      <c r="D4367" s="36" t="s">
        <v>36705</v>
      </c>
      <c r="E4367" s="36" t="s">
        <v>2</v>
      </c>
      <c r="F4367" s="36">
        <v>1</v>
      </c>
      <c r="G4367" s="36">
        <v>2</v>
      </c>
      <c r="H4367" s="36">
        <v>0</v>
      </c>
      <c r="I4367" s="37">
        <v>0</v>
      </c>
      <c r="J4367" s="36" t="s">
        <v>32679</v>
      </c>
      <c r="K4367" s="36" t="s">
        <v>14330</v>
      </c>
      <c r="L4367" s="36" t="s">
        <v>14330</v>
      </c>
      <c r="M4367">
        <v>2</v>
      </c>
      <c r="N4367" t="s">
        <v>14331</v>
      </c>
      <c r="O4367" t="s">
        <v>14333</v>
      </c>
    </row>
    <row r="4368" spans="1:15" x14ac:dyDescent="0.25">
      <c r="A4368" s="35" t="s">
        <v>8275</v>
      </c>
      <c r="B4368" s="36" t="s">
        <v>8276</v>
      </c>
      <c r="C4368" s="36" t="str">
        <f>HYPERLINK("https://rhld.insurance.arkansas.gov/NPILookup?Npi=1528518339","1528518339")</f>
        <v>1528518339</v>
      </c>
      <c r="D4368" s="36" t="s">
        <v>36706</v>
      </c>
      <c r="E4368" s="36" t="s">
        <v>2</v>
      </c>
      <c r="F4368" s="36">
        <v>1</v>
      </c>
      <c r="G4368" s="36">
        <v>2</v>
      </c>
      <c r="H4368" s="36">
        <v>0</v>
      </c>
      <c r="I4368" s="37">
        <v>0</v>
      </c>
      <c r="J4368" s="36" t="s">
        <v>36190</v>
      </c>
      <c r="K4368" s="36" t="s">
        <v>14330</v>
      </c>
      <c r="L4368" s="36" t="s">
        <v>14330</v>
      </c>
      <c r="M4368">
        <v>1</v>
      </c>
      <c r="N4368" t="s">
        <v>14331</v>
      </c>
      <c r="O4368" t="s">
        <v>14333</v>
      </c>
    </row>
    <row r="4369" spans="1:15" x14ac:dyDescent="0.25">
      <c r="A4369" s="35" t="s">
        <v>8275</v>
      </c>
      <c r="B4369" s="36" t="s">
        <v>8276</v>
      </c>
      <c r="C4369" s="36" t="str">
        <f>HYPERLINK("https://rhld.insurance.arkansas.gov/NPILookup?Npi=1528538915","1528538915")</f>
        <v>1528538915</v>
      </c>
      <c r="D4369" s="36" t="s">
        <v>35573</v>
      </c>
      <c r="E4369" s="36" t="s">
        <v>2</v>
      </c>
      <c r="F4369" s="36">
        <v>1</v>
      </c>
      <c r="G4369" s="36">
        <v>1</v>
      </c>
      <c r="H4369" s="36">
        <v>0</v>
      </c>
      <c r="I4369" s="37">
        <v>0</v>
      </c>
      <c r="J4369" s="36"/>
      <c r="K4369" s="36" t="s">
        <v>14330</v>
      </c>
      <c r="L4369" s="36" t="s">
        <v>14330</v>
      </c>
      <c r="M4369">
        <v>3</v>
      </c>
      <c r="N4369" t="s">
        <v>14331</v>
      </c>
      <c r="O4369" t="s">
        <v>32633</v>
      </c>
    </row>
    <row r="4370" spans="1:15" x14ac:dyDescent="0.25">
      <c r="A4370" s="35" t="s">
        <v>8275</v>
      </c>
      <c r="B4370" s="36" t="s">
        <v>8276</v>
      </c>
      <c r="C4370" s="36" t="str">
        <f>HYPERLINK("https://rhld.insurance.arkansas.gov/NPILookup?Npi=1528552130","1528552130")</f>
        <v>1528552130</v>
      </c>
      <c r="D4370" s="36" t="s">
        <v>36707</v>
      </c>
      <c r="E4370" s="36" t="s">
        <v>2</v>
      </c>
      <c r="F4370" s="36">
        <v>1</v>
      </c>
      <c r="G4370" s="36">
        <v>3</v>
      </c>
      <c r="H4370" s="36">
        <v>0</v>
      </c>
      <c r="I4370" s="37">
        <v>0</v>
      </c>
      <c r="J4370" s="36" t="s">
        <v>36190</v>
      </c>
      <c r="K4370" s="36" t="s">
        <v>14330</v>
      </c>
      <c r="L4370" s="36" t="s">
        <v>14330</v>
      </c>
      <c r="M4370">
        <v>3</v>
      </c>
      <c r="N4370" t="s">
        <v>14331</v>
      </c>
      <c r="O4370" t="s">
        <v>14333</v>
      </c>
    </row>
    <row r="4371" spans="1:15" x14ac:dyDescent="0.25">
      <c r="A4371" s="35" t="s">
        <v>8275</v>
      </c>
      <c r="B4371" s="36" t="s">
        <v>8276</v>
      </c>
      <c r="C4371" s="36" t="str">
        <f>HYPERLINK("https://rhld.insurance.arkansas.gov/NPILookup?Npi=1528592862","1528592862")</f>
        <v>1528592862</v>
      </c>
      <c r="D4371" s="36" t="s">
        <v>36708</v>
      </c>
      <c r="E4371" s="36" t="s">
        <v>2</v>
      </c>
      <c r="F4371" s="36">
        <v>1</v>
      </c>
      <c r="G4371" s="36">
        <v>3</v>
      </c>
      <c r="H4371" s="36">
        <v>0</v>
      </c>
      <c r="I4371" s="37">
        <v>0</v>
      </c>
      <c r="J4371" s="36" t="s">
        <v>36190</v>
      </c>
      <c r="K4371" s="36" t="s">
        <v>14330</v>
      </c>
      <c r="L4371" s="36" t="s">
        <v>14330</v>
      </c>
      <c r="M4371">
        <v>2</v>
      </c>
      <c r="N4371" t="s">
        <v>14331</v>
      </c>
      <c r="O4371" t="s">
        <v>14333</v>
      </c>
    </row>
    <row r="4372" spans="1:15" x14ac:dyDescent="0.25">
      <c r="A4372" s="35" t="s">
        <v>8275</v>
      </c>
      <c r="B4372" s="36" t="s">
        <v>8276</v>
      </c>
      <c r="C4372" s="36" t="str">
        <f>HYPERLINK("https://rhld.insurance.arkansas.gov/NPILookup?Npi=1528686870","1528686870")</f>
        <v>1528686870</v>
      </c>
      <c r="D4372" s="36" t="s">
        <v>36709</v>
      </c>
      <c r="E4372" s="36" t="s">
        <v>2</v>
      </c>
      <c r="F4372" s="36">
        <v>1</v>
      </c>
      <c r="G4372" s="36">
        <v>2</v>
      </c>
      <c r="H4372" s="36">
        <v>0</v>
      </c>
      <c r="I4372" s="37">
        <v>0</v>
      </c>
      <c r="J4372" s="36" t="s">
        <v>36190</v>
      </c>
      <c r="K4372" s="36" t="s">
        <v>14330</v>
      </c>
      <c r="L4372" s="36" t="s">
        <v>14330</v>
      </c>
      <c r="M4372">
        <v>2</v>
      </c>
      <c r="N4372" t="s">
        <v>14331</v>
      </c>
      <c r="O4372" t="s">
        <v>14333</v>
      </c>
    </row>
    <row r="4373" spans="1:15" x14ac:dyDescent="0.25">
      <c r="A4373" s="35" t="s">
        <v>8275</v>
      </c>
      <c r="B4373" s="36" t="s">
        <v>8276</v>
      </c>
      <c r="C4373" s="36" t="str">
        <f>HYPERLINK("https://rhld.insurance.arkansas.gov/NPILookup?Npi=1528694544","1528694544")</f>
        <v>1528694544</v>
      </c>
      <c r="D4373" s="36" t="s">
        <v>36710</v>
      </c>
      <c r="E4373" s="36" t="s">
        <v>2</v>
      </c>
      <c r="F4373" s="36">
        <v>1</v>
      </c>
      <c r="G4373" s="36">
        <v>2</v>
      </c>
      <c r="H4373" s="36">
        <v>0</v>
      </c>
      <c r="I4373" s="37">
        <v>0</v>
      </c>
      <c r="J4373" s="36" t="s">
        <v>36190</v>
      </c>
      <c r="K4373" s="36" t="s">
        <v>14330</v>
      </c>
      <c r="L4373" s="36" t="s">
        <v>14330</v>
      </c>
      <c r="M4373">
        <v>3</v>
      </c>
      <c r="N4373" t="s">
        <v>14331</v>
      </c>
      <c r="O4373" t="s">
        <v>14333</v>
      </c>
    </row>
    <row r="4374" spans="1:15" x14ac:dyDescent="0.25">
      <c r="A4374" s="35" t="s">
        <v>8275</v>
      </c>
      <c r="B4374" s="36" t="s">
        <v>8276</v>
      </c>
      <c r="C4374" s="36" t="str">
        <f>HYPERLINK("https://rhld.insurance.arkansas.gov/NPILookup?Npi=1528733862","1528733862")</f>
        <v>1528733862</v>
      </c>
      <c r="D4374" s="36" t="s">
        <v>36711</v>
      </c>
      <c r="E4374" s="36" t="s">
        <v>2</v>
      </c>
      <c r="F4374" s="36">
        <v>1</v>
      </c>
      <c r="G4374" s="36">
        <v>3</v>
      </c>
      <c r="H4374" s="36">
        <v>0</v>
      </c>
      <c r="I4374" s="37">
        <v>0</v>
      </c>
      <c r="J4374" s="36" t="s">
        <v>36190</v>
      </c>
      <c r="K4374" s="36" t="s">
        <v>14330</v>
      </c>
      <c r="L4374" s="36" t="s">
        <v>14330</v>
      </c>
      <c r="M4374">
        <v>1</v>
      </c>
      <c r="N4374" t="s">
        <v>14331</v>
      </c>
      <c r="O4374" t="s">
        <v>14333</v>
      </c>
    </row>
    <row r="4375" spans="1:15" x14ac:dyDescent="0.25">
      <c r="A4375" s="35" t="s">
        <v>8275</v>
      </c>
      <c r="B4375" s="36" t="s">
        <v>8276</v>
      </c>
      <c r="C4375" s="36" t="str">
        <f>HYPERLINK("https://rhld.insurance.arkansas.gov/NPILookup?Npi=1528780285","1528780285")</f>
        <v>1528780285</v>
      </c>
      <c r="D4375" s="36" t="s">
        <v>35574</v>
      </c>
      <c r="E4375" s="36" t="s">
        <v>2</v>
      </c>
      <c r="F4375" s="36">
        <v>1</v>
      </c>
      <c r="G4375" s="36">
        <v>1</v>
      </c>
      <c r="H4375" s="36">
        <v>0</v>
      </c>
      <c r="I4375" s="37">
        <v>0</v>
      </c>
      <c r="J4375" s="36"/>
      <c r="K4375" s="36" t="s">
        <v>14330</v>
      </c>
      <c r="L4375" s="36" t="s">
        <v>14330</v>
      </c>
      <c r="M4375">
        <v>2</v>
      </c>
      <c r="N4375" t="s">
        <v>14331</v>
      </c>
      <c r="O4375" t="s">
        <v>32633</v>
      </c>
    </row>
    <row r="4376" spans="1:15" x14ac:dyDescent="0.25">
      <c r="A4376" s="35" t="s">
        <v>8275</v>
      </c>
      <c r="B4376" s="36" t="s">
        <v>8276</v>
      </c>
      <c r="C4376" s="36" t="str">
        <f>HYPERLINK("https://rhld.insurance.arkansas.gov/NPILookup?Npi=1528837507","1528837507")</f>
        <v>1528837507</v>
      </c>
      <c r="D4376" s="36" t="s">
        <v>35575</v>
      </c>
      <c r="E4376" s="36" t="s">
        <v>2</v>
      </c>
      <c r="F4376" s="36">
        <v>1</v>
      </c>
      <c r="G4376" s="36">
        <v>2</v>
      </c>
      <c r="H4376" s="36">
        <v>0</v>
      </c>
      <c r="I4376" s="37">
        <v>0</v>
      </c>
      <c r="J4376" s="36"/>
      <c r="K4376" s="36" t="s">
        <v>14330</v>
      </c>
      <c r="L4376" s="36" t="s">
        <v>14330</v>
      </c>
      <c r="M4376">
        <v>3</v>
      </c>
      <c r="N4376" t="s">
        <v>14331</v>
      </c>
      <c r="O4376" t="s">
        <v>14333</v>
      </c>
    </row>
    <row r="4377" spans="1:15" x14ac:dyDescent="0.25">
      <c r="A4377" s="35" t="s">
        <v>8275</v>
      </c>
      <c r="B4377" s="36" t="s">
        <v>8276</v>
      </c>
      <c r="C4377" s="36" t="str">
        <f>HYPERLINK("https://rhld.insurance.arkansas.gov/NPILookup?Npi=1528840113","1528840113")</f>
        <v>1528840113</v>
      </c>
      <c r="D4377" s="36" t="s">
        <v>36712</v>
      </c>
      <c r="E4377" s="36" t="s">
        <v>2</v>
      </c>
      <c r="F4377" s="36">
        <v>1</v>
      </c>
      <c r="G4377" s="36">
        <v>3</v>
      </c>
      <c r="H4377" s="36">
        <v>0</v>
      </c>
      <c r="I4377" s="37">
        <v>0</v>
      </c>
      <c r="J4377" s="36" t="s">
        <v>36190</v>
      </c>
      <c r="K4377" s="36" t="s">
        <v>14330</v>
      </c>
      <c r="L4377" s="36" t="s">
        <v>14330</v>
      </c>
      <c r="M4377">
        <v>1</v>
      </c>
      <c r="N4377" t="s">
        <v>14331</v>
      </c>
      <c r="O4377" t="s">
        <v>14333</v>
      </c>
    </row>
    <row r="4378" spans="1:15" x14ac:dyDescent="0.25">
      <c r="A4378" s="35" t="s">
        <v>8275</v>
      </c>
      <c r="B4378" s="36" t="s">
        <v>8276</v>
      </c>
      <c r="C4378" s="36" t="str">
        <f>HYPERLINK("https://rhld.insurance.arkansas.gov/NPILookup?Npi=1528881919","1528881919")</f>
        <v>1528881919</v>
      </c>
      <c r="D4378" s="36" t="s">
        <v>35576</v>
      </c>
      <c r="E4378" s="36" t="s">
        <v>2</v>
      </c>
      <c r="F4378" s="36">
        <v>1</v>
      </c>
      <c r="G4378" s="36">
        <v>1</v>
      </c>
      <c r="H4378" s="36">
        <v>0</v>
      </c>
      <c r="I4378" s="37">
        <v>0</v>
      </c>
      <c r="J4378" s="36"/>
      <c r="K4378" s="36" t="s">
        <v>14330</v>
      </c>
      <c r="L4378" s="36" t="s">
        <v>14330</v>
      </c>
      <c r="M4378">
        <v>2</v>
      </c>
      <c r="N4378" t="s">
        <v>14331</v>
      </c>
      <c r="O4378" t="s">
        <v>32633</v>
      </c>
    </row>
    <row r="4379" spans="1:15" x14ac:dyDescent="0.25">
      <c r="A4379" s="35" t="s">
        <v>8275</v>
      </c>
      <c r="B4379" s="36" t="s">
        <v>8276</v>
      </c>
      <c r="C4379" s="36" t="str">
        <f>HYPERLINK("https://rhld.insurance.arkansas.gov/NPILookup?Npi=1528883261","1528883261")</f>
        <v>1528883261</v>
      </c>
      <c r="D4379" s="36" t="s">
        <v>35577</v>
      </c>
      <c r="E4379" s="36" t="s">
        <v>2</v>
      </c>
      <c r="F4379" s="36">
        <v>1</v>
      </c>
      <c r="G4379" s="36">
        <v>2</v>
      </c>
      <c r="H4379" s="36">
        <v>0</v>
      </c>
      <c r="I4379" s="37">
        <v>0</v>
      </c>
      <c r="J4379" s="36"/>
      <c r="K4379" s="36" t="s">
        <v>14330</v>
      </c>
      <c r="L4379" s="36" t="s">
        <v>14330</v>
      </c>
      <c r="M4379">
        <v>3</v>
      </c>
      <c r="N4379" t="s">
        <v>14331</v>
      </c>
      <c r="O4379" t="s">
        <v>14333</v>
      </c>
    </row>
    <row r="4380" spans="1:15" x14ac:dyDescent="0.25">
      <c r="A4380" s="35" t="s">
        <v>8275</v>
      </c>
      <c r="B4380" s="36" t="s">
        <v>8276</v>
      </c>
      <c r="C4380" s="36" t="str">
        <f>HYPERLINK("https://rhld.insurance.arkansas.gov/NPILookup?Npi=1538114822","1538114822")</f>
        <v>1538114822</v>
      </c>
      <c r="D4380" s="36" t="s">
        <v>36713</v>
      </c>
      <c r="E4380" s="36" t="s">
        <v>2</v>
      </c>
      <c r="F4380" s="36">
        <v>1</v>
      </c>
      <c r="G4380" s="36">
        <v>3</v>
      </c>
      <c r="H4380" s="36">
        <v>0</v>
      </c>
      <c r="I4380" s="37">
        <v>0</v>
      </c>
      <c r="J4380" s="36" t="s">
        <v>36190</v>
      </c>
      <c r="K4380" s="36" t="s">
        <v>14330</v>
      </c>
      <c r="L4380" s="36" t="s">
        <v>14330</v>
      </c>
      <c r="M4380">
        <v>3</v>
      </c>
      <c r="N4380" t="s">
        <v>14331</v>
      </c>
      <c r="O4380" t="s">
        <v>14333</v>
      </c>
    </row>
    <row r="4381" spans="1:15" x14ac:dyDescent="0.25">
      <c r="A4381" s="35" t="s">
        <v>8275</v>
      </c>
      <c r="B4381" s="36" t="s">
        <v>8276</v>
      </c>
      <c r="C4381" s="36" t="str">
        <f>HYPERLINK("https://rhld.insurance.arkansas.gov/NPILookup?Npi=1538132279","1538132279")</f>
        <v>1538132279</v>
      </c>
      <c r="D4381" s="36" t="s">
        <v>36714</v>
      </c>
      <c r="E4381" s="36" t="s">
        <v>2</v>
      </c>
      <c r="F4381" s="36">
        <v>1</v>
      </c>
      <c r="G4381" s="36">
        <v>3</v>
      </c>
      <c r="H4381" s="36">
        <v>0</v>
      </c>
      <c r="I4381" s="37">
        <v>0</v>
      </c>
      <c r="J4381" s="36" t="s">
        <v>36190</v>
      </c>
      <c r="K4381" s="36" t="s">
        <v>14330</v>
      </c>
      <c r="L4381" s="36" t="s">
        <v>14330</v>
      </c>
      <c r="M4381">
        <v>3</v>
      </c>
      <c r="N4381" t="s">
        <v>14331</v>
      </c>
      <c r="O4381" t="s">
        <v>14333</v>
      </c>
    </row>
    <row r="4382" spans="1:15" x14ac:dyDescent="0.25">
      <c r="A4382" s="35" t="s">
        <v>8275</v>
      </c>
      <c r="B4382" s="36" t="s">
        <v>8276</v>
      </c>
      <c r="C4382" s="36" t="str">
        <f>HYPERLINK("https://rhld.insurance.arkansas.gov/NPILookup?Npi=1538139563","1538139563")</f>
        <v>1538139563</v>
      </c>
      <c r="D4382" s="36" t="s">
        <v>36715</v>
      </c>
      <c r="E4382" s="36" t="s">
        <v>2</v>
      </c>
      <c r="F4382" s="36">
        <v>1</v>
      </c>
      <c r="G4382" s="36">
        <v>3</v>
      </c>
      <c r="H4382" s="36">
        <v>0</v>
      </c>
      <c r="I4382" s="37">
        <v>0</v>
      </c>
      <c r="J4382" s="36" t="s">
        <v>36190</v>
      </c>
      <c r="K4382" s="36" t="s">
        <v>14330</v>
      </c>
      <c r="L4382" s="36" t="s">
        <v>14330</v>
      </c>
      <c r="M4382">
        <v>2</v>
      </c>
      <c r="N4382" t="s">
        <v>14331</v>
      </c>
      <c r="O4382" t="s">
        <v>14333</v>
      </c>
    </row>
    <row r="4383" spans="1:15" x14ac:dyDescent="0.25">
      <c r="A4383" s="35" t="s">
        <v>8275</v>
      </c>
      <c r="B4383" s="36" t="s">
        <v>8276</v>
      </c>
      <c r="C4383" s="36" t="str">
        <f>HYPERLINK("https://rhld.insurance.arkansas.gov/NPILookup?Npi=1538141221","1538141221")</f>
        <v>1538141221</v>
      </c>
      <c r="D4383" s="36" t="s">
        <v>36716</v>
      </c>
      <c r="E4383" s="36" t="s">
        <v>2</v>
      </c>
      <c r="F4383" s="36">
        <v>1</v>
      </c>
      <c r="G4383" s="36">
        <v>2</v>
      </c>
      <c r="H4383" s="36">
        <v>0</v>
      </c>
      <c r="I4383" s="37">
        <v>0</v>
      </c>
      <c r="J4383" s="36" t="s">
        <v>36190</v>
      </c>
      <c r="K4383" s="36" t="s">
        <v>14330</v>
      </c>
      <c r="L4383" s="36" t="s">
        <v>14330</v>
      </c>
      <c r="M4383">
        <v>2</v>
      </c>
      <c r="N4383" t="s">
        <v>14331</v>
      </c>
      <c r="O4383" t="s">
        <v>14333</v>
      </c>
    </row>
    <row r="4384" spans="1:15" x14ac:dyDescent="0.25">
      <c r="A4384" s="35" t="s">
        <v>8275</v>
      </c>
      <c r="B4384" s="36" t="s">
        <v>8276</v>
      </c>
      <c r="C4384" s="36" t="str">
        <f>HYPERLINK("https://rhld.insurance.arkansas.gov/NPILookup?Npi=1538154570","1538154570")</f>
        <v>1538154570</v>
      </c>
      <c r="D4384" s="36" t="s">
        <v>36717</v>
      </c>
      <c r="E4384" s="36" t="s">
        <v>2</v>
      </c>
      <c r="F4384" s="36">
        <v>1</v>
      </c>
      <c r="G4384" s="36">
        <v>2</v>
      </c>
      <c r="H4384" s="36">
        <v>0</v>
      </c>
      <c r="I4384" s="37">
        <v>0</v>
      </c>
      <c r="J4384" s="36" t="s">
        <v>36190</v>
      </c>
      <c r="K4384" s="36" t="s">
        <v>14330</v>
      </c>
      <c r="L4384" s="36" t="s">
        <v>14330</v>
      </c>
      <c r="M4384">
        <v>2</v>
      </c>
      <c r="N4384" t="s">
        <v>14331</v>
      </c>
      <c r="O4384" t="s">
        <v>14333</v>
      </c>
    </row>
    <row r="4385" spans="1:15" x14ac:dyDescent="0.25">
      <c r="A4385" s="35" t="s">
        <v>8275</v>
      </c>
      <c r="B4385" s="36" t="s">
        <v>8276</v>
      </c>
      <c r="C4385" s="36" t="str">
        <f>HYPERLINK("https://rhld.insurance.arkansas.gov/NPILookup?Npi=1538155338","1538155338")</f>
        <v>1538155338</v>
      </c>
      <c r="D4385" s="36" t="s">
        <v>36718</v>
      </c>
      <c r="E4385" s="36" t="s">
        <v>2</v>
      </c>
      <c r="F4385" s="36">
        <v>1</v>
      </c>
      <c r="G4385" s="36">
        <v>2</v>
      </c>
      <c r="H4385" s="36">
        <v>0</v>
      </c>
      <c r="I4385" s="37">
        <v>0</v>
      </c>
      <c r="J4385" s="36" t="s">
        <v>36190</v>
      </c>
      <c r="K4385" s="36" t="s">
        <v>14330</v>
      </c>
      <c r="L4385" s="36" t="s">
        <v>14330</v>
      </c>
      <c r="M4385">
        <v>1</v>
      </c>
      <c r="N4385" t="s">
        <v>14331</v>
      </c>
      <c r="O4385" t="s">
        <v>14333</v>
      </c>
    </row>
    <row r="4386" spans="1:15" x14ac:dyDescent="0.25">
      <c r="A4386" s="35" t="s">
        <v>8275</v>
      </c>
      <c r="B4386" s="36" t="s">
        <v>8276</v>
      </c>
      <c r="C4386" s="36" t="str">
        <f>HYPERLINK("https://rhld.insurance.arkansas.gov/NPILookup?Npi=1538319884","1538319884")</f>
        <v>1538319884</v>
      </c>
      <c r="D4386" s="36" t="s">
        <v>36719</v>
      </c>
      <c r="E4386" s="36" t="s">
        <v>1</v>
      </c>
      <c r="F4386" s="36">
        <v>1</v>
      </c>
      <c r="G4386" s="36">
        <v>1</v>
      </c>
      <c r="H4386" s="36">
        <v>0</v>
      </c>
      <c r="I4386" s="37">
        <v>0</v>
      </c>
      <c r="J4386" s="36" t="s">
        <v>32654</v>
      </c>
      <c r="K4386" s="36" t="s">
        <v>14330</v>
      </c>
      <c r="L4386" s="36" t="s">
        <v>14330</v>
      </c>
      <c r="M4386">
        <v>3</v>
      </c>
      <c r="N4386" t="s">
        <v>14331</v>
      </c>
      <c r="O4386" t="s">
        <v>32633</v>
      </c>
    </row>
    <row r="4387" spans="1:15" x14ac:dyDescent="0.25">
      <c r="A4387" s="35" t="s">
        <v>8275</v>
      </c>
      <c r="B4387" s="36" t="s">
        <v>8276</v>
      </c>
      <c r="C4387" s="36" t="str">
        <f>HYPERLINK("https://rhld.insurance.arkansas.gov/NPILookup?Npi=1538331962","1538331962")</f>
        <v>1538331962</v>
      </c>
      <c r="D4387" s="36" t="s">
        <v>36720</v>
      </c>
      <c r="E4387" s="36" t="s">
        <v>2</v>
      </c>
      <c r="F4387" s="36">
        <v>1</v>
      </c>
      <c r="G4387" s="36">
        <v>3</v>
      </c>
      <c r="H4387" s="36">
        <v>0</v>
      </c>
      <c r="I4387" s="37">
        <v>0</v>
      </c>
      <c r="J4387" s="36" t="s">
        <v>36190</v>
      </c>
      <c r="K4387" s="36" t="s">
        <v>14330</v>
      </c>
      <c r="L4387" s="36" t="s">
        <v>14330</v>
      </c>
      <c r="M4387">
        <v>2</v>
      </c>
      <c r="N4387" t="s">
        <v>14331</v>
      </c>
      <c r="O4387" t="s">
        <v>14333</v>
      </c>
    </row>
    <row r="4388" spans="1:15" x14ac:dyDescent="0.25">
      <c r="A4388" s="35" t="s">
        <v>8275</v>
      </c>
      <c r="B4388" s="36" t="s">
        <v>8276</v>
      </c>
      <c r="C4388" s="36" t="str">
        <f>HYPERLINK("https://rhld.insurance.arkansas.gov/NPILookup?Npi=1538664388","1538664388")</f>
        <v>1538664388</v>
      </c>
      <c r="D4388" s="36" t="s">
        <v>33242</v>
      </c>
      <c r="E4388" s="36" t="s">
        <v>2</v>
      </c>
      <c r="F4388" s="36">
        <v>1</v>
      </c>
      <c r="G4388" s="36">
        <v>2</v>
      </c>
      <c r="H4388" s="36">
        <v>0</v>
      </c>
      <c r="I4388" s="37">
        <v>0</v>
      </c>
      <c r="J4388" s="36"/>
      <c r="K4388" s="36" t="s">
        <v>14330</v>
      </c>
      <c r="L4388" s="36" t="s">
        <v>14330</v>
      </c>
      <c r="M4388">
        <v>3</v>
      </c>
      <c r="N4388" t="s">
        <v>14331</v>
      </c>
      <c r="O4388" t="s">
        <v>14333</v>
      </c>
    </row>
    <row r="4389" spans="1:15" x14ac:dyDescent="0.25">
      <c r="A4389" s="35" t="s">
        <v>8275</v>
      </c>
      <c r="B4389" s="36" t="s">
        <v>8276</v>
      </c>
      <c r="C4389" s="36" t="str">
        <f>HYPERLINK("https://rhld.insurance.arkansas.gov/NPILookup?Npi=1538798087","1538798087")</f>
        <v>1538798087</v>
      </c>
      <c r="D4389" s="36" t="s">
        <v>36721</v>
      </c>
      <c r="E4389" s="36" t="s">
        <v>2</v>
      </c>
      <c r="F4389" s="36">
        <v>1</v>
      </c>
      <c r="G4389" s="36">
        <v>3</v>
      </c>
      <c r="H4389" s="36">
        <v>0</v>
      </c>
      <c r="I4389" s="37">
        <v>0</v>
      </c>
      <c r="J4389" s="36" t="s">
        <v>36190</v>
      </c>
      <c r="K4389" s="36" t="s">
        <v>14330</v>
      </c>
      <c r="L4389" s="36" t="s">
        <v>14330</v>
      </c>
      <c r="M4389">
        <v>3</v>
      </c>
      <c r="N4389" t="s">
        <v>14331</v>
      </c>
      <c r="O4389" t="s">
        <v>14333</v>
      </c>
    </row>
    <row r="4390" spans="1:15" x14ac:dyDescent="0.25">
      <c r="A4390" s="35" t="s">
        <v>8275</v>
      </c>
      <c r="B4390" s="36" t="s">
        <v>8276</v>
      </c>
      <c r="C4390" s="36" t="str">
        <f>HYPERLINK("https://rhld.insurance.arkansas.gov/NPILookup?Npi=1538806591","1538806591")</f>
        <v>1538806591</v>
      </c>
      <c r="D4390" s="36" t="s">
        <v>36722</v>
      </c>
      <c r="E4390" s="36" t="s">
        <v>2</v>
      </c>
      <c r="F4390" s="36">
        <v>1</v>
      </c>
      <c r="G4390" s="36">
        <v>3</v>
      </c>
      <c r="H4390" s="36">
        <v>0</v>
      </c>
      <c r="I4390" s="37">
        <v>0</v>
      </c>
      <c r="J4390" s="36" t="s">
        <v>36190</v>
      </c>
      <c r="K4390" s="36" t="s">
        <v>14330</v>
      </c>
      <c r="L4390" s="36" t="s">
        <v>14330</v>
      </c>
      <c r="M4390">
        <v>1</v>
      </c>
      <c r="N4390" t="s">
        <v>14331</v>
      </c>
      <c r="O4390" t="s">
        <v>14333</v>
      </c>
    </row>
    <row r="4391" spans="1:15" x14ac:dyDescent="0.25">
      <c r="A4391" s="35" t="s">
        <v>8275</v>
      </c>
      <c r="B4391" s="36" t="s">
        <v>8276</v>
      </c>
      <c r="C4391" s="36" t="str">
        <f>HYPERLINK("https://rhld.insurance.arkansas.gov/NPILookup?Npi=1538968896","1538968896")</f>
        <v>1538968896</v>
      </c>
      <c r="D4391" s="36" t="s">
        <v>34751</v>
      </c>
      <c r="E4391" s="36" t="s">
        <v>2</v>
      </c>
      <c r="F4391" s="36">
        <v>1</v>
      </c>
      <c r="G4391" s="36">
        <v>1</v>
      </c>
      <c r="H4391" s="36">
        <v>0</v>
      </c>
      <c r="I4391" s="37">
        <v>0</v>
      </c>
      <c r="J4391" s="36"/>
      <c r="K4391" s="36" t="s">
        <v>14330</v>
      </c>
      <c r="L4391" s="36" t="s">
        <v>14330</v>
      </c>
      <c r="M4391">
        <v>3</v>
      </c>
      <c r="N4391" t="s">
        <v>14331</v>
      </c>
      <c r="O4391" t="s">
        <v>32633</v>
      </c>
    </row>
    <row r="4392" spans="1:15" x14ac:dyDescent="0.25">
      <c r="A4392" s="35" t="s">
        <v>8275</v>
      </c>
      <c r="B4392" s="36" t="s">
        <v>8276</v>
      </c>
      <c r="C4392" s="36" t="str">
        <f>HYPERLINK("https://rhld.insurance.arkansas.gov/NPILookup?Npi=1548240856","1548240856")</f>
        <v>1548240856</v>
      </c>
      <c r="D4392" s="36" t="s">
        <v>36723</v>
      </c>
      <c r="E4392" s="36" t="s">
        <v>2</v>
      </c>
      <c r="F4392" s="36">
        <v>1</v>
      </c>
      <c r="G4392" s="36">
        <v>3</v>
      </c>
      <c r="H4392" s="36">
        <v>0</v>
      </c>
      <c r="I4392" s="37">
        <v>0</v>
      </c>
      <c r="J4392" s="36" t="s">
        <v>36190</v>
      </c>
      <c r="K4392" s="36" t="s">
        <v>14330</v>
      </c>
      <c r="L4392" s="36" t="s">
        <v>14330</v>
      </c>
      <c r="M4392">
        <v>2</v>
      </c>
      <c r="N4392" t="s">
        <v>14331</v>
      </c>
      <c r="O4392" t="s">
        <v>14333</v>
      </c>
    </row>
    <row r="4393" spans="1:15" x14ac:dyDescent="0.25">
      <c r="A4393" s="35" t="s">
        <v>8275</v>
      </c>
      <c r="B4393" s="36" t="s">
        <v>8276</v>
      </c>
      <c r="C4393" s="36" t="str">
        <f>HYPERLINK("https://rhld.insurance.arkansas.gov/NPILookup?Npi=1548329857","1548329857")</f>
        <v>1548329857</v>
      </c>
      <c r="D4393" s="36" t="s">
        <v>36724</v>
      </c>
      <c r="E4393" s="36" t="s">
        <v>2</v>
      </c>
      <c r="F4393" s="36">
        <v>1</v>
      </c>
      <c r="G4393" s="36">
        <v>2</v>
      </c>
      <c r="H4393" s="36">
        <v>0</v>
      </c>
      <c r="I4393" s="37">
        <v>0</v>
      </c>
      <c r="J4393" s="36" t="s">
        <v>36190</v>
      </c>
      <c r="K4393" s="36" t="s">
        <v>14330</v>
      </c>
      <c r="L4393" s="36" t="s">
        <v>14330</v>
      </c>
      <c r="M4393">
        <v>3</v>
      </c>
      <c r="N4393" t="s">
        <v>14331</v>
      </c>
      <c r="O4393" t="s">
        <v>14333</v>
      </c>
    </row>
    <row r="4394" spans="1:15" x14ac:dyDescent="0.25">
      <c r="A4394" s="35" t="s">
        <v>8275</v>
      </c>
      <c r="B4394" s="36" t="s">
        <v>8276</v>
      </c>
      <c r="C4394" s="36" t="str">
        <f>HYPERLINK("https://rhld.insurance.arkansas.gov/NPILookup?Npi=1548357981","1548357981")</f>
        <v>1548357981</v>
      </c>
      <c r="D4394" s="36" t="s">
        <v>36725</v>
      </c>
      <c r="E4394" s="36" t="s">
        <v>2</v>
      </c>
      <c r="F4394" s="36">
        <v>1</v>
      </c>
      <c r="G4394" s="36">
        <v>3</v>
      </c>
      <c r="H4394" s="36">
        <v>0</v>
      </c>
      <c r="I4394" s="37">
        <v>0</v>
      </c>
      <c r="J4394" s="36" t="s">
        <v>36190</v>
      </c>
      <c r="K4394" s="36" t="s">
        <v>14330</v>
      </c>
      <c r="L4394" s="36" t="s">
        <v>14330</v>
      </c>
      <c r="M4394">
        <v>2</v>
      </c>
      <c r="N4394" t="s">
        <v>14331</v>
      </c>
      <c r="O4394" t="s">
        <v>14333</v>
      </c>
    </row>
    <row r="4395" spans="1:15" x14ac:dyDescent="0.25">
      <c r="A4395" s="35" t="s">
        <v>8275</v>
      </c>
      <c r="B4395" s="36" t="s">
        <v>8276</v>
      </c>
      <c r="C4395" s="36" t="str">
        <f>HYPERLINK("https://rhld.insurance.arkansas.gov/NPILookup?Npi=1548366354","1548366354")</f>
        <v>1548366354</v>
      </c>
      <c r="D4395" s="36" t="s">
        <v>36726</v>
      </c>
      <c r="E4395" s="36" t="s">
        <v>2</v>
      </c>
      <c r="F4395" s="36">
        <v>1</v>
      </c>
      <c r="G4395" s="36">
        <v>2</v>
      </c>
      <c r="H4395" s="36">
        <v>0</v>
      </c>
      <c r="I4395" s="37">
        <v>0</v>
      </c>
      <c r="J4395" s="36" t="s">
        <v>36190</v>
      </c>
      <c r="K4395" s="36" t="s">
        <v>14330</v>
      </c>
      <c r="L4395" s="36" t="s">
        <v>14330</v>
      </c>
      <c r="M4395">
        <v>2</v>
      </c>
      <c r="N4395" t="s">
        <v>14331</v>
      </c>
      <c r="O4395" t="s">
        <v>14333</v>
      </c>
    </row>
    <row r="4396" spans="1:15" x14ac:dyDescent="0.25">
      <c r="A4396" s="35" t="s">
        <v>8275</v>
      </c>
      <c r="B4396" s="36" t="s">
        <v>8276</v>
      </c>
      <c r="C4396" s="36" t="str">
        <f>HYPERLINK("https://rhld.insurance.arkansas.gov/NPILookup?Npi=1548464936","1548464936")</f>
        <v>1548464936</v>
      </c>
      <c r="D4396" s="36" t="s">
        <v>36727</v>
      </c>
      <c r="E4396" s="36" t="s">
        <v>2</v>
      </c>
      <c r="F4396" s="36">
        <v>1</v>
      </c>
      <c r="G4396" s="36">
        <v>2</v>
      </c>
      <c r="H4396" s="36">
        <v>0</v>
      </c>
      <c r="I4396" s="37">
        <v>0</v>
      </c>
      <c r="J4396" s="36" t="s">
        <v>36190</v>
      </c>
      <c r="K4396" s="36" t="s">
        <v>14330</v>
      </c>
      <c r="L4396" s="36" t="s">
        <v>14330</v>
      </c>
      <c r="M4396">
        <v>3</v>
      </c>
      <c r="N4396" t="s">
        <v>14331</v>
      </c>
      <c r="O4396" t="s">
        <v>14333</v>
      </c>
    </row>
    <row r="4397" spans="1:15" x14ac:dyDescent="0.25">
      <c r="A4397" s="35" t="s">
        <v>8275</v>
      </c>
      <c r="B4397" s="36" t="s">
        <v>8276</v>
      </c>
      <c r="C4397" s="36" t="str">
        <f>HYPERLINK("https://rhld.insurance.arkansas.gov/NPILookup?Npi=1548611049","1548611049")</f>
        <v>1548611049</v>
      </c>
      <c r="D4397" s="36" t="s">
        <v>36728</v>
      </c>
      <c r="E4397" s="36" t="s">
        <v>2</v>
      </c>
      <c r="F4397" s="36">
        <v>1</v>
      </c>
      <c r="G4397" s="36">
        <v>3</v>
      </c>
      <c r="H4397" s="36">
        <v>0</v>
      </c>
      <c r="I4397" s="37">
        <v>0</v>
      </c>
      <c r="J4397" s="36" t="s">
        <v>36190</v>
      </c>
      <c r="K4397" s="36" t="s">
        <v>14330</v>
      </c>
      <c r="L4397" s="36" t="s">
        <v>14330</v>
      </c>
      <c r="M4397">
        <v>3</v>
      </c>
      <c r="N4397" t="s">
        <v>14331</v>
      </c>
      <c r="O4397" t="s">
        <v>14333</v>
      </c>
    </row>
    <row r="4398" spans="1:15" x14ac:dyDescent="0.25">
      <c r="A4398" s="35" t="s">
        <v>8275</v>
      </c>
      <c r="B4398" s="36" t="s">
        <v>8276</v>
      </c>
      <c r="C4398" s="36" t="str">
        <f>HYPERLINK("https://rhld.insurance.arkansas.gov/NPILookup?Npi=1548727522","1548727522")</f>
        <v>1548727522</v>
      </c>
      <c r="D4398" s="36" t="s">
        <v>36729</v>
      </c>
      <c r="E4398" s="36" t="s">
        <v>2</v>
      </c>
      <c r="F4398" s="36">
        <v>1</v>
      </c>
      <c r="G4398" s="36">
        <v>3</v>
      </c>
      <c r="H4398" s="36">
        <v>0</v>
      </c>
      <c r="I4398" s="37">
        <v>0</v>
      </c>
      <c r="J4398" s="36" t="s">
        <v>36190</v>
      </c>
      <c r="K4398" s="36" t="s">
        <v>14330</v>
      </c>
      <c r="L4398" s="36" t="s">
        <v>14330</v>
      </c>
      <c r="M4398">
        <v>1</v>
      </c>
      <c r="N4398" t="s">
        <v>14331</v>
      </c>
      <c r="O4398" t="s">
        <v>14333</v>
      </c>
    </row>
    <row r="4399" spans="1:15" x14ac:dyDescent="0.25">
      <c r="A4399" s="35" t="s">
        <v>8275</v>
      </c>
      <c r="B4399" s="36" t="s">
        <v>8276</v>
      </c>
      <c r="C4399" s="36" t="str">
        <f>HYPERLINK("https://rhld.insurance.arkansas.gov/NPILookup?Npi=1548850084","1548850084")</f>
        <v>1548850084</v>
      </c>
      <c r="D4399" s="36" t="s">
        <v>35600</v>
      </c>
      <c r="E4399" s="36" t="s">
        <v>2</v>
      </c>
      <c r="F4399" s="36">
        <v>1</v>
      </c>
      <c r="G4399" s="36">
        <v>1</v>
      </c>
      <c r="H4399" s="36">
        <v>0</v>
      </c>
      <c r="I4399" s="37">
        <v>0</v>
      </c>
      <c r="J4399" s="36"/>
      <c r="K4399" s="36" t="s">
        <v>14330</v>
      </c>
      <c r="L4399" s="36" t="s">
        <v>14330</v>
      </c>
      <c r="M4399">
        <v>2</v>
      </c>
      <c r="N4399" t="s">
        <v>14331</v>
      </c>
      <c r="O4399" t="s">
        <v>32633</v>
      </c>
    </row>
    <row r="4400" spans="1:15" x14ac:dyDescent="0.25">
      <c r="A4400" s="35" t="s">
        <v>8275</v>
      </c>
      <c r="B4400" s="36" t="s">
        <v>8276</v>
      </c>
      <c r="C4400" s="36" t="str">
        <f>HYPERLINK("https://rhld.insurance.arkansas.gov/NPILookup?Npi=1548899107","1548899107")</f>
        <v>1548899107</v>
      </c>
      <c r="D4400" s="36" t="s">
        <v>36730</v>
      </c>
      <c r="E4400" s="36" t="s">
        <v>2</v>
      </c>
      <c r="F4400" s="36">
        <v>1</v>
      </c>
      <c r="G4400" s="36">
        <v>2</v>
      </c>
      <c r="H4400" s="36">
        <v>0</v>
      </c>
      <c r="I4400" s="37">
        <v>0</v>
      </c>
      <c r="J4400" s="36" t="s">
        <v>36190</v>
      </c>
      <c r="K4400" s="36" t="s">
        <v>14330</v>
      </c>
      <c r="L4400" s="36" t="s">
        <v>14330</v>
      </c>
      <c r="M4400">
        <v>3</v>
      </c>
      <c r="N4400" t="s">
        <v>14331</v>
      </c>
      <c r="O4400" t="s">
        <v>14333</v>
      </c>
    </row>
    <row r="4401" spans="1:15" x14ac:dyDescent="0.25">
      <c r="A4401" s="35" t="s">
        <v>8275</v>
      </c>
      <c r="B4401" s="36" t="s">
        <v>8276</v>
      </c>
      <c r="C4401" s="36" t="str">
        <f>HYPERLINK("https://rhld.insurance.arkansas.gov/NPILookup?Npi=1548921497","1548921497")</f>
        <v>1548921497</v>
      </c>
      <c r="D4401" s="36" t="s">
        <v>36731</v>
      </c>
      <c r="E4401" s="36" t="s">
        <v>2</v>
      </c>
      <c r="F4401" s="36">
        <v>1</v>
      </c>
      <c r="G4401" s="36">
        <v>3</v>
      </c>
      <c r="H4401" s="36">
        <v>0</v>
      </c>
      <c r="I4401" s="37">
        <v>0</v>
      </c>
      <c r="J4401" s="36" t="s">
        <v>36190</v>
      </c>
      <c r="K4401" s="36" t="s">
        <v>14330</v>
      </c>
      <c r="L4401" s="36" t="s">
        <v>14330</v>
      </c>
      <c r="M4401">
        <v>3</v>
      </c>
      <c r="N4401" t="s">
        <v>14331</v>
      </c>
      <c r="O4401" t="s">
        <v>14333</v>
      </c>
    </row>
    <row r="4402" spans="1:15" x14ac:dyDescent="0.25">
      <c r="A4402" s="35" t="s">
        <v>8275</v>
      </c>
      <c r="B4402" s="36" t="s">
        <v>8276</v>
      </c>
      <c r="C4402" s="36" t="str">
        <f>HYPERLINK("https://rhld.insurance.arkansas.gov/NPILookup?Npi=1548938764","1548938764")</f>
        <v>1548938764</v>
      </c>
      <c r="D4402" s="36" t="s">
        <v>36732</v>
      </c>
      <c r="E4402" s="36" t="s">
        <v>2</v>
      </c>
      <c r="F4402" s="36">
        <v>1</v>
      </c>
      <c r="G4402" s="36">
        <v>3</v>
      </c>
      <c r="H4402" s="36">
        <v>0</v>
      </c>
      <c r="I4402" s="37">
        <v>0</v>
      </c>
      <c r="J4402" s="36" t="s">
        <v>36190</v>
      </c>
      <c r="K4402" s="36" t="s">
        <v>14330</v>
      </c>
      <c r="L4402" s="36" t="s">
        <v>14330</v>
      </c>
      <c r="M4402">
        <v>1</v>
      </c>
      <c r="N4402" t="s">
        <v>14331</v>
      </c>
      <c r="O4402" t="s">
        <v>14333</v>
      </c>
    </row>
    <row r="4403" spans="1:15" x14ac:dyDescent="0.25">
      <c r="A4403" s="35" t="s">
        <v>8275</v>
      </c>
      <c r="B4403" s="36" t="s">
        <v>8276</v>
      </c>
      <c r="C4403" s="36" t="str">
        <f>HYPERLINK("https://rhld.insurance.arkansas.gov/NPILookup?Npi=1558093393","1558093393")</f>
        <v>1558093393</v>
      </c>
      <c r="D4403" s="36" t="s">
        <v>35602</v>
      </c>
      <c r="E4403" s="36" t="s">
        <v>2</v>
      </c>
      <c r="F4403" s="36">
        <v>1</v>
      </c>
      <c r="G4403" s="36">
        <v>1</v>
      </c>
      <c r="H4403" s="36">
        <v>0</v>
      </c>
      <c r="I4403" s="37">
        <v>0</v>
      </c>
      <c r="J4403" s="36"/>
      <c r="K4403" s="36" t="s">
        <v>14330</v>
      </c>
      <c r="L4403" s="36" t="s">
        <v>14330</v>
      </c>
      <c r="M4403">
        <v>3</v>
      </c>
      <c r="N4403" t="s">
        <v>14331</v>
      </c>
      <c r="O4403" t="s">
        <v>32633</v>
      </c>
    </row>
    <row r="4404" spans="1:15" x14ac:dyDescent="0.25">
      <c r="A4404" s="35" t="s">
        <v>8275</v>
      </c>
      <c r="B4404" s="36" t="s">
        <v>8276</v>
      </c>
      <c r="C4404" s="36" t="str">
        <f>HYPERLINK("https://rhld.insurance.arkansas.gov/NPILookup?Npi=1558306019","1558306019")</f>
        <v>1558306019</v>
      </c>
      <c r="D4404" s="36" t="s">
        <v>36733</v>
      </c>
      <c r="E4404" s="36" t="s">
        <v>2</v>
      </c>
      <c r="F4404" s="36">
        <v>1</v>
      </c>
      <c r="G4404" s="36">
        <v>3</v>
      </c>
      <c r="H4404" s="36">
        <v>0</v>
      </c>
      <c r="I4404" s="37">
        <v>0</v>
      </c>
      <c r="J4404" s="36" t="s">
        <v>36190</v>
      </c>
      <c r="K4404" s="36" t="s">
        <v>14330</v>
      </c>
      <c r="L4404" s="36" t="s">
        <v>14330</v>
      </c>
      <c r="M4404">
        <v>-1</v>
      </c>
      <c r="N4404" t="s">
        <v>14331</v>
      </c>
      <c r="O4404" t="s">
        <v>14333</v>
      </c>
    </row>
    <row r="4405" spans="1:15" x14ac:dyDescent="0.25">
      <c r="A4405" s="35" t="s">
        <v>8275</v>
      </c>
      <c r="B4405" s="36" t="s">
        <v>8276</v>
      </c>
      <c r="C4405" s="36" t="str">
        <f>HYPERLINK("https://rhld.insurance.arkansas.gov/NPILookup?Npi=1558330704","1558330704")</f>
        <v>1558330704</v>
      </c>
      <c r="D4405" s="36" t="s">
        <v>36734</v>
      </c>
      <c r="E4405" s="36" t="s">
        <v>1</v>
      </c>
      <c r="F4405" s="36">
        <v>1</v>
      </c>
      <c r="G4405" s="36">
        <v>0</v>
      </c>
      <c r="H4405" s="36">
        <v>1</v>
      </c>
      <c r="I4405" s="37">
        <v>0</v>
      </c>
      <c r="J4405" s="36" t="s">
        <v>32654</v>
      </c>
      <c r="K4405" s="36" t="s">
        <v>14330</v>
      </c>
      <c r="L4405" s="36" t="s">
        <v>36637</v>
      </c>
      <c r="M4405">
        <v>3</v>
      </c>
      <c r="N4405" t="s">
        <v>14332</v>
      </c>
      <c r="O4405" t="s">
        <v>32591</v>
      </c>
    </row>
    <row r="4406" spans="1:15" x14ac:dyDescent="0.25">
      <c r="A4406" s="35" t="s">
        <v>8275</v>
      </c>
      <c r="B4406" s="36" t="s">
        <v>8276</v>
      </c>
      <c r="C4406" s="36" t="str">
        <f>HYPERLINK("https://rhld.insurance.arkansas.gov/NPILookup?Npi=1558511261","1558511261")</f>
        <v>1558511261</v>
      </c>
      <c r="D4406" s="36" t="s">
        <v>31267</v>
      </c>
      <c r="E4406" s="36" t="s">
        <v>2</v>
      </c>
      <c r="F4406" s="36">
        <v>1</v>
      </c>
      <c r="G4406" s="36">
        <v>3</v>
      </c>
      <c r="H4406" s="36">
        <v>0</v>
      </c>
      <c r="I4406" s="37">
        <v>0</v>
      </c>
      <c r="J4406" s="36" t="s">
        <v>36190</v>
      </c>
      <c r="K4406" s="36" t="s">
        <v>14330</v>
      </c>
      <c r="L4406" s="36" t="s">
        <v>14330</v>
      </c>
      <c r="M4406">
        <v>3</v>
      </c>
      <c r="N4406" t="s">
        <v>14331</v>
      </c>
      <c r="O4406" t="s">
        <v>14333</v>
      </c>
    </row>
    <row r="4407" spans="1:15" x14ac:dyDescent="0.25">
      <c r="A4407" s="35" t="s">
        <v>8275</v>
      </c>
      <c r="B4407" s="36" t="s">
        <v>8276</v>
      </c>
      <c r="C4407" s="36" t="str">
        <f>HYPERLINK("https://rhld.insurance.arkansas.gov/NPILookup?Npi=1558547919","1558547919")</f>
        <v>1558547919</v>
      </c>
      <c r="D4407" s="36" t="s">
        <v>36735</v>
      </c>
      <c r="E4407" s="36" t="s">
        <v>2</v>
      </c>
      <c r="F4407" s="36">
        <v>1</v>
      </c>
      <c r="G4407" s="36">
        <v>3</v>
      </c>
      <c r="H4407" s="36">
        <v>0</v>
      </c>
      <c r="I4407" s="37">
        <v>0</v>
      </c>
      <c r="J4407" s="36" t="s">
        <v>36190</v>
      </c>
      <c r="K4407" s="36" t="s">
        <v>14330</v>
      </c>
      <c r="L4407" s="36" t="s">
        <v>14330</v>
      </c>
      <c r="M4407">
        <v>1</v>
      </c>
      <c r="N4407" t="s">
        <v>14331</v>
      </c>
      <c r="O4407" t="s">
        <v>14333</v>
      </c>
    </row>
    <row r="4408" spans="1:15" x14ac:dyDescent="0.25">
      <c r="A4408" s="35" t="s">
        <v>8275</v>
      </c>
      <c r="B4408" s="36" t="s">
        <v>8276</v>
      </c>
      <c r="C4408" s="36" t="str">
        <f>HYPERLINK("https://rhld.insurance.arkansas.gov/NPILookup?Npi=1558603951","1558603951")</f>
        <v>1558603951</v>
      </c>
      <c r="D4408" s="36" t="s">
        <v>36736</v>
      </c>
      <c r="E4408" s="36" t="s">
        <v>1</v>
      </c>
      <c r="F4408" s="36">
        <v>1</v>
      </c>
      <c r="G4408" s="36">
        <v>2</v>
      </c>
      <c r="H4408" s="36">
        <v>1</v>
      </c>
      <c r="I4408" s="37">
        <v>0</v>
      </c>
      <c r="J4408" s="36" t="s">
        <v>32654</v>
      </c>
      <c r="K4408" s="36" t="s">
        <v>14330</v>
      </c>
      <c r="L4408" s="36" t="s">
        <v>36271</v>
      </c>
      <c r="M4408">
        <v>3</v>
      </c>
      <c r="N4408" t="s">
        <v>14332</v>
      </c>
      <c r="O4408" t="s">
        <v>32591</v>
      </c>
    </row>
    <row r="4409" spans="1:15" x14ac:dyDescent="0.25">
      <c r="A4409" s="35" t="s">
        <v>8275</v>
      </c>
      <c r="B4409" s="36" t="s">
        <v>8276</v>
      </c>
      <c r="C4409" s="36" t="str">
        <f>HYPERLINK("https://rhld.insurance.arkansas.gov/NPILookup?Npi=1558616557","1558616557")</f>
        <v>1558616557</v>
      </c>
      <c r="D4409" s="36" t="s">
        <v>36737</v>
      </c>
      <c r="E4409" s="36" t="s">
        <v>2</v>
      </c>
      <c r="F4409" s="36">
        <v>1</v>
      </c>
      <c r="G4409" s="36">
        <v>3</v>
      </c>
      <c r="H4409" s="36">
        <v>0</v>
      </c>
      <c r="I4409" s="37">
        <v>0</v>
      </c>
      <c r="J4409" s="36" t="s">
        <v>36190</v>
      </c>
      <c r="K4409" s="36" t="s">
        <v>14330</v>
      </c>
      <c r="L4409" s="36" t="s">
        <v>14330</v>
      </c>
      <c r="M4409">
        <v>2</v>
      </c>
      <c r="N4409" t="s">
        <v>14331</v>
      </c>
      <c r="O4409" t="s">
        <v>14333</v>
      </c>
    </row>
    <row r="4410" spans="1:15" x14ac:dyDescent="0.25">
      <c r="A4410" s="35" t="s">
        <v>8275</v>
      </c>
      <c r="B4410" s="36" t="s">
        <v>8276</v>
      </c>
      <c r="C4410" s="36" t="str">
        <f>HYPERLINK("https://rhld.insurance.arkansas.gov/NPILookup?Npi=1558657999","1558657999")</f>
        <v>1558657999</v>
      </c>
      <c r="D4410" s="36" t="s">
        <v>36738</v>
      </c>
      <c r="E4410" s="36" t="s">
        <v>2</v>
      </c>
      <c r="F4410" s="36">
        <v>1</v>
      </c>
      <c r="G4410" s="36">
        <v>2</v>
      </c>
      <c r="H4410" s="36">
        <v>0</v>
      </c>
      <c r="I4410" s="37">
        <v>0</v>
      </c>
      <c r="J4410" s="36" t="s">
        <v>36190</v>
      </c>
      <c r="K4410" s="36" t="s">
        <v>14330</v>
      </c>
      <c r="L4410" s="36" t="s">
        <v>14330</v>
      </c>
      <c r="M4410">
        <v>2</v>
      </c>
      <c r="N4410" t="s">
        <v>14331</v>
      </c>
      <c r="O4410" t="s">
        <v>14333</v>
      </c>
    </row>
    <row r="4411" spans="1:15" x14ac:dyDescent="0.25">
      <c r="A4411" s="35" t="s">
        <v>8275</v>
      </c>
      <c r="B4411" s="36" t="s">
        <v>8276</v>
      </c>
      <c r="C4411" s="36" t="str">
        <f>HYPERLINK("https://rhld.insurance.arkansas.gov/NPILookup?Npi=1558704536","1558704536")</f>
        <v>1558704536</v>
      </c>
      <c r="D4411" s="36" t="s">
        <v>36739</v>
      </c>
      <c r="E4411" s="36" t="s">
        <v>1</v>
      </c>
      <c r="F4411" s="36">
        <v>1</v>
      </c>
      <c r="G4411" s="36">
        <v>2</v>
      </c>
      <c r="H4411" s="36">
        <v>0</v>
      </c>
      <c r="I4411" s="37">
        <v>0</v>
      </c>
      <c r="J4411" s="36" t="s">
        <v>32723</v>
      </c>
      <c r="K4411" s="36" t="s">
        <v>14330</v>
      </c>
      <c r="L4411" s="36" t="s">
        <v>14330</v>
      </c>
      <c r="M4411">
        <v>3</v>
      </c>
      <c r="N4411" t="s">
        <v>14331</v>
      </c>
      <c r="O4411" t="s">
        <v>32724</v>
      </c>
    </row>
    <row r="4412" spans="1:15" x14ac:dyDescent="0.25">
      <c r="A4412" s="35" t="s">
        <v>8275</v>
      </c>
      <c r="B4412" s="36" t="s">
        <v>8276</v>
      </c>
      <c r="C4412" s="36" t="str">
        <f>HYPERLINK("https://rhld.insurance.arkansas.gov/NPILookup?Npi=1558715987","1558715987")</f>
        <v>1558715987</v>
      </c>
      <c r="D4412" s="36" t="s">
        <v>36740</v>
      </c>
      <c r="E4412" s="36" t="s">
        <v>2</v>
      </c>
      <c r="F4412" s="36">
        <v>1</v>
      </c>
      <c r="G4412" s="36">
        <v>3</v>
      </c>
      <c r="H4412" s="36">
        <v>0</v>
      </c>
      <c r="I4412" s="37">
        <v>0</v>
      </c>
      <c r="J4412" s="36" t="s">
        <v>36190</v>
      </c>
      <c r="K4412" s="36" t="s">
        <v>14330</v>
      </c>
      <c r="L4412" s="36" t="s">
        <v>14330</v>
      </c>
      <c r="M4412">
        <v>3</v>
      </c>
      <c r="N4412" t="s">
        <v>14331</v>
      </c>
      <c r="O4412" t="s">
        <v>14333</v>
      </c>
    </row>
    <row r="4413" spans="1:15" x14ac:dyDescent="0.25">
      <c r="A4413" s="35" t="s">
        <v>8275</v>
      </c>
      <c r="B4413" s="36" t="s">
        <v>8276</v>
      </c>
      <c r="C4413" s="36" t="str">
        <f>HYPERLINK("https://rhld.insurance.arkansas.gov/NPILookup?Npi=1558761668","1558761668")</f>
        <v>1558761668</v>
      </c>
      <c r="D4413" s="36" t="s">
        <v>36741</v>
      </c>
      <c r="E4413" s="36" t="s">
        <v>2</v>
      </c>
      <c r="F4413" s="36">
        <v>1</v>
      </c>
      <c r="G4413" s="36">
        <v>3</v>
      </c>
      <c r="H4413" s="36">
        <v>0</v>
      </c>
      <c r="I4413" s="37">
        <v>0</v>
      </c>
      <c r="J4413" s="36" t="s">
        <v>36190</v>
      </c>
      <c r="K4413" s="36" t="s">
        <v>14330</v>
      </c>
      <c r="L4413" s="36" t="s">
        <v>14330</v>
      </c>
      <c r="M4413">
        <v>2</v>
      </c>
      <c r="N4413" t="s">
        <v>14331</v>
      </c>
      <c r="O4413" t="s">
        <v>14333</v>
      </c>
    </row>
    <row r="4414" spans="1:15" x14ac:dyDescent="0.25">
      <c r="A4414" s="35" t="s">
        <v>8275</v>
      </c>
      <c r="B4414" s="36" t="s">
        <v>8276</v>
      </c>
      <c r="C4414" s="36" t="str">
        <f>HYPERLINK("https://rhld.insurance.arkansas.gov/NPILookup?Npi=1558779710","1558779710")</f>
        <v>1558779710</v>
      </c>
      <c r="D4414" s="36" t="s">
        <v>36742</v>
      </c>
      <c r="E4414" s="36" t="s">
        <v>2</v>
      </c>
      <c r="F4414" s="36">
        <v>1</v>
      </c>
      <c r="G4414" s="36">
        <v>2</v>
      </c>
      <c r="H4414" s="36">
        <v>0</v>
      </c>
      <c r="I4414" s="37">
        <v>0</v>
      </c>
      <c r="J4414" s="36" t="s">
        <v>36190</v>
      </c>
      <c r="K4414" s="36" t="s">
        <v>14330</v>
      </c>
      <c r="L4414" s="36" t="s">
        <v>14330</v>
      </c>
      <c r="M4414">
        <v>2</v>
      </c>
      <c r="N4414" t="s">
        <v>14331</v>
      </c>
      <c r="O4414" t="s">
        <v>14333</v>
      </c>
    </row>
    <row r="4415" spans="1:15" x14ac:dyDescent="0.25">
      <c r="A4415" s="35" t="s">
        <v>8275</v>
      </c>
      <c r="B4415" s="36" t="s">
        <v>8276</v>
      </c>
      <c r="C4415" s="36" t="str">
        <f>HYPERLINK("https://rhld.insurance.arkansas.gov/NPILookup?Npi=1558817205","1558817205")</f>
        <v>1558817205</v>
      </c>
      <c r="D4415" s="36" t="s">
        <v>36743</v>
      </c>
      <c r="E4415" s="36" t="s">
        <v>1</v>
      </c>
      <c r="F4415" s="36">
        <v>1</v>
      </c>
      <c r="G4415" s="36">
        <v>2</v>
      </c>
      <c r="H4415" s="36">
        <v>0</v>
      </c>
      <c r="I4415" s="37">
        <v>0</v>
      </c>
      <c r="J4415" s="36" t="s">
        <v>32654</v>
      </c>
      <c r="K4415" s="36" t="s">
        <v>14330</v>
      </c>
      <c r="L4415" s="36" t="s">
        <v>14330</v>
      </c>
      <c r="M4415">
        <v>3</v>
      </c>
      <c r="N4415" t="s">
        <v>14331</v>
      </c>
      <c r="O4415" t="s">
        <v>32633</v>
      </c>
    </row>
    <row r="4416" spans="1:15" x14ac:dyDescent="0.25">
      <c r="A4416" s="35" t="s">
        <v>8275</v>
      </c>
      <c r="B4416" s="36" t="s">
        <v>8276</v>
      </c>
      <c r="C4416" s="36" t="str">
        <f>HYPERLINK("https://rhld.insurance.arkansas.gov/NPILookup?Npi=1558874818","1558874818")</f>
        <v>1558874818</v>
      </c>
      <c r="D4416" s="36" t="s">
        <v>36744</v>
      </c>
      <c r="E4416" s="36" t="s">
        <v>2</v>
      </c>
      <c r="F4416" s="36">
        <v>1</v>
      </c>
      <c r="G4416" s="36">
        <v>3</v>
      </c>
      <c r="H4416" s="36">
        <v>0</v>
      </c>
      <c r="I4416" s="37">
        <v>0</v>
      </c>
      <c r="J4416" s="36" t="s">
        <v>36190</v>
      </c>
      <c r="K4416" s="36" t="s">
        <v>14330</v>
      </c>
      <c r="L4416" s="36" t="s">
        <v>14330</v>
      </c>
      <c r="M4416">
        <v>2</v>
      </c>
      <c r="N4416" t="s">
        <v>14331</v>
      </c>
      <c r="O4416" t="s">
        <v>14333</v>
      </c>
    </row>
    <row r="4417" spans="1:15" x14ac:dyDescent="0.25">
      <c r="A4417" s="35" t="s">
        <v>8275</v>
      </c>
      <c r="B4417" s="36" t="s">
        <v>8276</v>
      </c>
      <c r="C4417" s="36" t="str">
        <f>HYPERLINK("https://rhld.insurance.arkansas.gov/NPILookup?Npi=1558948398","1558948398")</f>
        <v>1558948398</v>
      </c>
      <c r="D4417" s="36" t="s">
        <v>35613</v>
      </c>
      <c r="E4417" s="36" t="s">
        <v>2</v>
      </c>
      <c r="F4417" s="36">
        <v>1</v>
      </c>
      <c r="G4417" s="36">
        <v>2</v>
      </c>
      <c r="H4417" s="36">
        <v>0</v>
      </c>
      <c r="I4417" s="37">
        <v>0</v>
      </c>
      <c r="J4417" s="36"/>
      <c r="K4417" s="36" t="s">
        <v>14330</v>
      </c>
      <c r="L4417" s="36" t="s">
        <v>14330</v>
      </c>
      <c r="M4417">
        <v>2</v>
      </c>
      <c r="N4417" t="s">
        <v>14331</v>
      </c>
      <c r="O4417" t="s">
        <v>14333</v>
      </c>
    </row>
    <row r="4418" spans="1:15" x14ac:dyDescent="0.25">
      <c r="A4418" s="35" t="s">
        <v>8275</v>
      </c>
      <c r="B4418" s="36" t="s">
        <v>8276</v>
      </c>
      <c r="C4418" s="36" t="str">
        <f>HYPERLINK("https://rhld.insurance.arkansas.gov/NPILookup?Npi=1568006211","1568006211")</f>
        <v>1568006211</v>
      </c>
      <c r="D4418" s="36" t="s">
        <v>35615</v>
      </c>
      <c r="E4418" s="36" t="s">
        <v>2</v>
      </c>
      <c r="F4418" s="36">
        <v>1</v>
      </c>
      <c r="G4418" s="36">
        <v>2</v>
      </c>
      <c r="H4418" s="36">
        <v>0</v>
      </c>
      <c r="I4418" s="37">
        <v>0</v>
      </c>
      <c r="J4418" s="36"/>
      <c r="K4418" s="36" t="s">
        <v>14330</v>
      </c>
      <c r="L4418" s="36" t="s">
        <v>14330</v>
      </c>
      <c r="M4418">
        <v>2</v>
      </c>
      <c r="N4418" t="s">
        <v>14331</v>
      </c>
      <c r="O4418" t="s">
        <v>14333</v>
      </c>
    </row>
    <row r="4419" spans="1:15" x14ac:dyDescent="0.25">
      <c r="A4419" s="35" t="s">
        <v>8275</v>
      </c>
      <c r="B4419" s="36" t="s">
        <v>8276</v>
      </c>
      <c r="C4419" s="36" t="str">
        <f>HYPERLINK("https://rhld.insurance.arkansas.gov/NPILookup?Npi=1568061828","1568061828")</f>
        <v>1568061828</v>
      </c>
      <c r="D4419" s="36" t="s">
        <v>36745</v>
      </c>
      <c r="E4419" s="36" t="s">
        <v>2</v>
      </c>
      <c r="F4419" s="36">
        <v>1</v>
      </c>
      <c r="G4419" s="36">
        <v>2</v>
      </c>
      <c r="H4419" s="36">
        <v>0</v>
      </c>
      <c r="I4419" s="37">
        <v>0</v>
      </c>
      <c r="J4419" s="36" t="s">
        <v>36190</v>
      </c>
      <c r="K4419" s="36" t="s">
        <v>14330</v>
      </c>
      <c r="L4419" s="36" t="s">
        <v>14330</v>
      </c>
      <c r="M4419">
        <v>2</v>
      </c>
      <c r="N4419" t="s">
        <v>14331</v>
      </c>
      <c r="O4419" t="s">
        <v>14333</v>
      </c>
    </row>
    <row r="4420" spans="1:15" x14ac:dyDescent="0.25">
      <c r="A4420" s="35" t="s">
        <v>8275</v>
      </c>
      <c r="B4420" s="36" t="s">
        <v>8276</v>
      </c>
      <c r="C4420" s="36" t="str">
        <f>HYPERLINK("https://rhld.insurance.arkansas.gov/NPILookup?Npi=1568088490","1568088490")</f>
        <v>1568088490</v>
      </c>
      <c r="D4420" s="36" t="s">
        <v>35616</v>
      </c>
      <c r="E4420" s="36" t="s">
        <v>2</v>
      </c>
      <c r="F4420" s="36">
        <v>1</v>
      </c>
      <c r="G4420" s="36">
        <v>2</v>
      </c>
      <c r="H4420" s="36">
        <v>0</v>
      </c>
      <c r="I4420" s="37">
        <v>0</v>
      </c>
      <c r="J4420" s="36"/>
      <c r="K4420" s="36" t="s">
        <v>14330</v>
      </c>
      <c r="L4420" s="36" t="s">
        <v>14330</v>
      </c>
      <c r="M4420">
        <v>3</v>
      </c>
      <c r="N4420" t="s">
        <v>14331</v>
      </c>
      <c r="O4420" t="s">
        <v>14333</v>
      </c>
    </row>
    <row r="4421" spans="1:15" x14ac:dyDescent="0.25">
      <c r="A4421" s="35" t="s">
        <v>8275</v>
      </c>
      <c r="B4421" s="36" t="s">
        <v>8276</v>
      </c>
      <c r="C4421" s="36" t="str">
        <f>HYPERLINK("https://rhld.insurance.arkansas.gov/NPILookup?Npi=1568090959","1568090959")</f>
        <v>1568090959</v>
      </c>
      <c r="D4421" s="36" t="s">
        <v>36746</v>
      </c>
      <c r="E4421" s="36" t="s">
        <v>2</v>
      </c>
      <c r="F4421" s="36">
        <v>1</v>
      </c>
      <c r="G4421" s="36">
        <v>3</v>
      </c>
      <c r="H4421" s="36">
        <v>0</v>
      </c>
      <c r="I4421" s="37">
        <v>0</v>
      </c>
      <c r="J4421" s="36" t="s">
        <v>36190</v>
      </c>
      <c r="K4421" s="36" t="s">
        <v>14330</v>
      </c>
      <c r="L4421" s="36" t="s">
        <v>14330</v>
      </c>
      <c r="M4421">
        <v>3</v>
      </c>
      <c r="N4421" t="s">
        <v>14331</v>
      </c>
      <c r="O4421" t="s">
        <v>14333</v>
      </c>
    </row>
    <row r="4422" spans="1:15" x14ac:dyDescent="0.25">
      <c r="A4422" s="35" t="s">
        <v>8275</v>
      </c>
      <c r="B4422" s="36" t="s">
        <v>8276</v>
      </c>
      <c r="C4422" s="36" t="str">
        <f>HYPERLINK("https://rhld.insurance.arkansas.gov/NPILookup?Npi=1568105146","1568105146")</f>
        <v>1568105146</v>
      </c>
      <c r="D4422" s="36" t="s">
        <v>36747</v>
      </c>
      <c r="E4422" s="36" t="s">
        <v>2</v>
      </c>
      <c r="F4422" s="36">
        <v>1</v>
      </c>
      <c r="G4422" s="36">
        <v>3</v>
      </c>
      <c r="H4422" s="36">
        <v>0</v>
      </c>
      <c r="I4422" s="37">
        <v>0</v>
      </c>
      <c r="J4422" s="36" t="s">
        <v>36190</v>
      </c>
      <c r="K4422" s="36" t="s">
        <v>14330</v>
      </c>
      <c r="L4422" s="36" t="s">
        <v>14330</v>
      </c>
      <c r="M4422">
        <v>1</v>
      </c>
      <c r="N4422" t="s">
        <v>14331</v>
      </c>
      <c r="O4422" t="s">
        <v>14333</v>
      </c>
    </row>
    <row r="4423" spans="1:15" x14ac:dyDescent="0.25">
      <c r="A4423" s="35" t="s">
        <v>8275</v>
      </c>
      <c r="B4423" s="36" t="s">
        <v>8276</v>
      </c>
      <c r="C4423" s="36" t="str">
        <f>HYPERLINK("https://rhld.insurance.arkansas.gov/NPILookup?Npi=1568208221","1568208221")</f>
        <v>1568208221</v>
      </c>
      <c r="D4423" s="36" t="s">
        <v>35619</v>
      </c>
      <c r="E4423" s="36" t="s">
        <v>2</v>
      </c>
      <c r="F4423" s="36">
        <v>1</v>
      </c>
      <c r="G4423" s="36">
        <v>1</v>
      </c>
      <c r="H4423" s="36">
        <v>0</v>
      </c>
      <c r="I4423" s="37">
        <v>0</v>
      </c>
      <c r="J4423" s="36"/>
      <c r="K4423" s="36" t="s">
        <v>14330</v>
      </c>
      <c r="L4423" s="36" t="s">
        <v>14330</v>
      </c>
      <c r="M4423">
        <v>2</v>
      </c>
      <c r="N4423" t="s">
        <v>14331</v>
      </c>
      <c r="O4423" t="s">
        <v>32633</v>
      </c>
    </row>
    <row r="4424" spans="1:15" x14ac:dyDescent="0.25">
      <c r="A4424" s="35" t="s">
        <v>8275</v>
      </c>
      <c r="B4424" s="36" t="s">
        <v>8276</v>
      </c>
      <c r="C4424" s="36" t="str">
        <f>HYPERLINK("https://rhld.insurance.arkansas.gov/NPILookup?Npi=1568275501","1568275501")</f>
        <v>1568275501</v>
      </c>
      <c r="D4424" s="36" t="s">
        <v>34756</v>
      </c>
      <c r="E4424" s="36" t="s">
        <v>2</v>
      </c>
      <c r="F4424" s="36">
        <v>1</v>
      </c>
      <c r="G4424" s="36">
        <v>2</v>
      </c>
      <c r="H4424" s="36">
        <v>0</v>
      </c>
      <c r="I4424" s="37">
        <v>0</v>
      </c>
      <c r="J4424" s="36"/>
      <c r="K4424" s="36" t="s">
        <v>14330</v>
      </c>
      <c r="L4424" s="36" t="s">
        <v>14330</v>
      </c>
      <c r="M4424">
        <v>2</v>
      </c>
      <c r="N4424" t="s">
        <v>14331</v>
      </c>
      <c r="O4424" t="s">
        <v>14333</v>
      </c>
    </row>
    <row r="4425" spans="1:15" x14ac:dyDescent="0.25">
      <c r="A4425" s="35" t="s">
        <v>8275</v>
      </c>
      <c r="B4425" s="36" t="s">
        <v>8276</v>
      </c>
      <c r="C4425" s="36" t="str">
        <f>HYPERLINK("https://rhld.insurance.arkansas.gov/NPILookup?Npi=1568293249","1568293249")</f>
        <v>1568293249</v>
      </c>
      <c r="D4425" s="36" t="s">
        <v>34757</v>
      </c>
      <c r="E4425" s="36" t="s">
        <v>2</v>
      </c>
      <c r="F4425" s="36">
        <v>1</v>
      </c>
      <c r="G4425" s="36">
        <v>2</v>
      </c>
      <c r="H4425" s="36">
        <v>0</v>
      </c>
      <c r="I4425" s="37">
        <v>0</v>
      </c>
      <c r="J4425" s="36"/>
      <c r="K4425" s="36" t="s">
        <v>14330</v>
      </c>
      <c r="L4425" s="36" t="s">
        <v>14330</v>
      </c>
      <c r="M4425">
        <v>3</v>
      </c>
      <c r="N4425" t="s">
        <v>14331</v>
      </c>
      <c r="O4425" t="s">
        <v>14333</v>
      </c>
    </row>
    <row r="4426" spans="1:15" x14ac:dyDescent="0.25">
      <c r="A4426" s="35" t="s">
        <v>8275</v>
      </c>
      <c r="B4426" s="36" t="s">
        <v>8276</v>
      </c>
      <c r="C4426" s="36" t="str">
        <f>HYPERLINK("https://rhld.insurance.arkansas.gov/NPILookup?Npi=1568434520","1568434520")</f>
        <v>1568434520</v>
      </c>
      <c r="D4426" s="36" t="s">
        <v>36748</v>
      </c>
      <c r="E4426" s="36" t="s">
        <v>2</v>
      </c>
      <c r="F4426" s="36">
        <v>1</v>
      </c>
      <c r="G4426" s="36">
        <v>3</v>
      </c>
      <c r="H4426" s="36">
        <v>0</v>
      </c>
      <c r="I4426" s="37">
        <v>0</v>
      </c>
      <c r="J4426" s="36" t="s">
        <v>36190</v>
      </c>
      <c r="K4426" s="36" t="s">
        <v>14330</v>
      </c>
      <c r="L4426" s="36" t="s">
        <v>14330</v>
      </c>
      <c r="M4426">
        <v>2</v>
      </c>
      <c r="N4426" t="s">
        <v>14331</v>
      </c>
      <c r="O4426" t="s">
        <v>14333</v>
      </c>
    </row>
    <row r="4427" spans="1:15" x14ac:dyDescent="0.25">
      <c r="A4427" s="35" t="s">
        <v>8275</v>
      </c>
      <c r="B4427" s="36" t="s">
        <v>8276</v>
      </c>
      <c r="C4427" s="36" t="str">
        <f>HYPERLINK("https://rhld.insurance.arkansas.gov/NPILookup?Npi=1568484566","1568484566")</f>
        <v>1568484566</v>
      </c>
      <c r="D4427" s="36" t="s">
        <v>36749</v>
      </c>
      <c r="E4427" s="36" t="s">
        <v>1</v>
      </c>
      <c r="F4427" s="36">
        <v>1</v>
      </c>
      <c r="G4427" s="36">
        <v>2</v>
      </c>
      <c r="H4427" s="36">
        <v>0</v>
      </c>
      <c r="I4427" s="37">
        <v>0</v>
      </c>
      <c r="J4427" s="36" t="s">
        <v>32723</v>
      </c>
      <c r="K4427" s="36" t="s">
        <v>14330</v>
      </c>
      <c r="L4427" s="36" t="s">
        <v>14330</v>
      </c>
      <c r="M4427">
        <v>2</v>
      </c>
      <c r="N4427" t="s">
        <v>14331</v>
      </c>
      <c r="O4427" t="s">
        <v>32724</v>
      </c>
    </row>
    <row r="4428" spans="1:15" x14ac:dyDescent="0.25">
      <c r="A4428" s="35" t="s">
        <v>8275</v>
      </c>
      <c r="B4428" s="36" t="s">
        <v>8276</v>
      </c>
      <c r="C4428" s="36" t="str">
        <f>HYPERLINK("https://rhld.insurance.arkansas.gov/NPILookup?Npi=1568495638","1568495638")</f>
        <v>1568495638</v>
      </c>
      <c r="D4428" s="36" t="s">
        <v>33255</v>
      </c>
      <c r="E4428" s="36" t="s">
        <v>2</v>
      </c>
      <c r="F4428" s="36">
        <v>1</v>
      </c>
      <c r="G4428" s="36">
        <v>2</v>
      </c>
      <c r="H4428" s="36">
        <v>0</v>
      </c>
      <c r="I4428" s="37">
        <v>0</v>
      </c>
      <c r="J4428" s="36"/>
      <c r="K4428" s="36" t="s">
        <v>14330</v>
      </c>
      <c r="L4428" s="36" t="s">
        <v>14330</v>
      </c>
      <c r="M4428">
        <v>3</v>
      </c>
      <c r="N4428" t="s">
        <v>14331</v>
      </c>
      <c r="O4428" t="s">
        <v>14333</v>
      </c>
    </row>
    <row r="4429" spans="1:15" x14ac:dyDescent="0.25">
      <c r="A4429" s="35" t="s">
        <v>8275</v>
      </c>
      <c r="B4429" s="36" t="s">
        <v>8276</v>
      </c>
      <c r="C4429" s="36" t="str">
        <f>HYPERLINK("https://rhld.insurance.arkansas.gov/NPILookup?Npi=1568511491","1568511491")</f>
        <v>1568511491</v>
      </c>
      <c r="D4429" s="36" t="s">
        <v>36750</v>
      </c>
      <c r="E4429" s="36" t="s">
        <v>2</v>
      </c>
      <c r="F4429" s="36">
        <v>1</v>
      </c>
      <c r="G4429" s="36">
        <v>3</v>
      </c>
      <c r="H4429" s="36">
        <v>0</v>
      </c>
      <c r="I4429" s="37">
        <v>0</v>
      </c>
      <c r="J4429" s="36" t="s">
        <v>36190</v>
      </c>
      <c r="K4429" s="36" t="s">
        <v>14330</v>
      </c>
      <c r="L4429" s="36" t="s">
        <v>14330</v>
      </c>
      <c r="M4429">
        <v>0</v>
      </c>
      <c r="N4429" t="s">
        <v>14331</v>
      </c>
      <c r="O4429" t="s">
        <v>14333</v>
      </c>
    </row>
    <row r="4430" spans="1:15" x14ac:dyDescent="0.25">
      <c r="A4430" s="35" t="s">
        <v>8275</v>
      </c>
      <c r="B4430" s="36" t="s">
        <v>8276</v>
      </c>
      <c r="C4430" s="36" t="str">
        <f>HYPERLINK("https://rhld.insurance.arkansas.gov/NPILookup?Npi=1568753903","1568753903")</f>
        <v>1568753903</v>
      </c>
      <c r="D4430" s="36" t="s">
        <v>36751</v>
      </c>
      <c r="E4430" s="36" t="s">
        <v>1</v>
      </c>
      <c r="F4430" s="36">
        <v>1</v>
      </c>
      <c r="G4430" s="36">
        <v>1</v>
      </c>
      <c r="H4430" s="36">
        <v>1</v>
      </c>
      <c r="I4430" s="37">
        <v>0</v>
      </c>
      <c r="J4430" s="36" t="s">
        <v>32654</v>
      </c>
      <c r="K4430" s="36" t="s">
        <v>14330</v>
      </c>
      <c r="L4430" s="36" t="s">
        <v>36271</v>
      </c>
      <c r="M4430">
        <v>2</v>
      </c>
      <c r="N4430" t="s">
        <v>14332</v>
      </c>
      <c r="O4430" t="s">
        <v>32591</v>
      </c>
    </row>
    <row r="4431" spans="1:15" x14ac:dyDescent="0.25">
      <c r="A4431" s="35" t="s">
        <v>8275</v>
      </c>
      <c r="B4431" s="36" t="s">
        <v>8276</v>
      </c>
      <c r="C4431" s="36" t="str">
        <f>HYPERLINK("https://rhld.insurance.arkansas.gov/NPILookup?Npi=1568898542","1568898542")</f>
        <v>1568898542</v>
      </c>
      <c r="D4431" s="36" t="s">
        <v>35627</v>
      </c>
      <c r="E4431" s="36" t="s">
        <v>2</v>
      </c>
      <c r="F4431" s="36">
        <v>1</v>
      </c>
      <c r="G4431" s="36">
        <v>2</v>
      </c>
      <c r="H4431" s="36">
        <v>0</v>
      </c>
      <c r="I4431" s="37">
        <v>0</v>
      </c>
      <c r="J4431" s="36"/>
      <c r="K4431" s="36" t="s">
        <v>14330</v>
      </c>
      <c r="L4431" s="36" t="s">
        <v>14330</v>
      </c>
      <c r="M4431">
        <v>1</v>
      </c>
      <c r="N4431" t="s">
        <v>14331</v>
      </c>
      <c r="O4431" t="s">
        <v>14333</v>
      </c>
    </row>
    <row r="4432" spans="1:15" x14ac:dyDescent="0.25">
      <c r="A4432" s="35" t="s">
        <v>8275</v>
      </c>
      <c r="B4432" s="36" t="s">
        <v>8276</v>
      </c>
      <c r="C4432" s="36" t="str">
        <f>HYPERLINK("https://rhld.insurance.arkansas.gov/NPILookup?Npi=1578084778","1578084778")</f>
        <v>1578084778</v>
      </c>
      <c r="D4432" s="36" t="s">
        <v>36752</v>
      </c>
      <c r="E4432" s="36" t="s">
        <v>2</v>
      </c>
      <c r="F4432" s="36">
        <v>1</v>
      </c>
      <c r="G4432" s="36">
        <v>1</v>
      </c>
      <c r="H4432" s="36">
        <v>0</v>
      </c>
      <c r="I4432" s="37">
        <v>0</v>
      </c>
      <c r="J4432" s="36" t="s">
        <v>32679</v>
      </c>
      <c r="K4432" s="36" t="s">
        <v>14330</v>
      </c>
      <c r="L4432" s="36" t="s">
        <v>14330</v>
      </c>
      <c r="M4432">
        <v>2</v>
      </c>
      <c r="N4432" t="s">
        <v>14331</v>
      </c>
      <c r="O4432" t="s">
        <v>32633</v>
      </c>
    </row>
    <row r="4433" spans="1:15" x14ac:dyDescent="0.25">
      <c r="A4433" s="35" t="s">
        <v>8275</v>
      </c>
      <c r="B4433" s="36" t="s">
        <v>8276</v>
      </c>
      <c r="C4433" s="36" t="str">
        <f>HYPERLINK("https://rhld.insurance.arkansas.gov/NPILookup?Npi=1578101655","1578101655")</f>
        <v>1578101655</v>
      </c>
      <c r="D4433" s="36" t="s">
        <v>36753</v>
      </c>
      <c r="E4433" s="36" t="s">
        <v>2</v>
      </c>
      <c r="F4433" s="36">
        <v>1</v>
      </c>
      <c r="G4433" s="36">
        <v>2</v>
      </c>
      <c r="H4433" s="36">
        <v>0</v>
      </c>
      <c r="I4433" s="37">
        <v>0</v>
      </c>
      <c r="J4433" s="36" t="s">
        <v>36190</v>
      </c>
      <c r="K4433" s="36" t="s">
        <v>14330</v>
      </c>
      <c r="L4433" s="36" t="s">
        <v>14330</v>
      </c>
      <c r="M4433">
        <v>2</v>
      </c>
      <c r="N4433" t="s">
        <v>14331</v>
      </c>
      <c r="O4433" t="s">
        <v>14333</v>
      </c>
    </row>
    <row r="4434" spans="1:15" x14ac:dyDescent="0.25">
      <c r="A4434" s="35" t="s">
        <v>8275</v>
      </c>
      <c r="B4434" s="36" t="s">
        <v>8276</v>
      </c>
      <c r="C4434" s="36" t="str">
        <f>HYPERLINK("https://rhld.insurance.arkansas.gov/NPILookup?Npi=1578251757","1578251757")</f>
        <v>1578251757</v>
      </c>
      <c r="D4434" s="36" t="s">
        <v>35632</v>
      </c>
      <c r="E4434" s="36" t="s">
        <v>2</v>
      </c>
      <c r="F4434" s="36">
        <v>1</v>
      </c>
      <c r="G4434" s="36">
        <v>2</v>
      </c>
      <c r="H4434" s="36">
        <v>0</v>
      </c>
      <c r="I4434" s="37">
        <v>0</v>
      </c>
      <c r="J4434" s="36"/>
      <c r="K4434" s="36" t="s">
        <v>14330</v>
      </c>
      <c r="L4434" s="36" t="s">
        <v>14330</v>
      </c>
      <c r="M4434">
        <v>1</v>
      </c>
      <c r="N4434" t="s">
        <v>14331</v>
      </c>
      <c r="O4434" t="s">
        <v>14333</v>
      </c>
    </row>
    <row r="4435" spans="1:15" x14ac:dyDescent="0.25">
      <c r="A4435" s="35" t="s">
        <v>8275</v>
      </c>
      <c r="B4435" s="36" t="s">
        <v>8276</v>
      </c>
      <c r="C4435" s="36" t="str">
        <f>HYPERLINK("https://rhld.insurance.arkansas.gov/NPILookup?Npi=1578252276","1578252276")</f>
        <v>1578252276</v>
      </c>
      <c r="D4435" s="36" t="s">
        <v>35633</v>
      </c>
      <c r="E4435" s="36" t="s">
        <v>2</v>
      </c>
      <c r="F4435" s="36">
        <v>1</v>
      </c>
      <c r="G4435" s="36">
        <v>1</v>
      </c>
      <c r="H4435" s="36">
        <v>0</v>
      </c>
      <c r="I4435" s="37">
        <v>0</v>
      </c>
      <c r="J4435" s="36"/>
      <c r="K4435" s="36" t="s">
        <v>14330</v>
      </c>
      <c r="L4435" s="36" t="s">
        <v>14330</v>
      </c>
      <c r="M4435">
        <v>2</v>
      </c>
      <c r="N4435" t="s">
        <v>14331</v>
      </c>
      <c r="O4435" t="s">
        <v>32633</v>
      </c>
    </row>
    <row r="4436" spans="1:15" x14ac:dyDescent="0.25">
      <c r="A4436" s="35" t="s">
        <v>8275</v>
      </c>
      <c r="B4436" s="36" t="s">
        <v>8276</v>
      </c>
      <c r="C4436" s="36" t="str">
        <f>HYPERLINK("https://rhld.insurance.arkansas.gov/NPILookup?Npi=1578285383","1578285383")</f>
        <v>1578285383</v>
      </c>
      <c r="D4436" s="36" t="s">
        <v>36754</v>
      </c>
      <c r="E4436" s="36" t="s">
        <v>1</v>
      </c>
      <c r="F4436" s="36">
        <v>1</v>
      </c>
      <c r="G4436" s="36">
        <v>2</v>
      </c>
      <c r="H4436" s="36">
        <v>0</v>
      </c>
      <c r="I4436" s="37">
        <v>0</v>
      </c>
      <c r="J4436" s="36" t="s">
        <v>32654</v>
      </c>
      <c r="K4436" s="36" t="s">
        <v>14330</v>
      </c>
      <c r="L4436" s="36" t="s">
        <v>14330</v>
      </c>
      <c r="M4436">
        <v>2</v>
      </c>
      <c r="N4436" t="s">
        <v>14331</v>
      </c>
      <c r="O4436" t="s">
        <v>32633</v>
      </c>
    </row>
    <row r="4437" spans="1:15" x14ac:dyDescent="0.25">
      <c r="A4437" s="35" t="s">
        <v>8275</v>
      </c>
      <c r="B4437" s="36" t="s">
        <v>8276</v>
      </c>
      <c r="C4437" s="36" t="str">
        <f>HYPERLINK("https://rhld.insurance.arkansas.gov/NPILookup?Npi=1578357109","1578357109")</f>
        <v>1578357109</v>
      </c>
      <c r="D4437" s="36" t="s">
        <v>34761</v>
      </c>
      <c r="E4437" s="36" t="s">
        <v>2</v>
      </c>
      <c r="F4437" s="36">
        <v>1</v>
      </c>
      <c r="G4437" s="36">
        <v>2</v>
      </c>
      <c r="H4437" s="36">
        <v>0</v>
      </c>
      <c r="I4437" s="37">
        <v>0</v>
      </c>
      <c r="J4437" s="36"/>
      <c r="K4437" s="36" t="s">
        <v>14330</v>
      </c>
      <c r="L4437" s="36" t="s">
        <v>14330</v>
      </c>
      <c r="M4437">
        <v>2</v>
      </c>
      <c r="N4437" t="s">
        <v>14331</v>
      </c>
      <c r="O4437" t="s">
        <v>14333</v>
      </c>
    </row>
    <row r="4438" spans="1:15" x14ac:dyDescent="0.25">
      <c r="A4438" s="35" t="s">
        <v>8275</v>
      </c>
      <c r="B4438" s="36" t="s">
        <v>8276</v>
      </c>
      <c r="C4438" s="36" t="str">
        <f>HYPERLINK("https://rhld.insurance.arkansas.gov/NPILookup?Npi=1578372660","1578372660")</f>
        <v>1578372660</v>
      </c>
      <c r="D4438" s="36" t="s">
        <v>35634</v>
      </c>
      <c r="E4438" s="36" t="s">
        <v>2</v>
      </c>
      <c r="F4438" s="36">
        <v>1</v>
      </c>
      <c r="G4438" s="36">
        <v>2</v>
      </c>
      <c r="H4438" s="36">
        <v>0</v>
      </c>
      <c r="I4438" s="37">
        <v>0</v>
      </c>
      <c r="J4438" s="36"/>
      <c r="K4438" s="36" t="s">
        <v>14330</v>
      </c>
      <c r="L4438" s="36" t="s">
        <v>14330</v>
      </c>
      <c r="M4438">
        <v>1</v>
      </c>
      <c r="N4438" t="s">
        <v>14331</v>
      </c>
      <c r="O4438" t="s">
        <v>14333</v>
      </c>
    </row>
    <row r="4439" spans="1:15" x14ac:dyDescent="0.25">
      <c r="A4439" s="35" t="s">
        <v>8275</v>
      </c>
      <c r="B4439" s="36" t="s">
        <v>8276</v>
      </c>
      <c r="C4439" s="36" t="str">
        <f>HYPERLINK("https://rhld.insurance.arkansas.gov/NPILookup?Npi=1578387668","1578387668")</f>
        <v>1578387668</v>
      </c>
      <c r="D4439" s="36" t="s">
        <v>34762</v>
      </c>
      <c r="E4439" s="36" t="s">
        <v>2</v>
      </c>
      <c r="F4439" s="36">
        <v>1</v>
      </c>
      <c r="G4439" s="36">
        <v>1</v>
      </c>
      <c r="H4439" s="36">
        <v>0</v>
      </c>
      <c r="I4439" s="37">
        <v>0</v>
      </c>
      <c r="J4439" s="36"/>
      <c r="K4439" s="36" t="s">
        <v>14330</v>
      </c>
      <c r="L4439" s="36" t="s">
        <v>14330</v>
      </c>
      <c r="M4439">
        <v>2</v>
      </c>
      <c r="N4439" t="s">
        <v>14331</v>
      </c>
      <c r="O4439" t="s">
        <v>32633</v>
      </c>
    </row>
    <row r="4440" spans="1:15" x14ac:dyDescent="0.25">
      <c r="A4440" s="35" t="s">
        <v>8275</v>
      </c>
      <c r="B4440" s="36" t="s">
        <v>8276</v>
      </c>
      <c r="C4440" s="36" t="str">
        <f>HYPERLINK("https://rhld.insurance.arkansas.gov/NPILookup?Npi=1578520227","1578520227")</f>
        <v>1578520227</v>
      </c>
      <c r="D4440" s="36" t="s">
        <v>35635</v>
      </c>
      <c r="E4440" s="36" t="s">
        <v>1</v>
      </c>
      <c r="F4440" s="36">
        <v>1</v>
      </c>
      <c r="G4440" s="36">
        <v>2</v>
      </c>
      <c r="H4440" s="36">
        <v>0</v>
      </c>
      <c r="I4440" s="37">
        <v>0</v>
      </c>
      <c r="J4440" s="36" t="s">
        <v>32654</v>
      </c>
      <c r="K4440" s="36" t="s">
        <v>14330</v>
      </c>
      <c r="L4440" s="36" t="s">
        <v>14330</v>
      </c>
      <c r="M4440">
        <v>3</v>
      </c>
      <c r="N4440" t="s">
        <v>14331</v>
      </c>
      <c r="O4440" t="s">
        <v>32633</v>
      </c>
    </row>
    <row r="4441" spans="1:15" x14ac:dyDescent="0.25">
      <c r="A4441" s="35" t="s">
        <v>8275</v>
      </c>
      <c r="B4441" s="36" t="s">
        <v>8276</v>
      </c>
      <c r="C4441" s="36" t="str">
        <f>HYPERLINK("https://rhld.insurance.arkansas.gov/NPILookup?Npi=1578524435","1578524435")</f>
        <v>1578524435</v>
      </c>
      <c r="D4441" s="36" t="s">
        <v>36755</v>
      </c>
      <c r="E4441" s="36" t="s">
        <v>2</v>
      </c>
      <c r="F4441" s="36">
        <v>1</v>
      </c>
      <c r="G4441" s="36">
        <v>3</v>
      </c>
      <c r="H4441" s="36">
        <v>0</v>
      </c>
      <c r="I4441" s="37">
        <v>0</v>
      </c>
      <c r="J4441" s="36" t="s">
        <v>36190</v>
      </c>
      <c r="K4441" s="36" t="s">
        <v>14330</v>
      </c>
      <c r="L4441" s="36" t="s">
        <v>14330</v>
      </c>
      <c r="M4441">
        <v>3</v>
      </c>
      <c r="N4441" t="s">
        <v>14331</v>
      </c>
      <c r="O4441" t="s">
        <v>14333</v>
      </c>
    </row>
    <row r="4442" spans="1:15" x14ac:dyDescent="0.25">
      <c r="A4442" s="35" t="s">
        <v>8275</v>
      </c>
      <c r="B4442" s="36" t="s">
        <v>8276</v>
      </c>
      <c r="C4442" s="36" t="str">
        <f>HYPERLINK("https://rhld.insurance.arkansas.gov/NPILookup?Npi=1578535092","1578535092")</f>
        <v>1578535092</v>
      </c>
      <c r="D4442" s="36" t="s">
        <v>35637</v>
      </c>
      <c r="E4442" s="36" t="s">
        <v>2</v>
      </c>
      <c r="F4442" s="36">
        <v>1</v>
      </c>
      <c r="G4442" s="36">
        <v>3</v>
      </c>
      <c r="H4442" s="36">
        <v>0</v>
      </c>
      <c r="I4442" s="37">
        <v>0</v>
      </c>
      <c r="J4442" s="36" t="s">
        <v>36190</v>
      </c>
      <c r="K4442" s="36" t="s">
        <v>14330</v>
      </c>
      <c r="L4442" s="36" t="s">
        <v>14330</v>
      </c>
      <c r="M4442">
        <v>2</v>
      </c>
      <c r="N4442" t="s">
        <v>14331</v>
      </c>
      <c r="O4442" t="s">
        <v>14333</v>
      </c>
    </row>
    <row r="4443" spans="1:15" x14ac:dyDescent="0.25">
      <c r="A4443" s="35" t="s">
        <v>8275</v>
      </c>
      <c r="B4443" s="36" t="s">
        <v>8276</v>
      </c>
      <c r="C4443" s="36" t="str">
        <f>HYPERLINK("https://rhld.insurance.arkansas.gov/NPILookup?Npi=1578663696","1578663696")</f>
        <v>1578663696</v>
      </c>
      <c r="D4443" s="36" t="s">
        <v>36756</v>
      </c>
      <c r="E4443" s="36" t="s">
        <v>2</v>
      </c>
      <c r="F4443" s="36">
        <v>1</v>
      </c>
      <c r="G4443" s="36">
        <v>2</v>
      </c>
      <c r="H4443" s="36">
        <v>0</v>
      </c>
      <c r="I4443" s="37">
        <v>0</v>
      </c>
      <c r="J4443" s="36" t="s">
        <v>36190</v>
      </c>
      <c r="K4443" s="36" t="s">
        <v>14330</v>
      </c>
      <c r="L4443" s="36" t="s">
        <v>14330</v>
      </c>
      <c r="M4443">
        <v>4</v>
      </c>
      <c r="N4443" t="s">
        <v>14331</v>
      </c>
      <c r="O4443" t="s">
        <v>14333</v>
      </c>
    </row>
    <row r="4444" spans="1:15" x14ac:dyDescent="0.25">
      <c r="A4444" s="35" t="s">
        <v>8275</v>
      </c>
      <c r="B4444" s="36" t="s">
        <v>8276</v>
      </c>
      <c r="C4444" s="36" t="str">
        <f>HYPERLINK("https://rhld.insurance.arkansas.gov/NPILookup?Npi=1578673455","1578673455")</f>
        <v>1578673455</v>
      </c>
      <c r="D4444" s="36" t="s">
        <v>36757</v>
      </c>
      <c r="E4444" s="36" t="s">
        <v>1</v>
      </c>
      <c r="F4444" s="36">
        <v>2</v>
      </c>
      <c r="G4444" s="36">
        <v>4</v>
      </c>
      <c r="H4444" s="36">
        <v>0</v>
      </c>
      <c r="I4444" s="37">
        <v>0</v>
      </c>
      <c r="J4444" s="36" t="s">
        <v>36758</v>
      </c>
      <c r="K4444" s="36" t="s">
        <v>14330</v>
      </c>
      <c r="L4444" s="36" t="s">
        <v>14330</v>
      </c>
      <c r="M4444">
        <v>3</v>
      </c>
      <c r="N4444" t="s">
        <v>14331</v>
      </c>
      <c r="O4444" t="s">
        <v>32633</v>
      </c>
    </row>
    <row r="4445" spans="1:15" x14ac:dyDescent="0.25">
      <c r="A4445" s="35" t="s">
        <v>8275</v>
      </c>
      <c r="B4445" s="36" t="s">
        <v>8276</v>
      </c>
      <c r="C4445" s="36" t="str">
        <f>HYPERLINK("https://rhld.insurance.arkansas.gov/NPILookup?Npi=1578691135","1578691135")</f>
        <v>1578691135</v>
      </c>
      <c r="D4445" s="36" t="s">
        <v>36759</v>
      </c>
      <c r="E4445" s="36" t="s">
        <v>2</v>
      </c>
      <c r="F4445" s="36">
        <v>1</v>
      </c>
      <c r="G4445" s="36">
        <v>3</v>
      </c>
      <c r="H4445" s="36">
        <v>0</v>
      </c>
      <c r="I4445" s="37">
        <v>0</v>
      </c>
      <c r="J4445" s="36" t="s">
        <v>36190</v>
      </c>
      <c r="K4445" s="36" t="s">
        <v>14330</v>
      </c>
      <c r="L4445" s="36" t="s">
        <v>14330</v>
      </c>
      <c r="M4445">
        <v>3</v>
      </c>
      <c r="N4445" t="s">
        <v>14331</v>
      </c>
      <c r="O4445" t="s">
        <v>14333</v>
      </c>
    </row>
    <row r="4446" spans="1:15" x14ac:dyDescent="0.25">
      <c r="A4446" s="35" t="s">
        <v>8275</v>
      </c>
      <c r="B4446" s="36" t="s">
        <v>8276</v>
      </c>
      <c r="C4446" s="36" t="str">
        <f>HYPERLINK("https://rhld.insurance.arkansas.gov/NPILookup?Npi=1578777538","1578777538")</f>
        <v>1578777538</v>
      </c>
      <c r="D4446" s="36" t="s">
        <v>36760</v>
      </c>
      <c r="E4446" s="36" t="s">
        <v>2</v>
      </c>
      <c r="F4446" s="36">
        <v>1</v>
      </c>
      <c r="G4446" s="36">
        <v>3</v>
      </c>
      <c r="H4446" s="36">
        <v>0</v>
      </c>
      <c r="I4446" s="37">
        <v>0</v>
      </c>
      <c r="J4446" s="36" t="s">
        <v>36190</v>
      </c>
      <c r="K4446" s="36" t="s">
        <v>14330</v>
      </c>
      <c r="L4446" s="36" t="s">
        <v>14330</v>
      </c>
      <c r="M4446">
        <v>2</v>
      </c>
      <c r="N4446" t="s">
        <v>14331</v>
      </c>
      <c r="O4446" t="s">
        <v>14333</v>
      </c>
    </row>
    <row r="4447" spans="1:15" x14ac:dyDescent="0.25">
      <c r="A4447" s="35" t="s">
        <v>8275</v>
      </c>
      <c r="B4447" s="36" t="s">
        <v>8276</v>
      </c>
      <c r="C4447" s="36" t="str">
        <f>HYPERLINK("https://rhld.insurance.arkansas.gov/NPILookup?Npi=1578792644","1578792644")</f>
        <v>1578792644</v>
      </c>
      <c r="D4447" s="36" t="s">
        <v>36761</v>
      </c>
      <c r="E4447" s="36" t="s">
        <v>2</v>
      </c>
      <c r="F4447" s="36">
        <v>1</v>
      </c>
      <c r="G4447" s="36">
        <v>2</v>
      </c>
      <c r="H4447" s="36">
        <v>0</v>
      </c>
      <c r="I4447" s="37">
        <v>0</v>
      </c>
      <c r="J4447" s="36" t="s">
        <v>36190</v>
      </c>
      <c r="K4447" s="36" t="s">
        <v>14330</v>
      </c>
      <c r="L4447" s="36" t="s">
        <v>14330</v>
      </c>
      <c r="M4447">
        <v>1</v>
      </c>
      <c r="N4447" t="s">
        <v>14331</v>
      </c>
      <c r="O4447" t="s">
        <v>14333</v>
      </c>
    </row>
    <row r="4448" spans="1:15" x14ac:dyDescent="0.25">
      <c r="A4448" s="35" t="s">
        <v>8275</v>
      </c>
      <c r="B4448" s="36" t="s">
        <v>8276</v>
      </c>
      <c r="C4448" s="36" t="str">
        <f>HYPERLINK("https://rhld.insurance.arkansas.gov/NPILookup?Npi=1578911293","1578911293")</f>
        <v>1578911293</v>
      </c>
      <c r="D4448" s="36" t="s">
        <v>35642</v>
      </c>
      <c r="E4448" s="36" t="s">
        <v>2</v>
      </c>
      <c r="F4448" s="36">
        <v>1</v>
      </c>
      <c r="G4448" s="36">
        <v>1</v>
      </c>
      <c r="H4448" s="36">
        <v>0</v>
      </c>
      <c r="I4448" s="37">
        <v>0</v>
      </c>
      <c r="J4448" s="36"/>
      <c r="K4448" s="36" t="s">
        <v>14330</v>
      </c>
      <c r="L4448" s="36" t="s">
        <v>14330</v>
      </c>
      <c r="M4448">
        <v>2</v>
      </c>
      <c r="N4448" t="s">
        <v>14331</v>
      </c>
      <c r="O4448" t="s">
        <v>32633</v>
      </c>
    </row>
    <row r="4449" spans="1:15" x14ac:dyDescent="0.25">
      <c r="A4449" s="35" t="s">
        <v>8275</v>
      </c>
      <c r="B4449" s="36" t="s">
        <v>8276</v>
      </c>
      <c r="C4449" s="36" t="str">
        <f>HYPERLINK("https://rhld.insurance.arkansas.gov/NPILookup?Npi=1578956223","1578956223")</f>
        <v>1578956223</v>
      </c>
      <c r="D4449" s="36" t="s">
        <v>36762</v>
      </c>
      <c r="E4449" s="36" t="s">
        <v>2</v>
      </c>
      <c r="F4449" s="36">
        <v>1</v>
      </c>
      <c r="G4449" s="36">
        <v>2</v>
      </c>
      <c r="H4449" s="36">
        <v>0</v>
      </c>
      <c r="I4449" s="37">
        <v>0</v>
      </c>
      <c r="J4449" s="36" t="s">
        <v>36190</v>
      </c>
      <c r="K4449" s="36" t="s">
        <v>14330</v>
      </c>
      <c r="L4449" s="36" t="s">
        <v>14330</v>
      </c>
      <c r="M4449">
        <v>3</v>
      </c>
      <c r="N4449" t="s">
        <v>14331</v>
      </c>
      <c r="O4449" t="s">
        <v>14333</v>
      </c>
    </row>
    <row r="4450" spans="1:15" x14ac:dyDescent="0.25">
      <c r="A4450" s="35" t="s">
        <v>8275</v>
      </c>
      <c r="B4450" s="36" t="s">
        <v>8276</v>
      </c>
      <c r="C4450" s="36" t="str">
        <f>HYPERLINK("https://rhld.insurance.arkansas.gov/NPILookup?Npi=1588058895","1588058895")</f>
        <v>1588058895</v>
      </c>
      <c r="D4450" s="36" t="s">
        <v>36763</v>
      </c>
      <c r="E4450" s="36" t="s">
        <v>2</v>
      </c>
      <c r="F4450" s="36">
        <v>1</v>
      </c>
      <c r="G4450" s="36">
        <v>3</v>
      </c>
      <c r="H4450" s="36">
        <v>0</v>
      </c>
      <c r="I4450" s="37">
        <v>0</v>
      </c>
      <c r="J4450" s="36" t="s">
        <v>36190</v>
      </c>
      <c r="K4450" s="36" t="s">
        <v>14330</v>
      </c>
      <c r="L4450" s="36" t="s">
        <v>14330</v>
      </c>
      <c r="M4450">
        <v>3</v>
      </c>
      <c r="N4450" t="s">
        <v>14331</v>
      </c>
      <c r="O4450" t="s">
        <v>14333</v>
      </c>
    </row>
    <row r="4451" spans="1:15" x14ac:dyDescent="0.25">
      <c r="A4451" s="35" t="s">
        <v>8275</v>
      </c>
      <c r="B4451" s="36" t="s">
        <v>8276</v>
      </c>
      <c r="C4451" s="36" t="str">
        <f>HYPERLINK("https://rhld.insurance.arkansas.gov/NPILookup?Npi=1588088827","1588088827")</f>
        <v>1588088827</v>
      </c>
      <c r="D4451" s="36" t="s">
        <v>36764</v>
      </c>
      <c r="E4451" s="36" t="s">
        <v>2</v>
      </c>
      <c r="F4451" s="36">
        <v>1</v>
      </c>
      <c r="G4451" s="36">
        <v>3</v>
      </c>
      <c r="H4451" s="36">
        <v>0</v>
      </c>
      <c r="I4451" s="37">
        <v>0</v>
      </c>
      <c r="J4451" s="36" t="s">
        <v>36190</v>
      </c>
      <c r="K4451" s="36" t="s">
        <v>14330</v>
      </c>
      <c r="L4451" s="36" t="s">
        <v>14330</v>
      </c>
      <c r="M4451">
        <v>2</v>
      </c>
      <c r="N4451" t="s">
        <v>14331</v>
      </c>
      <c r="O4451" t="s">
        <v>14333</v>
      </c>
    </row>
    <row r="4452" spans="1:15" x14ac:dyDescent="0.25">
      <c r="A4452" s="35" t="s">
        <v>8275</v>
      </c>
      <c r="B4452" s="36" t="s">
        <v>8276</v>
      </c>
      <c r="C4452" s="36" t="str">
        <f>HYPERLINK("https://rhld.insurance.arkansas.gov/NPILookup?Npi=1588113435","1588113435")</f>
        <v>1588113435</v>
      </c>
      <c r="D4452" s="36" t="s">
        <v>36765</v>
      </c>
      <c r="E4452" s="36" t="s">
        <v>2</v>
      </c>
      <c r="F4452" s="36">
        <v>1</v>
      </c>
      <c r="G4452" s="36">
        <v>2</v>
      </c>
      <c r="H4452" s="36">
        <v>0</v>
      </c>
      <c r="I4452" s="37">
        <v>0</v>
      </c>
      <c r="J4452" s="36" t="s">
        <v>36190</v>
      </c>
      <c r="K4452" s="36" t="s">
        <v>14330</v>
      </c>
      <c r="L4452" s="36" t="s">
        <v>14330</v>
      </c>
      <c r="M4452">
        <v>2</v>
      </c>
      <c r="N4452" t="s">
        <v>14331</v>
      </c>
      <c r="O4452" t="s">
        <v>14333</v>
      </c>
    </row>
    <row r="4453" spans="1:15" x14ac:dyDescent="0.25">
      <c r="A4453" s="35" t="s">
        <v>8275</v>
      </c>
      <c r="B4453" s="36" t="s">
        <v>8276</v>
      </c>
      <c r="C4453" s="36" t="str">
        <f>HYPERLINK("https://rhld.insurance.arkansas.gov/NPILookup?Npi=1588143580","1588143580")</f>
        <v>1588143580</v>
      </c>
      <c r="D4453" s="36" t="s">
        <v>36766</v>
      </c>
      <c r="E4453" s="36" t="s">
        <v>2</v>
      </c>
      <c r="F4453" s="36">
        <v>1</v>
      </c>
      <c r="G4453" s="36">
        <v>2</v>
      </c>
      <c r="H4453" s="36">
        <v>0</v>
      </c>
      <c r="I4453" s="37">
        <v>0</v>
      </c>
      <c r="J4453" s="36" t="s">
        <v>36190</v>
      </c>
      <c r="K4453" s="36" t="s">
        <v>14330</v>
      </c>
      <c r="L4453" s="36" t="s">
        <v>14330</v>
      </c>
      <c r="M4453">
        <v>1</v>
      </c>
      <c r="N4453" t="s">
        <v>14331</v>
      </c>
      <c r="O4453" t="s">
        <v>14333</v>
      </c>
    </row>
    <row r="4454" spans="1:15" x14ac:dyDescent="0.25">
      <c r="A4454" s="35" t="s">
        <v>8275</v>
      </c>
      <c r="B4454" s="36" t="s">
        <v>8276</v>
      </c>
      <c r="C4454" s="36" t="str">
        <f>HYPERLINK("https://rhld.insurance.arkansas.gov/NPILookup?Npi=1588147078","1588147078")</f>
        <v>1588147078</v>
      </c>
      <c r="D4454" s="36" t="s">
        <v>35645</v>
      </c>
      <c r="E4454" s="36" t="s">
        <v>2</v>
      </c>
      <c r="F4454" s="36">
        <v>1</v>
      </c>
      <c r="G4454" s="36">
        <v>1</v>
      </c>
      <c r="H4454" s="36">
        <v>0</v>
      </c>
      <c r="I4454" s="37">
        <v>0</v>
      </c>
      <c r="J4454" s="36"/>
      <c r="K4454" s="36" t="s">
        <v>14330</v>
      </c>
      <c r="L4454" s="36" t="s">
        <v>14330</v>
      </c>
      <c r="M4454">
        <v>1</v>
      </c>
      <c r="N4454" t="s">
        <v>14331</v>
      </c>
      <c r="O4454" t="s">
        <v>32633</v>
      </c>
    </row>
    <row r="4455" spans="1:15" x14ac:dyDescent="0.25">
      <c r="A4455" s="35" t="s">
        <v>8275</v>
      </c>
      <c r="B4455" s="36" t="s">
        <v>8276</v>
      </c>
      <c r="C4455" s="36" t="str">
        <f>HYPERLINK("https://rhld.insurance.arkansas.gov/NPILookup?Npi=1588265896","1588265896")</f>
        <v>1588265896</v>
      </c>
      <c r="D4455" s="36" t="s">
        <v>35646</v>
      </c>
      <c r="E4455" s="36" t="s">
        <v>2</v>
      </c>
      <c r="F4455" s="36">
        <v>1</v>
      </c>
      <c r="G4455" s="36">
        <v>1</v>
      </c>
      <c r="H4455" s="36">
        <v>0</v>
      </c>
      <c r="I4455" s="37">
        <v>0</v>
      </c>
      <c r="J4455" s="36"/>
      <c r="K4455" s="36" t="s">
        <v>14330</v>
      </c>
      <c r="L4455" s="36" t="s">
        <v>14330</v>
      </c>
      <c r="M4455">
        <v>2</v>
      </c>
      <c r="N4455" t="s">
        <v>14331</v>
      </c>
      <c r="O4455" t="s">
        <v>32633</v>
      </c>
    </row>
    <row r="4456" spans="1:15" x14ac:dyDescent="0.25">
      <c r="A4456" s="35" t="s">
        <v>8275</v>
      </c>
      <c r="B4456" s="36" t="s">
        <v>8276</v>
      </c>
      <c r="C4456" s="36" t="str">
        <f>HYPERLINK("https://rhld.insurance.arkansas.gov/NPILookup?Npi=1588293344","1588293344")</f>
        <v>1588293344</v>
      </c>
      <c r="D4456" s="36" t="s">
        <v>35647</v>
      </c>
      <c r="E4456" s="36" t="s">
        <v>2</v>
      </c>
      <c r="F4456" s="36">
        <v>1</v>
      </c>
      <c r="G4456" s="36">
        <v>2</v>
      </c>
      <c r="H4456" s="36">
        <v>0</v>
      </c>
      <c r="I4456" s="37">
        <v>0</v>
      </c>
      <c r="J4456" s="36"/>
      <c r="K4456" s="36" t="s">
        <v>14330</v>
      </c>
      <c r="L4456" s="36" t="s">
        <v>14330</v>
      </c>
      <c r="M4456">
        <v>2</v>
      </c>
      <c r="N4456" t="s">
        <v>14331</v>
      </c>
      <c r="O4456" t="s">
        <v>14333</v>
      </c>
    </row>
    <row r="4457" spans="1:15" x14ac:dyDescent="0.25">
      <c r="A4457" s="35" t="s">
        <v>8275</v>
      </c>
      <c r="B4457" s="36" t="s">
        <v>8276</v>
      </c>
      <c r="C4457" s="36" t="str">
        <f>HYPERLINK("https://rhld.insurance.arkansas.gov/NPILookup?Npi=1588434070","1588434070")</f>
        <v>1588434070</v>
      </c>
      <c r="D4457" s="36" t="s">
        <v>34764</v>
      </c>
      <c r="E4457" s="36" t="s">
        <v>2</v>
      </c>
      <c r="F4457" s="36">
        <v>1</v>
      </c>
      <c r="G4457" s="36">
        <v>2</v>
      </c>
      <c r="H4457" s="36">
        <v>0</v>
      </c>
      <c r="I4457" s="37">
        <v>0</v>
      </c>
      <c r="J4457" s="36"/>
      <c r="K4457" s="36" t="s">
        <v>14330</v>
      </c>
      <c r="L4457" s="36" t="s">
        <v>14330</v>
      </c>
      <c r="M4457">
        <v>3</v>
      </c>
      <c r="N4457" t="s">
        <v>14331</v>
      </c>
      <c r="O4457" t="s">
        <v>14333</v>
      </c>
    </row>
    <row r="4458" spans="1:15" x14ac:dyDescent="0.25">
      <c r="A4458" s="35" t="s">
        <v>8275</v>
      </c>
      <c r="B4458" s="36" t="s">
        <v>8276</v>
      </c>
      <c r="C4458" s="36" t="str">
        <f>HYPERLINK("https://rhld.insurance.arkansas.gov/NPILookup?Npi=1588698906","1588698906")</f>
        <v>1588698906</v>
      </c>
      <c r="D4458" s="36" t="s">
        <v>36767</v>
      </c>
      <c r="E4458" s="36" t="s">
        <v>2</v>
      </c>
      <c r="F4458" s="36">
        <v>1</v>
      </c>
      <c r="G4458" s="36">
        <v>3</v>
      </c>
      <c r="H4458" s="36">
        <v>0</v>
      </c>
      <c r="I4458" s="37">
        <v>0</v>
      </c>
      <c r="J4458" s="36" t="s">
        <v>36190</v>
      </c>
      <c r="K4458" s="36" t="s">
        <v>14330</v>
      </c>
      <c r="L4458" s="36" t="s">
        <v>14330</v>
      </c>
      <c r="M4458">
        <v>3</v>
      </c>
      <c r="N4458" t="s">
        <v>14331</v>
      </c>
      <c r="O4458" t="s">
        <v>14333</v>
      </c>
    </row>
    <row r="4459" spans="1:15" x14ac:dyDescent="0.25">
      <c r="A4459" s="35" t="s">
        <v>8275</v>
      </c>
      <c r="B4459" s="36" t="s">
        <v>8276</v>
      </c>
      <c r="C4459" s="36" t="str">
        <f>HYPERLINK("https://rhld.insurance.arkansas.gov/NPILookup?Npi=1588701288","1588701288")</f>
        <v>1588701288</v>
      </c>
      <c r="D4459" s="36" t="s">
        <v>34386</v>
      </c>
      <c r="E4459" s="36" t="s">
        <v>2</v>
      </c>
      <c r="F4459" s="36">
        <v>1</v>
      </c>
      <c r="G4459" s="36">
        <v>3</v>
      </c>
      <c r="H4459" s="36">
        <v>0</v>
      </c>
      <c r="I4459" s="37">
        <v>0</v>
      </c>
      <c r="J4459" s="36" t="s">
        <v>36190</v>
      </c>
      <c r="K4459" s="36" t="s">
        <v>14330</v>
      </c>
      <c r="L4459" s="36" t="s">
        <v>14330</v>
      </c>
      <c r="M4459">
        <v>0</v>
      </c>
      <c r="N4459" t="s">
        <v>14331</v>
      </c>
      <c r="O4459" t="s">
        <v>14333</v>
      </c>
    </row>
    <row r="4460" spans="1:15" x14ac:dyDescent="0.25">
      <c r="A4460" s="35" t="s">
        <v>8275</v>
      </c>
      <c r="B4460" s="36" t="s">
        <v>8276</v>
      </c>
      <c r="C4460" s="36" t="str">
        <f>HYPERLINK("https://rhld.insurance.arkansas.gov/NPILookup?Npi=1588739783","1588739783")</f>
        <v>1588739783</v>
      </c>
      <c r="D4460" s="36" t="s">
        <v>36768</v>
      </c>
      <c r="E4460" s="36" t="s">
        <v>1</v>
      </c>
      <c r="F4460" s="36">
        <v>1</v>
      </c>
      <c r="G4460" s="36">
        <v>1</v>
      </c>
      <c r="H4460" s="36">
        <v>1</v>
      </c>
      <c r="I4460" s="37">
        <v>0</v>
      </c>
      <c r="J4460" s="36" t="s">
        <v>32654</v>
      </c>
      <c r="K4460" s="36" t="s">
        <v>14330</v>
      </c>
      <c r="L4460" s="36" t="s">
        <v>36271</v>
      </c>
      <c r="M4460">
        <v>2</v>
      </c>
      <c r="N4460" t="s">
        <v>14332</v>
      </c>
      <c r="O4460" t="s">
        <v>32591</v>
      </c>
    </row>
    <row r="4461" spans="1:15" x14ac:dyDescent="0.25">
      <c r="A4461" s="35" t="s">
        <v>8275</v>
      </c>
      <c r="B4461" s="36" t="s">
        <v>8276</v>
      </c>
      <c r="C4461" s="36" t="str">
        <f>HYPERLINK("https://rhld.insurance.arkansas.gov/NPILookup?Npi=1588783666","1588783666")</f>
        <v>1588783666</v>
      </c>
      <c r="D4461" s="36" t="s">
        <v>36769</v>
      </c>
      <c r="E4461" s="36" t="s">
        <v>1</v>
      </c>
      <c r="F4461" s="36">
        <v>1</v>
      </c>
      <c r="G4461" s="36">
        <v>2</v>
      </c>
      <c r="H4461" s="36">
        <v>0</v>
      </c>
      <c r="I4461" s="37">
        <v>0</v>
      </c>
      <c r="J4461" s="36" t="s">
        <v>32654</v>
      </c>
      <c r="K4461" s="36" t="s">
        <v>14330</v>
      </c>
      <c r="L4461" s="36" t="s">
        <v>14330</v>
      </c>
      <c r="M4461">
        <v>3</v>
      </c>
      <c r="N4461" t="s">
        <v>14331</v>
      </c>
      <c r="O4461" t="s">
        <v>32633</v>
      </c>
    </row>
    <row r="4462" spans="1:15" x14ac:dyDescent="0.25">
      <c r="A4462" s="35" t="s">
        <v>8275</v>
      </c>
      <c r="B4462" s="36" t="s">
        <v>8276</v>
      </c>
      <c r="C4462" s="36" t="str">
        <f>HYPERLINK("https://rhld.insurance.arkansas.gov/NPILookup?Npi=1588826903","1588826903")</f>
        <v>1588826903</v>
      </c>
      <c r="D4462" s="36" t="s">
        <v>36770</v>
      </c>
      <c r="E4462" s="36" t="s">
        <v>2</v>
      </c>
      <c r="F4462" s="36">
        <v>1</v>
      </c>
      <c r="G4462" s="36">
        <v>3</v>
      </c>
      <c r="H4462" s="36">
        <v>0</v>
      </c>
      <c r="I4462" s="37">
        <v>0</v>
      </c>
      <c r="J4462" s="36" t="s">
        <v>36190</v>
      </c>
      <c r="K4462" s="36" t="s">
        <v>14330</v>
      </c>
      <c r="L4462" s="36" t="s">
        <v>14330</v>
      </c>
      <c r="M4462">
        <v>2</v>
      </c>
      <c r="N4462" t="s">
        <v>14331</v>
      </c>
      <c r="O4462" t="s">
        <v>14333</v>
      </c>
    </row>
    <row r="4463" spans="1:15" x14ac:dyDescent="0.25">
      <c r="A4463" s="35" t="s">
        <v>8275</v>
      </c>
      <c r="B4463" s="36" t="s">
        <v>8276</v>
      </c>
      <c r="C4463" s="36" t="str">
        <f>HYPERLINK("https://rhld.insurance.arkansas.gov/NPILookup?Npi=1588862445","1588862445")</f>
        <v>1588862445</v>
      </c>
      <c r="D4463" s="36" t="s">
        <v>35655</v>
      </c>
      <c r="E4463" s="36" t="s">
        <v>1</v>
      </c>
      <c r="F4463" s="36">
        <v>1</v>
      </c>
      <c r="G4463" s="36">
        <v>2</v>
      </c>
      <c r="H4463" s="36">
        <v>0</v>
      </c>
      <c r="I4463" s="37">
        <v>0</v>
      </c>
      <c r="J4463" s="36" t="s">
        <v>32654</v>
      </c>
      <c r="K4463" s="36" t="s">
        <v>14330</v>
      </c>
      <c r="L4463" s="36" t="s">
        <v>14330</v>
      </c>
      <c r="M4463">
        <v>3</v>
      </c>
      <c r="N4463" t="s">
        <v>14331</v>
      </c>
      <c r="O4463" t="s">
        <v>32633</v>
      </c>
    </row>
    <row r="4464" spans="1:15" x14ac:dyDescent="0.25">
      <c r="A4464" s="35" t="s">
        <v>8275</v>
      </c>
      <c r="B4464" s="36" t="s">
        <v>8276</v>
      </c>
      <c r="C4464" s="36" t="str">
        <f>HYPERLINK("https://rhld.insurance.arkansas.gov/NPILookup?Npi=1598013815","1598013815")</f>
        <v>1598013815</v>
      </c>
      <c r="D4464" s="36" t="s">
        <v>36771</v>
      </c>
      <c r="E4464" s="36" t="s">
        <v>2</v>
      </c>
      <c r="F4464" s="36">
        <v>1</v>
      </c>
      <c r="G4464" s="36">
        <v>3</v>
      </c>
      <c r="H4464" s="36">
        <v>0</v>
      </c>
      <c r="I4464" s="37">
        <v>0</v>
      </c>
      <c r="J4464" s="36" t="s">
        <v>36190</v>
      </c>
      <c r="K4464" s="36" t="s">
        <v>14330</v>
      </c>
      <c r="L4464" s="36" t="s">
        <v>14330</v>
      </c>
      <c r="M4464">
        <v>2</v>
      </c>
      <c r="N4464" t="s">
        <v>14331</v>
      </c>
      <c r="O4464" t="s">
        <v>14333</v>
      </c>
    </row>
    <row r="4465" spans="1:15" x14ac:dyDescent="0.25">
      <c r="A4465" s="35" t="s">
        <v>8275</v>
      </c>
      <c r="B4465" s="36" t="s">
        <v>8276</v>
      </c>
      <c r="C4465" s="36" t="str">
        <f>HYPERLINK("https://rhld.insurance.arkansas.gov/NPILookup?Npi=1598105033","1598105033")</f>
        <v>1598105033</v>
      </c>
      <c r="D4465" s="36" t="s">
        <v>35660</v>
      </c>
      <c r="E4465" s="36" t="s">
        <v>2</v>
      </c>
      <c r="F4465" s="36">
        <v>1</v>
      </c>
      <c r="G4465" s="36">
        <v>2</v>
      </c>
      <c r="H4465" s="36">
        <v>0</v>
      </c>
      <c r="I4465" s="37">
        <v>0</v>
      </c>
      <c r="J4465" s="36"/>
      <c r="K4465" s="36" t="s">
        <v>14330</v>
      </c>
      <c r="L4465" s="36" t="s">
        <v>14330</v>
      </c>
      <c r="M4465">
        <v>2</v>
      </c>
      <c r="N4465" t="s">
        <v>14331</v>
      </c>
      <c r="O4465" t="s">
        <v>14333</v>
      </c>
    </row>
    <row r="4466" spans="1:15" x14ac:dyDescent="0.25">
      <c r="A4466" s="35" t="s">
        <v>8275</v>
      </c>
      <c r="B4466" s="36" t="s">
        <v>8276</v>
      </c>
      <c r="C4466" s="36" t="str">
        <f>HYPERLINK("https://rhld.insurance.arkansas.gov/NPILookup?Npi=1598131542","1598131542")</f>
        <v>1598131542</v>
      </c>
      <c r="D4466" s="36" t="s">
        <v>36772</v>
      </c>
      <c r="E4466" s="36" t="s">
        <v>2</v>
      </c>
      <c r="F4466" s="36">
        <v>1</v>
      </c>
      <c r="G4466" s="36">
        <v>2</v>
      </c>
      <c r="H4466" s="36">
        <v>0</v>
      </c>
      <c r="I4466" s="37">
        <v>0</v>
      </c>
      <c r="J4466" s="36" t="s">
        <v>36190</v>
      </c>
      <c r="K4466" s="36" t="s">
        <v>14330</v>
      </c>
      <c r="L4466" s="36" t="s">
        <v>14330</v>
      </c>
      <c r="M4466">
        <v>2</v>
      </c>
      <c r="N4466" t="s">
        <v>14331</v>
      </c>
      <c r="O4466" t="s">
        <v>14333</v>
      </c>
    </row>
    <row r="4467" spans="1:15" x14ac:dyDescent="0.25">
      <c r="A4467" s="35" t="s">
        <v>8275</v>
      </c>
      <c r="B4467" s="36" t="s">
        <v>8276</v>
      </c>
      <c r="C4467" s="36" t="str">
        <f>HYPERLINK("https://rhld.insurance.arkansas.gov/NPILookup?Npi=1598272866","1598272866")</f>
        <v>1598272866</v>
      </c>
      <c r="D4467" s="36" t="s">
        <v>36773</v>
      </c>
      <c r="E4467" s="36" t="s">
        <v>2</v>
      </c>
      <c r="F4467" s="36">
        <v>1</v>
      </c>
      <c r="G4467" s="36">
        <v>2</v>
      </c>
      <c r="H4467" s="36">
        <v>0</v>
      </c>
      <c r="I4467" s="37">
        <v>0</v>
      </c>
      <c r="J4467" s="36" t="s">
        <v>36190</v>
      </c>
      <c r="K4467" s="36" t="s">
        <v>14330</v>
      </c>
      <c r="L4467" s="36" t="s">
        <v>14330</v>
      </c>
      <c r="M4467">
        <v>2</v>
      </c>
      <c r="N4467" t="s">
        <v>14331</v>
      </c>
      <c r="O4467" t="s">
        <v>14333</v>
      </c>
    </row>
    <row r="4468" spans="1:15" x14ac:dyDescent="0.25">
      <c r="A4468" s="35" t="s">
        <v>8275</v>
      </c>
      <c r="B4468" s="36" t="s">
        <v>8276</v>
      </c>
      <c r="C4468" s="36" t="str">
        <f>HYPERLINK("https://rhld.insurance.arkansas.gov/NPILookup?Npi=1598282808","1598282808")</f>
        <v>1598282808</v>
      </c>
      <c r="D4468" s="36" t="s">
        <v>36774</v>
      </c>
      <c r="E4468" s="36" t="s">
        <v>2</v>
      </c>
      <c r="F4468" s="36">
        <v>1</v>
      </c>
      <c r="G4468" s="36">
        <v>2</v>
      </c>
      <c r="H4468" s="36">
        <v>0</v>
      </c>
      <c r="I4468" s="37">
        <v>0</v>
      </c>
      <c r="J4468" s="36" t="s">
        <v>32679</v>
      </c>
      <c r="K4468" s="36" t="s">
        <v>14330</v>
      </c>
      <c r="L4468" s="36" t="s">
        <v>14330</v>
      </c>
      <c r="M4468">
        <v>3</v>
      </c>
      <c r="N4468" t="s">
        <v>14331</v>
      </c>
      <c r="O4468" t="s">
        <v>14333</v>
      </c>
    </row>
    <row r="4469" spans="1:15" x14ac:dyDescent="0.25">
      <c r="A4469" s="35" t="s">
        <v>8275</v>
      </c>
      <c r="B4469" s="36" t="s">
        <v>8276</v>
      </c>
      <c r="C4469" s="36" t="str">
        <f>HYPERLINK("https://rhld.insurance.arkansas.gov/NPILookup?Npi=1598286734","1598286734")</f>
        <v>1598286734</v>
      </c>
      <c r="D4469" s="36" t="s">
        <v>36775</v>
      </c>
      <c r="E4469" s="36" t="s">
        <v>2</v>
      </c>
      <c r="F4469" s="36">
        <v>1</v>
      </c>
      <c r="G4469" s="36">
        <v>3</v>
      </c>
      <c r="H4469" s="36">
        <v>0</v>
      </c>
      <c r="I4469" s="37">
        <v>0</v>
      </c>
      <c r="J4469" s="36" t="s">
        <v>36190</v>
      </c>
      <c r="K4469" s="36" t="s">
        <v>14330</v>
      </c>
      <c r="L4469" s="36" t="s">
        <v>14330</v>
      </c>
      <c r="M4469">
        <v>2</v>
      </c>
      <c r="N4469" t="s">
        <v>14331</v>
      </c>
      <c r="O4469" t="s">
        <v>14333</v>
      </c>
    </row>
    <row r="4470" spans="1:15" x14ac:dyDescent="0.25">
      <c r="A4470" s="35" t="s">
        <v>8275</v>
      </c>
      <c r="B4470" s="36" t="s">
        <v>8276</v>
      </c>
      <c r="C4470" s="36" t="str">
        <f>HYPERLINK("https://rhld.insurance.arkansas.gov/NPILookup?Npi=1598335614","1598335614")</f>
        <v>1598335614</v>
      </c>
      <c r="D4470" s="36" t="s">
        <v>34765</v>
      </c>
      <c r="E4470" s="36" t="s">
        <v>2</v>
      </c>
      <c r="F4470" s="36">
        <v>1</v>
      </c>
      <c r="G4470" s="36">
        <v>2</v>
      </c>
      <c r="H4470" s="36">
        <v>0</v>
      </c>
      <c r="I4470" s="37">
        <v>0</v>
      </c>
      <c r="J4470" s="36"/>
      <c r="K4470" s="36" t="s">
        <v>14330</v>
      </c>
      <c r="L4470" s="36" t="s">
        <v>14330</v>
      </c>
      <c r="M4470">
        <v>3</v>
      </c>
      <c r="N4470" t="s">
        <v>14331</v>
      </c>
      <c r="O4470" t="s">
        <v>14333</v>
      </c>
    </row>
    <row r="4471" spans="1:15" x14ac:dyDescent="0.25">
      <c r="A4471" s="35" t="s">
        <v>8275</v>
      </c>
      <c r="B4471" s="36" t="s">
        <v>8276</v>
      </c>
      <c r="C4471" s="36" t="str">
        <f>HYPERLINK("https://rhld.insurance.arkansas.gov/NPILookup?Npi=1598387417","1598387417")</f>
        <v>1598387417</v>
      </c>
      <c r="D4471" s="36" t="s">
        <v>36776</v>
      </c>
      <c r="E4471" s="36" t="s">
        <v>2</v>
      </c>
      <c r="F4471" s="36">
        <v>1</v>
      </c>
      <c r="G4471" s="36">
        <v>3</v>
      </c>
      <c r="H4471" s="36">
        <v>0</v>
      </c>
      <c r="I4471" s="37">
        <v>0</v>
      </c>
      <c r="J4471" s="36" t="s">
        <v>36190</v>
      </c>
      <c r="K4471" s="36" t="s">
        <v>14330</v>
      </c>
      <c r="L4471" s="36" t="s">
        <v>14330</v>
      </c>
      <c r="M4471">
        <v>3</v>
      </c>
      <c r="N4471" t="s">
        <v>14331</v>
      </c>
      <c r="O4471" t="s">
        <v>14333</v>
      </c>
    </row>
    <row r="4472" spans="1:15" x14ac:dyDescent="0.25">
      <c r="A4472" s="35" t="s">
        <v>8275</v>
      </c>
      <c r="B4472" s="36" t="s">
        <v>8276</v>
      </c>
      <c r="C4472" s="36" t="str">
        <f>HYPERLINK("https://rhld.insurance.arkansas.gov/NPILookup?Npi=1598420911","1598420911")</f>
        <v>1598420911</v>
      </c>
      <c r="D4472" s="36" t="s">
        <v>36777</v>
      </c>
      <c r="E4472" s="36" t="s">
        <v>2</v>
      </c>
      <c r="F4472" s="36">
        <v>1</v>
      </c>
      <c r="G4472" s="36">
        <v>3</v>
      </c>
      <c r="H4472" s="36">
        <v>0</v>
      </c>
      <c r="I4472" s="37">
        <v>0</v>
      </c>
      <c r="J4472" s="36" t="s">
        <v>36190</v>
      </c>
      <c r="K4472" s="36" t="s">
        <v>14330</v>
      </c>
      <c r="L4472" s="36" t="s">
        <v>14330</v>
      </c>
      <c r="M4472">
        <v>3</v>
      </c>
      <c r="N4472" t="s">
        <v>14331</v>
      </c>
      <c r="O4472" t="s">
        <v>14333</v>
      </c>
    </row>
    <row r="4473" spans="1:15" x14ac:dyDescent="0.25">
      <c r="A4473" s="35" t="s">
        <v>8275</v>
      </c>
      <c r="B4473" s="36" t="s">
        <v>8276</v>
      </c>
      <c r="C4473" s="36" t="str">
        <f>HYPERLINK("https://rhld.insurance.arkansas.gov/NPILookup?Npi=1598984056","1598984056")</f>
        <v>1598984056</v>
      </c>
      <c r="D4473" s="36" t="s">
        <v>36778</v>
      </c>
      <c r="E4473" s="36" t="s">
        <v>2</v>
      </c>
      <c r="F4473" s="36">
        <v>1</v>
      </c>
      <c r="G4473" s="36">
        <v>3</v>
      </c>
      <c r="H4473" s="36">
        <v>0</v>
      </c>
      <c r="I4473" s="37">
        <v>0</v>
      </c>
      <c r="J4473" s="36" t="s">
        <v>36190</v>
      </c>
      <c r="K4473" s="36" t="s">
        <v>14330</v>
      </c>
      <c r="L4473" s="36" t="s">
        <v>14330</v>
      </c>
      <c r="M4473">
        <v>3</v>
      </c>
      <c r="N4473" t="s">
        <v>14331</v>
      </c>
      <c r="O4473" t="s">
        <v>14333</v>
      </c>
    </row>
    <row r="4474" spans="1:15" x14ac:dyDescent="0.25">
      <c r="A4474" s="35" t="s">
        <v>8275</v>
      </c>
      <c r="B4474" s="36" t="s">
        <v>8276</v>
      </c>
      <c r="C4474" s="36" t="str">
        <f>HYPERLINK("https://rhld.insurance.arkansas.gov/NPILookup?Npi=1609188614","1609188614")</f>
        <v>1609188614</v>
      </c>
      <c r="D4474" s="36" t="s">
        <v>36779</v>
      </c>
      <c r="E4474" s="36" t="s">
        <v>2</v>
      </c>
      <c r="F4474" s="36">
        <v>1</v>
      </c>
      <c r="G4474" s="36">
        <v>3</v>
      </c>
      <c r="H4474" s="36">
        <v>0</v>
      </c>
      <c r="I4474" s="37">
        <v>0</v>
      </c>
      <c r="J4474" s="36" t="s">
        <v>36190</v>
      </c>
      <c r="K4474" s="36" t="s">
        <v>14330</v>
      </c>
      <c r="L4474" s="36" t="s">
        <v>14330</v>
      </c>
      <c r="M4474">
        <v>3</v>
      </c>
      <c r="N4474" t="s">
        <v>14331</v>
      </c>
      <c r="O4474" t="s">
        <v>14333</v>
      </c>
    </row>
    <row r="4475" spans="1:15" x14ac:dyDescent="0.25">
      <c r="A4475" s="35" t="s">
        <v>8275</v>
      </c>
      <c r="B4475" s="36" t="s">
        <v>8276</v>
      </c>
      <c r="C4475" s="36" t="str">
        <f>HYPERLINK("https://rhld.insurance.arkansas.gov/NPILookup?Npi=1609281070","1609281070")</f>
        <v>1609281070</v>
      </c>
      <c r="D4475" s="36" t="s">
        <v>36780</v>
      </c>
      <c r="E4475" s="36" t="s">
        <v>2</v>
      </c>
      <c r="F4475" s="36">
        <v>1</v>
      </c>
      <c r="G4475" s="36">
        <v>3</v>
      </c>
      <c r="H4475" s="36">
        <v>0</v>
      </c>
      <c r="I4475" s="37">
        <v>0</v>
      </c>
      <c r="J4475" s="36" t="s">
        <v>36190</v>
      </c>
      <c r="K4475" s="36" t="s">
        <v>14330</v>
      </c>
      <c r="L4475" s="36" t="s">
        <v>14330</v>
      </c>
      <c r="M4475">
        <v>3</v>
      </c>
      <c r="N4475" t="s">
        <v>14331</v>
      </c>
      <c r="O4475" t="s">
        <v>14333</v>
      </c>
    </row>
    <row r="4476" spans="1:15" x14ac:dyDescent="0.25">
      <c r="A4476" s="35" t="s">
        <v>8275</v>
      </c>
      <c r="B4476" s="36" t="s">
        <v>8276</v>
      </c>
      <c r="C4476" s="36" t="str">
        <f>HYPERLINK("https://rhld.insurance.arkansas.gov/NPILookup?Npi=1609302546","1609302546")</f>
        <v>1609302546</v>
      </c>
      <c r="D4476" s="36" t="s">
        <v>36781</v>
      </c>
      <c r="E4476" s="36" t="s">
        <v>2</v>
      </c>
      <c r="F4476" s="36">
        <v>1</v>
      </c>
      <c r="G4476" s="36">
        <v>3</v>
      </c>
      <c r="H4476" s="36">
        <v>0</v>
      </c>
      <c r="I4476" s="37">
        <v>0</v>
      </c>
      <c r="J4476" s="36" t="s">
        <v>36190</v>
      </c>
      <c r="K4476" s="36" t="s">
        <v>14330</v>
      </c>
      <c r="L4476" s="36" t="s">
        <v>14330</v>
      </c>
      <c r="M4476">
        <v>3</v>
      </c>
      <c r="N4476" t="s">
        <v>14331</v>
      </c>
      <c r="O4476" t="s">
        <v>14333</v>
      </c>
    </row>
    <row r="4477" spans="1:15" x14ac:dyDescent="0.25">
      <c r="A4477" s="35" t="s">
        <v>8275</v>
      </c>
      <c r="B4477" s="36" t="s">
        <v>8276</v>
      </c>
      <c r="C4477" s="36" t="str">
        <f>HYPERLINK("https://rhld.insurance.arkansas.gov/NPILookup?Npi=1609304526","1609304526")</f>
        <v>1609304526</v>
      </c>
      <c r="D4477" s="36" t="s">
        <v>36782</v>
      </c>
      <c r="E4477" s="36" t="s">
        <v>2</v>
      </c>
      <c r="F4477" s="36">
        <v>1</v>
      </c>
      <c r="G4477" s="36">
        <v>3</v>
      </c>
      <c r="H4477" s="36">
        <v>0</v>
      </c>
      <c r="I4477" s="37">
        <v>0</v>
      </c>
      <c r="J4477" s="36" t="s">
        <v>36190</v>
      </c>
      <c r="K4477" s="36" t="s">
        <v>14330</v>
      </c>
      <c r="L4477" s="36" t="s">
        <v>14330</v>
      </c>
      <c r="M4477">
        <v>3</v>
      </c>
      <c r="N4477" t="s">
        <v>14331</v>
      </c>
      <c r="O4477" t="s">
        <v>14333</v>
      </c>
    </row>
    <row r="4478" spans="1:15" x14ac:dyDescent="0.25">
      <c r="A4478" s="35" t="s">
        <v>8275</v>
      </c>
      <c r="B4478" s="36" t="s">
        <v>8276</v>
      </c>
      <c r="C4478" s="36" t="str">
        <f>HYPERLINK("https://rhld.insurance.arkansas.gov/NPILookup?Npi=1609333806","1609333806")</f>
        <v>1609333806</v>
      </c>
      <c r="D4478" s="36" t="s">
        <v>36783</v>
      </c>
      <c r="E4478" s="36" t="s">
        <v>2</v>
      </c>
      <c r="F4478" s="36">
        <v>1</v>
      </c>
      <c r="G4478" s="36">
        <v>3</v>
      </c>
      <c r="H4478" s="36">
        <v>0</v>
      </c>
      <c r="I4478" s="37">
        <v>0</v>
      </c>
      <c r="J4478" s="36" t="s">
        <v>36190</v>
      </c>
      <c r="K4478" s="36" t="s">
        <v>14330</v>
      </c>
      <c r="L4478" s="36" t="s">
        <v>14330</v>
      </c>
      <c r="M4478">
        <v>3</v>
      </c>
      <c r="N4478" t="s">
        <v>14331</v>
      </c>
      <c r="O4478" t="s">
        <v>14333</v>
      </c>
    </row>
    <row r="4479" spans="1:15" x14ac:dyDescent="0.25">
      <c r="A4479" s="35" t="s">
        <v>8275</v>
      </c>
      <c r="B4479" s="36" t="s">
        <v>8276</v>
      </c>
      <c r="C4479" s="36" t="str">
        <f>HYPERLINK("https://rhld.insurance.arkansas.gov/NPILookup?Npi=1609358928","1609358928")</f>
        <v>1609358928</v>
      </c>
      <c r="D4479" s="36" t="s">
        <v>36784</v>
      </c>
      <c r="E4479" s="36" t="s">
        <v>2</v>
      </c>
      <c r="F4479" s="36">
        <v>1</v>
      </c>
      <c r="G4479" s="36">
        <v>3</v>
      </c>
      <c r="H4479" s="36">
        <v>0</v>
      </c>
      <c r="I4479" s="37">
        <v>0</v>
      </c>
      <c r="J4479" s="36" t="s">
        <v>36190</v>
      </c>
      <c r="K4479" s="36" t="s">
        <v>14330</v>
      </c>
      <c r="L4479" s="36" t="s">
        <v>14330</v>
      </c>
      <c r="M4479">
        <v>3</v>
      </c>
      <c r="N4479" t="s">
        <v>14331</v>
      </c>
      <c r="O4479" t="s">
        <v>14333</v>
      </c>
    </row>
    <row r="4480" spans="1:15" x14ac:dyDescent="0.25">
      <c r="A4480" s="35" t="s">
        <v>8275</v>
      </c>
      <c r="B4480" s="36" t="s">
        <v>8276</v>
      </c>
      <c r="C4480" s="36" t="str">
        <f>HYPERLINK("https://rhld.insurance.arkansas.gov/NPILookup?Npi=1609445923","1609445923")</f>
        <v>1609445923</v>
      </c>
      <c r="D4480" s="36" t="s">
        <v>36785</v>
      </c>
      <c r="E4480" s="36" t="s">
        <v>2</v>
      </c>
      <c r="F4480" s="36">
        <v>1</v>
      </c>
      <c r="G4480" s="36">
        <v>3</v>
      </c>
      <c r="H4480" s="36">
        <v>0</v>
      </c>
      <c r="I4480" s="37">
        <v>0</v>
      </c>
      <c r="J4480" s="36" t="s">
        <v>36190</v>
      </c>
      <c r="K4480" s="36" t="s">
        <v>14330</v>
      </c>
      <c r="L4480" s="36" t="s">
        <v>14330</v>
      </c>
      <c r="M4480">
        <v>2</v>
      </c>
      <c r="N4480" t="s">
        <v>14331</v>
      </c>
      <c r="O4480" t="s">
        <v>14333</v>
      </c>
    </row>
    <row r="4481" spans="1:15" x14ac:dyDescent="0.25">
      <c r="A4481" s="35" t="s">
        <v>8275</v>
      </c>
      <c r="B4481" s="36" t="s">
        <v>8276</v>
      </c>
      <c r="C4481" s="36" t="str">
        <f>HYPERLINK("https://rhld.insurance.arkansas.gov/NPILookup?Npi=1609450782","1609450782")</f>
        <v>1609450782</v>
      </c>
      <c r="D4481" s="36" t="s">
        <v>36786</v>
      </c>
      <c r="E4481" s="36" t="s">
        <v>2</v>
      </c>
      <c r="F4481" s="36">
        <v>1</v>
      </c>
      <c r="G4481" s="36">
        <v>2</v>
      </c>
      <c r="H4481" s="36">
        <v>0</v>
      </c>
      <c r="I4481" s="37">
        <v>0</v>
      </c>
      <c r="J4481" s="36" t="s">
        <v>36190</v>
      </c>
      <c r="K4481" s="36" t="s">
        <v>14330</v>
      </c>
      <c r="L4481" s="36" t="s">
        <v>14330</v>
      </c>
      <c r="M4481">
        <v>2</v>
      </c>
      <c r="N4481" t="s">
        <v>14331</v>
      </c>
      <c r="O4481" t="s">
        <v>14333</v>
      </c>
    </row>
    <row r="4482" spans="1:15" x14ac:dyDescent="0.25">
      <c r="A4482" s="35" t="s">
        <v>8275</v>
      </c>
      <c r="B4482" s="36" t="s">
        <v>8276</v>
      </c>
      <c r="C4482" s="36" t="str">
        <f>HYPERLINK("https://rhld.insurance.arkansas.gov/NPILookup?Npi=1609459932","1609459932")</f>
        <v>1609459932</v>
      </c>
      <c r="D4482" s="36" t="s">
        <v>36787</v>
      </c>
      <c r="E4482" s="36" t="s">
        <v>2</v>
      </c>
      <c r="F4482" s="36">
        <v>1</v>
      </c>
      <c r="G4482" s="36">
        <v>2</v>
      </c>
      <c r="H4482" s="36">
        <v>0</v>
      </c>
      <c r="I4482" s="37">
        <v>0</v>
      </c>
      <c r="J4482" s="36" t="s">
        <v>36190</v>
      </c>
      <c r="K4482" s="36" t="s">
        <v>14330</v>
      </c>
      <c r="L4482" s="36" t="s">
        <v>14330</v>
      </c>
      <c r="M4482">
        <v>2</v>
      </c>
      <c r="N4482" t="s">
        <v>14331</v>
      </c>
      <c r="O4482" t="s">
        <v>14333</v>
      </c>
    </row>
    <row r="4483" spans="1:15" x14ac:dyDescent="0.25">
      <c r="A4483" s="35" t="s">
        <v>8275</v>
      </c>
      <c r="B4483" s="36" t="s">
        <v>8276</v>
      </c>
      <c r="C4483" s="36" t="str">
        <f>HYPERLINK("https://rhld.insurance.arkansas.gov/NPILookup?Npi=1609466473","1609466473")</f>
        <v>1609466473</v>
      </c>
      <c r="D4483" s="36" t="s">
        <v>36788</v>
      </c>
      <c r="E4483" s="36" t="s">
        <v>2</v>
      </c>
      <c r="F4483" s="36">
        <v>1</v>
      </c>
      <c r="G4483" s="36">
        <v>2</v>
      </c>
      <c r="H4483" s="36">
        <v>0</v>
      </c>
      <c r="I4483" s="37">
        <v>0</v>
      </c>
      <c r="J4483" s="36" t="s">
        <v>36190</v>
      </c>
      <c r="K4483" s="36" t="s">
        <v>14330</v>
      </c>
      <c r="L4483" s="36" t="s">
        <v>14330</v>
      </c>
      <c r="M4483">
        <v>3</v>
      </c>
      <c r="N4483" t="s">
        <v>14331</v>
      </c>
      <c r="O4483" t="s">
        <v>14333</v>
      </c>
    </row>
    <row r="4484" spans="1:15" x14ac:dyDescent="0.25">
      <c r="A4484" s="35" t="s">
        <v>8275</v>
      </c>
      <c r="B4484" s="36" t="s">
        <v>8276</v>
      </c>
      <c r="C4484" s="36" t="str">
        <f>HYPERLINK("https://rhld.insurance.arkansas.gov/NPILookup?Npi=1609504430","1609504430")</f>
        <v>1609504430</v>
      </c>
      <c r="D4484" s="36" t="s">
        <v>36789</v>
      </c>
      <c r="E4484" s="36" t="s">
        <v>2</v>
      </c>
      <c r="F4484" s="36">
        <v>1</v>
      </c>
      <c r="G4484" s="36">
        <v>3</v>
      </c>
      <c r="H4484" s="36">
        <v>0</v>
      </c>
      <c r="I4484" s="37">
        <v>0</v>
      </c>
      <c r="J4484" s="36" t="s">
        <v>36190</v>
      </c>
      <c r="K4484" s="36" t="s">
        <v>14330</v>
      </c>
      <c r="L4484" s="36" t="s">
        <v>14330</v>
      </c>
      <c r="M4484">
        <v>3</v>
      </c>
      <c r="N4484" t="s">
        <v>14331</v>
      </c>
      <c r="O4484" t="s">
        <v>14333</v>
      </c>
    </row>
    <row r="4485" spans="1:15" x14ac:dyDescent="0.25">
      <c r="A4485" s="35" t="s">
        <v>8275</v>
      </c>
      <c r="B4485" s="36" t="s">
        <v>8276</v>
      </c>
      <c r="C4485" s="36" t="str">
        <f>HYPERLINK("https://rhld.insurance.arkansas.gov/NPILookup?Npi=1609638378","1609638378")</f>
        <v>1609638378</v>
      </c>
      <c r="D4485" s="36" t="s">
        <v>36790</v>
      </c>
      <c r="E4485" s="36" t="s">
        <v>2</v>
      </c>
      <c r="F4485" s="36">
        <v>1</v>
      </c>
      <c r="G4485" s="36">
        <v>3</v>
      </c>
      <c r="H4485" s="36">
        <v>0</v>
      </c>
      <c r="I4485" s="37">
        <v>0</v>
      </c>
      <c r="J4485" s="36" t="s">
        <v>36190</v>
      </c>
      <c r="K4485" s="36" t="s">
        <v>14330</v>
      </c>
      <c r="L4485" s="36" t="s">
        <v>14330</v>
      </c>
      <c r="M4485">
        <v>2</v>
      </c>
      <c r="N4485" t="s">
        <v>14331</v>
      </c>
      <c r="O4485" t="s">
        <v>14333</v>
      </c>
    </row>
    <row r="4486" spans="1:15" x14ac:dyDescent="0.25">
      <c r="A4486" s="35" t="s">
        <v>8275</v>
      </c>
      <c r="B4486" s="36" t="s">
        <v>8276</v>
      </c>
      <c r="C4486" s="36" t="str">
        <f>HYPERLINK("https://rhld.insurance.arkansas.gov/NPILookup?Npi=1609647015","1609647015")</f>
        <v>1609647015</v>
      </c>
      <c r="D4486" s="36" t="s">
        <v>35680</v>
      </c>
      <c r="E4486" s="36" t="s">
        <v>2</v>
      </c>
      <c r="F4486" s="36">
        <v>1</v>
      </c>
      <c r="G4486" s="36">
        <v>2</v>
      </c>
      <c r="H4486" s="36">
        <v>0</v>
      </c>
      <c r="I4486" s="37">
        <v>0</v>
      </c>
      <c r="J4486" s="36"/>
      <c r="K4486" s="36" t="s">
        <v>14330</v>
      </c>
      <c r="L4486" s="36" t="s">
        <v>14330</v>
      </c>
      <c r="M4486">
        <v>3</v>
      </c>
      <c r="N4486" t="s">
        <v>14331</v>
      </c>
      <c r="O4486" t="s">
        <v>14333</v>
      </c>
    </row>
    <row r="4487" spans="1:15" x14ac:dyDescent="0.25">
      <c r="A4487" s="35" t="s">
        <v>8275</v>
      </c>
      <c r="B4487" s="36" t="s">
        <v>8276</v>
      </c>
      <c r="C4487" s="36" t="str">
        <f>HYPERLINK("https://rhld.insurance.arkansas.gov/NPILookup?Npi=1609882497","1609882497")</f>
        <v>1609882497</v>
      </c>
      <c r="D4487" s="36" t="s">
        <v>36791</v>
      </c>
      <c r="E4487" s="36" t="s">
        <v>2</v>
      </c>
      <c r="F4487" s="36">
        <v>1</v>
      </c>
      <c r="G4487" s="36">
        <v>3</v>
      </c>
      <c r="H4487" s="36">
        <v>0</v>
      </c>
      <c r="I4487" s="37">
        <v>0</v>
      </c>
      <c r="J4487" s="36" t="s">
        <v>36190</v>
      </c>
      <c r="K4487" s="36" t="s">
        <v>14330</v>
      </c>
      <c r="L4487" s="36" t="s">
        <v>14330</v>
      </c>
      <c r="M4487">
        <v>2</v>
      </c>
      <c r="N4487" t="s">
        <v>14331</v>
      </c>
      <c r="O4487" t="s">
        <v>14333</v>
      </c>
    </row>
    <row r="4488" spans="1:15" x14ac:dyDescent="0.25">
      <c r="A4488" s="35" t="s">
        <v>8275</v>
      </c>
      <c r="B4488" s="36" t="s">
        <v>8276</v>
      </c>
      <c r="C4488" s="36" t="str">
        <f>HYPERLINK("https://rhld.insurance.arkansas.gov/NPILookup?Npi=1609898006","1609898006")</f>
        <v>1609898006</v>
      </c>
      <c r="D4488" s="36" t="s">
        <v>36792</v>
      </c>
      <c r="E4488" s="36" t="s">
        <v>1</v>
      </c>
      <c r="F4488" s="36">
        <v>1</v>
      </c>
      <c r="G4488" s="36">
        <v>2</v>
      </c>
      <c r="H4488" s="36">
        <v>0</v>
      </c>
      <c r="I4488" s="37">
        <v>0</v>
      </c>
      <c r="J4488" s="36" t="s">
        <v>32654</v>
      </c>
      <c r="K4488" s="36" t="s">
        <v>14330</v>
      </c>
      <c r="L4488" s="36" t="s">
        <v>14330</v>
      </c>
      <c r="M4488">
        <v>3</v>
      </c>
      <c r="N4488" t="s">
        <v>14331</v>
      </c>
      <c r="O4488" t="s">
        <v>32633</v>
      </c>
    </row>
    <row r="4489" spans="1:15" x14ac:dyDescent="0.25">
      <c r="A4489" s="35" t="s">
        <v>8275</v>
      </c>
      <c r="B4489" s="36" t="s">
        <v>8276</v>
      </c>
      <c r="C4489" s="36" t="str">
        <f>HYPERLINK("https://rhld.insurance.arkansas.gov/NPILookup?Npi=1619049384","1619049384")</f>
        <v>1619049384</v>
      </c>
      <c r="D4489" s="36" t="s">
        <v>36793</v>
      </c>
      <c r="E4489" s="36" t="s">
        <v>2</v>
      </c>
      <c r="F4489" s="36">
        <v>1</v>
      </c>
      <c r="G4489" s="36">
        <v>3</v>
      </c>
      <c r="H4489" s="36">
        <v>0</v>
      </c>
      <c r="I4489" s="37">
        <v>0</v>
      </c>
      <c r="J4489" s="36" t="s">
        <v>36190</v>
      </c>
      <c r="K4489" s="36" t="s">
        <v>14330</v>
      </c>
      <c r="L4489" s="36" t="s">
        <v>14330</v>
      </c>
      <c r="M4489">
        <v>1</v>
      </c>
      <c r="N4489" t="s">
        <v>14331</v>
      </c>
      <c r="O4489" t="s">
        <v>14333</v>
      </c>
    </row>
    <row r="4490" spans="1:15" x14ac:dyDescent="0.25">
      <c r="A4490" s="35" t="s">
        <v>8275</v>
      </c>
      <c r="B4490" s="36" t="s">
        <v>8276</v>
      </c>
      <c r="C4490" s="36" t="str">
        <f>HYPERLINK("https://rhld.insurance.arkansas.gov/NPILookup?Npi=1619067279","1619067279")</f>
        <v>1619067279</v>
      </c>
      <c r="D4490" s="36" t="s">
        <v>36794</v>
      </c>
      <c r="E4490" s="36" t="s">
        <v>1</v>
      </c>
      <c r="F4490" s="36">
        <v>1</v>
      </c>
      <c r="G4490" s="36">
        <v>2</v>
      </c>
      <c r="H4490" s="36">
        <v>1</v>
      </c>
      <c r="I4490" s="37">
        <v>0</v>
      </c>
      <c r="J4490" s="36" t="s">
        <v>32654</v>
      </c>
      <c r="K4490" s="36" t="s">
        <v>14330</v>
      </c>
      <c r="L4490" s="36" t="s">
        <v>36271</v>
      </c>
      <c r="M4490">
        <v>3</v>
      </c>
      <c r="N4490" t="s">
        <v>14332</v>
      </c>
      <c r="O4490" t="s">
        <v>32591</v>
      </c>
    </row>
    <row r="4491" spans="1:15" x14ac:dyDescent="0.25">
      <c r="A4491" s="35" t="s">
        <v>8275</v>
      </c>
      <c r="B4491" s="36" t="s">
        <v>8276</v>
      </c>
      <c r="C4491" s="36" t="str">
        <f>HYPERLINK("https://rhld.insurance.arkansas.gov/NPILookup?Npi=1619136306","1619136306")</f>
        <v>1619136306</v>
      </c>
      <c r="D4491" s="36" t="s">
        <v>36795</v>
      </c>
      <c r="E4491" s="36" t="s">
        <v>2</v>
      </c>
      <c r="F4491" s="36">
        <v>1</v>
      </c>
      <c r="G4491" s="36">
        <v>3</v>
      </c>
      <c r="H4491" s="36">
        <v>0</v>
      </c>
      <c r="I4491" s="37">
        <v>0</v>
      </c>
      <c r="J4491" s="36" t="s">
        <v>36190</v>
      </c>
      <c r="K4491" s="36" t="s">
        <v>14330</v>
      </c>
      <c r="L4491" s="36" t="s">
        <v>14330</v>
      </c>
      <c r="M4491">
        <v>2</v>
      </c>
      <c r="N4491" t="s">
        <v>14331</v>
      </c>
      <c r="O4491" t="s">
        <v>14333</v>
      </c>
    </row>
    <row r="4492" spans="1:15" x14ac:dyDescent="0.25">
      <c r="A4492" s="35" t="s">
        <v>8275</v>
      </c>
      <c r="B4492" s="36" t="s">
        <v>8276</v>
      </c>
      <c r="C4492" s="36" t="str">
        <f>HYPERLINK("https://rhld.insurance.arkansas.gov/NPILookup?Npi=1619297801","1619297801")</f>
        <v>1619297801</v>
      </c>
      <c r="D4492" s="36" t="s">
        <v>36796</v>
      </c>
      <c r="E4492" s="36" t="s">
        <v>2</v>
      </c>
      <c r="F4492" s="36">
        <v>1</v>
      </c>
      <c r="G4492" s="36">
        <v>2</v>
      </c>
      <c r="H4492" s="36">
        <v>0</v>
      </c>
      <c r="I4492" s="37">
        <v>0</v>
      </c>
      <c r="J4492" s="36" t="s">
        <v>36190</v>
      </c>
      <c r="K4492" s="36" t="s">
        <v>14330</v>
      </c>
      <c r="L4492" s="36" t="s">
        <v>14330</v>
      </c>
      <c r="M4492">
        <v>3</v>
      </c>
      <c r="N4492" t="s">
        <v>14331</v>
      </c>
      <c r="O4492" t="s">
        <v>14333</v>
      </c>
    </row>
    <row r="4493" spans="1:15" x14ac:dyDescent="0.25">
      <c r="A4493" s="35" t="s">
        <v>8275</v>
      </c>
      <c r="B4493" s="36" t="s">
        <v>8276</v>
      </c>
      <c r="C4493" s="36" t="str">
        <f>HYPERLINK("https://rhld.insurance.arkansas.gov/NPILookup?Npi=1619354818","1619354818")</f>
        <v>1619354818</v>
      </c>
      <c r="D4493" s="36" t="s">
        <v>36797</v>
      </c>
      <c r="E4493" s="36" t="s">
        <v>2</v>
      </c>
      <c r="F4493" s="36">
        <v>1</v>
      </c>
      <c r="G4493" s="36">
        <v>3</v>
      </c>
      <c r="H4493" s="36">
        <v>0</v>
      </c>
      <c r="I4493" s="37">
        <v>0</v>
      </c>
      <c r="J4493" s="36" t="s">
        <v>36190</v>
      </c>
      <c r="K4493" s="36" t="s">
        <v>14330</v>
      </c>
      <c r="L4493" s="36" t="s">
        <v>14330</v>
      </c>
      <c r="M4493">
        <v>3</v>
      </c>
      <c r="N4493" t="s">
        <v>14331</v>
      </c>
      <c r="O4493" t="s">
        <v>14333</v>
      </c>
    </row>
    <row r="4494" spans="1:15" x14ac:dyDescent="0.25">
      <c r="A4494" s="35" t="s">
        <v>8275</v>
      </c>
      <c r="B4494" s="36" t="s">
        <v>8276</v>
      </c>
      <c r="C4494" s="36" t="str">
        <f>HYPERLINK("https://rhld.insurance.arkansas.gov/NPILookup?Npi=1619381902","1619381902")</f>
        <v>1619381902</v>
      </c>
      <c r="D4494" s="36" t="s">
        <v>36798</v>
      </c>
      <c r="E4494" s="36" t="s">
        <v>2</v>
      </c>
      <c r="F4494" s="36">
        <v>1</v>
      </c>
      <c r="G4494" s="36">
        <v>3</v>
      </c>
      <c r="H4494" s="36">
        <v>0</v>
      </c>
      <c r="I4494" s="37">
        <v>0</v>
      </c>
      <c r="J4494" s="36" t="s">
        <v>36190</v>
      </c>
      <c r="K4494" s="36" t="s">
        <v>14330</v>
      </c>
      <c r="L4494" s="36" t="s">
        <v>14330</v>
      </c>
      <c r="M4494">
        <v>0</v>
      </c>
      <c r="N4494" t="s">
        <v>14331</v>
      </c>
      <c r="O4494" t="s">
        <v>14333</v>
      </c>
    </row>
    <row r="4495" spans="1:15" x14ac:dyDescent="0.25">
      <c r="A4495" s="35" t="s">
        <v>8275</v>
      </c>
      <c r="B4495" s="36" t="s">
        <v>8276</v>
      </c>
      <c r="C4495" s="36" t="str">
        <f>HYPERLINK("https://rhld.insurance.arkansas.gov/NPILookup?Npi=1619404563","1619404563")</f>
        <v>1619404563</v>
      </c>
      <c r="D4495" s="36" t="s">
        <v>36799</v>
      </c>
      <c r="E4495" s="36" t="s">
        <v>1</v>
      </c>
      <c r="F4495" s="36">
        <v>1</v>
      </c>
      <c r="G4495" s="36">
        <v>1</v>
      </c>
      <c r="H4495" s="36">
        <v>1</v>
      </c>
      <c r="I4495" s="37">
        <v>0</v>
      </c>
      <c r="J4495" s="36" t="s">
        <v>32654</v>
      </c>
      <c r="K4495" s="36" t="s">
        <v>14330</v>
      </c>
      <c r="L4495" s="36" t="s">
        <v>36271</v>
      </c>
      <c r="M4495">
        <v>3</v>
      </c>
      <c r="N4495" t="s">
        <v>14332</v>
      </c>
      <c r="O4495" t="s">
        <v>32591</v>
      </c>
    </row>
    <row r="4496" spans="1:15" x14ac:dyDescent="0.25">
      <c r="A4496" s="35" t="s">
        <v>8275</v>
      </c>
      <c r="B4496" s="36" t="s">
        <v>8276</v>
      </c>
      <c r="C4496" s="36" t="str">
        <f>HYPERLINK("https://rhld.insurance.arkansas.gov/NPILookup?Npi=1619445632","1619445632")</f>
        <v>1619445632</v>
      </c>
      <c r="D4496" s="36" t="s">
        <v>36800</v>
      </c>
      <c r="E4496" s="36" t="s">
        <v>2</v>
      </c>
      <c r="F4496" s="36">
        <v>1</v>
      </c>
      <c r="G4496" s="36">
        <v>3</v>
      </c>
      <c r="H4496" s="36">
        <v>0</v>
      </c>
      <c r="I4496" s="37">
        <v>0</v>
      </c>
      <c r="J4496" s="36" t="s">
        <v>36190</v>
      </c>
      <c r="K4496" s="36" t="s">
        <v>14330</v>
      </c>
      <c r="L4496" s="36" t="s">
        <v>14330</v>
      </c>
      <c r="M4496">
        <v>3</v>
      </c>
      <c r="N4496" t="s">
        <v>14331</v>
      </c>
      <c r="O4496" t="s">
        <v>14333</v>
      </c>
    </row>
    <row r="4497" spans="1:15" x14ac:dyDescent="0.25">
      <c r="A4497" s="35" t="s">
        <v>8275</v>
      </c>
      <c r="B4497" s="36" t="s">
        <v>8276</v>
      </c>
      <c r="C4497" s="36" t="str">
        <f>HYPERLINK("https://rhld.insurance.arkansas.gov/NPILookup?Npi=1619609633","1619609633")</f>
        <v>1619609633</v>
      </c>
      <c r="D4497" s="36" t="s">
        <v>36801</v>
      </c>
      <c r="E4497" s="36" t="s">
        <v>2</v>
      </c>
      <c r="F4497" s="36">
        <v>1</v>
      </c>
      <c r="G4497" s="36">
        <v>3</v>
      </c>
      <c r="H4497" s="36">
        <v>0</v>
      </c>
      <c r="I4497" s="37">
        <v>0</v>
      </c>
      <c r="J4497" s="36" t="s">
        <v>36190</v>
      </c>
      <c r="K4497" s="36" t="s">
        <v>14330</v>
      </c>
      <c r="L4497" s="36" t="s">
        <v>14330</v>
      </c>
      <c r="M4497">
        <v>2</v>
      </c>
      <c r="N4497" t="s">
        <v>14331</v>
      </c>
      <c r="O4497" t="s">
        <v>14333</v>
      </c>
    </row>
    <row r="4498" spans="1:15" x14ac:dyDescent="0.25">
      <c r="A4498" s="35" t="s">
        <v>8275</v>
      </c>
      <c r="B4498" s="36" t="s">
        <v>8276</v>
      </c>
      <c r="C4498" s="36" t="str">
        <f>HYPERLINK("https://rhld.insurance.arkansas.gov/NPILookup?Npi=1619618105","1619618105")</f>
        <v>1619618105</v>
      </c>
      <c r="D4498" s="36" t="s">
        <v>36802</v>
      </c>
      <c r="E4498" s="36" t="s">
        <v>2</v>
      </c>
      <c r="F4498" s="36">
        <v>1</v>
      </c>
      <c r="G4498" s="36">
        <v>2</v>
      </c>
      <c r="H4498" s="36">
        <v>0</v>
      </c>
      <c r="I4498" s="37">
        <v>0</v>
      </c>
      <c r="J4498" s="36" t="s">
        <v>36190</v>
      </c>
      <c r="K4498" s="36" t="s">
        <v>14330</v>
      </c>
      <c r="L4498" s="36" t="s">
        <v>14330</v>
      </c>
      <c r="M4498">
        <v>1</v>
      </c>
      <c r="N4498" t="s">
        <v>14331</v>
      </c>
      <c r="O4498" t="s">
        <v>14333</v>
      </c>
    </row>
    <row r="4499" spans="1:15" x14ac:dyDescent="0.25">
      <c r="A4499" s="35" t="s">
        <v>8275</v>
      </c>
      <c r="B4499" s="36" t="s">
        <v>8276</v>
      </c>
      <c r="C4499" s="36" t="str">
        <f>HYPERLINK("https://rhld.insurance.arkansas.gov/NPILookup?Npi=1619775939","1619775939")</f>
        <v>1619775939</v>
      </c>
      <c r="D4499" s="36" t="s">
        <v>34770</v>
      </c>
      <c r="E4499" s="36" t="s">
        <v>2</v>
      </c>
      <c r="F4499" s="36">
        <v>1</v>
      </c>
      <c r="G4499" s="36">
        <v>1</v>
      </c>
      <c r="H4499" s="36">
        <v>0</v>
      </c>
      <c r="I4499" s="37">
        <v>0</v>
      </c>
      <c r="J4499" s="36"/>
      <c r="K4499" s="36" t="s">
        <v>14330</v>
      </c>
      <c r="L4499" s="36" t="s">
        <v>14330</v>
      </c>
      <c r="M4499">
        <v>1</v>
      </c>
      <c r="N4499" t="s">
        <v>14331</v>
      </c>
      <c r="O4499" t="s">
        <v>32633</v>
      </c>
    </row>
    <row r="4500" spans="1:15" x14ac:dyDescent="0.25">
      <c r="A4500" s="35" t="s">
        <v>8275</v>
      </c>
      <c r="B4500" s="36" t="s">
        <v>8276</v>
      </c>
      <c r="C4500" s="36" t="str">
        <f>HYPERLINK("https://rhld.insurance.arkansas.gov/NPILookup?Npi=1619939204","1619939204")</f>
        <v>1619939204</v>
      </c>
      <c r="D4500" s="36" t="s">
        <v>36803</v>
      </c>
      <c r="E4500" s="36" t="s">
        <v>1</v>
      </c>
      <c r="F4500" s="36">
        <v>1</v>
      </c>
      <c r="G4500" s="36">
        <v>1</v>
      </c>
      <c r="H4500" s="36">
        <v>0</v>
      </c>
      <c r="I4500" s="37">
        <v>0</v>
      </c>
      <c r="J4500" s="36" t="s">
        <v>32654</v>
      </c>
      <c r="K4500" s="36" t="s">
        <v>14330</v>
      </c>
      <c r="L4500" s="36" t="s">
        <v>14330</v>
      </c>
      <c r="M4500">
        <v>2</v>
      </c>
      <c r="N4500" t="s">
        <v>14331</v>
      </c>
      <c r="O4500" t="s">
        <v>32633</v>
      </c>
    </row>
    <row r="4501" spans="1:15" x14ac:dyDescent="0.25">
      <c r="A4501" s="35" t="s">
        <v>8275</v>
      </c>
      <c r="B4501" s="36" t="s">
        <v>8276</v>
      </c>
      <c r="C4501" s="36" t="str">
        <f>HYPERLINK("https://rhld.insurance.arkansas.gov/NPILookup?Npi=1619961646","1619961646")</f>
        <v>1619961646</v>
      </c>
      <c r="D4501" s="36" t="s">
        <v>36804</v>
      </c>
      <c r="E4501" s="36" t="s">
        <v>2</v>
      </c>
      <c r="F4501" s="36">
        <v>1</v>
      </c>
      <c r="G4501" s="36">
        <v>2</v>
      </c>
      <c r="H4501" s="36">
        <v>0</v>
      </c>
      <c r="I4501" s="37">
        <v>0</v>
      </c>
      <c r="J4501" s="36" t="s">
        <v>32679</v>
      </c>
      <c r="K4501" s="36" t="s">
        <v>14330</v>
      </c>
      <c r="L4501" s="36" t="s">
        <v>14330</v>
      </c>
      <c r="M4501">
        <v>3</v>
      </c>
      <c r="N4501" t="s">
        <v>14331</v>
      </c>
      <c r="O4501" t="s">
        <v>14333</v>
      </c>
    </row>
    <row r="4502" spans="1:15" x14ac:dyDescent="0.25">
      <c r="A4502" s="35" t="s">
        <v>8275</v>
      </c>
      <c r="B4502" s="36" t="s">
        <v>8276</v>
      </c>
      <c r="C4502" s="36" t="str">
        <f>HYPERLINK("https://rhld.insurance.arkansas.gov/NPILookup?Npi=1629037585","1629037585")</f>
        <v>1629037585</v>
      </c>
      <c r="D4502" s="36" t="s">
        <v>36805</v>
      </c>
      <c r="E4502" s="36" t="s">
        <v>2</v>
      </c>
      <c r="F4502" s="36">
        <v>1</v>
      </c>
      <c r="G4502" s="36">
        <v>3</v>
      </c>
      <c r="H4502" s="36">
        <v>0</v>
      </c>
      <c r="I4502" s="37">
        <v>0</v>
      </c>
      <c r="J4502" s="36" t="s">
        <v>36190</v>
      </c>
      <c r="K4502" s="36" t="s">
        <v>14330</v>
      </c>
      <c r="L4502" s="36" t="s">
        <v>14330</v>
      </c>
      <c r="M4502">
        <v>2</v>
      </c>
      <c r="N4502" t="s">
        <v>14331</v>
      </c>
      <c r="O4502" t="s">
        <v>14333</v>
      </c>
    </row>
    <row r="4503" spans="1:15" x14ac:dyDescent="0.25">
      <c r="A4503" s="35" t="s">
        <v>8275</v>
      </c>
      <c r="B4503" s="36" t="s">
        <v>8276</v>
      </c>
      <c r="C4503" s="36" t="str">
        <f>HYPERLINK("https://rhld.insurance.arkansas.gov/NPILookup?Npi=1629203005","1629203005")</f>
        <v>1629203005</v>
      </c>
      <c r="D4503" s="36" t="s">
        <v>35694</v>
      </c>
      <c r="E4503" s="36" t="s">
        <v>2</v>
      </c>
      <c r="F4503" s="36">
        <v>1</v>
      </c>
      <c r="G4503" s="36">
        <v>2</v>
      </c>
      <c r="H4503" s="36">
        <v>0</v>
      </c>
      <c r="I4503" s="37">
        <v>0</v>
      </c>
      <c r="J4503" s="36"/>
      <c r="K4503" s="36" t="s">
        <v>14330</v>
      </c>
      <c r="L4503" s="36" t="s">
        <v>14330</v>
      </c>
      <c r="M4503">
        <v>3</v>
      </c>
      <c r="N4503" t="s">
        <v>14331</v>
      </c>
      <c r="O4503" t="s">
        <v>14333</v>
      </c>
    </row>
    <row r="4504" spans="1:15" x14ac:dyDescent="0.25">
      <c r="A4504" s="35" t="s">
        <v>8275</v>
      </c>
      <c r="B4504" s="36" t="s">
        <v>8276</v>
      </c>
      <c r="C4504" s="36" t="str">
        <f>HYPERLINK("https://rhld.insurance.arkansas.gov/NPILookup?Npi=1629238795","1629238795")</f>
        <v>1629238795</v>
      </c>
      <c r="D4504" s="36" t="s">
        <v>36806</v>
      </c>
      <c r="E4504" s="36" t="s">
        <v>2</v>
      </c>
      <c r="F4504" s="36">
        <v>1</v>
      </c>
      <c r="G4504" s="36">
        <v>3</v>
      </c>
      <c r="H4504" s="36">
        <v>0</v>
      </c>
      <c r="I4504" s="37">
        <v>0</v>
      </c>
      <c r="J4504" s="36" t="s">
        <v>36190</v>
      </c>
      <c r="K4504" s="36" t="s">
        <v>14330</v>
      </c>
      <c r="L4504" s="36" t="s">
        <v>14330</v>
      </c>
      <c r="M4504">
        <v>3</v>
      </c>
      <c r="N4504" t="s">
        <v>14331</v>
      </c>
      <c r="O4504" t="s">
        <v>14333</v>
      </c>
    </row>
    <row r="4505" spans="1:15" x14ac:dyDescent="0.25">
      <c r="A4505" s="35" t="s">
        <v>8275</v>
      </c>
      <c r="B4505" s="36" t="s">
        <v>8276</v>
      </c>
      <c r="C4505" s="36" t="str">
        <f>HYPERLINK("https://rhld.insurance.arkansas.gov/NPILookup?Npi=1629301106","1629301106")</f>
        <v>1629301106</v>
      </c>
      <c r="D4505" s="36" t="s">
        <v>36807</v>
      </c>
      <c r="E4505" s="36" t="s">
        <v>2</v>
      </c>
      <c r="F4505" s="36">
        <v>1</v>
      </c>
      <c r="G4505" s="36">
        <v>3</v>
      </c>
      <c r="H4505" s="36">
        <v>0</v>
      </c>
      <c r="I4505" s="37">
        <v>0</v>
      </c>
      <c r="J4505" s="36" t="s">
        <v>36190</v>
      </c>
      <c r="K4505" s="36" t="s">
        <v>14330</v>
      </c>
      <c r="L4505" s="36" t="s">
        <v>14330</v>
      </c>
      <c r="M4505">
        <v>2</v>
      </c>
      <c r="N4505" t="s">
        <v>14331</v>
      </c>
      <c r="O4505" t="s">
        <v>14333</v>
      </c>
    </row>
    <row r="4506" spans="1:15" x14ac:dyDescent="0.25">
      <c r="A4506" s="35" t="s">
        <v>8275</v>
      </c>
      <c r="B4506" s="36" t="s">
        <v>8276</v>
      </c>
      <c r="C4506" s="36" t="str">
        <f>HYPERLINK("https://rhld.insurance.arkansas.gov/NPILookup?Npi=1629336078","1629336078")</f>
        <v>1629336078</v>
      </c>
      <c r="D4506" s="36" t="s">
        <v>36808</v>
      </c>
      <c r="E4506" s="36" t="s">
        <v>1</v>
      </c>
      <c r="F4506" s="36">
        <v>1</v>
      </c>
      <c r="G4506" s="36">
        <v>2</v>
      </c>
      <c r="H4506" s="36">
        <v>0</v>
      </c>
      <c r="I4506" s="37">
        <v>0</v>
      </c>
      <c r="J4506" s="36" t="s">
        <v>32654</v>
      </c>
      <c r="K4506" s="36" t="s">
        <v>14330</v>
      </c>
      <c r="L4506" s="36" t="s">
        <v>14330</v>
      </c>
      <c r="M4506">
        <v>2</v>
      </c>
      <c r="N4506" t="s">
        <v>14331</v>
      </c>
      <c r="O4506" t="s">
        <v>32633</v>
      </c>
    </row>
    <row r="4507" spans="1:15" x14ac:dyDescent="0.25">
      <c r="A4507" s="35" t="s">
        <v>8275</v>
      </c>
      <c r="B4507" s="36" t="s">
        <v>8276</v>
      </c>
      <c r="C4507" s="36" t="str">
        <f>HYPERLINK("https://rhld.insurance.arkansas.gov/NPILookup?Npi=1629369475","1629369475")</f>
        <v>1629369475</v>
      </c>
      <c r="D4507" s="36" t="s">
        <v>36809</v>
      </c>
      <c r="E4507" s="36" t="s">
        <v>1</v>
      </c>
      <c r="F4507" s="36">
        <v>1</v>
      </c>
      <c r="G4507" s="36">
        <v>2</v>
      </c>
      <c r="H4507" s="36">
        <v>0</v>
      </c>
      <c r="I4507" s="37">
        <v>0</v>
      </c>
      <c r="J4507" s="36" t="s">
        <v>32723</v>
      </c>
      <c r="K4507" s="36" t="s">
        <v>14330</v>
      </c>
      <c r="L4507" s="36" t="s">
        <v>14330</v>
      </c>
      <c r="M4507">
        <v>3</v>
      </c>
      <c r="N4507" t="s">
        <v>14331</v>
      </c>
      <c r="O4507" t="s">
        <v>32724</v>
      </c>
    </row>
    <row r="4508" spans="1:15" x14ac:dyDescent="0.25">
      <c r="A4508" s="35" t="s">
        <v>8275</v>
      </c>
      <c r="B4508" s="36" t="s">
        <v>8276</v>
      </c>
      <c r="C4508" s="36" t="str">
        <f>HYPERLINK("https://rhld.insurance.arkansas.gov/NPILookup?Npi=1629418553","1629418553")</f>
        <v>1629418553</v>
      </c>
      <c r="D4508" s="36" t="s">
        <v>36810</v>
      </c>
      <c r="E4508" s="36" t="s">
        <v>2</v>
      </c>
      <c r="F4508" s="36">
        <v>1</v>
      </c>
      <c r="G4508" s="36">
        <v>3</v>
      </c>
      <c r="H4508" s="36">
        <v>0</v>
      </c>
      <c r="I4508" s="37">
        <v>0</v>
      </c>
      <c r="J4508" s="36" t="s">
        <v>36190</v>
      </c>
      <c r="K4508" s="36" t="s">
        <v>14330</v>
      </c>
      <c r="L4508" s="36" t="s">
        <v>14330</v>
      </c>
      <c r="M4508">
        <v>3</v>
      </c>
      <c r="N4508" t="s">
        <v>14331</v>
      </c>
      <c r="O4508" t="s">
        <v>14333</v>
      </c>
    </row>
    <row r="4509" spans="1:15" x14ac:dyDescent="0.25">
      <c r="A4509" s="35" t="s">
        <v>8275</v>
      </c>
      <c r="B4509" s="36" t="s">
        <v>8276</v>
      </c>
      <c r="C4509" s="36" t="str">
        <f>HYPERLINK("https://rhld.insurance.arkansas.gov/NPILookup?Npi=1629527965","1629527965")</f>
        <v>1629527965</v>
      </c>
      <c r="D4509" s="36" t="s">
        <v>36811</v>
      </c>
      <c r="E4509" s="36" t="s">
        <v>2</v>
      </c>
      <c r="F4509" s="36">
        <v>1</v>
      </c>
      <c r="G4509" s="36">
        <v>3</v>
      </c>
      <c r="H4509" s="36">
        <v>0</v>
      </c>
      <c r="I4509" s="37">
        <v>0</v>
      </c>
      <c r="J4509" s="36" t="s">
        <v>36190</v>
      </c>
      <c r="K4509" s="36" t="s">
        <v>14330</v>
      </c>
      <c r="L4509" s="36" t="s">
        <v>14330</v>
      </c>
      <c r="M4509">
        <v>2</v>
      </c>
      <c r="N4509" t="s">
        <v>14331</v>
      </c>
      <c r="O4509" t="s">
        <v>14333</v>
      </c>
    </row>
    <row r="4510" spans="1:15" x14ac:dyDescent="0.25">
      <c r="A4510" s="35" t="s">
        <v>8275</v>
      </c>
      <c r="B4510" s="36" t="s">
        <v>8276</v>
      </c>
      <c r="C4510" s="36" t="str">
        <f>HYPERLINK("https://rhld.insurance.arkansas.gov/NPILookup?Npi=1629531595","1629531595")</f>
        <v>1629531595</v>
      </c>
      <c r="D4510" s="36" t="s">
        <v>35699</v>
      </c>
      <c r="E4510" s="36" t="s">
        <v>2</v>
      </c>
      <c r="F4510" s="36">
        <v>1</v>
      </c>
      <c r="G4510" s="36">
        <v>2</v>
      </c>
      <c r="H4510" s="36">
        <v>0</v>
      </c>
      <c r="I4510" s="37">
        <v>0</v>
      </c>
      <c r="J4510" s="36"/>
      <c r="K4510" s="36" t="s">
        <v>14330</v>
      </c>
      <c r="L4510" s="36" t="s">
        <v>14330</v>
      </c>
      <c r="M4510">
        <v>0</v>
      </c>
      <c r="N4510" t="s">
        <v>14331</v>
      </c>
      <c r="O4510" t="s">
        <v>14333</v>
      </c>
    </row>
    <row r="4511" spans="1:15" x14ac:dyDescent="0.25">
      <c r="A4511" s="35" t="s">
        <v>8275</v>
      </c>
      <c r="B4511" s="36" t="s">
        <v>8276</v>
      </c>
      <c r="C4511" s="36" t="str">
        <f>HYPERLINK("https://rhld.insurance.arkansas.gov/NPILookup?Npi=1629599287","1629599287")</f>
        <v>1629599287</v>
      </c>
      <c r="D4511" s="36" t="s">
        <v>36812</v>
      </c>
      <c r="E4511" s="36" t="s">
        <v>1</v>
      </c>
      <c r="F4511" s="36">
        <v>1</v>
      </c>
      <c r="G4511" s="36">
        <v>1</v>
      </c>
      <c r="H4511" s="36">
        <v>1</v>
      </c>
      <c r="I4511" s="37">
        <v>0</v>
      </c>
      <c r="J4511" s="36" t="s">
        <v>32654</v>
      </c>
      <c r="K4511" s="36" t="s">
        <v>14330</v>
      </c>
      <c r="L4511" s="36" t="s">
        <v>36271</v>
      </c>
      <c r="M4511">
        <v>3</v>
      </c>
      <c r="N4511" t="s">
        <v>14332</v>
      </c>
      <c r="O4511" t="s">
        <v>32591</v>
      </c>
    </row>
    <row r="4512" spans="1:15" x14ac:dyDescent="0.25">
      <c r="A4512" s="35" t="s">
        <v>8275</v>
      </c>
      <c r="B4512" s="36" t="s">
        <v>8276</v>
      </c>
      <c r="C4512" s="36" t="str">
        <f>HYPERLINK("https://rhld.insurance.arkansas.gov/NPILookup?Npi=1629627542","1629627542")</f>
        <v>1629627542</v>
      </c>
      <c r="D4512" s="36" t="s">
        <v>36813</v>
      </c>
      <c r="E4512" s="36" t="s">
        <v>2</v>
      </c>
      <c r="F4512" s="36">
        <v>4</v>
      </c>
      <c r="G4512" s="36">
        <v>3</v>
      </c>
      <c r="H4512" s="36">
        <v>0</v>
      </c>
      <c r="I4512" s="37">
        <v>0</v>
      </c>
      <c r="J4512" s="36" t="s">
        <v>36814</v>
      </c>
      <c r="K4512" s="36" t="s">
        <v>14330</v>
      </c>
      <c r="L4512" s="36" t="s">
        <v>14330</v>
      </c>
      <c r="M4512">
        <v>2</v>
      </c>
      <c r="N4512" t="s">
        <v>14331</v>
      </c>
      <c r="O4512" t="s">
        <v>14333</v>
      </c>
    </row>
    <row r="4513" spans="1:15" x14ac:dyDescent="0.25">
      <c r="A4513" s="35" t="s">
        <v>8275</v>
      </c>
      <c r="B4513" s="36" t="s">
        <v>8276</v>
      </c>
      <c r="C4513" s="36" t="str">
        <f>HYPERLINK("https://rhld.insurance.arkansas.gov/NPILookup?Npi=1629661053","1629661053")</f>
        <v>1629661053</v>
      </c>
      <c r="D4513" s="36" t="s">
        <v>36815</v>
      </c>
      <c r="E4513" s="36" t="s">
        <v>2</v>
      </c>
      <c r="F4513" s="36">
        <v>1</v>
      </c>
      <c r="G4513" s="36">
        <v>2</v>
      </c>
      <c r="H4513" s="36">
        <v>0</v>
      </c>
      <c r="I4513" s="37">
        <v>0</v>
      </c>
      <c r="J4513" s="36" t="s">
        <v>36190</v>
      </c>
      <c r="K4513" s="36" t="s">
        <v>14330</v>
      </c>
      <c r="L4513" s="36" t="s">
        <v>14330</v>
      </c>
      <c r="M4513">
        <v>2</v>
      </c>
      <c r="N4513" t="s">
        <v>14331</v>
      </c>
      <c r="O4513" t="s">
        <v>14333</v>
      </c>
    </row>
    <row r="4514" spans="1:15" x14ac:dyDescent="0.25">
      <c r="A4514" s="35" t="s">
        <v>8275</v>
      </c>
      <c r="B4514" s="36" t="s">
        <v>8276</v>
      </c>
      <c r="C4514" s="36" t="str">
        <f>HYPERLINK("https://rhld.insurance.arkansas.gov/NPILookup?Npi=1629719018","1629719018")</f>
        <v>1629719018</v>
      </c>
      <c r="D4514" s="36" t="s">
        <v>35702</v>
      </c>
      <c r="E4514" s="36" t="s">
        <v>2</v>
      </c>
      <c r="F4514" s="36">
        <v>1</v>
      </c>
      <c r="G4514" s="36">
        <v>2</v>
      </c>
      <c r="H4514" s="36">
        <v>0</v>
      </c>
      <c r="I4514" s="37">
        <v>0</v>
      </c>
      <c r="J4514" s="36"/>
      <c r="K4514" s="36" t="s">
        <v>14330</v>
      </c>
      <c r="L4514" s="36" t="s">
        <v>14330</v>
      </c>
      <c r="M4514">
        <v>3</v>
      </c>
      <c r="N4514" t="s">
        <v>14331</v>
      </c>
      <c r="O4514" t="s">
        <v>14333</v>
      </c>
    </row>
    <row r="4515" spans="1:15" x14ac:dyDescent="0.25">
      <c r="A4515" s="35" t="s">
        <v>8275</v>
      </c>
      <c r="B4515" s="36" t="s">
        <v>8276</v>
      </c>
      <c r="C4515" s="36" t="str">
        <f>HYPERLINK("https://rhld.insurance.arkansas.gov/NPILookup?Npi=1629791009","1629791009")</f>
        <v>1629791009</v>
      </c>
      <c r="D4515" s="36" t="s">
        <v>36816</v>
      </c>
      <c r="E4515" s="36" t="s">
        <v>2</v>
      </c>
      <c r="F4515" s="36">
        <v>1</v>
      </c>
      <c r="G4515" s="36">
        <v>3</v>
      </c>
      <c r="H4515" s="36">
        <v>0</v>
      </c>
      <c r="I4515" s="37">
        <v>0</v>
      </c>
      <c r="J4515" s="36" t="s">
        <v>36190</v>
      </c>
      <c r="K4515" s="36" t="s">
        <v>14330</v>
      </c>
      <c r="L4515" s="36" t="s">
        <v>14330</v>
      </c>
      <c r="M4515">
        <v>2</v>
      </c>
      <c r="N4515" t="s">
        <v>14331</v>
      </c>
      <c r="O4515" t="s">
        <v>14333</v>
      </c>
    </row>
    <row r="4516" spans="1:15" x14ac:dyDescent="0.25">
      <c r="A4516" s="35" t="s">
        <v>8275</v>
      </c>
      <c r="B4516" s="36" t="s">
        <v>8276</v>
      </c>
      <c r="C4516" s="36" t="str">
        <f>HYPERLINK("https://rhld.insurance.arkansas.gov/NPILookup?Npi=1629802772","1629802772")</f>
        <v>1629802772</v>
      </c>
      <c r="D4516" s="36" t="s">
        <v>35705</v>
      </c>
      <c r="E4516" s="36" t="s">
        <v>2</v>
      </c>
      <c r="F4516" s="36">
        <v>1</v>
      </c>
      <c r="G4516" s="36">
        <v>2</v>
      </c>
      <c r="H4516" s="36">
        <v>0</v>
      </c>
      <c r="I4516" s="37">
        <v>0</v>
      </c>
      <c r="J4516" s="36"/>
      <c r="K4516" s="36" t="s">
        <v>14330</v>
      </c>
      <c r="L4516" s="36" t="s">
        <v>14330</v>
      </c>
      <c r="M4516">
        <v>1</v>
      </c>
      <c r="N4516" t="s">
        <v>14331</v>
      </c>
      <c r="O4516" t="s">
        <v>14333</v>
      </c>
    </row>
    <row r="4517" spans="1:15" x14ac:dyDescent="0.25">
      <c r="A4517" s="35" t="s">
        <v>8275</v>
      </c>
      <c r="B4517" s="36" t="s">
        <v>8276</v>
      </c>
      <c r="C4517" s="36" t="str">
        <f>HYPERLINK("https://rhld.insurance.arkansas.gov/NPILookup?Npi=1629847132","1629847132")</f>
        <v>1629847132</v>
      </c>
      <c r="D4517" s="36" t="s">
        <v>35706</v>
      </c>
      <c r="E4517" s="36" t="s">
        <v>2</v>
      </c>
      <c r="F4517" s="36">
        <v>2</v>
      </c>
      <c r="G4517" s="36">
        <v>1</v>
      </c>
      <c r="H4517" s="36">
        <v>0</v>
      </c>
      <c r="I4517" s="37">
        <v>0</v>
      </c>
      <c r="J4517" s="36" t="s">
        <v>33004</v>
      </c>
      <c r="K4517" s="36" t="s">
        <v>14330</v>
      </c>
      <c r="L4517" s="36" t="s">
        <v>14330</v>
      </c>
      <c r="M4517">
        <v>2</v>
      </c>
      <c r="N4517" t="s">
        <v>14331</v>
      </c>
      <c r="O4517" t="s">
        <v>32633</v>
      </c>
    </row>
    <row r="4518" spans="1:15" x14ac:dyDescent="0.25">
      <c r="A4518" s="35" t="s">
        <v>8275</v>
      </c>
      <c r="B4518" s="36" t="s">
        <v>8276</v>
      </c>
      <c r="C4518" s="36" t="str">
        <f>HYPERLINK("https://rhld.insurance.arkansas.gov/NPILookup?Npi=1639105182","1639105182")</f>
        <v>1639105182</v>
      </c>
      <c r="D4518" s="36" t="s">
        <v>35707</v>
      </c>
      <c r="E4518" s="36" t="s">
        <v>2</v>
      </c>
      <c r="F4518" s="36">
        <v>1</v>
      </c>
      <c r="G4518" s="36">
        <v>2</v>
      </c>
      <c r="H4518" s="36">
        <v>0</v>
      </c>
      <c r="I4518" s="37">
        <v>0</v>
      </c>
      <c r="J4518" s="36"/>
      <c r="K4518" s="36" t="s">
        <v>14330</v>
      </c>
      <c r="L4518" s="36" t="s">
        <v>14330</v>
      </c>
      <c r="M4518">
        <v>3</v>
      </c>
      <c r="N4518" t="s">
        <v>14331</v>
      </c>
      <c r="O4518" t="s">
        <v>14333</v>
      </c>
    </row>
    <row r="4519" spans="1:15" x14ac:dyDescent="0.25">
      <c r="A4519" s="35" t="s">
        <v>8275</v>
      </c>
      <c r="B4519" s="36" t="s">
        <v>8276</v>
      </c>
      <c r="C4519" s="36" t="str">
        <f>HYPERLINK("https://rhld.insurance.arkansas.gov/NPILookup?Npi=1639142284","1639142284")</f>
        <v>1639142284</v>
      </c>
      <c r="D4519" s="36" t="s">
        <v>36817</v>
      </c>
      <c r="E4519" s="36" t="s">
        <v>2</v>
      </c>
      <c r="F4519" s="36">
        <v>1</v>
      </c>
      <c r="G4519" s="36">
        <v>3</v>
      </c>
      <c r="H4519" s="36">
        <v>0</v>
      </c>
      <c r="I4519" s="37">
        <v>0</v>
      </c>
      <c r="J4519" s="36" t="s">
        <v>36190</v>
      </c>
      <c r="K4519" s="36" t="s">
        <v>14330</v>
      </c>
      <c r="L4519" s="36" t="s">
        <v>14330</v>
      </c>
      <c r="M4519">
        <v>3</v>
      </c>
      <c r="N4519" t="s">
        <v>14331</v>
      </c>
      <c r="O4519" t="s">
        <v>14333</v>
      </c>
    </row>
    <row r="4520" spans="1:15" x14ac:dyDescent="0.25">
      <c r="A4520" s="35" t="s">
        <v>8275</v>
      </c>
      <c r="B4520" s="36" t="s">
        <v>8276</v>
      </c>
      <c r="C4520" s="36" t="str">
        <f>HYPERLINK("https://rhld.insurance.arkansas.gov/NPILookup?Npi=1639142524","1639142524")</f>
        <v>1639142524</v>
      </c>
      <c r="D4520" s="36" t="s">
        <v>36818</v>
      </c>
      <c r="E4520" s="36" t="s">
        <v>2</v>
      </c>
      <c r="F4520" s="36">
        <v>1</v>
      </c>
      <c r="G4520" s="36">
        <v>3</v>
      </c>
      <c r="H4520" s="36">
        <v>0</v>
      </c>
      <c r="I4520" s="37">
        <v>0</v>
      </c>
      <c r="J4520" s="36" t="s">
        <v>36190</v>
      </c>
      <c r="K4520" s="36" t="s">
        <v>14330</v>
      </c>
      <c r="L4520" s="36" t="s">
        <v>14330</v>
      </c>
      <c r="M4520">
        <v>2</v>
      </c>
      <c r="N4520" t="s">
        <v>14331</v>
      </c>
      <c r="O4520" t="s">
        <v>14333</v>
      </c>
    </row>
    <row r="4521" spans="1:15" x14ac:dyDescent="0.25">
      <c r="A4521" s="35" t="s">
        <v>8275</v>
      </c>
      <c r="B4521" s="36" t="s">
        <v>8276</v>
      </c>
      <c r="C4521" s="36" t="str">
        <f>HYPERLINK("https://rhld.insurance.arkansas.gov/NPILookup?Npi=1639173420","1639173420")</f>
        <v>1639173420</v>
      </c>
      <c r="D4521" s="36" t="s">
        <v>36819</v>
      </c>
      <c r="E4521" s="36" t="s">
        <v>2</v>
      </c>
      <c r="F4521" s="36">
        <v>1</v>
      </c>
      <c r="G4521" s="36">
        <v>2</v>
      </c>
      <c r="H4521" s="36">
        <v>0</v>
      </c>
      <c r="I4521" s="37">
        <v>0</v>
      </c>
      <c r="J4521" s="36" t="s">
        <v>36190</v>
      </c>
      <c r="K4521" s="36" t="s">
        <v>14330</v>
      </c>
      <c r="L4521" s="36" t="s">
        <v>14330</v>
      </c>
      <c r="M4521">
        <v>2</v>
      </c>
      <c r="N4521" t="s">
        <v>14331</v>
      </c>
      <c r="O4521" t="s">
        <v>14333</v>
      </c>
    </row>
    <row r="4522" spans="1:15" x14ac:dyDescent="0.25">
      <c r="A4522" s="35" t="s">
        <v>8275</v>
      </c>
      <c r="B4522" s="36" t="s">
        <v>8276</v>
      </c>
      <c r="C4522" s="36" t="str">
        <f>HYPERLINK("https://rhld.insurance.arkansas.gov/NPILookup?Npi=1639326507","1639326507")</f>
        <v>1639326507</v>
      </c>
      <c r="D4522" s="36" t="s">
        <v>36820</v>
      </c>
      <c r="E4522" s="36" t="s">
        <v>2</v>
      </c>
      <c r="F4522" s="36">
        <v>1</v>
      </c>
      <c r="G4522" s="36">
        <v>2</v>
      </c>
      <c r="H4522" s="36">
        <v>0</v>
      </c>
      <c r="I4522" s="37">
        <v>0</v>
      </c>
      <c r="J4522" s="36"/>
      <c r="K4522" s="36" t="s">
        <v>14330</v>
      </c>
      <c r="L4522" s="36" t="s">
        <v>14330</v>
      </c>
      <c r="M4522">
        <v>2</v>
      </c>
      <c r="N4522" t="s">
        <v>14331</v>
      </c>
      <c r="O4522" t="s">
        <v>14333</v>
      </c>
    </row>
    <row r="4523" spans="1:15" x14ac:dyDescent="0.25">
      <c r="A4523" s="35" t="s">
        <v>8275</v>
      </c>
      <c r="B4523" s="36" t="s">
        <v>8276</v>
      </c>
      <c r="C4523" s="36" t="str">
        <f>HYPERLINK("https://rhld.insurance.arkansas.gov/NPILookup?Npi=1639370851","1639370851")</f>
        <v>1639370851</v>
      </c>
      <c r="D4523" s="36" t="s">
        <v>35712</v>
      </c>
      <c r="E4523" s="36" t="s">
        <v>1</v>
      </c>
      <c r="F4523" s="36">
        <v>1</v>
      </c>
      <c r="G4523" s="36">
        <v>2</v>
      </c>
      <c r="H4523" s="36">
        <v>0</v>
      </c>
      <c r="I4523" s="37">
        <v>0</v>
      </c>
      <c r="J4523" s="36" t="s">
        <v>32654</v>
      </c>
      <c r="K4523" s="36" t="s">
        <v>14330</v>
      </c>
      <c r="L4523" s="36" t="s">
        <v>14330</v>
      </c>
      <c r="M4523">
        <v>2</v>
      </c>
      <c r="N4523" t="s">
        <v>14331</v>
      </c>
      <c r="O4523" t="s">
        <v>32633</v>
      </c>
    </row>
    <row r="4524" spans="1:15" x14ac:dyDescent="0.25">
      <c r="A4524" s="35" t="s">
        <v>8275</v>
      </c>
      <c r="B4524" s="36" t="s">
        <v>8276</v>
      </c>
      <c r="C4524" s="36" t="str">
        <f>HYPERLINK("https://rhld.insurance.arkansas.gov/NPILookup?Npi=1639433469","1639433469")</f>
        <v>1639433469</v>
      </c>
      <c r="D4524" s="36" t="s">
        <v>35714</v>
      </c>
      <c r="E4524" s="36" t="s">
        <v>2</v>
      </c>
      <c r="F4524" s="36">
        <v>1</v>
      </c>
      <c r="G4524" s="36">
        <v>2</v>
      </c>
      <c r="H4524" s="36">
        <v>0</v>
      </c>
      <c r="I4524" s="37">
        <v>0</v>
      </c>
      <c r="J4524" s="36"/>
      <c r="K4524" s="36" t="s">
        <v>14330</v>
      </c>
      <c r="L4524" s="36" t="s">
        <v>14330</v>
      </c>
      <c r="M4524">
        <v>2</v>
      </c>
      <c r="N4524" t="s">
        <v>14331</v>
      </c>
      <c r="O4524" t="s">
        <v>14333</v>
      </c>
    </row>
    <row r="4525" spans="1:15" x14ac:dyDescent="0.25">
      <c r="A4525" s="35" t="s">
        <v>8275</v>
      </c>
      <c r="B4525" s="36" t="s">
        <v>8276</v>
      </c>
      <c r="C4525" s="36" t="str">
        <f>HYPERLINK("https://rhld.insurance.arkansas.gov/NPILookup?Npi=1639591506","1639591506")</f>
        <v>1639591506</v>
      </c>
      <c r="D4525" s="36" t="s">
        <v>36821</v>
      </c>
      <c r="E4525" s="36" t="s">
        <v>2</v>
      </c>
      <c r="F4525" s="36">
        <v>1</v>
      </c>
      <c r="G4525" s="36">
        <v>2</v>
      </c>
      <c r="H4525" s="36">
        <v>0</v>
      </c>
      <c r="I4525" s="37">
        <v>0</v>
      </c>
      <c r="J4525" s="36" t="s">
        <v>36190</v>
      </c>
      <c r="K4525" s="36" t="s">
        <v>14330</v>
      </c>
      <c r="L4525" s="36" t="s">
        <v>14330</v>
      </c>
      <c r="M4525">
        <v>2</v>
      </c>
      <c r="N4525" t="s">
        <v>14331</v>
      </c>
      <c r="O4525" t="s">
        <v>14333</v>
      </c>
    </row>
    <row r="4526" spans="1:15" x14ac:dyDescent="0.25">
      <c r="A4526" s="35" t="s">
        <v>8275</v>
      </c>
      <c r="B4526" s="36" t="s">
        <v>8276</v>
      </c>
      <c r="C4526" s="36" t="str">
        <f>HYPERLINK("https://rhld.insurance.arkansas.gov/NPILookup?Npi=1639620271","1639620271")</f>
        <v>1639620271</v>
      </c>
      <c r="D4526" s="36" t="s">
        <v>36822</v>
      </c>
      <c r="E4526" s="36" t="s">
        <v>2</v>
      </c>
      <c r="F4526" s="36">
        <v>1</v>
      </c>
      <c r="G4526" s="36">
        <v>2</v>
      </c>
      <c r="H4526" s="36">
        <v>0</v>
      </c>
      <c r="I4526" s="37">
        <v>0</v>
      </c>
      <c r="J4526" s="36" t="s">
        <v>36190</v>
      </c>
      <c r="K4526" s="36" t="s">
        <v>14330</v>
      </c>
      <c r="L4526" s="36" t="s">
        <v>14330</v>
      </c>
      <c r="M4526">
        <v>1</v>
      </c>
      <c r="N4526" t="s">
        <v>14331</v>
      </c>
      <c r="O4526" t="s">
        <v>14333</v>
      </c>
    </row>
    <row r="4527" spans="1:15" x14ac:dyDescent="0.25">
      <c r="A4527" s="35" t="s">
        <v>8275</v>
      </c>
      <c r="B4527" s="36" t="s">
        <v>8276</v>
      </c>
      <c r="C4527" s="36" t="str">
        <f>HYPERLINK("https://rhld.insurance.arkansas.gov/NPILookup?Npi=1639679970","1639679970")</f>
        <v>1639679970</v>
      </c>
      <c r="D4527" s="36" t="s">
        <v>35719</v>
      </c>
      <c r="E4527" s="36" t="s">
        <v>2</v>
      </c>
      <c r="F4527" s="36">
        <v>1</v>
      </c>
      <c r="G4527" s="36">
        <v>1</v>
      </c>
      <c r="H4527" s="36">
        <v>0</v>
      </c>
      <c r="I4527" s="37">
        <v>0</v>
      </c>
      <c r="J4527" s="36"/>
      <c r="K4527" s="36" t="s">
        <v>14330</v>
      </c>
      <c r="L4527" s="36" t="s">
        <v>14330</v>
      </c>
      <c r="M4527">
        <v>3</v>
      </c>
      <c r="N4527" t="s">
        <v>14331</v>
      </c>
      <c r="O4527" t="s">
        <v>32633</v>
      </c>
    </row>
    <row r="4528" spans="1:15" x14ac:dyDescent="0.25">
      <c r="A4528" s="35" t="s">
        <v>8275</v>
      </c>
      <c r="B4528" s="36" t="s">
        <v>8276</v>
      </c>
      <c r="C4528" s="36" t="str">
        <f>HYPERLINK("https://rhld.insurance.arkansas.gov/NPILookup?Npi=1639725823","1639725823")</f>
        <v>1639725823</v>
      </c>
      <c r="D4528" s="36" t="s">
        <v>31268</v>
      </c>
      <c r="E4528" s="36" t="s">
        <v>2</v>
      </c>
      <c r="F4528" s="36">
        <v>1</v>
      </c>
      <c r="G4528" s="36">
        <v>3</v>
      </c>
      <c r="H4528" s="36">
        <v>0</v>
      </c>
      <c r="I4528" s="37">
        <v>0</v>
      </c>
      <c r="J4528" s="36" t="s">
        <v>36190</v>
      </c>
      <c r="K4528" s="36" t="s">
        <v>14330</v>
      </c>
      <c r="L4528" s="36" t="s">
        <v>14330</v>
      </c>
      <c r="M4528">
        <v>2</v>
      </c>
      <c r="N4528" t="s">
        <v>14331</v>
      </c>
      <c r="O4528" t="s">
        <v>14333</v>
      </c>
    </row>
    <row r="4529" spans="1:15" x14ac:dyDescent="0.25">
      <c r="A4529" s="35" t="s">
        <v>8275</v>
      </c>
      <c r="B4529" s="36" t="s">
        <v>8276</v>
      </c>
      <c r="C4529" s="36" t="str">
        <f>HYPERLINK("https://rhld.insurance.arkansas.gov/NPILookup?Npi=1639806607","1639806607")</f>
        <v>1639806607</v>
      </c>
      <c r="D4529" s="36" t="s">
        <v>36823</v>
      </c>
      <c r="E4529" s="36" t="s">
        <v>2</v>
      </c>
      <c r="F4529" s="36">
        <v>1</v>
      </c>
      <c r="G4529" s="36">
        <v>2</v>
      </c>
      <c r="H4529" s="36">
        <v>0</v>
      </c>
      <c r="I4529" s="37">
        <v>0</v>
      </c>
      <c r="J4529" s="36" t="s">
        <v>36190</v>
      </c>
      <c r="K4529" s="36" t="s">
        <v>14330</v>
      </c>
      <c r="L4529" s="36" t="s">
        <v>14330</v>
      </c>
      <c r="M4529">
        <v>3</v>
      </c>
      <c r="N4529" t="s">
        <v>14331</v>
      </c>
      <c r="O4529" t="s">
        <v>14333</v>
      </c>
    </row>
    <row r="4530" spans="1:15" x14ac:dyDescent="0.25">
      <c r="A4530" s="35" t="s">
        <v>8275</v>
      </c>
      <c r="B4530" s="36" t="s">
        <v>8276</v>
      </c>
      <c r="C4530" s="36" t="str">
        <f>HYPERLINK("https://rhld.insurance.arkansas.gov/NPILookup?Npi=1639837099","1639837099")</f>
        <v>1639837099</v>
      </c>
      <c r="D4530" s="36" t="s">
        <v>31266</v>
      </c>
      <c r="E4530" s="36" t="s">
        <v>2</v>
      </c>
      <c r="F4530" s="36">
        <v>1</v>
      </c>
      <c r="G4530" s="36">
        <v>3</v>
      </c>
      <c r="H4530" s="36">
        <v>0</v>
      </c>
      <c r="I4530" s="37">
        <v>0</v>
      </c>
      <c r="J4530" s="36" t="s">
        <v>36190</v>
      </c>
      <c r="K4530" s="36" t="s">
        <v>14330</v>
      </c>
      <c r="L4530" s="36" t="s">
        <v>14330</v>
      </c>
      <c r="M4530">
        <v>1</v>
      </c>
      <c r="N4530" t="s">
        <v>14331</v>
      </c>
      <c r="O4530" t="s">
        <v>14333</v>
      </c>
    </row>
    <row r="4531" spans="1:15" x14ac:dyDescent="0.25">
      <c r="A4531" s="35" t="s">
        <v>8275</v>
      </c>
      <c r="B4531" s="36" t="s">
        <v>8276</v>
      </c>
      <c r="C4531" s="36" t="str">
        <f>HYPERLINK("https://rhld.insurance.arkansas.gov/NPILookup?Npi=1639909955","1639909955")</f>
        <v>1639909955</v>
      </c>
      <c r="D4531" s="36" t="s">
        <v>35721</v>
      </c>
      <c r="E4531" s="36" t="s">
        <v>2</v>
      </c>
      <c r="F4531" s="36">
        <v>1</v>
      </c>
      <c r="G4531" s="36">
        <v>1</v>
      </c>
      <c r="H4531" s="36">
        <v>0</v>
      </c>
      <c r="I4531" s="37">
        <v>0</v>
      </c>
      <c r="J4531" s="36"/>
      <c r="K4531" s="36" t="s">
        <v>14330</v>
      </c>
      <c r="L4531" s="36" t="s">
        <v>14330</v>
      </c>
      <c r="M4531">
        <v>1</v>
      </c>
      <c r="N4531" t="s">
        <v>14331</v>
      </c>
      <c r="O4531" t="s">
        <v>32633</v>
      </c>
    </row>
    <row r="4532" spans="1:15" x14ac:dyDescent="0.25">
      <c r="A4532" s="35" t="s">
        <v>8275</v>
      </c>
      <c r="B4532" s="36" t="s">
        <v>8276</v>
      </c>
      <c r="C4532" s="36" t="str">
        <f>HYPERLINK("https://rhld.insurance.arkansas.gov/NPILookup?Npi=1639989304","1639989304")</f>
        <v>1639989304</v>
      </c>
      <c r="D4532" s="36" t="s">
        <v>34772</v>
      </c>
      <c r="E4532" s="36" t="s">
        <v>2</v>
      </c>
      <c r="F4532" s="36">
        <v>1</v>
      </c>
      <c r="G4532" s="36">
        <v>1</v>
      </c>
      <c r="H4532" s="36">
        <v>0</v>
      </c>
      <c r="I4532" s="37">
        <v>0</v>
      </c>
      <c r="J4532" s="36"/>
      <c r="K4532" s="36" t="s">
        <v>14330</v>
      </c>
      <c r="L4532" s="36" t="s">
        <v>14330</v>
      </c>
      <c r="M4532">
        <v>2</v>
      </c>
      <c r="N4532" t="s">
        <v>14331</v>
      </c>
      <c r="O4532" t="s">
        <v>32633</v>
      </c>
    </row>
    <row r="4533" spans="1:15" x14ac:dyDescent="0.25">
      <c r="A4533" s="35" t="s">
        <v>8275</v>
      </c>
      <c r="B4533" s="36" t="s">
        <v>8276</v>
      </c>
      <c r="C4533" s="36" t="str">
        <f>HYPERLINK("https://rhld.insurance.arkansas.gov/NPILookup?Npi=1649012766","1649012766")</f>
        <v>1649012766</v>
      </c>
      <c r="D4533" s="36" t="s">
        <v>35722</v>
      </c>
      <c r="E4533" s="36" t="s">
        <v>2</v>
      </c>
      <c r="F4533" s="36">
        <v>1</v>
      </c>
      <c r="G4533" s="36">
        <v>2</v>
      </c>
      <c r="H4533" s="36">
        <v>0</v>
      </c>
      <c r="I4533" s="37">
        <v>0</v>
      </c>
      <c r="J4533" s="36"/>
      <c r="K4533" s="36" t="s">
        <v>14330</v>
      </c>
      <c r="L4533" s="36" t="s">
        <v>14330</v>
      </c>
      <c r="M4533">
        <v>1</v>
      </c>
      <c r="N4533" t="s">
        <v>14331</v>
      </c>
      <c r="O4533" t="s">
        <v>14333</v>
      </c>
    </row>
    <row r="4534" spans="1:15" x14ac:dyDescent="0.25">
      <c r="A4534" s="35" t="s">
        <v>8275</v>
      </c>
      <c r="B4534" s="36" t="s">
        <v>8276</v>
      </c>
      <c r="C4534" s="36" t="str">
        <f>HYPERLINK("https://rhld.insurance.arkansas.gov/NPILookup?Npi=1649018375","1649018375")</f>
        <v>1649018375</v>
      </c>
      <c r="D4534" s="36" t="s">
        <v>34773</v>
      </c>
      <c r="E4534" s="36" t="s">
        <v>2</v>
      </c>
      <c r="F4534" s="36">
        <v>1</v>
      </c>
      <c r="G4534" s="36">
        <v>1</v>
      </c>
      <c r="H4534" s="36">
        <v>0</v>
      </c>
      <c r="I4534" s="37">
        <v>0</v>
      </c>
      <c r="J4534" s="36"/>
      <c r="K4534" s="36" t="s">
        <v>14330</v>
      </c>
      <c r="L4534" s="36" t="s">
        <v>14330</v>
      </c>
      <c r="M4534">
        <v>3</v>
      </c>
      <c r="N4534" t="s">
        <v>14331</v>
      </c>
      <c r="O4534" t="s">
        <v>32633</v>
      </c>
    </row>
    <row r="4535" spans="1:15" x14ac:dyDescent="0.25">
      <c r="A4535" s="35" t="s">
        <v>8275</v>
      </c>
      <c r="B4535" s="36" t="s">
        <v>8276</v>
      </c>
      <c r="C4535" s="36" t="str">
        <f>HYPERLINK("https://rhld.insurance.arkansas.gov/NPILookup?Npi=1649033952","1649033952")</f>
        <v>1649033952</v>
      </c>
      <c r="D4535" s="36" t="s">
        <v>36824</v>
      </c>
      <c r="E4535" s="36" t="s">
        <v>2</v>
      </c>
      <c r="F4535" s="36">
        <v>1</v>
      </c>
      <c r="G4535" s="36">
        <v>3</v>
      </c>
      <c r="H4535" s="36">
        <v>0</v>
      </c>
      <c r="I4535" s="37">
        <v>0</v>
      </c>
      <c r="J4535" s="36" t="s">
        <v>36190</v>
      </c>
      <c r="K4535" s="36" t="s">
        <v>14330</v>
      </c>
      <c r="L4535" s="36" t="s">
        <v>14330</v>
      </c>
      <c r="M4535">
        <v>2</v>
      </c>
      <c r="N4535" t="s">
        <v>14331</v>
      </c>
      <c r="O4535" t="s">
        <v>14333</v>
      </c>
    </row>
    <row r="4536" spans="1:15" x14ac:dyDescent="0.25">
      <c r="A4536" s="35" t="s">
        <v>8275</v>
      </c>
      <c r="B4536" s="36" t="s">
        <v>8276</v>
      </c>
      <c r="C4536" s="36" t="str">
        <f>HYPERLINK("https://rhld.insurance.arkansas.gov/NPILookup?Npi=1649218892","1649218892")</f>
        <v>1649218892</v>
      </c>
      <c r="D4536" s="36" t="s">
        <v>36825</v>
      </c>
      <c r="E4536" s="36" t="s">
        <v>2</v>
      </c>
      <c r="F4536" s="36">
        <v>1</v>
      </c>
      <c r="G4536" s="36">
        <v>2</v>
      </c>
      <c r="H4536" s="36">
        <v>0</v>
      </c>
      <c r="I4536" s="37">
        <v>0</v>
      </c>
      <c r="J4536" s="36" t="s">
        <v>36190</v>
      </c>
      <c r="K4536" s="36" t="s">
        <v>14330</v>
      </c>
      <c r="L4536" s="36" t="s">
        <v>14330</v>
      </c>
      <c r="M4536">
        <v>3</v>
      </c>
      <c r="N4536" t="s">
        <v>14331</v>
      </c>
      <c r="O4536" t="s">
        <v>14333</v>
      </c>
    </row>
    <row r="4537" spans="1:15" x14ac:dyDescent="0.25">
      <c r="A4537" s="35" t="s">
        <v>8275</v>
      </c>
      <c r="B4537" s="36" t="s">
        <v>8276</v>
      </c>
      <c r="C4537" s="36" t="str">
        <f>HYPERLINK("https://rhld.insurance.arkansas.gov/NPILookup?Npi=1649250689","1649250689")</f>
        <v>1649250689</v>
      </c>
      <c r="D4537" s="36" t="s">
        <v>36826</v>
      </c>
      <c r="E4537" s="36" t="s">
        <v>2</v>
      </c>
      <c r="F4537" s="36">
        <v>1</v>
      </c>
      <c r="G4537" s="36">
        <v>3</v>
      </c>
      <c r="H4537" s="36">
        <v>0</v>
      </c>
      <c r="I4537" s="37">
        <v>0</v>
      </c>
      <c r="J4537" s="36" t="s">
        <v>36190</v>
      </c>
      <c r="K4537" s="36" t="s">
        <v>14330</v>
      </c>
      <c r="L4537" s="36" t="s">
        <v>14330</v>
      </c>
      <c r="M4537">
        <v>3</v>
      </c>
      <c r="N4537" t="s">
        <v>14331</v>
      </c>
      <c r="O4537" t="s">
        <v>14333</v>
      </c>
    </row>
    <row r="4538" spans="1:15" x14ac:dyDescent="0.25">
      <c r="A4538" s="35" t="s">
        <v>8275</v>
      </c>
      <c r="B4538" s="36" t="s">
        <v>8276</v>
      </c>
      <c r="C4538" s="36" t="str">
        <f>HYPERLINK("https://rhld.insurance.arkansas.gov/NPILookup?Npi=1649442484","1649442484")</f>
        <v>1649442484</v>
      </c>
      <c r="D4538" s="36" t="s">
        <v>36827</v>
      </c>
      <c r="E4538" s="36" t="s">
        <v>2</v>
      </c>
      <c r="F4538" s="36">
        <v>1</v>
      </c>
      <c r="G4538" s="36">
        <v>3</v>
      </c>
      <c r="H4538" s="36">
        <v>0</v>
      </c>
      <c r="I4538" s="37">
        <v>0</v>
      </c>
      <c r="J4538" s="36" t="s">
        <v>36190</v>
      </c>
      <c r="K4538" s="36" t="s">
        <v>14330</v>
      </c>
      <c r="L4538" s="36" t="s">
        <v>14330</v>
      </c>
      <c r="M4538">
        <v>2</v>
      </c>
      <c r="N4538" t="s">
        <v>14331</v>
      </c>
      <c r="O4538" t="s">
        <v>14333</v>
      </c>
    </row>
    <row r="4539" spans="1:15" x14ac:dyDescent="0.25">
      <c r="A4539" s="35" t="s">
        <v>8275</v>
      </c>
      <c r="B4539" s="36" t="s">
        <v>8276</v>
      </c>
      <c r="C4539" s="36" t="str">
        <f>HYPERLINK("https://rhld.insurance.arkansas.gov/NPILookup?Npi=1649587031","1649587031")</f>
        <v>1649587031</v>
      </c>
      <c r="D4539" s="36" t="s">
        <v>36828</v>
      </c>
      <c r="E4539" s="36" t="s">
        <v>2</v>
      </c>
      <c r="F4539" s="36">
        <v>1</v>
      </c>
      <c r="G4539" s="36">
        <v>2</v>
      </c>
      <c r="H4539" s="36">
        <v>0</v>
      </c>
      <c r="I4539" s="37">
        <v>0</v>
      </c>
      <c r="J4539" s="36" t="s">
        <v>36190</v>
      </c>
      <c r="K4539" s="36" t="s">
        <v>14330</v>
      </c>
      <c r="L4539" s="36" t="s">
        <v>14330</v>
      </c>
      <c r="M4539">
        <v>2</v>
      </c>
      <c r="N4539" t="s">
        <v>14331</v>
      </c>
      <c r="O4539" t="s">
        <v>14333</v>
      </c>
    </row>
    <row r="4540" spans="1:15" x14ac:dyDescent="0.25">
      <c r="A4540" s="35" t="s">
        <v>8275</v>
      </c>
      <c r="B4540" s="36" t="s">
        <v>8276</v>
      </c>
      <c r="C4540" s="36" t="str">
        <f>HYPERLINK("https://rhld.insurance.arkansas.gov/NPILookup?Npi=1649594219","1649594219")</f>
        <v>1649594219</v>
      </c>
      <c r="D4540" s="36" t="s">
        <v>36829</v>
      </c>
      <c r="E4540" s="36" t="s">
        <v>2</v>
      </c>
      <c r="F4540" s="36">
        <v>1</v>
      </c>
      <c r="G4540" s="36">
        <v>2</v>
      </c>
      <c r="H4540" s="36">
        <v>0</v>
      </c>
      <c r="I4540" s="37">
        <v>0</v>
      </c>
      <c r="J4540" s="36" t="s">
        <v>36190</v>
      </c>
      <c r="K4540" s="36" t="s">
        <v>14330</v>
      </c>
      <c r="L4540" s="36" t="s">
        <v>14330</v>
      </c>
      <c r="M4540">
        <v>2</v>
      </c>
      <c r="N4540" t="s">
        <v>14331</v>
      </c>
      <c r="O4540" t="s">
        <v>14333</v>
      </c>
    </row>
    <row r="4541" spans="1:15" x14ac:dyDescent="0.25">
      <c r="A4541" s="35" t="s">
        <v>8275</v>
      </c>
      <c r="B4541" s="36" t="s">
        <v>8276</v>
      </c>
      <c r="C4541" s="36" t="str">
        <f>HYPERLINK("https://rhld.insurance.arkansas.gov/NPILookup?Npi=1649604141","1649604141")</f>
        <v>1649604141</v>
      </c>
      <c r="D4541" s="36" t="s">
        <v>36830</v>
      </c>
      <c r="E4541" s="36" t="s">
        <v>2</v>
      </c>
      <c r="F4541" s="36">
        <v>1</v>
      </c>
      <c r="G4541" s="36">
        <v>2</v>
      </c>
      <c r="H4541" s="36">
        <v>0</v>
      </c>
      <c r="I4541" s="37">
        <v>0</v>
      </c>
      <c r="J4541" s="36" t="s">
        <v>36190</v>
      </c>
      <c r="K4541" s="36" t="s">
        <v>14330</v>
      </c>
      <c r="L4541" s="36" t="s">
        <v>14330</v>
      </c>
      <c r="M4541">
        <v>3</v>
      </c>
      <c r="N4541" t="s">
        <v>14331</v>
      </c>
      <c r="O4541" t="s">
        <v>14333</v>
      </c>
    </row>
    <row r="4542" spans="1:15" x14ac:dyDescent="0.25">
      <c r="A4542" s="35" t="s">
        <v>8275</v>
      </c>
      <c r="B4542" s="36" t="s">
        <v>8276</v>
      </c>
      <c r="C4542" s="36" t="str">
        <f>HYPERLINK("https://rhld.insurance.arkansas.gov/NPILookup?Npi=1649634585","1649634585")</f>
        <v>1649634585</v>
      </c>
      <c r="D4542" s="36" t="s">
        <v>36831</v>
      </c>
      <c r="E4542" s="36" t="s">
        <v>2</v>
      </c>
      <c r="F4542" s="36">
        <v>1</v>
      </c>
      <c r="G4542" s="36">
        <v>3</v>
      </c>
      <c r="H4542" s="36">
        <v>0</v>
      </c>
      <c r="I4542" s="37">
        <v>0</v>
      </c>
      <c r="J4542" s="36" t="s">
        <v>36190</v>
      </c>
      <c r="K4542" s="36" t="s">
        <v>14330</v>
      </c>
      <c r="L4542" s="36" t="s">
        <v>14330</v>
      </c>
      <c r="M4542">
        <v>3</v>
      </c>
      <c r="N4542" t="s">
        <v>14331</v>
      </c>
      <c r="O4542" t="s">
        <v>14333</v>
      </c>
    </row>
    <row r="4543" spans="1:15" x14ac:dyDescent="0.25">
      <c r="A4543" s="35" t="s">
        <v>8275</v>
      </c>
      <c r="B4543" s="36" t="s">
        <v>8276</v>
      </c>
      <c r="C4543" s="36" t="str">
        <f>HYPERLINK("https://rhld.insurance.arkansas.gov/NPILookup?Npi=1649686148","1649686148")</f>
        <v>1649686148</v>
      </c>
      <c r="D4543" s="36" t="s">
        <v>36832</v>
      </c>
      <c r="E4543" s="36" t="s">
        <v>2</v>
      </c>
      <c r="F4543" s="36">
        <v>1</v>
      </c>
      <c r="G4543" s="36">
        <v>3</v>
      </c>
      <c r="H4543" s="36">
        <v>0</v>
      </c>
      <c r="I4543" s="37">
        <v>0</v>
      </c>
      <c r="J4543" s="36" t="s">
        <v>36190</v>
      </c>
      <c r="K4543" s="36" t="s">
        <v>14330</v>
      </c>
      <c r="L4543" s="36" t="s">
        <v>14330</v>
      </c>
      <c r="M4543">
        <v>3</v>
      </c>
      <c r="N4543" t="s">
        <v>14331</v>
      </c>
      <c r="O4543" t="s">
        <v>14333</v>
      </c>
    </row>
    <row r="4544" spans="1:15" x14ac:dyDescent="0.25">
      <c r="A4544" s="35" t="s">
        <v>8275</v>
      </c>
      <c r="B4544" s="36" t="s">
        <v>8276</v>
      </c>
      <c r="C4544" s="36" t="str">
        <f>HYPERLINK("https://rhld.insurance.arkansas.gov/NPILookup?Npi=1649803552","1649803552")</f>
        <v>1649803552</v>
      </c>
      <c r="D4544" s="36" t="s">
        <v>36833</v>
      </c>
      <c r="E4544" s="36" t="s">
        <v>1</v>
      </c>
      <c r="F4544" s="36">
        <v>1</v>
      </c>
      <c r="G4544" s="36">
        <v>3</v>
      </c>
      <c r="H4544" s="36">
        <v>0</v>
      </c>
      <c r="I4544" s="37">
        <v>0</v>
      </c>
      <c r="J4544" s="36" t="s">
        <v>32654</v>
      </c>
      <c r="K4544" s="36" t="s">
        <v>14330</v>
      </c>
      <c r="L4544" s="36" t="s">
        <v>14330</v>
      </c>
      <c r="M4544">
        <v>3</v>
      </c>
      <c r="N4544" t="s">
        <v>14331</v>
      </c>
      <c r="O4544" t="s">
        <v>32633</v>
      </c>
    </row>
    <row r="4545" spans="1:15" x14ac:dyDescent="0.25">
      <c r="A4545" s="35" t="s">
        <v>8275</v>
      </c>
      <c r="B4545" s="36" t="s">
        <v>8276</v>
      </c>
      <c r="C4545" s="36" t="str">
        <f>HYPERLINK("https://rhld.insurance.arkansas.gov/NPILookup?Npi=1649806613","1649806613")</f>
        <v>1649806613</v>
      </c>
      <c r="D4545" s="36" t="s">
        <v>36834</v>
      </c>
      <c r="E4545" s="36" t="s">
        <v>2</v>
      </c>
      <c r="F4545" s="36">
        <v>1</v>
      </c>
      <c r="G4545" s="36">
        <v>3</v>
      </c>
      <c r="H4545" s="36">
        <v>0</v>
      </c>
      <c r="I4545" s="37">
        <v>0</v>
      </c>
      <c r="J4545" s="36" t="s">
        <v>36190</v>
      </c>
      <c r="K4545" s="36" t="s">
        <v>14330</v>
      </c>
      <c r="L4545" s="36" t="s">
        <v>14330</v>
      </c>
      <c r="M4545">
        <v>1</v>
      </c>
      <c r="N4545" t="s">
        <v>14331</v>
      </c>
      <c r="O4545" t="s">
        <v>14333</v>
      </c>
    </row>
    <row r="4546" spans="1:15" x14ac:dyDescent="0.25">
      <c r="A4546" s="35" t="s">
        <v>8275</v>
      </c>
      <c r="B4546" s="36" t="s">
        <v>8276</v>
      </c>
      <c r="C4546" s="36" t="str">
        <f>HYPERLINK("https://rhld.insurance.arkansas.gov/NPILookup?Npi=1649851056","1649851056")</f>
        <v>1649851056</v>
      </c>
      <c r="D4546" s="36" t="s">
        <v>35734</v>
      </c>
      <c r="E4546" s="36" t="s">
        <v>2</v>
      </c>
      <c r="F4546" s="36">
        <v>1</v>
      </c>
      <c r="G4546" s="36">
        <v>1</v>
      </c>
      <c r="H4546" s="36">
        <v>0</v>
      </c>
      <c r="I4546" s="37">
        <v>0</v>
      </c>
      <c r="J4546" s="36"/>
      <c r="K4546" s="36" t="s">
        <v>14330</v>
      </c>
      <c r="L4546" s="36" t="s">
        <v>14330</v>
      </c>
      <c r="M4546">
        <v>3</v>
      </c>
      <c r="N4546" t="s">
        <v>14331</v>
      </c>
      <c r="O4546" t="s">
        <v>32633</v>
      </c>
    </row>
    <row r="4547" spans="1:15" x14ac:dyDescent="0.25">
      <c r="A4547" s="35" t="s">
        <v>8275</v>
      </c>
      <c r="B4547" s="36" t="s">
        <v>8276</v>
      </c>
      <c r="C4547" s="36" t="str">
        <f>HYPERLINK("https://rhld.insurance.arkansas.gov/NPILookup?Npi=1649918343","1649918343")</f>
        <v>1649918343</v>
      </c>
      <c r="D4547" s="36" t="s">
        <v>36835</v>
      </c>
      <c r="E4547" s="36" t="s">
        <v>2</v>
      </c>
      <c r="F4547" s="36">
        <v>1</v>
      </c>
      <c r="G4547" s="36">
        <v>3</v>
      </c>
      <c r="H4547" s="36">
        <v>0</v>
      </c>
      <c r="I4547" s="37">
        <v>0</v>
      </c>
      <c r="J4547" s="36" t="s">
        <v>36190</v>
      </c>
      <c r="K4547" s="36" t="s">
        <v>14330</v>
      </c>
      <c r="L4547" s="36" t="s">
        <v>14330</v>
      </c>
      <c r="M4547">
        <v>2</v>
      </c>
      <c r="N4547" t="s">
        <v>14331</v>
      </c>
      <c r="O4547" t="s">
        <v>14333</v>
      </c>
    </row>
    <row r="4548" spans="1:15" x14ac:dyDescent="0.25">
      <c r="A4548" s="35" t="s">
        <v>8275</v>
      </c>
      <c r="B4548" s="36" t="s">
        <v>8276</v>
      </c>
      <c r="C4548" s="36" t="str">
        <f>HYPERLINK("https://rhld.insurance.arkansas.gov/NPILookup?Npi=1659101863","1659101863")</f>
        <v>1659101863</v>
      </c>
      <c r="D4548" s="36" t="s">
        <v>31269</v>
      </c>
      <c r="E4548" s="36" t="s">
        <v>2</v>
      </c>
      <c r="F4548" s="36">
        <v>1</v>
      </c>
      <c r="G4548" s="36">
        <v>2</v>
      </c>
      <c r="H4548" s="36">
        <v>0</v>
      </c>
      <c r="I4548" s="37">
        <v>0</v>
      </c>
      <c r="J4548" s="36" t="s">
        <v>36190</v>
      </c>
      <c r="K4548" s="36" t="s">
        <v>14330</v>
      </c>
      <c r="L4548" s="36" t="s">
        <v>14330</v>
      </c>
      <c r="M4548">
        <v>2</v>
      </c>
      <c r="N4548" t="s">
        <v>14331</v>
      </c>
      <c r="O4548" t="s">
        <v>14333</v>
      </c>
    </row>
    <row r="4549" spans="1:15" x14ac:dyDescent="0.25">
      <c r="A4549" s="35" t="s">
        <v>8275</v>
      </c>
      <c r="B4549" s="36" t="s">
        <v>8276</v>
      </c>
      <c r="C4549" s="36" t="str">
        <f>HYPERLINK("https://rhld.insurance.arkansas.gov/NPILookup?Npi=1659131035","1659131035")</f>
        <v>1659131035</v>
      </c>
      <c r="D4549" s="36" t="s">
        <v>35736</v>
      </c>
      <c r="E4549" s="36" t="s">
        <v>2</v>
      </c>
      <c r="F4549" s="36">
        <v>1</v>
      </c>
      <c r="G4549" s="36">
        <v>2</v>
      </c>
      <c r="H4549" s="36">
        <v>0</v>
      </c>
      <c r="I4549" s="37">
        <v>0</v>
      </c>
      <c r="J4549" s="36"/>
      <c r="K4549" s="36" t="s">
        <v>14330</v>
      </c>
      <c r="L4549" s="36" t="s">
        <v>14330</v>
      </c>
      <c r="M4549">
        <v>2</v>
      </c>
      <c r="N4549" t="s">
        <v>14331</v>
      </c>
      <c r="O4549" t="s">
        <v>14333</v>
      </c>
    </row>
    <row r="4550" spans="1:15" x14ac:dyDescent="0.25">
      <c r="A4550" s="35" t="s">
        <v>8275</v>
      </c>
      <c r="B4550" s="36" t="s">
        <v>8276</v>
      </c>
      <c r="C4550" s="36" t="str">
        <f>HYPERLINK("https://rhld.insurance.arkansas.gov/NPILookup?Npi=1659140309","1659140309")</f>
        <v>1659140309</v>
      </c>
      <c r="D4550" s="36" t="s">
        <v>35737</v>
      </c>
      <c r="E4550" s="36" t="s">
        <v>2</v>
      </c>
      <c r="F4550" s="36">
        <v>2</v>
      </c>
      <c r="G4550" s="36">
        <v>2</v>
      </c>
      <c r="H4550" s="36">
        <v>0</v>
      </c>
      <c r="I4550" s="37">
        <v>0</v>
      </c>
      <c r="J4550" s="36" t="s">
        <v>33004</v>
      </c>
      <c r="K4550" s="36" t="s">
        <v>14330</v>
      </c>
      <c r="L4550" s="36" t="s">
        <v>14330</v>
      </c>
      <c r="M4550">
        <v>2</v>
      </c>
      <c r="N4550" t="s">
        <v>14331</v>
      </c>
      <c r="O4550" t="s">
        <v>14333</v>
      </c>
    </row>
    <row r="4551" spans="1:15" x14ac:dyDescent="0.25">
      <c r="A4551" s="35" t="s">
        <v>8275</v>
      </c>
      <c r="B4551" s="36" t="s">
        <v>8276</v>
      </c>
      <c r="C4551" s="36" t="str">
        <f>HYPERLINK("https://rhld.insurance.arkansas.gov/NPILookup?Npi=1659199503","1659199503")</f>
        <v>1659199503</v>
      </c>
      <c r="D4551" s="36" t="s">
        <v>35738</v>
      </c>
      <c r="E4551" s="36" t="s">
        <v>2</v>
      </c>
      <c r="F4551" s="36">
        <v>1</v>
      </c>
      <c r="G4551" s="36">
        <v>2</v>
      </c>
      <c r="H4551" s="36">
        <v>0</v>
      </c>
      <c r="I4551" s="37">
        <v>0</v>
      </c>
      <c r="J4551" s="36"/>
      <c r="K4551" s="36" t="s">
        <v>14330</v>
      </c>
      <c r="L4551" s="36" t="s">
        <v>14330</v>
      </c>
      <c r="M4551">
        <v>3</v>
      </c>
      <c r="N4551" t="s">
        <v>14331</v>
      </c>
      <c r="O4551" t="s">
        <v>14333</v>
      </c>
    </row>
    <row r="4552" spans="1:15" x14ac:dyDescent="0.25">
      <c r="A4552" s="35" t="s">
        <v>8275</v>
      </c>
      <c r="B4552" s="36" t="s">
        <v>8276</v>
      </c>
      <c r="C4552" s="36" t="str">
        <f>HYPERLINK("https://rhld.insurance.arkansas.gov/NPILookup?Npi=1659336196","1659336196")</f>
        <v>1659336196</v>
      </c>
      <c r="D4552" s="36" t="s">
        <v>36836</v>
      </c>
      <c r="E4552" s="36" t="s">
        <v>2</v>
      </c>
      <c r="F4552" s="36">
        <v>1</v>
      </c>
      <c r="G4552" s="36">
        <v>3</v>
      </c>
      <c r="H4552" s="36">
        <v>0</v>
      </c>
      <c r="I4552" s="37">
        <v>0</v>
      </c>
      <c r="J4552" s="36" t="s">
        <v>36190</v>
      </c>
      <c r="K4552" s="36" t="s">
        <v>14330</v>
      </c>
      <c r="L4552" s="36" t="s">
        <v>14330</v>
      </c>
      <c r="M4552">
        <v>1</v>
      </c>
      <c r="N4552" t="s">
        <v>14331</v>
      </c>
      <c r="O4552" t="s">
        <v>14333</v>
      </c>
    </row>
    <row r="4553" spans="1:15" x14ac:dyDescent="0.25">
      <c r="A4553" s="35" t="s">
        <v>8275</v>
      </c>
      <c r="B4553" s="36" t="s">
        <v>8276</v>
      </c>
      <c r="C4553" s="36" t="str">
        <f>HYPERLINK("https://rhld.insurance.arkansas.gov/NPILookup?Npi=1659345288","1659345288")</f>
        <v>1659345288</v>
      </c>
      <c r="D4553" s="36" t="s">
        <v>35739</v>
      </c>
      <c r="E4553" s="36" t="s">
        <v>2</v>
      </c>
      <c r="F4553" s="36">
        <v>1</v>
      </c>
      <c r="G4553" s="36">
        <v>1</v>
      </c>
      <c r="H4553" s="36">
        <v>0</v>
      </c>
      <c r="I4553" s="37">
        <v>0</v>
      </c>
      <c r="J4553" s="36"/>
      <c r="K4553" s="36" t="s">
        <v>14330</v>
      </c>
      <c r="L4553" s="36" t="s">
        <v>14330</v>
      </c>
      <c r="M4553">
        <v>2</v>
      </c>
      <c r="N4553" t="s">
        <v>14331</v>
      </c>
      <c r="O4553" t="s">
        <v>32633</v>
      </c>
    </row>
    <row r="4554" spans="1:15" x14ac:dyDescent="0.25">
      <c r="A4554" s="35" t="s">
        <v>8275</v>
      </c>
      <c r="B4554" s="36" t="s">
        <v>8276</v>
      </c>
      <c r="C4554" s="36" t="str">
        <f>HYPERLINK("https://rhld.insurance.arkansas.gov/NPILookup?Npi=1659364545","1659364545")</f>
        <v>1659364545</v>
      </c>
      <c r="D4554" s="36" t="s">
        <v>36837</v>
      </c>
      <c r="E4554" s="36" t="s">
        <v>2</v>
      </c>
      <c r="F4554" s="36">
        <v>1</v>
      </c>
      <c r="G4554" s="36">
        <v>2</v>
      </c>
      <c r="H4554" s="36">
        <v>0</v>
      </c>
      <c r="I4554" s="37">
        <v>0</v>
      </c>
      <c r="J4554" s="36" t="s">
        <v>36190</v>
      </c>
      <c r="K4554" s="36" t="s">
        <v>14330</v>
      </c>
      <c r="L4554" s="36" t="s">
        <v>14330</v>
      </c>
      <c r="M4554">
        <v>1</v>
      </c>
      <c r="N4554" t="s">
        <v>14331</v>
      </c>
      <c r="O4554" t="s">
        <v>14333</v>
      </c>
    </row>
    <row r="4555" spans="1:15" x14ac:dyDescent="0.25">
      <c r="A4555" s="35" t="s">
        <v>8275</v>
      </c>
      <c r="B4555" s="36" t="s">
        <v>8276</v>
      </c>
      <c r="C4555" s="36" t="str">
        <f>HYPERLINK("https://rhld.insurance.arkansas.gov/NPILookup?Npi=1659387181","1659387181")</f>
        <v>1659387181</v>
      </c>
      <c r="D4555" s="36" t="s">
        <v>35741</v>
      </c>
      <c r="E4555" s="36" t="s">
        <v>1</v>
      </c>
      <c r="F4555" s="36">
        <v>1</v>
      </c>
      <c r="G4555" s="36">
        <v>1</v>
      </c>
      <c r="H4555" s="36">
        <v>0</v>
      </c>
      <c r="I4555" s="37">
        <v>0</v>
      </c>
      <c r="J4555" s="36" t="s">
        <v>32654</v>
      </c>
      <c r="K4555" s="36" t="s">
        <v>14330</v>
      </c>
      <c r="L4555" s="36" t="s">
        <v>14330</v>
      </c>
      <c r="M4555">
        <v>3</v>
      </c>
      <c r="N4555" t="s">
        <v>14331</v>
      </c>
      <c r="O4555" t="s">
        <v>32633</v>
      </c>
    </row>
    <row r="4556" spans="1:15" x14ac:dyDescent="0.25">
      <c r="A4556" s="35" t="s">
        <v>8275</v>
      </c>
      <c r="B4556" s="36" t="s">
        <v>8276</v>
      </c>
      <c r="C4556" s="36" t="str">
        <f>HYPERLINK("https://rhld.insurance.arkansas.gov/NPILookup?Npi=1659448868","1659448868")</f>
        <v>1659448868</v>
      </c>
      <c r="D4556" s="36" t="s">
        <v>36838</v>
      </c>
      <c r="E4556" s="36" t="s">
        <v>2</v>
      </c>
      <c r="F4556" s="36">
        <v>1</v>
      </c>
      <c r="G4556" s="36">
        <v>3</v>
      </c>
      <c r="H4556" s="36">
        <v>0</v>
      </c>
      <c r="I4556" s="37">
        <v>0</v>
      </c>
      <c r="J4556" s="36" t="s">
        <v>36190</v>
      </c>
      <c r="K4556" s="36" t="s">
        <v>14330</v>
      </c>
      <c r="L4556" s="36" t="s">
        <v>14330</v>
      </c>
      <c r="M4556">
        <v>2</v>
      </c>
      <c r="N4556" t="s">
        <v>14331</v>
      </c>
      <c r="O4556" t="s">
        <v>14333</v>
      </c>
    </row>
    <row r="4557" spans="1:15" x14ac:dyDescent="0.25">
      <c r="A4557" s="35" t="s">
        <v>8275</v>
      </c>
      <c r="B4557" s="36" t="s">
        <v>8276</v>
      </c>
      <c r="C4557" s="36" t="str">
        <f>HYPERLINK("https://rhld.insurance.arkansas.gov/NPILookup?Npi=1659639664","1659639664")</f>
        <v>1659639664</v>
      </c>
      <c r="D4557" s="36" t="s">
        <v>36839</v>
      </c>
      <c r="E4557" s="36" t="s">
        <v>1</v>
      </c>
      <c r="F4557" s="36">
        <v>1</v>
      </c>
      <c r="G4557" s="36">
        <v>2</v>
      </c>
      <c r="H4557" s="36">
        <v>0</v>
      </c>
      <c r="I4557" s="37">
        <v>0</v>
      </c>
      <c r="J4557" s="36" t="s">
        <v>32654</v>
      </c>
      <c r="K4557" s="36" t="s">
        <v>14330</v>
      </c>
      <c r="L4557" s="36" t="s">
        <v>14330</v>
      </c>
      <c r="M4557">
        <v>3</v>
      </c>
      <c r="N4557" t="s">
        <v>14331</v>
      </c>
      <c r="O4557" t="s">
        <v>32633</v>
      </c>
    </row>
    <row r="4558" spans="1:15" x14ac:dyDescent="0.25">
      <c r="A4558" s="35" t="s">
        <v>8275</v>
      </c>
      <c r="B4558" s="36" t="s">
        <v>8276</v>
      </c>
      <c r="C4558" s="36" t="str">
        <f>HYPERLINK("https://rhld.insurance.arkansas.gov/NPILookup?Npi=1659641496","1659641496")</f>
        <v>1659641496</v>
      </c>
      <c r="D4558" s="36" t="s">
        <v>36840</v>
      </c>
      <c r="E4558" s="36" t="s">
        <v>2</v>
      </c>
      <c r="F4558" s="36">
        <v>1</v>
      </c>
      <c r="G4558" s="36">
        <v>3</v>
      </c>
      <c r="H4558" s="36">
        <v>0</v>
      </c>
      <c r="I4558" s="37">
        <v>0</v>
      </c>
      <c r="J4558" s="36" t="s">
        <v>36190</v>
      </c>
      <c r="K4558" s="36" t="s">
        <v>14330</v>
      </c>
      <c r="L4558" s="36" t="s">
        <v>14330</v>
      </c>
      <c r="M4558">
        <v>3</v>
      </c>
      <c r="N4558" t="s">
        <v>14331</v>
      </c>
      <c r="O4558" t="s">
        <v>14333</v>
      </c>
    </row>
    <row r="4559" spans="1:15" x14ac:dyDescent="0.25">
      <c r="A4559" s="35" t="s">
        <v>8275</v>
      </c>
      <c r="B4559" s="36" t="s">
        <v>8276</v>
      </c>
      <c r="C4559" s="36" t="str">
        <f>HYPERLINK("https://rhld.insurance.arkansas.gov/NPILookup?Npi=1659760635","1659760635")</f>
        <v>1659760635</v>
      </c>
      <c r="D4559" s="36" t="s">
        <v>36841</v>
      </c>
      <c r="E4559" s="36" t="s">
        <v>2</v>
      </c>
      <c r="F4559" s="36">
        <v>1</v>
      </c>
      <c r="G4559" s="36">
        <v>3</v>
      </c>
      <c r="H4559" s="36">
        <v>0</v>
      </c>
      <c r="I4559" s="37">
        <v>0</v>
      </c>
      <c r="J4559" s="36" t="s">
        <v>36190</v>
      </c>
      <c r="K4559" s="36" t="s">
        <v>14330</v>
      </c>
      <c r="L4559" s="36" t="s">
        <v>14330</v>
      </c>
      <c r="M4559">
        <v>3</v>
      </c>
      <c r="N4559" t="s">
        <v>14331</v>
      </c>
      <c r="O4559" t="s">
        <v>14333</v>
      </c>
    </row>
    <row r="4560" spans="1:15" x14ac:dyDescent="0.25">
      <c r="A4560" s="35" t="s">
        <v>8275</v>
      </c>
      <c r="B4560" s="36" t="s">
        <v>8276</v>
      </c>
      <c r="C4560" s="36" t="str">
        <f>HYPERLINK("https://rhld.insurance.arkansas.gov/NPILookup?Npi=1659762144","1659762144")</f>
        <v>1659762144</v>
      </c>
      <c r="D4560" s="36" t="s">
        <v>36842</v>
      </c>
      <c r="E4560" s="36" t="s">
        <v>2</v>
      </c>
      <c r="F4560" s="36">
        <v>1</v>
      </c>
      <c r="G4560" s="36">
        <v>3</v>
      </c>
      <c r="H4560" s="36">
        <v>0</v>
      </c>
      <c r="I4560" s="37">
        <v>0</v>
      </c>
      <c r="J4560" s="36" t="s">
        <v>36190</v>
      </c>
      <c r="K4560" s="36" t="s">
        <v>14330</v>
      </c>
      <c r="L4560" s="36" t="s">
        <v>14330</v>
      </c>
      <c r="M4560">
        <v>3</v>
      </c>
      <c r="N4560" t="s">
        <v>14331</v>
      </c>
      <c r="O4560" t="s">
        <v>14333</v>
      </c>
    </row>
    <row r="4561" spans="1:15" x14ac:dyDescent="0.25">
      <c r="A4561" s="35" t="s">
        <v>8275</v>
      </c>
      <c r="B4561" s="36" t="s">
        <v>8276</v>
      </c>
      <c r="C4561" s="36" t="str">
        <f>HYPERLINK("https://rhld.insurance.arkansas.gov/NPILookup?Npi=1659888188","1659888188")</f>
        <v>1659888188</v>
      </c>
      <c r="D4561" s="36" t="s">
        <v>36843</v>
      </c>
      <c r="E4561" s="36" t="s">
        <v>2</v>
      </c>
      <c r="F4561" s="36">
        <v>1</v>
      </c>
      <c r="G4561" s="36">
        <v>3</v>
      </c>
      <c r="H4561" s="36">
        <v>0</v>
      </c>
      <c r="I4561" s="37">
        <v>0</v>
      </c>
      <c r="J4561" s="36" t="s">
        <v>36190</v>
      </c>
      <c r="K4561" s="36" t="s">
        <v>14330</v>
      </c>
      <c r="L4561" s="36" t="s">
        <v>14330</v>
      </c>
      <c r="M4561">
        <v>2</v>
      </c>
      <c r="N4561" t="s">
        <v>14331</v>
      </c>
      <c r="O4561" t="s">
        <v>14333</v>
      </c>
    </row>
    <row r="4562" spans="1:15" x14ac:dyDescent="0.25">
      <c r="A4562" s="35" t="s">
        <v>8275</v>
      </c>
      <c r="B4562" s="36" t="s">
        <v>8276</v>
      </c>
      <c r="C4562" s="36" t="str">
        <f>HYPERLINK("https://rhld.insurance.arkansas.gov/NPILookup?Npi=1659948651","1659948651")</f>
        <v>1659948651</v>
      </c>
      <c r="D4562" s="36" t="s">
        <v>35749</v>
      </c>
      <c r="E4562" s="36" t="s">
        <v>2</v>
      </c>
      <c r="F4562" s="36">
        <v>1</v>
      </c>
      <c r="G4562" s="36">
        <v>2</v>
      </c>
      <c r="H4562" s="36">
        <v>0</v>
      </c>
      <c r="I4562" s="37">
        <v>0</v>
      </c>
      <c r="J4562" s="36"/>
      <c r="K4562" s="36" t="s">
        <v>14330</v>
      </c>
      <c r="L4562" s="36" t="s">
        <v>14330</v>
      </c>
      <c r="M4562">
        <v>1</v>
      </c>
      <c r="N4562" t="s">
        <v>14331</v>
      </c>
      <c r="O4562" t="s">
        <v>14333</v>
      </c>
    </row>
    <row r="4563" spans="1:15" x14ac:dyDescent="0.25">
      <c r="A4563" s="35" t="s">
        <v>8275</v>
      </c>
      <c r="B4563" s="36" t="s">
        <v>8276</v>
      </c>
      <c r="C4563" s="36" t="str">
        <f>HYPERLINK("https://rhld.insurance.arkansas.gov/NPILookup?Npi=1669205308","1669205308")</f>
        <v>1669205308</v>
      </c>
      <c r="D4563" s="36" t="s">
        <v>34777</v>
      </c>
      <c r="E4563" s="36" t="s">
        <v>2</v>
      </c>
      <c r="F4563" s="36">
        <v>1</v>
      </c>
      <c r="G4563" s="36">
        <v>1</v>
      </c>
      <c r="H4563" s="36">
        <v>0</v>
      </c>
      <c r="I4563" s="37">
        <v>0</v>
      </c>
      <c r="J4563" s="36"/>
      <c r="K4563" s="36" t="s">
        <v>14330</v>
      </c>
      <c r="L4563" s="36" t="s">
        <v>14330</v>
      </c>
      <c r="M4563">
        <v>2</v>
      </c>
      <c r="N4563" t="s">
        <v>14331</v>
      </c>
      <c r="O4563" t="s">
        <v>32633</v>
      </c>
    </row>
    <row r="4564" spans="1:15" x14ac:dyDescent="0.25">
      <c r="A4564" s="35" t="s">
        <v>8275</v>
      </c>
      <c r="B4564" s="36" t="s">
        <v>8276</v>
      </c>
      <c r="C4564" s="36" t="str">
        <f>HYPERLINK("https://rhld.insurance.arkansas.gov/NPILookup?Npi=1669277646","1669277646")</f>
        <v>1669277646</v>
      </c>
      <c r="D4564" s="36" t="s">
        <v>34397</v>
      </c>
      <c r="E4564" s="36" t="s">
        <v>2</v>
      </c>
      <c r="F4564" s="36">
        <v>1</v>
      </c>
      <c r="G4564" s="36">
        <v>2</v>
      </c>
      <c r="H4564" s="36">
        <v>0</v>
      </c>
      <c r="I4564" s="37">
        <v>0</v>
      </c>
      <c r="J4564" s="36"/>
      <c r="K4564" s="36" t="s">
        <v>14330</v>
      </c>
      <c r="L4564" s="36" t="s">
        <v>14330</v>
      </c>
      <c r="M4564">
        <v>2</v>
      </c>
      <c r="N4564" t="s">
        <v>14331</v>
      </c>
      <c r="O4564" t="s">
        <v>14333</v>
      </c>
    </row>
    <row r="4565" spans="1:15" x14ac:dyDescent="0.25">
      <c r="A4565" s="35" t="s">
        <v>8275</v>
      </c>
      <c r="B4565" s="36" t="s">
        <v>8276</v>
      </c>
      <c r="C4565" s="36" t="str">
        <f>HYPERLINK("https://rhld.insurance.arkansas.gov/NPILookup?Npi=1669430682","1669430682")</f>
        <v>1669430682</v>
      </c>
      <c r="D4565" s="36" t="s">
        <v>36844</v>
      </c>
      <c r="E4565" s="36" t="s">
        <v>2</v>
      </c>
      <c r="F4565" s="36">
        <v>1</v>
      </c>
      <c r="G4565" s="36">
        <v>2</v>
      </c>
      <c r="H4565" s="36">
        <v>0</v>
      </c>
      <c r="I4565" s="37">
        <v>0</v>
      </c>
      <c r="J4565" s="36" t="s">
        <v>36190</v>
      </c>
      <c r="K4565" s="36" t="s">
        <v>14330</v>
      </c>
      <c r="L4565" s="36" t="s">
        <v>14330</v>
      </c>
      <c r="M4565">
        <v>2</v>
      </c>
      <c r="N4565" t="s">
        <v>14331</v>
      </c>
      <c r="O4565" t="s">
        <v>14333</v>
      </c>
    </row>
    <row r="4566" spans="1:15" x14ac:dyDescent="0.25">
      <c r="A4566" s="35" t="s">
        <v>8275</v>
      </c>
      <c r="B4566" s="36" t="s">
        <v>8276</v>
      </c>
      <c r="C4566" s="36" t="str">
        <f>HYPERLINK("https://rhld.insurance.arkansas.gov/NPILookup?Npi=1669465795","1669465795")</f>
        <v>1669465795</v>
      </c>
      <c r="D4566" s="36" t="s">
        <v>36845</v>
      </c>
      <c r="E4566" s="36" t="s">
        <v>2</v>
      </c>
      <c r="F4566" s="36">
        <v>1</v>
      </c>
      <c r="G4566" s="36">
        <v>2</v>
      </c>
      <c r="H4566" s="36">
        <v>0</v>
      </c>
      <c r="I4566" s="37">
        <v>0</v>
      </c>
      <c r="J4566" s="36" t="s">
        <v>36190</v>
      </c>
      <c r="K4566" s="36" t="s">
        <v>14330</v>
      </c>
      <c r="L4566" s="36" t="s">
        <v>14330</v>
      </c>
      <c r="M4566">
        <v>2</v>
      </c>
      <c r="N4566" t="s">
        <v>14331</v>
      </c>
      <c r="O4566" t="s">
        <v>14333</v>
      </c>
    </row>
    <row r="4567" spans="1:15" x14ac:dyDescent="0.25">
      <c r="A4567" s="35" t="s">
        <v>8275</v>
      </c>
      <c r="B4567" s="36" t="s">
        <v>8276</v>
      </c>
      <c r="C4567" s="36" t="str">
        <f>HYPERLINK("https://rhld.insurance.arkansas.gov/NPILookup?Npi=1669525275","1669525275")</f>
        <v>1669525275</v>
      </c>
      <c r="D4567" s="36" t="s">
        <v>36846</v>
      </c>
      <c r="E4567" s="36" t="s">
        <v>2</v>
      </c>
      <c r="F4567" s="36">
        <v>1</v>
      </c>
      <c r="G4567" s="36">
        <v>2</v>
      </c>
      <c r="H4567" s="36">
        <v>0</v>
      </c>
      <c r="I4567" s="37">
        <v>0</v>
      </c>
      <c r="J4567" s="36" t="s">
        <v>36190</v>
      </c>
      <c r="K4567" s="36" t="s">
        <v>14330</v>
      </c>
      <c r="L4567" s="36" t="s">
        <v>14330</v>
      </c>
      <c r="M4567">
        <v>2</v>
      </c>
      <c r="N4567" t="s">
        <v>14331</v>
      </c>
      <c r="O4567" t="s">
        <v>14333</v>
      </c>
    </row>
    <row r="4568" spans="1:15" x14ac:dyDescent="0.25">
      <c r="A4568" s="35" t="s">
        <v>8275</v>
      </c>
      <c r="B4568" s="36" t="s">
        <v>8276</v>
      </c>
      <c r="C4568" s="36" t="str">
        <f>HYPERLINK("https://rhld.insurance.arkansas.gov/NPILookup?Npi=1669658837","1669658837")</f>
        <v>1669658837</v>
      </c>
      <c r="D4568" s="36" t="s">
        <v>36847</v>
      </c>
      <c r="E4568" s="36" t="s">
        <v>2</v>
      </c>
      <c r="F4568" s="36">
        <v>1</v>
      </c>
      <c r="G4568" s="36">
        <v>2</v>
      </c>
      <c r="H4568" s="36">
        <v>0</v>
      </c>
      <c r="I4568" s="37">
        <v>0</v>
      </c>
      <c r="J4568" s="36" t="s">
        <v>36190</v>
      </c>
      <c r="K4568" s="36" t="s">
        <v>14330</v>
      </c>
      <c r="L4568" s="36" t="s">
        <v>14330</v>
      </c>
      <c r="M4568">
        <v>3</v>
      </c>
      <c r="N4568" t="s">
        <v>14331</v>
      </c>
      <c r="O4568" t="s">
        <v>14333</v>
      </c>
    </row>
    <row r="4569" spans="1:15" x14ac:dyDescent="0.25">
      <c r="A4569" s="35" t="s">
        <v>8275</v>
      </c>
      <c r="B4569" s="36" t="s">
        <v>8276</v>
      </c>
      <c r="C4569" s="36" t="str">
        <f>HYPERLINK("https://rhld.insurance.arkansas.gov/NPILookup?Npi=1669669446","1669669446")</f>
        <v>1669669446</v>
      </c>
      <c r="D4569" s="36" t="s">
        <v>36848</v>
      </c>
      <c r="E4569" s="36" t="s">
        <v>2</v>
      </c>
      <c r="F4569" s="36">
        <v>1</v>
      </c>
      <c r="G4569" s="36">
        <v>3</v>
      </c>
      <c r="H4569" s="36">
        <v>0</v>
      </c>
      <c r="I4569" s="37">
        <v>0</v>
      </c>
      <c r="J4569" s="36" t="s">
        <v>36190</v>
      </c>
      <c r="K4569" s="36" t="s">
        <v>14330</v>
      </c>
      <c r="L4569" s="36" t="s">
        <v>14330</v>
      </c>
      <c r="M4569">
        <v>2</v>
      </c>
      <c r="N4569" t="s">
        <v>14331</v>
      </c>
      <c r="O4569" t="s">
        <v>14333</v>
      </c>
    </row>
    <row r="4570" spans="1:15" x14ac:dyDescent="0.25">
      <c r="A4570" s="35" t="s">
        <v>8275</v>
      </c>
      <c r="B4570" s="36" t="s">
        <v>8276</v>
      </c>
      <c r="C4570" s="36" t="str">
        <f>HYPERLINK("https://rhld.insurance.arkansas.gov/NPILookup?Npi=1669758777","1669758777")</f>
        <v>1669758777</v>
      </c>
      <c r="D4570" s="36" t="s">
        <v>36849</v>
      </c>
      <c r="E4570" s="36" t="s">
        <v>2</v>
      </c>
      <c r="F4570" s="36">
        <v>1</v>
      </c>
      <c r="G4570" s="36">
        <v>2</v>
      </c>
      <c r="H4570" s="36">
        <v>0</v>
      </c>
      <c r="I4570" s="37">
        <v>0</v>
      </c>
      <c r="J4570" s="36" t="s">
        <v>36190</v>
      </c>
      <c r="K4570" s="36" t="s">
        <v>14330</v>
      </c>
      <c r="L4570" s="36" t="s">
        <v>14330</v>
      </c>
      <c r="M4570">
        <v>3</v>
      </c>
      <c r="N4570" t="s">
        <v>14331</v>
      </c>
      <c r="O4570" t="s">
        <v>14333</v>
      </c>
    </row>
    <row r="4571" spans="1:15" x14ac:dyDescent="0.25">
      <c r="A4571" s="35" t="s">
        <v>8275</v>
      </c>
      <c r="B4571" s="36" t="s">
        <v>8276</v>
      </c>
      <c r="C4571" s="36" t="str">
        <f>HYPERLINK("https://rhld.insurance.arkansas.gov/NPILookup?Npi=1669867099","1669867099")</f>
        <v>1669867099</v>
      </c>
      <c r="D4571" s="36" t="s">
        <v>36850</v>
      </c>
      <c r="E4571" s="36" t="s">
        <v>2</v>
      </c>
      <c r="F4571" s="36">
        <v>1</v>
      </c>
      <c r="G4571" s="36">
        <v>3</v>
      </c>
      <c r="H4571" s="36">
        <v>0</v>
      </c>
      <c r="I4571" s="37">
        <v>0</v>
      </c>
      <c r="J4571" s="36" t="s">
        <v>36190</v>
      </c>
      <c r="K4571" s="36" t="s">
        <v>14330</v>
      </c>
      <c r="L4571" s="36" t="s">
        <v>14330</v>
      </c>
      <c r="M4571">
        <v>3</v>
      </c>
      <c r="N4571" t="s">
        <v>14331</v>
      </c>
      <c r="O4571" t="s">
        <v>14333</v>
      </c>
    </row>
    <row r="4572" spans="1:15" x14ac:dyDescent="0.25">
      <c r="A4572" s="35" t="s">
        <v>8275</v>
      </c>
      <c r="B4572" s="36" t="s">
        <v>8276</v>
      </c>
      <c r="C4572" s="36" t="str">
        <f>HYPERLINK("https://rhld.insurance.arkansas.gov/NPILookup?Npi=1669886594","1669886594")</f>
        <v>1669886594</v>
      </c>
      <c r="D4572" s="36" t="s">
        <v>36851</v>
      </c>
      <c r="E4572" s="36" t="s">
        <v>2</v>
      </c>
      <c r="F4572" s="36">
        <v>1</v>
      </c>
      <c r="G4572" s="36">
        <v>3</v>
      </c>
      <c r="H4572" s="36">
        <v>0</v>
      </c>
      <c r="I4572" s="37">
        <v>0</v>
      </c>
      <c r="J4572" s="36" t="s">
        <v>36190</v>
      </c>
      <c r="K4572" s="36" t="s">
        <v>14330</v>
      </c>
      <c r="L4572" s="36" t="s">
        <v>14330</v>
      </c>
      <c r="M4572">
        <v>2</v>
      </c>
      <c r="N4572" t="s">
        <v>14331</v>
      </c>
      <c r="O4572" t="s">
        <v>14333</v>
      </c>
    </row>
    <row r="4573" spans="1:15" x14ac:dyDescent="0.25">
      <c r="A4573" s="35" t="s">
        <v>8275</v>
      </c>
      <c r="B4573" s="36" t="s">
        <v>8276</v>
      </c>
      <c r="C4573" s="36" t="str">
        <f>HYPERLINK("https://rhld.insurance.arkansas.gov/NPILookup?Npi=1679076764","1679076764")</f>
        <v>1679076764</v>
      </c>
      <c r="D4573" s="36" t="s">
        <v>36852</v>
      </c>
      <c r="E4573" s="36" t="s">
        <v>2</v>
      </c>
      <c r="F4573" s="36">
        <v>1</v>
      </c>
      <c r="G4573" s="36">
        <v>2</v>
      </c>
      <c r="H4573" s="36">
        <v>0</v>
      </c>
      <c r="I4573" s="37">
        <v>0</v>
      </c>
      <c r="J4573" s="36" t="s">
        <v>36190</v>
      </c>
      <c r="K4573" s="36" t="s">
        <v>14330</v>
      </c>
      <c r="L4573" s="36" t="s">
        <v>14330</v>
      </c>
      <c r="M4573">
        <v>1</v>
      </c>
      <c r="N4573" t="s">
        <v>14331</v>
      </c>
      <c r="O4573" t="s">
        <v>14333</v>
      </c>
    </row>
    <row r="4574" spans="1:15" x14ac:dyDescent="0.25">
      <c r="A4574" s="35" t="s">
        <v>8275</v>
      </c>
      <c r="B4574" s="36" t="s">
        <v>8276</v>
      </c>
      <c r="C4574" s="36" t="str">
        <f>HYPERLINK("https://rhld.insurance.arkansas.gov/NPILookup?Npi=1679133888","1679133888")</f>
        <v>1679133888</v>
      </c>
      <c r="D4574" s="36" t="s">
        <v>35760</v>
      </c>
      <c r="E4574" s="36" t="s">
        <v>2</v>
      </c>
      <c r="F4574" s="36">
        <v>1</v>
      </c>
      <c r="G4574" s="36">
        <v>1</v>
      </c>
      <c r="H4574" s="36">
        <v>0</v>
      </c>
      <c r="I4574" s="37">
        <v>0</v>
      </c>
      <c r="J4574" s="36"/>
      <c r="K4574" s="36" t="s">
        <v>14330</v>
      </c>
      <c r="L4574" s="36" t="s">
        <v>14330</v>
      </c>
      <c r="M4574">
        <v>2</v>
      </c>
      <c r="N4574" t="s">
        <v>14331</v>
      </c>
      <c r="O4574" t="s">
        <v>32633</v>
      </c>
    </row>
    <row r="4575" spans="1:15" x14ac:dyDescent="0.25">
      <c r="A4575" s="35" t="s">
        <v>8275</v>
      </c>
      <c r="B4575" s="36" t="s">
        <v>8276</v>
      </c>
      <c r="C4575" s="36" t="str">
        <f>HYPERLINK("https://rhld.insurance.arkansas.gov/NPILookup?Npi=1679141626","1679141626")</f>
        <v>1679141626</v>
      </c>
      <c r="D4575" s="36" t="s">
        <v>36853</v>
      </c>
      <c r="E4575" s="36" t="s">
        <v>2</v>
      </c>
      <c r="F4575" s="36">
        <v>1</v>
      </c>
      <c r="G4575" s="36">
        <v>2</v>
      </c>
      <c r="H4575" s="36">
        <v>0</v>
      </c>
      <c r="I4575" s="37">
        <v>0</v>
      </c>
      <c r="J4575" s="36" t="s">
        <v>36190</v>
      </c>
      <c r="K4575" s="36" t="s">
        <v>14330</v>
      </c>
      <c r="L4575" s="36" t="s">
        <v>14330</v>
      </c>
      <c r="M4575">
        <v>2</v>
      </c>
      <c r="N4575" t="s">
        <v>14331</v>
      </c>
      <c r="O4575" t="s">
        <v>14333</v>
      </c>
    </row>
    <row r="4576" spans="1:15" x14ac:dyDescent="0.25">
      <c r="A4576" s="35" t="s">
        <v>8275</v>
      </c>
      <c r="B4576" s="36" t="s">
        <v>8276</v>
      </c>
      <c r="C4576" s="36" t="str">
        <f>HYPERLINK("https://rhld.insurance.arkansas.gov/NPILookup?Npi=1679279210","1679279210")</f>
        <v>1679279210</v>
      </c>
      <c r="D4576" s="36" t="s">
        <v>36854</v>
      </c>
      <c r="E4576" s="36" t="s">
        <v>2</v>
      </c>
      <c r="F4576" s="36">
        <v>1</v>
      </c>
      <c r="G4576" s="36">
        <v>2</v>
      </c>
      <c r="H4576" s="36">
        <v>0</v>
      </c>
      <c r="I4576" s="37">
        <v>0</v>
      </c>
      <c r="J4576" s="36" t="s">
        <v>36190</v>
      </c>
      <c r="K4576" s="36" t="s">
        <v>14330</v>
      </c>
      <c r="L4576" s="36" t="s">
        <v>14330</v>
      </c>
      <c r="M4576">
        <v>2</v>
      </c>
      <c r="N4576" t="s">
        <v>14331</v>
      </c>
      <c r="O4576" t="s">
        <v>14333</v>
      </c>
    </row>
    <row r="4577" spans="1:15" x14ac:dyDescent="0.25">
      <c r="A4577" s="35" t="s">
        <v>8275</v>
      </c>
      <c r="B4577" s="36" t="s">
        <v>8276</v>
      </c>
      <c r="C4577" s="36" t="str">
        <f>HYPERLINK("https://rhld.insurance.arkansas.gov/NPILookup?Npi=1679509707","1679509707")</f>
        <v>1679509707</v>
      </c>
      <c r="D4577" s="36" t="s">
        <v>36855</v>
      </c>
      <c r="E4577" s="36" t="s">
        <v>2</v>
      </c>
      <c r="F4577" s="36">
        <v>1</v>
      </c>
      <c r="G4577" s="36">
        <v>2</v>
      </c>
      <c r="H4577" s="36">
        <v>0</v>
      </c>
      <c r="I4577" s="37">
        <v>0</v>
      </c>
      <c r="J4577" s="36" t="s">
        <v>36190</v>
      </c>
      <c r="K4577" s="36" t="s">
        <v>14330</v>
      </c>
      <c r="L4577" s="36" t="s">
        <v>14330</v>
      </c>
      <c r="M4577">
        <v>2</v>
      </c>
      <c r="N4577" t="s">
        <v>14331</v>
      </c>
      <c r="O4577" t="s">
        <v>14333</v>
      </c>
    </row>
    <row r="4578" spans="1:15" x14ac:dyDescent="0.25">
      <c r="A4578" s="35" t="s">
        <v>8275</v>
      </c>
      <c r="B4578" s="36" t="s">
        <v>8276</v>
      </c>
      <c r="C4578" s="36" t="str">
        <f>HYPERLINK("https://rhld.insurance.arkansas.gov/NPILookup?Npi=1679547608","1679547608")</f>
        <v>1679547608</v>
      </c>
      <c r="D4578" s="36" t="s">
        <v>36856</v>
      </c>
      <c r="E4578" s="36" t="s">
        <v>2</v>
      </c>
      <c r="F4578" s="36">
        <v>1</v>
      </c>
      <c r="G4578" s="36">
        <v>2</v>
      </c>
      <c r="H4578" s="36">
        <v>0</v>
      </c>
      <c r="I4578" s="37">
        <v>0</v>
      </c>
      <c r="J4578" s="36" t="s">
        <v>36190</v>
      </c>
      <c r="K4578" s="36" t="s">
        <v>14330</v>
      </c>
      <c r="L4578" s="36" t="s">
        <v>14330</v>
      </c>
      <c r="M4578">
        <v>3</v>
      </c>
      <c r="N4578" t="s">
        <v>14331</v>
      </c>
      <c r="O4578" t="s">
        <v>14333</v>
      </c>
    </row>
    <row r="4579" spans="1:15" x14ac:dyDescent="0.25">
      <c r="A4579" s="35" t="s">
        <v>8275</v>
      </c>
      <c r="B4579" s="36" t="s">
        <v>8276</v>
      </c>
      <c r="C4579" s="36" t="str">
        <f>HYPERLINK("https://rhld.insurance.arkansas.gov/NPILookup?Npi=1679577381","1679577381")</f>
        <v>1679577381</v>
      </c>
      <c r="D4579" s="36" t="s">
        <v>36857</v>
      </c>
      <c r="E4579" s="36" t="s">
        <v>2</v>
      </c>
      <c r="F4579" s="36">
        <v>1</v>
      </c>
      <c r="G4579" s="36">
        <v>3</v>
      </c>
      <c r="H4579" s="36">
        <v>0</v>
      </c>
      <c r="I4579" s="37">
        <v>0</v>
      </c>
      <c r="J4579" s="36" t="s">
        <v>36190</v>
      </c>
      <c r="K4579" s="36" t="s">
        <v>14330</v>
      </c>
      <c r="L4579" s="36" t="s">
        <v>14330</v>
      </c>
      <c r="M4579">
        <v>3</v>
      </c>
      <c r="N4579" t="s">
        <v>14331</v>
      </c>
      <c r="O4579" t="s">
        <v>14333</v>
      </c>
    </row>
    <row r="4580" spans="1:15" x14ac:dyDescent="0.25">
      <c r="A4580" s="35" t="s">
        <v>8275</v>
      </c>
      <c r="B4580" s="36" t="s">
        <v>8276</v>
      </c>
      <c r="C4580" s="36" t="str">
        <f>HYPERLINK("https://rhld.insurance.arkansas.gov/NPILookup?Npi=1679949457","1679949457")</f>
        <v>1679949457</v>
      </c>
      <c r="D4580" s="36" t="s">
        <v>36858</v>
      </c>
      <c r="E4580" s="36" t="s">
        <v>2</v>
      </c>
      <c r="F4580" s="36">
        <v>1</v>
      </c>
      <c r="G4580" s="36">
        <v>3</v>
      </c>
      <c r="H4580" s="36">
        <v>0</v>
      </c>
      <c r="I4580" s="37">
        <v>0</v>
      </c>
      <c r="J4580" s="36" t="s">
        <v>36190</v>
      </c>
      <c r="K4580" s="36" t="s">
        <v>14330</v>
      </c>
      <c r="L4580" s="36" t="s">
        <v>14330</v>
      </c>
      <c r="M4580">
        <v>3</v>
      </c>
      <c r="N4580" t="s">
        <v>14331</v>
      </c>
      <c r="O4580" t="s">
        <v>14333</v>
      </c>
    </row>
    <row r="4581" spans="1:15" x14ac:dyDescent="0.25">
      <c r="A4581" s="35" t="s">
        <v>8275</v>
      </c>
      <c r="B4581" s="36" t="s">
        <v>8276</v>
      </c>
      <c r="C4581" s="36" t="str">
        <f>HYPERLINK("https://rhld.insurance.arkansas.gov/NPILookup?Npi=1689021834","1689021834")</f>
        <v>1689021834</v>
      </c>
      <c r="D4581" s="36" t="s">
        <v>36859</v>
      </c>
      <c r="E4581" s="36" t="s">
        <v>2</v>
      </c>
      <c r="F4581" s="36">
        <v>1</v>
      </c>
      <c r="G4581" s="36">
        <v>3</v>
      </c>
      <c r="H4581" s="36">
        <v>0</v>
      </c>
      <c r="I4581" s="37">
        <v>0</v>
      </c>
      <c r="J4581" s="36" t="s">
        <v>36190</v>
      </c>
      <c r="K4581" s="36" t="s">
        <v>14330</v>
      </c>
      <c r="L4581" s="36" t="s">
        <v>14330</v>
      </c>
      <c r="M4581">
        <v>3</v>
      </c>
      <c r="N4581" t="s">
        <v>14331</v>
      </c>
      <c r="O4581" t="s">
        <v>14333</v>
      </c>
    </row>
    <row r="4582" spans="1:15" x14ac:dyDescent="0.25">
      <c r="A4582" s="35" t="s">
        <v>8275</v>
      </c>
      <c r="B4582" s="36" t="s">
        <v>8276</v>
      </c>
      <c r="C4582" s="36" t="str">
        <f>HYPERLINK("https://rhld.insurance.arkansas.gov/NPILookup?Npi=1689080384","1689080384")</f>
        <v>1689080384</v>
      </c>
      <c r="D4582" s="36" t="s">
        <v>36860</v>
      </c>
      <c r="E4582" s="36" t="s">
        <v>2</v>
      </c>
      <c r="F4582" s="36">
        <v>1</v>
      </c>
      <c r="G4582" s="36">
        <v>3</v>
      </c>
      <c r="H4582" s="36">
        <v>0</v>
      </c>
      <c r="I4582" s="37">
        <v>0</v>
      </c>
      <c r="J4582" s="36" t="s">
        <v>36190</v>
      </c>
      <c r="K4582" s="36" t="s">
        <v>14330</v>
      </c>
      <c r="L4582" s="36" t="s">
        <v>14330</v>
      </c>
      <c r="M4582">
        <v>3</v>
      </c>
      <c r="N4582" t="s">
        <v>14331</v>
      </c>
      <c r="O4582" t="s">
        <v>14333</v>
      </c>
    </row>
    <row r="4583" spans="1:15" x14ac:dyDescent="0.25">
      <c r="A4583" s="35" t="s">
        <v>8275</v>
      </c>
      <c r="B4583" s="36" t="s">
        <v>8276</v>
      </c>
      <c r="C4583" s="36" t="str">
        <f>HYPERLINK("https://rhld.insurance.arkansas.gov/NPILookup?Npi=1689133134","1689133134")</f>
        <v>1689133134</v>
      </c>
      <c r="D4583" s="36" t="s">
        <v>36861</v>
      </c>
      <c r="E4583" s="36" t="s">
        <v>2</v>
      </c>
      <c r="F4583" s="36">
        <v>1</v>
      </c>
      <c r="G4583" s="36">
        <v>3</v>
      </c>
      <c r="H4583" s="36">
        <v>0</v>
      </c>
      <c r="I4583" s="37">
        <v>0</v>
      </c>
      <c r="J4583" s="36" t="s">
        <v>36190</v>
      </c>
      <c r="K4583" s="36" t="s">
        <v>14330</v>
      </c>
      <c r="L4583" s="36" t="s">
        <v>14330</v>
      </c>
      <c r="M4583">
        <v>1</v>
      </c>
      <c r="N4583" t="s">
        <v>14331</v>
      </c>
      <c r="O4583" t="s">
        <v>14333</v>
      </c>
    </row>
    <row r="4584" spans="1:15" x14ac:dyDescent="0.25">
      <c r="A4584" s="35" t="s">
        <v>8275</v>
      </c>
      <c r="B4584" s="36" t="s">
        <v>8276</v>
      </c>
      <c r="C4584" s="36" t="str">
        <f>HYPERLINK("https://rhld.insurance.arkansas.gov/NPILookup?Npi=1689165375","1689165375")</f>
        <v>1689165375</v>
      </c>
      <c r="D4584" s="36" t="s">
        <v>36862</v>
      </c>
      <c r="E4584" s="36" t="s">
        <v>1</v>
      </c>
      <c r="F4584" s="36">
        <v>1</v>
      </c>
      <c r="G4584" s="36">
        <v>1</v>
      </c>
      <c r="H4584" s="36">
        <v>0</v>
      </c>
      <c r="I4584" s="37">
        <v>0</v>
      </c>
      <c r="J4584" s="36" t="s">
        <v>32654</v>
      </c>
      <c r="K4584" s="36" t="s">
        <v>14330</v>
      </c>
      <c r="L4584" s="36" t="s">
        <v>14330</v>
      </c>
      <c r="M4584">
        <v>2</v>
      </c>
      <c r="N4584" t="s">
        <v>14331</v>
      </c>
      <c r="O4584" t="s">
        <v>32633</v>
      </c>
    </row>
    <row r="4585" spans="1:15" x14ac:dyDescent="0.25">
      <c r="A4585" s="35" t="s">
        <v>8275</v>
      </c>
      <c r="B4585" s="36" t="s">
        <v>8276</v>
      </c>
      <c r="C4585" s="36" t="str">
        <f>HYPERLINK("https://rhld.insurance.arkansas.gov/NPILookup?Npi=1689358798","1689358798")</f>
        <v>1689358798</v>
      </c>
      <c r="D4585" s="36" t="s">
        <v>35776</v>
      </c>
      <c r="E4585" s="36" t="s">
        <v>2</v>
      </c>
      <c r="F4585" s="36">
        <v>1</v>
      </c>
      <c r="G4585" s="36">
        <v>2</v>
      </c>
      <c r="H4585" s="36">
        <v>0</v>
      </c>
      <c r="I4585" s="37">
        <v>0</v>
      </c>
      <c r="J4585" s="36"/>
      <c r="K4585" s="36" t="s">
        <v>14330</v>
      </c>
      <c r="L4585" s="36" t="s">
        <v>14330</v>
      </c>
      <c r="M4585">
        <v>2</v>
      </c>
      <c r="N4585" t="s">
        <v>14331</v>
      </c>
      <c r="O4585" t="s">
        <v>14333</v>
      </c>
    </row>
    <row r="4586" spans="1:15" x14ac:dyDescent="0.25">
      <c r="A4586" s="35" t="s">
        <v>8275</v>
      </c>
      <c r="B4586" s="36" t="s">
        <v>8276</v>
      </c>
      <c r="C4586" s="36" t="str">
        <f>HYPERLINK("https://rhld.insurance.arkansas.gov/NPILookup?Npi=1689400228","1689400228")</f>
        <v>1689400228</v>
      </c>
      <c r="D4586" s="36" t="s">
        <v>35777</v>
      </c>
      <c r="E4586" s="36" t="s">
        <v>2</v>
      </c>
      <c r="F4586" s="36">
        <v>1</v>
      </c>
      <c r="G4586" s="36">
        <v>2</v>
      </c>
      <c r="H4586" s="36">
        <v>0</v>
      </c>
      <c r="I4586" s="37">
        <v>0</v>
      </c>
      <c r="J4586" s="36"/>
      <c r="K4586" s="36" t="s">
        <v>14330</v>
      </c>
      <c r="L4586" s="36" t="s">
        <v>14330</v>
      </c>
      <c r="M4586">
        <v>2</v>
      </c>
      <c r="N4586" t="s">
        <v>14331</v>
      </c>
      <c r="O4586" t="s">
        <v>14333</v>
      </c>
    </row>
    <row r="4587" spans="1:15" x14ac:dyDescent="0.25">
      <c r="A4587" s="35" t="s">
        <v>8275</v>
      </c>
      <c r="B4587" s="36" t="s">
        <v>8276</v>
      </c>
      <c r="C4587" s="36" t="str">
        <f>HYPERLINK("https://rhld.insurance.arkansas.gov/NPILookup?Npi=1689461071","1689461071")</f>
        <v>1689461071</v>
      </c>
      <c r="D4587" s="36" t="s">
        <v>35778</v>
      </c>
      <c r="E4587" s="36" t="s">
        <v>2</v>
      </c>
      <c r="F4587" s="36">
        <v>1</v>
      </c>
      <c r="G4587" s="36">
        <v>2</v>
      </c>
      <c r="H4587" s="36">
        <v>0</v>
      </c>
      <c r="I4587" s="37">
        <v>0</v>
      </c>
      <c r="J4587" s="36"/>
      <c r="K4587" s="36" t="s">
        <v>14330</v>
      </c>
      <c r="L4587" s="36" t="s">
        <v>14330</v>
      </c>
      <c r="M4587">
        <v>1</v>
      </c>
      <c r="N4587" t="s">
        <v>14331</v>
      </c>
      <c r="O4587" t="s">
        <v>14333</v>
      </c>
    </row>
    <row r="4588" spans="1:15" x14ac:dyDescent="0.25">
      <c r="A4588" s="35" t="s">
        <v>8275</v>
      </c>
      <c r="B4588" s="36" t="s">
        <v>8276</v>
      </c>
      <c r="C4588" s="36" t="str">
        <f>HYPERLINK("https://rhld.insurance.arkansas.gov/NPILookup?Npi=1689493181","1689493181")</f>
        <v>1689493181</v>
      </c>
      <c r="D4588" s="36" t="s">
        <v>35779</v>
      </c>
      <c r="E4588" s="36" t="s">
        <v>2</v>
      </c>
      <c r="F4588" s="36">
        <v>1</v>
      </c>
      <c r="G4588" s="36">
        <v>1</v>
      </c>
      <c r="H4588" s="36">
        <v>0</v>
      </c>
      <c r="I4588" s="37">
        <v>0</v>
      </c>
      <c r="J4588" s="36"/>
      <c r="K4588" s="36" t="s">
        <v>14330</v>
      </c>
      <c r="L4588" s="36" t="s">
        <v>14330</v>
      </c>
      <c r="M4588">
        <v>3</v>
      </c>
      <c r="N4588" t="s">
        <v>14331</v>
      </c>
      <c r="O4588" t="s">
        <v>32633</v>
      </c>
    </row>
    <row r="4589" spans="1:15" x14ac:dyDescent="0.25">
      <c r="A4589" s="35" t="s">
        <v>8275</v>
      </c>
      <c r="B4589" s="36" t="s">
        <v>8276</v>
      </c>
      <c r="C4589" s="36" t="str">
        <f>HYPERLINK("https://rhld.insurance.arkansas.gov/NPILookup?Npi=1689628323","1689628323")</f>
        <v>1689628323</v>
      </c>
      <c r="D4589" s="36" t="s">
        <v>33322</v>
      </c>
      <c r="E4589" s="36" t="s">
        <v>2</v>
      </c>
      <c r="F4589" s="36">
        <v>1</v>
      </c>
      <c r="G4589" s="36">
        <v>3</v>
      </c>
      <c r="H4589" s="36">
        <v>0</v>
      </c>
      <c r="I4589" s="37">
        <v>0</v>
      </c>
      <c r="J4589" s="36" t="s">
        <v>36190</v>
      </c>
      <c r="K4589" s="36" t="s">
        <v>14330</v>
      </c>
      <c r="L4589" s="36" t="s">
        <v>14330</v>
      </c>
      <c r="M4589">
        <v>1</v>
      </c>
      <c r="N4589" t="s">
        <v>14331</v>
      </c>
      <c r="O4589" t="s">
        <v>14333</v>
      </c>
    </row>
    <row r="4590" spans="1:15" x14ac:dyDescent="0.25">
      <c r="A4590" s="35" t="s">
        <v>8275</v>
      </c>
      <c r="B4590" s="36" t="s">
        <v>8276</v>
      </c>
      <c r="C4590" s="36" t="str">
        <f>HYPERLINK("https://rhld.insurance.arkansas.gov/NPILookup?Npi=1689644965","1689644965")</f>
        <v>1689644965</v>
      </c>
      <c r="D4590" s="36" t="s">
        <v>36863</v>
      </c>
      <c r="E4590" s="36" t="s">
        <v>1</v>
      </c>
      <c r="F4590" s="36">
        <v>1</v>
      </c>
      <c r="G4590" s="36">
        <v>1</v>
      </c>
      <c r="H4590" s="36">
        <v>0</v>
      </c>
      <c r="I4590" s="37">
        <v>0</v>
      </c>
      <c r="J4590" s="36" t="s">
        <v>32654</v>
      </c>
      <c r="K4590" s="36" t="s">
        <v>14330</v>
      </c>
      <c r="L4590" s="36" t="s">
        <v>14330</v>
      </c>
      <c r="M4590">
        <v>3</v>
      </c>
      <c r="N4590" t="s">
        <v>14331</v>
      </c>
      <c r="O4590" t="s">
        <v>32633</v>
      </c>
    </row>
    <row r="4591" spans="1:15" x14ac:dyDescent="0.25">
      <c r="A4591" s="35" t="s">
        <v>8275</v>
      </c>
      <c r="B4591" s="36" t="s">
        <v>8276</v>
      </c>
      <c r="C4591" s="36" t="str">
        <f>HYPERLINK("https://rhld.insurance.arkansas.gov/NPILookup?Npi=1689651911","1689651911")</f>
        <v>1689651911</v>
      </c>
      <c r="D4591" s="36" t="s">
        <v>36864</v>
      </c>
      <c r="E4591" s="36" t="s">
        <v>2</v>
      </c>
      <c r="F4591" s="36">
        <v>1</v>
      </c>
      <c r="G4591" s="36">
        <v>3</v>
      </c>
      <c r="H4591" s="36">
        <v>0</v>
      </c>
      <c r="I4591" s="37">
        <v>0</v>
      </c>
      <c r="J4591" s="36" t="s">
        <v>36190</v>
      </c>
      <c r="K4591" s="36" t="s">
        <v>14330</v>
      </c>
      <c r="L4591" s="36" t="s">
        <v>14330</v>
      </c>
      <c r="M4591">
        <v>3</v>
      </c>
      <c r="N4591" t="s">
        <v>14331</v>
      </c>
      <c r="O4591" t="s">
        <v>14333</v>
      </c>
    </row>
    <row r="4592" spans="1:15" x14ac:dyDescent="0.25">
      <c r="A4592" s="35" t="s">
        <v>8275</v>
      </c>
      <c r="B4592" s="36" t="s">
        <v>8276</v>
      </c>
      <c r="C4592" s="36" t="str">
        <f>HYPERLINK("https://rhld.insurance.arkansas.gov/NPILookup?Npi=1689761280","1689761280")</f>
        <v>1689761280</v>
      </c>
      <c r="D4592" s="36" t="s">
        <v>36865</v>
      </c>
      <c r="E4592" s="36" t="s">
        <v>2</v>
      </c>
      <c r="F4592" s="36">
        <v>1</v>
      </c>
      <c r="G4592" s="36">
        <v>3</v>
      </c>
      <c r="H4592" s="36">
        <v>0</v>
      </c>
      <c r="I4592" s="37">
        <v>0</v>
      </c>
      <c r="J4592" s="36" t="s">
        <v>36190</v>
      </c>
      <c r="K4592" s="36" t="s">
        <v>14330</v>
      </c>
      <c r="L4592" s="36" t="s">
        <v>14330</v>
      </c>
      <c r="M4592">
        <v>1</v>
      </c>
      <c r="N4592" t="s">
        <v>14331</v>
      </c>
      <c r="O4592" t="s">
        <v>14333</v>
      </c>
    </row>
    <row r="4593" spans="1:15" x14ac:dyDescent="0.25">
      <c r="A4593" s="35" t="s">
        <v>8275</v>
      </c>
      <c r="B4593" s="36" t="s">
        <v>8276</v>
      </c>
      <c r="C4593" s="36" t="str">
        <f>HYPERLINK("https://rhld.insurance.arkansas.gov/NPILookup?Npi=1689800401","1689800401")</f>
        <v>1689800401</v>
      </c>
      <c r="D4593" s="36" t="s">
        <v>36866</v>
      </c>
      <c r="E4593" s="36" t="s">
        <v>2</v>
      </c>
      <c r="F4593" s="36">
        <v>1</v>
      </c>
      <c r="G4593" s="36">
        <v>1</v>
      </c>
      <c r="H4593" s="36">
        <v>0</v>
      </c>
      <c r="I4593" s="37">
        <v>0</v>
      </c>
      <c r="J4593" s="36"/>
      <c r="K4593" s="36" t="s">
        <v>14330</v>
      </c>
      <c r="L4593" s="36" t="s">
        <v>14330</v>
      </c>
      <c r="M4593">
        <v>3</v>
      </c>
      <c r="N4593" t="s">
        <v>14331</v>
      </c>
      <c r="O4593" t="s">
        <v>32633</v>
      </c>
    </row>
    <row r="4594" spans="1:15" x14ac:dyDescent="0.25">
      <c r="A4594" s="35" t="s">
        <v>8275</v>
      </c>
      <c r="B4594" s="36" t="s">
        <v>8276</v>
      </c>
      <c r="C4594" s="36" t="str">
        <f>HYPERLINK("https://rhld.insurance.arkansas.gov/NPILookup?Npi=1689893919","1689893919")</f>
        <v>1689893919</v>
      </c>
      <c r="D4594" s="36" t="s">
        <v>36867</v>
      </c>
      <c r="E4594" s="36" t="s">
        <v>1</v>
      </c>
      <c r="F4594" s="36">
        <v>1</v>
      </c>
      <c r="G4594" s="36">
        <v>3</v>
      </c>
      <c r="H4594" s="36">
        <v>0</v>
      </c>
      <c r="I4594" s="37">
        <v>0</v>
      </c>
      <c r="J4594" s="36" t="s">
        <v>32654</v>
      </c>
      <c r="K4594" s="36" t="s">
        <v>14330</v>
      </c>
      <c r="L4594" s="36" t="s">
        <v>14330</v>
      </c>
      <c r="M4594">
        <v>3</v>
      </c>
      <c r="N4594" t="s">
        <v>14331</v>
      </c>
      <c r="O4594" t="s">
        <v>32633</v>
      </c>
    </row>
    <row r="4595" spans="1:15" x14ac:dyDescent="0.25">
      <c r="A4595" s="35" t="s">
        <v>8275</v>
      </c>
      <c r="B4595" s="36" t="s">
        <v>8276</v>
      </c>
      <c r="C4595" s="36" t="str">
        <f>HYPERLINK("https://rhld.insurance.arkansas.gov/NPILookup?Npi=1689896763","1689896763")</f>
        <v>1689896763</v>
      </c>
      <c r="D4595" s="36" t="s">
        <v>36868</v>
      </c>
      <c r="E4595" s="36" t="s">
        <v>2</v>
      </c>
      <c r="F4595" s="36">
        <v>1</v>
      </c>
      <c r="G4595" s="36">
        <v>3</v>
      </c>
      <c r="H4595" s="36">
        <v>0</v>
      </c>
      <c r="I4595" s="37">
        <v>0</v>
      </c>
      <c r="J4595" s="36" t="s">
        <v>36190</v>
      </c>
      <c r="K4595" s="36" t="s">
        <v>14330</v>
      </c>
      <c r="L4595" s="36" t="s">
        <v>14330</v>
      </c>
      <c r="M4595">
        <v>2</v>
      </c>
      <c r="N4595" t="s">
        <v>14331</v>
      </c>
      <c r="O4595" t="s">
        <v>14333</v>
      </c>
    </row>
    <row r="4596" spans="1:15" x14ac:dyDescent="0.25">
      <c r="A4596" s="35" t="s">
        <v>8275</v>
      </c>
      <c r="B4596" s="36" t="s">
        <v>8276</v>
      </c>
      <c r="C4596" s="36" t="str">
        <f>HYPERLINK("https://rhld.insurance.arkansas.gov/NPILookup?Npi=1699123562","1699123562")</f>
        <v>1699123562</v>
      </c>
      <c r="D4596" s="36" t="s">
        <v>36869</v>
      </c>
      <c r="E4596" s="36" t="s">
        <v>2</v>
      </c>
      <c r="F4596" s="36">
        <v>1</v>
      </c>
      <c r="G4596" s="36">
        <v>2</v>
      </c>
      <c r="H4596" s="36">
        <v>0</v>
      </c>
      <c r="I4596" s="37">
        <v>0</v>
      </c>
      <c r="J4596" s="36" t="s">
        <v>36190</v>
      </c>
      <c r="K4596" s="36" t="s">
        <v>14330</v>
      </c>
      <c r="L4596" s="36" t="s">
        <v>14330</v>
      </c>
      <c r="M4596">
        <v>2</v>
      </c>
      <c r="N4596" t="s">
        <v>14331</v>
      </c>
      <c r="O4596" t="s">
        <v>14333</v>
      </c>
    </row>
    <row r="4597" spans="1:15" x14ac:dyDescent="0.25">
      <c r="A4597" s="35" t="s">
        <v>8275</v>
      </c>
      <c r="B4597" s="36" t="s">
        <v>8276</v>
      </c>
      <c r="C4597" s="36" t="str">
        <f>HYPERLINK("https://rhld.insurance.arkansas.gov/NPILookup?Npi=1699282020","1699282020")</f>
        <v>1699282020</v>
      </c>
      <c r="D4597" s="36" t="s">
        <v>35790</v>
      </c>
      <c r="E4597" s="36" t="s">
        <v>2</v>
      </c>
      <c r="F4597" s="36">
        <v>1</v>
      </c>
      <c r="G4597" s="36">
        <v>2</v>
      </c>
      <c r="H4597" s="36">
        <v>0</v>
      </c>
      <c r="I4597" s="37">
        <v>0</v>
      </c>
      <c r="J4597" s="36"/>
      <c r="K4597" s="36" t="s">
        <v>14330</v>
      </c>
      <c r="L4597" s="36" t="s">
        <v>14330</v>
      </c>
      <c r="M4597">
        <v>3</v>
      </c>
      <c r="N4597" t="s">
        <v>14331</v>
      </c>
      <c r="O4597" t="s">
        <v>14333</v>
      </c>
    </row>
    <row r="4598" spans="1:15" x14ac:dyDescent="0.25">
      <c r="A4598" s="35" t="s">
        <v>8275</v>
      </c>
      <c r="B4598" s="36" t="s">
        <v>8276</v>
      </c>
      <c r="C4598" s="36" t="str">
        <f>HYPERLINK("https://rhld.insurance.arkansas.gov/NPILookup?Npi=1699282087","1699282087")</f>
        <v>1699282087</v>
      </c>
      <c r="D4598" s="36" t="s">
        <v>36870</v>
      </c>
      <c r="E4598" s="36" t="s">
        <v>2</v>
      </c>
      <c r="F4598" s="36">
        <v>1</v>
      </c>
      <c r="G4598" s="36">
        <v>3</v>
      </c>
      <c r="H4598" s="36">
        <v>0</v>
      </c>
      <c r="I4598" s="37">
        <v>0</v>
      </c>
      <c r="J4598" s="36" t="s">
        <v>36190</v>
      </c>
      <c r="K4598" s="36" t="s">
        <v>14330</v>
      </c>
      <c r="L4598" s="36" t="s">
        <v>14330</v>
      </c>
      <c r="M4598">
        <v>2</v>
      </c>
      <c r="N4598" t="s">
        <v>14331</v>
      </c>
      <c r="O4598" t="s">
        <v>14333</v>
      </c>
    </row>
    <row r="4599" spans="1:15" x14ac:dyDescent="0.25">
      <c r="A4599" s="35" t="s">
        <v>8275</v>
      </c>
      <c r="B4599" s="36" t="s">
        <v>8276</v>
      </c>
      <c r="C4599" s="36" t="str">
        <f>HYPERLINK("https://rhld.insurance.arkansas.gov/NPILookup?Npi=1699310508","1699310508")</f>
        <v>1699310508</v>
      </c>
      <c r="D4599" s="36" t="s">
        <v>36871</v>
      </c>
      <c r="E4599" s="36" t="s">
        <v>2</v>
      </c>
      <c r="F4599" s="36">
        <v>1</v>
      </c>
      <c r="G4599" s="36">
        <v>2</v>
      </c>
      <c r="H4599" s="36">
        <v>0</v>
      </c>
      <c r="I4599" s="37">
        <v>0</v>
      </c>
      <c r="J4599" s="36" t="s">
        <v>36190</v>
      </c>
      <c r="K4599" s="36" t="s">
        <v>14330</v>
      </c>
      <c r="L4599" s="36" t="s">
        <v>14330</v>
      </c>
      <c r="M4599">
        <v>1</v>
      </c>
      <c r="N4599" t="s">
        <v>14331</v>
      </c>
      <c r="O4599" t="s">
        <v>14333</v>
      </c>
    </row>
    <row r="4600" spans="1:15" x14ac:dyDescent="0.25">
      <c r="A4600" s="35" t="s">
        <v>8275</v>
      </c>
      <c r="B4600" s="36" t="s">
        <v>8276</v>
      </c>
      <c r="C4600" s="36" t="str">
        <f>HYPERLINK("https://rhld.insurance.arkansas.gov/NPILookup?Npi=1699576314","1699576314")</f>
        <v>1699576314</v>
      </c>
      <c r="D4600" s="36" t="s">
        <v>35791</v>
      </c>
      <c r="E4600" s="36" t="s">
        <v>2</v>
      </c>
      <c r="F4600" s="36">
        <v>1</v>
      </c>
      <c r="G4600" s="36">
        <v>1</v>
      </c>
      <c r="H4600" s="36">
        <v>0</v>
      </c>
      <c r="I4600" s="37">
        <v>0</v>
      </c>
      <c r="J4600" s="36"/>
      <c r="K4600" s="36" t="s">
        <v>14330</v>
      </c>
      <c r="L4600" s="36" t="s">
        <v>14330</v>
      </c>
      <c r="M4600">
        <v>3</v>
      </c>
      <c r="N4600" t="s">
        <v>14331</v>
      </c>
      <c r="O4600" t="s">
        <v>32633</v>
      </c>
    </row>
    <row r="4601" spans="1:15" x14ac:dyDescent="0.25">
      <c r="A4601" s="35" t="s">
        <v>8275</v>
      </c>
      <c r="B4601" s="36" t="s">
        <v>8276</v>
      </c>
      <c r="C4601" s="36" t="str">
        <f>HYPERLINK("https://rhld.insurance.arkansas.gov/NPILookup?Npi=1699702969","1699702969")</f>
        <v>1699702969</v>
      </c>
      <c r="D4601" s="36" t="s">
        <v>36872</v>
      </c>
      <c r="E4601" s="36" t="s">
        <v>2</v>
      </c>
      <c r="F4601" s="36">
        <v>1</v>
      </c>
      <c r="G4601" s="36">
        <v>3</v>
      </c>
      <c r="H4601" s="36">
        <v>0</v>
      </c>
      <c r="I4601" s="37">
        <v>0</v>
      </c>
      <c r="J4601" s="36" t="s">
        <v>36190</v>
      </c>
      <c r="K4601" s="36" t="s">
        <v>14330</v>
      </c>
      <c r="L4601" s="36" t="s">
        <v>14330</v>
      </c>
      <c r="M4601">
        <v>2</v>
      </c>
      <c r="N4601" t="s">
        <v>14331</v>
      </c>
      <c r="O4601" t="s">
        <v>14333</v>
      </c>
    </row>
    <row r="4602" spans="1:15" x14ac:dyDescent="0.25">
      <c r="A4602" s="35" t="s">
        <v>8275</v>
      </c>
      <c r="B4602" s="36" t="s">
        <v>8276</v>
      </c>
      <c r="C4602" s="36" t="str">
        <f>HYPERLINK("https://rhld.insurance.arkansas.gov/NPILookup?Npi=1699741082","1699741082")</f>
        <v>1699741082</v>
      </c>
      <c r="D4602" s="36" t="s">
        <v>35690</v>
      </c>
      <c r="E4602" s="36" t="s">
        <v>2</v>
      </c>
      <c r="F4602" s="36">
        <v>1</v>
      </c>
      <c r="G4602" s="36">
        <v>2</v>
      </c>
      <c r="H4602" s="36">
        <v>0</v>
      </c>
      <c r="I4602" s="37">
        <v>0</v>
      </c>
      <c r="J4602" s="36" t="s">
        <v>36190</v>
      </c>
      <c r="K4602" s="36" t="s">
        <v>14330</v>
      </c>
      <c r="L4602" s="36" t="s">
        <v>14330</v>
      </c>
      <c r="M4602">
        <v>3</v>
      </c>
      <c r="N4602" t="s">
        <v>14331</v>
      </c>
      <c r="O4602" t="s">
        <v>14333</v>
      </c>
    </row>
    <row r="4603" spans="1:15" x14ac:dyDescent="0.25">
      <c r="A4603" s="35" t="s">
        <v>8275</v>
      </c>
      <c r="B4603" s="36" t="s">
        <v>8276</v>
      </c>
      <c r="C4603" s="36" t="str">
        <f>HYPERLINK("https://rhld.insurance.arkansas.gov/NPILookup?Npi=1699785899","1699785899")</f>
        <v>1699785899</v>
      </c>
      <c r="D4603" s="36" t="s">
        <v>36873</v>
      </c>
      <c r="E4603" s="36" t="s">
        <v>2</v>
      </c>
      <c r="F4603" s="36">
        <v>1</v>
      </c>
      <c r="G4603" s="36">
        <v>3</v>
      </c>
      <c r="H4603" s="36">
        <v>0</v>
      </c>
      <c r="I4603" s="37">
        <v>0</v>
      </c>
      <c r="J4603" s="36" t="s">
        <v>36190</v>
      </c>
      <c r="K4603" s="36" t="s">
        <v>14330</v>
      </c>
      <c r="L4603" s="36" t="s">
        <v>14330</v>
      </c>
      <c r="M4603">
        <v>3</v>
      </c>
      <c r="N4603" t="s">
        <v>14331</v>
      </c>
      <c r="O4603" t="s">
        <v>14333</v>
      </c>
    </row>
    <row r="4604" spans="1:15" x14ac:dyDescent="0.25">
      <c r="A4604" s="35" t="s">
        <v>8275</v>
      </c>
      <c r="B4604" s="36" t="s">
        <v>8276</v>
      </c>
      <c r="C4604" s="36" t="str">
        <f>HYPERLINK("https://rhld.insurance.arkansas.gov/NPILookup?Npi=1699796284","1699796284")</f>
        <v>1699796284</v>
      </c>
      <c r="D4604" s="36" t="s">
        <v>36874</v>
      </c>
      <c r="E4604" s="36" t="s">
        <v>2</v>
      </c>
      <c r="F4604" s="36">
        <v>1</v>
      </c>
      <c r="G4604" s="36">
        <v>3</v>
      </c>
      <c r="H4604" s="36">
        <v>0</v>
      </c>
      <c r="I4604" s="37">
        <v>0</v>
      </c>
      <c r="J4604" s="36" t="s">
        <v>36190</v>
      </c>
      <c r="K4604" s="36" t="s">
        <v>14330</v>
      </c>
      <c r="L4604" s="36" t="s">
        <v>14330</v>
      </c>
      <c r="M4604">
        <v>2</v>
      </c>
      <c r="N4604" t="s">
        <v>14331</v>
      </c>
      <c r="O4604" t="s">
        <v>14333</v>
      </c>
    </row>
    <row r="4605" spans="1:15" x14ac:dyDescent="0.25">
      <c r="A4605" s="35" t="s">
        <v>8275</v>
      </c>
      <c r="B4605" s="36" t="s">
        <v>8276</v>
      </c>
      <c r="C4605" s="36" t="str">
        <f>HYPERLINK("https://rhld.insurance.arkansas.gov/NPILookup?Npi=1699981894","1699981894")</f>
        <v>1699981894</v>
      </c>
      <c r="D4605" s="36" t="s">
        <v>36875</v>
      </c>
      <c r="E4605" s="36" t="s">
        <v>2</v>
      </c>
      <c r="F4605" s="36">
        <v>1</v>
      </c>
      <c r="G4605" s="36">
        <v>2</v>
      </c>
      <c r="H4605" s="36">
        <v>0</v>
      </c>
      <c r="I4605" s="37">
        <v>0</v>
      </c>
      <c r="J4605" s="36" t="s">
        <v>36190</v>
      </c>
      <c r="K4605" s="36" t="s">
        <v>14330</v>
      </c>
      <c r="L4605" s="36" t="s">
        <v>14330</v>
      </c>
      <c r="M4605">
        <v>3</v>
      </c>
      <c r="N4605" t="s">
        <v>14331</v>
      </c>
      <c r="O4605" t="s">
        <v>14333</v>
      </c>
    </row>
    <row r="4606" spans="1:15" x14ac:dyDescent="0.25">
      <c r="A4606" s="35" t="s">
        <v>8275</v>
      </c>
      <c r="B4606" s="36" t="s">
        <v>8276</v>
      </c>
      <c r="C4606" s="36" t="str">
        <f>HYPERLINK("https://rhld.insurance.arkansas.gov/NPILookup?Npi=1700339256","1700339256")</f>
        <v>1700339256</v>
      </c>
      <c r="D4606" s="36" t="s">
        <v>36876</v>
      </c>
      <c r="E4606" s="36" t="s">
        <v>2</v>
      </c>
      <c r="F4606" s="36">
        <v>1</v>
      </c>
      <c r="G4606" s="36">
        <v>3</v>
      </c>
      <c r="H4606" s="36">
        <v>0</v>
      </c>
      <c r="I4606" s="37">
        <v>0</v>
      </c>
      <c r="J4606" s="36" t="s">
        <v>36190</v>
      </c>
      <c r="K4606" s="36" t="s">
        <v>14330</v>
      </c>
      <c r="L4606" s="36" t="s">
        <v>14330</v>
      </c>
      <c r="M4606">
        <v>2</v>
      </c>
      <c r="N4606" t="s">
        <v>14331</v>
      </c>
      <c r="O4606" t="s">
        <v>14333</v>
      </c>
    </row>
    <row r="4607" spans="1:15" x14ac:dyDescent="0.25">
      <c r="A4607" s="35" t="s">
        <v>8275</v>
      </c>
      <c r="B4607" s="36" t="s">
        <v>8276</v>
      </c>
      <c r="C4607" s="36" t="str">
        <f>HYPERLINK("https://rhld.insurance.arkansas.gov/NPILookup?Npi=1700405206","1700405206")</f>
        <v>1700405206</v>
      </c>
      <c r="D4607" s="36" t="s">
        <v>36877</v>
      </c>
      <c r="E4607" s="36" t="s">
        <v>2</v>
      </c>
      <c r="F4607" s="36">
        <v>1</v>
      </c>
      <c r="G4607" s="36">
        <v>2</v>
      </c>
      <c r="H4607" s="36">
        <v>0</v>
      </c>
      <c r="I4607" s="37">
        <v>0</v>
      </c>
      <c r="J4607" s="36"/>
      <c r="K4607" s="36" t="s">
        <v>14330</v>
      </c>
      <c r="L4607" s="36" t="s">
        <v>14330</v>
      </c>
      <c r="M4607">
        <v>2</v>
      </c>
      <c r="N4607" t="s">
        <v>14331</v>
      </c>
      <c r="O4607" t="s">
        <v>14333</v>
      </c>
    </row>
    <row r="4608" spans="1:15" x14ac:dyDescent="0.25">
      <c r="A4608" s="35" t="s">
        <v>8275</v>
      </c>
      <c r="B4608" s="36" t="s">
        <v>8276</v>
      </c>
      <c r="C4608" s="36" t="str">
        <f>HYPERLINK("https://rhld.insurance.arkansas.gov/NPILookup?Npi=1700417961","1700417961")</f>
        <v>1700417961</v>
      </c>
      <c r="D4608" s="36" t="s">
        <v>36878</v>
      </c>
      <c r="E4608" s="36" t="s">
        <v>2</v>
      </c>
      <c r="F4608" s="36">
        <v>1</v>
      </c>
      <c r="G4608" s="36">
        <v>2</v>
      </c>
      <c r="H4608" s="36">
        <v>0</v>
      </c>
      <c r="I4608" s="37">
        <v>0</v>
      </c>
      <c r="J4608" s="36" t="s">
        <v>36190</v>
      </c>
      <c r="K4608" s="36" t="s">
        <v>14330</v>
      </c>
      <c r="L4608" s="36" t="s">
        <v>14330</v>
      </c>
      <c r="M4608">
        <v>1</v>
      </c>
      <c r="N4608" t="s">
        <v>14331</v>
      </c>
      <c r="O4608" t="s">
        <v>14333</v>
      </c>
    </row>
    <row r="4609" spans="1:15" x14ac:dyDescent="0.25">
      <c r="A4609" s="35" t="s">
        <v>8275</v>
      </c>
      <c r="B4609" s="36" t="s">
        <v>8276</v>
      </c>
      <c r="C4609" s="36" t="str">
        <f>HYPERLINK("https://rhld.insurance.arkansas.gov/NPILookup?Npi=1700467982","1700467982")</f>
        <v>1700467982</v>
      </c>
      <c r="D4609" s="36" t="s">
        <v>36879</v>
      </c>
      <c r="E4609" s="36" t="s">
        <v>2</v>
      </c>
      <c r="F4609" s="36">
        <v>1</v>
      </c>
      <c r="G4609" s="36">
        <v>1</v>
      </c>
      <c r="H4609" s="36">
        <v>0</v>
      </c>
      <c r="I4609" s="37">
        <v>0</v>
      </c>
      <c r="J4609" s="36"/>
      <c r="K4609" s="36" t="s">
        <v>14330</v>
      </c>
      <c r="L4609" s="36" t="s">
        <v>14330</v>
      </c>
      <c r="M4609">
        <v>3</v>
      </c>
      <c r="N4609" t="s">
        <v>14331</v>
      </c>
      <c r="O4609" t="s">
        <v>32633</v>
      </c>
    </row>
    <row r="4610" spans="1:15" x14ac:dyDescent="0.25">
      <c r="A4610" s="35" t="s">
        <v>8275</v>
      </c>
      <c r="B4610" s="36" t="s">
        <v>8276</v>
      </c>
      <c r="C4610" s="36" t="str">
        <f>HYPERLINK("https://rhld.insurance.arkansas.gov/NPILookup?Npi=1700471612","1700471612")</f>
        <v>1700471612</v>
      </c>
      <c r="D4610" s="36" t="s">
        <v>36880</v>
      </c>
      <c r="E4610" s="36" t="s">
        <v>2</v>
      </c>
      <c r="F4610" s="36">
        <v>1</v>
      </c>
      <c r="G4610" s="36">
        <v>3</v>
      </c>
      <c r="H4610" s="36">
        <v>0</v>
      </c>
      <c r="I4610" s="37">
        <v>0</v>
      </c>
      <c r="J4610" s="36" t="s">
        <v>36190</v>
      </c>
      <c r="K4610" s="36" t="s">
        <v>14330</v>
      </c>
      <c r="L4610" s="36" t="s">
        <v>14330</v>
      </c>
      <c r="M4610">
        <v>2</v>
      </c>
      <c r="N4610" t="s">
        <v>14331</v>
      </c>
      <c r="O4610" t="s">
        <v>14333</v>
      </c>
    </row>
    <row r="4611" spans="1:15" x14ac:dyDescent="0.25">
      <c r="A4611" s="35" t="s">
        <v>8275</v>
      </c>
      <c r="B4611" s="36" t="s">
        <v>8276</v>
      </c>
      <c r="C4611" s="36" t="str">
        <f>HYPERLINK("https://rhld.insurance.arkansas.gov/NPILookup?Npi=1700487493","1700487493")</f>
        <v>1700487493</v>
      </c>
      <c r="D4611" s="36" t="s">
        <v>36881</v>
      </c>
      <c r="E4611" s="36" t="s">
        <v>2</v>
      </c>
      <c r="F4611" s="36">
        <v>1</v>
      </c>
      <c r="G4611" s="36">
        <v>2</v>
      </c>
      <c r="H4611" s="36">
        <v>0</v>
      </c>
      <c r="I4611" s="37">
        <v>0</v>
      </c>
      <c r="J4611" s="36" t="s">
        <v>36190</v>
      </c>
      <c r="K4611" s="36" t="s">
        <v>14330</v>
      </c>
      <c r="L4611" s="36" t="s">
        <v>14330</v>
      </c>
      <c r="M4611">
        <v>2</v>
      </c>
      <c r="N4611" t="s">
        <v>14331</v>
      </c>
      <c r="O4611" t="s">
        <v>14333</v>
      </c>
    </row>
    <row r="4612" spans="1:15" x14ac:dyDescent="0.25">
      <c r="A4612" s="35" t="s">
        <v>8275</v>
      </c>
      <c r="B4612" s="36" t="s">
        <v>8276</v>
      </c>
      <c r="C4612" s="36" t="str">
        <f>HYPERLINK("https://rhld.insurance.arkansas.gov/NPILookup?Npi=1700563756","1700563756")</f>
        <v>1700563756</v>
      </c>
      <c r="D4612" s="36" t="s">
        <v>36882</v>
      </c>
      <c r="E4612" s="36" t="s">
        <v>2</v>
      </c>
      <c r="F4612" s="36">
        <v>1</v>
      </c>
      <c r="G4612" s="36">
        <v>2</v>
      </c>
      <c r="H4612" s="36">
        <v>0</v>
      </c>
      <c r="I4612" s="37">
        <v>0</v>
      </c>
      <c r="J4612" s="36" t="s">
        <v>36190</v>
      </c>
      <c r="K4612" s="36" t="s">
        <v>14330</v>
      </c>
      <c r="L4612" s="36" t="s">
        <v>14330</v>
      </c>
      <c r="M4612">
        <v>3</v>
      </c>
      <c r="N4612" t="s">
        <v>14331</v>
      </c>
      <c r="O4612" t="s">
        <v>14333</v>
      </c>
    </row>
    <row r="4613" spans="1:15" x14ac:dyDescent="0.25">
      <c r="A4613" s="35" t="s">
        <v>8275</v>
      </c>
      <c r="B4613" s="36" t="s">
        <v>8276</v>
      </c>
      <c r="C4613" s="36" t="str">
        <f>HYPERLINK("https://rhld.insurance.arkansas.gov/NPILookup?Npi=1700655321","1700655321")</f>
        <v>1700655321</v>
      </c>
      <c r="D4613" s="36" t="s">
        <v>36883</v>
      </c>
      <c r="E4613" s="36" t="s">
        <v>2</v>
      </c>
      <c r="F4613" s="36">
        <v>1</v>
      </c>
      <c r="G4613" s="36">
        <v>3</v>
      </c>
      <c r="H4613" s="36">
        <v>0</v>
      </c>
      <c r="I4613" s="37">
        <v>0</v>
      </c>
      <c r="J4613" s="36" t="s">
        <v>36190</v>
      </c>
      <c r="K4613" s="36" t="s">
        <v>14330</v>
      </c>
      <c r="L4613" s="36" t="s">
        <v>14330</v>
      </c>
      <c r="M4613">
        <v>1</v>
      </c>
      <c r="N4613" t="s">
        <v>14331</v>
      </c>
      <c r="O4613" t="s">
        <v>14333</v>
      </c>
    </row>
    <row r="4614" spans="1:15" x14ac:dyDescent="0.25">
      <c r="A4614" s="35" t="s">
        <v>8275</v>
      </c>
      <c r="B4614" s="36" t="s">
        <v>8276</v>
      </c>
      <c r="C4614" s="36" t="str">
        <f>HYPERLINK("https://rhld.insurance.arkansas.gov/NPILookup?Npi=1700692183","1700692183")</f>
        <v>1700692183</v>
      </c>
      <c r="D4614" s="36" t="s">
        <v>34411</v>
      </c>
      <c r="E4614" s="36" t="s">
        <v>2</v>
      </c>
      <c r="F4614" s="36">
        <v>1</v>
      </c>
      <c r="G4614" s="36">
        <v>1</v>
      </c>
      <c r="H4614" s="36">
        <v>0</v>
      </c>
      <c r="I4614" s="37">
        <v>0</v>
      </c>
      <c r="J4614" s="36"/>
      <c r="K4614" s="36" t="s">
        <v>14330</v>
      </c>
      <c r="L4614" s="36" t="s">
        <v>14330</v>
      </c>
      <c r="M4614">
        <v>1</v>
      </c>
      <c r="N4614" t="s">
        <v>14331</v>
      </c>
      <c r="O4614" t="s">
        <v>32633</v>
      </c>
    </row>
    <row r="4615" spans="1:15" x14ac:dyDescent="0.25">
      <c r="A4615" s="35" t="s">
        <v>8275</v>
      </c>
      <c r="B4615" s="36" t="s">
        <v>8276</v>
      </c>
      <c r="C4615" s="36" t="str">
        <f>HYPERLINK("https://rhld.insurance.arkansas.gov/NPILookup?Npi=1700822368","1700822368")</f>
        <v>1700822368</v>
      </c>
      <c r="D4615" s="36" t="s">
        <v>35800</v>
      </c>
      <c r="E4615" s="36" t="s">
        <v>2</v>
      </c>
      <c r="F4615" s="36">
        <v>1</v>
      </c>
      <c r="G4615" s="36">
        <v>1</v>
      </c>
      <c r="H4615" s="36">
        <v>0</v>
      </c>
      <c r="I4615" s="37">
        <v>0</v>
      </c>
      <c r="J4615" s="36"/>
      <c r="K4615" s="36" t="s">
        <v>14330</v>
      </c>
      <c r="L4615" s="36" t="s">
        <v>14330</v>
      </c>
      <c r="M4615">
        <v>2</v>
      </c>
      <c r="N4615" t="s">
        <v>14331</v>
      </c>
      <c r="O4615" t="s">
        <v>32633</v>
      </c>
    </row>
    <row r="4616" spans="1:15" x14ac:dyDescent="0.25">
      <c r="A4616" s="35" t="s">
        <v>8275</v>
      </c>
      <c r="B4616" s="36" t="s">
        <v>8276</v>
      </c>
      <c r="C4616" s="36" t="str">
        <f>HYPERLINK("https://rhld.insurance.arkansas.gov/NPILookup?Npi=1700855921","1700855921")</f>
        <v>1700855921</v>
      </c>
      <c r="D4616" s="36" t="s">
        <v>35802</v>
      </c>
      <c r="E4616" s="36" t="s">
        <v>1</v>
      </c>
      <c r="F4616" s="36">
        <v>2</v>
      </c>
      <c r="G4616" s="36">
        <v>2</v>
      </c>
      <c r="H4616" s="36">
        <v>0</v>
      </c>
      <c r="I4616" s="37">
        <v>0</v>
      </c>
      <c r="J4616" s="36" t="s">
        <v>36884</v>
      </c>
      <c r="K4616" s="36" t="s">
        <v>14330</v>
      </c>
      <c r="L4616" s="36" t="s">
        <v>14330</v>
      </c>
      <c r="M4616">
        <v>3</v>
      </c>
      <c r="N4616" t="s">
        <v>14331</v>
      </c>
      <c r="O4616" t="s">
        <v>32633</v>
      </c>
    </row>
    <row r="4617" spans="1:15" x14ac:dyDescent="0.25">
      <c r="A4617" s="35" t="s">
        <v>8275</v>
      </c>
      <c r="B4617" s="36" t="s">
        <v>8276</v>
      </c>
      <c r="C4617" s="36" t="str">
        <f>HYPERLINK("https://rhld.insurance.arkansas.gov/NPILookup?Npi=1700892734","1700892734")</f>
        <v>1700892734</v>
      </c>
      <c r="D4617" s="36" t="s">
        <v>36885</v>
      </c>
      <c r="E4617" s="36" t="s">
        <v>2</v>
      </c>
      <c r="F4617" s="36">
        <v>1</v>
      </c>
      <c r="G4617" s="36">
        <v>3</v>
      </c>
      <c r="H4617" s="36">
        <v>0</v>
      </c>
      <c r="I4617" s="37">
        <v>0</v>
      </c>
      <c r="J4617" s="36" t="s">
        <v>36190</v>
      </c>
      <c r="K4617" s="36" t="s">
        <v>14330</v>
      </c>
      <c r="L4617" s="36" t="s">
        <v>14330</v>
      </c>
      <c r="M4617">
        <v>2</v>
      </c>
      <c r="N4617" t="s">
        <v>14331</v>
      </c>
      <c r="O4617" t="s">
        <v>14333</v>
      </c>
    </row>
    <row r="4618" spans="1:15" x14ac:dyDescent="0.25">
      <c r="A4618" s="35" t="s">
        <v>8275</v>
      </c>
      <c r="B4618" s="36" t="s">
        <v>8276</v>
      </c>
      <c r="C4618" s="36" t="str">
        <f>HYPERLINK("https://rhld.insurance.arkansas.gov/NPILookup?Npi=1710053327","1710053327")</f>
        <v>1710053327</v>
      </c>
      <c r="D4618" s="36" t="s">
        <v>35804</v>
      </c>
      <c r="E4618" s="36" t="s">
        <v>1</v>
      </c>
      <c r="F4618" s="36">
        <v>1</v>
      </c>
      <c r="G4618" s="36">
        <v>2</v>
      </c>
      <c r="H4618" s="36">
        <v>0</v>
      </c>
      <c r="I4618" s="37">
        <v>0</v>
      </c>
      <c r="J4618" s="36" t="s">
        <v>32654</v>
      </c>
      <c r="K4618" s="36" t="s">
        <v>14330</v>
      </c>
      <c r="L4618" s="36" t="s">
        <v>14330</v>
      </c>
      <c r="M4618">
        <v>3</v>
      </c>
      <c r="N4618" t="s">
        <v>14331</v>
      </c>
      <c r="O4618" t="s">
        <v>32633</v>
      </c>
    </row>
    <row r="4619" spans="1:15" x14ac:dyDescent="0.25">
      <c r="A4619" s="35" t="s">
        <v>8275</v>
      </c>
      <c r="B4619" s="36" t="s">
        <v>8276</v>
      </c>
      <c r="C4619" s="36" t="str">
        <f>HYPERLINK("https://rhld.insurance.arkansas.gov/NPILookup?Npi=1710142864","1710142864")</f>
        <v>1710142864</v>
      </c>
      <c r="D4619" s="36" t="s">
        <v>36886</v>
      </c>
      <c r="E4619" s="36" t="s">
        <v>2</v>
      </c>
      <c r="F4619" s="36">
        <v>1</v>
      </c>
      <c r="G4619" s="36">
        <v>3</v>
      </c>
      <c r="H4619" s="36">
        <v>0</v>
      </c>
      <c r="I4619" s="37">
        <v>0</v>
      </c>
      <c r="J4619" s="36" t="s">
        <v>36190</v>
      </c>
      <c r="K4619" s="36" t="s">
        <v>14330</v>
      </c>
      <c r="L4619" s="36" t="s">
        <v>14330</v>
      </c>
      <c r="M4619">
        <v>2</v>
      </c>
      <c r="N4619" t="s">
        <v>14331</v>
      </c>
      <c r="O4619" t="s">
        <v>14333</v>
      </c>
    </row>
    <row r="4620" spans="1:15" x14ac:dyDescent="0.25">
      <c r="A4620" s="35" t="s">
        <v>8275</v>
      </c>
      <c r="B4620" s="36" t="s">
        <v>8276</v>
      </c>
      <c r="C4620" s="36" t="str">
        <f>HYPERLINK("https://rhld.insurance.arkansas.gov/NPILookup?Npi=1710220959","1710220959")</f>
        <v>1710220959</v>
      </c>
      <c r="D4620" s="36" t="s">
        <v>36887</v>
      </c>
      <c r="E4620" s="36" t="s">
        <v>2</v>
      </c>
      <c r="F4620" s="36">
        <v>1</v>
      </c>
      <c r="G4620" s="36">
        <v>2</v>
      </c>
      <c r="H4620" s="36">
        <v>0</v>
      </c>
      <c r="I4620" s="37">
        <v>0</v>
      </c>
      <c r="J4620" s="36" t="s">
        <v>36190</v>
      </c>
      <c r="K4620" s="36" t="s">
        <v>14330</v>
      </c>
      <c r="L4620" s="36" t="s">
        <v>14330</v>
      </c>
      <c r="M4620">
        <v>2</v>
      </c>
      <c r="N4620" t="s">
        <v>14331</v>
      </c>
      <c r="O4620" t="s">
        <v>14333</v>
      </c>
    </row>
    <row r="4621" spans="1:15" x14ac:dyDescent="0.25">
      <c r="A4621" s="35" t="s">
        <v>8275</v>
      </c>
      <c r="B4621" s="36" t="s">
        <v>8276</v>
      </c>
      <c r="C4621" s="36" t="str">
        <f>HYPERLINK("https://rhld.insurance.arkansas.gov/NPILookup?Npi=1710234737","1710234737")</f>
        <v>1710234737</v>
      </c>
      <c r="D4621" s="36" t="s">
        <v>35806</v>
      </c>
      <c r="E4621" s="36" t="s">
        <v>2</v>
      </c>
      <c r="F4621" s="36">
        <v>1</v>
      </c>
      <c r="G4621" s="36">
        <v>2</v>
      </c>
      <c r="H4621" s="36">
        <v>0</v>
      </c>
      <c r="I4621" s="37">
        <v>0</v>
      </c>
      <c r="J4621" s="36"/>
      <c r="K4621" s="36" t="s">
        <v>14330</v>
      </c>
      <c r="L4621" s="36" t="s">
        <v>14330</v>
      </c>
      <c r="M4621">
        <v>1</v>
      </c>
      <c r="N4621" t="s">
        <v>14331</v>
      </c>
      <c r="O4621" t="s">
        <v>14333</v>
      </c>
    </row>
    <row r="4622" spans="1:15" x14ac:dyDescent="0.25">
      <c r="A4622" s="35" t="s">
        <v>8275</v>
      </c>
      <c r="B4622" s="36" t="s">
        <v>8276</v>
      </c>
      <c r="C4622" s="36" t="str">
        <f>HYPERLINK("https://rhld.insurance.arkansas.gov/NPILookup?Npi=1710295464","1710295464")</f>
        <v>1710295464</v>
      </c>
      <c r="D4622" s="36" t="s">
        <v>35808</v>
      </c>
      <c r="E4622" s="36" t="s">
        <v>2</v>
      </c>
      <c r="F4622" s="36">
        <v>1</v>
      </c>
      <c r="G4622" s="36">
        <v>1</v>
      </c>
      <c r="H4622" s="36">
        <v>0</v>
      </c>
      <c r="I4622" s="37">
        <v>0</v>
      </c>
      <c r="J4622" s="36"/>
      <c r="K4622" s="36" t="s">
        <v>14330</v>
      </c>
      <c r="L4622" s="36" t="s">
        <v>14330</v>
      </c>
      <c r="M4622">
        <v>2</v>
      </c>
      <c r="N4622" t="s">
        <v>14331</v>
      </c>
      <c r="O4622" t="s">
        <v>32633</v>
      </c>
    </row>
    <row r="4623" spans="1:15" x14ac:dyDescent="0.25">
      <c r="A4623" s="35" t="s">
        <v>8275</v>
      </c>
      <c r="B4623" s="36" t="s">
        <v>8276</v>
      </c>
      <c r="C4623" s="36" t="str">
        <f>HYPERLINK("https://rhld.insurance.arkansas.gov/NPILookup?Npi=1710306089","1710306089")</f>
        <v>1710306089</v>
      </c>
      <c r="D4623" s="36" t="s">
        <v>36888</v>
      </c>
      <c r="E4623" s="36" t="s">
        <v>2</v>
      </c>
      <c r="F4623" s="36">
        <v>1</v>
      </c>
      <c r="G4623" s="36">
        <v>2</v>
      </c>
      <c r="H4623" s="36">
        <v>0</v>
      </c>
      <c r="I4623" s="37">
        <v>0</v>
      </c>
      <c r="J4623" s="36" t="s">
        <v>36190</v>
      </c>
      <c r="K4623" s="36" t="s">
        <v>14330</v>
      </c>
      <c r="L4623" s="36" t="s">
        <v>14330</v>
      </c>
      <c r="M4623">
        <v>3</v>
      </c>
      <c r="N4623" t="s">
        <v>14331</v>
      </c>
      <c r="O4623" t="s">
        <v>14333</v>
      </c>
    </row>
    <row r="4624" spans="1:15" x14ac:dyDescent="0.25">
      <c r="A4624" s="35" t="s">
        <v>8275</v>
      </c>
      <c r="B4624" s="36" t="s">
        <v>8276</v>
      </c>
      <c r="C4624" s="36" t="str">
        <f>HYPERLINK("https://rhld.insurance.arkansas.gov/NPILookup?Npi=1710324116","1710324116")</f>
        <v>1710324116</v>
      </c>
      <c r="D4624" s="36" t="s">
        <v>36889</v>
      </c>
      <c r="E4624" s="36" t="s">
        <v>2</v>
      </c>
      <c r="F4624" s="36">
        <v>1</v>
      </c>
      <c r="G4624" s="36">
        <v>3</v>
      </c>
      <c r="H4624" s="36">
        <v>0</v>
      </c>
      <c r="I4624" s="37">
        <v>0</v>
      </c>
      <c r="J4624" s="36" t="s">
        <v>36190</v>
      </c>
      <c r="K4624" s="36" t="s">
        <v>14330</v>
      </c>
      <c r="L4624" s="36" t="s">
        <v>14330</v>
      </c>
      <c r="M4624">
        <v>2</v>
      </c>
      <c r="N4624" t="s">
        <v>14331</v>
      </c>
      <c r="O4624" t="s">
        <v>14333</v>
      </c>
    </row>
    <row r="4625" spans="1:15" x14ac:dyDescent="0.25">
      <c r="A4625" s="35" t="s">
        <v>8275</v>
      </c>
      <c r="B4625" s="36" t="s">
        <v>8276</v>
      </c>
      <c r="C4625" s="36" t="str">
        <f>HYPERLINK("https://rhld.insurance.arkansas.gov/NPILookup?Npi=1710409883","1710409883")</f>
        <v>1710409883</v>
      </c>
      <c r="D4625" s="36" t="s">
        <v>36890</v>
      </c>
      <c r="E4625" s="36" t="s">
        <v>2</v>
      </c>
      <c r="F4625" s="36">
        <v>1</v>
      </c>
      <c r="G4625" s="36">
        <v>2</v>
      </c>
      <c r="H4625" s="36">
        <v>0</v>
      </c>
      <c r="I4625" s="37">
        <v>0</v>
      </c>
      <c r="J4625" s="36" t="s">
        <v>36190</v>
      </c>
      <c r="K4625" s="36" t="s">
        <v>14330</v>
      </c>
      <c r="L4625" s="36" t="s">
        <v>14330</v>
      </c>
      <c r="M4625">
        <v>3</v>
      </c>
      <c r="N4625" t="s">
        <v>14331</v>
      </c>
      <c r="O4625" t="s">
        <v>14333</v>
      </c>
    </row>
    <row r="4626" spans="1:15" x14ac:dyDescent="0.25">
      <c r="A4626" s="35" t="s">
        <v>8275</v>
      </c>
      <c r="B4626" s="36" t="s">
        <v>8276</v>
      </c>
      <c r="C4626" s="36" t="str">
        <f>HYPERLINK("https://rhld.insurance.arkansas.gov/NPILookup?Npi=1710515366","1710515366")</f>
        <v>1710515366</v>
      </c>
      <c r="D4626" s="36" t="s">
        <v>36891</v>
      </c>
      <c r="E4626" s="36" t="s">
        <v>2</v>
      </c>
      <c r="F4626" s="36">
        <v>1</v>
      </c>
      <c r="G4626" s="36">
        <v>3</v>
      </c>
      <c r="H4626" s="36">
        <v>0</v>
      </c>
      <c r="I4626" s="37">
        <v>0</v>
      </c>
      <c r="J4626" s="36" t="s">
        <v>36190</v>
      </c>
      <c r="K4626" s="36" t="s">
        <v>14330</v>
      </c>
      <c r="L4626" s="36" t="s">
        <v>14330</v>
      </c>
      <c r="M4626">
        <v>2</v>
      </c>
      <c r="N4626" t="s">
        <v>14331</v>
      </c>
      <c r="O4626" t="s">
        <v>14333</v>
      </c>
    </row>
    <row r="4627" spans="1:15" x14ac:dyDescent="0.25">
      <c r="A4627" s="35" t="s">
        <v>8275</v>
      </c>
      <c r="B4627" s="36" t="s">
        <v>8276</v>
      </c>
      <c r="C4627" s="36" t="str">
        <f>HYPERLINK("https://rhld.insurance.arkansas.gov/NPILookup?Npi=1710519673","1710519673")</f>
        <v>1710519673</v>
      </c>
      <c r="D4627" s="36" t="s">
        <v>36892</v>
      </c>
      <c r="E4627" s="36" t="s">
        <v>2</v>
      </c>
      <c r="F4627" s="36">
        <v>1</v>
      </c>
      <c r="G4627" s="36">
        <v>2</v>
      </c>
      <c r="H4627" s="36">
        <v>0</v>
      </c>
      <c r="I4627" s="37">
        <v>0</v>
      </c>
      <c r="J4627" s="36" t="s">
        <v>36190</v>
      </c>
      <c r="K4627" s="36" t="s">
        <v>14330</v>
      </c>
      <c r="L4627" s="36" t="s">
        <v>14330</v>
      </c>
      <c r="M4627">
        <v>2</v>
      </c>
      <c r="N4627" t="s">
        <v>14331</v>
      </c>
      <c r="O4627" t="s">
        <v>14333</v>
      </c>
    </row>
    <row r="4628" spans="1:15" x14ac:dyDescent="0.25">
      <c r="A4628" s="35" t="s">
        <v>8275</v>
      </c>
      <c r="B4628" s="36" t="s">
        <v>8276</v>
      </c>
      <c r="C4628" s="36" t="str">
        <f>HYPERLINK("https://rhld.insurance.arkansas.gov/NPILookup?Npi=1710619085","1710619085")</f>
        <v>1710619085</v>
      </c>
      <c r="D4628" s="36" t="s">
        <v>33677</v>
      </c>
      <c r="E4628" s="36" t="s">
        <v>2</v>
      </c>
      <c r="F4628" s="36">
        <v>1</v>
      </c>
      <c r="G4628" s="36">
        <v>2</v>
      </c>
      <c r="H4628" s="36">
        <v>0</v>
      </c>
      <c r="I4628" s="37">
        <v>0</v>
      </c>
      <c r="J4628" s="36"/>
      <c r="K4628" s="36" t="s">
        <v>14330</v>
      </c>
      <c r="L4628" s="36" t="s">
        <v>14330</v>
      </c>
      <c r="M4628">
        <v>3</v>
      </c>
      <c r="N4628" t="s">
        <v>14331</v>
      </c>
      <c r="O4628" t="s">
        <v>14333</v>
      </c>
    </row>
    <row r="4629" spans="1:15" x14ac:dyDescent="0.25">
      <c r="A4629" s="35" t="s">
        <v>8275</v>
      </c>
      <c r="B4629" s="36" t="s">
        <v>8276</v>
      </c>
      <c r="C4629" s="36" t="str">
        <f>HYPERLINK("https://rhld.insurance.arkansas.gov/NPILookup?Npi=1710648050","1710648050")</f>
        <v>1710648050</v>
      </c>
      <c r="D4629" s="36" t="s">
        <v>36893</v>
      </c>
      <c r="E4629" s="36" t="s">
        <v>2</v>
      </c>
      <c r="F4629" s="36">
        <v>1</v>
      </c>
      <c r="G4629" s="36">
        <v>3</v>
      </c>
      <c r="H4629" s="36">
        <v>0</v>
      </c>
      <c r="I4629" s="37">
        <v>0</v>
      </c>
      <c r="J4629" s="36" t="s">
        <v>36190</v>
      </c>
      <c r="K4629" s="36" t="s">
        <v>14330</v>
      </c>
      <c r="L4629" s="36" t="s">
        <v>14330</v>
      </c>
      <c r="M4629">
        <v>1</v>
      </c>
      <c r="N4629" t="s">
        <v>14331</v>
      </c>
      <c r="O4629" t="s">
        <v>14333</v>
      </c>
    </row>
    <row r="4630" spans="1:15" x14ac:dyDescent="0.25">
      <c r="A4630" s="35" t="s">
        <v>8275</v>
      </c>
      <c r="B4630" s="36" t="s">
        <v>8276</v>
      </c>
      <c r="C4630" s="36" t="str">
        <f>HYPERLINK("https://rhld.insurance.arkansas.gov/NPILookup?Npi=1710706692","1710706692")</f>
        <v>1710706692</v>
      </c>
      <c r="D4630" s="36" t="s">
        <v>35816</v>
      </c>
      <c r="E4630" s="36" t="s">
        <v>2</v>
      </c>
      <c r="F4630" s="36">
        <v>1</v>
      </c>
      <c r="G4630" s="36">
        <v>1</v>
      </c>
      <c r="H4630" s="36">
        <v>0</v>
      </c>
      <c r="I4630" s="37">
        <v>0</v>
      </c>
      <c r="J4630" s="36"/>
      <c r="K4630" s="36" t="s">
        <v>14330</v>
      </c>
      <c r="L4630" s="36" t="s">
        <v>14330</v>
      </c>
      <c r="M4630">
        <v>2</v>
      </c>
      <c r="N4630" t="s">
        <v>14331</v>
      </c>
      <c r="O4630" t="s">
        <v>32633</v>
      </c>
    </row>
    <row r="4631" spans="1:15" x14ac:dyDescent="0.25">
      <c r="A4631" s="35" t="s">
        <v>8275</v>
      </c>
      <c r="B4631" s="36" t="s">
        <v>8276</v>
      </c>
      <c r="C4631" s="36" t="str">
        <f>HYPERLINK("https://rhld.insurance.arkansas.gov/NPILookup?Npi=1710943659","1710943659")</f>
        <v>1710943659</v>
      </c>
      <c r="D4631" s="36" t="s">
        <v>36894</v>
      </c>
      <c r="E4631" s="36" t="s">
        <v>2</v>
      </c>
      <c r="F4631" s="36">
        <v>1</v>
      </c>
      <c r="G4631" s="36">
        <v>2</v>
      </c>
      <c r="H4631" s="36">
        <v>0</v>
      </c>
      <c r="I4631" s="37">
        <v>0</v>
      </c>
      <c r="J4631" s="36" t="s">
        <v>36190</v>
      </c>
      <c r="K4631" s="36" t="s">
        <v>14330</v>
      </c>
      <c r="L4631" s="36" t="s">
        <v>14330</v>
      </c>
      <c r="M4631">
        <v>3</v>
      </c>
      <c r="N4631" t="s">
        <v>14331</v>
      </c>
      <c r="O4631" t="s">
        <v>14333</v>
      </c>
    </row>
    <row r="4632" spans="1:15" x14ac:dyDescent="0.25">
      <c r="A4632" s="35" t="s">
        <v>8275</v>
      </c>
      <c r="B4632" s="36" t="s">
        <v>8276</v>
      </c>
      <c r="C4632" s="36" t="str">
        <f>HYPERLINK("https://rhld.insurance.arkansas.gov/NPILookup?Npi=1710982871","1710982871")</f>
        <v>1710982871</v>
      </c>
      <c r="D4632" s="36" t="s">
        <v>33343</v>
      </c>
      <c r="E4632" s="36" t="s">
        <v>1</v>
      </c>
      <c r="F4632" s="36">
        <v>2</v>
      </c>
      <c r="G4632" s="36">
        <v>3</v>
      </c>
      <c r="H4632" s="36">
        <v>0</v>
      </c>
      <c r="I4632" s="37">
        <v>0</v>
      </c>
      <c r="J4632" s="36" t="s">
        <v>36895</v>
      </c>
      <c r="K4632" s="36" t="s">
        <v>14330</v>
      </c>
      <c r="L4632" s="36" t="s">
        <v>14330</v>
      </c>
      <c r="M4632">
        <v>3</v>
      </c>
      <c r="N4632" t="s">
        <v>14331</v>
      </c>
      <c r="O4632" t="s">
        <v>32633</v>
      </c>
    </row>
    <row r="4633" spans="1:15" x14ac:dyDescent="0.25">
      <c r="A4633" s="35" t="s">
        <v>8275</v>
      </c>
      <c r="B4633" s="36" t="s">
        <v>8276</v>
      </c>
      <c r="C4633" s="36" t="str">
        <f>HYPERLINK("https://rhld.insurance.arkansas.gov/NPILookup?Npi=1720003247","1720003247")</f>
        <v>1720003247</v>
      </c>
      <c r="D4633" s="36" t="s">
        <v>36896</v>
      </c>
      <c r="E4633" s="36" t="s">
        <v>2</v>
      </c>
      <c r="F4633" s="36">
        <v>1</v>
      </c>
      <c r="G4633" s="36">
        <v>3</v>
      </c>
      <c r="H4633" s="36">
        <v>0</v>
      </c>
      <c r="I4633" s="37">
        <v>0</v>
      </c>
      <c r="J4633" s="36" t="s">
        <v>36190</v>
      </c>
      <c r="K4633" s="36" t="s">
        <v>14330</v>
      </c>
      <c r="L4633" s="36" t="s">
        <v>14330</v>
      </c>
      <c r="M4633">
        <v>3</v>
      </c>
      <c r="N4633" t="s">
        <v>14331</v>
      </c>
      <c r="O4633" t="s">
        <v>14333</v>
      </c>
    </row>
    <row r="4634" spans="1:15" x14ac:dyDescent="0.25">
      <c r="A4634" s="35" t="s">
        <v>8275</v>
      </c>
      <c r="B4634" s="36" t="s">
        <v>8276</v>
      </c>
      <c r="C4634" s="36" t="str">
        <f>HYPERLINK("https://rhld.insurance.arkansas.gov/NPILookup?Npi=1720020662","1720020662")</f>
        <v>1720020662</v>
      </c>
      <c r="D4634" s="36" t="s">
        <v>36897</v>
      </c>
      <c r="E4634" s="36" t="s">
        <v>2</v>
      </c>
      <c r="F4634" s="36">
        <v>1</v>
      </c>
      <c r="G4634" s="36">
        <v>3</v>
      </c>
      <c r="H4634" s="36">
        <v>0</v>
      </c>
      <c r="I4634" s="37">
        <v>0</v>
      </c>
      <c r="J4634" s="36" t="s">
        <v>36190</v>
      </c>
      <c r="K4634" s="36" t="s">
        <v>14330</v>
      </c>
      <c r="L4634" s="36" t="s">
        <v>14330</v>
      </c>
      <c r="M4634">
        <v>3</v>
      </c>
      <c r="N4634" t="s">
        <v>14331</v>
      </c>
      <c r="O4634" t="s">
        <v>14333</v>
      </c>
    </row>
    <row r="4635" spans="1:15" x14ac:dyDescent="0.25">
      <c r="A4635" s="35" t="s">
        <v>8275</v>
      </c>
      <c r="B4635" s="36" t="s">
        <v>8276</v>
      </c>
      <c r="C4635" s="36" t="str">
        <f>HYPERLINK("https://rhld.insurance.arkansas.gov/NPILookup?Npi=1720086952","1720086952")</f>
        <v>1720086952</v>
      </c>
      <c r="D4635" s="36" t="s">
        <v>36898</v>
      </c>
      <c r="E4635" s="36" t="s">
        <v>2</v>
      </c>
      <c r="F4635" s="36">
        <v>1</v>
      </c>
      <c r="G4635" s="36">
        <v>3</v>
      </c>
      <c r="H4635" s="36">
        <v>0</v>
      </c>
      <c r="I4635" s="37">
        <v>0</v>
      </c>
      <c r="J4635" s="36" t="s">
        <v>36190</v>
      </c>
      <c r="K4635" s="36" t="s">
        <v>14330</v>
      </c>
      <c r="L4635" s="36" t="s">
        <v>14330</v>
      </c>
      <c r="M4635">
        <v>3</v>
      </c>
      <c r="N4635" t="s">
        <v>14331</v>
      </c>
      <c r="O4635" t="s">
        <v>14333</v>
      </c>
    </row>
    <row r="4636" spans="1:15" x14ac:dyDescent="0.25">
      <c r="A4636" s="35" t="s">
        <v>8275</v>
      </c>
      <c r="B4636" s="36" t="s">
        <v>8276</v>
      </c>
      <c r="C4636" s="36" t="str">
        <f>HYPERLINK("https://rhld.insurance.arkansas.gov/NPILookup?Npi=1720205586","1720205586")</f>
        <v>1720205586</v>
      </c>
      <c r="D4636" s="36" t="s">
        <v>36899</v>
      </c>
      <c r="E4636" s="36" t="s">
        <v>2</v>
      </c>
      <c r="F4636" s="36">
        <v>1</v>
      </c>
      <c r="G4636" s="36">
        <v>3</v>
      </c>
      <c r="H4636" s="36">
        <v>0</v>
      </c>
      <c r="I4636" s="37">
        <v>0</v>
      </c>
      <c r="J4636" s="36" t="s">
        <v>36190</v>
      </c>
      <c r="K4636" s="36" t="s">
        <v>14330</v>
      </c>
      <c r="L4636" s="36" t="s">
        <v>14330</v>
      </c>
      <c r="M4636">
        <v>2</v>
      </c>
      <c r="N4636" t="s">
        <v>14331</v>
      </c>
      <c r="O4636" t="s">
        <v>14333</v>
      </c>
    </row>
    <row r="4637" spans="1:15" x14ac:dyDescent="0.25">
      <c r="A4637" s="35" t="s">
        <v>8275</v>
      </c>
      <c r="B4637" s="36" t="s">
        <v>8276</v>
      </c>
      <c r="C4637" s="36" t="str">
        <f>HYPERLINK("https://rhld.insurance.arkansas.gov/NPILookup?Npi=1720364334","1720364334")</f>
        <v>1720364334</v>
      </c>
      <c r="D4637" s="36" t="s">
        <v>36900</v>
      </c>
      <c r="E4637" s="36" t="s">
        <v>2</v>
      </c>
      <c r="F4637" s="36">
        <v>1</v>
      </c>
      <c r="G4637" s="36">
        <v>2</v>
      </c>
      <c r="H4637" s="36">
        <v>0</v>
      </c>
      <c r="I4637" s="37">
        <v>0</v>
      </c>
      <c r="J4637" s="36" t="s">
        <v>36190</v>
      </c>
      <c r="K4637" s="36" t="s">
        <v>14330</v>
      </c>
      <c r="L4637" s="36" t="s">
        <v>14330</v>
      </c>
      <c r="M4637">
        <v>3</v>
      </c>
      <c r="N4637" t="s">
        <v>14331</v>
      </c>
      <c r="O4637" t="s">
        <v>14333</v>
      </c>
    </row>
    <row r="4638" spans="1:15" x14ac:dyDescent="0.25">
      <c r="A4638" s="35" t="s">
        <v>8275</v>
      </c>
      <c r="B4638" s="36" t="s">
        <v>8276</v>
      </c>
      <c r="C4638" s="36" t="str">
        <f>HYPERLINK("https://rhld.insurance.arkansas.gov/NPILookup?Npi=1720402464","1720402464")</f>
        <v>1720402464</v>
      </c>
      <c r="D4638" s="36" t="s">
        <v>36901</v>
      </c>
      <c r="E4638" s="36" t="s">
        <v>2</v>
      </c>
      <c r="F4638" s="36">
        <v>1</v>
      </c>
      <c r="G4638" s="36">
        <v>3</v>
      </c>
      <c r="H4638" s="36">
        <v>0</v>
      </c>
      <c r="I4638" s="37">
        <v>0</v>
      </c>
      <c r="J4638" s="36" t="s">
        <v>36190</v>
      </c>
      <c r="K4638" s="36" t="s">
        <v>14330</v>
      </c>
      <c r="L4638" s="36" t="s">
        <v>14330</v>
      </c>
      <c r="M4638">
        <v>3</v>
      </c>
      <c r="N4638" t="s">
        <v>14331</v>
      </c>
      <c r="O4638" t="s">
        <v>14333</v>
      </c>
    </row>
    <row r="4639" spans="1:15" x14ac:dyDescent="0.25">
      <c r="A4639" s="35" t="s">
        <v>8275</v>
      </c>
      <c r="B4639" s="36" t="s">
        <v>8276</v>
      </c>
      <c r="C4639" s="36" t="str">
        <f>HYPERLINK("https://rhld.insurance.arkansas.gov/NPILookup?Npi=1720416308","1720416308")</f>
        <v>1720416308</v>
      </c>
      <c r="D4639" s="36" t="s">
        <v>36902</v>
      </c>
      <c r="E4639" s="36" t="s">
        <v>2</v>
      </c>
      <c r="F4639" s="36">
        <v>1</v>
      </c>
      <c r="G4639" s="36">
        <v>3</v>
      </c>
      <c r="H4639" s="36">
        <v>0</v>
      </c>
      <c r="I4639" s="37">
        <v>0</v>
      </c>
      <c r="J4639" s="36" t="s">
        <v>36190</v>
      </c>
      <c r="K4639" s="36" t="s">
        <v>14330</v>
      </c>
      <c r="L4639" s="36" t="s">
        <v>14330</v>
      </c>
      <c r="M4639">
        <v>1</v>
      </c>
      <c r="N4639" t="s">
        <v>14331</v>
      </c>
      <c r="O4639" t="s">
        <v>14333</v>
      </c>
    </row>
    <row r="4640" spans="1:15" x14ac:dyDescent="0.25">
      <c r="A4640" s="35" t="s">
        <v>8275</v>
      </c>
      <c r="B4640" s="36" t="s">
        <v>8276</v>
      </c>
      <c r="C4640" s="36" t="str">
        <f>HYPERLINK("https://rhld.insurance.arkansas.gov/NPILookup?Npi=1720423387","1720423387")</f>
        <v>1720423387</v>
      </c>
      <c r="D4640" s="36" t="s">
        <v>36903</v>
      </c>
      <c r="E4640" s="36" t="s">
        <v>1</v>
      </c>
      <c r="F4640" s="36">
        <v>1</v>
      </c>
      <c r="G4640" s="36">
        <v>2</v>
      </c>
      <c r="H4640" s="36">
        <v>1</v>
      </c>
      <c r="I4640" s="37">
        <v>0</v>
      </c>
      <c r="J4640" s="36" t="s">
        <v>32654</v>
      </c>
      <c r="K4640" s="36" t="s">
        <v>14330</v>
      </c>
      <c r="L4640" s="36" t="s">
        <v>36271</v>
      </c>
      <c r="M4640">
        <v>2</v>
      </c>
      <c r="N4640" t="s">
        <v>14332</v>
      </c>
      <c r="O4640" t="s">
        <v>32591</v>
      </c>
    </row>
    <row r="4641" spans="1:15" x14ac:dyDescent="0.25">
      <c r="A4641" s="35" t="s">
        <v>8275</v>
      </c>
      <c r="B4641" s="36" t="s">
        <v>8276</v>
      </c>
      <c r="C4641" s="36" t="str">
        <f>HYPERLINK("https://rhld.insurance.arkansas.gov/NPILookup?Npi=1720897705","1720897705")</f>
        <v>1720897705</v>
      </c>
      <c r="D4641" s="36" t="s">
        <v>35826</v>
      </c>
      <c r="E4641" s="36" t="s">
        <v>2</v>
      </c>
      <c r="F4641" s="36">
        <v>1</v>
      </c>
      <c r="G4641" s="36">
        <v>2</v>
      </c>
      <c r="H4641" s="36">
        <v>0</v>
      </c>
      <c r="I4641" s="37">
        <v>0</v>
      </c>
      <c r="J4641" s="36"/>
      <c r="K4641" s="36" t="s">
        <v>14330</v>
      </c>
      <c r="L4641" s="36" t="s">
        <v>14330</v>
      </c>
      <c r="M4641">
        <v>0</v>
      </c>
      <c r="N4641" t="s">
        <v>14331</v>
      </c>
      <c r="O4641" t="s">
        <v>14333</v>
      </c>
    </row>
    <row r="4642" spans="1:15" x14ac:dyDescent="0.25">
      <c r="A4642" s="35" t="s">
        <v>8275</v>
      </c>
      <c r="B4642" s="36" t="s">
        <v>8276</v>
      </c>
      <c r="C4642" s="36" t="str">
        <f>HYPERLINK("https://rhld.insurance.arkansas.gov/NPILookup?Npi=1730186875","1730186875")</f>
        <v>1730186875</v>
      </c>
      <c r="D4642" s="36" t="s">
        <v>36904</v>
      </c>
      <c r="E4642" s="36" t="s">
        <v>1</v>
      </c>
      <c r="F4642" s="36">
        <v>1</v>
      </c>
      <c r="G4642" s="36">
        <v>2</v>
      </c>
      <c r="H4642" s="36">
        <v>2</v>
      </c>
      <c r="I4642" s="37">
        <v>0</v>
      </c>
      <c r="J4642" s="36" t="s">
        <v>36905</v>
      </c>
      <c r="K4642" s="36" t="s">
        <v>14330</v>
      </c>
      <c r="L4642" s="36" t="s">
        <v>36271</v>
      </c>
      <c r="M4642">
        <v>2</v>
      </c>
      <c r="N4642" t="s">
        <v>14332</v>
      </c>
      <c r="O4642" t="s">
        <v>32591</v>
      </c>
    </row>
    <row r="4643" spans="1:15" x14ac:dyDescent="0.25">
      <c r="A4643" s="35" t="s">
        <v>8275</v>
      </c>
      <c r="B4643" s="36" t="s">
        <v>8276</v>
      </c>
      <c r="C4643" s="36" t="str">
        <f>HYPERLINK("https://rhld.insurance.arkansas.gov/NPILookup?Npi=1730188053","1730188053")</f>
        <v>1730188053</v>
      </c>
      <c r="D4643" s="36" t="s">
        <v>33350</v>
      </c>
      <c r="E4643" s="36" t="s">
        <v>1</v>
      </c>
      <c r="F4643" s="36">
        <v>1</v>
      </c>
      <c r="G4643" s="36">
        <v>2</v>
      </c>
      <c r="H4643" s="36">
        <v>0</v>
      </c>
      <c r="I4643" s="37">
        <v>0</v>
      </c>
      <c r="J4643" s="36" t="s">
        <v>32654</v>
      </c>
      <c r="K4643" s="36" t="s">
        <v>14330</v>
      </c>
      <c r="L4643" s="36" t="s">
        <v>14330</v>
      </c>
      <c r="M4643">
        <v>3</v>
      </c>
      <c r="N4643" t="s">
        <v>14331</v>
      </c>
      <c r="O4643" t="s">
        <v>32633</v>
      </c>
    </row>
    <row r="4644" spans="1:15" x14ac:dyDescent="0.25">
      <c r="A4644" s="35" t="s">
        <v>8275</v>
      </c>
      <c r="B4644" s="36" t="s">
        <v>8276</v>
      </c>
      <c r="C4644" s="36" t="str">
        <f>HYPERLINK("https://rhld.insurance.arkansas.gov/NPILookup?Npi=1730227299","1730227299")</f>
        <v>1730227299</v>
      </c>
      <c r="D4644" s="36" t="s">
        <v>36906</v>
      </c>
      <c r="E4644" s="36" t="s">
        <v>2</v>
      </c>
      <c r="F4644" s="36">
        <v>1</v>
      </c>
      <c r="G4644" s="36">
        <v>3</v>
      </c>
      <c r="H4644" s="36">
        <v>0</v>
      </c>
      <c r="I4644" s="37">
        <v>0</v>
      </c>
      <c r="J4644" s="36" t="s">
        <v>36190</v>
      </c>
      <c r="K4644" s="36" t="s">
        <v>14330</v>
      </c>
      <c r="L4644" s="36" t="s">
        <v>14330</v>
      </c>
      <c r="M4644">
        <v>1</v>
      </c>
      <c r="N4644" t="s">
        <v>14331</v>
      </c>
      <c r="O4644" t="s">
        <v>14333</v>
      </c>
    </row>
    <row r="4645" spans="1:15" x14ac:dyDescent="0.25">
      <c r="A4645" s="35" t="s">
        <v>8275</v>
      </c>
      <c r="B4645" s="36" t="s">
        <v>8276</v>
      </c>
      <c r="C4645" s="36" t="str">
        <f>HYPERLINK("https://rhld.insurance.arkansas.gov/NPILookup?Npi=1730322041","1730322041")</f>
        <v>1730322041</v>
      </c>
      <c r="D4645" s="36" t="s">
        <v>36907</v>
      </c>
      <c r="E4645" s="36" t="s">
        <v>2</v>
      </c>
      <c r="F4645" s="36">
        <v>1</v>
      </c>
      <c r="G4645" s="36">
        <v>1</v>
      </c>
      <c r="H4645" s="36">
        <v>0</v>
      </c>
      <c r="I4645" s="37">
        <v>0</v>
      </c>
      <c r="J4645" s="36"/>
      <c r="K4645" s="36" t="s">
        <v>14330</v>
      </c>
      <c r="L4645" s="36" t="s">
        <v>14330</v>
      </c>
      <c r="M4645">
        <v>3</v>
      </c>
      <c r="N4645" t="s">
        <v>14331</v>
      </c>
      <c r="O4645" t="s">
        <v>32633</v>
      </c>
    </row>
    <row r="4646" spans="1:15" x14ac:dyDescent="0.25">
      <c r="A4646" s="35" t="s">
        <v>8275</v>
      </c>
      <c r="B4646" s="36" t="s">
        <v>8276</v>
      </c>
      <c r="C4646" s="36" t="str">
        <f>HYPERLINK("https://rhld.insurance.arkansas.gov/NPILookup?Npi=1730418385","1730418385")</f>
        <v>1730418385</v>
      </c>
      <c r="D4646" s="36" t="s">
        <v>36908</v>
      </c>
      <c r="E4646" s="36" t="s">
        <v>2</v>
      </c>
      <c r="F4646" s="36">
        <v>1</v>
      </c>
      <c r="G4646" s="36">
        <v>3</v>
      </c>
      <c r="H4646" s="36">
        <v>0</v>
      </c>
      <c r="I4646" s="37">
        <v>0</v>
      </c>
      <c r="J4646" s="36" t="s">
        <v>36190</v>
      </c>
      <c r="K4646" s="36" t="s">
        <v>14330</v>
      </c>
      <c r="L4646" s="36" t="s">
        <v>14330</v>
      </c>
      <c r="M4646">
        <v>2</v>
      </c>
      <c r="N4646" t="s">
        <v>14331</v>
      </c>
      <c r="O4646" t="s">
        <v>14333</v>
      </c>
    </row>
    <row r="4647" spans="1:15" x14ac:dyDescent="0.25">
      <c r="A4647" s="35" t="s">
        <v>8275</v>
      </c>
      <c r="B4647" s="36" t="s">
        <v>8276</v>
      </c>
      <c r="C4647" s="36" t="str">
        <f>HYPERLINK("https://rhld.insurance.arkansas.gov/NPILookup?Npi=1730443078","1730443078")</f>
        <v>1730443078</v>
      </c>
      <c r="D4647" s="36" t="s">
        <v>36909</v>
      </c>
      <c r="E4647" s="36" t="s">
        <v>2</v>
      </c>
      <c r="F4647" s="36">
        <v>1</v>
      </c>
      <c r="G4647" s="36">
        <v>2</v>
      </c>
      <c r="H4647" s="36">
        <v>0</v>
      </c>
      <c r="I4647" s="37">
        <v>0</v>
      </c>
      <c r="J4647" s="36" t="s">
        <v>36190</v>
      </c>
      <c r="K4647" s="36" t="s">
        <v>14330</v>
      </c>
      <c r="L4647" s="36" t="s">
        <v>14330</v>
      </c>
      <c r="M4647">
        <v>2</v>
      </c>
      <c r="N4647" t="s">
        <v>14331</v>
      </c>
      <c r="O4647" t="s">
        <v>14333</v>
      </c>
    </row>
    <row r="4648" spans="1:15" x14ac:dyDescent="0.25">
      <c r="A4648" s="35" t="s">
        <v>8275</v>
      </c>
      <c r="B4648" s="36" t="s">
        <v>8276</v>
      </c>
      <c r="C4648" s="36" t="str">
        <f>HYPERLINK("https://rhld.insurance.arkansas.gov/NPILookup?Npi=1730484684","1730484684")</f>
        <v>1730484684</v>
      </c>
      <c r="D4648" s="36" t="s">
        <v>36910</v>
      </c>
      <c r="E4648" s="36" t="s">
        <v>2</v>
      </c>
      <c r="F4648" s="36">
        <v>1</v>
      </c>
      <c r="G4648" s="36">
        <v>2</v>
      </c>
      <c r="H4648" s="36">
        <v>0</v>
      </c>
      <c r="I4648" s="37">
        <v>0</v>
      </c>
      <c r="J4648" s="36" t="s">
        <v>36190</v>
      </c>
      <c r="K4648" s="36" t="s">
        <v>14330</v>
      </c>
      <c r="L4648" s="36" t="s">
        <v>14330</v>
      </c>
      <c r="M4648">
        <v>0</v>
      </c>
      <c r="N4648" t="s">
        <v>14331</v>
      </c>
      <c r="O4648" t="s">
        <v>14333</v>
      </c>
    </row>
    <row r="4649" spans="1:15" x14ac:dyDescent="0.25">
      <c r="A4649" s="35" t="s">
        <v>8275</v>
      </c>
      <c r="B4649" s="36" t="s">
        <v>8276</v>
      </c>
      <c r="C4649" s="36" t="str">
        <f>HYPERLINK("https://rhld.insurance.arkansas.gov/NPILookup?Npi=1730508151","1730508151")</f>
        <v>1730508151</v>
      </c>
      <c r="D4649" s="36" t="s">
        <v>35834</v>
      </c>
      <c r="E4649" s="36" t="s">
        <v>1</v>
      </c>
      <c r="F4649" s="36">
        <v>1</v>
      </c>
      <c r="G4649" s="36">
        <v>1</v>
      </c>
      <c r="H4649" s="36">
        <v>1</v>
      </c>
      <c r="I4649" s="37">
        <v>0</v>
      </c>
      <c r="J4649" s="36" t="s">
        <v>32654</v>
      </c>
      <c r="K4649" s="36" t="s">
        <v>14330</v>
      </c>
      <c r="L4649" s="36" t="s">
        <v>36271</v>
      </c>
      <c r="M4649">
        <v>2</v>
      </c>
      <c r="N4649" t="s">
        <v>14332</v>
      </c>
      <c r="O4649" t="s">
        <v>32591</v>
      </c>
    </row>
    <row r="4650" spans="1:15" x14ac:dyDescent="0.25">
      <c r="A4650" s="35" t="s">
        <v>8275</v>
      </c>
      <c r="B4650" s="36" t="s">
        <v>8276</v>
      </c>
      <c r="C4650" s="36" t="str">
        <f>HYPERLINK("https://rhld.insurance.arkansas.gov/NPILookup?Npi=1730541798","1730541798")</f>
        <v>1730541798</v>
      </c>
      <c r="D4650" s="36" t="s">
        <v>36911</v>
      </c>
      <c r="E4650" s="36" t="s">
        <v>1</v>
      </c>
      <c r="F4650" s="36">
        <v>1</v>
      </c>
      <c r="G4650" s="36">
        <v>2</v>
      </c>
      <c r="H4650" s="36">
        <v>0</v>
      </c>
      <c r="I4650" s="37">
        <v>0</v>
      </c>
      <c r="J4650" s="36" t="s">
        <v>32654</v>
      </c>
      <c r="K4650" s="36" t="s">
        <v>14330</v>
      </c>
      <c r="L4650" s="36" t="s">
        <v>14330</v>
      </c>
      <c r="M4650">
        <v>3</v>
      </c>
      <c r="N4650" t="s">
        <v>14331</v>
      </c>
      <c r="O4650" t="s">
        <v>32633</v>
      </c>
    </row>
    <row r="4651" spans="1:15" x14ac:dyDescent="0.25">
      <c r="A4651" s="35" t="s">
        <v>8275</v>
      </c>
      <c r="B4651" s="36" t="s">
        <v>8276</v>
      </c>
      <c r="C4651" s="36" t="str">
        <f>HYPERLINK("https://rhld.insurance.arkansas.gov/NPILookup?Npi=1730609439","1730609439")</f>
        <v>1730609439</v>
      </c>
      <c r="D4651" s="36" t="s">
        <v>36912</v>
      </c>
      <c r="E4651" s="36" t="s">
        <v>2</v>
      </c>
      <c r="F4651" s="36">
        <v>1</v>
      </c>
      <c r="G4651" s="36">
        <v>3</v>
      </c>
      <c r="H4651" s="36">
        <v>0</v>
      </c>
      <c r="I4651" s="37">
        <v>0</v>
      </c>
      <c r="J4651" s="36" t="s">
        <v>36190</v>
      </c>
      <c r="K4651" s="36" t="s">
        <v>14330</v>
      </c>
      <c r="L4651" s="36" t="s">
        <v>14330</v>
      </c>
      <c r="M4651">
        <v>3</v>
      </c>
      <c r="N4651" t="s">
        <v>14331</v>
      </c>
      <c r="O4651" t="s">
        <v>14333</v>
      </c>
    </row>
    <row r="4652" spans="1:15" x14ac:dyDescent="0.25">
      <c r="A4652" s="35" t="s">
        <v>8275</v>
      </c>
      <c r="B4652" s="36" t="s">
        <v>8276</v>
      </c>
      <c r="C4652" s="36" t="str">
        <f>HYPERLINK("https://rhld.insurance.arkansas.gov/NPILookup?Npi=1730692914","1730692914")</f>
        <v>1730692914</v>
      </c>
      <c r="D4652" s="36" t="s">
        <v>36913</v>
      </c>
      <c r="E4652" s="36" t="s">
        <v>2</v>
      </c>
      <c r="F4652" s="36">
        <v>1</v>
      </c>
      <c r="G4652" s="36">
        <v>3</v>
      </c>
      <c r="H4652" s="36">
        <v>0</v>
      </c>
      <c r="I4652" s="37">
        <v>0</v>
      </c>
      <c r="J4652" s="36" t="s">
        <v>36190</v>
      </c>
      <c r="K4652" s="36" t="s">
        <v>14330</v>
      </c>
      <c r="L4652" s="36" t="s">
        <v>14330</v>
      </c>
      <c r="M4652">
        <v>2</v>
      </c>
      <c r="N4652" t="s">
        <v>14331</v>
      </c>
      <c r="O4652" t="s">
        <v>14333</v>
      </c>
    </row>
    <row r="4653" spans="1:15" x14ac:dyDescent="0.25">
      <c r="A4653" s="35" t="s">
        <v>8275</v>
      </c>
      <c r="B4653" s="36" t="s">
        <v>8276</v>
      </c>
      <c r="C4653" s="36" t="str">
        <f>HYPERLINK("https://rhld.insurance.arkansas.gov/NPILookup?Npi=1730854241","1730854241")</f>
        <v>1730854241</v>
      </c>
      <c r="D4653" s="36" t="s">
        <v>36914</v>
      </c>
      <c r="E4653" s="36" t="s">
        <v>2</v>
      </c>
      <c r="F4653" s="36">
        <v>1</v>
      </c>
      <c r="G4653" s="36">
        <v>2</v>
      </c>
      <c r="H4653" s="36">
        <v>0</v>
      </c>
      <c r="I4653" s="37">
        <v>0</v>
      </c>
      <c r="J4653" s="36" t="s">
        <v>36190</v>
      </c>
      <c r="K4653" s="36" t="s">
        <v>14330</v>
      </c>
      <c r="L4653" s="36" t="s">
        <v>14330</v>
      </c>
      <c r="M4653">
        <v>3</v>
      </c>
      <c r="N4653" t="s">
        <v>14331</v>
      </c>
      <c r="O4653" t="s">
        <v>14333</v>
      </c>
    </row>
    <row r="4654" spans="1:15" x14ac:dyDescent="0.25">
      <c r="A4654" s="35" t="s">
        <v>8275</v>
      </c>
      <c r="B4654" s="36" t="s">
        <v>8276</v>
      </c>
      <c r="C4654" s="36" t="str">
        <f>HYPERLINK("https://rhld.insurance.arkansas.gov/NPILookup?Npi=1730895434","1730895434")</f>
        <v>1730895434</v>
      </c>
      <c r="D4654" s="36" t="s">
        <v>36915</v>
      </c>
      <c r="E4654" s="36" t="s">
        <v>2</v>
      </c>
      <c r="F4654" s="36">
        <v>1</v>
      </c>
      <c r="G4654" s="36">
        <v>3</v>
      </c>
      <c r="H4654" s="36">
        <v>0</v>
      </c>
      <c r="I4654" s="37">
        <v>0</v>
      </c>
      <c r="J4654" s="36" t="s">
        <v>36190</v>
      </c>
      <c r="K4654" s="36" t="s">
        <v>14330</v>
      </c>
      <c r="L4654" s="36" t="s">
        <v>14330</v>
      </c>
      <c r="M4654">
        <v>2</v>
      </c>
      <c r="N4654" t="s">
        <v>14331</v>
      </c>
      <c r="O4654" t="s">
        <v>14333</v>
      </c>
    </row>
    <row r="4655" spans="1:15" x14ac:dyDescent="0.25">
      <c r="A4655" s="35" t="s">
        <v>8275</v>
      </c>
      <c r="B4655" s="36" t="s">
        <v>8276</v>
      </c>
      <c r="C4655" s="36" t="str">
        <f>HYPERLINK("https://rhld.insurance.arkansas.gov/NPILookup?Npi=1730901588","1730901588")</f>
        <v>1730901588</v>
      </c>
      <c r="D4655" s="36" t="s">
        <v>34421</v>
      </c>
      <c r="E4655" s="36" t="s">
        <v>2</v>
      </c>
      <c r="F4655" s="36">
        <v>1</v>
      </c>
      <c r="G4655" s="36">
        <v>2</v>
      </c>
      <c r="H4655" s="36">
        <v>0</v>
      </c>
      <c r="I4655" s="37">
        <v>0</v>
      </c>
      <c r="J4655" s="36"/>
      <c r="K4655" s="36" t="s">
        <v>14330</v>
      </c>
      <c r="L4655" s="36" t="s">
        <v>14330</v>
      </c>
      <c r="M4655">
        <v>1</v>
      </c>
      <c r="N4655" t="s">
        <v>14331</v>
      </c>
      <c r="O4655" t="s">
        <v>14333</v>
      </c>
    </row>
    <row r="4656" spans="1:15" x14ac:dyDescent="0.25">
      <c r="A4656" s="35" t="s">
        <v>8275</v>
      </c>
      <c r="B4656" s="36" t="s">
        <v>8276</v>
      </c>
      <c r="C4656" s="36" t="str">
        <f>HYPERLINK("https://rhld.insurance.arkansas.gov/NPILookup?Npi=1730958968","1730958968")</f>
        <v>1730958968</v>
      </c>
      <c r="D4656" s="36" t="s">
        <v>34785</v>
      </c>
      <c r="E4656" s="36" t="s">
        <v>2</v>
      </c>
      <c r="F4656" s="36">
        <v>1</v>
      </c>
      <c r="G4656" s="36">
        <v>1</v>
      </c>
      <c r="H4656" s="36">
        <v>0</v>
      </c>
      <c r="I4656" s="37">
        <v>0</v>
      </c>
      <c r="J4656" s="36"/>
      <c r="K4656" s="36" t="s">
        <v>14330</v>
      </c>
      <c r="L4656" s="36" t="s">
        <v>14330</v>
      </c>
      <c r="M4656">
        <v>2</v>
      </c>
      <c r="N4656" t="s">
        <v>14331</v>
      </c>
      <c r="O4656" t="s">
        <v>32633</v>
      </c>
    </row>
    <row r="4657" spans="1:15" x14ac:dyDescent="0.25">
      <c r="A4657" s="35" t="s">
        <v>8275</v>
      </c>
      <c r="B4657" s="36" t="s">
        <v>8276</v>
      </c>
      <c r="C4657" s="36" t="str">
        <f>HYPERLINK("https://rhld.insurance.arkansas.gov/NPILookup?Npi=1740026517","1740026517")</f>
        <v>1740026517</v>
      </c>
      <c r="D4657" s="36" t="s">
        <v>35838</v>
      </c>
      <c r="E4657" s="36" t="s">
        <v>2</v>
      </c>
      <c r="F4657" s="36">
        <v>1</v>
      </c>
      <c r="G4657" s="36">
        <v>2</v>
      </c>
      <c r="H4657" s="36">
        <v>0</v>
      </c>
      <c r="I4657" s="37">
        <v>0</v>
      </c>
      <c r="J4657" s="36"/>
      <c r="K4657" s="36" t="s">
        <v>14330</v>
      </c>
      <c r="L4657" s="36" t="s">
        <v>14330</v>
      </c>
      <c r="M4657">
        <v>0</v>
      </c>
      <c r="N4657" t="s">
        <v>14331</v>
      </c>
      <c r="O4657" t="s">
        <v>14333</v>
      </c>
    </row>
    <row r="4658" spans="1:15" x14ac:dyDescent="0.25">
      <c r="A4658" s="35" t="s">
        <v>8275</v>
      </c>
      <c r="B4658" s="36" t="s">
        <v>8276</v>
      </c>
      <c r="C4658" s="36" t="str">
        <f>HYPERLINK("https://rhld.insurance.arkansas.gov/NPILookup?Npi=1740227321","1740227321")</f>
        <v>1740227321</v>
      </c>
      <c r="D4658" s="36" t="s">
        <v>36916</v>
      </c>
      <c r="E4658" s="36" t="s">
        <v>1</v>
      </c>
      <c r="F4658" s="36">
        <v>1</v>
      </c>
      <c r="G4658" s="36">
        <v>1</v>
      </c>
      <c r="H4658" s="36">
        <v>1</v>
      </c>
      <c r="I4658" s="37">
        <v>0</v>
      </c>
      <c r="J4658" s="36" t="s">
        <v>32654</v>
      </c>
      <c r="K4658" s="36" t="s">
        <v>14330</v>
      </c>
      <c r="L4658" s="36" t="s">
        <v>36271</v>
      </c>
      <c r="M4658">
        <v>3</v>
      </c>
      <c r="N4658" t="s">
        <v>14332</v>
      </c>
      <c r="O4658" t="s">
        <v>32591</v>
      </c>
    </row>
    <row r="4659" spans="1:15" x14ac:dyDescent="0.25">
      <c r="A4659" s="35" t="s">
        <v>8275</v>
      </c>
      <c r="B4659" s="36" t="s">
        <v>8276</v>
      </c>
      <c r="C4659" s="36" t="str">
        <f>HYPERLINK("https://rhld.insurance.arkansas.gov/NPILookup?Npi=1740249523","1740249523")</f>
        <v>1740249523</v>
      </c>
      <c r="D4659" s="36" t="s">
        <v>36917</v>
      </c>
      <c r="E4659" s="36" t="s">
        <v>2</v>
      </c>
      <c r="F4659" s="36">
        <v>1</v>
      </c>
      <c r="G4659" s="36">
        <v>3</v>
      </c>
      <c r="H4659" s="36">
        <v>0</v>
      </c>
      <c r="I4659" s="37">
        <v>0</v>
      </c>
      <c r="J4659" s="36" t="s">
        <v>36190</v>
      </c>
      <c r="K4659" s="36" t="s">
        <v>14330</v>
      </c>
      <c r="L4659" s="36" t="s">
        <v>14330</v>
      </c>
      <c r="M4659">
        <v>3</v>
      </c>
      <c r="N4659" t="s">
        <v>14331</v>
      </c>
      <c r="O4659" t="s">
        <v>14333</v>
      </c>
    </row>
    <row r="4660" spans="1:15" x14ac:dyDescent="0.25">
      <c r="A4660" s="35" t="s">
        <v>8275</v>
      </c>
      <c r="B4660" s="36" t="s">
        <v>8276</v>
      </c>
      <c r="C4660" s="36" t="str">
        <f>HYPERLINK("https://rhld.insurance.arkansas.gov/NPILookup?Npi=1740266535","1740266535")</f>
        <v>1740266535</v>
      </c>
      <c r="D4660" s="36" t="s">
        <v>36918</v>
      </c>
      <c r="E4660" s="36" t="s">
        <v>2</v>
      </c>
      <c r="F4660" s="36">
        <v>1</v>
      </c>
      <c r="G4660" s="36">
        <v>3</v>
      </c>
      <c r="H4660" s="36">
        <v>0</v>
      </c>
      <c r="I4660" s="37">
        <v>0</v>
      </c>
      <c r="J4660" s="36" t="s">
        <v>36190</v>
      </c>
      <c r="K4660" s="36" t="s">
        <v>14330</v>
      </c>
      <c r="L4660" s="36" t="s">
        <v>14330</v>
      </c>
      <c r="M4660">
        <v>3</v>
      </c>
      <c r="N4660" t="s">
        <v>14331</v>
      </c>
      <c r="O4660" t="s">
        <v>14333</v>
      </c>
    </row>
    <row r="4661" spans="1:15" x14ac:dyDescent="0.25">
      <c r="A4661" s="35" t="s">
        <v>8275</v>
      </c>
      <c r="B4661" s="36" t="s">
        <v>8276</v>
      </c>
      <c r="C4661" s="36" t="str">
        <f>HYPERLINK("https://rhld.insurance.arkansas.gov/NPILookup?Npi=1740365733","1740365733")</f>
        <v>1740365733</v>
      </c>
      <c r="D4661" s="36" t="s">
        <v>36919</v>
      </c>
      <c r="E4661" s="36" t="s">
        <v>2</v>
      </c>
      <c r="F4661" s="36">
        <v>1</v>
      </c>
      <c r="G4661" s="36">
        <v>3</v>
      </c>
      <c r="H4661" s="36">
        <v>0</v>
      </c>
      <c r="I4661" s="37">
        <v>0</v>
      </c>
      <c r="J4661" s="36" t="s">
        <v>36190</v>
      </c>
      <c r="K4661" s="36" t="s">
        <v>14330</v>
      </c>
      <c r="L4661" s="36" t="s">
        <v>14330</v>
      </c>
      <c r="M4661">
        <v>0</v>
      </c>
      <c r="N4661" t="s">
        <v>14331</v>
      </c>
      <c r="O4661" t="s">
        <v>14333</v>
      </c>
    </row>
    <row r="4662" spans="1:15" x14ac:dyDescent="0.25">
      <c r="A4662" s="35" t="s">
        <v>8275</v>
      </c>
      <c r="B4662" s="36" t="s">
        <v>8276</v>
      </c>
      <c r="C4662" s="36" t="str">
        <f>HYPERLINK("https://rhld.insurance.arkansas.gov/NPILookup?Npi=1740369263","1740369263")</f>
        <v>1740369263</v>
      </c>
      <c r="D4662" s="36" t="s">
        <v>36920</v>
      </c>
      <c r="E4662" s="36" t="s">
        <v>1</v>
      </c>
      <c r="F4662" s="36">
        <v>1</v>
      </c>
      <c r="G4662" s="36">
        <v>1</v>
      </c>
      <c r="H4662" s="36">
        <v>1</v>
      </c>
      <c r="I4662" s="37">
        <v>0</v>
      </c>
      <c r="J4662" s="36" t="s">
        <v>32654</v>
      </c>
      <c r="K4662" s="36" t="s">
        <v>14330</v>
      </c>
      <c r="L4662" s="36" t="s">
        <v>36271</v>
      </c>
      <c r="M4662">
        <v>3</v>
      </c>
      <c r="N4662" t="s">
        <v>14332</v>
      </c>
      <c r="O4662" t="s">
        <v>32591</v>
      </c>
    </row>
    <row r="4663" spans="1:15" x14ac:dyDescent="0.25">
      <c r="A4663" s="35" t="s">
        <v>8275</v>
      </c>
      <c r="B4663" s="36" t="s">
        <v>8276</v>
      </c>
      <c r="C4663" s="36" t="str">
        <f>HYPERLINK("https://rhld.insurance.arkansas.gov/NPILookup?Npi=1740673714","1740673714")</f>
        <v>1740673714</v>
      </c>
      <c r="D4663" s="36" t="s">
        <v>36921</v>
      </c>
      <c r="E4663" s="36" t="s">
        <v>2</v>
      </c>
      <c r="F4663" s="36">
        <v>1</v>
      </c>
      <c r="G4663" s="36">
        <v>3</v>
      </c>
      <c r="H4663" s="36">
        <v>0</v>
      </c>
      <c r="I4663" s="37">
        <v>0</v>
      </c>
      <c r="J4663" s="36" t="s">
        <v>36190</v>
      </c>
      <c r="K4663" s="36" t="s">
        <v>14330</v>
      </c>
      <c r="L4663" s="36" t="s">
        <v>14330</v>
      </c>
      <c r="M4663">
        <v>1</v>
      </c>
      <c r="N4663" t="s">
        <v>14331</v>
      </c>
      <c r="O4663" t="s">
        <v>14333</v>
      </c>
    </row>
    <row r="4664" spans="1:15" x14ac:dyDescent="0.25">
      <c r="A4664" s="35" t="s">
        <v>8275</v>
      </c>
      <c r="B4664" s="36" t="s">
        <v>8276</v>
      </c>
      <c r="C4664" s="36" t="str">
        <f>HYPERLINK("https://rhld.insurance.arkansas.gov/NPILookup?Npi=1740700368","1740700368")</f>
        <v>1740700368</v>
      </c>
      <c r="D4664" s="36" t="s">
        <v>35844</v>
      </c>
      <c r="E4664" s="36" t="s">
        <v>2</v>
      </c>
      <c r="F4664" s="36">
        <v>1</v>
      </c>
      <c r="G4664" s="36">
        <v>1</v>
      </c>
      <c r="H4664" s="36">
        <v>0</v>
      </c>
      <c r="I4664" s="37">
        <v>0</v>
      </c>
      <c r="J4664" s="36"/>
      <c r="K4664" s="36" t="s">
        <v>14330</v>
      </c>
      <c r="L4664" s="36" t="s">
        <v>14330</v>
      </c>
      <c r="M4664">
        <v>2</v>
      </c>
      <c r="N4664" t="s">
        <v>14331</v>
      </c>
      <c r="O4664" t="s">
        <v>32633</v>
      </c>
    </row>
    <row r="4665" spans="1:15" x14ac:dyDescent="0.25">
      <c r="A4665" s="35" t="s">
        <v>8275</v>
      </c>
      <c r="B4665" s="36" t="s">
        <v>8276</v>
      </c>
      <c r="C4665" s="36" t="str">
        <f>HYPERLINK("https://rhld.insurance.arkansas.gov/NPILookup?Npi=1740703180","1740703180")</f>
        <v>1740703180</v>
      </c>
      <c r="D4665" s="36" t="s">
        <v>35845</v>
      </c>
      <c r="E4665" s="36" t="s">
        <v>2</v>
      </c>
      <c r="F4665" s="36">
        <v>1</v>
      </c>
      <c r="G4665" s="36">
        <v>2</v>
      </c>
      <c r="H4665" s="36">
        <v>0</v>
      </c>
      <c r="I4665" s="37">
        <v>0</v>
      </c>
      <c r="J4665" s="36"/>
      <c r="K4665" s="36" t="s">
        <v>14330</v>
      </c>
      <c r="L4665" s="36" t="s">
        <v>14330</v>
      </c>
      <c r="M4665">
        <v>2</v>
      </c>
      <c r="N4665" t="s">
        <v>14331</v>
      </c>
      <c r="O4665" t="s">
        <v>14333</v>
      </c>
    </row>
    <row r="4666" spans="1:15" x14ac:dyDescent="0.25">
      <c r="A4666" s="35" t="s">
        <v>8275</v>
      </c>
      <c r="B4666" s="36" t="s">
        <v>8276</v>
      </c>
      <c r="C4666" s="36" t="str">
        <f>HYPERLINK("https://rhld.insurance.arkansas.gov/NPILookup?Npi=1740728187","1740728187")</f>
        <v>1740728187</v>
      </c>
      <c r="D4666" s="36" t="s">
        <v>36922</v>
      </c>
      <c r="E4666" s="36" t="s">
        <v>2</v>
      </c>
      <c r="F4666" s="36">
        <v>1</v>
      </c>
      <c r="G4666" s="36">
        <v>2</v>
      </c>
      <c r="H4666" s="36">
        <v>0</v>
      </c>
      <c r="I4666" s="37">
        <v>0</v>
      </c>
      <c r="J4666" s="36" t="s">
        <v>36190</v>
      </c>
      <c r="K4666" s="36" t="s">
        <v>14330</v>
      </c>
      <c r="L4666" s="36" t="s">
        <v>14330</v>
      </c>
      <c r="M4666">
        <v>1</v>
      </c>
      <c r="N4666" t="s">
        <v>14331</v>
      </c>
      <c r="O4666" t="s">
        <v>14333</v>
      </c>
    </row>
    <row r="4667" spans="1:15" x14ac:dyDescent="0.25">
      <c r="A4667" s="35" t="s">
        <v>8275</v>
      </c>
      <c r="B4667" s="36" t="s">
        <v>8276</v>
      </c>
      <c r="C4667" s="36" t="str">
        <f>HYPERLINK("https://rhld.insurance.arkansas.gov/NPILookup?Npi=1740765940","1740765940")</f>
        <v>1740765940</v>
      </c>
      <c r="D4667" s="36" t="s">
        <v>36923</v>
      </c>
      <c r="E4667" s="36" t="s">
        <v>2</v>
      </c>
      <c r="F4667" s="36">
        <v>1</v>
      </c>
      <c r="G4667" s="36">
        <v>1</v>
      </c>
      <c r="H4667" s="36">
        <v>0</v>
      </c>
      <c r="I4667" s="37">
        <v>0</v>
      </c>
      <c r="J4667" s="36" t="s">
        <v>32679</v>
      </c>
      <c r="K4667" s="36" t="s">
        <v>14330</v>
      </c>
      <c r="L4667" s="36" t="s">
        <v>14330</v>
      </c>
      <c r="M4667">
        <v>2</v>
      </c>
      <c r="N4667" t="s">
        <v>14331</v>
      </c>
      <c r="O4667" t="s">
        <v>32633</v>
      </c>
    </row>
    <row r="4668" spans="1:15" x14ac:dyDescent="0.25">
      <c r="A4668" s="35" t="s">
        <v>8275</v>
      </c>
      <c r="B4668" s="36" t="s">
        <v>8276</v>
      </c>
      <c r="C4668" s="36" t="str">
        <f>HYPERLINK("https://rhld.insurance.arkansas.gov/NPILookup?Npi=1740807759","1740807759")</f>
        <v>1740807759</v>
      </c>
      <c r="D4668" s="36" t="s">
        <v>36924</v>
      </c>
      <c r="E4668" s="36" t="s">
        <v>2</v>
      </c>
      <c r="F4668" s="36">
        <v>1</v>
      </c>
      <c r="G4668" s="36">
        <v>2</v>
      </c>
      <c r="H4668" s="36">
        <v>0</v>
      </c>
      <c r="I4668" s="37">
        <v>0</v>
      </c>
      <c r="J4668" s="36" t="s">
        <v>36190</v>
      </c>
      <c r="K4668" s="36" t="s">
        <v>14330</v>
      </c>
      <c r="L4668" s="36" t="s">
        <v>14330</v>
      </c>
      <c r="M4668">
        <v>2</v>
      </c>
      <c r="N4668" t="s">
        <v>14331</v>
      </c>
      <c r="O4668" t="s">
        <v>14333</v>
      </c>
    </row>
    <row r="4669" spans="1:15" x14ac:dyDescent="0.25">
      <c r="A4669" s="35" t="s">
        <v>8275</v>
      </c>
      <c r="B4669" s="36" t="s">
        <v>8276</v>
      </c>
      <c r="C4669" s="36" t="str">
        <f>HYPERLINK("https://rhld.insurance.arkansas.gov/NPILookup?Npi=1740917129","1740917129")</f>
        <v>1740917129</v>
      </c>
      <c r="D4669" s="36" t="s">
        <v>35847</v>
      </c>
      <c r="E4669" s="36" t="s">
        <v>2</v>
      </c>
      <c r="F4669" s="36">
        <v>1</v>
      </c>
      <c r="G4669" s="36">
        <v>2</v>
      </c>
      <c r="H4669" s="36">
        <v>0</v>
      </c>
      <c r="I4669" s="37">
        <v>0</v>
      </c>
      <c r="J4669" s="36"/>
      <c r="K4669" s="36" t="s">
        <v>14330</v>
      </c>
      <c r="L4669" s="36" t="s">
        <v>14330</v>
      </c>
      <c r="M4669">
        <v>2</v>
      </c>
      <c r="N4669" t="s">
        <v>14331</v>
      </c>
      <c r="O4669" t="s">
        <v>14333</v>
      </c>
    </row>
    <row r="4670" spans="1:15" x14ac:dyDescent="0.25">
      <c r="A4670" s="35" t="s">
        <v>8275</v>
      </c>
      <c r="B4670" s="36" t="s">
        <v>8276</v>
      </c>
      <c r="C4670" s="36" t="str">
        <f>HYPERLINK("https://rhld.insurance.arkansas.gov/NPILookup?Npi=1740922962","1740922962")</f>
        <v>1740922962</v>
      </c>
      <c r="D4670" s="36" t="s">
        <v>36925</v>
      </c>
      <c r="E4670" s="36" t="s">
        <v>2</v>
      </c>
      <c r="F4670" s="36">
        <v>1</v>
      </c>
      <c r="G4670" s="36">
        <v>2</v>
      </c>
      <c r="H4670" s="36">
        <v>0</v>
      </c>
      <c r="I4670" s="37">
        <v>0</v>
      </c>
      <c r="J4670" s="36" t="s">
        <v>36190</v>
      </c>
      <c r="K4670" s="36" t="s">
        <v>14330</v>
      </c>
      <c r="L4670" s="36" t="s">
        <v>14330</v>
      </c>
      <c r="M4670">
        <v>3</v>
      </c>
      <c r="N4670" t="s">
        <v>14331</v>
      </c>
      <c r="O4670" t="s">
        <v>14333</v>
      </c>
    </row>
    <row r="4671" spans="1:15" x14ac:dyDescent="0.25">
      <c r="A4671" s="35" t="s">
        <v>8275</v>
      </c>
      <c r="B4671" s="36" t="s">
        <v>8276</v>
      </c>
      <c r="C4671" s="36" t="str">
        <f>HYPERLINK("https://rhld.insurance.arkansas.gov/NPILookup?Npi=1740932722","1740932722")</f>
        <v>1740932722</v>
      </c>
      <c r="D4671" s="36" t="s">
        <v>36926</v>
      </c>
      <c r="E4671" s="36" t="s">
        <v>2</v>
      </c>
      <c r="F4671" s="36">
        <v>1</v>
      </c>
      <c r="G4671" s="36">
        <v>3</v>
      </c>
      <c r="H4671" s="36">
        <v>0</v>
      </c>
      <c r="I4671" s="37">
        <v>0</v>
      </c>
      <c r="J4671" s="36" t="s">
        <v>36190</v>
      </c>
      <c r="K4671" s="36" t="s">
        <v>14330</v>
      </c>
      <c r="L4671" s="36" t="s">
        <v>14330</v>
      </c>
      <c r="M4671">
        <v>1</v>
      </c>
      <c r="N4671" t="s">
        <v>14331</v>
      </c>
      <c r="O4671" t="s">
        <v>14333</v>
      </c>
    </row>
    <row r="4672" spans="1:15" x14ac:dyDescent="0.25">
      <c r="A4672" s="35" t="s">
        <v>8275</v>
      </c>
      <c r="B4672" s="36" t="s">
        <v>8276</v>
      </c>
      <c r="C4672" s="36" t="str">
        <f>HYPERLINK("https://rhld.insurance.arkansas.gov/NPILookup?Npi=1740961762","1740961762")</f>
        <v>1740961762</v>
      </c>
      <c r="D4672" s="36" t="s">
        <v>35849</v>
      </c>
      <c r="E4672" s="36" t="s">
        <v>2</v>
      </c>
      <c r="F4672" s="36">
        <v>1</v>
      </c>
      <c r="G4672" s="36">
        <v>1</v>
      </c>
      <c r="H4672" s="36">
        <v>0</v>
      </c>
      <c r="I4672" s="37">
        <v>0</v>
      </c>
      <c r="J4672" s="36"/>
      <c r="K4672" s="36" t="s">
        <v>14330</v>
      </c>
      <c r="L4672" s="36" t="s">
        <v>14330</v>
      </c>
      <c r="M4672">
        <v>2</v>
      </c>
      <c r="N4672" t="s">
        <v>14331</v>
      </c>
      <c r="O4672" t="s">
        <v>32633</v>
      </c>
    </row>
    <row r="4673" spans="1:15" x14ac:dyDescent="0.25">
      <c r="A4673" s="35" t="s">
        <v>8275</v>
      </c>
      <c r="B4673" s="36" t="s">
        <v>8276</v>
      </c>
      <c r="C4673" s="36" t="str">
        <f>HYPERLINK("https://rhld.insurance.arkansas.gov/NPILookup?Npi=1750100681","1750100681")</f>
        <v>1750100681</v>
      </c>
      <c r="D4673" s="36" t="s">
        <v>35850</v>
      </c>
      <c r="E4673" s="36" t="s">
        <v>2</v>
      </c>
      <c r="F4673" s="36">
        <v>1</v>
      </c>
      <c r="G4673" s="36">
        <v>2</v>
      </c>
      <c r="H4673" s="36">
        <v>0</v>
      </c>
      <c r="I4673" s="37">
        <v>0</v>
      </c>
      <c r="J4673" s="36"/>
      <c r="K4673" s="36" t="s">
        <v>14330</v>
      </c>
      <c r="L4673" s="36" t="s">
        <v>14330</v>
      </c>
      <c r="M4673">
        <v>3</v>
      </c>
      <c r="N4673" t="s">
        <v>14331</v>
      </c>
      <c r="O4673" t="s">
        <v>14333</v>
      </c>
    </row>
    <row r="4674" spans="1:15" x14ac:dyDescent="0.25">
      <c r="A4674" s="35" t="s">
        <v>8275</v>
      </c>
      <c r="B4674" s="36" t="s">
        <v>8276</v>
      </c>
      <c r="C4674" s="36" t="str">
        <f>HYPERLINK("https://rhld.insurance.arkansas.gov/NPILookup?Npi=1750461166","1750461166")</f>
        <v>1750461166</v>
      </c>
      <c r="D4674" s="36" t="s">
        <v>36927</v>
      </c>
      <c r="E4674" s="36" t="s">
        <v>1</v>
      </c>
      <c r="F4674" s="36">
        <v>1</v>
      </c>
      <c r="G4674" s="36">
        <v>3</v>
      </c>
      <c r="H4674" s="36">
        <v>0</v>
      </c>
      <c r="I4674" s="37">
        <v>0</v>
      </c>
      <c r="J4674" s="36" t="s">
        <v>32723</v>
      </c>
      <c r="K4674" s="36" t="s">
        <v>14330</v>
      </c>
      <c r="L4674" s="36" t="s">
        <v>14330</v>
      </c>
      <c r="M4674">
        <v>3</v>
      </c>
      <c r="N4674" t="s">
        <v>14331</v>
      </c>
      <c r="O4674" t="s">
        <v>32724</v>
      </c>
    </row>
    <row r="4675" spans="1:15" x14ac:dyDescent="0.25">
      <c r="A4675" s="35" t="s">
        <v>8275</v>
      </c>
      <c r="B4675" s="36" t="s">
        <v>8276</v>
      </c>
      <c r="C4675" s="36" t="str">
        <f>HYPERLINK("https://rhld.insurance.arkansas.gov/NPILookup?Npi=1750472643","1750472643")</f>
        <v>1750472643</v>
      </c>
      <c r="D4675" s="36" t="s">
        <v>36928</v>
      </c>
      <c r="E4675" s="36" t="s">
        <v>2</v>
      </c>
      <c r="F4675" s="36">
        <v>1</v>
      </c>
      <c r="G4675" s="36">
        <v>3</v>
      </c>
      <c r="H4675" s="36">
        <v>0</v>
      </c>
      <c r="I4675" s="37">
        <v>0</v>
      </c>
      <c r="J4675" s="36" t="s">
        <v>36190</v>
      </c>
      <c r="K4675" s="36" t="s">
        <v>14330</v>
      </c>
      <c r="L4675" s="36" t="s">
        <v>14330</v>
      </c>
      <c r="M4675">
        <v>2</v>
      </c>
      <c r="N4675" t="s">
        <v>14331</v>
      </c>
      <c r="O4675" t="s">
        <v>14333</v>
      </c>
    </row>
    <row r="4676" spans="1:15" x14ac:dyDescent="0.25">
      <c r="A4676" s="35" t="s">
        <v>8275</v>
      </c>
      <c r="B4676" s="36" t="s">
        <v>8276</v>
      </c>
      <c r="C4676" s="36" t="str">
        <f>HYPERLINK("https://rhld.insurance.arkansas.gov/NPILookup?Npi=1750592440","1750592440")</f>
        <v>1750592440</v>
      </c>
      <c r="D4676" s="36" t="s">
        <v>36929</v>
      </c>
      <c r="E4676" s="36" t="s">
        <v>2</v>
      </c>
      <c r="F4676" s="36">
        <v>1</v>
      </c>
      <c r="G4676" s="36">
        <v>2</v>
      </c>
      <c r="H4676" s="36">
        <v>0</v>
      </c>
      <c r="I4676" s="37">
        <v>0</v>
      </c>
      <c r="J4676" s="36" t="s">
        <v>36190</v>
      </c>
      <c r="K4676" s="36" t="s">
        <v>14330</v>
      </c>
      <c r="L4676" s="36" t="s">
        <v>14330</v>
      </c>
      <c r="M4676">
        <v>2</v>
      </c>
      <c r="N4676" t="s">
        <v>14331</v>
      </c>
      <c r="O4676" t="s">
        <v>14333</v>
      </c>
    </row>
    <row r="4677" spans="1:15" x14ac:dyDescent="0.25">
      <c r="A4677" s="35" t="s">
        <v>8275</v>
      </c>
      <c r="B4677" s="36" t="s">
        <v>8276</v>
      </c>
      <c r="C4677" s="36" t="str">
        <f>HYPERLINK("https://rhld.insurance.arkansas.gov/NPILookup?Npi=1750753695","1750753695")</f>
        <v>1750753695</v>
      </c>
      <c r="D4677" s="36" t="s">
        <v>36930</v>
      </c>
      <c r="E4677" s="36" t="s">
        <v>2</v>
      </c>
      <c r="F4677" s="36">
        <v>1</v>
      </c>
      <c r="G4677" s="36">
        <v>2</v>
      </c>
      <c r="H4677" s="36">
        <v>0</v>
      </c>
      <c r="I4677" s="37">
        <v>0</v>
      </c>
      <c r="J4677" s="36" t="s">
        <v>36190</v>
      </c>
      <c r="K4677" s="36" t="s">
        <v>14330</v>
      </c>
      <c r="L4677" s="36" t="s">
        <v>14330</v>
      </c>
      <c r="M4677">
        <v>2</v>
      </c>
      <c r="N4677" t="s">
        <v>14331</v>
      </c>
      <c r="O4677" t="s">
        <v>14333</v>
      </c>
    </row>
    <row r="4678" spans="1:15" x14ac:dyDescent="0.25">
      <c r="A4678" s="35" t="s">
        <v>8275</v>
      </c>
      <c r="B4678" s="36" t="s">
        <v>8276</v>
      </c>
      <c r="C4678" s="36" t="str">
        <f>HYPERLINK("https://rhld.insurance.arkansas.gov/NPILookup?Npi=1750821674","1750821674")</f>
        <v>1750821674</v>
      </c>
      <c r="D4678" s="36" t="s">
        <v>36931</v>
      </c>
      <c r="E4678" s="36" t="s">
        <v>2</v>
      </c>
      <c r="F4678" s="36">
        <v>1</v>
      </c>
      <c r="G4678" s="36">
        <v>2</v>
      </c>
      <c r="H4678" s="36">
        <v>0</v>
      </c>
      <c r="I4678" s="37">
        <v>0</v>
      </c>
      <c r="J4678" s="36" t="s">
        <v>36190</v>
      </c>
      <c r="K4678" s="36" t="s">
        <v>14330</v>
      </c>
      <c r="L4678" s="36" t="s">
        <v>14330</v>
      </c>
      <c r="M4678">
        <v>3</v>
      </c>
      <c r="N4678" t="s">
        <v>14331</v>
      </c>
      <c r="O4678" t="s">
        <v>14333</v>
      </c>
    </row>
    <row r="4679" spans="1:15" x14ac:dyDescent="0.25">
      <c r="A4679" s="35" t="s">
        <v>8275</v>
      </c>
      <c r="B4679" s="36" t="s">
        <v>8276</v>
      </c>
      <c r="C4679" s="36" t="str">
        <f>HYPERLINK("https://rhld.insurance.arkansas.gov/NPILookup?Npi=1750961363","1750961363")</f>
        <v>1750961363</v>
      </c>
      <c r="D4679" s="36" t="s">
        <v>31270</v>
      </c>
      <c r="E4679" s="36" t="s">
        <v>2</v>
      </c>
      <c r="F4679" s="36">
        <v>1</v>
      </c>
      <c r="G4679" s="36">
        <v>3</v>
      </c>
      <c r="H4679" s="36">
        <v>0</v>
      </c>
      <c r="I4679" s="37">
        <v>0</v>
      </c>
      <c r="J4679" s="36" t="s">
        <v>36190</v>
      </c>
      <c r="K4679" s="36" t="s">
        <v>14330</v>
      </c>
      <c r="L4679" s="36" t="s">
        <v>14330</v>
      </c>
      <c r="M4679">
        <v>3</v>
      </c>
      <c r="N4679" t="s">
        <v>14331</v>
      </c>
      <c r="O4679" t="s">
        <v>14333</v>
      </c>
    </row>
    <row r="4680" spans="1:15" x14ac:dyDescent="0.25">
      <c r="A4680" s="35" t="s">
        <v>8275</v>
      </c>
      <c r="B4680" s="36" t="s">
        <v>8276</v>
      </c>
      <c r="C4680" s="36" t="str">
        <f>HYPERLINK("https://rhld.insurance.arkansas.gov/NPILookup?Npi=1760047906","1760047906")</f>
        <v>1760047906</v>
      </c>
      <c r="D4680" s="36" t="s">
        <v>36932</v>
      </c>
      <c r="E4680" s="36" t="s">
        <v>2</v>
      </c>
      <c r="F4680" s="36">
        <v>1</v>
      </c>
      <c r="G4680" s="36">
        <v>3</v>
      </c>
      <c r="H4680" s="36">
        <v>0</v>
      </c>
      <c r="I4680" s="37">
        <v>0</v>
      </c>
      <c r="J4680" s="36" t="s">
        <v>36190</v>
      </c>
      <c r="K4680" s="36" t="s">
        <v>14330</v>
      </c>
      <c r="L4680" s="36" t="s">
        <v>14330</v>
      </c>
      <c r="M4680">
        <v>2</v>
      </c>
      <c r="N4680" t="s">
        <v>14331</v>
      </c>
      <c r="O4680" t="s">
        <v>14333</v>
      </c>
    </row>
    <row r="4681" spans="1:15" x14ac:dyDescent="0.25">
      <c r="A4681" s="35" t="s">
        <v>8275</v>
      </c>
      <c r="B4681" s="36" t="s">
        <v>8276</v>
      </c>
      <c r="C4681" s="36" t="str">
        <f>HYPERLINK("https://rhld.insurance.arkansas.gov/NPILookup?Npi=1760050132","1760050132")</f>
        <v>1760050132</v>
      </c>
      <c r="D4681" s="36" t="s">
        <v>36933</v>
      </c>
      <c r="E4681" s="36" t="s">
        <v>2</v>
      </c>
      <c r="F4681" s="36">
        <v>1</v>
      </c>
      <c r="G4681" s="36">
        <v>2</v>
      </c>
      <c r="H4681" s="36">
        <v>0</v>
      </c>
      <c r="I4681" s="37">
        <v>0</v>
      </c>
      <c r="J4681" s="36" t="s">
        <v>36190</v>
      </c>
      <c r="K4681" s="36" t="s">
        <v>14330</v>
      </c>
      <c r="L4681" s="36" t="s">
        <v>14330</v>
      </c>
      <c r="M4681">
        <v>3</v>
      </c>
      <c r="N4681" t="s">
        <v>14331</v>
      </c>
      <c r="O4681" t="s">
        <v>14333</v>
      </c>
    </row>
    <row r="4682" spans="1:15" x14ac:dyDescent="0.25">
      <c r="A4682" s="35" t="s">
        <v>8275</v>
      </c>
      <c r="B4682" s="36" t="s">
        <v>8276</v>
      </c>
      <c r="C4682" s="36" t="str">
        <f>HYPERLINK("https://rhld.insurance.arkansas.gov/NPILookup?Npi=1760062616","1760062616")</f>
        <v>1760062616</v>
      </c>
      <c r="D4682" s="36" t="s">
        <v>31271</v>
      </c>
      <c r="E4682" s="36" t="s">
        <v>2</v>
      </c>
      <c r="F4682" s="36">
        <v>1</v>
      </c>
      <c r="G4682" s="36">
        <v>3</v>
      </c>
      <c r="H4682" s="36">
        <v>0</v>
      </c>
      <c r="I4682" s="37">
        <v>0</v>
      </c>
      <c r="J4682" s="36" t="s">
        <v>36190</v>
      </c>
      <c r="K4682" s="36" t="s">
        <v>14330</v>
      </c>
      <c r="L4682" s="36" t="s">
        <v>14330</v>
      </c>
      <c r="M4682">
        <v>3</v>
      </c>
      <c r="N4682" t="s">
        <v>14331</v>
      </c>
      <c r="O4682" t="s">
        <v>14333</v>
      </c>
    </row>
    <row r="4683" spans="1:15" x14ac:dyDescent="0.25">
      <c r="A4683" s="35" t="s">
        <v>8275</v>
      </c>
      <c r="B4683" s="36" t="s">
        <v>8276</v>
      </c>
      <c r="C4683" s="36" t="str">
        <f>HYPERLINK("https://rhld.insurance.arkansas.gov/NPILookup?Npi=1760155121","1760155121")</f>
        <v>1760155121</v>
      </c>
      <c r="D4683" s="36" t="s">
        <v>36934</v>
      </c>
      <c r="E4683" s="36" t="s">
        <v>2</v>
      </c>
      <c r="F4683" s="36">
        <v>1</v>
      </c>
      <c r="G4683" s="36">
        <v>3</v>
      </c>
      <c r="H4683" s="36">
        <v>0</v>
      </c>
      <c r="I4683" s="37">
        <v>0</v>
      </c>
      <c r="J4683" s="36" t="s">
        <v>36190</v>
      </c>
      <c r="K4683" s="36" t="s">
        <v>14330</v>
      </c>
      <c r="L4683" s="36" t="s">
        <v>14330</v>
      </c>
      <c r="M4683">
        <v>2</v>
      </c>
      <c r="N4683" t="s">
        <v>14331</v>
      </c>
      <c r="O4683" t="s">
        <v>14333</v>
      </c>
    </row>
    <row r="4684" spans="1:15" x14ac:dyDescent="0.25">
      <c r="A4684" s="35" t="s">
        <v>8275</v>
      </c>
      <c r="B4684" s="36" t="s">
        <v>8276</v>
      </c>
      <c r="C4684" s="36" t="str">
        <f>HYPERLINK("https://rhld.insurance.arkansas.gov/NPILookup?Npi=1760208441","1760208441")</f>
        <v>1760208441</v>
      </c>
      <c r="D4684" s="36" t="s">
        <v>34787</v>
      </c>
      <c r="E4684" s="36" t="s">
        <v>2</v>
      </c>
      <c r="F4684" s="36">
        <v>1</v>
      </c>
      <c r="G4684" s="36">
        <v>2</v>
      </c>
      <c r="H4684" s="36">
        <v>0</v>
      </c>
      <c r="I4684" s="37">
        <v>0</v>
      </c>
      <c r="J4684" s="36"/>
      <c r="K4684" s="36" t="s">
        <v>14330</v>
      </c>
      <c r="L4684" s="36" t="s">
        <v>14330</v>
      </c>
      <c r="M4684">
        <v>3</v>
      </c>
      <c r="N4684" t="s">
        <v>14331</v>
      </c>
      <c r="O4684" t="s">
        <v>14333</v>
      </c>
    </row>
    <row r="4685" spans="1:15" x14ac:dyDescent="0.25">
      <c r="A4685" s="35" t="s">
        <v>8275</v>
      </c>
      <c r="B4685" s="36" t="s">
        <v>8276</v>
      </c>
      <c r="C4685" s="36" t="str">
        <f>HYPERLINK("https://rhld.insurance.arkansas.gov/NPILookup?Npi=1760451876","1760451876")</f>
        <v>1760451876</v>
      </c>
      <c r="D4685" s="36" t="s">
        <v>33363</v>
      </c>
      <c r="E4685" s="36" t="s">
        <v>2</v>
      </c>
      <c r="F4685" s="36">
        <v>1</v>
      </c>
      <c r="G4685" s="36">
        <v>3</v>
      </c>
      <c r="H4685" s="36">
        <v>0</v>
      </c>
      <c r="I4685" s="37">
        <v>0</v>
      </c>
      <c r="J4685" s="36" t="s">
        <v>36190</v>
      </c>
      <c r="K4685" s="36" t="s">
        <v>14330</v>
      </c>
      <c r="L4685" s="36" t="s">
        <v>14330</v>
      </c>
      <c r="M4685">
        <v>3</v>
      </c>
      <c r="N4685" t="s">
        <v>14331</v>
      </c>
      <c r="O4685" t="s">
        <v>14333</v>
      </c>
    </row>
    <row r="4686" spans="1:15" x14ac:dyDescent="0.25">
      <c r="A4686" s="35" t="s">
        <v>8275</v>
      </c>
      <c r="B4686" s="36" t="s">
        <v>8276</v>
      </c>
      <c r="C4686" s="36" t="str">
        <f>HYPERLINK("https://rhld.insurance.arkansas.gov/NPILookup?Npi=1760465090","1760465090")</f>
        <v>1760465090</v>
      </c>
      <c r="D4686" s="36" t="s">
        <v>36935</v>
      </c>
      <c r="E4686" s="36" t="s">
        <v>2</v>
      </c>
      <c r="F4686" s="36">
        <v>1</v>
      </c>
      <c r="G4686" s="36">
        <v>3</v>
      </c>
      <c r="H4686" s="36">
        <v>0</v>
      </c>
      <c r="I4686" s="37">
        <v>0</v>
      </c>
      <c r="J4686" s="36" t="s">
        <v>36190</v>
      </c>
      <c r="K4686" s="36" t="s">
        <v>14330</v>
      </c>
      <c r="L4686" s="36" t="s">
        <v>14330</v>
      </c>
      <c r="M4686">
        <v>2</v>
      </c>
      <c r="N4686" t="s">
        <v>14331</v>
      </c>
      <c r="O4686" t="s">
        <v>14333</v>
      </c>
    </row>
    <row r="4687" spans="1:15" x14ac:dyDescent="0.25">
      <c r="A4687" s="35" t="s">
        <v>8275</v>
      </c>
      <c r="B4687" s="36" t="s">
        <v>8276</v>
      </c>
      <c r="C4687" s="36" t="str">
        <f>HYPERLINK("https://rhld.insurance.arkansas.gov/NPILookup?Npi=1760521777","1760521777")</f>
        <v>1760521777</v>
      </c>
      <c r="D4687" s="36" t="s">
        <v>33365</v>
      </c>
      <c r="E4687" s="36" t="s">
        <v>2</v>
      </c>
      <c r="F4687" s="36">
        <v>1</v>
      </c>
      <c r="G4687" s="36">
        <v>2</v>
      </c>
      <c r="H4687" s="36">
        <v>0</v>
      </c>
      <c r="I4687" s="37">
        <v>0</v>
      </c>
      <c r="J4687" s="36" t="s">
        <v>36190</v>
      </c>
      <c r="K4687" s="36" t="s">
        <v>14330</v>
      </c>
      <c r="L4687" s="36" t="s">
        <v>14330</v>
      </c>
      <c r="M4687">
        <v>3</v>
      </c>
      <c r="N4687" t="s">
        <v>14331</v>
      </c>
      <c r="O4687" t="s">
        <v>14333</v>
      </c>
    </row>
    <row r="4688" spans="1:15" x14ac:dyDescent="0.25">
      <c r="A4688" s="35" t="s">
        <v>8275</v>
      </c>
      <c r="B4688" s="36" t="s">
        <v>8276</v>
      </c>
      <c r="C4688" s="36" t="str">
        <f>HYPERLINK("https://rhld.insurance.arkansas.gov/NPILookup?Npi=1760699938","1760699938")</f>
        <v>1760699938</v>
      </c>
      <c r="D4688" s="36" t="s">
        <v>36936</v>
      </c>
      <c r="E4688" s="36" t="s">
        <v>2</v>
      </c>
      <c r="F4688" s="36">
        <v>1</v>
      </c>
      <c r="G4688" s="36">
        <v>3</v>
      </c>
      <c r="H4688" s="36">
        <v>0</v>
      </c>
      <c r="I4688" s="37">
        <v>0</v>
      </c>
      <c r="J4688" s="36" t="s">
        <v>36190</v>
      </c>
      <c r="K4688" s="36" t="s">
        <v>14330</v>
      </c>
      <c r="L4688" s="36" t="s">
        <v>14330</v>
      </c>
      <c r="M4688">
        <v>3</v>
      </c>
      <c r="N4688" t="s">
        <v>14331</v>
      </c>
      <c r="O4688" t="s">
        <v>14333</v>
      </c>
    </row>
    <row r="4689" spans="1:15" x14ac:dyDescent="0.25">
      <c r="A4689" s="35" t="s">
        <v>8275</v>
      </c>
      <c r="B4689" s="36" t="s">
        <v>8276</v>
      </c>
      <c r="C4689" s="36" t="str">
        <f>HYPERLINK("https://rhld.insurance.arkansas.gov/NPILookup?Npi=1760742084","1760742084")</f>
        <v>1760742084</v>
      </c>
      <c r="D4689" s="36" t="s">
        <v>36937</v>
      </c>
      <c r="E4689" s="36" t="s">
        <v>2</v>
      </c>
      <c r="F4689" s="36">
        <v>1</v>
      </c>
      <c r="G4689" s="36">
        <v>3</v>
      </c>
      <c r="H4689" s="36">
        <v>0</v>
      </c>
      <c r="I4689" s="37">
        <v>0</v>
      </c>
      <c r="J4689" s="36" t="s">
        <v>36190</v>
      </c>
      <c r="K4689" s="36" t="s">
        <v>14330</v>
      </c>
      <c r="L4689" s="36" t="s">
        <v>14330</v>
      </c>
      <c r="M4689">
        <v>1</v>
      </c>
      <c r="N4689" t="s">
        <v>14331</v>
      </c>
      <c r="O4689" t="s">
        <v>14333</v>
      </c>
    </row>
    <row r="4690" spans="1:15" x14ac:dyDescent="0.25">
      <c r="A4690" s="35" t="s">
        <v>8275</v>
      </c>
      <c r="B4690" s="36" t="s">
        <v>8276</v>
      </c>
      <c r="C4690" s="36" t="str">
        <f>HYPERLINK("https://rhld.insurance.arkansas.gov/NPILookup?Npi=1760842868","1760842868")</f>
        <v>1760842868</v>
      </c>
      <c r="D4690" s="36" t="s">
        <v>35871</v>
      </c>
      <c r="E4690" s="36" t="s">
        <v>2</v>
      </c>
      <c r="F4690" s="36">
        <v>1</v>
      </c>
      <c r="G4690" s="36">
        <v>1</v>
      </c>
      <c r="H4690" s="36">
        <v>0</v>
      </c>
      <c r="I4690" s="37">
        <v>0</v>
      </c>
      <c r="J4690" s="36"/>
      <c r="K4690" s="36" t="s">
        <v>14330</v>
      </c>
      <c r="L4690" s="36" t="s">
        <v>14330</v>
      </c>
      <c r="M4690">
        <v>3</v>
      </c>
      <c r="N4690" t="s">
        <v>14331</v>
      </c>
      <c r="O4690" t="s">
        <v>32633</v>
      </c>
    </row>
    <row r="4691" spans="1:15" x14ac:dyDescent="0.25">
      <c r="A4691" s="35" t="s">
        <v>8275</v>
      </c>
      <c r="B4691" s="36" t="s">
        <v>8276</v>
      </c>
      <c r="C4691" s="36" t="str">
        <f>HYPERLINK("https://rhld.insurance.arkansas.gov/NPILookup?Npi=1760892756","1760892756")</f>
        <v>1760892756</v>
      </c>
      <c r="D4691" s="36" t="s">
        <v>36938</v>
      </c>
      <c r="E4691" s="36" t="s">
        <v>2</v>
      </c>
      <c r="F4691" s="36">
        <v>1</v>
      </c>
      <c r="G4691" s="36">
        <v>3</v>
      </c>
      <c r="H4691" s="36">
        <v>0</v>
      </c>
      <c r="I4691" s="37">
        <v>0</v>
      </c>
      <c r="J4691" s="36" t="s">
        <v>36190</v>
      </c>
      <c r="K4691" s="36" t="s">
        <v>14330</v>
      </c>
      <c r="L4691" s="36" t="s">
        <v>14330</v>
      </c>
      <c r="M4691">
        <v>3</v>
      </c>
      <c r="N4691" t="s">
        <v>14331</v>
      </c>
      <c r="O4691" t="s">
        <v>14333</v>
      </c>
    </row>
    <row r="4692" spans="1:15" x14ac:dyDescent="0.25">
      <c r="A4692" s="35" t="s">
        <v>8275</v>
      </c>
      <c r="B4692" s="36" t="s">
        <v>8276</v>
      </c>
      <c r="C4692" s="36" t="str">
        <f>HYPERLINK("https://rhld.insurance.arkansas.gov/NPILookup?Npi=1760957351","1760957351")</f>
        <v>1760957351</v>
      </c>
      <c r="D4692" s="36" t="s">
        <v>36939</v>
      </c>
      <c r="E4692" s="36" t="s">
        <v>2</v>
      </c>
      <c r="F4692" s="36">
        <v>1</v>
      </c>
      <c r="G4692" s="36">
        <v>3</v>
      </c>
      <c r="H4692" s="36">
        <v>0</v>
      </c>
      <c r="I4692" s="37">
        <v>0</v>
      </c>
      <c r="J4692" s="36" t="s">
        <v>36190</v>
      </c>
      <c r="K4692" s="36" t="s">
        <v>14330</v>
      </c>
      <c r="L4692" s="36" t="s">
        <v>14330</v>
      </c>
      <c r="M4692">
        <v>2</v>
      </c>
      <c r="N4692" t="s">
        <v>14331</v>
      </c>
      <c r="O4692" t="s">
        <v>14333</v>
      </c>
    </row>
    <row r="4693" spans="1:15" x14ac:dyDescent="0.25">
      <c r="A4693" s="35" t="s">
        <v>8275</v>
      </c>
      <c r="B4693" s="36" t="s">
        <v>8276</v>
      </c>
      <c r="C4693" s="36" t="str">
        <f>HYPERLINK("https://rhld.insurance.arkansas.gov/NPILookup?Npi=1760964829","1760964829")</f>
        <v>1760964829</v>
      </c>
      <c r="D4693" s="36" t="s">
        <v>35876</v>
      </c>
      <c r="E4693" s="36" t="s">
        <v>2</v>
      </c>
      <c r="F4693" s="36">
        <v>1</v>
      </c>
      <c r="G4693" s="36">
        <v>2</v>
      </c>
      <c r="H4693" s="36">
        <v>0</v>
      </c>
      <c r="I4693" s="37">
        <v>0</v>
      </c>
      <c r="J4693" s="36"/>
      <c r="K4693" s="36" t="s">
        <v>14330</v>
      </c>
      <c r="L4693" s="36" t="s">
        <v>14330</v>
      </c>
      <c r="M4693">
        <v>3</v>
      </c>
      <c r="N4693" t="s">
        <v>14331</v>
      </c>
      <c r="O4693" t="s">
        <v>14333</v>
      </c>
    </row>
    <row r="4694" spans="1:15" x14ac:dyDescent="0.25">
      <c r="A4694" s="35" t="s">
        <v>8275</v>
      </c>
      <c r="B4694" s="36" t="s">
        <v>8276</v>
      </c>
      <c r="C4694" s="36" t="str">
        <f>HYPERLINK("https://rhld.insurance.arkansas.gov/NPILookup?Npi=1770040222","1770040222")</f>
        <v>1770040222</v>
      </c>
      <c r="D4694" s="36" t="s">
        <v>36940</v>
      </c>
      <c r="E4694" s="36" t="s">
        <v>2</v>
      </c>
      <c r="F4694" s="36">
        <v>1</v>
      </c>
      <c r="G4694" s="36">
        <v>3</v>
      </c>
      <c r="H4694" s="36">
        <v>0</v>
      </c>
      <c r="I4694" s="37">
        <v>0</v>
      </c>
      <c r="J4694" s="36" t="s">
        <v>36190</v>
      </c>
      <c r="K4694" s="36" t="s">
        <v>14330</v>
      </c>
      <c r="L4694" s="36" t="s">
        <v>14330</v>
      </c>
      <c r="M4694">
        <v>2</v>
      </c>
      <c r="N4694" t="s">
        <v>14331</v>
      </c>
      <c r="O4694" t="s">
        <v>14333</v>
      </c>
    </row>
    <row r="4695" spans="1:15" x14ac:dyDescent="0.25">
      <c r="A4695" s="35" t="s">
        <v>8275</v>
      </c>
      <c r="B4695" s="36" t="s">
        <v>8276</v>
      </c>
      <c r="C4695" s="36" t="str">
        <f>HYPERLINK("https://rhld.insurance.arkansas.gov/NPILookup?Npi=1770048084","1770048084")</f>
        <v>1770048084</v>
      </c>
      <c r="D4695" s="36" t="s">
        <v>36941</v>
      </c>
      <c r="E4695" s="36" t="s">
        <v>2</v>
      </c>
      <c r="F4695" s="36">
        <v>1</v>
      </c>
      <c r="G4695" s="36">
        <v>2</v>
      </c>
      <c r="H4695" s="36">
        <v>0</v>
      </c>
      <c r="I4695" s="37">
        <v>0</v>
      </c>
      <c r="J4695" s="36" t="s">
        <v>36190</v>
      </c>
      <c r="K4695" s="36" t="s">
        <v>14330</v>
      </c>
      <c r="L4695" s="36" t="s">
        <v>14330</v>
      </c>
      <c r="M4695">
        <v>3</v>
      </c>
      <c r="N4695" t="s">
        <v>14331</v>
      </c>
      <c r="O4695" t="s">
        <v>14333</v>
      </c>
    </row>
    <row r="4696" spans="1:15" x14ac:dyDescent="0.25">
      <c r="A4696" s="35" t="s">
        <v>8275</v>
      </c>
      <c r="B4696" s="36" t="s">
        <v>8276</v>
      </c>
      <c r="C4696" s="36" t="str">
        <f>HYPERLINK("https://rhld.insurance.arkansas.gov/NPILookup?Npi=1770065799","1770065799")</f>
        <v>1770065799</v>
      </c>
      <c r="D4696" s="36" t="s">
        <v>36942</v>
      </c>
      <c r="E4696" s="36" t="s">
        <v>2</v>
      </c>
      <c r="F4696" s="36">
        <v>1</v>
      </c>
      <c r="G4696" s="36">
        <v>3</v>
      </c>
      <c r="H4696" s="36">
        <v>0</v>
      </c>
      <c r="I4696" s="37">
        <v>0</v>
      </c>
      <c r="J4696" s="36" t="s">
        <v>36190</v>
      </c>
      <c r="K4696" s="36" t="s">
        <v>14330</v>
      </c>
      <c r="L4696" s="36" t="s">
        <v>14330</v>
      </c>
      <c r="M4696">
        <v>2</v>
      </c>
      <c r="N4696" t="s">
        <v>14331</v>
      </c>
      <c r="O4696" t="s">
        <v>14333</v>
      </c>
    </row>
    <row r="4697" spans="1:15" x14ac:dyDescent="0.25">
      <c r="A4697" s="35" t="s">
        <v>8275</v>
      </c>
      <c r="B4697" s="36" t="s">
        <v>8276</v>
      </c>
      <c r="C4697" s="36" t="str">
        <f>HYPERLINK("https://rhld.insurance.arkansas.gov/NPILookup?Npi=1770072332","1770072332")</f>
        <v>1770072332</v>
      </c>
      <c r="D4697" s="36" t="s">
        <v>36943</v>
      </c>
      <c r="E4697" s="36" t="s">
        <v>2</v>
      </c>
      <c r="F4697" s="36">
        <v>1</v>
      </c>
      <c r="G4697" s="36">
        <v>2</v>
      </c>
      <c r="H4697" s="36">
        <v>0</v>
      </c>
      <c r="I4697" s="37">
        <v>0</v>
      </c>
      <c r="J4697" s="36" t="s">
        <v>36190</v>
      </c>
      <c r="K4697" s="36" t="s">
        <v>14330</v>
      </c>
      <c r="L4697" s="36" t="s">
        <v>14330</v>
      </c>
      <c r="M4697">
        <v>1</v>
      </c>
      <c r="N4697" t="s">
        <v>14331</v>
      </c>
      <c r="O4697" t="s">
        <v>14333</v>
      </c>
    </row>
    <row r="4698" spans="1:15" x14ac:dyDescent="0.25">
      <c r="A4698" s="35" t="s">
        <v>8275</v>
      </c>
      <c r="B4698" s="36" t="s">
        <v>8276</v>
      </c>
      <c r="C4698" s="36" t="str">
        <f>HYPERLINK("https://rhld.insurance.arkansas.gov/NPILookup?Npi=1770136202","1770136202")</f>
        <v>1770136202</v>
      </c>
      <c r="D4698" s="36" t="s">
        <v>35878</v>
      </c>
      <c r="E4698" s="36" t="s">
        <v>2</v>
      </c>
      <c r="F4698" s="36">
        <v>1</v>
      </c>
      <c r="G4698" s="36">
        <v>1</v>
      </c>
      <c r="H4698" s="36">
        <v>0</v>
      </c>
      <c r="I4698" s="37">
        <v>0</v>
      </c>
      <c r="J4698" s="36"/>
      <c r="K4698" s="36" t="s">
        <v>14330</v>
      </c>
      <c r="L4698" s="36" t="s">
        <v>14330</v>
      </c>
      <c r="M4698">
        <v>1</v>
      </c>
      <c r="N4698" t="s">
        <v>14331</v>
      </c>
      <c r="O4698" t="s">
        <v>32633</v>
      </c>
    </row>
    <row r="4699" spans="1:15" x14ac:dyDescent="0.25">
      <c r="A4699" s="35" t="s">
        <v>8275</v>
      </c>
      <c r="B4699" s="36" t="s">
        <v>8276</v>
      </c>
      <c r="C4699" s="36" t="str">
        <f>HYPERLINK("https://rhld.insurance.arkansas.gov/NPILookup?Npi=1770153538","1770153538")</f>
        <v>1770153538</v>
      </c>
      <c r="D4699" s="36" t="s">
        <v>35879</v>
      </c>
      <c r="E4699" s="36" t="s">
        <v>2</v>
      </c>
      <c r="F4699" s="36">
        <v>1</v>
      </c>
      <c r="G4699" s="36">
        <v>1</v>
      </c>
      <c r="H4699" s="36">
        <v>0</v>
      </c>
      <c r="I4699" s="37">
        <v>0</v>
      </c>
      <c r="J4699" s="36"/>
      <c r="K4699" s="36" t="s">
        <v>14330</v>
      </c>
      <c r="L4699" s="36" t="s">
        <v>14330</v>
      </c>
      <c r="M4699">
        <v>1</v>
      </c>
      <c r="N4699" t="s">
        <v>14331</v>
      </c>
      <c r="O4699" t="s">
        <v>32633</v>
      </c>
    </row>
    <row r="4700" spans="1:15" x14ac:dyDescent="0.25">
      <c r="A4700" s="35" t="s">
        <v>8275</v>
      </c>
      <c r="B4700" s="36" t="s">
        <v>8276</v>
      </c>
      <c r="C4700" s="36" t="str">
        <f>HYPERLINK("https://rhld.insurance.arkansas.gov/NPILookup?Npi=1770162703","1770162703")</f>
        <v>1770162703</v>
      </c>
      <c r="D4700" s="36" t="s">
        <v>36944</v>
      </c>
      <c r="E4700" s="36" t="s">
        <v>2</v>
      </c>
      <c r="F4700" s="36">
        <v>1</v>
      </c>
      <c r="G4700" s="36">
        <v>1</v>
      </c>
      <c r="H4700" s="36">
        <v>0</v>
      </c>
      <c r="I4700" s="37">
        <v>0</v>
      </c>
      <c r="J4700" s="36"/>
      <c r="K4700" s="36" t="s">
        <v>14330</v>
      </c>
      <c r="L4700" s="36" t="s">
        <v>14330</v>
      </c>
      <c r="M4700">
        <v>2</v>
      </c>
      <c r="N4700" t="s">
        <v>14331</v>
      </c>
      <c r="O4700" t="s">
        <v>32633</v>
      </c>
    </row>
    <row r="4701" spans="1:15" x14ac:dyDescent="0.25">
      <c r="A4701" s="35" t="s">
        <v>8275</v>
      </c>
      <c r="B4701" s="36" t="s">
        <v>8276</v>
      </c>
      <c r="C4701" s="36" t="str">
        <f>HYPERLINK("https://rhld.insurance.arkansas.gov/NPILookup?Npi=1770165706","1770165706")</f>
        <v>1770165706</v>
      </c>
      <c r="D4701" s="36" t="s">
        <v>35880</v>
      </c>
      <c r="E4701" s="36" t="s">
        <v>2</v>
      </c>
      <c r="F4701" s="36">
        <v>1</v>
      </c>
      <c r="G4701" s="36">
        <v>2</v>
      </c>
      <c r="H4701" s="36">
        <v>0</v>
      </c>
      <c r="I4701" s="37">
        <v>0</v>
      </c>
      <c r="J4701" s="36"/>
      <c r="K4701" s="36" t="s">
        <v>14330</v>
      </c>
      <c r="L4701" s="36" t="s">
        <v>14330</v>
      </c>
      <c r="M4701">
        <v>1</v>
      </c>
      <c r="N4701" t="s">
        <v>14331</v>
      </c>
      <c r="O4701" t="s">
        <v>14333</v>
      </c>
    </row>
    <row r="4702" spans="1:15" x14ac:dyDescent="0.25">
      <c r="A4702" s="35" t="s">
        <v>8275</v>
      </c>
      <c r="B4702" s="36" t="s">
        <v>8276</v>
      </c>
      <c r="C4702" s="36" t="str">
        <f>HYPERLINK("https://rhld.insurance.arkansas.gov/NPILookup?Npi=1770185068","1770185068")</f>
        <v>1770185068</v>
      </c>
      <c r="D4702" s="36" t="s">
        <v>35881</v>
      </c>
      <c r="E4702" s="36" t="s">
        <v>2</v>
      </c>
      <c r="F4702" s="36">
        <v>1</v>
      </c>
      <c r="G4702" s="36">
        <v>1</v>
      </c>
      <c r="H4702" s="36">
        <v>0</v>
      </c>
      <c r="I4702" s="37">
        <v>0</v>
      </c>
      <c r="J4702" s="36"/>
      <c r="K4702" s="36" t="s">
        <v>14330</v>
      </c>
      <c r="L4702" s="36" t="s">
        <v>14330</v>
      </c>
      <c r="M4702">
        <v>1</v>
      </c>
      <c r="N4702" t="s">
        <v>14331</v>
      </c>
      <c r="O4702" t="s">
        <v>32633</v>
      </c>
    </row>
    <row r="4703" spans="1:15" x14ac:dyDescent="0.25">
      <c r="A4703" s="35" t="s">
        <v>8275</v>
      </c>
      <c r="B4703" s="36" t="s">
        <v>8276</v>
      </c>
      <c r="C4703" s="36" t="str">
        <f>HYPERLINK("https://rhld.insurance.arkansas.gov/NPILookup?Npi=1770228330","1770228330")</f>
        <v>1770228330</v>
      </c>
      <c r="D4703" s="36" t="s">
        <v>35883</v>
      </c>
      <c r="E4703" s="36" t="s">
        <v>2</v>
      </c>
      <c r="F4703" s="36">
        <v>1</v>
      </c>
      <c r="G4703" s="36">
        <v>1</v>
      </c>
      <c r="H4703" s="36">
        <v>0</v>
      </c>
      <c r="I4703" s="37">
        <v>0</v>
      </c>
      <c r="J4703" s="36"/>
      <c r="K4703" s="36" t="s">
        <v>14330</v>
      </c>
      <c r="L4703" s="36" t="s">
        <v>14330</v>
      </c>
      <c r="M4703">
        <v>2</v>
      </c>
      <c r="N4703" t="s">
        <v>14331</v>
      </c>
      <c r="O4703" t="s">
        <v>32633</v>
      </c>
    </row>
    <row r="4704" spans="1:15" x14ac:dyDescent="0.25">
      <c r="A4704" s="35" t="s">
        <v>8275</v>
      </c>
      <c r="B4704" s="36" t="s">
        <v>8276</v>
      </c>
      <c r="C4704" s="36" t="str">
        <f>HYPERLINK("https://rhld.insurance.arkansas.gov/NPILookup?Npi=1770358780","1770358780")</f>
        <v>1770358780</v>
      </c>
      <c r="D4704" s="36" t="s">
        <v>36945</v>
      </c>
      <c r="E4704" s="36" t="s">
        <v>2</v>
      </c>
      <c r="F4704" s="36">
        <v>1</v>
      </c>
      <c r="G4704" s="36">
        <v>2</v>
      </c>
      <c r="H4704" s="36">
        <v>0</v>
      </c>
      <c r="I4704" s="37">
        <v>0</v>
      </c>
      <c r="J4704" s="36" t="s">
        <v>36190</v>
      </c>
      <c r="K4704" s="36" t="s">
        <v>14330</v>
      </c>
      <c r="L4704" s="36" t="s">
        <v>14330</v>
      </c>
      <c r="M4704">
        <v>3</v>
      </c>
      <c r="N4704" t="s">
        <v>14331</v>
      </c>
      <c r="O4704" t="s">
        <v>14333</v>
      </c>
    </row>
    <row r="4705" spans="1:15" x14ac:dyDescent="0.25">
      <c r="A4705" s="35" t="s">
        <v>8275</v>
      </c>
      <c r="B4705" s="36" t="s">
        <v>8276</v>
      </c>
      <c r="C4705" s="36" t="str">
        <f>HYPERLINK("https://rhld.insurance.arkansas.gov/NPILookup?Npi=1770661704","1770661704")</f>
        <v>1770661704</v>
      </c>
      <c r="D4705" s="36" t="s">
        <v>36946</v>
      </c>
      <c r="E4705" s="36" t="s">
        <v>2</v>
      </c>
      <c r="F4705" s="36">
        <v>1</v>
      </c>
      <c r="G4705" s="36">
        <v>3</v>
      </c>
      <c r="H4705" s="36">
        <v>0</v>
      </c>
      <c r="I4705" s="37">
        <v>0</v>
      </c>
      <c r="J4705" s="36" t="s">
        <v>36190</v>
      </c>
      <c r="K4705" s="36" t="s">
        <v>14330</v>
      </c>
      <c r="L4705" s="36" t="s">
        <v>14330</v>
      </c>
      <c r="M4705">
        <v>1</v>
      </c>
      <c r="N4705" t="s">
        <v>14331</v>
      </c>
      <c r="O4705" t="s">
        <v>14333</v>
      </c>
    </row>
    <row r="4706" spans="1:15" x14ac:dyDescent="0.25">
      <c r="A4706" s="35" t="s">
        <v>8275</v>
      </c>
      <c r="B4706" s="36" t="s">
        <v>8276</v>
      </c>
      <c r="C4706" s="36" t="str">
        <f>HYPERLINK("https://rhld.insurance.arkansas.gov/NPILookup?Npi=1770780280","1770780280")</f>
        <v>1770780280</v>
      </c>
      <c r="D4706" s="36" t="s">
        <v>36947</v>
      </c>
      <c r="E4706" s="36" t="s">
        <v>2</v>
      </c>
      <c r="F4706" s="36">
        <v>1</v>
      </c>
      <c r="G4706" s="36">
        <v>1</v>
      </c>
      <c r="H4706" s="36">
        <v>0</v>
      </c>
      <c r="I4706" s="37">
        <v>0</v>
      </c>
      <c r="J4706" s="36"/>
      <c r="K4706" s="36" t="s">
        <v>14330</v>
      </c>
      <c r="L4706" s="36" t="s">
        <v>14330</v>
      </c>
      <c r="M4706">
        <v>2</v>
      </c>
      <c r="N4706" t="s">
        <v>14331</v>
      </c>
      <c r="O4706" t="s">
        <v>32633</v>
      </c>
    </row>
    <row r="4707" spans="1:15" x14ac:dyDescent="0.25">
      <c r="A4707" s="35" t="s">
        <v>8275</v>
      </c>
      <c r="B4707" s="36" t="s">
        <v>8276</v>
      </c>
      <c r="C4707" s="36" t="str">
        <f>HYPERLINK("https://rhld.insurance.arkansas.gov/NPILookup?Npi=1770808396","1770808396")</f>
        <v>1770808396</v>
      </c>
      <c r="D4707" s="36" t="s">
        <v>35887</v>
      </c>
      <c r="E4707" s="36" t="s">
        <v>1</v>
      </c>
      <c r="F4707" s="36">
        <v>1</v>
      </c>
      <c r="G4707" s="36">
        <v>2</v>
      </c>
      <c r="H4707" s="36">
        <v>0</v>
      </c>
      <c r="I4707" s="37">
        <v>0</v>
      </c>
      <c r="J4707" s="36" t="s">
        <v>32654</v>
      </c>
      <c r="K4707" s="36" t="s">
        <v>14330</v>
      </c>
      <c r="L4707" s="36" t="s">
        <v>14330</v>
      </c>
      <c r="M4707">
        <v>3</v>
      </c>
      <c r="N4707" t="s">
        <v>14331</v>
      </c>
      <c r="O4707" t="s">
        <v>32633</v>
      </c>
    </row>
    <row r="4708" spans="1:15" x14ac:dyDescent="0.25">
      <c r="A4708" s="35" t="s">
        <v>8275</v>
      </c>
      <c r="B4708" s="36" t="s">
        <v>8276</v>
      </c>
      <c r="C4708" s="36" t="str">
        <f>HYPERLINK("https://rhld.insurance.arkansas.gov/NPILookup?Npi=1770908998","1770908998")</f>
        <v>1770908998</v>
      </c>
      <c r="D4708" s="36" t="s">
        <v>36948</v>
      </c>
      <c r="E4708" s="36" t="s">
        <v>2</v>
      </c>
      <c r="F4708" s="36">
        <v>1</v>
      </c>
      <c r="G4708" s="36">
        <v>3</v>
      </c>
      <c r="H4708" s="36">
        <v>0</v>
      </c>
      <c r="I4708" s="37">
        <v>0</v>
      </c>
      <c r="J4708" s="36" t="s">
        <v>36190</v>
      </c>
      <c r="K4708" s="36" t="s">
        <v>14330</v>
      </c>
      <c r="L4708" s="36" t="s">
        <v>14330</v>
      </c>
      <c r="M4708">
        <v>1</v>
      </c>
      <c r="N4708" t="s">
        <v>14331</v>
      </c>
      <c r="O4708" t="s">
        <v>14333</v>
      </c>
    </row>
    <row r="4709" spans="1:15" x14ac:dyDescent="0.25">
      <c r="A4709" s="35" t="s">
        <v>8275</v>
      </c>
      <c r="B4709" s="36" t="s">
        <v>8276</v>
      </c>
      <c r="C4709" s="36" t="str">
        <f>HYPERLINK("https://rhld.insurance.arkansas.gov/NPILookup?Npi=1770941171","1770941171")</f>
        <v>1770941171</v>
      </c>
      <c r="D4709" s="36" t="s">
        <v>35889</v>
      </c>
      <c r="E4709" s="36" t="s">
        <v>2</v>
      </c>
      <c r="F4709" s="36">
        <v>1</v>
      </c>
      <c r="G4709" s="36">
        <v>1</v>
      </c>
      <c r="H4709" s="36">
        <v>0</v>
      </c>
      <c r="I4709" s="37">
        <v>0</v>
      </c>
      <c r="J4709" s="36"/>
      <c r="K4709" s="36" t="s">
        <v>14330</v>
      </c>
      <c r="L4709" s="36" t="s">
        <v>14330</v>
      </c>
      <c r="M4709">
        <v>3</v>
      </c>
      <c r="N4709" t="s">
        <v>14331</v>
      </c>
      <c r="O4709" t="s">
        <v>32633</v>
      </c>
    </row>
    <row r="4710" spans="1:15" x14ac:dyDescent="0.25">
      <c r="A4710" s="35" t="s">
        <v>8275</v>
      </c>
      <c r="B4710" s="36" t="s">
        <v>8276</v>
      </c>
      <c r="C4710" s="36" t="str">
        <f>HYPERLINK("https://rhld.insurance.arkansas.gov/NPILookup?Npi=1780027144","1780027144")</f>
        <v>1780027144</v>
      </c>
      <c r="D4710" s="36" t="s">
        <v>36949</v>
      </c>
      <c r="E4710" s="36" t="s">
        <v>2</v>
      </c>
      <c r="F4710" s="36">
        <v>1</v>
      </c>
      <c r="G4710" s="36">
        <v>3</v>
      </c>
      <c r="H4710" s="36">
        <v>0</v>
      </c>
      <c r="I4710" s="37">
        <v>0</v>
      </c>
      <c r="J4710" s="36" t="s">
        <v>36190</v>
      </c>
      <c r="K4710" s="36" t="s">
        <v>14330</v>
      </c>
      <c r="L4710" s="36" t="s">
        <v>14330</v>
      </c>
      <c r="M4710">
        <v>2</v>
      </c>
      <c r="N4710" t="s">
        <v>14331</v>
      </c>
      <c r="O4710" t="s">
        <v>14333</v>
      </c>
    </row>
    <row r="4711" spans="1:15" x14ac:dyDescent="0.25">
      <c r="A4711" s="35" t="s">
        <v>8275</v>
      </c>
      <c r="B4711" s="36" t="s">
        <v>8276</v>
      </c>
      <c r="C4711" s="36" t="str">
        <f>HYPERLINK("https://rhld.insurance.arkansas.gov/NPILookup?Npi=1780075473","1780075473")</f>
        <v>1780075473</v>
      </c>
      <c r="D4711" s="36" t="s">
        <v>36950</v>
      </c>
      <c r="E4711" s="36" t="s">
        <v>2</v>
      </c>
      <c r="F4711" s="36">
        <v>1</v>
      </c>
      <c r="G4711" s="36">
        <v>2</v>
      </c>
      <c r="H4711" s="36">
        <v>0</v>
      </c>
      <c r="I4711" s="37">
        <v>0</v>
      </c>
      <c r="J4711" s="36" t="s">
        <v>36190</v>
      </c>
      <c r="K4711" s="36" t="s">
        <v>14330</v>
      </c>
      <c r="L4711" s="36" t="s">
        <v>14330</v>
      </c>
      <c r="M4711">
        <v>2</v>
      </c>
      <c r="N4711" t="s">
        <v>14331</v>
      </c>
      <c r="O4711" t="s">
        <v>14333</v>
      </c>
    </row>
    <row r="4712" spans="1:15" x14ac:dyDescent="0.25">
      <c r="A4712" s="35" t="s">
        <v>8275</v>
      </c>
      <c r="B4712" s="36" t="s">
        <v>8276</v>
      </c>
      <c r="C4712" s="36" t="str">
        <f>HYPERLINK("https://rhld.insurance.arkansas.gov/NPILookup?Npi=1780099598","1780099598")</f>
        <v>1780099598</v>
      </c>
      <c r="D4712" s="36" t="s">
        <v>34790</v>
      </c>
      <c r="E4712" s="36" t="s">
        <v>2</v>
      </c>
      <c r="F4712" s="36">
        <v>1</v>
      </c>
      <c r="G4712" s="36">
        <v>2</v>
      </c>
      <c r="H4712" s="36">
        <v>0</v>
      </c>
      <c r="I4712" s="37">
        <v>0</v>
      </c>
      <c r="J4712" s="36"/>
      <c r="K4712" s="36" t="s">
        <v>14330</v>
      </c>
      <c r="L4712" s="36" t="s">
        <v>14330</v>
      </c>
      <c r="M4712">
        <v>2</v>
      </c>
      <c r="N4712" t="s">
        <v>14331</v>
      </c>
      <c r="O4712" t="s">
        <v>14333</v>
      </c>
    </row>
    <row r="4713" spans="1:15" x14ac:dyDescent="0.25">
      <c r="A4713" s="35" t="s">
        <v>8275</v>
      </c>
      <c r="B4713" s="36" t="s">
        <v>8276</v>
      </c>
      <c r="C4713" s="36" t="str">
        <f>HYPERLINK("https://rhld.insurance.arkansas.gov/NPILookup?Npi=1780107219","1780107219")</f>
        <v>1780107219</v>
      </c>
      <c r="D4713" s="36" t="s">
        <v>35891</v>
      </c>
      <c r="E4713" s="36" t="s">
        <v>2</v>
      </c>
      <c r="F4713" s="36">
        <v>1</v>
      </c>
      <c r="G4713" s="36">
        <v>2</v>
      </c>
      <c r="H4713" s="36">
        <v>0</v>
      </c>
      <c r="I4713" s="37">
        <v>0</v>
      </c>
      <c r="J4713" s="36"/>
      <c r="K4713" s="36" t="s">
        <v>14330</v>
      </c>
      <c r="L4713" s="36" t="s">
        <v>14330</v>
      </c>
      <c r="M4713">
        <v>2</v>
      </c>
      <c r="N4713" t="s">
        <v>14331</v>
      </c>
      <c r="O4713" t="s">
        <v>14333</v>
      </c>
    </row>
    <row r="4714" spans="1:15" x14ac:dyDescent="0.25">
      <c r="A4714" s="35" t="s">
        <v>8275</v>
      </c>
      <c r="B4714" s="36" t="s">
        <v>8276</v>
      </c>
      <c r="C4714" s="36" t="str">
        <f>HYPERLINK("https://rhld.insurance.arkansas.gov/NPILookup?Npi=1780137349","1780137349")</f>
        <v>1780137349</v>
      </c>
      <c r="D4714" s="36" t="s">
        <v>36951</v>
      </c>
      <c r="E4714" s="36" t="s">
        <v>2</v>
      </c>
      <c r="F4714" s="36">
        <v>1</v>
      </c>
      <c r="G4714" s="36">
        <v>2</v>
      </c>
      <c r="H4714" s="36">
        <v>0</v>
      </c>
      <c r="I4714" s="37">
        <v>0</v>
      </c>
      <c r="J4714" s="36" t="s">
        <v>36190</v>
      </c>
      <c r="K4714" s="36" t="s">
        <v>14330</v>
      </c>
      <c r="L4714" s="36" t="s">
        <v>14330</v>
      </c>
      <c r="M4714">
        <v>3</v>
      </c>
      <c r="N4714" t="s">
        <v>14331</v>
      </c>
      <c r="O4714" t="s">
        <v>14333</v>
      </c>
    </row>
    <row r="4715" spans="1:15" x14ac:dyDescent="0.25">
      <c r="A4715" s="35" t="s">
        <v>8275</v>
      </c>
      <c r="B4715" s="36" t="s">
        <v>8276</v>
      </c>
      <c r="C4715" s="36" t="str">
        <f>HYPERLINK("https://rhld.insurance.arkansas.gov/NPILookup?Npi=1780160085","1780160085")</f>
        <v>1780160085</v>
      </c>
      <c r="D4715" s="36" t="s">
        <v>36952</v>
      </c>
      <c r="E4715" s="36" t="s">
        <v>2</v>
      </c>
      <c r="F4715" s="36">
        <v>1</v>
      </c>
      <c r="G4715" s="36">
        <v>3</v>
      </c>
      <c r="H4715" s="36">
        <v>0</v>
      </c>
      <c r="I4715" s="37">
        <v>0</v>
      </c>
      <c r="J4715" s="36" t="s">
        <v>36190</v>
      </c>
      <c r="K4715" s="36" t="s">
        <v>14330</v>
      </c>
      <c r="L4715" s="36" t="s">
        <v>14330</v>
      </c>
      <c r="M4715">
        <v>2</v>
      </c>
      <c r="N4715" t="s">
        <v>14331</v>
      </c>
      <c r="O4715" t="s">
        <v>14333</v>
      </c>
    </row>
    <row r="4716" spans="1:15" x14ac:dyDescent="0.25">
      <c r="A4716" s="35" t="s">
        <v>8275</v>
      </c>
      <c r="B4716" s="36" t="s">
        <v>8276</v>
      </c>
      <c r="C4716" s="36" t="str">
        <f>HYPERLINK("https://rhld.insurance.arkansas.gov/NPILookup?Npi=1780169441","1780169441")</f>
        <v>1780169441</v>
      </c>
      <c r="D4716" s="36" t="s">
        <v>36953</v>
      </c>
      <c r="E4716" s="36" t="s">
        <v>2</v>
      </c>
      <c r="F4716" s="36">
        <v>1</v>
      </c>
      <c r="G4716" s="36">
        <v>2</v>
      </c>
      <c r="H4716" s="36">
        <v>0</v>
      </c>
      <c r="I4716" s="37">
        <v>0</v>
      </c>
      <c r="J4716" s="36" t="s">
        <v>32679</v>
      </c>
      <c r="K4716" s="36" t="s">
        <v>14330</v>
      </c>
      <c r="L4716" s="36" t="s">
        <v>14330</v>
      </c>
      <c r="M4716">
        <v>2</v>
      </c>
      <c r="N4716" t="s">
        <v>14331</v>
      </c>
      <c r="O4716" t="s">
        <v>14333</v>
      </c>
    </row>
    <row r="4717" spans="1:15" x14ac:dyDescent="0.25">
      <c r="A4717" s="35" t="s">
        <v>8275</v>
      </c>
      <c r="B4717" s="36" t="s">
        <v>8276</v>
      </c>
      <c r="C4717" s="36" t="str">
        <f>HYPERLINK("https://rhld.insurance.arkansas.gov/NPILookup?Npi=1780244517","1780244517")</f>
        <v>1780244517</v>
      </c>
      <c r="D4717" s="36" t="s">
        <v>36954</v>
      </c>
      <c r="E4717" s="36" t="s">
        <v>2</v>
      </c>
      <c r="F4717" s="36">
        <v>1</v>
      </c>
      <c r="G4717" s="36">
        <v>2</v>
      </c>
      <c r="H4717" s="36">
        <v>0</v>
      </c>
      <c r="I4717" s="37">
        <v>0</v>
      </c>
      <c r="J4717" s="36" t="s">
        <v>36190</v>
      </c>
      <c r="K4717" s="36" t="s">
        <v>14330</v>
      </c>
      <c r="L4717" s="36" t="s">
        <v>14330</v>
      </c>
      <c r="M4717">
        <v>2</v>
      </c>
      <c r="N4717" t="s">
        <v>14331</v>
      </c>
      <c r="O4717" t="s">
        <v>14333</v>
      </c>
    </row>
    <row r="4718" spans="1:15" x14ac:dyDescent="0.25">
      <c r="A4718" s="35" t="s">
        <v>8275</v>
      </c>
      <c r="B4718" s="36" t="s">
        <v>8276</v>
      </c>
      <c r="C4718" s="36" t="str">
        <f>HYPERLINK("https://rhld.insurance.arkansas.gov/NPILookup?Npi=1780295048","1780295048")</f>
        <v>1780295048</v>
      </c>
      <c r="D4718" s="36" t="s">
        <v>36955</v>
      </c>
      <c r="E4718" s="36" t="s">
        <v>2</v>
      </c>
      <c r="F4718" s="36">
        <v>1</v>
      </c>
      <c r="G4718" s="36">
        <v>2</v>
      </c>
      <c r="H4718" s="36">
        <v>0</v>
      </c>
      <c r="I4718" s="37">
        <v>0</v>
      </c>
      <c r="J4718" s="36" t="s">
        <v>36190</v>
      </c>
      <c r="K4718" s="36" t="s">
        <v>14330</v>
      </c>
      <c r="L4718" s="36" t="s">
        <v>14330</v>
      </c>
      <c r="M4718">
        <v>3</v>
      </c>
      <c r="N4718" t="s">
        <v>14331</v>
      </c>
      <c r="O4718" t="s">
        <v>14333</v>
      </c>
    </row>
    <row r="4719" spans="1:15" x14ac:dyDescent="0.25">
      <c r="A4719" s="35" t="s">
        <v>8275</v>
      </c>
      <c r="B4719" s="36" t="s">
        <v>8276</v>
      </c>
      <c r="C4719" s="36" t="str">
        <f>HYPERLINK("https://rhld.insurance.arkansas.gov/NPILookup?Npi=1780302935","1780302935")</f>
        <v>1780302935</v>
      </c>
      <c r="D4719" s="36" t="s">
        <v>36956</v>
      </c>
      <c r="E4719" s="36" t="s">
        <v>2</v>
      </c>
      <c r="F4719" s="36">
        <v>1</v>
      </c>
      <c r="G4719" s="36">
        <v>3</v>
      </c>
      <c r="H4719" s="36">
        <v>0</v>
      </c>
      <c r="I4719" s="37">
        <v>0</v>
      </c>
      <c r="J4719" s="36" t="s">
        <v>36190</v>
      </c>
      <c r="K4719" s="36" t="s">
        <v>14330</v>
      </c>
      <c r="L4719" s="36" t="s">
        <v>14330</v>
      </c>
      <c r="M4719">
        <v>1</v>
      </c>
      <c r="N4719" t="s">
        <v>14331</v>
      </c>
      <c r="O4719" t="s">
        <v>14333</v>
      </c>
    </row>
    <row r="4720" spans="1:15" x14ac:dyDescent="0.25">
      <c r="A4720" s="35" t="s">
        <v>8275</v>
      </c>
      <c r="B4720" s="36" t="s">
        <v>8276</v>
      </c>
      <c r="C4720" s="36" t="str">
        <f>HYPERLINK("https://rhld.insurance.arkansas.gov/NPILookup?Npi=1780486530","1780486530")</f>
        <v>1780486530</v>
      </c>
      <c r="D4720" s="36" t="s">
        <v>35894</v>
      </c>
      <c r="E4720" s="36" t="s">
        <v>2</v>
      </c>
      <c r="F4720" s="36">
        <v>1</v>
      </c>
      <c r="G4720" s="36">
        <v>1</v>
      </c>
      <c r="H4720" s="36">
        <v>0</v>
      </c>
      <c r="I4720" s="37">
        <v>0</v>
      </c>
      <c r="J4720" s="36"/>
      <c r="K4720" s="36" t="s">
        <v>14330</v>
      </c>
      <c r="L4720" s="36" t="s">
        <v>14330</v>
      </c>
      <c r="M4720">
        <v>2</v>
      </c>
      <c r="N4720" t="s">
        <v>14331</v>
      </c>
      <c r="O4720" t="s">
        <v>32633</v>
      </c>
    </row>
    <row r="4721" spans="1:15" x14ac:dyDescent="0.25">
      <c r="A4721" s="35" t="s">
        <v>8275</v>
      </c>
      <c r="B4721" s="36" t="s">
        <v>8276</v>
      </c>
      <c r="C4721" s="36" t="str">
        <f>HYPERLINK("https://rhld.insurance.arkansas.gov/NPILookup?Npi=1780604066","1780604066")</f>
        <v>1780604066</v>
      </c>
      <c r="D4721" s="36" t="s">
        <v>36957</v>
      </c>
      <c r="E4721" s="36" t="s">
        <v>2</v>
      </c>
      <c r="F4721" s="36">
        <v>1</v>
      </c>
      <c r="G4721" s="36">
        <v>2</v>
      </c>
      <c r="H4721" s="36">
        <v>0</v>
      </c>
      <c r="I4721" s="37">
        <v>0</v>
      </c>
      <c r="J4721" s="36" t="s">
        <v>36190</v>
      </c>
      <c r="K4721" s="36" t="s">
        <v>14330</v>
      </c>
      <c r="L4721" s="36" t="s">
        <v>14330</v>
      </c>
      <c r="M4721">
        <v>2</v>
      </c>
      <c r="N4721" t="s">
        <v>14331</v>
      </c>
      <c r="O4721" t="s">
        <v>14333</v>
      </c>
    </row>
    <row r="4722" spans="1:15" x14ac:dyDescent="0.25">
      <c r="A4722" s="35" t="s">
        <v>8275</v>
      </c>
      <c r="B4722" s="36" t="s">
        <v>8276</v>
      </c>
      <c r="C4722" s="36" t="str">
        <f>HYPERLINK("https://rhld.insurance.arkansas.gov/NPILookup?Npi=1780651505","1780651505")</f>
        <v>1780651505</v>
      </c>
      <c r="D4722" s="36" t="s">
        <v>36958</v>
      </c>
      <c r="E4722" s="36" t="s">
        <v>2</v>
      </c>
      <c r="F4722" s="36">
        <v>1</v>
      </c>
      <c r="G4722" s="36">
        <v>2</v>
      </c>
      <c r="H4722" s="36">
        <v>0</v>
      </c>
      <c r="I4722" s="37">
        <v>0</v>
      </c>
      <c r="J4722" s="36" t="s">
        <v>36190</v>
      </c>
      <c r="K4722" s="36" t="s">
        <v>14330</v>
      </c>
      <c r="L4722" s="36" t="s">
        <v>14330</v>
      </c>
      <c r="M4722">
        <v>3</v>
      </c>
      <c r="N4722" t="s">
        <v>14331</v>
      </c>
      <c r="O4722" t="s">
        <v>14333</v>
      </c>
    </row>
    <row r="4723" spans="1:15" x14ac:dyDescent="0.25">
      <c r="A4723" s="35" t="s">
        <v>8275</v>
      </c>
      <c r="B4723" s="36" t="s">
        <v>8276</v>
      </c>
      <c r="C4723" s="36" t="str">
        <f>HYPERLINK("https://rhld.insurance.arkansas.gov/NPILookup?Npi=1780670604","1780670604")</f>
        <v>1780670604</v>
      </c>
      <c r="D4723" s="36" t="s">
        <v>36959</v>
      </c>
      <c r="E4723" s="36" t="s">
        <v>2</v>
      </c>
      <c r="F4723" s="36">
        <v>1</v>
      </c>
      <c r="G4723" s="36">
        <v>3</v>
      </c>
      <c r="H4723" s="36">
        <v>0</v>
      </c>
      <c r="I4723" s="37">
        <v>0</v>
      </c>
      <c r="J4723" s="36" t="s">
        <v>36190</v>
      </c>
      <c r="K4723" s="36" t="s">
        <v>14330</v>
      </c>
      <c r="L4723" s="36" t="s">
        <v>14330</v>
      </c>
      <c r="M4723">
        <v>3</v>
      </c>
      <c r="N4723" t="s">
        <v>14331</v>
      </c>
      <c r="O4723" t="s">
        <v>14333</v>
      </c>
    </row>
    <row r="4724" spans="1:15" x14ac:dyDescent="0.25">
      <c r="A4724" s="35" t="s">
        <v>8275</v>
      </c>
      <c r="B4724" s="36" t="s">
        <v>8276</v>
      </c>
      <c r="C4724" s="36" t="str">
        <f>HYPERLINK("https://rhld.insurance.arkansas.gov/NPILookup?Npi=1780677666","1780677666")</f>
        <v>1780677666</v>
      </c>
      <c r="D4724" s="36" t="s">
        <v>36960</v>
      </c>
      <c r="E4724" s="36" t="s">
        <v>2</v>
      </c>
      <c r="F4724" s="36">
        <v>1</v>
      </c>
      <c r="G4724" s="36">
        <v>3</v>
      </c>
      <c r="H4724" s="36">
        <v>0</v>
      </c>
      <c r="I4724" s="37">
        <v>0</v>
      </c>
      <c r="J4724" s="36" t="s">
        <v>36190</v>
      </c>
      <c r="K4724" s="36" t="s">
        <v>14330</v>
      </c>
      <c r="L4724" s="36" t="s">
        <v>14330</v>
      </c>
      <c r="M4724">
        <v>3</v>
      </c>
      <c r="N4724" t="s">
        <v>14331</v>
      </c>
      <c r="O4724" t="s">
        <v>14333</v>
      </c>
    </row>
    <row r="4725" spans="1:15" x14ac:dyDescent="0.25">
      <c r="A4725" s="35" t="s">
        <v>8275</v>
      </c>
      <c r="B4725" s="36" t="s">
        <v>8276</v>
      </c>
      <c r="C4725" s="36" t="str">
        <f>HYPERLINK("https://rhld.insurance.arkansas.gov/NPILookup?Npi=1780680538","1780680538")</f>
        <v>1780680538</v>
      </c>
      <c r="D4725" s="36" t="s">
        <v>36961</v>
      </c>
      <c r="E4725" s="36" t="s">
        <v>2</v>
      </c>
      <c r="F4725" s="36">
        <v>1</v>
      </c>
      <c r="G4725" s="36">
        <v>3</v>
      </c>
      <c r="H4725" s="36">
        <v>0</v>
      </c>
      <c r="I4725" s="37">
        <v>0</v>
      </c>
      <c r="J4725" s="36" t="s">
        <v>36190</v>
      </c>
      <c r="K4725" s="36" t="s">
        <v>14330</v>
      </c>
      <c r="L4725" s="36" t="s">
        <v>14330</v>
      </c>
      <c r="M4725">
        <v>2</v>
      </c>
      <c r="N4725" t="s">
        <v>14331</v>
      </c>
      <c r="O4725" t="s">
        <v>14333</v>
      </c>
    </row>
    <row r="4726" spans="1:15" x14ac:dyDescent="0.25">
      <c r="A4726" s="35" t="s">
        <v>8275</v>
      </c>
      <c r="B4726" s="36" t="s">
        <v>8276</v>
      </c>
      <c r="C4726" s="36" t="str">
        <f>HYPERLINK("https://rhld.insurance.arkansas.gov/NPILookup?Npi=1780774281","1780774281")</f>
        <v>1780774281</v>
      </c>
      <c r="D4726" s="36" t="s">
        <v>36962</v>
      </c>
      <c r="E4726" s="36" t="s">
        <v>1</v>
      </c>
      <c r="F4726" s="36">
        <v>1</v>
      </c>
      <c r="G4726" s="36">
        <v>2</v>
      </c>
      <c r="H4726" s="36">
        <v>0</v>
      </c>
      <c r="I4726" s="37">
        <v>0</v>
      </c>
      <c r="J4726" s="36" t="s">
        <v>32654</v>
      </c>
      <c r="K4726" s="36" t="s">
        <v>14330</v>
      </c>
      <c r="L4726" s="36" t="s">
        <v>14330</v>
      </c>
      <c r="M4726">
        <v>3</v>
      </c>
      <c r="N4726" t="s">
        <v>14331</v>
      </c>
      <c r="O4726" t="s">
        <v>32633</v>
      </c>
    </row>
    <row r="4727" spans="1:15" x14ac:dyDescent="0.25">
      <c r="A4727" s="35" t="s">
        <v>8275</v>
      </c>
      <c r="B4727" s="36" t="s">
        <v>8276</v>
      </c>
      <c r="C4727" s="36" t="str">
        <f>HYPERLINK("https://rhld.insurance.arkansas.gov/NPILookup?Npi=1780815985","1780815985")</f>
        <v>1780815985</v>
      </c>
      <c r="D4727" s="36" t="s">
        <v>36963</v>
      </c>
      <c r="E4727" s="36" t="s">
        <v>2</v>
      </c>
      <c r="F4727" s="36">
        <v>1</v>
      </c>
      <c r="G4727" s="36">
        <v>3</v>
      </c>
      <c r="H4727" s="36">
        <v>0</v>
      </c>
      <c r="I4727" s="37">
        <v>0</v>
      </c>
      <c r="J4727" s="36" t="s">
        <v>36190</v>
      </c>
      <c r="K4727" s="36" t="s">
        <v>14330</v>
      </c>
      <c r="L4727" s="36" t="s">
        <v>14330</v>
      </c>
      <c r="M4727">
        <v>2</v>
      </c>
      <c r="N4727" t="s">
        <v>14331</v>
      </c>
      <c r="O4727" t="s">
        <v>14333</v>
      </c>
    </row>
    <row r="4728" spans="1:15" x14ac:dyDescent="0.25">
      <c r="A4728" s="35" t="s">
        <v>8275</v>
      </c>
      <c r="B4728" s="36" t="s">
        <v>8276</v>
      </c>
      <c r="C4728" s="36" t="str">
        <f>HYPERLINK("https://rhld.insurance.arkansas.gov/NPILookup?Npi=1780833707","1780833707")</f>
        <v>1780833707</v>
      </c>
      <c r="D4728" s="36" t="s">
        <v>36964</v>
      </c>
      <c r="E4728" s="36" t="s">
        <v>2</v>
      </c>
      <c r="F4728" s="36">
        <v>1</v>
      </c>
      <c r="G4728" s="36">
        <v>2</v>
      </c>
      <c r="H4728" s="36">
        <v>0</v>
      </c>
      <c r="I4728" s="37">
        <v>0</v>
      </c>
      <c r="J4728" s="36" t="s">
        <v>36190</v>
      </c>
      <c r="K4728" s="36" t="s">
        <v>14330</v>
      </c>
      <c r="L4728" s="36" t="s">
        <v>14330</v>
      </c>
      <c r="M4728">
        <v>3</v>
      </c>
      <c r="N4728" t="s">
        <v>14331</v>
      </c>
      <c r="O4728" t="s">
        <v>14333</v>
      </c>
    </row>
    <row r="4729" spans="1:15" x14ac:dyDescent="0.25">
      <c r="A4729" s="35" t="s">
        <v>8275</v>
      </c>
      <c r="B4729" s="36" t="s">
        <v>8276</v>
      </c>
      <c r="C4729" s="36" t="str">
        <f>HYPERLINK("https://rhld.insurance.arkansas.gov/NPILookup?Npi=1780917443","1780917443")</f>
        <v>1780917443</v>
      </c>
      <c r="D4729" s="36" t="s">
        <v>36965</v>
      </c>
      <c r="E4729" s="36" t="s">
        <v>2</v>
      </c>
      <c r="F4729" s="36">
        <v>1</v>
      </c>
      <c r="G4729" s="36">
        <v>3</v>
      </c>
      <c r="H4729" s="36">
        <v>0</v>
      </c>
      <c r="I4729" s="37">
        <v>0</v>
      </c>
      <c r="J4729" s="36" t="s">
        <v>36190</v>
      </c>
      <c r="K4729" s="36" t="s">
        <v>14330</v>
      </c>
      <c r="L4729" s="36" t="s">
        <v>14330</v>
      </c>
      <c r="M4729">
        <v>2</v>
      </c>
      <c r="N4729" t="s">
        <v>14331</v>
      </c>
      <c r="O4729" t="s">
        <v>14333</v>
      </c>
    </row>
    <row r="4730" spans="1:15" x14ac:dyDescent="0.25">
      <c r="A4730" s="35" t="s">
        <v>8275</v>
      </c>
      <c r="B4730" s="36" t="s">
        <v>8276</v>
      </c>
      <c r="C4730" s="36" t="str">
        <f>HYPERLINK("https://rhld.insurance.arkansas.gov/NPILookup?Npi=1790058709","1790058709")</f>
        <v>1790058709</v>
      </c>
      <c r="D4730" s="36" t="s">
        <v>36966</v>
      </c>
      <c r="E4730" s="36" t="s">
        <v>2</v>
      </c>
      <c r="F4730" s="36">
        <v>1</v>
      </c>
      <c r="G4730" s="36">
        <v>2</v>
      </c>
      <c r="H4730" s="36">
        <v>0</v>
      </c>
      <c r="I4730" s="37">
        <v>0</v>
      </c>
      <c r="J4730" s="36" t="s">
        <v>36190</v>
      </c>
      <c r="K4730" s="36" t="s">
        <v>14330</v>
      </c>
      <c r="L4730" s="36" t="s">
        <v>14330</v>
      </c>
      <c r="M4730">
        <v>2</v>
      </c>
      <c r="N4730" t="s">
        <v>14331</v>
      </c>
      <c r="O4730" t="s">
        <v>14333</v>
      </c>
    </row>
    <row r="4731" spans="1:15" x14ac:dyDescent="0.25">
      <c r="A4731" s="35" t="s">
        <v>8275</v>
      </c>
      <c r="B4731" s="36" t="s">
        <v>8276</v>
      </c>
      <c r="C4731" s="36" t="str">
        <f>HYPERLINK("https://rhld.insurance.arkansas.gov/NPILookup?Npi=1790506780","1790506780")</f>
        <v>1790506780</v>
      </c>
      <c r="D4731" s="36" t="s">
        <v>34796</v>
      </c>
      <c r="E4731" s="36" t="s">
        <v>2</v>
      </c>
      <c r="F4731" s="36">
        <v>1</v>
      </c>
      <c r="G4731" s="36">
        <v>2</v>
      </c>
      <c r="H4731" s="36">
        <v>0</v>
      </c>
      <c r="I4731" s="37">
        <v>0</v>
      </c>
      <c r="J4731" s="36"/>
      <c r="K4731" s="36" t="s">
        <v>14330</v>
      </c>
      <c r="L4731" s="36" t="s">
        <v>14330</v>
      </c>
      <c r="M4731">
        <v>3</v>
      </c>
      <c r="N4731" t="s">
        <v>14331</v>
      </c>
      <c r="O4731" t="s">
        <v>14333</v>
      </c>
    </row>
    <row r="4732" spans="1:15" x14ac:dyDescent="0.25">
      <c r="A4732" s="35" t="s">
        <v>8275</v>
      </c>
      <c r="B4732" s="36" t="s">
        <v>8276</v>
      </c>
      <c r="C4732" s="36" t="str">
        <f>HYPERLINK("https://rhld.insurance.arkansas.gov/NPILookup?Npi=1790753929","1790753929")</f>
        <v>1790753929</v>
      </c>
      <c r="D4732" s="36" t="s">
        <v>36967</v>
      </c>
      <c r="E4732" s="36" t="s">
        <v>2</v>
      </c>
      <c r="F4732" s="36">
        <v>1</v>
      </c>
      <c r="G4732" s="36">
        <v>3</v>
      </c>
      <c r="H4732" s="36">
        <v>0</v>
      </c>
      <c r="I4732" s="37">
        <v>0</v>
      </c>
      <c r="J4732" s="36" t="s">
        <v>36190</v>
      </c>
      <c r="K4732" s="36" t="s">
        <v>14330</v>
      </c>
      <c r="L4732" s="36" t="s">
        <v>14330</v>
      </c>
      <c r="M4732">
        <v>2</v>
      </c>
      <c r="N4732" t="s">
        <v>14331</v>
      </c>
      <c r="O4732" t="s">
        <v>14333</v>
      </c>
    </row>
    <row r="4733" spans="1:15" x14ac:dyDescent="0.25">
      <c r="A4733" s="35" t="s">
        <v>8275</v>
      </c>
      <c r="B4733" s="36" t="s">
        <v>8276</v>
      </c>
      <c r="C4733" s="36" t="str">
        <f>HYPERLINK("https://rhld.insurance.arkansas.gov/NPILookup?Npi=1790980126","1790980126")</f>
        <v>1790980126</v>
      </c>
      <c r="D4733" s="36" t="s">
        <v>36968</v>
      </c>
      <c r="E4733" s="36" t="s">
        <v>1</v>
      </c>
      <c r="F4733" s="36">
        <v>1</v>
      </c>
      <c r="G4733" s="36">
        <v>2</v>
      </c>
      <c r="H4733" s="36">
        <v>0</v>
      </c>
      <c r="I4733" s="37">
        <v>0</v>
      </c>
      <c r="J4733" s="36" t="s">
        <v>32654</v>
      </c>
      <c r="K4733" s="36" t="s">
        <v>14330</v>
      </c>
      <c r="L4733" s="36" t="s">
        <v>14330</v>
      </c>
      <c r="M4733">
        <v>3</v>
      </c>
      <c r="N4733" t="s">
        <v>14331</v>
      </c>
      <c r="O4733" t="s">
        <v>32633</v>
      </c>
    </row>
    <row r="4734" spans="1:15" x14ac:dyDescent="0.25">
      <c r="A4734" s="35" t="s">
        <v>8275</v>
      </c>
      <c r="B4734" s="36" t="s">
        <v>8276</v>
      </c>
      <c r="C4734" s="36" t="str">
        <f>HYPERLINK("https://rhld.insurance.arkansas.gov/NPILookup?Npi=1801073531","1801073531")</f>
        <v>1801073531</v>
      </c>
      <c r="D4734" s="36" t="s">
        <v>36969</v>
      </c>
      <c r="E4734" s="36" t="s">
        <v>2</v>
      </c>
      <c r="F4734" s="36">
        <v>1</v>
      </c>
      <c r="G4734" s="36">
        <v>3</v>
      </c>
      <c r="H4734" s="36">
        <v>0</v>
      </c>
      <c r="I4734" s="37">
        <v>0</v>
      </c>
      <c r="J4734" s="36" t="s">
        <v>36190</v>
      </c>
      <c r="K4734" s="36" t="s">
        <v>14330</v>
      </c>
      <c r="L4734" s="36" t="s">
        <v>14330</v>
      </c>
      <c r="M4734">
        <v>3</v>
      </c>
      <c r="N4734" t="s">
        <v>14331</v>
      </c>
      <c r="O4734" t="s">
        <v>14333</v>
      </c>
    </row>
    <row r="4735" spans="1:15" x14ac:dyDescent="0.25">
      <c r="A4735" s="35" t="s">
        <v>8275</v>
      </c>
      <c r="B4735" s="36" t="s">
        <v>8276</v>
      </c>
      <c r="C4735" s="36" t="str">
        <f>HYPERLINK("https://rhld.insurance.arkansas.gov/NPILookup?Npi=1801277959","1801277959")</f>
        <v>1801277959</v>
      </c>
      <c r="D4735" s="36" t="s">
        <v>36970</v>
      </c>
      <c r="E4735" s="36" t="s">
        <v>2</v>
      </c>
      <c r="F4735" s="36">
        <v>1</v>
      </c>
      <c r="G4735" s="36">
        <v>3</v>
      </c>
      <c r="H4735" s="36">
        <v>0</v>
      </c>
      <c r="I4735" s="37">
        <v>0</v>
      </c>
      <c r="J4735" s="36" t="s">
        <v>36190</v>
      </c>
      <c r="K4735" s="36" t="s">
        <v>14330</v>
      </c>
      <c r="L4735" s="36" t="s">
        <v>14330</v>
      </c>
      <c r="M4735">
        <v>3</v>
      </c>
      <c r="N4735" t="s">
        <v>14331</v>
      </c>
      <c r="O4735" t="s">
        <v>14333</v>
      </c>
    </row>
    <row r="4736" spans="1:15" x14ac:dyDescent="0.25">
      <c r="A4736" s="35" t="s">
        <v>8275</v>
      </c>
      <c r="B4736" s="36" t="s">
        <v>8276</v>
      </c>
      <c r="C4736" s="36" t="str">
        <f>HYPERLINK("https://rhld.insurance.arkansas.gov/NPILookup?Npi=1801381579","1801381579")</f>
        <v>1801381579</v>
      </c>
      <c r="D4736" s="36" t="s">
        <v>36971</v>
      </c>
      <c r="E4736" s="36" t="s">
        <v>2</v>
      </c>
      <c r="F4736" s="36">
        <v>1</v>
      </c>
      <c r="G4736" s="36">
        <v>3</v>
      </c>
      <c r="H4736" s="36">
        <v>0</v>
      </c>
      <c r="I4736" s="37">
        <v>0</v>
      </c>
      <c r="J4736" s="36" t="s">
        <v>36190</v>
      </c>
      <c r="K4736" s="36" t="s">
        <v>14330</v>
      </c>
      <c r="L4736" s="36" t="s">
        <v>14330</v>
      </c>
      <c r="M4736">
        <v>2</v>
      </c>
      <c r="N4736" t="s">
        <v>14331</v>
      </c>
      <c r="O4736" t="s">
        <v>14333</v>
      </c>
    </row>
    <row r="4737" spans="1:15" x14ac:dyDescent="0.25">
      <c r="A4737" s="35" t="s">
        <v>8275</v>
      </c>
      <c r="B4737" s="36" t="s">
        <v>8276</v>
      </c>
      <c r="C4737" s="36" t="str">
        <f>HYPERLINK("https://rhld.insurance.arkansas.gov/NPILookup?Npi=1801388160","1801388160")</f>
        <v>1801388160</v>
      </c>
      <c r="D4737" s="36" t="s">
        <v>36972</v>
      </c>
      <c r="E4737" s="36" t="s">
        <v>2</v>
      </c>
      <c r="F4737" s="36">
        <v>1</v>
      </c>
      <c r="G4737" s="36">
        <v>2</v>
      </c>
      <c r="H4737" s="36">
        <v>0</v>
      </c>
      <c r="I4737" s="37">
        <v>0</v>
      </c>
      <c r="J4737" s="36" t="s">
        <v>36190</v>
      </c>
      <c r="K4737" s="36" t="s">
        <v>14330</v>
      </c>
      <c r="L4737" s="36" t="s">
        <v>14330</v>
      </c>
      <c r="M4737">
        <v>1</v>
      </c>
      <c r="N4737" t="s">
        <v>14331</v>
      </c>
      <c r="O4737" t="s">
        <v>14333</v>
      </c>
    </row>
    <row r="4738" spans="1:15" x14ac:dyDescent="0.25">
      <c r="A4738" s="35" t="s">
        <v>8275</v>
      </c>
      <c r="B4738" s="36" t="s">
        <v>8276</v>
      </c>
      <c r="C4738" s="36" t="str">
        <f>HYPERLINK("https://rhld.insurance.arkansas.gov/NPILookup?Npi=1801473905","1801473905")</f>
        <v>1801473905</v>
      </c>
      <c r="D4738" s="36" t="s">
        <v>35920</v>
      </c>
      <c r="E4738" s="36" t="s">
        <v>2</v>
      </c>
      <c r="F4738" s="36">
        <v>1</v>
      </c>
      <c r="G4738" s="36">
        <v>1</v>
      </c>
      <c r="H4738" s="36">
        <v>0</v>
      </c>
      <c r="I4738" s="37">
        <v>0</v>
      </c>
      <c r="J4738" s="36"/>
      <c r="K4738" s="36" t="s">
        <v>14330</v>
      </c>
      <c r="L4738" s="36" t="s">
        <v>14330</v>
      </c>
      <c r="M4738">
        <v>2</v>
      </c>
      <c r="N4738" t="s">
        <v>14331</v>
      </c>
      <c r="O4738" t="s">
        <v>32633</v>
      </c>
    </row>
    <row r="4739" spans="1:15" x14ac:dyDescent="0.25">
      <c r="A4739" s="35" t="s">
        <v>8275</v>
      </c>
      <c r="B4739" s="36" t="s">
        <v>8276</v>
      </c>
      <c r="C4739" s="36" t="str">
        <f>HYPERLINK("https://rhld.insurance.arkansas.gov/NPILookup?Npi=1801535836","1801535836")</f>
        <v>1801535836</v>
      </c>
      <c r="D4739" s="36" t="s">
        <v>36973</v>
      </c>
      <c r="E4739" s="36" t="s">
        <v>2</v>
      </c>
      <c r="F4739" s="36">
        <v>1</v>
      </c>
      <c r="G4739" s="36">
        <v>2</v>
      </c>
      <c r="H4739" s="36">
        <v>0</v>
      </c>
      <c r="I4739" s="37">
        <v>0</v>
      </c>
      <c r="J4739" s="36" t="s">
        <v>36190</v>
      </c>
      <c r="K4739" s="36" t="s">
        <v>14330</v>
      </c>
      <c r="L4739" s="36" t="s">
        <v>14330</v>
      </c>
      <c r="M4739">
        <v>2</v>
      </c>
      <c r="N4739" t="s">
        <v>14331</v>
      </c>
      <c r="O4739" t="s">
        <v>14333</v>
      </c>
    </row>
    <row r="4740" spans="1:15" x14ac:dyDescent="0.25">
      <c r="A4740" s="35" t="s">
        <v>8275</v>
      </c>
      <c r="B4740" s="36" t="s">
        <v>8276</v>
      </c>
      <c r="C4740" s="36" t="str">
        <f>HYPERLINK("https://rhld.insurance.arkansas.gov/NPILookup?Npi=1801570403","1801570403")</f>
        <v>1801570403</v>
      </c>
      <c r="D4740" s="36" t="s">
        <v>36974</v>
      </c>
      <c r="E4740" s="36" t="s">
        <v>2</v>
      </c>
      <c r="F4740" s="36">
        <v>1</v>
      </c>
      <c r="G4740" s="36">
        <v>2</v>
      </c>
      <c r="H4740" s="36">
        <v>0</v>
      </c>
      <c r="I4740" s="37">
        <v>0</v>
      </c>
      <c r="J4740" s="36" t="s">
        <v>36190</v>
      </c>
      <c r="K4740" s="36" t="s">
        <v>14330</v>
      </c>
      <c r="L4740" s="36" t="s">
        <v>14330</v>
      </c>
      <c r="M4740">
        <v>3</v>
      </c>
      <c r="N4740" t="s">
        <v>14331</v>
      </c>
      <c r="O4740" t="s">
        <v>14333</v>
      </c>
    </row>
    <row r="4741" spans="1:15" x14ac:dyDescent="0.25">
      <c r="A4741" s="35" t="s">
        <v>8275</v>
      </c>
      <c r="B4741" s="36" t="s">
        <v>8276</v>
      </c>
      <c r="C4741" s="36" t="str">
        <f>HYPERLINK("https://rhld.insurance.arkansas.gov/NPILookup?Npi=1801573282","1801573282")</f>
        <v>1801573282</v>
      </c>
      <c r="D4741" s="36" t="s">
        <v>31272</v>
      </c>
      <c r="E4741" s="36" t="s">
        <v>2</v>
      </c>
      <c r="F4741" s="36">
        <v>1</v>
      </c>
      <c r="G4741" s="36">
        <v>3</v>
      </c>
      <c r="H4741" s="36">
        <v>0</v>
      </c>
      <c r="I4741" s="37">
        <v>0</v>
      </c>
      <c r="J4741" s="36" t="s">
        <v>36190</v>
      </c>
      <c r="K4741" s="36" t="s">
        <v>14330</v>
      </c>
      <c r="L4741" s="36" t="s">
        <v>14330</v>
      </c>
      <c r="M4741">
        <v>1</v>
      </c>
      <c r="N4741" t="s">
        <v>14331</v>
      </c>
      <c r="O4741" t="s">
        <v>14333</v>
      </c>
    </row>
    <row r="4742" spans="1:15" x14ac:dyDescent="0.25">
      <c r="A4742" s="35" t="s">
        <v>8275</v>
      </c>
      <c r="B4742" s="36" t="s">
        <v>8276</v>
      </c>
      <c r="C4742" s="36" t="str">
        <f>HYPERLINK("https://rhld.insurance.arkansas.gov/NPILookup?Npi=1801615786","1801615786")</f>
        <v>1801615786</v>
      </c>
      <c r="D4742" s="36" t="s">
        <v>35921</v>
      </c>
      <c r="E4742" s="36" t="s">
        <v>2</v>
      </c>
      <c r="F4742" s="36">
        <v>1</v>
      </c>
      <c r="G4742" s="36">
        <v>1</v>
      </c>
      <c r="H4742" s="36">
        <v>0</v>
      </c>
      <c r="I4742" s="37">
        <v>0</v>
      </c>
      <c r="J4742" s="36"/>
      <c r="K4742" s="36" t="s">
        <v>14330</v>
      </c>
      <c r="L4742" s="36" t="s">
        <v>14330</v>
      </c>
      <c r="M4742">
        <v>3</v>
      </c>
      <c r="N4742" t="s">
        <v>14331</v>
      </c>
      <c r="O4742" t="s">
        <v>32633</v>
      </c>
    </row>
    <row r="4743" spans="1:15" x14ac:dyDescent="0.25">
      <c r="A4743" s="35" t="s">
        <v>8275</v>
      </c>
      <c r="B4743" s="36" t="s">
        <v>8276</v>
      </c>
      <c r="C4743" s="36" t="str">
        <f>HYPERLINK("https://rhld.insurance.arkansas.gov/NPILookup?Npi=1801653688","1801653688")</f>
        <v>1801653688</v>
      </c>
      <c r="D4743" s="36" t="s">
        <v>36975</v>
      </c>
      <c r="E4743" s="36" t="s">
        <v>2</v>
      </c>
      <c r="F4743" s="36">
        <v>1</v>
      </c>
      <c r="G4743" s="36">
        <v>3</v>
      </c>
      <c r="H4743" s="36">
        <v>0</v>
      </c>
      <c r="I4743" s="37">
        <v>0</v>
      </c>
      <c r="J4743" s="36" t="s">
        <v>36190</v>
      </c>
      <c r="K4743" s="36" t="s">
        <v>14330</v>
      </c>
      <c r="L4743" s="36" t="s">
        <v>14330</v>
      </c>
      <c r="M4743">
        <v>2</v>
      </c>
      <c r="N4743" t="s">
        <v>14331</v>
      </c>
      <c r="O4743" t="s">
        <v>14333</v>
      </c>
    </row>
    <row r="4744" spans="1:15" x14ac:dyDescent="0.25">
      <c r="A4744" s="35" t="s">
        <v>8275</v>
      </c>
      <c r="B4744" s="36" t="s">
        <v>8276</v>
      </c>
      <c r="C4744" s="36" t="str">
        <f>HYPERLINK("https://rhld.insurance.arkansas.gov/NPILookup?Npi=1801858188","1801858188")</f>
        <v>1801858188</v>
      </c>
      <c r="D4744" s="36" t="s">
        <v>36976</v>
      </c>
      <c r="E4744" s="36" t="s">
        <v>2</v>
      </c>
      <c r="F4744" s="36">
        <v>1</v>
      </c>
      <c r="G4744" s="36">
        <v>2</v>
      </c>
      <c r="H4744" s="36">
        <v>0</v>
      </c>
      <c r="I4744" s="37">
        <v>0</v>
      </c>
      <c r="J4744" s="36" t="s">
        <v>36190</v>
      </c>
      <c r="K4744" s="36" t="s">
        <v>14330</v>
      </c>
      <c r="L4744" s="36" t="s">
        <v>14330</v>
      </c>
      <c r="M4744">
        <v>3</v>
      </c>
      <c r="N4744" t="s">
        <v>14331</v>
      </c>
      <c r="O4744" t="s">
        <v>14333</v>
      </c>
    </row>
    <row r="4745" spans="1:15" x14ac:dyDescent="0.25">
      <c r="A4745" s="35" t="s">
        <v>8275</v>
      </c>
      <c r="B4745" s="36" t="s">
        <v>8276</v>
      </c>
      <c r="C4745" s="36" t="str">
        <f>HYPERLINK("https://rhld.insurance.arkansas.gov/NPILookup?Npi=1801869185","1801869185")</f>
        <v>1801869185</v>
      </c>
      <c r="D4745" s="36" t="s">
        <v>36977</v>
      </c>
      <c r="E4745" s="36" t="s">
        <v>2</v>
      </c>
      <c r="F4745" s="36">
        <v>1</v>
      </c>
      <c r="G4745" s="36">
        <v>3</v>
      </c>
      <c r="H4745" s="36">
        <v>0</v>
      </c>
      <c r="I4745" s="37">
        <v>0</v>
      </c>
      <c r="J4745" s="36" t="s">
        <v>36190</v>
      </c>
      <c r="K4745" s="36" t="s">
        <v>14330</v>
      </c>
      <c r="L4745" s="36" t="s">
        <v>14330</v>
      </c>
      <c r="M4745">
        <v>3</v>
      </c>
      <c r="N4745" t="s">
        <v>14331</v>
      </c>
      <c r="O4745" t="s">
        <v>14333</v>
      </c>
    </row>
    <row r="4746" spans="1:15" x14ac:dyDescent="0.25">
      <c r="A4746" s="35" t="s">
        <v>8275</v>
      </c>
      <c r="B4746" s="36" t="s">
        <v>8276</v>
      </c>
      <c r="C4746" s="36" t="str">
        <f>HYPERLINK("https://rhld.insurance.arkansas.gov/NPILookup?Npi=1801898630","1801898630")</f>
        <v>1801898630</v>
      </c>
      <c r="D4746" s="36" t="s">
        <v>35924</v>
      </c>
      <c r="E4746" s="36" t="s">
        <v>1</v>
      </c>
      <c r="F4746" s="36">
        <v>1</v>
      </c>
      <c r="G4746" s="36">
        <v>3</v>
      </c>
      <c r="H4746" s="36">
        <v>0</v>
      </c>
      <c r="I4746" s="37">
        <v>0</v>
      </c>
      <c r="J4746" s="36" t="s">
        <v>32654</v>
      </c>
      <c r="K4746" s="36" t="s">
        <v>14330</v>
      </c>
      <c r="L4746" s="36" t="s">
        <v>14330</v>
      </c>
      <c r="M4746">
        <v>3</v>
      </c>
      <c r="N4746" t="s">
        <v>14331</v>
      </c>
      <c r="O4746" t="s">
        <v>32633</v>
      </c>
    </row>
    <row r="4747" spans="1:15" x14ac:dyDescent="0.25">
      <c r="A4747" s="35" t="s">
        <v>8275</v>
      </c>
      <c r="B4747" s="36" t="s">
        <v>8276</v>
      </c>
      <c r="C4747" s="36" t="str">
        <f>HYPERLINK("https://rhld.insurance.arkansas.gov/NPILookup?Npi=1801917877","1801917877")</f>
        <v>1801917877</v>
      </c>
      <c r="D4747" s="36" t="s">
        <v>36978</v>
      </c>
      <c r="E4747" s="36" t="s">
        <v>1</v>
      </c>
      <c r="F4747" s="36">
        <v>1</v>
      </c>
      <c r="G4747" s="36">
        <v>3</v>
      </c>
      <c r="H4747" s="36">
        <v>0</v>
      </c>
      <c r="I4747" s="37">
        <v>0</v>
      </c>
      <c r="J4747" s="36" t="s">
        <v>32654</v>
      </c>
      <c r="K4747" s="36" t="s">
        <v>14330</v>
      </c>
      <c r="L4747" s="36" t="s">
        <v>14330</v>
      </c>
      <c r="M4747">
        <v>3</v>
      </c>
      <c r="N4747" t="s">
        <v>14331</v>
      </c>
      <c r="O4747" t="s">
        <v>32633</v>
      </c>
    </row>
    <row r="4748" spans="1:15" x14ac:dyDescent="0.25">
      <c r="A4748" s="35" t="s">
        <v>8275</v>
      </c>
      <c r="B4748" s="36" t="s">
        <v>8276</v>
      </c>
      <c r="C4748" s="36" t="str">
        <f>HYPERLINK("https://rhld.insurance.arkansas.gov/NPILookup?Npi=1811128028","1811128028")</f>
        <v>1811128028</v>
      </c>
      <c r="D4748" s="36" t="s">
        <v>36979</v>
      </c>
      <c r="E4748" s="36" t="s">
        <v>2</v>
      </c>
      <c r="F4748" s="36">
        <v>1</v>
      </c>
      <c r="G4748" s="36">
        <v>3</v>
      </c>
      <c r="H4748" s="36">
        <v>0</v>
      </c>
      <c r="I4748" s="37">
        <v>0</v>
      </c>
      <c r="J4748" s="36" t="s">
        <v>36190</v>
      </c>
      <c r="K4748" s="36" t="s">
        <v>14330</v>
      </c>
      <c r="L4748" s="36" t="s">
        <v>14330</v>
      </c>
      <c r="M4748">
        <v>2</v>
      </c>
      <c r="N4748" t="s">
        <v>14331</v>
      </c>
      <c r="O4748" t="s">
        <v>14333</v>
      </c>
    </row>
    <row r="4749" spans="1:15" x14ac:dyDescent="0.25">
      <c r="A4749" s="35" t="s">
        <v>8275</v>
      </c>
      <c r="B4749" s="36" t="s">
        <v>8276</v>
      </c>
      <c r="C4749" s="36" t="str">
        <f>HYPERLINK("https://rhld.insurance.arkansas.gov/NPILookup?Npi=1811130867","1811130867")</f>
        <v>1811130867</v>
      </c>
      <c r="D4749" s="36" t="s">
        <v>36980</v>
      </c>
      <c r="E4749" s="36" t="s">
        <v>2</v>
      </c>
      <c r="F4749" s="36">
        <v>1</v>
      </c>
      <c r="G4749" s="36">
        <v>2</v>
      </c>
      <c r="H4749" s="36">
        <v>0</v>
      </c>
      <c r="I4749" s="37">
        <v>0</v>
      </c>
      <c r="J4749" s="36" t="s">
        <v>36190</v>
      </c>
      <c r="K4749" s="36" t="s">
        <v>14330</v>
      </c>
      <c r="L4749" s="36" t="s">
        <v>14330</v>
      </c>
      <c r="M4749">
        <v>2</v>
      </c>
      <c r="N4749" t="s">
        <v>14331</v>
      </c>
      <c r="O4749" t="s">
        <v>14333</v>
      </c>
    </row>
    <row r="4750" spans="1:15" x14ac:dyDescent="0.25">
      <c r="A4750" s="35" t="s">
        <v>8275</v>
      </c>
      <c r="B4750" s="36" t="s">
        <v>8276</v>
      </c>
      <c r="C4750" s="36" t="str">
        <f>HYPERLINK("https://rhld.insurance.arkansas.gov/NPILookup?Npi=1811188568","1811188568")</f>
        <v>1811188568</v>
      </c>
      <c r="D4750" s="36" t="s">
        <v>36981</v>
      </c>
      <c r="E4750" s="36" t="s">
        <v>2</v>
      </c>
      <c r="F4750" s="36">
        <v>1</v>
      </c>
      <c r="G4750" s="36">
        <v>2</v>
      </c>
      <c r="H4750" s="36">
        <v>0</v>
      </c>
      <c r="I4750" s="37">
        <v>0</v>
      </c>
      <c r="J4750" s="36" t="s">
        <v>32679</v>
      </c>
      <c r="K4750" s="36" t="s">
        <v>14330</v>
      </c>
      <c r="L4750" s="36" t="s">
        <v>14330</v>
      </c>
      <c r="M4750">
        <v>3</v>
      </c>
      <c r="N4750" t="s">
        <v>14331</v>
      </c>
      <c r="O4750" t="s">
        <v>14333</v>
      </c>
    </row>
    <row r="4751" spans="1:15" x14ac:dyDescent="0.25">
      <c r="A4751" s="35" t="s">
        <v>8275</v>
      </c>
      <c r="B4751" s="36" t="s">
        <v>8276</v>
      </c>
      <c r="C4751" s="36" t="str">
        <f>HYPERLINK("https://rhld.insurance.arkansas.gov/NPILookup?Npi=1811230691","1811230691")</f>
        <v>1811230691</v>
      </c>
      <c r="D4751" s="36" t="s">
        <v>36982</v>
      </c>
      <c r="E4751" s="36" t="s">
        <v>2</v>
      </c>
      <c r="F4751" s="36">
        <v>1</v>
      </c>
      <c r="G4751" s="36">
        <v>3</v>
      </c>
      <c r="H4751" s="36">
        <v>0</v>
      </c>
      <c r="I4751" s="37">
        <v>0</v>
      </c>
      <c r="J4751" s="36" t="s">
        <v>36190</v>
      </c>
      <c r="K4751" s="36" t="s">
        <v>14330</v>
      </c>
      <c r="L4751" s="36" t="s">
        <v>14330</v>
      </c>
      <c r="M4751">
        <v>3</v>
      </c>
      <c r="N4751" t="s">
        <v>14331</v>
      </c>
      <c r="O4751" t="s">
        <v>14333</v>
      </c>
    </row>
    <row r="4752" spans="1:15" x14ac:dyDescent="0.25">
      <c r="A4752" s="35" t="s">
        <v>8275</v>
      </c>
      <c r="B4752" s="36" t="s">
        <v>8276</v>
      </c>
      <c r="C4752" s="36" t="str">
        <f>HYPERLINK("https://rhld.insurance.arkansas.gov/NPILookup?Npi=1811246127","1811246127")</f>
        <v>1811246127</v>
      </c>
      <c r="D4752" s="36" t="s">
        <v>36983</v>
      </c>
      <c r="E4752" s="36" t="s">
        <v>2</v>
      </c>
      <c r="F4752" s="36">
        <v>1</v>
      </c>
      <c r="G4752" s="36">
        <v>3</v>
      </c>
      <c r="H4752" s="36">
        <v>0</v>
      </c>
      <c r="I4752" s="37">
        <v>0</v>
      </c>
      <c r="J4752" s="36" t="s">
        <v>36190</v>
      </c>
      <c r="K4752" s="36" t="s">
        <v>14330</v>
      </c>
      <c r="L4752" s="36" t="s">
        <v>14330</v>
      </c>
      <c r="M4752">
        <v>2</v>
      </c>
      <c r="N4752" t="s">
        <v>14331</v>
      </c>
      <c r="O4752" t="s">
        <v>14333</v>
      </c>
    </row>
    <row r="4753" spans="1:15" x14ac:dyDescent="0.25">
      <c r="A4753" s="35" t="s">
        <v>8275</v>
      </c>
      <c r="B4753" s="36" t="s">
        <v>8276</v>
      </c>
      <c r="C4753" s="36" t="str">
        <f>HYPERLINK("https://rhld.insurance.arkansas.gov/NPILookup?Npi=1811252752","1811252752")</f>
        <v>1811252752</v>
      </c>
      <c r="D4753" s="36" t="s">
        <v>36984</v>
      </c>
      <c r="E4753" s="36" t="s">
        <v>1</v>
      </c>
      <c r="F4753" s="36">
        <v>1</v>
      </c>
      <c r="G4753" s="36">
        <v>2</v>
      </c>
      <c r="H4753" s="36">
        <v>0</v>
      </c>
      <c r="I4753" s="37">
        <v>0</v>
      </c>
      <c r="J4753" s="36" t="s">
        <v>32723</v>
      </c>
      <c r="K4753" s="36" t="s">
        <v>14330</v>
      </c>
      <c r="L4753" s="36" t="s">
        <v>14330</v>
      </c>
      <c r="M4753">
        <v>2</v>
      </c>
      <c r="N4753" t="s">
        <v>14331</v>
      </c>
      <c r="O4753" t="s">
        <v>32724</v>
      </c>
    </row>
    <row r="4754" spans="1:15" x14ac:dyDescent="0.25">
      <c r="A4754" s="35" t="s">
        <v>8275</v>
      </c>
      <c r="B4754" s="36" t="s">
        <v>8276</v>
      </c>
      <c r="C4754" s="36" t="str">
        <f>HYPERLINK("https://rhld.insurance.arkansas.gov/NPILookup?Npi=1811565948","1811565948")</f>
        <v>1811565948</v>
      </c>
      <c r="D4754" s="36" t="s">
        <v>35933</v>
      </c>
      <c r="E4754" s="36" t="s">
        <v>2</v>
      </c>
      <c r="F4754" s="36">
        <v>1</v>
      </c>
      <c r="G4754" s="36">
        <v>2</v>
      </c>
      <c r="H4754" s="36">
        <v>0</v>
      </c>
      <c r="I4754" s="37">
        <v>0</v>
      </c>
      <c r="J4754" s="36"/>
      <c r="K4754" s="36" t="s">
        <v>14330</v>
      </c>
      <c r="L4754" s="36" t="s">
        <v>14330</v>
      </c>
      <c r="M4754">
        <v>2</v>
      </c>
      <c r="N4754" t="s">
        <v>14331</v>
      </c>
      <c r="O4754" t="s">
        <v>14333</v>
      </c>
    </row>
    <row r="4755" spans="1:15" x14ac:dyDescent="0.25">
      <c r="A4755" s="35" t="s">
        <v>8275</v>
      </c>
      <c r="B4755" s="36" t="s">
        <v>8276</v>
      </c>
      <c r="C4755" s="36" t="str">
        <f>HYPERLINK("https://rhld.insurance.arkansas.gov/NPILookup?Npi=1811575012","1811575012")</f>
        <v>1811575012</v>
      </c>
      <c r="D4755" s="36" t="s">
        <v>35934</v>
      </c>
      <c r="E4755" s="36" t="s">
        <v>2</v>
      </c>
      <c r="F4755" s="36">
        <v>1</v>
      </c>
      <c r="G4755" s="36">
        <v>2</v>
      </c>
      <c r="H4755" s="36">
        <v>0</v>
      </c>
      <c r="I4755" s="37">
        <v>0</v>
      </c>
      <c r="J4755" s="36"/>
      <c r="K4755" s="36" t="s">
        <v>14330</v>
      </c>
      <c r="L4755" s="36" t="s">
        <v>14330</v>
      </c>
      <c r="M4755">
        <v>3</v>
      </c>
      <c r="N4755" t="s">
        <v>14331</v>
      </c>
      <c r="O4755" t="s">
        <v>14333</v>
      </c>
    </row>
    <row r="4756" spans="1:15" x14ac:dyDescent="0.25">
      <c r="A4756" s="35" t="s">
        <v>8275</v>
      </c>
      <c r="B4756" s="36" t="s">
        <v>8276</v>
      </c>
      <c r="C4756" s="36" t="str">
        <f>HYPERLINK("https://rhld.insurance.arkansas.gov/NPILookup?Npi=1811620370","1811620370")</f>
        <v>1811620370</v>
      </c>
      <c r="D4756" s="36" t="s">
        <v>36985</v>
      </c>
      <c r="E4756" s="36" t="s">
        <v>2</v>
      </c>
      <c r="F4756" s="36">
        <v>1</v>
      </c>
      <c r="G4756" s="36">
        <v>3</v>
      </c>
      <c r="H4756" s="36">
        <v>0</v>
      </c>
      <c r="I4756" s="37">
        <v>0</v>
      </c>
      <c r="J4756" s="36" t="s">
        <v>36190</v>
      </c>
      <c r="K4756" s="36" t="s">
        <v>14330</v>
      </c>
      <c r="L4756" s="36" t="s">
        <v>14330</v>
      </c>
      <c r="M4756">
        <v>2</v>
      </c>
      <c r="N4756" t="s">
        <v>14331</v>
      </c>
      <c r="O4756" t="s">
        <v>14333</v>
      </c>
    </row>
    <row r="4757" spans="1:15" x14ac:dyDescent="0.25">
      <c r="A4757" s="35" t="s">
        <v>8275</v>
      </c>
      <c r="B4757" s="36" t="s">
        <v>8276</v>
      </c>
      <c r="C4757" s="36" t="str">
        <f>HYPERLINK("https://rhld.insurance.arkansas.gov/NPILookup?Npi=1811620420","1811620420")</f>
        <v>1811620420</v>
      </c>
      <c r="D4757" s="36" t="s">
        <v>36986</v>
      </c>
      <c r="E4757" s="36" t="s">
        <v>2</v>
      </c>
      <c r="F4757" s="36">
        <v>1</v>
      </c>
      <c r="G4757" s="36">
        <v>2</v>
      </c>
      <c r="H4757" s="36">
        <v>0</v>
      </c>
      <c r="I4757" s="37">
        <v>0</v>
      </c>
      <c r="J4757" s="36" t="s">
        <v>36190</v>
      </c>
      <c r="K4757" s="36" t="s">
        <v>14330</v>
      </c>
      <c r="L4757" s="36" t="s">
        <v>14330</v>
      </c>
      <c r="M4757">
        <v>2</v>
      </c>
      <c r="N4757" t="s">
        <v>14331</v>
      </c>
      <c r="O4757" t="s">
        <v>14333</v>
      </c>
    </row>
    <row r="4758" spans="1:15" x14ac:dyDescent="0.25">
      <c r="A4758" s="35" t="s">
        <v>8275</v>
      </c>
      <c r="B4758" s="36" t="s">
        <v>8276</v>
      </c>
      <c r="C4758" s="36" t="str">
        <f>HYPERLINK("https://rhld.insurance.arkansas.gov/NPILookup?Npi=1811635634","1811635634")</f>
        <v>1811635634</v>
      </c>
      <c r="D4758" s="36" t="s">
        <v>36987</v>
      </c>
      <c r="E4758" s="36" t="s">
        <v>2</v>
      </c>
      <c r="F4758" s="36">
        <v>1</v>
      </c>
      <c r="G4758" s="36">
        <v>2</v>
      </c>
      <c r="H4758" s="36">
        <v>0</v>
      </c>
      <c r="I4758" s="37">
        <v>0</v>
      </c>
      <c r="J4758" s="36" t="s">
        <v>36190</v>
      </c>
      <c r="K4758" s="36" t="s">
        <v>14330</v>
      </c>
      <c r="L4758" s="36" t="s">
        <v>14330</v>
      </c>
      <c r="M4758">
        <v>3</v>
      </c>
      <c r="N4758" t="s">
        <v>14331</v>
      </c>
      <c r="O4758" t="s">
        <v>14333</v>
      </c>
    </row>
    <row r="4759" spans="1:15" x14ac:dyDescent="0.25">
      <c r="A4759" s="35" t="s">
        <v>8275</v>
      </c>
      <c r="B4759" s="36" t="s">
        <v>8276</v>
      </c>
      <c r="C4759" s="36" t="str">
        <f>HYPERLINK("https://rhld.insurance.arkansas.gov/NPILookup?Npi=1811659394","1811659394")</f>
        <v>1811659394</v>
      </c>
      <c r="D4759" s="36" t="s">
        <v>36988</v>
      </c>
      <c r="E4759" s="36" t="s">
        <v>2</v>
      </c>
      <c r="F4759" s="36">
        <v>1</v>
      </c>
      <c r="G4759" s="36">
        <v>3</v>
      </c>
      <c r="H4759" s="36">
        <v>0</v>
      </c>
      <c r="I4759" s="37">
        <v>0</v>
      </c>
      <c r="J4759" s="36" t="s">
        <v>36190</v>
      </c>
      <c r="K4759" s="36" t="s">
        <v>14330</v>
      </c>
      <c r="L4759" s="36" t="s">
        <v>14330</v>
      </c>
      <c r="M4759">
        <v>2</v>
      </c>
      <c r="N4759" t="s">
        <v>14331</v>
      </c>
      <c r="O4759" t="s">
        <v>14333</v>
      </c>
    </row>
    <row r="4760" spans="1:15" x14ac:dyDescent="0.25">
      <c r="A4760" s="35" t="s">
        <v>8275</v>
      </c>
      <c r="B4760" s="36" t="s">
        <v>8276</v>
      </c>
      <c r="C4760" s="36" t="str">
        <f>HYPERLINK("https://rhld.insurance.arkansas.gov/NPILookup?Npi=1811968092","1811968092")</f>
        <v>1811968092</v>
      </c>
      <c r="D4760" s="36" t="s">
        <v>36989</v>
      </c>
      <c r="E4760" s="36" t="s">
        <v>2</v>
      </c>
      <c r="F4760" s="36">
        <v>1</v>
      </c>
      <c r="G4760" s="36">
        <v>2</v>
      </c>
      <c r="H4760" s="36">
        <v>0</v>
      </c>
      <c r="I4760" s="37">
        <v>0</v>
      </c>
      <c r="J4760" s="36" t="s">
        <v>36190</v>
      </c>
      <c r="K4760" s="36" t="s">
        <v>14330</v>
      </c>
      <c r="L4760" s="36" t="s">
        <v>14330</v>
      </c>
      <c r="M4760">
        <v>2</v>
      </c>
      <c r="N4760" t="s">
        <v>14331</v>
      </c>
      <c r="O4760" t="s">
        <v>14333</v>
      </c>
    </row>
    <row r="4761" spans="1:15" x14ac:dyDescent="0.25">
      <c r="A4761" s="35" t="s">
        <v>8275</v>
      </c>
      <c r="B4761" s="36" t="s">
        <v>8276</v>
      </c>
      <c r="C4761" s="36" t="str">
        <f>HYPERLINK("https://rhld.insurance.arkansas.gov/NPILookup?Npi=1821016361","1821016361")</f>
        <v>1821016361</v>
      </c>
      <c r="D4761" s="36" t="s">
        <v>33392</v>
      </c>
      <c r="E4761" s="36" t="s">
        <v>2</v>
      </c>
      <c r="F4761" s="36">
        <v>1</v>
      </c>
      <c r="G4761" s="36">
        <v>2</v>
      </c>
      <c r="H4761" s="36">
        <v>0</v>
      </c>
      <c r="I4761" s="37">
        <v>0</v>
      </c>
      <c r="J4761" s="36"/>
      <c r="K4761" s="36" t="s">
        <v>14330</v>
      </c>
      <c r="L4761" s="36" t="s">
        <v>14330</v>
      </c>
      <c r="M4761">
        <v>3</v>
      </c>
      <c r="N4761" t="s">
        <v>14331</v>
      </c>
      <c r="O4761" t="s">
        <v>14333</v>
      </c>
    </row>
    <row r="4762" spans="1:15" x14ac:dyDescent="0.25">
      <c r="A4762" s="35" t="s">
        <v>8275</v>
      </c>
      <c r="B4762" s="36" t="s">
        <v>8276</v>
      </c>
      <c r="C4762" s="36" t="str">
        <f>HYPERLINK("https://rhld.insurance.arkansas.gov/NPILookup?Npi=1821082835","1821082835")</f>
        <v>1821082835</v>
      </c>
      <c r="D4762" s="36" t="s">
        <v>36990</v>
      </c>
      <c r="E4762" s="36" t="s">
        <v>2</v>
      </c>
      <c r="F4762" s="36">
        <v>1</v>
      </c>
      <c r="G4762" s="36">
        <v>3</v>
      </c>
      <c r="H4762" s="36">
        <v>0</v>
      </c>
      <c r="I4762" s="37">
        <v>0</v>
      </c>
      <c r="J4762" s="36" t="s">
        <v>36190</v>
      </c>
      <c r="K4762" s="36" t="s">
        <v>14330</v>
      </c>
      <c r="L4762" s="36" t="s">
        <v>14330</v>
      </c>
      <c r="M4762">
        <v>3</v>
      </c>
      <c r="N4762" t="s">
        <v>14331</v>
      </c>
      <c r="O4762" t="s">
        <v>14333</v>
      </c>
    </row>
    <row r="4763" spans="1:15" x14ac:dyDescent="0.25">
      <c r="A4763" s="35" t="s">
        <v>8275</v>
      </c>
      <c r="B4763" s="36" t="s">
        <v>8276</v>
      </c>
      <c r="C4763" s="36" t="str">
        <f>HYPERLINK("https://rhld.insurance.arkansas.gov/NPILookup?Npi=1821196445","1821196445")</f>
        <v>1821196445</v>
      </c>
      <c r="D4763" s="36" t="s">
        <v>36991</v>
      </c>
      <c r="E4763" s="36" t="s">
        <v>2</v>
      </c>
      <c r="F4763" s="36">
        <v>1</v>
      </c>
      <c r="G4763" s="36">
        <v>3</v>
      </c>
      <c r="H4763" s="36">
        <v>0</v>
      </c>
      <c r="I4763" s="37">
        <v>0</v>
      </c>
      <c r="J4763" s="36" t="s">
        <v>36190</v>
      </c>
      <c r="K4763" s="36" t="s">
        <v>14330</v>
      </c>
      <c r="L4763" s="36" t="s">
        <v>14330</v>
      </c>
      <c r="M4763">
        <v>2</v>
      </c>
      <c r="N4763" t="s">
        <v>14331</v>
      </c>
      <c r="O4763" t="s">
        <v>14333</v>
      </c>
    </row>
    <row r="4764" spans="1:15" x14ac:dyDescent="0.25">
      <c r="A4764" s="35" t="s">
        <v>8275</v>
      </c>
      <c r="B4764" s="36" t="s">
        <v>8276</v>
      </c>
      <c r="C4764" s="36" t="str">
        <f>HYPERLINK("https://rhld.insurance.arkansas.gov/NPILookup?Npi=1821363508","1821363508")</f>
        <v>1821363508</v>
      </c>
      <c r="D4764" s="36" t="s">
        <v>35947</v>
      </c>
      <c r="E4764" s="36" t="s">
        <v>2</v>
      </c>
      <c r="F4764" s="36">
        <v>1</v>
      </c>
      <c r="G4764" s="36">
        <v>2</v>
      </c>
      <c r="H4764" s="36">
        <v>0</v>
      </c>
      <c r="I4764" s="37">
        <v>0</v>
      </c>
      <c r="J4764" s="36"/>
      <c r="K4764" s="36" t="s">
        <v>14330</v>
      </c>
      <c r="L4764" s="36" t="s">
        <v>14330</v>
      </c>
      <c r="M4764">
        <v>3</v>
      </c>
      <c r="N4764" t="s">
        <v>14331</v>
      </c>
      <c r="O4764" t="s">
        <v>14333</v>
      </c>
    </row>
    <row r="4765" spans="1:15" x14ac:dyDescent="0.25">
      <c r="A4765" s="35" t="s">
        <v>8275</v>
      </c>
      <c r="B4765" s="36" t="s">
        <v>8276</v>
      </c>
      <c r="C4765" s="36" t="str">
        <f>HYPERLINK("https://rhld.insurance.arkansas.gov/NPILookup?Npi=1821437302","1821437302")</f>
        <v>1821437302</v>
      </c>
      <c r="D4765" s="36" t="s">
        <v>36992</v>
      </c>
      <c r="E4765" s="36" t="s">
        <v>2</v>
      </c>
      <c r="F4765" s="36">
        <v>1</v>
      </c>
      <c r="G4765" s="36">
        <v>3</v>
      </c>
      <c r="H4765" s="36">
        <v>0</v>
      </c>
      <c r="I4765" s="37">
        <v>0</v>
      </c>
      <c r="J4765" s="36" t="s">
        <v>36190</v>
      </c>
      <c r="K4765" s="36" t="s">
        <v>14330</v>
      </c>
      <c r="L4765" s="36" t="s">
        <v>14330</v>
      </c>
      <c r="M4765">
        <v>3</v>
      </c>
      <c r="N4765" t="s">
        <v>14331</v>
      </c>
      <c r="O4765" t="s">
        <v>14333</v>
      </c>
    </row>
    <row r="4766" spans="1:15" x14ac:dyDescent="0.25">
      <c r="A4766" s="35" t="s">
        <v>8275</v>
      </c>
      <c r="B4766" s="36" t="s">
        <v>8276</v>
      </c>
      <c r="C4766" s="36" t="str">
        <f>HYPERLINK("https://rhld.insurance.arkansas.gov/NPILookup?Npi=1821525916","1821525916")</f>
        <v>1821525916</v>
      </c>
      <c r="D4766" s="36" t="s">
        <v>36993</v>
      </c>
      <c r="E4766" s="36" t="s">
        <v>2</v>
      </c>
      <c r="F4766" s="36">
        <v>1</v>
      </c>
      <c r="G4766" s="36">
        <v>3</v>
      </c>
      <c r="H4766" s="36">
        <v>0</v>
      </c>
      <c r="I4766" s="37">
        <v>0</v>
      </c>
      <c r="J4766" s="36" t="s">
        <v>36190</v>
      </c>
      <c r="K4766" s="36" t="s">
        <v>14330</v>
      </c>
      <c r="L4766" s="36" t="s">
        <v>14330</v>
      </c>
      <c r="M4766">
        <v>2</v>
      </c>
      <c r="N4766" t="s">
        <v>14331</v>
      </c>
      <c r="O4766" t="s">
        <v>14333</v>
      </c>
    </row>
    <row r="4767" spans="1:15" x14ac:dyDescent="0.25">
      <c r="A4767" s="35" t="s">
        <v>8275</v>
      </c>
      <c r="B4767" s="36" t="s">
        <v>8276</v>
      </c>
      <c r="C4767" s="36" t="str">
        <f>HYPERLINK("https://rhld.insurance.arkansas.gov/NPILookup?Npi=1821538125","1821538125")</f>
        <v>1821538125</v>
      </c>
      <c r="D4767" s="36" t="s">
        <v>36994</v>
      </c>
      <c r="E4767" s="36" t="s">
        <v>2</v>
      </c>
      <c r="F4767" s="36">
        <v>1</v>
      </c>
      <c r="G4767" s="36">
        <v>2</v>
      </c>
      <c r="H4767" s="36">
        <v>0</v>
      </c>
      <c r="I4767" s="37">
        <v>0</v>
      </c>
      <c r="J4767" s="36" t="s">
        <v>36190</v>
      </c>
      <c r="K4767" s="36" t="s">
        <v>14330</v>
      </c>
      <c r="L4767" s="36" t="s">
        <v>14330</v>
      </c>
      <c r="M4767">
        <v>3</v>
      </c>
      <c r="N4767" t="s">
        <v>14331</v>
      </c>
      <c r="O4767" t="s">
        <v>14333</v>
      </c>
    </row>
    <row r="4768" spans="1:15" x14ac:dyDescent="0.25">
      <c r="A4768" s="35" t="s">
        <v>8275</v>
      </c>
      <c r="B4768" s="36" t="s">
        <v>8276</v>
      </c>
      <c r="C4768" s="36" t="str">
        <f>HYPERLINK("https://rhld.insurance.arkansas.gov/NPILookup?Npi=1821589250","1821589250")</f>
        <v>1821589250</v>
      </c>
      <c r="D4768" s="36" t="s">
        <v>36995</v>
      </c>
      <c r="E4768" s="36" t="s">
        <v>2</v>
      </c>
      <c r="F4768" s="36">
        <v>1</v>
      </c>
      <c r="G4768" s="36">
        <v>3</v>
      </c>
      <c r="H4768" s="36">
        <v>0</v>
      </c>
      <c r="I4768" s="37">
        <v>0</v>
      </c>
      <c r="J4768" s="36" t="s">
        <v>36190</v>
      </c>
      <c r="K4768" s="36" t="s">
        <v>14330</v>
      </c>
      <c r="L4768" s="36" t="s">
        <v>14330</v>
      </c>
      <c r="M4768">
        <v>2</v>
      </c>
      <c r="N4768" t="s">
        <v>14331</v>
      </c>
      <c r="O4768" t="s">
        <v>14333</v>
      </c>
    </row>
    <row r="4769" spans="1:15" x14ac:dyDescent="0.25">
      <c r="A4769" s="35" t="s">
        <v>8275</v>
      </c>
      <c r="B4769" s="36" t="s">
        <v>8276</v>
      </c>
      <c r="C4769" s="36" t="str">
        <f>HYPERLINK("https://rhld.insurance.arkansas.gov/NPILookup?Npi=1821660044","1821660044")</f>
        <v>1821660044</v>
      </c>
      <c r="D4769" s="36" t="s">
        <v>35952</v>
      </c>
      <c r="E4769" s="36" t="s">
        <v>2</v>
      </c>
      <c r="F4769" s="36">
        <v>1</v>
      </c>
      <c r="G4769" s="36">
        <v>2</v>
      </c>
      <c r="H4769" s="36">
        <v>0</v>
      </c>
      <c r="I4769" s="37">
        <v>0</v>
      </c>
      <c r="J4769" s="36"/>
      <c r="K4769" s="36" t="s">
        <v>14330</v>
      </c>
      <c r="L4769" s="36" t="s">
        <v>14330</v>
      </c>
      <c r="M4769">
        <v>3</v>
      </c>
      <c r="N4769" t="s">
        <v>14331</v>
      </c>
      <c r="O4769" t="s">
        <v>14333</v>
      </c>
    </row>
    <row r="4770" spans="1:15" x14ac:dyDescent="0.25">
      <c r="A4770" s="35" t="s">
        <v>8275</v>
      </c>
      <c r="B4770" s="36" t="s">
        <v>8276</v>
      </c>
      <c r="C4770" s="36" t="str">
        <f>HYPERLINK("https://rhld.insurance.arkansas.gov/NPILookup?Npi=1821721523","1821721523")</f>
        <v>1821721523</v>
      </c>
      <c r="D4770" s="36" t="s">
        <v>36996</v>
      </c>
      <c r="E4770" s="36" t="s">
        <v>2</v>
      </c>
      <c r="F4770" s="36">
        <v>1</v>
      </c>
      <c r="G4770" s="36">
        <v>3</v>
      </c>
      <c r="H4770" s="36">
        <v>0</v>
      </c>
      <c r="I4770" s="37">
        <v>0</v>
      </c>
      <c r="J4770" s="36" t="s">
        <v>36190</v>
      </c>
      <c r="K4770" s="36" t="s">
        <v>14330</v>
      </c>
      <c r="L4770" s="36" t="s">
        <v>14330</v>
      </c>
      <c r="M4770">
        <v>2</v>
      </c>
      <c r="N4770" t="s">
        <v>14331</v>
      </c>
      <c r="O4770" t="s">
        <v>14333</v>
      </c>
    </row>
    <row r="4771" spans="1:15" x14ac:dyDescent="0.25">
      <c r="A4771" s="35" t="s">
        <v>8275</v>
      </c>
      <c r="B4771" s="36" t="s">
        <v>8276</v>
      </c>
      <c r="C4771" s="36" t="str">
        <f>HYPERLINK("https://rhld.insurance.arkansas.gov/NPILookup?Npi=1821875568","1821875568")</f>
        <v>1821875568</v>
      </c>
      <c r="D4771" s="36" t="s">
        <v>36997</v>
      </c>
      <c r="E4771" s="36" t="s">
        <v>2</v>
      </c>
      <c r="F4771" s="36">
        <v>1</v>
      </c>
      <c r="G4771" s="36">
        <v>2</v>
      </c>
      <c r="H4771" s="36">
        <v>0</v>
      </c>
      <c r="I4771" s="37">
        <v>0</v>
      </c>
      <c r="J4771" s="36" t="s">
        <v>36190</v>
      </c>
      <c r="K4771" s="36" t="s">
        <v>14330</v>
      </c>
      <c r="L4771" s="36" t="s">
        <v>14330</v>
      </c>
      <c r="M4771">
        <v>2</v>
      </c>
      <c r="N4771" t="s">
        <v>14331</v>
      </c>
      <c r="O4771" t="s">
        <v>14333</v>
      </c>
    </row>
    <row r="4772" spans="1:15" x14ac:dyDescent="0.25">
      <c r="A4772" s="35" t="s">
        <v>8275</v>
      </c>
      <c r="B4772" s="36" t="s">
        <v>8276</v>
      </c>
      <c r="C4772" s="36" t="str">
        <f>HYPERLINK("https://rhld.insurance.arkansas.gov/NPILookup?Npi=1821879644","1821879644")</f>
        <v>1821879644</v>
      </c>
      <c r="D4772" s="36" t="s">
        <v>34804</v>
      </c>
      <c r="E4772" s="36" t="s">
        <v>2</v>
      </c>
      <c r="F4772" s="36">
        <v>1</v>
      </c>
      <c r="G4772" s="36">
        <v>2</v>
      </c>
      <c r="H4772" s="36">
        <v>0</v>
      </c>
      <c r="I4772" s="37">
        <v>0</v>
      </c>
      <c r="J4772" s="36"/>
      <c r="K4772" s="36" t="s">
        <v>14330</v>
      </c>
      <c r="L4772" s="36" t="s">
        <v>14330</v>
      </c>
      <c r="M4772">
        <v>2</v>
      </c>
      <c r="N4772" t="s">
        <v>14331</v>
      </c>
      <c r="O4772" t="s">
        <v>14333</v>
      </c>
    </row>
    <row r="4773" spans="1:15" x14ac:dyDescent="0.25">
      <c r="A4773" s="35" t="s">
        <v>8275</v>
      </c>
      <c r="B4773" s="36" t="s">
        <v>8276</v>
      </c>
      <c r="C4773" s="36" t="str">
        <f>HYPERLINK("https://rhld.insurance.arkansas.gov/NPILookup?Npi=1821895566","1821895566")</f>
        <v>1821895566</v>
      </c>
      <c r="D4773" s="36" t="s">
        <v>35957</v>
      </c>
      <c r="E4773" s="36" t="s">
        <v>2</v>
      </c>
      <c r="F4773" s="36">
        <v>1</v>
      </c>
      <c r="G4773" s="36">
        <v>2</v>
      </c>
      <c r="H4773" s="36">
        <v>0</v>
      </c>
      <c r="I4773" s="37">
        <v>0</v>
      </c>
      <c r="J4773" s="36"/>
      <c r="K4773" s="36" t="s">
        <v>14330</v>
      </c>
      <c r="L4773" s="36" t="s">
        <v>14330</v>
      </c>
      <c r="M4773">
        <v>2</v>
      </c>
      <c r="N4773" t="s">
        <v>14331</v>
      </c>
      <c r="O4773" t="s">
        <v>14333</v>
      </c>
    </row>
    <row r="4774" spans="1:15" x14ac:dyDescent="0.25">
      <c r="A4774" s="35" t="s">
        <v>8275</v>
      </c>
      <c r="B4774" s="36" t="s">
        <v>8276</v>
      </c>
      <c r="C4774" s="36" t="str">
        <f>HYPERLINK("https://rhld.insurance.arkansas.gov/NPILookup?Npi=1831137579","1831137579")</f>
        <v>1831137579</v>
      </c>
      <c r="D4774" s="36" t="s">
        <v>35958</v>
      </c>
      <c r="E4774" s="36" t="s">
        <v>2</v>
      </c>
      <c r="F4774" s="36">
        <v>1</v>
      </c>
      <c r="G4774" s="36">
        <v>2</v>
      </c>
      <c r="H4774" s="36">
        <v>0</v>
      </c>
      <c r="I4774" s="37">
        <v>0</v>
      </c>
      <c r="J4774" s="36"/>
      <c r="K4774" s="36" t="s">
        <v>14330</v>
      </c>
      <c r="L4774" s="36" t="s">
        <v>14330</v>
      </c>
      <c r="M4774">
        <v>2</v>
      </c>
      <c r="N4774" t="s">
        <v>14331</v>
      </c>
      <c r="O4774" t="s">
        <v>14333</v>
      </c>
    </row>
    <row r="4775" spans="1:15" x14ac:dyDescent="0.25">
      <c r="A4775" s="35" t="s">
        <v>8275</v>
      </c>
      <c r="B4775" s="36" t="s">
        <v>8276</v>
      </c>
      <c r="C4775" s="36" t="str">
        <f>HYPERLINK("https://rhld.insurance.arkansas.gov/NPILookup?Npi=1831422542","1831422542")</f>
        <v>1831422542</v>
      </c>
      <c r="D4775" s="36" t="s">
        <v>36998</v>
      </c>
      <c r="E4775" s="36" t="s">
        <v>1</v>
      </c>
      <c r="F4775" s="36">
        <v>1</v>
      </c>
      <c r="G4775" s="36">
        <v>2</v>
      </c>
      <c r="H4775" s="36">
        <v>0</v>
      </c>
      <c r="I4775" s="37">
        <v>0</v>
      </c>
      <c r="J4775" s="36" t="s">
        <v>32654</v>
      </c>
      <c r="K4775" s="36" t="s">
        <v>14330</v>
      </c>
      <c r="L4775" s="36" t="s">
        <v>14330</v>
      </c>
      <c r="M4775">
        <v>3</v>
      </c>
      <c r="N4775" t="s">
        <v>14331</v>
      </c>
      <c r="O4775" t="s">
        <v>32633</v>
      </c>
    </row>
    <row r="4776" spans="1:15" x14ac:dyDescent="0.25">
      <c r="A4776" s="35" t="s">
        <v>8275</v>
      </c>
      <c r="B4776" s="36" t="s">
        <v>8276</v>
      </c>
      <c r="C4776" s="36" t="str">
        <f>HYPERLINK("https://rhld.insurance.arkansas.gov/NPILookup?Npi=1831439595","1831439595")</f>
        <v>1831439595</v>
      </c>
      <c r="D4776" s="36" t="s">
        <v>36999</v>
      </c>
      <c r="E4776" s="36" t="s">
        <v>2</v>
      </c>
      <c r="F4776" s="36">
        <v>1</v>
      </c>
      <c r="G4776" s="36">
        <v>3</v>
      </c>
      <c r="H4776" s="36">
        <v>0</v>
      </c>
      <c r="I4776" s="37">
        <v>0</v>
      </c>
      <c r="J4776" s="36" t="s">
        <v>36190</v>
      </c>
      <c r="K4776" s="36" t="s">
        <v>14330</v>
      </c>
      <c r="L4776" s="36" t="s">
        <v>14330</v>
      </c>
      <c r="M4776">
        <v>2</v>
      </c>
      <c r="N4776" t="s">
        <v>14331</v>
      </c>
      <c r="O4776" t="s">
        <v>14333</v>
      </c>
    </row>
    <row r="4777" spans="1:15" x14ac:dyDescent="0.25">
      <c r="A4777" s="35" t="s">
        <v>8275</v>
      </c>
      <c r="B4777" s="36" t="s">
        <v>8276</v>
      </c>
      <c r="C4777" s="36" t="str">
        <f>HYPERLINK("https://rhld.insurance.arkansas.gov/NPILookup?Npi=1831662246","1831662246")</f>
        <v>1831662246</v>
      </c>
      <c r="D4777" s="36" t="s">
        <v>37000</v>
      </c>
      <c r="E4777" s="36" t="s">
        <v>2</v>
      </c>
      <c r="F4777" s="36">
        <v>1</v>
      </c>
      <c r="G4777" s="36">
        <v>2</v>
      </c>
      <c r="H4777" s="36">
        <v>0</v>
      </c>
      <c r="I4777" s="37">
        <v>0</v>
      </c>
      <c r="J4777" s="36" t="s">
        <v>36190</v>
      </c>
      <c r="K4777" s="36" t="s">
        <v>14330</v>
      </c>
      <c r="L4777" s="36" t="s">
        <v>14330</v>
      </c>
      <c r="M4777">
        <v>3</v>
      </c>
      <c r="N4777" t="s">
        <v>14331</v>
      </c>
      <c r="O4777" t="s">
        <v>14333</v>
      </c>
    </row>
    <row r="4778" spans="1:15" x14ac:dyDescent="0.25">
      <c r="A4778" s="35" t="s">
        <v>8275</v>
      </c>
      <c r="B4778" s="36" t="s">
        <v>8276</v>
      </c>
      <c r="C4778" s="36" t="str">
        <f>HYPERLINK("https://rhld.insurance.arkansas.gov/NPILookup?Npi=1831727148","1831727148")</f>
        <v>1831727148</v>
      </c>
      <c r="D4778" s="36" t="s">
        <v>37001</v>
      </c>
      <c r="E4778" s="36" t="s">
        <v>2</v>
      </c>
      <c r="F4778" s="36">
        <v>1</v>
      </c>
      <c r="G4778" s="36">
        <v>3</v>
      </c>
      <c r="H4778" s="36">
        <v>0</v>
      </c>
      <c r="I4778" s="37">
        <v>0</v>
      </c>
      <c r="J4778" s="36" t="s">
        <v>36190</v>
      </c>
      <c r="K4778" s="36" t="s">
        <v>14330</v>
      </c>
      <c r="L4778" s="36" t="s">
        <v>14330</v>
      </c>
      <c r="M4778">
        <v>1</v>
      </c>
      <c r="N4778" t="s">
        <v>14331</v>
      </c>
      <c r="O4778" t="s">
        <v>14333</v>
      </c>
    </row>
    <row r="4779" spans="1:15" x14ac:dyDescent="0.25">
      <c r="A4779" s="35" t="s">
        <v>8275</v>
      </c>
      <c r="B4779" s="36" t="s">
        <v>8276</v>
      </c>
      <c r="C4779" s="36" t="str">
        <f>HYPERLINK("https://rhld.insurance.arkansas.gov/NPILookup?Npi=1831777374","1831777374")</f>
        <v>1831777374</v>
      </c>
      <c r="D4779" s="36" t="s">
        <v>37002</v>
      </c>
      <c r="E4779" s="36" t="s">
        <v>2</v>
      </c>
      <c r="F4779" s="36">
        <v>1</v>
      </c>
      <c r="G4779" s="36">
        <v>1</v>
      </c>
      <c r="H4779" s="36">
        <v>0</v>
      </c>
      <c r="I4779" s="37">
        <v>0</v>
      </c>
      <c r="J4779" s="36"/>
      <c r="K4779" s="36" t="s">
        <v>14330</v>
      </c>
      <c r="L4779" s="36" t="s">
        <v>14330</v>
      </c>
      <c r="M4779">
        <v>3</v>
      </c>
      <c r="N4779" t="s">
        <v>14331</v>
      </c>
      <c r="O4779" t="s">
        <v>32633</v>
      </c>
    </row>
    <row r="4780" spans="1:15" x14ac:dyDescent="0.25">
      <c r="A4780" s="35" t="s">
        <v>8275</v>
      </c>
      <c r="B4780" s="36" t="s">
        <v>8276</v>
      </c>
      <c r="C4780" s="36" t="str">
        <f>HYPERLINK("https://rhld.insurance.arkansas.gov/NPILookup?Npi=1831780097","1831780097")</f>
        <v>1831780097</v>
      </c>
      <c r="D4780" s="36" t="s">
        <v>37003</v>
      </c>
      <c r="E4780" s="36" t="s">
        <v>2</v>
      </c>
      <c r="F4780" s="36">
        <v>1</v>
      </c>
      <c r="G4780" s="36">
        <v>3</v>
      </c>
      <c r="H4780" s="36">
        <v>0</v>
      </c>
      <c r="I4780" s="37">
        <v>0</v>
      </c>
      <c r="J4780" s="36" t="s">
        <v>36190</v>
      </c>
      <c r="K4780" s="36" t="s">
        <v>14330</v>
      </c>
      <c r="L4780" s="36" t="s">
        <v>14330</v>
      </c>
      <c r="M4780">
        <v>2</v>
      </c>
      <c r="N4780" t="s">
        <v>14331</v>
      </c>
      <c r="O4780" t="s">
        <v>14333</v>
      </c>
    </row>
    <row r="4781" spans="1:15" x14ac:dyDescent="0.25">
      <c r="A4781" s="35" t="s">
        <v>8275</v>
      </c>
      <c r="B4781" s="36" t="s">
        <v>8276</v>
      </c>
      <c r="C4781" s="36" t="str">
        <f>HYPERLINK("https://rhld.insurance.arkansas.gov/NPILookup?Npi=1831929678","1831929678")</f>
        <v>1831929678</v>
      </c>
      <c r="D4781" s="36" t="s">
        <v>35975</v>
      </c>
      <c r="E4781" s="36" t="s">
        <v>2</v>
      </c>
      <c r="F4781" s="36">
        <v>2</v>
      </c>
      <c r="G4781" s="36">
        <v>2</v>
      </c>
      <c r="H4781" s="36">
        <v>0</v>
      </c>
      <c r="I4781" s="37">
        <v>0</v>
      </c>
      <c r="J4781" s="36" t="s">
        <v>33004</v>
      </c>
      <c r="K4781" s="36" t="s">
        <v>14330</v>
      </c>
      <c r="L4781" s="36" t="s">
        <v>14330</v>
      </c>
      <c r="M4781">
        <v>2</v>
      </c>
      <c r="N4781" t="s">
        <v>14331</v>
      </c>
      <c r="O4781" t="s">
        <v>14333</v>
      </c>
    </row>
    <row r="4782" spans="1:15" x14ac:dyDescent="0.25">
      <c r="A4782" s="35" t="s">
        <v>8275</v>
      </c>
      <c r="B4782" s="36" t="s">
        <v>8276</v>
      </c>
      <c r="C4782" s="36" t="str">
        <f>HYPERLINK("https://rhld.insurance.arkansas.gov/NPILookup?Npi=1841027935","1841027935")</f>
        <v>1841027935</v>
      </c>
      <c r="D4782" s="36" t="s">
        <v>35976</v>
      </c>
      <c r="E4782" s="36" t="s">
        <v>2</v>
      </c>
      <c r="F4782" s="36">
        <v>1</v>
      </c>
      <c r="G4782" s="36">
        <v>2</v>
      </c>
      <c r="H4782" s="36">
        <v>0</v>
      </c>
      <c r="I4782" s="37">
        <v>0</v>
      </c>
      <c r="J4782" s="36"/>
      <c r="K4782" s="36" t="s">
        <v>14330</v>
      </c>
      <c r="L4782" s="36" t="s">
        <v>14330</v>
      </c>
      <c r="M4782">
        <v>2</v>
      </c>
      <c r="N4782" t="s">
        <v>14331</v>
      </c>
      <c r="O4782" t="s">
        <v>14333</v>
      </c>
    </row>
    <row r="4783" spans="1:15" x14ac:dyDescent="0.25">
      <c r="A4783" s="35" t="s">
        <v>8275</v>
      </c>
      <c r="B4783" s="36" t="s">
        <v>8276</v>
      </c>
      <c r="C4783" s="36" t="str">
        <f>HYPERLINK("https://rhld.insurance.arkansas.gov/NPILookup?Npi=1841046091","1841046091")</f>
        <v>1841046091</v>
      </c>
      <c r="D4783" s="36" t="s">
        <v>35977</v>
      </c>
      <c r="E4783" s="36" t="s">
        <v>2</v>
      </c>
      <c r="F4783" s="36">
        <v>1</v>
      </c>
      <c r="G4783" s="36">
        <v>2</v>
      </c>
      <c r="H4783" s="36">
        <v>0</v>
      </c>
      <c r="I4783" s="37">
        <v>0</v>
      </c>
      <c r="J4783" s="36"/>
      <c r="K4783" s="36" t="s">
        <v>14330</v>
      </c>
      <c r="L4783" s="36" t="s">
        <v>14330</v>
      </c>
      <c r="M4783">
        <v>3</v>
      </c>
      <c r="N4783" t="s">
        <v>14331</v>
      </c>
      <c r="O4783" t="s">
        <v>14333</v>
      </c>
    </row>
    <row r="4784" spans="1:15" x14ac:dyDescent="0.25">
      <c r="A4784" s="35" t="s">
        <v>8275</v>
      </c>
      <c r="B4784" s="36" t="s">
        <v>8276</v>
      </c>
      <c r="C4784" s="36" t="str">
        <f>HYPERLINK("https://rhld.insurance.arkansas.gov/NPILookup?Npi=1841236437","1841236437")</f>
        <v>1841236437</v>
      </c>
      <c r="D4784" s="36" t="s">
        <v>37004</v>
      </c>
      <c r="E4784" s="36" t="s">
        <v>2</v>
      </c>
      <c r="F4784" s="36">
        <v>1</v>
      </c>
      <c r="G4784" s="36">
        <v>3</v>
      </c>
      <c r="H4784" s="36">
        <v>0</v>
      </c>
      <c r="I4784" s="37">
        <v>0</v>
      </c>
      <c r="J4784" s="36" t="s">
        <v>36190</v>
      </c>
      <c r="K4784" s="36" t="s">
        <v>14330</v>
      </c>
      <c r="L4784" s="36" t="s">
        <v>14330</v>
      </c>
      <c r="M4784">
        <v>2</v>
      </c>
      <c r="N4784" t="s">
        <v>14331</v>
      </c>
      <c r="O4784" t="s">
        <v>14333</v>
      </c>
    </row>
    <row r="4785" spans="1:15" x14ac:dyDescent="0.25">
      <c r="A4785" s="35" t="s">
        <v>8275</v>
      </c>
      <c r="B4785" s="36" t="s">
        <v>8276</v>
      </c>
      <c r="C4785" s="36" t="str">
        <f>HYPERLINK("https://rhld.insurance.arkansas.gov/NPILookup?Npi=1841260122","1841260122")</f>
        <v>1841260122</v>
      </c>
      <c r="D4785" s="36" t="s">
        <v>37005</v>
      </c>
      <c r="E4785" s="36" t="s">
        <v>2</v>
      </c>
      <c r="F4785" s="36">
        <v>1</v>
      </c>
      <c r="G4785" s="36">
        <v>2</v>
      </c>
      <c r="H4785" s="36">
        <v>0</v>
      </c>
      <c r="I4785" s="37">
        <v>0</v>
      </c>
      <c r="J4785" s="36" t="s">
        <v>36190</v>
      </c>
      <c r="K4785" s="36" t="s">
        <v>14330</v>
      </c>
      <c r="L4785" s="36" t="s">
        <v>14330</v>
      </c>
      <c r="M4785">
        <v>2</v>
      </c>
      <c r="N4785" t="s">
        <v>14331</v>
      </c>
      <c r="O4785" t="s">
        <v>14333</v>
      </c>
    </row>
    <row r="4786" spans="1:15" x14ac:dyDescent="0.25">
      <c r="A4786" s="35" t="s">
        <v>8275</v>
      </c>
      <c r="B4786" s="36" t="s">
        <v>8276</v>
      </c>
      <c r="C4786" s="36" t="str">
        <f>HYPERLINK("https://rhld.insurance.arkansas.gov/NPILookup?Npi=1841278611","1841278611")</f>
        <v>1841278611</v>
      </c>
      <c r="D4786" s="36" t="s">
        <v>37006</v>
      </c>
      <c r="E4786" s="36" t="s">
        <v>1</v>
      </c>
      <c r="F4786" s="36">
        <v>1</v>
      </c>
      <c r="G4786" s="36">
        <v>2</v>
      </c>
      <c r="H4786" s="36">
        <v>0</v>
      </c>
      <c r="I4786" s="37">
        <v>0</v>
      </c>
      <c r="J4786" s="36" t="s">
        <v>32654</v>
      </c>
      <c r="K4786" s="36" t="s">
        <v>14330</v>
      </c>
      <c r="L4786" s="36" t="s">
        <v>14330</v>
      </c>
      <c r="M4786">
        <v>3</v>
      </c>
      <c r="N4786" t="s">
        <v>14331</v>
      </c>
      <c r="O4786" t="s">
        <v>32633</v>
      </c>
    </row>
    <row r="4787" spans="1:15" x14ac:dyDescent="0.25">
      <c r="A4787" s="35" t="s">
        <v>8275</v>
      </c>
      <c r="B4787" s="36" t="s">
        <v>8276</v>
      </c>
      <c r="C4787" s="36" t="str">
        <f>HYPERLINK("https://rhld.insurance.arkansas.gov/NPILookup?Npi=1841285764","1841285764")</f>
        <v>1841285764</v>
      </c>
      <c r="D4787" s="36" t="s">
        <v>37007</v>
      </c>
      <c r="E4787" s="36" t="s">
        <v>2</v>
      </c>
      <c r="F4787" s="36">
        <v>1</v>
      </c>
      <c r="G4787" s="36">
        <v>3</v>
      </c>
      <c r="H4787" s="36">
        <v>0</v>
      </c>
      <c r="I4787" s="37">
        <v>0</v>
      </c>
      <c r="J4787" s="36" t="s">
        <v>36190</v>
      </c>
      <c r="K4787" s="36" t="s">
        <v>14330</v>
      </c>
      <c r="L4787" s="36" t="s">
        <v>14330</v>
      </c>
      <c r="M4787">
        <v>2</v>
      </c>
      <c r="N4787" t="s">
        <v>14331</v>
      </c>
      <c r="O4787" t="s">
        <v>14333</v>
      </c>
    </row>
    <row r="4788" spans="1:15" x14ac:dyDescent="0.25">
      <c r="A4788" s="35" t="s">
        <v>8275</v>
      </c>
      <c r="B4788" s="36" t="s">
        <v>8276</v>
      </c>
      <c r="C4788" s="36" t="str">
        <f>HYPERLINK("https://rhld.insurance.arkansas.gov/NPILookup?Npi=1841297181","1841297181")</f>
        <v>1841297181</v>
      </c>
      <c r="D4788" s="36" t="s">
        <v>33115</v>
      </c>
      <c r="E4788" s="36" t="s">
        <v>2</v>
      </c>
      <c r="F4788" s="36">
        <v>1</v>
      </c>
      <c r="G4788" s="36">
        <v>2</v>
      </c>
      <c r="H4788" s="36">
        <v>0</v>
      </c>
      <c r="I4788" s="37">
        <v>0</v>
      </c>
      <c r="J4788" s="36" t="s">
        <v>36190</v>
      </c>
      <c r="K4788" s="36" t="s">
        <v>14330</v>
      </c>
      <c r="L4788" s="36" t="s">
        <v>14330</v>
      </c>
      <c r="M4788">
        <v>2</v>
      </c>
      <c r="N4788" t="s">
        <v>14331</v>
      </c>
      <c r="O4788" t="s">
        <v>14333</v>
      </c>
    </row>
    <row r="4789" spans="1:15" x14ac:dyDescent="0.25">
      <c r="A4789" s="35" t="s">
        <v>8275</v>
      </c>
      <c r="B4789" s="36" t="s">
        <v>8276</v>
      </c>
      <c r="C4789" s="36" t="str">
        <f>HYPERLINK("https://rhld.insurance.arkansas.gov/NPILookup?Npi=1841381050","1841381050")</f>
        <v>1841381050</v>
      </c>
      <c r="D4789" s="36" t="s">
        <v>37008</v>
      </c>
      <c r="E4789" s="36" t="s">
        <v>1</v>
      </c>
      <c r="F4789" s="36">
        <v>1</v>
      </c>
      <c r="G4789" s="36">
        <v>2</v>
      </c>
      <c r="H4789" s="36">
        <v>0</v>
      </c>
      <c r="I4789" s="37">
        <v>0</v>
      </c>
      <c r="J4789" s="36" t="s">
        <v>32654</v>
      </c>
      <c r="K4789" s="36" t="s">
        <v>14330</v>
      </c>
      <c r="L4789" s="36" t="s">
        <v>14330</v>
      </c>
      <c r="M4789">
        <v>2</v>
      </c>
      <c r="N4789" t="s">
        <v>14331</v>
      </c>
      <c r="O4789" t="s">
        <v>32633</v>
      </c>
    </row>
    <row r="4790" spans="1:15" x14ac:dyDescent="0.25">
      <c r="A4790" s="35" t="s">
        <v>8275</v>
      </c>
      <c r="B4790" s="36" t="s">
        <v>8276</v>
      </c>
      <c r="C4790" s="36" t="str">
        <f>HYPERLINK("https://rhld.insurance.arkansas.gov/NPILookup?Npi=1841391315","1841391315")</f>
        <v>1841391315</v>
      </c>
      <c r="D4790" s="36" t="s">
        <v>35983</v>
      </c>
      <c r="E4790" s="36" t="s">
        <v>2</v>
      </c>
      <c r="F4790" s="36">
        <v>1</v>
      </c>
      <c r="G4790" s="36">
        <v>2</v>
      </c>
      <c r="H4790" s="36">
        <v>0</v>
      </c>
      <c r="I4790" s="37">
        <v>0</v>
      </c>
      <c r="J4790" s="36"/>
      <c r="K4790" s="36" t="s">
        <v>14330</v>
      </c>
      <c r="L4790" s="36" t="s">
        <v>14330</v>
      </c>
      <c r="M4790">
        <v>0</v>
      </c>
      <c r="N4790" t="s">
        <v>14331</v>
      </c>
      <c r="O4790" t="s">
        <v>14333</v>
      </c>
    </row>
    <row r="4791" spans="1:15" x14ac:dyDescent="0.25">
      <c r="A4791" s="35" t="s">
        <v>8275</v>
      </c>
      <c r="B4791" s="36" t="s">
        <v>8276</v>
      </c>
      <c r="C4791" s="36" t="str">
        <f>HYPERLINK("https://rhld.insurance.arkansas.gov/NPILookup?Npi=1841395423","1841395423")</f>
        <v>1841395423</v>
      </c>
      <c r="D4791" s="36" t="s">
        <v>37009</v>
      </c>
      <c r="E4791" s="36" t="s">
        <v>1</v>
      </c>
      <c r="F4791" s="36">
        <v>1</v>
      </c>
      <c r="G4791" s="36">
        <v>1</v>
      </c>
      <c r="H4791" s="36">
        <v>1</v>
      </c>
      <c r="I4791" s="37">
        <v>0</v>
      </c>
      <c r="J4791" s="36" t="s">
        <v>32654</v>
      </c>
      <c r="K4791" s="36" t="s">
        <v>14330</v>
      </c>
      <c r="L4791" s="36" t="s">
        <v>36271</v>
      </c>
      <c r="M4791">
        <v>3</v>
      </c>
      <c r="N4791" t="s">
        <v>14332</v>
      </c>
      <c r="O4791" t="s">
        <v>32591</v>
      </c>
    </row>
    <row r="4792" spans="1:15" x14ac:dyDescent="0.25">
      <c r="A4792" s="35" t="s">
        <v>8275</v>
      </c>
      <c r="B4792" s="36" t="s">
        <v>8276</v>
      </c>
      <c r="C4792" s="36" t="str">
        <f>HYPERLINK("https://rhld.insurance.arkansas.gov/NPILookup?Npi=1841625308","1841625308")</f>
        <v>1841625308</v>
      </c>
      <c r="D4792" s="36" t="s">
        <v>35987</v>
      </c>
      <c r="E4792" s="36" t="s">
        <v>2</v>
      </c>
      <c r="F4792" s="36">
        <v>1</v>
      </c>
      <c r="G4792" s="36">
        <v>3</v>
      </c>
      <c r="H4792" s="36">
        <v>0</v>
      </c>
      <c r="I4792" s="37">
        <v>0</v>
      </c>
      <c r="J4792" s="36" t="s">
        <v>36190</v>
      </c>
      <c r="K4792" s="36" t="s">
        <v>14330</v>
      </c>
      <c r="L4792" s="36" t="s">
        <v>14330</v>
      </c>
      <c r="M4792">
        <v>2</v>
      </c>
      <c r="N4792" t="s">
        <v>14331</v>
      </c>
      <c r="O4792" t="s">
        <v>14333</v>
      </c>
    </row>
    <row r="4793" spans="1:15" x14ac:dyDescent="0.25">
      <c r="A4793" s="35" t="s">
        <v>8275</v>
      </c>
      <c r="B4793" s="36" t="s">
        <v>8276</v>
      </c>
      <c r="C4793" s="36" t="str">
        <f>HYPERLINK("https://rhld.insurance.arkansas.gov/NPILookup?Npi=1841630894","1841630894")</f>
        <v>1841630894</v>
      </c>
      <c r="D4793" s="36" t="s">
        <v>37010</v>
      </c>
      <c r="E4793" s="36" t="s">
        <v>1</v>
      </c>
      <c r="F4793" s="36">
        <v>1</v>
      </c>
      <c r="G4793" s="36">
        <v>2</v>
      </c>
      <c r="H4793" s="36">
        <v>0</v>
      </c>
      <c r="I4793" s="37">
        <v>0</v>
      </c>
      <c r="J4793" s="36" t="s">
        <v>32723</v>
      </c>
      <c r="K4793" s="36" t="s">
        <v>14330</v>
      </c>
      <c r="L4793" s="36" t="s">
        <v>14330</v>
      </c>
      <c r="M4793">
        <v>3</v>
      </c>
      <c r="N4793" t="s">
        <v>14331</v>
      </c>
      <c r="O4793" t="s">
        <v>32724</v>
      </c>
    </row>
    <row r="4794" spans="1:15" x14ac:dyDescent="0.25">
      <c r="A4794" s="35" t="s">
        <v>8275</v>
      </c>
      <c r="B4794" s="36" t="s">
        <v>8276</v>
      </c>
      <c r="C4794" s="36" t="str">
        <f>HYPERLINK("https://rhld.insurance.arkansas.gov/NPILookup?Npi=1841731155","1841731155")</f>
        <v>1841731155</v>
      </c>
      <c r="D4794" s="36" t="s">
        <v>37011</v>
      </c>
      <c r="E4794" s="36" t="s">
        <v>2</v>
      </c>
      <c r="F4794" s="36">
        <v>1</v>
      </c>
      <c r="G4794" s="36">
        <v>3</v>
      </c>
      <c r="H4794" s="36">
        <v>0</v>
      </c>
      <c r="I4794" s="37">
        <v>0</v>
      </c>
      <c r="J4794" s="36" t="s">
        <v>36190</v>
      </c>
      <c r="K4794" s="36" t="s">
        <v>14330</v>
      </c>
      <c r="L4794" s="36" t="s">
        <v>14330</v>
      </c>
      <c r="M4794">
        <v>2</v>
      </c>
      <c r="N4794" t="s">
        <v>14331</v>
      </c>
      <c r="O4794" t="s">
        <v>14333</v>
      </c>
    </row>
    <row r="4795" spans="1:15" x14ac:dyDescent="0.25">
      <c r="A4795" s="35" t="s">
        <v>8275</v>
      </c>
      <c r="B4795" s="36" t="s">
        <v>8276</v>
      </c>
      <c r="C4795" s="36" t="str">
        <f>HYPERLINK("https://rhld.insurance.arkansas.gov/NPILookup?Npi=1841922937","1841922937")</f>
        <v>1841922937</v>
      </c>
      <c r="D4795" s="36" t="s">
        <v>35993</v>
      </c>
      <c r="E4795" s="36" t="s">
        <v>2</v>
      </c>
      <c r="F4795" s="36">
        <v>1</v>
      </c>
      <c r="G4795" s="36">
        <v>2</v>
      </c>
      <c r="H4795" s="36">
        <v>0</v>
      </c>
      <c r="I4795" s="37">
        <v>0</v>
      </c>
      <c r="J4795" s="36"/>
      <c r="K4795" s="36" t="s">
        <v>14330</v>
      </c>
      <c r="L4795" s="36" t="s">
        <v>14330</v>
      </c>
      <c r="M4795">
        <v>2</v>
      </c>
      <c r="N4795" t="s">
        <v>14331</v>
      </c>
      <c r="O4795" t="s">
        <v>14333</v>
      </c>
    </row>
    <row r="4796" spans="1:15" x14ac:dyDescent="0.25">
      <c r="A4796" s="35" t="s">
        <v>8275</v>
      </c>
      <c r="B4796" s="36" t="s">
        <v>8276</v>
      </c>
      <c r="C4796" s="36" t="str">
        <f>HYPERLINK("https://rhld.insurance.arkansas.gov/NPILookup?Npi=1841923885","1841923885")</f>
        <v>1841923885</v>
      </c>
      <c r="D4796" s="36" t="s">
        <v>37012</v>
      </c>
      <c r="E4796" s="36" t="s">
        <v>2</v>
      </c>
      <c r="F4796" s="36">
        <v>1</v>
      </c>
      <c r="G4796" s="36">
        <v>2</v>
      </c>
      <c r="H4796" s="36">
        <v>0</v>
      </c>
      <c r="I4796" s="37">
        <v>0</v>
      </c>
      <c r="J4796" s="36" t="s">
        <v>36190</v>
      </c>
      <c r="K4796" s="36" t="s">
        <v>14330</v>
      </c>
      <c r="L4796" s="36" t="s">
        <v>14330</v>
      </c>
      <c r="M4796">
        <v>2</v>
      </c>
      <c r="N4796" t="s">
        <v>14331</v>
      </c>
      <c r="O4796" t="s">
        <v>14333</v>
      </c>
    </row>
    <row r="4797" spans="1:15" x14ac:dyDescent="0.25">
      <c r="A4797" s="35" t="s">
        <v>8275</v>
      </c>
      <c r="B4797" s="36" t="s">
        <v>8276</v>
      </c>
      <c r="C4797" s="36" t="str">
        <f>HYPERLINK("https://rhld.insurance.arkansas.gov/NPILookup?Npi=1841929312","1841929312")</f>
        <v>1841929312</v>
      </c>
      <c r="D4797" s="36" t="s">
        <v>37013</v>
      </c>
      <c r="E4797" s="36" t="s">
        <v>2</v>
      </c>
      <c r="F4797" s="36">
        <v>1</v>
      </c>
      <c r="G4797" s="36">
        <v>2</v>
      </c>
      <c r="H4797" s="36">
        <v>0</v>
      </c>
      <c r="I4797" s="37">
        <v>0</v>
      </c>
      <c r="J4797" s="36" t="s">
        <v>36190</v>
      </c>
      <c r="K4797" s="36" t="s">
        <v>14330</v>
      </c>
      <c r="L4797" s="36" t="s">
        <v>14330</v>
      </c>
      <c r="M4797">
        <v>2</v>
      </c>
      <c r="N4797" t="s">
        <v>14331</v>
      </c>
      <c r="O4797" t="s">
        <v>14333</v>
      </c>
    </row>
    <row r="4798" spans="1:15" x14ac:dyDescent="0.25">
      <c r="A4798" s="35" t="s">
        <v>8275</v>
      </c>
      <c r="B4798" s="36" t="s">
        <v>8276</v>
      </c>
      <c r="C4798" s="36" t="str">
        <f>HYPERLINK("https://rhld.insurance.arkansas.gov/NPILookup?Npi=1851098164","1851098164")</f>
        <v>1851098164</v>
      </c>
      <c r="D4798" s="36" t="s">
        <v>37014</v>
      </c>
      <c r="E4798" s="36" t="s">
        <v>2</v>
      </c>
      <c r="F4798" s="36">
        <v>1</v>
      </c>
      <c r="G4798" s="36">
        <v>2</v>
      </c>
      <c r="H4798" s="36">
        <v>0</v>
      </c>
      <c r="I4798" s="37">
        <v>0</v>
      </c>
      <c r="J4798" s="36" t="s">
        <v>36190</v>
      </c>
      <c r="K4798" s="36" t="s">
        <v>14330</v>
      </c>
      <c r="L4798" s="36" t="s">
        <v>14330</v>
      </c>
      <c r="M4798">
        <v>1</v>
      </c>
      <c r="N4798" t="s">
        <v>14331</v>
      </c>
      <c r="O4798" t="s">
        <v>14333</v>
      </c>
    </row>
    <row r="4799" spans="1:15" x14ac:dyDescent="0.25">
      <c r="A4799" s="35" t="s">
        <v>8275</v>
      </c>
      <c r="B4799" s="36" t="s">
        <v>8276</v>
      </c>
      <c r="C4799" s="36" t="str">
        <f>HYPERLINK("https://rhld.insurance.arkansas.gov/NPILookup?Npi=1851102727","1851102727")</f>
        <v>1851102727</v>
      </c>
      <c r="D4799" s="36" t="s">
        <v>35994</v>
      </c>
      <c r="E4799" s="36" t="s">
        <v>2</v>
      </c>
      <c r="F4799" s="36">
        <v>1</v>
      </c>
      <c r="G4799" s="36">
        <v>1</v>
      </c>
      <c r="H4799" s="36">
        <v>0</v>
      </c>
      <c r="I4799" s="37">
        <v>0</v>
      </c>
      <c r="J4799" s="36"/>
      <c r="K4799" s="36" t="s">
        <v>14330</v>
      </c>
      <c r="L4799" s="36" t="s">
        <v>14330</v>
      </c>
      <c r="M4799">
        <v>2</v>
      </c>
      <c r="N4799" t="s">
        <v>14331</v>
      </c>
      <c r="O4799" t="s">
        <v>32633</v>
      </c>
    </row>
    <row r="4800" spans="1:15" x14ac:dyDescent="0.25">
      <c r="A4800" s="35" t="s">
        <v>8275</v>
      </c>
      <c r="B4800" s="36" t="s">
        <v>8276</v>
      </c>
      <c r="C4800" s="36" t="str">
        <f>HYPERLINK("https://rhld.insurance.arkansas.gov/NPILookup?Npi=1851161079","1851161079")</f>
        <v>1851161079</v>
      </c>
      <c r="D4800" s="36" t="s">
        <v>31273</v>
      </c>
      <c r="E4800" s="36" t="s">
        <v>2</v>
      </c>
      <c r="F4800" s="36">
        <v>1</v>
      </c>
      <c r="G4800" s="36">
        <v>2</v>
      </c>
      <c r="H4800" s="36">
        <v>0</v>
      </c>
      <c r="I4800" s="37">
        <v>0</v>
      </c>
      <c r="J4800" s="36" t="s">
        <v>36190</v>
      </c>
      <c r="K4800" s="36" t="s">
        <v>14330</v>
      </c>
      <c r="L4800" s="36" t="s">
        <v>14330</v>
      </c>
      <c r="M4800">
        <v>1</v>
      </c>
      <c r="N4800" t="s">
        <v>14331</v>
      </c>
      <c r="O4800" t="s">
        <v>14333</v>
      </c>
    </row>
    <row r="4801" spans="1:15" x14ac:dyDescent="0.25">
      <c r="A4801" s="35" t="s">
        <v>8275</v>
      </c>
      <c r="B4801" s="36" t="s">
        <v>8276</v>
      </c>
      <c r="C4801" s="36" t="str">
        <f>HYPERLINK("https://rhld.insurance.arkansas.gov/NPILookup?Npi=1851187983","1851187983")</f>
        <v>1851187983</v>
      </c>
      <c r="D4801" s="36" t="s">
        <v>37015</v>
      </c>
      <c r="E4801" s="36" t="s">
        <v>2</v>
      </c>
      <c r="F4801" s="36">
        <v>1</v>
      </c>
      <c r="G4801" s="36">
        <v>1</v>
      </c>
      <c r="H4801" s="36">
        <v>0</v>
      </c>
      <c r="I4801" s="37">
        <v>0</v>
      </c>
      <c r="J4801" s="36" t="s">
        <v>32679</v>
      </c>
      <c r="K4801" s="36" t="s">
        <v>14330</v>
      </c>
      <c r="L4801" s="36" t="s">
        <v>14330</v>
      </c>
      <c r="M4801">
        <v>3</v>
      </c>
      <c r="N4801" t="s">
        <v>14331</v>
      </c>
      <c r="O4801" t="s">
        <v>32633</v>
      </c>
    </row>
    <row r="4802" spans="1:15" x14ac:dyDescent="0.25">
      <c r="A4802" s="35" t="s">
        <v>8275</v>
      </c>
      <c r="B4802" s="36" t="s">
        <v>8276</v>
      </c>
      <c r="C4802" s="36" t="str">
        <f>HYPERLINK("https://rhld.insurance.arkansas.gov/NPILookup?Npi=1851313399","1851313399")</f>
        <v>1851313399</v>
      </c>
      <c r="D4802" s="36" t="s">
        <v>37016</v>
      </c>
      <c r="E4802" s="36" t="s">
        <v>2</v>
      </c>
      <c r="F4802" s="36">
        <v>1</v>
      </c>
      <c r="G4802" s="36">
        <v>3</v>
      </c>
      <c r="H4802" s="36">
        <v>0</v>
      </c>
      <c r="I4802" s="37">
        <v>0</v>
      </c>
      <c r="J4802" s="36" t="s">
        <v>36190</v>
      </c>
      <c r="K4802" s="36" t="s">
        <v>14330</v>
      </c>
      <c r="L4802" s="36" t="s">
        <v>14330</v>
      </c>
      <c r="M4802">
        <v>2</v>
      </c>
      <c r="N4802" t="s">
        <v>14331</v>
      </c>
      <c r="O4802" t="s">
        <v>14333</v>
      </c>
    </row>
    <row r="4803" spans="1:15" x14ac:dyDescent="0.25">
      <c r="A4803" s="35" t="s">
        <v>8275</v>
      </c>
      <c r="B4803" s="36" t="s">
        <v>8276</v>
      </c>
      <c r="C4803" s="36" t="str">
        <f>HYPERLINK("https://rhld.insurance.arkansas.gov/NPILookup?Npi=1851317051","1851317051")</f>
        <v>1851317051</v>
      </c>
      <c r="D4803" s="36" t="s">
        <v>37017</v>
      </c>
      <c r="E4803" s="36" t="s">
        <v>2</v>
      </c>
      <c r="F4803" s="36">
        <v>1</v>
      </c>
      <c r="G4803" s="36">
        <v>2</v>
      </c>
      <c r="H4803" s="36">
        <v>0</v>
      </c>
      <c r="I4803" s="37">
        <v>0</v>
      </c>
      <c r="J4803" s="36" t="s">
        <v>36190</v>
      </c>
      <c r="K4803" s="36" t="s">
        <v>14330</v>
      </c>
      <c r="L4803" s="36" t="s">
        <v>14330</v>
      </c>
      <c r="M4803">
        <v>2</v>
      </c>
      <c r="N4803" t="s">
        <v>14331</v>
      </c>
      <c r="O4803" t="s">
        <v>14333</v>
      </c>
    </row>
    <row r="4804" spans="1:15" x14ac:dyDescent="0.25">
      <c r="A4804" s="35" t="s">
        <v>8275</v>
      </c>
      <c r="B4804" s="36" t="s">
        <v>8276</v>
      </c>
      <c r="C4804" s="36" t="str">
        <f>HYPERLINK("https://rhld.insurance.arkansas.gov/NPILookup?Npi=1851718381","1851718381")</f>
        <v>1851718381</v>
      </c>
      <c r="D4804" s="36" t="s">
        <v>37018</v>
      </c>
      <c r="E4804" s="36" t="s">
        <v>2</v>
      </c>
      <c r="F4804" s="36">
        <v>1</v>
      </c>
      <c r="G4804" s="36">
        <v>2</v>
      </c>
      <c r="H4804" s="36">
        <v>0</v>
      </c>
      <c r="I4804" s="37">
        <v>0</v>
      </c>
      <c r="J4804" s="36" t="s">
        <v>36190</v>
      </c>
      <c r="K4804" s="36" t="s">
        <v>14330</v>
      </c>
      <c r="L4804" s="36" t="s">
        <v>14330</v>
      </c>
      <c r="M4804">
        <v>3</v>
      </c>
      <c r="N4804" t="s">
        <v>14331</v>
      </c>
      <c r="O4804" t="s">
        <v>14333</v>
      </c>
    </row>
    <row r="4805" spans="1:15" x14ac:dyDescent="0.25">
      <c r="A4805" s="35" t="s">
        <v>8275</v>
      </c>
      <c r="B4805" s="36" t="s">
        <v>8276</v>
      </c>
      <c r="C4805" s="36" t="str">
        <f>HYPERLINK("https://rhld.insurance.arkansas.gov/NPILookup?Npi=1851794291","1851794291")</f>
        <v>1851794291</v>
      </c>
      <c r="D4805" s="36" t="s">
        <v>37019</v>
      </c>
      <c r="E4805" s="36" t="s">
        <v>2</v>
      </c>
      <c r="F4805" s="36">
        <v>1</v>
      </c>
      <c r="G4805" s="36">
        <v>3</v>
      </c>
      <c r="H4805" s="36">
        <v>0</v>
      </c>
      <c r="I4805" s="37">
        <v>0</v>
      </c>
      <c r="J4805" s="36" t="s">
        <v>36190</v>
      </c>
      <c r="K4805" s="36" t="s">
        <v>14330</v>
      </c>
      <c r="L4805" s="36" t="s">
        <v>14330</v>
      </c>
      <c r="M4805">
        <v>3</v>
      </c>
      <c r="N4805" t="s">
        <v>14331</v>
      </c>
      <c r="O4805" t="s">
        <v>14333</v>
      </c>
    </row>
    <row r="4806" spans="1:15" x14ac:dyDescent="0.25">
      <c r="A4806" s="35" t="s">
        <v>8275</v>
      </c>
      <c r="B4806" s="36" t="s">
        <v>8276</v>
      </c>
      <c r="C4806" s="36" t="str">
        <f>HYPERLINK("https://rhld.insurance.arkansas.gov/NPILookup?Npi=1851845200","1851845200")</f>
        <v>1851845200</v>
      </c>
      <c r="D4806" s="36" t="s">
        <v>37020</v>
      </c>
      <c r="E4806" s="36" t="s">
        <v>2</v>
      </c>
      <c r="F4806" s="36">
        <v>1</v>
      </c>
      <c r="G4806" s="36">
        <v>3</v>
      </c>
      <c r="H4806" s="36">
        <v>0</v>
      </c>
      <c r="I4806" s="37">
        <v>0</v>
      </c>
      <c r="J4806" s="36" t="s">
        <v>36190</v>
      </c>
      <c r="K4806" s="36" t="s">
        <v>14330</v>
      </c>
      <c r="L4806" s="36" t="s">
        <v>14330</v>
      </c>
      <c r="M4806">
        <v>2</v>
      </c>
      <c r="N4806" t="s">
        <v>14331</v>
      </c>
      <c r="O4806" t="s">
        <v>14333</v>
      </c>
    </row>
    <row r="4807" spans="1:15" x14ac:dyDescent="0.25">
      <c r="A4807" s="35" t="s">
        <v>8275</v>
      </c>
      <c r="B4807" s="36" t="s">
        <v>8276</v>
      </c>
      <c r="C4807" s="36" t="str">
        <f>HYPERLINK("https://rhld.insurance.arkansas.gov/NPILookup?Npi=1851977227","1851977227")</f>
        <v>1851977227</v>
      </c>
      <c r="D4807" s="36" t="s">
        <v>36003</v>
      </c>
      <c r="E4807" s="36" t="s">
        <v>2</v>
      </c>
      <c r="F4807" s="36">
        <v>1</v>
      </c>
      <c r="G4807" s="36">
        <v>2</v>
      </c>
      <c r="H4807" s="36">
        <v>0</v>
      </c>
      <c r="I4807" s="37">
        <v>0</v>
      </c>
      <c r="J4807" s="36"/>
      <c r="K4807" s="36" t="s">
        <v>14330</v>
      </c>
      <c r="L4807" s="36" t="s">
        <v>14330</v>
      </c>
      <c r="M4807">
        <v>3</v>
      </c>
      <c r="N4807" t="s">
        <v>14331</v>
      </c>
      <c r="O4807" t="s">
        <v>14333</v>
      </c>
    </row>
    <row r="4808" spans="1:15" x14ac:dyDescent="0.25">
      <c r="A4808" s="35" t="s">
        <v>8275</v>
      </c>
      <c r="B4808" s="36" t="s">
        <v>8276</v>
      </c>
      <c r="C4808" s="36" t="str">
        <f>HYPERLINK("https://rhld.insurance.arkansas.gov/NPILookup?Npi=1861020240","1861020240")</f>
        <v>1861020240</v>
      </c>
      <c r="D4808" s="36" t="s">
        <v>37021</v>
      </c>
      <c r="E4808" s="36" t="s">
        <v>2</v>
      </c>
      <c r="F4808" s="36">
        <v>1</v>
      </c>
      <c r="G4808" s="36">
        <v>3</v>
      </c>
      <c r="H4808" s="36">
        <v>0</v>
      </c>
      <c r="I4808" s="37">
        <v>0</v>
      </c>
      <c r="J4808" s="36" t="s">
        <v>36190</v>
      </c>
      <c r="K4808" s="36" t="s">
        <v>14330</v>
      </c>
      <c r="L4808" s="36" t="s">
        <v>14330</v>
      </c>
      <c r="M4808">
        <v>3</v>
      </c>
      <c r="N4808" t="s">
        <v>14331</v>
      </c>
      <c r="O4808" t="s">
        <v>14333</v>
      </c>
    </row>
    <row r="4809" spans="1:15" x14ac:dyDescent="0.25">
      <c r="A4809" s="35" t="s">
        <v>8275</v>
      </c>
      <c r="B4809" s="36" t="s">
        <v>8276</v>
      </c>
      <c r="C4809" s="36" t="str">
        <f>HYPERLINK("https://rhld.insurance.arkansas.gov/NPILookup?Npi=1861064560","1861064560")</f>
        <v>1861064560</v>
      </c>
      <c r="D4809" s="36" t="s">
        <v>37022</v>
      </c>
      <c r="E4809" s="36" t="s">
        <v>2</v>
      </c>
      <c r="F4809" s="36">
        <v>1</v>
      </c>
      <c r="G4809" s="36">
        <v>3</v>
      </c>
      <c r="H4809" s="36">
        <v>0</v>
      </c>
      <c r="I4809" s="37">
        <v>0</v>
      </c>
      <c r="J4809" s="36" t="s">
        <v>36190</v>
      </c>
      <c r="K4809" s="36" t="s">
        <v>14330</v>
      </c>
      <c r="L4809" s="36" t="s">
        <v>14330</v>
      </c>
      <c r="M4809">
        <v>2</v>
      </c>
      <c r="N4809" t="s">
        <v>14331</v>
      </c>
      <c r="O4809" t="s">
        <v>14333</v>
      </c>
    </row>
    <row r="4810" spans="1:15" x14ac:dyDescent="0.25">
      <c r="A4810" s="35" t="s">
        <v>8275</v>
      </c>
      <c r="B4810" s="36" t="s">
        <v>8276</v>
      </c>
      <c r="C4810" s="36" t="str">
        <f>HYPERLINK("https://rhld.insurance.arkansas.gov/NPILookup?Npi=1861075939","1861075939")</f>
        <v>1861075939</v>
      </c>
      <c r="D4810" s="36" t="s">
        <v>37023</v>
      </c>
      <c r="E4810" s="36" t="s">
        <v>2</v>
      </c>
      <c r="F4810" s="36">
        <v>1</v>
      </c>
      <c r="G4810" s="36">
        <v>2</v>
      </c>
      <c r="H4810" s="36">
        <v>0</v>
      </c>
      <c r="I4810" s="37">
        <v>0</v>
      </c>
      <c r="J4810" s="36" t="s">
        <v>36190</v>
      </c>
      <c r="K4810" s="36" t="s">
        <v>14330</v>
      </c>
      <c r="L4810" s="36" t="s">
        <v>14330</v>
      </c>
      <c r="M4810">
        <v>3</v>
      </c>
      <c r="N4810" t="s">
        <v>14331</v>
      </c>
      <c r="O4810" t="s">
        <v>14333</v>
      </c>
    </row>
    <row r="4811" spans="1:15" x14ac:dyDescent="0.25">
      <c r="A4811" s="35" t="s">
        <v>8275</v>
      </c>
      <c r="B4811" s="36" t="s">
        <v>8276</v>
      </c>
      <c r="C4811" s="36" t="str">
        <f>HYPERLINK("https://rhld.insurance.arkansas.gov/NPILookup?Npi=1861138901","1861138901")</f>
        <v>1861138901</v>
      </c>
      <c r="D4811" s="36" t="s">
        <v>37024</v>
      </c>
      <c r="E4811" s="36" t="s">
        <v>2</v>
      </c>
      <c r="F4811" s="36">
        <v>1</v>
      </c>
      <c r="G4811" s="36">
        <v>3</v>
      </c>
      <c r="H4811" s="36">
        <v>0</v>
      </c>
      <c r="I4811" s="37">
        <v>0</v>
      </c>
      <c r="J4811" s="36" t="s">
        <v>36190</v>
      </c>
      <c r="K4811" s="36" t="s">
        <v>14330</v>
      </c>
      <c r="L4811" s="36" t="s">
        <v>14330</v>
      </c>
      <c r="M4811">
        <v>2</v>
      </c>
      <c r="N4811" t="s">
        <v>14331</v>
      </c>
      <c r="O4811" t="s">
        <v>14333</v>
      </c>
    </row>
    <row r="4812" spans="1:15" x14ac:dyDescent="0.25">
      <c r="A4812" s="35" t="s">
        <v>8275</v>
      </c>
      <c r="B4812" s="36" t="s">
        <v>8276</v>
      </c>
      <c r="C4812" s="36" t="str">
        <f>HYPERLINK("https://rhld.insurance.arkansas.gov/NPILookup?Npi=1861239279","1861239279")</f>
        <v>1861239279</v>
      </c>
      <c r="D4812" s="36" t="s">
        <v>36006</v>
      </c>
      <c r="E4812" s="36" t="s">
        <v>2</v>
      </c>
      <c r="F4812" s="36">
        <v>2</v>
      </c>
      <c r="G4812" s="36">
        <v>2</v>
      </c>
      <c r="H4812" s="36">
        <v>0</v>
      </c>
      <c r="I4812" s="37">
        <v>0</v>
      </c>
      <c r="J4812" s="36" t="s">
        <v>33004</v>
      </c>
      <c r="K4812" s="36" t="s">
        <v>14330</v>
      </c>
      <c r="L4812" s="36" t="s">
        <v>14330</v>
      </c>
      <c r="M4812">
        <v>3</v>
      </c>
      <c r="N4812" t="s">
        <v>14331</v>
      </c>
      <c r="O4812" t="s">
        <v>14333</v>
      </c>
    </row>
    <row r="4813" spans="1:15" x14ac:dyDescent="0.25">
      <c r="A4813" s="35" t="s">
        <v>8275</v>
      </c>
      <c r="B4813" s="36" t="s">
        <v>8276</v>
      </c>
      <c r="C4813" s="36" t="str">
        <f>HYPERLINK("https://rhld.insurance.arkansas.gov/NPILookup?Npi=1861450942","1861450942")</f>
        <v>1861450942</v>
      </c>
      <c r="D4813" s="36" t="s">
        <v>37025</v>
      </c>
      <c r="E4813" s="36" t="s">
        <v>2</v>
      </c>
      <c r="F4813" s="36">
        <v>1</v>
      </c>
      <c r="G4813" s="36">
        <v>3</v>
      </c>
      <c r="H4813" s="36">
        <v>0</v>
      </c>
      <c r="I4813" s="37">
        <v>0</v>
      </c>
      <c r="J4813" s="36" t="s">
        <v>36190</v>
      </c>
      <c r="K4813" s="36" t="s">
        <v>14330</v>
      </c>
      <c r="L4813" s="36" t="s">
        <v>14330</v>
      </c>
      <c r="M4813">
        <v>2</v>
      </c>
      <c r="N4813" t="s">
        <v>14331</v>
      </c>
      <c r="O4813" t="s">
        <v>14333</v>
      </c>
    </row>
    <row r="4814" spans="1:15" x14ac:dyDescent="0.25">
      <c r="A4814" s="35" t="s">
        <v>8275</v>
      </c>
      <c r="B4814" s="36" t="s">
        <v>8276</v>
      </c>
      <c r="C4814" s="36" t="str">
        <f>HYPERLINK("https://rhld.insurance.arkansas.gov/NPILookup?Npi=1861479966","1861479966")</f>
        <v>1861479966</v>
      </c>
      <c r="D4814" s="36" t="s">
        <v>37026</v>
      </c>
      <c r="E4814" s="36" t="s">
        <v>2</v>
      </c>
      <c r="F4814" s="36">
        <v>1</v>
      </c>
      <c r="G4814" s="36">
        <v>2</v>
      </c>
      <c r="H4814" s="36">
        <v>0</v>
      </c>
      <c r="I4814" s="37">
        <v>0</v>
      </c>
      <c r="J4814" s="36" t="s">
        <v>36190</v>
      </c>
      <c r="K4814" s="36" t="s">
        <v>14330</v>
      </c>
      <c r="L4814" s="36" t="s">
        <v>14330</v>
      </c>
      <c r="M4814">
        <v>3</v>
      </c>
      <c r="N4814" t="s">
        <v>14331</v>
      </c>
      <c r="O4814" t="s">
        <v>14333</v>
      </c>
    </row>
    <row r="4815" spans="1:15" x14ac:dyDescent="0.25">
      <c r="A4815" s="35" t="s">
        <v>8275</v>
      </c>
      <c r="B4815" s="36" t="s">
        <v>8276</v>
      </c>
      <c r="C4815" s="36" t="str">
        <f>HYPERLINK("https://rhld.insurance.arkansas.gov/NPILookup?Npi=1861498776","1861498776")</f>
        <v>1861498776</v>
      </c>
      <c r="D4815" s="36" t="s">
        <v>37027</v>
      </c>
      <c r="E4815" s="36" t="s">
        <v>2</v>
      </c>
      <c r="F4815" s="36">
        <v>1</v>
      </c>
      <c r="G4815" s="36">
        <v>3</v>
      </c>
      <c r="H4815" s="36">
        <v>0</v>
      </c>
      <c r="I4815" s="37">
        <v>0</v>
      </c>
      <c r="J4815" s="36" t="s">
        <v>36190</v>
      </c>
      <c r="K4815" s="36" t="s">
        <v>14330</v>
      </c>
      <c r="L4815" s="36" t="s">
        <v>14330</v>
      </c>
      <c r="M4815">
        <v>2</v>
      </c>
      <c r="N4815" t="s">
        <v>14331</v>
      </c>
      <c r="O4815" t="s">
        <v>14333</v>
      </c>
    </row>
    <row r="4816" spans="1:15" x14ac:dyDescent="0.25">
      <c r="A4816" s="35" t="s">
        <v>8275</v>
      </c>
      <c r="B4816" s="36" t="s">
        <v>8276</v>
      </c>
      <c r="C4816" s="36" t="str">
        <f>HYPERLINK("https://rhld.insurance.arkansas.gov/NPILookup?Npi=1861506453","1861506453")</f>
        <v>1861506453</v>
      </c>
      <c r="D4816" s="36" t="s">
        <v>37028</v>
      </c>
      <c r="E4816" s="36" t="s">
        <v>2</v>
      </c>
      <c r="F4816" s="36">
        <v>1</v>
      </c>
      <c r="G4816" s="36">
        <v>2</v>
      </c>
      <c r="H4816" s="36">
        <v>0</v>
      </c>
      <c r="I4816" s="37">
        <v>0</v>
      </c>
      <c r="J4816" s="36" t="s">
        <v>36190</v>
      </c>
      <c r="K4816" s="36" t="s">
        <v>14330</v>
      </c>
      <c r="L4816" s="36" t="s">
        <v>14330</v>
      </c>
      <c r="M4816">
        <v>2</v>
      </c>
      <c r="N4816" t="s">
        <v>14331</v>
      </c>
      <c r="O4816" t="s">
        <v>14333</v>
      </c>
    </row>
    <row r="4817" spans="1:15" x14ac:dyDescent="0.25">
      <c r="A4817" s="35" t="s">
        <v>8275</v>
      </c>
      <c r="B4817" s="36" t="s">
        <v>8276</v>
      </c>
      <c r="C4817" s="36" t="str">
        <f>HYPERLINK("https://rhld.insurance.arkansas.gov/NPILookup?Npi=1861683435","1861683435")</f>
        <v>1861683435</v>
      </c>
      <c r="D4817" s="36" t="s">
        <v>33412</v>
      </c>
      <c r="E4817" s="36" t="s">
        <v>2</v>
      </c>
      <c r="F4817" s="36">
        <v>1</v>
      </c>
      <c r="G4817" s="36">
        <v>2</v>
      </c>
      <c r="H4817" s="36">
        <v>0</v>
      </c>
      <c r="I4817" s="37">
        <v>0</v>
      </c>
      <c r="J4817" s="36" t="s">
        <v>36190</v>
      </c>
      <c r="K4817" s="36" t="s">
        <v>14330</v>
      </c>
      <c r="L4817" s="36" t="s">
        <v>14330</v>
      </c>
      <c r="M4817">
        <v>3</v>
      </c>
      <c r="N4817" t="s">
        <v>14331</v>
      </c>
      <c r="O4817" t="s">
        <v>14333</v>
      </c>
    </row>
    <row r="4818" spans="1:15" x14ac:dyDescent="0.25">
      <c r="A4818" s="35" t="s">
        <v>8275</v>
      </c>
      <c r="B4818" s="36" t="s">
        <v>8276</v>
      </c>
      <c r="C4818" s="36" t="str">
        <f>HYPERLINK("https://rhld.insurance.arkansas.gov/NPILookup?Npi=1861755118","1861755118")</f>
        <v>1861755118</v>
      </c>
      <c r="D4818" s="36" t="s">
        <v>37029</v>
      </c>
      <c r="E4818" s="36" t="s">
        <v>2</v>
      </c>
      <c r="F4818" s="36">
        <v>1</v>
      </c>
      <c r="G4818" s="36">
        <v>3</v>
      </c>
      <c r="H4818" s="36">
        <v>0</v>
      </c>
      <c r="I4818" s="37">
        <v>0</v>
      </c>
      <c r="J4818" s="36" t="s">
        <v>36190</v>
      </c>
      <c r="K4818" s="36" t="s">
        <v>14330</v>
      </c>
      <c r="L4818" s="36" t="s">
        <v>14330</v>
      </c>
      <c r="M4818">
        <v>3</v>
      </c>
      <c r="N4818" t="s">
        <v>14331</v>
      </c>
      <c r="O4818" t="s">
        <v>14333</v>
      </c>
    </row>
    <row r="4819" spans="1:15" x14ac:dyDescent="0.25">
      <c r="A4819" s="35" t="s">
        <v>8275</v>
      </c>
      <c r="B4819" s="36" t="s">
        <v>8276</v>
      </c>
      <c r="C4819" s="36" t="str">
        <f>HYPERLINK("https://rhld.insurance.arkansas.gov/NPILookup?Npi=1861788028","1861788028")</f>
        <v>1861788028</v>
      </c>
      <c r="D4819" s="36" t="s">
        <v>37030</v>
      </c>
      <c r="E4819" s="36" t="s">
        <v>2</v>
      </c>
      <c r="F4819" s="36">
        <v>1</v>
      </c>
      <c r="G4819" s="36">
        <v>3</v>
      </c>
      <c r="H4819" s="36">
        <v>0</v>
      </c>
      <c r="I4819" s="37">
        <v>0</v>
      </c>
      <c r="J4819" s="36" t="s">
        <v>36190</v>
      </c>
      <c r="K4819" s="36" t="s">
        <v>14330</v>
      </c>
      <c r="L4819" s="36" t="s">
        <v>14330</v>
      </c>
      <c r="M4819">
        <v>3</v>
      </c>
      <c r="N4819" t="s">
        <v>14331</v>
      </c>
      <c r="O4819" t="s">
        <v>14333</v>
      </c>
    </row>
    <row r="4820" spans="1:15" x14ac:dyDescent="0.25">
      <c r="A4820" s="35" t="s">
        <v>8275</v>
      </c>
      <c r="B4820" s="36" t="s">
        <v>8276</v>
      </c>
      <c r="C4820" s="36" t="str">
        <f>HYPERLINK("https://rhld.insurance.arkansas.gov/NPILookup?Npi=1861843690","1861843690")</f>
        <v>1861843690</v>
      </c>
      <c r="D4820" s="36" t="s">
        <v>37031</v>
      </c>
      <c r="E4820" s="36" t="s">
        <v>2</v>
      </c>
      <c r="F4820" s="36">
        <v>1</v>
      </c>
      <c r="G4820" s="36">
        <v>3</v>
      </c>
      <c r="H4820" s="36">
        <v>0</v>
      </c>
      <c r="I4820" s="37">
        <v>0</v>
      </c>
      <c r="J4820" s="36" t="s">
        <v>36190</v>
      </c>
      <c r="K4820" s="36" t="s">
        <v>14330</v>
      </c>
      <c r="L4820" s="36" t="s">
        <v>14330</v>
      </c>
      <c r="M4820">
        <v>2</v>
      </c>
      <c r="N4820" t="s">
        <v>14331</v>
      </c>
      <c r="O4820" t="s">
        <v>14333</v>
      </c>
    </row>
    <row r="4821" spans="1:15" x14ac:dyDescent="0.25">
      <c r="A4821" s="35" t="s">
        <v>8275</v>
      </c>
      <c r="B4821" s="36" t="s">
        <v>8276</v>
      </c>
      <c r="C4821" s="36" t="str">
        <f>HYPERLINK("https://rhld.insurance.arkansas.gov/NPILookup?Npi=1861885832","1861885832")</f>
        <v>1861885832</v>
      </c>
      <c r="D4821" s="36" t="s">
        <v>37032</v>
      </c>
      <c r="E4821" s="36" t="s">
        <v>2</v>
      </c>
      <c r="F4821" s="36">
        <v>1</v>
      </c>
      <c r="G4821" s="36">
        <v>2</v>
      </c>
      <c r="H4821" s="36">
        <v>0</v>
      </c>
      <c r="I4821" s="37">
        <v>0</v>
      </c>
      <c r="J4821" s="36" t="s">
        <v>36190</v>
      </c>
      <c r="K4821" s="36" t="s">
        <v>14330</v>
      </c>
      <c r="L4821" s="36" t="s">
        <v>14330</v>
      </c>
      <c r="M4821">
        <v>1</v>
      </c>
      <c r="N4821" t="s">
        <v>14331</v>
      </c>
      <c r="O4821" t="s">
        <v>14333</v>
      </c>
    </row>
    <row r="4822" spans="1:15" x14ac:dyDescent="0.25">
      <c r="A4822" s="35" t="s">
        <v>8275</v>
      </c>
      <c r="B4822" s="36" t="s">
        <v>8276</v>
      </c>
      <c r="C4822" s="36" t="str">
        <f>HYPERLINK("https://rhld.insurance.arkansas.gov/NPILookup?Npi=1871059709","1871059709")</f>
        <v>1871059709</v>
      </c>
      <c r="D4822" s="36" t="s">
        <v>36014</v>
      </c>
      <c r="E4822" s="36" t="s">
        <v>2</v>
      </c>
      <c r="F4822" s="36">
        <v>1</v>
      </c>
      <c r="G4822" s="36">
        <v>1</v>
      </c>
      <c r="H4822" s="36">
        <v>0</v>
      </c>
      <c r="I4822" s="37">
        <v>0</v>
      </c>
      <c r="J4822" s="36"/>
      <c r="K4822" s="36" t="s">
        <v>14330</v>
      </c>
      <c r="L4822" s="36" t="s">
        <v>14330</v>
      </c>
      <c r="M4822">
        <v>2</v>
      </c>
      <c r="N4822" t="s">
        <v>14331</v>
      </c>
      <c r="O4822" t="s">
        <v>32633</v>
      </c>
    </row>
    <row r="4823" spans="1:15" x14ac:dyDescent="0.25">
      <c r="A4823" s="35" t="s">
        <v>8275</v>
      </c>
      <c r="B4823" s="36" t="s">
        <v>8276</v>
      </c>
      <c r="C4823" s="36" t="str">
        <f>HYPERLINK("https://rhld.insurance.arkansas.gov/NPILookup?Npi=1871123968","1871123968")</f>
        <v>1871123968</v>
      </c>
      <c r="D4823" s="36" t="s">
        <v>34808</v>
      </c>
      <c r="E4823" s="36" t="s">
        <v>2</v>
      </c>
      <c r="F4823" s="36">
        <v>1</v>
      </c>
      <c r="G4823" s="36">
        <v>2</v>
      </c>
      <c r="H4823" s="36">
        <v>0</v>
      </c>
      <c r="I4823" s="37">
        <v>0</v>
      </c>
      <c r="J4823" s="36"/>
      <c r="K4823" s="36" t="s">
        <v>14330</v>
      </c>
      <c r="L4823" s="36" t="s">
        <v>14330</v>
      </c>
      <c r="M4823">
        <v>3</v>
      </c>
      <c r="N4823" t="s">
        <v>14331</v>
      </c>
      <c r="O4823" t="s">
        <v>14333</v>
      </c>
    </row>
    <row r="4824" spans="1:15" x14ac:dyDescent="0.25">
      <c r="A4824" s="35" t="s">
        <v>8275</v>
      </c>
      <c r="B4824" s="36" t="s">
        <v>8276</v>
      </c>
      <c r="C4824" s="36" t="str">
        <f>HYPERLINK("https://rhld.insurance.arkansas.gov/NPILookup?Npi=1871244749","1871244749")</f>
        <v>1871244749</v>
      </c>
      <c r="D4824" s="36" t="s">
        <v>37033</v>
      </c>
      <c r="E4824" s="36" t="s">
        <v>2</v>
      </c>
      <c r="F4824" s="36">
        <v>1</v>
      </c>
      <c r="G4824" s="36">
        <v>3</v>
      </c>
      <c r="H4824" s="36">
        <v>0</v>
      </c>
      <c r="I4824" s="37">
        <v>0</v>
      </c>
      <c r="J4824" s="36" t="s">
        <v>36190</v>
      </c>
      <c r="K4824" s="36" t="s">
        <v>14330</v>
      </c>
      <c r="L4824" s="36" t="s">
        <v>14330</v>
      </c>
      <c r="M4824">
        <v>2</v>
      </c>
      <c r="N4824" t="s">
        <v>14331</v>
      </c>
      <c r="O4824" t="s">
        <v>14333</v>
      </c>
    </row>
    <row r="4825" spans="1:15" x14ac:dyDescent="0.25">
      <c r="A4825" s="35" t="s">
        <v>8275</v>
      </c>
      <c r="B4825" s="36" t="s">
        <v>8276</v>
      </c>
      <c r="C4825" s="36" t="str">
        <f>HYPERLINK("https://rhld.insurance.arkansas.gov/NPILookup?Npi=1871276667","1871276667")</f>
        <v>1871276667</v>
      </c>
      <c r="D4825" s="36" t="s">
        <v>37034</v>
      </c>
      <c r="E4825" s="36" t="s">
        <v>2</v>
      </c>
      <c r="F4825" s="36">
        <v>1</v>
      </c>
      <c r="G4825" s="36">
        <v>2</v>
      </c>
      <c r="H4825" s="36">
        <v>0</v>
      </c>
      <c r="I4825" s="37">
        <v>0</v>
      </c>
      <c r="J4825" s="36" t="s">
        <v>36190</v>
      </c>
      <c r="K4825" s="36" t="s">
        <v>14330</v>
      </c>
      <c r="L4825" s="36" t="s">
        <v>14330</v>
      </c>
      <c r="M4825">
        <v>2</v>
      </c>
      <c r="N4825" t="s">
        <v>14331</v>
      </c>
      <c r="O4825" t="s">
        <v>14333</v>
      </c>
    </row>
    <row r="4826" spans="1:15" x14ac:dyDescent="0.25">
      <c r="A4826" s="35" t="s">
        <v>8275</v>
      </c>
      <c r="B4826" s="36" t="s">
        <v>8276</v>
      </c>
      <c r="C4826" s="36" t="str">
        <f>HYPERLINK("https://rhld.insurance.arkansas.gov/NPILookup?Npi=1871294553","1871294553")</f>
        <v>1871294553</v>
      </c>
      <c r="D4826" s="36" t="s">
        <v>37035</v>
      </c>
      <c r="E4826" s="36" t="s">
        <v>2</v>
      </c>
      <c r="F4826" s="36">
        <v>1</v>
      </c>
      <c r="G4826" s="36">
        <v>2</v>
      </c>
      <c r="H4826" s="36">
        <v>0</v>
      </c>
      <c r="I4826" s="37">
        <v>0</v>
      </c>
      <c r="J4826" s="36" t="s">
        <v>36190</v>
      </c>
      <c r="K4826" s="36" t="s">
        <v>14330</v>
      </c>
      <c r="L4826" s="36" t="s">
        <v>14330</v>
      </c>
      <c r="M4826">
        <v>1</v>
      </c>
      <c r="N4826" t="s">
        <v>14331</v>
      </c>
      <c r="O4826" t="s">
        <v>14333</v>
      </c>
    </row>
    <row r="4827" spans="1:15" x14ac:dyDescent="0.25">
      <c r="A4827" s="35" t="s">
        <v>8275</v>
      </c>
      <c r="B4827" s="36" t="s">
        <v>8276</v>
      </c>
      <c r="C4827" s="36" t="str">
        <f>HYPERLINK("https://rhld.insurance.arkansas.gov/NPILookup?Npi=1871306787","1871306787")</f>
        <v>1871306787</v>
      </c>
      <c r="D4827" s="36" t="s">
        <v>36019</v>
      </c>
      <c r="E4827" s="36" t="s">
        <v>2</v>
      </c>
      <c r="F4827" s="36">
        <v>1</v>
      </c>
      <c r="G4827" s="36">
        <v>1</v>
      </c>
      <c r="H4827" s="36">
        <v>0</v>
      </c>
      <c r="I4827" s="37">
        <v>0</v>
      </c>
      <c r="J4827" s="36"/>
      <c r="K4827" s="36" t="s">
        <v>14330</v>
      </c>
      <c r="L4827" s="36" t="s">
        <v>14330</v>
      </c>
      <c r="M4827">
        <v>1</v>
      </c>
      <c r="N4827" t="s">
        <v>14331</v>
      </c>
      <c r="O4827" t="s">
        <v>32633</v>
      </c>
    </row>
    <row r="4828" spans="1:15" x14ac:dyDescent="0.25">
      <c r="A4828" s="35" t="s">
        <v>8275</v>
      </c>
      <c r="B4828" s="36" t="s">
        <v>8276</v>
      </c>
      <c r="C4828" s="36" t="str">
        <f>HYPERLINK("https://rhld.insurance.arkansas.gov/NPILookup?Npi=1871515452","1871515452")</f>
        <v>1871515452</v>
      </c>
      <c r="D4828" s="36" t="s">
        <v>37036</v>
      </c>
      <c r="E4828" s="36" t="s">
        <v>1</v>
      </c>
      <c r="F4828" s="36">
        <v>1</v>
      </c>
      <c r="G4828" s="36">
        <v>2</v>
      </c>
      <c r="H4828" s="36">
        <v>1</v>
      </c>
      <c r="I4828" s="37">
        <v>0</v>
      </c>
      <c r="J4828" s="36" t="s">
        <v>32654</v>
      </c>
      <c r="K4828" s="36" t="s">
        <v>14330</v>
      </c>
      <c r="L4828" s="36" t="s">
        <v>36507</v>
      </c>
      <c r="M4828">
        <v>3</v>
      </c>
      <c r="N4828" t="s">
        <v>14332</v>
      </c>
      <c r="O4828" t="s">
        <v>32591</v>
      </c>
    </row>
    <row r="4829" spans="1:15" x14ac:dyDescent="0.25">
      <c r="A4829" s="35" t="s">
        <v>8275</v>
      </c>
      <c r="B4829" s="36" t="s">
        <v>8276</v>
      </c>
      <c r="C4829" s="36" t="str">
        <f>HYPERLINK("https://rhld.insurance.arkansas.gov/NPILookup?Npi=1871516336","1871516336")</f>
        <v>1871516336</v>
      </c>
      <c r="D4829" s="36" t="s">
        <v>37037</v>
      </c>
      <c r="E4829" s="36" t="s">
        <v>2</v>
      </c>
      <c r="F4829" s="36">
        <v>1</v>
      </c>
      <c r="G4829" s="36">
        <v>3</v>
      </c>
      <c r="H4829" s="36">
        <v>0</v>
      </c>
      <c r="I4829" s="37">
        <v>0</v>
      </c>
      <c r="J4829" s="36" t="s">
        <v>36190</v>
      </c>
      <c r="K4829" s="36" t="s">
        <v>14330</v>
      </c>
      <c r="L4829" s="36" t="s">
        <v>14330</v>
      </c>
      <c r="M4829">
        <v>3</v>
      </c>
      <c r="N4829" t="s">
        <v>14331</v>
      </c>
      <c r="O4829" t="s">
        <v>14333</v>
      </c>
    </row>
    <row r="4830" spans="1:15" x14ac:dyDescent="0.25">
      <c r="A4830" s="35" t="s">
        <v>8275</v>
      </c>
      <c r="B4830" s="36" t="s">
        <v>8276</v>
      </c>
      <c r="C4830" s="36" t="str">
        <f>HYPERLINK("https://rhld.insurance.arkansas.gov/NPILookup?Npi=1871589309","1871589309")</f>
        <v>1871589309</v>
      </c>
      <c r="D4830" s="36" t="s">
        <v>37038</v>
      </c>
      <c r="E4830" s="36" t="s">
        <v>2</v>
      </c>
      <c r="F4830" s="36">
        <v>1</v>
      </c>
      <c r="G4830" s="36">
        <v>3</v>
      </c>
      <c r="H4830" s="36">
        <v>0</v>
      </c>
      <c r="I4830" s="37">
        <v>0</v>
      </c>
      <c r="J4830" s="36" t="s">
        <v>36190</v>
      </c>
      <c r="K4830" s="36" t="s">
        <v>14330</v>
      </c>
      <c r="L4830" s="36" t="s">
        <v>14330</v>
      </c>
      <c r="M4830">
        <v>3</v>
      </c>
      <c r="N4830" t="s">
        <v>14331</v>
      </c>
      <c r="O4830" t="s">
        <v>14333</v>
      </c>
    </row>
    <row r="4831" spans="1:15" x14ac:dyDescent="0.25">
      <c r="A4831" s="35" t="s">
        <v>8275</v>
      </c>
      <c r="B4831" s="36" t="s">
        <v>8276</v>
      </c>
      <c r="C4831" s="36" t="str">
        <f>HYPERLINK("https://rhld.insurance.arkansas.gov/NPILookup?Npi=1871667618","1871667618")</f>
        <v>1871667618</v>
      </c>
      <c r="D4831" s="36" t="s">
        <v>37039</v>
      </c>
      <c r="E4831" s="36" t="s">
        <v>2</v>
      </c>
      <c r="F4831" s="36">
        <v>1</v>
      </c>
      <c r="G4831" s="36">
        <v>3</v>
      </c>
      <c r="H4831" s="36">
        <v>0</v>
      </c>
      <c r="I4831" s="37">
        <v>0</v>
      </c>
      <c r="J4831" s="36" t="s">
        <v>36190</v>
      </c>
      <c r="K4831" s="36" t="s">
        <v>14330</v>
      </c>
      <c r="L4831" s="36" t="s">
        <v>14330</v>
      </c>
      <c r="M4831">
        <v>2</v>
      </c>
      <c r="N4831" t="s">
        <v>14331</v>
      </c>
      <c r="O4831" t="s">
        <v>14333</v>
      </c>
    </row>
    <row r="4832" spans="1:15" x14ac:dyDescent="0.25">
      <c r="A4832" s="35" t="s">
        <v>8275</v>
      </c>
      <c r="B4832" s="36" t="s">
        <v>8276</v>
      </c>
      <c r="C4832" s="36" t="str">
        <f>HYPERLINK("https://rhld.insurance.arkansas.gov/NPILookup?Npi=1871715904","1871715904")</f>
        <v>1871715904</v>
      </c>
      <c r="D4832" s="36" t="s">
        <v>37040</v>
      </c>
      <c r="E4832" s="36" t="s">
        <v>2</v>
      </c>
      <c r="F4832" s="36">
        <v>1</v>
      </c>
      <c r="G4832" s="36">
        <v>2</v>
      </c>
      <c r="H4832" s="36">
        <v>0</v>
      </c>
      <c r="I4832" s="37">
        <v>0</v>
      </c>
      <c r="J4832" s="36" t="s">
        <v>36190</v>
      </c>
      <c r="K4832" s="36" t="s">
        <v>14330</v>
      </c>
      <c r="L4832" s="36" t="s">
        <v>14330</v>
      </c>
      <c r="M4832">
        <v>2</v>
      </c>
      <c r="N4832" t="s">
        <v>14331</v>
      </c>
      <c r="O4832" t="s">
        <v>14333</v>
      </c>
    </row>
    <row r="4833" spans="1:15" x14ac:dyDescent="0.25">
      <c r="A4833" s="35" t="s">
        <v>8275</v>
      </c>
      <c r="B4833" s="36" t="s">
        <v>8276</v>
      </c>
      <c r="C4833" s="36" t="str">
        <f>HYPERLINK("https://rhld.insurance.arkansas.gov/NPILookup?Npi=1871850420","1871850420")</f>
        <v>1871850420</v>
      </c>
      <c r="D4833" s="36" t="s">
        <v>37041</v>
      </c>
      <c r="E4833" s="36" t="s">
        <v>2</v>
      </c>
      <c r="F4833" s="36">
        <v>1</v>
      </c>
      <c r="G4833" s="36">
        <v>2</v>
      </c>
      <c r="H4833" s="36">
        <v>0</v>
      </c>
      <c r="I4833" s="37">
        <v>0</v>
      </c>
      <c r="J4833" s="36" t="s">
        <v>36190</v>
      </c>
      <c r="K4833" s="36" t="s">
        <v>14330</v>
      </c>
      <c r="L4833" s="36" t="s">
        <v>14330</v>
      </c>
      <c r="M4833">
        <v>2</v>
      </c>
      <c r="N4833" t="s">
        <v>14331</v>
      </c>
      <c r="O4833" t="s">
        <v>14333</v>
      </c>
    </row>
    <row r="4834" spans="1:15" x14ac:dyDescent="0.25">
      <c r="A4834" s="35" t="s">
        <v>8275</v>
      </c>
      <c r="B4834" s="36" t="s">
        <v>8276</v>
      </c>
      <c r="C4834" s="36" t="str">
        <f>HYPERLINK("https://rhld.insurance.arkansas.gov/NPILookup?Npi=1871955351","1871955351")</f>
        <v>1871955351</v>
      </c>
      <c r="D4834" s="36" t="s">
        <v>37042</v>
      </c>
      <c r="E4834" s="36" t="s">
        <v>2</v>
      </c>
      <c r="F4834" s="36">
        <v>1</v>
      </c>
      <c r="G4834" s="36">
        <v>2</v>
      </c>
      <c r="H4834" s="36">
        <v>0</v>
      </c>
      <c r="I4834" s="37">
        <v>0</v>
      </c>
      <c r="J4834" s="36" t="s">
        <v>32679</v>
      </c>
      <c r="K4834" s="36" t="s">
        <v>14330</v>
      </c>
      <c r="L4834" s="36" t="s">
        <v>14330</v>
      </c>
      <c r="M4834">
        <v>2</v>
      </c>
      <c r="N4834" t="s">
        <v>14331</v>
      </c>
      <c r="O4834" t="s">
        <v>14333</v>
      </c>
    </row>
    <row r="4835" spans="1:15" x14ac:dyDescent="0.25">
      <c r="A4835" s="35" t="s">
        <v>8275</v>
      </c>
      <c r="B4835" s="36" t="s">
        <v>8276</v>
      </c>
      <c r="C4835" s="36" t="str">
        <f>HYPERLINK("https://rhld.insurance.arkansas.gov/NPILookup?Npi=1881222073","1881222073")</f>
        <v>1881222073</v>
      </c>
      <c r="D4835" s="36" t="s">
        <v>37043</v>
      </c>
      <c r="E4835" s="36" t="s">
        <v>2</v>
      </c>
      <c r="F4835" s="36">
        <v>1</v>
      </c>
      <c r="G4835" s="36">
        <v>2</v>
      </c>
      <c r="H4835" s="36">
        <v>0</v>
      </c>
      <c r="I4835" s="37">
        <v>0</v>
      </c>
      <c r="J4835" s="36" t="s">
        <v>36190</v>
      </c>
      <c r="K4835" s="36" t="s">
        <v>14330</v>
      </c>
      <c r="L4835" s="36" t="s">
        <v>14330</v>
      </c>
      <c r="M4835">
        <v>2</v>
      </c>
      <c r="N4835" t="s">
        <v>14331</v>
      </c>
      <c r="O4835" t="s">
        <v>14333</v>
      </c>
    </row>
    <row r="4836" spans="1:15" x14ac:dyDescent="0.25">
      <c r="A4836" s="35" t="s">
        <v>8275</v>
      </c>
      <c r="B4836" s="36" t="s">
        <v>8276</v>
      </c>
      <c r="C4836" s="36" t="str">
        <f>HYPERLINK("https://rhld.insurance.arkansas.gov/NPILookup?Npi=1881301968","1881301968")</f>
        <v>1881301968</v>
      </c>
      <c r="D4836" s="36" t="s">
        <v>36031</v>
      </c>
      <c r="E4836" s="36" t="s">
        <v>2</v>
      </c>
      <c r="F4836" s="36">
        <v>1</v>
      </c>
      <c r="G4836" s="36">
        <v>2</v>
      </c>
      <c r="H4836" s="36">
        <v>0</v>
      </c>
      <c r="I4836" s="37">
        <v>0</v>
      </c>
      <c r="J4836" s="36"/>
      <c r="K4836" s="36" t="s">
        <v>14330</v>
      </c>
      <c r="L4836" s="36" t="s">
        <v>14330</v>
      </c>
      <c r="M4836">
        <v>1</v>
      </c>
      <c r="N4836" t="s">
        <v>14331</v>
      </c>
      <c r="O4836" t="s">
        <v>14333</v>
      </c>
    </row>
    <row r="4837" spans="1:15" x14ac:dyDescent="0.25">
      <c r="A4837" s="35" t="s">
        <v>8275</v>
      </c>
      <c r="B4837" s="36" t="s">
        <v>8276</v>
      </c>
      <c r="C4837" s="36" t="str">
        <f>HYPERLINK("https://rhld.insurance.arkansas.gov/NPILookup?Npi=1881469914","1881469914")</f>
        <v>1881469914</v>
      </c>
      <c r="D4837" s="36" t="s">
        <v>36035</v>
      </c>
      <c r="E4837" s="36" t="s">
        <v>2</v>
      </c>
      <c r="F4837" s="36">
        <v>1</v>
      </c>
      <c r="G4837" s="36">
        <v>1</v>
      </c>
      <c r="H4837" s="36">
        <v>0</v>
      </c>
      <c r="I4837" s="37">
        <v>0</v>
      </c>
      <c r="J4837" s="36"/>
      <c r="K4837" s="36" t="s">
        <v>14330</v>
      </c>
      <c r="L4837" s="36" t="s">
        <v>14330</v>
      </c>
      <c r="M4837">
        <v>3</v>
      </c>
      <c r="N4837" t="s">
        <v>14331</v>
      </c>
      <c r="O4837" t="s">
        <v>32633</v>
      </c>
    </row>
    <row r="4838" spans="1:15" x14ac:dyDescent="0.25">
      <c r="A4838" s="35" t="s">
        <v>8275</v>
      </c>
      <c r="B4838" s="36" t="s">
        <v>8276</v>
      </c>
      <c r="C4838" s="36" t="str">
        <f>HYPERLINK("https://rhld.insurance.arkansas.gov/NPILookup?Npi=1881620003","1881620003")</f>
        <v>1881620003</v>
      </c>
      <c r="D4838" s="36" t="s">
        <v>37044</v>
      </c>
      <c r="E4838" s="36" t="s">
        <v>2</v>
      </c>
      <c r="F4838" s="36">
        <v>1</v>
      </c>
      <c r="G4838" s="36">
        <v>3</v>
      </c>
      <c r="H4838" s="36">
        <v>0</v>
      </c>
      <c r="I4838" s="37">
        <v>0</v>
      </c>
      <c r="J4838" s="36" t="s">
        <v>36190</v>
      </c>
      <c r="K4838" s="36" t="s">
        <v>14330</v>
      </c>
      <c r="L4838" s="36" t="s">
        <v>14330</v>
      </c>
      <c r="M4838">
        <v>2</v>
      </c>
      <c r="N4838" t="s">
        <v>14331</v>
      </c>
      <c r="O4838" t="s">
        <v>14333</v>
      </c>
    </row>
    <row r="4839" spans="1:15" x14ac:dyDescent="0.25">
      <c r="A4839" s="35" t="s">
        <v>8275</v>
      </c>
      <c r="B4839" s="36" t="s">
        <v>8276</v>
      </c>
      <c r="C4839" s="36" t="str">
        <f>HYPERLINK("https://rhld.insurance.arkansas.gov/NPILookup?Npi=1881686962","1881686962")</f>
        <v>1881686962</v>
      </c>
      <c r="D4839" s="36" t="s">
        <v>37045</v>
      </c>
      <c r="E4839" s="36" t="s">
        <v>2</v>
      </c>
      <c r="F4839" s="36">
        <v>1</v>
      </c>
      <c r="G4839" s="36">
        <v>2</v>
      </c>
      <c r="H4839" s="36">
        <v>0</v>
      </c>
      <c r="I4839" s="37">
        <v>0</v>
      </c>
      <c r="J4839" s="36" t="s">
        <v>36190</v>
      </c>
      <c r="K4839" s="36" t="s">
        <v>14330</v>
      </c>
      <c r="L4839" s="36" t="s">
        <v>14330</v>
      </c>
      <c r="M4839">
        <v>3</v>
      </c>
      <c r="N4839" t="s">
        <v>14331</v>
      </c>
      <c r="O4839" t="s">
        <v>14333</v>
      </c>
    </row>
    <row r="4840" spans="1:15" x14ac:dyDescent="0.25">
      <c r="A4840" s="35" t="s">
        <v>8275</v>
      </c>
      <c r="B4840" s="36" t="s">
        <v>8276</v>
      </c>
      <c r="C4840" s="36" t="str">
        <f>HYPERLINK("https://rhld.insurance.arkansas.gov/NPILookup?Npi=1881719938","1881719938")</f>
        <v>1881719938</v>
      </c>
      <c r="D4840" s="36" t="s">
        <v>37046</v>
      </c>
      <c r="E4840" s="36" t="s">
        <v>2</v>
      </c>
      <c r="F4840" s="36">
        <v>1</v>
      </c>
      <c r="G4840" s="36">
        <v>3</v>
      </c>
      <c r="H4840" s="36">
        <v>0</v>
      </c>
      <c r="I4840" s="37">
        <v>0</v>
      </c>
      <c r="J4840" s="36" t="s">
        <v>36190</v>
      </c>
      <c r="K4840" s="36" t="s">
        <v>14330</v>
      </c>
      <c r="L4840" s="36" t="s">
        <v>14330</v>
      </c>
      <c r="M4840">
        <v>1</v>
      </c>
      <c r="N4840" t="s">
        <v>14331</v>
      </c>
      <c r="O4840" t="s">
        <v>14333</v>
      </c>
    </row>
    <row r="4841" spans="1:15" x14ac:dyDescent="0.25">
      <c r="A4841" s="35" t="s">
        <v>8275</v>
      </c>
      <c r="B4841" s="36" t="s">
        <v>8276</v>
      </c>
      <c r="C4841" s="36" t="str">
        <f>HYPERLINK("https://rhld.insurance.arkansas.gov/NPILookup?Npi=1881747046","1881747046")</f>
        <v>1881747046</v>
      </c>
      <c r="D4841" s="36" t="s">
        <v>36040</v>
      </c>
      <c r="E4841" s="36" t="s">
        <v>2</v>
      </c>
      <c r="F4841" s="36">
        <v>1</v>
      </c>
      <c r="G4841" s="36">
        <v>1</v>
      </c>
      <c r="H4841" s="36">
        <v>0</v>
      </c>
      <c r="I4841" s="37">
        <v>0</v>
      </c>
      <c r="J4841" s="36"/>
      <c r="K4841" s="36" t="s">
        <v>14330</v>
      </c>
      <c r="L4841" s="36" t="s">
        <v>14330</v>
      </c>
      <c r="M4841">
        <v>3</v>
      </c>
      <c r="N4841" t="s">
        <v>14331</v>
      </c>
      <c r="O4841" t="s">
        <v>32633</v>
      </c>
    </row>
    <row r="4842" spans="1:15" x14ac:dyDescent="0.25">
      <c r="A4842" s="35" t="s">
        <v>8275</v>
      </c>
      <c r="B4842" s="36" t="s">
        <v>8276</v>
      </c>
      <c r="C4842" s="36" t="str">
        <f>HYPERLINK("https://rhld.insurance.arkansas.gov/NPILookup?Npi=1881845758","1881845758")</f>
        <v>1881845758</v>
      </c>
      <c r="D4842" s="36" t="s">
        <v>37047</v>
      </c>
      <c r="E4842" s="36" t="s">
        <v>2</v>
      </c>
      <c r="F4842" s="36">
        <v>1</v>
      </c>
      <c r="G4842" s="36">
        <v>3</v>
      </c>
      <c r="H4842" s="36">
        <v>0</v>
      </c>
      <c r="I4842" s="37">
        <v>0</v>
      </c>
      <c r="J4842" s="36" t="s">
        <v>36190</v>
      </c>
      <c r="K4842" s="36" t="s">
        <v>14330</v>
      </c>
      <c r="L4842" s="36" t="s">
        <v>14330</v>
      </c>
      <c r="M4842">
        <v>2</v>
      </c>
      <c r="N4842" t="s">
        <v>14331</v>
      </c>
      <c r="O4842" t="s">
        <v>14333</v>
      </c>
    </row>
    <row r="4843" spans="1:15" x14ac:dyDescent="0.25">
      <c r="A4843" s="35" t="s">
        <v>8275</v>
      </c>
      <c r="B4843" s="36" t="s">
        <v>8276</v>
      </c>
      <c r="C4843" s="36" t="str">
        <f>HYPERLINK("https://rhld.insurance.arkansas.gov/NPILookup?Npi=1881958288","1881958288")</f>
        <v>1881958288</v>
      </c>
      <c r="D4843" s="36" t="s">
        <v>37048</v>
      </c>
      <c r="E4843" s="36" t="s">
        <v>2</v>
      </c>
      <c r="F4843" s="36">
        <v>1</v>
      </c>
      <c r="G4843" s="36">
        <v>2</v>
      </c>
      <c r="H4843" s="36">
        <v>0</v>
      </c>
      <c r="I4843" s="37">
        <v>0</v>
      </c>
      <c r="J4843" s="36" t="s">
        <v>36190</v>
      </c>
      <c r="K4843" s="36" t="s">
        <v>14330</v>
      </c>
      <c r="L4843" s="36" t="s">
        <v>14330</v>
      </c>
      <c r="M4843">
        <v>1</v>
      </c>
      <c r="N4843" t="s">
        <v>14331</v>
      </c>
      <c r="O4843" t="s">
        <v>14333</v>
      </c>
    </row>
    <row r="4844" spans="1:15" x14ac:dyDescent="0.25">
      <c r="A4844" s="35" t="s">
        <v>8275</v>
      </c>
      <c r="B4844" s="36" t="s">
        <v>8276</v>
      </c>
      <c r="C4844" s="36" t="str">
        <f>HYPERLINK("https://rhld.insurance.arkansas.gov/NPILookup?Npi=1891144028","1891144028")</f>
        <v>1891144028</v>
      </c>
      <c r="D4844" s="36" t="s">
        <v>36044</v>
      </c>
      <c r="E4844" s="36" t="s">
        <v>2</v>
      </c>
      <c r="F4844" s="36">
        <v>1</v>
      </c>
      <c r="G4844" s="36">
        <v>1</v>
      </c>
      <c r="H4844" s="36">
        <v>0</v>
      </c>
      <c r="I4844" s="37">
        <v>0</v>
      </c>
      <c r="J4844" s="36"/>
      <c r="K4844" s="36" t="s">
        <v>14330</v>
      </c>
      <c r="L4844" s="36" t="s">
        <v>14330</v>
      </c>
      <c r="M4844">
        <v>2</v>
      </c>
      <c r="N4844" t="s">
        <v>14331</v>
      </c>
      <c r="O4844" t="s">
        <v>32633</v>
      </c>
    </row>
    <row r="4845" spans="1:15" x14ac:dyDescent="0.25">
      <c r="A4845" s="35" t="s">
        <v>8275</v>
      </c>
      <c r="B4845" s="36" t="s">
        <v>8276</v>
      </c>
      <c r="C4845" s="36" t="str">
        <f>HYPERLINK("https://rhld.insurance.arkansas.gov/NPILookup?Npi=1891337614","1891337614")</f>
        <v>1891337614</v>
      </c>
      <c r="D4845" s="36" t="s">
        <v>37049</v>
      </c>
      <c r="E4845" s="36" t="s">
        <v>2</v>
      </c>
      <c r="F4845" s="36">
        <v>1</v>
      </c>
      <c r="G4845" s="36">
        <v>2</v>
      </c>
      <c r="H4845" s="36">
        <v>0</v>
      </c>
      <c r="I4845" s="37">
        <v>0</v>
      </c>
      <c r="J4845" s="36" t="s">
        <v>32679</v>
      </c>
      <c r="K4845" s="36" t="s">
        <v>14330</v>
      </c>
      <c r="L4845" s="36" t="s">
        <v>14330</v>
      </c>
      <c r="M4845">
        <v>3</v>
      </c>
      <c r="N4845" t="s">
        <v>14331</v>
      </c>
      <c r="O4845" t="s">
        <v>14333</v>
      </c>
    </row>
    <row r="4846" spans="1:15" x14ac:dyDescent="0.25">
      <c r="A4846" s="35" t="s">
        <v>8275</v>
      </c>
      <c r="B4846" s="36" t="s">
        <v>8276</v>
      </c>
      <c r="C4846" s="36" t="str">
        <f>HYPERLINK("https://rhld.insurance.arkansas.gov/NPILookup?Npi=1891388666","1891388666")</f>
        <v>1891388666</v>
      </c>
      <c r="D4846" s="36" t="s">
        <v>37050</v>
      </c>
      <c r="E4846" s="36" t="s">
        <v>2</v>
      </c>
      <c r="F4846" s="36">
        <v>1</v>
      </c>
      <c r="G4846" s="36">
        <v>3</v>
      </c>
      <c r="H4846" s="36">
        <v>0</v>
      </c>
      <c r="I4846" s="37">
        <v>0</v>
      </c>
      <c r="J4846" s="36" t="s">
        <v>36190</v>
      </c>
      <c r="K4846" s="36" t="s">
        <v>14330</v>
      </c>
      <c r="L4846" s="36" t="s">
        <v>14330</v>
      </c>
      <c r="M4846">
        <v>2</v>
      </c>
      <c r="N4846" t="s">
        <v>14331</v>
      </c>
      <c r="O4846" t="s">
        <v>14333</v>
      </c>
    </row>
    <row r="4847" spans="1:15" x14ac:dyDescent="0.25">
      <c r="A4847" s="35" t="s">
        <v>8275</v>
      </c>
      <c r="B4847" s="36" t="s">
        <v>8276</v>
      </c>
      <c r="C4847" s="36" t="str">
        <f>HYPERLINK("https://rhld.insurance.arkansas.gov/NPILookup?Npi=1891500922","1891500922")</f>
        <v>1891500922</v>
      </c>
      <c r="D4847" s="36" t="s">
        <v>36048</v>
      </c>
      <c r="E4847" s="36" t="s">
        <v>2</v>
      </c>
      <c r="F4847" s="36">
        <v>1</v>
      </c>
      <c r="G4847" s="36">
        <v>2</v>
      </c>
      <c r="H4847" s="36">
        <v>0</v>
      </c>
      <c r="I4847" s="37">
        <v>0</v>
      </c>
      <c r="J4847" s="36"/>
      <c r="K4847" s="36" t="s">
        <v>14330</v>
      </c>
      <c r="L4847" s="36" t="s">
        <v>14330</v>
      </c>
      <c r="M4847">
        <v>1</v>
      </c>
      <c r="N4847" t="s">
        <v>14331</v>
      </c>
      <c r="O4847" t="s">
        <v>14333</v>
      </c>
    </row>
    <row r="4848" spans="1:15" x14ac:dyDescent="0.25">
      <c r="A4848" s="35" t="s">
        <v>8275</v>
      </c>
      <c r="B4848" s="36" t="s">
        <v>8276</v>
      </c>
      <c r="C4848" s="36" t="str">
        <f>HYPERLINK("https://rhld.insurance.arkansas.gov/NPILookup?Npi=1891537221","1891537221")</f>
        <v>1891537221</v>
      </c>
      <c r="D4848" s="36" t="s">
        <v>36050</v>
      </c>
      <c r="E4848" s="36" t="s">
        <v>2</v>
      </c>
      <c r="F4848" s="36">
        <v>1</v>
      </c>
      <c r="G4848" s="36">
        <v>1</v>
      </c>
      <c r="H4848" s="36">
        <v>0</v>
      </c>
      <c r="I4848" s="37">
        <v>0</v>
      </c>
      <c r="J4848" s="36"/>
      <c r="K4848" s="36" t="s">
        <v>14330</v>
      </c>
      <c r="L4848" s="36" t="s">
        <v>14330</v>
      </c>
      <c r="M4848">
        <v>1</v>
      </c>
      <c r="N4848" t="s">
        <v>14331</v>
      </c>
      <c r="O4848" t="s">
        <v>32633</v>
      </c>
    </row>
    <row r="4849" spans="1:15" x14ac:dyDescent="0.25">
      <c r="A4849" s="35" t="s">
        <v>8275</v>
      </c>
      <c r="B4849" s="36" t="s">
        <v>8276</v>
      </c>
      <c r="C4849" s="36" t="str">
        <f>HYPERLINK("https://rhld.insurance.arkansas.gov/NPILookup?Npi=1891553434","1891553434")</f>
        <v>1891553434</v>
      </c>
      <c r="D4849" s="36" t="s">
        <v>36051</v>
      </c>
      <c r="E4849" s="36" t="s">
        <v>2</v>
      </c>
      <c r="F4849" s="36">
        <v>1</v>
      </c>
      <c r="G4849" s="36">
        <v>1</v>
      </c>
      <c r="H4849" s="36">
        <v>0</v>
      </c>
      <c r="I4849" s="37">
        <v>0</v>
      </c>
      <c r="J4849" s="36"/>
      <c r="K4849" s="36" t="s">
        <v>14330</v>
      </c>
      <c r="L4849" s="36" t="s">
        <v>14330</v>
      </c>
      <c r="M4849">
        <v>2</v>
      </c>
      <c r="N4849" t="s">
        <v>14331</v>
      </c>
      <c r="O4849" t="s">
        <v>32633</v>
      </c>
    </row>
    <row r="4850" spans="1:15" x14ac:dyDescent="0.25">
      <c r="A4850" s="35" t="s">
        <v>8275</v>
      </c>
      <c r="B4850" s="36" t="s">
        <v>8276</v>
      </c>
      <c r="C4850" s="36" t="str">
        <f>HYPERLINK("https://rhld.insurance.arkansas.gov/NPILookup?Npi=1891592259","1891592259")</f>
        <v>1891592259</v>
      </c>
      <c r="D4850" s="36" t="s">
        <v>34815</v>
      </c>
      <c r="E4850" s="36" t="s">
        <v>2</v>
      </c>
      <c r="F4850" s="36">
        <v>1</v>
      </c>
      <c r="G4850" s="36">
        <v>2</v>
      </c>
      <c r="H4850" s="36">
        <v>0</v>
      </c>
      <c r="I4850" s="37">
        <v>0</v>
      </c>
      <c r="J4850" s="36"/>
      <c r="K4850" s="36" t="s">
        <v>14330</v>
      </c>
      <c r="L4850" s="36" t="s">
        <v>14330</v>
      </c>
      <c r="M4850">
        <v>3</v>
      </c>
      <c r="N4850" t="s">
        <v>14331</v>
      </c>
      <c r="O4850" t="s">
        <v>14333</v>
      </c>
    </row>
    <row r="4851" spans="1:15" x14ac:dyDescent="0.25">
      <c r="A4851" s="35" t="s">
        <v>8275</v>
      </c>
      <c r="B4851" s="36" t="s">
        <v>8276</v>
      </c>
      <c r="C4851" s="36" t="str">
        <f>HYPERLINK("https://rhld.insurance.arkansas.gov/NPILookup?Npi=1891768040","1891768040")</f>
        <v>1891768040</v>
      </c>
      <c r="D4851" s="36" t="s">
        <v>37051</v>
      </c>
      <c r="E4851" s="36" t="s">
        <v>2</v>
      </c>
      <c r="F4851" s="36">
        <v>1</v>
      </c>
      <c r="G4851" s="36">
        <v>3</v>
      </c>
      <c r="H4851" s="36">
        <v>0</v>
      </c>
      <c r="I4851" s="37">
        <v>0</v>
      </c>
      <c r="J4851" s="36" t="s">
        <v>36190</v>
      </c>
      <c r="K4851" s="36" t="s">
        <v>14330</v>
      </c>
      <c r="L4851" s="36" t="s">
        <v>14330</v>
      </c>
      <c r="M4851">
        <v>2</v>
      </c>
      <c r="N4851" t="s">
        <v>14331</v>
      </c>
      <c r="O4851" t="s">
        <v>14333</v>
      </c>
    </row>
    <row r="4852" spans="1:15" x14ac:dyDescent="0.25">
      <c r="A4852" s="35" t="s">
        <v>8275</v>
      </c>
      <c r="B4852" s="36" t="s">
        <v>8276</v>
      </c>
      <c r="C4852" s="36" t="str">
        <f>HYPERLINK("https://rhld.insurance.arkansas.gov/NPILookup?Npi=1891816153","1891816153")</f>
        <v>1891816153</v>
      </c>
      <c r="D4852" s="36" t="s">
        <v>37052</v>
      </c>
      <c r="E4852" s="36" t="s">
        <v>2</v>
      </c>
      <c r="F4852" s="36">
        <v>1</v>
      </c>
      <c r="G4852" s="36">
        <v>2</v>
      </c>
      <c r="H4852" s="36">
        <v>0</v>
      </c>
      <c r="I4852" s="37">
        <v>0</v>
      </c>
      <c r="J4852" s="36" t="s">
        <v>36190</v>
      </c>
      <c r="K4852" s="36" t="s">
        <v>14330</v>
      </c>
      <c r="L4852" s="36" t="s">
        <v>14330</v>
      </c>
      <c r="M4852">
        <v>2</v>
      </c>
      <c r="N4852" t="s">
        <v>14331</v>
      </c>
      <c r="O4852" t="s">
        <v>14333</v>
      </c>
    </row>
    <row r="4853" spans="1:15" x14ac:dyDescent="0.25">
      <c r="A4853" s="35" t="s">
        <v>8275</v>
      </c>
      <c r="B4853" s="36" t="s">
        <v>8276</v>
      </c>
      <c r="C4853" s="36" t="str">
        <f>HYPERLINK("https://rhld.insurance.arkansas.gov/NPILookup?Npi=1891821153","1891821153")</f>
        <v>1891821153</v>
      </c>
      <c r="D4853" s="36" t="s">
        <v>36056</v>
      </c>
      <c r="E4853" s="36" t="s">
        <v>2</v>
      </c>
      <c r="F4853" s="36">
        <v>1</v>
      </c>
      <c r="G4853" s="36">
        <v>2</v>
      </c>
      <c r="H4853" s="36">
        <v>0</v>
      </c>
      <c r="I4853" s="37">
        <v>0</v>
      </c>
      <c r="J4853" s="36"/>
      <c r="K4853" s="36" t="s">
        <v>14330</v>
      </c>
      <c r="L4853" s="36" t="s">
        <v>14330</v>
      </c>
      <c r="M4853">
        <v>3</v>
      </c>
      <c r="N4853" t="s">
        <v>14331</v>
      </c>
      <c r="O4853" t="s">
        <v>14333</v>
      </c>
    </row>
    <row r="4854" spans="1:15" x14ac:dyDescent="0.25">
      <c r="A4854" s="35" t="s">
        <v>8275</v>
      </c>
      <c r="B4854" s="36" t="s">
        <v>8276</v>
      </c>
      <c r="C4854" s="36" t="str">
        <f>HYPERLINK("https://rhld.insurance.arkansas.gov/NPILookup?Npi=1891880555","1891880555")</f>
        <v>1891880555</v>
      </c>
      <c r="D4854" s="36" t="s">
        <v>33428</v>
      </c>
      <c r="E4854" s="36" t="s">
        <v>2</v>
      </c>
      <c r="F4854" s="36">
        <v>1</v>
      </c>
      <c r="G4854" s="36">
        <v>3</v>
      </c>
      <c r="H4854" s="36">
        <v>0</v>
      </c>
      <c r="I4854" s="37">
        <v>0</v>
      </c>
      <c r="J4854" s="36" t="s">
        <v>36190</v>
      </c>
      <c r="K4854" s="36" t="s">
        <v>14330</v>
      </c>
      <c r="L4854" s="36" t="s">
        <v>14330</v>
      </c>
      <c r="M4854">
        <v>2</v>
      </c>
      <c r="N4854" t="s">
        <v>14331</v>
      </c>
      <c r="O4854" t="s">
        <v>14333</v>
      </c>
    </row>
    <row r="4855" spans="1:15" x14ac:dyDescent="0.25">
      <c r="A4855" s="35" t="s">
        <v>8275</v>
      </c>
      <c r="B4855" s="36" t="s">
        <v>8276</v>
      </c>
      <c r="C4855" s="36" t="str">
        <f>HYPERLINK("https://rhld.insurance.arkansas.gov/NPILookup?Npi=1891893020","1891893020")</f>
        <v>1891893020</v>
      </c>
      <c r="D4855" s="36" t="s">
        <v>37053</v>
      </c>
      <c r="E4855" s="36" t="s">
        <v>1</v>
      </c>
      <c r="F4855" s="36">
        <v>1</v>
      </c>
      <c r="G4855" s="36">
        <v>2</v>
      </c>
      <c r="H4855" s="36">
        <v>0</v>
      </c>
      <c r="I4855" s="37">
        <v>0</v>
      </c>
      <c r="J4855" s="36" t="s">
        <v>32654</v>
      </c>
      <c r="K4855" s="36" t="s">
        <v>14330</v>
      </c>
      <c r="L4855" s="36" t="s">
        <v>14330</v>
      </c>
      <c r="M4855">
        <v>3</v>
      </c>
      <c r="N4855" t="s">
        <v>14331</v>
      </c>
      <c r="O4855" t="s">
        <v>32633</v>
      </c>
    </row>
    <row r="4856" spans="1:15" x14ac:dyDescent="0.25">
      <c r="A4856" s="35" t="s">
        <v>8275</v>
      </c>
      <c r="B4856" s="36" t="s">
        <v>8276</v>
      </c>
      <c r="C4856" s="36" t="str">
        <f>HYPERLINK("https://rhld.insurance.arkansas.gov/NPILookup?Npi=1902343932","1902343932")</f>
        <v>1902343932</v>
      </c>
      <c r="D4856" s="36" t="s">
        <v>37054</v>
      </c>
      <c r="E4856" s="36" t="s">
        <v>2</v>
      </c>
      <c r="F4856" s="36">
        <v>1</v>
      </c>
      <c r="G4856" s="36">
        <v>3</v>
      </c>
      <c r="H4856" s="36">
        <v>0</v>
      </c>
      <c r="I4856" s="37">
        <v>0</v>
      </c>
      <c r="J4856" s="36" t="s">
        <v>36190</v>
      </c>
      <c r="K4856" s="36" t="s">
        <v>14330</v>
      </c>
      <c r="L4856" s="36" t="s">
        <v>14330</v>
      </c>
      <c r="M4856">
        <v>3</v>
      </c>
      <c r="N4856" t="s">
        <v>14331</v>
      </c>
      <c r="O4856" t="s">
        <v>14333</v>
      </c>
    </row>
    <row r="4857" spans="1:15" x14ac:dyDescent="0.25">
      <c r="A4857" s="35" t="s">
        <v>8275</v>
      </c>
      <c r="B4857" s="36" t="s">
        <v>8276</v>
      </c>
      <c r="C4857" s="36" t="str">
        <f>HYPERLINK("https://rhld.insurance.arkansas.gov/NPILookup?Npi=1902483969","1902483969")</f>
        <v>1902483969</v>
      </c>
      <c r="D4857" s="36" t="s">
        <v>31274</v>
      </c>
      <c r="E4857" s="36" t="s">
        <v>2</v>
      </c>
      <c r="F4857" s="36">
        <v>1</v>
      </c>
      <c r="G4857" s="36">
        <v>3</v>
      </c>
      <c r="H4857" s="36">
        <v>0</v>
      </c>
      <c r="I4857" s="37">
        <v>0</v>
      </c>
      <c r="J4857" s="36" t="s">
        <v>36190</v>
      </c>
      <c r="K4857" s="36" t="s">
        <v>14330</v>
      </c>
      <c r="L4857" s="36" t="s">
        <v>14330</v>
      </c>
      <c r="M4857">
        <v>2</v>
      </c>
      <c r="N4857" t="s">
        <v>14331</v>
      </c>
      <c r="O4857" t="s">
        <v>14333</v>
      </c>
    </row>
    <row r="4858" spans="1:15" x14ac:dyDescent="0.25">
      <c r="A4858" s="35" t="s">
        <v>8275</v>
      </c>
      <c r="B4858" s="36" t="s">
        <v>8276</v>
      </c>
      <c r="C4858" s="36" t="str">
        <f>HYPERLINK("https://rhld.insurance.arkansas.gov/NPILookup?Npi=1902485360","1902485360")</f>
        <v>1902485360</v>
      </c>
      <c r="D4858" s="36" t="s">
        <v>37055</v>
      </c>
      <c r="E4858" s="36" t="s">
        <v>2</v>
      </c>
      <c r="F4858" s="36">
        <v>1</v>
      </c>
      <c r="G4858" s="36">
        <v>2</v>
      </c>
      <c r="H4858" s="36">
        <v>0</v>
      </c>
      <c r="I4858" s="37">
        <v>0</v>
      </c>
      <c r="J4858" s="36"/>
      <c r="K4858" s="36" t="s">
        <v>14330</v>
      </c>
      <c r="L4858" s="36" t="s">
        <v>14330</v>
      </c>
      <c r="M4858">
        <v>3</v>
      </c>
      <c r="N4858" t="s">
        <v>14331</v>
      </c>
      <c r="O4858" t="s">
        <v>14333</v>
      </c>
    </row>
    <row r="4859" spans="1:15" x14ac:dyDescent="0.25">
      <c r="A4859" s="35" t="s">
        <v>8275</v>
      </c>
      <c r="B4859" s="36" t="s">
        <v>8276</v>
      </c>
      <c r="C4859" s="36" t="str">
        <f>HYPERLINK("https://rhld.insurance.arkansas.gov/NPILookup?Npi=1902487192","1902487192")</f>
        <v>1902487192</v>
      </c>
      <c r="D4859" s="36" t="s">
        <v>31275</v>
      </c>
      <c r="E4859" s="36" t="s">
        <v>2</v>
      </c>
      <c r="F4859" s="36">
        <v>1</v>
      </c>
      <c r="G4859" s="36">
        <v>3</v>
      </c>
      <c r="H4859" s="36">
        <v>0</v>
      </c>
      <c r="I4859" s="37">
        <v>0</v>
      </c>
      <c r="J4859" s="36" t="s">
        <v>36190</v>
      </c>
      <c r="K4859" s="36" t="s">
        <v>14330</v>
      </c>
      <c r="L4859" s="36" t="s">
        <v>14330</v>
      </c>
      <c r="M4859">
        <v>3</v>
      </c>
      <c r="N4859" t="s">
        <v>14331</v>
      </c>
      <c r="O4859" t="s">
        <v>14333</v>
      </c>
    </row>
    <row r="4860" spans="1:15" x14ac:dyDescent="0.25">
      <c r="A4860" s="35" t="s">
        <v>8275</v>
      </c>
      <c r="B4860" s="36" t="s">
        <v>8276</v>
      </c>
      <c r="C4860" s="36" t="str">
        <f>HYPERLINK("https://rhld.insurance.arkansas.gov/NPILookup?Npi=1902542848","1902542848")</f>
        <v>1902542848</v>
      </c>
      <c r="D4860" s="36" t="s">
        <v>37056</v>
      </c>
      <c r="E4860" s="36" t="s">
        <v>2</v>
      </c>
      <c r="F4860" s="36">
        <v>1</v>
      </c>
      <c r="G4860" s="36">
        <v>3</v>
      </c>
      <c r="H4860" s="36">
        <v>0</v>
      </c>
      <c r="I4860" s="37">
        <v>0</v>
      </c>
      <c r="J4860" s="36" t="s">
        <v>36190</v>
      </c>
      <c r="K4860" s="36" t="s">
        <v>14330</v>
      </c>
      <c r="L4860" s="36" t="s">
        <v>14330</v>
      </c>
      <c r="M4860">
        <v>2</v>
      </c>
      <c r="N4860" t="s">
        <v>14331</v>
      </c>
      <c r="O4860" t="s">
        <v>14333</v>
      </c>
    </row>
    <row r="4861" spans="1:15" x14ac:dyDescent="0.25">
      <c r="A4861" s="35" t="s">
        <v>8275</v>
      </c>
      <c r="B4861" s="36" t="s">
        <v>8276</v>
      </c>
      <c r="C4861" s="36" t="str">
        <f>HYPERLINK("https://rhld.insurance.arkansas.gov/NPILookup?Npi=1902578669","1902578669")</f>
        <v>1902578669</v>
      </c>
      <c r="D4861" s="36" t="s">
        <v>37057</v>
      </c>
      <c r="E4861" s="36" t="s">
        <v>2</v>
      </c>
      <c r="F4861" s="36">
        <v>1</v>
      </c>
      <c r="G4861" s="36">
        <v>2</v>
      </c>
      <c r="H4861" s="36">
        <v>0</v>
      </c>
      <c r="I4861" s="37">
        <v>0</v>
      </c>
      <c r="J4861" s="36" t="s">
        <v>36190</v>
      </c>
      <c r="K4861" s="36" t="s">
        <v>14330</v>
      </c>
      <c r="L4861" s="36" t="s">
        <v>14330</v>
      </c>
      <c r="M4861">
        <v>1</v>
      </c>
      <c r="N4861" t="s">
        <v>14331</v>
      </c>
      <c r="O4861" t="s">
        <v>14333</v>
      </c>
    </row>
    <row r="4862" spans="1:15" x14ac:dyDescent="0.25">
      <c r="A4862" s="35" t="s">
        <v>8275</v>
      </c>
      <c r="B4862" s="36" t="s">
        <v>8276</v>
      </c>
      <c r="C4862" s="36" t="str">
        <f>HYPERLINK("https://rhld.insurance.arkansas.gov/NPILookup?Npi=1902611718","1902611718")</f>
        <v>1902611718</v>
      </c>
      <c r="D4862" s="36" t="s">
        <v>34816</v>
      </c>
      <c r="E4862" s="36" t="s">
        <v>2</v>
      </c>
      <c r="F4862" s="36">
        <v>1</v>
      </c>
      <c r="G4862" s="36">
        <v>1</v>
      </c>
      <c r="H4862" s="36">
        <v>0</v>
      </c>
      <c r="I4862" s="37">
        <v>0</v>
      </c>
      <c r="J4862" s="36"/>
      <c r="K4862" s="36" t="s">
        <v>14330</v>
      </c>
      <c r="L4862" s="36" t="s">
        <v>14330</v>
      </c>
      <c r="M4862">
        <v>2</v>
      </c>
      <c r="N4862" t="s">
        <v>14331</v>
      </c>
      <c r="O4862" t="s">
        <v>32633</v>
      </c>
    </row>
    <row r="4863" spans="1:15" x14ac:dyDescent="0.25">
      <c r="A4863" s="35" t="s">
        <v>8275</v>
      </c>
      <c r="B4863" s="36" t="s">
        <v>8276</v>
      </c>
      <c r="C4863" s="36" t="str">
        <f>HYPERLINK("https://rhld.insurance.arkansas.gov/NPILookup?Npi=1902624299","1902624299")</f>
        <v>1902624299</v>
      </c>
      <c r="D4863" s="36" t="s">
        <v>36063</v>
      </c>
      <c r="E4863" s="36" t="s">
        <v>2</v>
      </c>
      <c r="F4863" s="36">
        <v>1</v>
      </c>
      <c r="G4863" s="36">
        <v>2</v>
      </c>
      <c r="H4863" s="36">
        <v>0</v>
      </c>
      <c r="I4863" s="37">
        <v>0</v>
      </c>
      <c r="J4863" s="36"/>
      <c r="K4863" s="36" t="s">
        <v>14330</v>
      </c>
      <c r="L4863" s="36" t="s">
        <v>14330</v>
      </c>
      <c r="M4863">
        <v>3</v>
      </c>
      <c r="N4863" t="s">
        <v>14331</v>
      </c>
      <c r="O4863" t="s">
        <v>14333</v>
      </c>
    </row>
    <row r="4864" spans="1:15" x14ac:dyDescent="0.25">
      <c r="A4864" s="35" t="s">
        <v>8275</v>
      </c>
      <c r="B4864" s="36" t="s">
        <v>8276</v>
      </c>
      <c r="C4864" s="36" t="str">
        <f>HYPERLINK("https://rhld.insurance.arkansas.gov/NPILookup?Npi=1902682552","1902682552")</f>
        <v>1902682552</v>
      </c>
      <c r="D4864" s="36" t="s">
        <v>37058</v>
      </c>
      <c r="E4864" s="36" t="s">
        <v>2</v>
      </c>
      <c r="F4864" s="36">
        <v>1</v>
      </c>
      <c r="G4864" s="36">
        <v>3</v>
      </c>
      <c r="H4864" s="36">
        <v>0</v>
      </c>
      <c r="I4864" s="37">
        <v>0</v>
      </c>
      <c r="J4864" s="36" t="s">
        <v>36190</v>
      </c>
      <c r="K4864" s="36" t="s">
        <v>14330</v>
      </c>
      <c r="L4864" s="36" t="s">
        <v>14330</v>
      </c>
      <c r="M4864">
        <v>3</v>
      </c>
      <c r="N4864" t="s">
        <v>14331</v>
      </c>
      <c r="O4864" t="s">
        <v>14333</v>
      </c>
    </row>
    <row r="4865" spans="1:15" x14ac:dyDescent="0.25">
      <c r="A4865" s="35" t="s">
        <v>8275</v>
      </c>
      <c r="B4865" s="36" t="s">
        <v>8276</v>
      </c>
      <c r="C4865" s="36" t="str">
        <f>HYPERLINK("https://rhld.insurance.arkansas.gov/NPILookup?Npi=1902824162","1902824162")</f>
        <v>1902824162</v>
      </c>
      <c r="D4865" s="36" t="s">
        <v>37059</v>
      </c>
      <c r="E4865" s="36" t="s">
        <v>2</v>
      </c>
      <c r="F4865" s="36">
        <v>1</v>
      </c>
      <c r="G4865" s="36">
        <v>3</v>
      </c>
      <c r="H4865" s="36">
        <v>0</v>
      </c>
      <c r="I4865" s="37">
        <v>0</v>
      </c>
      <c r="J4865" s="36" t="s">
        <v>36190</v>
      </c>
      <c r="K4865" s="36" t="s">
        <v>14330</v>
      </c>
      <c r="L4865" s="36" t="s">
        <v>14330</v>
      </c>
      <c r="M4865">
        <v>3</v>
      </c>
      <c r="N4865" t="s">
        <v>14331</v>
      </c>
      <c r="O4865" t="s">
        <v>14333</v>
      </c>
    </row>
    <row r="4866" spans="1:15" x14ac:dyDescent="0.25">
      <c r="A4866" s="35" t="s">
        <v>8275</v>
      </c>
      <c r="B4866" s="36" t="s">
        <v>8276</v>
      </c>
      <c r="C4866" s="36" t="str">
        <f>HYPERLINK("https://rhld.insurance.arkansas.gov/NPILookup?Npi=1902867070","1902867070")</f>
        <v>1902867070</v>
      </c>
      <c r="D4866" s="36" t="s">
        <v>37060</v>
      </c>
      <c r="E4866" s="36" t="s">
        <v>2</v>
      </c>
      <c r="F4866" s="36">
        <v>1</v>
      </c>
      <c r="G4866" s="36">
        <v>3</v>
      </c>
      <c r="H4866" s="36">
        <v>0</v>
      </c>
      <c r="I4866" s="37">
        <v>0</v>
      </c>
      <c r="J4866" s="36" t="s">
        <v>36190</v>
      </c>
      <c r="K4866" s="36" t="s">
        <v>14330</v>
      </c>
      <c r="L4866" s="36" t="s">
        <v>14330</v>
      </c>
      <c r="M4866">
        <v>3</v>
      </c>
      <c r="N4866" t="s">
        <v>14331</v>
      </c>
      <c r="O4866" t="s">
        <v>14333</v>
      </c>
    </row>
    <row r="4867" spans="1:15" x14ac:dyDescent="0.25">
      <c r="A4867" s="35" t="s">
        <v>8275</v>
      </c>
      <c r="B4867" s="36" t="s">
        <v>8276</v>
      </c>
      <c r="C4867" s="36" t="str">
        <f>HYPERLINK("https://rhld.insurance.arkansas.gov/NPILookup?Npi=1912252354","1912252354")</f>
        <v>1912252354</v>
      </c>
      <c r="D4867" s="36" t="s">
        <v>37061</v>
      </c>
      <c r="E4867" s="36" t="s">
        <v>2</v>
      </c>
      <c r="F4867" s="36">
        <v>1</v>
      </c>
      <c r="G4867" s="36">
        <v>3</v>
      </c>
      <c r="H4867" s="36">
        <v>0</v>
      </c>
      <c r="I4867" s="37">
        <v>0</v>
      </c>
      <c r="J4867" s="36" t="s">
        <v>36190</v>
      </c>
      <c r="K4867" s="36" t="s">
        <v>14330</v>
      </c>
      <c r="L4867" s="36" t="s">
        <v>14330</v>
      </c>
      <c r="M4867">
        <v>0</v>
      </c>
      <c r="N4867" t="s">
        <v>14331</v>
      </c>
      <c r="O4867" t="s">
        <v>14333</v>
      </c>
    </row>
    <row r="4868" spans="1:15" x14ac:dyDescent="0.25">
      <c r="A4868" s="35" t="s">
        <v>8275</v>
      </c>
      <c r="B4868" s="36" t="s">
        <v>8276</v>
      </c>
      <c r="C4868" s="36" t="str">
        <f>HYPERLINK("https://rhld.insurance.arkansas.gov/NPILookup?Npi=1912299967","1912299967")</f>
        <v>1912299967</v>
      </c>
      <c r="D4868" s="36" t="s">
        <v>33640</v>
      </c>
      <c r="E4868" s="36" t="s">
        <v>1</v>
      </c>
      <c r="F4868" s="36">
        <v>1</v>
      </c>
      <c r="G4868" s="36">
        <v>0</v>
      </c>
      <c r="H4868" s="36">
        <v>0</v>
      </c>
      <c r="I4868" s="37">
        <v>0</v>
      </c>
      <c r="J4868" s="36" t="s">
        <v>32654</v>
      </c>
      <c r="K4868" s="36" t="s">
        <v>14330</v>
      </c>
      <c r="L4868" s="36" t="s">
        <v>14330</v>
      </c>
      <c r="M4868">
        <v>3</v>
      </c>
      <c r="N4868" t="s">
        <v>14331</v>
      </c>
      <c r="O4868" t="s">
        <v>32633</v>
      </c>
    </row>
    <row r="4869" spans="1:15" x14ac:dyDescent="0.25">
      <c r="A4869" s="35" t="s">
        <v>8275</v>
      </c>
      <c r="B4869" s="36" t="s">
        <v>8276</v>
      </c>
      <c r="C4869" s="36" t="str">
        <f>HYPERLINK("https://rhld.insurance.arkansas.gov/NPILookup?Npi=1912489774","1912489774")</f>
        <v>1912489774</v>
      </c>
      <c r="D4869" s="36" t="s">
        <v>37062</v>
      </c>
      <c r="E4869" s="36" t="s">
        <v>2</v>
      </c>
      <c r="F4869" s="36">
        <v>1</v>
      </c>
      <c r="G4869" s="36">
        <v>3</v>
      </c>
      <c r="H4869" s="36">
        <v>0</v>
      </c>
      <c r="I4869" s="37">
        <v>0</v>
      </c>
      <c r="J4869" s="36" t="s">
        <v>36190</v>
      </c>
      <c r="K4869" s="36" t="s">
        <v>14330</v>
      </c>
      <c r="L4869" s="36" t="s">
        <v>14330</v>
      </c>
      <c r="M4869">
        <v>2</v>
      </c>
      <c r="N4869" t="s">
        <v>14331</v>
      </c>
      <c r="O4869" t="s">
        <v>14333</v>
      </c>
    </row>
    <row r="4870" spans="1:15" x14ac:dyDescent="0.25">
      <c r="A4870" s="35" t="s">
        <v>8275</v>
      </c>
      <c r="B4870" s="36" t="s">
        <v>8276</v>
      </c>
      <c r="C4870" s="36" t="str">
        <f>HYPERLINK("https://rhld.insurance.arkansas.gov/NPILookup?Npi=1912507419","1912507419")</f>
        <v>1912507419</v>
      </c>
      <c r="D4870" s="36" t="s">
        <v>37063</v>
      </c>
      <c r="E4870" s="36" t="s">
        <v>2</v>
      </c>
      <c r="F4870" s="36">
        <v>1</v>
      </c>
      <c r="G4870" s="36">
        <v>2</v>
      </c>
      <c r="H4870" s="36">
        <v>0</v>
      </c>
      <c r="I4870" s="37">
        <v>0</v>
      </c>
      <c r="J4870" s="36" t="s">
        <v>36190</v>
      </c>
      <c r="K4870" s="36" t="s">
        <v>14330</v>
      </c>
      <c r="L4870" s="36" t="s">
        <v>14330</v>
      </c>
      <c r="M4870">
        <v>2</v>
      </c>
      <c r="N4870" t="s">
        <v>14331</v>
      </c>
      <c r="O4870" t="s">
        <v>14333</v>
      </c>
    </row>
    <row r="4871" spans="1:15" x14ac:dyDescent="0.25">
      <c r="A4871" s="35" t="s">
        <v>8275</v>
      </c>
      <c r="B4871" s="36" t="s">
        <v>8276</v>
      </c>
      <c r="C4871" s="36" t="str">
        <f>HYPERLINK("https://rhld.insurance.arkansas.gov/NPILookup?Npi=1912527078","1912527078")</f>
        <v>1912527078</v>
      </c>
      <c r="D4871" s="36" t="s">
        <v>37064</v>
      </c>
      <c r="E4871" s="36" t="s">
        <v>2</v>
      </c>
      <c r="F4871" s="36">
        <v>1</v>
      </c>
      <c r="G4871" s="36">
        <v>2</v>
      </c>
      <c r="H4871" s="36">
        <v>0</v>
      </c>
      <c r="I4871" s="37">
        <v>0</v>
      </c>
      <c r="J4871" s="36" t="s">
        <v>36190</v>
      </c>
      <c r="K4871" s="36" t="s">
        <v>14330</v>
      </c>
      <c r="L4871" s="36" t="s">
        <v>14330</v>
      </c>
      <c r="M4871">
        <v>2</v>
      </c>
      <c r="N4871" t="s">
        <v>14331</v>
      </c>
      <c r="O4871" t="s">
        <v>14333</v>
      </c>
    </row>
    <row r="4872" spans="1:15" x14ac:dyDescent="0.25">
      <c r="A4872" s="35" t="s">
        <v>8275</v>
      </c>
      <c r="B4872" s="36" t="s">
        <v>8276</v>
      </c>
      <c r="C4872" s="36" t="str">
        <f>HYPERLINK("https://rhld.insurance.arkansas.gov/NPILookup?Npi=1912562489","1912562489")</f>
        <v>1912562489</v>
      </c>
      <c r="D4872" s="36" t="s">
        <v>37065</v>
      </c>
      <c r="E4872" s="36" t="s">
        <v>2</v>
      </c>
      <c r="F4872" s="36">
        <v>1</v>
      </c>
      <c r="G4872" s="36">
        <v>2</v>
      </c>
      <c r="H4872" s="36">
        <v>0</v>
      </c>
      <c r="I4872" s="37">
        <v>0</v>
      </c>
      <c r="J4872" s="36" t="s">
        <v>36190</v>
      </c>
      <c r="K4872" s="36" t="s">
        <v>14330</v>
      </c>
      <c r="L4872" s="36" t="s">
        <v>14330</v>
      </c>
      <c r="M4872">
        <v>2</v>
      </c>
      <c r="N4872" t="s">
        <v>14331</v>
      </c>
      <c r="O4872" t="s">
        <v>14333</v>
      </c>
    </row>
    <row r="4873" spans="1:15" x14ac:dyDescent="0.25">
      <c r="A4873" s="35" t="s">
        <v>8275</v>
      </c>
      <c r="B4873" s="36" t="s">
        <v>8276</v>
      </c>
      <c r="C4873" s="36" t="str">
        <f>HYPERLINK("https://rhld.insurance.arkansas.gov/NPILookup?Npi=1912586926","1912586926")</f>
        <v>1912586926</v>
      </c>
      <c r="D4873" s="36" t="s">
        <v>37066</v>
      </c>
      <c r="E4873" s="36" t="s">
        <v>2</v>
      </c>
      <c r="F4873" s="36">
        <v>1</v>
      </c>
      <c r="G4873" s="36">
        <v>2</v>
      </c>
      <c r="H4873" s="36">
        <v>0</v>
      </c>
      <c r="I4873" s="37">
        <v>0</v>
      </c>
      <c r="J4873" s="36" t="s">
        <v>36190</v>
      </c>
      <c r="K4873" s="36" t="s">
        <v>14330</v>
      </c>
      <c r="L4873" s="36" t="s">
        <v>14330</v>
      </c>
      <c r="M4873">
        <v>3</v>
      </c>
      <c r="N4873" t="s">
        <v>14331</v>
      </c>
      <c r="O4873" t="s">
        <v>14333</v>
      </c>
    </row>
    <row r="4874" spans="1:15" x14ac:dyDescent="0.25">
      <c r="A4874" s="35" t="s">
        <v>8275</v>
      </c>
      <c r="B4874" s="36" t="s">
        <v>8276</v>
      </c>
      <c r="C4874" s="36" t="str">
        <f>HYPERLINK("https://rhld.insurance.arkansas.gov/NPILookup?Npi=1912595547","1912595547")</f>
        <v>1912595547</v>
      </c>
      <c r="D4874" s="36" t="s">
        <v>37067</v>
      </c>
      <c r="E4874" s="36" t="s">
        <v>2</v>
      </c>
      <c r="F4874" s="36">
        <v>1</v>
      </c>
      <c r="G4874" s="36">
        <v>3</v>
      </c>
      <c r="H4874" s="36">
        <v>0</v>
      </c>
      <c r="I4874" s="37">
        <v>0</v>
      </c>
      <c r="J4874" s="36" t="s">
        <v>36190</v>
      </c>
      <c r="K4874" s="36" t="s">
        <v>14330</v>
      </c>
      <c r="L4874" s="36" t="s">
        <v>14330</v>
      </c>
      <c r="M4874">
        <v>2</v>
      </c>
      <c r="N4874" t="s">
        <v>14331</v>
      </c>
      <c r="O4874" t="s">
        <v>14333</v>
      </c>
    </row>
    <row r="4875" spans="1:15" x14ac:dyDescent="0.25">
      <c r="A4875" s="35" t="s">
        <v>8275</v>
      </c>
      <c r="B4875" s="36" t="s">
        <v>8276</v>
      </c>
      <c r="C4875" s="36" t="str">
        <f>HYPERLINK("https://rhld.insurance.arkansas.gov/NPILookup?Npi=1912691544","1912691544")</f>
        <v>1912691544</v>
      </c>
      <c r="D4875" s="36" t="s">
        <v>37068</v>
      </c>
      <c r="E4875" s="36" t="s">
        <v>2</v>
      </c>
      <c r="F4875" s="36">
        <v>1</v>
      </c>
      <c r="G4875" s="36">
        <v>2</v>
      </c>
      <c r="H4875" s="36">
        <v>0</v>
      </c>
      <c r="I4875" s="37">
        <v>0</v>
      </c>
      <c r="J4875" s="36" t="s">
        <v>36190</v>
      </c>
      <c r="K4875" s="36" t="s">
        <v>14330</v>
      </c>
      <c r="L4875" s="36" t="s">
        <v>14330</v>
      </c>
      <c r="M4875">
        <v>2</v>
      </c>
      <c r="N4875" t="s">
        <v>14331</v>
      </c>
      <c r="O4875" t="s">
        <v>14333</v>
      </c>
    </row>
    <row r="4876" spans="1:15" x14ac:dyDescent="0.25">
      <c r="A4876" s="35" t="s">
        <v>8275</v>
      </c>
      <c r="B4876" s="36" t="s">
        <v>8276</v>
      </c>
      <c r="C4876" s="36" t="str">
        <f>HYPERLINK("https://rhld.insurance.arkansas.gov/NPILookup?Npi=1912714304","1912714304")</f>
        <v>1912714304</v>
      </c>
      <c r="D4876" s="36" t="s">
        <v>34820</v>
      </c>
      <c r="E4876" s="36" t="s">
        <v>2</v>
      </c>
      <c r="F4876" s="36">
        <v>1</v>
      </c>
      <c r="G4876" s="36">
        <v>2</v>
      </c>
      <c r="H4876" s="36">
        <v>0</v>
      </c>
      <c r="I4876" s="37">
        <v>0</v>
      </c>
      <c r="J4876" s="36"/>
      <c r="K4876" s="36" t="s">
        <v>14330</v>
      </c>
      <c r="L4876" s="36" t="s">
        <v>14330</v>
      </c>
      <c r="M4876">
        <v>2</v>
      </c>
      <c r="N4876" t="s">
        <v>14331</v>
      </c>
      <c r="O4876" t="s">
        <v>14333</v>
      </c>
    </row>
    <row r="4877" spans="1:15" x14ac:dyDescent="0.25">
      <c r="A4877" s="35" t="s">
        <v>8275</v>
      </c>
      <c r="B4877" s="36" t="s">
        <v>8276</v>
      </c>
      <c r="C4877" s="36" t="str">
        <f>HYPERLINK("https://rhld.insurance.arkansas.gov/NPILookup?Npi=1912752445","1912752445")</f>
        <v>1912752445</v>
      </c>
      <c r="D4877" s="36" t="s">
        <v>34821</v>
      </c>
      <c r="E4877" s="36" t="s">
        <v>2</v>
      </c>
      <c r="F4877" s="36">
        <v>1</v>
      </c>
      <c r="G4877" s="36">
        <v>2</v>
      </c>
      <c r="H4877" s="36">
        <v>0</v>
      </c>
      <c r="I4877" s="37">
        <v>0</v>
      </c>
      <c r="J4877" s="36"/>
      <c r="K4877" s="36" t="s">
        <v>14330</v>
      </c>
      <c r="L4877" s="36" t="s">
        <v>14330</v>
      </c>
      <c r="M4877">
        <v>3</v>
      </c>
      <c r="N4877" t="s">
        <v>14331</v>
      </c>
      <c r="O4877" t="s">
        <v>14333</v>
      </c>
    </row>
    <row r="4878" spans="1:15" x14ac:dyDescent="0.25">
      <c r="A4878" s="35" t="s">
        <v>8275</v>
      </c>
      <c r="B4878" s="36" t="s">
        <v>8276</v>
      </c>
      <c r="C4878" s="36" t="str">
        <f>HYPERLINK("https://rhld.insurance.arkansas.gov/NPILookup?Npi=1912919234","1912919234")</f>
        <v>1912919234</v>
      </c>
      <c r="D4878" s="36" t="s">
        <v>37069</v>
      </c>
      <c r="E4878" s="36" t="s">
        <v>2</v>
      </c>
      <c r="F4878" s="36">
        <v>1</v>
      </c>
      <c r="G4878" s="36">
        <v>3</v>
      </c>
      <c r="H4878" s="36">
        <v>0</v>
      </c>
      <c r="I4878" s="37">
        <v>0</v>
      </c>
      <c r="J4878" s="36" t="s">
        <v>36190</v>
      </c>
      <c r="K4878" s="36" t="s">
        <v>14330</v>
      </c>
      <c r="L4878" s="36" t="s">
        <v>14330</v>
      </c>
      <c r="M4878">
        <v>1</v>
      </c>
      <c r="N4878" t="s">
        <v>14331</v>
      </c>
      <c r="O4878" t="s">
        <v>14333</v>
      </c>
    </row>
    <row r="4879" spans="1:15" x14ac:dyDescent="0.25">
      <c r="A4879" s="35" t="s">
        <v>8275</v>
      </c>
      <c r="B4879" s="36" t="s">
        <v>8276</v>
      </c>
      <c r="C4879" s="36" t="str">
        <f>HYPERLINK("https://rhld.insurance.arkansas.gov/NPILookup?Npi=1922005974","1922005974")</f>
        <v>1922005974</v>
      </c>
      <c r="D4879" s="36" t="s">
        <v>37070</v>
      </c>
      <c r="E4879" s="36" t="s">
        <v>1</v>
      </c>
      <c r="F4879" s="36">
        <v>1</v>
      </c>
      <c r="G4879" s="36">
        <v>1</v>
      </c>
      <c r="H4879" s="36">
        <v>0</v>
      </c>
      <c r="I4879" s="37">
        <v>0</v>
      </c>
      <c r="J4879" s="36" t="s">
        <v>32654</v>
      </c>
      <c r="K4879" s="36" t="s">
        <v>14330</v>
      </c>
      <c r="L4879" s="36" t="s">
        <v>14330</v>
      </c>
      <c r="M4879">
        <v>2</v>
      </c>
      <c r="N4879" t="s">
        <v>14331</v>
      </c>
      <c r="O4879" t="s">
        <v>32633</v>
      </c>
    </row>
    <row r="4880" spans="1:15" x14ac:dyDescent="0.25">
      <c r="A4880" s="35" t="s">
        <v>8275</v>
      </c>
      <c r="B4880" s="36" t="s">
        <v>8276</v>
      </c>
      <c r="C4880" s="36" t="str">
        <f>HYPERLINK("https://rhld.insurance.arkansas.gov/NPILookup?Npi=1922116284","1922116284")</f>
        <v>1922116284</v>
      </c>
      <c r="D4880" s="36" t="s">
        <v>36080</v>
      </c>
      <c r="E4880" s="36" t="s">
        <v>1</v>
      </c>
      <c r="F4880" s="36">
        <v>1</v>
      </c>
      <c r="G4880" s="36">
        <v>2</v>
      </c>
      <c r="H4880" s="36">
        <v>0</v>
      </c>
      <c r="I4880" s="37">
        <v>0</v>
      </c>
      <c r="J4880" s="36" t="s">
        <v>32654</v>
      </c>
      <c r="K4880" s="36" t="s">
        <v>14330</v>
      </c>
      <c r="L4880" s="36" t="s">
        <v>14330</v>
      </c>
      <c r="M4880">
        <v>3</v>
      </c>
      <c r="N4880" t="s">
        <v>14331</v>
      </c>
      <c r="O4880" t="s">
        <v>32633</v>
      </c>
    </row>
    <row r="4881" spans="1:15" x14ac:dyDescent="0.25">
      <c r="A4881" s="35" t="s">
        <v>8275</v>
      </c>
      <c r="B4881" s="36" t="s">
        <v>8276</v>
      </c>
      <c r="C4881" s="36" t="str">
        <f>HYPERLINK("https://rhld.insurance.arkansas.gov/NPILookup?Npi=1922122530","1922122530")</f>
        <v>1922122530</v>
      </c>
      <c r="D4881" s="36" t="s">
        <v>37071</v>
      </c>
      <c r="E4881" s="36" t="s">
        <v>2</v>
      </c>
      <c r="F4881" s="36">
        <v>1</v>
      </c>
      <c r="G4881" s="36">
        <v>3</v>
      </c>
      <c r="H4881" s="36">
        <v>0</v>
      </c>
      <c r="I4881" s="37">
        <v>0</v>
      </c>
      <c r="J4881" s="36" t="s">
        <v>36190</v>
      </c>
      <c r="K4881" s="36" t="s">
        <v>14330</v>
      </c>
      <c r="L4881" s="36" t="s">
        <v>14330</v>
      </c>
      <c r="M4881">
        <v>3</v>
      </c>
      <c r="N4881" t="s">
        <v>14331</v>
      </c>
      <c r="O4881" t="s">
        <v>14333</v>
      </c>
    </row>
    <row r="4882" spans="1:15" x14ac:dyDescent="0.25">
      <c r="A4882" s="35" t="s">
        <v>8275</v>
      </c>
      <c r="B4882" s="36" t="s">
        <v>8276</v>
      </c>
      <c r="C4882" s="36" t="str">
        <f>HYPERLINK("https://rhld.insurance.arkansas.gov/NPILookup?Npi=1922305051","1922305051")</f>
        <v>1922305051</v>
      </c>
      <c r="D4882" s="36" t="s">
        <v>37072</v>
      </c>
      <c r="E4882" s="36" t="s">
        <v>2</v>
      </c>
      <c r="F4882" s="36">
        <v>1</v>
      </c>
      <c r="G4882" s="36">
        <v>3</v>
      </c>
      <c r="H4882" s="36">
        <v>0</v>
      </c>
      <c r="I4882" s="37">
        <v>0</v>
      </c>
      <c r="J4882" s="36" t="s">
        <v>36190</v>
      </c>
      <c r="K4882" s="36" t="s">
        <v>14330</v>
      </c>
      <c r="L4882" s="36" t="s">
        <v>14330</v>
      </c>
      <c r="M4882">
        <v>3</v>
      </c>
      <c r="N4882" t="s">
        <v>14331</v>
      </c>
      <c r="O4882" t="s">
        <v>14333</v>
      </c>
    </row>
    <row r="4883" spans="1:15" x14ac:dyDescent="0.25">
      <c r="A4883" s="35" t="s">
        <v>8275</v>
      </c>
      <c r="B4883" s="36" t="s">
        <v>8276</v>
      </c>
      <c r="C4883" s="36" t="str">
        <f>HYPERLINK("https://rhld.insurance.arkansas.gov/NPILookup?Npi=1922363175","1922363175")</f>
        <v>1922363175</v>
      </c>
      <c r="D4883" s="36" t="s">
        <v>37073</v>
      </c>
      <c r="E4883" s="36" t="s">
        <v>2</v>
      </c>
      <c r="F4883" s="36">
        <v>1</v>
      </c>
      <c r="G4883" s="36">
        <v>3</v>
      </c>
      <c r="H4883" s="36">
        <v>0</v>
      </c>
      <c r="I4883" s="37">
        <v>0</v>
      </c>
      <c r="J4883" s="36" t="s">
        <v>36190</v>
      </c>
      <c r="K4883" s="36" t="s">
        <v>14330</v>
      </c>
      <c r="L4883" s="36" t="s">
        <v>14330</v>
      </c>
      <c r="M4883">
        <v>2</v>
      </c>
      <c r="N4883" t="s">
        <v>14331</v>
      </c>
      <c r="O4883" t="s">
        <v>14333</v>
      </c>
    </row>
    <row r="4884" spans="1:15" x14ac:dyDescent="0.25">
      <c r="A4884" s="35" t="s">
        <v>8275</v>
      </c>
      <c r="B4884" s="36" t="s">
        <v>8276</v>
      </c>
      <c r="C4884" s="36" t="str">
        <f>HYPERLINK("https://rhld.insurance.arkansas.gov/NPILookup?Npi=1922372952","1922372952")</f>
        <v>1922372952</v>
      </c>
      <c r="D4884" s="36" t="s">
        <v>37074</v>
      </c>
      <c r="E4884" s="36" t="s">
        <v>2</v>
      </c>
      <c r="F4884" s="36">
        <v>1</v>
      </c>
      <c r="G4884" s="36">
        <v>2</v>
      </c>
      <c r="H4884" s="36">
        <v>0</v>
      </c>
      <c r="I4884" s="37">
        <v>0</v>
      </c>
      <c r="J4884" s="36" t="s">
        <v>36190</v>
      </c>
      <c r="K4884" s="36" t="s">
        <v>14330</v>
      </c>
      <c r="L4884" s="36" t="s">
        <v>14330</v>
      </c>
      <c r="M4884">
        <v>2</v>
      </c>
      <c r="N4884" t="s">
        <v>14331</v>
      </c>
      <c r="O4884" t="s">
        <v>14333</v>
      </c>
    </row>
    <row r="4885" spans="1:15" x14ac:dyDescent="0.25">
      <c r="A4885" s="35" t="s">
        <v>8275</v>
      </c>
      <c r="B4885" s="36" t="s">
        <v>8276</v>
      </c>
      <c r="C4885" s="36" t="str">
        <f>HYPERLINK("https://rhld.insurance.arkansas.gov/NPILookup?Npi=1922460658","1922460658")</f>
        <v>1922460658</v>
      </c>
      <c r="D4885" s="36" t="s">
        <v>37075</v>
      </c>
      <c r="E4885" s="36" t="s">
        <v>1</v>
      </c>
      <c r="F4885" s="36">
        <v>1</v>
      </c>
      <c r="G4885" s="36">
        <v>2</v>
      </c>
      <c r="H4885" s="36">
        <v>0</v>
      </c>
      <c r="I4885" s="37">
        <v>0</v>
      </c>
      <c r="J4885" s="36" t="s">
        <v>32654</v>
      </c>
      <c r="K4885" s="36" t="s">
        <v>14330</v>
      </c>
      <c r="L4885" s="36" t="s">
        <v>14330</v>
      </c>
      <c r="M4885">
        <v>3</v>
      </c>
      <c r="N4885" t="s">
        <v>14331</v>
      </c>
      <c r="O4885" t="s">
        <v>32633</v>
      </c>
    </row>
    <row r="4886" spans="1:15" x14ac:dyDescent="0.25">
      <c r="A4886" s="35" t="s">
        <v>8275</v>
      </c>
      <c r="B4886" s="36" t="s">
        <v>8276</v>
      </c>
      <c r="C4886" s="36" t="str">
        <f>HYPERLINK("https://rhld.insurance.arkansas.gov/NPILookup?Npi=1922461698","1922461698")</f>
        <v>1922461698</v>
      </c>
      <c r="D4886" s="36" t="s">
        <v>37076</v>
      </c>
      <c r="E4886" s="36" t="s">
        <v>2</v>
      </c>
      <c r="F4886" s="36">
        <v>1</v>
      </c>
      <c r="G4886" s="36">
        <v>3</v>
      </c>
      <c r="H4886" s="36">
        <v>0</v>
      </c>
      <c r="I4886" s="37">
        <v>0</v>
      </c>
      <c r="J4886" s="36" t="s">
        <v>36190</v>
      </c>
      <c r="K4886" s="36" t="s">
        <v>14330</v>
      </c>
      <c r="L4886" s="36" t="s">
        <v>14330</v>
      </c>
      <c r="M4886">
        <v>2</v>
      </c>
      <c r="N4886" t="s">
        <v>14331</v>
      </c>
      <c r="O4886" t="s">
        <v>14333</v>
      </c>
    </row>
    <row r="4887" spans="1:15" x14ac:dyDescent="0.25">
      <c r="A4887" s="35" t="s">
        <v>8275</v>
      </c>
      <c r="B4887" s="36" t="s">
        <v>8276</v>
      </c>
      <c r="C4887" s="36" t="str">
        <f>HYPERLINK("https://rhld.insurance.arkansas.gov/NPILookup?Npi=1922492859","1922492859")</f>
        <v>1922492859</v>
      </c>
      <c r="D4887" s="36" t="s">
        <v>37077</v>
      </c>
      <c r="E4887" s="36" t="s">
        <v>2</v>
      </c>
      <c r="F4887" s="36">
        <v>1</v>
      </c>
      <c r="G4887" s="36">
        <v>2</v>
      </c>
      <c r="H4887" s="36">
        <v>0</v>
      </c>
      <c r="I4887" s="37">
        <v>0</v>
      </c>
      <c r="J4887" s="36" t="s">
        <v>36190</v>
      </c>
      <c r="K4887" s="36" t="s">
        <v>14330</v>
      </c>
      <c r="L4887" s="36" t="s">
        <v>14330</v>
      </c>
      <c r="M4887">
        <v>2</v>
      </c>
      <c r="N4887" t="s">
        <v>14331</v>
      </c>
      <c r="O4887" t="s">
        <v>14333</v>
      </c>
    </row>
    <row r="4888" spans="1:15" x14ac:dyDescent="0.25">
      <c r="A4888" s="35" t="s">
        <v>8275</v>
      </c>
      <c r="B4888" s="36" t="s">
        <v>8276</v>
      </c>
      <c r="C4888" s="36" t="str">
        <f>HYPERLINK("https://rhld.insurance.arkansas.gov/NPILookup?Npi=1922611854","1922611854")</f>
        <v>1922611854</v>
      </c>
      <c r="D4888" s="36" t="s">
        <v>37078</v>
      </c>
      <c r="E4888" s="36" t="s">
        <v>2</v>
      </c>
      <c r="F4888" s="36">
        <v>1</v>
      </c>
      <c r="G4888" s="36">
        <v>2</v>
      </c>
      <c r="H4888" s="36">
        <v>0</v>
      </c>
      <c r="I4888" s="37">
        <v>0</v>
      </c>
      <c r="J4888" s="36" t="s">
        <v>36190</v>
      </c>
      <c r="K4888" s="36" t="s">
        <v>14330</v>
      </c>
      <c r="L4888" s="36" t="s">
        <v>14330</v>
      </c>
      <c r="M4888">
        <v>2</v>
      </c>
      <c r="N4888" t="s">
        <v>14331</v>
      </c>
      <c r="O4888" t="s">
        <v>14333</v>
      </c>
    </row>
    <row r="4889" spans="1:15" x14ac:dyDescent="0.25">
      <c r="A4889" s="35" t="s">
        <v>8275</v>
      </c>
      <c r="B4889" s="36" t="s">
        <v>8276</v>
      </c>
      <c r="C4889" s="36" t="str">
        <f>HYPERLINK("https://rhld.insurance.arkansas.gov/NPILookup?Npi=1922631753","1922631753")</f>
        <v>1922631753</v>
      </c>
      <c r="D4889" s="36" t="s">
        <v>37079</v>
      </c>
      <c r="E4889" s="36" t="s">
        <v>2</v>
      </c>
      <c r="F4889" s="36">
        <v>1</v>
      </c>
      <c r="G4889" s="36">
        <v>2</v>
      </c>
      <c r="H4889" s="36">
        <v>0</v>
      </c>
      <c r="I4889" s="37">
        <v>0</v>
      </c>
      <c r="J4889" s="36" t="s">
        <v>36190</v>
      </c>
      <c r="K4889" s="36" t="s">
        <v>14330</v>
      </c>
      <c r="L4889" s="36" t="s">
        <v>14330</v>
      </c>
      <c r="M4889">
        <v>3</v>
      </c>
      <c r="N4889" t="s">
        <v>14331</v>
      </c>
      <c r="O4889" t="s">
        <v>14333</v>
      </c>
    </row>
    <row r="4890" spans="1:15" x14ac:dyDescent="0.25">
      <c r="A4890" s="35" t="s">
        <v>8275</v>
      </c>
      <c r="B4890" s="36" t="s">
        <v>8276</v>
      </c>
      <c r="C4890" s="36" t="str">
        <f>HYPERLINK("https://rhld.insurance.arkansas.gov/NPILookup?Npi=1922677822","1922677822")</f>
        <v>1922677822</v>
      </c>
      <c r="D4890" s="36" t="s">
        <v>37080</v>
      </c>
      <c r="E4890" s="36" t="s">
        <v>2</v>
      </c>
      <c r="F4890" s="36">
        <v>1</v>
      </c>
      <c r="G4890" s="36">
        <v>3</v>
      </c>
      <c r="H4890" s="36">
        <v>0</v>
      </c>
      <c r="I4890" s="37">
        <v>0</v>
      </c>
      <c r="J4890" s="36" t="s">
        <v>36190</v>
      </c>
      <c r="K4890" s="36" t="s">
        <v>14330</v>
      </c>
      <c r="L4890" s="36" t="s">
        <v>14330</v>
      </c>
      <c r="M4890">
        <v>2</v>
      </c>
      <c r="N4890" t="s">
        <v>14331</v>
      </c>
      <c r="O4890" t="s">
        <v>14333</v>
      </c>
    </row>
    <row r="4891" spans="1:15" x14ac:dyDescent="0.25">
      <c r="A4891" s="35" t="s">
        <v>8275</v>
      </c>
      <c r="B4891" s="36" t="s">
        <v>8276</v>
      </c>
      <c r="C4891" s="36" t="str">
        <f>HYPERLINK("https://rhld.insurance.arkansas.gov/NPILookup?Npi=1922749571","1922749571")</f>
        <v>1922749571</v>
      </c>
      <c r="D4891" s="36" t="s">
        <v>37081</v>
      </c>
      <c r="E4891" s="36" t="s">
        <v>2</v>
      </c>
      <c r="F4891" s="36">
        <v>1</v>
      </c>
      <c r="G4891" s="36">
        <v>2</v>
      </c>
      <c r="H4891" s="36">
        <v>0</v>
      </c>
      <c r="I4891" s="37">
        <v>0</v>
      </c>
      <c r="J4891" s="36" t="s">
        <v>36190</v>
      </c>
      <c r="K4891" s="36" t="s">
        <v>14330</v>
      </c>
      <c r="L4891" s="36" t="s">
        <v>14330</v>
      </c>
      <c r="M4891">
        <v>2</v>
      </c>
      <c r="N4891" t="s">
        <v>14331</v>
      </c>
      <c r="O4891" t="s">
        <v>14333</v>
      </c>
    </row>
    <row r="4892" spans="1:15" x14ac:dyDescent="0.25">
      <c r="A4892" s="35" t="s">
        <v>8275</v>
      </c>
      <c r="B4892" s="36" t="s">
        <v>8276</v>
      </c>
      <c r="C4892" s="36" t="str">
        <f>HYPERLINK("https://rhld.insurance.arkansas.gov/NPILookup?Npi=1922755180","1922755180")</f>
        <v>1922755180</v>
      </c>
      <c r="D4892" s="36" t="s">
        <v>37082</v>
      </c>
      <c r="E4892" s="36" t="s">
        <v>2</v>
      </c>
      <c r="F4892" s="36">
        <v>1</v>
      </c>
      <c r="G4892" s="36">
        <v>2</v>
      </c>
      <c r="H4892" s="36">
        <v>0</v>
      </c>
      <c r="I4892" s="37">
        <v>0</v>
      </c>
      <c r="J4892" s="36" t="s">
        <v>36190</v>
      </c>
      <c r="K4892" s="36" t="s">
        <v>14330</v>
      </c>
      <c r="L4892" s="36" t="s">
        <v>14330</v>
      </c>
      <c r="M4892">
        <v>3</v>
      </c>
      <c r="N4892" t="s">
        <v>14331</v>
      </c>
      <c r="O4892" t="s">
        <v>14333</v>
      </c>
    </row>
    <row r="4893" spans="1:15" x14ac:dyDescent="0.25">
      <c r="A4893" s="35" t="s">
        <v>8275</v>
      </c>
      <c r="B4893" s="36" t="s">
        <v>8276</v>
      </c>
      <c r="C4893" s="36" t="str">
        <f>HYPERLINK("https://rhld.insurance.arkansas.gov/NPILookup?Npi=1922875228","1922875228")</f>
        <v>1922875228</v>
      </c>
      <c r="D4893" s="36" t="s">
        <v>37083</v>
      </c>
      <c r="E4893" s="36" t="s">
        <v>2</v>
      </c>
      <c r="F4893" s="36">
        <v>1</v>
      </c>
      <c r="G4893" s="36">
        <v>3</v>
      </c>
      <c r="H4893" s="36">
        <v>0</v>
      </c>
      <c r="I4893" s="37">
        <v>0</v>
      </c>
      <c r="J4893" s="36" t="s">
        <v>36190</v>
      </c>
      <c r="K4893" s="36" t="s">
        <v>14330</v>
      </c>
      <c r="L4893" s="36" t="s">
        <v>14330</v>
      </c>
      <c r="M4893">
        <v>-1</v>
      </c>
      <c r="N4893" t="s">
        <v>14331</v>
      </c>
      <c r="O4893" t="s">
        <v>14333</v>
      </c>
    </row>
    <row r="4894" spans="1:15" x14ac:dyDescent="0.25">
      <c r="A4894" s="35" t="s">
        <v>8275</v>
      </c>
      <c r="B4894" s="36" t="s">
        <v>8276</v>
      </c>
      <c r="C4894" s="36" t="str">
        <f>HYPERLINK("https://rhld.insurance.arkansas.gov/NPILookup?Npi=1932119377","1932119377")</f>
        <v>1932119377</v>
      </c>
      <c r="D4894" s="36" t="s">
        <v>37084</v>
      </c>
      <c r="E4894" s="36" t="s">
        <v>1</v>
      </c>
      <c r="F4894" s="36">
        <v>1</v>
      </c>
      <c r="G4894" s="36">
        <v>0</v>
      </c>
      <c r="H4894" s="36">
        <v>1</v>
      </c>
      <c r="I4894" s="37">
        <v>0</v>
      </c>
      <c r="J4894" s="36" t="s">
        <v>32654</v>
      </c>
      <c r="K4894" s="36" t="s">
        <v>14330</v>
      </c>
      <c r="L4894" s="36" t="s">
        <v>36271</v>
      </c>
      <c r="M4894">
        <v>3</v>
      </c>
      <c r="N4894" t="s">
        <v>14332</v>
      </c>
      <c r="O4894" t="s">
        <v>32591</v>
      </c>
    </row>
    <row r="4895" spans="1:15" x14ac:dyDescent="0.25">
      <c r="A4895" s="35" t="s">
        <v>8275</v>
      </c>
      <c r="B4895" s="36" t="s">
        <v>8276</v>
      </c>
      <c r="C4895" s="36" t="str">
        <f>HYPERLINK("https://rhld.insurance.arkansas.gov/NPILookup?Npi=1932192556","1932192556")</f>
        <v>1932192556</v>
      </c>
      <c r="D4895" s="36" t="s">
        <v>37085</v>
      </c>
      <c r="E4895" s="36" t="s">
        <v>2</v>
      </c>
      <c r="F4895" s="36">
        <v>1</v>
      </c>
      <c r="G4895" s="36">
        <v>3</v>
      </c>
      <c r="H4895" s="36">
        <v>0</v>
      </c>
      <c r="I4895" s="37">
        <v>0</v>
      </c>
      <c r="J4895" s="36" t="s">
        <v>36190</v>
      </c>
      <c r="K4895" s="36" t="s">
        <v>14330</v>
      </c>
      <c r="L4895" s="36" t="s">
        <v>14330</v>
      </c>
      <c r="M4895">
        <v>2</v>
      </c>
      <c r="N4895" t="s">
        <v>14331</v>
      </c>
      <c r="O4895" t="s">
        <v>14333</v>
      </c>
    </row>
    <row r="4896" spans="1:15" x14ac:dyDescent="0.25">
      <c r="A4896" s="35" t="s">
        <v>8275</v>
      </c>
      <c r="B4896" s="36" t="s">
        <v>8276</v>
      </c>
      <c r="C4896" s="36" t="str">
        <f>HYPERLINK("https://rhld.insurance.arkansas.gov/NPILookup?Npi=1932194974","1932194974")</f>
        <v>1932194974</v>
      </c>
      <c r="D4896" s="36" t="s">
        <v>37086</v>
      </c>
      <c r="E4896" s="36" t="s">
        <v>2</v>
      </c>
      <c r="F4896" s="36">
        <v>1</v>
      </c>
      <c r="G4896" s="36">
        <v>2</v>
      </c>
      <c r="H4896" s="36">
        <v>0</v>
      </c>
      <c r="I4896" s="37">
        <v>0</v>
      </c>
      <c r="J4896" s="36" t="s">
        <v>36190</v>
      </c>
      <c r="K4896" s="36" t="s">
        <v>14330</v>
      </c>
      <c r="L4896" s="36" t="s">
        <v>14330</v>
      </c>
      <c r="M4896">
        <v>2</v>
      </c>
      <c r="N4896" t="s">
        <v>14331</v>
      </c>
      <c r="O4896" t="s">
        <v>14333</v>
      </c>
    </row>
    <row r="4897" spans="1:15" x14ac:dyDescent="0.25">
      <c r="A4897" s="35" t="s">
        <v>8275</v>
      </c>
      <c r="B4897" s="36" t="s">
        <v>8276</v>
      </c>
      <c r="C4897" s="36" t="str">
        <f>HYPERLINK("https://rhld.insurance.arkansas.gov/NPILookup?Npi=1932196748","1932196748")</f>
        <v>1932196748</v>
      </c>
      <c r="D4897" s="36" t="s">
        <v>37087</v>
      </c>
      <c r="E4897" s="36" t="s">
        <v>1</v>
      </c>
      <c r="F4897" s="36">
        <v>1</v>
      </c>
      <c r="G4897" s="36">
        <v>2</v>
      </c>
      <c r="H4897" s="36">
        <v>0</v>
      </c>
      <c r="I4897" s="37">
        <v>0</v>
      </c>
      <c r="J4897" s="36" t="s">
        <v>32654</v>
      </c>
      <c r="K4897" s="36" t="s">
        <v>14330</v>
      </c>
      <c r="L4897" s="36" t="s">
        <v>14330</v>
      </c>
      <c r="M4897">
        <v>2</v>
      </c>
      <c r="N4897" t="s">
        <v>14331</v>
      </c>
      <c r="O4897" t="s">
        <v>32633</v>
      </c>
    </row>
    <row r="4898" spans="1:15" x14ac:dyDescent="0.25">
      <c r="A4898" s="35" t="s">
        <v>8275</v>
      </c>
      <c r="B4898" s="36" t="s">
        <v>8276</v>
      </c>
      <c r="C4898" s="36" t="str">
        <f>HYPERLINK("https://rhld.insurance.arkansas.gov/NPILookup?Npi=1932496957","1932496957")</f>
        <v>1932496957</v>
      </c>
      <c r="D4898" s="36" t="s">
        <v>37088</v>
      </c>
      <c r="E4898" s="36" t="s">
        <v>1</v>
      </c>
      <c r="F4898" s="36">
        <v>1</v>
      </c>
      <c r="G4898" s="36">
        <v>2</v>
      </c>
      <c r="H4898" s="36">
        <v>0</v>
      </c>
      <c r="I4898" s="37">
        <v>0</v>
      </c>
      <c r="J4898" s="36" t="s">
        <v>32654</v>
      </c>
      <c r="K4898" s="36" t="s">
        <v>14330</v>
      </c>
      <c r="L4898" s="36" t="s">
        <v>14330</v>
      </c>
      <c r="M4898">
        <v>3</v>
      </c>
      <c r="N4898" t="s">
        <v>14331</v>
      </c>
      <c r="O4898" t="s">
        <v>32633</v>
      </c>
    </row>
    <row r="4899" spans="1:15" x14ac:dyDescent="0.25">
      <c r="A4899" s="35" t="s">
        <v>8275</v>
      </c>
      <c r="B4899" s="36" t="s">
        <v>8276</v>
      </c>
      <c r="C4899" s="36" t="str">
        <f>HYPERLINK("https://rhld.insurance.arkansas.gov/NPILookup?Npi=1932532116","1932532116")</f>
        <v>1932532116</v>
      </c>
      <c r="D4899" s="36" t="s">
        <v>37089</v>
      </c>
      <c r="E4899" s="36" t="s">
        <v>2</v>
      </c>
      <c r="F4899" s="36">
        <v>1</v>
      </c>
      <c r="G4899" s="36">
        <v>3</v>
      </c>
      <c r="H4899" s="36">
        <v>0</v>
      </c>
      <c r="I4899" s="37">
        <v>0</v>
      </c>
      <c r="J4899" s="36" t="s">
        <v>36190</v>
      </c>
      <c r="K4899" s="36" t="s">
        <v>14330</v>
      </c>
      <c r="L4899" s="36" t="s">
        <v>14330</v>
      </c>
      <c r="M4899">
        <v>2</v>
      </c>
      <c r="N4899" t="s">
        <v>14331</v>
      </c>
      <c r="O4899" t="s">
        <v>14333</v>
      </c>
    </row>
    <row r="4900" spans="1:15" x14ac:dyDescent="0.25">
      <c r="A4900" s="35" t="s">
        <v>8275</v>
      </c>
      <c r="B4900" s="36" t="s">
        <v>8276</v>
      </c>
      <c r="C4900" s="36" t="str">
        <f>HYPERLINK("https://rhld.insurance.arkansas.gov/NPILookup?Npi=1932539418","1932539418")</f>
        <v>1932539418</v>
      </c>
      <c r="D4900" s="36" t="s">
        <v>37090</v>
      </c>
      <c r="E4900" s="36" t="s">
        <v>2</v>
      </c>
      <c r="F4900" s="36">
        <v>1</v>
      </c>
      <c r="G4900" s="36">
        <v>2</v>
      </c>
      <c r="H4900" s="36">
        <v>0</v>
      </c>
      <c r="I4900" s="37">
        <v>0</v>
      </c>
      <c r="J4900" s="36" t="s">
        <v>36190</v>
      </c>
      <c r="K4900" s="36" t="s">
        <v>14330</v>
      </c>
      <c r="L4900" s="36" t="s">
        <v>14330</v>
      </c>
      <c r="M4900">
        <v>3</v>
      </c>
      <c r="N4900" t="s">
        <v>14331</v>
      </c>
      <c r="O4900" t="s">
        <v>14333</v>
      </c>
    </row>
    <row r="4901" spans="1:15" x14ac:dyDescent="0.25">
      <c r="A4901" s="35" t="s">
        <v>8275</v>
      </c>
      <c r="B4901" s="36" t="s">
        <v>8276</v>
      </c>
      <c r="C4901" s="36" t="str">
        <f>HYPERLINK("https://rhld.insurance.arkansas.gov/NPILookup?Npi=1932605607","1932605607")</f>
        <v>1932605607</v>
      </c>
      <c r="D4901" s="36" t="s">
        <v>37091</v>
      </c>
      <c r="E4901" s="36" t="s">
        <v>1</v>
      </c>
      <c r="F4901" s="36">
        <v>1</v>
      </c>
      <c r="G4901" s="36">
        <v>3</v>
      </c>
      <c r="H4901" s="36">
        <v>0</v>
      </c>
      <c r="I4901" s="37">
        <v>0</v>
      </c>
      <c r="J4901" s="36" t="s">
        <v>32654</v>
      </c>
      <c r="K4901" s="36" t="s">
        <v>14330</v>
      </c>
      <c r="L4901" s="36" t="s">
        <v>14330</v>
      </c>
      <c r="M4901">
        <v>3</v>
      </c>
      <c r="N4901" t="s">
        <v>14331</v>
      </c>
      <c r="O4901" t="s">
        <v>32633</v>
      </c>
    </row>
    <row r="4902" spans="1:15" x14ac:dyDescent="0.25">
      <c r="A4902" s="35" t="s">
        <v>8275</v>
      </c>
      <c r="B4902" s="36" t="s">
        <v>8276</v>
      </c>
      <c r="C4902" s="36" t="str">
        <f>HYPERLINK("https://rhld.insurance.arkansas.gov/NPILookup?Npi=1932623360","1932623360")</f>
        <v>1932623360</v>
      </c>
      <c r="D4902" s="36" t="s">
        <v>37092</v>
      </c>
      <c r="E4902" s="36" t="s">
        <v>2</v>
      </c>
      <c r="F4902" s="36">
        <v>1</v>
      </c>
      <c r="G4902" s="36">
        <v>3</v>
      </c>
      <c r="H4902" s="36">
        <v>0</v>
      </c>
      <c r="I4902" s="37">
        <v>0</v>
      </c>
      <c r="J4902" s="36" t="s">
        <v>36190</v>
      </c>
      <c r="K4902" s="36" t="s">
        <v>14330</v>
      </c>
      <c r="L4902" s="36" t="s">
        <v>14330</v>
      </c>
      <c r="M4902">
        <v>2</v>
      </c>
      <c r="N4902" t="s">
        <v>14331</v>
      </c>
      <c r="O4902" t="s">
        <v>14333</v>
      </c>
    </row>
    <row r="4903" spans="1:15" x14ac:dyDescent="0.25">
      <c r="A4903" s="35" t="s">
        <v>8275</v>
      </c>
      <c r="B4903" s="36" t="s">
        <v>8276</v>
      </c>
      <c r="C4903" s="36" t="str">
        <f>HYPERLINK("https://rhld.insurance.arkansas.gov/NPILookup?Npi=1932741212","1932741212")</f>
        <v>1932741212</v>
      </c>
      <c r="D4903" s="36" t="s">
        <v>36101</v>
      </c>
      <c r="E4903" s="36" t="s">
        <v>2</v>
      </c>
      <c r="F4903" s="36">
        <v>1</v>
      </c>
      <c r="G4903" s="36">
        <v>2</v>
      </c>
      <c r="H4903" s="36">
        <v>0</v>
      </c>
      <c r="I4903" s="37">
        <v>0</v>
      </c>
      <c r="J4903" s="36"/>
      <c r="K4903" s="36" t="s">
        <v>14330</v>
      </c>
      <c r="L4903" s="36" t="s">
        <v>14330</v>
      </c>
      <c r="M4903">
        <v>2</v>
      </c>
      <c r="N4903" t="s">
        <v>14331</v>
      </c>
      <c r="O4903" t="s">
        <v>14333</v>
      </c>
    </row>
    <row r="4904" spans="1:15" x14ac:dyDescent="0.25">
      <c r="A4904" s="35" t="s">
        <v>8275</v>
      </c>
      <c r="B4904" s="36" t="s">
        <v>8276</v>
      </c>
      <c r="C4904" s="36" t="str">
        <f>HYPERLINK("https://rhld.insurance.arkansas.gov/NPILookup?Npi=1932830619","1932830619")</f>
        <v>1932830619</v>
      </c>
      <c r="D4904" s="36" t="s">
        <v>37093</v>
      </c>
      <c r="E4904" s="36" t="s">
        <v>2</v>
      </c>
      <c r="F4904" s="36">
        <v>1</v>
      </c>
      <c r="G4904" s="36">
        <v>2</v>
      </c>
      <c r="H4904" s="36">
        <v>0</v>
      </c>
      <c r="I4904" s="37">
        <v>0</v>
      </c>
      <c r="J4904" s="36" t="s">
        <v>36190</v>
      </c>
      <c r="K4904" s="36" t="s">
        <v>14330</v>
      </c>
      <c r="L4904" s="36" t="s">
        <v>14330</v>
      </c>
      <c r="M4904">
        <v>1</v>
      </c>
      <c r="N4904" t="s">
        <v>14331</v>
      </c>
      <c r="O4904" t="s">
        <v>14333</v>
      </c>
    </row>
    <row r="4905" spans="1:15" x14ac:dyDescent="0.25">
      <c r="A4905" s="35" t="s">
        <v>8275</v>
      </c>
      <c r="B4905" s="36" t="s">
        <v>8276</v>
      </c>
      <c r="C4905" s="36" t="str">
        <f>HYPERLINK("https://rhld.insurance.arkansas.gov/NPILookup?Npi=1932910064","1932910064")</f>
        <v>1932910064</v>
      </c>
      <c r="D4905" s="36" t="s">
        <v>36103</v>
      </c>
      <c r="E4905" s="36" t="s">
        <v>2</v>
      </c>
      <c r="F4905" s="36">
        <v>1</v>
      </c>
      <c r="G4905" s="36">
        <v>1</v>
      </c>
      <c r="H4905" s="36">
        <v>0</v>
      </c>
      <c r="I4905" s="37">
        <v>0</v>
      </c>
      <c r="J4905" s="36"/>
      <c r="K4905" s="36" t="s">
        <v>14330</v>
      </c>
      <c r="L4905" s="36" t="s">
        <v>14330</v>
      </c>
      <c r="M4905">
        <v>2</v>
      </c>
      <c r="N4905" t="s">
        <v>14331</v>
      </c>
      <c r="O4905" t="s">
        <v>32633</v>
      </c>
    </row>
    <row r="4906" spans="1:15" x14ac:dyDescent="0.25">
      <c r="A4906" s="35" t="s">
        <v>8275</v>
      </c>
      <c r="B4906" s="36" t="s">
        <v>8276</v>
      </c>
      <c r="C4906" s="36" t="str">
        <f>HYPERLINK("https://rhld.insurance.arkansas.gov/NPILookup?Npi=1942083548","1942083548")</f>
        <v>1942083548</v>
      </c>
      <c r="D4906" s="36" t="s">
        <v>37094</v>
      </c>
      <c r="E4906" s="36" t="s">
        <v>2</v>
      </c>
      <c r="F4906" s="36">
        <v>1</v>
      </c>
      <c r="G4906" s="36">
        <v>2</v>
      </c>
      <c r="H4906" s="36">
        <v>0</v>
      </c>
      <c r="I4906" s="37">
        <v>0</v>
      </c>
      <c r="J4906" s="36" t="s">
        <v>36190</v>
      </c>
      <c r="K4906" s="36" t="s">
        <v>14330</v>
      </c>
      <c r="L4906" s="36" t="s">
        <v>14330</v>
      </c>
      <c r="M4906">
        <v>2</v>
      </c>
      <c r="N4906" t="s">
        <v>14331</v>
      </c>
      <c r="O4906" t="s">
        <v>14333</v>
      </c>
    </row>
    <row r="4907" spans="1:15" x14ac:dyDescent="0.25">
      <c r="A4907" s="35" t="s">
        <v>8275</v>
      </c>
      <c r="B4907" s="36" t="s">
        <v>8276</v>
      </c>
      <c r="C4907" s="36" t="str">
        <f>HYPERLINK("https://rhld.insurance.arkansas.gov/NPILookup?Npi=1942208277","1942208277")</f>
        <v>1942208277</v>
      </c>
      <c r="D4907" s="36" t="s">
        <v>37095</v>
      </c>
      <c r="E4907" s="36" t="s">
        <v>2</v>
      </c>
      <c r="F4907" s="36">
        <v>1</v>
      </c>
      <c r="G4907" s="36">
        <v>2</v>
      </c>
      <c r="H4907" s="36">
        <v>0</v>
      </c>
      <c r="I4907" s="37">
        <v>0</v>
      </c>
      <c r="J4907" s="36" t="s">
        <v>36190</v>
      </c>
      <c r="K4907" s="36" t="s">
        <v>14330</v>
      </c>
      <c r="L4907" s="36" t="s">
        <v>14330</v>
      </c>
      <c r="M4907">
        <v>3</v>
      </c>
      <c r="N4907" t="s">
        <v>14331</v>
      </c>
      <c r="O4907" t="s">
        <v>14333</v>
      </c>
    </row>
    <row r="4908" spans="1:15" x14ac:dyDescent="0.25">
      <c r="A4908" s="35" t="s">
        <v>8275</v>
      </c>
      <c r="B4908" s="36" t="s">
        <v>8276</v>
      </c>
      <c r="C4908" s="36" t="str">
        <f>HYPERLINK("https://rhld.insurance.arkansas.gov/NPILookup?Npi=1942267513","1942267513")</f>
        <v>1942267513</v>
      </c>
      <c r="D4908" s="36" t="s">
        <v>37096</v>
      </c>
      <c r="E4908" s="36" t="s">
        <v>2</v>
      </c>
      <c r="F4908" s="36">
        <v>1</v>
      </c>
      <c r="G4908" s="36">
        <v>3</v>
      </c>
      <c r="H4908" s="36">
        <v>0</v>
      </c>
      <c r="I4908" s="37">
        <v>0</v>
      </c>
      <c r="J4908" s="36" t="s">
        <v>36190</v>
      </c>
      <c r="K4908" s="36" t="s">
        <v>14330</v>
      </c>
      <c r="L4908" s="36" t="s">
        <v>14330</v>
      </c>
      <c r="M4908">
        <v>3</v>
      </c>
      <c r="N4908" t="s">
        <v>14331</v>
      </c>
      <c r="O4908" t="s">
        <v>14333</v>
      </c>
    </row>
    <row r="4909" spans="1:15" x14ac:dyDescent="0.25">
      <c r="A4909" s="35" t="s">
        <v>8275</v>
      </c>
      <c r="B4909" s="36" t="s">
        <v>8276</v>
      </c>
      <c r="C4909" s="36" t="str">
        <f>HYPERLINK("https://rhld.insurance.arkansas.gov/NPILookup?Npi=1942308424","1942308424")</f>
        <v>1942308424</v>
      </c>
      <c r="D4909" s="36" t="s">
        <v>37097</v>
      </c>
      <c r="E4909" s="36" t="s">
        <v>2</v>
      </c>
      <c r="F4909" s="36">
        <v>1</v>
      </c>
      <c r="G4909" s="36">
        <v>3</v>
      </c>
      <c r="H4909" s="36">
        <v>0</v>
      </c>
      <c r="I4909" s="37">
        <v>0</v>
      </c>
      <c r="J4909" s="36" t="s">
        <v>36190</v>
      </c>
      <c r="K4909" s="36" t="s">
        <v>14330</v>
      </c>
      <c r="L4909" s="36" t="s">
        <v>14330</v>
      </c>
      <c r="M4909">
        <v>2</v>
      </c>
      <c r="N4909" t="s">
        <v>14331</v>
      </c>
      <c r="O4909" t="s">
        <v>14333</v>
      </c>
    </row>
    <row r="4910" spans="1:15" x14ac:dyDescent="0.25">
      <c r="A4910" s="35" t="s">
        <v>8275</v>
      </c>
      <c r="B4910" s="36" t="s">
        <v>8276</v>
      </c>
      <c r="C4910" s="36" t="str">
        <f>HYPERLINK("https://rhld.insurance.arkansas.gov/NPILookup?Npi=1942695929","1942695929")</f>
        <v>1942695929</v>
      </c>
      <c r="D4910" s="36" t="s">
        <v>37098</v>
      </c>
      <c r="E4910" s="36" t="s">
        <v>2</v>
      </c>
      <c r="F4910" s="36">
        <v>1</v>
      </c>
      <c r="G4910" s="36">
        <v>2</v>
      </c>
      <c r="H4910" s="36">
        <v>0</v>
      </c>
      <c r="I4910" s="37">
        <v>0</v>
      </c>
      <c r="J4910" s="36" t="s">
        <v>36190</v>
      </c>
      <c r="K4910" s="36" t="s">
        <v>14330</v>
      </c>
      <c r="L4910" s="36" t="s">
        <v>14330</v>
      </c>
      <c r="M4910">
        <v>1</v>
      </c>
      <c r="N4910" t="s">
        <v>14331</v>
      </c>
      <c r="O4910" t="s">
        <v>14333</v>
      </c>
    </row>
    <row r="4911" spans="1:15" x14ac:dyDescent="0.25">
      <c r="A4911" s="35" t="s">
        <v>8275</v>
      </c>
      <c r="B4911" s="36" t="s">
        <v>8276</v>
      </c>
      <c r="C4911" s="36" t="str">
        <f>HYPERLINK("https://rhld.insurance.arkansas.gov/NPILookup?Npi=1942741376","1942741376")</f>
        <v>1942741376</v>
      </c>
      <c r="D4911" s="36" t="s">
        <v>36111</v>
      </c>
      <c r="E4911" s="36" t="s">
        <v>2</v>
      </c>
      <c r="F4911" s="36">
        <v>1</v>
      </c>
      <c r="G4911" s="36">
        <v>1</v>
      </c>
      <c r="H4911" s="36">
        <v>0</v>
      </c>
      <c r="I4911" s="37">
        <v>0</v>
      </c>
      <c r="J4911" s="36"/>
      <c r="K4911" s="36" t="s">
        <v>14330</v>
      </c>
      <c r="L4911" s="36" t="s">
        <v>14330</v>
      </c>
      <c r="M4911">
        <v>2</v>
      </c>
      <c r="N4911" t="s">
        <v>14331</v>
      </c>
      <c r="O4911" t="s">
        <v>32633</v>
      </c>
    </row>
    <row r="4912" spans="1:15" x14ac:dyDescent="0.25">
      <c r="A4912" s="35" t="s">
        <v>8275</v>
      </c>
      <c r="B4912" s="36" t="s">
        <v>8276</v>
      </c>
      <c r="C4912" s="36" t="str">
        <f>HYPERLINK("https://rhld.insurance.arkansas.gov/NPILookup?Npi=1942825823","1942825823")</f>
        <v>1942825823</v>
      </c>
      <c r="D4912" s="36" t="s">
        <v>37099</v>
      </c>
      <c r="E4912" s="36" t="s">
        <v>2</v>
      </c>
      <c r="F4912" s="36">
        <v>1</v>
      </c>
      <c r="G4912" s="36">
        <v>2</v>
      </c>
      <c r="H4912" s="36">
        <v>0</v>
      </c>
      <c r="I4912" s="37">
        <v>0</v>
      </c>
      <c r="J4912" s="36" t="s">
        <v>36190</v>
      </c>
      <c r="K4912" s="36" t="s">
        <v>14330</v>
      </c>
      <c r="L4912" s="36" t="s">
        <v>14330</v>
      </c>
      <c r="M4912">
        <v>2</v>
      </c>
      <c r="N4912" t="s">
        <v>14331</v>
      </c>
      <c r="O4912" t="s">
        <v>14333</v>
      </c>
    </row>
    <row r="4913" spans="1:15" x14ac:dyDescent="0.25">
      <c r="A4913" s="35" t="s">
        <v>8275</v>
      </c>
      <c r="B4913" s="36" t="s">
        <v>8276</v>
      </c>
      <c r="C4913" s="36" t="str">
        <f>HYPERLINK("https://rhld.insurance.arkansas.gov/NPILookup?Npi=1942922547","1942922547")</f>
        <v>1942922547</v>
      </c>
      <c r="D4913" s="36" t="s">
        <v>37100</v>
      </c>
      <c r="E4913" s="36" t="s">
        <v>2</v>
      </c>
      <c r="F4913" s="36">
        <v>1</v>
      </c>
      <c r="G4913" s="36">
        <v>2</v>
      </c>
      <c r="H4913" s="36">
        <v>0</v>
      </c>
      <c r="I4913" s="37">
        <v>0</v>
      </c>
      <c r="J4913" s="36" t="s">
        <v>36190</v>
      </c>
      <c r="K4913" s="36" t="s">
        <v>14330</v>
      </c>
      <c r="L4913" s="36" t="s">
        <v>14330</v>
      </c>
      <c r="M4913">
        <v>3</v>
      </c>
      <c r="N4913" t="s">
        <v>14331</v>
      </c>
      <c r="O4913" t="s">
        <v>14333</v>
      </c>
    </row>
    <row r="4914" spans="1:15" x14ac:dyDescent="0.25">
      <c r="A4914" s="35" t="s">
        <v>8275</v>
      </c>
      <c r="B4914" s="36" t="s">
        <v>8276</v>
      </c>
      <c r="C4914" s="36" t="str">
        <f>HYPERLINK("https://rhld.insurance.arkansas.gov/NPILookup?Npi=1942977301","1942977301")</f>
        <v>1942977301</v>
      </c>
      <c r="D4914" s="36" t="s">
        <v>37101</v>
      </c>
      <c r="E4914" s="36" t="s">
        <v>2</v>
      </c>
      <c r="F4914" s="36">
        <v>1</v>
      </c>
      <c r="G4914" s="36">
        <v>3</v>
      </c>
      <c r="H4914" s="36">
        <v>0</v>
      </c>
      <c r="I4914" s="37">
        <v>0</v>
      </c>
      <c r="J4914" s="36" t="s">
        <v>36190</v>
      </c>
      <c r="K4914" s="36" t="s">
        <v>14330</v>
      </c>
      <c r="L4914" s="36" t="s">
        <v>14330</v>
      </c>
      <c r="M4914">
        <v>3</v>
      </c>
      <c r="N4914" t="s">
        <v>14331</v>
      </c>
      <c r="O4914" t="s">
        <v>14333</v>
      </c>
    </row>
    <row r="4915" spans="1:15" x14ac:dyDescent="0.25">
      <c r="A4915" s="35" t="s">
        <v>8275</v>
      </c>
      <c r="B4915" s="36" t="s">
        <v>8276</v>
      </c>
      <c r="C4915" s="36" t="str">
        <f>HYPERLINK("https://rhld.insurance.arkansas.gov/NPILookup?Npi=1942997978","1942997978")</f>
        <v>1942997978</v>
      </c>
      <c r="D4915" s="36" t="s">
        <v>37102</v>
      </c>
      <c r="E4915" s="36" t="s">
        <v>2</v>
      </c>
      <c r="F4915" s="36">
        <v>1</v>
      </c>
      <c r="G4915" s="36">
        <v>3</v>
      </c>
      <c r="H4915" s="36">
        <v>0</v>
      </c>
      <c r="I4915" s="37">
        <v>0</v>
      </c>
      <c r="J4915" s="36" t="s">
        <v>36190</v>
      </c>
      <c r="K4915" s="36" t="s">
        <v>14330</v>
      </c>
      <c r="L4915" s="36" t="s">
        <v>14330</v>
      </c>
      <c r="M4915">
        <v>3</v>
      </c>
      <c r="N4915" t="s">
        <v>14331</v>
      </c>
      <c r="O4915" t="s">
        <v>14333</v>
      </c>
    </row>
    <row r="4916" spans="1:15" x14ac:dyDescent="0.25">
      <c r="A4916" s="35" t="s">
        <v>8275</v>
      </c>
      <c r="B4916" s="36" t="s">
        <v>8276</v>
      </c>
      <c r="C4916" s="36" t="str">
        <f>HYPERLINK("https://rhld.insurance.arkansas.gov/NPILookup?Npi=1952009052","1952009052")</f>
        <v>1952009052</v>
      </c>
      <c r="D4916" s="36" t="s">
        <v>37103</v>
      </c>
      <c r="E4916" s="36" t="s">
        <v>2</v>
      </c>
      <c r="F4916" s="36">
        <v>1</v>
      </c>
      <c r="G4916" s="36">
        <v>3</v>
      </c>
      <c r="H4916" s="36">
        <v>0</v>
      </c>
      <c r="I4916" s="37">
        <v>0</v>
      </c>
      <c r="J4916" s="36" t="s">
        <v>36190</v>
      </c>
      <c r="K4916" s="36" t="s">
        <v>14330</v>
      </c>
      <c r="L4916" s="36" t="s">
        <v>14330</v>
      </c>
      <c r="M4916">
        <v>3</v>
      </c>
      <c r="N4916" t="s">
        <v>14331</v>
      </c>
      <c r="O4916" t="s">
        <v>14333</v>
      </c>
    </row>
    <row r="4917" spans="1:15" x14ac:dyDescent="0.25">
      <c r="A4917" s="35" t="s">
        <v>8275</v>
      </c>
      <c r="B4917" s="36" t="s">
        <v>8276</v>
      </c>
      <c r="C4917" s="36" t="str">
        <f>HYPERLINK("https://rhld.insurance.arkansas.gov/NPILookup?Npi=1952086464","1952086464")</f>
        <v>1952086464</v>
      </c>
      <c r="D4917" s="36" t="s">
        <v>31276</v>
      </c>
      <c r="E4917" s="36" t="s">
        <v>2</v>
      </c>
      <c r="F4917" s="36">
        <v>1</v>
      </c>
      <c r="G4917" s="36">
        <v>3</v>
      </c>
      <c r="H4917" s="36">
        <v>0</v>
      </c>
      <c r="I4917" s="37">
        <v>0</v>
      </c>
      <c r="J4917" s="36" t="s">
        <v>36190</v>
      </c>
      <c r="K4917" s="36" t="s">
        <v>14330</v>
      </c>
      <c r="L4917" s="36" t="s">
        <v>14330</v>
      </c>
      <c r="M4917">
        <v>1</v>
      </c>
      <c r="N4917" t="s">
        <v>14331</v>
      </c>
      <c r="O4917" t="s">
        <v>14333</v>
      </c>
    </row>
    <row r="4918" spans="1:15" x14ac:dyDescent="0.25">
      <c r="A4918" s="35" t="s">
        <v>8275</v>
      </c>
      <c r="B4918" s="36" t="s">
        <v>8276</v>
      </c>
      <c r="C4918" s="36" t="str">
        <f>HYPERLINK("https://rhld.insurance.arkansas.gov/NPILookup?Npi=1952171977","1952171977")</f>
        <v>1952171977</v>
      </c>
      <c r="D4918" s="36" t="s">
        <v>36115</v>
      </c>
      <c r="E4918" s="36" t="s">
        <v>2</v>
      </c>
      <c r="F4918" s="36">
        <v>1</v>
      </c>
      <c r="G4918" s="36">
        <v>1</v>
      </c>
      <c r="H4918" s="36">
        <v>0</v>
      </c>
      <c r="I4918" s="37">
        <v>0</v>
      </c>
      <c r="J4918" s="36"/>
      <c r="K4918" s="36" t="s">
        <v>14330</v>
      </c>
      <c r="L4918" s="36" t="s">
        <v>14330</v>
      </c>
      <c r="M4918">
        <v>1</v>
      </c>
      <c r="N4918" t="s">
        <v>14331</v>
      </c>
      <c r="O4918" t="s">
        <v>32633</v>
      </c>
    </row>
    <row r="4919" spans="1:15" x14ac:dyDescent="0.25">
      <c r="A4919" s="35" t="s">
        <v>8275</v>
      </c>
      <c r="B4919" s="36" t="s">
        <v>8276</v>
      </c>
      <c r="C4919" s="36" t="str">
        <f>HYPERLINK("https://rhld.insurance.arkansas.gov/NPILookup?Npi=1952188757","1952188757")</f>
        <v>1952188757</v>
      </c>
      <c r="D4919" s="36" t="s">
        <v>36116</v>
      </c>
      <c r="E4919" s="36" t="s">
        <v>2</v>
      </c>
      <c r="F4919" s="36">
        <v>1</v>
      </c>
      <c r="G4919" s="36">
        <v>1</v>
      </c>
      <c r="H4919" s="36">
        <v>0</v>
      </c>
      <c r="I4919" s="37">
        <v>0</v>
      </c>
      <c r="J4919" s="36"/>
      <c r="K4919" s="36" t="s">
        <v>14330</v>
      </c>
      <c r="L4919" s="36" t="s">
        <v>14330</v>
      </c>
      <c r="M4919">
        <v>2</v>
      </c>
      <c r="N4919" t="s">
        <v>14331</v>
      </c>
      <c r="O4919" t="s">
        <v>32633</v>
      </c>
    </row>
    <row r="4920" spans="1:15" x14ac:dyDescent="0.25">
      <c r="A4920" s="35" t="s">
        <v>8275</v>
      </c>
      <c r="B4920" s="36" t="s">
        <v>8276</v>
      </c>
      <c r="C4920" s="36" t="str">
        <f>HYPERLINK("https://rhld.insurance.arkansas.gov/NPILookup?Npi=1952341562","1952341562")</f>
        <v>1952341562</v>
      </c>
      <c r="D4920" s="36" t="s">
        <v>37104</v>
      </c>
      <c r="E4920" s="36" t="s">
        <v>2</v>
      </c>
      <c r="F4920" s="36">
        <v>1</v>
      </c>
      <c r="G4920" s="36">
        <v>2</v>
      </c>
      <c r="H4920" s="36">
        <v>0</v>
      </c>
      <c r="I4920" s="37">
        <v>0</v>
      </c>
      <c r="J4920" s="36" t="s">
        <v>36190</v>
      </c>
      <c r="K4920" s="36" t="s">
        <v>14330</v>
      </c>
      <c r="L4920" s="36" t="s">
        <v>14330</v>
      </c>
      <c r="M4920">
        <v>3</v>
      </c>
      <c r="N4920" t="s">
        <v>14331</v>
      </c>
      <c r="O4920" t="s">
        <v>14333</v>
      </c>
    </row>
    <row r="4921" spans="1:15" x14ac:dyDescent="0.25">
      <c r="A4921" s="35" t="s">
        <v>8275</v>
      </c>
      <c r="B4921" s="36" t="s">
        <v>8276</v>
      </c>
      <c r="C4921" s="36" t="str">
        <f>HYPERLINK("https://rhld.insurance.arkansas.gov/NPILookup?Npi=1952343907","1952343907")</f>
        <v>1952343907</v>
      </c>
      <c r="D4921" s="36" t="s">
        <v>37105</v>
      </c>
      <c r="E4921" s="36" t="s">
        <v>2</v>
      </c>
      <c r="F4921" s="36">
        <v>1</v>
      </c>
      <c r="G4921" s="36">
        <v>3</v>
      </c>
      <c r="H4921" s="36">
        <v>0</v>
      </c>
      <c r="I4921" s="37">
        <v>0</v>
      </c>
      <c r="J4921" s="36" t="s">
        <v>36190</v>
      </c>
      <c r="K4921" s="36" t="s">
        <v>14330</v>
      </c>
      <c r="L4921" s="36" t="s">
        <v>14330</v>
      </c>
      <c r="M4921">
        <v>3</v>
      </c>
      <c r="N4921" t="s">
        <v>14331</v>
      </c>
      <c r="O4921" t="s">
        <v>14333</v>
      </c>
    </row>
    <row r="4922" spans="1:15" x14ac:dyDescent="0.25">
      <c r="A4922" s="35" t="s">
        <v>8275</v>
      </c>
      <c r="B4922" s="36" t="s">
        <v>8276</v>
      </c>
      <c r="C4922" s="36" t="str">
        <f>HYPERLINK("https://rhld.insurance.arkansas.gov/NPILookup?Npi=1952377442","1952377442")</f>
        <v>1952377442</v>
      </c>
      <c r="D4922" s="36" t="s">
        <v>37106</v>
      </c>
      <c r="E4922" s="36" t="s">
        <v>2</v>
      </c>
      <c r="F4922" s="36">
        <v>1</v>
      </c>
      <c r="G4922" s="36">
        <v>3</v>
      </c>
      <c r="H4922" s="36">
        <v>0</v>
      </c>
      <c r="I4922" s="37">
        <v>0</v>
      </c>
      <c r="J4922" s="36" t="s">
        <v>36190</v>
      </c>
      <c r="K4922" s="36" t="s">
        <v>14330</v>
      </c>
      <c r="L4922" s="36" t="s">
        <v>14330</v>
      </c>
      <c r="M4922">
        <v>2</v>
      </c>
      <c r="N4922" t="s">
        <v>14331</v>
      </c>
      <c r="O4922" t="s">
        <v>14333</v>
      </c>
    </row>
    <row r="4923" spans="1:15" x14ac:dyDescent="0.25">
      <c r="A4923" s="35" t="s">
        <v>8275</v>
      </c>
      <c r="B4923" s="36" t="s">
        <v>8276</v>
      </c>
      <c r="C4923" s="36" t="str">
        <f>HYPERLINK("https://rhld.insurance.arkansas.gov/NPILookup?Npi=1952380651","1952380651")</f>
        <v>1952380651</v>
      </c>
      <c r="D4923" s="36" t="s">
        <v>33456</v>
      </c>
      <c r="E4923" s="36" t="s">
        <v>2</v>
      </c>
      <c r="F4923" s="36">
        <v>1</v>
      </c>
      <c r="G4923" s="36">
        <v>2</v>
      </c>
      <c r="H4923" s="36">
        <v>0</v>
      </c>
      <c r="I4923" s="37">
        <v>0</v>
      </c>
      <c r="J4923" s="36" t="s">
        <v>36190</v>
      </c>
      <c r="K4923" s="36" t="s">
        <v>14330</v>
      </c>
      <c r="L4923" s="36" t="s">
        <v>14330</v>
      </c>
      <c r="M4923">
        <v>2</v>
      </c>
      <c r="N4923" t="s">
        <v>14331</v>
      </c>
      <c r="O4923" t="s">
        <v>14333</v>
      </c>
    </row>
    <row r="4924" spans="1:15" x14ac:dyDescent="0.25">
      <c r="A4924" s="35" t="s">
        <v>8275</v>
      </c>
      <c r="B4924" s="36" t="s">
        <v>8276</v>
      </c>
      <c r="C4924" s="36" t="str">
        <f>HYPERLINK("https://rhld.insurance.arkansas.gov/NPILookup?Npi=1952416653","1952416653")</f>
        <v>1952416653</v>
      </c>
      <c r="D4924" s="36" t="s">
        <v>37107</v>
      </c>
      <c r="E4924" s="36" t="s">
        <v>1</v>
      </c>
      <c r="F4924" s="36">
        <v>1</v>
      </c>
      <c r="G4924" s="36">
        <v>2</v>
      </c>
      <c r="H4924" s="36">
        <v>0</v>
      </c>
      <c r="I4924" s="37">
        <v>0</v>
      </c>
      <c r="J4924" s="36" t="s">
        <v>32654</v>
      </c>
      <c r="K4924" s="36" t="s">
        <v>14330</v>
      </c>
      <c r="L4924" s="36" t="s">
        <v>14330</v>
      </c>
      <c r="M4924">
        <v>1</v>
      </c>
      <c r="N4924" t="s">
        <v>14331</v>
      </c>
      <c r="O4924" t="s">
        <v>32633</v>
      </c>
    </row>
    <row r="4925" spans="1:15" x14ac:dyDescent="0.25">
      <c r="A4925" s="35" t="s">
        <v>8275</v>
      </c>
      <c r="B4925" s="36" t="s">
        <v>8276</v>
      </c>
      <c r="C4925" s="41" t="str">
        <f>HYPERLINK("https://rhld.insurance.arkansas.gov/NPILookup?Npi=1952488660","1952488660")</f>
        <v>1952488660</v>
      </c>
      <c r="D4925" s="36" t="s">
        <v>37108</v>
      </c>
      <c r="E4925" s="36" t="s">
        <v>1</v>
      </c>
      <c r="F4925" s="36">
        <v>1</v>
      </c>
      <c r="G4925" s="36">
        <v>2</v>
      </c>
      <c r="H4925" s="36">
        <v>1</v>
      </c>
      <c r="I4925" s="37">
        <v>0</v>
      </c>
      <c r="J4925" s="36" t="s">
        <v>32654</v>
      </c>
      <c r="K4925" s="36" t="s">
        <v>14330</v>
      </c>
      <c r="L4925" s="36" t="s">
        <v>14330</v>
      </c>
      <c r="M4925">
        <v>3</v>
      </c>
      <c r="N4925" t="s">
        <v>14332</v>
      </c>
      <c r="O4925" t="s">
        <v>34305</v>
      </c>
    </row>
    <row r="4926" spans="1:15" x14ac:dyDescent="0.25">
      <c r="A4926" s="35" t="s">
        <v>8275</v>
      </c>
      <c r="B4926" s="36" t="s">
        <v>8276</v>
      </c>
      <c r="C4926" s="36" t="str">
        <f>HYPERLINK("https://rhld.insurance.arkansas.gov/NPILookup?Npi=1952493546","1952493546")</f>
        <v>1952493546</v>
      </c>
      <c r="D4926" s="36" t="s">
        <v>37109</v>
      </c>
      <c r="E4926" s="36" t="s">
        <v>2</v>
      </c>
      <c r="F4926" s="36">
        <v>1</v>
      </c>
      <c r="G4926" s="36">
        <v>3</v>
      </c>
      <c r="H4926" s="36">
        <v>0</v>
      </c>
      <c r="I4926" s="37">
        <v>0</v>
      </c>
      <c r="J4926" s="36" t="s">
        <v>36190</v>
      </c>
      <c r="K4926" s="36" t="s">
        <v>14330</v>
      </c>
      <c r="L4926" s="36" t="s">
        <v>14330</v>
      </c>
      <c r="M4926">
        <v>2</v>
      </c>
      <c r="N4926" t="s">
        <v>14331</v>
      </c>
      <c r="O4926" t="s">
        <v>14333</v>
      </c>
    </row>
    <row r="4927" spans="1:15" x14ac:dyDescent="0.25">
      <c r="A4927" s="35" t="s">
        <v>8275</v>
      </c>
      <c r="B4927" s="36" t="s">
        <v>8276</v>
      </c>
      <c r="C4927" s="36" t="str">
        <f>HYPERLINK("https://rhld.insurance.arkansas.gov/NPILookup?Npi=1952566440","1952566440")</f>
        <v>1952566440</v>
      </c>
      <c r="D4927" s="36" t="s">
        <v>37110</v>
      </c>
      <c r="E4927" s="36" t="s">
        <v>2</v>
      </c>
      <c r="F4927" s="36">
        <v>1</v>
      </c>
      <c r="G4927" s="36">
        <v>2</v>
      </c>
      <c r="H4927" s="36">
        <v>0</v>
      </c>
      <c r="I4927" s="37">
        <v>0</v>
      </c>
      <c r="J4927" s="36" t="s">
        <v>36190</v>
      </c>
      <c r="K4927" s="36" t="s">
        <v>14330</v>
      </c>
      <c r="L4927" s="36" t="s">
        <v>14330</v>
      </c>
      <c r="M4927">
        <v>3</v>
      </c>
      <c r="N4927" t="s">
        <v>14331</v>
      </c>
      <c r="O4927" t="s">
        <v>14333</v>
      </c>
    </row>
    <row r="4928" spans="1:15" x14ac:dyDescent="0.25">
      <c r="A4928" s="35" t="s">
        <v>8275</v>
      </c>
      <c r="B4928" s="36" t="s">
        <v>8276</v>
      </c>
      <c r="C4928" s="36" t="str">
        <f>HYPERLINK("https://rhld.insurance.arkansas.gov/NPILookup?Npi=1952606055","1952606055")</f>
        <v>1952606055</v>
      </c>
      <c r="D4928" s="36" t="s">
        <v>37111</v>
      </c>
      <c r="E4928" s="36" t="s">
        <v>2</v>
      </c>
      <c r="F4928" s="36">
        <v>1</v>
      </c>
      <c r="G4928" s="36">
        <v>3</v>
      </c>
      <c r="H4928" s="36">
        <v>0</v>
      </c>
      <c r="I4928" s="37">
        <v>0</v>
      </c>
      <c r="J4928" s="36" t="s">
        <v>36190</v>
      </c>
      <c r="K4928" s="36" t="s">
        <v>14330</v>
      </c>
      <c r="L4928" s="36" t="s">
        <v>14330</v>
      </c>
      <c r="M4928">
        <v>1</v>
      </c>
      <c r="N4928" t="s">
        <v>14331</v>
      </c>
      <c r="O4928" t="s">
        <v>14333</v>
      </c>
    </row>
    <row r="4929" spans="1:15" x14ac:dyDescent="0.25">
      <c r="A4929" s="35" t="s">
        <v>8275</v>
      </c>
      <c r="B4929" s="36" t="s">
        <v>8276</v>
      </c>
      <c r="C4929" s="36" t="str">
        <f>HYPERLINK("https://rhld.insurance.arkansas.gov/NPILookup?Npi=1952805368","1952805368")</f>
        <v>1952805368</v>
      </c>
      <c r="D4929" s="36" t="s">
        <v>37112</v>
      </c>
      <c r="E4929" s="36" t="s">
        <v>2</v>
      </c>
      <c r="F4929" s="36">
        <v>1</v>
      </c>
      <c r="G4929" s="36">
        <v>1</v>
      </c>
      <c r="H4929" s="36">
        <v>0</v>
      </c>
      <c r="I4929" s="37">
        <v>0</v>
      </c>
      <c r="J4929" s="36" t="s">
        <v>32679</v>
      </c>
      <c r="K4929" s="36" t="s">
        <v>14330</v>
      </c>
      <c r="L4929" s="36" t="s">
        <v>14330</v>
      </c>
      <c r="M4929">
        <v>3</v>
      </c>
      <c r="N4929" t="s">
        <v>14331</v>
      </c>
      <c r="O4929" t="s">
        <v>32633</v>
      </c>
    </row>
    <row r="4930" spans="1:15" x14ac:dyDescent="0.25">
      <c r="A4930" s="35" t="s">
        <v>8275</v>
      </c>
      <c r="B4930" s="36" t="s">
        <v>8276</v>
      </c>
      <c r="C4930" s="36" t="str">
        <f>HYPERLINK("https://rhld.insurance.arkansas.gov/NPILookup?Npi=1952808651","1952808651")</f>
        <v>1952808651</v>
      </c>
      <c r="D4930" s="36" t="s">
        <v>37113</v>
      </c>
      <c r="E4930" s="36" t="s">
        <v>2</v>
      </c>
      <c r="F4930" s="36">
        <v>1</v>
      </c>
      <c r="G4930" s="36">
        <v>3</v>
      </c>
      <c r="H4930" s="36">
        <v>0</v>
      </c>
      <c r="I4930" s="37">
        <v>0</v>
      </c>
      <c r="J4930" s="36" t="s">
        <v>36190</v>
      </c>
      <c r="K4930" s="36" t="s">
        <v>14330</v>
      </c>
      <c r="L4930" s="36" t="s">
        <v>14330</v>
      </c>
      <c r="M4930">
        <v>2</v>
      </c>
      <c r="N4930" t="s">
        <v>14331</v>
      </c>
      <c r="O4930" t="s">
        <v>14333</v>
      </c>
    </row>
    <row r="4931" spans="1:15" x14ac:dyDescent="0.25">
      <c r="A4931" s="35" t="s">
        <v>8275</v>
      </c>
      <c r="B4931" s="36" t="s">
        <v>8276</v>
      </c>
      <c r="C4931" s="36" t="str">
        <f>HYPERLINK("https://rhld.insurance.arkansas.gov/NPILookup?Npi=1962166785","1962166785")</f>
        <v>1962166785</v>
      </c>
      <c r="D4931" s="36" t="s">
        <v>37114</v>
      </c>
      <c r="E4931" s="36" t="s">
        <v>2</v>
      </c>
      <c r="F4931" s="36">
        <v>1</v>
      </c>
      <c r="G4931" s="36">
        <v>2</v>
      </c>
      <c r="H4931" s="36">
        <v>0</v>
      </c>
      <c r="I4931" s="37">
        <v>0</v>
      </c>
      <c r="J4931" s="36" t="s">
        <v>36190</v>
      </c>
      <c r="K4931" s="36" t="s">
        <v>14330</v>
      </c>
      <c r="L4931" s="36" t="s">
        <v>14330</v>
      </c>
      <c r="M4931">
        <v>2</v>
      </c>
      <c r="N4931" t="s">
        <v>14331</v>
      </c>
      <c r="O4931" t="s">
        <v>14333</v>
      </c>
    </row>
    <row r="4932" spans="1:15" x14ac:dyDescent="0.25">
      <c r="A4932" s="35" t="s">
        <v>8275</v>
      </c>
      <c r="B4932" s="36" t="s">
        <v>8276</v>
      </c>
      <c r="C4932" s="36" t="str">
        <f>HYPERLINK("https://rhld.insurance.arkansas.gov/NPILookup?Npi=1962207589","1962207589")</f>
        <v>1962207589</v>
      </c>
      <c r="D4932" s="36" t="s">
        <v>36133</v>
      </c>
      <c r="E4932" s="36" t="s">
        <v>2</v>
      </c>
      <c r="F4932" s="36">
        <v>1</v>
      </c>
      <c r="G4932" s="36">
        <v>2</v>
      </c>
      <c r="H4932" s="36">
        <v>0</v>
      </c>
      <c r="I4932" s="37">
        <v>0</v>
      </c>
      <c r="J4932" s="36"/>
      <c r="K4932" s="36" t="s">
        <v>14330</v>
      </c>
      <c r="L4932" s="36" t="s">
        <v>14330</v>
      </c>
      <c r="M4932">
        <v>2</v>
      </c>
      <c r="N4932" t="s">
        <v>14331</v>
      </c>
      <c r="O4932" t="s">
        <v>14333</v>
      </c>
    </row>
    <row r="4933" spans="1:15" x14ac:dyDescent="0.25">
      <c r="A4933" s="35" t="s">
        <v>8275</v>
      </c>
      <c r="B4933" s="36" t="s">
        <v>8276</v>
      </c>
      <c r="C4933" s="36" t="str">
        <f>HYPERLINK("https://rhld.insurance.arkansas.gov/NPILookup?Npi=1962227942","1962227942")</f>
        <v>1962227942</v>
      </c>
      <c r="D4933" s="36" t="s">
        <v>34829</v>
      </c>
      <c r="E4933" s="36" t="s">
        <v>2</v>
      </c>
      <c r="F4933" s="36">
        <v>1</v>
      </c>
      <c r="G4933" s="36">
        <v>2</v>
      </c>
      <c r="H4933" s="36">
        <v>0</v>
      </c>
      <c r="I4933" s="37">
        <v>0</v>
      </c>
      <c r="J4933" s="36"/>
      <c r="K4933" s="36" t="s">
        <v>14330</v>
      </c>
      <c r="L4933" s="36" t="s">
        <v>14330</v>
      </c>
      <c r="M4933">
        <v>3</v>
      </c>
      <c r="N4933" t="s">
        <v>14331</v>
      </c>
      <c r="O4933" t="s">
        <v>14333</v>
      </c>
    </row>
    <row r="4934" spans="1:15" x14ac:dyDescent="0.25">
      <c r="A4934" s="35" t="s">
        <v>8275</v>
      </c>
      <c r="B4934" s="36" t="s">
        <v>8276</v>
      </c>
      <c r="C4934" s="36" t="str">
        <f>HYPERLINK("https://rhld.insurance.arkansas.gov/NPILookup?Npi=1962247130","1962247130")</f>
        <v>1962247130</v>
      </c>
      <c r="D4934" s="36" t="s">
        <v>31277</v>
      </c>
      <c r="E4934" s="36" t="s">
        <v>2</v>
      </c>
      <c r="F4934" s="36">
        <v>1</v>
      </c>
      <c r="G4934" s="36">
        <v>3</v>
      </c>
      <c r="H4934" s="36">
        <v>0</v>
      </c>
      <c r="I4934" s="37">
        <v>0</v>
      </c>
      <c r="J4934" s="36" t="s">
        <v>36190</v>
      </c>
      <c r="K4934" s="36" t="s">
        <v>14330</v>
      </c>
      <c r="L4934" s="36" t="s">
        <v>14330</v>
      </c>
      <c r="M4934">
        <v>3</v>
      </c>
      <c r="N4934" t="s">
        <v>14331</v>
      </c>
      <c r="O4934" t="s">
        <v>14333</v>
      </c>
    </row>
    <row r="4935" spans="1:15" x14ac:dyDescent="0.25">
      <c r="A4935" s="35" t="s">
        <v>8275</v>
      </c>
      <c r="B4935" s="36" t="s">
        <v>8276</v>
      </c>
      <c r="C4935" s="36" t="str">
        <f>HYPERLINK("https://rhld.insurance.arkansas.gov/NPILookup?Npi=1962247684","1962247684")</f>
        <v>1962247684</v>
      </c>
      <c r="D4935" s="36" t="s">
        <v>31278</v>
      </c>
      <c r="E4935" s="36" t="s">
        <v>2</v>
      </c>
      <c r="F4935" s="36">
        <v>1</v>
      </c>
      <c r="G4935" s="36">
        <v>3</v>
      </c>
      <c r="H4935" s="36">
        <v>0</v>
      </c>
      <c r="I4935" s="37">
        <v>0</v>
      </c>
      <c r="J4935" s="36" t="s">
        <v>36190</v>
      </c>
      <c r="K4935" s="36" t="s">
        <v>14330</v>
      </c>
      <c r="L4935" s="36" t="s">
        <v>14330</v>
      </c>
      <c r="M4935">
        <v>1</v>
      </c>
      <c r="N4935" t="s">
        <v>14331</v>
      </c>
      <c r="O4935" t="s">
        <v>14333</v>
      </c>
    </row>
    <row r="4936" spans="1:15" x14ac:dyDescent="0.25">
      <c r="A4936" s="35" t="s">
        <v>8275</v>
      </c>
      <c r="B4936" s="36" t="s">
        <v>8276</v>
      </c>
      <c r="C4936" s="36" t="str">
        <f>HYPERLINK("https://rhld.insurance.arkansas.gov/NPILookup?Npi=1962253088","1962253088")</f>
        <v>1962253088</v>
      </c>
      <c r="D4936" s="36" t="s">
        <v>36134</v>
      </c>
      <c r="E4936" s="36" t="s">
        <v>2</v>
      </c>
      <c r="F4936" s="36">
        <v>1</v>
      </c>
      <c r="G4936" s="36">
        <v>1</v>
      </c>
      <c r="H4936" s="36">
        <v>0</v>
      </c>
      <c r="I4936" s="37">
        <v>0</v>
      </c>
      <c r="J4936" s="36"/>
      <c r="K4936" s="36" t="s">
        <v>14330</v>
      </c>
      <c r="L4936" s="36" t="s">
        <v>14330</v>
      </c>
      <c r="M4936">
        <v>1</v>
      </c>
      <c r="N4936" t="s">
        <v>14331</v>
      </c>
      <c r="O4936" t="s">
        <v>32633</v>
      </c>
    </row>
    <row r="4937" spans="1:15" x14ac:dyDescent="0.25">
      <c r="A4937" s="35" t="s">
        <v>8275</v>
      </c>
      <c r="B4937" s="36" t="s">
        <v>8276</v>
      </c>
      <c r="C4937" s="36" t="str">
        <f>HYPERLINK("https://rhld.insurance.arkansas.gov/NPILookup?Npi=1962524090","1962524090")</f>
        <v>1962524090</v>
      </c>
      <c r="D4937" s="36" t="s">
        <v>36141</v>
      </c>
      <c r="E4937" s="36" t="s">
        <v>1</v>
      </c>
      <c r="F4937" s="36">
        <v>1</v>
      </c>
      <c r="G4937" s="36">
        <v>2</v>
      </c>
      <c r="H4937" s="36">
        <v>1</v>
      </c>
      <c r="I4937" s="37">
        <v>0</v>
      </c>
      <c r="J4937" s="36" t="s">
        <v>32654</v>
      </c>
      <c r="K4937" s="36" t="s">
        <v>14330</v>
      </c>
      <c r="L4937" s="36" t="s">
        <v>36271</v>
      </c>
      <c r="M4937">
        <v>3</v>
      </c>
      <c r="N4937" t="s">
        <v>14332</v>
      </c>
      <c r="O4937" t="s">
        <v>32591</v>
      </c>
    </row>
    <row r="4938" spans="1:15" x14ac:dyDescent="0.25">
      <c r="A4938" s="35" t="s">
        <v>8275</v>
      </c>
      <c r="B4938" s="36" t="s">
        <v>8276</v>
      </c>
      <c r="C4938" s="36" t="str">
        <f>HYPERLINK("https://rhld.insurance.arkansas.gov/NPILookup?Npi=1962588210","1962588210")</f>
        <v>1962588210</v>
      </c>
      <c r="D4938" s="36" t="s">
        <v>37115</v>
      </c>
      <c r="E4938" s="36" t="s">
        <v>2</v>
      </c>
      <c r="F4938" s="36">
        <v>1</v>
      </c>
      <c r="G4938" s="36">
        <v>3</v>
      </c>
      <c r="H4938" s="36">
        <v>0</v>
      </c>
      <c r="I4938" s="37">
        <v>0</v>
      </c>
      <c r="J4938" s="36" t="s">
        <v>36190</v>
      </c>
      <c r="K4938" s="36" t="s">
        <v>14330</v>
      </c>
      <c r="L4938" s="36" t="s">
        <v>14330</v>
      </c>
      <c r="M4938">
        <v>2</v>
      </c>
      <c r="N4938" t="s">
        <v>14331</v>
      </c>
      <c r="O4938" t="s">
        <v>14333</v>
      </c>
    </row>
    <row r="4939" spans="1:15" x14ac:dyDescent="0.25">
      <c r="A4939" s="35" t="s">
        <v>8275</v>
      </c>
      <c r="B4939" s="36" t="s">
        <v>8276</v>
      </c>
      <c r="C4939" s="36" t="str">
        <f>HYPERLINK("https://rhld.insurance.arkansas.gov/NPILookup?Npi=1962825562","1962825562")</f>
        <v>1962825562</v>
      </c>
      <c r="D4939" s="36" t="s">
        <v>37116</v>
      </c>
      <c r="E4939" s="36" t="s">
        <v>2</v>
      </c>
      <c r="F4939" s="36">
        <v>1</v>
      </c>
      <c r="G4939" s="36">
        <v>2</v>
      </c>
      <c r="H4939" s="36">
        <v>0</v>
      </c>
      <c r="I4939" s="37">
        <v>0</v>
      </c>
      <c r="J4939" s="36" t="s">
        <v>36190</v>
      </c>
      <c r="K4939" s="36" t="s">
        <v>14330</v>
      </c>
      <c r="L4939" s="36" t="s">
        <v>14330</v>
      </c>
      <c r="M4939">
        <v>3</v>
      </c>
      <c r="N4939" t="s">
        <v>14331</v>
      </c>
      <c r="O4939" t="s">
        <v>14333</v>
      </c>
    </row>
    <row r="4940" spans="1:15" x14ac:dyDescent="0.25">
      <c r="A4940" s="35" t="s">
        <v>8275</v>
      </c>
      <c r="B4940" s="36" t="s">
        <v>8276</v>
      </c>
      <c r="C4940" s="36" t="str">
        <f>HYPERLINK("https://rhld.insurance.arkansas.gov/NPILookup?Npi=1962980797","1962980797")</f>
        <v>1962980797</v>
      </c>
      <c r="D4940" s="36" t="s">
        <v>37117</v>
      </c>
      <c r="E4940" s="36" t="s">
        <v>2</v>
      </c>
      <c r="F4940" s="36">
        <v>1</v>
      </c>
      <c r="G4940" s="36">
        <v>3</v>
      </c>
      <c r="H4940" s="36">
        <v>0</v>
      </c>
      <c r="I4940" s="37">
        <v>0</v>
      </c>
      <c r="J4940" s="36" t="s">
        <v>36190</v>
      </c>
      <c r="K4940" s="36" t="s">
        <v>14330</v>
      </c>
      <c r="L4940" s="36" t="s">
        <v>14330</v>
      </c>
      <c r="M4940">
        <v>1</v>
      </c>
      <c r="N4940" t="s">
        <v>14331</v>
      </c>
      <c r="O4940" t="s">
        <v>14333</v>
      </c>
    </row>
    <row r="4941" spans="1:15" x14ac:dyDescent="0.25">
      <c r="A4941" s="35" t="s">
        <v>8275</v>
      </c>
      <c r="B4941" s="36" t="s">
        <v>8276</v>
      </c>
      <c r="C4941" s="36" t="str">
        <f>HYPERLINK("https://rhld.insurance.arkansas.gov/NPILookup?Npi=1972008431","1972008431")</f>
        <v>1972008431</v>
      </c>
      <c r="D4941" s="36" t="s">
        <v>37118</v>
      </c>
      <c r="E4941" s="36" t="s">
        <v>1</v>
      </c>
      <c r="F4941" s="36">
        <v>1</v>
      </c>
      <c r="G4941" s="36">
        <v>2</v>
      </c>
      <c r="H4941" s="36">
        <v>1</v>
      </c>
      <c r="I4941" s="37">
        <v>0</v>
      </c>
      <c r="J4941" s="36" t="s">
        <v>32654</v>
      </c>
      <c r="K4941" s="36" t="s">
        <v>14330</v>
      </c>
      <c r="L4941" s="36" t="s">
        <v>36271</v>
      </c>
      <c r="M4941">
        <v>3</v>
      </c>
      <c r="N4941" t="s">
        <v>14332</v>
      </c>
      <c r="O4941" t="s">
        <v>32591</v>
      </c>
    </row>
    <row r="4942" spans="1:15" x14ac:dyDescent="0.25">
      <c r="A4942" s="35" t="s">
        <v>8275</v>
      </c>
      <c r="B4942" s="36" t="s">
        <v>8276</v>
      </c>
      <c r="C4942" s="36" t="str">
        <f>HYPERLINK("https://rhld.insurance.arkansas.gov/NPILookup?Npi=1972032118","1972032118")</f>
        <v>1972032118</v>
      </c>
      <c r="D4942" s="36" t="s">
        <v>37119</v>
      </c>
      <c r="E4942" s="36" t="s">
        <v>1</v>
      </c>
      <c r="F4942" s="36">
        <v>1</v>
      </c>
      <c r="G4942" s="36">
        <v>3</v>
      </c>
      <c r="H4942" s="36">
        <v>0</v>
      </c>
      <c r="I4942" s="37">
        <v>0</v>
      </c>
      <c r="J4942" s="36" t="s">
        <v>32654</v>
      </c>
      <c r="K4942" s="36" t="s">
        <v>14330</v>
      </c>
      <c r="L4942" s="36" t="s">
        <v>14330</v>
      </c>
      <c r="M4942">
        <v>3</v>
      </c>
      <c r="N4942" t="s">
        <v>14331</v>
      </c>
      <c r="O4942" t="s">
        <v>32633</v>
      </c>
    </row>
    <row r="4943" spans="1:15" x14ac:dyDescent="0.25">
      <c r="A4943" s="35" t="s">
        <v>8275</v>
      </c>
      <c r="B4943" s="36" t="s">
        <v>8276</v>
      </c>
      <c r="C4943" s="36" t="str">
        <f>HYPERLINK("https://rhld.insurance.arkansas.gov/NPILookup?Npi=1972114981","1972114981")</f>
        <v>1972114981</v>
      </c>
      <c r="D4943" s="36" t="s">
        <v>37120</v>
      </c>
      <c r="E4943" s="36" t="s">
        <v>2</v>
      </c>
      <c r="F4943" s="36">
        <v>1</v>
      </c>
      <c r="G4943" s="36">
        <v>3</v>
      </c>
      <c r="H4943" s="36">
        <v>0</v>
      </c>
      <c r="I4943" s="37">
        <v>0</v>
      </c>
      <c r="J4943" s="36" t="s">
        <v>36190</v>
      </c>
      <c r="K4943" s="36" t="s">
        <v>14330</v>
      </c>
      <c r="L4943" s="36" t="s">
        <v>14330</v>
      </c>
      <c r="M4943">
        <v>1</v>
      </c>
      <c r="N4943" t="s">
        <v>14331</v>
      </c>
      <c r="O4943" t="s">
        <v>14333</v>
      </c>
    </row>
    <row r="4944" spans="1:15" x14ac:dyDescent="0.25">
      <c r="A4944" s="35" t="s">
        <v>8275</v>
      </c>
      <c r="B4944" s="36" t="s">
        <v>8276</v>
      </c>
      <c r="C4944" s="36" t="str">
        <f>HYPERLINK("https://rhld.insurance.arkansas.gov/NPILookup?Npi=1972144608","1972144608")</f>
        <v>1972144608</v>
      </c>
      <c r="D4944" s="36" t="s">
        <v>36148</v>
      </c>
      <c r="E4944" s="36" t="s">
        <v>2</v>
      </c>
      <c r="F4944" s="36">
        <v>1</v>
      </c>
      <c r="G4944" s="36">
        <v>1</v>
      </c>
      <c r="H4944" s="36">
        <v>0</v>
      </c>
      <c r="I4944" s="37">
        <v>0</v>
      </c>
      <c r="J4944" s="36"/>
      <c r="K4944" s="36" t="s">
        <v>14330</v>
      </c>
      <c r="L4944" s="36" t="s">
        <v>14330</v>
      </c>
      <c r="M4944">
        <v>2</v>
      </c>
      <c r="N4944" t="s">
        <v>14331</v>
      </c>
      <c r="O4944" t="s">
        <v>32633</v>
      </c>
    </row>
    <row r="4945" spans="1:15" x14ac:dyDescent="0.25">
      <c r="A4945" s="35" t="s">
        <v>8275</v>
      </c>
      <c r="B4945" s="36" t="s">
        <v>8276</v>
      </c>
      <c r="C4945" s="36" t="str">
        <f>HYPERLINK("https://rhld.insurance.arkansas.gov/NPILookup?Npi=1972157410","1972157410")</f>
        <v>1972157410</v>
      </c>
      <c r="D4945" s="36" t="s">
        <v>37121</v>
      </c>
      <c r="E4945" s="36" t="s">
        <v>2</v>
      </c>
      <c r="F4945" s="36">
        <v>1</v>
      </c>
      <c r="G4945" s="36">
        <v>2</v>
      </c>
      <c r="H4945" s="36">
        <v>0</v>
      </c>
      <c r="I4945" s="37">
        <v>0</v>
      </c>
      <c r="J4945" s="36" t="s">
        <v>36190</v>
      </c>
      <c r="K4945" s="36" t="s">
        <v>14330</v>
      </c>
      <c r="L4945" s="36" t="s">
        <v>14330</v>
      </c>
      <c r="M4945">
        <v>1</v>
      </c>
      <c r="N4945" t="s">
        <v>14331</v>
      </c>
      <c r="O4945" t="s">
        <v>14333</v>
      </c>
    </row>
    <row r="4946" spans="1:15" x14ac:dyDescent="0.25">
      <c r="A4946" s="35" t="s">
        <v>8275</v>
      </c>
      <c r="B4946" s="36" t="s">
        <v>8276</v>
      </c>
      <c r="C4946" s="36" t="str">
        <f>HYPERLINK("https://rhld.insurance.arkansas.gov/NPILookup?Npi=1972180370","1972180370")</f>
        <v>1972180370</v>
      </c>
      <c r="D4946" s="36" t="s">
        <v>36149</v>
      </c>
      <c r="E4946" s="36" t="s">
        <v>2</v>
      </c>
      <c r="F4946" s="36">
        <v>1</v>
      </c>
      <c r="G4946" s="36">
        <v>1</v>
      </c>
      <c r="H4946" s="36">
        <v>0</v>
      </c>
      <c r="I4946" s="37">
        <v>0</v>
      </c>
      <c r="J4946" s="36"/>
      <c r="K4946" s="36" t="s">
        <v>14330</v>
      </c>
      <c r="L4946" s="36" t="s">
        <v>14330</v>
      </c>
      <c r="M4946">
        <v>2</v>
      </c>
      <c r="N4946" t="s">
        <v>14331</v>
      </c>
      <c r="O4946" t="s">
        <v>32633</v>
      </c>
    </row>
    <row r="4947" spans="1:15" x14ac:dyDescent="0.25">
      <c r="A4947" s="35" t="s">
        <v>8275</v>
      </c>
      <c r="B4947" s="36" t="s">
        <v>8276</v>
      </c>
      <c r="C4947" s="36" t="str">
        <f>HYPERLINK("https://rhld.insurance.arkansas.gov/NPILookup?Npi=1972194678","1972194678")</f>
        <v>1972194678</v>
      </c>
      <c r="D4947" s="36" t="s">
        <v>37122</v>
      </c>
      <c r="E4947" s="36" t="s">
        <v>2</v>
      </c>
      <c r="F4947" s="36">
        <v>1</v>
      </c>
      <c r="G4947" s="36">
        <v>2</v>
      </c>
      <c r="H4947" s="36">
        <v>0</v>
      </c>
      <c r="I4947" s="37">
        <v>0</v>
      </c>
      <c r="J4947" s="36" t="s">
        <v>36190</v>
      </c>
      <c r="K4947" s="36" t="s">
        <v>14330</v>
      </c>
      <c r="L4947" s="36" t="s">
        <v>14330</v>
      </c>
      <c r="M4947">
        <v>1</v>
      </c>
      <c r="N4947" t="s">
        <v>14331</v>
      </c>
      <c r="O4947" t="s">
        <v>14333</v>
      </c>
    </row>
    <row r="4948" spans="1:15" x14ac:dyDescent="0.25">
      <c r="A4948" s="35" t="s">
        <v>8275</v>
      </c>
      <c r="B4948" s="36" t="s">
        <v>8276</v>
      </c>
      <c r="C4948" s="36" t="str">
        <f>HYPERLINK("https://rhld.insurance.arkansas.gov/NPILookup?Npi=1972260545","1972260545")</f>
        <v>1972260545</v>
      </c>
      <c r="D4948" s="36" t="s">
        <v>36151</v>
      </c>
      <c r="E4948" s="36" t="s">
        <v>2</v>
      </c>
      <c r="F4948" s="36">
        <v>1</v>
      </c>
      <c r="G4948" s="36">
        <v>1</v>
      </c>
      <c r="H4948" s="36">
        <v>0</v>
      </c>
      <c r="I4948" s="37">
        <v>0</v>
      </c>
      <c r="J4948" s="36"/>
      <c r="K4948" s="36" t="s">
        <v>14330</v>
      </c>
      <c r="L4948" s="36" t="s">
        <v>14330</v>
      </c>
      <c r="M4948">
        <v>1</v>
      </c>
      <c r="N4948" t="s">
        <v>14331</v>
      </c>
      <c r="O4948" t="s">
        <v>32633</v>
      </c>
    </row>
    <row r="4949" spans="1:15" x14ac:dyDescent="0.25">
      <c r="A4949" s="35" t="s">
        <v>8275</v>
      </c>
      <c r="B4949" s="36" t="s">
        <v>8276</v>
      </c>
      <c r="C4949" s="36" t="str">
        <f>HYPERLINK("https://rhld.insurance.arkansas.gov/NPILookup?Npi=1972284107","1972284107")</f>
        <v>1972284107</v>
      </c>
      <c r="D4949" s="36" t="s">
        <v>36152</v>
      </c>
      <c r="E4949" s="36" t="s">
        <v>2</v>
      </c>
      <c r="F4949" s="36">
        <v>1</v>
      </c>
      <c r="G4949" s="36">
        <v>1</v>
      </c>
      <c r="H4949" s="36">
        <v>0</v>
      </c>
      <c r="I4949" s="37">
        <v>0</v>
      </c>
      <c r="J4949" s="36"/>
      <c r="K4949" s="36" t="s">
        <v>14330</v>
      </c>
      <c r="L4949" s="36" t="s">
        <v>14330</v>
      </c>
      <c r="M4949">
        <v>3</v>
      </c>
      <c r="N4949" t="s">
        <v>14331</v>
      </c>
      <c r="O4949" t="s">
        <v>32633</v>
      </c>
    </row>
    <row r="4950" spans="1:15" x14ac:dyDescent="0.25">
      <c r="A4950" s="35" t="s">
        <v>8275</v>
      </c>
      <c r="B4950" s="36" t="s">
        <v>8276</v>
      </c>
      <c r="C4950" s="36" t="str">
        <f>HYPERLINK("https://rhld.insurance.arkansas.gov/NPILookup?Npi=1972373637","1972373637")</f>
        <v>1972373637</v>
      </c>
      <c r="D4950" s="36" t="s">
        <v>37123</v>
      </c>
      <c r="E4950" s="36" t="s">
        <v>2</v>
      </c>
      <c r="F4950" s="36">
        <v>1</v>
      </c>
      <c r="G4950" s="36">
        <v>3</v>
      </c>
      <c r="H4950" s="36">
        <v>0</v>
      </c>
      <c r="I4950" s="37">
        <v>0</v>
      </c>
      <c r="J4950" s="36" t="s">
        <v>36190</v>
      </c>
      <c r="K4950" s="36" t="s">
        <v>14330</v>
      </c>
      <c r="L4950" s="36" t="s">
        <v>14330</v>
      </c>
      <c r="M4950">
        <v>2</v>
      </c>
      <c r="N4950" t="s">
        <v>14331</v>
      </c>
      <c r="O4950" t="s">
        <v>14333</v>
      </c>
    </row>
    <row r="4951" spans="1:15" x14ac:dyDescent="0.25">
      <c r="A4951" s="35" t="s">
        <v>8275</v>
      </c>
      <c r="B4951" s="36" t="s">
        <v>8276</v>
      </c>
      <c r="C4951" s="36" t="str">
        <f>HYPERLINK("https://rhld.insurance.arkansas.gov/NPILookup?Npi=1972508984","1972508984")</f>
        <v>1972508984</v>
      </c>
      <c r="D4951" s="36" t="s">
        <v>37124</v>
      </c>
      <c r="E4951" s="36" t="s">
        <v>2</v>
      </c>
      <c r="F4951" s="36">
        <v>1</v>
      </c>
      <c r="G4951" s="36">
        <v>2</v>
      </c>
      <c r="H4951" s="36">
        <v>0</v>
      </c>
      <c r="I4951" s="37">
        <v>0</v>
      </c>
      <c r="J4951" s="36" t="s">
        <v>36190</v>
      </c>
      <c r="K4951" s="36" t="s">
        <v>14330</v>
      </c>
      <c r="L4951" s="36" t="s">
        <v>14330</v>
      </c>
      <c r="M4951">
        <v>3</v>
      </c>
      <c r="N4951" t="s">
        <v>14331</v>
      </c>
      <c r="O4951" t="s">
        <v>14333</v>
      </c>
    </row>
    <row r="4952" spans="1:15" x14ac:dyDescent="0.25">
      <c r="A4952" s="35" t="s">
        <v>8275</v>
      </c>
      <c r="B4952" s="36" t="s">
        <v>8276</v>
      </c>
      <c r="C4952" s="36" t="str">
        <f>HYPERLINK("https://rhld.insurance.arkansas.gov/NPILookup?Npi=1972567758","1972567758")</f>
        <v>1972567758</v>
      </c>
      <c r="D4952" s="36" t="s">
        <v>37125</v>
      </c>
      <c r="E4952" s="36" t="s">
        <v>2</v>
      </c>
      <c r="F4952" s="36">
        <v>1</v>
      </c>
      <c r="G4952" s="36">
        <v>3</v>
      </c>
      <c r="H4952" s="36">
        <v>0</v>
      </c>
      <c r="I4952" s="37">
        <v>0</v>
      </c>
      <c r="J4952" s="36" t="s">
        <v>36190</v>
      </c>
      <c r="K4952" s="36" t="s">
        <v>14330</v>
      </c>
      <c r="L4952" s="36" t="s">
        <v>14330</v>
      </c>
      <c r="M4952">
        <v>3</v>
      </c>
      <c r="N4952" t="s">
        <v>14331</v>
      </c>
      <c r="O4952" t="s">
        <v>14333</v>
      </c>
    </row>
    <row r="4953" spans="1:15" x14ac:dyDescent="0.25">
      <c r="A4953" s="35" t="s">
        <v>8275</v>
      </c>
      <c r="B4953" s="36" t="s">
        <v>8276</v>
      </c>
      <c r="C4953" s="36" t="str">
        <f>HYPERLINK("https://rhld.insurance.arkansas.gov/NPILookup?Npi=1972582534","1972582534")</f>
        <v>1972582534</v>
      </c>
      <c r="D4953" s="36" t="s">
        <v>37126</v>
      </c>
      <c r="E4953" s="36" t="s">
        <v>2</v>
      </c>
      <c r="F4953" s="36">
        <v>1</v>
      </c>
      <c r="G4953" s="36">
        <v>3</v>
      </c>
      <c r="H4953" s="36">
        <v>0</v>
      </c>
      <c r="I4953" s="37">
        <v>0</v>
      </c>
      <c r="J4953" s="36" t="s">
        <v>36190</v>
      </c>
      <c r="K4953" s="36" t="s">
        <v>14330</v>
      </c>
      <c r="L4953" s="36" t="s">
        <v>14330</v>
      </c>
      <c r="M4953">
        <v>3</v>
      </c>
      <c r="N4953" t="s">
        <v>14331</v>
      </c>
      <c r="O4953" t="s">
        <v>14333</v>
      </c>
    </row>
    <row r="4954" spans="1:15" x14ac:dyDescent="0.25">
      <c r="A4954" s="35" t="s">
        <v>8275</v>
      </c>
      <c r="B4954" s="36" t="s">
        <v>8276</v>
      </c>
      <c r="C4954" s="36" t="str">
        <f>HYPERLINK("https://rhld.insurance.arkansas.gov/NPILookup?Npi=1972598837","1972598837")</f>
        <v>1972598837</v>
      </c>
      <c r="D4954" s="36" t="s">
        <v>37127</v>
      </c>
      <c r="E4954" s="36" t="s">
        <v>2</v>
      </c>
      <c r="F4954" s="36">
        <v>1</v>
      </c>
      <c r="G4954" s="36">
        <v>3</v>
      </c>
      <c r="H4954" s="36">
        <v>0</v>
      </c>
      <c r="I4954" s="37">
        <v>0</v>
      </c>
      <c r="J4954" s="36" t="s">
        <v>36190</v>
      </c>
      <c r="K4954" s="36" t="s">
        <v>14330</v>
      </c>
      <c r="L4954" s="36" t="s">
        <v>14330</v>
      </c>
      <c r="M4954">
        <v>3</v>
      </c>
      <c r="N4954" t="s">
        <v>14331</v>
      </c>
      <c r="O4954" t="s">
        <v>14333</v>
      </c>
    </row>
    <row r="4955" spans="1:15" x14ac:dyDescent="0.25">
      <c r="A4955" s="35" t="s">
        <v>8275</v>
      </c>
      <c r="B4955" s="36" t="s">
        <v>8276</v>
      </c>
      <c r="C4955" s="36" t="str">
        <f>HYPERLINK("https://rhld.insurance.arkansas.gov/NPILookup?Npi=1972855161","1972855161")</f>
        <v>1972855161</v>
      </c>
      <c r="D4955" s="36" t="s">
        <v>37128</v>
      </c>
      <c r="E4955" s="36" t="s">
        <v>2</v>
      </c>
      <c r="F4955" s="36">
        <v>1</v>
      </c>
      <c r="G4955" s="36">
        <v>3</v>
      </c>
      <c r="H4955" s="36">
        <v>0</v>
      </c>
      <c r="I4955" s="37">
        <v>0</v>
      </c>
      <c r="J4955" s="36" t="s">
        <v>36190</v>
      </c>
      <c r="K4955" s="36" t="s">
        <v>14330</v>
      </c>
      <c r="L4955" s="36" t="s">
        <v>14330</v>
      </c>
      <c r="M4955">
        <v>3</v>
      </c>
      <c r="N4955" t="s">
        <v>14331</v>
      </c>
      <c r="O4955" t="s">
        <v>14333</v>
      </c>
    </row>
    <row r="4956" spans="1:15" x14ac:dyDescent="0.25">
      <c r="A4956" s="35" t="s">
        <v>8275</v>
      </c>
      <c r="B4956" s="36" t="s">
        <v>8276</v>
      </c>
      <c r="C4956" s="36" t="str">
        <f>HYPERLINK("https://rhld.insurance.arkansas.gov/NPILookup?Npi=1972859890","1972859890")</f>
        <v>1972859890</v>
      </c>
      <c r="D4956" s="36" t="s">
        <v>37129</v>
      </c>
      <c r="E4956" s="36" t="s">
        <v>1</v>
      </c>
      <c r="F4956" s="36">
        <v>1</v>
      </c>
      <c r="G4956" s="36">
        <v>3</v>
      </c>
      <c r="H4956" s="36">
        <v>0</v>
      </c>
      <c r="I4956" s="37">
        <v>0</v>
      </c>
      <c r="J4956" s="36" t="s">
        <v>32723</v>
      </c>
      <c r="K4956" s="36" t="s">
        <v>14330</v>
      </c>
      <c r="L4956" s="36" t="s">
        <v>14330</v>
      </c>
      <c r="M4956">
        <v>3</v>
      </c>
      <c r="N4956" t="s">
        <v>14331</v>
      </c>
      <c r="O4956" t="s">
        <v>32724</v>
      </c>
    </row>
    <row r="4957" spans="1:15" x14ac:dyDescent="0.25">
      <c r="A4957" s="35" t="s">
        <v>8275</v>
      </c>
      <c r="B4957" s="36" t="s">
        <v>8276</v>
      </c>
      <c r="C4957" s="36" t="str">
        <f>HYPERLINK("https://rhld.insurance.arkansas.gov/NPILookup?Npi=1972888352","1972888352")</f>
        <v>1972888352</v>
      </c>
      <c r="D4957" s="36" t="s">
        <v>37130</v>
      </c>
      <c r="E4957" s="36" t="s">
        <v>2</v>
      </c>
      <c r="F4957" s="36">
        <v>1</v>
      </c>
      <c r="G4957" s="36">
        <v>3</v>
      </c>
      <c r="H4957" s="36">
        <v>0</v>
      </c>
      <c r="I4957" s="37">
        <v>0</v>
      </c>
      <c r="J4957" s="36" t="s">
        <v>36190</v>
      </c>
      <c r="K4957" s="36" t="s">
        <v>14330</v>
      </c>
      <c r="L4957" s="36" t="s">
        <v>14330</v>
      </c>
      <c r="M4957">
        <v>1</v>
      </c>
      <c r="N4957" t="s">
        <v>14331</v>
      </c>
      <c r="O4957" t="s">
        <v>14333</v>
      </c>
    </row>
    <row r="4958" spans="1:15" x14ac:dyDescent="0.25">
      <c r="A4958" s="35" t="s">
        <v>8275</v>
      </c>
      <c r="B4958" s="36" t="s">
        <v>8276</v>
      </c>
      <c r="C4958" s="36" t="str">
        <f>HYPERLINK("https://rhld.insurance.arkansas.gov/NPILookup?Npi=1972928729","1972928729")</f>
        <v>1972928729</v>
      </c>
      <c r="D4958" s="36" t="s">
        <v>37131</v>
      </c>
      <c r="E4958" s="36" t="s">
        <v>2</v>
      </c>
      <c r="F4958" s="36">
        <v>1</v>
      </c>
      <c r="G4958" s="36">
        <v>1</v>
      </c>
      <c r="H4958" s="36">
        <v>0</v>
      </c>
      <c r="I4958" s="37">
        <v>0</v>
      </c>
      <c r="J4958" s="36" t="s">
        <v>32679</v>
      </c>
      <c r="K4958" s="36" t="s">
        <v>14330</v>
      </c>
      <c r="L4958" s="36" t="s">
        <v>14330</v>
      </c>
      <c r="M4958">
        <v>2</v>
      </c>
      <c r="N4958" t="s">
        <v>14331</v>
      </c>
      <c r="O4958" t="s">
        <v>32633</v>
      </c>
    </row>
    <row r="4959" spans="1:15" x14ac:dyDescent="0.25">
      <c r="A4959" s="35" t="s">
        <v>8275</v>
      </c>
      <c r="B4959" s="36" t="s">
        <v>8276</v>
      </c>
      <c r="C4959" s="36" t="str">
        <f>HYPERLINK("https://rhld.insurance.arkansas.gov/NPILookup?Npi=1972932853","1972932853")</f>
        <v>1972932853</v>
      </c>
      <c r="D4959" s="36" t="s">
        <v>37132</v>
      </c>
      <c r="E4959" s="36" t="s">
        <v>2</v>
      </c>
      <c r="F4959" s="36">
        <v>1</v>
      </c>
      <c r="G4959" s="36">
        <v>2</v>
      </c>
      <c r="H4959" s="36">
        <v>0</v>
      </c>
      <c r="I4959" s="37">
        <v>0</v>
      </c>
      <c r="J4959" s="36" t="s">
        <v>36190</v>
      </c>
      <c r="K4959" s="36" t="s">
        <v>14330</v>
      </c>
      <c r="L4959" s="36" t="s">
        <v>14330</v>
      </c>
      <c r="M4959">
        <v>1</v>
      </c>
      <c r="N4959" t="s">
        <v>14331</v>
      </c>
      <c r="O4959" t="s">
        <v>14333</v>
      </c>
    </row>
    <row r="4960" spans="1:15" x14ac:dyDescent="0.25">
      <c r="A4960" s="35" t="s">
        <v>8275</v>
      </c>
      <c r="B4960" s="36" t="s">
        <v>8276</v>
      </c>
      <c r="C4960" s="36" t="str">
        <f>HYPERLINK("https://rhld.insurance.arkansas.gov/NPILookup?Npi=1982048989","1982048989")</f>
        <v>1982048989</v>
      </c>
      <c r="D4960" s="36" t="s">
        <v>37133</v>
      </c>
      <c r="E4960" s="36" t="s">
        <v>1</v>
      </c>
      <c r="F4960" s="36">
        <v>1</v>
      </c>
      <c r="G4960" s="36">
        <v>1</v>
      </c>
      <c r="H4960" s="36">
        <v>0</v>
      </c>
      <c r="I4960" s="37">
        <v>0</v>
      </c>
      <c r="J4960" s="36" t="s">
        <v>32654</v>
      </c>
      <c r="K4960" s="36" t="s">
        <v>14330</v>
      </c>
      <c r="L4960" s="36" t="s">
        <v>14330</v>
      </c>
      <c r="M4960">
        <v>3</v>
      </c>
      <c r="N4960" t="s">
        <v>14331</v>
      </c>
      <c r="O4960" t="s">
        <v>32633</v>
      </c>
    </row>
    <row r="4961" spans="1:15" x14ac:dyDescent="0.25">
      <c r="A4961" s="35" t="s">
        <v>8275</v>
      </c>
      <c r="B4961" s="36" t="s">
        <v>8276</v>
      </c>
      <c r="C4961" s="36" t="str">
        <f>HYPERLINK("https://rhld.insurance.arkansas.gov/NPILookup?Npi=1982117941","1982117941")</f>
        <v>1982117941</v>
      </c>
      <c r="D4961" s="36" t="s">
        <v>37134</v>
      </c>
      <c r="E4961" s="36" t="s">
        <v>2</v>
      </c>
      <c r="F4961" s="36">
        <v>1</v>
      </c>
      <c r="G4961" s="36">
        <v>3</v>
      </c>
      <c r="H4961" s="36">
        <v>0</v>
      </c>
      <c r="I4961" s="37">
        <v>0</v>
      </c>
      <c r="J4961" s="36" t="s">
        <v>36190</v>
      </c>
      <c r="K4961" s="36" t="s">
        <v>14330</v>
      </c>
      <c r="L4961" s="36" t="s">
        <v>14330</v>
      </c>
      <c r="M4961">
        <v>2</v>
      </c>
      <c r="N4961" t="s">
        <v>14331</v>
      </c>
      <c r="O4961" t="s">
        <v>14333</v>
      </c>
    </row>
    <row r="4962" spans="1:15" x14ac:dyDescent="0.25">
      <c r="A4962" s="35" t="s">
        <v>8275</v>
      </c>
      <c r="B4962" s="36" t="s">
        <v>8276</v>
      </c>
      <c r="C4962" s="36" t="str">
        <f>HYPERLINK("https://rhld.insurance.arkansas.gov/NPILookup?Npi=1982138764","1982138764")</f>
        <v>1982138764</v>
      </c>
      <c r="D4962" s="36" t="s">
        <v>37135</v>
      </c>
      <c r="E4962" s="36" t="s">
        <v>2</v>
      </c>
      <c r="F4962" s="36">
        <v>1</v>
      </c>
      <c r="G4962" s="36">
        <v>2</v>
      </c>
      <c r="H4962" s="36">
        <v>0</v>
      </c>
      <c r="I4962" s="37">
        <v>0</v>
      </c>
      <c r="J4962" s="36" t="s">
        <v>36190</v>
      </c>
      <c r="K4962" s="36" t="s">
        <v>14330</v>
      </c>
      <c r="L4962" s="36" t="s">
        <v>14330</v>
      </c>
      <c r="M4962">
        <v>2</v>
      </c>
      <c r="N4962" t="s">
        <v>14331</v>
      </c>
      <c r="O4962" t="s">
        <v>14333</v>
      </c>
    </row>
    <row r="4963" spans="1:15" x14ac:dyDescent="0.25">
      <c r="A4963" s="35" t="s">
        <v>8275</v>
      </c>
      <c r="B4963" s="36" t="s">
        <v>8276</v>
      </c>
      <c r="C4963" s="36" t="str">
        <f>HYPERLINK("https://rhld.insurance.arkansas.gov/NPILookup?Npi=1982165692","1982165692")</f>
        <v>1982165692</v>
      </c>
      <c r="D4963" s="36" t="s">
        <v>33733</v>
      </c>
      <c r="E4963" s="36" t="s">
        <v>2</v>
      </c>
      <c r="F4963" s="36">
        <v>1</v>
      </c>
      <c r="G4963" s="36">
        <v>2</v>
      </c>
      <c r="H4963" s="36">
        <v>0</v>
      </c>
      <c r="I4963" s="37">
        <v>0</v>
      </c>
      <c r="J4963" s="36" t="s">
        <v>36190</v>
      </c>
      <c r="K4963" s="36" t="s">
        <v>14330</v>
      </c>
      <c r="L4963" s="36" t="s">
        <v>14330</v>
      </c>
      <c r="M4963">
        <v>3</v>
      </c>
      <c r="N4963" t="s">
        <v>14331</v>
      </c>
      <c r="O4963" t="s">
        <v>14333</v>
      </c>
    </row>
    <row r="4964" spans="1:15" x14ac:dyDescent="0.25">
      <c r="A4964" s="35" t="s">
        <v>8275</v>
      </c>
      <c r="B4964" s="36" t="s">
        <v>8276</v>
      </c>
      <c r="C4964" s="36" t="str">
        <f>HYPERLINK("https://rhld.insurance.arkansas.gov/NPILookup?Npi=1982378683","1982378683")</f>
        <v>1982378683</v>
      </c>
      <c r="D4964" s="36" t="s">
        <v>37136</v>
      </c>
      <c r="E4964" s="36" t="s">
        <v>2</v>
      </c>
      <c r="F4964" s="36">
        <v>1</v>
      </c>
      <c r="G4964" s="36">
        <v>3</v>
      </c>
      <c r="H4964" s="36">
        <v>0</v>
      </c>
      <c r="I4964" s="37">
        <v>0</v>
      </c>
      <c r="J4964" s="36" t="s">
        <v>36190</v>
      </c>
      <c r="K4964" s="36" t="s">
        <v>14330</v>
      </c>
      <c r="L4964" s="36" t="s">
        <v>14330</v>
      </c>
      <c r="M4964">
        <v>1</v>
      </c>
      <c r="N4964" t="s">
        <v>14331</v>
      </c>
      <c r="O4964" t="s">
        <v>14333</v>
      </c>
    </row>
    <row r="4965" spans="1:15" x14ac:dyDescent="0.25">
      <c r="A4965" s="35" t="s">
        <v>8275</v>
      </c>
      <c r="B4965" s="36" t="s">
        <v>8276</v>
      </c>
      <c r="C4965" s="36" t="str">
        <f>HYPERLINK("https://rhld.insurance.arkansas.gov/NPILookup?Npi=1982385118","1982385118")</f>
        <v>1982385118</v>
      </c>
      <c r="D4965" s="36" t="s">
        <v>36166</v>
      </c>
      <c r="E4965" s="36" t="s">
        <v>2</v>
      </c>
      <c r="F4965" s="36">
        <v>1</v>
      </c>
      <c r="G4965" s="36">
        <v>1</v>
      </c>
      <c r="H4965" s="36">
        <v>0</v>
      </c>
      <c r="I4965" s="37">
        <v>0</v>
      </c>
      <c r="J4965" s="36"/>
      <c r="K4965" s="36" t="s">
        <v>14330</v>
      </c>
      <c r="L4965" s="36" t="s">
        <v>14330</v>
      </c>
      <c r="M4965">
        <v>3</v>
      </c>
      <c r="N4965" t="s">
        <v>14331</v>
      </c>
      <c r="O4965" t="s">
        <v>32633</v>
      </c>
    </row>
    <row r="4966" spans="1:15" x14ac:dyDescent="0.25">
      <c r="A4966" s="35" t="s">
        <v>8275</v>
      </c>
      <c r="B4966" s="36" t="s">
        <v>8276</v>
      </c>
      <c r="C4966" s="36" t="str">
        <f>HYPERLINK("https://rhld.insurance.arkansas.gov/NPILookup?Npi=1982398186","1982398186")</f>
        <v>1982398186</v>
      </c>
      <c r="D4966" s="36" t="s">
        <v>37137</v>
      </c>
      <c r="E4966" s="36" t="s">
        <v>2</v>
      </c>
      <c r="F4966" s="36">
        <v>1</v>
      </c>
      <c r="G4966" s="36">
        <v>3</v>
      </c>
      <c r="H4966" s="36">
        <v>0</v>
      </c>
      <c r="I4966" s="37">
        <v>0</v>
      </c>
      <c r="J4966" s="36" t="s">
        <v>36190</v>
      </c>
      <c r="K4966" s="36" t="s">
        <v>14330</v>
      </c>
      <c r="L4966" s="36" t="s">
        <v>14330</v>
      </c>
      <c r="M4966">
        <v>2</v>
      </c>
      <c r="N4966" t="s">
        <v>14331</v>
      </c>
      <c r="O4966" t="s">
        <v>14333</v>
      </c>
    </row>
    <row r="4967" spans="1:15" x14ac:dyDescent="0.25">
      <c r="A4967" s="35" t="s">
        <v>8275</v>
      </c>
      <c r="B4967" s="36" t="s">
        <v>8276</v>
      </c>
      <c r="C4967" s="36" t="str">
        <f>HYPERLINK("https://rhld.insurance.arkansas.gov/NPILookup?Npi=1982417234","1982417234")</f>
        <v>1982417234</v>
      </c>
      <c r="D4967" s="36" t="s">
        <v>36167</v>
      </c>
      <c r="E4967" s="36" t="s">
        <v>2</v>
      </c>
      <c r="F4967" s="36">
        <v>1</v>
      </c>
      <c r="G4967" s="36">
        <v>2</v>
      </c>
      <c r="H4967" s="36">
        <v>0</v>
      </c>
      <c r="I4967" s="37">
        <v>0</v>
      </c>
      <c r="J4967" s="36"/>
      <c r="K4967" s="36" t="s">
        <v>14330</v>
      </c>
      <c r="L4967" s="36" t="s">
        <v>14330</v>
      </c>
      <c r="M4967">
        <v>2</v>
      </c>
      <c r="N4967" t="s">
        <v>14331</v>
      </c>
      <c r="O4967" t="s">
        <v>14333</v>
      </c>
    </row>
    <row r="4968" spans="1:15" x14ac:dyDescent="0.25">
      <c r="A4968" s="35" t="s">
        <v>8275</v>
      </c>
      <c r="B4968" s="36" t="s">
        <v>8276</v>
      </c>
      <c r="C4968" s="36" t="str">
        <f>HYPERLINK("https://rhld.insurance.arkansas.gov/NPILookup?Npi=1982418984","1982418984")</f>
        <v>1982418984</v>
      </c>
      <c r="D4968" s="36" t="s">
        <v>34501</v>
      </c>
      <c r="E4968" s="36" t="s">
        <v>2</v>
      </c>
      <c r="F4968" s="36">
        <v>1</v>
      </c>
      <c r="G4968" s="36">
        <v>2</v>
      </c>
      <c r="H4968" s="36">
        <v>0</v>
      </c>
      <c r="I4968" s="37">
        <v>0</v>
      </c>
      <c r="J4968" s="36"/>
      <c r="K4968" s="36" t="s">
        <v>14330</v>
      </c>
      <c r="L4968" s="36" t="s">
        <v>14330</v>
      </c>
      <c r="M4968">
        <v>1</v>
      </c>
      <c r="N4968" t="s">
        <v>14331</v>
      </c>
      <c r="O4968" t="s">
        <v>14333</v>
      </c>
    </row>
    <row r="4969" spans="1:15" x14ac:dyDescent="0.25">
      <c r="A4969" s="35" t="s">
        <v>8275</v>
      </c>
      <c r="B4969" s="36" t="s">
        <v>8276</v>
      </c>
      <c r="C4969" s="36" t="str">
        <f>HYPERLINK("https://rhld.insurance.arkansas.gov/NPILookup?Npi=1982424420","1982424420")</f>
        <v>1982424420</v>
      </c>
      <c r="D4969" s="36" t="s">
        <v>36168</v>
      </c>
      <c r="E4969" s="36" t="s">
        <v>2</v>
      </c>
      <c r="F4969" s="36">
        <v>1</v>
      </c>
      <c r="G4969" s="36">
        <v>1</v>
      </c>
      <c r="H4969" s="36">
        <v>0</v>
      </c>
      <c r="I4969" s="37">
        <v>0</v>
      </c>
      <c r="J4969" s="36"/>
      <c r="K4969" s="36" t="s">
        <v>14330</v>
      </c>
      <c r="L4969" s="36" t="s">
        <v>14330</v>
      </c>
      <c r="M4969">
        <v>3</v>
      </c>
      <c r="N4969" t="s">
        <v>14331</v>
      </c>
      <c r="O4969" t="s">
        <v>32633</v>
      </c>
    </row>
    <row r="4970" spans="1:15" x14ac:dyDescent="0.25">
      <c r="A4970" s="35" t="s">
        <v>8275</v>
      </c>
      <c r="B4970" s="36" t="s">
        <v>8276</v>
      </c>
      <c r="C4970" s="36" t="str">
        <f>HYPERLINK("https://rhld.insurance.arkansas.gov/NPILookup?Npi=1982604385","1982604385")</f>
        <v>1982604385</v>
      </c>
      <c r="D4970" s="36" t="s">
        <v>37138</v>
      </c>
      <c r="E4970" s="36" t="s">
        <v>2</v>
      </c>
      <c r="F4970" s="36">
        <v>1</v>
      </c>
      <c r="G4970" s="36">
        <v>3</v>
      </c>
      <c r="H4970" s="36">
        <v>0</v>
      </c>
      <c r="I4970" s="37">
        <v>0</v>
      </c>
      <c r="J4970" s="36" t="s">
        <v>36190</v>
      </c>
      <c r="K4970" s="36" t="s">
        <v>14330</v>
      </c>
      <c r="L4970" s="36" t="s">
        <v>14330</v>
      </c>
      <c r="M4970">
        <v>2</v>
      </c>
      <c r="N4970" t="s">
        <v>14331</v>
      </c>
      <c r="O4970" t="s">
        <v>14333</v>
      </c>
    </row>
    <row r="4971" spans="1:15" x14ac:dyDescent="0.25">
      <c r="A4971" s="35" t="s">
        <v>8275</v>
      </c>
      <c r="B4971" s="36" t="s">
        <v>8276</v>
      </c>
      <c r="C4971" s="36" t="str">
        <f>HYPERLINK("https://rhld.insurance.arkansas.gov/NPILookup?Npi=1982616231","1982616231")</f>
        <v>1982616231</v>
      </c>
      <c r="D4971" s="36" t="s">
        <v>37139</v>
      </c>
      <c r="E4971" s="36" t="s">
        <v>2</v>
      </c>
      <c r="F4971" s="36">
        <v>1</v>
      </c>
      <c r="G4971" s="36">
        <v>2</v>
      </c>
      <c r="H4971" s="36">
        <v>0</v>
      </c>
      <c r="I4971" s="37">
        <v>0</v>
      </c>
      <c r="J4971" s="36" t="s">
        <v>36190</v>
      </c>
      <c r="K4971" s="36" t="s">
        <v>14330</v>
      </c>
      <c r="L4971" s="36" t="s">
        <v>14330</v>
      </c>
      <c r="M4971">
        <v>3</v>
      </c>
      <c r="N4971" t="s">
        <v>14331</v>
      </c>
      <c r="O4971" t="s">
        <v>14333</v>
      </c>
    </row>
    <row r="4972" spans="1:15" x14ac:dyDescent="0.25">
      <c r="A4972" s="35" t="s">
        <v>8275</v>
      </c>
      <c r="B4972" s="36" t="s">
        <v>8276</v>
      </c>
      <c r="C4972" s="36" t="str">
        <f>HYPERLINK("https://rhld.insurance.arkansas.gov/NPILookup?Npi=1982698965","1982698965")</f>
        <v>1982698965</v>
      </c>
      <c r="D4972" s="36" t="s">
        <v>37140</v>
      </c>
      <c r="E4972" s="36" t="s">
        <v>2</v>
      </c>
      <c r="F4972" s="36">
        <v>1</v>
      </c>
      <c r="G4972" s="36">
        <v>3</v>
      </c>
      <c r="H4972" s="36">
        <v>0</v>
      </c>
      <c r="I4972" s="37">
        <v>0</v>
      </c>
      <c r="J4972" s="36" t="s">
        <v>36190</v>
      </c>
      <c r="K4972" s="36" t="s">
        <v>14330</v>
      </c>
      <c r="L4972" s="36" t="s">
        <v>14330</v>
      </c>
      <c r="M4972">
        <v>2</v>
      </c>
      <c r="N4972" t="s">
        <v>14331</v>
      </c>
      <c r="O4972" t="s">
        <v>14333</v>
      </c>
    </row>
    <row r="4973" spans="1:15" x14ac:dyDescent="0.25">
      <c r="A4973" s="35" t="s">
        <v>8275</v>
      </c>
      <c r="B4973" s="36" t="s">
        <v>8276</v>
      </c>
      <c r="C4973" s="36" t="str">
        <f>HYPERLINK("https://rhld.insurance.arkansas.gov/NPILookup?Npi=1982990214","1982990214")</f>
        <v>1982990214</v>
      </c>
      <c r="D4973" s="36" t="s">
        <v>36175</v>
      </c>
      <c r="E4973" s="36" t="s">
        <v>2</v>
      </c>
      <c r="F4973" s="36">
        <v>1</v>
      </c>
      <c r="G4973" s="36">
        <v>2</v>
      </c>
      <c r="H4973" s="36">
        <v>0</v>
      </c>
      <c r="I4973" s="37">
        <v>0</v>
      </c>
      <c r="J4973" s="36"/>
      <c r="K4973" s="36" t="s">
        <v>14330</v>
      </c>
      <c r="L4973" s="36" t="s">
        <v>14330</v>
      </c>
      <c r="M4973">
        <v>1</v>
      </c>
      <c r="N4973" t="s">
        <v>14331</v>
      </c>
      <c r="O4973" t="s">
        <v>14333</v>
      </c>
    </row>
    <row r="4974" spans="1:15" x14ac:dyDescent="0.25">
      <c r="A4974" s="35" t="s">
        <v>8275</v>
      </c>
      <c r="B4974" s="36" t="s">
        <v>8276</v>
      </c>
      <c r="C4974" s="36" t="str">
        <f>HYPERLINK("https://rhld.insurance.arkansas.gov/NPILookup?Npi=1992026751","1992026751")</f>
        <v>1992026751</v>
      </c>
      <c r="D4974" s="36" t="s">
        <v>36177</v>
      </c>
      <c r="E4974" s="36" t="s">
        <v>2</v>
      </c>
      <c r="F4974" s="36">
        <v>1</v>
      </c>
      <c r="G4974" s="36">
        <v>1</v>
      </c>
      <c r="H4974" s="36">
        <v>0</v>
      </c>
      <c r="I4974" s="37">
        <v>0</v>
      </c>
      <c r="J4974" s="36"/>
      <c r="K4974" s="36" t="s">
        <v>14330</v>
      </c>
      <c r="L4974" s="36" t="s">
        <v>14330</v>
      </c>
      <c r="M4974">
        <v>2</v>
      </c>
      <c r="N4974" t="s">
        <v>14331</v>
      </c>
      <c r="O4974" t="s">
        <v>32633</v>
      </c>
    </row>
    <row r="4975" spans="1:15" x14ac:dyDescent="0.25">
      <c r="A4975" s="35" t="s">
        <v>8275</v>
      </c>
      <c r="B4975" s="36" t="s">
        <v>8276</v>
      </c>
      <c r="C4975" s="36" t="str">
        <f>HYPERLINK("https://rhld.insurance.arkansas.gov/NPILookup?Npi=1992111546","1992111546")</f>
        <v>1992111546</v>
      </c>
      <c r="D4975" s="36" t="s">
        <v>37141</v>
      </c>
      <c r="E4975" s="36" t="s">
        <v>2</v>
      </c>
      <c r="F4975" s="36">
        <v>1</v>
      </c>
      <c r="G4975" s="36">
        <v>2</v>
      </c>
      <c r="H4975" s="36">
        <v>0</v>
      </c>
      <c r="I4975" s="37">
        <v>0</v>
      </c>
      <c r="J4975" s="36" t="s">
        <v>36190</v>
      </c>
      <c r="K4975" s="36" t="s">
        <v>14330</v>
      </c>
      <c r="L4975" s="36" t="s">
        <v>14330</v>
      </c>
      <c r="M4975">
        <v>3</v>
      </c>
      <c r="N4975" t="s">
        <v>14331</v>
      </c>
      <c r="O4975" t="s">
        <v>14333</v>
      </c>
    </row>
    <row r="4976" spans="1:15" x14ac:dyDescent="0.25">
      <c r="A4976" s="35" t="s">
        <v>8275</v>
      </c>
      <c r="B4976" s="36" t="s">
        <v>8276</v>
      </c>
      <c r="C4976" s="36" t="str">
        <f>HYPERLINK("https://rhld.insurance.arkansas.gov/NPILookup?Npi=1992125595","1992125595")</f>
        <v>1992125595</v>
      </c>
      <c r="D4976" s="36" t="s">
        <v>37142</v>
      </c>
      <c r="E4976" s="36" t="s">
        <v>2</v>
      </c>
      <c r="F4976" s="36">
        <v>1</v>
      </c>
      <c r="G4976" s="36">
        <v>3</v>
      </c>
      <c r="H4976" s="36">
        <v>0</v>
      </c>
      <c r="I4976" s="37">
        <v>0</v>
      </c>
      <c r="J4976" s="36" t="s">
        <v>36190</v>
      </c>
      <c r="K4976" s="36" t="s">
        <v>14330</v>
      </c>
      <c r="L4976" s="36" t="s">
        <v>14330</v>
      </c>
      <c r="M4976">
        <v>1</v>
      </c>
      <c r="N4976" t="s">
        <v>14331</v>
      </c>
      <c r="O4976" t="s">
        <v>14333</v>
      </c>
    </row>
    <row r="4977" spans="1:15" x14ac:dyDescent="0.25">
      <c r="A4977" s="35" t="s">
        <v>8275</v>
      </c>
      <c r="B4977" s="36" t="s">
        <v>8276</v>
      </c>
      <c r="C4977" s="36" t="str">
        <f>HYPERLINK("https://rhld.insurance.arkansas.gov/NPILookup?Npi=1992146955","1992146955")</f>
        <v>1992146955</v>
      </c>
      <c r="D4977" s="36" t="s">
        <v>37143</v>
      </c>
      <c r="E4977" s="36" t="s">
        <v>1</v>
      </c>
      <c r="F4977" s="36">
        <v>1</v>
      </c>
      <c r="G4977" s="36">
        <v>1</v>
      </c>
      <c r="H4977" s="36">
        <v>0</v>
      </c>
      <c r="I4977" s="37">
        <v>0</v>
      </c>
      <c r="J4977" s="36" t="s">
        <v>32654</v>
      </c>
      <c r="K4977" s="36" t="s">
        <v>14330</v>
      </c>
      <c r="L4977" s="36" t="s">
        <v>14330</v>
      </c>
      <c r="M4977">
        <v>3</v>
      </c>
      <c r="N4977" t="s">
        <v>14331</v>
      </c>
      <c r="O4977" t="s">
        <v>32633</v>
      </c>
    </row>
    <row r="4978" spans="1:15" x14ac:dyDescent="0.25">
      <c r="A4978" s="35" t="s">
        <v>8275</v>
      </c>
      <c r="B4978" s="36" t="s">
        <v>8276</v>
      </c>
      <c r="C4978" s="36" t="str">
        <f>HYPERLINK("https://rhld.insurance.arkansas.gov/NPILookup?Npi=1992214407","1992214407")</f>
        <v>1992214407</v>
      </c>
      <c r="D4978" s="36" t="s">
        <v>37144</v>
      </c>
      <c r="E4978" s="36" t="s">
        <v>2</v>
      </c>
      <c r="F4978" s="36">
        <v>1</v>
      </c>
      <c r="G4978" s="36">
        <v>3</v>
      </c>
      <c r="H4978" s="36">
        <v>0</v>
      </c>
      <c r="I4978" s="37">
        <v>0</v>
      </c>
      <c r="J4978" s="36" t="s">
        <v>36190</v>
      </c>
      <c r="K4978" s="36" t="s">
        <v>14330</v>
      </c>
      <c r="L4978" s="36" t="s">
        <v>14330</v>
      </c>
      <c r="M4978">
        <v>1</v>
      </c>
      <c r="N4978" t="s">
        <v>14331</v>
      </c>
      <c r="O4978" t="s">
        <v>14333</v>
      </c>
    </row>
    <row r="4979" spans="1:15" x14ac:dyDescent="0.25">
      <c r="A4979" s="35" t="s">
        <v>8275</v>
      </c>
      <c r="B4979" s="36" t="s">
        <v>8276</v>
      </c>
      <c r="C4979" s="36" t="str">
        <f>HYPERLINK("https://rhld.insurance.arkansas.gov/NPILookup?Npi=1992313159","1992313159")</f>
        <v>1992313159</v>
      </c>
      <c r="D4979" s="36" t="s">
        <v>36180</v>
      </c>
      <c r="E4979" s="36" t="s">
        <v>2</v>
      </c>
      <c r="F4979" s="36">
        <v>1</v>
      </c>
      <c r="G4979" s="36">
        <v>1</v>
      </c>
      <c r="H4979" s="36">
        <v>0</v>
      </c>
      <c r="I4979" s="37">
        <v>0</v>
      </c>
      <c r="J4979" s="36"/>
      <c r="K4979" s="36" t="s">
        <v>14330</v>
      </c>
      <c r="L4979" s="36" t="s">
        <v>14330</v>
      </c>
      <c r="M4979">
        <v>3</v>
      </c>
      <c r="N4979" t="s">
        <v>14331</v>
      </c>
      <c r="O4979" t="s">
        <v>32633</v>
      </c>
    </row>
    <row r="4980" spans="1:15" x14ac:dyDescent="0.25">
      <c r="A4980" s="35" t="s">
        <v>8275</v>
      </c>
      <c r="B4980" s="36" t="s">
        <v>8276</v>
      </c>
      <c r="C4980" s="36" t="str">
        <f>HYPERLINK("https://rhld.insurance.arkansas.gov/NPILookup?Npi=1992323083","1992323083")</f>
        <v>1992323083</v>
      </c>
      <c r="D4980" s="36" t="s">
        <v>37145</v>
      </c>
      <c r="E4980" s="36" t="s">
        <v>2</v>
      </c>
      <c r="F4980" s="36">
        <v>1</v>
      </c>
      <c r="G4980" s="36">
        <v>3</v>
      </c>
      <c r="H4980" s="36">
        <v>0</v>
      </c>
      <c r="I4980" s="37">
        <v>0</v>
      </c>
      <c r="J4980" s="36" t="s">
        <v>36190</v>
      </c>
      <c r="K4980" s="36" t="s">
        <v>14330</v>
      </c>
      <c r="L4980" s="36" t="s">
        <v>14330</v>
      </c>
      <c r="M4980">
        <v>3</v>
      </c>
      <c r="N4980" t="s">
        <v>14331</v>
      </c>
      <c r="O4980" t="s">
        <v>14333</v>
      </c>
    </row>
    <row r="4981" spans="1:15" x14ac:dyDescent="0.25">
      <c r="A4981" s="35" t="s">
        <v>8275</v>
      </c>
      <c r="B4981" s="36" t="s">
        <v>8276</v>
      </c>
      <c r="C4981" s="36" t="str">
        <f>HYPERLINK("https://rhld.insurance.arkansas.gov/NPILookup?Npi=1992331714","1992331714")</f>
        <v>1992331714</v>
      </c>
      <c r="D4981" s="36" t="s">
        <v>37146</v>
      </c>
      <c r="E4981" s="36" t="s">
        <v>2</v>
      </c>
      <c r="F4981" s="36">
        <v>1</v>
      </c>
      <c r="G4981" s="36">
        <v>3</v>
      </c>
      <c r="H4981" s="36">
        <v>0</v>
      </c>
      <c r="I4981" s="37">
        <v>0</v>
      </c>
      <c r="J4981" s="36" t="s">
        <v>36190</v>
      </c>
      <c r="K4981" s="36" t="s">
        <v>14330</v>
      </c>
      <c r="L4981" s="36" t="s">
        <v>14330</v>
      </c>
      <c r="M4981">
        <v>3</v>
      </c>
      <c r="N4981" t="s">
        <v>14331</v>
      </c>
      <c r="O4981" t="s">
        <v>14333</v>
      </c>
    </row>
    <row r="4982" spans="1:15" x14ac:dyDescent="0.25">
      <c r="A4982" s="35" t="s">
        <v>8275</v>
      </c>
      <c r="B4982" s="36" t="s">
        <v>8276</v>
      </c>
      <c r="C4982" s="36" t="str">
        <f>HYPERLINK("https://rhld.insurance.arkansas.gov/NPILookup?Npi=1992350730","1992350730")</f>
        <v>1992350730</v>
      </c>
      <c r="D4982" s="36" t="s">
        <v>37147</v>
      </c>
      <c r="E4982" s="36" t="s">
        <v>2</v>
      </c>
      <c r="F4982" s="36">
        <v>1</v>
      </c>
      <c r="G4982" s="36">
        <v>3</v>
      </c>
      <c r="H4982" s="36">
        <v>0</v>
      </c>
      <c r="I4982" s="37">
        <v>0</v>
      </c>
      <c r="J4982" s="36" t="s">
        <v>36190</v>
      </c>
      <c r="K4982" s="36" t="s">
        <v>14330</v>
      </c>
      <c r="L4982" s="36" t="s">
        <v>14330</v>
      </c>
      <c r="M4982">
        <v>3</v>
      </c>
      <c r="N4982" t="s">
        <v>14331</v>
      </c>
      <c r="O4982" t="s">
        <v>14333</v>
      </c>
    </row>
    <row r="4983" spans="1:15" x14ac:dyDescent="0.25">
      <c r="A4983" s="35" t="s">
        <v>8275</v>
      </c>
      <c r="B4983" s="36" t="s">
        <v>8276</v>
      </c>
      <c r="C4983" s="36" t="str">
        <f>HYPERLINK("https://rhld.insurance.arkansas.gov/NPILookup?Npi=1992395966","1992395966")</f>
        <v>1992395966</v>
      </c>
      <c r="D4983" s="36" t="s">
        <v>37148</v>
      </c>
      <c r="E4983" s="36" t="s">
        <v>2</v>
      </c>
      <c r="F4983" s="36">
        <v>1</v>
      </c>
      <c r="G4983" s="36">
        <v>3</v>
      </c>
      <c r="H4983" s="36">
        <v>0</v>
      </c>
      <c r="I4983" s="37">
        <v>0</v>
      </c>
      <c r="J4983" s="36" t="s">
        <v>36190</v>
      </c>
      <c r="K4983" s="36" t="s">
        <v>14330</v>
      </c>
      <c r="L4983" s="36" t="s">
        <v>14330</v>
      </c>
      <c r="M4983">
        <v>3</v>
      </c>
      <c r="N4983" t="s">
        <v>14331</v>
      </c>
      <c r="O4983" t="s">
        <v>14333</v>
      </c>
    </row>
    <row r="4984" spans="1:15" x14ac:dyDescent="0.25">
      <c r="A4984" s="35" t="s">
        <v>8275</v>
      </c>
      <c r="B4984" s="36" t="s">
        <v>8276</v>
      </c>
      <c r="C4984" s="36" t="str">
        <f>HYPERLINK("https://rhld.insurance.arkansas.gov/NPILookup?Npi=1992423602","1992423602")</f>
        <v>1992423602</v>
      </c>
      <c r="D4984" s="36" t="s">
        <v>37149</v>
      </c>
      <c r="E4984" s="36" t="s">
        <v>2</v>
      </c>
      <c r="F4984" s="36">
        <v>1</v>
      </c>
      <c r="G4984" s="36">
        <v>3</v>
      </c>
      <c r="H4984" s="36">
        <v>0</v>
      </c>
      <c r="I4984" s="37">
        <v>0</v>
      </c>
      <c r="J4984" s="36" t="s">
        <v>36190</v>
      </c>
      <c r="K4984" s="36" t="s">
        <v>14330</v>
      </c>
      <c r="L4984" s="36" t="s">
        <v>14330</v>
      </c>
      <c r="M4984">
        <v>1</v>
      </c>
      <c r="N4984" t="s">
        <v>14331</v>
      </c>
      <c r="O4984" t="s">
        <v>14333</v>
      </c>
    </row>
    <row r="4985" spans="1:15" x14ac:dyDescent="0.25">
      <c r="A4985" s="35" t="s">
        <v>8275</v>
      </c>
      <c r="B4985" s="36" t="s">
        <v>8276</v>
      </c>
      <c r="C4985" s="36" t="str">
        <f>HYPERLINK("https://rhld.insurance.arkansas.gov/NPILookup?Npi=1992486161","1992486161")</f>
        <v>1992486161</v>
      </c>
      <c r="D4985" s="36" t="s">
        <v>36181</v>
      </c>
      <c r="E4985" s="36" t="s">
        <v>2</v>
      </c>
      <c r="F4985" s="36">
        <v>1</v>
      </c>
      <c r="G4985" s="36">
        <v>1</v>
      </c>
      <c r="H4985" s="36">
        <v>0</v>
      </c>
      <c r="I4985" s="37">
        <v>0</v>
      </c>
      <c r="J4985" s="36"/>
      <c r="K4985" s="36" t="s">
        <v>14330</v>
      </c>
      <c r="L4985" s="36" t="s">
        <v>14330</v>
      </c>
      <c r="M4985">
        <v>2</v>
      </c>
      <c r="N4985" t="s">
        <v>14331</v>
      </c>
      <c r="O4985" t="s">
        <v>32633</v>
      </c>
    </row>
    <row r="4986" spans="1:15" x14ac:dyDescent="0.25">
      <c r="A4986" s="35" t="s">
        <v>8275</v>
      </c>
      <c r="B4986" s="36" t="s">
        <v>8276</v>
      </c>
      <c r="C4986" s="36" t="str">
        <f>HYPERLINK("https://rhld.insurance.arkansas.gov/NPILookup?Npi=1992518245","1992518245")</f>
        <v>1992518245</v>
      </c>
      <c r="D4986" s="36" t="s">
        <v>36182</v>
      </c>
      <c r="E4986" s="36" t="s">
        <v>2</v>
      </c>
      <c r="F4986" s="36">
        <v>1</v>
      </c>
      <c r="G4986" s="36">
        <v>2</v>
      </c>
      <c r="H4986" s="36">
        <v>0</v>
      </c>
      <c r="I4986" s="37">
        <v>0</v>
      </c>
      <c r="J4986" s="36"/>
      <c r="K4986" s="36" t="s">
        <v>14330</v>
      </c>
      <c r="L4986" s="36" t="s">
        <v>14330</v>
      </c>
      <c r="M4986">
        <v>2</v>
      </c>
      <c r="N4986" t="s">
        <v>14331</v>
      </c>
      <c r="O4986" t="s">
        <v>14333</v>
      </c>
    </row>
    <row r="4987" spans="1:15" x14ac:dyDescent="0.25">
      <c r="A4987" s="35" t="s">
        <v>8275</v>
      </c>
      <c r="B4987" s="36" t="s">
        <v>8276</v>
      </c>
      <c r="C4987" s="36" t="str">
        <f>HYPERLINK("https://rhld.insurance.arkansas.gov/NPILookup?Npi=1992523864","1992523864")</f>
        <v>1992523864</v>
      </c>
      <c r="D4987" s="36" t="s">
        <v>34504</v>
      </c>
      <c r="E4987" s="36" t="s">
        <v>2</v>
      </c>
      <c r="F4987" s="36">
        <v>1</v>
      </c>
      <c r="G4987" s="36">
        <v>2</v>
      </c>
      <c r="H4987" s="36">
        <v>0</v>
      </c>
      <c r="I4987" s="37">
        <v>0</v>
      </c>
      <c r="J4987" s="36"/>
      <c r="K4987" s="36" t="s">
        <v>14330</v>
      </c>
      <c r="L4987" s="36" t="s">
        <v>14330</v>
      </c>
      <c r="M4987">
        <v>2</v>
      </c>
      <c r="N4987" t="s">
        <v>14331</v>
      </c>
      <c r="O4987" t="s">
        <v>14333</v>
      </c>
    </row>
    <row r="4988" spans="1:15" x14ac:dyDescent="0.25">
      <c r="A4988" s="35" t="s">
        <v>8275</v>
      </c>
      <c r="B4988" s="36" t="s">
        <v>8276</v>
      </c>
      <c r="C4988" s="36" t="str">
        <f>HYPERLINK("https://rhld.insurance.arkansas.gov/NPILookup?Npi=1992533285","1992533285")</f>
        <v>1992533285</v>
      </c>
      <c r="D4988" s="36" t="s">
        <v>31281</v>
      </c>
      <c r="E4988" s="36" t="s">
        <v>2</v>
      </c>
      <c r="F4988" s="36">
        <v>1</v>
      </c>
      <c r="G4988" s="36">
        <v>2</v>
      </c>
      <c r="H4988" s="36">
        <v>0</v>
      </c>
      <c r="I4988" s="37">
        <v>0</v>
      </c>
      <c r="J4988" s="36" t="s">
        <v>36190</v>
      </c>
      <c r="K4988" s="36" t="s">
        <v>14330</v>
      </c>
      <c r="L4988" s="36" t="s">
        <v>14330</v>
      </c>
      <c r="M4988">
        <v>1</v>
      </c>
      <c r="N4988" t="s">
        <v>14331</v>
      </c>
      <c r="O4988" t="s">
        <v>14333</v>
      </c>
    </row>
    <row r="4989" spans="1:15" x14ac:dyDescent="0.25">
      <c r="A4989" s="35" t="s">
        <v>8275</v>
      </c>
      <c r="B4989" s="36" t="s">
        <v>8276</v>
      </c>
      <c r="C4989" s="36" t="str">
        <f>HYPERLINK("https://rhld.insurance.arkansas.gov/NPILookup?Npi=1992542450","1992542450")</f>
        <v>1992542450</v>
      </c>
      <c r="D4989" s="36" t="s">
        <v>36183</v>
      </c>
      <c r="E4989" s="36" t="s">
        <v>2</v>
      </c>
      <c r="F4989" s="36">
        <v>1</v>
      </c>
      <c r="G4989" s="36">
        <v>1</v>
      </c>
      <c r="H4989" s="36">
        <v>0</v>
      </c>
      <c r="I4989" s="37">
        <v>0</v>
      </c>
      <c r="J4989" s="36"/>
      <c r="K4989" s="36" t="s">
        <v>14330</v>
      </c>
      <c r="L4989" s="36" t="s">
        <v>14330</v>
      </c>
      <c r="M4989">
        <v>3</v>
      </c>
      <c r="N4989" t="s">
        <v>14331</v>
      </c>
      <c r="O4989" t="s">
        <v>32633</v>
      </c>
    </row>
    <row r="4990" spans="1:15" x14ac:dyDescent="0.25">
      <c r="A4990" s="35" t="s">
        <v>8275</v>
      </c>
      <c r="B4990" s="36" t="s">
        <v>8276</v>
      </c>
      <c r="C4990" s="36" t="str">
        <f>HYPERLINK("https://rhld.insurance.arkansas.gov/NPILookup?Npi=1992733422","1992733422")</f>
        <v>1992733422</v>
      </c>
      <c r="D4990" s="36" t="s">
        <v>33476</v>
      </c>
      <c r="E4990" s="36" t="s">
        <v>2</v>
      </c>
      <c r="F4990" s="36">
        <v>1</v>
      </c>
      <c r="G4990" s="36">
        <v>3</v>
      </c>
      <c r="H4990" s="36">
        <v>0</v>
      </c>
      <c r="I4990" s="37">
        <v>0</v>
      </c>
      <c r="J4990" s="36" t="s">
        <v>36190</v>
      </c>
      <c r="K4990" s="36" t="s">
        <v>14330</v>
      </c>
      <c r="L4990" s="36" t="s">
        <v>14330</v>
      </c>
      <c r="M4990">
        <v>3</v>
      </c>
      <c r="N4990" t="s">
        <v>14331</v>
      </c>
      <c r="O4990" t="s">
        <v>14333</v>
      </c>
    </row>
    <row r="4991" spans="1:15" x14ac:dyDescent="0.25">
      <c r="A4991" s="35" t="s">
        <v>8275</v>
      </c>
      <c r="B4991" s="36" t="s">
        <v>8276</v>
      </c>
      <c r="C4991" s="36" t="str">
        <f>HYPERLINK("https://rhld.insurance.arkansas.gov/NPILookup?Npi=1992761860","1992761860")</f>
        <v>1992761860</v>
      </c>
      <c r="D4991" s="36" t="s">
        <v>37150</v>
      </c>
      <c r="E4991" s="36" t="s">
        <v>2</v>
      </c>
      <c r="F4991" s="36">
        <v>1</v>
      </c>
      <c r="G4991" s="36">
        <v>3</v>
      </c>
      <c r="H4991" s="36">
        <v>0</v>
      </c>
      <c r="I4991" s="37">
        <v>0</v>
      </c>
      <c r="J4991" s="36" t="s">
        <v>36190</v>
      </c>
      <c r="K4991" s="36" t="s">
        <v>14330</v>
      </c>
      <c r="L4991" s="36" t="s">
        <v>14330</v>
      </c>
      <c r="M4991">
        <v>2</v>
      </c>
      <c r="N4991" t="s">
        <v>14331</v>
      </c>
      <c r="O4991" t="s">
        <v>14333</v>
      </c>
    </row>
    <row r="4992" spans="1:15" x14ac:dyDescent="0.25">
      <c r="A4992" s="35" t="s">
        <v>8275</v>
      </c>
      <c r="B4992" s="36" t="s">
        <v>8276</v>
      </c>
      <c r="C4992" s="36" t="str">
        <f>HYPERLINK("https://rhld.insurance.arkansas.gov/NPILookup?Npi=1992765010","1992765010")</f>
        <v>1992765010</v>
      </c>
      <c r="D4992" s="36" t="s">
        <v>37151</v>
      </c>
      <c r="E4992" s="36" t="s">
        <v>2</v>
      </c>
      <c r="F4992" s="36">
        <v>1</v>
      </c>
      <c r="G4992" s="36">
        <v>2</v>
      </c>
      <c r="H4992" s="36">
        <v>0</v>
      </c>
      <c r="I4992" s="37">
        <v>0</v>
      </c>
      <c r="J4992" s="36" t="s">
        <v>36190</v>
      </c>
      <c r="K4992" s="36" t="s">
        <v>14330</v>
      </c>
      <c r="L4992" s="36" t="s">
        <v>14330</v>
      </c>
      <c r="M4992">
        <v>3</v>
      </c>
      <c r="N4992" t="s">
        <v>14331</v>
      </c>
      <c r="O4992" t="s">
        <v>14333</v>
      </c>
    </row>
    <row r="4993" spans="1:15" x14ac:dyDescent="0.25">
      <c r="A4993" s="35" t="s">
        <v>8275</v>
      </c>
      <c r="B4993" s="36" t="s">
        <v>8276</v>
      </c>
      <c r="C4993" s="36" t="str">
        <f>HYPERLINK("https://rhld.insurance.arkansas.gov/NPILookup?Npi=1992768105","1992768105")</f>
        <v>1992768105</v>
      </c>
      <c r="D4993" s="36" t="s">
        <v>37152</v>
      </c>
      <c r="E4993" s="36" t="s">
        <v>2</v>
      </c>
      <c r="F4993" s="36">
        <v>1</v>
      </c>
      <c r="G4993" s="36">
        <v>3</v>
      </c>
      <c r="H4993" s="36">
        <v>0</v>
      </c>
      <c r="I4993" s="37">
        <v>0</v>
      </c>
      <c r="J4993" s="36" t="s">
        <v>36190</v>
      </c>
      <c r="K4993" s="36" t="s">
        <v>14330</v>
      </c>
      <c r="L4993" s="36" t="s">
        <v>14330</v>
      </c>
      <c r="M4993">
        <v>3</v>
      </c>
      <c r="N4993" t="s">
        <v>14331</v>
      </c>
      <c r="O4993" t="s">
        <v>14333</v>
      </c>
    </row>
    <row r="4994" spans="1:15" x14ac:dyDescent="0.25">
      <c r="A4994" s="35" t="s">
        <v>8275</v>
      </c>
      <c r="B4994" s="36" t="s">
        <v>8276</v>
      </c>
      <c r="C4994" s="36" t="str">
        <f>HYPERLINK("https://rhld.insurance.arkansas.gov/NPILookup?Npi=1992781264","1992781264")</f>
        <v>1992781264</v>
      </c>
      <c r="D4994" s="36" t="s">
        <v>37153</v>
      </c>
      <c r="E4994" s="36" t="s">
        <v>2</v>
      </c>
      <c r="F4994" s="36">
        <v>1</v>
      </c>
      <c r="G4994" s="36">
        <v>3</v>
      </c>
      <c r="H4994" s="36">
        <v>0</v>
      </c>
      <c r="I4994" s="37">
        <v>0</v>
      </c>
      <c r="J4994" s="36" t="s">
        <v>36190</v>
      </c>
      <c r="K4994" s="36" t="s">
        <v>14330</v>
      </c>
      <c r="L4994" s="36" t="s">
        <v>14330</v>
      </c>
      <c r="M4994">
        <v>3</v>
      </c>
      <c r="N4994" t="s">
        <v>14331</v>
      </c>
      <c r="O4994" t="s">
        <v>14333</v>
      </c>
    </row>
    <row r="4995" spans="1:15" x14ac:dyDescent="0.25">
      <c r="A4995" s="35" t="s">
        <v>8342</v>
      </c>
      <c r="B4995" s="36" t="s">
        <v>8343</v>
      </c>
      <c r="C4995" s="36" t="str">
        <f>HYPERLINK("https://rhld.insurance.arkansas.gov/NPILookup?Npi=1003227166","1003227166")</f>
        <v>1003227166</v>
      </c>
      <c r="D4995" s="36" t="s">
        <v>32921</v>
      </c>
      <c r="E4995" s="36" t="s">
        <v>1</v>
      </c>
      <c r="F4995" s="36">
        <v>1</v>
      </c>
      <c r="G4995" s="36">
        <v>3</v>
      </c>
      <c r="H4995" s="36">
        <v>0</v>
      </c>
      <c r="I4995" s="37">
        <v>0</v>
      </c>
      <c r="J4995" s="36" t="s">
        <v>32654</v>
      </c>
      <c r="K4995" s="36" t="s">
        <v>14330</v>
      </c>
      <c r="L4995" s="36" t="s">
        <v>14330</v>
      </c>
      <c r="M4995">
        <v>2</v>
      </c>
      <c r="N4995" t="s">
        <v>14331</v>
      </c>
      <c r="O4995" t="s">
        <v>32633</v>
      </c>
    </row>
    <row r="4996" spans="1:15" x14ac:dyDescent="0.25">
      <c r="A4996" s="35" t="s">
        <v>8342</v>
      </c>
      <c r="B4996" s="36" t="s">
        <v>8343</v>
      </c>
      <c r="C4996" s="36" t="str">
        <f>HYPERLINK("https://rhld.insurance.arkansas.gov/NPILookup?Npi=1003255357","1003255357")</f>
        <v>1003255357</v>
      </c>
      <c r="D4996" s="36" t="s">
        <v>37154</v>
      </c>
      <c r="E4996" s="36" t="s">
        <v>1</v>
      </c>
      <c r="F4996" s="36">
        <v>1</v>
      </c>
      <c r="G4996" s="36">
        <v>2</v>
      </c>
      <c r="H4996" s="36">
        <v>0</v>
      </c>
      <c r="I4996" s="37">
        <v>0</v>
      </c>
      <c r="J4996" s="36" t="s">
        <v>32654</v>
      </c>
      <c r="K4996" s="36" t="s">
        <v>14330</v>
      </c>
      <c r="L4996" s="36" t="s">
        <v>14330</v>
      </c>
      <c r="M4996">
        <v>2</v>
      </c>
      <c r="N4996" t="s">
        <v>14331</v>
      </c>
      <c r="O4996" t="s">
        <v>32633</v>
      </c>
    </row>
    <row r="4997" spans="1:15" x14ac:dyDescent="0.25">
      <c r="A4997" s="35" t="s">
        <v>8342</v>
      </c>
      <c r="B4997" s="36" t="s">
        <v>8343</v>
      </c>
      <c r="C4997" s="36" t="str">
        <f>HYPERLINK("https://rhld.insurance.arkansas.gov/NPILookup?Npi=1003872714","1003872714")</f>
        <v>1003872714</v>
      </c>
      <c r="D4997" s="36" t="s">
        <v>37155</v>
      </c>
      <c r="E4997" s="36" t="s">
        <v>2</v>
      </c>
      <c r="F4997" s="36">
        <v>1</v>
      </c>
      <c r="G4997" s="36">
        <v>2</v>
      </c>
      <c r="H4997" s="36">
        <v>0</v>
      </c>
      <c r="I4997" s="37">
        <v>0</v>
      </c>
      <c r="J4997" s="36" t="s">
        <v>32679</v>
      </c>
      <c r="K4997" s="36" t="s">
        <v>14330</v>
      </c>
      <c r="L4997" s="36" t="s">
        <v>14330</v>
      </c>
      <c r="M4997">
        <v>2</v>
      </c>
      <c r="N4997" t="s">
        <v>14331</v>
      </c>
      <c r="O4997" t="s">
        <v>14333</v>
      </c>
    </row>
    <row r="4998" spans="1:15" x14ac:dyDescent="0.25">
      <c r="A4998" s="35" t="s">
        <v>8342</v>
      </c>
      <c r="B4998" s="36" t="s">
        <v>8343</v>
      </c>
      <c r="C4998" s="36" t="str">
        <f>HYPERLINK("https://rhld.insurance.arkansas.gov/NPILookup?Npi=1013051473","1013051473")</f>
        <v>1013051473</v>
      </c>
      <c r="D4998" s="36" t="s">
        <v>37156</v>
      </c>
      <c r="E4998" s="36" t="s">
        <v>1</v>
      </c>
      <c r="F4998" s="36">
        <v>1</v>
      </c>
      <c r="G4998" s="36">
        <v>2</v>
      </c>
      <c r="H4998" s="36">
        <v>0</v>
      </c>
      <c r="I4998" s="37">
        <v>0</v>
      </c>
      <c r="J4998" s="36" t="s">
        <v>32654</v>
      </c>
      <c r="K4998" s="36" t="s">
        <v>14330</v>
      </c>
      <c r="L4998" s="36" t="s">
        <v>14330</v>
      </c>
      <c r="M4998">
        <v>3</v>
      </c>
      <c r="N4998" t="s">
        <v>14331</v>
      </c>
      <c r="O4998" t="s">
        <v>32633</v>
      </c>
    </row>
    <row r="4999" spans="1:15" x14ac:dyDescent="0.25">
      <c r="A4999" s="35" t="s">
        <v>8342</v>
      </c>
      <c r="B4999" s="36" t="s">
        <v>8343</v>
      </c>
      <c r="C4999" s="36" t="str">
        <f>HYPERLINK("https://rhld.insurance.arkansas.gov/NPILookup?Npi=1013983071","1013983071")</f>
        <v>1013983071</v>
      </c>
      <c r="D4999" s="36" t="s">
        <v>37157</v>
      </c>
      <c r="E4999" s="36" t="s">
        <v>1</v>
      </c>
      <c r="F4999" s="36">
        <v>1</v>
      </c>
      <c r="G4999" s="36">
        <v>3</v>
      </c>
      <c r="H4999" s="36">
        <v>0</v>
      </c>
      <c r="I4999" s="37">
        <v>0</v>
      </c>
      <c r="J4999" s="36" t="s">
        <v>14335</v>
      </c>
      <c r="K4999" s="36" t="s">
        <v>14330</v>
      </c>
      <c r="L4999" s="36" t="s">
        <v>14330</v>
      </c>
      <c r="M4999">
        <v>2</v>
      </c>
      <c r="N4999" t="s">
        <v>14331</v>
      </c>
      <c r="O4999" t="s">
        <v>32633</v>
      </c>
    </row>
    <row r="5000" spans="1:15" x14ac:dyDescent="0.25">
      <c r="A5000" s="35" t="s">
        <v>8342</v>
      </c>
      <c r="B5000" s="36" t="s">
        <v>8343</v>
      </c>
      <c r="C5000" s="36" t="str">
        <f>HYPERLINK("https://rhld.insurance.arkansas.gov/NPILookup?Npi=1023283710","1023283710")</f>
        <v>1023283710</v>
      </c>
      <c r="D5000" s="36" t="s">
        <v>37158</v>
      </c>
      <c r="E5000" s="36" t="s">
        <v>1</v>
      </c>
      <c r="F5000" s="36">
        <v>1</v>
      </c>
      <c r="G5000" s="36">
        <v>2</v>
      </c>
      <c r="H5000" s="36">
        <v>0</v>
      </c>
      <c r="I5000" s="37">
        <v>0</v>
      </c>
      <c r="J5000" s="36" t="s">
        <v>32654</v>
      </c>
      <c r="K5000" s="36" t="s">
        <v>14330</v>
      </c>
      <c r="L5000" s="36" t="s">
        <v>14330</v>
      </c>
      <c r="M5000">
        <v>2</v>
      </c>
      <c r="N5000" t="s">
        <v>14331</v>
      </c>
      <c r="O5000" t="s">
        <v>32633</v>
      </c>
    </row>
    <row r="5001" spans="1:15" x14ac:dyDescent="0.25">
      <c r="A5001" s="35" t="s">
        <v>8342</v>
      </c>
      <c r="B5001" s="36" t="s">
        <v>8343</v>
      </c>
      <c r="C5001" s="36" t="str">
        <f>HYPERLINK("https://rhld.insurance.arkansas.gov/NPILookup?Npi=1033161146","1033161146")</f>
        <v>1033161146</v>
      </c>
      <c r="D5001" s="36" t="s">
        <v>37159</v>
      </c>
      <c r="E5001" s="36" t="s">
        <v>2</v>
      </c>
      <c r="F5001" s="36">
        <v>1</v>
      </c>
      <c r="G5001" s="36">
        <v>2</v>
      </c>
      <c r="H5001" s="36">
        <v>0</v>
      </c>
      <c r="I5001" s="37">
        <v>0</v>
      </c>
      <c r="J5001" s="36" t="s">
        <v>32679</v>
      </c>
      <c r="K5001" s="36" t="s">
        <v>14330</v>
      </c>
      <c r="L5001" s="36" t="s">
        <v>14330</v>
      </c>
      <c r="M5001">
        <v>2</v>
      </c>
      <c r="N5001" t="s">
        <v>14331</v>
      </c>
      <c r="O5001" t="s">
        <v>14333</v>
      </c>
    </row>
    <row r="5002" spans="1:15" x14ac:dyDescent="0.25">
      <c r="A5002" s="35" t="s">
        <v>8342</v>
      </c>
      <c r="B5002" s="36" t="s">
        <v>8343</v>
      </c>
      <c r="C5002" s="36" t="str">
        <f>HYPERLINK("https://rhld.insurance.arkansas.gov/NPILookup?Npi=1033193966","1033193966")</f>
        <v>1033193966</v>
      </c>
      <c r="D5002" s="36" t="s">
        <v>37160</v>
      </c>
      <c r="E5002" s="36" t="s">
        <v>1</v>
      </c>
      <c r="F5002" s="36">
        <v>1</v>
      </c>
      <c r="G5002" s="36">
        <v>2</v>
      </c>
      <c r="H5002" s="36">
        <v>0</v>
      </c>
      <c r="I5002" s="37">
        <v>0</v>
      </c>
      <c r="J5002" s="36" t="s">
        <v>32654</v>
      </c>
      <c r="K5002" s="36" t="s">
        <v>14330</v>
      </c>
      <c r="L5002" s="36" t="s">
        <v>14330</v>
      </c>
      <c r="M5002">
        <v>3</v>
      </c>
      <c r="N5002" t="s">
        <v>14331</v>
      </c>
      <c r="O5002" t="s">
        <v>32633</v>
      </c>
    </row>
    <row r="5003" spans="1:15" x14ac:dyDescent="0.25">
      <c r="A5003" s="35" t="s">
        <v>8342</v>
      </c>
      <c r="B5003" s="36" t="s">
        <v>8343</v>
      </c>
      <c r="C5003" s="36" t="str">
        <f>HYPERLINK("https://rhld.insurance.arkansas.gov/NPILookup?Npi=1033283155","1033283155")</f>
        <v>1033283155</v>
      </c>
      <c r="D5003" s="36" t="s">
        <v>32950</v>
      </c>
      <c r="E5003" s="36" t="s">
        <v>1</v>
      </c>
      <c r="F5003" s="36">
        <v>1</v>
      </c>
      <c r="G5003" s="36">
        <v>3</v>
      </c>
      <c r="H5003" s="36">
        <v>0</v>
      </c>
      <c r="I5003" s="37">
        <v>0</v>
      </c>
      <c r="J5003" s="36" t="s">
        <v>32654</v>
      </c>
      <c r="K5003" s="36" t="s">
        <v>14330</v>
      </c>
      <c r="L5003" s="36" t="s">
        <v>14330</v>
      </c>
      <c r="M5003">
        <v>3</v>
      </c>
      <c r="N5003" t="s">
        <v>14331</v>
      </c>
      <c r="O5003" t="s">
        <v>32633</v>
      </c>
    </row>
    <row r="5004" spans="1:15" x14ac:dyDescent="0.25">
      <c r="A5004" s="35" t="s">
        <v>8342</v>
      </c>
      <c r="B5004" s="36" t="s">
        <v>8343</v>
      </c>
      <c r="C5004" s="36" t="str">
        <f>HYPERLINK("https://rhld.insurance.arkansas.gov/NPILookup?Npi=1043410608","1043410608")</f>
        <v>1043410608</v>
      </c>
      <c r="D5004" s="36" t="s">
        <v>37161</v>
      </c>
      <c r="E5004" s="36" t="s">
        <v>1</v>
      </c>
      <c r="F5004" s="36">
        <v>1</v>
      </c>
      <c r="G5004" s="36">
        <v>3</v>
      </c>
      <c r="H5004" s="36">
        <v>0</v>
      </c>
      <c r="I5004" s="37">
        <v>0</v>
      </c>
      <c r="J5004" s="36" t="s">
        <v>32654</v>
      </c>
      <c r="K5004" s="36" t="s">
        <v>14330</v>
      </c>
      <c r="L5004" s="36" t="s">
        <v>14330</v>
      </c>
      <c r="M5004">
        <v>2</v>
      </c>
      <c r="N5004" t="s">
        <v>14331</v>
      </c>
      <c r="O5004" t="s">
        <v>32633</v>
      </c>
    </row>
    <row r="5005" spans="1:15" x14ac:dyDescent="0.25">
      <c r="A5005" s="35" t="s">
        <v>8342</v>
      </c>
      <c r="B5005" s="36" t="s">
        <v>8343</v>
      </c>
      <c r="C5005" s="36" t="str">
        <f>HYPERLINK("https://rhld.insurance.arkansas.gov/NPILookup?Npi=1043705254","1043705254")</f>
        <v>1043705254</v>
      </c>
      <c r="D5005" s="36" t="s">
        <v>37162</v>
      </c>
      <c r="E5005" s="36" t="s">
        <v>1</v>
      </c>
      <c r="F5005" s="36">
        <v>1</v>
      </c>
      <c r="G5005" s="36">
        <v>2</v>
      </c>
      <c r="H5005" s="36">
        <v>0</v>
      </c>
      <c r="I5005" s="37">
        <v>0</v>
      </c>
      <c r="J5005" s="36" t="s">
        <v>32654</v>
      </c>
      <c r="K5005" s="36" t="s">
        <v>14330</v>
      </c>
      <c r="L5005" s="36" t="s">
        <v>14330</v>
      </c>
      <c r="M5005">
        <v>2</v>
      </c>
      <c r="N5005" t="s">
        <v>14331</v>
      </c>
      <c r="O5005" t="s">
        <v>32633</v>
      </c>
    </row>
    <row r="5006" spans="1:15" x14ac:dyDescent="0.25">
      <c r="A5006" s="35" t="s">
        <v>8342</v>
      </c>
      <c r="B5006" s="36" t="s">
        <v>8343</v>
      </c>
      <c r="C5006" s="36" t="str">
        <f>HYPERLINK("https://rhld.insurance.arkansas.gov/NPILookup?Npi=1104275239","1104275239")</f>
        <v>1104275239</v>
      </c>
      <c r="D5006" s="36" t="s">
        <v>37163</v>
      </c>
      <c r="E5006" s="36" t="s">
        <v>1</v>
      </c>
      <c r="F5006" s="36">
        <v>1</v>
      </c>
      <c r="G5006" s="36">
        <v>2</v>
      </c>
      <c r="H5006" s="36">
        <v>0</v>
      </c>
      <c r="I5006" s="37">
        <v>0</v>
      </c>
      <c r="J5006" s="36" t="s">
        <v>32654</v>
      </c>
      <c r="K5006" s="36" t="s">
        <v>14330</v>
      </c>
      <c r="L5006" s="36" t="s">
        <v>14330</v>
      </c>
      <c r="M5006">
        <v>2</v>
      </c>
      <c r="N5006" t="s">
        <v>14331</v>
      </c>
      <c r="O5006" t="s">
        <v>32633</v>
      </c>
    </row>
    <row r="5007" spans="1:15" x14ac:dyDescent="0.25">
      <c r="A5007" s="35" t="s">
        <v>8342</v>
      </c>
      <c r="B5007" s="36" t="s">
        <v>8343</v>
      </c>
      <c r="C5007" s="36" t="str">
        <f>HYPERLINK("https://rhld.insurance.arkansas.gov/NPILookup?Npi=1104464445","1104464445")</f>
        <v>1104464445</v>
      </c>
      <c r="D5007" s="36" t="s">
        <v>35001</v>
      </c>
      <c r="E5007" s="36" t="s">
        <v>1</v>
      </c>
      <c r="F5007" s="36">
        <v>1</v>
      </c>
      <c r="G5007" s="36">
        <v>2</v>
      </c>
      <c r="H5007" s="36">
        <v>0</v>
      </c>
      <c r="I5007" s="37">
        <v>0</v>
      </c>
      <c r="J5007" s="36" t="s">
        <v>32654</v>
      </c>
      <c r="K5007" s="36" t="s">
        <v>14330</v>
      </c>
      <c r="L5007" s="36" t="s">
        <v>14330</v>
      </c>
      <c r="M5007">
        <v>3</v>
      </c>
      <c r="N5007" t="s">
        <v>14331</v>
      </c>
      <c r="O5007" t="s">
        <v>32633</v>
      </c>
    </row>
    <row r="5008" spans="1:15" x14ac:dyDescent="0.25">
      <c r="A5008" s="35" t="s">
        <v>8342</v>
      </c>
      <c r="B5008" s="36" t="s">
        <v>8343</v>
      </c>
      <c r="C5008" s="36" t="str">
        <f>HYPERLINK("https://rhld.insurance.arkansas.gov/NPILookup?Npi=1174184931","1174184931")</f>
        <v>1174184931</v>
      </c>
      <c r="D5008" s="36" t="s">
        <v>37164</v>
      </c>
      <c r="E5008" s="36" t="s">
        <v>1</v>
      </c>
      <c r="F5008" s="36">
        <v>1</v>
      </c>
      <c r="G5008" s="36">
        <v>3</v>
      </c>
      <c r="H5008" s="36">
        <v>0</v>
      </c>
      <c r="I5008" s="37">
        <v>0</v>
      </c>
      <c r="J5008" s="36" t="s">
        <v>32654</v>
      </c>
      <c r="K5008" s="36" t="s">
        <v>14330</v>
      </c>
      <c r="L5008" s="36" t="s">
        <v>14330</v>
      </c>
      <c r="M5008">
        <v>2</v>
      </c>
      <c r="N5008" t="s">
        <v>14331</v>
      </c>
      <c r="O5008" t="s">
        <v>32633</v>
      </c>
    </row>
    <row r="5009" spans="1:15" x14ac:dyDescent="0.25">
      <c r="A5009" s="35" t="s">
        <v>8342</v>
      </c>
      <c r="B5009" s="36" t="s">
        <v>8343</v>
      </c>
      <c r="C5009" s="36" t="str">
        <f>HYPERLINK("https://rhld.insurance.arkansas.gov/NPILookup?Npi=1184202517","1184202517")</f>
        <v>1184202517</v>
      </c>
      <c r="D5009" s="36" t="s">
        <v>37165</v>
      </c>
      <c r="E5009" s="36" t="s">
        <v>2</v>
      </c>
      <c r="F5009" s="36">
        <v>1</v>
      </c>
      <c r="G5009" s="36">
        <v>2</v>
      </c>
      <c r="H5009" s="36">
        <v>0</v>
      </c>
      <c r="I5009" s="37">
        <v>0</v>
      </c>
      <c r="J5009" s="36" t="s">
        <v>32679</v>
      </c>
      <c r="K5009" s="36" t="s">
        <v>14330</v>
      </c>
      <c r="L5009" s="36" t="s">
        <v>14330</v>
      </c>
      <c r="M5009">
        <v>2</v>
      </c>
      <c r="N5009" t="s">
        <v>14331</v>
      </c>
      <c r="O5009" t="s">
        <v>14333</v>
      </c>
    </row>
    <row r="5010" spans="1:15" x14ac:dyDescent="0.25">
      <c r="A5010" s="35" t="s">
        <v>8342</v>
      </c>
      <c r="B5010" s="36" t="s">
        <v>8343</v>
      </c>
      <c r="C5010" s="36" t="str">
        <f>HYPERLINK("https://rhld.insurance.arkansas.gov/NPILookup?Npi=1184631376","1184631376")</f>
        <v>1184631376</v>
      </c>
      <c r="D5010" s="36" t="s">
        <v>37166</v>
      </c>
      <c r="E5010" s="36" t="s">
        <v>1</v>
      </c>
      <c r="F5010" s="36">
        <v>1</v>
      </c>
      <c r="G5010" s="36">
        <v>2</v>
      </c>
      <c r="H5010" s="36">
        <v>0</v>
      </c>
      <c r="I5010" s="37">
        <v>0</v>
      </c>
      <c r="J5010" s="36" t="s">
        <v>32654</v>
      </c>
      <c r="K5010" s="36" t="s">
        <v>14330</v>
      </c>
      <c r="L5010" s="36" t="s">
        <v>14330</v>
      </c>
      <c r="M5010">
        <v>3</v>
      </c>
      <c r="N5010" t="s">
        <v>14331</v>
      </c>
      <c r="O5010" t="s">
        <v>32633</v>
      </c>
    </row>
    <row r="5011" spans="1:15" x14ac:dyDescent="0.25">
      <c r="A5011" s="35" t="s">
        <v>8342</v>
      </c>
      <c r="B5011" s="36" t="s">
        <v>8343</v>
      </c>
      <c r="C5011" s="36" t="str">
        <f>HYPERLINK("https://rhld.insurance.arkansas.gov/NPILookup?Npi=1205957834","1205957834")</f>
        <v>1205957834</v>
      </c>
      <c r="D5011" s="36" t="s">
        <v>37167</v>
      </c>
      <c r="E5011" s="36" t="s">
        <v>1</v>
      </c>
      <c r="F5011" s="36">
        <v>1</v>
      </c>
      <c r="G5011" s="36">
        <v>3</v>
      </c>
      <c r="H5011" s="36">
        <v>0</v>
      </c>
      <c r="I5011" s="37">
        <v>0</v>
      </c>
      <c r="J5011" s="36" t="s">
        <v>32654</v>
      </c>
      <c r="K5011" s="36" t="s">
        <v>14330</v>
      </c>
      <c r="L5011" s="36" t="s">
        <v>14330</v>
      </c>
      <c r="M5011">
        <v>3</v>
      </c>
      <c r="N5011" t="s">
        <v>14331</v>
      </c>
      <c r="O5011" t="s">
        <v>32633</v>
      </c>
    </row>
    <row r="5012" spans="1:15" x14ac:dyDescent="0.25">
      <c r="A5012" s="35" t="s">
        <v>8342</v>
      </c>
      <c r="B5012" s="36" t="s">
        <v>8343</v>
      </c>
      <c r="C5012" s="36" t="str">
        <f>HYPERLINK("https://rhld.insurance.arkansas.gov/NPILookup?Npi=1225120017","1225120017")</f>
        <v>1225120017</v>
      </c>
      <c r="D5012" s="36" t="s">
        <v>37168</v>
      </c>
      <c r="E5012" s="36" t="s">
        <v>1</v>
      </c>
      <c r="F5012" s="36">
        <v>1</v>
      </c>
      <c r="G5012" s="36">
        <v>3</v>
      </c>
      <c r="H5012" s="36">
        <v>0</v>
      </c>
      <c r="I5012" s="37">
        <v>0</v>
      </c>
      <c r="J5012" s="36" t="s">
        <v>32654</v>
      </c>
      <c r="K5012" s="36" t="s">
        <v>14330</v>
      </c>
      <c r="L5012" s="36" t="s">
        <v>14330</v>
      </c>
      <c r="M5012">
        <v>3</v>
      </c>
      <c r="N5012" t="s">
        <v>14331</v>
      </c>
      <c r="O5012" t="s">
        <v>32633</v>
      </c>
    </row>
    <row r="5013" spans="1:15" x14ac:dyDescent="0.25">
      <c r="A5013" s="35" t="s">
        <v>8342</v>
      </c>
      <c r="B5013" s="36" t="s">
        <v>8343</v>
      </c>
      <c r="C5013" s="36" t="str">
        <f>HYPERLINK("https://rhld.insurance.arkansas.gov/NPILookup?Npi=1245230341","1245230341")</f>
        <v>1245230341</v>
      </c>
      <c r="D5013" s="36" t="s">
        <v>37169</v>
      </c>
      <c r="E5013" s="36" t="s">
        <v>1</v>
      </c>
      <c r="F5013" s="36">
        <v>1</v>
      </c>
      <c r="G5013" s="36">
        <v>3</v>
      </c>
      <c r="H5013" s="36">
        <v>0</v>
      </c>
      <c r="I5013" s="37">
        <v>0</v>
      </c>
      <c r="J5013" s="36" t="s">
        <v>32654</v>
      </c>
      <c r="K5013" s="36" t="s">
        <v>14330</v>
      </c>
      <c r="L5013" s="36" t="s">
        <v>14330</v>
      </c>
      <c r="M5013">
        <v>2</v>
      </c>
      <c r="N5013" t="s">
        <v>14331</v>
      </c>
      <c r="O5013" t="s">
        <v>32633</v>
      </c>
    </row>
    <row r="5014" spans="1:15" x14ac:dyDescent="0.25">
      <c r="A5014" s="35" t="s">
        <v>8342</v>
      </c>
      <c r="B5014" s="36" t="s">
        <v>8343</v>
      </c>
      <c r="C5014" s="36" t="str">
        <f>HYPERLINK("https://rhld.insurance.arkansas.gov/NPILookup?Npi=1285862375","1285862375")</f>
        <v>1285862375</v>
      </c>
      <c r="D5014" s="36" t="s">
        <v>37170</v>
      </c>
      <c r="E5014" s="36" t="s">
        <v>1</v>
      </c>
      <c r="F5014" s="36">
        <v>1</v>
      </c>
      <c r="G5014" s="36">
        <v>2</v>
      </c>
      <c r="H5014" s="36">
        <v>0</v>
      </c>
      <c r="I5014" s="37">
        <v>0</v>
      </c>
      <c r="J5014" s="36" t="s">
        <v>32723</v>
      </c>
      <c r="K5014" s="36" t="s">
        <v>14330</v>
      </c>
      <c r="L5014" s="36" t="s">
        <v>14330</v>
      </c>
      <c r="M5014">
        <v>3</v>
      </c>
      <c r="N5014" t="s">
        <v>14331</v>
      </c>
      <c r="O5014" t="s">
        <v>32724</v>
      </c>
    </row>
    <row r="5015" spans="1:15" x14ac:dyDescent="0.25">
      <c r="A5015" s="35" t="s">
        <v>8342</v>
      </c>
      <c r="B5015" s="36" t="s">
        <v>8343</v>
      </c>
      <c r="C5015" s="36" t="str">
        <f>HYPERLINK("https://rhld.insurance.arkansas.gov/NPILookup?Npi=1295008209","1295008209")</f>
        <v>1295008209</v>
      </c>
      <c r="D5015" s="36" t="s">
        <v>37171</v>
      </c>
      <c r="E5015" s="36" t="s">
        <v>1</v>
      </c>
      <c r="F5015" s="36">
        <v>1</v>
      </c>
      <c r="G5015" s="36">
        <v>3</v>
      </c>
      <c r="H5015" s="36">
        <v>0</v>
      </c>
      <c r="I5015" s="37">
        <v>0</v>
      </c>
      <c r="J5015" s="36" t="s">
        <v>32654</v>
      </c>
      <c r="K5015" s="36" t="s">
        <v>14330</v>
      </c>
      <c r="L5015" s="36" t="s">
        <v>14330</v>
      </c>
      <c r="M5015">
        <v>2</v>
      </c>
      <c r="N5015" t="s">
        <v>14331</v>
      </c>
      <c r="O5015" t="s">
        <v>32633</v>
      </c>
    </row>
    <row r="5016" spans="1:15" x14ac:dyDescent="0.25">
      <c r="A5016" s="35" t="s">
        <v>8342</v>
      </c>
      <c r="B5016" s="36" t="s">
        <v>8343</v>
      </c>
      <c r="C5016" s="36" t="str">
        <f>HYPERLINK("https://rhld.insurance.arkansas.gov/NPILookup?Npi=1336309574","1336309574")</f>
        <v>1336309574</v>
      </c>
      <c r="D5016" s="36" t="s">
        <v>37172</v>
      </c>
      <c r="E5016" s="36" t="s">
        <v>1</v>
      </c>
      <c r="F5016" s="36">
        <v>1</v>
      </c>
      <c r="G5016" s="36">
        <v>2</v>
      </c>
      <c r="H5016" s="36">
        <v>0</v>
      </c>
      <c r="I5016" s="37">
        <v>0</v>
      </c>
      <c r="J5016" s="36" t="s">
        <v>32654</v>
      </c>
      <c r="K5016" s="36" t="s">
        <v>14330</v>
      </c>
      <c r="L5016" s="36" t="s">
        <v>14330</v>
      </c>
      <c r="M5016">
        <v>1</v>
      </c>
      <c r="N5016" t="s">
        <v>14331</v>
      </c>
      <c r="O5016" t="s">
        <v>32633</v>
      </c>
    </row>
    <row r="5017" spans="1:15" x14ac:dyDescent="0.25">
      <c r="A5017" s="35" t="s">
        <v>8342</v>
      </c>
      <c r="B5017" s="36" t="s">
        <v>8343</v>
      </c>
      <c r="C5017" s="36" t="str">
        <f>HYPERLINK("https://rhld.insurance.arkansas.gov/NPILookup?Npi=1386680528","1386680528")</f>
        <v>1386680528</v>
      </c>
      <c r="D5017" s="36" t="s">
        <v>37173</v>
      </c>
      <c r="E5017" s="36" t="s">
        <v>1</v>
      </c>
      <c r="F5017" s="36">
        <v>1</v>
      </c>
      <c r="G5017" s="36">
        <v>2</v>
      </c>
      <c r="H5017" s="36">
        <v>1</v>
      </c>
      <c r="I5017" s="37">
        <v>0</v>
      </c>
      <c r="J5017" s="36" t="s">
        <v>32654</v>
      </c>
      <c r="K5017" s="36" t="s">
        <v>14330</v>
      </c>
      <c r="L5017" s="36" t="s">
        <v>34171</v>
      </c>
      <c r="M5017">
        <v>2</v>
      </c>
      <c r="N5017" t="s">
        <v>14331</v>
      </c>
      <c r="O5017" t="s">
        <v>37174</v>
      </c>
    </row>
    <row r="5018" spans="1:15" x14ac:dyDescent="0.25">
      <c r="A5018" s="35" t="s">
        <v>8342</v>
      </c>
      <c r="B5018" s="36" t="s">
        <v>8343</v>
      </c>
      <c r="C5018" s="36" t="str">
        <f>HYPERLINK("https://rhld.insurance.arkansas.gov/NPILookup?Npi=1407274277","1407274277")</f>
        <v>1407274277</v>
      </c>
      <c r="D5018" s="36" t="s">
        <v>37175</v>
      </c>
      <c r="E5018" s="36" t="s">
        <v>2</v>
      </c>
      <c r="F5018" s="36">
        <v>1</v>
      </c>
      <c r="G5018" s="36">
        <v>2</v>
      </c>
      <c r="H5018" s="36">
        <v>0</v>
      </c>
      <c r="I5018" s="37">
        <v>0</v>
      </c>
      <c r="J5018" s="36" t="s">
        <v>34165</v>
      </c>
      <c r="K5018" s="36" t="s">
        <v>14330</v>
      </c>
      <c r="L5018" s="36" t="s">
        <v>14330</v>
      </c>
      <c r="M5018">
        <v>3</v>
      </c>
      <c r="N5018" t="s">
        <v>14331</v>
      </c>
      <c r="O5018" t="s">
        <v>14333</v>
      </c>
    </row>
    <row r="5019" spans="1:15" x14ac:dyDescent="0.25">
      <c r="A5019" s="35" t="s">
        <v>8342</v>
      </c>
      <c r="B5019" s="36" t="s">
        <v>8343</v>
      </c>
      <c r="C5019" s="36" t="str">
        <f>HYPERLINK("https://rhld.insurance.arkansas.gov/NPILookup?Npi=1407880305","1407880305")</f>
        <v>1407880305</v>
      </c>
      <c r="D5019" s="36" t="s">
        <v>37176</v>
      </c>
      <c r="E5019" s="36" t="s">
        <v>1</v>
      </c>
      <c r="F5019" s="36">
        <v>1</v>
      </c>
      <c r="G5019" s="36">
        <v>3</v>
      </c>
      <c r="H5019" s="36">
        <v>0</v>
      </c>
      <c r="I5019" s="37">
        <v>0</v>
      </c>
      <c r="J5019" s="36" t="s">
        <v>32654</v>
      </c>
      <c r="K5019" s="36" t="s">
        <v>14330</v>
      </c>
      <c r="L5019" s="36" t="s">
        <v>14330</v>
      </c>
      <c r="M5019">
        <v>3</v>
      </c>
      <c r="N5019" t="s">
        <v>14331</v>
      </c>
      <c r="O5019" t="s">
        <v>32633</v>
      </c>
    </row>
    <row r="5020" spans="1:15" x14ac:dyDescent="0.25">
      <c r="A5020" s="35" t="s">
        <v>8342</v>
      </c>
      <c r="B5020" s="36" t="s">
        <v>8343</v>
      </c>
      <c r="C5020" s="36" t="str">
        <f>HYPERLINK("https://rhld.insurance.arkansas.gov/NPILookup?Npi=1427144005","1427144005")</f>
        <v>1427144005</v>
      </c>
      <c r="D5020" s="36" t="s">
        <v>34324</v>
      </c>
      <c r="E5020" s="36" t="s">
        <v>1</v>
      </c>
      <c r="F5020" s="36">
        <v>1</v>
      </c>
      <c r="G5020" s="36">
        <v>3</v>
      </c>
      <c r="H5020" s="36">
        <v>0</v>
      </c>
      <c r="I5020" s="37">
        <v>0</v>
      </c>
      <c r="J5020" s="36" t="s">
        <v>32654</v>
      </c>
      <c r="K5020" s="36" t="s">
        <v>14330</v>
      </c>
      <c r="L5020" s="36" t="s">
        <v>14330</v>
      </c>
      <c r="M5020">
        <v>3</v>
      </c>
      <c r="N5020" t="s">
        <v>14331</v>
      </c>
      <c r="O5020" t="s">
        <v>32633</v>
      </c>
    </row>
    <row r="5021" spans="1:15" x14ac:dyDescent="0.25">
      <c r="A5021" s="35" t="s">
        <v>8342</v>
      </c>
      <c r="B5021" s="36" t="s">
        <v>8343</v>
      </c>
      <c r="C5021" s="36" t="str">
        <f>HYPERLINK("https://rhld.insurance.arkansas.gov/NPILookup?Npi=1457596959","1457596959")</f>
        <v>1457596959</v>
      </c>
      <c r="D5021" s="36" t="s">
        <v>37177</v>
      </c>
      <c r="E5021" s="36" t="s">
        <v>1</v>
      </c>
      <c r="F5021" s="36">
        <v>1</v>
      </c>
      <c r="G5021" s="36">
        <v>3</v>
      </c>
      <c r="H5021" s="36">
        <v>0</v>
      </c>
      <c r="I5021" s="37">
        <v>0</v>
      </c>
      <c r="J5021" s="36" t="s">
        <v>32654</v>
      </c>
      <c r="K5021" s="36" t="s">
        <v>14330</v>
      </c>
      <c r="L5021" s="36" t="s">
        <v>14330</v>
      </c>
      <c r="M5021">
        <v>2</v>
      </c>
      <c r="N5021" t="s">
        <v>14331</v>
      </c>
      <c r="O5021" t="s">
        <v>32633</v>
      </c>
    </row>
    <row r="5022" spans="1:15" x14ac:dyDescent="0.25">
      <c r="A5022" s="35" t="s">
        <v>8342</v>
      </c>
      <c r="B5022" s="36" t="s">
        <v>8343</v>
      </c>
      <c r="C5022" s="36" t="str">
        <f>HYPERLINK("https://rhld.insurance.arkansas.gov/NPILookup?Npi=1477523215","1477523215")</f>
        <v>1477523215</v>
      </c>
      <c r="D5022" s="36" t="s">
        <v>37178</v>
      </c>
      <c r="E5022" s="36" t="s">
        <v>1</v>
      </c>
      <c r="F5022" s="36">
        <v>1</v>
      </c>
      <c r="G5022" s="36">
        <v>2</v>
      </c>
      <c r="H5022" s="36">
        <v>0</v>
      </c>
      <c r="I5022" s="37">
        <v>0</v>
      </c>
      <c r="J5022" s="36" t="s">
        <v>32654</v>
      </c>
      <c r="K5022" s="36" t="s">
        <v>14330</v>
      </c>
      <c r="L5022" s="36" t="s">
        <v>14330</v>
      </c>
      <c r="M5022">
        <v>3</v>
      </c>
      <c r="N5022" t="s">
        <v>14331</v>
      </c>
      <c r="O5022" t="s">
        <v>32633</v>
      </c>
    </row>
    <row r="5023" spans="1:15" x14ac:dyDescent="0.25">
      <c r="A5023" s="35" t="s">
        <v>8342</v>
      </c>
      <c r="B5023" s="36" t="s">
        <v>8343</v>
      </c>
      <c r="C5023" s="36" t="str">
        <f>HYPERLINK("https://rhld.insurance.arkansas.gov/NPILookup?Npi=1477696284","1477696284")</f>
        <v>1477696284</v>
      </c>
      <c r="D5023" s="36" t="s">
        <v>37179</v>
      </c>
      <c r="E5023" s="36" t="s">
        <v>1</v>
      </c>
      <c r="F5023" s="36">
        <v>1</v>
      </c>
      <c r="G5023" s="36">
        <v>3</v>
      </c>
      <c r="H5023" s="36">
        <v>0</v>
      </c>
      <c r="I5023" s="37">
        <v>0</v>
      </c>
      <c r="J5023" s="36" t="s">
        <v>32654</v>
      </c>
      <c r="K5023" s="36" t="s">
        <v>14330</v>
      </c>
      <c r="L5023" s="36" t="s">
        <v>14330</v>
      </c>
      <c r="M5023">
        <v>3</v>
      </c>
      <c r="N5023" t="s">
        <v>14331</v>
      </c>
      <c r="O5023" t="s">
        <v>32633</v>
      </c>
    </row>
    <row r="5024" spans="1:15" x14ac:dyDescent="0.25">
      <c r="A5024" s="35" t="s">
        <v>8342</v>
      </c>
      <c r="B5024" s="36" t="s">
        <v>8343</v>
      </c>
      <c r="C5024" s="36" t="str">
        <f>HYPERLINK("https://rhld.insurance.arkansas.gov/NPILookup?Npi=1518923861","1518923861")</f>
        <v>1518923861</v>
      </c>
      <c r="D5024" s="36" t="s">
        <v>37180</v>
      </c>
      <c r="E5024" s="36" t="s">
        <v>1</v>
      </c>
      <c r="F5024" s="36">
        <v>1</v>
      </c>
      <c r="G5024" s="36">
        <v>3</v>
      </c>
      <c r="H5024" s="36">
        <v>0</v>
      </c>
      <c r="I5024" s="37">
        <v>0</v>
      </c>
      <c r="J5024" s="36" t="s">
        <v>32654</v>
      </c>
      <c r="K5024" s="36" t="s">
        <v>14330</v>
      </c>
      <c r="L5024" s="36" t="s">
        <v>14330</v>
      </c>
      <c r="M5024">
        <v>2</v>
      </c>
      <c r="N5024" t="s">
        <v>14331</v>
      </c>
      <c r="O5024" t="s">
        <v>32633</v>
      </c>
    </row>
    <row r="5025" spans="1:15" x14ac:dyDescent="0.25">
      <c r="A5025" s="35" t="s">
        <v>8342</v>
      </c>
      <c r="B5025" s="36" t="s">
        <v>8343</v>
      </c>
      <c r="C5025" s="36" t="str">
        <f>HYPERLINK("https://rhld.insurance.arkansas.gov/NPILookup?Npi=1528616927","1528616927")</f>
        <v>1528616927</v>
      </c>
      <c r="D5025" s="36" t="s">
        <v>37181</v>
      </c>
      <c r="E5025" s="36" t="s">
        <v>1</v>
      </c>
      <c r="F5025" s="36">
        <v>1</v>
      </c>
      <c r="G5025" s="36">
        <v>2</v>
      </c>
      <c r="H5025" s="36">
        <v>0</v>
      </c>
      <c r="I5025" s="37">
        <v>0</v>
      </c>
      <c r="J5025" s="36" t="s">
        <v>32723</v>
      </c>
      <c r="K5025" s="36" t="s">
        <v>14330</v>
      </c>
      <c r="L5025" s="36" t="s">
        <v>14330</v>
      </c>
      <c r="M5025">
        <v>2</v>
      </c>
      <c r="N5025" t="s">
        <v>14331</v>
      </c>
      <c r="O5025" t="s">
        <v>32724</v>
      </c>
    </row>
    <row r="5026" spans="1:15" x14ac:dyDescent="0.25">
      <c r="A5026" s="35" t="s">
        <v>8342</v>
      </c>
      <c r="B5026" s="36" t="s">
        <v>8343</v>
      </c>
      <c r="C5026" s="36" t="str">
        <f>HYPERLINK("https://rhld.insurance.arkansas.gov/NPILookup?Npi=1548581275","1548581275")</f>
        <v>1548581275</v>
      </c>
      <c r="D5026" s="36" t="s">
        <v>37182</v>
      </c>
      <c r="E5026" s="36" t="s">
        <v>1</v>
      </c>
      <c r="F5026" s="36">
        <v>1</v>
      </c>
      <c r="G5026" s="36">
        <v>2</v>
      </c>
      <c r="H5026" s="36">
        <v>0</v>
      </c>
      <c r="I5026" s="37">
        <v>0</v>
      </c>
      <c r="J5026" s="36" t="s">
        <v>32654</v>
      </c>
      <c r="K5026" s="36" t="s">
        <v>14330</v>
      </c>
      <c r="L5026" s="36" t="s">
        <v>14330</v>
      </c>
      <c r="M5026">
        <v>3</v>
      </c>
      <c r="N5026" t="s">
        <v>14331</v>
      </c>
      <c r="O5026" t="s">
        <v>32633</v>
      </c>
    </row>
    <row r="5027" spans="1:15" x14ac:dyDescent="0.25">
      <c r="A5027" s="35" t="s">
        <v>8342</v>
      </c>
      <c r="B5027" s="36" t="s">
        <v>8343</v>
      </c>
      <c r="C5027" s="36" t="str">
        <f>HYPERLINK("https://rhld.insurance.arkansas.gov/NPILookup?Npi=1558744128","1558744128")</f>
        <v>1558744128</v>
      </c>
      <c r="D5027" s="36" t="s">
        <v>37183</v>
      </c>
      <c r="E5027" s="36" t="s">
        <v>1</v>
      </c>
      <c r="F5027" s="36">
        <v>1</v>
      </c>
      <c r="G5027" s="36">
        <v>3</v>
      </c>
      <c r="H5027" s="36">
        <v>0</v>
      </c>
      <c r="I5027" s="37">
        <v>0</v>
      </c>
      <c r="J5027" s="36" t="s">
        <v>32654</v>
      </c>
      <c r="K5027" s="36" t="s">
        <v>14330</v>
      </c>
      <c r="L5027" s="36" t="s">
        <v>14330</v>
      </c>
      <c r="M5027">
        <v>1</v>
      </c>
      <c r="N5027" t="s">
        <v>14331</v>
      </c>
      <c r="O5027" t="s">
        <v>32633</v>
      </c>
    </row>
    <row r="5028" spans="1:15" x14ac:dyDescent="0.25">
      <c r="A5028" s="35" t="s">
        <v>8342</v>
      </c>
      <c r="B5028" s="36" t="s">
        <v>8343</v>
      </c>
      <c r="C5028" s="36" t="str">
        <f>HYPERLINK("https://rhld.insurance.arkansas.gov/NPILookup?Npi=1609863562","1609863562")</f>
        <v>1609863562</v>
      </c>
      <c r="D5028" s="36" t="s">
        <v>37184</v>
      </c>
      <c r="E5028" s="36" t="s">
        <v>1</v>
      </c>
      <c r="F5028" s="36">
        <v>1</v>
      </c>
      <c r="G5028" s="36">
        <v>2</v>
      </c>
      <c r="H5028" s="36">
        <v>1</v>
      </c>
      <c r="I5028" s="37">
        <v>0</v>
      </c>
      <c r="J5028" s="36" t="s">
        <v>32654</v>
      </c>
      <c r="K5028" s="36" t="s">
        <v>14330</v>
      </c>
      <c r="L5028" s="36" t="s">
        <v>34171</v>
      </c>
      <c r="M5028">
        <v>3</v>
      </c>
      <c r="N5028" t="s">
        <v>14331</v>
      </c>
      <c r="O5028" t="s">
        <v>37174</v>
      </c>
    </row>
    <row r="5029" spans="1:15" x14ac:dyDescent="0.25">
      <c r="A5029" s="35" t="s">
        <v>8342</v>
      </c>
      <c r="B5029" s="36" t="s">
        <v>8343</v>
      </c>
      <c r="C5029" s="36" t="str">
        <f>HYPERLINK("https://rhld.insurance.arkansas.gov/NPILookup?Npi=1609876515","1609876515")</f>
        <v>1609876515</v>
      </c>
      <c r="D5029" s="36" t="s">
        <v>37185</v>
      </c>
      <c r="E5029" s="36" t="s">
        <v>1</v>
      </c>
      <c r="F5029" s="36">
        <v>1</v>
      </c>
      <c r="G5029" s="36">
        <v>3</v>
      </c>
      <c r="H5029" s="36">
        <v>0</v>
      </c>
      <c r="I5029" s="37">
        <v>0</v>
      </c>
      <c r="J5029" s="36" t="s">
        <v>32654</v>
      </c>
      <c r="K5029" s="36" t="s">
        <v>14330</v>
      </c>
      <c r="L5029" s="36" t="s">
        <v>14330</v>
      </c>
      <c r="M5029">
        <v>2</v>
      </c>
      <c r="N5029" t="s">
        <v>14331</v>
      </c>
      <c r="O5029" t="s">
        <v>32633</v>
      </c>
    </row>
    <row r="5030" spans="1:15" x14ac:dyDescent="0.25">
      <c r="A5030" s="35" t="s">
        <v>8342</v>
      </c>
      <c r="B5030" s="36" t="s">
        <v>8343</v>
      </c>
      <c r="C5030" s="36" t="str">
        <f>HYPERLINK("https://rhld.insurance.arkansas.gov/NPILookup?Npi=1619995198","1619995198")</f>
        <v>1619995198</v>
      </c>
      <c r="D5030" s="36" t="s">
        <v>32697</v>
      </c>
      <c r="E5030" s="36" t="s">
        <v>2</v>
      </c>
      <c r="F5030" s="36">
        <v>1</v>
      </c>
      <c r="G5030" s="36">
        <v>2</v>
      </c>
      <c r="H5030" s="36">
        <v>0</v>
      </c>
      <c r="I5030" s="37">
        <v>0</v>
      </c>
      <c r="J5030" s="36" t="s">
        <v>34165</v>
      </c>
      <c r="K5030" s="36" t="s">
        <v>14330</v>
      </c>
      <c r="L5030" s="36" t="s">
        <v>14330</v>
      </c>
      <c r="M5030">
        <v>2</v>
      </c>
      <c r="N5030" t="s">
        <v>14331</v>
      </c>
      <c r="O5030" t="s">
        <v>14333</v>
      </c>
    </row>
    <row r="5031" spans="1:15" x14ac:dyDescent="0.25">
      <c r="A5031" s="35" t="s">
        <v>8342</v>
      </c>
      <c r="B5031" s="36" t="s">
        <v>8343</v>
      </c>
      <c r="C5031" s="36" t="str">
        <f>HYPERLINK("https://rhld.insurance.arkansas.gov/NPILookup?Npi=1629481577","1629481577")</f>
        <v>1629481577</v>
      </c>
      <c r="D5031" s="36" t="s">
        <v>37186</v>
      </c>
      <c r="E5031" s="36" t="s">
        <v>1</v>
      </c>
      <c r="F5031" s="36">
        <v>1</v>
      </c>
      <c r="G5031" s="36">
        <v>2</v>
      </c>
      <c r="H5031" s="36">
        <v>0</v>
      </c>
      <c r="I5031" s="37">
        <v>0</v>
      </c>
      <c r="J5031" s="36" t="s">
        <v>32723</v>
      </c>
      <c r="K5031" s="36" t="s">
        <v>14330</v>
      </c>
      <c r="L5031" s="36" t="s">
        <v>14330</v>
      </c>
      <c r="M5031">
        <v>2</v>
      </c>
      <c r="N5031" t="s">
        <v>14331</v>
      </c>
      <c r="O5031" t="s">
        <v>32724</v>
      </c>
    </row>
    <row r="5032" spans="1:15" x14ac:dyDescent="0.25">
      <c r="A5032" s="35" t="s">
        <v>8342</v>
      </c>
      <c r="B5032" s="36" t="s">
        <v>8343</v>
      </c>
      <c r="C5032" s="36" t="str">
        <f>HYPERLINK("https://rhld.insurance.arkansas.gov/NPILookup?Npi=1629504063","1629504063")</f>
        <v>1629504063</v>
      </c>
      <c r="D5032" s="36" t="s">
        <v>37187</v>
      </c>
      <c r="E5032" s="36" t="s">
        <v>1</v>
      </c>
      <c r="F5032" s="36">
        <v>1</v>
      </c>
      <c r="G5032" s="36">
        <v>2</v>
      </c>
      <c r="H5032" s="36">
        <v>0</v>
      </c>
      <c r="I5032" s="37">
        <v>0</v>
      </c>
      <c r="J5032" s="36" t="s">
        <v>32654</v>
      </c>
      <c r="K5032" s="36" t="s">
        <v>14330</v>
      </c>
      <c r="L5032" s="36" t="s">
        <v>14330</v>
      </c>
      <c r="M5032">
        <v>3</v>
      </c>
      <c r="N5032" t="s">
        <v>14331</v>
      </c>
      <c r="O5032" t="s">
        <v>32633</v>
      </c>
    </row>
    <row r="5033" spans="1:15" x14ac:dyDescent="0.25">
      <c r="A5033" s="35" t="s">
        <v>8342</v>
      </c>
      <c r="B5033" s="36" t="s">
        <v>8343</v>
      </c>
      <c r="C5033" s="36" t="str">
        <f>HYPERLINK("https://rhld.insurance.arkansas.gov/NPILookup?Npi=1639173396","1639173396")</f>
        <v>1639173396</v>
      </c>
      <c r="D5033" s="36" t="s">
        <v>37188</v>
      </c>
      <c r="E5033" s="36" t="s">
        <v>1</v>
      </c>
      <c r="F5033" s="36">
        <v>1</v>
      </c>
      <c r="G5033" s="36">
        <v>3</v>
      </c>
      <c r="H5033" s="36">
        <v>0</v>
      </c>
      <c r="I5033" s="37">
        <v>0</v>
      </c>
      <c r="J5033" s="36" t="s">
        <v>32654</v>
      </c>
      <c r="K5033" s="36" t="s">
        <v>14330</v>
      </c>
      <c r="L5033" s="36" t="s">
        <v>14330</v>
      </c>
      <c r="M5033">
        <v>2</v>
      </c>
      <c r="N5033" t="s">
        <v>14331</v>
      </c>
      <c r="O5033" t="s">
        <v>32633</v>
      </c>
    </row>
    <row r="5034" spans="1:15" x14ac:dyDescent="0.25">
      <c r="A5034" s="35" t="s">
        <v>8342</v>
      </c>
      <c r="B5034" s="36" t="s">
        <v>8343</v>
      </c>
      <c r="C5034" s="36" t="str">
        <f>HYPERLINK("https://rhld.insurance.arkansas.gov/NPILookup?Npi=1659537827","1659537827")</f>
        <v>1659537827</v>
      </c>
      <c r="D5034" s="36" t="s">
        <v>37189</v>
      </c>
      <c r="E5034" s="36" t="s">
        <v>2</v>
      </c>
      <c r="F5034" s="36">
        <v>1</v>
      </c>
      <c r="G5034" s="36">
        <v>2</v>
      </c>
      <c r="H5034" s="36">
        <v>0</v>
      </c>
      <c r="I5034" s="37">
        <v>0</v>
      </c>
      <c r="J5034" s="36" t="s">
        <v>32679</v>
      </c>
      <c r="K5034" s="36" t="s">
        <v>14330</v>
      </c>
      <c r="L5034" s="36" t="s">
        <v>14330</v>
      </c>
      <c r="M5034">
        <v>3</v>
      </c>
      <c r="N5034" t="s">
        <v>14331</v>
      </c>
      <c r="O5034" t="s">
        <v>14333</v>
      </c>
    </row>
    <row r="5035" spans="1:15" x14ac:dyDescent="0.25">
      <c r="A5035" s="35" t="s">
        <v>8342</v>
      </c>
      <c r="B5035" s="36" t="s">
        <v>8343</v>
      </c>
      <c r="C5035" s="36" t="str">
        <f>HYPERLINK("https://rhld.insurance.arkansas.gov/NPILookup?Npi=1669486007","1669486007")</f>
        <v>1669486007</v>
      </c>
      <c r="D5035" s="36" t="s">
        <v>37190</v>
      </c>
      <c r="E5035" s="36" t="s">
        <v>1</v>
      </c>
      <c r="F5035" s="36">
        <v>1</v>
      </c>
      <c r="G5035" s="36">
        <v>3</v>
      </c>
      <c r="H5035" s="36">
        <v>0</v>
      </c>
      <c r="I5035" s="37">
        <v>0</v>
      </c>
      <c r="J5035" s="36" t="s">
        <v>32654</v>
      </c>
      <c r="K5035" s="36" t="s">
        <v>14330</v>
      </c>
      <c r="L5035" s="36" t="s">
        <v>14330</v>
      </c>
      <c r="M5035">
        <v>3</v>
      </c>
      <c r="N5035" t="s">
        <v>14331</v>
      </c>
      <c r="O5035" t="s">
        <v>32633</v>
      </c>
    </row>
    <row r="5036" spans="1:15" x14ac:dyDescent="0.25">
      <c r="A5036" s="35" t="s">
        <v>8342</v>
      </c>
      <c r="B5036" s="36" t="s">
        <v>8343</v>
      </c>
      <c r="C5036" s="36" t="str">
        <f>HYPERLINK("https://rhld.insurance.arkansas.gov/NPILookup?Npi=1669562229","1669562229")</f>
        <v>1669562229</v>
      </c>
      <c r="D5036" s="36" t="s">
        <v>37191</v>
      </c>
      <c r="E5036" s="36" t="s">
        <v>1</v>
      </c>
      <c r="F5036" s="36">
        <v>1</v>
      </c>
      <c r="G5036" s="36">
        <v>3</v>
      </c>
      <c r="H5036" s="36">
        <v>0</v>
      </c>
      <c r="I5036" s="37">
        <v>0</v>
      </c>
      <c r="J5036" s="36" t="s">
        <v>32654</v>
      </c>
      <c r="K5036" s="36" t="s">
        <v>14330</v>
      </c>
      <c r="L5036" s="36" t="s">
        <v>14330</v>
      </c>
      <c r="M5036">
        <v>1</v>
      </c>
      <c r="N5036" t="s">
        <v>14331</v>
      </c>
      <c r="O5036" t="s">
        <v>32633</v>
      </c>
    </row>
    <row r="5037" spans="1:15" x14ac:dyDescent="0.25">
      <c r="A5037" s="35" t="s">
        <v>8342</v>
      </c>
      <c r="B5037" s="36" t="s">
        <v>8343</v>
      </c>
      <c r="C5037" s="36" t="str">
        <f>HYPERLINK("https://rhld.insurance.arkansas.gov/NPILookup?Npi=1679683122","1679683122")</f>
        <v>1679683122</v>
      </c>
      <c r="D5037" s="36" t="s">
        <v>37192</v>
      </c>
      <c r="E5037" s="36" t="s">
        <v>2</v>
      </c>
      <c r="F5037" s="36">
        <v>1</v>
      </c>
      <c r="G5037" s="36">
        <v>1</v>
      </c>
      <c r="H5037" s="36">
        <v>0</v>
      </c>
      <c r="I5037" s="37">
        <v>0</v>
      </c>
      <c r="J5037" s="36" t="s">
        <v>34165</v>
      </c>
      <c r="K5037" s="36" t="s">
        <v>14330</v>
      </c>
      <c r="L5037" s="36" t="s">
        <v>14330</v>
      </c>
      <c r="M5037">
        <v>3</v>
      </c>
      <c r="N5037" t="s">
        <v>14331</v>
      </c>
      <c r="O5037" t="s">
        <v>32633</v>
      </c>
    </row>
    <row r="5038" spans="1:15" x14ac:dyDescent="0.25">
      <c r="A5038" s="35" t="s">
        <v>8342</v>
      </c>
      <c r="B5038" s="36" t="s">
        <v>8343</v>
      </c>
      <c r="C5038" s="36" t="str">
        <f>HYPERLINK("https://rhld.insurance.arkansas.gov/NPILookup?Npi=1689171019","1689171019")</f>
        <v>1689171019</v>
      </c>
      <c r="D5038" s="36" t="s">
        <v>33868</v>
      </c>
      <c r="E5038" s="36" t="s">
        <v>1</v>
      </c>
      <c r="F5038" s="36">
        <v>1</v>
      </c>
      <c r="G5038" s="36">
        <v>3</v>
      </c>
      <c r="H5038" s="36">
        <v>0</v>
      </c>
      <c r="I5038" s="37">
        <v>0</v>
      </c>
      <c r="J5038" s="36" t="s">
        <v>32654</v>
      </c>
      <c r="K5038" s="36" t="s">
        <v>14330</v>
      </c>
      <c r="L5038" s="36" t="s">
        <v>14330</v>
      </c>
      <c r="M5038">
        <v>2</v>
      </c>
      <c r="N5038" t="s">
        <v>14331</v>
      </c>
      <c r="O5038" t="s">
        <v>32633</v>
      </c>
    </row>
    <row r="5039" spans="1:15" x14ac:dyDescent="0.25">
      <c r="A5039" s="35" t="s">
        <v>8342</v>
      </c>
      <c r="B5039" s="36" t="s">
        <v>8343</v>
      </c>
      <c r="C5039" s="36" t="str">
        <f>HYPERLINK("https://rhld.insurance.arkansas.gov/NPILookup?Npi=1689979783","1689979783")</f>
        <v>1689979783</v>
      </c>
      <c r="D5039" s="36" t="s">
        <v>37193</v>
      </c>
      <c r="E5039" s="36" t="s">
        <v>1</v>
      </c>
      <c r="F5039" s="36">
        <v>1</v>
      </c>
      <c r="G5039" s="36">
        <v>2</v>
      </c>
      <c r="H5039" s="36">
        <v>0</v>
      </c>
      <c r="I5039" s="37">
        <v>0</v>
      </c>
      <c r="J5039" s="36" t="s">
        <v>32654</v>
      </c>
      <c r="K5039" s="36" t="s">
        <v>14330</v>
      </c>
      <c r="L5039" s="36" t="s">
        <v>14330</v>
      </c>
      <c r="M5039">
        <v>2</v>
      </c>
      <c r="N5039" t="s">
        <v>14331</v>
      </c>
      <c r="O5039" t="s">
        <v>32633</v>
      </c>
    </row>
    <row r="5040" spans="1:15" x14ac:dyDescent="0.25">
      <c r="A5040" s="35" t="s">
        <v>8342</v>
      </c>
      <c r="B5040" s="36" t="s">
        <v>8343</v>
      </c>
      <c r="C5040" s="36" t="str">
        <f>HYPERLINK("https://rhld.insurance.arkansas.gov/NPILookup?Npi=1699865253","1699865253")</f>
        <v>1699865253</v>
      </c>
      <c r="D5040" s="36" t="s">
        <v>37194</v>
      </c>
      <c r="E5040" s="36" t="s">
        <v>1</v>
      </c>
      <c r="F5040" s="36">
        <v>1</v>
      </c>
      <c r="G5040" s="36">
        <v>2</v>
      </c>
      <c r="H5040" s="36">
        <v>0</v>
      </c>
      <c r="I5040" s="37">
        <v>0</v>
      </c>
      <c r="J5040" s="36" t="s">
        <v>32654</v>
      </c>
      <c r="K5040" s="36" t="s">
        <v>14330</v>
      </c>
      <c r="L5040" s="36" t="s">
        <v>14330</v>
      </c>
      <c r="M5040">
        <v>3</v>
      </c>
      <c r="N5040" t="s">
        <v>14331</v>
      </c>
      <c r="O5040" t="s">
        <v>32633</v>
      </c>
    </row>
    <row r="5041" spans="1:15" x14ac:dyDescent="0.25">
      <c r="A5041" s="35" t="s">
        <v>8342</v>
      </c>
      <c r="B5041" s="36" t="s">
        <v>8343</v>
      </c>
      <c r="C5041" s="36" t="str">
        <f>HYPERLINK("https://rhld.insurance.arkansas.gov/NPILookup?Npi=1699904623","1699904623")</f>
        <v>1699904623</v>
      </c>
      <c r="D5041" s="36" t="s">
        <v>37195</v>
      </c>
      <c r="E5041" s="36" t="s">
        <v>1</v>
      </c>
      <c r="F5041" s="36">
        <v>1</v>
      </c>
      <c r="G5041" s="36">
        <v>3</v>
      </c>
      <c r="H5041" s="36">
        <v>0</v>
      </c>
      <c r="I5041" s="37">
        <v>0</v>
      </c>
      <c r="J5041" s="36" t="s">
        <v>32654</v>
      </c>
      <c r="K5041" s="36" t="s">
        <v>14330</v>
      </c>
      <c r="L5041" s="36" t="s">
        <v>14330</v>
      </c>
      <c r="M5041">
        <v>3</v>
      </c>
      <c r="N5041" t="s">
        <v>14331</v>
      </c>
      <c r="O5041" t="s">
        <v>32633</v>
      </c>
    </row>
    <row r="5042" spans="1:15" x14ac:dyDescent="0.25">
      <c r="A5042" s="35" t="s">
        <v>8342</v>
      </c>
      <c r="B5042" s="36" t="s">
        <v>8343</v>
      </c>
      <c r="C5042" s="36" t="str">
        <f>HYPERLINK("https://rhld.insurance.arkansas.gov/NPILookup?Npi=1699982884","1699982884")</f>
        <v>1699982884</v>
      </c>
      <c r="D5042" s="36" t="s">
        <v>37196</v>
      </c>
      <c r="E5042" s="36" t="s">
        <v>1</v>
      </c>
      <c r="F5042" s="36">
        <v>1</v>
      </c>
      <c r="G5042" s="36">
        <v>3</v>
      </c>
      <c r="H5042" s="36">
        <v>0</v>
      </c>
      <c r="I5042" s="37">
        <v>0</v>
      </c>
      <c r="J5042" s="36" t="s">
        <v>32654</v>
      </c>
      <c r="K5042" s="36" t="s">
        <v>14330</v>
      </c>
      <c r="L5042" s="36" t="s">
        <v>14330</v>
      </c>
      <c r="M5042">
        <v>3</v>
      </c>
      <c r="N5042" t="s">
        <v>14331</v>
      </c>
      <c r="O5042" t="s">
        <v>32633</v>
      </c>
    </row>
    <row r="5043" spans="1:15" x14ac:dyDescent="0.25">
      <c r="A5043" s="35" t="s">
        <v>8342</v>
      </c>
      <c r="B5043" s="36" t="s">
        <v>8343</v>
      </c>
      <c r="C5043" s="36" t="str">
        <f>HYPERLINK("https://rhld.insurance.arkansas.gov/NPILookup?Npi=1710964226","1710964226")</f>
        <v>1710964226</v>
      </c>
      <c r="D5043" s="36" t="s">
        <v>34416</v>
      </c>
      <c r="E5043" s="36" t="s">
        <v>1</v>
      </c>
      <c r="F5043" s="36">
        <v>1</v>
      </c>
      <c r="G5043" s="36">
        <v>3</v>
      </c>
      <c r="H5043" s="36">
        <v>0</v>
      </c>
      <c r="I5043" s="37">
        <v>0</v>
      </c>
      <c r="J5043" s="36" t="s">
        <v>32654</v>
      </c>
      <c r="K5043" s="36" t="s">
        <v>14330</v>
      </c>
      <c r="L5043" s="36" t="s">
        <v>14330</v>
      </c>
      <c r="M5043">
        <v>3</v>
      </c>
      <c r="N5043" t="s">
        <v>14331</v>
      </c>
      <c r="O5043" t="s">
        <v>32633</v>
      </c>
    </row>
    <row r="5044" spans="1:15" x14ac:dyDescent="0.25">
      <c r="A5044" s="35" t="s">
        <v>8342</v>
      </c>
      <c r="B5044" s="36" t="s">
        <v>8343</v>
      </c>
      <c r="C5044" s="36" t="str">
        <f>HYPERLINK("https://rhld.insurance.arkansas.gov/NPILookup?Npi=1730342460","1730342460")</f>
        <v>1730342460</v>
      </c>
      <c r="D5044" s="36" t="s">
        <v>37197</v>
      </c>
      <c r="E5044" s="36" t="s">
        <v>1</v>
      </c>
      <c r="F5044" s="36">
        <v>1</v>
      </c>
      <c r="G5044" s="36">
        <v>3</v>
      </c>
      <c r="H5044" s="36">
        <v>0</v>
      </c>
      <c r="I5044" s="37">
        <v>0</v>
      </c>
      <c r="J5044" s="36" t="s">
        <v>32654</v>
      </c>
      <c r="K5044" s="36" t="s">
        <v>14330</v>
      </c>
      <c r="L5044" s="36" t="s">
        <v>14330</v>
      </c>
      <c r="M5044">
        <v>3</v>
      </c>
      <c r="N5044" t="s">
        <v>14331</v>
      </c>
      <c r="O5044" t="s">
        <v>32633</v>
      </c>
    </row>
    <row r="5045" spans="1:15" x14ac:dyDescent="0.25">
      <c r="A5045" s="35" t="s">
        <v>8342</v>
      </c>
      <c r="B5045" s="36" t="s">
        <v>8343</v>
      </c>
      <c r="C5045" s="36" t="str">
        <f>HYPERLINK("https://rhld.insurance.arkansas.gov/NPILookup?Npi=1730495532","1730495532")</f>
        <v>1730495532</v>
      </c>
      <c r="D5045" s="36" t="s">
        <v>37198</v>
      </c>
      <c r="E5045" s="36" t="s">
        <v>1</v>
      </c>
      <c r="F5045" s="36">
        <v>1</v>
      </c>
      <c r="G5045" s="36">
        <v>3</v>
      </c>
      <c r="H5045" s="36">
        <v>0</v>
      </c>
      <c r="I5045" s="37">
        <v>0</v>
      </c>
      <c r="J5045" s="36" t="s">
        <v>32654</v>
      </c>
      <c r="K5045" s="36" t="s">
        <v>14330</v>
      </c>
      <c r="L5045" s="36" t="s">
        <v>14330</v>
      </c>
      <c r="M5045">
        <v>3</v>
      </c>
      <c r="N5045" t="s">
        <v>14331</v>
      </c>
      <c r="O5045" t="s">
        <v>32633</v>
      </c>
    </row>
    <row r="5046" spans="1:15" x14ac:dyDescent="0.25">
      <c r="A5046" s="35" t="s">
        <v>8342</v>
      </c>
      <c r="B5046" s="36" t="s">
        <v>8343</v>
      </c>
      <c r="C5046" s="36" t="str">
        <f>HYPERLINK("https://rhld.insurance.arkansas.gov/NPILookup?Npi=1740247444","1740247444")</f>
        <v>1740247444</v>
      </c>
      <c r="D5046" s="36" t="s">
        <v>37199</v>
      </c>
      <c r="E5046" s="36" t="s">
        <v>1</v>
      </c>
      <c r="F5046" s="36">
        <v>1</v>
      </c>
      <c r="G5046" s="36">
        <v>3</v>
      </c>
      <c r="H5046" s="36">
        <v>0</v>
      </c>
      <c r="I5046" s="37">
        <v>0</v>
      </c>
      <c r="J5046" s="36" t="s">
        <v>32654</v>
      </c>
      <c r="K5046" s="36" t="s">
        <v>14330</v>
      </c>
      <c r="L5046" s="36" t="s">
        <v>14330</v>
      </c>
      <c r="M5046">
        <v>3</v>
      </c>
      <c r="N5046" t="s">
        <v>14331</v>
      </c>
      <c r="O5046" t="s">
        <v>32633</v>
      </c>
    </row>
    <row r="5047" spans="1:15" x14ac:dyDescent="0.25">
      <c r="A5047" s="35" t="s">
        <v>8342</v>
      </c>
      <c r="B5047" s="36" t="s">
        <v>8343</v>
      </c>
      <c r="C5047" s="36" t="str">
        <f>HYPERLINK("https://rhld.insurance.arkansas.gov/NPILookup?Npi=1740392919","1740392919")</f>
        <v>1740392919</v>
      </c>
      <c r="D5047" s="36" t="s">
        <v>33880</v>
      </c>
      <c r="E5047" s="36" t="s">
        <v>1</v>
      </c>
      <c r="F5047" s="36">
        <v>1</v>
      </c>
      <c r="G5047" s="36">
        <v>3</v>
      </c>
      <c r="H5047" s="36">
        <v>0</v>
      </c>
      <c r="I5047" s="37">
        <v>0</v>
      </c>
      <c r="J5047" s="36" t="s">
        <v>32654</v>
      </c>
      <c r="K5047" s="36" t="s">
        <v>14330</v>
      </c>
      <c r="L5047" s="36" t="s">
        <v>14330</v>
      </c>
      <c r="M5047">
        <v>3</v>
      </c>
      <c r="N5047" t="s">
        <v>14331</v>
      </c>
      <c r="O5047" t="s">
        <v>32633</v>
      </c>
    </row>
    <row r="5048" spans="1:15" x14ac:dyDescent="0.25">
      <c r="A5048" s="35" t="s">
        <v>8342</v>
      </c>
      <c r="B5048" s="36" t="s">
        <v>8343</v>
      </c>
      <c r="C5048" s="36" t="str">
        <f>HYPERLINK("https://rhld.insurance.arkansas.gov/NPILookup?Npi=1750308334","1750308334")</f>
        <v>1750308334</v>
      </c>
      <c r="D5048" s="36" t="s">
        <v>37200</v>
      </c>
      <c r="E5048" s="36" t="s">
        <v>1</v>
      </c>
      <c r="F5048" s="36">
        <v>1</v>
      </c>
      <c r="G5048" s="36">
        <v>3</v>
      </c>
      <c r="H5048" s="36">
        <v>0</v>
      </c>
      <c r="I5048" s="37">
        <v>0</v>
      </c>
      <c r="J5048" s="36" t="s">
        <v>32654</v>
      </c>
      <c r="K5048" s="36" t="s">
        <v>14330</v>
      </c>
      <c r="L5048" s="36" t="s">
        <v>14330</v>
      </c>
      <c r="M5048">
        <v>2</v>
      </c>
      <c r="N5048" t="s">
        <v>14331</v>
      </c>
      <c r="O5048" t="s">
        <v>32633</v>
      </c>
    </row>
    <row r="5049" spans="1:15" x14ac:dyDescent="0.25">
      <c r="A5049" s="35" t="s">
        <v>8342</v>
      </c>
      <c r="B5049" s="36" t="s">
        <v>8343</v>
      </c>
      <c r="C5049" s="36" t="str">
        <f>HYPERLINK("https://rhld.insurance.arkansas.gov/NPILookup?Npi=1770997108","1770997108")</f>
        <v>1770997108</v>
      </c>
      <c r="D5049" s="36" t="s">
        <v>37201</v>
      </c>
      <c r="E5049" s="36" t="s">
        <v>1</v>
      </c>
      <c r="F5049" s="36">
        <v>1</v>
      </c>
      <c r="G5049" s="36">
        <v>2</v>
      </c>
      <c r="H5049" s="36">
        <v>0</v>
      </c>
      <c r="I5049" s="37">
        <v>0</v>
      </c>
      <c r="J5049" s="36" t="s">
        <v>32654</v>
      </c>
      <c r="K5049" s="36" t="s">
        <v>14330</v>
      </c>
      <c r="L5049" s="36" t="s">
        <v>14330</v>
      </c>
      <c r="M5049">
        <v>3</v>
      </c>
      <c r="N5049" t="s">
        <v>14331</v>
      </c>
      <c r="O5049" t="s">
        <v>32633</v>
      </c>
    </row>
    <row r="5050" spans="1:15" x14ac:dyDescent="0.25">
      <c r="A5050" s="35" t="s">
        <v>8342</v>
      </c>
      <c r="B5050" s="36" t="s">
        <v>8343</v>
      </c>
      <c r="C5050" s="36" t="str">
        <f>HYPERLINK("https://rhld.insurance.arkansas.gov/NPILookup?Npi=1821330895","1821330895")</f>
        <v>1821330895</v>
      </c>
      <c r="D5050" s="36" t="s">
        <v>35946</v>
      </c>
      <c r="E5050" s="36" t="s">
        <v>1</v>
      </c>
      <c r="F5050" s="36">
        <v>1</v>
      </c>
      <c r="G5050" s="36">
        <v>3</v>
      </c>
      <c r="H5050" s="36">
        <v>0</v>
      </c>
      <c r="I5050" s="37">
        <v>0</v>
      </c>
      <c r="J5050" s="36" t="s">
        <v>32654</v>
      </c>
      <c r="K5050" s="36" t="s">
        <v>14330</v>
      </c>
      <c r="L5050" s="36" t="s">
        <v>14330</v>
      </c>
      <c r="M5050">
        <v>2</v>
      </c>
      <c r="N5050" t="s">
        <v>14331</v>
      </c>
      <c r="O5050" t="s">
        <v>32633</v>
      </c>
    </row>
    <row r="5051" spans="1:15" x14ac:dyDescent="0.25">
      <c r="A5051" s="35" t="s">
        <v>8342</v>
      </c>
      <c r="B5051" s="36" t="s">
        <v>8343</v>
      </c>
      <c r="C5051" s="36" t="str">
        <f>HYPERLINK("https://rhld.insurance.arkansas.gov/NPILookup?Npi=1831453935","1831453935")</f>
        <v>1831453935</v>
      </c>
      <c r="D5051" s="36" t="s">
        <v>37202</v>
      </c>
      <c r="E5051" s="36" t="s">
        <v>1</v>
      </c>
      <c r="F5051" s="36">
        <v>1</v>
      </c>
      <c r="G5051" s="36">
        <v>2</v>
      </c>
      <c r="H5051" s="36">
        <v>0</v>
      </c>
      <c r="I5051" s="37">
        <v>0</v>
      </c>
      <c r="J5051" s="36" t="s">
        <v>32723</v>
      </c>
      <c r="K5051" s="36" t="s">
        <v>14330</v>
      </c>
      <c r="L5051" s="36" t="s">
        <v>14330</v>
      </c>
      <c r="M5051">
        <v>2</v>
      </c>
      <c r="N5051" t="s">
        <v>14331</v>
      </c>
      <c r="O5051" t="s">
        <v>32724</v>
      </c>
    </row>
    <row r="5052" spans="1:15" x14ac:dyDescent="0.25">
      <c r="A5052" s="35" t="s">
        <v>8342</v>
      </c>
      <c r="B5052" s="36" t="s">
        <v>8343</v>
      </c>
      <c r="C5052" s="36" t="str">
        <f>HYPERLINK("https://rhld.insurance.arkansas.gov/NPILookup?Npi=1851341010","1851341010")</f>
        <v>1851341010</v>
      </c>
      <c r="D5052" s="36" t="s">
        <v>37203</v>
      </c>
      <c r="E5052" s="36" t="s">
        <v>1</v>
      </c>
      <c r="F5052" s="36">
        <v>1</v>
      </c>
      <c r="G5052" s="36">
        <v>2</v>
      </c>
      <c r="H5052" s="36">
        <v>0</v>
      </c>
      <c r="I5052" s="37">
        <v>0</v>
      </c>
      <c r="J5052" s="36" t="s">
        <v>32723</v>
      </c>
      <c r="K5052" s="36" t="s">
        <v>14330</v>
      </c>
      <c r="L5052" s="36" t="s">
        <v>14330</v>
      </c>
      <c r="M5052">
        <v>3</v>
      </c>
      <c r="N5052" t="s">
        <v>14331</v>
      </c>
      <c r="O5052" t="s">
        <v>32724</v>
      </c>
    </row>
    <row r="5053" spans="1:15" x14ac:dyDescent="0.25">
      <c r="A5053" s="35" t="s">
        <v>8342</v>
      </c>
      <c r="B5053" s="36" t="s">
        <v>8343</v>
      </c>
      <c r="C5053" s="36" t="str">
        <f>HYPERLINK("https://rhld.insurance.arkansas.gov/NPILookup?Npi=1861128076","1861128076")</f>
        <v>1861128076</v>
      </c>
      <c r="D5053" s="36" t="s">
        <v>37204</v>
      </c>
      <c r="E5053" s="36" t="s">
        <v>1</v>
      </c>
      <c r="F5053" s="36">
        <v>1</v>
      </c>
      <c r="G5053" s="36">
        <v>3</v>
      </c>
      <c r="H5053" s="36">
        <v>0</v>
      </c>
      <c r="I5053" s="37">
        <v>0</v>
      </c>
      <c r="J5053" s="36" t="s">
        <v>32654</v>
      </c>
      <c r="K5053" s="36" t="s">
        <v>14330</v>
      </c>
      <c r="L5053" s="36" t="s">
        <v>14330</v>
      </c>
      <c r="M5053">
        <v>3</v>
      </c>
      <c r="N5053" t="s">
        <v>14331</v>
      </c>
      <c r="O5053" t="s">
        <v>32633</v>
      </c>
    </row>
    <row r="5054" spans="1:15" x14ac:dyDescent="0.25">
      <c r="A5054" s="35" t="s">
        <v>8342</v>
      </c>
      <c r="B5054" s="36" t="s">
        <v>8343</v>
      </c>
      <c r="C5054" s="36" t="str">
        <f>HYPERLINK("https://rhld.insurance.arkansas.gov/NPILookup?Npi=1861438665","1861438665")</f>
        <v>1861438665</v>
      </c>
      <c r="D5054" s="36" t="s">
        <v>37205</v>
      </c>
      <c r="E5054" s="36" t="s">
        <v>1</v>
      </c>
      <c r="F5054" s="36">
        <v>1</v>
      </c>
      <c r="G5054" s="36">
        <v>3</v>
      </c>
      <c r="H5054" s="36">
        <v>0</v>
      </c>
      <c r="I5054" s="37">
        <v>0</v>
      </c>
      <c r="J5054" s="36" t="s">
        <v>32654</v>
      </c>
      <c r="K5054" s="36" t="s">
        <v>14330</v>
      </c>
      <c r="L5054" s="36" t="s">
        <v>14330</v>
      </c>
      <c r="M5054">
        <v>3</v>
      </c>
      <c r="N5054" t="s">
        <v>14331</v>
      </c>
      <c r="O5054" t="s">
        <v>32633</v>
      </c>
    </row>
    <row r="5055" spans="1:15" x14ac:dyDescent="0.25">
      <c r="A5055" s="35" t="s">
        <v>8342</v>
      </c>
      <c r="B5055" s="36" t="s">
        <v>8343</v>
      </c>
      <c r="C5055" s="36" t="str">
        <f>HYPERLINK("https://rhld.insurance.arkansas.gov/NPILookup?Npi=1881681864","1881681864")</f>
        <v>1881681864</v>
      </c>
      <c r="D5055" s="36" t="s">
        <v>37206</v>
      </c>
      <c r="E5055" s="36" t="s">
        <v>1</v>
      </c>
      <c r="F5055" s="36">
        <v>1</v>
      </c>
      <c r="G5055" s="36">
        <v>3</v>
      </c>
      <c r="H5055" s="36">
        <v>0</v>
      </c>
      <c r="I5055" s="37">
        <v>0</v>
      </c>
      <c r="J5055" s="36" t="s">
        <v>32654</v>
      </c>
      <c r="K5055" s="36" t="s">
        <v>14330</v>
      </c>
      <c r="L5055" s="36" t="s">
        <v>14330</v>
      </c>
      <c r="M5055">
        <v>3</v>
      </c>
      <c r="N5055" t="s">
        <v>14331</v>
      </c>
      <c r="O5055" t="s">
        <v>32633</v>
      </c>
    </row>
    <row r="5056" spans="1:15" x14ac:dyDescent="0.25">
      <c r="A5056" s="35" t="s">
        <v>8342</v>
      </c>
      <c r="B5056" s="36" t="s">
        <v>8343</v>
      </c>
      <c r="C5056" s="36" t="str">
        <f>HYPERLINK("https://rhld.insurance.arkansas.gov/NPILookup?Npi=1891806782","1891806782")</f>
        <v>1891806782</v>
      </c>
      <c r="D5056" s="36" t="s">
        <v>37207</v>
      </c>
      <c r="E5056" s="36" t="s">
        <v>1</v>
      </c>
      <c r="F5056" s="36">
        <v>1</v>
      </c>
      <c r="G5056" s="36">
        <v>3</v>
      </c>
      <c r="H5056" s="36">
        <v>0</v>
      </c>
      <c r="I5056" s="37">
        <v>0</v>
      </c>
      <c r="J5056" s="36" t="s">
        <v>32654</v>
      </c>
      <c r="K5056" s="36" t="s">
        <v>14330</v>
      </c>
      <c r="L5056" s="36" t="s">
        <v>14330</v>
      </c>
      <c r="M5056">
        <v>3</v>
      </c>
      <c r="N5056" t="s">
        <v>14331</v>
      </c>
      <c r="O5056" t="s">
        <v>32633</v>
      </c>
    </row>
    <row r="5057" spans="1:15" x14ac:dyDescent="0.25">
      <c r="A5057" s="35" t="s">
        <v>8342</v>
      </c>
      <c r="B5057" s="36" t="s">
        <v>8343</v>
      </c>
      <c r="C5057" s="36" t="str">
        <f>HYPERLINK("https://rhld.insurance.arkansas.gov/NPILookup?Npi=1922722032","1922722032")</f>
        <v>1922722032</v>
      </c>
      <c r="D5057" s="36" t="s">
        <v>37208</v>
      </c>
      <c r="E5057" s="36" t="s">
        <v>1</v>
      </c>
      <c r="F5057" s="36">
        <v>1</v>
      </c>
      <c r="G5057" s="36">
        <v>3</v>
      </c>
      <c r="H5057" s="36">
        <v>0</v>
      </c>
      <c r="I5057" s="37">
        <v>0</v>
      </c>
      <c r="J5057" s="36" t="s">
        <v>32654</v>
      </c>
      <c r="K5057" s="36" t="s">
        <v>14330</v>
      </c>
      <c r="L5057" s="36" t="s">
        <v>14330</v>
      </c>
      <c r="M5057">
        <v>2</v>
      </c>
      <c r="N5057" t="s">
        <v>14331</v>
      </c>
      <c r="O5057" t="s">
        <v>32633</v>
      </c>
    </row>
    <row r="5058" spans="1:15" x14ac:dyDescent="0.25">
      <c r="A5058" s="35" t="s">
        <v>8342</v>
      </c>
      <c r="B5058" s="36" t="s">
        <v>8343</v>
      </c>
      <c r="C5058" s="36" t="str">
        <f>HYPERLINK("https://rhld.insurance.arkansas.gov/NPILookup?Npi=1932417631","1932417631")</f>
        <v>1932417631</v>
      </c>
      <c r="D5058" s="36" t="s">
        <v>37209</v>
      </c>
      <c r="E5058" s="36" t="s">
        <v>1</v>
      </c>
      <c r="F5058" s="36">
        <v>1</v>
      </c>
      <c r="G5058" s="36">
        <v>2</v>
      </c>
      <c r="H5058" s="36">
        <v>0</v>
      </c>
      <c r="I5058" s="37">
        <v>0</v>
      </c>
      <c r="J5058" s="36" t="s">
        <v>32654</v>
      </c>
      <c r="K5058" s="36" t="s">
        <v>14330</v>
      </c>
      <c r="L5058" s="36" t="s">
        <v>14330</v>
      </c>
      <c r="M5058">
        <v>2</v>
      </c>
      <c r="N5058" t="s">
        <v>14331</v>
      </c>
      <c r="O5058" t="s">
        <v>32633</v>
      </c>
    </row>
    <row r="5059" spans="1:15" x14ac:dyDescent="0.25">
      <c r="A5059" s="35" t="s">
        <v>8342</v>
      </c>
      <c r="B5059" s="36" t="s">
        <v>8343</v>
      </c>
      <c r="C5059" s="36" t="str">
        <f>HYPERLINK("https://rhld.insurance.arkansas.gov/NPILookup?Npi=1962455212","1962455212")</f>
        <v>1962455212</v>
      </c>
      <c r="D5059" s="36" t="s">
        <v>33459</v>
      </c>
      <c r="E5059" s="36" t="s">
        <v>1</v>
      </c>
      <c r="F5059" s="36">
        <v>1</v>
      </c>
      <c r="G5059" s="36">
        <v>2</v>
      </c>
      <c r="H5059" s="36">
        <v>0</v>
      </c>
      <c r="I5059" s="37">
        <v>0</v>
      </c>
      <c r="J5059" s="36" t="s">
        <v>32654</v>
      </c>
      <c r="K5059" s="36" t="s">
        <v>14330</v>
      </c>
      <c r="L5059" s="36" t="s">
        <v>14330</v>
      </c>
      <c r="M5059">
        <v>1</v>
      </c>
      <c r="N5059" t="s">
        <v>14331</v>
      </c>
      <c r="O5059" t="s">
        <v>32633</v>
      </c>
    </row>
    <row r="5060" spans="1:15" x14ac:dyDescent="0.25">
      <c r="A5060" s="35" t="s">
        <v>8342</v>
      </c>
      <c r="B5060" s="36" t="s">
        <v>8343</v>
      </c>
      <c r="C5060" s="36" t="str">
        <f>HYPERLINK("https://rhld.insurance.arkansas.gov/NPILookup?Npi=1962465740","1962465740")</f>
        <v>1962465740</v>
      </c>
      <c r="D5060" s="36" t="s">
        <v>37210</v>
      </c>
      <c r="E5060" s="36" t="s">
        <v>1</v>
      </c>
      <c r="F5060" s="36">
        <v>1</v>
      </c>
      <c r="G5060" s="36">
        <v>2</v>
      </c>
      <c r="H5060" s="36">
        <v>1</v>
      </c>
      <c r="I5060" s="37">
        <v>0</v>
      </c>
      <c r="J5060" s="36" t="s">
        <v>32654</v>
      </c>
      <c r="K5060" s="36" t="s">
        <v>14330</v>
      </c>
      <c r="L5060" s="36" t="s">
        <v>37211</v>
      </c>
      <c r="M5060">
        <v>3</v>
      </c>
      <c r="N5060" t="s">
        <v>14331</v>
      </c>
      <c r="O5060" t="s">
        <v>37212</v>
      </c>
    </row>
    <row r="5061" spans="1:15" x14ac:dyDescent="0.25">
      <c r="A5061" s="35" t="s">
        <v>8342</v>
      </c>
      <c r="B5061" s="36" t="s">
        <v>8343</v>
      </c>
      <c r="C5061" s="36" t="str">
        <f>HYPERLINK("https://rhld.insurance.arkansas.gov/NPILookup?Npi=1972777290","1972777290")</f>
        <v>1972777290</v>
      </c>
      <c r="D5061" s="36" t="s">
        <v>37213</v>
      </c>
      <c r="E5061" s="36" t="s">
        <v>1</v>
      </c>
      <c r="F5061" s="36">
        <v>1</v>
      </c>
      <c r="G5061" s="36">
        <v>3</v>
      </c>
      <c r="H5061" s="36">
        <v>0</v>
      </c>
      <c r="I5061" s="37">
        <v>0</v>
      </c>
      <c r="J5061" s="36" t="s">
        <v>32654</v>
      </c>
      <c r="K5061" s="36" t="s">
        <v>14330</v>
      </c>
      <c r="L5061" s="36" t="s">
        <v>14330</v>
      </c>
      <c r="M5061">
        <v>2</v>
      </c>
      <c r="N5061" t="s">
        <v>14331</v>
      </c>
      <c r="O5061" t="s">
        <v>32633</v>
      </c>
    </row>
    <row r="5062" spans="1:15" x14ac:dyDescent="0.25">
      <c r="A5062" s="35" t="s">
        <v>8342</v>
      </c>
      <c r="B5062" s="36" t="s">
        <v>8343</v>
      </c>
      <c r="C5062" s="36" t="str">
        <f>HYPERLINK("https://rhld.insurance.arkansas.gov/NPILookup?Npi=1992749329","1992749329")</f>
        <v>1992749329</v>
      </c>
      <c r="D5062" s="36" t="s">
        <v>37214</v>
      </c>
      <c r="E5062" s="36" t="s">
        <v>1</v>
      </c>
      <c r="F5062" s="36">
        <v>1</v>
      </c>
      <c r="G5062" s="36">
        <v>2</v>
      </c>
      <c r="H5062" s="36">
        <v>0</v>
      </c>
      <c r="I5062" s="37">
        <v>0</v>
      </c>
      <c r="J5062" s="36" t="s">
        <v>32654</v>
      </c>
      <c r="K5062" s="36" t="s">
        <v>14330</v>
      </c>
      <c r="L5062" s="36" t="s">
        <v>14330</v>
      </c>
      <c r="M5062">
        <v>2</v>
      </c>
      <c r="N5062" t="s">
        <v>14331</v>
      </c>
      <c r="O5062" t="s">
        <v>32633</v>
      </c>
    </row>
    <row r="5063" spans="1:15" x14ac:dyDescent="0.25">
      <c r="A5063" s="35" t="s">
        <v>8390</v>
      </c>
      <c r="B5063" s="36" t="s">
        <v>8391</v>
      </c>
      <c r="C5063" s="36" t="str">
        <f>HYPERLINK("https://rhld.insurance.arkansas.gov/NPILookup?Npi=1013263797","1013263797")</f>
        <v>1013263797</v>
      </c>
      <c r="D5063" s="36" t="s">
        <v>37215</v>
      </c>
      <c r="E5063" s="36" t="s">
        <v>2</v>
      </c>
      <c r="F5063" s="36">
        <v>1</v>
      </c>
      <c r="G5063" s="36">
        <v>2</v>
      </c>
      <c r="H5063" s="36">
        <v>0</v>
      </c>
      <c r="I5063" s="37">
        <v>0</v>
      </c>
      <c r="J5063" s="36" t="s">
        <v>32679</v>
      </c>
      <c r="K5063" s="36" t="s">
        <v>14330</v>
      </c>
      <c r="L5063" s="36" t="s">
        <v>14330</v>
      </c>
      <c r="M5063">
        <v>2</v>
      </c>
      <c r="N5063" t="s">
        <v>14331</v>
      </c>
      <c r="O5063" t="s">
        <v>14333</v>
      </c>
    </row>
    <row r="5064" spans="1:15" x14ac:dyDescent="0.25">
      <c r="A5064" s="35" t="s">
        <v>8390</v>
      </c>
      <c r="B5064" s="36" t="s">
        <v>8391</v>
      </c>
      <c r="C5064" s="36" t="str">
        <f>HYPERLINK("https://rhld.insurance.arkansas.gov/NPILookup?Npi=1073541512","1073541512")</f>
        <v>1073541512</v>
      </c>
      <c r="D5064" s="36" t="s">
        <v>37216</v>
      </c>
      <c r="E5064" s="36" t="s">
        <v>2</v>
      </c>
      <c r="F5064" s="36">
        <v>1</v>
      </c>
      <c r="G5064" s="36">
        <v>2</v>
      </c>
      <c r="H5064" s="36">
        <v>0</v>
      </c>
      <c r="I5064" s="37">
        <v>0</v>
      </c>
      <c r="J5064" s="36" t="s">
        <v>32679</v>
      </c>
      <c r="K5064" s="36" t="s">
        <v>14330</v>
      </c>
      <c r="L5064" s="36" t="s">
        <v>14330</v>
      </c>
      <c r="M5064">
        <v>0</v>
      </c>
      <c r="N5064" t="s">
        <v>14331</v>
      </c>
      <c r="O5064" t="s">
        <v>14333</v>
      </c>
    </row>
    <row r="5065" spans="1:15" x14ac:dyDescent="0.25">
      <c r="A5065" s="35" t="s">
        <v>8390</v>
      </c>
      <c r="B5065" s="36" t="s">
        <v>8391</v>
      </c>
      <c r="C5065" s="36" t="str">
        <f>HYPERLINK("https://rhld.insurance.arkansas.gov/NPILookup?Npi=1255694600","1255694600")</f>
        <v>1255694600</v>
      </c>
      <c r="D5065" s="36" t="s">
        <v>35195</v>
      </c>
      <c r="E5065" s="36" t="s">
        <v>1</v>
      </c>
      <c r="F5065" s="36">
        <v>1</v>
      </c>
      <c r="G5065" s="36">
        <v>1</v>
      </c>
      <c r="H5065" s="36">
        <v>1</v>
      </c>
      <c r="I5065" s="37">
        <v>0</v>
      </c>
      <c r="J5065" s="36" t="s">
        <v>32654</v>
      </c>
      <c r="K5065" s="36" t="s">
        <v>14330</v>
      </c>
      <c r="L5065" s="36" t="s">
        <v>37217</v>
      </c>
      <c r="M5065">
        <v>3</v>
      </c>
      <c r="N5065" t="s">
        <v>14332</v>
      </c>
      <c r="O5065" t="s">
        <v>32591</v>
      </c>
    </row>
    <row r="5066" spans="1:15" x14ac:dyDescent="0.25">
      <c r="A5066" s="35" t="s">
        <v>8390</v>
      </c>
      <c r="B5066" s="36" t="s">
        <v>8391</v>
      </c>
      <c r="C5066" s="36" t="str">
        <f>HYPERLINK("https://rhld.insurance.arkansas.gov/NPILookup?Npi=1427430214","1427430214")</f>
        <v>1427430214</v>
      </c>
      <c r="D5066" s="36" t="s">
        <v>35422</v>
      </c>
      <c r="E5066" s="36" t="s">
        <v>1</v>
      </c>
      <c r="F5066" s="36">
        <v>1</v>
      </c>
      <c r="G5066" s="36">
        <v>3</v>
      </c>
      <c r="H5066" s="36">
        <v>0</v>
      </c>
      <c r="I5066" s="37">
        <v>0</v>
      </c>
      <c r="J5066" s="36" t="s">
        <v>32654</v>
      </c>
      <c r="K5066" s="36" t="s">
        <v>14330</v>
      </c>
      <c r="L5066" s="36" t="s">
        <v>14330</v>
      </c>
      <c r="M5066">
        <v>2</v>
      </c>
      <c r="N5066" t="s">
        <v>14331</v>
      </c>
      <c r="O5066" t="s">
        <v>32633</v>
      </c>
    </row>
    <row r="5067" spans="1:15" x14ac:dyDescent="0.25">
      <c r="A5067" s="35" t="s">
        <v>8390</v>
      </c>
      <c r="B5067" s="36" t="s">
        <v>8391</v>
      </c>
      <c r="C5067" s="36" t="str">
        <f>HYPERLINK("https://rhld.insurance.arkansas.gov/NPILookup?Npi=1518908854","1518908854")</f>
        <v>1518908854</v>
      </c>
      <c r="D5067" s="36" t="s">
        <v>37218</v>
      </c>
      <c r="E5067" s="36" t="s">
        <v>1</v>
      </c>
      <c r="F5067" s="36">
        <v>1</v>
      </c>
      <c r="G5067" s="36">
        <v>2</v>
      </c>
      <c r="H5067" s="36">
        <v>0</v>
      </c>
      <c r="I5067" s="37">
        <v>0</v>
      </c>
      <c r="J5067" s="36" t="s">
        <v>32654</v>
      </c>
      <c r="K5067" s="36" t="s">
        <v>14330</v>
      </c>
      <c r="L5067" s="36" t="s">
        <v>14330</v>
      </c>
      <c r="M5067">
        <v>-1</v>
      </c>
      <c r="N5067" t="s">
        <v>14331</v>
      </c>
      <c r="O5067" t="s">
        <v>32633</v>
      </c>
    </row>
    <row r="5068" spans="1:15" x14ac:dyDescent="0.25">
      <c r="A5068" s="35" t="s">
        <v>8390</v>
      </c>
      <c r="B5068" s="36" t="s">
        <v>8391</v>
      </c>
      <c r="C5068" s="36" t="str">
        <f>HYPERLINK("https://rhld.insurance.arkansas.gov/NPILookup?Npi=1538543632","1538543632")</f>
        <v>1538543632</v>
      </c>
      <c r="D5068" s="36" t="s">
        <v>32708</v>
      </c>
      <c r="E5068" s="36" t="s">
        <v>1</v>
      </c>
      <c r="F5068" s="36">
        <v>1</v>
      </c>
      <c r="G5068" s="36">
        <v>1</v>
      </c>
      <c r="H5068" s="36">
        <v>2</v>
      </c>
      <c r="I5068" s="37">
        <v>0</v>
      </c>
      <c r="J5068" s="36" t="s">
        <v>32654</v>
      </c>
      <c r="K5068" s="36" t="s">
        <v>14330</v>
      </c>
      <c r="L5068" s="36" t="s">
        <v>37219</v>
      </c>
      <c r="M5068">
        <v>4</v>
      </c>
      <c r="N5068" t="s">
        <v>14332</v>
      </c>
      <c r="O5068" t="s">
        <v>32591</v>
      </c>
    </row>
    <row r="5069" spans="1:15" x14ac:dyDescent="0.25">
      <c r="A5069" s="35" t="s">
        <v>8390</v>
      </c>
      <c r="B5069" s="36" t="s">
        <v>8391</v>
      </c>
      <c r="C5069" s="36" t="str">
        <f>HYPERLINK("https://rhld.insurance.arkansas.gov/NPILookup?Npi=1538798988","1538798988")</f>
        <v>1538798988</v>
      </c>
      <c r="D5069" s="36" t="s">
        <v>35588</v>
      </c>
      <c r="E5069" s="36" t="s">
        <v>1</v>
      </c>
      <c r="F5069" s="36">
        <v>2</v>
      </c>
      <c r="G5069" s="36">
        <v>4</v>
      </c>
      <c r="H5069" s="36">
        <v>0</v>
      </c>
      <c r="I5069" s="37">
        <v>0</v>
      </c>
      <c r="J5069" s="36" t="s">
        <v>37220</v>
      </c>
      <c r="K5069" s="36" t="s">
        <v>14330</v>
      </c>
      <c r="L5069" s="36" t="s">
        <v>14330</v>
      </c>
      <c r="M5069">
        <v>2</v>
      </c>
      <c r="N5069" t="s">
        <v>14331</v>
      </c>
      <c r="O5069" t="s">
        <v>32633</v>
      </c>
    </row>
    <row r="5070" spans="1:15" x14ac:dyDescent="0.25">
      <c r="A5070" s="35" t="s">
        <v>8390</v>
      </c>
      <c r="B5070" s="36" t="s">
        <v>8391</v>
      </c>
      <c r="C5070" s="36" t="str">
        <f>HYPERLINK("https://rhld.insurance.arkansas.gov/NPILookup?Npi=1568026466","1568026466")</f>
        <v>1568026466</v>
      </c>
      <c r="D5070" s="36" t="s">
        <v>37221</v>
      </c>
      <c r="E5070" s="36" t="s">
        <v>1</v>
      </c>
      <c r="F5070" s="36">
        <v>1</v>
      </c>
      <c r="G5070" s="36">
        <v>2</v>
      </c>
      <c r="H5070" s="36">
        <v>0</v>
      </c>
      <c r="I5070" s="37">
        <v>0</v>
      </c>
      <c r="J5070" s="36" t="s">
        <v>32723</v>
      </c>
      <c r="K5070" s="36" t="s">
        <v>14330</v>
      </c>
      <c r="L5070" s="36" t="s">
        <v>14330</v>
      </c>
      <c r="M5070">
        <v>3</v>
      </c>
      <c r="N5070" t="s">
        <v>14331</v>
      </c>
      <c r="O5070" t="s">
        <v>32724</v>
      </c>
    </row>
    <row r="5071" spans="1:15" x14ac:dyDescent="0.25">
      <c r="A5071" s="35" t="s">
        <v>8390</v>
      </c>
      <c r="B5071" s="36" t="s">
        <v>8391</v>
      </c>
      <c r="C5071" s="36" t="str">
        <f>HYPERLINK("https://rhld.insurance.arkansas.gov/NPILookup?Npi=1639559230","1639559230")</f>
        <v>1639559230</v>
      </c>
      <c r="D5071" s="36" t="s">
        <v>37222</v>
      </c>
      <c r="E5071" s="36" t="s">
        <v>1</v>
      </c>
      <c r="F5071" s="36">
        <v>1</v>
      </c>
      <c r="G5071" s="36">
        <v>3</v>
      </c>
      <c r="H5071" s="36">
        <v>0</v>
      </c>
      <c r="I5071" s="37">
        <v>0</v>
      </c>
      <c r="J5071" s="36" t="s">
        <v>32654</v>
      </c>
      <c r="K5071" s="36" t="s">
        <v>14330</v>
      </c>
      <c r="L5071" s="36" t="s">
        <v>14330</v>
      </c>
      <c r="M5071">
        <v>3</v>
      </c>
      <c r="N5071" t="s">
        <v>14331</v>
      </c>
      <c r="O5071" t="s">
        <v>32633</v>
      </c>
    </row>
    <row r="5072" spans="1:15" x14ac:dyDescent="0.25">
      <c r="A5072" s="35" t="s">
        <v>8390</v>
      </c>
      <c r="B5072" s="36" t="s">
        <v>8391</v>
      </c>
      <c r="C5072" s="36" t="str">
        <f>HYPERLINK("https://rhld.insurance.arkansas.gov/NPILookup?Npi=1649761917","1649761917")</f>
        <v>1649761917</v>
      </c>
      <c r="D5072" s="36" t="s">
        <v>37223</v>
      </c>
      <c r="E5072" s="36" t="s">
        <v>1</v>
      </c>
      <c r="F5072" s="36">
        <v>1</v>
      </c>
      <c r="G5072" s="36">
        <v>3</v>
      </c>
      <c r="H5072" s="36">
        <v>0</v>
      </c>
      <c r="I5072" s="37">
        <v>0</v>
      </c>
      <c r="J5072" s="36" t="s">
        <v>32654</v>
      </c>
      <c r="K5072" s="36" t="s">
        <v>14330</v>
      </c>
      <c r="L5072" s="36" t="s">
        <v>14330</v>
      </c>
      <c r="M5072">
        <v>0</v>
      </c>
      <c r="N5072" t="s">
        <v>14331</v>
      </c>
      <c r="O5072" t="s">
        <v>32633</v>
      </c>
    </row>
    <row r="5073" spans="1:15" x14ac:dyDescent="0.25">
      <c r="A5073" s="35" t="s">
        <v>8390</v>
      </c>
      <c r="B5073" s="36" t="s">
        <v>8391</v>
      </c>
      <c r="C5073" s="36" t="str">
        <f>HYPERLINK("https://rhld.insurance.arkansas.gov/NPILookup?Npi=1659758753","1659758753")</f>
        <v>1659758753</v>
      </c>
      <c r="D5073" s="36" t="s">
        <v>35747</v>
      </c>
      <c r="E5073" s="36" t="s">
        <v>1</v>
      </c>
      <c r="F5073" s="36">
        <v>1</v>
      </c>
      <c r="G5073" s="36">
        <v>1</v>
      </c>
      <c r="H5073" s="36">
        <v>1</v>
      </c>
      <c r="I5073" s="37">
        <v>0</v>
      </c>
      <c r="J5073" s="36" t="s">
        <v>32654</v>
      </c>
      <c r="K5073" s="36" t="s">
        <v>14330</v>
      </c>
      <c r="L5073" s="36" t="s">
        <v>37217</v>
      </c>
      <c r="M5073">
        <v>1</v>
      </c>
      <c r="N5073" t="s">
        <v>14332</v>
      </c>
      <c r="O5073" t="s">
        <v>32591</v>
      </c>
    </row>
    <row r="5074" spans="1:15" x14ac:dyDescent="0.25">
      <c r="A5074" s="35" t="s">
        <v>8390</v>
      </c>
      <c r="B5074" s="36" t="s">
        <v>8391</v>
      </c>
      <c r="C5074" s="36" t="str">
        <f>HYPERLINK("https://rhld.insurance.arkansas.gov/NPILookup?Npi=1710973532","1710973532")</f>
        <v>1710973532</v>
      </c>
      <c r="D5074" s="36" t="s">
        <v>37224</v>
      </c>
      <c r="E5074" s="36" t="s">
        <v>2</v>
      </c>
      <c r="F5074" s="36">
        <v>1</v>
      </c>
      <c r="G5074" s="36">
        <v>1</v>
      </c>
      <c r="H5074" s="36">
        <v>0</v>
      </c>
      <c r="I5074" s="37">
        <v>0</v>
      </c>
      <c r="J5074" s="36" t="s">
        <v>32679</v>
      </c>
      <c r="K5074" s="36" t="s">
        <v>14330</v>
      </c>
      <c r="L5074" s="36" t="s">
        <v>14330</v>
      </c>
      <c r="M5074">
        <v>2</v>
      </c>
      <c r="N5074" t="s">
        <v>14331</v>
      </c>
      <c r="O5074" t="s">
        <v>32633</v>
      </c>
    </row>
    <row r="5075" spans="1:15" x14ac:dyDescent="0.25">
      <c r="A5075" s="35" t="s">
        <v>8390</v>
      </c>
      <c r="B5075" s="36" t="s">
        <v>8391</v>
      </c>
      <c r="C5075" s="36" t="str">
        <f>HYPERLINK("https://rhld.insurance.arkansas.gov/NPILookup?Npi=1720081789","1720081789")</f>
        <v>1720081789</v>
      </c>
      <c r="D5075" s="36" t="s">
        <v>35821</v>
      </c>
      <c r="E5075" s="36" t="s">
        <v>1</v>
      </c>
      <c r="F5075" s="36">
        <v>1</v>
      </c>
      <c r="G5075" s="36">
        <v>2</v>
      </c>
      <c r="H5075" s="36">
        <v>0</v>
      </c>
      <c r="I5075" s="37">
        <v>0</v>
      </c>
      <c r="J5075" s="36" t="s">
        <v>32654</v>
      </c>
      <c r="K5075" s="36" t="s">
        <v>14330</v>
      </c>
      <c r="L5075" s="36" t="s">
        <v>14330</v>
      </c>
      <c r="M5075">
        <v>3</v>
      </c>
      <c r="N5075" t="s">
        <v>14331</v>
      </c>
      <c r="O5075" t="s">
        <v>32633</v>
      </c>
    </row>
    <row r="5076" spans="1:15" x14ac:dyDescent="0.25">
      <c r="A5076" s="35" t="s">
        <v>8390</v>
      </c>
      <c r="B5076" s="36" t="s">
        <v>8391</v>
      </c>
      <c r="C5076" s="36" t="str">
        <f>HYPERLINK("https://rhld.insurance.arkansas.gov/NPILookup?Npi=1841557089","1841557089")</f>
        <v>1841557089</v>
      </c>
      <c r="D5076" s="36" t="s">
        <v>37225</v>
      </c>
      <c r="E5076" s="36" t="s">
        <v>1</v>
      </c>
      <c r="F5076" s="36">
        <v>1</v>
      </c>
      <c r="G5076" s="36">
        <v>3</v>
      </c>
      <c r="H5076" s="36">
        <v>0</v>
      </c>
      <c r="I5076" s="37">
        <v>0</v>
      </c>
      <c r="J5076" s="36" t="s">
        <v>37226</v>
      </c>
      <c r="K5076" s="36" t="s">
        <v>14330</v>
      </c>
      <c r="L5076" s="36" t="s">
        <v>14330</v>
      </c>
      <c r="M5076">
        <v>-1</v>
      </c>
      <c r="N5076" t="s">
        <v>14331</v>
      </c>
      <c r="O5076" t="s">
        <v>32633</v>
      </c>
    </row>
    <row r="5077" spans="1:15" x14ac:dyDescent="0.25">
      <c r="A5077" s="35" t="s">
        <v>8390</v>
      </c>
      <c r="B5077" s="36" t="s">
        <v>8391</v>
      </c>
      <c r="C5077" s="36" t="str">
        <f>HYPERLINK("https://rhld.insurance.arkansas.gov/NPILookup?Npi=1871955526","1871955526")</f>
        <v>1871955526</v>
      </c>
      <c r="D5077" s="36" t="s">
        <v>37227</v>
      </c>
      <c r="E5077" s="36" t="s">
        <v>1</v>
      </c>
      <c r="F5077" s="36">
        <v>1</v>
      </c>
      <c r="G5077" s="36">
        <v>1</v>
      </c>
      <c r="H5077" s="36">
        <v>2</v>
      </c>
      <c r="I5077" s="37">
        <v>0</v>
      </c>
      <c r="J5077" s="36" t="s">
        <v>32654</v>
      </c>
      <c r="K5077" s="36" t="s">
        <v>14330</v>
      </c>
      <c r="L5077" s="36" t="s">
        <v>37228</v>
      </c>
      <c r="M5077">
        <v>1</v>
      </c>
      <c r="N5077" t="s">
        <v>14332</v>
      </c>
      <c r="O5077" t="s">
        <v>32591</v>
      </c>
    </row>
    <row r="5078" spans="1:15" x14ac:dyDescent="0.25">
      <c r="A5078" s="35" t="s">
        <v>8390</v>
      </c>
      <c r="B5078" s="36" t="s">
        <v>8391</v>
      </c>
      <c r="C5078" s="36" t="str">
        <f>HYPERLINK("https://rhld.insurance.arkansas.gov/NPILookup?Npi=1891704227","1891704227")</f>
        <v>1891704227</v>
      </c>
      <c r="D5078" s="36" t="s">
        <v>36053</v>
      </c>
      <c r="E5078" s="36" t="s">
        <v>1</v>
      </c>
      <c r="F5078" s="36">
        <v>1</v>
      </c>
      <c r="G5078" s="36">
        <v>2</v>
      </c>
      <c r="H5078" s="36">
        <v>1</v>
      </c>
      <c r="I5078" s="37">
        <v>0</v>
      </c>
      <c r="J5078" s="36" t="s">
        <v>32654</v>
      </c>
      <c r="K5078" s="36" t="s">
        <v>14330</v>
      </c>
      <c r="L5078" s="36" t="s">
        <v>37229</v>
      </c>
      <c r="M5078">
        <v>2</v>
      </c>
      <c r="N5078" t="s">
        <v>14332</v>
      </c>
      <c r="O5078" t="s">
        <v>32591</v>
      </c>
    </row>
    <row r="5079" spans="1:15" x14ac:dyDescent="0.25">
      <c r="A5079" s="35" t="s">
        <v>8390</v>
      </c>
      <c r="B5079" s="36" t="s">
        <v>8391</v>
      </c>
      <c r="C5079" s="36" t="str">
        <f>HYPERLINK("https://rhld.insurance.arkansas.gov/NPILookup?Npi=1922023183","1922023183")</f>
        <v>1922023183</v>
      </c>
      <c r="D5079" s="36" t="s">
        <v>37230</v>
      </c>
      <c r="E5079" s="36" t="s">
        <v>2</v>
      </c>
      <c r="F5079" s="36">
        <v>1</v>
      </c>
      <c r="G5079" s="36">
        <v>2</v>
      </c>
      <c r="H5079" s="36">
        <v>0</v>
      </c>
      <c r="I5079" s="37">
        <v>0</v>
      </c>
      <c r="J5079" s="36" t="s">
        <v>32679</v>
      </c>
      <c r="K5079" s="36" t="s">
        <v>14330</v>
      </c>
      <c r="L5079" s="36" t="s">
        <v>14330</v>
      </c>
      <c r="M5079">
        <v>3</v>
      </c>
      <c r="N5079" t="s">
        <v>14331</v>
      </c>
      <c r="O5079" t="s">
        <v>14333</v>
      </c>
    </row>
    <row r="5080" spans="1:15" x14ac:dyDescent="0.25">
      <c r="A5080" s="35" t="s">
        <v>8390</v>
      </c>
      <c r="B5080" s="36" t="s">
        <v>8391</v>
      </c>
      <c r="C5080" s="36" t="str">
        <f>HYPERLINK("https://rhld.insurance.arkansas.gov/NPILookup?Npi=1932193687","1932193687")</f>
        <v>1932193687</v>
      </c>
      <c r="D5080" s="36" t="s">
        <v>33443</v>
      </c>
      <c r="E5080" s="36" t="s">
        <v>1</v>
      </c>
      <c r="F5080" s="36">
        <v>1</v>
      </c>
      <c r="G5080" s="36">
        <v>3</v>
      </c>
      <c r="H5080" s="36">
        <v>0</v>
      </c>
      <c r="I5080" s="37">
        <v>0</v>
      </c>
      <c r="J5080" s="36" t="s">
        <v>32654</v>
      </c>
      <c r="K5080" s="36" t="s">
        <v>14330</v>
      </c>
      <c r="L5080" s="36" t="s">
        <v>14330</v>
      </c>
      <c r="M5080">
        <v>2</v>
      </c>
      <c r="N5080" t="s">
        <v>14331</v>
      </c>
      <c r="O5080" t="s">
        <v>32633</v>
      </c>
    </row>
    <row r="5081" spans="1:15" x14ac:dyDescent="0.25">
      <c r="A5081" s="35" t="s">
        <v>8390</v>
      </c>
      <c r="B5081" s="36" t="s">
        <v>8391</v>
      </c>
      <c r="C5081" s="36" t="str">
        <f>HYPERLINK("https://rhld.insurance.arkansas.gov/NPILookup?Npi=1962792309","1962792309")</f>
        <v>1962792309</v>
      </c>
      <c r="D5081" s="36" t="s">
        <v>37231</v>
      </c>
      <c r="E5081" s="36" t="s">
        <v>1</v>
      </c>
      <c r="F5081" s="36">
        <v>1</v>
      </c>
      <c r="G5081" s="36">
        <v>2</v>
      </c>
      <c r="H5081" s="36">
        <v>0</v>
      </c>
      <c r="I5081" s="37">
        <v>0</v>
      </c>
      <c r="J5081" s="36" t="s">
        <v>32723</v>
      </c>
      <c r="K5081" s="36" t="s">
        <v>14330</v>
      </c>
      <c r="L5081" s="36" t="s">
        <v>14330</v>
      </c>
      <c r="M5081">
        <v>2</v>
      </c>
      <c r="N5081" t="s">
        <v>14331</v>
      </c>
      <c r="O5081" t="s">
        <v>32724</v>
      </c>
    </row>
    <row r="5082" spans="1:15" x14ac:dyDescent="0.25">
      <c r="A5082" s="35" t="s">
        <v>8390</v>
      </c>
      <c r="B5082" s="36" t="s">
        <v>8391</v>
      </c>
      <c r="C5082" s="36" t="str">
        <f>HYPERLINK("https://rhld.insurance.arkansas.gov/NPILookup?Npi=1982691804","1982691804")</f>
        <v>1982691804</v>
      </c>
      <c r="D5082" s="36" t="s">
        <v>37232</v>
      </c>
      <c r="E5082" s="36" t="s">
        <v>2</v>
      </c>
      <c r="F5082" s="36">
        <v>1</v>
      </c>
      <c r="G5082" s="36">
        <v>2</v>
      </c>
      <c r="H5082" s="36">
        <v>0</v>
      </c>
      <c r="I5082" s="37">
        <v>0</v>
      </c>
      <c r="J5082" s="36" t="s">
        <v>32679</v>
      </c>
      <c r="K5082" s="36" t="s">
        <v>14330</v>
      </c>
      <c r="L5082" s="36" t="s">
        <v>14330</v>
      </c>
      <c r="M5082">
        <v>2</v>
      </c>
      <c r="N5082" t="s">
        <v>14331</v>
      </c>
      <c r="O5082" t="s">
        <v>14333</v>
      </c>
    </row>
    <row r="5083" spans="1:15" x14ac:dyDescent="0.25">
      <c r="A5083" s="35" t="s">
        <v>8410</v>
      </c>
      <c r="B5083" s="36" t="s">
        <v>8411</v>
      </c>
      <c r="C5083" s="36" t="str">
        <f>HYPERLINK("https://rhld.insurance.arkansas.gov/NPILookup?Npi=1154306603","1154306603")</f>
        <v>1154306603</v>
      </c>
      <c r="D5083" s="36" t="s">
        <v>37233</v>
      </c>
      <c r="E5083" s="36" t="s">
        <v>2</v>
      </c>
      <c r="F5083" s="36">
        <v>2</v>
      </c>
      <c r="G5083" s="36">
        <v>2</v>
      </c>
      <c r="H5083" s="36">
        <v>0</v>
      </c>
      <c r="I5083" s="37">
        <v>0</v>
      </c>
      <c r="J5083" s="36" t="s">
        <v>33004</v>
      </c>
      <c r="K5083" s="36" t="s">
        <v>14330</v>
      </c>
      <c r="L5083" s="36" t="s">
        <v>14330</v>
      </c>
      <c r="M5083">
        <v>2</v>
      </c>
      <c r="N5083" t="s">
        <v>14331</v>
      </c>
      <c r="O5083" t="s">
        <v>14333</v>
      </c>
    </row>
    <row r="5084" spans="1:15" x14ac:dyDescent="0.25">
      <c r="A5084" s="35" t="s">
        <v>8410</v>
      </c>
      <c r="B5084" s="36" t="s">
        <v>8411</v>
      </c>
      <c r="C5084" s="36" t="str">
        <f>HYPERLINK("https://rhld.insurance.arkansas.gov/NPILookup?Npi=1295808913","1295808913")</f>
        <v>1295808913</v>
      </c>
      <c r="D5084" s="36" t="s">
        <v>37234</v>
      </c>
      <c r="E5084" s="36" t="s">
        <v>1</v>
      </c>
      <c r="F5084" s="36">
        <v>1</v>
      </c>
      <c r="G5084" s="36">
        <v>2</v>
      </c>
      <c r="H5084" s="36">
        <v>0</v>
      </c>
      <c r="I5084" s="37">
        <v>0</v>
      </c>
      <c r="J5084" s="36" t="s">
        <v>14335</v>
      </c>
      <c r="K5084" s="36" t="s">
        <v>14330</v>
      </c>
      <c r="L5084" s="36" t="s">
        <v>14330</v>
      </c>
      <c r="M5084">
        <v>1</v>
      </c>
      <c r="N5084" t="s">
        <v>14331</v>
      </c>
      <c r="O5084" t="s">
        <v>32633</v>
      </c>
    </row>
    <row r="5085" spans="1:15" x14ac:dyDescent="0.25">
      <c r="A5085" s="35" t="s">
        <v>8410</v>
      </c>
      <c r="B5085" s="36" t="s">
        <v>8411</v>
      </c>
      <c r="C5085" s="36" t="str">
        <f>HYPERLINK("https://rhld.insurance.arkansas.gov/NPILookup?Npi=1346330834","1346330834")</f>
        <v>1346330834</v>
      </c>
      <c r="D5085" s="36" t="s">
        <v>37235</v>
      </c>
      <c r="E5085" s="36" t="s">
        <v>1</v>
      </c>
      <c r="F5085" s="36">
        <v>1</v>
      </c>
      <c r="G5085" s="36">
        <v>2</v>
      </c>
      <c r="H5085" s="36">
        <v>1</v>
      </c>
      <c r="I5085" s="37">
        <v>0</v>
      </c>
      <c r="J5085" s="36" t="s">
        <v>32654</v>
      </c>
      <c r="K5085" s="36" t="s">
        <v>14330</v>
      </c>
      <c r="L5085" s="36" t="s">
        <v>37236</v>
      </c>
      <c r="M5085">
        <v>2</v>
      </c>
      <c r="N5085" t="s">
        <v>14332</v>
      </c>
      <c r="O5085" t="s">
        <v>32591</v>
      </c>
    </row>
    <row r="5086" spans="1:15" x14ac:dyDescent="0.25">
      <c r="A5086" s="35" t="s">
        <v>8410</v>
      </c>
      <c r="B5086" s="36" t="s">
        <v>8411</v>
      </c>
      <c r="C5086" s="36" t="str">
        <f>HYPERLINK("https://rhld.insurance.arkansas.gov/NPILookup?Npi=1689605784","1689605784")</f>
        <v>1689605784</v>
      </c>
      <c r="D5086" s="36" t="s">
        <v>37237</v>
      </c>
      <c r="E5086" s="36" t="s">
        <v>2</v>
      </c>
      <c r="F5086" s="36">
        <v>1</v>
      </c>
      <c r="G5086" s="36">
        <v>2</v>
      </c>
      <c r="H5086" s="36">
        <v>0</v>
      </c>
      <c r="I5086" s="37">
        <v>0</v>
      </c>
      <c r="J5086" s="36" t="s">
        <v>32679</v>
      </c>
      <c r="K5086" s="36" t="s">
        <v>14330</v>
      </c>
      <c r="L5086" s="36" t="s">
        <v>14330</v>
      </c>
      <c r="M5086">
        <v>1</v>
      </c>
      <c r="N5086" t="s">
        <v>14331</v>
      </c>
      <c r="O5086" t="s">
        <v>14333</v>
      </c>
    </row>
    <row r="5087" spans="1:15" x14ac:dyDescent="0.25">
      <c r="A5087" s="35" t="s">
        <v>8410</v>
      </c>
      <c r="B5087" s="36" t="s">
        <v>8411</v>
      </c>
      <c r="C5087" s="36" t="str">
        <f>HYPERLINK("https://rhld.insurance.arkansas.gov/NPILookup?Npi=1780927855","1780927855")</f>
        <v>1780927855</v>
      </c>
      <c r="D5087" s="36" t="s">
        <v>34079</v>
      </c>
      <c r="E5087" s="36" t="s">
        <v>1</v>
      </c>
      <c r="F5087" s="36">
        <v>1</v>
      </c>
      <c r="G5087" s="36">
        <v>2</v>
      </c>
      <c r="H5087" s="36">
        <v>1</v>
      </c>
      <c r="I5087" s="37">
        <v>0</v>
      </c>
      <c r="J5087" s="36" t="s">
        <v>32654</v>
      </c>
      <c r="K5087" s="36" t="s">
        <v>14330</v>
      </c>
      <c r="L5087" s="36" t="s">
        <v>37238</v>
      </c>
      <c r="M5087">
        <v>2</v>
      </c>
      <c r="N5087" t="s">
        <v>14332</v>
      </c>
      <c r="O5087" t="s">
        <v>32591</v>
      </c>
    </row>
    <row r="5088" spans="1:15" x14ac:dyDescent="0.25">
      <c r="A5088" s="35" t="s">
        <v>8418</v>
      </c>
      <c r="B5088" s="36" t="s">
        <v>8419</v>
      </c>
      <c r="C5088" s="36" t="str">
        <f>HYPERLINK("https://rhld.insurance.arkansas.gov/NPILookup?Npi=1013758614","1013758614")</f>
        <v>1013758614</v>
      </c>
      <c r="D5088" s="36" t="s">
        <v>37239</v>
      </c>
      <c r="E5088" s="36" t="s">
        <v>2</v>
      </c>
      <c r="F5088" s="36">
        <v>1</v>
      </c>
      <c r="G5088" s="36">
        <v>2</v>
      </c>
      <c r="H5088" s="36">
        <v>0</v>
      </c>
      <c r="I5088" s="37">
        <v>0</v>
      </c>
      <c r="J5088" s="36"/>
      <c r="K5088" s="36" t="s">
        <v>14330</v>
      </c>
      <c r="L5088" s="36" t="s">
        <v>14330</v>
      </c>
      <c r="M5088">
        <v>1</v>
      </c>
      <c r="N5088" t="s">
        <v>14331</v>
      </c>
      <c r="O5088" t="s">
        <v>14333</v>
      </c>
    </row>
    <row r="5089" spans="1:15" x14ac:dyDescent="0.25">
      <c r="A5089" s="35" t="s">
        <v>8418</v>
      </c>
      <c r="B5089" s="36" t="s">
        <v>8419</v>
      </c>
      <c r="C5089" s="36" t="str">
        <f>HYPERLINK("https://rhld.insurance.arkansas.gov/NPILookup?Npi=1043433287","1043433287")</f>
        <v>1043433287</v>
      </c>
      <c r="D5089" s="36" t="s">
        <v>37240</v>
      </c>
      <c r="E5089" s="36" t="s">
        <v>2</v>
      </c>
      <c r="F5089" s="36">
        <v>1</v>
      </c>
      <c r="G5089" s="36">
        <v>1</v>
      </c>
      <c r="H5089" s="36">
        <v>0</v>
      </c>
      <c r="I5089" s="37">
        <v>0</v>
      </c>
      <c r="J5089" s="36"/>
      <c r="K5089" s="36" t="s">
        <v>14330</v>
      </c>
      <c r="L5089" s="36" t="s">
        <v>14330</v>
      </c>
      <c r="M5089">
        <v>1</v>
      </c>
      <c r="N5089" t="s">
        <v>14331</v>
      </c>
      <c r="O5089" t="s">
        <v>32633</v>
      </c>
    </row>
    <row r="5090" spans="1:15" x14ac:dyDescent="0.25">
      <c r="A5090" s="35" t="s">
        <v>8418</v>
      </c>
      <c r="B5090" s="36" t="s">
        <v>8419</v>
      </c>
      <c r="C5090" s="36" t="str">
        <f>HYPERLINK("https://rhld.insurance.arkansas.gov/NPILookup?Npi=1043761687","1043761687")</f>
        <v>1043761687</v>
      </c>
      <c r="D5090" s="36" t="s">
        <v>37241</v>
      </c>
      <c r="E5090" s="36" t="s">
        <v>2</v>
      </c>
      <c r="F5090" s="36">
        <v>1</v>
      </c>
      <c r="G5090" s="36">
        <v>1</v>
      </c>
      <c r="H5090" s="36">
        <v>0</v>
      </c>
      <c r="I5090" s="37">
        <v>0</v>
      </c>
      <c r="J5090" s="36"/>
      <c r="K5090" s="36" t="s">
        <v>14330</v>
      </c>
      <c r="L5090" s="36" t="s">
        <v>14330</v>
      </c>
      <c r="M5090">
        <v>2</v>
      </c>
      <c r="N5090" t="s">
        <v>14331</v>
      </c>
      <c r="O5090" t="s">
        <v>32633</v>
      </c>
    </row>
    <row r="5091" spans="1:15" x14ac:dyDescent="0.25">
      <c r="A5091" s="35" t="s">
        <v>8418</v>
      </c>
      <c r="B5091" s="36" t="s">
        <v>8419</v>
      </c>
      <c r="C5091" s="36" t="str">
        <f>HYPERLINK("https://rhld.insurance.arkansas.gov/NPILookup?Npi=1053538587","1053538587")</f>
        <v>1053538587</v>
      </c>
      <c r="D5091" s="36" t="s">
        <v>37242</v>
      </c>
      <c r="E5091" s="36" t="s">
        <v>1</v>
      </c>
      <c r="F5091" s="36">
        <v>1</v>
      </c>
      <c r="G5091" s="36">
        <v>2</v>
      </c>
      <c r="H5091" s="36">
        <v>0</v>
      </c>
      <c r="I5091" s="37">
        <v>0</v>
      </c>
      <c r="J5091" s="36" t="s">
        <v>32654</v>
      </c>
      <c r="K5091" s="36" t="s">
        <v>14330</v>
      </c>
      <c r="L5091" s="36" t="s">
        <v>14330</v>
      </c>
      <c r="M5091">
        <v>2</v>
      </c>
      <c r="N5091" t="s">
        <v>14331</v>
      </c>
      <c r="O5091" t="s">
        <v>32633</v>
      </c>
    </row>
    <row r="5092" spans="1:15" x14ac:dyDescent="0.25">
      <c r="A5092" s="35" t="s">
        <v>8418</v>
      </c>
      <c r="B5092" s="36" t="s">
        <v>8419</v>
      </c>
      <c r="C5092" s="36" t="str">
        <f>HYPERLINK("https://rhld.insurance.arkansas.gov/NPILookup?Npi=1063130532","1063130532")</f>
        <v>1063130532</v>
      </c>
      <c r="D5092" s="36" t="s">
        <v>37243</v>
      </c>
      <c r="E5092" s="36" t="s">
        <v>2</v>
      </c>
      <c r="F5092" s="36">
        <v>1</v>
      </c>
      <c r="G5092" s="36">
        <v>2</v>
      </c>
      <c r="H5092" s="36">
        <v>0</v>
      </c>
      <c r="I5092" s="37">
        <v>0</v>
      </c>
      <c r="J5092" s="36"/>
      <c r="K5092" s="36" t="s">
        <v>14330</v>
      </c>
      <c r="L5092" s="36" t="s">
        <v>14330</v>
      </c>
      <c r="M5092">
        <v>1</v>
      </c>
      <c r="N5092" t="s">
        <v>14331</v>
      </c>
      <c r="O5092" t="s">
        <v>14333</v>
      </c>
    </row>
    <row r="5093" spans="1:15" x14ac:dyDescent="0.25">
      <c r="A5093" s="35" t="s">
        <v>8418</v>
      </c>
      <c r="B5093" s="36" t="s">
        <v>8419</v>
      </c>
      <c r="C5093" s="36" t="str">
        <f>HYPERLINK("https://rhld.insurance.arkansas.gov/NPILookup?Npi=1073232195","1073232195")</f>
        <v>1073232195</v>
      </c>
      <c r="D5093" s="36" t="s">
        <v>37244</v>
      </c>
      <c r="E5093" s="36" t="s">
        <v>2</v>
      </c>
      <c r="F5093" s="36">
        <v>1</v>
      </c>
      <c r="G5093" s="36">
        <v>1</v>
      </c>
      <c r="H5093" s="36">
        <v>0</v>
      </c>
      <c r="I5093" s="37">
        <v>0</v>
      </c>
      <c r="J5093" s="36"/>
      <c r="K5093" s="36" t="s">
        <v>14330</v>
      </c>
      <c r="L5093" s="36" t="s">
        <v>14330</v>
      </c>
      <c r="M5093">
        <v>1</v>
      </c>
      <c r="N5093" t="s">
        <v>14331</v>
      </c>
      <c r="O5093" t="s">
        <v>32633</v>
      </c>
    </row>
    <row r="5094" spans="1:15" x14ac:dyDescent="0.25">
      <c r="A5094" s="35" t="s">
        <v>8418</v>
      </c>
      <c r="B5094" s="36" t="s">
        <v>8419</v>
      </c>
      <c r="C5094" s="36" t="str">
        <f>HYPERLINK("https://rhld.insurance.arkansas.gov/NPILookup?Npi=1073380416","1073380416")</f>
        <v>1073380416</v>
      </c>
      <c r="D5094" s="36" t="s">
        <v>37245</v>
      </c>
      <c r="E5094" s="36" t="s">
        <v>2</v>
      </c>
      <c r="F5094" s="36">
        <v>1</v>
      </c>
      <c r="G5094" s="36">
        <v>1</v>
      </c>
      <c r="H5094" s="36">
        <v>0</v>
      </c>
      <c r="I5094" s="37">
        <v>0</v>
      </c>
      <c r="J5094" s="36"/>
      <c r="K5094" s="36" t="s">
        <v>14330</v>
      </c>
      <c r="L5094" s="36" t="s">
        <v>14330</v>
      </c>
      <c r="M5094">
        <v>1</v>
      </c>
      <c r="N5094" t="s">
        <v>14331</v>
      </c>
      <c r="O5094" t="s">
        <v>32633</v>
      </c>
    </row>
    <row r="5095" spans="1:15" x14ac:dyDescent="0.25">
      <c r="A5095" s="35" t="s">
        <v>8418</v>
      </c>
      <c r="B5095" s="36" t="s">
        <v>8419</v>
      </c>
      <c r="C5095" s="36" t="str">
        <f>HYPERLINK("https://rhld.insurance.arkansas.gov/NPILookup?Npi=1093409237","1093409237")</f>
        <v>1093409237</v>
      </c>
      <c r="D5095" s="36" t="s">
        <v>37246</v>
      </c>
      <c r="E5095" s="36" t="s">
        <v>2</v>
      </c>
      <c r="F5095" s="36">
        <v>1</v>
      </c>
      <c r="G5095" s="36">
        <v>1</v>
      </c>
      <c r="H5095" s="36">
        <v>0</v>
      </c>
      <c r="I5095" s="37">
        <v>0</v>
      </c>
      <c r="J5095" s="36"/>
      <c r="K5095" s="36" t="s">
        <v>14330</v>
      </c>
      <c r="L5095" s="36" t="s">
        <v>14330</v>
      </c>
      <c r="M5095">
        <v>1</v>
      </c>
      <c r="N5095" t="s">
        <v>14331</v>
      </c>
      <c r="O5095" t="s">
        <v>32633</v>
      </c>
    </row>
    <row r="5096" spans="1:15" x14ac:dyDescent="0.25">
      <c r="A5096" s="35" t="s">
        <v>8418</v>
      </c>
      <c r="B5096" s="36" t="s">
        <v>8419</v>
      </c>
      <c r="C5096" s="36" t="str">
        <f>HYPERLINK("https://rhld.insurance.arkansas.gov/NPILookup?Npi=1104697093","1104697093")</f>
        <v>1104697093</v>
      </c>
      <c r="D5096" s="36" t="s">
        <v>37247</v>
      </c>
      <c r="E5096" s="36" t="s">
        <v>2</v>
      </c>
      <c r="F5096" s="36">
        <v>1</v>
      </c>
      <c r="G5096" s="36">
        <v>1</v>
      </c>
      <c r="H5096" s="36">
        <v>0</v>
      </c>
      <c r="I5096" s="37">
        <v>0</v>
      </c>
      <c r="J5096" s="36"/>
      <c r="K5096" s="36" t="s">
        <v>14330</v>
      </c>
      <c r="L5096" s="36" t="s">
        <v>14330</v>
      </c>
      <c r="M5096">
        <v>1</v>
      </c>
      <c r="N5096" t="s">
        <v>14331</v>
      </c>
      <c r="O5096" t="s">
        <v>32633</v>
      </c>
    </row>
    <row r="5097" spans="1:15" x14ac:dyDescent="0.25">
      <c r="A5097" s="35" t="s">
        <v>8418</v>
      </c>
      <c r="B5097" s="36" t="s">
        <v>8419</v>
      </c>
      <c r="C5097" s="36" t="str">
        <f>HYPERLINK("https://rhld.insurance.arkansas.gov/NPILookup?Npi=1124127204","1124127204")</f>
        <v>1124127204</v>
      </c>
      <c r="D5097" s="36" t="s">
        <v>37248</v>
      </c>
      <c r="E5097" s="36" t="s">
        <v>2</v>
      </c>
      <c r="F5097" s="36">
        <v>1</v>
      </c>
      <c r="G5097" s="36">
        <v>1</v>
      </c>
      <c r="H5097" s="36">
        <v>0</v>
      </c>
      <c r="I5097" s="37">
        <v>0</v>
      </c>
      <c r="J5097" s="36"/>
      <c r="K5097" s="36" t="s">
        <v>14330</v>
      </c>
      <c r="L5097" s="36" t="s">
        <v>14330</v>
      </c>
      <c r="M5097">
        <v>1</v>
      </c>
      <c r="N5097" t="s">
        <v>14331</v>
      </c>
      <c r="O5097" t="s">
        <v>32633</v>
      </c>
    </row>
    <row r="5098" spans="1:15" x14ac:dyDescent="0.25">
      <c r="A5098" s="35" t="s">
        <v>8418</v>
      </c>
      <c r="B5098" s="36" t="s">
        <v>8419</v>
      </c>
      <c r="C5098" s="36" t="str">
        <f>HYPERLINK("https://rhld.insurance.arkansas.gov/NPILookup?Npi=1124711239","1124711239")</f>
        <v>1124711239</v>
      </c>
      <c r="D5098" s="36" t="s">
        <v>37249</v>
      </c>
      <c r="E5098" s="36" t="s">
        <v>2</v>
      </c>
      <c r="F5098" s="36">
        <v>1</v>
      </c>
      <c r="G5098" s="36">
        <v>1</v>
      </c>
      <c r="H5098" s="36">
        <v>0</v>
      </c>
      <c r="I5098" s="37">
        <v>0</v>
      </c>
      <c r="J5098" s="36"/>
      <c r="K5098" s="36" t="s">
        <v>14330</v>
      </c>
      <c r="L5098" s="36" t="s">
        <v>14330</v>
      </c>
      <c r="M5098">
        <v>2</v>
      </c>
      <c r="N5098" t="s">
        <v>14331</v>
      </c>
      <c r="O5098" t="s">
        <v>32633</v>
      </c>
    </row>
    <row r="5099" spans="1:15" x14ac:dyDescent="0.25">
      <c r="A5099" s="35" t="s">
        <v>8418</v>
      </c>
      <c r="B5099" s="36" t="s">
        <v>8419</v>
      </c>
      <c r="C5099" s="36" t="str">
        <f>HYPERLINK("https://rhld.insurance.arkansas.gov/NPILookup?Npi=1144818303","1144818303")</f>
        <v>1144818303</v>
      </c>
      <c r="D5099" s="36" t="s">
        <v>37250</v>
      </c>
      <c r="E5099" s="36" t="s">
        <v>1</v>
      </c>
      <c r="F5099" s="36">
        <v>1</v>
      </c>
      <c r="G5099" s="36">
        <v>2</v>
      </c>
      <c r="H5099" s="36">
        <v>0</v>
      </c>
      <c r="I5099" s="37">
        <v>0</v>
      </c>
      <c r="J5099" s="36" t="s">
        <v>37251</v>
      </c>
      <c r="K5099" s="36" t="s">
        <v>14330</v>
      </c>
      <c r="L5099" s="36" t="s">
        <v>14330</v>
      </c>
      <c r="M5099">
        <v>2</v>
      </c>
      <c r="N5099" t="s">
        <v>14331</v>
      </c>
      <c r="O5099" t="s">
        <v>32633</v>
      </c>
    </row>
    <row r="5100" spans="1:15" x14ac:dyDescent="0.25">
      <c r="A5100" s="35" t="s">
        <v>8418</v>
      </c>
      <c r="B5100" s="36" t="s">
        <v>8419</v>
      </c>
      <c r="C5100" s="36" t="str">
        <f>HYPERLINK("https://rhld.insurance.arkansas.gov/NPILookup?Npi=1154073864","1154073864")</f>
        <v>1154073864</v>
      </c>
      <c r="D5100" s="36" t="s">
        <v>37252</v>
      </c>
      <c r="E5100" s="36" t="s">
        <v>2</v>
      </c>
      <c r="F5100" s="36">
        <v>1</v>
      </c>
      <c r="G5100" s="36">
        <v>2</v>
      </c>
      <c r="H5100" s="36">
        <v>0</v>
      </c>
      <c r="I5100" s="37">
        <v>0</v>
      </c>
      <c r="J5100" s="36"/>
      <c r="K5100" s="36" t="s">
        <v>14330</v>
      </c>
      <c r="L5100" s="36" t="s">
        <v>14330</v>
      </c>
      <c r="M5100">
        <v>2</v>
      </c>
      <c r="N5100" t="s">
        <v>14331</v>
      </c>
      <c r="O5100" t="s">
        <v>14333</v>
      </c>
    </row>
    <row r="5101" spans="1:15" x14ac:dyDescent="0.25">
      <c r="A5101" s="35" t="s">
        <v>8418</v>
      </c>
      <c r="B5101" s="36" t="s">
        <v>8419</v>
      </c>
      <c r="C5101" s="36" t="str">
        <f>HYPERLINK("https://rhld.insurance.arkansas.gov/NPILookup?Npi=1154890887","1154890887")</f>
        <v>1154890887</v>
      </c>
      <c r="D5101" s="36" t="s">
        <v>37253</v>
      </c>
      <c r="E5101" s="36" t="s">
        <v>1</v>
      </c>
      <c r="F5101" s="36">
        <v>1</v>
      </c>
      <c r="G5101" s="36">
        <v>2</v>
      </c>
      <c r="H5101" s="36">
        <v>0</v>
      </c>
      <c r="I5101" s="37">
        <v>0</v>
      </c>
      <c r="J5101" s="36" t="s">
        <v>32654</v>
      </c>
      <c r="K5101" s="36" t="s">
        <v>14330</v>
      </c>
      <c r="L5101" s="36" t="s">
        <v>14330</v>
      </c>
      <c r="M5101">
        <v>1</v>
      </c>
      <c r="N5101" t="s">
        <v>14331</v>
      </c>
      <c r="O5101" t="s">
        <v>32633</v>
      </c>
    </row>
    <row r="5102" spans="1:15" x14ac:dyDescent="0.25">
      <c r="A5102" s="35" t="s">
        <v>8418</v>
      </c>
      <c r="B5102" s="36" t="s">
        <v>8419</v>
      </c>
      <c r="C5102" s="36" t="str">
        <f>HYPERLINK("https://rhld.insurance.arkansas.gov/NPILookup?Npi=1215156005","1215156005")</f>
        <v>1215156005</v>
      </c>
      <c r="D5102" s="36" t="s">
        <v>37254</v>
      </c>
      <c r="E5102" s="36" t="s">
        <v>2</v>
      </c>
      <c r="F5102" s="36">
        <v>1</v>
      </c>
      <c r="G5102" s="36">
        <v>1</v>
      </c>
      <c r="H5102" s="36">
        <v>0</v>
      </c>
      <c r="I5102" s="37">
        <v>0</v>
      </c>
      <c r="J5102" s="36" t="s">
        <v>32679</v>
      </c>
      <c r="K5102" s="36" t="s">
        <v>14330</v>
      </c>
      <c r="L5102" s="36" t="s">
        <v>14330</v>
      </c>
      <c r="M5102">
        <v>1</v>
      </c>
      <c r="N5102" t="s">
        <v>14331</v>
      </c>
      <c r="O5102" t="s">
        <v>32633</v>
      </c>
    </row>
    <row r="5103" spans="1:15" x14ac:dyDescent="0.25">
      <c r="A5103" s="35" t="s">
        <v>8418</v>
      </c>
      <c r="B5103" s="36" t="s">
        <v>8419</v>
      </c>
      <c r="C5103" s="36" t="str">
        <f>HYPERLINK("https://rhld.insurance.arkansas.gov/NPILookup?Npi=1215610886","1215610886")</f>
        <v>1215610886</v>
      </c>
      <c r="D5103" s="36" t="s">
        <v>37255</v>
      </c>
      <c r="E5103" s="36" t="s">
        <v>2</v>
      </c>
      <c r="F5103" s="36">
        <v>1</v>
      </c>
      <c r="G5103" s="36">
        <v>1</v>
      </c>
      <c r="H5103" s="36">
        <v>0</v>
      </c>
      <c r="I5103" s="37">
        <v>0</v>
      </c>
      <c r="J5103" s="36"/>
      <c r="K5103" s="36" t="s">
        <v>14330</v>
      </c>
      <c r="L5103" s="36" t="s">
        <v>14330</v>
      </c>
      <c r="M5103">
        <v>1</v>
      </c>
      <c r="N5103" t="s">
        <v>14331</v>
      </c>
      <c r="O5103" t="s">
        <v>32633</v>
      </c>
    </row>
    <row r="5104" spans="1:15" x14ac:dyDescent="0.25">
      <c r="A5104" s="35" t="s">
        <v>8418</v>
      </c>
      <c r="B5104" s="36" t="s">
        <v>8419</v>
      </c>
      <c r="C5104" s="36" t="str">
        <f>HYPERLINK("https://rhld.insurance.arkansas.gov/NPILookup?Npi=1225475312","1225475312")</f>
        <v>1225475312</v>
      </c>
      <c r="D5104" s="36" t="s">
        <v>37256</v>
      </c>
      <c r="E5104" s="36" t="s">
        <v>2</v>
      </c>
      <c r="F5104" s="36">
        <v>1</v>
      </c>
      <c r="G5104" s="36">
        <v>1</v>
      </c>
      <c r="H5104" s="36">
        <v>0</v>
      </c>
      <c r="I5104" s="37">
        <v>0</v>
      </c>
      <c r="J5104" s="36" t="s">
        <v>32679</v>
      </c>
      <c r="K5104" s="36" t="s">
        <v>14330</v>
      </c>
      <c r="L5104" s="36" t="s">
        <v>14330</v>
      </c>
      <c r="M5104">
        <v>2</v>
      </c>
      <c r="N5104" t="s">
        <v>14331</v>
      </c>
      <c r="O5104" t="s">
        <v>32633</v>
      </c>
    </row>
    <row r="5105" spans="1:15" x14ac:dyDescent="0.25">
      <c r="A5105" s="35" t="s">
        <v>8418</v>
      </c>
      <c r="B5105" s="36" t="s">
        <v>8419</v>
      </c>
      <c r="C5105" s="36" t="str">
        <f>HYPERLINK("https://rhld.insurance.arkansas.gov/NPILookup?Npi=1225625932","1225625932")</f>
        <v>1225625932</v>
      </c>
      <c r="D5105" s="36" t="s">
        <v>37257</v>
      </c>
      <c r="E5105" s="36" t="s">
        <v>2</v>
      </c>
      <c r="F5105" s="36">
        <v>1</v>
      </c>
      <c r="G5105" s="36">
        <v>2</v>
      </c>
      <c r="H5105" s="36">
        <v>0</v>
      </c>
      <c r="I5105" s="37">
        <v>0</v>
      </c>
      <c r="J5105" s="36"/>
      <c r="K5105" s="36" t="s">
        <v>14330</v>
      </c>
      <c r="L5105" s="36" t="s">
        <v>14330</v>
      </c>
      <c r="M5105">
        <v>1</v>
      </c>
      <c r="N5105" t="s">
        <v>14331</v>
      </c>
      <c r="O5105" t="s">
        <v>14333</v>
      </c>
    </row>
    <row r="5106" spans="1:15" x14ac:dyDescent="0.25">
      <c r="A5106" s="35" t="s">
        <v>8418</v>
      </c>
      <c r="B5106" s="36" t="s">
        <v>8419</v>
      </c>
      <c r="C5106" s="36" t="str">
        <f>HYPERLINK("https://rhld.insurance.arkansas.gov/NPILookup?Npi=1225871320","1225871320")</f>
        <v>1225871320</v>
      </c>
      <c r="D5106" s="36" t="s">
        <v>37258</v>
      </c>
      <c r="E5106" s="36" t="s">
        <v>2</v>
      </c>
      <c r="F5106" s="36">
        <v>1</v>
      </c>
      <c r="G5106" s="36">
        <v>1</v>
      </c>
      <c r="H5106" s="36">
        <v>0</v>
      </c>
      <c r="I5106" s="37">
        <v>0</v>
      </c>
      <c r="J5106" s="36"/>
      <c r="K5106" s="36" t="s">
        <v>14330</v>
      </c>
      <c r="L5106" s="36" t="s">
        <v>14330</v>
      </c>
      <c r="M5106">
        <v>1</v>
      </c>
      <c r="N5106" t="s">
        <v>14331</v>
      </c>
      <c r="O5106" t="s">
        <v>32633</v>
      </c>
    </row>
    <row r="5107" spans="1:15" x14ac:dyDescent="0.25">
      <c r="A5107" s="35" t="s">
        <v>8418</v>
      </c>
      <c r="B5107" s="36" t="s">
        <v>8419</v>
      </c>
      <c r="C5107" s="36" t="str">
        <f>HYPERLINK("https://rhld.insurance.arkansas.gov/NPILookup?Npi=1235307364","1235307364")</f>
        <v>1235307364</v>
      </c>
      <c r="D5107" s="36" t="s">
        <v>37259</v>
      </c>
      <c r="E5107" s="36" t="s">
        <v>1</v>
      </c>
      <c r="F5107" s="36">
        <v>1</v>
      </c>
      <c r="G5107" s="36">
        <v>1</v>
      </c>
      <c r="H5107" s="36">
        <v>0</v>
      </c>
      <c r="I5107" s="37">
        <v>0</v>
      </c>
      <c r="J5107" s="36" t="s">
        <v>32654</v>
      </c>
      <c r="K5107" s="36" t="s">
        <v>14330</v>
      </c>
      <c r="L5107" s="36" t="s">
        <v>14330</v>
      </c>
      <c r="M5107">
        <v>2</v>
      </c>
      <c r="N5107" t="s">
        <v>14331</v>
      </c>
      <c r="O5107" t="s">
        <v>32633</v>
      </c>
    </row>
    <row r="5108" spans="1:15" x14ac:dyDescent="0.25">
      <c r="A5108" s="35" t="s">
        <v>8418</v>
      </c>
      <c r="B5108" s="36" t="s">
        <v>8419</v>
      </c>
      <c r="C5108" s="36" t="str">
        <f>HYPERLINK("https://rhld.insurance.arkansas.gov/NPILookup?Npi=1235695321","1235695321")</f>
        <v>1235695321</v>
      </c>
      <c r="D5108" s="36" t="s">
        <v>37260</v>
      </c>
      <c r="E5108" s="36" t="s">
        <v>1</v>
      </c>
      <c r="F5108" s="36">
        <v>1</v>
      </c>
      <c r="G5108" s="36">
        <v>2</v>
      </c>
      <c r="H5108" s="36">
        <v>0</v>
      </c>
      <c r="I5108" s="37">
        <v>0</v>
      </c>
      <c r="J5108" s="36" t="s">
        <v>32723</v>
      </c>
      <c r="K5108" s="36" t="s">
        <v>14330</v>
      </c>
      <c r="L5108" s="36" t="s">
        <v>14330</v>
      </c>
      <c r="M5108">
        <v>2</v>
      </c>
      <c r="N5108" t="s">
        <v>14331</v>
      </c>
      <c r="O5108" t="s">
        <v>32724</v>
      </c>
    </row>
    <row r="5109" spans="1:15" x14ac:dyDescent="0.25">
      <c r="A5109" s="35" t="s">
        <v>8418</v>
      </c>
      <c r="B5109" s="36" t="s">
        <v>8419</v>
      </c>
      <c r="C5109" s="36" t="str">
        <f>HYPERLINK("https://rhld.insurance.arkansas.gov/NPILookup?Npi=1245482900","1245482900")</f>
        <v>1245482900</v>
      </c>
      <c r="D5109" s="36" t="s">
        <v>37261</v>
      </c>
      <c r="E5109" s="36" t="s">
        <v>2</v>
      </c>
      <c r="F5109" s="36">
        <v>1</v>
      </c>
      <c r="G5109" s="36">
        <v>2</v>
      </c>
      <c r="H5109" s="36">
        <v>0</v>
      </c>
      <c r="I5109" s="37">
        <v>0</v>
      </c>
      <c r="J5109" s="36"/>
      <c r="K5109" s="36" t="s">
        <v>14330</v>
      </c>
      <c r="L5109" s="36" t="s">
        <v>14330</v>
      </c>
      <c r="M5109">
        <v>1</v>
      </c>
      <c r="N5109" t="s">
        <v>14331</v>
      </c>
      <c r="O5109" t="s">
        <v>14333</v>
      </c>
    </row>
    <row r="5110" spans="1:15" x14ac:dyDescent="0.25">
      <c r="A5110" s="35" t="s">
        <v>8418</v>
      </c>
      <c r="B5110" s="36" t="s">
        <v>8419</v>
      </c>
      <c r="C5110" s="36" t="str">
        <f>HYPERLINK("https://rhld.insurance.arkansas.gov/NPILookup?Npi=1245542299","1245542299")</f>
        <v>1245542299</v>
      </c>
      <c r="D5110" s="36" t="s">
        <v>37262</v>
      </c>
      <c r="E5110" s="36" t="s">
        <v>2</v>
      </c>
      <c r="F5110" s="36">
        <v>1</v>
      </c>
      <c r="G5110" s="36">
        <v>1</v>
      </c>
      <c r="H5110" s="36">
        <v>0</v>
      </c>
      <c r="I5110" s="37">
        <v>0</v>
      </c>
      <c r="J5110" s="36"/>
      <c r="K5110" s="36" t="s">
        <v>14330</v>
      </c>
      <c r="L5110" s="36" t="s">
        <v>14330</v>
      </c>
      <c r="M5110">
        <v>1</v>
      </c>
      <c r="N5110" t="s">
        <v>14331</v>
      </c>
      <c r="O5110" t="s">
        <v>32633</v>
      </c>
    </row>
    <row r="5111" spans="1:15" x14ac:dyDescent="0.25">
      <c r="A5111" s="35" t="s">
        <v>8418</v>
      </c>
      <c r="B5111" s="36" t="s">
        <v>8419</v>
      </c>
      <c r="C5111" s="36" t="str">
        <f>HYPERLINK("https://rhld.insurance.arkansas.gov/NPILookup?Npi=1255173720","1255173720")</f>
        <v>1255173720</v>
      </c>
      <c r="D5111" s="36" t="s">
        <v>37263</v>
      </c>
      <c r="E5111" s="36" t="s">
        <v>2</v>
      </c>
      <c r="F5111" s="36">
        <v>1</v>
      </c>
      <c r="G5111" s="36">
        <v>1</v>
      </c>
      <c r="H5111" s="36">
        <v>0</v>
      </c>
      <c r="I5111" s="37">
        <v>0</v>
      </c>
      <c r="J5111" s="36"/>
      <c r="K5111" s="36" t="s">
        <v>14330</v>
      </c>
      <c r="L5111" s="36" t="s">
        <v>14330</v>
      </c>
      <c r="M5111">
        <v>1</v>
      </c>
      <c r="N5111" t="s">
        <v>14331</v>
      </c>
      <c r="O5111" t="s">
        <v>32633</v>
      </c>
    </row>
    <row r="5112" spans="1:15" x14ac:dyDescent="0.25">
      <c r="A5112" s="35" t="s">
        <v>8418</v>
      </c>
      <c r="B5112" s="36" t="s">
        <v>8419</v>
      </c>
      <c r="C5112" s="36" t="str">
        <f>HYPERLINK("https://rhld.insurance.arkansas.gov/NPILookup?Npi=1265195903","1265195903")</f>
        <v>1265195903</v>
      </c>
      <c r="D5112" s="36" t="s">
        <v>37264</v>
      </c>
      <c r="E5112" s="36" t="s">
        <v>1</v>
      </c>
      <c r="F5112" s="36">
        <v>1</v>
      </c>
      <c r="G5112" s="36">
        <v>1</v>
      </c>
      <c r="H5112" s="36">
        <v>0</v>
      </c>
      <c r="I5112" s="37">
        <v>0</v>
      </c>
      <c r="J5112" s="36" t="s">
        <v>32654</v>
      </c>
      <c r="K5112" s="36" t="s">
        <v>14330</v>
      </c>
      <c r="L5112" s="36" t="s">
        <v>14330</v>
      </c>
      <c r="M5112">
        <v>2</v>
      </c>
      <c r="N5112" t="s">
        <v>14331</v>
      </c>
      <c r="O5112" t="s">
        <v>32633</v>
      </c>
    </row>
    <row r="5113" spans="1:15" x14ac:dyDescent="0.25">
      <c r="A5113" s="35" t="s">
        <v>8418</v>
      </c>
      <c r="B5113" s="36" t="s">
        <v>8419</v>
      </c>
      <c r="C5113" s="36" t="str">
        <f>HYPERLINK("https://rhld.insurance.arkansas.gov/NPILookup?Npi=1285767327","1285767327")</f>
        <v>1285767327</v>
      </c>
      <c r="D5113" s="36" t="s">
        <v>37265</v>
      </c>
      <c r="E5113" s="36" t="s">
        <v>2</v>
      </c>
      <c r="F5113" s="36">
        <v>1</v>
      </c>
      <c r="G5113" s="36">
        <v>2</v>
      </c>
      <c r="H5113" s="36">
        <v>0</v>
      </c>
      <c r="I5113" s="37">
        <v>0</v>
      </c>
      <c r="J5113" s="36" t="s">
        <v>32679</v>
      </c>
      <c r="K5113" s="36" t="s">
        <v>14330</v>
      </c>
      <c r="L5113" s="36" t="s">
        <v>14330</v>
      </c>
      <c r="M5113">
        <v>2</v>
      </c>
      <c r="N5113" t="s">
        <v>14331</v>
      </c>
      <c r="O5113" t="s">
        <v>14333</v>
      </c>
    </row>
    <row r="5114" spans="1:15" x14ac:dyDescent="0.25">
      <c r="A5114" s="35" t="s">
        <v>8418</v>
      </c>
      <c r="B5114" s="36" t="s">
        <v>8419</v>
      </c>
      <c r="C5114" s="36" t="str">
        <f>HYPERLINK("https://rhld.insurance.arkansas.gov/NPILookup?Npi=1295076867","1295076867")</f>
        <v>1295076867</v>
      </c>
      <c r="D5114" s="36" t="s">
        <v>37266</v>
      </c>
      <c r="E5114" s="36" t="s">
        <v>2</v>
      </c>
      <c r="F5114" s="36">
        <v>1</v>
      </c>
      <c r="G5114" s="36">
        <v>2</v>
      </c>
      <c r="H5114" s="36">
        <v>0</v>
      </c>
      <c r="I5114" s="37">
        <v>0</v>
      </c>
      <c r="J5114" s="36"/>
      <c r="K5114" s="36" t="s">
        <v>14330</v>
      </c>
      <c r="L5114" s="36" t="s">
        <v>14330</v>
      </c>
      <c r="M5114">
        <v>1</v>
      </c>
      <c r="N5114" t="s">
        <v>14331</v>
      </c>
      <c r="O5114" t="s">
        <v>14333</v>
      </c>
    </row>
    <row r="5115" spans="1:15" x14ac:dyDescent="0.25">
      <c r="A5115" s="35" t="s">
        <v>8418</v>
      </c>
      <c r="B5115" s="36" t="s">
        <v>8419</v>
      </c>
      <c r="C5115" s="36" t="str">
        <f>HYPERLINK("https://rhld.insurance.arkansas.gov/NPILookup?Npi=1295418416","1295418416")</f>
        <v>1295418416</v>
      </c>
      <c r="D5115" s="36" t="s">
        <v>37267</v>
      </c>
      <c r="E5115" s="36" t="s">
        <v>2</v>
      </c>
      <c r="F5115" s="36">
        <v>1</v>
      </c>
      <c r="G5115" s="36">
        <v>1</v>
      </c>
      <c r="H5115" s="36">
        <v>0</v>
      </c>
      <c r="I5115" s="37">
        <v>0</v>
      </c>
      <c r="J5115" s="36"/>
      <c r="K5115" s="36" t="s">
        <v>14330</v>
      </c>
      <c r="L5115" s="36" t="s">
        <v>14330</v>
      </c>
      <c r="M5115">
        <v>2</v>
      </c>
      <c r="N5115" t="s">
        <v>14331</v>
      </c>
      <c r="O5115" t="s">
        <v>32633</v>
      </c>
    </row>
    <row r="5116" spans="1:15" x14ac:dyDescent="0.25">
      <c r="A5116" s="35" t="s">
        <v>8418</v>
      </c>
      <c r="B5116" s="36" t="s">
        <v>8419</v>
      </c>
      <c r="C5116" s="36" t="str">
        <f>HYPERLINK("https://rhld.insurance.arkansas.gov/NPILookup?Npi=1295539674","1295539674")</f>
        <v>1295539674</v>
      </c>
      <c r="D5116" s="36" t="s">
        <v>37268</v>
      </c>
      <c r="E5116" s="36" t="s">
        <v>2</v>
      </c>
      <c r="F5116" s="36">
        <v>2</v>
      </c>
      <c r="G5116" s="36">
        <v>2</v>
      </c>
      <c r="H5116" s="36">
        <v>0</v>
      </c>
      <c r="I5116" s="37">
        <v>0</v>
      </c>
      <c r="J5116" s="36" t="s">
        <v>33004</v>
      </c>
      <c r="K5116" s="36" t="s">
        <v>14330</v>
      </c>
      <c r="L5116" s="36" t="s">
        <v>14330</v>
      </c>
      <c r="M5116">
        <v>2</v>
      </c>
      <c r="N5116" t="s">
        <v>14331</v>
      </c>
      <c r="O5116" t="s">
        <v>14333</v>
      </c>
    </row>
    <row r="5117" spans="1:15" x14ac:dyDescent="0.25">
      <c r="A5117" s="35" t="s">
        <v>8418</v>
      </c>
      <c r="B5117" s="36" t="s">
        <v>8419</v>
      </c>
      <c r="C5117" s="36" t="str">
        <f>HYPERLINK("https://rhld.insurance.arkansas.gov/NPILookup?Npi=1326830902","1326830902")</f>
        <v>1326830902</v>
      </c>
      <c r="D5117" s="36" t="s">
        <v>37269</v>
      </c>
      <c r="E5117" s="36" t="s">
        <v>2</v>
      </c>
      <c r="F5117" s="36">
        <v>1</v>
      </c>
      <c r="G5117" s="36">
        <v>2</v>
      </c>
      <c r="H5117" s="36">
        <v>0</v>
      </c>
      <c r="I5117" s="37">
        <v>0</v>
      </c>
      <c r="J5117" s="36"/>
      <c r="K5117" s="36" t="s">
        <v>14330</v>
      </c>
      <c r="L5117" s="36" t="s">
        <v>14330</v>
      </c>
      <c r="M5117">
        <v>1</v>
      </c>
      <c r="N5117" t="s">
        <v>14331</v>
      </c>
      <c r="O5117" t="s">
        <v>14333</v>
      </c>
    </row>
    <row r="5118" spans="1:15" x14ac:dyDescent="0.25">
      <c r="A5118" s="35" t="s">
        <v>8418</v>
      </c>
      <c r="B5118" s="36" t="s">
        <v>8419</v>
      </c>
      <c r="C5118" s="36" t="str">
        <f>HYPERLINK("https://rhld.insurance.arkansas.gov/NPILookup?Npi=1336971977","1336971977")</f>
        <v>1336971977</v>
      </c>
      <c r="D5118" s="36" t="s">
        <v>37270</v>
      </c>
      <c r="E5118" s="36" t="s">
        <v>2</v>
      </c>
      <c r="F5118" s="36">
        <v>1</v>
      </c>
      <c r="G5118" s="36">
        <v>1</v>
      </c>
      <c r="H5118" s="36">
        <v>0</v>
      </c>
      <c r="I5118" s="37">
        <v>0</v>
      </c>
      <c r="J5118" s="36"/>
      <c r="K5118" s="36" t="s">
        <v>14330</v>
      </c>
      <c r="L5118" s="36" t="s">
        <v>14330</v>
      </c>
      <c r="M5118">
        <v>1</v>
      </c>
      <c r="N5118" t="s">
        <v>14331</v>
      </c>
      <c r="O5118" t="s">
        <v>32633</v>
      </c>
    </row>
    <row r="5119" spans="1:15" x14ac:dyDescent="0.25">
      <c r="A5119" s="35" t="s">
        <v>8418</v>
      </c>
      <c r="B5119" s="36" t="s">
        <v>8419</v>
      </c>
      <c r="C5119" s="36" t="str">
        <f>HYPERLINK("https://rhld.insurance.arkansas.gov/NPILookup?Npi=1346287786","1346287786")</f>
        <v>1346287786</v>
      </c>
      <c r="D5119" s="36" t="s">
        <v>37271</v>
      </c>
      <c r="E5119" s="36" t="s">
        <v>1</v>
      </c>
      <c r="F5119" s="36">
        <v>1</v>
      </c>
      <c r="G5119" s="36">
        <v>1</v>
      </c>
      <c r="H5119" s="36">
        <v>0</v>
      </c>
      <c r="I5119" s="37">
        <v>0</v>
      </c>
      <c r="J5119" s="36" t="s">
        <v>14335</v>
      </c>
      <c r="K5119" s="36" t="s">
        <v>14330</v>
      </c>
      <c r="L5119" s="36" t="s">
        <v>14330</v>
      </c>
      <c r="M5119">
        <v>2</v>
      </c>
      <c r="N5119" t="s">
        <v>14331</v>
      </c>
      <c r="O5119" t="s">
        <v>32633</v>
      </c>
    </row>
    <row r="5120" spans="1:15" x14ac:dyDescent="0.25">
      <c r="A5120" s="35" t="s">
        <v>8418</v>
      </c>
      <c r="B5120" s="36" t="s">
        <v>8419</v>
      </c>
      <c r="C5120" s="36" t="str">
        <f>HYPERLINK("https://rhld.insurance.arkansas.gov/NPILookup?Npi=1346923638","1346923638")</f>
        <v>1346923638</v>
      </c>
      <c r="D5120" s="36" t="s">
        <v>37272</v>
      </c>
      <c r="E5120" s="36" t="s">
        <v>2</v>
      </c>
      <c r="F5120" s="36">
        <v>1</v>
      </c>
      <c r="G5120" s="36">
        <v>2</v>
      </c>
      <c r="H5120" s="36">
        <v>0</v>
      </c>
      <c r="I5120" s="37">
        <v>0</v>
      </c>
      <c r="J5120" s="36"/>
      <c r="K5120" s="36" t="s">
        <v>14330</v>
      </c>
      <c r="L5120" s="36" t="s">
        <v>14330</v>
      </c>
      <c r="M5120">
        <v>1</v>
      </c>
      <c r="N5120" t="s">
        <v>14331</v>
      </c>
      <c r="O5120" t="s">
        <v>14333</v>
      </c>
    </row>
    <row r="5121" spans="1:15" x14ac:dyDescent="0.25">
      <c r="A5121" s="35" t="s">
        <v>8418</v>
      </c>
      <c r="B5121" s="36" t="s">
        <v>8419</v>
      </c>
      <c r="C5121" s="36" t="str">
        <f>HYPERLINK("https://rhld.insurance.arkansas.gov/NPILookup?Npi=1356919187","1356919187")</f>
        <v>1356919187</v>
      </c>
      <c r="D5121" s="36" t="s">
        <v>37273</v>
      </c>
      <c r="E5121" s="36" t="s">
        <v>2</v>
      </c>
      <c r="F5121" s="36">
        <v>1</v>
      </c>
      <c r="G5121" s="36">
        <v>1</v>
      </c>
      <c r="H5121" s="36">
        <v>0</v>
      </c>
      <c r="I5121" s="37">
        <v>0</v>
      </c>
      <c r="J5121" s="36"/>
      <c r="K5121" s="36" t="s">
        <v>14330</v>
      </c>
      <c r="L5121" s="36" t="s">
        <v>14330</v>
      </c>
      <c r="M5121">
        <v>1</v>
      </c>
      <c r="N5121" t="s">
        <v>14331</v>
      </c>
      <c r="O5121" t="s">
        <v>32633</v>
      </c>
    </row>
    <row r="5122" spans="1:15" x14ac:dyDescent="0.25">
      <c r="A5122" s="35" t="s">
        <v>8418</v>
      </c>
      <c r="B5122" s="36" t="s">
        <v>8419</v>
      </c>
      <c r="C5122" s="36" t="str">
        <f>HYPERLINK("https://rhld.insurance.arkansas.gov/NPILookup?Npi=1366264764","1366264764")</f>
        <v>1366264764</v>
      </c>
      <c r="D5122" s="36" t="s">
        <v>37274</v>
      </c>
      <c r="E5122" s="36" t="s">
        <v>2</v>
      </c>
      <c r="F5122" s="36">
        <v>1</v>
      </c>
      <c r="G5122" s="36">
        <v>1</v>
      </c>
      <c r="H5122" s="36">
        <v>0</v>
      </c>
      <c r="I5122" s="37">
        <v>0</v>
      </c>
      <c r="J5122" s="36"/>
      <c r="K5122" s="36" t="s">
        <v>14330</v>
      </c>
      <c r="L5122" s="36" t="s">
        <v>14330</v>
      </c>
      <c r="M5122">
        <v>1</v>
      </c>
      <c r="N5122" t="s">
        <v>14331</v>
      </c>
      <c r="O5122" t="s">
        <v>32633</v>
      </c>
    </row>
    <row r="5123" spans="1:15" x14ac:dyDescent="0.25">
      <c r="A5123" s="35" t="s">
        <v>8418</v>
      </c>
      <c r="B5123" s="36" t="s">
        <v>8419</v>
      </c>
      <c r="C5123" s="36" t="str">
        <f>HYPERLINK("https://rhld.insurance.arkansas.gov/NPILookup?Npi=1376672246","1376672246")</f>
        <v>1376672246</v>
      </c>
      <c r="D5123" s="36" t="s">
        <v>37275</v>
      </c>
      <c r="E5123" s="36" t="s">
        <v>2</v>
      </c>
      <c r="F5123" s="36">
        <v>1</v>
      </c>
      <c r="G5123" s="36">
        <v>1</v>
      </c>
      <c r="H5123" s="36">
        <v>0</v>
      </c>
      <c r="I5123" s="37">
        <v>0</v>
      </c>
      <c r="J5123" s="36"/>
      <c r="K5123" s="36" t="s">
        <v>14330</v>
      </c>
      <c r="L5123" s="36" t="s">
        <v>14330</v>
      </c>
      <c r="M5123">
        <v>1</v>
      </c>
      <c r="N5123" t="s">
        <v>14331</v>
      </c>
      <c r="O5123" t="s">
        <v>32633</v>
      </c>
    </row>
    <row r="5124" spans="1:15" x14ac:dyDescent="0.25">
      <c r="A5124" s="35" t="s">
        <v>8418</v>
      </c>
      <c r="B5124" s="36" t="s">
        <v>8419</v>
      </c>
      <c r="C5124" s="36" t="str">
        <f>HYPERLINK("https://rhld.insurance.arkansas.gov/NPILookup?Npi=1386003804","1386003804")</f>
        <v>1386003804</v>
      </c>
      <c r="D5124" s="36" t="s">
        <v>37276</v>
      </c>
      <c r="E5124" s="36" t="s">
        <v>1</v>
      </c>
      <c r="F5124" s="36">
        <v>1</v>
      </c>
      <c r="G5124" s="36">
        <v>1</v>
      </c>
      <c r="H5124" s="36">
        <v>0</v>
      </c>
      <c r="I5124" s="37">
        <v>0</v>
      </c>
      <c r="J5124" s="36" t="s">
        <v>32723</v>
      </c>
      <c r="K5124" s="36" t="s">
        <v>14330</v>
      </c>
      <c r="L5124" s="36" t="s">
        <v>14330</v>
      </c>
      <c r="M5124">
        <v>2</v>
      </c>
      <c r="N5124" t="s">
        <v>14331</v>
      </c>
      <c r="O5124" t="s">
        <v>32724</v>
      </c>
    </row>
    <row r="5125" spans="1:15" x14ac:dyDescent="0.25">
      <c r="A5125" s="35" t="s">
        <v>8418</v>
      </c>
      <c r="B5125" s="36" t="s">
        <v>8419</v>
      </c>
      <c r="C5125" s="36" t="str">
        <f>HYPERLINK("https://rhld.insurance.arkansas.gov/NPILookup?Npi=1427459056","1427459056")</f>
        <v>1427459056</v>
      </c>
      <c r="D5125" s="36" t="s">
        <v>37277</v>
      </c>
      <c r="E5125" s="36" t="s">
        <v>1</v>
      </c>
      <c r="F5125" s="36">
        <v>1</v>
      </c>
      <c r="G5125" s="36">
        <v>2</v>
      </c>
      <c r="H5125" s="36">
        <v>0</v>
      </c>
      <c r="I5125" s="37">
        <v>0</v>
      </c>
      <c r="J5125" s="36" t="s">
        <v>32723</v>
      </c>
      <c r="K5125" s="36" t="s">
        <v>14330</v>
      </c>
      <c r="L5125" s="36" t="s">
        <v>14330</v>
      </c>
      <c r="M5125">
        <v>2</v>
      </c>
      <c r="N5125" t="s">
        <v>14331</v>
      </c>
      <c r="O5125" t="s">
        <v>32724</v>
      </c>
    </row>
    <row r="5126" spans="1:15" x14ac:dyDescent="0.25">
      <c r="A5126" s="35" t="s">
        <v>8418</v>
      </c>
      <c r="B5126" s="36" t="s">
        <v>8419</v>
      </c>
      <c r="C5126" s="36" t="str">
        <f>HYPERLINK("https://rhld.insurance.arkansas.gov/NPILookup?Npi=1437213758","1437213758")</f>
        <v>1437213758</v>
      </c>
      <c r="D5126" s="36" t="s">
        <v>37278</v>
      </c>
      <c r="E5126" s="36" t="s">
        <v>2</v>
      </c>
      <c r="F5126" s="36">
        <v>1</v>
      </c>
      <c r="G5126" s="36">
        <v>2</v>
      </c>
      <c r="H5126" s="36">
        <v>0</v>
      </c>
      <c r="I5126" s="37">
        <v>0</v>
      </c>
      <c r="J5126" s="36"/>
      <c r="K5126" s="36" t="s">
        <v>14330</v>
      </c>
      <c r="L5126" s="36" t="s">
        <v>14330</v>
      </c>
      <c r="M5126">
        <v>2</v>
      </c>
      <c r="N5126" t="s">
        <v>14331</v>
      </c>
      <c r="O5126" t="s">
        <v>14333</v>
      </c>
    </row>
    <row r="5127" spans="1:15" x14ac:dyDescent="0.25">
      <c r="A5127" s="35" t="s">
        <v>8418</v>
      </c>
      <c r="B5127" s="36" t="s">
        <v>8419</v>
      </c>
      <c r="C5127" s="36" t="str">
        <f>HYPERLINK("https://rhld.insurance.arkansas.gov/NPILookup?Npi=1437859980","1437859980")</f>
        <v>1437859980</v>
      </c>
      <c r="D5127" s="36" t="s">
        <v>37279</v>
      </c>
      <c r="E5127" s="36" t="s">
        <v>1</v>
      </c>
      <c r="F5127" s="36">
        <v>1</v>
      </c>
      <c r="G5127" s="36">
        <v>2</v>
      </c>
      <c r="H5127" s="36">
        <v>0</v>
      </c>
      <c r="I5127" s="37">
        <v>0</v>
      </c>
      <c r="J5127" s="36" t="s">
        <v>32654</v>
      </c>
      <c r="K5127" s="36" t="s">
        <v>14330</v>
      </c>
      <c r="L5127" s="36" t="s">
        <v>14330</v>
      </c>
      <c r="M5127">
        <v>2</v>
      </c>
      <c r="N5127" t="s">
        <v>14331</v>
      </c>
      <c r="O5127" t="s">
        <v>32633</v>
      </c>
    </row>
    <row r="5128" spans="1:15" x14ac:dyDescent="0.25">
      <c r="A5128" s="35" t="s">
        <v>8418</v>
      </c>
      <c r="B5128" s="36" t="s">
        <v>8419</v>
      </c>
      <c r="C5128" s="36" t="str">
        <f>HYPERLINK("https://rhld.insurance.arkansas.gov/NPILookup?Npi=1447893235","1447893235")</f>
        <v>1447893235</v>
      </c>
      <c r="D5128" s="36" t="s">
        <v>37280</v>
      </c>
      <c r="E5128" s="36" t="s">
        <v>2</v>
      </c>
      <c r="F5128" s="36">
        <v>1</v>
      </c>
      <c r="G5128" s="36">
        <v>2</v>
      </c>
      <c r="H5128" s="36">
        <v>0</v>
      </c>
      <c r="I5128" s="37">
        <v>0</v>
      </c>
      <c r="J5128" s="36"/>
      <c r="K5128" s="36" t="s">
        <v>14330</v>
      </c>
      <c r="L5128" s="36" t="s">
        <v>14330</v>
      </c>
      <c r="M5128">
        <v>1</v>
      </c>
      <c r="N5128" t="s">
        <v>14331</v>
      </c>
      <c r="O5128" t="s">
        <v>14333</v>
      </c>
    </row>
    <row r="5129" spans="1:15" x14ac:dyDescent="0.25">
      <c r="A5129" s="35" t="s">
        <v>8418</v>
      </c>
      <c r="B5129" s="36" t="s">
        <v>8419</v>
      </c>
      <c r="C5129" s="36" t="str">
        <f>HYPERLINK("https://rhld.insurance.arkansas.gov/NPILookup?Npi=1467272955","1467272955")</f>
        <v>1467272955</v>
      </c>
      <c r="D5129" s="36" t="s">
        <v>37281</v>
      </c>
      <c r="E5129" s="36" t="s">
        <v>2</v>
      </c>
      <c r="F5129" s="36">
        <v>1</v>
      </c>
      <c r="G5129" s="36">
        <v>1</v>
      </c>
      <c r="H5129" s="36">
        <v>0</v>
      </c>
      <c r="I5129" s="37">
        <v>0</v>
      </c>
      <c r="J5129" s="36"/>
      <c r="K5129" s="36" t="s">
        <v>14330</v>
      </c>
      <c r="L5129" s="36" t="s">
        <v>14330</v>
      </c>
      <c r="M5129">
        <v>2</v>
      </c>
      <c r="N5129" t="s">
        <v>14331</v>
      </c>
      <c r="O5129" t="s">
        <v>32633</v>
      </c>
    </row>
    <row r="5130" spans="1:15" x14ac:dyDescent="0.25">
      <c r="A5130" s="35" t="s">
        <v>8418</v>
      </c>
      <c r="B5130" s="36" t="s">
        <v>8419</v>
      </c>
      <c r="C5130" s="36" t="str">
        <f>HYPERLINK("https://rhld.insurance.arkansas.gov/NPILookup?Npi=1477101533","1477101533")</f>
        <v>1477101533</v>
      </c>
      <c r="D5130" s="36" t="s">
        <v>37282</v>
      </c>
      <c r="E5130" s="36" t="s">
        <v>1</v>
      </c>
      <c r="F5130" s="36">
        <v>1</v>
      </c>
      <c r="G5130" s="36">
        <v>2</v>
      </c>
      <c r="H5130" s="36">
        <v>0</v>
      </c>
      <c r="I5130" s="37">
        <v>0</v>
      </c>
      <c r="J5130" s="36" t="s">
        <v>32654</v>
      </c>
      <c r="K5130" s="36" t="s">
        <v>14330</v>
      </c>
      <c r="L5130" s="36" t="s">
        <v>14330</v>
      </c>
      <c r="M5130">
        <v>2</v>
      </c>
      <c r="N5130" t="s">
        <v>14331</v>
      </c>
      <c r="O5130" t="s">
        <v>32633</v>
      </c>
    </row>
    <row r="5131" spans="1:15" x14ac:dyDescent="0.25">
      <c r="A5131" s="35" t="s">
        <v>8418</v>
      </c>
      <c r="B5131" s="36" t="s">
        <v>8419</v>
      </c>
      <c r="C5131" s="36" t="str">
        <f>HYPERLINK("https://rhld.insurance.arkansas.gov/NPILookup?Npi=1497081905","1497081905")</f>
        <v>1497081905</v>
      </c>
      <c r="D5131" s="36" t="s">
        <v>37283</v>
      </c>
      <c r="E5131" s="36" t="s">
        <v>2</v>
      </c>
      <c r="F5131" s="36">
        <v>1</v>
      </c>
      <c r="G5131" s="36">
        <v>2</v>
      </c>
      <c r="H5131" s="36">
        <v>0</v>
      </c>
      <c r="I5131" s="37">
        <v>0</v>
      </c>
      <c r="J5131" s="36"/>
      <c r="K5131" s="36" t="s">
        <v>14330</v>
      </c>
      <c r="L5131" s="36" t="s">
        <v>14330</v>
      </c>
      <c r="M5131">
        <v>1</v>
      </c>
      <c r="N5131" t="s">
        <v>14331</v>
      </c>
      <c r="O5131" t="s">
        <v>14333</v>
      </c>
    </row>
    <row r="5132" spans="1:15" x14ac:dyDescent="0.25">
      <c r="A5132" s="35" t="s">
        <v>8418</v>
      </c>
      <c r="B5132" s="36" t="s">
        <v>8419</v>
      </c>
      <c r="C5132" s="36" t="str">
        <f>HYPERLINK("https://rhld.insurance.arkansas.gov/NPILookup?Npi=1508025420","1508025420")</f>
        <v>1508025420</v>
      </c>
      <c r="D5132" s="36" t="s">
        <v>37284</v>
      </c>
      <c r="E5132" s="36" t="s">
        <v>2</v>
      </c>
      <c r="F5132" s="36">
        <v>1</v>
      </c>
      <c r="G5132" s="36">
        <v>1</v>
      </c>
      <c r="H5132" s="36">
        <v>0</v>
      </c>
      <c r="I5132" s="37">
        <v>0</v>
      </c>
      <c r="J5132" s="36"/>
      <c r="K5132" s="36" t="s">
        <v>14330</v>
      </c>
      <c r="L5132" s="36" t="s">
        <v>14330</v>
      </c>
      <c r="M5132">
        <v>1</v>
      </c>
      <c r="N5132" t="s">
        <v>14331</v>
      </c>
      <c r="O5132" t="s">
        <v>32633</v>
      </c>
    </row>
    <row r="5133" spans="1:15" x14ac:dyDescent="0.25">
      <c r="A5133" s="35" t="s">
        <v>8418</v>
      </c>
      <c r="B5133" s="36" t="s">
        <v>8419</v>
      </c>
      <c r="C5133" s="36" t="str">
        <f>HYPERLINK("https://rhld.insurance.arkansas.gov/NPILookup?Npi=1508347352","1508347352")</f>
        <v>1508347352</v>
      </c>
      <c r="D5133" s="36" t="s">
        <v>37285</v>
      </c>
      <c r="E5133" s="36" t="s">
        <v>2</v>
      </c>
      <c r="F5133" s="36">
        <v>1</v>
      </c>
      <c r="G5133" s="36">
        <v>1</v>
      </c>
      <c r="H5133" s="36">
        <v>0</v>
      </c>
      <c r="I5133" s="37">
        <v>0</v>
      </c>
      <c r="J5133" s="36"/>
      <c r="K5133" s="36" t="s">
        <v>14330</v>
      </c>
      <c r="L5133" s="36" t="s">
        <v>14330</v>
      </c>
      <c r="M5133">
        <v>0</v>
      </c>
      <c r="N5133" t="s">
        <v>14331</v>
      </c>
      <c r="O5133" t="s">
        <v>32633</v>
      </c>
    </row>
    <row r="5134" spans="1:15" x14ac:dyDescent="0.25">
      <c r="A5134" s="35" t="s">
        <v>8418</v>
      </c>
      <c r="B5134" s="36" t="s">
        <v>8419</v>
      </c>
      <c r="C5134" s="36" t="str">
        <f>HYPERLINK("https://rhld.insurance.arkansas.gov/NPILookup?Npi=1508542937","1508542937")</f>
        <v>1508542937</v>
      </c>
      <c r="D5134" s="36" t="s">
        <v>37286</v>
      </c>
      <c r="E5134" s="36" t="s">
        <v>2</v>
      </c>
      <c r="F5134" s="36">
        <v>1</v>
      </c>
      <c r="G5134" s="36">
        <v>0</v>
      </c>
      <c r="H5134" s="36">
        <v>0</v>
      </c>
      <c r="I5134" s="37">
        <v>0</v>
      </c>
      <c r="J5134" s="36" t="s">
        <v>32679</v>
      </c>
      <c r="K5134" s="36" t="s">
        <v>14330</v>
      </c>
      <c r="L5134" s="36" t="s">
        <v>14330</v>
      </c>
      <c r="M5134">
        <v>2</v>
      </c>
      <c r="N5134" t="s">
        <v>14331</v>
      </c>
      <c r="O5134" t="s">
        <v>32633</v>
      </c>
    </row>
    <row r="5135" spans="1:15" x14ac:dyDescent="0.25">
      <c r="A5135" s="35" t="s">
        <v>8418</v>
      </c>
      <c r="B5135" s="36" t="s">
        <v>8419</v>
      </c>
      <c r="C5135" s="36" t="str">
        <f>HYPERLINK("https://rhld.insurance.arkansas.gov/NPILookup?Npi=1528199833","1528199833")</f>
        <v>1528199833</v>
      </c>
      <c r="D5135" s="36" t="s">
        <v>37287</v>
      </c>
      <c r="E5135" s="36" t="s">
        <v>2</v>
      </c>
      <c r="F5135" s="36">
        <v>1</v>
      </c>
      <c r="G5135" s="36">
        <v>2</v>
      </c>
      <c r="H5135" s="36">
        <v>0</v>
      </c>
      <c r="I5135" s="37">
        <v>0</v>
      </c>
      <c r="J5135" s="36"/>
      <c r="K5135" s="36" t="s">
        <v>14330</v>
      </c>
      <c r="L5135" s="36" t="s">
        <v>14330</v>
      </c>
      <c r="M5135">
        <v>1</v>
      </c>
      <c r="N5135" t="s">
        <v>14331</v>
      </c>
      <c r="O5135" t="s">
        <v>14333</v>
      </c>
    </row>
    <row r="5136" spans="1:15" x14ac:dyDescent="0.25">
      <c r="A5136" s="35" t="s">
        <v>8418</v>
      </c>
      <c r="B5136" s="36" t="s">
        <v>8419</v>
      </c>
      <c r="C5136" s="36" t="str">
        <f>HYPERLINK("https://rhld.insurance.arkansas.gov/NPILookup?Npi=1548000623","1548000623")</f>
        <v>1548000623</v>
      </c>
      <c r="D5136" s="36" t="s">
        <v>37288</v>
      </c>
      <c r="E5136" s="36" t="s">
        <v>2</v>
      </c>
      <c r="F5136" s="36">
        <v>1</v>
      </c>
      <c r="G5136" s="36">
        <v>1</v>
      </c>
      <c r="H5136" s="36">
        <v>0</v>
      </c>
      <c r="I5136" s="37">
        <v>0</v>
      </c>
      <c r="J5136" s="36"/>
      <c r="K5136" s="36" t="s">
        <v>14330</v>
      </c>
      <c r="L5136" s="36" t="s">
        <v>14330</v>
      </c>
      <c r="M5136">
        <v>1</v>
      </c>
      <c r="N5136" t="s">
        <v>14331</v>
      </c>
      <c r="O5136" t="s">
        <v>32633</v>
      </c>
    </row>
    <row r="5137" spans="1:15" x14ac:dyDescent="0.25">
      <c r="A5137" s="35" t="s">
        <v>8418</v>
      </c>
      <c r="B5137" s="36" t="s">
        <v>8419</v>
      </c>
      <c r="C5137" s="36" t="str">
        <f>HYPERLINK("https://rhld.insurance.arkansas.gov/NPILookup?Npi=1548069487","1548069487")</f>
        <v>1548069487</v>
      </c>
      <c r="D5137" s="36" t="s">
        <v>37289</v>
      </c>
      <c r="E5137" s="36" t="s">
        <v>2</v>
      </c>
      <c r="F5137" s="36">
        <v>1</v>
      </c>
      <c r="G5137" s="36">
        <v>1</v>
      </c>
      <c r="H5137" s="36">
        <v>0</v>
      </c>
      <c r="I5137" s="37">
        <v>0</v>
      </c>
      <c r="J5137" s="36"/>
      <c r="K5137" s="36" t="s">
        <v>14330</v>
      </c>
      <c r="L5137" s="36" t="s">
        <v>14330</v>
      </c>
      <c r="M5137">
        <v>1</v>
      </c>
      <c r="N5137" t="s">
        <v>14331</v>
      </c>
      <c r="O5137" t="s">
        <v>32633</v>
      </c>
    </row>
    <row r="5138" spans="1:15" x14ac:dyDescent="0.25">
      <c r="A5138" s="35" t="s">
        <v>8418</v>
      </c>
      <c r="B5138" s="36" t="s">
        <v>8419</v>
      </c>
      <c r="C5138" s="36" t="str">
        <f>HYPERLINK("https://rhld.insurance.arkansas.gov/NPILookup?Npi=1558490896","1558490896")</f>
        <v>1558490896</v>
      </c>
      <c r="D5138" s="36" t="s">
        <v>37290</v>
      </c>
      <c r="E5138" s="36" t="s">
        <v>2</v>
      </c>
      <c r="F5138" s="36">
        <v>1</v>
      </c>
      <c r="G5138" s="36">
        <v>1</v>
      </c>
      <c r="H5138" s="36">
        <v>0</v>
      </c>
      <c r="I5138" s="37">
        <v>0</v>
      </c>
      <c r="J5138" s="36"/>
      <c r="K5138" s="36" t="s">
        <v>14330</v>
      </c>
      <c r="L5138" s="36" t="s">
        <v>14330</v>
      </c>
      <c r="M5138">
        <v>1</v>
      </c>
      <c r="N5138" t="s">
        <v>14331</v>
      </c>
      <c r="O5138" t="s">
        <v>32633</v>
      </c>
    </row>
    <row r="5139" spans="1:15" x14ac:dyDescent="0.25">
      <c r="A5139" s="35" t="s">
        <v>8418</v>
      </c>
      <c r="B5139" s="36" t="s">
        <v>8419</v>
      </c>
      <c r="C5139" s="36" t="str">
        <f>HYPERLINK("https://rhld.insurance.arkansas.gov/NPILookup?Npi=1558977785","1558977785")</f>
        <v>1558977785</v>
      </c>
      <c r="D5139" s="36" t="s">
        <v>37291</v>
      </c>
      <c r="E5139" s="36" t="s">
        <v>2</v>
      </c>
      <c r="F5139" s="36">
        <v>1</v>
      </c>
      <c r="G5139" s="36">
        <v>1</v>
      </c>
      <c r="H5139" s="36">
        <v>0</v>
      </c>
      <c r="I5139" s="37">
        <v>0</v>
      </c>
      <c r="J5139" s="36"/>
      <c r="K5139" s="36" t="s">
        <v>14330</v>
      </c>
      <c r="L5139" s="36" t="s">
        <v>14330</v>
      </c>
      <c r="M5139">
        <v>1</v>
      </c>
      <c r="N5139" t="s">
        <v>14331</v>
      </c>
      <c r="O5139" t="s">
        <v>32633</v>
      </c>
    </row>
    <row r="5140" spans="1:15" x14ac:dyDescent="0.25">
      <c r="A5140" s="35" t="s">
        <v>8418</v>
      </c>
      <c r="B5140" s="36" t="s">
        <v>8419</v>
      </c>
      <c r="C5140" s="36" t="str">
        <f>HYPERLINK("https://rhld.insurance.arkansas.gov/NPILookup?Npi=1568206886","1568206886")</f>
        <v>1568206886</v>
      </c>
      <c r="D5140" s="36" t="s">
        <v>37292</v>
      </c>
      <c r="E5140" s="36" t="s">
        <v>2</v>
      </c>
      <c r="F5140" s="36">
        <v>1</v>
      </c>
      <c r="G5140" s="36">
        <v>1</v>
      </c>
      <c r="H5140" s="36">
        <v>0</v>
      </c>
      <c r="I5140" s="37">
        <v>0</v>
      </c>
      <c r="J5140" s="36"/>
      <c r="K5140" s="36" t="s">
        <v>14330</v>
      </c>
      <c r="L5140" s="36" t="s">
        <v>14330</v>
      </c>
      <c r="M5140">
        <v>1</v>
      </c>
      <c r="N5140" t="s">
        <v>14331</v>
      </c>
      <c r="O5140" t="s">
        <v>32633</v>
      </c>
    </row>
    <row r="5141" spans="1:15" x14ac:dyDescent="0.25">
      <c r="A5141" s="35" t="s">
        <v>8418</v>
      </c>
      <c r="B5141" s="36" t="s">
        <v>8419</v>
      </c>
      <c r="C5141" s="36" t="str">
        <f>HYPERLINK("https://rhld.insurance.arkansas.gov/NPILookup?Npi=1578187894","1578187894")</f>
        <v>1578187894</v>
      </c>
      <c r="D5141" s="36" t="s">
        <v>37293</v>
      </c>
      <c r="E5141" s="36" t="s">
        <v>2</v>
      </c>
      <c r="F5141" s="36">
        <v>1</v>
      </c>
      <c r="G5141" s="36">
        <v>1</v>
      </c>
      <c r="H5141" s="36">
        <v>0</v>
      </c>
      <c r="I5141" s="37">
        <v>0</v>
      </c>
      <c r="J5141" s="36"/>
      <c r="K5141" s="36" t="s">
        <v>14330</v>
      </c>
      <c r="L5141" s="36" t="s">
        <v>14330</v>
      </c>
      <c r="M5141">
        <v>1</v>
      </c>
      <c r="N5141" t="s">
        <v>14331</v>
      </c>
      <c r="O5141" t="s">
        <v>32633</v>
      </c>
    </row>
    <row r="5142" spans="1:15" x14ac:dyDescent="0.25">
      <c r="A5142" s="35" t="s">
        <v>8418</v>
      </c>
      <c r="B5142" s="36" t="s">
        <v>8419</v>
      </c>
      <c r="C5142" s="36" t="str">
        <f>HYPERLINK("https://rhld.insurance.arkansas.gov/NPILookup?Npi=1588497929","1588497929")</f>
        <v>1588497929</v>
      </c>
      <c r="D5142" s="36" t="s">
        <v>37294</v>
      </c>
      <c r="E5142" s="36" t="s">
        <v>2</v>
      </c>
      <c r="F5142" s="36">
        <v>1</v>
      </c>
      <c r="G5142" s="36">
        <v>1</v>
      </c>
      <c r="H5142" s="36">
        <v>0</v>
      </c>
      <c r="I5142" s="37">
        <v>0</v>
      </c>
      <c r="J5142" s="36"/>
      <c r="K5142" s="36" t="s">
        <v>14330</v>
      </c>
      <c r="L5142" s="36" t="s">
        <v>14330</v>
      </c>
      <c r="M5142">
        <v>1</v>
      </c>
      <c r="N5142" t="s">
        <v>14331</v>
      </c>
      <c r="O5142" t="s">
        <v>32633</v>
      </c>
    </row>
    <row r="5143" spans="1:15" x14ac:dyDescent="0.25">
      <c r="A5143" s="35" t="s">
        <v>8418</v>
      </c>
      <c r="B5143" s="36" t="s">
        <v>8419</v>
      </c>
      <c r="C5143" s="36" t="str">
        <f>HYPERLINK("https://rhld.insurance.arkansas.gov/NPILookup?Npi=1619648763","1619648763")</f>
        <v>1619648763</v>
      </c>
      <c r="D5143" s="36" t="s">
        <v>37295</v>
      </c>
      <c r="E5143" s="36" t="s">
        <v>2</v>
      </c>
      <c r="F5143" s="36">
        <v>1</v>
      </c>
      <c r="G5143" s="36">
        <v>1</v>
      </c>
      <c r="H5143" s="36">
        <v>0</v>
      </c>
      <c r="I5143" s="37">
        <v>0</v>
      </c>
      <c r="J5143" s="36"/>
      <c r="K5143" s="36" t="s">
        <v>14330</v>
      </c>
      <c r="L5143" s="36" t="s">
        <v>14330</v>
      </c>
      <c r="M5143">
        <v>1</v>
      </c>
      <c r="N5143" t="s">
        <v>14331</v>
      </c>
      <c r="O5143" t="s">
        <v>32633</v>
      </c>
    </row>
    <row r="5144" spans="1:15" x14ac:dyDescent="0.25">
      <c r="A5144" s="35" t="s">
        <v>8418</v>
      </c>
      <c r="B5144" s="36" t="s">
        <v>8419</v>
      </c>
      <c r="C5144" s="36" t="str">
        <f>HYPERLINK("https://rhld.insurance.arkansas.gov/NPILookup?Npi=1619751799","1619751799")</f>
        <v>1619751799</v>
      </c>
      <c r="D5144" s="36" t="s">
        <v>37296</v>
      </c>
      <c r="E5144" s="36" t="s">
        <v>2</v>
      </c>
      <c r="F5144" s="36">
        <v>1</v>
      </c>
      <c r="G5144" s="36">
        <v>1</v>
      </c>
      <c r="H5144" s="36">
        <v>0</v>
      </c>
      <c r="I5144" s="37">
        <v>0</v>
      </c>
      <c r="J5144" s="36"/>
      <c r="K5144" s="36" t="s">
        <v>14330</v>
      </c>
      <c r="L5144" s="36" t="s">
        <v>14330</v>
      </c>
      <c r="M5144">
        <v>1</v>
      </c>
      <c r="N5144" t="s">
        <v>14331</v>
      </c>
      <c r="O5144" t="s">
        <v>32633</v>
      </c>
    </row>
    <row r="5145" spans="1:15" x14ac:dyDescent="0.25">
      <c r="A5145" s="35" t="s">
        <v>8418</v>
      </c>
      <c r="B5145" s="36" t="s">
        <v>8419</v>
      </c>
      <c r="C5145" s="36" t="str">
        <f>HYPERLINK("https://rhld.insurance.arkansas.gov/NPILookup?Npi=1649081399","1649081399")</f>
        <v>1649081399</v>
      </c>
      <c r="D5145" s="36" t="s">
        <v>37297</v>
      </c>
      <c r="E5145" s="36" t="s">
        <v>2</v>
      </c>
      <c r="F5145" s="36">
        <v>1</v>
      </c>
      <c r="G5145" s="36">
        <v>1</v>
      </c>
      <c r="H5145" s="36">
        <v>0</v>
      </c>
      <c r="I5145" s="37">
        <v>0</v>
      </c>
      <c r="J5145" s="36"/>
      <c r="K5145" s="36" t="s">
        <v>14330</v>
      </c>
      <c r="L5145" s="36" t="s">
        <v>14330</v>
      </c>
      <c r="M5145">
        <v>1</v>
      </c>
      <c r="N5145" t="s">
        <v>14331</v>
      </c>
      <c r="O5145" t="s">
        <v>32633</v>
      </c>
    </row>
    <row r="5146" spans="1:15" x14ac:dyDescent="0.25">
      <c r="A5146" s="35" t="s">
        <v>8418</v>
      </c>
      <c r="B5146" s="36" t="s">
        <v>8419</v>
      </c>
      <c r="C5146" s="36" t="str">
        <f>HYPERLINK("https://rhld.insurance.arkansas.gov/NPILookup?Npi=1659442093","1659442093")</f>
        <v>1659442093</v>
      </c>
      <c r="D5146" s="36" t="s">
        <v>37298</v>
      </c>
      <c r="E5146" s="36" t="s">
        <v>1</v>
      </c>
      <c r="F5146" s="36">
        <v>1</v>
      </c>
      <c r="G5146" s="36">
        <v>1</v>
      </c>
      <c r="H5146" s="36">
        <v>0</v>
      </c>
      <c r="I5146" s="37">
        <v>0</v>
      </c>
      <c r="J5146" s="36" t="s">
        <v>32654</v>
      </c>
      <c r="K5146" s="36" t="s">
        <v>14330</v>
      </c>
      <c r="L5146" s="36" t="s">
        <v>14330</v>
      </c>
      <c r="M5146">
        <v>1</v>
      </c>
      <c r="N5146" t="s">
        <v>14331</v>
      </c>
      <c r="O5146" t="s">
        <v>32633</v>
      </c>
    </row>
    <row r="5147" spans="1:15" x14ac:dyDescent="0.25">
      <c r="A5147" s="35" t="s">
        <v>8418</v>
      </c>
      <c r="B5147" s="36" t="s">
        <v>8419</v>
      </c>
      <c r="C5147" s="36" t="str">
        <f>HYPERLINK("https://rhld.insurance.arkansas.gov/NPILookup?Npi=1669016192","1669016192")</f>
        <v>1669016192</v>
      </c>
      <c r="D5147" s="36" t="s">
        <v>37299</v>
      </c>
      <c r="E5147" s="36" t="s">
        <v>2</v>
      </c>
      <c r="F5147" s="36">
        <v>1</v>
      </c>
      <c r="G5147" s="36">
        <v>1</v>
      </c>
      <c r="H5147" s="36">
        <v>0</v>
      </c>
      <c r="I5147" s="37">
        <v>0</v>
      </c>
      <c r="J5147" s="36" t="s">
        <v>32679</v>
      </c>
      <c r="K5147" s="36" t="s">
        <v>14330</v>
      </c>
      <c r="L5147" s="36" t="s">
        <v>14330</v>
      </c>
      <c r="M5147">
        <v>1</v>
      </c>
      <c r="N5147" t="s">
        <v>14331</v>
      </c>
      <c r="O5147" t="s">
        <v>32633</v>
      </c>
    </row>
    <row r="5148" spans="1:15" x14ac:dyDescent="0.25">
      <c r="A5148" s="35" t="s">
        <v>8418</v>
      </c>
      <c r="B5148" s="36" t="s">
        <v>8419</v>
      </c>
      <c r="C5148" s="36" t="str">
        <f>HYPERLINK("https://rhld.insurance.arkansas.gov/NPILookup?Npi=1669212189","1669212189")</f>
        <v>1669212189</v>
      </c>
      <c r="D5148" s="36" t="s">
        <v>37300</v>
      </c>
      <c r="E5148" s="36" t="s">
        <v>2</v>
      </c>
      <c r="F5148" s="36">
        <v>1</v>
      </c>
      <c r="G5148" s="36">
        <v>1</v>
      </c>
      <c r="H5148" s="36">
        <v>0</v>
      </c>
      <c r="I5148" s="37">
        <v>0</v>
      </c>
      <c r="J5148" s="36"/>
      <c r="K5148" s="36" t="s">
        <v>14330</v>
      </c>
      <c r="L5148" s="36" t="s">
        <v>14330</v>
      </c>
      <c r="M5148">
        <v>1</v>
      </c>
      <c r="N5148" t="s">
        <v>14331</v>
      </c>
      <c r="O5148" t="s">
        <v>32633</v>
      </c>
    </row>
    <row r="5149" spans="1:15" x14ac:dyDescent="0.25">
      <c r="A5149" s="35" t="s">
        <v>8418</v>
      </c>
      <c r="B5149" s="36" t="s">
        <v>8419</v>
      </c>
      <c r="C5149" s="36" t="str">
        <f>HYPERLINK("https://rhld.insurance.arkansas.gov/NPILookup?Npi=1679227938","1679227938")</f>
        <v>1679227938</v>
      </c>
      <c r="D5149" s="36" t="s">
        <v>37301</v>
      </c>
      <c r="E5149" s="36" t="s">
        <v>2</v>
      </c>
      <c r="F5149" s="36">
        <v>1</v>
      </c>
      <c r="G5149" s="36">
        <v>1</v>
      </c>
      <c r="H5149" s="36">
        <v>0</v>
      </c>
      <c r="I5149" s="37">
        <v>0</v>
      </c>
      <c r="J5149" s="36"/>
      <c r="K5149" s="36" t="s">
        <v>14330</v>
      </c>
      <c r="L5149" s="36" t="s">
        <v>14330</v>
      </c>
      <c r="M5149">
        <v>1</v>
      </c>
      <c r="N5149" t="s">
        <v>14331</v>
      </c>
      <c r="O5149" t="s">
        <v>32633</v>
      </c>
    </row>
    <row r="5150" spans="1:15" x14ac:dyDescent="0.25">
      <c r="A5150" s="35" t="s">
        <v>8418</v>
      </c>
      <c r="B5150" s="36" t="s">
        <v>8419</v>
      </c>
      <c r="C5150" s="36" t="str">
        <f>HYPERLINK("https://rhld.insurance.arkansas.gov/NPILookup?Npi=1679312508","1679312508")</f>
        <v>1679312508</v>
      </c>
      <c r="D5150" s="36" t="s">
        <v>37302</v>
      </c>
      <c r="E5150" s="36" t="s">
        <v>2</v>
      </c>
      <c r="F5150" s="36">
        <v>1</v>
      </c>
      <c r="G5150" s="36">
        <v>1</v>
      </c>
      <c r="H5150" s="36">
        <v>0</v>
      </c>
      <c r="I5150" s="37">
        <v>0</v>
      </c>
      <c r="J5150" s="36"/>
      <c r="K5150" s="36" t="s">
        <v>14330</v>
      </c>
      <c r="L5150" s="36" t="s">
        <v>14330</v>
      </c>
      <c r="M5150">
        <v>1</v>
      </c>
      <c r="N5150" t="s">
        <v>14331</v>
      </c>
      <c r="O5150" t="s">
        <v>32633</v>
      </c>
    </row>
    <row r="5151" spans="1:15" x14ac:dyDescent="0.25">
      <c r="A5151" s="35" t="s">
        <v>8418</v>
      </c>
      <c r="B5151" s="36" t="s">
        <v>8419</v>
      </c>
      <c r="C5151" s="36" t="str">
        <f>HYPERLINK("https://rhld.insurance.arkansas.gov/NPILookup?Npi=1679895270","1679895270")</f>
        <v>1679895270</v>
      </c>
      <c r="D5151" s="36" t="s">
        <v>37303</v>
      </c>
      <c r="E5151" s="36" t="s">
        <v>1</v>
      </c>
      <c r="F5151" s="36">
        <v>1</v>
      </c>
      <c r="G5151" s="36">
        <v>1</v>
      </c>
      <c r="H5151" s="36">
        <v>0</v>
      </c>
      <c r="I5151" s="37">
        <v>0</v>
      </c>
      <c r="J5151" s="36" t="s">
        <v>32723</v>
      </c>
      <c r="K5151" s="36" t="s">
        <v>14330</v>
      </c>
      <c r="L5151" s="36" t="s">
        <v>14330</v>
      </c>
      <c r="M5151">
        <v>2</v>
      </c>
      <c r="N5151" t="s">
        <v>14331</v>
      </c>
      <c r="O5151" t="s">
        <v>32724</v>
      </c>
    </row>
    <row r="5152" spans="1:15" x14ac:dyDescent="0.25">
      <c r="A5152" s="35" t="s">
        <v>8418</v>
      </c>
      <c r="B5152" s="36" t="s">
        <v>8419</v>
      </c>
      <c r="C5152" s="36" t="str">
        <f>HYPERLINK("https://rhld.insurance.arkansas.gov/NPILookup?Npi=1699515668","1699515668")</f>
        <v>1699515668</v>
      </c>
      <c r="D5152" s="36" t="s">
        <v>37304</v>
      </c>
      <c r="E5152" s="36" t="s">
        <v>2</v>
      </c>
      <c r="F5152" s="36">
        <v>1</v>
      </c>
      <c r="G5152" s="36">
        <v>2</v>
      </c>
      <c r="H5152" s="36">
        <v>0</v>
      </c>
      <c r="I5152" s="37">
        <v>0</v>
      </c>
      <c r="J5152" s="36"/>
      <c r="K5152" s="36" t="s">
        <v>14330</v>
      </c>
      <c r="L5152" s="36" t="s">
        <v>14330</v>
      </c>
      <c r="M5152">
        <v>1</v>
      </c>
      <c r="N5152" t="s">
        <v>14331</v>
      </c>
      <c r="O5152" t="s">
        <v>14333</v>
      </c>
    </row>
    <row r="5153" spans="1:15" x14ac:dyDescent="0.25">
      <c r="A5153" s="35" t="s">
        <v>8418</v>
      </c>
      <c r="B5153" s="36" t="s">
        <v>8419</v>
      </c>
      <c r="C5153" s="36" t="str">
        <f>HYPERLINK("https://rhld.insurance.arkansas.gov/NPILookup?Npi=1700582731","1700582731")</f>
        <v>1700582731</v>
      </c>
      <c r="D5153" s="36" t="s">
        <v>37305</v>
      </c>
      <c r="E5153" s="36" t="s">
        <v>2</v>
      </c>
      <c r="F5153" s="36">
        <v>1</v>
      </c>
      <c r="G5153" s="36">
        <v>1</v>
      </c>
      <c r="H5153" s="36">
        <v>0</v>
      </c>
      <c r="I5153" s="37">
        <v>0</v>
      </c>
      <c r="J5153" s="36"/>
      <c r="K5153" s="36" t="s">
        <v>14330</v>
      </c>
      <c r="L5153" s="36" t="s">
        <v>14330</v>
      </c>
      <c r="M5153">
        <v>1</v>
      </c>
      <c r="N5153" t="s">
        <v>14331</v>
      </c>
      <c r="O5153" t="s">
        <v>32633</v>
      </c>
    </row>
    <row r="5154" spans="1:15" x14ac:dyDescent="0.25">
      <c r="A5154" s="35" t="s">
        <v>8418</v>
      </c>
      <c r="B5154" s="36" t="s">
        <v>8419</v>
      </c>
      <c r="C5154" s="36" t="str">
        <f>HYPERLINK("https://rhld.insurance.arkansas.gov/NPILookup?Npi=1710710249","1710710249")</f>
        <v>1710710249</v>
      </c>
      <c r="D5154" s="36" t="s">
        <v>37306</v>
      </c>
      <c r="E5154" s="36" t="s">
        <v>2</v>
      </c>
      <c r="F5154" s="36">
        <v>1</v>
      </c>
      <c r="G5154" s="36">
        <v>1</v>
      </c>
      <c r="H5154" s="36">
        <v>0</v>
      </c>
      <c r="I5154" s="37">
        <v>0</v>
      </c>
      <c r="J5154" s="36"/>
      <c r="K5154" s="36" t="s">
        <v>14330</v>
      </c>
      <c r="L5154" s="36" t="s">
        <v>14330</v>
      </c>
      <c r="M5154">
        <v>1</v>
      </c>
      <c r="N5154" t="s">
        <v>14331</v>
      </c>
      <c r="O5154" t="s">
        <v>32633</v>
      </c>
    </row>
    <row r="5155" spans="1:15" x14ac:dyDescent="0.25">
      <c r="A5155" s="35" t="s">
        <v>8418</v>
      </c>
      <c r="B5155" s="36" t="s">
        <v>8419</v>
      </c>
      <c r="C5155" s="36" t="str">
        <f>HYPERLINK("https://rhld.insurance.arkansas.gov/NPILookup?Npi=1730331851","1730331851")</f>
        <v>1730331851</v>
      </c>
      <c r="D5155" s="36" t="s">
        <v>37307</v>
      </c>
      <c r="E5155" s="36" t="s">
        <v>2</v>
      </c>
      <c r="F5155" s="36">
        <v>1</v>
      </c>
      <c r="G5155" s="36">
        <v>1</v>
      </c>
      <c r="H5155" s="36">
        <v>0</v>
      </c>
      <c r="I5155" s="37">
        <v>0</v>
      </c>
      <c r="J5155" s="36" t="s">
        <v>32679</v>
      </c>
      <c r="K5155" s="36" t="s">
        <v>14330</v>
      </c>
      <c r="L5155" s="36" t="s">
        <v>14330</v>
      </c>
      <c r="M5155">
        <v>2</v>
      </c>
      <c r="N5155" t="s">
        <v>14331</v>
      </c>
      <c r="O5155" t="s">
        <v>32633</v>
      </c>
    </row>
    <row r="5156" spans="1:15" x14ac:dyDescent="0.25">
      <c r="A5156" s="35" t="s">
        <v>8418</v>
      </c>
      <c r="B5156" s="36" t="s">
        <v>8419</v>
      </c>
      <c r="C5156" s="36" t="str">
        <f>HYPERLINK("https://rhld.insurance.arkansas.gov/NPILookup?Npi=1730731779","1730731779")</f>
        <v>1730731779</v>
      </c>
      <c r="D5156" s="36" t="s">
        <v>37308</v>
      </c>
      <c r="E5156" s="36" t="s">
        <v>2</v>
      </c>
      <c r="F5156" s="36">
        <v>1</v>
      </c>
      <c r="G5156" s="36">
        <v>2</v>
      </c>
      <c r="H5156" s="36">
        <v>0</v>
      </c>
      <c r="I5156" s="37">
        <v>0</v>
      </c>
      <c r="J5156" s="36" t="s">
        <v>32679</v>
      </c>
      <c r="K5156" s="36" t="s">
        <v>14330</v>
      </c>
      <c r="L5156" s="36" t="s">
        <v>14330</v>
      </c>
      <c r="M5156">
        <v>2</v>
      </c>
      <c r="N5156" t="s">
        <v>14331</v>
      </c>
      <c r="O5156" t="s">
        <v>14333</v>
      </c>
    </row>
    <row r="5157" spans="1:15" x14ac:dyDescent="0.25">
      <c r="A5157" s="35" t="s">
        <v>8418</v>
      </c>
      <c r="B5157" s="36" t="s">
        <v>8419</v>
      </c>
      <c r="C5157" s="36" t="str">
        <f>HYPERLINK("https://rhld.insurance.arkansas.gov/NPILookup?Npi=1730789702","1730789702")</f>
        <v>1730789702</v>
      </c>
      <c r="D5157" s="36" t="s">
        <v>37309</v>
      </c>
      <c r="E5157" s="36" t="s">
        <v>2</v>
      </c>
      <c r="F5157" s="36">
        <v>1</v>
      </c>
      <c r="G5157" s="36">
        <v>2</v>
      </c>
      <c r="H5157" s="36">
        <v>0</v>
      </c>
      <c r="I5157" s="37">
        <v>0</v>
      </c>
      <c r="J5157" s="36"/>
      <c r="K5157" s="36" t="s">
        <v>14330</v>
      </c>
      <c r="L5157" s="36" t="s">
        <v>14330</v>
      </c>
      <c r="M5157">
        <v>1</v>
      </c>
      <c r="N5157" t="s">
        <v>14331</v>
      </c>
      <c r="O5157" t="s">
        <v>14333</v>
      </c>
    </row>
    <row r="5158" spans="1:15" x14ac:dyDescent="0.25">
      <c r="A5158" s="35" t="s">
        <v>8418</v>
      </c>
      <c r="B5158" s="36" t="s">
        <v>8419</v>
      </c>
      <c r="C5158" s="36" t="str">
        <f>HYPERLINK("https://rhld.insurance.arkansas.gov/NPILookup?Npi=1760753875","1760753875")</f>
        <v>1760753875</v>
      </c>
      <c r="D5158" s="36" t="s">
        <v>37310</v>
      </c>
      <c r="E5158" s="36" t="s">
        <v>2</v>
      </c>
      <c r="F5158" s="36">
        <v>1</v>
      </c>
      <c r="G5158" s="36">
        <v>1</v>
      </c>
      <c r="H5158" s="36">
        <v>0</v>
      </c>
      <c r="I5158" s="37">
        <v>0</v>
      </c>
      <c r="J5158" s="36"/>
      <c r="K5158" s="36" t="s">
        <v>14330</v>
      </c>
      <c r="L5158" s="36" t="s">
        <v>14330</v>
      </c>
      <c r="M5158">
        <v>1</v>
      </c>
      <c r="N5158" t="s">
        <v>14331</v>
      </c>
      <c r="O5158" t="s">
        <v>32633</v>
      </c>
    </row>
    <row r="5159" spans="1:15" x14ac:dyDescent="0.25">
      <c r="A5159" s="35" t="s">
        <v>8418</v>
      </c>
      <c r="B5159" s="36" t="s">
        <v>8419</v>
      </c>
      <c r="C5159" s="36" t="str">
        <f>HYPERLINK("https://rhld.insurance.arkansas.gov/NPILookup?Npi=1780438713","1780438713")</f>
        <v>1780438713</v>
      </c>
      <c r="D5159" s="36" t="s">
        <v>37311</v>
      </c>
      <c r="E5159" s="36" t="s">
        <v>2</v>
      </c>
      <c r="F5159" s="36">
        <v>1</v>
      </c>
      <c r="G5159" s="36">
        <v>1</v>
      </c>
      <c r="H5159" s="36">
        <v>0</v>
      </c>
      <c r="I5159" s="37">
        <v>0</v>
      </c>
      <c r="J5159" s="36"/>
      <c r="K5159" s="36" t="s">
        <v>14330</v>
      </c>
      <c r="L5159" s="36" t="s">
        <v>14330</v>
      </c>
      <c r="M5159">
        <v>1</v>
      </c>
      <c r="N5159" t="s">
        <v>14331</v>
      </c>
      <c r="O5159" t="s">
        <v>32633</v>
      </c>
    </row>
    <row r="5160" spans="1:15" x14ac:dyDescent="0.25">
      <c r="A5160" s="35" t="s">
        <v>8418</v>
      </c>
      <c r="B5160" s="36" t="s">
        <v>8419</v>
      </c>
      <c r="C5160" s="36" t="str">
        <f>HYPERLINK("https://rhld.insurance.arkansas.gov/NPILookup?Npi=1790423465","1790423465")</f>
        <v>1790423465</v>
      </c>
      <c r="D5160" s="36" t="s">
        <v>37312</v>
      </c>
      <c r="E5160" s="36" t="s">
        <v>2</v>
      </c>
      <c r="F5160" s="36">
        <v>1</v>
      </c>
      <c r="G5160" s="36">
        <v>1</v>
      </c>
      <c r="H5160" s="36">
        <v>0</v>
      </c>
      <c r="I5160" s="37">
        <v>0</v>
      </c>
      <c r="J5160" s="36"/>
      <c r="K5160" s="36" t="s">
        <v>14330</v>
      </c>
      <c r="L5160" s="36" t="s">
        <v>14330</v>
      </c>
      <c r="M5160">
        <v>1</v>
      </c>
      <c r="N5160" t="s">
        <v>14331</v>
      </c>
      <c r="O5160" t="s">
        <v>32633</v>
      </c>
    </row>
    <row r="5161" spans="1:15" x14ac:dyDescent="0.25">
      <c r="A5161" s="35" t="s">
        <v>8418</v>
      </c>
      <c r="B5161" s="36" t="s">
        <v>8419</v>
      </c>
      <c r="C5161" s="36" t="str">
        <f>HYPERLINK("https://rhld.insurance.arkansas.gov/NPILookup?Npi=1821838020","1821838020")</f>
        <v>1821838020</v>
      </c>
      <c r="D5161" s="36" t="s">
        <v>37313</v>
      </c>
      <c r="E5161" s="36" t="s">
        <v>2</v>
      </c>
      <c r="F5161" s="36">
        <v>1</v>
      </c>
      <c r="G5161" s="36">
        <v>1</v>
      </c>
      <c r="H5161" s="36">
        <v>0</v>
      </c>
      <c r="I5161" s="37">
        <v>0</v>
      </c>
      <c r="J5161" s="36"/>
      <c r="K5161" s="36" t="s">
        <v>14330</v>
      </c>
      <c r="L5161" s="36" t="s">
        <v>14330</v>
      </c>
      <c r="M5161">
        <v>1</v>
      </c>
      <c r="N5161" t="s">
        <v>14331</v>
      </c>
      <c r="O5161" t="s">
        <v>32633</v>
      </c>
    </row>
    <row r="5162" spans="1:15" x14ac:dyDescent="0.25">
      <c r="A5162" s="35" t="s">
        <v>8418</v>
      </c>
      <c r="B5162" s="36" t="s">
        <v>8419</v>
      </c>
      <c r="C5162" s="36" t="str">
        <f>HYPERLINK("https://rhld.insurance.arkansas.gov/NPILookup?Npi=1831928381","1831928381")</f>
        <v>1831928381</v>
      </c>
      <c r="D5162" s="36" t="s">
        <v>37314</v>
      </c>
      <c r="E5162" s="36" t="s">
        <v>2</v>
      </c>
      <c r="F5162" s="36">
        <v>1</v>
      </c>
      <c r="G5162" s="36">
        <v>1</v>
      </c>
      <c r="H5162" s="36">
        <v>0</v>
      </c>
      <c r="I5162" s="37">
        <v>0</v>
      </c>
      <c r="J5162" s="36"/>
      <c r="K5162" s="36" t="s">
        <v>14330</v>
      </c>
      <c r="L5162" s="36" t="s">
        <v>14330</v>
      </c>
      <c r="M5162">
        <v>0</v>
      </c>
      <c r="N5162" t="s">
        <v>14331</v>
      </c>
      <c r="O5162" t="s">
        <v>32633</v>
      </c>
    </row>
    <row r="5163" spans="1:15" x14ac:dyDescent="0.25">
      <c r="A5163" s="35" t="s">
        <v>8418</v>
      </c>
      <c r="B5163" s="36" t="s">
        <v>8419</v>
      </c>
      <c r="C5163" s="36" t="str">
        <f>HYPERLINK("https://rhld.insurance.arkansas.gov/NPILookup?Npi=1841525011","1841525011")</f>
        <v>1841525011</v>
      </c>
      <c r="D5163" s="36" t="s">
        <v>37315</v>
      </c>
      <c r="E5163" s="36" t="s">
        <v>2</v>
      </c>
      <c r="F5163" s="36">
        <v>1</v>
      </c>
      <c r="G5163" s="36">
        <v>0</v>
      </c>
      <c r="H5163" s="36">
        <v>0</v>
      </c>
      <c r="I5163" s="37">
        <v>0</v>
      </c>
      <c r="J5163" s="36" t="s">
        <v>32679</v>
      </c>
      <c r="K5163" s="36" t="s">
        <v>14330</v>
      </c>
      <c r="L5163" s="36" t="s">
        <v>14330</v>
      </c>
      <c r="M5163">
        <v>1</v>
      </c>
      <c r="N5163" t="s">
        <v>14331</v>
      </c>
      <c r="O5163" t="s">
        <v>32633</v>
      </c>
    </row>
    <row r="5164" spans="1:15" x14ac:dyDescent="0.25">
      <c r="A5164" s="35" t="s">
        <v>8418</v>
      </c>
      <c r="B5164" s="36" t="s">
        <v>8419</v>
      </c>
      <c r="C5164" s="36" t="str">
        <f>HYPERLINK("https://rhld.insurance.arkansas.gov/NPILookup?Npi=1841536331","1841536331")</f>
        <v>1841536331</v>
      </c>
      <c r="D5164" s="36" t="s">
        <v>37316</v>
      </c>
      <c r="E5164" s="36" t="s">
        <v>2</v>
      </c>
      <c r="F5164" s="36">
        <v>1</v>
      </c>
      <c r="G5164" s="36">
        <v>1</v>
      </c>
      <c r="H5164" s="36">
        <v>0</v>
      </c>
      <c r="I5164" s="37">
        <v>0</v>
      </c>
      <c r="J5164" s="36"/>
      <c r="K5164" s="36" t="s">
        <v>14330</v>
      </c>
      <c r="L5164" s="36" t="s">
        <v>14330</v>
      </c>
      <c r="M5164">
        <v>0</v>
      </c>
      <c r="N5164" t="s">
        <v>14331</v>
      </c>
      <c r="O5164" t="s">
        <v>32633</v>
      </c>
    </row>
    <row r="5165" spans="1:15" x14ac:dyDescent="0.25">
      <c r="A5165" s="35" t="s">
        <v>8418</v>
      </c>
      <c r="B5165" s="36" t="s">
        <v>8419</v>
      </c>
      <c r="C5165" s="36" t="str">
        <f>HYPERLINK("https://rhld.insurance.arkansas.gov/NPILookup?Npi=1861864530","1861864530")</f>
        <v>1861864530</v>
      </c>
      <c r="D5165" s="36" t="s">
        <v>37317</v>
      </c>
      <c r="E5165" s="36" t="s">
        <v>2</v>
      </c>
      <c r="F5165" s="36">
        <v>1</v>
      </c>
      <c r="G5165" s="36">
        <v>0</v>
      </c>
      <c r="H5165" s="36">
        <v>0</v>
      </c>
      <c r="I5165" s="37">
        <v>0</v>
      </c>
      <c r="J5165" s="36" t="s">
        <v>32679</v>
      </c>
      <c r="K5165" s="36" t="s">
        <v>14330</v>
      </c>
      <c r="L5165" s="36" t="s">
        <v>14330</v>
      </c>
      <c r="M5165">
        <v>1</v>
      </c>
      <c r="N5165" t="s">
        <v>14331</v>
      </c>
      <c r="O5165" t="s">
        <v>32633</v>
      </c>
    </row>
    <row r="5166" spans="1:15" x14ac:dyDescent="0.25">
      <c r="A5166" s="35" t="s">
        <v>8418</v>
      </c>
      <c r="B5166" s="36" t="s">
        <v>8419</v>
      </c>
      <c r="C5166" s="36" t="str">
        <f>HYPERLINK("https://rhld.insurance.arkansas.gov/NPILookup?Npi=1871335117","1871335117")</f>
        <v>1871335117</v>
      </c>
      <c r="D5166" s="36" t="s">
        <v>37318</v>
      </c>
      <c r="E5166" s="36" t="s">
        <v>2</v>
      </c>
      <c r="F5166" s="36">
        <v>1</v>
      </c>
      <c r="G5166" s="36">
        <v>1</v>
      </c>
      <c r="H5166" s="36">
        <v>0</v>
      </c>
      <c r="I5166" s="37">
        <v>0</v>
      </c>
      <c r="J5166" s="36"/>
      <c r="K5166" s="36" t="s">
        <v>14330</v>
      </c>
      <c r="L5166" s="36" t="s">
        <v>14330</v>
      </c>
      <c r="M5166">
        <v>1</v>
      </c>
      <c r="N5166" t="s">
        <v>14331</v>
      </c>
      <c r="O5166" t="s">
        <v>32633</v>
      </c>
    </row>
    <row r="5167" spans="1:15" x14ac:dyDescent="0.25">
      <c r="A5167" s="35" t="s">
        <v>8418</v>
      </c>
      <c r="B5167" s="36" t="s">
        <v>8419</v>
      </c>
      <c r="C5167" s="36" t="str">
        <f>HYPERLINK("https://rhld.insurance.arkansas.gov/NPILookup?Npi=1881807949","1881807949")</f>
        <v>1881807949</v>
      </c>
      <c r="D5167" s="36" t="s">
        <v>37319</v>
      </c>
      <c r="E5167" s="36" t="s">
        <v>1</v>
      </c>
      <c r="F5167" s="36">
        <v>1</v>
      </c>
      <c r="G5167" s="36">
        <v>1</v>
      </c>
      <c r="H5167" s="36">
        <v>0</v>
      </c>
      <c r="I5167" s="37">
        <v>0</v>
      </c>
      <c r="J5167" s="36" t="s">
        <v>32654</v>
      </c>
      <c r="K5167" s="36" t="s">
        <v>14330</v>
      </c>
      <c r="L5167" s="36" t="s">
        <v>14330</v>
      </c>
      <c r="M5167">
        <v>2</v>
      </c>
      <c r="N5167" t="s">
        <v>14331</v>
      </c>
      <c r="O5167" t="s">
        <v>32633</v>
      </c>
    </row>
    <row r="5168" spans="1:15" x14ac:dyDescent="0.25">
      <c r="A5168" s="35" t="s">
        <v>8418</v>
      </c>
      <c r="B5168" s="36" t="s">
        <v>8419</v>
      </c>
      <c r="C5168" s="36" t="str">
        <f>HYPERLINK("https://rhld.insurance.arkansas.gov/NPILookup?Npi=1891039806","1891039806")</f>
        <v>1891039806</v>
      </c>
      <c r="D5168" s="36" t="s">
        <v>37320</v>
      </c>
      <c r="E5168" s="36" t="s">
        <v>2</v>
      </c>
      <c r="F5168" s="36">
        <v>1</v>
      </c>
      <c r="G5168" s="36">
        <v>2</v>
      </c>
      <c r="H5168" s="36">
        <v>0</v>
      </c>
      <c r="I5168" s="37">
        <v>0</v>
      </c>
      <c r="J5168" s="36"/>
      <c r="K5168" s="36" t="s">
        <v>14330</v>
      </c>
      <c r="L5168" s="36" t="s">
        <v>14330</v>
      </c>
      <c r="M5168">
        <v>1</v>
      </c>
      <c r="N5168" t="s">
        <v>14331</v>
      </c>
      <c r="O5168" t="s">
        <v>14333</v>
      </c>
    </row>
    <row r="5169" spans="1:15" x14ac:dyDescent="0.25">
      <c r="A5169" s="35" t="s">
        <v>8418</v>
      </c>
      <c r="B5169" s="36" t="s">
        <v>8419</v>
      </c>
      <c r="C5169" s="36" t="str">
        <f>HYPERLINK("https://rhld.insurance.arkansas.gov/NPILookup?Npi=1891504536","1891504536")</f>
        <v>1891504536</v>
      </c>
      <c r="D5169" s="36" t="s">
        <v>37321</v>
      </c>
      <c r="E5169" s="36" t="s">
        <v>2</v>
      </c>
      <c r="F5169" s="36">
        <v>1</v>
      </c>
      <c r="G5169" s="36">
        <v>1</v>
      </c>
      <c r="H5169" s="36">
        <v>0</v>
      </c>
      <c r="I5169" s="37">
        <v>0</v>
      </c>
      <c r="J5169" s="36"/>
      <c r="K5169" s="36" t="s">
        <v>14330</v>
      </c>
      <c r="L5169" s="36" t="s">
        <v>14330</v>
      </c>
      <c r="M5169">
        <v>2</v>
      </c>
      <c r="N5169" t="s">
        <v>14331</v>
      </c>
      <c r="O5169" t="s">
        <v>32633</v>
      </c>
    </row>
    <row r="5170" spans="1:15" x14ac:dyDescent="0.25">
      <c r="A5170" s="35" t="s">
        <v>8418</v>
      </c>
      <c r="B5170" s="36" t="s">
        <v>8419</v>
      </c>
      <c r="C5170" s="36" t="str">
        <f>HYPERLINK("https://rhld.insurance.arkansas.gov/NPILookup?Npi=1902397615","1902397615")</f>
        <v>1902397615</v>
      </c>
      <c r="D5170" s="36" t="s">
        <v>37322</v>
      </c>
      <c r="E5170" s="36" t="s">
        <v>1</v>
      </c>
      <c r="F5170" s="36">
        <v>1</v>
      </c>
      <c r="G5170" s="36">
        <v>2</v>
      </c>
      <c r="H5170" s="36">
        <v>0</v>
      </c>
      <c r="I5170" s="37">
        <v>0</v>
      </c>
      <c r="J5170" s="36" t="s">
        <v>32654</v>
      </c>
      <c r="K5170" s="36" t="s">
        <v>14330</v>
      </c>
      <c r="L5170" s="36" t="s">
        <v>14330</v>
      </c>
      <c r="M5170">
        <v>2</v>
      </c>
      <c r="N5170" t="s">
        <v>14331</v>
      </c>
      <c r="O5170" t="s">
        <v>32633</v>
      </c>
    </row>
    <row r="5171" spans="1:15" x14ac:dyDescent="0.25">
      <c r="A5171" s="35" t="s">
        <v>8418</v>
      </c>
      <c r="B5171" s="36" t="s">
        <v>8419</v>
      </c>
      <c r="C5171" s="36" t="str">
        <f>HYPERLINK("https://rhld.insurance.arkansas.gov/NPILookup?Npi=1912565789","1912565789")</f>
        <v>1912565789</v>
      </c>
      <c r="D5171" s="36" t="s">
        <v>37323</v>
      </c>
      <c r="E5171" s="36" t="s">
        <v>2</v>
      </c>
      <c r="F5171" s="36">
        <v>1</v>
      </c>
      <c r="G5171" s="36">
        <v>2</v>
      </c>
      <c r="H5171" s="36">
        <v>0</v>
      </c>
      <c r="I5171" s="37">
        <v>0</v>
      </c>
      <c r="J5171" s="36"/>
      <c r="K5171" s="36" t="s">
        <v>14330</v>
      </c>
      <c r="L5171" s="36" t="s">
        <v>14330</v>
      </c>
      <c r="M5171">
        <v>1</v>
      </c>
      <c r="N5171" t="s">
        <v>14331</v>
      </c>
      <c r="O5171" t="s">
        <v>14333</v>
      </c>
    </row>
    <row r="5172" spans="1:15" x14ac:dyDescent="0.25">
      <c r="A5172" s="35" t="s">
        <v>8418</v>
      </c>
      <c r="B5172" s="36" t="s">
        <v>8419</v>
      </c>
      <c r="C5172" s="36" t="str">
        <f>HYPERLINK("https://rhld.insurance.arkansas.gov/NPILookup?Npi=1922735885","1922735885")</f>
        <v>1922735885</v>
      </c>
      <c r="D5172" s="36" t="s">
        <v>37324</v>
      </c>
      <c r="E5172" s="36" t="s">
        <v>2</v>
      </c>
      <c r="F5172" s="36">
        <v>1</v>
      </c>
      <c r="G5172" s="36">
        <v>1</v>
      </c>
      <c r="H5172" s="36">
        <v>0</v>
      </c>
      <c r="I5172" s="37">
        <v>0</v>
      </c>
      <c r="J5172" s="36"/>
      <c r="K5172" s="36" t="s">
        <v>14330</v>
      </c>
      <c r="L5172" s="36" t="s">
        <v>14330</v>
      </c>
      <c r="M5172">
        <v>1</v>
      </c>
      <c r="N5172" t="s">
        <v>14331</v>
      </c>
      <c r="O5172" t="s">
        <v>32633</v>
      </c>
    </row>
    <row r="5173" spans="1:15" x14ac:dyDescent="0.25">
      <c r="A5173" s="35" t="s">
        <v>8418</v>
      </c>
      <c r="B5173" s="36" t="s">
        <v>8419</v>
      </c>
      <c r="C5173" s="36" t="str">
        <f>HYPERLINK("https://rhld.insurance.arkansas.gov/NPILookup?Npi=1942083126","1942083126")</f>
        <v>1942083126</v>
      </c>
      <c r="D5173" s="36" t="s">
        <v>37325</v>
      </c>
      <c r="E5173" s="36" t="s">
        <v>2</v>
      </c>
      <c r="F5173" s="36">
        <v>1</v>
      </c>
      <c r="G5173" s="36">
        <v>1</v>
      </c>
      <c r="H5173" s="36">
        <v>0</v>
      </c>
      <c r="I5173" s="37">
        <v>0</v>
      </c>
      <c r="J5173" s="36"/>
      <c r="K5173" s="36" t="s">
        <v>14330</v>
      </c>
      <c r="L5173" s="36" t="s">
        <v>14330</v>
      </c>
      <c r="M5173">
        <v>2</v>
      </c>
      <c r="N5173" t="s">
        <v>14331</v>
      </c>
      <c r="O5173" t="s">
        <v>32633</v>
      </c>
    </row>
    <row r="5174" spans="1:15" x14ac:dyDescent="0.25">
      <c r="A5174" s="35" t="s">
        <v>8418</v>
      </c>
      <c r="B5174" s="36" t="s">
        <v>8419</v>
      </c>
      <c r="C5174" s="36" t="str">
        <f>HYPERLINK("https://rhld.insurance.arkansas.gov/NPILookup?Npi=1942421318","1942421318")</f>
        <v>1942421318</v>
      </c>
      <c r="D5174" s="36" t="s">
        <v>37326</v>
      </c>
      <c r="E5174" s="36" t="s">
        <v>1</v>
      </c>
      <c r="F5174" s="36">
        <v>1</v>
      </c>
      <c r="G5174" s="36">
        <v>2</v>
      </c>
      <c r="H5174" s="36">
        <v>0</v>
      </c>
      <c r="I5174" s="37">
        <v>0</v>
      </c>
      <c r="J5174" s="36" t="s">
        <v>37251</v>
      </c>
      <c r="K5174" s="36" t="s">
        <v>14330</v>
      </c>
      <c r="L5174" s="36" t="s">
        <v>14330</v>
      </c>
      <c r="M5174">
        <v>2</v>
      </c>
      <c r="N5174" t="s">
        <v>14331</v>
      </c>
      <c r="O5174" t="s">
        <v>32633</v>
      </c>
    </row>
    <row r="5175" spans="1:15" x14ac:dyDescent="0.25">
      <c r="A5175" s="35" t="s">
        <v>8418</v>
      </c>
      <c r="B5175" s="36" t="s">
        <v>8419</v>
      </c>
      <c r="C5175" s="36" t="str">
        <f>HYPERLINK("https://rhld.insurance.arkansas.gov/NPILookup?Npi=1942826409","1942826409")</f>
        <v>1942826409</v>
      </c>
      <c r="D5175" s="36" t="s">
        <v>37327</v>
      </c>
      <c r="E5175" s="36" t="s">
        <v>2</v>
      </c>
      <c r="F5175" s="36">
        <v>1</v>
      </c>
      <c r="G5175" s="36">
        <v>2</v>
      </c>
      <c r="H5175" s="36">
        <v>0</v>
      </c>
      <c r="I5175" s="37">
        <v>0</v>
      </c>
      <c r="J5175" s="36"/>
      <c r="K5175" s="36" t="s">
        <v>14330</v>
      </c>
      <c r="L5175" s="36" t="s">
        <v>14330</v>
      </c>
      <c r="M5175">
        <v>1</v>
      </c>
      <c r="N5175" t="s">
        <v>14331</v>
      </c>
      <c r="O5175" t="s">
        <v>14333</v>
      </c>
    </row>
    <row r="5176" spans="1:15" x14ac:dyDescent="0.25">
      <c r="A5176" s="35" t="s">
        <v>8418</v>
      </c>
      <c r="B5176" s="36" t="s">
        <v>8419</v>
      </c>
      <c r="C5176" s="36" t="str">
        <f>HYPERLINK("https://rhld.insurance.arkansas.gov/NPILookup?Npi=1972359164","1972359164")</f>
        <v>1972359164</v>
      </c>
      <c r="D5176" s="36" t="s">
        <v>37328</v>
      </c>
      <c r="E5176" s="36" t="s">
        <v>2</v>
      </c>
      <c r="F5176" s="36">
        <v>1</v>
      </c>
      <c r="G5176" s="36">
        <v>1</v>
      </c>
      <c r="H5176" s="36">
        <v>0</v>
      </c>
      <c r="I5176" s="37">
        <v>0</v>
      </c>
      <c r="J5176" s="36"/>
      <c r="K5176" s="36" t="s">
        <v>14330</v>
      </c>
      <c r="L5176" s="36" t="s">
        <v>14330</v>
      </c>
      <c r="M5176">
        <v>1</v>
      </c>
      <c r="N5176" t="s">
        <v>14331</v>
      </c>
      <c r="O5176" t="s">
        <v>32633</v>
      </c>
    </row>
    <row r="5177" spans="1:15" x14ac:dyDescent="0.25">
      <c r="A5177" s="35" t="s">
        <v>8418</v>
      </c>
      <c r="B5177" s="36" t="s">
        <v>8419</v>
      </c>
      <c r="C5177" s="36" t="str">
        <f>HYPERLINK("https://rhld.insurance.arkansas.gov/NPILookup?Npi=1972723492","1972723492")</f>
        <v>1972723492</v>
      </c>
      <c r="D5177" s="36" t="s">
        <v>37329</v>
      </c>
      <c r="E5177" s="36" t="s">
        <v>2</v>
      </c>
      <c r="F5177" s="36">
        <v>1</v>
      </c>
      <c r="G5177" s="36">
        <v>1</v>
      </c>
      <c r="H5177" s="36">
        <v>0</v>
      </c>
      <c r="I5177" s="37">
        <v>0</v>
      </c>
      <c r="J5177" s="36"/>
      <c r="K5177" s="36" t="s">
        <v>14330</v>
      </c>
      <c r="L5177" s="36" t="s">
        <v>14330</v>
      </c>
      <c r="M5177">
        <v>1</v>
      </c>
      <c r="N5177" t="s">
        <v>14331</v>
      </c>
      <c r="O5177" t="s">
        <v>32633</v>
      </c>
    </row>
    <row r="5178" spans="1:15" x14ac:dyDescent="0.25">
      <c r="A5178" s="35" t="s">
        <v>8418</v>
      </c>
      <c r="B5178" s="36" t="s">
        <v>8419</v>
      </c>
      <c r="C5178" s="36" t="str">
        <f>HYPERLINK("https://rhld.insurance.arkansas.gov/NPILookup?Npi=1982488466","1982488466")</f>
        <v>1982488466</v>
      </c>
      <c r="D5178" s="36" t="s">
        <v>37330</v>
      </c>
      <c r="E5178" s="36" t="s">
        <v>2</v>
      </c>
      <c r="F5178" s="36">
        <v>1</v>
      </c>
      <c r="G5178" s="36">
        <v>1</v>
      </c>
      <c r="H5178" s="36">
        <v>0</v>
      </c>
      <c r="I5178" s="37">
        <v>0</v>
      </c>
      <c r="J5178" s="36"/>
      <c r="K5178" s="36" t="s">
        <v>14330</v>
      </c>
      <c r="L5178" s="36" t="s">
        <v>14330</v>
      </c>
      <c r="M5178">
        <v>1</v>
      </c>
      <c r="N5178" t="s">
        <v>14331</v>
      </c>
      <c r="O5178" t="s">
        <v>32633</v>
      </c>
    </row>
    <row r="5179" spans="1:15" x14ac:dyDescent="0.25">
      <c r="A5179" s="35" t="s">
        <v>8418</v>
      </c>
      <c r="B5179" s="36" t="s">
        <v>8419</v>
      </c>
      <c r="C5179" s="36" t="str">
        <f>HYPERLINK("https://rhld.insurance.arkansas.gov/NPILookup?Npi=1992320238","1992320238")</f>
        <v>1992320238</v>
      </c>
      <c r="D5179" s="36" t="s">
        <v>37331</v>
      </c>
      <c r="E5179" s="36" t="s">
        <v>2</v>
      </c>
      <c r="F5179" s="36">
        <v>1</v>
      </c>
      <c r="G5179" s="36">
        <v>1</v>
      </c>
      <c r="H5179" s="36">
        <v>0</v>
      </c>
      <c r="I5179" s="37">
        <v>0</v>
      </c>
      <c r="J5179" s="36"/>
      <c r="K5179" s="36" t="s">
        <v>14330</v>
      </c>
      <c r="L5179" s="36" t="s">
        <v>14330</v>
      </c>
      <c r="M5179">
        <v>2</v>
      </c>
      <c r="N5179" t="s">
        <v>14331</v>
      </c>
      <c r="O5179" t="s">
        <v>32633</v>
      </c>
    </row>
    <row r="5180" spans="1:15" x14ac:dyDescent="0.25">
      <c r="A5180" s="35" t="s">
        <v>8864</v>
      </c>
      <c r="B5180" s="36" t="s">
        <v>8865</v>
      </c>
      <c r="C5180" s="36" t="str">
        <f>HYPERLINK("https://rhld.insurance.arkansas.gov/NPILookup?Npi=1003816901","1003816901")</f>
        <v>1003816901</v>
      </c>
      <c r="D5180" s="36" t="s">
        <v>37332</v>
      </c>
      <c r="E5180" s="36" t="s">
        <v>1</v>
      </c>
      <c r="F5180" s="36">
        <v>1</v>
      </c>
      <c r="G5180" s="36">
        <v>2</v>
      </c>
      <c r="H5180" s="36">
        <v>0</v>
      </c>
      <c r="I5180" s="37">
        <v>0</v>
      </c>
      <c r="J5180" s="36" t="s">
        <v>14335</v>
      </c>
      <c r="K5180" s="36" t="s">
        <v>14330</v>
      </c>
      <c r="L5180" s="36" t="s">
        <v>14330</v>
      </c>
      <c r="M5180">
        <v>4</v>
      </c>
      <c r="N5180" t="s">
        <v>14331</v>
      </c>
      <c r="O5180" t="s">
        <v>32633</v>
      </c>
    </row>
    <row r="5181" spans="1:15" x14ac:dyDescent="0.25">
      <c r="A5181" s="35" t="s">
        <v>8864</v>
      </c>
      <c r="B5181" s="36" t="s">
        <v>8865</v>
      </c>
      <c r="C5181" s="36" t="str">
        <f>HYPERLINK("https://rhld.insurance.arkansas.gov/NPILookup?Npi=1043363005","1043363005")</f>
        <v>1043363005</v>
      </c>
      <c r="D5181" s="36" t="s">
        <v>37333</v>
      </c>
      <c r="E5181" s="36" t="s">
        <v>1</v>
      </c>
      <c r="F5181" s="36">
        <v>1</v>
      </c>
      <c r="G5181" s="36">
        <v>4</v>
      </c>
      <c r="H5181" s="36">
        <v>0</v>
      </c>
      <c r="I5181" s="37">
        <v>0</v>
      </c>
      <c r="J5181" s="36" t="s">
        <v>32654</v>
      </c>
      <c r="K5181" s="36" t="s">
        <v>37334</v>
      </c>
      <c r="L5181" s="36" t="s">
        <v>14330</v>
      </c>
      <c r="M5181">
        <v>4</v>
      </c>
      <c r="N5181" t="s">
        <v>14331</v>
      </c>
      <c r="O5181" t="s">
        <v>32633</v>
      </c>
    </row>
    <row r="5182" spans="1:15" x14ac:dyDescent="0.25">
      <c r="A5182" s="35" t="s">
        <v>8864</v>
      </c>
      <c r="B5182" s="36" t="s">
        <v>8865</v>
      </c>
      <c r="C5182" s="36" t="str">
        <f>HYPERLINK("https://rhld.insurance.arkansas.gov/NPILookup?Npi=1205806510","1205806510")</f>
        <v>1205806510</v>
      </c>
      <c r="D5182" s="36" t="s">
        <v>37335</v>
      </c>
      <c r="E5182" s="36" t="s">
        <v>1</v>
      </c>
      <c r="F5182" s="36">
        <v>1</v>
      </c>
      <c r="G5182" s="36">
        <v>4</v>
      </c>
      <c r="H5182" s="36">
        <v>0</v>
      </c>
      <c r="I5182" s="37">
        <v>0</v>
      </c>
      <c r="J5182" s="36" t="s">
        <v>32654</v>
      </c>
      <c r="K5182" s="36" t="s">
        <v>37336</v>
      </c>
      <c r="L5182" s="36" t="s">
        <v>14330</v>
      </c>
      <c r="M5182">
        <v>4</v>
      </c>
      <c r="N5182" t="s">
        <v>14331</v>
      </c>
      <c r="O5182" t="s">
        <v>32633</v>
      </c>
    </row>
    <row r="5183" spans="1:15" x14ac:dyDescent="0.25">
      <c r="A5183" s="35" t="s">
        <v>8864</v>
      </c>
      <c r="B5183" s="36" t="s">
        <v>8865</v>
      </c>
      <c r="C5183" s="36" t="str">
        <f>HYPERLINK("https://rhld.insurance.arkansas.gov/NPILookup?Npi=1265430201","1265430201")</f>
        <v>1265430201</v>
      </c>
      <c r="D5183" s="36" t="s">
        <v>33069</v>
      </c>
      <c r="E5183" s="36" t="s">
        <v>1</v>
      </c>
      <c r="F5183" s="36">
        <v>1</v>
      </c>
      <c r="G5183" s="36">
        <v>4</v>
      </c>
      <c r="H5183" s="36">
        <v>0</v>
      </c>
      <c r="I5183" s="37">
        <v>0</v>
      </c>
      <c r="J5183" s="36" t="s">
        <v>32654</v>
      </c>
      <c r="K5183" s="36" t="s">
        <v>37337</v>
      </c>
      <c r="L5183" s="36" t="s">
        <v>14330</v>
      </c>
      <c r="M5183">
        <v>3</v>
      </c>
      <c r="N5183" t="s">
        <v>14331</v>
      </c>
      <c r="O5183" t="s">
        <v>32633</v>
      </c>
    </row>
    <row r="5184" spans="1:15" x14ac:dyDescent="0.25">
      <c r="A5184" s="35" t="s">
        <v>8864</v>
      </c>
      <c r="B5184" s="36" t="s">
        <v>8865</v>
      </c>
      <c r="C5184" s="36" t="str">
        <f>HYPERLINK("https://rhld.insurance.arkansas.gov/NPILookup?Npi=1346703832","1346703832")</f>
        <v>1346703832</v>
      </c>
      <c r="D5184" s="36" t="s">
        <v>37338</v>
      </c>
      <c r="E5184" s="36" t="s">
        <v>2</v>
      </c>
      <c r="F5184" s="36">
        <v>1</v>
      </c>
      <c r="G5184" s="36">
        <v>3</v>
      </c>
      <c r="H5184" s="36">
        <v>0</v>
      </c>
      <c r="I5184" s="37">
        <v>0</v>
      </c>
      <c r="J5184" s="36"/>
      <c r="K5184" s="36" t="s">
        <v>37339</v>
      </c>
      <c r="L5184" s="36" t="s">
        <v>14330</v>
      </c>
      <c r="M5184">
        <v>4</v>
      </c>
      <c r="N5184" t="s">
        <v>14331</v>
      </c>
      <c r="O5184" t="s">
        <v>14333</v>
      </c>
    </row>
    <row r="5185" spans="1:15" x14ac:dyDescent="0.25">
      <c r="A5185" s="35" t="s">
        <v>8864</v>
      </c>
      <c r="B5185" s="36" t="s">
        <v>8865</v>
      </c>
      <c r="C5185" s="36" t="str">
        <f>HYPERLINK("https://rhld.insurance.arkansas.gov/NPILookup?Npi=1558469833","1558469833")</f>
        <v>1558469833</v>
      </c>
      <c r="D5185" s="36" t="s">
        <v>35661</v>
      </c>
      <c r="E5185" s="36" t="s">
        <v>1</v>
      </c>
      <c r="F5185" s="36">
        <v>1</v>
      </c>
      <c r="G5185" s="36">
        <v>4</v>
      </c>
      <c r="H5185" s="36">
        <v>0</v>
      </c>
      <c r="I5185" s="37">
        <v>0</v>
      </c>
      <c r="J5185" s="36" t="s">
        <v>32654</v>
      </c>
      <c r="K5185" s="36" t="s">
        <v>37340</v>
      </c>
      <c r="L5185" s="36" t="s">
        <v>14330</v>
      </c>
      <c r="M5185">
        <v>4</v>
      </c>
      <c r="N5185" t="s">
        <v>14331</v>
      </c>
      <c r="O5185" t="s">
        <v>32633</v>
      </c>
    </row>
    <row r="5186" spans="1:15" x14ac:dyDescent="0.25">
      <c r="A5186" s="35" t="s">
        <v>8864</v>
      </c>
      <c r="B5186" s="36" t="s">
        <v>8865</v>
      </c>
      <c r="C5186" s="36" t="str">
        <f>HYPERLINK("https://rhld.insurance.arkansas.gov/NPILookup?Npi=1639340599","1639340599")</f>
        <v>1639340599</v>
      </c>
      <c r="D5186" s="36" t="s">
        <v>37341</v>
      </c>
      <c r="E5186" s="36" t="s">
        <v>1</v>
      </c>
      <c r="F5186" s="36">
        <v>1</v>
      </c>
      <c r="G5186" s="36">
        <v>4</v>
      </c>
      <c r="H5186" s="36">
        <v>0</v>
      </c>
      <c r="I5186" s="37">
        <v>0</v>
      </c>
      <c r="J5186" s="36" t="s">
        <v>32654</v>
      </c>
      <c r="K5186" s="36" t="s">
        <v>37342</v>
      </c>
      <c r="L5186" s="36" t="s">
        <v>14330</v>
      </c>
      <c r="M5186">
        <v>3</v>
      </c>
      <c r="N5186" t="s">
        <v>14331</v>
      </c>
      <c r="O5186" t="s">
        <v>32633</v>
      </c>
    </row>
    <row r="5187" spans="1:15" x14ac:dyDescent="0.25">
      <c r="A5187" s="35" t="s">
        <v>8864</v>
      </c>
      <c r="B5187" s="36" t="s">
        <v>8865</v>
      </c>
      <c r="C5187" s="36" t="str">
        <f>HYPERLINK("https://rhld.insurance.arkansas.gov/NPILookup?Npi=1730183534","1730183534")</f>
        <v>1730183534</v>
      </c>
      <c r="D5187" s="36" t="s">
        <v>37343</v>
      </c>
      <c r="E5187" s="36" t="s">
        <v>1</v>
      </c>
      <c r="F5187" s="36">
        <v>1</v>
      </c>
      <c r="G5187" s="36">
        <v>3</v>
      </c>
      <c r="H5187" s="36">
        <v>0</v>
      </c>
      <c r="I5187" s="37">
        <v>0</v>
      </c>
      <c r="J5187" s="36" t="s">
        <v>14335</v>
      </c>
      <c r="K5187" s="36" t="s">
        <v>37344</v>
      </c>
      <c r="L5187" s="36" t="s">
        <v>14330</v>
      </c>
      <c r="M5187">
        <v>4</v>
      </c>
      <c r="N5187" t="s">
        <v>14331</v>
      </c>
      <c r="O5187" t="s">
        <v>32633</v>
      </c>
    </row>
    <row r="5188" spans="1:15" x14ac:dyDescent="0.25">
      <c r="A5188" s="35" t="s">
        <v>8864</v>
      </c>
      <c r="B5188" s="36" t="s">
        <v>8865</v>
      </c>
      <c r="C5188" s="36" t="str">
        <f>HYPERLINK("https://rhld.insurance.arkansas.gov/NPILookup?Npi=1740272368","1740272368")</f>
        <v>1740272368</v>
      </c>
      <c r="D5188" s="36" t="s">
        <v>34074</v>
      </c>
      <c r="E5188" s="36" t="s">
        <v>1</v>
      </c>
      <c r="F5188" s="36">
        <v>1</v>
      </c>
      <c r="G5188" s="36">
        <v>4</v>
      </c>
      <c r="H5188" s="36">
        <v>0</v>
      </c>
      <c r="I5188" s="37">
        <v>0</v>
      </c>
      <c r="J5188" s="36" t="s">
        <v>32654</v>
      </c>
      <c r="K5188" s="36" t="s">
        <v>37345</v>
      </c>
      <c r="L5188" s="36" t="s">
        <v>14330</v>
      </c>
      <c r="M5188">
        <v>4</v>
      </c>
      <c r="N5188" t="s">
        <v>14331</v>
      </c>
      <c r="O5188" t="s">
        <v>32633</v>
      </c>
    </row>
    <row r="5189" spans="1:15" x14ac:dyDescent="0.25">
      <c r="A5189" s="35" t="s">
        <v>8864</v>
      </c>
      <c r="B5189" s="36" t="s">
        <v>8865</v>
      </c>
      <c r="C5189" s="36" t="str">
        <f>HYPERLINK("https://rhld.insurance.arkansas.gov/NPILookup?Npi=1952309312","1952309312")</f>
        <v>1952309312</v>
      </c>
      <c r="D5189" s="36" t="s">
        <v>37346</v>
      </c>
      <c r="E5189" s="36" t="s">
        <v>1</v>
      </c>
      <c r="F5189" s="36">
        <v>1</v>
      </c>
      <c r="G5189" s="36">
        <v>4</v>
      </c>
      <c r="H5189" s="36">
        <v>0</v>
      </c>
      <c r="I5189" s="37">
        <v>0</v>
      </c>
      <c r="J5189" s="36" t="s">
        <v>32654</v>
      </c>
      <c r="K5189" s="36" t="s">
        <v>37347</v>
      </c>
      <c r="L5189" s="36" t="s">
        <v>14330</v>
      </c>
      <c r="M5189">
        <v>2</v>
      </c>
      <c r="N5189" t="s">
        <v>14331</v>
      </c>
      <c r="O5189" t="s">
        <v>32633</v>
      </c>
    </row>
    <row r="5190" spans="1:15" x14ac:dyDescent="0.25">
      <c r="A5190" s="35" t="s">
        <v>8879</v>
      </c>
      <c r="B5190" s="36" t="s">
        <v>8880</v>
      </c>
      <c r="C5190" s="36" t="str">
        <f>HYPERLINK("https://rhld.insurance.arkansas.gov/NPILookup?Npi=1013259100","1013259100")</f>
        <v>1013259100</v>
      </c>
      <c r="D5190" s="36" t="s">
        <v>32673</v>
      </c>
      <c r="E5190" s="36" t="s">
        <v>1</v>
      </c>
      <c r="F5190" s="36">
        <v>1</v>
      </c>
      <c r="G5190" s="36">
        <v>3</v>
      </c>
      <c r="H5190" s="36">
        <v>1</v>
      </c>
      <c r="I5190" s="37">
        <v>0</v>
      </c>
      <c r="J5190" s="36" t="s">
        <v>37348</v>
      </c>
      <c r="K5190" s="36" t="s">
        <v>14330</v>
      </c>
      <c r="L5190" s="36" t="s">
        <v>32675</v>
      </c>
      <c r="M5190">
        <v>2</v>
      </c>
      <c r="N5190" t="s">
        <v>14331</v>
      </c>
      <c r="O5190" t="s">
        <v>37349</v>
      </c>
    </row>
    <row r="5191" spans="1:15" x14ac:dyDescent="0.25">
      <c r="A5191" s="35" t="s">
        <v>8879</v>
      </c>
      <c r="B5191" s="36" t="s">
        <v>8880</v>
      </c>
      <c r="C5191" s="36" t="str">
        <f>HYPERLINK("https://rhld.insurance.arkansas.gov/NPILookup?Npi=1245627744","1245627744")</f>
        <v>1245627744</v>
      </c>
      <c r="D5191" s="36" t="s">
        <v>37350</v>
      </c>
      <c r="E5191" s="36" t="s">
        <v>2</v>
      </c>
      <c r="F5191" s="36">
        <v>2</v>
      </c>
      <c r="G5191" s="36">
        <v>2</v>
      </c>
      <c r="H5191" s="36">
        <v>0</v>
      </c>
      <c r="I5191" s="37">
        <v>0</v>
      </c>
      <c r="J5191" s="36" t="s">
        <v>33004</v>
      </c>
      <c r="K5191" s="36" t="s">
        <v>14330</v>
      </c>
      <c r="L5191" s="36" t="s">
        <v>14330</v>
      </c>
      <c r="M5191">
        <v>1</v>
      </c>
      <c r="N5191" t="s">
        <v>14331</v>
      </c>
      <c r="O5191" t="s">
        <v>14333</v>
      </c>
    </row>
    <row r="5192" spans="1:15" x14ac:dyDescent="0.25">
      <c r="A5192" s="35" t="s">
        <v>8879</v>
      </c>
      <c r="B5192" s="36" t="s">
        <v>8880</v>
      </c>
      <c r="C5192" s="36" t="str">
        <f>HYPERLINK("https://rhld.insurance.arkansas.gov/NPILookup?Npi=1437342797","1437342797")</f>
        <v>1437342797</v>
      </c>
      <c r="D5192" s="36" t="s">
        <v>31282</v>
      </c>
      <c r="E5192" s="36" t="s">
        <v>2</v>
      </c>
      <c r="F5192" s="36">
        <v>1</v>
      </c>
      <c r="G5192" s="36">
        <v>2</v>
      </c>
      <c r="H5192" s="36">
        <v>1</v>
      </c>
      <c r="I5192" s="37">
        <v>0</v>
      </c>
      <c r="J5192" s="36"/>
      <c r="K5192" s="36" t="s">
        <v>14330</v>
      </c>
      <c r="L5192" s="36" t="s">
        <v>37351</v>
      </c>
      <c r="M5192">
        <v>3</v>
      </c>
      <c r="N5192" t="s">
        <v>14332</v>
      </c>
      <c r="O5192" t="s">
        <v>37352</v>
      </c>
    </row>
    <row r="5193" spans="1:15" x14ac:dyDescent="0.25">
      <c r="A5193" s="35" t="s">
        <v>8879</v>
      </c>
      <c r="B5193" s="36" t="s">
        <v>8880</v>
      </c>
      <c r="C5193" s="36" t="str">
        <f>HYPERLINK("https://rhld.insurance.arkansas.gov/NPILookup?Npi=1467820928","1467820928")</f>
        <v>1467820928</v>
      </c>
      <c r="D5193" s="36" t="s">
        <v>32748</v>
      </c>
      <c r="E5193" s="36" t="s">
        <v>1</v>
      </c>
      <c r="F5193" s="36">
        <v>1</v>
      </c>
      <c r="G5193" s="36">
        <v>3</v>
      </c>
      <c r="H5193" s="36">
        <v>0</v>
      </c>
      <c r="I5193" s="37">
        <v>0</v>
      </c>
      <c r="J5193" s="36" t="s">
        <v>32654</v>
      </c>
      <c r="K5193" s="36" t="s">
        <v>14330</v>
      </c>
      <c r="L5193" s="36" t="s">
        <v>14330</v>
      </c>
      <c r="M5193">
        <v>2</v>
      </c>
      <c r="N5193" t="s">
        <v>14331</v>
      </c>
      <c r="O5193" t="s">
        <v>32633</v>
      </c>
    </row>
    <row r="5194" spans="1:15" x14ac:dyDescent="0.25">
      <c r="A5194" s="35" t="s">
        <v>8879</v>
      </c>
      <c r="B5194" s="36" t="s">
        <v>8880</v>
      </c>
      <c r="C5194" s="36" t="str">
        <f>HYPERLINK("https://rhld.insurance.arkansas.gov/NPILookup?Npi=1477558955","1477558955")</f>
        <v>1477558955</v>
      </c>
      <c r="D5194" s="36" t="s">
        <v>32698</v>
      </c>
      <c r="E5194" s="36" t="s">
        <v>1</v>
      </c>
      <c r="F5194" s="36">
        <v>1</v>
      </c>
      <c r="G5194" s="36">
        <v>3</v>
      </c>
      <c r="H5194" s="36">
        <v>1</v>
      </c>
      <c r="I5194" s="37">
        <v>0</v>
      </c>
      <c r="J5194" s="36" t="s">
        <v>32654</v>
      </c>
      <c r="K5194" s="36" t="s">
        <v>14330</v>
      </c>
      <c r="L5194" s="36" t="s">
        <v>37353</v>
      </c>
      <c r="M5194">
        <v>3</v>
      </c>
      <c r="N5194" t="s">
        <v>14332</v>
      </c>
      <c r="O5194" t="s">
        <v>32591</v>
      </c>
    </row>
    <row r="5195" spans="1:15" x14ac:dyDescent="0.25">
      <c r="A5195" s="35" t="s">
        <v>8879</v>
      </c>
      <c r="B5195" s="36" t="s">
        <v>8880</v>
      </c>
      <c r="C5195" s="36" t="str">
        <f>HYPERLINK("https://rhld.insurance.arkansas.gov/NPILookup?Npi=1508198201","1508198201")</f>
        <v>1508198201</v>
      </c>
      <c r="D5195" s="36" t="s">
        <v>37354</v>
      </c>
      <c r="E5195" s="36" t="s">
        <v>1</v>
      </c>
      <c r="F5195" s="36">
        <v>1</v>
      </c>
      <c r="G5195" s="36">
        <v>3</v>
      </c>
      <c r="H5195" s="36">
        <v>0</v>
      </c>
      <c r="I5195" s="37">
        <v>0</v>
      </c>
      <c r="J5195" s="36" t="s">
        <v>32654</v>
      </c>
      <c r="K5195" s="36" t="s">
        <v>37355</v>
      </c>
      <c r="L5195" s="36" t="s">
        <v>14330</v>
      </c>
      <c r="M5195">
        <v>3</v>
      </c>
      <c r="N5195" t="s">
        <v>14331</v>
      </c>
      <c r="O5195" t="s">
        <v>32633</v>
      </c>
    </row>
    <row r="5196" spans="1:15" x14ac:dyDescent="0.25">
      <c r="A5196" s="35" t="s">
        <v>8879</v>
      </c>
      <c r="B5196" s="36" t="s">
        <v>8880</v>
      </c>
      <c r="C5196" s="36" t="str">
        <f>HYPERLINK("https://rhld.insurance.arkansas.gov/NPILookup?Npi=1598297244","1598297244")</f>
        <v>1598297244</v>
      </c>
      <c r="D5196" s="36" t="s">
        <v>37356</v>
      </c>
      <c r="E5196" s="36" t="s">
        <v>2</v>
      </c>
      <c r="F5196" s="36">
        <v>1</v>
      </c>
      <c r="G5196" s="36">
        <v>3</v>
      </c>
      <c r="H5196" s="36">
        <v>0</v>
      </c>
      <c r="I5196" s="37">
        <v>0</v>
      </c>
      <c r="J5196" s="36"/>
      <c r="K5196" s="36" t="s">
        <v>37357</v>
      </c>
      <c r="L5196" s="36" t="s">
        <v>14330</v>
      </c>
      <c r="M5196">
        <v>3</v>
      </c>
      <c r="N5196" t="s">
        <v>14331</v>
      </c>
      <c r="O5196" t="s">
        <v>14333</v>
      </c>
    </row>
    <row r="5197" spans="1:15" x14ac:dyDescent="0.25">
      <c r="A5197" s="35" t="s">
        <v>8879</v>
      </c>
      <c r="B5197" s="36" t="s">
        <v>8880</v>
      </c>
      <c r="C5197" s="36" t="str">
        <f>HYPERLINK("https://rhld.insurance.arkansas.gov/NPILookup?Npi=1639165608","1639165608")</f>
        <v>1639165608</v>
      </c>
      <c r="D5197" s="36" t="s">
        <v>37358</v>
      </c>
      <c r="E5197" s="36" t="s">
        <v>1</v>
      </c>
      <c r="F5197" s="36">
        <v>1</v>
      </c>
      <c r="G5197" s="36">
        <v>3</v>
      </c>
      <c r="H5197" s="36">
        <v>0</v>
      </c>
      <c r="I5197" s="37">
        <v>0</v>
      </c>
      <c r="J5197" s="36" t="s">
        <v>32654</v>
      </c>
      <c r="K5197" s="36" t="s">
        <v>37359</v>
      </c>
      <c r="L5197" s="36" t="s">
        <v>14330</v>
      </c>
      <c r="M5197">
        <v>2</v>
      </c>
      <c r="N5197" t="s">
        <v>14331</v>
      </c>
      <c r="O5197" t="s">
        <v>32633</v>
      </c>
    </row>
    <row r="5198" spans="1:15" x14ac:dyDescent="0.25">
      <c r="A5198" s="35" t="s">
        <v>8879</v>
      </c>
      <c r="B5198" s="36" t="s">
        <v>8880</v>
      </c>
      <c r="C5198" s="36" t="str">
        <f>HYPERLINK("https://rhld.insurance.arkansas.gov/NPILookup?Npi=1649447806","1649447806")</f>
        <v>1649447806</v>
      </c>
      <c r="D5198" s="36" t="s">
        <v>33604</v>
      </c>
      <c r="E5198" s="36" t="s">
        <v>1</v>
      </c>
      <c r="F5198" s="36">
        <v>1</v>
      </c>
      <c r="G5198" s="36">
        <v>3</v>
      </c>
      <c r="H5198" s="36">
        <v>1</v>
      </c>
      <c r="I5198" s="37">
        <v>0</v>
      </c>
      <c r="J5198" s="36" t="s">
        <v>32654</v>
      </c>
      <c r="K5198" s="36" t="s">
        <v>37360</v>
      </c>
      <c r="L5198" s="36" t="s">
        <v>37361</v>
      </c>
      <c r="M5198">
        <v>4</v>
      </c>
      <c r="N5198" t="s">
        <v>14332</v>
      </c>
      <c r="O5198" s="59" t="s">
        <v>37362</v>
      </c>
    </row>
    <row r="5199" spans="1:15" x14ac:dyDescent="0.25">
      <c r="A5199" s="35" t="s">
        <v>8879</v>
      </c>
      <c r="B5199" s="36" t="s">
        <v>8880</v>
      </c>
      <c r="C5199" s="36" t="str">
        <f>HYPERLINK("https://rhld.insurance.arkansas.gov/NPILookup?Npi=1699851436","1699851436")</f>
        <v>1699851436</v>
      </c>
      <c r="D5199" s="36" t="s">
        <v>33613</v>
      </c>
      <c r="E5199" s="36" t="s">
        <v>1</v>
      </c>
      <c r="F5199" s="36">
        <v>1</v>
      </c>
      <c r="G5199" s="36">
        <v>4</v>
      </c>
      <c r="H5199" s="36">
        <v>0</v>
      </c>
      <c r="I5199" s="37">
        <v>0</v>
      </c>
      <c r="J5199" s="36" t="s">
        <v>32654</v>
      </c>
      <c r="K5199" s="36" t="s">
        <v>37363</v>
      </c>
      <c r="L5199" s="36" t="s">
        <v>14330</v>
      </c>
      <c r="M5199">
        <v>3</v>
      </c>
      <c r="N5199" t="s">
        <v>14331</v>
      </c>
      <c r="O5199" t="s">
        <v>32633</v>
      </c>
    </row>
    <row r="5200" spans="1:15" x14ac:dyDescent="0.25">
      <c r="A5200" s="35" t="s">
        <v>8879</v>
      </c>
      <c r="B5200" s="36" t="s">
        <v>8880</v>
      </c>
      <c r="C5200" s="36" t="str">
        <f>HYPERLINK("https://rhld.insurance.arkansas.gov/NPILookup?Npi=1750474144","1750474144")</f>
        <v>1750474144</v>
      </c>
      <c r="D5200" s="36" t="s">
        <v>37364</v>
      </c>
      <c r="E5200" s="36" t="s">
        <v>1</v>
      </c>
      <c r="F5200" s="36">
        <v>1</v>
      </c>
      <c r="G5200" s="36">
        <v>3</v>
      </c>
      <c r="H5200" s="36">
        <v>0</v>
      </c>
      <c r="I5200" s="37">
        <v>0</v>
      </c>
      <c r="J5200" s="36" t="s">
        <v>32723</v>
      </c>
      <c r="K5200" s="36" t="s">
        <v>14330</v>
      </c>
      <c r="L5200" s="36" t="s">
        <v>14330</v>
      </c>
      <c r="M5200">
        <v>2</v>
      </c>
      <c r="N5200" t="s">
        <v>14331</v>
      </c>
      <c r="O5200" t="s">
        <v>32724</v>
      </c>
    </row>
    <row r="5201" spans="1:15" x14ac:dyDescent="0.25">
      <c r="A5201" s="35" t="s">
        <v>8879</v>
      </c>
      <c r="B5201" s="36" t="s">
        <v>8880</v>
      </c>
      <c r="C5201" s="41" t="str">
        <f>HYPERLINK("https://rhld.insurance.arkansas.gov/NPILookup?Npi=1962466748","1962466748")</f>
        <v>1962466748</v>
      </c>
      <c r="D5201" s="36" t="s">
        <v>37365</v>
      </c>
      <c r="E5201" s="36" t="s">
        <v>2</v>
      </c>
      <c r="F5201" s="36">
        <v>1</v>
      </c>
      <c r="G5201" s="36">
        <v>2</v>
      </c>
      <c r="H5201" s="36">
        <v>0</v>
      </c>
      <c r="I5201" s="37">
        <v>0</v>
      </c>
      <c r="J5201" s="36" t="s">
        <v>32679</v>
      </c>
      <c r="K5201" s="36" t="s">
        <v>14330</v>
      </c>
      <c r="L5201" s="36" t="s">
        <v>14330</v>
      </c>
      <c r="N5201" t="s">
        <v>14331</v>
      </c>
      <c r="O5201" t="s">
        <v>14333</v>
      </c>
    </row>
    <row r="5202" spans="1:15" x14ac:dyDescent="0.25">
      <c r="A5202" s="35"/>
      <c r="B5202" s="36"/>
      <c r="C5202" s="36"/>
      <c r="D5202" s="36"/>
      <c r="E5202" s="36"/>
      <c r="F5202" s="36"/>
      <c r="G5202" s="36"/>
      <c r="H5202" s="36"/>
      <c r="I5202" s="37"/>
      <c r="J5202" s="36"/>
      <c r="K5202" s="38"/>
      <c r="L5202" s="38"/>
    </row>
    <row r="5203" spans="1:15" x14ac:dyDescent="0.25">
      <c r="A5203" s="35"/>
      <c r="B5203" s="36"/>
      <c r="C5203" s="36"/>
      <c r="D5203" s="36"/>
      <c r="E5203" s="36"/>
      <c r="F5203" s="36"/>
      <c r="G5203" s="36"/>
      <c r="H5203" s="36"/>
      <c r="I5203" s="37"/>
      <c r="J5203" s="36"/>
      <c r="K5203" s="38"/>
      <c r="L5203" s="38"/>
    </row>
    <row r="5204" spans="1:15" x14ac:dyDescent="0.25">
      <c r="A5204" s="35"/>
      <c r="B5204" s="36"/>
      <c r="C5204" s="36"/>
      <c r="D5204" s="36"/>
      <c r="E5204" s="36"/>
      <c r="F5204" s="36"/>
      <c r="G5204" s="36"/>
      <c r="H5204" s="36"/>
      <c r="I5204" s="37"/>
      <c r="J5204" s="36"/>
      <c r="K5204" s="38"/>
      <c r="L5204" s="38"/>
    </row>
    <row r="5205" spans="1:15" x14ac:dyDescent="0.25">
      <c r="A5205" s="35"/>
      <c r="B5205" s="36"/>
      <c r="C5205" s="36"/>
      <c r="D5205" s="36"/>
      <c r="E5205" s="36"/>
      <c r="F5205" s="36"/>
      <c r="G5205" s="36"/>
      <c r="H5205" s="36"/>
      <c r="I5205" s="37"/>
      <c r="J5205" s="36"/>
      <c r="K5205" s="38"/>
      <c r="L5205" s="38"/>
    </row>
    <row r="5206" spans="1:15" x14ac:dyDescent="0.25">
      <c r="A5206" s="35"/>
      <c r="B5206" s="36"/>
      <c r="C5206" s="36"/>
      <c r="D5206" s="36"/>
      <c r="E5206" s="36"/>
      <c r="F5206" s="36"/>
      <c r="G5206" s="36"/>
      <c r="H5206" s="36"/>
      <c r="I5206" s="37"/>
      <c r="J5206" s="36"/>
      <c r="K5206" s="38"/>
      <c r="L5206" s="38"/>
    </row>
    <row r="5207" spans="1:15" x14ac:dyDescent="0.25">
      <c r="A5207" s="35"/>
      <c r="B5207" s="36"/>
      <c r="C5207" s="36"/>
      <c r="D5207" s="36"/>
      <c r="E5207" s="36"/>
      <c r="F5207" s="36"/>
      <c r="G5207" s="36"/>
      <c r="H5207" s="36"/>
      <c r="I5207" s="37"/>
      <c r="J5207" s="36"/>
      <c r="K5207" s="38"/>
      <c r="L5207" s="38"/>
    </row>
    <row r="5208" spans="1:15" x14ac:dyDescent="0.25">
      <c r="A5208" s="35"/>
      <c r="B5208" s="36"/>
      <c r="C5208" s="36"/>
      <c r="D5208" s="36"/>
      <c r="E5208" s="36"/>
      <c r="F5208" s="36"/>
      <c r="G5208" s="36"/>
      <c r="H5208" s="36"/>
      <c r="I5208" s="37"/>
      <c r="J5208" s="36"/>
      <c r="K5208" s="38"/>
      <c r="L5208" s="38"/>
    </row>
    <row r="5209" spans="1:15" x14ac:dyDescent="0.25">
      <c r="A5209" s="35"/>
      <c r="B5209" s="36"/>
      <c r="C5209" s="36"/>
      <c r="D5209" s="36"/>
      <c r="E5209" s="36"/>
      <c r="F5209" s="36"/>
      <c r="G5209" s="36"/>
      <c r="H5209" s="36"/>
      <c r="I5209" s="37"/>
      <c r="J5209" s="36"/>
      <c r="K5209" s="38"/>
      <c r="L5209" s="38"/>
    </row>
    <row r="5210" spans="1:15" x14ac:dyDescent="0.25">
      <c r="A5210" s="35"/>
      <c r="B5210" s="36"/>
      <c r="C5210" s="36"/>
      <c r="D5210" s="36"/>
      <c r="E5210" s="36"/>
      <c r="F5210" s="36"/>
      <c r="G5210" s="36"/>
      <c r="H5210" s="36"/>
      <c r="I5210" s="37"/>
      <c r="J5210" s="36"/>
      <c r="K5210" s="38"/>
      <c r="L5210" s="38"/>
    </row>
    <row r="5211" spans="1:15" x14ac:dyDescent="0.25">
      <c r="A5211" s="35"/>
      <c r="B5211" s="36"/>
      <c r="C5211" s="36"/>
      <c r="D5211" s="36"/>
      <c r="E5211" s="36"/>
      <c r="F5211" s="36"/>
      <c r="G5211" s="36"/>
      <c r="H5211" s="36"/>
      <c r="I5211" s="37"/>
      <c r="J5211" s="36"/>
      <c r="K5211" s="38"/>
      <c r="L5211" s="38"/>
    </row>
    <row r="5212" spans="1:15" x14ac:dyDescent="0.25">
      <c r="A5212" s="35"/>
      <c r="B5212" s="36"/>
      <c r="C5212" s="36"/>
      <c r="D5212" s="36"/>
      <c r="E5212" s="36"/>
      <c r="F5212" s="36"/>
      <c r="G5212" s="36"/>
      <c r="H5212" s="36"/>
      <c r="I5212" s="37"/>
      <c r="J5212" s="36"/>
      <c r="K5212" s="38"/>
      <c r="L5212" s="38"/>
    </row>
    <row r="5213" spans="1:15" x14ac:dyDescent="0.25">
      <c r="A5213" s="35"/>
      <c r="B5213" s="36"/>
      <c r="C5213" s="36"/>
      <c r="D5213" s="36"/>
      <c r="E5213" s="36"/>
      <c r="F5213" s="36"/>
      <c r="G5213" s="36"/>
      <c r="H5213" s="36"/>
      <c r="I5213" s="37"/>
      <c r="J5213" s="36"/>
      <c r="K5213" s="38"/>
      <c r="L5213" s="38"/>
    </row>
    <row r="5214" spans="1:15" x14ac:dyDescent="0.25">
      <c r="A5214" s="35"/>
      <c r="B5214" s="36"/>
      <c r="C5214" s="36"/>
      <c r="D5214" s="36"/>
      <c r="E5214" s="36"/>
      <c r="F5214" s="36"/>
      <c r="G5214" s="36"/>
      <c r="H5214" s="36"/>
      <c r="I5214" s="37"/>
      <c r="J5214" s="36"/>
      <c r="K5214" s="38"/>
      <c r="L5214" s="38"/>
    </row>
    <row r="5215" spans="1:15" x14ac:dyDescent="0.25">
      <c r="A5215" s="35"/>
      <c r="B5215" s="36"/>
      <c r="C5215" s="36"/>
      <c r="D5215" s="36"/>
      <c r="E5215" s="36"/>
      <c r="F5215" s="36"/>
      <c r="G5215" s="36"/>
      <c r="H5215" s="36"/>
      <c r="I5215" s="37"/>
      <c r="J5215" s="36"/>
      <c r="K5215" s="38"/>
      <c r="L5215" s="38"/>
    </row>
    <row r="5216" spans="1:15" x14ac:dyDescent="0.25">
      <c r="A5216" s="35"/>
      <c r="B5216" s="36"/>
      <c r="C5216" s="36"/>
      <c r="D5216" s="36"/>
      <c r="E5216" s="36"/>
      <c r="F5216" s="36"/>
      <c r="G5216" s="36"/>
      <c r="H5216" s="36"/>
      <c r="I5216" s="37"/>
      <c r="J5216" s="36"/>
      <c r="K5216" s="38"/>
      <c r="L5216" s="38"/>
    </row>
    <row r="5217" spans="1:12" x14ac:dyDescent="0.25">
      <c r="A5217" s="35"/>
      <c r="B5217" s="36"/>
      <c r="C5217" s="36"/>
      <c r="D5217" s="36"/>
      <c r="E5217" s="36"/>
      <c r="F5217" s="36"/>
      <c r="G5217" s="36"/>
      <c r="H5217" s="36"/>
      <c r="I5217" s="37"/>
      <c r="J5217" s="36"/>
      <c r="K5217" s="38"/>
      <c r="L5217" s="38"/>
    </row>
    <row r="5218" spans="1:12" x14ac:dyDescent="0.25">
      <c r="A5218" s="35"/>
      <c r="B5218" s="36"/>
      <c r="C5218" s="36"/>
      <c r="D5218" s="36"/>
      <c r="E5218" s="36"/>
      <c r="F5218" s="36"/>
      <c r="G5218" s="36"/>
      <c r="H5218" s="36"/>
      <c r="I5218" s="37"/>
      <c r="J5218" s="36"/>
      <c r="K5218" s="38"/>
      <c r="L5218" s="38"/>
    </row>
    <row r="5219" spans="1:12" x14ac:dyDescent="0.25">
      <c r="A5219" s="35"/>
      <c r="B5219" s="36"/>
      <c r="C5219" s="36"/>
      <c r="D5219" s="36"/>
      <c r="E5219" s="36"/>
      <c r="F5219" s="36"/>
      <c r="G5219" s="36"/>
      <c r="H5219" s="36"/>
      <c r="I5219" s="37"/>
      <c r="J5219" s="36"/>
      <c r="K5219" s="38"/>
      <c r="L5219" s="38"/>
    </row>
    <row r="5220" spans="1:12" x14ac:dyDescent="0.25">
      <c r="A5220" s="35"/>
      <c r="B5220" s="36"/>
      <c r="C5220" s="36"/>
      <c r="D5220" s="36"/>
      <c r="E5220" s="36"/>
      <c r="F5220" s="36"/>
      <c r="G5220" s="36"/>
      <c r="H5220" s="36"/>
      <c r="I5220" s="37"/>
      <c r="J5220" s="36"/>
      <c r="K5220" s="38"/>
      <c r="L5220" s="38"/>
    </row>
    <row r="5221" spans="1:12" x14ac:dyDescent="0.25">
      <c r="A5221" s="35"/>
      <c r="B5221" s="36"/>
      <c r="C5221" s="36"/>
      <c r="D5221" s="36"/>
      <c r="E5221" s="36"/>
      <c r="F5221" s="36"/>
      <c r="G5221" s="36"/>
      <c r="H5221" s="36"/>
      <c r="I5221" s="37"/>
      <c r="J5221" s="36"/>
      <c r="K5221" s="38"/>
      <c r="L5221" s="38"/>
    </row>
    <row r="5222" spans="1:12" x14ac:dyDescent="0.25">
      <c r="A5222" s="35"/>
      <c r="B5222" s="36"/>
      <c r="C5222" s="36"/>
      <c r="D5222" s="36"/>
      <c r="E5222" s="36"/>
      <c r="F5222" s="36"/>
      <c r="G5222" s="36"/>
      <c r="H5222" s="36"/>
      <c r="I5222" s="37"/>
      <c r="J5222" s="36"/>
      <c r="K5222" s="38"/>
      <c r="L5222" s="38"/>
    </row>
    <row r="5223" spans="1:12" x14ac:dyDescent="0.25">
      <c r="A5223" s="35"/>
      <c r="B5223" s="36"/>
      <c r="C5223" s="36"/>
      <c r="D5223" s="36"/>
      <c r="E5223" s="36"/>
      <c r="F5223" s="36"/>
      <c r="G5223" s="36"/>
      <c r="H5223" s="36"/>
      <c r="I5223" s="37"/>
      <c r="J5223" s="36"/>
      <c r="K5223" s="38"/>
      <c r="L5223" s="38"/>
    </row>
    <row r="5224" spans="1:12" x14ac:dyDescent="0.25">
      <c r="A5224" s="35"/>
      <c r="B5224" s="36"/>
      <c r="C5224" s="36"/>
      <c r="D5224" s="36"/>
      <c r="E5224" s="36"/>
      <c r="F5224" s="36"/>
      <c r="G5224" s="36"/>
      <c r="H5224" s="36"/>
      <c r="I5224" s="37"/>
      <c r="J5224" s="36"/>
      <c r="K5224" s="38"/>
      <c r="L5224" s="38"/>
    </row>
    <row r="5225" spans="1:12" x14ac:dyDescent="0.25">
      <c r="A5225" s="35"/>
      <c r="B5225" s="36"/>
      <c r="C5225" s="36"/>
      <c r="D5225" s="36"/>
      <c r="E5225" s="36"/>
      <c r="F5225" s="36"/>
      <c r="G5225" s="36"/>
      <c r="H5225" s="36"/>
      <c r="I5225" s="37"/>
      <c r="J5225" s="36"/>
      <c r="K5225" s="38"/>
      <c r="L5225" s="38"/>
    </row>
    <row r="5226" spans="1:12" x14ac:dyDescent="0.25">
      <c r="A5226" s="35"/>
      <c r="B5226" s="36"/>
      <c r="C5226" s="36"/>
      <c r="D5226" s="36"/>
      <c r="E5226" s="36"/>
      <c r="F5226" s="36"/>
      <c r="G5226" s="36"/>
      <c r="H5226" s="36"/>
      <c r="I5226" s="37"/>
      <c r="J5226" s="36"/>
      <c r="K5226" s="38"/>
      <c r="L5226" s="38"/>
    </row>
    <row r="5227" spans="1:12" x14ac:dyDescent="0.25">
      <c r="A5227" s="35"/>
      <c r="B5227" s="36"/>
      <c r="C5227" s="36"/>
      <c r="D5227" s="36"/>
      <c r="E5227" s="36"/>
      <c r="F5227" s="36"/>
      <c r="G5227" s="36"/>
      <c r="H5227" s="36"/>
      <c r="I5227" s="37"/>
      <c r="J5227" s="36"/>
      <c r="K5227" s="38"/>
      <c r="L5227" s="38"/>
    </row>
    <row r="5228" spans="1:12" x14ac:dyDescent="0.25">
      <c r="A5228" s="35"/>
      <c r="B5228" s="36"/>
      <c r="C5228" s="36"/>
      <c r="D5228" s="36"/>
      <c r="E5228" s="36"/>
      <c r="F5228" s="36"/>
      <c r="G5228" s="36"/>
      <c r="H5228" s="36"/>
      <c r="I5228" s="37"/>
      <c r="J5228" s="36"/>
      <c r="K5228" s="38"/>
      <c r="L5228" s="38"/>
    </row>
    <row r="5229" spans="1:12" x14ac:dyDescent="0.25">
      <c r="A5229" s="35"/>
      <c r="B5229" s="36"/>
      <c r="C5229" s="36"/>
      <c r="D5229" s="36"/>
      <c r="E5229" s="36"/>
      <c r="F5229" s="36"/>
      <c r="G5229" s="36"/>
      <c r="H5229" s="36"/>
      <c r="I5229" s="37"/>
      <c r="J5229" s="36"/>
      <c r="K5229" s="38"/>
      <c r="L5229" s="38"/>
    </row>
    <row r="5230" spans="1:12" x14ac:dyDescent="0.25">
      <c r="A5230" s="35"/>
      <c r="B5230" s="36"/>
      <c r="C5230" s="36"/>
      <c r="D5230" s="36"/>
      <c r="E5230" s="36"/>
      <c r="F5230" s="36"/>
      <c r="G5230" s="36"/>
      <c r="H5230" s="36"/>
      <c r="I5230" s="37"/>
      <c r="J5230" s="36"/>
      <c r="K5230" s="38"/>
      <c r="L5230" s="38"/>
    </row>
    <row r="5231" spans="1:12" x14ac:dyDescent="0.25">
      <c r="A5231" s="35"/>
      <c r="B5231" s="36"/>
      <c r="C5231" s="36"/>
      <c r="D5231" s="36"/>
      <c r="E5231" s="36"/>
      <c r="F5231" s="36"/>
      <c r="G5231" s="36"/>
      <c r="H5231" s="36"/>
      <c r="I5231" s="37"/>
      <c r="J5231" s="36"/>
      <c r="K5231" s="38"/>
      <c r="L5231" s="38"/>
    </row>
    <row r="5232" spans="1:12" x14ac:dyDescent="0.25">
      <c r="A5232" s="35"/>
      <c r="B5232" s="36"/>
      <c r="C5232" s="36"/>
      <c r="D5232" s="36"/>
      <c r="E5232" s="36"/>
      <c r="F5232" s="36"/>
      <c r="G5232" s="36"/>
      <c r="H5232" s="36"/>
      <c r="I5232" s="37"/>
      <c r="J5232" s="36"/>
      <c r="K5232" s="38"/>
      <c r="L5232" s="38"/>
    </row>
    <row r="5233" spans="1:12" x14ac:dyDescent="0.25">
      <c r="A5233" s="35"/>
      <c r="B5233" s="36"/>
      <c r="C5233" s="36"/>
      <c r="D5233" s="36"/>
      <c r="E5233" s="36"/>
      <c r="F5233" s="36"/>
      <c r="G5233" s="36"/>
      <c r="H5233" s="36"/>
      <c r="I5233" s="37"/>
      <c r="J5233" s="36"/>
      <c r="K5233" s="38"/>
      <c r="L5233" s="38"/>
    </row>
    <row r="5234" spans="1:12" x14ac:dyDescent="0.25">
      <c r="A5234" s="35"/>
      <c r="B5234" s="36"/>
      <c r="C5234" s="36"/>
      <c r="D5234" s="36"/>
      <c r="E5234" s="36"/>
      <c r="F5234" s="36"/>
      <c r="G5234" s="36"/>
      <c r="H5234" s="36"/>
      <c r="I5234" s="37"/>
      <c r="J5234" s="36"/>
      <c r="K5234" s="38"/>
      <c r="L5234" s="38"/>
    </row>
    <row r="5235" spans="1:12" x14ac:dyDescent="0.25">
      <c r="A5235" s="35"/>
      <c r="B5235" s="36"/>
      <c r="C5235" s="36"/>
      <c r="D5235" s="36"/>
      <c r="E5235" s="36"/>
      <c r="F5235" s="36"/>
      <c r="G5235" s="36"/>
      <c r="H5235" s="36"/>
      <c r="I5235" s="37"/>
      <c r="J5235" s="36"/>
      <c r="K5235" s="38"/>
      <c r="L5235" s="38"/>
    </row>
    <row r="5236" spans="1:12" x14ac:dyDescent="0.25">
      <c r="A5236" s="35"/>
      <c r="B5236" s="36"/>
      <c r="C5236" s="36"/>
      <c r="D5236" s="36"/>
      <c r="E5236" s="36"/>
      <c r="F5236" s="36"/>
      <c r="G5236" s="36"/>
      <c r="H5236" s="36"/>
      <c r="I5236" s="37"/>
      <c r="J5236" s="36"/>
      <c r="K5236" s="38"/>
      <c r="L5236" s="38"/>
    </row>
    <row r="5237" spans="1:12" x14ac:dyDescent="0.25">
      <c r="A5237" s="35"/>
      <c r="B5237" s="36"/>
      <c r="C5237" s="36"/>
      <c r="D5237" s="36"/>
      <c r="E5237" s="36"/>
      <c r="F5237" s="36"/>
      <c r="G5237" s="36"/>
      <c r="H5237" s="36"/>
      <c r="I5237" s="37"/>
      <c r="J5237" s="36"/>
      <c r="K5237" s="38"/>
      <c r="L5237" s="38"/>
    </row>
    <row r="5238" spans="1:12" x14ac:dyDescent="0.25">
      <c r="A5238" s="35"/>
      <c r="B5238" s="36"/>
      <c r="C5238" s="36"/>
      <c r="D5238" s="36"/>
      <c r="E5238" s="36"/>
      <c r="F5238" s="36"/>
      <c r="G5238" s="36"/>
      <c r="H5238" s="36"/>
      <c r="I5238" s="37"/>
      <c r="J5238" s="36"/>
      <c r="K5238" s="38"/>
      <c r="L5238" s="38"/>
    </row>
    <row r="5239" spans="1:12" x14ac:dyDescent="0.25">
      <c r="A5239" s="35"/>
      <c r="B5239" s="36"/>
      <c r="C5239" s="36"/>
      <c r="D5239" s="36"/>
      <c r="E5239" s="36"/>
      <c r="F5239" s="36"/>
      <c r="G5239" s="36"/>
      <c r="H5239" s="36"/>
      <c r="I5239" s="37"/>
      <c r="J5239" s="36"/>
      <c r="K5239" s="38"/>
      <c r="L5239" s="38"/>
    </row>
    <row r="5240" spans="1:12" x14ac:dyDescent="0.25">
      <c r="A5240" s="35"/>
      <c r="B5240" s="36"/>
      <c r="C5240" s="36"/>
      <c r="D5240" s="36"/>
      <c r="E5240" s="36"/>
      <c r="F5240" s="36"/>
      <c r="G5240" s="36"/>
      <c r="H5240" s="36"/>
      <c r="I5240" s="37"/>
      <c r="J5240" s="36"/>
      <c r="K5240" s="38"/>
      <c r="L5240" s="38"/>
    </row>
    <row r="5241" spans="1:12" x14ac:dyDescent="0.25">
      <c r="A5241" s="35"/>
      <c r="B5241" s="36"/>
      <c r="C5241" s="36"/>
      <c r="D5241" s="36"/>
      <c r="E5241" s="36"/>
      <c r="F5241" s="36"/>
      <c r="G5241" s="36"/>
      <c r="H5241" s="36"/>
      <c r="I5241" s="37"/>
      <c r="J5241" s="36"/>
      <c r="K5241" s="38"/>
      <c r="L5241" s="38"/>
    </row>
    <row r="5242" spans="1:12" x14ac:dyDescent="0.25">
      <c r="A5242" s="35"/>
      <c r="B5242" s="36"/>
      <c r="C5242" s="36"/>
      <c r="D5242" s="36"/>
      <c r="E5242" s="36"/>
      <c r="F5242" s="36"/>
      <c r="G5242" s="36"/>
      <c r="H5242" s="36"/>
      <c r="I5242" s="37"/>
      <c r="J5242" s="36"/>
      <c r="K5242" s="38"/>
      <c r="L5242" s="38"/>
    </row>
    <row r="5243" spans="1:12" x14ac:dyDescent="0.25">
      <c r="A5243" s="35"/>
      <c r="B5243" s="36"/>
      <c r="C5243" s="36"/>
      <c r="D5243" s="36"/>
      <c r="E5243" s="36"/>
      <c r="F5243" s="36"/>
      <c r="G5243" s="36"/>
      <c r="H5243" s="36"/>
      <c r="I5243" s="37"/>
      <c r="J5243" s="36"/>
      <c r="K5243" s="38"/>
      <c r="L5243" s="38"/>
    </row>
    <row r="5244" spans="1:12" x14ac:dyDescent="0.25">
      <c r="A5244" s="35"/>
      <c r="B5244" s="36"/>
      <c r="C5244" s="36"/>
      <c r="D5244" s="36"/>
      <c r="E5244" s="36"/>
      <c r="F5244" s="36"/>
      <c r="G5244" s="36"/>
      <c r="H5244" s="36"/>
      <c r="I5244" s="37"/>
      <c r="J5244" s="36"/>
      <c r="K5244" s="38"/>
      <c r="L5244" s="38"/>
    </row>
    <row r="5245" spans="1:12" x14ac:dyDescent="0.25">
      <c r="A5245" s="35"/>
      <c r="B5245" s="36"/>
      <c r="C5245" s="36"/>
      <c r="D5245" s="36"/>
      <c r="E5245" s="36"/>
      <c r="F5245" s="36"/>
      <c r="G5245" s="36"/>
      <c r="H5245" s="36"/>
      <c r="I5245" s="37"/>
      <c r="J5245" s="36"/>
      <c r="K5245" s="38"/>
      <c r="L5245" s="38"/>
    </row>
    <row r="5246" spans="1:12" x14ac:dyDescent="0.25">
      <c r="A5246" s="35"/>
      <c r="B5246" s="36"/>
      <c r="C5246" s="36"/>
      <c r="D5246" s="36"/>
      <c r="E5246" s="36"/>
      <c r="F5246" s="36"/>
      <c r="G5246" s="36"/>
      <c r="H5246" s="36"/>
      <c r="I5246" s="37"/>
      <c r="J5246" s="36"/>
      <c r="K5246" s="38"/>
      <c r="L5246" s="38"/>
    </row>
    <row r="5247" spans="1:12" x14ac:dyDescent="0.25">
      <c r="A5247" s="35"/>
      <c r="B5247" s="36"/>
      <c r="C5247" s="36"/>
      <c r="D5247" s="36"/>
      <c r="E5247" s="36"/>
      <c r="F5247" s="36"/>
      <c r="G5247" s="36"/>
      <c r="H5247" s="36"/>
      <c r="I5247" s="37"/>
      <c r="J5247" s="36"/>
      <c r="K5247" s="38"/>
      <c r="L5247" s="38"/>
    </row>
    <row r="5248" spans="1:12" x14ac:dyDescent="0.25">
      <c r="A5248" s="35"/>
      <c r="B5248" s="36"/>
      <c r="C5248" s="36"/>
      <c r="D5248" s="36"/>
      <c r="E5248" s="36"/>
      <c r="F5248" s="36"/>
      <c r="G5248" s="36"/>
      <c r="H5248" s="36"/>
      <c r="I5248" s="37"/>
      <c r="J5248" s="36"/>
      <c r="K5248" s="38"/>
      <c r="L5248" s="38"/>
    </row>
    <row r="5249" spans="1:12" x14ac:dyDescent="0.25">
      <c r="A5249" s="35"/>
      <c r="B5249" s="36"/>
      <c r="C5249" s="36"/>
      <c r="D5249" s="36"/>
      <c r="E5249" s="36"/>
      <c r="F5249" s="36"/>
      <c r="G5249" s="36"/>
      <c r="H5249" s="36"/>
      <c r="I5249" s="37"/>
      <c r="J5249" s="36"/>
      <c r="K5249" s="38"/>
      <c r="L5249" s="38"/>
    </row>
    <row r="5250" spans="1:12" x14ac:dyDescent="0.25">
      <c r="A5250" s="35"/>
      <c r="B5250" s="36"/>
      <c r="C5250" s="36"/>
      <c r="D5250" s="36"/>
      <c r="E5250" s="36"/>
      <c r="F5250" s="36"/>
      <c r="G5250" s="36"/>
      <c r="H5250" s="36"/>
      <c r="I5250" s="37"/>
      <c r="J5250" s="36"/>
      <c r="K5250" s="38"/>
      <c r="L5250" s="38"/>
    </row>
    <row r="5251" spans="1:12" x14ac:dyDescent="0.25">
      <c r="A5251" s="35"/>
      <c r="B5251" s="36"/>
      <c r="C5251" s="36"/>
      <c r="D5251" s="36"/>
      <c r="E5251" s="36"/>
      <c r="F5251" s="36"/>
      <c r="G5251" s="36"/>
      <c r="H5251" s="36"/>
      <c r="I5251" s="37"/>
      <c r="J5251" s="36"/>
      <c r="K5251" s="38"/>
      <c r="L5251" s="38"/>
    </row>
    <row r="5252" spans="1:12" x14ac:dyDescent="0.25">
      <c r="A5252" s="35"/>
      <c r="B5252" s="36"/>
      <c r="C5252" s="36"/>
      <c r="D5252" s="36"/>
      <c r="E5252" s="36"/>
      <c r="F5252" s="36"/>
      <c r="G5252" s="36"/>
      <c r="H5252" s="36"/>
      <c r="I5252" s="37"/>
      <c r="J5252" s="36"/>
      <c r="K5252" s="38"/>
      <c r="L5252" s="38"/>
    </row>
    <row r="5253" spans="1:12" x14ac:dyDescent="0.25">
      <c r="A5253" s="35"/>
      <c r="B5253" s="36"/>
      <c r="C5253" s="36"/>
      <c r="D5253" s="36"/>
      <c r="E5253" s="36"/>
      <c r="F5253" s="36"/>
      <c r="G5253" s="36"/>
      <c r="H5253" s="36"/>
      <c r="I5253" s="37"/>
      <c r="J5253" s="36"/>
      <c r="K5253" s="38"/>
      <c r="L5253" s="38"/>
    </row>
    <row r="5254" spans="1:12" x14ac:dyDescent="0.25">
      <c r="A5254" s="35"/>
      <c r="B5254" s="36"/>
      <c r="C5254" s="36"/>
      <c r="D5254" s="36"/>
      <c r="E5254" s="36"/>
      <c r="F5254" s="36"/>
      <c r="G5254" s="36"/>
      <c r="H5254" s="36"/>
      <c r="I5254" s="37"/>
      <c r="J5254" s="36"/>
      <c r="K5254" s="38"/>
      <c r="L5254" s="38"/>
    </row>
    <row r="5255" spans="1:12" x14ac:dyDescent="0.25">
      <c r="A5255" s="35"/>
      <c r="B5255" s="36"/>
      <c r="C5255" s="36"/>
      <c r="D5255" s="36"/>
      <c r="E5255" s="36"/>
      <c r="F5255" s="36"/>
      <c r="G5255" s="36"/>
      <c r="H5255" s="36"/>
      <c r="I5255" s="37"/>
      <c r="J5255" s="36"/>
      <c r="K5255" s="38"/>
      <c r="L5255" s="38"/>
    </row>
    <row r="5256" spans="1:12" x14ac:dyDescent="0.25">
      <c r="A5256" s="35"/>
      <c r="B5256" s="36"/>
      <c r="C5256" s="36"/>
      <c r="D5256" s="36"/>
      <c r="E5256" s="36"/>
      <c r="F5256" s="36"/>
      <c r="G5256" s="36"/>
      <c r="H5256" s="36"/>
      <c r="I5256" s="37"/>
      <c r="J5256" s="36"/>
      <c r="K5256" s="38"/>
      <c r="L5256" s="38"/>
    </row>
    <row r="5257" spans="1:12" x14ac:dyDescent="0.25">
      <c r="A5257" s="35"/>
      <c r="B5257" s="36"/>
      <c r="C5257" s="36"/>
      <c r="D5257" s="36"/>
      <c r="E5257" s="36"/>
      <c r="F5257" s="36"/>
      <c r="G5257" s="36"/>
      <c r="H5257" s="36"/>
      <c r="I5257" s="37"/>
      <c r="J5257" s="36"/>
      <c r="K5257" s="38"/>
      <c r="L5257" s="38"/>
    </row>
    <row r="5258" spans="1:12" x14ac:dyDescent="0.25">
      <c r="A5258" s="35"/>
      <c r="B5258" s="36"/>
      <c r="C5258" s="36"/>
      <c r="D5258" s="36"/>
      <c r="E5258" s="36"/>
      <c r="F5258" s="36"/>
      <c r="G5258" s="36"/>
      <c r="H5258" s="36"/>
      <c r="I5258" s="37"/>
      <c r="J5258" s="36"/>
      <c r="K5258" s="38"/>
      <c r="L5258" s="38"/>
    </row>
    <row r="5259" spans="1:12" x14ac:dyDescent="0.25">
      <c r="A5259" s="35"/>
      <c r="B5259" s="36"/>
      <c r="C5259" s="36"/>
      <c r="D5259" s="36"/>
      <c r="E5259" s="36"/>
      <c r="F5259" s="36"/>
      <c r="G5259" s="36"/>
      <c r="H5259" s="36"/>
      <c r="I5259" s="37"/>
      <c r="J5259" s="36"/>
      <c r="K5259" s="38"/>
      <c r="L5259" s="38"/>
    </row>
    <row r="5260" spans="1:12" x14ac:dyDescent="0.25">
      <c r="A5260" s="35"/>
      <c r="B5260" s="36"/>
      <c r="C5260" s="36"/>
      <c r="D5260" s="36"/>
      <c r="E5260" s="36"/>
      <c r="F5260" s="36"/>
      <c r="G5260" s="36"/>
      <c r="H5260" s="36"/>
      <c r="I5260" s="37"/>
      <c r="J5260" s="36"/>
      <c r="K5260" s="38"/>
      <c r="L5260" s="38"/>
    </row>
    <row r="5261" spans="1:12" x14ac:dyDescent="0.25">
      <c r="A5261" s="35"/>
      <c r="B5261" s="36"/>
      <c r="C5261" s="36"/>
      <c r="D5261" s="36"/>
      <c r="E5261" s="36"/>
      <c r="F5261" s="36"/>
      <c r="G5261" s="36"/>
      <c r="H5261" s="36"/>
      <c r="I5261" s="37"/>
      <c r="J5261" s="36"/>
      <c r="K5261" s="38"/>
      <c r="L5261" s="38"/>
    </row>
    <row r="5262" spans="1:12" x14ac:dyDescent="0.25">
      <c r="A5262" s="35"/>
      <c r="B5262" s="36"/>
      <c r="C5262" s="36"/>
      <c r="D5262" s="36"/>
      <c r="E5262" s="36"/>
      <c r="F5262" s="36"/>
      <c r="G5262" s="36"/>
      <c r="H5262" s="36"/>
      <c r="I5262" s="37"/>
      <c r="J5262" s="36"/>
      <c r="K5262" s="38"/>
      <c r="L5262" s="38"/>
    </row>
    <row r="5263" spans="1:12" x14ac:dyDescent="0.25">
      <c r="A5263" s="35"/>
      <c r="B5263" s="36"/>
      <c r="C5263" s="36"/>
      <c r="D5263" s="36"/>
      <c r="E5263" s="36"/>
      <c r="F5263" s="36"/>
      <c r="G5263" s="36"/>
      <c r="H5263" s="36"/>
      <c r="I5263" s="37"/>
      <c r="J5263" s="36"/>
      <c r="K5263" s="38"/>
      <c r="L5263" s="38"/>
    </row>
    <row r="5264" spans="1:12" x14ac:dyDescent="0.25">
      <c r="A5264" s="35"/>
      <c r="B5264" s="36"/>
      <c r="C5264" s="36"/>
      <c r="D5264" s="36"/>
      <c r="E5264" s="36"/>
      <c r="F5264" s="36"/>
      <c r="G5264" s="36"/>
      <c r="H5264" s="36"/>
      <c r="I5264" s="37"/>
      <c r="J5264" s="36"/>
      <c r="K5264" s="38"/>
      <c r="L5264" s="38"/>
    </row>
    <row r="5265" spans="1:12" x14ac:dyDescent="0.25">
      <c r="A5265" s="35"/>
      <c r="B5265" s="36"/>
      <c r="C5265" s="36"/>
      <c r="D5265" s="36"/>
      <c r="E5265" s="36"/>
      <c r="F5265" s="36"/>
      <c r="G5265" s="36"/>
      <c r="H5265" s="36"/>
      <c r="I5265" s="37"/>
      <c r="J5265" s="36"/>
      <c r="K5265" s="38"/>
      <c r="L5265" s="38"/>
    </row>
    <row r="5266" spans="1:12" x14ac:dyDescent="0.25">
      <c r="A5266" s="35"/>
      <c r="B5266" s="36"/>
      <c r="C5266" s="36"/>
      <c r="D5266" s="36"/>
      <c r="E5266" s="36"/>
      <c r="F5266" s="36"/>
      <c r="G5266" s="36"/>
      <c r="H5266" s="36"/>
      <c r="I5266" s="37"/>
      <c r="J5266" s="36"/>
      <c r="K5266" s="38"/>
      <c r="L5266" s="38"/>
    </row>
    <row r="5267" spans="1:12" x14ac:dyDescent="0.25">
      <c r="A5267" s="35"/>
      <c r="B5267" s="36"/>
      <c r="C5267" s="36"/>
      <c r="D5267" s="36"/>
      <c r="E5267" s="36"/>
      <c r="F5267" s="36"/>
      <c r="G5267" s="36"/>
      <c r="H5267" s="36"/>
      <c r="I5267" s="37"/>
      <c r="J5267" s="36"/>
      <c r="K5267" s="38"/>
      <c r="L5267" s="38"/>
    </row>
    <row r="5268" spans="1:12" x14ac:dyDescent="0.25">
      <c r="A5268" s="35"/>
      <c r="B5268" s="36"/>
      <c r="C5268" s="36"/>
      <c r="D5268" s="36"/>
      <c r="E5268" s="36"/>
      <c r="F5268" s="36"/>
      <c r="G5268" s="36"/>
      <c r="H5268" s="36"/>
      <c r="I5268" s="37"/>
      <c r="J5268" s="36"/>
      <c r="K5268" s="38"/>
      <c r="L5268" s="38"/>
    </row>
    <row r="5269" spans="1:12" x14ac:dyDescent="0.25">
      <c r="A5269" s="35"/>
      <c r="B5269" s="36"/>
      <c r="C5269" s="36"/>
      <c r="D5269" s="36"/>
      <c r="E5269" s="36"/>
      <c r="F5269" s="36"/>
      <c r="G5269" s="36"/>
      <c r="H5269" s="36"/>
      <c r="I5269" s="37"/>
      <c r="J5269" s="36"/>
      <c r="K5269" s="38"/>
      <c r="L5269" s="38"/>
    </row>
    <row r="5270" spans="1:12" x14ac:dyDescent="0.25">
      <c r="A5270" s="35"/>
      <c r="B5270" s="36"/>
      <c r="C5270" s="36"/>
      <c r="D5270" s="36"/>
      <c r="E5270" s="36"/>
      <c r="F5270" s="36"/>
      <c r="G5270" s="36"/>
      <c r="H5270" s="36"/>
      <c r="I5270" s="37"/>
      <c r="J5270" s="36"/>
      <c r="K5270" s="38"/>
      <c r="L5270" s="38"/>
    </row>
    <row r="5271" spans="1:12" x14ac:dyDescent="0.25">
      <c r="A5271" s="35"/>
      <c r="B5271" s="36"/>
      <c r="C5271" s="36"/>
      <c r="D5271" s="36"/>
      <c r="E5271" s="36"/>
      <c r="F5271" s="36"/>
      <c r="G5271" s="36"/>
      <c r="H5271" s="36"/>
      <c r="I5271" s="37"/>
      <c r="J5271" s="36"/>
      <c r="K5271" s="38"/>
      <c r="L5271" s="38"/>
    </row>
    <row r="5272" spans="1:12" x14ac:dyDescent="0.25">
      <c r="A5272" s="35"/>
      <c r="B5272" s="36"/>
      <c r="C5272" s="36"/>
      <c r="D5272" s="36"/>
      <c r="E5272" s="36"/>
      <c r="F5272" s="36"/>
      <c r="G5272" s="36"/>
      <c r="H5272" s="36"/>
      <c r="I5272" s="37"/>
      <c r="J5272" s="36"/>
      <c r="K5272" s="38"/>
      <c r="L5272" s="38"/>
    </row>
    <row r="5273" spans="1:12" x14ac:dyDescent="0.25">
      <c r="A5273" s="35"/>
      <c r="B5273" s="36"/>
      <c r="C5273" s="36"/>
      <c r="D5273" s="36"/>
      <c r="E5273" s="36"/>
      <c r="F5273" s="36"/>
      <c r="G5273" s="36"/>
      <c r="H5273" s="36"/>
      <c r="I5273" s="37"/>
      <c r="J5273" s="36"/>
      <c r="K5273" s="38"/>
      <c r="L5273" s="38"/>
    </row>
    <row r="5274" spans="1:12" x14ac:dyDescent="0.25">
      <c r="A5274" s="35"/>
      <c r="B5274" s="36"/>
      <c r="C5274" s="36"/>
      <c r="D5274" s="36"/>
      <c r="E5274" s="36"/>
      <c r="F5274" s="36"/>
      <c r="G5274" s="36"/>
      <c r="H5274" s="36"/>
      <c r="I5274" s="37"/>
      <c r="J5274" s="36"/>
      <c r="K5274" s="38"/>
      <c r="L5274" s="38"/>
    </row>
    <row r="5275" spans="1:12" x14ac:dyDescent="0.25">
      <c r="A5275" s="35"/>
      <c r="B5275" s="36"/>
      <c r="C5275" s="36"/>
      <c r="D5275" s="36"/>
      <c r="E5275" s="36"/>
      <c r="F5275" s="36"/>
      <c r="G5275" s="36"/>
      <c r="H5275" s="36"/>
      <c r="I5275" s="37"/>
      <c r="J5275" s="36"/>
      <c r="K5275" s="38"/>
      <c r="L5275" s="38"/>
    </row>
    <row r="5276" spans="1:12" x14ac:dyDescent="0.25">
      <c r="A5276" s="35"/>
      <c r="B5276" s="36"/>
      <c r="C5276" s="36"/>
      <c r="D5276" s="36"/>
      <c r="E5276" s="36"/>
      <c r="F5276" s="36"/>
      <c r="G5276" s="36"/>
      <c r="H5276" s="36"/>
      <c r="I5276" s="37"/>
      <c r="J5276" s="36"/>
      <c r="K5276" s="38"/>
      <c r="L5276" s="38"/>
    </row>
    <row r="5277" spans="1:12" x14ac:dyDescent="0.25">
      <c r="A5277" s="35"/>
      <c r="B5277" s="36"/>
      <c r="C5277" s="36"/>
      <c r="D5277" s="36"/>
      <c r="E5277" s="36"/>
      <c r="F5277" s="36"/>
      <c r="G5277" s="36"/>
      <c r="H5277" s="36"/>
      <c r="I5277" s="37"/>
      <c r="J5277" s="36"/>
      <c r="K5277" s="38"/>
      <c r="L5277" s="38"/>
    </row>
    <row r="5278" spans="1:12" x14ac:dyDescent="0.25">
      <c r="A5278" s="35"/>
      <c r="B5278" s="36"/>
      <c r="C5278" s="36"/>
      <c r="D5278" s="36"/>
      <c r="E5278" s="36"/>
      <c r="F5278" s="36"/>
      <c r="G5278" s="36"/>
      <c r="H5278" s="36"/>
      <c r="I5278" s="37"/>
      <c r="J5278" s="36"/>
      <c r="K5278" s="38"/>
      <c r="L5278" s="38"/>
    </row>
    <row r="5279" spans="1:12" x14ac:dyDescent="0.25">
      <c r="A5279" s="35"/>
      <c r="B5279" s="36"/>
      <c r="C5279" s="36"/>
      <c r="D5279" s="36"/>
      <c r="E5279" s="36"/>
      <c r="F5279" s="36"/>
      <c r="G5279" s="36"/>
      <c r="H5279" s="36"/>
      <c r="I5279" s="37"/>
      <c r="J5279" s="36"/>
      <c r="K5279" s="38"/>
      <c r="L5279" s="38"/>
    </row>
    <row r="5280" spans="1:12" x14ac:dyDescent="0.25">
      <c r="A5280" s="35"/>
      <c r="B5280" s="36"/>
      <c r="C5280" s="36"/>
      <c r="D5280" s="36"/>
      <c r="E5280" s="36"/>
      <c r="F5280" s="36"/>
      <c r="G5280" s="36"/>
      <c r="H5280" s="36"/>
      <c r="I5280" s="37"/>
      <c r="J5280" s="36"/>
      <c r="K5280" s="38"/>
      <c r="L5280" s="38"/>
    </row>
    <row r="5281" spans="1:12" x14ac:dyDescent="0.25">
      <c r="A5281" s="35"/>
      <c r="B5281" s="36"/>
      <c r="C5281" s="36"/>
      <c r="D5281" s="36"/>
      <c r="E5281" s="36"/>
      <c r="F5281" s="36"/>
      <c r="G5281" s="36"/>
      <c r="H5281" s="36"/>
      <c r="I5281" s="37"/>
      <c r="J5281" s="36"/>
      <c r="K5281" s="38"/>
      <c r="L5281" s="38"/>
    </row>
    <row r="5282" spans="1:12" x14ac:dyDescent="0.25">
      <c r="A5282" s="35"/>
      <c r="B5282" s="36"/>
      <c r="C5282" s="36"/>
      <c r="D5282" s="36"/>
      <c r="E5282" s="36"/>
      <c r="F5282" s="36"/>
      <c r="G5282" s="36"/>
      <c r="H5282" s="36"/>
      <c r="I5282" s="37"/>
      <c r="J5282" s="36"/>
      <c r="K5282" s="38"/>
      <c r="L5282" s="38"/>
    </row>
    <row r="5283" spans="1:12" x14ac:dyDescent="0.25">
      <c r="A5283" s="35"/>
      <c r="B5283" s="36"/>
      <c r="C5283" s="36"/>
      <c r="D5283" s="36"/>
      <c r="E5283" s="36"/>
      <c r="F5283" s="36"/>
      <c r="G5283" s="36"/>
      <c r="H5283" s="36"/>
      <c r="I5283" s="37"/>
      <c r="J5283" s="36"/>
      <c r="K5283" s="38"/>
      <c r="L5283" s="38"/>
    </row>
    <row r="5284" spans="1:12" x14ac:dyDescent="0.25">
      <c r="A5284" s="35"/>
      <c r="B5284" s="36"/>
      <c r="C5284" s="36"/>
      <c r="D5284" s="36"/>
      <c r="E5284" s="36"/>
      <c r="F5284" s="36"/>
      <c r="G5284" s="36"/>
      <c r="H5284" s="36"/>
      <c r="I5284" s="37"/>
      <c r="J5284" s="36"/>
      <c r="K5284" s="38"/>
      <c r="L5284" s="38"/>
    </row>
    <row r="5285" spans="1:12" x14ac:dyDescent="0.25">
      <c r="A5285" s="35"/>
      <c r="B5285" s="36"/>
      <c r="C5285" s="36"/>
      <c r="D5285" s="36"/>
      <c r="E5285" s="36"/>
      <c r="F5285" s="36"/>
      <c r="G5285" s="36"/>
      <c r="H5285" s="36"/>
      <c r="I5285" s="37"/>
      <c r="J5285" s="36"/>
      <c r="K5285" s="38"/>
      <c r="L5285" s="38"/>
    </row>
    <row r="5286" spans="1:12" x14ac:dyDescent="0.25">
      <c r="A5286" s="35"/>
      <c r="B5286" s="36"/>
      <c r="C5286" s="36"/>
      <c r="D5286" s="36"/>
      <c r="E5286" s="36"/>
      <c r="F5286" s="36"/>
      <c r="G5286" s="36"/>
      <c r="H5286" s="36"/>
      <c r="I5286" s="37"/>
      <c r="J5286" s="36"/>
      <c r="K5286" s="38"/>
      <c r="L5286" s="38"/>
    </row>
    <row r="5287" spans="1:12" x14ac:dyDescent="0.25">
      <c r="A5287" s="35"/>
      <c r="B5287" s="36"/>
      <c r="C5287" s="36"/>
      <c r="D5287" s="36"/>
      <c r="E5287" s="36"/>
      <c r="F5287" s="36"/>
      <c r="G5287" s="36"/>
      <c r="H5287" s="36"/>
      <c r="I5287" s="37"/>
      <c r="J5287" s="36"/>
      <c r="K5287" s="38"/>
      <c r="L5287" s="38"/>
    </row>
    <row r="5288" spans="1:12" x14ac:dyDescent="0.25">
      <c r="A5288" s="35"/>
      <c r="B5288" s="36"/>
      <c r="C5288" s="36"/>
      <c r="D5288" s="36"/>
      <c r="E5288" s="36"/>
      <c r="F5288" s="36"/>
      <c r="G5288" s="36"/>
      <c r="H5288" s="36"/>
      <c r="I5288" s="37"/>
      <c r="J5288" s="36"/>
      <c r="K5288" s="38"/>
      <c r="L5288" s="38"/>
    </row>
    <row r="5289" spans="1:12" x14ac:dyDescent="0.25">
      <c r="A5289" s="35"/>
      <c r="B5289" s="36"/>
      <c r="C5289" s="36"/>
      <c r="D5289" s="36"/>
      <c r="E5289" s="36"/>
      <c r="F5289" s="36"/>
      <c r="G5289" s="36"/>
      <c r="H5289" s="36"/>
      <c r="I5289" s="37"/>
      <c r="J5289" s="36"/>
      <c r="K5289" s="38"/>
      <c r="L5289" s="38"/>
    </row>
    <row r="5290" spans="1:12" x14ac:dyDescent="0.25">
      <c r="A5290" s="35"/>
      <c r="B5290" s="36"/>
      <c r="C5290" s="36"/>
      <c r="D5290" s="36"/>
      <c r="E5290" s="36"/>
      <c r="F5290" s="36"/>
      <c r="G5290" s="36"/>
      <c r="H5290" s="36"/>
      <c r="I5290" s="37"/>
      <c r="J5290" s="36"/>
      <c r="K5290" s="38"/>
      <c r="L5290" s="38"/>
    </row>
    <row r="5291" spans="1:12" x14ac:dyDescent="0.25">
      <c r="A5291" s="35"/>
      <c r="B5291" s="36"/>
      <c r="C5291" s="36"/>
      <c r="D5291" s="36"/>
      <c r="E5291" s="36"/>
      <c r="F5291" s="36"/>
      <c r="G5291" s="36"/>
      <c r="H5291" s="36"/>
      <c r="I5291" s="37"/>
      <c r="J5291" s="36"/>
      <c r="K5291" s="38"/>
      <c r="L5291" s="38"/>
    </row>
    <row r="5292" spans="1:12" x14ac:dyDescent="0.25">
      <c r="A5292" s="35"/>
      <c r="B5292" s="36"/>
      <c r="C5292" s="36"/>
      <c r="D5292" s="36"/>
      <c r="E5292" s="36"/>
      <c r="F5292" s="36"/>
      <c r="G5292" s="36"/>
      <c r="H5292" s="36"/>
      <c r="I5292" s="37"/>
      <c r="J5292" s="36"/>
      <c r="K5292" s="38"/>
      <c r="L5292" s="38"/>
    </row>
    <row r="5293" spans="1:12" x14ac:dyDescent="0.25">
      <c r="A5293" s="35"/>
      <c r="B5293" s="36"/>
      <c r="C5293" s="36"/>
      <c r="D5293" s="36"/>
      <c r="E5293" s="36"/>
      <c r="F5293" s="36"/>
      <c r="G5293" s="36"/>
      <c r="H5293" s="36"/>
      <c r="I5293" s="37"/>
      <c r="J5293" s="36"/>
      <c r="K5293" s="38"/>
      <c r="L5293" s="38"/>
    </row>
    <row r="5294" spans="1:12" x14ac:dyDescent="0.25">
      <c r="A5294" s="35"/>
      <c r="B5294" s="36"/>
      <c r="C5294" s="36"/>
      <c r="D5294" s="36"/>
      <c r="E5294" s="36"/>
      <c r="F5294" s="36"/>
      <c r="G5294" s="36"/>
      <c r="H5294" s="36"/>
      <c r="I5294" s="37"/>
      <c r="J5294" s="36"/>
      <c r="K5294" s="38"/>
      <c r="L5294" s="38"/>
    </row>
    <row r="5295" spans="1:12" x14ac:dyDescent="0.25">
      <c r="A5295" s="35"/>
      <c r="B5295" s="36"/>
      <c r="C5295" s="36"/>
      <c r="D5295" s="36"/>
      <c r="E5295" s="36"/>
      <c r="F5295" s="36"/>
      <c r="G5295" s="36"/>
      <c r="H5295" s="36"/>
      <c r="I5295" s="37"/>
      <c r="J5295" s="36"/>
      <c r="K5295" s="38"/>
      <c r="L5295" s="38"/>
    </row>
    <row r="5296" spans="1:12" x14ac:dyDescent="0.25">
      <c r="A5296" s="35"/>
      <c r="B5296" s="36"/>
      <c r="C5296" s="36"/>
      <c r="D5296" s="36"/>
      <c r="E5296" s="36"/>
      <c r="F5296" s="36"/>
      <c r="G5296" s="36"/>
      <c r="H5296" s="36"/>
      <c r="I5296" s="37"/>
      <c r="J5296" s="36"/>
      <c r="K5296" s="38"/>
      <c r="L5296" s="38"/>
    </row>
    <row r="5297" spans="1:12" x14ac:dyDescent="0.25">
      <c r="A5297" s="35"/>
      <c r="B5297" s="36"/>
      <c r="C5297" s="36"/>
      <c r="D5297" s="36"/>
      <c r="E5297" s="36"/>
      <c r="F5297" s="36"/>
      <c r="G5297" s="36"/>
      <c r="H5297" s="36"/>
      <c r="I5297" s="37"/>
      <c r="J5297" s="36"/>
      <c r="K5297" s="38"/>
      <c r="L5297" s="38"/>
    </row>
    <row r="5298" spans="1:12" x14ac:dyDescent="0.25">
      <c r="A5298" s="35"/>
      <c r="B5298" s="36"/>
      <c r="C5298" s="36"/>
      <c r="D5298" s="36"/>
      <c r="E5298" s="36"/>
      <c r="F5298" s="36"/>
      <c r="G5298" s="36"/>
      <c r="H5298" s="36"/>
      <c r="I5298" s="37"/>
      <c r="J5298" s="36"/>
      <c r="K5298" s="38"/>
      <c r="L5298" s="38"/>
    </row>
    <row r="5299" spans="1:12" x14ac:dyDescent="0.25">
      <c r="A5299" s="35"/>
      <c r="B5299" s="36"/>
      <c r="C5299" s="36"/>
      <c r="D5299" s="36"/>
      <c r="E5299" s="36"/>
      <c r="F5299" s="36"/>
      <c r="G5299" s="36"/>
      <c r="H5299" s="36"/>
      <c r="I5299" s="37"/>
      <c r="J5299" s="36"/>
      <c r="K5299" s="38"/>
      <c r="L5299" s="38"/>
    </row>
    <row r="5300" spans="1:12" x14ac:dyDescent="0.25">
      <c r="A5300" s="35"/>
      <c r="B5300" s="36"/>
      <c r="C5300" s="36"/>
      <c r="D5300" s="36"/>
      <c r="E5300" s="36"/>
      <c r="F5300" s="36"/>
      <c r="G5300" s="36"/>
      <c r="H5300" s="36"/>
      <c r="I5300" s="37"/>
      <c r="J5300" s="36"/>
      <c r="K5300" s="38"/>
      <c r="L5300" s="38"/>
    </row>
    <row r="5301" spans="1:12" x14ac:dyDescent="0.25">
      <c r="A5301" s="35"/>
      <c r="B5301" s="36"/>
      <c r="C5301" s="36"/>
      <c r="D5301" s="36"/>
      <c r="E5301" s="36"/>
      <c r="F5301" s="36"/>
      <c r="G5301" s="36"/>
      <c r="H5301" s="36"/>
      <c r="I5301" s="37"/>
      <c r="J5301" s="36"/>
      <c r="K5301" s="38"/>
      <c r="L5301" s="38"/>
    </row>
    <row r="5302" spans="1:12" x14ac:dyDescent="0.25">
      <c r="A5302" s="35"/>
      <c r="B5302" s="36"/>
      <c r="C5302" s="36"/>
      <c r="D5302" s="36"/>
      <c r="E5302" s="36"/>
      <c r="F5302" s="36"/>
      <c r="G5302" s="36"/>
      <c r="H5302" s="36"/>
      <c r="I5302" s="37"/>
      <c r="J5302" s="36"/>
      <c r="K5302" s="38"/>
      <c r="L5302" s="38"/>
    </row>
    <row r="5303" spans="1:12" x14ac:dyDescent="0.25">
      <c r="A5303" s="35"/>
      <c r="B5303" s="36"/>
      <c r="C5303" s="36"/>
      <c r="D5303" s="36"/>
      <c r="E5303" s="36"/>
      <c r="F5303" s="36"/>
      <c r="G5303" s="36"/>
      <c r="H5303" s="36"/>
      <c r="I5303" s="37"/>
      <c r="J5303" s="36"/>
      <c r="K5303" s="38"/>
      <c r="L5303" s="38"/>
    </row>
    <row r="5304" spans="1:12" x14ac:dyDescent="0.25">
      <c r="A5304" s="35"/>
      <c r="B5304" s="36"/>
      <c r="C5304" s="36"/>
      <c r="D5304" s="36"/>
      <c r="E5304" s="36"/>
      <c r="F5304" s="36"/>
      <c r="G5304" s="36"/>
      <c r="H5304" s="36"/>
      <c r="I5304" s="37"/>
      <c r="J5304" s="36"/>
      <c r="K5304" s="38"/>
      <c r="L5304" s="38"/>
    </row>
    <row r="5305" spans="1:12" x14ac:dyDescent="0.25">
      <c r="A5305" s="35"/>
      <c r="B5305" s="36"/>
      <c r="C5305" s="36"/>
      <c r="D5305" s="36"/>
      <c r="E5305" s="36"/>
      <c r="F5305" s="36"/>
      <c r="G5305" s="36"/>
      <c r="H5305" s="36"/>
      <c r="I5305" s="37"/>
      <c r="J5305" s="36"/>
      <c r="K5305" s="38"/>
      <c r="L5305" s="38"/>
    </row>
    <row r="5306" spans="1:12" x14ac:dyDescent="0.25">
      <c r="A5306" s="35"/>
      <c r="B5306" s="36"/>
      <c r="C5306" s="36"/>
      <c r="D5306" s="36"/>
      <c r="E5306" s="36"/>
      <c r="F5306" s="36"/>
      <c r="G5306" s="36"/>
      <c r="H5306" s="36"/>
      <c r="I5306" s="37"/>
      <c r="J5306" s="36"/>
      <c r="K5306" s="38"/>
      <c r="L5306" s="38"/>
    </row>
    <row r="5307" spans="1:12" x14ac:dyDescent="0.25">
      <c r="A5307" s="35"/>
      <c r="B5307" s="36"/>
      <c r="C5307" s="36"/>
      <c r="D5307" s="36"/>
      <c r="E5307" s="36"/>
      <c r="F5307" s="36"/>
      <c r="G5307" s="36"/>
      <c r="H5307" s="36"/>
      <c r="I5307" s="37"/>
      <c r="J5307" s="36"/>
      <c r="K5307" s="38"/>
      <c r="L5307" s="38"/>
    </row>
    <row r="5308" spans="1:12" x14ac:dyDescent="0.25">
      <c r="A5308" s="35"/>
      <c r="B5308" s="36"/>
      <c r="C5308" s="36"/>
      <c r="D5308" s="36"/>
      <c r="E5308" s="36"/>
      <c r="F5308" s="36"/>
      <c r="G5308" s="36"/>
      <c r="H5308" s="36"/>
      <c r="I5308" s="37"/>
      <c r="J5308" s="36"/>
      <c r="K5308" s="38"/>
      <c r="L5308" s="38"/>
    </row>
    <row r="5309" spans="1:12" x14ac:dyDescent="0.25">
      <c r="A5309" s="35"/>
      <c r="B5309" s="36"/>
      <c r="C5309" s="36"/>
      <c r="D5309" s="36"/>
      <c r="E5309" s="36"/>
      <c r="F5309" s="36"/>
      <c r="G5309" s="36"/>
      <c r="H5309" s="36"/>
      <c r="I5309" s="37"/>
      <c r="J5309" s="36"/>
      <c r="K5309" s="38"/>
      <c r="L5309" s="38"/>
    </row>
    <row r="5310" spans="1:12" x14ac:dyDescent="0.25">
      <c r="A5310" s="35"/>
      <c r="B5310" s="36"/>
      <c r="C5310" s="36"/>
      <c r="D5310" s="36"/>
      <c r="E5310" s="36"/>
      <c r="F5310" s="36"/>
      <c r="G5310" s="36"/>
      <c r="H5310" s="36"/>
      <c r="I5310" s="37"/>
      <c r="J5310" s="36"/>
      <c r="K5310" s="38"/>
      <c r="L5310" s="38"/>
    </row>
    <row r="5311" spans="1:12" x14ac:dyDescent="0.25">
      <c r="A5311" s="35"/>
      <c r="B5311" s="36"/>
      <c r="C5311" s="36"/>
      <c r="D5311" s="36"/>
      <c r="E5311" s="36"/>
      <c r="F5311" s="36"/>
      <c r="G5311" s="36"/>
      <c r="H5311" s="36"/>
      <c r="I5311" s="37"/>
      <c r="J5311" s="36"/>
      <c r="K5311" s="38"/>
      <c r="L5311" s="38"/>
    </row>
    <row r="5312" spans="1:12" x14ac:dyDescent="0.25">
      <c r="A5312" s="35"/>
      <c r="B5312" s="36"/>
      <c r="C5312" s="36"/>
      <c r="D5312" s="36"/>
      <c r="E5312" s="36"/>
      <c r="F5312" s="36"/>
      <c r="G5312" s="36"/>
      <c r="H5312" s="36"/>
      <c r="I5312" s="37"/>
      <c r="J5312" s="36"/>
      <c r="K5312" s="38"/>
      <c r="L5312" s="38"/>
    </row>
    <row r="5313" spans="1:12" x14ac:dyDescent="0.25">
      <c r="A5313" s="35"/>
      <c r="B5313" s="36"/>
      <c r="C5313" s="36"/>
      <c r="D5313" s="36"/>
      <c r="E5313" s="36"/>
      <c r="F5313" s="36"/>
      <c r="G5313" s="36"/>
      <c r="H5313" s="36"/>
      <c r="I5313" s="37"/>
      <c r="J5313" s="36"/>
      <c r="K5313" s="38"/>
      <c r="L5313" s="38"/>
    </row>
    <row r="5314" spans="1:12" x14ac:dyDescent="0.25">
      <c r="A5314" s="35"/>
      <c r="B5314" s="36"/>
      <c r="C5314" s="36"/>
      <c r="D5314" s="36"/>
      <c r="E5314" s="36"/>
      <c r="F5314" s="36"/>
      <c r="G5314" s="36"/>
      <c r="H5314" s="36"/>
      <c r="I5314" s="37"/>
      <c r="J5314" s="36"/>
      <c r="K5314" s="38"/>
      <c r="L5314" s="38"/>
    </row>
    <row r="5315" spans="1:12" x14ac:dyDescent="0.25">
      <c r="A5315" s="35"/>
      <c r="B5315" s="36"/>
      <c r="C5315" s="36"/>
      <c r="D5315" s="36"/>
      <c r="E5315" s="36"/>
      <c r="F5315" s="36"/>
      <c r="G5315" s="36"/>
      <c r="H5315" s="36"/>
      <c r="I5315" s="37"/>
      <c r="J5315" s="36"/>
      <c r="K5315" s="38"/>
      <c r="L5315" s="38"/>
    </row>
    <row r="5316" spans="1:12" x14ac:dyDescent="0.25">
      <c r="A5316" s="35"/>
      <c r="B5316" s="36"/>
      <c r="C5316" s="36"/>
      <c r="D5316" s="36"/>
      <c r="E5316" s="36"/>
      <c r="F5316" s="36"/>
      <c r="G5316" s="36"/>
      <c r="H5316" s="36"/>
      <c r="I5316" s="37"/>
      <c r="J5316" s="36"/>
      <c r="K5316" s="38"/>
      <c r="L5316" s="38"/>
    </row>
    <row r="5317" spans="1:12" x14ac:dyDescent="0.25">
      <c r="A5317" s="35"/>
      <c r="B5317" s="36"/>
      <c r="C5317" s="36"/>
      <c r="D5317" s="36"/>
      <c r="E5317" s="36"/>
      <c r="F5317" s="36"/>
      <c r="G5317" s="36"/>
      <c r="H5317" s="36"/>
      <c r="I5317" s="37"/>
      <c r="J5317" s="36"/>
      <c r="K5317" s="38"/>
      <c r="L5317" s="38"/>
    </row>
    <row r="5318" spans="1:12" x14ac:dyDescent="0.25">
      <c r="A5318" s="35"/>
      <c r="B5318" s="36"/>
      <c r="C5318" s="36"/>
      <c r="D5318" s="36"/>
      <c r="E5318" s="36"/>
      <c r="F5318" s="36"/>
      <c r="G5318" s="36"/>
      <c r="H5318" s="36"/>
      <c r="I5318" s="37"/>
      <c r="J5318" s="36"/>
      <c r="K5318" s="38"/>
      <c r="L5318" s="38"/>
    </row>
    <row r="5319" spans="1:12" x14ac:dyDescent="0.25">
      <c r="A5319" s="35"/>
      <c r="B5319" s="36"/>
      <c r="C5319" s="36"/>
      <c r="D5319" s="36"/>
      <c r="E5319" s="36"/>
      <c r="F5319" s="36"/>
      <c r="G5319" s="36"/>
      <c r="H5319" s="36"/>
      <c r="I5319" s="37"/>
      <c r="J5319" s="36"/>
      <c r="K5319" s="38"/>
      <c r="L5319" s="38"/>
    </row>
    <row r="5320" spans="1:12" x14ac:dyDescent="0.25">
      <c r="A5320" s="35"/>
      <c r="B5320" s="36"/>
      <c r="C5320" s="36"/>
      <c r="D5320" s="36"/>
      <c r="E5320" s="36"/>
      <c r="F5320" s="36"/>
      <c r="G5320" s="36"/>
      <c r="H5320" s="36"/>
      <c r="I5320" s="37"/>
      <c r="J5320" s="36"/>
      <c r="K5320" s="38"/>
      <c r="L5320" s="38"/>
    </row>
    <row r="5321" spans="1:12" x14ac:dyDescent="0.25">
      <c r="A5321" s="35"/>
      <c r="B5321" s="36"/>
      <c r="C5321" s="36"/>
      <c r="D5321" s="36"/>
      <c r="E5321" s="36"/>
      <c r="F5321" s="36"/>
      <c r="G5321" s="36"/>
      <c r="H5321" s="36"/>
      <c r="I5321" s="37"/>
      <c r="J5321" s="36"/>
      <c r="K5321" s="38"/>
      <c r="L5321" s="38"/>
    </row>
    <row r="5322" spans="1:12" x14ac:dyDescent="0.25">
      <c r="A5322" s="35"/>
      <c r="B5322" s="36"/>
      <c r="C5322" s="36"/>
      <c r="D5322" s="36"/>
      <c r="E5322" s="36"/>
      <c r="F5322" s="36"/>
      <c r="G5322" s="36"/>
      <c r="H5322" s="36"/>
      <c r="I5322" s="37"/>
      <c r="J5322" s="36"/>
      <c r="K5322" s="38"/>
      <c r="L5322" s="38"/>
    </row>
    <row r="5323" spans="1:12" x14ac:dyDescent="0.25">
      <c r="A5323" s="35"/>
      <c r="B5323" s="36"/>
      <c r="C5323" s="36"/>
      <c r="D5323" s="36"/>
      <c r="E5323" s="36"/>
      <c r="F5323" s="36"/>
      <c r="G5323" s="36"/>
      <c r="H5323" s="36"/>
      <c r="I5323" s="37"/>
      <c r="J5323" s="36"/>
      <c r="K5323" s="38"/>
      <c r="L5323" s="38"/>
    </row>
    <row r="5324" spans="1:12" x14ac:dyDescent="0.25">
      <c r="A5324" s="35"/>
      <c r="B5324" s="36"/>
      <c r="C5324" s="36"/>
      <c r="D5324" s="36"/>
      <c r="E5324" s="36"/>
      <c r="F5324" s="36"/>
      <c r="G5324" s="36"/>
      <c r="H5324" s="36"/>
      <c r="I5324" s="37"/>
      <c r="J5324" s="36"/>
      <c r="K5324" s="38"/>
      <c r="L5324" s="38"/>
    </row>
    <row r="5325" spans="1:12" x14ac:dyDescent="0.25">
      <c r="A5325" s="35"/>
      <c r="B5325" s="36"/>
      <c r="C5325" s="36"/>
      <c r="D5325" s="36"/>
      <c r="E5325" s="36"/>
      <c r="F5325" s="36"/>
      <c r="G5325" s="36"/>
      <c r="H5325" s="36"/>
      <c r="I5325" s="37"/>
      <c r="J5325" s="36"/>
      <c r="K5325" s="38"/>
      <c r="L5325" s="38"/>
    </row>
    <row r="5326" spans="1:12" x14ac:dyDescent="0.25">
      <c r="A5326" s="35"/>
      <c r="B5326" s="36"/>
      <c r="C5326" s="36"/>
      <c r="D5326" s="36"/>
      <c r="E5326" s="36"/>
      <c r="F5326" s="36"/>
      <c r="G5326" s="36"/>
      <c r="H5326" s="36"/>
      <c r="I5326" s="37"/>
      <c r="J5326" s="36"/>
      <c r="K5326" s="38"/>
      <c r="L5326" s="38"/>
    </row>
    <row r="5327" spans="1:12" x14ac:dyDescent="0.25">
      <c r="A5327" s="35"/>
      <c r="B5327" s="36"/>
      <c r="C5327" s="36"/>
      <c r="D5327" s="36"/>
      <c r="E5327" s="36"/>
      <c r="F5327" s="36"/>
      <c r="G5327" s="36"/>
      <c r="H5327" s="36"/>
      <c r="I5327" s="37"/>
      <c r="J5327" s="36"/>
      <c r="K5327" s="38"/>
      <c r="L5327" s="38"/>
    </row>
    <row r="5328" spans="1:12" x14ac:dyDescent="0.25">
      <c r="A5328" s="35"/>
      <c r="B5328" s="36"/>
      <c r="C5328" s="36"/>
      <c r="D5328" s="36"/>
      <c r="E5328" s="36"/>
      <c r="F5328" s="36"/>
      <c r="G5328" s="36"/>
      <c r="H5328" s="36"/>
      <c r="I5328" s="37"/>
      <c r="J5328" s="36"/>
      <c r="K5328" s="38"/>
      <c r="L5328" s="38"/>
    </row>
    <row r="5329" spans="1:12" x14ac:dyDescent="0.25">
      <c r="A5329" s="35"/>
      <c r="B5329" s="36"/>
      <c r="C5329" s="36"/>
      <c r="D5329" s="36"/>
      <c r="E5329" s="36"/>
      <c r="F5329" s="36"/>
      <c r="G5329" s="36"/>
      <c r="H5329" s="36"/>
      <c r="I5329" s="37"/>
      <c r="J5329" s="36"/>
      <c r="K5329" s="38"/>
      <c r="L5329" s="38"/>
    </row>
    <row r="5330" spans="1:12" x14ac:dyDescent="0.25">
      <c r="A5330" s="35"/>
      <c r="B5330" s="36"/>
      <c r="C5330" s="36"/>
      <c r="D5330" s="36"/>
      <c r="E5330" s="36"/>
      <c r="F5330" s="36"/>
      <c r="G5330" s="36"/>
      <c r="H5330" s="36"/>
      <c r="I5330" s="37"/>
      <c r="J5330" s="36"/>
      <c r="K5330" s="38"/>
      <c r="L5330" s="38"/>
    </row>
    <row r="5331" spans="1:12" x14ac:dyDescent="0.25">
      <c r="A5331" s="35"/>
      <c r="B5331" s="36"/>
      <c r="C5331" s="36"/>
      <c r="D5331" s="36"/>
      <c r="E5331" s="36"/>
      <c r="F5331" s="36"/>
      <c r="G5331" s="36"/>
      <c r="H5331" s="36"/>
      <c r="I5331" s="37"/>
      <c r="J5331" s="36"/>
      <c r="K5331" s="38"/>
      <c r="L5331" s="38"/>
    </row>
    <row r="5332" spans="1:12" x14ac:dyDescent="0.25">
      <c r="A5332" s="35"/>
      <c r="B5332" s="36"/>
      <c r="C5332" s="36"/>
      <c r="D5332" s="36"/>
      <c r="E5332" s="36"/>
      <c r="F5332" s="36"/>
      <c r="G5332" s="36"/>
      <c r="H5332" s="36"/>
      <c r="I5332" s="37"/>
      <c r="J5332" s="36"/>
      <c r="K5332" s="38"/>
      <c r="L5332" s="38"/>
    </row>
    <row r="5333" spans="1:12" x14ac:dyDescent="0.25">
      <c r="A5333" s="35"/>
      <c r="B5333" s="36"/>
      <c r="C5333" s="36"/>
      <c r="D5333" s="36"/>
      <c r="E5333" s="36"/>
      <c r="F5333" s="36"/>
      <c r="G5333" s="36"/>
      <c r="H5333" s="36"/>
      <c r="I5333" s="37"/>
      <c r="J5333" s="36"/>
      <c r="K5333" s="38"/>
      <c r="L5333" s="38"/>
    </row>
    <row r="5334" spans="1:12" x14ac:dyDescent="0.25">
      <c r="A5334" s="35"/>
      <c r="B5334" s="36"/>
      <c r="C5334" s="36"/>
      <c r="D5334" s="36"/>
      <c r="E5334" s="36"/>
      <c r="F5334" s="36"/>
      <c r="G5334" s="36"/>
      <c r="H5334" s="36"/>
      <c r="I5334" s="37"/>
      <c r="J5334" s="36"/>
      <c r="K5334" s="38"/>
      <c r="L5334" s="38"/>
    </row>
    <row r="5335" spans="1:12" x14ac:dyDescent="0.25">
      <c r="A5335" s="35"/>
      <c r="B5335" s="36"/>
      <c r="C5335" s="36"/>
      <c r="D5335" s="36"/>
      <c r="E5335" s="36"/>
      <c r="F5335" s="36"/>
      <c r="G5335" s="36"/>
      <c r="H5335" s="36"/>
      <c r="I5335" s="37"/>
      <c r="J5335" s="36"/>
      <c r="K5335" s="38"/>
      <c r="L5335" s="38"/>
    </row>
    <row r="5336" spans="1:12" x14ac:dyDescent="0.25">
      <c r="A5336" s="35"/>
      <c r="B5336" s="36"/>
      <c r="C5336" s="36"/>
      <c r="D5336" s="36"/>
      <c r="E5336" s="36"/>
      <c r="F5336" s="36"/>
      <c r="G5336" s="36"/>
      <c r="H5336" s="36"/>
      <c r="I5336" s="37"/>
      <c r="J5336" s="36"/>
      <c r="K5336" s="38"/>
      <c r="L5336" s="38"/>
    </row>
    <row r="5337" spans="1:12" x14ac:dyDescent="0.25">
      <c r="A5337" s="35"/>
      <c r="B5337" s="36"/>
      <c r="C5337" s="36"/>
      <c r="D5337" s="36"/>
      <c r="E5337" s="36"/>
      <c r="F5337" s="36"/>
      <c r="G5337" s="36"/>
      <c r="H5337" s="36"/>
      <c r="I5337" s="37"/>
      <c r="J5337" s="36"/>
      <c r="K5337" s="38"/>
      <c r="L5337" s="38"/>
    </row>
    <row r="5338" spans="1:12" x14ac:dyDescent="0.25">
      <c r="A5338" s="35"/>
      <c r="B5338" s="36"/>
      <c r="C5338" s="36"/>
      <c r="D5338" s="36"/>
      <c r="E5338" s="36"/>
      <c r="F5338" s="36"/>
      <c r="G5338" s="36"/>
      <c r="H5338" s="36"/>
      <c r="I5338" s="37"/>
      <c r="J5338" s="36"/>
      <c r="K5338" s="38"/>
      <c r="L5338" s="38"/>
    </row>
    <row r="5339" spans="1:12" x14ac:dyDescent="0.25">
      <c r="A5339" s="35"/>
      <c r="B5339" s="36"/>
      <c r="C5339" s="36"/>
      <c r="D5339" s="36"/>
      <c r="E5339" s="36"/>
      <c r="F5339" s="36"/>
      <c r="G5339" s="36"/>
      <c r="H5339" s="36"/>
      <c r="I5339" s="37"/>
      <c r="J5339" s="36"/>
      <c r="K5339" s="38"/>
      <c r="L5339" s="38"/>
    </row>
    <row r="5340" spans="1:12" x14ac:dyDescent="0.25">
      <c r="A5340" s="35"/>
      <c r="B5340" s="36"/>
      <c r="C5340" s="36"/>
      <c r="D5340" s="36"/>
      <c r="E5340" s="36"/>
      <c r="F5340" s="36"/>
      <c r="G5340" s="36"/>
      <c r="H5340" s="36"/>
      <c r="I5340" s="37"/>
      <c r="J5340" s="36"/>
      <c r="K5340" s="38"/>
      <c r="L5340" s="38"/>
    </row>
    <row r="5341" spans="1:12" x14ac:dyDescent="0.25">
      <c r="A5341" s="35"/>
      <c r="B5341" s="36"/>
      <c r="C5341" s="36"/>
      <c r="D5341" s="36"/>
      <c r="E5341" s="36"/>
      <c r="F5341" s="36"/>
      <c r="G5341" s="36"/>
      <c r="H5341" s="36"/>
      <c r="I5341" s="37"/>
      <c r="J5341" s="36"/>
      <c r="K5341" s="38"/>
      <c r="L5341" s="38"/>
    </row>
    <row r="5342" spans="1:12" x14ac:dyDescent="0.25">
      <c r="A5342" s="35"/>
      <c r="B5342" s="36"/>
      <c r="C5342" s="36"/>
      <c r="D5342" s="36"/>
      <c r="E5342" s="36"/>
      <c r="F5342" s="36"/>
      <c r="G5342" s="36"/>
      <c r="H5342" s="36"/>
      <c r="I5342" s="37"/>
      <c r="J5342" s="36"/>
      <c r="K5342" s="38"/>
      <c r="L5342" s="38"/>
    </row>
    <row r="5343" spans="1:12" x14ac:dyDescent="0.25">
      <c r="A5343" s="35"/>
      <c r="B5343" s="36"/>
      <c r="C5343" s="36"/>
      <c r="D5343" s="36"/>
      <c r="E5343" s="36"/>
      <c r="F5343" s="36"/>
      <c r="G5343" s="36"/>
      <c r="H5343" s="36"/>
      <c r="I5343" s="37"/>
      <c r="J5343" s="36"/>
      <c r="K5343" s="38"/>
      <c r="L5343" s="38"/>
    </row>
    <row r="5344" spans="1:12" x14ac:dyDescent="0.25">
      <c r="A5344" s="35"/>
      <c r="B5344" s="36"/>
      <c r="C5344" s="36"/>
      <c r="D5344" s="36"/>
      <c r="E5344" s="36"/>
      <c r="F5344" s="36"/>
      <c r="G5344" s="36"/>
      <c r="H5344" s="36"/>
      <c r="I5344" s="37"/>
      <c r="J5344" s="36"/>
      <c r="K5344" s="38"/>
      <c r="L5344" s="38"/>
    </row>
    <row r="5345" spans="1:12" x14ac:dyDescent="0.25">
      <c r="A5345" s="35"/>
      <c r="B5345" s="36"/>
      <c r="C5345" s="36"/>
      <c r="D5345" s="36"/>
      <c r="E5345" s="36"/>
      <c r="F5345" s="36"/>
      <c r="G5345" s="36"/>
      <c r="H5345" s="36"/>
      <c r="I5345" s="37"/>
      <c r="J5345" s="36"/>
      <c r="K5345" s="38"/>
      <c r="L5345" s="38"/>
    </row>
    <row r="5346" spans="1:12" x14ac:dyDescent="0.25">
      <c r="A5346" s="35"/>
      <c r="B5346" s="36"/>
      <c r="C5346" s="36"/>
      <c r="D5346" s="36"/>
      <c r="E5346" s="36"/>
      <c r="F5346" s="36"/>
      <c r="G5346" s="36"/>
      <c r="H5346" s="36"/>
      <c r="I5346" s="37"/>
      <c r="J5346" s="36"/>
      <c r="K5346" s="38"/>
      <c r="L5346" s="38"/>
    </row>
    <row r="5347" spans="1:12" x14ac:dyDescent="0.25">
      <c r="A5347" s="35"/>
      <c r="B5347" s="36"/>
      <c r="C5347" s="36"/>
      <c r="D5347" s="36"/>
      <c r="E5347" s="36"/>
      <c r="F5347" s="36"/>
      <c r="G5347" s="36"/>
      <c r="H5347" s="36"/>
      <c r="I5347" s="37"/>
      <c r="J5347" s="36"/>
      <c r="K5347" s="38"/>
      <c r="L5347" s="38"/>
    </row>
    <row r="5348" spans="1:12" x14ac:dyDescent="0.25">
      <c r="A5348" s="35"/>
      <c r="B5348" s="36"/>
      <c r="C5348" s="36"/>
      <c r="D5348" s="36"/>
      <c r="E5348" s="36"/>
      <c r="F5348" s="36"/>
      <c r="G5348" s="36"/>
      <c r="H5348" s="36"/>
      <c r="I5348" s="37"/>
      <c r="J5348" s="36"/>
      <c r="K5348" s="38"/>
      <c r="L5348" s="38"/>
    </row>
    <row r="5349" spans="1:12" x14ac:dyDescent="0.25">
      <c r="A5349" s="35"/>
      <c r="B5349" s="36"/>
      <c r="C5349" s="36"/>
      <c r="D5349" s="36"/>
      <c r="E5349" s="36"/>
      <c r="F5349" s="36"/>
      <c r="G5349" s="36"/>
      <c r="H5349" s="36"/>
      <c r="I5349" s="37"/>
      <c r="J5349" s="36"/>
      <c r="K5349" s="38"/>
      <c r="L5349" s="38"/>
    </row>
    <row r="5350" spans="1:12" x14ac:dyDescent="0.25">
      <c r="A5350" s="35"/>
      <c r="B5350" s="36"/>
      <c r="C5350" s="36"/>
      <c r="D5350" s="36"/>
      <c r="E5350" s="36"/>
      <c r="F5350" s="36"/>
      <c r="G5350" s="36"/>
      <c r="H5350" s="36"/>
      <c r="I5350" s="37"/>
      <c r="J5350" s="36"/>
      <c r="K5350" s="38"/>
      <c r="L5350" s="38"/>
    </row>
    <row r="5351" spans="1:12" x14ac:dyDescent="0.25">
      <c r="A5351" s="35"/>
      <c r="B5351" s="36"/>
      <c r="C5351" s="36"/>
      <c r="D5351" s="36"/>
      <c r="E5351" s="36"/>
      <c r="F5351" s="36"/>
      <c r="G5351" s="36"/>
      <c r="H5351" s="36"/>
      <c r="I5351" s="37"/>
      <c r="J5351" s="36"/>
      <c r="K5351" s="38"/>
      <c r="L5351" s="38"/>
    </row>
    <row r="5352" spans="1:12" x14ac:dyDescent="0.25">
      <c r="A5352" s="35"/>
      <c r="B5352" s="36"/>
      <c r="C5352" s="36"/>
      <c r="D5352" s="36"/>
      <c r="E5352" s="36"/>
      <c r="F5352" s="36"/>
      <c r="G5352" s="36"/>
      <c r="H5352" s="36"/>
      <c r="I5352" s="37"/>
      <c r="J5352" s="36"/>
      <c r="K5352" s="38"/>
      <c r="L5352" s="38"/>
    </row>
    <row r="5353" spans="1:12" x14ac:dyDescent="0.25">
      <c r="A5353" s="35"/>
      <c r="B5353" s="36"/>
      <c r="C5353" s="36"/>
      <c r="D5353" s="36"/>
      <c r="E5353" s="36"/>
      <c r="F5353" s="36"/>
      <c r="G5353" s="36"/>
      <c r="H5353" s="36"/>
      <c r="I5353" s="37"/>
      <c r="J5353" s="36"/>
      <c r="K5353" s="38"/>
      <c r="L5353" s="38"/>
    </row>
    <row r="5354" spans="1:12" x14ac:dyDescent="0.25">
      <c r="A5354" s="35"/>
      <c r="B5354" s="36"/>
      <c r="C5354" s="36"/>
      <c r="D5354" s="36"/>
      <c r="E5354" s="36"/>
      <c r="F5354" s="36"/>
      <c r="G5354" s="36"/>
      <c r="H5354" s="36"/>
      <c r="I5354" s="37"/>
      <c r="J5354" s="36"/>
      <c r="K5354" s="38"/>
      <c r="L5354" s="38"/>
    </row>
    <row r="5355" spans="1:12" x14ac:dyDescent="0.25">
      <c r="A5355" s="35"/>
      <c r="B5355" s="36"/>
      <c r="C5355" s="36"/>
      <c r="D5355" s="36"/>
      <c r="E5355" s="36"/>
      <c r="F5355" s="36"/>
      <c r="G5355" s="36"/>
      <c r="H5355" s="36"/>
      <c r="I5355" s="37"/>
      <c r="J5355" s="36"/>
      <c r="K5355" s="38"/>
      <c r="L5355" s="38"/>
    </row>
    <row r="5356" spans="1:12" x14ac:dyDescent="0.25">
      <c r="A5356" s="35"/>
      <c r="B5356" s="36"/>
      <c r="C5356" s="36"/>
      <c r="D5356" s="36"/>
      <c r="E5356" s="36"/>
      <c r="F5356" s="36"/>
      <c r="G5356" s="36"/>
      <c r="H5356" s="36"/>
      <c r="I5356" s="37"/>
      <c r="J5356" s="36"/>
      <c r="K5356" s="38"/>
      <c r="L5356" s="38"/>
    </row>
    <row r="5357" spans="1:12" x14ac:dyDescent="0.25">
      <c r="A5357" s="35"/>
      <c r="B5357" s="36"/>
      <c r="C5357" s="36"/>
      <c r="D5357" s="36"/>
      <c r="E5357" s="36"/>
      <c r="F5357" s="36"/>
      <c r="G5357" s="36"/>
      <c r="H5357" s="36"/>
      <c r="I5357" s="37"/>
      <c r="J5357" s="36"/>
      <c r="K5357" s="38"/>
      <c r="L5357" s="38"/>
    </row>
    <row r="5358" spans="1:12" x14ac:dyDescent="0.25">
      <c r="A5358" s="35"/>
      <c r="B5358" s="36"/>
      <c r="C5358" s="36"/>
      <c r="D5358" s="36"/>
      <c r="E5358" s="36"/>
      <c r="F5358" s="36"/>
      <c r="G5358" s="36"/>
      <c r="H5358" s="36"/>
      <c r="I5358" s="37"/>
      <c r="J5358" s="36"/>
      <c r="K5358" s="38"/>
      <c r="L5358" s="38"/>
    </row>
    <row r="5359" spans="1:12" x14ac:dyDescent="0.25">
      <c r="A5359" s="35"/>
      <c r="B5359" s="36"/>
      <c r="C5359" s="36"/>
      <c r="D5359" s="36"/>
      <c r="E5359" s="36"/>
      <c r="F5359" s="36"/>
      <c r="G5359" s="36"/>
      <c r="H5359" s="36"/>
      <c r="I5359" s="37"/>
      <c r="J5359" s="36"/>
      <c r="K5359" s="38"/>
      <c r="L5359" s="38"/>
    </row>
    <row r="5360" spans="1:12" x14ac:dyDescent="0.25">
      <c r="A5360" s="35"/>
      <c r="B5360" s="36"/>
      <c r="C5360" s="36"/>
      <c r="D5360" s="36"/>
      <c r="E5360" s="36"/>
      <c r="F5360" s="36"/>
      <c r="G5360" s="36"/>
      <c r="H5360" s="36"/>
      <c r="I5360" s="37"/>
      <c r="J5360" s="36"/>
      <c r="K5360" s="38"/>
      <c r="L5360" s="38"/>
    </row>
    <row r="5361" spans="1:12" x14ac:dyDescent="0.25">
      <c r="A5361" s="35"/>
      <c r="B5361" s="36"/>
      <c r="C5361" s="36"/>
      <c r="D5361" s="36"/>
      <c r="E5361" s="36"/>
      <c r="F5361" s="36"/>
      <c r="G5361" s="36"/>
      <c r="H5361" s="36"/>
      <c r="I5361" s="37"/>
      <c r="J5361" s="36"/>
      <c r="K5361" s="38"/>
      <c r="L5361" s="38"/>
    </row>
    <row r="5362" spans="1:12" x14ac:dyDescent="0.25">
      <c r="A5362" s="35"/>
      <c r="B5362" s="36"/>
      <c r="C5362" s="36"/>
      <c r="D5362" s="36"/>
      <c r="E5362" s="36"/>
      <c r="F5362" s="36"/>
      <c r="G5362" s="36"/>
      <c r="H5362" s="36"/>
      <c r="I5362" s="37"/>
      <c r="J5362" s="36"/>
      <c r="K5362" s="38"/>
      <c r="L5362" s="38"/>
    </row>
    <row r="5363" spans="1:12" x14ac:dyDescent="0.25">
      <c r="A5363" s="35"/>
      <c r="B5363" s="36"/>
      <c r="C5363" s="36"/>
      <c r="D5363" s="36"/>
      <c r="E5363" s="36"/>
      <c r="F5363" s="36"/>
      <c r="G5363" s="36"/>
      <c r="H5363" s="36"/>
      <c r="I5363" s="37"/>
      <c r="J5363" s="36"/>
      <c r="K5363" s="38"/>
      <c r="L5363" s="38"/>
    </row>
    <row r="5364" spans="1:12" x14ac:dyDescent="0.25">
      <c r="A5364" s="35"/>
      <c r="B5364" s="36"/>
      <c r="C5364" s="36"/>
      <c r="D5364" s="36"/>
      <c r="E5364" s="36"/>
      <c r="F5364" s="36"/>
      <c r="G5364" s="36"/>
      <c r="H5364" s="36"/>
      <c r="I5364" s="37"/>
      <c r="J5364" s="36"/>
      <c r="K5364" s="38"/>
      <c r="L5364" s="38"/>
    </row>
    <row r="5365" spans="1:12" x14ac:dyDescent="0.25">
      <c r="A5365" s="35"/>
      <c r="B5365" s="36"/>
      <c r="C5365" s="36"/>
      <c r="D5365" s="36"/>
      <c r="E5365" s="36"/>
      <c r="F5365" s="36"/>
      <c r="G5365" s="36"/>
      <c r="H5365" s="36"/>
      <c r="I5365" s="37"/>
      <c r="J5365" s="36"/>
      <c r="K5365" s="38"/>
      <c r="L5365" s="38"/>
    </row>
    <row r="5366" spans="1:12" x14ac:dyDescent="0.25">
      <c r="A5366" s="35"/>
      <c r="B5366" s="36"/>
      <c r="C5366" s="36"/>
      <c r="D5366" s="36"/>
      <c r="E5366" s="36"/>
      <c r="F5366" s="36"/>
      <c r="G5366" s="36"/>
      <c r="H5366" s="36"/>
      <c r="I5366" s="37"/>
      <c r="J5366" s="36"/>
      <c r="K5366" s="38"/>
      <c r="L5366" s="38"/>
    </row>
    <row r="5367" spans="1:12" x14ac:dyDescent="0.25">
      <c r="A5367" s="35"/>
      <c r="B5367" s="36"/>
      <c r="C5367" s="36"/>
      <c r="D5367" s="36"/>
      <c r="E5367" s="36"/>
      <c r="F5367" s="36"/>
      <c r="G5367" s="36"/>
      <c r="H5367" s="36"/>
      <c r="I5367" s="37"/>
      <c r="J5367" s="36"/>
      <c r="K5367" s="38"/>
      <c r="L5367" s="38"/>
    </row>
    <row r="5368" spans="1:12" x14ac:dyDescent="0.25">
      <c r="A5368" s="35"/>
      <c r="B5368" s="36"/>
      <c r="C5368" s="36"/>
      <c r="D5368" s="36"/>
      <c r="E5368" s="36"/>
      <c r="F5368" s="36"/>
      <c r="G5368" s="36"/>
      <c r="H5368" s="36"/>
      <c r="I5368" s="37"/>
      <c r="J5368" s="36"/>
      <c r="K5368" s="38"/>
      <c r="L5368" s="38"/>
    </row>
    <row r="5369" spans="1:12" x14ac:dyDescent="0.25">
      <c r="A5369" s="35"/>
      <c r="B5369" s="36"/>
      <c r="C5369" s="36"/>
      <c r="D5369" s="36"/>
      <c r="E5369" s="36"/>
      <c r="F5369" s="36"/>
      <c r="G5369" s="36"/>
      <c r="H5369" s="36"/>
      <c r="I5369" s="37"/>
      <c r="J5369" s="36"/>
      <c r="K5369" s="38"/>
      <c r="L5369" s="38"/>
    </row>
    <row r="5370" spans="1:12" x14ac:dyDescent="0.25">
      <c r="A5370" s="35"/>
      <c r="B5370" s="36"/>
      <c r="C5370" s="36"/>
      <c r="D5370" s="36"/>
      <c r="E5370" s="36"/>
      <c r="F5370" s="36"/>
      <c r="G5370" s="36"/>
      <c r="H5370" s="36"/>
      <c r="I5370" s="37"/>
      <c r="J5370" s="36"/>
      <c r="K5370" s="38"/>
      <c r="L5370" s="38"/>
    </row>
    <row r="5371" spans="1:12" x14ac:dyDescent="0.25">
      <c r="A5371" s="35"/>
      <c r="B5371" s="36"/>
      <c r="C5371" s="36"/>
      <c r="D5371" s="36"/>
      <c r="E5371" s="36"/>
      <c r="F5371" s="36"/>
      <c r="G5371" s="36"/>
      <c r="H5371" s="36"/>
      <c r="I5371" s="37"/>
      <c r="J5371" s="36"/>
      <c r="K5371" s="38"/>
      <c r="L5371" s="38"/>
    </row>
    <row r="5372" spans="1:12" x14ac:dyDescent="0.25">
      <c r="A5372" s="35"/>
      <c r="B5372" s="36"/>
      <c r="C5372" s="36"/>
      <c r="D5372" s="36"/>
      <c r="E5372" s="36"/>
      <c r="F5372" s="36"/>
      <c r="G5372" s="36"/>
      <c r="H5372" s="36"/>
      <c r="I5372" s="37"/>
      <c r="J5372" s="36"/>
      <c r="K5372" s="38"/>
      <c r="L5372" s="38"/>
    </row>
    <row r="5373" spans="1:12" x14ac:dyDescent="0.25">
      <c r="A5373" s="35"/>
      <c r="B5373" s="36"/>
      <c r="C5373" s="36"/>
      <c r="D5373" s="36"/>
      <c r="E5373" s="36"/>
      <c r="F5373" s="36"/>
      <c r="G5373" s="36"/>
      <c r="H5373" s="36"/>
      <c r="I5373" s="37"/>
      <c r="J5373" s="36"/>
      <c r="K5373" s="38"/>
      <c r="L5373" s="38"/>
    </row>
    <row r="5374" spans="1:12" x14ac:dyDescent="0.25">
      <c r="A5374" s="35"/>
      <c r="B5374" s="36"/>
      <c r="C5374" s="36"/>
      <c r="D5374" s="36"/>
      <c r="E5374" s="36"/>
      <c r="F5374" s="36"/>
      <c r="G5374" s="36"/>
      <c r="H5374" s="36"/>
      <c r="I5374" s="37"/>
      <c r="J5374" s="36"/>
      <c r="K5374" s="38"/>
      <c r="L5374" s="38"/>
    </row>
    <row r="5375" spans="1:12" x14ac:dyDescent="0.25">
      <c r="A5375" s="35"/>
      <c r="B5375" s="36"/>
      <c r="C5375" s="36"/>
      <c r="D5375" s="36"/>
      <c r="E5375" s="36"/>
      <c r="F5375" s="36"/>
      <c r="G5375" s="36"/>
      <c r="H5375" s="36"/>
      <c r="I5375" s="37"/>
      <c r="J5375" s="36"/>
      <c r="K5375" s="38"/>
      <c r="L5375" s="38"/>
    </row>
    <row r="5376" spans="1:12" x14ac:dyDescent="0.25">
      <c r="A5376" s="35"/>
      <c r="B5376" s="36"/>
      <c r="C5376" s="36"/>
      <c r="D5376" s="36"/>
      <c r="E5376" s="36"/>
      <c r="F5376" s="36"/>
      <c r="G5376" s="36"/>
      <c r="H5376" s="36"/>
      <c r="I5376" s="37"/>
      <c r="J5376" s="36"/>
      <c r="K5376" s="38"/>
      <c r="L5376" s="38"/>
    </row>
    <row r="5377" spans="1:12" x14ac:dyDescent="0.25">
      <c r="A5377" s="35"/>
      <c r="B5377" s="36"/>
      <c r="C5377" s="36"/>
      <c r="D5377" s="36"/>
      <c r="E5377" s="36"/>
      <c r="F5377" s="36"/>
      <c r="G5377" s="36"/>
      <c r="H5377" s="36"/>
      <c r="I5377" s="37"/>
      <c r="J5377" s="36"/>
      <c r="K5377" s="38"/>
      <c r="L5377" s="38"/>
    </row>
    <row r="5378" spans="1:12" x14ac:dyDescent="0.25">
      <c r="A5378" s="35"/>
      <c r="B5378" s="36"/>
      <c r="C5378" s="36"/>
      <c r="D5378" s="36"/>
      <c r="E5378" s="36"/>
      <c r="F5378" s="36"/>
      <c r="G5378" s="36"/>
      <c r="H5378" s="36"/>
      <c r="I5378" s="37"/>
      <c r="J5378" s="36"/>
      <c r="K5378" s="38"/>
      <c r="L5378" s="38"/>
    </row>
    <row r="5379" spans="1:12" x14ac:dyDescent="0.25">
      <c r="A5379" s="35"/>
      <c r="B5379" s="36"/>
      <c r="C5379" s="36"/>
      <c r="D5379" s="36"/>
      <c r="E5379" s="36"/>
      <c r="F5379" s="36"/>
      <c r="G5379" s="36"/>
      <c r="H5379" s="36"/>
      <c r="I5379" s="37"/>
      <c r="J5379" s="36"/>
      <c r="K5379" s="38"/>
      <c r="L5379" s="38"/>
    </row>
    <row r="5380" spans="1:12" x14ac:dyDescent="0.25">
      <c r="A5380" s="35"/>
      <c r="B5380" s="36"/>
      <c r="C5380" s="36"/>
      <c r="D5380" s="36"/>
      <c r="E5380" s="36"/>
      <c r="F5380" s="36"/>
      <c r="G5380" s="36"/>
      <c r="H5380" s="36"/>
      <c r="I5380" s="37"/>
      <c r="J5380" s="36"/>
      <c r="K5380" s="38"/>
      <c r="L5380" s="38"/>
    </row>
    <row r="5381" spans="1:12" x14ac:dyDescent="0.25">
      <c r="A5381" s="35"/>
      <c r="B5381" s="36"/>
      <c r="C5381" s="36"/>
      <c r="D5381" s="36"/>
      <c r="E5381" s="36"/>
      <c r="F5381" s="36"/>
      <c r="G5381" s="36"/>
      <c r="H5381" s="36"/>
      <c r="I5381" s="37"/>
      <c r="J5381" s="36"/>
      <c r="K5381" s="38"/>
      <c r="L5381" s="38"/>
    </row>
    <row r="5382" spans="1:12" x14ac:dyDescent="0.25">
      <c r="A5382" s="35"/>
      <c r="B5382" s="36"/>
      <c r="C5382" s="36"/>
      <c r="D5382" s="36"/>
      <c r="E5382" s="36"/>
      <c r="F5382" s="36"/>
      <c r="G5382" s="36"/>
      <c r="H5382" s="36"/>
      <c r="I5382" s="37"/>
      <c r="J5382" s="36"/>
      <c r="K5382" s="38"/>
      <c r="L5382" s="38"/>
    </row>
    <row r="5383" spans="1:12" x14ac:dyDescent="0.25">
      <c r="A5383" s="35"/>
      <c r="B5383" s="36"/>
      <c r="C5383" s="36"/>
      <c r="D5383" s="36"/>
      <c r="E5383" s="36"/>
      <c r="F5383" s="36"/>
      <c r="G5383" s="36"/>
      <c r="H5383" s="36"/>
      <c r="I5383" s="37"/>
      <c r="J5383" s="36"/>
      <c r="K5383" s="38"/>
      <c r="L5383" s="38"/>
    </row>
    <row r="5384" spans="1:12" x14ac:dyDescent="0.25">
      <c r="A5384" s="35"/>
      <c r="B5384" s="36"/>
      <c r="C5384" s="36"/>
      <c r="D5384" s="36"/>
      <c r="E5384" s="36"/>
      <c r="F5384" s="36"/>
      <c r="G5384" s="36"/>
      <c r="H5384" s="36"/>
      <c r="I5384" s="37"/>
      <c r="J5384" s="36"/>
      <c r="K5384" s="38"/>
      <c r="L5384" s="38"/>
    </row>
    <row r="5385" spans="1:12" x14ac:dyDescent="0.25">
      <c r="A5385" s="35"/>
      <c r="B5385" s="36"/>
      <c r="C5385" s="36"/>
      <c r="D5385" s="36"/>
      <c r="E5385" s="36"/>
      <c r="F5385" s="36"/>
      <c r="G5385" s="36"/>
      <c r="H5385" s="36"/>
      <c r="I5385" s="37"/>
      <c r="J5385" s="36"/>
      <c r="K5385" s="38"/>
      <c r="L5385" s="38"/>
    </row>
    <row r="5386" spans="1:12" x14ac:dyDescent="0.25">
      <c r="A5386" s="35"/>
      <c r="B5386" s="36"/>
      <c r="C5386" s="36"/>
      <c r="D5386" s="36"/>
      <c r="E5386" s="36"/>
      <c r="F5386" s="36"/>
      <c r="G5386" s="36"/>
      <c r="H5386" s="36"/>
      <c r="I5386" s="37"/>
      <c r="J5386" s="36"/>
      <c r="K5386" s="38"/>
      <c r="L5386" s="38"/>
    </row>
    <row r="5387" spans="1:12" x14ac:dyDescent="0.25">
      <c r="A5387" s="35"/>
      <c r="B5387" s="36"/>
      <c r="C5387" s="36"/>
      <c r="D5387" s="36"/>
      <c r="E5387" s="36"/>
      <c r="F5387" s="36"/>
      <c r="G5387" s="36"/>
      <c r="H5387" s="36"/>
      <c r="I5387" s="37"/>
      <c r="J5387" s="36"/>
      <c r="K5387" s="38"/>
      <c r="L5387" s="38"/>
    </row>
    <row r="5388" spans="1:12" x14ac:dyDescent="0.25">
      <c r="A5388" s="35"/>
      <c r="B5388" s="36"/>
      <c r="C5388" s="36"/>
      <c r="D5388" s="36"/>
      <c r="E5388" s="36"/>
      <c r="F5388" s="36"/>
      <c r="G5388" s="36"/>
      <c r="H5388" s="36"/>
      <c r="I5388" s="37"/>
      <c r="J5388" s="36"/>
      <c r="K5388" s="38"/>
      <c r="L5388" s="38"/>
    </row>
    <row r="5389" spans="1:12" x14ac:dyDescent="0.25">
      <c r="A5389" s="35"/>
      <c r="B5389" s="36"/>
      <c r="C5389" s="36"/>
      <c r="D5389" s="36"/>
      <c r="E5389" s="36"/>
      <c r="F5389" s="36"/>
      <c r="G5389" s="36"/>
      <c r="H5389" s="36"/>
      <c r="I5389" s="37"/>
      <c r="J5389" s="36"/>
      <c r="K5389" s="38"/>
      <c r="L5389" s="38"/>
    </row>
    <row r="5390" spans="1:12" x14ac:dyDescent="0.25">
      <c r="A5390" s="35"/>
      <c r="B5390" s="36"/>
      <c r="C5390" s="36"/>
      <c r="D5390" s="36"/>
      <c r="E5390" s="36"/>
      <c r="F5390" s="36"/>
      <c r="G5390" s="36"/>
      <c r="H5390" s="36"/>
      <c r="I5390" s="37"/>
      <c r="J5390" s="36"/>
      <c r="K5390" s="38"/>
      <c r="L5390" s="38"/>
    </row>
    <row r="5391" spans="1:12" x14ac:dyDescent="0.25">
      <c r="A5391" s="35"/>
      <c r="B5391" s="36"/>
      <c r="C5391" s="36"/>
      <c r="D5391" s="36"/>
      <c r="E5391" s="36"/>
      <c r="F5391" s="36"/>
      <c r="G5391" s="36"/>
      <c r="H5391" s="36"/>
      <c r="I5391" s="37"/>
      <c r="J5391" s="36"/>
      <c r="K5391" s="38"/>
      <c r="L5391" s="38"/>
    </row>
    <row r="5392" spans="1:12" x14ac:dyDescent="0.25">
      <c r="A5392" s="35"/>
      <c r="B5392" s="36"/>
      <c r="C5392" s="36"/>
      <c r="D5392" s="36"/>
      <c r="E5392" s="36"/>
      <c r="F5392" s="36"/>
      <c r="G5392" s="36"/>
      <c r="H5392" s="36"/>
      <c r="I5392" s="37"/>
      <c r="J5392" s="36"/>
      <c r="K5392" s="38"/>
      <c r="L5392" s="38"/>
    </row>
    <row r="5393" spans="1:12" x14ac:dyDescent="0.25">
      <c r="A5393" s="35"/>
      <c r="B5393" s="36"/>
      <c r="C5393" s="36"/>
      <c r="D5393" s="36"/>
      <c r="E5393" s="36"/>
      <c r="F5393" s="36"/>
      <c r="G5393" s="36"/>
      <c r="H5393" s="36"/>
      <c r="I5393" s="37"/>
      <c r="J5393" s="36"/>
      <c r="K5393" s="38"/>
      <c r="L5393" s="38"/>
    </row>
    <row r="5394" spans="1:12" x14ac:dyDescent="0.25">
      <c r="A5394" s="35"/>
      <c r="B5394" s="36"/>
      <c r="C5394" s="36"/>
      <c r="D5394" s="36"/>
      <c r="E5394" s="36"/>
      <c r="F5394" s="36"/>
      <c r="G5394" s="36"/>
      <c r="H5394" s="36"/>
      <c r="I5394" s="37"/>
      <c r="J5394" s="36"/>
      <c r="K5394" s="38"/>
      <c r="L5394" s="38"/>
    </row>
    <row r="5395" spans="1:12" x14ac:dyDescent="0.25">
      <c r="A5395" s="35"/>
      <c r="B5395" s="36"/>
      <c r="C5395" s="36"/>
      <c r="D5395" s="36"/>
      <c r="E5395" s="36"/>
      <c r="F5395" s="36"/>
      <c r="G5395" s="36"/>
      <c r="H5395" s="36"/>
      <c r="I5395" s="37"/>
      <c r="J5395" s="36"/>
      <c r="K5395" s="38"/>
      <c r="L5395" s="38"/>
    </row>
    <row r="5396" spans="1:12" x14ac:dyDescent="0.25">
      <c r="A5396" s="35"/>
      <c r="B5396" s="36"/>
      <c r="C5396" s="36"/>
      <c r="D5396" s="36"/>
      <c r="E5396" s="36"/>
      <c r="F5396" s="36"/>
      <c r="G5396" s="36"/>
      <c r="H5396" s="36"/>
      <c r="I5396" s="37"/>
      <c r="J5396" s="36"/>
      <c r="K5396" s="38"/>
      <c r="L5396" s="38"/>
    </row>
    <row r="5397" spans="1:12" x14ac:dyDescent="0.25">
      <c r="A5397" s="35"/>
      <c r="B5397" s="36"/>
      <c r="C5397" s="36"/>
      <c r="D5397" s="36"/>
      <c r="E5397" s="36"/>
      <c r="F5397" s="36"/>
      <c r="G5397" s="36"/>
      <c r="H5397" s="36"/>
      <c r="I5397" s="37"/>
      <c r="J5397" s="36"/>
      <c r="K5397" s="38"/>
      <c r="L5397" s="38"/>
    </row>
    <row r="5398" spans="1:12" x14ac:dyDescent="0.25">
      <c r="A5398" s="35"/>
      <c r="B5398" s="36"/>
      <c r="C5398" s="36"/>
      <c r="D5398" s="36"/>
      <c r="E5398" s="36"/>
      <c r="F5398" s="36"/>
      <c r="G5398" s="36"/>
      <c r="H5398" s="36"/>
      <c r="I5398" s="37"/>
      <c r="J5398" s="36"/>
      <c r="K5398" s="38"/>
      <c r="L5398" s="38"/>
    </row>
    <row r="5399" spans="1:12" x14ac:dyDescent="0.25">
      <c r="A5399" s="35"/>
      <c r="B5399" s="36"/>
      <c r="C5399" s="36"/>
      <c r="D5399" s="36"/>
      <c r="E5399" s="36"/>
      <c r="F5399" s="36"/>
      <c r="G5399" s="36"/>
      <c r="H5399" s="36"/>
      <c r="I5399" s="37"/>
      <c r="J5399" s="36"/>
      <c r="K5399" s="38"/>
      <c r="L5399" s="38"/>
    </row>
    <row r="5400" spans="1:12" x14ac:dyDescent="0.25">
      <c r="A5400" s="35"/>
      <c r="B5400" s="36"/>
      <c r="C5400" s="36"/>
      <c r="D5400" s="36"/>
      <c r="E5400" s="36"/>
      <c r="F5400" s="36"/>
      <c r="G5400" s="36"/>
      <c r="H5400" s="36"/>
      <c r="I5400" s="37"/>
      <c r="J5400" s="36"/>
      <c r="K5400" s="38"/>
      <c r="L5400" s="38"/>
    </row>
    <row r="5401" spans="1:12" x14ac:dyDescent="0.25">
      <c r="A5401" s="35"/>
      <c r="B5401" s="36"/>
      <c r="C5401" s="36"/>
      <c r="D5401" s="36"/>
      <c r="E5401" s="36"/>
      <c r="F5401" s="36"/>
      <c r="G5401" s="36"/>
      <c r="H5401" s="36"/>
      <c r="I5401" s="37"/>
      <c r="J5401" s="36"/>
      <c r="K5401" s="38"/>
      <c r="L5401" s="38"/>
    </row>
    <row r="5402" spans="1:12" x14ac:dyDescent="0.25">
      <c r="A5402" s="35"/>
      <c r="B5402" s="36"/>
      <c r="C5402" s="36"/>
      <c r="D5402" s="36"/>
      <c r="E5402" s="36"/>
      <c r="F5402" s="36"/>
      <c r="G5402" s="36"/>
      <c r="H5402" s="36"/>
      <c r="I5402" s="37"/>
      <c r="J5402" s="36"/>
      <c r="K5402" s="38"/>
      <c r="L5402" s="38"/>
    </row>
    <row r="5403" spans="1:12" x14ac:dyDescent="0.25">
      <c r="A5403" s="35"/>
      <c r="B5403" s="36"/>
      <c r="C5403" s="36"/>
      <c r="D5403" s="36"/>
      <c r="E5403" s="36"/>
      <c r="F5403" s="36"/>
      <c r="G5403" s="36"/>
      <c r="H5403" s="36"/>
      <c r="I5403" s="37"/>
      <c r="J5403" s="36"/>
      <c r="K5403" s="38"/>
      <c r="L5403" s="38"/>
    </row>
    <row r="5404" spans="1:12" x14ac:dyDescent="0.25">
      <c r="A5404" s="35"/>
      <c r="B5404" s="36"/>
      <c r="C5404" s="36"/>
      <c r="D5404" s="36"/>
      <c r="E5404" s="36"/>
      <c r="F5404" s="36"/>
      <c r="G5404" s="36"/>
      <c r="H5404" s="36"/>
      <c r="I5404" s="37"/>
      <c r="J5404" s="36"/>
      <c r="K5404" s="38"/>
      <c r="L5404" s="38"/>
    </row>
    <row r="5405" spans="1:12" x14ac:dyDescent="0.25">
      <c r="A5405" s="35"/>
      <c r="B5405" s="36"/>
      <c r="C5405" s="36"/>
      <c r="D5405" s="36"/>
      <c r="E5405" s="36"/>
      <c r="F5405" s="36"/>
      <c r="G5405" s="36"/>
      <c r="H5405" s="36"/>
      <c r="I5405" s="37"/>
      <c r="J5405" s="36"/>
      <c r="K5405" s="38"/>
      <c r="L5405" s="38"/>
    </row>
    <row r="5406" spans="1:12" x14ac:dyDescent="0.25">
      <c r="A5406" s="35"/>
      <c r="B5406" s="36"/>
      <c r="C5406" s="36"/>
      <c r="D5406" s="36"/>
      <c r="E5406" s="36"/>
      <c r="F5406" s="36"/>
      <c r="G5406" s="36"/>
      <c r="H5406" s="36"/>
      <c r="I5406" s="37"/>
      <c r="J5406" s="36"/>
      <c r="K5406" s="38"/>
      <c r="L5406" s="38"/>
    </row>
    <row r="5407" spans="1:12" x14ac:dyDescent="0.25">
      <c r="A5407" s="35"/>
      <c r="B5407" s="36"/>
      <c r="C5407" s="36"/>
      <c r="D5407" s="36"/>
      <c r="E5407" s="36"/>
      <c r="F5407" s="36"/>
      <c r="G5407" s="36"/>
      <c r="H5407" s="36"/>
      <c r="I5407" s="37"/>
      <c r="J5407" s="36"/>
      <c r="K5407" s="38"/>
      <c r="L5407" s="38"/>
    </row>
    <row r="5408" spans="1:12" x14ac:dyDescent="0.25">
      <c r="A5408" s="35"/>
      <c r="B5408" s="36"/>
      <c r="C5408" s="36"/>
      <c r="D5408" s="36"/>
      <c r="E5408" s="36"/>
      <c r="F5408" s="36"/>
      <c r="G5408" s="36"/>
      <c r="H5408" s="36"/>
      <c r="I5408" s="37"/>
      <c r="J5408" s="36"/>
      <c r="K5408" s="38"/>
      <c r="L5408" s="38"/>
    </row>
    <row r="5409" spans="1:12" x14ac:dyDescent="0.25">
      <c r="A5409" s="35"/>
      <c r="B5409" s="36"/>
      <c r="C5409" s="36"/>
      <c r="D5409" s="36"/>
      <c r="E5409" s="36"/>
      <c r="F5409" s="36"/>
      <c r="G5409" s="36"/>
      <c r="H5409" s="36"/>
      <c r="I5409" s="37"/>
      <c r="J5409" s="36"/>
      <c r="K5409" s="38"/>
      <c r="L5409" s="38"/>
    </row>
    <row r="5410" spans="1:12" x14ac:dyDescent="0.25">
      <c r="A5410" s="35"/>
      <c r="B5410" s="36"/>
      <c r="C5410" s="36"/>
      <c r="D5410" s="36"/>
      <c r="E5410" s="36"/>
      <c r="F5410" s="36"/>
      <c r="G5410" s="36"/>
      <c r="H5410" s="36"/>
      <c r="I5410" s="37"/>
      <c r="J5410" s="36"/>
      <c r="K5410" s="38"/>
      <c r="L5410" s="38"/>
    </row>
    <row r="5411" spans="1:12" x14ac:dyDescent="0.25">
      <c r="A5411" s="35"/>
      <c r="B5411" s="36"/>
      <c r="C5411" s="36"/>
      <c r="D5411" s="36"/>
      <c r="E5411" s="36"/>
      <c r="F5411" s="36"/>
      <c r="G5411" s="36"/>
      <c r="H5411" s="36"/>
      <c r="I5411" s="37"/>
      <c r="J5411" s="36"/>
      <c r="K5411" s="38"/>
      <c r="L5411" s="38"/>
    </row>
    <row r="5412" spans="1:12" x14ac:dyDescent="0.25">
      <c r="A5412" s="35"/>
      <c r="B5412" s="36"/>
      <c r="C5412" s="36"/>
      <c r="D5412" s="36"/>
      <c r="E5412" s="36"/>
      <c r="F5412" s="36"/>
      <c r="G5412" s="36"/>
      <c r="H5412" s="36"/>
      <c r="I5412" s="37"/>
      <c r="J5412" s="36"/>
      <c r="K5412" s="38"/>
      <c r="L5412" s="38"/>
    </row>
    <row r="5413" spans="1:12" x14ac:dyDescent="0.25">
      <c r="A5413" s="35"/>
      <c r="B5413" s="36"/>
      <c r="C5413" s="36"/>
      <c r="D5413" s="36"/>
      <c r="E5413" s="36"/>
      <c r="F5413" s="36"/>
      <c r="G5413" s="36"/>
      <c r="H5413" s="36"/>
      <c r="I5413" s="37"/>
      <c r="J5413" s="36"/>
      <c r="K5413" s="38"/>
      <c r="L5413" s="38"/>
    </row>
    <row r="5414" spans="1:12" x14ac:dyDescent="0.25">
      <c r="A5414" s="35"/>
      <c r="B5414" s="36"/>
      <c r="C5414" s="36"/>
      <c r="D5414" s="36"/>
      <c r="E5414" s="36"/>
      <c r="F5414" s="36"/>
      <c r="G5414" s="36"/>
      <c r="H5414" s="36"/>
      <c r="I5414" s="37"/>
      <c r="J5414" s="36"/>
      <c r="K5414" s="38"/>
      <c r="L5414" s="38"/>
    </row>
    <row r="5415" spans="1:12" x14ac:dyDescent="0.25">
      <c r="A5415" s="35"/>
      <c r="B5415" s="36"/>
      <c r="C5415" s="36"/>
      <c r="D5415" s="36"/>
      <c r="E5415" s="36"/>
      <c r="F5415" s="36"/>
      <c r="G5415" s="36"/>
      <c r="H5415" s="36"/>
      <c r="I5415" s="37"/>
      <c r="J5415" s="36"/>
      <c r="K5415" s="38"/>
      <c r="L5415" s="38"/>
    </row>
    <row r="5416" spans="1:12" x14ac:dyDescent="0.25">
      <c r="A5416" s="35"/>
      <c r="B5416" s="36"/>
      <c r="C5416" s="36"/>
      <c r="D5416" s="36"/>
      <c r="E5416" s="36"/>
      <c r="F5416" s="36"/>
      <c r="G5416" s="36"/>
      <c r="H5416" s="36"/>
      <c r="I5416" s="37"/>
      <c r="J5416" s="36"/>
      <c r="K5416" s="38"/>
      <c r="L5416" s="38"/>
    </row>
    <row r="5417" spans="1:12" x14ac:dyDescent="0.25">
      <c r="A5417" s="35"/>
      <c r="B5417" s="36"/>
      <c r="C5417" s="36"/>
      <c r="D5417" s="36"/>
      <c r="E5417" s="36"/>
      <c r="F5417" s="36"/>
      <c r="G5417" s="36"/>
      <c r="H5417" s="36"/>
      <c r="I5417" s="37"/>
      <c r="J5417" s="36"/>
      <c r="K5417" s="38"/>
      <c r="L5417" s="38"/>
    </row>
    <row r="5418" spans="1:12" x14ac:dyDescent="0.25">
      <c r="A5418" s="35"/>
      <c r="B5418" s="36"/>
      <c r="C5418" s="36"/>
      <c r="D5418" s="36"/>
      <c r="E5418" s="36"/>
      <c r="F5418" s="36"/>
      <c r="G5418" s="36"/>
      <c r="H5418" s="36"/>
      <c r="I5418" s="37"/>
      <c r="J5418" s="36"/>
      <c r="K5418" s="38"/>
      <c r="L5418" s="38"/>
    </row>
    <row r="5419" spans="1:12" x14ac:dyDescent="0.25">
      <c r="A5419" s="35"/>
      <c r="B5419" s="36"/>
      <c r="C5419" s="36"/>
      <c r="D5419" s="36"/>
      <c r="E5419" s="36"/>
      <c r="F5419" s="36"/>
      <c r="G5419" s="36"/>
      <c r="H5419" s="36"/>
      <c r="I5419" s="37"/>
      <c r="J5419" s="36"/>
      <c r="K5419" s="38"/>
      <c r="L5419" s="38"/>
    </row>
    <row r="5420" spans="1:12" x14ac:dyDescent="0.25">
      <c r="A5420" s="35"/>
      <c r="B5420" s="36"/>
      <c r="C5420" s="36"/>
      <c r="D5420" s="36"/>
      <c r="E5420" s="36"/>
      <c r="F5420" s="36"/>
      <c r="G5420" s="36"/>
      <c r="H5420" s="36"/>
      <c r="I5420" s="37"/>
      <c r="J5420" s="36"/>
      <c r="K5420" s="38"/>
      <c r="L5420" s="38"/>
    </row>
    <row r="5421" spans="1:12" x14ac:dyDescent="0.25">
      <c r="A5421" s="35"/>
      <c r="B5421" s="36"/>
      <c r="C5421" s="36"/>
      <c r="D5421" s="36"/>
      <c r="E5421" s="36"/>
      <c r="F5421" s="36"/>
      <c r="G5421" s="36"/>
      <c r="H5421" s="36"/>
      <c r="I5421" s="37"/>
      <c r="J5421" s="36"/>
      <c r="K5421" s="38"/>
      <c r="L5421" s="38"/>
    </row>
    <row r="5422" spans="1:12" x14ac:dyDescent="0.25">
      <c r="A5422" s="35"/>
      <c r="B5422" s="36"/>
      <c r="C5422" s="36"/>
      <c r="D5422" s="36"/>
      <c r="E5422" s="36"/>
      <c r="F5422" s="36"/>
      <c r="G5422" s="36"/>
      <c r="H5422" s="36"/>
      <c r="I5422" s="37"/>
      <c r="J5422" s="36"/>
      <c r="K5422" s="38"/>
      <c r="L5422" s="38"/>
    </row>
    <row r="5423" spans="1:12" x14ac:dyDescent="0.25">
      <c r="A5423" s="35"/>
      <c r="B5423" s="36"/>
      <c r="C5423" s="36"/>
      <c r="D5423" s="36"/>
      <c r="E5423" s="36"/>
      <c r="F5423" s="36"/>
      <c r="G5423" s="36"/>
      <c r="H5423" s="36"/>
      <c r="I5423" s="37"/>
      <c r="J5423" s="36"/>
      <c r="K5423" s="38"/>
      <c r="L5423" s="38"/>
    </row>
    <row r="5424" spans="1:12" x14ac:dyDescent="0.25">
      <c r="A5424" s="35"/>
      <c r="B5424" s="36"/>
      <c r="C5424" s="36"/>
      <c r="D5424" s="36"/>
      <c r="E5424" s="36"/>
      <c r="F5424" s="36"/>
      <c r="G5424" s="36"/>
      <c r="H5424" s="36"/>
      <c r="I5424" s="37"/>
      <c r="J5424" s="36"/>
      <c r="K5424" s="38"/>
      <c r="L5424" s="38"/>
    </row>
    <row r="5425" spans="1:12" x14ac:dyDescent="0.25">
      <c r="A5425" s="35"/>
      <c r="B5425" s="36"/>
      <c r="C5425" s="36"/>
      <c r="D5425" s="36"/>
      <c r="E5425" s="36"/>
      <c r="F5425" s="36"/>
      <c r="G5425" s="36"/>
      <c r="H5425" s="36"/>
      <c r="I5425" s="37"/>
      <c r="J5425" s="36"/>
      <c r="K5425" s="38"/>
      <c r="L5425" s="38"/>
    </row>
    <row r="5426" spans="1:12" x14ac:dyDescent="0.25">
      <c r="A5426" s="35"/>
      <c r="B5426" s="36"/>
      <c r="C5426" s="36"/>
      <c r="D5426" s="36"/>
      <c r="E5426" s="36"/>
      <c r="F5426" s="36"/>
      <c r="G5426" s="36"/>
      <c r="H5426" s="36"/>
      <c r="I5426" s="37"/>
      <c r="J5426" s="36"/>
      <c r="K5426" s="38"/>
      <c r="L5426" s="38"/>
    </row>
    <row r="5427" spans="1:12" x14ac:dyDescent="0.25">
      <c r="A5427" s="35"/>
      <c r="B5427" s="36"/>
      <c r="C5427" s="36"/>
      <c r="D5427" s="36"/>
      <c r="E5427" s="36"/>
      <c r="F5427" s="36"/>
      <c r="G5427" s="36"/>
      <c r="H5427" s="36"/>
      <c r="I5427" s="37"/>
      <c r="J5427" s="36"/>
      <c r="K5427" s="38"/>
      <c r="L5427" s="38"/>
    </row>
    <row r="5428" spans="1:12" x14ac:dyDescent="0.25">
      <c r="A5428" s="35"/>
      <c r="B5428" s="36"/>
      <c r="C5428" s="36"/>
      <c r="D5428" s="36"/>
      <c r="E5428" s="36"/>
      <c r="F5428" s="36"/>
      <c r="G5428" s="36"/>
      <c r="H5428" s="36"/>
      <c r="I5428" s="37"/>
      <c r="J5428" s="36"/>
      <c r="K5428" s="38"/>
      <c r="L5428" s="38"/>
    </row>
    <row r="5429" spans="1:12" x14ac:dyDescent="0.25">
      <c r="A5429" s="35"/>
      <c r="B5429" s="36"/>
      <c r="C5429" s="36"/>
      <c r="D5429" s="36"/>
      <c r="E5429" s="36"/>
      <c r="F5429" s="36"/>
      <c r="G5429" s="36"/>
      <c r="H5429" s="36"/>
      <c r="I5429" s="37"/>
      <c r="J5429" s="36"/>
      <c r="K5429" s="38"/>
      <c r="L5429" s="38"/>
    </row>
    <row r="5430" spans="1:12" x14ac:dyDescent="0.25">
      <c r="A5430" s="35"/>
      <c r="B5430" s="36"/>
      <c r="C5430" s="36"/>
      <c r="D5430" s="36"/>
      <c r="E5430" s="36"/>
      <c r="F5430" s="36"/>
      <c r="G5430" s="36"/>
      <c r="H5430" s="36"/>
      <c r="I5430" s="37"/>
      <c r="J5430" s="36"/>
      <c r="K5430" s="38"/>
      <c r="L5430" s="38"/>
    </row>
    <row r="5431" spans="1:12" x14ac:dyDescent="0.25">
      <c r="A5431" s="35"/>
      <c r="B5431" s="36"/>
      <c r="C5431" s="36"/>
      <c r="D5431" s="36"/>
      <c r="E5431" s="36"/>
      <c r="F5431" s="36"/>
      <c r="G5431" s="36"/>
      <c r="H5431" s="36"/>
      <c r="I5431" s="37"/>
      <c r="J5431" s="36"/>
      <c r="K5431" s="38"/>
      <c r="L5431" s="38"/>
    </row>
    <row r="5432" spans="1:12" x14ac:dyDescent="0.25">
      <c r="A5432" s="35"/>
      <c r="B5432" s="36"/>
      <c r="C5432" s="36"/>
      <c r="D5432" s="36"/>
      <c r="E5432" s="36"/>
      <c r="F5432" s="36"/>
      <c r="G5432" s="36"/>
      <c r="H5432" s="36"/>
      <c r="I5432" s="37"/>
      <c r="J5432" s="36"/>
      <c r="K5432" s="38"/>
      <c r="L5432" s="38"/>
    </row>
    <row r="5433" spans="1:12" x14ac:dyDescent="0.25">
      <c r="A5433" s="35"/>
      <c r="B5433" s="36"/>
      <c r="C5433" s="36"/>
      <c r="D5433" s="36"/>
      <c r="E5433" s="36"/>
      <c r="F5433" s="36"/>
      <c r="G5433" s="36"/>
      <c r="H5433" s="36"/>
      <c r="I5433" s="37"/>
      <c r="J5433" s="36"/>
      <c r="K5433" s="38"/>
      <c r="L5433" s="38"/>
    </row>
    <row r="5434" spans="1:12" x14ac:dyDescent="0.25">
      <c r="A5434" s="35"/>
      <c r="B5434" s="36"/>
      <c r="C5434" s="36"/>
      <c r="D5434" s="36"/>
      <c r="E5434" s="36"/>
      <c r="F5434" s="36"/>
      <c r="G5434" s="36"/>
      <c r="H5434" s="36"/>
      <c r="I5434" s="37"/>
      <c r="J5434" s="36"/>
      <c r="K5434" s="38"/>
      <c r="L5434" s="38"/>
    </row>
    <row r="5435" spans="1:12" x14ac:dyDescent="0.25">
      <c r="A5435" s="35"/>
      <c r="B5435" s="36"/>
      <c r="C5435" s="36"/>
      <c r="D5435" s="36"/>
      <c r="E5435" s="36"/>
      <c r="F5435" s="36"/>
      <c r="G5435" s="36"/>
      <c r="H5435" s="36"/>
      <c r="I5435" s="37"/>
      <c r="J5435" s="36"/>
      <c r="K5435" s="38"/>
      <c r="L5435" s="38"/>
    </row>
    <row r="5436" spans="1:12" x14ac:dyDescent="0.25">
      <c r="A5436" s="35"/>
      <c r="B5436" s="36"/>
      <c r="C5436" s="36"/>
      <c r="D5436" s="36"/>
      <c r="E5436" s="36"/>
      <c r="F5436" s="36"/>
      <c r="G5436" s="36"/>
      <c r="H5436" s="36"/>
      <c r="I5436" s="37"/>
      <c r="J5436" s="36"/>
      <c r="K5436" s="38"/>
      <c r="L5436" s="38"/>
    </row>
    <row r="5437" spans="1:12" x14ac:dyDescent="0.25">
      <c r="A5437" s="35"/>
      <c r="B5437" s="36"/>
      <c r="C5437" s="36"/>
      <c r="D5437" s="36"/>
      <c r="E5437" s="36"/>
      <c r="F5437" s="36"/>
      <c r="G5437" s="36"/>
      <c r="H5437" s="36"/>
      <c r="I5437" s="37"/>
      <c r="J5437" s="36"/>
      <c r="K5437" s="38"/>
      <c r="L5437" s="38"/>
    </row>
    <row r="5438" spans="1:12" x14ac:dyDescent="0.25">
      <c r="A5438" s="35"/>
      <c r="B5438" s="36"/>
      <c r="C5438" s="36"/>
      <c r="D5438" s="36"/>
      <c r="E5438" s="36"/>
      <c r="F5438" s="36"/>
      <c r="G5438" s="36"/>
      <c r="H5438" s="36"/>
      <c r="I5438" s="37"/>
      <c r="J5438" s="36"/>
      <c r="K5438" s="38"/>
      <c r="L5438" s="38"/>
    </row>
    <row r="5439" spans="1:12" x14ac:dyDescent="0.25">
      <c r="A5439" s="35"/>
      <c r="B5439" s="36"/>
      <c r="C5439" s="36"/>
      <c r="D5439" s="36"/>
      <c r="E5439" s="36"/>
      <c r="F5439" s="36"/>
      <c r="G5439" s="36"/>
      <c r="H5439" s="36"/>
      <c r="I5439" s="37"/>
      <c r="J5439" s="36"/>
      <c r="K5439" s="38"/>
      <c r="L5439" s="38"/>
    </row>
    <row r="5440" spans="1:12" x14ac:dyDescent="0.25">
      <c r="A5440" s="35"/>
      <c r="B5440" s="36"/>
      <c r="C5440" s="36"/>
      <c r="D5440" s="36"/>
      <c r="E5440" s="36"/>
      <c r="F5440" s="36"/>
      <c r="G5440" s="36"/>
      <c r="H5440" s="36"/>
      <c r="I5440" s="37"/>
      <c r="J5440" s="36"/>
      <c r="K5440" s="38"/>
      <c r="L5440" s="38"/>
    </row>
    <row r="5441" spans="1:12" x14ac:dyDescent="0.25">
      <c r="A5441" s="35"/>
      <c r="B5441" s="36"/>
      <c r="C5441" s="36"/>
      <c r="D5441" s="36"/>
      <c r="E5441" s="36"/>
      <c r="F5441" s="36"/>
      <c r="G5441" s="36"/>
      <c r="H5441" s="36"/>
      <c r="I5441" s="37"/>
      <c r="J5441" s="36"/>
      <c r="K5441" s="38"/>
      <c r="L5441" s="38"/>
    </row>
    <row r="5442" spans="1:12" x14ac:dyDescent="0.25">
      <c r="A5442" s="35"/>
      <c r="B5442" s="36"/>
      <c r="C5442" s="36"/>
      <c r="D5442" s="36"/>
      <c r="E5442" s="36"/>
      <c r="F5442" s="36"/>
      <c r="G5442" s="36"/>
      <c r="H5442" s="36"/>
      <c r="I5442" s="37"/>
      <c r="J5442" s="36"/>
      <c r="K5442" s="38"/>
      <c r="L5442" s="38"/>
    </row>
    <row r="5443" spans="1:12" x14ac:dyDescent="0.25">
      <c r="A5443" s="35"/>
      <c r="B5443" s="36"/>
      <c r="C5443" s="36"/>
      <c r="D5443" s="36"/>
      <c r="E5443" s="36"/>
      <c r="F5443" s="36"/>
      <c r="G5443" s="36"/>
      <c r="H5443" s="36"/>
      <c r="I5443" s="37"/>
      <c r="J5443" s="36"/>
      <c r="K5443" s="38"/>
      <c r="L5443" s="38"/>
    </row>
    <row r="5444" spans="1:12" x14ac:dyDescent="0.25">
      <c r="A5444" s="35"/>
      <c r="B5444" s="36"/>
      <c r="C5444" s="36"/>
      <c r="D5444" s="36"/>
      <c r="E5444" s="36"/>
      <c r="F5444" s="36"/>
      <c r="G5444" s="36"/>
      <c r="H5444" s="36"/>
      <c r="I5444" s="37"/>
      <c r="J5444" s="36"/>
      <c r="K5444" s="38"/>
      <c r="L5444" s="38"/>
    </row>
    <row r="5445" spans="1:12" x14ac:dyDescent="0.25">
      <c r="A5445" s="35"/>
      <c r="B5445" s="36"/>
      <c r="C5445" s="36"/>
      <c r="D5445" s="36"/>
      <c r="E5445" s="36"/>
      <c r="F5445" s="36"/>
      <c r="G5445" s="36"/>
      <c r="H5445" s="36"/>
      <c r="I5445" s="37"/>
      <c r="J5445" s="36"/>
      <c r="K5445" s="38"/>
      <c r="L5445" s="38"/>
    </row>
    <row r="5446" spans="1:12" x14ac:dyDescent="0.25">
      <c r="A5446" s="35"/>
      <c r="B5446" s="36"/>
      <c r="C5446" s="36"/>
      <c r="D5446" s="36"/>
      <c r="E5446" s="36"/>
      <c r="F5446" s="36"/>
      <c r="G5446" s="36"/>
      <c r="H5446" s="36"/>
      <c r="I5446" s="37"/>
      <c r="J5446" s="36"/>
      <c r="K5446" s="38"/>
      <c r="L5446" s="38"/>
    </row>
    <row r="5447" spans="1:12" x14ac:dyDescent="0.25">
      <c r="A5447" s="35"/>
      <c r="B5447" s="36"/>
      <c r="C5447" s="36"/>
      <c r="D5447" s="36"/>
      <c r="E5447" s="36"/>
      <c r="F5447" s="36"/>
      <c r="G5447" s="36"/>
      <c r="H5447" s="36"/>
      <c r="I5447" s="37"/>
      <c r="J5447" s="36"/>
      <c r="K5447" s="38"/>
      <c r="L5447" s="38"/>
    </row>
    <row r="5448" spans="1:12" x14ac:dyDescent="0.25">
      <c r="A5448" s="35"/>
      <c r="B5448" s="36"/>
      <c r="C5448" s="36"/>
      <c r="D5448" s="36"/>
      <c r="E5448" s="36"/>
      <c r="F5448" s="36"/>
      <c r="G5448" s="36"/>
      <c r="H5448" s="36"/>
      <c r="I5448" s="37"/>
      <c r="J5448" s="36"/>
      <c r="K5448" s="38"/>
      <c r="L5448" s="38"/>
    </row>
    <row r="5449" spans="1:12" x14ac:dyDescent="0.25">
      <c r="A5449" s="35"/>
      <c r="B5449" s="36"/>
      <c r="C5449" s="36"/>
      <c r="D5449" s="36"/>
      <c r="E5449" s="36"/>
      <c r="F5449" s="36"/>
      <c r="G5449" s="36"/>
      <c r="H5449" s="36"/>
      <c r="I5449" s="37"/>
      <c r="J5449" s="36"/>
      <c r="K5449" s="38"/>
      <c r="L5449" s="38"/>
    </row>
    <row r="5450" spans="1:12" x14ac:dyDescent="0.25">
      <c r="A5450" s="35"/>
      <c r="B5450" s="36"/>
      <c r="C5450" s="36"/>
      <c r="D5450" s="36"/>
      <c r="E5450" s="36"/>
      <c r="F5450" s="36"/>
      <c r="G5450" s="36"/>
      <c r="H5450" s="36"/>
      <c r="I5450" s="37"/>
      <c r="J5450" s="36"/>
      <c r="K5450" s="38"/>
      <c r="L5450" s="38"/>
    </row>
    <row r="5451" spans="1:12" x14ac:dyDescent="0.25">
      <c r="A5451" s="35"/>
      <c r="B5451" s="36"/>
      <c r="C5451" s="36"/>
      <c r="D5451" s="36"/>
      <c r="E5451" s="36"/>
      <c r="F5451" s="36"/>
      <c r="G5451" s="36"/>
      <c r="H5451" s="36"/>
      <c r="I5451" s="37"/>
      <c r="J5451" s="36"/>
      <c r="K5451" s="38"/>
      <c r="L5451" s="38"/>
    </row>
    <row r="5452" spans="1:12" x14ac:dyDescent="0.25">
      <c r="A5452" s="35"/>
      <c r="B5452" s="36"/>
      <c r="C5452" s="36"/>
      <c r="D5452" s="36"/>
      <c r="E5452" s="36"/>
      <c r="F5452" s="36"/>
      <c r="G5452" s="36"/>
      <c r="H5452" s="36"/>
      <c r="I5452" s="37"/>
      <c r="J5452" s="36"/>
      <c r="K5452" s="38"/>
      <c r="L5452" s="38"/>
    </row>
    <row r="5453" spans="1:12" x14ac:dyDescent="0.25">
      <c r="A5453" s="35"/>
      <c r="B5453" s="36"/>
      <c r="C5453" s="36"/>
      <c r="D5453" s="36"/>
      <c r="E5453" s="36"/>
      <c r="F5453" s="36"/>
      <c r="G5453" s="36"/>
      <c r="H5453" s="36"/>
      <c r="I5453" s="37"/>
      <c r="J5453" s="36"/>
      <c r="K5453" s="38"/>
      <c r="L5453" s="38"/>
    </row>
    <row r="5454" spans="1:12" x14ac:dyDescent="0.25">
      <c r="A5454" s="35"/>
      <c r="B5454" s="36"/>
      <c r="C5454" s="36"/>
      <c r="D5454" s="36"/>
      <c r="E5454" s="36"/>
      <c r="F5454" s="36"/>
      <c r="G5454" s="36"/>
      <c r="H5454" s="36"/>
      <c r="I5454" s="37"/>
      <c r="J5454" s="36"/>
      <c r="K5454" s="38"/>
      <c r="L5454" s="38"/>
    </row>
    <row r="5455" spans="1:12" x14ac:dyDescent="0.25">
      <c r="A5455" s="35"/>
      <c r="B5455" s="36"/>
      <c r="C5455" s="36"/>
      <c r="D5455" s="36"/>
      <c r="E5455" s="36"/>
      <c r="F5455" s="36"/>
      <c r="G5455" s="36"/>
      <c r="H5455" s="36"/>
      <c r="I5455" s="37"/>
      <c r="J5455" s="36"/>
      <c r="K5455" s="38"/>
      <c r="L5455" s="38"/>
    </row>
    <row r="5456" spans="1:12" x14ac:dyDescent="0.25">
      <c r="A5456" s="35"/>
      <c r="B5456" s="36"/>
      <c r="C5456" s="36"/>
      <c r="D5456" s="36"/>
      <c r="E5456" s="36"/>
      <c r="F5456" s="36"/>
      <c r="G5456" s="36"/>
      <c r="H5456" s="36"/>
      <c r="I5456" s="37"/>
      <c r="J5456" s="36"/>
      <c r="K5456" s="38"/>
      <c r="L5456" s="38"/>
    </row>
    <row r="5457" spans="1:12" x14ac:dyDescent="0.25">
      <c r="A5457" s="35"/>
      <c r="B5457" s="36"/>
      <c r="C5457" s="36"/>
      <c r="D5457" s="36"/>
      <c r="E5457" s="36"/>
      <c r="F5457" s="36"/>
      <c r="G5457" s="36"/>
      <c r="H5457" s="36"/>
      <c r="I5457" s="37"/>
      <c r="J5457" s="36"/>
      <c r="K5457" s="38"/>
      <c r="L5457" s="38"/>
    </row>
    <row r="5458" spans="1:12" x14ac:dyDescent="0.25">
      <c r="A5458" s="35"/>
      <c r="B5458" s="36"/>
      <c r="C5458" s="36"/>
      <c r="D5458" s="36"/>
      <c r="E5458" s="36"/>
      <c r="F5458" s="36"/>
      <c r="G5458" s="36"/>
      <c r="H5458" s="36"/>
      <c r="I5458" s="37"/>
      <c r="J5458" s="36"/>
      <c r="K5458" s="38"/>
      <c r="L5458" s="38"/>
    </row>
    <row r="5459" spans="1:12" x14ac:dyDescent="0.25">
      <c r="A5459" s="35"/>
      <c r="B5459" s="36"/>
      <c r="C5459" s="36"/>
      <c r="D5459" s="36"/>
      <c r="E5459" s="36"/>
      <c r="F5459" s="36"/>
      <c r="G5459" s="36"/>
      <c r="H5459" s="36"/>
      <c r="I5459" s="37"/>
      <c r="J5459" s="36"/>
      <c r="K5459" s="38"/>
      <c r="L5459" s="38"/>
    </row>
    <row r="5460" spans="1:12" x14ac:dyDescent="0.25">
      <c r="A5460" s="35"/>
      <c r="B5460" s="36"/>
      <c r="C5460" s="36"/>
      <c r="D5460" s="36"/>
      <c r="E5460" s="36"/>
      <c r="F5460" s="36"/>
      <c r="G5460" s="36"/>
      <c r="H5460" s="36"/>
      <c r="I5460" s="37"/>
      <c r="J5460" s="36"/>
      <c r="K5460" s="38"/>
      <c r="L5460" s="38"/>
    </row>
    <row r="5461" spans="1:12" x14ac:dyDescent="0.25">
      <c r="A5461" s="35"/>
      <c r="B5461" s="36"/>
      <c r="C5461" s="36"/>
      <c r="D5461" s="36"/>
      <c r="E5461" s="36"/>
      <c r="F5461" s="36"/>
      <c r="G5461" s="36"/>
      <c r="H5461" s="36"/>
      <c r="I5461" s="37"/>
      <c r="J5461" s="36"/>
      <c r="K5461" s="38"/>
      <c r="L5461" s="38"/>
    </row>
    <row r="5462" spans="1:12" x14ac:dyDescent="0.25">
      <c r="A5462" s="35"/>
      <c r="B5462" s="36"/>
      <c r="C5462" s="36"/>
      <c r="D5462" s="36"/>
      <c r="E5462" s="36"/>
      <c r="F5462" s="36"/>
      <c r="G5462" s="36"/>
      <c r="H5462" s="36"/>
      <c r="I5462" s="37"/>
      <c r="J5462" s="36"/>
      <c r="K5462" s="38"/>
      <c r="L5462" s="38"/>
    </row>
    <row r="5463" spans="1:12" x14ac:dyDescent="0.25">
      <c r="A5463" s="35"/>
      <c r="B5463" s="36"/>
      <c r="C5463" s="36"/>
      <c r="D5463" s="36"/>
      <c r="E5463" s="36"/>
      <c r="F5463" s="36"/>
      <c r="G5463" s="36"/>
      <c r="H5463" s="36"/>
      <c r="I5463" s="37"/>
      <c r="J5463" s="36"/>
      <c r="K5463" s="38"/>
      <c r="L5463" s="38"/>
    </row>
    <row r="5464" spans="1:12" x14ac:dyDescent="0.25">
      <c r="A5464" s="35"/>
      <c r="B5464" s="36"/>
      <c r="C5464" s="36"/>
      <c r="D5464" s="36"/>
      <c r="E5464" s="36"/>
      <c r="F5464" s="36"/>
      <c r="G5464" s="36"/>
      <c r="H5464" s="36"/>
      <c r="I5464" s="37"/>
      <c r="J5464" s="36"/>
      <c r="K5464" s="38"/>
      <c r="L5464" s="38"/>
    </row>
    <row r="5465" spans="1:12" x14ac:dyDescent="0.25">
      <c r="A5465" s="35"/>
      <c r="B5465" s="36"/>
      <c r="C5465" s="36"/>
      <c r="D5465" s="36"/>
      <c r="E5465" s="36"/>
      <c r="F5465" s="36"/>
      <c r="G5465" s="36"/>
      <c r="H5465" s="36"/>
      <c r="I5465" s="37"/>
      <c r="J5465" s="36"/>
      <c r="K5465" s="38"/>
      <c r="L5465" s="38"/>
    </row>
    <row r="5466" spans="1:12" x14ac:dyDescent="0.25">
      <c r="A5466" s="35"/>
      <c r="B5466" s="36"/>
      <c r="C5466" s="36"/>
      <c r="D5466" s="36"/>
      <c r="E5466" s="36"/>
      <c r="F5466" s="36"/>
      <c r="G5466" s="36"/>
      <c r="H5466" s="36"/>
      <c r="I5466" s="37"/>
      <c r="J5466" s="36"/>
      <c r="K5466" s="38"/>
      <c r="L5466" s="38"/>
    </row>
    <row r="5467" spans="1:12" x14ac:dyDescent="0.25">
      <c r="A5467" s="35"/>
      <c r="B5467" s="36"/>
      <c r="C5467" s="36"/>
      <c r="D5467" s="36"/>
      <c r="E5467" s="36"/>
      <c r="F5467" s="36"/>
      <c r="G5467" s="36"/>
      <c r="H5467" s="36"/>
      <c r="I5467" s="37"/>
      <c r="J5467" s="36"/>
      <c r="K5467" s="38"/>
      <c r="L5467" s="38"/>
    </row>
    <row r="5468" spans="1:12" x14ac:dyDescent="0.25">
      <c r="A5468" s="35"/>
      <c r="B5468" s="36"/>
      <c r="C5468" s="36"/>
      <c r="D5468" s="36"/>
      <c r="E5468" s="36"/>
      <c r="F5468" s="36"/>
      <c r="G5468" s="36"/>
      <c r="H5468" s="36"/>
      <c r="I5468" s="37"/>
      <c r="J5468" s="36"/>
      <c r="K5468" s="38"/>
      <c r="L5468" s="38"/>
    </row>
    <row r="5469" spans="1:12" x14ac:dyDescent="0.25">
      <c r="A5469" s="35"/>
      <c r="B5469" s="36"/>
      <c r="C5469" s="36"/>
      <c r="D5469" s="36"/>
      <c r="E5469" s="36"/>
      <c r="F5469" s="36"/>
      <c r="G5469" s="36"/>
      <c r="H5469" s="36"/>
      <c r="I5469" s="37"/>
      <c r="J5469" s="36"/>
      <c r="K5469" s="38"/>
      <c r="L5469" s="38"/>
    </row>
    <row r="5470" spans="1:12" x14ac:dyDescent="0.25">
      <c r="A5470" s="35"/>
      <c r="B5470" s="36"/>
      <c r="C5470" s="36"/>
      <c r="D5470" s="36"/>
      <c r="E5470" s="36"/>
      <c r="F5470" s="36"/>
      <c r="G5470" s="36"/>
      <c r="H5470" s="36"/>
      <c r="I5470" s="37"/>
      <c r="J5470" s="36"/>
      <c r="K5470" s="38"/>
      <c r="L5470" s="38"/>
    </row>
    <row r="5471" spans="1:12" x14ac:dyDescent="0.25">
      <c r="A5471" s="35"/>
      <c r="B5471" s="36"/>
      <c r="C5471" s="36"/>
      <c r="D5471" s="36"/>
      <c r="E5471" s="36"/>
      <c r="F5471" s="36"/>
      <c r="G5471" s="36"/>
      <c r="H5471" s="36"/>
      <c r="I5471" s="37"/>
      <c r="J5471" s="36"/>
      <c r="K5471" s="38"/>
      <c r="L5471" s="38"/>
    </row>
    <row r="5472" spans="1:12" x14ac:dyDescent="0.25">
      <c r="A5472" s="35"/>
      <c r="B5472" s="36"/>
      <c r="C5472" s="36"/>
      <c r="D5472" s="36"/>
      <c r="E5472" s="36"/>
      <c r="F5472" s="36"/>
      <c r="G5472" s="36"/>
      <c r="H5472" s="36"/>
      <c r="I5472" s="37"/>
      <c r="J5472" s="36"/>
      <c r="K5472" s="38"/>
      <c r="L5472" s="38"/>
    </row>
    <row r="5473" spans="1:12" x14ac:dyDescent="0.25">
      <c r="A5473" s="35"/>
      <c r="B5473" s="36"/>
      <c r="C5473" s="36"/>
      <c r="D5473" s="36"/>
      <c r="E5473" s="36"/>
      <c r="F5473" s="36"/>
      <c r="G5473" s="36"/>
      <c r="H5473" s="36"/>
      <c r="I5473" s="37"/>
      <c r="J5473" s="36"/>
      <c r="K5473" s="38"/>
      <c r="L5473" s="38"/>
    </row>
    <row r="5474" spans="1:12" x14ac:dyDescent="0.25">
      <c r="A5474" s="35"/>
      <c r="B5474" s="36"/>
      <c r="C5474" s="36"/>
      <c r="D5474" s="36"/>
      <c r="E5474" s="36"/>
      <c r="F5474" s="36"/>
      <c r="G5474" s="36"/>
      <c r="H5474" s="36"/>
      <c r="I5474" s="37"/>
      <c r="J5474" s="36"/>
      <c r="K5474" s="38"/>
      <c r="L5474" s="38"/>
    </row>
    <row r="5475" spans="1:12" x14ac:dyDescent="0.25">
      <c r="A5475" s="35"/>
      <c r="B5475" s="36"/>
      <c r="C5475" s="36"/>
      <c r="D5475" s="36"/>
      <c r="E5475" s="36"/>
      <c r="F5475" s="36"/>
      <c r="G5475" s="36"/>
      <c r="H5475" s="36"/>
      <c r="I5475" s="37"/>
      <c r="J5475" s="36"/>
      <c r="K5475" s="38"/>
      <c r="L5475" s="38"/>
    </row>
    <row r="5476" spans="1:12" x14ac:dyDescent="0.25">
      <c r="A5476" s="35"/>
      <c r="B5476" s="36"/>
      <c r="C5476" s="36"/>
      <c r="D5476" s="36"/>
      <c r="E5476" s="36"/>
      <c r="F5476" s="36"/>
      <c r="G5476" s="36"/>
      <c r="H5476" s="36"/>
      <c r="I5476" s="37"/>
      <c r="J5476" s="36"/>
      <c r="K5476" s="38"/>
      <c r="L5476" s="38"/>
    </row>
    <row r="5477" spans="1:12" x14ac:dyDescent="0.25">
      <c r="A5477" s="35"/>
      <c r="B5477" s="36"/>
      <c r="C5477" s="36"/>
      <c r="D5477" s="36"/>
      <c r="E5477" s="36"/>
      <c r="F5477" s="36"/>
      <c r="G5477" s="36"/>
      <c r="H5477" s="36"/>
      <c r="I5477" s="37"/>
      <c r="J5477" s="36"/>
      <c r="K5477" s="38"/>
      <c r="L5477" s="38"/>
    </row>
    <row r="5478" spans="1:12" x14ac:dyDescent="0.25">
      <c r="A5478" s="35"/>
      <c r="B5478" s="36"/>
      <c r="C5478" s="36"/>
      <c r="D5478" s="36"/>
      <c r="E5478" s="36"/>
      <c r="F5478" s="36"/>
      <c r="G5478" s="36"/>
      <c r="H5478" s="36"/>
      <c r="I5478" s="37"/>
      <c r="J5478" s="36"/>
      <c r="K5478" s="38"/>
      <c r="L5478" s="38"/>
    </row>
    <row r="5479" spans="1:12" x14ac:dyDescent="0.25">
      <c r="A5479" s="35"/>
      <c r="B5479" s="36"/>
      <c r="C5479" s="36"/>
      <c r="D5479" s="36"/>
      <c r="E5479" s="36"/>
      <c r="F5479" s="36"/>
      <c r="G5479" s="36"/>
      <c r="H5479" s="36"/>
      <c r="I5479" s="37"/>
      <c r="J5479" s="36"/>
      <c r="K5479" s="38"/>
      <c r="L5479" s="38"/>
    </row>
    <row r="5480" spans="1:12" x14ac:dyDescent="0.25">
      <c r="A5480" s="35"/>
      <c r="B5480" s="36"/>
      <c r="C5480" s="36"/>
      <c r="D5480" s="36"/>
      <c r="E5480" s="36"/>
      <c r="F5480" s="36"/>
      <c r="G5480" s="36"/>
      <c r="H5480" s="36"/>
      <c r="I5480" s="37"/>
      <c r="J5480" s="36"/>
      <c r="K5480" s="38"/>
      <c r="L5480" s="38"/>
    </row>
    <row r="5481" spans="1:12" x14ac:dyDescent="0.25">
      <c r="A5481" s="35"/>
      <c r="B5481" s="36"/>
      <c r="C5481" s="36"/>
      <c r="D5481" s="36"/>
      <c r="E5481" s="36"/>
      <c r="F5481" s="36"/>
      <c r="G5481" s="36"/>
      <c r="H5481" s="36"/>
      <c r="I5481" s="37"/>
      <c r="J5481" s="36"/>
      <c r="K5481" s="38"/>
      <c r="L5481" s="38"/>
    </row>
    <row r="5482" spans="1:12" x14ac:dyDescent="0.25">
      <c r="A5482" s="35"/>
      <c r="B5482" s="36"/>
      <c r="C5482" s="36"/>
      <c r="D5482" s="36"/>
      <c r="E5482" s="36"/>
      <c r="F5482" s="36"/>
      <c r="G5482" s="36"/>
      <c r="H5482" s="36"/>
      <c r="I5482" s="37"/>
      <c r="J5482" s="36"/>
      <c r="K5482" s="38"/>
      <c r="L5482" s="38"/>
    </row>
    <row r="5483" spans="1:12" x14ac:dyDescent="0.25">
      <c r="A5483" s="35"/>
      <c r="B5483" s="36"/>
      <c r="C5483" s="36"/>
      <c r="D5483" s="36"/>
      <c r="E5483" s="36"/>
      <c r="F5483" s="36"/>
      <c r="G5483" s="36"/>
      <c r="H5483" s="36"/>
      <c r="I5483" s="37"/>
      <c r="J5483" s="36"/>
      <c r="K5483" s="38"/>
      <c r="L5483" s="38"/>
    </row>
    <row r="5484" spans="1:12" x14ac:dyDescent="0.25">
      <c r="A5484" s="35"/>
      <c r="B5484" s="36"/>
      <c r="C5484" s="36"/>
      <c r="D5484" s="36"/>
      <c r="E5484" s="36"/>
      <c r="F5484" s="36"/>
      <c r="G5484" s="36"/>
      <c r="H5484" s="36"/>
      <c r="I5484" s="37"/>
      <c r="J5484" s="36"/>
      <c r="K5484" s="38"/>
      <c r="L5484" s="38"/>
    </row>
    <row r="5485" spans="1:12" x14ac:dyDescent="0.25">
      <c r="A5485" s="35"/>
      <c r="B5485" s="36"/>
      <c r="C5485" s="36"/>
      <c r="D5485" s="36"/>
      <c r="E5485" s="36"/>
      <c r="F5485" s="36"/>
      <c r="G5485" s="36"/>
      <c r="H5485" s="36"/>
      <c r="I5485" s="37"/>
      <c r="J5485" s="36"/>
      <c r="K5485" s="38"/>
      <c r="L5485" s="38"/>
    </row>
    <row r="5486" spans="1:12" x14ac:dyDescent="0.25">
      <c r="A5486" s="35"/>
      <c r="B5486" s="36"/>
      <c r="C5486" s="36"/>
      <c r="D5486" s="36"/>
      <c r="E5486" s="36"/>
      <c r="F5486" s="36"/>
      <c r="G5486" s="36"/>
      <c r="H5486" s="36"/>
      <c r="I5486" s="37"/>
      <c r="J5486" s="36"/>
      <c r="K5486" s="38"/>
      <c r="L5486" s="38"/>
    </row>
    <row r="5487" spans="1:12" x14ac:dyDescent="0.25">
      <c r="A5487" s="35"/>
      <c r="B5487" s="36"/>
      <c r="C5487" s="36"/>
      <c r="D5487" s="36"/>
      <c r="E5487" s="36"/>
      <c r="F5487" s="36"/>
      <c r="G5487" s="36"/>
      <c r="H5487" s="36"/>
      <c r="I5487" s="37"/>
      <c r="J5487" s="36"/>
      <c r="K5487" s="38"/>
      <c r="L5487" s="38"/>
    </row>
    <row r="5488" spans="1:12" x14ac:dyDescent="0.25">
      <c r="A5488" s="35"/>
      <c r="B5488" s="36"/>
      <c r="C5488" s="36"/>
      <c r="D5488" s="36"/>
      <c r="E5488" s="36"/>
      <c r="F5488" s="36"/>
      <c r="G5488" s="36"/>
      <c r="H5488" s="36"/>
      <c r="I5488" s="37"/>
      <c r="J5488" s="36"/>
      <c r="K5488" s="38"/>
      <c r="L5488" s="38"/>
    </row>
    <row r="5489" spans="1:12" x14ac:dyDescent="0.25">
      <c r="A5489" s="35"/>
      <c r="B5489" s="36"/>
      <c r="C5489" s="36"/>
      <c r="D5489" s="36"/>
      <c r="E5489" s="36"/>
      <c r="F5489" s="36"/>
      <c r="G5489" s="36"/>
      <c r="H5489" s="36"/>
      <c r="I5489" s="37"/>
      <c r="J5489" s="36"/>
      <c r="K5489" s="38"/>
      <c r="L5489" s="38"/>
    </row>
    <row r="5490" spans="1:12" x14ac:dyDescent="0.25">
      <c r="A5490" s="35"/>
      <c r="B5490" s="36"/>
      <c r="C5490" s="36"/>
      <c r="D5490" s="36"/>
      <c r="E5490" s="36"/>
      <c r="F5490" s="36"/>
      <c r="G5490" s="36"/>
      <c r="H5490" s="36"/>
      <c r="I5490" s="37"/>
      <c r="J5490" s="36"/>
      <c r="K5490" s="38"/>
      <c r="L5490" s="38"/>
    </row>
    <row r="5491" spans="1:12" x14ac:dyDescent="0.25">
      <c r="A5491" s="35"/>
      <c r="B5491" s="36"/>
      <c r="C5491" s="36"/>
      <c r="D5491" s="36"/>
      <c r="E5491" s="36"/>
      <c r="F5491" s="36"/>
      <c r="G5491" s="36"/>
      <c r="H5491" s="36"/>
      <c r="I5491" s="37"/>
      <c r="J5491" s="36"/>
      <c r="K5491" s="38"/>
      <c r="L5491" s="38"/>
    </row>
    <row r="5492" spans="1:12" x14ac:dyDescent="0.25">
      <c r="A5492" s="35"/>
      <c r="B5492" s="36"/>
      <c r="C5492" s="36"/>
      <c r="D5492" s="36"/>
      <c r="E5492" s="36"/>
      <c r="F5492" s="36"/>
      <c r="G5492" s="36"/>
      <c r="H5492" s="36"/>
      <c r="I5492" s="37"/>
      <c r="J5492" s="36"/>
      <c r="K5492" s="38"/>
      <c r="L5492" s="38"/>
    </row>
    <row r="5493" spans="1:12" x14ac:dyDescent="0.25">
      <c r="A5493" s="35"/>
      <c r="B5493" s="36"/>
      <c r="C5493" s="36"/>
      <c r="D5493" s="36"/>
      <c r="E5493" s="36"/>
      <c r="F5493" s="36"/>
      <c r="G5493" s="36"/>
      <c r="H5493" s="36"/>
      <c r="I5493" s="37"/>
      <c r="J5493" s="36"/>
      <c r="K5493" s="38"/>
      <c r="L5493" s="38"/>
    </row>
    <row r="5494" spans="1:12" x14ac:dyDescent="0.25">
      <c r="A5494" s="35"/>
      <c r="B5494" s="36"/>
      <c r="C5494" s="36"/>
      <c r="D5494" s="36"/>
      <c r="E5494" s="36"/>
      <c r="F5494" s="36"/>
      <c r="G5494" s="36"/>
      <c r="H5494" s="36"/>
      <c r="I5494" s="37"/>
      <c r="J5494" s="36"/>
      <c r="K5494" s="38"/>
      <c r="L5494" s="38"/>
    </row>
    <row r="5495" spans="1:12" x14ac:dyDescent="0.25">
      <c r="A5495" s="35"/>
      <c r="B5495" s="36"/>
      <c r="C5495" s="36"/>
      <c r="D5495" s="36"/>
      <c r="E5495" s="36"/>
      <c r="F5495" s="36"/>
      <c r="G5495" s="36"/>
      <c r="H5495" s="36"/>
      <c r="I5495" s="37"/>
      <c r="J5495" s="36"/>
      <c r="K5495" s="38"/>
      <c r="L5495" s="38"/>
    </row>
    <row r="5496" spans="1:12" x14ac:dyDescent="0.25">
      <c r="A5496" s="35"/>
      <c r="B5496" s="36"/>
      <c r="C5496" s="36"/>
      <c r="D5496" s="36"/>
      <c r="E5496" s="36"/>
      <c r="F5496" s="36"/>
      <c r="G5496" s="36"/>
      <c r="H5496" s="36"/>
      <c r="I5496" s="37"/>
      <c r="J5496" s="36"/>
      <c r="K5496" s="38"/>
      <c r="L5496" s="38"/>
    </row>
    <row r="5497" spans="1:12" x14ac:dyDescent="0.25">
      <c r="A5497" s="35"/>
      <c r="B5497" s="36"/>
      <c r="C5497" s="36"/>
      <c r="D5497" s="36"/>
      <c r="E5497" s="36"/>
      <c r="F5497" s="36"/>
      <c r="G5497" s="36"/>
      <c r="H5497" s="36"/>
      <c r="I5497" s="37"/>
      <c r="J5497" s="36"/>
      <c r="K5497" s="38"/>
      <c r="L5497" s="38"/>
    </row>
    <row r="5498" spans="1:12" x14ac:dyDescent="0.25">
      <c r="A5498" s="35"/>
      <c r="B5498" s="36"/>
      <c r="C5498" s="36"/>
      <c r="D5498" s="36"/>
      <c r="E5498" s="36"/>
      <c r="F5498" s="36"/>
      <c r="G5498" s="36"/>
      <c r="H5498" s="36"/>
      <c r="I5498" s="37"/>
      <c r="J5498" s="36"/>
      <c r="K5498" s="38"/>
      <c r="L5498" s="38"/>
    </row>
    <row r="5499" spans="1:12" x14ac:dyDescent="0.25">
      <c r="A5499" s="35"/>
      <c r="B5499" s="36"/>
      <c r="C5499" s="36"/>
      <c r="D5499" s="36"/>
      <c r="E5499" s="36"/>
      <c r="F5499" s="36"/>
      <c r="G5499" s="36"/>
      <c r="H5499" s="36"/>
      <c r="I5499" s="37"/>
      <c r="J5499" s="36"/>
      <c r="K5499" s="38"/>
      <c r="L5499" s="38"/>
    </row>
    <row r="5500" spans="1:12" x14ac:dyDescent="0.25">
      <c r="A5500" s="35"/>
      <c r="B5500" s="36"/>
      <c r="C5500" s="36"/>
      <c r="D5500" s="36"/>
      <c r="E5500" s="36"/>
      <c r="F5500" s="36"/>
      <c r="G5500" s="36"/>
      <c r="H5500" s="36"/>
      <c r="I5500" s="37"/>
      <c r="J5500" s="36"/>
      <c r="K5500" s="38"/>
      <c r="L5500" s="38"/>
    </row>
    <row r="5501" spans="1:12" x14ac:dyDescent="0.25">
      <c r="A5501" s="35"/>
      <c r="B5501" s="36"/>
      <c r="C5501" s="36"/>
      <c r="D5501" s="36"/>
      <c r="E5501" s="36"/>
      <c r="F5501" s="36"/>
      <c r="G5501" s="36"/>
      <c r="H5501" s="36"/>
      <c r="I5501" s="37"/>
      <c r="J5501" s="36"/>
      <c r="K5501" s="38"/>
      <c r="L5501" s="38"/>
    </row>
    <row r="5502" spans="1:12" x14ac:dyDescent="0.25">
      <c r="A5502" s="35"/>
      <c r="B5502" s="36"/>
      <c r="C5502" s="36"/>
      <c r="D5502" s="36"/>
      <c r="E5502" s="36"/>
      <c r="F5502" s="36"/>
      <c r="G5502" s="36"/>
      <c r="H5502" s="36"/>
      <c r="I5502" s="37"/>
      <c r="J5502" s="36"/>
      <c r="K5502" s="38"/>
      <c r="L5502" s="38"/>
    </row>
    <row r="5503" spans="1:12" x14ac:dyDescent="0.25">
      <c r="A5503" s="35"/>
      <c r="B5503" s="36"/>
      <c r="C5503" s="36"/>
      <c r="D5503" s="36"/>
      <c r="E5503" s="36"/>
      <c r="F5503" s="36"/>
      <c r="G5503" s="36"/>
      <c r="H5503" s="36"/>
      <c r="I5503" s="37"/>
      <c r="J5503" s="36"/>
      <c r="K5503" s="38"/>
      <c r="L5503" s="38"/>
    </row>
    <row r="5504" spans="1:12" x14ac:dyDescent="0.25">
      <c r="A5504" s="35"/>
      <c r="B5504" s="36"/>
      <c r="C5504" s="36"/>
      <c r="D5504" s="36"/>
      <c r="E5504" s="36"/>
      <c r="F5504" s="36"/>
      <c r="G5504" s="36"/>
      <c r="H5504" s="36"/>
      <c r="I5504" s="37"/>
      <c r="J5504" s="36"/>
      <c r="K5504" s="38"/>
      <c r="L5504" s="38"/>
    </row>
    <row r="5505" spans="1:12" x14ac:dyDescent="0.25">
      <c r="A5505" s="35"/>
      <c r="B5505" s="36"/>
      <c r="C5505" s="36"/>
      <c r="D5505" s="36"/>
      <c r="E5505" s="36"/>
      <c r="F5505" s="36"/>
      <c r="G5505" s="36"/>
      <c r="H5505" s="36"/>
      <c r="I5505" s="37"/>
      <c r="J5505" s="36"/>
      <c r="K5505" s="38"/>
      <c r="L5505" s="38"/>
    </row>
    <row r="5506" spans="1:12" x14ac:dyDescent="0.25">
      <c r="A5506" s="35"/>
      <c r="B5506" s="36"/>
      <c r="C5506" s="36"/>
      <c r="D5506" s="36"/>
      <c r="E5506" s="36"/>
      <c r="F5506" s="36"/>
      <c r="G5506" s="36"/>
      <c r="H5506" s="36"/>
      <c r="I5506" s="37"/>
      <c r="J5506" s="36"/>
      <c r="K5506" s="38"/>
      <c r="L5506" s="38"/>
    </row>
    <row r="5507" spans="1:12" x14ac:dyDescent="0.25">
      <c r="A5507" s="35"/>
      <c r="B5507" s="36"/>
      <c r="C5507" s="36"/>
      <c r="D5507" s="36"/>
      <c r="E5507" s="36"/>
      <c r="F5507" s="36"/>
      <c r="G5507" s="36"/>
      <c r="H5507" s="36"/>
      <c r="I5507" s="37"/>
      <c r="J5507" s="36"/>
      <c r="K5507" s="38"/>
      <c r="L5507" s="38"/>
    </row>
    <row r="5508" spans="1:12" x14ac:dyDescent="0.25">
      <c r="A5508" s="35"/>
      <c r="B5508" s="36"/>
      <c r="C5508" s="36"/>
      <c r="D5508" s="36"/>
      <c r="E5508" s="36"/>
      <c r="F5508" s="36"/>
      <c r="G5508" s="36"/>
      <c r="H5508" s="36"/>
      <c r="I5508" s="37"/>
      <c r="J5508" s="36"/>
      <c r="K5508" s="38"/>
      <c r="L5508" s="38"/>
    </row>
    <row r="5509" spans="1:12" x14ac:dyDescent="0.25">
      <c r="A5509" s="35"/>
      <c r="B5509" s="36"/>
      <c r="C5509" s="36"/>
      <c r="D5509" s="36"/>
      <c r="E5509" s="36"/>
      <c r="F5509" s="36"/>
      <c r="G5509" s="36"/>
      <c r="H5509" s="36"/>
      <c r="I5509" s="37"/>
      <c r="J5509" s="36"/>
      <c r="K5509" s="38"/>
      <c r="L5509" s="38"/>
    </row>
    <row r="5510" spans="1:12" x14ac:dyDescent="0.25">
      <c r="A5510" s="35"/>
      <c r="B5510" s="36"/>
      <c r="C5510" s="36"/>
      <c r="D5510" s="36"/>
      <c r="E5510" s="36"/>
      <c r="F5510" s="36"/>
      <c r="G5510" s="36"/>
      <c r="H5510" s="36"/>
      <c r="I5510" s="37"/>
      <c r="J5510" s="36"/>
      <c r="K5510" s="38"/>
      <c r="L5510" s="38"/>
    </row>
    <row r="5511" spans="1:12" x14ac:dyDescent="0.25">
      <c r="A5511" s="35"/>
      <c r="B5511" s="36"/>
      <c r="C5511" s="36"/>
      <c r="D5511" s="36"/>
      <c r="E5511" s="36"/>
      <c r="F5511" s="36"/>
      <c r="G5511" s="36"/>
      <c r="H5511" s="36"/>
      <c r="I5511" s="37"/>
      <c r="J5511" s="36"/>
      <c r="K5511" s="38"/>
      <c r="L5511" s="38"/>
    </row>
    <row r="5512" spans="1:12" x14ac:dyDescent="0.25">
      <c r="A5512" s="35"/>
      <c r="B5512" s="36"/>
      <c r="C5512" s="36"/>
      <c r="D5512" s="36"/>
      <c r="E5512" s="36"/>
      <c r="F5512" s="36"/>
      <c r="G5512" s="36"/>
      <c r="H5512" s="36"/>
      <c r="I5512" s="37"/>
      <c r="J5512" s="36"/>
      <c r="K5512" s="38"/>
      <c r="L5512" s="38"/>
    </row>
    <row r="5513" spans="1:12" x14ac:dyDescent="0.25">
      <c r="A5513" s="35"/>
      <c r="B5513" s="36"/>
      <c r="C5513" s="36"/>
      <c r="D5513" s="36"/>
      <c r="E5513" s="36"/>
      <c r="F5513" s="36"/>
      <c r="G5513" s="36"/>
      <c r="H5513" s="36"/>
      <c r="I5513" s="37"/>
      <c r="J5513" s="36"/>
      <c r="K5513" s="38"/>
      <c r="L5513" s="38"/>
    </row>
    <row r="5514" spans="1:12" x14ac:dyDescent="0.25">
      <c r="A5514" s="35"/>
      <c r="B5514" s="36"/>
      <c r="C5514" s="36"/>
      <c r="D5514" s="36"/>
      <c r="E5514" s="36"/>
      <c r="F5514" s="36"/>
      <c r="G5514" s="36"/>
      <c r="H5514" s="36"/>
      <c r="I5514" s="37"/>
      <c r="J5514" s="36"/>
      <c r="K5514" s="38"/>
      <c r="L5514" s="38"/>
    </row>
    <row r="5515" spans="1:12" x14ac:dyDescent="0.25">
      <c r="A5515" s="35"/>
      <c r="B5515" s="36"/>
      <c r="C5515" s="36"/>
      <c r="D5515" s="36"/>
      <c r="E5515" s="36"/>
      <c r="F5515" s="36"/>
      <c r="G5515" s="36"/>
      <c r="H5515" s="36"/>
      <c r="I5515" s="37"/>
      <c r="J5515" s="36"/>
      <c r="K5515" s="38"/>
      <c r="L5515" s="38"/>
    </row>
    <row r="5516" spans="1:12" x14ac:dyDescent="0.25">
      <c r="A5516" s="35"/>
      <c r="B5516" s="36"/>
      <c r="C5516" s="36"/>
      <c r="D5516" s="36"/>
      <c r="E5516" s="36"/>
      <c r="F5516" s="36"/>
      <c r="G5516" s="36"/>
      <c r="H5516" s="36"/>
      <c r="I5516" s="37"/>
      <c r="J5516" s="36"/>
      <c r="K5516" s="38"/>
      <c r="L5516" s="38"/>
    </row>
    <row r="5517" spans="1:12" x14ac:dyDescent="0.25">
      <c r="A5517" s="35"/>
      <c r="B5517" s="36"/>
      <c r="C5517" s="36"/>
      <c r="D5517" s="36"/>
      <c r="E5517" s="36"/>
      <c r="F5517" s="36"/>
      <c r="G5517" s="36"/>
      <c r="H5517" s="36"/>
      <c r="I5517" s="37"/>
      <c r="J5517" s="36"/>
      <c r="K5517" s="38"/>
      <c r="L5517" s="38"/>
    </row>
    <row r="5518" spans="1:12" x14ac:dyDescent="0.25">
      <c r="A5518" s="35"/>
      <c r="B5518" s="36"/>
      <c r="C5518" s="36"/>
      <c r="D5518" s="36"/>
      <c r="E5518" s="36"/>
      <c r="F5518" s="36"/>
      <c r="G5518" s="36"/>
      <c r="H5518" s="36"/>
      <c r="I5518" s="37"/>
      <c r="J5518" s="36"/>
      <c r="K5518" s="38"/>
      <c r="L5518" s="38"/>
    </row>
    <row r="5519" spans="1:12" x14ac:dyDescent="0.25">
      <c r="A5519" s="35"/>
      <c r="B5519" s="36"/>
      <c r="C5519" s="36"/>
      <c r="D5519" s="36"/>
      <c r="E5519" s="36"/>
      <c r="F5519" s="36"/>
      <c r="G5519" s="36"/>
      <c r="H5519" s="36"/>
      <c r="I5519" s="37"/>
      <c r="J5519" s="36"/>
      <c r="K5519" s="38"/>
      <c r="L5519" s="38"/>
    </row>
    <row r="5520" spans="1:12" x14ac:dyDescent="0.25">
      <c r="A5520" s="35"/>
      <c r="B5520" s="36"/>
      <c r="C5520" s="36"/>
      <c r="D5520" s="36"/>
      <c r="E5520" s="36"/>
      <c r="F5520" s="36"/>
      <c r="G5520" s="36"/>
      <c r="H5520" s="36"/>
      <c r="I5520" s="37"/>
      <c r="J5520" s="36"/>
      <c r="K5520" s="38"/>
      <c r="L5520" s="38"/>
    </row>
    <row r="5521" spans="1:12" x14ac:dyDescent="0.25">
      <c r="A5521" s="35"/>
      <c r="B5521" s="36"/>
      <c r="C5521" s="36"/>
      <c r="D5521" s="36"/>
      <c r="E5521" s="36"/>
      <c r="F5521" s="36"/>
      <c r="G5521" s="36"/>
      <c r="H5521" s="36"/>
      <c r="I5521" s="37"/>
      <c r="J5521" s="36"/>
      <c r="K5521" s="38"/>
      <c r="L5521" s="38"/>
    </row>
    <row r="5522" spans="1:12" x14ac:dyDescent="0.25">
      <c r="A5522" s="35"/>
      <c r="B5522" s="36"/>
      <c r="C5522" s="36"/>
      <c r="D5522" s="36"/>
      <c r="E5522" s="36"/>
      <c r="F5522" s="36"/>
      <c r="G5522" s="36"/>
      <c r="H5522" s="36"/>
      <c r="I5522" s="37"/>
      <c r="J5522" s="36"/>
      <c r="K5522" s="38"/>
      <c r="L5522" s="38"/>
    </row>
    <row r="5523" spans="1:12" x14ac:dyDescent="0.25">
      <c r="A5523" s="35"/>
      <c r="B5523" s="36"/>
      <c r="C5523" s="36"/>
      <c r="D5523" s="36"/>
      <c r="E5523" s="36"/>
      <c r="F5523" s="36"/>
      <c r="G5523" s="36"/>
      <c r="H5523" s="36"/>
      <c r="I5523" s="37"/>
      <c r="J5523" s="36"/>
      <c r="K5523" s="38"/>
      <c r="L5523" s="38"/>
    </row>
    <row r="5524" spans="1:12" x14ac:dyDescent="0.25">
      <c r="A5524" s="35"/>
      <c r="B5524" s="36"/>
      <c r="C5524" s="36"/>
      <c r="D5524" s="36"/>
      <c r="E5524" s="36"/>
      <c r="F5524" s="36"/>
      <c r="G5524" s="36"/>
      <c r="H5524" s="36"/>
      <c r="I5524" s="37"/>
      <c r="J5524" s="36"/>
      <c r="K5524" s="38"/>
      <c r="L5524" s="38"/>
    </row>
    <row r="5525" spans="1:12" x14ac:dyDescent="0.25">
      <c r="A5525" s="35"/>
      <c r="B5525" s="36"/>
      <c r="C5525" s="36"/>
      <c r="D5525" s="36"/>
      <c r="E5525" s="36"/>
      <c r="F5525" s="36"/>
      <c r="G5525" s="36"/>
      <c r="H5525" s="36"/>
      <c r="I5525" s="37"/>
      <c r="J5525" s="36"/>
      <c r="K5525" s="38"/>
      <c r="L5525" s="38"/>
    </row>
    <row r="5526" spans="1:12" x14ac:dyDescent="0.25">
      <c r="A5526" s="35"/>
      <c r="B5526" s="36"/>
      <c r="C5526" s="36"/>
      <c r="D5526" s="36"/>
      <c r="E5526" s="36"/>
      <c r="F5526" s="36"/>
      <c r="G5526" s="36"/>
      <c r="H5526" s="36"/>
      <c r="I5526" s="37"/>
      <c r="J5526" s="36"/>
      <c r="K5526" s="38"/>
      <c r="L5526" s="38"/>
    </row>
    <row r="5527" spans="1:12" x14ac:dyDescent="0.25">
      <c r="A5527" s="35"/>
      <c r="B5527" s="36"/>
      <c r="C5527" s="36"/>
      <c r="D5527" s="36"/>
      <c r="E5527" s="36"/>
      <c r="F5527" s="36"/>
      <c r="G5527" s="36"/>
      <c r="H5527" s="36"/>
      <c r="I5527" s="37"/>
      <c r="J5527" s="36"/>
      <c r="K5527" s="38"/>
      <c r="L5527" s="38"/>
    </row>
    <row r="5528" spans="1:12" x14ac:dyDescent="0.25">
      <c r="A5528" s="35"/>
      <c r="B5528" s="36"/>
      <c r="C5528" s="36"/>
      <c r="D5528" s="36"/>
      <c r="E5528" s="36"/>
      <c r="F5528" s="36"/>
      <c r="G5528" s="36"/>
      <c r="H5528" s="36"/>
      <c r="I5528" s="37"/>
      <c r="J5528" s="36"/>
      <c r="K5528" s="38"/>
      <c r="L5528" s="38"/>
    </row>
    <row r="5529" spans="1:12" x14ac:dyDescent="0.25">
      <c r="A5529" s="35"/>
      <c r="B5529" s="36"/>
      <c r="C5529" s="36"/>
      <c r="D5529" s="36"/>
      <c r="E5529" s="36"/>
      <c r="F5529" s="36"/>
      <c r="G5529" s="36"/>
      <c r="H5529" s="36"/>
      <c r="I5529" s="37"/>
      <c r="J5529" s="36"/>
      <c r="K5529" s="38"/>
      <c r="L5529" s="38"/>
    </row>
    <row r="5530" spans="1:12" x14ac:dyDescent="0.25">
      <c r="A5530" s="35"/>
      <c r="B5530" s="36"/>
      <c r="C5530" s="36"/>
      <c r="D5530" s="36"/>
      <c r="E5530" s="36"/>
      <c r="F5530" s="36"/>
      <c r="G5530" s="36"/>
      <c r="H5530" s="36"/>
      <c r="I5530" s="37"/>
      <c r="J5530" s="36"/>
      <c r="K5530" s="38"/>
      <c r="L5530" s="38"/>
    </row>
    <row r="5531" spans="1:12" x14ac:dyDescent="0.25">
      <c r="A5531" s="35"/>
      <c r="B5531" s="36"/>
      <c r="C5531" s="36"/>
      <c r="D5531" s="36"/>
      <c r="E5531" s="36"/>
      <c r="F5531" s="36"/>
      <c r="G5531" s="36"/>
      <c r="H5531" s="36"/>
      <c r="I5531" s="37"/>
      <c r="J5531" s="36"/>
      <c r="K5531" s="38"/>
      <c r="L5531" s="38"/>
    </row>
    <row r="5532" spans="1:12" x14ac:dyDescent="0.25">
      <c r="A5532" s="35"/>
      <c r="B5532" s="36"/>
      <c r="C5532" s="36"/>
      <c r="D5532" s="36"/>
      <c r="E5532" s="36"/>
      <c r="F5532" s="36"/>
      <c r="G5532" s="36"/>
      <c r="H5532" s="36"/>
      <c r="I5532" s="37"/>
      <c r="J5532" s="36"/>
      <c r="K5532" s="38"/>
      <c r="L5532" s="38"/>
    </row>
    <row r="5533" spans="1:12" x14ac:dyDescent="0.25">
      <c r="A5533" s="35"/>
      <c r="B5533" s="36"/>
      <c r="C5533" s="36"/>
      <c r="D5533" s="36"/>
      <c r="E5533" s="36"/>
      <c r="F5533" s="36"/>
      <c r="G5533" s="36"/>
      <c r="H5533" s="36"/>
      <c r="I5533" s="37"/>
      <c r="J5533" s="36"/>
      <c r="K5533" s="38"/>
      <c r="L5533" s="38"/>
    </row>
    <row r="5534" spans="1:12" x14ac:dyDescent="0.25">
      <c r="A5534" s="35"/>
      <c r="B5534" s="36"/>
      <c r="C5534" s="36"/>
      <c r="D5534" s="36"/>
      <c r="E5534" s="36"/>
      <c r="F5534" s="36"/>
      <c r="G5534" s="36"/>
      <c r="H5534" s="36"/>
      <c r="I5534" s="37"/>
      <c r="J5534" s="36"/>
      <c r="K5534" s="38"/>
      <c r="L5534" s="38"/>
    </row>
    <row r="5535" spans="1:12" x14ac:dyDescent="0.25">
      <c r="A5535" s="35"/>
      <c r="B5535" s="36"/>
      <c r="C5535" s="36"/>
      <c r="D5535" s="36"/>
      <c r="E5535" s="36"/>
      <c r="F5535" s="36"/>
      <c r="G5535" s="36"/>
      <c r="H5535" s="36"/>
      <c r="I5535" s="37"/>
      <c r="J5535" s="36"/>
      <c r="K5535" s="38"/>
      <c r="L5535" s="38"/>
    </row>
    <row r="5536" spans="1:12" x14ac:dyDescent="0.25">
      <c r="A5536" s="35"/>
      <c r="B5536" s="36"/>
      <c r="C5536" s="36"/>
      <c r="D5536" s="36"/>
      <c r="E5536" s="36"/>
      <c r="F5536" s="36"/>
      <c r="G5536" s="36"/>
      <c r="H5536" s="36"/>
      <c r="I5536" s="37"/>
      <c r="J5536" s="36"/>
      <c r="K5536" s="38"/>
      <c r="L5536" s="38"/>
    </row>
    <row r="5537" spans="1:12" x14ac:dyDescent="0.25">
      <c r="A5537" s="35"/>
      <c r="B5537" s="36"/>
      <c r="C5537" s="36"/>
      <c r="D5537" s="36"/>
      <c r="E5537" s="36"/>
      <c r="F5537" s="36"/>
      <c r="G5537" s="36"/>
      <c r="H5537" s="36"/>
      <c r="I5537" s="37"/>
      <c r="J5537" s="36"/>
      <c r="K5537" s="38"/>
      <c r="L5537" s="38"/>
    </row>
    <row r="5538" spans="1:12" x14ac:dyDescent="0.25">
      <c r="A5538" s="35"/>
      <c r="B5538" s="36"/>
      <c r="C5538" s="36"/>
      <c r="D5538" s="36"/>
      <c r="E5538" s="36"/>
      <c r="F5538" s="36"/>
      <c r="G5538" s="36"/>
      <c r="H5538" s="36"/>
      <c r="I5538" s="37"/>
      <c r="J5538" s="36"/>
      <c r="K5538" s="38"/>
      <c r="L5538" s="38"/>
    </row>
    <row r="5539" spans="1:12" x14ac:dyDescent="0.25">
      <c r="A5539" s="35"/>
      <c r="B5539" s="36"/>
      <c r="C5539" s="36"/>
      <c r="D5539" s="36"/>
      <c r="E5539" s="36"/>
      <c r="F5539" s="36"/>
      <c r="G5539" s="36"/>
      <c r="H5539" s="36"/>
      <c r="I5539" s="37"/>
      <c r="J5539" s="36"/>
      <c r="K5539" s="38"/>
      <c r="L5539" s="38"/>
    </row>
    <row r="5540" spans="1:12" x14ac:dyDescent="0.25">
      <c r="A5540" s="35"/>
      <c r="B5540" s="36"/>
      <c r="C5540" s="36"/>
      <c r="D5540" s="36"/>
      <c r="E5540" s="36"/>
      <c r="F5540" s="36"/>
      <c r="G5540" s="36"/>
      <c r="H5540" s="36"/>
      <c r="I5540" s="37"/>
      <c r="J5540" s="36"/>
      <c r="K5540" s="38"/>
      <c r="L5540" s="38"/>
    </row>
    <row r="5541" spans="1:12" x14ac:dyDescent="0.25">
      <c r="A5541" s="35"/>
      <c r="B5541" s="36"/>
      <c r="C5541" s="36"/>
      <c r="D5541" s="36"/>
      <c r="E5541" s="36"/>
      <c r="F5541" s="36"/>
      <c r="G5541" s="36"/>
      <c r="H5541" s="36"/>
      <c r="I5541" s="37"/>
      <c r="J5541" s="36"/>
      <c r="K5541" s="38"/>
      <c r="L5541" s="38"/>
    </row>
    <row r="5542" spans="1:12" x14ac:dyDescent="0.25">
      <c r="A5542" s="35"/>
      <c r="B5542" s="36"/>
      <c r="C5542" s="36"/>
      <c r="D5542" s="36"/>
      <c r="E5542" s="36"/>
      <c r="F5542" s="36"/>
      <c r="G5542" s="36"/>
      <c r="H5542" s="36"/>
      <c r="I5542" s="37"/>
      <c r="J5542" s="36"/>
      <c r="K5542" s="38"/>
      <c r="L5542" s="38"/>
    </row>
    <row r="5543" spans="1:12" x14ac:dyDescent="0.25">
      <c r="A5543" s="35"/>
      <c r="B5543" s="36"/>
      <c r="C5543" s="36"/>
      <c r="D5543" s="36"/>
      <c r="E5543" s="36"/>
      <c r="F5543" s="36"/>
      <c r="G5543" s="36"/>
      <c r="H5543" s="36"/>
      <c r="I5543" s="37"/>
      <c r="J5543" s="36"/>
      <c r="K5543" s="38"/>
      <c r="L5543" s="38"/>
    </row>
    <row r="5544" spans="1:12" x14ac:dyDescent="0.25">
      <c r="A5544" s="35"/>
      <c r="B5544" s="36"/>
      <c r="C5544" s="36"/>
      <c r="D5544" s="36"/>
      <c r="E5544" s="36"/>
      <c r="F5544" s="36"/>
      <c r="G5544" s="36"/>
      <c r="H5544" s="36"/>
      <c r="I5544" s="37"/>
      <c r="J5544" s="36"/>
      <c r="K5544" s="38"/>
      <c r="L5544" s="38"/>
    </row>
    <row r="5545" spans="1:12" x14ac:dyDescent="0.25">
      <c r="A5545" s="35"/>
      <c r="B5545" s="36"/>
      <c r="C5545" s="36"/>
      <c r="D5545" s="36"/>
      <c r="E5545" s="36"/>
      <c r="F5545" s="36"/>
      <c r="G5545" s="36"/>
      <c r="H5545" s="36"/>
      <c r="I5545" s="37"/>
      <c r="J5545" s="36"/>
      <c r="K5545" s="38"/>
      <c r="L5545" s="38"/>
    </row>
    <row r="5546" spans="1:12" x14ac:dyDescent="0.25">
      <c r="A5546" s="35"/>
      <c r="B5546" s="36"/>
      <c r="C5546" s="36"/>
      <c r="D5546" s="36"/>
      <c r="E5546" s="36"/>
      <c r="F5546" s="36"/>
      <c r="G5546" s="36"/>
      <c r="H5546" s="36"/>
      <c r="I5546" s="37"/>
      <c r="J5546" s="36"/>
      <c r="K5546" s="38"/>
      <c r="L5546" s="38"/>
    </row>
    <row r="5547" spans="1:12" x14ac:dyDescent="0.25">
      <c r="A5547" s="35"/>
      <c r="B5547" s="36"/>
      <c r="C5547" s="36"/>
      <c r="D5547" s="36"/>
      <c r="E5547" s="36"/>
      <c r="F5547" s="36"/>
      <c r="G5547" s="36"/>
      <c r="H5547" s="36"/>
      <c r="I5547" s="37"/>
      <c r="J5547" s="36"/>
      <c r="K5547" s="38"/>
      <c r="L5547" s="38"/>
    </row>
    <row r="5548" spans="1:12" x14ac:dyDescent="0.25">
      <c r="A5548" s="35"/>
      <c r="B5548" s="36"/>
      <c r="C5548" s="36"/>
      <c r="D5548" s="36"/>
      <c r="E5548" s="36"/>
      <c r="F5548" s="36"/>
      <c r="G5548" s="36"/>
      <c r="H5548" s="36"/>
      <c r="I5548" s="37"/>
      <c r="J5548" s="36"/>
      <c r="K5548" s="38"/>
      <c r="L5548" s="38"/>
    </row>
    <row r="5549" spans="1:12" x14ac:dyDescent="0.25">
      <c r="A5549" s="35"/>
      <c r="B5549" s="36"/>
      <c r="C5549" s="36"/>
      <c r="D5549" s="36"/>
      <c r="E5549" s="36"/>
      <c r="F5549" s="36"/>
      <c r="G5549" s="36"/>
      <c r="H5549" s="36"/>
      <c r="I5549" s="37"/>
      <c r="J5549" s="36"/>
      <c r="K5549" s="38"/>
      <c r="L5549" s="38"/>
    </row>
    <row r="5550" spans="1:12" x14ac:dyDescent="0.25">
      <c r="A5550" s="35"/>
      <c r="B5550" s="36"/>
      <c r="C5550" s="36"/>
      <c r="D5550" s="36"/>
      <c r="E5550" s="36"/>
      <c r="F5550" s="36"/>
      <c r="G5550" s="36"/>
      <c r="H5550" s="36"/>
      <c r="I5550" s="37"/>
      <c r="J5550" s="36"/>
      <c r="K5550" s="38"/>
      <c r="L5550" s="38"/>
    </row>
    <row r="5551" spans="1:12" x14ac:dyDescent="0.25">
      <c r="A5551" s="35"/>
      <c r="B5551" s="36"/>
      <c r="C5551" s="36"/>
      <c r="D5551" s="36"/>
      <c r="E5551" s="36"/>
      <c r="F5551" s="36"/>
      <c r="G5551" s="36"/>
      <c r="H5551" s="36"/>
      <c r="I5551" s="37"/>
      <c r="J5551" s="36"/>
      <c r="K5551" s="38"/>
      <c r="L5551" s="38"/>
    </row>
    <row r="5552" spans="1:12" x14ac:dyDescent="0.25">
      <c r="A5552" s="35"/>
      <c r="B5552" s="36"/>
      <c r="C5552" s="36"/>
      <c r="D5552" s="36"/>
      <c r="E5552" s="36"/>
      <c r="F5552" s="36"/>
      <c r="G5552" s="36"/>
      <c r="H5552" s="36"/>
      <c r="I5552" s="37"/>
      <c r="J5552" s="36"/>
      <c r="K5552" s="38"/>
      <c r="L5552" s="38"/>
    </row>
    <row r="5553" spans="1:12" x14ac:dyDescent="0.25">
      <c r="A5553" s="35"/>
      <c r="B5553" s="36"/>
      <c r="C5553" s="36"/>
      <c r="D5553" s="36"/>
      <c r="E5553" s="36"/>
      <c r="F5553" s="36"/>
      <c r="G5553" s="36"/>
      <c r="H5553" s="36"/>
      <c r="I5553" s="37"/>
      <c r="J5553" s="36"/>
      <c r="K5553" s="38"/>
      <c r="L5553" s="38"/>
    </row>
    <row r="5554" spans="1:12" x14ac:dyDescent="0.25">
      <c r="A5554" s="35"/>
      <c r="B5554" s="36"/>
      <c r="C5554" s="36"/>
      <c r="D5554" s="36"/>
      <c r="E5554" s="36"/>
      <c r="F5554" s="36"/>
      <c r="G5554" s="36"/>
      <c r="H5554" s="36"/>
      <c r="I5554" s="37"/>
      <c r="J5554" s="36"/>
      <c r="K5554" s="38"/>
      <c r="L5554" s="38"/>
    </row>
    <row r="5555" spans="1:12" x14ac:dyDescent="0.25">
      <c r="A5555" s="35"/>
      <c r="B5555" s="36"/>
      <c r="C5555" s="36"/>
      <c r="D5555" s="36"/>
      <c r="E5555" s="36"/>
      <c r="F5555" s="36"/>
      <c r="G5555" s="36"/>
      <c r="H5555" s="36"/>
      <c r="I5555" s="37"/>
      <c r="J5555" s="36"/>
      <c r="K5555" s="38"/>
      <c r="L5555" s="38"/>
    </row>
    <row r="5556" spans="1:12" x14ac:dyDescent="0.25">
      <c r="A5556" s="35"/>
      <c r="B5556" s="36"/>
      <c r="C5556" s="36"/>
      <c r="D5556" s="36"/>
      <c r="E5556" s="36"/>
      <c r="F5556" s="36"/>
      <c r="G5556" s="36"/>
      <c r="H5556" s="36"/>
      <c r="I5556" s="37"/>
      <c r="J5556" s="36"/>
      <c r="K5556" s="38"/>
      <c r="L5556" s="38"/>
    </row>
    <row r="5557" spans="1:12" x14ac:dyDescent="0.25">
      <c r="A5557" s="35"/>
      <c r="B5557" s="36"/>
      <c r="C5557" s="36"/>
      <c r="D5557" s="36"/>
      <c r="E5557" s="36"/>
      <c r="F5557" s="36"/>
      <c r="G5557" s="36"/>
      <c r="H5557" s="36"/>
      <c r="I5557" s="37"/>
      <c r="J5557" s="36"/>
      <c r="K5557" s="38"/>
      <c r="L5557" s="38"/>
    </row>
    <row r="5558" spans="1:12" x14ac:dyDescent="0.25">
      <c r="A5558" s="35"/>
      <c r="B5558" s="36"/>
      <c r="C5558" s="36"/>
      <c r="D5558" s="36"/>
      <c r="E5558" s="36"/>
      <c r="F5558" s="36"/>
      <c r="G5558" s="36"/>
      <c r="H5558" s="36"/>
      <c r="I5558" s="37"/>
      <c r="J5558" s="36"/>
      <c r="K5558" s="38"/>
      <c r="L5558" s="38"/>
    </row>
    <row r="5559" spans="1:12" x14ac:dyDescent="0.25">
      <c r="A5559" s="35"/>
      <c r="B5559" s="36"/>
      <c r="C5559" s="36"/>
      <c r="D5559" s="36"/>
      <c r="E5559" s="36"/>
      <c r="F5559" s="36"/>
      <c r="G5559" s="36"/>
      <c r="H5559" s="36"/>
      <c r="I5559" s="37"/>
      <c r="J5559" s="36"/>
      <c r="K5559" s="38"/>
      <c r="L5559" s="38"/>
    </row>
    <row r="5560" spans="1:12" x14ac:dyDescent="0.25">
      <c r="A5560" s="35"/>
      <c r="B5560" s="36"/>
      <c r="C5560" s="36"/>
      <c r="D5560" s="36"/>
      <c r="E5560" s="36"/>
      <c r="F5560" s="36"/>
      <c r="G5560" s="36"/>
      <c r="H5560" s="36"/>
      <c r="I5560" s="37"/>
      <c r="J5560" s="36"/>
      <c r="K5560" s="38"/>
      <c r="L5560" s="38"/>
    </row>
    <row r="5561" spans="1:12" x14ac:dyDescent="0.25">
      <c r="A5561" s="35"/>
      <c r="B5561" s="36"/>
      <c r="C5561" s="36"/>
      <c r="D5561" s="36"/>
      <c r="E5561" s="36"/>
      <c r="F5561" s="36"/>
      <c r="G5561" s="36"/>
      <c r="H5561" s="36"/>
      <c r="I5561" s="37"/>
      <c r="J5561" s="36"/>
      <c r="K5561" s="38"/>
      <c r="L5561" s="38"/>
    </row>
    <row r="5562" spans="1:12" x14ac:dyDescent="0.25">
      <c r="A5562" s="35"/>
      <c r="B5562" s="36"/>
      <c r="C5562" s="36"/>
      <c r="D5562" s="36"/>
      <c r="E5562" s="36"/>
      <c r="F5562" s="36"/>
      <c r="G5562" s="36"/>
      <c r="H5562" s="36"/>
      <c r="I5562" s="37"/>
      <c r="J5562" s="36"/>
      <c r="K5562" s="38"/>
      <c r="L5562" s="38"/>
    </row>
    <row r="5563" spans="1:12" x14ac:dyDescent="0.25">
      <c r="A5563" s="35"/>
      <c r="B5563" s="36"/>
      <c r="C5563" s="36"/>
      <c r="D5563" s="36"/>
      <c r="E5563" s="36"/>
      <c r="F5563" s="36"/>
      <c r="G5563" s="36"/>
      <c r="H5563" s="36"/>
      <c r="I5563" s="37"/>
      <c r="J5563" s="36"/>
      <c r="K5563" s="38"/>
      <c r="L5563" s="38"/>
    </row>
    <row r="5564" spans="1:12" x14ac:dyDescent="0.25">
      <c r="A5564" s="35"/>
      <c r="B5564" s="36"/>
      <c r="C5564" s="36"/>
      <c r="D5564" s="36"/>
      <c r="E5564" s="36"/>
      <c r="F5564" s="36"/>
      <c r="G5564" s="36"/>
      <c r="H5564" s="36"/>
      <c r="I5564" s="37"/>
      <c r="J5564" s="36"/>
      <c r="K5564" s="38"/>
      <c r="L5564" s="38"/>
    </row>
    <row r="5565" spans="1:12" x14ac:dyDescent="0.25">
      <c r="A5565" s="35"/>
      <c r="B5565" s="36"/>
      <c r="C5565" s="36"/>
      <c r="D5565" s="36"/>
      <c r="E5565" s="36"/>
      <c r="F5565" s="36"/>
      <c r="G5565" s="36"/>
      <c r="H5565" s="36"/>
      <c r="I5565" s="37"/>
      <c r="J5565" s="36"/>
      <c r="K5565" s="38"/>
      <c r="L5565" s="38"/>
    </row>
    <row r="5566" spans="1:12" x14ac:dyDescent="0.25">
      <c r="A5566" s="35"/>
      <c r="B5566" s="36"/>
      <c r="C5566" s="36"/>
      <c r="D5566" s="36"/>
      <c r="E5566" s="36"/>
      <c r="F5566" s="36"/>
      <c r="G5566" s="36"/>
      <c r="H5566" s="36"/>
      <c r="I5566" s="37"/>
      <c r="J5566" s="36"/>
      <c r="K5566" s="38"/>
      <c r="L5566" s="38"/>
    </row>
    <row r="5567" spans="1:12" x14ac:dyDescent="0.25">
      <c r="A5567" s="35"/>
      <c r="B5567" s="36"/>
      <c r="C5567" s="36"/>
      <c r="D5567" s="36"/>
      <c r="E5567" s="36"/>
      <c r="F5567" s="36"/>
      <c r="G5567" s="36"/>
      <c r="H5567" s="36"/>
      <c r="I5567" s="37"/>
      <c r="J5567" s="36"/>
      <c r="K5567" s="38"/>
      <c r="L5567" s="38"/>
    </row>
    <row r="5568" spans="1:12" x14ac:dyDescent="0.25">
      <c r="A5568" s="35"/>
      <c r="B5568" s="36"/>
      <c r="C5568" s="36"/>
      <c r="D5568" s="36"/>
      <c r="E5568" s="36"/>
      <c r="F5568" s="36"/>
      <c r="G5568" s="36"/>
      <c r="H5568" s="36"/>
      <c r="I5568" s="37"/>
      <c r="J5568" s="36"/>
      <c r="K5568" s="38"/>
      <c r="L5568" s="38"/>
    </row>
    <row r="5569" spans="1:12" x14ac:dyDescent="0.25">
      <c r="A5569" s="35"/>
      <c r="B5569" s="36"/>
      <c r="C5569" s="36"/>
      <c r="D5569" s="36"/>
      <c r="E5569" s="36"/>
      <c r="F5569" s="36"/>
      <c r="G5569" s="36"/>
      <c r="H5569" s="36"/>
      <c r="I5569" s="37"/>
      <c r="J5569" s="36"/>
      <c r="K5569" s="38"/>
      <c r="L5569" s="38"/>
    </row>
    <row r="5570" spans="1:12" x14ac:dyDescent="0.25">
      <c r="A5570" s="35"/>
      <c r="B5570" s="36"/>
      <c r="C5570" s="36"/>
      <c r="D5570" s="36"/>
      <c r="E5570" s="36"/>
      <c r="F5570" s="36"/>
      <c r="G5570" s="36"/>
      <c r="H5570" s="36"/>
      <c r="I5570" s="37"/>
      <c r="J5570" s="36"/>
      <c r="K5570" s="38"/>
      <c r="L5570" s="38"/>
    </row>
    <row r="5571" spans="1:12" x14ac:dyDescent="0.25">
      <c r="A5571" s="35"/>
      <c r="B5571" s="36"/>
      <c r="C5571" s="36"/>
      <c r="D5571" s="36"/>
      <c r="E5571" s="36"/>
      <c r="F5571" s="36"/>
      <c r="G5571" s="36"/>
      <c r="H5571" s="36"/>
      <c r="I5571" s="37"/>
      <c r="J5571" s="36"/>
      <c r="K5571" s="38"/>
      <c r="L5571" s="38"/>
    </row>
    <row r="5572" spans="1:12" x14ac:dyDescent="0.25">
      <c r="A5572" s="35"/>
      <c r="B5572" s="36"/>
      <c r="C5572" s="36"/>
      <c r="D5572" s="36"/>
      <c r="E5572" s="36"/>
      <c r="F5572" s="36"/>
      <c r="G5572" s="36"/>
      <c r="H5572" s="36"/>
      <c r="I5572" s="37"/>
      <c r="J5572" s="36"/>
      <c r="K5572" s="38"/>
      <c r="L5572" s="38"/>
    </row>
    <row r="5573" spans="1:12" x14ac:dyDescent="0.25">
      <c r="A5573" s="35"/>
      <c r="B5573" s="36"/>
      <c r="C5573" s="36"/>
      <c r="D5573" s="36"/>
      <c r="E5573" s="36"/>
      <c r="F5573" s="36"/>
      <c r="G5573" s="36"/>
      <c r="H5573" s="36"/>
      <c r="I5573" s="37"/>
      <c r="J5573" s="36"/>
      <c r="K5573" s="38"/>
      <c r="L5573" s="38"/>
    </row>
    <row r="5574" spans="1:12" x14ac:dyDescent="0.25">
      <c r="A5574" s="35"/>
      <c r="B5574" s="36"/>
      <c r="C5574" s="36"/>
      <c r="D5574" s="36"/>
      <c r="E5574" s="36"/>
      <c r="F5574" s="36"/>
      <c r="G5574" s="36"/>
      <c r="H5574" s="36"/>
      <c r="I5574" s="37"/>
      <c r="J5574" s="36"/>
      <c r="K5574" s="38"/>
      <c r="L5574" s="38"/>
    </row>
    <row r="5575" spans="1:12" x14ac:dyDescent="0.25">
      <c r="A5575" s="35"/>
      <c r="B5575" s="36"/>
      <c r="C5575" s="36"/>
      <c r="D5575" s="36"/>
      <c r="E5575" s="36"/>
      <c r="F5575" s="36"/>
      <c r="G5575" s="36"/>
      <c r="H5575" s="36"/>
      <c r="I5575" s="37"/>
      <c r="J5575" s="36"/>
      <c r="K5575" s="38"/>
      <c r="L5575" s="38"/>
    </row>
    <row r="5576" spans="1:12" x14ac:dyDescent="0.25">
      <c r="A5576" s="35"/>
      <c r="B5576" s="36"/>
      <c r="C5576" s="36"/>
      <c r="D5576" s="36"/>
      <c r="E5576" s="36"/>
      <c r="F5576" s="36"/>
      <c r="G5576" s="36"/>
      <c r="H5576" s="36"/>
      <c r="I5576" s="37"/>
      <c r="J5576" s="36"/>
      <c r="K5576" s="38"/>
      <c r="L5576" s="38"/>
    </row>
    <row r="5577" spans="1:12" x14ac:dyDescent="0.25">
      <c r="A5577" s="35"/>
      <c r="B5577" s="36"/>
      <c r="C5577" s="36"/>
      <c r="D5577" s="36"/>
      <c r="E5577" s="36"/>
      <c r="F5577" s="36"/>
      <c r="G5577" s="36"/>
      <c r="H5577" s="36"/>
      <c r="I5577" s="37"/>
      <c r="J5577" s="36"/>
      <c r="K5577" s="38"/>
      <c r="L5577" s="38"/>
    </row>
    <row r="5578" spans="1:12" x14ac:dyDescent="0.25">
      <c r="A5578" s="35"/>
      <c r="B5578" s="36"/>
      <c r="C5578" s="36"/>
      <c r="D5578" s="36"/>
      <c r="E5578" s="36"/>
      <c r="F5578" s="36"/>
      <c r="G5578" s="36"/>
      <c r="H5578" s="36"/>
      <c r="I5578" s="37"/>
      <c r="J5578" s="36"/>
      <c r="K5578" s="38"/>
      <c r="L5578" s="38"/>
    </row>
    <row r="5579" spans="1:12" x14ac:dyDescent="0.25">
      <c r="A5579" s="35"/>
      <c r="B5579" s="36"/>
      <c r="C5579" s="36"/>
      <c r="D5579" s="36"/>
      <c r="E5579" s="36"/>
      <c r="F5579" s="36"/>
      <c r="G5579" s="36"/>
      <c r="H5579" s="36"/>
      <c r="I5579" s="37"/>
      <c r="J5579" s="36"/>
      <c r="K5579" s="38"/>
      <c r="L5579" s="38"/>
    </row>
    <row r="5580" spans="1:12" x14ac:dyDescent="0.25">
      <c r="A5580" s="35"/>
      <c r="B5580" s="36"/>
      <c r="C5580" s="36"/>
      <c r="D5580" s="36"/>
      <c r="E5580" s="36"/>
      <c r="F5580" s="36"/>
      <c r="G5580" s="36"/>
      <c r="H5580" s="36"/>
      <c r="I5580" s="37"/>
      <c r="J5580" s="36"/>
      <c r="K5580" s="38"/>
      <c r="L5580" s="38"/>
    </row>
    <row r="5581" spans="1:12" x14ac:dyDescent="0.25">
      <c r="A5581" s="35"/>
      <c r="B5581" s="36"/>
      <c r="C5581" s="36"/>
      <c r="D5581" s="36"/>
      <c r="E5581" s="36"/>
      <c r="F5581" s="36"/>
      <c r="G5581" s="36"/>
      <c r="H5581" s="36"/>
      <c r="I5581" s="37"/>
      <c r="J5581" s="36"/>
      <c r="K5581" s="38"/>
      <c r="L5581" s="38"/>
    </row>
    <row r="5582" spans="1:12" x14ac:dyDescent="0.25">
      <c r="A5582" s="35"/>
      <c r="B5582" s="36"/>
      <c r="C5582" s="36"/>
      <c r="D5582" s="36"/>
      <c r="E5582" s="36"/>
      <c r="F5582" s="36"/>
      <c r="G5582" s="36"/>
      <c r="H5582" s="36"/>
      <c r="I5582" s="37"/>
      <c r="J5582" s="36"/>
      <c r="K5582" s="38"/>
      <c r="L5582" s="38"/>
    </row>
    <row r="5583" spans="1:12" x14ac:dyDescent="0.25">
      <c r="A5583" s="35"/>
      <c r="B5583" s="36"/>
      <c r="C5583" s="36"/>
      <c r="D5583" s="36"/>
      <c r="E5583" s="36"/>
      <c r="F5583" s="36"/>
      <c r="G5583" s="36"/>
      <c r="H5583" s="36"/>
      <c r="I5583" s="37"/>
      <c r="J5583" s="36"/>
      <c r="K5583" s="38"/>
      <c r="L5583" s="38"/>
    </row>
    <row r="5584" spans="1:12" x14ac:dyDescent="0.25">
      <c r="A5584" s="35"/>
      <c r="B5584" s="36"/>
      <c r="C5584" s="36"/>
      <c r="D5584" s="36"/>
      <c r="E5584" s="36"/>
      <c r="F5584" s="36"/>
      <c r="G5584" s="36"/>
      <c r="H5584" s="36"/>
      <c r="I5584" s="37"/>
      <c r="J5584" s="36"/>
      <c r="K5584" s="38"/>
      <c r="L5584" s="38"/>
    </row>
    <row r="5585" spans="1:12" x14ac:dyDescent="0.25">
      <c r="A5585" s="35"/>
      <c r="B5585" s="36"/>
      <c r="C5585" s="36"/>
      <c r="D5585" s="36"/>
      <c r="E5585" s="36"/>
      <c r="F5585" s="36"/>
      <c r="G5585" s="36"/>
      <c r="H5585" s="36"/>
      <c r="I5585" s="37"/>
      <c r="J5585" s="36"/>
      <c r="K5585" s="38"/>
      <c r="L5585" s="38"/>
    </row>
    <row r="5586" spans="1:12" x14ac:dyDescent="0.25">
      <c r="A5586" s="35"/>
      <c r="B5586" s="36"/>
      <c r="C5586" s="36"/>
      <c r="D5586" s="36"/>
      <c r="E5586" s="36"/>
      <c r="F5586" s="36"/>
      <c r="G5586" s="36"/>
      <c r="H5586" s="36"/>
      <c r="I5586" s="37"/>
      <c r="J5586" s="36"/>
      <c r="K5586" s="38"/>
      <c r="L5586" s="38"/>
    </row>
    <row r="5587" spans="1:12" x14ac:dyDescent="0.25">
      <c r="A5587" s="35"/>
      <c r="B5587" s="36"/>
      <c r="C5587" s="36"/>
      <c r="D5587" s="36"/>
      <c r="E5587" s="36"/>
      <c r="F5587" s="36"/>
      <c r="G5587" s="36"/>
      <c r="H5587" s="36"/>
      <c r="I5587" s="37"/>
      <c r="J5587" s="36"/>
      <c r="K5587" s="38"/>
      <c r="L5587" s="38"/>
    </row>
    <row r="5588" spans="1:12" x14ac:dyDescent="0.25">
      <c r="A5588" s="35"/>
      <c r="B5588" s="36"/>
      <c r="C5588" s="36"/>
      <c r="D5588" s="36"/>
      <c r="E5588" s="36"/>
      <c r="F5588" s="36"/>
      <c r="G5588" s="36"/>
      <c r="H5588" s="36"/>
      <c r="I5588" s="37"/>
      <c r="J5588" s="36"/>
      <c r="K5588" s="38"/>
      <c r="L5588" s="38"/>
    </row>
    <row r="5589" spans="1:12" x14ac:dyDescent="0.25">
      <c r="A5589" s="35"/>
      <c r="B5589" s="36"/>
      <c r="C5589" s="36"/>
      <c r="D5589" s="36"/>
      <c r="E5589" s="36"/>
      <c r="F5589" s="36"/>
      <c r="G5589" s="36"/>
      <c r="H5589" s="36"/>
      <c r="I5589" s="37"/>
      <c r="J5589" s="36"/>
      <c r="K5589" s="38"/>
      <c r="L5589" s="38"/>
    </row>
    <row r="5590" spans="1:12" x14ac:dyDescent="0.25">
      <c r="A5590" s="35"/>
      <c r="B5590" s="36"/>
      <c r="C5590" s="36"/>
      <c r="D5590" s="36"/>
      <c r="E5590" s="36"/>
      <c r="F5590" s="36"/>
      <c r="G5590" s="36"/>
      <c r="H5590" s="36"/>
      <c r="I5590" s="37"/>
      <c r="J5590" s="36"/>
      <c r="K5590" s="38"/>
      <c r="L5590" s="38"/>
    </row>
    <row r="5591" spans="1:12" x14ac:dyDescent="0.25">
      <c r="A5591" s="35"/>
      <c r="B5591" s="36"/>
      <c r="C5591" s="36"/>
      <c r="D5591" s="36"/>
      <c r="E5591" s="36"/>
      <c r="F5591" s="36"/>
      <c r="G5591" s="36"/>
      <c r="H5591" s="36"/>
      <c r="I5591" s="37"/>
      <c r="J5591" s="36"/>
      <c r="K5591" s="38"/>
      <c r="L5591" s="38"/>
    </row>
    <row r="5592" spans="1:12" x14ac:dyDescent="0.25">
      <c r="A5592" s="35"/>
      <c r="B5592" s="36"/>
      <c r="C5592" s="36"/>
      <c r="D5592" s="36"/>
      <c r="E5592" s="36"/>
      <c r="F5592" s="36"/>
      <c r="G5592" s="36"/>
      <c r="H5592" s="36"/>
      <c r="I5592" s="37"/>
      <c r="J5592" s="36"/>
      <c r="K5592" s="38"/>
      <c r="L5592" s="38"/>
    </row>
    <row r="5593" spans="1:12" x14ac:dyDescent="0.25">
      <c r="A5593" s="35"/>
      <c r="B5593" s="36"/>
      <c r="C5593" s="36"/>
      <c r="D5593" s="36"/>
      <c r="E5593" s="36"/>
      <c r="F5593" s="36"/>
      <c r="G5593" s="36"/>
      <c r="H5593" s="36"/>
      <c r="I5593" s="37"/>
      <c r="J5593" s="36"/>
      <c r="K5593" s="38"/>
      <c r="L5593" s="38"/>
    </row>
    <row r="5594" spans="1:12" x14ac:dyDescent="0.25">
      <c r="A5594" s="35"/>
      <c r="B5594" s="36"/>
      <c r="C5594" s="36"/>
      <c r="D5594" s="36"/>
      <c r="E5594" s="36"/>
      <c r="F5594" s="36"/>
      <c r="G5594" s="36"/>
      <c r="H5594" s="36"/>
      <c r="I5594" s="37"/>
      <c r="J5594" s="36"/>
      <c r="K5594" s="38"/>
      <c r="L5594" s="38"/>
    </row>
    <row r="5595" spans="1:12" x14ac:dyDescent="0.25">
      <c r="A5595" s="35"/>
      <c r="B5595" s="36"/>
      <c r="C5595" s="36"/>
      <c r="D5595" s="36"/>
      <c r="E5595" s="36"/>
      <c r="F5595" s="36"/>
      <c r="G5595" s="36"/>
      <c r="H5595" s="36"/>
      <c r="I5595" s="37"/>
      <c r="J5595" s="36"/>
      <c r="K5595" s="38"/>
      <c r="L5595" s="38"/>
    </row>
    <row r="5596" spans="1:12" x14ac:dyDescent="0.25">
      <c r="A5596" s="35"/>
      <c r="B5596" s="36"/>
      <c r="C5596" s="36"/>
      <c r="D5596" s="36"/>
      <c r="E5596" s="36"/>
      <c r="F5596" s="36"/>
      <c r="G5596" s="36"/>
      <c r="H5596" s="36"/>
      <c r="I5596" s="37"/>
      <c r="J5596" s="36"/>
      <c r="K5596" s="38"/>
      <c r="L5596" s="38"/>
    </row>
    <row r="5597" spans="1:12" x14ac:dyDescent="0.25">
      <c r="A5597" s="35"/>
      <c r="B5597" s="36"/>
      <c r="C5597" s="36"/>
      <c r="D5597" s="36"/>
      <c r="E5597" s="36"/>
      <c r="F5597" s="36"/>
      <c r="G5597" s="36"/>
      <c r="H5597" s="36"/>
      <c r="I5597" s="37"/>
      <c r="J5597" s="36"/>
      <c r="K5597" s="38"/>
      <c r="L5597" s="38"/>
    </row>
    <row r="5598" spans="1:12" x14ac:dyDescent="0.25">
      <c r="A5598" s="35"/>
      <c r="B5598" s="36"/>
      <c r="C5598" s="36"/>
      <c r="D5598" s="36"/>
      <c r="E5598" s="36"/>
      <c r="F5598" s="36"/>
      <c r="G5598" s="36"/>
      <c r="H5598" s="36"/>
      <c r="I5598" s="37"/>
      <c r="J5598" s="36"/>
      <c r="K5598" s="38"/>
      <c r="L5598" s="38"/>
    </row>
    <row r="5599" spans="1:12" x14ac:dyDescent="0.25">
      <c r="A5599" s="35"/>
      <c r="B5599" s="36"/>
      <c r="C5599" s="36"/>
      <c r="D5599" s="36"/>
      <c r="E5599" s="36"/>
      <c r="F5599" s="36"/>
      <c r="G5599" s="36"/>
      <c r="H5599" s="36"/>
      <c r="I5599" s="37"/>
      <c r="J5599" s="36"/>
      <c r="K5599" s="38"/>
      <c r="L5599" s="38"/>
    </row>
    <row r="5600" spans="1:12" x14ac:dyDescent="0.25">
      <c r="A5600" s="35"/>
      <c r="B5600" s="36"/>
      <c r="C5600" s="36"/>
      <c r="D5600" s="36"/>
      <c r="E5600" s="36"/>
      <c r="F5600" s="36"/>
      <c r="G5600" s="36"/>
      <c r="H5600" s="36"/>
      <c r="I5600" s="37"/>
      <c r="J5600" s="36"/>
      <c r="K5600" s="38"/>
      <c r="L5600" s="38"/>
    </row>
    <row r="5601" spans="1:12" x14ac:dyDescent="0.25">
      <c r="A5601" s="35"/>
      <c r="B5601" s="36"/>
      <c r="C5601" s="36"/>
      <c r="D5601" s="36"/>
      <c r="E5601" s="36"/>
      <c r="F5601" s="36"/>
      <c r="G5601" s="36"/>
      <c r="H5601" s="36"/>
      <c r="I5601" s="37"/>
      <c r="J5601" s="36"/>
      <c r="K5601" s="38"/>
      <c r="L5601" s="38"/>
    </row>
    <row r="5602" spans="1:12" x14ac:dyDescent="0.25">
      <c r="A5602" s="35"/>
      <c r="B5602" s="36"/>
      <c r="C5602" s="36"/>
      <c r="D5602" s="36"/>
      <c r="E5602" s="36"/>
      <c r="F5602" s="36"/>
      <c r="G5602" s="36"/>
      <c r="H5602" s="36"/>
      <c r="I5602" s="37"/>
      <c r="J5602" s="36"/>
      <c r="K5602" s="38"/>
      <c r="L5602" s="38"/>
    </row>
    <row r="5603" spans="1:12" x14ac:dyDescent="0.25">
      <c r="A5603" s="35"/>
      <c r="B5603" s="36"/>
      <c r="C5603" s="36"/>
      <c r="D5603" s="36"/>
      <c r="E5603" s="36"/>
      <c r="F5603" s="36"/>
      <c r="G5603" s="36"/>
      <c r="H5603" s="36"/>
      <c r="I5603" s="37"/>
      <c r="J5603" s="36"/>
      <c r="K5603" s="38"/>
      <c r="L5603" s="38"/>
    </row>
    <row r="5604" spans="1:12" x14ac:dyDescent="0.25">
      <c r="A5604" s="35"/>
      <c r="B5604" s="36"/>
      <c r="C5604" s="36"/>
      <c r="D5604" s="36"/>
      <c r="E5604" s="36"/>
      <c r="F5604" s="36"/>
      <c r="G5604" s="36"/>
      <c r="H5604" s="36"/>
      <c r="I5604" s="37"/>
      <c r="J5604" s="36"/>
      <c r="K5604" s="38"/>
      <c r="L5604" s="38"/>
    </row>
    <row r="5605" spans="1:12" x14ac:dyDescent="0.25">
      <c r="A5605" s="35"/>
      <c r="B5605" s="36"/>
      <c r="C5605" s="36"/>
      <c r="D5605" s="36"/>
      <c r="E5605" s="36"/>
      <c r="F5605" s="36"/>
      <c r="G5605" s="36"/>
      <c r="H5605" s="36"/>
      <c r="I5605" s="37"/>
      <c r="J5605" s="36"/>
      <c r="K5605" s="38"/>
      <c r="L5605" s="38"/>
    </row>
    <row r="5606" spans="1:12" x14ac:dyDescent="0.25">
      <c r="A5606" s="35"/>
      <c r="B5606" s="36"/>
      <c r="C5606" s="36"/>
      <c r="D5606" s="36"/>
      <c r="E5606" s="36"/>
      <c r="F5606" s="36"/>
      <c r="G5606" s="36"/>
      <c r="H5606" s="36"/>
      <c r="I5606" s="37"/>
      <c r="J5606" s="36"/>
      <c r="K5606" s="38"/>
      <c r="L5606" s="38"/>
    </row>
    <row r="5607" spans="1:12" x14ac:dyDescent="0.25">
      <c r="A5607" s="35"/>
      <c r="B5607" s="36"/>
      <c r="C5607" s="36"/>
      <c r="D5607" s="36"/>
      <c r="E5607" s="36"/>
      <c r="F5607" s="36"/>
      <c r="G5607" s="36"/>
      <c r="H5607" s="36"/>
      <c r="I5607" s="37"/>
      <c r="J5607" s="36"/>
      <c r="K5607" s="38"/>
      <c r="L5607" s="38"/>
    </row>
    <row r="5608" spans="1:12" x14ac:dyDescent="0.25">
      <c r="A5608" s="35"/>
      <c r="B5608" s="36"/>
      <c r="C5608" s="36"/>
      <c r="D5608" s="36"/>
      <c r="E5608" s="36"/>
      <c r="F5608" s="36"/>
      <c r="G5608" s="36"/>
      <c r="H5608" s="36"/>
      <c r="I5608" s="37"/>
      <c r="J5608" s="36"/>
      <c r="K5608" s="38"/>
      <c r="L5608" s="38"/>
    </row>
    <row r="5609" spans="1:12" x14ac:dyDescent="0.25">
      <c r="A5609" s="35"/>
      <c r="B5609" s="36"/>
      <c r="C5609" s="36"/>
      <c r="D5609" s="36"/>
      <c r="E5609" s="36"/>
      <c r="F5609" s="36"/>
      <c r="G5609" s="36"/>
      <c r="H5609" s="36"/>
      <c r="I5609" s="37"/>
      <c r="J5609" s="36"/>
      <c r="K5609" s="38"/>
      <c r="L5609" s="38"/>
    </row>
    <row r="5610" spans="1:12" x14ac:dyDescent="0.25">
      <c r="A5610" s="35"/>
      <c r="B5610" s="36"/>
      <c r="C5610" s="36"/>
      <c r="D5610" s="36"/>
      <c r="E5610" s="36"/>
      <c r="F5610" s="36"/>
      <c r="G5610" s="36"/>
      <c r="H5610" s="36"/>
      <c r="I5610" s="37"/>
      <c r="J5610" s="36"/>
      <c r="K5610" s="38"/>
      <c r="L5610" s="38"/>
    </row>
    <row r="5611" spans="1:12" x14ac:dyDescent="0.25">
      <c r="A5611" s="35"/>
      <c r="B5611" s="36"/>
      <c r="C5611" s="36"/>
      <c r="D5611" s="36"/>
      <c r="E5611" s="36"/>
      <c r="F5611" s="36"/>
      <c r="G5611" s="36"/>
      <c r="H5611" s="36"/>
      <c r="I5611" s="37"/>
      <c r="J5611" s="36"/>
      <c r="K5611" s="38"/>
      <c r="L5611" s="38"/>
    </row>
    <row r="5612" spans="1:12" x14ac:dyDescent="0.25">
      <c r="A5612" s="35"/>
      <c r="B5612" s="36"/>
      <c r="C5612" s="36"/>
      <c r="D5612" s="36"/>
      <c r="E5612" s="36"/>
      <c r="F5612" s="36"/>
      <c r="G5612" s="36"/>
      <c r="H5612" s="36"/>
      <c r="I5612" s="37"/>
      <c r="J5612" s="36"/>
      <c r="K5612" s="38"/>
      <c r="L5612" s="38"/>
    </row>
    <row r="5613" spans="1:12" x14ac:dyDescent="0.25">
      <c r="A5613" s="35"/>
      <c r="B5613" s="36"/>
      <c r="C5613" s="36"/>
      <c r="D5613" s="36"/>
      <c r="E5613" s="36"/>
      <c r="F5613" s="36"/>
      <c r="G5613" s="36"/>
      <c r="H5613" s="36"/>
      <c r="I5613" s="37"/>
      <c r="J5613" s="36"/>
      <c r="K5613" s="38"/>
      <c r="L5613" s="38"/>
    </row>
    <row r="5614" spans="1:12" x14ac:dyDescent="0.25">
      <c r="A5614" s="35"/>
      <c r="B5614" s="36"/>
      <c r="C5614" s="36"/>
      <c r="D5614" s="36"/>
      <c r="E5614" s="36"/>
      <c r="F5614" s="36"/>
      <c r="G5614" s="36"/>
      <c r="H5614" s="36"/>
      <c r="I5614" s="37"/>
      <c r="J5614" s="36"/>
      <c r="K5614" s="38"/>
      <c r="L5614" s="38"/>
    </row>
    <row r="5615" spans="1:12" x14ac:dyDescent="0.25">
      <c r="A5615" s="35"/>
      <c r="B5615" s="36"/>
      <c r="C5615" s="36"/>
      <c r="D5615" s="36"/>
      <c r="E5615" s="36"/>
      <c r="F5615" s="36"/>
      <c r="G5615" s="36"/>
      <c r="H5615" s="36"/>
      <c r="I5615" s="37"/>
      <c r="J5615" s="36"/>
      <c r="K5615" s="38"/>
      <c r="L5615" s="38"/>
    </row>
    <row r="5616" spans="1:12" x14ac:dyDescent="0.25">
      <c r="A5616" s="35"/>
      <c r="B5616" s="36"/>
      <c r="C5616" s="36"/>
      <c r="D5616" s="36"/>
      <c r="E5616" s="36"/>
      <c r="F5616" s="36"/>
      <c r="G5616" s="36"/>
      <c r="H5616" s="36"/>
      <c r="I5616" s="37"/>
      <c r="J5616" s="36"/>
      <c r="K5616" s="38"/>
      <c r="L5616" s="38"/>
    </row>
    <row r="5617" spans="1:12" x14ac:dyDescent="0.25">
      <c r="A5617" s="35"/>
      <c r="B5617" s="36"/>
      <c r="C5617" s="36"/>
      <c r="D5617" s="36"/>
      <c r="E5617" s="36"/>
      <c r="F5617" s="36"/>
      <c r="G5617" s="36"/>
      <c r="H5617" s="36"/>
      <c r="I5617" s="37"/>
      <c r="J5617" s="36"/>
      <c r="K5617" s="38"/>
      <c r="L5617" s="38"/>
    </row>
    <row r="5618" spans="1:12" x14ac:dyDescent="0.25">
      <c r="A5618" s="35"/>
      <c r="B5618" s="36"/>
      <c r="C5618" s="36"/>
      <c r="D5618" s="36"/>
      <c r="E5618" s="36"/>
      <c r="F5618" s="36"/>
      <c r="G5618" s="36"/>
      <c r="H5618" s="36"/>
      <c r="I5618" s="37"/>
      <c r="J5618" s="36"/>
      <c r="K5618" s="38"/>
      <c r="L5618" s="38"/>
    </row>
    <row r="5619" spans="1:12" x14ac:dyDescent="0.25">
      <c r="A5619" s="35"/>
      <c r="B5619" s="36"/>
      <c r="C5619" s="36"/>
      <c r="D5619" s="36"/>
      <c r="E5619" s="36"/>
      <c r="F5619" s="36"/>
      <c r="G5619" s="36"/>
      <c r="H5619" s="36"/>
      <c r="I5619" s="37"/>
      <c r="J5619" s="36"/>
      <c r="K5619" s="38"/>
      <c r="L5619" s="38"/>
    </row>
    <row r="5620" spans="1:12" x14ac:dyDescent="0.25">
      <c r="A5620" s="35"/>
      <c r="B5620" s="36"/>
      <c r="C5620" s="36"/>
      <c r="D5620" s="36"/>
      <c r="E5620" s="36"/>
      <c r="F5620" s="36"/>
      <c r="G5620" s="36"/>
      <c r="H5620" s="36"/>
      <c r="I5620" s="37"/>
      <c r="J5620" s="36"/>
      <c r="K5620" s="38"/>
      <c r="L5620" s="38"/>
    </row>
    <row r="5621" spans="1:12" x14ac:dyDescent="0.25">
      <c r="A5621" s="35"/>
      <c r="B5621" s="36"/>
      <c r="C5621" s="36"/>
      <c r="D5621" s="36"/>
      <c r="E5621" s="36"/>
      <c r="F5621" s="36"/>
      <c r="G5621" s="36"/>
      <c r="H5621" s="36"/>
      <c r="I5621" s="37"/>
      <c r="J5621" s="36"/>
      <c r="K5621" s="38"/>
      <c r="L5621" s="38"/>
    </row>
    <row r="5622" spans="1:12" x14ac:dyDescent="0.25">
      <c r="A5622" s="35"/>
      <c r="B5622" s="36"/>
      <c r="C5622" s="36"/>
      <c r="D5622" s="36"/>
      <c r="E5622" s="36"/>
      <c r="F5622" s="36"/>
      <c r="G5622" s="36"/>
      <c r="H5622" s="36"/>
      <c r="I5622" s="37"/>
      <c r="J5622" s="36"/>
      <c r="K5622" s="38"/>
      <c r="L5622" s="38"/>
    </row>
    <row r="5623" spans="1:12" x14ac:dyDescent="0.25">
      <c r="A5623" s="35"/>
      <c r="B5623" s="36"/>
      <c r="C5623" s="36"/>
      <c r="D5623" s="36"/>
      <c r="E5623" s="36"/>
      <c r="F5623" s="36"/>
      <c r="G5623" s="36"/>
      <c r="H5623" s="36"/>
      <c r="I5623" s="37"/>
      <c r="J5623" s="36"/>
      <c r="K5623" s="38"/>
      <c r="L5623" s="38"/>
    </row>
    <row r="5624" spans="1:12" x14ac:dyDescent="0.25">
      <c r="A5624" s="35"/>
      <c r="B5624" s="36"/>
      <c r="C5624" s="36"/>
      <c r="D5624" s="36"/>
      <c r="E5624" s="36"/>
      <c r="F5624" s="36"/>
      <c r="G5624" s="36"/>
      <c r="H5624" s="36"/>
      <c r="I5624" s="37"/>
      <c r="J5624" s="36"/>
      <c r="K5624" s="38"/>
      <c r="L5624" s="38"/>
    </row>
    <row r="5625" spans="1:12" x14ac:dyDescent="0.25">
      <c r="A5625" s="35"/>
      <c r="B5625" s="36"/>
      <c r="C5625" s="36"/>
      <c r="D5625" s="36"/>
      <c r="E5625" s="36"/>
      <c r="F5625" s="36"/>
      <c r="G5625" s="36"/>
      <c r="H5625" s="36"/>
      <c r="I5625" s="37"/>
      <c r="J5625" s="36"/>
      <c r="K5625" s="38"/>
      <c r="L5625" s="38"/>
    </row>
    <row r="5626" spans="1:12" x14ac:dyDescent="0.25">
      <c r="A5626" s="35"/>
      <c r="B5626" s="36"/>
      <c r="C5626" s="36"/>
      <c r="D5626" s="36"/>
      <c r="E5626" s="36"/>
      <c r="F5626" s="36"/>
      <c r="G5626" s="36"/>
      <c r="H5626" s="36"/>
      <c r="I5626" s="37"/>
      <c r="J5626" s="36"/>
      <c r="K5626" s="38"/>
      <c r="L5626" s="38"/>
    </row>
    <row r="5627" spans="1:12" x14ac:dyDescent="0.25">
      <c r="A5627" s="35"/>
      <c r="B5627" s="36"/>
      <c r="C5627" s="36"/>
      <c r="D5627" s="36"/>
      <c r="E5627" s="36"/>
      <c r="F5627" s="36"/>
      <c r="G5627" s="36"/>
      <c r="H5627" s="36"/>
      <c r="I5627" s="37"/>
      <c r="J5627" s="36"/>
      <c r="K5627" s="38"/>
      <c r="L5627" s="38"/>
    </row>
    <row r="5628" spans="1:12" x14ac:dyDescent="0.25">
      <c r="A5628" s="35"/>
      <c r="B5628" s="36"/>
      <c r="C5628" s="36"/>
      <c r="D5628" s="36"/>
      <c r="E5628" s="36"/>
      <c r="F5628" s="36"/>
      <c r="G5628" s="36"/>
      <c r="H5628" s="36"/>
      <c r="I5628" s="37"/>
      <c r="J5628" s="36"/>
      <c r="K5628" s="38"/>
      <c r="L5628" s="38"/>
    </row>
    <row r="5629" spans="1:12" x14ac:dyDescent="0.25">
      <c r="A5629" s="35"/>
      <c r="B5629" s="36"/>
      <c r="C5629" s="36"/>
      <c r="D5629" s="36"/>
      <c r="E5629" s="36"/>
      <c r="F5629" s="36"/>
      <c r="G5629" s="36"/>
      <c r="H5629" s="36"/>
      <c r="I5629" s="37"/>
      <c r="J5629" s="36"/>
      <c r="K5629" s="38"/>
      <c r="L5629" s="38"/>
    </row>
    <row r="5630" spans="1:12" x14ac:dyDescent="0.25">
      <c r="A5630" s="35"/>
      <c r="B5630" s="36"/>
      <c r="C5630" s="36"/>
      <c r="D5630" s="36"/>
      <c r="E5630" s="36"/>
      <c r="F5630" s="36"/>
      <c r="G5630" s="36"/>
      <c r="H5630" s="36"/>
      <c r="I5630" s="37"/>
      <c r="J5630" s="36"/>
      <c r="K5630" s="38"/>
      <c r="L5630" s="38"/>
    </row>
    <row r="5631" spans="1:12" x14ac:dyDescent="0.25">
      <c r="A5631" s="35"/>
      <c r="B5631" s="36"/>
      <c r="C5631" s="36"/>
      <c r="D5631" s="36"/>
      <c r="E5631" s="36"/>
      <c r="F5631" s="36"/>
      <c r="G5631" s="36"/>
      <c r="H5631" s="36"/>
      <c r="I5631" s="37"/>
      <c r="J5631" s="36"/>
      <c r="K5631" s="38"/>
      <c r="L5631" s="38"/>
    </row>
    <row r="5632" spans="1:12" x14ac:dyDescent="0.25">
      <c r="A5632" s="35"/>
      <c r="B5632" s="36"/>
      <c r="C5632" s="36"/>
      <c r="D5632" s="36"/>
      <c r="E5632" s="36"/>
      <c r="F5632" s="36"/>
      <c r="G5632" s="36"/>
      <c r="H5632" s="36"/>
      <c r="I5632" s="37"/>
      <c r="J5632" s="36"/>
      <c r="K5632" s="38"/>
      <c r="L5632" s="38"/>
    </row>
    <row r="5633" spans="1:12" x14ac:dyDescent="0.25">
      <c r="A5633" s="35"/>
      <c r="B5633" s="36"/>
      <c r="C5633" s="36"/>
      <c r="D5633" s="36"/>
      <c r="E5633" s="36"/>
      <c r="F5633" s="36"/>
      <c r="G5633" s="36"/>
      <c r="H5633" s="36"/>
      <c r="I5633" s="37"/>
      <c r="J5633" s="36"/>
      <c r="K5633" s="38"/>
      <c r="L5633" s="38"/>
    </row>
    <row r="5634" spans="1:12" x14ac:dyDescent="0.25">
      <c r="A5634" s="35"/>
      <c r="B5634" s="36"/>
      <c r="C5634" s="36"/>
      <c r="D5634" s="36"/>
      <c r="E5634" s="36"/>
      <c r="F5634" s="36"/>
      <c r="G5634" s="36"/>
      <c r="H5634" s="36"/>
      <c r="I5634" s="37"/>
      <c r="J5634" s="36"/>
      <c r="K5634" s="38"/>
      <c r="L5634" s="38"/>
    </row>
    <row r="5635" spans="1:12" x14ac:dyDescent="0.25">
      <c r="A5635" s="35"/>
      <c r="B5635" s="36"/>
      <c r="C5635" s="36"/>
      <c r="D5635" s="36"/>
      <c r="E5635" s="36"/>
      <c r="F5635" s="36"/>
      <c r="G5635" s="36"/>
      <c r="H5635" s="36"/>
      <c r="I5635" s="37"/>
      <c r="J5635" s="36"/>
      <c r="K5635" s="38"/>
      <c r="L5635" s="38"/>
    </row>
    <row r="5636" spans="1:12" x14ac:dyDescent="0.25">
      <c r="A5636" s="35"/>
      <c r="B5636" s="36"/>
      <c r="C5636" s="36"/>
      <c r="D5636" s="36"/>
      <c r="E5636" s="36"/>
      <c r="F5636" s="36"/>
      <c r="G5636" s="36"/>
      <c r="H5636" s="36"/>
      <c r="I5636" s="37"/>
      <c r="J5636" s="36"/>
      <c r="K5636" s="38"/>
      <c r="L5636" s="38"/>
    </row>
    <row r="5637" spans="1:12" x14ac:dyDescent="0.25">
      <c r="A5637" s="35"/>
      <c r="B5637" s="36"/>
      <c r="C5637" s="36"/>
      <c r="D5637" s="36"/>
      <c r="E5637" s="36"/>
      <c r="F5637" s="36"/>
      <c r="G5637" s="36"/>
      <c r="H5637" s="36"/>
      <c r="I5637" s="37"/>
      <c r="J5637" s="36"/>
      <c r="K5637" s="38"/>
      <c r="L5637" s="38"/>
    </row>
    <row r="5638" spans="1:12" x14ac:dyDescent="0.25">
      <c r="A5638" s="35"/>
      <c r="B5638" s="36"/>
      <c r="C5638" s="36"/>
      <c r="D5638" s="36"/>
      <c r="E5638" s="36"/>
      <c r="F5638" s="36"/>
      <c r="G5638" s="36"/>
      <c r="H5638" s="36"/>
      <c r="I5638" s="37"/>
      <c r="J5638" s="36"/>
      <c r="K5638" s="38"/>
      <c r="L5638" s="38"/>
    </row>
    <row r="5639" spans="1:12" x14ac:dyDescent="0.25">
      <c r="A5639" s="35"/>
      <c r="B5639" s="36"/>
      <c r="C5639" s="36"/>
      <c r="D5639" s="36"/>
      <c r="E5639" s="36"/>
      <c r="F5639" s="36"/>
      <c r="G5639" s="36"/>
      <c r="H5639" s="36"/>
      <c r="I5639" s="37"/>
      <c r="J5639" s="36"/>
      <c r="K5639" s="38"/>
      <c r="L5639" s="38"/>
    </row>
    <row r="5640" spans="1:12" x14ac:dyDescent="0.25">
      <c r="A5640" s="35"/>
      <c r="B5640" s="36"/>
      <c r="C5640" s="36"/>
      <c r="D5640" s="36"/>
      <c r="E5640" s="36"/>
      <c r="F5640" s="36"/>
      <c r="G5640" s="36"/>
      <c r="H5640" s="36"/>
      <c r="I5640" s="37"/>
      <c r="J5640" s="36"/>
      <c r="K5640" s="38"/>
      <c r="L5640" s="38"/>
    </row>
    <row r="5641" spans="1:12" x14ac:dyDescent="0.25">
      <c r="A5641" s="35"/>
      <c r="B5641" s="36"/>
      <c r="C5641" s="36"/>
      <c r="D5641" s="36"/>
      <c r="E5641" s="36"/>
      <c r="F5641" s="36"/>
      <c r="G5641" s="36"/>
      <c r="H5641" s="36"/>
      <c r="I5641" s="37"/>
      <c r="J5641" s="36"/>
      <c r="K5641" s="38"/>
      <c r="L5641" s="38"/>
    </row>
    <row r="5642" spans="1:12" x14ac:dyDescent="0.25">
      <c r="A5642" s="35"/>
      <c r="B5642" s="36"/>
      <c r="C5642" s="36"/>
      <c r="D5642" s="36"/>
      <c r="E5642" s="36"/>
      <c r="F5642" s="36"/>
      <c r="G5642" s="36"/>
      <c r="H5642" s="36"/>
      <c r="I5642" s="37"/>
      <c r="J5642" s="36"/>
      <c r="K5642" s="38"/>
      <c r="L5642" s="38"/>
    </row>
    <row r="5643" spans="1:12" x14ac:dyDescent="0.25">
      <c r="A5643" s="35"/>
      <c r="B5643" s="36"/>
      <c r="C5643" s="36"/>
      <c r="D5643" s="36"/>
      <c r="E5643" s="36"/>
      <c r="F5643" s="36"/>
      <c r="G5643" s="36"/>
      <c r="H5643" s="36"/>
      <c r="I5643" s="37"/>
      <c r="J5643" s="36"/>
      <c r="K5643" s="38"/>
      <c r="L5643" s="38"/>
    </row>
    <row r="5644" spans="1:12" x14ac:dyDescent="0.25">
      <c r="A5644" s="35"/>
      <c r="B5644" s="36"/>
      <c r="C5644" s="36"/>
      <c r="D5644" s="36"/>
      <c r="E5644" s="36"/>
      <c r="F5644" s="36"/>
      <c r="G5644" s="36"/>
      <c r="H5644" s="36"/>
      <c r="I5644" s="37"/>
      <c r="J5644" s="36"/>
      <c r="K5644" s="38"/>
      <c r="L5644" s="38"/>
    </row>
    <row r="5645" spans="1:12" x14ac:dyDescent="0.25">
      <c r="A5645" s="35"/>
      <c r="B5645" s="36"/>
      <c r="C5645" s="36"/>
      <c r="D5645" s="36"/>
      <c r="E5645" s="36"/>
      <c r="F5645" s="36"/>
      <c r="G5645" s="36"/>
      <c r="H5645" s="36"/>
      <c r="I5645" s="37"/>
      <c r="J5645" s="36"/>
      <c r="K5645" s="38"/>
      <c r="L5645" s="38"/>
    </row>
    <row r="5646" spans="1:12" x14ac:dyDescent="0.25">
      <c r="A5646" s="35"/>
      <c r="B5646" s="36"/>
      <c r="C5646" s="36"/>
      <c r="D5646" s="36"/>
      <c r="E5646" s="36"/>
      <c r="F5646" s="36"/>
      <c r="G5646" s="36"/>
      <c r="H5646" s="36"/>
      <c r="I5646" s="37"/>
      <c r="J5646" s="36"/>
      <c r="K5646" s="38"/>
      <c r="L5646" s="38"/>
    </row>
    <row r="5647" spans="1:12" x14ac:dyDescent="0.25">
      <c r="A5647" s="35"/>
      <c r="B5647" s="36"/>
      <c r="C5647" s="36"/>
      <c r="D5647" s="36"/>
      <c r="E5647" s="36"/>
      <c r="F5647" s="36"/>
      <c r="G5647" s="36"/>
      <c r="H5647" s="36"/>
      <c r="I5647" s="37"/>
      <c r="J5647" s="36"/>
      <c r="K5647" s="38"/>
      <c r="L5647" s="38"/>
    </row>
    <row r="5648" spans="1:12" x14ac:dyDescent="0.25">
      <c r="A5648" s="35"/>
      <c r="B5648" s="36"/>
      <c r="C5648" s="36"/>
      <c r="D5648" s="36"/>
      <c r="E5648" s="36"/>
      <c r="F5648" s="36"/>
      <c r="G5648" s="36"/>
      <c r="H5648" s="36"/>
      <c r="I5648" s="37"/>
      <c r="J5648" s="36"/>
      <c r="K5648" s="38"/>
      <c r="L5648" s="38"/>
    </row>
    <row r="5649" spans="1:12" x14ac:dyDescent="0.25">
      <c r="A5649" s="35"/>
      <c r="B5649" s="36"/>
      <c r="C5649" s="36"/>
      <c r="D5649" s="36"/>
      <c r="E5649" s="36"/>
      <c r="F5649" s="36"/>
      <c r="G5649" s="36"/>
      <c r="H5649" s="36"/>
      <c r="I5649" s="37"/>
      <c r="J5649" s="36"/>
      <c r="K5649" s="38"/>
      <c r="L5649" s="38"/>
    </row>
    <row r="5650" spans="1:12" x14ac:dyDescent="0.25">
      <c r="A5650" s="35"/>
      <c r="B5650" s="36"/>
      <c r="C5650" s="36"/>
      <c r="D5650" s="36"/>
      <c r="E5650" s="36"/>
      <c r="F5650" s="36"/>
      <c r="G5650" s="36"/>
      <c r="H5650" s="36"/>
      <c r="I5650" s="37"/>
      <c r="J5650" s="36"/>
      <c r="K5650" s="38"/>
      <c r="L5650" s="38"/>
    </row>
    <row r="5651" spans="1:12" x14ac:dyDescent="0.25">
      <c r="A5651" s="35"/>
      <c r="B5651" s="36"/>
      <c r="C5651" s="36"/>
      <c r="D5651" s="36"/>
      <c r="E5651" s="36"/>
      <c r="F5651" s="36"/>
      <c r="G5651" s="36"/>
      <c r="H5651" s="36"/>
      <c r="I5651" s="37"/>
      <c r="J5651" s="36"/>
      <c r="K5651" s="38"/>
      <c r="L5651" s="38"/>
    </row>
    <row r="5652" spans="1:12" x14ac:dyDescent="0.25">
      <c r="A5652" s="35"/>
      <c r="B5652" s="36"/>
      <c r="C5652" s="36"/>
      <c r="D5652" s="36"/>
      <c r="E5652" s="36"/>
      <c r="F5652" s="36"/>
      <c r="G5652" s="36"/>
      <c r="H5652" s="36"/>
      <c r="I5652" s="37"/>
      <c r="J5652" s="36"/>
      <c r="K5652" s="38"/>
      <c r="L5652" s="38"/>
    </row>
    <row r="5653" spans="1:12" x14ac:dyDescent="0.25">
      <c r="A5653" s="35"/>
      <c r="B5653" s="36"/>
      <c r="C5653" s="36"/>
      <c r="D5653" s="36"/>
      <c r="E5653" s="36"/>
      <c r="F5653" s="36"/>
      <c r="G5653" s="36"/>
      <c r="H5653" s="36"/>
      <c r="I5653" s="37"/>
      <c r="J5653" s="36"/>
      <c r="K5653" s="38"/>
      <c r="L5653" s="38"/>
    </row>
    <row r="5654" spans="1:12" x14ac:dyDescent="0.25">
      <c r="A5654" s="35"/>
      <c r="B5654" s="36"/>
      <c r="C5654" s="36"/>
      <c r="D5654" s="36"/>
      <c r="E5654" s="36"/>
      <c r="F5654" s="36"/>
      <c r="G5654" s="36"/>
      <c r="H5654" s="36"/>
      <c r="I5654" s="37"/>
      <c r="J5654" s="36"/>
      <c r="K5654" s="38"/>
      <c r="L5654" s="38"/>
    </row>
    <row r="5655" spans="1:12" x14ac:dyDescent="0.25">
      <c r="A5655" s="35"/>
      <c r="B5655" s="36"/>
      <c r="C5655" s="36"/>
      <c r="D5655" s="36"/>
      <c r="E5655" s="36"/>
      <c r="F5655" s="36"/>
      <c r="G5655" s="36"/>
      <c r="H5655" s="36"/>
      <c r="I5655" s="37"/>
      <c r="J5655" s="36"/>
      <c r="K5655" s="38"/>
      <c r="L5655" s="38"/>
    </row>
    <row r="5656" spans="1:12" x14ac:dyDescent="0.25">
      <c r="A5656" s="35"/>
      <c r="B5656" s="36"/>
      <c r="C5656" s="36"/>
      <c r="D5656" s="36"/>
      <c r="E5656" s="36"/>
      <c r="F5656" s="36"/>
      <c r="G5656" s="36"/>
      <c r="H5656" s="36"/>
      <c r="I5656" s="37"/>
      <c r="J5656" s="36"/>
      <c r="K5656" s="38"/>
      <c r="L5656" s="38"/>
    </row>
    <row r="5657" spans="1:12" x14ac:dyDescent="0.25">
      <c r="A5657" s="35"/>
      <c r="B5657" s="36"/>
      <c r="C5657" s="36"/>
      <c r="D5657" s="36"/>
      <c r="E5657" s="36"/>
      <c r="F5657" s="36"/>
      <c r="G5657" s="36"/>
      <c r="H5657" s="36"/>
      <c r="I5657" s="37"/>
      <c r="J5657" s="36"/>
      <c r="K5657" s="38"/>
      <c r="L5657" s="38"/>
    </row>
    <row r="5658" spans="1:12" x14ac:dyDescent="0.25">
      <c r="A5658" s="35"/>
      <c r="B5658" s="36"/>
      <c r="C5658" s="36"/>
      <c r="D5658" s="36"/>
      <c r="E5658" s="36"/>
      <c r="F5658" s="36"/>
      <c r="G5658" s="36"/>
      <c r="H5658" s="36"/>
      <c r="I5658" s="37"/>
      <c r="J5658" s="36"/>
      <c r="K5658" s="38"/>
      <c r="L5658" s="38"/>
    </row>
    <row r="5659" spans="1:12" x14ac:dyDescent="0.25">
      <c r="A5659" s="35"/>
      <c r="B5659" s="36"/>
      <c r="C5659" s="36"/>
      <c r="D5659" s="36"/>
      <c r="E5659" s="36"/>
      <c r="F5659" s="36"/>
      <c r="G5659" s="36"/>
      <c r="H5659" s="36"/>
      <c r="I5659" s="37"/>
      <c r="J5659" s="36"/>
      <c r="K5659" s="38"/>
      <c r="L5659" s="38"/>
    </row>
    <row r="5660" spans="1:12" x14ac:dyDescent="0.25">
      <c r="A5660" s="35"/>
      <c r="B5660" s="36"/>
      <c r="C5660" s="36"/>
      <c r="D5660" s="36"/>
      <c r="E5660" s="36"/>
      <c r="F5660" s="36"/>
      <c r="G5660" s="36"/>
      <c r="H5660" s="36"/>
      <c r="I5660" s="37"/>
      <c r="J5660" s="36"/>
      <c r="K5660" s="38"/>
      <c r="L5660" s="38"/>
    </row>
    <row r="5661" spans="1:12" x14ac:dyDescent="0.25">
      <c r="A5661" s="35"/>
      <c r="B5661" s="36"/>
      <c r="C5661" s="36"/>
      <c r="D5661" s="36"/>
      <c r="E5661" s="36"/>
      <c r="F5661" s="36"/>
      <c r="G5661" s="36"/>
      <c r="H5661" s="36"/>
      <c r="I5661" s="37"/>
      <c r="J5661" s="36"/>
      <c r="K5661" s="38"/>
      <c r="L5661" s="38"/>
    </row>
    <row r="5662" spans="1:12" x14ac:dyDescent="0.25">
      <c r="A5662" s="35"/>
      <c r="B5662" s="36"/>
      <c r="C5662" s="36"/>
      <c r="D5662" s="36"/>
      <c r="E5662" s="36"/>
      <c r="F5662" s="36"/>
      <c r="G5662" s="36"/>
      <c r="H5662" s="36"/>
      <c r="I5662" s="37"/>
      <c r="J5662" s="36"/>
      <c r="K5662" s="38"/>
      <c r="L5662" s="38"/>
    </row>
    <row r="5663" spans="1:12" x14ac:dyDescent="0.25">
      <c r="A5663" s="35"/>
      <c r="B5663" s="36"/>
      <c r="C5663" s="36"/>
      <c r="D5663" s="36"/>
      <c r="E5663" s="36"/>
      <c r="F5663" s="36"/>
      <c r="G5663" s="36"/>
      <c r="H5663" s="36"/>
      <c r="I5663" s="37"/>
      <c r="J5663" s="36"/>
      <c r="K5663" s="38"/>
      <c r="L5663" s="38"/>
    </row>
    <row r="5664" spans="1:12" x14ac:dyDescent="0.25">
      <c r="A5664" s="35"/>
      <c r="B5664" s="36"/>
      <c r="C5664" s="36"/>
      <c r="D5664" s="36"/>
      <c r="E5664" s="36"/>
      <c r="F5664" s="36"/>
      <c r="G5664" s="36"/>
      <c r="H5664" s="36"/>
      <c r="I5664" s="37"/>
      <c r="J5664" s="36"/>
      <c r="K5664" s="38"/>
      <c r="L5664" s="38"/>
    </row>
    <row r="5665" spans="1:12" x14ac:dyDescent="0.25">
      <c r="A5665" s="35"/>
      <c r="B5665" s="36"/>
      <c r="C5665" s="36"/>
      <c r="D5665" s="36"/>
      <c r="E5665" s="36"/>
      <c r="F5665" s="36"/>
      <c r="G5665" s="36"/>
      <c r="H5665" s="36"/>
      <c r="I5665" s="37"/>
      <c r="J5665" s="36"/>
      <c r="K5665" s="38"/>
      <c r="L5665" s="38"/>
    </row>
    <row r="5666" spans="1:12" x14ac:dyDescent="0.25">
      <c r="A5666" s="35"/>
      <c r="B5666" s="36"/>
      <c r="C5666" s="36"/>
      <c r="D5666" s="36"/>
      <c r="E5666" s="36"/>
      <c r="F5666" s="36"/>
      <c r="G5666" s="36"/>
      <c r="H5666" s="36"/>
      <c r="I5666" s="37"/>
      <c r="J5666" s="36"/>
      <c r="K5666" s="38"/>
      <c r="L5666" s="38"/>
    </row>
    <row r="5667" spans="1:12" x14ac:dyDescent="0.25">
      <c r="A5667" s="35"/>
      <c r="B5667" s="36"/>
      <c r="C5667" s="36"/>
      <c r="D5667" s="36"/>
      <c r="E5667" s="36"/>
      <c r="F5667" s="36"/>
      <c r="G5667" s="36"/>
      <c r="H5667" s="36"/>
      <c r="I5667" s="37"/>
      <c r="J5667" s="36"/>
      <c r="K5667" s="38"/>
      <c r="L5667" s="38"/>
    </row>
    <row r="5668" spans="1:12" x14ac:dyDescent="0.25">
      <c r="A5668" s="35"/>
      <c r="B5668" s="36"/>
      <c r="C5668" s="36"/>
      <c r="D5668" s="36"/>
      <c r="E5668" s="36"/>
      <c r="F5668" s="36"/>
      <c r="G5668" s="36"/>
      <c r="H5668" s="36"/>
      <c r="I5668" s="37"/>
      <c r="J5668" s="36"/>
      <c r="K5668" s="38"/>
      <c r="L5668" s="38"/>
    </row>
    <row r="5669" spans="1:12" x14ac:dyDescent="0.25">
      <c r="A5669" s="35"/>
      <c r="B5669" s="36"/>
      <c r="C5669" s="36"/>
      <c r="D5669" s="36"/>
      <c r="E5669" s="36"/>
      <c r="F5669" s="36"/>
      <c r="G5669" s="36"/>
      <c r="H5669" s="36"/>
      <c r="I5669" s="37"/>
      <c r="J5669" s="36"/>
      <c r="K5669" s="38"/>
      <c r="L5669" s="38"/>
    </row>
    <row r="5670" spans="1:12" x14ac:dyDescent="0.25">
      <c r="A5670" s="35"/>
      <c r="B5670" s="36"/>
      <c r="C5670" s="36"/>
      <c r="D5670" s="36"/>
      <c r="E5670" s="36"/>
      <c r="F5670" s="36"/>
      <c r="G5670" s="36"/>
      <c r="H5670" s="36"/>
      <c r="I5670" s="37"/>
      <c r="J5670" s="36"/>
      <c r="K5670" s="38"/>
      <c r="L5670" s="38"/>
    </row>
    <row r="5671" spans="1:12" x14ac:dyDescent="0.25">
      <c r="A5671" s="35"/>
      <c r="B5671" s="36"/>
      <c r="C5671" s="36"/>
      <c r="D5671" s="36"/>
      <c r="E5671" s="36"/>
      <c r="F5671" s="36"/>
      <c r="G5671" s="36"/>
      <c r="H5671" s="36"/>
      <c r="I5671" s="37"/>
      <c r="J5671" s="36"/>
      <c r="K5671" s="38"/>
      <c r="L5671" s="38"/>
    </row>
    <row r="5672" spans="1:12" x14ac:dyDescent="0.25">
      <c r="A5672" s="35"/>
      <c r="B5672" s="36"/>
      <c r="C5672" s="36"/>
      <c r="D5672" s="36"/>
      <c r="E5672" s="36"/>
      <c r="F5672" s="36"/>
      <c r="G5672" s="36"/>
      <c r="H5672" s="36"/>
      <c r="I5672" s="37"/>
      <c r="J5672" s="36"/>
      <c r="K5672" s="38"/>
      <c r="L5672" s="38"/>
    </row>
    <row r="5673" spans="1:12" x14ac:dyDescent="0.25">
      <c r="A5673" s="35"/>
      <c r="B5673" s="36"/>
      <c r="C5673" s="36"/>
      <c r="D5673" s="36"/>
      <c r="E5673" s="36"/>
      <c r="F5673" s="36"/>
      <c r="G5673" s="36"/>
      <c r="H5673" s="36"/>
      <c r="I5673" s="37"/>
      <c r="J5673" s="36"/>
      <c r="K5673" s="38"/>
      <c r="L5673" s="38"/>
    </row>
    <row r="5674" spans="1:12" x14ac:dyDescent="0.25">
      <c r="A5674" s="35"/>
      <c r="B5674" s="36"/>
      <c r="C5674" s="36"/>
      <c r="D5674" s="36"/>
      <c r="E5674" s="36"/>
      <c r="F5674" s="36"/>
      <c r="G5674" s="36"/>
      <c r="H5674" s="36"/>
      <c r="I5674" s="37"/>
      <c r="J5674" s="36"/>
      <c r="K5674" s="38"/>
      <c r="L5674" s="38"/>
    </row>
    <row r="5675" spans="1:12" x14ac:dyDescent="0.25">
      <c r="A5675" s="35"/>
      <c r="B5675" s="36"/>
      <c r="C5675" s="36"/>
      <c r="D5675" s="36"/>
      <c r="E5675" s="36"/>
      <c r="F5675" s="36"/>
      <c r="G5675" s="36"/>
      <c r="H5675" s="36"/>
      <c r="I5675" s="37"/>
      <c r="J5675" s="36"/>
      <c r="K5675" s="38"/>
      <c r="L5675" s="38"/>
    </row>
    <row r="5676" spans="1:12" x14ac:dyDescent="0.25">
      <c r="A5676" s="35"/>
      <c r="B5676" s="36"/>
      <c r="C5676" s="36"/>
      <c r="D5676" s="36"/>
      <c r="E5676" s="36"/>
      <c r="F5676" s="36"/>
      <c r="G5676" s="36"/>
      <c r="H5676" s="36"/>
      <c r="I5676" s="37"/>
      <c r="J5676" s="36"/>
      <c r="K5676" s="38"/>
      <c r="L5676" s="38"/>
    </row>
    <row r="5677" spans="1:12" x14ac:dyDescent="0.25">
      <c r="A5677" s="35"/>
      <c r="B5677" s="36"/>
      <c r="C5677" s="36"/>
      <c r="D5677" s="36"/>
      <c r="E5677" s="36"/>
      <c r="F5677" s="36"/>
      <c r="G5677" s="36"/>
      <c r="H5677" s="36"/>
      <c r="I5677" s="37"/>
      <c r="J5677" s="36"/>
      <c r="K5677" s="38"/>
      <c r="L5677" s="38"/>
    </row>
    <row r="5678" spans="1:12" x14ac:dyDescent="0.25">
      <c r="A5678" s="35"/>
      <c r="B5678" s="36"/>
      <c r="C5678" s="36"/>
      <c r="D5678" s="36"/>
      <c r="E5678" s="36"/>
      <c r="F5678" s="36"/>
      <c r="G5678" s="36"/>
      <c r="H5678" s="36"/>
      <c r="I5678" s="37"/>
      <c r="J5678" s="36"/>
      <c r="K5678" s="38"/>
      <c r="L5678" s="38"/>
    </row>
    <row r="5679" spans="1:12" x14ac:dyDescent="0.25">
      <c r="A5679" s="35"/>
      <c r="B5679" s="36"/>
      <c r="C5679" s="36"/>
      <c r="D5679" s="36"/>
      <c r="E5679" s="36"/>
      <c r="F5679" s="36"/>
      <c r="G5679" s="36"/>
      <c r="H5679" s="36"/>
      <c r="I5679" s="37"/>
      <c r="J5679" s="36"/>
      <c r="K5679" s="38"/>
      <c r="L5679" s="38"/>
    </row>
    <row r="5680" spans="1:12" x14ac:dyDescent="0.25">
      <c r="A5680" s="35"/>
      <c r="B5680" s="36"/>
      <c r="C5680" s="36"/>
      <c r="D5680" s="36"/>
      <c r="E5680" s="36"/>
      <c r="F5680" s="36"/>
      <c r="G5680" s="36"/>
      <c r="H5680" s="36"/>
      <c r="I5680" s="37"/>
      <c r="J5680" s="36"/>
      <c r="K5680" s="38"/>
      <c r="L5680" s="38"/>
    </row>
    <row r="5681" spans="1:12" x14ac:dyDescent="0.25">
      <c r="A5681" s="35"/>
      <c r="B5681" s="36"/>
      <c r="C5681" s="36"/>
      <c r="D5681" s="36"/>
      <c r="E5681" s="36"/>
      <c r="F5681" s="36"/>
      <c r="G5681" s="36"/>
      <c r="H5681" s="36"/>
      <c r="I5681" s="37"/>
      <c r="J5681" s="36"/>
      <c r="K5681" s="38"/>
      <c r="L5681" s="38"/>
    </row>
    <row r="5682" spans="1:12" x14ac:dyDescent="0.25">
      <c r="A5682" s="35"/>
      <c r="B5682" s="36"/>
      <c r="C5682" s="36"/>
      <c r="D5682" s="36"/>
      <c r="E5682" s="36"/>
      <c r="F5682" s="36"/>
      <c r="G5682" s="36"/>
      <c r="H5682" s="36"/>
      <c r="I5682" s="37"/>
      <c r="J5682" s="36"/>
      <c r="K5682" s="38"/>
      <c r="L5682" s="38"/>
    </row>
    <row r="5683" spans="1:12" x14ac:dyDescent="0.25">
      <c r="A5683" s="35"/>
      <c r="B5683" s="36"/>
      <c r="C5683" s="36"/>
      <c r="D5683" s="36"/>
      <c r="E5683" s="36"/>
      <c r="F5683" s="36"/>
      <c r="G5683" s="36"/>
      <c r="H5683" s="36"/>
      <c r="I5683" s="37"/>
      <c r="J5683" s="36"/>
      <c r="K5683" s="38"/>
      <c r="L5683" s="38"/>
    </row>
    <row r="5684" spans="1:12" x14ac:dyDescent="0.25">
      <c r="A5684" s="35"/>
      <c r="B5684" s="36"/>
      <c r="C5684" s="36"/>
      <c r="D5684" s="36"/>
      <c r="E5684" s="36"/>
      <c r="F5684" s="36"/>
      <c r="G5684" s="36"/>
      <c r="H5684" s="36"/>
      <c r="I5684" s="37"/>
      <c r="J5684" s="36"/>
      <c r="K5684" s="38"/>
      <c r="L5684" s="38"/>
    </row>
    <row r="5685" spans="1:12" x14ac:dyDescent="0.25">
      <c r="A5685" s="35"/>
      <c r="B5685" s="36"/>
      <c r="C5685" s="36"/>
      <c r="D5685" s="36"/>
      <c r="E5685" s="36"/>
      <c r="F5685" s="36"/>
      <c r="G5685" s="36"/>
      <c r="H5685" s="36"/>
      <c r="I5685" s="37"/>
      <c r="J5685" s="36"/>
      <c r="K5685" s="38"/>
      <c r="L5685" s="38"/>
    </row>
    <row r="5686" spans="1:12" x14ac:dyDescent="0.25">
      <c r="A5686" s="35"/>
      <c r="B5686" s="36"/>
      <c r="C5686" s="36"/>
      <c r="D5686" s="36"/>
      <c r="E5686" s="36"/>
      <c r="F5686" s="36"/>
      <c r="G5686" s="36"/>
      <c r="H5686" s="36"/>
      <c r="I5686" s="37"/>
      <c r="J5686" s="36"/>
      <c r="K5686" s="38"/>
      <c r="L5686" s="38"/>
    </row>
    <row r="5687" spans="1:12" x14ac:dyDescent="0.25">
      <c r="A5687" s="35"/>
      <c r="B5687" s="36"/>
      <c r="C5687" s="36"/>
      <c r="D5687" s="36"/>
      <c r="E5687" s="36"/>
      <c r="F5687" s="36"/>
      <c r="G5687" s="36"/>
      <c r="H5687" s="36"/>
      <c r="I5687" s="37"/>
      <c r="J5687" s="36"/>
      <c r="K5687" s="38"/>
      <c r="L5687" s="38"/>
    </row>
    <row r="5688" spans="1:12" x14ac:dyDescent="0.25">
      <c r="A5688" s="35"/>
      <c r="B5688" s="36"/>
      <c r="C5688" s="36"/>
      <c r="D5688" s="36"/>
      <c r="E5688" s="36"/>
      <c r="F5688" s="36"/>
      <c r="G5688" s="36"/>
      <c r="H5688" s="36"/>
      <c r="I5688" s="37"/>
      <c r="J5688" s="36"/>
      <c r="K5688" s="38"/>
      <c r="L5688" s="38"/>
    </row>
    <row r="5689" spans="1:12" x14ac:dyDescent="0.25">
      <c r="A5689" s="35"/>
      <c r="B5689" s="36"/>
      <c r="C5689" s="36"/>
      <c r="D5689" s="36"/>
      <c r="E5689" s="36"/>
      <c r="F5689" s="36"/>
      <c r="G5689" s="36"/>
      <c r="H5689" s="36"/>
      <c r="I5689" s="37"/>
      <c r="J5689" s="36"/>
      <c r="K5689" s="38"/>
      <c r="L5689" s="38"/>
    </row>
    <row r="5690" spans="1:12" x14ac:dyDescent="0.25">
      <c r="A5690" s="35"/>
      <c r="B5690" s="36"/>
      <c r="C5690" s="36"/>
      <c r="D5690" s="36"/>
      <c r="E5690" s="36"/>
      <c r="F5690" s="36"/>
      <c r="G5690" s="36"/>
      <c r="H5690" s="36"/>
      <c r="I5690" s="37"/>
      <c r="J5690" s="36"/>
      <c r="K5690" s="38"/>
      <c r="L5690" s="38"/>
    </row>
    <row r="5691" spans="1:12" x14ac:dyDescent="0.25">
      <c r="A5691" s="35"/>
      <c r="B5691" s="36"/>
      <c r="C5691" s="36"/>
      <c r="D5691" s="36"/>
      <c r="E5691" s="36"/>
      <c r="F5691" s="36"/>
      <c r="G5691" s="36"/>
      <c r="H5691" s="36"/>
      <c r="I5691" s="37"/>
      <c r="J5691" s="36"/>
      <c r="K5691" s="38"/>
      <c r="L5691" s="38"/>
    </row>
    <row r="5692" spans="1:12" x14ac:dyDescent="0.25">
      <c r="A5692" s="35"/>
      <c r="B5692" s="36"/>
      <c r="C5692" s="36"/>
      <c r="D5692" s="36"/>
      <c r="E5692" s="36"/>
      <c r="F5692" s="36"/>
      <c r="G5692" s="36"/>
      <c r="H5692" s="36"/>
      <c r="I5692" s="37"/>
      <c r="J5692" s="36"/>
      <c r="K5692" s="38"/>
      <c r="L5692" s="38"/>
    </row>
    <row r="5693" spans="1:12" x14ac:dyDescent="0.25">
      <c r="A5693" s="35"/>
      <c r="B5693" s="36"/>
      <c r="C5693" s="36"/>
      <c r="D5693" s="36"/>
      <c r="E5693" s="36"/>
      <c r="F5693" s="36"/>
      <c r="G5693" s="36"/>
      <c r="H5693" s="36"/>
      <c r="I5693" s="37"/>
      <c r="J5693" s="36"/>
      <c r="K5693" s="38"/>
      <c r="L5693" s="38"/>
    </row>
    <row r="5694" spans="1:12" x14ac:dyDescent="0.25">
      <c r="A5694" s="35"/>
      <c r="B5694" s="36"/>
      <c r="C5694" s="36"/>
      <c r="D5694" s="36"/>
      <c r="E5694" s="36"/>
      <c r="F5694" s="36"/>
      <c r="G5694" s="36"/>
      <c r="H5694" s="36"/>
      <c r="I5694" s="37"/>
      <c r="J5694" s="36"/>
      <c r="K5694" s="38"/>
      <c r="L5694" s="38"/>
    </row>
    <row r="5695" spans="1:12" x14ac:dyDescent="0.25">
      <c r="A5695" s="35"/>
      <c r="B5695" s="36"/>
      <c r="C5695" s="36"/>
      <c r="D5695" s="36"/>
      <c r="E5695" s="36"/>
      <c r="F5695" s="36"/>
      <c r="G5695" s="36"/>
      <c r="H5695" s="36"/>
      <c r="I5695" s="37"/>
      <c r="J5695" s="36"/>
      <c r="K5695" s="38"/>
      <c r="L5695" s="38"/>
    </row>
    <row r="5696" spans="1:12" x14ac:dyDescent="0.25">
      <c r="A5696" s="35"/>
      <c r="B5696" s="36"/>
      <c r="C5696" s="36"/>
      <c r="D5696" s="36"/>
      <c r="E5696" s="36"/>
      <c r="F5696" s="36"/>
      <c r="G5696" s="36"/>
      <c r="H5696" s="36"/>
      <c r="I5696" s="37"/>
      <c r="J5696" s="36"/>
      <c r="K5696" s="38"/>
      <c r="L5696" s="38"/>
    </row>
    <row r="5697" spans="1:12" x14ac:dyDescent="0.25">
      <c r="A5697" s="35"/>
      <c r="B5697" s="36"/>
      <c r="C5697" s="36"/>
      <c r="D5697" s="36"/>
      <c r="E5697" s="36"/>
      <c r="F5697" s="36"/>
      <c r="G5697" s="36"/>
      <c r="H5697" s="36"/>
      <c r="I5697" s="37"/>
      <c r="J5697" s="36"/>
      <c r="K5697" s="38"/>
      <c r="L5697" s="38"/>
    </row>
    <row r="5698" spans="1:12" x14ac:dyDescent="0.25">
      <c r="A5698" s="35"/>
      <c r="B5698" s="36"/>
      <c r="C5698" s="36"/>
      <c r="D5698" s="36"/>
      <c r="E5698" s="36"/>
      <c r="F5698" s="36"/>
      <c r="G5698" s="36"/>
      <c r="H5698" s="36"/>
      <c r="I5698" s="37"/>
      <c r="J5698" s="36"/>
      <c r="K5698" s="38"/>
      <c r="L5698" s="38"/>
    </row>
    <row r="5699" spans="1:12" x14ac:dyDescent="0.25">
      <c r="A5699" s="35"/>
      <c r="B5699" s="36"/>
      <c r="C5699" s="36"/>
      <c r="D5699" s="36"/>
      <c r="E5699" s="36"/>
      <c r="F5699" s="36"/>
      <c r="G5699" s="36"/>
      <c r="H5699" s="36"/>
      <c r="I5699" s="37"/>
      <c r="J5699" s="36"/>
      <c r="K5699" s="38"/>
      <c r="L5699" s="38"/>
    </row>
    <row r="5700" spans="1:12" x14ac:dyDescent="0.25">
      <c r="A5700" s="35"/>
      <c r="B5700" s="36"/>
      <c r="C5700" s="36"/>
      <c r="D5700" s="36"/>
      <c r="E5700" s="36"/>
      <c r="F5700" s="36"/>
      <c r="G5700" s="36"/>
      <c r="H5700" s="36"/>
      <c r="I5700" s="37"/>
      <c r="J5700" s="36"/>
      <c r="K5700" s="38"/>
      <c r="L5700" s="38"/>
    </row>
    <row r="5701" spans="1:12" x14ac:dyDescent="0.25">
      <c r="A5701" s="35"/>
      <c r="B5701" s="36"/>
      <c r="C5701" s="36"/>
      <c r="D5701" s="36"/>
      <c r="E5701" s="36"/>
      <c r="F5701" s="36"/>
      <c r="G5701" s="36"/>
      <c r="H5701" s="36"/>
      <c r="I5701" s="37"/>
      <c r="J5701" s="36"/>
      <c r="K5701" s="38"/>
      <c r="L5701" s="38"/>
    </row>
    <row r="5702" spans="1:12" x14ac:dyDescent="0.25">
      <c r="A5702" s="35"/>
      <c r="B5702" s="36"/>
      <c r="C5702" s="36"/>
      <c r="D5702" s="36"/>
      <c r="E5702" s="36"/>
      <c r="F5702" s="36"/>
      <c r="G5702" s="36"/>
      <c r="H5702" s="36"/>
      <c r="I5702" s="37"/>
      <c r="J5702" s="36"/>
      <c r="K5702" s="38"/>
      <c r="L5702" s="38"/>
    </row>
    <row r="5703" spans="1:12" x14ac:dyDescent="0.25">
      <c r="A5703" s="35"/>
      <c r="B5703" s="36"/>
      <c r="C5703" s="36"/>
      <c r="D5703" s="36"/>
      <c r="E5703" s="36"/>
      <c r="F5703" s="36"/>
      <c r="G5703" s="36"/>
      <c r="H5703" s="36"/>
      <c r="I5703" s="37"/>
      <c r="J5703" s="36"/>
      <c r="K5703" s="38"/>
      <c r="L5703" s="38"/>
    </row>
    <row r="5704" spans="1:12" x14ac:dyDescent="0.25">
      <c r="A5704" s="35"/>
      <c r="B5704" s="36"/>
      <c r="C5704" s="36"/>
      <c r="D5704" s="36"/>
      <c r="E5704" s="36"/>
      <c r="F5704" s="36"/>
      <c r="G5704" s="36"/>
      <c r="H5704" s="36"/>
      <c r="I5704" s="37"/>
      <c r="J5704" s="36"/>
      <c r="K5704" s="38"/>
      <c r="L5704" s="38"/>
    </row>
    <row r="5705" spans="1:12" x14ac:dyDescent="0.25">
      <c r="A5705" s="35"/>
      <c r="B5705" s="36"/>
      <c r="C5705" s="36"/>
      <c r="D5705" s="36"/>
      <c r="E5705" s="36"/>
      <c r="F5705" s="36"/>
      <c r="G5705" s="36"/>
      <c r="H5705" s="36"/>
      <c r="I5705" s="37"/>
      <c r="J5705" s="36"/>
      <c r="K5705" s="38"/>
      <c r="L5705" s="38"/>
    </row>
    <row r="5706" spans="1:12" x14ac:dyDescent="0.25">
      <c r="A5706" s="35"/>
      <c r="B5706" s="36"/>
      <c r="C5706" s="36"/>
      <c r="D5706" s="36"/>
      <c r="E5706" s="36"/>
      <c r="F5706" s="36"/>
      <c r="G5706" s="36"/>
      <c r="H5706" s="36"/>
      <c r="I5706" s="37"/>
      <c r="J5706" s="36"/>
      <c r="K5706" s="38"/>
      <c r="L5706" s="38"/>
    </row>
    <row r="5707" spans="1:12" x14ac:dyDescent="0.25">
      <c r="A5707" s="35"/>
      <c r="B5707" s="36"/>
      <c r="C5707" s="36"/>
      <c r="D5707" s="36"/>
      <c r="E5707" s="36"/>
      <c r="F5707" s="36"/>
      <c r="G5707" s="36"/>
      <c r="H5707" s="36"/>
      <c r="I5707" s="37"/>
      <c r="J5707" s="36"/>
      <c r="K5707" s="38"/>
      <c r="L5707" s="38"/>
    </row>
    <row r="5708" spans="1:12" x14ac:dyDescent="0.25">
      <c r="A5708" s="35"/>
      <c r="B5708" s="36"/>
      <c r="C5708" s="36"/>
      <c r="D5708" s="36"/>
      <c r="E5708" s="36"/>
      <c r="F5708" s="36"/>
      <c r="G5708" s="36"/>
      <c r="H5708" s="36"/>
      <c r="I5708" s="37"/>
      <c r="J5708" s="36"/>
      <c r="K5708" s="38"/>
      <c r="L5708" s="38"/>
    </row>
    <row r="5709" spans="1:12" x14ac:dyDescent="0.25">
      <c r="A5709" s="35"/>
      <c r="B5709" s="36"/>
      <c r="C5709" s="36"/>
      <c r="D5709" s="36"/>
      <c r="E5709" s="36"/>
      <c r="F5709" s="36"/>
      <c r="G5709" s="36"/>
      <c r="H5709" s="36"/>
      <c r="I5709" s="37"/>
      <c r="J5709" s="36"/>
      <c r="K5709" s="38"/>
      <c r="L5709" s="38"/>
    </row>
    <row r="5710" spans="1:12" x14ac:dyDescent="0.25">
      <c r="A5710" s="35"/>
      <c r="B5710" s="36"/>
      <c r="C5710" s="36"/>
      <c r="D5710" s="36"/>
      <c r="E5710" s="36"/>
      <c r="F5710" s="36"/>
      <c r="G5710" s="36"/>
      <c r="H5710" s="36"/>
      <c r="I5710" s="37"/>
      <c r="J5710" s="36"/>
      <c r="K5710" s="38"/>
      <c r="L5710" s="38"/>
    </row>
    <row r="5711" spans="1:12" x14ac:dyDescent="0.25">
      <c r="A5711" s="35"/>
      <c r="B5711" s="36"/>
      <c r="C5711" s="36"/>
      <c r="D5711" s="36"/>
      <c r="E5711" s="36"/>
      <c r="F5711" s="36"/>
      <c r="G5711" s="36"/>
      <c r="H5711" s="36"/>
      <c r="I5711" s="37"/>
      <c r="J5711" s="36"/>
      <c r="K5711" s="38"/>
      <c r="L5711" s="38"/>
    </row>
    <row r="5712" spans="1:12" x14ac:dyDescent="0.25">
      <c r="A5712" s="35"/>
      <c r="B5712" s="36"/>
      <c r="C5712" s="36"/>
      <c r="D5712" s="36"/>
      <c r="E5712" s="36"/>
      <c r="F5712" s="36"/>
      <c r="G5712" s="36"/>
      <c r="H5712" s="36"/>
      <c r="I5712" s="37"/>
      <c r="J5712" s="36"/>
      <c r="K5712" s="38"/>
      <c r="L5712" s="38"/>
    </row>
    <row r="5713" spans="1:12" x14ac:dyDescent="0.25">
      <c r="A5713" s="35"/>
      <c r="B5713" s="36"/>
      <c r="C5713" s="36"/>
      <c r="D5713" s="36"/>
      <c r="E5713" s="36"/>
      <c r="F5713" s="36"/>
      <c r="G5713" s="36"/>
      <c r="H5713" s="36"/>
      <c r="I5713" s="37"/>
      <c r="J5713" s="36"/>
      <c r="K5713" s="38"/>
      <c r="L5713" s="38"/>
    </row>
    <row r="5714" spans="1:12" x14ac:dyDescent="0.25">
      <c r="A5714" s="35"/>
      <c r="B5714" s="36"/>
      <c r="C5714" s="36"/>
      <c r="D5714" s="36"/>
      <c r="E5714" s="36"/>
      <c r="F5714" s="36"/>
      <c r="G5714" s="36"/>
      <c r="H5714" s="36"/>
      <c r="I5714" s="37"/>
      <c r="J5714" s="36"/>
      <c r="K5714" s="38"/>
      <c r="L5714" s="38"/>
    </row>
    <row r="5715" spans="1:12" x14ac:dyDescent="0.25">
      <c r="A5715" s="35"/>
      <c r="B5715" s="36"/>
      <c r="C5715" s="36"/>
      <c r="D5715" s="36"/>
      <c r="E5715" s="36"/>
      <c r="F5715" s="36"/>
      <c r="G5715" s="36"/>
      <c r="H5715" s="36"/>
      <c r="I5715" s="37"/>
      <c r="J5715" s="36"/>
      <c r="K5715" s="38"/>
      <c r="L5715" s="38"/>
    </row>
    <row r="5716" spans="1:12" x14ac:dyDescent="0.25">
      <c r="A5716" s="35"/>
      <c r="B5716" s="36"/>
      <c r="C5716" s="36"/>
      <c r="D5716" s="36"/>
      <c r="E5716" s="36"/>
      <c r="F5716" s="36"/>
      <c r="G5716" s="36"/>
      <c r="H5716" s="36"/>
      <c r="I5716" s="37"/>
      <c r="J5716" s="36"/>
      <c r="K5716" s="38"/>
      <c r="L5716" s="38"/>
    </row>
    <row r="5717" spans="1:12" x14ac:dyDescent="0.25">
      <c r="A5717" s="35"/>
      <c r="B5717" s="36"/>
      <c r="C5717" s="36"/>
      <c r="D5717" s="36"/>
      <c r="E5717" s="36"/>
      <c r="F5717" s="36"/>
      <c r="G5717" s="36"/>
      <c r="H5717" s="36"/>
      <c r="I5717" s="37"/>
      <c r="J5717" s="36"/>
      <c r="K5717" s="38"/>
      <c r="L5717" s="38"/>
    </row>
    <row r="5718" spans="1:12" x14ac:dyDescent="0.25">
      <c r="A5718" s="35"/>
      <c r="B5718" s="36"/>
      <c r="C5718" s="36"/>
      <c r="D5718" s="36"/>
      <c r="E5718" s="36"/>
      <c r="F5718" s="36"/>
      <c r="G5718" s="36"/>
      <c r="H5718" s="36"/>
      <c r="I5718" s="37"/>
      <c r="J5718" s="36"/>
      <c r="K5718" s="38"/>
      <c r="L5718" s="38"/>
    </row>
    <row r="5719" spans="1:12" x14ac:dyDescent="0.25">
      <c r="A5719" s="35"/>
      <c r="B5719" s="36"/>
      <c r="C5719" s="36"/>
      <c r="D5719" s="36"/>
      <c r="E5719" s="36"/>
      <c r="F5719" s="36"/>
      <c r="G5719" s="36"/>
      <c r="H5719" s="36"/>
      <c r="I5719" s="37"/>
      <c r="J5719" s="36"/>
      <c r="K5719" s="38"/>
      <c r="L5719" s="38"/>
    </row>
    <row r="5720" spans="1:12" x14ac:dyDescent="0.25">
      <c r="A5720" s="35"/>
      <c r="B5720" s="36"/>
      <c r="C5720" s="36"/>
      <c r="D5720" s="36"/>
      <c r="E5720" s="36"/>
      <c r="F5720" s="36"/>
      <c r="G5720" s="36"/>
      <c r="H5720" s="36"/>
      <c r="I5720" s="37"/>
      <c r="J5720" s="36"/>
      <c r="K5720" s="38"/>
      <c r="L5720" s="38"/>
    </row>
    <row r="5721" spans="1:12" x14ac:dyDescent="0.25">
      <c r="A5721" s="35"/>
      <c r="B5721" s="36"/>
      <c r="C5721" s="36"/>
      <c r="D5721" s="36"/>
      <c r="E5721" s="36"/>
      <c r="F5721" s="36"/>
      <c r="G5721" s="36"/>
      <c r="H5721" s="36"/>
      <c r="I5721" s="37"/>
      <c r="J5721" s="36"/>
      <c r="K5721" s="38"/>
      <c r="L5721" s="38"/>
    </row>
    <row r="5722" spans="1:12" x14ac:dyDescent="0.25">
      <c r="A5722" s="35"/>
      <c r="B5722" s="36"/>
      <c r="C5722" s="36"/>
      <c r="D5722" s="36"/>
      <c r="E5722" s="36"/>
      <c r="F5722" s="36"/>
      <c r="G5722" s="36"/>
      <c r="H5722" s="36"/>
      <c r="I5722" s="37"/>
      <c r="J5722" s="36"/>
      <c r="K5722" s="38"/>
      <c r="L5722" s="38"/>
    </row>
    <row r="5723" spans="1:12" x14ac:dyDescent="0.25">
      <c r="A5723" s="35"/>
      <c r="B5723" s="36"/>
      <c r="C5723" s="36"/>
      <c r="D5723" s="36"/>
      <c r="E5723" s="36"/>
      <c r="F5723" s="36"/>
      <c r="G5723" s="36"/>
      <c r="H5723" s="36"/>
      <c r="I5723" s="37"/>
      <c r="J5723" s="36"/>
      <c r="K5723" s="38"/>
      <c r="L5723" s="38"/>
    </row>
    <row r="5724" spans="1:12" x14ac:dyDescent="0.25">
      <c r="A5724" s="35"/>
      <c r="B5724" s="36"/>
      <c r="C5724" s="36"/>
      <c r="D5724" s="36"/>
      <c r="E5724" s="36"/>
      <c r="F5724" s="36"/>
      <c r="G5724" s="36"/>
      <c r="H5724" s="36"/>
      <c r="I5724" s="37"/>
      <c r="J5724" s="36"/>
      <c r="K5724" s="38"/>
      <c r="L5724" s="38"/>
    </row>
    <row r="5725" spans="1:12" x14ac:dyDescent="0.25">
      <c r="A5725" s="35"/>
      <c r="B5725" s="36"/>
      <c r="C5725" s="36"/>
      <c r="D5725" s="36"/>
      <c r="E5725" s="36"/>
      <c r="F5725" s="36"/>
      <c r="G5725" s="36"/>
      <c r="H5725" s="36"/>
      <c r="I5725" s="37"/>
      <c r="J5725" s="36"/>
      <c r="K5725" s="38"/>
      <c r="L5725" s="38"/>
    </row>
    <row r="5726" spans="1:12" x14ac:dyDescent="0.25">
      <c r="A5726" s="35"/>
      <c r="B5726" s="36"/>
      <c r="C5726" s="36"/>
      <c r="D5726" s="36"/>
      <c r="E5726" s="36"/>
      <c r="F5726" s="36"/>
      <c r="G5726" s="36"/>
      <c r="H5726" s="36"/>
      <c r="I5726" s="37"/>
      <c r="J5726" s="36"/>
      <c r="K5726" s="38"/>
      <c r="L5726" s="38"/>
    </row>
    <row r="5727" spans="1:12" x14ac:dyDescent="0.25">
      <c r="A5727" s="35"/>
      <c r="B5727" s="36"/>
      <c r="C5727" s="36"/>
      <c r="D5727" s="36"/>
      <c r="E5727" s="36"/>
      <c r="F5727" s="36"/>
      <c r="G5727" s="36"/>
      <c r="H5727" s="36"/>
      <c r="I5727" s="37"/>
      <c r="J5727" s="36"/>
      <c r="K5727" s="38"/>
      <c r="L5727" s="38"/>
    </row>
    <row r="5728" spans="1:12" x14ac:dyDescent="0.25">
      <c r="A5728" s="35"/>
      <c r="B5728" s="36"/>
      <c r="C5728" s="36"/>
      <c r="D5728" s="36"/>
      <c r="E5728" s="36"/>
      <c r="F5728" s="36"/>
      <c r="G5728" s="36"/>
      <c r="H5728" s="36"/>
      <c r="I5728" s="37"/>
      <c r="J5728" s="36"/>
      <c r="K5728" s="38"/>
      <c r="L5728" s="38"/>
    </row>
    <row r="5729" spans="1:12" x14ac:dyDescent="0.25">
      <c r="A5729" s="35"/>
      <c r="B5729" s="36"/>
      <c r="C5729" s="36"/>
      <c r="D5729" s="36"/>
      <c r="E5729" s="36"/>
      <c r="F5729" s="36"/>
      <c r="G5729" s="36"/>
      <c r="H5729" s="36"/>
      <c r="I5729" s="37"/>
      <c r="J5729" s="36"/>
      <c r="K5729" s="38"/>
      <c r="L5729" s="38"/>
    </row>
    <row r="5730" spans="1:12" x14ac:dyDescent="0.25">
      <c r="A5730" s="35"/>
      <c r="B5730" s="36"/>
      <c r="C5730" s="36"/>
      <c r="D5730" s="36"/>
      <c r="E5730" s="36"/>
      <c r="F5730" s="36"/>
      <c r="G5730" s="36"/>
      <c r="H5730" s="36"/>
      <c r="I5730" s="37"/>
      <c r="J5730" s="36"/>
      <c r="K5730" s="38"/>
      <c r="L5730" s="38"/>
    </row>
    <row r="5731" spans="1:12" x14ac:dyDescent="0.25">
      <c r="A5731" s="35"/>
      <c r="B5731" s="36"/>
      <c r="C5731" s="36"/>
      <c r="D5731" s="36"/>
      <c r="E5731" s="36"/>
      <c r="F5731" s="36"/>
      <c r="G5731" s="36"/>
      <c r="H5731" s="36"/>
      <c r="I5731" s="37"/>
      <c r="J5731" s="36"/>
      <c r="K5731" s="38"/>
      <c r="L5731" s="38"/>
    </row>
    <row r="5732" spans="1:12" x14ac:dyDescent="0.25">
      <c r="A5732" s="35"/>
      <c r="B5732" s="36"/>
      <c r="C5732" s="36"/>
      <c r="D5732" s="36"/>
      <c r="E5732" s="36"/>
      <c r="F5732" s="36"/>
      <c r="G5732" s="36"/>
      <c r="H5732" s="36"/>
      <c r="I5732" s="37"/>
      <c r="J5732" s="36"/>
      <c r="K5732" s="38"/>
      <c r="L5732" s="38"/>
    </row>
    <row r="5733" spans="1:12" x14ac:dyDescent="0.25">
      <c r="A5733" s="35"/>
      <c r="B5733" s="36"/>
      <c r="C5733" s="36"/>
      <c r="D5733" s="36"/>
      <c r="E5733" s="36"/>
      <c r="F5733" s="36"/>
      <c r="G5733" s="36"/>
      <c r="H5733" s="36"/>
      <c r="I5733" s="37"/>
      <c r="J5733" s="36"/>
      <c r="K5733" s="38"/>
      <c r="L5733" s="38"/>
    </row>
    <row r="5734" spans="1:12" x14ac:dyDescent="0.25">
      <c r="A5734" s="35"/>
      <c r="B5734" s="36"/>
      <c r="C5734" s="36"/>
      <c r="D5734" s="36"/>
      <c r="E5734" s="36"/>
      <c r="F5734" s="36"/>
      <c r="G5734" s="36"/>
      <c r="H5734" s="36"/>
      <c r="I5734" s="37"/>
      <c r="J5734" s="36"/>
      <c r="K5734" s="38"/>
      <c r="L5734" s="38"/>
    </row>
    <row r="5735" spans="1:12" x14ac:dyDescent="0.25">
      <c r="A5735" s="35"/>
      <c r="B5735" s="36"/>
      <c r="C5735" s="36"/>
      <c r="D5735" s="36"/>
      <c r="E5735" s="36"/>
      <c r="F5735" s="36"/>
      <c r="G5735" s="36"/>
      <c r="H5735" s="36"/>
      <c r="I5735" s="37"/>
      <c r="J5735" s="36"/>
      <c r="K5735" s="38"/>
      <c r="L5735" s="38"/>
    </row>
    <row r="5736" spans="1:12" x14ac:dyDescent="0.25">
      <c r="A5736" s="35"/>
      <c r="B5736" s="36"/>
      <c r="C5736" s="36"/>
      <c r="D5736" s="36"/>
      <c r="E5736" s="36"/>
      <c r="F5736" s="36"/>
      <c r="G5736" s="36"/>
      <c r="H5736" s="36"/>
      <c r="I5736" s="37"/>
      <c r="J5736" s="36"/>
      <c r="K5736" s="38"/>
      <c r="L5736" s="38"/>
    </row>
    <row r="5737" spans="1:12" x14ac:dyDescent="0.25">
      <c r="A5737" s="35"/>
      <c r="B5737" s="36"/>
      <c r="C5737" s="36"/>
      <c r="D5737" s="36"/>
      <c r="E5737" s="36"/>
      <c r="F5737" s="36"/>
      <c r="G5737" s="36"/>
      <c r="H5737" s="36"/>
      <c r="I5737" s="37"/>
      <c r="J5737" s="36"/>
      <c r="K5737" s="38"/>
      <c r="L5737" s="38"/>
    </row>
    <row r="5738" spans="1:12" x14ac:dyDescent="0.25">
      <c r="A5738" s="35"/>
      <c r="B5738" s="36"/>
      <c r="C5738" s="36"/>
      <c r="D5738" s="36"/>
      <c r="E5738" s="36"/>
      <c r="F5738" s="36"/>
      <c r="G5738" s="36"/>
      <c r="H5738" s="36"/>
      <c r="I5738" s="37"/>
      <c r="J5738" s="36"/>
      <c r="K5738" s="38"/>
      <c r="L5738" s="38"/>
    </row>
    <row r="5739" spans="1:12" x14ac:dyDescent="0.25">
      <c r="A5739" s="35"/>
      <c r="B5739" s="36"/>
      <c r="C5739" s="36"/>
      <c r="D5739" s="36"/>
      <c r="E5739" s="36"/>
      <c r="F5739" s="36"/>
      <c r="G5739" s="36"/>
      <c r="H5739" s="36"/>
      <c r="I5739" s="37"/>
      <c r="J5739" s="36"/>
      <c r="K5739" s="38"/>
      <c r="L5739" s="38"/>
    </row>
    <row r="5740" spans="1:12" x14ac:dyDescent="0.25">
      <c r="A5740" s="35"/>
      <c r="B5740" s="36"/>
      <c r="C5740" s="36"/>
      <c r="D5740" s="36"/>
      <c r="E5740" s="36"/>
      <c r="F5740" s="36"/>
      <c r="G5740" s="36"/>
      <c r="H5740" s="36"/>
      <c r="I5740" s="37"/>
      <c r="J5740" s="36"/>
      <c r="K5740" s="38"/>
      <c r="L5740" s="38"/>
    </row>
    <row r="5741" spans="1:12" x14ac:dyDescent="0.25">
      <c r="A5741" s="35"/>
      <c r="B5741" s="36"/>
      <c r="C5741" s="36"/>
      <c r="D5741" s="36"/>
      <c r="E5741" s="36"/>
      <c r="F5741" s="36"/>
      <c r="G5741" s="36"/>
      <c r="H5741" s="36"/>
      <c r="I5741" s="37"/>
      <c r="J5741" s="36"/>
      <c r="K5741" s="38"/>
      <c r="L5741" s="38"/>
    </row>
    <row r="5742" spans="1:12" x14ac:dyDescent="0.25">
      <c r="A5742" s="35"/>
      <c r="B5742" s="36"/>
      <c r="C5742" s="36"/>
      <c r="D5742" s="36"/>
      <c r="E5742" s="36"/>
      <c r="F5742" s="36"/>
      <c r="G5742" s="36"/>
      <c r="H5742" s="36"/>
      <c r="I5742" s="37"/>
      <c r="J5742" s="36"/>
      <c r="K5742" s="38"/>
      <c r="L5742" s="38"/>
    </row>
    <row r="5743" spans="1:12" x14ac:dyDescent="0.25">
      <c r="A5743" s="35"/>
      <c r="B5743" s="36"/>
      <c r="C5743" s="36"/>
      <c r="D5743" s="36"/>
      <c r="E5743" s="36"/>
      <c r="F5743" s="36"/>
      <c r="G5743" s="36"/>
      <c r="H5743" s="36"/>
      <c r="I5743" s="37"/>
      <c r="J5743" s="36"/>
      <c r="K5743" s="38"/>
      <c r="L5743" s="38"/>
    </row>
    <row r="5744" spans="1:12" x14ac:dyDescent="0.25">
      <c r="A5744" s="35"/>
      <c r="B5744" s="36"/>
      <c r="C5744" s="36"/>
      <c r="D5744" s="36"/>
      <c r="E5744" s="36"/>
      <c r="F5744" s="36"/>
      <c r="G5744" s="36"/>
      <c r="H5744" s="36"/>
      <c r="I5744" s="37"/>
      <c r="J5744" s="36"/>
      <c r="K5744" s="38"/>
      <c r="L5744" s="38"/>
    </row>
    <row r="5745" spans="1:12" x14ac:dyDescent="0.25">
      <c r="A5745" s="35"/>
      <c r="B5745" s="36"/>
      <c r="C5745" s="36"/>
      <c r="D5745" s="36"/>
      <c r="E5745" s="36"/>
      <c r="F5745" s="36"/>
      <c r="G5745" s="36"/>
      <c r="H5745" s="36"/>
      <c r="I5745" s="37"/>
      <c r="J5745" s="36"/>
      <c r="K5745" s="38"/>
      <c r="L5745" s="38"/>
    </row>
    <row r="5746" spans="1:12" x14ac:dyDescent="0.25">
      <c r="A5746" s="35"/>
      <c r="B5746" s="36"/>
      <c r="C5746" s="36"/>
      <c r="D5746" s="36"/>
      <c r="E5746" s="36"/>
      <c r="F5746" s="36"/>
      <c r="G5746" s="36"/>
      <c r="H5746" s="36"/>
      <c r="I5746" s="37"/>
      <c r="J5746" s="36"/>
      <c r="K5746" s="38"/>
      <c r="L5746" s="38"/>
    </row>
    <row r="5747" spans="1:12" x14ac:dyDescent="0.25">
      <c r="A5747" s="35"/>
      <c r="B5747" s="36"/>
      <c r="C5747" s="36"/>
      <c r="D5747" s="36"/>
      <c r="E5747" s="36"/>
      <c r="F5747" s="36"/>
      <c r="G5747" s="36"/>
      <c r="H5747" s="36"/>
      <c r="I5747" s="37"/>
      <c r="J5747" s="36"/>
      <c r="K5747" s="38"/>
      <c r="L5747" s="38"/>
    </row>
    <row r="5748" spans="1:12" x14ac:dyDescent="0.25">
      <c r="A5748" s="35"/>
      <c r="B5748" s="36"/>
      <c r="C5748" s="36"/>
      <c r="D5748" s="36"/>
      <c r="E5748" s="36"/>
      <c r="F5748" s="36"/>
      <c r="G5748" s="36"/>
      <c r="H5748" s="36"/>
      <c r="I5748" s="37"/>
      <c r="J5748" s="36"/>
      <c r="K5748" s="38"/>
      <c r="L5748" s="38"/>
    </row>
    <row r="5749" spans="1:12" x14ac:dyDescent="0.25">
      <c r="A5749" s="35"/>
      <c r="B5749" s="36"/>
      <c r="C5749" s="36"/>
      <c r="D5749" s="36"/>
      <c r="E5749" s="36"/>
      <c r="F5749" s="36"/>
      <c r="G5749" s="36"/>
      <c r="H5749" s="36"/>
      <c r="I5749" s="37"/>
      <c r="J5749" s="36"/>
      <c r="K5749" s="38"/>
      <c r="L5749" s="38"/>
    </row>
    <row r="5750" spans="1:12" x14ac:dyDescent="0.25">
      <c r="A5750" s="35"/>
      <c r="B5750" s="36"/>
      <c r="C5750" s="36"/>
      <c r="D5750" s="36"/>
      <c r="E5750" s="36"/>
      <c r="F5750" s="36"/>
      <c r="G5750" s="36"/>
      <c r="H5750" s="36"/>
      <c r="I5750" s="37"/>
      <c r="J5750" s="36"/>
      <c r="K5750" s="38"/>
      <c r="L5750" s="38"/>
    </row>
    <row r="5751" spans="1:12" x14ac:dyDescent="0.25">
      <c r="A5751" s="35"/>
      <c r="B5751" s="36"/>
      <c r="C5751" s="36"/>
      <c r="D5751" s="36"/>
      <c r="E5751" s="36"/>
      <c r="F5751" s="36"/>
      <c r="G5751" s="36"/>
      <c r="H5751" s="36"/>
      <c r="I5751" s="37"/>
      <c r="J5751" s="36"/>
      <c r="K5751" s="38"/>
      <c r="L5751" s="38"/>
    </row>
    <row r="5752" spans="1:12" x14ac:dyDescent="0.25">
      <c r="A5752" s="35"/>
      <c r="B5752" s="36"/>
      <c r="C5752" s="36"/>
      <c r="D5752" s="36"/>
      <c r="E5752" s="36"/>
      <c r="F5752" s="36"/>
      <c r="G5752" s="36"/>
      <c r="H5752" s="36"/>
      <c r="I5752" s="37"/>
      <c r="J5752" s="36"/>
      <c r="K5752" s="38"/>
      <c r="L5752" s="38"/>
    </row>
    <row r="5753" spans="1:12" x14ac:dyDescent="0.25">
      <c r="A5753" s="35"/>
      <c r="B5753" s="36"/>
      <c r="C5753" s="36"/>
      <c r="D5753" s="36"/>
      <c r="E5753" s="36"/>
      <c r="F5753" s="36"/>
      <c r="G5753" s="36"/>
      <c r="H5753" s="36"/>
      <c r="I5753" s="37"/>
      <c r="J5753" s="36"/>
      <c r="K5753" s="38"/>
      <c r="L5753" s="38"/>
    </row>
    <row r="5754" spans="1:12" x14ac:dyDescent="0.25">
      <c r="A5754" s="35"/>
      <c r="B5754" s="36"/>
      <c r="C5754" s="36"/>
      <c r="D5754" s="36"/>
      <c r="E5754" s="36"/>
      <c r="F5754" s="36"/>
      <c r="G5754" s="36"/>
      <c r="H5754" s="36"/>
      <c r="I5754" s="37"/>
      <c r="J5754" s="36"/>
      <c r="K5754" s="38"/>
      <c r="L5754" s="38"/>
    </row>
    <row r="5755" spans="1:12" x14ac:dyDescent="0.25">
      <c r="A5755" s="35"/>
      <c r="B5755" s="36"/>
      <c r="C5755" s="36"/>
      <c r="D5755" s="36"/>
      <c r="E5755" s="36"/>
      <c r="F5755" s="36"/>
      <c r="G5755" s="36"/>
      <c r="H5755" s="36"/>
      <c r="I5755" s="37"/>
      <c r="J5755" s="36"/>
      <c r="K5755" s="38"/>
      <c r="L5755" s="38"/>
    </row>
    <row r="5756" spans="1:12" x14ac:dyDescent="0.25">
      <c r="A5756" s="35"/>
      <c r="B5756" s="36"/>
      <c r="C5756" s="36"/>
      <c r="D5756" s="36"/>
      <c r="E5756" s="36"/>
      <c r="F5756" s="36"/>
      <c r="G5756" s="36"/>
      <c r="H5756" s="36"/>
      <c r="I5756" s="37"/>
      <c r="J5756" s="36"/>
      <c r="K5756" s="38"/>
      <c r="L5756" s="38"/>
    </row>
    <row r="5757" spans="1:12" x14ac:dyDescent="0.25">
      <c r="A5757" s="35"/>
      <c r="B5757" s="36"/>
      <c r="C5757" s="36"/>
      <c r="D5757" s="36"/>
      <c r="E5757" s="36"/>
      <c r="F5757" s="36"/>
      <c r="G5757" s="36"/>
      <c r="H5757" s="36"/>
      <c r="I5757" s="37"/>
      <c r="J5757" s="36"/>
      <c r="K5757" s="38"/>
      <c r="L5757" s="38"/>
    </row>
    <row r="5758" spans="1:12" x14ac:dyDescent="0.25">
      <c r="A5758" s="35"/>
      <c r="B5758" s="36"/>
      <c r="C5758" s="36"/>
      <c r="D5758" s="36"/>
      <c r="E5758" s="36"/>
      <c r="F5758" s="36"/>
      <c r="G5758" s="36"/>
      <c r="H5758" s="36"/>
      <c r="I5758" s="37"/>
      <c r="J5758" s="36"/>
      <c r="K5758" s="38"/>
      <c r="L5758" s="38"/>
    </row>
    <row r="5759" spans="1:12" x14ac:dyDescent="0.25">
      <c r="A5759" s="35"/>
      <c r="B5759" s="36"/>
      <c r="C5759" s="36"/>
      <c r="D5759" s="36"/>
      <c r="E5759" s="36"/>
      <c r="F5759" s="36"/>
      <c r="G5759" s="36"/>
      <c r="H5759" s="36"/>
      <c r="I5759" s="37"/>
      <c r="J5759" s="36"/>
      <c r="K5759" s="38"/>
      <c r="L5759" s="38"/>
    </row>
    <row r="5760" spans="1:12" x14ac:dyDescent="0.25">
      <c r="A5760" s="35"/>
      <c r="B5760" s="36"/>
      <c r="C5760" s="36"/>
      <c r="D5760" s="36"/>
      <c r="E5760" s="36"/>
      <c r="F5760" s="36"/>
      <c r="G5760" s="36"/>
      <c r="H5760" s="36"/>
      <c r="I5760" s="37"/>
      <c r="J5760" s="36"/>
      <c r="K5760" s="38"/>
      <c r="L5760" s="38"/>
    </row>
    <row r="5761" spans="1:12" x14ac:dyDescent="0.25">
      <c r="A5761" s="35"/>
      <c r="B5761" s="36"/>
      <c r="C5761" s="36"/>
      <c r="D5761" s="36"/>
      <c r="E5761" s="36"/>
      <c r="F5761" s="36"/>
      <c r="G5761" s="36"/>
      <c r="H5761" s="36"/>
      <c r="I5761" s="37"/>
      <c r="J5761" s="36"/>
      <c r="K5761" s="38"/>
      <c r="L5761" s="38"/>
    </row>
    <row r="5762" spans="1:12" x14ac:dyDescent="0.25">
      <c r="A5762" s="35"/>
      <c r="B5762" s="36"/>
      <c r="C5762" s="36"/>
      <c r="D5762" s="36"/>
      <c r="E5762" s="36"/>
      <c r="F5762" s="36"/>
      <c r="G5762" s="36"/>
      <c r="H5762" s="36"/>
      <c r="I5762" s="37"/>
      <c r="J5762" s="36"/>
      <c r="K5762" s="38"/>
      <c r="L5762" s="38"/>
    </row>
    <row r="5763" spans="1:12" x14ac:dyDescent="0.25">
      <c r="A5763" s="35"/>
      <c r="B5763" s="36"/>
      <c r="C5763" s="36"/>
      <c r="D5763" s="36"/>
      <c r="E5763" s="36"/>
      <c r="F5763" s="36"/>
      <c r="G5763" s="36"/>
      <c r="H5763" s="36"/>
      <c r="I5763" s="37"/>
      <c r="J5763" s="36"/>
      <c r="K5763" s="38"/>
      <c r="L5763" s="38"/>
    </row>
    <row r="5764" spans="1:12" x14ac:dyDescent="0.25">
      <c r="A5764" s="35"/>
      <c r="B5764" s="36"/>
      <c r="C5764" s="36"/>
      <c r="D5764" s="36"/>
      <c r="E5764" s="36"/>
      <c r="F5764" s="36"/>
      <c r="G5764" s="36"/>
      <c r="H5764" s="36"/>
      <c r="I5764" s="37"/>
      <c r="J5764" s="36"/>
      <c r="K5764" s="38"/>
      <c r="L5764" s="38"/>
    </row>
    <row r="5765" spans="1:12" x14ac:dyDescent="0.25">
      <c r="A5765" s="35"/>
      <c r="B5765" s="36"/>
      <c r="C5765" s="36"/>
      <c r="D5765" s="36"/>
      <c r="E5765" s="36"/>
      <c r="F5765" s="36"/>
      <c r="G5765" s="36"/>
      <c r="H5765" s="36"/>
      <c r="I5765" s="37"/>
      <c r="J5765" s="36"/>
      <c r="K5765" s="38"/>
      <c r="L5765" s="38"/>
    </row>
    <row r="5766" spans="1:12" x14ac:dyDescent="0.25">
      <c r="A5766" s="35"/>
      <c r="B5766" s="36"/>
      <c r="C5766" s="36"/>
      <c r="D5766" s="36"/>
      <c r="E5766" s="36"/>
      <c r="F5766" s="36"/>
      <c r="G5766" s="36"/>
      <c r="H5766" s="36"/>
      <c r="I5766" s="37"/>
      <c r="J5766" s="36"/>
      <c r="K5766" s="38"/>
      <c r="L5766" s="38"/>
    </row>
    <row r="5767" spans="1:12" x14ac:dyDescent="0.25">
      <c r="A5767" s="35"/>
      <c r="B5767" s="36"/>
      <c r="C5767" s="36"/>
      <c r="D5767" s="36"/>
      <c r="E5767" s="36"/>
      <c r="F5767" s="36"/>
      <c r="G5767" s="36"/>
      <c r="H5767" s="36"/>
      <c r="I5767" s="37"/>
      <c r="J5767" s="36"/>
      <c r="K5767" s="38"/>
      <c r="L5767" s="38"/>
    </row>
    <row r="5768" spans="1:12" x14ac:dyDescent="0.25">
      <c r="A5768" s="35"/>
      <c r="B5768" s="36"/>
      <c r="C5768" s="36"/>
      <c r="D5768" s="36"/>
      <c r="E5768" s="36"/>
      <c r="F5768" s="36"/>
      <c r="G5768" s="36"/>
      <c r="H5768" s="36"/>
      <c r="I5768" s="37"/>
      <c r="J5768" s="36"/>
      <c r="K5768" s="38"/>
      <c r="L5768" s="38"/>
    </row>
    <row r="5769" spans="1:12" x14ac:dyDescent="0.25">
      <c r="A5769" s="35"/>
      <c r="B5769" s="36"/>
      <c r="C5769" s="36"/>
      <c r="D5769" s="36"/>
      <c r="E5769" s="36"/>
      <c r="F5769" s="36"/>
      <c r="G5769" s="36"/>
      <c r="H5769" s="36"/>
      <c r="I5769" s="37"/>
      <c r="J5769" s="36"/>
      <c r="K5769" s="38"/>
      <c r="L5769" s="38"/>
    </row>
    <row r="5770" spans="1:12" x14ac:dyDescent="0.25">
      <c r="A5770" s="35"/>
      <c r="B5770" s="36"/>
      <c r="C5770" s="36"/>
      <c r="D5770" s="36"/>
      <c r="E5770" s="36"/>
      <c r="F5770" s="36"/>
      <c r="G5770" s="36"/>
      <c r="H5770" s="36"/>
      <c r="I5770" s="37"/>
      <c r="J5770" s="36"/>
      <c r="K5770" s="38"/>
      <c r="L5770" s="38"/>
    </row>
    <row r="5771" spans="1:12" x14ac:dyDescent="0.25">
      <c r="A5771" s="35"/>
      <c r="B5771" s="36"/>
      <c r="C5771" s="36"/>
      <c r="D5771" s="36"/>
      <c r="E5771" s="36"/>
      <c r="F5771" s="36"/>
      <c r="G5771" s="36"/>
      <c r="H5771" s="36"/>
      <c r="I5771" s="37"/>
      <c r="J5771" s="36"/>
      <c r="K5771" s="38"/>
      <c r="L5771" s="38"/>
    </row>
    <row r="5772" spans="1:12" x14ac:dyDescent="0.25">
      <c r="A5772" s="35"/>
      <c r="B5772" s="36"/>
      <c r="C5772" s="36"/>
      <c r="D5772" s="36"/>
      <c r="E5772" s="36"/>
      <c r="F5772" s="36"/>
      <c r="G5772" s="36"/>
      <c r="H5772" s="36"/>
      <c r="I5772" s="37"/>
      <c r="J5772" s="36"/>
      <c r="K5772" s="38"/>
      <c r="L5772" s="38"/>
    </row>
    <row r="5773" spans="1:12" x14ac:dyDescent="0.25">
      <c r="A5773" s="35"/>
      <c r="B5773" s="36"/>
      <c r="C5773" s="36"/>
      <c r="D5773" s="36"/>
      <c r="E5773" s="36"/>
      <c r="F5773" s="36"/>
      <c r="G5773" s="36"/>
      <c r="H5773" s="36"/>
      <c r="I5773" s="37"/>
      <c r="J5773" s="36"/>
      <c r="K5773" s="38"/>
      <c r="L5773" s="38"/>
    </row>
    <row r="5774" spans="1:12" x14ac:dyDescent="0.25">
      <c r="A5774" s="35"/>
      <c r="B5774" s="36"/>
      <c r="C5774" s="36"/>
      <c r="D5774" s="36"/>
      <c r="E5774" s="36"/>
      <c r="F5774" s="36"/>
      <c r="G5774" s="36"/>
      <c r="H5774" s="36"/>
      <c r="I5774" s="37"/>
      <c r="J5774" s="36"/>
      <c r="K5774" s="38"/>
      <c r="L5774" s="38"/>
    </row>
    <row r="5775" spans="1:12" x14ac:dyDescent="0.25">
      <c r="A5775" s="35"/>
      <c r="B5775" s="36"/>
      <c r="C5775" s="36"/>
      <c r="D5775" s="36"/>
      <c r="E5775" s="36"/>
      <c r="F5775" s="36"/>
      <c r="G5775" s="36"/>
      <c r="H5775" s="36"/>
      <c r="I5775" s="37"/>
      <c r="J5775" s="36"/>
      <c r="K5775" s="38"/>
      <c r="L5775" s="38"/>
    </row>
    <row r="5776" spans="1:12" x14ac:dyDescent="0.25">
      <c r="A5776" s="35"/>
      <c r="B5776" s="36"/>
      <c r="C5776" s="36"/>
      <c r="D5776" s="36"/>
      <c r="E5776" s="36"/>
      <c r="F5776" s="36"/>
      <c r="G5776" s="36"/>
      <c r="H5776" s="36"/>
      <c r="I5776" s="37"/>
      <c r="J5776" s="36"/>
      <c r="K5776" s="38"/>
      <c r="L5776" s="38"/>
    </row>
    <row r="5777" spans="1:12" x14ac:dyDescent="0.25">
      <c r="A5777" s="35"/>
      <c r="B5777" s="36"/>
      <c r="C5777" s="36"/>
      <c r="D5777" s="36"/>
      <c r="E5777" s="36"/>
      <c r="F5777" s="36"/>
      <c r="G5777" s="36"/>
      <c r="H5777" s="36"/>
      <c r="I5777" s="37"/>
      <c r="J5777" s="36"/>
      <c r="K5777" s="38"/>
      <c r="L5777" s="38"/>
    </row>
    <row r="5778" spans="1:12" x14ac:dyDescent="0.25">
      <c r="A5778" s="35"/>
      <c r="B5778" s="36"/>
      <c r="C5778" s="36"/>
      <c r="D5778" s="36"/>
      <c r="E5778" s="36"/>
      <c r="F5778" s="36"/>
      <c r="G5778" s="36"/>
      <c r="H5778" s="36"/>
      <c r="I5778" s="37"/>
      <c r="J5778" s="36"/>
      <c r="K5778" s="38"/>
      <c r="L5778" s="38"/>
    </row>
    <row r="5779" spans="1:12" x14ac:dyDescent="0.25">
      <c r="A5779" s="35"/>
      <c r="B5779" s="36"/>
      <c r="C5779" s="36"/>
      <c r="D5779" s="36"/>
      <c r="E5779" s="36"/>
      <c r="F5779" s="36"/>
      <c r="G5779" s="36"/>
      <c r="H5779" s="36"/>
      <c r="I5779" s="37"/>
      <c r="J5779" s="36"/>
      <c r="K5779" s="38"/>
      <c r="L5779" s="38"/>
    </row>
    <row r="5780" spans="1:12" x14ac:dyDescent="0.25">
      <c r="A5780" s="35"/>
      <c r="B5780" s="36"/>
      <c r="C5780" s="36"/>
      <c r="D5780" s="36"/>
      <c r="E5780" s="36"/>
      <c r="F5780" s="36"/>
      <c r="G5780" s="36"/>
      <c r="H5780" s="36"/>
      <c r="I5780" s="37"/>
      <c r="J5780" s="36"/>
      <c r="K5780" s="38"/>
      <c r="L5780" s="38"/>
    </row>
    <row r="5781" spans="1:12" x14ac:dyDescent="0.25">
      <c r="A5781" s="35"/>
      <c r="B5781" s="36"/>
      <c r="C5781" s="36"/>
      <c r="D5781" s="36"/>
      <c r="E5781" s="36"/>
      <c r="F5781" s="36"/>
      <c r="G5781" s="36"/>
      <c r="H5781" s="36"/>
      <c r="I5781" s="37"/>
      <c r="J5781" s="36"/>
      <c r="K5781" s="38"/>
      <c r="L5781" s="38"/>
    </row>
    <row r="5782" spans="1:12" x14ac:dyDescent="0.25">
      <c r="A5782" s="35"/>
      <c r="B5782" s="36"/>
      <c r="C5782" s="36"/>
      <c r="D5782" s="36"/>
      <c r="E5782" s="36"/>
      <c r="F5782" s="36"/>
      <c r="G5782" s="36"/>
      <c r="H5782" s="36"/>
      <c r="I5782" s="37"/>
      <c r="J5782" s="36"/>
      <c r="K5782" s="38"/>
      <c r="L5782" s="38"/>
    </row>
    <row r="5783" spans="1:12" x14ac:dyDescent="0.25">
      <c r="A5783" s="35"/>
      <c r="B5783" s="36"/>
      <c r="C5783" s="36"/>
      <c r="D5783" s="36"/>
      <c r="E5783" s="36"/>
      <c r="F5783" s="36"/>
      <c r="G5783" s="36"/>
      <c r="H5783" s="36"/>
      <c r="I5783" s="37"/>
      <c r="J5783" s="36"/>
      <c r="K5783" s="38"/>
      <c r="L5783" s="38"/>
    </row>
    <row r="5784" spans="1:12" x14ac:dyDescent="0.25">
      <c r="A5784" s="35"/>
      <c r="B5784" s="36"/>
      <c r="C5784" s="36"/>
      <c r="D5784" s="36"/>
      <c r="E5784" s="36"/>
      <c r="F5784" s="36"/>
      <c r="G5784" s="36"/>
      <c r="H5784" s="36"/>
      <c r="I5784" s="37"/>
      <c r="J5784" s="36"/>
      <c r="K5784" s="38"/>
      <c r="L5784" s="38"/>
    </row>
    <row r="5785" spans="1:12" x14ac:dyDescent="0.25">
      <c r="A5785" s="35"/>
      <c r="B5785" s="36"/>
      <c r="C5785" s="36"/>
      <c r="D5785" s="36"/>
      <c r="E5785" s="36"/>
      <c r="F5785" s="36"/>
      <c r="G5785" s="36"/>
      <c r="H5785" s="36"/>
      <c r="I5785" s="37"/>
      <c r="J5785" s="36"/>
      <c r="K5785" s="38"/>
      <c r="L5785" s="38"/>
    </row>
    <row r="5786" spans="1:12" x14ac:dyDescent="0.25">
      <c r="A5786" s="35"/>
      <c r="B5786" s="36"/>
      <c r="C5786" s="36"/>
      <c r="D5786" s="36"/>
      <c r="E5786" s="36"/>
      <c r="F5786" s="36"/>
      <c r="G5786" s="36"/>
      <c r="H5786" s="36"/>
      <c r="I5786" s="37"/>
      <c r="J5786" s="36"/>
      <c r="K5786" s="38"/>
      <c r="L5786" s="38"/>
    </row>
    <row r="5787" spans="1:12" x14ac:dyDescent="0.25">
      <c r="A5787" s="35"/>
      <c r="B5787" s="36"/>
      <c r="C5787" s="36"/>
      <c r="D5787" s="36"/>
      <c r="E5787" s="36"/>
      <c r="F5787" s="36"/>
      <c r="G5787" s="36"/>
      <c r="H5787" s="36"/>
      <c r="I5787" s="37"/>
      <c r="J5787" s="36"/>
      <c r="K5787" s="38"/>
      <c r="L5787" s="38"/>
    </row>
    <row r="5788" spans="1:12" x14ac:dyDescent="0.25">
      <c r="A5788" s="35"/>
      <c r="B5788" s="36"/>
      <c r="C5788" s="36"/>
      <c r="D5788" s="36"/>
      <c r="E5788" s="36"/>
      <c r="F5788" s="36"/>
      <c r="G5788" s="36"/>
      <c r="H5788" s="36"/>
      <c r="I5788" s="37"/>
      <c r="J5788" s="36"/>
      <c r="K5788" s="38"/>
      <c r="L5788" s="38"/>
    </row>
    <row r="5789" spans="1:12" x14ac:dyDescent="0.25">
      <c r="A5789" s="35"/>
      <c r="B5789" s="36"/>
      <c r="C5789" s="36"/>
      <c r="D5789" s="36"/>
      <c r="E5789" s="36"/>
      <c r="F5789" s="36"/>
      <c r="G5789" s="36"/>
      <c r="H5789" s="36"/>
      <c r="I5789" s="37"/>
      <c r="J5789" s="36"/>
      <c r="K5789" s="38"/>
      <c r="L5789" s="38"/>
    </row>
    <row r="5790" spans="1:12" x14ac:dyDescent="0.25">
      <c r="A5790" s="35"/>
      <c r="B5790" s="36"/>
      <c r="C5790" s="36"/>
      <c r="D5790" s="36"/>
      <c r="E5790" s="36"/>
      <c r="F5790" s="36"/>
      <c r="G5790" s="36"/>
      <c r="H5790" s="36"/>
      <c r="I5790" s="37"/>
      <c r="J5790" s="36"/>
      <c r="K5790" s="38"/>
      <c r="L5790" s="38"/>
    </row>
    <row r="5791" spans="1:12" x14ac:dyDescent="0.25">
      <c r="A5791" s="35"/>
      <c r="B5791" s="36"/>
      <c r="C5791" s="36"/>
      <c r="D5791" s="36"/>
      <c r="E5791" s="36"/>
      <c r="F5791" s="36"/>
      <c r="G5791" s="36"/>
      <c r="H5791" s="36"/>
      <c r="I5791" s="37"/>
      <c r="J5791" s="36"/>
      <c r="K5791" s="38"/>
      <c r="L5791" s="38"/>
    </row>
    <row r="5792" spans="1:12" x14ac:dyDescent="0.25">
      <c r="A5792" s="35"/>
      <c r="B5792" s="36"/>
      <c r="C5792" s="36"/>
      <c r="D5792" s="36"/>
      <c r="E5792" s="36"/>
      <c r="F5792" s="36"/>
      <c r="G5792" s="36"/>
      <c r="H5792" s="36"/>
      <c r="I5792" s="37"/>
      <c r="J5792" s="36"/>
      <c r="K5792" s="38"/>
      <c r="L5792" s="38"/>
    </row>
    <row r="5793" spans="1:12" x14ac:dyDescent="0.25">
      <c r="A5793" s="35"/>
      <c r="B5793" s="36"/>
      <c r="C5793" s="36"/>
      <c r="D5793" s="36"/>
      <c r="E5793" s="36"/>
      <c r="F5793" s="36"/>
      <c r="G5793" s="36"/>
      <c r="H5793" s="36"/>
      <c r="I5793" s="37"/>
      <c r="J5793" s="36"/>
      <c r="K5793" s="38"/>
      <c r="L5793" s="38"/>
    </row>
    <row r="5794" spans="1:12" x14ac:dyDescent="0.25">
      <c r="A5794" s="35"/>
      <c r="B5794" s="36"/>
      <c r="C5794" s="36"/>
      <c r="D5794" s="36"/>
      <c r="E5794" s="36"/>
      <c r="F5794" s="36"/>
      <c r="G5794" s="36"/>
      <c r="H5794" s="36"/>
      <c r="I5794" s="37"/>
      <c r="J5794" s="36"/>
      <c r="K5794" s="38"/>
      <c r="L5794" s="38"/>
    </row>
    <row r="5795" spans="1:12" x14ac:dyDescent="0.25">
      <c r="A5795" s="35"/>
      <c r="B5795" s="36"/>
      <c r="C5795" s="36"/>
      <c r="D5795" s="36"/>
      <c r="E5795" s="36"/>
      <c r="F5795" s="36"/>
      <c r="G5795" s="36"/>
      <c r="H5795" s="36"/>
      <c r="I5795" s="37"/>
      <c r="J5795" s="36"/>
      <c r="K5795" s="38"/>
      <c r="L5795" s="38"/>
    </row>
    <row r="5796" spans="1:12" x14ac:dyDescent="0.25">
      <c r="A5796" s="35"/>
      <c r="B5796" s="36"/>
      <c r="C5796" s="36"/>
      <c r="D5796" s="36"/>
      <c r="E5796" s="36"/>
      <c r="F5796" s="36"/>
      <c r="G5796" s="36"/>
      <c r="H5796" s="36"/>
      <c r="I5796" s="37"/>
      <c r="J5796" s="36"/>
      <c r="K5796" s="38"/>
      <c r="L5796" s="38"/>
    </row>
    <row r="5797" spans="1:12" x14ac:dyDescent="0.25">
      <c r="A5797" s="35"/>
      <c r="B5797" s="36"/>
      <c r="C5797" s="36"/>
      <c r="D5797" s="36"/>
      <c r="E5797" s="36"/>
      <c r="F5797" s="36"/>
      <c r="G5797" s="36"/>
      <c r="H5797" s="36"/>
      <c r="I5797" s="37"/>
      <c r="J5797" s="36"/>
      <c r="K5797" s="38"/>
      <c r="L5797" s="38"/>
    </row>
    <row r="5798" spans="1:12" x14ac:dyDescent="0.25">
      <c r="A5798" s="35"/>
      <c r="B5798" s="36"/>
      <c r="C5798" s="36"/>
      <c r="D5798" s="36"/>
      <c r="E5798" s="36"/>
      <c r="F5798" s="36"/>
      <c r="G5798" s="36"/>
      <c r="H5798" s="36"/>
      <c r="I5798" s="37"/>
      <c r="J5798" s="36"/>
      <c r="K5798" s="38"/>
      <c r="L5798" s="38"/>
    </row>
    <row r="5799" spans="1:12" x14ac:dyDescent="0.25">
      <c r="A5799" s="35"/>
      <c r="B5799" s="36"/>
      <c r="C5799" s="36"/>
      <c r="D5799" s="36"/>
      <c r="E5799" s="36"/>
      <c r="F5799" s="36"/>
      <c r="G5799" s="36"/>
      <c r="H5799" s="36"/>
      <c r="I5799" s="37"/>
      <c r="J5799" s="36"/>
      <c r="K5799" s="38"/>
      <c r="L5799" s="38"/>
    </row>
    <row r="5800" spans="1:12" x14ac:dyDescent="0.25">
      <c r="A5800" s="35"/>
      <c r="B5800" s="36"/>
      <c r="C5800" s="36"/>
      <c r="D5800" s="36"/>
      <c r="E5800" s="36"/>
      <c r="F5800" s="36"/>
      <c r="G5800" s="36"/>
      <c r="H5800" s="36"/>
      <c r="I5800" s="37"/>
      <c r="J5800" s="36"/>
      <c r="K5800" s="38"/>
      <c r="L5800" s="38"/>
    </row>
    <row r="5801" spans="1:12" x14ac:dyDescent="0.25">
      <c r="A5801" s="35"/>
      <c r="B5801" s="36"/>
      <c r="C5801" s="36"/>
      <c r="D5801" s="36"/>
      <c r="E5801" s="36"/>
      <c r="F5801" s="36"/>
      <c r="G5801" s="36"/>
      <c r="H5801" s="36"/>
      <c r="I5801" s="37"/>
      <c r="J5801" s="36"/>
      <c r="K5801" s="38"/>
      <c r="L5801" s="38"/>
    </row>
    <row r="5802" spans="1:12" x14ac:dyDescent="0.25">
      <c r="A5802" s="35"/>
      <c r="B5802" s="36"/>
      <c r="C5802" s="36"/>
      <c r="D5802" s="36"/>
      <c r="E5802" s="36"/>
      <c r="F5802" s="36"/>
      <c r="G5802" s="36"/>
      <c r="H5802" s="36"/>
      <c r="I5802" s="37"/>
      <c r="J5802" s="36"/>
      <c r="K5802" s="38"/>
      <c r="L5802" s="38"/>
    </row>
    <row r="5803" spans="1:12" x14ac:dyDescent="0.25">
      <c r="A5803" s="35"/>
      <c r="B5803" s="36"/>
      <c r="C5803" s="36"/>
      <c r="D5803" s="36"/>
      <c r="E5803" s="36"/>
      <c r="F5803" s="36"/>
      <c r="G5803" s="36"/>
      <c r="H5803" s="36"/>
      <c r="I5803" s="37"/>
      <c r="J5803" s="36"/>
      <c r="K5803" s="38"/>
      <c r="L5803" s="38"/>
    </row>
    <row r="5804" spans="1:12" x14ac:dyDescent="0.25">
      <c r="A5804" s="35"/>
      <c r="B5804" s="36"/>
      <c r="C5804" s="36"/>
      <c r="D5804" s="36"/>
      <c r="E5804" s="36"/>
      <c r="F5804" s="36"/>
      <c r="G5804" s="36"/>
      <c r="H5804" s="36"/>
      <c r="I5804" s="37"/>
      <c r="J5804" s="36"/>
      <c r="K5804" s="38"/>
      <c r="L5804" s="38"/>
    </row>
    <row r="5805" spans="1:12" x14ac:dyDescent="0.25">
      <c r="A5805" s="35"/>
      <c r="B5805" s="36"/>
      <c r="C5805" s="36"/>
      <c r="D5805" s="36"/>
      <c r="E5805" s="36"/>
      <c r="F5805" s="36"/>
      <c r="G5805" s="36"/>
      <c r="H5805" s="36"/>
      <c r="I5805" s="37"/>
      <c r="J5805" s="36"/>
      <c r="K5805" s="38"/>
      <c r="L5805" s="38"/>
    </row>
    <row r="5806" spans="1:12" x14ac:dyDescent="0.25">
      <c r="A5806" s="35"/>
      <c r="B5806" s="36"/>
      <c r="C5806" s="36"/>
      <c r="D5806" s="36"/>
      <c r="E5806" s="36"/>
      <c r="F5806" s="36"/>
      <c r="G5806" s="36"/>
      <c r="H5806" s="36"/>
      <c r="I5806" s="37"/>
      <c r="J5806" s="36"/>
      <c r="K5806" s="38"/>
      <c r="L5806" s="38"/>
    </row>
    <row r="5807" spans="1:12" x14ac:dyDescent="0.25">
      <c r="A5807" s="35"/>
      <c r="B5807" s="36"/>
      <c r="C5807" s="36"/>
      <c r="D5807" s="36"/>
      <c r="E5807" s="36"/>
      <c r="F5807" s="36"/>
      <c r="G5807" s="36"/>
      <c r="H5807" s="36"/>
      <c r="I5807" s="37"/>
      <c r="J5807" s="36"/>
      <c r="K5807" s="38"/>
      <c r="L5807" s="38"/>
    </row>
    <row r="5808" spans="1:12" x14ac:dyDescent="0.25">
      <c r="A5808" s="35"/>
      <c r="B5808" s="36"/>
      <c r="C5808" s="36"/>
      <c r="D5808" s="36"/>
      <c r="E5808" s="36"/>
      <c r="F5808" s="36"/>
      <c r="G5808" s="36"/>
      <c r="H5808" s="36"/>
      <c r="I5808" s="37"/>
      <c r="J5808" s="36"/>
      <c r="K5808" s="38"/>
      <c r="L5808" s="38"/>
    </row>
    <row r="5809" spans="1:12" x14ac:dyDescent="0.25">
      <c r="A5809" s="35"/>
      <c r="B5809" s="36"/>
      <c r="C5809" s="36"/>
      <c r="D5809" s="36"/>
      <c r="E5809" s="36"/>
      <c r="F5809" s="36"/>
      <c r="G5809" s="36"/>
      <c r="H5809" s="36"/>
      <c r="I5809" s="37"/>
      <c r="J5809" s="36"/>
      <c r="K5809" s="38"/>
      <c r="L5809" s="38"/>
    </row>
    <row r="5810" spans="1:12" x14ac:dyDescent="0.25">
      <c r="A5810" s="35"/>
      <c r="B5810" s="36"/>
      <c r="C5810" s="36"/>
      <c r="D5810" s="36"/>
      <c r="E5810" s="36"/>
      <c r="F5810" s="36"/>
      <c r="G5810" s="36"/>
      <c r="H5810" s="36"/>
      <c r="I5810" s="37"/>
      <c r="J5810" s="36"/>
      <c r="K5810" s="38"/>
      <c r="L5810" s="38"/>
    </row>
    <row r="5811" spans="1:12" x14ac:dyDescent="0.25">
      <c r="A5811" s="35"/>
      <c r="B5811" s="36"/>
      <c r="C5811" s="36"/>
      <c r="D5811" s="36"/>
      <c r="E5811" s="36"/>
      <c r="F5811" s="36"/>
      <c r="G5811" s="36"/>
      <c r="H5811" s="36"/>
      <c r="I5811" s="37"/>
      <c r="J5811" s="36"/>
      <c r="K5811" s="38"/>
      <c r="L5811" s="38"/>
    </row>
    <row r="5812" spans="1:12" x14ac:dyDescent="0.25">
      <c r="A5812" s="35"/>
      <c r="B5812" s="36"/>
      <c r="C5812" s="36"/>
      <c r="D5812" s="36"/>
      <c r="E5812" s="36"/>
      <c r="F5812" s="36"/>
      <c r="G5812" s="36"/>
      <c r="H5812" s="36"/>
      <c r="I5812" s="37"/>
      <c r="J5812" s="36"/>
      <c r="K5812" s="38"/>
      <c r="L5812" s="38"/>
    </row>
    <row r="5813" spans="1:12" x14ac:dyDescent="0.25">
      <c r="A5813" s="35"/>
      <c r="B5813" s="36"/>
      <c r="C5813" s="36"/>
      <c r="D5813" s="36"/>
      <c r="E5813" s="36"/>
      <c r="F5813" s="36"/>
      <c r="G5813" s="36"/>
      <c r="H5813" s="36"/>
      <c r="I5813" s="37"/>
      <c r="J5813" s="36"/>
      <c r="K5813" s="38"/>
      <c r="L5813" s="38"/>
    </row>
    <row r="5814" spans="1:12" x14ac:dyDescent="0.25">
      <c r="A5814" s="35"/>
      <c r="B5814" s="36"/>
      <c r="C5814" s="36"/>
      <c r="D5814" s="36"/>
      <c r="E5814" s="36"/>
      <c r="F5814" s="36"/>
      <c r="G5814" s="36"/>
      <c r="H5814" s="36"/>
      <c r="I5814" s="37"/>
      <c r="J5814" s="36"/>
      <c r="K5814" s="38"/>
      <c r="L5814" s="38"/>
    </row>
    <row r="5815" spans="1:12" x14ac:dyDescent="0.25">
      <c r="A5815" s="35"/>
      <c r="B5815" s="36"/>
      <c r="C5815" s="36"/>
      <c r="D5815" s="36"/>
      <c r="E5815" s="36"/>
      <c r="F5815" s="36"/>
      <c r="G5815" s="36"/>
      <c r="H5815" s="36"/>
      <c r="I5815" s="37"/>
      <c r="J5815" s="36"/>
      <c r="K5815" s="38"/>
      <c r="L5815" s="38"/>
    </row>
    <row r="5816" spans="1:12" x14ac:dyDescent="0.25">
      <c r="A5816" s="35"/>
      <c r="B5816" s="36"/>
      <c r="C5816" s="36"/>
      <c r="D5816" s="36"/>
      <c r="E5816" s="36"/>
      <c r="F5816" s="36"/>
      <c r="G5816" s="36"/>
      <c r="H5816" s="36"/>
      <c r="I5816" s="37"/>
      <c r="J5816" s="36"/>
      <c r="K5816" s="38"/>
      <c r="L5816" s="38"/>
    </row>
    <row r="5817" spans="1:12" x14ac:dyDescent="0.25">
      <c r="A5817" s="35"/>
      <c r="B5817" s="36"/>
      <c r="C5817" s="36"/>
      <c r="D5817" s="36"/>
      <c r="E5817" s="36"/>
      <c r="F5817" s="36"/>
      <c r="G5817" s="36"/>
      <c r="H5817" s="36"/>
      <c r="I5817" s="37"/>
      <c r="J5817" s="36"/>
      <c r="K5817" s="38"/>
      <c r="L5817" s="38"/>
    </row>
    <row r="5818" spans="1:12" x14ac:dyDescent="0.25">
      <c r="A5818" s="35"/>
      <c r="B5818" s="36"/>
      <c r="C5818" s="36"/>
      <c r="D5818" s="36"/>
      <c r="E5818" s="36"/>
      <c r="F5818" s="36"/>
      <c r="G5818" s="36"/>
      <c r="H5818" s="36"/>
      <c r="I5818" s="37"/>
      <c r="J5818" s="36"/>
      <c r="K5818" s="38"/>
      <c r="L5818" s="38"/>
    </row>
    <row r="5819" spans="1:12" x14ac:dyDescent="0.25">
      <c r="A5819" s="35"/>
      <c r="B5819" s="36"/>
      <c r="C5819" s="36"/>
      <c r="D5819" s="36"/>
      <c r="E5819" s="36"/>
      <c r="F5819" s="36"/>
      <c r="G5819" s="36"/>
      <c r="H5819" s="36"/>
      <c r="I5819" s="37"/>
      <c r="J5819" s="36"/>
      <c r="K5819" s="38"/>
      <c r="L5819" s="38"/>
    </row>
    <row r="5820" spans="1:12" x14ac:dyDescent="0.25">
      <c r="A5820" s="35"/>
      <c r="B5820" s="36"/>
      <c r="C5820" s="36"/>
      <c r="D5820" s="36"/>
      <c r="E5820" s="36"/>
      <c r="F5820" s="36"/>
      <c r="G5820" s="36"/>
      <c r="H5820" s="36"/>
      <c r="I5820" s="37"/>
      <c r="J5820" s="36"/>
      <c r="K5820" s="38"/>
      <c r="L5820" s="38"/>
    </row>
    <row r="5821" spans="1:12" x14ac:dyDescent="0.25">
      <c r="A5821" s="35"/>
      <c r="B5821" s="36"/>
      <c r="C5821" s="36"/>
      <c r="D5821" s="36"/>
      <c r="E5821" s="36"/>
      <c r="F5821" s="36"/>
      <c r="G5821" s="36"/>
      <c r="H5821" s="36"/>
      <c r="I5821" s="37"/>
      <c r="J5821" s="36"/>
      <c r="K5821" s="38"/>
      <c r="L5821" s="38"/>
    </row>
    <row r="5822" spans="1:12" x14ac:dyDescent="0.25">
      <c r="A5822" s="35"/>
      <c r="B5822" s="36"/>
      <c r="C5822" s="36"/>
      <c r="D5822" s="36"/>
      <c r="E5822" s="36"/>
      <c r="F5822" s="36"/>
      <c r="G5822" s="36"/>
      <c r="H5822" s="36"/>
      <c r="I5822" s="37"/>
      <c r="J5822" s="36"/>
      <c r="K5822" s="38"/>
      <c r="L5822" s="38"/>
    </row>
    <row r="5823" spans="1:12" x14ac:dyDescent="0.25">
      <c r="A5823" s="35"/>
      <c r="B5823" s="36"/>
      <c r="C5823" s="36"/>
      <c r="D5823" s="36"/>
      <c r="E5823" s="36"/>
      <c r="F5823" s="36"/>
      <c r="G5823" s="36"/>
      <c r="H5823" s="36"/>
      <c r="I5823" s="37"/>
      <c r="J5823" s="36"/>
      <c r="K5823" s="38"/>
      <c r="L5823" s="38"/>
    </row>
    <row r="5824" spans="1:12" x14ac:dyDescent="0.25">
      <c r="A5824" s="35"/>
      <c r="B5824" s="36"/>
      <c r="C5824" s="36"/>
      <c r="D5824" s="36"/>
      <c r="E5824" s="36"/>
      <c r="F5824" s="36"/>
      <c r="G5824" s="36"/>
      <c r="H5824" s="36"/>
      <c r="I5824" s="37"/>
      <c r="J5824" s="36"/>
      <c r="K5824" s="38"/>
      <c r="L5824" s="38"/>
    </row>
    <row r="5825" spans="1:12" x14ac:dyDescent="0.25">
      <c r="A5825" s="35"/>
      <c r="B5825" s="36"/>
      <c r="C5825" s="36"/>
      <c r="D5825" s="36"/>
      <c r="E5825" s="36"/>
      <c r="F5825" s="36"/>
      <c r="G5825" s="36"/>
      <c r="H5825" s="36"/>
      <c r="I5825" s="37"/>
      <c r="J5825" s="36"/>
      <c r="K5825" s="38"/>
      <c r="L5825" s="38"/>
    </row>
    <row r="5826" spans="1:12" x14ac:dyDescent="0.25">
      <c r="A5826" s="35"/>
      <c r="B5826" s="36"/>
      <c r="C5826" s="36"/>
      <c r="D5826" s="36"/>
      <c r="E5826" s="36"/>
      <c r="F5826" s="36"/>
      <c r="G5826" s="36"/>
      <c r="H5826" s="36"/>
      <c r="I5826" s="37"/>
      <c r="J5826" s="36"/>
      <c r="K5826" s="38"/>
      <c r="L5826" s="38"/>
    </row>
    <row r="5827" spans="1:12" x14ac:dyDescent="0.25">
      <c r="A5827" s="35"/>
      <c r="B5827" s="36"/>
      <c r="C5827" s="36"/>
      <c r="D5827" s="36"/>
      <c r="E5827" s="36"/>
      <c r="F5827" s="36"/>
      <c r="G5827" s="36"/>
      <c r="H5827" s="36"/>
      <c r="I5827" s="37"/>
      <c r="J5827" s="36"/>
      <c r="K5827" s="38"/>
      <c r="L5827" s="38"/>
    </row>
    <row r="5828" spans="1:12" x14ac:dyDescent="0.25">
      <c r="A5828" s="35"/>
      <c r="B5828" s="36"/>
      <c r="C5828" s="36"/>
      <c r="D5828" s="36"/>
      <c r="E5828" s="36"/>
      <c r="F5828" s="36"/>
      <c r="G5828" s="36"/>
      <c r="H5828" s="36"/>
      <c r="I5828" s="37"/>
      <c r="J5828" s="36"/>
      <c r="K5828" s="38"/>
      <c r="L5828" s="38"/>
    </row>
    <row r="5829" spans="1:12" x14ac:dyDescent="0.25">
      <c r="A5829" s="35"/>
      <c r="B5829" s="36"/>
      <c r="C5829" s="36"/>
      <c r="D5829" s="36"/>
      <c r="E5829" s="36"/>
      <c r="F5829" s="36"/>
      <c r="G5829" s="36"/>
      <c r="H5829" s="36"/>
      <c r="I5829" s="37"/>
      <c r="J5829" s="36"/>
      <c r="K5829" s="38"/>
      <c r="L5829" s="38"/>
    </row>
    <row r="5830" spans="1:12" x14ac:dyDescent="0.25">
      <c r="A5830" s="35"/>
      <c r="B5830" s="36"/>
      <c r="C5830" s="36"/>
      <c r="D5830" s="36"/>
      <c r="E5830" s="36"/>
      <c r="F5830" s="36"/>
      <c r="G5830" s="36"/>
      <c r="H5830" s="36"/>
      <c r="I5830" s="37"/>
      <c r="J5830" s="36"/>
      <c r="K5830" s="38"/>
      <c r="L5830" s="38"/>
    </row>
    <row r="5831" spans="1:12" x14ac:dyDescent="0.25">
      <c r="A5831" s="35"/>
      <c r="B5831" s="36"/>
      <c r="C5831" s="36"/>
      <c r="D5831" s="36"/>
      <c r="E5831" s="36"/>
      <c r="F5831" s="36"/>
      <c r="G5831" s="36"/>
      <c r="H5831" s="36"/>
      <c r="I5831" s="37"/>
      <c r="J5831" s="36"/>
      <c r="K5831" s="38"/>
      <c r="L5831" s="38"/>
    </row>
    <row r="5832" spans="1:12" x14ac:dyDescent="0.25">
      <c r="A5832" s="35"/>
      <c r="B5832" s="36"/>
      <c r="C5832" s="36"/>
      <c r="D5832" s="36"/>
      <c r="E5832" s="36"/>
      <c r="F5832" s="36"/>
      <c r="G5832" s="36"/>
      <c r="H5832" s="36"/>
      <c r="I5832" s="37"/>
      <c r="J5832" s="36"/>
      <c r="K5832" s="38"/>
      <c r="L5832" s="38"/>
    </row>
    <row r="5833" spans="1:12" x14ac:dyDescent="0.25">
      <c r="A5833" s="35"/>
      <c r="B5833" s="36"/>
      <c r="C5833" s="36"/>
      <c r="D5833" s="36"/>
      <c r="E5833" s="36"/>
      <c r="F5833" s="36"/>
      <c r="G5833" s="36"/>
      <c r="H5833" s="36"/>
      <c r="I5833" s="37"/>
      <c r="J5833" s="36"/>
      <c r="K5833" s="38"/>
      <c r="L5833" s="38"/>
    </row>
    <row r="5834" spans="1:12" x14ac:dyDescent="0.25">
      <c r="A5834" s="35"/>
      <c r="B5834" s="36"/>
      <c r="C5834" s="36"/>
      <c r="D5834" s="36"/>
      <c r="E5834" s="36"/>
      <c r="F5834" s="36"/>
      <c r="G5834" s="36"/>
      <c r="H5834" s="36"/>
      <c r="I5834" s="37"/>
      <c r="J5834" s="36"/>
      <c r="K5834" s="38"/>
      <c r="L5834" s="38"/>
    </row>
    <row r="5835" spans="1:12" x14ac:dyDescent="0.25">
      <c r="A5835" s="35"/>
      <c r="B5835" s="36"/>
      <c r="C5835" s="36"/>
      <c r="D5835" s="36"/>
      <c r="E5835" s="36"/>
      <c r="F5835" s="36"/>
      <c r="G5835" s="36"/>
      <c r="H5835" s="36"/>
      <c r="I5835" s="37"/>
      <c r="J5835" s="36"/>
      <c r="K5835" s="38"/>
      <c r="L5835" s="38"/>
    </row>
    <row r="5836" spans="1:12" x14ac:dyDescent="0.25">
      <c r="A5836" s="35"/>
      <c r="B5836" s="36"/>
      <c r="C5836" s="36"/>
      <c r="D5836" s="36"/>
      <c r="E5836" s="36"/>
      <c r="F5836" s="36"/>
      <c r="G5836" s="36"/>
      <c r="H5836" s="36"/>
      <c r="I5836" s="37"/>
      <c r="J5836" s="36"/>
      <c r="K5836" s="38"/>
      <c r="L5836" s="38"/>
    </row>
    <row r="5837" spans="1:12" x14ac:dyDescent="0.25">
      <c r="A5837" s="35"/>
      <c r="B5837" s="36"/>
      <c r="C5837" s="36"/>
      <c r="D5837" s="36"/>
      <c r="E5837" s="36"/>
      <c r="F5837" s="36"/>
      <c r="G5837" s="36"/>
      <c r="H5837" s="36"/>
      <c r="I5837" s="37"/>
      <c r="J5837" s="36"/>
      <c r="K5837" s="38"/>
      <c r="L5837" s="38"/>
    </row>
    <row r="5838" spans="1:12" x14ac:dyDescent="0.25">
      <c r="A5838" s="35"/>
      <c r="B5838" s="36"/>
      <c r="C5838" s="36"/>
      <c r="D5838" s="36"/>
      <c r="E5838" s="36"/>
      <c r="F5838" s="36"/>
      <c r="G5838" s="36"/>
      <c r="H5838" s="36"/>
      <c r="I5838" s="37"/>
      <c r="J5838" s="36"/>
      <c r="K5838" s="38"/>
      <c r="L5838" s="38"/>
    </row>
    <row r="5839" spans="1:12" x14ac:dyDescent="0.25">
      <c r="A5839" s="35"/>
      <c r="B5839" s="36"/>
      <c r="C5839" s="36"/>
      <c r="D5839" s="36"/>
      <c r="E5839" s="36"/>
      <c r="F5839" s="36"/>
      <c r="G5839" s="36"/>
      <c r="H5839" s="36"/>
      <c r="I5839" s="37"/>
      <c r="J5839" s="36"/>
      <c r="K5839" s="38"/>
      <c r="L5839" s="38"/>
    </row>
    <row r="5840" spans="1:12" x14ac:dyDescent="0.25">
      <c r="A5840" s="35"/>
      <c r="B5840" s="36"/>
      <c r="C5840" s="36"/>
      <c r="D5840" s="36"/>
      <c r="E5840" s="36"/>
      <c r="F5840" s="36"/>
      <c r="G5840" s="36"/>
      <c r="H5840" s="36"/>
      <c r="I5840" s="37"/>
      <c r="J5840" s="36"/>
      <c r="K5840" s="38"/>
      <c r="L5840" s="38"/>
    </row>
    <row r="5841" spans="1:12" x14ac:dyDescent="0.25">
      <c r="A5841" s="35"/>
      <c r="B5841" s="36"/>
      <c r="C5841" s="36"/>
      <c r="D5841" s="36"/>
      <c r="E5841" s="36"/>
      <c r="F5841" s="36"/>
      <c r="G5841" s="36"/>
      <c r="H5841" s="36"/>
      <c r="I5841" s="37"/>
      <c r="J5841" s="36"/>
      <c r="K5841" s="38"/>
      <c r="L5841" s="38"/>
    </row>
    <row r="5842" spans="1:12" x14ac:dyDescent="0.25">
      <c r="A5842" s="35"/>
      <c r="B5842" s="36"/>
      <c r="C5842" s="36"/>
      <c r="D5842" s="36"/>
      <c r="E5842" s="36"/>
      <c r="F5842" s="36"/>
      <c r="G5842" s="36"/>
      <c r="H5842" s="36"/>
      <c r="I5842" s="37"/>
      <c r="J5842" s="36"/>
      <c r="K5842" s="38"/>
      <c r="L5842" s="38"/>
    </row>
    <row r="5843" spans="1:12" x14ac:dyDescent="0.25">
      <c r="A5843" s="35"/>
      <c r="B5843" s="36"/>
      <c r="C5843" s="36"/>
      <c r="D5843" s="36"/>
      <c r="E5843" s="36"/>
      <c r="F5843" s="36"/>
      <c r="G5843" s="36"/>
      <c r="H5843" s="36"/>
      <c r="I5843" s="37"/>
      <c r="J5843" s="36"/>
      <c r="K5843" s="38"/>
      <c r="L5843" s="38"/>
    </row>
    <row r="5844" spans="1:12" x14ac:dyDescent="0.25">
      <c r="A5844" s="35"/>
      <c r="B5844" s="36"/>
      <c r="C5844" s="36"/>
      <c r="D5844" s="36"/>
      <c r="E5844" s="36"/>
      <c r="F5844" s="36"/>
      <c r="G5844" s="36"/>
      <c r="H5844" s="36"/>
      <c r="I5844" s="37"/>
      <c r="J5844" s="36"/>
      <c r="K5844" s="38"/>
      <c r="L5844" s="38"/>
    </row>
    <row r="5845" spans="1:12" x14ac:dyDescent="0.25">
      <c r="A5845" s="35"/>
      <c r="B5845" s="36"/>
      <c r="C5845" s="36"/>
      <c r="D5845" s="36"/>
      <c r="E5845" s="36"/>
      <c r="F5845" s="36"/>
      <c r="G5845" s="36"/>
      <c r="H5845" s="36"/>
      <c r="I5845" s="37"/>
      <c r="J5845" s="36"/>
      <c r="K5845" s="38"/>
      <c r="L5845" s="38"/>
    </row>
    <row r="5846" spans="1:12" x14ac:dyDescent="0.25">
      <c r="A5846" s="35"/>
      <c r="B5846" s="36"/>
      <c r="C5846" s="36"/>
      <c r="D5846" s="36"/>
      <c r="E5846" s="36"/>
      <c r="F5846" s="36"/>
      <c r="G5846" s="36"/>
      <c r="H5846" s="36"/>
      <c r="I5846" s="37"/>
      <c r="J5846" s="36"/>
      <c r="K5846" s="38"/>
      <c r="L5846" s="38"/>
    </row>
    <row r="5847" spans="1:12" x14ac:dyDescent="0.25">
      <c r="A5847" s="35"/>
      <c r="B5847" s="36"/>
      <c r="C5847" s="36"/>
      <c r="D5847" s="36"/>
      <c r="E5847" s="36"/>
      <c r="F5847" s="36"/>
      <c r="G5847" s="36"/>
      <c r="H5847" s="36"/>
      <c r="I5847" s="37"/>
      <c r="J5847" s="36"/>
      <c r="K5847" s="38"/>
      <c r="L5847" s="38"/>
    </row>
    <row r="5848" spans="1:12" x14ac:dyDescent="0.25">
      <c r="A5848" s="35"/>
      <c r="B5848" s="36"/>
      <c r="C5848" s="36"/>
      <c r="D5848" s="36"/>
      <c r="E5848" s="36"/>
      <c r="F5848" s="36"/>
      <c r="G5848" s="36"/>
      <c r="H5848" s="36"/>
      <c r="I5848" s="37"/>
      <c r="J5848" s="36"/>
      <c r="K5848" s="38"/>
      <c r="L5848" s="38"/>
    </row>
    <row r="5849" spans="1:12" x14ac:dyDescent="0.25">
      <c r="A5849" s="35"/>
      <c r="B5849" s="36"/>
      <c r="C5849" s="36"/>
      <c r="D5849" s="36"/>
      <c r="E5849" s="36"/>
      <c r="F5849" s="36"/>
      <c r="G5849" s="36"/>
      <c r="H5849" s="36"/>
      <c r="I5849" s="37"/>
      <c r="J5849" s="36"/>
      <c r="K5849" s="38"/>
      <c r="L5849" s="38"/>
    </row>
    <row r="5850" spans="1:12" x14ac:dyDescent="0.25">
      <c r="A5850" s="35"/>
      <c r="B5850" s="36"/>
      <c r="C5850" s="36"/>
      <c r="D5850" s="36"/>
      <c r="E5850" s="36"/>
      <c r="F5850" s="36"/>
      <c r="G5850" s="36"/>
      <c r="H5850" s="36"/>
      <c r="I5850" s="37"/>
      <c r="J5850" s="36"/>
      <c r="K5850" s="38"/>
      <c r="L5850" s="38"/>
    </row>
    <row r="5851" spans="1:12" x14ac:dyDescent="0.25">
      <c r="A5851" s="35"/>
      <c r="B5851" s="36"/>
      <c r="C5851" s="36"/>
      <c r="D5851" s="36"/>
      <c r="E5851" s="36"/>
      <c r="F5851" s="36"/>
      <c r="G5851" s="36"/>
      <c r="H5851" s="36"/>
      <c r="I5851" s="37"/>
      <c r="J5851" s="36"/>
      <c r="K5851" s="38"/>
      <c r="L5851" s="38"/>
    </row>
    <row r="5852" spans="1:12" x14ac:dyDescent="0.25">
      <c r="A5852" s="35"/>
      <c r="B5852" s="36"/>
      <c r="C5852" s="36"/>
      <c r="D5852" s="36"/>
      <c r="E5852" s="36"/>
      <c r="F5852" s="36"/>
      <c r="G5852" s="36"/>
      <c r="H5852" s="36"/>
      <c r="I5852" s="37"/>
      <c r="J5852" s="36"/>
      <c r="K5852" s="38"/>
      <c r="L5852" s="38"/>
    </row>
    <row r="5853" spans="1:12" x14ac:dyDescent="0.25">
      <c r="A5853" s="35"/>
      <c r="B5853" s="36"/>
      <c r="C5853" s="36"/>
      <c r="D5853" s="36"/>
      <c r="E5853" s="36"/>
      <c r="F5853" s="36"/>
      <c r="G5853" s="36"/>
      <c r="H5853" s="36"/>
      <c r="I5853" s="37"/>
      <c r="J5853" s="36"/>
      <c r="K5853" s="38"/>
      <c r="L5853" s="38"/>
    </row>
    <row r="5854" spans="1:12" x14ac:dyDescent="0.25">
      <c r="A5854" s="35"/>
      <c r="B5854" s="36"/>
      <c r="C5854" s="36"/>
      <c r="D5854" s="36"/>
      <c r="E5854" s="36"/>
      <c r="F5854" s="36"/>
      <c r="G5854" s="36"/>
      <c r="H5854" s="36"/>
      <c r="I5854" s="37"/>
      <c r="J5854" s="36"/>
      <c r="K5854" s="38"/>
      <c r="L5854" s="38"/>
    </row>
    <row r="5855" spans="1:12" x14ac:dyDescent="0.25">
      <c r="A5855" s="35"/>
      <c r="B5855" s="36"/>
      <c r="C5855" s="36"/>
      <c r="D5855" s="36"/>
      <c r="E5855" s="36"/>
      <c r="F5855" s="36"/>
      <c r="G5855" s="36"/>
      <c r="H5855" s="36"/>
      <c r="I5855" s="37"/>
      <c r="J5855" s="36"/>
      <c r="K5855" s="38"/>
      <c r="L5855" s="38"/>
    </row>
    <row r="5856" spans="1:12" x14ac:dyDescent="0.25">
      <c r="A5856" s="35"/>
      <c r="B5856" s="36"/>
      <c r="C5856" s="36"/>
      <c r="D5856" s="36"/>
      <c r="E5856" s="36"/>
      <c r="F5856" s="36"/>
      <c r="G5856" s="36"/>
      <c r="H5856" s="36"/>
      <c r="I5856" s="37"/>
      <c r="J5856" s="36"/>
      <c r="K5856" s="38"/>
      <c r="L5856" s="38"/>
    </row>
    <row r="5857" spans="1:12" x14ac:dyDescent="0.25">
      <c r="A5857" s="35"/>
      <c r="B5857" s="36"/>
      <c r="C5857" s="36"/>
      <c r="D5857" s="36"/>
      <c r="E5857" s="36"/>
      <c r="F5857" s="36"/>
      <c r="G5857" s="36"/>
      <c r="H5857" s="36"/>
      <c r="I5857" s="37"/>
      <c r="J5857" s="36"/>
      <c r="K5857" s="38"/>
      <c r="L5857" s="38"/>
    </row>
    <row r="5858" spans="1:12" x14ac:dyDescent="0.25">
      <c r="A5858" s="35"/>
      <c r="B5858" s="36"/>
      <c r="C5858" s="36"/>
      <c r="D5858" s="36"/>
      <c r="E5858" s="36"/>
      <c r="F5858" s="36"/>
      <c r="G5858" s="36"/>
      <c r="H5858" s="36"/>
      <c r="I5858" s="37"/>
      <c r="J5858" s="36"/>
      <c r="K5858" s="38"/>
      <c r="L5858" s="38"/>
    </row>
    <row r="5859" spans="1:12" x14ac:dyDescent="0.25">
      <c r="A5859" s="35"/>
      <c r="B5859" s="36"/>
      <c r="C5859" s="36"/>
      <c r="D5859" s="36"/>
      <c r="E5859" s="36"/>
      <c r="F5859" s="36"/>
      <c r="G5859" s="36"/>
      <c r="H5859" s="36"/>
      <c r="I5859" s="37"/>
      <c r="J5859" s="36"/>
      <c r="K5859" s="38"/>
      <c r="L5859" s="38"/>
    </row>
    <row r="5860" spans="1:12" x14ac:dyDescent="0.25">
      <c r="A5860" s="35"/>
      <c r="B5860" s="36"/>
      <c r="C5860" s="36"/>
      <c r="D5860" s="36"/>
      <c r="E5860" s="36"/>
      <c r="F5860" s="36"/>
      <c r="G5860" s="36"/>
      <c r="H5860" s="36"/>
      <c r="I5860" s="37"/>
      <c r="J5860" s="36"/>
      <c r="K5860" s="38"/>
      <c r="L5860" s="38"/>
    </row>
    <row r="5861" spans="1:12" x14ac:dyDescent="0.25">
      <c r="A5861" s="35"/>
      <c r="B5861" s="36"/>
      <c r="C5861" s="36"/>
      <c r="D5861" s="36"/>
      <c r="E5861" s="36"/>
      <c r="F5861" s="36"/>
      <c r="G5861" s="36"/>
      <c r="H5861" s="36"/>
      <c r="I5861" s="37"/>
      <c r="J5861" s="36"/>
      <c r="K5861" s="38"/>
      <c r="L5861" s="38"/>
    </row>
    <row r="5862" spans="1:12" x14ac:dyDescent="0.25">
      <c r="A5862" s="35"/>
      <c r="B5862" s="36"/>
      <c r="C5862" s="36"/>
      <c r="D5862" s="36"/>
      <c r="E5862" s="36"/>
      <c r="F5862" s="36"/>
      <c r="G5862" s="36"/>
      <c r="H5862" s="36"/>
      <c r="I5862" s="37"/>
      <c r="J5862" s="36"/>
      <c r="K5862" s="38"/>
      <c r="L5862" s="38"/>
    </row>
    <row r="5863" spans="1:12" x14ac:dyDescent="0.25">
      <c r="A5863" s="35"/>
      <c r="B5863" s="36"/>
      <c r="C5863" s="36"/>
      <c r="D5863" s="36"/>
      <c r="E5863" s="36"/>
      <c r="F5863" s="36"/>
      <c r="G5863" s="36"/>
      <c r="H5863" s="36"/>
      <c r="I5863" s="37"/>
      <c r="J5863" s="36"/>
      <c r="K5863" s="38"/>
      <c r="L5863" s="38"/>
    </row>
    <row r="5864" spans="1:12" x14ac:dyDescent="0.25">
      <c r="A5864" s="35"/>
      <c r="B5864" s="36"/>
      <c r="C5864" s="36"/>
      <c r="D5864" s="36"/>
      <c r="E5864" s="36"/>
      <c r="F5864" s="36"/>
      <c r="G5864" s="36"/>
      <c r="H5864" s="36"/>
      <c r="I5864" s="37"/>
      <c r="J5864" s="36"/>
      <c r="K5864" s="38"/>
      <c r="L5864" s="38"/>
    </row>
    <row r="5865" spans="1:12" x14ac:dyDescent="0.25">
      <c r="A5865" s="35"/>
      <c r="B5865" s="36"/>
      <c r="C5865" s="36"/>
      <c r="D5865" s="36"/>
      <c r="E5865" s="36"/>
      <c r="F5865" s="36"/>
      <c r="G5865" s="36"/>
      <c r="H5865" s="36"/>
      <c r="I5865" s="37"/>
      <c r="J5865" s="36"/>
      <c r="K5865" s="38"/>
      <c r="L5865" s="38"/>
    </row>
    <row r="5866" spans="1:12" x14ac:dyDescent="0.25">
      <c r="A5866" s="35"/>
      <c r="B5866" s="36"/>
      <c r="C5866" s="36"/>
      <c r="D5866" s="36"/>
      <c r="E5866" s="36"/>
      <c r="F5866" s="36"/>
      <c r="G5866" s="36"/>
      <c r="H5866" s="36"/>
      <c r="I5866" s="37"/>
      <c r="J5866" s="36"/>
      <c r="K5866" s="38"/>
      <c r="L5866" s="38"/>
    </row>
    <row r="5867" spans="1:12" x14ac:dyDescent="0.25">
      <c r="A5867" s="35"/>
      <c r="B5867" s="36"/>
      <c r="C5867" s="36"/>
      <c r="D5867" s="36"/>
      <c r="E5867" s="36"/>
      <c r="F5867" s="36"/>
      <c r="G5867" s="36"/>
      <c r="H5867" s="36"/>
      <c r="I5867" s="37"/>
      <c r="J5867" s="36"/>
      <c r="K5867" s="38"/>
      <c r="L5867" s="38"/>
    </row>
    <row r="5868" spans="1:12" x14ac:dyDescent="0.25">
      <c r="A5868" s="35"/>
      <c r="B5868" s="36"/>
      <c r="C5868" s="36"/>
      <c r="D5868" s="36"/>
      <c r="E5868" s="36"/>
      <c r="F5868" s="36"/>
      <c r="G5868" s="36"/>
      <c r="H5868" s="36"/>
      <c r="I5868" s="37"/>
      <c r="J5868" s="36"/>
      <c r="K5868" s="38"/>
      <c r="L5868" s="38"/>
    </row>
    <row r="5869" spans="1:12" x14ac:dyDescent="0.25">
      <c r="A5869" s="35"/>
      <c r="B5869" s="36"/>
      <c r="C5869" s="36"/>
      <c r="D5869" s="36"/>
      <c r="E5869" s="36"/>
      <c r="F5869" s="36"/>
      <c r="G5869" s="36"/>
      <c r="H5869" s="36"/>
      <c r="I5869" s="37"/>
      <c r="J5869" s="36"/>
      <c r="K5869" s="38"/>
      <c r="L5869" s="38"/>
    </row>
    <row r="5870" spans="1:12" x14ac:dyDescent="0.25">
      <c r="A5870" s="35"/>
      <c r="B5870" s="36"/>
      <c r="C5870" s="36"/>
      <c r="D5870" s="36"/>
      <c r="E5870" s="36"/>
      <c r="F5870" s="36"/>
      <c r="G5870" s="36"/>
      <c r="H5870" s="36"/>
      <c r="I5870" s="37"/>
      <c r="J5870" s="36"/>
      <c r="K5870" s="38"/>
      <c r="L5870" s="38"/>
    </row>
    <row r="5871" spans="1:12" x14ac:dyDescent="0.25">
      <c r="A5871" s="35"/>
      <c r="B5871" s="36"/>
      <c r="C5871" s="36"/>
      <c r="D5871" s="36"/>
      <c r="E5871" s="36"/>
      <c r="F5871" s="36"/>
      <c r="G5871" s="36"/>
      <c r="H5871" s="36"/>
      <c r="I5871" s="37"/>
      <c r="J5871" s="36"/>
      <c r="K5871" s="38"/>
      <c r="L5871" s="38"/>
    </row>
    <row r="5872" spans="1:12" x14ac:dyDescent="0.25">
      <c r="A5872" s="35"/>
      <c r="B5872" s="36"/>
      <c r="C5872" s="36"/>
      <c r="D5872" s="36"/>
      <c r="E5872" s="36"/>
      <c r="F5872" s="36"/>
      <c r="G5872" s="36"/>
      <c r="H5872" s="36"/>
      <c r="I5872" s="37"/>
      <c r="J5872" s="36"/>
      <c r="K5872" s="38"/>
      <c r="L5872" s="38"/>
    </row>
    <row r="5873" spans="1:12" x14ac:dyDescent="0.25">
      <c r="A5873" s="35"/>
      <c r="B5873" s="36"/>
      <c r="C5873" s="36"/>
      <c r="D5873" s="36"/>
      <c r="E5873" s="36"/>
      <c r="F5873" s="36"/>
      <c r="G5873" s="36"/>
      <c r="H5873" s="36"/>
      <c r="I5873" s="37"/>
      <c r="J5873" s="36"/>
      <c r="K5873" s="38"/>
      <c r="L5873" s="38"/>
    </row>
    <row r="5874" spans="1:12" x14ac:dyDescent="0.25">
      <c r="A5874" s="35"/>
      <c r="B5874" s="36"/>
      <c r="C5874" s="36"/>
      <c r="D5874" s="36"/>
      <c r="E5874" s="36"/>
      <c r="F5874" s="36"/>
      <c r="G5874" s="36"/>
      <c r="H5874" s="36"/>
      <c r="I5874" s="37"/>
      <c r="J5874" s="36"/>
      <c r="K5874" s="38"/>
      <c r="L5874" s="38"/>
    </row>
    <row r="5875" spans="1:12" x14ac:dyDescent="0.25">
      <c r="A5875" s="35"/>
      <c r="B5875" s="36"/>
      <c r="C5875" s="36"/>
      <c r="D5875" s="36"/>
      <c r="E5875" s="36"/>
      <c r="F5875" s="36"/>
      <c r="G5875" s="36"/>
      <c r="H5875" s="36"/>
      <c r="I5875" s="37"/>
      <c r="J5875" s="36"/>
      <c r="K5875" s="38"/>
      <c r="L5875" s="38"/>
    </row>
    <row r="5876" spans="1:12" x14ac:dyDescent="0.25">
      <c r="A5876" s="35"/>
      <c r="B5876" s="36"/>
      <c r="C5876" s="36"/>
      <c r="D5876" s="36"/>
      <c r="E5876" s="36"/>
      <c r="F5876" s="36"/>
      <c r="G5876" s="36"/>
      <c r="H5876" s="36"/>
      <c r="I5876" s="37"/>
      <c r="J5876" s="36"/>
      <c r="K5876" s="38"/>
      <c r="L5876" s="38"/>
    </row>
    <row r="5877" spans="1:12" x14ac:dyDescent="0.25">
      <c r="A5877" s="35"/>
      <c r="B5877" s="36"/>
      <c r="C5877" s="36"/>
      <c r="D5877" s="36"/>
      <c r="E5877" s="36"/>
      <c r="F5877" s="36"/>
      <c r="G5877" s="36"/>
      <c r="H5877" s="36"/>
      <c r="I5877" s="37"/>
      <c r="J5877" s="36"/>
      <c r="K5877" s="38"/>
      <c r="L5877" s="38"/>
    </row>
    <row r="5878" spans="1:12" x14ac:dyDescent="0.25">
      <c r="A5878" s="35"/>
      <c r="B5878" s="36"/>
      <c r="C5878" s="36"/>
      <c r="D5878" s="36"/>
      <c r="E5878" s="36"/>
      <c r="F5878" s="36"/>
      <c r="G5878" s="36"/>
      <c r="H5878" s="36"/>
      <c r="I5878" s="37"/>
      <c r="J5878" s="36"/>
      <c r="K5878" s="38"/>
      <c r="L5878" s="38"/>
    </row>
    <row r="5879" spans="1:12" x14ac:dyDescent="0.25">
      <c r="A5879" s="35"/>
      <c r="B5879" s="36"/>
      <c r="C5879" s="36"/>
      <c r="D5879" s="36"/>
      <c r="E5879" s="36"/>
      <c r="F5879" s="36"/>
      <c r="G5879" s="36"/>
      <c r="H5879" s="36"/>
      <c r="I5879" s="37"/>
      <c r="J5879" s="36"/>
      <c r="K5879" s="38"/>
      <c r="L5879" s="38"/>
    </row>
    <row r="5880" spans="1:12" x14ac:dyDescent="0.25">
      <c r="A5880" s="35"/>
      <c r="B5880" s="36"/>
      <c r="C5880" s="36"/>
      <c r="D5880" s="36"/>
      <c r="E5880" s="36"/>
      <c r="F5880" s="36"/>
      <c r="G5880" s="36"/>
      <c r="H5880" s="36"/>
      <c r="I5880" s="37"/>
      <c r="J5880" s="36"/>
      <c r="K5880" s="38"/>
      <c r="L5880" s="38"/>
    </row>
    <row r="5881" spans="1:12" x14ac:dyDescent="0.25">
      <c r="A5881" s="35"/>
      <c r="B5881" s="36"/>
      <c r="C5881" s="36"/>
      <c r="D5881" s="36"/>
      <c r="E5881" s="36"/>
      <c r="F5881" s="36"/>
      <c r="G5881" s="36"/>
      <c r="H5881" s="36"/>
      <c r="I5881" s="37"/>
      <c r="J5881" s="36"/>
      <c r="K5881" s="38"/>
      <c r="L5881" s="38"/>
    </row>
    <row r="5882" spans="1:12" x14ac:dyDescent="0.25">
      <c r="A5882" s="35"/>
      <c r="B5882" s="36"/>
      <c r="C5882" s="36"/>
      <c r="D5882" s="36"/>
      <c r="E5882" s="36"/>
      <c r="F5882" s="36"/>
      <c r="G5882" s="36"/>
      <c r="H5882" s="36"/>
      <c r="I5882" s="37"/>
      <c r="J5882" s="36"/>
      <c r="K5882" s="38"/>
      <c r="L5882" s="38"/>
    </row>
    <row r="5883" spans="1:12" x14ac:dyDescent="0.25">
      <c r="A5883" s="35"/>
      <c r="B5883" s="36"/>
      <c r="C5883" s="36"/>
      <c r="D5883" s="36"/>
      <c r="E5883" s="36"/>
      <c r="F5883" s="36"/>
      <c r="G5883" s="36"/>
      <c r="H5883" s="36"/>
      <c r="I5883" s="37"/>
      <c r="J5883" s="36"/>
      <c r="K5883" s="38"/>
      <c r="L5883" s="38"/>
    </row>
    <row r="5884" spans="1:12" x14ac:dyDescent="0.25">
      <c r="A5884" s="35"/>
      <c r="B5884" s="36"/>
      <c r="C5884" s="36"/>
      <c r="D5884" s="36"/>
      <c r="E5884" s="36"/>
      <c r="F5884" s="36"/>
      <c r="G5884" s="36"/>
      <c r="H5884" s="36"/>
      <c r="I5884" s="37"/>
      <c r="J5884" s="36"/>
      <c r="K5884" s="38"/>
      <c r="L5884" s="38"/>
    </row>
    <row r="5885" spans="1:12" x14ac:dyDescent="0.25">
      <c r="A5885" s="35"/>
      <c r="B5885" s="36"/>
      <c r="C5885" s="36"/>
      <c r="D5885" s="36"/>
      <c r="E5885" s="36"/>
      <c r="F5885" s="36"/>
      <c r="G5885" s="36"/>
      <c r="H5885" s="36"/>
      <c r="I5885" s="37"/>
      <c r="J5885" s="36"/>
      <c r="K5885" s="38"/>
      <c r="L5885" s="38"/>
    </row>
    <row r="5886" spans="1:12" x14ac:dyDescent="0.25">
      <c r="A5886" s="35"/>
      <c r="B5886" s="36"/>
      <c r="C5886" s="36"/>
      <c r="D5886" s="36"/>
      <c r="E5886" s="36"/>
      <c r="F5886" s="36"/>
      <c r="G5886" s="36"/>
      <c r="H5886" s="36"/>
      <c r="I5886" s="37"/>
      <c r="J5886" s="36"/>
      <c r="K5886" s="38"/>
      <c r="L5886" s="38"/>
    </row>
    <row r="5887" spans="1:12" x14ac:dyDescent="0.25">
      <c r="A5887" s="35"/>
      <c r="B5887" s="36"/>
      <c r="C5887" s="36"/>
      <c r="D5887" s="36"/>
      <c r="E5887" s="36"/>
      <c r="F5887" s="36"/>
      <c r="G5887" s="36"/>
      <c r="H5887" s="36"/>
      <c r="I5887" s="37"/>
      <c r="J5887" s="36"/>
      <c r="K5887" s="38"/>
      <c r="L5887" s="38"/>
    </row>
    <row r="5888" spans="1:12" x14ac:dyDescent="0.25">
      <c r="A5888" s="35"/>
      <c r="B5888" s="36"/>
      <c r="C5888" s="36"/>
      <c r="D5888" s="36"/>
      <c r="E5888" s="36"/>
      <c r="F5888" s="36"/>
      <c r="G5888" s="36"/>
      <c r="H5888" s="36"/>
      <c r="I5888" s="37"/>
      <c r="J5888" s="36"/>
      <c r="K5888" s="38"/>
      <c r="L5888" s="38"/>
    </row>
    <row r="5889" spans="1:12" x14ac:dyDescent="0.25">
      <c r="A5889" s="35"/>
      <c r="B5889" s="36"/>
      <c r="C5889" s="36"/>
      <c r="D5889" s="36"/>
      <c r="E5889" s="36"/>
      <c r="F5889" s="36"/>
      <c r="G5889" s="36"/>
      <c r="H5889" s="36"/>
      <c r="I5889" s="37"/>
      <c r="J5889" s="36"/>
      <c r="K5889" s="38"/>
      <c r="L5889" s="38"/>
    </row>
    <row r="5890" spans="1:12" x14ac:dyDescent="0.25">
      <c r="A5890" s="35"/>
      <c r="B5890" s="36"/>
      <c r="C5890" s="36"/>
      <c r="D5890" s="36"/>
      <c r="E5890" s="36"/>
      <c r="F5890" s="36"/>
      <c r="G5890" s="36"/>
      <c r="H5890" s="36"/>
      <c r="I5890" s="37"/>
      <c r="J5890" s="36"/>
      <c r="K5890" s="38"/>
      <c r="L5890" s="38"/>
    </row>
    <row r="5891" spans="1:12" x14ac:dyDescent="0.25">
      <c r="A5891" s="35"/>
      <c r="B5891" s="36"/>
      <c r="C5891" s="36"/>
      <c r="D5891" s="36"/>
      <c r="E5891" s="36"/>
      <c r="F5891" s="36"/>
      <c r="G5891" s="36"/>
      <c r="H5891" s="36"/>
      <c r="I5891" s="37"/>
      <c r="J5891" s="36"/>
      <c r="K5891" s="38"/>
      <c r="L5891" s="38"/>
    </row>
    <row r="5892" spans="1:12" x14ac:dyDescent="0.25">
      <c r="A5892" s="35"/>
      <c r="B5892" s="36"/>
      <c r="C5892" s="36"/>
      <c r="D5892" s="36"/>
      <c r="E5892" s="36"/>
      <c r="F5892" s="36"/>
      <c r="G5892" s="36"/>
      <c r="H5892" s="36"/>
      <c r="I5892" s="37"/>
      <c r="J5892" s="36"/>
      <c r="K5892" s="38"/>
      <c r="L5892" s="38"/>
    </row>
    <row r="5893" spans="1:12" x14ac:dyDescent="0.25">
      <c r="A5893" s="35"/>
      <c r="B5893" s="36"/>
      <c r="C5893" s="36"/>
      <c r="D5893" s="36"/>
      <c r="E5893" s="36"/>
      <c r="F5893" s="36"/>
      <c r="G5893" s="36"/>
      <c r="H5893" s="36"/>
      <c r="I5893" s="37"/>
      <c r="J5893" s="36"/>
      <c r="K5893" s="38"/>
      <c r="L5893" s="38"/>
    </row>
    <row r="5894" spans="1:12" x14ac:dyDescent="0.25">
      <c r="A5894" s="35"/>
      <c r="B5894" s="36"/>
      <c r="C5894" s="36"/>
      <c r="D5894" s="36"/>
      <c r="E5894" s="36"/>
      <c r="F5894" s="36"/>
      <c r="G5894" s="36"/>
      <c r="H5894" s="36"/>
      <c r="I5894" s="37"/>
      <c r="J5894" s="36"/>
      <c r="K5894" s="38"/>
      <c r="L5894" s="38"/>
    </row>
    <row r="5895" spans="1:12" x14ac:dyDescent="0.25">
      <c r="A5895" s="35"/>
      <c r="B5895" s="36"/>
      <c r="C5895" s="36"/>
      <c r="D5895" s="36"/>
      <c r="E5895" s="36"/>
      <c r="F5895" s="36"/>
      <c r="G5895" s="36"/>
      <c r="H5895" s="36"/>
      <c r="I5895" s="37"/>
      <c r="J5895" s="36"/>
      <c r="K5895" s="38"/>
      <c r="L5895" s="38"/>
    </row>
    <row r="5896" spans="1:12" x14ac:dyDescent="0.25">
      <c r="A5896" s="35"/>
      <c r="B5896" s="36"/>
      <c r="C5896" s="36"/>
      <c r="D5896" s="36"/>
      <c r="E5896" s="36"/>
      <c r="F5896" s="36"/>
      <c r="G5896" s="36"/>
      <c r="H5896" s="36"/>
      <c r="I5896" s="37"/>
      <c r="J5896" s="36"/>
      <c r="K5896" s="38"/>
      <c r="L5896" s="38"/>
    </row>
    <row r="5897" spans="1:12" x14ac:dyDescent="0.25">
      <c r="A5897" s="35"/>
      <c r="B5897" s="36"/>
      <c r="C5897" s="36"/>
      <c r="D5897" s="36"/>
      <c r="E5897" s="36"/>
      <c r="F5897" s="36"/>
      <c r="G5897" s="36"/>
      <c r="H5897" s="36"/>
      <c r="I5897" s="37"/>
      <c r="J5897" s="36"/>
      <c r="K5897" s="38"/>
      <c r="L5897" s="38"/>
    </row>
    <row r="5898" spans="1:12" x14ac:dyDescent="0.25">
      <c r="A5898" s="35"/>
      <c r="B5898" s="36"/>
      <c r="C5898" s="36"/>
      <c r="D5898" s="36"/>
      <c r="E5898" s="36"/>
      <c r="F5898" s="36"/>
      <c r="G5898" s="36"/>
      <c r="H5898" s="36"/>
      <c r="I5898" s="37"/>
      <c r="J5898" s="36"/>
      <c r="K5898" s="38"/>
      <c r="L5898" s="38"/>
    </row>
    <row r="5899" spans="1:12" x14ac:dyDescent="0.25">
      <c r="A5899" s="35"/>
      <c r="B5899" s="36"/>
      <c r="C5899" s="36"/>
      <c r="D5899" s="36"/>
      <c r="E5899" s="36"/>
      <c r="F5899" s="36"/>
      <c r="G5899" s="36"/>
      <c r="H5899" s="36"/>
      <c r="I5899" s="37"/>
      <c r="J5899" s="36"/>
      <c r="K5899" s="38"/>
      <c r="L5899" s="38"/>
    </row>
    <row r="5900" spans="1:12" x14ac:dyDescent="0.25">
      <c r="A5900" s="35"/>
      <c r="B5900" s="36"/>
      <c r="C5900" s="36"/>
      <c r="D5900" s="36"/>
      <c r="E5900" s="36"/>
      <c r="F5900" s="36"/>
      <c r="G5900" s="36"/>
      <c r="H5900" s="36"/>
      <c r="I5900" s="37"/>
      <c r="J5900" s="36"/>
      <c r="K5900" s="38"/>
      <c r="L5900" s="38"/>
    </row>
    <row r="5901" spans="1:12" x14ac:dyDescent="0.25">
      <c r="A5901" s="35"/>
      <c r="B5901" s="36"/>
      <c r="C5901" s="36"/>
      <c r="D5901" s="36"/>
      <c r="E5901" s="36"/>
      <c r="F5901" s="36"/>
      <c r="G5901" s="36"/>
      <c r="H5901" s="36"/>
      <c r="I5901" s="37"/>
      <c r="J5901" s="36"/>
      <c r="K5901" s="38"/>
      <c r="L5901" s="38"/>
    </row>
    <row r="5902" spans="1:12" x14ac:dyDescent="0.25">
      <c r="A5902" s="35"/>
      <c r="B5902" s="36"/>
      <c r="C5902" s="36"/>
      <c r="D5902" s="36"/>
      <c r="E5902" s="36"/>
      <c r="F5902" s="36"/>
      <c r="G5902" s="36"/>
      <c r="H5902" s="36"/>
      <c r="I5902" s="37"/>
      <c r="J5902" s="36"/>
      <c r="K5902" s="38"/>
      <c r="L5902" s="38"/>
    </row>
    <row r="5903" spans="1:12" x14ac:dyDescent="0.25">
      <c r="A5903" s="35"/>
      <c r="B5903" s="36"/>
      <c r="C5903" s="36"/>
      <c r="D5903" s="36"/>
      <c r="E5903" s="36"/>
      <c r="F5903" s="36"/>
      <c r="G5903" s="36"/>
      <c r="H5903" s="36"/>
      <c r="I5903" s="37"/>
      <c r="J5903" s="36"/>
      <c r="K5903" s="38"/>
      <c r="L5903" s="38"/>
    </row>
    <row r="5904" spans="1:12" x14ac:dyDescent="0.25">
      <c r="A5904" s="35"/>
      <c r="B5904" s="36"/>
      <c r="C5904" s="36"/>
      <c r="D5904" s="36"/>
      <c r="E5904" s="36"/>
      <c r="F5904" s="36"/>
      <c r="G5904" s="36"/>
      <c r="H5904" s="36"/>
      <c r="I5904" s="37"/>
      <c r="J5904" s="36"/>
      <c r="K5904" s="38"/>
      <c r="L5904" s="38"/>
    </row>
    <row r="5905" spans="1:12" x14ac:dyDescent="0.25">
      <c r="A5905" s="35"/>
      <c r="B5905" s="36"/>
      <c r="C5905" s="36"/>
      <c r="D5905" s="36"/>
      <c r="E5905" s="36"/>
      <c r="F5905" s="36"/>
      <c r="G5905" s="36"/>
      <c r="H5905" s="36"/>
      <c r="I5905" s="37"/>
      <c r="J5905" s="36"/>
      <c r="K5905" s="38"/>
      <c r="L5905" s="38"/>
    </row>
    <row r="5906" spans="1:12" x14ac:dyDescent="0.25">
      <c r="A5906" s="35"/>
      <c r="B5906" s="36"/>
      <c r="C5906" s="36"/>
      <c r="D5906" s="36"/>
      <c r="E5906" s="36"/>
      <c r="F5906" s="36"/>
      <c r="G5906" s="36"/>
      <c r="H5906" s="36"/>
      <c r="I5906" s="37"/>
      <c r="J5906" s="36"/>
      <c r="K5906" s="38"/>
      <c r="L5906" s="38"/>
    </row>
    <row r="5907" spans="1:12" x14ac:dyDescent="0.25">
      <c r="A5907" s="35"/>
      <c r="B5907" s="36"/>
      <c r="C5907" s="36"/>
      <c r="D5907" s="36"/>
      <c r="E5907" s="36"/>
      <c r="F5907" s="36"/>
      <c r="G5907" s="36"/>
      <c r="H5907" s="36"/>
      <c r="I5907" s="37"/>
      <c r="J5907" s="36"/>
      <c r="K5907" s="38"/>
      <c r="L5907" s="38"/>
    </row>
    <row r="5908" spans="1:12" x14ac:dyDescent="0.25">
      <c r="A5908" s="35"/>
      <c r="B5908" s="36"/>
      <c r="C5908" s="36"/>
      <c r="D5908" s="36"/>
      <c r="E5908" s="36"/>
      <c r="F5908" s="36"/>
      <c r="G5908" s="36"/>
      <c r="H5908" s="36"/>
      <c r="I5908" s="37"/>
      <c r="J5908" s="36"/>
      <c r="K5908" s="38"/>
      <c r="L5908" s="38"/>
    </row>
    <row r="5909" spans="1:12" x14ac:dyDescent="0.25">
      <c r="A5909" s="35"/>
      <c r="B5909" s="36"/>
      <c r="C5909" s="36"/>
      <c r="D5909" s="36"/>
      <c r="E5909" s="36"/>
      <c r="F5909" s="36"/>
      <c r="G5909" s="36"/>
      <c r="H5909" s="36"/>
      <c r="I5909" s="37"/>
      <c r="J5909" s="36"/>
      <c r="K5909" s="38"/>
      <c r="L5909" s="38"/>
    </row>
    <row r="5910" spans="1:12" x14ac:dyDescent="0.25">
      <c r="A5910" s="35"/>
      <c r="B5910" s="36"/>
      <c r="C5910" s="36"/>
      <c r="D5910" s="36"/>
      <c r="E5910" s="36"/>
      <c r="F5910" s="36"/>
      <c r="G5910" s="36"/>
      <c r="H5910" s="36"/>
      <c r="I5910" s="37"/>
      <c r="J5910" s="36"/>
      <c r="K5910" s="38"/>
      <c r="L5910" s="38"/>
    </row>
    <row r="5911" spans="1:12" x14ac:dyDescent="0.25">
      <c r="A5911" s="35"/>
      <c r="B5911" s="36"/>
      <c r="C5911" s="36"/>
      <c r="D5911" s="36"/>
      <c r="E5911" s="36"/>
      <c r="F5911" s="36"/>
      <c r="G5911" s="36"/>
      <c r="H5911" s="36"/>
      <c r="I5911" s="37"/>
      <c r="J5911" s="36"/>
      <c r="K5911" s="38"/>
      <c r="L5911" s="38"/>
    </row>
    <row r="5912" spans="1:12" x14ac:dyDescent="0.25">
      <c r="A5912" s="35"/>
      <c r="B5912" s="36"/>
      <c r="C5912" s="36"/>
      <c r="D5912" s="36"/>
      <c r="E5912" s="36"/>
      <c r="F5912" s="36"/>
      <c r="G5912" s="36"/>
      <c r="H5912" s="36"/>
      <c r="I5912" s="37"/>
      <c r="J5912" s="36"/>
      <c r="K5912" s="38"/>
      <c r="L5912" s="38"/>
    </row>
    <row r="5913" spans="1:12" x14ac:dyDescent="0.25">
      <c r="A5913" s="35"/>
      <c r="B5913" s="36"/>
      <c r="C5913" s="36"/>
      <c r="D5913" s="36"/>
      <c r="E5913" s="36"/>
      <c r="F5913" s="36"/>
      <c r="G5913" s="36"/>
      <c r="H5913" s="36"/>
      <c r="I5913" s="37"/>
      <c r="J5913" s="36"/>
      <c r="K5913" s="38"/>
      <c r="L5913" s="38"/>
    </row>
    <row r="5914" spans="1:12" x14ac:dyDescent="0.25">
      <c r="A5914" s="35"/>
      <c r="B5914" s="36"/>
      <c r="C5914" s="36"/>
      <c r="D5914" s="36"/>
      <c r="E5914" s="36"/>
      <c r="F5914" s="36"/>
      <c r="G5914" s="36"/>
      <c r="H5914" s="36"/>
      <c r="I5914" s="37"/>
      <c r="J5914" s="36"/>
      <c r="K5914" s="38"/>
      <c r="L5914" s="38"/>
    </row>
    <row r="5915" spans="1:12" x14ac:dyDescent="0.25">
      <c r="A5915" s="35"/>
      <c r="B5915" s="36"/>
      <c r="C5915" s="36"/>
      <c r="D5915" s="36"/>
      <c r="E5915" s="36"/>
      <c r="F5915" s="36"/>
      <c r="G5915" s="36"/>
      <c r="H5915" s="36"/>
      <c r="I5915" s="37"/>
      <c r="J5915" s="36"/>
      <c r="K5915" s="38"/>
      <c r="L5915" s="38"/>
    </row>
    <row r="5916" spans="1:12" x14ac:dyDescent="0.25">
      <c r="A5916" s="35"/>
      <c r="B5916" s="36"/>
      <c r="C5916" s="36"/>
      <c r="D5916" s="36"/>
      <c r="E5916" s="36"/>
      <c r="F5916" s="36"/>
      <c r="G5916" s="36"/>
      <c r="H5916" s="36"/>
      <c r="I5916" s="37"/>
      <c r="J5916" s="36"/>
      <c r="K5916" s="38"/>
      <c r="L5916" s="38"/>
    </row>
    <row r="5917" spans="1:12" x14ac:dyDescent="0.25">
      <c r="A5917" s="35"/>
      <c r="B5917" s="36"/>
      <c r="C5917" s="36"/>
      <c r="D5917" s="36"/>
      <c r="E5917" s="36"/>
      <c r="F5917" s="36"/>
      <c r="G5917" s="36"/>
      <c r="H5917" s="36"/>
      <c r="I5917" s="37"/>
      <c r="J5917" s="36"/>
      <c r="K5917" s="38"/>
      <c r="L5917" s="38"/>
    </row>
    <row r="5918" spans="1:12" x14ac:dyDescent="0.25">
      <c r="A5918" s="35"/>
      <c r="B5918" s="36"/>
      <c r="C5918" s="36"/>
      <c r="D5918" s="36"/>
      <c r="E5918" s="36"/>
      <c r="F5918" s="36"/>
      <c r="G5918" s="36"/>
      <c r="H5918" s="36"/>
      <c r="I5918" s="37"/>
      <c r="J5918" s="36"/>
      <c r="K5918" s="38"/>
      <c r="L5918" s="38"/>
    </row>
    <row r="5919" spans="1:12" x14ac:dyDescent="0.25">
      <c r="A5919" s="35"/>
      <c r="B5919" s="36"/>
      <c r="C5919" s="36"/>
      <c r="D5919" s="36"/>
      <c r="E5919" s="36"/>
      <c r="F5919" s="36"/>
      <c r="G5919" s="36"/>
      <c r="H5919" s="36"/>
      <c r="I5919" s="37"/>
      <c r="J5919" s="36"/>
      <c r="K5919" s="38"/>
      <c r="L5919" s="38"/>
    </row>
    <row r="5920" spans="1:12" x14ac:dyDescent="0.25">
      <c r="A5920" s="35"/>
      <c r="B5920" s="36"/>
      <c r="C5920" s="36"/>
      <c r="D5920" s="36"/>
      <c r="E5920" s="36"/>
      <c r="F5920" s="36"/>
      <c r="G5920" s="36"/>
      <c r="H5920" s="36"/>
      <c r="I5920" s="37"/>
      <c r="J5920" s="36"/>
      <c r="K5920" s="38"/>
      <c r="L5920" s="38"/>
    </row>
    <row r="5921" spans="1:12" x14ac:dyDescent="0.25">
      <c r="A5921" s="35"/>
      <c r="B5921" s="36"/>
      <c r="C5921" s="36"/>
      <c r="D5921" s="36"/>
      <c r="E5921" s="36"/>
      <c r="F5921" s="36"/>
      <c r="G5921" s="36"/>
      <c r="H5921" s="36"/>
      <c r="I5921" s="37"/>
      <c r="J5921" s="36"/>
      <c r="K5921" s="38"/>
      <c r="L5921" s="38"/>
    </row>
    <row r="5922" spans="1:12" x14ac:dyDescent="0.25">
      <c r="A5922" s="35"/>
      <c r="B5922" s="36"/>
      <c r="C5922" s="36"/>
      <c r="D5922" s="36"/>
      <c r="E5922" s="36"/>
      <c r="F5922" s="36"/>
      <c r="G5922" s="36"/>
      <c r="H5922" s="36"/>
      <c r="I5922" s="37"/>
      <c r="J5922" s="36"/>
      <c r="K5922" s="38"/>
      <c r="L5922" s="38"/>
    </row>
    <row r="5923" spans="1:12" x14ac:dyDescent="0.25">
      <c r="A5923" s="35"/>
      <c r="B5923" s="36"/>
      <c r="C5923" s="36"/>
      <c r="D5923" s="36"/>
      <c r="E5923" s="36"/>
      <c r="F5923" s="36"/>
      <c r="G5923" s="36"/>
      <c r="H5923" s="36"/>
      <c r="I5923" s="37"/>
      <c r="J5923" s="36"/>
      <c r="K5923" s="38"/>
      <c r="L5923" s="38"/>
    </row>
    <row r="5924" spans="1:12" x14ac:dyDescent="0.25">
      <c r="A5924" s="35"/>
      <c r="B5924" s="36"/>
      <c r="C5924" s="36"/>
      <c r="D5924" s="36"/>
      <c r="E5924" s="36"/>
      <c r="F5924" s="36"/>
      <c r="G5924" s="36"/>
      <c r="H5924" s="36"/>
      <c r="I5924" s="37"/>
      <c r="J5924" s="36"/>
      <c r="K5924" s="38"/>
      <c r="L5924" s="38"/>
    </row>
    <row r="5925" spans="1:12" x14ac:dyDescent="0.25">
      <c r="A5925" s="35"/>
      <c r="B5925" s="36"/>
      <c r="C5925" s="36"/>
      <c r="D5925" s="36"/>
      <c r="E5925" s="36"/>
      <c r="F5925" s="36"/>
      <c r="G5925" s="36"/>
      <c r="H5925" s="36"/>
      <c r="I5925" s="37"/>
      <c r="J5925" s="36"/>
      <c r="K5925" s="38"/>
      <c r="L5925" s="38"/>
    </row>
    <row r="5926" spans="1:12" x14ac:dyDescent="0.25">
      <c r="A5926" s="35"/>
      <c r="B5926" s="36"/>
      <c r="C5926" s="36"/>
      <c r="D5926" s="36"/>
      <c r="E5926" s="36"/>
      <c r="F5926" s="36"/>
      <c r="G5926" s="36"/>
      <c r="H5926" s="36"/>
      <c r="I5926" s="37"/>
      <c r="J5926" s="36"/>
      <c r="K5926" s="38"/>
      <c r="L5926" s="38"/>
    </row>
    <row r="5927" spans="1:12" x14ac:dyDescent="0.25">
      <c r="A5927" s="35"/>
      <c r="B5927" s="36"/>
      <c r="C5927" s="36"/>
      <c r="D5927" s="36"/>
      <c r="E5927" s="36"/>
      <c r="F5927" s="36"/>
      <c r="G5927" s="36"/>
      <c r="H5927" s="36"/>
      <c r="I5927" s="37"/>
      <c r="J5927" s="36"/>
      <c r="K5927" s="38"/>
      <c r="L5927" s="38"/>
    </row>
    <row r="5928" spans="1:12" x14ac:dyDescent="0.25">
      <c r="A5928" s="35"/>
      <c r="B5928" s="36"/>
      <c r="C5928" s="36"/>
      <c r="D5928" s="36"/>
      <c r="E5928" s="36"/>
      <c r="F5928" s="36"/>
      <c r="G5928" s="36"/>
      <c r="H5928" s="36"/>
      <c r="I5928" s="37"/>
      <c r="J5928" s="36"/>
      <c r="K5928" s="38"/>
      <c r="L5928" s="38"/>
    </row>
    <row r="5929" spans="1:12" x14ac:dyDescent="0.25">
      <c r="A5929" s="35"/>
      <c r="B5929" s="36"/>
      <c r="C5929" s="36"/>
      <c r="D5929" s="36"/>
      <c r="E5929" s="36"/>
      <c r="F5929" s="36"/>
      <c r="G5929" s="36"/>
      <c r="H5929" s="36"/>
      <c r="I5929" s="37"/>
      <c r="J5929" s="36"/>
      <c r="K5929" s="38"/>
      <c r="L5929" s="38"/>
    </row>
    <row r="5930" spans="1:12" x14ac:dyDescent="0.25">
      <c r="A5930" s="35"/>
      <c r="B5930" s="36"/>
      <c r="C5930" s="36"/>
      <c r="D5930" s="36"/>
      <c r="E5930" s="36"/>
      <c r="F5930" s="36"/>
      <c r="G5930" s="36"/>
      <c r="H5930" s="36"/>
      <c r="I5930" s="37"/>
      <c r="J5930" s="36"/>
      <c r="K5930" s="38"/>
      <c r="L5930" s="38"/>
    </row>
    <row r="5931" spans="1:12" x14ac:dyDescent="0.25">
      <c r="A5931" s="35"/>
      <c r="B5931" s="36"/>
      <c r="C5931" s="36"/>
      <c r="D5931" s="36"/>
      <c r="E5931" s="36"/>
      <c r="F5931" s="36"/>
      <c r="G5931" s="36"/>
      <c r="H5931" s="36"/>
      <c r="I5931" s="37"/>
      <c r="J5931" s="36"/>
      <c r="K5931" s="38"/>
      <c r="L5931" s="38"/>
    </row>
    <row r="5932" spans="1:12" x14ac:dyDescent="0.25">
      <c r="A5932" s="35"/>
      <c r="B5932" s="36"/>
      <c r="C5932" s="36"/>
      <c r="D5932" s="36"/>
      <c r="E5932" s="36"/>
      <c r="F5932" s="36"/>
      <c r="G5932" s="36"/>
      <c r="H5932" s="36"/>
      <c r="I5932" s="37"/>
      <c r="J5932" s="36"/>
      <c r="K5932" s="38"/>
      <c r="L5932" s="38"/>
    </row>
    <row r="5933" spans="1:12" x14ac:dyDescent="0.25">
      <c r="A5933" s="35"/>
      <c r="B5933" s="36"/>
      <c r="C5933" s="36"/>
      <c r="D5933" s="36"/>
      <c r="E5933" s="36"/>
      <c r="F5933" s="36"/>
      <c r="G5933" s="36"/>
      <c r="H5933" s="36"/>
      <c r="I5933" s="37"/>
      <c r="J5933" s="36"/>
      <c r="K5933" s="38"/>
      <c r="L5933" s="38"/>
    </row>
    <row r="5934" spans="1:12" x14ac:dyDescent="0.25">
      <c r="A5934" s="35"/>
      <c r="B5934" s="36"/>
      <c r="C5934" s="36"/>
      <c r="D5934" s="36"/>
      <c r="E5934" s="36"/>
      <c r="F5934" s="36"/>
      <c r="G5934" s="36"/>
      <c r="H5934" s="36"/>
      <c r="I5934" s="37"/>
      <c r="J5934" s="36"/>
      <c r="K5934" s="38"/>
      <c r="L5934" s="38"/>
    </row>
    <row r="5935" spans="1:12" x14ac:dyDescent="0.25">
      <c r="A5935" s="35"/>
      <c r="B5935" s="36"/>
      <c r="C5935" s="36"/>
      <c r="D5935" s="36"/>
      <c r="E5935" s="36"/>
      <c r="F5935" s="36"/>
      <c r="G5935" s="36"/>
      <c r="H5935" s="36"/>
      <c r="I5935" s="37"/>
      <c r="J5935" s="36"/>
      <c r="K5935" s="38"/>
      <c r="L5935" s="38"/>
    </row>
    <row r="5936" spans="1:12" x14ac:dyDescent="0.25">
      <c r="A5936" s="35"/>
      <c r="B5936" s="36"/>
      <c r="C5936" s="36"/>
      <c r="D5936" s="36"/>
      <c r="E5936" s="36"/>
      <c r="F5936" s="36"/>
      <c r="G5936" s="36"/>
      <c r="H5936" s="36"/>
      <c r="I5936" s="37"/>
      <c r="J5936" s="36"/>
      <c r="K5936" s="38"/>
      <c r="L5936" s="38"/>
    </row>
    <row r="5937" spans="1:12" x14ac:dyDescent="0.25">
      <c r="A5937" s="35"/>
      <c r="B5937" s="36"/>
      <c r="C5937" s="36"/>
      <c r="D5937" s="36"/>
      <c r="E5937" s="36"/>
      <c r="F5937" s="36"/>
      <c r="G5937" s="36"/>
      <c r="H5937" s="36"/>
      <c r="I5937" s="37"/>
      <c r="J5937" s="36"/>
      <c r="K5937" s="38"/>
      <c r="L5937" s="38"/>
    </row>
    <row r="5938" spans="1:12" x14ac:dyDescent="0.25">
      <c r="A5938" s="35"/>
      <c r="B5938" s="36"/>
      <c r="C5938" s="36"/>
      <c r="D5938" s="36"/>
      <c r="E5938" s="36"/>
      <c r="F5938" s="36"/>
      <c r="G5938" s="36"/>
      <c r="H5938" s="36"/>
      <c r="I5938" s="37"/>
      <c r="J5938" s="36"/>
      <c r="K5938" s="38"/>
      <c r="L5938" s="38"/>
    </row>
    <row r="5939" spans="1:12" x14ac:dyDescent="0.25">
      <c r="A5939" s="35"/>
      <c r="B5939" s="36"/>
      <c r="C5939" s="36"/>
      <c r="D5939" s="36"/>
      <c r="E5939" s="36"/>
      <c r="F5939" s="36"/>
      <c r="G5939" s="36"/>
      <c r="H5939" s="36"/>
      <c r="I5939" s="37"/>
      <c r="J5939" s="36"/>
      <c r="K5939" s="38"/>
      <c r="L5939" s="38"/>
    </row>
    <row r="5940" spans="1:12" x14ac:dyDescent="0.25">
      <c r="A5940" s="35"/>
      <c r="B5940" s="36"/>
      <c r="C5940" s="36"/>
      <c r="D5940" s="36"/>
      <c r="E5940" s="36"/>
      <c r="F5940" s="36"/>
      <c r="G5940" s="36"/>
      <c r="H5940" s="36"/>
      <c r="I5940" s="37"/>
      <c r="J5940" s="36"/>
      <c r="K5940" s="38"/>
      <c r="L5940" s="38"/>
    </row>
    <row r="5941" spans="1:12" x14ac:dyDescent="0.25">
      <c r="A5941" s="35"/>
      <c r="B5941" s="36"/>
      <c r="C5941" s="36"/>
      <c r="D5941" s="36"/>
      <c r="E5941" s="36"/>
      <c r="F5941" s="36"/>
      <c r="G5941" s="36"/>
      <c r="H5941" s="36"/>
      <c r="I5941" s="37"/>
      <c r="J5941" s="36"/>
      <c r="K5941" s="38"/>
      <c r="L5941" s="38"/>
    </row>
    <row r="5942" spans="1:12" x14ac:dyDescent="0.25">
      <c r="A5942" s="35"/>
      <c r="B5942" s="36"/>
      <c r="C5942" s="36"/>
      <c r="D5942" s="36"/>
      <c r="E5942" s="36"/>
      <c r="F5942" s="36"/>
      <c r="G5942" s="36"/>
      <c r="H5942" s="36"/>
      <c r="I5942" s="37"/>
      <c r="J5942" s="36"/>
      <c r="K5942" s="38"/>
      <c r="L5942" s="38"/>
    </row>
    <row r="5943" spans="1:12" x14ac:dyDescent="0.25">
      <c r="A5943" s="35"/>
      <c r="B5943" s="36"/>
      <c r="C5943" s="36"/>
      <c r="D5943" s="36"/>
      <c r="E5943" s="36"/>
      <c r="F5943" s="36"/>
      <c r="G5943" s="36"/>
      <c r="H5943" s="36"/>
      <c r="I5943" s="37"/>
      <c r="J5943" s="36"/>
      <c r="K5943" s="38"/>
      <c r="L5943" s="38"/>
    </row>
    <row r="5944" spans="1:12" x14ac:dyDescent="0.25">
      <c r="A5944" s="35"/>
      <c r="B5944" s="36"/>
      <c r="C5944" s="36"/>
      <c r="D5944" s="36"/>
      <c r="E5944" s="36"/>
      <c r="F5944" s="36"/>
      <c r="G5944" s="36"/>
      <c r="H5944" s="36"/>
      <c r="I5944" s="37"/>
      <c r="J5944" s="36"/>
      <c r="K5944" s="38"/>
      <c r="L5944" s="38"/>
    </row>
    <row r="5945" spans="1:12" x14ac:dyDescent="0.25">
      <c r="A5945" s="35"/>
      <c r="B5945" s="36"/>
      <c r="C5945" s="36"/>
      <c r="D5945" s="36"/>
      <c r="E5945" s="36"/>
      <c r="F5945" s="36"/>
      <c r="G5945" s="36"/>
      <c r="H5945" s="36"/>
      <c r="I5945" s="37"/>
      <c r="J5945" s="36"/>
      <c r="K5945" s="38"/>
      <c r="L5945" s="38"/>
    </row>
    <row r="5946" spans="1:12" x14ac:dyDescent="0.25">
      <c r="A5946" s="35"/>
      <c r="B5946" s="36"/>
      <c r="C5946" s="36"/>
      <c r="D5946" s="36"/>
      <c r="E5946" s="36"/>
      <c r="F5946" s="36"/>
      <c r="G5946" s="36"/>
      <c r="H5946" s="36"/>
      <c r="I5946" s="37"/>
      <c r="J5946" s="36"/>
      <c r="K5946" s="38"/>
      <c r="L5946" s="38"/>
    </row>
    <row r="5947" spans="1:12" x14ac:dyDescent="0.25">
      <c r="A5947" s="35"/>
      <c r="B5947" s="36"/>
      <c r="C5947" s="36"/>
      <c r="D5947" s="36"/>
      <c r="E5947" s="36"/>
      <c r="F5947" s="36"/>
      <c r="G5947" s="36"/>
      <c r="H5947" s="36"/>
      <c r="I5947" s="37"/>
      <c r="J5947" s="36"/>
      <c r="K5947" s="38"/>
      <c r="L5947" s="38"/>
    </row>
    <row r="5948" spans="1:12" x14ac:dyDescent="0.25">
      <c r="A5948" s="35"/>
      <c r="B5948" s="36"/>
      <c r="C5948" s="36"/>
      <c r="D5948" s="36"/>
      <c r="E5948" s="36"/>
      <c r="F5948" s="36"/>
      <c r="G5948" s="36"/>
      <c r="H5948" s="36"/>
      <c r="I5948" s="37"/>
      <c r="J5948" s="36"/>
      <c r="K5948" s="38"/>
      <c r="L5948" s="38"/>
    </row>
    <row r="5949" spans="1:12" x14ac:dyDescent="0.25">
      <c r="A5949" s="35"/>
      <c r="B5949" s="36"/>
      <c r="C5949" s="36"/>
      <c r="D5949" s="36"/>
      <c r="E5949" s="36"/>
      <c r="F5949" s="36"/>
      <c r="G5949" s="36"/>
      <c r="H5949" s="36"/>
      <c r="I5949" s="37"/>
      <c r="J5949" s="36"/>
      <c r="K5949" s="38"/>
      <c r="L5949" s="38"/>
    </row>
    <row r="5950" spans="1:12" x14ac:dyDescent="0.25">
      <c r="A5950" s="35"/>
      <c r="B5950" s="36"/>
      <c r="C5950" s="36"/>
      <c r="D5950" s="36"/>
      <c r="E5950" s="36"/>
      <c r="F5950" s="36"/>
      <c r="G5950" s="36"/>
      <c r="H5950" s="36"/>
      <c r="I5950" s="37"/>
      <c r="J5950" s="36"/>
      <c r="K5950" s="38"/>
      <c r="L5950" s="38"/>
    </row>
    <row r="5951" spans="1:12" x14ac:dyDescent="0.25">
      <c r="A5951" s="35"/>
      <c r="B5951" s="36"/>
      <c r="C5951" s="36"/>
      <c r="D5951" s="36"/>
      <c r="E5951" s="36"/>
      <c r="F5951" s="36"/>
      <c r="G5951" s="36"/>
      <c r="H5951" s="36"/>
      <c r="I5951" s="37"/>
      <c r="J5951" s="36"/>
      <c r="K5951" s="38"/>
      <c r="L5951" s="38"/>
    </row>
    <row r="5952" spans="1:12" x14ac:dyDescent="0.25">
      <c r="A5952" s="35"/>
      <c r="B5952" s="36"/>
      <c r="C5952" s="36"/>
      <c r="D5952" s="36"/>
      <c r="E5952" s="36"/>
      <c r="F5952" s="36"/>
      <c r="G5952" s="36"/>
      <c r="H5952" s="36"/>
      <c r="I5952" s="37"/>
      <c r="J5952" s="36"/>
      <c r="K5952" s="38"/>
      <c r="L5952" s="38"/>
    </row>
    <row r="5953" spans="1:12" x14ac:dyDescent="0.25">
      <c r="A5953" s="35"/>
      <c r="B5953" s="36"/>
      <c r="C5953" s="36"/>
      <c r="D5953" s="36"/>
      <c r="E5953" s="36"/>
      <c r="F5953" s="36"/>
      <c r="G5953" s="36"/>
      <c r="H5953" s="36"/>
      <c r="I5953" s="37"/>
      <c r="J5953" s="36"/>
      <c r="K5953" s="38"/>
      <c r="L5953" s="38"/>
    </row>
    <row r="5954" spans="1:12" x14ac:dyDescent="0.25">
      <c r="A5954" s="35"/>
      <c r="B5954" s="36"/>
      <c r="C5954" s="36"/>
      <c r="D5954" s="36"/>
      <c r="E5954" s="36"/>
      <c r="F5954" s="36"/>
      <c r="G5954" s="36"/>
      <c r="H5954" s="36"/>
      <c r="I5954" s="37"/>
      <c r="J5954" s="36"/>
      <c r="K5954" s="38"/>
      <c r="L5954" s="38"/>
    </row>
    <row r="5955" spans="1:12" x14ac:dyDescent="0.25">
      <c r="A5955" s="35"/>
      <c r="B5955" s="36"/>
      <c r="C5955" s="36"/>
      <c r="D5955" s="36"/>
      <c r="E5955" s="36"/>
      <c r="F5955" s="36"/>
      <c r="G5955" s="36"/>
      <c r="H5955" s="36"/>
      <c r="I5955" s="37"/>
      <c r="J5955" s="36"/>
      <c r="K5955" s="38"/>
      <c r="L5955" s="38"/>
    </row>
    <row r="5956" spans="1:12" x14ac:dyDescent="0.25">
      <c r="A5956" s="35"/>
      <c r="B5956" s="36"/>
      <c r="C5956" s="36"/>
      <c r="D5956" s="36"/>
      <c r="E5956" s="36"/>
      <c r="F5956" s="36"/>
      <c r="G5956" s="36"/>
      <c r="H5956" s="36"/>
      <c r="I5956" s="37"/>
      <c r="J5956" s="36"/>
      <c r="K5956" s="38"/>
      <c r="L5956" s="38"/>
    </row>
    <row r="5957" spans="1:12" x14ac:dyDescent="0.25">
      <c r="A5957" s="35"/>
      <c r="B5957" s="36"/>
      <c r="C5957" s="36"/>
      <c r="D5957" s="36"/>
      <c r="E5957" s="36"/>
      <c r="F5957" s="36"/>
      <c r="G5957" s="36"/>
      <c r="H5957" s="36"/>
      <c r="I5957" s="37"/>
      <c r="J5957" s="36"/>
      <c r="K5957" s="38"/>
      <c r="L5957" s="38"/>
    </row>
    <row r="5958" spans="1:12" x14ac:dyDescent="0.25">
      <c r="A5958" s="35"/>
      <c r="B5958" s="36"/>
      <c r="C5958" s="36"/>
      <c r="D5958" s="36"/>
      <c r="E5958" s="36"/>
      <c r="F5958" s="36"/>
      <c r="G5958" s="36"/>
      <c r="H5958" s="36"/>
      <c r="I5958" s="37"/>
      <c r="J5958" s="36"/>
      <c r="K5958" s="38"/>
      <c r="L5958" s="38"/>
    </row>
    <row r="5959" spans="1:12" x14ac:dyDescent="0.25">
      <c r="A5959" s="35"/>
      <c r="B5959" s="36"/>
      <c r="C5959" s="36"/>
      <c r="D5959" s="36"/>
      <c r="E5959" s="36"/>
      <c r="F5959" s="36"/>
      <c r="G5959" s="36"/>
      <c r="H5959" s="36"/>
      <c r="I5959" s="37"/>
      <c r="J5959" s="36"/>
      <c r="K5959" s="38"/>
      <c r="L5959" s="38"/>
    </row>
    <row r="5960" spans="1:12" x14ac:dyDescent="0.25">
      <c r="A5960" s="35"/>
      <c r="B5960" s="36"/>
      <c r="C5960" s="36"/>
      <c r="D5960" s="36"/>
      <c r="E5960" s="36"/>
      <c r="F5960" s="36"/>
      <c r="G5960" s="36"/>
      <c r="H5960" s="36"/>
      <c r="I5960" s="37"/>
      <c r="J5960" s="36"/>
      <c r="K5960" s="38"/>
      <c r="L5960" s="38"/>
    </row>
    <row r="5961" spans="1:12" x14ac:dyDescent="0.25">
      <c r="A5961" s="35"/>
      <c r="B5961" s="36"/>
      <c r="C5961" s="36"/>
      <c r="D5961" s="36"/>
      <c r="E5961" s="36"/>
      <c r="F5961" s="36"/>
      <c r="G5961" s="36"/>
      <c r="H5961" s="36"/>
      <c r="I5961" s="37"/>
      <c r="J5961" s="36"/>
      <c r="K5961" s="38"/>
      <c r="L5961" s="38"/>
    </row>
    <row r="5962" spans="1:12" x14ac:dyDescent="0.25">
      <c r="A5962" s="35"/>
      <c r="B5962" s="36"/>
      <c r="C5962" s="36"/>
      <c r="D5962" s="36"/>
      <c r="E5962" s="36"/>
      <c r="F5962" s="36"/>
      <c r="G5962" s="36"/>
      <c r="H5962" s="36"/>
      <c r="I5962" s="37"/>
      <c r="J5962" s="36"/>
      <c r="K5962" s="38"/>
      <c r="L5962" s="38"/>
    </row>
    <row r="5963" spans="1:12" x14ac:dyDescent="0.25">
      <c r="A5963" s="35"/>
      <c r="B5963" s="36"/>
      <c r="C5963" s="36"/>
      <c r="D5963" s="36"/>
      <c r="E5963" s="36"/>
      <c r="F5963" s="36"/>
      <c r="G5963" s="36"/>
      <c r="H5963" s="36"/>
      <c r="I5963" s="37"/>
      <c r="J5963" s="36"/>
      <c r="K5963" s="38"/>
      <c r="L5963" s="38"/>
    </row>
    <row r="5964" spans="1:12" x14ac:dyDescent="0.25">
      <c r="A5964" s="35"/>
      <c r="B5964" s="36"/>
      <c r="C5964" s="36"/>
      <c r="D5964" s="36"/>
      <c r="E5964" s="36"/>
      <c r="F5964" s="36"/>
      <c r="G5964" s="36"/>
      <c r="H5964" s="36"/>
      <c r="I5964" s="37"/>
      <c r="J5964" s="36"/>
      <c r="K5964" s="38"/>
      <c r="L5964" s="38"/>
    </row>
    <row r="5965" spans="1:12" x14ac:dyDescent="0.25">
      <c r="A5965" s="35"/>
      <c r="B5965" s="36"/>
      <c r="C5965" s="36"/>
      <c r="D5965" s="36"/>
      <c r="E5965" s="36"/>
      <c r="F5965" s="36"/>
      <c r="G5965" s="36"/>
      <c r="H5965" s="36"/>
      <c r="I5965" s="37"/>
      <c r="J5965" s="36"/>
      <c r="K5965" s="38"/>
      <c r="L5965" s="38"/>
    </row>
    <row r="5966" spans="1:12" x14ac:dyDescent="0.25">
      <c r="A5966" s="35"/>
      <c r="B5966" s="36"/>
      <c r="C5966" s="36"/>
      <c r="D5966" s="36"/>
      <c r="E5966" s="36"/>
      <c r="F5966" s="36"/>
      <c r="G5966" s="36"/>
      <c r="H5966" s="36"/>
      <c r="I5966" s="37"/>
      <c r="J5966" s="36"/>
      <c r="K5966" s="38"/>
      <c r="L5966" s="38"/>
    </row>
    <row r="5967" spans="1:12" x14ac:dyDescent="0.25">
      <c r="A5967" s="35"/>
      <c r="B5967" s="36"/>
      <c r="C5967" s="36"/>
      <c r="D5967" s="36"/>
      <c r="E5967" s="36"/>
      <c r="F5967" s="36"/>
      <c r="G5967" s="36"/>
      <c r="H5967" s="36"/>
      <c r="I5967" s="37"/>
      <c r="J5967" s="36"/>
      <c r="K5967" s="38"/>
      <c r="L5967" s="38"/>
    </row>
    <row r="5968" spans="1:12" x14ac:dyDescent="0.25">
      <c r="A5968" s="35"/>
      <c r="B5968" s="36"/>
      <c r="C5968" s="36"/>
      <c r="D5968" s="36"/>
      <c r="E5968" s="36"/>
      <c r="F5968" s="36"/>
      <c r="G5968" s="36"/>
      <c r="H5968" s="36"/>
      <c r="I5968" s="37"/>
      <c r="J5968" s="36"/>
      <c r="K5968" s="38"/>
      <c r="L5968" s="38"/>
    </row>
    <row r="5969" spans="1:12" x14ac:dyDescent="0.25">
      <c r="A5969" s="35"/>
      <c r="B5969" s="36"/>
      <c r="C5969" s="36"/>
      <c r="D5969" s="36"/>
      <c r="E5969" s="36"/>
      <c r="F5969" s="36"/>
      <c r="G5969" s="36"/>
      <c r="H5969" s="36"/>
      <c r="I5969" s="37"/>
      <c r="J5969" s="36"/>
      <c r="K5969" s="38"/>
      <c r="L5969" s="38"/>
    </row>
    <row r="5970" spans="1:12" x14ac:dyDescent="0.25">
      <c r="A5970" s="35"/>
      <c r="B5970" s="36"/>
      <c r="C5970" s="36"/>
      <c r="D5970" s="36"/>
      <c r="E5970" s="36"/>
      <c r="F5970" s="36"/>
      <c r="G5970" s="36"/>
      <c r="H5970" s="36"/>
      <c r="I5970" s="37"/>
      <c r="J5970" s="36"/>
      <c r="K5970" s="38"/>
      <c r="L5970" s="38"/>
    </row>
    <row r="5971" spans="1:12" x14ac:dyDescent="0.25">
      <c r="A5971" s="35"/>
      <c r="B5971" s="36"/>
      <c r="C5971" s="36"/>
      <c r="D5971" s="36"/>
      <c r="E5971" s="36"/>
      <c r="F5971" s="36"/>
      <c r="G5971" s="36"/>
      <c r="H5971" s="36"/>
      <c r="I5971" s="37"/>
      <c r="J5971" s="36"/>
      <c r="K5971" s="38"/>
      <c r="L5971" s="38"/>
    </row>
    <row r="5972" spans="1:12" x14ac:dyDescent="0.25">
      <c r="A5972" s="35"/>
      <c r="B5972" s="36"/>
      <c r="C5972" s="36"/>
      <c r="D5972" s="36"/>
      <c r="E5972" s="36"/>
      <c r="F5972" s="36"/>
      <c r="G5972" s="36"/>
      <c r="H5972" s="36"/>
      <c r="I5972" s="37"/>
      <c r="J5972" s="36"/>
      <c r="K5972" s="38"/>
      <c r="L5972" s="38"/>
    </row>
    <row r="5973" spans="1:12" x14ac:dyDescent="0.25">
      <c r="A5973" s="35"/>
      <c r="B5973" s="36"/>
      <c r="C5973" s="36"/>
      <c r="D5973" s="36"/>
      <c r="E5973" s="36"/>
      <c r="F5973" s="36"/>
      <c r="G5973" s="36"/>
      <c r="H5973" s="36"/>
      <c r="I5973" s="37"/>
      <c r="J5973" s="36"/>
      <c r="K5973" s="38"/>
      <c r="L5973" s="38"/>
    </row>
    <row r="5974" spans="1:12" x14ac:dyDescent="0.25">
      <c r="A5974" s="35"/>
      <c r="B5974" s="36"/>
      <c r="C5974" s="36"/>
      <c r="D5974" s="36"/>
      <c r="E5974" s="36"/>
      <c r="F5974" s="36"/>
      <c r="G5974" s="36"/>
      <c r="H5974" s="36"/>
      <c r="I5974" s="37"/>
      <c r="J5974" s="36"/>
      <c r="K5974" s="38"/>
      <c r="L5974" s="38"/>
    </row>
    <row r="5975" spans="1:12" x14ac:dyDescent="0.25">
      <c r="A5975" s="35"/>
      <c r="B5975" s="36"/>
      <c r="C5975" s="36"/>
      <c r="D5975" s="36"/>
      <c r="E5975" s="36"/>
      <c r="F5975" s="36"/>
      <c r="G5975" s="36"/>
      <c r="H5975" s="36"/>
      <c r="I5975" s="37"/>
      <c r="J5975" s="36"/>
      <c r="K5975" s="38"/>
      <c r="L5975" s="38"/>
    </row>
    <row r="5976" spans="1:12" x14ac:dyDescent="0.25">
      <c r="A5976" s="35"/>
      <c r="B5976" s="36"/>
      <c r="C5976" s="36"/>
      <c r="D5976" s="36"/>
      <c r="E5976" s="36"/>
      <c r="F5976" s="36"/>
      <c r="G5976" s="36"/>
      <c r="H5976" s="36"/>
      <c r="I5976" s="37"/>
      <c r="J5976" s="36"/>
      <c r="K5976" s="38"/>
      <c r="L5976" s="38"/>
    </row>
    <row r="5977" spans="1:12" x14ac:dyDescent="0.25">
      <c r="A5977" s="35"/>
      <c r="B5977" s="36"/>
      <c r="C5977" s="36"/>
      <c r="D5977" s="36"/>
      <c r="E5977" s="36"/>
      <c r="F5977" s="36"/>
      <c r="G5977" s="36"/>
      <c r="H5977" s="36"/>
      <c r="I5977" s="37"/>
      <c r="J5977" s="36"/>
      <c r="K5977" s="38"/>
      <c r="L5977" s="38"/>
    </row>
    <row r="5978" spans="1:12" x14ac:dyDescent="0.25">
      <c r="A5978" s="35"/>
      <c r="B5978" s="36"/>
      <c r="C5978" s="36"/>
      <c r="D5978" s="36"/>
      <c r="E5978" s="36"/>
      <c r="F5978" s="36"/>
      <c r="G5978" s="36"/>
      <c r="H5978" s="36"/>
      <c r="I5978" s="37"/>
      <c r="J5978" s="36"/>
      <c r="K5978" s="38"/>
      <c r="L5978" s="38"/>
    </row>
    <row r="5979" spans="1:12" x14ac:dyDescent="0.25">
      <c r="A5979" s="35"/>
      <c r="B5979" s="36"/>
      <c r="C5979" s="36"/>
      <c r="D5979" s="36"/>
      <c r="E5979" s="36"/>
      <c r="F5979" s="36"/>
      <c r="G5979" s="36"/>
      <c r="H5979" s="36"/>
      <c r="I5979" s="37"/>
      <c r="J5979" s="36"/>
      <c r="K5979" s="38"/>
      <c r="L5979" s="38"/>
    </row>
    <row r="5980" spans="1:12" x14ac:dyDescent="0.25">
      <c r="A5980" s="35"/>
      <c r="B5980" s="36"/>
      <c r="C5980" s="36"/>
      <c r="D5980" s="36"/>
      <c r="E5980" s="36"/>
      <c r="F5980" s="36"/>
      <c r="G5980" s="36"/>
      <c r="H5980" s="36"/>
      <c r="I5980" s="37"/>
      <c r="J5980" s="36"/>
      <c r="K5980" s="38"/>
      <c r="L5980" s="38"/>
    </row>
    <row r="5981" spans="1:12" x14ac:dyDescent="0.25">
      <c r="A5981" s="35"/>
      <c r="B5981" s="36"/>
      <c r="C5981" s="36"/>
      <c r="D5981" s="36"/>
      <c r="E5981" s="36"/>
      <c r="F5981" s="36"/>
      <c r="G5981" s="36"/>
      <c r="H5981" s="36"/>
      <c r="I5981" s="37"/>
      <c r="J5981" s="36"/>
      <c r="K5981" s="38"/>
      <c r="L5981" s="38"/>
    </row>
    <row r="5982" spans="1:12" x14ac:dyDescent="0.25">
      <c r="A5982" s="35"/>
      <c r="B5982" s="36"/>
      <c r="C5982" s="36"/>
      <c r="D5982" s="36"/>
      <c r="E5982" s="36"/>
      <c r="F5982" s="36"/>
      <c r="G5982" s="36"/>
      <c r="H5982" s="36"/>
      <c r="I5982" s="37"/>
      <c r="J5982" s="36"/>
      <c r="K5982" s="38"/>
      <c r="L5982" s="38"/>
    </row>
    <row r="5983" spans="1:12" x14ac:dyDescent="0.25">
      <c r="A5983" s="35"/>
      <c r="B5983" s="36"/>
      <c r="C5983" s="36"/>
      <c r="D5983" s="36"/>
      <c r="E5983" s="36"/>
      <c r="F5983" s="36"/>
      <c r="G5983" s="36"/>
      <c r="H5983" s="36"/>
      <c r="I5983" s="37"/>
      <c r="J5983" s="36"/>
      <c r="K5983" s="38"/>
      <c r="L5983" s="38"/>
    </row>
    <row r="5984" spans="1:12" x14ac:dyDescent="0.25">
      <c r="A5984" s="35"/>
      <c r="B5984" s="36"/>
      <c r="C5984" s="36"/>
      <c r="D5984" s="36"/>
      <c r="E5984" s="36"/>
      <c r="F5984" s="36"/>
      <c r="G5984" s="36"/>
      <c r="H5984" s="36"/>
      <c r="I5984" s="37"/>
      <c r="J5984" s="36"/>
      <c r="K5984" s="38"/>
      <c r="L5984" s="38"/>
    </row>
    <row r="5985" spans="1:12" x14ac:dyDescent="0.25">
      <c r="A5985" s="35"/>
      <c r="B5985" s="36"/>
      <c r="C5985" s="36"/>
      <c r="D5985" s="36"/>
      <c r="E5985" s="36"/>
      <c r="F5985" s="36"/>
      <c r="G5985" s="36"/>
      <c r="H5985" s="36"/>
      <c r="I5985" s="37"/>
      <c r="J5985" s="36"/>
      <c r="K5985" s="38"/>
      <c r="L5985" s="38"/>
    </row>
    <row r="5986" spans="1:12" x14ac:dyDescent="0.25">
      <c r="A5986" s="35"/>
      <c r="B5986" s="36"/>
      <c r="C5986" s="36"/>
      <c r="D5986" s="36"/>
      <c r="E5986" s="36"/>
      <c r="F5986" s="36"/>
      <c r="G5986" s="36"/>
      <c r="H5986" s="36"/>
      <c r="I5986" s="37"/>
      <c r="J5986" s="36"/>
      <c r="K5986" s="38"/>
      <c r="L5986" s="38"/>
    </row>
    <row r="5987" spans="1:12" x14ac:dyDescent="0.25">
      <c r="A5987" s="35"/>
      <c r="B5987" s="36"/>
      <c r="C5987" s="36"/>
      <c r="D5987" s="36"/>
      <c r="E5987" s="36"/>
      <c r="F5987" s="36"/>
      <c r="G5987" s="36"/>
      <c r="H5987" s="36"/>
      <c r="I5987" s="37"/>
      <c r="J5987" s="36"/>
      <c r="K5987" s="38"/>
      <c r="L5987" s="38"/>
    </row>
    <row r="5988" spans="1:12" x14ac:dyDescent="0.25">
      <c r="A5988" s="35"/>
      <c r="B5988" s="36"/>
      <c r="C5988" s="36"/>
      <c r="D5988" s="36"/>
      <c r="E5988" s="36"/>
      <c r="F5988" s="36"/>
      <c r="G5988" s="36"/>
      <c r="H5988" s="36"/>
      <c r="I5988" s="37"/>
      <c r="J5988" s="36"/>
      <c r="K5988" s="38"/>
      <c r="L5988" s="38"/>
    </row>
    <row r="5989" spans="1:12" x14ac:dyDescent="0.25">
      <c r="A5989" s="35"/>
      <c r="B5989" s="36"/>
      <c r="C5989" s="36"/>
      <c r="D5989" s="36"/>
      <c r="E5989" s="36"/>
      <c r="F5989" s="36"/>
      <c r="G5989" s="36"/>
      <c r="H5989" s="36"/>
      <c r="I5989" s="37"/>
      <c r="J5989" s="36"/>
      <c r="K5989" s="38"/>
      <c r="L5989" s="38"/>
    </row>
    <row r="5990" spans="1:12" x14ac:dyDescent="0.25">
      <c r="A5990" s="35"/>
      <c r="B5990" s="36"/>
      <c r="C5990" s="36"/>
      <c r="D5990" s="36"/>
      <c r="E5990" s="36"/>
      <c r="F5990" s="36"/>
      <c r="G5990" s="36"/>
      <c r="H5990" s="36"/>
      <c r="I5990" s="37"/>
      <c r="J5990" s="36"/>
      <c r="K5990" s="38"/>
      <c r="L5990" s="38"/>
    </row>
    <row r="5991" spans="1:12" x14ac:dyDescent="0.25">
      <c r="A5991" s="35"/>
      <c r="B5991" s="36"/>
      <c r="C5991" s="36"/>
      <c r="D5991" s="36"/>
      <c r="E5991" s="36"/>
      <c r="F5991" s="36"/>
      <c r="G5991" s="36"/>
      <c r="H5991" s="36"/>
      <c r="I5991" s="37"/>
      <c r="J5991" s="36"/>
      <c r="K5991" s="38"/>
      <c r="L5991" s="38"/>
    </row>
    <row r="5992" spans="1:12" x14ac:dyDescent="0.25">
      <c r="A5992" s="35"/>
      <c r="B5992" s="36"/>
      <c r="C5992" s="36"/>
      <c r="D5992" s="36"/>
      <c r="E5992" s="36"/>
      <c r="F5992" s="36"/>
      <c r="G5992" s="36"/>
      <c r="H5992" s="36"/>
      <c r="I5992" s="37"/>
      <c r="J5992" s="36"/>
      <c r="K5992" s="38"/>
      <c r="L5992" s="38"/>
    </row>
    <row r="5993" spans="1:12" x14ac:dyDescent="0.25">
      <c r="A5993" s="35"/>
      <c r="B5993" s="36"/>
      <c r="C5993" s="36"/>
      <c r="D5993" s="36"/>
      <c r="E5993" s="36"/>
      <c r="F5993" s="36"/>
      <c r="G5993" s="36"/>
      <c r="H5993" s="36"/>
      <c r="I5993" s="37"/>
      <c r="J5993" s="36"/>
      <c r="K5993" s="38"/>
      <c r="L5993" s="38"/>
    </row>
    <row r="5994" spans="1:12" x14ac:dyDescent="0.25">
      <c r="A5994" s="35"/>
      <c r="B5994" s="36"/>
      <c r="C5994" s="36"/>
      <c r="D5994" s="36"/>
      <c r="E5994" s="36"/>
      <c r="F5994" s="36"/>
      <c r="G5994" s="36"/>
      <c r="H5994" s="36"/>
      <c r="I5994" s="37"/>
      <c r="J5994" s="36"/>
      <c r="K5994" s="38"/>
      <c r="L5994" s="38"/>
    </row>
    <row r="5995" spans="1:12" x14ac:dyDescent="0.25">
      <c r="A5995" s="35"/>
      <c r="B5995" s="36"/>
      <c r="C5995" s="36"/>
      <c r="D5995" s="36"/>
      <c r="E5995" s="36"/>
      <c r="F5995" s="36"/>
      <c r="G5995" s="36"/>
      <c r="H5995" s="36"/>
      <c r="I5995" s="37"/>
      <c r="J5995" s="36"/>
      <c r="K5995" s="38"/>
      <c r="L5995" s="38"/>
    </row>
    <row r="5996" spans="1:12" x14ac:dyDescent="0.25">
      <c r="A5996" s="35"/>
      <c r="B5996" s="36"/>
      <c r="C5996" s="36"/>
      <c r="D5996" s="36"/>
      <c r="E5996" s="36"/>
      <c r="F5996" s="36"/>
      <c r="G5996" s="36"/>
      <c r="H5996" s="36"/>
      <c r="I5996" s="37"/>
      <c r="J5996" s="36"/>
      <c r="K5996" s="38"/>
      <c r="L5996" s="38"/>
    </row>
    <row r="5997" spans="1:12" x14ac:dyDescent="0.25">
      <c r="A5997" s="35"/>
      <c r="B5997" s="36"/>
      <c r="C5997" s="36"/>
      <c r="D5997" s="36"/>
      <c r="E5997" s="36"/>
      <c r="F5997" s="36"/>
      <c r="G5997" s="36"/>
      <c r="H5997" s="36"/>
      <c r="I5997" s="37"/>
      <c r="J5997" s="36"/>
      <c r="K5997" s="38"/>
      <c r="L5997" s="38"/>
    </row>
    <row r="5998" spans="1:12" x14ac:dyDescent="0.25">
      <c r="A5998" s="35"/>
      <c r="B5998" s="36"/>
      <c r="C5998" s="36"/>
      <c r="D5998" s="36"/>
      <c r="E5998" s="36"/>
      <c r="F5998" s="36"/>
      <c r="G5998" s="36"/>
      <c r="H5998" s="36"/>
      <c r="I5998" s="37"/>
      <c r="J5998" s="36"/>
      <c r="K5998" s="38"/>
      <c r="L5998" s="38"/>
    </row>
    <row r="5999" spans="1:12" x14ac:dyDescent="0.25">
      <c r="A5999" s="35"/>
      <c r="B5999" s="36"/>
      <c r="C5999" s="36"/>
      <c r="D5999" s="36"/>
      <c r="E5999" s="36"/>
      <c r="F5999" s="36"/>
      <c r="G5999" s="36"/>
      <c r="H5999" s="36"/>
      <c r="I5999" s="37"/>
      <c r="J5999" s="36"/>
      <c r="K5999" s="38"/>
      <c r="L5999" s="38"/>
    </row>
    <row r="6000" spans="1:12" x14ac:dyDescent="0.25">
      <c r="A6000" s="35"/>
      <c r="B6000" s="36"/>
      <c r="C6000" s="36"/>
      <c r="D6000" s="36"/>
      <c r="E6000" s="36"/>
      <c r="F6000" s="36"/>
      <c r="G6000" s="36"/>
      <c r="H6000" s="36"/>
      <c r="I6000" s="37"/>
      <c r="J6000" s="36"/>
      <c r="K6000" s="38"/>
      <c r="L6000" s="38"/>
    </row>
    <row r="6001" spans="1:12" x14ac:dyDescent="0.25">
      <c r="A6001" s="35"/>
      <c r="B6001" s="36"/>
      <c r="C6001" s="36"/>
      <c r="D6001" s="36"/>
      <c r="E6001" s="36"/>
      <c r="F6001" s="36"/>
      <c r="G6001" s="36"/>
      <c r="H6001" s="36"/>
      <c r="I6001" s="37"/>
      <c r="J6001" s="36"/>
      <c r="K6001" s="38"/>
      <c r="L6001" s="38"/>
    </row>
    <row r="6002" spans="1:12" x14ac:dyDescent="0.25">
      <c r="A6002" s="35"/>
      <c r="B6002" s="36"/>
      <c r="C6002" s="36"/>
      <c r="D6002" s="36"/>
      <c r="E6002" s="36"/>
      <c r="F6002" s="36"/>
      <c r="G6002" s="36"/>
      <c r="H6002" s="36"/>
      <c r="I6002" s="37"/>
      <c r="J6002" s="36"/>
      <c r="K6002" s="38"/>
      <c r="L6002" s="38"/>
    </row>
    <row r="6003" spans="1:12" x14ac:dyDescent="0.25">
      <c r="A6003" s="35"/>
      <c r="B6003" s="36"/>
      <c r="C6003" s="36"/>
      <c r="D6003" s="36"/>
      <c r="E6003" s="36"/>
      <c r="F6003" s="36"/>
      <c r="G6003" s="36"/>
      <c r="H6003" s="36"/>
      <c r="I6003" s="37"/>
      <c r="J6003" s="36"/>
      <c r="K6003" s="38"/>
      <c r="L6003" s="38"/>
    </row>
    <row r="6004" spans="1:12" x14ac:dyDescent="0.25">
      <c r="A6004" s="35"/>
      <c r="B6004" s="36"/>
      <c r="C6004" s="36"/>
      <c r="D6004" s="36"/>
      <c r="E6004" s="36"/>
      <c r="F6004" s="36"/>
      <c r="G6004" s="36"/>
      <c r="H6004" s="36"/>
      <c r="I6004" s="37"/>
      <c r="J6004" s="36"/>
      <c r="K6004" s="38"/>
      <c r="L6004" s="38"/>
    </row>
    <row r="6005" spans="1:12" x14ac:dyDescent="0.25">
      <c r="A6005" s="35"/>
      <c r="B6005" s="36"/>
      <c r="C6005" s="36"/>
      <c r="D6005" s="36"/>
      <c r="E6005" s="36"/>
      <c r="F6005" s="36"/>
      <c r="G6005" s="36"/>
      <c r="H6005" s="36"/>
      <c r="I6005" s="37"/>
      <c r="J6005" s="36"/>
      <c r="K6005" s="38"/>
      <c r="L6005" s="38"/>
    </row>
    <row r="6006" spans="1:12" x14ac:dyDescent="0.25">
      <c r="A6006" s="35"/>
      <c r="B6006" s="36"/>
      <c r="C6006" s="36"/>
      <c r="D6006" s="36"/>
      <c r="E6006" s="36"/>
      <c r="F6006" s="36"/>
      <c r="G6006" s="36"/>
      <c r="H6006" s="36"/>
      <c r="I6006" s="37"/>
      <c r="J6006" s="36"/>
      <c r="K6006" s="38"/>
      <c r="L6006" s="38"/>
    </row>
    <row r="6007" spans="1:12" x14ac:dyDescent="0.25">
      <c r="A6007" s="35"/>
      <c r="B6007" s="36"/>
      <c r="C6007" s="36"/>
      <c r="D6007" s="36"/>
      <c r="E6007" s="36"/>
      <c r="F6007" s="36"/>
      <c r="G6007" s="36"/>
      <c r="H6007" s="36"/>
      <c r="I6007" s="37"/>
      <c r="J6007" s="36"/>
      <c r="K6007" s="38"/>
      <c r="L6007" s="38"/>
    </row>
    <row r="6008" spans="1:12" x14ac:dyDescent="0.25">
      <c r="A6008" s="35"/>
      <c r="B6008" s="36"/>
      <c r="C6008" s="36"/>
      <c r="D6008" s="36"/>
      <c r="E6008" s="36"/>
      <c r="F6008" s="36"/>
      <c r="G6008" s="36"/>
      <c r="H6008" s="36"/>
      <c r="I6008" s="37"/>
      <c r="J6008" s="36"/>
      <c r="K6008" s="38"/>
      <c r="L6008" s="38"/>
    </row>
    <row r="6009" spans="1:12" x14ac:dyDescent="0.25">
      <c r="A6009" s="35"/>
      <c r="B6009" s="36"/>
      <c r="C6009" s="36"/>
      <c r="D6009" s="36"/>
      <c r="E6009" s="36"/>
      <c r="F6009" s="36"/>
      <c r="G6009" s="36"/>
      <c r="H6009" s="36"/>
      <c r="I6009" s="37"/>
      <c r="J6009" s="36"/>
      <c r="K6009" s="38"/>
      <c r="L6009" s="38"/>
    </row>
    <row r="6010" spans="1:12" x14ac:dyDescent="0.25">
      <c r="A6010" s="35"/>
      <c r="B6010" s="36"/>
      <c r="C6010" s="36"/>
      <c r="D6010" s="36"/>
      <c r="E6010" s="36"/>
      <c r="F6010" s="36"/>
      <c r="G6010" s="36"/>
      <c r="H6010" s="36"/>
      <c r="I6010" s="37"/>
      <c r="J6010" s="36"/>
      <c r="K6010" s="38"/>
      <c r="L6010" s="38"/>
    </row>
    <row r="6011" spans="1:12" x14ac:dyDescent="0.25">
      <c r="A6011" s="35"/>
      <c r="B6011" s="36"/>
      <c r="C6011" s="36"/>
      <c r="D6011" s="36"/>
      <c r="E6011" s="36"/>
      <c r="F6011" s="36"/>
      <c r="G6011" s="36"/>
      <c r="H6011" s="36"/>
      <c r="I6011" s="37"/>
      <c r="J6011" s="36"/>
      <c r="K6011" s="38"/>
      <c r="L6011" s="38"/>
    </row>
    <row r="6012" spans="1:12" x14ac:dyDescent="0.25">
      <c r="A6012" s="35"/>
      <c r="B6012" s="36"/>
      <c r="C6012" s="36"/>
      <c r="D6012" s="36"/>
      <c r="E6012" s="36"/>
      <c r="F6012" s="36"/>
      <c r="G6012" s="36"/>
      <c r="H6012" s="36"/>
      <c r="I6012" s="37"/>
      <c r="J6012" s="36"/>
      <c r="K6012" s="38"/>
      <c r="L6012" s="38"/>
    </row>
    <row r="6013" spans="1:12" x14ac:dyDescent="0.25">
      <c r="A6013" s="35"/>
      <c r="B6013" s="36"/>
      <c r="C6013" s="36"/>
      <c r="D6013" s="36"/>
      <c r="E6013" s="36"/>
      <c r="F6013" s="36"/>
      <c r="G6013" s="36"/>
      <c r="H6013" s="36"/>
      <c r="I6013" s="37"/>
      <c r="J6013" s="36"/>
      <c r="K6013" s="38"/>
      <c r="L6013" s="38"/>
    </row>
    <row r="6014" spans="1:12" x14ac:dyDescent="0.25">
      <c r="A6014" s="35"/>
      <c r="B6014" s="36"/>
      <c r="C6014" s="36"/>
      <c r="D6014" s="36"/>
      <c r="E6014" s="36"/>
      <c r="F6014" s="36"/>
      <c r="G6014" s="36"/>
      <c r="H6014" s="36"/>
      <c r="I6014" s="37"/>
      <c r="J6014" s="36"/>
      <c r="K6014" s="38"/>
      <c r="L6014" s="38"/>
    </row>
    <row r="6015" spans="1:12" x14ac:dyDescent="0.25">
      <c r="A6015" s="35"/>
      <c r="B6015" s="36"/>
      <c r="C6015" s="36"/>
      <c r="D6015" s="36"/>
      <c r="E6015" s="36"/>
      <c r="F6015" s="36"/>
      <c r="G6015" s="36"/>
      <c r="H6015" s="36"/>
      <c r="I6015" s="37"/>
      <c r="J6015" s="36"/>
      <c r="K6015" s="38"/>
      <c r="L6015" s="38"/>
    </row>
    <row r="6016" spans="1:12" x14ac:dyDescent="0.25">
      <c r="A6016" s="35"/>
      <c r="B6016" s="36"/>
      <c r="C6016" s="36"/>
      <c r="D6016" s="36"/>
      <c r="E6016" s="36"/>
      <c r="F6016" s="36"/>
      <c r="G6016" s="36"/>
      <c r="H6016" s="36"/>
      <c r="I6016" s="37"/>
      <c r="J6016" s="36"/>
      <c r="K6016" s="38"/>
      <c r="L6016" s="38"/>
    </row>
    <row r="6017" spans="1:12" x14ac:dyDescent="0.25">
      <c r="A6017" s="35"/>
      <c r="B6017" s="36"/>
      <c r="C6017" s="36"/>
      <c r="D6017" s="36"/>
      <c r="E6017" s="36"/>
      <c r="F6017" s="36"/>
      <c r="G6017" s="36"/>
      <c r="H6017" s="36"/>
      <c r="I6017" s="37"/>
      <c r="J6017" s="36"/>
      <c r="K6017" s="38"/>
      <c r="L6017" s="38"/>
    </row>
    <row r="6018" spans="1:12" x14ac:dyDescent="0.25">
      <c r="A6018" s="35"/>
      <c r="B6018" s="36"/>
      <c r="C6018" s="36"/>
      <c r="D6018" s="36"/>
      <c r="E6018" s="36"/>
      <c r="F6018" s="36"/>
      <c r="G6018" s="36"/>
      <c r="H6018" s="36"/>
      <c r="I6018" s="37"/>
      <c r="J6018" s="36"/>
      <c r="K6018" s="38"/>
      <c r="L6018" s="38"/>
    </row>
    <row r="6019" spans="1:12" x14ac:dyDescent="0.25">
      <c r="A6019" s="35"/>
      <c r="B6019" s="36"/>
      <c r="C6019" s="36"/>
      <c r="D6019" s="36"/>
      <c r="E6019" s="36"/>
      <c r="F6019" s="36"/>
      <c r="G6019" s="36"/>
      <c r="H6019" s="36"/>
      <c r="I6019" s="37"/>
      <c r="J6019" s="36"/>
      <c r="K6019" s="38"/>
      <c r="L6019" s="38"/>
    </row>
    <row r="6020" spans="1:12" x14ac:dyDescent="0.25">
      <c r="A6020" s="35"/>
      <c r="B6020" s="36"/>
      <c r="C6020" s="36"/>
      <c r="D6020" s="36"/>
      <c r="E6020" s="36"/>
      <c r="F6020" s="36"/>
      <c r="G6020" s="36"/>
      <c r="H6020" s="36"/>
      <c r="I6020" s="37"/>
      <c r="J6020" s="36"/>
      <c r="K6020" s="38"/>
      <c r="L6020" s="38"/>
    </row>
    <row r="6021" spans="1:12" x14ac:dyDescent="0.25">
      <c r="A6021" s="35"/>
      <c r="B6021" s="36"/>
      <c r="C6021" s="36"/>
      <c r="D6021" s="36"/>
      <c r="E6021" s="36"/>
      <c r="F6021" s="36"/>
      <c r="G6021" s="36"/>
      <c r="H6021" s="36"/>
      <c r="I6021" s="37"/>
      <c r="J6021" s="36"/>
      <c r="K6021" s="38"/>
      <c r="L6021" s="38"/>
    </row>
    <row r="6022" spans="1:12" x14ac:dyDescent="0.25">
      <c r="A6022" s="35"/>
      <c r="B6022" s="36"/>
      <c r="C6022" s="36"/>
      <c r="D6022" s="36"/>
      <c r="E6022" s="36"/>
      <c r="F6022" s="36"/>
      <c r="G6022" s="36"/>
      <c r="H6022" s="36"/>
      <c r="I6022" s="37"/>
      <c r="J6022" s="36"/>
      <c r="K6022" s="38"/>
      <c r="L6022" s="38"/>
    </row>
    <row r="6023" spans="1:12" x14ac:dyDescent="0.25">
      <c r="A6023" s="35"/>
      <c r="B6023" s="36"/>
      <c r="C6023" s="36"/>
      <c r="D6023" s="36"/>
      <c r="E6023" s="36"/>
      <c r="F6023" s="36"/>
      <c r="G6023" s="36"/>
      <c r="H6023" s="36"/>
      <c r="I6023" s="37"/>
      <c r="J6023" s="36"/>
      <c r="K6023" s="38"/>
      <c r="L6023" s="38"/>
    </row>
    <row r="6024" spans="1:12" x14ac:dyDescent="0.25">
      <c r="A6024" s="35"/>
      <c r="B6024" s="36"/>
      <c r="C6024" s="36"/>
      <c r="D6024" s="36"/>
      <c r="E6024" s="36"/>
      <c r="F6024" s="36"/>
      <c r="G6024" s="36"/>
      <c r="H6024" s="36"/>
      <c r="I6024" s="37"/>
      <c r="J6024" s="36"/>
      <c r="K6024" s="38"/>
      <c r="L6024" s="38"/>
    </row>
    <row r="6025" spans="1:12" x14ac:dyDescent="0.25">
      <c r="A6025" s="35"/>
      <c r="B6025" s="36"/>
      <c r="C6025" s="36"/>
      <c r="D6025" s="36"/>
      <c r="E6025" s="36"/>
      <c r="F6025" s="36"/>
      <c r="G6025" s="36"/>
      <c r="H6025" s="36"/>
      <c r="I6025" s="37"/>
      <c r="J6025" s="36"/>
      <c r="K6025" s="38"/>
      <c r="L6025" s="38"/>
    </row>
    <row r="6026" spans="1:12" x14ac:dyDescent="0.25">
      <c r="A6026" s="35"/>
      <c r="B6026" s="36"/>
      <c r="C6026" s="36"/>
      <c r="D6026" s="36"/>
      <c r="E6026" s="36"/>
      <c r="F6026" s="36"/>
      <c r="G6026" s="36"/>
      <c r="H6026" s="36"/>
      <c r="I6026" s="37"/>
      <c r="J6026" s="36"/>
      <c r="K6026" s="38"/>
      <c r="L6026" s="38"/>
    </row>
    <row r="6027" spans="1:12" x14ac:dyDescent="0.25">
      <c r="A6027" s="35"/>
      <c r="B6027" s="36"/>
      <c r="C6027" s="36"/>
      <c r="D6027" s="36"/>
      <c r="E6027" s="36"/>
      <c r="F6027" s="36"/>
      <c r="G6027" s="36"/>
      <c r="H6027" s="36"/>
      <c r="I6027" s="37"/>
      <c r="J6027" s="36"/>
      <c r="K6027" s="38"/>
      <c r="L6027" s="38"/>
    </row>
    <row r="6028" spans="1:12" x14ac:dyDescent="0.25">
      <c r="A6028" s="35"/>
      <c r="B6028" s="36"/>
      <c r="C6028" s="36"/>
      <c r="D6028" s="36"/>
      <c r="E6028" s="36"/>
      <c r="F6028" s="36"/>
      <c r="G6028" s="36"/>
      <c r="H6028" s="36"/>
      <c r="I6028" s="37"/>
      <c r="J6028" s="36"/>
      <c r="K6028" s="38"/>
      <c r="L6028" s="38"/>
    </row>
    <row r="6029" spans="1:12" x14ac:dyDescent="0.25">
      <c r="A6029" s="35"/>
      <c r="B6029" s="36"/>
      <c r="C6029" s="36"/>
      <c r="D6029" s="36"/>
      <c r="E6029" s="36"/>
      <c r="F6029" s="36"/>
      <c r="G6029" s="36"/>
      <c r="H6029" s="36"/>
      <c r="I6029" s="37"/>
      <c r="J6029" s="36"/>
      <c r="K6029" s="38"/>
      <c r="L6029" s="38"/>
    </row>
    <row r="6030" spans="1:12" x14ac:dyDescent="0.25">
      <c r="A6030" s="35"/>
      <c r="B6030" s="36"/>
      <c r="C6030" s="36"/>
      <c r="D6030" s="36"/>
      <c r="E6030" s="36"/>
      <c r="F6030" s="36"/>
      <c r="G6030" s="36"/>
      <c r="H6030" s="36"/>
      <c r="I6030" s="37"/>
      <c r="J6030" s="36"/>
      <c r="K6030" s="38"/>
      <c r="L6030" s="38"/>
    </row>
    <row r="6031" spans="1:12" x14ac:dyDescent="0.25">
      <c r="A6031" s="35"/>
      <c r="B6031" s="36"/>
      <c r="C6031" s="36"/>
      <c r="D6031" s="36"/>
      <c r="E6031" s="36"/>
      <c r="F6031" s="36"/>
      <c r="G6031" s="36"/>
      <c r="H6031" s="36"/>
      <c r="I6031" s="37"/>
      <c r="J6031" s="36"/>
      <c r="K6031" s="38"/>
      <c r="L6031" s="38"/>
    </row>
    <row r="6032" spans="1:12" x14ac:dyDescent="0.25">
      <c r="A6032" s="35"/>
      <c r="B6032" s="36"/>
      <c r="C6032" s="36"/>
      <c r="D6032" s="36"/>
      <c r="E6032" s="36"/>
      <c r="F6032" s="36"/>
      <c r="G6032" s="36"/>
      <c r="H6032" s="36"/>
      <c r="I6032" s="37"/>
      <c r="J6032" s="36"/>
      <c r="K6032" s="38"/>
      <c r="L6032" s="38"/>
    </row>
    <row r="6033" spans="1:12" x14ac:dyDescent="0.25">
      <c r="A6033" s="35"/>
      <c r="B6033" s="36"/>
      <c r="C6033" s="36"/>
      <c r="D6033" s="36"/>
      <c r="E6033" s="36"/>
      <c r="F6033" s="36"/>
      <c r="G6033" s="36"/>
      <c r="H6033" s="36"/>
      <c r="I6033" s="37"/>
      <c r="J6033" s="36"/>
      <c r="K6033" s="38"/>
      <c r="L6033" s="38"/>
    </row>
    <row r="6034" spans="1:12" x14ac:dyDescent="0.25">
      <c r="A6034" s="35"/>
      <c r="B6034" s="36"/>
      <c r="C6034" s="36"/>
      <c r="D6034" s="36"/>
      <c r="E6034" s="36"/>
      <c r="F6034" s="36"/>
      <c r="G6034" s="36"/>
      <c r="H6034" s="36"/>
      <c r="I6034" s="37"/>
      <c r="J6034" s="36"/>
      <c r="K6034" s="38"/>
      <c r="L6034" s="38"/>
    </row>
    <row r="6035" spans="1:12" x14ac:dyDescent="0.25">
      <c r="A6035" s="35"/>
      <c r="B6035" s="36"/>
      <c r="C6035" s="36"/>
      <c r="D6035" s="36"/>
      <c r="E6035" s="36"/>
      <c r="F6035" s="36"/>
      <c r="G6035" s="36"/>
      <c r="H6035" s="36"/>
      <c r="I6035" s="37"/>
      <c r="J6035" s="36"/>
      <c r="K6035" s="38"/>
      <c r="L6035" s="38"/>
    </row>
    <row r="6036" spans="1:12" x14ac:dyDescent="0.25">
      <c r="A6036" s="35"/>
      <c r="B6036" s="36"/>
      <c r="C6036" s="36"/>
      <c r="D6036" s="36"/>
      <c r="E6036" s="36"/>
      <c r="F6036" s="36"/>
      <c r="G6036" s="36"/>
      <c r="H6036" s="36"/>
      <c r="I6036" s="37"/>
      <c r="J6036" s="36"/>
      <c r="K6036" s="38"/>
      <c r="L6036" s="38"/>
    </row>
    <row r="6037" spans="1:12" x14ac:dyDescent="0.25">
      <c r="A6037" s="35"/>
      <c r="B6037" s="36"/>
      <c r="C6037" s="36"/>
      <c r="D6037" s="36"/>
      <c r="E6037" s="36"/>
      <c r="F6037" s="36"/>
      <c r="G6037" s="36"/>
      <c r="H6037" s="36"/>
      <c r="I6037" s="37"/>
      <c r="J6037" s="36"/>
      <c r="K6037" s="38"/>
      <c r="L6037" s="38"/>
    </row>
    <row r="6038" spans="1:12" x14ac:dyDescent="0.25">
      <c r="A6038" s="35"/>
      <c r="B6038" s="36"/>
      <c r="C6038" s="36"/>
      <c r="D6038" s="36"/>
      <c r="E6038" s="36"/>
      <c r="F6038" s="36"/>
      <c r="G6038" s="36"/>
      <c r="H6038" s="36"/>
      <c r="I6038" s="37"/>
      <c r="J6038" s="36"/>
      <c r="K6038" s="38"/>
      <c r="L6038" s="38"/>
    </row>
    <row r="6039" spans="1:12" x14ac:dyDescent="0.25">
      <c r="A6039" s="35"/>
      <c r="B6039" s="36"/>
      <c r="C6039" s="36"/>
      <c r="D6039" s="36"/>
      <c r="E6039" s="36"/>
      <c r="F6039" s="36"/>
      <c r="G6039" s="36"/>
      <c r="H6039" s="36"/>
      <c r="I6039" s="37"/>
      <c r="J6039" s="36"/>
      <c r="K6039" s="38"/>
      <c r="L6039" s="38"/>
    </row>
    <row r="6040" spans="1:12" x14ac:dyDescent="0.25">
      <c r="A6040" s="35"/>
      <c r="B6040" s="36"/>
      <c r="C6040" s="36"/>
      <c r="D6040" s="36"/>
      <c r="E6040" s="36"/>
      <c r="F6040" s="36"/>
      <c r="G6040" s="36"/>
      <c r="H6040" s="36"/>
      <c r="I6040" s="37"/>
      <c r="J6040" s="36"/>
      <c r="K6040" s="38"/>
      <c r="L6040" s="38"/>
    </row>
    <row r="6041" spans="1:12" x14ac:dyDescent="0.25">
      <c r="A6041" s="35"/>
      <c r="B6041" s="36"/>
      <c r="C6041" s="36"/>
      <c r="D6041" s="36"/>
      <c r="E6041" s="36"/>
      <c r="F6041" s="36"/>
      <c r="G6041" s="36"/>
      <c r="H6041" s="36"/>
      <c r="I6041" s="37"/>
      <c r="J6041" s="36"/>
      <c r="K6041" s="38"/>
      <c r="L6041" s="38"/>
    </row>
    <row r="6042" spans="1:12" x14ac:dyDescent="0.25">
      <c r="A6042" s="35"/>
      <c r="B6042" s="36"/>
      <c r="C6042" s="36"/>
      <c r="D6042" s="36"/>
      <c r="E6042" s="36"/>
      <c r="F6042" s="36"/>
      <c r="G6042" s="36"/>
      <c r="H6042" s="36"/>
      <c r="I6042" s="37"/>
      <c r="J6042" s="36"/>
      <c r="K6042" s="38"/>
      <c r="L6042" s="38"/>
    </row>
    <row r="6043" spans="1:12" x14ac:dyDescent="0.25">
      <c r="A6043" s="35"/>
      <c r="B6043" s="36"/>
      <c r="C6043" s="36"/>
      <c r="D6043" s="36"/>
      <c r="E6043" s="36"/>
      <c r="F6043" s="36"/>
      <c r="G6043" s="36"/>
      <c r="H6043" s="36"/>
      <c r="I6043" s="37"/>
      <c r="J6043" s="36"/>
      <c r="K6043" s="38"/>
      <c r="L6043" s="38"/>
    </row>
    <row r="6044" spans="1:12" x14ac:dyDescent="0.25">
      <c r="A6044" s="35"/>
      <c r="B6044" s="36"/>
      <c r="C6044" s="36"/>
      <c r="D6044" s="36"/>
      <c r="E6044" s="36"/>
      <c r="F6044" s="36"/>
      <c r="G6044" s="36"/>
      <c r="H6044" s="36"/>
      <c r="I6044" s="37"/>
      <c r="J6044" s="36"/>
      <c r="K6044" s="38"/>
      <c r="L6044" s="38"/>
    </row>
    <row r="6045" spans="1:12" x14ac:dyDescent="0.25">
      <c r="A6045" s="35"/>
      <c r="B6045" s="36"/>
      <c r="C6045" s="36"/>
      <c r="D6045" s="36"/>
      <c r="E6045" s="36"/>
      <c r="F6045" s="36"/>
      <c r="G6045" s="36"/>
      <c r="H6045" s="36"/>
      <c r="I6045" s="37"/>
      <c r="J6045" s="36"/>
      <c r="K6045" s="38"/>
      <c r="L6045" s="38"/>
    </row>
    <row r="6046" spans="1:12" x14ac:dyDescent="0.25">
      <c r="A6046" s="35"/>
      <c r="B6046" s="36"/>
      <c r="C6046" s="36"/>
      <c r="D6046" s="36"/>
      <c r="E6046" s="36"/>
      <c r="F6046" s="36"/>
      <c r="G6046" s="36"/>
      <c r="H6046" s="36"/>
      <c r="I6046" s="37"/>
      <c r="J6046" s="36"/>
      <c r="K6046" s="38"/>
      <c r="L6046" s="38"/>
    </row>
    <row r="6047" spans="1:12" x14ac:dyDescent="0.25">
      <c r="A6047" s="35"/>
      <c r="B6047" s="36"/>
      <c r="C6047" s="36"/>
      <c r="D6047" s="36"/>
      <c r="E6047" s="36"/>
      <c r="F6047" s="36"/>
      <c r="G6047" s="36"/>
      <c r="H6047" s="36"/>
      <c r="I6047" s="37"/>
      <c r="J6047" s="36"/>
      <c r="K6047" s="38"/>
      <c r="L6047" s="38"/>
    </row>
    <row r="6048" spans="1:12" x14ac:dyDescent="0.25">
      <c r="A6048" s="35"/>
      <c r="B6048" s="36"/>
      <c r="C6048" s="36"/>
      <c r="D6048" s="36"/>
      <c r="E6048" s="36"/>
      <c r="F6048" s="36"/>
      <c r="G6048" s="36"/>
      <c r="H6048" s="36"/>
      <c r="I6048" s="37"/>
      <c r="J6048" s="36"/>
      <c r="K6048" s="38"/>
      <c r="L6048" s="38"/>
    </row>
    <row r="6049" spans="1:12" x14ac:dyDescent="0.25">
      <c r="A6049" s="35"/>
      <c r="B6049" s="36"/>
      <c r="C6049" s="36"/>
      <c r="D6049" s="36"/>
      <c r="E6049" s="36"/>
      <c r="F6049" s="36"/>
      <c r="G6049" s="36"/>
      <c r="H6049" s="36"/>
      <c r="I6049" s="37"/>
      <c r="J6049" s="36"/>
      <c r="K6049" s="38"/>
      <c r="L6049" s="38"/>
    </row>
    <row r="6050" spans="1:12" x14ac:dyDescent="0.25">
      <c r="A6050" s="35"/>
      <c r="B6050" s="36"/>
      <c r="C6050" s="36"/>
      <c r="D6050" s="36"/>
      <c r="E6050" s="36"/>
      <c r="F6050" s="36"/>
      <c r="G6050" s="36"/>
      <c r="H6050" s="36"/>
      <c r="I6050" s="37"/>
      <c r="J6050" s="36"/>
      <c r="K6050" s="38"/>
      <c r="L6050" s="38"/>
    </row>
    <row r="6051" spans="1:12" x14ac:dyDescent="0.25">
      <c r="A6051" s="35"/>
      <c r="B6051" s="36"/>
      <c r="C6051" s="36"/>
      <c r="D6051" s="36"/>
      <c r="E6051" s="36"/>
      <c r="F6051" s="36"/>
      <c r="G6051" s="36"/>
      <c r="H6051" s="36"/>
      <c r="I6051" s="37"/>
      <c r="J6051" s="36"/>
      <c r="K6051" s="38"/>
      <c r="L6051" s="38"/>
    </row>
    <row r="6052" spans="1:12" x14ac:dyDescent="0.25">
      <c r="A6052" s="35"/>
      <c r="B6052" s="36"/>
      <c r="C6052" s="36"/>
      <c r="D6052" s="36"/>
      <c r="E6052" s="36"/>
      <c r="F6052" s="36"/>
      <c r="G6052" s="36"/>
      <c r="H6052" s="36"/>
      <c r="I6052" s="37"/>
      <c r="J6052" s="36"/>
      <c r="K6052" s="38"/>
      <c r="L6052" s="38"/>
    </row>
    <row r="6053" spans="1:12" x14ac:dyDescent="0.25">
      <c r="A6053" s="35"/>
      <c r="B6053" s="36"/>
      <c r="C6053" s="36"/>
      <c r="D6053" s="36"/>
      <c r="E6053" s="36"/>
      <c r="F6053" s="36"/>
      <c r="G6053" s="36"/>
      <c r="H6053" s="36"/>
      <c r="I6053" s="37"/>
      <c r="J6053" s="36"/>
      <c r="K6053" s="38"/>
      <c r="L6053" s="38"/>
    </row>
    <row r="6054" spans="1:12" x14ac:dyDescent="0.25">
      <c r="A6054" s="35"/>
      <c r="B6054" s="36"/>
      <c r="C6054" s="36"/>
      <c r="D6054" s="36"/>
      <c r="E6054" s="36"/>
      <c r="F6054" s="36"/>
      <c r="G6054" s="36"/>
      <c r="H6054" s="36"/>
      <c r="I6054" s="37"/>
      <c r="J6054" s="36"/>
      <c r="K6054" s="38"/>
      <c r="L6054" s="38"/>
    </row>
    <row r="6055" spans="1:12" x14ac:dyDescent="0.25">
      <c r="A6055" s="35"/>
      <c r="B6055" s="36"/>
      <c r="C6055" s="36"/>
      <c r="D6055" s="36"/>
      <c r="E6055" s="36"/>
      <c r="F6055" s="36"/>
      <c r="G6055" s="36"/>
      <c r="H6055" s="36"/>
      <c r="I6055" s="37"/>
      <c r="J6055" s="36"/>
      <c r="K6055" s="38"/>
      <c r="L6055" s="38"/>
    </row>
    <row r="6056" spans="1:12" x14ac:dyDescent="0.25">
      <c r="A6056" s="35"/>
      <c r="B6056" s="36"/>
      <c r="C6056" s="36"/>
      <c r="D6056" s="36"/>
      <c r="E6056" s="36"/>
      <c r="F6056" s="36"/>
      <c r="G6056" s="36"/>
      <c r="H6056" s="36"/>
      <c r="I6056" s="37"/>
      <c r="J6056" s="36"/>
      <c r="K6056" s="38"/>
      <c r="L6056" s="38"/>
    </row>
    <row r="6057" spans="1:12" x14ac:dyDescent="0.25">
      <c r="A6057" s="35"/>
      <c r="B6057" s="36"/>
      <c r="C6057" s="36"/>
      <c r="D6057" s="36"/>
      <c r="E6057" s="36"/>
      <c r="F6057" s="36"/>
      <c r="G6057" s="36"/>
      <c r="H6057" s="36"/>
      <c r="I6057" s="37"/>
      <c r="J6057" s="36"/>
      <c r="K6057" s="38"/>
      <c r="L6057" s="38"/>
    </row>
    <row r="6058" spans="1:12" x14ac:dyDescent="0.25">
      <c r="A6058" s="35"/>
      <c r="B6058" s="36"/>
      <c r="C6058" s="36"/>
      <c r="D6058" s="36"/>
      <c r="E6058" s="36"/>
      <c r="F6058" s="36"/>
      <c r="G6058" s="36"/>
      <c r="H6058" s="36"/>
      <c r="I6058" s="37"/>
      <c r="J6058" s="36"/>
      <c r="K6058" s="38"/>
      <c r="L6058" s="38"/>
    </row>
    <row r="6059" spans="1:12" x14ac:dyDescent="0.25">
      <c r="A6059" s="35"/>
      <c r="B6059" s="36"/>
      <c r="C6059" s="36"/>
      <c r="D6059" s="36"/>
      <c r="E6059" s="36"/>
      <c r="F6059" s="36"/>
      <c r="G6059" s="36"/>
      <c r="H6059" s="36"/>
      <c r="I6059" s="37"/>
      <c r="J6059" s="36"/>
      <c r="K6059" s="38"/>
      <c r="L6059" s="38"/>
    </row>
    <row r="6060" spans="1:12" x14ac:dyDescent="0.25">
      <c r="A6060" s="35"/>
      <c r="B6060" s="36"/>
      <c r="C6060" s="36"/>
      <c r="D6060" s="36"/>
      <c r="E6060" s="36"/>
      <c r="F6060" s="36"/>
      <c r="G6060" s="36"/>
      <c r="H6060" s="36"/>
      <c r="I6060" s="37"/>
      <c r="J6060" s="36"/>
      <c r="K6060" s="38"/>
      <c r="L6060" s="38"/>
    </row>
    <row r="6061" spans="1:12" x14ac:dyDescent="0.25">
      <c r="A6061" s="35"/>
      <c r="B6061" s="36"/>
      <c r="C6061" s="36"/>
      <c r="D6061" s="36"/>
      <c r="E6061" s="36"/>
      <c r="F6061" s="36"/>
      <c r="G6061" s="36"/>
      <c r="H6061" s="36"/>
      <c r="I6061" s="37"/>
      <c r="J6061" s="36"/>
      <c r="K6061" s="38"/>
      <c r="L6061" s="38"/>
    </row>
    <row r="6062" spans="1:12" x14ac:dyDescent="0.25">
      <c r="A6062" s="35"/>
      <c r="B6062" s="36"/>
      <c r="C6062" s="36"/>
      <c r="D6062" s="36"/>
      <c r="E6062" s="36"/>
      <c r="F6062" s="36"/>
      <c r="G6062" s="36"/>
      <c r="H6062" s="36"/>
      <c r="I6062" s="37"/>
      <c r="J6062" s="36"/>
      <c r="K6062" s="38"/>
      <c r="L6062" s="38"/>
    </row>
    <row r="6063" spans="1:12" x14ac:dyDescent="0.25">
      <c r="A6063" s="35"/>
      <c r="B6063" s="36"/>
      <c r="C6063" s="36"/>
      <c r="D6063" s="36"/>
      <c r="E6063" s="36"/>
      <c r="F6063" s="36"/>
      <c r="G6063" s="36"/>
      <c r="H6063" s="36"/>
      <c r="I6063" s="37"/>
      <c r="J6063" s="36"/>
      <c r="K6063" s="38"/>
      <c r="L6063" s="38"/>
    </row>
    <row r="6064" spans="1:12" x14ac:dyDescent="0.25">
      <c r="A6064" s="35"/>
      <c r="B6064" s="36"/>
      <c r="C6064" s="36"/>
      <c r="D6064" s="36"/>
      <c r="E6064" s="36"/>
      <c r="F6064" s="36"/>
      <c r="G6064" s="36"/>
      <c r="H6064" s="36"/>
      <c r="I6064" s="37"/>
      <c r="J6064" s="36"/>
      <c r="K6064" s="38"/>
      <c r="L6064" s="38"/>
    </row>
    <row r="6065" spans="1:12" x14ac:dyDescent="0.25">
      <c r="A6065" s="35"/>
      <c r="B6065" s="36"/>
      <c r="C6065" s="36"/>
      <c r="D6065" s="36"/>
      <c r="E6065" s="36"/>
      <c r="F6065" s="36"/>
      <c r="G6065" s="36"/>
      <c r="H6065" s="36"/>
      <c r="I6065" s="37"/>
      <c r="J6065" s="36"/>
      <c r="K6065" s="38"/>
      <c r="L6065" s="38"/>
    </row>
    <row r="6066" spans="1:12" x14ac:dyDescent="0.25">
      <c r="A6066" s="35"/>
      <c r="B6066" s="36"/>
      <c r="C6066" s="36"/>
      <c r="D6066" s="36"/>
      <c r="E6066" s="36"/>
      <c r="F6066" s="36"/>
      <c r="G6066" s="36"/>
      <c r="H6066" s="36"/>
      <c r="I6066" s="37"/>
      <c r="J6066" s="36"/>
      <c r="K6066" s="38"/>
      <c r="L6066" s="38"/>
    </row>
    <row r="6067" spans="1:12" x14ac:dyDescent="0.25">
      <c r="A6067" s="35"/>
      <c r="B6067" s="36"/>
      <c r="C6067" s="36"/>
      <c r="D6067" s="36"/>
      <c r="E6067" s="36"/>
      <c r="F6067" s="36"/>
      <c r="G6067" s="36"/>
      <c r="H6067" s="36"/>
      <c r="I6067" s="37"/>
      <c r="J6067" s="36"/>
      <c r="K6067" s="38"/>
      <c r="L6067" s="38"/>
    </row>
    <row r="6068" spans="1:12" x14ac:dyDescent="0.25">
      <c r="A6068" s="35"/>
      <c r="B6068" s="36"/>
      <c r="C6068" s="36"/>
      <c r="D6068" s="36"/>
      <c r="E6068" s="36"/>
      <c r="F6068" s="36"/>
      <c r="G6068" s="36"/>
      <c r="H6068" s="36"/>
      <c r="I6068" s="37"/>
      <c r="J6068" s="36"/>
      <c r="K6068" s="38"/>
      <c r="L6068" s="38"/>
    </row>
    <row r="6069" spans="1:12" x14ac:dyDescent="0.25">
      <c r="A6069" s="35"/>
      <c r="B6069" s="36"/>
      <c r="C6069" s="36"/>
      <c r="D6069" s="36"/>
      <c r="E6069" s="36"/>
      <c r="F6069" s="36"/>
      <c r="G6069" s="36"/>
      <c r="H6069" s="36"/>
      <c r="I6069" s="37"/>
      <c r="J6069" s="36"/>
      <c r="K6069" s="38"/>
      <c r="L6069" s="38"/>
    </row>
    <row r="6070" spans="1:12" x14ac:dyDescent="0.25">
      <c r="A6070" s="35"/>
      <c r="B6070" s="36"/>
      <c r="C6070" s="36"/>
      <c r="D6070" s="36"/>
      <c r="E6070" s="36"/>
      <c r="F6070" s="36"/>
      <c r="G6070" s="36"/>
      <c r="H6070" s="36"/>
      <c r="I6070" s="37"/>
      <c r="J6070" s="36"/>
      <c r="K6070" s="38"/>
      <c r="L6070" s="38"/>
    </row>
    <row r="6071" spans="1:12" x14ac:dyDescent="0.25">
      <c r="A6071" s="35"/>
      <c r="B6071" s="36"/>
      <c r="C6071" s="36"/>
      <c r="D6071" s="36"/>
      <c r="E6071" s="36"/>
      <c r="F6071" s="36"/>
      <c r="G6071" s="36"/>
      <c r="H6071" s="36"/>
      <c r="I6071" s="37"/>
      <c r="J6071" s="36"/>
      <c r="K6071" s="38"/>
      <c r="L6071" s="38"/>
    </row>
    <row r="6072" spans="1:12" x14ac:dyDescent="0.25">
      <c r="A6072" s="35"/>
      <c r="B6072" s="36"/>
      <c r="C6072" s="36"/>
      <c r="D6072" s="36"/>
      <c r="E6072" s="36"/>
      <c r="F6072" s="36"/>
      <c r="G6072" s="36"/>
      <c r="H6072" s="36"/>
      <c r="I6072" s="37"/>
      <c r="J6072" s="36"/>
      <c r="K6072" s="38"/>
      <c r="L6072" s="38"/>
    </row>
    <row r="6073" spans="1:12" x14ac:dyDescent="0.25">
      <c r="A6073" s="35"/>
      <c r="B6073" s="36"/>
      <c r="C6073" s="36"/>
      <c r="D6073" s="36"/>
      <c r="E6073" s="36"/>
      <c r="F6073" s="36"/>
      <c r="G6073" s="36"/>
      <c r="H6073" s="36"/>
      <c r="I6073" s="37"/>
      <c r="J6073" s="36"/>
      <c r="K6073" s="38"/>
      <c r="L6073" s="38"/>
    </row>
    <row r="6074" spans="1:12" x14ac:dyDescent="0.25">
      <c r="A6074" s="35"/>
      <c r="B6074" s="36"/>
      <c r="C6074" s="36"/>
      <c r="D6074" s="36"/>
      <c r="E6074" s="36"/>
      <c r="F6074" s="36"/>
      <c r="G6074" s="36"/>
      <c r="H6074" s="36"/>
      <c r="I6074" s="37"/>
      <c r="J6074" s="36"/>
      <c r="K6074" s="38"/>
      <c r="L6074" s="38"/>
    </row>
    <row r="6075" spans="1:12" x14ac:dyDescent="0.25">
      <c r="A6075" s="35"/>
      <c r="B6075" s="36"/>
      <c r="C6075" s="36"/>
      <c r="D6075" s="36"/>
      <c r="E6075" s="36"/>
      <c r="F6075" s="36"/>
      <c r="G6075" s="36"/>
      <c r="H6075" s="36"/>
      <c r="I6075" s="37"/>
      <c r="J6075" s="36"/>
      <c r="K6075" s="38"/>
      <c r="L6075" s="38"/>
    </row>
    <row r="6076" spans="1:12" x14ac:dyDescent="0.25">
      <c r="A6076" s="35"/>
      <c r="B6076" s="36"/>
      <c r="C6076" s="36"/>
      <c r="D6076" s="36"/>
      <c r="E6076" s="36"/>
      <c r="F6076" s="36"/>
      <c r="G6076" s="36"/>
      <c r="H6076" s="36"/>
      <c r="I6076" s="37"/>
      <c r="J6076" s="36"/>
      <c r="K6076" s="38"/>
      <c r="L6076" s="38"/>
    </row>
    <row r="6077" spans="1:12" x14ac:dyDescent="0.25">
      <c r="A6077" s="35"/>
      <c r="B6077" s="36"/>
      <c r="C6077" s="36"/>
      <c r="D6077" s="36"/>
      <c r="E6077" s="36"/>
      <c r="F6077" s="36"/>
      <c r="G6077" s="36"/>
      <c r="H6077" s="36"/>
      <c r="I6077" s="37"/>
      <c r="J6077" s="36"/>
      <c r="K6077" s="38"/>
      <c r="L6077" s="38"/>
    </row>
    <row r="6078" spans="1:12" x14ac:dyDescent="0.25">
      <c r="A6078" s="35"/>
      <c r="B6078" s="36"/>
      <c r="C6078" s="36"/>
      <c r="D6078" s="36"/>
      <c r="E6078" s="36"/>
      <c r="F6078" s="36"/>
      <c r="G6078" s="36"/>
      <c r="H6078" s="36"/>
      <c r="I6078" s="37"/>
      <c r="J6078" s="36"/>
      <c r="K6078" s="38"/>
      <c r="L6078" s="38"/>
    </row>
    <row r="6079" spans="1:12" x14ac:dyDescent="0.25">
      <c r="A6079" s="35"/>
      <c r="B6079" s="36"/>
      <c r="C6079" s="36"/>
      <c r="D6079" s="36"/>
      <c r="E6079" s="36"/>
      <c r="F6079" s="36"/>
      <c r="G6079" s="36"/>
      <c r="H6079" s="36"/>
      <c r="I6079" s="37"/>
      <c r="J6079" s="36"/>
      <c r="K6079" s="38"/>
      <c r="L6079" s="38"/>
    </row>
    <row r="6080" spans="1:12" x14ac:dyDescent="0.25">
      <c r="A6080" s="35"/>
      <c r="B6080" s="36"/>
      <c r="C6080" s="36"/>
      <c r="D6080" s="36"/>
      <c r="E6080" s="36"/>
      <c r="F6080" s="36"/>
      <c r="G6080" s="36"/>
      <c r="H6080" s="36"/>
      <c r="I6080" s="37"/>
      <c r="J6080" s="36"/>
      <c r="K6080" s="38"/>
      <c r="L6080" s="38"/>
    </row>
    <row r="6081" spans="1:12" x14ac:dyDescent="0.25">
      <c r="A6081" s="35"/>
      <c r="B6081" s="36"/>
      <c r="C6081" s="36"/>
      <c r="D6081" s="36"/>
      <c r="E6081" s="36"/>
      <c r="F6081" s="36"/>
      <c r="G6081" s="36"/>
      <c r="H6081" s="36"/>
      <c r="I6081" s="37"/>
      <c r="J6081" s="36"/>
      <c r="K6081" s="38"/>
      <c r="L6081" s="38"/>
    </row>
    <row r="6082" spans="1:12" x14ac:dyDescent="0.25">
      <c r="A6082" s="35"/>
      <c r="B6082" s="36"/>
      <c r="C6082" s="36"/>
      <c r="D6082" s="36"/>
      <c r="E6082" s="36"/>
      <c r="F6082" s="36"/>
      <c r="G6082" s="36"/>
      <c r="H6082" s="36"/>
      <c r="I6082" s="37"/>
      <c r="J6082" s="36"/>
      <c r="K6082" s="38"/>
      <c r="L6082" s="38"/>
    </row>
    <row r="6083" spans="1:12" x14ac:dyDescent="0.25">
      <c r="A6083" s="35"/>
      <c r="B6083" s="36"/>
      <c r="C6083" s="36"/>
      <c r="D6083" s="36"/>
      <c r="E6083" s="36"/>
      <c r="F6083" s="36"/>
      <c r="G6083" s="36"/>
      <c r="H6083" s="36"/>
      <c r="I6083" s="37"/>
      <c r="J6083" s="36"/>
      <c r="K6083" s="38"/>
      <c r="L6083" s="38"/>
    </row>
    <row r="6084" spans="1:12" x14ac:dyDescent="0.25">
      <c r="A6084" s="35"/>
      <c r="B6084" s="36"/>
      <c r="C6084" s="36"/>
      <c r="D6084" s="36"/>
      <c r="E6084" s="36"/>
      <c r="F6084" s="36"/>
      <c r="G6084" s="36"/>
      <c r="H6084" s="36"/>
      <c r="I6084" s="37"/>
      <c r="J6084" s="36"/>
      <c r="K6084" s="38"/>
      <c r="L6084" s="38"/>
    </row>
    <row r="6085" spans="1:12" x14ac:dyDescent="0.25">
      <c r="A6085" s="35"/>
      <c r="B6085" s="36"/>
      <c r="C6085" s="36"/>
      <c r="D6085" s="36"/>
      <c r="E6085" s="36"/>
      <c r="F6085" s="36"/>
      <c r="G6085" s="36"/>
      <c r="H6085" s="36"/>
      <c r="I6085" s="37"/>
      <c r="J6085" s="36"/>
      <c r="K6085" s="38"/>
      <c r="L6085" s="38"/>
    </row>
    <row r="6086" spans="1:12" x14ac:dyDescent="0.25">
      <c r="A6086" s="35"/>
      <c r="B6086" s="36"/>
      <c r="C6086" s="36"/>
      <c r="D6086" s="36"/>
      <c r="E6086" s="36"/>
      <c r="F6086" s="36"/>
      <c r="G6086" s="36"/>
      <c r="H6086" s="36"/>
      <c r="I6086" s="37"/>
      <c r="J6086" s="36"/>
      <c r="K6086" s="38"/>
      <c r="L6086" s="38"/>
    </row>
    <row r="6087" spans="1:12" x14ac:dyDescent="0.25">
      <c r="A6087" s="35"/>
      <c r="B6087" s="36"/>
      <c r="C6087" s="36"/>
      <c r="D6087" s="36"/>
      <c r="E6087" s="36"/>
      <c r="F6087" s="36"/>
      <c r="G6087" s="36"/>
      <c r="H6087" s="36"/>
      <c r="I6087" s="37"/>
      <c r="J6087" s="36"/>
      <c r="K6087" s="38"/>
      <c r="L6087" s="38"/>
    </row>
    <row r="6088" spans="1:12" x14ac:dyDescent="0.25">
      <c r="A6088" s="35"/>
      <c r="B6088" s="36"/>
      <c r="C6088" s="36"/>
      <c r="D6088" s="36"/>
      <c r="E6088" s="36"/>
      <c r="F6088" s="36"/>
      <c r="G6088" s="36"/>
      <c r="H6088" s="36"/>
      <c r="I6088" s="37"/>
      <c r="J6088" s="36"/>
      <c r="K6088" s="38"/>
      <c r="L6088" s="38"/>
    </row>
    <row r="6089" spans="1:12" x14ac:dyDescent="0.25">
      <c r="A6089" s="35"/>
      <c r="B6089" s="36"/>
      <c r="C6089" s="36"/>
      <c r="D6089" s="36"/>
      <c r="E6089" s="36"/>
      <c r="F6089" s="36"/>
      <c r="G6089" s="36"/>
      <c r="H6089" s="36"/>
      <c r="I6089" s="37"/>
      <c r="J6089" s="36"/>
      <c r="K6089" s="38"/>
      <c r="L6089" s="38"/>
    </row>
    <row r="6090" spans="1:12" x14ac:dyDescent="0.25">
      <c r="A6090" s="35"/>
      <c r="B6090" s="36"/>
      <c r="C6090" s="36"/>
      <c r="D6090" s="36"/>
      <c r="E6090" s="36"/>
      <c r="F6090" s="36"/>
      <c r="G6090" s="36"/>
      <c r="H6090" s="36"/>
      <c r="I6090" s="37"/>
      <c r="J6090" s="36"/>
      <c r="K6090" s="38"/>
      <c r="L6090" s="38"/>
    </row>
    <row r="6091" spans="1:12" x14ac:dyDescent="0.25">
      <c r="A6091" s="35"/>
      <c r="B6091" s="36"/>
      <c r="C6091" s="36"/>
      <c r="D6091" s="36"/>
      <c r="E6091" s="36"/>
      <c r="F6091" s="36"/>
      <c r="G6091" s="36"/>
      <c r="H6091" s="36"/>
      <c r="I6091" s="37"/>
      <c r="J6091" s="36"/>
      <c r="K6091" s="38"/>
      <c r="L6091" s="38"/>
    </row>
    <row r="6092" spans="1:12" x14ac:dyDescent="0.25">
      <c r="A6092" s="35"/>
      <c r="B6092" s="36"/>
      <c r="C6092" s="36"/>
      <c r="D6092" s="36"/>
      <c r="E6092" s="36"/>
      <c r="F6092" s="36"/>
      <c r="G6092" s="36"/>
      <c r="H6092" s="36"/>
      <c r="I6092" s="37"/>
      <c r="J6092" s="36"/>
      <c r="K6092" s="38"/>
      <c r="L6092" s="38"/>
    </row>
    <row r="6093" spans="1:12" x14ac:dyDescent="0.25">
      <c r="A6093" s="35"/>
      <c r="B6093" s="36"/>
      <c r="C6093" s="36"/>
      <c r="D6093" s="36"/>
      <c r="E6093" s="36"/>
      <c r="F6093" s="36"/>
      <c r="G6093" s="36"/>
      <c r="H6093" s="36"/>
      <c r="I6093" s="37"/>
      <c r="J6093" s="36"/>
      <c r="K6093" s="38"/>
      <c r="L6093" s="38"/>
    </row>
    <row r="6094" spans="1:12" x14ac:dyDescent="0.25">
      <c r="A6094" s="35"/>
      <c r="B6094" s="36"/>
      <c r="C6094" s="36"/>
      <c r="D6094" s="36"/>
      <c r="E6094" s="36"/>
      <c r="F6094" s="36"/>
      <c r="G6094" s="36"/>
      <c r="H6094" s="36"/>
      <c r="I6094" s="37"/>
      <c r="J6094" s="36"/>
      <c r="K6094" s="38"/>
      <c r="L6094" s="38"/>
    </row>
    <row r="6095" spans="1:12" x14ac:dyDescent="0.25">
      <c r="A6095" s="35"/>
      <c r="B6095" s="36"/>
      <c r="C6095" s="36"/>
      <c r="D6095" s="36"/>
      <c r="E6095" s="36"/>
      <c r="F6095" s="36"/>
      <c r="G6095" s="36"/>
      <c r="H6095" s="36"/>
      <c r="I6095" s="37"/>
      <c r="J6095" s="36"/>
      <c r="K6095" s="38"/>
      <c r="L6095" s="38"/>
    </row>
    <row r="6096" spans="1:12" x14ac:dyDescent="0.25">
      <c r="A6096" s="35"/>
      <c r="B6096" s="36"/>
      <c r="C6096" s="36"/>
      <c r="D6096" s="36"/>
      <c r="E6096" s="36"/>
      <c r="F6096" s="36"/>
      <c r="G6096" s="36"/>
      <c r="H6096" s="36"/>
      <c r="I6096" s="37"/>
      <c r="J6096" s="36"/>
      <c r="K6096" s="38"/>
      <c r="L6096" s="38"/>
    </row>
    <row r="6097" spans="1:12" x14ac:dyDescent="0.25">
      <c r="A6097" s="35"/>
      <c r="B6097" s="36"/>
      <c r="C6097" s="36"/>
      <c r="D6097" s="36"/>
      <c r="E6097" s="36"/>
      <c r="F6097" s="36"/>
      <c r="G6097" s="36"/>
      <c r="H6097" s="36"/>
      <c r="I6097" s="37"/>
      <c r="J6097" s="36"/>
      <c r="K6097" s="38"/>
      <c r="L6097" s="38"/>
    </row>
    <row r="6098" spans="1:12" x14ac:dyDescent="0.25">
      <c r="A6098" s="35"/>
      <c r="B6098" s="36"/>
      <c r="C6098" s="36"/>
      <c r="D6098" s="36"/>
      <c r="E6098" s="36"/>
      <c r="F6098" s="36"/>
      <c r="G6098" s="36"/>
      <c r="H6098" s="36"/>
      <c r="I6098" s="37"/>
      <c r="J6098" s="36"/>
      <c r="K6098" s="38"/>
      <c r="L6098" s="38"/>
    </row>
    <row r="6099" spans="1:12" x14ac:dyDescent="0.25">
      <c r="A6099" s="35"/>
      <c r="B6099" s="36"/>
      <c r="C6099" s="36"/>
      <c r="D6099" s="36"/>
      <c r="E6099" s="36"/>
      <c r="F6099" s="36"/>
      <c r="G6099" s="36"/>
      <c r="H6099" s="36"/>
      <c r="I6099" s="37"/>
      <c r="J6099" s="36"/>
      <c r="K6099" s="38"/>
      <c r="L6099" s="38"/>
    </row>
    <row r="6100" spans="1:12" x14ac:dyDescent="0.25">
      <c r="A6100" s="35"/>
      <c r="B6100" s="36"/>
      <c r="C6100" s="36"/>
      <c r="D6100" s="36"/>
      <c r="E6100" s="36"/>
      <c r="F6100" s="36"/>
      <c r="G6100" s="36"/>
      <c r="H6100" s="36"/>
      <c r="I6100" s="37"/>
      <c r="J6100" s="36"/>
      <c r="K6100" s="38"/>
      <c r="L6100" s="38"/>
    </row>
    <row r="6101" spans="1:12" x14ac:dyDescent="0.25">
      <c r="A6101" s="35"/>
      <c r="B6101" s="36"/>
      <c r="C6101" s="36"/>
      <c r="D6101" s="36"/>
      <c r="E6101" s="36"/>
      <c r="F6101" s="36"/>
      <c r="G6101" s="36"/>
      <c r="H6101" s="36"/>
      <c r="I6101" s="37"/>
      <c r="J6101" s="36"/>
      <c r="K6101" s="38"/>
      <c r="L6101" s="38"/>
    </row>
    <row r="6102" spans="1:12" x14ac:dyDescent="0.25">
      <c r="A6102" s="35"/>
      <c r="B6102" s="36"/>
      <c r="C6102" s="36"/>
      <c r="D6102" s="36"/>
      <c r="E6102" s="36"/>
      <c r="F6102" s="36"/>
      <c r="G6102" s="36"/>
      <c r="H6102" s="36"/>
      <c r="I6102" s="37"/>
      <c r="J6102" s="36"/>
      <c r="K6102" s="38"/>
      <c r="L6102" s="38"/>
    </row>
    <row r="6103" spans="1:12" x14ac:dyDescent="0.25">
      <c r="A6103" s="35"/>
      <c r="B6103" s="36"/>
      <c r="C6103" s="36"/>
      <c r="D6103" s="36"/>
      <c r="E6103" s="36"/>
      <c r="F6103" s="36"/>
      <c r="G6103" s="36"/>
      <c r="H6103" s="36"/>
      <c r="I6103" s="37"/>
      <c r="J6103" s="36"/>
      <c r="K6103" s="38"/>
      <c r="L6103" s="38"/>
    </row>
    <row r="6104" spans="1:12" x14ac:dyDescent="0.25">
      <c r="A6104" s="35"/>
      <c r="B6104" s="36"/>
      <c r="C6104" s="36"/>
      <c r="D6104" s="36"/>
      <c r="E6104" s="36"/>
      <c r="F6104" s="36"/>
      <c r="G6104" s="36"/>
      <c r="H6104" s="36"/>
      <c r="I6104" s="37"/>
      <c r="J6104" s="36"/>
      <c r="K6104" s="38"/>
      <c r="L6104" s="38"/>
    </row>
    <row r="6105" spans="1:12" x14ac:dyDescent="0.25">
      <c r="A6105" s="35"/>
      <c r="B6105" s="36"/>
      <c r="C6105" s="36"/>
      <c r="D6105" s="36"/>
      <c r="E6105" s="36"/>
      <c r="F6105" s="36"/>
      <c r="G6105" s="36"/>
      <c r="H6105" s="36"/>
      <c r="I6105" s="37"/>
      <c r="J6105" s="36"/>
      <c r="K6105" s="38"/>
      <c r="L6105" s="38"/>
    </row>
    <row r="6106" spans="1:12" x14ac:dyDescent="0.25">
      <c r="A6106" s="35"/>
      <c r="B6106" s="36"/>
      <c r="C6106" s="36"/>
      <c r="D6106" s="36"/>
      <c r="E6106" s="36"/>
      <c r="F6106" s="36"/>
      <c r="G6106" s="36"/>
      <c r="H6106" s="36"/>
      <c r="I6106" s="37"/>
      <c r="J6106" s="36"/>
      <c r="K6106" s="38"/>
      <c r="L6106" s="38"/>
    </row>
    <row r="6107" spans="1:12" x14ac:dyDescent="0.25">
      <c r="A6107" s="35"/>
      <c r="B6107" s="36"/>
      <c r="C6107" s="36"/>
      <c r="D6107" s="36"/>
      <c r="E6107" s="36"/>
      <c r="F6107" s="36"/>
      <c r="G6107" s="36"/>
      <c r="H6107" s="36"/>
      <c r="I6107" s="37"/>
      <c r="J6107" s="36"/>
      <c r="K6107" s="38"/>
      <c r="L6107" s="38"/>
    </row>
    <row r="6108" spans="1:12" x14ac:dyDescent="0.25">
      <c r="A6108" s="35"/>
      <c r="B6108" s="36"/>
      <c r="C6108" s="36"/>
      <c r="D6108" s="36"/>
      <c r="E6108" s="36"/>
      <c r="F6108" s="36"/>
      <c r="G6108" s="36"/>
      <c r="H6108" s="36"/>
      <c r="I6108" s="37"/>
      <c r="J6108" s="36"/>
      <c r="K6108" s="38"/>
      <c r="L6108" s="38"/>
    </row>
    <row r="6109" spans="1:12" x14ac:dyDescent="0.25">
      <c r="A6109" s="35"/>
      <c r="B6109" s="36"/>
      <c r="C6109" s="36"/>
      <c r="D6109" s="36"/>
      <c r="E6109" s="36"/>
      <c r="F6109" s="36"/>
      <c r="G6109" s="36"/>
      <c r="H6109" s="36"/>
      <c r="I6109" s="37"/>
      <c r="J6109" s="36"/>
      <c r="K6109" s="38"/>
      <c r="L6109" s="38"/>
    </row>
    <row r="6110" spans="1:12" x14ac:dyDescent="0.25">
      <c r="A6110" s="35"/>
      <c r="B6110" s="36"/>
      <c r="C6110" s="36"/>
      <c r="D6110" s="36"/>
      <c r="E6110" s="36"/>
      <c r="F6110" s="36"/>
      <c r="G6110" s="36"/>
      <c r="H6110" s="36"/>
      <c r="I6110" s="37"/>
      <c r="J6110" s="36"/>
      <c r="K6110" s="38"/>
      <c r="L6110" s="38"/>
    </row>
    <row r="6111" spans="1:12" x14ac:dyDescent="0.25">
      <c r="A6111" s="35"/>
      <c r="B6111" s="36"/>
      <c r="C6111" s="36"/>
      <c r="D6111" s="36"/>
      <c r="E6111" s="36"/>
      <c r="F6111" s="36"/>
      <c r="G6111" s="36"/>
      <c r="H6111" s="36"/>
      <c r="I6111" s="37"/>
      <c r="J6111" s="36"/>
      <c r="K6111" s="38"/>
      <c r="L6111" s="38"/>
    </row>
    <row r="6112" spans="1:12" x14ac:dyDescent="0.25">
      <c r="A6112" s="35"/>
      <c r="B6112" s="36"/>
      <c r="C6112" s="36"/>
      <c r="D6112" s="36"/>
      <c r="E6112" s="36"/>
      <c r="F6112" s="36"/>
      <c r="G6112" s="36"/>
      <c r="H6112" s="36"/>
      <c r="I6112" s="37"/>
      <c r="J6112" s="36"/>
      <c r="K6112" s="38"/>
      <c r="L6112" s="38"/>
    </row>
    <row r="6113" spans="1:12" x14ac:dyDescent="0.25">
      <c r="A6113" s="35"/>
      <c r="B6113" s="36"/>
      <c r="C6113" s="36"/>
      <c r="D6113" s="36"/>
      <c r="E6113" s="36"/>
      <c r="F6113" s="36"/>
      <c r="G6113" s="36"/>
      <c r="H6113" s="36"/>
      <c r="I6113" s="37"/>
      <c r="J6113" s="36"/>
      <c r="K6113" s="38"/>
      <c r="L6113" s="38"/>
    </row>
    <row r="6114" spans="1:12" x14ac:dyDescent="0.25">
      <c r="A6114" s="35"/>
      <c r="B6114" s="36"/>
      <c r="C6114" s="36"/>
      <c r="D6114" s="36"/>
      <c r="E6114" s="36"/>
      <c r="F6114" s="36"/>
      <c r="G6114" s="36"/>
      <c r="H6114" s="36"/>
      <c r="I6114" s="37"/>
      <c r="J6114" s="36"/>
      <c r="K6114" s="38"/>
      <c r="L6114" s="38"/>
    </row>
    <row r="6115" spans="1:12" x14ac:dyDescent="0.25">
      <c r="A6115" s="35"/>
      <c r="B6115" s="36"/>
      <c r="C6115" s="36"/>
      <c r="D6115" s="36"/>
      <c r="E6115" s="36"/>
      <c r="F6115" s="36"/>
      <c r="G6115" s="36"/>
      <c r="H6115" s="36"/>
      <c r="I6115" s="37"/>
      <c r="J6115" s="36"/>
      <c r="K6115" s="38"/>
      <c r="L6115" s="38"/>
    </row>
    <row r="6116" spans="1:12" x14ac:dyDescent="0.25">
      <c r="A6116" s="35"/>
      <c r="B6116" s="36"/>
      <c r="C6116" s="36"/>
      <c r="D6116" s="36"/>
      <c r="E6116" s="36"/>
      <c r="F6116" s="36"/>
      <c r="G6116" s="36"/>
      <c r="H6116" s="36"/>
      <c r="I6116" s="37"/>
      <c r="J6116" s="36"/>
      <c r="K6116" s="38"/>
      <c r="L6116" s="38"/>
    </row>
    <row r="6117" spans="1:12" x14ac:dyDescent="0.25">
      <c r="A6117" s="35"/>
      <c r="B6117" s="36"/>
      <c r="C6117" s="36"/>
      <c r="D6117" s="36"/>
      <c r="E6117" s="36"/>
      <c r="F6117" s="36"/>
      <c r="G6117" s="36"/>
      <c r="H6117" s="36"/>
      <c r="I6117" s="37"/>
      <c r="J6117" s="36"/>
      <c r="K6117" s="38"/>
      <c r="L6117" s="38"/>
    </row>
    <row r="6118" spans="1:12" x14ac:dyDescent="0.25">
      <c r="A6118" s="35"/>
      <c r="B6118" s="36"/>
      <c r="C6118" s="36"/>
      <c r="D6118" s="36"/>
      <c r="E6118" s="36"/>
      <c r="F6118" s="36"/>
      <c r="G6118" s="36"/>
      <c r="H6118" s="36"/>
      <c r="I6118" s="37"/>
      <c r="J6118" s="36"/>
      <c r="K6118" s="38"/>
      <c r="L6118" s="38"/>
    </row>
    <row r="6119" spans="1:12" x14ac:dyDescent="0.25">
      <c r="A6119" s="35"/>
      <c r="B6119" s="36"/>
      <c r="C6119" s="36"/>
      <c r="D6119" s="36"/>
      <c r="E6119" s="36"/>
      <c r="F6119" s="36"/>
      <c r="G6119" s="36"/>
      <c r="H6119" s="36"/>
      <c r="I6119" s="37"/>
      <c r="J6119" s="36"/>
      <c r="K6119" s="38"/>
      <c r="L6119" s="38"/>
    </row>
    <row r="6120" spans="1:12" x14ac:dyDescent="0.25">
      <c r="A6120" s="35"/>
      <c r="B6120" s="36"/>
      <c r="C6120" s="36"/>
      <c r="D6120" s="36"/>
      <c r="E6120" s="36"/>
      <c r="F6120" s="36"/>
      <c r="G6120" s="36"/>
      <c r="H6120" s="36"/>
      <c r="I6120" s="37"/>
      <c r="J6120" s="36"/>
      <c r="K6120" s="38"/>
      <c r="L6120" s="38"/>
    </row>
    <row r="6121" spans="1:12" x14ac:dyDescent="0.25">
      <c r="A6121" s="35"/>
      <c r="B6121" s="36"/>
      <c r="C6121" s="36"/>
      <c r="D6121" s="36"/>
      <c r="E6121" s="36"/>
      <c r="F6121" s="36"/>
      <c r="G6121" s="36"/>
      <c r="H6121" s="36"/>
      <c r="I6121" s="37"/>
      <c r="J6121" s="36"/>
      <c r="K6121" s="38"/>
      <c r="L6121" s="38"/>
    </row>
    <row r="6122" spans="1:12" x14ac:dyDescent="0.25">
      <c r="A6122" s="35"/>
      <c r="B6122" s="36"/>
      <c r="C6122" s="36"/>
      <c r="D6122" s="36"/>
      <c r="E6122" s="36"/>
      <c r="F6122" s="36"/>
      <c r="G6122" s="36"/>
      <c r="H6122" s="36"/>
      <c r="I6122" s="37"/>
      <c r="J6122" s="36"/>
      <c r="K6122" s="38"/>
      <c r="L6122" s="38"/>
    </row>
    <row r="6123" spans="1:12" x14ac:dyDescent="0.25">
      <c r="A6123" s="35"/>
      <c r="B6123" s="36"/>
      <c r="C6123" s="36"/>
      <c r="D6123" s="36"/>
      <c r="E6123" s="36"/>
      <c r="F6123" s="36"/>
      <c r="G6123" s="36"/>
      <c r="H6123" s="36"/>
      <c r="I6123" s="37"/>
      <c r="J6123" s="36"/>
      <c r="K6123" s="38"/>
      <c r="L6123" s="38"/>
    </row>
    <row r="6124" spans="1:12" x14ac:dyDescent="0.25">
      <c r="A6124" s="35"/>
      <c r="B6124" s="36"/>
      <c r="C6124" s="36"/>
      <c r="D6124" s="36"/>
      <c r="E6124" s="36"/>
      <c r="F6124" s="36"/>
      <c r="G6124" s="36"/>
      <c r="H6124" s="36"/>
      <c r="I6124" s="37"/>
      <c r="J6124" s="36"/>
      <c r="K6124" s="38"/>
      <c r="L6124" s="38"/>
    </row>
    <row r="6125" spans="1:12" x14ac:dyDescent="0.25">
      <c r="A6125" s="35"/>
      <c r="B6125" s="36"/>
      <c r="C6125" s="36"/>
      <c r="D6125" s="36"/>
      <c r="E6125" s="36"/>
      <c r="F6125" s="36"/>
      <c r="G6125" s="36"/>
      <c r="H6125" s="36"/>
      <c r="I6125" s="37"/>
      <c r="J6125" s="36"/>
      <c r="K6125" s="38"/>
      <c r="L6125" s="38"/>
    </row>
    <row r="6126" spans="1:12" x14ac:dyDescent="0.25">
      <c r="A6126" s="35"/>
      <c r="B6126" s="36"/>
      <c r="C6126" s="36"/>
      <c r="D6126" s="36"/>
      <c r="E6126" s="36"/>
      <c r="F6126" s="36"/>
      <c r="G6126" s="36"/>
      <c r="H6126" s="36"/>
      <c r="I6126" s="37"/>
      <c r="J6126" s="36"/>
      <c r="K6126" s="38"/>
      <c r="L6126" s="38"/>
    </row>
    <row r="6127" spans="1:12" x14ac:dyDescent="0.25">
      <c r="A6127" s="35"/>
      <c r="B6127" s="36"/>
      <c r="C6127" s="36"/>
      <c r="D6127" s="36"/>
      <c r="E6127" s="36"/>
      <c r="F6127" s="36"/>
      <c r="G6127" s="36"/>
      <c r="H6127" s="36"/>
      <c r="I6127" s="37"/>
      <c r="J6127" s="36"/>
      <c r="K6127" s="38"/>
      <c r="L6127" s="38"/>
    </row>
    <row r="6128" spans="1:12" x14ac:dyDescent="0.25">
      <c r="A6128" s="35"/>
      <c r="B6128" s="36"/>
      <c r="C6128" s="36"/>
      <c r="D6128" s="36"/>
      <c r="E6128" s="36"/>
      <c r="F6128" s="36"/>
      <c r="G6128" s="36"/>
      <c r="H6128" s="36"/>
      <c r="I6128" s="37"/>
      <c r="J6128" s="36"/>
      <c r="K6128" s="38"/>
      <c r="L6128" s="38"/>
    </row>
    <row r="6129" spans="1:12" x14ac:dyDescent="0.25">
      <c r="A6129" s="35"/>
      <c r="B6129" s="36"/>
      <c r="C6129" s="36"/>
      <c r="D6129" s="36"/>
      <c r="E6129" s="36"/>
      <c r="F6129" s="36"/>
      <c r="G6129" s="36"/>
      <c r="H6129" s="36"/>
      <c r="I6129" s="37"/>
      <c r="J6129" s="36"/>
      <c r="K6129" s="38"/>
      <c r="L6129" s="38"/>
    </row>
    <row r="6130" spans="1:12" x14ac:dyDescent="0.25">
      <c r="A6130" s="35"/>
      <c r="B6130" s="36"/>
      <c r="C6130" s="36"/>
      <c r="D6130" s="36"/>
      <c r="E6130" s="36"/>
      <c r="F6130" s="36"/>
      <c r="G6130" s="36"/>
      <c r="H6130" s="36"/>
      <c r="I6130" s="37"/>
      <c r="J6130" s="36"/>
      <c r="K6130" s="38"/>
      <c r="L6130" s="38"/>
    </row>
    <row r="6131" spans="1:12" x14ac:dyDescent="0.25">
      <c r="A6131" s="35"/>
      <c r="B6131" s="36"/>
      <c r="C6131" s="36"/>
      <c r="D6131" s="36"/>
      <c r="E6131" s="36"/>
      <c r="F6131" s="36"/>
      <c r="G6131" s="36"/>
      <c r="H6131" s="36"/>
      <c r="I6131" s="37"/>
      <c r="J6131" s="36"/>
      <c r="K6131" s="38"/>
      <c r="L6131" s="38"/>
    </row>
    <row r="6132" spans="1:12" x14ac:dyDescent="0.25">
      <c r="A6132" s="35"/>
      <c r="B6132" s="36"/>
      <c r="C6132" s="36"/>
      <c r="D6132" s="36"/>
      <c r="E6132" s="36"/>
      <c r="F6132" s="36"/>
      <c r="G6132" s="36"/>
      <c r="H6132" s="36"/>
      <c r="I6132" s="37"/>
      <c r="J6132" s="36"/>
      <c r="K6132" s="38"/>
      <c r="L6132" s="38"/>
    </row>
    <row r="6133" spans="1:12" x14ac:dyDescent="0.25">
      <c r="A6133" s="35"/>
      <c r="B6133" s="36"/>
      <c r="C6133" s="36"/>
      <c r="D6133" s="36"/>
      <c r="E6133" s="36"/>
      <c r="F6133" s="36"/>
      <c r="G6133" s="36"/>
      <c r="H6133" s="36"/>
      <c r="I6133" s="37"/>
      <c r="J6133" s="36"/>
      <c r="K6133" s="38"/>
      <c r="L6133" s="38"/>
    </row>
    <row r="6134" spans="1:12" x14ac:dyDescent="0.25">
      <c r="A6134" s="35"/>
      <c r="B6134" s="36"/>
      <c r="C6134" s="36"/>
      <c r="D6134" s="36"/>
      <c r="E6134" s="36"/>
      <c r="F6134" s="36"/>
      <c r="G6134" s="36"/>
      <c r="H6134" s="36"/>
      <c r="I6134" s="37"/>
      <c r="J6134" s="36"/>
      <c r="K6134" s="38"/>
      <c r="L6134" s="38"/>
    </row>
    <row r="6135" spans="1:12" x14ac:dyDescent="0.25">
      <c r="A6135" s="35"/>
      <c r="B6135" s="36"/>
      <c r="C6135" s="36"/>
      <c r="D6135" s="36"/>
      <c r="E6135" s="36"/>
      <c r="F6135" s="36"/>
      <c r="G6135" s="36"/>
      <c r="H6135" s="36"/>
      <c r="I6135" s="37"/>
      <c r="J6135" s="36"/>
      <c r="K6135" s="38"/>
      <c r="L6135" s="38"/>
    </row>
    <row r="6136" spans="1:12" x14ac:dyDescent="0.25">
      <c r="A6136" s="35"/>
      <c r="B6136" s="36"/>
      <c r="C6136" s="36"/>
      <c r="D6136" s="36"/>
      <c r="E6136" s="36"/>
      <c r="F6136" s="36"/>
      <c r="G6136" s="36"/>
      <c r="H6136" s="36"/>
      <c r="I6136" s="37"/>
      <c r="J6136" s="36"/>
      <c r="K6136" s="38"/>
      <c r="L6136" s="38"/>
    </row>
    <row r="6137" spans="1:12" x14ac:dyDescent="0.25">
      <c r="A6137" s="35"/>
      <c r="B6137" s="36"/>
      <c r="C6137" s="36"/>
      <c r="D6137" s="36"/>
      <c r="E6137" s="36"/>
      <c r="F6137" s="36"/>
      <c r="G6137" s="36"/>
      <c r="H6137" s="36"/>
      <c r="I6137" s="37"/>
      <c r="J6137" s="36"/>
      <c r="K6137" s="38"/>
      <c r="L6137" s="38"/>
    </row>
    <row r="6138" spans="1:12" x14ac:dyDescent="0.25">
      <c r="A6138" s="35"/>
      <c r="B6138" s="36"/>
      <c r="C6138" s="36"/>
      <c r="D6138" s="36"/>
      <c r="E6138" s="36"/>
      <c r="F6138" s="36"/>
      <c r="G6138" s="36"/>
      <c r="H6138" s="36"/>
      <c r="I6138" s="37"/>
      <c r="J6138" s="36"/>
      <c r="K6138" s="38"/>
      <c r="L6138" s="38"/>
    </row>
    <row r="6139" spans="1:12" x14ac:dyDescent="0.25">
      <c r="A6139" s="35"/>
      <c r="B6139" s="36"/>
      <c r="C6139" s="36"/>
      <c r="D6139" s="36"/>
      <c r="E6139" s="36"/>
      <c r="F6139" s="36"/>
      <c r="G6139" s="36"/>
      <c r="H6139" s="36"/>
      <c r="I6139" s="37"/>
      <c r="J6139" s="36"/>
      <c r="K6139" s="38"/>
      <c r="L6139" s="38"/>
    </row>
    <row r="6140" spans="1:12" x14ac:dyDescent="0.25">
      <c r="A6140" s="35"/>
      <c r="B6140" s="36"/>
      <c r="C6140" s="36"/>
      <c r="D6140" s="36"/>
      <c r="E6140" s="36"/>
      <c r="F6140" s="36"/>
      <c r="G6140" s="36"/>
      <c r="H6140" s="36"/>
      <c r="I6140" s="37"/>
      <c r="J6140" s="36"/>
      <c r="K6140" s="38"/>
      <c r="L6140" s="38"/>
    </row>
    <row r="6141" spans="1:12" x14ac:dyDescent="0.25">
      <c r="A6141" s="35"/>
      <c r="B6141" s="36"/>
      <c r="C6141" s="36"/>
      <c r="D6141" s="36"/>
      <c r="E6141" s="36"/>
      <c r="F6141" s="36"/>
      <c r="G6141" s="36"/>
      <c r="H6141" s="36"/>
      <c r="I6141" s="37"/>
      <c r="J6141" s="36"/>
      <c r="K6141" s="38"/>
      <c r="L6141" s="38"/>
    </row>
    <row r="6142" spans="1:12" x14ac:dyDescent="0.25">
      <c r="A6142" s="35"/>
      <c r="B6142" s="36"/>
      <c r="C6142" s="36"/>
      <c r="D6142" s="36"/>
      <c r="E6142" s="36"/>
      <c r="F6142" s="36"/>
      <c r="G6142" s="36"/>
      <c r="H6142" s="36"/>
      <c r="I6142" s="37"/>
      <c r="J6142" s="36"/>
      <c r="K6142" s="38"/>
      <c r="L6142" s="38"/>
    </row>
    <row r="6143" spans="1:12" x14ac:dyDescent="0.25">
      <c r="A6143" s="35"/>
      <c r="B6143" s="36"/>
      <c r="C6143" s="36"/>
      <c r="D6143" s="36"/>
      <c r="E6143" s="36"/>
      <c r="F6143" s="36"/>
      <c r="G6143" s="36"/>
      <c r="H6143" s="36"/>
      <c r="I6143" s="37"/>
      <c r="J6143" s="36"/>
      <c r="K6143" s="38"/>
      <c r="L6143" s="38"/>
    </row>
    <row r="6144" spans="1:12" x14ac:dyDescent="0.25">
      <c r="A6144" s="35"/>
      <c r="B6144" s="36"/>
      <c r="C6144" s="36"/>
      <c r="D6144" s="36"/>
      <c r="E6144" s="36"/>
      <c r="F6144" s="36"/>
      <c r="G6144" s="36"/>
      <c r="H6144" s="36"/>
      <c r="I6144" s="37"/>
      <c r="J6144" s="36"/>
      <c r="K6144" s="38"/>
      <c r="L6144" s="38"/>
    </row>
    <row r="6145" spans="1:12" x14ac:dyDescent="0.25">
      <c r="A6145" s="35"/>
      <c r="B6145" s="36"/>
      <c r="C6145" s="36"/>
      <c r="D6145" s="36"/>
      <c r="E6145" s="36"/>
      <c r="F6145" s="36"/>
      <c r="G6145" s="36"/>
      <c r="H6145" s="36"/>
      <c r="I6145" s="37"/>
      <c r="J6145" s="36"/>
      <c r="K6145" s="38"/>
      <c r="L6145" s="38"/>
    </row>
    <row r="6146" spans="1:12" x14ac:dyDescent="0.25">
      <c r="A6146" s="35"/>
      <c r="B6146" s="36"/>
      <c r="C6146" s="36"/>
      <c r="D6146" s="36"/>
      <c r="E6146" s="36"/>
      <c r="F6146" s="36"/>
      <c r="G6146" s="36"/>
      <c r="H6146" s="36"/>
      <c r="I6146" s="37"/>
      <c r="J6146" s="36"/>
      <c r="K6146" s="38"/>
      <c r="L6146" s="38"/>
    </row>
    <row r="6147" spans="1:12" x14ac:dyDescent="0.25">
      <c r="A6147" s="35"/>
      <c r="B6147" s="36"/>
      <c r="C6147" s="36"/>
      <c r="D6147" s="36"/>
      <c r="E6147" s="36"/>
      <c r="F6147" s="36"/>
      <c r="G6147" s="36"/>
      <c r="H6147" s="36"/>
      <c r="I6147" s="37"/>
      <c r="J6147" s="36"/>
      <c r="K6147" s="38"/>
      <c r="L6147" s="38"/>
    </row>
    <row r="6148" spans="1:12" x14ac:dyDescent="0.25">
      <c r="A6148" s="35"/>
      <c r="B6148" s="36"/>
      <c r="C6148" s="36"/>
      <c r="D6148" s="36"/>
      <c r="E6148" s="36"/>
      <c r="F6148" s="36"/>
      <c r="G6148" s="36"/>
      <c r="H6148" s="36"/>
      <c r="I6148" s="37"/>
      <c r="J6148" s="36"/>
      <c r="K6148" s="38"/>
      <c r="L6148" s="38"/>
    </row>
    <row r="6149" spans="1:12" x14ac:dyDescent="0.25">
      <c r="A6149" s="35"/>
      <c r="B6149" s="36"/>
      <c r="C6149" s="36"/>
      <c r="D6149" s="36"/>
      <c r="E6149" s="36"/>
      <c r="F6149" s="36"/>
      <c r="G6149" s="36"/>
      <c r="H6149" s="36"/>
      <c r="I6149" s="37"/>
      <c r="J6149" s="36"/>
      <c r="K6149" s="38"/>
      <c r="L6149" s="38"/>
    </row>
    <row r="6150" spans="1:12" x14ac:dyDescent="0.25">
      <c r="A6150" s="35"/>
      <c r="B6150" s="36"/>
      <c r="C6150" s="36"/>
      <c r="D6150" s="36"/>
      <c r="E6150" s="36"/>
      <c r="F6150" s="36"/>
      <c r="G6150" s="36"/>
      <c r="H6150" s="36"/>
      <c r="I6150" s="37"/>
      <c r="J6150" s="36"/>
      <c r="K6150" s="38"/>
      <c r="L6150" s="38"/>
    </row>
    <row r="6151" spans="1:12" x14ac:dyDescent="0.25">
      <c r="A6151" s="35"/>
      <c r="B6151" s="36"/>
      <c r="C6151" s="36"/>
      <c r="D6151" s="36"/>
      <c r="E6151" s="36"/>
      <c r="F6151" s="36"/>
      <c r="G6151" s="36"/>
      <c r="H6151" s="36"/>
      <c r="I6151" s="37"/>
      <c r="J6151" s="36"/>
      <c r="K6151" s="38"/>
      <c r="L6151" s="38"/>
    </row>
    <row r="6152" spans="1:12" x14ac:dyDescent="0.25">
      <c r="A6152" s="35"/>
      <c r="B6152" s="36"/>
      <c r="C6152" s="36"/>
      <c r="D6152" s="36"/>
      <c r="E6152" s="36"/>
      <c r="F6152" s="36"/>
      <c r="G6152" s="36"/>
      <c r="H6152" s="36"/>
      <c r="I6152" s="37"/>
      <c r="J6152" s="36"/>
      <c r="K6152" s="38"/>
      <c r="L6152" s="38"/>
    </row>
    <row r="6153" spans="1:12" x14ac:dyDescent="0.25">
      <c r="A6153" s="35"/>
      <c r="B6153" s="36"/>
      <c r="C6153" s="36"/>
      <c r="D6153" s="36"/>
      <c r="E6153" s="36"/>
      <c r="F6153" s="36"/>
      <c r="G6153" s="36"/>
      <c r="H6153" s="36"/>
      <c r="I6153" s="37"/>
      <c r="J6153" s="36"/>
      <c r="K6153" s="38"/>
      <c r="L6153" s="38"/>
    </row>
    <row r="6154" spans="1:12" x14ac:dyDescent="0.25">
      <c r="A6154" s="35"/>
      <c r="B6154" s="36"/>
      <c r="C6154" s="36"/>
      <c r="D6154" s="36"/>
      <c r="E6154" s="36"/>
      <c r="F6154" s="36"/>
      <c r="G6154" s="36"/>
      <c r="H6154" s="36"/>
      <c r="I6154" s="37"/>
      <c r="J6154" s="36"/>
      <c r="K6154" s="38"/>
      <c r="L6154" s="38"/>
    </row>
    <row r="6155" spans="1:12" x14ac:dyDescent="0.25">
      <c r="A6155" s="35"/>
      <c r="B6155" s="36"/>
      <c r="C6155" s="36"/>
      <c r="D6155" s="36"/>
      <c r="E6155" s="36"/>
      <c r="F6155" s="36"/>
      <c r="G6155" s="36"/>
      <c r="H6155" s="36"/>
      <c r="I6155" s="37"/>
      <c r="J6155" s="36"/>
      <c r="K6155" s="38"/>
      <c r="L6155" s="38"/>
    </row>
    <row r="6156" spans="1:12" x14ac:dyDescent="0.25">
      <c r="A6156" s="35"/>
      <c r="B6156" s="36"/>
      <c r="C6156" s="36"/>
      <c r="D6156" s="36"/>
      <c r="E6156" s="36"/>
      <c r="F6156" s="36"/>
      <c r="G6156" s="36"/>
      <c r="H6156" s="36"/>
      <c r="I6156" s="37"/>
      <c r="J6156" s="36"/>
      <c r="K6156" s="38"/>
      <c r="L6156" s="38"/>
    </row>
    <row r="6157" spans="1:12" x14ac:dyDescent="0.25">
      <c r="A6157" s="35"/>
      <c r="B6157" s="36"/>
      <c r="C6157" s="36"/>
      <c r="D6157" s="36"/>
      <c r="E6157" s="36"/>
      <c r="F6157" s="36"/>
      <c r="G6157" s="36"/>
      <c r="H6157" s="36"/>
      <c r="I6157" s="37"/>
      <c r="J6157" s="36"/>
      <c r="K6157" s="38"/>
      <c r="L6157" s="38"/>
    </row>
    <row r="6158" spans="1:12" x14ac:dyDescent="0.25">
      <c r="A6158" s="35"/>
      <c r="B6158" s="36"/>
      <c r="C6158" s="36"/>
      <c r="D6158" s="36"/>
      <c r="E6158" s="36"/>
      <c r="F6158" s="36"/>
      <c r="G6158" s="36"/>
      <c r="H6158" s="36"/>
      <c r="I6158" s="37"/>
      <c r="J6158" s="36"/>
      <c r="K6158" s="38"/>
      <c r="L6158" s="38"/>
    </row>
    <row r="6159" spans="1:12" x14ac:dyDescent="0.25">
      <c r="A6159" s="35"/>
      <c r="B6159" s="36"/>
      <c r="C6159" s="36"/>
      <c r="D6159" s="36"/>
      <c r="E6159" s="36"/>
      <c r="F6159" s="36"/>
      <c r="G6159" s="36"/>
      <c r="H6159" s="36"/>
      <c r="I6159" s="37"/>
      <c r="J6159" s="36"/>
      <c r="K6159" s="38"/>
      <c r="L6159" s="38"/>
    </row>
    <row r="6160" spans="1:12" x14ac:dyDescent="0.25">
      <c r="A6160" s="35"/>
      <c r="B6160" s="36"/>
      <c r="C6160" s="36"/>
      <c r="D6160" s="36"/>
      <c r="E6160" s="36"/>
      <c r="F6160" s="36"/>
      <c r="G6160" s="36"/>
      <c r="H6160" s="36"/>
      <c r="I6160" s="37"/>
      <c r="J6160" s="36"/>
      <c r="K6160" s="38"/>
      <c r="L6160" s="38"/>
    </row>
    <row r="6161" spans="1:12" x14ac:dyDescent="0.25">
      <c r="A6161" s="35"/>
      <c r="B6161" s="36"/>
      <c r="C6161" s="36"/>
      <c r="D6161" s="36"/>
      <c r="E6161" s="36"/>
      <c r="F6161" s="36"/>
      <c r="G6161" s="36"/>
      <c r="H6161" s="36"/>
      <c r="I6161" s="37"/>
      <c r="J6161" s="36"/>
      <c r="K6161" s="38"/>
      <c r="L6161" s="38"/>
    </row>
    <row r="6162" spans="1:12" x14ac:dyDescent="0.25">
      <c r="A6162" s="35"/>
      <c r="B6162" s="36"/>
      <c r="C6162" s="36"/>
      <c r="D6162" s="36"/>
      <c r="E6162" s="36"/>
      <c r="F6162" s="36"/>
      <c r="G6162" s="36"/>
      <c r="H6162" s="36"/>
      <c r="I6162" s="37"/>
      <c r="J6162" s="36"/>
      <c r="K6162" s="38"/>
      <c r="L6162" s="38"/>
    </row>
    <row r="6163" spans="1:12" x14ac:dyDescent="0.25">
      <c r="A6163" s="35"/>
      <c r="B6163" s="36"/>
      <c r="C6163" s="36"/>
      <c r="D6163" s="36"/>
      <c r="E6163" s="36"/>
      <c r="F6163" s="36"/>
      <c r="G6163" s="36"/>
      <c r="H6163" s="36"/>
      <c r="I6163" s="37"/>
      <c r="J6163" s="36"/>
      <c r="K6163" s="38"/>
      <c r="L6163" s="38"/>
    </row>
    <row r="6164" spans="1:12" x14ac:dyDescent="0.25">
      <c r="A6164" s="35"/>
      <c r="B6164" s="36"/>
      <c r="C6164" s="36"/>
      <c r="D6164" s="36"/>
      <c r="E6164" s="36"/>
      <c r="F6164" s="36"/>
      <c r="G6164" s="36"/>
      <c r="H6164" s="36"/>
      <c r="I6164" s="37"/>
      <c r="J6164" s="36"/>
      <c r="K6164" s="38"/>
      <c r="L6164" s="38"/>
    </row>
    <row r="6165" spans="1:12" x14ac:dyDescent="0.25">
      <c r="A6165" s="35"/>
      <c r="B6165" s="36"/>
      <c r="C6165" s="36"/>
      <c r="D6165" s="36"/>
      <c r="E6165" s="36"/>
      <c r="F6165" s="36"/>
      <c r="G6165" s="36"/>
      <c r="H6165" s="36"/>
      <c r="I6165" s="37"/>
      <c r="J6165" s="36"/>
      <c r="K6165" s="38"/>
      <c r="L6165" s="38"/>
    </row>
    <row r="6166" spans="1:12" x14ac:dyDescent="0.25">
      <c r="A6166" s="35"/>
      <c r="B6166" s="36"/>
      <c r="C6166" s="36"/>
      <c r="D6166" s="36"/>
      <c r="E6166" s="36"/>
      <c r="F6166" s="36"/>
      <c r="G6166" s="36"/>
      <c r="H6166" s="36"/>
      <c r="I6166" s="37"/>
      <c r="J6166" s="36"/>
      <c r="K6166" s="38"/>
      <c r="L6166" s="38"/>
    </row>
    <row r="6167" spans="1:12" x14ac:dyDescent="0.25">
      <c r="A6167" s="35"/>
      <c r="B6167" s="36"/>
      <c r="C6167" s="36"/>
      <c r="D6167" s="36"/>
      <c r="E6167" s="36"/>
      <c r="F6167" s="36"/>
      <c r="G6167" s="36"/>
      <c r="H6167" s="36"/>
      <c r="I6167" s="37"/>
      <c r="J6167" s="36"/>
      <c r="K6167" s="38"/>
      <c r="L6167" s="38"/>
    </row>
    <row r="6168" spans="1:12" x14ac:dyDescent="0.25">
      <c r="A6168" s="35"/>
      <c r="B6168" s="36"/>
      <c r="C6168" s="36"/>
      <c r="D6168" s="36"/>
      <c r="E6168" s="36"/>
      <c r="F6168" s="36"/>
      <c r="G6168" s="36"/>
      <c r="H6168" s="36"/>
      <c r="I6168" s="37"/>
      <c r="J6168" s="36"/>
      <c r="K6168" s="38"/>
      <c r="L6168" s="38"/>
    </row>
    <row r="6169" spans="1:12" x14ac:dyDescent="0.25">
      <c r="A6169" s="35"/>
      <c r="B6169" s="36"/>
      <c r="C6169" s="36"/>
      <c r="D6169" s="36"/>
      <c r="E6169" s="36"/>
      <c r="F6169" s="36"/>
      <c r="G6169" s="36"/>
      <c r="H6169" s="36"/>
      <c r="I6169" s="37"/>
      <c r="J6169" s="36"/>
      <c r="K6169" s="38"/>
      <c r="L6169" s="38"/>
    </row>
    <row r="6170" spans="1:12" x14ac:dyDescent="0.25">
      <c r="A6170" s="35"/>
      <c r="B6170" s="36"/>
      <c r="C6170" s="36"/>
      <c r="D6170" s="36"/>
      <c r="E6170" s="36"/>
      <c r="F6170" s="36"/>
      <c r="G6170" s="36"/>
      <c r="H6170" s="36"/>
      <c r="I6170" s="37"/>
      <c r="J6170" s="36"/>
      <c r="K6170" s="38"/>
      <c r="L6170" s="38"/>
    </row>
    <row r="6171" spans="1:12" x14ac:dyDescent="0.25">
      <c r="A6171" s="35"/>
      <c r="B6171" s="36"/>
      <c r="C6171" s="36"/>
      <c r="D6171" s="36"/>
      <c r="E6171" s="36"/>
      <c r="F6171" s="36"/>
      <c r="G6171" s="36"/>
      <c r="H6171" s="36"/>
      <c r="I6171" s="37"/>
      <c r="J6171" s="36"/>
      <c r="K6171" s="38"/>
      <c r="L6171" s="38"/>
    </row>
    <row r="6172" spans="1:12" x14ac:dyDescent="0.25">
      <c r="A6172" s="35"/>
      <c r="B6172" s="36"/>
      <c r="C6172" s="36"/>
      <c r="D6172" s="36"/>
      <c r="E6172" s="36"/>
      <c r="F6172" s="36"/>
      <c r="G6172" s="36"/>
      <c r="H6172" s="36"/>
      <c r="I6172" s="37"/>
      <c r="J6172" s="36"/>
      <c r="K6172" s="38"/>
      <c r="L6172" s="38"/>
    </row>
    <row r="6173" spans="1:12" x14ac:dyDescent="0.25">
      <c r="A6173" s="35"/>
      <c r="B6173" s="36"/>
      <c r="C6173" s="36"/>
      <c r="D6173" s="36"/>
      <c r="E6173" s="36"/>
      <c r="F6173" s="36"/>
      <c r="G6173" s="36"/>
      <c r="H6173" s="36"/>
      <c r="I6173" s="37"/>
      <c r="J6173" s="36"/>
      <c r="K6173" s="38"/>
      <c r="L6173" s="38"/>
    </row>
    <row r="6174" spans="1:12" x14ac:dyDescent="0.25">
      <c r="A6174" s="35"/>
      <c r="B6174" s="36"/>
      <c r="C6174" s="36"/>
      <c r="D6174" s="36"/>
      <c r="E6174" s="36"/>
      <c r="F6174" s="36"/>
      <c r="G6174" s="36"/>
      <c r="H6174" s="36"/>
      <c r="I6174" s="37"/>
      <c r="J6174" s="36"/>
      <c r="K6174" s="38"/>
      <c r="L6174" s="38"/>
    </row>
    <row r="6175" spans="1:12" x14ac:dyDescent="0.25">
      <c r="A6175" s="35"/>
      <c r="B6175" s="36"/>
      <c r="C6175" s="36"/>
      <c r="D6175" s="36"/>
      <c r="E6175" s="36"/>
      <c r="F6175" s="36"/>
      <c r="G6175" s="36"/>
      <c r="H6175" s="36"/>
      <c r="I6175" s="37"/>
      <c r="J6175" s="36"/>
      <c r="K6175" s="38"/>
      <c r="L6175" s="38"/>
    </row>
    <row r="6176" spans="1:12" x14ac:dyDescent="0.25">
      <c r="A6176" s="35"/>
      <c r="B6176" s="36"/>
      <c r="C6176" s="36"/>
      <c r="D6176" s="36"/>
      <c r="E6176" s="36"/>
      <c r="F6176" s="36"/>
      <c r="G6176" s="36"/>
      <c r="H6176" s="36"/>
      <c r="I6176" s="37"/>
      <c r="J6176" s="36"/>
      <c r="K6176" s="38"/>
      <c r="L6176" s="38"/>
    </row>
    <row r="6177" spans="1:12" x14ac:dyDescent="0.25">
      <c r="A6177" s="35"/>
      <c r="B6177" s="36"/>
      <c r="C6177" s="36"/>
      <c r="D6177" s="36"/>
      <c r="E6177" s="36"/>
      <c r="F6177" s="36"/>
      <c r="G6177" s="36"/>
      <c r="H6177" s="36"/>
      <c r="I6177" s="37"/>
      <c r="J6177" s="36"/>
      <c r="K6177" s="38"/>
      <c r="L6177" s="38"/>
    </row>
    <row r="6178" spans="1:12" x14ac:dyDescent="0.25">
      <c r="A6178" s="35"/>
      <c r="B6178" s="36"/>
      <c r="C6178" s="36"/>
      <c r="D6178" s="36"/>
      <c r="E6178" s="36"/>
      <c r="F6178" s="36"/>
      <c r="G6178" s="36"/>
      <c r="H6178" s="36"/>
      <c r="I6178" s="37"/>
      <c r="J6178" s="36"/>
      <c r="K6178" s="38"/>
      <c r="L6178" s="38"/>
    </row>
    <row r="6179" spans="1:12" x14ac:dyDescent="0.25">
      <c r="A6179" s="35"/>
      <c r="B6179" s="36"/>
      <c r="C6179" s="36"/>
      <c r="D6179" s="36"/>
      <c r="E6179" s="36"/>
      <c r="F6179" s="36"/>
      <c r="G6179" s="36"/>
      <c r="H6179" s="36"/>
      <c r="I6179" s="37"/>
      <c r="J6179" s="36"/>
      <c r="K6179" s="38"/>
      <c r="L6179" s="38"/>
    </row>
    <row r="6180" spans="1:12" x14ac:dyDescent="0.25">
      <c r="A6180" s="35"/>
      <c r="B6180" s="36"/>
      <c r="C6180" s="36"/>
      <c r="D6180" s="36"/>
      <c r="E6180" s="36"/>
      <c r="F6180" s="36"/>
      <c r="G6180" s="36"/>
      <c r="H6180" s="36"/>
      <c r="I6180" s="37"/>
      <c r="J6180" s="36"/>
      <c r="K6180" s="38"/>
      <c r="L6180" s="38"/>
    </row>
    <row r="6181" spans="1:12" x14ac:dyDescent="0.25">
      <c r="A6181" s="35"/>
      <c r="B6181" s="36"/>
      <c r="C6181" s="36"/>
      <c r="D6181" s="36"/>
      <c r="E6181" s="36"/>
      <c r="F6181" s="36"/>
      <c r="G6181" s="36"/>
      <c r="H6181" s="36"/>
      <c r="I6181" s="37"/>
      <c r="J6181" s="36"/>
      <c r="K6181" s="38"/>
      <c r="L6181" s="38"/>
    </row>
    <row r="6182" spans="1:12" x14ac:dyDescent="0.25">
      <c r="A6182" s="35"/>
      <c r="B6182" s="36"/>
      <c r="C6182" s="36"/>
      <c r="D6182" s="36"/>
      <c r="E6182" s="36"/>
      <c r="F6182" s="36"/>
      <c r="G6182" s="36"/>
      <c r="H6182" s="36"/>
      <c r="I6182" s="37"/>
      <c r="J6182" s="36"/>
      <c r="K6182" s="38"/>
      <c r="L6182" s="38"/>
    </row>
    <row r="6183" spans="1:12" x14ac:dyDescent="0.25">
      <c r="A6183" s="35"/>
      <c r="B6183" s="36"/>
      <c r="C6183" s="36"/>
      <c r="D6183" s="36"/>
      <c r="E6183" s="36"/>
      <c r="F6183" s="36"/>
      <c r="G6183" s="36"/>
      <c r="H6183" s="36"/>
      <c r="I6183" s="37"/>
      <c r="J6183" s="36"/>
      <c r="K6183" s="38"/>
      <c r="L6183" s="38"/>
    </row>
    <row r="6184" spans="1:12" x14ac:dyDescent="0.25">
      <c r="A6184" s="35"/>
      <c r="B6184" s="36"/>
      <c r="C6184" s="36"/>
      <c r="D6184" s="36"/>
      <c r="E6184" s="36"/>
      <c r="F6184" s="36"/>
      <c r="G6184" s="36"/>
      <c r="H6184" s="36"/>
      <c r="I6184" s="37"/>
      <c r="J6184" s="36"/>
      <c r="K6184" s="38"/>
      <c r="L6184" s="38"/>
    </row>
    <row r="6185" spans="1:12" x14ac:dyDescent="0.25">
      <c r="A6185" s="35"/>
      <c r="B6185" s="36"/>
      <c r="C6185" s="36"/>
      <c r="D6185" s="36"/>
      <c r="E6185" s="36"/>
      <c r="F6185" s="36"/>
      <c r="G6185" s="36"/>
      <c r="H6185" s="36"/>
      <c r="I6185" s="37"/>
      <c r="J6185" s="36"/>
      <c r="K6185" s="38"/>
      <c r="L6185" s="38"/>
    </row>
    <row r="6186" spans="1:12" x14ac:dyDescent="0.25">
      <c r="A6186" s="35"/>
      <c r="B6186" s="36"/>
      <c r="C6186" s="36"/>
      <c r="D6186" s="36"/>
      <c r="E6186" s="36"/>
      <c r="F6186" s="36"/>
      <c r="G6186" s="36"/>
      <c r="H6186" s="36"/>
      <c r="I6186" s="37"/>
      <c r="J6186" s="36"/>
      <c r="K6186" s="38"/>
      <c r="L6186" s="38"/>
    </row>
    <row r="6187" spans="1:12" x14ac:dyDescent="0.25">
      <c r="A6187" s="35"/>
      <c r="B6187" s="36"/>
      <c r="C6187" s="36"/>
      <c r="D6187" s="36"/>
      <c r="E6187" s="36"/>
      <c r="F6187" s="36"/>
      <c r="G6187" s="36"/>
      <c r="H6187" s="36"/>
      <c r="I6187" s="37"/>
      <c r="J6187" s="36"/>
      <c r="K6187" s="38"/>
      <c r="L6187" s="38"/>
    </row>
    <row r="6188" spans="1:12" x14ac:dyDescent="0.25">
      <c r="A6188" s="35"/>
      <c r="B6188" s="36"/>
      <c r="C6188" s="36"/>
      <c r="D6188" s="36"/>
      <c r="E6188" s="36"/>
      <c r="F6188" s="36"/>
      <c r="G6188" s="36"/>
      <c r="H6188" s="36"/>
      <c r="I6188" s="37"/>
      <c r="J6188" s="36"/>
      <c r="K6188" s="38"/>
      <c r="L6188" s="38"/>
    </row>
    <row r="6189" spans="1:12" x14ac:dyDescent="0.25">
      <c r="A6189" s="35"/>
      <c r="B6189" s="36"/>
      <c r="C6189" s="36"/>
      <c r="D6189" s="36"/>
      <c r="E6189" s="36"/>
      <c r="F6189" s="36"/>
      <c r="G6189" s="36"/>
      <c r="H6189" s="36"/>
      <c r="I6189" s="37"/>
      <c r="J6189" s="36"/>
      <c r="K6189" s="38"/>
      <c r="L6189" s="38"/>
    </row>
    <row r="6190" spans="1:12" x14ac:dyDescent="0.25">
      <c r="A6190" s="35"/>
      <c r="B6190" s="36"/>
      <c r="C6190" s="36"/>
      <c r="D6190" s="36"/>
      <c r="E6190" s="36"/>
      <c r="F6190" s="36"/>
      <c r="G6190" s="36"/>
      <c r="H6190" s="36"/>
      <c r="I6190" s="37"/>
      <c r="J6190" s="36"/>
      <c r="K6190" s="38"/>
      <c r="L6190" s="38"/>
    </row>
    <row r="6191" spans="1:12" x14ac:dyDescent="0.25">
      <c r="A6191" s="35"/>
      <c r="B6191" s="36"/>
      <c r="C6191" s="36"/>
      <c r="D6191" s="36"/>
      <c r="E6191" s="36"/>
      <c r="F6191" s="36"/>
      <c r="G6191" s="36"/>
      <c r="H6191" s="36"/>
      <c r="I6191" s="37"/>
      <c r="J6191" s="36"/>
      <c r="K6191" s="38"/>
      <c r="L6191" s="38"/>
    </row>
    <row r="6192" spans="1:12" x14ac:dyDescent="0.25">
      <c r="A6192" s="35"/>
      <c r="B6192" s="36"/>
      <c r="C6192" s="36"/>
      <c r="D6192" s="36"/>
      <c r="E6192" s="36"/>
      <c r="F6192" s="36"/>
      <c r="G6192" s="36"/>
      <c r="H6192" s="36"/>
      <c r="I6192" s="37"/>
      <c r="J6192" s="36"/>
      <c r="K6192" s="38"/>
      <c r="L6192" s="38"/>
    </row>
    <row r="6193" spans="1:12" x14ac:dyDescent="0.25">
      <c r="A6193" s="35"/>
      <c r="B6193" s="36"/>
      <c r="C6193" s="36"/>
      <c r="D6193" s="36"/>
      <c r="E6193" s="36"/>
      <c r="F6193" s="36"/>
      <c r="G6193" s="36"/>
      <c r="H6193" s="36"/>
      <c r="I6193" s="37"/>
      <c r="J6193" s="36"/>
      <c r="K6193" s="38"/>
      <c r="L6193" s="38"/>
    </row>
    <row r="6194" spans="1:12" x14ac:dyDescent="0.25">
      <c r="A6194" s="35"/>
      <c r="B6194" s="36"/>
      <c r="C6194" s="36"/>
      <c r="D6194" s="36"/>
      <c r="E6194" s="36"/>
      <c r="F6194" s="36"/>
      <c r="G6194" s="36"/>
      <c r="H6194" s="36"/>
      <c r="I6194" s="37"/>
      <c r="J6194" s="36"/>
      <c r="K6194" s="38"/>
      <c r="L6194" s="38"/>
    </row>
    <row r="6195" spans="1:12" x14ac:dyDescent="0.25">
      <c r="A6195" s="35"/>
      <c r="B6195" s="36"/>
      <c r="C6195" s="36"/>
      <c r="D6195" s="36"/>
      <c r="E6195" s="36"/>
      <c r="F6195" s="36"/>
      <c r="G6195" s="36"/>
      <c r="H6195" s="36"/>
      <c r="I6195" s="37"/>
      <c r="J6195" s="36"/>
      <c r="K6195" s="38"/>
      <c r="L6195" s="38"/>
    </row>
    <row r="6196" spans="1:12" x14ac:dyDescent="0.25">
      <c r="A6196" s="35"/>
      <c r="B6196" s="36"/>
      <c r="C6196" s="36"/>
      <c r="D6196" s="36"/>
      <c r="E6196" s="36"/>
      <c r="F6196" s="36"/>
      <c r="G6196" s="36"/>
      <c r="H6196" s="36"/>
      <c r="I6196" s="37"/>
      <c r="J6196" s="36"/>
      <c r="K6196" s="38"/>
      <c r="L6196" s="38"/>
    </row>
    <row r="6197" spans="1:12" x14ac:dyDescent="0.25">
      <c r="A6197" s="35"/>
      <c r="B6197" s="36"/>
      <c r="C6197" s="36"/>
      <c r="D6197" s="36"/>
      <c r="E6197" s="36"/>
      <c r="F6197" s="36"/>
      <c r="G6197" s="36"/>
      <c r="H6197" s="36"/>
      <c r="I6197" s="37"/>
      <c r="J6197" s="36"/>
      <c r="K6197" s="38"/>
      <c r="L6197" s="38"/>
    </row>
    <row r="6198" spans="1:12" x14ac:dyDescent="0.25">
      <c r="A6198" s="35"/>
      <c r="B6198" s="36"/>
      <c r="C6198" s="36"/>
      <c r="D6198" s="36"/>
      <c r="E6198" s="36"/>
      <c r="F6198" s="36"/>
      <c r="G6198" s="36"/>
      <c r="H6198" s="36"/>
      <c r="I6198" s="37"/>
      <c r="J6198" s="36"/>
      <c r="K6198" s="38"/>
      <c r="L6198" s="38"/>
    </row>
    <row r="6199" spans="1:12" x14ac:dyDescent="0.25">
      <c r="A6199" s="35"/>
      <c r="B6199" s="36"/>
      <c r="C6199" s="36"/>
      <c r="D6199" s="36"/>
      <c r="E6199" s="36"/>
      <c r="F6199" s="36"/>
      <c r="G6199" s="36"/>
      <c r="H6199" s="36"/>
      <c r="I6199" s="37"/>
      <c r="J6199" s="36"/>
      <c r="K6199" s="38"/>
      <c r="L6199" s="38"/>
    </row>
    <row r="6200" spans="1:12" x14ac:dyDescent="0.25">
      <c r="A6200" s="35"/>
      <c r="B6200" s="36"/>
      <c r="C6200" s="36"/>
      <c r="D6200" s="36"/>
      <c r="E6200" s="36"/>
      <c r="F6200" s="36"/>
      <c r="G6200" s="36"/>
      <c r="H6200" s="36"/>
      <c r="I6200" s="37"/>
      <c r="J6200" s="36"/>
      <c r="K6200" s="38"/>
      <c r="L6200" s="38"/>
    </row>
    <row r="6201" spans="1:12" x14ac:dyDescent="0.25">
      <c r="A6201" s="35"/>
      <c r="B6201" s="36"/>
      <c r="C6201" s="36"/>
      <c r="D6201" s="36"/>
      <c r="E6201" s="36"/>
      <c r="F6201" s="36"/>
      <c r="G6201" s="36"/>
      <c r="H6201" s="36"/>
      <c r="I6201" s="37"/>
      <c r="J6201" s="36"/>
      <c r="K6201" s="38"/>
      <c r="L6201" s="38"/>
    </row>
    <row r="6202" spans="1:12" x14ac:dyDescent="0.25">
      <c r="A6202" s="35"/>
      <c r="B6202" s="36"/>
      <c r="C6202" s="36"/>
      <c r="D6202" s="36"/>
      <c r="E6202" s="36"/>
      <c r="F6202" s="36"/>
      <c r="G6202" s="36"/>
      <c r="H6202" s="36"/>
      <c r="I6202" s="37"/>
      <c r="J6202" s="36"/>
      <c r="K6202" s="38"/>
      <c r="L6202" s="38"/>
    </row>
    <row r="6203" spans="1:12" x14ac:dyDescent="0.25">
      <c r="A6203" s="35"/>
      <c r="B6203" s="36"/>
      <c r="C6203" s="36"/>
      <c r="D6203" s="36"/>
      <c r="E6203" s="36"/>
      <c r="F6203" s="36"/>
      <c r="G6203" s="36"/>
      <c r="H6203" s="36"/>
      <c r="I6203" s="37"/>
      <c r="J6203" s="36"/>
      <c r="K6203" s="38"/>
      <c r="L6203" s="38"/>
    </row>
    <row r="6204" spans="1:12" x14ac:dyDescent="0.25">
      <c r="A6204" s="35"/>
      <c r="B6204" s="36"/>
      <c r="C6204" s="36"/>
      <c r="D6204" s="36"/>
      <c r="E6204" s="36"/>
      <c r="F6204" s="36"/>
      <c r="G6204" s="36"/>
      <c r="H6204" s="36"/>
      <c r="I6204" s="37"/>
      <c r="J6204" s="36"/>
      <c r="K6204" s="38"/>
      <c r="L6204" s="38"/>
    </row>
    <row r="6205" spans="1:12" x14ac:dyDescent="0.25">
      <c r="A6205" s="35"/>
      <c r="B6205" s="36"/>
      <c r="C6205" s="36"/>
      <c r="D6205" s="36"/>
      <c r="E6205" s="36"/>
      <c r="F6205" s="36"/>
      <c r="G6205" s="36"/>
      <c r="H6205" s="36"/>
      <c r="I6205" s="37"/>
      <c r="J6205" s="36"/>
      <c r="K6205" s="38"/>
      <c r="L6205" s="38"/>
    </row>
    <row r="6206" spans="1:12" x14ac:dyDescent="0.25">
      <c r="A6206" s="35"/>
      <c r="B6206" s="36"/>
      <c r="C6206" s="36"/>
      <c r="D6206" s="36"/>
      <c r="E6206" s="36"/>
      <c r="F6206" s="36"/>
      <c r="G6206" s="36"/>
      <c r="H6206" s="36"/>
      <c r="I6206" s="37"/>
      <c r="J6206" s="36"/>
      <c r="K6206" s="38"/>
      <c r="L6206" s="38"/>
    </row>
    <row r="6207" spans="1:12" x14ac:dyDescent="0.25">
      <c r="A6207" s="35"/>
      <c r="B6207" s="36"/>
      <c r="C6207" s="36"/>
      <c r="D6207" s="36"/>
      <c r="E6207" s="36"/>
      <c r="F6207" s="36"/>
      <c r="G6207" s="36"/>
      <c r="H6207" s="36"/>
      <c r="I6207" s="37"/>
      <c r="J6207" s="36"/>
      <c r="K6207" s="38"/>
      <c r="L6207" s="38"/>
    </row>
    <row r="6208" spans="1:12" x14ac:dyDescent="0.25">
      <c r="A6208" s="35"/>
      <c r="B6208" s="36"/>
      <c r="C6208" s="36"/>
      <c r="D6208" s="36"/>
      <c r="E6208" s="36"/>
      <c r="F6208" s="36"/>
      <c r="G6208" s="36"/>
      <c r="H6208" s="36"/>
      <c r="I6208" s="37"/>
      <c r="J6208" s="36"/>
      <c r="K6208" s="38"/>
      <c r="L6208" s="38"/>
    </row>
    <row r="6209" spans="1:12" x14ac:dyDescent="0.25">
      <c r="A6209" s="35"/>
      <c r="B6209" s="36"/>
      <c r="C6209" s="36"/>
      <c r="D6209" s="36"/>
      <c r="E6209" s="36"/>
      <c r="F6209" s="36"/>
      <c r="G6209" s="36"/>
      <c r="H6209" s="36"/>
      <c r="I6209" s="37"/>
      <c r="J6209" s="36"/>
      <c r="K6209" s="38"/>
      <c r="L6209" s="38"/>
    </row>
    <row r="6210" spans="1:12" x14ac:dyDescent="0.25">
      <c r="A6210" s="35"/>
      <c r="B6210" s="36"/>
      <c r="C6210" s="36"/>
      <c r="D6210" s="36"/>
      <c r="E6210" s="36"/>
      <c r="F6210" s="36"/>
      <c r="G6210" s="36"/>
      <c r="H6210" s="36"/>
      <c r="I6210" s="37"/>
      <c r="J6210" s="36"/>
      <c r="K6210" s="38"/>
      <c r="L6210" s="38"/>
    </row>
    <row r="6211" spans="1:12" x14ac:dyDescent="0.25">
      <c r="A6211" s="35"/>
      <c r="B6211" s="36"/>
      <c r="C6211" s="36"/>
      <c r="D6211" s="36"/>
      <c r="E6211" s="36"/>
      <c r="F6211" s="36"/>
      <c r="G6211" s="36"/>
      <c r="H6211" s="36"/>
      <c r="I6211" s="37"/>
      <c r="J6211" s="36"/>
      <c r="K6211" s="38"/>
      <c r="L6211" s="38"/>
    </row>
    <row r="6212" spans="1:12" x14ac:dyDescent="0.25">
      <c r="A6212" s="35"/>
      <c r="B6212" s="36"/>
      <c r="C6212" s="36"/>
      <c r="D6212" s="36"/>
      <c r="E6212" s="36"/>
      <c r="F6212" s="36"/>
      <c r="G6212" s="36"/>
      <c r="H6212" s="36"/>
      <c r="I6212" s="37"/>
      <c r="J6212" s="36"/>
      <c r="K6212" s="38"/>
      <c r="L6212" s="38"/>
    </row>
    <row r="6213" spans="1:12" x14ac:dyDescent="0.25">
      <c r="A6213" s="35"/>
      <c r="B6213" s="36"/>
      <c r="C6213" s="36"/>
      <c r="D6213" s="36"/>
      <c r="E6213" s="36"/>
      <c r="F6213" s="36"/>
      <c r="G6213" s="36"/>
      <c r="H6213" s="36"/>
      <c r="I6213" s="37"/>
      <c r="J6213" s="36"/>
      <c r="K6213" s="38"/>
      <c r="L6213" s="38"/>
    </row>
    <row r="6214" spans="1:12" x14ac:dyDescent="0.25">
      <c r="A6214" s="35"/>
      <c r="B6214" s="36"/>
      <c r="C6214" s="36"/>
      <c r="D6214" s="36"/>
      <c r="E6214" s="36"/>
      <c r="F6214" s="36"/>
      <c r="G6214" s="36"/>
      <c r="H6214" s="36"/>
      <c r="I6214" s="37"/>
      <c r="J6214" s="36"/>
      <c r="K6214" s="38"/>
      <c r="L6214" s="38"/>
    </row>
    <row r="6215" spans="1:12" x14ac:dyDescent="0.25">
      <c r="A6215" s="35"/>
      <c r="B6215" s="36"/>
      <c r="C6215" s="36"/>
      <c r="D6215" s="36"/>
      <c r="E6215" s="36"/>
      <c r="F6215" s="36"/>
      <c r="G6215" s="36"/>
      <c r="H6215" s="36"/>
      <c r="I6215" s="37"/>
      <c r="J6215" s="36"/>
      <c r="K6215" s="38"/>
      <c r="L6215" s="38"/>
    </row>
    <row r="6216" spans="1:12" x14ac:dyDescent="0.25">
      <c r="A6216" s="35"/>
      <c r="B6216" s="36"/>
      <c r="C6216" s="36"/>
      <c r="D6216" s="36"/>
      <c r="E6216" s="36"/>
      <c r="F6216" s="36"/>
      <c r="G6216" s="36"/>
      <c r="H6216" s="36"/>
      <c r="I6216" s="37"/>
      <c r="J6216" s="36"/>
      <c r="K6216" s="38"/>
      <c r="L6216" s="38"/>
    </row>
    <row r="6217" spans="1:12" x14ac:dyDescent="0.25">
      <c r="A6217" s="35"/>
      <c r="B6217" s="36"/>
      <c r="C6217" s="36"/>
      <c r="D6217" s="36"/>
      <c r="E6217" s="36"/>
      <c r="F6217" s="36"/>
      <c r="G6217" s="36"/>
      <c r="H6217" s="36"/>
      <c r="I6217" s="37"/>
      <c r="J6217" s="36"/>
      <c r="K6217" s="38"/>
      <c r="L6217" s="38"/>
    </row>
    <row r="6218" spans="1:12" x14ac:dyDescent="0.25">
      <c r="A6218" s="35"/>
      <c r="B6218" s="36"/>
      <c r="C6218" s="36"/>
      <c r="D6218" s="36"/>
      <c r="E6218" s="36"/>
      <c r="F6218" s="36"/>
      <c r="G6218" s="36"/>
      <c r="H6218" s="36"/>
      <c r="I6218" s="37"/>
      <c r="J6218" s="36"/>
      <c r="K6218" s="38"/>
      <c r="L6218" s="38"/>
    </row>
    <row r="6219" spans="1:12" x14ac:dyDescent="0.25">
      <c r="A6219" s="35"/>
      <c r="B6219" s="36"/>
      <c r="C6219" s="36"/>
      <c r="D6219" s="36"/>
      <c r="E6219" s="36"/>
      <c r="F6219" s="36"/>
      <c r="G6219" s="36"/>
      <c r="H6219" s="36"/>
      <c r="I6219" s="37"/>
      <c r="J6219" s="36"/>
      <c r="K6219" s="38"/>
      <c r="L6219" s="38"/>
    </row>
    <row r="6220" spans="1:12" x14ac:dyDescent="0.25">
      <c r="A6220" s="35"/>
      <c r="B6220" s="36"/>
      <c r="C6220" s="36"/>
      <c r="D6220" s="36"/>
      <c r="E6220" s="36"/>
      <c r="F6220" s="36"/>
      <c r="G6220" s="36"/>
      <c r="H6220" s="36"/>
      <c r="I6220" s="37"/>
      <c r="J6220" s="36"/>
      <c r="K6220" s="38"/>
      <c r="L6220" s="38"/>
    </row>
    <row r="6221" spans="1:12" x14ac:dyDescent="0.25">
      <c r="A6221" s="35"/>
      <c r="B6221" s="36"/>
      <c r="C6221" s="36"/>
      <c r="D6221" s="36"/>
      <c r="E6221" s="36"/>
      <c r="F6221" s="36"/>
      <c r="G6221" s="36"/>
      <c r="H6221" s="36"/>
      <c r="I6221" s="37"/>
      <c r="J6221" s="36"/>
      <c r="K6221" s="38"/>
      <c r="L6221" s="38"/>
    </row>
    <row r="6222" spans="1:12" x14ac:dyDescent="0.25">
      <c r="A6222" s="35"/>
      <c r="B6222" s="36"/>
      <c r="C6222" s="36"/>
      <c r="D6222" s="36"/>
      <c r="E6222" s="36"/>
      <c r="F6222" s="36"/>
      <c r="G6222" s="36"/>
      <c r="H6222" s="36"/>
      <c r="I6222" s="37"/>
      <c r="J6222" s="36"/>
      <c r="K6222" s="38"/>
      <c r="L6222" s="38"/>
    </row>
    <row r="6223" spans="1:12" x14ac:dyDescent="0.25">
      <c r="A6223" s="35"/>
      <c r="B6223" s="36"/>
      <c r="C6223" s="36"/>
      <c r="D6223" s="36"/>
      <c r="E6223" s="36"/>
      <c r="F6223" s="36"/>
      <c r="G6223" s="36"/>
      <c r="H6223" s="36"/>
      <c r="I6223" s="37"/>
      <c r="J6223" s="36"/>
      <c r="K6223" s="38"/>
      <c r="L6223" s="38"/>
    </row>
    <row r="6224" spans="1:12" x14ac:dyDescent="0.25">
      <c r="A6224" s="35"/>
      <c r="B6224" s="36"/>
      <c r="C6224" s="36"/>
      <c r="D6224" s="36"/>
      <c r="E6224" s="36"/>
      <c r="F6224" s="36"/>
      <c r="G6224" s="36"/>
      <c r="H6224" s="36"/>
      <c r="I6224" s="37"/>
      <c r="J6224" s="36"/>
      <c r="K6224" s="38"/>
      <c r="L6224" s="38"/>
    </row>
    <row r="6225" spans="1:12" x14ac:dyDescent="0.25">
      <c r="A6225" s="35"/>
      <c r="B6225" s="36"/>
      <c r="C6225" s="36"/>
      <c r="D6225" s="36"/>
      <c r="E6225" s="36"/>
      <c r="F6225" s="36"/>
      <c r="G6225" s="36"/>
      <c r="H6225" s="36"/>
      <c r="I6225" s="37"/>
      <c r="J6225" s="36"/>
      <c r="K6225" s="38"/>
      <c r="L6225" s="38"/>
    </row>
    <row r="6226" spans="1:12" x14ac:dyDescent="0.25">
      <c r="A6226" s="35"/>
      <c r="B6226" s="36"/>
      <c r="C6226" s="36"/>
      <c r="D6226" s="36"/>
      <c r="E6226" s="36"/>
      <c r="F6226" s="36"/>
      <c r="G6226" s="36"/>
      <c r="H6226" s="36"/>
      <c r="I6226" s="37"/>
      <c r="J6226" s="36"/>
      <c r="K6226" s="38"/>
      <c r="L6226" s="38"/>
    </row>
    <row r="6227" spans="1:12" x14ac:dyDescent="0.25">
      <c r="A6227" s="35"/>
      <c r="B6227" s="36"/>
      <c r="C6227" s="36"/>
      <c r="D6227" s="36"/>
      <c r="E6227" s="36"/>
      <c r="F6227" s="36"/>
      <c r="G6227" s="36"/>
      <c r="H6227" s="36"/>
      <c r="I6227" s="37"/>
      <c r="J6227" s="36"/>
      <c r="K6227" s="38"/>
      <c r="L6227" s="38"/>
    </row>
    <row r="6228" spans="1:12" x14ac:dyDescent="0.25">
      <c r="A6228" s="35"/>
      <c r="B6228" s="36"/>
      <c r="C6228" s="36"/>
      <c r="D6228" s="36"/>
      <c r="E6228" s="36"/>
      <c r="F6228" s="36"/>
      <c r="G6228" s="36"/>
      <c r="H6228" s="36"/>
      <c r="I6228" s="37"/>
      <c r="J6228" s="36"/>
      <c r="K6228" s="38"/>
      <c r="L6228" s="38"/>
    </row>
    <row r="6229" spans="1:12" x14ac:dyDescent="0.25">
      <c r="A6229" s="35"/>
      <c r="B6229" s="36"/>
      <c r="C6229" s="36"/>
      <c r="D6229" s="36"/>
      <c r="E6229" s="36"/>
      <c r="F6229" s="36"/>
      <c r="G6229" s="36"/>
      <c r="H6229" s="36"/>
      <c r="I6229" s="37"/>
      <c r="J6229" s="36"/>
      <c r="K6229" s="38"/>
      <c r="L6229" s="38"/>
    </row>
    <row r="6230" spans="1:12" x14ac:dyDescent="0.25">
      <c r="A6230" s="35"/>
      <c r="B6230" s="36"/>
      <c r="C6230" s="36"/>
      <c r="D6230" s="36"/>
      <c r="E6230" s="36"/>
      <c r="F6230" s="36"/>
      <c r="G6230" s="36"/>
      <c r="H6230" s="36"/>
      <c r="I6230" s="37"/>
      <c r="J6230" s="36"/>
      <c r="K6230" s="38"/>
      <c r="L6230" s="38"/>
    </row>
    <row r="6231" spans="1:12" x14ac:dyDescent="0.25">
      <c r="A6231" s="35"/>
      <c r="B6231" s="36"/>
      <c r="C6231" s="36"/>
      <c r="D6231" s="36"/>
      <c r="E6231" s="36"/>
      <c r="F6231" s="36"/>
      <c r="G6231" s="36"/>
      <c r="H6231" s="36"/>
      <c r="I6231" s="37"/>
      <c r="J6231" s="36"/>
      <c r="K6231" s="38"/>
      <c r="L6231" s="38"/>
    </row>
    <row r="6232" spans="1:12" x14ac:dyDescent="0.25">
      <c r="A6232" s="35"/>
      <c r="B6232" s="36"/>
      <c r="C6232" s="36"/>
      <c r="D6232" s="36"/>
      <c r="E6232" s="36"/>
      <c r="F6232" s="36"/>
      <c r="G6232" s="36"/>
      <c r="H6232" s="36"/>
      <c r="I6232" s="37"/>
      <c r="J6232" s="36"/>
      <c r="K6232" s="38"/>
      <c r="L6232" s="38"/>
    </row>
    <row r="6233" spans="1:12" x14ac:dyDescent="0.25">
      <c r="A6233" s="35"/>
      <c r="B6233" s="36"/>
      <c r="C6233" s="36"/>
      <c r="D6233" s="36"/>
      <c r="E6233" s="36"/>
      <c r="F6233" s="36"/>
      <c r="G6233" s="36"/>
      <c r="H6233" s="36"/>
      <c r="I6233" s="37"/>
      <c r="J6233" s="36"/>
      <c r="K6233" s="38"/>
      <c r="L6233" s="38"/>
    </row>
    <row r="6234" spans="1:12" x14ac:dyDescent="0.25">
      <c r="A6234" s="35"/>
      <c r="B6234" s="36"/>
      <c r="C6234" s="36"/>
      <c r="D6234" s="36"/>
      <c r="E6234" s="36"/>
      <c r="F6234" s="36"/>
      <c r="G6234" s="36"/>
      <c r="H6234" s="36"/>
      <c r="I6234" s="37"/>
      <c r="J6234" s="36"/>
      <c r="K6234" s="38"/>
      <c r="L6234" s="38"/>
    </row>
    <row r="6235" spans="1:12" x14ac:dyDescent="0.25">
      <c r="A6235" s="35"/>
      <c r="B6235" s="36"/>
      <c r="C6235" s="36"/>
      <c r="D6235" s="36"/>
      <c r="E6235" s="36"/>
      <c r="F6235" s="36"/>
      <c r="G6235" s="36"/>
      <c r="H6235" s="36"/>
      <c r="I6235" s="37"/>
      <c r="J6235" s="36"/>
      <c r="K6235" s="38"/>
      <c r="L6235" s="38"/>
    </row>
    <row r="6236" spans="1:12" x14ac:dyDescent="0.25">
      <c r="A6236" s="35"/>
      <c r="B6236" s="36"/>
      <c r="C6236" s="36"/>
      <c r="D6236" s="36"/>
      <c r="E6236" s="36"/>
      <c r="F6236" s="36"/>
      <c r="G6236" s="36"/>
      <c r="H6236" s="36"/>
      <c r="I6236" s="37"/>
      <c r="J6236" s="36"/>
      <c r="K6236" s="38"/>
      <c r="L6236" s="38"/>
    </row>
    <row r="6237" spans="1:12" x14ac:dyDescent="0.25">
      <c r="A6237" s="35"/>
      <c r="B6237" s="36"/>
      <c r="C6237" s="36"/>
      <c r="D6237" s="36"/>
      <c r="E6237" s="36"/>
      <c r="F6237" s="36"/>
      <c r="G6237" s="36"/>
      <c r="H6237" s="36"/>
      <c r="I6237" s="37"/>
      <c r="J6237" s="36"/>
      <c r="K6237" s="38"/>
      <c r="L6237" s="38"/>
    </row>
    <row r="6238" spans="1:12" x14ac:dyDescent="0.25">
      <c r="A6238" s="35"/>
      <c r="B6238" s="36"/>
      <c r="C6238" s="36"/>
      <c r="D6238" s="36"/>
      <c r="E6238" s="36"/>
      <c r="F6238" s="36"/>
      <c r="G6238" s="36"/>
      <c r="H6238" s="36"/>
      <c r="I6238" s="37"/>
      <c r="J6238" s="36"/>
      <c r="K6238" s="38"/>
      <c r="L6238" s="38"/>
    </row>
    <row r="6239" spans="1:12" x14ac:dyDescent="0.25">
      <c r="A6239" s="35"/>
      <c r="B6239" s="36"/>
      <c r="C6239" s="36"/>
      <c r="D6239" s="36"/>
      <c r="E6239" s="36"/>
      <c r="F6239" s="36"/>
      <c r="G6239" s="36"/>
      <c r="H6239" s="36"/>
      <c r="I6239" s="37"/>
      <c r="J6239" s="36"/>
      <c r="K6239" s="38"/>
      <c r="L6239" s="38"/>
    </row>
    <row r="6240" spans="1:12" x14ac:dyDescent="0.25">
      <c r="A6240" s="35"/>
      <c r="B6240" s="36"/>
      <c r="C6240" s="36"/>
      <c r="D6240" s="36"/>
      <c r="E6240" s="36"/>
      <c r="F6240" s="36"/>
      <c r="G6240" s="36"/>
      <c r="H6240" s="36"/>
      <c r="I6240" s="37"/>
      <c r="J6240" s="36"/>
      <c r="K6240" s="38"/>
      <c r="L6240" s="38"/>
    </row>
    <row r="6241" spans="1:12" x14ac:dyDescent="0.25">
      <c r="A6241" s="35"/>
      <c r="B6241" s="36"/>
      <c r="C6241" s="36"/>
      <c r="D6241" s="36"/>
      <c r="E6241" s="36"/>
      <c r="F6241" s="36"/>
      <c r="G6241" s="36"/>
      <c r="H6241" s="36"/>
      <c r="I6241" s="37"/>
      <c r="J6241" s="36"/>
      <c r="K6241" s="38"/>
      <c r="L6241" s="38"/>
    </row>
    <row r="6242" spans="1:12" x14ac:dyDescent="0.25">
      <c r="A6242" s="35"/>
      <c r="B6242" s="36"/>
      <c r="C6242" s="36"/>
      <c r="D6242" s="36"/>
      <c r="E6242" s="36"/>
      <c r="F6242" s="36"/>
      <c r="G6242" s="36"/>
      <c r="H6242" s="36"/>
      <c r="I6242" s="37"/>
      <c r="J6242" s="36"/>
      <c r="K6242" s="38"/>
      <c r="L6242" s="38"/>
    </row>
    <row r="6243" spans="1:12" x14ac:dyDescent="0.25">
      <c r="A6243" s="35"/>
      <c r="B6243" s="36"/>
      <c r="C6243" s="36"/>
      <c r="D6243" s="36"/>
      <c r="E6243" s="36"/>
      <c r="F6243" s="36"/>
      <c r="G6243" s="36"/>
      <c r="H6243" s="36"/>
      <c r="I6243" s="37"/>
      <c r="J6243" s="36"/>
      <c r="K6243" s="38"/>
      <c r="L6243" s="38"/>
    </row>
    <row r="6244" spans="1:12" x14ac:dyDescent="0.25">
      <c r="A6244" s="35"/>
      <c r="B6244" s="36"/>
      <c r="C6244" s="36"/>
      <c r="D6244" s="36"/>
      <c r="E6244" s="36"/>
      <c r="F6244" s="36"/>
      <c r="G6244" s="36"/>
      <c r="H6244" s="36"/>
      <c r="I6244" s="37"/>
      <c r="J6244" s="36"/>
      <c r="K6244" s="38"/>
      <c r="L6244" s="38"/>
    </row>
    <row r="6245" spans="1:12" x14ac:dyDescent="0.25">
      <c r="A6245" s="35"/>
      <c r="B6245" s="36"/>
      <c r="C6245" s="36"/>
      <c r="D6245" s="36"/>
      <c r="E6245" s="36"/>
      <c r="F6245" s="36"/>
      <c r="G6245" s="36"/>
      <c r="H6245" s="36"/>
      <c r="I6245" s="37"/>
      <c r="J6245" s="36"/>
      <c r="K6245" s="38"/>
      <c r="L6245" s="38"/>
    </row>
    <row r="6246" spans="1:12" x14ac:dyDescent="0.25">
      <c r="A6246" s="35"/>
      <c r="B6246" s="36"/>
      <c r="C6246" s="36"/>
      <c r="D6246" s="36"/>
      <c r="E6246" s="36"/>
      <c r="F6246" s="36"/>
      <c r="G6246" s="36"/>
      <c r="H6246" s="36"/>
      <c r="I6246" s="37"/>
      <c r="J6246" s="36"/>
      <c r="K6246" s="38"/>
      <c r="L6246" s="38"/>
    </row>
    <row r="6247" spans="1:12" x14ac:dyDescent="0.25">
      <c r="A6247" s="35"/>
      <c r="B6247" s="36"/>
      <c r="C6247" s="36"/>
      <c r="D6247" s="36"/>
      <c r="E6247" s="36"/>
      <c r="F6247" s="36"/>
      <c r="G6247" s="36"/>
      <c r="H6247" s="36"/>
      <c r="I6247" s="37"/>
      <c r="J6247" s="36"/>
      <c r="K6247" s="38"/>
      <c r="L6247" s="38"/>
    </row>
    <row r="6248" spans="1:12" x14ac:dyDescent="0.25">
      <c r="A6248" s="35"/>
      <c r="B6248" s="36"/>
      <c r="C6248" s="36"/>
      <c r="D6248" s="36"/>
      <c r="E6248" s="36"/>
      <c r="F6248" s="36"/>
      <c r="G6248" s="36"/>
      <c r="H6248" s="36"/>
      <c r="I6248" s="37"/>
      <c r="J6248" s="36"/>
      <c r="K6248" s="38"/>
      <c r="L6248" s="38"/>
    </row>
    <row r="6249" spans="1:12" x14ac:dyDescent="0.25">
      <c r="A6249" s="35"/>
      <c r="B6249" s="36"/>
      <c r="C6249" s="36"/>
      <c r="D6249" s="36"/>
      <c r="E6249" s="36"/>
      <c r="F6249" s="36"/>
      <c r="G6249" s="36"/>
      <c r="H6249" s="36"/>
      <c r="I6249" s="37"/>
      <c r="J6249" s="36"/>
      <c r="K6249" s="38"/>
      <c r="L6249" s="38"/>
    </row>
    <row r="6250" spans="1:12" x14ac:dyDescent="0.25">
      <c r="A6250" s="35"/>
      <c r="B6250" s="36"/>
      <c r="C6250" s="36"/>
      <c r="D6250" s="36"/>
      <c r="E6250" s="36"/>
      <c r="F6250" s="36"/>
      <c r="G6250" s="36"/>
      <c r="H6250" s="36"/>
      <c r="I6250" s="37"/>
      <c r="J6250" s="36"/>
      <c r="K6250" s="38"/>
      <c r="L6250" s="38"/>
    </row>
    <row r="6251" spans="1:12" x14ac:dyDescent="0.25">
      <c r="A6251" s="35"/>
      <c r="B6251" s="36"/>
      <c r="C6251" s="36"/>
      <c r="D6251" s="36"/>
      <c r="E6251" s="36"/>
      <c r="F6251" s="36"/>
      <c r="G6251" s="36"/>
      <c r="H6251" s="36"/>
      <c r="I6251" s="37"/>
      <c r="J6251" s="36"/>
      <c r="K6251" s="38"/>
      <c r="L6251" s="38"/>
    </row>
    <row r="6252" spans="1:12" x14ac:dyDescent="0.25">
      <c r="A6252" s="35"/>
      <c r="B6252" s="36"/>
      <c r="C6252" s="36"/>
      <c r="D6252" s="36"/>
      <c r="E6252" s="36"/>
      <c r="F6252" s="36"/>
      <c r="G6252" s="36"/>
      <c r="H6252" s="36"/>
      <c r="I6252" s="37"/>
      <c r="J6252" s="36"/>
      <c r="K6252" s="38"/>
      <c r="L6252" s="38"/>
    </row>
    <row r="6253" spans="1:12" x14ac:dyDescent="0.25">
      <c r="A6253" s="35"/>
      <c r="B6253" s="36"/>
      <c r="C6253" s="36"/>
      <c r="D6253" s="36"/>
      <c r="E6253" s="36"/>
      <c r="F6253" s="36"/>
      <c r="G6253" s="36"/>
      <c r="H6253" s="36"/>
      <c r="I6253" s="37"/>
      <c r="J6253" s="36"/>
      <c r="K6253" s="38"/>
      <c r="L6253" s="38"/>
    </row>
    <row r="6254" spans="1:12" x14ac:dyDescent="0.25">
      <c r="A6254" s="35"/>
      <c r="B6254" s="36"/>
      <c r="C6254" s="36"/>
      <c r="D6254" s="36"/>
      <c r="E6254" s="36"/>
      <c r="F6254" s="36"/>
      <c r="G6254" s="36"/>
      <c r="H6254" s="36"/>
      <c r="I6254" s="37"/>
      <c r="J6254" s="36"/>
      <c r="K6254" s="38"/>
      <c r="L6254" s="38"/>
    </row>
    <row r="6255" spans="1:12" x14ac:dyDescent="0.25">
      <c r="A6255" s="35"/>
      <c r="B6255" s="36"/>
      <c r="C6255" s="36"/>
      <c r="D6255" s="36"/>
      <c r="E6255" s="36"/>
      <c r="F6255" s="36"/>
      <c r="G6255" s="36"/>
      <c r="H6255" s="36"/>
      <c r="I6255" s="37"/>
      <c r="J6255" s="36"/>
      <c r="K6255" s="38"/>
      <c r="L6255" s="38"/>
    </row>
    <row r="6256" spans="1:12" x14ac:dyDescent="0.25">
      <c r="A6256" s="35"/>
      <c r="B6256" s="36"/>
      <c r="C6256" s="36"/>
      <c r="D6256" s="36"/>
      <c r="E6256" s="36"/>
      <c r="F6256" s="36"/>
      <c r="G6256" s="36"/>
      <c r="H6256" s="36"/>
      <c r="I6256" s="37"/>
      <c r="J6256" s="36"/>
      <c r="K6256" s="38"/>
      <c r="L6256" s="38"/>
    </row>
    <row r="6257" spans="1:12" x14ac:dyDescent="0.25">
      <c r="A6257" s="35"/>
      <c r="B6257" s="36"/>
      <c r="C6257" s="36"/>
      <c r="D6257" s="36"/>
      <c r="E6257" s="36"/>
      <c r="F6257" s="36"/>
      <c r="G6257" s="36"/>
      <c r="H6257" s="36"/>
      <c r="I6257" s="37"/>
      <c r="J6257" s="36"/>
      <c r="K6257" s="38"/>
      <c r="L6257" s="38"/>
    </row>
    <row r="6258" spans="1:12" x14ac:dyDescent="0.25">
      <c r="A6258" s="35"/>
      <c r="B6258" s="36"/>
      <c r="C6258" s="36"/>
      <c r="D6258" s="36"/>
      <c r="E6258" s="36"/>
      <c r="F6258" s="36"/>
      <c r="G6258" s="36"/>
      <c r="H6258" s="36"/>
      <c r="I6258" s="37"/>
      <c r="J6258" s="36"/>
      <c r="K6258" s="38"/>
      <c r="L6258" s="38"/>
    </row>
    <row r="6259" spans="1:12" x14ac:dyDescent="0.25">
      <c r="A6259" s="35"/>
      <c r="B6259" s="36"/>
      <c r="C6259" s="36"/>
      <c r="D6259" s="36"/>
      <c r="E6259" s="36"/>
      <c r="F6259" s="36"/>
      <c r="G6259" s="36"/>
      <c r="H6259" s="36"/>
      <c r="I6259" s="37"/>
      <c r="J6259" s="36"/>
      <c r="K6259" s="38"/>
      <c r="L6259" s="38"/>
    </row>
    <row r="6260" spans="1:12" x14ac:dyDescent="0.25">
      <c r="A6260" s="35"/>
      <c r="B6260" s="36"/>
      <c r="C6260" s="36"/>
      <c r="D6260" s="36"/>
      <c r="E6260" s="36"/>
      <c r="F6260" s="36"/>
      <c r="G6260" s="36"/>
      <c r="H6260" s="36"/>
      <c r="I6260" s="37"/>
      <c r="J6260" s="36"/>
      <c r="K6260" s="38"/>
      <c r="L6260" s="38"/>
    </row>
    <row r="6261" spans="1:12" x14ac:dyDescent="0.25">
      <c r="A6261" s="35"/>
      <c r="B6261" s="36"/>
      <c r="C6261" s="36"/>
      <c r="D6261" s="36"/>
      <c r="E6261" s="36"/>
      <c r="F6261" s="36"/>
      <c r="G6261" s="36"/>
      <c r="H6261" s="36"/>
      <c r="I6261" s="37"/>
      <c r="J6261" s="36"/>
      <c r="K6261" s="38"/>
      <c r="L6261" s="38"/>
    </row>
    <row r="6262" spans="1:12" x14ac:dyDescent="0.25">
      <c r="A6262" s="35"/>
      <c r="B6262" s="36"/>
      <c r="C6262" s="36"/>
      <c r="D6262" s="36"/>
      <c r="E6262" s="36"/>
      <c r="F6262" s="36"/>
      <c r="G6262" s="36"/>
      <c r="H6262" s="36"/>
      <c r="I6262" s="37"/>
      <c r="J6262" s="36"/>
      <c r="K6262" s="38"/>
      <c r="L6262" s="38"/>
    </row>
    <row r="6263" spans="1:12" x14ac:dyDescent="0.25">
      <c r="A6263" s="35"/>
      <c r="B6263" s="36"/>
      <c r="C6263" s="36"/>
      <c r="D6263" s="36"/>
      <c r="E6263" s="36"/>
      <c r="F6263" s="36"/>
      <c r="G6263" s="36"/>
      <c r="H6263" s="36"/>
      <c r="I6263" s="37"/>
      <c r="J6263" s="36"/>
      <c r="K6263" s="38"/>
      <c r="L6263" s="38"/>
    </row>
    <row r="6264" spans="1:12" x14ac:dyDescent="0.25">
      <c r="A6264" s="35"/>
      <c r="B6264" s="36"/>
      <c r="C6264" s="36"/>
      <c r="D6264" s="36"/>
      <c r="E6264" s="36"/>
      <c r="F6264" s="36"/>
      <c r="G6264" s="36"/>
      <c r="H6264" s="36"/>
      <c r="I6264" s="37"/>
      <c r="J6264" s="36"/>
      <c r="K6264" s="38"/>
      <c r="L6264" s="38"/>
    </row>
    <row r="6265" spans="1:12" x14ac:dyDescent="0.25">
      <c r="A6265" s="35"/>
      <c r="B6265" s="36"/>
      <c r="C6265" s="36"/>
      <c r="D6265" s="36"/>
      <c r="E6265" s="36"/>
      <c r="F6265" s="36"/>
      <c r="G6265" s="36"/>
      <c r="H6265" s="36"/>
      <c r="I6265" s="37"/>
      <c r="J6265" s="36"/>
      <c r="K6265" s="38"/>
      <c r="L6265" s="38"/>
    </row>
    <row r="6266" spans="1:12" x14ac:dyDescent="0.25">
      <c r="A6266" s="35"/>
      <c r="B6266" s="36"/>
      <c r="C6266" s="36"/>
      <c r="D6266" s="36"/>
      <c r="E6266" s="36"/>
      <c r="F6266" s="36"/>
      <c r="G6266" s="36"/>
      <c r="H6266" s="36"/>
      <c r="I6266" s="37"/>
      <c r="J6266" s="36"/>
      <c r="K6266" s="38"/>
      <c r="L6266" s="38"/>
    </row>
    <row r="6267" spans="1:12" x14ac:dyDescent="0.25">
      <c r="A6267" s="35"/>
      <c r="B6267" s="36"/>
      <c r="C6267" s="36"/>
      <c r="D6267" s="36"/>
      <c r="E6267" s="36"/>
      <c r="F6267" s="36"/>
      <c r="G6267" s="36"/>
      <c r="H6267" s="36"/>
      <c r="I6267" s="37"/>
      <c r="J6267" s="36"/>
      <c r="K6267" s="38"/>
      <c r="L6267" s="38"/>
    </row>
    <row r="6268" spans="1:12" x14ac:dyDescent="0.25">
      <c r="A6268" s="35"/>
      <c r="B6268" s="36"/>
      <c r="C6268" s="36"/>
      <c r="D6268" s="36"/>
      <c r="E6268" s="36"/>
      <c r="F6268" s="36"/>
      <c r="G6268" s="36"/>
      <c r="H6268" s="36"/>
      <c r="I6268" s="37"/>
      <c r="J6268" s="36"/>
      <c r="K6268" s="38"/>
      <c r="L6268" s="38"/>
    </row>
    <row r="6269" spans="1:12" x14ac:dyDescent="0.25">
      <c r="A6269" s="35"/>
      <c r="B6269" s="36"/>
      <c r="C6269" s="36"/>
      <c r="D6269" s="36"/>
      <c r="E6269" s="36"/>
      <c r="F6269" s="36"/>
      <c r="G6269" s="36"/>
      <c r="H6269" s="36"/>
      <c r="I6269" s="37"/>
      <c r="J6269" s="36"/>
      <c r="K6269" s="38"/>
      <c r="L6269" s="38"/>
    </row>
    <row r="6270" spans="1:12" x14ac:dyDescent="0.25">
      <c r="A6270" s="35"/>
      <c r="B6270" s="36"/>
      <c r="C6270" s="36"/>
      <c r="D6270" s="36"/>
      <c r="E6270" s="36"/>
      <c r="F6270" s="36"/>
      <c r="G6270" s="36"/>
      <c r="H6270" s="36"/>
      <c r="I6270" s="37"/>
      <c r="J6270" s="36"/>
      <c r="K6270" s="38"/>
      <c r="L6270" s="38"/>
    </row>
    <row r="6271" spans="1:12" x14ac:dyDescent="0.25">
      <c r="A6271" s="35"/>
      <c r="B6271" s="36"/>
      <c r="C6271" s="36"/>
      <c r="D6271" s="36"/>
      <c r="E6271" s="36"/>
      <c r="F6271" s="36"/>
      <c r="G6271" s="36"/>
      <c r="H6271" s="36"/>
      <c r="I6271" s="37"/>
      <c r="J6271" s="36"/>
      <c r="K6271" s="38"/>
      <c r="L6271" s="38"/>
    </row>
    <row r="6272" spans="1:12" x14ac:dyDescent="0.25">
      <c r="A6272" s="35"/>
      <c r="B6272" s="36"/>
      <c r="C6272" s="36"/>
      <c r="D6272" s="36"/>
      <c r="E6272" s="36"/>
      <c r="F6272" s="36"/>
      <c r="G6272" s="36"/>
      <c r="H6272" s="36"/>
      <c r="I6272" s="37"/>
      <c r="J6272" s="36"/>
      <c r="K6272" s="38"/>
      <c r="L6272" s="38"/>
    </row>
    <row r="6273" spans="1:12" x14ac:dyDescent="0.25">
      <c r="A6273" s="35"/>
      <c r="B6273" s="36"/>
      <c r="C6273" s="36"/>
      <c r="D6273" s="36"/>
      <c r="E6273" s="36"/>
      <c r="F6273" s="36"/>
      <c r="G6273" s="36"/>
      <c r="H6273" s="36"/>
      <c r="I6273" s="37"/>
      <c r="J6273" s="36"/>
      <c r="K6273" s="38"/>
      <c r="L6273" s="38"/>
    </row>
    <row r="6274" spans="1:12" x14ac:dyDescent="0.25">
      <c r="A6274" s="35"/>
      <c r="B6274" s="36"/>
      <c r="C6274" s="36"/>
      <c r="D6274" s="36"/>
      <c r="E6274" s="36"/>
      <c r="F6274" s="36"/>
      <c r="G6274" s="36"/>
      <c r="H6274" s="36"/>
      <c r="I6274" s="37"/>
      <c r="J6274" s="36"/>
      <c r="K6274" s="38"/>
      <c r="L6274" s="38"/>
    </row>
    <row r="6275" spans="1:12" x14ac:dyDescent="0.25">
      <c r="A6275" s="35"/>
      <c r="B6275" s="36"/>
      <c r="C6275" s="36"/>
      <c r="D6275" s="36"/>
      <c r="E6275" s="36"/>
      <c r="F6275" s="36"/>
      <c r="G6275" s="36"/>
      <c r="H6275" s="36"/>
      <c r="I6275" s="37"/>
      <c r="J6275" s="36"/>
      <c r="K6275" s="38"/>
      <c r="L6275" s="38"/>
    </row>
    <row r="6276" spans="1:12" x14ac:dyDescent="0.25">
      <c r="A6276" s="35"/>
      <c r="B6276" s="36"/>
      <c r="C6276" s="36"/>
      <c r="D6276" s="36"/>
      <c r="E6276" s="36"/>
      <c r="F6276" s="36"/>
      <c r="G6276" s="36"/>
      <c r="H6276" s="36"/>
      <c r="I6276" s="37"/>
      <c r="J6276" s="36"/>
      <c r="K6276" s="38"/>
      <c r="L6276" s="38"/>
    </row>
    <row r="6277" spans="1:12" x14ac:dyDescent="0.25">
      <c r="A6277" s="35"/>
      <c r="B6277" s="36"/>
      <c r="C6277" s="36"/>
      <c r="D6277" s="36"/>
      <c r="E6277" s="36"/>
      <c r="F6277" s="36"/>
      <c r="G6277" s="36"/>
      <c r="H6277" s="36"/>
      <c r="I6277" s="37"/>
      <c r="J6277" s="36"/>
      <c r="K6277" s="38"/>
      <c r="L6277" s="38"/>
    </row>
    <row r="6278" spans="1:12" x14ac:dyDescent="0.25">
      <c r="A6278" s="35"/>
      <c r="B6278" s="36"/>
      <c r="C6278" s="36"/>
      <c r="D6278" s="36"/>
      <c r="E6278" s="36"/>
      <c r="F6278" s="36"/>
      <c r="G6278" s="36"/>
      <c r="H6278" s="36"/>
      <c r="I6278" s="37"/>
      <c r="J6278" s="36"/>
      <c r="K6278" s="38"/>
      <c r="L6278" s="38"/>
    </row>
    <row r="6279" spans="1:12" x14ac:dyDescent="0.25">
      <c r="A6279" s="35"/>
      <c r="B6279" s="36"/>
      <c r="C6279" s="36"/>
      <c r="D6279" s="36"/>
      <c r="E6279" s="36"/>
      <c r="F6279" s="36"/>
      <c r="G6279" s="36"/>
      <c r="H6279" s="36"/>
      <c r="I6279" s="37"/>
      <c r="J6279" s="36"/>
      <c r="K6279" s="38"/>
      <c r="L6279" s="38"/>
    </row>
    <row r="6280" spans="1:12" x14ac:dyDescent="0.25">
      <c r="A6280" s="35"/>
      <c r="B6280" s="36"/>
      <c r="C6280" s="36"/>
      <c r="D6280" s="36"/>
      <c r="E6280" s="36"/>
      <c r="F6280" s="36"/>
      <c r="G6280" s="36"/>
      <c r="H6280" s="36"/>
      <c r="I6280" s="37"/>
      <c r="J6280" s="36"/>
      <c r="K6280" s="38"/>
      <c r="L6280" s="38"/>
    </row>
    <row r="6281" spans="1:12" x14ac:dyDescent="0.25">
      <c r="A6281" s="35"/>
      <c r="B6281" s="36"/>
      <c r="C6281" s="36"/>
      <c r="D6281" s="36"/>
      <c r="E6281" s="36"/>
      <c r="F6281" s="36"/>
      <c r="G6281" s="36"/>
      <c r="H6281" s="36"/>
      <c r="I6281" s="37"/>
      <c r="J6281" s="36"/>
      <c r="K6281" s="38"/>
      <c r="L6281" s="38"/>
    </row>
    <row r="6282" spans="1:12" x14ac:dyDescent="0.25">
      <c r="A6282" s="35"/>
      <c r="B6282" s="36"/>
      <c r="C6282" s="36"/>
      <c r="D6282" s="36"/>
      <c r="E6282" s="36"/>
      <c r="F6282" s="36"/>
      <c r="G6282" s="36"/>
      <c r="H6282" s="36"/>
      <c r="I6282" s="37"/>
      <c r="J6282" s="36"/>
      <c r="K6282" s="38"/>
      <c r="L6282" s="38"/>
    </row>
    <row r="6283" spans="1:12" x14ac:dyDescent="0.25">
      <c r="A6283" s="35"/>
      <c r="B6283" s="36"/>
      <c r="C6283" s="36"/>
      <c r="D6283" s="36"/>
      <c r="E6283" s="36"/>
      <c r="F6283" s="36"/>
      <c r="G6283" s="36"/>
      <c r="H6283" s="36"/>
      <c r="I6283" s="37"/>
      <c r="J6283" s="36"/>
      <c r="K6283" s="38"/>
      <c r="L6283" s="38"/>
    </row>
    <row r="6284" spans="1:12" x14ac:dyDescent="0.25">
      <c r="A6284" s="35"/>
      <c r="B6284" s="36"/>
      <c r="C6284" s="36"/>
      <c r="D6284" s="36"/>
      <c r="E6284" s="36"/>
      <c r="F6284" s="36"/>
      <c r="G6284" s="36"/>
      <c r="H6284" s="36"/>
      <c r="I6284" s="37"/>
      <c r="J6284" s="36"/>
      <c r="K6284" s="38"/>
      <c r="L6284" s="38"/>
    </row>
    <row r="6285" spans="1:12" x14ac:dyDescent="0.25">
      <c r="A6285" s="35"/>
      <c r="B6285" s="36"/>
      <c r="C6285" s="36"/>
      <c r="D6285" s="36"/>
      <c r="E6285" s="36"/>
      <c r="F6285" s="36"/>
      <c r="G6285" s="36"/>
      <c r="H6285" s="36"/>
      <c r="I6285" s="37"/>
      <c r="J6285" s="36"/>
      <c r="K6285" s="38"/>
      <c r="L6285" s="38"/>
    </row>
    <row r="6286" spans="1:12" x14ac:dyDescent="0.25">
      <c r="A6286" s="35"/>
      <c r="B6286" s="36"/>
      <c r="C6286" s="36"/>
      <c r="D6286" s="36"/>
      <c r="E6286" s="36"/>
      <c r="F6286" s="36"/>
      <c r="G6286" s="36"/>
      <c r="H6286" s="36"/>
      <c r="I6286" s="37"/>
      <c r="J6286" s="36"/>
      <c r="K6286" s="38"/>
      <c r="L6286" s="38"/>
    </row>
    <row r="6287" spans="1:12" x14ac:dyDescent="0.25">
      <c r="A6287" s="35"/>
      <c r="B6287" s="36"/>
      <c r="C6287" s="36"/>
      <c r="D6287" s="36"/>
      <c r="E6287" s="36"/>
      <c r="F6287" s="36"/>
      <c r="G6287" s="36"/>
      <c r="H6287" s="36"/>
      <c r="I6287" s="37"/>
      <c r="J6287" s="36"/>
      <c r="K6287" s="38"/>
      <c r="L6287" s="38"/>
    </row>
    <row r="6288" spans="1:12" x14ac:dyDescent="0.25">
      <c r="A6288" s="35"/>
      <c r="B6288" s="36"/>
      <c r="C6288" s="36"/>
      <c r="D6288" s="36"/>
      <c r="E6288" s="36"/>
      <c r="F6288" s="36"/>
      <c r="G6288" s="36"/>
      <c r="H6288" s="36"/>
      <c r="I6288" s="37"/>
      <c r="J6288" s="36"/>
      <c r="K6288" s="38"/>
      <c r="L6288" s="38"/>
    </row>
    <row r="6289" spans="1:12" x14ac:dyDescent="0.25">
      <c r="A6289" s="35"/>
      <c r="B6289" s="36"/>
      <c r="C6289" s="36"/>
      <c r="D6289" s="36"/>
      <c r="E6289" s="36"/>
      <c r="F6289" s="36"/>
      <c r="G6289" s="36"/>
      <c r="H6289" s="36"/>
      <c r="I6289" s="37"/>
      <c r="J6289" s="36"/>
      <c r="K6289" s="38"/>
      <c r="L6289" s="38"/>
    </row>
    <row r="6290" spans="1:12" x14ac:dyDescent="0.25">
      <c r="A6290" s="35"/>
      <c r="B6290" s="36"/>
      <c r="C6290" s="36"/>
      <c r="D6290" s="36"/>
      <c r="E6290" s="36"/>
      <c r="F6290" s="36"/>
      <c r="G6290" s="36"/>
      <c r="H6290" s="36"/>
      <c r="I6290" s="37"/>
      <c r="J6290" s="36"/>
      <c r="K6290" s="38"/>
      <c r="L6290" s="38"/>
    </row>
    <row r="6291" spans="1:12" x14ac:dyDescent="0.25">
      <c r="A6291" s="35"/>
      <c r="B6291" s="36"/>
      <c r="C6291" s="36"/>
      <c r="D6291" s="36"/>
      <c r="E6291" s="36"/>
      <c r="F6291" s="36"/>
      <c r="G6291" s="36"/>
      <c r="H6291" s="36"/>
      <c r="I6291" s="37"/>
      <c r="J6291" s="36"/>
      <c r="K6291" s="38"/>
      <c r="L6291" s="38"/>
    </row>
    <row r="6292" spans="1:12" x14ac:dyDescent="0.25">
      <c r="A6292" s="35"/>
      <c r="B6292" s="36"/>
      <c r="C6292" s="36"/>
      <c r="D6292" s="36"/>
      <c r="E6292" s="36"/>
      <c r="F6292" s="36"/>
      <c r="G6292" s="36"/>
      <c r="H6292" s="36"/>
      <c r="I6292" s="37"/>
      <c r="J6292" s="36"/>
      <c r="K6292" s="38"/>
      <c r="L6292" s="38"/>
    </row>
    <row r="6293" spans="1:12" x14ac:dyDescent="0.25">
      <c r="A6293" s="35"/>
      <c r="B6293" s="36"/>
      <c r="C6293" s="36"/>
      <c r="D6293" s="36"/>
      <c r="E6293" s="36"/>
      <c r="F6293" s="36"/>
      <c r="G6293" s="36"/>
      <c r="H6293" s="36"/>
      <c r="I6293" s="37"/>
      <c r="J6293" s="36"/>
      <c r="K6293" s="38"/>
      <c r="L6293" s="38"/>
    </row>
    <row r="6294" spans="1:12" x14ac:dyDescent="0.25">
      <c r="A6294" s="35"/>
      <c r="B6294" s="36"/>
      <c r="C6294" s="36"/>
      <c r="D6294" s="36"/>
      <c r="E6294" s="36"/>
      <c r="F6294" s="36"/>
      <c r="G6294" s="36"/>
      <c r="H6294" s="36"/>
      <c r="I6294" s="37"/>
      <c r="J6294" s="36"/>
      <c r="K6294" s="38"/>
      <c r="L6294" s="38"/>
    </row>
    <row r="6295" spans="1:12" x14ac:dyDescent="0.25">
      <c r="A6295" s="35"/>
      <c r="B6295" s="36"/>
      <c r="C6295" s="36"/>
      <c r="D6295" s="36"/>
      <c r="E6295" s="36"/>
      <c r="F6295" s="36"/>
      <c r="G6295" s="36"/>
      <c r="H6295" s="36"/>
      <c r="I6295" s="37"/>
      <c r="J6295" s="36"/>
      <c r="K6295" s="38"/>
      <c r="L6295" s="38"/>
    </row>
    <row r="6296" spans="1:12" x14ac:dyDescent="0.25">
      <c r="A6296" s="35"/>
      <c r="B6296" s="36"/>
      <c r="C6296" s="36"/>
      <c r="D6296" s="36"/>
      <c r="E6296" s="36"/>
      <c r="F6296" s="36"/>
      <c r="G6296" s="36"/>
      <c r="H6296" s="36"/>
      <c r="I6296" s="37"/>
      <c r="J6296" s="36"/>
      <c r="K6296" s="38"/>
      <c r="L6296" s="38"/>
    </row>
    <row r="6297" spans="1:12" x14ac:dyDescent="0.25">
      <c r="A6297" s="35"/>
      <c r="B6297" s="36"/>
      <c r="C6297" s="36"/>
      <c r="D6297" s="36"/>
      <c r="E6297" s="36"/>
      <c r="F6297" s="36"/>
      <c r="G6297" s="36"/>
      <c r="H6297" s="36"/>
      <c r="I6297" s="37"/>
      <c r="J6297" s="36"/>
      <c r="K6297" s="38"/>
      <c r="L6297" s="38"/>
    </row>
    <row r="6298" spans="1:12" x14ac:dyDescent="0.25">
      <c r="A6298" s="35"/>
      <c r="B6298" s="36"/>
      <c r="C6298" s="36"/>
      <c r="D6298" s="36"/>
      <c r="E6298" s="36"/>
      <c r="F6298" s="36"/>
      <c r="G6298" s="36"/>
      <c r="H6298" s="36"/>
      <c r="I6298" s="37"/>
      <c r="J6298" s="36"/>
      <c r="K6298" s="38"/>
      <c r="L6298" s="38"/>
    </row>
    <row r="6299" spans="1:12" x14ac:dyDescent="0.25">
      <c r="A6299" s="35"/>
      <c r="B6299" s="36"/>
      <c r="C6299" s="36"/>
      <c r="D6299" s="36"/>
      <c r="E6299" s="36"/>
      <c r="F6299" s="36"/>
      <c r="G6299" s="36"/>
      <c r="H6299" s="36"/>
      <c r="I6299" s="37"/>
      <c r="J6299" s="36"/>
      <c r="K6299" s="38"/>
      <c r="L6299" s="38"/>
    </row>
    <row r="6300" spans="1:12" x14ac:dyDescent="0.25">
      <c r="A6300" s="35"/>
      <c r="B6300" s="36"/>
      <c r="C6300" s="36"/>
      <c r="D6300" s="36"/>
      <c r="E6300" s="36"/>
      <c r="F6300" s="36"/>
      <c r="G6300" s="36"/>
      <c r="H6300" s="36"/>
      <c r="I6300" s="37"/>
      <c r="J6300" s="36"/>
      <c r="K6300" s="38"/>
      <c r="L6300" s="38"/>
    </row>
    <row r="6301" spans="1:12" x14ac:dyDescent="0.25">
      <c r="A6301" s="35"/>
      <c r="B6301" s="36"/>
      <c r="C6301" s="36"/>
      <c r="D6301" s="36"/>
      <c r="E6301" s="36"/>
      <c r="F6301" s="36"/>
      <c r="G6301" s="36"/>
      <c r="H6301" s="36"/>
      <c r="I6301" s="37"/>
      <c r="J6301" s="36"/>
      <c r="K6301" s="38"/>
      <c r="L6301" s="38"/>
    </row>
    <row r="6302" spans="1:12" x14ac:dyDescent="0.25">
      <c r="A6302" s="35"/>
      <c r="B6302" s="36"/>
      <c r="C6302" s="36"/>
      <c r="D6302" s="36"/>
      <c r="E6302" s="36"/>
      <c r="F6302" s="36"/>
      <c r="G6302" s="36"/>
      <c r="H6302" s="36"/>
      <c r="I6302" s="37"/>
      <c r="J6302" s="36"/>
      <c r="K6302" s="38"/>
      <c r="L6302" s="38"/>
    </row>
    <row r="6303" spans="1:12" x14ac:dyDescent="0.25">
      <c r="A6303" s="35"/>
      <c r="B6303" s="36"/>
      <c r="C6303" s="36"/>
      <c r="D6303" s="36"/>
      <c r="E6303" s="36"/>
      <c r="F6303" s="36"/>
      <c r="G6303" s="36"/>
      <c r="H6303" s="36"/>
      <c r="I6303" s="37"/>
      <c r="J6303" s="36"/>
      <c r="K6303" s="38"/>
      <c r="L6303" s="38"/>
    </row>
    <row r="6304" spans="1:12" x14ac:dyDescent="0.25">
      <c r="A6304" s="35"/>
      <c r="B6304" s="36"/>
      <c r="C6304" s="36"/>
      <c r="D6304" s="36"/>
      <c r="E6304" s="36"/>
      <c r="F6304" s="36"/>
      <c r="G6304" s="36"/>
      <c r="H6304" s="36"/>
      <c r="I6304" s="37"/>
      <c r="J6304" s="36"/>
      <c r="K6304" s="38"/>
      <c r="L6304" s="38"/>
    </row>
    <row r="6305" spans="1:12" x14ac:dyDescent="0.25">
      <c r="A6305" s="35"/>
      <c r="B6305" s="36"/>
      <c r="C6305" s="36"/>
      <c r="D6305" s="36"/>
      <c r="E6305" s="36"/>
      <c r="F6305" s="36"/>
      <c r="G6305" s="36"/>
      <c r="H6305" s="36"/>
      <c r="I6305" s="37"/>
      <c r="J6305" s="36"/>
      <c r="K6305" s="38"/>
      <c r="L6305" s="38"/>
    </row>
    <row r="6306" spans="1:12" x14ac:dyDescent="0.25">
      <c r="A6306" s="35"/>
      <c r="B6306" s="36"/>
      <c r="C6306" s="36"/>
      <c r="D6306" s="36"/>
      <c r="E6306" s="36"/>
      <c r="F6306" s="36"/>
      <c r="G6306" s="36"/>
      <c r="H6306" s="36"/>
      <c r="I6306" s="37"/>
      <c r="J6306" s="36"/>
      <c r="K6306" s="38"/>
      <c r="L6306" s="38"/>
    </row>
    <row r="6307" spans="1:12" x14ac:dyDescent="0.25">
      <c r="A6307" s="35"/>
      <c r="B6307" s="36"/>
      <c r="C6307" s="36"/>
      <c r="D6307" s="36"/>
      <c r="E6307" s="36"/>
      <c r="F6307" s="36"/>
      <c r="G6307" s="36"/>
      <c r="H6307" s="36"/>
      <c r="I6307" s="37"/>
      <c r="J6307" s="36"/>
      <c r="K6307" s="38"/>
      <c r="L6307" s="38"/>
    </row>
    <row r="6308" spans="1:12" x14ac:dyDescent="0.25">
      <c r="A6308" s="35"/>
      <c r="B6308" s="36"/>
      <c r="C6308" s="36"/>
      <c r="D6308" s="36"/>
      <c r="E6308" s="36"/>
      <c r="F6308" s="36"/>
      <c r="G6308" s="36"/>
      <c r="H6308" s="36"/>
      <c r="I6308" s="37"/>
      <c r="J6308" s="36"/>
      <c r="K6308" s="38"/>
      <c r="L6308" s="38"/>
    </row>
    <row r="6309" spans="1:12" x14ac:dyDescent="0.25">
      <c r="A6309" s="35"/>
      <c r="B6309" s="36"/>
      <c r="C6309" s="36"/>
      <c r="D6309" s="36"/>
      <c r="E6309" s="36"/>
      <c r="F6309" s="36"/>
      <c r="G6309" s="36"/>
      <c r="H6309" s="36"/>
      <c r="I6309" s="37"/>
      <c r="J6309" s="36"/>
      <c r="K6309" s="38"/>
      <c r="L6309" s="38"/>
    </row>
    <row r="6310" spans="1:12" x14ac:dyDescent="0.25">
      <c r="A6310" s="35"/>
      <c r="B6310" s="36"/>
      <c r="C6310" s="36"/>
      <c r="D6310" s="36"/>
      <c r="E6310" s="36"/>
      <c r="F6310" s="36"/>
      <c r="G6310" s="36"/>
      <c r="H6310" s="36"/>
      <c r="I6310" s="37"/>
      <c r="J6310" s="36"/>
      <c r="K6310" s="38"/>
      <c r="L6310" s="38"/>
    </row>
    <row r="6311" spans="1:12" x14ac:dyDescent="0.25">
      <c r="A6311" s="35"/>
      <c r="B6311" s="36"/>
      <c r="C6311" s="36"/>
      <c r="D6311" s="36"/>
      <c r="E6311" s="36"/>
      <c r="F6311" s="36"/>
      <c r="G6311" s="36"/>
      <c r="H6311" s="36"/>
      <c r="I6311" s="37"/>
      <c r="J6311" s="36"/>
      <c r="K6311" s="38"/>
      <c r="L6311" s="38"/>
    </row>
    <row r="6312" spans="1:12" x14ac:dyDescent="0.25">
      <c r="A6312" s="35"/>
      <c r="B6312" s="36"/>
      <c r="C6312" s="36"/>
      <c r="D6312" s="36"/>
      <c r="E6312" s="36"/>
      <c r="F6312" s="36"/>
      <c r="G6312" s="36"/>
      <c r="H6312" s="36"/>
      <c r="I6312" s="37"/>
      <c r="J6312" s="36"/>
      <c r="K6312" s="38"/>
      <c r="L6312" s="38"/>
    </row>
    <row r="6313" spans="1:12" x14ac:dyDescent="0.25">
      <c r="A6313" s="35"/>
      <c r="B6313" s="36"/>
      <c r="C6313" s="36"/>
      <c r="D6313" s="36"/>
      <c r="E6313" s="36"/>
      <c r="F6313" s="36"/>
      <c r="G6313" s="36"/>
      <c r="H6313" s="36"/>
      <c r="I6313" s="37"/>
      <c r="J6313" s="36"/>
      <c r="K6313" s="38"/>
      <c r="L6313" s="38"/>
    </row>
    <row r="6314" spans="1:12" x14ac:dyDescent="0.25">
      <c r="A6314" s="35"/>
      <c r="B6314" s="36"/>
      <c r="C6314" s="36"/>
      <c r="D6314" s="36"/>
      <c r="E6314" s="36"/>
      <c r="F6314" s="36"/>
      <c r="G6314" s="36"/>
      <c r="H6314" s="36"/>
      <c r="I6314" s="37"/>
      <c r="J6314" s="36"/>
      <c r="K6314" s="38"/>
      <c r="L6314" s="38"/>
    </row>
    <row r="6315" spans="1:12" x14ac:dyDescent="0.25">
      <c r="A6315" s="35"/>
      <c r="B6315" s="36"/>
      <c r="C6315" s="36"/>
      <c r="D6315" s="36"/>
      <c r="E6315" s="36"/>
      <c r="F6315" s="36"/>
      <c r="G6315" s="36"/>
      <c r="H6315" s="36"/>
      <c r="I6315" s="37"/>
      <c r="J6315" s="36"/>
      <c r="K6315" s="38"/>
      <c r="L6315" s="38"/>
    </row>
    <row r="6316" spans="1:12" x14ac:dyDescent="0.25">
      <c r="A6316" s="35"/>
      <c r="B6316" s="36"/>
      <c r="C6316" s="36"/>
      <c r="D6316" s="36"/>
      <c r="E6316" s="36"/>
      <c r="F6316" s="36"/>
      <c r="G6316" s="36"/>
      <c r="H6316" s="36"/>
      <c r="I6316" s="37"/>
      <c r="J6316" s="36"/>
      <c r="K6316" s="38"/>
      <c r="L6316" s="38"/>
    </row>
    <row r="6317" spans="1:12" x14ac:dyDescent="0.25">
      <c r="A6317" s="35"/>
      <c r="B6317" s="36"/>
      <c r="C6317" s="36"/>
      <c r="D6317" s="36"/>
      <c r="E6317" s="36"/>
      <c r="F6317" s="36"/>
      <c r="G6317" s="36"/>
      <c r="H6317" s="36"/>
      <c r="I6317" s="37"/>
      <c r="J6317" s="36"/>
      <c r="K6317" s="38"/>
      <c r="L6317" s="38"/>
    </row>
    <row r="6318" spans="1:12" x14ac:dyDescent="0.25">
      <c r="A6318" s="35"/>
      <c r="B6318" s="36"/>
      <c r="C6318" s="36"/>
      <c r="D6318" s="36"/>
      <c r="E6318" s="36"/>
      <c r="F6318" s="36"/>
      <c r="G6318" s="36"/>
      <c r="H6318" s="36"/>
      <c r="I6318" s="37"/>
      <c r="J6318" s="36"/>
      <c r="K6318" s="38"/>
      <c r="L6318" s="38"/>
    </row>
    <row r="6319" spans="1:12" x14ac:dyDescent="0.25">
      <c r="A6319" s="35"/>
      <c r="B6319" s="36"/>
      <c r="C6319" s="36"/>
      <c r="D6319" s="36"/>
      <c r="E6319" s="36"/>
      <c r="F6319" s="36"/>
      <c r="G6319" s="36"/>
      <c r="H6319" s="36"/>
      <c r="I6319" s="37"/>
      <c r="J6319" s="36"/>
      <c r="K6319" s="38"/>
      <c r="L6319" s="38"/>
    </row>
    <row r="6320" spans="1:12" x14ac:dyDescent="0.25">
      <c r="A6320" s="35"/>
      <c r="B6320" s="36"/>
      <c r="C6320" s="36"/>
      <c r="D6320" s="36"/>
      <c r="E6320" s="36"/>
      <c r="F6320" s="36"/>
      <c r="G6320" s="36"/>
      <c r="H6320" s="36"/>
      <c r="I6320" s="37"/>
      <c r="J6320" s="36"/>
      <c r="K6320" s="38"/>
      <c r="L6320" s="38"/>
    </row>
    <row r="6321" spans="1:12" x14ac:dyDescent="0.25">
      <c r="A6321" s="35"/>
      <c r="B6321" s="36"/>
      <c r="C6321" s="36"/>
      <c r="D6321" s="36"/>
      <c r="E6321" s="36"/>
      <c r="F6321" s="36"/>
      <c r="G6321" s="36"/>
      <c r="H6321" s="36"/>
      <c r="I6321" s="37"/>
      <c r="J6321" s="36"/>
      <c r="K6321" s="38"/>
      <c r="L6321" s="38"/>
    </row>
    <row r="6322" spans="1:12" x14ac:dyDescent="0.25">
      <c r="A6322" s="35"/>
      <c r="B6322" s="36"/>
      <c r="C6322" s="36"/>
      <c r="D6322" s="36"/>
      <c r="E6322" s="36"/>
      <c r="F6322" s="36"/>
      <c r="G6322" s="36"/>
      <c r="H6322" s="36"/>
      <c r="I6322" s="37"/>
      <c r="J6322" s="36"/>
      <c r="K6322" s="38"/>
      <c r="L6322" s="38"/>
    </row>
    <row r="6323" spans="1:12" x14ac:dyDescent="0.25">
      <c r="A6323" s="35"/>
      <c r="B6323" s="36"/>
      <c r="C6323" s="36"/>
      <c r="D6323" s="36"/>
      <c r="E6323" s="36"/>
      <c r="F6323" s="36"/>
      <c r="G6323" s="36"/>
      <c r="H6323" s="36"/>
      <c r="I6323" s="37"/>
      <c r="J6323" s="36"/>
      <c r="K6323" s="38"/>
      <c r="L6323" s="38"/>
    </row>
    <row r="6324" spans="1:12" x14ac:dyDescent="0.25">
      <c r="A6324" s="35"/>
      <c r="B6324" s="36"/>
      <c r="C6324" s="36"/>
      <c r="D6324" s="36"/>
      <c r="E6324" s="36"/>
      <c r="F6324" s="36"/>
      <c r="G6324" s="36"/>
      <c r="H6324" s="36"/>
      <c r="I6324" s="37"/>
      <c r="J6324" s="36"/>
      <c r="K6324" s="38"/>
      <c r="L6324" s="38"/>
    </row>
    <row r="6325" spans="1:12" x14ac:dyDescent="0.25">
      <c r="A6325" s="35"/>
      <c r="B6325" s="36"/>
      <c r="C6325" s="36"/>
      <c r="D6325" s="36"/>
      <c r="E6325" s="36"/>
      <c r="F6325" s="36"/>
      <c r="G6325" s="36"/>
      <c r="H6325" s="36"/>
      <c r="I6325" s="37"/>
      <c r="J6325" s="36"/>
      <c r="K6325" s="38"/>
      <c r="L6325" s="38"/>
    </row>
    <row r="6326" spans="1:12" x14ac:dyDescent="0.25">
      <c r="A6326" s="35"/>
      <c r="B6326" s="36"/>
      <c r="C6326" s="36"/>
      <c r="D6326" s="36"/>
      <c r="E6326" s="36"/>
      <c r="F6326" s="36"/>
      <c r="G6326" s="36"/>
      <c r="H6326" s="36"/>
      <c r="I6326" s="37"/>
      <c r="J6326" s="36"/>
      <c r="K6326" s="38"/>
      <c r="L6326" s="38"/>
    </row>
    <row r="6327" spans="1:12" x14ac:dyDescent="0.25">
      <c r="A6327" s="35"/>
      <c r="B6327" s="36"/>
      <c r="C6327" s="36"/>
      <c r="D6327" s="36"/>
      <c r="E6327" s="36"/>
      <c r="F6327" s="36"/>
      <c r="G6327" s="36"/>
      <c r="H6327" s="36"/>
      <c r="I6327" s="37"/>
      <c r="J6327" s="36"/>
      <c r="K6327" s="38"/>
      <c r="L6327" s="38"/>
    </row>
    <row r="6328" spans="1:12" x14ac:dyDescent="0.25">
      <c r="A6328" s="35"/>
      <c r="B6328" s="36"/>
      <c r="C6328" s="36"/>
      <c r="D6328" s="36"/>
      <c r="E6328" s="36"/>
      <c r="F6328" s="36"/>
      <c r="G6328" s="36"/>
      <c r="H6328" s="36"/>
      <c r="I6328" s="37"/>
      <c r="J6328" s="36"/>
      <c r="K6328" s="38"/>
      <c r="L6328" s="38"/>
    </row>
    <row r="6329" spans="1:12" x14ac:dyDescent="0.25">
      <c r="A6329" s="35"/>
      <c r="B6329" s="36"/>
      <c r="C6329" s="36"/>
      <c r="D6329" s="36"/>
      <c r="E6329" s="36"/>
      <c r="F6329" s="36"/>
      <c r="G6329" s="36"/>
      <c r="H6329" s="36"/>
      <c r="I6329" s="37"/>
      <c r="J6329" s="36"/>
      <c r="K6329" s="38"/>
      <c r="L6329" s="38"/>
    </row>
    <row r="6330" spans="1:12" x14ac:dyDescent="0.25">
      <c r="A6330" s="35"/>
      <c r="B6330" s="36"/>
      <c r="C6330" s="36"/>
      <c r="D6330" s="36"/>
      <c r="E6330" s="36"/>
      <c r="F6330" s="36"/>
      <c r="G6330" s="36"/>
      <c r="H6330" s="36"/>
      <c r="I6330" s="37"/>
      <c r="J6330" s="36"/>
      <c r="K6330" s="38"/>
      <c r="L6330" s="38"/>
    </row>
    <row r="6331" spans="1:12" x14ac:dyDescent="0.25">
      <c r="A6331" s="35"/>
      <c r="B6331" s="36"/>
      <c r="C6331" s="36"/>
      <c r="D6331" s="36"/>
      <c r="E6331" s="36"/>
      <c r="F6331" s="36"/>
      <c r="G6331" s="36"/>
      <c r="H6331" s="36"/>
      <c r="I6331" s="37"/>
      <c r="J6331" s="36"/>
      <c r="K6331" s="38"/>
      <c r="L6331" s="38"/>
    </row>
    <row r="6332" spans="1:12" x14ac:dyDescent="0.25">
      <c r="A6332" s="35"/>
      <c r="B6332" s="36"/>
      <c r="C6332" s="36"/>
      <c r="D6332" s="36"/>
      <c r="E6332" s="36"/>
      <c r="F6332" s="36"/>
      <c r="G6332" s="36"/>
      <c r="H6332" s="36"/>
      <c r="I6332" s="37"/>
      <c r="J6332" s="36"/>
      <c r="K6332" s="38"/>
      <c r="L6332" s="38"/>
    </row>
    <row r="6333" spans="1:12" x14ac:dyDescent="0.25">
      <c r="A6333" s="35"/>
      <c r="B6333" s="36"/>
      <c r="C6333" s="36"/>
      <c r="D6333" s="36"/>
      <c r="E6333" s="36"/>
      <c r="F6333" s="36"/>
      <c r="G6333" s="36"/>
      <c r="H6333" s="36"/>
      <c r="I6333" s="37"/>
      <c r="J6333" s="36"/>
      <c r="K6333" s="38"/>
      <c r="L6333" s="38"/>
    </row>
    <row r="6334" spans="1:12" x14ac:dyDescent="0.25">
      <c r="A6334" s="35"/>
      <c r="B6334" s="36"/>
      <c r="C6334" s="36"/>
      <c r="D6334" s="36"/>
      <c r="E6334" s="36"/>
      <c r="F6334" s="36"/>
      <c r="G6334" s="36"/>
      <c r="H6334" s="36"/>
      <c r="I6334" s="37"/>
      <c r="J6334" s="36"/>
      <c r="K6334" s="38"/>
      <c r="L6334" s="38"/>
    </row>
    <row r="6335" spans="1:12" x14ac:dyDescent="0.25">
      <c r="A6335" s="35"/>
      <c r="B6335" s="36"/>
      <c r="C6335" s="36"/>
      <c r="D6335" s="36"/>
      <c r="E6335" s="36"/>
      <c r="F6335" s="36"/>
      <c r="G6335" s="36"/>
      <c r="H6335" s="36"/>
      <c r="I6335" s="37"/>
      <c r="J6335" s="36"/>
      <c r="K6335" s="38"/>
      <c r="L6335" s="38"/>
    </row>
    <row r="6336" spans="1:12" x14ac:dyDescent="0.25">
      <c r="A6336" s="35"/>
      <c r="B6336" s="36"/>
      <c r="C6336" s="36"/>
      <c r="D6336" s="36"/>
      <c r="E6336" s="36"/>
      <c r="F6336" s="36"/>
      <c r="G6336" s="36"/>
      <c r="H6336" s="36"/>
      <c r="I6336" s="37"/>
      <c r="J6336" s="36"/>
      <c r="K6336" s="38"/>
      <c r="L6336" s="38"/>
    </row>
    <row r="6337" spans="1:12" x14ac:dyDescent="0.25">
      <c r="A6337" s="35"/>
      <c r="B6337" s="36"/>
      <c r="C6337" s="36"/>
      <c r="D6337" s="36"/>
      <c r="E6337" s="36"/>
      <c r="F6337" s="36"/>
      <c r="G6337" s="36"/>
      <c r="H6337" s="36"/>
      <c r="I6337" s="37"/>
      <c r="J6337" s="36"/>
      <c r="K6337" s="38"/>
      <c r="L6337" s="38"/>
    </row>
    <row r="6338" spans="1:12" x14ac:dyDescent="0.25">
      <c r="A6338" s="35"/>
      <c r="B6338" s="36"/>
      <c r="C6338" s="36"/>
      <c r="D6338" s="36"/>
      <c r="E6338" s="36"/>
      <c r="F6338" s="36"/>
      <c r="G6338" s="36"/>
      <c r="H6338" s="36"/>
      <c r="I6338" s="37"/>
      <c r="J6338" s="36"/>
      <c r="K6338" s="38"/>
      <c r="L6338" s="38"/>
    </row>
    <row r="6339" spans="1:12" x14ac:dyDescent="0.25">
      <c r="A6339" s="35"/>
      <c r="B6339" s="36"/>
      <c r="C6339" s="36"/>
      <c r="D6339" s="36"/>
      <c r="E6339" s="36"/>
      <c r="F6339" s="36"/>
      <c r="G6339" s="36"/>
      <c r="H6339" s="36"/>
      <c r="I6339" s="37"/>
      <c r="J6339" s="36"/>
      <c r="K6339" s="38"/>
      <c r="L6339" s="38"/>
    </row>
    <row r="6340" spans="1:12" x14ac:dyDescent="0.25">
      <c r="A6340" s="35"/>
      <c r="B6340" s="36"/>
      <c r="C6340" s="36"/>
      <c r="D6340" s="36"/>
      <c r="E6340" s="36"/>
      <c r="F6340" s="36"/>
      <c r="G6340" s="36"/>
      <c r="H6340" s="36"/>
      <c r="I6340" s="37"/>
      <c r="J6340" s="36"/>
      <c r="K6340" s="38"/>
      <c r="L6340" s="38"/>
    </row>
    <row r="6341" spans="1:12" x14ac:dyDescent="0.25">
      <c r="A6341" s="35"/>
      <c r="B6341" s="36"/>
      <c r="C6341" s="36"/>
      <c r="D6341" s="36"/>
      <c r="E6341" s="36"/>
      <c r="F6341" s="36"/>
      <c r="G6341" s="36"/>
      <c r="H6341" s="36"/>
      <c r="I6341" s="37"/>
      <c r="J6341" s="36"/>
      <c r="K6341" s="38"/>
      <c r="L6341" s="38"/>
    </row>
    <row r="6342" spans="1:12" x14ac:dyDescent="0.25">
      <c r="A6342" s="35"/>
      <c r="B6342" s="36"/>
      <c r="C6342" s="36"/>
      <c r="D6342" s="36"/>
      <c r="E6342" s="36"/>
      <c r="F6342" s="36"/>
      <c r="G6342" s="36"/>
      <c r="H6342" s="36"/>
      <c r="I6342" s="37"/>
      <c r="J6342" s="36"/>
      <c r="K6342" s="38"/>
      <c r="L6342" s="38"/>
    </row>
    <row r="6343" spans="1:12" x14ac:dyDescent="0.25">
      <c r="A6343" s="35"/>
      <c r="B6343" s="36"/>
      <c r="C6343" s="36"/>
      <c r="D6343" s="36"/>
      <c r="E6343" s="36"/>
      <c r="F6343" s="36"/>
      <c r="G6343" s="36"/>
      <c r="H6343" s="36"/>
      <c r="I6343" s="37"/>
      <c r="J6343" s="36"/>
      <c r="K6343" s="38"/>
      <c r="L6343" s="38"/>
    </row>
    <row r="6344" spans="1:12" x14ac:dyDescent="0.25">
      <c r="A6344" s="35"/>
      <c r="B6344" s="36"/>
      <c r="C6344" s="36"/>
      <c r="D6344" s="36"/>
      <c r="E6344" s="36"/>
      <c r="F6344" s="36"/>
      <c r="G6344" s="36"/>
      <c r="H6344" s="36"/>
      <c r="I6344" s="37"/>
      <c r="J6344" s="36"/>
      <c r="K6344" s="38"/>
      <c r="L6344" s="38"/>
    </row>
    <row r="6345" spans="1:12" x14ac:dyDescent="0.25">
      <c r="A6345" s="35"/>
      <c r="B6345" s="36"/>
      <c r="C6345" s="36"/>
      <c r="D6345" s="36"/>
      <c r="E6345" s="36"/>
      <c r="F6345" s="36"/>
      <c r="G6345" s="36"/>
      <c r="H6345" s="36"/>
      <c r="I6345" s="37"/>
      <c r="J6345" s="36"/>
      <c r="K6345" s="38"/>
      <c r="L6345" s="38"/>
    </row>
    <row r="6346" spans="1:12" x14ac:dyDescent="0.25">
      <c r="A6346" s="35"/>
      <c r="B6346" s="36"/>
      <c r="C6346" s="36"/>
      <c r="D6346" s="36"/>
      <c r="E6346" s="36"/>
      <c r="F6346" s="36"/>
      <c r="G6346" s="36"/>
      <c r="H6346" s="36"/>
      <c r="I6346" s="37"/>
      <c r="J6346" s="36"/>
      <c r="K6346" s="38"/>
      <c r="L6346" s="38"/>
    </row>
    <row r="6347" spans="1:12" x14ac:dyDescent="0.25">
      <c r="A6347" s="35"/>
      <c r="B6347" s="36"/>
      <c r="C6347" s="36"/>
      <c r="D6347" s="36"/>
      <c r="E6347" s="36"/>
      <c r="F6347" s="36"/>
      <c r="G6347" s="36"/>
      <c r="H6347" s="36"/>
      <c r="I6347" s="37"/>
      <c r="J6347" s="36"/>
      <c r="K6347" s="38"/>
      <c r="L6347" s="38"/>
    </row>
    <row r="6348" spans="1:12" x14ac:dyDescent="0.25">
      <c r="A6348" s="35"/>
      <c r="B6348" s="36"/>
      <c r="C6348" s="36"/>
      <c r="D6348" s="36"/>
      <c r="E6348" s="36"/>
      <c r="F6348" s="36"/>
      <c r="G6348" s="36"/>
      <c r="H6348" s="36"/>
      <c r="I6348" s="37"/>
      <c r="J6348" s="36"/>
      <c r="K6348" s="38"/>
      <c r="L6348" s="38"/>
    </row>
    <row r="6349" spans="1:12" x14ac:dyDescent="0.25">
      <c r="A6349" s="35"/>
      <c r="B6349" s="36"/>
      <c r="C6349" s="36"/>
      <c r="D6349" s="36"/>
      <c r="E6349" s="36"/>
      <c r="F6349" s="36"/>
      <c r="G6349" s="36"/>
      <c r="H6349" s="36"/>
      <c r="I6349" s="37"/>
      <c r="J6349" s="36"/>
      <c r="K6349" s="38"/>
      <c r="L6349" s="38"/>
    </row>
    <row r="6350" spans="1:12" x14ac:dyDescent="0.25">
      <c r="A6350" s="35"/>
      <c r="B6350" s="36"/>
      <c r="C6350" s="36"/>
      <c r="D6350" s="36"/>
      <c r="E6350" s="36"/>
      <c r="F6350" s="36"/>
      <c r="G6350" s="36"/>
      <c r="H6350" s="36"/>
      <c r="I6350" s="37"/>
      <c r="J6350" s="36"/>
      <c r="K6350" s="38"/>
      <c r="L6350" s="38"/>
    </row>
    <row r="6351" spans="1:12" x14ac:dyDescent="0.25">
      <c r="A6351" s="35"/>
      <c r="B6351" s="36"/>
      <c r="C6351" s="36"/>
      <c r="D6351" s="36"/>
      <c r="E6351" s="36"/>
      <c r="F6351" s="36"/>
      <c r="G6351" s="36"/>
      <c r="H6351" s="36"/>
      <c r="I6351" s="37"/>
      <c r="J6351" s="36"/>
      <c r="K6351" s="38"/>
      <c r="L6351" s="38"/>
    </row>
    <row r="6352" spans="1:12" x14ac:dyDescent="0.25">
      <c r="A6352" s="35"/>
      <c r="B6352" s="36"/>
      <c r="C6352" s="36"/>
      <c r="D6352" s="36"/>
      <c r="E6352" s="36"/>
      <c r="F6352" s="36"/>
      <c r="G6352" s="36"/>
      <c r="H6352" s="36"/>
      <c r="I6352" s="37"/>
      <c r="J6352" s="36"/>
      <c r="K6352" s="38"/>
      <c r="L6352" s="38"/>
    </row>
    <row r="6353" spans="1:12" x14ac:dyDescent="0.25">
      <c r="A6353" s="35"/>
      <c r="B6353" s="36"/>
      <c r="C6353" s="36"/>
      <c r="D6353" s="36"/>
      <c r="E6353" s="36"/>
      <c r="F6353" s="36"/>
      <c r="G6353" s="36"/>
      <c r="H6353" s="36"/>
      <c r="I6353" s="37"/>
      <c r="J6353" s="36"/>
      <c r="K6353" s="38"/>
      <c r="L6353" s="38"/>
    </row>
    <row r="6354" spans="1:12" x14ac:dyDescent="0.25">
      <c r="A6354" s="35"/>
      <c r="B6354" s="36"/>
      <c r="C6354" s="36"/>
      <c r="D6354" s="36"/>
      <c r="E6354" s="36"/>
      <c r="F6354" s="36"/>
      <c r="G6354" s="36"/>
      <c r="H6354" s="36"/>
      <c r="I6354" s="37"/>
      <c r="J6354" s="36"/>
      <c r="K6354" s="38"/>
      <c r="L6354" s="38"/>
    </row>
    <row r="6355" spans="1:12" x14ac:dyDescent="0.25">
      <c r="A6355" s="35"/>
      <c r="B6355" s="36"/>
      <c r="C6355" s="36"/>
      <c r="D6355" s="36"/>
      <c r="E6355" s="36"/>
      <c r="F6355" s="36"/>
      <c r="G6355" s="36"/>
      <c r="H6355" s="36"/>
      <c r="I6355" s="37"/>
      <c r="J6355" s="36"/>
      <c r="K6355" s="38"/>
      <c r="L6355" s="38"/>
    </row>
    <row r="6356" spans="1:12" x14ac:dyDescent="0.25">
      <c r="A6356" s="35"/>
      <c r="B6356" s="36"/>
      <c r="C6356" s="36"/>
      <c r="D6356" s="36"/>
      <c r="E6356" s="36"/>
      <c r="F6356" s="36"/>
      <c r="G6356" s="36"/>
      <c r="H6356" s="36"/>
      <c r="I6356" s="37"/>
      <c r="J6356" s="36"/>
      <c r="K6356" s="38"/>
      <c r="L6356" s="38"/>
    </row>
    <row r="6357" spans="1:12" x14ac:dyDescent="0.25">
      <c r="A6357" s="35"/>
      <c r="B6357" s="36"/>
      <c r="C6357" s="36"/>
      <c r="D6357" s="36"/>
      <c r="E6357" s="36"/>
      <c r="F6357" s="36"/>
      <c r="G6357" s="36"/>
      <c r="H6357" s="36"/>
      <c r="I6357" s="37"/>
      <c r="J6357" s="36"/>
      <c r="K6357" s="38"/>
      <c r="L6357" s="38"/>
    </row>
    <row r="6358" spans="1:12" x14ac:dyDescent="0.25">
      <c r="A6358" s="35"/>
      <c r="B6358" s="36"/>
      <c r="C6358" s="36"/>
      <c r="D6358" s="36"/>
      <c r="E6358" s="36"/>
      <c r="F6358" s="36"/>
      <c r="G6358" s="36"/>
      <c r="H6358" s="36"/>
      <c r="I6358" s="37"/>
      <c r="J6358" s="36"/>
      <c r="K6358" s="38"/>
      <c r="L6358" s="38"/>
    </row>
    <row r="6359" spans="1:12" x14ac:dyDescent="0.25">
      <c r="A6359" s="35"/>
      <c r="B6359" s="36"/>
      <c r="C6359" s="36"/>
      <c r="D6359" s="36"/>
      <c r="E6359" s="36"/>
      <c r="F6359" s="36"/>
      <c r="G6359" s="36"/>
      <c r="H6359" s="36"/>
      <c r="I6359" s="37"/>
      <c r="J6359" s="36"/>
      <c r="K6359" s="38"/>
      <c r="L6359" s="38"/>
    </row>
    <row r="6360" spans="1:12" x14ac:dyDescent="0.25">
      <c r="A6360" s="35"/>
      <c r="B6360" s="36"/>
      <c r="C6360" s="36"/>
      <c r="D6360" s="36"/>
      <c r="E6360" s="36"/>
      <c r="F6360" s="36"/>
      <c r="G6360" s="36"/>
      <c r="H6360" s="36"/>
      <c r="I6360" s="37"/>
      <c r="J6360" s="36"/>
      <c r="K6360" s="38"/>
      <c r="L6360" s="38"/>
    </row>
    <row r="6361" spans="1:12" x14ac:dyDescent="0.25">
      <c r="A6361" s="35"/>
      <c r="B6361" s="36"/>
      <c r="C6361" s="36"/>
      <c r="D6361" s="36"/>
      <c r="E6361" s="36"/>
      <c r="F6361" s="36"/>
      <c r="G6361" s="36"/>
      <c r="H6361" s="36"/>
      <c r="I6361" s="37"/>
      <c r="J6361" s="36"/>
      <c r="K6361" s="38"/>
      <c r="L6361" s="38"/>
    </row>
    <row r="6362" spans="1:12" x14ac:dyDescent="0.25">
      <c r="A6362" s="35"/>
      <c r="B6362" s="36"/>
      <c r="C6362" s="36"/>
      <c r="D6362" s="36"/>
      <c r="E6362" s="36"/>
      <c r="F6362" s="36"/>
      <c r="G6362" s="36"/>
      <c r="H6362" s="36"/>
      <c r="I6362" s="37"/>
      <c r="J6362" s="36"/>
      <c r="K6362" s="38"/>
      <c r="L6362" s="38"/>
    </row>
    <row r="6363" spans="1:12" x14ac:dyDescent="0.25">
      <c r="A6363" s="35"/>
      <c r="B6363" s="36"/>
      <c r="C6363" s="36"/>
      <c r="D6363" s="36"/>
      <c r="E6363" s="36"/>
      <c r="F6363" s="36"/>
      <c r="G6363" s="36"/>
      <c r="H6363" s="36"/>
      <c r="I6363" s="37"/>
      <c r="J6363" s="36"/>
      <c r="K6363" s="38"/>
      <c r="L6363" s="38"/>
    </row>
    <row r="6364" spans="1:12" x14ac:dyDescent="0.25">
      <c r="A6364" s="35"/>
      <c r="B6364" s="36"/>
      <c r="C6364" s="36"/>
      <c r="D6364" s="36"/>
      <c r="E6364" s="36"/>
      <c r="F6364" s="36"/>
      <c r="G6364" s="36"/>
      <c r="H6364" s="36"/>
      <c r="I6364" s="37"/>
      <c r="J6364" s="36"/>
      <c r="K6364" s="38"/>
      <c r="L6364" s="38"/>
    </row>
    <row r="6365" spans="1:12" x14ac:dyDescent="0.25">
      <c r="A6365" s="35"/>
      <c r="B6365" s="36"/>
      <c r="C6365" s="36"/>
      <c r="D6365" s="36"/>
      <c r="E6365" s="36"/>
      <c r="F6365" s="36"/>
      <c r="G6365" s="36"/>
      <c r="H6365" s="36"/>
      <c r="I6365" s="37"/>
      <c r="J6365" s="36"/>
      <c r="K6365" s="38"/>
      <c r="L6365" s="38"/>
    </row>
    <row r="6366" spans="1:12" x14ac:dyDescent="0.25">
      <c r="A6366" s="35"/>
      <c r="B6366" s="36"/>
      <c r="C6366" s="36"/>
      <c r="D6366" s="36"/>
      <c r="E6366" s="36"/>
      <c r="F6366" s="36"/>
      <c r="G6366" s="36"/>
      <c r="H6366" s="36"/>
      <c r="I6366" s="37"/>
      <c r="J6366" s="36"/>
      <c r="K6366" s="38"/>
      <c r="L6366" s="38"/>
    </row>
    <row r="6367" spans="1:12" x14ac:dyDescent="0.25">
      <c r="A6367" s="35"/>
      <c r="B6367" s="36"/>
      <c r="C6367" s="36"/>
      <c r="D6367" s="36"/>
      <c r="E6367" s="36"/>
      <c r="F6367" s="36"/>
      <c r="G6367" s="36"/>
      <c r="H6367" s="36"/>
      <c r="I6367" s="37"/>
      <c r="J6367" s="36"/>
      <c r="K6367" s="38"/>
      <c r="L6367" s="38"/>
    </row>
    <row r="6368" spans="1:12" x14ac:dyDescent="0.25">
      <c r="A6368" s="35"/>
      <c r="B6368" s="36"/>
      <c r="C6368" s="36"/>
      <c r="D6368" s="36"/>
      <c r="E6368" s="36"/>
      <c r="F6368" s="36"/>
      <c r="G6368" s="36"/>
      <c r="H6368" s="36"/>
      <c r="I6368" s="37"/>
      <c r="J6368" s="36"/>
      <c r="K6368" s="38"/>
      <c r="L6368" s="38"/>
    </row>
    <row r="6369" spans="1:12" x14ac:dyDescent="0.25">
      <c r="A6369" s="35"/>
      <c r="B6369" s="36"/>
      <c r="C6369" s="36"/>
      <c r="D6369" s="36"/>
      <c r="E6369" s="36"/>
      <c r="F6369" s="36"/>
      <c r="G6369" s="36"/>
      <c r="H6369" s="36"/>
      <c r="I6369" s="37"/>
      <c r="J6369" s="36"/>
      <c r="K6369" s="38"/>
      <c r="L6369" s="38"/>
    </row>
    <row r="6370" spans="1:12" x14ac:dyDescent="0.25">
      <c r="A6370" s="35"/>
      <c r="B6370" s="36"/>
      <c r="C6370" s="36"/>
      <c r="D6370" s="36"/>
      <c r="E6370" s="36"/>
      <c r="F6370" s="36"/>
      <c r="G6370" s="36"/>
      <c r="H6370" s="36"/>
      <c r="I6370" s="37"/>
      <c r="J6370" s="36"/>
      <c r="K6370" s="38"/>
      <c r="L6370" s="38"/>
    </row>
    <row r="6371" spans="1:12" x14ac:dyDescent="0.25">
      <c r="A6371" s="35"/>
      <c r="B6371" s="36"/>
      <c r="C6371" s="36"/>
      <c r="D6371" s="36"/>
      <c r="E6371" s="36"/>
      <c r="F6371" s="36"/>
      <c r="G6371" s="36"/>
      <c r="H6371" s="36"/>
      <c r="I6371" s="37"/>
      <c r="J6371" s="36"/>
      <c r="K6371" s="38"/>
      <c r="L6371" s="38"/>
    </row>
    <row r="6372" spans="1:12" x14ac:dyDescent="0.25">
      <c r="A6372" s="35"/>
      <c r="B6372" s="36"/>
      <c r="C6372" s="36"/>
      <c r="D6372" s="36"/>
      <c r="E6372" s="36"/>
      <c r="F6372" s="36"/>
      <c r="G6372" s="36"/>
      <c r="H6372" s="36"/>
      <c r="I6372" s="37"/>
      <c r="J6372" s="36"/>
      <c r="K6372" s="38"/>
      <c r="L6372" s="38"/>
    </row>
    <row r="6373" spans="1:12" x14ac:dyDescent="0.25">
      <c r="A6373" s="35"/>
      <c r="B6373" s="36"/>
      <c r="C6373" s="36"/>
      <c r="D6373" s="36"/>
      <c r="E6373" s="36"/>
      <c r="F6373" s="36"/>
      <c r="G6373" s="36"/>
      <c r="H6373" s="36"/>
      <c r="I6373" s="37"/>
      <c r="J6373" s="36"/>
      <c r="K6373" s="38"/>
      <c r="L6373" s="38"/>
    </row>
    <row r="6374" spans="1:12" x14ac:dyDescent="0.25">
      <c r="A6374" s="35"/>
      <c r="B6374" s="36"/>
      <c r="C6374" s="36"/>
      <c r="D6374" s="36"/>
      <c r="E6374" s="36"/>
      <c r="F6374" s="36"/>
      <c r="G6374" s="36"/>
      <c r="H6374" s="36"/>
      <c r="I6374" s="37"/>
      <c r="J6374" s="36"/>
      <c r="K6374" s="38"/>
      <c r="L6374" s="38"/>
    </row>
    <row r="6375" spans="1:12" x14ac:dyDescent="0.25">
      <c r="A6375" s="35"/>
      <c r="B6375" s="36"/>
      <c r="C6375" s="36"/>
      <c r="D6375" s="36"/>
      <c r="E6375" s="36"/>
      <c r="F6375" s="36"/>
      <c r="G6375" s="36"/>
      <c r="H6375" s="36"/>
      <c r="I6375" s="37"/>
      <c r="J6375" s="36"/>
      <c r="K6375" s="38"/>
      <c r="L6375" s="38"/>
    </row>
    <row r="6376" spans="1:12" x14ac:dyDescent="0.25">
      <c r="A6376" s="35"/>
      <c r="B6376" s="36"/>
      <c r="C6376" s="36"/>
      <c r="D6376" s="36"/>
      <c r="E6376" s="36"/>
      <c r="F6376" s="36"/>
      <c r="G6376" s="36"/>
      <c r="H6376" s="36"/>
      <c r="I6376" s="37"/>
      <c r="J6376" s="36"/>
      <c r="K6376" s="38"/>
      <c r="L6376" s="38"/>
    </row>
    <row r="6377" spans="1:12" x14ac:dyDescent="0.25">
      <c r="A6377" s="35"/>
      <c r="B6377" s="36"/>
      <c r="C6377" s="36"/>
      <c r="D6377" s="36"/>
      <c r="E6377" s="36"/>
      <c r="F6377" s="36"/>
      <c r="G6377" s="36"/>
      <c r="H6377" s="36"/>
      <c r="I6377" s="37"/>
      <c r="J6377" s="36"/>
      <c r="K6377" s="38"/>
      <c r="L6377" s="38"/>
    </row>
    <row r="6378" spans="1:12" x14ac:dyDescent="0.25">
      <c r="A6378" s="35"/>
      <c r="B6378" s="36"/>
      <c r="C6378" s="36"/>
      <c r="D6378" s="36"/>
      <c r="E6378" s="36"/>
      <c r="F6378" s="36"/>
      <c r="G6378" s="36"/>
      <c r="H6378" s="36"/>
      <c r="I6378" s="37"/>
      <c r="J6378" s="36"/>
      <c r="K6378" s="38"/>
      <c r="L6378" s="38"/>
    </row>
    <row r="6379" spans="1:12" x14ac:dyDescent="0.25">
      <c r="A6379" s="35"/>
      <c r="B6379" s="36"/>
      <c r="C6379" s="36"/>
      <c r="D6379" s="36"/>
      <c r="E6379" s="36"/>
      <c r="F6379" s="36"/>
      <c r="G6379" s="36"/>
      <c r="H6379" s="36"/>
      <c r="I6379" s="37"/>
      <c r="J6379" s="36"/>
      <c r="K6379" s="38"/>
      <c r="L6379" s="38"/>
    </row>
    <row r="6380" spans="1:12" x14ac:dyDescent="0.25">
      <c r="A6380" s="35"/>
      <c r="B6380" s="36"/>
      <c r="C6380" s="36"/>
      <c r="D6380" s="36"/>
      <c r="E6380" s="36"/>
      <c r="F6380" s="36"/>
      <c r="G6380" s="36"/>
      <c r="H6380" s="36"/>
      <c r="I6380" s="37"/>
      <c r="J6380" s="36"/>
      <c r="K6380" s="38"/>
      <c r="L6380" s="38"/>
    </row>
    <row r="6381" spans="1:12" x14ac:dyDescent="0.25">
      <c r="A6381" s="35"/>
      <c r="B6381" s="36"/>
      <c r="C6381" s="36"/>
      <c r="D6381" s="36"/>
      <c r="E6381" s="36"/>
      <c r="F6381" s="36"/>
      <c r="G6381" s="36"/>
      <c r="H6381" s="36"/>
      <c r="I6381" s="37"/>
      <c r="J6381" s="36"/>
      <c r="K6381" s="38"/>
      <c r="L6381" s="38"/>
    </row>
    <row r="6382" spans="1:12" x14ac:dyDescent="0.25">
      <c r="A6382" s="35"/>
      <c r="B6382" s="36"/>
      <c r="C6382" s="36"/>
      <c r="D6382" s="36"/>
      <c r="E6382" s="36"/>
      <c r="F6382" s="36"/>
      <c r="G6382" s="36"/>
      <c r="H6382" s="36"/>
      <c r="I6382" s="37"/>
      <c r="J6382" s="36"/>
      <c r="K6382" s="38"/>
      <c r="L6382" s="38"/>
    </row>
    <row r="6383" spans="1:12" x14ac:dyDescent="0.25">
      <c r="A6383" s="35"/>
      <c r="B6383" s="36"/>
      <c r="C6383" s="36"/>
      <c r="D6383" s="36"/>
      <c r="E6383" s="36"/>
      <c r="F6383" s="36"/>
      <c r="G6383" s="36"/>
      <c r="H6383" s="36"/>
      <c r="I6383" s="37"/>
      <c r="J6383" s="36"/>
      <c r="K6383" s="38"/>
      <c r="L6383" s="38"/>
    </row>
    <row r="6384" spans="1:12" x14ac:dyDescent="0.25">
      <c r="A6384" s="35"/>
      <c r="B6384" s="36"/>
      <c r="C6384" s="36"/>
      <c r="D6384" s="36"/>
      <c r="E6384" s="36"/>
      <c r="F6384" s="36"/>
      <c r="G6384" s="36"/>
      <c r="H6384" s="36"/>
      <c r="I6384" s="37"/>
      <c r="J6384" s="36"/>
      <c r="K6384" s="38"/>
      <c r="L6384" s="38"/>
    </row>
    <row r="6385" spans="1:12" x14ac:dyDescent="0.25">
      <c r="A6385" s="35"/>
      <c r="B6385" s="36"/>
      <c r="C6385" s="36"/>
      <c r="D6385" s="36"/>
      <c r="E6385" s="36"/>
      <c r="F6385" s="36"/>
      <c r="G6385" s="36"/>
      <c r="H6385" s="36"/>
      <c r="I6385" s="37"/>
      <c r="J6385" s="36"/>
      <c r="K6385" s="38"/>
      <c r="L6385" s="38"/>
    </row>
    <row r="6386" spans="1:12" x14ac:dyDescent="0.25">
      <c r="A6386" s="35"/>
      <c r="B6386" s="36"/>
      <c r="C6386" s="36"/>
      <c r="D6386" s="36"/>
      <c r="E6386" s="36"/>
      <c r="F6386" s="36"/>
      <c r="G6386" s="36"/>
      <c r="H6386" s="36"/>
      <c r="I6386" s="37"/>
      <c r="J6386" s="36"/>
      <c r="K6386" s="38"/>
      <c r="L6386" s="38"/>
    </row>
    <row r="6387" spans="1:12" x14ac:dyDescent="0.25">
      <c r="A6387" s="35"/>
      <c r="B6387" s="36"/>
      <c r="C6387" s="36"/>
      <c r="D6387" s="36"/>
      <c r="E6387" s="36"/>
      <c r="F6387" s="36"/>
      <c r="G6387" s="36"/>
      <c r="H6387" s="36"/>
      <c r="I6387" s="37"/>
      <c r="J6387" s="36"/>
      <c r="K6387" s="38"/>
      <c r="L6387" s="38"/>
    </row>
    <row r="6388" spans="1:12" x14ac:dyDescent="0.25">
      <c r="A6388" s="35"/>
      <c r="B6388" s="36"/>
      <c r="C6388" s="36"/>
      <c r="D6388" s="36"/>
      <c r="E6388" s="36"/>
      <c r="F6388" s="36"/>
      <c r="G6388" s="36"/>
      <c r="H6388" s="36"/>
      <c r="I6388" s="37"/>
      <c r="J6388" s="36"/>
      <c r="K6388" s="38"/>
      <c r="L6388" s="38"/>
    </row>
    <row r="6389" spans="1:12" x14ac:dyDescent="0.25">
      <c r="A6389" s="35"/>
      <c r="B6389" s="36"/>
      <c r="C6389" s="36"/>
      <c r="D6389" s="36"/>
      <c r="E6389" s="36"/>
      <c r="F6389" s="36"/>
      <c r="G6389" s="36"/>
      <c r="H6389" s="36"/>
      <c r="I6389" s="37"/>
      <c r="J6389" s="36"/>
      <c r="K6389" s="38"/>
      <c r="L6389" s="38"/>
    </row>
    <row r="6390" spans="1:12" x14ac:dyDescent="0.25">
      <c r="A6390" s="35"/>
      <c r="B6390" s="36"/>
      <c r="C6390" s="36"/>
      <c r="D6390" s="36"/>
      <c r="E6390" s="36"/>
      <c r="F6390" s="36"/>
      <c r="G6390" s="36"/>
      <c r="H6390" s="36"/>
      <c r="I6390" s="37"/>
      <c r="J6390" s="36"/>
      <c r="K6390" s="38"/>
      <c r="L6390" s="38"/>
    </row>
    <row r="6391" spans="1:12" x14ac:dyDescent="0.25">
      <c r="A6391" s="35"/>
      <c r="B6391" s="36"/>
      <c r="C6391" s="36"/>
      <c r="D6391" s="36"/>
      <c r="E6391" s="36"/>
      <c r="F6391" s="36"/>
      <c r="G6391" s="36"/>
      <c r="H6391" s="36"/>
      <c r="I6391" s="37"/>
      <c r="J6391" s="36"/>
      <c r="K6391" s="38"/>
      <c r="L6391" s="38"/>
    </row>
    <row r="6392" spans="1:12" x14ac:dyDescent="0.25">
      <c r="A6392" s="35"/>
      <c r="B6392" s="36"/>
      <c r="C6392" s="36"/>
      <c r="D6392" s="36"/>
      <c r="E6392" s="36"/>
      <c r="F6392" s="36"/>
      <c r="G6392" s="36"/>
      <c r="H6392" s="36"/>
      <c r="I6392" s="37"/>
      <c r="J6392" s="36"/>
      <c r="K6392" s="38"/>
      <c r="L6392" s="38"/>
    </row>
    <row r="6393" spans="1:12" x14ac:dyDescent="0.25">
      <c r="A6393" s="35"/>
      <c r="B6393" s="36"/>
      <c r="C6393" s="36"/>
      <c r="D6393" s="36"/>
      <c r="E6393" s="36"/>
      <c r="F6393" s="36"/>
      <c r="G6393" s="36"/>
      <c r="H6393" s="36"/>
      <c r="I6393" s="37"/>
      <c r="J6393" s="36"/>
      <c r="K6393" s="38"/>
      <c r="L6393" s="38"/>
    </row>
    <row r="6394" spans="1:12" x14ac:dyDescent="0.25">
      <c r="A6394" s="35"/>
      <c r="B6394" s="36"/>
      <c r="C6394" s="36"/>
      <c r="D6394" s="36"/>
      <c r="E6394" s="36"/>
      <c r="F6394" s="36"/>
      <c r="G6394" s="36"/>
      <c r="H6394" s="36"/>
      <c r="I6394" s="37"/>
      <c r="J6394" s="36"/>
      <c r="K6394" s="38"/>
      <c r="L6394" s="38"/>
    </row>
    <row r="6395" spans="1:12" x14ac:dyDescent="0.25">
      <c r="A6395" s="35"/>
      <c r="B6395" s="36"/>
      <c r="C6395" s="36"/>
      <c r="D6395" s="36"/>
      <c r="E6395" s="36"/>
      <c r="F6395" s="36"/>
      <c r="G6395" s="36"/>
      <c r="H6395" s="36"/>
      <c r="I6395" s="37"/>
      <c r="J6395" s="36"/>
      <c r="K6395" s="38"/>
      <c r="L6395" s="38"/>
    </row>
    <row r="6396" spans="1:12" x14ac:dyDescent="0.25">
      <c r="A6396" s="35"/>
      <c r="B6396" s="36"/>
      <c r="C6396" s="36"/>
      <c r="D6396" s="36"/>
      <c r="E6396" s="36"/>
      <c r="F6396" s="36"/>
      <c r="G6396" s="36"/>
      <c r="H6396" s="36"/>
      <c r="I6396" s="37"/>
      <c r="J6396" s="36"/>
      <c r="K6396" s="38"/>
      <c r="L6396" s="38"/>
    </row>
    <row r="6397" spans="1:12" x14ac:dyDescent="0.25">
      <c r="A6397" s="35"/>
      <c r="B6397" s="36"/>
      <c r="C6397" s="36"/>
      <c r="D6397" s="36"/>
      <c r="E6397" s="36"/>
      <c r="F6397" s="36"/>
      <c r="G6397" s="36"/>
      <c r="H6397" s="36"/>
      <c r="I6397" s="37"/>
      <c r="J6397" s="36"/>
      <c r="K6397" s="38"/>
      <c r="L6397" s="38"/>
    </row>
    <row r="6398" spans="1:12" x14ac:dyDescent="0.25">
      <c r="A6398" s="35"/>
      <c r="B6398" s="36"/>
      <c r="C6398" s="36"/>
      <c r="D6398" s="36"/>
      <c r="E6398" s="36"/>
      <c r="F6398" s="36"/>
      <c r="G6398" s="36"/>
      <c r="H6398" s="36"/>
      <c r="I6398" s="37"/>
      <c r="J6398" s="36"/>
      <c r="K6398" s="38"/>
      <c r="L6398" s="38"/>
    </row>
    <row r="6399" spans="1:12" x14ac:dyDescent="0.25">
      <c r="A6399" s="35"/>
      <c r="B6399" s="36"/>
      <c r="C6399" s="36"/>
      <c r="D6399" s="36"/>
      <c r="E6399" s="36"/>
      <c r="F6399" s="36"/>
      <c r="G6399" s="36"/>
      <c r="H6399" s="36"/>
      <c r="I6399" s="37"/>
      <c r="J6399" s="36"/>
      <c r="K6399" s="38"/>
      <c r="L6399" s="38"/>
    </row>
    <row r="6400" spans="1:12" x14ac:dyDescent="0.25">
      <c r="A6400" s="35"/>
      <c r="B6400" s="36"/>
      <c r="C6400" s="36"/>
      <c r="D6400" s="36"/>
      <c r="E6400" s="36"/>
      <c r="F6400" s="36"/>
      <c r="G6400" s="36"/>
      <c r="H6400" s="36"/>
      <c r="I6400" s="37"/>
      <c r="J6400" s="36"/>
      <c r="K6400" s="38"/>
      <c r="L6400" s="38"/>
    </row>
    <row r="6401" spans="1:12" x14ac:dyDescent="0.25">
      <c r="A6401" s="35"/>
      <c r="B6401" s="36"/>
      <c r="C6401" s="36"/>
      <c r="D6401" s="36"/>
      <c r="E6401" s="36"/>
      <c r="F6401" s="36"/>
      <c r="G6401" s="36"/>
      <c r="H6401" s="36"/>
      <c r="I6401" s="37"/>
      <c r="J6401" s="36"/>
      <c r="K6401" s="38"/>
      <c r="L6401" s="38"/>
    </row>
    <row r="6402" spans="1:12" x14ac:dyDescent="0.25">
      <c r="A6402" s="35"/>
      <c r="B6402" s="36"/>
      <c r="C6402" s="36"/>
      <c r="D6402" s="36"/>
      <c r="E6402" s="36"/>
      <c r="F6402" s="36"/>
      <c r="G6402" s="36"/>
      <c r="H6402" s="36"/>
      <c r="I6402" s="37"/>
      <c r="J6402" s="36"/>
      <c r="K6402" s="38"/>
      <c r="L6402" s="38"/>
    </row>
    <row r="6403" spans="1:12" x14ac:dyDescent="0.25">
      <c r="A6403" s="35"/>
      <c r="B6403" s="36"/>
      <c r="C6403" s="36"/>
      <c r="D6403" s="36"/>
      <c r="E6403" s="36"/>
      <c r="F6403" s="36"/>
      <c r="G6403" s="36"/>
      <c r="H6403" s="36"/>
      <c r="I6403" s="37"/>
      <c r="J6403" s="36"/>
      <c r="K6403" s="38"/>
      <c r="L6403" s="38"/>
    </row>
    <row r="6404" spans="1:12" x14ac:dyDescent="0.25">
      <c r="A6404" s="35"/>
      <c r="B6404" s="36"/>
      <c r="C6404" s="36"/>
      <c r="D6404" s="36"/>
      <c r="E6404" s="36"/>
      <c r="F6404" s="36"/>
      <c r="G6404" s="36"/>
      <c r="H6404" s="36"/>
      <c r="I6404" s="37"/>
      <c r="J6404" s="36"/>
      <c r="K6404" s="38"/>
      <c r="L6404" s="38"/>
    </row>
    <row r="6405" spans="1:12" x14ac:dyDescent="0.25">
      <c r="A6405" s="35"/>
      <c r="B6405" s="36"/>
      <c r="C6405" s="36"/>
      <c r="D6405" s="36"/>
      <c r="E6405" s="36"/>
      <c r="F6405" s="36"/>
      <c r="G6405" s="36"/>
      <c r="H6405" s="36"/>
      <c r="I6405" s="37"/>
      <c r="J6405" s="36"/>
      <c r="K6405" s="38"/>
      <c r="L6405" s="38"/>
    </row>
    <row r="6406" spans="1:12" x14ac:dyDescent="0.25">
      <c r="A6406" s="35"/>
      <c r="B6406" s="36"/>
      <c r="C6406" s="36"/>
      <c r="D6406" s="36"/>
      <c r="E6406" s="36"/>
      <c r="F6406" s="36"/>
      <c r="G6406" s="36"/>
      <c r="H6406" s="36"/>
      <c r="I6406" s="37"/>
      <c r="J6406" s="36"/>
      <c r="K6406" s="38"/>
      <c r="L6406" s="38"/>
    </row>
    <row r="6407" spans="1:12" x14ac:dyDescent="0.25">
      <c r="A6407" s="35"/>
      <c r="B6407" s="36"/>
      <c r="C6407" s="36"/>
      <c r="D6407" s="36"/>
      <c r="E6407" s="36"/>
      <c r="F6407" s="36"/>
      <c r="G6407" s="36"/>
      <c r="H6407" s="36"/>
      <c r="I6407" s="37"/>
      <c r="J6407" s="36"/>
      <c r="K6407" s="38"/>
      <c r="L6407" s="38"/>
    </row>
    <row r="6408" spans="1:12" x14ac:dyDescent="0.25">
      <c r="A6408" s="35"/>
      <c r="B6408" s="36"/>
      <c r="C6408" s="36"/>
      <c r="D6408" s="36"/>
      <c r="E6408" s="36"/>
      <c r="F6408" s="36"/>
      <c r="G6408" s="36"/>
      <c r="H6408" s="36"/>
      <c r="I6408" s="37"/>
      <c r="J6408" s="36"/>
      <c r="K6408" s="38"/>
      <c r="L6408" s="38"/>
    </row>
    <row r="6409" spans="1:12" x14ac:dyDescent="0.25">
      <c r="A6409" s="35"/>
      <c r="B6409" s="36"/>
      <c r="C6409" s="36"/>
      <c r="D6409" s="36"/>
      <c r="E6409" s="36"/>
      <c r="F6409" s="36"/>
      <c r="G6409" s="36"/>
      <c r="H6409" s="36"/>
      <c r="I6409" s="37"/>
      <c r="J6409" s="36"/>
      <c r="K6409" s="38"/>
      <c r="L6409" s="38"/>
    </row>
    <row r="6410" spans="1:12" x14ac:dyDescent="0.25">
      <c r="A6410" s="35"/>
      <c r="B6410" s="36"/>
      <c r="C6410" s="36"/>
      <c r="D6410" s="36"/>
      <c r="E6410" s="36"/>
      <c r="F6410" s="36"/>
      <c r="G6410" s="36"/>
      <c r="H6410" s="36"/>
      <c r="I6410" s="37"/>
      <c r="J6410" s="36"/>
      <c r="K6410" s="38"/>
      <c r="L6410" s="38"/>
    </row>
    <row r="6411" spans="1:12" x14ac:dyDescent="0.25">
      <c r="A6411" s="35"/>
      <c r="B6411" s="36"/>
      <c r="C6411" s="36"/>
      <c r="D6411" s="36"/>
      <c r="E6411" s="36"/>
      <c r="F6411" s="36"/>
      <c r="G6411" s="36"/>
      <c r="H6411" s="36"/>
      <c r="I6411" s="37"/>
      <c r="J6411" s="36"/>
      <c r="K6411" s="38"/>
      <c r="L6411" s="38"/>
    </row>
    <row r="6412" spans="1:12" x14ac:dyDescent="0.25">
      <c r="A6412" s="35"/>
      <c r="B6412" s="36"/>
      <c r="C6412" s="36"/>
      <c r="D6412" s="36"/>
      <c r="E6412" s="36"/>
      <c r="F6412" s="36"/>
      <c r="G6412" s="36"/>
      <c r="H6412" s="36"/>
      <c r="I6412" s="37"/>
      <c r="J6412" s="36"/>
      <c r="K6412" s="38"/>
      <c r="L6412" s="38"/>
    </row>
    <row r="6413" spans="1:12" x14ac:dyDescent="0.25">
      <c r="A6413" s="35"/>
      <c r="B6413" s="36"/>
      <c r="C6413" s="36"/>
      <c r="D6413" s="36"/>
      <c r="E6413" s="36"/>
      <c r="F6413" s="36"/>
      <c r="G6413" s="36"/>
      <c r="H6413" s="36"/>
      <c r="I6413" s="37"/>
      <c r="J6413" s="36"/>
      <c r="K6413" s="38"/>
      <c r="L6413" s="38"/>
    </row>
    <row r="6414" spans="1:12" x14ac:dyDescent="0.25">
      <c r="A6414" s="35"/>
      <c r="B6414" s="36"/>
      <c r="C6414" s="36"/>
      <c r="D6414" s="36"/>
      <c r="E6414" s="36"/>
      <c r="F6414" s="36"/>
      <c r="G6414" s="36"/>
      <c r="H6414" s="36"/>
      <c r="I6414" s="37"/>
      <c r="J6414" s="36"/>
      <c r="K6414" s="38"/>
      <c r="L6414" s="38"/>
    </row>
    <row r="6415" spans="1:12" x14ac:dyDescent="0.25">
      <c r="A6415" s="35"/>
      <c r="B6415" s="36"/>
      <c r="C6415" s="36"/>
      <c r="D6415" s="36"/>
      <c r="E6415" s="36"/>
      <c r="F6415" s="36"/>
      <c r="G6415" s="36"/>
      <c r="H6415" s="36"/>
      <c r="I6415" s="37"/>
      <c r="J6415" s="36"/>
      <c r="K6415" s="38"/>
      <c r="L6415" s="38"/>
    </row>
    <row r="6416" spans="1:12" x14ac:dyDescent="0.25">
      <c r="A6416" s="35"/>
      <c r="B6416" s="36"/>
      <c r="C6416" s="36"/>
      <c r="D6416" s="36"/>
      <c r="E6416" s="36"/>
      <c r="F6416" s="36"/>
      <c r="G6416" s="36"/>
      <c r="H6416" s="36"/>
      <c r="I6416" s="37"/>
      <c r="J6416" s="36"/>
      <c r="K6416" s="38"/>
      <c r="L6416" s="38"/>
    </row>
    <row r="6417" spans="1:12" x14ac:dyDescent="0.25">
      <c r="A6417" s="35"/>
      <c r="B6417" s="36"/>
      <c r="C6417" s="36"/>
      <c r="D6417" s="36"/>
      <c r="E6417" s="36"/>
      <c r="F6417" s="36"/>
      <c r="G6417" s="36"/>
      <c r="H6417" s="36"/>
      <c r="I6417" s="37"/>
      <c r="J6417" s="36"/>
      <c r="K6417" s="38"/>
      <c r="L6417" s="38"/>
    </row>
    <row r="6418" spans="1:12" x14ac:dyDescent="0.25">
      <c r="A6418" s="35"/>
      <c r="B6418" s="36"/>
      <c r="C6418" s="36"/>
      <c r="D6418" s="36"/>
      <c r="E6418" s="36"/>
      <c r="F6418" s="36"/>
      <c r="G6418" s="36"/>
      <c r="H6418" s="36"/>
      <c r="I6418" s="37"/>
      <c r="J6418" s="36"/>
      <c r="K6418" s="38"/>
      <c r="L6418" s="38"/>
    </row>
    <row r="6419" spans="1:12" x14ac:dyDescent="0.25">
      <c r="A6419" s="35"/>
      <c r="B6419" s="36"/>
      <c r="C6419" s="36"/>
      <c r="D6419" s="36"/>
      <c r="E6419" s="36"/>
      <c r="F6419" s="36"/>
      <c r="G6419" s="36"/>
      <c r="H6419" s="36"/>
      <c r="I6419" s="37"/>
      <c r="J6419" s="36"/>
      <c r="K6419" s="38"/>
      <c r="L6419" s="38"/>
    </row>
    <row r="6420" spans="1:12" x14ac:dyDescent="0.25">
      <c r="A6420" s="35"/>
      <c r="B6420" s="36"/>
      <c r="C6420" s="36"/>
      <c r="D6420" s="36"/>
      <c r="E6420" s="36"/>
      <c r="F6420" s="36"/>
      <c r="G6420" s="36"/>
      <c r="H6420" s="36"/>
      <c r="I6420" s="37"/>
      <c r="J6420" s="36"/>
      <c r="K6420" s="38"/>
      <c r="L6420" s="38"/>
    </row>
    <row r="6421" spans="1:12" x14ac:dyDescent="0.25">
      <c r="A6421" s="35"/>
      <c r="B6421" s="36"/>
      <c r="C6421" s="36"/>
      <c r="D6421" s="36"/>
      <c r="E6421" s="36"/>
      <c r="F6421" s="36"/>
      <c r="G6421" s="36"/>
      <c r="H6421" s="36"/>
      <c r="I6421" s="37"/>
      <c r="J6421" s="36"/>
      <c r="K6421" s="38"/>
      <c r="L6421" s="38"/>
    </row>
    <row r="6422" spans="1:12" x14ac:dyDescent="0.25">
      <c r="A6422" s="35"/>
      <c r="B6422" s="36"/>
      <c r="C6422" s="36"/>
      <c r="D6422" s="36"/>
      <c r="E6422" s="36"/>
      <c r="F6422" s="36"/>
      <c r="G6422" s="36"/>
      <c r="H6422" s="36"/>
      <c r="I6422" s="37"/>
      <c r="J6422" s="36"/>
      <c r="K6422" s="38"/>
      <c r="L6422" s="38"/>
    </row>
    <row r="6423" spans="1:12" x14ac:dyDescent="0.25">
      <c r="A6423" s="35"/>
      <c r="B6423" s="36"/>
      <c r="C6423" s="36"/>
      <c r="D6423" s="36"/>
      <c r="E6423" s="36"/>
      <c r="F6423" s="36"/>
      <c r="G6423" s="36"/>
      <c r="H6423" s="36"/>
      <c r="I6423" s="37"/>
      <c r="J6423" s="36"/>
      <c r="K6423" s="38"/>
      <c r="L6423" s="38"/>
    </row>
    <row r="6424" spans="1:12" x14ac:dyDescent="0.25">
      <c r="A6424" s="35"/>
      <c r="B6424" s="36"/>
      <c r="C6424" s="36"/>
      <c r="D6424" s="36"/>
      <c r="E6424" s="36"/>
      <c r="F6424" s="36"/>
      <c r="G6424" s="36"/>
      <c r="H6424" s="36"/>
      <c r="I6424" s="37"/>
      <c r="J6424" s="36"/>
      <c r="K6424" s="38"/>
      <c r="L6424" s="38"/>
    </row>
    <row r="6425" spans="1:12" x14ac:dyDescent="0.25">
      <c r="A6425" s="35"/>
      <c r="B6425" s="36"/>
      <c r="C6425" s="36"/>
      <c r="D6425" s="36"/>
      <c r="E6425" s="36"/>
      <c r="F6425" s="36"/>
      <c r="G6425" s="36"/>
      <c r="H6425" s="36"/>
      <c r="I6425" s="37"/>
      <c r="J6425" s="36"/>
      <c r="K6425" s="38"/>
      <c r="L6425" s="38"/>
    </row>
    <row r="6426" spans="1:12" x14ac:dyDescent="0.25">
      <c r="A6426" s="35"/>
      <c r="B6426" s="36"/>
      <c r="C6426" s="36"/>
      <c r="D6426" s="36"/>
      <c r="E6426" s="36"/>
      <c r="F6426" s="36"/>
      <c r="G6426" s="36"/>
      <c r="H6426" s="36"/>
      <c r="I6426" s="37"/>
      <c r="J6426" s="36"/>
      <c r="K6426" s="38"/>
      <c r="L6426" s="38"/>
    </row>
    <row r="6427" spans="1:12" x14ac:dyDescent="0.25">
      <c r="A6427" s="35"/>
      <c r="B6427" s="36"/>
      <c r="C6427" s="36"/>
      <c r="D6427" s="36"/>
      <c r="E6427" s="36"/>
      <c r="F6427" s="36"/>
      <c r="G6427" s="36"/>
      <c r="H6427" s="36"/>
      <c r="I6427" s="37"/>
      <c r="J6427" s="36"/>
      <c r="K6427" s="38"/>
      <c r="L6427" s="38"/>
    </row>
    <row r="6428" spans="1:12" x14ac:dyDescent="0.25">
      <c r="A6428" s="35"/>
      <c r="B6428" s="36"/>
      <c r="C6428" s="36"/>
      <c r="D6428" s="36"/>
      <c r="E6428" s="36"/>
      <c r="F6428" s="36"/>
      <c r="G6428" s="36"/>
      <c r="H6428" s="36"/>
      <c r="I6428" s="37"/>
      <c r="J6428" s="36"/>
      <c r="K6428" s="38"/>
      <c r="L6428" s="38"/>
    </row>
    <row r="6429" spans="1:12" x14ac:dyDescent="0.25">
      <c r="A6429" s="35"/>
      <c r="B6429" s="36"/>
      <c r="C6429" s="36"/>
      <c r="D6429" s="36"/>
      <c r="E6429" s="36"/>
      <c r="F6429" s="36"/>
      <c r="G6429" s="36"/>
      <c r="H6429" s="36"/>
      <c r="I6429" s="37"/>
      <c r="J6429" s="36"/>
      <c r="K6429" s="38"/>
      <c r="L6429" s="38"/>
    </row>
    <row r="6430" spans="1:12" x14ac:dyDescent="0.25">
      <c r="A6430" s="35"/>
      <c r="B6430" s="36"/>
      <c r="C6430" s="36"/>
      <c r="D6430" s="36"/>
      <c r="E6430" s="36"/>
      <c r="F6430" s="36"/>
      <c r="G6430" s="36"/>
      <c r="H6430" s="36"/>
      <c r="I6430" s="37"/>
      <c r="J6430" s="36"/>
      <c r="K6430" s="38"/>
      <c r="L6430" s="38"/>
    </row>
    <row r="6431" spans="1:12" x14ac:dyDescent="0.25">
      <c r="A6431" s="35"/>
      <c r="B6431" s="36"/>
      <c r="C6431" s="36"/>
      <c r="D6431" s="36"/>
      <c r="E6431" s="36"/>
      <c r="F6431" s="36"/>
      <c r="G6431" s="36"/>
      <c r="H6431" s="36"/>
      <c r="I6431" s="37"/>
      <c r="J6431" s="36"/>
      <c r="K6431" s="38"/>
      <c r="L6431" s="38"/>
    </row>
    <row r="6432" spans="1:12" x14ac:dyDescent="0.25">
      <c r="A6432" s="35"/>
      <c r="B6432" s="36"/>
      <c r="C6432" s="36"/>
      <c r="D6432" s="36"/>
      <c r="E6432" s="36"/>
      <c r="F6432" s="36"/>
      <c r="G6432" s="36"/>
      <c r="H6432" s="36"/>
      <c r="I6432" s="37"/>
      <c r="J6432" s="36"/>
      <c r="K6432" s="38"/>
      <c r="L6432" s="38"/>
    </row>
    <row r="6433" spans="1:12" x14ac:dyDescent="0.25">
      <c r="A6433" s="35"/>
      <c r="B6433" s="36"/>
      <c r="C6433" s="36"/>
      <c r="D6433" s="36"/>
      <c r="E6433" s="36"/>
      <c r="F6433" s="36"/>
      <c r="G6433" s="36"/>
      <c r="H6433" s="36"/>
      <c r="I6433" s="37"/>
      <c r="J6433" s="36"/>
      <c r="K6433" s="38"/>
      <c r="L6433" s="38"/>
    </row>
    <row r="6434" spans="1:12" x14ac:dyDescent="0.25">
      <c r="A6434" s="35"/>
      <c r="B6434" s="36"/>
      <c r="C6434" s="36"/>
      <c r="D6434" s="36"/>
      <c r="E6434" s="36"/>
      <c r="F6434" s="36"/>
      <c r="G6434" s="36"/>
      <c r="H6434" s="36"/>
      <c r="I6434" s="37"/>
      <c r="J6434" s="36"/>
      <c r="K6434" s="38"/>
      <c r="L6434" s="38"/>
    </row>
    <row r="6435" spans="1:12" x14ac:dyDescent="0.25">
      <c r="A6435" s="35"/>
      <c r="B6435" s="36"/>
      <c r="C6435" s="36"/>
      <c r="D6435" s="36"/>
      <c r="E6435" s="36"/>
      <c r="F6435" s="36"/>
      <c r="G6435" s="36"/>
      <c r="H6435" s="36"/>
      <c r="I6435" s="37"/>
      <c r="J6435" s="36"/>
      <c r="K6435" s="38"/>
      <c r="L6435" s="38"/>
    </row>
    <row r="6436" spans="1:12" x14ac:dyDescent="0.25">
      <c r="A6436" s="35"/>
      <c r="B6436" s="36"/>
      <c r="C6436" s="36"/>
      <c r="D6436" s="36"/>
      <c r="E6436" s="36"/>
      <c r="F6436" s="36"/>
      <c r="G6436" s="36"/>
      <c r="H6436" s="36"/>
      <c r="I6436" s="37"/>
      <c r="J6436" s="36"/>
      <c r="K6436" s="38"/>
      <c r="L6436" s="38"/>
    </row>
    <row r="6437" spans="1:12" x14ac:dyDescent="0.25">
      <c r="A6437" s="35"/>
      <c r="B6437" s="36"/>
      <c r="C6437" s="36"/>
      <c r="D6437" s="36"/>
      <c r="E6437" s="36"/>
      <c r="F6437" s="36"/>
      <c r="G6437" s="36"/>
      <c r="H6437" s="36"/>
      <c r="I6437" s="37"/>
      <c r="J6437" s="36"/>
      <c r="K6437" s="38"/>
      <c r="L6437" s="38"/>
    </row>
    <row r="6438" spans="1:12" x14ac:dyDescent="0.25">
      <c r="A6438" s="35"/>
      <c r="B6438" s="36"/>
      <c r="C6438" s="36"/>
      <c r="D6438" s="36"/>
      <c r="E6438" s="36"/>
      <c r="F6438" s="36"/>
      <c r="G6438" s="36"/>
      <c r="H6438" s="36"/>
      <c r="I6438" s="37"/>
      <c r="J6438" s="36"/>
      <c r="K6438" s="38"/>
      <c r="L6438" s="38"/>
    </row>
    <row r="6439" spans="1:12" x14ac:dyDescent="0.25">
      <c r="A6439" s="35"/>
      <c r="B6439" s="36"/>
      <c r="C6439" s="36"/>
      <c r="D6439" s="36"/>
      <c r="E6439" s="36"/>
      <c r="F6439" s="36"/>
      <c r="G6439" s="36"/>
      <c r="H6439" s="36"/>
      <c r="I6439" s="37"/>
      <c r="J6439" s="36"/>
      <c r="K6439" s="38"/>
      <c r="L6439" s="38"/>
    </row>
    <row r="6440" spans="1:12" x14ac:dyDescent="0.25">
      <c r="A6440" s="35"/>
      <c r="B6440" s="36"/>
      <c r="C6440" s="36"/>
      <c r="D6440" s="36"/>
      <c r="E6440" s="36"/>
      <c r="F6440" s="36"/>
      <c r="G6440" s="36"/>
      <c r="H6440" s="36"/>
      <c r="I6440" s="37"/>
      <c r="J6440" s="36"/>
      <c r="K6440" s="38"/>
      <c r="L6440" s="38"/>
    </row>
    <row r="6441" spans="1:12" x14ac:dyDescent="0.25">
      <c r="A6441" s="35"/>
      <c r="B6441" s="36"/>
      <c r="C6441" s="36"/>
      <c r="D6441" s="36"/>
      <c r="E6441" s="36"/>
      <c r="F6441" s="36"/>
      <c r="G6441" s="36"/>
      <c r="H6441" s="36"/>
      <c r="I6441" s="37"/>
      <c r="J6441" s="36"/>
      <c r="K6441" s="38"/>
      <c r="L6441" s="38"/>
    </row>
    <row r="6442" spans="1:12" x14ac:dyDescent="0.25">
      <c r="A6442" s="35"/>
      <c r="B6442" s="36"/>
      <c r="C6442" s="36"/>
      <c r="D6442" s="36"/>
      <c r="E6442" s="36"/>
      <c r="F6442" s="36"/>
      <c r="G6442" s="36"/>
      <c r="H6442" s="36"/>
      <c r="I6442" s="37"/>
      <c r="J6442" s="36"/>
      <c r="K6442" s="38"/>
      <c r="L6442" s="38"/>
    </row>
    <row r="6443" spans="1:12" x14ac:dyDescent="0.25">
      <c r="A6443" s="35"/>
      <c r="B6443" s="36"/>
      <c r="C6443" s="36"/>
      <c r="D6443" s="36"/>
      <c r="E6443" s="36"/>
      <c r="F6443" s="36"/>
      <c r="G6443" s="36"/>
      <c r="H6443" s="36"/>
      <c r="I6443" s="37"/>
      <c r="J6443" s="36"/>
      <c r="K6443" s="38"/>
      <c r="L6443" s="38"/>
    </row>
    <row r="6444" spans="1:12" x14ac:dyDescent="0.25">
      <c r="A6444" s="35"/>
      <c r="B6444" s="36"/>
      <c r="C6444" s="36"/>
      <c r="D6444" s="36"/>
      <c r="E6444" s="36"/>
      <c r="F6444" s="36"/>
      <c r="G6444" s="36"/>
      <c r="H6444" s="36"/>
      <c r="I6444" s="37"/>
      <c r="J6444" s="36"/>
      <c r="K6444" s="38"/>
      <c r="L6444" s="38"/>
    </row>
    <row r="6445" spans="1:12" x14ac:dyDescent="0.25">
      <c r="A6445" s="35"/>
      <c r="B6445" s="36"/>
      <c r="C6445" s="36"/>
      <c r="D6445" s="36"/>
      <c r="E6445" s="36"/>
      <c r="F6445" s="36"/>
      <c r="G6445" s="36"/>
      <c r="H6445" s="36"/>
      <c r="I6445" s="37"/>
      <c r="J6445" s="36"/>
      <c r="K6445" s="38"/>
      <c r="L6445" s="38"/>
    </row>
    <row r="6446" spans="1:12" x14ac:dyDescent="0.25">
      <c r="A6446" s="35"/>
      <c r="B6446" s="36"/>
      <c r="C6446" s="36"/>
      <c r="D6446" s="36"/>
      <c r="E6446" s="36"/>
      <c r="F6446" s="36"/>
      <c r="G6446" s="36"/>
      <c r="H6446" s="36"/>
      <c r="I6446" s="37"/>
      <c r="J6446" s="36"/>
      <c r="K6446" s="38"/>
      <c r="L6446" s="38"/>
    </row>
    <row r="6447" spans="1:12" x14ac:dyDescent="0.25">
      <c r="A6447" s="35"/>
      <c r="B6447" s="36"/>
      <c r="C6447" s="36"/>
      <c r="D6447" s="36"/>
      <c r="E6447" s="36"/>
      <c r="F6447" s="36"/>
      <c r="G6447" s="36"/>
      <c r="H6447" s="36"/>
      <c r="I6447" s="37"/>
      <c r="J6447" s="36"/>
      <c r="K6447" s="38"/>
      <c r="L6447" s="38"/>
    </row>
    <row r="6448" spans="1:12" x14ac:dyDescent="0.25">
      <c r="A6448" s="35"/>
      <c r="B6448" s="36"/>
      <c r="C6448" s="36"/>
      <c r="D6448" s="36"/>
      <c r="E6448" s="36"/>
      <c r="F6448" s="36"/>
      <c r="G6448" s="36"/>
      <c r="H6448" s="36"/>
      <c r="I6448" s="37"/>
      <c r="J6448" s="36"/>
      <c r="K6448" s="38"/>
      <c r="L6448" s="38"/>
    </row>
    <row r="6449" spans="1:12" x14ac:dyDescent="0.25">
      <c r="A6449" s="35"/>
      <c r="B6449" s="36"/>
      <c r="C6449" s="36"/>
      <c r="D6449" s="36"/>
      <c r="E6449" s="36"/>
      <c r="F6449" s="36"/>
      <c r="G6449" s="36"/>
      <c r="H6449" s="36"/>
      <c r="I6449" s="37"/>
      <c r="J6449" s="36"/>
      <c r="K6449" s="38"/>
      <c r="L6449" s="38"/>
    </row>
    <row r="6450" spans="1:12" x14ac:dyDescent="0.25">
      <c r="A6450" s="35"/>
      <c r="B6450" s="36"/>
      <c r="C6450" s="36"/>
      <c r="D6450" s="36"/>
      <c r="E6450" s="36"/>
      <c r="F6450" s="36"/>
      <c r="G6450" s="36"/>
      <c r="H6450" s="36"/>
      <c r="I6450" s="37"/>
      <c r="J6450" s="36"/>
      <c r="K6450" s="38"/>
      <c r="L6450" s="38"/>
    </row>
    <row r="6451" spans="1:12" x14ac:dyDescent="0.25">
      <c r="A6451" s="35"/>
      <c r="B6451" s="36"/>
      <c r="C6451" s="36"/>
      <c r="D6451" s="36"/>
      <c r="E6451" s="36"/>
      <c r="F6451" s="36"/>
      <c r="G6451" s="36"/>
      <c r="H6451" s="36"/>
      <c r="I6451" s="37"/>
      <c r="J6451" s="36"/>
      <c r="K6451" s="38"/>
      <c r="L6451" s="38"/>
    </row>
    <row r="6452" spans="1:12" x14ac:dyDescent="0.25">
      <c r="A6452" s="35"/>
      <c r="B6452" s="36"/>
      <c r="C6452" s="36"/>
      <c r="D6452" s="36"/>
      <c r="E6452" s="36"/>
      <c r="F6452" s="36"/>
      <c r="G6452" s="36"/>
      <c r="H6452" s="36"/>
      <c r="I6452" s="37"/>
      <c r="J6452" s="36"/>
      <c r="K6452" s="38"/>
      <c r="L6452" s="38"/>
    </row>
    <row r="6453" spans="1:12" x14ac:dyDescent="0.25">
      <c r="A6453" s="35"/>
      <c r="B6453" s="36"/>
      <c r="C6453" s="36"/>
      <c r="D6453" s="36"/>
      <c r="E6453" s="36"/>
      <c r="F6453" s="36"/>
      <c r="G6453" s="36"/>
      <c r="H6453" s="36"/>
      <c r="I6453" s="37"/>
      <c r="J6453" s="36"/>
      <c r="K6453" s="38"/>
      <c r="L6453" s="38"/>
    </row>
    <row r="6454" spans="1:12" x14ac:dyDescent="0.25">
      <c r="A6454" s="35"/>
      <c r="B6454" s="36"/>
      <c r="C6454" s="36"/>
      <c r="D6454" s="36"/>
      <c r="E6454" s="36"/>
      <c r="F6454" s="36"/>
      <c r="G6454" s="36"/>
      <c r="H6454" s="36"/>
      <c r="I6454" s="37"/>
      <c r="J6454" s="36"/>
      <c r="K6454" s="38"/>
      <c r="L6454" s="38"/>
    </row>
    <row r="6455" spans="1:12" x14ac:dyDescent="0.25">
      <c r="A6455" s="35"/>
      <c r="B6455" s="36"/>
      <c r="C6455" s="36"/>
      <c r="D6455" s="36"/>
      <c r="E6455" s="36"/>
      <c r="F6455" s="36"/>
      <c r="G6455" s="36"/>
      <c r="H6455" s="36"/>
      <c r="I6455" s="37"/>
      <c r="J6455" s="36"/>
      <c r="K6455" s="38"/>
      <c r="L6455" s="38"/>
    </row>
    <row r="6456" spans="1:12" x14ac:dyDescent="0.25">
      <c r="A6456" s="35"/>
      <c r="B6456" s="36"/>
      <c r="C6456" s="36"/>
      <c r="D6456" s="36"/>
      <c r="E6456" s="36"/>
      <c r="F6456" s="36"/>
      <c r="G6456" s="36"/>
      <c r="H6456" s="36"/>
      <c r="I6456" s="37"/>
      <c r="J6456" s="36"/>
      <c r="K6456" s="38"/>
      <c r="L6456" s="38"/>
    </row>
    <row r="6457" spans="1:12" x14ac:dyDescent="0.25">
      <c r="A6457" s="35"/>
      <c r="B6457" s="36"/>
      <c r="C6457" s="36"/>
      <c r="D6457" s="36"/>
      <c r="E6457" s="36"/>
      <c r="F6457" s="36"/>
      <c r="G6457" s="36"/>
      <c r="H6457" s="36"/>
      <c r="I6457" s="37"/>
      <c r="J6457" s="36"/>
      <c r="K6457" s="38"/>
      <c r="L6457" s="38"/>
    </row>
    <row r="6458" spans="1:12" x14ac:dyDescent="0.25">
      <c r="A6458" s="35"/>
      <c r="B6458" s="36"/>
      <c r="C6458" s="36"/>
      <c r="D6458" s="36"/>
      <c r="E6458" s="36"/>
      <c r="F6458" s="36"/>
      <c r="G6458" s="36"/>
      <c r="H6458" s="36"/>
      <c r="I6458" s="37"/>
      <c r="J6458" s="36"/>
      <c r="K6458" s="38"/>
      <c r="L6458" s="38"/>
    </row>
    <row r="6459" spans="1:12" x14ac:dyDescent="0.25">
      <c r="A6459" s="35"/>
      <c r="B6459" s="36"/>
      <c r="C6459" s="36"/>
      <c r="D6459" s="36"/>
      <c r="E6459" s="36"/>
      <c r="F6459" s="36"/>
      <c r="G6459" s="36"/>
      <c r="H6459" s="36"/>
      <c r="I6459" s="37"/>
      <c r="J6459" s="36"/>
      <c r="K6459" s="38"/>
      <c r="L6459" s="38"/>
    </row>
    <row r="6460" spans="1:12" x14ac:dyDescent="0.25">
      <c r="A6460" s="35"/>
      <c r="B6460" s="36"/>
      <c r="C6460" s="36"/>
      <c r="D6460" s="36"/>
      <c r="E6460" s="36"/>
      <c r="F6460" s="36"/>
      <c r="G6460" s="36"/>
      <c r="H6460" s="36"/>
      <c r="I6460" s="37"/>
      <c r="J6460" s="36"/>
      <c r="K6460" s="38"/>
      <c r="L6460" s="38"/>
    </row>
    <row r="6461" spans="1:12" x14ac:dyDescent="0.25">
      <c r="A6461" s="35"/>
      <c r="B6461" s="36"/>
      <c r="C6461" s="36"/>
      <c r="D6461" s="36"/>
      <c r="E6461" s="36"/>
      <c r="F6461" s="36"/>
      <c r="G6461" s="36"/>
      <c r="H6461" s="36"/>
      <c r="I6461" s="37"/>
      <c r="J6461" s="36"/>
      <c r="K6461" s="38"/>
      <c r="L6461" s="38"/>
    </row>
    <row r="6462" spans="1:12" x14ac:dyDescent="0.25">
      <c r="A6462" s="35"/>
      <c r="B6462" s="36"/>
      <c r="C6462" s="36"/>
      <c r="D6462" s="36"/>
      <c r="E6462" s="36"/>
      <c r="F6462" s="36"/>
      <c r="G6462" s="36"/>
      <c r="H6462" s="36"/>
      <c r="I6462" s="37"/>
      <c r="J6462" s="36"/>
      <c r="K6462" s="38"/>
      <c r="L6462" s="38"/>
    </row>
    <row r="6463" spans="1:12" x14ac:dyDescent="0.25">
      <c r="A6463" s="35"/>
      <c r="B6463" s="36"/>
      <c r="C6463" s="36"/>
      <c r="D6463" s="36"/>
      <c r="E6463" s="36"/>
      <c r="F6463" s="36"/>
      <c r="G6463" s="36"/>
      <c r="H6463" s="36"/>
      <c r="I6463" s="37"/>
      <c r="J6463" s="36"/>
      <c r="K6463" s="38"/>
      <c r="L6463" s="38"/>
    </row>
    <row r="6464" spans="1:12" x14ac:dyDescent="0.25">
      <c r="A6464" s="35"/>
      <c r="B6464" s="36"/>
      <c r="C6464" s="36"/>
      <c r="D6464" s="36"/>
      <c r="E6464" s="36"/>
      <c r="F6464" s="36"/>
      <c r="G6464" s="36"/>
      <c r="H6464" s="36"/>
      <c r="I6464" s="37"/>
      <c r="J6464" s="36"/>
      <c r="K6464" s="38"/>
      <c r="L6464" s="38"/>
    </row>
    <row r="6465" spans="1:12" x14ac:dyDescent="0.25">
      <c r="A6465" s="35"/>
      <c r="B6465" s="36"/>
      <c r="C6465" s="36"/>
      <c r="D6465" s="36"/>
      <c r="E6465" s="36"/>
      <c r="F6465" s="36"/>
      <c r="G6465" s="36"/>
      <c r="H6465" s="36"/>
      <c r="I6465" s="37"/>
      <c r="J6465" s="36"/>
      <c r="K6465" s="38"/>
      <c r="L6465" s="38"/>
    </row>
    <row r="6466" spans="1:12" x14ac:dyDescent="0.25">
      <c r="A6466" s="35"/>
      <c r="B6466" s="36"/>
      <c r="C6466" s="36"/>
      <c r="D6466" s="36"/>
      <c r="E6466" s="36"/>
      <c r="F6466" s="36"/>
      <c r="G6466" s="36"/>
      <c r="H6466" s="36"/>
      <c r="I6466" s="37"/>
      <c r="J6466" s="36"/>
      <c r="K6466" s="38"/>
      <c r="L6466" s="38"/>
    </row>
    <row r="6467" spans="1:12" x14ac:dyDescent="0.25">
      <c r="A6467" s="35"/>
      <c r="B6467" s="36"/>
      <c r="C6467" s="36"/>
      <c r="D6467" s="36"/>
      <c r="E6467" s="36"/>
      <c r="F6467" s="36"/>
      <c r="G6467" s="36"/>
      <c r="H6467" s="36"/>
      <c r="I6467" s="37"/>
      <c r="J6467" s="36"/>
      <c r="K6467" s="38"/>
      <c r="L6467" s="38"/>
    </row>
    <row r="6468" spans="1:12" x14ac:dyDescent="0.25">
      <c r="A6468" s="35"/>
      <c r="B6468" s="36"/>
      <c r="C6468" s="36"/>
      <c r="D6468" s="36"/>
      <c r="E6468" s="36"/>
      <c r="F6468" s="36"/>
      <c r="G6468" s="36"/>
      <c r="H6468" s="36"/>
      <c r="I6468" s="37"/>
      <c r="J6468" s="36"/>
      <c r="K6468" s="38"/>
      <c r="L6468" s="38"/>
    </row>
    <row r="6469" spans="1:12" x14ac:dyDescent="0.25">
      <c r="A6469" s="35"/>
      <c r="B6469" s="36"/>
      <c r="C6469" s="36"/>
      <c r="D6469" s="36"/>
      <c r="E6469" s="36"/>
      <c r="F6469" s="36"/>
      <c r="G6469" s="36"/>
      <c r="H6469" s="36"/>
      <c r="I6469" s="37"/>
      <c r="J6469" s="36"/>
      <c r="K6469" s="38"/>
      <c r="L6469" s="38"/>
    </row>
    <row r="6470" spans="1:12" x14ac:dyDescent="0.25">
      <c r="A6470" s="35"/>
      <c r="B6470" s="36"/>
      <c r="C6470" s="36"/>
      <c r="D6470" s="36"/>
      <c r="E6470" s="36"/>
      <c r="F6470" s="36"/>
      <c r="G6470" s="36"/>
      <c r="H6470" s="36"/>
      <c r="I6470" s="37"/>
      <c r="J6470" s="36"/>
      <c r="K6470" s="38"/>
      <c r="L6470" s="38"/>
    </row>
    <row r="6471" spans="1:12" x14ac:dyDescent="0.25">
      <c r="A6471" s="35"/>
      <c r="B6471" s="36"/>
      <c r="C6471" s="36"/>
      <c r="D6471" s="36"/>
      <c r="E6471" s="36"/>
      <c r="F6471" s="36"/>
      <c r="G6471" s="36"/>
      <c r="H6471" s="36"/>
      <c r="I6471" s="37"/>
      <c r="J6471" s="36"/>
      <c r="K6471" s="38"/>
      <c r="L6471" s="38"/>
    </row>
    <row r="6472" spans="1:12" x14ac:dyDescent="0.25">
      <c r="A6472" s="35"/>
      <c r="B6472" s="36"/>
      <c r="C6472" s="36"/>
      <c r="D6472" s="36"/>
      <c r="E6472" s="36"/>
      <c r="F6472" s="36"/>
      <c r="G6472" s="36"/>
      <c r="H6472" s="36"/>
      <c r="I6472" s="37"/>
      <c r="J6472" s="36"/>
      <c r="K6472" s="38"/>
      <c r="L6472" s="38"/>
    </row>
    <row r="6473" spans="1:12" x14ac:dyDescent="0.25">
      <c r="A6473" s="35"/>
      <c r="B6473" s="36"/>
      <c r="C6473" s="36"/>
      <c r="D6473" s="36"/>
      <c r="E6473" s="36"/>
      <c r="F6473" s="36"/>
      <c r="G6473" s="36"/>
      <c r="H6473" s="36"/>
      <c r="I6473" s="37"/>
      <c r="J6473" s="36"/>
      <c r="K6473" s="38"/>
      <c r="L6473" s="38"/>
    </row>
    <row r="6474" spans="1:12" x14ac:dyDescent="0.25">
      <c r="A6474" s="35"/>
      <c r="B6474" s="36"/>
      <c r="C6474" s="36"/>
      <c r="D6474" s="36"/>
      <c r="E6474" s="36"/>
      <c r="F6474" s="36"/>
      <c r="G6474" s="36"/>
      <c r="H6474" s="36"/>
      <c r="I6474" s="37"/>
      <c r="J6474" s="36"/>
      <c r="K6474" s="38"/>
      <c r="L6474" s="38"/>
    </row>
    <row r="6475" spans="1:12" x14ac:dyDescent="0.25">
      <c r="A6475" s="35"/>
      <c r="B6475" s="36"/>
      <c r="C6475" s="36"/>
      <c r="D6475" s="36"/>
      <c r="E6475" s="36"/>
      <c r="F6475" s="36"/>
      <c r="G6475" s="36"/>
      <c r="H6475" s="36"/>
      <c r="I6475" s="37"/>
      <c r="J6475" s="36"/>
      <c r="K6475" s="38"/>
      <c r="L6475" s="38"/>
    </row>
    <row r="6476" spans="1:12" x14ac:dyDescent="0.25">
      <c r="A6476" s="35"/>
      <c r="B6476" s="36"/>
      <c r="C6476" s="36"/>
      <c r="D6476" s="36"/>
      <c r="E6476" s="36"/>
      <c r="F6476" s="36"/>
      <c r="G6476" s="36"/>
      <c r="H6476" s="36"/>
      <c r="I6476" s="37"/>
      <c r="J6476" s="36"/>
      <c r="K6476" s="38"/>
      <c r="L6476" s="38"/>
    </row>
    <row r="6477" spans="1:12" x14ac:dyDescent="0.25">
      <c r="A6477" s="35"/>
      <c r="B6477" s="36"/>
      <c r="C6477" s="36"/>
      <c r="D6477" s="36"/>
      <c r="E6477" s="36"/>
      <c r="F6477" s="36"/>
      <c r="G6477" s="36"/>
      <c r="H6477" s="36"/>
      <c r="I6477" s="37"/>
      <c r="J6477" s="36"/>
      <c r="K6477" s="38"/>
      <c r="L6477" s="38"/>
    </row>
    <row r="6478" spans="1:12" x14ac:dyDescent="0.25">
      <c r="A6478" s="35"/>
      <c r="B6478" s="36"/>
      <c r="C6478" s="36"/>
      <c r="D6478" s="36"/>
      <c r="E6478" s="36"/>
      <c r="F6478" s="36"/>
      <c r="G6478" s="36"/>
      <c r="H6478" s="36"/>
      <c r="I6478" s="37"/>
      <c r="J6478" s="36"/>
      <c r="K6478" s="38"/>
      <c r="L6478" s="38"/>
    </row>
    <row r="6479" spans="1:12" x14ac:dyDescent="0.25">
      <c r="A6479" s="35"/>
      <c r="B6479" s="36"/>
      <c r="C6479" s="36"/>
      <c r="D6479" s="36"/>
      <c r="E6479" s="36"/>
      <c r="F6479" s="36"/>
      <c r="G6479" s="36"/>
      <c r="H6479" s="36"/>
      <c r="I6479" s="37"/>
      <c r="J6479" s="36"/>
      <c r="K6479" s="38"/>
      <c r="L6479" s="38"/>
    </row>
    <row r="6480" spans="1:12" x14ac:dyDescent="0.25">
      <c r="A6480" s="35"/>
      <c r="B6480" s="36"/>
      <c r="C6480" s="36"/>
      <c r="D6480" s="36"/>
      <c r="E6480" s="36"/>
      <c r="F6480" s="36"/>
      <c r="G6480" s="36"/>
      <c r="H6480" s="36"/>
      <c r="I6480" s="37"/>
      <c r="J6480" s="36"/>
      <c r="K6480" s="38"/>
      <c r="L6480" s="38"/>
    </row>
    <row r="6481" spans="1:12" x14ac:dyDescent="0.25">
      <c r="A6481" s="35"/>
      <c r="B6481" s="36"/>
      <c r="C6481" s="36"/>
      <c r="D6481" s="36"/>
      <c r="E6481" s="36"/>
      <c r="F6481" s="36"/>
      <c r="G6481" s="36"/>
      <c r="H6481" s="36"/>
      <c r="I6481" s="37"/>
      <c r="J6481" s="36"/>
      <c r="K6481" s="38"/>
      <c r="L6481" s="38"/>
    </row>
    <row r="6482" spans="1:12" x14ac:dyDescent="0.25">
      <c r="A6482" s="35"/>
      <c r="B6482" s="36"/>
      <c r="C6482" s="36"/>
      <c r="D6482" s="36"/>
      <c r="E6482" s="36"/>
      <c r="F6482" s="36"/>
      <c r="G6482" s="36"/>
      <c r="H6482" s="36"/>
      <c r="I6482" s="37"/>
      <c r="J6482" s="36"/>
      <c r="K6482" s="38"/>
      <c r="L6482" s="38"/>
    </row>
    <row r="6483" spans="1:12" x14ac:dyDescent="0.25">
      <c r="A6483" s="35"/>
      <c r="B6483" s="36"/>
      <c r="C6483" s="36"/>
      <c r="D6483" s="36"/>
      <c r="E6483" s="36"/>
      <c r="F6483" s="36"/>
      <c r="G6483" s="36"/>
      <c r="H6483" s="36"/>
      <c r="I6483" s="37"/>
      <c r="J6483" s="36"/>
      <c r="K6483" s="38"/>
      <c r="L6483" s="38"/>
    </row>
    <row r="6484" spans="1:12" x14ac:dyDescent="0.25">
      <c r="A6484" s="35"/>
      <c r="B6484" s="36"/>
      <c r="C6484" s="36"/>
      <c r="D6484" s="36"/>
      <c r="E6484" s="36"/>
      <c r="F6484" s="36"/>
      <c r="G6484" s="36"/>
      <c r="H6484" s="36"/>
      <c r="I6484" s="37"/>
      <c r="J6484" s="36"/>
      <c r="K6484" s="38"/>
      <c r="L6484" s="38"/>
    </row>
    <row r="6485" spans="1:12" x14ac:dyDescent="0.25">
      <c r="A6485" s="35"/>
      <c r="B6485" s="36"/>
      <c r="C6485" s="36"/>
      <c r="D6485" s="36"/>
      <c r="E6485" s="36"/>
      <c r="F6485" s="36"/>
      <c r="G6485" s="36"/>
      <c r="H6485" s="36"/>
      <c r="I6485" s="37"/>
      <c r="J6485" s="36"/>
      <c r="K6485" s="38"/>
      <c r="L6485" s="38"/>
    </row>
    <row r="6486" spans="1:12" x14ac:dyDescent="0.25">
      <c r="A6486" s="35"/>
      <c r="B6486" s="36"/>
      <c r="C6486" s="36"/>
      <c r="D6486" s="36"/>
      <c r="E6486" s="36"/>
      <c r="F6486" s="36"/>
      <c r="G6486" s="36"/>
      <c r="H6486" s="36"/>
      <c r="I6486" s="37"/>
      <c r="J6486" s="36"/>
      <c r="K6486" s="38"/>
      <c r="L6486" s="38"/>
    </row>
    <row r="6487" spans="1:12" x14ac:dyDescent="0.25">
      <c r="A6487" s="35"/>
      <c r="B6487" s="36"/>
      <c r="C6487" s="36"/>
      <c r="D6487" s="36"/>
      <c r="E6487" s="36"/>
      <c r="F6487" s="36"/>
      <c r="G6487" s="36"/>
      <c r="H6487" s="36"/>
      <c r="I6487" s="37"/>
      <c r="J6487" s="36"/>
      <c r="K6487" s="38"/>
      <c r="L6487" s="38"/>
    </row>
    <row r="6488" spans="1:12" x14ac:dyDescent="0.25">
      <c r="A6488" s="35"/>
      <c r="B6488" s="36"/>
      <c r="C6488" s="36"/>
      <c r="D6488" s="36"/>
      <c r="E6488" s="36"/>
      <c r="F6488" s="36"/>
      <c r="G6488" s="36"/>
      <c r="H6488" s="36"/>
      <c r="I6488" s="37"/>
      <c r="J6488" s="36"/>
      <c r="K6488" s="38"/>
      <c r="L6488" s="38"/>
    </row>
    <row r="6489" spans="1:12" x14ac:dyDescent="0.25">
      <c r="A6489" s="35"/>
      <c r="B6489" s="36"/>
      <c r="C6489" s="36"/>
      <c r="D6489" s="36"/>
      <c r="E6489" s="36"/>
      <c r="F6489" s="36"/>
      <c r="G6489" s="36"/>
      <c r="H6489" s="36"/>
      <c r="I6489" s="37"/>
      <c r="J6489" s="36"/>
      <c r="K6489" s="38"/>
      <c r="L6489" s="38"/>
    </row>
    <row r="6490" spans="1:12" x14ac:dyDescent="0.25">
      <c r="A6490" s="35"/>
      <c r="B6490" s="36"/>
      <c r="C6490" s="36"/>
      <c r="D6490" s="36"/>
      <c r="E6490" s="36"/>
      <c r="F6490" s="36"/>
      <c r="G6490" s="36"/>
      <c r="H6490" s="36"/>
      <c r="I6490" s="37"/>
      <c r="J6490" s="36"/>
      <c r="K6490" s="38"/>
      <c r="L6490" s="38"/>
    </row>
    <row r="6491" spans="1:12" x14ac:dyDescent="0.25">
      <c r="A6491" s="35"/>
      <c r="B6491" s="36"/>
      <c r="C6491" s="36"/>
      <c r="D6491" s="36"/>
      <c r="E6491" s="36"/>
      <c r="F6491" s="36"/>
      <c r="G6491" s="36"/>
      <c r="H6491" s="36"/>
      <c r="I6491" s="37"/>
      <c r="J6491" s="36"/>
      <c r="K6491" s="38"/>
      <c r="L6491" s="38"/>
    </row>
    <row r="6492" spans="1:12" x14ac:dyDescent="0.25">
      <c r="A6492" s="35"/>
      <c r="B6492" s="36"/>
      <c r="C6492" s="36"/>
      <c r="D6492" s="36"/>
      <c r="E6492" s="36"/>
      <c r="F6492" s="36"/>
      <c r="G6492" s="36"/>
      <c r="H6492" s="36"/>
      <c r="I6492" s="37"/>
      <c r="J6492" s="36"/>
      <c r="K6492" s="38"/>
      <c r="L6492" s="38"/>
    </row>
    <row r="6493" spans="1:12" x14ac:dyDescent="0.25">
      <c r="A6493" s="35"/>
      <c r="B6493" s="36"/>
      <c r="C6493" s="36"/>
      <c r="D6493" s="36"/>
      <c r="E6493" s="36"/>
      <c r="F6493" s="36"/>
      <c r="G6493" s="36"/>
      <c r="H6493" s="36"/>
      <c r="I6493" s="37"/>
      <c r="J6493" s="36"/>
      <c r="K6493" s="38"/>
      <c r="L6493" s="38"/>
    </row>
    <row r="6494" spans="1:12" x14ac:dyDescent="0.25">
      <c r="A6494" s="35"/>
      <c r="B6494" s="36"/>
      <c r="C6494" s="36"/>
      <c r="D6494" s="36"/>
      <c r="E6494" s="36"/>
      <c r="F6494" s="36"/>
      <c r="G6494" s="36"/>
      <c r="H6494" s="36"/>
      <c r="I6494" s="37"/>
      <c r="J6494" s="36"/>
      <c r="K6494" s="38"/>
      <c r="L6494" s="38"/>
    </row>
    <row r="6495" spans="1:12" x14ac:dyDescent="0.25">
      <c r="A6495" s="35"/>
      <c r="B6495" s="36"/>
      <c r="C6495" s="36"/>
      <c r="D6495" s="36"/>
      <c r="E6495" s="36"/>
      <c r="F6495" s="36"/>
      <c r="G6495" s="36"/>
      <c r="H6495" s="36"/>
      <c r="I6495" s="37"/>
      <c r="J6495" s="36"/>
      <c r="K6495" s="38"/>
      <c r="L6495" s="38"/>
    </row>
    <row r="6496" spans="1:12" x14ac:dyDescent="0.25">
      <c r="A6496" s="35"/>
      <c r="B6496" s="36"/>
      <c r="C6496" s="36"/>
      <c r="D6496" s="36"/>
      <c r="E6496" s="36"/>
      <c r="F6496" s="36"/>
      <c r="G6496" s="36"/>
      <c r="H6496" s="36"/>
      <c r="I6496" s="37"/>
      <c r="J6496" s="36"/>
      <c r="K6496" s="38"/>
      <c r="L6496" s="38"/>
    </row>
    <row r="6497" spans="1:12" x14ac:dyDescent="0.25">
      <c r="A6497" s="35"/>
      <c r="B6497" s="36"/>
      <c r="C6497" s="36"/>
      <c r="D6497" s="36"/>
      <c r="E6497" s="36"/>
      <c r="F6497" s="36"/>
      <c r="G6497" s="36"/>
      <c r="H6497" s="36"/>
      <c r="I6497" s="37"/>
      <c r="J6497" s="36"/>
      <c r="K6497" s="38"/>
      <c r="L6497" s="38"/>
    </row>
    <row r="6498" spans="1:12" x14ac:dyDescent="0.25">
      <c r="A6498" s="35"/>
      <c r="B6498" s="36"/>
      <c r="C6498" s="36"/>
      <c r="D6498" s="36"/>
      <c r="E6498" s="36"/>
      <c r="F6498" s="36"/>
      <c r="G6498" s="36"/>
      <c r="H6498" s="36"/>
      <c r="I6498" s="37"/>
      <c r="J6498" s="36"/>
      <c r="K6498" s="38"/>
      <c r="L6498" s="38"/>
    </row>
    <row r="6499" spans="1:12" x14ac:dyDescent="0.25">
      <c r="A6499" s="35"/>
      <c r="B6499" s="36"/>
      <c r="C6499" s="36"/>
      <c r="D6499" s="36"/>
      <c r="E6499" s="36"/>
      <c r="F6499" s="36"/>
      <c r="G6499" s="36"/>
      <c r="H6499" s="36"/>
      <c r="I6499" s="37"/>
      <c r="J6499" s="36"/>
      <c r="K6499" s="38"/>
      <c r="L6499" s="38"/>
    </row>
    <row r="6500" spans="1:12" x14ac:dyDescent="0.25">
      <c r="A6500" s="35"/>
      <c r="B6500" s="36"/>
      <c r="C6500" s="36"/>
      <c r="D6500" s="36"/>
      <c r="E6500" s="36"/>
      <c r="F6500" s="36"/>
      <c r="G6500" s="36"/>
      <c r="H6500" s="36"/>
      <c r="I6500" s="37"/>
      <c r="J6500" s="36"/>
      <c r="K6500" s="38"/>
      <c r="L6500" s="38"/>
    </row>
    <row r="6501" spans="1:12" x14ac:dyDescent="0.25">
      <c r="A6501" s="35"/>
      <c r="B6501" s="36"/>
      <c r="C6501" s="36"/>
      <c r="D6501" s="36"/>
      <c r="E6501" s="36"/>
      <c r="F6501" s="36"/>
      <c r="G6501" s="36"/>
      <c r="H6501" s="36"/>
      <c r="I6501" s="37"/>
      <c r="J6501" s="36"/>
      <c r="K6501" s="38"/>
      <c r="L6501" s="38"/>
    </row>
    <row r="6502" spans="1:12" x14ac:dyDescent="0.25">
      <c r="A6502" s="35"/>
      <c r="B6502" s="36"/>
      <c r="C6502" s="36"/>
      <c r="D6502" s="36"/>
      <c r="E6502" s="36"/>
      <c r="F6502" s="36"/>
      <c r="G6502" s="36"/>
      <c r="H6502" s="36"/>
      <c r="I6502" s="37"/>
      <c r="J6502" s="36"/>
      <c r="K6502" s="38"/>
      <c r="L6502" s="38"/>
    </row>
    <row r="6503" spans="1:12" x14ac:dyDescent="0.25">
      <c r="A6503" s="35"/>
      <c r="B6503" s="36"/>
      <c r="C6503" s="36"/>
      <c r="D6503" s="36"/>
      <c r="E6503" s="36"/>
      <c r="F6503" s="36"/>
      <c r="G6503" s="36"/>
      <c r="H6503" s="36"/>
      <c r="I6503" s="37"/>
      <c r="J6503" s="36"/>
      <c r="K6503" s="38"/>
      <c r="L6503" s="38"/>
    </row>
    <row r="6504" spans="1:12" x14ac:dyDescent="0.25">
      <c r="A6504" s="35"/>
      <c r="B6504" s="36"/>
      <c r="C6504" s="36"/>
      <c r="D6504" s="36"/>
      <c r="E6504" s="36"/>
      <c r="F6504" s="36"/>
      <c r="G6504" s="36"/>
      <c r="H6504" s="36"/>
      <c r="I6504" s="37"/>
      <c r="J6504" s="36"/>
      <c r="K6504" s="38"/>
      <c r="L6504" s="38"/>
    </row>
    <row r="6505" spans="1:12" x14ac:dyDescent="0.25">
      <c r="A6505" s="35"/>
      <c r="B6505" s="36"/>
      <c r="C6505" s="36"/>
      <c r="D6505" s="36"/>
      <c r="E6505" s="36"/>
      <c r="F6505" s="36"/>
      <c r="G6505" s="36"/>
      <c r="H6505" s="36"/>
      <c r="I6505" s="37"/>
      <c r="J6505" s="36"/>
      <c r="K6505" s="38"/>
      <c r="L6505" s="38"/>
    </row>
    <row r="6506" spans="1:12" x14ac:dyDescent="0.25">
      <c r="A6506" s="35"/>
      <c r="B6506" s="36"/>
      <c r="C6506" s="36"/>
      <c r="D6506" s="36"/>
      <c r="E6506" s="36"/>
      <c r="F6506" s="36"/>
      <c r="G6506" s="36"/>
      <c r="H6506" s="36"/>
      <c r="I6506" s="37"/>
      <c r="J6506" s="36"/>
      <c r="K6506" s="38"/>
      <c r="L6506" s="38"/>
    </row>
    <row r="6507" spans="1:12" x14ac:dyDescent="0.25">
      <c r="A6507" s="35"/>
      <c r="B6507" s="36"/>
      <c r="C6507" s="36"/>
      <c r="D6507" s="36"/>
      <c r="E6507" s="36"/>
      <c r="F6507" s="36"/>
      <c r="G6507" s="36"/>
      <c r="H6507" s="36"/>
      <c r="I6507" s="37"/>
      <c r="J6507" s="36"/>
      <c r="K6507" s="38"/>
      <c r="L6507" s="38"/>
    </row>
    <row r="6508" spans="1:12" x14ac:dyDescent="0.25">
      <c r="A6508" s="35"/>
      <c r="B6508" s="36"/>
      <c r="C6508" s="36"/>
      <c r="D6508" s="36"/>
      <c r="E6508" s="36"/>
      <c r="F6508" s="36"/>
      <c r="G6508" s="36"/>
      <c r="H6508" s="36"/>
      <c r="I6508" s="37"/>
      <c r="J6508" s="36"/>
      <c r="K6508" s="38"/>
      <c r="L6508" s="38"/>
    </row>
    <row r="6509" spans="1:12" x14ac:dyDescent="0.25">
      <c r="A6509" s="35"/>
      <c r="B6509" s="36"/>
      <c r="C6509" s="36"/>
      <c r="D6509" s="36"/>
      <c r="E6509" s="36"/>
      <c r="F6509" s="36"/>
      <c r="G6509" s="36"/>
      <c r="H6509" s="36"/>
      <c r="I6509" s="37"/>
      <c r="J6509" s="36"/>
      <c r="K6509" s="38"/>
      <c r="L6509" s="38"/>
    </row>
    <row r="6510" spans="1:12" x14ac:dyDescent="0.25">
      <c r="A6510" s="35"/>
      <c r="B6510" s="36"/>
      <c r="C6510" s="36"/>
      <c r="D6510" s="36"/>
      <c r="E6510" s="36"/>
      <c r="F6510" s="36"/>
      <c r="G6510" s="36"/>
      <c r="H6510" s="36"/>
      <c r="I6510" s="37"/>
      <c r="J6510" s="36"/>
      <c r="K6510" s="38"/>
      <c r="L6510" s="38"/>
    </row>
    <row r="6511" spans="1:12" x14ac:dyDescent="0.25">
      <c r="A6511" s="35"/>
      <c r="B6511" s="36"/>
      <c r="C6511" s="36"/>
      <c r="D6511" s="36"/>
      <c r="E6511" s="36"/>
      <c r="F6511" s="36"/>
      <c r="G6511" s="36"/>
      <c r="H6511" s="36"/>
      <c r="I6511" s="37"/>
      <c r="J6511" s="36"/>
      <c r="K6511" s="38"/>
      <c r="L6511" s="38"/>
    </row>
    <row r="6512" spans="1:12" x14ac:dyDescent="0.25">
      <c r="A6512" s="35"/>
      <c r="B6512" s="36"/>
      <c r="C6512" s="36"/>
      <c r="D6512" s="36"/>
      <c r="E6512" s="36"/>
      <c r="F6512" s="36"/>
      <c r="G6512" s="36"/>
      <c r="H6512" s="36"/>
      <c r="I6512" s="37"/>
      <c r="J6512" s="36"/>
      <c r="K6512" s="38"/>
      <c r="L6512" s="38"/>
    </row>
    <row r="6513" spans="1:12" x14ac:dyDescent="0.25">
      <c r="A6513" s="35"/>
      <c r="B6513" s="36"/>
      <c r="C6513" s="36"/>
      <c r="D6513" s="36"/>
      <c r="E6513" s="36"/>
      <c r="F6513" s="36"/>
      <c r="G6513" s="36"/>
      <c r="H6513" s="36"/>
      <c r="I6513" s="37"/>
      <c r="J6513" s="36"/>
      <c r="K6513" s="38"/>
      <c r="L6513" s="38"/>
    </row>
    <row r="6514" spans="1:12" x14ac:dyDescent="0.25">
      <c r="A6514" s="35"/>
      <c r="B6514" s="36"/>
      <c r="C6514" s="36"/>
      <c r="D6514" s="36"/>
      <c r="E6514" s="36"/>
      <c r="F6514" s="36"/>
      <c r="G6514" s="36"/>
      <c r="H6514" s="36"/>
      <c r="I6514" s="37"/>
      <c r="J6514" s="36"/>
      <c r="K6514" s="38"/>
      <c r="L6514" s="38"/>
    </row>
    <row r="6515" spans="1:12" x14ac:dyDescent="0.25">
      <c r="A6515" s="35"/>
      <c r="B6515" s="36"/>
      <c r="C6515" s="36"/>
      <c r="D6515" s="36"/>
      <c r="E6515" s="36"/>
      <c r="F6515" s="36"/>
      <c r="G6515" s="36"/>
      <c r="H6515" s="36"/>
      <c r="I6515" s="37"/>
      <c r="J6515" s="36"/>
      <c r="K6515" s="38"/>
      <c r="L6515" s="38"/>
    </row>
    <row r="6516" spans="1:12" x14ac:dyDescent="0.25">
      <c r="A6516" s="35"/>
      <c r="B6516" s="36"/>
      <c r="C6516" s="36"/>
      <c r="D6516" s="36"/>
      <c r="E6516" s="36"/>
      <c r="F6516" s="36"/>
      <c r="G6516" s="36"/>
      <c r="H6516" s="36"/>
      <c r="I6516" s="37"/>
      <c r="J6516" s="36"/>
      <c r="K6516" s="38"/>
      <c r="L6516" s="38"/>
    </row>
    <row r="6517" spans="1:12" x14ac:dyDescent="0.25">
      <c r="A6517" s="35"/>
      <c r="B6517" s="36"/>
      <c r="C6517" s="36"/>
      <c r="D6517" s="36"/>
      <c r="E6517" s="36"/>
      <c r="F6517" s="36"/>
      <c r="G6517" s="36"/>
      <c r="H6517" s="36"/>
      <c r="I6517" s="37"/>
      <c r="J6517" s="36"/>
      <c r="K6517" s="38"/>
      <c r="L6517" s="38"/>
    </row>
    <row r="6518" spans="1:12" x14ac:dyDescent="0.25">
      <c r="A6518" s="35"/>
      <c r="B6518" s="36"/>
      <c r="C6518" s="36"/>
      <c r="D6518" s="36"/>
      <c r="E6518" s="36"/>
      <c r="F6518" s="36"/>
      <c r="G6518" s="36"/>
      <c r="H6518" s="36"/>
      <c r="I6518" s="37"/>
      <c r="J6518" s="36"/>
      <c r="K6518" s="38"/>
      <c r="L6518" s="38"/>
    </row>
    <row r="6519" spans="1:12" x14ac:dyDescent="0.25">
      <c r="A6519" s="35"/>
      <c r="B6519" s="36"/>
      <c r="C6519" s="36"/>
      <c r="D6519" s="36"/>
      <c r="E6519" s="36"/>
      <c r="F6519" s="36"/>
      <c r="G6519" s="36"/>
      <c r="H6519" s="36"/>
      <c r="I6519" s="37"/>
      <c r="J6519" s="36"/>
      <c r="K6519" s="38"/>
      <c r="L6519" s="38"/>
    </row>
    <row r="6520" spans="1:12" x14ac:dyDescent="0.25">
      <c r="A6520" s="35"/>
      <c r="B6520" s="36"/>
      <c r="C6520" s="36"/>
      <c r="D6520" s="36"/>
      <c r="E6520" s="36"/>
      <c r="F6520" s="36"/>
      <c r="G6520" s="36"/>
      <c r="H6520" s="36"/>
      <c r="I6520" s="37"/>
      <c r="J6520" s="36"/>
      <c r="K6520" s="38"/>
      <c r="L6520" s="38"/>
    </row>
    <row r="6521" spans="1:12" x14ac:dyDescent="0.25">
      <c r="A6521" s="35"/>
      <c r="B6521" s="36"/>
      <c r="C6521" s="36"/>
      <c r="D6521" s="36"/>
      <c r="E6521" s="36"/>
      <c r="F6521" s="36"/>
      <c r="G6521" s="36"/>
      <c r="H6521" s="36"/>
      <c r="I6521" s="37"/>
      <c r="J6521" s="36"/>
      <c r="K6521" s="38"/>
      <c r="L6521" s="38"/>
    </row>
    <row r="6522" spans="1:12" x14ac:dyDescent="0.25">
      <c r="A6522" s="35"/>
      <c r="B6522" s="36"/>
      <c r="C6522" s="36"/>
      <c r="D6522" s="36"/>
      <c r="E6522" s="36"/>
      <c r="F6522" s="36"/>
      <c r="G6522" s="36"/>
      <c r="H6522" s="36"/>
      <c r="I6522" s="37"/>
      <c r="J6522" s="36"/>
      <c r="K6522" s="38"/>
      <c r="L6522" s="38"/>
    </row>
    <row r="6523" spans="1:12" x14ac:dyDescent="0.25">
      <c r="A6523" s="35"/>
      <c r="B6523" s="36"/>
      <c r="C6523" s="36"/>
      <c r="D6523" s="36"/>
      <c r="E6523" s="36"/>
      <c r="F6523" s="36"/>
      <c r="G6523" s="36"/>
      <c r="H6523" s="36"/>
      <c r="I6523" s="37"/>
      <c r="J6523" s="36"/>
      <c r="K6523" s="38"/>
      <c r="L6523" s="38"/>
    </row>
    <row r="6524" spans="1:12" x14ac:dyDescent="0.25">
      <c r="A6524" s="35"/>
      <c r="B6524" s="36"/>
      <c r="C6524" s="36"/>
      <c r="D6524" s="36"/>
      <c r="E6524" s="36"/>
      <c r="F6524" s="36"/>
      <c r="G6524" s="36"/>
      <c r="H6524" s="36"/>
      <c r="I6524" s="37"/>
      <c r="J6524" s="36"/>
      <c r="K6524" s="38"/>
      <c r="L6524" s="38"/>
    </row>
    <row r="6525" spans="1:12" x14ac:dyDescent="0.25">
      <c r="A6525" s="35"/>
      <c r="B6525" s="36"/>
      <c r="C6525" s="36"/>
      <c r="D6525" s="36"/>
      <c r="E6525" s="36"/>
      <c r="F6525" s="36"/>
      <c r="G6525" s="36"/>
      <c r="H6525" s="36"/>
      <c r="I6525" s="37"/>
      <c r="J6525" s="36"/>
      <c r="K6525" s="38"/>
      <c r="L6525" s="38"/>
    </row>
    <row r="6526" spans="1:12" x14ac:dyDescent="0.25">
      <c r="A6526" s="35"/>
      <c r="B6526" s="36"/>
      <c r="C6526" s="36"/>
      <c r="D6526" s="36"/>
      <c r="E6526" s="36"/>
      <c r="F6526" s="36"/>
      <c r="G6526" s="36"/>
      <c r="H6526" s="36"/>
      <c r="I6526" s="37"/>
      <c r="J6526" s="36"/>
      <c r="K6526" s="38"/>
      <c r="L6526" s="38"/>
    </row>
    <row r="6527" spans="1:12" x14ac:dyDescent="0.25">
      <c r="A6527" s="35"/>
      <c r="B6527" s="36"/>
      <c r="C6527" s="36"/>
      <c r="D6527" s="36"/>
      <c r="E6527" s="36"/>
      <c r="F6527" s="36"/>
      <c r="G6527" s="36"/>
      <c r="H6527" s="36"/>
      <c r="I6527" s="37"/>
      <c r="J6527" s="36"/>
      <c r="K6527" s="38"/>
      <c r="L6527" s="38"/>
    </row>
    <row r="6528" spans="1:12" x14ac:dyDescent="0.25">
      <c r="A6528" s="35"/>
      <c r="B6528" s="36"/>
      <c r="C6528" s="36"/>
      <c r="D6528" s="36"/>
      <c r="E6528" s="36"/>
      <c r="F6528" s="36"/>
      <c r="G6528" s="36"/>
      <c r="H6528" s="36"/>
      <c r="I6528" s="37"/>
      <c r="J6528" s="36"/>
      <c r="K6528" s="38"/>
      <c r="L6528" s="38"/>
    </row>
    <row r="6529" spans="1:12" x14ac:dyDescent="0.25">
      <c r="A6529" s="35"/>
      <c r="B6529" s="36"/>
      <c r="C6529" s="36"/>
      <c r="D6529" s="36"/>
      <c r="E6529" s="36"/>
      <c r="F6529" s="36"/>
      <c r="G6529" s="36"/>
      <c r="H6529" s="36"/>
      <c r="I6529" s="37"/>
      <c r="J6529" s="36"/>
      <c r="K6529" s="38"/>
      <c r="L6529" s="38"/>
    </row>
    <row r="6530" spans="1:12" x14ac:dyDescent="0.25">
      <c r="A6530" s="35"/>
      <c r="B6530" s="36"/>
      <c r="C6530" s="36"/>
      <c r="D6530" s="36"/>
      <c r="E6530" s="36"/>
      <c r="F6530" s="36"/>
      <c r="G6530" s="36"/>
      <c r="H6530" s="36"/>
      <c r="I6530" s="37"/>
      <c r="J6530" s="36"/>
      <c r="K6530" s="38"/>
      <c r="L6530" s="38"/>
    </row>
    <row r="6531" spans="1:12" x14ac:dyDescent="0.25">
      <c r="A6531" s="35"/>
      <c r="B6531" s="36"/>
      <c r="C6531" s="36"/>
      <c r="D6531" s="36"/>
      <c r="E6531" s="36"/>
      <c r="F6531" s="36"/>
      <c r="G6531" s="36"/>
      <c r="H6531" s="36"/>
      <c r="I6531" s="37"/>
      <c r="J6531" s="36"/>
      <c r="K6531" s="38"/>
      <c r="L6531" s="38"/>
    </row>
    <row r="6532" spans="1:12" x14ac:dyDescent="0.25">
      <c r="A6532" s="35"/>
      <c r="B6532" s="36"/>
      <c r="C6532" s="36"/>
      <c r="D6532" s="36"/>
      <c r="E6532" s="36"/>
      <c r="F6532" s="36"/>
      <c r="G6532" s="36"/>
      <c r="H6532" s="36"/>
      <c r="I6532" s="37"/>
      <c r="J6532" s="36"/>
      <c r="K6532" s="38"/>
      <c r="L6532" s="38"/>
    </row>
    <row r="6533" spans="1:12" x14ac:dyDescent="0.25">
      <c r="A6533" s="35"/>
      <c r="B6533" s="36"/>
      <c r="C6533" s="36"/>
      <c r="D6533" s="36"/>
      <c r="E6533" s="36"/>
      <c r="F6533" s="36"/>
      <c r="G6533" s="36"/>
      <c r="H6533" s="36"/>
      <c r="I6533" s="37"/>
      <c r="J6533" s="36"/>
      <c r="K6533" s="38"/>
      <c r="L6533" s="38"/>
    </row>
    <row r="6534" spans="1:12" x14ac:dyDescent="0.25">
      <c r="A6534" s="35"/>
      <c r="B6534" s="36"/>
      <c r="C6534" s="36"/>
      <c r="D6534" s="36"/>
      <c r="E6534" s="36"/>
      <c r="F6534" s="36"/>
      <c r="G6534" s="36"/>
      <c r="H6534" s="36"/>
      <c r="I6534" s="37"/>
      <c r="J6534" s="36"/>
      <c r="K6534" s="38"/>
      <c r="L6534" s="38"/>
    </row>
    <row r="6535" spans="1:12" x14ac:dyDescent="0.25">
      <c r="A6535" s="35"/>
      <c r="B6535" s="36"/>
      <c r="C6535" s="36"/>
      <c r="D6535" s="36"/>
      <c r="E6535" s="36"/>
      <c r="F6535" s="36"/>
      <c r="G6535" s="36"/>
      <c r="H6535" s="36"/>
      <c r="I6535" s="37"/>
      <c r="J6535" s="36"/>
      <c r="K6535" s="38"/>
      <c r="L6535" s="38"/>
    </row>
    <row r="6536" spans="1:12" x14ac:dyDescent="0.25">
      <c r="A6536" s="35"/>
      <c r="B6536" s="36"/>
      <c r="C6536" s="36"/>
      <c r="D6536" s="36"/>
      <c r="E6536" s="36"/>
      <c r="F6536" s="36"/>
      <c r="G6536" s="36"/>
      <c r="H6536" s="36"/>
      <c r="I6536" s="37"/>
      <c r="J6536" s="36"/>
      <c r="K6536" s="38"/>
      <c r="L6536" s="38"/>
    </row>
    <row r="6537" spans="1:12" x14ac:dyDescent="0.25">
      <c r="A6537" s="35"/>
      <c r="B6537" s="36"/>
      <c r="C6537" s="36"/>
      <c r="D6537" s="36"/>
      <c r="E6537" s="36"/>
      <c r="F6537" s="36"/>
      <c r="G6537" s="36"/>
      <c r="H6537" s="36"/>
      <c r="I6537" s="37"/>
      <c r="J6537" s="36"/>
      <c r="K6537" s="38"/>
      <c r="L6537" s="38"/>
    </row>
    <row r="6538" spans="1:12" x14ac:dyDescent="0.25">
      <c r="A6538" s="35"/>
      <c r="B6538" s="36"/>
      <c r="C6538" s="36"/>
      <c r="D6538" s="36"/>
      <c r="E6538" s="36"/>
      <c r="F6538" s="36"/>
      <c r="G6538" s="36"/>
      <c r="H6538" s="36"/>
      <c r="I6538" s="37"/>
      <c r="J6538" s="36"/>
      <c r="K6538" s="38"/>
      <c r="L6538" s="38"/>
    </row>
    <row r="6539" spans="1:12" x14ac:dyDescent="0.25">
      <c r="A6539" s="35"/>
      <c r="B6539" s="36"/>
      <c r="C6539" s="36"/>
      <c r="D6539" s="36"/>
      <c r="E6539" s="36"/>
      <c r="F6539" s="36"/>
      <c r="G6539" s="36"/>
      <c r="H6539" s="36"/>
      <c r="I6539" s="37"/>
      <c r="J6539" s="36"/>
      <c r="K6539" s="38"/>
      <c r="L6539" s="38"/>
    </row>
    <row r="6540" spans="1:12" x14ac:dyDescent="0.25">
      <c r="A6540" s="35"/>
      <c r="B6540" s="36"/>
      <c r="C6540" s="36"/>
      <c r="D6540" s="36"/>
      <c r="E6540" s="36"/>
      <c r="F6540" s="36"/>
      <c r="G6540" s="36"/>
      <c r="H6540" s="36"/>
      <c r="I6540" s="37"/>
      <c r="J6540" s="36"/>
      <c r="K6540" s="38"/>
      <c r="L6540" s="38"/>
    </row>
    <row r="6541" spans="1:12" x14ac:dyDescent="0.25">
      <c r="A6541" s="35"/>
      <c r="B6541" s="36"/>
      <c r="C6541" s="36"/>
      <c r="D6541" s="36"/>
      <c r="E6541" s="36"/>
      <c r="F6541" s="36"/>
      <c r="G6541" s="36"/>
      <c r="H6541" s="36"/>
      <c r="I6541" s="37"/>
      <c r="J6541" s="36"/>
      <c r="K6541" s="38"/>
      <c r="L6541" s="38"/>
    </row>
    <row r="6542" spans="1:12" x14ac:dyDescent="0.25">
      <c r="A6542" s="35"/>
      <c r="B6542" s="36"/>
      <c r="C6542" s="36"/>
      <c r="D6542" s="36"/>
      <c r="E6542" s="36"/>
      <c r="F6542" s="36"/>
      <c r="G6542" s="36"/>
      <c r="H6542" s="36"/>
      <c r="I6542" s="37"/>
      <c r="J6542" s="36"/>
      <c r="K6542" s="38"/>
      <c r="L6542" s="38"/>
    </row>
    <row r="6543" spans="1:12" x14ac:dyDescent="0.25">
      <c r="A6543" s="35"/>
      <c r="B6543" s="36"/>
      <c r="C6543" s="36"/>
      <c r="D6543" s="36"/>
      <c r="E6543" s="36"/>
      <c r="F6543" s="36"/>
      <c r="G6543" s="36"/>
      <c r="H6543" s="36"/>
      <c r="I6543" s="37"/>
      <c r="J6543" s="36"/>
      <c r="K6543" s="38"/>
      <c r="L6543" s="38"/>
    </row>
    <row r="6544" spans="1:12" x14ac:dyDescent="0.25">
      <c r="A6544" s="35"/>
      <c r="B6544" s="36"/>
      <c r="C6544" s="36"/>
      <c r="D6544" s="36"/>
      <c r="E6544" s="36"/>
      <c r="F6544" s="36"/>
      <c r="G6544" s="36"/>
      <c r="H6544" s="36"/>
      <c r="I6544" s="37"/>
      <c r="J6544" s="36"/>
      <c r="K6544" s="38"/>
      <c r="L6544" s="38"/>
    </row>
    <row r="6545" spans="1:12" x14ac:dyDescent="0.25">
      <c r="A6545" s="35"/>
      <c r="B6545" s="36"/>
      <c r="C6545" s="36"/>
      <c r="D6545" s="36"/>
      <c r="E6545" s="36"/>
      <c r="F6545" s="36"/>
      <c r="G6545" s="36"/>
      <c r="H6545" s="36"/>
      <c r="I6545" s="37"/>
      <c r="J6545" s="36"/>
      <c r="K6545" s="38"/>
      <c r="L6545" s="38"/>
    </row>
    <row r="6546" spans="1:12" x14ac:dyDescent="0.25">
      <c r="A6546" s="35"/>
      <c r="B6546" s="36"/>
      <c r="C6546" s="36"/>
      <c r="D6546" s="36"/>
      <c r="E6546" s="36"/>
      <c r="F6546" s="36"/>
      <c r="G6546" s="36"/>
      <c r="H6546" s="36"/>
      <c r="I6546" s="37"/>
      <c r="J6546" s="36"/>
      <c r="K6546" s="38"/>
      <c r="L6546" s="38"/>
    </row>
    <row r="6547" spans="1:12" x14ac:dyDescent="0.25">
      <c r="A6547" s="35"/>
      <c r="B6547" s="36"/>
      <c r="C6547" s="36"/>
      <c r="D6547" s="36"/>
      <c r="E6547" s="36"/>
      <c r="F6547" s="36"/>
      <c r="G6547" s="36"/>
      <c r="H6547" s="36"/>
      <c r="I6547" s="37"/>
      <c r="J6547" s="36"/>
      <c r="K6547" s="38"/>
      <c r="L6547" s="38"/>
    </row>
    <row r="6548" spans="1:12" x14ac:dyDescent="0.25">
      <c r="A6548" s="35"/>
      <c r="B6548" s="36"/>
      <c r="C6548" s="36"/>
      <c r="D6548" s="36"/>
      <c r="E6548" s="36"/>
      <c r="F6548" s="36"/>
      <c r="G6548" s="36"/>
      <c r="H6548" s="36"/>
      <c r="I6548" s="37"/>
      <c r="J6548" s="36"/>
      <c r="K6548" s="38"/>
      <c r="L6548" s="38"/>
    </row>
    <row r="6549" spans="1:12" x14ac:dyDescent="0.25">
      <c r="A6549" s="35"/>
      <c r="B6549" s="36"/>
      <c r="C6549" s="36"/>
      <c r="D6549" s="36"/>
      <c r="E6549" s="36"/>
      <c r="F6549" s="36"/>
      <c r="G6549" s="36"/>
      <c r="H6549" s="36"/>
      <c r="I6549" s="37"/>
      <c r="J6549" s="36"/>
      <c r="K6549" s="38"/>
      <c r="L6549" s="38"/>
    </row>
    <row r="6550" spans="1:12" x14ac:dyDescent="0.25">
      <c r="A6550" s="35"/>
      <c r="B6550" s="36"/>
      <c r="C6550" s="36"/>
      <c r="D6550" s="36"/>
      <c r="E6550" s="36"/>
      <c r="F6550" s="36"/>
      <c r="G6550" s="36"/>
      <c r="H6550" s="36"/>
      <c r="I6550" s="37"/>
      <c r="J6550" s="36"/>
      <c r="K6550" s="38"/>
      <c r="L6550" s="38"/>
    </row>
    <row r="6551" spans="1:12" x14ac:dyDescent="0.25">
      <c r="A6551" s="35"/>
      <c r="B6551" s="36"/>
      <c r="C6551" s="36"/>
      <c r="D6551" s="36"/>
      <c r="E6551" s="36"/>
      <c r="F6551" s="36"/>
      <c r="G6551" s="36"/>
      <c r="H6551" s="36"/>
      <c r="I6551" s="37"/>
      <c r="J6551" s="36"/>
      <c r="K6551" s="38"/>
      <c r="L6551" s="38"/>
    </row>
    <row r="6552" spans="1:12" x14ac:dyDescent="0.25">
      <c r="A6552" s="35"/>
      <c r="B6552" s="36"/>
      <c r="C6552" s="36"/>
      <c r="D6552" s="36"/>
      <c r="E6552" s="36"/>
      <c r="F6552" s="36"/>
      <c r="G6552" s="36"/>
      <c r="H6552" s="36"/>
      <c r="I6552" s="37"/>
      <c r="J6552" s="36"/>
      <c r="K6552" s="38"/>
      <c r="L6552" s="38"/>
    </row>
    <row r="6553" spans="1:12" x14ac:dyDescent="0.25">
      <c r="A6553" s="35"/>
      <c r="B6553" s="36"/>
      <c r="C6553" s="36"/>
      <c r="D6553" s="36"/>
      <c r="E6553" s="36"/>
      <c r="F6553" s="36"/>
      <c r="G6553" s="36"/>
      <c r="H6553" s="36"/>
      <c r="I6553" s="37"/>
      <c r="J6553" s="36"/>
      <c r="K6553" s="38"/>
      <c r="L6553" s="38"/>
    </row>
    <row r="6554" spans="1:12" x14ac:dyDescent="0.25">
      <c r="A6554" s="35"/>
      <c r="B6554" s="36"/>
      <c r="C6554" s="36"/>
      <c r="D6554" s="36"/>
      <c r="E6554" s="36"/>
      <c r="F6554" s="36"/>
      <c r="G6554" s="36"/>
      <c r="H6554" s="36"/>
      <c r="I6554" s="37"/>
      <c r="J6554" s="36"/>
      <c r="K6554" s="38"/>
      <c r="L6554" s="38"/>
    </row>
    <row r="6555" spans="1:12" x14ac:dyDescent="0.25">
      <c r="A6555" s="35"/>
      <c r="B6555" s="36"/>
      <c r="C6555" s="36"/>
      <c r="D6555" s="36"/>
      <c r="E6555" s="36"/>
      <c r="F6555" s="36"/>
      <c r="G6555" s="36"/>
      <c r="H6555" s="36"/>
      <c r="I6555" s="37"/>
      <c r="J6555" s="36"/>
      <c r="K6555" s="38"/>
      <c r="L6555" s="38"/>
    </row>
    <row r="6556" spans="1:12" x14ac:dyDescent="0.25">
      <c r="A6556" s="35"/>
      <c r="B6556" s="36"/>
      <c r="C6556" s="36"/>
      <c r="D6556" s="36"/>
      <c r="E6556" s="36"/>
      <c r="F6556" s="36"/>
      <c r="G6556" s="36"/>
      <c r="H6556" s="36"/>
      <c r="I6556" s="37"/>
      <c r="J6556" s="36"/>
      <c r="K6556" s="38"/>
      <c r="L6556" s="38"/>
    </row>
    <row r="6557" spans="1:12" x14ac:dyDescent="0.25">
      <c r="A6557" s="35"/>
      <c r="B6557" s="36"/>
      <c r="C6557" s="36"/>
      <c r="D6557" s="36"/>
      <c r="E6557" s="36"/>
      <c r="F6557" s="36"/>
      <c r="G6557" s="36"/>
      <c r="H6557" s="36"/>
      <c r="I6557" s="37"/>
      <c r="J6557" s="36"/>
      <c r="K6557" s="38"/>
      <c r="L6557" s="38"/>
    </row>
    <row r="6558" spans="1:12" x14ac:dyDescent="0.25">
      <c r="A6558" s="35"/>
      <c r="B6558" s="36"/>
      <c r="C6558" s="36"/>
      <c r="D6558" s="36"/>
      <c r="E6558" s="36"/>
      <c r="F6558" s="36"/>
      <c r="G6558" s="36"/>
      <c r="H6558" s="36"/>
      <c r="I6558" s="37"/>
      <c r="J6558" s="36"/>
      <c r="K6558" s="38"/>
      <c r="L6558" s="38"/>
    </row>
    <row r="6559" spans="1:12" x14ac:dyDescent="0.25">
      <c r="A6559" s="35"/>
      <c r="B6559" s="36"/>
      <c r="C6559" s="36"/>
      <c r="D6559" s="36"/>
      <c r="E6559" s="36"/>
      <c r="F6559" s="36"/>
      <c r="G6559" s="36"/>
      <c r="H6559" s="36"/>
      <c r="I6559" s="37"/>
      <c r="J6559" s="36"/>
      <c r="K6559" s="38"/>
      <c r="L6559" s="38"/>
    </row>
    <row r="6560" spans="1:12" x14ac:dyDescent="0.25">
      <c r="A6560" s="35"/>
      <c r="B6560" s="36"/>
      <c r="C6560" s="36"/>
      <c r="D6560" s="36"/>
      <c r="E6560" s="36"/>
      <c r="F6560" s="36"/>
      <c r="G6560" s="36"/>
      <c r="H6560" s="36"/>
      <c r="I6560" s="37"/>
      <c r="J6560" s="36"/>
      <c r="K6560" s="38"/>
      <c r="L6560" s="38"/>
    </row>
    <row r="6561" spans="1:12" x14ac:dyDescent="0.25">
      <c r="A6561" s="35"/>
      <c r="B6561" s="36"/>
      <c r="C6561" s="36"/>
      <c r="D6561" s="36"/>
      <c r="E6561" s="36"/>
      <c r="F6561" s="36"/>
      <c r="G6561" s="36"/>
      <c r="H6561" s="36"/>
      <c r="I6561" s="37"/>
      <c r="J6561" s="36"/>
      <c r="K6561" s="38"/>
      <c r="L6561" s="38"/>
    </row>
    <row r="6562" spans="1:12" x14ac:dyDescent="0.25">
      <c r="A6562" s="35"/>
      <c r="B6562" s="36"/>
      <c r="C6562" s="36"/>
      <c r="D6562" s="36"/>
      <c r="E6562" s="36"/>
      <c r="F6562" s="36"/>
      <c r="G6562" s="36"/>
      <c r="H6562" s="36"/>
      <c r="I6562" s="37"/>
      <c r="J6562" s="36"/>
      <c r="K6562" s="38"/>
      <c r="L6562" s="38"/>
    </row>
    <row r="6563" spans="1:12" x14ac:dyDescent="0.25">
      <c r="A6563" s="35"/>
      <c r="B6563" s="36"/>
      <c r="C6563" s="36"/>
      <c r="D6563" s="36"/>
      <c r="E6563" s="36"/>
      <c r="F6563" s="36"/>
      <c r="G6563" s="36"/>
      <c r="H6563" s="36"/>
      <c r="I6563" s="37"/>
      <c r="J6563" s="36"/>
      <c r="K6563" s="38"/>
      <c r="L6563" s="38"/>
    </row>
    <row r="6564" spans="1:12" x14ac:dyDescent="0.25">
      <c r="A6564" s="35"/>
      <c r="B6564" s="36"/>
      <c r="C6564" s="36"/>
      <c r="D6564" s="36"/>
      <c r="E6564" s="36"/>
      <c r="F6564" s="36"/>
      <c r="G6564" s="36"/>
      <c r="H6564" s="36"/>
      <c r="I6564" s="37"/>
      <c r="J6564" s="36"/>
      <c r="K6564" s="38"/>
      <c r="L6564" s="38"/>
    </row>
    <row r="6565" spans="1:12" x14ac:dyDescent="0.25">
      <c r="A6565" s="35"/>
      <c r="B6565" s="36"/>
      <c r="C6565" s="36"/>
      <c r="D6565" s="36"/>
      <c r="E6565" s="36"/>
      <c r="F6565" s="36"/>
      <c r="G6565" s="36"/>
      <c r="H6565" s="36"/>
      <c r="I6565" s="37"/>
      <c r="J6565" s="36"/>
      <c r="K6565" s="38"/>
      <c r="L6565" s="38"/>
    </row>
    <row r="6566" spans="1:12" x14ac:dyDescent="0.25">
      <c r="A6566" s="35"/>
      <c r="B6566" s="36"/>
      <c r="C6566" s="36"/>
      <c r="D6566" s="36"/>
      <c r="E6566" s="36"/>
      <c r="F6566" s="36"/>
      <c r="G6566" s="36"/>
      <c r="H6566" s="36"/>
      <c r="I6566" s="37"/>
      <c r="J6566" s="36"/>
      <c r="K6566" s="38"/>
      <c r="L6566" s="38"/>
    </row>
    <row r="6567" spans="1:12" x14ac:dyDescent="0.25">
      <c r="A6567" s="35"/>
      <c r="B6567" s="36"/>
      <c r="C6567" s="36"/>
      <c r="D6567" s="36"/>
      <c r="E6567" s="36"/>
      <c r="F6567" s="36"/>
      <c r="G6567" s="36"/>
      <c r="H6567" s="36"/>
      <c r="I6567" s="37"/>
      <c r="J6567" s="36"/>
      <c r="K6567" s="38"/>
      <c r="L6567" s="38"/>
    </row>
    <row r="6568" spans="1:12" x14ac:dyDescent="0.25">
      <c r="A6568" s="35"/>
      <c r="B6568" s="36"/>
      <c r="C6568" s="36"/>
      <c r="D6568" s="36"/>
      <c r="E6568" s="36"/>
      <c r="F6568" s="36"/>
      <c r="G6568" s="36"/>
      <c r="H6568" s="36"/>
      <c r="I6568" s="37"/>
      <c r="J6568" s="36"/>
      <c r="K6568" s="38"/>
      <c r="L6568" s="38"/>
    </row>
    <row r="6569" spans="1:12" x14ac:dyDescent="0.25">
      <c r="A6569" s="35"/>
      <c r="B6569" s="36"/>
      <c r="C6569" s="36"/>
      <c r="D6569" s="36"/>
      <c r="E6569" s="36"/>
      <c r="F6569" s="36"/>
      <c r="G6569" s="36"/>
      <c r="H6569" s="36"/>
      <c r="I6569" s="37"/>
      <c r="J6569" s="36"/>
      <c r="K6569" s="38"/>
      <c r="L6569" s="38"/>
    </row>
    <row r="6570" spans="1:12" x14ac:dyDescent="0.25">
      <c r="A6570" s="35"/>
      <c r="B6570" s="36"/>
      <c r="C6570" s="36"/>
      <c r="D6570" s="36"/>
      <c r="E6570" s="36"/>
      <c r="F6570" s="36"/>
      <c r="G6570" s="36"/>
      <c r="H6570" s="36"/>
      <c r="I6570" s="37"/>
      <c r="J6570" s="36"/>
      <c r="K6570" s="38"/>
      <c r="L6570" s="38"/>
    </row>
    <row r="6571" spans="1:12" x14ac:dyDescent="0.25">
      <c r="A6571" s="35"/>
      <c r="B6571" s="36"/>
      <c r="C6571" s="36"/>
      <c r="D6571" s="36"/>
      <c r="E6571" s="36"/>
      <c r="F6571" s="36"/>
      <c r="G6571" s="36"/>
      <c r="H6571" s="36"/>
      <c r="I6571" s="37"/>
      <c r="J6571" s="36"/>
      <c r="K6571" s="38"/>
      <c r="L6571" s="38"/>
    </row>
    <row r="6572" spans="1:12" x14ac:dyDescent="0.25">
      <c r="A6572" s="35"/>
      <c r="B6572" s="36"/>
      <c r="C6572" s="36"/>
      <c r="D6572" s="36"/>
      <c r="E6572" s="36"/>
      <c r="F6572" s="36"/>
      <c r="G6572" s="36"/>
      <c r="H6572" s="36"/>
      <c r="I6572" s="37"/>
      <c r="J6572" s="36"/>
      <c r="K6572" s="38"/>
      <c r="L6572" s="38"/>
    </row>
    <row r="6573" spans="1:12" x14ac:dyDescent="0.25">
      <c r="A6573" s="35"/>
      <c r="B6573" s="36"/>
      <c r="C6573" s="36"/>
      <c r="D6573" s="36"/>
      <c r="E6573" s="36"/>
      <c r="F6573" s="36"/>
      <c r="G6573" s="36"/>
      <c r="H6573" s="36"/>
      <c r="I6573" s="37"/>
      <c r="J6573" s="36"/>
      <c r="K6573" s="38"/>
      <c r="L6573" s="38"/>
    </row>
    <row r="6574" spans="1:12" x14ac:dyDescent="0.25">
      <c r="A6574" s="35"/>
      <c r="B6574" s="36"/>
      <c r="C6574" s="36"/>
      <c r="D6574" s="36"/>
      <c r="E6574" s="36"/>
      <c r="F6574" s="36"/>
      <c r="G6574" s="36"/>
      <c r="H6574" s="36"/>
      <c r="I6574" s="37"/>
      <c r="J6574" s="36"/>
      <c r="K6574" s="38"/>
      <c r="L6574" s="38"/>
    </row>
    <row r="6575" spans="1:12" x14ac:dyDescent="0.25">
      <c r="A6575" s="35"/>
      <c r="B6575" s="36"/>
      <c r="C6575" s="36"/>
      <c r="D6575" s="36"/>
      <c r="E6575" s="36"/>
      <c r="F6575" s="36"/>
      <c r="G6575" s="36"/>
      <c r="H6575" s="36"/>
      <c r="I6575" s="37"/>
      <c r="J6575" s="36"/>
      <c r="K6575" s="38"/>
      <c r="L6575" s="38"/>
    </row>
    <row r="6576" spans="1:12" x14ac:dyDescent="0.25">
      <c r="A6576" s="35"/>
      <c r="B6576" s="36"/>
      <c r="C6576" s="36"/>
      <c r="D6576" s="36"/>
      <c r="E6576" s="36"/>
      <c r="F6576" s="36"/>
      <c r="G6576" s="36"/>
      <c r="H6576" s="36"/>
      <c r="I6576" s="37"/>
      <c r="J6576" s="36"/>
      <c r="K6576" s="38"/>
      <c r="L6576" s="38"/>
    </row>
    <row r="6577" spans="1:12" x14ac:dyDescent="0.25">
      <c r="A6577" s="35"/>
      <c r="B6577" s="36"/>
      <c r="C6577" s="36"/>
      <c r="D6577" s="36"/>
      <c r="E6577" s="36"/>
      <c r="F6577" s="36"/>
      <c r="G6577" s="36"/>
      <c r="H6577" s="36"/>
      <c r="I6577" s="37"/>
      <c r="J6577" s="36"/>
      <c r="K6577" s="38"/>
      <c r="L6577" s="38"/>
    </row>
    <row r="6578" spans="1:12" x14ac:dyDescent="0.25">
      <c r="A6578" s="35"/>
      <c r="B6578" s="36"/>
      <c r="C6578" s="36"/>
      <c r="D6578" s="36"/>
      <c r="E6578" s="36"/>
      <c r="F6578" s="36"/>
      <c r="G6578" s="36"/>
      <c r="H6578" s="36"/>
      <c r="I6578" s="37"/>
      <c r="J6578" s="36"/>
      <c r="K6578" s="38"/>
      <c r="L6578" s="38"/>
    </row>
    <row r="6579" spans="1:12" x14ac:dyDescent="0.25">
      <c r="A6579" s="35"/>
      <c r="B6579" s="36"/>
      <c r="C6579" s="36"/>
      <c r="D6579" s="36"/>
      <c r="E6579" s="36"/>
      <c r="F6579" s="36"/>
      <c r="G6579" s="36"/>
      <c r="H6579" s="36"/>
      <c r="I6579" s="37"/>
      <c r="J6579" s="36"/>
      <c r="K6579" s="38"/>
      <c r="L6579" s="38"/>
    </row>
    <row r="6580" spans="1:12" x14ac:dyDescent="0.25">
      <c r="A6580" s="35"/>
      <c r="B6580" s="36"/>
      <c r="C6580" s="36"/>
      <c r="D6580" s="36"/>
      <c r="E6580" s="36"/>
      <c r="F6580" s="36"/>
      <c r="G6580" s="36"/>
      <c r="H6580" s="36"/>
      <c r="I6580" s="37"/>
      <c r="J6580" s="36"/>
      <c r="K6580" s="38"/>
      <c r="L6580" s="38"/>
    </row>
    <row r="6581" spans="1:12" x14ac:dyDescent="0.25">
      <c r="A6581" s="35"/>
      <c r="B6581" s="36"/>
      <c r="C6581" s="36"/>
      <c r="D6581" s="36"/>
      <c r="E6581" s="36"/>
      <c r="F6581" s="36"/>
      <c r="G6581" s="36"/>
      <c r="H6581" s="36"/>
      <c r="I6581" s="37"/>
      <c r="J6581" s="36"/>
      <c r="K6581" s="38"/>
      <c r="L6581" s="38"/>
    </row>
    <row r="6582" spans="1:12" x14ac:dyDescent="0.25">
      <c r="A6582" s="35"/>
      <c r="B6582" s="36"/>
      <c r="C6582" s="36"/>
      <c r="D6582" s="36"/>
      <c r="E6582" s="36"/>
      <c r="F6582" s="36"/>
      <c r="G6582" s="36"/>
      <c r="H6582" s="36"/>
      <c r="I6582" s="37"/>
      <c r="J6582" s="36"/>
      <c r="K6582" s="38"/>
      <c r="L6582" s="38"/>
    </row>
    <row r="6583" spans="1:12" x14ac:dyDescent="0.25">
      <c r="A6583" s="35"/>
      <c r="B6583" s="36"/>
      <c r="C6583" s="36"/>
      <c r="D6583" s="36"/>
      <c r="E6583" s="36"/>
      <c r="F6583" s="36"/>
      <c r="G6583" s="36"/>
      <c r="H6583" s="36"/>
      <c r="I6583" s="37"/>
      <c r="J6583" s="36"/>
      <c r="K6583" s="38"/>
      <c r="L6583" s="38"/>
    </row>
    <row r="6584" spans="1:12" x14ac:dyDescent="0.25">
      <c r="A6584" s="35"/>
      <c r="B6584" s="36"/>
      <c r="C6584" s="36"/>
      <c r="D6584" s="36"/>
      <c r="E6584" s="36"/>
      <c r="F6584" s="36"/>
      <c r="G6584" s="36"/>
      <c r="H6584" s="36"/>
      <c r="I6584" s="37"/>
      <c r="J6584" s="36"/>
      <c r="K6584" s="38"/>
      <c r="L6584" s="38"/>
    </row>
    <row r="6585" spans="1:12" x14ac:dyDescent="0.25">
      <c r="A6585" s="35"/>
      <c r="B6585" s="36"/>
      <c r="C6585" s="36"/>
      <c r="D6585" s="36"/>
      <c r="E6585" s="36"/>
      <c r="F6585" s="36"/>
      <c r="G6585" s="36"/>
      <c r="H6585" s="36"/>
      <c r="I6585" s="37"/>
      <c r="J6585" s="36"/>
      <c r="K6585" s="38"/>
      <c r="L6585" s="38"/>
    </row>
    <row r="6586" spans="1:12" x14ac:dyDescent="0.25">
      <c r="A6586" s="35"/>
      <c r="B6586" s="36"/>
      <c r="C6586" s="36"/>
      <c r="D6586" s="36"/>
      <c r="E6586" s="36"/>
      <c r="F6586" s="36"/>
      <c r="G6586" s="36"/>
      <c r="H6586" s="36"/>
      <c r="I6586" s="37"/>
      <c r="J6586" s="36"/>
      <c r="K6586" s="38"/>
      <c r="L6586" s="38"/>
    </row>
    <row r="6587" spans="1:12" x14ac:dyDescent="0.25">
      <c r="A6587" s="35"/>
      <c r="B6587" s="36"/>
      <c r="C6587" s="36"/>
      <c r="D6587" s="36"/>
      <c r="E6587" s="36"/>
      <c r="F6587" s="36"/>
      <c r="G6587" s="36"/>
      <c r="H6587" s="36"/>
      <c r="I6587" s="37"/>
      <c r="J6587" s="36"/>
      <c r="K6587" s="38"/>
      <c r="L6587" s="38"/>
    </row>
    <row r="6588" spans="1:12" x14ac:dyDescent="0.25">
      <c r="A6588" s="35"/>
      <c r="B6588" s="36"/>
      <c r="C6588" s="36"/>
      <c r="D6588" s="36"/>
      <c r="E6588" s="36"/>
      <c r="F6588" s="36"/>
      <c r="G6588" s="36"/>
      <c r="H6588" s="36"/>
      <c r="I6588" s="37"/>
      <c r="J6588" s="36"/>
      <c r="K6588" s="38"/>
      <c r="L6588" s="38"/>
    </row>
    <row r="6589" spans="1:12" x14ac:dyDescent="0.25">
      <c r="A6589" s="35"/>
      <c r="B6589" s="36"/>
      <c r="C6589" s="36"/>
      <c r="D6589" s="36"/>
      <c r="E6589" s="36"/>
      <c r="F6589" s="36"/>
      <c r="G6589" s="36"/>
      <c r="H6589" s="36"/>
      <c r="I6589" s="37"/>
      <c r="J6589" s="36"/>
      <c r="K6589" s="38"/>
      <c r="L6589" s="38"/>
    </row>
    <row r="6590" spans="1:12" x14ac:dyDescent="0.25">
      <c r="A6590" s="35"/>
      <c r="B6590" s="36"/>
      <c r="C6590" s="36"/>
      <c r="D6590" s="36"/>
      <c r="E6590" s="36"/>
      <c r="F6590" s="36"/>
      <c r="G6590" s="36"/>
      <c r="H6590" s="36"/>
      <c r="I6590" s="37"/>
      <c r="J6590" s="36"/>
      <c r="K6590" s="38"/>
      <c r="L6590" s="38"/>
    </row>
    <row r="6591" spans="1:12" x14ac:dyDescent="0.25">
      <c r="A6591" s="35"/>
      <c r="B6591" s="36"/>
      <c r="C6591" s="36"/>
      <c r="D6591" s="36"/>
      <c r="E6591" s="36"/>
      <c r="F6591" s="36"/>
      <c r="G6591" s="36"/>
      <c r="H6591" s="36"/>
      <c r="I6591" s="37"/>
      <c r="J6591" s="36"/>
      <c r="K6591" s="38"/>
      <c r="L6591" s="38"/>
    </row>
    <row r="6592" spans="1:12" x14ac:dyDescent="0.25">
      <c r="A6592" s="35"/>
      <c r="B6592" s="36"/>
      <c r="C6592" s="36"/>
      <c r="D6592" s="36"/>
      <c r="E6592" s="36"/>
      <c r="F6592" s="36"/>
      <c r="G6592" s="36"/>
      <c r="H6592" s="36"/>
      <c r="I6592" s="37"/>
      <c r="J6592" s="36"/>
      <c r="K6592" s="38"/>
      <c r="L6592" s="38"/>
    </row>
    <row r="6593" spans="1:12" x14ac:dyDescent="0.25">
      <c r="A6593" s="35"/>
      <c r="B6593" s="36"/>
      <c r="C6593" s="36"/>
      <c r="D6593" s="36"/>
      <c r="E6593" s="36"/>
      <c r="F6593" s="36"/>
      <c r="G6593" s="36"/>
      <c r="H6593" s="36"/>
      <c r="I6593" s="37"/>
      <c r="J6593" s="36"/>
      <c r="K6593" s="38"/>
      <c r="L6593" s="38"/>
    </row>
    <row r="6594" spans="1:12" x14ac:dyDescent="0.25">
      <c r="A6594" s="35"/>
      <c r="B6594" s="36"/>
      <c r="C6594" s="36"/>
      <c r="D6594" s="36"/>
      <c r="E6594" s="36"/>
      <c r="F6594" s="36"/>
      <c r="G6594" s="36"/>
      <c r="H6594" s="36"/>
      <c r="I6594" s="37"/>
      <c r="J6594" s="36"/>
      <c r="K6594" s="38"/>
      <c r="L6594" s="38"/>
    </row>
    <row r="6595" spans="1:12" x14ac:dyDescent="0.25">
      <c r="A6595" s="35"/>
      <c r="B6595" s="36"/>
      <c r="C6595" s="36"/>
      <c r="D6595" s="36"/>
      <c r="E6595" s="36"/>
      <c r="F6595" s="36"/>
      <c r="G6595" s="36"/>
      <c r="H6595" s="36"/>
      <c r="I6595" s="37"/>
      <c r="J6595" s="36"/>
      <c r="K6595" s="38"/>
      <c r="L6595" s="38"/>
    </row>
    <row r="6596" spans="1:12" x14ac:dyDescent="0.25">
      <c r="A6596" s="35"/>
      <c r="B6596" s="36"/>
      <c r="C6596" s="36"/>
      <c r="D6596" s="36"/>
      <c r="E6596" s="36"/>
      <c r="F6596" s="36"/>
      <c r="G6596" s="36"/>
      <c r="H6596" s="36"/>
      <c r="I6596" s="37"/>
      <c r="J6596" s="36"/>
      <c r="K6596" s="38"/>
      <c r="L6596" s="38"/>
    </row>
    <row r="6597" spans="1:12" x14ac:dyDescent="0.25">
      <c r="A6597" s="35"/>
      <c r="B6597" s="36"/>
      <c r="C6597" s="36"/>
      <c r="D6597" s="36"/>
      <c r="E6597" s="36"/>
      <c r="F6597" s="36"/>
      <c r="G6597" s="36"/>
      <c r="H6597" s="36"/>
      <c r="I6597" s="37"/>
      <c r="J6597" s="36"/>
      <c r="K6597" s="38"/>
      <c r="L6597" s="38"/>
    </row>
    <row r="6598" spans="1:12" x14ac:dyDescent="0.25">
      <c r="A6598" s="35"/>
      <c r="B6598" s="36"/>
      <c r="C6598" s="36"/>
      <c r="D6598" s="36"/>
      <c r="E6598" s="36"/>
      <c r="F6598" s="36"/>
      <c r="G6598" s="36"/>
      <c r="H6598" s="36"/>
      <c r="I6598" s="37"/>
      <c r="J6598" s="36"/>
      <c r="K6598" s="38"/>
      <c r="L6598" s="38"/>
    </row>
    <row r="6599" spans="1:12" x14ac:dyDescent="0.25">
      <c r="A6599" s="35"/>
      <c r="B6599" s="36"/>
      <c r="C6599" s="36"/>
      <c r="D6599" s="36"/>
      <c r="E6599" s="36"/>
      <c r="F6599" s="36"/>
      <c r="G6599" s="36"/>
      <c r="H6599" s="36"/>
      <c r="I6599" s="37"/>
      <c r="J6599" s="36"/>
      <c r="K6599" s="38"/>
      <c r="L6599" s="38"/>
    </row>
    <row r="6600" spans="1:12" x14ac:dyDescent="0.25">
      <c r="A6600" s="35"/>
      <c r="B6600" s="36"/>
      <c r="C6600" s="36"/>
      <c r="D6600" s="36"/>
      <c r="E6600" s="36"/>
      <c r="F6600" s="36"/>
      <c r="G6600" s="36"/>
      <c r="H6600" s="36"/>
      <c r="I6600" s="37"/>
      <c r="J6600" s="36"/>
      <c r="K6600" s="38"/>
      <c r="L6600" s="38"/>
    </row>
    <row r="6601" spans="1:12" x14ac:dyDescent="0.25">
      <c r="A6601" s="35"/>
      <c r="B6601" s="36"/>
      <c r="C6601" s="36"/>
      <c r="D6601" s="36"/>
      <c r="E6601" s="36"/>
      <c r="F6601" s="36"/>
      <c r="G6601" s="36"/>
      <c r="H6601" s="36"/>
      <c r="I6601" s="37"/>
      <c r="J6601" s="36"/>
      <c r="K6601" s="38"/>
      <c r="L6601" s="38"/>
    </row>
    <row r="6602" spans="1:12" x14ac:dyDescent="0.25">
      <c r="A6602" s="35"/>
      <c r="B6602" s="36"/>
      <c r="C6602" s="36"/>
      <c r="D6602" s="36"/>
      <c r="E6602" s="36"/>
      <c r="F6602" s="36"/>
      <c r="G6602" s="36"/>
      <c r="H6602" s="36"/>
      <c r="I6602" s="37"/>
      <c r="J6602" s="36"/>
      <c r="K6602" s="38"/>
      <c r="L6602" s="38"/>
    </row>
    <row r="6603" spans="1:12" x14ac:dyDescent="0.25">
      <c r="A6603" s="35"/>
      <c r="B6603" s="36"/>
      <c r="C6603" s="36"/>
      <c r="D6603" s="36"/>
      <c r="E6603" s="36"/>
      <c r="F6603" s="36"/>
      <c r="G6603" s="36"/>
      <c r="H6603" s="36"/>
      <c r="I6603" s="37"/>
      <c r="J6603" s="36"/>
      <c r="K6603" s="38"/>
      <c r="L6603" s="38"/>
    </row>
    <row r="6604" spans="1:12" x14ac:dyDescent="0.25">
      <c r="A6604" s="35"/>
      <c r="B6604" s="36"/>
      <c r="C6604" s="36"/>
      <c r="D6604" s="36"/>
      <c r="E6604" s="36"/>
      <c r="F6604" s="36"/>
      <c r="G6604" s="36"/>
      <c r="H6604" s="36"/>
      <c r="I6604" s="37"/>
      <c r="J6604" s="36"/>
      <c r="K6604" s="38"/>
      <c r="L6604" s="38"/>
    </row>
    <row r="6605" spans="1:12" x14ac:dyDescent="0.25">
      <c r="A6605" s="35"/>
      <c r="B6605" s="36"/>
      <c r="C6605" s="36"/>
      <c r="D6605" s="36"/>
      <c r="E6605" s="36"/>
      <c r="F6605" s="36"/>
      <c r="G6605" s="36"/>
      <c r="H6605" s="36"/>
      <c r="I6605" s="37"/>
      <c r="J6605" s="36"/>
      <c r="K6605" s="38"/>
      <c r="L6605" s="38"/>
    </row>
    <row r="6606" spans="1:12" x14ac:dyDescent="0.25">
      <c r="A6606" s="35"/>
      <c r="B6606" s="36"/>
      <c r="C6606" s="36"/>
      <c r="D6606" s="36"/>
      <c r="E6606" s="36"/>
      <c r="F6606" s="36"/>
      <c r="G6606" s="36"/>
      <c r="H6606" s="36"/>
      <c r="I6606" s="37"/>
      <c r="J6606" s="36"/>
      <c r="K6606" s="38"/>
      <c r="L6606" s="38"/>
    </row>
    <row r="6607" spans="1:12" x14ac:dyDescent="0.25">
      <c r="A6607" s="35"/>
      <c r="B6607" s="36"/>
      <c r="C6607" s="36"/>
      <c r="D6607" s="36"/>
      <c r="E6607" s="36"/>
      <c r="F6607" s="36"/>
      <c r="G6607" s="36"/>
      <c r="H6607" s="36"/>
      <c r="I6607" s="37"/>
      <c r="J6607" s="36"/>
      <c r="K6607" s="38"/>
      <c r="L6607" s="38"/>
    </row>
    <row r="6608" spans="1:12" x14ac:dyDescent="0.25">
      <c r="A6608" s="35"/>
      <c r="B6608" s="36"/>
      <c r="C6608" s="36"/>
      <c r="D6608" s="36"/>
      <c r="E6608" s="36"/>
      <c r="F6608" s="36"/>
      <c r="G6608" s="36"/>
      <c r="H6608" s="36"/>
      <c r="I6608" s="37"/>
      <c r="J6608" s="36"/>
      <c r="K6608" s="38"/>
      <c r="L6608" s="38"/>
    </row>
    <row r="6609" spans="1:12" x14ac:dyDescent="0.25">
      <c r="A6609" s="35"/>
      <c r="B6609" s="36"/>
      <c r="C6609" s="36"/>
      <c r="D6609" s="36"/>
      <c r="E6609" s="36"/>
      <c r="F6609" s="36"/>
      <c r="G6609" s="36"/>
      <c r="H6609" s="36"/>
      <c r="I6609" s="37"/>
      <c r="J6609" s="36"/>
      <c r="K6609" s="38"/>
      <c r="L6609" s="38"/>
    </row>
    <row r="6610" spans="1:12" x14ac:dyDescent="0.25">
      <c r="A6610" s="35"/>
      <c r="B6610" s="36"/>
      <c r="C6610" s="36"/>
      <c r="D6610" s="36"/>
      <c r="E6610" s="36"/>
      <c r="F6610" s="36"/>
      <c r="G6610" s="36"/>
      <c r="H6610" s="36"/>
      <c r="I6610" s="37"/>
      <c r="J6610" s="36"/>
      <c r="K6610" s="38"/>
      <c r="L6610" s="38"/>
    </row>
    <row r="6611" spans="1:12" x14ac:dyDescent="0.25">
      <c r="A6611" s="35"/>
      <c r="B6611" s="36"/>
      <c r="C6611" s="36"/>
      <c r="D6611" s="36"/>
      <c r="E6611" s="36"/>
      <c r="F6611" s="36"/>
      <c r="G6611" s="36"/>
      <c r="H6611" s="36"/>
      <c r="I6611" s="37"/>
      <c r="J6611" s="36"/>
      <c r="K6611" s="38"/>
      <c r="L6611" s="38"/>
    </row>
    <row r="6612" spans="1:12" x14ac:dyDescent="0.25">
      <c r="A6612" s="35"/>
      <c r="B6612" s="36"/>
      <c r="C6612" s="36"/>
      <c r="D6612" s="36"/>
      <c r="E6612" s="36"/>
      <c r="F6612" s="36"/>
      <c r="G6612" s="36"/>
      <c r="H6612" s="36"/>
      <c r="I6612" s="37"/>
      <c r="J6612" s="36"/>
      <c r="K6612" s="38"/>
      <c r="L6612" s="38"/>
    </row>
    <row r="6613" spans="1:12" x14ac:dyDescent="0.25">
      <c r="A6613" s="35"/>
      <c r="B6613" s="36"/>
      <c r="C6613" s="36"/>
      <c r="D6613" s="36"/>
      <c r="E6613" s="36"/>
      <c r="F6613" s="36"/>
      <c r="G6613" s="36"/>
      <c r="H6613" s="36"/>
      <c r="I6613" s="37"/>
      <c r="J6613" s="36"/>
      <c r="K6613" s="38"/>
      <c r="L6613" s="38"/>
    </row>
    <row r="6614" spans="1:12" x14ac:dyDescent="0.25">
      <c r="A6614" s="35"/>
      <c r="B6614" s="36"/>
      <c r="C6614" s="36"/>
      <c r="D6614" s="36"/>
      <c r="E6614" s="36"/>
      <c r="F6614" s="36"/>
      <c r="G6614" s="36"/>
      <c r="H6614" s="36"/>
      <c r="I6614" s="37"/>
      <c r="J6614" s="36"/>
      <c r="K6614" s="38"/>
      <c r="L6614" s="38"/>
    </row>
    <row r="6615" spans="1:12" x14ac:dyDescent="0.25">
      <c r="A6615" s="35"/>
      <c r="B6615" s="36"/>
      <c r="C6615" s="36"/>
      <c r="D6615" s="36"/>
      <c r="E6615" s="36"/>
      <c r="F6615" s="36"/>
      <c r="G6615" s="36"/>
      <c r="H6615" s="36"/>
      <c r="I6615" s="37"/>
      <c r="J6615" s="36"/>
      <c r="K6615" s="38"/>
      <c r="L6615" s="38"/>
    </row>
    <row r="6616" spans="1:12" x14ac:dyDescent="0.25">
      <c r="A6616" s="35"/>
      <c r="B6616" s="36"/>
      <c r="C6616" s="36"/>
      <c r="D6616" s="36"/>
      <c r="E6616" s="36"/>
      <c r="F6616" s="36"/>
      <c r="G6616" s="36"/>
      <c r="H6616" s="36"/>
      <c r="I6616" s="37"/>
      <c r="J6616" s="36"/>
      <c r="K6616" s="38"/>
      <c r="L6616" s="38"/>
    </row>
    <row r="6617" spans="1:12" x14ac:dyDescent="0.25">
      <c r="A6617" s="35"/>
      <c r="B6617" s="36"/>
      <c r="C6617" s="36"/>
      <c r="D6617" s="36"/>
      <c r="E6617" s="36"/>
      <c r="F6617" s="36"/>
      <c r="G6617" s="36"/>
      <c r="H6617" s="36"/>
      <c r="I6617" s="37"/>
      <c r="J6617" s="36"/>
      <c r="K6617" s="38"/>
      <c r="L6617" s="38"/>
    </row>
    <row r="6618" spans="1:12" x14ac:dyDescent="0.25">
      <c r="A6618" s="35"/>
      <c r="B6618" s="36"/>
      <c r="C6618" s="36"/>
      <c r="D6618" s="36"/>
      <c r="E6618" s="36"/>
      <c r="F6618" s="36"/>
      <c r="G6618" s="36"/>
      <c r="H6618" s="36"/>
      <c r="I6618" s="37"/>
      <c r="J6618" s="36"/>
      <c r="K6618" s="38"/>
      <c r="L6618" s="38"/>
    </row>
    <row r="6619" spans="1:12" x14ac:dyDescent="0.25">
      <c r="A6619" s="35"/>
      <c r="B6619" s="36"/>
      <c r="C6619" s="36"/>
      <c r="D6619" s="36"/>
      <c r="E6619" s="36"/>
      <c r="F6619" s="36"/>
      <c r="G6619" s="36"/>
      <c r="H6619" s="36"/>
      <c r="I6619" s="37"/>
      <c r="J6619" s="36"/>
      <c r="K6619" s="38"/>
      <c r="L6619" s="38"/>
    </row>
    <row r="6620" spans="1:12" x14ac:dyDescent="0.25">
      <c r="A6620" s="35"/>
      <c r="B6620" s="36"/>
      <c r="C6620" s="36"/>
      <c r="D6620" s="36"/>
      <c r="E6620" s="36"/>
      <c r="F6620" s="36"/>
      <c r="G6620" s="36"/>
      <c r="H6620" s="36"/>
      <c r="I6620" s="37"/>
      <c r="J6620" s="36"/>
      <c r="K6620" s="38"/>
      <c r="L6620" s="38"/>
    </row>
    <row r="6621" spans="1:12" x14ac:dyDescent="0.25">
      <c r="A6621" s="35"/>
      <c r="B6621" s="36"/>
      <c r="C6621" s="36"/>
      <c r="D6621" s="36"/>
      <c r="E6621" s="36"/>
      <c r="F6621" s="36"/>
      <c r="G6621" s="36"/>
      <c r="H6621" s="36"/>
      <c r="I6621" s="37"/>
      <c r="J6621" s="36"/>
      <c r="K6621" s="38"/>
      <c r="L6621" s="38"/>
    </row>
    <row r="6622" spans="1:12" x14ac:dyDescent="0.25">
      <c r="A6622" s="35"/>
      <c r="B6622" s="36"/>
      <c r="C6622" s="36"/>
      <c r="D6622" s="36"/>
      <c r="E6622" s="36"/>
      <c r="F6622" s="36"/>
      <c r="G6622" s="36"/>
      <c r="H6622" s="36"/>
      <c r="I6622" s="37"/>
      <c r="J6622" s="36"/>
      <c r="K6622" s="38"/>
      <c r="L6622" s="38"/>
    </row>
    <row r="6623" spans="1:12" x14ac:dyDescent="0.25">
      <c r="A6623" s="35"/>
      <c r="B6623" s="36"/>
      <c r="C6623" s="36"/>
      <c r="D6623" s="36"/>
      <c r="E6623" s="36"/>
      <c r="F6623" s="36"/>
      <c r="G6623" s="36"/>
      <c r="H6623" s="36"/>
      <c r="I6623" s="37"/>
      <c r="J6623" s="36"/>
      <c r="K6623" s="38"/>
      <c r="L6623" s="38"/>
    </row>
    <row r="6624" spans="1:12" x14ac:dyDescent="0.25">
      <c r="A6624" s="35"/>
      <c r="B6624" s="36"/>
      <c r="C6624" s="36"/>
      <c r="D6624" s="36"/>
      <c r="E6624" s="36"/>
      <c r="F6624" s="36"/>
      <c r="G6624" s="36"/>
      <c r="H6624" s="36"/>
      <c r="I6624" s="37"/>
      <c r="J6624" s="36"/>
      <c r="K6624" s="38"/>
      <c r="L6624" s="38"/>
    </row>
    <row r="6625" spans="1:12" x14ac:dyDescent="0.25">
      <c r="A6625" s="35"/>
      <c r="B6625" s="36"/>
      <c r="C6625" s="36"/>
      <c r="D6625" s="36"/>
      <c r="E6625" s="36"/>
      <c r="F6625" s="36"/>
      <c r="G6625" s="36"/>
      <c r="H6625" s="36"/>
      <c r="I6625" s="37"/>
      <c r="J6625" s="36"/>
      <c r="K6625" s="38"/>
      <c r="L6625" s="38"/>
    </row>
    <row r="6626" spans="1:12" x14ac:dyDescent="0.25">
      <c r="A6626" s="35"/>
      <c r="B6626" s="36"/>
      <c r="C6626" s="36"/>
      <c r="D6626" s="36"/>
      <c r="E6626" s="36"/>
      <c r="F6626" s="36"/>
      <c r="G6626" s="36"/>
      <c r="H6626" s="36"/>
      <c r="I6626" s="37"/>
      <c r="J6626" s="36"/>
      <c r="K6626" s="38"/>
      <c r="L6626" s="38"/>
    </row>
    <row r="6627" spans="1:12" x14ac:dyDescent="0.25">
      <c r="A6627" s="35"/>
      <c r="B6627" s="36"/>
      <c r="C6627" s="36"/>
      <c r="D6627" s="36"/>
      <c r="E6627" s="36"/>
      <c r="F6627" s="36"/>
      <c r="G6627" s="36"/>
      <c r="H6627" s="36"/>
      <c r="I6627" s="37"/>
      <c r="J6627" s="36"/>
      <c r="K6627" s="38"/>
      <c r="L6627" s="38"/>
    </row>
    <row r="6628" spans="1:12" x14ac:dyDescent="0.25">
      <c r="A6628" s="35"/>
      <c r="B6628" s="36"/>
      <c r="C6628" s="36"/>
      <c r="D6628" s="36"/>
      <c r="E6628" s="36"/>
      <c r="F6628" s="36"/>
      <c r="G6628" s="36"/>
      <c r="H6628" s="36"/>
      <c r="I6628" s="37"/>
      <c r="J6628" s="36"/>
      <c r="K6628" s="38"/>
      <c r="L6628" s="38"/>
    </row>
    <row r="6629" spans="1:12" x14ac:dyDescent="0.25">
      <c r="A6629" s="35"/>
      <c r="B6629" s="36"/>
      <c r="C6629" s="36"/>
      <c r="D6629" s="36"/>
      <c r="E6629" s="36"/>
      <c r="F6629" s="36"/>
      <c r="G6629" s="36"/>
      <c r="H6629" s="36"/>
      <c r="I6629" s="37"/>
      <c r="J6629" s="36"/>
      <c r="K6629" s="38"/>
      <c r="L6629" s="38"/>
    </row>
    <row r="6630" spans="1:12" x14ac:dyDescent="0.25">
      <c r="A6630" s="35"/>
      <c r="B6630" s="36"/>
      <c r="C6630" s="36"/>
      <c r="D6630" s="36"/>
      <c r="E6630" s="36"/>
      <c r="F6630" s="36"/>
      <c r="G6630" s="36"/>
      <c r="H6630" s="36"/>
      <c r="I6630" s="37"/>
      <c r="J6630" s="36"/>
      <c r="K6630" s="38"/>
      <c r="L6630" s="38"/>
    </row>
    <row r="6631" spans="1:12" x14ac:dyDescent="0.25">
      <c r="A6631" s="35"/>
      <c r="B6631" s="36"/>
      <c r="C6631" s="36"/>
      <c r="D6631" s="36"/>
      <c r="E6631" s="36"/>
      <c r="F6631" s="36"/>
      <c r="G6631" s="36"/>
      <c r="H6631" s="36"/>
      <c r="I6631" s="37"/>
      <c r="J6631" s="36"/>
      <c r="K6631" s="38"/>
      <c r="L6631" s="38"/>
    </row>
    <row r="6632" spans="1:12" x14ac:dyDescent="0.25">
      <c r="A6632" s="35"/>
      <c r="B6632" s="36"/>
      <c r="C6632" s="36"/>
      <c r="D6632" s="36"/>
      <c r="E6632" s="36"/>
      <c r="F6632" s="36"/>
      <c r="G6632" s="36"/>
      <c r="H6632" s="36"/>
      <c r="I6632" s="37"/>
      <c r="J6632" s="36"/>
      <c r="K6632" s="38"/>
      <c r="L6632" s="38"/>
    </row>
    <row r="6633" spans="1:12" x14ac:dyDescent="0.25">
      <c r="A6633" s="35"/>
      <c r="B6633" s="36"/>
      <c r="C6633" s="36"/>
      <c r="D6633" s="36"/>
      <c r="E6633" s="36"/>
      <c r="F6633" s="36"/>
      <c r="G6633" s="36"/>
      <c r="H6633" s="36"/>
      <c r="I6633" s="37"/>
      <c r="J6633" s="36"/>
      <c r="K6633" s="38"/>
      <c r="L6633" s="38"/>
    </row>
    <row r="6634" spans="1:12" x14ac:dyDescent="0.25">
      <c r="A6634" s="35"/>
      <c r="B6634" s="36"/>
      <c r="C6634" s="36"/>
      <c r="D6634" s="36"/>
      <c r="E6634" s="36"/>
      <c r="F6634" s="36"/>
      <c r="G6634" s="36"/>
      <c r="H6634" s="36"/>
      <c r="I6634" s="37"/>
      <c r="J6634" s="36"/>
      <c r="K6634" s="38"/>
      <c r="L6634" s="38"/>
    </row>
    <row r="6635" spans="1:12" x14ac:dyDescent="0.25">
      <c r="A6635" s="35"/>
      <c r="B6635" s="36"/>
      <c r="C6635" s="36"/>
      <c r="D6635" s="36"/>
      <c r="E6635" s="36"/>
      <c r="F6635" s="36"/>
      <c r="G6635" s="36"/>
      <c r="H6635" s="36"/>
      <c r="I6635" s="37"/>
      <c r="J6635" s="36"/>
      <c r="K6635" s="38"/>
      <c r="L6635" s="38"/>
    </row>
    <row r="6636" spans="1:12" x14ac:dyDescent="0.25">
      <c r="A6636" s="35"/>
      <c r="B6636" s="36"/>
      <c r="C6636" s="36"/>
      <c r="D6636" s="36"/>
      <c r="E6636" s="36"/>
      <c r="F6636" s="36"/>
      <c r="G6636" s="36"/>
      <c r="H6636" s="36"/>
      <c r="I6636" s="37"/>
      <c r="J6636" s="36"/>
      <c r="K6636" s="38"/>
      <c r="L6636" s="38"/>
    </row>
    <row r="6637" spans="1:12" x14ac:dyDescent="0.25">
      <c r="A6637" s="35"/>
      <c r="B6637" s="36"/>
      <c r="C6637" s="36"/>
      <c r="D6637" s="36"/>
      <c r="E6637" s="36"/>
      <c r="F6637" s="36"/>
      <c r="G6637" s="36"/>
      <c r="H6637" s="36"/>
      <c r="I6637" s="37"/>
      <c r="J6637" s="36"/>
      <c r="K6637" s="38"/>
      <c r="L6637" s="38"/>
    </row>
    <row r="6638" spans="1:12" x14ac:dyDescent="0.25">
      <c r="A6638" s="35"/>
      <c r="B6638" s="36"/>
      <c r="C6638" s="36"/>
      <c r="D6638" s="36"/>
      <c r="E6638" s="36"/>
      <c r="F6638" s="36"/>
      <c r="G6638" s="36"/>
      <c r="H6638" s="36"/>
      <c r="I6638" s="37"/>
      <c r="J6638" s="36"/>
      <c r="K6638" s="38"/>
      <c r="L6638" s="38"/>
    </row>
    <row r="6639" spans="1:12" x14ac:dyDescent="0.25">
      <c r="A6639" s="35"/>
      <c r="B6639" s="36"/>
      <c r="C6639" s="36"/>
      <c r="D6639" s="36"/>
      <c r="E6639" s="36"/>
      <c r="F6639" s="36"/>
      <c r="G6639" s="36"/>
      <c r="H6639" s="36"/>
      <c r="I6639" s="37"/>
      <c r="J6639" s="36"/>
      <c r="K6639" s="38"/>
      <c r="L6639" s="38"/>
    </row>
    <row r="6640" spans="1:12" x14ac:dyDescent="0.25">
      <c r="A6640" s="35"/>
      <c r="B6640" s="36"/>
      <c r="C6640" s="36"/>
      <c r="D6640" s="36"/>
      <c r="E6640" s="36"/>
      <c r="F6640" s="36"/>
      <c r="G6640" s="36"/>
      <c r="H6640" s="36"/>
      <c r="I6640" s="37"/>
      <c r="J6640" s="36"/>
      <c r="K6640" s="38"/>
      <c r="L6640" s="38"/>
    </row>
    <row r="6641" spans="1:12" x14ac:dyDescent="0.25">
      <c r="A6641" s="35"/>
      <c r="B6641" s="36"/>
      <c r="C6641" s="36"/>
      <c r="D6641" s="36"/>
      <c r="E6641" s="36"/>
      <c r="F6641" s="36"/>
      <c r="G6641" s="36"/>
      <c r="H6641" s="36"/>
      <c r="I6641" s="37"/>
      <c r="J6641" s="36"/>
      <c r="K6641" s="38"/>
      <c r="L6641" s="38"/>
    </row>
    <row r="6642" spans="1:12" x14ac:dyDescent="0.25">
      <c r="A6642" s="35"/>
      <c r="B6642" s="36"/>
      <c r="C6642" s="36"/>
      <c r="D6642" s="36"/>
      <c r="E6642" s="36"/>
      <c r="F6642" s="36"/>
      <c r="G6642" s="36"/>
      <c r="H6642" s="36"/>
      <c r="I6642" s="37"/>
      <c r="J6642" s="36"/>
      <c r="K6642" s="38"/>
      <c r="L6642" s="38"/>
    </row>
    <row r="6643" spans="1:12" x14ac:dyDescent="0.25">
      <c r="A6643" s="35"/>
      <c r="B6643" s="36"/>
      <c r="C6643" s="36"/>
      <c r="D6643" s="36"/>
      <c r="E6643" s="36"/>
      <c r="F6643" s="36"/>
      <c r="G6643" s="36"/>
      <c r="H6643" s="36"/>
      <c r="I6643" s="37"/>
      <c r="J6643" s="36"/>
      <c r="K6643" s="38"/>
      <c r="L6643" s="38"/>
    </row>
    <row r="6644" spans="1:12" x14ac:dyDescent="0.25">
      <c r="A6644" s="35"/>
      <c r="B6644" s="36"/>
      <c r="C6644" s="36"/>
      <c r="D6644" s="36"/>
      <c r="E6644" s="36"/>
      <c r="F6644" s="36"/>
      <c r="G6644" s="36"/>
      <c r="H6644" s="36"/>
      <c r="I6644" s="37"/>
      <c r="J6644" s="36"/>
      <c r="K6644" s="38"/>
      <c r="L6644" s="38"/>
    </row>
    <row r="6645" spans="1:12" x14ac:dyDescent="0.25">
      <c r="A6645" s="35"/>
      <c r="B6645" s="36"/>
      <c r="C6645" s="36"/>
      <c r="D6645" s="36"/>
      <c r="E6645" s="36"/>
      <c r="F6645" s="36"/>
      <c r="G6645" s="36"/>
      <c r="H6645" s="36"/>
      <c r="I6645" s="37"/>
      <c r="J6645" s="36"/>
      <c r="K6645" s="38"/>
      <c r="L6645" s="38"/>
    </row>
    <row r="6646" spans="1:12" x14ac:dyDescent="0.25">
      <c r="A6646" s="35"/>
      <c r="B6646" s="36"/>
      <c r="C6646" s="36"/>
      <c r="D6646" s="36"/>
      <c r="E6646" s="36"/>
      <c r="F6646" s="36"/>
      <c r="G6646" s="36"/>
      <c r="H6646" s="36"/>
      <c r="I6646" s="37"/>
      <c r="J6646" s="36"/>
      <c r="K6646" s="38"/>
      <c r="L6646" s="38"/>
    </row>
    <row r="6647" spans="1:12" x14ac:dyDescent="0.25">
      <c r="A6647" s="35"/>
      <c r="B6647" s="36"/>
      <c r="C6647" s="36"/>
      <c r="D6647" s="36"/>
      <c r="E6647" s="36"/>
      <c r="F6647" s="36"/>
      <c r="G6647" s="36"/>
      <c r="H6647" s="36"/>
      <c r="I6647" s="37"/>
      <c r="J6647" s="36"/>
      <c r="K6647" s="38"/>
      <c r="L6647" s="38"/>
    </row>
    <row r="6648" spans="1:12" x14ac:dyDescent="0.25">
      <c r="A6648" s="35"/>
      <c r="B6648" s="36"/>
      <c r="C6648" s="36"/>
      <c r="D6648" s="36"/>
      <c r="E6648" s="36"/>
      <c r="F6648" s="36"/>
      <c r="G6648" s="36"/>
      <c r="H6648" s="36"/>
      <c r="I6648" s="37"/>
      <c r="J6648" s="36"/>
      <c r="K6648" s="38"/>
      <c r="L6648" s="38"/>
    </row>
    <row r="6649" spans="1:12" x14ac:dyDescent="0.25">
      <c r="A6649" s="35"/>
      <c r="B6649" s="36"/>
      <c r="C6649" s="36"/>
      <c r="D6649" s="36"/>
      <c r="E6649" s="36"/>
      <c r="F6649" s="36"/>
      <c r="G6649" s="36"/>
      <c r="H6649" s="36"/>
      <c r="I6649" s="37"/>
      <c r="J6649" s="36"/>
      <c r="K6649" s="38"/>
      <c r="L6649" s="38"/>
    </row>
    <row r="6650" spans="1:12" x14ac:dyDescent="0.25">
      <c r="A6650" s="35"/>
      <c r="B6650" s="36"/>
      <c r="C6650" s="36"/>
      <c r="D6650" s="36"/>
      <c r="E6650" s="36"/>
      <c r="F6650" s="36"/>
      <c r="G6650" s="36"/>
      <c r="H6650" s="36"/>
      <c r="I6650" s="37"/>
      <c r="J6650" s="36"/>
      <c r="K6650" s="38"/>
      <c r="L6650" s="38"/>
    </row>
    <row r="6651" spans="1:12" x14ac:dyDescent="0.25">
      <c r="A6651" s="35"/>
      <c r="B6651" s="36"/>
      <c r="C6651" s="36"/>
      <c r="D6651" s="36"/>
      <c r="E6651" s="36"/>
      <c r="F6651" s="36"/>
      <c r="G6651" s="36"/>
      <c r="H6651" s="36"/>
      <c r="I6651" s="37"/>
      <c r="J6651" s="36"/>
      <c r="K6651" s="38"/>
      <c r="L6651" s="38"/>
    </row>
    <row r="6652" spans="1:12" x14ac:dyDescent="0.25">
      <c r="A6652" s="35"/>
      <c r="B6652" s="36"/>
      <c r="C6652" s="36"/>
      <c r="D6652" s="36"/>
      <c r="E6652" s="36"/>
      <c r="F6652" s="36"/>
      <c r="G6652" s="36"/>
      <c r="H6652" s="36"/>
      <c r="I6652" s="37"/>
      <c r="J6652" s="36"/>
      <c r="K6652" s="38"/>
      <c r="L6652" s="38"/>
    </row>
    <row r="6653" spans="1:12" x14ac:dyDescent="0.25">
      <c r="A6653" s="35"/>
      <c r="B6653" s="36"/>
      <c r="C6653" s="36"/>
      <c r="D6653" s="36"/>
      <c r="E6653" s="36"/>
      <c r="F6653" s="36"/>
      <c r="G6653" s="36"/>
      <c r="H6653" s="36"/>
      <c r="I6653" s="37"/>
      <c r="J6653" s="36"/>
      <c r="K6653" s="38"/>
      <c r="L6653" s="38"/>
    </row>
    <row r="6654" spans="1:12" x14ac:dyDescent="0.25">
      <c r="A6654" s="35"/>
      <c r="B6654" s="36"/>
      <c r="C6654" s="36"/>
      <c r="D6654" s="36"/>
      <c r="E6654" s="36"/>
      <c r="F6654" s="36"/>
      <c r="G6654" s="36"/>
      <c r="H6654" s="36"/>
      <c r="I6654" s="37"/>
      <c r="J6654" s="36"/>
      <c r="K6654" s="38"/>
      <c r="L6654" s="38"/>
    </row>
    <row r="6655" spans="1:12" x14ac:dyDescent="0.25">
      <c r="A6655" s="35"/>
      <c r="B6655" s="36"/>
      <c r="C6655" s="36"/>
      <c r="D6655" s="36"/>
      <c r="E6655" s="36"/>
      <c r="F6655" s="36"/>
      <c r="G6655" s="36"/>
      <c r="H6655" s="36"/>
      <c r="I6655" s="37"/>
      <c r="J6655" s="36"/>
      <c r="K6655" s="38"/>
      <c r="L6655" s="38"/>
    </row>
    <row r="6656" spans="1:12" x14ac:dyDescent="0.25">
      <c r="A6656" s="35"/>
      <c r="B6656" s="36"/>
      <c r="C6656" s="36"/>
      <c r="D6656" s="36"/>
      <c r="E6656" s="36"/>
      <c r="F6656" s="36"/>
      <c r="G6656" s="36"/>
      <c r="H6656" s="36"/>
      <c r="I6656" s="37"/>
      <c r="J6656" s="36"/>
      <c r="K6656" s="38"/>
      <c r="L6656" s="38"/>
    </row>
    <row r="6657" spans="1:12" x14ac:dyDescent="0.25">
      <c r="A6657" s="35"/>
      <c r="B6657" s="36"/>
      <c r="C6657" s="36"/>
      <c r="D6657" s="36"/>
      <c r="E6657" s="36"/>
      <c r="F6657" s="36"/>
      <c r="G6657" s="36"/>
      <c r="H6657" s="36"/>
      <c r="I6657" s="37"/>
      <c r="J6657" s="36"/>
      <c r="K6657" s="38"/>
      <c r="L6657" s="38"/>
    </row>
    <row r="6658" spans="1:12" x14ac:dyDescent="0.25">
      <c r="A6658" s="35"/>
      <c r="B6658" s="36"/>
      <c r="C6658" s="36"/>
      <c r="D6658" s="36"/>
      <c r="E6658" s="36"/>
      <c r="F6658" s="36"/>
      <c r="G6658" s="36"/>
      <c r="H6658" s="36"/>
      <c r="I6658" s="37"/>
      <c r="J6658" s="36"/>
      <c r="K6658" s="38"/>
      <c r="L6658" s="38"/>
    </row>
    <row r="6659" spans="1:12" x14ac:dyDescent="0.25">
      <c r="A6659" s="35"/>
      <c r="B6659" s="36"/>
      <c r="C6659" s="36"/>
      <c r="D6659" s="36"/>
      <c r="E6659" s="36"/>
      <c r="F6659" s="36"/>
      <c r="G6659" s="36"/>
      <c r="H6659" s="36"/>
      <c r="I6659" s="37"/>
      <c r="J6659" s="36"/>
      <c r="K6659" s="38"/>
      <c r="L6659" s="38"/>
    </row>
    <row r="6660" spans="1:12" x14ac:dyDescent="0.25">
      <c r="A6660" s="35"/>
      <c r="B6660" s="36"/>
      <c r="C6660" s="36"/>
      <c r="D6660" s="36"/>
      <c r="E6660" s="36"/>
      <c r="F6660" s="36"/>
      <c r="G6660" s="36"/>
      <c r="H6660" s="36"/>
      <c r="I6660" s="37"/>
      <c r="J6660" s="36"/>
      <c r="K6660" s="38"/>
      <c r="L6660" s="38"/>
    </row>
    <row r="6661" spans="1:12" x14ac:dyDescent="0.25">
      <c r="A6661" s="35"/>
      <c r="B6661" s="36"/>
      <c r="C6661" s="36"/>
      <c r="D6661" s="36"/>
      <c r="E6661" s="36"/>
      <c r="F6661" s="36"/>
      <c r="G6661" s="36"/>
      <c r="H6661" s="36"/>
      <c r="I6661" s="37"/>
      <c r="J6661" s="36"/>
      <c r="K6661" s="38"/>
      <c r="L6661" s="38"/>
    </row>
    <row r="6662" spans="1:12" x14ac:dyDescent="0.25">
      <c r="A6662" s="35"/>
      <c r="B6662" s="36"/>
      <c r="C6662" s="36"/>
      <c r="D6662" s="36"/>
      <c r="E6662" s="36"/>
      <c r="F6662" s="36"/>
      <c r="G6662" s="36"/>
      <c r="H6662" s="36"/>
      <c r="I6662" s="37"/>
      <c r="J6662" s="36"/>
      <c r="K6662" s="38"/>
      <c r="L6662" s="38"/>
    </row>
    <row r="6663" spans="1:12" x14ac:dyDescent="0.25">
      <c r="A6663" s="35"/>
      <c r="B6663" s="36"/>
      <c r="C6663" s="36"/>
      <c r="D6663" s="36"/>
      <c r="E6663" s="36"/>
      <c r="F6663" s="36"/>
      <c r="G6663" s="36"/>
      <c r="H6663" s="36"/>
      <c r="I6663" s="37"/>
      <c r="J6663" s="36"/>
      <c r="K6663" s="38"/>
      <c r="L6663" s="38"/>
    </row>
    <row r="6664" spans="1:12" x14ac:dyDescent="0.25">
      <c r="A6664" s="35"/>
      <c r="B6664" s="36"/>
      <c r="C6664" s="36"/>
      <c r="D6664" s="36"/>
      <c r="E6664" s="36"/>
      <c r="F6664" s="36"/>
      <c r="G6664" s="36"/>
      <c r="H6664" s="36"/>
      <c r="I6664" s="37"/>
      <c r="J6664" s="36"/>
      <c r="K6664" s="38"/>
      <c r="L6664" s="38"/>
    </row>
    <row r="6665" spans="1:12" x14ac:dyDescent="0.25">
      <c r="A6665" s="35"/>
      <c r="B6665" s="36"/>
      <c r="C6665" s="36"/>
      <c r="D6665" s="36"/>
      <c r="E6665" s="36"/>
      <c r="F6665" s="36"/>
      <c r="G6665" s="36"/>
      <c r="H6665" s="36"/>
      <c r="I6665" s="37"/>
      <c r="J6665" s="36"/>
      <c r="K6665" s="38"/>
      <c r="L6665" s="38"/>
    </row>
    <row r="6666" spans="1:12" x14ac:dyDescent="0.25">
      <c r="A6666" s="35"/>
      <c r="B6666" s="36"/>
      <c r="C6666" s="36"/>
      <c r="D6666" s="36"/>
      <c r="E6666" s="36"/>
      <c r="F6666" s="36"/>
      <c r="G6666" s="36"/>
      <c r="H6666" s="36"/>
      <c r="I6666" s="37"/>
      <c r="J6666" s="36"/>
      <c r="K6666" s="38"/>
      <c r="L6666" s="38"/>
    </row>
    <row r="6667" spans="1:12" x14ac:dyDescent="0.25">
      <c r="A6667" s="35"/>
      <c r="B6667" s="36"/>
      <c r="C6667" s="36"/>
      <c r="D6667" s="36"/>
      <c r="E6667" s="36"/>
      <c r="F6667" s="36"/>
      <c r="G6667" s="36"/>
      <c r="H6667" s="36"/>
      <c r="I6667" s="37"/>
      <c r="J6667" s="36"/>
      <c r="K6667" s="38"/>
      <c r="L6667" s="38"/>
    </row>
    <row r="6668" spans="1:12" x14ac:dyDescent="0.25">
      <c r="A6668" s="35"/>
      <c r="B6668" s="36"/>
      <c r="C6668" s="36"/>
      <c r="D6668" s="36"/>
      <c r="E6668" s="36"/>
      <c r="F6668" s="36"/>
      <c r="G6668" s="36"/>
      <c r="H6668" s="36"/>
      <c r="I6668" s="37"/>
      <c r="J6668" s="36"/>
      <c r="K6668" s="38"/>
      <c r="L6668" s="38"/>
    </row>
    <row r="6669" spans="1:12" x14ac:dyDescent="0.25">
      <c r="A6669" s="35"/>
      <c r="B6669" s="36"/>
      <c r="C6669" s="36"/>
      <c r="D6669" s="36"/>
      <c r="E6669" s="36"/>
      <c r="F6669" s="36"/>
      <c r="G6669" s="36"/>
      <c r="H6669" s="36"/>
      <c r="I6669" s="37"/>
      <c r="J6669" s="36"/>
      <c r="K6669" s="38"/>
      <c r="L6669" s="38"/>
    </row>
    <row r="6670" spans="1:12" x14ac:dyDescent="0.25">
      <c r="A6670" s="35"/>
      <c r="B6670" s="36"/>
      <c r="C6670" s="36"/>
      <c r="D6670" s="36"/>
      <c r="E6670" s="36"/>
      <c r="F6670" s="36"/>
      <c r="G6670" s="36"/>
      <c r="H6670" s="36"/>
      <c r="I6670" s="37"/>
      <c r="J6670" s="36"/>
      <c r="K6670" s="38"/>
      <c r="L6670" s="38"/>
    </row>
    <row r="6671" spans="1:12" x14ac:dyDescent="0.25">
      <c r="A6671" s="35"/>
      <c r="B6671" s="36"/>
      <c r="C6671" s="36"/>
      <c r="D6671" s="36"/>
      <c r="E6671" s="36"/>
      <c r="F6671" s="36"/>
      <c r="G6671" s="36"/>
      <c r="H6671" s="36"/>
      <c r="I6671" s="37"/>
      <c r="J6671" s="36"/>
      <c r="K6671" s="38"/>
      <c r="L6671" s="38"/>
    </row>
    <row r="6672" spans="1:12" x14ac:dyDescent="0.25">
      <c r="A6672" s="35"/>
      <c r="B6672" s="36"/>
      <c r="C6672" s="36"/>
      <c r="D6672" s="36"/>
      <c r="E6672" s="36"/>
      <c r="F6672" s="36"/>
      <c r="G6672" s="36"/>
      <c r="H6672" s="36"/>
      <c r="I6672" s="37"/>
      <c r="J6672" s="36"/>
      <c r="K6672" s="38"/>
      <c r="L6672" s="38"/>
    </row>
    <row r="6673" spans="1:12" x14ac:dyDescent="0.25">
      <c r="A6673" s="35"/>
      <c r="B6673" s="36"/>
      <c r="C6673" s="36"/>
      <c r="D6673" s="36"/>
      <c r="E6673" s="36"/>
      <c r="F6673" s="36"/>
      <c r="G6673" s="36"/>
      <c r="H6673" s="36"/>
      <c r="I6673" s="37"/>
      <c r="J6673" s="36"/>
      <c r="K6673" s="38"/>
      <c r="L6673" s="38"/>
    </row>
    <row r="6674" spans="1:12" x14ac:dyDescent="0.25">
      <c r="A6674" s="35"/>
      <c r="B6674" s="36"/>
      <c r="C6674" s="36"/>
      <c r="D6674" s="36"/>
      <c r="E6674" s="36"/>
      <c r="F6674" s="36"/>
      <c r="G6674" s="36"/>
      <c r="H6674" s="36"/>
      <c r="I6674" s="37"/>
      <c r="J6674" s="36"/>
      <c r="K6674" s="38"/>
      <c r="L6674" s="38"/>
    </row>
    <row r="6675" spans="1:12" x14ac:dyDescent="0.25">
      <c r="A6675" s="35"/>
      <c r="B6675" s="36"/>
      <c r="C6675" s="36"/>
      <c r="D6675" s="36"/>
      <c r="E6675" s="36"/>
      <c r="F6675" s="36"/>
      <c r="G6675" s="36"/>
      <c r="H6675" s="36"/>
      <c r="I6675" s="37"/>
      <c r="J6675" s="36"/>
      <c r="K6675" s="38"/>
      <c r="L6675" s="38"/>
    </row>
    <row r="6676" spans="1:12" x14ac:dyDescent="0.25">
      <c r="A6676" s="35"/>
      <c r="B6676" s="36"/>
      <c r="C6676" s="36"/>
      <c r="D6676" s="36"/>
      <c r="E6676" s="36"/>
      <c r="F6676" s="36"/>
      <c r="G6676" s="36"/>
      <c r="H6676" s="36"/>
      <c r="I6676" s="37"/>
      <c r="J6676" s="36"/>
      <c r="K6676" s="38"/>
      <c r="L6676" s="38"/>
    </row>
    <row r="6677" spans="1:12" x14ac:dyDescent="0.25">
      <c r="A6677" s="35"/>
      <c r="B6677" s="36"/>
      <c r="C6677" s="36"/>
      <c r="D6677" s="36"/>
      <c r="E6677" s="36"/>
      <c r="F6677" s="36"/>
      <c r="G6677" s="36"/>
      <c r="H6677" s="36"/>
      <c r="I6677" s="37"/>
      <c r="J6677" s="36"/>
      <c r="K6677" s="38"/>
      <c r="L6677" s="38"/>
    </row>
    <row r="6678" spans="1:12" x14ac:dyDescent="0.25">
      <c r="A6678" s="35"/>
      <c r="B6678" s="36"/>
      <c r="C6678" s="36"/>
      <c r="D6678" s="36"/>
      <c r="E6678" s="36"/>
      <c r="F6678" s="36"/>
      <c r="G6678" s="36"/>
      <c r="H6678" s="36"/>
      <c r="I6678" s="37"/>
      <c r="J6678" s="36"/>
      <c r="K6678" s="38"/>
      <c r="L6678" s="38"/>
    </row>
    <row r="6679" spans="1:12" x14ac:dyDescent="0.25">
      <c r="A6679" s="35"/>
      <c r="B6679" s="36"/>
      <c r="C6679" s="36"/>
      <c r="D6679" s="36"/>
      <c r="E6679" s="36"/>
      <c r="F6679" s="36"/>
      <c r="G6679" s="36"/>
      <c r="H6679" s="36"/>
      <c r="I6679" s="37"/>
      <c r="J6679" s="36"/>
      <c r="K6679" s="38"/>
      <c r="L6679" s="38"/>
    </row>
    <row r="6680" spans="1:12" x14ac:dyDescent="0.25">
      <c r="A6680" s="35"/>
      <c r="B6680" s="36"/>
      <c r="C6680" s="36"/>
      <c r="D6680" s="36"/>
      <c r="E6680" s="36"/>
      <c r="F6680" s="36"/>
      <c r="G6680" s="36"/>
      <c r="H6680" s="36"/>
      <c r="I6680" s="37"/>
      <c r="J6680" s="36"/>
      <c r="K6680" s="38"/>
      <c r="L6680" s="38"/>
    </row>
    <row r="6681" spans="1:12" x14ac:dyDescent="0.25">
      <c r="A6681" s="35"/>
      <c r="B6681" s="36"/>
      <c r="C6681" s="36"/>
      <c r="D6681" s="36"/>
      <c r="E6681" s="36"/>
      <c r="F6681" s="36"/>
      <c r="G6681" s="36"/>
      <c r="H6681" s="36"/>
      <c r="I6681" s="37"/>
      <c r="J6681" s="36"/>
      <c r="K6681" s="38"/>
      <c r="L6681" s="38"/>
    </row>
    <row r="6682" spans="1:12" x14ac:dyDescent="0.25">
      <c r="A6682" s="35"/>
      <c r="B6682" s="36"/>
      <c r="C6682" s="36"/>
      <c r="D6682" s="36"/>
      <c r="E6682" s="36"/>
      <c r="F6682" s="36"/>
      <c r="G6682" s="36"/>
      <c r="H6682" s="36"/>
      <c r="I6682" s="37"/>
      <c r="J6682" s="36"/>
      <c r="K6682" s="38"/>
      <c r="L6682" s="38"/>
    </row>
    <row r="6683" spans="1:12" x14ac:dyDescent="0.25">
      <c r="A6683" s="35"/>
      <c r="B6683" s="36"/>
      <c r="C6683" s="36"/>
      <c r="D6683" s="36"/>
      <c r="E6683" s="36"/>
      <c r="F6683" s="36"/>
      <c r="G6683" s="36"/>
      <c r="H6683" s="36"/>
      <c r="I6683" s="37"/>
      <c r="J6683" s="36"/>
      <c r="K6683" s="38"/>
      <c r="L6683" s="38"/>
    </row>
    <row r="6684" spans="1:12" x14ac:dyDescent="0.25">
      <c r="A6684" s="35"/>
      <c r="B6684" s="36"/>
      <c r="C6684" s="36"/>
      <c r="D6684" s="36"/>
      <c r="E6684" s="36"/>
      <c r="F6684" s="36"/>
      <c r="G6684" s="36"/>
      <c r="H6684" s="36"/>
      <c r="I6684" s="37"/>
      <c r="J6684" s="36"/>
      <c r="K6684" s="38"/>
      <c r="L6684" s="38"/>
    </row>
    <row r="6685" spans="1:12" x14ac:dyDescent="0.25">
      <c r="A6685" s="35"/>
      <c r="B6685" s="36"/>
      <c r="C6685" s="36"/>
      <c r="D6685" s="36"/>
      <c r="E6685" s="36"/>
      <c r="F6685" s="36"/>
      <c r="G6685" s="36"/>
      <c r="H6685" s="36"/>
      <c r="I6685" s="37"/>
      <c r="J6685" s="36"/>
      <c r="K6685" s="38"/>
      <c r="L6685" s="38"/>
    </row>
    <row r="6686" spans="1:12" x14ac:dyDescent="0.25">
      <c r="A6686" s="35"/>
      <c r="B6686" s="36"/>
      <c r="C6686" s="36"/>
      <c r="D6686" s="36"/>
      <c r="E6686" s="36"/>
      <c r="F6686" s="36"/>
      <c r="G6686" s="36"/>
      <c r="H6686" s="36"/>
      <c r="I6686" s="37"/>
      <c r="J6686" s="36"/>
      <c r="K6686" s="38"/>
      <c r="L6686" s="38"/>
    </row>
    <row r="6687" spans="1:12" x14ac:dyDescent="0.25">
      <c r="A6687" s="35"/>
      <c r="B6687" s="36"/>
      <c r="C6687" s="36"/>
      <c r="D6687" s="36"/>
      <c r="E6687" s="36"/>
      <c r="F6687" s="36"/>
      <c r="G6687" s="36"/>
      <c r="H6687" s="36"/>
      <c r="I6687" s="37"/>
      <c r="J6687" s="36"/>
      <c r="K6687" s="38"/>
      <c r="L6687" s="38"/>
    </row>
    <row r="6688" spans="1:12" x14ac:dyDescent="0.25">
      <c r="A6688" s="35"/>
      <c r="B6688" s="36"/>
      <c r="C6688" s="36"/>
      <c r="D6688" s="36"/>
      <c r="E6688" s="36"/>
      <c r="F6688" s="36"/>
      <c r="G6688" s="36"/>
      <c r="H6688" s="36"/>
      <c r="I6688" s="37"/>
      <c r="J6688" s="36"/>
      <c r="K6688" s="38"/>
      <c r="L6688" s="38"/>
    </row>
    <row r="6689" spans="1:12" x14ac:dyDescent="0.25">
      <c r="A6689" s="35"/>
      <c r="B6689" s="36"/>
      <c r="C6689" s="36"/>
      <c r="D6689" s="36"/>
      <c r="E6689" s="36"/>
      <c r="F6689" s="36"/>
      <c r="G6689" s="36"/>
      <c r="H6689" s="36"/>
      <c r="I6689" s="37"/>
      <c r="J6689" s="36"/>
      <c r="K6689" s="38"/>
      <c r="L6689" s="38"/>
    </row>
    <row r="6690" spans="1:12" x14ac:dyDescent="0.25">
      <c r="A6690" s="35"/>
      <c r="B6690" s="36"/>
      <c r="C6690" s="36"/>
      <c r="D6690" s="36"/>
      <c r="E6690" s="36"/>
      <c r="F6690" s="36"/>
      <c r="G6690" s="36"/>
      <c r="H6690" s="36"/>
      <c r="I6690" s="37"/>
      <c r="J6690" s="36"/>
      <c r="K6690" s="38"/>
      <c r="L6690" s="38"/>
    </row>
    <row r="6691" spans="1:12" x14ac:dyDescent="0.25">
      <c r="A6691" s="35"/>
      <c r="B6691" s="36"/>
      <c r="C6691" s="36"/>
      <c r="D6691" s="36"/>
      <c r="E6691" s="36"/>
      <c r="F6691" s="36"/>
      <c r="G6691" s="36"/>
      <c r="H6691" s="36"/>
      <c r="I6691" s="37"/>
      <c r="J6691" s="36"/>
      <c r="K6691" s="38"/>
      <c r="L6691" s="38"/>
    </row>
    <row r="6692" spans="1:12" x14ac:dyDescent="0.25">
      <c r="A6692" s="35"/>
      <c r="B6692" s="36"/>
      <c r="C6692" s="36"/>
      <c r="D6692" s="36"/>
      <c r="E6692" s="36"/>
      <c r="F6692" s="36"/>
      <c r="G6692" s="36"/>
      <c r="H6692" s="36"/>
      <c r="I6692" s="37"/>
      <c r="J6692" s="36"/>
      <c r="K6692" s="38"/>
      <c r="L6692" s="38"/>
    </row>
    <row r="6693" spans="1:12" x14ac:dyDescent="0.25">
      <c r="A6693" s="35"/>
      <c r="B6693" s="36"/>
      <c r="C6693" s="36"/>
      <c r="D6693" s="36"/>
      <c r="E6693" s="36"/>
      <c r="F6693" s="36"/>
      <c r="G6693" s="36"/>
      <c r="H6693" s="36"/>
      <c r="I6693" s="37"/>
      <c r="J6693" s="36"/>
      <c r="K6693" s="38"/>
      <c r="L6693" s="38"/>
    </row>
    <row r="6694" spans="1:12" x14ac:dyDescent="0.25">
      <c r="A6694" s="35"/>
      <c r="B6694" s="36"/>
      <c r="C6694" s="36"/>
      <c r="D6694" s="36"/>
      <c r="E6694" s="36"/>
      <c r="F6694" s="36"/>
      <c r="G6694" s="36"/>
      <c r="H6694" s="36"/>
      <c r="I6694" s="37"/>
      <c r="J6694" s="36"/>
      <c r="K6694" s="38"/>
      <c r="L6694" s="38"/>
    </row>
    <row r="6695" spans="1:12" x14ac:dyDescent="0.25">
      <c r="A6695" s="35"/>
      <c r="B6695" s="36"/>
      <c r="C6695" s="36"/>
      <c r="D6695" s="36"/>
      <c r="E6695" s="36"/>
      <c r="F6695" s="36"/>
      <c r="G6695" s="36"/>
      <c r="H6695" s="36"/>
      <c r="I6695" s="37"/>
      <c r="J6695" s="36"/>
      <c r="K6695" s="38"/>
      <c r="L6695" s="38"/>
    </row>
    <row r="6696" spans="1:12" x14ac:dyDescent="0.25">
      <c r="A6696" s="35"/>
      <c r="B6696" s="36"/>
      <c r="C6696" s="36"/>
      <c r="D6696" s="36"/>
      <c r="E6696" s="36"/>
      <c r="F6696" s="36"/>
      <c r="G6696" s="36"/>
      <c r="H6696" s="36"/>
      <c r="I6696" s="37"/>
      <c r="J6696" s="36"/>
      <c r="K6696" s="38"/>
      <c r="L6696" s="38"/>
    </row>
    <row r="6697" spans="1:12" x14ac:dyDescent="0.25">
      <c r="A6697" s="35"/>
      <c r="B6697" s="36"/>
      <c r="C6697" s="36"/>
      <c r="D6697" s="36"/>
      <c r="E6697" s="36"/>
      <c r="F6697" s="36"/>
      <c r="G6697" s="36"/>
      <c r="H6697" s="36"/>
      <c r="I6697" s="37"/>
      <c r="J6697" s="36"/>
      <c r="K6697" s="38"/>
      <c r="L6697" s="38"/>
    </row>
    <row r="6698" spans="1:12" x14ac:dyDescent="0.25">
      <c r="A6698" s="35"/>
      <c r="B6698" s="36"/>
      <c r="C6698" s="36"/>
      <c r="D6698" s="36"/>
      <c r="E6698" s="36"/>
      <c r="F6698" s="36"/>
      <c r="G6698" s="36"/>
      <c r="H6698" s="36"/>
      <c r="I6698" s="37"/>
      <c r="J6698" s="36"/>
      <c r="K6698" s="38"/>
      <c r="L6698" s="38"/>
    </row>
    <row r="6699" spans="1:12" x14ac:dyDescent="0.25">
      <c r="A6699" s="35"/>
      <c r="B6699" s="36"/>
      <c r="C6699" s="36"/>
      <c r="D6699" s="36"/>
      <c r="E6699" s="36"/>
      <c r="F6699" s="36"/>
      <c r="G6699" s="36"/>
      <c r="H6699" s="36"/>
      <c r="I6699" s="37"/>
      <c r="J6699" s="36"/>
      <c r="K6699" s="38"/>
      <c r="L6699" s="38"/>
    </row>
    <row r="6700" spans="1:12" x14ac:dyDescent="0.25">
      <c r="A6700" s="35"/>
      <c r="B6700" s="36"/>
      <c r="C6700" s="36"/>
      <c r="D6700" s="36"/>
      <c r="E6700" s="36"/>
      <c r="F6700" s="36"/>
      <c r="G6700" s="36"/>
      <c r="H6700" s="36"/>
      <c r="I6700" s="37"/>
      <c r="J6700" s="36"/>
      <c r="K6700" s="38"/>
      <c r="L6700" s="38"/>
    </row>
    <row r="6701" spans="1:12" x14ac:dyDescent="0.25">
      <c r="A6701" s="35"/>
      <c r="B6701" s="36"/>
      <c r="C6701" s="36"/>
      <c r="D6701" s="36"/>
      <c r="E6701" s="36"/>
      <c r="F6701" s="36"/>
      <c r="G6701" s="36"/>
      <c r="H6701" s="36"/>
      <c r="I6701" s="37"/>
      <c r="J6701" s="36"/>
      <c r="K6701" s="38"/>
      <c r="L6701" s="38"/>
    </row>
    <row r="6702" spans="1:12" x14ac:dyDescent="0.25">
      <c r="A6702" s="35"/>
      <c r="B6702" s="36"/>
      <c r="C6702" s="36"/>
      <c r="D6702" s="36"/>
      <c r="E6702" s="36"/>
      <c r="F6702" s="36"/>
      <c r="G6702" s="36"/>
      <c r="H6702" s="36"/>
      <c r="I6702" s="37"/>
      <c r="J6702" s="36"/>
      <c r="K6702" s="38"/>
      <c r="L6702" s="38"/>
    </row>
    <row r="6703" spans="1:12" x14ac:dyDescent="0.25">
      <c r="A6703" s="35"/>
      <c r="B6703" s="36"/>
      <c r="C6703" s="36"/>
      <c r="D6703" s="36"/>
      <c r="E6703" s="36"/>
      <c r="F6703" s="36"/>
      <c r="G6703" s="36"/>
      <c r="H6703" s="36"/>
      <c r="I6703" s="37"/>
      <c r="J6703" s="36"/>
      <c r="K6703" s="38"/>
      <c r="L6703" s="38"/>
    </row>
    <row r="6704" spans="1:12" x14ac:dyDescent="0.25">
      <c r="A6704" s="35"/>
      <c r="B6704" s="36"/>
      <c r="C6704" s="36"/>
      <c r="D6704" s="36"/>
      <c r="E6704" s="36"/>
      <c r="F6704" s="36"/>
      <c r="G6704" s="36"/>
      <c r="H6704" s="36"/>
      <c r="I6704" s="37"/>
      <c r="J6704" s="36"/>
      <c r="K6704" s="38"/>
      <c r="L6704" s="38"/>
    </row>
    <row r="6705" spans="1:12" x14ac:dyDescent="0.25">
      <c r="A6705" s="35"/>
      <c r="B6705" s="36"/>
      <c r="C6705" s="36"/>
      <c r="D6705" s="36"/>
      <c r="E6705" s="36"/>
      <c r="F6705" s="36"/>
      <c r="G6705" s="36"/>
      <c r="H6705" s="36"/>
      <c r="I6705" s="37"/>
      <c r="J6705" s="36"/>
      <c r="K6705" s="38"/>
      <c r="L6705" s="38"/>
    </row>
    <row r="6706" spans="1:12" x14ac:dyDescent="0.25">
      <c r="A6706" s="35"/>
      <c r="B6706" s="36"/>
      <c r="C6706" s="36"/>
      <c r="D6706" s="36"/>
      <c r="E6706" s="36"/>
      <c r="F6706" s="36"/>
      <c r="G6706" s="36"/>
      <c r="H6706" s="36"/>
      <c r="I6706" s="37"/>
      <c r="J6706" s="36"/>
      <c r="K6706" s="38"/>
      <c r="L6706" s="38"/>
    </row>
    <row r="6707" spans="1:12" x14ac:dyDescent="0.25">
      <c r="A6707" s="35"/>
      <c r="B6707" s="36"/>
      <c r="C6707" s="36"/>
      <c r="D6707" s="36"/>
      <c r="E6707" s="36"/>
      <c r="F6707" s="36"/>
      <c r="G6707" s="36"/>
      <c r="H6707" s="36"/>
      <c r="I6707" s="37"/>
      <c r="J6707" s="36"/>
      <c r="K6707" s="38"/>
      <c r="L6707" s="38"/>
    </row>
    <row r="6708" spans="1:12" x14ac:dyDescent="0.25">
      <c r="A6708" s="35"/>
      <c r="B6708" s="36"/>
      <c r="C6708" s="36"/>
      <c r="D6708" s="36"/>
      <c r="E6708" s="36"/>
      <c r="F6708" s="36"/>
      <c r="G6708" s="36"/>
      <c r="H6708" s="36"/>
      <c r="I6708" s="37"/>
      <c r="J6708" s="36"/>
      <c r="K6708" s="38"/>
      <c r="L6708" s="38"/>
    </row>
    <row r="6709" spans="1:12" x14ac:dyDescent="0.25">
      <c r="A6709" s="35"/>
      <c r="B6709" s="36"/>
      <c r="C6709" s="36"/>
      <c r="D6709" s="36"/>
      <c r="E6709" s="36"/>
      <c r="F6709" s="36"/>
      <c r="G6709" s="36"/>
      <c r="H6709" s="36"/>
      <c r="I6709" s="37"/>
      <c r="J6709" s="36"/>
      <c r="K6709" s="38"/>
      <c r="L6709" s="38"/>
    </row>
    <row r="6710" spans="1:12" x14ac:dyDescent="0.25">
      <c r="A6710" s="35"/>
      <c r="B6710" s="36"/>
      <c r="C6710" s="36"/>
      <c r="D6710" s="36"/>
      <c r="E6710" s="36"/>
      <c r="F6710" s="36"/>
      <c r="G6710" s="36"/>
      <c r="H6710" s="36"/>
      <c r="I6710" s="37"/>
      <c r="J6710" s="36"/>
      <c r="K6710" s="38"/>
      <c r="L6710" s="38"/>
    </row>
    <row r="6711" spans="1:12" x14ac:dyDescent="0.25">
      <c r="A6711" s="35"/>
      <c r="B6711" s="36"/>
      <c r="C6711" s="36"/>
      <c r="D6711" s="36"/>
      <c r="E6711" s="36"/>
      <c r="F6711" s="36"/>
      <c r="G6711" s="36"/>
      <c r="H6711" s="36"/>
      <c r="I6711" s="37"/>
      <c r="J6711" s="36"/>
      <c r="K6711" s="38"/>
      <c r="L6711" s="38"/>
    </row>
    <row r="6712" spans="1:12" x14ac:dyDescent="0.25">
      <c r="A6712" s="35"/>
      <c r="B6712" s="36"/>
      <c r="C6712" s="36"/>
      <c r="D6712" s="36"/>
      <c r="E6712" s="36"/>
      <c r="F6712" s="36"/>
      <c r="G6712" s="36"/>
      <c r="H6712" s="36"/>
      <c r="I6712" s="37"/>
      <c r="J6712" s="36"/>
      <c r="K6712" s="38"/>
      <c r="L6712" s="38"/>
    </row>
    <row r="6713" spans="1:12" x14ac:dyDescent="0.25">
      <c r="A6713" s="35"/>
      <c r="B6713" s="36"/>
      <c r="C6713" s="36"/>
      <c r="D6713" s="36"/>
      <c r="E6713" s="36"/>
      <c r="F6713" s="36"/>
      <c r="G6713" s="36"/>
      <c r="H6713" s="36"/>
      <c r="I6713" s="37"/>
      <c r="J6713" s="36"/>
      <c r="K6713" s="38"/>
      <c r="L6713" s="38"/>
    </row>
    <row r="6714" spans="1:12" x14ac:dyDescent="0.25">
      <c r="A6714" s="35"/>
      <c r="B6714" s="36"/>
      <c r="C6714" s="36"/>
      <c r="D6714" s="36"/>
      <c r="E6714" s="36"/>
      <c r="F6714" s="36"/>
      <c r="G6714" s="36"/>
      <c r="H6714" s="36"/>
      <c r="I6714" s="37"/>
      <c r="J6714" s="36"/>
      <c r="K6714" s="38"/>
      <c r="L6714" s="38"/>
    </row>
    <row r="6715" spans="1:12" x14ac:dyDescent="0.25">
      <c r="A6715" s="35"/>
      <c r="B6715" s="36"/>
      <c r="C6715" s="36"/>
      <c r="D6715" s="36"/>
      <c r="E6715" s="36"/>
      <c r="F6715" s="36"/>
      <c r="G6715" s="36"/>
      <c r="H6715" s="36"/>
      <c r="I6715" s="37"/>
      <c r="J6715" s="36"/>
      <c r="K6715" s="38"/>
      <c r="L6715" s="38"/>
    </row>
    <row r="6716" spans="1:12" x14ac:dyDescent="0.25">
      <c r="A6716" s="35"/>
      <c r="B6716" s="36"/>
      <c r="C6716" s="36"/>
      <c r="D6716" s="36"/>
      <c r="E6716" s="36"/>
      <c r="F6716" s="36"/>
      <c r="G6716" s="36"/>
      <c r="H6716" s="36"/>
      <c r="I6716" s="37"/>
      <c r="J6716" s="36"/>
      <c r="K6716" s="38"/>
      <c r="L6716" s="38"/>
    </row>
    <row r="6717" spans="1:12" x14ac:dyDescent="0.25">
      <c r="A6717" s="35"/>
      <c r="B6717" s="36"/>
      <c r="C6717" s="36"/>
      <c r="D6717" s="36"/>
      <c r="E6717" s="36"/>
      <c r="F6717" s="36"/>
      <c r="G6717" s="36"/>
      <c r="H6717" s="36"/>
      <c r="I6717" s="37"/>
      <c r="J6717" s="36"/>
      <c r="K6717" s="38"/>
      <c r="L6717" s="38"/>
    </row>
    <row r="6718" spans="1:12" x14ac:dyDescent="0.25">
      <c r="A6718" s="35"/>
      <c r="B6718" s="36"/>
      <c r="C6718" s="36"/>
      <c r="D6718" s="36"/>
      <c r="E6718" s="36"/>
      <c r="F6718" s="36"/>
      <c r="G6718" s="36"/>
      <c r="H6718" s="36"/>
      <c r="I6718" s="37"/>
      <c r="J6718" s="36"/>
      <c r="K6718" s="38"/>
      <c r="L6718" s="38"/>
    </row>
    <row r="6719" spans="1:12" x14ac:dyDescent="0.25">
      <c r="A6719" s="35"/>
      <c r="B6719" s="36"/>
      <c r="C6719" s="36"/>
      <c r="D6719" s="36"/>
      <c r="E6719" s="36"/>
      <c r="F6719" s="36"/>
      <c r="G6719" s="36"/>
      <c r="H6719" s="36"/>
      <c r="I6719" s="37"/>
      <c r="J6719" s="36"/>
      <c r="K6719" s="38"/>
      <c r="L6719" s="38"/>
    </row>
    <row r="6720" spans="1:12" x14ac:dyDescent="0.25">
      <c r="A6720" s="35"/>
      <c r="B6720" s="36"/>
      <c r="C6720" s="36"/>
      <c r="D6720" s="36"/>
      <c r="E6720" s="36"/>
      <c r="F6720" s="36"/>
      <c r="G6720" s="36"/>
      <c r="H6720" s="36"/>
      <c r="I6720" s="37"/>
      <c r="J6720" s="36"/>
      <c r="K6720" s="38"/>
      <c r="L6720" s="38"/>
    </row>
    <row r="6721" spans="1:12" x14ac:dyDescent="0.25">
      <c r="A6721" s="35"/>
      <c r="B6721" s="36"/>
      <c r="C6721" s="36"/>
      <c r="D6721" s="36"/>
      <c r="E6721" s="36"/>
      <c r="F6721" s="36"/>
      <c r="G6721" s="36"/>
      <c r="H6721" s="36"/>
      <c r="I6721" s="37"/>
      <c r="J6721" s="36"/>
      <c r="K6721" s="38"/>
      <c r="L6721" s="38"/>
    </row>
    <row r="6722" spans="1:12" x14ac:dyDescent="0.25">
      <c r="A6722" s="35"/>
      <c r="B6722" s="36"/>
      <c r="C6722" s="36"/>
      <c r="D6722" s="36"/>
      <c r="E6722" s="36"/>
      <c r="F6722" s="36"/>
      <c r="G6722" s="36"/>
      <c r="H6722" s="36"/>
      <c r="I6722" s="37"/>
      <c r="J6722" s="36"/>
      <c r="K6722" s="38"/>
      <c r="L6722" s="38"/>
    </row>
    <row r="6723" spans="1:12" x14ac:dyDescent="0.25">
      <c r="A6723" s="35"/>
      <c r="B6723" s="36"/>
      <c r="C6723" s="36"/>
      <c r="D6723" s="36"/>
      <c r="E6723" s="36"/>
      <c r="F6723" s="36"/>
      <c r="G6723" s="36"/>
      <c r="H6723" s="36"/>
      <c r="I6723" s="37"/>
      <c r="J6723" s="36"/>
      <c r="K6723" s="38"/>
      <c r="L6723" s="38"/>
    </row>
    <row r="6724" spans="1:12" x14ac:dyDescent="0.25">
      <c r="A6724" s="35"/>
      <c r="B6724" s="36"/>
      <c r="C6724" s="36"/>
      <c r="D6724" s="36"/>
      <c r="E6724" s="36"/>
      <c r="F6724" s="36"/>
      <c r="G6724" s="36"/>
      <c r="H6724" s="36"/>
      <c r="I6724" s="37"/>
      <c r="J6724" s="36"/>
      <c r="K6724" s="38"/>
      <c r="L6724" s="38"/>
    </row>
    <row r="6725" spans="1:12" x14ac:dyDescent="0.25">
      <c r="A6725" s="35"/>
      <c r="B6725" s="36"/>
      <c r="C6725" s="36"/>
      <c r="D6725" s="36"/>
      <c r="E6725" s="36"/>
      <c r="F6725" s="36"/>
      <c r="G6725" s="36"/>
      <c r="H6725" s="36"/>
      <c r="I6725" s="37"/>
      <c r="J6725" s="36"/>
      <c r="K6725" s="38"/>
      <c r="L6725" s="38"/>
    </row>
    <row r="6726" spans="1:12" x14ac:dyDescent="0.25">
      <c r="A6726" s="35"/>
      <c r="B6726" s="36"/>
      <c r="C6726" s="36"/>
      <c r="D6726" s="36"/>
      <c r="E6726" s="36"/>
      <c r="F6726" s="36"/>
      <c r="G6726" s="36"/>
      <c r="H6726" s="36"/>
      <c r="I6726" s="37"/>
      <c r="J6726" s="36"/>
      <c r="K6726" s="38"/>
      <c r="L6726" s="38"/>
    </row>
    <row r="6727" spans="1:12" x14ac:dyDescent="0.25">
      <c r="A6727" s="35"/>
      <c r="B6727" s="36"/>
      <c r="C6727" s="36"/>
      <c r="D6727" s="36"/>
      <c r="E6727" s="36"/>
      <c r="F6727" s="36"/>
      <c r="G6727" s="36"/>
      <c r="H6727" s="36"/>
      <c r="I6727" s="37"/>
      <c r="J6727" s="36"/>
      <c r="K6727" s="38"/>
      <c r="L6727" s="38"/>
    </row>
    <row r="6728" spans="1:12" x14ac:dyDescent="0.25">
      <c r="A6728" s="35"/>
      <c r="B6728" s="36"/>
      <c r="C6728" s="36"/>
      <c r="D6728" s="36"/>
      <c r="E6728" s="36"/>
      <c r="F6728" s="36"/>
      <c r="G6728" s="36"/>
      <c r="H6728" s="36"/>
      <c r="I6728" s="37"/>
      <c r="J6728" s="36"/>
      <c r="K6728" s="38"/>
      <c r="L6728" s="38"/>
    </row>
    <row r="6729" spans="1:12" x14ac:dyDescent="0.25">
      <c r="A6729" s="35"/>
      <c r="B6729" s="36"/>
      <c r="C6729" s="36"/>
      <c r="D6729" s="36"/>
      <c r="E6729" s="36"/>
      <c r="F6729" s="36"/>
      <c r="G6729" s="36"/>
      <c r="H6729" s="36"/>
      <c r="I6729" s="37"/>
      <c r="J6729" s="36"/>
      <c r="K6729" s="38"/>
      <c r="L6729" s="38"/>
    </row>
    <row r="6730" spans="1:12" x14ac:dyDescent="0.25">
      <c r="A6730" s="35"/>
      <c r="B6730" s="36"/>
      <c r="C6730" s="36"/>
      <c r="D6730" s="36"/>
      <c r="E6730" s="36"/>
      <c r="F6730" s="36"/>
      <c r="G6730" s="36"/>
      <c r="H6730" s="36"/>
      <c r="I6730" s="37"/>
      <c r="J6730" s="36"/>
      <c r="K6730" s="38"/>
      <c r="L6730" s="38"/>
    </row>
    <row r="6731" spans="1:12" x14ac:dyDescent="0.25">
      <c r="A6731" s="35"/>
      <c r="B6731" s="36"/>
      <c r="C6731" s="36"/>
      <c r="D6731" s="36"/>
      <c r="E6731" s="36"/>
      <c r="F6731" s="36"/>
      <c r="G6731" s="36"/>
      <c r="H6731" s="36"/>
      <c r="I6731" s="37"/>
      <c r="J6731" s="36"/>
      <c r="K6731" s="38"/>
      <c r="L6731" s="38"/>
    </row>
    <row r="6732" spans="1:12" x14ac:dyDescent="0.25">
      <c r="A6732" s="35"/>
      <c r="B6732" s="36"/>
      <c r="C6732" s="36"/>
      <c r="D6732" s="36"/>
      <c r="E6732" s="36"/>
      <c r="F6732" s="36"/>
      <c r="G6732" s="36"/>
      <c r="H6732" s="36"/>
      <c r="I6732" s="37"/>
      <c r="J6732" s="36"/>
      <c r="K6732" s="38"/>
      <c r="L6732" s="38"/>
    </row>
    <row r="6733" spans="1:12" x14ac:dyDescent="0.25">
      <c r="A6733" s="35"/>
      <c r="B6733" s="36"/>
      <c r="C6733" s="36"/>
      <c r="D6733" s="36"/>
      <c r="E6733" s="36"/>
      <c r="F6733" s="36"/>
      <c r="G6733" s="36"/>
      <c r="H6733" s="36"/>
      <c r="I6733" s="37"/>
      <c r="J6733" s="36"/>
      <c r="K6733" s="38"/>
      <c r="L6733" s="38"/>
    </row>
    <row r="6734" spans="1:12" x14ac:dyDescent="0.25">
      <c r="A6734" s="35"/>
      <c r="B6734" s="36"/>
      <c r="C6734" s="36"/>
      <c r="D6734" s="36"/>
      <c r="E6734" s="36"/>
      <c r="F6734" s="36"/>
      <c r="G6734" s="36"/>
      <c r="H6734" s="36"/>
      <c r="I6734" s="37"/>
      <c r="J6734" s="36"/>
      <c r="K6734" s="38"/>
      <c r="L6734" s="38"/>
    </row>
    <row r="6735" spans="1:12" x14ac:dyDescent="0.25">
      <c r="A6735" s="35"/>
      <c r="B6735" s="36"/>
      <c r="C6735" s="36"/>
      <c r="D6735" s="36"/>
      <c r="E6735" s="36"/>
      <c r="F6735" s="36"/>
      <c r="G6735" s="36"/>
      <c r="H6735" s="36"/>
      <c r="I6735" s="37"/>
      <c r="J6735" s="36"/>
      <c r="K6735" s="38"/>
      <c r="L6735" s="38"/>
    </row>
    <row r="6736" spans="1:12" x14ac:dyDescent="0.25">
      <c r="A6736" s="35"/>
      <c r="B6736" s="36"/>
      <c r="C6736" s="36"/>
      <c r="D6736" s="36"/>
      <c r="E6736" s="36"/>
      <c r="F6736" s="36"/>
      <c r="G6736" s="36"/>
      <c r="H6736" s="36"/>
      <c r="I6736" s="37"/>
      <c r="J6736" s="36"/>
      <c r="K6736" s="38"/>
      <c r="L6736" s="38"/>
    </row>
    <row r="6737" spans="1:12" x14ac:dyDescent="0.25">
      <c r="A6737" s="35"/>
      <c r="B6737" s="36"/>
      <c r="C6737" s="36"/>
      <c r="D6737" s="36"/>
      <c r="E6737" s="36"/>
      <c r="F6737" s="36"/>
      <c r="G6737" s="36"/>
      <c r="H6737" s="36"/>
      <c r="I6737" s="37"/>
      <c r="J6737" s="36"/>
      <c r="K6737" s="38"/>
      <c r="L6737" s="38"/>
    </row>
    <row r="6738" spans="1:12" x14ac:dyDescent="0.25">
      <c r="A6738" s="35"/>
      <c r="B6738" s="36"/>
      <c r="C6738" s="36"/>
      <c r="D6738" s="36"/>
      <c r="E6738" s="36"/>
      <c r="F6738" s="36"/>
      <c r="G6738" s="36"/>
      <c r="H6738" s="36"/>
      <c r="I6738" s="37"/>
      <c r="J6738" s="36"/>
      <c r="K6738" s="38"/>
      <c r="L6738" s="38"/>
    </row>
    <row r="6739" spans="1:12" x14ac:dyDescent="0.25">
      <c r="A6739" s="35"/>
      <c r="B6739" s="36"/>
      <c r="C6739" s="36"/>
      <c r="D6739" s="36"/>
      <c r="E6739" s="36"/>
      <c r="F6739" s="36"/>
      <c r="G6739" s="36"/>
      <c r="H6739" s="36"/>
      <c r="I6739" s="37"/>
      <c r="J6739" s="36"/>
      <c r="K6739" s="38"/>
      <c r="L6739" s="38"/>
    </row>
    <row r="6740" spans="1:12" x14ac:dyDescent="0.25">
      <c r="A6740" s="35"/>
      <c r="B6740" s="36"/>
      <c r="C6740" s="36"/>
      <c r="D6740" s="36"/>
      <c r="E6740" s="36"/>
      <c r="F6740" s="36"/>
      <c r="G6740" s="36"/>
      <c r="H6740" s="36"/>
      <c r="I6740" s="37"/>
      <c r="J6740" s="36"/>
      <c r="K6740" s="38"/>
      <c r="L6740" s="38"/>
    </row>
    <row r="6741" spans="1:12" x14ac:dyDescent="0.25">
      <c r="A6741" s="35"/>
      <c r="B6741" s="36"/>
      <c r="C6741" s="36"/>
      <c r="D6741" s="36"/>
      <c r="E6741" s="36"/>
      <c r="F6741" s="36"/>
      <c r="G6741" s="36"/>
      <c r="H6741" s="36"/>
      <c r="I6741" s="37"/>
      <c r="J6741" s="36"/>
      <c r="K6741" s="38"/>
      <c r="L6741" s="38"/>
    </row>
    <row r="6742" spans="1:12" x14ac:dyDescent="0.25">
      <c r="A6742" s="35"/>
      <c r="B6742" s="36"/>
      <c r="C6742" s="36"/>
      <c r="D6742" s="36"/>
      <c r="E6742" s="36"/>
      <c r="F6742" s="36"/>
      <c r="G6742" s="36"/>
      <c r="H6742" s="36"/>
      <c r="I6742" s="37"/>
      <c r="J6742" s="36"/>
      <c r="K6742" s="38"/>
      <c r="L6742" s="38"/>
    </row>
    <row r="6743" spans="1:12" x14ac:dyDescent="0.25">
      <c r="A6743" s="35"/>
      <c r="B6743" s="36"/>
      <c r="C6743" s="36"/>
      <c r="D6743" s="36"/>
      <c r="E6743" s="36"/>
      <c r="F6743" s="36"/>
      <c r="G6743" s="36"/>
      <c r="H6743" s="36"/>
      <c r="I6743" s="37"/>
      <c r="J6743" s="36"/>
      <c r="K6743" s="38"/>
      <c r="L6743" s="38"/>
    </row>
    <row r="6744" spans="1:12" x14ac:dyDescent="0.25">
      <c r="A6744" s="35"/>
      <c r="B6744" s="36"/>
      <c r="C6744" s="36"/>
      <c r="D6744" s="36"/>
      <c r="E6744" s="36"/>
      <c r="F6744" s="36"/>
      <c r="G6744" s="36"/>
      <c r="H6744" s="36"/>
      <c r="I6744" s="37"/>
      <c r="J6744" s="36"/>
      <c r="K6744" s="38"/>
      <c r="L6744" s="38"/>
    </row>
    <row r="6745" spans="1:12" x14ac:dyDescent="0.25">
      <c r="A6745" s="35"/>
      <c r="B6745" s="36"/>
      <c r="C6745" s="36"/>
      <c r="D6745" s="36"/>
      <c r="E6745" s="36"/>
      <c r="F6745" s="36"/>
      <c r="G6745" s="36"/>
      <c r="H6745" s="36"/>
      <c r="I6745" s="37"/>
      <c r="J6745" s="36"/>
      <c r="K6745" s="38"/>
      <c r="L6745" s="38"/>
    </row>
    <row r="6746" spans="1:12" x14ac:dyDescent="0.25">
      <c r="A6746" s="35"/>
      <c r="B6746" s="36"/>
      <c r="C6746" s="36"/>
      <c r="D6746" s="36"/>
      <c r="E6746" s="36"/>
      <c r="F6746" s="36"/>
      <c r="G6746" s="36"/>
      <c r="H6746" s="36"/>
      <c r="I6746" s="37"/>
      <c r="J6746" s="36"/>
      <c r="K6746" s="38"/>
      <c r="L6746" s="38"/>
    </row>
    <row r="6747" spans="1:12" x14ac:dyDescent="0.25">
      <c r="A6747" s="35"/>
      <c r="B6747" s="36"/>
      <c r="C6747" s="36"/>
      <c r="D6747" s="36"/>
      <c r="E6747" s="36"/>
      <c r="F6747" s="36"/>
      <c r="G6747" s="36"/>
      <c r="H6747" s="36"/>
      <c r="I6747" s="37"/>
      <c r="J6747" s="36"/>
      <c r="K6747" s="38"/>
      <c r="L6747" s="38"/>
    </row>
    <row r="6748" spans="1:12" x14ac:dyDescent="0.25">
      <c r="A6748" s="35"/>
      <c r="B6748" s="36"/>
      <c r="C6748" s="36"/>
      <c r="D6748" s="36"/>
      <c r="E6748" s="36"/>
      <c r="F6748" s="36"/>
      <c r="G6748" s="36"/>
      <c r="H6748" s="36"/>
      <c r="I6748" s="37"/>
      <c r="J6748" s="36"/>
      <c r="K6748" s="38"/>
      <c r="L6748" s="38"/>
    </row>
    <row r="6749" spans="1:12" x14ac:dyDescent="0.25">
      <c r="A6749" s="35"/>
      <c r="B6749" s="36"/>
      <c r="C6749" s="36"/>
      <c r="D6749" s="36"/>
      <c r="E6749" s="36"/>
      <c r="F6749" s="36"/>
      <c r="G6749" s="36"/>
      <c r="H6749" s="36"/>
      <c r="I6749" s="37"/>
      <c r="J6749" s="36"/>
      <c r="K6749" s="38"/>
      <c r="L6749" s="38"/>
    </row>
    <row r="6750" spans="1:12" x14ac:dyDescent="0.25">
      <c r="A6750" s="35"/>
      <c r="B6750" s="36"/>
      <c r="C6750" s="36"/>
      <c r="D6750" s="36"/>
      <c r="E6750" s="36"/>
      <c r="F6750" s="36"/>
      <c r="G6750" s="36"/>
      <c r="H6750" s="36"/>
      <c r="I6750" s="37"/>
      <c r="J6750" s="36"/>
      <c r="K6750" s="38"/>
      <c r="L6750" s="38"/>
    </row>
    <row r="6751" spans="1:12" x14ac:dyDescent="0.25">
      <c r="A6751" s="35"/>
      <c r="B6751" s="36"/>
      <c r="C6751" s="36"/>
      <c r="D6751" s="36"/>
      <c r="E6751" s="36"/>
      <c r="F6751" s="36"/>
      <c r="G6751" s="36"/>
      <c r="H6751" s="36"/>
      <c r="I6751" s="37"/>
      <c r="J6751" s="36"/>
      <c r="K6751" s="38"/>
      <c r="L6751" s="38"/>
    </row>
    <row r="6752" spans="1:12" x14ac:dyDescent="0.25">
      <c r="A6752" s="35"/>
      <c r="B6752" s="36"/>
      <c r="C6752" s="36"/>
      <c r="D6752" s="36"/>
      <c r="E6752" s="36"/>
      <c r="F6752" s="36"/>
      <c r="G6752" s="36"/>
      <c r="H6752" s="36"/>
      <c r="I6752" s="37"/>
      <c r="J6752" s="36"/>
      <c r="K6752" s="38"/>
      <c r="L6752" s="38"/>
    </row>
    <row r="6753" spans="1:12" x14ac:dyDescent="0.25">
      <c r="A6753" s="35"/>
      <c r="B6753" s="36"/>
      <c r="C6753" s="36"/>
      <c r="D6753" s="36"/>
      <c r="E6753" s="36"/>
      <c r="F6753" s="36"/>
      <c r="G6753" s="36"/>
      <c r="H6753" s="36"/>
      <c r="I6753" s="37"/>
      <c r="J6753" s="36"/>
      <c r="K6753" s="38"/>
      <c r="L6753" s="38"/>
    </row>
    <row r="6754" spans="1:12" x14ac:dyDescent="0.25">
      <c r="A6754" s="35"/>
      <c r="B6754" s="36"/>
      <c r="C6754" s="36"/>
      <c r="D6754" s="36"/>
      <c r="E6754" s="36"/>
      <c r="F6754" s="36"/>
      <c r="G6754" s="36"/>
      <c r="H6754" s="36"/>
      <c r="I6754" s="37"/>
      <c r="J6754" s="36"/>
      <c r="K6754" s="38"/>
      <c r="L6754" s="38"/>
    </row>
    <row r="6755" spans="1:12" x14ac:dyDescent="0.25">
      <c r="A6755" s="35"/>
      <c r="B6755" s="36"/>
      <c r="C6755" s="36"/>
      <c r="D6755" s="36"/>
      <c r="E6755" s="36"/>
      <c r="F6755" s="36"/>
      <c r="G6755" s="36"/>
      <c r="H6755" s="36"/>
      <c r="I6755" s="37"/>
      <c r="J6755" s="36"/>
      <c r="K6755" s="38"/>
      <c r="L6755" s="38"/>
    </row>
    <row r="6756" spans="1:12" x14ac:dyDescent="0.25">
      <c r="A6756" s="35"/>
      <c r="B6756" s="36"/>
      <c r="C6756" s="36"/>
      <c r="D6756" s="36"/>
      <c r="E6756" s="36"/>
      <c r="F6756" s="36"/>
      <c r="G6756" s="36"/>
      <c r="H6756" s="36"/>
      <c r="I6756" s="37"/>
      <c r="J6756" s="36"/>
      <c r="K6756" s="38"/>
      <c r="L6756" s="38"/>
    </row>
    <row r="6757" spans="1:12" x14ac:dyDescent="0.25">
      <c r="A6757" s="35"/>
      <c r="B6757" s="36"/>
      <c r="C6757" s="36"/>
      <c r="D6757" s="36"/>
      <c r="E6757" s="36"/>
      <c r="F6757" s="36"/>
      <c r="G6757" s="36"/>
      <c r="H6757" s="36"/>
      <c r="I6757" s="37"/>
      <c r="J6757" s="36"/>
      <c r="K6757" s="38"/>
      <c r="L6757" s="38"/>
    </row>
    <row r="6758" spans="1:12" x14ac:dyDescent="0.25">
      <c r="A6758" s="35"/>
      <c r="B6758" s="36"/>
      <c r="C6758" s="36"/>
      <c r="D6758" s="36"/>
      <c r="E6758" s="36"/>
      <c r="F6758" s="36"/>
      <c r="G6758" s="36"/>
      <c r="H6758" s="36"/>
      <c r="I6758" s="37"/>
      <c r="J6758" s="36"/>
      <c r="K6758" s="38"/>
      <c r="L6758" s="38"/>
    </row>
    <row r="6759" spans="1:12" x14ac:dyDescent="0.25">
      <c r="A6759" s="35"/>
      <c r="B6759" s="36"/>
      <c r="C6759" s="36"/>
      <c r="D6759" s="36"/>
      <c r="E6759" s="36"/>
      <c r="F6759" s="36"/>
      <c r="G6759" s="36"/>
      <c r="H6759" s="36"/>
      <c r="I6759" s="37"/>
      <c r="J6759" s="36"/>
      <c r="K6759" s="38"/>
      <c r="L6759" s="38"/>
    </row>
    <row r="6760" spans="1:12" x14ac:dyDescent="0.25">
      <c r="A6760" s="35"/>
      <c r="B6760" s="36"/>
      <c r="C6760" s="36"/>
      <c r="D6760" s="36"/>
      <c r="E6760" s="36"/>
      <c r="F6760" s="36"/>
      <c r="G6760" s="36"/>
      <c r="H6760" s="36"/>
      <c r="I6760" s="37"/>
      <c r="J6760" s="36"/>
      <c r="K6760" s="38"/>
      <c r="L6760" s="38"/>
    </row>
    <row r="6761" spans="1:12" x14ac:dyDescent="0.25">
      <c r="A6761" s="35"/>
      <c r="B6761" s="36"/>
      <c r="C6761" s="36"/>
      <c r="D6761" s="36"/>
      <c r="E6761" s="36"/>
      <c r="F6761" s="36"/>
      <c r="G6761" s="36"/>
      <c r="H6761" s="36"/>
      <c r="I6761" s="37"/>
      <c r="J6761" s="36"/>
      <c r="K6761" s="38"/>
      <c r="L6761" s="38"/>
    </row>
    <row r="6762" spans="1:12" x14ac:dyDescent="0.25">
      <c r="A6762" s="35"/>
      <c r="B6762" s="36"/>
      <c r="C6762" s="36"/>
      <c r="D6762" s="36"/>
      <c r="E6762" s="36"/>
      <c r="F6762" s="36"/>
      <c r="G6762" s="36"/>
      <c r="H6762" s="36"/>
      <c r="I6762" s="37"/>
      <c r="J6762" s="36"/>
      <c r="K6762" s="38"/>
      <c r="L6762" s="38"/>
    </row>
    <row r="6763" spans="1:12" x14ac:dyDescent="0.25">
      <c r="A6763" s="35"/>
      <c r="B6763" s="36"/>
      <c r="C6763" s="36"/>
      <c r="D6763" s="36"/>
      <c r="E6763" s="36"/>
      <c r="F6763" s="36"/>
      <c r="G6763" s="36"/>
      <c r="H6763" s="36"/>
      <c r="I6763" s="37"/>
      <c r="J6763" s="36"/>
      <c r="K6763" s="38"/>
      <c r="L6763" s="38"/>
    </row>
    <row r="6764" spans="1:12" x14ac:dyDescent="0.25">
      <c r="A6764" s="35"/>
      <c r="B6764" s="36"/>
      <c r="C6764" s="36"/>
      <c r="D6764" s="36"/>
      <c r="E6764" s="36"/>
      <c r="F6764" s="36"/>
      <c r="G6764" s="36"/>
      <c r="H6764" s="36"/>
      <c r="I6764" s="37"/>
      <c r="J6764" s="36"/>
      <c r="K6764" s="38"/>
      <c r="L6764" s="38"/>
    </row>
    <row r="6765" spans="1:12" x14ac:dyDescent="0.25">
      <c r="A6765" s="35"/>
      <c r="B6765" s="36"/>
      <c r="C6765" s="36"/>
      <c r="D6765" s="36"/>
      <c r="E6765" s="36"/>
      <c r="F6765" s="36"/>
      <c r="G6765" s="36"/>
      <c r="H6765" s="36"/>
      <c r="I6765" s="37"/>
      <c r="J6765" s="36"/>
      <c r="K6765" s="38"/>
      <c r="L6765" s="38"/>
    </row>
    <row r="6766" spans="1:12" x14ac:dyDescent="0.25">
      <c r="A6766" s="35"/>
      <c r="B6766" s="36"/>
      <c r="C6766" s="36"/>
      <c r="D6766" s="36"/>
      <c r="E6766" s="36"/>
      <c r="F6766" s="36"/>
      <c r="G6766" s="36"/>
      <c r="H6766" s="36"/>
      <c r="I6766" s="37"/>
      <c r="J6766" s="36"/>
      <c r="K6766" s="38"/>
      <c r="L6766" s="38"/>
    </row>
    <row r="6767" spans="1:12" x14ac:dyDescent="0.25">
      <c r="A6767" s="35"/>
      <c r="B6767" s="36"/>
      <c r="C6767" s="36"/>
      <c r="D6767" s="36"/>
      <c r="E6767" s="36"/>
      <c r="F6767" s="36"/>
      <c r="G6767" s="36"/>
      <c r="H6767" s="36"/>
      <c r="I6767" s="37"/>
      <c r="J6767" s="36"/>
      <c r="K6767" s="38"/>
      <c r="L6767" s="38"/>
    </row>
    <row r="6768" spans="1:12" x14ac:dyDescent="0.25">
      <c r="A6768" s="35"/>
      <c r="B6768" s="36"/>
      <c r="C6768" s="36"/>
      <c r="D6768" s="36"/>
      <c r="E6768" s="36"/>
      <c r="F6768" s="36"/>
      <c r="G6768" s="36"/>
      <c r="H6768" s="36"/>
      <c r="I6768" s="37"/>
      <c r="J6768" s="36"/>
      <c r="K6768" s="38"/>
      <c r="L6768" s="38"/>
    </row>
    <row r="6769" spans="1:12" x14ac:dyDescent="0.25">
      <c r="A6769" s="35"/>
      <c r="B6769" s="36"/>
      <c r="C6769" s="36"/>
      <c r="D6769" s="36"/>
      <c r="E6769" s="36"/>
      <c r="F6769" s="36"/>
      <c r="G6769" s="36"/>
      <c r="H6769" s="36"/>
      <c r="I6769" s="37"/>
      <c r="J6769" s="36"/>
      <c r="K6769" s="38"/>
      <c r="L6769" s="38"/>
    </row>
    <row r="6770" spans="1:12" x14ac:dyDescent="0.25">
      <c r="A6770" s="35"/>
      <c r="B6770" s="36"/>
      <c r="C6770" s="36"/>
      <c r="D6770" s="36"/>
      <c r="E6770" s="36"/>
      <c r="F6770" s="36"/>
      <c r="G6770" s="36"/>
      <c r="H6770" s="36"/>
      <c r="I6770" s="37"/>
      <c r="J6770" s="36"/>
      <c r="K6770" s="38"/>
      <c r="L6770" s="38"/>
    </row>
    <row r="6771" spans="1:12" x14ac:dyDescent="0.25">
      <c r="A6771" s="35"/>
      <c r="B6771" s="36"/>
      <c r="C6771" s="36"/>
      <c r="D6771" s="36"/>
      <c r="E6771" s="36"/>
      <c r="F6771" s="36"/>
      <c r="G6771" s="36"/>
      <c r="H6771" s="36"/>
      <c r="I6771" s="37"/>
      <c r="J6771" s="36"/>
      <c r="K6771" s="38"/>
      <c r="L6771" s="38"/>
    </row>
    <row r="6772" spans="1:12" x14ac:dyDescent="0.25">
      <c r="A6772" s="35"/>
      <c r="B6772" s="36"/>
      <c r="C6772" s="36"/>
      <c r="D6772" s="36"/>
      <c r="E6772" s="36"/>
      <c r="F6772" s="36"/>
      <c r="G6772" s="36"/>
      <c r="H6772" s="36"/>
      <c r="I6772" s="37"/>
      <c r="J6772" s="36"/>
      <c r="K6772" s="38"/>
      <c r="L6772" s="38"/>
    </row>
    <row r="6773" spans="1:12" x14ac:dyDescent="0.25">
      <c r="A6773" s="35"/>
      <c r="B6773" s="36"/>
      <c r="C6773" s="36"/>
      <c r="D6773" s="36"/>
      <c r="E6773" s="36"/>
      <c r="F6773" s="36"/>
      <c r="G6773" s="36"/>
      <c r="H6773" s="36"/>
      <c r="I6773" s="37"/>
      <c r="J6773" s="36"/>
      <c r="K6773" s="38"/>
      <c r="L6773" s="38"/>
    </row>
    <row r="6774" spans="1:12" x14ac:dyDescent="0.25">
      <c r="A6774" s="35"/>
      <c r="B6774" s="36"/>
      <c r="C6774" s="36"/>
      <c r="D6774" s="36"/>
      <c r="E6774" s="36"/>
      <c r="F6774" s="36"/>
      <c r="G6774" s="36"/>
      <c r="H6774" s="36"/>
      <c r="I6774" s="37"/>
      <c r="J6774" s="36"/>
      <c r="K6774" s="38"/>
      <c r="L6774" s="38"/>
    </row>
    <row r="6775" spans="1:12" x14ac:dyDescent="0.25">
      <c r="A6775" s="35"/>
      <c r="B6775" s="36"/>
      <c r="C6775" s="36"/>
      <c r="D6775" s="36"/>
      <c r="E6775" s="36"/>
      <c r="F6775" s="36"/>
      <c r="G6775" s="36"/>
      <c r="H6775" s="36"/>
      <c r="I6775" s="37"/>
      <c r="J6775" s="36"/>
      <c r="K6775" s="38"/>
      <c r="L6775" s="38"/>
    </row>
    <row r="6776" spans="1:12" x14ac:dyDescent="0.25">
      <c r="A6776" s="35"/>
      <c r="B6776" s="36"/>
      <c r="C6776" s="36"/>
      <c r="D6776" s="36"/>
      <c r="E6776" s="36"/>
      <c r="F6776" s="36"/>
      <c r="G6776" s="36"/>
      <c r="H6776" s="36"/>
      <c r="I6776" s="37"/>
      <c r="J6776" s="36"/>
      <c r="K6776" s="38"/>
      <c r="L6776" s="38"/>
    </row>
    <row r="6777" spans="1:12" x14ac:dyDescent="0.25">
      <c r="A6777" s="35"/>
      <c r="B6777" s="36"/>
      <c r="C6777" s="36"/>
      <c r="D6777" s="36"/>
      <c r="E6777" s="36"/>
      <c r="F6777" s="36"/>
      <c r="G6777" s="36"/>
      <c r="H6777" s="36"/>
      <c r="I6777" s="37"/>
      <c r="J6777" s="36"/>
      <c r="K6777" s="38"/>
      <c r="L6777" s="38"/>
    </row>
    <row r="6778" spans="1:12" x14ac:dyDescent="0.25">
      <c r="A6778" s="35"/>
      <c r="B6778" s="36"/>
      <c r="C6778" s="36"/>
      <c r="D6778" s="36"/>
      <c r="E6778" s="36"/>
      <c r="F6778" s="36"/>
      <c r="G6778" s="36"/>
      <c r="H6778" s="36"/>
      <c r="I6778" s="37"/>
      <c r="J6778" s="36"/>
      <c r="K6778" s="38"/>
      <c r="L6778" s="38"/>
    </row>
    <row r="6779" spans="1:12" x14ac:dyDescent="0.25">
      <c r="A6779" s="35"/>
      <c r="B6779" s="36"/>
      <c r="C6779" s="36"/>
      <c r="D6779" s="36"/>
      <c r="E6779" s="36"/>
      <c r="F6779" s="36"/>
      <c r="G6779" s="36"/>
      <c r="H6779" s="36"/>
      <c r="I6779" s="37"/>
      <c r="J6779" s="36"/>
      <c r="K6779" s="38"/>
      <c r="L6779" s="38"/>
    </row>
    <row r="6780" spans="1:12" x14ac:dyDescent="0.25">
      <c r="A6780" s="35"/>
      <c r="B6780" s="36"/>
      <c r="C6780" s="36"/>
      <c r="D6780" s="36"/>
      <c r="E6780" s="36"/>
      <c r="F6780" s="36"/>
      <c r="G6780" s="36"/>
      <c r="H6780" s="36"/>
      <c r="I6780" s="37"/>
      <c r="J6780" s="36"/>
      <c r="K6780" s="38"/>
      <c r="L6780" s="38"/>
    </row>
    <row r="6781" spans="1:12" x14ac:dyDescent="0.25">
      <c r="A6781" s="35"/>
      <c r="B6781" s="36"/>
      <c r="C6781" s="36"/>
      <c r="D6781" s="36"/>
      <c r="E6781" s="36"/>
      <c r="F6781" s="36"/>
      <c r="G6781" s="36"/>
      <c r="H6781" s="36"/>
      <c r="I6781" s="37"/>
      <c r="J6781" s="36"/>
      <c r="K6781" s="38"/>
      <c r="L6781" s="38"/>
    </row>
    <row r="6782" spans="1:12" x14ac:dyDescent="0.25">
      <c r="A6782" s="35"/>
      <c r="B6782" s="36"/>
      <c r="C6782" s="36"/>
      <c r="D6782" s="36"/>
      <c r="E6782" s="36"/>
      <c r="F6782" s="36"/>
      <c r="G6782" s="36"/>
      <c r="H6782" s="36"/>
      <c r="I6782" s="37"/>
      <c r="J6782" s="36"/>
      <c r="K6782" s="38"/>
      <c r="L6782" s="38"/>
    </row>
    <row r="6783" spans="1:12" x14ac:dyDescent="0.25">
      <c r="A6783" s="35"/>
      <c r="B6783" s="36"/>
      <c r="C6783" s="36"/>
      <c r="D6783" s="36"/>
      <c r="E6783" s="36"/>
      <c r="F6783" s="36"/>
      <c r="G6783" s="36"/>
      <c r="H6783" s="36"/>
      <c r="I6783" s="37"/>
      <c r="J6783" s="36"/>
      <c r="K6783" s="38"/>
      <c r="L6783" s="38"/>
    </row>
    <row r="6784" spans="1:12" x14ac:dyDescent="0.25">
      <c r="A6784" s="35"/>
      <c r="B6784" s="36"/>
      <c r="C6784" s="36"/>
      <c r="D6784" s="36"/>
      <c r="E6784" s="36"/>
      <c r="F6784" s="36"/>
      <c r="G6784" s="36"/>
      <c r="H6784" s="36"/>
      <c r="I6784" s="37"/>
      <c r="J6784" s="36"/>
      <c r="K6784" s="38"/>
      <c r="L6784" s="38"/>
    </row>
    <row r="6785" spans="1:12" x14ac:dyDescent="0.25">
      <c r="A6785" s="35"/>
      <c r="B6785" s="36"/>
      <c r="C6785" s="36"/>
      <c r="D6785" s="36"/>
      <c r="E6785" s="36"/>
      <c r="F6785" s="36"/>
      <c r="G6785" s="36"/>
      <c r="H6785" s="36"/>
      <c r="I6785" s="37"/>
      <c r="J6785" s="36"/>
      <c r="K6785" s="38"/>
      <c r="L6785" s="38"/>
    </row>
    <row r="6786" spans="1:12" x14ac:dyDescent="0.25">
      <c r="A6786" s="35"/>
      <c r="B6786" s="36"/>
      <c r="C6786" s="36"/>
      <c r="D6786" s="36"/>
      <c r="E6786" s="36"/>
      <c r="F6786" s="36"/>
      <c r="G6786" s="36"/>
      <c r="H6786" s="36"/>
      <c r="I6786" s="37"/>
      <c r="J6786" s="36"/>
      <c r="K6786" s="38"/>
      <c r="L6786" s="38"/>
    </row>
    <row r="6787" spans="1:12" x14ac:dyDescent="0.25">
      <c r="A6787" s="35"/>
      <c r="B6787" s="36"/>
      <c r="C6787" s="36"/>
      <c r="D6787" s="36"/>
      <c r="E6787" s="36"/>
      <c r="F6787" s="36"/>
      <c r="G6787" s="36"/>
      <c r="H6787" s="36"/>
      <c r="I6787" s="37"/>
      <c r="J6787" s="36"/>
      <c r="K6787" s="38"/>
      <c r="L6787" s="38"/>
    </row>
    <row r="6788" spans="1:12" x14ac:dyDescent="0.25">
      <c r="A6788" s="35"/>
      <c r="B6788" s="36"/>
      <c r="C6788" s="36"/>
      <c r="D6788" s="36"/>
      <c r="E6788" s="36"/>
      <c r="F6788" s="36"/>
      <c r="G6788" s="36"/>
      <c r="H6788" s="36"/>
      <c r="I6788" s="37"/>
      <c r="J6788" s="36"/>
      <c r="K6788" s="38"/>
      <c r="L6788" s="38"/>
    </row>
    <row r="6789" spans="1:12" x14ac:dyDescent="0.25">
      <c r="A6789" s="35"/>
      <c r="B6789" s="36"/>
      <c r="C6789" s="36"/>
      <c r="D6789" s="36"/>
      <c r="E6789" s="36"/>
      <c r="F6789" s="36"/>
      <c r="G6789" s="36"/>
      <c r="H6789" s="36"/>
      <c r="I6789" s="37"/>
      <c r="J6789" s="36"/>
      <c r="K6789" s="38"/>
      <c r="L6789" s="38"/>
    </row>
    <row r="6790" spans="1:12" x14ac:dyDescent="0.25">
      <c r="A6790" s="35"/>
      <c r="B6790" s="36"/>
      <c r="C6790" s="36"/>
      <c r="D6790" s="36"/>
      <c r="E6790" s="36"/>
      <c r="F6790" s="36"/>
      <c r="G6790" s="36"/>
      <c r="H6790" s="36"/>
      <c r="I6790" s="37"/>
      <c r="J6790" s="36"/>
      <c r="K6790" s="38"/>
      <c r="L6790" s="38"/>
    </row>
    <row r="6791" spans="1:12" x14ac:dyDescent="0.25">
      <c r="A6791" s="35"/>
      <c r="B6791" s="36"/>
      <c r="C6791" s="36"/>
      <c r="D6791" s="36"/>
      <c r="E6791" s="36"/>
      <c r="F6791" s="36"/>
      <c r="G6791" s="36"/>
      <c r="H6791" s="36"/>
      <c r="I6791" s="37"/>
      <c r="J6791" s="36"/>
      <c r="K6791" s="38"/>
      <c r="L6791" s="38"/>
    </row>
    <row r="6792" spans="1:12" x14ac:dyDescent="0.25">
      <c r="A6792" s="35"/>
      <c r="B6792" s="36"/>
      <c r="C6792" s="36"/>
      <c r="D6792" s="36"/>
      <c r="E6792" s="36"/>
      <c r="F6792" s="36"/>
      <c r="G6792" s="36"/>
      <c r="H6792" s="36"/>
      <c r="I6792" s="37"/>
      <c r="J6792" s="36"/>
      <c r="K6792" s="38"/>
      <c r="L6792" s="38"/>
    </row>
    <row r="6793" spans="1:12" x14ac:dyDescent="0.25">
      <c r="A6793" s="35"/>
      <c r="B6793" s="36"/>
      <c r="C6793" s="36"/>
      <c r="D6793" s="36"/>
      <c r="E6793" s="36"/>
      <c r="F6793" s="36"/>
      <c r="G6793" s="36"/>
      <c r="H6793" s="36"/>
      <c r="I6793" s="37"/>
      <c r="J6793" s="36"/>
      <c r="K6793" s="38"/>
      <c r="L6793" s="38"/>
    </row>
    <row r="6794" spans="1:12" x14ac:dyDescent="0.25">
      <c r="A6794" s="35"/>
      <c r="B6794" s="36"/>
      <c r="C6794" s="36"/>
      <c r="D6794" s="36"/>
      <c r="E6794" s="36"/>
      <c r="F6794" s="36"/>
      <c r="G6794" s="36"/>
      <c r="H6794" s="36"/>
      <c r="I6794" s="37"/>
      <c r="J6794" s="36"/>
      <c r="K6794" s="38"/>
      <c r="L6794" s="38"/>
    </row>
    <row r="6795" spans="1:12" x14ac:dyDescent="0.25">
      <c r="A6795" s="35"/>
      <c r="B6795" s="36"/>
      <c r="C6795" s="36"/>
      <c r="D6795" s="36"/>
      <c r="E6795" s="36"/>
      <c r="F6795" s="36"/>
      <c r="G6795" s="36"/>
      <c r="H6795" s="36"/>
      <c r="I6795" s="37"/>
      <c r="J6795" s="36"/>
      <c r="K6795" s="38"/>
      <c r="L6795" s="38"/>
    </row>
    <row r="6796" spans="1:12" x14ac:dyDescent="0.25">
      <c r="A6796" s="35"/>
      <c r="B6796" s="36"/>
      <c r="C6796" s="36"/>
      <c r="D6796" s="36"/>
      <c r="E6796" s="36"/>
      <c r="F6796" s="36"/>
      <c r="G6796" s="36"/>
      <c r="H6796" s="36"/>
      <c r="I6796" s="37"/>
      <c r="J6796" s="36"/>
      <c r="K6796" s="38"/>
      <c r="L6796" s="38"/>
    </row>
    <row r="6797" spans="1:12" x14ac:dyDescent="0.25">
      <c r="A6797" s="35"/>
      <c r="B6797" s="36"/>
      <c r="C6797" s="36"/>
      <c r="D6797" s="36"/>
      <c r="E6797" s="36"/>
      <c r="F6797" s="36"/>
      <c r="G6797" s="36"/>
      <c r="H6797" s="36"/>
      <c r="I6797" s="37"/>
      <c r="J6797" s="36"/>
      <c r="K6797" s="38"/>
      <c r="L6797" s="38"/>
    </row>
    <row r="6798" spans="1:12" x14ac:dyDescent="0.25">
      <c r="A6798" s="35"/>
      <c r="B6798" s="36"/>
      <c r="C6798" s="36"/>
      <c r="D6798" s="36"/>
      <c r="E6798" s="36"/>
      <c r="F6798" s="36"/>
      <c r="G6798" s="36"/>
      <c r="H6798" s="36"/>
      <c r="I6798" s="37"/>
      <c r="J6798" s="36"/>
      <c r="K6798" s="38"/>
      <c r="L6798" s="38"/>
    </row>
    <row r="6799" spans="1:12" x14ac:dyDescent="0.25">
      <c r="A6799" s="35"/>
      <c r="B6799" s="36"/>
      <c r="C6799" s="36"/>
      <c r="D6799" s="36"/>
      <c r="E6799" s="36"/>
      <c r="F6799" s="36"/>
      <c r="G6799" s="36"/>
      <c r="H6799" s="36"/>
      <c r="I6799" s="37"/>
      <c r="J6799" s="36"/>
      <c r="K6799" s="38"/>
      <c r="L6799" s="38"/>
    </row>
    <row r="6800" spans="1:12" x14ac:dyDescent="0.25">
      <c r="A6800" s="35"/>
      <c r="B6800" s="36"/>
      <c r="C6800" s="36"/>
      <c r="D6800" s="36"/>
      <c r="E6800" s="36"/>
      <c r="F6800" s="36"/>
      <c r="G6800" s="36"/>
      <c r="H6800" s="36"/>
      <c r="I6800" s="37"/>
      <c r="J6800" s="36"/>
      <c r="K6800" s="38"/>
      <c r="L6800" s="38"/>
    </row>
    <row r="6801" spans="1:12" x14ac:dyDescent="0.25">
      <c r="A6801" s="35"/>
      <c r="B6801" s="36"/>
      <c r="C6801" s="36"/>
      <c r="D6801" s="36"/>
      <c r="E6801" s="36"/>
      <c r="F6801" s="36"/>
      <c r="G6801" s="36"/>
      <c r="H6801" s="36"/>
      <c r="I6801" s="37"/>
      <c r="J6801" s="36"/>
      <c r="K6801" s="38"/>
      <c r="L6801" s="38"/>
    </row>
    <row r="6802" spans="1:12" x14ac:dyDescent="0.25">
      <c r="A6802" s="35"/>
      <c r="B6802" s="36"/>
      <c r="C6802" s="36"/>
      <c r="D6802" s="36"/>
      <c r="E6802" s="36"/>
      <c r="F6802" s="36"/>
      <c r="G6802" s="36"/>
      <c r="H6802" s="36"/>
      <c r="I6802" s="37"/>
      <c r="J6802" s="36"/>
      <c r="K6802" s="38"/>
      <c r="L6802" s="38"/>
    </row>
    <row r="6803" spans="1:12" x14ac:dyDescent="0.25">
      <c r="A6803" s="35"/>
      <c r="B6803" s="36"/>
      <c r="C6803" s="36"/>
      <c r="D6803" s="36"/>
      <c r="E6803" s="36"/>
      <c r="F6803" s="36"/>
      <c r="G6803" s="36"/>
      <c r="H6803" s="36"/>
      <c r="I6803" s="37"/>
      <c r="J6803" s="36"/>
      <c r="K6803" s="38"/>
      <c r="L6803" s="38"/>
    </row>
    <row r="6804" spans="1:12" x14ac:dyDescent="0.25">
      <c r="A6804" s="35"/>
      <c r="B6804" s="36"/>
      <c r="C6804" s="36"/>
      <c r="D6804" s="36"/>
      <c r="E6804" s="36"/>
      <c r="F6804" s="36"/>
      <c r="G6804" s="36"/>
      <c r="H6804" s="36"/>
      <c r="I6804" s="37"/>
      <c r="J6804" s="36"/>
      <c r="K6804" s="38"/>
      <c r="L6804" s="38"/>
    </row>
    <row r="6805" spans="1:12" x14ac:dyDescent="0.25">
      <c r="A6805" s="35"/>
      <c r="B6805" s="36"/>
      <c r="C6805" s="36"/>
      <c r="D6805" s="36"/>
      <c r="E6805" s="36"/>
      <c r="F6805" s="36"/>
      <c r="G6805" s="36"/>
      <c r="H6805" s="36"/>
      <c r="I6805" s="37"/>
      <c r="J6805" s="36"/>
      <c r="K6805" s="38"/>
      <c r="L6805" s="38"/>
    </row>
    <row r="6806" spans="1:12" x14ac:dyDescent="0.25">
      <c r="A6806" s="35"/>
      <c r="B6806" s="36"/>
      <c r="C6806" s="36"/>
      <c r="D6806" s="36"/>
      <c r="E6806" s="36"/>
      <c r="F6806" s="36"/>
      <c r="G6806" s="36"/>
      <c r="H6806" s="36"/>
      <c r="I6806" s="37"/>
      <c r="J6806" s="36"/>
      <c r="K6806" s="38"/>
      <c r="L6806" s="38"/>
    </row>
    <row r="6807" spans="1:12" x14ac:dyDescent="0.25">
      <c r="A6807" s="35"/>
      <c r="B6807" s="36"/>
      <c r="C6807" s="36"/>
      <c r="D6807" s="36"/>
      <c r="E6807" s="36"/>
      <c r="F6807" s="36"/>
      <c r="G6807" s="36"/>
      <c r="H6807" s="36"/>
      <c r="I6807" s="37"/>
      <c r="J6807" s="36"/>
      <c r="K6807" s="38"/>
      <c r="L6807" s="38"/>
    </row>
    <row r="6808" spans="1:12" x14ac:dyDescent="0.25">
      <c r="A6808" s="35"/>
      <c r="B6808" s="36"/>
      <c r="C6808" s="36"/>
      <c r="D6808" s="36"/>
      <c r="E6808" s="36"/>
      <c r="F6808" s="36"/>
      <c r="G6808" s="36"/>
      <c r="H6808" s="36"/>
      <c r="I6808" s="37"/>
      <c r="J6808" s="36"/>
      <c r="K6808" s="38"/>
      <c r="L6808" s="38"/>
    </row>
    <row r="6809" spans="1:12" x14ac:dyDescent="0.25">
      <c r="A6809" s="35"/>
      <c r="B6809" s="36"/>
      <c r="C6809" s="36"/>
      <c r="D6809" s="36"/>
      <c r="E6809" s="36"/>
      <c r="F6809" s="36"/>
      <c r="G6809" s="36"/>
      <c r="H6809" s="36"/>
      <c r="I6809" s="37"/>
      <c r="J6809" s="36"/>
      <c r="K6809" s="38"/>
      <c r="L6809" s="38"/>
    </row>
    <row r="6810" spans="1:12" x14ac:dyDescent="0.25">
      <c r="A6810" s="35"/>
      <c r="B6810" s="36"/>
      <c r="C6810" s="36"/>
      <c r="D6810" s="36"/>
      <c r="E6810" s="36"/>
      <c r="F6810" s="36"/>
      <c r="G6810" s="36"/>
      <c r="H6810" s="36"/>
      <c r="I6810" s="37"/>
      <c r="J6810" s="36"/>
      <c r="K6810" s="38"/>
      <c r="L6810" s="38"/>
    </row>
    <row r="6811" spans="1:12" x14ac:dyDescent="0.25">
      <c r="A6811" s="35"/>
      <c r="B6811" s="36"/>
      <c r="C6811" s="36"/>
      <c r="D6811" s="36"/>
      <c r="E6811" s="36"/>
      <c r="F6811" s="36"/>
      <c r="G6811" s="36"/>
      <c r="H6811" s="36"/>
      <c r="I6811" s="37"/>
      <c r="J6811" s="36"/>
      <c r="K6811" s="38"/>
      <c r="L6811" s="38"/>
    </row>
    <row r="6812" spans="1:12" x14ac:dyDescent="0.25">
      <c r="A6812" s="35"/>
      <c r="B6812" s="36"/>
      <c r="C6812" s="36"/>
      <c r="D6812" s="36"/>
      <c r="E6812" s="36"/>
      <c r="F6812" s="36"/>
      <c r="G6812" s="36"/>
      <c r="H6812" s="36"/>
      <c r="I6812" s="37"/>
      <c r="J6812" s="36"/>
      <c r="K6812" s="38"/>
      <c r="L6812" s="38"/>
    </row>
    <row r="6813" spans="1:12" x14ac:dyDescent="0.25">
      <c r="A6813" s="35"/>
      <c r="B6813" s="36"/>
      <c r="C6813" s="36"/>
      <c r="D6813" s="36"/>
      <c r="E6813" s="36"/>
      <c r="F6813" s="36"/>
      <c r="G6813" s="36"/>
      <c r="H6813" s="36"/>
      <c r="I6813" s="37"/>
      <c r="J6813" s="36"/>
      <c r="K6813" s="38"/>
      <c r="L6813" s="38"/>
    </row>
    <row r="6814" spans="1:12" x14ac:dyDescent="0.25">
      <c r="A6814" s="35"/>
      <c r="B6814" s="36"/>
      <c r="C6814" s="36"/>
      <c r="D6814" s="36"/>
      <c r="E6814" s="36"/>
      <c r="F6814" s="36"/>
      <c r="G6814" s="36"/>
      <c r="H6814" s="36"/>
      <c r="I6814" s="37"/>
      <c r="J6814" s="36"/>
      <c r="K6814" s="38"/>
      <c r="L6814" s="38"/>
    </row>
    <row r="6815" spans="1:12" x14ac:dyDescent="0.25">
      <c r="A6815" s="35"/>
      <c r="B6815" s="36"/>
      <c r="C6815" s="36"/>
      <c r="D6815" s="36"/>
      <c r="E6815" s="36"/>
      <c r="F6815" s="36"/>
      <c r="G6815" s="36"/>
      <c r="H6815" s="36"/>
      <c r="I6815" s="37"/>
      <c r="J6815" s="36"/>
      <c r="K6815" s="38"/>
      <c r="L6815" s="38"/>
    </row>
    <row r="6816" spans="1:12" x14ac:dyDescent="0.25">
      <c r="A6816" s="35"/>
      <c r="B6816" s="36"/>
      <c r="C6816" s="36"/>
      <c r="D6816" s="36"/>
      <c r="E6816" s="36"/>
      <c r="F6816" s="36"/>
      <c r="G6816" s="36"/>
      <c r="H6816" s="36"/>
      <c r="I6816" s="37"/>
      <c r="J6816" s="36"/>
      <c r="K6816" s="38"/>
      <c r="L6816" s="38"/>
    </row>
    <row r="6817" spans="1:12" x14ac:dyDescent="0.25">
      <c r="A6817" s="35"/>
      <c r="B6817" s="36"/>
      <c r="C6817" s="36"/>
      <c r="D6817" s="36"/>
      <c r="E6817" s="36"/>
      <c r="F6817" s="36"/>
      <c r="G6817" s="36"/>
      <c r="H6817" s="36"/>
      <c r="I6817" s="37"/>
      <c r="J6817" s="36"/>
      <c r="K6817" s="38"/>
      <c r="L6817" s="38"/>
    </row>
    <row r="6818" spans="1:12" x14ac:dyDescent="0.25">
      <c r="A6818" s="35"/>
      <c r="B6818" s="36"/>
      <c r="C6818" s="36"/>
      <c r="D6818" s="36"/>
      <c r="E6818" s="36"/>
      <c r="F6818" s="36"/>
      <c r="G6818" s="36"/>
      <c r="H6818" s="36"/>
      <c r="I6818" s="37"/>
      <c r="J6818" s="36"/>
      <c r="K6818" s="38"/>
      <c r="L6818" s="38"/>
    </row>
    <row r="6819" spans="1:12" x14ac:dyDescent="0.25">
      <c r="A6819" s="35"/>
      <c r="B6819" s="36"/>
      <c r="C6819" s="36"/>
      <c r="D6819" s="36"/>
      <c r="E6819" s="36"/>
      <c r="F6819" s="36"/>
      <c r="G6819" s="36"/>
      <c r="H6819" s="36"/>
      <c r="I6819" s="37"/>
      <c r="J6819" s="36"/>
      <c r="K6819" s="38"/>
      <c r="L6819" s="38"/>
    </row>
    <row r="6820" spans="1:12" x14ac:dyDescent="0.25">
      <c r="A6820" s="35"/>
      <c r="B6820" s="36"/>
      <c r="C6820" s="36"/>
      <c r="D6820" s="36"/>
      <c r="E6820" s="36"/>
      <c r="F6820" s="36"/>
      <c r="G6820" s="36"/>
      <c r="H6820" s="36"/>
      <c r="I6820" s="37"/>
      <c r="J6820" s="36"/>
      <c r="K6820" s="38"/>
      <c r="L6820" s="38"/>
    </row>
    <row r="6821" spans="1:12" x14ac:dyDescent="0.25">
      <c r="A6821" s="35"/>
      <c r="B6821" s="36"/>
      <c r="C6821" s="36"/>
      <c r="D6821" s="36"/>
      <c r="E6821" s="36"/>
      <c r="F6821" s="36"/>
      <c r="G6821" s="36"/>
      <c r="H6821" s="36"/>
      <c r="I6821" s="37"/>
      <c r="J6821" s="36"/>
      <c r="K6821" s="38"/>
      <c r="L6821" s="38"/>
    </row>
    <row r="6822" spans="1:12" x14ac:dyDescent="0.25">
      <c r="A6822" s="35"/>
      <c r="B6822" s="36"/>
      <c r="C6822" s="36"/>
      <c r="D6822" s="36"/>
      <c r="E6822" s="36"/>
      <c r="F6822" s="36"/>
      <c r="G6822" s="36"/>
      <c r="H6822" s="36"/>
      <c r="I6822" s="37"/>
      <c r="J6822" s="36"/>
      <c r="K6822" s="38"/>
      <c r="L6822" s="38"/>
    </row>
    <row r="6823" spans="1:12" x14ac:dyDescent="0.25">
      <c r="A6823" s="35"/>
      <c r="B6823" s="36"/>
      <c r="C6823" s="36"/>
      <c r="D6823" s="36"/>
      <c r="E6823" s="36"/>
      <c r="F6823" s="36"/>
      <c r="G6823" s="36"/>
      <c r="H6823" s="36"/>
      <c r="I6823" s="37"/>
      <c r="J6823" s="36"/>
      <c r="K6823" s="38"/>
      <c r="L6823" s="38"/>
    </row>
    <row r="6824" spans="1:12" x14ac:dyDescent="0.25">
      <c r="A6824" s="35"/>
      <c r="B6824" s="36"/>
      <c r="C6824" s="36"/>
      <c r="D6824" s="36"/>
      <c r="E6824" s="36"/>
      <c r="F6824" s="36"/>
      <c r="G6824" s="36"/>
      <c r="H6824" s="36"/>
      <c r="I6824" s="37"/>
      <c r="J6824" s="36"/>
      <c r="K6824" s="38"/>
      <c r="L6824" s="38"/>
    </row>
    <row r="6825" spans="1:12" x14ac:dyDescent="0.25">
      <c r="A6825" s="35"/>
      <c r="B6825" s="36"/>
      <c r="C6825" s="36"/>
      <c r="D6825" s="36"/>
      <c r="E6825" s="36"/>
      <c r="F6825" s="36"/>
      <c r="G6825" s="36"/>
      <c r="H6825" s="36"/>
      <c r="I6825" s="37"/>
      <c r="J6825" s="36"/>
      <c r="K6825" s="38"/>
      <c r="L6825" s="38"/>
    </row>
    <row r="6826" spans="1:12" x14ac:dyDescent="0.25">
      <c r="A6826" s="35"/>
      <c r="B6826" s="36"/>
      <c r="C6826" s="36"/>
      <c r="D6826" s="36"/>
      <c r="E6826" s="36"/>
      <c r="F6826" s="36"/>
      <c r="G6826" s="36"/>
      <c r="H6826" s="36"/>
      <c r="I6826" s="37"/>
      <c r="J6826" s="36"/>
      <c r="K6826" s="38"/>
      <c r="L6826" s="38"/>
    </row>
    <row r="6827" spans="1:12" x14ac:dyDescent="0.25">
      <c r="A6827" s="35"/>
      <c r="B6827" s="36"/>
      <c r="C6827" s="36"/>
      <c r="D6827" s="36"/>
      <c r="E6827" s="36"/>
      <c r="F6827" s="36"/>
      <c r="G6827" s="36"/>
      <c r="H6827" s="36"/>
      <c r="I6827" s="37"/>
      <c r="J6827" s="36"/>
      <c r="K6827" s="38"/>
      <c r="L6827" s="38"/>
    </row>
    <row r="6828" spans="1:12" x14ac:dyDescent="0.25">
      <c r="A6828" s="35"/>
      <c r="B6828" s="36"/>
      <c r="C6828" s="36"/>
      <c r="D6828" s="36"/>
      <c r="E6828" s="36"/>
      <c r="F6828" s="36"/>
      <c r="G6828" s="36"/>
      <c r="H6828" s="36"/>
      <c r="I6828" s="37"/>
      <c r="J6828" s="36"/>
      <c r="K6828" s="38"/>
      <c r="L6828" s="38"/>
    </row>
    <row r="6829" spans="1:12" x14ac:dyDescent="0.25">
      <c r="A6829" s="35"/>
      <c r="B6829" s="36"/>
      <c r="C6829" s="36"/>
      <c r="D6829" s="36"/>
      <c r="E6829" s="36"/>
      <c r="F6829" s="36"/>
      <c r="G6829" s="36"/>
      <c r="H6829" s="36"/>
      <c r="I6829" s="37"/>
      <c r="J6829" s="36"/>
      <c r="K6829" s="38"/>
      <c r="L6829" s="38"/>
    </row>
    <row r="6830" spans="1:12" x14ac:dyDescent="0.25">
      <c r="A6830" s="35"/>
      <c r="B6830" s="36"/>
      <c r="C6830" s="36"/>
      <c r="D6830" s="36"/>
      <c r="E6830" s="36"/>
      <c r="F6830" s="36"/>
      <c r="G6830" s="36"/>
      <c r="H6830" s="36"/>
      <c r="I6830" s="37"/>
      <c r="J6830" s="36"/>
      <c r="K6830" s="38"/>
      <c r="L6830" s="38"/>
    </row>
    <row r="6831" spans="1:12" x14ac:dyDescent="0.25">
      <c r="A6831" s="35"/>
      <c r="B6831" s="36"/>
      <c r="C6831" s="36"/>
      <c r="D6831" s="36"/>
      <c r="E6831" s="36"/>
      <c r="F6831" s="36"/>
      <c r="G6831" s="36"/>
      <c r="H6831" s="36"/>
      <c r="I6831" s="37"/>
      <c r="J6831" s="36"/>
      <c r="K6831" s="38"/>
      <c r="L6831" s="38"/>
    </row>
    <row r="6832" spans="1:12" x14ac:dyDescent="0.25">
      <c r="A6832" s="35"/>
      <c r="B6832" s="36"/>
      <c r="C6832" s="36"/>
      <c r="D6832" s="36"/>
      <c r="E6832" s="36"/>
      <c r="F6832" s="36"/>
      <c r="G6832" s="36"/>
      <c r="H6832" s="36"/>
      <c r="I6832" s="37"/>
      <c r="J6832" s="36"/>
      <c r="K6832" s="38"/>
      <c r="L6832" s="38"/>
    </row>
    <row r="6833" spans="1:12" x14ac:dyDescent="0.25">
      <c r="A6833" s="35"/>
      <c r="B6833" s="36"/>
      <c r="C6833" s="36"/>
      <c r="D6833" s="36"/>
      <c r="E6833" s="36"/>
      <c r="F6833" s="36"/>
      <c r="G6833" s="36"/>
      <c r="H6833" s="36"/>
      <c r="I6833" s="37"/>
      <c r="J6833" s="36"/>
      <c r="K6833" s="38"/>
      <c r="L6833" s="38"/>
    </row>
    <row r="6834" spans="1:12" x14ac:dyDescent="0.25">
      <c r="A6834" s="35"/>
      <c r="B6834" s="36"/>
      <c r="C6834" s="36"/>
      <c r="D6834" s="36"/>
      <c r="E6834" s="36"/>
      <c r="F6834" s="36"/>
      <c r="G6834" s="36"/>
      <c r="H6834" s="36"/>
      <c r="I6834" s="37"/>
      <c r="J6834" s="36"/>
      <c r="K6834" s="38"/>
      <c r="L6834" s="38"/>
    </row>
    <row r="6835" spans="1:12" x14ac:dyDescent="0.25">
      <c r="A6835" s="35"/>
      <c r="B6835" s="36"/>
      <c r="C6835" s="36"/>
      <c r="D6835" s="36"/>
      <c r="E6835" s="36"/>
      <c r="F6835" s="36"/>
      <c r="G6835" s="36"/>
      <c r="H6835" s="36"/>
      <c r="I6835" s="37"/>
      <c r="J6835" s="36"/>
      <c r="K6835" s="38"/>
      <c r="L6835" s="38"/>
    </row>
    <row r="6836" spans="1:12" x14ac:dyDescent="0.25">
      <c r="A6836" s="35"/>
      <c r="B6836" s="36"/>
      <c r="C6836" s="36"/>
      <c r="D6836" s="36"/>
      <c r="E6836" s="36"/>
      <c r="F6836" s="36"/>
      <c r="G6836" s="36"/>
      <c r="H6836" s="36"/>
      <c r="I6836" s="37"/>
      <c r="J6836" s="36"/>
      <c r="K6836" s="38"/>
      <c r="L6836" s="38"/>
    </row>
    <row r="6837" spans="1:12" x14ac:dyDescent="0.25">
      <c r="A6837" s="35"/>
      <c r="B6837" s="36"/>
      <c r="C6837" s="36"/>
      <c r="D6837" s="36"/>
      <c r="E6837" s="36"/>
      <c r="F6837" s="36"/>
      <c r="G6837" s="36"/>
      <c r="H6837" s="36"/>
      <c r="I6837" s="37"/>
      <c r="J6837" s="36"/>
      <c r="K6837" s="38"/>
      <c r="L6837" s="38"/>
    </row>
    <row r="6838" spans="1:12" x14ac:dyDescent="0.25">
      <c r="A6838" s="35"/>
      <c r="B6838" s="36"/>
      <c r="C6838" s="36"/>
      <c r="D6838" s="36"/>
      <c r="E6838" s="36"/>
      <c r="F6838" s="36"/>
      <c r="G6838" s="36"/>
      <c r="H6838" s="36"/>
      <c r="I6838" s="37"/>
      <c r="J6838" s="36"/>
      <c r="K6838" s="38"/>
      <c r="L6838" s="38"/>
    </row>
    <row r="6839" spans="1:12" x14ac:dyDescent="0.25">
      <c r="A6839" s="35"/>
      <c r="B6839" s="36"/>
      <c r="C6839" s="36"/>
      <c r="D6839" s="36"/>
      <c r="E6839" s="36"/>
      <c r="F6839" s="36"/>
      <c r="G6839" s="36"/>
      <c r="H6839" s="36"/>
      <c r="I6839" s="37"/>
      <c r="J6839" s="36"/>
      <c r="K6839" s="38"/>
      <c r="L6839" s="38"/>
    </row>
    <row r="6840" spans="1:12" x14ac:dyDescent="0.25">
      <c r="A6840" s="35"/>
      <c r="B6840" s="36"/>
      <c r="C6840" s="36"/>
      <c r="D6840" s="36"/>
      <c r="E6840" s="36"/>
      <c r="F6840" s="36"/>
      <c r="G6840" s="36"/>
      <c r="H6840" s="36"/>
      <c r="I6840" s="37"/>
      <c r="J6840" s="36"/>
      <c r="K6840" s="38"/>
      <c r="L6840" s="38"/>
    </row>
    <row r="6841" spans="1:12" x14ac:dyDescent="0.25">
      <c r="A6841" s="35"/>
      <c r="B6841" s="36"/>
      <c r="C6841" s="36"/>
      <c r="D6841" s="36"/>
      <c r="E6841" s="36"/>
      <c r="F6841" s="36"/>
      <c r="G6841" s="36"/>
      <c r="H6841" s="36"/>
      <c r="I6841" s="37"/>
      <c r="J6841" s="36"/>
      <c r="K6841" s="38"/>
      <c r="L6841" s="38"/>
    </row>
    <row r="6842" spans="1:12" x14ac:dyDescent="0.25">
      <c r="A6842" s="35"/>
      <c r="B6842" s="36"/>
      <c r="C6842" s="36"/>
      <c r="D6842" s="36"/>
      <c r="E6842" s="36"/>
      <c r="F6842" s="36"/>
      <c r="G6842" s="36"/>
      <c r="H6842" s="36"/>
      <c r="I6842" s="37"/>
      <c r="J6842" s="36"/>
      <c r="K6842" s="38"/>
      <c r="L6842" s="38"/>
    </row>
    <row r="6843" spans="1:12" x14ac:dyDescent="0.25">
      <c r="A6843" s="35"/>
      <c r="B6843" s="36"/>
      <c r="C6843" s="36"/>
      <c r="D6843" s="36"/>
      <c r="E6843" s="36"/>
      <c r="F6843" s="36"/>
      <c r="G6843" s="36"/>
      <c r="H6843" s="36"/>
      <c r="I6843" s="37"/>
      <c r="J6843" s="36"/>
      <c r="K6843" s="38"/>
      <c r="L6843" s="38"/>
    </row>
    <row r="6844" spans="1:12" x14ac:dyDescent="0.25">
      <c r="A6844" s="35"/>
      <c r="B6844" s="36"/>
      <c r="C6844" s="36"/>
      <c r="D6844" s="36"/>
      <c r="E6844" s="36"/>
      <c r="F6844" s="36"/>
      <c r="G6844" s="36"/>
      <c r="H6844" s="36"/>
      <c r="I6844" s="37"/>
      <c r="J6844" s="36"/>
      <c r="K6844" s="38"/>
      <c r="L6844" s="38"/>
    </row>
    <row r="6845" spans="1:12" x14ac:dyDescent="0.25">
      <c r="A6845" s="35"/>
      <c r="B6845" s="36"/>
      <c r="C6845" s="36"/>
      <c r="D6845" s="36"/>
      <c r="E6845" s="36"/>
      <c r="F6845" s="36"/>
      <c r="G6845" s="36"/>
      <c r="H6845" s="36"/>
      <c r="I6845" s="37"/>
      <c r="J6845" s="36"/>
      <c r="K6845" s="38"/>
      <c r="L6845" s="38"/>
    </row>
    <row r="6846" spans="1:12" x14ac:dyDescent="0.25">
      <c r="A6846" s="35"/>
      <c r="B6846" s="36"/>
      <c r="C6846" s="36"/>
      <c r="D6846" s="36"/>
      <c r="E6846" s="36"/>
      <c r="F6846" s="36"/>
      <c r="G6846" s="36"/>
      <c r="H6846" s="36"/>
      <c r="I6846" s="37"/>
      <c r="J6846" s="36"/>
      <c r="K6846" s="38"/>
      <c r="L6846" s="38"/>
    </row>
    <row r="6847" spans="1:12" x14ac:dyDescent="0.25">
      <c r="A6847" s="35"/>
      <c r="B6847" s="36"/>
      <c r="C6847" s="36"/>
      <c r="D6847" s="36"/>
      <c r="E6847" s="36"/>
      <c r="F6847" s="36"/>
      <c r="G6847" s="36"/>
      <c r="H6847" s="36"/>
      <c r="I6847" s="37"/>
      <c r="J6847" s="36"/>
      <c r="K6847" s="38"/>
      <c r="L6847" s="38"/>
    </row>
    <row r="6848" spans="1:12" x14ac:dyDescent="0.25">
      <c r="A6848" s="35"/>
      <c r="B6848" s="36"/>
      <c r="C6848" s="36"/>
      <c r="D6848" s="36"/>
      <c r="E6848" s="36"/>
      <c r="F6848" s="36"/>
      <c r="G6848" s="36"/>
      <c r="H6848" s="36"/>
      <c r="I6848" s="37"/>
      <c r="J6848" s="36"/>
      <c r="K6848" s="38"/>
      <c r="L6848" s="38"/>
    </row>
    <row r="6849" spans="1:12" x14ac:dyDescent="0.25">
      <c r="A6849" s="35"/>
      <c r="B6849" s="36"/>
      <c r="C6849" s="36"/>
      <c r="D6849" s="36"/>
      <c r="E6849" s="36"/>
      <c r="F6849" s="36"/>
      <c r="G6849" s="36"/>
      <c r="H6849" s="36"/>
      <c r="I6849" s="37"/>
      <c r="J6849" s="36"/>
      <c r="K6849" s="38"/>
      <c r="L6849" s="38"/>
    </row>
    <row r="6850" spans="1:12" x14ac:dyDescent="0.25">
      <c r="A6850" s="35"/>
      <c r="B6850" s="36"/>
      <c r="C6850" s="36"/>
      <c r="D6850" s="36"/>
      <c r="E6850" s="36"/>
      <c r="F6850" s="36"/>
      <c r="G6850" s="36"/>
      <c r="H6850" s="36"/>
      <c r="I6850" s="37"/>
      <c r="J6850" s="36"/>
      <c r="K6850" s="38"/>
      <c r="L6850" s="38"/>
    </row>
    <row r="6851" spans="1:12" x14ac:dyDescent="0.25">
      <c r="A6851" s="35"/>
      <c r="B6851" s="36"/>
      <c r="C6851" s="36"/>
      <c r="D6851" s="36"/>
      <c r="E6851" s="36"/>
      <c r="F6851" s="36"/>
      <c r="G6851" s="36"/>
      <c r="H6851" s="36"/>
      <c r="I6851" s="37"/>
      <c r="J6851" s="36"/>
      <c r="K6851" s="38"/>
      <c r="L6851" s="38"/>
    </row>
    <row r="6852" spans="1:12" x14ac:dyDescent="0.25">
      <c r="A6852" s="35"/>
      <c r="B6852" s="36"/>
      <c r="C6852" s="36"/>
      <c r="D6852" s="36"/>
      <c r="E6852" s="36"/>
      <c r="F6852" s="36"/>
      <c r="G6852" s="36"/>
      <c r="H6852" s="36"/>
      <c r="I6852" s="37"/>
      <c r="J6852" s="36"/>
      <c r="K6852" s="38"/>
      <c r="L6852" s="38"/>
    </row>
    <row r="6853" spans="1:12" x14ac:dyDescent="0.25">
      <c r="A6853" s="35"/>
      <c r="B6853" s="36"/>
      <c r="C6853" s="36"/>
      <c r="D6853" s="36"/>
      <c r="E6853" s="36"/>
      <c r="F6853" s="36"/>
      <c r="G6853" s="36"/>
      <c r="H6853" s="36"/>
      <c r="I6853" s="37"/>
      <c r="J6853" s="36"/>
      <c r="K6853" s="38"/>
      <c r="L6853" s="38"/>
    </row>
    <row r="6854" spans="1:12" x14ac:dyDescent="0.25">
      <c r="A6854" s="35"/>
      <c r="B6854" s="36"/>
      <c r="C6854" s="36"/>
      <c r="D6854" s="36"/>
      <c r="E6854" s="36"/>
      <c r="F6854" s="36"/>
      <c r="G6854" s="36"/>
      <c r="H6854" s="36"/>
      <c r="I6854" s="37"/>
      <c r="J6854" s="36"/>
      <c r="K6854" s="38"/>
      <c r="L6854" s="38"/>
    </row>
    <row r="6855" spans="1:12" x14ac:dyDescent="0.25">
      <c r="A6855" s="35"/>
      <c r="B6855" s="36"/>
      <c r="C6855" s="36"/>
      <c r="D6855" s="36"/>
      <c r="E6855" s="36"/>
      <c r="F6855" s="36"/>
      <c r="G6855" s="36"/>
      <c r="H6855" s="36"/>
      <c r="I6855" s="37"/>
      <c r="J6855" s="36"/>
      <c r="K6855" s="38"/>
      <c r="L6855" s="38"/>
    </row>
    <row r="6856" spans="1:12" x14ac:dyDescent="0.25">
      <c r="A6856" s="35"/>
      <c r="B6856" s="36"/>
      <c r="C6856" s="36"/>
      <c r="D6856" s="36"/>
      <c r="E6856" s="36"/>
      <c r="F6856" s="36"/>
      <c r="G6856" s="36"/>
      <c r="H6856" s="36"/>
      <c r="I6856" s="37"/>
      <c r="J6856" s="36"/>
      <c r="K6856" s="38"/>
      <c r="L6856" s="38"/>
    </row>
    <row r="6857" spans="1:12" x14ac:dyDescent="0.25">
      <c r="A6857" s="35"/>
      <c r="B6857" s="36"/>
      <c r="C6857" s="36"/>
      <c r="D6857" s="36"/>
      <c r="E6857" s="36"/>
      <c r="F6857" s="36"/>
      <c r="G6857" s="36"/>
      <c r="H6857" s="36"/>
      <c r="I6857" s="37"/>
      <c r="J6857" s="36"/>
      <c r="K6857" s="38"/>
      <c r="L6857" s="38"/>
    </row>
    <row r="6858" spans="1:12" x14ac:dyDescent="0.25">
      <c r="A6858" s="35"/>
      <c r="B6858" s="36"/>
      <c r="C6858" s="36"/>
      <c r="D6858" s="36"/>
      <c r="E6858" s="36"/>
      <c r="F6858" s="36"/>
      <c r="G6858" s="36"/>
      <c r="H6858" s="36"/>
      <c r="I6858" s="37"/>
      <c r="J6858" s="36"/>
      <c r="K6858" s="38"/>
      <c r="L6858" s="38"/>
    </row>
    <row r="6859" spans="1:12" x14ac:dyDescent="0.25">
      <c r="A6859" s="35"/>
      <c r="B6859" s="36"/>
      <c r="C6859" s="36"/>
      <c r="D6859" s="36"/>
      <c r="E6859" s="36"/>
      <c r="F6859" s="36"/>
      <c r="G6859" s="36"/>
      <c r="H6859" s="36"/>
      <c r="I6859" s="37"/>
      <c r="J6859" s="36"/>
      <c r="K6859" s="38"/>
      <c r="L6859" s="38"/>
    </row>
    <row r="6860" spans="1:12" x14ac:dyDescent="0.25">
      <c r="A6860" s="35"/>
      <c r="B6860" s="36"/>
      <c r="C6860" s="36"/>
      <c r="D6860" s="36"/>
      <c r="E6860" s="36"/>
      <c r="F6860" s="36"/>
      <c r="G6860" s="36"/>
      <c r="H6860" s="36"/>
      <c r="I6860" s="37"/>
      <c r="J6860" s="36"/>
      <c r="K6860" s="38"/>
      <c r="L6860" s="38"/>
    </row>
    <row r="6861" spans="1:12" x14ac:dyDescent="0.25">
      <c r="A6861" s="35"/>
      <c r="B6861" s="36"/>
      <c r="C6861" s="36"/>
      <c r="D6861" s="36"/>
      <c r="E6861" s="36"/>
      <c r="F6861" s="36"/>
      <c r="G6861" s="36"/>
      <c r="H6861" s="36"/>
      <c r="I6861" s="37"/>
      <c r="J6861" s="36"/>
      <c r="K6861" s="38"/>
      <c r="L6861" s="38"/>
    </row>
    <row r="6862" spans="1:12" x14ac:dyDescent="0.25">
      <c r="A6862" s="35"/>
      <c r="B6862" s="36"/>
      <c r="C6862" s="36"/>
      <c r="D6862" s="36"/>
      <c r="E6862" s="36"/>
      <c r="F6862" s="36"/>
      <c r="G6862" s="36"/>
      <c r="H6862" s="36"/>
      <c r="I6862" s="37"/>
      <c r="J6862" s="36"/>
      <c r="K6862" s="38"/>
      <c r="L6862" s="38"/>
    </row>
    <row r="6863" spans="1:12" x14ac:dyDescent="0.25">
      <c r="A6863" s="35"/>
      <c r="B6863" s="36"/>
      <c r="C6863" s="36"/>
      <c r="D6863" s="36"/>
      <c r="E6863" s="36"/>
      <c r="F6863" s="36"/>
      <c r="G6863" s="36"/>
      <c r="H6863" s="36"/>
      <c r="I6863" s="37"/>
      <c r="J6863" s="36"/>
      <c r="K6863" s="38"/>
      <c r="L6863" s="38"/>
    </row>
    <row r="6864" spans="1:12" x14ac:dyDescent="0.25">
      <c r="A6864" s="35"/>
      <c r="B6864" s="36"/>
      <c r="C6864" s="36"/>
      <c r="D6864" s="36"/>
      <c r="E6864" s="36"/>
      <c r="F6864" s="36"/>
      <c r="G6864" s="36"/>
      <c r="H6864" s="36"/>
      <c r="I6864" s="37"/>
      <c r="J6864" s="36"/>
      <c r="K6864" s="38"/>
      <c r="L6864" s="38"/>
    </row>
    <row r="6865" spans="1:12" x14ac:dyDescent="0.25">
      <c r="A6865" s="35"/>
      <c r="B6865" s="36"/>
      <c r="C6865" s="36"/>
      <c r="D6865" s="36"/>
      <c r="E6865" s="36"/>
      <c r="F6865" s="36"/>
      <c r="G6865" s="36"/>
      <c r="H6865" s="36"/>
      <c r="I6865" s="37"/>
      <c r="J6865" s="36"/>
      <c r="K6865" s="38"/>
      <c r="L6865" s="38"/>
    </row>
    <row r="6866" spans="1:12" x14ac:dyDescent="0.25">
      <c r="A6866" s="35"/>
      <c r="B6866" s="36"/>
      <c r="C6866" s="36"/>
      <c r="D6866" s="36"/>
      <c r="E6866" s="36"/>
      <c r="F6866" s="36"/>
      <c r="G6866" s="36"/>
      <c r="H6866" s="36"/>
      <c r="I6866" s="37"/>
      <c r="J6866" s="36"/>
      <c r="K6866" s="38"/>
      <c r="L6866" s="38"/>
    </row>
    <row r="6867" spans="1:12" x14ac:dyDescent="0.25">
      <c r="A6867" s="35"/>
      <c r="B6867" s="36"/>
      <c r="C6867" s="36"/>
      <c r="D6867" s="36"/>
      <c r="E6867" s="36"/>
      <c r="F6867" s="36"/>
      <c r="G6867" s="36"/>
      <c r="H6867" s="36"/>
      <c r="I6867" s="37"/>
      <c r="J6867" s="36"/>
      <c r="K6867" s="38"/>
      <c r="L6867" s="38"/>
    </row>
    <row r="6868" spans="1:12" x14ac:dyDescent="0.25">
      <c r="A6868" s="35"/>
      <c r="B6868" s="36"/>
      <c r="C6868" s="36"/>
      <c r="D6868" s="36"/>
      <c r="E6868" s="36"/>
      <c r="F6868" s="36"/>
      <c r="G6868" s="36"/>
      <c r="H6868" s="36"/>
      <c r="I6868" s="37"/>
      <c r="J6868" s="36"/>
      <c r="K6868" s="38"/>
      <c r="L6868" s="38"/>
    </row>
    <row r="6869" spans="1:12" x14ac:dyDescent="0.25">
      <c r="A6869" s="35"/>
      <c r="B6869" s="36"/>
      <c r="C6869" s="36"/>
      <c r="D6869" s="36"/>
      <c r="E6869" s="36"/>
      <c r="F6869" s="36"/>
      <c r="G6869" s="36"/>
      <c r="H6869" s="36"/>
      <c r="I6869" s="37"/>
      <c r="J6869" s="36"/>
      <c r="K6869" s="38"/>
      <c r="L6869" s="38"/>
    </row>
    <row r="6870" spans="1:12" x14ac:dyDescent="0.25">
      <c r="A6870" s="35"/>
      <c r="B6870" s="36"/>
      <c r="C6870" s="36"/>
      <c r="D6870" s="36"/>
      <c r="E6870" s="36"/>
      <c r="F6870" s="36"/>
      <c r="G6870" s="36"/>
      <c r="H6870" s="36"/>
      <c r="I6870" s="37"/>
      <c r="J6870" s="36"/>
      <c r="K6870" s="38"/>
      <c r="L6870" s="38"/>
    </row>
    <row r="6871" spans="1:12" x14ac:dyDescent="0.25">
      <c r="A6871" s="35"/>
      <c r="B6871" s="36"/>
      <c r="C6871" s="36"/>
      <c r="D6871" s="36"/>
      <c r="E6871" s="36"/>
      <c r="F6871" s="36"/>
      <c r="G6871" s="36"/>
      <c r="H6871" s="36"/>
      <c r="I6871" s="37"/>
      <c r="J6871" s="36"/>
      <c r="K6871" s="38"/>
      <c r="L6871" s="38"/>
    </row>
    <row r="6872" spans="1:12" x14ac:dyDescent="0.25">
      <c r="A6872" s="35"/>
      <c r="B6872" s="36"/>
      <c r="C6872" s="36"/>
      <c r="D6872" s="36"/>
      <c r="E6872" s="36"/>
      <c r="F6872" s="36"/>
      <c r="G6872" s="36"/>
      <c r="H6872" s="36"/>
      <c r="I6872" s="37"/>
      <c r="J6872" s="36"/>
      <c r="K6872" s="38"/>
      <c r="L6872" s="38"/>
    </row>
    <row r="6873" spans="1:12" x14ac:dyDescent="0.25">
      <c r="A6873" s="35"/>
      <c r="B6873" s="36"/>
      <c r="C6873" s="36"/>
      <c r="D6873" s="36"/>
      <c r="E6873" s="36"/>
      <c r="F6873" s="36"/>
      <c r="G6873" s="36"/>
      <c r="H6873" s="36"/>
      <c r="I6873" s="37"/>
      <c r="J6873" s="36"/>
      <c r="K6873" s="38"/>
      <c r="L6873" s="38"/>
    </row>
    <row r="6874" spans="1:12" x14ac:dyDescent="0.25">
      <c r="A6874" s="35"/>
      <c r="B6874" s="36"/>
      <c r="C6874" s="36"/>
      <c r="D6874" s="36"/>
      <c r="E6874" s="36"/>
      <c r="F6874" s="36"/>
      <c r="G6874" s="36"/>
      <c r="H6874" s="36"/>
      <c r="I6874" s="37"/>
      <c r="J6874" s="36"/>
      <c r="K6874" s="38"/>
      <c r="L6874" s="38"/>
    </row>
    <row r="6875" spans="1:12" x14ac:dyDescent="0.25">
      <c r="A6875" s="35"/>
      <c r="B6875" s="36"/>
      <c r="C6875" s="36"/>
      <c r="D6875" s="36"/>
      <c r="E6875" s="36"/>
      <c r="F6875" s="36"/>
      <c r="G6875" s="36"/>
      <c r="H6875" s="36"/>
      <c r="I6875" s="37"/>
      <c r="J6875" s="36"/>
      <c r="K6875" s="38"/>
      <c r="L6875" s="38"/>
    </row>
    <row r="6876" spans="1:12" x14ac:dyDescent="0.25">
      <c r="A6876" s="35"/>
      <c r="B6876" s="36"/>
      <c r="C6876" s="36"/>
      <c r="D6876" s="36"/>
      <c r="E6876" s="36"/>
      <c r="F6876" s="36"/>
      <c r="G6876" s="36"/>
      <c r="H6876" s="36"/>
      <c r="I6876" s="37"/>
      <c r="J6876" s="36"/>
      <c r="K6876" s="38"/>
      <c r="L6876" s="38"/>
    </row>
    <row r="6877" spans="1:12" x14ac:dyDescent="0.25">
      <c r="A6877" s="35"/>
      <c r="B6877" s="36"/>
      <c r="C6877" s="36"/>
      <c r="D6877" s="36"/>
      <c r="E6877" s="36"/>
      <c r="F6877" s="36"/>
      <c r="G6877" s="36"/>
      <c r="H6877" s="36"/>
      <c r="I6877" s="37"/>
      <c r="J6877" s="36"/>
      <c r="K6877" s="38"/>
      <c r="L6877" s="38"/>
    </row>
    <row r="6878" spans="1:12" x14ac:dyDescent="0.25">
      <c r="A6878" s="35"/>
      <c r="B6878" s="36"/>
      <c r="C6878" s="36"/>
      <c r="D6878" s="36"/>
      <c r="E6878" s="36"/>
      <c r="F6878" s="36"/>
      <c r="G6878" s="36"/>
      <c r="H6878" s="36"/>
      <c r="I6878" s="37"/>
      <c r="J6878" s="36"/>
      <c r="K6878" s="38"/>
      <c r="L6878" s="38"/>
    </row>
    <row r="6879" spans="1:12" x14ac:dyDescent="0.25">
      <c r="A6879" s="35"/>
      <c r="B6879" s="36"/>
      <c r="C6879" s="36"/>
      <c r="D6879" s="36"/>
      <c r="E6879" s="36"/>
      <c r="F6879" s="36"/>
      <c r="G6879" s="36"/>
      <c r="H6879" s="36"/>
      <c r="I6879" s="37"/>
      <c r="J6879" s="36"/>
      <c r="K6879" s="38"/>
      <c r="L6879" s="38"/>
    </row>
    <row r="6880" spans="1:12" x14ac:dyDescent="0.25">
      <c r="A6880" s="35"/>
      <c r="B6880" s="36"/>
      <c r="C6880" s="36"/>
      <c r="D6880" s="36"/>
      <c r="E6880" s="36"/>
      <c r="F6880" s="36"/>
      <c r="G6880" s="36"/>
      <c r="H6880" s="36"/>
      <c r="I6880" s="37"/>
      <c r="J6880" s="36"/>
      <c r="K6880" s="38"/>
      <c r="L6880" s="38"/>
    </row>
    <row r="6881" spans="1:12" x14ac:dyDescent="0.25">
      <c r="A6881" s="35"/>
      <c r="B6881" s="36"/>
      <c r="C6881" s="36"/>
      <c r="D6881" s="36"/>
      <c r="E6881" s="36"/>
      <c r="F6881" s="36"/>
      <c r="G6881" s="36"/>
      <c r="H6881" s="36"/>
      <c r="I6881" s="37"/>
      <c r="J6881" s="36"/>
      <c r="K6881" s="38"/>
      <c r="L6881" s="38"/>
    </row>
    <row r="6882" spans="1:12" x14ac:dyDescent="0.25">
      <c r="A6882" s="35"/>
      <c r="B6882" s="36"/>
      <c r="C6882" s="36"/>
      <c r="D6882" s="36"/>
      <c r="E6882" s="36"/>
      <c r="F6882" s="36"/>
      <c r="G6882" s="36"/>
      <c r="H6882" s="36"/>
      <c r="I6882" s="37"/>
      <c r="J6882" s="36"/>
      <c r="K6882" s="38"/>
      <c r="L6882" s="38"/>
    </row>
    <row r="6883" spans="1:12" x14ac:dyDescent="0.25">
      <c r="A6883" s="35"/>
      <c r="B6883" s="36"/>
      <c r="C6883" s="36"/>
      <c r="D6883" s="36"/>
      <c r="E6883" s="36"/>
      <c r="F6883" s="36"/>
      <c r="G6883" s="36"/>
      <c r="H6883" s="36"/>
      <c r="I6883" s="37"/>
      <c r="J6883" s="36"/>
      <c r="K6883" s="38"/>
      <c r="L6883" s="38"/>
    </row>
    <row r="6884" spans="1:12" x14ac:dyDescent="0.25">
      <c r="A6884" s="35"/>
      <c r="B6884" s="36"/>
      <c r="C6884" s="36"/>
      <c r="D6884" s="36"/>
      <c r="E6884" s="36"/>
      <c r="F6884" s="36"/>
      <c r="G6884" s="36"/>
      <c r="H6884" s="36"/>
      <c r="I6884" s="37"/>
      <c r="J6884" s="36"/>
      <c r="K6884" s="38"/>
      <c r="L6884" s="38"/>
    </row>
    <row r="6885" spans="1:12" x14ac:dyDescent="0.25">
      <c r="A6885" s="35"/>
      <c r="B6885" s="36"/>
      <c r="C6885" s="36"/>
      <c r="D6885" s="36"/>
      <c r="E6885" s="36"/>
      <c r="F6885" s="36"/>
      <c r="G6885" s="36"/>
      <c r="H6885" s="36"/>
      <c r="I6885" s="37"/>
      <c r="J6885" s="36"/>
      <c r="K6885" s="38"/>
      <c r="L6885" s="38"/>
    </row>
    <row r="6886" spans="1:12" x14ac:dyDescent="0.25">
      <c r="A6886" s="35"/>
      <c r="B6886" s="36"/>
      <c r="C6886" s="36"/>
      <c r="D6886" s="36"/>
      <c r="E6886" s="36"/>
      <c r="F6886" s="36"/>
      <c r="G6886" s="36"/>
      <c r="H6886" s="36"/>
      <c r="I6886" s="37"/>
      <c r="J6886" s="36"/>
      <c r="K6886" s="38"/>
      <c r="L6886" s="38"/>
    </row>
    <row r="6887" spans="1:12" x14ac:dyDescent="0.25">
      <c r="A6887" s="35"/>
      <c r="B6887" s="36"/>
      <c r="C6887" s="36"/>
      <c r="D6887" s="36"/>
      <c r="E6887" s="36"/>
      <c r="F6887" s="36"/>
      <c r="G6887" s="36"/>
      <c r="H6887" s="36"/>
      <c r="I6887" s="37"/>
      <c r="J6887" s="36"/>
      <c r="K6887" s="38"/>
      <c r="L6887" s="38"/>
    </row>
    <row r="6888" spans="1:12" x14ac:dyDescent="0.25">
      <c r="A6888" s="35"/>
      <c r="B6888" s="36"/>
      <c r="C6888" s="36"/>
      <c r="D6888" s="36"/>
      <c r="E6888" s="36"/>
      <c r="F6888" s="36"/>
      <c r="G6888" s="36"/>
      <c r="H6888" s="36"/>
      <c r="I6888" s="37"/>
      <c r="J6888" s="36"/>
      <c r="K6888" s="38"/>
      <c r="L6888" s="38"/>
    </row>
    <row r="6889" spans="1:12" x14ac:dyDescent="0.25">
      <c r="A6889" s="35"/>
      <c r="B6889" s="36"/>
      <c r="C6889" s="36"/>
      <c r="D6889" s="36"/>
      <c r="E6889" s="36"/>
      <c r="F6889" s="36"/>
      <c r="G6889" s="36"/>
      <c r="H6889" s="36"/>
      <c r="I6889" s="37"/>
      <c r="J6889" s="36"/>
      <c r="K6889" s="38"/>
      <c r="L6889" s="38"/>
    </row>
    <row r="6890" spans="1:12" x14ac:dyDescent="0.25">
      <c r="A6890" s="35"/>
      <c r="B6890" s="36"/>
      <c r="C6890" s="36"/>
      <c r="D6890" s="36"/>
      <c r="E6890" s="36"/>
      <c r="F6890" s="36"/>
      <c r="G6890" s="36"/>
      <c r="H6890" s="36"/>
      <c r="I6890" s="37"/>
      <c r="J6890" s="36"/>
      <c r="K6890" s="38"/>
      <c r="L6890" s="38"/>
    </row>
    <row r="6891" spans="1:12" x14ac:dyDescent="0.25">
      <c r="A6891" s="35"/>
      <c r="B6891" s="36"/>
      <c r="C6891" s="36"/>
      <c r="D6891" s="36"/>
      <c r="E6891" s="36"/>
      <c r="F6891" s="36"/>
      <c r="G6891" s="36"/>
      <c r="H6891" s="36"/>
      <c r="I6891" s="37"/>
      <c r="J6891" s="36"/>
      <c r="K6891" s="38"/>
      <c r="L6891" s="38"/>
    </row>
    <row r="6892" spans="1:12" x14ac:dyDescent="0.25">
      <c r="A6892" s="35"/>
      <c r="B6892" s="36"/>
      <c r="C6892" s="36"/>
      <c r="D6892" s="36"/>
      <c r="E6892" s="36"/>
      <c r="F6892" s="36"/>
      <c r="G6892" s="36"/>
      <c r="H6892" s="36"/>
      <c r="I6892" s="37"/>
      <c r="J6892" s="36"/>
      <c r="K6892" s="38"/>
      <c r="L6892" s="38"/>
    </row>
    <row r="6893" spans="1:12" x14ac:dyDescent="0.25">
      <c r="A6893" s="35"/>
      <c r="B6893" s="36"/>
      <c r="C6893" s="36"/>
      <c r="D6893" s="36"/>
      <c r="E6893" s="36"/>
      <c r="F6893" s="36"/>
      <c r="G6893" s="36"/>
      <c r="H6893" s="36"/>
      <c r="I6893" s="37"/>
      <c r="J6893" s="36"/>
      <c r="K6893" s="38"/>
      <c r="L6893" s="38"/>
    </row>
    <row r="6894" spans="1:12" x14ac:dyDescent="0.25">
      <c r="A6894" s="35"/>
      <c r="B6894" s="36"/>
      <c r="C6894" s="36"/>
      <c r="D6894" s="36"/>
      <c r="E6894" s="36"/>
      <c r="F6894" s="36"/>
      <c r="G6894" s="36"/>
      <c r="H6894" s="36"/>
      <c r="I6894" s="37"/>
      <c r="J6894" s="36"/>
      <c r="K6894" s="38"/>
      <c r="L6894" s="38"/>
    </row>
    <row r="6895" spans="1:12" x14ac:dyDescent="0.25">
      <c r="A6895" s="35"/>
      <c r="B6895" s="36"/>
      <c r="C6895" s="36"/>
      <c r="D6895" s="36"/>
      <c r="E6895" s="36"/>
      <c r="F6895" s="36"/>
      <c r="G6895" s="36"/>
      <c r="H6895" s="36"/>
      <c r="I6895" s="37"/>
      <c r="J6895" s="36"/>
      <c r="K6895" s="38"/>
      <c r="L6895" s="38"/>
    </row>
    <row r="6896" spans="1:12" x14ac:dyDescent="0.25">
      <c r="A6896" s="35"/>
      <c r="B6896" s="36"/>
      <c r="C6896" s="36"/>
      <c r="D6896" s="36"/>
      <c r="E6896" s="36"/>
      <c r="F6896" s="36"/>
      <c r="G6896" s="36"/>
      <c r="H6896" s="36"/>
      <c r="I6896" s="37"/>
      <c r="J6896" s="36"/>
      <c r="K6896" s="38"/>
      <c r="L6896" s="38"/>
    </row>
    <row r="6897" spans="1:12" x14ac:dyDescent="0.25">
      <c r="A6897" s="35"/>
      <c r="B6897" s="36"/>
      <c r="C6897" s="36"/>
      <c r="D6897" s="36"/>
      <c r="E6897" s="36"/>
      <c r="F6897" s="36"/>
      <c r="G6897" s="36"/>
      <c r="H6897" s="36"/>
      <c r="I6897" s="37"/>
      <c r="J6897" s="36"/>
      <c r="K6897" s="38"/>
      <c r="L6897" s="38"/>
    </row>
    <row r="6898" spans="1:12" x14ac:dyDescent="0.25">
      <c r="A6898" s="35"/>
      <c r="B6898" s="36"/>
      <c r="C6898" s="36"/>
      <c r="D6898" s="36"/>
      <c r="E6898" s="36"/>
      <c r="F6898" s="36"/>
      <c r="G6898" s="36"/>
      <c r="H6898" s="36"/>
      <c r="I6898" s="37"/>
      <c r="J6898" s="36"/>
      <c r="K6898" s="38"/>
      <c r="L6898" s="38"/>
    </row>
    <row r="6899" spans="1:12" x14ac:dyDescent="0.25">
      <c r="A6899" s="35"/>
      <c r="B6899" s="36"/>
      <c r="C6899" s="36"/>
      <c r="D6899" s="36"/>
      <c r="E6899" s="36"/>
      <c r="F6899" s="36"/>
      <c r="G6899" s="36"/>
      <c r="H6899" s="36"/>
      <c r="I6899" s="37"/>
      <c r="J6899" s="36"/>
      <c r="K6899" s="38"/>
      <c r="L6899" s="38"/>
    </row>
    <row r="6900" spans="1:12" x14ac:dyDescent="0.25">
      <c r="A6900" s="35"/>
      <c r="B6900" s="36"/>
      <c r="C6900" s="36"/>
      <c r="D6900" s="36"/>
      <c r="E6900" s="36"/>
      <c r="F6900" s="36"/>
      <c r="G6900" s="36"/>
      <c r="H6900" s="36"/>
      <c r="I6900" s="37"/>
      <c r="J6900" s="36"/>
      <c r="K6900" s="38"/>
      <c r="L6900" s="38"/>
    </row>
    <row r="6901" spans="1:12" x14ac:dyDescent="0.25">
      <c r="A6901" s="35"/>
      <c r="B6901" s="36"/>
      <c r="C6901" s="36"/>
      <c r="D6901" s="36"/>
      <c r="E6901" s="36"/>
      <c r="F6901" s="36"/>
      <c r="G6901" s="36"/>
      <c r="H6901" s="36"/>
      <c r="I6901" s="37"/>
      <c r="J6901" s="36"/>
      <c r="K6901" s="38"/>
      <c r="L6901" s="38"/>
    </row>
    <row r="6902" spans="1:12" x14ac:dyDescent="0.25">
      <c r="A6902" s="35"/>
      <c r="B6902" s="36"/>
      <c r="C6902" s="36"/>
      <c r="D6902" s="36"/>
      <c r="E6902" s="36"/>
      <c r="F6902" s="36"/>
      <c r="G6902" s="36"/>
      <c r="H6902" s="36"/>
      <c r="I6902" s="37"/>
      <c r="J6902" s="36"/>
      <c r="K6902" s="38"/>
      <c r="L6902" s="38"/>
    </row>
    <row r="6903" spans="1:12" x14ac:dyDescent="0.25">
      <c r="A6903" s="35"/>
      <c r="B6903" s="36"/>
      <c r="C6903" s="36"/>
      <c r="D6903" s="36"/>
      <c r="E6903" s="36"/>
      <c r="F6903" s="36"/>
      <c r="G6903" s="36"/>
      <c r="H6903" s="36"/>
      <c r="I6903" s="37"/>
      <c r="J6903" s="36"/>
      <c r="K6903" s="38"/>
      <c r="L6903" s="38"/>
    </row>
    <row r="6904" spans="1:12" x14ac:dyDescent="0.25">
      <c r="A6904" s="35"/>
      <c r="B6904" s="36"/>
      <c r="C6904" s="36"/>
      <c r="D6904" s="36"/>
      <c r="E6904" s="36"/>
      <c r="F6904" s="36"/>
      <c r="G6904" s="36"/>
      <c r="H6904" s="36"/>
      <c r="I6904" s="37"/>
      <c r="J6904" s="36"/>
      <c r="K6904" s="38"/>
      <c r="L6904" s="38"/>
    </row>
    <row r="6905" spans="1:12" x14ac:dyDescent="0.25">
      <c r="A6905" s="35"/>
      <c r="B6905" s="36"/>
      <c r="C6905" s="36"/>
      <c r="D6905" s="36"/>
      <c r="E6905" s="36"/>
      <c r="F6905" s="36"/>
      <c r="G6905" s="36"/>
      <c r="H6905" s="36"/>
      <c r="I6905" s="37"/>
      <c r="J6905" s="36"/>
      <c r="K6905" s="38"/>
      <c r="L6905" s="38"/>
    </row>
    <row r="6906" spans="1:12" x14ac:dyDescent="0.25">
      <c r="A6906" s="35"/>
      <c r="B6906" s="36"/>
      <c r="C6906" s="36"/>
      <c r="D6906" s="36"/>
      <c r="E6906" s="36"/>
      <c r="F6906" s="36"/>
      <c r="G6906" s="36"/>
      <c r="H6906" s="36"/>
      <c r="I6906" s="37"/>
      <c r="J6906" s="36"/>
      <c r="K6906" s="38"/>
      <c r="L6906" s="38"/>
    </row>
    <row r="6907" spans="1:12" x14ac:dyDescent="0.25">
      <c r="A6907" s="35"/>
      <c r="B6907" s="36"/>
      <c r="C6907" s="36"/>
      <c r="D6907" s="36"/>
      <c r="E6907" s="36"/>
      <c r="F6907" s="36"/>
      <c r="G6907" s="36"/>
      <c r="H6907" s="36"/>
      <c r="I6907" s="37"/>
      <c r="J6907" s="36"/>
      <c r="K6907" s="38"/>
      <c r="L6907" s="38"/>
    </row>
    <row r="6908" spans="1:12" x14ac:dyDescent="0.25">
      <c r="A6908" s="35"/>
      <c r="B6908" s="36"/>
      <c r="C6908" s="36"/>
      <c r="D6908" s="36"/>
      <c r="E6908" s="36"/>
      <c r="F6908" s="36"/>
      <c r="G6908" s="36"/>
      <c r="H6908" s="36"/>
      <c r="I6908" s="37"/>
      <c r="J6908" s="36"/>
      <c r="K6908" s="38"/>
      <c r="L6908" s="38"/>
    </row>
    <row r="6909" spans="1:12" x14ac:dyDescent="0.25">
      <c r="A6909" s="35"/>
      <c r="B6909" s="36"/>
      <c r="C6909" s="36"/>
      <c r="D6909" s="36"/>
      <c r="E6909" s="36"/>
      <c r="F6909" s="36"/>
      <c r="G6909" s="36"/>
      <c r="H6909" s="36"/>
      <c r="I6909" s="37"/>
      <c r="J6909" s="36"/>
      <c r="K6909" s="38"/>
      <c r="L6909" s="38"/>
    </row>
    <row r="6910" spans="1:12" x14ac:dyDescent="0.25">
      <c r="A6910" s="35"/>
      <c r="B6910" s="36"/>
      <c r="C6910" s="36"/>
      <c r="D6910" s="36"/>
      <c r="E6910" s="36"/>
      <c r="F6910" s="36"/>
      <c r="G6910" s="36"/>
      <c r="H6910" s="36"/>
      <c r="I6910" s="37"/>
      <c r="J6910" s="36"/>
      <c r="K6910" s="38"/>
      <c r="L6910" s="38"/>
    </row>
    <row r="6911" spans="1:12" x14ac:dyDescent="0.25">
      <c r="A6911" s="35"/>
      <c r="B6911" s="36"/>
      <c r="C6911" s="36"/>
      <c r="D6911" s="36"/>
      <c r="E6911" s="36"/>
      <c r="F6911" s="36"/>
      <c r="G6911" s="36"/>
      <c r="H6911" s="36"/>
      <c r="I6911" s="37"/>
      <c r="J6911" s="36"/>
      <c r="K6911" s="38"/>
      <c r="L6911" s="38"/>
    </row>
    <row r="6912" spans="1:12" x14ac:dyDescent="0.25">
      <c r="A6912" s="35"/>
      <c r="B6912" s="36"/>
      <c r="C6912" s="36"/>
      <c r="D6912" s="36"/>
      <c r="E6912" s="36"/>
      <c r="F6912" s="36"/>
      <c r="G6912" s="36"/>
      <c r="H6912" s="36"/>
      <c r="I6912" s="37"/>
      <c r="J6912" s="36"/>
      <c r="K6912" s="38"/>
      <c r="L6912" s="38"/>
    </row>
    <row r="6913" spans="1:12" x14ac:dyDescent="0.25">
      <c r="A6913" s="35"/>
      <c r="B6913" s="36"/>
      <c r="C6913" s="36"/>
      <c r="D6913" s="36"/>
      <c r="E6913" s="36"/>
      <c r="F6913" s="36"/>
      <c r="G6913" s="36"/>
      <c r="H6913" s="36"/>
      <c r="I6913" s="37"/>
      <c r="J6913" s="36"/>
      <c r="K6913" s="38"/>
      <c r="L6913" s="38"/>
    </row>
    <row r="6914" spans="1:12" x14ac:dyDescent="0.25">
      <c r="A6914" s="35"/>
      <c r="B6914" s="36"/>
      <c r="C6914" s="36"/>
      <c r="D6914" s="36"/>
      <c r="E6914" s="36"/>
      <c r="F6914" s="36"/>
      <c r="G6914" s="36"/>
      <c r="H6914" s="36"/>
      <c r="I6914" s="37"/>
      <c r="J6914" s="36"/>
      <c r="K6914" s="38"/>
      <c r="L6914" s="38"/>
    </row>
    <row r="6915" spans="1:12" x14ac:dyDescent="0.25">
      <c r="A6915" s="35"/>
      <c r="B6915" s="36"/>
      <c r="C6915" s="36"/>
      <c r="D6915" s="36"/>
      <c r="E6915" s="36"/>
      <c r="F6915" s="36"/>
      <c r="G6915" s="36"/>
      <c r="H6915" s="36"/>
      <c r="I6915" s="37"/>
      <c r="J6915" s="36"/>
      <c r="K6915" s="38"/>
      <c r="L6915" s="38"/>
    </row>
    <row r="6916" spans="1:12" x14ac:dyDescent="0.25">
      <c r="A6916" s="35"/>
      <c r="B6916" s="36"/>
      <c r="C6916" s="36"/>
      <c r="D6916" s="36"/>
      <c r="E6916" s="36"/>
      <c r="F6916" s="36"/>
      <c r="G6916" s="36"/>
      <c r="H6916" s="36"/>
      <c r="I6916" s="37"/>
      <c r="J6916" s="36"/>
      <c r="K6916" s="38"/>
      <c r="L6916" s="38"/>
    </row>
    <row r="6917" spans="1:12" x14ac:dyDescent="0.25">
      <c r="A6917" s="35"/>
      <c r="B6917" s="36"/>
      <c r="C6917" s="36"/>
      <c r="D6917" s="36"/>
      <c r="E6917" s="36"/>
      <c r="F6917" s="36"/>
      <c r="G6917" s="36"/>
      <c r="H6917" s="36"/>
      <c r="I6917" s="37"/>
      <c r="J6917" s="36"/>
      <c r="K6917" s="38"/>
      <c r="L6917" s="38"/>
    </row>
    <row r="6918" spans="1:12" x14ac:dyDescent="0.25">
      <c r="A6918" s="35"/>
      <c r="B6918" s="36"/>
      <c r="C6918" s="36"/>
      <c r="D6918" s="36"/>
      <c r="E6918" s="36"/>
      <c r="F6918" s="36"/>
      <c r="G6918" s="36"/>
      <c r="H6918" s="36"/>
      <c r="I6918" s="37"/>
      <c r="J6918" s="36"/>
      <c r="K6918" s="38"/>
      <c r="L6918" s="38"/>
    </row>
    <row r="6919" spans="1:12" x14ac:dyDescent="0.25">
      <c r="A6919" s="35"/>
      <c r="B6919" s="36"/>
      <c r="C6919" s="36"/>
      <c r="D6919" s="36"/>
      <c r="E6919" s="36"/>
      <c r="F6919" s="36"/>
      <c r="G6919" s="36"/>
      <c r="H6919" s="36"/>
      <c r="I6919" s="37"/>
      <c r="J6919" s="36"/>
      <c r="K6919" s="38"/>
      <c r="L6919" s="38"/>
    </row>
    <row r="6920" spans="1:12" x14ac:dyDescent="0.25">
      <c r="A6920" s="35"/>
      <c r="B6920" s="36"/>
      <c r="C6920" s="36"/>
      <c r="D6920" s="36"/>
      <c r="E6920" s="36"/>
      <c r="F6920" s="36"/>
      <c r="G6920" s="36"/>
      <c r="H6920" s="36"/>
      <c r="I6920" s="37"/>
      <c r="J6920" s="36"/>
      <c r="K6920" s="38"/>
      <c r="L6920" s="38"/>
    </row>
    <row r="6921" spans="1:12" x14ac:dyDescent="0.25">
      <c r="A6921" s="35"/>
      <c r="B6921" s="36"/>
      <c r="C6921" s="36"/>
      <c r="D6921" s="36"/>
      <c r="E6921" s="36"/>
      <c r="F6921" s="36"/>
      <c r="G6921" s="36"/>
      <c r="H6921" s="36"/>
      <c r="I6921" s="37"/>
      <c r="J6921" s="36"/>
      <c r="K6921" s="38"/>
      <c r="L6921" s="38"/>
    </row>
    <row r="6922" spans="1:12" x14ac:dyDescent="0.25">
      <c r="A6922" s="35"/>
      <c r="B6922" s="36"/>
      <c r="C6922" s="36"/>
      <c r="D6922" s="36"/>
      <c r="E6922" s="36"/>
      <c r="F6922" s="36"/>
      <c r="G6922" s="36"/>
      <c r="H6922" s="36"/>
      <c r="I6922" s="37"/>
      <c r="J6922" s="36"/>
      <c r="K6922" s="38"/>
      <c r="L6922" s="38"/>
    </row>
    <row r="6923" spans="1:12" x14ac:dyDescent="0.25">
      <c r="A6923" s="35"/>
      <c r="B6923" s="36"/>
      <c r="C6923" s="36"/>
      <c r="D6923" s="36"/>
      <c r="E6923" s="36"/>
      <c r="F6923" s="36"/>
      <c r="G6923" s="36"/>
      <c r="H6923" s="36"/>
      <c r="I6923" s="37"/>
      <c r="J6923" s="36"/>
      <c r="K6923" s="38"/>
      <c r="L6923" s="38"/>
    </row>
    <row r="6924" spans="1:12" x14ac:dyDescent="0.25">
      <c r="A6924" s="35"/>
      <c r="B6924" s="36"/>
      <c r="C6924" s="36"/>
      <c r="D6924" s="36"/>
      <c r="E6924" s="36"/>
      <c r="F6924" s="36"/>
      <c r="G6924" s="36"/>
      <c r="H6924" s="36"/>
      <c r="I6924" s="37"/>
      <c r="J6924" s="36"/>
      <c r="K6924" s="38"/>
      <c r="L6924" s="38"/>
    </row>
    <row r="6925" spans="1:12" x14ac:dyDescent="0.25">
      <c r="A6925" s="35"/>
      <c r="B6925" s="36"/>
      <c r="C6925" s="36"/>
      <c r="D6925" s="36"/>
      <c r="E6925" s="36"/>
      <c r="F6925" s="36"/>
      <c r="G6925" s="36"/>
      <c r="H6925" s="36"/>
      <c r="I6925" s="37"/>
      <c r="J6925" s="36"/>
      <c r="K6925" s="38"/>
      <c r="L6925" s="38"/>
    </row>
    <row r="6926" spans="1:12" x14ac:dyDescent="0.25">
      <c r="A6926" s="35"/>
      <c r="B6926" s="36"/>
      <c r="C6926" s="36"/>
      <c r="D6926" s="36"/>
      <c r="E6926" s="36"/>
      <c r="F6926" s="36"/>
      <c r="G6926" s="36"/>
      <c r="H6926" s="36"/>
      <c r="I6926" s="37"/>
      <c r="J6926" s="36"/>
      <c r="K6926" s="38"/>
      <c r="L6926" s="38"/>
    </row>
    <row r="6927" spans="1:12" x14ac:dyDescent="0.25">
      <c r="A6927" s="35"/>
      <c r="B6927" s="36"/>
      <c r="C6927" s="36"/>
      <c r="D6927" s="36"/>
      <c r="E6927" s="36"/>
      <c r="F6927" s="36"/>
      <c r="G6927" s="36"/>
      <c r="H6927" s="36"/>
      <c r="I6927" s="37"/>
      <c r="J6927" s="36"/>
      <c r="K6927" s="38"/>
      <c r="L6927" s="38"/>
    </row>
    <row r="6928" spans="1:12" x14ac:dyDescent="0.25">
      <c r="A6928" s="35"/>
      <c r="B6928" s="36"/>
      <c r="C6928" s="36"/>
      <c r="D6928" s="36"/>
      <c r="E6928" s="36"/>
      <c r="F6928" s="36"/>
      <c r="G6928" s="36"/>
      <c r="H6928" s="36"/>
      <c r="I6928" s="37"/>
      <c r="J6928" s="36"/>
      <c r="K6928" s="38"/>
      <c r="L6928" s="38"/>
    </row>
    <row r="6929" spans="1:12" x14ac:dyDescent="0.25">
      <c r="A6929" s="35"/>
      <c r="B6929" s="36"/>
      <c r="C6929" s="36"/>
      <c r="D6929" s="36"/>
      <c r="E6929" s="36"/>
      <c r="F6929" s="36"/>
      <c r="G6929" s="36"/>
      <c r="H6929" s="36"/>
      <c r="I6929" s="37"/>
      <c r="J6929" s="36"/>
      <c r="K6929" s="38"/>
      <c r="L6929" s="38"/>
    </row>
    <row r="6930" spans="1:12" x14ac:dyDescent="0.25">
      <c r="A6930" s="35"/>
      <c r="B6930" s="36"/>
      <c r="C6930" s="36"/>
      <c r="D6930" s="36"/>
      <c r="E6930" s="36"/>
      <c r="F6930" s="36"/>
      <c r="G6930" s="36"/>
      <c r="H6930" s="36"/>
      <c r="I6930" s="37"/>
      <c r="J6930" s="36"/>
      <c r="K6930" s="38"/>
      <c r="L6930" s="38"/>
    </row>
    <row r="6931" spans="1:12" x14ac:dyDescent="0.25">
      <c r="A6931" s="35"/>
      <c r="B6931" s="36"/>
      <c r="C6931" s="36"/>
      <c r="D6931" s="36"/>
      <c r="E6931" s="36"/>
      <c r="F6931" s="36"/>
      <c r="G6931" s="36"/>
      <c r="H6931" s="36"/>
      <c r="I6931" s="37"/>
      <c r="J6931" s="36"/>
      <c r="K6931" s="38"/>
      <c r="L6931" s="38"/>
    </row>
    <row r="6932" spans="1:12" x14ac:dyDescent="0.25">
      <c r="A6932" s="35"/>
      <c r="B6932" s="36"/>
      <c r="C6932" s="36"/>
      <c r="D6932" s="36"/>
      <c r="E6932" s="36"/>
      <c r="F6932" s="36"/>
      <c r="G6932" s="36"/>
      <c r="H6932" s="36"/>
      <c r="I6932" s="37"/>
      <c r="J6932" s="36"/>
      <c r="K6932" s="38"/>
      <c r="L6932" s="38"/>
    </row>
    <row r="6933" spans="1:12" x14ac:dyDescent="0.25">
      <c r="A6933" s="35"/>
      <c r="B6933" s="36"/>
      <c r="C6933" s="36"/>
      <c r="D6933" s="36"/>
      <c r="E6933" s="36"/>
      <c r="F6933" s="36"/>
      <c r="G6933" s="36"/>
      <c r="H6933" s="36"/>
      <c r="I6933" s="37"/>
      <c r="J6933" s="36"/>
      <c r="K6933" s="38"/>
      <c r="L6933" s="38"/>
    </row>
    <row r="6934" spans="1:12" x14ac:dyDescent="0.25">
      <c r="A6934" s="35"/>
      <c r="B6934" s="36"/>
      <c r="C6934" s="36"/>
      <c r="D6934" s="36"/>
      <c r="E6934" s="36"/>
      <c r="F6934" s="36"/>
      <c r="G6934" s="36"/>
      <c r="H6934" s="36"/>
      <c r="I6934" s="37"/>
      <c r="J6934" s="36"/>
      <c r="K6934" s="38"/>
      <c r="L6934" s="38"/>
    </row>
    <row r="6935" spans="1:12" x14ac:dyDescent="0.25">
      <c r="A6935" s="35"/>
      <c r="B6935" s="36"/>
      <c r="C6935" s="36"/>
      <c r="D6935" s="36"/>
      <c r="E6935" s="36"/>
      <c r="F6935" s="36"/>
      <c r="G6935" s="36"/>
      <c r="H6935" s="36"/>
      <c r="I6935" s="37"/>
      <c r="J6935" s="36"/>
      <c r="K6935" s="38"/>
      <c r="L6935" s="38"/>
    </row>
    <row r="6936" spans="1:12" x14ac:dyDescent="0.25">
      <c r="A6936" s="35"/>
      <c r="B6936" s="36"/>
      <c r="C6936" s="36"/>
      <c r="D6936" s="36"/>
      <c r="E6936" s="36"/>
      <c r="F6936" s="36"/>
      <c r="G6936" s="36"/>
      <c r="H6936" s="36"/>
      <c r="I6936" s="37"/>
      <c r="J6936" s="36"/>
      <c r="K6936" s="38"/>
      <c r="L6936" s="38"/>
    </row>
    <row r="6937" spans="1:12" x14ac:dyDescent="0.25">
      <c r="A6937" s="35"/>
      <c r="B6937" s="36"/>
      <c r="C6937" s="36"/>
      <c r="D6937" s="36"/>
      <c r="E6937" s="36"/>
      <c r="F6937" s="36"/>
      <c r="G6937" s="36"/>
      <c r="H6937" s="36"/>
      <c r="I6937" s="37"/>
      <c r="J6937" s="36"/>
      <c r="K6937" s="38"/>
      <c r="L6937" s="38"/>
    </row>
    <row r="6938" spans="1:12" x14ac:dyDescent="0.25">
      <c r="A6938" s="35"/>
      <c r="B6938" s="36"/>
      <c r="C6938" s="36"/>
      <c r="D6938" s="36"/>
      <c r="E6938" s="36"/>
      <c r="F6938" s="36"/>
      <c r="G6938" s="36"/>
      <c r="H6938" s="36"/>
      <c r="I6938" s="37"/>
      <c r="J6938" s="36"/>
      <c r="K6938" s="38"/>
      <c r="L6938" s="38"/>
    </row>
    <row r="6939" spans="1:12" x14ac:dyDescent="0.25">
      <c r="A6939" s="35"/>
      <c r="B6939" s="36"/>
      <c r="C6939" s="36"/>
      <c r="D6939" s="36"/>
      <c r="E6939" s="36"/>
      <c r="F6939" s="36"/>
      <c r="G6939" s="36"/>
      <c r="H6939" s="36"/>
      <c r="I6939" s="37"/>
      <c r="J6939" s="36"/>
      <c r="K6939" s="38"/>
      <c r="L6939" s="38"/>
    </row>
    <row r="6940" spans="1:12" x14ac:dyDescent="0.25">
      <c r="A6940" s="35"/>
      <c r="B6940" s="36"/>
      <c r="C6940" s="36"/>
      <c r="D6940" s="36"/>
      <c r="E6940" s="36"/>
      <c r="F6940" s="36"/>
      <c r="G6940" s="36"/>
      <c r="H6940" s="36"/>
      <c r="I6940" s="37"/>
      <c r="J6940" s="36"/>
      <c r="K6940" s="38"/>
      <c r="L6940" s="38"/>
    </row>
    <row r="6941" spans="1:12" x14ac:dyDescent="0.25">
      <c r="A6941" s="35"/>
      <c r="B6941" s="36"/>
      <c r="C6941" s="36"/>
      <c r="D6941" s="36"/>
      <c r="E6941" s="36"/>
      <c r="F6941" s="36"/>
      <c r="G6941" s="36"/>
      <c r="H6941" s="36"/>
      <c r="I6941" s="37"/>
      <c r="J6941" s="36"/>
      <c r="K6941" s="38"/>
      <c r="L6941" s="38"/>
    </row>
    <row r="6942" spans="1:12" x14ac:dyDescent="0.25">
      <c r="A6942" s="35"/>
      <c r="B6942" s="36"/>
      <c r="C6942" s="36"/>
      <c r="D6942" s="36"/>
      <c r="E6942" s="36"/>
      <c r="F6942" s="36"/>
      <c r="G6942" s="36"/>
      <c r="H6942" s="36"/>
      <c r="I6942" s="37"/>
      <c r="J6942" s="36"/>
      <c r="K6942" s="38"/>
      <c r="L6942" s="38"/>
    </row>
    <row r="6943" spans="1:12" x14ac:dyDescent="0.25">
      <c r="A6943" s="35"/>
      <c r="B6943" s="36"/>
      <c r="C6943" s="36"/>
      <c r="D6943" s="36"/>
      <c r="E6943" s="36"/>
      <c r="F6943" s="36"/>
      <c r="G6943" s="36"/>
      <c r="H6943" s="36"/>
      <c r="I6943" s="37"/>
      <c r="J6943" s="36"/>
      <c r="K6943" s="38"/>
      <c r="L6943" s="38"/>
    </row>
    <row r="6944" spans="1:12" x14ac:dyDescent="0.25">
      <c r="A6944" s="35"/>
      <c r="B6944" s="36"/>
      <c r="C6944" s="36"/>
      <c r="D6944" s="36"/>
      <c r="E6944" s="36"/>
      <c r="F6944" s="36"/>
      <c r="G6944" s="36"/>
      <c r="H6944" s="36"/>
      <c r="I6944" s="37"/>
      <c r="J6944" s="36"/>
      <c r="K6944" s="38"/>
      <c r="L6944" s="38"/>
    </row>
    <row r="6945" spans="1:12" x14ac:dyDescent="0.25">
      <c r="A6945" s="35"/>
      <c r="B6945" s="36"/>
      <c r="C6945" s="36"/>
      <c r="D6945" s="36"/>
      <c r="E6945" s="36"/>
      <c r="F6945" s="36"/>
      <c r="G6945" s="36"/>
      <c r="H6945" s="36"/>
      <c r="I6945" s="37"/>
      <c r="J6945" s="36"/>
      <c r="K6945" s="38"/>
      <c r="L6945" s="38"/>
    </row>
    <row r="6946" spans="1:12" x14ac:dyDescent="0.25">
      <c r="A6946" s="35"/>
      <c r="B6946" s="36"/>
      <c r="C6946" s="36"/>
      <c r="D6946" s="36"/>
      <c r="E6946" s="36"/>
      <c r="F6946" s="36"/>
      <c r="G6946" s="36"/>
      <c r="H6946" s="36"/>
      <c r="I6946" s="37"/>
      <c r="J6946" s="36"/>
      <c r="K6946" s="38"/>
      <c r="L6946" s="38"/>
    </row>
    <row r="6947" spans="1:12" x14ac:dyDescent="0.25">
      <c r="A6947" s="35"/>
      <c r="B6947" s="36"/>
      <c r="C6947" s="36"/>
      <c r="D6947" s="36"/>
      <c r="E6947" s="36"/>
      <c r="F6947" s="36"/>
      <c r="G6947" s="36"/>
      <c r="H6947" s="36"/>
      <c r="I6947" s="37"/>
      <c r="J6947" s="36"/>
      <c r="K6947" s="38"/>
      <c r="L6947" s="38"/>
    </row>
    <row r="6948" spans="1:12" x14ac:dyDescent="0.25">
      <c r="A6948" s="35"/>
      <c r="B6948" s="36"/>
      <c r="C6948" s="36"/>
      <c r="D6948" s="36"/>
      <c r="E6948" s="36"/>
      <c r="F6948" s="36"/>
      <c r="G6948" s="36"/>
      <c r="H6948" s="36"/>
      <c r="I6948" s="37"/>
      <c r="J6948" s="36"/>
      <c r="K6948" s="38"/>
      <c r="L6948" s="38"/>
    </row>
    <row r="6949" spans="1:12" x14ac:dyDescent="0.25">
      <c r="A6949" s="35"/>
      <c r="B6949" s="36"/>
      <c r="C6949" s="36"/>
      <c r="D6949" s="36"/>
      <c r="E6949" s="36"/>
      <c r="F6949" s="36"/>
      <c r="G6949" s="36"/>
      <c r="H6949" s="36"/>
      <c r="I6949" s="37"/>
      <c r="J6949" s="36"/>
      <c r="K6949" s="38"/>
      <c r="L6949" s="38"/>
    </row>
    <row r="6950" spans="1:12" x14ac:dyDescent="0.25">
      <c r="A6950" s="35"/>
      <c r="B6950" s="36"/>
      <c r="C6950" s="36"/>
      <c r="D6950" s="36"/>
      <c r="E6950" s="36"/>
      <c r="F6950" s="36"/>
      <c r="G6950" s="36"/>
      <c r="H6950" s="36"/>
      <c r="I6950" s="37"/>
      <c r="J6950" s="36"/>
      <c r="K6950" s="38"/>
      <c r="L6950" s="38"/>
    </row>
    <row r="6951" spans="1:12" x14ac:dyDescent="0.25">
      <c r="A6951" s="35"/>
      <c r="B6951" s="36"/>
      <c r="C6951" s="36"/>
      <c r="D6951" s="36"/>
      <c r="E6951" s="36"/>
      <c r="F6951" s="36"/>
      <c r="G6951" s="36"/>
      <c r="H6951" s="36"/>
      <c r="I6951" s="37"/>
      <c r="J6951" s="36"/>
      <c r="K6951" s="38"/>
      <c r="L6951" s="38"/>
    </row>
    <row r="6952" spans="1:12" x14ac:dyDescent="0.25">
      <c r="A6952" s="35"/>
      <c r="B6952" s="36"/>
      <c r="C6952" s="36"/>
      <c r="D6952" s="36"/>
      <c r="E6952" s="36"/>
      <c r="F6952" s="36"/>
      <c r="G6952" s="36"/>
      <c r="H6952" s="36"/>
      <c r="I6952" s="37"/>
      <c r="J6952" s="36"/>
      <c r="K6952" s="38"/>
      <c r="L6952" s="38"/>
    </row>
    <row r="6953" spans="1:12" x14ac:dyDescent="0.25">
      <c r="A6953" s="35"/>
      <c r="B6953" s="36"/>
      <c r="C6953" s="36"/>
      <c r="D6953" s="36"/>
      <c r="E6953" s="36"/>
      <c r="F6953" s="36"/>
      <c r="G6953" s="36"/>
      <c r="H6953" s="36"/>
      <c r="I6953" s="37"/>
      <c r="J6953" s="36"/>
      <c r="K6953" s="38"/>
      <c r="L6953" s="38"/>
    </row>
    <row r="6954" spans="1:12" x14ac:dyDescent="0.25">
      <c r="A6954" s="35"/>
      <c r="B6954" s="36"/>
      <c r="C6954" s="36"/>
      <c r="D6954" s="36"/>
      <c r="E6954" s="36"/>
      <c r="F6954" s="36"/>
      <c r="G6954" s="36"/>
      <c r="H6954" s="36"/>
      <c r="I6954" s="37"/>
      <c r="J6954" s="36"/>
      <c r="K6954" s="38"/>
      <c r="L6954" s="38"/>
    </row>
    <row r="6955" spans="1:12" x14ac:dyDescent="0.25">
      <c r="A6955" s="35"/>
      <c r="B6955" s="36"/>
      <c r="C6955" s="36"/>
      <c r="D6955" s="36"/>
      <c r="E6955" s="36"/>
      <c r="F6955" s="36"/>
      <c r="G6955" s="36"/>
      <c r="H6955" s="36"/>
      <c r="I6955" s="37"/>
      <c r="J6955" s="36"/>
      <c r="K6955" s="38"/>
      <c r="L6955" s="38"/>
    </row>
    <row r="6956" spans="1:12" x14ac:dyDescent="0.25">
      <c r="A6956" s="35"/>
      <c r="B6956" s="36"/>
      <c r="C6956" s="36"/>
      <c r="D6956" s="36"/>
      <c r="E6956" s="36"/>
      <c r="F6956" s="36"/>
      <c r="G6956" s="36"/>
      <c r="H6956" s="36"/>
      <c r="I6956" s="37"/>
      <c r="J6956" s="36"/>
      <c r="K6956" s="38"/>
      <c r="L6956" s="38"/>
    </row>
    <row r="6957" spans="1:12" x14ac:dyDescent="0.25">
      <c r="A6957" s="35"/>
      <c r="B6957" s="36"/>
      <c r="C6957" s="36"/>
      <c r="D6957" s="36"/>
      <c r="E6957" s="36"/>
      <c r="F6957" s="36"/>
      <c r="G6957" s="36"/>
      <c r="H6957" s="36"/>
      <c r="I6957" s="37"/>
      <c r="J6957" s="36"/>
      <c r="K6957" s="38"/>
      <c r="L6957" s="38"/>
    </row>
    <row r="6958" spans="1:12" x14ac:dyDescent="0.25">
      <c r="A6958" s="35"/>
      <c r="B6958" s="36"/>
      <c r="C6958" s="36"/>
      <c r="D6958" s="36"/>
      <c r="E6958" s="36"/>
      <c r="F6958" s="36"/>
      <c r="G6958" s="36"/>
      <c r="H6958" s="36"/>
      <c r="I6958" s="37"/>
      <c r="J6958" s="36"/>
      <c r="K6958" s="38"/>
      <c r="L6958" s="38"/>
    </row>
    <row r="6959" spans="1:12" x14ac:dyDescent="0.25">
      <c r="A6959" s="35"/>
      <c r="B6959" s="36"/>
      <c r="C6959" s="36"/>
      <c r="D6959" s="36"/>
      <c r="E6959" s="36"/>
      <c r="F6959" s="36"/>
      <c r="G6959" s="36"/>
      <c r="H6959" s="36"/>
      <c r="I6959" s="37"/>
      <c r="J6959" s="36"/>
      <c r="K6959" s="38"/>
      <c r="L6959" s="38"/>
    </row>
    <row r="6960" spans="1:12" x14ac:dyDescent="0.25">
      <c r="A6960" s="35"/>
      <c r="B6960" s="36"/>
      <c r="C6960" s="36"/>
      <c r="D6960" s="36"/>
      <c r="E6960" s="36"/>
      <c r="F6960" s="36"/>
      <c r="G6960" s="36"/>
      <c r="H6960" s="36"/>
      <c r="I6960" s="37"/>
      <c r="J6960" s="36"/>
      <c r="K6960" s="38"/>
      <c r="L6960" s="38"/>
    </row>
    <row r="6961" spans="1:12" x14ac:dyDescent="0.25">
      <c r="A6961" s="35"/>
      <c r="B6961" s="36"/>
      <c r="C6961" s="36"/>
      <c r="D6961" s="36"/>
      <c r="E6961" s="36"/>
      <c r="F6961" s="36"/>
      <c r="G6961" s="36"/>
      <c r="H6961" s="36"/>
      <c r="I6961" s="37"/>
      <c r="J6961" s="36"/>
      <c r="K6961" s="38"/>
      <c r="L6961" s="38"/>
    </row>
    <row r="6962" spans="1:12" x14ac:dyDescent="0.25">
      <c r="A6962" s="35"/>
      <c r="B6962" s="36"/>
      <c r="C6962" s="36"/>
      <c r="D6962" s="36"/>
      <c r="E6962" s="36"/>
      <c r="F6962" s="36"/>
      <c r="G6962" s="36"/>
      <c r="H6962" s="36"/>
      <c r="I6962" s="37"/>
      <c r="J6962" s="36"/>
      <c r="K6962" s="38"/>
      <c r="L6962" s="38"/>
    </row>
    <row r="6963" spans="1:12" x14ac:dyDescent="0.25">
      <c r="A6963" s="35"/>
      <c r="B6963" s="36"/>
      <c r="C6963" s="36"/>
      <c r="D6963" s="36"/>
      <c r="E6963" s="36"/>
      <c r="F6963" s="36"/>
      <c r="G6963" s="36"/>
      <c r="H6963" s="36"/>
      <c r="I6963" s="37"/>
      <c r="J6963" s="36"/>
      <c r="K6963" s="38"/>
      <c r="L6963" s="38"/>
    </row>
    <row r="6964" spans="1:12" x14ac:dyDescent="0.25">
      <c r="A6964" s="35"/>
      <c r="B6964" s="36"/>
      <c r="C6964" s="36"/>
      <c r="D6964" s="36"/>
      <c r="E6964" s="36"/>
      <c r="F6964" s="36"/>
      <c r="G6964" s="36"/>
      <c r="H6964" s="36"/>
      <c r="I6964" s="37"/>
      <c r="J6964" s="36"/>
      <c r="K6964" s="38"/>
      <c r="L6964" s="38"/>
    </row>
    <row r="6965" spans="1:12" x14ac:dyDescent="0.25">
      <c r="A6965" s="35"/>
      <c r="B6965" s="36"/>
      <c r="C6965" s="36"/>
      <c r="D6965" s="36"/>
      <c r="E6965" s="36"/>
      <c r="F6965" s="36"/>
      <c r="G6965" s="36"/>
      <c r="H6965" s="36"/>
      <c r="I6965" s="37"/>
      <c r="J6965" s="36"/>
      <c r="K6965" s="38"/>
      <c r="L6965" s="38"/>
    </row>
    <row r="6966" spans="1:12" x14ac:dyDescent="0.25">
      <c r="A6966" s="35"/>
      <c r="B6966" s="36"/>
      <c r="C6966" s="36"/>
      <c r="D6966" s="36"/>
      <c r="E6966" s="36"/>
      <c r="F6966" s="36"/>
      <c r="G6966" s="36"/>
      <c r="H6966" s="36"/>
      <c r="I6966" s="37"/>
      <c r="J6966" s="36"/>
      <c r="K6966" s="38"/>
      <c r="L6966" s="38"/>
    </row>
    <row r="6967" spans="1:12" x14ac:dyDescent="0.25">
      <c r="A6967" s="35"/>
      <c r="B6967" s="36"/>
      <c r="C6967" s="36"/>
      <c r="D6967" s="36"/>
      <c r="E6967" s="36"/>
      <c r="F6967" s="36"/>
      <c r="G6967" s="36"/>
      <c r="H6967" s="36"/>
      <c r="I6967" s="37"/>
      <c r="J6967" s="36"/>
      <c r="K6967" s="38"/>
      <c r="L6967" s="38"/>
    </row>
    <row r="6968" spans="1:12" x14ac:dyDescent="0.25">
      <c r="A6968" s="35"/>
      <c r="B6968" s="36"/>
      <c r="C6968" s="36"/>
      <c r="D6968" s="36"/>
      <c r="E6968" s="36"/>
      <c r="F6968" s="36"/>
      <c r="G6968" s="36"/>
      <c r="H6968" s="36"/>
      <c r="I6968" s="37"/>
      <c r="J6968" s="36"/>
      <c r="K6968" s="38"/>
      <c r="L6968" s="38"/>
    </row>
    <row r="6969" spans="1:12" x14ac:dyDescent="0.25">
      <c r="A6969" s="35"/>
      <c r="B6969" s="36"/>
      <c r="C6969" s="36"/>
      <c r="D6969" s="36"/>
      <c r="E6969" s="36"/>
      <c r="F6969" s="36"/>
      <c r="G6969" s="36"/>
      <c r="H6969" s="36"/>
      <c r="I6969" s="37"/>
      <c r="J6969" s="36"/>
      <c r="K6969" s="38"/>
      <c r="L6969" s="38"/>
    </row>
    <row r="6970" spans="1:12" x14ac:dyDescent="0.25">
      <c r="A6970" s="35"/>
      <c r="B6970" s="36"/>
      <c r="C6970" s="36"/>
      <c r="D6970" s="36"/>
      <c r="E6970" s="36"/>
      <c r="F6970" s="36"/>
      <c r="G6970" s="36"/>
      <c r="H6970" s="36"/>
      <c r="I6970" s="37"/>
      <c r="J6970" s="36"/>
      <c r="K6970" s="38"/>
      <c r="L6970" s="38"/>
    </row>
    <row r="6971" spans="1:12" x14ac:dyDescent="0.25">
      <c r="A6971" s="35"/>
      <c r="B6971" s="36"/>
      <c r="C6971" s="36"/>
      <c r="D6971" s="36"/>
      <c r="E6971" s="36"/>
      <c r="F6971" s="36"/>
      <c r="G6971" s="36"/>
      <c r="H6971" s="36"/>
      <c r="I6971" s="37"/>
      <c r="J6971" s="36"/>
      <c r="K6971" s="38"/>
      <c r="L6971" s="38"/>
    </row>
    <row r="6972" spans="1:12" x14ac:dyDescent="0.25">
      <c r="A6972" s="35"/>
      <c r="B6972" s="36"/>
      <c r="C6972" s="36"/>
      <c r="D6972" s="36"/>
      <c r="E6972" s="36"/>
      <c r="F6972" s="36"/>
      <c r="G6972" s="36"/>
      <c r="H6972" s="36"/>
      <c r="I6972" s="37"/>
      <c r="J6972" s="36"/>
      <c r="K6972" s="38"/>
      <c r="L6972" s="38"/>
    </row>
    <row r="6973" spans="1:12" x14ac:dyDescent="0.25">
      <c r="A6973" s="35"/>
      <c r="B6973" s="36"/>
      <c r="C6973" s="36"/>
      <c r="D6973" s="36"/>
      <c r="E6973" s="36"/>
      <c r="F6973" s="36"/>
      <c r="G6973" s="36"/>
      <c r="H6973" s="36"/>
      <c r="I6973" s="37"/>
      <c r="J6973" s="36"/>
      <c r="K6973" s="38"/>
      <c r="L6973" s="38"/>
    </row>
    <row r="6974" spans="1:12" x14ac:dyDescent="0.25">
      <c r="A6974" s="35"/>
      <c r="B6974" s="36"/>
      <c r="C6974" s="36"/>
      <c r="D6974" s="36"/>
      <c r="E6974" s="36"/>
      <c r="F6974" s="36"/>
      <c r="G6974" s="36"/>
      <c r="H6974" s="36"/>
      <c r="I6974" s="37"/>
      <c r="J6974" s="36"/>
      <c r="K6974" s="38"/>
      <c r="L6974" s="38"/>
    </row>
    <row r="6975" spans="1:12" x14ac:dyDescent="0.25">
      <c r="A6975" s="35"/>
      <c r="B6975" s="36"/>
      <c r="C6975" s="36"/>
      <c r="D6975" s="36"/>
      <c r="E6975" s="36"/>
      <c r="F6975" s="36"/>
      <c r="G6975" s="36"/>
      <c r="H6975" s="36"/>
      <c r="I6975" s="37"/>
      <c r="J6975" s="36"/>
      <c r="K6975" s="38"/>
      <c r="L6975" s="38"/>
    </row>
    <row r="6976" spans="1:12" x14ac:dyDescent="0.25">
      <c r="A6976" s="35"/>
      <c r="B6976" s="36"/>
      <c r="C6976" s="36"/>
      <c r="D6976" s="36"/>
      <c r="E6976" s="36"/>
      <c r="F6976" s="36"/>
      <c r="G6976" s="36"/>
      <c r="H6976" s="36"/>
      <c r="I6976" s="37"/>
      <c r="J6976" s="36"/>
      <c r="K6976" s="38"/>
      <c r="L6976" s="38"/>
    </row>
    <row r="6977" spans="1:12" x14ac:dyDescent="0.25">
      <c r="A6977" s="35"/>
      <c r="B6977" s="36"/>
      <c r="C6977" s="36"/>
      <c r="D6977" s="36"/>
      <c r="E6977" s="36"/>
      <c r="F6977" s="36"/>
      <c r="G6977" s="36"/>
      <c r="H6977" s="36"/>
      <c r="I6977" s="37"/>
      <c r="J6977" s="36"/>
      <c r="K6977" s="38"/>
      <c r="L6977" s="38"/>
    </row>
    <row r="6978" spans="1:12" x14ac:dyDescent="0.25">
      <c r="A6978" s="35"/>
      <c r="B6978" s="36"/>
      <c r="C6978" s="36"/>
      <c r="D6978" s="36"/>
      <c r="E6978" s="36"/>
      <c r="F6978" s="36"/>
      <c r="G6978" s="36"/>
      <c r="H6978" s="36"/>
      <c r="I6978" s="37"/>
      <c r="J6978" s="36"/>
      <c r="K6978" s="38"/>
      <c r="L6978" s="38"/>
    </row>
    <row r="6979" spans="1:12" x14ac:dyDescent="0.25">
      <c r="A6979" s="35"/>
      <c r="B6979" s="36"/>
      <c r="C6979" s="36"/>
      <c r="D6979" s="36"/>
      <c r="E6979" s="36"/>
      <c r="F6979" s="36"/>
      <c r="G6979" s="36"/>
      <c r="H6979" s="36"/>
      <c r="I6979" s="37"/>
      <c r="J6979" s="36"/>
      <c r="K6979" s="38"/>
      <c r="L6979" s="38"/>
    </row>
    <row r="6980" spans="1:12" x14ac:dyDescent="0.25">
      <c r="A6980" s="35"/>
      <c r="B6980" s="36"/>
      <c r="C6980" s="36"/>
      <c r="D6980" s="36"/>
      <c r="E6980" s="36"/>
      <c r="F6980" s="36"/>
      <c r="G6980" s="36"/>
      <c r="H6980" s="36"/>
      <c r="I6980" s="37"/>
      <c r="J6980" s="36"/>
      <c r="K6980" s="38"/>
      <c r="L6980" s="38"/>
    </row>
    <row r="6981" spans="1:12" x14ac:dyDescent="0.25">
      <c r="A6981" s="35"/>
      <c r="B6981" s="36"/>
      <c r="C6981" s="36"/>
      <c r="D6981" s="36"/>
      <c r="E6981" s="36"/>
      <c r="F6981" s="36"/>
      <c r="G6981" s="36"/>
      <c r="H6981" s="36"/>
      <c r="I6981" s="37"/>
      <c r="J6981" s="36"/>
      <c r="K6981" s="38"/>
      <c r="L6981" s="38"/>
    </row>
    <row r="6982" spans="1:12" x14ac:dyDescent="0.25">
      <c r="A6982" s="35"/>
      <c r="B6982" s="36"/>
      <c r="C6982" s="36"/>
      <c r="D6982" s="36"/>
      <c r="E6982" s="36"/>
      <c r="F6982" s="36"/>
      <c r="G6982" s="36"/>
      <c r="H6982" s="36"/>
      <c r="I6982" s="37"/>
      <c r="J6982" s="36"/>
      <c r="K6982" s="38"/>
      <c r="L6982" s="38"/>
    </row>
    <row r="6983" spans="1:12" x14ac:dyDescent="0.25">
      <c r="A6983" s="35"/>
      <c r="B6983" s="36"/>
      <c r="C6983" s="36"/>
      <c r="D6983" s="36"/>
      <c r="E6983" s="36"/>
      <c r="F6983" s="36"/>
      <c r="G6983" s="36"/>
      <c r="H6983" s="36"/>
      <c r="I6983" s="37"/>
      <c r="J6983" s="36"/>
      <c r="K6983" s="38"/>
      <c r="L6983" s="38"/>
    </row>
    <row r="6984" spans="1:12" x14ac:dyDescent="0.25">
      <c r="A6984" s="35"/>
      <c r="B6984" s="36"/>
      <c r="C6984" s="36"/>
      <c r="D6984" s="36"/>
      <c r="E6984" s="36"/>
      <c r="F6984" s="36"/>
      <c r="G6984" s="36"/>
      <c r="H6984" s="36"/>
      <c r="I6984" s="37"/>
      <c r="J6984" s="36"/>
      <c r="K6984" s="38"/>
      <c r="L6984" s="38"/>
    </row>
    <row r="6985" spans="1:12" x14ac:dyDescent="0.25">
      <c r="A6985" s="35"/>
      <c r="B6985" s="36"/>
      <c r="C6985" s="36"/>
      <c r="D6985" s="36"/>
      <c r="E6985" s="36"/>
      <c r="F6985" s="36"/>
      <c r="G6985" s="36"/>
      <c r="H6985" s="36"/>
      <c r="I6985" s="37"/>
      <c r="J6985" s="36"/>
      <c r="K6985" s="38"/>
      <c r="L6985" s="38"/>
    </row>
    <row r="6986" spans="1:12" x14ac:dyDescent="0.25">
      <c r="A6986" s="35"/>
      <c r="B6986" s="36"/>
      <c r="C6986" s="36"/>
      <c r="D6986" s="36"/>
      <c r="E6986" s="36"/>
      <c r="F6986" s="36"/>
      <c r="G6986" s="36"/>
      <c r="H6986" s="36"/>
      <c r="I6986" s="37"/>
      <c r="J6986" s="36"/>
      <c r="K6986" s="38"/>
      <c r="L6986" s="38"/>
    </row>
    <row r="6987" spans="1:12" x14ac:dyDescent="0.25">
      <c r="A6987" s="35"/>
      <c r="B6987" s="36"/>
      <c r="C6987" s="36"/>
      <c r="D6987" s="36"/>
      <c r="E6987" s="36"/>
      <c r="F6987" s="36"/>
      <c r="G6987" s="36"/>
      <c r="H6987" s="36"/>
      <c r="I6987" s="37"/>
      <c r="J6987" s="36"/>
      <c r="K6987" s="38"/>
      <c r="L6987" s="38"/>
    </row>
    <row r="6988" spans="1:12" x14ac:dyDescent="0.25">
      <c r="A6988" s="35"/>
      <c r="B6988" s="36"/>
      <c r="C6988" s="36"/>
      <c r="D6988" s="36"/>
      <c r="E6988" s="36"/>
      <c r="F6988" s="36"/>
      <c r="G6988" s="36"/>
      <c r="H6988" s="36"/>
      <c r="I6988" s="37"/>
      <c r="J6988" s="36"/>
      <c r="K6988" s="38"/>
      <c r="L6988" s="38"/>
    </row>
    <row r="6989" spans="1:12" x14ac:dyDescent="0.25">
      <c r="A6989" s="35"/>
      <c r="B6989" s="36"/>
      <c r="C6989" s="36"/>
      <c r="D6989" s="36"/>
      <c r="E6989" s="36"/>
      <c r="F6989" s="36"/>
      <c r="G6989" s="36"/>
      <c r="H6989" s="36"/>
      <c r="I6989" s="37"/>
      <c r="J6989" s="36"/>
      <c r="K6989" s="38"/>
      <c r="L6989" s="38"/>
    </row>
    <row r="6990" spans="1:12" x14ac:dyDescent="0.25">
      <c r="A6990" s="35"/>
      <c r="B6990" s="36"/>
      <c r="C6990" s="36"/>
      <c r="D6990" s="36"/>
      <c r="E6990" s="36"/>
      <c r="F6990" s="36"/>
      <c r="G6990" s="36"/>
      <c r="H6990" s="36"/>
      <c r="I6990" s="37"/>
      <c r="J6990" s="36"/>
      <c r="K6990" s="38"/>
      <c r="L6990" s="38"/>
    </row>
    <row r="6991" spans="1:12" x14ac:dyDescent="0.25">
      <c r="A6991" s="35"/>
      <c r="B6991" s="36"/>
      <c r="C6991" s="36"/>
      <c r="D6991" s="36"/>
      <c r="E6991" s="36"/>
      <c r="F6991" s="36"/>
      <c r="G6991" s="36"/>
      <c r="H6991" s="36"/>
      <c r="I6991" s="37"/>
      <c r="J6991" s="36"/>
      <c r="K6991" s="38"/>
      <c r="L6991" s="38"/>
    </row>
    <row r="6992" spans="1:12" x14ac:dyDescent="0.25">
      <c r="A6992" s="35"/>
      <c r="B6992" s="36"/>
      <c r="C6992" s="36"/>
      <c r="D6992" s="36"/>
      <c r="E6992" s="36"/>
      <c r="F6992" s="36"/>
      <c r="G6992" s="36"/>
      <c r="H6992" s="36"/>
      <c r="I6992" s="37"/>
      <c r="J6992" s="36"/>
      <c r="K6992" s="38"/>
      <c r="L6992" s="38"/>
    </row>
    <row r="6993" spans="1:12" x14ac:dyDescent="0.25">
      <c r="A6993" s="35"/>
      <c r="B6993" s="36"/>
      <c r="C6993" s="36"/>
      <c r="D6993" s="36"/>
      <c r="E6993" s="36"/>
      <c r="F6993" s="36"/>
      <c r="G6993" s="36"/>
      <c r="H6993" s="36"/>
      <c r="I6993" s="37"/>
      <c r="J6993" s="36"/>
      <c r="K6993" s="38"/>
      <c r="L6993" s="38"/>
    </row>
    <row r="6994" spans="1:12" x14ac:dyDescent="0.25">
      <c r="A6994" s="35"/>
      <c r="B6994" s="36"/>
      <c r="C6994" s="36"/>
      <c r="D6994" s="36"/>
      <c r="E6994" s="36"/>
      <c r="F6994" s="36"/>
      <c r="G6994" s="36"/>
      <c r="H6994" s="36"/>
      <c r="I6994" s="37"/>
      <c r="J6994" s="36"/>
      <c r="K6994" s="38"/>
      <c r="L6994" s="38"/>
    </row>
    <row r="6995" spans="1:12" x14ac:dyDescent="0.25">
      <c r="A6995" s="35"/>
      <c r="B6995" s="36"/>
      <c r="C6995" s="36"/>
      <c r="D6995" s="36"/>
      <c r="E6995" s="36"/>
      <c r="F6995" s="36"/>
      <c r="G6995" s="36"/>
      <c r="H6995" s="36"/>
      <c r="I6995" s="37"/>
      <c r="J6995" s="36"/>
      <c r="K6995" s="38"/>
      <c r="L6995" s="38"/>
    </row>
    <row r="6996" spans="1:12" x14ac:dyDescent="0.25">
      <c r="A6996" s="35"/>
      <c r="B6996" s="36"/>
      <c r="C6996" s="36"/>
      <c r="D6996" s="36"/>
      <c r="E6996" s="36"/>
      <c r="F6996" s="36"/>
      <c r="G6996" s="36"/>
      <c r="H6996" s="36"/>
      <c r="I6996" s="37"/>
      <c r="J6996" s="36"/>
      <c r="K6996" s="38"/>
      <c r="L6996" s="38"/>
    </row>
    <row r="6997" spans="1:12" x14ac:dyDescent="0.25">
      <c r="A6997" s="35"/>
      <c r="B6997" s="36"/>
      <c r="C6997" s="36"/>
      <c r="D6997" s="36"/>
      <c r="E6997" s="36"/>
      <c r="F6997" s="36"/>
      <c r="G6997" s="36"/>
      <c r="H6997" s="36"/>
      <c r="I6997" s="37"/>
      <c r="J6997" s="36"/>
      <c r="K6997" s="38"/>
      <c r="L6997" s="38"/>
    </row>
    <row r="6998" spans="1:12" x14ac:dyDescent="0.25">
      <c r="A6998" s="35"/>
      <c r="B6998" s="36"/>
      <c r="C6998" s="36"/>
      <c r="D6998" s="36"/>
      <c r="E6998" s="36"/>
      <c r="F6998" s="36"/>
      <c r="G6998" s="36"/>
      <c r="H6998" s="36"/>
      <c r="I6998" s="37"/>
      <c r="J6998" s="36"/>
      <c r="K6998" s="38"/>
      <c r="L6998" s="38"/>
    </row>
    <row r="6999" spans="1:12" x14ac:dyDescent="0.25">
      <c r="A6999" s="35"/>
      <c r="B6999" s="36"/>
      <c r="C6999" s="36"/>
      <c r="D6999" s="36"/>
      <c r="E6999" s="36"/>
      <c r="F6999" s="36"/>
      <c r="G6999" s="36"/>
      <c r="H6999" s="36"/>
      <c r="I6999" s="37"/>
      <c r="J6999" s="36"/>
      <c r="K6999" s="38"/>
      <c r="L6999" s="38"/>
    </row>
    <row r="7000" spans="1:12" x14ac:dyDescent="0.25">
      <c r="A7000" s="35"/>
      <c r="B7000" s="36"/>
      <c r="C7000" s="36"/>
      <c r="D7000" s="36"/>
      <c r="E7000" s="36"/>
      <c r="F7000" s="36"/>
      <c r="G7000" s="36"/>
      <c r="H7000" s="36"/>
      <c r="I7000" s="37"/>
      <c r="J7000" s="36"/>
      <c r="K7000" s="38"/>
      <c r="L7000" s="38"/>
    </row>
    <row r="7001" spans="1:12" x14ac:dyDescent="0.25">
      <c r="A7001" s="35"/>
      <c r="B7001" s="36"/>
      <c r="C7001" s="36"/>
      <c r="D7001" s="36"/>
      <c r="E7001" s="36"/>
      <c r="F7001" s="36"/>
      <c r="G7001" s="36"/>
      <c r="H7001" s="36"/>
      <c r="I7001" s="37"/>
      <c r="J7001" s="36"/>
      <c r="K7001" s="38"/>
      <c r="L7001" s="38"/>
    </row>
    <row r="7002" spans="1:12" x14ac:dyDescent="0.25">
      <c r="A7002" s="35"/>
      <c r="B7002" s="36"/>
      <c r="C7002" s="36"/>
      <c r="D7002" s="36"/>
      <c r="E7002" s="36"/>
      <c r="F7002" s="36"/>
      <c r="G7002" s="36"/>
      <c r="H7002" s="36"/>
      <c r="I7002" s="37"/>
      <c r="J7002" s="36"/>
      <c r="K7002" s="38"/>
      <c r="L7002" s="38"/>
    </row>
    <row r="7003" spans="1:12" x14ac:dyDescent="0.25">
      <c r="A7003" s="35"/>
      <c r="B7003" s="36"/>
      <c r="C7003" s="36"/>
      <c r="D7003" s="36"/>
      <c r="E7003" s="36"/>
      <c r="F7003" s="36"/>
      <c r="G7003" s="36"/>
      <c r="H7003" s="36"/>
      <c r="I7003" s="37"/>
      <c r="J7003" s="36"/>
      <c r="K7003" s="38"/>
      <c r="L7003" s="38"/>
    </row>
    <row r="7004" spans="1:12" x14ac:dyDescent="0.25">
      <c r="A7004" s="35"/>
      <c r="B7004" s="36"/>
      <c r="C7004" s="36"/>
      <c r="D7004" s="36"/>
      <c r="E7004" s="36"/>
      <c r="F7004" s="36"/>
      <c r="G7004" s="36"/>
      <c r="H7004" s="36"/>
      <c r="I7004" s="37"/>
      <c r="J7004" s="36"/>
      <c r="K7004" s="38"/>
      <c r="L7004" s="38"/>
    </row>
    <row r="7005" spans="1:12" x14ac:dyDescent="0.25">
      <c r="A7005" s="35"/>
      <c r="B7005" s="36"/>
      <c r="C7005" s="36"/>
      <c r="D7005" s="36"/>
      <c r="E7005" s="36"/>
      <c r="F7005" s="36"/>
      <c r="G7005" s="36"/>
      <c r="H7005" s="36"/>
      <c r="I7005" s="37"/>
      <c r="J7005" s="36"/>
      <c r="K7005" s="38"/>
      <c r="L7005" s="38"/>
    </row>
    <row r="7006" spans="1:12" x14ac:dyDescent="0.25">
      <c r="A7006" s="35"/>
      <c r="B7006" s="36"/>
      <c r="C7006" s="36"/>
      <c r="D7006" s="36"/>
      <c r="E7006" s="36"/>
      <c r="F7006" s="36"/>
      <c r="G7006" s="36"/>
      <c r="H7006" s="36"/>
      <c r="I7006" s="37"/>
      <c r="J7006" s="36"/>
      <c r="K7006" s="38"/>
      <c r="L7006" s="38"/>
    </row>
    <row r="7007" spans="1:12" x14ac:dyDescent="0.25">
      <c r="A7007" s="35"/>
      <c r="B7007" s="36"/>
      <c r="C7007" s="36"/>
      <c r="D7007" s="36"/>
      <c r="E7007" s="36"/>
      <c r="F7007" s="36"/>
      <c r="G7007" s="36"/>
      <c r="H7007" s="36"/>
      <c r="I7007" s="37"/>
      <c r="J7007" s="36"/>
      <c r="K7007" s="38"/>
      <c r="L7007" s="38"/>
    </row>
    <row r="7008" spans="1:12" x14ac:dyDescent="0.25">
      <c r="A7008" s="35"/>
      <c r="B7008" s="36"/>
      <c r="C7008" s="36"/>
      <c r="D7008" s="36"/>
      <c r="E7008" s="36"/>
      <c r="F7008" s="36"/>
      <c r="G7008" s="36"/>
      <c r="H7008" s="36"/>
      <c r="I7008" s="37"/>
      <c r="J7008" s="36"/>
      <c r="K7008" s="38"/>
      <c r="L7008" s="38"/>
    </row>
    <row r="7009" spans="1:12" x14ac:dyDescent="0.25">
      <c r="A7009" s="35"/>
      <c r="B7009" s="36"/>
      <c r="C7009" s="36"/>
      <c r="D7009" s="36"/>
      <c r="E7009" s="36"/>
      <c r="F7009" s="36"/>
      <c r="G7009" s="36"/>
      <c r="H7009" s="36"/>
      <c r="I7009" s="37"/>
      <c r="J7009" s="36"/>
      <c r="K7009" s="38"/>
      <c r="L7009" s="38"/>
    </row>
    <row r="7010" spans="1:12" x14ac:dyDescent="0.25">
      <c r="A7010" s="35"/>
      <c r="B7010" s="36"/>
      <c r="C7010" s="36"/>
      <c r="D7010" s="36"/>
      <c r="E7010" s="36"/>
      <c r="F7010" s="36"/>
      <c r="G7010" s="36"/>
      <c r="H7010" s="36"/>
      <c r="I7010" s="37"/>
      <c r="J7010" s="36"/>
      <c r="K7010" s="38"/>
      <c r="L7010" s="38"/>
    </row>
    <row r="7011" spans="1:12" x14ac:dyDescent="0.25">
      <c r="A7011" s="35"/>
      <c r="B7011" s="36"/>
      <c r="C7011" s="36"/>
      <c r="D7011" s="36"/>
      <c r="E7011" s="36"/>
      <c r="F7011" s="36"/>
      <c r="G7011" s="36"/>
      <c r="H7011" s="36"/>
      <c r="I7011" s="37"/>
      <c r="J7011" s="36"/>
      <c r="K7011" s="38"/>
      <c r="L7011" s="38"/>
    </row>
    <row r="7012" spans="1:12" x14ac:dyDescent="0.25">
      <c r="A7012" s="35"/>
      <c r="B7012" s="36"/>
      <c r="C7012" s="36"/>
      <c r="D7012" s="36"/>
      <c r="E7012" s="36"/>
      <c r="F7012" s="36"/>
      <c r="G7012" s="36"/>
      <c r="H7012" s="36"/>
      <c r="I7012" s="37"/>
      <c r="J7012" s="36"/>
      <c r="K7012" s="38"/>
      <c r="L7012" s="38"/>
    </row>
    <row r="7013" spans="1:12" x14ac:dyDescent="0.25">
      <c r="A7013" s="35"/>
      <c r="B7013" s="36"/>
      <c r="C7013" s="36"/>
      <c r="D7013" s="36"/>
      <c r="E7013" s="36"/>
      <c r="F7013" s="36"/>
      <c r="G7013" s="36"/>
      <c r="H7013" s="36"/>
      <c r="I7013" s="37"/>
      <c r="J7013" s="36"/>
      <c r="K7013" s="38"/>
      <c r="L7013" s="38"/>
    </row>
    <row r="7014" spans="1:12" x14ac:dyDescent="0.25">
      <c r="A7014" s="35"/>
      <c r="B7014" s="36"/>
      <c r="C7014" s="36"/>
      <c r="D7014" s="36"/>
      <c r="E7014" s="36"/>
      <c r="F7014" s="36"/>
      <c r="G7014" s="36"/>
      <c r="H7014" s="36"/>
      <c r="I7014" s="37"/>
      <c r="J7014" s="36"/>
      <c r="K7014" s="38"/>
      <c r="L7014" s="38"/>
    </row>
    <row r="7015" spans="1:12" x14ac:dyDescent="0.25">
      <c r="A7015" s="35"/>
      <c r="B7015" s="36"/>
      <c r="C7015" s="36"/>
      <c r="D7015" s="36"/>
      <c r="E7015" s="36"/>
      <c r="F7015" s="36"/>
      <c r="G7015" s="36"/>
      <c r="H7015" s="36"/>
      <c r="I7015" s="37"/>
      <c r="J7015" s="36"/>
      <c r="K7015" s="38"/>
      <c r="L7015" s="38"/>
    </row>
    <row r="7016" spans="1:12" x14ac:dyDescent="0.25">
      <c r="A7016" s="35"/>
      <c r="B7016" s="36"/>
      <c r="C7016" s="36"/>
      <c r="D7016" s="36"/>
      <c r="E7016" s="36"/>
      <c r="F7016" s="36"/>
      <c r="G7016" s="36"/>
      <c r="H7016" s="36"/>
      <c r="I7016" s="37"/>
      <c r="J7016" s="36"/>
      <c r="K7016" s="38"/>
      <c r="L7016" s="38"/>
    </row>
    <row r="7017" spans="1:12" x14ac:dyDescent="0.25">
      <c r="A7017" s="35"/>
      <c r="B7017" s="36"/>
      <c r="C7017" s="36"/>
      <c r="D7017" s="36"/>
      <c r="E7017" s="36"/>
      <c r="F7017" s="36"/>
      <c r="G7017" s="36"/>
      <c r="H7017" s="36"/>
      <c r="I7017" s="37"/>
      <c r="J7017" s="36"/>
      <c r="K7017" s="38"/>
      <c r="L7017" s="38"/>
    </row>
    <row r="7018" spans="1:12" x14ac:dyDescent="0.25">
      <c r="A7018" s="35"/>
      <c r="B7018" s="36"/>
      <c r="C7018" s="36"/>
      <c r="D7018" s="36"/>
      <c r="E7018" s="36"/>
      <c r="F7018" s="36"/>
      <c r="G7018" s="36"/>
      <c r="H7018" s="36"/>
      <c r="I7018" s="37"/>
      <c r="J7018" s="36"/>
      <c r="K7018" s="38"/>
      <c r="L7018" s="38"/>
    </row>
    <row r="7019" spans="1:12" x14ac:dyDescent="0.25">
      <c r="A7019" s="35"/>
      <c r="B7019" s="36"/>
      <c r="C7019" s="36"/>
      <c r="D7019" s="36"/>
      <c r="E7019" s="36"/>
      <c r="F7019" s="36"/>
      <c r="G7019" s="36"/>
      <c r="H7019" s="36"/>
      <c r="I7019" s="37"/>
      <c r="J7019" s="36"/>
      <c r="K7019" s="38"/>
      <c r="L7019" s="38"/>
    </row>
    <row r="7020" spans="1:12" x14ac:dyDescent="0.25">
      <c r="A7020" s="35"/>
      <c r="B7020" s="36"/>
      <c r="C7020" s="36"/>
      <c r="D7020" s="36"/>
      <c r="E7020" s="36"/>
      <c r="F7020" s="36"/>
      <c r="G7020" s="36"/>
      <c r="H7020" s="36"/>
      <c r="I7020" s="37"/>
      <c r="J7020" s="36"/>
      <c r="K7020" s="38"/>
      <c r="L7020" s="38"/>
    </row>
    <row r="7021" spans="1:12" x14ac:dyDescent="0.25">
      <c r="A7021" s="35"/>
      <c r="B7021" s="36"/>
      <c r="C7021" s="36"/>
      <c r="D7021" s="36"/>
      <c r="E7021" s="36"/>
      <c r="F7021" s="36"/>
      <c r="G7021" s="36"/>
      <c r="H7021" s="36"/>
      <c r="I7021" s="37"/>
      <c r="J7021" s="36"/>
      <c r="K7021" s="38"/>
      <c r="L7021" s="38"/>
    </row>
    <row r="7022" spans="1:12" x14ac:dyDescent="0.25">
      <c r="A7022" s="35"/>
      <c r="B7022" s="36"/>
      <c r="C7022" s="36"/>
      <c r="D7022" s="36"/>
      <c r="E7022" s="36"/>
      <c r="F7022" s="36"/>
      <c r="G7022" s="36"/>
      <c r="H7022" s="36"/>
      <c r="I7022" s="37"/>
      <c r="J7022" s="36"/>
      <c r="K7022" s="38"/>
      <c r="L7022" s="38"/>
    </row>
    <row r="7023" spans="1:12" x14ac:dyDescent="0.25">
      <c r="A7023" s="35"/>
      <c r="B7023" s="36"/>
      <c r="C7023" s="36"/>
      <c r="D7023" s="36"/>
      <c r="E7023" s="36"/>
      <c r="F7023" s="36"/>
      <c r="G7023" s="36"/>
      <c r="H7023" s="36"/>
      <c r="I7023" s="37"/>
      <c r="J7023" s="36"/>
      <c r="K7023" s="38"/>
      <c r="L7023" s="38"/>
    </row>
    <row r="7024" spans="1:12" x14ac:dyDescent="0.25">
      <c r="A7024" s="35"/>
      <c r="B7024" s="36"/>
      <c r="C7024" s="36"/>
      <c r="D7024" s="36"/>
      <c r="E7024" s="36"/>
      <c r="F7024" s="36"/>
      <c r="G7024" s="36"/>
      <c r="H7024" s="36"/>
      <c r="I7024" s="37"/>
      <c r="J7024" s="36"/>
      <c r="K7024" s="38"/>
      <c r="L7024" s="38"/>
    </row>
    <row r="7025" spans="1:12" x14ac:dyDescent="0.25">
      <c r="A7025" s="35"/>
      <c r="B7025" s="36"/>
      <c r="C7025" s="36"/>
      <c r="D7025" s="36"/>
      <c r="E7025" s="36"/>
      <c r="F7025" s="36"/>
      <c r="G7025" s="36"/>
      <c r="H7025" s="36"/>
      <c r="I7025" s="37"/>
      <c r="J7025" s="36"/>
      <c r="K7025" s="38"/>
      <c r="L7025" s="38"/>
    </row>
    <row r="7026" spans="1:12" x14ac:dyDescent="0.25">
      <c r="A7026" s="35"/>
      <c r="B7026" s="36"/>
      <c r="C7026" s="36"/>
      <c r="D7026" s="36"/>
      <c r="E7026" s="36"/>
      <c r="F7026" s="36"/>
      <c r="G7026" s="36"/>
      <c r="H7026" s="36"/>
      <c r="I7026" s="37"/>
      <c r="J7026" s="36"/>
      <c r="K7026" s="38"/>
      <c r="L7026" s="38"/>
    </row>
    <row r="7027" spans="1:12" x14ac:dyDescent="0.25">
      <c r="A7027" s="35"/>
      <c r="B7027" s="36"/>
      <c r="C7027" s="36"/>
      <c r="D7027" s="36"/>
      <c r="E7027" s="36"/>
      <c r="F7027" s="36"/>
      <c r="G7027" s="36"/>
      <c r="H7027" s="36"/>
      <c r="I7027" s="37"/>
      <c r="J7027" s="36"/>
      <c r="K7027" s="38"/>
      <c r="L7027" s="38"/>
    </row>
    <row r="7028" spans="1:12" x14ac:dyDescent="0.25">
      <c r="A7028" s="35"/>
      <c r="B7028" s="36"/>
      <c r="C7028" s="36"/>
      <c r="D7028" s="36"/>
      <c r="E7028" s="36"/>
      <c r="F7028" s="36"/>
      <c r="G7028" s="36"/>
      <c r="H7028" s="36"/>
      <c r="I7028" s="37"/>
      <c r="J7028" s="36"/>
      <c r="K7028" s="38"/>
      <c r="L7028" s="38"/>
    </row>
    <row r="7029" spans="1:12" x14ac:dyDescent="0.25">
      <c r="A7029" s="35"/>
      <c r="B7029" s="36"/>
      <c r="C7029" s="36"/>
      <c r="D7029" s="36"/>
      <c r="E7029" s="36"/>
      <c r="F7029" s="36"/>
      <c r="G7029" s="36"/>
      <c r="H7029" s="36"/>
      <c r="I7029" s="37"/>
      <c r="J7029" s="36"/>
      <c r="K7029" s="38"/>
      <c r="L7029" s="38"/>
    </row>
    <row r="7030" spans="1:12" x14ac:dyDescent="0.25">
      <c r="A7030" s="35"/>
      <c r="B7030" s="36"/>
      <c r="C7030" s="36"/>
      <c r="D7030" s="36"/>
      <c r="E7030" s="36"/>
      <c r="F7030" s="36"/>
      <c r="G7030" s="36"/>
      <c r="H7030" s="36"/>
      <c r="I7030" s="37"/>
      <c r="J7030" s="36"/>
      <c r="K7030" s="38"/>
      <c r="L7030" s="38"/>
    </row>
    <row r="7031" spans="1:12" x14ac:dyDescent="0.25">
      <c r="A7031" s="35"/>
      <c r="B7031" s="36"/>
      <c r="C7031" s="36"/>
      <c r="D7031" s="36"/>
      <c r="E7031" s="36"/>
      <c r="F7031" s="36"/>
      <c r="G7031" s="36"/>
      <c r="H7031" s="36"/>
      <c r="I7031" s="37"/>
      <c r="J7031" s="36"/>
      <c r="K7031" s="38"/>
      <c r="L7031" s="38"/>
    </row>
    <row r="7032" spans="1:12" x14ac:dyDescent="0.25">
      <c r="A7032" s="35"/>
      <c r="B7032" s="36"/>
      <c r="C7032" s="36"/>
      <c r="D7032" s="36"/>
      <c r="E7032" s="36"/>
      <c r="F7032" s="36"/>
      <c r="G7032" s="36"/>
      <c r="H7032" s="36"/>
      <c r="I7032" s="37"/>
      <c r="J7032" s="36"/>
      <c r="K7032" s="38"/>
      <c r="L7032" s="38"/>
    </row>
    <row r="7033" spans="1:12" x14ac:dyDescent="0.25">
      <c r="A7033" s="35"/>
      <c r="B7033" s="36"/>
      <c r="C7033" s="36"/>
      <c r="D7033" s="36"/>
      <c r="E7033" s="36"/>
      <c r="F7033" s="36"/>
      <c r="G7033" s="36"/>
      <c r="H7033" s="36"/>
      <c r="I7033" s="37"/>
      <c r="J7033" s="36"/>
      <c r="K7033" s="38"/>
      <c r="L7033" s="38"/>
    </row>
    <row r="7034" spans="1:12" x14ac:dyDescent="0.25">
      <c r="A7034" s="35"/>
      <c r="B7034" s="36"/>
      <c r="C7034" s="36"/>
      <c r="D7034" s="36"/>
      <c r="E7034" s="36"/>
      <c r="F7034" s="36"/>
      <c r="G7034" s="36"/>
      <c r="H7034" s="36"/>
      <c r="I7034" s="37"/>
      <c r="J7034" s="36"/>
      <c r="K7034" s="38"/>
      <c r="L7034" s="38"/>
    </row>
    <row r="7035" spans="1:12" x14ac:dyDescent="0.25">
      <c r="A7035" s="35"/>
      <c r="B7035" s="36"/>
      <c r="C7035" s="36"/>
      <c r="D7035" s="36"/>
      <c r="E7035" s="36"/>
      <c r="F7035" s="36"/>
      <c r="G7035" s="36"/>
      <c r="H7035" s="36"/>
      <c r="I7035" s="37"/>
      <c r="J7035" s="36"/>
      <c r="K7035" s="38"/>
      <c r="L7035" s="38"/>
    </row>
    <row r="7036" spans="1:12" x14ac:dyDescent="0.25">
      <c r="A7036" s="35"/>
      <c r="B7036" s="36"/>
      <c r="C7036" s="36"/>
      <c r="D7036" s="36"/>
      <c r="E7036" s="36"/>
      <c r="F7036" s="36"/>
      <c r="G7036" s="36"/>
      <c r="H7036" s="36"/>
      <c r="I7036" s="37"/>
      <c r="J7036" s="36"/>
      <c r="K7036" s="38"/>
      <c r="L7036" s="38"/>
    </row>
    <row r="7037" spans="1:12" x14ac:dyDescent="0.25">
      <c r="A7037" s="35"/>
      <c r="B7037" s="36"/>
      <c r="C7037" s="36"/>
      <c r="D7037" s="36"/>
      <c r="E7037" s="36"/>
      <c r="F7037" s="36"/>
      <c r="G7037" s="36"/>
      <c r="H7037" s="36"/>
      <c r="I7037" s="37"/>
      <c r="J7037" s="36"/>
      <c r="K7037" s="38"/>
      <c r="L7037" s="38"/>
    </row>
    <row r="7038" spans="1:12" x14ac:dyDescent="0.25">
      <c r="A7038" s="35"/>
      <c r="B7038" s="36"/>
      <c r="C7038" s="36"/>
      <c r="D7038" s="36"/>
      <c r="E7038" s="36"/>
      <c r="F7038" s="36"/>
      <c r="G7038" s="36"/>
      <c r="H7038" s="36"/>
      <c r="I7038" s="37"/>
      <c r="J7038" s="36"/>
      <c r="K7038" s="38"/>
      <c r="L7038" s="38"/>
    </row>
    <row r="7039" spans="1:12" x14ac:dyDescent="0.25">
      <c r="A7039" s="35"/>
      <c r="B7039" s="36"/>
      <c r="C7039" s="36"/>
      <c r="D7039" s="36"/>
      <c r="E7039" s="36"/>
      <c r="F7039" s="36"/>
      <c r="G7039" s="36"/>
      <c r="H7039" s="36"/>
      <c r="I7039" s="37"/>
      <c r="J7039" s="36"/>
      <c r="K7039" s="38"/>
      <c r="L7039" s="38"/>
    </row>
    <row r="7040" spans="1:12" x14ac:dyDescent="0.25">
      <c r="A7040" s="35"/>
      <c r="B7040" s="36"/>
      <c r="C7040" s="36"/>
      <c r="D7040" s="36"/>
      <c r="E7040" s="36"/>
      <c r="F7040" s="36"/>
      <c r="G7040" s="36"/>
      <c r="H7040" s="36"/>
      <c r="I7040" s="37"/>
      <c r="J7040" s="36"/>
      <c r="K7040" s="38"/>
      <c r="L7040" s="38"/>
    </row>
    <row r="7041" spans="1:12" x14ac:dyDescent="0.25">
      <c r="A7041" s="35"/>
      <c r="B7041" s="36"/>
      <c r="C7041" s="36"/>
      <c r="D7041" s="36"/>
      <c r="E7041" s="36"/>
      <c r="F7041" s="36"/>
      <c r="G7041" s="36"/>
      <c r="H7041" s="36"/>
      <c r="I7041" s="37"/>
      <c r="J7041" s="36"/>
      <c r="K7041" s="38"/>
      <c r="L7041" s="38"/>
    </row>
    <row r="7042" spans="1:12" x14ac:dyDescent="0.25">
      <c r="A7042" s="35"/>
      <c r="B7042" s="36"/>
      <c r="C7042" s="36"/>
      <c r="D7042" s="36"/>
      <c r="E7042" s="36"/>
      <c r="F7042" s="36"/>
      <c r="G7042" s="36"/>
      <c r="H7042" s="36"/>
      <c r="I7042" s="37"/>
      <c r="J7042" s="36"/>
      <c r="K7042" s="38"/>
      <c r="L7042" s="38"/>
    </row>
    <row r="7043" spans="1:12" x14ac:dyDescent="0.25">
      <c r="A7043" s="35"/>
      <c r="B7043" s="36"/>
      <c r="C7043" s="36"/>
      <c r="D7043" s="36"/>
      <c r="E7043" s="36"/>
      <c r="F7043" s="36"/>
      <c r="G7043" s="36"/>
      <c r="H7043" s="36"/>
      <c r="I7043" s="37"/>
      <c r="J7043" s="36"/>
      <c r="K7043" s="38"/>
      <c r="L7043" s="38"/>
    </row>
    <row r="7044" spans="1:12" x14ac:dyDescent="0.25">
      <c r="A7044" s="35"/>
      <c r="B7044" s="36"/>
      <c r="C7044" s="36"/>
      <c r="D7044" s="36"/>
      <c r="E7044" s="36"/>
      <c r="F7044" s="36"/>
      <c r="G7044" s="36"/>
      <c r="H7044" s="36"/>
      <c r="I7044" s="37"/>
      <c r="J7044" s="36"/>
      <c r="K7044" s="38"/>
      <c r="L7044" s="38"/>
    </row>
    <row r="7045" spans="1:12" x14ac:dyDescent="0.25">
      <c r="A7045" s="35"/>
      <c r="B7045" s="36"/>
      <c r="C7045" s="36"/>
      <c r="D7045" s="36"/>
      <c r="E7045" s="36"/>
      <c r="F7045" s="36"/>
      <c r="G7045" s="36"/>
      <c r="H7045" s="36"/>
      <c r="I7045" s="37"/>
      <c r="J7045" s="36"/>
      <c r="K7045" s="38"/>
      <c r="L7045" s="38"/>
    </row>
    <row r="7046" spans="1:12" x14ac:dyDescent="0.25">
      <c r="A7046" s="35"/>
      <c r="B7046" s="36"/>
      <c r="C7046" s="36"/>
      <c r="D7046" s="36"/>
      <c r="E7046" s="36"/>
      <c r="F7046" s="36"/>
      <c r="G7046" s="36"/>
      <c r="H7046" s="36"/>
      <c r="I7046" s="37"/>
      <c r="J7046" s="36"/>
      <c r="K7046" s="38"/>
      <c r="L7046" s="38"/>
    </row>
    <row r="7047" spans="1:12" x14ac:dyDescent="0.25">
      <c r="A7047" s="35"/>
      <c r="B7047" s="36"/>
      <c r="C7047" s="36"/>
      <c r="D7047" s="36"/>
      <c r="E7047" s="36"/>
      <c r="F7047" s="36"/>
      <c r="G7047" s="36"/>
      <c r="H7047" s="36"/>
      <c r="I7047" s="37"/>
      <c r="J7047" s="36"/>
      <c r="K7047" s="38"/>
      <c r="L7047" s="38"/>
    </row>
    <row r="7048" spans="1:12" x14ac:dyDescent="0.25">
      <c r="A7048" s="35"/>
      <c r="B7048" s="36"/>
      <c r="C7048" s="36"/>
      <c r="D7048" s="36"/>
      <c r="E7048" s="36"/>
      <c r="F7048" s="36"/>
      <c r="G7048" s="36"/>
      <c r="H7048" s="36"/>
      <c r="I7048" s="37"/>
      <c r="J7048" s="36"/>
      <c r="K7048" s="38"/>
      <c r="L7048" s="38"/>
    </row>
    <row r="7049" spans="1:12" x14ac:dyDescent="0.25">
      <c r="A7049" s="35"/>
      <c r="B7049" s="36"/>
      <c r="C7049" s="36"/>
      <c r="D7049" s="36"/>
      <c r="E7049" s="36"/>
      <c r="F7049" s="36"/>
      <c r="G7049" s="36"/>
      <c r="H7049" s="36"/>
      <c r="I7049" s="37"/>
      <c r="J7049" s="36"/>
      <c r="K7049" s="38"/>
      <c r="L7049" s="38"/>
    </row>
    <row r="7050" spans="1:12" x14ac:dyDescent="0.25">
      <c r="A7050" s="35"/>
      <c r="B7050" s="36"/>
      <c r="C7050" s="36"/>
      <c r="D7050" s="36"/>
      <c r="E7050" s="36"/>
      <c r="F7050" s="36"/>
      <c r="G7050" s="36"/>
      <c r="H7050" s="36"/>
      <c r="I7050" s="37"/>
      <c r="J7050" s="36"/>
      <c r="K7050" s="38"/>
      <c r="L7050" s="38"/>
    </row>
    <row r="7051" spans="1:12" x14ac:dyDescent="0.25">
      <c r="A7051" s="35"/>
      <c r="B7051" s="36"/>
      <c r="C7051" s="36"/>
      <c r="D7051" s="36"/>
      <c r="E7051" s="36"/>
      <c r="F7051" s="36"/>
      <c r="G7051" s="36"/>
      <c r="H7051" s="36"/>
      <c r="I7051" s="37"/>
      <c r="J7051" s="36"/>
      <c r="K7051" s="38"/>
      <c r="L7051" s="38"/>
    </row>
    <row r="7052" spans="1:12" x14ac:dyDescent="0.25">
      <c r="A7052" s="35"/>
      <c r="B7052" s="36"/>
      <c r="C7052" s="36"/>
      <c r="D7052" s="36"/>
      <c r="E7052" s="36"/>
      <c r="F7052" s="36"/>
      <c r="G7052" s="36"/>
      <c r="H7052" s="36"/>
      <c r="I7052" s="37"/>
      <c r="J7052" s="36"/>
      <c r="K7052" s="38"/>
      <c r="L7052" s="38"/>
    </row>
    <row r="7053" spans="1:12" x14ac:dyDescent="0.25">
      <c r="A7053" s="35"/>
      <c r="B7053" s="36"/>
      <c r="C7053" s="36"/>
      <c r="D7053" s="36"/>
      <c r="E7053" s="36"/>
      <c r="F7053" s="36"/>
      <c r="G7053" s="36"/>
      <c r="H7053" s="36"/>
      <c r="I7053" s="37"/>
      <c r="J7053" s="36"/>
      <c r="K7053" s="38"/>
      <c r="L7053" s="38"/>
    </row>
    <row r="7054" spans="1:12" x14ac:dyDescent="0.25">
      <c r="A7054" s="35"/>
      <c r="B7054" s="36"/>
      <c r="C7054" s="36"/>
      <c r="D7054" s="36"/>
      <c r="E7054" s="36"/>
      <c r="F7054" s="36"/>
      <c r="G7054" s="36"/>
      <c r="H7054" s="36"/>
      <c r="I7054" s="37"/>
      <c r="J7054" s="36"/>
      <c r="K7054" s="38"/>
      <c r="L7054" s="38"/>
    </row>
    <row r="7055" spans="1:12" x14ac:dyDescent="0.25">
      <c r="A7055" s="35"/>
      <c r="B7055" s="36"/>
      <c r="C7055" s="36"/>
      <c r="D7055" s="36"/>
      <c r="E7055" s="36"/>
      <c r="F7055" s="36"/>
      <c r="G7055" s="36"/>
      <c r="H7055" s="36"/>
      <c r="I7055" s="37"/>
      <c r="J7055" s="36"/>
      <c r="K7055" s="38"/>
      <c r="L7055" s="38"/>
    </row>
    <row r="7056" spans="1:12" x14ac:dyDescent="0.25">
      <c r="A7056" s="35"/>
      <c r="B7056" s="36"/>
      <c r="C7056" s="36"/>
      <c r="D7056" s="36"/>
      <c r="E7056" s="36"/>
      <c r="F7056" s="36"/>
      <c r="G7056" s="36"/>
      <c r="H7056" s="36"/>
      <c r="I7056" s="37"/>
      <c r="J7056" s="36"/>
      <c r="K7056" s="38"/>
      <c r="L7056" s="38"/>
    </row>
    <row r="7057" spans="1:12" x14ac:dyDescent="0.25">
      <c r="A7057" s="35"/>
      <c r="B7057" s="36"/>
      <c r="C7057" s="36"/>
      <c r="D7057" s="36"/>
      <c r="E7057" s="36"/>
      <c r="F7057" s="36"/>
      <c r="G7057" s="36"/>
      <c r="H7057" s="36"/>
      <c r="I7057" s="37"/>
      <c r="J7057" s="36"/>
      <c r="K7057" s="38"/>
      <c r="L7057" s="38"/>
    </row>
    <row r="7058" spans="1:12" x14ac:dyDescent="0.25">
      <c r="A7058" s="35"/>
      <c r="B7058" s="36"/>
      <c r="C7058" s="36"/>
      <c r="D7058" s="36"/>
      <c r="E7058" s="36"/>
      <c r="F7058" s="36"/>
      <c r="G7058" s="36"/>
      <c r="H7058" s="36"/>
      <c r="I7058" s="37"/>
      <c r="J7058" s="36"/>
      <c r="K7058" s="38"/>
      <c r="L7058" s="38"/>
    </row>
    <row r="7059" spans="1:12" x14ac:dyDescent="0.25">
      <c r="A7059" s="35"/>
      <c r="B7059" s="36"/>
      <c r="C7059" s="36"/>
      <c r="D7059" s="36"/>
      <c r="E7059" s="36"/>
      <c r="F7059" s="36"/>
      <c r="G7059" s="36"/>
      <c r="H7059" s="36"/>
      <c r="I7059" s="37"/>
      <c r="J7059" s="36"/>
      <c r="K7059" s="38"/>
      <c r="L7059" s="38"/>
    </row>
    <row r="7060" spans="1:12" x14ac:dyDescent="0.25">
      <c r="A7060" s="35"/>
      <c r="B7060" s="36"/>
      <c r="C7060" s="36"/>
      <c r="D7060" s="36"/>
      <c r="E7060" s="36"/>
      <c r="F7060" s="36"/>
      <c r="G7060" s="36"/>
      <c r="H7060" s="36"/>
      <c r="I7060" s="37"/>
      <c r="J7060" s="36"/>
      <c r="K7060" s="38"/>
      <c r="L7060" s="38"/>
    </row>
    <row r="7061" spans="1:12" x14ac:dyDescent="0.25">
      <c r="A7061" s="35"/>
      <c r="B7061" s="36"/>
      <c r="C7061" s="36"/>
      <c r="D7061" s="36"/>
      <c r="E7061" s="36"/>
      <c r="F7061" s="36"/>
      <c r="G7061" s="36"/>
      <c r="H7061" s="36"/>
      <c r="I7061" s="37"/>
      <c r="J7061" s="36"/>
      <c r="K7061" s="38"/>
      <c r="L7061" s="38"/>
    </row>
    <row r="7062" spans="1:12" x14ac:dyDescent="0.25">
      <c r="A7062" s="35"/>
      <c r="B7062" s="36"/>
      <c r="C7062" s="36"/>
      <c r="D7062" s="36"/>
      <c r="E7062" s="36"/>
      <c r="F7062" s="36"/>
      <c r="G7062" s="36"/>
      <c r="H7062" s="36"/>
      <c r="I7062" s="37"/>
      <c r="J7062" s="36"/>
      <c r="K7062" s="38"/>
      <c r="L7062" s="38"/>
    </row>
    <row r="7063" spans="1:12" x14ac:dyDescent="0.25">
      <c r="A7063" s="35"/>
      <c r="B7063" s="36"/>
      <c r="C7063" s="36"/>
      <c r="D7063" s="36"/>
      <c r="E7063" s="36"/>
      <c r="F7063" s="36"/>
      <c r="G7063" s="36"/>
      <c r="H7063" s="36"/>
      <c r="I7063" s="37"/>
      <c r="J7063" s="36"/>
      <c r="K7063" s="38"/>
      <c r="L7063" s="38"/>
    </row>
    <row r="7064" spans="1:12" x14ac:dyDescent="0.25">
      <c r="A7064" s="35"/>
      <c r="B7064" s="36"/>
      <c r="C7064" s="36"/>
      <c r="D7064" s="36"/>
      <c r="E7064" s="36"/>
      <c r="F7064" s="36"/>
      <c r="G7064" s="36"/>
      <c r="H7064" s="36"/>
      <c r="I7064" s="37"/>
      <c r="J7064" s="36"/>
      <c r="K7064" s="38"/>
      <c r="L7064" s="38"/>
    </row>
    <row r="7065" spans="1:12" x14ac:dyDescent="0.25">
      <c r="A7065" s="35"/>
      <c r="B7065" s="36"/>
      <c r="C7065" s="36"/>
      <c r="D7065" s="36"/>
      <c r="E7065" s="36"/>
      <c r="F7065" s="36"/>
      <c r="G7065" s="36"/>
      <c r="H7065" s="36"/>
      <c r="I7065" s="37"/>
      <c r="J7065" s="36"/>
      <c r="K7065" s="38"/>
      <c r="L7065" s="38"/>
    </row>
    <row r="7066" spans="1:12" x14ac:dyDescent="0.25">
      <c r="A7066" s="35"/>
      <c r="B7066" s="36"/>
      <c r="C7066" s="36"/>
      <c r="D7066" s="36"/>
      <c r="E7066" s="36"/>
      <c r="F7066" s="36"/>
      <c r="G7066" s="36"/>
      <c r="H7066" s="36"/>
      <c r="I7066" s="37"/>
      <c r="J7066" s="36"/>
      <c r="K7066" s="38"/>
      <c r="L7066" s="38"/>
    </row>
    <row r="7067" spans="1:12" x14ac:dyDescent="0.25">
      <c r="A7067" s="35"/>
      <c r="B7067" s="36"/>
      <c r="C7067" s="36"/>
      <c r="D7067" s="36"/>
      <c r="E7067" s="36"/>
      <c r="F7067" s="36"/>
      <c r="G7067" s="36"/>
      <c r="H7067" s="36"/>
      <c r="I7067" s="37"/>
      <c r="J7067" s="36"/>
      <c r="K7067" s="38"/>
      <c r="L7067" s="38"/>
    </row>
    <row r="7068" spans="1:12" x14ac:dyDescent="0.25">
      <c r="A7068" s="35"/>
      <c r="B7068" s="36"/>
      <c r="C7068" s="36"/>
      <c r="D7068" s="36"/>
      <c r="E7068" s="36"/>
      <c r="F7068" s="36"/>
      <c r="G7068" s="36"/>
      <c r="H7068" s="36"/>
      <c r="I7068" s="37"/>
      <c r="J7068" s="36"/>
      <c r="K7068" s="38"/>
      <c r="L7068" s="38"/>
    </row>
    <row r="7069" spans="1:12" x14ac:dyDescent="0.25">
      <c r="A7069" s="35"/>
      <c r="B7069" s="36"/>
      <c r="C7069" s="36"/>
      <c r="D7069" s="36"/>
      <c r="E7069" s="36"/>
      <c r="F7069" s="36"/>
      <c r="G7069" s="36"/>
      <c r="H7069" s="36"/>
      <c r="I7069" s="37"/>
      <c r="J7069" s="36"/>
      <c r="K7069" s="38"/>
      <c r="L7069" s="38"/>
    </row>
    <row r="7070" spans="1:12" x14ac:dyDescent="0.25">
      <c r="A7070" s="35"/>
      <c r="B7070" s="36"/>
      <c r="C7070" s="36"/>
      <c r="D7070" s="36"/>
      <c r="E7070" s="36"/>
      <c r="F7070" s="36"/>
      <c r="G7070" s="36"/>
      <c r="H7070" s="36"/>
      <c r="I7070" s="37"/>
      <c r="J7070" s="36"/>
      <c r="K7070" s="38"/>
      <c r="L7070" s="38"/>
    </row>
    <row r="7071" spans="1:12" x14ac:dyDescent="0.25">
      <c r="A7071" s="35"/>
      <c r="B7071" s="36"/>
      <c r="C7071" s="36"/>
      <c r="D7071" s="36"/>
      <c r="E7071" s="36"/>
      <c r="F7071" s="36"/>
      <c r="G7071" s="36"/>
      <c r="H7071" s="36"/>
      <c r="I7071" s="37"/>
      <c r="J7071" s="36"/>
      <c r="K7071" s="38"/>
      <c r="L7071" s="38"/>
    </row>
    <row r="7072" spans="1:12" x14ac:dyDescent="0.25">
      <c r="A7072" s="35"/>
      <c r="B7072" s="36"/>
      <c r="C7072" s="36"/>
      <c r="D7072" s="36"/>
      <c r="E7072" s="36"/>
      <c r="F7072" s="36"/>
      <c r="G7072" s="36"/>
      <c r="H7072" s="36"/>
      <c r="I7072" s="37"/>
      <c r="J7072" s="36"/>
      <c r="K7072" s="38"/>
      <c r="L7072" s="38"/>
    </row>
    <row r="7073" spans="1:12" x14ac:dyDescent="0.25">
      <c r="A7073" s="35"/>
      <c r="B7073" s="36"/>
      <c r="C7073" s="36"/>
      <c r="D7073" s="36"/>
      <c r="E7073" s="36"/>
      <c r="F7073" s="36"/>
      <c r="G7073" s="36"/>
      <c r="H7073" s="36"/>
      <c r="I7073" s="37"/>
      <c r="J7073" s="36"/>
      <c r="K7073" s="38"/>
      <c r="L7073" s="38"/>
    </row>
    <row r="7074" spans="1:12" x14ac:dyDescent="0.25">
      <c r="A7074" s="35"/>
      <c r="B7074" s="36"/>
      <c r="C7074" s="36"/>
      <c r="D7074" s="36"/>
      <c r="E7074" s="36"/>
      <c r="F7074" s="36"/>
      <c r="G7074" s="36"/>
      <c r="H7074" s="36"/>
      <c r="I7074" s="37"/>
      <c r="J7074" s="36"/>
      <c r="K7074" s="38"/>
      <c r="L7074" s="38"/>
    </row>
    <row r="7075" spans="1:12" x14ac:dyDescent="0.25">
      <c r="A7075" s="35"/>
      <c r="B7075" s="36"/>
      <c r="C7075" s="36"/>
      <c r="D7075" s="36"/>
      <c r="E7075" s="36"/>
      <c r="F7075" s="36"/>
      <c r="G7075" s="36"/>
      <c r="H7075" s="36"/>
      <c r="I7075" s="37"/>
      <c r="J7075" s="36"/>
      <c r="K7075" s="38"/>
      <c r="L7075" s="38"/>
    </row>
    <row r="7076" spans="1:12" x14ac:dyDescent="0.25">
      <c r="A7076" s="35"/>
      <c r="B7076" s="36"/>
      <c r="C7076" s="36"/>
      <c r="D7076" s="36"/>
      <c r="E7076" s="36"/>
      <c r="F7076" s="36"/>
      <c r="G7076" s="36"/>
      <c r="H7076" s="36"/>
      <c r="I7076" s="37"/>
      <c r="J7076" s="36"/>
      <c r="K7076" s="38"/>
      <c r="L7076" s="38"/>
    </row>
    <row r="7077" spans="1:12" x14ac:dyDescent="0.25">
      <c r="A7077" s="35"/>
      <c r="B7077" s="36"/>
      <c r="C7077" s="36"/>
      <c r="D7077" s="36"/>
      <c r="E7077" s="36"/>
      <c r="F7077" s="36"/>
      <c r="G7077" s="36"/>
      <c r="H7077" s="36"/>
      <c r="I7077" s="37"/>
      <c r="J7077" s="36"/>
      <c r="K7077" s="38"/>
      <c r="L7077" s="38"/>
    </row>
    <row r="7078" spans="1:12" x14ac:dyDescent="0.25">
      <c r="A7078" s="35"/>
      <c r="B7078" s="36"/>
      <c r="C7078" s="36"/>
      <c r="D7078" s="36"/>
      <c r="E7078" s="36"/>
      <c r="F7078" s="36"/>
      <c r="G7078" s="36"/>
      <c r="H7078" s="36"/>
      <c r="I7078" s="37"/>
      <c r="J7078" s="36"/>
      <c r="K7078" s="38"/>
      <c r="L7078" s="38"/>
    </row>
    <row r="7079" spans="1:12" x14ac:dyDescent="0.25">
      <c r="A7079" s="35"/>
      <c r="B7079" s="36"/>
      <c r="C7079" s="36"/>
      <c r="D7079" s="36"/>
      <c r="E7079" s="36"/>
      <c r="F7079" s="36"/>
      <c r="G7079" s="36"/>
      <c r="H7079" s="36"/>
      <c r="I7079" s="37"/>
      <c r="J7079" s="36"/>
      <c r="K7079" s="38"/>
      <c r="L7079" s="38"/>
    </row>
    <row r="7080" spans="1:12" x14ac:dyDescent="0.25">
      <c r="A7080" s="35"/>
      <c r="B7080" s="36"/>
      <c r="C7080" s="36"/>
      <c r="D7080" s="36"/>
      <c r="E7080" s="36"/>
      <c r="F7080" s="36"/>
      <c r="G7080" s="36"/>
      <c r="H7080" s="36"/>
      <c r="I7080" s="37"/>
      <c r="J7080" s="36"/>
      <c r="K7080" s="38"/>
      <c r="L7080" s="38"/>
    </row>
    <row r="7081" spans="1:12" x14ac:dyDescent="0.25">
      <c r="A7081" s="35"/>
      <c r="B7081" s="36"/>
      <c r="C7081" s="36"/>
      <c r="D7081" s="36"/>
      <c r="E7081" s="36"/>
      <c r="F7081" s="36"/>
      <c r="G7081" s="36"/>
      <c r="H7081" s="36"/>
      <c r="I7081" s="37"/>
      <c r="J7081" s="36"/>
      <c r="K7081" s="38"/>
      <c r="L7081" s="38"/>
    </row>
    <row r="7082" spans="1:12" x14ac:dyDescent="0.25">
      <c r="A7082" s="35"/>
      <c r="B7082" s="36"/>
      <c r="C7082" s="36"/>
      <c r="D7082" s="36"/>
      <c r="E7082" s="36"/>
      <c r="F7082" s="36"/>
      <c r="G7082" s="36"/>
      <c r="H7082" s="36"/>
      <c r="I7082" s="37"/>
      <c r="J7082" s="36"/>
      <c r="K7082" s="38"/>
      <c r="L7082" s="38"/>
    </row>
    <row r="7083" spans="1:12" x14ac:dyDescent="0.25">
      <c r="A7083" s="35"/>
      <c r="B7083" s="36"/>
      <c r="C7083" s="36"/>
      <c r="D7083" s="36"/>
      <c r="E7083" s="36"/>
      <c r="F7083" s="36"/>
      <c r="G7083" s="36"/>
      <c r="H7083" s="36"/>
      <c r="I7083" s="37"/>
      <c r="J7083" s="36"/>
      <c r="K7083" s="38"/>
      <c r="L7083" s="38"/>
    </row>
    <row r="7084" spans="1:12" x14ac:dyDescent="0.25">
      <c r="A7084" s="35"/>
      <c r="B7084" s="36"/>
      <c r="C7084" s="36"/>
      <c r="D7084" s="36"/>
      <c r="E7084" s="36"/>
      <c r="F7084" s="36"/>
      <c r="G7084" s="36"/>
      <c r="H7084" s="36"/>
      <c r="I7084" s="37"/>
      <c r="J7084" s="36"/>
      <c r="K7084" s="38"/>
      <c r="L7084" s="38"/>
    </row>
    <row r="7085" spans="1:12" x14ac:dyDescent="0.25">
      <c r="A7085" s="35"/>
      <c r="B7085" s="36"/>
      <c r="C7085" s="36"/>
      <c r="D7085" s="36"/>
      <c r="E7085" s="36"/>
      <c r="F7085" s="36"/>
      <c r="G7085" s="36"/>
      <c r="H7085" s="36"/>
      <c r="I7085" s="37"/>
      <c r="J7085" s="36"/>
      <c r="K7085" s="38"/>
      <c r="L7085" s="38"/>
    </row>
    <row r="7086" spans="1:12" x14ac:dyDescent="0.25">
      <c r="A7086" s="35"/>
      <c r="B7086" s="36"/>
      <c r="C7086" s="36"/>
      <c r="D7086" s="36"/>
      <c r="E7086" s="36"/>
      <c r="F7086" s="36"/>
      <c r="G7086" s="36"/>
      <c r="H7086" s="36"/>
      <c r="I7086" s="37"/>
      <c r="J7086" s="36"/>
      <c r="K7086" s="38"/>
      <c r="L7086" s="38"/>
    </row>
    <row r="7087" spans="1:12" x14ac:dyDescent="0.25">
      <c r="A7087" s="35"/>
      <c r="B7087" s="36"/>
      <c r="C7087" s="36"/>
      <c r="D7087" s="36"/>
      <c r="E7087" s="36"/>
      <c r="F7087" s="36"/>
      <c r="G7087" s="36"/>
      <c r="H7087" s="36"/>
      <c r="I7087" s="37"/>
      <c r="J7087" s="36"/>
      <c r="K7087" s="38"/>
      <c r="L7087" s="38"/>
    </row>
    <row r="7088" spans="1:12" x14ac:dyDescent="0.25">
      <c r="A7088" s="35"/>
      <c r="B7088" s="36"/>
      <c r="C7088" s="36"/>
      <c r="D7088" s="36"/>
      <c r="E7088" s="36"/>
      <c r="F7088" s="36"/>
      <c r="G7088" s="36"/>
      <c r="H7088" s="36"/>
      <c r="I7088" s="37"/>
      <c r="J7088" s="36"/>
      <c r="K7088" s="38"/>
      <c r="L7088" s="38"/>
    </row>
    <row r="7089" spans="1:12" x14ac:dyDescent="0.25">
      <c r="A7089" s="35"/>
      <c r="B7089" s="36"/>
      <c r="C7089" s="36"/>
      <c r="D7089" s="36"/>
      <c r="E7089" s="36"/>
      <c r="F7089" s="36"/>
      <c r="G7089" s="36"/>
      <c r="H7089" s="36"/>
      <c r="I7089" s="37"/>
      <c r="J7089" s="36"/>
      <c r="K7089" s="38"/>
      <c r="L7089" s="38"/>
    </row>
    <row r="7090" spans="1:12" x14ac:dyDescent="0.25">
      <c r="A7090" s="35"/>
      <c r="B7090" s="36"/>
      <c r="C7090" s="36"/>
      <c r="D7090" s="36"/>
      <c r="E7090" s="36"/>
      <c r="F7090" s="36"/>
      <c r="G7090" s="36"/>
      <c r="H7090" s="36"/>
      <c r="I7090" s="37"/>
      <c r="J7090" s="36"/>
      <c r="K7090" s="38"/>
      <c r="L7090" s="38"/>
    </row>
    <row r="7091" spans="1:12" x14ac:dyDescent="0.25">
      <c r="A7091" s="35"/>
      <c r="B7091" s="36"/>
      <c r="C7091" s="36"/>
      <c r="D7091" s="36"/>
      <c r="E7091" s="36"/>
      <c r="F7091" s="36"/>
      <c r="G7091" s="36"/>
      <c r="H7091" s="36"/>
      <c r="I7091" s="37"/>
      <c r="J7091" s="36"/>
      <c r="K7091" s="38"/>
      <c r="L7091" s="38"/>
    </row>
    <row r="7092" spans="1:12" x14ac:dyDescent="0.25">
      <c r="A7092" s="35"/>
      <c r="B7092" s="36"/>
      <c r="C7092" s="36"/>
      <c r="D7092" s="36"/>
      <c r="E7092" s="36"/>
      <c r="F7092" s="36"/>
      <c r="G7092" s="36"/>
      <c r="H7092" s="36"/>
      <c r="I7092" s="37"/>
      <c r="J7092" s="36"/>
      <c r="K7092" s="38"/>
      <c r="L7092" s="38"/>
    </row>
    <row r="7093" spans="1:12" x14ac:dyDescent="0.25">
      <c r="A7093" s="35"/>
      <c r="B7093" s="36"/>
      <c r="C7093" s="36"/>
      <c r="D7093" s="36"/>
      <c r="E7093" s="36"/>
      <c r="F7093" s="36"/>
      <c r="G7093" s="36"/>
      <c r="H7093" s="36"/>
      <c r="I7093" s="37"/>
      <c r="J7093" s="36"/>
      <c r="K7093" s="38"/>
      <c r="L7093" s="38"/>
    </row>
    <row r="7094" spans="1:12" x14ac:dyDescent="0.25">
      <c r="A7094" s="35"/>
      <c r="B7094" s="36"/>
      <c r="C7094" s="36"/>
      <c r="D7094" s="36"/>
      <c r="E7094" s="36"/>
      <c r="F7094" s="36"/>
      <c r="G7094" s="36"/>
      <c r="H7094" s="36"/>
      <c r="I7094" s="37"/>
      <c r="J7094" s="36"/>
      <c r="K7094" s="38"/>
      <c r="L7094" s="38"/>
    </row>
    <row r="7095" spans="1:12" x14ac:dyDescent="0.25">
      <c r="A7095" s="35"/>
      <c r="B7095" s="36"/>
      <c r="C7095" s="36"/>
      <c r="D7095" s="36"/>
      <c r="E7095" s="36"/>
      <c r="F7095" s="36"/>
      <c r="G7095" s="36"/>
      <c r="H7095" s="36"/>
      <c r="I7095" s="37"/>
      <c r="J7095" s="36"/>
      <c r="K7095" s="38"/>
      <c r="L7095" s="38"/>
    </row>
    <row r="7096" spans="1:12" x14ac:dyDescent="0.25">
      <c r="A7096" s="35"/>
      <c r="B7096" s="36"/>
      <c r="C7096" s="36"/>
      <c r="D7096" s="36"/>
      <c r="E7096" s="36"/>
      <c r="F7096" s="36"/>
      <c r="G7096" s="36"/>
      <c r="H7096" s="36"/>
      <c r="I7096" s="37"/>
      <c r="J7096" s="36"/>
      <c r="K7096" s="38"/>
      <c r="L7096" s="38"/>
    </row>
    <row r="7097" spans="1:12" x14ac:dyDescent="0.25">
      <c r="A7097" s="35"/>
      <c r="B7097" s="36"/>
      <c r="C7097" s="36"/>
      <c r="D7097" s="36"/>
      <c r="E7097" s="36"/>
      <c r="F7097" s="36"/>
      <c r="G7097" s="36"/>
      <c r="H7097" s="36"/>
      <c r="I7097" s="37"/>
      <c r="J7097" s="36"/>
      <c r="K7097" s="38"/>
      <c r="L7097" s="38"/>
    </row>
    <row r="7098" spans="1:12" x14ac:dyDescent="0.25">
      <c r="A7098" s="35"/>
      <c r="B7098" s="36"/>
      <c r="C7098" s="36"/>
      <c r="D7098" s="36"/>
      <c r="E7098" s="36"/>
      <c r="F7098" s="36"/>
      <c r="G7098" s="36"/>
      <c r="H7098" s="36"/>
      <c r="I7098" s="37"/>
      <c r="J7098" s="36"/>
      <c r="K7098" s="38"/>
      <c r="L7098" s="38"/>
    </row>
    <row r="7099" spans="1:12" x14ac:dyDescent="0.25">
      <c r="A7099" s="35"/>
      <c r="B7099" s="36"/>
      <c r="C7099" s="36"/>
      <c r="D7099" s="36"/>
      <c r="E7099" s="36"/>
      <c r="F7099" s="36"/>
      <c r="G7099" s="36"/>
      <c r="H7099" s="36"/>
      <c r="I7099" s="37"/>
      <c r="J7099" s="36"/>
      <c r="K7099" s="38"/>
      <c r="L7099" s="38"/>
    </row>
    <row r="7100" spans="1:12" x14ac:dyDescent="0.25">
      <c r="A7100" s="35"/>
      <c r="B7100" s="36"/>
      <c r="C7100" s="36"/>
      <c r="D7100" s="36"/>
      <c r="E7100" s="36"/>
      <c r="F7100" s="36"/>
      <c r="G7100" s="36"/>
      <c r="H7100" s="36"/>
      <c r="I7100" s="37"/>
      <c r="J7100" s="36"/>
      <c r="K7100" s="38"/>
      <c r="L7100" s="38"/>
    </row>
    <row r="7101" spans="1:12" x14ac:dyDescent="0.25">
      <c r="A7101" s="35"/>
      <c r="B7101" s="36"/>
      <c r="C7101" s="36"/>
      <c r="D7101" s="36"/>
      <c r="E7101" s="36"/>
      <c r="F7101" s="36"/>
      <c r="G7101" s="36"/>
      <c r="H7101" s="36"/>
      <c r="I7101" s="37"/>
      <c r="J7101" s="36"/>
      <c r="K7101" s="38"/>
      <c r="L7101" s="38"/>
    </row>
    <row r="7102" spans="1:12" x14ac:dyDescent="0.25">
      <c r="A7102" s="35"/>
      <c r="B7102" s="36"/>
      <c r="C7102" s="36"/>
      <c r="D7102" s="36"/>
      <c r="E7102" s="36"/>
      <c r="F7102" s="36"/>
      <c r="G7102" s="36"/>
      <c r="H7102" s="36"/>
      <c r="I7102" s="37"/>
      <c r="J7102" s="36"/>
      <c r="K7102" s="38"/>
      <c r="L7102" s="38"/>
    </row>
    <row r="7103" spans="1:12" x14ac:dyDescent="0.25">
      <c r="A7103" s="35"/>
      <c r="B7103" s="36"/>
      <c r="C7103" s="36"/>
      <c r="D7103" s="36"/>
      <c r="E7103" s="36"/>
      <c r="F7103" s="36"/>
      <c r="G7103" s="36"/>
      <c r="H7103" s="36"/>
      <c r="I7103" s="37"/>
      <c r="J7103" s="36"/>
      <c r="K7103" s="38"/>
      <c r="L7103" s="38"/>
    </row>
    <row r="7104" spans="1:12" x14ac:dyDescent="0.25">
      <c r="A7104" s="35"/>
      <c r="B7104" s="36"/>
      <c r="C7104" s="36"/>
      <c r="D7104" s="36"/>
      <c r="E7104" s="36"/>
      <c r="F7104" s="36"/>
      <c r="G7104" s="36"/>
      <c r="H7104" s="36"/>
      <c r="I7104" s="37"/>
      <c r="J7104" s="36"/>
      <c r="K7104" s="38"/>
      <c r="L7104" s="38"/>
    </row>
    <row r="7105" spans="1:12" x14ac:dyDescent="0.25">
      <c r="A7105" s="35"/>
      <c r="B7105" s="36"/>
      <c r="C7105" s="36"/>
      <c r="D7105" s="36"/>
      <c r="E7105" s="36"/>
      <c r="F7105" s="36"/>
      <c r="G7105" s="36"/>
      <c r="H7105" s="36"/>
      <c r="I7105" s="37"/>
      <c r="J7105" s="36"/>
      <c r="K7105" s="38"/>
      <c r="L7105" s="38"/>
    </row>
    <row r="7106" spans="1:12" x14ac:dyDescent="0.25">
      <c r="A7106" s="35"/>
      <c r="B7106" s="36"/>
      <c r="C7106" s="36"/>
      <c r="D7106" s="36"/>
      <c r="E7106" s="36"/>
      <c r="F7106" s="36"/>
      <c r="G7106" s="36"/>
      <c r="H7106" s="36"/>
      <c r="I7106" s="37"/>
      <c r="J7106" s="36"/>
      <c r="K7106" s="38"/>
      <c r="L7106" s="38"/>
    </row>
    <row r="7107" spans="1:12" x14ac:dyDescent="0.25">
      <c r="A7107" s="35"/>
      <c r="B7107" s="36"/>
      <c r="C7107" s="36"/>
      <c r="D7107" s="36"/>
      <c r="E7107" s="36"/>
      <c r="F7107" s="36"/>
      <c r="G7107" s="36"/>
      <c r="H7107" s="36"/>
      <c r="I7107" s="37"/>
      <c r="J7107" s="36"/>
      <c r="K7107" s="38"/>
      <c r="L7107" s="38"/>
    </row>
    <row r="7108" spans="1:12" x14ac:dyDescent="0.25">
      <c r="A7108" s="35"/>
      <c r="B7108" s="36"/>
      <c r="C7108" s="36"/>
      <c r="D7108" s="36"/>
      <c r="E7108" s="36"/>
      <c r="F7108" s="36"/>
      <c r="G7108" s="36"/>
      <c r="H7108" s="36"/>
      <c r="I7108" s="37"/>
      <c r="J7108" s="36"/>
      <c r="K7108" s="38"/>
      <c r="L7108" s="38"/>
    </row>
    <row r="7109" spans="1:12" x14ac:dyDescent="0.25">
      <c r="A7109" s="35"/>
      <c r="B7109" s="36"/>
      <c r="C7109" s="36"/>
      <c r="D7109" s="36"/>
      <c r="E7109" s="36"/>
      <c r="F7109" s="36"/>
      <c r="G7109" s="36"/>
      <c r="H7109" s="36"/>
      <c r="I7109" s="37"/>
      <c r="J7109" s="36"/>
      <c r="K7109" s="38"/>
      <c r="L7109" s="38"/>
    </row>
    <row r="7110" spans="1:12" x14ac:dyDescent="0.25">
      <c r="A7110" s="35"/>
      <c r="B7110" s="36"/>
      <c r="C7110" s="36"/>
      <c r="D7110" s="36"/>
      <c r="E7110" s="36"/>
      <c r="F7110" s="36"/>
      <c r="G7110" s="36"/>
      <c r="H7110" s="36"/>
      <c r="I7110" s="37"/>
      <c r="J7110" s="36"/>
      <c r="K7110" s="38"/>
      <c r="L7110" s="38"/>
    </row>
    <row r="7111" spans="1:12" x14ac:dyDescent="0.25">
      <c r="A7111" s="35"/>
      <c r="B7111" s="36"/>
      <c r="C7111" s="36"/>
      <c r="D7111" s="36"/>
      <c r="E7111" s="36"/>
      <c r="F7111" s="36"/>
      <c r="G7111" s="36"/>
      <c r="H7111" s="36"/>
      <c r="I7111" s="37"/>
      <c r="J7111" s="36"/>
      <c r="K7111" s="38"/>
      <c r="L7111" s="38"/>
    </row>
    <row r="7112" spans="1:12" x14ac:dyDescent="0.25">
      <c r="A7112" s="35"/>
      <c r="B7112" s="36"/>
      <c r="C7112" s="36"/>
      <c r="D7112" s="36"/>
      <c r="E7112" s="36"/>
      <c r="F7112" s="36"/>
      <c r="G7112" s="36"/>
      <c r="H7112" s="36"/>
      <c r="I7112" s="37"/>
      <c r="J7112" s="36"/>
      <c r="K7112" s="38"/>
      <c r="L7112" s="38"/>
    </row>
    <row r="7113" spans="1:12" x14ac:dyDescent="0.25">
      <c r="A7113" s="35"/>
      <c r="B7113" s="36"/>
      <c r="C7113" s="36"/>
      <c r="D7113" s="36"/>
      <c r="E7113" s="36"/>
      <c r="F7113" s="36"/>
      <c r="G7113" s="36"/>
      <c r="H7113" s="36"/>
      <c r="I7113" s="37"/>
      <c r="J7113" s="36"/>
      <c r="K7113" s="38"/>
      <c r="L7113" s="38"/>
    </row>
    <row r="7114" spans="1:12" x14ac:dyDescent="0.25">
      <c r="A7114" s="35"/>
      <c r="B7114" s="36"/>
      <c r="C7114" s="36"/>
      <c r="D7114" s="36"/>
      <c r="E7114" s="36"/>
      <c r="F7114" s="36"/>
      <c r="G7114" s="36"/>
      <c r="H7114" s="36"/>
      <c r="I7114" s="37"/>
      <c r="J7114" s="36"/>
      <c r="K7114" s="38"/>
      <c r="L7114" s="38"/>
    </row>
    <row r="7115" spans="1:12" x14ac:dyDescent="0.25">
      <c r="A7115" s="35"/>
      <c r="B7115" s="36"/>
      <c r="C7115" s="36"/>
      <c r="D7115" s="36"/>
      <c r="E7115" s="36"/>
      <c r="F7115" s="36"/>
      <c r="G7115" s="36"/>
      <c r="H7115" s="36"/>
      <c r="I7115" s="37"/>
      <c r="J7115" s="36"/>
      <c r="K7115" s="38"/>
      <c r="L7115" s="38"/>
    </row>
    <row r="7116" spans="1:12" x14ac:dyDescent="0.25">
      <c r="A7116" s="35"/>
      <c r="B7116" s="36"/>
      <c r="C7116" s="36"/>
      <c r="D7116" s="36"/>
      <c r="E7116" s="36"/>
      <c r="F7116" s="36"/>
      <c r="G7116" s="36"/>
      <c r="H7116" s="36"/>
      <c r="I7116" s="37"/>
      <c r="J7116" s="36"/>
      <c r="K7116" s="38"/>
      <c r="L7116" s="38"/>
    </row>
    <row r="7117" spans="1:12" x14ac:dyDescent="0.25">
      <c r="A7117" s="35"/>
      <c r="B7117" s="36"/>
      <c r="C7117" s="36"/>
      <c r="D7117" s="36"/>
      <c r="E7117" s="36"/>
      <c r="F7117" s="36"/>
      <c r="G7117" s="36"/>
      <c r="H7117" s="36"/>
      <c r="I7117" s="37"/>
      <c r="J7117" s="36"/>
      <c r="K7117" s="38"/>
      <c r="L7117" s="38"/>
    </row>
    <row r="7118" spans="1:12" x14ac:dyDescent="0.25">
      <c r="A7118" s="35"/>
      <c r="B7118" s="36"/>
      <c r="C7118" s="36"/>
      <c r="D7118" s="36"/>
      <c r="E7118" s="36"/>
      <c r="F7118" s="36"/>
      <c r="G7118" s="36"/>
      <c r="H7118" s="36"/>
      <c r="I7118" s="37"/>
      <c r="J7118" s="36"/>
      <c r="K7118" s="38"/>
      <c r="L7118" s="38"/>
    </row>
    <row r="7119" spans="1:12" x14ac:dyDescent="0.25">
      <c r="A7119" s="35"/>
      <c r="B7119" s="36"/>
      <c r="C7119" s="36"/>
      <c r="D7119" s="36"/>
      <c r="E7119" s="36"/>
      <c r="F7119" s="36"/>
      <c r="G7119" s="36"/>
      <c r="H7119" s="36"/>
      <c r="I7119" s="37"/>
      <c r="J7119" s="36"/>
      <c r="K7119" s="38"/>
      <c r="L7119" s="38"/>
    </row>
    <row r="7120" spans="1:12" x14ac:dyDescent="0.25">
      <c r="A7120" s="35"/>
      <c r="B7120" s="36"/>
      <c r="C7120" s="36"/>
      <c r="D7120" s="36"/>
      <c r="E7120" s="36"/>
      <c r="F7120" s="36"/>
      <c r="G7120" s="36"/>
      <c r="H7120" s="36"/>
      <c r="I7120" s="37"/>
      <c r="J7120" s="36"/>
      <c r="K7120" s="38"/>
      <c r="L7120" s="38"/>
    </row>
    <row r="7121" spans="1:12" x14ac:dyDescent="0.25">
      <c r="A7121" s="35"/>
      <c r="B7121" s="36"/>
      <c r="C7121" s="36"/>
      <c r="D7121" s="36"/>
      <c r="E7121" s="36"/>
      <c r="F7121" s="36"/>
      <c r="G7121" s="36"/>
      <c r="H7121" s="36"/>
      <c r="I7121" s="37"/>
      <c r="J7121" s="36"/>
      <c r="K7121" s="38"/>
      <c r="L7121" s="38"/>
    </row>
    <row r="7122" spans="1:12" x14ac:dyDescent="0.25">
      <c r="A7122" s="35"/>
      <c r="B7122" s="36"/>
      <c r="C7122" s="36"/>
      <c r="D7122" s="36"/>
      <c r="E7122" s="36"/>
      <c r="F7122" s="36"/>
      <c r="G7122" s="36"/>
      <c r="H7122" s="36"/>
      <c r="I7122" s="37"/>
      <c r="J7122" s="36"/>
      <c r="K7122" s="38"/>
      <c r="L7122" s="38"/>
    </row>
    <row r="7123" spans="1:12" x14ac:dyDescent="0.25">
      <c r="A7123" s="35"/>
      <c r="B7123" s="36"/>
      <c r="C7123" s="36"/>
      <c r="D7123" s="36"/>
      <c r="E7123" s="36"/>
      <c r="F7123" s="36"/>
      <c r="G7123" s="36"/>
      <c r="H7123" s="36"/>
      <c r="I7123" s="37"/>
      <c r="J7123" s="36"/>
      <c r="K7123" s="38"/>
      <c r="L7123" s="38"/>
    </row>
    <row r="7124" spans="1:12" x14ac:dyDescent="0.25">
      <c r="A7124" s="35"/>
      <c r="B7124" s="36"/>
      <c r="C7124" s="36"/>
      <c r="D7124" s="36"/>
      <c r="E7124" s="36"/>
      <c r="F7124" s="36"/>
      <c r="G7124" s="36"/>
      <c r="H7124" s="36"/>
      <c r="I7124" s="37"/>
      <c r="J7124" s="36"/>
      <c r="K7124" s="38"/>
      <c r="L7124" s="38"/>
    </row>
    <row r="7125" spans="1:12" x14ac:dyDescent="0.25">
      <c r="A7125" s="35"/>
      <c r="B7125" s="36"/>
      <c r="C7125" s="36"/>
      <c r="D7125" s="36"/>
      <c r="E7125" s="36"/>
      <c r="F7125" s="36"/>
      <c r="G7125" s="36"/>
      <c r="H7125" s="36"/>
      <c r="I7125" s="37"/>
      <c r="J7125" s="36"/>
      <c r="K7125" s="38"/>
      <c r="L7125" s="38"/>
    </row>
    <row r="7126" spans="1:12" x14ac:dyDescent="0.25">
      <c r="A7126" s="35"/>
      <c r="B7126" s="36"/>
      <c r="C7126" s="36"/>
      <c r="D7126" s="36"/>
      <c r="E7126" s="36"/>
      <c r="F7126" s="36"/>
      <c r="G7126" s="36"/>
      <c r="H7126" s="36"/>
      <c r="I7126" s="37"/>
      <c r="J7126" s="36"/>
      <c r="K7126" s="38"/>
      <c r="L7126" s="38"/>
    </row>
    <row r="7127" spans="1:12" x14ac:dyDescent="0.25">
      <c r="A7127" s="35"/>
      <c r="B7127" s="36"/>
      <c r="C7127" s="36"/>
      <c r="D7127" s="36"/>
      <c r="E7127" s="36"/>
      <c r="F7127" s="36"/>
      <c r="G7127" s="36"/>
      <c r="H7127" s="36"/>
      <c r="I7127" s="37"/>
      <c r="J7127" s="36"/>
      <c r="K7127" s="38"/>
      <c r="L7127" s="38"/>
    </row>
    <row r="7128" spans="1:12" x14ac:dyDescent="0.25">
      <c r="A7128" s="35"/>
      <c r="B7128" s="36"/>
      <c r="C7128" s="36"/>
      <c r="D7128" s="36"/>
      <c r="E7128" s="36"/>
      <c r="F7128" s="36"/>
      <c r="G7128" s="36"/>
      <c r="H7128" s="36"/>
      <c r="I7128" s="37"/>
      <c r="J7128" s="36"/>
      <c r="K7128" s="38"/>
      <c r="L7128" s="38"/>
    </row>
    <row r="7129" spans="1:12" x14ac:dyDescent="0.25">
      <c r="A7129" s="35"/>
      <c r="B7129" s="36"/>
      <c r="C7129" s="36"/>
      <c r="D7129" s="36"/>
      <c r="E7129" s="36"/>
      <c r="F7129" s="36"/>
      <c r="G7129" s="36"/>
      <c r="H7129" s="36"/>
      <c r="I7129" s="37"/>
      <c r="J7129" s="36"/>
      <c r="K7129" s="38"/>
      <c r="L7129" s="38"/>
    </row>
    <row r="7130" spans="1:12" x14ac:dyDescent="0.25">
      <c r="A7130" s="35"/>
      <c r="B7130" s="36"/>
      <c r="C7130" s="36"/>
      <c r="D7130" s="36"/>
      <c r="E7130" s="36"/>
      <c r="F7130" s="36"/>
      <c r="G7130" s="36"/>
      <c r="H7130" s="36"/>
      <c r="I7130" s="37"/>
      <c r="J7130" s="36"/>
      <c r="K7130" s="38"/>
      <c r="L7130" s="38"/>
    </row>
    <row r="7131" spans="1:12" x14ac:dyDescent="0.25">
      <c r="A7131" s="35"/>
      <c r="B7131" s="36"/>
      <c r="C7131" s="36"/>
      <c r="D7131" s="36"/>
      <c r="E7131" s="36"/>
      <c r="F7131" s="36"/>
      <c r="G7131" s="36"/>
      <c r="H7131" s="36"/>
      <c r="I7131" s="37"/>
      <c r="J7131" s="36"/>
      <c r="K7131" s="38"/>
      <c r="L7131" s="38"/>
    </row>
    <row r="7132" spans="1:12" x14ac:dyDescent="0.25">
      <c r="A7132" s="35"/>
      <c r="B7132" s="36"/>
      <c r="C7132" s="36"/>
      <c r="D7132" s="36"/>
      <c r="E7132" s="36"/>
      <c r="F7132" s="36"/>
      <c r="G7132" s="36"/>
      <c r="H7132" s="36"/>
      <c r="I7132" s="37"/>
      <c r="J7132" s="36"/>
      <c r="K7132" s="38"/>
      <c r="L7132" s="38"/>
    </row>
    <row r="7133" spans="1:12" x14ac:dyDescent="0.25">
      <c r="A7133" s="35"/>
      <c r="B7133" s="36"/>
      <c r="C7133" s="36"/>
      <c r="D7133" s="36"/>
      <c r="E7133" s="36"/>
      <c r="F7133" s="36"/>
      <c r="G7133" s="36"/>
      <c r="H7133" s="36"/>
      <c r="I7133" s="37"/>
      <c r="J7133" s="36"/>
      <c r="K7133" s="38"/>
      <c r="L7133" s="38"/>
    </row>
    <row r="7134" spans="1:12" x14ac:dyDescent="0.25">
      <c r="A7134" s="35"/>
      <c r="B7134" s="36"/>
      <c r="C7134" s="36"/>
      <c r="D7134" s="36"/>
      <c r="E7134" s="36"/>
      <c r="F7134" s="36"/>
      <c r="G7134" s="36"/>
      <c r="H7134" s="36"/>
      <c r="I7134" s="37"/>
      <c r="J7134" s="36"/>
      <c r="K7134" s="38"/>
      <c r="L7134" s="38"/>
    </row>
    <row r="7135" spans="1:12" x14ac:dyDescent="0.25">
      <c r="A7135" s="35"/>
      <c r="B7135" s="36"/>
      <c r="C7135" s="36"/>
      <c r="D7135" s="36"/>
      <c r="E7135" s="36"/>
      <c r="F7135" s="36"/>
      <c r="G7135" s="36"/>
      <c r="H7135" s="36"/>
      <c r="I7135" s="37"/>
      <c r="J7135" s="36"/>
      <c r="K7135" s="38"/>
      <c r="L7135" s="38"/>
    </row>
    <row r="7136" spans="1:12" x14ac:dyDescent="0.25">
      <c r="A7136" s="35"/>
      <c r="B7136" s="36"/>
      <c r="C7136" s="36"/>
      <c r="D7136" s="36"/>
      <c r="E7136" s="36"/>
      <c r="F7136" s="36"/>
      <c r="G7136" s="36"/>
      <c r="H7136" s="36"/>
      <c r="I7136" s="37"/>
      <c r="J7136" s="36"/>
      <c r="K7136" s="38"/>
      <c r="L7136" s="38"/>
    </row>
    <row r="7137" spans="1:12" x14ac:dyDescent="0.25">
      <c r="A7137" s="35"/>
      <c r="B7137" s="36"/>
      <c r="C7137" s="36"/>
      <c r="D7137" s="36"/>
      <c r="E7137" s="36"/>
      <c r="F7137" s="36"/>
      <c r="G7137" s="36"/>
      <c r="H7137" s="36"/>
      <c r="I7137" s="37"/>
      <c r="J7137" s="36"/>
      <c r="K7137" s="38"/>
      <c r="L7137" s="38"/>
    </row>
    <row r="7138" spans="1:12" x14ac:dyDescent="0.25">
      <c r="A7138" s="35"/>
      <c r="B7138" s="36"/>
      <c r="C7138" s="36"/>
      <c r="D7138" s="36"/>
      <c r="E7138" s="36"/>
      <c r="F7138" s="36"/>
      <c r="G7138" s="36"/>
      <c r="H7138" s="36"/>
      <c r="I7138" s="37"/>
      <c r="J7138" s="36"/>
      <c r="K7138" s="38"/>
      <c r="L7138" s="38"/>
    </row>
    <row r="7139" spans="1:12" x14ac:dyDescent="0.25">
      <c r="A7139" s="35"/>
      <c r="B7139" s="36"/>
      <c r="C7139" s="36"/>
      <c r="D7139" s="36"/>
      <c r="E7139" s="36"/>
      <c r="F7139" s="36"/>
      <c r="G7139" s="36"/>
      <c r="H7139" s="36"/>
      <c r="I7139" s="37"/>
      <c r="J7139" s="36"/>
      <c r="K7139" s="38"/>
      <c r="L7139" s="38"/>
    </row>
    <row r="7140" spans="1:12" x14ac:dyDescent="0.25">
      <c r="A7140" s="35"/>
      <c r="B7140" s="36"/>
      <c r="C7140" s="36"/>
      <c r="D7140" s="36"/>
      <c r="E7140" s="36"/>
      <c r="F7140" s="36"/>
      <c r="G7140" s="36"/>
      <c r="H7140" s="36"/>
      <c r="I7140" s="37"/>
      <c r="J7140" s="36"/>
      <c r="K7140" s="38"/>
      <c r="L7140" s="38"/>
    </row>
    <row r="7141" spans="1:12" x14ac:dyDescent="0.25">
      <c r="A7141" s="35"/>
      <c r="B7141" s="36"/>
      <c r="C7141" s="36"/>
      <c r="D7141" s="36"/>
      <c r="E7141" s="36"/>
      <c r="F7141" s="36"/>
      <c r="G7141" s="36"/>
      <c r="H7141" s="36"/>
      <c r="I7141" s="37"/>
      <c r="J7141" s="36"/>
      <c r="K7141" s="38"/>
      <c r="L7141" s="38"/>
    </row>
    <row r="7142" spans="1:12" x14ac:dyDescent="0.25">
      <c r="A7142" s="35"/>
      <c r="B7142" s="36"/>
      <c r="C7142" s="36"/>
      <c r="D7142" s="36"/>
      <c r="E7142" s="36"/>
      <c r="F7142" s="36"/>
      <c r="G7142" s="36"/>
      <c r="H7142" s="36"/>
      <c r="I7142" s="37"/>
      <c r="J7142" s="36"/>
      <c r="K7142" s="38"/>
      <c r="L7142" s="38"/>
    </row>
    <row r="7143" spans="1:12" x14ac:dyDescent="0.25">
      <c r="A7143" s="35"/>
      <c r="B7143" s="36"/>
      <c r="C7143" s="36"/>
      <c r="D7143" s="36"/>
      <c r="E7143" s="36"/>
      <c r="F7143" s="36"/>
      <c r="G7143" s="36"/>
      <c r="H7143" s="36"/>
      <c r="I7143" s="37"/>
      <c r="J7143" s="36"/>
      <c r="K7143" s="38"/>
      <c r="L7143" s="38"/>
    </row>
    <row r="7144" spans="1:12" x14ac:dyDescent="0.25">
      <c r="A7144" s="35"/>
      <c r="B7144" s="36"/>
      <c r="C7144" s="36"/>
      <c r="D7144" s="36"/>
      <c r="E7144" s="36"/>
      <c r="F7144" s="36"/>
      <c r="G7144" s="36"/>
      <c r="H7144" s="36"/>
      <c r="I7144" s="37"/>
      <c r="J7144" s="36"/>
      <c r="K7144" s="38"/>
      <c r="L7144" s="38"/>
    </row>
    <row r="7145" spans="1:12" x14ac:dyDescent="0.25">
      <c r="A7145" s="35"/>
      <c r="B7145" s="36"/>
      <c r="C7145" s="36"/>
      <c r="D7145" s="36"/>
      <c r="E7145" s="36"/>
      <c r="F7145" s="36"/>
      <c r="G7145" s="36"/>
      <c r="H7145" s="36"/>
      <c r="I7145" s="37"/>
      <c r="J7145" s="36"/>
      <c r="K7145" s="38"/>
      <c r="L7145" s="38"/>
    </row>
    <row r="7146" spans="1:12" x14ac:dyDescent="0.25">
      <c r="A7146" s="35"/>
      <c r="B7146" s="36"/>
      <c r="C7146" s="36"/>
      <c r="D7146" s="36"/>
      <c r="E7146" s="36"/>
      <c r="F7146" s="36"/>
      <c r="G7146" s="36"/>
      <c r="H7146" s="36"/>
      <c r="I7146" s="37"/>
      <c r="J7146" s="36"/>
      <c r="K7146" s="38"/>
      <c r="L7146" s="38"/>
    </row>
    <row r="7147" spans="1:12" x14ac:dyDescent="0.25">
      <c r="A7147" s="35"/>
      <c r="B7147" s="36"/>
      <c r="C7147" s="36"/>
      <c r="D7147" s="36"/>
      <c r="E7147" s="36"/>
      <c r="F7147" s="36"/>
      <c r="G7147" s="36"/>
      <c r="H7147" s="36"/>
      <c r="I7147" s="37"/>
      <c r="J7147" s="36"/>
      <c r="K7147" s="38"/>
      <c r="L7147" s="38"/>
    </row>
    <row r="7148" spans="1:12" x14ac:dyDescent="0.25">
      <c r="A7148" s="35"/>
      <c r="B7148" s="36"/>
      <c r="C7148" s="36"/>
      <c r="D7148" s="36"/>
      <c r="E7148" s="36"/>
      <c r="F7148" s="36"/>
      <c r="G7148" s="36"/>
      <c r="H7148" s="36"/>
      <c r="I7148" s="37"/>
      <c r="J7148" s="36"/>
      <c r="K7148" s="38"/>
      <c r="L7148" s="38"/>
    </row>
    <row r="7149" spans="1:12" x14ac:dyDescent="0.25">
      <c r="A7149" s="35"/>
      <c r="B7149" s="36"/>
      <c r="C7149" s="36"/>
      <c r="D7149" s="36"/>
      <c r="E7149" s="36"/>
      <c r="F7149" s="36"/>
      <c r="G7149" s="36"/>
      <c r="H7149" s="36"/>
      <c r="I7149" s="37"/>
      <c r="J7149" s="36"/>
      <c r="K7149" s="38"/>
      <c r="L7149" s="38"/>
    </row>
    <row r="7150" spans="1:12" x14ac:dyDescent="0.25">
      <c r="A7150" s="35"/>
      <c r="B7150" s="36"/>
      <c r="C7150" s="36"/>
      <c r="D7150" s="36"/>
      <c r="E7150" s="36"/>
      <c r="F7150" s="36"/>
      <c r="G7150" s="36"/>
      <c r="H7150" s="36"/>
      <c r="I7150" s="37"/>
      <c r="J7150" s="36"/>
      <c r="K7150" s="38"/>
      <c r="L7150" s="38"/>
    </row>
    <row r="7151" spans="1:12" x14ac:dyDescent="0.25">
      <c r="A7151" s="35"/>
      <c r="B7151" s="36"/>
      <c r="C7151" s="36"/>
      <c r="D7151" s="36"/>
      <c r="E7151" s="36"/>
      <c r="F7151" s="36"/>
      <c r="G7151" s="36"/>
      <c r="H7151" s="36"/>
      <c r="I7151" s="37"/>
      <c r="J7151" s="36"/>
      <c r="K7151" s="38"/>
      <c r="L7151" s="38"/>
    </row>
    <row r="7152" spans="1:12" x14ac:dyDescent="0.25">
      <c r="A7152" s="35"/>
      <c r="B7152" s="36"/>
      <c r="C7152" s="36"/>
      <c r="D7152" s="36"/>
      <c r="E7152" s="36"/>
      <c r="F7152" s="36"/>
      <c r="G7152" s="36"/>
      <c r="H7152" s="36"/>
      <c r="I7152" s="37"/>
      <c r="J7152" s="36"/>
      <c r="K7152" s="38"/>
      <c r="L7152" s="38"/>
    </row>
    <row r="7153" spans="1:12" x14ac:dyDescent="0.25">
      <c r="A7153" s="35"/>
      <c r="B7153" s="36"/>
      <c r="C7153" s="36"/>
      <c r="D7153" s="36"/>
      <c r="E7153" s="36"/>
      <c r="F7153" s="36"/>
      <c r="G7153" s="36"/>
      <c r="H7153" s="36"/>
      <c r="I7153" s="37"/>
      <c r="J7153" s="36"/>
      <c r="K7153" s="38"/>
      <c r="L7153" s="38"/>
    </row>
    <row r="7154" spans="1:12" x14ac:dyDescent="0.25">
      <c r="A7154" s="35"/>
      <c r="B7154" s="36"/>
      <c r="C7154" s="36"/>
      <c r="D7154" s="36"/>
      <c r="E7154" s="36"/>
      <c r="F7154" s="36"/>
      <c r="G7154" s="36"/>
      <c r="H7154" s="36"/>
      <c r="I7154" s="37"/>
      <c r="J7154" s="36"/>
      <c r="K7154" s="38"/>
      <c r="L7154" s="38"/>
    </row>
    <row r="7155" spans="1:12" x14ac:dyDescent="0.25">
      <c r="A7155" s="35"/>
      <c r="B7155" s="36"/>
      <c r="C7155" s="36"/>
      <c r="D7155" s="36"/>
      <c r="E7155" s="36"/>
      <c r="F7155" s="36"/>
      <c r="G7155" s="36"/>
      <c r="H7155" s="36"/>
      <c r="I7155" s="37"/>
      <c r="J7155" s="36"/>
      <c r="K7155" s="38"/>
      <c r="L7155" s="38"/>
    </row>
    <row r="7156" spans="1:12" x14ac:dyDescent="0.25">
      <c r="A7156" s="35"/>
      <c r="B7156" s="36"/>
      <c r="C7156" s="36"/>
      <c r="D7156" s="36"/>
      <c r="E7156" s="36"/>
      <c r="F7156" s="36"/>
      <c r="G7156" s="36"/>
      <c r="H7156" s="36"/>
      <c r="I7156" s="37"/>
      <c r="J7156" s="36"/>
      <c r="K7156" s="38"/>
      <c r="L7156" s="38"/>
    </row>
    <row r="7157" spans="1:12" x14ac:dyDescent="0.25">
      <c r="A7157" s="35"/>
      <c r="B7157" s="36"/>
      <c r="C7157" s="36"/>
      <c r="D7157" s="36"/>
      <c r="E7157" s="36"/>
      <c r="F7157" s="36"/>
      <c r="G7157" s="36"/>
      <c r="H7157" s="36"/>
      <c r="I7157" s="37"/>
      <c r="J7157" s="36"/>
      <c r="K7157" s="38"/>
      <c r="L7157" s="38"/>
    </row>
    <row r="7158" spans="1:12" x14ac:dyDescent="0.25">
      <c r="A7158" s="35"/>
      <c r="B7158" s="36"/>
      <c r="C7158" s="36"/>
      <c r="D7158" s="36"/>
      <c r="E7158" s="36"/>
      <c r="F7158" s="36"/>
      <c r="G7158" s="36"/>
      <c r="H7158" s="36"/>
      <c r="I7158" s="37"/>
      <c r="J7158" s="36"/>
      <c r="K7158" s="38"/>
      <c r="L7158" s="38"/>
    </row>
    <row r="7159" spans="1:12" x14ac:dyDescent="0.25">
      <c r="A7159" s="35"/>
      <c r="B7159" s="36"/>
      <c r="C7159" s="36"/>
      <c r="D7159" s="36"/>
      <c r="E7159" s="36"/>
      <c r="F7159" s="36"/>
      <c r="G7159" s="36"/>
      <c r="H7159" s="36"/>
      <c r="I7159" s="37"/>
      <c r="J7159" s="36"/>
      <c r="K7159" s="38"/>
      <c r="L7159" s="38"/>
    </row>
    <row r="7160" spans="1:12" x14ac:dyDescent="0.25">
      <c r="A7160" s="35"/>
      <c r="B7160" s="36"/>
      <c r="C7160" s="36"/>
      <c r="D7160" s="36"/>
      <c r="E7160" s="36"/>
      <c r="F7160" s="36"/>
      <c r="G7160" s="36"/>
      <c r="H7160" s="36"/>
      <c r="I7160" s="37"/>
      <c r="J7160" s="36"/>
      <c r="K7160" s="38"/>
      <c r="L7160" s="38"/>
    </row>
    <row r="7161" spans="1:12" x14ac:dyDescent="0.25">
      <c r="A7161" s="35"/>
      <c r="B7161" s="36"/>
      <c r="C7161" s="36"/>
      <c r="D7161" s="36"/>
      <c r="E7161" s="36"/>
      <c r="F7161" s="36"/>
      <c r="G7161" s="36"/>
      <c r="H7161" s="36"/>
      <c r="I7161" s="37"/>
      <c r="J7161" s="36"/>
      <c r="K7161" s="38"/>
      <c r="L7161" s="38"/>
    </row>
    <row r="7162" spans="1:12" x14ac:dyDescent="0.25">
      <c r="A7162" s="35"/>
      <c r="B7162" s="36"/>
      <c r="C7162" s="36"/>
      <c r="D7162" s="36"/>
      <c r="E7162" s="36"/>
      <c r="F7162" s="36"/>
      <c r="G7162" s="36"/>
      <c r="H7162" s="36"/>
      <c r="I7162" s="37"/>
      <c r="J7162" s="36"/>
      <c r="K7162" s="38"/>
      <c r="L7162" s="38"/>
    </row>
    <row r="7163" spans="1:12" x14ac:dyDescent="0.25">
      <c r="A7163" s="35"/>
      <c r="B7163" s="36"/>
      <c r="C7163" s="36"/>
      <c r="D7163" s="36"/>
      <c r="E7163" s="36"/>
      <c r="F7163" s="36"/>
      <c r="G7163" s="36"/>
      <c r="H7163" s="36"/>
      <c r="I7163" s="37"/>
      <c r="J7163" s="36"/>
      <c r="K7163" s="38"/>
      <c r="L7163" s="38"/>
    </row>
    <row r="7164" spans="1:12" x14ac:dyDescent="0.25">
      <c r="A7164" s="35"/>
      <c r="B7164" s="36"/>
      <c r="C7164" s="36"/>
      <c r="D7164" s="36"/>
      <c r="E7164" s="36"/>
      <c r="F7164" s="36"/>
      <c r="G7164" s="36"/>
      <c r="H7164" s="36"/>
      <c r="I7164" s="37"/>
      <c r="J7164" s="36"/>
      <c r="K7164" s="38"/>
      <c r="L7164" s="38"/>
    </row>
    <row r="7165" spans="1:12" x14ac:dyDescent="0.25">
      <c r="A7165" s="35"/>
      <c r="B7165" s="36"/>
      <c r="C7165" s="36"/>
      <c r="D7165" s="36"/>
      <c r="E7165" s="36"/>
      <c r="F7165" s="36"/>
      <c r="G7165" s="36"/>
      <c r="H7165" s="36"/>
      <c r="I7165" s="37"/>
      <c r="J7165" s="36"/>
      <c r="K7165" s="38"/>
      <c r="L7165" s="38"/>
    </row>
    <row r="7166" spans="1:12" x14ac:dyDescent="0.25">
      <c r="A7166" s="35"/>
      <c r="B7166" s="36"/>
      <c r="C7166" s="36"/>
      <c r="D7166" s="36"/>
      <c r="E7166" s="36"/>
      <c r="F7166" s="36"/>
      <c r="G7166" s="36"/>
      <c r="H7166" s="36"/>
      <c r="I7166" s="37"/>
      <c r="J7166" s="36"/>
      <c r="K7166" s="38"/>
      <c r="L7166" s="38"/>
    </row>
    <row r="7167" spans="1:12" x14ac:dyDescent="0.25">
      <c r="A7167" s="35"/>
      <c r="B7167" s="36"/>
      <c r="C7167" s="36"/>
      <c r="D7167" s="36"/>
      <c r="E7167" s="36"/>
      <c r="F7167" s="36"/>
      <c r="G7167" s="36"/>
      <c r="H7167" s="36"/>
      <c r="I7167" s="37"/>
      <c r="J7167" s="36"/>
      <c r="K7167" s="38"/>
      <c r="L7167" s="38"/>
    </row>
    <row r="7168" spans="1:12" x14ac:dyDescent="0.25">
      <c r="A7168" s="35"/>
      <c r="B7168" s="36"/>
      <c r="C7168" s="36"/>
      <c r="D7168" s="36"/>
      <c r="E7168" s="36"/>
      <c r="F7168" s="36"/>
      <c r="G7168" s="36"/>
      <c r="H7168" s="36"/>
      <c r="I7168" s="37"/>
      <c r="J7168" s="36"/>
      <c r="K7168" s="38"/>
      <c r="L7168" s="38"/>
    </row>
    <row r="7169" spans="1:12" x14ac:dyDescent="0.25">
      <c r="A7169" s="35"/>
      <c r="B7169" s="36"/>
      <c r="C7169" s="36"/>
      <c r="D7169" s="36"/>
      <c r="E7169" s="36"/>
      <c r="F7169" s="36"/>
      <c r="G7169" s="36"/>
      <c r="H7169" s="36"/>
      <c r="I7169" s="37"/>
      <c r="J7169" s="36"/>
      <c r="K7169" s="38"/>
      <c r="L7169" s="38"/>
    </row>
    <row r="7170" spans="1:12" x14ac:dyDescent="0.25">
      <c r="A7170" s="35"/>
      <c r="B7170" s="36"/>
      <c r="C7170" s="36"/>
      <c r="D7170" s="36"/>
      <c r="E7170" s="36"/>
      <c r="F7170" s="36"/>
      <c r="G7170" s="36"/>
      <c r="H7170" s="36"/>
      <c r="I7170" s="37"/>
      <c r="J7170" s="36"/>
      <c r="K7170" s="38"/>
      <c r="L7170" s="38"/>
    </row>
    <row r="7171" spans="1:12" x14ac:dyDescent="0.25">
      <c r="A7171" s="35"/>
      <c r="B7171" s="36"/>
      <c r="C7171" s="36"/>
      <c r="D7171" s="36"/>
      <c r="E7171" s="36"/>
      <c r="F7171" s="36"/>
      <c r="G7171" s="36"/>
      <c r="H7171" s="36"/>
      <c r="I7171" s="37"/>
      <c r="J7171" s="36"/>
      <c r="K7171" s="38"/>
      <c r="L7171" s="38"/>
    </row>
    <row r="7172" spans="1:12" x14ac:dyDescent="0.25">
      <c r="A7172" s="35"/>
      <c r="B7172" s="36"/>
      <c r="C7172" s="36"/>
      <c r="D7172" s="36"/>
      <c r="E7172" s="36"/>
      <c r="F7172" s="36"/>
      <c r="G7172" s="36"/>
      <c r="H7172" s="36"/>
      <c r="I7172" s="37"/>
      <c r="J7172" s="36"/>
      <c r="K7172" s="38"/>
      <c r="L7172" s="38"/>
    </row>
    <row r="7173" spans="1:12" x14ac:dyDescent="0.25">
      <c r="A7173" s="35"/>
      <c r="B7173" s="36"/>
      <c r="C7173" s="36"/>
      <c r="D7173" s="36"/>
      <c r="E7173" s="36"/>
      <c r="F7173" s="36"/>
      <c r="G7173" s="36"/>
      <c r="H7173" s="36"/>
      <c r="I7173" s="37"/>
      <c r="J7173" s="36"/>
      <c r="K7173" s="38"/>
      <c r="L7173" s="38"/>
    </row>
    <row r="7174" spans="1:12" x14ac:dyDescent="0.25">
      <c r="A7174" s="35"/>
      <c r="B7174" s="36"/>
      <c r="C7174" s="36"/>
      <c r="D7174" s="36"/>
      <c r="E7174" s="36"/>
      <c r="F7174" s="36"/>
      <c r="G7174" s="36"/>
      <c r="H7174" s="36"/>
      <c r="I7174" s="37"/>
      <c r="J7174" s="36"/>
      <c r="K7174" s="38"/>
      <c r="L7174" s="38"/>
    </row>
    <row r="7175" spans="1:12" x14ac:dyDescent="0.25">
      <c r="A7175" s="35"/>
      <c r="B7175" s="36"/>
      <c r="C7175" s="36"/>
      <c r="D7175" s="36"/>
      <c r="E7175" s="36"/>
      <c r="F7175" s="36"/>
      <c r="G7175" s="36"/>
      <c r="H7175" s="36"/>
      <c r="I7175" s="37"/>
      <c r="J7175" s="36"/>
      <c r="K7175" s="38"/>
      <c r="L7175" s="38"/>
    </row>
    <row r="7176" spans="1:12" x14ac:dyDescent="0.25">
      <c r="A7176" s="35"/>
      <c r="B7176" s="36"/>
      <c r="C7176" s="36"/>
      <c r="D7176" s="36"/>
      <c r="E7176" s="36"/>
      <c r="F7176" s="36"/>
      <c r="G7176" s="36"/>
      <c r="H7176" s="36"/>
      <c r="I7176" s="37"/>
      <c r="J7176" s="36"/>
      <c r="K7176" s="38"/>
      <c r="L7176" s="38"/>
    </row>
    <row r="7177" spans="1:12" x14ac:dyDescent="0.25">
      <c r="A7177" s="35"/>
      <c r="B7177" s="36"/>
      <c r="C7177" s="36"/>
      <c r="D7177" s="36"/>
      <c r="E7177" s="36"/>
      <c r="F7177" s="36"/>
      <c r="G7177" s="36"/>
      <c r="H7177" s="36"/>
      <c r="I7177" s="37"/>
      <c r="J7177" s="36"/>
      <c r="K7177" s="38"/>
      <c r="L7177" s="38"/>
    </row>
    <row r="7178" spans="1:12" x14ac:dyDescent="0.25">
      <c r="A7178" s="35"/>
      <c r="B7178" s="36"/>
      <c r="C7178" s="36"/>
      <c r="D7178" s="36"/>
      <c r="E7178" s="36"/>
      <c r="F7178" s="36"/>
      <c r="G7178" s="36"/>
      <c r="H7178" s="36"/>
      <c r="I7178" s="37"/>
      <c r="J7178" s="36"/>
      <c r="K7178" s="38"/>
      <c r="L7178" s="38"/>
    </row>
    <row r="7179" spans="1:12" x14ac:dyDescent="0.25">
      <c r="A7179" s="35"/>
      <c r="B7179" s="36"/>
      <c r="C7179" s="36"/>
      <c r="D7179" s="36"/>
      <c r="E7179" s="36"/>
      <c r="F7179" s="36"/>
      <c r="G7179" s="36"/>
      <c r="H7179" s="36"/>
      <c r="I7179" s="37"/>
      <c r="J7179" s="36"/>
      <c r="K7179" s="38"/>
      <c r="L7179" s="38"/>
    </row>
    <row r="7180" spans="1:12" x14ac:dyDescent="0.25">
      <c r="A7180" s="35"/>
      <c r="B7180" s="36"/>
      <c r="C7180" s="36"/>
      <c r="D7180" s="36"/>
      <c r="E7180" s="36"/>
      <c r="F7180" s="36"/>
      <c r="G7180" s="36"/>
      <c r="H7180" s="36"/>
      <c r="I7180" s="37"/>
      <c r="J7180" s="36"/>
      <c r="K7180" s="38"/>
      <c r="L7180" s="38"/>
    </row>
    <row r="7181" spans="1:12" x14ac:dyDescent="0.25">
      <c r="A7181" s="35"/>
      <c r="B7181" s="36"/>
      <c r="C7181" s="36"/>
      <c r="D7181" s="36"/>
      <c r="E7181" s="36"/>
      <c r="F7181" s="36"/>
      <c r="G7181" s="36"/>
      <c r="H7181" s="36"/>
      <c r="I7181" s="37"/>
      <c r="J7181" s="36"/>
      <c r="K7181" s="38"/>
      <c r="L7181" s="38"/>
    </row>
    <row r="7182" spans="1:12" x14ac:dyDescent="0.25">
      <c r="A7182" s="35"/>
      <c r="B7182" s="36"/>
      <c r="C7182" s="36"/>
      <c r="D7182" s="36"/>
      <c r="E7182" s="36"/>
      <c r="F7182" s="36"/>
      <c r="G7182" s="36"/>
      <c r="H7182" s="36"/>
      <c r="I7182" s="37"/>
      <c r="J7182" s="36"/>
      <c r="K7182" s="38"/>
      <c r="L7182" s="38"/>
    </row>
    <row r="7183" spans="1:12" x14ac:dyDescent="0.25">
      <c r="A7183" s="35"/>
      <c r="B7183" s="36"/>
      <c r="C7183" s="36"/>
      <c r="D7183" s="36"/>
      <c r="E7183" s="36"/>
      <c r="F7183" s="36"/>
      <c r="G7183" s="36"/>
      <c r="H7183" s="36"/>
      <c r="I7183" s="37"/>
      <c r="J7183" s="36"/>
      <c r="K7183" s="38"/>
      <c r="L7183" s="38"/>
    </row>
    <row r="7184" spans="1:12" x14ac:dyDescent="0.25">
      <c r="A7184" s="35"/>
      <c r="B7184" s="36"/>
      <c r="C7184" s="36"/>
      <c r="D7184" s="36"/>
      <c r="E7184" s="36"/>
      <c r="F7184" s="36"/>
      <c r="G7184" s="36"/>
      <c r="H7184" s="36"/>
      <c r="I7184" s="37"/>
      <c r="J7184" s="36"/>
      <c r="K7184" s="38"/>
      <c r="L7184" s="38"/>
    </row>
    <row r="7185" spans="1:12" x14ac:dyDescent="0.25">
      <c r="A7185" s="35"/>
      <c r="B7185" s="36"/>
      <c r="C7185" s="36"/>
      <c r="D7185" s="36"/>
      <c r="E7185" s="36"/>
      <c r="F7185" s="36"/>
      <c r="G7185" s="36"/>
      <c r="H7185" s="36"/>
      <c r="I7185" s="37"/>
      <c r="J7185" s="36"/>
      <c r="K7185" s="38"/>
      <c r="L7185" s="38"/>
    </row>
    <row r="7186" spans="1:12" x14ac:dyDescent="0.25">
      <c r="A7186" s="35"/>
      <c r="B7186" s="36"/>
      <c r="C7186" s="36"/>
      <c r="D7186" s="36"/>
      <c r="E7186" s="36"/>
      <c r="F7186" s="36"/>
      <c r="G7186" s="36"/>
      <c r="H7186" s="36"/>
      <c r="I7186" s="37"/>
      <c r="J7186" s="36"/>
      <c r="K7186" s="38"/>
      <c r="L7186" s="38"/>
    </row>
    <row r="7187" spans="1:12" x14ac:dyDescent="0.25">
      <c r="A7187" s="35"/>
      <c r="B7187" s="36"/>
      <c r="C7187" s="36"/>
      <c r="D7187" s="36"/>
      <c r="E7187" s="36"/>
      <c r="F7187" s="36"/>
      <c r="G7187" s="36"/>
      <c r="H7187" s="36"/>
      <c r="I7187" s="37"/>
      <c r="J7187" s="36"/>
      <c r="K7187" s="38"/>
      <c r="L7187" s="38"/>
    </row>
    <row r="7188" spans="1:12" x14ac:dyDescent="0.25">
      <c r="A7188" s="35"/>
      <c r="B7188" s="36"/>
      <c r="C7188" s="36"/>
      <c r="D7188" s="36"/>
      <c r="E7188" s="36"/>
      <c r="F7188" s="36"/>
      <c r="G7188" s="36"/>
      <c r="H7188" s="36"/>
      <c r="I7188" s="37"/>
      <c r="J7188" s="36"/>
      <c r="K7188" s="38"/>
      <c r="L7188" s="38"/>
    </row>
    <row r="7189" spans="1:12" x14ac:dyDescent="0.25">
      <c r="A7189" s="35"/>
      <c r="B7189" s="36"/>
      <c r="C7189" s="36"/>
      <c r="D7189" s="36"/>
      <c r="E7189" s="36"/>
      <c r="F7189" s="36"/>
      <c r="G7189" s="36"/>
      <c r="H7189" s="36"/>
      <c r="I7189" s="37"/>
      <c r="J7189" s="36"/>
      <c r="K7189" s="38"/>
      <c r="L7189" s="38"/>
    </row>
    <row r="7190" spans="1:12" x14ac:dyDescent="0.25">
      <c r="A7190" s="35"/>
      <c r="B7190" s="36"/>
      <c r="C7190" s="36"/>
      <c r="D7190" s="36"/>
      <c r="E7190" s="36"/>
      <c r="F7190" s="36"/>
      <c r="G7190" s="36"/>
      <c r="H7190" s="36"/>
      <c r="I7190" s="37"/>
      <c r="J7190" s="36"/>
      <c r="K7190" s="38"/>
      <c r="L7190" s="38"/>
    </row>
    <row r="7191" spans="1:12" x14ac:dyDescent="0.25">
      <c r="A7191" s="35"/>
      <c r="B7191" s="36"/>
      <c r="C7191" s="36"/>
      <c r="D7191" s="36"/>
      <c r="E7191" s="36"/>
      <c r="F7191" s="36"/>
      <c r="G7191" s="36"/>
      <c r="H7191" s="36"/>
      <c r="I7191" s="37"/>
      <c r="J7191" s="36"/>
      <c r="K7191" s="38"/>
      <c r="L7191" s="38"/>
    </row>
    <row r="7192" spans="1:12" x14ac:dyDescent="0.25">
      <c r="A7192" s="35"/>
      <c r="B7192" s="36"/>
      <c r="C7192" s="36"/>
      <c r="D7192" s="36"/>
      <c r="E7192" s="36"/>
      <c r="F7192" s="36"/>
      <c r="G7192" s="36"/>
      <c r="H7192" s="36"/>
      <c r="I7192" s="37"/>
      <c r="J7192" s="36"/>
      <c r="K7192" s="38"/>
      <c r="L7192" s="38"/>
    </row>
    <row r="7193" spans="1:12" x14ac:dyDescent="0.25">
      <c r="A7193" s="35"/>
      <c r="B7193" s="36"/>
      <c r="C7193" s="36"/>
      <c r="D7193" s="36"/>
      <c r="E7193" s="36"/>
      <c r="F7193" s="36"/>
      <c r="G7193" s="36"/>
      <c r="H7193" s="36"/>
      <c r="I7193" s="37"/>
      <c r="J7193" s="36"/>
      <c r="K7193" s="38"/>
      <c r="L7193" s="38"/>
    </row>
    <row r="7194" spans="1:12" x14ac:dyDescent="0.25">
      <c r="A7194" s="35"/>
      <c r="B7194" s="36"/>
      <c r="C7194" s="36"/>
      <c r="D7194" s="36"/>
      <c r="E7194" s="36"/>
      <c r="F7194" s="36"/>
      <c r="G7194" s="36"/>
      <c r="H7194" s="36"/>
      <c r="I7194" s="37"/>
      <c r="J7194" s="36"/>
      <c r="K7194" s="38"/>
      <c r="L7194" s="38"/>
    </row>
    <row r="7195" spans="1:12" x14ac:dyDescent="0.25">
      <c r="A7195" s="35"/>
      <c r="B7195" s="36"/>
      <c r="C7195" s="36"/>
      <c r="D7195" s="36"/>
      <c r="E7195" s="36"/>
      <c r="F7195" s="36"/>
      <c r="G7195" s="36"/>
      <c r="H7195" s="36"/>
      <c r="I7195" s="37"/>
      <c r="J7195" s="36"/>
      <c r="K7195" s="38"/>
      <c r="L7195" s="38"/>
    </row>
    <row r="7196" spans="1:12" x14ac:dyDescent="0.25">
      <c r="A7196" s="35"/>
      <c r="B7196" s="36"/>
      <c r="C7196" s="36"/>
      <c r="D7196" s="36"/>
      <c r="E7196" s="36"/>
      <c r="F7196" s="36"/>
      <c r="G7196" s="36"/>
      <c r="H7196" s="36"/>
      <c r="I7196" s="37"/>
      <c r="J7196" s="36"/>
      <c r="K7196" s="38"/>
      <c r="L7196" s="38"/>
    </row>
    <row r="7197" spans="1:12" x14ac:dyDescent="0.25">
      <c r="A7197" s="35"/>
      <c r="B7197" s="36"/>
      <c r="C7197" s="36"/>
      <c r="D7197" s="36"/>
      <c r="E7197" s="36"/>
      <c r="F7197" s="36"/>
      <c r="G7197" s="36"/>
      <c r="H7197" s="36"/>
      <c r="I7197" s="37"/>
      <c r="J7197" s="36"/>
      <c r="K7197" s="38"/>
      <c r="L7197" s="38"/>
    </row>
    <row r="7198" spans="1:12" x14ac:dyDescent="0.25">
      <c r="A7198" s="35"/>
      <c r="B7198" s="36"/>
      <c r="C7198" s="36"/>
      <c r="D7198" s="36"/>
      <c r="E7198" s="36"/>
      <c r="F7198" s="36"/>
      <c r="G7198" s="36"/>
      <c r="H7198" s="36"/>
      <c r="I7198" s="37"/>
      <c r="J7198" s="36"/>
      <c r="K7198" s="38"/>
      <c r="L7198" s="38"/>
    </row>
    <row r="7199" spans="1:12" x14ac:dyDescent="0.25">
      <c r="A7199" s="35"/>
      <c r="B7199" s="36"/>
      <c r="C7199" s="36"/>
      <c r="D7199" s="36"/>
      <c r="E7199" s="36"/>
      <c r="F7199" s="36"/>
      <c r="G7199" s="36"/>
      <c r="H7199" s="36"/>
      <c r="I7199" s="37"/>
      <c r="J7199" s="36"/>
      <c r="K7199" s="38"/>
      <c r="L7199" s="38"/>
    </row>
    <row r="7200" spans="1:12" x14ac:dyDescent="0.25">
      <c r="A7200" s="35"/>
      <c r="B7200" s="36"/>
      <c r="C7200" s="36"/>
      <c r="D7200" s="36"/>
      <c r="E7200" s="36"/>
      <c r="F7200" s="36"/>
      <c r="G7200" s="36"/>
      <c r="H7200" s="36"/>
      <c r="I7200" s="37"/>
      <c r="J7200" s="36"/>
      <c r="K7200" s="38"/>
      <c r="L7200" s="38"/>
    </row>
    <row r="7201" spans="1:12" x14ac:dyDescent="0.25">
      <c r="A7201" s="35"/>
      <c r="B7201" s="36"/>
      <c r="C7201" s="36"/>
      <c r="D7201" s="36"/>
      <c r="E7201" s="36"/>
      <c r="F7201" s="36"/>
      <c r="G7201" s="36"/>
      <c r="H7201" s="36"/>
      <c r="I7201" s="37"/>
      <c r="J7201" s="36"/>
      <c r="K7201" s="38"/>
      <c r="L7201" s="38"/>
    </row>
    <row r="7202" spans="1:12" x14ac:dyDescent="0.25">
      <c r="A7202" s="35"/>
      <c r="B7202" s="36"/>
      <c r="C7202" s="36"/>
      <c r="D7202" s="36"/>
      <c r="E7202" s="36"/>
      <c r="F7202" s="36"/>
      <c r="G7202" s="36"/>
      <c r="H7202" s="36"/>
      <c r="I7202" s="37"/>
      <c r="J7202" s="36"/>
      <c r="K7202" s="38"/>
      <c r="L7202" s="38"/>
    </row>
    <row r="7203" spans="1:12" x14ac:dyDescent="0.25">
      <c r="A7203" s="35"/>
      <c r="B7203" s="36"/>
      <c r="C7203" s="36"/>
      <c r="D7203" s="36"/>
      <c r="E7203" s="36"/>
      <c r="F7203" s="36"/>
      <c r="G7203" s="36"/>
      <c r="H7203" s="36"/>
      <c r="I7203" s="37"/>
      <c r="J7203" s="36"/>
      <c r="K7203" s="38"/>
      <c r="L7203" s="38"/>
    </row>
    <row r="7204" spans="1:12" x14ac:dyDescent="0.25">
      <c r="A7204" s="35"/>
      <c r="B7204" s="36"/>
      <c r="C7204" s="36"/>
      <c r="D7204" s="36"/>
      <c r="E7204" s="36"/>
      <c r="F7204" s="36"/>
      <c r="G7204" s="36"/>
      <c r="H7204" s="36"/>
      <c r="I7204" s="37"/>
      <c r="J7204" s="36"/>
      <c r="K7204" s="38"/>
      <c r="L7204" s="38"/>
    </row>
    <row r="7205" spans="1:12" x14ac:dyDescent="0.25">
      <c r="A7205" s="35"/>
      <c r="B7205" s="36"/>
      <c r="C7205" s="36"/>
      <c r="D7205" s="36"/>
      <c r="E7205" s="36"/>
      <c r="F7205" s="36"/>
      <c r="G7205" s="36"/>
      <c r="H7205" s="36"/>
      <c r="I7205" s="37"/>
      <c r="J7205" s="36"/>
      <c r="K7205" s="38"/>
      <c r="L7205" s="38"/>
    </row>
    <row r="7206" spans="1:12" x14ac:dyDescent="0.25">
      <c r="A7206" s="35"/>
      <c r="B7206" s="36"/>
      <c r="C7206" s="36"/>
      <c r="D7206" s="36"/>
      <c r="E7206" s="36"/>
      <c r="F7206" s="36"/>
      <c r="G7206" s="36"/>
      <c r="H7206" s="36"/>
      <c r="I7206" s="37"/>
      <c r="J7206" s="36"/>
      <c r="K7206" s="38"/>
      <c r="L7206" s="38"/>
    </row>
    <row r="7207" spans="1:12" x14ac:dyDescent="0.25">
      <c r="A7207" s="35"/>
      <c r="B7207" s="36"/>
      <c r="C7207" s="36"/>
      <c r="D7207" s="36"/>
      <c r="E7207" s="36"/>
      <c r="F7207" s="36"/>
      <c r="G7207" s="36"/>
      <c r="H7207" s="36"/>
      <c r="I7207" s="37"/>
      <c r="J7207" s="36"/>
      <c r="K7207" s="38"/>
      <c r="L7207" s="38"/>
    </row>
    <row r="7208" spans="1:12" x14ac:dyDescent="0.25">
      <c r="A7208" s="35"/>
      <c r="B7208" s="36"/>
      <c r="C7208" s="36"/>
      <c r="D7208" s="36"/>
      <c r="E7208" s="36"/>
      <c r="F7208" s="36"/>
      <c r="G7208" s="36"/>
      <c r="H7208" s="36"/>
      <c r="I7208" s="37"/>
      <c r="J7208" s="36"/>
      <c r="K7208" s="38"/>
      <c r="L7208" s="38"/>
    </row>
    <row r="7209" spans="1:12" x14ac:dyDescent="0.25">
      <c r="A7209" s="35"/>
      <c r="B7209" s="36"/>
      <c r="C7209" s="36"/>
      <c r="D7209" s="36"/>
      <c r="E7209" s="36"/>
      <c r="F7209" s="36"/>
      <c r="G7209" s="36"/>
      <c r="H7209" s="36"/>
      <c r="I7209" s="37"/>
      <c r="J7209" s="36"/>
      <c r="K7209" s="38"/>
      <c r="L7209" s="38"/>
    </row>
    <row r="7210" spans="1:12" x14ac:dyDescent="0.25">
      <c r="A7210" s="35"/>
      <c r="B7210" s="36"/>
      <c r="C7210" s="36"/>
      <c r="D7210" s="36"/>
      <c r="E7210" s="36"/>
      <c r="F7210" s="36"/>
      <c r="G7210" s="36"/>
      <c r="H7210" s="36"/>
      <c r="I7210" s="37"/>
      <c r="J7210" s="36"/>
      <c r="K7210" s="38"/>
      <c r="L7210" s="38"/>
    </row>
    <row r="7211" spans="1:12" x14ac:dyDescent="0.25">
      <c r="A7211" s="35"/>
      <c r="B7211" s="36"/>
      <c r="C7211" s="36"/>
      <c r="D7211" s="36"/>
      <c r="E7211" s="36"/>
      <c r="F7211" s="36"/>
      <c r="G7211" s="36"/>
      <c r="H7211" s="36"/>
      <c r="I7211" s="37"/>
      <c r="J7211" s="36"/>
      <c r="K7211" s="38"/>
      <c r="L7211" s="38"/>
    </row>
    <row r="7212" spans="1:12" x14ac:dyDescent="0.25">
      <c r="A7212" s="35"/>
      <c r="B7212" s="36"/>
      <c r="C7212" s="36"/>
      <c r="D7212" s="36"/>
      <c r="E7212" s="36"/>
      <c r="F7212" s="36"/>
      <c r="G7212" s="36"/>
      <c r="H7212" s="36"/>
      <c r="I7212" s="37"/>
      <c r="J7212" s="36"/>
      <c r="K7212" s="38"/>
      <c r="L7212" s="38"/>
    </row>
    <row r="7213" spans="1:12" x14ac:dyDescent="0.25">
      <c r="A7213" s="35"/>
      <c r="B7213" s="36"/>
      <c r="C7213" s="36"/>
      <c r="D7213" s="36"/>
      <c r="E7213" s="36"/>
      <c r="F7213" s="36"/>
      <c r="G7213" s="36"/>
      <c r="H7213" s="36"/>
      <c r="I7213" s="37"/>
      <c r="J7213" s="36"/>
      <c r="K7213" s="38"/>
      <c r="L7213" s="38"/>
    </row>
    <row r="7214" spans="1:12" x14ac:dyDescent="0.25">
      <c r="A7214" s="35"/>
      <c r="B7214" s="36"/>
      <c r="C7214" s="36"/>
      <c r="D7214" s="36"/>
      <c r="E7214" s="36"/>
      <c r="F7214" s="36"/>
      <c r="G7214" s="36"/>
      <c r="H7214" s="36"/>
      <c r="I7214" s="37"/>
      <c r="J7214" s="36"/>
      <c r="K7214" s="38"/>
      <c r="L7214" s="38"/>
    </row>
    <row r="7215" spans="1:12" x14ac:dyDescent="0.25">
      <c r="A7215" s="35"/>
      <c r="B7215" s="36"/>
      <c r="C7215" s="36"/>
      <c r="D7215" s="36"/>
      <c r="E7215" s="36"/>
      <c r="F7215" s="36"/>
      <c r="G7215" s="36"/>
      <c r="H7215" s="36"/>
      <c r="I7215" s="37"/>
      <c r="J7215" s="36"/>
      <c r="K7215" s="38"/>
      <c r="L7215" s="38"/>
    </row>
    <row r="7216" spans="1:12" x14ac:dyDescent="0.25">
      <c r="A7216" s="35"/>
      <c r="B7216" s="36"/>
      <c r="C7216" s="36"/>
      <c r="D7216" s="36"/>
      <c r="E7216" s="36"/>
      <c r="F7216" s="36"/>
      <c r="G7216" s="36"/>
      <c r="H7216" s="36"/>
      <c r="I7216" s="37"/>
      <c r="J7216" s="36"/>
      <c r="K7216" s="38"/>
      <c r="L7216" s="38"/>
    </row>
    <row r="7217" spans="1:12" x14ac:dyDescent="0.25">
      <c r="A7217" s="35"/>
      <c r="B7217" s="36"/>
      <c r="C7217" s="36"/>
      <c r="D7217" s="36"/>
      <c r="E7217" s="36"/>
      <c r="F7217" s="36"/>
      <c r="G7217" s="36"/>
      <c r="H7217" s="36"/>
      <c r="I7217" s="37"/>
      <c r="J7217" s="36"/>
      <c r="K7217" s="38"/>
      <c r="L7217" s="38"/>
    </row>
    <row r="7218" spans="1:12" x14ac:dyDescent="0.25">
      <c r="A7218" s="35"/>
      <c r="B7218" s="36"/>
      <c r="C7218" s="36"/>
      <c r="D7218" s="36"/>
      <c r="E7218" s="36"/>
      <c r="F7218" s="36"/>
      <c r="G7218" s="36"/>
      <c r="H7218" s="36"/>
      <c r="I7218" s="37"/>
      <c r="J7218" s="36"/>
      <c r="K7218" s="38"/>
      <c r="L7218" s="38"/>
    </row>
    <row r="7219" spans="1:12" x14ac:dyDescent="0.25">
      <c r="A7219" s="35"/>
      <c r="B7219" s="36"/>
      <c r="C7219" s="36"/>
      <c r="D7219" s="36"/>
      <c r="E7219" s="36"/>
      <c r="F7219" s="36"/>
      <c r="G7219" s="36"/>
      <c r="H7219" s="36"/>
      <c r="I7219" s="37"/>
      <c r="J7219" s="36"/>
      <c r="K7219" s="38"/>
      <c r="L7219" s="38"/>
    </row>
    <row r="7220" spans="1:12" x14ac:dyDescent="0.25">
      <c r="A7220" s="35"/>
      <c r="B7220" s="36"/>
      <c r="C7220" s="36"/>
      <c r="D7220" s="36"/>
      <c r="E7220" s="36"/>
      <c r="F7220" s="36"/>
      <c r="G7220" s="36"/>
      <c r="H7220" s="36"/>
      <c r="I7220" s="37"/>
      <c r="J7220" s="36"/>
      <c r="K7220" s="38"/>
      <c r="L7220" s="38"/>
    </row>
    <row r="7221" spans="1:12" x14ac:dyDescent="0.25">
      <c r="A7221" s="35"/>
      <c r="B7221" s="36"/>
      <c r="C7221" s="36"/>
      <c r="D7221" s="36"/>
      <c r="E7221" s="36"/>
      <c r="F7221" s="36"/>
      <c r="G7221" s="36"/>
      <c r="H7221" s="36"/>
      <c r="I7221" s="37"/>
      <c r="J7221" s="36"/>
      <c r="K7221" s="38"/>
      <c r="L7221" s="38"/>
    </row>
    <row r="7222" spans="1:12" x14ac:dyDescent="0.25">
      <c r="A7222" s="35"/>
      <c r="B7222" s="36"/>
      <c r="C7222" s="36"/>
      <c r="D7222" s="36"/>
      <c r="E7222" s="36"/>
      <c r="F7222" s="36"/>
      <c r="G7222" s="36"/>
      <c r="H7222" s="36"/>
      <c r="I7222" s="37"/>
      <c r="J7222" s="36"/>
      <c r="K7222" s="38"/>
      <c r="L7222" s="38"/>
    </row>
    <row r="7223" spans="1:12" x14ac:dyDescent="0.25">
      <c r="A7223" s="35"/>
      <c r="B7223" s="36"/>
      <c r="C7223" s="36"/>
      <c r="D7223" s="36"/>
      <c r="E7223" s="36"/>
      <c r="F7223" s="36"/>
      <c r="G7223" s="36"/>
      <c r="H7223" s="36"/>
      <c r="I7223" s="37"/>
      <c r="J7223" s="36"/>
      <c r="K7223" s="38"/>
      <c r="L7223" s="38"/>
    </row>
    <row r="7224" spans="1:12" x14ac:dyDescent="0.25">
      <c r="A7224" s="35"/>
      <c r="B7224" s="36"/>
      <c r="C7224" s="36"/>
      <c r="D7224" s="36"/>
      <c r="E7224" s="36"/>
      <c r="F7224" s="36"/>
      <c r="G7224" s="36"/>
      <c r="H7224" s="36"/>
      <c r="I7224" s="37"/>
      <c r="J7224" s="36"/>
      <c r="K7224" s="38"/>
      <c r="L7224" s="38"/>
    </row>
    <row r="7225" spans="1:12" x14ac:dyDescent="0.25">
      <c r="A7225" s="35"/>
      <c r="B7225" s="36"/>
      <c r="C7225" s="36"/>
      <c r="D7225" s="36"/>
      <c r="E7225" s="36"/>
      <c r="F7225" s="36"/>
      <c r="G7225" s="36"/>
      <c r="H7225" s="36"/>
      <c r="I7225" s="37"/>
      <c r="J7225" s="36"/>
      <c r="K7225" s="38"/>
      <c r="L7225" s="38"/>
    </row>
    <row r="7226" spans="1:12" x14ac:dyDescent="0.25">
      <c r="A7226" s="35"/>
      <c r="B7226" s="36"/>
      <c r="C7226" s="36"/>
      <c r="D7226" s="36"/>
      <c r="E7226" s="36"/>
      <c r="F7226" s="36"/>
      <c r="G7226" s="36"/>
      <c r="H7226" s="36"/>
      <c r="I7226" s="37"/>
      <c r="J7226" s="36"/>
      <c r="K7226" s="38"/>
      <c r="L7226" s="38"/>
    </row>
    <row r="7227" spans="1:12" x14ac:dyDescent="0.25">
      <c r="A7227" s="35"/>
      <c r="B7227" s="36"/>
      <c r="C7227" s="36"/>
      <c r="D7227" s="36"/>
      <c r="E7227" s="36"/>
      <c r="F7227" s="36"/>
      <c r="G7227" s="36"/>
      <c r="H7227" s="36"/>
      <c r="I7227" s="37"/>
      <c r="J7227" s="36"/>
      <c r="K7227" s="38"/>
      <c r="L7227" s="38"/>
    </row>
    <row r="7228" spans="1:12" x14ac:dyDescent="0.25">
      <c r="A7228" s="35"/>
      <c r="B7228" s="36"/>
      <c r="C7228" s="36"/>
      <c r="D7228" s="36"/>
      <c r="E7228" s="36"/>
      <c r="F7228" s="36"/>
      <c r="G7228" s="36"/>
      <c r="H7228" s="36"/>
      <c r="I7228" s="37"/>
      <c r="J7228" s="36"/>
      <c r="K7228" s="38"/>
      <c r="L7228" s="38"/>
    </row>
    <row r="7229" spans="1:12" x14ac:dyDescent="0.25">
      <c r="A7229" s="35"/>
      <c r="B7229" s="36"/>
      <c r="C7229" s="36"/>
      <c r="D7229" s="36"/>
      <c r="E7229" s="36"/>
      <c r="F7229" s="36"/>
      <c r="G7229" s="36"/>
      <c r="H7229" s="36"/>
      <c r="I7229" s="37"/>
      <c r="J7229" s="36"/>
      <c r="K7229" s="38"/>
      <c r="L7229" s="38"/>
    </row>
    <row r="7230" spans="1:12" x14ac:dyDescent="0.25">
      <c r="A7230" s="35"/>
      <c r="B7230" s="36"/>
      <c r="C7230" s="36"/>
      <c r="D7230" s="36"/>
      <c r="E7230" s="36"/>
      <c r="F7230" s="36"/>
      <c r="G7230" s="36"/>
      <c r="H7230" s="36"/>
      <c r="I7230" s="37"/>
      <c r="J7230" s="36"/>
      <c r="K7230" s="38"/>
      <c r="L7230" s="38"/>
    </row>
    <row r="7231" spans="1:12" x14ac:dyDescent="0.25">
      <c r="A7231" s="35"/>
      <c r="B7231" s="36"/>
      <c r="C7231" s="36"/>
      <c r="D7231" s="36"/>
      <c r="E7231" s="36"/>
      <c r="F7231" s="36"/>
      <c r="G7231" s="36"/>
      <c r="H7231" s="36"/>
      <c r="I7231" s="37"/>
      <c r="J7231" s="36"/>
      <c r="K7231" s="38"/>
      <c r="L7231" s="38"/>
    </row>
    <row r="7232" spans="1:12" x14ac:dyDescent="0.25">
      <c r="A7232" s="35"/>
      <c r="B7232" s="36"/>
      <c r="C7232" s="36"/>
      <c r="D7232" s="36"/>
      <c r="E7232" s="36"/>
      <c r="F7232" s="36"/>
      <c r="G7232" s="36"/>
      <c r="H7232" s="36"/>
      <c r="I7232" s="37"/>
      <c r="J7232" s="36"/>
      <c r="K7232" s="38"/>
      <c r="L7232" s="38"/>
    </row>
    <row r="7233" spans="1:12" x14ac:dyDescent="0.25">
      <c r="A7233" s="35"/>
      <c r="B7233" s="36"/>
      <c r="C7233" s="36"/>
      <c r="D7233" s="36"/>
      <c r="E7233" s="36"/>
      <c r="F7233" s="36"/>
      <c r="G7233" s="36"/>
      <c r="H7233" s="36"/>
      <c r="I7233" s="37"/>
      <c r="J7233" s="36"/>
      <c r="K7233" s="38"/>
      <c r="L7233" s="38"/>
    </row>
    <row r="7234" spans="1:12" x14ac:dyDescent="0.25">
      <c r="A7234" s="35"/>
      <c r="B7234" s="36"/>
      <c r="C7234" s="36"/>
      <c r="D7234" s="36"/>
      <c r="E7234" s="36"/>
      <c r="F7234" s="36"/>
      <c r="G7234" s="36"/>
      <c r="H7234" s="36"/>
      <c r="I7234" s="37"/>
      <c r="J7234" s="36"/>
      <c r="K7234" s="38"/>
      <c r="L7234" s="38"/>
    </row>
    <row r="7235" spans="1:12" x14ac:dyDescent="0.25">
      <c r="A7235" s="35"/>
      <c r="B7235" s="36"/>
      <c r="C7235" s="36"/>
      <c r="D7235" s="36"/>
      <c r="E7235" s="36"/>
      <c r="F7235" s="36"/>
      <c r="G7235" s="36"/>
      <c r="H7235" s="36"/>
      <c r="I7235" s="37"/>
      <c r="J7235" s="36"/>
      <c r="K7235" s="38"/>
      <c r="L7235" s="38"/>
    </row>
    <row r="7236" spans="1:12" x14ac:dyDescent="0.25">
      <c r="A7236" s="35"/>
      <c r="B7236" s="36"/>
      <c r="C7236" s="36"/>
      <c r="D7236" s="36"/>
      <c r="E7236" s="36"/>
      <c r="F7236" s="36"/>
      <c r="G7236" s="36"/>
      <c r="H7236" s="36"/>
      <c r="I7236" s="37"/>
      <c r="J7236" s="36"/>
      <c r="K7236" s="38"/>
      <c r="L7236" s="38"/>
    </row>
    <row r="7237" spans="1:12" x14ac:dyDescent="0.25">
      <c r="A7237" s="35"/>
      <c r="B7237" s="36"/>
      <c r="C7237" s="36"/>
      <c r="D7237" s="36"/>
      <c r="E7237" s="36"/>
      <c r="F7237" s="36"/>
      <c r="G7237" s="36"/>
      <c r="H7237" s="36"/>
      <c r="I7237" s="37"/>
      <c r="J7237" s="36"/>
      <c r="K7237" s="38"/>
      <c r="L7237" s="38"/>
    </row>
    <row r="7238" spans="1:12" x14ac:dyDescent="0.25">
      <c r="A7238" s="35"/>
      <c r="B7238" s="36"/>
      <c r="C7238" s="36"/>
      <c r="D7238" s="36"/>
      <c r="E7238" s="36"/>
      <c r="F7238" s="36"/>
      <c r="G7238" s="36"/>
      <c r="H7238" s="36"/>
      <c r="I7238" s="37"/>
      <c r="J7238" s="36"/>
      <c r="K7238" s="38"/>
      <c r="L7238" s="38"/>
    </row>
    <row r="7239" spans="1:12" x14ac:dyDescent="0.25">
      <c r="A7239" s="35"/>
      <c r="B7239" s="36"/>
      <c r="C7239" s="36"/>
      <c r="D7239" s="36"/>
      <c r="E7239" s="36"/>
      <c r="F7239" s="36"/>
      <c r="G7239" s="36"/>
      <c r="H7239" s="36"/>
      <c r="I7239" s="37"/>
      <c r="J7239" s="36"/>
      <c r="K7239" s="38"/>
      <c r="L7239" s="38"/>
    </row>
    <row r="7240" spans="1:12" x14ac:dyDescent="0.25">
      <c r="A7240" s="35"/>
      <c r="B7240" s="36"/>
      <c r="C7240" s="36"/>
      <c r="D7240" s="36"/>
      <c r="E7240" s="36"/>
      <c r="F7240" s="36"/>
      <c r="G7240" s="36"/>
      <c r="H7240" s="36"/>
      <c r="I7240" s="37"/>
      <c r="J7240" s="36"/>
      <c r="K7240" s="38"/>
      <c r="L7240" s="38"/>
    </row>
    <row r="7241" spans="1:12" x14ac:dyDescent="0.25">
      <c r="A7241" s="35"/>
      <c r="B7241" s="36"/>
      <c r="C7241" s="36"/>
      <c r="D7241" s="36"/>
      <c r="E7241" s="36"/>
      <c r="F7241" s="36"/>
      <c r="G7241" s="36"/>
      <c r="H7241" s="36"/>
      <c r="I7241" s="37"/>
      <c r="J7241" s="36"/>
      <c r="K7241" s="38"/>
      <c r="L7241" s="38"/>
    </row>
    <row r="7242" spans="1:12" x14ac:dyDescent="0.25">
      <c r="A7242" s="35"/>
      <c r="B7242" s="36"/>
      <c r="C7242" s="36"/>
      <c r="D7242" s="36"/>
      <c r="E7242" s="36"/>
      <c r="F7242" s="36"/>
      <c r="G7242" s="36"/>
      <c r="H7242" s="36"/>
      <c r="I7242" s="37"/>
      <c r="J7242" s="36"/>
      <c r="K7242" s="38"/>
      <c r="L7242" s="38"/>
    </row>
    <row r="7243" spans="1:12" x14ac:dyDescent="0.25">
      <c r="A7243" s="35"/>
      <c r="B7243" s="36"/>
      <c r="C7243" s="36"/>
      <c r="D7243" s="36"/>
      <c r="E7243" s="36"/>
      <c r="F7243" s="36"/>
      <c r="G7243" s="36"/>
      <c r="H7243" s="36"/>
      <c r="I7243" s="37"/>
      <c r="J7243" s="36"/>
      <c r="K7243" s="38"/>
      <c r="L7243" s="38"/>
    </row>
    <row r="7244" spans="1:12" x14ac:dyDescent="0.25">
      <c r="A7244" s="35"/>
      <c r="B7244" s="36"/>
      <c r="C7244" s="36"/>
      <c r="D7244" s="36"/>
      <c r="E7244" s="36"/>
      <c r="F7244" s="36"/>
      <c r="G7244" s="36"/>
      <c r="H7244" s="36"/>
      <c r="I7244" s="37"/>
      <c r="J7244" s="36"/>
      <c r="K7244" s="38"/>
      <c r="L7244" s="38"/>
    </row>
    <row r="7245" spans="1:12" x14ac:dyDescent="0.25">
      <c r="A7245" s="35"/>
      <c r="B7245" s="36"/>
      <c r="C7245" s="36"/>
      <c r="D7245" s="36"/>
      <c r="E7245" s="36"/>
      <c r="F7245" s="36"/>
      <c r="G7245" s="36"/>
      <c r="H7245" s="36"/>
      <c r="I7245" s="37"/>
      <c r="J7245" s="36"/>
      <c r="K7245" s="38"/>
      <c r="L7245" s="38"/>
    </row>
    <row r="7246" spans="1:12" x14ac:dyDescent="0.25">
      <c r="A7246" s="35"/>
      <c r="B7246" s="36"/>
      <c r="C7246" s="36"/>
      <c r="D7246" s="36"/>
      <c r="E7246" s="36"/>
      <c r="F7246" s="36"/>
      <c r="G7246" s="36"/>
      <c r="H7246" s="36"/>
      <c r="I7246" s="37"/>
      <c r="J7246" s="36"/>
      <c r="K7246" s="38"/>
      <c r="L7246" s="38"/>
    </row>
    <row r="7247" spans="1:12" x14ac:dyDescent="0.25">
      <c r="A7247" s="35"/>
      <c r="B7247" s="36"/>
      <c r="C7247" s="36"/>
      <c r="D7247" s="36"/>
      <c r="E7247" s="36"/>
      <c r="F7247" s="36"/>
      <c r="G7247" s="36"/>
      <c r="H7247" s="36"/>
      <c r="I7247" s="37"/>
      <c r="J7247" s="36"/>
      <c r="K7247" s="38"/>
      <c r="L7247" s="38"/>
    </row>
    <row r="7248" spans="1:12" x14ac:dyDescent="0.25">
      <c r="A7248" s="35"/>
      <c r="B7248" s="36"/>
      <c r="C7248" s="36"/>
      <c r="D7248" s="36"/>
      <c r="E7248" s="36"/>
      <c r="F7248" s="36"/>
      <c r="G7248" s="36"/>
      <c r="H7248" s="36"/>
      <c r="I7248" s="37"/>
      <c r="J7248" s="36"/>
      <c r="K7248" s="38"/>
      <c r="L7248" s="38"/>
    </row>
    <row r="7249" spans="1:12" x14ac:dyDescent="0.25">
      <c r="A7249" s="35"/>
      <c r="B7249" s="36"/>
      <c r="C7249" s="36"/>
      <c r="D7249" s="36"/>
      <c r="E7249" s="36"/>
      <c r="F7249" s="36"/>
      <c r="G7249" s="36"/>
      <c r="H7249" s="36"/>
      <c r="I7249" s="37"/>
      <c r="J7249" s="36"/>
      <c r="K7249" s="38"/>
      <c r="L7249" s="38"/>
    </row>
    <row r="7250" spans="1:12" x14ac:dyDescent="0.25">
      <c r="A7250" s="35"/>
      <c r="B7250" s="36"/>
      <c r="C7250" s="36"/>
      <c r="D7250" s="36"/>
      <c r="E7250" s="36"/>
      <c r="F7250" s="36"/>
      <c r="G7250" s="36"/>
      <c r="H7250" s="36"/>
      <c r="I7250" s="37"/>
      <c r="J7250" s="36"/>
      <c r="K7250" s="38"/>
      <c r="L7250" s="38"/>
    </row>
    <row r="7251" spans="1:12" x14ac:dyDescent="0.25">
      <c r="A7251" s="35"/>
      <c r="B7251" s="36"/>
      <c r="C7251" s="36"/>
      <c r="D7251" s="36"/>
      <c r="E7251" s="36"/>
      <c r="F7251" s="36"/>
      <c r="G7251" s="36"/>
      <c r="H7251" s="36"/>
      <c r="I7251" s="37"/>
      <c r="J7251" s="36"/>
      <c r="K7251" s="38"/>
      <c r="L7251" s="38"/>
    </row>
    <row r="7252" spans="1:12" x14ac:dyDescent="0.25">
      <c r="A7252" s="35"/>
      <c r="B7252" s="36"/>
      <c r="C7252" s="36"/>
      <c r="D7252" s="36"/>
      <c r="E7252" s="36"/>
      <c r="F7252" s="36"/>
      <c r="G7252" s="36"/>
      <c r="H7252" s="36"/>
      <c r="I7252" s="37"/>
      <c r="J7252" s="36"/>
      <c r="K7252" s="38"/>
      <c r="L7252" s="38"/>
    </row>
    <row r="7253" spans="1:12" x14ac:dyDescent="0.25">
      <c r="A7253" s="35"/>
      <c r="B7253" s="36"/>
      <c r="C7253" s="36"/>
      <c r="D7253" s="36"/>
      <c r="E7253" s="36"/>
      <c r="F7253" s="36"/>
      <c r="G7253" s="36"/>
      <c r="H7253" s="36"/>
      <c r="I7253" s="37"/>
      <c r="J7253" s="36"/>
      <c r="K7253" s="38"/>
      <c r="L7253" s="38"/>
    </row>
    <row r="7254" spans="1:12" x14ac:dyDescent="0.25">
      <c r="A7254" s="35"/>
      <c r="B7254" s="36"/>
      <c r="C7254" s="36"/>
      <c r="D7254" s="36"/>
      <c r="E7254" s="36"/>
      <c r="F7254" s="36"/>
      <c r="G7254" s="36"/>
      <c r="H7254" s="36"/>
      <c r="I7254" s="37"/>
      <c r="J7254" s="36"/>
      <c r="K7254" s="38"/>
      <c r="L7254" s="38"/>
    </row>
    <row r="7255" spans="1:12" x14ac:dyDescent="0.25">
      <c r="A7255" s="35"/>
      <c r="B7255" s="36"/>
      <c r="C7255" s="36"/>
      <c r="D7255" s="36"/>
      <c r="E7255" s="36"/>
      <c r="F7255" s="36"/>
      <c r="G7255" s="36"/>
      <c r="H7255" s="36"/>
      <c r="I7255" s="37"/>
      <c r="J7255" s="36"/>
      <c r="K7255" s="38"/>
      <c r="L7255" s="38"/>
    </row>
    <row r="7256" spans="1:12" x14ac:dyDescent="0.25">
      <c r="A7256" s="35"/>
      <c r="B7256" s="36"/>
      <c r="C7256" s="36"/>
      <c r="D7256" s="36"/>
      <c r="E7256" s="36"/>
      <c r="F7256" s="36"/>
      <c r="G7256" s="36"/>
      <c r="H7256" s="36"/>
      <c r="I7256" s="37"/>
      <c r="J7256" s="36"/>
      <c r="K7256" s="38"/>
      <c r="L7256" s="38"/>
    </row>
    <row r="7257" spans="1:12" x14ac:dyDescent="0.25">
      <c r="A7257" s="35"/>
      <c r="B7257" s="36"/>
      <c r="C7257" s="36"/>
      <c r="D7257" s="36"/>
      <c r="E7257" s="36"/>
      <c r="F7257" s="36"/>
      <c r="G7257" s="36"/>
      <c r="H7257" s="36"/>
      <c r="I7257" s="37"/>
      <c r="J7257" s="36"/>
      <c r="K7257" s="38"/>
      <c r="L7257" s="38"/>
    </row>
    <row r="7258" spans="1:12" x14ac:dyDescent="0.25">
      <c r="A7258" s="35"/>
      <c r="B7258" s="36"/>
      <c r="C7258" s="36"/>
      <c r="D7258" s="36"/>
      <c r="E7258" s="36"/>
      <c r="F7258" s="36"/>
      <c r="G7258" s="36"/>
      <c r="H7258" s="36"/>
      <c r="I7258" s="37"/>
      <c r="J7258" s="36"/>
      <c r="K7258" s="38"/>
      <c r="L7258" s="38"/>
    </row>
    <row r="7259" spans="1:12" x14ac:dyDescent="0.25">
      <c r="A7259" s="35"/>
      <c r="B7259" s="36"/>
      <c r="C7259" s="36"/>
      <c r="D7259" s="36"/>
      <c r="E7259" s="36"/>
      <c r="F7259" s="36"/>
      <c r="G7259" s="36"/>
      <c r="H7259" s="36"/>
      <c r="I7259" s="37"/>
      <c r="J7259" s="36"/>
      <c r="K7259" s="38"/>
      <c r="L7259" s="38"/>
    </row>
    <row r="7260" spans="1:12" x14ac:dyDescent="0.25">
      <c r="A7260" s="35"/>
      <c r="B7260" s="36"/>
      <c r="C7260" s="36"/>
      <c r="D7260" s="36"/>
      <c r="E7260" s="36"/>
      <c r="F7260" s="36"/>
      <c r="G7260" s="36"/>
      <c r="H7260" s="36"/>
      <c r="I7260" s="37"/>
      <c r="J7260" s="36"/>
      <c r="K7260" s="38"/>
      <c r="L7260" s="38"/>
    </row>
    <row r="7261" spans="1:12" x14ac:dyDescent="0.25">
      <c r="A7261" s="35"/>
      <c r="B7261" s="36"/>
      <c r="C7261" s="36"/>
      <c r="D7261" s="36"/>
      <c r="E7261" s="36"/>
      <c r="F7261" s="36"/>
      <c r="G7261" s="36"/>
      <c r="H7261" s="36"/>
      <c r="I7261" s="37"/>
      <c r="J7261" s="36"/>
      <c r="K7261" s="38"/>
      <c r="L7261" s="38"/>
    </row>
    <row r="7262" spans="1:12" x14ac:dyDescent="0.25">
      <c r="A7262" s="35"/>
      <c r="B7262" s="36"/>
      <c r="C7262" s="36"/>
      <c r="D7262" s="36"/>
      <c r="E7262" s="36"/>
      <c r="F7262" s="36"/>
      <c r="G7262" s="36"/>
      <c r="H7262" s="36"/>
      <c r="I7262" s="37"/>
      <c r="J7262" s="36"/>
      <c r="K7262" s="38"/>
      <c r="L7262" s="38"/>
    </row>
    <row r="7263" spans="1:12" x14ac:dyDescent="0.25">
      <c r="A7263" s="35"/>
      <c r="B7263" s="36"/>
      <c r="C7263" s="36"/>
      <c r="D7263" s="36"/>
      <c r="E7263" s="36"/>
      <c r="F7263" s="36"/>
      <c r="G7263" s="36"/>
      <c r="H7263" s="36"/>
      <c r="I7263" s="37"/>
      <c r="J7263" s="36"/>
      <c r="K7263" s="38"/>
      <c r="L7263" s="38"/>
    </row>
    <row r="7264" spans="1:12" x14ac:dyDescent="0.25">
      <c r="A7264" s="35"/>
      <c r="B7264" s="36"/>
      <c r="C7264" s="36"/>
      <c r="D7264" s="36"/>
      <c r="E7264" s="36"/>
      <c r="F7264" s="36"/>
      <c r="G7264" s="36"/>
      <c r="H7264" s="36"/>
      <c r="I7264" s="37"/>
      <c r="J7264" s="36"/>
      <c r="K7264" s="38"/>
      <c r="L7264" s="38"/>
    </row>
    <row r="7265" spans="1:12" x14ac:dyDescent="0.25">
      <c r="A7265" s="35"/>
      <c r="B7265" s="36"/>
      <c r="C7265" s="36"/>
      <c r="D7265" s="36"/>
      <c r="E7265" s="36"/>
      <c r="F7265" s="36"/>
      <c r="G7265" s="36"/>
      <c r="H7265" s="36"/>
      <c r="I7265" s="37"/>
      <c r="J7265" s="36"/>
      <c r="K7265" s="38"/>
      <c r="L7265" s="38"/>
    </row>
    <row r="7266" spans="1:12" x14ac:dyDescent="0.25">
      <c r="A7266" s="35"/>
      <c r="B7266" s="36"/>
      <c r="C7266" s="36"/>
      <c r="D7266" s="36"/>
      <c r="E7266" s="36"/>
      <c r="F7266" s="36"/>
      <c r="G7266" s="36"/>
      <c r="H7266" s="36"/>
      <c r="I7266" s="37"/>
      <c r="J7266" s="36"/>
      <c r="K7266" s="38"/>
      <c r="L7266" s="38"/>
    </row>
    <row r="7267" spans="1:12" x14ac:dyDescent="0.25">
      <c r="A7267" s="35"/>
      <c r="B7267" s="36"/>
      <c r="C7267" s="36"/>
      <c r="D7267" s="36"/>
      <c r="E7267" s="36"/>
      <c r="F7267" s="36"/>
      <c r="G7267" s="36"/>
      <c r="H7267" s="36"/>
      <c r="I7267" s="37"/>
      <c r="J7267" s="36"/>
      <c r="K7267" s="38"/>
      <c r="L7267" s="38"/>
    </row>
    <row r="7268" spans="1:12" x14ac:dyDescent="0.25">
      <c r="A7268" s="35"/>
      <c r="B7268" s="36"/>
      <c r="C7268" s="36"/>
      <c r="D7268" s="36"/>
      <c r="E7268" s="36"/>
      <c r="F7268" s="36"/>
      <c r="G7268" s="36"/>
      <c r="H7268" s="36"/>
      <c r="I7268" s="37"/>
      <c r="J7268" s="36"/>
      <c r="K7268" s="38"/>
      <c r="L7268" s="38"/>
    </row>
    <row r="7269" spans="1:12" x14ac:dyDescent="0.25">
      <c r="A7269" s="35"/>
      <c r="B7269" s="36"/>
      <c r="C7269" s="36"/>
      <c r="D7269" s="36"/>
      <c r="E7269" s="36"/>
      <c r="F7269" s="36"/>
      <c r="G7269" s="36"/>
      <c r="H7269" s="36"/>
      <c r="I7269" s="37"/>
      <c r="J7269" s="36"/>
      <c r="K7269" s="38"/>
      <c r="L7269" s="38"/>
    </row>
    <row r="7270" spans="1:12" x14ac:dyDescent="0.25">
      <c r="A7270" s="35"/>
      <c r="B7270" s="36"/>
      <c r="C7270" s="36"/>
      <c r="D7270" s="36"/>
      <c r="E7270" s="36"/>
      <c r="F7270" s="36"/>
      <c r="G7270" s="36"/>
      <c r="H7270" s="36"/>
      <c r="I7270" s="37"/>
      <c r="J7270" s="36"/>
      <c r="K7270" s="38"/>
      <c r="L7270" s="38"/>
    </row>
    <row r="7271" spans="1:12" x14ac:dyDescent="0.25">
      <c r="A7271" s="35"/>
      <c r="B7271" s="36"/>
      <c r="C7271" s="36"/>
      <c r="D7271" s="36"/>
      <c r="E7271" s="36"/>
      <c r="F7271" s="36"/>
      <c r="G7271" s="36"/>
      <c r="H7271" s="36"/>
      <c r="I7271" s="37"/>
      <c r="J7271" s="36"/>
      <c r="K7271" s="38"/>
      <c r="L7271" s="38"/>
    </row>
    <row r="7272" spans="1:12" x14ac:dyDescent="0.25">
      <c r="A7272" s="35"/>
      <c r="B7272" s="36"/>
      <c r="C7272" s="36"/>
      <c r="D7272" s="36"/>
      <c r="E7272" s="36"/>
      <c r="F7272" s="36"/>
      <c r="G7272" s="36"/>
      <c r="H7272" s="36"/>
      <c r="I7272" s="37"/>
      <c r="J7272" s="36"/>
      <c r="K7272" s="38"/>
      <c r="L7272" s="38"/>
    </row>
    <row r="7273" spans="1:12" x14ac:dyDescent="0.25">
      <c r="A7273" s="35"/>
      <c r="B7273" s="36"/>
      <c r="C7273" s="36"/>
      <c r="D7273" s="36"/>
      <c r="E7273" s="36"/>
      <c r="F7273" s="36"/>
      <c r="G7273" s="36"/>
      <c r="H7273" s="36"/>
      <c r="I7273" s="37"/>
      <c r="J7273" s="36"/>
      <c r="K7273" s="38"/>
      <c r="L7273" s="38"/>
    </row>
    <row r="7274" spans="1:12" x14ac:dyDescent="0.25">
      <c r="A7274" s="35"/>
      <c r="B7274" s="36"/>
      <c r="C7274" s="36"/>
      <c r="D7274" s="36"/>
      <c r="E7274" s="36"/>
      <c r="F7274" s="36"/>
      <c r="G7274" s="36"/>
      <c r="H7274" s="36"/>
      <c r="I7274" s="37"/>
      <c r="J7274" s="36"/>
      <c r="K7274" s="38"/>
      <c r="L7274" s="38"/>
    </row>
    <row r="7275" spans="1:12" x14ac:dyDescent="0.25">
      <c r="A7275" s="35"/>
      <c r="B7275" s="36"/>
      <c r="C7275" s="36"/>
      <c r="D7275" s="36"/>
      <c r="E7275" s="36"/>
      <c r="F7275" s="36"/>
      <c r="G7275" s="36"/>
      <c r="H7275" s="36"/>
      <c r="I7275" s="37"/>
      <c r="J7275" s="36"/>
      <c r="K7275" s="38"/>
      <c r="L7275" s="38"/>
    </row>
    <row r="7276" spans="1:12" x14ac:dyDescent="0.25">
      <c r="A7276" s="35"/>
      <c r="B7276" s="36"/>
      <c r="C7276" s="36"/>
      <c r="D7276" s="36"/>
      <c r="E7276" s="36"/>
      <c r="F7276" s="36"/>
      <c r="G7276" s="36"/>
      <c r="H7276" s="36"/>
      <c r="I7276" s="37"/>
      <c r="J7276" s="36"/>
      <c r="K7276" s="38"/>
      <c r="L7276" s="38"/>
    </row>
    <row r="7277" spans="1:12" x14ac:dyDescent="0.25">
      <c r="A7277" s="35"/>
      <c r="B7277" s="36"/>
      <c r="C7277" s="36"/>
      <c r="D7277" s="36"/>
      <c r="E7277" s="36"/>
      <c r="F7277" s="36"/>
      <c r="G7277" s="36"/>
      <c r="H7277" s="36"/>
      <c r="I7277" s="37"/>
      <c r="J7277" s="36"/>
      <c r="K7277" s="38"/>
      <c r="L7277" s="38"/>
    </row>
    <row r="7278" spans="1:12" x14ac:dyDescent="0.25">
      <c r="A7278" s="35"/>
      <c r="B7278" s="36"/>
      <c r="C7278" s="36"/>
      <c r="D7278" s="36"/>
      <c r="E7278" s="36"/>
      <c r="F7278" s="36"/>
      <c r="G7278" s="36"/>
      <c r="H7278" s="36"/>
      <c r="I7278" s="37"/>
      <c r="J7278" s="36"/>
      <c r="K7278" s="38"/>
      <c r="L7278" s="38"/>
    </row>
    <row r="7279" spans="1:12" x14ac:dyDescent="0.25">
      <c r="A7279" s="35"/>
      <c r="B7279" s="36"/>
      <c r="C7279" s="36"/>
      <c r="D7279" s="36"/>
      <c r="E7279" s="36"/>
      <c r="F7279" s="36"/>
      <c r="G7279" s="36"/>
      <c r="H7279" s="36"/>
      <c r="I7279" s="37"/>
      <c r="J7279" s="36"/>
      <c r="K7279" s="38"/>
      <c r="L7279" s="38"/>
    </row>
    <row r="7280" spans="1:12" x14ac:dyDescent="0.25">
      <c r="A7280" s="35"/>
      <c r="B7280" s="36"/>
      <c r="C7280" s="36"/>
      <c r="D7280" s="36"/>
      <c r="E7280" s="36"/>
      <c r="F7280" s="36"/>
      <c r="G7280" s="36"/>
      <c r="H7280" s="36"/>
      <c r="I7280" s="37"/>
      <c r="J7280" s="36"/>
      <c r="K7280" s="38"/>
      <c r="L7280" s="38"/>
    </row>
    <row r="7281" spans="1:12" x14ac:dyDescent="0.25">
      <c r="A7281" s="35"/>
      <c r="B7281" s="36"/>
      <c r="C7281" s="36"/>
      <c r="D7281" s="36"/>
      <c r="E7281" s="36"/>
      <c r="F7281" s="36"/>
      <c r="G7281" s="36"/>
      <c r="H7281" s="36"/>
      <c r="I7281" s="37"/>
      <c r="J7281" s="36"/>
      <c r="K7281" s="38"/>
      <c r="L7281" s="38"/>
    </row>
    <row r="7282" spans="1:12" x14ac:dyDescent="0.25">
      <c r="A7282" s="35"/>
      <c r="B7282" s="36"/>
      <c r="C7282" s="36"/>
      <c r="D7282" s="36"/>
      <c r="E7282" s="36"/>
      <c r="F7282" s="36"/>
      <c r="G7282" s="36"/>
      <c r="H7282" s="36"/>
      <c r="I7282" s="37"/>
      <c r="J7282" s="36"/>
      <c r="K7282" s="38"/>
      <c r="L7282" s="38"/>
    </row>
    <row r="7283" spans="1:12" x14ac:dyDescent="0.25">
      <c r="A7283" s="35"/>
      <c r="B7283" s="36"/>
      <c r="C7283" s="36"/>
      <c r="D7283" s="36"/>
      <c r="E7283" s="36"/>
      <c r="F7283" s="36"/>
      <c r="G7283" s="36"/>
      <c r="H7283" s="36"/>
      <c r="I7283" s="37"/>
      <c r="J7283" s="36"/>
      <c r="K7283" s="38"/>
      <c r="L7283" s="38"/>
    </row>
    <row r="7284" spans="1:12" x14ac:dyDescent="0.25">
      <c r="A7284" s="35"/>
      <c r="B7284" s="36"/>
      <c r="C7284" s="36"/>
      <c r="D7284" s="36"/>
      <c r="E7284" s="36"/>
      <c r="F7284" s="36"/>
      <c r="G7284" s="36"/>
      <c r="H7284" s="36"/>
      <c r="I7284" s="37"/>
      <c r="J7284" s="36"/>
      <c r="K7284" s="38"/>
      <c r="L7284" s="38"/>
    </row>
    <row r="7285" spans="1:12" x14ac:dyDescent="0.25">
      <c r="A7285" s="35"/>
      <c r="B7285" s="36"/>
      <c r="C7285" s="36"/>
      <c r="D7285" s="36"/>
      <c r="E7285" s="36"/>
      <c r="F7285" s="36"/>
      <c r="G7285" s="36"/>
      <c r="H7285" s="36"/>
      <c r="I7285" s="37"/>
      <c r="J7285" s="36"/>
      <c r="K7285" s="38"/>
      <c r="L7285" s="38"/>
    </row>
    <row r="7286" spans="1:12" x14ac:dyDescent="0.25">
      <c r="A7286" s="35"/>
      <c r="B7286" s="36"/>
      <c r="C7286" s="36"/>
      <c r="D7286" s="36"/>
      <c r="E7286" s="36"/>
      <c r="F7286" s="36"/>
      <c r="G7286" s="36"/>
      <c r="H7286" s="36"/>
      <c r="I7286" s="37"/>
      <c r="J7286" s="36"/>
      <c r="K7286" s="38"/>
      <c r="L7286" s="38"/>
    </row>
    <row r="7287" spans="1:12" x14ac:dyDescent="0.25">
      <c r="A7287" s="35"/>
      <c r="B7287" s="36"/>
      <c r="C7287" s="36"/>
      <c r="D7287" s="36"/>
      <c r="E7287" s="36"/>
      <c r="F7287" s="36"/>
      <c r="G7287" s="36"/>
      <c r="H7287" s="36"/>
      <c r="I7287" s="37"/>
      <c r="J7287" s="36"/>
      <c r="K7287" s="38"/>
      <c r="L7287" s="38"/>
    </row>
    <row r="7288" spans="1:12" x14ac:dyDescent="0.25">
      <c r="A7288" s="35"/>
      <c r="B7288" s="36"/>
      <c r="C7288" s="36"/>
      <c r="D7288" s="36"/>
      <c r="E7288" s="36"/>
      <c r="F7288" s="36"/>
      <c r="G7288" s="36"/>
      <c r="H7288" s="36"/>
      <c r="I7288" s="37"/>
      <c r="J7288" s="36"/>
      <c r="K7288" s="38"/>
      <c r="L7288" s="38"/>
    </row>
    <row r="7289" spans="1:12" x14ac:dyDescent="0.25">
      <c r="A7289" s="35"/>
      <c r="B7289" s="36"/>
      <c r="C7289" s="36"/>
      <c r="D7289" s="36"/>
      <c r="E7289" s="36"/>
      <c r="F7289" s="36"/>
      <c r="G7289" s="36"/>
      <c r="H7289" s="36"/>
      <c r="I7289" s="37"/>
      <c r="J7289" s="36"/>
      <c r="K7289" s="38"/>
      <c r="L7289" s="38"/>
    </row>
    <row r="7290" spans="1:12" x14ac:dyDescent="0.25">
      <c r="A7290" s="35"/>
      <c r="B7290" s="36"/>
      <c r="C7290" s="36"/>
      <c r="D7290" s="36"/>
      <c r="E7290" s="36"/>
      <c r="F7290" s="36"/>
      <c r="G7290" s="36"/>
      <c r="H7290" s="36"/>
      <c r="I7290" s="37"/>
      <c r="J7290" s="36"/>
      <c r="K7290" s="38"/>
      <c r="L7290" s="38"/>
    </row>
    <row r="7291" spans="1:12" x14ac:dyDescent="0.25">
      <c r="A7291" s="35"/>
      <c r="B7291" s="36"/>
      <c r="C7291" s="36"/>
      <c r="D7291" s="36"/>
      <c r="E7291" s="36"/>
      <c r="F7291" s="36"/>
      <c r="G7291" s="36"/>
      <c r="H7291" s="36"/>
      <c r="I7291" s="37"/>
      <c r="J7291" s="36"/>
      <c r="K7291" s="38"/>
      <c r="L7291" s="38"/>
    </row>
    <row r="7292" spans="1:12" x14ac:dyDescent="0.25">
      <c r="A7292" s="35"/>
      <c r="B7292" s="36"/>
      <c r="C7292" s="36"/>
      <c r="D7292" s="36"/>
      <c r="E7292" s="36"/>
      <c r="F7292" s="36"/>
      <c r="G7292" s="36"/>
      <c r="H7292" s="36"/>
      <c r="I7292" s="37"/>
      <c r="J7292" s="36"/>
      <c r="K7292" s="38"/>
      <c r="L7292" s="38"/>
    </row>
    <row r="7293" spans="1:12" x14ac:dyDescent="0.25">
      <c r="A7293" s="35"/>
      <c r="B7293" s="36"/>
      <c r="C7293" s="36"/>
      <c r="D7293" s="36"/>
      <c r="E7293" s="36"/>
      <c r="F7293" s="36"/>
      <c r="G7293" s="36"/>
      <c r="H7293" s="36"/>
      <c r="I7293" s="37"/>
      <c r="J7293" s="36"/>
      <c r="K7293" s="38"/>
      <c r="L7293" s="38"/>
    </row>
    <row r="7294" spans="1:12" x14ac:dyDescent="0.25">
      <c r="A7294" s="35"/>
      <c r="B7294" s="36"/>
      <c r="C7294" s="36"/>
      <c r="D7294" s="36"/>
      <c r="E7294" s="36"/>
      <c r="F7294" s="36"/>
      <c r="G7294" s="36"/>
      <c r="H7294" s="36"/>
      <c r="I7294" s="37"/>
      <c r="J7294" s="36"/>
      <c r="K7294" s="38"/>
      <c r="L7294" s="38"/>
    </row>
    <row r="7295" spans="1:12" x14ac:dyDescent="0.25">
      <c r="A7295" s="35"/>
      <c r="B7295" s="36"/>
      <c r="C7295" s="36"/>
      <c r="D7295" s="36"/>
      <c r="E7295" s="36"/>
      <c r="F7295" s="36"/>
      <c r="G7295" s="36"/>
      <c r="H7295" s="36"/>
      <c r="I7295" s="37"/>
      <c r="J7295" s="36"/>
      <c r="K7295" s="38"/>
      <c r="L7295" s="38"/>
    </row>
    <row r="7296" spans="1:12" x14ac:dyDescent="0.25">
      <c r="A7296" s="35"/>
      <c r="B7296" s="36"/>
      <c r="C7296" s="36"/>
      <c r="D7296" s="36"/>
      <c r="E7296" s="36"/>
      <c r="F7296" s="36"/>
      <c r="G7296" s="36"/>
      <c r="H7296" s="36"/>
      <c r="I7296" s="37"/>
      <c r="J7296" s="36"/>
      <c r="K7296" s="38"/>
      <c r="L7296" s="38"/>
    </row>
    <row r="7297" spans="1:12" x14ac:dyDescent="0.25">
      <c r="A7297" s="35"/>
      <c r="B7297" s="36"/>
      <c r="C7297" s="36"/>
      <c r="D7297" s="36"/>
      <c r="E7297" s="36"/>
      <c r="F7297" s="36"/>
      <c r="G7297" s="36"/>
      <c r="H7297" s="36"/>
      <c r="I7297" s="37"/>
      <c r="J7297" s="36"/>
      <c r="K7297" s="38"/>
      <c r="L7297" s="38"/>
    </row>
    <row r="7298" spans="1:12" x14ac:dyDescent="0.25">
      <c r="A7298" s="35"/>
      <c r="B7298" s="36"/>
      <c r="C7298" s="36"/>
      <c r="D7298" s="36"/>
      <c r="E7298" s="36"/>
      <c r="F7298" s="36"/>
      <c r="G7298" s="36"/>
      <c r="H7298" s="36"/>
      <c r="I7298" s="37"/>
      <c r="J7298" s="36"/>
      <c r="K7298" s="38"/>
      <c r="L7298" s="38"/>
    </row>
    <row r="7299" spans="1:12" x14ac:dyDescent="0.25">
      <c r="A7299" s="35"/>
      <c r="B7299" s="36"/>
      <c r="C7299" s="36"/>
      <c r="D7299" s="36"/>
      <c r="E7299" s="36"/>
      <c r="F7299" s="36"/>
      <c r="G7299" s="36"/>
      <c r="H7299" s="36"/>
      <c r="I7299" s="37"/>
      <c r="J7299" s="36"/>
      <c r="K7299" s="38"/>
      <c r="L7299" s="38"/>
    </row>
    <row r="7300" spans="1:12" x14ac:dyDescent="0.25">
      <c r="A7300" s="35"/>
      <c r="B7300" s="36"/>
      <c r="C7300" s="36"/>
      <c r="D7300" s="36"/>
      <c r="E7300" s="36"/>
      <c r="F7300" s="36"/>
      <c r="G7300" s="36"/>
      <c r="H7300" s="36"/>
      <c r="I7300" s="37"/>
      <c r="J7300" s="36"/>
      <c r="K7300" s="38"/>
      <c r="L7300" s="38"/>
    </row>
    <row r="7301" spans="1:12" x14ac:dyDescent="0.25">
      <c r="A7301" s="35"/>
      <c r="B7301" s="36"/>
      <c r="C7301" s="36"/>
      <c r="D7301" s="36"/>
      <c r="E7301" s="36"/>
      <c r="F7301" s="36"/>
      <c r="G7301" s="36"/>
      <c r="H7301" s="36"/>
      <c r="I7301" s="37"/>
      <c r="J7301" s="36"/>
      <c r="K7301" s="38"/>
      <c r="L7301" s="38"/>
    </row>
    <row r="7302" spans="1:12" x14ac:dyDescent="0.25">
      <c r="A7302" s="35"/>
      <c r="B7302" s="36"/>
      <c r="C7302" s="36"/>
      <c r="D7302" s="36"/>
      <c r="E7302" s="36"/>
      <c r="F7302" s="36"/>
      <c r="G7302" s="36"/>
      <c r="H7302" s="36"/>
      <c r="I7302" s="37"/>
      <c r="J7302" s="36"/>
      <c r="K7302" s="38"/>
      <c r="L7302" s="38"/>
    </row>
    <row r="7303" spans="1:12" x14ac:dyDescent="0.25">
      <c r="A7303" s="35"/>
      <c r="B7303" s="36"/>
      <c r="C7303" s="36"/>
      <c r="D7303" s="36"/>
      <c r="E7303" s="36"/>
      <c r="F7303" s="36"/>
      <c r="G7303" s="36"/>
      <c r="H7303" s="36"/>
      <c r="I7303" s="37"/>
      <c r="J7303" s="36"/>
      <c r="K7303" s="38"/>
      <c r="L7303" s="38"/>
    </row>
    <row r="7304" spans="1:12" x14ac:dyDescent="0.25">
      <c r="A7304" s="35"/>
      <c r="B7304" s="36"/>
      <c r="C7304" s="36"/>
      <c r="D7304" s="36"/>
      <c r="E7304" s="36"/>
      <c r="F7304" s="36"/>
      <c r="G7304" s="36"/>
      <c r="H7304" s="36"/>
      <c r="I7304" s="37"/>
      <c r="J7304" s="36"/>
      <c r="K7304" s="38"/>
      <c r="L7304" s="38"/>
    </row>
    <row r="7305" spans="1:12" x14ac:dyDescent="0.25">
      <c r="A7305" s="35"/>
      <c r="B7305" s="36"/>
      <c r="C7305" s="36"/>
      <c r="D7305" s="36"/>
      <c r="E7305" s="36"/>
      <c r="F7305" s="36"/>
      <c r="G7305" s="36"/>
      <c r="H7305" s="36"/>
      <c r="I7305" s="37"/>
      <c r="J7305" s="36"/>
      <c r="K7305" s="38"/>
      <c r="L7305" s="38"/>
    </row>
    <row r="7306" spans="1:12" x14ac:dyDescent="0.25">
      <c r="A7306" s="35"/>
      <c r="B7306" s="36"/>
      <c r="C7306" s="36"/>
      <c r="D7306" s="36"/>
      <c r="E7306" s="36"/>
      <c r="F7306" s="36"/>
      <c r="G7306" s="36"/>
      <c r="H7306" s="36"/>
      <c r="I7306" s="37"/>
      <c r="J7306" s="36"/>
      <c r="K7306" s="38"/>
      <c r="L7306" s="38"/>
    </row>
    <row r="7307" spans="1:12" x14ac:dyDescent="0.25">
      <c r="A7307" s="35"/>
      <c r="B7307" s="36"/>
      <c r="C7307" s="36"/>
      <c r="D7307" s="36"/>
      <c r="E7307" s="36"/>
      <c r="F7307" s="36"/>
      <c r="G7307" s="36"/>
      <c r="H7307" s="36"/>
      <c r="I7307" s="37"/>
      <c r="J7307" s="36"/>
      <c r="K7307" s="38"/>
      <c r="L7307" s="38"/>
    </row>
    <row r="7308" spans="1:12" x14ac:dyDescent="0.25">
      <c r="A7308" s="35"/>
      <c r="B7308" s="36"/>
      <c r="C7308" s="36"/>
      <c r="D7308" s="36"/>
      <c r="E7308" s="36"/>
      <c r="F7308" s="36"/>
      <c r="G7308" s="36"/>
      <c r="H7308" s="36"/>
      <c r="I7308" s="37"/>
      <c r="J7308" s="36"/>
      <c r="K7308" s="38"/>
      <c r="L7308" s="38"/>
    </row>
    <row r="7309" spans="1:12" x14ac:dyDescent="0.25">
      <c r="A7309" s="35"/>
      <c r="B7309" s="36"/>
      <c r="C7309" s="36"/>
      <c r="D7309" s="36"/>
      <c r="E7309" s="36"/>
      <c r="F7309" s="36"/>
      <c r="G7309" s="36"/>
      <c r="H7309" s="36"/>
      <c r="I7309" s="37"/>
      <c r="J7309" s="36"/>
      <c r="K7309" s="38"/>
      <c r="L7309" s="38"/>
    </row>
    <row r="7310" spans="1:12" x14ac:dyDescent="0.25">
      <c r="A7310" s="35"/>
      <c r="B7310" s="36"/>
      <c r="C7310" s="36"/>
      <c r="D7310" s="36"/>
      <c r="E7310" s="36"/>
      <c r="F7310" s="36"/>
      <c r="G7310" s="36"/>
      <c r="H7310" s="36"/>
      <c r="I7310" s="37"/>
      <c r="J7310" s="36"/>
      <c r="K7310" s="38"/>
      <c r="L7310" s="38"/>
    </row>
    <row r="7311" spans="1:12" x14ac:dyDescent="0.25">
      <c r="A7311" s="35"/>
      <c r="B7311" s="36"/>
      <c r="C7311" s="36"/>
      <c r="D7311" s="36"/>
      <c r="E7311" s="36"/>
      <c r="F7311" s="36"/>
      <c r="G7311" s="36"/>
      <c r="H7311" s="36"/>
      <c r="I7311" s="37"/>
      <c r="J7311" s="36"/>
      <c r="K7311" s="38"/>
      <c r="L7311" s="38"/>
    </row>
    <row r="7312" spans="1:12" x14ac:dyDescent="0.25">
      <c r="A7312" s="35"/>
      <c r="B7312" s="36"/>
      <c r="C7312" s="36"/>
      <c r="D7312" s="36"/>
      <c r="E7312" s="36"/>
      <c r="F7312" s="36"/>
      <c r="G7312" s="36"/>
      <c r="H7312" s="36"/>
      <c r="I7312" s="37"/>
      <c r="J7312" s="36"/>
      <c r="K7312" s="38"/>
      <c r="L7312" s="38"/>
    </row>
    <row r="7313" spans="1:12" x14ac:dyDescent="0.25">
      <c r="A7313" s="35"/>
      <c r="B7313" s="36"/>
      <c r="C7313" s="36"/>
      <c r="D7313" s="36"/>
      <c r="E7313" s="36"/>
      <c r="F7313" s="36"/>
      <c r="G7313" s="36"/>
      <c r="H7313" s="36"/>
      <c r="I7313" s="37"/>
      <c r="J7313" s="36"/>
      <c r="K7313" s="38"/>
      <c r="L7313" s="38"/>
    </row>
    <row r="7314" spans="1:12" x14ac:dyDescent="0.25">
      <c r="A7314" s="35"/>
      <c r="B7314" s="36"/>
      <c r="C7314" s="36"/>
      <c r="D7314" s="36"/>
      <c r="E7314" s="36"/>
      <c r="F7314" s="36"/>
      <c r="G7314" s="36"/>
      <c r="H7314" s="36"/>
      <c r="I7314" s="37"/>
      <c r="J7314" s="36"/>
      <c r="K7314" s="38"/>
      <c r="L7314" s="38"/>
    </row>
    <row r="7315" spans="1:12" x14ac:dyDescent="0.25">
      <c r="A7315" s="35"/>
      <c r="B7315" s="36"/>
      <c r="C7315" s="36"/>
      <c r="D7315" s="36"/>
      <c r="E7315" s="36"/>
      <c r="F7315" s="36"/>
      <c r="G7315" s="36"/>
      <c r="H7315" s="36"/>
      <c r="I7315" s="37"/>
      <c r="J7315" s="36"/>
      <c r="K7315" s="38"/>
      <c r="L7315" s="38"/>
    </row>
    <row r="7316" spans="1:12" x14ac:dyDescent="0.25">
      <c r="A7316" s="35"/>
      <c r="B7316" s="36"/>
      <c r="C7316" s="36"/>
      <c r="D7316" s="36"/>
      <c r="E7316" s="36"/>
      <c r="F7316" s="36"/>
      <c r="G7316" s="36"/>
      <c r="H7316" s="36"/>
      <c r="I7316" s="37"/>
      <c r="J7316" s="36"/>
      <c r="K7316" s="38"/>
      <c r="L7316" s="38"/>
    </row>
    <row r="7317" spans="1:12" x14ac:dyDescent="0.25">
      <c r="A7317" s="35"/>
      <c r="B7317" s="36"/>
      <c r="C7317" s="36"/>
      <c r="D7317" s="36"/>
      <c r="E7317" s="36"/>
      <c r="F7317" s="36"/>
      <c r="G7317" s="36"/>
      <c r="H7317" s="36"/>
      <c r="I7317" s="37"/>
      <c r="J7317" s="36"/>
      <c r="K7317" s="38"/>
      <c r="L7317" s="38"/>
    </row>
    <row r="7318" spans="1:12" x14ac:dyDescent="0.25">
      <c r="A7318" s="35"/>
      <c r="B7318" s="36"/>
      <c r="C7318" s="36"/>
      <c r="D7318" s="36"/>
      <c r="E7318" s="36"/>
      <c r="F7318" s="36"/>
      <c r="G7318" s="36"/>
      <c r="H7318" s="36"/>
      <c r="I7318" s="37"/>
      <c r="J7318" s="36"/>
      <c r="K7318" s="38"/>
      <c r="L7318" s="38"/>
    </row>
    <row r="7319" spans="1:12" x14ac:dyDescent="0.25">
      <c r="A7319" s="35"/>
      <c r="B7319" s="36"/>
      <c r="C7319" s="36"/>
      <c r="D7319" s="36"/>
      <c r="E7319" s="36"/>
      <c r="F7319" s="36"/>
      <c r="G7319" s="36"/>
      <c r="H7319" s="36"/>
      <c r="I7319" s="37"/>
      <c r="J7319" s="36"/>
      <c r="K7319" s="38"/>
      <c r="L7319" s="38"/>
    </row>
    <row r="7320" spans="1:12" x14ac:dyDescent="0.25">
      <c r="A7320" s="35"/>
      <c r="B7320" s="36"/>
      <c r="C7320" s="36"/>
      <c r="D7320" s="36"/>
      <c r="E7320" s="36"/>
      <c r="F7320" s="36"/>
      <c r="G7320" s="36"/>
      <c r="H7320" s="36"/>
      <c r="I7320" s="37"/>
      <c r="J7320" s="36"/>
      <c r="K7320" s="38"/>
      <c r="L7320" s="38"/>
    </row>
    <row r="7321" spans="1:12" x14ac:dyDescent="0.25">
      <c r="A7321" s="35"/>
      <c r="B7321" s="36"/>
      <c r="C7321" s="36"/>
      <c r="D7321" s="36"/>
      <c r="E7321" s="36"/>
      <c r="F7321" s="36"/>
      <c r="G7321" s="36"/>
      <c r="H7321" s="36"/>
      <c r="I7321" s="37"/>
      <c r="J7321" s="36"/>
      <c r="K7321" s="38"/>
      <c r="L7321" s="38"/>
    </row>
    <row r="7322" spans="1:12" x14ac:dyDescent="0.25">
      <c r="A7322" s="35"/>
      <c r="B7322" s="36"/>
      <c r="C7322" s="36"/>
      <c r="D7322" s="36"/>
      <c r="E7322" s="36"/>
      <c r="F7322" s="36"/>
      <c r="G7322" s="36"/>
      <c r="H7322" s="36"/>
      <c r="I7322" s="37"/>
      <c r="J7322" s="36"/>
      <c r="K7322" s="38"/>
      <c r="L7322" s="38"/>
    </row>
    <row r="7323" spans="1:12" x14ac:dyDescent="0.25">
      <c r="A7323" s="35"/>
      <c r="B7323" s="36"/>
      <c r="C7323" s="36"/>
      <c r="D7323" s="36"/>
      <c r="E7323" s="36"/>
      <c r="F7323" s="36"/>
      <c r="G7323" s="36"/>
      <c r="H7323" s="36"/>
      <c r="I7323" s="37"/>
      <c r="J7323" s="36"/>
      <c r="K7323" s="38"/>
      <c r="L7323" s="38"/>
    </row>
    <row r="7324" spans="1:12" x14ac:dyDescent="0.25">
      <c r="A7324" s="35"/>
      <c r="B7324" s="36"/>
      <c r="C7324" s="36"/>
      <c r="D7324" s="36"/>
      <c r="E7324" s="36"/>
      <c r="F7324" s="36"/>
      <c r="G7324" s="36"/>
      <c r="H7324" s="36"/>
      <c r="I7324" s="37"/>
      <c r="J7324" s="36"/>
      <c r="K7324" s="38"/>
      <c r="L7324" s="38"/>
    </row>
    <row r="7325" spans="1:12" x14ac:dyDescent="0.25">
      <c r="A7325" s="35"/>
      <c r="B7325" s="36"/>
      <c r="C7325" s="36"/>
      <c r="D7325" s="36"/>
      <c r="E7325" s="36"/>
      <c r="F7325" s="36"/>
      <c r="G7325" s="36"/>
      <c r="H7325" s="36"/>
      <c r="I7325" s="37"/>
      <c r="J7325" s="36"/>
      <c r="K7325" s="38"/>
      <c r="L7325" s="38"/>
    </row>
    <row r="7326" spans="1:12" x14ac:dyDescent="0.25">
      <c r="A7326" s="35"/>
      <c r="B7326" s="36"/>
      <c r="C7326" s="36"/>
      <c r="D7326" s="36"/>
      <c r="E7326" s="36"/>
      <c r="F7326" s="36"/>
      <c r="G7326" s="36"/>
      <c r="H7326" s="36"/>
      <c r="I7326" s="37"/>
      <c r="J7326" s="36"/>
      <c r="K7326" s="38"/>
      <c r="L7326" s="38"/>
    </row>
    <row r="7327" spans="1:12" x14ac:dyDescent="0.25">
      <c r="A7327" s="35"/>
      <c r="B7327" s="36"/>
      <c r="C7327" s="36"/>
      <c r="D7327" s="36"/>
      <c r="E7327" s="36"/>
      <c r="F7327" s="36"/>
      <c r="G7327" s="36"/>
      <c r="H7327" s="36"/>
      <c r="I7327" s="37"/>
      <c r="J7327" s="36"/>
      <c r="K7327" s="38"/>
      <c r="L7327" s="38"/>
    </row>
    <row r="7328" spans="1:12" x14ac:dyDescent="0.25">
      <c r="A7328" s="35"/>
      <c r="B7328" s="36"/>
      <c r="C7328" s="36"/>
      <c r="D7328" s="36"/>
      <c r="E7328" s="36"/>
      <c r="F7328" s="36"/>
      <c r="G7328" s="36"/>
      <c r="H7328" s="36"/>
      <c r="I7328" s="37"/>
      <c r="J7328" s="36"/>
      <c r="K7328" s="38"/>
      <c r="L7328" s="38"/>
    </row>
    <row r="7329" spans="1:12" x14ac:dyDescent="0.25">
      <c r="A7329" s="35"/>
      <c r="B7329" s="36"/>
      <c r="C7329" s="36"/>
      <c r="D7329" s="36"/>
      <c r="E7329" s="36"/>
      <c r="F7329" s="36"/>
      <c r="G7329" s="36"/>
      <c r="H7329" s="36"/>
      <c r="I7329" s="37"/>
      <c r="J7329" s="36"/>
      <c r="K7329" s="38"/>
      <c r="L7329" s="38"/>
    </row>
    <row r="7330" spans="1:12" x14ac:dyDescent="0.25">
      <c r="A7330" s="35"/>
      <c r="B7330" s="36"/>
      <c r="C7330" s="36"/>
      <c r="D7330" s="36"/>
      <c r="E7330" s="36"/>
      <c r="F7330" s="36"/>
      <c r="G7330" s="36"/>
      <c r="H7330" s="36"/>
      <c r="I7330" s="37"/>
      <c r="J7330" s="36"/>
      <c r="K7330" s="38"/>
      <c r="L7330" s="38"/>
    </row>
    <row r="7331" spans="1:12" x14ac:dyDescent="0.25">
      <c r="A7331" s="35"/>
      <c r="B7331" s="36"/>
      <c r="C7331" s="36"/>
      <c r="D7331" s="36"/>
      <c r="E7331" s="36"/>
      <c r="F7331" s="36"/>
      <c r="G7331" s="36"/>
      <c r="H7331" s="36"/>
      <c r="I7331" s="37"/>
      <c r="J7331" s="36"/>
      <c r="K7331" s="38"/>
      <c r="L7331" s="38"/>
    </row>
    <row r="7332" spans="1:12" x14ac:dyDescent="0.25">
      <c r="A7332" s="35"/>
      <c r="B7332" s="36"/>
      <c r="C7332" s="36"/>
      <c r="D7332" s="36"/>
      <c r="E7332" s="36"/>
      <c r="F7332" s="36"/>
      <c r="G7332" s="36"/>
      <c r="H7332" s="36"/>
      <c r="I7332" s="37"/>
      <c r="J7332" s="36"/>
      <c r="K7332" s="38"/>
      <c r="L7332" s="38"/>
    </row>
    <row r="7333" spans="1:12" x14ac:dyDescent="0.25">
      <c r="A7333" s="35"/>
      <c r="B7333" s="36"/>
      <c r="C7333" s="36"/>
      <c r="D7333" s="36"/>
      <c r="E7333" s="36"/>
      <c r="F7333" s="36"/>
      <c r="G7333" s="36"/>
      <c r="H7333" s="36"/>
      <c r="I7333" s="37"/>
      <c r="J7333" s="36"/>
      <c r="K7333" s="38"/>
      <c r="L7333" s="38"/>
    </row>
    <row r="7334" spans="1:12" x14ac:dyDescent="0.25">
      <c r="A7334" s="35"/>
      <c r="B7334" s="36"/>
      <c r="C7334" s="36"/>
      <c r="D7334" s="36"/>
      <c r="E7334" s="36"/>
      <c r="F7334" s="36"/>
      <c r="G7334" s="36"/>
      <c r="H7334" s="36"/>
      <c r="I7334" s="37"/>
      <c r="J7334" s="36"/>
      <c r="K7334" s="38"/>
      <c r="L7334" s="38"/>
    </row>
    <row r="7335" spans="1:12" x14ac:dyDescent="0.25">
      <c r="A7335" s="35"/>
      <c r="B7335" s="36"/>
      <c r="C7335" s="36"/>
      <c r="D7335" s="36"/>
      <c r="E7335" s="36"/>
      <c r="F7335" s="36"/>
      <c r="G7335" s="36"/>
      <c r="H7335" s="36"/>
      <c r="I7335" s="37"/>
      <c r="J7335" s="36"/>
      <c r="K7335" s="38"/>
      <c r="L7335" s="38"/>
    </row>
    <row r="7336" spans="1:12" x14ac:dyDescent="0.25">
      <c r="A7336" s="35"/>
      <c r="B7336" s="36"/>
      <c r="C7336" s="36"/>
      <c r="D7336" s="36"/>
      <c r="E7336" s="36"/>
      <c r="F7336" s="36"/>
      <c r="G7336" s="36"/>
      <c r="H7336" s="36"/>
      <c r="I7336" s="37"/>
      <c r="J7336" s="36"/>
      <c r="K7336" s="38"/>
      <c r="L7336" s="38"/>
    </row>
    <row r="7337" spans="1:12" x14ac:dyDescent="0.25">
      <c r="A7337" s="35"/>
      <c r="B7337" s="36"/>
      <c r="C7337" s="36"/>
      <c r="D7337" s="36"/>
      <c r="E7337" s="36"/>
      <c r="F7337" s="36"/>
      <c r="G7337" s="36"/>
      <c r="H7337" s="36"/>
      <c r="I7337" s="37"/>
      <c r="J7337" s="36"/>
      <c r="K7337" s="38"/>
      <c r="L7337" s="38"/>
    </row>
    <row r="7338" spans="1:12" x14ac:dyDescent="0.25">
      <c r="A7338" s="35"/>
      <c r="B7338" s="36"/>
      <c r="C7338" s="36"/>
      <c r="D7338" s="36"/>
      <c r="E7338" s="36"/>
      <c r="F7338" s="36"/>
      <c r="G7338" s="36"/>
      <c r="H7338" s="36"/>
      <c r="I7338" s="37"/>
      <c r="J7338" s="36"/>
      <c r="K7338" s="38"/>
      <c r="L7338" s="38"/>
    </row>
    <row r="7339" spans="1:12" x14ac:dyDescent="0.25">
      <c r="A7339" s="35"/>
      <c r="B7339" s="36"/>
      <c r="C7339" s="36"/>
      <c r="D7339" s="36"/>
      <c r="E7339" s="36"/>
      <c r="F7339" s="36"/>
      <c r="G7339" s="36"/>
      <c r="H7339" s="36"/>
      <c r="I7339" s="37"/>
      <c r="J7339" s="36"/>
      <c r="K7339" s="38"/>
      <c r="L7339" s="38"/>
    </row>
    <row r="7340" spans="1:12" x14ac:dyDescent="0.25">
      <c r="A7340" s="35"/>
      <c r="B7340" s="36"/>
      <c r="C7340" s="36"/>
      <c r="D7340" s="36"/>
      <c r="E7340" s="36"/>
      <c r="F7340" s="36"/>
      <c r="G7340" s="36"/>
      <c r="H7340" s="36"/>
      <c r="I7340" s="37"/>
      <c r="J7340" s="36"/>
      <c r="K7340" s="38"/>
      <c r="L7340" s="38"/>
    </row>
    <row r="7341" spans="1:12" x14ac:dyDescent="0.25">
      <c r="A7341" s="35"/>
      <c r="B7341" s="36"/>
      <c r="C7341" s="36"/>
      <c r="D7341" s="36"/>
      <c r="E7341" s="36"/>
      <c r="F7341" s="36"/>
      <c r="G7341" s="36"/>
      <c r="H7341" s="36"/>
      <c r="I7341" s="37"/>
      <c r="J7341" s="36"/>
      <c r="K7341" s="38"/>
      <c r="L7341" s="38"/>
    </row>
    <row r="7342" spans="1:12" x14ac:dyDescent="0.25">
      <c r="A7342" s="35"/>
      <c r="B7342" s="36"/>
      <c r="C7342" s="36"/>
      <c r="D7342" s="36"/>
      <c r="E7342" s="36"/>
      <c r="F7342" s="36"/>
      <c r="G7342" s="36"/>
      <c r="H7342" s="36"/>
      <c r="I7342" s="37"/>
      <c r="J7342" s="36"/>
      <c r="K7342" s="38"/>
      <c r="L7342" s="38"/>
    </row>
    <row r="7343" spans="1:12" x14ac:dyDescent="0.25">
      <c r="A7343" s="35"/>
      <c r="B7343" s="36"/>
      <c r="C7343" s="36"/>
      <c r="D7343" s="36"/>
      <c r="E7343" s="36"/>
      <c r="F7343" s="36"/>
      <c r="G7343" s="36"/>
      <c r="H7343" s="36"/>
      <c r="I7343" s="37"/>
      <c r="J7343" s="36"/>
      <c r="K7343" s="38"/>
      <c r="L7343" s="38"/>
    </row>
    <row r="7344" spans="1:12" x14ac:dyDescent="0.25">
      <c r="A7344" s="35"/>
      <c r="B7344" s="36"/>
      <c r="C7344" s="36"/>
      <c r="D7344" s="36"/>
      <c r="E7344" s="36"/>
      <c r="F7344" s="36"/>
      <c r="G7344" s="36"/>
      <c r="H7344" s="36"/>
      <c r="I7344" s="37"/>
      <c r="J7344" s="36"/>
      <c r="K7344" s="38"/>
      <c r="L7344" s="38"/>
    </row>
    <row r="7345" spans="1:12" x14ac:dyDescent="0.25">
      <c r="A7345" s="35"/>
      <c r="B7345" s="36"/>
      <c r="C7345" s="36"/>
      <c r="D7345" s="36"/>
      <c r="E7345" s="36"/>
      <c r="F7345" s="36"/>
      <c r="G7345" s="36"/>
      <c r="H7345" s="36"/>
      <c r="I7345" s="37"/>
      <c r="J7345" s="36"/>
      <c r="K7345" s="38"/>
      <c r="L7345" s="38"/>
    </row>
    <row r="7346" spans="1:12" x14ac:dyDescent="0.25">
      <c r="A7346" s="35"/>
      <c r="B7346" s="36"/>
      <c r="C7346" s="36"/>
      <c r="D7346" s="36"/>
      <c r="E7346" s="36"/>
      <c r="F7346" s="36"/>
      <c r="G7346" s="36"/>
      <c r="H7346" s="36"/>
      <c r="I7346" s="37"/>
      <c r="J7346" s="36"/>
      <c r="K7346" s="38"/>
      <c r="L7346" s="38"/>
    </row>
    <row r="7347" spans="1:12" x14ac:dyDescent="0.25">
      <c r="A7347" s="35"/>
      <c r="B7347" s="36"/>
      <c r="C7347" s="36"/>
      <c r="D7347" s="36"/>
      <c r="E7347" s="36"/>
      <c r="F7347" s="36"/>
      <c r="G7347" s="36"/>
      <c r="H7347" s="36"/>
      <c r="I7347" s="37"/>
      <c r="J7347" s="36"/>
      <c r="K7347" s="38"/>
      <c r="L7347" s="38"/>
    </row>
    <row r="7348" spans="1:12" x14ac:dyDescent="0.25">
      <c r="A7348" s="35"/>
      <c r="B7348" s="36"/>
      <c r="C7348" s="36"/>
      <c r="D7348" s="36"/>
      <c r="E7348" s="36"/>
      <c r="F7348" s="36"/>
      <c r="G7348" s="36"/>
      <c r="H7348" s="36"/>
      <c r="I7348" s="37"/>
      <c r="J7348" s="36"/>
      <c r="K7348" s="38"/>
      <c r="L7348" s="38"/>
    </row>
    <row r="7349" spans="1:12" x14ac:dyDescent="0.25">
      <c r="A7349" s="35"/>
      <c r="B7349" s="36"/>
      <c r="C7349" s="36"/>
      <c r="D7349" s="36"/>
      <c r="E7349" s="36"/>
      <c r="F7349" s="36"/>
      <c r="G7349" s="36"/>
      <c r="H7349" s="36"/>
      <c r="I7349" s="37"/>
      <c r="J7349" s="36"/>
      <c r="K7349" s="38"/>
      <c r="L7349" s="38"/>
    </row>
    <row r="7350" spans="1:12" x14ac:dyDescent="0.25">
      <c r="A7350" s="35"/>
      <c r="B7350" s="36"/>
      <c r="C7350" s="36"/>
      <c r="D7350" s="36"/>
      <c r="E7350" s="36"/>
      <c r="F7350" s="36"/>
      <c r="G7350" s="36"/>
      <c r="H7350" s="36"/>
      <c r="I7350" s="37"/>
      <c r="J7350" s="36"/>
      <c r="K7350" s="38"/>
      <c r="L7350" s="38"/>
    </row>
    <row r="7351" spans="1:12" x14ac:dyDescent="0.25">
      <c r="A7351" s="35"/>
      <c r="B7351" s="36"/>
      <c r="C7351" s="36"/>
      <c r="D7351" s="36"/>
      <c r="E7351" s="36"/>
      <c r="F7351" s="36"/>
      <c r="G7351" s="36"/>
      <c r="H7351" s="36"/>
      <c r="I7351" s="37"/>
      <c r="J7351" s="36"/>
      <c r="K7351" s="38"/>
      <c r="L7351" s="38"/>
    </row>
    <row r="7352" spans="1:12" x14ac:dyDescent="0.25">
      <c r="A7352" s="35"/>
      <c r="B7352" s="36"/>
      <c r="C7352" s="36"/>
      <c r="D7352" s="36"/>
      <c r="E7352" s="36"/>
      <c r="F7352" s="36"/>
      <c r="G7352" s="36"/>
      <c r="H7352" s="36"/>
      <c r="I7352" s="37"/>
      <c r="J7352" s="36"/>
      <c r="K7352" s="38"/>
      <c r="L7352" s="38"/>
    </row>
    <row r="7353" spans="1:12" x14ac:dyDescent="0.25">
      <c r="A7353" s="35"/>
      <c r="B7353" s="36"/>
      <c r="C7353" s="36"/>
      <c r="D7353" s="36"/>
      <c r="E7353" s="36"/>
      <c r="F7353" s="36"/>
      <c r="G7353" s="36"/>
      <c r="H7353" s="36"/>
      <c r="I7353" s="37"/>
      <c r="J7353" s="36"/>
      <c r="K7353" s="38"/>
      <c r="L7353" s="38"/>
    </row>
    <row r="7354" spans="1:12" x14ac:dyDescent="0.25">
      <c r="A7354" s="35"/>
      <c r="B7354" s="36"/>
      <c r="C7354" s="36"/>
      <c r="D7354" s="36"/>
      <c r="E7354" s="36"/>
      <c r="F7354" s="36"/>
      <c r="G7354" s="36"/>
      <c r="H7354" s="36"/>
      <c r="I7354" s="37"/>
      <c r="J7354" s="36"/>
      <c r="K7354" s="38"/>
      <c r="L7354" s="38"/>
    </row>
    <row r="7355" spans="1:12" x14ac:dyDescent="0.25">
      <c r="A7355" s="35"/>
      <c r="B7355" s="36"/>
      <c r="C7355" s="36"/>
      <c r="D7355" s="36"/>
      <c r="E7355" s="36"/>
      <c r="F7355" s="36"/>
      <c r="G7355" s="36"/>
      <c r="H7355" s="36"/>
      <c r="I7355" s="37"/>
      <c r="J7355" s="36"/>
      <c r="K7355" s="38"/>
      <c r="L7355" s="38"/>
    </row>
    <row r="7356" spans="1:12" x14ac:dyDescent="0.25">
      <c r="A7356" s="35"/>
      <c r="B7356" s="36"/>
      <c r="C7356" s="36"/>
      <c r="D7356" s="36"/>
      <c r="E7356" s="36"/>
      <c r="F7356" s="36"/>
      <c r="G7356" s="36"/>
      <c r="H7356" s="36"/>
      <c r="I7356" s="37"/>
      <c r="J7356" s="36"/>
      <c r="K7356" s="38"/>
      <c r="L7356" s="38"/>
    </row>
    <row r="7357" spans="1:12" x14ac:dyDescent="0.25">
      <c r="A7357" s="35"/>
      <c r="B7357" s="36"/>
      <c r="C7357" s="36"/>
      <c r="D7357" s="36"/>
      <c r="E7357" s="36"/>
      <c r="F7357" s="36"/>
      <c r="G7357" s="36"/>
      <c r="H7357" s="36"/>
      <c r="I7357" s="37"/>
      <c r="J7357" s="36"/>
      <c r="K7357" s="38"/>
      <c r="L7357" s="38"/>
    </row>
    <row r="7358" spans="1:12" x14ac:dyDescent="0.25">
      <c r="A7358" s="35"/>
      <c r="B7358" s="36"/>
      <c r="C7358" s="36"/>
      <c r="D7358" s="36"/>
      <c r="E7358" s="36"/>
      <c r="F7358" s="36"/>
      <c r="G7358" s="36"/>
      <c r="H7358" s="36"/>
      <c r="I7358" s="37"/>
      <c r="J7358" s="36"/>
      <c r="K7358" s="38"/>
      <c r="L7358" s="38"/>
    </row>
    <row r="7359" spans="1:12" x14ac:dyDescent="0.25">
      <c r="A7359" s="35"/>
      <c r="B7359" s="36"/>
      <c r="C7359" s="36"/>
      <c r="D7359" s="36"/>
      <c r="E7359" s="36"/>
      <c r="F7359" s="36"/>
      <c r="G7359" s="36"/>
      <c r="H7359" s="36"/>
      <c r="I7359" s="37"/>
      <c r="J7359" s="36"/>
      <c r="K7359" s="38"/>
      <c r="L7359" s="38"/>
    </row>
    <row r="7360" spans="1:12" x14ac:dyDescent="0.25">
      <c r="A7360" s="35"/>
      <c r="B7360" s="36"/>
      <c r="C7360" s="36"/>
      <c r="D7360" s="36"/>
      <c r="E7360" s="36"/>
      <c r="F7360" s="36"/>
      <c r="G7360" s="36"/>
      <c r="H7360" s="36"/>
      <c r="I7360" s="37"/>
      <c r="J7360" s="36"/>
      <c r="K7360" s="38"/>
      <c r="L7360" s="38"/>
    </row>
    <row r="7361" spans="1:12" x14ac:dyDescent="0.25">
      <c r="A7361" s="35"/>
      <c r="B7361" s="36"/>
      <c r="C7361" s="36"/>
      <c r="D7361" s="36"/>
      <c r="E7361" s="36"/>
      <c r="F7361" s="36"/>
      <c r="G7361" s="36"/>
      <c r="H7361" s="36"/>
      <c r="I7361" s="37"/>
      <c r="J7361" s="36"/>
      <c r="K7361" s="38"/>
      <c r="L7361" s="38"/>
    </row>
    <row r="7362" spans="1:12" x14ac:dyDescent="0.25">
      <c r="A7362" s="35"/>
      <c r="B7362" s="36"/>
      <c r="C7362" s="36"/>
      <c r="D7362" s="36"/>
      <c r="E7362" s="36"/>
      <c r="F7362" s="36"/>
      <c r="G7362" s="36"/>
      <c r="H7362" s="36"/>
      <c r="I7362" s="37"/>
      <c r="J7362" s="36"/>
      <c r="K7362" s="38"/>
      <c r="L7362" s="38"/>
    </row>
    <row r="7363" spans="1:12" x14ac:dyDescent="0.25">
      <c r="A7363" s="35"/>
      <c r="B7363" s="36"/>
      <c r="C7363" s="36"/>
      <c r="D7363" s="36"/>
      <c r="E7363" s="36"/>
      <c r="F7363" s="36"/>
      <c r="G7363" s="36"/>
      <c r="H7363" s="36"/>
      <c r="I7363" s="37"/>
      <c r="J7363" s="36"/>
      <c r="K7363" s="38"/>
      <c r="L7363" s="38"/>
    </row>
    <row r="7364" spans="1:12" x14ac:dyDescent="0.25">
      <c r="A7364" s="35"/>
      <c r="B7364" s="36"/>
      <c r="C7364" s="36"/>
      <c r="D7364" s="36"/>
      <c r="E7364" s="36"/>
      <c r="F7364" s="36"/>
      <c r="G7364" s="36"/>
      <c r="H7364" s="36"/>
      <c r="I7364" s="37"/>
      <c r="J7364" s="36"/>
      <c r="K7364" s="38"/>
      <c r="L7364" s="38"/>
    </row>
    <row r="7365" spans="1:12" x14ac:dyDescent="0.25">
      <c r="A7365" s="35"/>
      <c r="B7365" s="36"/>
      <c r="C7365" s="36"/>
      <c r="D7365" s="36"/>
      <c r="E7365" s="36"/>
      <c r="F7365" s="36"/>
      <c r="G7365" s="36"/>
      <c r="H7365" s="36"/>
      <c r="I7365" s="37"/>
      <c r="J7365" s="36"/>
      <c r="K7365" s="38"/>
      <c r="L7365" s="38"/>
    </row>
    <row r="7366" spans="1:12" x14ac:dyDescent="0.25">
      <c r="A7366" s="35"/>
      <c r="B7366" s="36"/>
      <c r="C7366" s="36"/>
      <c r="D7366" s="36"/>
      <c r="E7366" s="36"/>
      <c r="F7366" s="36"/>
      <c r="G7366" s="36"/>
      <c r="H7366" s="36"/>
      <c r="I7366" s="37"/>
      <c r="J7366" s="36"/>
      <c r="K7366" s="38"/>
      <c r="L7366" s="38"/>
    </row>
    <row r="7367" spans="1:12" x14ac:dyDescent="0.25">
      <c r="A7367" s="35"/>
      <c r="B7367" s="36"/>
      <c r="C7367" s="36"/>
      <c r="D7367" s="36"/>
      <c r="E7367" s="36"/>
      <c r="F7367" s="36"/>
      <c r="G7367" s="36"/>
      <c r="H7367" s="36"/>
      <c r="I7367" s="37"/>
      <c r="J7367" s="36"/>
      <c r="K7367" s="38"/>
      <c r="L7367" s="38"/>
    </row>
    <row r="7368" spans="1:12" x14ac:dyDescent="0.25">
      <c r="A7368" s="35"/>
      <c r="B7368" s="36"/>
      <c r="C7368" s="36"/>
      <c r="D7368" s="36"/>
      <c r="E7368" s="36"/>
      <c r="F7368" s="36"/>
      <c r="G7368" s="36"/>
      <c r="H7368" s="36"/>
      <c r="I7368" s="37"/>
      <c r="J7368" s="36"/>
      <c r="K7368" s="38"/>
      <c r="L7368" s="38"/>
    </row>
    <row r="7369" spans="1:12" x14ac:dyDescent="0.25">
      <c r="A7369" s="35"/>
      <c r="B7369" s="36"/>
      <c r="C7369" s="36"/>
      <c r="D7369" s="36"/>
      <c r="E7369" s="36"/>
      <c r="F7369" s="36"/>
      <c r="G7369" s="36"/>
      <c r="H7369" s="36"/>
      <c r="I7369" s="37"/>
      <c r="J7369" s="36"/>
      <c r="K7369" s="38"/>
      <c r="L7369" s="38"/>
    </row>
    <row r="7370" spans="1:12" x14ac:dyDescent="0.25">
      <c r="A7370" s="35"/>
      <c r="B7370" s="36"/>
      <c r="C7370" s="36"/>
      <c r="D7370" s="36"/>
      <c r="E7370" s="36"/>
      <c r="F7370" s="36"/>
      <c r="G7370" s="36"/>
      <c r="H7370" s="36"/>
      <c r="I7370" s="37"/>
      <c r="J7370" s="36"/>
      <c r="K7370" s="38"/>
      <c r="L7370" s="38"/>
    </row>
    <row r="7371" spans="1:12" x14ac:dyDescent="0.25">
      <c r="A7371" s="35"/>
      <c r="B7371" s="36"/>
      <c r="C7371" s="36"/>
      <c r="D7371" s="36"/>
      <c r="E7371" s="36"/>
      <c r="F7371" s="36"/>
      <c r="G7371" s="36"/>
      <c r="H7371" s="36"/>
      <c r="I7371" s="37"/>
      <c r="J7371" s="36"/>
      <c r="K7371" s="38"/>
      <c r="L7371" s="38"/>
    </row>
    <row r="7372" spans="1:12" x14ac:dyDescent="0.25">
      <c r="A7372" s="35"/>
      <c r="B7372" s="36"/>
      <c r="C7372" s="36"/>
      <c r="D7372" s="36"/>
      <c r="E7372" s="36"/>
      <c r="F7372" s="36"/>
      <c r="G7372" s="36"/>
      <c r="H7372" s="36"/>
      <c r="I7372" s="37"/>
      <c r="J7372" s="36"/>
      <c r="K7372" s="38"/>
      <c r="L7372" s="38"/>
    </row>
    <row r="7373" spans="1:12" x14ac:dyDescent="0.25">
      <c r="A7373" s="35"/>
      <c r="B7373" s="36"/>
      <c r="C7373" s="36"/>
      <c r="D7373" s="36"/>
      <c r="E7373" s="36"/>
      <c r="F7373" s="36"/>
      <c r="G7373" s="36"/>
      <c r="H7373" s="36"/>
      <c r="I7373" s="37"/>
      <c r="J7373" s="36"/>
      <c r="K7373" s="38"/>
      <c r="L7373" s="38"/>
    </row>
    <row r="7374" spans="1:12" x14ac:dyDescent="0.25">
      <c r="A7374" s="35"/>
      <c r="B7374" s="36"/>
      <c r="C7374" s="36"/>
      <c r="D7374" s="36"/>
      <c r="E7374" s="36"/>
      <c r="F7374" s="36"/>
      <c r="G7374" s="36"/>
      <c r="H7374" s="36"/>
      <c r="I7374" s="37"/>
      <c r="J7374" s="36"/>
      <c r="K7374" s="38"/>
      <c r="L7374" s="38"/>
    </row>
    <row r="7375" spans="1:12" x14ac:dyDescent="0.25">
      <c r="A7375" s="35"/>
      <c r="B7375" s="36"/>
      <c r="C7375" s="36"/>
      <c r="D7375" s="36"/>
      <c r="E7375" s="36"/>
      <c r="F7375" s="36"/>
      <c r="G7375" s="36"/>
      <c r="H7375" s="36"/>
      <c r="I7375" s="37"/>
      <c r="J7375" s="36"/>
      <c r="K7375" s="38"/>
      <c r="L7375" s="38"/>
    </row>
    <row r="7376" spans="1:12" x14ac:dyDescent="0.25">
      <c r="A7376" s="35"/>
      <c r="B7376" s="36"/>
      <c r="C7376" s="36"/>
      <c r="D7376" s="36"/>
      <c r="E7376" s="36"/>
      <c r="F7376" s="36"/>
      <c r="G7376" s="36"/>
      <c r="H7376" s="36"/>
      <c r="I7376" s="37"/>
      <c r="J7376" s="36"/>
      <c r="K7376" s="38"/>
      <c r="L7376" s="38"/>
    </row>
    <row r="7377" spans="1:12" x14ac:dyDescent="0.25">
      <c r="A7377" s="35"/>
      <c r="B7377" s="36"/>
      <c r="C7377" s="36"/>
      <c r="D7377" s="36"/>
      <c r="E7377" s="36"/>
      <c r="F7377" s="36"/>
      <c r="G7377" s="36"/>
      <c r="H7377" s="36"/>
      <c r="I7377" s="37"/>
      <c r="J7377" s="36"/>
      <c r="K7377" s="38"/>
      <c r="L7377" s="38"/>
    </row>
    <row r="7378" spans="1:12" x14ac:dyDescent="0.25">
      <c r="A7378" s="35"/>
      <c r="B7378" s="36"/>
      <c r="C7378" s="36"/>
      <c r="D7378" s="36"/>
      <c r="E7378" s="36"/>
      <c r="F7378" s="36"/>
      <c r="G7378" s="36"/>
      <c r="H7378" s="36"/>
      <c r="I7378" s="37"/>
      <c r="J7378" s="36"/>
      <c r="K7378" s="38"/>
      <c r="L7378" s="38"/>
    </row>
    <row r="7379" spans="1:12" x14ac:dyDescent="0.25">
      <c r="A7379" s="35"/>
      <c r="B7379" s="36"/>
      <c r="C7379" s="36"/>
      <c r="D7379" s="36"/>
      <c r="E7379" s="36"/>
      <c r="F7379" s="36"/>
      <c r="G7379" s="36"/>
      <c r="H7379" s="36"/>
      <c r="I7379" s="37"/>
      <c r="J7379" s="36"/>
      <c r="K7379" s="38"/>
      <c r="L7379" s="38"/>
    </row>
    <row r="7380" spans="1:12" x14ac:dyDescent="0.25">
      <c r="A7380" s="35"/>
      <c r="B7380" s="36"/>
      <c r="C7380" s="36"/>
      <c r="D7380" s="36"/>
      <c r="E7380" s="36"/>
      <c r="F7380" s="36"/>
      <c r="G7380" s="36"/>
      <c r="H7380" s="36"/>
      <c r="I7380" s="37"/>
      <c r="J7380" s="36"/>
      <c r="K7380" s="38"/>
      <c r="L7380" s="38"/>
    </row>
    <row r="7381" spans="1:12" x14ac:dyDescent="0.25">
      <c r="A7381" s="35"/>
      <c r="B7381" s="36"/>
      <c r="C7381" s="36"/>
      <c r="D7381" s="36"/>
      <c r="E7381" s="36"/>
      <c r="F7381" s="36"/>
      <c r="G7381" s="36"/>
      <c r="H7381" s="36"/>
      <c r="I7381" s="37"/>
      <c r="J7381" s="36"/>
      <c r="K7381" s="38"/>
      <c r="L7381" s="38"/>
    </row>
    <row r="7382" spans="1:12" x14ac:dyDescent="0.25">
      <c r="A7382" s="35"/>
      <c r="B7382" s="36"/>
      <c r="C7382" s="36"/>
      <c r="D7382" s="36"/>
      <c r="E7382" s="36"/>
      <c r="F7382" s="36"/>
      <c r="G7382" s="36"/>
      <c r="H7382" s="36"/>
      <c r="I7382" s="37"/>
      <c r="J7382" s="36"/>
      <c r="K7382" s="38"/>
      <c r="L7382" s="38"/>
    </row>
    <row r="7383" spans="1:12" x14ac:dyDescent="0.25">
      <c r="A7383" s="35"/>
      <c r="B7383" s="36"/>
      <c r="C7383" s="36"/>
      <c r="D7383" s="36"/>
      <c r="E7383" s="36"/>
      <c r="F7383" s="36"/>
      <c r="G7383" s="36"/>
      <c r="H7383" s="36"/>
      <c r="I7383" s="37"/>
      <c r="J7383" s="36"/>
      <c r="K7383" s="38"/>
      <c r="L7383" s="38"/>
    </row>
    <row r="7384" spans="1:12" x14ac:dyDescent="0.25">
      <c r="A7384" s="35"/>
      <c r="B7384" s="36"/>
      <c r="C7384" s="36"/>
      <c r="D7384" s="36"/>
      <c r="E7384" s="36"/>
      <c r="F7384" s="36"/>
      <c r="G7384" s="36"/>
      <c r="H7384" s="36"/>
      <c r="I7384" s="37"/>
      <c r="J7384" s="36"/>
      <c r="K7384" s="38"/>
      <c r="L7384" s="38"/>
    </row>
    <row r="7385" spans="1:12" x14ac:dyDescent="0.25">
      <c r="A7385" s="35"/>
      <c r="B7385" s="36"/>
      <c r="C7385" s="36"/>
      <c r="D7385" s="36"/>
      <c r="E7385" s="36"/>
      <c r="F7385" s="36"/>
      <c r="G7385" s="36"/>
      <c r="H7385" s="36"/>
      <c r="I7385" s="37"/>
      <c r="J7385" s="36"/>
      <c r="K7385" s="38"/>
      <c r="L7385" s="38"/>
    </row>
    <row r="7386" spans="1:12" x14ac:dyDescent="0.25">
      <c r="A7386" s="35"/>
      <c r="B7386" s="36"/>
      <c r="C7386" s="36"/>
      <c r="D7386" s="36"/>
      <c r="E7386" s="36"/>
      <c r="F7386" s="36"/>
      <c r="G7386" s="36"/>
      <c r="H7386" s="36"/>
      <c r="I7386" s="37"/>
      <c r="J7386" s="36"/>
      <c r="K7386" s="38"/>
      <c r="L7386" s="38"/>
    </row>
    <row r="7387" spans="1:12" x14ac:dyDescent="0.25">
      <c r="A7387" s="35"/>
      <c r="B7387" s="36"/>
      <c r="C7387" s="36"/>
      <c r="D7387" s="36"/>
      <c r="E7387" s="36"/>
      <c r="F7387" s="36"/>
      <c r="G7387" s="36"/>
      <c r="H7387" s="36"/>
      <c r="I7387" s="37"/>
      <c r="J7387" s="36"/>
      <c r="K7387" s="38"/>
      <c r="L7387" s="38"/>
    </row>
    <row r="7388" spans="1:12" x14ac:dyDescent="0.25">
      <c r="A7388" s="35"/>
      <c r="B7388" s="36"/>
      <c r="C7388" s="36"/>
      <c r="D7388" s="36"/>
      <c r="E7388" s="36"/>
      <c r="F7388" s="36"/>
      <c r="G7388" s="36"/>
      <c r="H7388" s="36"/>
      <c r="I7388" s="37"/>
      <c r="J7388" s="36"/>
      <c r="K7388" s="38"/>
      <c r="L7388" s="38"/>
    </row>
    <row r="7389" spans="1:12" x14ac:dyDescent="0.25">
      <c r="A7389" s="35"/>
      <c r="B7389" s="36"/>
      <c r="C7389" s="36"/>
      <c r="D7389" s="36"/>
      <c r="E7389" s="36"/>
      <c r="F7389" s="36"/>
      <c r="G7389" s="36"/>
      <c r="H7389" s="36"/>
      <c r="I7389" s="37"/>
      <c r="J7389" s="36"/>
      <c r="K7389" s="38"/>
      <c r="L7389" s="38"/>
    </row>
    <row r="7390" spans="1:12" x14ac:dyDescent="0.25">
      <c r="A7390" s="35"/>
      <c r="B7390" s="36"/>
      <c r="C7390" s="36"/>
      <c r="D7390" s="36"/>
      <c r="E7390" s="36"/>
      <c r="F7390" s="36"/>
      <c r="G7390" s="36"/>
      <c r="H7390" s="36"/>
      <c r="I7390" s="37"/>
      <c r="J7390" s="36"/>
      <c r="K7390" s="38"/>
      <c r="L7390" s="38"/>
    </row>
    <row r="7391" spans="1:12" x14ac:dyDescent="0.25">
      <c r="A7391" s="35"/>
      <c r="B7391" s="36"/>
      <c r="C7391" s="36"/>
      <c r="D7391" s="36"/>
      <c r="E7391" s="36"/>
      <c r="F7391" s="36"/>
      <c r="G7391" s="36"/>
      <c r="H7391" s="36"/>
      <c r="I7391" s="37"/>
      <c r="J7391" s="36"/>
      <c r="K7391" s="38"/>
      <c r="L7391" s="38"/>
    </row>
    <row r="7392" spans="1:12" x14ac:dyDescent="0.25">
      <c r="A7392" s="35"/>
      <c r="B7392" s="36"/>
      <c r="C7392" s="36"/>
      <c r="D7392" s="36"/>
      <c r="E7392" s="36"/>
      <c r="F7392" s="36"/>
      <c r="G7392" s="36"/>
      <c r="H7392" s="36"/>
      <c r="I7392" s="37"/>
      <c r="J7392" s="36"/>
      <c r="K7392" s="38"/>
      <c r="L7392" s="38"/>
    </row>
    <row r="7393" spans="1:12" x14ac:dyDescent="0.25">
      <c r="A7393" s="35"/>
      <c r="B7393" s="36"/>
      <c r="C7393" s="36"/>
      <c r="D7393" s="36"/>
      <c r="E7393" s="36"/>
      <c r="F7393" s="36"/>
      <c r="G7393" s="36"/>
      <c r="H7393" s="36"/>
      <c r="I7393" s="37"/>
      <c r="J7393" s="36"/>
      <c r="K7393" s="38"/>
      <c r="L7393" s="38"/>
    </row>
    <row r="7394" spans="1:12" x14ac:dyDescent="0.25">
      <c r="A7394" s="35"/>
      <c r="B7394" s="36"/>
      <c r="C7394" s="36"/>
      <c r="D7394" s="36"/>
      <c r="E7394" s="36"/>
      <c r="F7394" s="36"/>
      <c r="G7394" s="36"/>
      <c r="H7394" s="36"/>
      <c r="I7394" s="37"/>
      <c r="J7394" s="36"/>
      <c r="K7394" s="38"/>
      <c r="L7394" s="38"/>
    </row>
    <row r="7395" spans="1:12" x14ac:dyDescent="0.25">
      <c r="A7395" s="35"/>
      <c r="B7395" s="36"/>
      <c r="C7395" s="36"/>
      <c r="D7395" s="36"/>
      <c r="E7395" s="36"/>
      <c r="F7395" s="36"/>
      <c r="G7395" s="36"/>
      <c r="H7395" s="36"/>
      <c r="I7395" s="37"/>
      <c r="J7395" s="36"/>
      <c r="K7395" s="38"/>
      <c r="L7395" s="38"/>
    </row>
    <row r="7396" spans="1:12" x14ac:dyDescent="0.25">
      <c r="A7396" s="35"/>
      <c r="B7396" s="36"/>
      <c r="C7396" s="36"/>
      <c r="D7396" s="36"/>
      <c r="E7396" s="36"/>
      <c r="F7396" s="36"/>
      <c r="G7396" s="36"/>
      <c r="H7396" s="36"/>
      <c r="I7396" s="37"/>
      <c r="J7396" s="36"/>
      <c r="K7396" s="38"/>
      <c r="L7396" s="38"/>
    </row>
    <row r="7397" spans="1:12" x14ac:dyDescent="0.25">
      <c r="A7397" s="35"/>
      <c r="B7397" s="36"/>
      <c r="C7397" s="36"/>
      <c r="D7397" s="36"/>
      <c r="E7397" s="36"/>
      <c r="F7397" s="36"/>
      <c r="G7397" s="36"/>
      <c r="H7397" s="36"/>
      <c r="I7397" s="37"/>
      <c r="J7397" s="36"/>
      <c r="K7397" s="38"/>
      <c r="L7397" s="38"/>
    </row>
    <row r="7398" spans="1:12" x14ac:dyDescent="0.25">
      <c r="A7398" s="35"/>
      <c r="B7398" s="36"/>
      <c r="C7398" s="36"/>
      <c r="D7398" s="36"/>
      <c r="E7398" s="36"/>
      <c r="F7398" s="36"/>
      <c r="G7398" s="36"/>
      <c r="H7398" s="36"/>
      <c r="I7398" s="37"/>
      <c r="J7398" s="36"/>
      <c r="K7398" s="38"/>
      <c r="L7398" s="38"/>
    </row>
    <row r="7399" spans="1:12" x14ac:dyDescent="0.25">
      <c r="A7399" s="35"/>
      <c r="B7399" s="36"/>
      <c r="C7399" s="36"/>
      <c r="D7399" s="36"/>
      <c r="E7399" s="36"/>
      <c r="F7399" s="36"/>
      <c r="G7399" s="36"/>
      <c r="H7399" s="36"/>
      <c r="I7399" s="37"/>
      <c r="J7399" s="36"/>
      <c r="K7399" s="38"/>
      <c r="L7399" s="38"/>
    </row>
    <row r="7400" spans="1:12" x14ac:dyDescent="0.25">
      <c r="A7400" s="35"/>
      <c r="B7400" s="36"/>
      <c r="C7400" s="36"/>
      <c r="D7400" s="36"/>
      <c r="E7400" s="36"/>
      <c r="F7400" s="36"/>
      <c r="G7400" s="36"/>
      <c r="H7400" s="36"/>
      <c r="I7400" s="37"/>
      <c r="J7400" s="36"/>
      <c r="K7400" s="38"/>
      <c r="L7400" s="38"/>
    </row>
    <row r="7401" spans="1:12" x14ac:dyDescent="0.25">
      <c r="A7401" s="35"/>
      <c r="B7401" s="36"/>
      <c r="C7401" s="36"/>
      <c r="D7401" s="36"/>
      <c r="E7401" s="36"/>
      <c r="F7401" s="36"/>
      <c r="G7401" s="36"/>
      <c r="H7401" s="36"/>
      <c r="I7401" s="37"/>
      <c r="J7401" s="36"/>
      <c r="K7401" s="38"/>
      <c r="L7401" s="38"/>
    </row>
    <row r="7402" spans="1:12" x14ac:dyDescent="0.25">
      <c r="A7402" s="35"/>
      <c r="B7402" s="36"/>
      <c r="C7402" s="36"/>
      <c r="D7402" s="36"/>
      <c r="E7402" s="36"/>
      <c r="F7402" s="36"/>
      <c r="G7402" s="36"/>
      <c r="H7402" s="36"/>
      <c r="I7402" s="37"/>
      <c r="J7402" s="36"/>
      <c r="K7402" s="38"/>
      <c r="L7402" s="38"/>
    </row>
    <row r="7403" spans="1:12" x14ac:dyDescent="0.25">
      <c r="A7403" s="35"/>
      <c r="B7403" s="36"/>
      <c r="C7403" s="36"/>
      <c r="D7403" s="36"/>
      <c r="E7403" s="36"/>
      <c r="F7403" s="36"/>
      <c r="G7403" s="36"/>
      <c r="H7403" s="36"/>
      <c r="I7403" s="37"/>
      <c r="J7403" s="36"/>
      <c r="K7403" s="38"/>
      <c r="L7403" s="38"/>
    </row>
    <row r="7404" spans="1:12" x14ac:dyDescent="0.25">
      <c r="A7404" s="35"/>
      <c r="B7404" s="36"/>
      <c r="C7404" s="36"/>
      <c r="D7404" s="36"/>
      <c r="E7404" s="36"/>
      <c r="F7404" s="36"/>
      <c r="G7404" s="36"/>
      <c r="H7404" s="36"/>
      <c r="I7404" s="37"/>
      <c r="J7404" s="36"/>
      <c r="K7404" s="38"/>
      <c r="L7404" s="38"/>
    </row>
    <row r="7405" spans="1:12" x14ac:dyDescent="0.25">
      <c r="A7405" s="35"/>
      <c r="B7405" s="36"/>
      <c r="C7405" s="36"/>
      <c r="D7405" s="36"/>
      <c r="E7405" s="36"/>
      <c r="F7405" s="36"/>
      <c r="G7405" s="36"/>
      <c r="H7405" s="36"/>
      <c r="I7405" s="37"/>
      <c r="J7405" s="36"/>
      <c r="K7405" s="38"/>
      <c r="L7405" s="38"/>
    </row>
    <row r="7406" spans="1:12" x14ac:dyDescent="0.25">
      <c r="A7406" s="35"/>
      <c r="B7406" s="36"/>
      <c r="C7406" s="36"/>
      <c r="D7406" s="36"/>
      <c r="E7406" s="36"/>
      <c r="F7406" s="36"/>
      <c r="G7406" s="36"/>
      <c r="H7406" s="36"/>
      <c r="I7406" s="37"/>
      <c r="J7406" s="36"/>
      <c r="K7406" s="38"/>
      <c r="L7406" s="38"/>
    </row>
    <row r="7407" spans="1:12" x14ac:dyDescent="0.25">
      <c r="A7407" s="35"/>
      <c r="B7407" s="36"/>
      <c r="C7407" s="36"/>
      <c r="D7407" s="36"/>
      <c r="E7407" s="36"/>
      <c r="F7407" s="36"/>
      <c r="G7407" s="36"/>
      <c r="H7407" s="36"/>
      <c r="I7407" s="37"/>
      <c r="J7407" s="36"/>
      <c r="K7407" s="38"/>
      <c r="L7407" s="38"/>
    </row>
    <row r="7408" spans="1:12" x14ac:dyDescent="0.25">
      <c r="A7408" s="35"/>
      <c r="B7408" s="36"/>
      <c r="C7408" s="36"/>
      <c r="D7408" s="36"/>
      <c r="E7408" s="36"/>
      <c r="F7408" s="36"/>
      <c r="G7408" s="36"/>
      <c r="H7408" s="36"/>
      <c r="I7408" s="37"/>
      <c r="J7408" s="36"/>
      <c r="K7408" s="38"/>
      <c r="L7408" s="38"/>
    </row>
    <row r="7409" spans="1:12" x14ac:dyDescent="0.25">
      <c r="A7409" s="35"/>
      <c r="B7409" s="36"/>
      <c r="C7409" s="36"/>
      <c r="D7409" s="36"/>
      <c r="E7409" s="36"/>
      <c r="F7409" s="36"/>
      <c r="G7409" s="36"/>
      <c r="H7409" s="36"/>
      <c r="I7409" s="37"/>
      <c r="J7409" s="36"/>
      <c r="K7409" s="38"/>
      <c r="L7409" s="38"/>
    </row>
    <row r="7410" spans="1:12" x14ac:dyDescent="0.25">
      <c r="A7410" s="35"/>
      <c r="B7410" s="36"/>
      <c r="C7410" s="36"/>
      <c r="D7410" s="36"/>
      <c r="E7410" s="36"/>
      <c r="F7410" s="36"/>
      <c r="G7410" s="36"/>
      <c r="H7410" s="36"/>
      <c r="I7410" s="37"/>
      <c r="J7410" s="36"/>
      <c r="K7410" s="38"/>
      <c r="L7410" s="38"/>
    </row>
    <row r="7411" spans="1:12" x14ac:dyDescent="0.25">
      <c r="A7411" s="35"/>
      <c r="B7411" s="36"/>
      <c r="C7411" s="36"/>
      <c r="D7411" s="36"/>
      <c r="E7411" s="36"/>
      <c r="F7411" s="36"/>
      <c r="G7411" s="36"/>
      <c r="H7411" s="36"/>
      <c r="I7411" s="37"/>
      <c r="J7411" s="36"/>
      <c r="K7411" s="38"/>
      <c r="L7411" s="38"/>
    </row>
    <row r="7412" spans="1:12" x14ac:dyDescent="0.25">
      <c r="A7412" s="35"/>
      <c r="B7412" s="36"/>
      <c r="C7412" s="36"/>
      <c r="D7412" s="36"/>
      <c r="E7412" s="36"/>
      <c r="F7412" s="36"/>
      <c r="G7412" s="36"/>
      <c r="H7412" s="36"/>
      <c r="I7412" s="37"/>
      <c r="J7412" s="36"/>
      <c r="K7412" s="38"/>
      <c r="L7412" s="38"/>
    </row>
    <row r="7413" spans="1:12" x14ac:dyDescent="0.25">
      <c r="A7413" s="35"/>
      <c r="B7413" s="36"/>
      <c r="C7413" s="36"/>
      <c r="D7413" s="36"/>
      <c r="E7413" s="36"/>
      <c r="F7413" s="36"/>
      <c r="G7413" s="36"/>
      <c r="H7413" s="36"/>
      <c r="I7413" s="37"/>
      <c r="J7413" s="36"/>
      <c r="K7413" s="38"/>
      <c r="L7413" s="38"/>
    </row>
    <row r="7414" spans="1:12" x14ac:dyDescent="0.25">
      <c r="A7414" s="35"/>
      <c r="B7414" s="36"/>
      <c r="C7414" s="36"/>
      <c r="D7414" s="36"/>
      <c r="E7414" s="36"/>
      <c r="F7414" s="36"/>
      <c r="G7414" s="36"/>
      <c r="H7414" s="36"/>
      <c r="I7414" s="37"/>
      <c r="J7414" s="36"/>
      <c r="K7414" s="38"/>
      <c r="L7414" s="38"/>
    </row>
    <row r="7415" spans="1:12" x14ac:dyDescent="0.25">
      <c r="A7415" s="35"/>
      <c r="B7415" s="36"/>
      <c r="C7415" s="36"/>
      <c r="D7415" s="36"/>
      <c r="E7415" s="36"/>
      <c r="F7415" s="36"/>
      <c r="G7415" s="36"/>
      <c r="H7415" s="36"/>
      <c r="I7415" s="37"/>
      <c r="J7415" s="36"/>
      <c r="K7415" s="38"/>
      <c r="L7415" s="38"/>
    </row>
    <row r="7416" spans="1:12" x14ac:dyDescent="0.25">
      <c r="A7416" s="35"/>
      <c r="B7416" s="36"/>
      <c r="C7416" s="36"/>
      <c r="D7416" s="36"/>
      <c r="E7416" s="36"/>
      <c r="F7416" s="36"/>
      <c r="G7416" s="36"/>
      <c r="H7416" s="36"/>
      <c r="I7416" s="37"/>
      <c r="J7416" s="36"/>
      <c r="K7416" s="38"/>
      <c r="L7416" s="38"/>
    </row>
    <row r="7417" spans="1:12" x14ac:dyDescent="0.25">
      <c r="A7417" s="35"/>
      <c r="B7417" s="36"/>
      <c r="C7417" s="36"/>
      <c r="D7417" s="36"/>
      <c r="E7417" s="36"/>
      <c r="F7417" s="36"/>
      <c r="G7417" s="36"/>
      <c r="H7417" s="36"/>
      <c r="I7417" s="37"/>
      <c r="J7417" s="36"/>
      <c r="K7417" s="38"/>
      <c r="L7417" s="38"/>
    </row>
    <row r="7418" spans="1:12" x14ac:dyDescent="0.25">
      <c r="A7418" s="35"/>
      <c r="B7418" s="36"/>
      <c r="C7418" s="36"/>
      <c r="D7418" s="36"/>
      <c r="E7418" s="36"/>
      <c r="F7418" s="36"/>
      <c r="G7418" s="36"/>
      <c r="H7418" s="36"/>
      <c r="I7418" s="37"/>
      <c r="J7418" s="36"/>
      <c r="K7418" s="38"/>
      <c r="L7418" s="38"/>
    </row>
    <row r="7419" spans="1:12" x14ac:dyDescent="0.25">
      <c r="A7419" s="35"/>
      <c r="B7419" s="36"/>
      <c r="C7419" s="36"/>
      <c r="D7419" s="36"/>
      <c r="E7419" s="36"/>
      <c r="F7419" s="36"/>
      <c r="G7419" s="36"/>
      <c r="H7419" s="36"/>
      <c r="I7419" s="37"/>
      <c r="J7419" s="36"/>
      <c r="K7419" s="38"/>
      <c r="L7419" s="38"/>
    </row>
    <row r="7420" spans="1:12" x14ac:dyDescent="0.25">
      <c r="A7420" s="35"/>
      <c r="B7420" s="36"/>
      <c r="C7420" s="36"/>
      <c r="D7420" s="36"/>
      <c r="E7420" s="36"/>
      <c r="F7420" s="36"/>
      <c r="G7420" s="36"/>
      <c r="H7420" s="36"/>
      <c r="I7420" s="37"/>
      <c r="J7420" s="36"/>
      <c r="K7420" s="38"/>
      <c r="L7420" s="38"/>
    </row>
    <row r="7421" spans="1:12" x14ac:dyDescent="0.25">
      <c r="A7421" s="35"/>
      <c r="B7421" s="36"/>
      <c r="C7421" s="36"/>
      <c r="D7421" s="36"/>
      <c r="E7421" s="36"/>
      <c r="F7421" s="36"/>
      <c r="G7421" s="36"/>
      <c r="H7421" s="36"/>
      <c r="I7421" s="37"/>
      <c r="J7421" s="36"/>
      <c r="K7421" s="38"/>
      <c r="L7421" s="38"/>
    </row>
    <row r="7422" spans="1:12" x14ac:dyDescent="0.25">
      <c r="A7422" s="35"/>
      <c r="B7422" s="36"/>
      <c r="C7422" s="36"/>
      <c r="D7422" s="36"/>
      <c r="E7422" s="36"/>
      <c r="F7422" s="36"/>
      <c r="G7422" s="36"/>
      <c r="H7422" s="36"/>
      <c r="I7422" s="37"/>
      <c r="J7422" s="36"/>
      <c r="K7422" s="38"/>
      <c r="L7422" s="38"/>
    </row>
    <row r="7423" spans="1:12" x14ac:dyDescent="0.25">
      <c r="A7423" s="35"/>
      <c r="B7423" s="36"/>
      <c r="C7423" s="36"/>
      <c r="D7423" s="36"/>
      <c r="E7423" s="36"/>
      <c r="F7423" s="36"/>
      <c r="G7423" s="36"/>
      <c r="H7423" s="36"/>
      <c r="I7423" s="37"/>
      <c r="J7423" s="36"/>
      <c r="K7423" s="38"/>
      <c r="L7423" s="38"/>
    </row>
    <row r="7424" spans="1:12" x14ac:dyDescent="0.25">
      <c r="A7424" s="35"/>
      <c r="B7424" s="36"/>
      <c r="C7424" s="36"/>
      <c r="D7424" s="36"/>
      <c r="E7424" s="36"/>
      <c r="F7424" s="36"/>
      <c r="G7424" s="36"/>
      <c r="H7424" s="36"/>
      <c r="I7424" s="37"/>
      <c r="J7424" s="36"/>
      <c r="K7424" s="38"/>
      <c r="L7424" s="38"/>
    </row>
    <row r="7425" spans="1:12" x14ac:dyDescent="0.25">
      <c r="A7425" s="35"/>
      <c r="B7425" s="36"/>
      <c r="C7425" s="36"/>
      <c r="D7425" s="36"/>
      <c r="E7425" s="36"/>
      <c r="F7425" s="36"/>
      <c r="G7425" s="36"/>
      <c r="H7425" s="36"/>
      <c r="I7425" s="37"/>
      <c r="J7425" s="36"/>
      <c r="K7425" s="38"/>
      <c r="L7425" s="38"/>
    </row>
    <row r="7426" spans="1:12" x14ac:dyDescent="0.25">
      <c r="A7426" s="35"/>
      <c r="B7426" s="36"/>
      <c r="C7426" s="36"/>
      <c r="D7426" s="36"/>
      <c r="E7426" s="36"/>
      <c r="F7426" s="36"/>
      <c r="G7426" s="36"/>
      <c r="H7426" s="36"/>
      <c r="I7426" s="37"/>
      <c r="J7426" s="36"/>
      <c r="K7426" s="38"/>
      <c r="L7426" s="38"/>
    </row>
    <row r="7427" spans="1:12" x14ac:dyDescent="0.25">
      <c r="A7427" s="35"/>
      <c r="B7427" s="36"/>
      <c r="C7427" s="36"/>
      <c r="D7427" s="36"/>
      <c r="E7427" s="36"/>
      <c r="F7427" s="36"/>
      <c r="G7427" s="36"/>
      <c r="H7427" s="36"/>
      <c r="I7427" s="37"/>
      <c r="J7427" s="36"/>
      <c r="K7427" s="38"/>
      <c r="L7427" s="38"/>
    </row>
    <row r="7428" spans="1:12" x14ac:dyDescent="0.25">
      <c r="A7428" s="35"/>
      <c r="B7428" s="36"/>
      <c r="C7428" s="36"/>
      <c r="D7428" s="36"/>
      <c r="E7428" s="36"/>
      <c r="F7428" s="36"/>
      <c r="G7428" s="36"/>
      <c r="H7428" s="36"/>
      <c r="I7428" s="37"/>
      <c r="J7428" s="36"/>
      <c r="K7428" s="38"/>
      <c r="L7428" s="38"/>
    </row>
    <row r="7429" spans="1:12" x14ac:dyDescent="0.25">
      <c r="A7429" s="35"/>
      <c r="B7429" s="36"/>
      <c r="C7429" s="36"/>
      <c r="D7429" s="36"/>
      <c r="E7429" s="36"/>
      <c r="F7429" s="36"/>
      <c r="G7429" s="36"/>
      <c r="H7429" s="36"/>
      <c r="I7429" s="37"/>
      <c r="J7429" s="36"/>
      <c r="K7429" s="38"/>
      <c r="L7429" s="38"/>
    </row>
    <row r="7430" spans="1:12" x14ac:dyDescent="0.25">
      <c r="A7430" s="35"/>
      <c r="B7430" s="36"/>
      <c r="C7430" s="36"/>
      <c r="D7430" s="36"/>
      <c r="E7430" s="36"/>
      <c r="F7430" s="36"/>
      <c r="G7430" s="36"/>
      <c r="H7430" s="36"/>
      <c r="I7430" s="37"/>
      <c r="J7430" s="36"/>
      <c r="K7430" s="38"/>
      <c r="L7430" s="38"/>
    </row>
    <row r="7431" spans="1:12" x14ac:dyDescent="0.25">
      <c r="A7431" s="35"/>
      <c r="B7431" s="36"/>
      <c r="C7431" s="36"/>
      <c r="D7431" s="36"/>
      <c r="E7431" s="36"/>
      <c r="F7431" s="36"/>
      <c r="G7431" s="36"/>
      <c r="H7431" s="36"/>
      <c r="I7431" s="37"/>
      <c r="J7431" s="36"/>
      <c r="K7431" s="38"/>
      <c r="L7431" s="38"/>
    </row>
    <row r="7432" spans="1:12" x14ac:dyDescent="0.25">
      <c r="A7432" s="35"/>
      <c r="B7432" s="36"/>
      <c r="C7432" s="36"/>
      <c r="D7432" s="36"/>
      <c r="E7432" s="36"/>
      <c r="F7432" s="36"/>
      <c r="G7432" s="36"/>
      <c r="H7432" s="36"/>
      <c r="I7432" s="37"/>
      <c r="J7432" s="36"/>
      <c r="K7432" s="38"/>
      <c r="L7432" s="38"/>
    </row>
    <row r="7433" spans="1:12" x14ac:dyDescent="0.25">
      <c r="A7433" s="35"/>
      <c r="B7433" s="36"/>
      <c r="C7433" s="36"/>
      <c r="D7433" s="36"/>
      <c r="E7433" s="36"/>
      <c r="F7433" s="36"/>
      <c r="G7433" s="36"/>
      <c r="H7433" s="36"/>
      <c r="I7433" s="37"/>
      <c r="J7433" s="36"/>
      <c r="K7433" s="38"/>
      <c r="L7433" s="38"/>
    </row>
    <row r="7434" spans="1:12" x14ac:dyDescent="0.25">
      <c r="A7434" s="35"/>
      <c r="B7434" s="36"/>
      <c r="C7434" s="36"/>
      <c r="D7434" s="36"/>
      <c r="E7434" s="36"/>
      <c r="F7434" s="36"/>
      <c r="G7434" s="36"/>
      <c r="H7434" s="36"/>
      <c r="I7434" s="37"/>
      <c r="J7434" s="36"/>
      <c r="K7434" s="38"/>
      <c r="L7434" s="38"/>
    </row>
    <row r="7435" spans="1:12" x14ac:dyDescent="0.25">
      <c r="A7435" s="35"/>
      <c r="B7435" s="36"/>
      <c r="C7435" s="36"/>
      <c r="D7435" s="36"/>
      <c r="E7435" s="36"/>
      <c r="F7435" s="36"/>
      <c r="G7435" s="36"/>
      <c r="H7435" s="36"/>
      <c r="I7435" s="37"/>
      <c r="J7435" s="36"/>
      <c r="K7435" s="38"/>
      <c r="L7435" s="38"/>
    </row>
    <row r="7436" spans="1:12" x14ac:dyDescent="0.25">
      <c r="A7436" s="35"/>
      <c r="B7436" s="36"/>
      <c r="C7436" s="36"/>
      <c r="D7436" s="36"/>
      <c r="E7436" s="36"/>
      <c r="F7436" s="36"/>
      <c r="G7436" s="36"/>
      <c r="H7436" s="36"/>
      <c r="I7436" s="37"/>
      <c r="J7436" s="36"/>
      <c r="K7436" s="38"/>
      <c r="L7436" s="38"/>
    </row>
    <row r="7437" spans="1:12" x14ac:dyDescent="0.25">
      <c r="A7437" s="35"/>
      <c r="B7437" s="36"/>
      <c r="C7437" s="36"/>
      <c r="D7437" s="36"/>
      <c r="E7437" s="36"/>
      <c r="F7437" s="36"/>
      <c r="G7437" s="36"/>
      <c r="H7437" s="36"/>
      <c r="I7437" s="37"/>
      <c r="J7437" s="36"/>
      <c r="K7437" s="38"/>
      <c r="L7437" s="38"/>
    </row>
    <row r="7438" spans="1:12" x14ac:dyDescent="0.25">
      <c r="A7438" s="35"/>
      <c r="B7438" s="36"/>
      <c r="C7438" s="36"/>
      <c r="D7438" s="36"/>
      <c r="E7438" s="36"/>
      <c r="F7438" s="36"/>
      <c r="G7438" s="36"/>
      <c r="H7438" s="36"/>
      <c r="I7438" s="37"/>
      <c r="J7438" s="36"/>
      <c r="K7438" s="38"/>
      <c r="L7438" s="38"/>
    </row>
    <row r="7439" spans="1:12" x14ac:dyDescent="0.25">
      <c r="A7439" s="35"/>
      <c r="B7439" s="36"/>
      <c r="C7439" s="36"/>
      <c r="D7439" s="36"/>
      <c r="E7439" s="36"/>
      <c r="F7439" s="36"/>
      <c r="G7439" s="36"/>
      <c r="H7439" s="36"/>
      <c r="I7439" s="37"/>
      <c r="J7439" s="36"/>
      <c r="K7439" s="38"/>
      <c r="L7439" s="38"/>
    </row>
    <row r="7440" spans="1:12" x14ac:dyDescent="0.25">
      <c r="A7440" s="35"/>
      <c r="B7440" s="36"/>
      <c r="C7440" s="36"/>
      <c r="D7440" s="36"/>
      <c r="E7440" s="36"/>
      <c r="F7440" s="36"/>
      <c r="G7440" s="36"/>
      <c r="H7440" s="36"/>
      <c r="I7440" s="37"/>
      <c r="J7440" s="36"/>
      <c r="K7440" s="38"/>
      <c r="L7440" s="38"/>
    </row>
    <row r="7441" spans="1:12" x14ac:dyDescent="0.25">
      <c r="A7441" s="35"/>
      <c r="B7441" s="36"/>
      <c r="C7441" s="36"/>
      <c r="D7441" s="36"/>
      <c r="E7441" s="36"/>
      <c r="F7441" s="36"/>
      <c r="G7441" s="36"/>
      <c r="H7441" s="36"/>
      <c r="I7441" s="37"/>
      <c r="J7441" s="36"/>
      <c r="K7441" s="38"/>
      <c r="L7441" s="38"/>
    </row>
    <row r="7442" spans="1:12" x14ac:dyDescent="0.25">
      <c r="A7442" s="35"/>
      <c r="B7442" s="36"/>
      <c r="C7442" s="36"/>
      <c r="D7442" s="36"/>
      <c r="E7442" s="36"/>
      <c r="F7442" s="36"/>
      <c r="G7442" s="36"/>
      <c r="H7442" s="36"/>
      <c r="I7442" s="37"/>
      <c r="J7442" s="36"/>
      <c r="K7442" s="38"/>
      <c r="L7442" s="38"/>
    </row>
    <row r="7443" spans="1:12" x14ac:dyDescent="0.25">
      <c r="A7443" s="35"/>
      <c r="B7443" s="36"/>
      <c r="C7443" s="36"/>
      <c r="D7443" s="36"/>
      <c r="E7443" s="36"/>
      <c r="F7443" s="36"/>
      <c r="G7443" s="36"/>
      <c r="H7443" s="36"/>
      <c r="I7443" s="37"/>
      <c r="J7443" s="36"/>
      <c r="K7443" s="38"/>
      <c r="L7443" s="38"/>
    </row>
    <row r="7444" spans="1:12" x14ac:dyDescent="0.25">
      <c r="A7444" s="35"/>
      <c r="B7444" s="36"/>
      <c r="C7444" s="36"/>
      <c r="D7444" s="36"/>
      <c r="E7444" s="36"/>
      <c r="F7444" s="36"/>
      <c r="G7444" s="36"/>
      <c r="H7444" s="36"/>
      <c r="I7444" s="37"/>
      <c r="J7444" s="36"/>
      <c r="K7444" s="38"/>
      <c r="L7444" s="38"/>
    </row>
    <row r="7445" spans="1:12" x14ac:dyDescent="0.25">
      <c r="A7445" s="35"/>
      <c r="B7445" s="36"/>
      <c r="C7445" s="36"/>
      <c r="D7445" s="36"/>
      <c r="E7445" s="36"/>
      <c r="F7445" s="36"/>
      <c r="G7445" s="36"/>
      <c r="H7445" s="36"/>
      <c r="I7445" s="37"/>
      <c r="J7445" s="36"/>
      <c r="K7445" s="38"/>
      <c r="L7445" s="38"/>
    </row>
    <row r="7446" spans="1:12" x14ac:dyDescent="0.25">
      <c r="A7446" s="35"/>
      <c r="B7446" s="36"/>
      <c r="C7446" s="36"/>
      <c r="D7446" s="36"/>
      <c r="E7446" s="36"/>
      <c r="F7446" s="36"/>
      <c r="G7446" s="36"/>
      <c r="H7446" s="36"/>
      <c r="I7446" s="37"/>
      <c r="J7446" s="36"/>
      <c r="K7446" s="38"/>
      <c r="L7446" s="38"/>
    </row>
    <row r="7447" spans="1:12" x14ac:dyDescent="0.25">
      <c r="A7447" s="35"/>
      <c r="B7447" s="36"/>
      <c r="C7447" s="36"/>
      <c r="D7447" s="36"/>
      <c r="E7447" s="36"/>
      <c r="F7447" s="36"/>
      <c r="G7447" s="36"/>
      <c r="H7447" s="36"/>
      <c r="I7447" s="37"/>
      <c r="J7447" s="36"/>
      <c r="K7447" s="38"/>
      <c r="L7447" s="38"/>
    </row>
    <row r="7448" spans="1:12" x14ac:dyDescent="0.25">
      <c r="A7448" s="35"/>
      <c r="B7448" s="36"/>
      <c r="C7448" s="36"/>
      <c r="D7448" s="36"/>
      <c r="E7448" s="36"/>
      <c r="F7448" s="36"/>
      <c r="G7448" s="36"/>
      <c r="H7448" s="36"/>
      <c r="I7448" s="37"/>
      <c r="J7448" s="36"/>
      <c r="K7448" s="38"/>
      <c r="L7448" s="38"/>
    </row>
    <row r="7449" spans="1:12" x14ac:dyDescent="0.25">
      <c r="A7449" s="35"/>
      <c r="B7449" s="36"/>
      <c r="C7449" s="36"/>
      <c r="D7449" s="36"/>
      <c r="E7449" s="36"/>
      <c r="F7449" s="36"/>
      <c r="G7449" s="36"/>
      <c r="H7449" s="36"/>
      <c r="I7449" s="37"/>
      <c r="J7449" s="36"/>
      <c r="K7449" s="38"/>
      <c r="L7449" s="38"/>
    </row>
    <row r="7450" spans="1:12" x14ac:dyDescent="0.25">
      <c r="A7450" s="35"/>
      <c r="B7450" s="36"/>
      <c r="C7450" s="36"/>
      <c r="D7450" s="36"/>
      <c r="E7450" s="36"/>
      <c r="F7450" s="36"/>
      <c r="G7450" s="36"/>
      <c r="H7450" s="36"/>
      <c r="I7450" s="37"/>
      <c r="J7450" s="36"/>
      <c r="K7450" s="38"/>
      <c r="L7450" s="38"/>
    </row>
    <row r="7451" spans="1:12" x14ac:dyDescent="0.25">
      <c r="A7451" s="35"/>
      <c r="B7451" s="36"/>
      <c r="C7451" s="36"/>
      <c r="D7451" s="36"/>
      <c r="E7451" s="36"/>
      <c r="F7451" s="36"/>
      <c r="G7451" s="36"/>
      <c r="H7451" s="36"/>
      <c r="I7451" s="37"/>
      <c r="J7451" s="36"/>
      <c r="K7451" s="38"/>
      <c r="L7451" s="38"/>
    </row>
    <row r="7452" spans="1:12" x14ac:dyDescent="0.25">
      <c r="A7452" s="35"/>
      <c r="B7452" s="36"/>
      <c r="C7452" s="36"/>
      <c r="D7452" s="36"/>
      <c r="E7452" s="36"/>
      <c r="F7452" s="36"/>
      <c r="G7452" s="36"/>
      <c r="H7452" s="36"/>
      <c r="I7452" s="37"/>
      <c r="J7452" s="36"/>
      <c r="K7452" s="38"/>
      <c r="L7452" s="38"/>
    </row>
    <row r="7453" spans="1:12" x14ac:dyDescent="0.25">
      <c r="A7453" s="35"/>
      <c r="B7453" s="36"/>
      <c r="C7453" s="36"/>
      <c r="D7453" s="36"/>
      <c r="E7453" s="36"/>
      <c r="F7453" s="36"/>
      <c r="G7453" s="36"/>
      <c r="H7453" s="36"/>
      <c r="I7453" s="37"/>
      <c r="J7453" s="36"/>
      <c r="K7453" s="38"/>
      <c r="L7453" s="38"/>
    </row>
    <row r="7454" spans="1:12" x14ac:dyDescent="0.25">
      <c r="A7454" s="35"/>
      <c r="B7454" s="36"/>
      <c r="C7454" s="36"/>
      <c r="D7454" s="36"/>
      <c r="E7454" s="36"/>
      <c r="F7454" s="36"/>
      <c r="G7454" s="36"/>
      <c r="H7454" s="36"/>
      <c r="I7454" s="37"/>
      <c r="J7454" s="36"/>
      <c r="K7454" s="38"/>
      <c r="L7454" s="38"/>
    </row>
    <row r="7455" spans="1:12" x14ac:dyDescent="0.25">
      <c r="A7455" s="35"/>
      <c r="B7455" s="36"/>
      <c r="C7455" s="36"/>
      <c r="D7455" s="36"/>
      <c r="E7455" s="36"/>
      <c r="F7455" s="36"/>
      <c r="G7455" s="36"/>
      <c r="H7455" s="36"/>
      <c r="I7455" s="37"/>
      <c r="J7455" s="36"/>
      <c r="K7455" s="38"/>
      <c r="L7455" s="38"/>
    </row>
    <row r="7456" spans="1:12" x14ac:dyDescent="0.25">
      <c r="A7456" s="35"/>
      <c r="B7456" s="36"/>
      <c r="C7456" s="36"/>
      <c r="D7456" s="36"/>
      <c r="E7456" s="36"/>
      <c r="F7456" s="36"/>
      <c r="G7456" s="36"/>
      <c r="H7456" s="36"/>
      <c r="I7456" s="37"/>
      <c r="J7456" s="36"/>
      <c r="K7456" s="38"/>
      <c r="L7456" s="38"/>
    </row>
    <row r="7457" spans="1:12" x14ac:dyDescent="0.25">
      <c r="A7457" s="35"/>
      <c r="B7457" s="36"/>
      <c r="C7457" s="36"/>
      <c r="D7457" s="36"/>
      <c r="E7457" s="36"/>
      <c r="F7457" s="36"/>
      <c r="G7457" s="36"/>
      <c r="H7457" s="36"/>
      <c r="I7457" s="37"/>
      <c r="J7457" s="36"/>
      <c r="K7457" s="38"/>
      <c r="L7457" s="38"/>
    </row>
    <row r="7458" spans="1:12" x14ac:dyDescent="0.25">
      <c r="A7458" s="35"/>
      <c r="B7458" s="36"/>
      <c r="C7458" s="36"/>
      <c r="D7458" s="36"/>
      <c r="E7458" s="36"/>
      <c r="F7458" s="36"/>
      <c r="G7458" s="36"/>
      <c r="H7458" s="36"/>
      <c r="I7458" s="37"/>
      <c r="J7458" s="36"/>
      <c r="K7458" s="38"/>
      <c r="L7458" s="38"/>
    </row>
    <row r="7459" spans="1:12" x14ac:dyDescent="0.25">
      <c r="A7459" s="35"/>
      <c r="B7459" s="36"/>
      <c r="C7459" s="36"/>
      <c r="D7459" s="36"/>
      <c r="E7459" s="36"/>
      <c r="F7459" s="36"/>
      <c r="G7459" s="36"/>
      <c r="H7459" s="36"/>
      <c r="I7459" s="37"/>
      <c r="J7459" s="36"/>
      <c r="K7459" s="38"/>
      <c r="L7459" s="38"/>
    </row>
    <row r="7460" spans="1:12" x14ac:dyDescent="0.25">
      <c r="A7460" s="35"/>
      <c r="B7460" s="36"/>
      <c r="C7460" s="36"/>
      <c r="D7460" s="36"/>
      <c r="E7460" s="36"/>
      <c r="F7460" s="36"/>
      <c r="G7460" s="36"/>
      <c r="H7460" s="36"/>
      <c r="I7460" s="37"/>
      <c r="J7460" s="36"/>
      <c r="K7460" s="38"/>
      <c r="L7460" s="38"/>
    </row>
    <row r="7461" spans="1:12" x14ac:dyDescent="0.25">
      <c r="A7461" s="35"/>
      <c r="B7461" s="36"/>
      <c r="C7461" s="36"/>
      <c r="D7461" s="36"/>
      <c r="E7461" s="36"/>
      <c r="F7461" s="36"/>
      <c r="G7461" s="36"/>
      <c r="H7461" s="36"/>
      <c r="I7461" s="37"/>
      <c r="J7461" s="36"/>
      <c r="K7461" s="38"/>
      <c r="L7461" s="38"/>
    </row>
    <row r="7462" spans="1:12" x14ac:dyDescent="0.25">
      <c r="A7462" s="35"/>
      <c r="B7462" s="36"/>
      <c r="C7462" s="36"/>
      <c r="D7462" s="36"/>
      <c r="E7462" s="36"/>
      <c r="F7462" s="36"/>
      <c r="G7462" s="36"/>
      <c r="H7462" s="36"/>
      <c r="I7462" s="37"/>
      <c r="J7462" s="36"/>
      <c r="K7462" s="38"/>
      <c r="L7462" s="38"/>
    </row>
    <row r="7463" spans="1:12" x14ac:dyDescent="0.25">
      <c r="A7463" s="35"/>
      <c r="B7463" s="36"/>
      <c r="C7463" s="36"/>
      <c r="D7463" s="36"/>
      <c r="E7463" s="36"/>
      <c r="F7463" s="36"/>
      <c r="G7463" s="36"/>
      <c r="H7463" s="36"/>
      <c r="I7463" s="37"/>
      <c r="J7463" s="36"/>
      <c r="K7463" s="38"/>
      <c r="L7463" s="38"/>
    </row>
    <row r="7464" spans="1:12" x14ac:dyDescent="0.25">
      <c r="A7464" s="35"/>
      <c r="B7464" s="36"/>
      <c r="C7464" s="36"/>
      <c r="D7464" s="36"/>
      <c r="E7464" s="36"/>
      <c r="F7464" s="36"/>
      <c r="G7464" s="36"/>
      <c r="H7464" s="36"/>
      <c r="I7464" s="37"/>
      <c r="J7464" s="36"/>
      <c r="K7464" s="38"/>
      <c r="L7464" s="38"/>
    </row>
    <row r="7465" spans="1:12" x14ac:dyDescent="0.25">
      <c r="A7465" s="35"/>
      <c r="B7465" s="36"/>
      <c r="C7465" s="36"/>
      <c r="D7465" s="36"/>
      <c r="E7465" s="36"/>
      <c r="F7465" s="36"/>
      <c r="G7465" s="36"/>
      <c r="H7465" s="36"/>
      <c r="I7465" s="37"/>
      <c r="J7465" s="36"/>
      <c r="K7465" s="38"/>
      <c r="L7465" s="38"/>
    </row>
    <row r="7466" spans="1:12" x14ac:dyDescent="0.25">
      <c r="A7466" s="35"/>
      <c r="B7466" s="36"/>
      <c r="C7466" s="36"/>
      <c r="D7466" s="36"/>
      <c r="E7466" s="36"/>
      <c r="F7466" s="36"/>
      <c r="G7466" s="36"/>
      <c r="H7466" s="36"/>
      <c r="I7466" s="37"/>
      <c r="J7466" s="36"/>
      <c r="K7466" s="38"/>
      <c r="L7466" s="38"/>
    </row>
    <row r="7467" spans="1:12" x14ac:dyDescent="0.25">
      <c r="A7467" s="35"/>
      <c r="B7467" s="36"/>
      <c r="C7467" s="36"/>
      <c r="D7467" s="36"/>
      <c r="E7467" s="36"/>
      <c r="F7467" s="36"/>
      <c r="G7467" s="36"/>
      <c r="H7467" s="36"/>
      <c r="I7467" s="37"/>
      <c r="J7467" s="36"/>
      <c r="K7467" s="38"/>
      <c r="L7467" s="38"/>
    </row>
    <row r="7468" spans="1:12" x14ac:dyDescent="0.25">
      <c r="A7468" s="35"/>
      <c r="B7468" s="36"/>
      <c r="C7468" s="36"/>
      <c r="D7468" s="36"/>
      <c r="E7468" s="36"/>
      <c r="F7468" s="36"/>
      <c r="G7468" s="36"/>
      <c r="H7468" s="36"/>
      <c r="I7468" s="37"/>
      <c r="J7468" s="36"/>
      <c r="K7468" s="38"/>
      <c r="L7468" s="38"/>
    </row>
    <row r="7469" spans="1:12" x14ac:dyDescent="0.25">
      <c r="A7469" s="35"/>
      <c r="B7469" s="36"/>
      <c r="C7469" s="36"/>
      <c r="D7469" s="36"/>
      <c r="E7469" s="36"/>
      <c r="F7469" s="36"/>
      <c r="G7469" s="36"/>
      <c r="H7469" s="36"/>
      <c r="I7469" s="37"/>
      <c r="J7469" s="36"/>
      <c r="K7469" s="38"/>
      <c r="L7469" s="38"/>
    </row>
    <row r="7470" spans="1:12" x14ac:dyDescent="0.25">
      <c r="A7470" s="35"/>
      <c r="B7470" s="36"/>
      <c r="C7470" s="36"/>
      <c r="D7470" s="36"/>
      <c r="E7470" s="36"/>
      <c r="F7470" s="36"/>
      <c r="G7470" s="36"/>
      <c r="H7470" s="36"/>
      <c r="I7470" s="37"/>
      <c r="J7470" s="36"/>
      <c r="K7470" s="38"/>
      <c r="L7470" s="38"/>
    </row>
    <row r="7471" spans="1:12" x14ac:dyDescent="0.25">
      <c r="A7471" s="35"/>
      <c r="B7471" s="36"/>
      <c r="C7471" s="36"/>
      <c r="D7471" s="36"/>
      <c r="E7471" s="36"/>
      <c r="F7471" s="36"/>
      <c r="G7471" s="36"/>
      <c r="H7471" s="36"/>
      <c r="I7471" s="37"/>
      <c r="J7471" s="36"/>
      <c r="K7471" s="38"/>
      <c r="L7471" s="38"/>
    </row>
    <row r="7472" spans="1:12" x14ac:dyDescent="0.25">
      <c r="A7472" s="35"/>
      <c r="B7472" s="36"/>
      <c r="C7472" s="36"/>
      <c r="D7472" s="36"/>
      <c r="E7472" s="36"/>
      <c r="F7472" s="36"/>
      <c r="G7472" s="36"/>
      <c r="H7472" s="36"/>
      <c r="I7472" s="37"/>
      <c r="J7472" s="36"/>
      <c r="K7472" s="38"/>
      <c r="L7472" s="38"/>
    </row>
    <row r="7473" spans="1:12" x14ac:dyDescent="0.25">
      <c r="A7473" s="35"/>
      <c r="B7473" s="36"/>
      <c r="C7473" s="36"/>
      <c r="D7473" s="36"/>
      <c r="E7473" s="36"/>
      <c r="F7473" s="36"/>
      <c r="G7473" s="36"/>
      <c r="H7473" s="36"/>
      <c r="I7473" s="37"/>
      <c r="J7473" s="36"/>
      <c r="K7473" s="38"/>
      <c r="L7473" s="38"/>
    </row>
    <row r="7474" spans="1:12" x14ac:dyDescent="0.25">
      <c r="A7474" s="35"/>
      <c r="B7474" s="36"/>
      <c r="C7474" s="36"/>
      <c r="D7474" s="36"/>
      <c r="E7474" s="36"/>
      <c r="F7474" s="36"/>
      <c r="G7474" s="36"/>
      <c r="H7474" s="36"/>
      <c r="I7474" s="37"/>
      <c r="J7474" s="36"/>
      <c r="K7474" s="38"/>
      <c r="L7474" s="38"/>
    </row>
    <row r="7475" spans="1:12" x14ac:dyDescent="0.25">
      <c r="A7475" s="35"/>
      <c r="B7475" s="36"/>
      <c r="C7475" s="36"/>
      <c r="D7475" s="36"/>
      <c r="E7475" s="36"/>
      <c r="F7475" s="36"/>
      <c r="G7475" s="36"/>
      <c r="H7475" s="36"/>
      <c r="I7475" s="37"/>
      <c r="J7475" s="36"/>
      <c r="K7475" s="38"/>
      <c r="L7475" s="38"/>
    </row>
    <row r="7476" spans="1:12" x14ac:dyDescent="0.25">
      <c r="A7476" s="35"/>
      <c r="B7476" s="36"/>
      <c r="C7476" s="36"/>
      <c r="D7476" s="36"/>
      <c r="E7476" s="36"/>
      <c r="F7476" s="36"/>
      <c r="G7476" s="36"/>
      <c r="H7476" s="36"/>
      <c r="I7476" s="37"/>
      <c r="J7476" s="36"/>
      <c r="K7476" s="38"/>
      <c r="L7476" s="38"/>
    </row>
    <row r="7477" spans="1:12" x14ac:dyDescent="0.25">
      <c r="A7477" s="35"/>
      <c r="B7477" s="36"/>
      <c r="C7477" s="36"/>
      <c r="D7477" s="36"/>
      <c r="E7477" s="36"/>
      <c r="F7477" s="36"/>
      <c r="G7477" s="36"/>
      <c r="H7477" s="36"/>
      <c r="I7477" s="37"/>
      <c r="J7477" s="36"/>
      <c r="K7477" s="38"/>
      <c r="L7477" s="38"/>
    </row>
    <row r="7478" spans="1:12" x14ac:dyDescent="0.25">
      <c r="A7478" s="35"/>
      <c r="B7478" s="36"/>
      <c r="C7478" s="36"/>
      <c r="D7478" s="36"/>
      <c r="E7478" s="36"/>
      <c r="F7478" s="36"/>
      <c r="G7478" s="36"/>
      <c r="H7478" s="36"/>
      <c r="I7478" s="37"/>
      <c r="J7478" s="36"/>
      <c r="K7478" s="38"/>
      <c r="L7478" s="38"/>
    </row>
    <row r="7479" spans="1:12" x14ac:dyDescent="0.25">
      <c r="A7479" s="35"/>
      <c r="B7479" s="36"/>
      <c r="C7479" s="36"/>
      <c r="D7479" s="36"/>
      <c r="E7479" s="36"/>
      <c r="F7479" s="36"/>
      <c r="G7479" s="36"/>
      <c r="H7479" s="36"/>
      <c r="I7479" s="37"/>
      <c r="J7479" s="36"/>
      <c r="K7479" s="38"/>
      <c r="L7479" s="38"/>
    </row>
    <row r="7480" spans="1:12" x14ac:dyDescent="0.25">
      <c r="A7480" s="35"/>
      <c r="B7480" s="36"/>
      <c r="C7480" s="36"/>
      <c r="D7480" s="36"/>
      <c r="E7480" s="36"/>
      <c r="F7480" s="36"/>
      <c r="G7480" s="36"/>
      <c r="H7480" s="36"/>
      <c r="I7480" s="37"/>
      <c r="J7480" s="36"/>
      <c r="K7480" s="38"/>
      <c r="L7480" s="38"/>
    </row>
    <row r="7481" spans="1:12" x14ac:dyDescent="0.25">
      <c r="A7481" s="35"/>
      <c r="B7481" s="36"/>
      <c r="C7481" s="36"/>
      <c r="D7481" s="36"/>
      <c r="E7481" s="36"/>
      <c r="F7481" s="36"/>
      <c r="G7481" s="36"/>
      <c r="H7481" s="36"/>
      <c r="I7481" s="37"/>
      <c r="J7481" s="36"/>
      <c r="K7481" s="38"/>
      <c r="L7481" s="38"/>
    </row>
    <row r="7482" spans="1:12" x14ac:dyDescent="0.25">
      <c r="A7482" s="35"/>
      <c r="B7482" s="36"/>
      <c r="C7482" s="36"/>
      <c r="D7482" s="36"/>
      <c r="E7482" s="36"/>
      <c r="F7482" s="36"/>
      <c r="G7482" s="36"/>
      <c r="H7482" s="36"/>
      <c r="I7482" s="37"/>
      <c r="J7482" s="36"/>
      <c r="K7482" s="38"/>
      <c r="L7482" s="38"/>
    </row>
    <row r="7483" spans="1:12" x14ac:dyDescent="0.25">
      <c r="A7483" s="35"/>
      <c r="B7483" s="36"/>
      <c r="C7483" s="36"/>
      <c r="D7483" s="36"/>
      <c r="E7483" s="36"/>
      <c r="F7483" s="36"/>
      <c r="G7483" s="36"/>
      <c r="H7483" s="36"/>
      <c r="I7483" s="37"/>
      <c r="J7483" s="36"/>
      <c r="K7483" s="38"/>
      <c r="L7483" s="38"/>
    </row>
    <row r="7484" spans="1:12" x14ac:dyDescent="0.25">
      <c r="A7484" s="35"/>
      <c r="B7484" s="36"/>
      <c r="C7484" s="36"/>
      <c r="D7484" s="36"/>
      <c r="E7484" s="36"/>
      <c r="F7484" s="36"/>
      <c r="G7484" s="36"/>
      <c r="H7484" s="36"/>
      <c r="I7484" s="37"/>
      <c r="J7484" s="36"/>
      <c r="K7484" s="38"/>
      <c r="L7484" s="38"/>
    </row>
    <row r="7485" spans="1:12" x14ac:dyDescent="0.25">
      <c r="A7485" s="35"/>
      <c r="B7485" s="36"/>
      <c r="C7485" s="36"/>
      <c r="D7485" s="36"/>
      <c r="E7485" s="36"/>
      <c r="F7485" s="36"/>
      <c r="G7485" s="36"/>
      <c r="H7485" s="36"/>
      <c r="I7485" s="37"/>
      <c r="J7485" s="36"/>
      <c r="K7485" s="38"/>
      <c r="L7485" s="38"/>
    </row>
    <row r="7486" spans="1:12" x14ac:dyDescent="0.25">
      <c r="A7486" s="35"/>
      <c r="B7486" s="36"/>
      <c r="C7486" s="36"/>
      <c r="D7486" s="36"/>
      <c r="E7486" s="36"/>
      <c r="F7486" s="36"/>
      <c r="G7486" s="36"/>
      <c r="H7486" s="36"/>
      <c r="I7486" s="37"/>
      <c r="J7486" s="36"/>
      <c r="K7486" s="38"/>
      <c r="L7486" s="38"/>
    </row>
    <row r="7487" spans="1:12" x14ac:dyDescent="0.25">
      <c r="A7487" s="35"/>
      <c r="B7487" s="36"/>
      <c r="C7487" s="36"/>
      <c r="D7487" s="36"/>
      <c r="E7487" s="36"/>
      <c r="F7487" s="36"/>
      <c r="G7487" s="36"/>
      <c r="H7487" s="36"/>
      <c r="I7487" s="37"/>
      <c r="J7487" s="36"/>
      <c r="K7487" s="38"/>
      <c r="L7487" s="38"/>
    </row>
    <row r="7488" spans="1:12" x14ac:dyDescent="0.25">
      <c r="A7488" s="35"/>
      <c r="B7488" s="36"/>
      <c r="C7488" s="36"/>
      <c r="D7488" s="36"/>
      <c r="E7488" s="36"/>
      <c r="F7488" s="36"/>
      <c r="G7488" s="36"/>
      <c r="H7488" s="36"/>
      <c r="I7488" s="37"/>
      <c r="J7488" s="36"/>
      <c r="K7488" s="38"/>
      <c r="L7488" s="38"/>
    </row>
    <row r="7489" spans="1:12" x14ac:dyDescent="0.25">
      <c r="A7489" s="35"/>
      <c r="B7489" s="36"/>
      <c r="C7489" s="36"/>
      <c r="D7489" s="36"/>
      <c r="E7489" s="36"/>
      <c r="F7489" s="36"/>
      <c r="G7489" s="36"/>
      <c r="H7489" s="36"/>
      <c r="I7489" s="37"/>
      <c r="J7489" s="36"/>
      <c r="K7489" s="38"/>
      <c r="L7489" s="38"/>
    </row>
    <row r="7490" spans="1:12" x14ac:dyDescent="0.25">
      <c r="A7490" s="35"/>
      <c r="B7490" s="36"/>
      <c r="C7490" s="36"/>
      <c r="D7490" s="36"/>
      <c r="E7490" s="36"/>
      <c r="F7490" s="36"/>
      <c r="G7490" s="36"/>
      <c r="H7490" s="36"/>
      <c r="I7490" s="37"/>
      <c r="J7490" s="36"/>
      <c r="K7490" s="38"/>
      <c r="L7490" s="38"/>
    </row>
    <row r="7491" spans="1:12" x14ac:dyDescent="0.25">
      <c r="A7491" s="35"/>
      <c r="B7491" s="36"/>
      <c r="C7491" s="36"/>
      <c r="D7491" s="36"/>
      <c r="E7491" s="36"/>
      <c r="F7491" s="36"/>
      <c r="G7491" s="36"/>
      <c r="H7491" s="36"/>
      <c r="I7491" s="37"/>
      <c r="J7491" s="36"/>
      <c r="K7491" s="38"/>
      <c r="L7491" s="38"/>
    </row>
    <row r="7492" spans="1:12" x14ac:dyDescent="0.25">
      <c r="A7492" s="35"/>
      <c r="B7492" s="36"/>
      <c r="C7492" s="36"/>
      <c r="D7492" s="36"/>
      <c r="E7492" s="36"/>
      <c r="F7492" s="36"/>
      <c r="G7492" s="36"/>
      <c r="H7492" s="36"/>
      <c r="I7492" s="37"/>
      <c r="J7492" s="36"/>
      <c r="K7492" s="38"/>
      <c r="L7492" s="38"/>
    </row>
    <row r="7493" spans="1:12" x14ac:dyDescent="0.25">
      <c r="A7493" s="35"/>
      <c r="B7493" s="36"/>
      <c r="C7493" s="36"/>
      <c r="D7493" s="36"/>
      <c r="E7493" s="36"/>
      <c r="F7493" s="36"/>
      <c r="G7493" s="36"/>
      <c r="H7493" s="36"/>
      <c r="I7493" s="37"/>
      <c r="J7493" s="36"/>
      <c r="K7493" s="38"/>
      <c r="L7493" s="38"/>
    </row>
    <row r="7494" spans="1:12" x14ac:dyDescent="0.25">
      <c r="A7494" s="35"/>
      <c r="B7494" s="36"/>
      <c r="C7494" s="36"/>
      <c r="D7494" s="36"/>
      <c r="E7494" s="36"/>
      <c r="F7494" s="36"/>
      <c r="G7494" s="36"/>
      <c r="H7494" s="36"/>
      <c r="I7494" s="37"/>
      <c r="J7494" s="36"/>
      <c r="K7494" s="38"/>
      <c r="L7494" s="38"/>
    </row>
    <row r="7495" spans="1:12" x14ac:dyDescent="0.25">
      <c r="A7495" s="35"/>
      <c r="B7495" s="36"/>
      <c r="C7495" s="36"/>
      <c r="D7495" s="36"/>
      <c r="E7495" s="36"/>
      <c r="F7495" s="36"/>
      <c r="G7495" s="36"/>
      <c r="H7495" s="36"/>
      <c r="I7495" s="37"/>
      <c r="J7495" s="36"/>
      <c r="K7495" s="38"/>
      <c r="L7495" s="38"/>
    </row>
    <row r="7496" spans="1:12" x14ac:dyDescent="0.25">
      <c r="A7496" s="35"/>
      <c r="B7496" s="36"/>
      <c r="C7496" s="36"/>
      <c r="D7496" s="36"/>
      <c r="E7496" s="36"/>
      <c r="F7496" s="36"/>
      <c r="G7496" s="36"/>
      <c r="H7496" s="36"/>
      <c r="I7496" s="37"/>
      <c r="J7496" s="36"/>
      <c r="K7496" s="38"/>
      <c r="L7496" s="38"/>
    </row>
    <row r="7497" spans="1:12" x14ac:dyDescent="0.25">
      <c r="A7497" s="35"/>
      <c r="B7497" s="36"/>
      <c r="C7497" s="36"/>
      <c r="D7497" s="36"/>
      <c r="E7497" s="36"/>
      <c r="F7497" s="36"/>
      <c r="G7497" s="36"/>
      <c r="H7497" s="36"/>
      <c r="I7497" s="37"/>
      <c r="J7497" s="36"/>
      <c r="K7497" s="38"/>
      <c r="L7497" s="38"/>
    </row>
    <row r="7498" spans="1:12" x14ac:dyDescent="0.25">
      <c r="A7498" s="35"/>
      <c r="B7498" s="36"/>
      <c r="C7498" s="36"/>
      <c r="D7498" s="36"/>
      <c r="E7498" s="36"/>
      <c r="F7498" s="36"/>
      <c r="G7498" s="36"/>
      <c r="H7498" s="36"/>
      <c r="I7498" s="37"/>
      <c r="J7498" s="36"/>
      <c r="K7498" s="38"/>
      <c r="L7498" s="38"/>
    </row>
    <row r="7499" spans="1:12" x14ac:dyDescent="0.25">
      <c r="A7499" s="35"/>
      <c r="B7499" s="36"/>
      <c r="C7499" s="36"/>
      <c r="D7499" s="36"/>
      <c r="E7499" s="36"/>
      <c r="F7499" s="36"/>
      <c r="G7499" s="36"/>
      <c r="H7499" s="36"/>
      <c r="I7499" s="37"/>
      <c r="J7499" s="36"/>
      <c r="K7499" s="38"/>
      <c r="L7499" s="38"/>
    </row>
    <row r="7500" spans="1:12" x14ac:dyDescent="0.25">
      <c r="A7500" s="35"/>
      <c r="B7500" s="36"/>
      <c r="C7500" s="36"/>
      <c r="D7500" s="36"/>
      <c r="E7500" s="36"/>
      <c r="F7500" s="36"/>
      <c r="G7500" s="36"/>
      <c r="H7500" s="36"/>
      <c r="I7500" s="37"/>
      <c r="J7500" s="36"/>
      <c r="K7500" s="38"/>
      <c r="L7500" s="38"/>
    </row>
    <row r="7501" spans="1:12" x14ac:dyDescent="0.25">
      <c r="A7501" s="35"/>
      <c r="B7501" s="36"/>
      <c r="C7501" s="36"/>
      <c r="D7501" s="36"/>
      <c r="E7501" s="36"/>
      <c r="F7501" s="36"/>
      <c r="G7501" s="36"/>
      <c r="H7501" s="36"/>
      <c r="I7501" s="37"/>
      <c r="J7501" s="36"/>
      <c r="K7501" s="38"/>
      <c r="L7501" s="38"/>
    </row>
    <row r="7502" spans="1:12" x14ac:dyDescent="0.25">
      <c r="A7502" s="35"/>
      <c r="B7502" s="36"/>
      <c r="C7502" s="36"/>
      <c r="D7502" s="36"/>
      <c r="E7502" s="36"/>
      <c r="F7502" s="36"/>
      <c r="G7502" s="36"/>
      <c r="H7502" s="36"/>
      <c r="I7502" s="37"/>
      <c r="J7502" s="36"/>
      <c r="K7502" s="38"/>
      <c r="L7502" s="38"/>
    </row>
    <row r="7503" spans="1:12" x14ac:dyDescent="0.25">
      <c r="A7503" s="35"/>
      <c r="B7503" s="36"/>
      <c r="C7503" s="36"/>
      <c r="D7503" s="36"/>
      <c r="E7503" s="36"/>
      <c r="F7503" s="36"/>
      <c r="G7503" s="36"/>
      <c r="H7503" s="36"/>
      <c r="I7503" s="37"/>
      <c r="J7503" s="36"/>
      <c r="K7503" s="38"/>
      <c r="L7503" s="38"/>
    </row>
    <row r="7504" spans="1:12" x14ac:dyDescent="0.25">
      <c r="A7504" s="35"/>
      <c r="B7504" s="36"/>
      <c r="C7504" s="36"/>
      <c r="D7504" s="36"/>
      <c r="E7504" s="36"/>
      <c r="F7504" s="36"/>
      <c r="G7504" s="36"/>
      <c r="H7504" s="36"/>
      <c r="I7504" s="37"/>
      <c r="J7504" s="36"/>
      <c r="K7504" s="38"/>
      <c r="L7504" s="38"/>
    </row>
    <row r="7505" spans="1:12" x14ac:dyDescent="0.25">
      <c r="A7505" s="35"/>
      <c r="B7505" s="36"/>
      <c r="C7505" s="36"/>
      <c r="D7505" s="36"/>
      <c r="E7505" s="36"/>
      <c r="F7505" s="36"/>
      <c r="G7505" s="36"/>
      <c r="H7505" s="36"/>
      <c r="I7505" s="37"/>
      <c r="J7505" s="36"/>
      <c r="K7505" s="38"/>
      <c r="L7505" s="38"/>
    </row>
    <row r="7506" spans="1:12" x14ac:dyDescent="0.25">
      <c r="A7506" s="35"/>
      <c r="B7506" s="36"/>
      <c r="C7506" s="36"/>
      <c r="D7506" s="36"/>
      <c r="E7506" s="36"/>
      <c r="F7506" s="36"/>
      <c r="G7506" s="36"/>
      <c r="H7506" s="36"/>
      <c r="I7506" s="37"/>
      <c r="J7506" s="36"/>
      <c r="K7506" s="38"/>
      <c r="L7506" s="38"/>
    </row>
    <row r="7507" spans="1:12" x14ac:dyDescent="0.25">
      <c r="A7507" s="35"/>
      <c r="B7507" s="36"/>
      <c r="C7507" s="36"/>
      <c r="D7507" s="36"/>
      <c r="E7507" s="36"/>
      <c r="F7507" s="36"/>
      <c r="G7507" s="36"/>
      <c r="H7507" s="36"/>
      <c r="I7507" s="37"/>
      <c r="J7507" s="36"/>
      <c r="K7507" s="38"/>
      <c r="L7507" s="38"/>
    </row>
    <row r="7508" spans="1:12" x14ac:dyDescent="0.25">
      <c r="A7508" s="35"/>
      <c r="B7508" s="36"/>
      <c r="C7508" s="36"/>
      <c r="D7508" s="36"/>
      <c r="E7508" s="36"/>
      <c r="F7508" s="36"/>
      <c r="G7508" s="36"/>
      <c r="H7508" s="36"/>
      <c r="I7508" s="37"/>
      <c r="J7508" s="36"/>
      <c r="K7508" s="38"/>
      <c r="L7508" s="38"/>
    </row>
    <row r="7509" spans="1:12" x14ac:dyDescent="0.25">
      <c r="A7509" s="35"/>
      <c r="B7509" s="36"/>
      <c r="C7509" s="36"/>
      <c r="D7509" s="36"/>
      <c r="E7509" s="36"/>
      <c r="F7509" s="36"/>
      <c r="G7509" s="36"/>
      <c r="H7509" s="36"/>
      <c r="I7509" s="37"/>
      <c r="J7509" s="36"/>
      <c r="K7509" s="38"/>
      <c r="L7509" s="38"/>
    </row>
    <row r="7510" spans="1:12" x14ac:dyDescent="0.25">
      <c r="A7510" s="35"/>
      <c r="B7510" s="36"/>
      <c r="C7510" s="36"/>
      <c r="D7510" s="36"/>
      <c r="E7510" s="36"/>
      <c r="F7510" s="36"/>
      <c r="G7510" s="36"/>
      <c r="H7510" s="36"/>
      <c r="I7510" s="37"/>
      <c r="J7510" s="36"/>
      <c r="K7510" s="38"/>
      <c r="L7510" s="38"/>
    </row>
    <row r="7511" spans="1:12" x14ac:dyDescent="0.25">
      <c r="A7511" s="35"/>
      <c r="B7511" s="36"/>
      <c r="C7511" s="36"/>
      <c r="D7511" s="36"/>
      <c r="E7511" s="36"/>
      <c r="F7511" s="36"/>
      <c r="G7511" s="36"/>
      <c r="H7511" s="36"/>
      <c r="I7511" s="37"/>
      <c r="J7511" s="36"/>
      <c r="K7511" s="38"/>
      <c r="L7511" s="38"/>
    </row>
    <row r="7512" spans="1:12" x14ac:dyDescent="0.25">
      <c r="A7512" s="35"/>
      <c r="B7512" s="36"/>
      <c r="C7512" s="36"/>
      <c r="D7512" s="36"/>
      <c r="E7512" s="36"/>
      <c r="F7512" s="36"/>
      <c r="G7512" s="36"/>
      <c r="H7512" s="36"/>
      <c r="I7512" s="37"/>
      <c r="J7512" s="36"/>
      <c r="K7512" s="38"/>
      <c r="L7512" s="38"/>
    </row>
    <row r="7513" spans="1:12" x14ac:dyDescent="0.25">
      <c r="A7513" s="35"/>
      <c r="B7513" s="36"/>
      <c r="C7513" s="36"/>
      <c r="D7513" s="36"/>
      <c r="E7513" s="36"/>
      <c r="F7513" s="36"/>
      <c r="G7513" s="36"/>
      <c r="H7513" s="36"/>
      <c r="I7513" s="37"/>
      <c r="J7513" s="36"/>
      <c r="K7513" s="38"/>
      <c r="L7513" s="38"/>
    </row>
    <row r="7514" spans="1:12" x14ac:dyDescent="0.25">
      <c r="A7514" s="35"/>
      <c r="B7514" s="36"/>
      <c r="C7514" s="36"/>
      <c r="D7514" s="36"/>
      <c r="E7514" s="36"/>
      <c r="F7514" s="36"/>
      <c r="G7514" s="36"/>
      <c r="H7514" s="36"/>
      <c r="I7514" s="37"/>
      <c r="J7514" s="36"/>
      <c r="K7514" s="38"/>
      <c r="L7514" s="38"/>
    </row>
    <row r="7515" spans="1:12" x14ac:dyDescent="0.25">
      <c r="A7515" s="35"/>
      <c r="B7515" s="36"/>
      <c r="C7515" s="36"/>
      <c r="D7515" s="36"/>
      <c r="E7515" s="36"/>
      <c r="F7515" s="36"/>
      <c r="G7515" s="36"/>
      <c r="H7515" s="36"/>
      <c r="I7515" s="37"/>
      <c r="J7515" s="36"/>
      <c r="K7515" s="38"/>
      <c r="L7515" s="38"/>
    </row>
    <row r="7516" spans="1:12" x14ac:dyDescent="0.25">
      <c r="A7516" s="35"/>
      <c r="B7516" s="36"/>
      <c r="C7516" s="36"/>
      <c r="D7516" s="36"/>
      <c r="E7516" s="36"/>
      <c r="F7516" s="36"/>
      <c r="G7516" s="36"/>
      <c r="H7516" s="36"/>
      <c r="I7516" s="37"/>
      <c r="J7516" s="36"/>
      <c r="K7516" s="38"/>
      <c r="L7516" s="38"/>
    </row>
    <row r="7517" spans="1:12" x14ac:dyDescent="0.25">
      <c r="A7517" s="35"/>
      <c r="B7517" s="36"/>
      <c r="C7517" s="36"/>
      <c r="D7517" s="36"/>
      <c r="E7517" s="36"/>
      <c r="F7517" s="36"/>
      <c r="G7517" s="36"/>
      <c r="H7517" s="36"/>
      <c r="I7517" s="37"/>
      <c r="J7517" s="36"/>
      <c r="K7517" s="38"/>
      <c r="L7517" s="38"/>
    </row>
    <row r="7518" spans="1:12" x14ac:dyDescent="0.25">
      <c r="A7518" s="35"/>
      <c r="B7518" s="36"/>
      <c r="C7518" s="36"/>
      <c r="D7518" s="36"/>
      <c r="E7518" s="36"/>
      <c r="F7518" s="36"/>
      <c r="G7518" s="36"/>
      <c r="H7518" s="36"/>
      <c r="I7518" s="37"/>
      <c r="J7518" s="36"/>
      <c r="K7518" s="38"/>
      <c r="L7518" s="38"/>
    </row>
    <row r="7519" spans="1:12" x14ac:dyDescent="0.25">
      <c r="A7519" s="35"/>
      <c r="B7519" s="36"/>
      <c r="C7519" s="36"/>
      <c r="D7519" s="36"/>
      <c r="E7519" s="36"/>
      <c r="F7519" s="36"/>
      <c r="G7519" s="36"/>
      <c r="H7519" s="36"/>
      <c r="I7519" s="37"/>
      <c r="J7519" s="36"/>
      <c r="K7519" s="38"/>
      <c r="L7519" s="38"/>
    </row>
    <row r="7520" spans="1:12" x14ac:dyDescent="0.25">
      <c r="A7520" s="35"/>
      <c r="B7520" s="36"/>
      <c r="C7520" s="36"/>
      <c r="D7520" s="36"/>
      <c r="E7520" s="36"/>
      <c r="F7520" s="36"/>
      <c r="G7520" s="36"/>
      <c r="H7520" s="36"/>
      <c r="I7520" s="37"/>
      <c r="J7520" s="36"/>
      <c r="K7520" s="38"/>
      <c r="L7520" s="38"/>
    </row>
    <row r="7521" spans="1:12" x14ac:dyDescent="0.25">
      <c r="A7521" s="35"/>
      <c r="B7521" s="36"/>
      <c r="C7521" s="36"/>
      <c r="D7521" s="36"/>
      <c r="E7521" s="36"/>
      <c r="F7521" s="36"/>
      <c r="G7521" s="36"/>
      <c r="H7521" s="36"/>
      <c r="I7521" s="37"/>
      <c r="J7521" s="36"/>
      <c r="K7521" s="38"/>
      <c r="L7521" s="38"/>
    </row>
    <row r="7522" spans="1:12" x14ac:dyDescent="0.25">
      <c r="A7522" s="35"/>
      <c r="B7522" s="36"/>
      <c r="C7522" s="36"/>
      <c r="D7522" s="36"/>
      <c r="E7522" s="36"/>
      <c r="F7522" s="36"/>
      <c r="G7522" s="36"/>
      <c r="H7522" s="36"/>
      <c r="I7522" s="37"/>
      <c r="J7522" s="36"/>
      <c r="K7522" s="38"/>
      <c r="L7522" s="38"/>
    </row>
    <row r="7523" spans="1:12" x14ac:dyDescent="0.25">
      <c r="A7523" s="35"/>
      <c r="B7523" s="36"/>
      <c r="C7523" s="36"/>
      <c r="D7523" s="36"/>
      <c r="E7523" s="36"/>
      <c r="F7523" s="36"/>
      <c r="G7523" s="36"/>
      <c r="H7523" s="36"/>
      <c r="I7523" s="37"/>
      <c r="J7523" s="36"/>
      <c r="K7523" s="38"/>
      <c r="L7523" s="38"/>
    </row>
    <row r="7524" spans="1:12" x14ac:dyDescent="0.25">
      <c r="A7524" s="35"/>
      <c r="B7524" s="36"/>
      <c r="C7524" s="36"/>
      <c r="D7524" s="36"/>
      <c r="E7524" s="36"/>
      <c r="F7524" s="36"/>
      <c r="G7524" s="36"/>
      <c r="H7524" s="36"/>
      <c r="I7524" s="37"/>
      <c r="J7524" s="36"/>
      <c r="K7524" s="38"/>
      <c r="L7524" s="38"/>
    </row>
    <row r="7525" spans="1:12" x14ac:dyDescent="0.25">
      <c r="A7525" s="35"/>
      <c r="B7525" s="36"/>
      <c r="C7525" s="36"/>
      <c r="D7525" s="36"/>
      <c r="E7525" s="36"/>
      <c r="F7525" s="36"/>
      <c r="G7525" s="36"/>
      <c r="H7525" s="36"/>
      <c r="I7525" s="37"/>
      <c r="J7525" s="36"/>
      <c r="K7525" s="38"/>
      <c r="L7525" s="38"/>
    </row>
    <row r="7526" spans="1:12" x14ac:dyDescent="0.25">
      <c r="A7526" s="35"/>
      <c r="B7526" s="36"/>
      <c r="C7526" s="36"/>
      <c r="D7526" s="36"/>
      <c r="E7526" s="36"/>
      <c r="F7526" s="36"/>
      <c r="G7526" s="36"/>
      <c r="H7526" s="36"/>
      <c r="I7526" s="37"/>
      <c r="J7526" s="36"/>
      <c r="K7526" s="38"/>
      <c r="L7526" s="38"/>
    </row>
    <row r="7527" spans="1:12" x14ac:dyDescent="0.25">
      <c r="A7527" s="35"/>
      <c r="B7527" s="36"/>
      <c r="C7527" s="36"/>
      <c r="D7527" s="36"/>
      <c r="E7527" s="36"/>
      <c r="F7527" s="36"/>
      <c r="G7527" s="36"/>
      <c r="H7527" s="36"/>
      <c r="I7527" s="37"/>
      <c r="J7527" s="36"/>
      <c r="K7527" s="38"/>
      <c r="L7527" s="38"/>
    </row>
    <row r="7528" spans="1:12" x14ac:dyDescent="0.25">
      <c r="A7528" s="35"/>
      <c r="B7528" s="36"/>
      <c r="C7528" s="36"/>
      <c r="D7528" s="36"/>
      <c r="E7528" s="36"/>
      <c r="F7528" s="36"/>
      <c r="G7528" s="36"/>
      <c r="H7528" s="36"/>
      <c r="I7528" s="37"/>
      <c r="J7528" s="36"/>
      <c r="K7528" s="38"/>
      <c r="L7528" s="38"/>
    </row>
    <row r="7529" spans="1:12" x14ac:dyDescent="0.25">
      <c r="A7529" s="35"/>
      <c r="B7529" s="36"/>
      <c r="C7529" s="36"/>
      <c r="D7529" s="36"/>
      <c r="E7529" s="36"/>
      <c r="F7529" s="36"/>
      <c r="G7529" s="36"/>
      <c r="H7529" s="36"/>
      <c r="I7529" s="37"/>
      <c r="J7529" s="36"/>
      <c r="K7529" s="38"/>
      <c r="L7529" s="38"/>
    </row>
    <row r="7530" spans="1:12" x14ac:dyDescent="0.25">
      <c r="A7530" s="35"/>
      <c r="B7530" s="36"/>
      <c r="C7530" s="36"/>
      <c r="D7530" s="36"/>
      <c r="E7530" s="36"/>
      <c r="F7530" s="36"/>
      <c r="G7530" s="36"/>
      <c r="H7530" s="36"/>
      <c r="I7530" s="37"/>
      <c r="J7530" s="36"/>
      <c r="K7530" s="38"/>
      <c r="L7530" s="38"/>
    </row>
    <row r="7531" spans="1:12" x14ac:dyDescent="0.25">
      <c r="A7531" s="35"/>
      <c r="B7531" s="36"/>
      <c r="C7531" s="36"/>
      <c r="D7531" s="36"/>
      <c r="E7531" s="36"/>
      <c r="F7531" s="36"/>
      <c r="G7531" s="36"/>
      <c r="H7531" s="36"/>
      <c r="I7531" s="37"/>
      <c r="J7531" s="36"/>
      <c r="K7531" s="38"/>
      <c r="L7531" s="38"/>
    </row>
    <row r="7532" spans="1:12" x14ac:dyDescent="0.25">
      <c r="A7532" s="35"/>
      <c r="B7532" s="36"/>
      <c r="C7532" s="36"/>
      <c r="D7532" s="36"/>
      <c r="E7532" s="36"/>
      <c r="F7532" s="36"/>
      <c r="G7532" s="36"/>
      <c r="H7532" s="36"/>
      <c r="I7532" s="37"/>
      <c r="J7532" s="36"/>
      <c r="K7532" s="38"/>
      <c r="L7532" s="38"/>
    </row>
    <row r="7533" spans="1:12" x14ac:dyDescent="0.25">
      <c r="A7533" s="35"/>
      <c r="B7533" s="36"/>
      <c r="C7533" s="36"/>
      <c r="D7533" s="36"/>
      <c r="E7533" s="36"/>
      <c r="F7533" s="36"/>
      <c r="G7533" s="36"/>
      <c r="H7533" s="36"/>
      <c r="I7533" s="37"/>
      <c r="J7533" s="36"/>
      <c r="K7533" s="38"/>
      <c r="L7533" s="38"/>
    </row>
    <row r="7534" spans="1:12" x14ac:dyDescent="0.25">
      <c r="A7534" s="35"/>
      <c r="B7534" s="36"/>
      <c r="C7534" s="36"/>
      <c r="D7534" s="36"/>
      <c r="E7534" s="36"/>
      <c r="F7534" s="36"/>
      <c r="G7534" s="36"/>
      <c r="H7534" s="36"/>
      <c r="I7534" s="37"/>
      <c r="J7534" s="36"/>
      <c r="K7534" s="38"/>
      <c r="L7534" s="38"/>
    </row>
    <row r="7535" spans="1:12" x14ac:dyDescent="0.25">
      <c r="A7535" s="35"/>
      <c r="B7535" s="36"/>
      <c r="C7535" s="36"/>
      <c r="D7535" s="36"/>
      <c r="E7535" s="36"/>
      <c r="F7535" s="36"/>
      <c r="G7535" s="36"/>
      <c r="H7535" s="36"/>
      <c r="I7535" s="37"/>
      <c r="J7535" s="36"/>
      <c r="K7535" s="38"/>
      <c r="L7535" s="38"/>
    </row>
    <row r="7536" spans="1:12" x14ac:dyDescent="0.25">
      <c r="A7536" s="35"/>
      <c r="B7536" s="36"/>
      <c r="C7536" s="36"/>
      <c r="D7536" s="36"/>
      <c r="E7536" s="36"/>
      <c r="F7536" s="36"/>
      <c r="G7536" s="36"/>
      <c r="H7536" s="36"/>
      <c r="I7536" s="37"/>
      <c r="J7536" s="36"/>
      <c r="K7536" s="38"/>
      <c r="L7536" s="38"/>
    </row>
    <row r="7537" spans="1:12" x14ac:dyDescent="0.25">
      <c r="A7537" s="35"/>
      <c r="B7537" s="36"/>
      <c r="C7537" s="36"/>
      <c r="D7537" s="36"/>
      <c r="E7537" s="36"/>
      <c r="F7537" s="36"/>
      <c r="G7537" s="36"/>
      <c r="H7537" s="36"/>
      <c r="I7537" s="37"/>
      <c r="J7537" s="36"/>
      <c r="K7537" s="38"/>
      <c r="L7537" s="38"/>
    </row>
    <row r="7538" spans="1:12" x14ac:dyDescent="0.25">
      <c r="A7538" s="35"/>
      <c r="B7538" s="36"/>
      <c r="C7538" s="36"/>
      <c r="D7538" s="36"/>
      <c r="E7538" s="36"/>
      <c r="F7538" s="36"/>
      <c r="G7538" s="36"/>
      <c r="H7538" s="36"/>
      <c r="I7538" s="37"/>
      <c r="J7538" s="36"/>
      <c r="K7538" s="38"/>
      <c r="L7538" s="38"/>
    </row>
    <row r="7539" spans="1:12" x14ac:dyDescent="0.25">
      <c r="A7539" s="35"/>
      <c r="B7539" s="36"/>
      <c r="C7539" s="36"/>
      <c r="D7539" s="36"/>
      <c r="E7539" s="36"/>
      <c r="F7539" s="36"/>
      <c r="G7539" s="36"/>
      <c r="H7539" s="36"/>
      <c r="I7539" s="37"/>
      <c r="J7539" s="36"/>
      <c r="K7539" s="38"/>
      <c r="L7539" s="38"/>
    </row>
    <row r="7540" spans="1:12" x14ac:dyDescent="0.25">
      <c r="A7540" s="35"/>
      <c r="B7540" s="36"/>
      <c r="C7540" s="36"/>
      <c r="D7540" s="36"/>
      <c r="E7540" s="36"/>
      <c r="F7540" s="36"/>
      <c r="G7540" s="36"/>
      <c r="H7540" s="36"/>
      <c r="I7540" s="37"/>
      <c r="J7540" s="36"/>
      <c r="K7540" s="38"/>
      <c r="L7540" s="38"/>
    </row>
    <row r="7541" spans="1:12" x14ac:dyDescent="0.25">
      <c r="A7541" s="35"/>
      <c r="B7541" s="36"/>
      <c r="C7541" s="36"/>
      <c r="D7541" s="36"/>
      <c r="E7541" s="36"/>
      <c r="F7541" s="36"/>
      <c r="G7541" s="36"/>
      <c r="H7541" s="36"/>
      <c r="I7541" s="37"/>
      <c r="J7541" s="36"/>
      <c r="K7541" s="38"/>
      <c r="L7541" s="38"/>
    </row>
    <row r="7542" spans="1:12" x14ac:dyDescent="0.25">
      <c r="A7542" s="35"/>
      <c r="B7542" s="36"/>
      <c r="C7542" s="36"/>
      <c r="D7542" s="36"/>
      <c r="E7542" s="36"/>
      <c r="F7542" s="36"/>
      <c r="G7542" s="36"/>
      <c r="H7542" s="36"/>
      <c r="I7542" s="37"/>
      <c r="J7542" s="36"/>
      <c r="K7542" s="38"/>
      <c r="L7542" s="38"/>
    </row>
    <row r="7543" spans="1:12" x14ac:dyDescent="0.25">
      <c r="A7543" s="35"/>
      <c r="B7543" s="36"/>
      <c r="C7543" s="36"/>
      <c r="D7543" s="36"/>
      <c r="E7543" s="36"/>
      <c r="F7543" s="36"/>
      <c r="G7543" s="36"/>
      <c r="H7543" s="36"/>
      <c r="I7543" s="37"/>
      <c r="J7543" s="36"/>
      <c r="K7543" s="38"/>
      <c r="L7543" s="38"/>
    </row>
    <row r="7544" spans="1:12" x14ac:dyDescent="0.25">
      <c r="A7544" s="35"/>
      <c r="B7544" s="36"/>
      <c r="C7544" s="36"/>
      <c r="D7544" s="36"/>
      <c r="E7544" s="36"/>
      <c r="F7544" s="36"/>
      <c r="G7544" s="36"/>
      <c r="H7544" s="36"/>
      <c r="I7544" s="37"/>
      <c r="J7544" s="36"/>
      <c r="K7544" s="38"/>
      <c r="L7544" s="38"/>
    </row>
    <row r="7545" spans="1:12" x14ac:dyDescent="0.25">
      <c r="A7545" s="35"/>
      <c r="B7545" s="36"/>
      <c r="C7545" s="36"/>
      <c r="D7545" s="36"/>
      <c r="E7545" s="36"/>
      <c r="F7545" s="36"/>
      <c r="G7545" s="36"/>
      <c r="H7545" s="36"/>
      <c r="I7545" s="37"/>
      <c r="J7545" s="36"/>
      <c r="K7545" s="38"/>
      <c r="L7545" s="38"/>
    </row>
    <row r="7546" spans="1:12" x14ac:dyDescent="0.25">
      <c r="A7546" s="35"/>
      <c r="B7546" s="36"/>
      <c r="C7546" s="36"/>
      <c r="D7546" s="36"/>
      <c r="E7546" s="36"/>
      <c r="F7546" s="36"/>
      <c r="G7546" s="36"/>
      <c r="H7546" s="36"/>
      <c r="I7546" s="37"/>
      <c r="J7546" s="36"/>
      <c r="K7546" s="38"/>
      <c r="L7546" s="38"/>
    </row>
    <row r="7547" spans="1:12" x14ac:dyDescent="0.25">
      <c r="A7547" s="35"/>
      <c r="B7547" s="36"/>
      <c r="C7547" s="36"/>
      <c r="D7547" s="36"/>
      <c r="E7547" s="36"/>
      <c r="F7547" s="36"/>
      <c r="G7547" s="36"/>
      <c r="H7547" s="36"/>
      <c r="I7547" s="37"/>
      <c r="J7547" s="36"/>
      <c r="K7547" s="38"/>
      <c r="L7547" s="38"/>
    </row>
    <row r="7548" spans="1:12" x14ac:dyDescent="0.25">
      <c r="A7548" s="35"/>
      <c r="B7548" s="36"/>
      <c r="C7548" s="36"/>
      <c r="D7548" s="36"/>
      <c r="E7548" s="36"/>
      <c r="F7548" s="36"/>
      <c r="G7548" s="36"/>
      <c r="H7548" s="36"/>
      <c r="I7548" s="37"/>
      <c r="J7548" s="36"/>
      <c r="K7548" s="38"/>
      <c r="L7548" s="38"/>
    </row>
    <row r="7549" spans="1:12" x14ac:dyDescent="0.25">
      <c r="A7549" s="35"/>
      <c r="B7549" s="36"/>
      <c r="C7549" s="36"/>
      <c r="D7549" s="36"/>
      <c r="E7549" s="36"/>
      <c r="F7549" s="36"/>
      <c r="G7549" s="36"/>
      <c r="H7549" s="36"/>
      <c r="I7549" s="37"/>
      <c r="J7549" s="36"/>
      <c r="K7549" s="38"/>
      <c r="L7549" s="38"/>
    </row>
    <row r="7550" spans="1:12" x14ac:dyDescent="0.25">
      <c r="A7550" s="35"/>
      <c r="B7550" s="36"/>
      <c r="C7550" s="36"/>
      <c r="D7550" s="36"/>
      <c r="E7550" s="36"/>
      <c r="F7550" s="36"/>
      <c r="G7550" s="36"/>
      <c r="H7550" s="36"/>
      <c r="I7550" s="37"/>
      <c r="J7550" s="36"/>
      <c r="K7550" s="38"/>
      <c r="L7550" s="38"/>
    </row>
    <row r="7551" spans="1:12" x14ac:dyDescent="0.25">
      <c r="A7551" s="35"/>
      <c r="B7551" s="36"/>
      <c r="C7551" s="36"/>
      <c r="D7551" s="36"/>
      <c r="E7551" s="36"/>
      <c r="F7551" s="36"/>
      <c r="G7551" s="36"/>
      <c r="H7551" s="36"/>
      <c r="I7551" s="37"/>
      <c r="J7551" s="36"/>
      <c r="K7551" s="38"/>
      <c r="L7551" s="38"/>
    </row>
    <row r="7552" spans="1:12" x14ac:dyDescent="0.25">
      <c r="A7552" s="35"/>
      <c r="B7552" s="36"/>
      <c r="C7552" s="36"/>
      <c r="D7552" s="36"/>
      <c r="E7552" s="36"/>
      <c r="F7552" s="36"/>
      <c r="G7552" s="36"/>
      <c r="H7552" s="36"/>
      <c r="I7552" s="37"/>
      <c r="J7552" s="36"/>
      <c r="K7552" s="38"/>
      <c r="L7552" s="38"/>
    </row>
    <row r="7553" spans="1:12" x14ac:dyDescent="0.25">
      <c r="A7553" s="35"/>
      <c r="B7553" s="36"/>
      <c r="C7553" s="36"/>
      <c r="D7553" s="36"/>
      <c r="E7553" s="36"/>
      <c r="F7553" s="36"/>
      <c r="G7553" s="36"/>
      <c r="H7553" s="36"/>
      <c r="I7553" s="37"/>
      <c r="J7553" s="36"/>
      <c r="K7553" s="38"/>
      <c r="L7553" s="38"/>
    </row>
    <row r="7554" spans="1:12" x14ac:dyDescent="0.25">
      <c r="A7554" s="35"/>
      <c r="B7554" s="36"/>
      <c r="C7554" s="36"/>
      <c r="D7554" s="36"/>
      <c r="E7554" s="36"/>
      <c r="F7554" s="36"/>
      <c r="G7554" s="36"/>
      <c r="H7554" s="36"/>
      <c r="I7554" s="37"/>
      <c r="J7554" s="36"/>
      <c r="K7554" s="38"/>
      <c r="L7554" s="38"/>
    </row>
    <row r="7555" spans="1:12" x14ac:dyDescent="0.25">
      <c r="A7555" s="35"/>
      <c r="B7555" s="36"/>
      <c r="C7555" s="36"/>
      <c r="D7555" s="36"/>
      <c r="E7555" s="36"/>
      <c r="F7555" s="36"/>
      <c r="G7555" s="36"/>
      <c r="H7555" s="36"/>
      <c r="I7555" s="37"/>
      <c r="J7555" s="36"/>
      <c r="K7555" s="38"/>
      <c r="L7555" s="38"/>
    </row>
    <row r="7556" spans="1:12" x14ac:dyDescent="0.25">
      <c r="A7556" s="35"/>
      <c r="B7556" s="36"/>
      <c r="C7556" s="36"/>
      <c r="D7556" s="36"/>
      <c r="E7556" s="36"/>
      <c r="F7556" s="36"/>
      <c r="G7556" s="36"/>
      <c r="H7556" s="36"/>
      <c r="I7556" s="37"/>
      <c r="J7556" s="36"/>
      <c r="K7556" s="38"/>
      <c r="L7556" s="38"/>
    </row>
    <row r="7557" spans="1:12" x14ac:dyDescent="0.25">
      <c r="A7557" s="35"/>
      <c r="B7557" s="36"/>
      <c r="C7557" s="36"/>
      <c r="D7557" s="36"/>
      <c r="E7557" s="36"/>
      <c r="F7557" s="36"/>
      <c r="G7557" s="36"/>
      <c r="H7557" s="36"/>
      <c r="I7557" s="37"/>
      <c r="J7557" s="36"/>
      <c r="K7557" s="38"/>
      <c r="L7557" s="38"/>
    </row>
    <row r="7558" spans="1:12" x14ac:dyDescent="0.25">
      <c r="A7558" s="35"/>
      <c r="B7558" s="36"/>
      <c r="C7558" s="36"/>
      <c r="D7558" s="36"/>
      <c r="E7558" s="36"/>
      <c r="F7558" s="36"/>
      <c r="G7558" s="36"/>
      <c r="H7558" s="36"/>
      <c r="I7558" s="37"/>
      <c r="J7558" s="36"/>
      <c r="K7558" s="38"/>
      <c r="L7558" s="38"/>
    </row>
    <row r="7559" spans="1:12" x14ac:dyDescent="0.25">
      <c r="A7559" s="35"/>
      <c r="B7559" s="36"/>
      <c r="C7559" s="36"/>
      <c r="D7559" s="36"/>
      <c r="E7559" s="36"/>
      <c r="F7559" s="36"/>
      <c r="G7559" s="36"/>
      <c r="H7559" s="36"/>
      <c r="I7559" s="37"/>
      <c r="J7559" s="36"/>
      <c r="K7559" s="38"/>
      <c r="L7559" s="38"/>
    </row>
    <row r="7560" spans="1:12" x14ac:dyDescent="0.25">
      <c r="A7560" s="35"/>
      <c r="B7560" s="36"/>
      <c r="C7560" s="36"/>
      <c r="D7560" s="36"/>
      <c r="E7560" s="36"/>
      <c r="F7560" s="36"/>
      <c r="G7560" s="36"/>
      <c r="H7560" s="36"/>
      <c r="I7560" s="37"/>
      <c r="J7560" s="36"/>
      <c r="K7560" s="38"/>
      <c r="L7560" s="38"/>
    </row>
    <row r="7561" spans="1:12" x14ac:dyDescent="0.25">
      <c r="A7561" s="35"/>
      <c r="B7561" s="36"/>
      <c r="C7561" s="36"/>
      <c r="D7561" s="36"/>
      <c r="E7561" s="36"/>
      <c r="F7561" s="36"/>
      <c r="G7561" s="36"/>
      <c r="H7561" s="36"/>
      <c r="I7561" s="37"/>
      <c r="J7561" s="36"/>
      <c r="K7561" s="38"/>
      <c r="L7561" s="38"/>
    </row>
    <row r="7562" spans="1:12" x14ac:dyDescent="0.25">
      <c r="A7562" s="35"/>
      <c r="B7562" s="36"/>
      <c r="C7562" s="36"/>
      <c r="D7562" s="36"/>
      <c r="E7562" s="36"/>
      <c r="F7562" s="36"/>
      <c r="G7562" s="36"/>
      <c r="H7562" s="36"/>
      <c r="I7562" s="37"/>
      <c r="J7562" s="36"/>
      <c r="K7562" s="38"/>
      <c r="L7562" s="38"/>
    </row>
    <row r="7563" spans="1:12" x14ac:dyDescent="0.25">
      <c r="A7563" s="35"/>
      <c r="B7563" s="36"/>
      <c r="C7563" s="36"/>
      <c r="D7563" s="36"/>
      <c r="E7563" s="36"/>
      <c r="F7563" s="36"/>
      <c r="G7563" s="36"/>
      <c r="H7563" s="36"/>
      <c r="I7563" s="37"/>
      <c r="J7563" s="36"/>
      <c r="K7563" s="38"/>
      <c r="L7563" s="38"/>
    </row>
    <row r="7564" spans="1:12" x14ac:dyDescent="0.25">
      <c r="A7564" s="35"/>
      <c r="B7564" s="36"/>
      <c r="C7564" s="36"/>
      <c r="D7564" s="36"/>
      <c r="E7564" s="36"/>
      <c r="F7564" s="36"/>
      <c r="G7564" s="36"/>
      <c r="H7564" s="36"/>
      <c r="I7564" s="37"/>
      <c r="J7564" s="36"/>
      <c r="K7564" s="38"/>
      <c r="L7564" s="38"/>
    </row>
    <row r="7565" spans="1:12" x14ac:dyDescent="0.25">
      <c r="A7565" s="35"/>
      <c r="B7565" s="36"/>
      <c r="C7565" s="36"/>
      <c r="D7565" s="36"/>
      <c r="E7565" s="36"/>
      <c r="F7565" s="36"/>
      <c r="G7565" s="36"/>
      <c r="H7565" s="36"/>
      <c r="I7565" s="37"/>
      <c r="J7565" s="36"/>
      <c r="K7565" s="38"/>
      <c r="L7565" s="38"/>
    </row>
    <row r="7566" spans="1:12" x14ac:dyDescent="0.25">
      <c r="A7566" s="35"/>
      <c r="B7566" s="36"/>
      <c r="C7566" s="36"/>
      <c r="D7566" s="36"/>
      <c r="E7566" s="36"/>
      <c r="F7566" s="36"/>
      <c r="G7566" s="36"/>
      <c r="H7566" s="36"/>
      <c r="I7566" s="37"/>
      <c r="J7566" s="36"/>
      <c r="K7566" s="38"/>
      <c r="L7566" s="38"/>
    </row>
    <row r="7567" spans="1:12" x14ac:dyDescent="0.25">
      <c r="A7567" s="35"/>
      <c r="B7567" s="36"/>
      <c r="C7567" s="36"/>
      <c r="D7567" s="36"/>
      <c r="E7567" s="36"/>
      <c r="F7567" s="36"/>
      <c r="G7567" s="36"/>
      <c r="H7567" s="36"/>
      <c r="I7567" s="37"/>
      <c r="J7567" s="36"/>
      <c r="K7567" s="38"/>
      <c r="L7567" s="38"/>
    </row>
    <row r="7568" spans="1:12" x14ac:dyDescent="0.25">
      <c r="A7568" s="35"/>
      <c r="B7568" s="36"/>
      <c r="C7568" s="36"/>
      <c r="D7568" s="36"/>
      <c r="E7568" s="36"/>
      <c r="F7568" s="36"/>
      <c r="G7568" s="36"/>
      <c r="H7568" s="36"/>
      <c r="I7568" s="37"/>
      <c r="J7568" s="36"/>
      <c r="K7568" s="38"/>
      <c r="L7568" s="38"/>
    </row>
    <row r="7569" spans="1:12" x14ac:dyDescent="0.25">
      <c r="A7569" s="35"/>
      <c r="B7569" s="36"/>
      <c r="C7569" s="36"/>
      <c r="D7569" s="36"/>
      <c r="E7569" s="36"/>
      <c r="F7569" s="36"/>
      <c r="G7569" s="36"/>
      <c r="H7569" s="36"/>
      <c r="I7569" s="37"/>
      <c r="J7569" s="36"/>
      <c r="K7569" s="38"/>
      <c r="L7569" s="38"/>
    </row>
    <row r="7570" spans="1:12" x14ac:dyDescent="0.25">
      <c r="A7570" s="35"/>
      <c r="B7570" s="36"/>
      <c r="C7570" s="36"/>
      <c r="D7570" s="36"/>
      <c r="E7570" s="36"/>
      <c r="F7570" s="36"/>
      <c r="G7570" s="36"/>
      <c r="H7570" s="36"/>
      <c r="I7570" s="37"/>
      <c r="J7570" s="36"/>
      <c r="K7570" s="38"/>
      <c r="L7570" s="38"/>
    </row>
    <row r="7571" spans="1:12" x14ac:dyDescent="0.25">
      <c r="A7571" s="35"/>
      <c r="B7571" s="36"/>
      <c r="C7571" s="36"/>
      <c r="D7571" s="36"/>
      <c r="E7571" s="36"/>
      <c r="F7571" s="36"/>
      <c r="G7571" s="36"/>
      <c r="H7571" s="36"/>
      <c r="I7571" s="37"/>
      <c r="J7571" s="36"/>
      <c r="K7571" s="38"/>
      <c r="L7571" s="38"/>
    </row>
    <row r="7572" spans="1:12" x14ac:dyDescent="0.25">
      <c r="A7572" s="35"/>
      <c r="B7572" s="36"/>
      <c r="C7572" s="36"/>
      <c r="D7572" s="36"/>
      <c r="E7572" s="36"/>
      <c r="F7572" s="36"/>
      <c r="G7572" s="36"/>
      <c r="H7572" s="36"/>
      <c r="I7572" s="37"/>
      <c r="J7572" s="36"/>
      <c r="K7572" s="38"/>
      <c r="L7572" s="38"/>
    </row>
    <row r="7573" spans="1:12" x14ac:dyDescent="0.25">
      <c r="A7573" s="35"/>
      <c r="B7573" s="36"/>
      <c r="C7573" s="36"/>
      <c r="D7573" s="36"/>
      <c r="E7573" s="36"/>
      <c r="F7573" s="36"/>
      <c r="G7573" s="36"/>
      <c r="H7573" s="36"/>
      <c r="I7573" s="37"/>
      <c r="J7573" s="36"/>
      <c r="K7573" s="38"/>
      <c r="L7573" s="38"/>
    </row>
    <row r="7574" spans="1:12" x14ac:dyDescent="0.25">
      <c r="A7574" s="35"/>
      <c r="B7574" s="36"/>
      <c r="C7574" s="36"/>
      <c r="D7574" s="36"/>
      <c r="E7574" s="36"/>
      <c r="F7574" s="36"/>
      <c r="G7574" s="36"/>
      <c r="H7574" s="36"/>
      <c r="I7574" s="37"/>
      <c r="J7574" s="36"/>
      <c r="K7574" s="38"/>
      <c r="L7574" s="38"/>
    </row>
    <row r="7575" spans="1:12" x14ac:dyDescent="0.25">
      <c r="A7575" s="35"/>
      <c r="B7575" s="36"/>
      <c r="C7575" s="36"/>
      <c r="D7575" s="36"/>
      <c r="E7575" s="36"/>
      <c r="F7575" s="36"/>
      <c r="G7575" s="36"/>
      <c r="H7575" s="36"/>
      <c r="I7575" s="37"/>
      <c r="J7575" s="36"/>
      <c r="K7575" s="38"/>
      <c r="L7575" s="38"/>
    </row>
    <row r="7576" spans="1:12" x14ac:dyDescent="0.25">
      <c r="A7576" s="35"/>
      <c r="B7576" s="36"/>
      <c r="C7576" s="36"/>
      <c r="D7576" s="36"/>
      <c r="E7576" s="36"/>
      <c r="F7576" s="36"/>
      <c r="G7576" s="36"/>
      <c r="H7576" s="36"/>
      <c r="I7576" s="37"/>
      <c r="J7576" s="36"/>
      <c r="K7576" s="38"/>
      <c r="L7576" s="38"/>
    </row>
    <row r="7577" spans="1:12" x14ac:dyDescent="0.25">
      <c r="A7577" s="35"/>
      <c r="B7577" s="36"/>
      <c r="C7577" s="36"/>
      <c r="D7577" s="36"/>
      <c r="E7577" s="36"/>
      <c r="F7577" s="36"/>
      <c r="G7577" s="36"/>
      <c r="H7577" s="36"/>
      <c r="I7577" s="37"/>
      <c r="J7577" s="36"/>
      <c r="K7577" s="38"/>
      <c r="L7577" s="38"/>
    </row>
    <row r="7578" spans="1:12" x14ac:dyDescent="0.25">
      <c r="A7578" s="35"/>
      <c r="B7578" s="36"/>
      <c r="C7578" s="36"/>
      <c r="D7578" s="36"/>
      <c r="E7578" s="36"/>
      <c r="F7578" s="36"/>
      <c r="G7578" s="36"/>
      <c r="H7578" s="36"/>
      <c r="I7578" s="37"/>
      <c r="J7578" s="36"/>
      <c r="K7578" s="38"/>
      <c r="L7578" s="38"/>
    </row>
    <row r="7579" spans="1:12" x14ac:dyDescent="0.25">
      <c r="A7579" s="35"/>
      <c r="B7579" s="36"/>
      <c r="C7579" s="36"/>
      <c r="D7579" s="36"/>
      <c r="E7579" s="36"/>
      <c r="F7579" s="36"/>
      <c r="G7579" s="36"/>
      <c r="H7579" s="36"/>
      <c r="I7579" s="37"/>
      <c r="J7579" s="36"/>
      <c r="K7579" s="38"/>
      <c r="L7579" s="38"/>
    </row>
    <row r="7580" spans="1:12" x14ac:dyDescent="0.25">
      <c r="A7580" s="35"/>
      <c r="B7580" s="36"/>
      <c r="C7580" s="36"/>
      <c r="D7580" s="36"/>
      <c r="E7580" s="36"/>
      <c r="F7580" s="36"/>
      <c r="G7580" s="36"/>
      <c r="H7580" s="36"/>
      <c r="I7580" s="37"/>
      <c r="J7580" s="36"/>
      <c r="K7580" s="38"/>
      <c r="L7580" s="38"/>
    </row>
    <row r="7581" spans="1:12" x14ac:dyDescent="0.25">
      <c r="A7581" s="35"/>
      <c r="B7581" s="36"/>
      <c r="C7581" s="36"/>
      <c r="D7581" s="36"/>
      <c r="E7581" s="36"/>
      <c r="F7581" s="36"/>
      <c r="G7581" s="36"/>
      <c r="H7581" s="36"/>
      <c r="I7581" s="37"/>
      <c r="J7581" s="36"/>
      <c r="K7581" s="38"/>
      <c r="L7581" s="38"/>
    </row>
    <row r="7582" spans="1:12" x14ac:dyDescent="0.25">
      <c r="A7582" s="35"/>
      <c r="B7582" s="36"/>
      <c r="C7582" s="36"/>
      <c r="D7582" s="36"/>
      <c r="E7582" s="36"/>
      <c r="F7582" s="36"/>
      <c r="G7582" s="36"/>
      <c r="H7582" s="36"/>
      <c r="I7582" s="37"/>
      <c r="J7582" s="36"/>
      <c r="K7582" s="38"/>
      <c r="L7582" s="38"/>
    </row>
    <row r="7583" spans="1:12" x14ac:dyDescent="0.25">
      <c r="A7583" s="35"/>
      <c r="B7583" s="36"/>
      <c r="C7583" s="36"/>
      <c r="D7583" s="36"/>
      <c r="E7583" s="36"/>
      <c r="F7583" s="36"/>
      <c r="G7583" s="36"/>
      <c r="H7583" s="36"/>
      <c r="I7583" s="37"/>
      <c r="J7583" s="36"/>
      <c r="K7583" s="38"/>
      <c r="L7583" s="38"/>
    </row>
    <row r="7584" spans="1:12" x14ac:dyDescent="0.25">
      <c r="A7584" s="35"/>
      <c r="B7584" s="36"/>
      <c r="C7584" s="36"/>
      <c r="D7584" s="36"/>
      <c r="E7584" s="36"/>
      <c r="F7584" s="36"/>
      <c r="G7584" s="36"/>
      <c r="H7584" s="36"/>
      <c r="I7584" s="37"/>
      <c r="J7584" s="36"/>
      <c r="K7584" s="38"/>
      <c r="L7584" s="38"/>
    </row>
    <row r="7585" spans="1:12" x14ac:dyDescent="0.25">
      <c r="A7585" s="35"/>
      <c r="B7585" s="36"/>
      <c r="C7585" s="36"/>
      <c r="D7585" s="36"/>
      <c r="E7585" s="36"/>
      <c r="F7585" s="36"/>
      <c r="G7585" s="36"/>
      <c r="H7585" s="36"/>
      <c r="I7585" s="37"/>
      <c r="J7585" s="36"/>
      <c r="K7585" s="38"/>
      <c r="L7585" s="38"/>
    </row>
    <row r="7586" spans="1:12" x14ac:dyDescent="0.25">
      <c r="A7586" s="35"/>
      <c r="B7586" s="36"/>
      <c r="C7586" s="36"/>
      <c r="D7586" s="36"/>
      <c r="E7586" s="36"/>
      <c r="F7586" s="36"/>
      <c r="G7586" s="36"/>
      <c r="H7586" s="36"/>
      <c r="I7586" s="37"/>
      <c r="J7586" s="36"/>
      <c r="K7586" s="38"/>
      <c r="L7586" s="38"/>
    </row>
    <row r="7587" spans="1:12" x14ac:dyDescent="0.25">
      <c r="A7587" s="35"/>
      <c r="B7587" s="36"/>
      <c r="C7587" s="36"/>
      <c r="D7587" s="36"/>
      <c r="E7587" s="36"/>
      <c r="F7587" s="36"/>
      <c r="G7587" s="36"/>
      <c r="H7587" s="36"/>
      <c r="I7587" s="37"/>
      <c r="J7587" s="36"/>
      <c r="K7587" s="38"/>
      <c r="L7587" s="38"/>
    </row>
    <row r="7588" spans="1:12" x14ac:dyDescent="0.25">
      <c r="A7588" s="35"/>
      <c r="B7588" s="36"/>
      <c r="C7588" s="36"/>
      <c r="D7588" s="36"/>
      <c r="E7588" s="36"/>
      <c r="F7588" s="36"/>
      <c r="G7588" s="36"/>
      <c r="H7588" s="36"/>
      <c r="I7588" s="37"/>
      <c r="J7588" s="36"/>
      <c r="K7588" s="38"/>
      <c r="L7588" s="38"/>
    </row>
    <row r="7589" spans="1:12" x14ac:dyDescent="0.25">
      <c r="A7589" s="35"/>
      <c r="B7589" s="36"/>
      <c r="C7589" s="36"/>
      <c r="D7589" s="36"/>
      <c r="E7589" s="36"/>
      <c r="F7589" s="36"/>
      <c r="G7589" s="36"/>
      <c r="H7589" s="36"/>
      <c r="I7589" s="37"/>
      <c r="J7589" s="36"/>
      <c r="K7589" s="38"/>
      <c r="L7589" s="38"/>
    </row>
    <row r="7590" spans="1:12" x14ac:dyDescent="0.25">
      <c r="A7590" s="35"/>
      <c r="B7590" s="36"/>
      <c r="C7590" s="36"/>
      <c r="D7590" s="36"/>
      <c r="E7590" s="36"/>
      <c r="F7590" s="36"/>
      <c r="G7590" s="36"/>
      <c r="H7590" s="36"/>
      <c r="I7590" s="37"/>
      <c r="J7590" s="36"/>
      <c r="K7590" s="38"/>
      <c r="L7590" s="38"/>
    </row>
    <row r="7591" spans="1:12" x14ac:dyDescent="0.25">
      <c r="A7591" s="35"/>
      <c r="B7591" s="36"/>
      <c r="C7591" s="36"/>
      <c r="D7591" s="36"/>
      <c r="E7591" s="36"/>
      <c r="F7591" s="36"/>
      <c r="G7591" s="36"/>
      <c r="H7591" s="36"/>
      <c r="I7591" s="37"/>
      <c r="J7591" s="36"/>
      <c r="K7591" s="38"/>
      <c r="L7591" s="38"/>
    </row>
    <row r="7592" spans="1:12" x14ac:dyDescent="0.25">
      <c r="A7592" s="35"/>
      <c r="B7592" s="36"/>
      <c r="C7592" s="36"/>
      <c r="D7592" s="36"/>
      <c r="E7592" s="36"/>
      <c r="F7592" s="36"/>
      <c r="G7592" s="36"/>
      <c r="H7592" s="36"/>
      <c r="I7592" s="37"/>
      <c r="J7592" s="36"/>
      <c r="K7592" s="38"/>
      <c r="L7592" s="38"/>
    </row>
    <row r="7593" spans="1:12" x14ac:dyDescent="0.25">
      <c r="A7593" s="35"/>
      <c r="B7593" s="36"/>
      <c r="C7593" s="36"/>
      <c r="D7593" s="36"/>
      <c r="E7593" s="36"/>
      <c r="F7593" s="36"/>
      <c r="G7593" s="36"/>
      <c r="H7593" s="36"/>
      <c r="I7593" s="37"/>
      <c r="J7593" s="36"/>
      <c r="K7593" s="38"/>
      <c r="L7593" s="38"/>
    </row>
    <row r="7594" spans="1:12" x14ac:dyDescent="0.25">
      <c r="A7594" s="35"/>
      <c r="B7594" s="36"/>
      <c r="C7594" s="36"/>
      <c r="D7594" s="36"/>
      <c r="E7594" s="36"/>
      <c r="F7594" s="36"/>
      <c r="G7594" s="36"/>
      <c r="H7594" s="36"/>
      <c r="I7594" s="37"/>
      <c r="J7594" s="36"/>
      <c r="K7594" s="38"/>
      <c r="L7594" s="38"/>
    </row>
    <row r="7595" spans="1:12" x14ac:dyDescent="0.25">
      <c r="A7595" s="35"/>
      <c r="B7595" s="36"/>
      <c r="C7595" s="36"/>
      <c r="D7595" s="36"/>
      <c r="E7595" s="36"/>
      <c r="F7595" s="36"/>
      <c r="G7595" s="36"/>
      <c r="H7595" s="36"/>
      <c r="I7595" s="37"/>
      <c r="J7595" s="36"/>
      <c r="K7595" s="38"/>
      <c r="L7595" s="38"/>
    </row>
    <row r="7596" spans="1:12" x14ac:dyDescent="0.25">
      <c r="A7596" s="35"/>
      <c r="B7596" s="36"/>
      <c r="C7596" s="36"/>
      <c r="D7596" s="36"/>
      <c r="E7596" s="36"/>
      <c r="F7596" s="36"/>
      <c r="G7596" s="36"/>
      <c r="H7596" s="36"/>
      <c r="I7596" s="37"/>
      <c r="J7596" s="36"/>
      <c r="K7596" s="38"/>
      <c r="L7596" s="38"/>
    </row>
    <row r="7597" spans="1:12" x14ac:dyDescent="0.25">
      <c r="A7597" s="35"/>
      <c r="B7597" s="36"/>
      <c r="C7597" s="36"/>
      <c r="D7597" s="36"/>
      <c r="E7597" s="36"/>
      <c r="F7597" s="36"/>
      <c r="G7597" s="36"/>
      <c r="H7597" s="36"/>
      <c r="I7597" s="37"/>
      <c r="J7597" s="36"/>
      <c r="K7597" s="38"/>
      <c r="L7597" s="38"/>
    </row>
    <row r="7598" spans="1:12" x14ac:dyDescent="0.25">
      <c r="A7598" s="35"/>
      <c r="B7598" s="36"/>
      <c r="C7598" s="36"/>
      <c r="D7598" s="36"/>
      <c r="E7598" s="36"/>
      <c r="F7598" s="36"/>
      <c r="G7598" s="36"/>
      <c r="H7598" s="36"/>
      <c r="I7598" s="37"/>
      <c r="J7598" s="36"/>
      <c r="K7598" s="38"/>
      <c r="L7598" s="38"/>
    </row>
    <row r="7599" spans="1:12" x14ac:dyDescent="0.25">
      <c r="A7599" s="35"/>
      <c r="B7599" s="36"/>
      <c r="C7599" s="36"/>
      <c r="D7599" s="36"/>
      <c r="E7599" s="36"/>
      <c r="F7599" s="36"/>
      <c r="G7599" s="36"/>
      <c r="H7599" s="36"/>
      <c r="I7599" s="37"/>
      <c r="J7599" s="36"/>
      <c r="K7599" s="38"/>
      <c r="L7599" s="38"/>
    </row>
    <row r="7600" spans="1:12" x14ac:dyDescent="0.25">
      <c r="A7600" s="35"/>
      <c r="B7600" s="36"/>
      <c r="C7600" s="36"/>
      <c r="D7600" s="36"/>
      <c r="E7600" s="36"/>
      <c r="F7600" s="36"/>
      <c r="G7600" s="36"/>
      <c r="H7600" s="36"/>
      <c r="I7600" s="37"/>
      <c r="J7600" s="36"/>
      <c r="K7600" s="38"/>
      <c r="L7600" s="38"/>
    </row>
    <row r="7601" spans="1:12" x14ac:dyDescent="0.25">
      <c r="A7601" s="35"/>
      <c r="B7601" s="36"/>
      <c r="C7601" s="36"/>
      <c r="D7601" s="36"/>
      <c r="E7601" s="36"/>
      <c r="F7601" s="36"/>
      <c r="G7601" s="36"/>
      <c r="H7601" s="36"/>
      <c r="I7601" s="37"/>
      <c r="J7601" s="36"/>
      <c r="K7601" s="38"/>
      <c r="L7601" s="38"/>
    </row>
    <row r="7602" spans="1:12" x14ac:dyDescent="0.25">
      <c r="A7602" s="35"/>
      <c r="B7602" s="36"/>
      <c r="C7602" s="36"/>
      <c r="D7602" s="36"/>
      <c r="E7602" s="36"/>
      <c r="F7602" s="36"/>
      <c r="G7602" s="36"/>
      <c r="H7602" s="36"/>
      <c r="I7602" s="37"/>
      <c r="J7602" s="36"/>
      <c r="K7602" s="38"/>
      <c r="L7602" s="38"/>
    </row>
    <row r="7603" spans="1:12" x14ac:dyDescent="0.25">
      <c r="A7603" s="35"/>
      <c r="B7603" s="36"/>
      <c r="C7603" s="36"/>
      <c r="D7603" s="36"/>
      <c r="E7603" s="36"/>
      <c r="F7603" s="36"/>
      <c r="G7603" s="36"/>
      <c r="H7603" s="36"/>
      <c r="I7603" s="37"/>
      <c r="J7603" s="36"/>
      <c r="K7603" s="38"/>
      <c r="L7603" s="38"/>
    </row>
    <row r="7604" spans="1:12" x14ac:dyDescent="0.25">
      <c r="A7604" s="35"/>
      <c r="B7604" s="36"/>
      <c r="C7604" s="36"/>
      <c r="D7604" s="36"/>
      <c r="E7604" s="36"/>
      <c r="F7604" s="36"/>
      <c r="G7604" s="36"/>
      <c r="H7604" s="36"/>
      <c r="I7604" s="37"/>
      <c r="J7604" s="36"/>
      <c r="K7604" s="38"/>
      <c r="L7604" s="38"/>
    </row>
    <row r="7605" spans="1:12" x14ac:dyDescent="0.25">
      <c r="A7605" s="35"/>
      <c r="B7605" s="36"/>
      <c r="C7605" s="36"/>
      <c r="D7605" s="36"/>
      <c r="E7605" s="36"/>
      <c r="F7605" s="36"/>
      <c r="G7605" s="36"/>
      <c r="H7605" s="36"/>
      <c r="I7605" s="37"/>
      <c r="J7605" s="36"/>
      <c r="K7605" s="38"/>
      <c r="L7605" s="38"/>
    </row>
    <row r="7606" spans="1:12" x14ac:dyDescent="0.25">
      <c r="A7606" s="35"/>
      <c r="B7606" s="36"/>
      <c r="C7606" s="36"/>
      <c r="D7606" s="36"/>
      <c r="E7606" s="36"/>
      <c r="F7606" s="36"/>
      <c r="G7606" s="36"/>
      <c r="H7606" s="36"/>
      <c r="I7606" s="37"/>
      <c r="J7606" s="36"/>
      <c r="K7606" s="38"/>
      <c r="L7606" s="38"/>
    </row>
    <row r="7607" spans="1:12" x14ac:dyDescent="0.25">
      <c r="A7607" s="35"/>
      <c r="B7607" s="36"/>
      <c r="C7607" s="36"/>
      <c r="D7607" s="36"/>
      <c r="E7607" s="36"/>
      <c r="F7607" s="36"/>
      <c r="G7607" s="36"/>
      <c r="H7607" s="36"/>
      <c r="I7607" s="37"/>
      <c r="J7607" s="36"/>
      <c r="K7607" s="38"/>
      <c r="L7607" s="38"/>
    </row>
    <row r="7608" spans="1:12" x14ac:dyDescent="0.25">
      <c r="A7608" s="35"/>
      <c r="B7608" s="36"/>
      <c r="C7608" s="36"/>
      <c r="D7608" s="36"/>
      <c r="E7608" s="36"/>
      <c r="F7608" s="36"/>
      <c r="G7608" s="36"/>
      <c r="H7608" s="36"/>
      <c r="I7608" s="37"/>
      <c r="J7608" s="36"/>
      <c r="K7608" s="38"/>
      <c r="L7608" s="38"/>
    </row>
    <row r="7609" spans="1:12" x14ac:dyDescent="0.25">
      <c r="A7609" s="35"/>
      <c r="B7609" s="36"/>
      <c r="C7609" s="36"/>
      <c r="D7609" s="36"/>
      <c r="E7609" s="36"/>
      <c r="F7609" s="36"/>
      <c r="G7609" s="36"/>
      <c r="H7609" s="36"/>
      <c r="I7609" s="37"/>
      <c r="J7609" s="36"/>
      <c r="K7609" s="38"/>
      <c r="L7609" s="38"/>
    </row>
    <row r="7610" spans="1:12" x14ac:dyDescent="0.25">
      <c r="A7610" s="35"/>
      <c r="B7610" s="36"/>
      <c r="C7610" s="36"/>
      <c r="D7610" s="36"/>
      <c r="E7610" s="36"/>
      <c r="F7610" s="36"/>
      <c r="G7610" s="36"/>
      <c r="H7610" s="36"/>
      <c r="I7610" s="37"/>
      <c r="J7610" s="36"/>
      <c r="K7610" s="38"/>
      <c r="L7610" s="38"/>
    </row>
    <row r="7611" spans="1:12" x14ac:dyDescent="0.25">
      <c r="A7611" s="35"/>
      <c r="B7611" s="36"/>
      <c r="C7611" s="36"/>
      <c r="D7611" s="36"/>
      <c r="E7611" s="36"/>
      <c r="F7611" s="36"/>
      <c r="G7611" s="36"/>
      <c r="H7611" s="36"/>
      <c r="I7611" s="37"/>
      <c r="J7611" s="36"/>
      <c r="K7611" s="38"/>
      <c r="L7611" s="38"/>
    </row>
    <row r="7612" spans="1:12" x14ac:dyDescent="0.25">
      <c r="A7612" s="35"/>
      <c r="B7612" s="36"/>
      <c r="C7612" s="36"/>
      <c r="D7612" s="36"/>
      <c r="E7612" s="36"/>
      <c r="F7612" s="36"/>
      <c r="G7612" s="36"/>
      <c r="H7612" s="36"/>
      <c r="I7612" s="37"/>
      <c r="J7612" s="36"/>
      <c r="K7612" s="38"/>
      <c r="L7612" s="38"/>
    </row>
    <row r="7613" spans="1:12" x14ac:dyDescent="0.25">
      <c r="A7613" s="35"/>
      <c r="B7613" s="36"/>
      <c r="C7613" s="36"/>
      <c r="D7613" s="36"/>
      <c r="E7613" s="36"/>
      <c r="F7613" s="36"/>
      <c r="G7613" s="36"/>
      <c r="H7613" s="36"/>
      <c r="I7613" s="37"/>
      <c r="J7613" s="36"/>
      <c r="K7613" s="38"/>
      <c r="L7613" s="38"/>
    </row>
    <row r="7614" spans="1:12" x14ac:dyDescent="0.25">
      <c r="A7614" s="35"/>
      <c r="B7614" s="36"/>
      <c r="C7614" s="36"/>
      <c r="D7614" s="36"/>
      <c r="E7614" s="36"/>
      <c r="F7614" s="36"/>
      <c r="G7614" s="36"/>
      <c r="H7614" s="36"/>
      <c r="I7614" s="37"/>
      <c r="J7614" s="36"/>
      <c r="K7614" s="38"/>
      <c r="L7614" s="38"/>
    </row>
    <row r="7615" spans="1:12" x14ac:dyDescent="0.25">
      <c r="A7615" s="35"/>
      <c r="B7615" s="36"/>
      <c r="C7615" s="36"/>
      <c r="D7615" s="36"/>
      <c r="E7615" s="36"/>
      <c r="F7615" s="36"/>
      <c r="G7615" s="36"/>
      <c r="H7615" s="36"/>
      <c r="I7615" s="37"/>
      <c r="J7615" s="36"/>
      <c r="K7615" s="38"/>
      <c r="L7615" s="38"/>
    </row>
    <row r="7616" spans="1:12" x14ac:dyDescent="0.25">
      <c r="A7616" s="35"/>
      <c r="B7616" s="36"/>
      <c r="C7616" s="36"/>
      <c r="D7616" s="36"/>
      <c r="E7616" s="36"/>
      <c r="F7616" s="36"/>
      <c r="G7616" s="36"/>
      <c r="H7616" s="36"/>
      <c r="I7616" s="37"/>
      <c r="J7616" s="36"/>
      <c r="K7616" s="38"/>
      <c r="L7616" s="38"/>
    </row>
    <row r="7617" spans="1:12" x14ac:dyDescent="0.25">
      <c r="A7617" s="35"/>
      <c r="B7617" s="36"/>
      <c r="C7617" s="36"/>
      <c r="D7617" s="36"/>
      <c r="E7617" s="36"/>
      <c r="F7617" s="36"/>
      <c r="G7617" s="36"/>
      <c r="H7617" s="36"/>
      <c r="I7617" s="37"/>
      <c r="J7617" s="36"/>
      <c r="K7617" s="38"/>
      <c r="L7617" s="38"/>
    </row>
    <row r="7618" spans="1:12" x14ac:dyDescent="0.25">
      <c r="A7618" s="35"/>
      <c r="B7618" s="36"/>
      <c r="C7618" s="36"/>
      <c r="D7618" s="36"/>
      <c r="E7618" s="36"/>
      <c r="F7618" s="36"/>
      <c r="G7618" s="36"/>
      <c r="H7618" s="36"/>
      <c r="I7618" s="37"/>
      <c r="J7618" s="36"/>
      <c r="K7618" s="38"/>
      <c r="L7618" s="38"/>
    </row>
    <row r="7619" spans="1:12" x14ac:dyDescent="0.25">
      <c r="A7619" s="35"/>
      <c r="B7619" s="36"/>
      <c r="C7619" s="36"/>
      <c r="D7619" s="36"/>
      <c r="E7619" s="36"/>
      <c r="F7619" s="36"/>
      <c r="G7619" s="36"/>
      <c r="H7619" s="36"/>
      <c r="I7619" s="37"/>
      <c r="J7619" s="36"/>
      <c r="K7619" s="38"/>
      <c r="L7619" s="38"/>
    </row>
    <row r="7620" spans="1:12" x14ac:dyDescent="0.25">
      <c r="A7620" s="35"/>
      <c r="B7620" s="36"/>
      <c r="C7620" s="36"/>
      <c r="D7620" s="36"/>
      <c r="E7620" s="36"/>
      <c r="F7620" s="36"/>
      <c r="G7620" s="36"/>
      <c r="H7620" s="36"/>
      <c r="I7620" s="37"/>
      <c r="J7620" s="36"/>
      <c r="K7620" s="38"/>
      <c r="L7620" s="38"/>
    </row>
    <row r="7621" spans="1:12" x14ac:dyDescent="0.25">
      <c r="A7621" s="35"/>
      <c r="B7621" s="36"/>
      <c r="C7621" s="36"/>
      <c r="D7621" s="36"/>
      <c r="E7621" s="36"/>
      <c r="F7621" s="36"/>
      <c r="G7621" s="36"/>
      <c r="H7621" s="36"/>
      <c r="I7621" s="37"/>
      <c r="J7621" s="36"/>
      <c r="K7621" s="38"/>
      <c r="L7621" s="38"/>
    </row>
    <row r="7622" spans="1:12" x14ac:dyDescent="0.25">
      <c r="A7622" s="35"/>
      <c r="B7622" s="36"/>
      <c r="C7622" s="36"/>
      <c r="D7622" s="36"/>
      <c r="E7622" s="36"/>
      <c r="F7622" s="36"/>
      <c r="G7622" s="36"/>
      <c r="H7622" s="36"/>
      <c r="I7622" s="37"/>
      <c r="J7622" s="36"/>
      <c r="K7622" s="38"/>
      <c r="L7622" s="38"/>
    </row>
    <row r="7623" spans="1:12" x14ac:dyDescent="0.25">
      <c r="A7623" s="35"/>
      <c r="B7623" s="36"/>
      <c r="C7623" s="36"/>
      <c r="D7623" s="36"/>
      <c r="E7623" s="36"/>
      <c r="F7623" s="36"/>
      <c r="G7623" s="36"/>
      <c r="H7623" s="36"/>
      <c r="I7623" s="37"/>
      <c r="J7623" s="36"/>
      <c r="K7623" s="38"/>
      <c r="L7623" s="38"/>
    </row>
    <row r="7624" spans="1:12" x14ac:dyDescent="0.25">
      <c r="A7624" s="35"/>
      <c r="B7624" s="36"/>
      <c r="C7624" s="36"/>
      <c r="D7624" s="36"/>
      <c r="E7624" s="36"/>
      <c r="F7624" s="36"/>
      <c r="G7624" s="36"/>
      <c r="H7624" s="36"/>
      <c r="I7624" s="37"/>
      <c r="J7624" s="36"/>
      <c r="K7624" s="38"/>
      <c r="L7624" s="38"/>
    </row>
    <row r="7625" spans="1:12" x14ac:dyDescent="0.25">
      <c r="A7625" s="35"/>
      <c r="B7625" s="36"/>
      <c r="C7625" s="36"/>
      <c r="D7625" s="36"/>
      <c r="E7625" s="36"/>
      <c r="F7625" s="36"/>
      <c r="G7625" s="36"/>
      <c r="H7625" s="36"/>
      <c r="I7625" s="37"/>
      <c r="J7625" s="36"/>
      <c r="K7625" s="38"/>
      <c r="L7625" s="38"/>
    </row>
    <row r="7626" spans="1:12" x14ac:dyDescent="0.25">
      <c r="A7626" s="35"/>
      <c r="B7626" s="36"/>
      <c r="C7626" s="36"/>
      <c r="D7626" s="36"/>
      <c r="E7626" s="36"/>
      <c r="F7626" s="36"/>
      <c r="G7626" s="36"/>
      <c r="H7626" s="36"/>
      <c r="I7626" s="37"/>
      <c r="J7626" s="36"/>
      <c r="K7626" s="38"/>
      <c r="L7626" s="38"/>
    </row>
    <row r="7627" spans="1:12" x14ac:dyDescent="0.25">
      <c r="A7627" s="35"/>
      <c r="B7627" s="36"/>
      <c r="C7627" s="36"/>
      <c r="D7627" s="36"/>
      <c r="E7627" s="36"/>
      <c r="F7627" s="36"/>
      <c r="G7627" s="36"/>
      <c r="H7627" s="36"/>
      <c r="I7627" s="37"/>
      <c r="J7627" s="36"/>
      <c r="K7627" s="38"/>
      <c r="L7627" s="38"/>
    </row>
    <row r="7628" spans="1:12" x14ac:dyDescent="0.25">
      <c r="A7628" s="35"/>
      <c r="B7628" s="36"/>
      <c r="C7628" s="36"/>
      <c r="D7628" s="36"/>
      <c r="E7628" s="36"/>
      <c r="F7628" s="36"/>
      <c r="G7628" s="36"/>
      <c r="H7628" s="36"/>
      <c r="I7628" s="37"/>
      <c r="J7628" s="36"/>
      <c r="K7628" s="38"/>
      <c r="L7628" s="38"/>
    </row>
    <row r="7629" spans="1:12" x14ac:dyDescent="0.25">
      <c r="A7629" s="35"/>
      <c r="B7629" s="36"/>
      <c r="C7629" s="36"/>
      <c r="D7629" s="36"/>
      <c r="E7629" s="36"/>
      <c r="F7629" s="36"/>
      <c r="G7629" s="36"/>
      <c r="H7629" s="36"/>
      <c r="I7629" s="37"/>
      <c r="J7629" s="36"/>
      <c r="K7629" s="38"/>
      <c r="L7629" s="38"/>
    </row>
    <row r="7630" spans="1:12" x14ac:dyDescent="0.25">
      <c r="A7630" s="35"/>
      <c r="B7630" s="36"/>
      <c r="C7630" s="36"/>
      <c r="D7630" s="36"/>
      <c r="E7630" s="36"/>
      <c r="F7630" s="36"/>
      <c r="G7630" s="36"/>
      <c r="H7630" s="36"/>
      <c r="I7630" s="37"/>
      <c r="J7630" s="36"/>
      <c r="K7630" s="38"/>
      <c r="L7630" s="38"/>
    </row>
    <row r="7631" spans="1:12" x14ac:dyDescent="0.25">
      <c r="A7631" s="35"/>
      <c r="B7631" s="36"/>
      <c r="C7631" s="36"/>
      <c r="D7631" s="36"/>
      <c r="E7631" s="36"/>
      <c r="F7631" s="36"/>
      <c r="G7631" s="36"/>
      <c r="H7631" s="36"/>
      <c r="I7631" s="37"/>
      <c r="J7631" s="36"/>
      <c r="K7631" s="38"/>
      <c r="L7631" s="38"/>
    </row>
    <row r="7632" spans="1:12" x14ac:dyDescent="0.25">
      <c r="A7632" s="35"/>
      <c r="B7632" s="36"/>
      <c r="C7632" s="36"/>
      <c r="D7632" s="36"/>
      <c r="E7632" s="36"/>
      <c r="F7632" s="36"/>
      <c r="G7632" s="36"/>
      <c r="H7632" s="36"/>
      <c r="I7632" s="37"/>
      <c r="J7632" s="36"/>
      <c r="K7632" s="38"/>
      <c r="L7632" s="38"/>
    </row>
    <row r="7633" spans="1:12" x14ac:dyDescent="0.25">
      <c r="A7633" s="35"/>
      <c r="B7633" s="36"/>
      <c r="C7633" s="36"/>
      <c r="D7633" s="36"/>
      <c r="E7633" s="36"/>
      <c r="F7633" s="36"/>
      <c r="G7633" s="36"/>
      <c r="H7633" s="36"/>
      <c r="I7633" s="37"/>
      <c r="J7633" s="36"/>
      <c r="K7633" s="38"/>
      <c r="L7633" s="38"/>
    </row>
    <row r="7634" spans="1:12" x14ac:dyDescent="0.25">
      <c r="A7634" s="35"/>
      <c r="B7634" s="36"/>
      <c r="C7634" s="36"/>
      <c r="D7634" s="36"/>
      <c r="E7634" s="36"/>
      <c r="F7634" s="36"/>
      <c r="G7634" s="36"/>
      <c r="H7634" s="36"/>
      <c r="I7634" s="37"/>
      <c r="J7634" s="36"/>
      <c r="K7634" s="38"/>
      <c r="L7634" s="38"/>
    </row>
    <row r="7635" spans="1:12" x14ac:dyDescent="0.25">
      <c r="A7635" s="35"/>
      <c r="B7635" s="36"/>
      <c r="C7635" s="36"/>
      <c r="D7635" s="36"/>
      <c r="E7635" s="36"/>
      <c r="F7635" s="36"/>
      <c r="G7635" s="36"/>
      <c r="H7635" s="36"/>
      <c r="I7635" s="37"/>
      <c r="J7635" s="36"/>
      <c r="K7635" s="38"/>
      <c r="L7635" s="38"/>
    </row>
    <row r="7636" spans="1:12" x14ac:dyDescent="0.25">
      <c r="A7636" s="35"/>
      <c r="B7636" s="36"/>
      <c r="C7636" s="36"/>
      <c r="D7636" s="36"/>
      <c r="E7636" s="36"/>
      <c r="F7636" s="36"/>
      <c r="G7636" s="36"/>
      <c r="H7636" s="36"/>
      <c r="I7636" s="37"/>
      <c r="J7636" s="36"/>
      <c r="K7636" s="38"/>
      <c r="L7636" s="38"/>
    </row>
    <row r="7637" spans="1:12" x14ac:dyDescent="0.25">
      <c r="A7637" s="35"/>
      <c r="B7637" s="36"/>
      <c r="C7637" s="36"/>
      <c r="D7637" s="36"/>
      <c r="E7637" s="36"/>
      <c r="F7637" s="36"/>
      <c r="G7637" s="36"/>
      <c r="H7637" s="36"/>
      <c r="I7637" s="37"/>
      <c r="J7637" s="36"/>
      <c r="K7637" s="38"/>
      <c r="L7637" s="38"/>
    </row>
    <row r="7638" spans="1:12" x14ac:dyDescent="0.25">
      <c r="A7638" s="35"/>
      <c r="B7638" s="36"/>
      <c r="C7638" s="36"/>
      <c r="D7638" s="36"/>
      <c r="E7638" s="36"/>
      <c r="F7638" s="36"/>
      <c r="G7638" s="36"/>
      <c r="H7638" s="36"/>
      <c r="I7638" s="37"/>
      <c r="J7638" s="36"/>
      <c r="K7638" s="38"/>
      <c r="L7638" s="38"/>
    </row>
    <row r="7639" spans="1:12" x14ac:dyDescent="0.25">
      <c r="A7639" s="35"/>
      <c r="B7639" s="36"/>
      <c r="C7639" s="36"/>
      <c r="D7639" s="36"/>
      <c r="E7639" s="36"/>
      <c r="F7639" s="36"/>
      <c r="G7639" s="36"/>
      <c r="H7639" s="36"/>
      <c r="I7639" s="37"/>
      <c r="J7639" s="36"/>
      <c r="K7639" s="38"/>
      <c r="L7639" s="38"/>
    </row>
    <row r="7640" spans="1:12" x14ac:dyDescent="0.25">
      <c r="A7640" s="35"/>
      <c r="B7640" s="36"/>
      <c r="C7640" s="36"/>
      <c r="D7640" s="36"/>
      <c r="E7640" s="36"/>
      <c r="F7640" s="36"/>
      <c r="G7640" s="36"/>
      <c r="H7640" s="36"/>
      <c r="I7640" s="37"/>
      <c r="J7640" s="36"/>
      <c r="K7640" s="38"/>
      <c r="L7640" s="38"/>
    </row>
    <row r="7641" spans="1:12" x14ac:dyDescent="0.25">
      <c r="A7641" s="35"/>
      <c r="B7641" s="36"/>
      <c r="C7641" s="36"/>
      <c r="D7641" s="36"/>
      <c r="E7641" s="36"/>
      <c r="F7641" s="36"/>
      <c r="G7641" s="36"/>
      <c r="H7641" s="36"/>
      <c r="I7641" s="37"/>
      <c r="J7641" s="36"/>
      <c r="K7641" s="38"/>
      <c r="L7641" s="38"/>
    </row>
    <row r="7642" spans="1:12" x14ac:dyDescent="0.25">
      <c r="A7642" s="35"/>
      <c r="B7642" s="36"/>
      <c r="C7642" s="36"/>
      <c r="D7642" s="36"/>
      <c r="E7642" s="36"/>
      <c r="F7642" s="36"/>
      <c r="G7642" s="36"/>
      <c r="H7642" s="36"/>
      <c r="I7642" s="37"/>
      <c r="J7642" s="36"/>
      <c r="K7642" s="38"/>
      <c r="L7642" s="38"/>
    </row>
    <row r="7643" spans="1:12" x14ac:dyDescent="0.25">
      <c r="A7643" s="35"/>
      <c r="B7643" s="36"/>
      <c r="C7643" s="36"/>
      <c r="D7643" s="36"/>
      <c r="E7643" s="36"/>
      <c r="F7643" s="36"/>
      <c r="G7643" s="36"/>
      <c r="H7643" s="36"/>
      <c r="I7643" s="37"/>
      <c r="J7643" s="36"/>
      <c r="K7643" s="38"/>
      <c r="L7643" s="38"/>
    </row>
    <row r="7644" spans="1:12" x14ac:dyDescent="0.25">
      <c r="A7644" s="35"/>
      <c r="B7644" s="36"/>
      <c r="C7644" s="36"/>
      <c r="D7644" s="36"/>
      <c r="E7644" s="36"/>
      <c r="F7644" s="36"/>
      <c r="G7644" s="36"/>
      <c r="H7644" s="36"/>
      <c r="I7644" s="37"/>
      <c r="J7644" s="36"/>
      <c r="K7644" s="38"/>
      <c r="L7644" s="38"/>
    </row>
    <row r="7645" spans="1:12" x14ac:dyDescent="0.25">
      <c r="A7645" s="35"/>
      <c r="B7645" s="36"/>
      <c r="C7645" s="36"/>
      <c r="D7645" s="36"/>
      <c r="E7645" s="36"/>
      <c r="F7645" s="36"/>
      <c r="G7645" s="36"/>
      <c r="H7645" s="36"/>
      <c r="I7645" s="37"/>
      <c r="J7645" s="36"/>
      <c r="K7645" s="38"/>
      <c r="L7645" s="38"/>
    </row>
    <row r="7646" spans="1:12" x14ac:dyDescent="0.25">
      <c r="A7646" s="35"/>
      <c r="B7646" s="36"/>
      <c r="C7646" s="36"/>
      <c r="D7646" s="36"/>
      <c r="E7646" s="36"/>
      <c r="F7646" s="36"/>
      <c r="G7646" s="36"/>
      <c r="H7646" s="36"/>
      <c r="I7646" s="37"/>
      <c r="J7646" s="36"/>
      <c r="K7646" s="38"/>
      <c r="L7646" s="38"/>
    </row>
    <row r="7647" spans="1:12" x14ac:dyDescent="0.25">
      <c r="A7647" s="35"/>
      <c r="B7647" s="36"/>
      <c r="C7647" s="36"/>
      <c r="D7647" s="36"/>
      <c r="E7647" s="36"/>
      <c r="F7647" s="36"/>
      <c r="G7647" s="36"/>
      <c r="H7647" s="36"/>
      <c r="I7647" s="37"/>
      <c r="J7647" s="36"/>
      <c r="K7647" s="38"/>
      <c r="L7647" s="38"/>
    </row>
    <row r="7648" spans="1:12" x14ac:dyDescent="0.25">
      <c r="A7648" s="35"/>
      <c r="B7648" s="36"/>
      <c r="C7648" s="36"/>
      <c r="D7648" s="36"/>
      <c r="E7648" s="36"/>
      <c r="F7648" s="36"/>
      <c r="G7648" s="36"/>
      <c r="H7648" s="36"/>
      <c r="I7648" s="37"/>
      <c r="J7648" s="36"/>
      <c r="K7648" s="38"/>
      <c r="L7648" s="38"/>
    </row>
    <row r="7649" spans="1:12" x14ac:dyDescent="0.25">
      <c r="A7649" s="35"/>
      <c r="B7649" s="36"/>
      <c r="C7649" s="36"/>
      <c r="D7649" s="36"/>
      <c r="E7649" s="36"/>
      <c r="F7649" s="36"/>
      <c r="G7649" s="36"/>
      <c r="H7649" s="36"/>
      <c r="I7649" s="37"/>
      <c r="J7649" s="36"/>
      <c r="K7649" s="38"/>
      <c r="L7649" s="38"/>
    </row>
    <row r="7650" spans="1:12" x14ac:dyDescent="0.25">
      <c r="A7650" s="35"/>
      <c r="B7650" s="36"/>
      <c r="C7650" s="36"/>
      <c r="D7650" s="36"/>
      <c r="E7650" s="36"/>
      <c r="F7650" s="36"/>
      <c r="G7650" s="36"/>
      <c r="H7650" s="36"/>
      <c r="I7650" s="37"/>
      <c r="J7650" s="36"/>
      <c r="K7650" s="38"/>
      <c r="L7650" s="38"/>
    </row>
    <row r="7651" spans="1:12" x14ac:dyDescent="0.25">
      <c r="A7651" s="35"/>
      <c r="B7651" s="36"/>
      <c r="C7651" s="36"/>
      <c r="D7651" s="36"/>
      <c r="E7651" s="36"/>
      <c r="F7651" s="36"/>
      <c r="G7651" s="36"/>
      <c r="H7651" s="36"/>
      <c r="I7651" s="37"/>
      <c r="J7651" s="36"/>
      <c r="K7651" s="38"/>
      <c r="L7651" s="38"/>
    </row>
    <row r="7652" spans="1:12" x14ac:dyDescent="0.25">
      <c r="A7652" s="35"/>
      <c r="B7652" s="36"/>
      <c r="C7652" s="36"/>
      <c r="D7652" s="36"/>
      <c r="E7652" s="36"/>
      <c r="F7652" s="36"/>
      <c r="G7652" s="36"/>
      <c r="H7652" s="36"/>
      <c r="I7652" s="37"/>
      <c r="J7652" s="36"/>
      <c r="K7652" s="38"/>
      <c r="L7652" s="38"/>
    </row>
    <row r="7653" spans="1:12" x14ac:dyDescent="0.25">
      <c r="A7653" s="35"/>
      <c r="B7653" s="36"/>
      <c r="C7653" s="36"/>
      <c r="D7653" s="36"/>
      <c r="E7653" s="36"/>
      <c r="F7653" s="36"/>
      <c r="G7653" s="36"/>
      <c r="H7653" s="36"/>
      <c r="I7653" s="37"/>
      <c r="J7653" s="36"/>
      <c r="K7653" s="38"/>
      <c r="L7653" s="38"/>
    </row>
    <row r="7654" spans="1:12" x14ac:dyDescent="0.25">
      <c r="A7654" s="35"/>
      <c r="B7654" s="36"/>
      <c r="C7654" s="36"/>
      <c r="D7654" s="36"/>
      <c r="E7654" s="36"/>
      <c r="F7654" s="36"/>
      <c r="G7654" s="36"/>
      <c r="H7654" s="36"/>
      <c r="I7654" s="37"/>
      <c r="J7654" s="36"/>
      <c r="K7654" s="38"/>
      <c r="L7654" s="38"/>
    </row>
    <row r="7655" spans="1:12" x14ac:dyDescent="0.25">
      <c r="A7655" s="35"/>
      <c r="B7655" s="36"/>
      <c r="C7655" s="36"/>
      <c r="D7655" s="36"/>
      <c r="E7655" s="36"/>
      <c r="F7655" s="36"/>
      <c r="G7655" s="36"/>
      <c r="H7655" s="36"/>
      <c r="I7655" s="37"/>
      <c r="J7655" s="36"/>
      <c r="K7655" s="38"/>
      <c r="L7655" s="38"/>
    </row>
    <row r="7656" spans="1:12" x14ac:dyDescent="0.25">
      <c r="A7656" s="35"/>
      <c r="B7656" s="36"/>
      <c r="C7656" s="36"/>
      <c r="D7656" s="36"/>
      <c r="E7656" s="36"/>
      <c r="F7656" s="36"/>
      <c r="G7656" s="36"/>
      <c r="H7656" s="36"/>
      <c r="I7656" s="37"/>
      <c r="J7656" s="36"/>
      <c r="K7656" s="38"/>
      <c r="L7656" s="38"/>
    </row>
    <row r="7657" spans="1:12" x14ac:dyDescent="0.25">
      <c r="A7657" s="35"/>
      <c r="B7657" s="36"/>
      <c r="C7657" s="36"/>
      <c r="D7657" s="36"/>
      <c r="E7657" s="36"/>
      <c r="F7657" s="36"/>
      <c r="G7657" s="36"/>
      <c r="H7657" s="36"/>
      <c r="I7657" s="37"/>
      <c r="J7657" s="36"/>
      <c r="K7657" s="38"/>
      <c r="L7657" s="38"/>
    </row>
    <row r="7658" spans="1:12" x14ac:dyDescent="0.25">
      <c r="A7658" s="35"/>
      <c r="B7658" s="36"/>
      <c r="C7658" s="36"/>
      <c r="D7658" s="36"/>
      <c r="E7658" s="36"/>
      <c r="F7658" s="36"/>
      <c r="G7658" s="36"/>
      <c r="H7658" s="36"/>
      <c r="I7658" s="37"/>
      <c r="J7658" s="36"/>
      <c r="K7658" s="38"/>
      <c r="L7658" s="38"/>
    </row>
    <row r="7659" spans="1:12" x14ac:dyDescent="0.25">
      <c r="A7659" s="35"/>
      <c r="B7659" s="36"/>
      <c r="C7659" s="36"/>
      <c r="D7659" s="36"/>
      <c r="E7659" s="36"/>
      <c r="F7659" s="36"/>
      <c r="G7659" s="36"/>
      <c r="H7659" s="36"/>
      <c r="I7659" s="37"/>
      <c r="J7659" s="36"/>
      <c r="K7659" s="38"/>
      <c r="L7659" s="38"/>
    </row>
    <row r="7660" spans="1:12" x14ac:dyDescent="0.25">
      <c r="A7660" s="35"/>
      <c r="B7660" s="36"/>
      <c r="C7660" s="36"/>
      <c r="D7660" s="36"/>
      <c r="E7660" s="36"/>
      <c r="F7660" s="36"/>
      <c r="G7660" s="36"/>
      <c r="H7660" s="36"/>
      <c r="I7660" s="37"/>
      <c r="J7660" s="36"/>
      <c r="K7660" s="38"/>
      <c r="L7660" s="38"/>
    </row>
    <row r="7661" spans="1:12" x14ac:dyDescent="0.25">
      <c r="A7661" s="35"/>
      <c r="B7661" s="36"/>
      <c r="C7661" s="36"/>
      <c r="D7661" s="36"/>
      <c r="E7661" s="36"/>
      <c r="F7661" s="36"/>
      <c r="G7661" s="36"/>
      <c r="H7661" s="36"/>
      <c r="I7661" s="37"/>
      <c r="J7661" s="36"/>
      <c r="K7661" s="38"/>
      <c r="L7661" s="38"/>
    </row>
    <row r="7662" spans="1:12" x14ac:dyDescent="0.25">
      <c r="A7662" s="35"/>
      <c r="B7662" s="36"/>
      <c r="C7662" s="36"/>
      <c r="D7662" s="36"/>
      <c r="E7662" s="36"/>
      <c r="F7662" s="36"/>
      <c r="G7662" s="36"/>
      <c r="H7662" s="36"/>
      <c r="I7662" s="37"/>
      <c r="J7662" s="36"/>
      <c r="K7662" s="38"/>
      <c r="L7662" s="38"/>
    </row>
    <row r="7663" spans="1:12" x14ac:dyDescent="0.25">
      <c r="A7663" s="35"/>
      <c r="B7663" s="36"/>
      <c r="C7663" s="36"/>
      <c r="D7663" s="36"/>
      <c r="E7663" s="36"/>
      <c r="F7663" s="36"/>
      <c r="G7663" s="36"/>
      <c r="H7663" s="36"/>
      <c r="I7663" s="37"/>
      <c r="J7663" s="36"/>
      <c r="K7663" s="38"/>
      <c r="L7663" s="38"/>
    </row>
    <row r="7664" spans="1:12" x14ac:dyDescent="0.25">
      <c r="A7664" s="35"/>
      <c r="B7664" s="36"/>
      <c r="C7664" s="36"/>
      <c r="D7664" s="36"/>
      <c r="E7664" s="36"/>
      <c r="F7664" s="36"/>
      <c r="G7664" s="36"/>
      <c r="H7664" s="36"/>
      <c r="I7664" s="37"/>
      <c r="J7664" s="36"/>
      <c r="K7664" s="38"/>
      <c r="L7664" s="38"/>
    </row>
    <row r="7665" spans="1:12" x14ac:dyDescent="0.25">
      <c r="A7665" s="35"/>
      <c r="B7665" s="36"/>
      <c r="C7665" s="36"/>
      <c r="D7665" s="36"/>
      <c r="E7665" s="36"/>
      <c r="F7665" s="36"/>
      <c r="G7665" s="36"/>
      <c r="H7665" s="36"/>
      <c r="I7665" s="37"/>
      <c r="J7665" s="36"/>
      <c r="K7665" s="38"/>
      <c r="L7665" s="38"/>
    </row>
    <row r="7666" spans="1:12" x14ac:dyDescent="0.25">
      <c r="A7666" s="35"/>
      <c r="B7666" s="36"/>
      <c r="C7666" s="36"/>
      <c r="D7666" s="36"/>
      <c r="E7666" s="36"/>
      <c r="F7666" s="36"/>
      <c r="G7666" s="36"/>
      <c r="H7666" s="36"/>
      <c r="I7666" s="37"/>
      <c r="J7666" s="36"/>
      <c r="K7666" s="38"/>
      <c r="L7666" s="38"/>
    </row>
    <row r="7667" spans="1:12" x14ac:dyDescent="0.25">
      <c r="A7667" s="35"/>
      <c r="B7667" s="36"/>
      <c r="C7667" s="36"/>
      <c r="D7667" s="36"/>
      <c r="E7667" s="36"/>
      <c r="F7667" s="36"/>
      <c r="G7667" s="36"/>
      <c r="H7667" s="36"/>
      <c r="I7667" s="37"/>
      <c r="J7667" s="36"/>
      <c r="K7667" s="38"/>
      <c r="L7667" s="38"/>
    </row>
    <row r="7668" spans="1:12" x14ac:dyDescent="0.25">
      <c r="A7668" s="35"/>
      <c r="B7668" s="36"/>
      <c r="C7668" s="36"/>
      <c r="D7668" s="36"/>
      <c r="E7668" s="36"/>
      <c r="F7668" s="36"/>
      <c r="G7668" s="36"/>
      <c r="H7668" s="36"/>
      <c r="I7668" s="37"/>
      <c r="J7668" s="36"/>
      <c r="K7668" s="38"/>
      <c r="L7668" s="38"/>
    </row>
    <row r="7669" spans="1:12" x14ac:dyDescent="0.25">
      <c r="A7669" s="35"/>
      <c r="B7669" s="36"/>
      <c r="C7669" s="36"/>
      <c r="D7669" s="36"/>
      <c r="E7669" s="36"/>
      <c r="F7669" s="36"/>
      <c r="G7669" s="36"/>
      <c r="H7669" s="36"/>
      <c r="I7669" s="37"/>
      <c r="J7669" s="36"/>
      <c r="K7669" s="38"/>
      <c r="L7669" s="38"/>
    </row>
    <row r="7670" spans="1:12" x14ac:dyDescent="0.25">
      <c r="A7670" s="35"/>
      <c r="B7670" s="36"/>
      <c r="C7670" s="36"/>
      <c r="D7670" s="36"/>
      <c r="E7670" s="36"/>
      <c r="F7670" s="36"/>
      <c r="G7670" s="36"/>
      <c r="H7670" s="36"/>
      <c r="I7670" s="37"/>
      <c r="J7670" s="36"/>
      <c r="K7670" s="38"/>
      <c r="L7670" s="38"/>
    </row>
    <row r="7671" spans="1:12" x14ac:dyDescent="0.25">
      <c r="A7671" s="35"/>
      <c r="B7671" s="36"/>
      <c r="C7671" s="36"/>
      <c r="D7671" s="36"/>
      <c r="E7671" s="36"/>
      <c r="F7671" s="36"/>
      <c r="G7671" s="36"/>
      <c r="H7671" s="36"/>
      <c r="I7671" s="37"/>
      <c r="J7671" s="36"/>
      <c r="K7671" s="38"/>
      <c r="L7671" s="38"/>
    </row>
    <row r="7672" spans="1:12" x14ac:dyDescent="0.25">
      <c r="A7672" s="35"/>
      <c r="B7672" s="36"/>
      <c r="C7672" s="36"/>
      <c r="D7672" s="36"/>
      <c r="E7672" s="36"/>
      <c r="F7672" s="36"/>
      <c r="G7672" s="36"/>
      <c r="H7672" s="36"/>
      <c r="I7672" s="37"/>
      <c r="J7672" s="36"/>
      <c r="K7672" s="38"/>
      <c r="L7672" s="38"/>
    </row>
    <row r="7673" spans="1:12" x14ac:dyDescent="0.25">
      <c r="A7673" s="35"/>
      <c r="B7673" s="36"/>
      <c r="C7673" s="36"/>
      <c r="D7673" s="36"/>
      <c r="E7673" s="36"/>
      <c r="F7673" s="36"/>
      <c r="G7673" s="36"/>
      <c r="H7673" s="36"/>
      <c r="I7673" s="37"/>
      <c r="J7673" s="36"/>
      <c r="K7673" s="38"/>
      <c r="L7673" s="38"/>
    </row>
    <row r="7674" spans="1:12" x14ac:dyDescent="0.25">
      <c r="A7674" s="35"/>
      <c r="B7674" s="36"/>
      <c r="C7674" s="36"/>
      <c r="D7674" s="36"/>
      <c r="E7674" s="36"/>
      <c r="F7674" s="36"/>
      <c r="G7674" s="36"/>
      <c r="H7674" s="36"/>
      <c r="I7674" s="37"/>
      <c r="J7674" s="36"/>
      <c r="K7674" s="38"/>
      <c r="L7674" s="38"/>
    </row>
    <row r="7675" spans="1:12" x14ac:dyDescent="0.25">
      <c r="A7675" s="35"/>
      <c r="B7675" s="36"/>
      <c r="C7675" s="36"/>
      <c r="D7675" s="36"/>
      <c r="E7675" s="36"/>
      <c r="F7675" s="36"/>
      <c r="G7675" s="36"/>
      <c r="H7675" s="36"/>
      <c r="I7675" s="37"/>
      <c r="J7675" s="36"/>
      <c r="K7675" s="38"/>
      <c r="L7675" s="38"/>
    </row>
    <row r="7676" spans="1:12" x14ac:dyDescent="0.25">
      <c r="A7676" s="35"/>
      <c r="B7676" s="36"/>
      <c r="C7676" s="36"/>
      <c r="D7676" s="36"/>
      <c r="E7676" s="36"/>
      <c r="F7676" s="36"/>
      <c r="G7676" s="36"/>
      <c r="H7676" s="36"/>
      <c r="I7676" s="37"/>
      <c r="J7676" s="36"/>
      <c r="K7676" s="38"/>
      <c r="L7676" s="38"/>
    </row>
    <row r="7677" spans="1:12" x14ac:dyDescent="0.25">
      <c r="A7677" s="35"/>
      <c r="B7677" s="36"/>
      <c r="C7677" s="36"/>
      <c r="D7677" s="36"/>
      <c r="E7677" s="36"/>
      <c r="F7677" s="36"/>
      <c r="G7677" s="36"/>
      <c r="H7677" s="36"/>
      <c r="I7677" s="37"/>
      <c r="J7677" s="36"/>
      <c r="K7677" s="38"/>
      <c r="L7677" s="38"/>
    </row>
    <row r="7678" spans="1:12" x14ac:dyDescent="0.25">
      <c r="A7678" s="35"/>
      <c r="B7678" s="36"/>
      <c r="C7678" s="36"/>
      <c r="D7678" s="36"/>
      <c r="E7678" s="36"/>
      <c r="F7678" s="36"/>
      <c r="G7678" s="36"/>
      <c r="H7678" s="36"/>
      <c r="I7678" s="37"/>
      <c r="J7678" s="36"/>
      <c r="K7678" s="38"/>
      <c r="L7678" s="38"/>
    </row>
    <row r="7679" spans="1:12" x14ac:dyDescent="0.25">
      <c r="A7679" s="35"/>
      <c r="B7679" s="36"/>
      <c r="C7679" s="36"/>
      <c r="D7679" s="36"/>
      <c r="E7679" s="36"/>
      <c r="F7679" s="36"/>
      <c r="G7679" s="36"/>
      <c r="H7679" s="36"/>
      <c r="I7679" s="37"/>
      <c r="J7679" s="36"/>
      <c r="K7679" s="38"/>
      <c r="L7679" s="38"/>
    </row>
    <row r="7680" spans="1:12" x14ac:dyDescent="0.25">
      <c r="A7680" s="35"/>
      <c r="B7680" s="36"/>
      <c r="C7680" s="36"/>
      <c r="D7680" s="36"/>
      <c r="E7680" s="36"/>
      <c r="F7680" s="36"/>
      <c r="G7680" s="36"/>
      <c r="H7680" s="36"/>
      <c r="I7680" s="37"/>
      <c r="J7680" s="36"/>
      <c r="K7680" s="38"/>
      <c r="L7680" s="38"/>
    </row>
    <row r="7681" spans="1:12" x14ac:dyDescent="0.25">
      <c r="A7681" s="35"/>
      <c r="B7681" s="36"/>
      <c r="C7681" s="36"/>
      <c r="D7681" s="36"/>
      <c r="E7681" s="36"/>
      <c r="F7681" s="36"/>
      <c r="G7681" s="36"/>
      <c r="H7681" s="36"/>
      <c r="I7681" s="37"/>
      <c r="J7681" s="36"/>
      <c r="K7681" s="38"/>
      <c r="L7681" s="38"/>
    </row>
    <row r="7682" spans="1:12" x14ac:dyDescent="0.25">
      <c r="A7682" s="35"/>
      <c r="B7682" s="36"/>
      <c r="C7682" s="36"/>
      <c r="D7682" s="36"/>
      <c r="E7682" s="36"/>
      <c r="F7682" s="36"/>
      <c r="G7682" s="36"/>
      <c r="H7682" s="36"/>
      <c r="I7682" s="37"/>
      <c r="J7682" s="36"/>
      <c r="K7682" s="38"/>
      <c r="L7682" s="38"/>
    </row>
    <row r="7683" spans="1:12" x14ac:dyDescent="0.25">
      <c r="A7683" s="35"/>
      <c r="B7683" s="36"/>
      <c r="C7683" s="36"/>
      <c r="D7683" s="36"/>
      <c r="E7683" s="36"/>
      <c r="F7683" s="36"/>
      <c r="G7683" s="36"/>
      <c r="H7683" s="36"/>
      <c r="I7683" s="37"/>
      <c r="J7683" s="36"/>
      <c r="K7683" s="38"/>
      <c r="L7683" s="38"/>
    </row>
    <row r="7684" spans="1:12" x14ac:dyDescent="0.25">
      <c r="A7684" s="35"/>
      <c r="B7684" s="36"/>
      <c r="C7684" s="36"/>
      <c r="D7684" s="36"/>
      <c r="E7684" s="36"/>
      <c r="F7684" s="36"/>
      <c r="G7684" s="36"/>
      <c r="H7684" s="36"/>
      <c r="I7684" s="37"/>
      <c r="J7684" s="36"/>
      <c r="K7684" s="38"/>
      <c r="L7684" s="38"/>
    </row>
    <row r="7685" spans="1:12" x14ac:dyDescent="0.25">
      <c r="A7685" s="35"/>
      <c r="B7685" s="36"/>
      <c r="C7685" s="36"/>
      <c r="D7685" s="36"/>
      <c r="E7685" s="36"/>
      <c r="F7685" s="36"/>
      <c r="G7685" s="36"/>
      <c r="H7685" s="36"/>
      <c r="I7685" s="37"/>
      <c r="J7685" s="36"/>
      <c r="K7685" s="38"/>
      <c r="L7685" s="38"/>
    </row>
    <row r="7686" spans="1:12" x14ac:dyDescent="0.25">
      <c r="A7686" s="35"/>
      <c r="B7686" s="36"/>
      <c r="C7686" s="36"/>
      <c r="D7686" s="36"/>
      <c r="E7686" s="36"/>
      <c r="F7686" s="36"/>
      <c r="G7686" s="36"/>
      <c r="H7686" s="36"/>
      <c r="I7686" s="37"/>
      <c r="J7686" s="36"/>
      <c r="K7686" s="38"/>
      <c r="L7686" s="38"/>
    </row>
    <row r="7687" spans="1:12" x14ac:dyDescent="0.25">
      <c r="A7687" s="35"/>
      <c r="B7687" s="36"/>
      <c r="C7687" s="36"/>
      <c r="D7687" s="36"/>
      <c r="E7687" s="36"/>
      <c r="F7687" s="36"/>
      <c r="G7687" s="36"/>
      <c r="H7687" s="36"/>
      <c r="I7687" s="37"/>
      <c r="J7687" s="36"/>
      <c r="K7687" s="38"/>
      <c r="L7687" s="38"/>
    </row>
    <row r="7688" spans="1:12" x14ac:dyDescent="0.25">
      <c r="A7688" s="35"/>
      <c r="B7688" s="36"/>
      <c r="C7688" s="36"/>
      <c r="D7688" s="36"/>
      <c r="E7688" s="36"/>
      <c r="F7688" s="36"/>
      <c r="G7688" s="36"/>
      <c r="H7688" s="36"/>
      <c r="I7688" s="37"/>
      <c r="J7688" s="36"/>
      <c r="K7688" s="38"/>
      <c r="L7688" s="38"/>
    </row>
    <row r="7689" spans="1:12" x14ac:dyDescent="0.25">
      <c r="A7689" s="35"/>
      <c r="B7689" s="36"/>
      <c r="C7689" s="36"/>
      <c r="D7689" s="36"/>
      <c r="E7689" s="36"/>
      <c r="F7689" s="36"/>
      <c r="G7689" s="36"/>
      <c r="H7689" s="36"/>
      <c r="I7689" s="37"/>
      <c r="J7689" s="36"/>
      <c r="K7689" s="38"/>
      <c r="L7689" s="38"/>
    </row>
    <row r="7690" spans="1:12" x14ac:dyDescent="0.25">
      <c r="A7690" s="35"/>
      <c r="B7690" s="36"/>
      <c r="C7690" s="36"/>
      <c r="D7690" s="36"/>
      <c r="E7690" s="36"/>
      <c r="F7690" s="36"/>
      <c r="G7690" s="36"/>
      <c r="H7690" s="36"/>
      <c r="I7690" s="37"/>
      <c r="J7690" s="36"/>
      <c r="K7690" s="38"/>
      <c r="L7690" s="38"/>
    </row>
    <row r="7691" spans="1:12" x14ac:dyDescent="0.25">
      <c r="A7691" s="35"/>
      <c r="B7691" s="36"/>
      <c r="C7691" s="36"/>
      <c r="D7691" s="36"/>
      <c r="E7691" s="36"/>
      <c r="F7691" s="36"/>
      <c r="G7691" s="36"/>
      <c r="H7691" s="36"/>
      <c r="I7691" s="37"/>
      <c r="J7691" s="36"/>
      <c r="K7691" s="38"/>
      <c r="L7691" s="38"/>
    </row>
    <row r="7692" spans="1:12" x14ac:dyDescent="0.25">
      <c r="A7692" s="35"/>
      <c r="B7692" s="36"/>
      <c r="C7692" s="36"/>
      <c r="D7692" s="36"/>
      <c r="E7692" s="36"/>
      <c r="F7692" s="36"/>
      <c r="G7692" s="36"/>
      <c r="H7692" s="36"/>
      <c r="I7692" s="37"/>
      <c r="J7692" s="36"/>
      <c r="K7692" s="38"/>
      <c r="L7692" s="38"/>
    </row>
    <row r="7693" spans="1:12" x14ac:dyDescent="0.25">
      <c r="A7693" s="35"/>
      <c r="B7693" s="36"/>
      <c r="C7693" s="36"/>
      <c r="D7693" s="36"/>
      <c r="E7693" s="36"/>
      <c r="F7693" s="36"/>
      <c r="G7693" s="36"/>
      <c r="H7693" s="36"/>
      <c r="I7693" s="37"/>
      <c r="J7693" s="36"/>
      <c r="K7693" s="38"/>
      <c r="L7693" s="38"/>
    </row>
    <row r="7694" spans="1:12" x14ac:dyDescent="0.25">
      <c r="A7694" s="35"/>
      <c r="B7694" s="36"/>
      <c r="C7694" s="36"/>
      <c r="D7694" s="36"/>
      <c r="E7694" s="36"/>
      <c r="F7694" s="36"/>
      <c r="G7694" s="36"/>
      <c r="H7694" s="36"/>
      <c r="I7694" s="37"/>
      <c r="J7694" s="36"/>
      <c r="K7694" s="38"/>
      <c r="L7694" s="38"/>
    </row>
    <row r="7695" spans="1:12" x14ac:dyDescent="0.25">
      <c r="A7695" s="35"/>
      <c r="B7695" s="36"/>
      <c r="C7695" s="36"/>
      <c r="D7695" s="36"/>
      <c r="E7695" s="36"/>
      <c r="F7695" s="36"/>
      <c r="G7695" s="36"/>
      <c r="H7695" s="36"/>
      <c r="I7695" s="37"/>
      <c r="J7695" s="36"/>
      <c r="K7695" s="38"/>
      <c r="L7695" s="38"/>
    </row>
    <row r="7696" spans="1:12" x14ac:dyDescent="0.25">
      <c r="A7696" s="35"/>
      <c r="B7696" s="36"/>
      <c r="C7696" s="36"/>
      <c r="D7696" s="36"/>
      <c r="E7696" s="36"/>
      <c r="F7696" s="36"/>
      <c r="G7696" s="36"/>
      <c r="H7696" s="36"/>
      <c r="I7696" s="37"/>
      <c r="J7696" s="36"/>
      <c r="K7696" s="38"/>
      <c r="L7696" s="38"/>
    </row>
    <row r="7697" spans="1:12" x14ac:dyDescent="0.25">
      <c r="A7697" s="35"/>
      <c r="B7697" s="36"/>
      <c r="C7697" s="36"/>
      <c r="D7697" s="36"/>
      <c r="E7697" s="36"/>
      <c r="F7697" s="36"/>
      <c r="G7697" s="36"/>
      <c r="H7697" s="36"/>
      <c r="I7697" s="37"/>
      <c r="J7697" s="36"/>
      <c r="K7697" s="38"/>
      <c r="L7697" s="38"/>
    </row>
    <row r="7698" spans="1:12" x14ac:dyDescent="0.25">
      <c r="A7698" s="35"/>
      <c r="B7698" s="36"/>
      <c r="C7698" s="36"/>
      <c r="D7698" s="36"/>
      <c r="E7698" s="36"/>
      <c r="F7698" s="36"/>
      <c r="G7698" s="36"/>
      <c r="H7698" s="36"/>
      <c r="I7698" s="37"/>
      <c r="J7698" s="36"/>
      <c r="K7698" s="38"/>
      <c r="L7698" s="38"/>
    </row>
    <row r="7699" spans="1:12" x14ac:dyDescent="0.25">
      <c r="A7699" s="35"/>
      <c r="B7699" s="36"/>
      <c r="C7699" s="36"/>
      <c r="D7699" s="36"/>
      <c r="E7699" s="36"/>
      <c r="F7699" s="36"/>
      <c r="G7699" s="36"/>
      <c r="H7699" s="36"/>
      <c r="I7699" s="37"/>
      <c r="J7699" s="36"/>
      <c r="K7699" s="38"/>
      <c r="L7699" s="38"/>
    </row>
    <row r="7700" spans="1:12" x14ac:dyDescent="0.25">
      <c r="A7700" s="35"/>
      <c r="B7700" s="36"/>
      <c r="C7700" s="36"/>
      <c r="D7700" s="36"/>
      <c r="E7700" s="36"/>
      <c r="F7700" s="36"/>
      <c r="G7700" s="36"/>
      <c r="H7700" s="36"/>
      <c r="I7700" s="37"/>
      <c r="J7700" s="36"/>
      <c r="K7700" s="38"/>
      <c r="L7700" s="38"/>
    </row>
    <row r="7701" spans="1:12" x14ac:dyDescent="0.25">
      <c r="A7701" s="35"/>
      <c r="B7701" s="36"/>
      <c r="C7701" s="36"/>
      <c r="D7701" s="36"/>
      <c r="E7701" s="36"/>
      <c r="F7701" s="36"/>
      <c r="G7701" s="36"/>
      <c r="H7701" s="36"/>
      <c r="I7701" s="37"/>
      <c r="J7701" s="36"/>
      <c r="K7701" s="38"/>
      <c r="L7701" s="38"/>
    </row>
    <row r="7702" spans="1:12" x14ac:dyDescent="0.25">
      <c r="A7702" s="35"/>
      <c r="B7702" s="36"/>
      <c r="C7702" s="36"/>
      <c r="D7702" s="36"/>
      <c r="E7702" s="36"/>
      <c r="F7702" s="36"/>
      <c r="G7702" s="36"/>
      <c r="H7702" s="36"/>
      <c r="I7702" s="37"/>
      <c r="J7702" s="36"/>
      <c r="K7702" s="38"/>
      <c r="L7702" s="38"/>
    </row>
    <row r="7703" spans="1:12" x14ac:dyDescent="0.25">
      <c r="A7703" s="35"/>
      <c r="B7703" s="36"/>
      <c r="C7703" s="36"/>
      <c r="D7703" s="36"/>
      <c r="E7703" s="36"/>
      <c r="F7703" s="36"/>
      <c r="G7703" s="36"/>
      <c r="H7703" s="36"/>
      <c r="I7703" s="37"/>
      <c r="J7703" s="36"/>
      <c r="K7703" s="38"/>
      <c r="L7703" s="38"/>
    </row>
    <row r="7704" spans="1:12" x14ac:dyDescent="0.25">
      <c r="A7704" s="35"/>
      <c r="B7704" s="36"/>
      <c r="C7704" s="36"/>
      <c r="D7704" s="36"/>
      <c r="E7704" s="36"/>
      <c r="F7704" s="36"/>
      <c r="G7704" s="36"/>
      <c r="H7704" s="36"/>
      <c r="I7704" s="37"/>
      <c r="J7704" s="36"/>
      <c r="K7704" s="38"/>
      <c r="L7704" s="38"/>
    </row>
    <row r="7705" spans="1:12" x14ac:dyDescent="0.25">
      <c r="A7705" s="35"/>
      <c r="B7705" s="36"/>
      <c r="C7705" s="36"/>
      <c r="D7705" s="36"/>
      <c r="E7705" s="36"/>
      <c r="F7705" s="36"/>
      <c r="G7705" s="36"/>
      <c r="H7705" s="36"/>
      <c r="I7705" s="37"/>
      <c r="J7705" s="36"/>
      <c r="K7705" s="38"/>
      <c r="L7705" s="38"/>
    </row>
    <row r="7706" spans="1:12" x14ac:dyDescent="0.25">
      <c r="A7706" s="35"/>
      <c r="B7706" s="36"/>
      <c r="C7706" s="36"/>
      <c r="D7706" s="36"/>
      <c r="E7706" s="36"/>
      <c r="F7706" s="36"/>
      <c r="G7706" s="36"/>
      <c r="H7706" s="36"/>
      <c r="I7706" s="37"/>
      <c r="J7706" s="36"/>
      <c r="K7706" s="38"/>
      <c r="L7706" s="38"/>
    </row>
    <row r="7707" spans="1:12" x14ac:dyDescent="0.25">
      <c r="A7707" s="35"/>
      <c r="B7707" s="36"/>
      <c r="C7707" s="36"/>
      <c r="D7707" s="36"/>
      <c r="E7707" s="36"/>
      <c r="F7707" s="36"/>
      <c r="G7707" s="36"/>
      <c r="H7707" s="36"/>
      <c r="I7707" s="37"/>
      <c r="J7707" s="36"/>
      <c r="K7707" s="38"/>
      <c r="L7707" s="38"/>
    </row>
    <row r="7708" spans="1:12" x14ac:dyDescent="0.25">
      <c r="A7708" s="35"/>
      <c r="B7708" s="36"/>
      <c r="C7708" s="36"/>
      <c r="D7708" s="36"/>
      <c r="E7708" s="36"/>
      <c r="F7708" s="36"/>
      <c r="G7708" s="36"/>
      <c r="H7708" s="36"/>
      <c r="I7708" s="37"/>
      <c r="J7708" s="36"/>
      <c r="K7708" s="38"/>
      <c r="L7708" s="38"/>
    </row>
    <row r="7709" spans="1:12" x14ac:dyDescent="0.25">
      <c r="A7709" s="35"/>
      <c r="B7709" s="36"/>
      <c r="C7709" s="36"/>
      <c r="D7709" s="36"/>
      <c r="E7709" s="36"/>
      <c r="F7709" s="36"/>
      <c r="G7709" s="36"/>
      <c r="H7709" s="36"/>
      <c r="I7709" s="37"/>
      <c r="J7709" s="36"/>
      <c r="K7709" s="38"/>
      <c r="L7709" s="38"/>
    </row>
    <row r="7710" spans="1:12" x14ac:dyDescent="0.25">
      <c r="A7710" s="35"/>
      <c r="B7710" s="36"/>
      <c r="C7710" s="36"/>
      <c r="D7710" s="36"/>
      <c r="E7710" s="36"/>
      <c r="F7710" s="36"/>
      <c r="G7710" s="36"/>
      <c r="H7710" s="36"/>
      <c r="I7710" s="37"/>
      <c r="J7710" s="36"/>
      <c r="K7710" s="38"/>
      <c r="L7710" s="38"/>
    </row>
    <row r="7711" spans="1:12" x14ac:dyDescent="0.25">
      <c r="A7711" s="35"/>
      <c r="B7711" s="36"/>
      <c r="C7711" s="36"/>
      <c r="D7711" s="36"/>
      <c r="E7711" s="36"/>
      <c r="F7711" s="36"/>
      <c r="G7711" s="36"/>
      <c r="H7711" s="36"/>
      <c r="I7711" s="37"/>
      <c r="J7711" s="36"/>
      <c r="K7711" s="38"/>
      <c r="L7711" s="38"/>
    </row>
    <row r="7712" spans="1:12" x14ac:dyDescent="0.25">
      <c r="A7712" s="35"/>
      <c r="B7712" s="36"/>
      <c r="C7712" s="36"/>
      <c r="D7712" s="36"/>
      <c r="E7712" s="36"/>
      <c r="F7712" s="36"/>
      <c r="G7712" s="36"/>
      <c r="H7712" s="36"/>
      <c r="I7712" s="37"/>
      <c r="J7712" s="36"/>
      <c r="K7712" s="38"/>
      <c r="L7712" s="38"/>
    </row>
    <row r="7713" spans="1:12" x14ac:dyDescent="0.25">
      <c r="A7713" s="35"/>
      <c r="B7713" s="36"/>
      <c r="C7713" s="36"/>
      <c r="D7713" s="36"/>
      <c r="E7713" s="36"/>
      <c r="F7713" s="36"/>
      <c r="G7713" s="36"/>
      <c r="H7713" s="36"/>
      <c r="I7713" s="37"/>
      <c r="J7713" s="36"/>
      <c r="K7713" s="38"/>
      <c r="L7713" s="38"/>
    </row>
    <row r="7714" spans="1:12" x14ac:dyDescent="0.25">
      <c r="A7714" s="35"/>
      <c r="B7714" s="36"/>
      <c r="C7714" s="36"/>
      <c r="D7714" s="36"/>
      <c r="E7714" s="36"/>
      <c r="F7714" s="36"/>
      <c r="G7714" s="36"/>
      <c r="H7714" s="36"/>
      <c r="I7714" s="37"/>
      <c r="J7714" s="36"/>
      <c r="K7714" s="38"/>
      <c r="L7714" s="38"/>
    </row>
    <row r="7715" spans="1:12" x14ac:dyDescent="0.25">
      <c r="A7715" s="35"/>
      <c r="B7715" s="36"/>
      <c r="C7715" s="36"/>
      <c r="D7715" s="36"/>
      <c r="E7715" s="36"/>
      <c r="F7715" s="36"/>
      <c r="G7715" s="36"/>
      <c r="H7715" s="36"/>
      <c r="I7715" s="37"/>
      <c r="J7715" s="36"/>
      <c r="K7715" s="38"/>
      <c r="L7715" s="38"/>
    </row>
    <row r="7716" spans="1:12" x14ac:dyDescent="0.25">
      <c r="A7716" s="35"/>
      <c r="B7716" s="36"/>
      <c r="C7716" s="36"/>
      <c r="D7716" s="36"/>
      <c r="E7716" s="36"/>
      <c r="F7716" s="36"/>
      <c r="G7716" s="36"/>
      <c r="H7716" s="36"/>
      <c r="I7716" s="37"/>
      <c r="J7716" s="36"/>
      <c r="K7716" s="38"/>
      <c r="L7716" s="38"/>
    </row>
    <row r="7717" spans="1:12" x14ac:dyDescent="0.25">
      <c r="A7717" s="35"/>
      <c r="B7717" s="36"/>
      <c r="C7717" s="36"/>
      <c r="D7717" s="36"/>
      <c r="E7717" s="36"/>
      <c r="F7717" s="36"/>
      <c r="G7717" s="36"/>
      <c r="H7717" s="36"/>
      <c r="I7717" s="37"/>
      <c r="J7717" s="36"/>
      <c r="K7717" s="38"/>
      <c r="L7717" s="38"/>
    </row>
    <row r="7718" spans="1:12" x14ac:dyDescent="0.25">
      <c r="A7718" s="35"/>
      <c r="B7718" s="36"/>
      <c r="C7718" s="36"/>
      <c r="D7718" s="36"/>
      <c r="E7718" s="36"/>
      <c r="F7718" s="36"/>
      <c r="G7718" s="36"/>
      <c r="H7718" s="36"/>
      <c r="I7718" s="37"/>
      <c r="J7718" s="36"/>
      <c r="K7718" s="38"/>
      <c r="L7718" s="38"/>
    </row>
    <row r="7719" spans="1:12" x14ac:dyDescent="0.25">
      <c r="A7719" s="35"/>
      <c r="B7719" s="36"/>
      <c r="C7719" s="36"/>
      <c r="D7719" s="36"/>
      <c r="E7719" s="36"/>
      <c r="F7719" s="36"/>
      <c r="G7719" s="36"/>
      <c r="H7719" s="36"/>
      <c r="I7719" s="37"/>
      <c r="J7719" s="36"/>
      <c r="K7719" s="38"/>
      <c r="L7719" s="38"/>
    </row>
    <row r="7720" spans="1:12" x14ac:dyDescent="0.25">
      <c r="A7720" s="35"/>
      <c r="B7720" s="36"/>
      <c r="C7720" s="36"/>
      <c r="D7720" s="36"/>
      <c r="E7720" s="36"/>
      <c r="F7720" s="36"/>
      <c r="G7720" s="36"/>
      <c r="H7720" s="36"/>
      <c r="I7720" s="37"/>
      <c r="J7720" s="36"/>
      <c r="K7720" s="38"/>
      <c r="L7720" s="38"/>
    </row>
    <row r="7721" spans="1:12" x14ac:dyDescent="0.25">
      <c r="A7721" s="35"/>
      <c r="B7721" s="36"/>
      <c r="C7721" s="36"/>
      <c r="D7721" s="36"/>
      <c r="E7721" s="36"/>
      <c r="F7721" s="36"/>
      <c r="G7721" s="36"/>
      <c r="H7721" s="36"/>
      <c r="I7721" s="37"/>
      <c r="J7721" s="36"/>
      <c r="K7721" s="38"/>
      <c r="L7721" s="38"/>
    </row>
    <row r="7722" spans="1:12" x14ac:dyDescent="0.25">
      <c r="A7722" s="35"/>
      <c r="B7722" s="36"/>
      <c r="C7722" s="36"/>
      <c r="D7722" s="36"/>
      <c r="E7722" s="36"/>
      <c r="F7722" s="36"/>
      <c r="G7722" s="36"/>
      <c r="H7722" s="36"/>
      <c r="I7722" s="37"/>
      <c r="J7722" s="36"/>
      <c r="K7722" s="38"/>
      <c r="L7722" s="38"/>
    </row>
    <row r="7723" spans="1:12" x14ac:dyDescent="0.25">
      <c r="A7723" s="35"/>
      <c r="B7723" s="36"/>
      <c r="C7723" s="36"/>
      <c r="D7723" s="36"/>
      <c r="E7723" s="36"/>
      <c r="F7723" s="36"/>
      <c r="G7723" s="36"/>
      <c r="H7723" s="36"/>
      <c r="I7723" s="37"/>
      <c r="J7723" s="36"/>
      <c r="K7723" s="38"/>
      <c r="L7723" s="38"/>
    </row>
    <row r="7724" spans="1:12" x14ac:dyDescent="0.25">
      <c r="A7724" s="35"/>
      <c r="B7724" s="36"/>
      <c r="C7724" s="36"/>
      <c r="D7724" s="36"/>
      <c r="E7724" s="36"/>
      <c r="F7724" s="36"/>
      <c r="G7724" s="36"/>
      <c r="H7724" s="36"/>
      <c r="I7724" s="37"/>
      <c r="J7724" s="36"/>
      <c r="K7724" s="38"/>
      <c r="L7724" s="38"/>
    </row>
    <row r="7725" spans="1:12" x14ac:dyDescent="0.25">
      <c r="A7725" s="35"/>
      <c r="B7725" s="36"/>
      <c r="C7725" s="36"/>
      <c r="D7725" s="36"/>
      <c r="E7725" s="36"/>
      <c r="F7725" s="36"/>
      <c r="G7725" s="36"/>
      <c r="H7725" s="36"/>
      <c r="I7725" s="37"/>
      <c r="J7725" s="36"/>
      <c r="K7725" s="38"/>
      <c r="L7725" s="38"/>
    </row>
    <row r="7726" spans="1:12" x14ac:dyDescent="0.25">
      <c r="A7726" s="35"/>
      <c r="B7726" s="36"/>
      <c r="C7726" s="36"/>
      <c r="D7726" s="36"/>
      <c r="E7726" s="36"/>
      <c r="F7726" s="36"/>
      <c r="G7726" s="36"/>
      <c r="H7726" s="36"/>
      <c r="I7726" s="37"/>
      <c r="J7726" s="36"/>
      <c r="K7726" s="38"/>
      <c r="L7726" s="38"/>
    </row>
    <row r="7727" spans="1:12" x14ac:dyDescent="0.25">
      <c r="A7727" s="35"/>
      <c r="B7727" s="36"/>
      <c r="C7727" s="36"/>
      <c r="D7727" s="36"/>
      <c r="E7727" s="36"/>
      <c r="F7727" s="36"/>
      <c r="G7727" s="36"/>
      <c r="H7727" s="36"/>
      <c r="I7727" s="37"/>
      <c r="J7727" s="36"/>
      <c r="K7727" s="38"/>
      <c r="L7727" s="38"/>
    </row>
    <row r="7728" spans="1:12" x14ac:dyDescent="0.25">
      <c r="A7728" s="35"/>
      <c r="B7728" s="36"/>
      <c r="C7728" s="36"/>
      <c r="D7728" s="36"/>
      <c r="E7728" s="36"/>
      <c r="F7728" s="36"/>
      <c r="G7728" s="36"/>
      <c r="H7728" s="36"/>
      <c r="I7728" s="37"/>
      <c r="J7728" s="36"/>
      <c r="K7728" s="38"/>
      <c r="L7728" s="38"/>
    </row>
    <row r="7729" spans="1:12" x14ac:dyDescent="0.25">
      <c r="A7729" s="35"/>
      <c r="B7729" s="36"/>
      <c r="C7729" s="36"/>
      <c r="D7729" s="36"/>
      <c r="E7729" s="36"/>
      <c r="F7729" s="36"/>
      <c r="G7729" s="36"/>
      <c r="H7729" s="36"/>
      <c r="I7729" s="37"/>
      <c r="J7729" s="36"/>
      <c r="K7729" s="38"/>
      <c r="L7729" s="38"/>
    </row>
    <row r="7730" spans="1:12" x14ac:dyDescent="0.25">
      <c r="A7730" s="35"/>
      <c r="B7730" s="36"/>
      <c r="C7730" s="36"/>
      <c r="D7730" s="36"/>
      <c r="E7730" s="36"/>
      <c r="F7730" s="36"/>
      <c r="G7730" s="36"/>
      <c r="H7730" s="36"/>
      <c r="I7730" s="37"/>
      <c r="J7730" s="36"/>
      <c r="K7730" s="38"/>
      <c r="L7730" s="38"/>
    </row>
    <row r="7731" spans="1:12" x14ac:dyDescent="0.25">
      <c r="A7731" s="35"/>
      <c r="B7731" s="36"/>
      <c r="C7731" s="36"/>
      <c r="D7731" s="36"/>
      <c r="E7731" s="36"/>
      <c r="F7731" s="36"/>
      <c r="G7731" s="36"/>
      <c r="H7731" s="36"/>
      <c r="I7731" s="37"/>
      <c r="J7731" s="36"/>
      <c r="K7731" s="38"/>
      <c r="L7731" s="38"/>
    </row>
    <row r="7732" spans="1:12" x14ac:dyDescent="0.25">
      <c r="A7732" s="35"/>
      <c r="B7732" s="36"/>
      <c r="C7732" s="36"/>
      <c r="D7732" s="36"/>
      <c r="E7732" s="36"/>
      <c r="F7732" s="36"/>
      <c r="G7732" s="36"/>
      <c r="H7732" s="36"/>
      <c r="I7732" s="37"/>
      <c r="J7732" s="36"/>
      <c r="K7732" s="38"/>
      <c r="L7732" s="38"/>
    </row>
    <row r="7733" spans="1:12" x14ac:dyDescent="0.25">
      <c r="A7733" s="35"/>
      <c r="B7733" s="36"/>
      <c r="C7733" s="36"/>
      <c r="D7733" s="36"/>
      <c r="E7733" s="36"/>
      <c r="F7733" s="36"/>
      <c r="G7733" s="36"/>
      <c r="H7733" s="36"/>
      <c r="I7733" s="37"/>
      <c r="J7733" s="36"/>
      <c r="K7733" s="38"/>
      <c r="L7733" s="38"/>
    </row>
    <row r="7734" spans="1:12" x14ac:dyDescent="0.25">
      <c r="A7734" s="35"/>
      <c r="B7734" s="36"/>
      <c r="C7734" s="36"/>
      <c r="D7734" s="36"/>
      <c r="E7734" s="36"/>
      <c r="F7734" s="36"/>
      <c r="G7734" s="36"/>
      <c r="H7734" s="36"/>
      <c r="I7734" s="37"/>
      <c r="J7734" s="36"/>
      <c r="K7734" s="38"/>
      <c r="L7734" s="38"/>
    </row>
    <row r="7735" spans="1:12" x14ac:dyDescent="0.25">
      <c r="A7735" s="35"/>
      <c r="B7735" s="36"/>
      <c r="C7735" s="36"/>
      <c r="D7735" s="36"/>
      <c r="E7735" s="36"/>
      <c r="F7735" s="36"/>
      <c r="G7735" s="36"/>
      <c r="H7735" s="36"/>
      <c r="I7735" s="37"/>
      <c r="J7735" s="36"/>
      <c r="K7735" s="38"/>
      <c r="L7735" s="38"/>
    </row>
    <row r="7736" spans="1:12" x14ac:dyDescent="0.25">
      <c r="A7736" s="35"/>
      <c r="B7736" s="36"/>
      <c r="C7736" s="36"/>
      <c r="D7736" s="36"/>
      <c r="E7736" s="36"/>
      <c r="F7736" s="36"/>
      <c r="G7736" s="36"/>
      <c r="H7736" s="36"/>
      <c r="I7736" s="37"/>
      <c r="J7736" s="36"/>
      <c r="K7736" s="38"/>
      <c r="L7736" s="38"/>
    </row>
    <row r="7737" spans="1:12" x14ac:dyDescent="0.25">
      <c r="A7737" s="35"/>
      <c r="B7737" s="36"/>
      <c r="C7737" s="36"/>
      <c r="D7737" s="36"/>
      <c r="E7737" s="36"/>
      <c r="F7737" s="36"/>
      <c r="G7737" s="36"/>
      <c r="H7737" s="36"/>
      <c r="I7737" s="37"/>
      <c r="J7737" s="36"/>
      <c r="K7737" s="38"/>
      <c r="L7737" s="38"/>
    </row>
    <row r="7738" spans="1:12" x14ac:dyDescent="0.25">
      <c r="A7738" s="35"/>
      <c r="B7738" s="36"/>
      <c r="C7738" s="36"/>
      <c r="D7738" s="36"/>
      <c r="E7738" s="36"/>
      <c r="F7738" s="36"/>
      <c r="G7738" s="36"/>
      <c r="H7738" s="36"/>
      <c r="I7738" s="37"/>
      <c r="J7738" s="36"/>
      <c r="K7738" s="38"/>
      <c r="L7738" s="38"/>
    </row>
    <row r="7739" spans="1:12" x14ac:dyDescent="0.25">
      <c r="A7739" s="35"/>
      <c r="B7739" s="36"/>
      <c r="C7739" s="36"/>
      <c r="D7739" s="36"/>
      <c r="E7739" s="36"/>
      <c r="F7739" s="36"/>
      <c r="G7739" s="36"/>
      <c r="H7739" s="36"/>
      <c r="I7739" s="37"/>
      <c r="J7739" s="36"/>
      <c r="K7739" s="38"/>
      <c r="L7739" s="38"/>
    </row>
    <row r="7740" spans="1:12" x14ac:dyDescent="0.25">
      <c r="A7740" s="35"/>
      <c r="B7740" s="36"/>
      <c r="C7740" s="36"/>
      <c r="D7740" s="36"/>
      <c r="E7740" s="36"/>
      <c r="F7740" s="36"/>
      <c r="G7740" s="36"/>
      <c r="H7740" s="36"/>
      <c r="I7740" s="37"/>
      <c r="J7740" s="36"/>
      <c r="K7740" s="38"/>
      <c r="L7740" s="38"/>
    </row>
    <row r="7741" spans="1:12" x14ac:dyDescent="0.25">
      <c r="A7741" s="35"/>
      <c r="B7741" s="36"/>
      <c r="C7741" s="36"/>
      <c r="D7741" s="36"/>
      <c r="E7741" s="36"/>
      <c r="F7741" s="36"/>
      <c r="G7741" s="36"/>
      <c r="H7741" s="36"/>
      <c r="I7741" s="37"/>
      <c r="J7741" s="36"/>
      <c r="K7741" s="38"/>
      <c r="L7741" s="38"/>
    </row>
    <row r="7742" spans="1:12" x14ac:dyDescent="0.25">
      <c r="A7742" s="35"/>
      <c r="B7742" s="36"/>
      <c r="C7742" s="36"/>
      <c r="D7742" s="36"/>
      <c r="E7742" s="36"/>
      <c r="F7742" s="36"/>
      <c r="G7742" s="36"/>
      <c r="H7742" s="36"/>
      <c r="I7742" s="37"/>
      <c r="J7742" s="36"/>
      <c r="K7742" s="38"/>
      <c r="L7742" s="38"/>
    </row>
    <row r="7743" spans="1:12" x14ac:dyDescent="0.25">
      <c r="A7743" s="35"/>
      <c r="B7743" s="36"/>
      <c r="C7743" s="36"/>
      <c r="D7743" s="36"/>
      <c r="E7743" s="36"/>
      <c r="F7743" s="36"/>
      <c r="G7743" s="36"/>
      <c r="H7743" s="36"/>
      <c r="I7743" s="37"/>
      <c r="J7743" s="36"/>
      <c r="K7743" s="38"/>
      <c r="L7743" s="38"/>
    </row>
    <row r="7744" spans="1:12" x14ac:dyDescent="0.25">
      <c r="A7744" s="35"/>
      <c r="B7744" s="36"/>
      <c r="C7744" s="36"/>
      <c r="D7744" s="36"/>
      <c r="E7744" s="36"/>
      <c r="F7744" s="36"/>
      <c r="G7744" s="36"/>
      <c r="H7744" s="36"/>
      <c r="I7744" s="37"/>
      <c r="J7744" s="36"/>
      <c r="K7744" s="38"/>
      <c r="L7744" s="38"/>
    </row>
    <row r="7745" spans="1:12" x14ac:dyDescent="0.25">
      <c r="A7745" s="35"/>
      <c r="B7745" s="36"/>
      <c r="C7745" s="36"/>
      <c r="D7745" s="36"/>
      <c r="E7745" s="36"/>
      <c r="F7745" s="36"/>
      <c r="G7745" s="36"/>
      <c r="H7745" s="36"/>
      <c r="I7745" s="37"/>
      <c r="J7745" s="36"/>
      <c r="K7745" s="38"/>
      <c r="L7745" s="38"/>
    </row>
    <row r="7746" spans="1:12" x14ac:dyDescent="0.25">
      <c r="A7746" s="35"/>
      <c r="B7746" s="36"/>
      <c r="C7746" s="36"/>
      <c r="D7746" s="36"/>
      <c r="E7746" s="36"/>
      <c r="F7746" s="36"/>
      <c r="G7746" s="36"/>
      <c r="H7746" s="36"/>
      <c r="I7746" s="37"/>
      <c r="J7746" s="36"/>
      <c r="K7746" s="38"/>
      <c r="L7746" s="38"/>
    </row>
    <row r="7747" spans="1:12" x14ac:dyDescent="0.25">
      <c r="A7747" s="35"/>
      <c r="B7747" s="36"/>
      <c r="C7747" s="36"/>
      <c r="D7747" s="36"/>
      <c r="E7747" s="36"/>
      <c r="F7747" s="36"/>
      <c r="G7747" s="36"/>
      <c r="H7747" s="36"/>
      <c r="I7747" s="37"/>
      <c r="J7747" s="36"/>
      <c r="K7747" s="38"/>
      <c r="L7747" s="38"/>
    </row>
    <row r="7748" spans="1:12" x14ac:dyDescent="0.25">
      <c r="A7748" s="35"/>
      <c r="B7748" s="36"/>
      <c r="C7748" s="36"/>
      <c r="D7748" s="36"/>
      <c r="E7748" s="36"/>
      <c r="F7748" s="36"/>
      <c r="G7748" s="36"/>
      <c r="H7748" s="36"/>
      <c r="I7748" s="37"/>
      <c r="J7748" s="36"/>
      <c r="K7748" s="38"/>
      <c r="L7748" s="38"/>
    </row>
    <row r="7749" spans="1:12" x14ac:dyDescent="0.25">
      <c r="A7749" s="35"/>
      <c r="B7749" s="36"/>
      <c r="C7749" s="36"/>
      <c r="D7749" s="36"/>
      <c r="E7749" s="36"/>
      <c r="F7749" s="36"/>
      <c r="G7749" s="36"/>
      <c r="H7749" s="36"/>
      <c r="I7749" s="37"/>
      <c r="J7749" s="36"/>
      <c r="K7749" s="38"/>
      <c r="L7749" s="38"/>
    </row>
    <row r="7750" spans="1:12" x14ac:dyDescent="0.25">
      <c r="A7750" s="35"/>
      <c r="B7750" s="36"/>
      <c r="C7750" s="36"/>
      <c r="D7750" s="36"/>
      <c r="E7750" s="36"/>
      <c r="F7750" s="36"/>
      <c r="G7750" s="36"/>
      <c r="H7750" s="36"/>
      <c r="I7750" s="37"/>
      <c r="J7750" s="36"/>
      <c r="K7750" s="38"/>
      <c r="L7750" s="38"/>
    </row>
    <row r="7751" spans="1:12" x14ac:dyDescent="0.25">
      <c r="A7751" s="35"/>
      <c r="B7751" s="36"/>
      <c r="C7751" s="36"/>
      <c r="D7751" s="36"/>
      <c r="E7751" s="36"/>
      <c r="F7751" s="36"/>
      <c r="G7751" s="36"/>
      <c r="H7751" s="36"/>
      <c r="I7751" s="37"/>
      <c r="J7751" s="36"/>
      <c r="K7751" s="38"/>
      <c r="L7751" s="38"/>
    </row>
    <row r="7752" spans="1:12" x14ac:dyDescent="0.25">
      <c r="A7752" s="35"/>
      <c r="B7752" s="36"/>
      <c r="C7752" s="36"/>
      <c r="D7752" s="36"/>
      <c r="E7752" s="36"/>
      <c r="F7752" s="36"/>
      <c r="G7752" s="36"/>
      <c r="H7752" s="36"/>
      <c r="I7752" s="37"/>
      <c r="J7752" s="36"/>
      <c r="K7752" s="38"/>
      <c r="L7752" s="38"/>
    </row>
    <row r="7753" spans="1:12" x14ac:dyDescent="0.25">
      <c r="A7753" s="35"/>
      <c r="B7753" s="36"/>
      <c r="C7753" s="36"/>
      <c r="D7753" s="36"/>
      <c r="E7753" s="36"/>
      <c r="F7753" s="36"/>
      <c r="G7753" s="36"/>
      <c r="H7753" s="36"/>
      <c r="I7753" s="37"/>
      <c r="J7753" s="36"/>
      <c r="K7753" s="38"/>
      <c r="L7753" s="38"/>
    </row>
    <row r="7754" spans="1:12" x14ac:dyDescent="0.25">
      <c r="A7754" s="35"/>
      <c r="B7754" s="36"/>
      <c r="C7754" s="36"/>
      <c r="D7754" s="36"/>
      <c r="E7754" s="36"/>
      <c r="F7754" s="36"/>
      <c r="G7754" s="36"/>
      <c r="H7754" s="36"/>
      <c r="I7754" s="37"/>
      <c r="J7754" s="36"/>
      <c r="K7754" s="38"/>
      <c r="L7754" s="38"/>
    </row>
    <row r="7755" spans="1:12" x14ac:dyDescent="0.25">
      <c r="A7755" s="35"/>
      <c r="B7755" s="36"/>
      <c r="C7755" s="36"/>
      <c r="D7755" s="36"/>
      <c r="E7755" s="36"/>
      <c r="F7755" s="36"/>
      <c r="G7755" s="36"/>
      <c r="H7755" s="36"/>
      <c r="I7755" s="37"/>
      <c r="J7755" s="36"/>
      <c r="K7755" s="38"/>
      <c r="L7755" s="38"/>
    </row>
    <row r="7756" spans="1:12" x14ac:dyDescent="0.25">
      <c r="A7756" s="35"/>
      <c r="B7756" s="36"/>
      <c r="C7756" s="36"/>
      <c r="D7756" s="36"/>
      <c r="E7756" s="36"/>
      <c r="F7756" s="36"/>
      <c r="G7756" s="36"/>
      <c r="H7756" s="36"/>
      <c r="I7756" s="37"/>
      <c r="J7756" s="36"/>
      <c r="K7756" s="38"/>
      <c r="L7756" s="38"/>
    </row>
    <row r="7757" spans="1:12" x14ac:dyDescent="0.25">
      <c r="A7757" s="35"/>
      <c r="B7757" s="36"/>
      <c r="C7757" s="36"/>
      <c r="D7757" s="36"/>
      <c r="E7757" s="36"/>
      <c r="F7757" s="36"/>
      <c r="G7757" s="36"/>
      <c r="H7757" s="36"/>
      <c r="I7757" s="37"/>
      <c r="J7757" s="36"/>
      <c r="K7757" s="38"/>
      <c r="L7757" s="38"/>
    </row>
    <row r="7758" spans="1:12" x14ac:dyDescent="0.25">
      <c r="A7758" s="35"/>
      <c r="B7758" s="36"/>
      <c r="C7758" s="36"/>
      <c r="D7758" s="36"/>
      <c r="E7758" s="36"/>
      <c r="F7758" s="36"/>
      <c r="G7758" s="36"/>
      <c r="H7758" s="36"/>
      <c r="I7758" s="37"/>
      <c r="J7758" s="36"/>
      <c r="K7758" s="38"/>
      <c r="L7758" s="38"/>
    </row>
    <row r="7759" spans="1:12" x14ac:dyDescent="0.25">
      <c r="A7759" s="35"/>
      <c r="B7759" s="36"/>
      <c r="C7759" s="36"/>
      <c r="D7759" s="36"/>
      <c r="E7759" s="36"/>
      <c r="F7759" s="36"/>
      <c r="G7759" s="36"/>
      <c r="H7759" s="36"/>
      <c r="I7759" s="37"/>
      <c r="J7759" s="36"/>
      <c r="K7759" s="38"/>
      <c r="L7759" s="38"/>
    </row>
    <row r="7760" spans="1:12" x14ac:dyDescent="0.25">
      <c r="A7760" s="35"/>
      <c r="B7760" s="36"/>
      <c r="C7760" s="36"/>
      <c r="D7760" s="36"/>
      <c r="E7760" s="36"/>
      <c r="F7760" s="36"/>
      <c r="G7760" s="36"/>
      <c r="H7760" s="36"/>
      <c r="I7760" s="37"/>
      <c r="J7760" s="36"/>
      <c r="K7760" s="38"/>
      <c r="L7760" s="38"/>
    </row>
    <row r="7761" spans="1:12" x14ac:dyDescent="0.25">
      <c r="A7761" s="35"/>
      <c r="B7761" s="36"/>
      <c r="C7761" s="36"/>
      <c r="D7761" s="36"/>
      <c r="E7761" s="36"/>
      <c r="F7761" s="36"/>
      <c r="G7761" s="36"/>
      <c r="H7761" s="36"/>
      <c r="I7761" s="37"/>
      <c r="J7761" s="36"/>
      <c r="K7761" s="38"/>
      <c r="L7761" s="38"/>
    </row>
    <row r="7762" spans="1:12" x14ac:dyDescent="0.25">
      <c r="A7762" s="35"/>
      <c r="B7762" s="36"/>
      <c r="C7762" s="36"/>
      <c r="D7762" s="36"/>
      <c r="E7762" s="36"/>
      <c r="F7762" s="36"/>
      <c r="G7762" s="36"/>
      <c r="H7762" s="36"/>
      <c r="I7762" s="37"/>
      <c r="J7762" s="36"/>
      <c r="K7762" s="38"/>
      <c r="L7762" s="38"/>
    </row>
    <row r="7763" spans="1:12" x14ac:dyDescent="0.25">
      <c r="A7763" s="35"/>
      <c r="B7763" s="36"/>
      <c r="C7763" s="36"/>
      <c r="D7763" s="36"/>
      <c r="E7763" s="36"/>
      <c r="F7763" s="36"/>
      <c r="G7763" s="36"/>
      <c r="H7763" s="36"/>
      <c r="I7763" s="37"/>
      <c r="J7763" s="36"/>
      <c r="K7763" s="38"/>
      <c r="L7763" s="38"/>
    </row>
    <row r="7764" spans="1:12" x14ac:dyDescent="0.25">
      <c r="A7764" s="35"/>
      <c r="B7764" s="36"/>
      <c r="C7764" s="36"/>
      <c r="D7764" s="36"/>
      <c r="E7764" s="36"/>
      <c r="F7764" s="36"/>
      <c r="G7764" s="36"/>
      <c r="H7764" s="36"/>
      <c r="I7764" s="37"/>
      <c r="J7764" s="36"/>
      <c r="K7764" s="38"/>
      <c r="L7764" s="38"/>
    </row>
    <row r="7765" spans="1:12" x14ac:dyDescent="0.25">
      <c r="A7765" s="35"/>
      <c r="B7765" s="36"/>
      <c r="C7765" s="36"/>
      <c r="D7765" s="36"/>
      <c r="E7765" s="36"/>
      <c r="F7765" s="36"/>
      <c r="G7765" s="36"/>
      <c r="H7765" s="36"/>
      <c r="I7765" s="37"/>
      <c r="J7765" s="36"/>
      <c r="K7765" s="38"/>
      <c r="L7765" s="38"/>
    </row>
    <row r="7766" spans="1:12" x14ac:dyDescent="0.25">
      <c r="A7766" s="35"/>
      <c r="B7766" s="36"/>
      <c r="C7766" s="36"/>
      <c r="D7766" s="36"/>
      <c r="E7766" s="36"/>
      <c r="F7766" s="36"/>
      <c r="G7766" s="36"/>
      <c r="H7766" s="36"/>
      <c r="I7766" s="37"/>
      <c r="J7766" s="36"/>
      <c r="K7766" s="38"/>
      <c r="L7766" s="38"/>
    </row>
    <row r="7767" spans="1:12" x14ac:dyDescent="0.25">
      <c r="A7767" s="35"/>
      <c r="B7767" s="36"/>
      <c r="C7767" s="36"/>
      <c r="D7767" s="36"/>
      <c r="E7767" s="36"/>
      <c r="F7767" s="36"/>
      <c r="G7767" s="36"/>
      <c r="H7767" s="36"/>
      <c r="I7767" s="37"/>
      <c r="J7767" s="36"/>
      <c r="K7767" s="38"/>
      <c r="L7767" s="38"/>
    </row>
    <row r="7768" spans="1:12" x14ac:dyDescent="0.25">
      <c r="A7768" s="35"/>
      <c r="B7768" s="36"/>
      <c r="C7768" s="36"/>
      <c r="D7768" s="36"/>
      <c r="E7768" s="36"/>
      <c r="F7768" s="36"/>
      <c r="G7768" s="36"/>
      <c r="H7768" s="36"/>
      <c r="I7768" s="37"/>
      <c r="J7768" s="36"/>
      <c r="K7768" s="38"/>
      <c r="L7768" s="38"/>
    </row>
    <row r="7769" spans="1:12" x14ac:dyDescent="0.25">
      <c r="A7769" s="35"/>
      <c r="B7769" s="36"/>
      <c r="C7769" s="36"/>
      <c r="D7769" s="36"/>
      <c r="E7769" s="36"/>
      <c r="F7769" s="36"/>
      <c r="G7769" s="36"/>
      <c r="H7769" s="36"/>
      <c r="I7769" s="37"/>
      <c r="J7769" s="36"/>
      <c r="K7769" s="38"/>
      <c r="L7769" s="38"/>
    </row>
    <row r="7770" spans="1:12" x14ac:dyDescent="0.25">
      <c r="A7770" s="35"/>
      <c r="B7770" s="36"/>
      <c r="C7770" s="36"/>
      <c r="D7770" s="36"/>
      <c r="E7770" s="36"/>
      <c r="F7770" s="36"/>
      <c r="G7770" s="36"/>
      <c r="H7770" s="36"/>
      <c r="I7770" s="37"/>
      <c r="J7770" s="36"/>
      <c r="K7770" s="38"/>
      <c r="L7770" s="38"/>
    </row>
    <row r="7771" spans="1:12" x14ac:dyDescent="0.25">
      <c r="A7771" s="35"/>
      <c r="B7771" s="36"/>
      <c r="C7771" s="36"/>
      <c r="D7771" s="36"/>
      <c r="E7771" s="36"/>
      <c r="F7771" s="36"/>
      <c r="G7771" s="36"/>
      <c r="H7771" s="36"/>
      <c r="I7771" s="37"/>
      <c r="J7771" s="36"/>
      <c r="K7771" s="38"/>
      <c r="L7771" s="38"/>
    </row>
    <row r="7772" spans="1:12" x14ac:dyDescent="0.25">
      <c r="A7772" s="35"/>
      <c r="B7772" s="36"/>
      <c r="C7772" s="36"/>
      <c r="D7772" s="36"/>
      <c r="E7772" s="36"/>
      <c r="F7772" s="36"/>
      <c r="G7772" s="36"/>
      <c r="H7772" s="36"/>
      <c r="I7772" s="37"/>
      <c r="J7772" s="36"/>
      <c r="K7772" s="38"/>
      <c r="L7772" s="38"/>
    </row>
    <row r="7773" spans="1:12" x14ac:dyDescent="0.25">
      <c r="A7773" s="35"/>
      <c r="B7773" s="36"/>
      <c r="C7773" s="36"/>
      <c r="D7773" s="36"/>
      <c r="E7773" s="36"/>
      <c r="F7773" s="36"/>
      <c r="G7773" s="36"/>
      <c r="H7773" s="36"/>
      <c r="I7773" s="37"/>
      <c r="J7773" s="36"/>
      <c r="K7773" s="38"/>
      <c r="L7773" s="38"/>
    </row>
    <row r="7774" spans="1:12" x14ac:dyDescent="0.25">
      <c r="A7774" s="35"/>
      <c r="B7774" s="36"/>
      <c r="C7774" s="36"/>
      <c r="D7774" s="36"/>
      <c r="E7774" s="36"/>
      <c r="F7774" s="36"/>
      <c r="G7774" s="36"/>
      <c r="H7774" s="36"/>
      <c r="I7774" s="37"/>
      <c r="J7774" s="36"/>
      <c r="K7774" s="38"/>
      <c r="L7774" s="38"/>
    </row>
    <row r="7775" spans="1:12" x14ac:dyDescent="0.25">
      <c r="A7775" s="35"/>
      <c r="B7775" s="36"/>
      <c r="C7775" s="36"/>
      <c r="D7775" s="36"/>
      <c r="E7775" s="36"/>
      <c r="F7775" s="36"/>
      <c r="G7775" s="36"/>
      <c r="H7775" s="36"/>
      <c r="I7775" s="37"/>
      <c r="J7775" s="36"/>
      <c r="K7775" s="38"/>
      <c r="L7775" s="38"/>
    </row>
    <row r="7776" spans="1:12" x14ac:dyDescent="0.25">
      <c r="A7776" s="35"/>
      <c r="B7776" s="36"/>
      <c r="C7776" s="36"/>
      <c r="D7776" s="36"/>
      <c r="E7776" s="36"/>
      <c r="F7776" s="36"/>
      <c r="G7776" s="36"/>
      <c r="H7776" s="36"/>
      <c r="I7776" s="37"/>
      <c r="J7776" s="36"/>
      <c r="K7776" s="38"/>
      <c r="L7776" s="38"/>
    </row>
    <row r="7777" spans="1:12" x14ac:dyDescent="0.25">
      <c r="A7777" s="35"/>
      <c r="B7777" s="36"/>
      <c r="C7777" s="36"/>
      <c r="D7777" s="36"/>
      <c r="E7777" s="36"/>
      <c r="F7777" s="36"/>
      <c r="G7777" s="36"/>
      <c r="H7777" s="36"/>
      <c r="I7777" s="37"/>
      <c r="J7777" s="36"/>
      <c r="K7777" s="38"/>
      <c r="L7777" s="38"/>
    </row>
    <row r="7778" spans="1:12" x14ac:dyDescent="0.25">
      <c r="A7778" s="35"/>
      <c r="B7778" s="36"/>
      <c r="C7778" s="36"/>
      <c r="D7778" s="36"/>
      <c r="E7778" s="36"/>
      <c r="F7778" s="36"/>
      <c r="G7778" s="36"/>
      <c r="H7778" s="36"/>
      <c r="I7778" s="37"/>
      <c r="J7778" s="36"/>
      <c r="K7778" s="38"/>
      <c r="L7778" s="38"/>
    </row>
    <row r="7779" spans="1:12" x14ac:dyDescent="0.25">
      <c r="A7779" s="35"/>
      <c r="B7779" s="36"/>
      <c r="C7779" s="36"/>
      <c r="D7779" s="36"/>
      <c r="E7779" s="36"/>
      <c r="F7779" s="36"/>
      <c r="G7779" s="36"/>
      <c r="H7779" s="36"/>
      <c r="I7779" s="37"/>
      <c r="J7779" s="36"/>
      <c r="K7779" s="38"/>
      <c r="L7779" s="38"/>
    </row>
    <row r="7780" spans="1:12" x14ac:dyDescent="0.25">
      <c r="A7780" s="35"/>
      <c r="B7780" s="36"/>
      <c r="C7780" s="36"/>
      <c r="D7780" s="36"/>
      <c r="E7780" s="36"/>
      <c r="F7780" s="36"/>
      <c r="G7780" s="36"/>
      <c r="H7780" s="36"/>
      <c r="I7780" s="37"/>
      <c r="J7780" s="36"/>
      <c r="K7780" s="38"/>
      <c r="L7780" s="38"/>
    </row>
    <row r="7781" spans="1:12" x14ac:dyDescent="0.25">
      <c r="A7781" s="35"/>
      <c r="B7781" s="36"/>
      <c r="C7781" s="36"/>
      <c r="D7781" s="36"/>
      <c r="E7781" s="36"/>
      <c r="F7781" s="36"/>
      <c r="G7781" s="36"/>
      <c r="H7781" s="36"/>
      <c r="I7781" s="37"/>
      <c r="J7781" s="36"/>
      <c r="K7781" s="38"/>
      <c r="L7781" s="38"/>
    </row>
    <row r="7782" spans="1:12" x14ac:dyDescent="0.25">
      <c r="A7782" s="35"/>
      <c r="B7782" s="36"/>
      <c r="C7782" s="36"/>
      <c r="D7782" s="36"/>
      <c r="E7782" s="36"/>
      <c r="F7782" s="36"/>
      <c r="G7782" s="36"/>
      <c r="H7782" s="36"/>
      <c r="I7782" s="37"/>
      <c r="J7782" s="36"/>
      <c r="K7782" s="38"/>
      <c r="L7782" s="38"/>
    </row>
    <row r="7783" spans="1:12" x14ac:dyDescent="0.25">
      <c r="A7783" s="35"/>
      <c r="B7783" s="36"/>
      <c r="C7783" s="36"/>
      <c r="D7783" s="36"/>
      <c r="E7783" s="36"/>
      <c r="F7783" s="36"/>
      <c r="G7783" s="36"/>
      <c r="H7783" s="36"/>
      <c r="I7783" s="37"/>
      <c r="J7783" s="36"/>
      <c r="K7783" s="38"/>
      <c r="L7783" s="38"/>
    </row>
    <row r="7784" spans="1:12" x14ac:dyDescent="0.25">
      <c r="A7784" s="35"/>
      <c r="B7784" s="36"/>
      <c r="C7784" s="36"/>
      <c r="D7784" s="36"/>
      <c r="E7784" s="36"/>
      <c r="F7784" s="36"/>
      <c r="G7784" s="36"/>
      <c r="H7784" s="36"/>
      <c r="I7784" s="37"/>
      <c r="J7784" s="36"/>
      <c r="K7784" s="38"/>
      <c r="L7784" s="38"/>
    </row>
    <row r="7785" spans="1:12" x14ac:dyDescent="0.25">
      <c r="A7785" s="35"/>
      <c r="B7785" s="36"/>
      <c r="C7785" s="36"/>
      <c r="D7785" s="36"/>
      <c r="E7785" s="36"/>
      <c r="F7785" s="36"/>
      <c r="G7785" s="36"/>
      <c r="H7785" s="36"/>
      <c r="I7785" s="37"/>
      <c r="J7785" s="36"/>
      <c r="K7785" s="38"/>
      <c r="L7785" s="38"/>
    </row>
    <row r="7786" spans="1:12" x14ac:dyDescent="0.25">
      <c r="A7786" s="35"/>
      <c r="B7786" s="36"/>
      <c r="C7786" s="36"/>
      <c r="D7786" s="36"/>
      <c r="E7786" s="36"/>
      <c r="F7786" s="36"/>
      <c r="G7786" s="36"/>
      <c r="H7786" s="36"/>
      <c r="I7786" s="37"/>
      <c r="J7786" s="36"/>
      <c r="K7786" s="38"/>
      <c r="L7786" s="38"/>
    </row>
    <row r="7787" spans="1:12" x14ac:dyDescent="0.25">
      <c r="A7787" s="35"/>
      <c r="B7787" s="36"/>
      <c r="C7787" s="36"/>
      <c r="D7787" s="36"/>
      <c r="E7787" s="36"/>
      <c r="F7787" s="36"/>
      <c r="G7787" s="36"/>
      <c r="H7787" s="36"/>
      <c r="I7787" s="37"/>
      <c r="J7787" s="36"/>
      <c r="K7787" s="38"/>
      <c r="L7787" s="38"/>
    </row>
    <row r="7788" spans="1:12" x14ac:dyDescent="0.25">
      <c r="A7788" s="35"/>
      <c r="B7788" s="36"/>
      <c r="C7788" s="36"/>
      <c r="D7788" s="36"/>
      <c r="E7788" s="36"/>
      <c r="F7788" s="36"/>
      <c r="G7788" s="36"/>
      <c r="H7788" s="36"/>
      <c r="I7788" s="37"/>
      <c r="J7788" s="36"/>
      <c r="K7788" s="38"/>
      <c r="L7788" s="38"/>
    </row>
    <row r="7789" spans="1:12" x14ac:dyDescent="0.25">
      <c r="A7789" s="35"/>
      <c r="B7789" s="36"/>
      <c r="C7789" s="36"/>
      <c r="D7789" s="36"/>
      <c r="E7789" s="36"/>
      <c r="F7789" s="36"/>
      <c r="G7789" s="36"/>
      <c r="H7789" s="36"/>
      <c r="I7789" s="37"/>
      <c r="J7789" s="36"/>
      <c r="K7789" s="38"/>
      <c r="L7789" s="38"/>
    </row>
    <row r="7790" spans="1:12" x14ac:dyDescent="0.25">
      <c r="A7790" s="35"/>
      <c r="B7790" s="36"/>
      <c r="C7790" s="36"/>
      <c r="D7790" s="36"/>
      <c r="E7790" s="36"/>
      <c r="F7790" s="36"/>
      <c r="G7790" s="36"/>
      <c r="H7790" s="36"/>
      <c r="I7790" s="37"/>
      <c r="J7790" s="36"/>
      <c r="K7790" s="38"/>
      <c r="L7790" s="38"/>
    </row>
    <row r="7791" spans="1:12" x14ac:dyDescent="0.25">
      <c r="A7791" s="35"/>
      <c r="B7791" s="36"/>
      <c r="C7791" s="36"/>
      <c r="D7791" s="36"/>
      <c r="E7791" s="36"/>
      <c r="F7791" s="36"/>
      <c r="G7791" s="36"/>
      <c r="H7791" s="36"/>
      <c r="I7791" s="37"/>
      <c r="J7791" s="36"/>
      <c r="K7791" s="38"/>
      <c r="L7791" s="38"/>
    </row>
    <row r="7792" spans="1:12" x14ac:dyDescent="0.25">
      <c r="A7792" s="35"/>
      <c r="B7792" s="36"/>
      <c r="C7792" s="36"/>
      <c r="D7792" s="36"/>
      <c r="E7792" s="36"/>
      <c r="F7792" s="36"/>
      <c r="G7792" s="36"/>
      <c r="H7792" s="36"/>
      <c r="I7792" s="37"/>
      <c r="J7792" s="36"/>
      <c r="K7792" s="38"/>
      <c r="L7792" s="38"/>
    </row>
    <row r="7793" spans="1:12" x14ac:dyDescent="0.25">
      <c r="A7793" s="35"/>
      <c r="B7793" s="36"/>
      <c r="C7793" s="36"/>
      <c r="D7793" s="36"/>
      <c r="E7793" s="36"/>
      <c r="F7793" s="36"/>
      <c r="G7793" s="36"/>
      <c r="H7793" s="36"/>
      <c r="I7793" s="37"/>
      <c r="J7793" s="36"/>
      <c r="K7793" s="38"/>
      <c r="L7793" s="38"/>
    </row>
    <row r="7794" spans="1:12" x14ac:dyDescent="0.25">
      <c r="A7794" s="35"/>
      <c r="B7794" s="36"/>
      <c r="C7794" s="36"/>
      <c r="D7794" s="36"/>
      <c r="E7794" s="36"/>
      <c r="F7794" s="36"/>
      <c r="G7794" s="36"/>
      <c r="H7794" s="36"/>
      <c r="I7794" s="37"/>
      <c r="J7794" s="36"/>
      <c r="K7794" s="38"/>
      <c r="L7794" s="38"/>
    </row>
    <row r="7795" spans="1:12" x14ac:dyDescent="0.25">
      <c r="A7795" s="35"/>
      <c r="B7795" s="36"/>
      <c r="C7795" s="36"/>
      <c r="D7795" s="36"/>
      <c r="E7795" s="36"/>
      <c r="F7795" s="36"/>
      <c r="G7795" s="36"/>
      <c r="H7795" s="36"/>
      <c r="I7795" s="37"/>
      <c r="J7795" s="36"/>
      <c r="K7795" s="38"/>
      <c r="L7795" s="38"/>
    </row>
    <row r="7796" spans="1:12" x14ac:dyDescent="0.25">
      <c r="A7796" s="35"/>
      <c r="B7796" s="36"/>
      <c r="C7796" s="36"/>
      <c r="D7796" s="36"/>
      <c r="E7796" s="36"/>
      <c r="F7796" s="36"/>
      <c r="G7796" s="36"/>
      <c r="H7796" s="36"/>
      <c r="I7796" s="37"/>
      <c r="J7796" s="36"/>
      <c r="K7796" s="38"/>
      <c r="L7796" s="38"/>
    </row>
    <row r="7797" spans="1:12" x14ac:dyDescent="0.25">
      <c r="A7797" s="35"/>
      <c r="B7797" s="36"/>
      <c r="C7797" s="36"/>
      <c r="D7797" s="36"/>
      <c r="E7797" s="36"/>
      <c r="F7797" s="36"/>
      <c r="G7797" s="36"/>
      <c r="H7797" s="36"/>
      <c r="I7797" s="37"/>
      <c r="J7797" s="36"/>
      <c r="K7797" s="38"/>
      <c r="L7797" s="38"/>
    </row>
    <row r="7798" spans="1:12" x14ac:dyDescent="0.25">
      <c r="A7798" s="35"/>
      <c r="B7798" s="36"/>
      <c r="C7798" s="36"/>
      <c r="D7798" s="36"/>
      <c r="E7798" s="36"/>
      <c r="F7798" s="36"/>
      <c r="G7798" s="36"/>
      <c r="H7798" s="36"/>
      <c r="I7798" s="37"/>
      <c r="J7798" s="36"/>
      <c r="K7798" s="38"/>
      <c r="L7798" s="38"/>
    </row>
    <row r="7799" spans="1:12" x14ac:dyDescent="0.25">
      <c r="A7799" s="35"/>
      <c r="B7799" s="36"/>
      <c r="C7799" s="36"/>
      <c r="D7799" s="36"/>
      <c r="E7799" s="36"/>
      <c r="F7799" s="36"/>
      <c r="G7799" s="36"/>
      <c r="H7799" s="36"/>
      <c r="I7799" s="37"/>
      <c r="J7799" s="36"/>
      <c r="K7799" s="38"/>
      <c r="L7799" s="38"/>
    </row>
    <row r="7800" spans="1:12" x14ac:dyDescent="0.25">
      <c r="A7800" s="35"/>
      <c r="B7800" s="36"/>
      <c r="C7800" s="36"/>
      <c r="D7800" s="36"/>
      <c r="E7800" s="36"/>
      <c r="F7800" s="36"/>
      <c r="G7800" s="36"/>
      <c r="H7800" s="36"/>
      <c r="I7800" s="37"/>
      <c r="J7800" s="36"/>
      <c r="K7800" s="38"/>
      <c r="L7800" s="38"/>
    </row>
    <row r="7801" spans="1:12" x14ac:dyDescent="0.25">
      <c r="A7801" s="35"/>
      <c r="B7801" s="36"/>
      <c r="C7801" s="36"/>
      <c r="D7801" s="36"/>
      <c r="E7801" s="36"/>
      <c r="F7801" s="36"/>
      <c r="G7801" s="36"/>
      <c r="H7801" s="36"/>
      <c r="I7801" s="37"/>
      <c r="J7801" s="36"/>
      <c r="K7801" s="38"/>
      <c r="L7801" s="38"/>
    </row>
    <row r="7802" spans="1:12" x14ac:dyDescent="0.25">
      <c r="A7802" s="35"/>
      <c r="B7802" s="36"/>
      <c r="C7802" s="36"/>
      <c r="D7802" s="36"/>
      <c r="E7802" s="36"/>
      <c r="F7802" s="36"/>
      <c r="G7802" s="36"/>
      <c r="H7802" s="36"/>
      <c r="I7802" s="37"/>
      <c r="J7802" s="36"/>
      <c r="K7802" s="38"/>
      <c r="L7802" s="38"/>
    </row>
    <row r="7803" spans="1:12" x14ac:dyDescent="0.25">
      <c r="A7803" s="35"/>
      <c r="B7803" s="36"/>
      <c r="C7803" s="36"/>
      <c r="D7803" s="36"/>
      <c r="E7803" s="36"/>
      <c r="F7803" s="36"/>
      <c r="G7803" s="36"/>
      <c r="H7803" s="36"/>
      <c r="I7803" s="37"/>
      <c r="J7803" s="36"/>
      <c r="K7803" s="38"/>
      <c r="L7803" s="38"/>
    </row>
    <row r="7804" spans="1:12" x14ac:dyDescent="0.25">
      <c r="A7804" s="35"/>
      <c r="B7804" s="36"/>
      <c r="C7804" s="36"/>
      <c r="D7804" s="36"/>
      <c r="E7804" s="36"/>
      <c r="F7804" s="36"/>
      <c r="G7804" s="36"/>
      <c r="H7804" s="36"/>
      <c r="I7804" s="37"/>
      <c r="J7804" s="36"/>
      <c r="K7804" s="38"/>
      <c r="L7804" s="38"/>
    </row>
    <row r="7805" spans="1:12" x14ac:dyDescent="0.25">
      <c r="A7805" s="35"/>
      <c r="B7805" s="36"/>
      <c r="C7805" s="36"/>
      <c r="D7805" s="36"/>
      <c r="E7805" s="36"/>
      <c r="F7805" s="36"/>
      <c r="G7805" s="36"/>
      <c r="H7805" s="36"/>
      <c r="I7805" s="37"/>
      <c r="J7805" s="36"/>
      <c r="K7805" s="38"/>
      <c r="L7805" s="38"/>
    </row>
    <row r="7806" spans="1:12" x14ac:dyDescent="0.25">
      <c r="A7806" s="35"/>
      <c r="B7806" s="36"/>
      <c r="C7806" s="36"/>
      <c r="D7806" s="36"/>
      <c r="E7806" s="36"/>
      <c r="F7806" s="36"/>
      <c r="G7806" s="36"/>
      <c r="H7806" s="36"/>
      <c r="I7806" s="37"/>
      <c r="J7806" s="36"/>
      <c r="K7806" s="38"/>
      <c r="L7806" s="38"/>
    </row>
    <row r="7807" spans="1:12" x14ac:dyDescent="0.25">
      <c r="A7807" s="35"/>
      <c r="B7807" s="36"/>
      <c r="C7807" s="36"/>
      <c r="D7807" s="36"/>
      <c r="E7807" s="36"/>
      <c r="F7807" s="36"/>
      <c r="G7807" s="36"/>
      <c r="H7807" s="36"/>
      <c r="I7807" s="37"/>
      <c r="J7807" s="36"/>
      <c r="K7807" s="38"/>
      <c r="L7807" s="38"/>
    </row>
    <row r="7808" spans="1:12" x14ac:dyDescent="0.25">
      <c r="A7808" s="35"/>
      <c r="B7808" s="36"/>
      <c r="C7808" s="36"/>
      <c r="D7808" s="36"/>
      <c r="E7808" s="36"/>
      <c r="F7808" s="36"/>
      <c r="G7808" s="36"/>
      <c r="H7808" s="36"/>
      <c r="I7808" s="37"/>
      <c r="J7808" s="36"/>
      <c r="K7808" s="38"/>
      <c r="L7808" s="38"/>
    </row>
    <row r="7809" spans="1:12" x14ac:dyDescent="0.25">
      <c r="A7809" s="35"/>
      <c r="B7809" s="36"/>
      <c r="C7809" s="36"/>
      <c r="D7809" s="36"/>
      <c r="E7809" s="36"/>
      <c r="F7809" s="36"/>
      <c r="G7809" s="36"/>
      <c r="H7809" s="36"/>
      <c r="I7809" s="37"/>
      <c r="J7809" s="36"/>
      <c r="K7809" s="38"/>
      <c r="L7809" s="38"/>
    </row>
    <row r="7810" spans="1:12" x14ac:dyDescent="0.25">
      <c r="A7810" s="35"/>
      <c r="B7810" s="36"/>
      <c r="C7810" s="36"/>
      <c r="D7810" s="36"/>
      <c r="E7810" s="36"/>
      <c r="F7810" s="36"/>
      <c r="G7810" s="36"/>
      <c r="H7810" s="36"/>
      <c r="I7810" s="37"/>
      <c r="J7810" s="36"/>
      <c r="K7810" s="38"/>
      <c r="L7810" s="38"/>
    </row>
    <row r="7811" spans="1:12" x14ac:dyDescent="0.25">
      <c r="A7811" s="35"/>
      <c r="B7811" s="36"/>
      <c r="C7811" s="36"/>
      <c r="D7811" s="36"/>
      <c r="E7811" s="36"/>
      <c r="F7811" s="36"/>
      <c r="G7811" s="36"/>
      <c r="H7811" s="36"/>
      <c r="I7811" s="37"/>
      <c r="J7811" s="36"/>
      <c r="K7811" s="38"/>
      <c r="L7811" s="38"/>
    </row>
    <row r="7812" spans="1:12" x14ac:dyDescent="0.25">
      <c r="A7812" s="35"/>
      <c r="B7812" s="36"/>
      <c r="C7812" s="36"/>
      <c r="D7812" s="36"/>
      <c r="E7812" s="36"/>
      <c r="F7812" s="36"/>
      <c r="G7812" s="36"/>
      <c r="H7812" s="36"/>
      <c r="I7812" s="37"/>
      <c r="J7812" s="36"/>
      <c r="K7812" s="38"/>
      <c r="L7812" s="38"/>
    </row>
    <row r="7813" spans="1:12" x14ac:dyDescent="0.25">
      <c r="A7813" s="35"/>
      <c r="B7813" s="36"/>
      <c r="C7813" s="36"/>
      <c r="D7813" s="36"/>
      <c r="E7813" s="36"/>
      <c r="F7813" s="36"/>
      <c r="G7813" s="36"/>
      <c r="H7813" s="36"/>
      <c r="I7813" s="37"/>
      <c r="J7813" s="36"/>
      <c r="K7813" s="38"/>
      <c r="L7813" s="38"/>
    </row>
    <row r="7814" spans="1:12" x14ac:dyDescent="0.25">
      <c r="A7814" s="35"/>
      <c r="B7814" s="36"/>
      <c r="C7814" s="36"/>
      <c r="D7814" s="36"/>
      <c r="E7814" s="36"/>
      <c r="F7814" s="36"/>
      <c r="G7814" s="36"/>
      <c r="H7814" s="36"/>
      <c r="I7814" s="37"/>
      <c r="J7814" s="36"/>
      <c r="K7814" s="38"/>
      <c r="L7814" s="38"/>
    </row>
    <row r="7815" spans="1:12" x14ac:dyDescent="0.25">
      <c r="A7815" s="35"/>
      <c r="B7815" s="36"/>
      <c r="C7815" s="36"/>
      <c r="D7815" s="36"/>
      <c r="E7815" s="36"/>
      <c r="F7815" s="36"/>
      <c r="G7815" s="36"/>
      <c r="H7815" s="36"/>
      <c r="I7815" s="37"/>
      <c r="J7815" s="36"/>
      <c r="K7815" s="38"/>
      <c r="L7815" s="38"/>
    </row>
    <row r="7816" spans="1:12" x14ac:dyDescent="0.25">
      <c r="A7816" s="35"/>
      <c r="B7816" s="36"/>
      <c r="C7816" s="36"/>
      <c r="D7816" s="36"/>
      <c r="E7816" s="36"/>
      <c r="F7816" s="36"/>
      <c r="G7816" s="36"/>
      <c r="H7816" s="36"/>
      <c r="I7816" s="37"/>
      <c r="J7816" s="36"/>
      <c r="K7816" s="38"/>
      <c r="L7816" s="38"/>
    </row>
    <row r="7817" spans="1:12" x14ac:dyDescent="0.25">
      <c r="A7817" s="35"/>
      <c r="B7817" s="36"/>
      <c r="C7817" s="36"/>
      <c r="D7817" s="36"/>
      <c r="E7817" s="36"/>
      <c r="F7817" s="36"/>
      <c r="G7817" s="36"/>
      <c r="H7817" s="36"/>
      <c r="I7817" s="37"/>
      <c r="J7817" s="36"/>
      <c r="K7817" s="38"/>
      <c r="L7817" s="38"/>
    </row>
    <row r="7818" spans="1:12" x14ac:dyDescent="0.25">
      <c r="A7818" s="35"/>
      <c r="B7818" s="36"/>
      <c r="C7818" s="36"/>
      <c r="D7818" s="36"/>
      <c r="E7818" s="36"/>
      <c r="F7818" s="36"/>
      <c r="G7818" s="36"/>
      <c r="H7818" s="36"/>
      <c r="I7818" s="37"/>
      <c r="J7818" s="36"/>
      <c r="K7818" s="38"/>
      <c r="L7818" s="38"/>
    </row>
    <row r="7819" spans="1:12" x14ac:dyDescent="0.25">
      <c r="A7819" s="35"/>
      <c r="B7819" s="36"/>
      <c r="C7819" s="36"/>
      <c r="D7819" s="36"/>
      <c r="E7819" s="36"/>
      <c r="F7819" s="36"/>
      <c r="G7819" s="36"/>
      <c r="H7819" s="36"/>
      <c r="I7819" s="37"/>
      <c r="J7819" s="36"/>
      <c r="K7819" s="38"/>
      <c r="L7819" s="38"/>
    </row>
    <row r="7820" spans="1:12" x14ac:dyDescent="0.25">
      <c r="A7820" s="35"/>
      <c r="B7820" s="36"/>
      <c r="C7820" s="36"/>
      <c r="D7820" s="36"/>
      <c r="E7820" s="36"/>
      <c r="F7820" s="36"/>
      <c r="G7820" s="36"/>
      <c r="H7820" s="36"/>
      <c r="I7820" s="37"/>
      <c r="J7820" s="36"/>
      <c r="K7820" s="38"/>
      <c r="L7820" s="38"/>
    </row>
    <row r="7821" spans="1:12" x14ac:dyDescent="0.25">
      <c r="A7821" s="35"/>
      <c r="B7821" s="36"/>
      <c r="C7821" s="36"/>
      <c r="D7821" s="36"/>
      <c r="E7821" s="36"/>
      <c r="F7821" s="36"/>
      <c r="G7821" s="36"/>
      <c r="H7821" s="36"/>
      <c r="I7821" s="37"/>
      <c r="J7821" s="36"/>
      <c r="K7821" s="38"/>
      <c r="L7821" s="38"/>
    </row>
    <row r="7822" spans="1:12" x14ac:dyDescent="0.25">
      <c r="A7822" s="35"/>
      <c r="B7822" s="36"/>
      <c r="C7822" s="36"/>
      <c r="D7822" s="36"/>
      <c r="E7822" s="36"/>
      <c r="F7822" s="36"/>
      <c r="G7822" s="36"/>
      <c r="H7822" s="36"/>
      <c r="I7822" s="37"/>
      <c r="J7822" s="36"/>
      <c r="K7822" s="38"/>
      <c r="L7822" s="38"/>
    </row>
    <row r="7823" spans="1:12" x14ac:dyDescent="0.25">
      <c r="A7823" s="35"/>
      <c r="B7823" s="36"/>
      <c r="C7823" s="36"/>
      <c r="D7823" s="36"/>
      <c r="E7823" s="36"/>
      <c r="F7823" s="36"/>
      <c r="G7823" s="36"/>
      <c r="H7823" s="36"/>
      <c r="I7823" s="37"/>
      <c r="J7823" s="36"/>
      <c r="K7823" s="38"/>
      <c r="L7823" s="38"/>
    </row>
    <row r="7824" spans="1:12" x14ac:dyDescent="0.25">
      <c r="A7824" s="35"/>
      <c r="B7824" s="36"/>
      <c r="C7824" s="36"/>
      <c r="D7824" s="36"/>
      <c r="E7824" s="36"/>
      <c r="F7824" s="36"/>
      <c r="G7824" s="36"/>
      <c r="H7824" s="36"/>
      <c r="I7824" s="37"/>
      <c r="J7824" s="36"/>
      <c r="K7824" s="38"/>
      <c r="L7824" s="38"/>
    </row>
    <row r="7825" spans="1:12" x14ac:dyDescent="0.25">
      <c r="A7825" s="35"/>
      <c r="B7825" s="36"/>
      <c r="C7825" s="36"/>
      <c r="D7825" s="36"/>
      <c r="E7825" s="36"/>
      <c r="F7825" s="36"/>
      <c r="G7825" s="36"/>
      <c r="H7825" s="36"/>
      <c r="I7825" s="37"/>
      <c r="J7825" s="36"/>
      <c r="K7825" s="38"/>
      <c r="L7825" s="38"/>
    </row>
    <row r="7826" spans="1:12" x14ac:dyDescent="0.25">
      <c r="A7826" s="35"/>
      <c r="B7826" s="36"/>
      <c r="C7826" s="36"/>
      <c r="D7826" s="36"/>
      <c r="E7826" s="36"/>
      <c r="F7826" s="36"/>
      <c r="G7826" s="36"/>
      <c r="H7826" s="36"/>
      <c r="I7826" s="37"/>
      <c r="J7826" s="36"/>
      <c r="K7826" s="38"/>
      <c r="L7826" s="38"/>
    </row>
    <row r="7827" spans="1:12" x14ac:dyDescent="0.25">
      <c r="A7827" s="35"/>
      <c r="B7827" s="36"/>
      <c r="C7827" s="36"/>
      <c r="D7827" s="36"/>
      <c r="E7827" s="36"/>
      <c r="F7827" s="36"/>
      <c r="G7827" s="36"/>
      <c r="H7827" s="36"/>
      <c r="I7827" s="37"/>
      <c r="J7827" s="36"/>
      <c r="K7827" s="38"/>
      <c r="L7827" s="38"/>
    </row>
    <row r="7828" spans="1:12" x14ac:dyDescent="0.25">
      <c r="A7828" s="35"/>
      <c r="B7828" s="36"/>
      <c r="C7828" s="36"/>
      <c r="D7828" s="36"/>
      <c r="E7828" s="36"/>
      <c r="F7828" s="36"/>
      <c r="G7828" s="36"/>
      <c r="H7828" s="36"/>
      <c r="I7828" s="37"/>
      <c r="J7828" s="36"/>
      <c r="K7828" s="38"/>
      <c r="L7828" s="38"/>
    </row>
    <row r="7829" spans="1:12" x14ac:dyDescent="0.25">
      <c r="A7829" s="35"/>
      <c r="B7829" s="36"/>
      <c r="C7829" s="36"/>
      <c r="D7829" s="36"/>
      <c r="E7829" s="36"/>
      <c r="F7829" s="36"/>
      <c r="G7829" s="36"/>
      <c r="H7829" s="36"/>
      <c r="I7829" s="37"/>
      <c r="J7829" s="36"/>
      <c r="K7829" s="38"/>
      <c r="L7829" s="38"/>
    </row>
    <row r="7830" spans="1:12" x14ac:dyDescent="0.25">
      <c r="A7830" s="35"/>
      <c r="B7830" s="36"/>
      <c r="C7830" s="36"/>
      <c r="D7830" s="36"/>
      <c r="E7830" s="36"/>
      <c r="F7830" s="36"/>
      <c r="G7830" s="36"/>
      <c r="H7830" s="36"/>
      <c r="I7830" s="37"/>
      <c r="J7830" s="36"/>
      <c r="K7830" s="38"/>
      <c r="L7830" s="38"/>
    </row>
    <row r="7831" spans="1:12" x14ac:dyDescent="0.25">
      <c r="A7831" s="35"/>
      <c r="B7831" s="36"/>
      <c r="C7831" s="36"/>
      <c r="D7831" s="36"/>
      <c r="E7831" s="36"/>
      <c r="F7831" s="36"/>
      <c r="G7831" s="36"/>
      <c r="H7831" s="36"/>
      <c r="I7831" s="37"/>
      <c r="J7831" s="36"/>
      <c r="K7831" s="38"/>
      <c r="L7831" s="38"/>
    </row>
    <row r="7832" spans="1:12" x14ac:dyDescent="0.25">
      <c r="A7832" s="35"/>
      <c r="B7832" s="36"/>
      <c r="C7832" s="36"/>
      <c r="D7832" s="36"/>
      <c r="E7832" s="36"/>
      <c r="F7832" s="36"/>
      <c r="G7832" s="36"/>
      <c r="H7832" s="36"/>
      <c r="I7832" s="37"/>
      <c r="J7832" s="36"/>
      <c r="K7832" s="38"/>
      <c r="L7832" s="38"/>
    </row>
    <row r="7833" spans="1:12" x14ac:dyDescent="0.25">
      <c r="A7833" s="35"/>
      <c r="B7833" s="36"/>
      <c r="C7833" s="36"/>
      <c r="D7833" s="36"/>
      <c r="E7833" s="36"/>
      <c r="F7833" s="36"/>
      <c r="G7833" s="36"/>
      <c r="H7833" s="36"/>
      <c r="I7833" s="37"/>
      <c r="J7833" s="36"/>
      <c r="K7833" s="38"/>
      <c r="L7833" s="38"/>
    </row>
    <row r="7834" spans="1:12" x14ac:dyDescent="0.25">
      <c r="A7834" s="35"/>
      <c r="B7834" s="36"/>
      <c r="C7834" s="36"/>
      <c r="D7834" s="36"/>
      <c r="E7834" s="36"/>
      <c r="F7834" s="36"/>
      <c r="G7834" s="36"/>
      <c r="H7834" s="36"/>
      <c r="I7834" s="37"/>
      <c r="J7834" s="36"/>
      <c r="K7834" s="38"/>
      <c r="L7834" s="38"/>
    </row>
    <row r="7835" spans="1:12" x14ac:dyDescent="0.25">
      <c r="A7835" s="35"/>
      <c r="B7835" s="36"/>
      <c r="C7835" s="36"/>
      <c r="D7835" s="36"/>
      <c r="E7835" s="36"/>
      <c r="F7835" s="36"/>
      <c r="G7835" s="36"/>
      <c r="H7835" s="36"/>
      <c r="I7835" s="37"/>
      <c r="J7835" s="36"/>
      <c r="K7835" s="38"/>
      <c r="L7835" s="38"/>
    </row>
    <row r="7836" spans="1:12" x14ac:dyDescent="0.25">
      <c r="A7836" s="35"/>
      <c r="B7836" s="36"/>
      <c r="C7836" s="36"/>
      <c r="D7836" s="36"/>
      <c r="E7836" s="36"/>
      <c r="F7836" s="36"/>
      <c r="G7836" s="36"/>
      <c r="H7836" s="36"/>
      <c r="I7836" s="37"/>
      <c r="J7836" s="36"/>
      <c r="K7836" s="38"/>
      <c r="L7836" s="38"/>
    </row>
    <row r="7837" spans="1:12" x14ac:dyDescent="0.25">
      <c r="A7837" s="35"/>
      <c r="B7837" s="36"/>
      <c r="C7837" s="36"/>
      <c r="D7837" s="36"/>
      <c r="E7837" s="36"/>
      <c r="F7837" s="36"/>
      <c r="G7837" s="36"/>
      <c r="H7837" s="36"/>
      <c r="I7837" s="37"/>
      <c r="J7837" s="36"/>
      <c r="K7837" s="38"/>
      <c r="L7837" s="38"/>
    </row>
    <row r="7838" spans="1:12" x14ac:dyDescent="0.25">
      <c r="A7838" s="35"/>
      <c r="B7838" s="36"/>
      <c r="C7838" s="36"/>
      <c r="D7838" s="36"/>
      <c r="E7838" s="36"/>
      <c r="F7838" s="36"/>
      <c r="G7838" s="36"/>
      <c r="H7838" s="36"/>
      <c r="I7838" s="37"/>
      <c r="J7838" s="36"/>
      <c r="K7838" s="38"/>
      <c r="L7838" s="38"/>
    </row>
    <row r="7839" spans="1:12" x14ac:dyDescent="0.25">
      <c r="A7839" s="35"/>
      <c r="B7839" s="36"/>
      <c r="C7839" s="36"/>
      <c r="D7839" s="36"/>
      <c r="E7839" s="36"/>
      <c r="F7839" s="36"/>
      <c r="G7839" s="36"/>
      <c r="H7839" s="36"/>
      <c r="I7839" s="37"/>
      <c r="J7839" s="36"/>
      <c r="K7839" s="38"/>
      <c r="L7839" s="38"/>
    </row>
    <row r="7840" spans="1:12" x14ac:dyDescent="0.25">
      <c r="A7840" s="35"/>
      <c r="B7840" s="36"/>
      <c r="C7840" s="36"/>
      <c r="D7840" s="36"/>
      <c r="E7840" s="36"/>
      <c r="F7840" s="36"/>
      <c r="G7840" s="36"/>
      <c r="H7840" s="36"/>
      <c r="I7840" s="37"/>
      <c r="J7840" s="36"/>
      <c r="K7840" s="38"/>
      <c r="L7840" s="38"/>
    </row>
    <row r="7841" spans="1:12" x14ac:dyDescent="0.25">
      <c r="A7841" s="35"/>
      <c r="B7841" s="36"/>
      <c r="C7841" s="36"/>
      <c r="D7841" s="36"/>
      <c r="E7841" s="36"/>
      <c r="F7841" s="36"/>
      <c r="G7841" s="36"/>
      <c r="H7841" s="36"/>
      <c r="I7841" s="37"/>
      <c r="J7841" s="36"/>
      <c r="K7841" s="38"/>
      <c r="L7841" s="38"/>
    </row>
    <row r="7842" spans="1:12" x14ac:dyDescent="0.25">
      <c r="A7842" s="35"/>
      <c r="B7842" s="36"/>
      <c r="C7842" s="36"/>
      <c r="D7842" s="36"/>
      <c r="E7842" s="36"/>
      <c r="F7842" s="36"/>
      <c r="G7842" s="36"/>
      <c r="H7842" s="36"/>
      <c r="I7842" s="37"/>
      <c r="J7842" s="36"/>
      <c r="K7842" s="38"/>
      <c r="L7842" s="38"/>
    </row>
    <row r="7843" spans="1:12" x14ac:dyDescent="0.25">
      <c r="A7843" s="35"/>
      <c r="B7843" s="36"/>
      <c r="C7843" s="36"/>
      <c r="D7843" s="36"/>
      <c r="E7843" s="36"/>
      <c r="F7843" s="36"/>
      <c r="G7843" s="36"/>
      <c r="H7843" s="36"/>
      <c r="I7843" s="37"/>
      <c r="J7843" s="36"/>
      <c r="K7843" s="38"/>
      <c r="L7843" s="38"/>
    </row>
    <row r="7844" spans="1:12" x14ac:dyDescent="0.25">
      <c r="A7844" s="35"/>
      <c r="B7844" s="36"/>
      <c r="C7844" s="36"/>
      <c r="D7844" s="36"/>
      <c r="E7844" s="36"/>
      <c r="F7844" s="36"/>
      <c r="G7844" s="36"/>
      <c r="H7844" s="36"/>
      <c r="I7844" s="37"/>
      <c r="J7844" s="36"/>
      <c r="K7844" s="38"/>
      <c r="L7844" s="38"/>
    </row>
    <row r="7845" spans="1:12" x14ac:dyDescent="0.25">
      <c r="A7845" s="35"/>
      <c r="B7845" s="36"/>
      <c r="C7845" s="36"/>
      <c r="D7845" s="36"/>
      <c r="E7845" s="36"/>
      <c r="F7845" s="36"/>
      <c r="G7845" s="36"/>
      <c r="H7845" s="36"/>
      <c r="I7845" s="37"/>
      <c r="J7845" s="36"/>
      <c r="K7845" s="38"/>
      <c r="L7845" s="38"/>
    </row>
    <row r="7846" spans="1:12" x14ac:dyDescent="0.25">
      <c r="A7846" s="35"/>
      <c r="B7846" s="36"/>
      <c r="C7846" s="36"/>
      <c r="D7846" s="36"/>
      <c r="E7846" s="36"/>
      <c r="F7846" s="36"/>
      <c r="G7846" s="36"/>
      <c r="H7846" s="36"/>
      <c r="I7846" s="37"/>
      <c r="J7846" s="36"/>
      <c r="K7846" s="38"/>
      <c r="L7846" s="38"/>
    </row>
    <row r="7847" spans="1:12" x14ac:dyDescent="0.25">
      <c r="A7847" s="35"/>
      <c r="B7847" s="36"/>
      <c r="C7847" s="36"/>
      <c r="D7847" s="36"/>
      <c r="E7847" s="36"/>
      <c r="F7847" s="36"/>
      <c r="G7847" s="36"/>
      <c r="H7847" s="36"/>
      <c r="I7847" s="37"/>
      <c r="J7847" s="36"/>
      <c r="K7847" s="38"/>
      <c r="L7847" s="38"/>
    </row>
    <row r="7848" spans="1:12" x14ac:dyDescent="0.25">
      <c r="A7848" s="35"/>
      <c r="B7848" s="36"/>
      <c r="C7848" s="36"/>
      <c r="D7848" s="36"/>
      <c r="E7848" s="36"/>
      <c r="F7848" s="36"/>
      <c r="G7848" s="36"/>
      <c r="H7848" s="36"/>
      <c r="I7848" s="37"/>
      <c r="J7848" s="36"/>
      <c r="K7848" s="38"/>
      <c r="L7848" s="38"/>
    </row>
    <row r="7849" spans="1:12" x14ac:dyDescent="0.25">
      <c r="A7849" s="35"/>
      <c r="B7849" s="36"/>
      <c r="C7849" s="36"/>
      <c r="D7849" s="36"/>
      <c r="E7849" s="36"/>
      <c r="F7849" s="36"/>
      <c r="G7849" s="36"/>
      <c r="H7849" s="36"/>
      <c r="I7849" s="37"/>
      <c r="J7849" s="36"/>
      <c r="K7849" s="38"/>
      <c r="L7849" s="38"/>
    </row>
    <row r="7850" spans="1:12" x14ac:dyDescent="0.25">
      <c r="A7850" s="35"/>
      <c r="B7850" s="36"/>
      <c r="C7850" s="36"/>
      <c r="D7850" s="36"/>
      <c r="E7850" s="36"/>
      <c r="F7850" s="36"/>
      <c r="G7850" s="36"/>
      <c r="H7850" s="36"/>
      <c r="I7850" s="37"/>
      <c r="J7850" s="36"/>
      <c r="K7850" s="38"/>
      <c r="L7850" s="38"/>
    </row>
    <row r="7851" spans="1:12" x14ac:dyDescent="0.25">
      <c r="A7851" s="35"/>
      <c r="B7851" s="36"/>
      <c r="C7851" s="36"/>
      <c r="D7851" s="36"/>
      <c r="E7851" s="36"/>
      <c r="F7851" s="36"/>
      <c r="G7851" s="36"/>
      <c r="H7851" s="36"/>
      <c r="I7851" s="37"/>
      <c r="J7851" s="36"/>
      <c r="K7851" s="38"/>
      <c r="L7851" s="38"/>
    </row>
    <row r="7852" spans="1:12" x14ac:dyDescent="0.25">
      <c r="A7852" s="35"/>
      <c r="B7852" s="36"/>
      <c r="C7852" s="36"/>
      <c r="D7852" s="36"/>
      <c r="E7852" s="36"/>
      <c r="F7852" s="36"/>
      <c r="G7852" s="36"/>
      <c r="H7852" s="36"/>
      <c r="I7852" s="37"/>
      <c r="J7852" s="36"/>
      <c r="K7852" s="38"/>
      <c r="L7852" s="38"/>
    </row>
    <row r="7853" spans="1:12" x14ac:dyDescent="0.25">
      <c r="A7853" s="35"/>
      <c r="B7853" s="36"/>
      <c r="C7853" s="36"/>
      <c r="D7853" s="36"/>
      <c r="E7853" s="36"/>
      <c r="F7853" s="36"/>
      <c r="G7853" s="36"/>
      <c r="H7853" s="36"/>
      <c r="I7853" s="37"/>
      <c r="J7853" s="36"/>
      <c r="K7853" s="38"/>
      <c r="L7853" s="38"/>
    </row>
    <row r="7854" spans="1:12" x14ac:dyDescent="0.25">
      <c r="A7854" s="35"/>
      <c r="B7854" s="36"/>
      <c r="C7854" s="36"/>
      <c r="D7854" s="36"/>
      <c r="E7854" s="36"/>
      <c r="F7854" s="36"/>
      <c r="G7854" s="36"/>
      <c r="H7854" s="36"/>
      <c r="I7854" s="37"/>
      <c r="J7854" s="36"/>
      <c r="K7854" s="38"/>
      <c r="L7854" s="38"/>
    </row>
    <row r="7855" spans="1:12" x14ac:dyDescent="0.25">
      <c r="A7855" s="35"/>
      <c r="B7855" s="36"/>
      <c r="C7855" s="36"/>
      <c r="D7855" s="36"/>
      <c r="E7855" s="36"/>
      <c r="F7855" s="36"/>
      <c r="G7855" s="36"/>
      <c r="H7855" s="36"/>
      <c r="I7855" s="37"/>
      <c r="J7855" s="36"/>
      <c r="K7855" s="38"/>
      <c r="L7855" s="38"/>
    </row>
    <row r="7856" spans="1:12" x14ac:dyDescent="0.25">
      <c r="A7856" s="35"/>
      <c r="B7856" s="36"/>
      <c r="C7856" s="36"/>
      <c r="D7856" s="36"/>
      <c r="E7856" s="36"/>
      <c r="F7856" s="36"/>
      <c r="G7856" s="36"/>
      <c r="H7856" s="36"/>
      <c r="I7856" s="37"/>
      <c r="J7856" s="36"/>
      <c r="K7856" s="38"/>
      <c r="L7856" s="38"/>
    </row>
    <row r="7857" spans="1:12" x14ac:dyDescent="0.25">
      <c r="A7857" s="35"/>
      <c r="B7857" s="36"/>
      <c r="C7857" s="36"/>
      <c r="D7857" s="36"/>
      <c r="E7857" s="36"/>
      <c r="F7857" s="36"/>
      <c r="G7857" s="36"/>
      <c r="H7857" s="36"/>
      <c r="I7857" s="37"/>
      <c r="J7857" s="36"/>
      <c r="K7857" s="38"/>
      <c r="L7857" s="38"/>
    </row>
    <row r="7858" spans="1:12" x14ac:dyDescent="0.25">
      <c r="A7858" s="35"/>
      <c r="B7858" s="36"/>
      <c r="C7858" s="36"/>
      <c r="D7858" s="36"/>
      <c r="E7858" s="36"/>
      <c r="F7858" s="36"/>
      <c r="G7858" s="36"/>
      <c r="H7858" s="36"/>
      <c r="I7858" s="37"/>
      <c r="J7858" s="36"/>
      <c r="K7858" s="38"/>
      <c r="L7858" s="38"/>
    </row>
    <row r="7859" spans="1:12" x14ac:dyDescent="0.25">
      <c r="A7859" s="35"/>
      <c r="B7859" s="36"/>
      <c r="C7859" s="36"/>
      <c r="D7859" s="36"/>
      <c r="E7859" s="36"/>
      <c r="F7859" s="36"/>
      <c r="G7859" s="36"/>
      <c r="H7859" s="36"/>
      <c r="I7859" s="37"/>
      <c r="J7859" s="36"/>
      <c r="K7859" s="38"/>
      <c r="L7859" s="38"/>
    </row>
    <row r="7860" spans="1:12" x14ac:dyDescent="0.25">
      <c r="A7860" s="35"/>
      <c r="B7860" s="36"/>
      <c r="C7860" s="36"/>
      <c r="D7860" s="36"/>
      <c r="E7860" s="36"/>
      <c r="F7860" s="36"/>
      <c r="G7860" s="36"/>
      <c r="H7860" s="36"/>
      <c r="I7860" s="37"/>
      <c r="J7860" s="36"/>
      <c r="K7860" s="38"/>
      <c r="L7860" s="38"/>
    </row>
    <row r="7861" spans="1:12" x14ac:dyDescent="0.25">
      <c r="A7861" s="35"/>
      <c r="B7861" s="36"/>
      <c r="C7861" s="36"/>
      <c r="D7861" s="36"/>
      <c r="E7861" s="36"/>
      <c r="F7861" s="36"/>
      <c r="G7861" s="36"/>
      <c r="H7861" s="36"/>
      <c r="I7861" s="37"/>
      <c r="J7861" s="36"/>
      <c r="K7861" s="38"/>
      <c r="L7861" s="38"/>
    </row>
    <row r="7862" spans="1:12" x14ac:dyDescent="0.25">
      <c r="A7862" s="35"/>
      <c r="B7862" s="36"/>
      <c r="C7862" s="36"/>
      <c r="D7862" s="36"/>
      <c r="E7862" s="36"/>
      <c r="F7862" s="36"/>
      <c r="G7862" s="36"/>
      <c r="H7862" s="36"/>
      <c r="I7862" s="37"/>
      <c r="J7862" s="36"/>
      <c r="K7862" s="38"/>
      <c r="L7862" s="38"/>
    </row>
    <row r="7863" spans="1:12" x14ac:dyDescent="0.25">
      <c r="A7863" s="35"/>
      <c r="B7863" s="36"/>
      <c r="C7863" s="36"/>
      <c r="D7863" s="36"/>
      <c r="E7863" s="36"/>
      <c r="F7863" s="36"/>
      <c r="G7863" s="36"/>
      <c r="H7863" s="36"/>
      <c r="I7863" s="37"/>
      <c r="J7863" s="36"/>
      <c r="K7863" s="38"/>
      <c r="L7863" s="38"/>
    </row>
    <row r="7864" spans="1:12" x14ac:dyDescent="0.25">
      <c r="A7864" s="35"/>
      <c r="B7864" s="36"/>
      <c r="C7864" s="36"/>
      <c r="D7864" s="36"/>
      <c r="E7864" s="36"/>
      <c r="F7864" s="36"/>
      <c r="G7864" s="36"/>
      <c r="H7864" s="36"/>
      <c r="I7864" s="37"/>
      <c r="J7864" s="36"/>
      <c r="K7864" s="38"/>
      <c r="L7864" s="38"/>
    </row>
    <row r="7865" spans="1:12" x14ac:dyDescent="0.25">
      <c r="A7865" s="35"/>
      <c r="B7865" s="36"/>
      <c r="C7865" s="36"/>
      <c r="D7865" s="36"/>
      <c r="E7865" s="36"/>
      <c r="F7865" s="36"/>
      <c r="G7865" s="36"/>
      <c r="H7865" s="36"/>
      <c r="I7865" s="37"/>
      <c r="J7865" s="36"/>
      <c r="K7865" s="38"/>
      <c r="L7865" s="38"/>
    </row>
    <row r="7866" spans="1:12" x14ac:dyDescent="0.25">
      <c r="A7866" s="35"/>
      <c r="B7866" s="36"/>
      <c r="C7866" s="36"/>
      <c r="D7866" s="36"/>
      <c r="E7866" s="36"/>
      <c r="F7866" s="36"/>
      <c r="G7866" s="36"/>
      <c r="H7866" s="36"/>
      <c r="I7866" s="37"/>
      <c r="J7866" s="36"/>
      <c r="K7866" s="38"/>
      <c r="L7866" s="38"/>
    </row>
    <row r="7867" spans="1:12" x14ac:dyDescent="0.25">
      <c r="A7867" s="35"/>
      <c r="B7867" s="36"/>
      <c r="C7867" s="36"/>
      <c r="D7867" s="36"/>
      <c r="E7867" s="36"/>
      <c r="F7867" s="36"/>
      <c r="G7867" s="36"/>
      <c r="H7867" s="36"/>
      <c r="I7867" s="37"/>
      <c r="J7867" s="36"/>
      <c r="K7867" s="38"/>
      <c r="L7867" s="38"/>
    </row>
    <row r="7868" spans="1:12" x14ac:dyDescent="0.25">
      <c r="A7868" s="35"/>
      <c r="B7868" s="36"/>
      <c r="C7868" s="36"/>
      <c r="D7868" s="36"/>
      <c r="E7868" s="36"/>
      <c r="F7868" s="36"/>
      <c r="G7868" s="36"/>
      <c r="H7868" s="36"/>
      <c r="I7868" s="37"/>
      <c r="J7868" s="36"/>
      <c r="K7868" s="38"/>
      <c r="L7868" s="38"/>
    </row>
    <row r="7869" spans="1:12" x14ac:dyDescent="0.25">
      <c r="A7869" s="35"/>
      <c r="B7869" s="36"/>
      <c r="C7869" s="36"/>
      <c r="D7869" s="36"/>
      <c r="E7869" s="36"/>
      <c r="F7869" s="36"/>
      <c r="G7869" s="36"/>
      <c r="H7869" s="36"/>
      <c r="I7869" s="37"/>
      <c r="J7869" s="36"/>
      <c r="K7869" s="38"/>
      <c r="L7869" s="38"/>
    </row>
    <row r="7870" spans="1:12" x14ac:dyDescent="0.25">
      <c r="A7870" s="35"/>
      <c r="B7870" s="36"/>
      <c r="C7870" s="36"/>
      <c r="D7870" s="36"/>
      <c r="E7870" s="36"/>
      <c r="F7870" s="36"/>
      <c r="G7870" s="36"/>
      <c r="H7870" s="36"/>
      <c r="I7870" s="37"/>
      <c r="J7870" s="36"/>
      <c r="K7870" s="38"/>
      <c r="L7870" s="38"/>
    </row>
    <row r="7871" spans="1:12" x14ac:dyDescent="0.25">
      <c r="A7871" s="35"/>
      <c r="B7871" s="36"/>
      <c r="C7871" s="36"/>
      <c r="D7871" s="36"/>
      <c r="E7871" s="36"/>
      <c r="F7871" s="36"/>
      <c r="G7871" s="36"/>
      <c r="H7871" s="36"/>
      <c r="I7871" s="37"/>
      <c r="J7871" s="36"/>
      <c r="K7871" s="38"/>
      <c r="L7871" s="38"/>
    </row>
    <row r="7872" spans="1:12" x14ac:dyDescent="0.25">
      <c r="A7872" s="35"/>
      <c r="B7872" s="36"/>
      <c r="C7872" s="36"/>
      <c r="D7872" s="36"/>
      <c r="E7872" s="36"/>
      <c r="F7872" s="36"/>
      <c r="G7872" s="36"/>
      <c r="H7872" s="36"/>
      <c r="I7872" s="37"/>
      <c r="J7872" s="36"/>
      <c r="K7872" s="38"/>
      <c r="L7872" s="38"/>
    </row>
    <row r="7873" spans="1:12" x14ac:dyDescent="0.25">
      <c r="A7873" s="35"/>
      <c r="B7873" s="36"/>
      <c r="C7873" s="36"/>
      <c r="D7873" s="36"/>
      <c r="E7873" s="36"/>
      <c r="F7873" s="36"/>
      <c r="G7873" s="36"/>
      <c r="H7873" s="36"/>
      <c r="I7873" s="37"/>
      <c r="J7873" s="36"/>
      <c r="K7873" s="38"/>
      <c r="L7873" s="38"/>
    </row>
    <row r="7874" spans="1:12" x14ac:dyDescent="0.25">
      <c r="A7874" s="35"/>
      <c r="B7874" s="36"/>
      <c r="C7874" s="36"/>
      <c r="D7874" s="36"/>
      <c r="E7874" s="36"/>
      <c r="F7874" s="36"/>
      <c r="G7874" s="36"/>
      <c r="H7874" s="36"/>
      <c r="I7874" s="37"/>
      <c r="J7874" s="36"/>
      <c r="K7874" s="38"/>
      <c r="L7874" s="38"/>
    </row>
    <row r="7875" spans="1:12" x14ac:dyDescent="0.25">
      <c r="A7875" s="35"/>
      <c r="B7875" s="36"/>
      <c r="C7875" s="36"/>
      <c r="D7875" s="36"/>
      <c r="E7875" s="36"/>
      <c r="F7875" s="36"/>
      <c r="G7875" s="36"/>
      <c r="H7875" s="36"/>
      <c r="I7875" s="37"/>
      <c r="J7875" s="36"/>
      <c r="K7875" s="38"/>
      <c r="L7875" s="38"/>
    </row>
    <row r="7876" spans="1:12" x14ac:dyDescent="0.25">
      <c r="A7876" s="35"/>
      <c r="B7876" s="36"/>
      <c r="C7876" s="36"/>
      <c r="D7876" s="36"/>
      <c r="E7876" s="36"/>
      <c r="F7876" s="36"/>
      <c r="G7876" s="36"/>
      <c r="H7876" s="36"/>
      <c r="I7876" s="37"/>
      <c r="J7876" s="36"/>
      <c r="K7876" s="38"/>
      <c r="L7876" s="38"/>
    </row>
    <row r="7877" spans="1:12" x14ac:dyDescent="0.25">
      <c r="A7877" s="35"/>
      <c r="B7877" s="36"/>
      <c r="C7877" s="36"/>
      <c r="D7877" s="36"/>
      <c r="E7877" s="36"/>
      <c r="F7877" s="36"/>
      <c r="G7877" s="36"/>
      <c r="H7877" s="36"/>
      <c r="I7877" s="37"/>
      <c r="J7877" s="36"/>
      <c r="K7877" s="38"/>
      <c r="L7877" s="38"/>
    </row>
    <row r="7878" spans="1:12" x14ac:dyDescent="0.25">
      <c r="A7878" s="35"/>
      <c r="B7878" s="36"/>
      <c r="C7878" s="36"/>
      <c r="D7878" s="36"/>
      <c r="E7878" s="36"/>
      <c r="F7878" s="36"/>
      <c r="G7878" s="36"/>
      <c r="H7878" s="36"/>
      <c r="I7878" s="37"/>
      <c r="J7878" s="36"/>
      <c r="K7878" s="38"/>
      <c r="L7878" s="38"/>
    </row>
    <row r="7879" spans="1:12" x14ac:dyDescent="0.25">
      <c r="A7879" s="35"/>
      <c r="B7879" s="36"/>
      <c r="C7879" s="36"/>
      <c r="D7879" s="36"/>
      <c r="E7879" s="36"/>
      <c r="F7879" s="36"/>
      <c r="G7879" s="36"/>
      <c r="H7879" s="36"/>
      <c r="I7879" s="37"/>
      <c r="J7879" s="36"/>
      <c r="K7879" s="38"/>
      <c r="L7879" s="38"/>
    </row>
    <row r="7880" spans="1:12" x14ac:dyDescent="0.25">
      <c r="A7880" s="35"/>
      <c r="B7880" s="36"/>
      <c r="C7880" s="36"/>
      <c r="D7880" s="36"/>
      <c r="E7880" s="36"/>
      <c r="F7880" s="36"/>
      <c r="G7880" s="36"/>
      <c r="H7880" s="36"/>
      <c r="I7880" s="37"/>
      <c r="J7880" s="36"/>
      <c r="K7880" s="38"/>
      <c r="L7880" s="38"/>
    </row>
    <row r="7881" spans="1:12" x14ac:dyDescent="0.25">
      <c r="A7881" s="35"/>
      <c r="B7881" s="36"/>
      <c r="C7881" s="36"/>
      <c r="D7881" s="36"/>
      <c r="E7881" s="36"/>
      <c r="F7881" s="36"/>
      <c r="G7881" s="36"/>
      <c r="H7881" s="36"/>
      <c r="I7881" s="37"/>
      <c r="J7881" s="36"/>
      <c r="K7881" s="38"/>
      <c r="L7881" s="38"/>
    </row>
    <row r="7882" spans="1:12" x14ac:dyDescent="0.25">
      <c r="A7882" s="35"/>
      <c r="B7882" s="36"/>
      <c r="C7882" s="36"/>
      <c r="D7882" s="36"/>
      <c r="E7882" s="36"/>
      <c r="F7882" s="36"/>
      <c r="G7882" s="36"/>
      <c r="H7882" s="36"/>
      <c r="I7882" s="37"/>
      <c r="J7882" s="36"/>
      <c r="K7882" s="38"/>
      <c r="L7882" s="38"/>
    </row>
    <row r="7883" spans="1:12" x14ac:dyDescent="0.25">
      <c r="A7883" s="35"/>
      <c r="B7883" s="36"/>
      <c r="C7883" s="36"/>
      <c r="D7883" s="36"/>
      <c r="E7883" s="36"/>
      <c r="F7883" s="36"/>
      <c r="G7883" s="36"/>
      <c r="H7883" s="36"/>
      <c r="I7883" s="37"/>
      <c r="J7883" s="36"/>
      <c r="K7883" s="38"/>
      <c r="L7883" s="38"/>
    </row>
    <row r="7884" spans="1:12" x14ac:dyDescent="0.25">
      <c r="A7884" s="35"/>
      <c r="B7884" s="36"/>
      <c r="C7884" s="36"/>
      <c r="D7884" s="36"/>
      <c r="E7884" s="36"/>
      <c r="F7884" s="36"/>
      <c r="G7884" s="36"/>
      <c r="H7884" s="36"/>
      <c r="I7884" s="37"/>
      <c r="J7884" s="36"/>
      <c r="K7884" s="38"/>
      <c r="L7884" s="38"/>
    </row>
    <row r="7885" spans="1:12" x14ac:dyDescent="0.25">
      <c r="A7885" s="35"/>
      <c r="B7885" s="36"/>
      <c r="C7885" s="36"/>
      <c r="D7885" s="36"/>
      <c r="E7885" s="36"/>
      <c r="F7885" s="36"/>
      <c r="G7885" s="36"/>
      <c r="H7885" s="36"/>
      <c r="I7885" s="37"/>
      <c r="J7885" s="36"/>
      <c r="K7885" s="38"/>
      <c r="L7885" s="38"/>
    </row>
    <row r="7886" spans="1:12" x14ac:dyDescent="0.25">
      <c r="A7886" s="35"/>
      <c r="B7886" s="36"/>
      <c r="C7886" s="36"/>
      <c r="D7886" s="36"/>
      <c r="E7886" s="36"/>
      <c r="F7886" s="36"/>
      <c r="G7886" s="36"/>
      <c r="H7886" s="36"/>
      <c r="I7886" s="37"/>
      <c r="J7886" s="36"/>
      <c r="K7886" s="38"/>
      <c r="L7886" s="38"/>
    </row>
    <row r="7887" spans="1:12" x14ac:dyDescent="0.25">
      <c r="A7887" s="35"/>
      <c r="B7887" s="36"/>
      <c r="C7887" s="36"/>
      <c r="D7887" s="36"/>
      <c r="E7887" s="36"/>
      <c r="F7887" s="36"/>
      <c r="G7887" s="36"/>
      <c r="H7887" s="36"/>
      <c r="I7887" s="37"/>
      <c r="J7887" s="36"/>
      <c r="K7887" s="38"/>
      <c r="L7887" s="38"/>
    </row>
    <row r="7888" spans="1:12" x14ac:dyDescent="0.25">
      <c r="A7888" s="35"/>
      <c r="B7888" s="36"/>
      <c r="C7888" s="36"/>
      <c r="D7888" s="36"/>
      <c r="E7888" s="36"/>
      <c r="F7888" s="36"/>
      <c r="G7888" s="36"/>
      <c r="H7888" s="36"/>
      <c r="I7888" s="37"/>
      <c r="J7888" s="36"/>
      <c r="K7888" s="38"/>
      <c r="L7888" s="38"/>
    </row>
    <row r="7889" spans="1:12" x14ac:dyDescent="0.25">
      <c r="A7889" s="35"/>
      <c r="B7889" s="36"/>
      <c r="C7889" s="36"/>
      <c r="D7889" s="36"/>
      <c r="E7889" s="36"/>
      <c r="F7889" s="36"/>
      <c r="G7889" s="36"/>
      <c r="H7889" s="36"/>
      <c r="I7889" s="37"/>
      <c r="J7889" s="36"/>
      <c r="K7889" s="38"/>
      <c r="L7889" s="38"/>
    </row>
    <row r="7890" spans="1:12" x14ac:dyDescent="0.25">
      <c r="A7890" s="35"/>
      <c r="B7890" s="36"/>
      <c r="C7890" s="36"/>
      <c r="D7890" s="36"/>
      <c r="E7890" s="36"/>
      <c r="F7890" s="36"/>
      <c r="G7890" s="36"/>
      <c r="H7890" s="36"/>
      <c r="I7890" s="37"/>
      <c r="J7890" s="36"/>
      <c r="K7890" s="38"/>
      <c r="L7890" s="38"/>
    </row>
    <row r="7891" spans="1:12" x14ac:dyDescent="0.25">
      <c r="A7891" s="35"/>
      <c r="B7891" s="36"/>
      <c r="C7891" s="36"/>
      <c r="D7891" s="36"/>
      <c r="E7891" s="36"/>
      <c r="F7891" s="36"/>
      <c r="G7891" s="36"/>
      <c r="H7891" s="36"/>
      <c r="I7891" s="37"/>
      <c r="J7891" s="36"/>
      <c r="K7891" s="38"/>
      <c r="L7891" s="38"/>
    </row>
    <row r="7892" spans="1:12" x14ac:dyDescent="0.25">
      <c r="A7892" s="35"/>
      <c r="B7892" s="36"/>
      <c r="C7892" s="36"/>
      <c r="D7892" s="36"/>
      <c r="E7892" s="36"/>
      <c r="F7892" s="36"/>
      <c r="G7892" s="36"/>
      <c r="H7892" s="36"/>
      <c r="I7892" s="37"/>
      <c r="J7892" s="36"/>
      <c r="K7892" s="38"/>
      <c r="L7892" s="38"/>
    </row>
    <row r="7893" spans="1:12" x14ac:dyDescent="0.25">
      <c r="A7893" s="35"/>
      <c r="B7893" s="36"/>
      <c r="C7893" s="36"/>
      <c r="D7893" s="36"/>
      <c r="E7893" s="36"/>
      <c r="F7893" s="36"/>
      <c r="G7893" s="36"/>
      <c r="H7893" s="36"/>
      <c r="I7893" s="37"/>
      <c r="J7893" s="36"/>
      <c r="K7893" s="38"/>
      <c r="L7893" s="38"/>
    </row>
    <row r="7894" spans="1:12" x14ac:dyDescent="0.25">
      <c r="A7894" s="35"/>
      <c r="B7894" s="36"/>
      <c r="C7894" s="36"/>
      <c r="D7894" s="36"/>
      <c r="E7894" s="36"/>
      <c r="F7894" s="36"/>
      <c r="G7894" s="36"/>
      <c r="H7894" s="36"/>
      <c r="I7894" s="37"/>
      <c r="J7894" s="36"/>
      <c r="K7894" s="38"/>
      <c r="L7894" s="38"/>
    </row>
    <row r="7895" spans="1:12" x14ac:dyDescent="0.25">
      <c r="A7895" s="35"/>
      <c r="B7895" s="36"/>
      <c r="C7895" s="36"/>
      <c r="D7895" s="36"/>
      <c r="E7895" s="36"/>
      <c r="F7895" s="36"/>
      <c r="G7895" s="36"/>
      <c r="H7895" s="36"/>
      <c r="I7895" s="37"/>
      <c r="J7895" s="36"/>
      <c r="K7895" s="38"/>
      <c r="L7895" s="38"/>
    </row>
    <row r="7896" spans="1:12" x14ac:dyDescent="0.25">
      <c r="A7896" s="35"/>
      <c r="B7896" s="36"/>
      <c r="C7896" s="36"/>
      <c r="D7896" s="36"/>
      <c r="E7896" s="36"/>
      <c r="F7896" s="36"/>
      <c r="G7896" s="36"/>
      <c r="H7896" s="36"/>
      <c r="I7896" s="37"/>
      <c r="J7896" s="36"/>
      <c r="K7896" s="38"/>
      <c r="L7896" s="38"/>
    </row>
    <row r="7897" spans="1:12" x14ac:dyDescent="0.25">
      <c r="A7897" s="35"/>
      <c r="B7897" s="36"/>
      <c r="C7897" s="36"/>
      <c r="D7897" s="36"/>
      <c r="E7897" s="36"/>
      <c r="F7897" s="36"/>
      <c r="G7897" s="36"/>
      <c r="H7897" s="36"/>
      <c r="I7897" s="37"/>
      <c r="J7897" s="36"/>
      <c r="K7897" s="38"/>
      <c r="L7897" s="38"/>
    </row>
    <row r="7898" spans="1:12" x14ac:dyDescent="0.25">
      <c r="A7898" s="35"/>
      <c r="B7898" s="36"/>
      <c r="C7898" s="36"/>
      <c r="D7898" s="36"/>
      <c r="E7898" s="36"/>
      <c r="F7898" s="36"/>
      <c r="G7898" s="36"/>
      <c r="H7898" s="36"/>
      <c r="I7898" s="37"/>
      <c r="J7898" s="36"/>
      <c r="K7898" s="38"/>
      <c r="L7898" s="38"/>
    </row>
    <row r="7899" spans="1:12" x14ac:dyDescent="0.25">
      <c r="A7899" s="35"/>
      <c r="B7899" s="36"/>
      <c r="C7899" s="36"/>
      <c r="D7899" s="36"/>
      <c r="E7899" s="36"/>
      <c r="F7899" s="36"/>
      <c r="G7899" s="36"/>
      <c r="H7899" s="36"/>
      <c r="I7899" s="37"/>
      <c r="J7899" s="36"/>
      <c r="K7899" s="38"/>
      <c r="L7899" s="38"/>
    </row>
    <row r="7900" spans="1:12" x14ac:dyDescent="0.25">
      <c r="A7900" s="35"/>
      <c r="B7900" s="36"/>
      <c r="C7900" s="36"/>
      <c r="D7900" s="36"/>
      <c r="E7900" s="36"/>
      <c r="F7900" s="36"/>
      <c r="G7900" s="36"/>
      <c r="H7900" s="36"/>
      <c r="I7900" s="37"/>
      <c r="J7900" s="36"/>
      <c r="K7900" s="38"/>
      <c r="L7900" s="38"/>
    </row>
    <row r="7901" spans="1:12" x14ac:dyDescent="0.25">
      <c r="A7901" s="35"/>
      <c r="B7901" s="36"/>
      <c r="C7901" s="36"/>
      <c r="D7901" s="36"/>
      <c r="E7901" s="36"/>
      <c r="F7901" s="36"/>
      <c r="G7901" s="36"/>
      <c r="H7901" s="36"/>
      <c r="I7901" s="37"/>
      <c r="J7901" s="36"/>
      <c r="K7901" s="38"/>
      <c r="L7901" s="38"/>
    </row>
    <row r="7902" spans="1:12" x14ac:dyDescent="0.25">
      <c r="A7902" s="35"/>
      <c r="B7902" s="36"/>
      <c r="C7902" s="36"/>
      <c r="D7902" s="36"/>
      <c r="E7902" s="36"/>
      <c r="F7902" s="36"/>
      <c r="G7902" s="36"/>
      <c r="H7902" s="36"/>
      <c r="I7902" s="37"/>
      <c r="J7902" s="36"/>
      <c r="K7902" s="38"/>
      <c r="L7902" s="38"/>
    </row>
    <row r="7903" spans="1:12" x14ac:dyDescent="0.25">
      <c r="A7903" s="35"/>
      <c r="B7903" s="36"/>
      <c r="C7903" s="36"/>
      <c r="D7903" s="36"/>
      <c r="E7903" s="36"/>
      <c r="F7903" s="36"/>
      <c r="G7903" s="36"/>
      <c r="H7903" s="36"/>
      <c r="I7903" s="37"/>
      <c r="J7903" s="36"/>
      <c r="K7903" s="38"/>
      <c r="L7903" s="38"/>
    </row>
    <row r="7904" spans="1:12" x14ac:dyDescent="0.25">
      <c r="A7904" s="35"/>
      <c r="B7904" s="36"/>
      <c r="C7904" s="36"/>
      <c r="D7904" s="36"/>
      <c r="E7904" s="36"/>
      <c r="F7904" s="36"/>
      <c r="G7904" s="36"/>
      <c r="H7904" s="36"/>
      <c r="I7904" s="37"/>
      <c r="J7904" s="36"/>
      <c r="K7904" s="38"/>
      <c r="L7904" s="38"/>
    </row>
    <row r="7905" spans="1:12" x14ac:dyDescent="0.25">
      <c r="A7905" s="35"/>
      <c r="B7905" s="36"/>
      <c r="C7905" s="36"/>
      <c r="D7905" s="36"/>
      <c r="E7905" s="36"/>
      <c r="F7905" s="36"/>
      <c r="G7905" s="36"/>
      <c r="H7905" s="36"/>
      <c r="I7905" s="37"/>
      <c r="J7905" s="36"/>
      <c r="K7905" s="38"/>
      <c r="L7905" s="38"/>
    </row>
    <row r="7906" spans="1:12" x14ac:dyDescent="0.25">
      <c r="A7906" s="35"/>
      <c r="B7906" s="36"/>
      <c r="C7906" s="36"/>
      <c r="D7906" s="36"/>
      <c r="E7906" s="36"/>
      <c r="F7906" s="36"/>
      <c r="G7906" s="36"/>
      <c r="H7906" s="36"/>
      <c r="I7906" s="37"/>
      <c r="J7906" s="36"/>
      <c r="K7906" s="38"/>
      <c r="L7906" s="38"/>
    </row>
    <row r="7907" spans="1:12" x14ac:dyDescent="0.25">
      <c r="A7907" s="35"/>
      <c r="B7907" s="36"/>
      <c r="C7907" s="36"/>
      <c r="D7907" s="36"/>
      <c r="E7907" s="36"/>
      <c r="F7907" s="36"/>
      <c r="G7907" s="36"/>
      <c r="H7907" s="36"/>
      <c r="I7907" s="37"/>
      <c r="J7907" s="36"/>
      <c r="K7907" s="38"/>
      <c r="L7907" s="38"/>
    </row>
    <row r="7908" spans="1:12" x14ac:dyDescent="0.25">
      <c r="A7908" s="35"/>
      <c r="B7908" s="36"/>
      <c r="C7908" s="36"/>
      <c r="D7908" s="36"/>
      <c r="E7908" s="36"/>
      <c r="F7908" s="36"/>
      <c r="G7908" s="36"/>
      <c r="H7908" s="36"/>
      <c r="I7908" s="37"/>
      <c r="J7908" s="36"/>
      <c r="K7908" s="38"/>
      <c r="L7908" s="38"/>
    </row>
    <row r="7909" spans="1:12" x14ac:dyDescent="0.25">
      <c r="A7909" s="35"/>
      <c r="B7909" s="36"/>
      <c r="C7909" s="36"/>
      <c r="D7909" s="36"/>
      <c r="E7909" s="36"/>
      <c r="F7909" s="36"/>
      <c r="G7909" s="36"/>
      <c r="H7909" s="36"/>
      <c r="I7909" s="37"/>
      <c r="J7909" s="36"/>
      <c r="K7909" s="38"/>
      <c r="L7909" s="38"/>
    </row>
    <row r="7910" spans="1:12" x14ac:dyDescent="0.25">
      <c r="A7910" s="35"/>
      <c r="B7910" s="36"/>
      <c r="C7910" s="36"/>
      <c r="D7910" s="36"/>
      <c r="E7910" s="36"/>
      <c r="F7910" s="36"/>
      <c r="G7910" s="36"/>
      <c r="H7910" s="36"/>
      <c r="I7910" s="37"/>
      <c r="J7910" s="36"/>
      <c r="K7910" s="38"/>
      <c r="L7910" s="38"/>
    </row>
    <row r="7911" spans="1:12" x14ac:dyDescent="0.25">
      <c r="A7911" s="35"/>
      <c r="B7911" s="36"/>
      <c r="C7911" s="36"/>
      <c r="D7911" s="36"/>
      <c r="E7911" s="36"/>
      <c r="F7911" s="36"/>
      <c r="G7911" s="36"/>
      <c r="H7911" s="36"/>
      <c r="I7911" s="37"/>
      <c r="J7911" s="36"/>
      <c r="K7911" s="38"/>
      <c r="L7911" s="38"/>
    </row>
    <row r="7912" spans="1:12" x14ac:dyDescent="0.25">
      <c r="A7912" s="35"/>
      <c r="B7912" s="36"/>
      <c r="C7912" s="36"/>
      <c r="D7912" s="36"/>
      <c r="E7912" s="36"/>
      <c r="F7912" s="36"/>
      <c r="G7912" s="36"/>
      <c r="H7912" s="36"/>
      <c r="I7912" s="37"/>
      <c r="J7912" s="36"/>
      <c r="K7912" s="38"/>
      <c r="L7912" s="38"/>
    </row>
    <row r="7913" spans="1:12" x14ac:dyDescent="0.25">
      <c r="A7913" s="35"/>
      <c r="B7913" s="36"/>
      <c r="C7913" s="36"/>
      <c r="D7913" s="36"/>
      <c r="E7913" s="36"/>
      <c r="F7913" s="36"/>
      <c r="G7913" s="36"/>
      <c r="H7913" s="36"/>
      <c r="I7913" s="37"/>
      <c r="J7913" s="36"/>
      <c r="K7913" s="38"/>
      <c r="L7913" s="38"/>
    </row>
    <row r="7914" spans="1:12" x14ac:dyDescent="0.25">
      <c r="A7914" s="35"/>
      <c r="B7914" s="36"/>
      <c r="C7914" s="36"/>
      <c r="D7914" s="36"/>
      <c r="E7914" s="36"/>
      <c r="F7914" s="36"/>
      <c r="G7914" s="36"/>
      <c r="H7914" s="36"/>
      <c r="I7914" s="37"/>
      <c r="J7914" s="36"/>
      <c r="K7914" s="38"/>
      <c r="L7914" s="38"/>
    </row>
    <row r="7915" spans="1:12" x14ac:dyDescent="0.25">
      <c r="A7915" s="35"/>
      <c r="B7915" s="36"/>
      <c r="C7915" s="36"/>
      <c r="D7915" s="36"/>
      <c r="E7915" s="36"/>
      <c r="F7915" s="36"/>
      <c r="G7915" s="36"/>
      <c r="H7915" s="36"/>
      <c r="I7915" s="37"/>
      <c r="J7915" s="36"/>
      <c r="K7915" s="38"/>
      <c r="L7915" s="38"/>
    </row>
    <row r="7916" spans="1:12" x14ac:dyDescent="0.25">
      <c r="A7916" s="35"/>
      <c r="B7916" s="36"/>
      <c r="C7916" s="36"/>
      <c r="D7916" s="36"/>
      <c r="E7916" s="36"/>
      <c r="F7916" s="36"/>
      <c r="G7916" s="36"/>
      <c r="H7916" s="36"/>
      <c r="I7916" s="37"/>
      <c r="J7916" s="36"/>
      <c r="K7916" s="38"/>
      <c r="L7916" s="38"/>
    </row>
    <row r="7917" spans="1:12" x14ac:dyDescent="0.25">
      <c r="A7917" s="35"/>
      <c r="B7917" s="36"/>
      <c r="C7917" s="36"/>
      <c r="D7917" s="36"/>
      <c r="E7917" s="36"/>
      <c r="F7917" s="36"/>
      <c r="G7917" s="36"/>
      <c r="H7917" s="36"/>
      <c r="I7917" s="37"/>
      <c r="J7917" s="36"/>
      <c r="K7917" s="38"/>
      <c r="L7917" s="38"/>
    </row>
    <row r="7918" spans="1:12" x14ac:dyDescent="0.25">
      <c r="A7918" s="35"/>
      <c r="B7918" s="36"/>
      <c r="C7918" s="36"/>
      <c r="D7918" s="36"/>
      <c r="E7918" s="36"/>
      <c r="F7918" s="36"/>
      <c r="G7918" s="36"/>
      <c r="H7918" s="36"/>
      <c r="I7918" s="37"/>
      <c r="J7918" s="36"/>
      <c r="K7918" s="38"/>
      <c r="L7918" s="38"/>
    </row>
    <row r="7919" spans="1:12" x14ac:dyDescent="0.25">
      <c r="A7919" s="35"/>
      <c r="B7919" s="36"/>
      <c r="C7919" s="36"/>
      <c r="D7919" s="36"/>
      <c r="E7919" s="36"/>
      <c r="F7919" s="36"/>
      <c r="G7919" s="36"/>
      <c r="H7919" s="36"/>
      <c r="I7919" s="37"/>
      <c r="J7919" s="36"/>
      <c r="K7919" s="38"/>
      <c r="L7919" s="38"/>
    </row>
    <row r="7920" spans="1:12" x14ac:dyDescent="0.25">
      <c r="A7920" s="35"/>
      <c r="B7920" s="36"/>
      <c r="C7920" s="36"/>
      <c r="D7920" s="36"/>
      <c r="E7920" s="36"/>
      <c r="F7920" s="36"/>
      <c r="G7920" s="36"/>
      <c r="H7920" s="36"/>
      <c r="I7920" s="37"/>
      <c r="J7920" s="36"/>
      <c r="K7920" s="38"/>
      <c r="L7920" s="38"/>
    </row>
    <row r="7921" spans="1:12" x14ac:dyDescent="0.25">
      <c r="A7921" s="35"/>
      <c r="B7921" s="36"/>
      <c r="C7921" s="36"/>
      <c r="D7921" s="36"/>
      <c r="E7921" s="36"/>
      <c r="F7921" s="36"/>
      <c r="G7921" s="36"/>
      <c r="H7921" s="36"/>
      <c r="I7921" s="37"/>
      <c r="J7921" s="36"/>
      <c r="K7921" s="38"/>
      <c r="L7921" s="38"/>
    </row>
    <row r="7922" spans="1:12" x14ac:dyDescent="0.25">
      <c r="A7922" s="35"/>
      <c r="B7922" s="36"/>
      <c r="C7922" s="36"/>
      <c r="D7922" s="36"/>
      <c r="E7922" s="36"/>
      <c r="F7922" s="36"/>
      <c r="G7922" s="36"/>
      <c r="H7922" s="36"/>
      <c r="I7922" s="37"/>
      <c r="J7922" s="36"/>
      <c r="K7922" s="38"/>
      <c r="L7922" s="38"/>
    </row>
    <row r="7923" spans="1:12" x14ac:dyDescent="0.25">
      <c r="A7923" s="35"/>
      <c r="B7923" s="36"/>
      <c r="C7923" s="36"/>
      <c r="D7923" s="36"/>
      <c r="E7923" s="36"/>
      <c r="F7923" s="36"/>
      <c r="G7923" s="36"/>
      <c r="H7923" s="36"/>
      <c r="I7923" s="37"/>
      <c r="J7923" s="36"/>
      <c r="K7923" s="38"/>
      <c r="L7923" s="38"/>
    </row>
    <row r="7924" spans="1:12" x14ac:dyDescent="0.25">
      <c r="A7924" s="35"/>
      <c r="B7924" s="36"/>
      <c r="C7924" s="36"/>
      <c r="D7924" s="36"/>
      <c r="E7924" s="36"/>
      <c r="F7924" s="36"/>
      <c r="G7924" s="36"/>
      <c r="H7924" s="36"/>
      <c r="I7924" s="37"/>
      <c r="J7924" s="36"/>
      <c r="K7924" s="38"/>
      <c r="L7924" s="38"/>
    </row>
    <row r="7925" spans="1:12" x14ac:dyDescent="0.25">
      <c r="A7925" s="35"/>
      <c r="B7925" s="36"/>
      <c r="C7925" s="36"/>
      <c r="D7925" s="36"/>
      <c r="E7925" s="36"/>
      <c r="F7925" s="36"/>
      <c r="G7925" s="36"/>
      <c r="H7925" s="36"/>
      <c r="I7925" s="37"/>
      <c r="J7925" s="36"/>
      <c r="K7925" s="38"/>
      <c r="L7925" s="38"/>
    </row>
    <row r="7926" spans="1:12" x14ac:dyDescent="0.25">
      <c r="A7926" s="35"/>
      <c r="B7926" s="36"/>
      <c r="C7926" s="36"/>
      <c r="D7926" s="36"/>
      <c r="E7926" s="36"/>
      <c r="F7926" s="36"/>
      <c r="G7926" s="36"/>
      <c r="H7926" s="36"/>
      <c r="I7926" s="37"/>
      <c r="J7926" s="36"/>
      <c r="K7926" s="38"/>
      <c r="L7926" s="38"/>
    </row>
    <row r="7927" spans="1:12" x14ac:dyDescent="0.25">
      <c r="A7927" s="35"/>
      <c r="B7927" s="36"/>
      <c r="C7927" s="36"/>
      <c r="D7927" s="36"/>
      <c r="E7927" s="36"/>
      <c r="F7927" s="36"/>
      <c r="G7927" s="36"/>
      <c r="H7927" s="36"/>
      <c r="I7927" s="37"/>
      <c r="J7927" s="36"/>
      <c r="K7927" s="38"/>
      <c r="L7927" s="38"/>
    </row>
    <row r="7928" spans="1:12" x14ac:dyDescent="0.25">
      <c r="A7928" s="35"/>
      <c r="B7928" s="36"/>
      <c r="C7928" s="36"/>
      <c r="D7928" s="36"/>
      <c r="E7928" s="36"/>
      <c r="F7928" s="36"/>
      <c r="G7928" s="36"/>
      <c r="H7928" s="36"/>
      <c r="I7928" s="37"/>
      <c r="J7928" s="36"/>
      <c r="K7928" s="38"/>
      <c r="L7928" s="38"/>
    </row>
    <row r="7929" spans="1:12" x14ac:dyDescent="0.25">
      <c r="A7929" s="35"/>
      <c r="B7929" s="36"/>
      <c r="C7929" s="36"/>
      <c r="D7929" s="36"/>
      <c r="E7929" s="36"/>
      <c r="F7929" s="36"/>
      <c r="G7929" s="36"/>
      <c r="H7929" s="36"/>
      <c r="I7929" s="37"/>
      <c r="J7929" s="36"/>
      <c r="K7929" s="38"/>
      <c r="L7929" s="38"/>
    </row>
    <row r="7930" spans="1:12" x14ac:dyDescent="0.25">
      <c r="A7930" s="35"/>
      <c r="B7930" s="36"/>
      <c r="C7930" s="36"/>
      <c r="D7930" s="36"/>
      <c r="E7930" s="36"/>
      <c r="F7930" s="36"/>
      <c r="G7930" s="36"/>
      <c r="H7930" s="36"/>
      <c r="I7930" s="37"/>
      <c r="J7930" s="36"/>
      <c r="K7930" s="38"/>
      <c r="L7930" s="38"/>
    </row>
    <row r="7931" spans="1:12" x14ac:dyDescent="0.25">
      <c r="A7931" s="35"/>
      <c r="B7931" s="36"/>
      <c r="C7931" s="36"/>
      <c r="D7931" s="36"/>
      <c r="E7931" s="36"/>
      <c r="F7931" s="36"/>
      <c r="G7931" s="36"/>
      <c r="H7931" s="36"/>
      <c r="I7931" s="37"/>
      <c r="J7931" s="36"/>
      <c r="K7931" s="38"/>
      <c r="L7931" s="38"/>
    </row>
    <row r="7932" spans="1:12" x14ac:dyDescent="0.25">
      <c r="A7932" s="35"/>
      <c r="B7932" s="36"/>
      <c r="C7932" s="36"/>
      <c r="D7932" s="36"/>
      <c r="E7932" s="36"/>
      <c r="F7932" s="36"/>
      <c r="G7932" s="36"/>
      <c r="H7932" s="36"/>
      <c r="I7932" s="37"/>
      <c r="J7932" s="36"/>
      <c r="K7932" s="38"/>
      <c r="L7932" s="38"/>
    </row>
    <row r="7933" spans="1:12" x14ac:dyDescent="0.25">
      <c r="A7933" s="35"/>
      <c r="B7933" s="36"/>
      <c r="C7933" s="36"/>
      <c r="D7933" s="36"/>
      <c r="E7933" s="36"/>
      <c r="F7933" s="36"/>
      <c r="G7933" s="36"/>
      <c r="H7933" s="36"/>
      <c r="I7933" s="37"/>
      <c r="J7933" s="36"/>
      <c r="K7933" s="38"/>
      <c r="L7933" s="38"/>
    </row>
    <row r="7934" spans="1:12" x14ac:dyDescent="0.25">
      <c r="A7934" s="35"/>
      <c r="B7934" s="36"/>
      <c r="C7934" s="36"/>
      <c r="D7934" s="36"/>
      <c r="E7934" s="36"/>
      <c r="F7934" s="36"/>
      <c r="G7934" s="36"/>
      <c r="H7934" s="36"/>
      <c r="I7934" s="37"/>
      <c r="J7934" s="36"/>
      <c r="K7934" s="38"/>
      <c r="L7934" s="38"/>
    </row>
    <row r="7935" spans="1:12" x14ac:dyDescent="0.25">
      <c r="A7935" s="35"/>
      <c r="B7935" s="36"/>
      <c r="C7935" s="36"/>
      <c r="D7935" s="36"/>
      <c r="E7935" s="36"/>
      <c r="F7935" s="36"/>
      <c r="G7935" s="36"/>
      <c r="H7935" s="36"/>
      <c r="I7935" s="37"/>
      <c r="J7935" s="36"/>
      <c r="K7935" s="38"/>
      <c r="L7935" s="38"/>
    </row>
    <row r="7936" spans="1:12" x14ac:dyDescent="0.25">
      <c r="A7936" s="35"/>
      <c r="B7936" s="36"/>
      <c r="C7936" s="36"/>
      <c r="D7936" s="36"/>
      <c r="E7936" s="36"/>
      <c r="F7936" s="36"/>
      <c r="G7936" s="36"/>
      <c r="H7936" s="36"/>
      <c r="I7936" s="37"/>
      <c r="J7936" s="36"/>
      <c r="K7936" s="38"/>
      <c r="L7936" s="38"/>
    </row>
    <row r="7937" spans="1:12" x14ac:dyDescent="0.25">
      <c r="A7937" s="35"/>
      <c r="B7937" s="36"/>
      <c r="C7937" s="36"/>
      <c r="D7937" s="36"/>
      <c r="E7937" s="36"/>
      <c r="F7937" s="36"/>
      <c r="G7937" s="36"/>
      <c r="H7937" s="36"/>
      <c r="I7937" s="37"/>
      <c r="J7937" s="36"/>
      <c r="K7937" s="38"/>
      <c r="L7937" s="38"/>
    </row>
    <row r="7938" spans="1:12" x14ac:dyDescent="0.25">
      <c r="A7938" s="35"/>
      <c r="B7938" s="36"/>
      <c r="C7938" s="36"/>
      <c r="D7938" s="36"/>
      <c r="E7938" s="36"/>
      <c r="F7938" s="36"/>
      <c r="G7938" s="36"/>
      <c r="H7938" s="36"/>
      <c r="I7938" s="37"/>
      <c r="J7938" s="36"/>
      <c r="K7938" s="38"/>
      <c r="L7938" s="38"/>
    </row>
    <row r="7939" spans="1:12" x14ac:dyDescent="0.25">
      <c r="A7939" s="35"/>
      <c r="B7939" s="36"/>
      <c r="C7939" s="36"/>
      <c r="D7939" s="36"/>
      <c r="E7939" s="36"/>
      <c r="F7939" s="36"/>
      <c r="G7939" s="36"/>
      <c r="H7939" s="36"/>
      <c r="I7939" s="37"/>
      <c r="J7939" s="36"/>
      <c r="K7939" s="38"/>
      <c r="L7939" s="38"/>
    </row>
    <row r="7940" spans="1:12" x14ac:dyDescent="0.25">
      <c r="A7940" s="35"/>
      <c r="B7940" s="36"/>
      <c r="C7940" s="36"/>
      <c r="D7940" s="36"/>
      <c r="E7940" s="36"/>
      <c r="F7940" s="36"/>
      <c r="G7940" s="36"/>
      <c r="H7940" s="36"/>
      <c r="I7940" s="37"/>
      <c r="J7940" s="36"/>
      <c r="K7940" s="38"/>
      <c r="L7940" s="38"/>
    </row>
    <row r="7941" spans="1:12" x14ac:dyDescent="0.25">
      <c r="A7941" s="35"/>
      <c r="B7941" s="36"/>
      <c r="C7941" s="36"/>
      <c r="D7941" s="36"/>
      <c r="E7941" s="36"/>
      <c r="F7941" s="36"/>
      <c r="G7941" s="36"/>
      <c r="H7941" s="36"/>
      <c r="I7941" s="37"/>
      <c r="J7941" s="36"/>
      <c r="K7941" s="38"/>
      <c r="L7941" s="38"/>
    </row>
    <row r="7942" spans="1:12" x14ac:dyDescent="0.25">
      <c r="A7942" s="35"/>
      <c r="B7942" s="36"/>
      <c r="C7942" s="36"/>
      <c r="D7942" s="36"/>
      <c r="E7942" s="36"/>
      <c r="F7942" s="36"/>
      <c r="G7942" s="36"/>
      <c r="H7942" s="36"/>
      <c r="I7942" s="37"/>
      <c r="J7942" s="36"/>
      <c r="K7942" s="38"/>
      <c r="L7942" s="38"/>
    </row>
    <row r="7943" spans="1:12" x14ac:dyDescent="0.25">
      <c r="A7943" s="35"/>
      <c r="B7943" s="36"/>
      <c r="C7943" s="36"/>
      <c r="D7943" s="36"/>
      <c r="E7943" s="36"/>
      <c r="F7943" s="36"/>
      <c r="G7943" s="36"/>
      <c r="H7943" s="36"/>
      <c r="I7943" s="37"/>
      <c r="J7943" s="36"/>
      <c r="K7943" s="38"/>
      <c r="L7943" s="38"/>
    </row>
    <row r="7944" spans="1:12" x14ac:dyDescent="0.25">
      <c r="A7944" s="35"/>
      <c r="B7944" s="36"/>
      <c r="C7944" s="36"/>
      <c r="D7944" s="36"/>
      <c r="E7944" s="36"/>
      <c r="F7944" s="36"/>
      <c r="G7944" s="36"/>
      <c r="H7944" s="36"/>
      <c r="I7944" s="37"/>
      <c r="J7944" s="36"/>
      <c r="K7944" s="38"/>
      <c r="L7944" s="38"/>
    </row>
    <row r="7945" spans="1:12" x14ac:dyDescent="0.25">
      <c r="A7945" s="35"/>
      <c r="B7945" s="36"/>
      <c r="C7945" s="36"/>
      <c r="D7945" s="36"/>
      <c r="E7945" s="36"/>
      <c r="F7945" s="36"/>
      <c r="G7945" s="36"/>
      <c r="H7945" s="36"/>
      <c r="I7945" s="37"/>
      <c r="J7945" s="36"/>
      <c r="K7945" s="38"/>
      <c r="L7945" s="38"/>
    </row>
    <row r="7946" spans="1:12" x14ac:dyDescent="0.25">
      <c r="A7946" s="35"/>
      <c r="B7946" s="36"/>
      <c r="C7946" s="36"/>
      <c r="D7946" s="36"/>
      <c r="E7946" s="36"/>
      <c r="F7946" s="36"/>
      <c r="G7946" s="36"/>
      <c r="H7946" s="36"/>
      <c r="I7946" s="37"/>
      <c r="J7946" s="36"/>
      <c r="K7946" s="38"/>
      <c r="L7946" s="38"/>
    </row>
    <row r="7947" spans="1:12" x14ac:dyDescent="0.25">
      <c r="A7947" s="35"/>
      <c r="B7947" s="36"/>
      <c r="C7947" s="36"/>
      <c r="D7947" s="36"/>
      <c r="E7947" s="36"/>
      <c r="F7947" s="36"/>
      <c r="G7947" s="36"/>
      <c r="H7947" s="36"/>
      <c r="I7947" s="37"/>
      <c r="J7947" s="36"/>
      <c r="K7947" s="38"/>
      <c r="L7947" s="38"/>
    </row>
    <row r="7948" spans="1:12" x14ac:dyDescent="0.25">
      <c r="A7948" s="35"/>
      <c r="B7948" s="36"/>
      <c r="C7948" s="36"/>
      <c r="D7948" s="36"/>
      <c r="E7948" s="36"/>
      <c r="F7948" s="36"/>
      <c r="G7948" s="36"/>
      <c r="H7948" s="36"/>
      <c r="I7948" s="37"/>
      <c r="J7948" s="36"/>
      <c r="K7948" s="38"/>
      <c r="L7948" s="38"/>
    </row>
    <row r="7949" spans="1:12" x14ac:dyDescent="0.25">
      <c r="A7949" s="35"/>
      <c r="B7949" s="36"/>
      <c r="C7949" s="36"/>
      <c r="D7949" s="36"/>
      <c r="E7949" s="36"/>
      <c r="F7949" s="36"/>
      <c r="G7949" s="36"/>
      <c r="H7949" s="36"/>
      <c r="I7949" s="37"/>
      <c r="J7949" s="36"/>
      <c r="K7949" s="38"/>
      <c r="L7949" s="38"/>
    </row>
    <row r="7950" spans="1:12" x14ac:dyDescent="0.25">
      <c r="A7950" s="35"/>
      <c r="B7950" s="36"/>
      <c r="C7950" s="36"/>
      <c r="D7950" s="36"/>
      <c r="E7950" s="36"/>
      <c r="F7950" s="36"/>
      <c r="G7950" s="36"/>
      <c r="H7950" s="36"/>
      <c r="I7950" s="37"/>
      <c r="J7950" s="36"/>
      <c r="K7950" s="38"/>
      <c r="L7950" s="38"/>
    </row>
    <row r="7951" spans="1:12" x14ac:dyDescent="0.25">
      <c r="A7951" s="35"/>
      <c r="B7951" s="36"/>
      <c r="C7951" s="36"/>
      <c r="D7951" s="36"/>
      <c r="E7951" s="36"/>
      <c r="F7951" s="36"/>
      <c r="G7951" s="36"/>
      <c r="H7951" s="36"/>
      <c r="I7951" s="37"/>
      <c r="J7951" s="36"/>
      <c r="K7951" s="38"/>
      <c r="L7951" s="38"/>
    </row>
    <row r="7952" spans="1:12" x14ac:dyDescent="0.25">
      <c r="A7952" s="35"/>
      <c r="B7952" s="36"/>
      <c r="C7952" s="36"/>
      <c r="D7952" s="36"/>
      <c r="E7952" s="36"/>
      <c r="F7952" s="36"/>
      <c r="G7952" s="36"/>
      <c r="H7952" s="36"/>
      <c r="I7952" s="37"/>
      <c r="J7952" s="36"/>
      <c r="K7952" s="38"/>
      <c r="L7952" s="38"/>
    </row>
    <row r="7953" spans="1:12" x14ac:dyDescent="0.25">
      <c r="A7953" s="35"/>
      <c r="B7953" s="36"/>
      <c r="C7953" s="36"/>
      <c r="D7953" s="36"/>
      <c r="E7953" s="36"/>
      <c r="F7953" s="36"/>
      <c r="G7953" s="36"/>
      <c r="H7953" s="36"/>
      <c r="I7953" s="37"/>
      <c r="J7953" s="36"/>
      <c r="K7953" s="38"/>
      <c r="L7953" s="38"/>
    </row>
    <row r="7954" spans="1:12" x14ac:dyDescent="0.25">
      <c r="A7954" s="35"/>
      <c r="B7954" s="36"/>
      <c r="C7954" s="36"/>
      <c r="D7954" s="36"/>
      <c r="E7954" s="36"/>
      <c r="F7954" s="36"/>
      <c r="G7954" s="36"/>
      <c r="H7954" s="36"/>
      <c r="I7954" s="37"/>
      <c r="J7954" s="36"/>
      <c r="K7954" s="38"/>
      <c r="L7954" s="38"/>
    </row>
    <row r="7955" spans="1:12" x14ac:dyDescent="0.25">
      <c r="A7955" s="35"/>
      <c r="B7955" s="36"/>
      <c r="C7955" s="36"/>
      <c r="D7955" s="36"/>
      <c r="E7955" s="36"/>
      <c r="F7955" s="36"/>
      <c r="G7955" s="36"/>
      <c r="H7955" s="36"/>
      <c r="I7955" s="37"/>
      <c r="J7955" s="36"/>
      <c r="K7955" s="38"/>
      <c r="L7955" s="38"/>
    </row>
    <row r="7956" spans="1:12" x14ac:dyDescent="0.25">
      <c r="A7956" s="35"/>
      <c r="B7956" s="36"/>
      <c r="C7956" s="36"/>
      <c r="D7956" s="36"/>
      <c r="E7956" s="36"/>
      <c r="F7956" s="36"/>
      <c r="G7956" s="36"/>
      <c r="H7956" s="36"/>
      <c r="I7956" s="37"/>
      <c r="J7956" s="36"/>
      <c r="K7956" s="38"/>
      <c r="L7956" s="38"/>
    </row>
    <row r="7957" spans="1:12" x14ac:dyDescent="0.25">
      <c r="A7957" s="35"/>
      <c r="B7957" s="36"/>
      <c r="C7957" s="36"/>
      <c r="D7957" s="36"/>
      <c r="E7957" s="36"/>
      <c r="F7957" s="36"/>
      <c r="G7957" s="36"/>
      <c r="H7957" s="36"/>
      <c r="I7957" s="37"/>
      <c r="J7957" s="36"/>
      <c r="K7957" s="38"/>
      <c r="L7957" s="38"/>
    </row>
    <row r="7958" spans="1:12" x14ac:dyDescent="0.25">
      <c r="A7958" s="35"/>
      <c r="B7958" s="36"/>
      <c r="C7958" s="36"/>
      <c r="D7958" s="36"/>
      <c r="E7958" s="36"/>
      <c r="F7958" s="36"/>
      <c r="G7958" s="36"/>
      <c r="H7958" s="36"/>
      <c r="I7958" s="37"/>
      <c r="J7958" s="36"/>
      <c r="K7958" s="38"/>
      <c r="L7958" s="38"/>
    </row>
    <row r="7959" spans="1:12" x14ac:dyDescent="0.25">
      <c r="A7959" s="35"/>
      <c r="B7959" s="36"/>
      <c r="C7959" s="36"/>
      <c r="D7959" s="36"/>
      <c r="E7959" s="36"/>
      <c r="F7959" s="36"/>
      <c r="G7959" s="36"/>
      <c r="H7959" s="36"/>
      <c r="I7959" s="37"/>
      <c r="J7959" s="36"/>
      <c r="K7959" s="38"/>
      <c r="L7959" s="38"/>
    </row>
    <row r="7960" spans="1:12" x14ac:dyDescent="0.25">
      <c r="A7960" s="35"/>
      <c r="B7960" s="36"/>
      <c r="C7960" s="36"/>
      <c r="D7960" s="36"/>
      <c r="E7960" s="36"/>
      <c r="F7960" s="36"/>
      <c r="G7960" s="36"/>
      <c r="H7960" s="36"/>
      <c r="I7960" s="37"/>
      <c r="J7960" s="36"/>
      <c r="K7960" s="38"/>
      <c r="L7960" s="38"/>
    </row>
    <row r="7961" spans="1:12" x14ac:dyDescent="0.25">
      <c r="A7961" s="35"/>
      <c r="B7961" s="36"/>
      <c r="C7961" s="36"/>
      <c r="D7961" s="36"/>
      <c r="E7961" s="36"/>
      <c r="F7961" s="36"/>
      <c r="G7961" s="36"/>
      <c r="H7961" s="36"/>
      <c r="I7961" s="37"/>
      <c r="J7961" s="36"/>
      <c r="K7961" s="38"/>
      <c r="L7961" s="38"/>
    </row>
    <row r="7962" spans="1:12" x14ac:dyDescent="0.25">
      <c r="A7962" s="35"/>
      <c r="B7962" s="36"/>
      <c r="C7962" s="36"/>
      <c r="D7962" s="36"/>
      <c r="E7962" s="36"/>
      <c r="F7962" s="36"/>
      <c r="G7962" s="36"/>
      <c r="H7962" s="36"/>
      <c r="I7962" s="37"/>
      <c r="J7962" s="36"/>
      <c r="K7962" s="38"/>
      <c r="L7962" s="38"/>
    </row>
    <row r="7963" spans="1:12" x14ac:dyDescent="0.25">
      <c r="A7963" s="35"/>
      <c r="B7963" s="36"/>
      <c r="C7963" s="36"/>
      <c r="D7963" s="36"/>
      <c r="E7963" s="36"/>
      <c r="F7963" s="36"/>
      <c r="G7963" s="36"/>
      <c r="H7963" s="36"/>
      <c r="I7963" s="37"/>
      <c r="J7963" s="36"/>
      <c r="K7963" s="38"/>
      <c r="L7963" s="38"/>
    </row>
    <row r="7964" spans="1:12" x14ac:dyDescent="0.25">
      <c r="A7964" s="35"/>
      <c r="B7964" s="36"/>
      <c r="C7964" s="36"/>
      <c r="D7964" s="36"/>
      <c r="E7964" s="36"/>
      <c r="F7964" s="36"/>
      <c r="G7964" s="36"/>
      <c r="H7964" s="36"/>
      <c r="I7964" s="37"/>
      <c r="J7964" s="36"/>
      <c r="K7964" s="38"/>
      <c r="L7964" s="38"/>
    </row>
    <row r="7965" spans="1:12" x14ac:dyDescent="0.25">
      <c r="A7965" s="35"/>
      <c r="B7965" s="36"/>
      <c r="C7965" s="36"/>
      <c r="D7965" s="36"/>
      <c r="E7965" s="36"/>
      <c r="F7965" s="36"/>
      <c r="G7965" s="36"/>
      <c r="H7965" s="36"/>
      <c r="I7965" s="37"/>
      <c r="J7965" s="36"/>
      <c r="K7965" s="38"/>
      <c r="L7965" s="38"/>
    </row>
    <row r="7966" spans="1:12" x14ac:dyDescent="0.25">
      <c r="A7966" s="35"/>
      <c r="B7966" s="36"/>
      <c r="C7966" s="36"/>
      <c r="D7966" s="36"/>
      <c r="E7966" s="36"/>
      <c r="F7966" s="36"/>
      <c r="G7966" s="36"/>
      <c r="H7966" s="36"/>
      <c r="I7966" s="37"/>
      <c r="J7966" s="36"/>
      <c r="K7966" s="38"/>
      <c r="L7966" s="38"/>
    </row>
    <row r="7967" spans="1:12" x14ac:dyDescent="0.25">
      <c r="A7967" s="35"/>
      <c r="B7967" s="36"/>
      <c r="C7967" s="36"/>
      <c r="D7967" s="36"/>
      <c r="E7967" s="36"/>
      <c r="F7967" s="36"/>
      <c r="G7967" s="36"/>
      <c r="H7967" s="36"/>
      <c r="I7967" s="37"/>
      <c r="J7967" s="36"/>
      <c r="K7967" s="38"/>
      <c r="L7967" s="38"/>
    </row>
    <row r="7968" spans="1:12" x14ac:dyDescent="0.25">
      <c r="A7968" s="35"/>
      <c r="B7968" s="36"/>
      <c r="C7968" s="36"/>
      <c r="D7968" s="36"/>
      <c r="E7968" s="36"/>
      <c r="F7968" s="36"/>
      <c r="G7968" s="36"/>
      <c r="H7968" s="36"/>
      <c r="I7968" s="37"/>
      <c r="J7968" s="36"/>
      <c r="K7968" s="38"/>
      <c r="L7968" s="38"/>
    </row>
    <row r="7969" spans="1:12" x14ac:dyDescent="0.25">
      <c r="A7969" s="35"/>
      <c r="B7969" s="36"/>
      <c r="C7969" s="36"/>
      <c r="D7969" s="36"/>
      <c r="E7969" s="36"/>
      <c r="F7969" s="36"/>
      <c r="G7969" s="36"/>
      <c r="H7969" s="36"/>
      <c r="I7969" s="37"/>
      <c r="J7969" s="36"/>
      <c r="K7969" s="38"/>
      <c r="L7969" s="38"/>
    </row>
    <row r="7970" spans="1:12" x14ac:dyDescent="0.25">
      <c r="A7970" s="35"/>
      <c r="B7970" s="36"/>
      <c r="C7970" s="36"/>
      <c r="D7970" s="36"/>
      <c r="E7970" s="36"/>
      <c r="F7970" s="36"/>
      <c r="G7970" s="36"/>
      <c r="H7970" s="36"/>
      <c r="I7970" s="37"/>
      <c r="J7970" s="36"/>
      <c r="K7970" s="38"/>
      <c r="L7970" s="38"/>
    </row>
    <row r="7971" spans="1:12" x14ac:dyDescent="0.25">
      <c r="A7971" s="35"/>
      <c r="B7971" s="36"/>
      <c r="C7971" s="36"/>
      <c r="D7971" s="36"/>
      <c r="E7971" s="36"/>
      <c r="F7971" s="36"/>
      <c r="G7971" s="36"/>
      <c r="H7971" s="36"/>
      <c r="I7971" s="37"/>
      <c r="J7971" s="36"/>
      <c r="K7971" s="38"/>
      <c r="L7971" s="38"/>
    </row>
    <row r="7972" spans="1:12" x14ac:dyDescent="0.25">
      <c r="A7972" s="35"/>
      <c r="B7972" s="36"/>
      <c r="C7972" s="36"/>
      <c r="D7972" s="36"/>
      <c r="E7972" s="36"/>
      <c r="F7972" s="36"/>
      <c r="G7972" s="36"/>
      <c r="H7972" s="36"/>
      <c r="I7972" s="37"/>
      <c r="J7972" s="36"/>
      <c r="K7972" s="38"/>
      <c r="L7972" s="38"/>
    </row>
    <row r="7973" spans="1:12" x14ac:dyDescent="0.25">
      <c r="A7973" s="35"/>
      <c r="B7973" s="36"/>
      <c r="C7973" s="36"/>
      <c r="D7973" s="36"/>
      <c r="E7973" s="36"/>
      <c r="F7973" s="36"/>
      <c r="G7973" s="36"/>
      <c r="H7973" s="36"/>
      <c r="I7973" s="37"/>
      <c r="J7973" s="36"/>
      <c r="K7973" s="38"/>
      <c r="L7973" s="38"/>
    </row>
    <row r="7974" spans="1:12" x14ac:dyDescent="0.25">
      <c r="A7974" s="35"/>
      <c r="B7974" s="36"/>
      <c r="C7974" s="36"/>
      <c r="D7974" s="36"/>
      <c r="E7974" s="36"/>
      <c r="F7974" s="36"/>
      <c r="G7974" s="36"/>
      <c r="H7974" s="36"/>
      <c r="I7974" s="37"/>
      <c r="J7974" s="36"/>
      <c r="K7974" s="38"/>
      <c r="L7974" s="38"/>
    </row>
    <row r="7975" spans="1:12" x14ac:dyDescent="0.25">
      <c r="A7975" s="35"/>
      <c r="B7975" s="36"/>
      <c r="C7975" s="36"/>
      <c r="D7975" s="36"/>
      <c r="E7975" s="36"/>
      <c r="F7975" s="36"/>
      <c r="G7975" s="36"/>
      <c r="H7975" s="36"/>
      <c r="I7975" s="37"/>
      <c r="J7975" s="36"/>
      <c r="K7975" s="38"/>
      <c r="L7975" s="38"/>
    </row>
    <row r="7976" spans="1:12" x14ac:dyDescent="0.25">
      <c r="A7976" s="35"/>
      <c r="B7976" s="36"/>
      <c r="C7976" s="36"/>
      <c r="D7976" s="36"/>
      <c r="E7976" s="36"/>
      <c r="F7976" s="36"/>
      <c r="G7976" s="36"/>
      <c r="H7976" s="36"/>
      <c r="I7976" s="37"/>
      <c r="J7976" s="36"/>
      <c r="K7976" s="38"/>
      <c r="L7976" s="38"/>
    </row>
    <row r="7977" spans="1:12" x14ac:dyDescent="0.25">
      <c r="A7977" s="35"/>
      <c r="B7977" s="36"/>
      <c r="C7977" s="36"/>
      <c r="D7977" s="36"/>
      <c r="E7977" s="36"/>
      <c r="F7977" s="36"/>
      <c r="G7977" s="36"/>
      <c r="H7977" s="36"/>
      <c r="I7977" s="37"/>
      <c r="J7977" s="36"/>
      <c r="K7977" s="38"/>
      <c r="L7977" s="38"/>
    </row>
    <row r="7978" spans="1:12" x14ac:dyDescent="0.25">
      <c r="A7978" s="35"/>
      <c r="B7978" s="36"/>
      <c r="C7978" s="36"/>
      <c r="D7978" s="36"/>
      <c r="E7978" s="36"/>
      <c r="F7978" s="36"/>
      <c r="G7978" s="36"/>
      <c r="H7978" s="36"/>
      <c r="I7978" s="37"/>
      <c r="J7978" s="36"/>
      <c r="K7978" s="38"/>
      <c r="L7978" s="38"/>
    </row>
    <row r="7979" spans="1:12" x14ac:dyDescent="0.25">
      <c r="A7979" s="35"/>
      <c r="B7979" s="36"/>
      <c r="C7979" s="36"/>
      <c r="D7979" s="36"/>
      <c r="E7979" s="36"/>
      <c r="F7979" s="36"/>
      <c r="G7979" s="36"/>
      <c r="H7979" s="36"/>
      <c r="I7979" s="37"/>
      <c r="J7979" s="36"/>
      <c r="K7979" s="38"/>
      <c r="L7979" s="38"/>
    </row>
    <row r="7980" spans="1:12" x14ac:dyDescent="0.25">
      <c r="A7980" s="35"/>
      <c r="B7980" s="36"/>
      <c r="C7980" s="36"/>
      <c r="D7980" s="36"/>
      <c r="E7980" s="36"/>
      <c r="F7980" s="36"/>
      <c r="G7980" s="36"/>
      <c r="H7980" s="36"/>
      <c r="I7980" s="37"/>
      <c r="J7980" s="36"/>
      <c r="K7980" s="38"/>
      <c r="L7980" s="38"/>
    </row>
    <row r="7981" spans="1:12" x14ac:dyDescent="0.25">
      <c r="A7981" s="35"/>
      <c r="B7981" s="36"/>
      <c r="C7981" s="36"/>
      <c r="D7981" s="36"/>
      <c r="E7981" s="36"/>
      <c r="F7981" s="36"/>
      <c r="G7981" s="36"/>
      <c r="H7981" s="36"/>
      <c r="I7981" s="37"/>
      <c r="J7981" s="36"/>
      <c r="K7981" s="38"/>
      <c r="L7981" s="38"/>
    </row>
    <row r="7982" spans="1:12" x14ac:dyDescent="0.25">
      <c r="A7982" s="35"/>
      <c r="B7982" s="36"/>
      <c r="C7982" s="36"/>
      <c r="D7982" s="36"/>
      <c r="E7982" s="36"/>
      <c r="F7982" s="36"/>
      <c r="G7982" s="36"/>
      <c r="H7982" s="36"/>
      <c r="I7982" s="37"/>
      <c r="J7982" s="36"/>
      <c r="K7982" s="38"/>
      <c r="L7982" s="38"/>
    </row>
    <row r="7983" spans="1:12" x14ac:dyDescent="0.25">
      <c r="A7983" s="35"/>
      <c r="B7983" s="36"/>
      <c r="C7983" s="36"/>
      <c r="D7983" s="36"/>
      <c r="E7983" s="36"/>
      <c r="F7983" s="36"/>
      <c r="G7983" s="36"/>
      <c r="H7983" s="36"/>
      <c r="I7983" s="37"/>
      <c r="J7983" s="36"/>
      <c r="K7983" s="38"/>
      <c r="L7983" s="38"/>
    </row>
    <row r="7984" spans="1:12" x14ac:dyDescent="0.25">
      <c r="A7984" s="35"/>
      <c r="B7984" s="36"/>
      <c r="C7984" s="36"/>
      <c r="D7984" s="36"/>
      <c r="E7984" s="36"/>
      <c r="F7984" s="36"/>
      <c r="G7984" s="36"/>
      <c r="H7984" s="36"/>
      <c r="I7984" s="37"/>
      <c r="J7984" s="36"/>
      <c r="K7984" s="38"/>
      <c r="L7984" s="38"/>
    </row>
    <row r="7985" spans="1:12" x14ac:dyDescent="0.25">
      <c r="A7985" s="35"/>
      <c r="B7985" s="36"/>
      <c r="C7985" s="36"/>
      <c r="D7985" s="36"/>
      <c r="E7985" s="36"/>
      <c r="F7985" s="36"/>
      <c r="G7985" s="36"/>
      <c r="H7985" s="36"/>
      <c r="I7985" s="37"/>
      <c r="J7985" s="36"/>
      <c r="K7985" s="38"/>
      <c r="L7985" s="38"/>
    </row>
    <row r="7986" spans="1:12" x14ac:dyDescent="0.25">
      <c r="A7986" s="35"/>
      <c r="B7986" s="36"/>
      <c r="C7986" s="36"/>
      <c r="D7986" s="36"/>
      <c r="E7986" s="36"/>
      <c r="F7986" s="36"/>
      <c r="G7986" s="36"/>
      <c r="H7986" s="36"/>
      <c r="I7986" s="37"/>
      <c r="J7986" s="36"/>
      <c r="K7986" s="38"/>
      <c r="L7986" s="38"/>
    </row>
    <row r="7987" spans="1:12" x14ac:dyDescent="0.25">
      <c r="A7987" s="35"/>
      <c r="B7987" s="36"/>
      <c r="C7987" s="36"/>
      <c r="D7987" s="36"/>
      <c r="E7987" s="36"/>
      <c r="F7987" s="36"/>
      <c r="G7987" s="36"/>
      <c r="H7987" s="36"/>
      <c r="I7987" s="37"/>
      <c r="J7987" s="36"/>
      <c r="K7987" s="38"/>
      <c r="L7987" s="38"/>
    </row>
    <row r="7988" spans="1:12" x14ac:dyDescent="0.25">
      <c r="A7988" s="35"/>
      <c r="B7988" s="36"/>
      <c r="C7988" s="36"/>
      <c r="D7988" s="36"/>
      <c r="E7988" s="36"/>
      <c r="F7988" s="36"/>
      <c r="G7988" s="36"/>
      <c r="H7988" s="36"/>
      <c r="I7988" s="37"/>
      <c r="J7988" s="36"/>
      <c r="K7988" s="38"/>
      <c r="L7988" s="38"/>
    </row>
    <row r="7989" spans="1:12" x14ac:dyDescent="0.25">
      <c r="A7989" s="35"/>
      <c r="B7989" s="36"/>
      <c r="C7989" s="36"/>
      <c r="D7989" s="36"/>
      <c r="E7989" s="36"/>
      <c r="F7989" s="36"/>
      <c r="G7989" s="36"/>
      <c r="H7989" s="36"/>
      <c r="I7989" s="37"/>
      <c r="J7989" s="36"/>
      <c r="K7989" s="38"/>
      <c r="L7989" s="38"/>
    </row>
    <row r="7990" spans="1:12" x14ac:dyDescent="0.25">
      <c r="A7990" s="35"/>
      <c r="B7990" s="36"/>
      <c r="C7990" s="36"/>
      <c r="D7990" s="36"/>
      <c r="E7990" s="36"/>
      <c r="F7990" s="36"/>
      <c r="G7990" s="36"/>
      <c r="H7990" s="36"/>
      <c r="I7990" s="37"/>
      <c r="J7990" s="36"/>
      <c r="K7990" s="38"/>
      <c r="L7990" s="38"/>
    </row>
    <row r="7991" spans="1:12" x14ac:dyDescent="0.25">
      <c r="A7991" s="35"/>
      <c r="B7991" s="36"/>
      <c r="C7991" s="36"/>
      <c r="D7991" s="36"/>
      <c r="E7991" s="36"/>
      <c r="F7991" s="36"/>
      <c r="G7991" s="36"/>
      <c r="H7991" s="36"/>
      <c r="I7991" s="37"/>
      <c r="J7991" s="36"/>
      <c r="K7991" s="38"/>
      <c r="L7991" s="38"/>
    </row>
    <row r="7992" spans="1:12" x14ac:dyDescent="0.25">
      <c r="A7992" s="35"/>
      <c r="B7992" s="36"/>
      <c r="C7992" s="36"/>
      <c r="D7992" s="36"/>
      <c r="E7992" s="36"/>
      <c r="F7992" s="36"/>
      <c r="G7992" s="36"/>
      <c r="H7992" s="36"/>
      <c r="I7992" s="37"/>
      <c r="J7992" s="36"/>
      <c r="K7992" s="38"/>
      <c r="L7992" s="38"/>
    </row>
    <row r="7993" spans="1:12" x14ac:dyDescent="0.25">
      <c r="A7993" s="35"/>
      <c r="B7993" s="36"/>
      <c r="C7993" s="36"/>
      <c r="D7993" s="36"/>
      <c r="E7993" s="36"/>
      <c r="F7993" s="36"/>
      <c r="G7993" s="36"/>
      <c r="H7993" s="36"/>
      <c r="I7993" s="37"/>
      <c r="J7993" s="36"/>
      <c r="K7993" s="38"/>
      <c r="L7993" s="38"/>
    </row>
    <row r="7994" spans="1:12" x14ac:dyDescent="0.25">
      <c r="A7994" s="35"/>
      <c r="B7994" s="36"/>
      <c r="C7994" s="36"/>
      <c r="D7994" s="36"/>
      <c r="E7994" s="36"/>
      <c r="F7994" s="36"/>
      <c r="G7994" s="36"/>
      <c r="H7994" s="36"/>
      <c r="I7994" s="37"/>
      <c r="J7994" s="36"/>
      <c r="K7994" s="38"/>
      <c r="L7994" s="38"/>
    </row>
    <row r="7995" spans="1:12" x14ac:dyDescent="0.25">
      <c r="A7995" s="35"/>
      <c r="B7995" s="36"/>
      <c r="C7995" s="36"/>
      <c r="D7995" s="36"/>
      <c r="E7995" s="36"/>
      <c r="F7995" s="36"/>
      <c r="G7995" s="36"/>
      <c r="H7995" s="36"/>
      <c r="I7995" s="37"/>
      <c r="J7995" s="36"/>
      <c r="K7995" s="38"/>
      <c r="L7995" s="38"/>
    </row>
    <row r="7996" spans="1:12" x14ac:dyDescent="0.25">
      <c r="A7996" s="35"/>
      <c r="B7996" s="36"/>
      <c r="C7996" s="36"/>
      <c r="D7996" s="36"/>
      <c r="E7996" s="36"/>
      <c r="F7996" s="36"/>
      <c r="G7996" s="36"/>
      <c r="H7996" s="36"/>
      <c r="I7996" s="37"/>
      <c r="J7996" s="36"/>
      <c r="K7996" s="38"/>
      <c r="L7996" s="38"/>
    </row>
    <row r="7997" spans="1:12" x14ac:dyDescent="0.25">
      <c r="A7997" s="35"/>
      <c r="B7997" s="36"/>
      <c r="C7997" s="36"/>
      <c r="D7997" s="36"/>
      <c r="E7997" s="36"/>
      <c r="F7997" s="36"/>
      <c r="G7997" s="36"/>
      <c r="H7997" s="36"/>
      <c r="I7997" s="37"/>
      <c r="J7997" s="36"/>
      <c r="K7997" s="38"/>
      <c r="L7997" s="38"/>
    </row>
    <row r="7998" spans="1:12" x14ac:dyDescent="0.25">
      <c r="A7998" s="35"/>
      <c r="B7998" s="36"/>
      <c r="C7998" s="36"/>
      <c r="D7998" s="36"/>
      <c r="E7998" s="36"/>
      <c r="F7998" s="36"/>
      <c r="G7998" s="36"/>
      <c r="H7998" s="36"/>
      <c r="I7998" s="37"/>
      <c r="J7998" s="36"/>
      <c r="K7998" s="38"/>
      <c r="L7998" s="38"/>
    </row>
    <row r="7999" spans="1:12" x14ac:dyDescent="0.25">
      <c r="A7999" s="35"/>
      <c r="B7999" s="36"/>
      <c r="C7999" s="36"/>
      <c r="D7999" s="36"/>
      <c r="E7999" s="36"/>
      <c r="F7999" s="36"/>
      <c r="G7999" s="36"/>
      <c r="H7999" s="36"/>
      <c r="I7999" s="37"/>
      <c r="J7999" s="36"/>
      <c r="K7999" s="38"/>
      <c r="L7999" s="38"/>
    </row>
    <row r="8000" spans="1:12" x14ac:dyDescent="0.25">
      <c r="A8000" s="35"/>
      <c r="B8000" s="36"/>
      <c r="C8000" s="36"/>
      <c r="D8000" s="36"/>
      <c r="E8000" s="36"/>
      <c r="F8000" s="36"/>
      <c r="G8000" s="36"/>
      <c r="H8000" s="36"/>
      <c r="I8000" s="37"/>
      <c r="J8000" s="36"/>
      <c r="K8000" s="38"/>
      <c r="L8000" s="38"/>
    </row>
    <row r="8001" spans="1:12" x14ac:dyDescent="0.25">
      <c r="A8001" s="35"/>
      <c r="B8001" s="36"/>
      <c r="C8001" s="36"/>
      <c r="D8001" s="36"/>
      <c r="E8001" s="36"/>
      <c r="F8001" s="36"/>
      <c r="G8001" s="36"/>
      <c r="H8001" s="36"/>
      <c r="I8001" s="37"/>
      <c r="J8001" s="36"/>
      <c r="K8001" s="38"/>
      <c r="L8001" s="38"/>
    </row>
    <row r="8002" spans="1:12" x14ac:dyDescent="0.25">
      <c r="A8002" s="35"/>
      <c r="B8002" s="36"/>
      <c r="C8002" s="36"/>
      <c r="D8002" s="36"/>
      <c r="E8002" s="36"/>
      <c r="F8002" s="36"/>
      <c r="G8002" s="36"/>
      <c r="H8002" s="36"/>
      <c r="I8002" s="37"/>
      <c r="J8002" s="36"/>
      <c r="K8002" s="38"/>
      <c r="L8002" s="38"/>
    </row>
    <row r="8003" spans="1:12" x14ac:dyDescent="0.25">
      <c r="A8003" s="35"/>
      <c r="B8003" s="36"/>
      <c r="C8003" s="36"/>
      <c r="D8003" s="36"/>
      <c r="E8003" s="36"/>
      <c r="F8003" s="36"/>
      <c r="G8003" s="36"/>
      <c r="H8003" s="36"/>
      <c r="I8003" s="37"/>
      <c r="J8003" s="36"/>
      <c r="K8003" s="38"/>
      <c r="L8003" s="38"/>
    </row>
    <row r="8004" spans="1:12" x14ac:dyDescent="0.25">
      <c r="A8004" s="35"/>
      <c r="B8004" s="36"/>
      <c r="C8004" s="36"/>
      <c r="D8004" s="36"/>
      <c r="E8004" s="36"/>
      <c r="F8004" s="36"/>
      <c r="G8004" s="36"/>
      <c r="H8004" s="36"/>
      <c r="I8004" s="37"/>
      <c r="J8004" s="36"/>
      <c r="K8004" s="38"/>
      <c r="L8004" s="38"/>
    </row>
    <row r="8005" spans="1:12" x14ac:dyDescent="0.25">
      <c r="A8005" s="35"/>
      <c r="B8005" s="36"/>
      <c r="C8005" s="36"/>
      <c r="D8005" s="36"/>
      <c r="E8005" s="36"/>
      <c r="F8005" s="36"/>
      <c r="G8005" s="36"/>
      <c r="H8005" s="36"/>
      <c r="I8005" s="37"/>
      <c r="J8005" s="36"/>
      <c r="K8005" s="38"/>
      <c r="L8005" s="38"/>
    </row>
    <row r="8006" spans="1:12" x14ac:dyDescent="0.25">
      <c r="A8006" s="35"/>
      <c r="B8006" s="36"/>
      <c r="C8006" s="36"/>
      <c r="D8006" s="36"/>
      <c r="E8006" s="36"/>
      <c r="F8006" s="36"/>
      <c r="G8006" s="36"/>
      <c r="H8006" s="36"/>
      <c r="I8006" s="37"/>
      <c r="J8006" s="36"/>
      <c r="K8006" s="38"/>
      <c r="L8006" s="38"/>
    </row>
    <row r="8007" spans="1:12" x14ac:dyDescent="0.25">
      <c r="A8007" s="35"/>
      <c r="B8007" s="36"/>
      <c r="C8007" s="36"/>
      <c r="D8007" s="36"/>
      <c r="E8007" s="36"/>
      <c r="F8007" s="36"/>
      <c r="G8007" s="36"/>
      <c r="H8007" s="36"/>
      <c r="I8007" s="37"/>
      <c r="J8007" s="36"/>
      <c r="K8007" s="38"/>
      <c r="L8007" s="38"/>
    </row>
    <row r="8008" spans="1:12" x14ac:dyDescent="0.25">
      <c r="A8008" s="35"/>
      <c r="B8008" s="36"/>
      <c r="C8008" s="36"/>
      <c r="D8008" s="36"/>
      <c r="E8008" s="36"/>
      <c r="F8008" s="36"/>
      <c r="G8008" s="36"/>
      <c r="H8008" s="36"/>
      <c r="I8008" s="37"/>
      <c r="J8008" s="36"/>
      <c r="K8008" s="38"/>
      <c r="L8008" s="38"/>
    </row>
    <row r="8009" spans="1:12" x14ac:dyDescent="0.25">
      <c r="A8009" s="35"/>
      <c r="B8009" s="36"/>
      <c r="C8009" s="36"/>
      <c r="D8009" s="36"/>
      <c r="E8009" s="36"/>
      <c r="F8009" s="36"/>
      <c r="G8009" s="36"/>
      <c r="H8009" s="36"/>
      <c r="I8009" s="37"/>
      <c r="J8009" s="36"/>
      <c r="K8009" s="38"/>
      <c r="L8009" s="38"/>
    </row>
    <row r="8010" spans="1:12" x14ac:dyDescent="0.25">
      <c r="A8010" s="35"/>
      <c r="B8010" s="36"/>
      <c r="C8010" s="36"/>
      <c r="D8010" s="36"/>
      <c r="E8010" s="36"/>
      <c r="F8010" s="36"/>
      <c r="G8010" s="36"/>
      <c r="H8010" s="36"/>
      <c r="I8010" s="37"/>
      <c r="J8010" s="36"/>
      <c r="K8010" s="38"/>
      <c r="L8010" s="38"/>
    </row>
    <row r="8011" spans="1:12" x14ac:dyDescent="0.25">
      <c r="A8011" s="35"/>
      <c r="B8011" s="36"/>
      <c r="C8011" s="36"/>
      <c r="D8011" s="36"/>
      <c r="E8011" s="36"/>
      <c r="F8011" s="36"/>
      <c r="G8011" s="36"/>
      <c r="H8011" s="36"/>
      <c r="I8011" s="37"/>
      <c r="J8011" s="36"/>
      <c r="K8011" s="38"/>
      <c r="L8011" s="38"/>
    </row>
    <row r="8012" spans="1:12" x14ac:dyDescent="0.25">
      <c r="A8012" s="35"/>
      <c r="B8012" s="36"/>
      <c r="C8012" s="36"/>
      <c r="D8012" s="36"/>
      <c r="E8012" s="36"/>
      <c r="F8012" s="36"/>
      <c r="G8012" s="36"/>
      <c r="H8012" s="36"/>
      <c r="I8012" s="37"/>
      <c r="J8012" s="36"/>
      <c r="K8012" s="38"/>
      <c r="L8012" s="38"/>
    </row>
    <row r="8013" spans="1:12" x14ac:dyDescent="0.25">
      <c r="A8013" s="35"/>
      <c r="B8013" s="36"/>
      <c r="C8013" s="36"/>
      <c r="D8013" s="36"/>
      <c r="E8013" s="36"/>
      <c r="F8013" s="36"/>
      <c r="G8013" s="36"/>
      <c r="H8013" s="36"/>
      <c r="I8013" s="37"/>
      <c r="J8013" s="36"/>
      <c r="K8013" s="38"/>
      <c r="L8013" s="38"/>
    </row>
    <row r="8014" spans="1:12" x14ac:dyDescent="0.25">
      <c r="A8014" s="35"/>
      <c r="B8014" s="36"/>
      <c r="C8014" s="36"/>
      <c r="D8014" s="36"/>
      <c r="E8014" s="36"/>
      <c r="F8014" s="36"/>
      <c r="G8014" s="36"/>
      <c r="H8014" s="36"/>
      <c r="I8014" s="37"/>
      <c r="J8014" s="36"/>
      <c r="K8014" s="38"/>
      <c r="L8014" s="38"/>
    </row>
    <row r="8015" spans="1:12" x14ac:dyDescent="0.25">
      <c r="A8015" s="35"/>
      <c r="B8015" s="36"/>
      <c r="C8015" s="36"/>
      <c r="D8015" s="36"/>
      <c r="E8015" s="36"/>
      <c r="F8015" s="36"/>
      <c r="G8015" s="36"/>
      <c r="H8015" s="36"/>
      <c r="I8015" s="37"/>
      <c r="J8015" s="36"/>
      <c r="K8015" s="38"/>
      <c r="L8015" s="38"/>
    </row>
    <row r="8016" spans="1:12" x14ac:dyDescent="0.25">
      <c r="A8016" s="35"/>
      <c r="B8016" s="36"/>
      <c r="C8016" s="36"/>
      <c r="D8016" s="36"/>
      <c r="E8016" s="36"/>
      <c r="F8016" s="36"/>
      <c r="G8016" s="36"/>
      <c r="H8016" s="36"/>
      <c r="I8016" s="37"/>
      <c r="J8016" s="36"/>
      <c r="K8016" s="38"/>
      <c r="L8016" s="38"/>
    </row>
    <row r="8017" spans="1:12" x14ac:dyDescent="0.25">
      <c r="A8017" s="35"/>
      <c r="B8017" s="36"/>
      <c r="C8017" s="36"/>
      <c r="D8017" s="36"/>
      <c r="E8017" s="36"/>
      <c r="F8017" s="36"/>
      <c r="G8017" s="36"/>
      <c r="H8017" s="36"/>
      <c r="I8017" s="37"/>
      <c r="J8017" s="36"/>
      <c r="K8017" s="38"/>
      <c r="L8017" s="38"/>
    </row>
    <row r="8018" spans="1:12" x14ac:dyDescent="0.25">
      <c r="A8018" s="35"/>
      <c r="B8018" s="36"/>
      <c r="C8018" s="36"/>
      <c r="D8018" s="36"/>
      <c r="E8018" s="36"/>
      <c r="F8018" s="36"/>
      <c r="G8018" s="36"/>
      <c r="H8018" s="36"/>
      <c r="I8018" s="37"/>
      <c r="J8018" s="36"/>
      <c r="K8018" s="38"/>
      <c r="L8018" s="38"/>
    </row>
    <row r="8019" spans="1:12" x14ac:dyDescent="0.25">
      <c r="A8019" s="35"/>
      <c r="B8019" s="36"/>
      <c r="C8019" s="36"/>
      <c r="D8019" s="36"/>
      <c r="E8019" s="36"/>
      <c r="F8019" s="36"/>
      <c r="G8019" s="36"/>
      <c r="H8019" s="36"/>
      <c r="I8019" s="37"/>
      <c r="J8019" s="36"/>
      <c r="K8019" s="38"/>
      <c r="L8019" s="38"/>
    </row>
    <row r="8020" spans="1:12" x14ac:dyDescent="0.25">
      <c r="A8020" s="35"/>
      <c r="B8020" s="36"/>
      <c r="C8020" s="36"/>
      <c r="D8020" s="36"/>
      <c r="E8020" s="36"/>
      <c r="F8020" s="36"/>
      <c r="G8020" s="36"/>
      <c r="H8020" s="36"/>
      <c r="I8020" s="37"/>
      <c r="J8020" s="36"/>
      <c r="K8020" s="38"/>
      <c r="L8020" s="38"/>
    </row>
    <row r="8021" spans="1:12" x14ac:dyDescent="0.25">
      <c r="A8021" s="35"/>
      <c r="B8021" s="36"/>
      <c r="C8021" s="36"/>
      <c r="D8021" s="36"/>
      <c r="E8021" s="36"/>
      <c r="F8021" s="36"/>
      <c r="G8021" s="36"/>
      <c r="H8021" s="36"/>
      <c r="I8021" s="37"/>
      <c r="J8021" s="36"/>
      <c r="K8021" s="38"/>
      <c r="L8021" s="38"/>
    </row>
    <row r="8022" spans="1:12" x14ac:dyDescent="0.25">
      <c r="A8022" s="35"/>
      <c r="B8022" s="36"/>
      <c r="C8022" s="36"/>
      <c r="D8022" s="36"/>
      <c r="E8022" s="36"/>
      <c r="F8022" s="36"/>
      <c r="G8022" s="36"/>
      <c r="H8022" s="36"/>
      <c r="I8022" s="37"/>
      <c r="J8022" s="36"/>
      <c r="K8022" s="38"/>
      <c r="L8022" s="38"/>
    </row>
    <row r="8023" spans="1:12" x14ac:dyDescent="0.25">
      <c r="A8023" s="35"/>
      <c r="B8023" s="36"/>
      <c r="C8023" s="36"/>
      <c r="D8023" s="36"/>
      <c r="E8023" s="36"/>
      <c r="F8023" s="36"/>
      <c r="G8023" s="36"/>
      <c r="H8023" s="36"/>
      <c r="I8023" s="37"/>
      <c r="J8023" s="36"/>
      <c r="K8023" s="38"/>
      <c r="L8023" s="38"/>
    </row>
    <row r="8024" spans="1:12" x14ac:dyDescent="0.25">
      <c r="A8024" s="35"/>
      <c r="B8024" s="36"/>
      <c r="C8024" s="36"/>
      <c r="D8024" s="36"/>
      <c r="E8024" s="36"/>
      <c r="F8024" s="36"/>
      <c r="G8024" s="36"/>
      <c r="H8024" s="36"/>
      <c r="I8024" s="37"/>
      <c r="J8024" s="36"/>
      <c r="K8024" s="38"/>
      <c r="L8024" s="38"/>
    </row>
    <row r="8025" spans="1:12" x14ac:dyDescent="0.25">
      <c r="A8025" s="35"/>
      <c r="B8025" s="36"/>
      <c r="C8025" s="36"/>
      <c r="D8025" s="36"/>
      <c r="E8025" s="36"/>
      <c r="F8025" s="36"/>
      <c r="G8025" s="36"/>
      <c r="H8025" s="36"/>
      <c r="I8025" s="37"/>
      <c r="J8025" s="36"/>
      <c r="K8025" s="38"/>
      <c r="L8025" s="38"/>
    </row>
    <row r="8026" spans="1:12" x14ac:dyDescent="0.25">
      <c r="A8026" s="35"/>
      <c r="B8026" s="36"/>
      <c r="C8026" s="36"/>
      <c r="D8026" s="36"/>
      <c r="E8026" s="36"/>
      <c r="F8026" s="36"/>
      <c r="G8026" s="36"/>
      <c r="H8026" s="36"/>
      <c r="I8026" s="37"/>
      <c r="J8026" s="36"/>
      <c r="K8026" s="38"/>
      <c r="L8026" s="38"/>
    </row>
    <row r="8027" spans="1:12" x14ac:dyDescent="0.25">
      <c r="A8027" s="35"/>
      <c r="B8027" s="36"/>
      <c r="C8027" s="36"/>
      <c r="D8027" s="36"/>
      <c r="E8027" s="36"/>
      <c r="F8027" s="36"/>
      <c r="G8027" s="36"/>
      <c r="H8027" s="36"/>
      <c r="I8027" s="37"/>
      <c r="J8027" s="36"/>
      <c r="K8027" s="38"/>
      <c r="L8027" s="38"/>
    </row>
    <row r="8028" spans="1:12" x14ac:dyDescent="0.25">
      <c r="A8028" s="35"/>
      <c r="B8028" s="36"/>
      <c r="C8028" s="36"/>
      <c r="D8028" s="36"/>
      <c r="E8028" s="36"/>
      <c r="F8028" s="36"/>
      <c r="G8028" s="36"/>
      <c r="H8028" s="36"/>
      <c r="I8028" s="37"/>
      <c r="J8028" s="36"/>
      <c r="K8028" s="38"/>
      <c r="L8028" s="38"/>
    </row>
    <row r="8029" spans="1:12" x14ac:dyDescent="0.25">
      <c r="A8029" s="35"/>
      <c r="B8029" s="36"/>
      <c r="C8029" s="36"/>
      <c r="D8029" s="36"/>
      <c r="E8029" s="36"/>
      <c r="F8029" s="36"/>
      <c r="G8029" s="36"/>
      <c r="H8029" s="36"/>
      <c r="I8029" s="37"/>
      <c r="J8029" s="36"/>
      <c r="K8029" s="38"/>
      <c r="L8029" s="38"/>
    </row>
    <row r="8030" spans="1:12" x14ac:dyDescent="0.25">
      <c r="A8030" s="35"/>
      <c r="B8030" s="36"/>
      <c r="C8030" s="36"/>
      <c r="D8030" s="36"/>
      <c r="E8030" s="36"/>
      <c r="F8030" s="36"/>
      <c r="G8030" s="36"/>
      <c r="H8030" s="36"/>
      <c r="I8030" s="37"/>
      <c r="J8030" s="36"/>
      <c r="K8030" s="38"/>
      <c r="L8030" s="38"/>
    </row>
    <row r="8031" spans="1:12" x14ac:dyDescent="0.25">
      <c r="A8031" s="35"/>
      <c r="B8031" s="36"/>
      <c r="C8031" s="36"/>
      <c r="D8031" s="36"/>
      <c r="E8031" s="36"/>
      <c r="F8031" s="36"/>
      <c r="G8031" s="36"/>
      <c r="H8031" s="36"/>
      <c r="I8031" s="37"/>
      <c r="J8031" s="36"/>
      <c r="K8031" s="38"/>
      <c r="L8031" s="38"/>
    </row>
    <row r="8032" spans="1:12" x14ac:dyDescent="0.25">
      <c r="A8032" s="35"/>
      <c r="B8032" s="36"/>
      <c r="C8032" s="36"/>
      <c r="D8032" s="36"/>
      <c r="E8032" s="36"/>
      <c r="F8032" s="36"/>
      <c r="G8032" s="36"/>
      <c r="H8032" s="36"/>
      <c r="I8032" s="37"/>
      <c r="J8032" s="36"/>
      <c r="K8032" s="38"/>
      <c r="L8032" s="38"/>
    </row>
    <row r="8033" spans="1:12" x14ac:dyDescent="0.25">
      <c r="A8033" s="35"/>
      <c r="B8033" s="36"/>
      <c r="C8033" s="36"/>
      <c r="D8033" s="36"/>
      <c r="E8033" s="36"/>
      <c r="F8033" s="36"/>
      <c r="G8033" s="36"/>
      <c r="H8033" s="36"/>
      <c r="I8033" s="37"/>
      <c r="J8033" s="36"/>
      <c r="K8033" s="38"/>
      <c r="L8033" s="38"/>
    </row>
    <row r="8034" spans="1:12" x14ac:dyDescent="0.25">
      <c r="A8034" s="35"/>
      <c r="B8034" s="36"/>
      <c r="C8034" s="36"/>
      <c r="D8034" s="36"/>
      <c r="E8034" s="36"/>
      <c r="F8034" s="36"/>
      <c r="G8034" s="36"/>
      <c r="H8034" s="36"/>
      <c r="I8034" s="37"/>
      <c r="J8034" s="36"/>
      <c r="K8034" s="38"/>
      <c r="L8034" s="38"/>
    </row>
    <row r="8035" spans="1:12" x14ac:dyDescent="0.25">
      <c r="A8035" s="35"/>
      <c r="B8035" s="36"/>
      <c r="C8035" s="36"/>
      <c r="D8035" s="36"/>
      <c r="E8035" s="36"/>
      <c r="F8035" s="36"/>
      <c r="G8035" s="36"/>
      <c r="H8035" s="36"/>
      <c r="I8035" s="37"/>
      <c r="J8035" s="36"/>
      <c r="K8035" s="38"/>
      <c r="L8035" s="38"/>
    </row>
    <row r="8036" spans="1:12" x14ac:dyDescent="0.25">
      <c r="A8036" s="35"/>
      <c r="B8036" s="36"/>
      <c r="C8036" s="36"/>
      <c r="D8036" s="36"/>
      <c r="E8036" s="36"/>
      <c r="F8036" s="36"/>
      <c r="G8036" s="36"/>
      <c r="H8036" s="36"/>
      <c r="I8036" s="37"/>
      <c r="J8036" s="36"/>
      <c r="K8036" s="38"/>
      <c r="L8036" s="38"/>
    </row>
    <row r="8037" spans="1:12" x14ac:dyDescent="0.25">
      <c r="A8037" s="35"/>
      <c r="B8037" s="36"/>
      <c r="C8037" s="36"/>
      <c r="D8037" s="36"/>
      <c r="E8037" s="36"/>
      <c r="F8037" s="36"/>
      <c r="G8037" s="36"/>
      <c r="H8037" s="36"/>
      <c r="I8037" s="37"/>
      <c r="J8037" s="36"/>
      <c r="K8037" s="38"/>
      <c r="L8037" s="38"/>
    </row>
    <row r="8038" spans="1:12" x14ac:dyDescent="0.25">
      <c r="A8038" s="35"/>
      <c r="B8038" s="36"/>
      <c r="C8038" s="36"/>
      <c r="D8038" s="36"/>
      <c r="E8038" s="36"/>
      <c r="F8038" s="36"/>
      <c r="G8038" s="36"/>
      <c r="H8038" s="36"/>
      <c r="I8038" s="37"/>
      <c r="J8038" s="36"/>
      <c r="K8038" s="38"/>
      <c r="L8038" s="38"/>
    </row>
    <row r="8039" spans="1:12" x14ac:dyDescent="0.25">
      <c r="A8039" s="35"/>
      <c r="B8039" s="36"/>
      <c r="C8039" s="36"/>
      <c r="D8039" s="36"/>
      <c r="E8039" s="36"/>
      <c r="F8039" s="36"/>
      <c r="G8039" s="36"/>
      <c r="H8039" s="36"/>
      <c r="I8039" s="37"/>
      <c r="J8039" s="36"/>
      <c r="K8039" s="38"/>
      <c r="L8039" s="38"/>
    </row>
    <row r="8040" spans="1:12" x14ac:dyDescent="0.25">
      <c r="A8040" s="35"/>
      <c r="B8040" s="36"/>
      <c r="C8040" s="36"/>
      <c r="D8040" s="36"/>
      <c r="E8040" s="36"/>
      <c r="F8040" s="36"/>
      <c r="G8040" s="36"/>
      <c r="H8040" s="36"/>
      <c r="I8040" s="37"/>
      <c r="J8040" s="36"/>
      <c r="K8040" s="38"/>
      <c r="L8040" s="38"/>
    </row>
    <row r="8041" spans="1:12" x14ac:dyDescent="0.25">
      <c r="A8041" s="35"/>
      <c r="B8041" s="36"/>
      <c r="C8041" s="36"/>
      <c r="D8041" s="36"/>
      <c r="E8041" s="36"/>
      <c r="F8041" s="36"/>
      <c r="G8041" s="36"/>
      <c r="H8041" s="36"/>
      <c r="I8041" s="37"/>
      <c r="J8041" s="36"/>
      <c r="K8041" s="38"/>
      <c r="L8041" s="38"/>
    </row>
    <row r="8042" spans="1:12" x14ac:dyDescent="0.25">
      <c r="A8042" s="35"/>
      <c r="B8042" s="36"/>
      <c r="C8042" s="36"/>
      <c r="D8042" s="36"/>
      <c r="E8042" s="36"/>
      <c r="F8042" s="36"/>
      <c r="G8042" s="36"/>
      <c r="H8042" s="36"/>
      <c r="I8042" s="37"/>
      <c r="J8042" s="36"/>
      <c r="K8042" s="38"/>
      <c r="L8042" s="38"/>
    </row>
    <row r="8043" spans="1:12" x14ac:dyDescent="0.25">
      <c r="A8043" s="35"/>
      <c r="B8043" s="36"/>
      <c r="C8043" s="36"/>
      <c r="D8043" s="36"/>
      <c r="E8043" s="36"/>
      <c r="F8043" s="36"/>
      <c r="G8043" s="36"/>
      <c r="H8043" s="36"/>
      <c r="I8043" s="37"/>
      <c r="J8043" s="36"/>
      <c r="K8043" s="38"/>
      <c r="L8043" s="38"/>
    </row>
    <row r="8044" spans="1:12" x14ac:dyDescent="0.25">
      <c r="A8044" s="35"/>
      <c r="B8044" s="36"/>
      <c r="C8044" s="36"/>
      <c r="D8044" s="36"/>
      <c r="E8044" s="36"/>
      <c r="F8044" s="36"/>
      <c r="G8044" s="36"/>
      <c r="H8044" s="36"/>
      <c r="I8044" s="37"/>
      <c r="J8044" s="36"/>
      <c r="K8044" s="38"/>
      <c r="L8044" s="38"/>
    </row>
    <row r="8045" spans="1:12" x14ac:dyDescent="0.25">
      <c r="A8045" s="35"/>
      <c r="B8045" s="36"/>
      <c r="C8045" s="36"/>
      <c r="D8045" s="36"/>
      <c r="E8045" s="36"/>
      <c r="F8045" s="36"/>
      <c r="G8045" s="36"/>
      <c r="H8045" s="36"/>
      <c r="I8045" s="37"/>
      <c r="J8045" s="36"/>
      <c r="K8045" s="38"/>
      <c r="L8045" s="38"/>
    </row>
    <row r="8046" spans="1:12" x14ac:dyDescent="0.25">
      <c r="A8046" s="35"/>
      <c r="B8046" s="36"/>
      <c r="C8046" s="36"/>
      <c r="D8046" s="36"/>
      <c r="E8046" s="36"/>
      <c r="F8046" s="36"/>
      <c r="G8046" s="36"/>
      <c r="H8046" s="36"/>
      <c r="I8046" s="37"/>
      <c r="J8046" s="36"/>
      <c r="K8046" s="38"/>
      <c r="L8046" s="38"/>
    </row>
    <row r="8047" spans="1:12" x14ac:dyDescent="0.25">
      <c r="A8047" s="35"/>
      <c r="B8047" s="36"/>
      <c r="C8047" s="36"/>
      <c r="D8047" s="36"/>
      <c r="E8047" s="36"/>
      <c r="F8047" s="36"/>
      <c r="G8047" s="36"/>
      <c r="H8047" s="36"/>
      <c r="I8047" s="37"/>
      <c r="J8047" s="36"/>
      <c r="K8047" s="38"/>
      <c r="L8047" s="38"/>
    </row>
    <row r="8048" spans="1:12" x14ac:dyDescent="0.25">
      <c r="A8048" s="35"/>
      <c r="B8048" s="36"/>
      <c r="C8048" s="36"/>
      <c r="D8048" s="36"/>
      <c r="E8048" s="36"/>
      <c r="F8048" s="36"/>
      <c r="G8048" s="36"/>
      <c r="H8048" s="36"/>
      <c r="I8048" s="37"/>
      <c r="J8048" s="36"/>
      <c r="K8048" s="38"/>
      <c r="L8048" s="38"/>
    </row>
    <row r="8049" spans="1:12" x14ac:dyDescent="0.25">
      <c r="A8049" s="35"/>
      <c r="B8049" s="36"/>
      <c r="C8049" s="36"/>
      <c r="D8049" s="36"/>
      <c r="E8049" s="36"/>
      <c r="F8049" s="36"/>
      <c r="G8049" s="36"/>
      <c r="H8049" s="36"/>
      <c r="I8049" s="37"/>
      <c r="J8049" s="36"/>
      <c r="K8049" s="38"/>
      <c r="L8049" s="38"/>
    </row>
    <row r="8050" spans="1:12" x14ac:dyDescent="0.25">
      <c r="A8050" s="35"/>
      <c r="B8050" s="36"/>
      <c r="C8050" s="36"/>
      <c r="D8050" s="36"/>
      <c r="E8050" s="36"/>
      <c r="F8050" s="36"/>
      <c r="G8050" s="36"/>
      <c r="H8050" s="36"/>
      <c r="I8050" s="37"/>
      <c r="J8050" s="36"/>
      <c r="K8050" s="38"/>
      <c r="L8050" s="38"/>
    </row>
    <row r="8051" spans="1:12" x14ac:dyDescent="0.25">
      <c r="A8051" s="35"/>
      <c r="B8051" s="36"/>
      <c r="C8051" s="36"/>
      <c r="D8051" s="36"/>
      <c r="E8051" s="36"/>
      <c r="F8051" s="36"/>
      <c r="G8051" s="36"/>
      <c r="H8051" s="36"/>
      <c r="I8051" s="37"/>
      <c r="J8051" s="36"/>
      <c r="K8051" s="38"/>
      <c r="L8051" s="38"/>
    </row>
    <row r="8052" spans="1:12" x14ac:dyDescent="0.25">
      <c r="A8052" s="35"/>
      <c r="B8052" s="36"/>
      <c r="C8052" s="36"/>
      <c r="D8052" s="36"/>
      <c r="E8052" s="36"/>
      <c r="F8052" s="36"/>
      <c r="G8052" s="36"/>
      <c r="H8052" s="36"/>
      <c r="I8052" s="37"/>
      <c r="J8052" s="36"/>
      <c r="K8052" s="38"/>
      <c r="L8052" s="38"/>
    </row>
    <row r="8053" spans="1:12" x14ac:dyDescent="0.25">
      <c r="A8053" s="35"/>
      <c r="B8053" s="36"/>
      <c r="C8053" s="36"/>
      <c r="D8053" s="36"/>
      <c r="E8053" s="36"/>
      <c r="F8053" s="36"/>
      <c r="G8053" s="36"/>
      <c r="H8053" s="36"/>
      <c r="I8053" s="37"/>
      <c r="J8053" s="36"/>
      <c r="K8053" s="38"/>
      <c r="L8053" s="38"/>
    </row>
    <row r="8054" spans="1:12" x14ac:dyDescent="0.25">
      <c r="A8054" s="35"/>
      <c r="B8054" s="36"/>
      <c r="C8054" s="36"/>
      <c r="D8054" s="36"/>
      <c r="E8054" s="36"/>
      <c r="F8054" s="36"/>
      <c r="G8054" s="36"/>
      <c r="H8054" s="36"/>
      <c r="I8054" s="37"/>
      <c r="J8054" s="36"/>
      <c r="K8054" s="38"/>
      <c r="L8054" s="38"/>
    </row>
    <row r="8055" spans="1:12" x14ac:dyDescent="0.25">
      <c r="A8055" s="35"/>
      <c r="B8055" s="36"/>
      <c r="C8055" s="36"/>
      <c r="D8055" s="36"/>
      <c r="E8055" s="36"/>
      <c r="F8055" s="36"/>
      <c r="G8055" s="36"/>
      <c r="H8055" s="36"/>
      <c r="I8055" s="37"/>
      <c r="J8055" s="36"/>
      <c r="K8055" s="38"/>
      <c r="L8055" s="38"/>
    </row>
    <row r="8056" spans="1:12" x14ac:dyDescent="0.25">
      <c r="A8056" s="35"/>
      <c r="B8056" s="36"/>
      <c r="C8056" s="36"/>
      <c r="D8056" s="36"/>
      <c r="E8056" s="36"/>
      <c r="F8056" s="36"/>
      <c r="G8056" s="36"/>
      <c r="H8056" s="36"/>
      <c r="I8056" s="37"/>
      <c r="J8056" s="36"/>
      <c r="K8056" s="38"/>
      <c r="L8056" s="38"/>
    </row>
    <row r="8057" spans="1:12" x14ac:dyDescent="0.25">
      <c r="A8057" s="35"/>
      <c r="B8057" s="36"/>
      <c r="C8057" s="36"/>
      <c r="D8057" s="36"/>
      <c r="E8057" s="36"/>
      <c r="F8057" s="36"/>
      <c r="G8057" s="36"/>
      <c r="H8057" s="36"/>
      <c r="I8057" s="37"/>
      <c r="J8057" s="36"/>
      <c r="K8057" s="38"/>
      <c r="L8057" s="38"/>
    </row>
    <row r="8058" spans="1:12" x14ac:dyDescent="0.25">
      <c r="A8058" s="35"/>
      <c r="B8058" s="36"/>
      <c r="C8058" s="36"/>
      <c r="D8058" s="36"/>
      <c r="E8058" s="36"/>
      <c r="F8058" s="36"/>
      <c r="G8058" s="36"/>
      <c r="H8058" s="36"/>
      <c r="I8058" s="37"/>
      <c r="J8058" s="36"/>
      <c r="K8058" s="38"/>
      <c r="L8058" s="38"/>
    </row>
    <row r="8059" spans="1:12" x14ac:dyDescent="0.25">
      <c r="A8059" s="35"/>
      <c r="B8059" s="36"/>
      <c r="C8059" s="36"/>
      <c r="D8059" s="36"/>
      <c r="E8059" s="36"/>
      <c r="F8059" s="36"/>
      <c r="G8059" s="36"/>
      <c r="H8059" s="36"/>
      <c r="I8059" s="37"/>
      <c r="J8059" s="36"/>
      <c r="K8059" s="38"/>
      <c r="L8059" s="38"/>
    </row>
    <row r="8060" spans="1:12" x14ac:dyDescent="0.25">
      <c r="A8060" s="35"/>
      <c r="B8060" s="36"/>
      <c r="C8060" s="36"/>
      <c r="D8060" s="36"/>
      <c r="E8060" s="36"/>
      <c r="F8060" s="36"/>
      <c r="G8060" s="36"/>
      <c r="H8060" s="36"/>
      <c r="I8060" s="37"/>
      <c r="J8060" s="36"/>
      <c r="K8060" s="38"/>
      <c r="L8060" s="38"/>
    </row>
    <row r="8061" spans="1:12" x14ac:dyDescent="0.25">
      <c r="A8061" s="35"/>
      <c r="B8061" s="36"/>
      <c r="C8061" s="36"/>
      <c r="D8061" s="36"/>
      <c r="E8061" s="36"/>
      <c r="F8061" s="36"/>
      <c r="G8061" s="36"/>
      <c r="H8061" s="36"/>
      <c r="I8061" s="37"/>
      <c r="J8061" s="36"/>
      <c r="K8061" s="38"/>
      <c r="L8061" s="38"/>
    </row>
    <row r="8062" spans="1:12" x14ac:dyDescent="0.25">
      <c r="A8062" s="35"/>
      <c r="B8062" s="36"/>
      <c r="C8062" s="36"/>
      <c r="D8062" s="36"/>
      <c r="E8062" s="36"/>
      <c r="F8062" s="36"/>
      <c r="G8062" s="36"/>
      <c r="H8062" s="36"/>
      <c r="I8062" s="37"/>
      <c r="J8062" s="36"/>
      <c r="K8062" s="38"/>
      <c r="L8062" s="38"/>
    </row>
    <row r="8063" spans="1:12" x14ac:dyDescent="0.25">
      <c r="A8063" s="35"/>
      <c r="B8063" s="36"/>
      <c r="C8063" s="36"/>
      <c r="D8063" s="36"/>
      <c r="E8063" s="36"/>
      <c r="F8063" s="36"/>
      <c r="G8063" s="36"/>
      <c r="H8063" s="36"/>
      <c r="I8063" s="37"/>
      <c r="J8063" s="36"/>
      <c r="K8063" s="38"/>
      <c r="L8063" s="38"/>
    </row>
    <row r="8064" spans="1:12" x14ac:dyDescent="0.25">
      <c r="A8064" s="35"/>
      <c r="B8064" s="36"/>
      <c r="C8064" s="36"/>
      <c r="D8064" s="36"/>
      <c r="E8064" s="36"/>
      <c r="F8064" s="36"/>
      <c r="G8064" s="36"/>
      <c r="H8064" s="36"/>
      <c r="I8064" s="37"/>
      <c r="J8064" s="36"/>
      <c r="K8064" s="38"/>
      <c r="L8064" s="38"/>
    </row>
    <row r="8065" spans="1:12" x14ac:dyDescent="0.25">
      <c r="A8065" s="35"/>
      <c r="B8065" s="36"/>
      <c r="C8065" s="36"/>
      <c r="D8065" s="36"/>
      <c r="E8065" s="36"/>
      <c r="F8065" s="36"/>
      <c r="G8065" s="36"/>
      <c r="H8065" s="36"/>
      <c r="I8065" s="37"/>
      <c r="J8065" s="36"/>
      <c r="K8065" s="38"/>
      <c r="L8065" s="38"/>
    </row>
    <row r="8066" spans="1:12" x14ac:dyDescent="0.25">
      <c r="A8066" s="35"/>
      <c r="B8066" s="36"/>
      <c r="C8066" s="36"/>
      <c r="D8066" s="36"/>
      <c r="E8066" s="36"/>
      <c r="F8066" s="36"/>
      <c r="G8066" s="36"/>
      <c r="H8066" s="36"/>
      <c r="I8066" s="37"/>
      <c r="J8066" s="36"/>
      <c r="K8066" s="38"/>
      <c r="L8066" s="38"/>
    </row>
    <row r="8067" spans="1:12" x14ac:dyDescent="0.25">
      <c r="A8067" s="35"/>
      <c r="B8067" s="36"/>
      <c r="C8067" s="36"/>
      <c r="D8067" s="36"/>
      <c r="E8067" s="36"/>
      <c r="F8067" s="36"/>
      <c r="G8067" s="36"/>
      <c r="H8067" s="36"/>
      <c r="I8067" s="37"/>
      <c r="J8067" s="36"/>
      <c r="K8067" s="38"/>
      <c r="L8067" s="38"/>
    </row>
    <row r="8068" spans="1:12" x14ac:dyDescent="0.25">
      <c r="A8068" s="35"/>
      <c r="B8068" s="36"/>
      <c r="C8068" s="36"/>
      <c r="D8068" s="36"/>
      <c r="E8068" s="36"/>
      <c r="F8068" s="36"/>
      <c r="G8068" s="36"/>
      <c r="H8068" s="36"/>
      <c r="I8068" s="37"/>
      <c r="J8068" s="36"/>
      <c r="K8068" s="38"/>
      <c r="L8068" s="38"/>
    </row>
    <row r="8069" spans="1:12" x14ac:dyDescent="0.25">
      <c r="A8069" s="35"/>
      <c r="B8069" s="36"/>
      <c r="C8069" s="36"/>
      <c r="D8069" s="36"/>
      <c r="E8069" s="36"/>
      <c r="F8069" s="36"/>
      <c r="G8069" s="36"/>
      <c r="H8069" s="36"/>
      <c r="I8069" s="37"/>
      <c r="J8069" s="36"/>
      <c r="K8069" s="38"/>
      <c r="L8069" s="38"/>
    </row>
    <row r="8070" spans="1:12" x14ac:dyDescent="0.25">
      <c r="A8070" s="35"/>
      <c r="B8070" s="36"/>
      <c r="C8070" s="36"/>
      <c r="D8070" s="36"/>
      <c r="E8070" s="36"/>
      <c r="F8070" s="36"/>
      <c r="G8070" s="36"/>
      <c r="H8070" s="36"/>
      <c r="I8070" s="37"/>
      <c r="J8070" s="36"/>
      <c r="K8070" s="38"/>
      <c r="L8070" s="38"/>
    </row>
    <row r="8071" spans="1:12" x14ac:dyDescent="0.25">
      <c r="A8071" s="35"/>
      <c r="B8071" s="36"/>
      <c r="C8071" s="36"/>
      <c r="D8071" s="36"/>
      <c r="E8071" s="36"/>
      <c r="F8071" s="36"/>
      <c r="G8071" s="36"/>
      <c r="H8071" s="36"/>
      <c r="I8071" s="37"/>
      <c r="J8071" s="36"/>
      <c r="K8071" s="38"/>
      <c r="L8071" s="38"/>
    </row>
    <row r="8072" spans="1:12" x14ac:dyDescent="0.25">
      <c r="A8072" s="35"/>
      <c r="B8072" s="36"/>
      <c r="C8072" s="36"/>
      <c r="D8072" s="36"/>
      <c r="E8072" s="36"/>
      <c r="F8072" s="36"/>
      <c r="G8072" s="36"/>
      <c r="H8072" s="36"/>
      <c r="I8072" s="37"/>
      <c r="J8072" s="36"/>
      <c r="K8072" s="38"/>
      <c r="L8072" s="38"/>
    </row>
    <row r="8073" spans="1:12" x14ac:dyDescent="0.25">
      <c r="A8073" s="35"/>
      <c r="B8073" s="36"/>
      <c r="C8073" s="36"/>
      <c r="D8073" s="36"/>
      <c r="E8073" s="36"/>
      <c r="F8073" s="36"/>
      <c r="G8073" s="36"/>
      <c r="H8073" s="36"/>
      <c r="I8073" s="37"/>
      <c r="J8073" s="36"/>
      <c r="K8073" s="38"/>
      <c r="L8073" s="38"/>
    </row>
    <row r="8074" spans="1:12" x14ac:dyDescent="0.25">
      <c r="A8074" s="35"/>
      <c r="B8074" s="36"/>
      <c r="C8074" s="36"/>
      <c r="D8074" s="36"/>
      <c r="E8074" s="36"/>
      <c r="F8074" s="36"/>
      <c r="G8074" s="36"/>
      <c r="H8074" s="36"/>
      <c r="I8074" s="37"/>
      <c r="J8074" s="36"/>
      <c r="K8074" s="38"/>
      <c r="L8074" s="38"/>
    </row>
    <row r="8075" spans="1:12" x14ac:dyDescent="0.25">
      <c r="A8075" s="35"/>
      <c r="B8075" s="36"/>
      <c r="C8075" s="36"/>
      <c r="D8075" s="36"/>
      <c r="E8075" s="36"/>
      <c r="F8075" s="36"/>
      <c r="G8075" s="36"/>
      <c r="H8075" s="36"/>
      <c r="I8075" s="37"/>
      <c r="J8075" s="36"/>
      <c r="K8075" s="38"/>
      <c r="L8075" s="38"/>
    </row>
    <row r="8076" spans="1:12" x14ac:dyDescent="0.25">
      <c r="A8076" s="35"/>
      <c r="B8076" s="36"/>
      <c r="C8076" s="36"/>
      <c r="D8076" s="36"/>
      <c r="E8076" s="36"/>
      <c r="F8076" s="36"/>
      <c r="G8076" s="36"/>
      <c r="H8076" s="36"/>
      <c r="I8076" s="37"/>
      <c r="J8076" s="36"/>
      <c r="K8076" s="38"/>
      <c r="L8076" s="38"/>
    </row>
    <row r="8077" spans="1:12" x14ac:dyDescent="0.25">
      <c r="A8077" s="35"/>
      <c r="B8077" s="36"/>
      <c r="C8077" s="36"/>
      <c r="D8077" s="36"/>
      <c r="E8077" s="36"/>
      <c r="F8077" s="36"/>
      <c r="G8077" s="36"/>
      <c r="H8077" s="36"/>
      <c r="I8077" s="37"/>
      <c r="J8077" s="36"/>
      <c r="K8077" s="38"/>
      <c r="L8077" s="38"/>
    </row>
    <row r="8078" spans="1:12" x14ac:dyDescent="0.25">
      <c r="A8078" s="35"/>
      <c r="B8078" s="36"/>
      <c r="C8078" s="36"/>
      <c r="D8078" s="36"/>
      <c r="E8078" s="36"/>
      <c r="F8078" s="36"/>
      <c r="G8078" s="36"/>
      <c r="H8078" s="36"/>
      <c r="I8078" s="37"/>
      <c r="J8078" s="36"/>
      <c r="K8078" s="38"/>
      <c r="L8078" s="38"/>
    </row>
    <row r="8079" spans="1:12" x14ac:dyDescent="0.25">
      <c r="A8079" s="35"/>
      <c r="B8079" s="36"/>
      <c r="C8079" s="36"/>
      <c r="D8079" s="36"/>
      <c r="E8079" s="36"/>
      <c r="F8079" s="36"/>
      <c r="G8079" s="36"/>
      <c r="H8079" s="36"/>
      <c r="I8079" s="37"/>
      <c r="J8079" s="36"/>
      <c r="K8079" s="38"/>
      <c r="L8079" s="38"/>
    </row>
    <row r="8080" spans="1:12" x14ac:dyDescent="0.25">
      <c r="A8080" s="35"/>
      <c r="B8080" s="36"/>
      <c r="C8080" s="36"/>
      <c r="D8080" s="36"/>
      <c r="E8080" s="36"/>
      <c r="F8080" s="36"/>
      <c r="G8080" s="36"/>
      <c r="H8080" s="36"/>
      <c r="I8080" s="37"/>
      <c r="J8080" s="36"/>
      <c r="K8080" s="38"/>
      <c r="L8080" s="38"/>
    </row>
    <row r="8081" spans="1:12" x14ac:dyDescent="0.25">
      <c r="A8081" s="35"/>
      <c r="B8081" s="36"/>
      <c r="C8081" s="36"/>
      <c r="D8081" s="36"/>
      <c r="E8081" s="36"/>
      <c r="F8081" s="36"/>
      <c r="G8081" s="36"/>
      <c r="H8081" s="36"/>
      <c r="I8081" s="37"/>
      <c r="J8081" s="36"/>
      <c r="K8081" s="38"/>
      <c r="L8081" s="38"/>
    </row>
    <row r="8082" spans="1:12" x14ac:dyDescent="0.25">
      <c r="A8082" s="35"/>
      <c r="B8082" s="36"/>
      <c r="C8082" s="36"/>
      <c r="D8082" s="36"/>
      <c r="E8082" s="36"/>
      <c r="F8082" s="36"/>
      <c r="G8082" s="36"/>
      <c r="H8082" s="36"/>
      <c r="I8082" s="37"/>
      <c r="J8082" s="36"/>
      <c r="K8082" s="38"/>
      <c r="L8082" s="38"/>
    </row>
    <row r="8083" spans="1:12" x14ac:dyDescent="0.25">
      <c r="A8083" s="35"/>
      <c r="B8083" s="36"/>
      <c r="C8083" s="36"/>
      <c r="D8083" s="36"/>
      <c r="E8083" s="36"/>
      <c r="F8083" s="36"/>
      <c r="G8083" s="36"/>
      <c r="H8083" s="36"/>
      <c r="I8083" s="37"/>
      <c r="J8083" s="36"/>
      <c r="K8083" s="38"/>
      <c r="L8083" s="38"/>
    </row>
    <row r="8084" spans="1:12" x14ac:dyDescent="0.25">
      <c r="A8084" s="35"/>
      <c r="B8084" s="36"/>
      <c r="C8084" s="36"/>
      <c r="D8084" s="36"/>
      <c r="E8084" s="36"/>
      <c r="F8084" s="36"/>
      <c r="G8084" s="36"/>
      <c r="H8084" s="36"/>
      <c r="I8084" s="37"/>
      <c r="J8084" s="36"/>
      <c r="K8084" s="38"/>
      <c r="L8084" s="38"/>
    </row>
    <row r="8085" spans="1:12" x14ac:dyDescent="0.25">
      <c r="A8085" s="35"/>
      <c r="B8085" s="36"/>
      <c r="C8085" s="36"/>
      <c r="D8085" s="36"/>
      <c r="E8085" s="36"/>
      <c r="F8085" s="36"/>
      <c r="G8085" s="36"/>
      <c r="H8085" s="36"/>
      <c r="I8085" s="37"/>
      <c r="J8085" s="36"/>
      <c r="K8085" s="38"/>
      <c r="L8085" s="38"/>
    </row>
    <row r="8086" spans="1:12" x14ac:dyDescent="0.25">
      <c r="A8086" s="35"/>
      <c r="B8086" s="36"/>
      <c r="C8086" s="36"/>
      <c r="D8086" s="36"/>
      <c r="E8086" s="36"/>
      <c r="F8086" s="36"/>
      <c r="G8086" s="36"/>
      <c r="H8086" s="36"/>
      <c r="I8086" s="37"/>
      <c r="J8086" s="36"/>
      <c r="K8086" s="38"/>
      <c r="L8086" s="38"/>
    </row>
    <row r="8087" spans="1:12" x14ac:dyDescent="0.25">
      <c r="A8087" s="35"/>
      <c r="B8087" s="36"/>
      <c r="C8087" s="36"/>
      <c r="D8087" s="36"/>
      <c r="E8087" s="36"/>
      <c r="F8087" s="36"/>
      <c r="G8087" s="36"/>
      <c r="H8087" s="36"/>
      <c r="I8087" s="37"/>
      <c r="J8087" s="36"/>
      <c r="K8087" s="38"/>
      <c r="L8087" s="38"/>
    </row>
    <row r="8088" spans="1:12" x14ac:dyDescent="0.25">
      <c r="A8088" s="35"/>
      <c r="B8088" s="36"/>
      <c r="C8088" s="36"/>
      <c r="D8088" s="36"/>
      <c r="E8088" s="36"/>
      <c r="F8088" s="36"/>
      <c r="G8088" s="36"/>
      <c r="H8088" s="36"/>
      <c r="I8088" s="37"/>
      <c r="J8088" s="36"/>
      <c r="K8088" s="38"/>
      <c r="L8088" s="38"/>
    </row>
    <row r="8089" spans="1:12" x14ac:dyDescent="0.25">
      <c r="A8089" s="35"/>
      <c r="B8089" s="36"/>
      <c r="C8089" s="36"/>
      <c r="D8089" s="36"/>
      <c r="E8089" s="36"/>
      <c r="F8089" s="36"/>
      <c r="G8089" s="36"/>
      <c r="H8089" s="36"/>
      <c r="I8089" s="37"/>
      <c r="J8089" s="36"/>
      <c r="K8089" s="38"/>
      <c r="L8089" s="38"/>
    </row>
    <row r="8090" spans="1:12" x14ac:dyDescent="0.25">
      <c r="A8090" s="35"/>
      <c r="B8090" s="36"/>
      <c r="C8090" s="36"/>
      <c r="D8090" s="36"/>
      <c r="E8090" s="36"/>
      <c r="F8090" s="36"/>
      <c r="G8090" s="36"/>
      <c r="H8090" s="36"/>
      <c r="I8090" s="37"/>
      <c r="J8090" s="36"/>
      <c r="K8090" s="38"/>
      <c r="L8090" s="38"/>
    </row>
    <row r="8091" spans="1:12" x14ac:dyDescent="0.25">
      <c r="A8091" s="35"/>
      <c r="B8091" s="36"/>
      <c r="C8091" s="36"/>
      <c r="D8091" s="36"/>
      <c r="E8091" s="36"/>
      <c r="F8091" s="36"/>
      <c r="G8091" s="36"/>
      <c r="H8091" s="36"/>
      <c r="I8091" s="37"/>
      <c r="J8091" s="36"/>
      <c r="K8091" s="38"/>
      <c r="L8091" s="38"/>
    </row>
    <row r="8092" spans="1:12" x14ac:dyDescent="0.25">
      <c r="A8092" s="35"/>
      <c r="B8092" s="36"/>
      <c r="C8092" s="36"/>
      <c r="D8092" s="36"/>
      <c r="E8092" s="36"/>
      <c r="F8092" s="36"/>
      <c r="G8092" s="36"/>
      <c r="H8092" s="36"/>
      <c r="I8092" s="37"/>
      <c r="J8092" s="36"/>
      <c r="K8092" s="38"/>
      <c r="L8092" s="38"/>
    </row>
    <row r="8093" spans="1:12" x14ac:dyDescent="0.25">
      <c r="A8093" s="35"/>
      <c r="B8093" s="36"/>
      <c r="C8093" s="36"/>
      <c r="D8093" s="36"/>
      <c r="E8093" s="36"/>
      <c r="F8093" s="36"/>
      <c r="G8093" s="36"/>
      <c r="H8093" s="36"/>
      <c r="I8093" s="37"/>
      <c r="J8093" s="36"/>
      <c r="K8093" s="38"/>
      <c r="L8093" s="38"/>
    </row>
    <row r="8094" spans="1:12" x14ac:dyDescent="0.25">
      <c r="A8094" s="35"/>
      <c r="B8094" s="36"/>
      <c r="C8094" s="36"/>
      <c r="D8094" s="36"/>
      <c r="E8094" s="36"/>
      <c r="F8094" s="36"/>
      <c r="G8094" s="36"/>
      <c r="H8094" s="36"/>
      <c r="I8094" s="37"/>
      <c r="J8094" s="36"/>
      <c r="K8094" s="38"/>
      <c r="L8094" s="38"/>
    </row>
    <row r="8095" spans="1:12" x14ac:dyDescent="0.25">
      <c r="A8095" s="35"/>
      <c r="B8095" s="36"/>
      <c r="C8095" s="36"/>
      <c r="D8095" s="36"/>
      <c r="E8095" s="36"/>
      <c r="F8095" s="36"/>
      <c r="G8095" s="36"/>
      <c r="H8095" s="36"/>
      <c r="I8095" s="37"/>
      <c r="J8095" s="36"/>
      <c r="K8095" s="38"/>
      <c r="L8095" s="38"/>
    </row>
    <row r="8096" spans="1:12" x14ac:dyDescent="0.25">
      <c r="A8096" s="35"/>
      <c r="B8096" s="36"/>
      <c r="C8096" s="36"/>
      <c r="D8096" s="36"/>
      <c r="E8096" s="36"/>
      <c r="F8096" s="36"/>
      <c r="G8096" s="36"/>
      <c r="H8096" s="36"/>
      <c r="I8096" s="37"/>
      <c r="J8096" s="36"/>
      <c r="K8096" s="38"/>
      <c r="L8096" s="38"/>
    </row>
    <row r="8097" spans="1:12" x14ac:dyDescent="0.25">
      <c r="A8097" s="35"/>
      <c r="B8097" s="36"/>
      <c r="C8097" s="36"/>
      <c r="D8097" s="36"/>
      <c r="E8097" s="36"/>
      <c r="F8097" s="36"/>
      <c r="G8097" s="36"/>
      <c r="H8097" s="36"/>
      <c r="I8097" s="37"/>
      <c r="J8097" s="36"/>
      <c r="K8097" s="38"/>
      <c r="L8097" s="38"/>
    </row>
    <row r="8098" spans="1:12" x14ac:dyDescent="0.25">
      <c r="A8098" s="35"/>
      <c r="B8098" s="36"/>
      <c r="C8098" s="36"/>
      <c r="D8098" s="36"/>
      <c r="E8098" s="36"/>
      <c r="F8098" s="36"/>
      <c r="G8098" s="36"/>
      <c r="H8098" s="36"/>
      <c r="I8098" s="37"/>
      <c r="J8098" s="36"/>
      <c r="K8098" s="38"/>
      <c r="L8098" s="38"/>
    </row>
    <row r="8099" spans="1:12" x14ac:dyDescent="0.25">
      <c r="A8099" s="35"/>
      <c r="B8099" s="36"/>
      <c r="C8099" s="36"/>
      <c r="D8099" s="36"/>
      <c r="E8099" s="36"/>
      <c r="F8099" s="36"/>
      <c r="G8099" s="36"/>
      <c r="H8099" s="36"/>
      <c r="I8099" s="37"/>
      <c r="J8099" s="36"/>
      <c r="K8099" s="38"/>
      <c r="L8099" s="38"/>
    </row>
    <row r="8100" spans="1:12" x14ac:dyDescent="0.25">
      <c r="A8100" s="35"/>
      <c r="B8100" s="36"/>
      <c r="C8100" s="36"/>
      <c r="D8100" s="36"/>
      <c r="E8100" s="36"/>
      <c r="F8100" s="36"/>
      <c r="G8100" s="36"/>
      <c r="H8100" s="36"/>
      <c r="I8100" s="37"/>
      <c r="J8100" s="36"/>
      <c r="K8100" s="38"/>
      <c r="L8100" s="38"/>
    </row>
    <row r="8101" spans="1:12" x14ac:dyDescent="0.25">
      <c r="A8101" s="35"/>
      <c r="B8101" s="36"/>
      <c r="C8101" s="36"/>
      <c r="D8101" s="36"/>
      <c r="E8101" s="36"/>
      <c r="F8101" s="36"/>
      <c r="G8101" s="36"/>
      <c r="H8101" s="36"/>
      <c r="I8101" s="37"/>
      <c r="J8101" s="36"/>
      <c r="K8101" s="38"/>
      <c r="L8101" s="38"/>
    </row>
    <row r="8102" spans="1:12" x14ac:dyDescent="0.25">
      <c r="A8102" s="35"/>
      <c r="B8102" s="36"/>
      <c r="C8102" s="36"/>
      <c r="D8102" s="36"/>
      <c r="E8102" s="36"/>
      <c r="F8102" s="36"/>
      <c r="G8102" s="36"/>
      <c r="H8102" s="36"/>
      <c r="I8102" s="37"/>
      <c r="J8102" s="36"/>
      <c r="K8102" s="38"/>
      <c r="L8102" s="38"/>
    </row>
    <row r="8103" spans="1:12" x14ac:dyDescent="0.25">
      <c r="A8103" s="35"/>
      <c r="B8103" s="36"/>
      <c r="C8103" s="36"/>
      <c r="D8103" s="36"/>
      <c r="E8103" s="36"/>
      <c r="F8103" s="36"/>
      <c r="G8103" s="36"/>
      <c r="H8103" s="36"/>
      <c r="I8103" s="37"/>
      <c r="J8103" s="36"/>
      <c r="K8103" s="38"/>
      <c r="L8103" s="38"/>
    </row>
    <row r="8104" spans="1:12" x14ac:dyDescent="0.25">
      <c r="A8104" s="35"/>
      <c r="B8104" s="36"/>
      <c r="C8104" s="36"/>
      <c r="D8104" s="36"/>
      <c r="E8104" s="36"/>
      <c r="F8104" s="36"/>
      <c r="G8104" s="36"/>
      <c r="H8104" s="36"/>
      <c r="I8104" s="37"/>
      <c r="J8104" s="36"/>
      <c r="K8104" s="38"/>
      <c r="L8104" s="38"/>
    </row>
    <row r="8105" spans="1:12" x14ac:dyDescent="0.25">
      <c r="A8105" s="35"/>
      <c r="B8105" s="36"/>
      <c r="C8105" s="36"/>
      <c r="D8105" s="36"/>
      <c r="E8105" s="36"/>
      <c r="F8105" s="36"/>
      <c r="G8105" s="36"/>
      <c r="H8105" s="36"/>
      <c r="I8105" s="37"/>
      <c r="J8105" s="36"/>
      <c r="K8105" s="38"/>
      <c r="L8105" s="38"/>
    </row>
    <row r="8106" spans="1:12" x14ac:dyDescent="0.25">
      <c r="A8106" s="35"/>
      <c r="B8106" s="36"/>
      <c r="C8106" s="36"/>
      <c r="D8106" s="36"/>
      <c r="E8106" s="36"/>
      <c r="F8106" s="36"/>
      <c r="G8106" s="36"/>
      <c r="H8106" s="36"/>
      <c r="I8106" s="37"/>
      <c r="J8106" s="36"/>
      <c r="K8106" s="38"/>
      <c r="L8106" s="38"/>
    </row>
    <row r="8107" spans="1:12" x14ac:dyDescent="0.25">
      <c r="A8107" s="35"/>
      <c r="B8107" s="36"/>
      <c r="C8107" s="36"/>
      <c r="D8107" s="36"/>
      <c r="E8107" s="36"/>
      <c r="F8107" s="36"/>
      <c r="G8107" s="36"/>
      <c r="H8107" s="36"/>
      <c r="I8107" s="37"/>
      <c r="J8107" s="36"/>
      <c r="K8107" s="38"/>
      <c r="L8107" s="38"/>
    </row>
    <row r="8108" spans="1:12" x14ac:dyDescent="0.25">
      <c r="A8108" s="35"/>
      <c r="B8108" s="36"/>
      <c r="C8108" s="36"/>
      <c r="D8108" s="36"/>
      <c r="E8108" s="36"/>
      <c r="F8108" s="36"/>
      <c r="G8108" s="36"/>
      <c r="H8108" s="36"/>
      <c r="I8108" s="37"/>
      <c r="J8108" s="36"/>
      <c r="K8108" s="38"/>
      <c r="L8108" s="38"/>
    </row>
    <row r="8109" spans="1:12" x14ac:dyDescent="0.25">
      <c r="A8109" s="35"/>
      <c r="B8109" s="36"/>
      <c r="C8109" s="36"/>
      <c r="D8109" s="36"/>
      <c r="E8109" s="36"/>
      <c r="F8109" s="36"/>
      <c r="G8109" s="36"/>
      <c r="H8109" s="36"/>
      <c r="I8109" s="37"/>
      <c r="J8109" s="36"/>
      <c r="K8109" s="38"/>
      <c r="L8109" s="38"/>
    </row>
    <row r="8110" spans="1:12" x14ac:dyDescent="0.25">
      <c r="A8110" s="35"/>
      <c r="B8110" s="36"/>
      <c r="C8110" s="36"/>
      <c r="D8110" s="36"/>
      <c r="E8110" s="36"/>
      <c r="F8110" s="36"/>
      <c r="G8110" s="36"/>
      <c r="H8110" s="36"/>
      <c r="I8110" s="37"/>
      <c r="J8110" s="36"/>
      <c r="K8110" s="38"/>
      <c r="L8110" s="38"/>
    </row>
    <row r="8111" spans="1:12" x14ac:dyDescent="0.25">
      <c r="A8111" s="35"/>
      <c r="B8111" s="36"/>
      <c r="C8111" s="36"/>
      <c r="D8111" s="36"/>
      <c r="E8111" s="36"/>
      <c r="F8111" s="36"/>
      <c r="G8111" s="36"/>
      <c r="H8111" s="36"/>
      <c r="I8111" s="37"/>
      <c r="J8111" s="36"/>
      <c r="K8111" s="38"/>
      <c r="L8111" s="38"/>
    </row>
    <row r="8112" spans="1:12" x14ac:dyDescent="0.25">
      <c r="A8112" s="35"/>
      <c r="B8112" s="36"/>
      <c r="C8112" s="36"/>
      <c r="D8112" s="36"/>
      <c r="E8112" s="36"/>
      <c r="F8112" s="36"/>
      <c r="G8112" s="36"/>
      <c r="H8112" s="36"/>
      <c r="I8112" s="37"/>
      <c r="J8112" s="36"/>
      <c r="K8112" s="38"/>
      <c r="L8112" s="38"/>
    </row>
    <row r="8113" spans="1:12" x14ac:dyDescent="0.25">
      <c r="A8113" s="35"/>
      <c r="B8113" s="36"/>
      <c r="C8113" s="36"/>
      <c r="D8113" s="36"/>
      <c r="E8113" s="36"/>
      <c r="F8113" s="36"/>
      <c r="G8113" s="36"/>
      <c r="H8113" s="36"/>
      <c r="I8113" s="37"/>
      <c r="J8113" s="36"/>
      <c r="K8113" s="38"/>
      <c r="L8113" s="38"/>
    </row>
    <row r="8114" spans="1:12" x14ac:dyDescent="0.25">
      <c r="A8114" s="35"/>
      <c r="B8114" s="36"/>
      <c r="C8114" s="36"/>
      <c r="D8114" s="36"/>
      <c r="E8114" s="36"/>
      <c r="F8114" s="36"/>
      <c r="G8114" s="36"/>
      <c r="H8114" s="36"/>
      <c r="I8114" s="37"/>
      <c r="J8114" s="36"/>
      <c r="K8114" s="38"/>
      <c r="L8114" s="38"/>
    </row>
    <row r="8115" spans="1:12" x14ac:dyDescent="0.25">
      <c r="A8115" s="35"/>
      <c r="B8115" s="36"/>
      <c r="C8115" s="36"/>
      <c r="D8115" s="36"/>
      <c r="E8115" s="36"/>
      <c r="F8115" s="36"/>
      <c r="G8115" s="36"/>
      <c r="H8115" s="36"/>
      <c r="I8115" s="37"/>
      <c r="J8115" s="36"/>
      <c r="K8115" s="38"/>
      <c r="L8115" s="38"/>
    </row>
    <row r="8116" spans="1:12" x14ac:dyDescent="0.25">
      <c r="A8116" s="35"/>
      <c r="B8116" s="36"/>
      <c r="C8116" s="36"/>
      <c r="D8116" s="36"/>
      <c r="E8116" s="36"/>
      <c r="F8116" s="36"/>
      <c r="G8116" s="36"/>
      <c r="H8116" s="36"/>
      <c r="I8116" s="37"/>
      <c r="J8116" s="36"/>
      <c r="K8116" s="38"/>
      <c r="L8116" s="38"/>
    </row>
    <row r="8117" spans="1:12" x14ac:dyDescent="0.25">
      <c r="A8117" s="35"/>
      <c r="B8117" s="36"/>
      <c r="C8117" s="36"/>
      <c r="D8117" s="36"/>
      <c r="E8117" s="36"/>
      <c r="F8117" s="36"/>
      <c r="G8117" s="36"/>
      <c r="H8117" s="36"/>
      <c r="I8117" s="37"/>
      <c r="J8117" s="36"/>
      <c r="K8117" s="38"/>
      <c r="L8117" s="38"/>
    </row>
    <row r="8118" spans="1:12" x14ac:dyDescent="0.25">
      <c r="A8118" s="35"/>
      <c r="B8118" s="36"/>
      <c r="C8118" s="36"/>
      <c r="D8118" s="36"/>
      <c r="E8118" s="36"/>
      <c r="F8118" s="36"/>
      <c r="G8118" s="36"/>
      <c r="H8118" s="36"/>
      <c r="I8118" s="37"/>
      <c r="J8118" s="36"/>
      <c r="K8118" s="38"/>
      <c r="L8118" s="38"/>
    </row>
    <row r="8119" spans="1:12" x14ac:dyDescent="0.25">
      <c r="A8119" s="35"/>
      <c r="B8119" s="36"/>
      <c r="C8119" s="36"/>
      <c r="D8119" s="36"/>
      <c r="E8119" s="36"/>
      <c r="F8119" s="36"/>
      <c r="G8119" s="36"/>
      <c r="H8119" s="36"/>
      <c r="I8119" s="37"/>
      <c r="J8119" s="36"/>
      <c r="K8119" s="38"/>
      <c r="L8119" s="38"/>
    </row>
    <row r="8120" spans="1:12" x14ac:dyDescent="0.25">
      <c r="A8120" s="35"/>
      <c r="B8120" s="36"/>
      <c r="C8120" s="36"/>
      <c r="D8120" s="36"/>
      <c r="E8120" s="36"/>
      <c r="F8120" s="36"/>
      <c r="G8120" s="36"/>
      <c r="H8120" s="36"/>
      <c r="I8120" s="37"/>
      <c r="J8120" s="36"/>
      <c r="K8120" s="38"/>
      <c r="L8120" s="38"/>
    </row>
    <row r="8121" spans="1:12" x14ac:dyDescent="0.25">
      <c r="A8121" s="35"/>
      <c r="B8121" s="36"/>
      <c r="C8121" s="36"/>
      <c r="D8121" s="36"/>
      <c r="E8121" s="36"/>
      <c r="F8121" s="36"/>
      <c r="G8121" s="36"/>
      <c r="H8121" s="36"/>
      <c r="I8121" s="37"/>
      <c r="J8121" s="36"/>
      <c r="K8121" s="38"/>
      <c r="L8121" s="38"/>
    </row>
    <row r="8122" spans="1:12" x14ac:dyDescent="0.25">
      <c r="A8122" s="35"/>
      <c r="B8122" s="36"/>
      <c r="C8122" s="36"/>
      <c r="D8122" s="36"/>
      <c r="E8122" s="36"/>
      <c r="F8122" s="36"/>
      <c r="G8122" s="36"/>
      <c r="H8122" s="36"/>
      <c r="I8122" s="37"/>
      <c r="J8122" s="36"/>
      <c r="K8122" s="38"/>
      <c r="L8122" s="38"/>
    </row>
    <row r="8123" spans="1:12" x14ac:dyDescent="0.25">
      <c r="A8123" s="35"/>
      <c r="B8123" s="36"/>
      <c r="C8123" s="36"/>
      <c r="D8123" s="36"/>
      <c r="E8123" s="36"/>
      <c r="F8123" s="36"/>
      <c r="G8123" s="36"/>
      <c r="H8123" s="36"/>
      <c r="I8123" s="37"/>
      <c r="J8123" s="36"/>
      <c r="K8123" s="38"/>
      <c r="L8123" s="38"/>
    </row>
    <row r="8124" spans="1:12" x14ac:dyDescent="0.25">
      <c r="A8124" s="35"/>
      <c r="B8124" s="36"/>
      <c r="C8124" s="36"/>
      <c r="D8124" s="36"/>
      <c r="E8124" s="36"/>
      <c r="F8124" s="36"/>
      <c r="G8124" s="36"/>
      <c r="H8124" s="36"/>
      <c r="I8124" s="37"/>
      <c r="J8124" s="36"/>
      <c r="K8124" s="38"/>
      <c r="L8124" s="38"/>
    </row>
    <row r="8125" spans="1:12" x14ac:dyDescent="0.25">
      <c r="A8125" s="35"/>
      <c r="B8125" s="36"/>
      <c r="C8125" s="36"/>
      <c r="D8125" s="36"/>
      <c r="E8125" s="36"/>
      <c r="F8125" s="36"/>
      <c r="G8125" s="36"/>
      <c r="H8125" s="36"/>
      <c r="I8125" s="37"/>
      <c r="J8125" s="36"/>
      <c r="K8125" s="38"/>
      <c r="L8125" s="38"/>
    </row>
    <row r="8126" spans="1:12" x14ac:dyDescent="0.25">
      <c r="A8126" s="35"/>
      <c r="B8126" s="36"/>
      <c r="C8126" s="36"/>
      <c r="D8126" s="36"/>
      <c r="E8126" s="36"/>
      <c r="F8126" s="36"/>
      <c r="G8126" s="36"/>
      <c r="H8126" s="36"/>
      <c r="I8126" s="37"/>
      <c r="J8126" s="36"/>
      <c r="K8126" s="38"/>
      <c r="L8126" s="38"/>
    </row>
    <row r="8127" spans="1:12" x14ac:dyDescent="0.25">
      <c r="A8127" s="35"/>
      <c r="B8127" s="36"/>
      <c r="C8127" s="36"/>
      <c r="D8127" s="36"/>
      <c r="E8127" s="36"/>
      <c r="F8127" s="36"/>
      <c r="G8127" s="36"/>
      <c r="H8127" s="36"/>
      <c r="I8127" s="37"/>
      <c r="J8127" s="36"/>
      <c r="K8127" s="38"/>
      <c r="L8127" s="38"/>
    </row>
    <row r="8128" spans="1:12" x14ac:dyDescent="0.25">
      <c r="A8128" s="35"/>
      <c r="B8128" s="36"/>
      <c r="C8128" s="36"/>
      <c r="D8128" s="36"/>
      <c r="E8128" s="36"/>
      <c r="F8128" s="36"/>
      <c r="G8128" s="36"/>
      <c r="H8128" s="36"/>
      <c r="I8128" s="37"/>
      <c r="J8128" s="36"/>
      <c r="K8128" s="38"/>
      <c r="L8128" s="38"/>
    </row>
    <row r="8129" spans="1:12" x14ac:dyDescent="0.25">
      <c r="A8129" s="35"/>
      <c r="B8129" s="36"/>
      <c r="C8129" s="36"/>
      <c r="D8129" s="36"/>
      <c r="E8129" s="36"/>
      <c r="F8129" s="36"/>
      <c r="G8129" s="36"/>
      <c r="H8129" s="36"/>
      <c r="I8129" s="37"/>
      <c r="J8129" s="36"/>
      <c r="K8129" s="38"/>
      <c r="L8129" s="38"/>
    </row>
    <row r="8130" spans="1:12" x14ac:dyDescent="0.25">
      <c r="A8130" s="35"/>
      <c r="B8130" s="36"/>
      <c r="C8130" s="36"/>
      <c r="D8130" s="36"/>
      <c r="E8130" s="36"/>
      <c r="F8130" s="36"/>
      <c r="G8130" s="36"/>
      <c r="H8130" s="36"/>
      <c r="I8130" s="37"/>
      <c r="J8130" s="36"/>
      <c r="K8130" s="38"/>
      <c r="L8130" s="38"/>
    </row>
    <row r="8131" spans="1:12" x14ac:dyDescent="0.25">
      <c r="A8131" s="35"/>
      <c r="B8131" s="36"/>
      <c r="C8131" s="36"/>
      <c r="D8131" s="36"/>
      <c r="E8131" s="36"/>
      <c r="F8131" s="36"/>
      <c r="G8131" s="36"/>
      <c r="H8131" s="36"/>
      <c r="I8131" s="37"/>
      <c r="J8131" s="36"/>
      <c r="K8131" s="38"/>
      <c r="L8131" s="38"/>
    </row>
    <row r="8132" spans="1:12" x14ac:dyDescent="0.25">
      <c r="A8132" s="35"/>
      <c r="B8132" s="36"/>
      <c r="C8132" s="36"/>
      <c r="D8132" s="36"/>
      <c r="E8132" s="36"/>
      <c r="F8132" s="36"/>
      <c r="G8132" s="36"/>
      <c r="H8132" s="36"/>
      <c r="I8132" s="37"/>
      <c r="J8132" s="36"/>
      <c r="K8132" s="38"/>
      <c r="L8132" s="38"/>
    </row>
    <row r="8133" spans="1:12" x14ac:dyDescent="0.25">
      <c r="A8133" s="35"/>
      <c r="B8133" s="36"/>
      <c r="C8133" s="36"/>
      <c r="D8133" s="36"/>
      <c r="E8133" s="36"/>
      <c r="F8133" s="36"/>
      <c r="G8133" s="36"/>
      <c r="H8133" s="36"/>
      <c r="I8133" s="37"/>
      <c r="J8133" s="36"/>
      <c r="K8133" s="38"/>
      <c r="L8133" s="38"/>
    </row>
    <row r="8134" spans="1:12" x14ac:dyDescent="0.25">
      <c r="A8134" s="35"/>
      <c r="B8134" s="36"/>
      <c r="C8134" s="36"/>
      <c r="D8134" s="36"/>
      <c r="E8134" s="36"/>
      <c r="F8134" s="36"/>
      <c r="G8134" s="36"/>
      <c r="H8134" s="36"/>
      <c r="I8134" s="37"/>
      <c r="J8134" s="36"/>
      <c r="K8134" s="38"/>
      <c r="L8134" s="38"/>
    </row>
    <row r="8135" spans="1:12" x14ac:dyDescent="0.25">
      <c r="A8135" s="35"/>
      <c r="B8135" s="36"/>
      <c r="C8135" s="36"/>
      <c r="D8135" s="36"/>
      <c r="E8135" s="36"/>
      <c r="F8135" s="36"/>
      <c r="G8135" s="36"/>
      <c r="H8135" s="36"/>
      <c r="I8135" s="37"/>
      <c r="J8135" s="36"/>
      <c r="K8135" s="38"/>
      <c r="L8135" s="38"/>
    </row>
    <row r="8136" spans="1:12" x14ac:dyDescent="0.25">
      <c r="A8136" s="35"/>
      <c r="B8136" s="36"/>
      <c r="C8136" s="36"/>
      <c r="D8136" s="36"/>
      <c r="E8136" s="36"/>
      <c r="F8136" s="36"/>
      <c r="G8136" s="36"/>
      <c r="H8136" s="36"/>
      <c r="I8136" s="37"/>
      <c r="J8136" s="36"/>
      <c r="K8136" s="38"/>
      <c r="L8136" s="38"/>
    </row>
    <row r="8137" spans="1:12" x14ac:dyDescent="0.25">
      <c r="A8137" s="35"/>
      <c r="B8137" s="36"/>
      <c r="C8137" s="36"/>
      <c r="D8137" s="36"/>
      <c r="E8137" s="36"/>
      <c r="F8137" s="36"/>
      <c r="G8137" s="36"/>
      <c r="H8137" s="36"/>
      <c r="I8137" s="37"/>
      <c r="J8137" s="36"/>
      <c r="K8137" s="38"/>
      <c r="L8137" s="38"/>
    </row>
    <row r="8138" spans="1:12" x14ac:dyDescent="0.25">
      <c r="A8138" s="35"/>
      <c r="B8138" s="36"/>
      <c r="C8138" s="36"/>
      <c r="D8138" s="36"/>
      <c r="E8138" s="36"/>
      <c r="F8138" s="36"/>
      <c r="G8138" s="36"/>
      <c r="H8138" s="36"/>
      <c r="I8138" s="37"/>
      <c r="J8138" s="36"/>
      <c r="K8138" s="38"/>
      <c r="L8138" s="38"/>
    </row>
    <row r="8139" spans="1:12" x14ac:dyDescent="0.25">
      <c r="A8139" s="35"/>
      <c r="B8139" s="36"/>
      <c r="C8139" s="36"/>
      <c r="D8139" s="36"/>
      <c r="E8139" s="36"/>
      <c r="F8139" s="36"/>
      <c r="G8139" s="36"/>
      <c r="H8139" s="36"/>
      <c r="I8139" s="37"/>
      <c r="J8139" s="36"/>
      <c r="K8139" s="38"/>
      <c r="L8139" s="38"/>
    </row>
    <row r="8140" spans="1:12" x14ac:dyDescent="0.25">
      <c r="A8140" s="35"/>
      <c r="B8140" s="36"/>
      <c r="C8140" s="36"/>
      <c r="D8140" s="36"/>
      <c r="E8140" s="36"/>
      <c r="F8140" s="36"/>
      <c r="G8140" s="36"/>
      <c r="H8140" s="36"/>
      <c r="I8140" s="37"/>
      <c r="J8140" s="36"/>
      <c r="K8140" s="38"/>
      <c r="L8140" s="38"/>
    </row>
    <row r="8141" spans="1:12" x14ac:dyDescent="0.25">
      <c r="A8141" s="35"/>
      <c r="B8141" s="36"/>
      <c r="C8141" s="36"/>
      <c r="D8141" s="36"/>
      <c r="E8141" s="36"/>
      <c r="F8141" s="36"/>
      <c r="G8141" s="36"/>
      <c r="H8141" s="36"/>
      <c r="I8141" s="37"/>
      <c r="J8141" s="36"/>
      <c r="K8141" s="38"/>
      <c r="L8141" s="38"/>
    </row>
    <row r="8142" spans="1:12" x14ac:dyDescent="0.25">
      <c r="A8142" s="35"/>
      <c r="B8142" s="36"/>
      <c r="C8142" s="36"/>
      <c r="D8142" s="36"/>
      <c r="E8142" s="36"/>
      <c r="F8142" s="36"/>
      <c r="G8142" s="36"/>
      <c r="H8142" s="36"/>
      <c r="I8142" s="37"/>
      <c r="J8142" s="36"/>
      <c r="K8142" s="38"/>
      <c r="L8142" s="38"/>
    </row>
    <row r="8143" spans="1:12" x14ac:dyDescent="0.25">
      <c r="A8143" s="35"/>
      <c r="B8143" s="36"/>
      <c r="C8143" s="36"/>
      <c r="D8143" s="36"/>
      <c r="E8143" s="36"/>
      <c r="F8143" s="36"/>
      <c r="G8143" s="36"/>
      <c r="H8143" s="36"/>
      <c r="I8143" s="37"/>
      <c r="J8143" s="36"/>
      <c r="K8143" s="38"/>
      <c r="L8143" s="38"/>
    </row>
    <row r="8144" spans="1:12" x14ac:dyDescent="0.25">
      <c r="A8144" s="35"/>
      <c r="B8144" s="36"/>
      <c r="C8144" s="36"/>
      <c r="D8144" s="36"/>
      <c r="E8144" s="36"/>
      <c r="F8144" s="36"/>
      <c r="G8144" s="36"/>
      <c r="H8144" s="36"/>
      <c r="I8144" s="37"/>
      <c r="J8144" s="36"/>
      <c r="K8144" s="38"/>
      <c r="L8144" s="38"/>
    </row>
    <row r="8145" spans="1:12" x14ac:dyDescent="0.25">
      <c r="A8145" s="35"/>
      <c r="B8145" s="36"/>
      <c r="C8145" s="36"/>
      <c r="D8145" s="36"/>
      <c r="E8145" s="36"/>
      <c r="F8145" s="36"/>
      <c r="G8145" s="36"/>
      <c r="H8145" s="36"/>
      <c r="I8145" s="37"/>
      <c r="J8145" s="36"/>
      <c r="K8145" s="38"/>
      <c r="L8145" s="38"/>
    </row>
    <row r="8146" spans="1:12" x14ac:dyDescent="0.25">
      <c r="A8146" s="35"/>
      <c r="B8146" s="36"/>
      <c r="C8146" s="36"/>
      <c r="D8146" s="36"/>
      <c r="E8146" s="36"/>
      <c r="F8146" s="36"/>
      <c r="G8146" s="36"/>
      <c r="H8146" s="36"/>
      <c r="I8146" s="37"/>
      <c r="J8146" s="36"/>
      <c r="K8146" s="38"/>
      <c r="L8146" s="38"/>
    </row>
    <row r="8147" spans="1:12" x14ac:dyDescent="0.25">
      <c r="A8147" s="35"/>
      <c r="B8147" s="36"/>
      <c r="C8147" s="36"/>
      <c r="D8147" s="36"/>
      <c r="E8147" s="36"/>
      <c r="F8147" s="36"/>
      <c r="G8147" s="36"/>
      <c r="H8147" s="36"/>
      <c r="I8147" s="37"/>
      <c r="J8147" s="36"/>
      <c r="K8147" s="38"/>
      <c r="L8147" s="38"/>
    </row>
    <row r="8148" spans="1:12" x14ac:dyDescent="0.25">
      <c r="A8148" s="35"/>
      <c r="B8148" s="36"/>
      <c r="C8148" s="36"/>
      <c r="D8148" s="36"/>
      <c r="E8148" s="36"/>
      <c r="F8148" s="36"/>
      <c r="G8148" s="36"/>
      <c r="H8148" s="36"/>
      <c r="I8148" s="37"/>
      <c r="J8148" s="36"/>
      <c r="K8148" s="38"/>
      <c r="L8148" s="38"/>
    </row>
    <row r="8149" spans="1:12" x14ac:dyDescent="0.25">
      <c r="A8149" s="35"/>
      <c r="B8149" s="36"/>
      <c r="C8149" s="36"/>
      <c r="D8149" s="36"/>
      <c r="E8149" s="36"/>
      <c r="F8149" s="36"/>
      <c r="G8149" s="36"/>
      <c r="H8149" s="36"/>
      <c r="I8149" s="37"/>
      <c r="J8149" s="36"/>
      <c r="K8149" s="38"/>
      <c r="L8149" s="38"/>
    </row>
    <row r="8150" spans="1:12" x14ac:dyDescent="0.25">
      <c r="A8150" s="35"/>
      <c r="B8150" s="36"/>
      <c r="C8150" s="36"/>
      <c r="D8150" s="36"/>
      <c r="E8150" s="36"/>
      <c r="F8150" s="36"/>
      <c r="G8150" s="36"/>
      <c r="H8150" s="36"/>
      <c r="I8150" s="37"/>
      <c r="J8150" s="36"/>
      <c r="K8150" s="38"/>
      <c r="L8150" s="38"/>
    </row>
    <row r="8151" spans="1:12" x14ac:dyDescent="0.25">
      <c r="A8151" s="35"/>
      <c r="B8151" s="36"/>
      <c r="C8151" s="36"/>
      <c r="D8151" s="36"/>
      <c r="E8151" s="36"/>
      <c r="F8151" s="36"/>
      <c r="G8151" s="36"/>
      <c r="H8151" s="36"/>
      <c r="I8151" s="37"/>
      <c r="J8151" s="36"/>
      <c r="K8151" s="38"/>
      <c r="L8151" s="38"/>
    </row>
    <row r="8152" spans="1:12" x14ac:dyDescent="0.25">
      <c r="A8152" s="35"/>
      <c r="B8152" s="36"/>
      <c r="C8152" s="36"/>
      <c r="D8152" s="36"/>
      <c r="E8152" s="36"/>
      <c r="F8152" s="36"/>
      <c r="G8152" s="36"/>
      <c r="H8152" s="36"/>
      <c r="I8152" s="37"/>
      <c r="J8152" s="36"/>
      <c r="K8152" s="38"/>
      <c r="L8152" s="38"/>
    </row>
    <row r="8153" spans="1:12" x14ac:dyDescent="0.25">
      <c r="A8153" s="35"/>
      <c r="B8153" s="36"/>
      <c r="C8153" s="36"/>
      <c r="D8153" s="36"/>
      <c r="E8153" s="36"/>
      <c r="F8153" s="36"/>
      <c r="G8153" s="36"/>
      <c r="H8153" s="36"/>
      <c r="I8153" s="37"/>
      <c r="J8153" s="36"/>
      <c r="K8153" s="38"/>
      <c r="L8153" s="38"/>
    </row>
    <row r="8154" spans="1:12" x14ac:dyDescent="0.25">
      <c r="A8154" s="35"/>
      <c r="B8154" s="36"/>
      <c r="C8154" s="36"/>
      <c r="D8154" s="36"/>
      <c r="E8154" s="36"/>
      <c r="F8154" s="36"/>
      <c r="G8154" s="36"/>
      <c r="H8154" s="36"/>
      <c r="I8154" s="37"/>
      <c r="J8154" s="36"/>
      <c r="K8154" s="38"/>
      <c r="L8154" s="38"/>
    </row>
    <row r="8155" spans="1:12" x14ac:dyDescent="0.25">
      <c r="A8155" s="35"/>
      <c r="B8155" s="36"/>
      <c r="C8155" s="36"/>
      <c r="D8155" s="36"/>
      <c r="E8155" s="36"/>
      <c r="F8155" s="36"/>
      <c r="G8155" s="36"/>
      <c r="H8155" s="36"/>
      <c r="I8155" s="37"/>
      <c r="J8155" s="36"/>
      <c r="K8155" s="38"/>
      <c r="L8155" s="38"/>
    </row>
    <row r="8156" spans="1:12" x14ac:dyDescent="0.25">
      <c r="A8156" s="35"/>
      <c r="B8156" s="36"/>
      <c r="C8156" s="36"/>
      <c r="D8156" s="36"/>
      <c r="E8156" s="36"/>
      <c r="F8156" s="36"/>
      <c r="G8156" s="36"/>
      <c r="H8156" s="36"/>
      <c r="I8156" s="37"/>
      <c r="J8156" s="36"/>
      <c r="K8156" s="38"/>
      <c r="L8156" s="38"/>
    </row>
    <row r="8157" spans="1:12" x14ac:dyDescent="0.25">
      <c r="A8157" s="35"/>
      <c r="B8157" s="36"/>
      <c r="C8157" s="36"/>
      <c r="D8157" s="36"/>
      <c r="E8157" s="36"/>
      <c r="F8157" s="36"/>
      <c r="G8157" s="36"/>
      <c r="H8157" s="36"/>
      <c r="I8157" s="37"/>
      <c r="J8157" s="36"/>
      <c r="K8157" s="38"/>
      <c r="L8157" s="38"/>
    </row>
    <row r="8158" spans="1:12" x14ac:dyDescent="0.25">
      <c r="A8158" s="35"/>
      <c r="B8158" s="36"/>
      <c r="C8158" s="36"/>
      <c r="D8158" s="36"/>
      <c r="E8158" s="36"/>
      <c r="F8158" s="36"/>
      <c r="G8158" s="36"/>
      <c r="H8158" s="36"/>
      <c r="I8158" s="37"/>
      <c r="J8158" s="36"/>
      <c r="K8158" s="38"/>
      <c r="L8158" s="38"/>
    </row>
    <row r="8159" spans="1:12" x14ac:dyDescent="0.25">
      <c r="A8159" s="35"/>
      <c r="B8159" s="36"/>
      <c r="C8159" s="36"/>
      <c r="D8159" s="36"/>
      <c r="E8159" s="36"/>
      <c r="F8159" s="36"/>
      <c r="G8159" s="36"/>
      <c r="H8159" s="36"/>
      <c r="I8159" s="37"/>
      <c r="J8159" s="36"/>
      <c r="K8159" s="38"/>
      <c r="L8159" s="38"/>
    </row>
    <row r="8160" spans="1:12" x14ac:dyDescent="0.25">
      <c r="A8160" s="35"/>
      <c r="B8160" s="36"/>
      <c r="C8160" s="36"/>
      <c r="D8160" s="36"/>
      <c r="E8160" s="36"/>
      <c r="F8160" s="36"/>
      <c r="G8160" s="36"/>
      <c r="H8160" s="36"/>
      <c r="I8160" s="37"/>
      <c r="J8160" s="36"/>
      <c r="K8160" s="38"/>
      <c r="L8160" s="38"/>
    </row>
    <row r="8161" spans="1:12" x14ac:dyDescent="0.25">
      <c r="A8161" s="35"/>
      <c r="B8161" s="36"/>
      <c r="C8161" s="36"/>
      <c r="D8161" s="36"/>
      <c r="E8161" s="36"/>
      <c r="F8161" s="36"/>
      <c r="G8161" s="36"/>
      <c r="H8161" s="36"/>
      <c r="I8161" s="37"/>
      <c r="J8161" s="36"/>
      <c r="K8161" s="38"/>
      <c r="L8161" s="38"/>
    </row>
    <row r="8162" spans="1:12" x14ac:dyDescent="0.25">
      <c r="A8162" s="35"/>
      <c r="B8162" s="36"/>
      <c r="C8162" s="36"/>
      <c r="D8162" s="36"/>
      <c r="E8162" s="36"/>
      <c r="F8162" s="36"/>
      <c r="G8162" s="36"/>
      <c r="H8162" s="36"/>
      <c r="I8162" s="37"/>
      <c r="J8162" s="36"/>
      <c r="K8162" s="38"/>
      <c r="L8162" s="38"/>
    </row>
    <row r="8163" spans="1:12" x14ac:dyDescent="0.25">
      <c r="A8163" s="35"/>
      <c r="B8163" s="36"/>
      <c r="C8163" s="36"/>
      <c r="D8163" s="36"/>
      <c r="E8163" s="36"/>
      <c r="F8163" s="36"/>
      <c r="G8163" s="36"/>
      <c r="H8163" s="36"/>
      <c r="I8163" s="37"/>
      <c r="J8163" s="36"/>
      <c r="K8163" s="38"/>
      <c r="L8163" s="38"/>
    </row>
    <row r="8164" spans="1:12" x14ac:dyDescent="0.25">
      <c r="A8164" s="35"/>
      <c r="B8164" s="36"/>
      <c r="C8164" s="36"/>
      <c r="D8164" s="36"/>
      <c r="E8164" s="36"/>
      <c r="F8164" s="36"/>
      <c r="G8164" s="36"/>
      <c r="H8164" s="36"/>
      <c r="I8164" s="37"/>
      <c r="J8164" s="36"/>
      <c r="K8164" s="38"/>
      <c r="L8164" s="38"/>
    </row>
    <row r="8165" spans="1:12" x14ac:dyDescent="0.25">
      <c r="A8165" s="35"/>
      <c r="B8165" s="36"/>
      <c r="C8165" s="36"/>
      <c r="D8165" s="36"/>
      <c r="E8165" s="36"/>
      <c r="F8165" s="36"/>
      <c r="G8165" s="36"/>
      <c r="H8165" s="36"/>
      <c r="I8165" s="37"/>
      <c r="J8165" s="36"/>
      <c r="K8165" s="38"/>
      <c r="L8165" s="38"/>
    </row>
    <row r="8166" spans="1:12" x14ac:dyDescent="0.25">
      <c r="A8166" s="35"/>
      <c r="B8166" s="36"/>
      <c r="C8166" s="36"/>
      <c r="D8166" s="36"/>
      <c r="E8166" s="36"/>
      <c r="F8166" s="36"/>
      <c r="G8166" s="36"/>
      <c r="H8166" s="36"/>
      <c r="I8166" s="37"/>
      <c r="J8166" s="36"/>
      <c r="K8166" s="38"/>
      <c r="L8166" s="38"/>
    </row>
    <row r="8167" spans="1:12" x14ac:dyDescent="0.25">
      <c r="A8167" s="35"/>
      <c r="B8167" s="36"/>
      <c r="C8167" s="36"/>
      <c r="D8167" s="36"/>
      <c r="E8167" s="36"/>
      <c r="F8167" s="36"/>
      <c r="G8167" s="36"/>
      <c r="H8167" s="36"/>
      <c r="I8167" s="37"/>
      <c r="J8167" s="36"/>
      <c r="K8167" s="38"/>
      <c r="L8167" s="38"/>
    </row>
    <row r="8168" spans="1:12" x14ac:dyDescent="0.25">
      <c r="A8168" s="35"/>
      <c r="B8168" s="36"/>
      <c r="C8168" s="36"/>
      <c r="D8168" s="36"/>
      <c r="E8168" s="36"/>
      <c r="F8168" s="36"/>
      <c r="G8168" s="36"/>
      <c r="H8168" s="36"/>
      <c r="I8168" s="37"/>
      <c r="J8168" s="36"/>
      <c r="K8168" s="38"/>
      <c r="L8168" s="38"/>
    </row>
    <row r="8169" spans="1:12" x14ac:dyDescent="0.25">
      <c r="A8169" s="35"/>
      <c r="B8169" s="36"/>
      <c r="C8169" s="36"/>
      <c r="D8169" s="36"/>
      <c r="E8169" s="36"/>
      <c r="F8169" s="36"/>
      <c r="G8169" s="36"/>
      <c r="H8169" s="36"/>
      <c r="I8169" s="37"/>
      <c r="J8169" s="36"/>
      <c r="K8169" s="38"/>
      <c r="L8169" s="38"/>
    </row>
    <row r="8170" spans="1:12" x14ac:dyDescent="0.25">
      <c r="A8170" s="35"/>
      <c r="B8170" s="36"/>
      <c r="C8170" s="36"/>
      <c r="D8170" s="36"/>
      <c r="E8170" s="36"/>
      <c r="F8170" s="36"/>
      <c r="G8170" s="36"/>
      <c r="H8170" s="36"/>
      <c r="I8170" s="37"/>
      <c r="J8170" s="36"/>
      <c r="K8170" s="38"/>
      <c r="L8170" s="38"/>
    </row>
    <row r="8171" spans="1:12" x14ac:dyDescent="0.25">
      <c r="A8171" s="35"/>
      <c r="B8171" s="36"/>
      <c r="C8171" s="36"/>
      <c r="D8171" s="36"/>
      <c r="E8171" s="36"/>
      <c r="F8171" s="36"/>
      <c r="G8171" s="36"/>
      <c r="H8171" s="36"/>
      <c r="I8171" s="37"/>
      <c r="J8171" s="36"/>
      <c r="K8171" s="38"/>
      <c r="L8171" s="38"/>
    </row>
    <row r="8172" spans="1:12" x14ac:dyDescent="0.25">
      <c r="A8172" s="35"/>
      <c r="B8172" s="36"/>
      <c r="C8172" s="36"/>
      <c r="D8172" s="36"/>
      <c r="E8172" s="36"/>
      <c r="F8172" s="36"/>
      <c r="G8172" s="36"/>
      <c r="H8172" s="36"/>
      <c r="I8172" s="37"/>
      <c r="J8172" s="36"/>
      <c r="K8172" s="38"/>
      <c r="L8172" s="38"/>
    </row>
    <row r="8173" spans="1:12" x14ac:dyDescent="0.25">
      <c r="A8173" s="35"/>
      <c r="B8173" s="36"/>
      <c r="C8173" s="36"/>
      <c r="D8173" s="36"/>
      <c r="E8173" s="36"/>
      <c r="F8173" s="36"/>
      <c r="G8173" s="36"/>
      <c r="H8173" s="36"/>
      <c r="I8173" s="37"/>
      <c r="J8173" s="36"/>
      <c r="K8173" s="38"/>
      <c r="L8173" s="38"/>
    </row>
    <row r="8174" spans="1:12" x14ac:dyDescent="0.25">
      <c r="A8174" s="35"/>
      <c r="B8174" s="36"/>
      <c r="C8174" s="36"/>
      <c r="D8174" s="36"/>
      <c r="E8174" s="36"/>
      <c r="F8174" s="36"/>
      <c r="G8174" s="36"/>
      <c r="H8174" s="36"/>
      <c r="I8174" s="37"/>
      <c r="J8174" s="36"/>
      <c r="K8174" s="38"/>
      <c r="L8174" s="38"/>
    </row>
    <row r="8175" spans="1:12" x14ac:dyDescent="0.25">
      <c r="A8175" s="35"/>
      <c r="B8175" s="36"/>
      <c r="C8175" s="36"/>
      <c r="D8175" s="36"/>
      <c r="E8175" s="36"/>
      <c r="F8175" s="36"/>
      <c r="G8175" s="36"/>
      <c r="H8175" s="36"/>
      <c r="I8175" s="37"/>
      <c r="J8175" s="36"/>
      <c r="K8175" s="38"/>
      <c r="L8175" s="38"/>
    </row>
    <row r="8176" spans="1:12" x14ac:dyDescent="0.25">
      <c r="A8176" s="35"/>
      <c r="B8176" s="36"/>
      <c r="C8176" s="36"/>
      <c r="D8176" s="36"/>
      <c r="E8176" s="36"/>
      <c r="F8176" s="36"/>
      <c r="G8176" s="36"/>
      <c r="H8176" s="36"/>
      <c r="I8176" s="37"/>
      <c r="J8176" s="36"/>
      <c r="K8176" s="38"/>
      <c r="L8176" s="38"/>
    </row>
    <row r="8177" spans="1:12" x14ac:dyDescent="0.25">
      <c r="A8177" s="35"/>
      <c r="B8177" s="36"/>
      <c r="C8177" s="36"/>
      <c r="D8177" s="36"/>
      <c r="E8177" s="36"/>
      <c r="F8177" s="36"/>
      <c r="G8177" s="36"/>
      <c r="H8177" s="36"/>
      <c r="I8177" s="37"/>
      <c r="J8177" s="36"/>
      <c r="K8177" s="38"/>
      <c r="L8177" s="38"/>
    </row>
    <row r="8178" spans="1:12" x14ac:dyDescent="0.25">
      <c r="A8178" s="35"/>
      <c r="B8178" s="36"/>
      <c r="C8178" s="36"/>
      <c r="D8178" s="36"/>
      <c r="E8178" s="36"/>
      <c r="F8178" s="36"/>
      <c r="G8178" s="36"/>
      <c r="H8178" s="36"/>
      <c r="I8178" s="37"/>
      <c r="J8178" s="36"/>
      <c r="K8178" s="38"/>
      <c r="L8178" s="38"/>
    </row>
    <row r="8179" spans="1:12" x14ac:dyDescent="0.25">
      <c r="A8179" s="35"/>
      <c r="B8179" s="36"/>
      <c r="C8179" s="36"/>
      <c r="D8179" s="36"/>
      <c r="E8179" s="36"/>
      <c r="F8179" s="36"/>
      <c r="G8179" s="36"/>
      <c r="H8179" s="36"/>
      <c r="I8179" s="37"/>
      <c r="J8179" s="36"/>
      <c r="K8179" s="38"/>
      <c r="L8179" s="38"/>
    </row>
    <row r="8180" spans="1:12" x14ac:dyDescent="0.25">
      <c r="A8180" s="35"/>
      <c r="B8180" s="36"/>
      <c r="C8180" s="36"/>
      <c r="D8180" s="36"/>
      <c r="E8180" s="36"/>
      <c r="F8180" s="36"/>
      <c r="G8180" s="36"/>
      <c r="H8180" s="36"/>
      <c r="I8180" s="37"/>
      <c r="J8180" s="36"/>
      <c r="K8180" s="38"/>
      <c r="L8180" s="38"/>
    </row>
    <row r="8181" spans="1:12" x14ac:dyDescent="0.25">
      <c r="A8181" s="35"/>
      <c r="B8181" s="36"/>
      <c r="C8181" s="36"/>
      <c r="D8181" s="36"/>
      <c r="E8181" s="36"/>
      <c r="F8181" s="36"/>
      <c r="G8181" s="36"/>
      <c r="H8181" s="36"/>
      <c r="I8181" s="37"/>
      <c r="J8181" s="36"/>
      <c r="K8181" s="38"/>
      <c r="L8181" s="38"/>
    </row>
    <row r="8182" spans="1:12" x14ac:dyDescent="0.25">
      <c r="A8182" s="35"/>
      <c r="B8182" s="36"/>
      <c r="C8182" s="36"/>
      <c r="D8182" s="36"/>
      <c r="E8182" s="36"/>
      <c r="F8182" s="36"/>
      <c r="G8182" s="36"/>
      <c r="H8182" s="36"/>
      <c r="I8182" s="37"/>
      <c r="J8182" s="36"/>
      <c r="K8182" s="38"/>
      <c r="L8182" s="38"/>
    </row>
    <row r="8183" spans="1:12" x14ac:dyDescent="0.25">
      <c r="A8183" s="35"/>
      <c r="B8183" s="36"/>
      <c r="C8183" s="36"/>
      <c r="D8183" s="36"/>
      <c r="E8183" s="36"/>
      <c r="F8183" s="36"/>
      <c r="G8183" s="36"/>
      <c r="H8183" s="36"/>
      <c r="I8183" s="37"/>
      <c r="J8183" s="36"/>
      <c r="K8183" s="38"/>
      <c r="L8183" s="38"/>
    </row>
    <row r="8184" spans="1:12" x14ac:dyDescent="0.25">
      <c r="A8184" s="35"/>
      <c r="B8184" s="36"/>
      <c r="C8184" s="36"/>
      <c r="D8184" s="36"/>
      <c r="E8184" s="36"/>
      <c r="F8184" s="36"/>
      <c r="G8184" s="36"/>
      <c r="H8184" s="36"/>
      <c r="I8184" s="37"/>
      <c r="J8184" s="36"/>
      <c r="K8184" s="38"/>
      <c r="L8184" s="38"/>
    </row>
    <row r="8185" spans="1:12" x14ac:dyDescent="0.25">
      <c r="A8185" s="35"/>
      <c r="B8185" s="36"/>
      <c r="C8185" s="36"/>
      <c r="D8185" s="36"/>
      <c r="E8185" s="36"/>
      <c r="F8185" s="36"/>
      <c r="G8185" s="36"/>
      <c r="H8185" s="36"/>
      <c r="I8185" s="37"/>
      <c r="J8185" s="36"/>
      <c r="K8185" s="38"/>
      <c r="L8185" s="38"/>
    </row>
    <row r="8186" spans="1:12" x14ac:dyDescent="0.25">
      <c r="A8186" s="35"/>
      <c r="B8186" s="36"/>
      <c r="C8186" s="36"/>
      <c r="D8186" s="36"/>
      <c r="E8186" s="36"/>
      <c r="F8186" s="36"/>
      <c r="G8186" s="36"/>
      <c r="H8186" s="36"/>
      <c r="I8186" s="37"/>
      <c r="J8186" s="36"/>
      <c r="K8186" s="38"/>
      <c r="L8186" s="38"/>
    </row>
    <row r="8187" spans="1:12" x14ac:dyDescent="0.25">
      <c r="A8187" s="35"/>
      <c r="B8187" s="36"/>
      <c r="C8187" s="36"/>
      <c r="D8187" s="36"/>
      <c r="E8187" s="36"/>
      <c r="F8187" s="36"/>
      <c r="G8187" s="36"/>
      <c r="H8187" s="36"/>
      <c r="I8187" s="37"/>
      <c r="J8187" s="36"/>
      <c r="K8187" s="38"/>
      <c r="L8187" s="38"/>
    </row>
    <row r="8188" spans="1:12" x14ac:dyDescent="0.25">
      <c r="A8188" s="35"/>
      <c r="B8188" s="36"/>
      <c r="C8188" s="36"/>
      <c r="D8188" s="36"/>
      <c r="E8188" s="36"/>
      <c r="F8188" s="36"/>
      <c r="G8188" s="36"/>
      <c r="H8188" s="36"/>
      <c r="I8188" s="37"/>
      <c r="J8188" s="36"/>
      <c r="K8188" s="38"/>
      <c r="L8188" s="38"/>
    </row>
    <row r="8189" spans="1:12" x14ac:dyDescent="0.25">
      <c r="A8189" s="35"/>
      <c r="B8189" s="36"/>
      <c r="C8189" s="36"/>
      <c r="D8189" s="36"/>
      <c r="E8189" s="36"/>
      <c r="F8189" s="36"/>
      <c r="G8189" s="36"/>
      <c r="H8189" s="36"/>
      <c r="I8189" s="37"/>
      <c r="J8189" s="36"/>
      <c r="K8189" s="38"/>
      <c r="L8189" s="38"/>
    </row>
    <row r="8190" spans="1:12" x14ac:dyDescent="0.25">
      <c r="A8190" s="35"/>
      <c r="B8190" s="36"/>
      <c r="C8190" s="36"/>
      <c r="D8190" s="36"/>
      <c r="E8190" s="36"/>
      <c r="F8190" s="36"/>
      <c r="G8190" s="36"/>
      <c r="H8190" s="36"/>
      <c r="I8190" s="37"/>
      <c r="J8190" s="36"/>
      <c r="K8190" s="38"/>
      <c r="L8190" s="38"/>
    </row>
    <row r="8191" spans="1:12" x14ac:dyDescent="0.25">
      <c r="A8191" s="35"/>
      <c r="B8191" s="36"/>
      <c r="C8191" s="36"/>
      <c r="D8191" s="36"/>
      <c r="E8191" s="36"/>
      <c r="F8191" s="36"/>
      <c r="G8191" s="36"/>
      <c r="H8191" s="36"/>
      <c r="I8191" s="37"/>
      <c r="J8191" s="36"/>
      <c r="K8191" s="38"/>
      <c r="L8191" s="38"/>
    </row>
    <row r="8192" spans="1:12" x14ac:dyDescent="0.25">
      <c r="A8192" s="35"/>
      <c r="B8192" s="36"/>
      <c r="C8192" s="36"/>
      <c r="D8192" s="36"/>
      <c r="E8192" s="36"/>
      <c r="F8192" s="36"/>
      <c r="G8192" s="36"/>
      <c r="H8192" s="36"/>
      <c r="I8192" s="37"/>
      <c r="J8192" s="36"/>
      <c r="K8192" s="38"/>
      <c r="L8192" s="38"/>
    </row>
    <row r="8193" spans="1:12" x14ac:dyDescent="0.25">
      <c r="A8193" s="35"/>
      <c r="B8193" s="36"/>
      <c r="C8193" s="36"/>
      <c r="D8193" s="36"/>
      <c r="E8193" s="36"/>
      <c r="F8193" s="36"/>
      <c r="G8193" s="36"/>
      <c r="H8193" s="36"/>
      <c r="I8193" s="37"/>
      <c r="J8193" s="36"/>
      <c r="K8193" s="38"/>
      <c r="L8193" s="38"/>
    </row>
    <row r="8194" spans="1:12" x14ac:dyDescent="0.25">
      <c r="A8194" s="35"/>
      <c r="B8194" s="36"/>
      <c r="C8194" s="36"/>
      <c r="D8194" s="36"/>
      <c r="E8194" s="36"/>
      <c r="F8194" s="36"/>
      <c r="G8194" s="36"/>
      <c r="H8194" s="36"/>
      <c r="I8194" s="37"/>
      <c r="J8194" s="36"/>
      <c r="K8194" s="38"/>
      <c r="L8194" s="38"/>
    </row>
    <row r="8195" spans="1:12" x14ac:dyDescent="0.25">
      <c r="A8195" s="35"/>
      <c r="B8195" s="36"/>
      <c r="C8195" s="36"/>
      <c r="D8195" s="36"/>
      <c r="E8195" s="36"/>
      <c r="F8195" s="36"/>
      <c r="G8195" s="36"/>
      <c r="H8195" s="36"/>
      <c r="I8195" s="37"/>
      <c r="J8195" s="36"/>
      <c r="K8195" s="38"/>
      <c r="L8195" s="38"/>
    </row>
    <row r="8196" spans="1:12" x14ac:dyDescent="0.25">
      <c r="A8196" s="35"/>
      <c r="B8196" s="36"/>
      <c r="C8196" s="36"/>
      <c r="D8196" s="36"/>
      <c r="E8196" s="36"/>
      <c r="F8196" s="36"/>
      <c r="G8196" s="36"/>
      <c r="H8196" s="36"/>
      <c r="I8196" s="37"/>
      <c r="J8196" s="36"/>
      <c r="K8196" s="38"/>
      <c r="L8196" s="38"/>
    </row>
    <row r="8197" spans="1:12" x14ac:dyDescent="0.25">
      <c r="A8197" s="35"/>
      <c r="B8197" s="36"/>
      <c r="C8197" s="36"/>
      <c r="D8197" s="36"/>
      <c r="E8197" s="36"/>
      <c r="F8197" s="36"/>
      <c r="G8197" s="36"/>
      <c r="H8197" s="36"/>
      <c r="I8197" s="37"/>
      <c r="J8197" s="36"/>
      <c r="K8197" s="38"/>
      <c r="L8197" s="38"/>
    </row>
    <row r="8198" spans="1:12" x14ac:dyDescent="0.25">
      <c r="A8198" s="35"/>
      <c r="B8198" s="36"/>
      <c r="C8198" s="36"/>
      <c r="D8198" s="36"/>
      <c r="E8198" s="36"/>
      <c r="F8198" s="36"/>
      <c r="G8198" s="36"/>
      <c r="H8198" s="36"/>
      <c r="I8198" s="37"/>
      <c r="J8198" s="36"/>
      <c r="K8198" s="38"/>
      <c r="L8198" s="38"/>
    </row>
    <row r="8199" spans="1:12" x14ac:dyDescent="0.25">
      <c r="A8199" s="35"/>
      <c r="B8199" s="36"/>
      <c r="C8199" s="36"/>
      <c r="D8199" s="36"/>
      <c r="E8199" s="36"/>
      <c r="F8199" s="36"/>
      <c r="G8199" s="36"/>
      <c r="H8199" s="36"/>
      <c r="I8199" s="37"/>
      <c r="J8199" s="36"/>
      <c r="K8199" s="38"/>
      <c r="L8199" s="38"/>
    </row>
    <row r="8200" spans="1:12" x14ac:dyDescent="0.25">
      <c r="A8200" s="35"/>
      <c r="B8200" s="36"/>
      <c r="C8200" s="36"/>
      <c r="D8200" s="36"/>
      <c r="E8200" s="36"/>
      <c r="F8200" s="36"/>
      <c r="G8200" s="36"/>
      <c r="H8200" s="36"/>
      <c r="I8200" s="37"/>
      <c r="J8200" s="36"/>
      <c r="K8200" s="38"/>
      <c r="L8200" s="38"/>
    </row>
    <row r="8201" spans="1:12" x14ac:dyDescent="0.25">
      <c r="A8201" s="35"/>
      <c r="B8201" s="36"/>
      <c r="C8201" s="36"/>
      <c r="D8201" s="36"/>
      <c r="E8201" s="36"/>
      <c r="F8201" s="36"/>
      <c r="G8201" s="36"/>
      <c r="H8201" s="36"/>
      <c r="I8201" s="37"/>
      <c r="J8201" s="36"/>
      <c r="K8201" s="38"/>
      <c r="L8201" s="38"/>
    </row>
    <row r="8202" spans="1:12" x14ac:dyDescent="0.25">
      <c r="A8202" s="35"/>
      <c r="B8202" s="36"/>
      <c r="C8202" s="36"/>
      <c r="D8202" s="36"/>
      <c r="E8202" s="36"/>
      <c r="F8202" s="36"/>
      <c r="G8202" s="36"/>
      <c r="H8202" s="36"/>
      <c r="I8202" s="37"/>
      <c r="J8202" s="36"/>
      <c r="K8202" s="38"/>
      <c r="L8202" s="38"/>
    </row>
    <row r="8203" spans="1:12" x14ac:dyDescent="0.25">
      <c r="A8203" s="35"/>
      <c r="B8203" s="36"/>
      <c r="C8203" s="36"/>
      <c r="D8203" s="36"/>
      <c r="E8203" s="36"/>
      <c r="F8203" s="36"/>
      <c r="G8203" s="36"/>
      <c r="H8203" s="36"/>
      <c r="I8203" s="37"/>
      <c r="J8203" s="36"/>
      <c r="K8203" s="38"/>
      <c r="L8203" s="38"/>
    </row>
    <row r="8204" spans="1:12" x14ac:dyDescent="0.25">
      <c r="A8204" s="35"/>
      <c r="B8204" s="36"/>
      <c r="C8204" s="36"/>
      <c r="D8204" s="36"/>
      <c r="E8204" s="36"/>
      <c r="F8204" s="36"/>
      <c r="G8204" s="36"/>
      <c r="H8204" s="36"/>
      <c r="I8204" s="37"/>
      <c r="J8204" s="36"/>
      <c r="K8204" s="38"/>
      <c r="L8204" s="38"/>
    </row>
    <row r="8205" spans="1:12" x14ac:dyDescent="0.25">
      <c r="A8205" s="35"/>
      <c r="B8205" s="36"/>
      <c r="C8205" s="36"/>
      <c r="D8205" s="36"/>
      <c r="E8205" s="36"/>
      <c r="F8205" s="36"/>
      <c r="G8205" s="36"/>
      <c r="H8205" s="36"/>
      <c r="I8205" s="37"/>
      <c r="J8205" s="36"/>
      <c r="K8205" s="38"/>
      <c r="L8205" s="38"/>
    </row>
    <row r="8206" spans="1:12" x14ac:dyDescent="0.25">
      <c r="A8206" s="35"/>
      <c r="B8206" s="36"/>
      <c r="C8206" s="36"/>
      <c r="D8206" s="36"/>
      <c r="E8206" s="36"/>
      <c r="F8206" s="36"/>
      <c r="G8206" s="36"/>
      <c r="H8206" s="36"/>
      <c r="I8206" s="37"/>
      <c r="J8206" s="36"/>
      <c r="K8206" s="38"/>
      <c r="L8206" s="38"/>
    </row>
    <row r="8207" spans="1:12" x14ac:dyDescent="0.25">
      <c r="A8207" s="35"/>
      <c r="B8207" s="36"/>
      <c r="C8207" s="36"/>
      <c r="D8207" s="36"/>
      <c r="E8207" s="36"/>
      <c r="F8207" s="36"/>
      <c r="G8207" s="36"/>
      <c r="H8207" s="36"/>
      <c r="I8207" s="37"/>
      <c r="J8207" s="36"/>
      <c r="K8207" s="38"/>
      <c r="L8207" s="38"/>
    </row>
    <row r="8208" spans="1:12" x14ac:dyDescent="0.25">
      <c r="A8208" s="35"/>
      <c r="B8208" s="36"/>
      <c r="C8208" s="36"/>
      <c r="D8208" s="36"/>
      <c r="E8208" s="36"/>
      <c r="F8208" s="36"/>
      <c r="G8208" s="36"/>
      <c r="H8208" s="36"/>
      <c r="I8208" s="37"/>
      <c r="J8208" s="36"/>
      <c r="K8208" s="38"/>
      <c r="L8208" s="38"/>
    </row>
    <row r="8209" spans="1:12" x14ac:dyDescent="0.25">
      <c r="A8209" s="35"/>
      <c r="B8209" s="36"/>
      <c r="C8209" s="36"/>
      <c r="D8209" s="36"/>
      <c r="E8209" s="36"/>
      <c r="F8209" s="36"/>
      <c r="G8209" s="36"/>
      <c r="H8209" s="36"/>
      <c r="I8209" s="37"/>
      <c r="J8209" s="36"/>
      <c r="K8209" s="38"/>
      <c r="L8209" s="38"/>
    </row>
    <row r="8210" spans="1:12" x14ac:dyDescent="0.25">
      <c r="A8210" s="35"/>
      <c r="B8210" s="36"/>
      <c r="C8210" s="36"/>
      <c r="D8210" s="36"/>
      <c r="E8210" s="36"/>
      <c r="F8210" s="36"/>
      <c r="G8210" s="36"/>
      <c r="H8210" s="36"/>
      <c r="I8210" s="37"/>
      <c r="J8210" s="36"/>
      <c r="K8210" s="38"/>
      <c r="L8210" s="38"/>
    </row>
    <row r="8211" spans="1:12" x14ac:dyDescent="0.25">
      <c r="A8211" s="35"/>
      <c r="B8211" s="36"/>
      <c r="C8211" s="36"/>
      <c r="D8211" s="36"/>
      <c r="E8211" s="36"/>
      <c r="F8211" s="36"/>
      <c r="G8211" s="36"/>
      <c r="H8211" s="36"/>
      <c r="I8211" s="37"/>
      <c r="J8211" s="36"/>
      <c r="K8211" s="38"/>
      <c r="L8211" s="38"/>
    </row>
    <row r="8212" spans="1:12" x14ac:dyDescent="0.25">
      <c r="A8212" s="35"/>
      <c r="B8212" s="36"/>
      <c r="C8212" s="36"/>
      <c r="D8212" s="36"/>
      <c r="E8212" s="36"/>
      <c r="F8212" s="36"/>
      <c r="G8212" s="36"/>
      <c r="H8212" s="36"/>
      <c r="I8212" s="37"/>
      <c r="J8212" s="36"/>
      <c r="K8212" s="38"/>
      <c r="L8212" s="38"/>
    </row>
    <row r="8213" spans="1:12" x14ac:dyDescent="0.25">
      <c r="A8213" s="35"/>
      <c r="B8213" s="36"/>
      <c r="C8213" s="36"/>
      <c r="D8213" s="36"/>
      <c r="E8213" s="36"/>
      <c r="F8213" s="36"/>
      <c r="G8213" s="36"/>
      <c r="H8213" s="36"/>
      <c r="I8213" s="37"/>
      <c r="J8213" s="36"/>
      <c r="K8213" s="38"/>
      <c r="L8213" s="38"/>
    </row>
    <row r="8214" spans="1:12" x14ac:dyDescent="0.25">
      <c r="A8214" s="35"/>
      <c r="B8214" s="36"/>
      <c r="C8214" s="36"/>
      <c r="D8214" s="36"/>
      <c r="E8214" s="36"/>
      <c r="F8214" s="36"/>
      <c r="G8214" s="36"/>
      <c r="H8214" s="36"/>
      <c r="I8214" s="37"/>
      <c r="J8214" s="36"/>
      <c r="K8214" s="38"/>
      <c r="L8214" s="38"/>
    </row>
    <row r="8215" spans="1:12" x14ac:dyDescent="0.25">
      <c r="A8215" s="35"/>
      <c r="B8215" s="36"/>
      <c r="C8215" s="36"/>
      <c r="D8215" s="36"/>
      <c r="E8215" s="36"/>
      <c r="F8215" s="36"/>
      <c r="G8215" s="36"/>
      <c r="H8215" s="36"/>
      <c r="I8215" s="37"/>
      <c r="J8215" s="36"/>
      <c r="K8215" s="38"/>
      <c r="L8215" s="38"/>
    </row>
    <row r="8216" spans="1:12" x14ac:dyDescent="0.25">
      <c r="A8216" s="35"/>
      <c r="B8216" s="36"/>
      <c r="C8216" s="36"/>
      <c r="D8216" s="36"/>
      <c r="E8216" s="36"/>
      <c r="F8216" s="36"/>
      <c r="G8216" s="36"/>
      <c r="H8216" s="36"/>
      <c r="I8216" s="37"/>
      <c r="J8216" s="36"/>
      <c r="K8216" s="38"/>
      <c r="L8216" s="38"/>
    </row>
    <row r="8217" spans="1:12" x14ac:dyDescent="0.25">
      <c r="A8217" s="35"/>
      <c r="B8217" s="36"/>
      <c r="C8217" s="36"/>
      <c r="D8217" s="36"/>
      <c r="E8217" s="36"/>
      <c r="F8217" s="36"/>
      <c r="G8217" s="36"/>
      <c r="H8217" s="36"/>
      <c r="I8217" s="37"/>
      <c r="J8217" s="36"/>
      <c r="K8217" s="38"/>
      <c r="L8217" s="38"/>
    </row>
    <row r="8218" spans="1:12" x14ac:dyDescent="0.25">
      <c r="A8218" s="35"/>
      <c r="B8218" s="36"/>
      <c r="C8218" s="36"/>
      <c r="D8218" s="36"/>
      <c r="E8218" s="36"/>
      <c r="F8218" s="36"/>
      <c r="G8218" s="36"/>
      <c r="H8218" s="36"/>
      <c r="I8218" s="37"/>
      <c r="J8218" s="36"/>
      <c r="K8218" s="38"/>
      <c r="L8218" s="38"/>
    </row>
    <row r="8219" spans="1:12" x14ac:dyDescent="0.25">
      <c r="A8219" s="35"/>
      <c r="B8219" s="36"/>
      <c r="C8219" s="36"/>
      <c r="D8219" s="36"/>
      <c r="E8219" s="36"/>
      <c r="F8219" s="36"/>
      <c r="G8219" s="36"/>
      <c r="H8219" s="36"/>
      <c r="I8219" s="37"/>
      <c r="J8219" s="36"/>
      <c r="K8219" s="38"/>
      <c r="L8219" s="38"/>
    </row>
    <row r="8220" spans="1:12" x14ac:dyDescent="0.25">
      <c r="A8220" s="35"/>
      <c r="B8220" s="36"/>
      <c r="C8220" s="36"/>
      <c r="D8220" s="36"/>
      <c r="E8220" s="36"/>
      <c r="F8220" s="36"/>
      <c r="G8220" s="36"/>
      <c r="H8220" s="36"/>
      <c r="I8220" s="37"/>
      <c r="J8220" s="36"/>
      <c r="K8220" s="38"/>
      <c r="L8220" s="38"/>
    </row>
    <row r="8221" spans="1:12" x14ac:dyDescent="0.25">
      <c r="A8221" s="35"/>
      <c r="B8221" s="36"/>
      <c r="C8221" s="36"/>
      <c r="D8221" s="36"/>
      <c r="E8221" s="36"/>
      <c r="F8221" s="36"/>
      <c r="G8221" s="36"/>
      <c r="H8221" s="36"/>
      <c r="I8221" s="37"/>
      <c r="J8221" s="36"/>
      <c r="K8221" s="38"/>
      <c r="L8221" s="38"/>
    </row>
    <row r="8222" spans="1:12" x14ac:dyDescent="0.25">
      <c r="A8222" s="35"/>
      <c r="B8222" s="36"/>
      <c r="C8222" s="36"/>
      <c r="D8222" s="36"/>
      <c r="E8222" s="36"/>
      <c r="F8222" s="36"/>
      <c r="G8222" s="36"/>
      <c r="H8222" s="36"/>
      <c r="I8222" s="37"/>
      <c r="J8222" s="36"/>
      <c r="K8222" s="38"/>
      <c r="L8222" s="38"/>
    </row>
    <row r="8223" spans="1:12" x14ac:dyDescent="0.25">
      <c r="A8223" s="35"/>
      <c r="B8223" s="36"/>
      <c r="C8223" s="36"/>
      <c r="D8223" s="36"/>
      <c r="E8223" s="36"/>
      <c r="F8223" s="36"/>
      <c r="G8223" s="36"/>
      <c r="H8223" s="36"/>
      <c r="I8223" s="37"/>
      <c r="J8223" s="36"/>
      <c r="K8223" s="38"/>
      <c r="L8223" s="38"/>
    </row>
    <row r="8224" spans="1:12" x14ac:dyDescent="0.25">
      <c r="A8224" s="35"/>
      <c r="B8224" s="36"/>
      <c r="C8224" s="36"/>
      <c r="D8224" s="36"/>
      <c r="E8224" s="36"/>
      <c r="F8224" s="36"/>
      <c r="G8224" s="36"/>
      <c r="H8224" s="36"/>
      <c r="I8224" s="37"/>
      <c r="J8224" s="36"/>
      <c r="K8224" s="38"/>
      <c r="L8224" s="38"/>
    </row>
    <row r="8225" spans="1:12" x14ac:dyDescent="0.25">
      <c r="A8225" s="35"/>
      <c r="B8225" s="36"/>
      <c r="C8225" s="36"/>
      <c r="D8225" s="36"/>
      <c r="E8225" s="36"/>
      <c r="F8225" s="36"/>
      <c r="G8225" s="36"/>
      <c r="H8225" s="36"/>
      <c r="I8225" s="37"/>
      <c r="J8225" s="36"/>
      <c r="K8225" s="38"/>
      <c r="L8225" s="38"/>
    </row>
    <row r="8226" spans="1:12" x14ac:dyDescent="0.25">
      <c r="A8226" s="35"/>
      <c r="B8226" s="36"/>
      <c r="C8226" s="36"/>
      <c r="D8226" s="36"/>
      <c r="E8226" s="36"/>
      <c r="F8226" s="36"/>
      <c r="G8226" s="36"/>
      <c r="H8226" s="36"/>
      <c r="I8226" s="37"/>
      <c r="J8226" s="36"/>
      <c r="K8226" s="38"/>
      <c r="L8226" s="38"/>
    </row>
    <row r="8227" spans="1:12" x14ac:dyDescent="0.25">
      <c r="A8227" s="35"/>
      <c r="B8227" s="36"/>
      <c r="C8227" s="36"/>
      <c r="D8227" s="36"/>
      <c r="E8227" s="36"/>
      <c r="F8227" s="36"/>
      <c r="G8227" s="36"/>
      <c r="H8227" s="36"/>
      <c r="I8227" s="37"/>
      <c r="J8227" s="36"/>
      <c r="K8227" s="38"/>
      <c r="L8227" s="38"/>
    </row>
    <row r="8228" spans="1:12" x14ac:dyDescent="0.25">
      <c r="A8228" s="35"/>
      <c r="B8228" s="36"/>
      <c r="C8228" s="36"/>
      <c r="D8228" s="36"/>
      <c r="E8228" s="36"/>
      <c r="F8228" s="36"/>
      <c r="G8228" s="36"/>
      <c r="H8228" s="36"/>
      <c r="I8228" s="37"/>
      <c r="J8228" s="36"/>
      <c r="K8228" s="38"/>
      <c r="L8228" s="38"/>
    </row>
    <row r="8229" spans="1:12" x14ac:dyDescent="0.25">
      <c r="A8229" s="35"/>
      <c r="B8229" s="36"/>
      <c r="C8229" s="36"/>
      <c r="D8229" s="36"/>
      <c r="E8229" s="36"/>
      <c r="F8229" s="36"/>
      <c r="G8229" s="36"/>
      <c r="H8229" s="36"/>
      <c r="I8229" s="37"/>
      <c r="J8229" s="36"/>
      <c r="K8229" s="38"/>
      <c r="L8229" s="38"/>
    </row>
    <row r="8230" spans="1:12" x14ac:dyDescent="0.25">
      <c r="A8230" s="35"/>
      <c r="B8230" s="36"/>
      <c r="C8230" s="36"/>
      <c r="D8230" s="36"/>
      <c r="E8230" s="36"/>
      <c r="F8230" s="36"/>
      <c r="G8230" s="36"/>
      <c r="H8230" s="36"/>
      <c r="I8230" s="37"/>
      <c r="J8230" s="36"/>
      <c r="K8230" s="38"/>
      <c r="L8230" s="38"/>
    </row>
    <row r="8231" spans="1:12" x14ac:dyDescent="0.25">
      <c r="A8231" s="35"/>
      <c r="B8231" s="36"/>
      <c r="C8231" s="36"/>
      <c r="D8231" s="36"/>
      <c r="E8231" s="36"/>
      <c r="F8231" s="36"/>
      <c r="G8231" s="36"/>
      <c r="H8231" s="36"/>
      <c r="I8231" s="37"/>
      <c r="J8231" s="36"/>
      <c r="K8231" s="38"/>
      <c r="L8231" s="38"/>
    </row>
    <row r="8232" spans="1:12" x14ac:dyDescent="0.25">
      <c r="A8232" s="35"/>
      <c r="B8232" s="36"/>
      <c r="C8232" s="36"/>
      <c r="D8232" s="36"/>
      <c r="E8232" s="36"/>
      <c r="F8232" s="36"/>
      <c r="G8232" s="36"/>
      <c r="H8232" s="36"/>
      <c r="I8232" s="37"/>
      <c r="J8232" s="36"/>
      <c r="K8232" s="38"/>
      <c r="L8232" s="38"/>
    </row>
    <row r="8233" spans="1:12" x14ac:dyDescent="0.25">
      <c r="A8233" s="35"/>
      <c r="B8233" s="36"/>
      <c r="C8233" s="36"/>
      <c r="D8233" s="36"/>
      <c r="E8233" s="36"/>
      <c r="F8233" s="36"/>
      <c r="G8233" s="36"/>
      <c r="H8233" s="36"/>
      <c r="I8233" s="37"/>
      <c r="J8233" s="36"/>
      <c r="K8233" s="38"/>
      <c r="L8233" s="38"/>
    </row>
    <row r="8234" spans="1:12" x14ac:dyDescent="0.25">
      <c r="A8234" s="35"/>
      <c r="B8234" s="36"/>
      <c r="C8234" s="36"/>
      <c r="D8234" s="36"/>
      <c r="E8234" s="36"/>
      <c r="F8234" s="36"/>
      <c r="G8234" s="36"/>
      <c r="H8234" s="36"/>
      <c r="I8234" s="37"/>
      <c r="J8234" s="36"/>
      <c r="K8234" s="38"/>
      <c r="L8234" s="38"/>
    </row>
  </sheetData>
  <mergeCells count="1">
    <mergeCell ref="A1:O1"/>
  </mergeCells>
  <hyperlinks>
    <hyperlink ref="O5198" r:id="rId1" xr:uid="{E15991A8-A311-4AEB-AA4D-44A3F629F8EC}"/>
    <hyperlink ref="O155" r:id="rId2" display="https://findadentist.ada.org/dentists/dr-karla-t-baltz-pocahontas-0038V00002ykDYfQAM-a1C8V00000lWBVlUAO?utm_source=chatgpt.com" xr:uid="{1E4CCE14-0033-4EB5-9C7C-9B10C8F36ED8}"/>
    <hyperlink ref="O1047" r:id="rId3" display="https://www.mercy.net/practice/fort-smith/mercy-clinic-infectious-disease-fort-smith/" xr:uid="{96AAC4C7-2483-46FA-B36E-95D913850A7F}"/>
  </hyperlinks>
  <pageMargins left="0.7" right="0.7" top="0.75" bottom="0.75" header="0.3" footer="0.3"/>
  <pageSetup orientation="portrait" verticalDpi="597"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Overview</vt:lpstr>
      <vt:lpstr>Removals</vt:lpstr>
      <vt:lpstr>Provider Classifications</vt:lpstr>
      <vt:lpstr>Provider Types</vt:lpstr>
      <vt:lpstr>Prior Round Dispositions</vt:lpstr>
      <vt:lpstr>'Provider Types'!PY2017_Provider_GroupTaxonomies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Tonmoy Dasgupta</cp:lastModifiedBy>
  <dcterms:created xsi:type="dcterms:W3CDTF">2016-01-27T14:41:09Z</dcterms:created>
  <dcterms:modified xsi:type="dcterms:W3CDTF">2026-01-08T17:45:04Z</dcterms:modified>
</cp:coreProperties>
</file>